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X:\County\Website\2025\"/>
    </mc:Choice>
  </mc:AlternateContent>
  <bookViews>
    <workbookView xWindow="0" yWindow="0" windowWidth="19170" windowHeight="6270"/>
  </bookViews>
  <sheets>
    <sheet name="vdx_RP_Account_2025071006262515" sheetId="1" r:id="rId1"/>
  </sheets>
  <calcPr calcId="0"/>
</workbook>
</file>

<file path=xl/calcChain.xml><?xml version="1.0" encoding="utf-8"?>
<calcChain xmlns="http://schemas.openxmlformats.org/spreadsheetml/2006/main">
  <c r="A2" i="1" l="1"/>
  <c r="C2" i="1"/>
  <c r="N2" i="1"/>
  <c r="A3" i="1"/>
  <c r="C3" i="1"/>
  <c r="N3" i="1"/>
  <c r="A4" i="1"/>
  <c r="C4" i="1"/>
  <c r="N4" i="1"/>
  <c r="A5" i="1"/>
  <c r="C5" i="1"/>
  <c r="N5" i="1"/>
  <c r="A6" i="1"/>
  <c r="C6" i="1"/>
  <c r="N6" i="1"/>
  <c r="A7" i="1"/>
  <c r="C7" i="1"/>
  <c r="N7" i="1"/>
  <c r="A8" i="1"/>
  <c r="C8" i="1"/>
  <c r="N8" i="1"/>
  <c r="A9" i="1"/>
  <c r="C9" i="1"/>
  <c r="N9" i="1"/>
  <c r="A10" i="1"/>
  <c r="C10" i="1"/>
  <c r="N10" i="1"/>
  <c r="A11" i="1"/>
  <c r="C11" i="1"/>
  <c r="N11" i="1"/>
  <c r="A12" i="1"/>
  <c r="C12" i="1"/>
  <c r="N12" i="1"/>
  <c r="A13" i="1"/>
  <c r="C13" i="1"/>
  <c r="N13" i="1"/>
  <c r="A14" i="1"/>
  <c r="C14" i="1"/>
  <c r="N14" i="1"/>
  <c r="A15" i="1"/>
  <c r="C15" i="1"/>
  <c r="N15" i="1"/>
  <c r="A16" i="1"/>
  <c r="C16" i="1"/>
  <c r="N16" i="1"/>
  <c r="A17" i="1"/>
  <c r="C17" i="1"/>
  <c r="N17" i="1"/>
  <c r="A18" i="1"/>
  <c r="C18" i="1"/>
  <c r="N18" i="1"/>
  <c r="A19" i="1"/>
  <c r="C19" i="1"/>
  <c r="N19" i="1"/>
  <c r="A20" i="1"/>
  <c r="C20" i="1"/>
  <c r="N20" i="1"/>
  <c r="A21" i="1"/>
  <c r="C21" i="1"/>
  <c r="N21" i="1"/>
  <c r="A22" i="1"/>
  <c r="C22" i="1"/>
  <c r="N22" i="1"/>
  <c r="A23" i="1"/>
  <c r="C23" i="1"/>
  <c r="N23" i="1"/>
  <c r="A24" i="1"/>
  <c r="C24" i="1"/>
  <c r="N24" i="1"/>
  <c r="A25" i="1"/>
  <c r="C25" i="1"/>
  <c r="N25" i="1"/>
  <c r="A26" i="1"/>
  <c r="C26" i="1"/>
  <c r="N26" i="1"/>
  <c r="A27" i="1"/>
  <c r="C27" i="1"/>
  <c r="N27" i="1"/>
  <c r="A28" i="1"/>
  <c r="C28" i="1"/>
  <c r="N28" i="1"/>
  <c r="A29" i="1"/>
  <c r="C29" i="1"/>
  <c r="N29" i="1"/>
  <c r="A30" i="1"/>
  <c r="C30" i="1"/>
  <c r="N30" i="1"/>
  <c r="A31" i="1"/>
  <c r="C31" i="1"/>
  <c r="N31" i="1"/>
  <c r="A32" i="1"/>
  <c r="C32" i="1"/>
  <c r="N32" i="1"/>
  <c r="A33" i="1"/>
  <c r="C33" i="1"/>
  <c r="N33" i="1"/>
  <c r="A34" i="1"/>
  <c r="C34" i="1"/>
  <c r="N34" i="1"/>
  <c r="A35" i="1"/>
  <c r="C35" i="1"/>
  <c r="N35" i="1"/>
  <c r="A36" i="1"/>
  <c r="C36" i="1"/>
  <c r="N36" i="1"/>
  <c r="A37" i="1"/>
  <c r="C37" i="1"/>
  <c r="N37" i="1"/>
  <c r="A38" i="1"/>
  <c r="C38" i="1"/>
  <c r="N38" i="1"/>
  <c r="A39" i="1"/>
  <c r="C39" i="1"/>
  <c r="N39" i="1"/>
  <c r="A40" i="1"/>
  <c r="C40" i="1"/>
  <c r="N40" i="1"/>
  <c r="A41" i="1"/>
  <c r="C41" i="1"/>
  <c r="N41" i="1"/>
  <c r="A42" i="1"/>
  <c r="C42" i="1"/>
  <c r="N42" i="1"/>
  <c r="A43" i="1"/>
  <c r="C43" i="1"/>
  <c r="N43" i="1"/>
  <c r="A44" i="1"/>
  <c r="C44" i="1"/>
  <c r="N44" i="1"/>
  <c r="A45" i="1"/>
  <c r="C45" i="1"/>
  <c r="N45" i="1"/>
  <c r="A46" i="1"/>
  <c r="C46" i="1"/>
  <c r="N46" i="1"/>
  <c r="A47" i="1"/>
  <c r="C47" i="1"/>
  <c r="N47" i="1"/>
  <c r="A48" i="1"/>
  <c r="C48" i="1"/>
  <c r="N48" i="1"/>
  <c r="A49" i="1"/>
  <c r="C49" i="1"/>
  <c r="N49" i="1"/>
  <c r="A50" i="1"/>
  <c r="C50" i="1"/>
  <c r="N50" i="1"/>
  <c r="A51" i="1"/>
  <c r="C51" i="1"/>
  <c r="N51" i="1"/>
  <c r="A52" i="1"/>
  <c r="C52" i="1"/>
  <c r="N52" i="1"/>
  <c r="A53" i="1"/>
  <c r="C53" i="1"/>
  <c r="N53" i="1"/>
  <c r="A54" i="1"/>
  <c r="C54" i="1"/>
  <c r="N54" i="1"/>
  <c r="A55" i="1"/>
  <c r="C55" i="1"/>
  <c r="N55" i="1"/>
  <c r="A56" i="1"/>
  <c r="C56" i="1"/>
  <c r="N56" i="1"/>
  <c r="A57" i="1"/>
  <c r="C57" i="1"/>
  <c r="N57" i="1"/>
  <c r="A58" i="1"/>
  <c r="C58" i="1"/>
  <c r="N58" i="1"/>
  <c r="A59" i="1"/>
  <c r="C59" i="1"/>
  <c r="N59" i="1"/>
  <c r="A60" i="1"/>
  <c r="C60" i="1"/>
  <c r="N60" i="1"/>
  <c r="A61" i="1"/>
  <c r="C61" i="1"/>
  <c r="N61" i="1"/>
  <c r="A62" i="1"/>
  <c r="C62" i="1"/>
  <c r="N62" i="1"/>
  <c r="A63" i="1"/>
  <c r="C63" i="1"/>
  <c r="N63" i="1"/>
  <c r="A64" i="1"/>
  <c r="C64" i="1"/>
  <c r="N64" i="1"/>
  <c r="A65" i="1"/>
  <c r="C65" i="1"/>
  <c r="N65" i="1"/>
  <c r="A66" i="1"/>
  <c r="C66" i="1"/>
  <c r="N66" i="1"/>
  <c r="A67" i="1"/>
  <c r="C67" i="1"/>
  <c r="N67" i="1"/>
  <c r="A68" i="1"/>
  <c r="C68" i="1"/>
  <c r="N68" i="1"/>
  <c r="A69" i="1"/>
  <c r="C69" i="1"/>
  <c r="N69" i="1"/>
  <c r="A70" i="1"/>
  <c r="C70" i="1"/>
  <c r="N70" i="1"/>
  <c r="A71" i="1"/>
  <c r="C71" i="1"/>
  <c r="N71" i="1"/>
  <c r="A72" i="1"/>
  <c r="C72" i="1"/>
  <c r="N72" i="1"/>
  <c r="A73" i="1"/>
  <c r="C73" i="1"/>
  <c r="N73" i="1"/>
  <c r="A74" i="1"/>
  <c r="C74" i="1"/>
  <c r="N74" i="1"/>
  <c r="A75" i="1"/>
  <c r="C75" i="1"/>
  <c r="N75" i="1"/>
  <c r="A76" i="1"/>
  <c r="C76" i="1"/>
  <c r="N76" i="1"/>
  <c r="A77" i="1"/>
  <c r="C77" i="1"/>
  <c r="N77" i="1"/>
  <c r="A78" i="1"/>
  <c r="C78" i="1"/>
  <c r="N78" i="1"/>
  <c r="A79" i="1"/>
  <c r="C79" i="1"/>
  <c r="N79" i="1"/>
  <c r="A80" i="1"/>
  <c r="C80" i="1"/>
  <c r="N80" i="1"/>
  <c r="A81" i="1"/>
  <c r="C81" i="1"/>
  <c r="N81" i="1"/>
  <c r="A82" i="1"/>
  <c r="C82" i="1"/>
  <c r="N82" i="1"/>
  <c r="A83" i="1"/>
  <c r="C83" i="1"/>
  <c r="N83" i="1"/>
  <c r="A84" i="1"/>
  <c r="C84" i="1"/>
  <c r="N84" i="1"/>
  <c r="A85" i="1"/>
  <c r="C85" i="1"/>
  <c r="N85" i="1"/>
  <c r="A86" i="1"/>
  <c r="C86" i="1"/>
  <c r="N86" i="1"/>
  <c r="A87" i="1"/>
  <c r="C87" i="1"/>
  <c r="N87" i="1"/>
  <c r="A88" i="1"/>
  <c r="C88" i="1"/>
  <c r="N88" i="1"/>
  <c r="A89" i="1"/>
  <c r="C89" i="1"/>
  <c r="N89" i="1"/>
  <c r="A90" i="1"/>
  <c r="C90" i="1"/>
  <c r="N90" i="1"/>
  <c r="A91" i="1"/>
  <c r="C91" i="1"/>
  <c r="N91" i="1"/>
  <c r="A92" i="1"/>
  <c r="C92" i="1"/>
  <c r="N92" i="1"/>
  <c r="A93" i="1"/>
  <c r="C93" i="1"/>
  <c r="N93" i="1"/>
  <c r="A94" i="1"/>
  <c r="C94" i="1"/>
  <c r="N94" i="1"/>
  <c r="A95" i="1"/>
  <c r="C95" i="1"/>
  <c r="N95" i="1"/>
  <c r="A96" i="1"/>
  <c r="C96" i="1"/>
  <c r="N96" i="1"/>
  <c r="A97" i="1"/>
  <c r="C97" i="1"/>
  <c r="N97" i="1"/>
  <c r="A98" i="1"/>
  <c r="C98" i="1"/>
  <c r="N98" i="1"/>
  <c r="A99" i="1"/>
  <c r="C99" i="1"/>
  <c r="N99" i="1"/>
  <c r="A100" i="1"/>
  <c r="C100" i="1"/>
  <c r="N100" i="1"/>
  <c r="A101" i="1"/>
  <c r="C101" i="1"/>
  <c r="N101" i="1"/>
  <c r="A102" i="1"/>
  <c r="C102" i="1"/>
  <c r="N102" i="1"/>
  <c r="A103" i="1"/>
  <c r="C103" i="1"/>
  <c r="N103" i="1"/>
  <c r="A104" i="1"/>
  <c r="C104" i="1"/>
  <c r="N104" i="1"/>
  <c r="A105" i="1"/>
  <c r="C105" i="1"/>
  <c r="N105" i="1"/>
  <c r="A106" i="1"/>
  <c r="C106" i="1"/>
  <c r="N106" i="1"/>
  <c r="A107" i="1"/>
  <c r="C107" i="1"/>
  <c r="N107" i="1"/>
  <c r="A108" i="1"/>
  <c r="C108" i="1"/>
  <c r="N108" i="1"/>
  <c r="A109" i="1"/>
  <c r="C109" i="1"/>
  <c r="N109" i="1"/>
  <c r="A110" i="1"/>
  <c r="C110" i="1"/>
  <c r="N110" i="1"/>
  <c r="A111" i="1"/>
  <c r="C111" i="1"/>
  <c r="N111" i="1"/>
  <c r="A112" i="1"/>
  <c r="C112" i="1"/>
  <c r="N112" i="1"/>
  <c r="A113" i="1"/>
  <c r="C113" i="1"/>
  <c r="N113" i="1"/>
  <c r="A114" i="1"/>
  <c r="C114" i="1"/>
  <c r="N114" i="1"/>
  <c r="A115" i="1"/>
  <c r="C115" i="1"/>
  <c r="N115" i="1"/>
  <c r="A116" i="1"/>
  <c r="C116" i="1"/>
  <c r="N116" i="1"/>
  <c r="A117" i="1"/>
  <c r="C117" i="1"/>
  <c r="N117" i="1"/>
  <c r="A118" i="1"/>
  <c r="C118" i="1"/>
  <c r="N118" i="1"/>
  <c r="A119" i="1"/>
  <c r="C119" i="1"/>
  <c r="N119" i="1"/>
  <c r="A120" i="1"/>
  <c r="C120" i="1"/>
  <c r="N120" i="1"/>
  <c r="A121" i="1"/>
  <c r="C121" i="1"/>
  <c r="N121" i="1"/>
  <c r="A122" i="1"/>
  <c r="C122" i="1"/>
  <c r="N122" i="1"/>
  <c r="A123" i="1"/>
  <c r="C123" i="1"/>
  <c r="N123" i="1"/>
  <c r="A124" i="1"/>
  <c r="C124" i="1"/>
  <c r="N124" i="1"/>
  <c r="A125" i="1"/>
  <c r="C125" i="1"/>
  <c r="N125" i="1"/>
  <c r="A126" i="1"/>
  <c r="C126" i="1"/>
  <c r="N126" i="1"/>
  <c r="A127" i="1"/>
  <c r="C127" i="1"/>
  <c r="N127" i="1"/>
  <c r="A128" i="1"/>
  <c r="C128" i="1"/>
  <c r="N128" i="1"/>
  <c r="A129" i="1"/>
  <c r="C129" i="1"/>
  <c r="N129" i="1"/>
  <c r="A130" i="1"/>
  <c r="C130" i="1"/>
  <c r="N130" i="1"/>
  <c r="A131" i="1"/>
  <c r="C131" i="1"/>
  <c r="N131" i="1"/>
  <c r="A132" i="1"/>
  <c r="C132" i="1"/>
  <c r="N132" i="1"/>
  <c r="A133" i="1"/>
  <c r="C133" i="1"/>
  <c r="N133" i="1"/>
  <c r="A134" i="1"/>
  <c r="C134" i="1"/>
  <c r="N134" i="1"/>
  <c r="A135" i="1"/>
  <c r="C135" i="1"/>
  <c r="N135" i="1"/>
  <c r="A136" i="1"/>
  <c r="C136" i="1"/>
  <c r="N136" i="1"/>
  <c r="A137" i="1"/>
  <c r="C137" i="1"/>
  <c r="N137" i="1"/>
  <c r="A138" i="1"/>
  <c r="C138" i="1"/>
  <c r="N138" i="1"/>
  <c r="A139" i="1"/>
  <c r="C139" i="1"/>
  <c r="N139" i="1"/>
  <c r="A140" i="1"/>
  <c r="C140" i="1"/>
  <c r="N140" i="1"/>
  <c r="A141" i="1"/>
  <c r="C141" i="1"/>
  <c r="N141" i="1"/>
  <c r="A142" i="1"/>
  <c r="C142" i="1"/>
  <c r="N142" i="1"/>
  <c r="A143" i="1"/>
  <c r="C143" i="1"/>
  <c r="N143" i="1"/>
  <c r="A144" i="1"/>
  <c r="C144" i="1"/>
  <c r="N144" i="1"/>
  <c r="A145" i="1"/>
  <c r="C145" i="1"/>
  <c r="N145" i="1"/>
  <c r="A146" i="1"/>
  <c r="C146" i="1"/>
  <c r="N146" i="1"/>
  <c r="A147" i="1"/>
  <c r="C147" i="1"/>
  <c r="N147" i="1"/>
  <c r="A148" i="1"/>
  <c r="C148" i="1"/>
  <c r="N148" i="1"/>
  <c r="A149" i="1"/>
  <c r="C149" i="1"/>
  <c r="N149" i="1"/>
  <c r="A150" i="1"/>
  <c r="C150" i="1"/>
  <c r="N150" i="1"/>
  <c r="A151" i="1"/>
  <c r="C151" i="1"/>
  <c r="N151" i="1"/>
  <c r="A152" i="1"/>
  <c r="C152" i="1"/>
  <c r="N152" i="1"/>
  <c r="A153" i="1"/>
  <c r="C153" i="1"/>
  <c r="N153" i="1"/>
  <c r="A154" i="1"/>
  <c r="C154" i="1"/>
  <c r="N154" i="1"/>
  <c r="A155" i="1"/>
  <c r="C155" i="1"/>
  <c r="N155" i="1"/>
  <c r="A156" i="1"/>
  <c r="C156" i="1"/>
  <c r="N156" i="1"/>
  <c r="A157" i="1"/>
  <c r="C157" i="1"/>
  <c r="N157" i="1"/>
  <c r="A158" i="1"/>
  <c r="C158" i="1"/>
  <c r="N158" i="1"/>
  <c r="A159" i="1"/>
  <c r="C159" i="1"/>
  <c r="N159" i="1"/>
  <c r="A160" i="1"/>
  <c r="C160" i="1"/>
  <c r="N160" i="1"/>
  <c r="A161" i="1"/>
  <c r="C161" i="1"/>
  <c r="N161" i="1"/>
  <c r="A162" i="1"/>
  <c r="C162" i="1"/>
  <c r="N162" i="1"/>
  <c r="A163" i="1"/>
  <c r="C163" i="1"/>
  <c r="N163" i="1"/>
  <c r="A164" i="1"/>
  <c r="C164" i="1"/>
  <c r="N164" i="1"/>
  <c r="A165" i="1"/>
  <c r="C165" i="1"/>
  <c r="N165" i="1"/>
  <c r="A166" i="1"/>
  <c r="C166" i="1"/>
  <c r="N166" i="1"/>
  <c r="A167" i="1"/>
  <c r="C167" i="1"/>
  <c r="N167" i="1"/>
  <c r="A168" i="1"/>
  <c r="C168" i="1"/>
  <c r="N168" i="1"/>
  <c r="A169" i="1"/>
  <c r="C169" i="1"/>
  <c r="N169" i="1"/>
  <c r="A170" i="1"/>
  <c r="C170" i="1"/>
  <c r="N170" i="1"/>
  <c r="A171" i="1"/>
  <c r="C171" i="1"/>
  <c r="N171" i="1"/>
  <c r="A172" i="1"/>
  <c r="C172" i="1"/>
  <c r="N172" i="1"/>
  <c r="A173" i="1"/>
  <c r="C173" i="1"/>
  <c r="N173" i="1"/>
  <c r="A174" i="1"/>
  <c r="C174" i="1"/>
  <c r="N174" i="1"/>
  <c r="A175" i="1"/>
  <c r="C175" i="1"/>
  <c r="N175" i="1"/>
  <c r="A176" i="1"/>
  <c r="C176" i="1"/>
  <c r="N176" i="1"/>
  <c r="A177" i="1"/>
  <c r="C177" i="1"/>
  <c r="N177" i="1"/>
  <c r="A178" i="1"/>
  <c r="C178" i="1"/>
  <c r="N178" i="1"/>
  <c r="A179" i="1"/>
  <c r="C179" i="1"/>
  <c r="N179" i="1"/>
  <c r="A180" i="1"/>
  <c r="C180" i="1"/>
  <c r="N180" i="1"/>
  <c r="A181" i="1"/>
  <c r="C181" i="1"/>
  <c r="N181" i="1"/>
  <c r="A182" i="1"/>
  <c r="C182" i="1"/>
  <c r="N182" i="1"/>
  <c r="A183" i="1"/>
  <c r="C183" i="1"/>
  <c r="N183" i="1"/>
  <c r="A184" i="1"/>
  <c r="C184" i="1"/>
  <c r="N184" i="1"/>
  <c r="A185" i="1"/>
  <c r="C185" i="1"/>
  <c r="N185" i="1"/>
  <c r="A186" i="1"/>
  <c r="C186" i="1"/>
  <c r="N186" i="1"/>
  <c r="A187" i="1"/>
  <c r="C187" i="1"/>
  <c r="N187" i="1"/>
  <c r="A188" i="1"/>
  <c r="C188" i="1"/>
  <c r="N188" i="1"/>
  <c r="A189" i="1"/>
  <c r="C189" i="1"/>
  <c r="N189" i="1"/>
  <c r="A190" i="1"/>
  <c r="C190" i="1"/>
  <c r="N190" i="1"/>
  <c r="A191" i="1"/>
  <c r="C191" i="1"/>
  <c r="N191" i="1"/>
  <c r="A192" i="1"/>
  <c r="C192" i="1"/>
  <c r="N192" i="1"/>
  <c r="A193" i="1"/>
  <c r="C193" i="1"/>
  <c r="N193" i="1"/>
  <c r="A194" i="1"/>
  <c r="C194" i="1"/>
  <c r="N194" i="1"/>
  <c r="A195" i="1"/>
  <c r="C195" i="1"/>
  <c r="N195" i="1"/>
  <c r="A196" i="1"/>
  <c r="C196" i="1"/>
  <c r="N196" i="1"/>
  <c r="A197" i="1"/>
  <c r="C197" i="1"/>
  <c r="N197" i="1"/>
  <c r="A198" i="1"/>
  <c r="C198" i="1"/>
  <c r="N198" i="1"/>
  <c r="A199" i="1"/>
  <c r="C199" i="1"/>
  <c r="N199" i="1"/>
  <c r="A200" i="1"/>
  <c r="C200" i="1"/>
  <c r="N200" i="1"/>
  <c r="A201" i="1"/>
  <c r="C201" i="1"/>
  <c r="N201" i="1"/>
  <c r="A202" i="1"/>
  <c r="C202" i="1"/>
  <c r="N202" i="1"/>
  <c r="A203" i="1"/>
  <c r="C203" i="1"/>
  <c r="N203" i="1"/>
  <c r="A204" i="1"/>
  <c r="C204" i="1"/>
  <c r="F204" i="1"/>
  <c r="N204" i="1"/>
  <c r="A205" i="1"/>
  <c r="C205" i="1"/>
  <c r="F205" i="1"/>
  <c r="N205" i="1"/>
  <c r="A206" i="1"/>
  <c r="C206" i="1"/>
  <c r="F206" i="1"/>
  <c r="N206" i="1"/>
  <c r="A207" i="1"/>
  <c r="C207" i="1"/>
  <c r="F207" i="1"/>
  <c r="N207" i="1"/>
  <c r="A208" i="1"/>
  <c r="C208" i="1"/>
  <c r="F208" i="1"/>
  <c r="N208" i="1"/>
  <c r="A209" i="1"/>
  <c r="C209" i="1"/>
  <c r="F209" i="1"/>
  <c r="N209" i="1"/>
  <c r="A210" i="1"/>
  <c r="C210" i="1"/>
  <c r="F210" i="1"/>
  <c r="N210" i="1"/>
  <c r="A211" i="1"/>
  <c r="C211" i="1"/>
  <c r="F211" i="1"/>
  <c r="N211" i="1"/>
  <c r="A212" i="1"/>
  <c r="C212" i="1"/>
  <c r="F212" i="1"/>
  <c r="N212" i="1"/>
  <c r="A213" i="1"/>
  <c r="C213" i="1"/>
  <c r="F213" i="1"/>
  <c r="N213" i="1"/>
  <c r="A214" i="1"/>
  <c r="C214" i="1"/>
  <c r="F214" i="1"/>
  <c r="N214" i="1"/>
  <c r="A215" i="1"/>
  <c r="C215" i="1"/>
  <c r="F215" i="1"/>
  <c r="N215" i="1"/>
  <c r="A216" i="1"/>
  <c r="C216" i="1"/>
  <c r="F216" i="1"/>
  <c r="N216" i="1"/>
  <c r="A217" i="1"/>
  <c r="C217" i="1"/>
  <c r="F217" i="1"/>
  <c r="N217" i="1"/>
  <c r="A218" i="1"/>
  <c r="C218" i="1"/>
  <c r="F218" i="1"/>
  <c r="N218" i="1"/>
  <c r="A219" i="1"/>
  <c r="C219" i="1"/>
  <c r="F219" i="1"/>
  <c r="N219" i="1"/>
  <c r="A220" i="1"/>
  <c r="C220" i="1"/>
  <c r="F220" i="1"/>
  <c r="N220" i="1"/>
  <c r="A221" i="1"/>
  <c r="C221" i="1"/>
  <c r="F221" i="1"/>
  <c r="N221" i="1"/>
  <c r="A222" i="1"/>
  <c r="C222" i="1"/>
  <c r="F222" i="1"/>
  <c r="N222" i="1"/>
  <c r="A223" i="1"/>
  <c r="C223" i="1"/>
  <c r="F223" i="1"/>
  <c r="N223" i="1"/>
  <c r="A224" i="1"/>
  <c r="C224" i="1"/>
  <c r="F224" i="1"/>
  <c r="N224" i="1"/>
  <c r="A225" i="1"/>
  <c r="C225" i="1"/>
  <c r="F225" i="1"/>
  <c r="N225" i="1"/>
  <c r="A226" i="1"/>
  <c r="C226" i="1"/>
  <c r="F226" i="1"/>
  <c r="N226" i="1"/>
  <c r="A227" i="1"/>
  <c r="C227" i="1"/>
  <c r="F227" i="1"/>
  <c r="N227" i="1"/>
  <c r="A228" i="1"/>
  <c r="C228" i="1"/>
  <c r="F228" i="1"/>
  <c r="N228" i="1"/>
  <c r="A229" i="1"/>
  <c r="C229" i="1"/>
  <c r="F229" i="1"/>
  <c r="N229" i="1"/>
  <c r="A230" i="1"/>
  <c r="C230" i="1"/>
  <c r="F230" i="1"/>
  <c r="N230" i="1"/>
  <c r="A231" i="1"/>
  <c r="C231" i="1"/>
  <c r="F231" i="1"/>
  <c r="N231" i="1"/>
  <c r="A232" i="1"/>
  <c r="C232" i="1"/>
  <c r="F232" i="1"/>
  <c r="N232" i="1"/>
  <c r="A233" i="1"/>
  <c r="C233" i="1"/>
  <c r="F233" i="1"/>
  <c r="N233" i="1"/>
  <c r="A234" i="1"/>
  <c r="C234" i="1"/>
  <c r="F234" i="1"/>
  <c r="N234" i="1"/>
  <c r="A235" i="1"/>
  <c r="C235" i="1"/>
  <c r="F235" i="1"/>
  <c r="N235" i="1"/>
  <c r="A236" i="1"/>
  <c r="C236" i="1"/>
  <c r="F236" i="1"/>
  <c r="N236" i="1"/>
  <c r="A237" i="1"/>
  <c r="C237" i="1"/>
  <c r="F237" i="1"/>
  <c r="N237" i="1"/>
  <c r="A238" i="1"/>
  <c r="C238" i="1"/>
  <c r="F238" i="1"/>
  <c r="N238" i="1"/>
  <c r="A239" i="1"/>
  <c r="C239" i="1"/>
  <c r="F239" i="1"/>
  <c r="N239" i="1"/>
  <c r="A240" i="1"/>
  <c r="C240" i="1"/>
  <c r="F240" i="1"/>
  <c r="N240" i="1"/>
  <c r="A241" i="1"/>
  <c r="C241" i="1"/>
  <c r="F241" i="1"/>
  <c r="N241" i="1"/>
  <c r="A242" i="1"/>
  <c r="C242" i="1"/>
  <c r="F242" i="1"/>
  <c r="N242" i="1"/>
  <c r="A243" i="1"/>
  <c r="C243" i="1"/>
  <c r="F243" i="1"/>
  <c r="N243" i="1"/>
  <c r="A244" i="1"/>
  <c r="C244" i="1"/>
  <c r="F244" i="1"/>
  <c r="N244" i="1"/>
  <c r="A245" i="1"/>
  <c r="C245" i="1"/>
  <c r="F245" i="1"/>
  <c r="N245" i="1"/>
  <c r="A246" i="1"/>
  <c r="C246" i="1"/>
  <c r="F246" i="1"/>
  <c r="N246" i="1"/>
  <c r="A247" i="1"/>
  <c r="C247" i="1"/>
  <c r="F247" i="1"/>
  <c r="N247" i="1"/>
  <c r="A248" i="1"/>
  <c r="C248" i="1"/>
  <c r="F248" i="1"/>
  <c r="N248" i="1"/>
  <c r="A249" i="1"/>
  <c r="C249" i="1"/>
  <c r="F249" i="1"/>
  <c r="N249" i="1"/>
  <c r="A250" i="1"/>
  <c r="C250" i="1"/>
  <c r="F250" i="1"/>
  <c r="N250" i="1"/>
  <c r="A251" i="1"/>
  <c r="C251" i="1"/>
  <c r="F251" i="1"/>
  <c r="N251" i="1"/>
  <c r="A252" i="1"/>
  <c r="C252" i="1"/>
  <c r="N252" i="1"/>
  <c r="A253" i="1"/>
  <c r="C253" i="1"/>
  <c r="N253" i="1"/>
  <c r="A254" i="1"/>
  <c r="C254" i="1"/>
  <c r="N254" i="1"/>
  <c r="A255" i="1"/>
  <c r="C255" i="1"/>
  <c r="N255" i="1"/>
  <c r="A256" i="1"/>
  <c r="C256" i="1"/>
  <c r="N256" i="1"/>
  <c r="A257" i="1"/>
  <c r="C257" i="1"/>
  <c r="N257" i="1"/>
  <c r="A258" i="1"/>
  <c r="C258" i="1"/>
  <c r="N258" i="1"/>
  <c r="A259" i="1"/>
  <c r="C259" i="1"/>
  <c r="N259" i="1"/>
  <c r="A260" i="1"/>
  <c r="C260" i="1"/>
  <c r="N260" i="1"/>
  <c r="A261" i="1"/>
  <c r="C261" i="1"/>
  <c r="N261" i="1"/>
  <c r="A262" i="1"/>
  <c r="C262" i="1"/>
  <c r="F262" i="1"/>
  <c r="N262" i="1"/>
  <c r="A263" i="1"/>
  <c r="C263" i="1"/>
  <c r="N263" i="1"/>
  <c r="A264" i="1"/>
  <c r="C264" i="1"/>
  <c r="N264" i="1"/>
  <c r="A265" i="1"/>
  <c r="C265" i="1"/>
  <c r="N265" i="1"/>
  <c r="A266" i="1"/>
  <c r="C266" i="1"/>
  <c r="N266" i="1"/>
  <c r="A267" i="1"/>
  <c r="C267" i="1"/>
  <c r="N267" i="1"/>
  <c r="A268" i="1"/>
  <c r="C268" i="1"/>
  <c r="N268" i="1"/>
  <c r="A269" i="1"/>
  <c r="C269" i="1"/>
  <c r="N269" i="1"/>
  <c r="A270" i="1"/>
  <c r="C270" i="1"/>
  <c r="N270" i="1"/>
  <c r="A271" i="1"/>
  <c r="C271" i="1"/>
  <c r="N271" i="1"/>
  <c r="A272" i="1"/>
  <c r="C272" i="1"/>
  <c r="N272" i="1"/>
  <c r="A273" i="1"/>
  <c r="C273" i="1"/>
  <c r="N273" i="1"/>
  <c r="A274" i="1"/>
  <c r="C274" i="1"/>
  <c r="N274" i="1"/>
  <c r="A275" i="1"/>
  <c r="C275" i="1"/>
  <c r="N275" i="1"/>
  <c r="A276" i="1"/>
  <c r="C276" i="1"/>
  <c r="N276" i="1"/>
  <c r="A277" i="1"/>
  <c r="C277" i="1"/>
  <c r="N277" i="1"/>
  <c r="A278" i="1"/>
  <c r="C278" i="1"/>
  <c r="N278" i="1"/>
  <c r="A279" i="1"/>
  <c r="C279" i="1"/>
  <c r="N279" i="1"/>
  <c r="A280" i="1"/>
  <c r="C280" i="1"/>
  <c r="N280" i="1"/>
  <c r="A281" i="1"/>
  <c r="C281" i="1"/>
  <c r="N281" i="1"/>
  <c r="A282" i="1"/>
  <c r="C282" i="1"/>
  <c r="N282" i="1"/>
  <c r="A283" i="1"/>
  <c r="C283" i="1"/>
  <c r="N283" i="1"/>
  <c r="A284" i="1"/>
  <c r="C284" i="1"/>
  <c r="N284" i="1"/>
  <c r="A285" i="1"/>
  <c r="C285" i="1"/>
  <c r="N285" i="1"/>
  <c r="A286" i="1"/>
  <c r="C286" i="1"/>
  <c r="N286" i="1"/>
  <c r="A287" i="1"/>
  <c r="C287" i="1"/>
  <c r="N287" i="1"/>
  <c r="A288" i="1"/>
  <c r="C288" i="1"/>
  <c r="N288" i="1"/>
  <c r="A289" i="1"/>
  <c r="C289" i="1"/>
  <c r="N289" i="1"/>
  <c r="A290" i="1"/>
  <c r="C290" i="1"/>
  <c r="N290" i="1"/>
  <c r="A291" i="1"/>
  <c r="C291" i="1"/>
  <c r="N291" i="1"/>
  <c r="A292" i="1"/>
  <c r="C292" i="1"/>
  <c r="N292" i="1"/>
  <c r="A293" i="1"/>
  <c r="C293" i="1"/>
  <c r="N293" i="1"/>
  <c r="A294" i="1"/>
  <c r="C294" i="1"/>
  <c r="N294" i="1"/>
  <c r="A295" i="1"/>
  <c r="C295" i="1"/>
  <c r="N295" i="1"/>
  <c r="A296" i="1"/>
  <c r="C296" i="1"/>
  <c r="N296" i="1"/>
  <c r="A297" i="1"/>
  <c r="C297" i="1"/>
  <c r="N297" i="1"/>
  <c r="A298" i="1"/>
  <c r="C298" i="1"/>
  <c r="N298" i="1"/>
  <c r="A299" i="1"/>
  <c r="C299" i="1"/>
  <c r="N299" i="1"/>
  <c r="A300" i="1"/>
  <c r="C300" i="1"/>
  <c r="N300" i="1"/>
  <c r="A301" i="1"/>
  <c r="C301" i="1"/>
  <c r="N301" i="1"/>
  <c r="A302" i="1"/>
  <c r="C302" i="1"/>
  <c r="N302" i="1"/>
  <c r="A303" i="1"/>
  <c r="C303" i="1"/>
  <c r="N303" i="1"/>
  <c r="A304" i="1"/>
  <c r="C304" i="1"/>
  <c r="N304" i="1"/>
  <c r="A305" i="1"/>
  <c r="C305" i="1"/>
  <c r="N305" i="1"/>
  <c r="A306" i="1"/>
  <c r="C306" i="1"/>
  <c r="N306" i="1"/>
  <c r="A307" i="1"/>
  <c r="C307" i="1"/>
  <c r="N307" i="1"/>
  <c r="A308" i="1"/>
  <c r="C308" i="1"/>
  <c r="N308" i="1"/>
  <c r="A309" i="1"/>
  <c r="C309" i="1"/>
  <c r="N309" i="1"/>
  <c r="A310" i="1"/>
  <c r="C310" i="1"/>
  <c r="N310" i="1"/>
  <c r="A311" i="1"/>
  <c r="C311" i="1"/>
  <c r="N311" i="1"/>
  <c r="A312" i="1"/>
  <c r="C312" i="1"/>
  <c r="N312" i="1"/>
  <c r="A313" i="1"/>
  <c r="C313" i="1"/>
  <c r="N313" i="1"/>
  <c r="A314" i="1"/>
  <c r="C314" i="1"/>
  <c r="N314" i="1"/>
  <c r="A315" i="1"/>
  <c r="C315" i="1"/>
  <c r="N315" i="1"/>
  <c r="A316" i="1"/>
  <c r="C316" i="1"/>
  <c r="N316" i="1"/>
  <c r="A317" i="1"/>
  <c r="C317" i="1"/>
  <c r="N317" i="1"/>
  <c r="A318" i="1"/>
  <c r="C318" i="1"/>
  <c r="N318" i="1"/>
  <c r="A319" i="1"/>
  <c r="C319" i="1"/>
  <c r="N319" i="1"/>
  <c r="A320" i="1"/>
  <c r="C320" i="1"/>
  <c r="N320" i="1"/>
  <c r="A321" i="1"/>
  <c r="C321" i="1"/>
  <c r="N321" i="1"/>
  <c r="A322" i="1"/>
  <c r="C322" i="1"/>
  <c r="N322" i="1"/>
  <c r="A323" i="1"/>
  <c r="C323" i="1"/>
  <c r="N323" i="1"/>
  <c r="A324" i="1"/>
  <c r="C324" i="1"/>
  <c r="N324" i="1"/>
  <c r="A325" i="1"/>
  <c r="C325" i="1"/>
  <c r="N325" i="1"/>
  <c r="A326" i="1"/>
  <c r="C326" i="1"/>
  <c r="N326" i="1"/>
  <c r="A327" i="1"/>
  <c r="C327" i="1"/>
  <c r="F327" i="1"/>
  <c r="N327" i="1"/>
  <c r="A328" i="1"/>
  <c r="C328" i="1"/>
  <c r="N328" i="1"/>
  <c r="A329" i="1"/>
  <c r="C329" i="1"/>
  <c r="N329" i="1"/>
  <c r="A330" i="1"/>
  <c r="C330" i="1"/>
  <c r="N330" i="1"/>
  <c r="A331" i="1"/>
  <c r="C331" i="1"/>
  <c r="N331" i="1"/>
  <c r="A332" i="1"/>
  <c r="C332" i="1"/>
  <c r="F332" i="1"/>
  <c r="N332" i="1"/>
  <c r="A333" i="1"/>
  <c r="C333" i="1"/>
  <c r="N333" i="1"/>
  <c r="A334" i="1"/>
  <c r="C334" i="1"/>
  <c r="N334" i="1"/>
  <c r="A335" i="1"/>
  <c r="C335" i="1"/>
  <c r="N335" i="1"/>
  <c r="A336" i="1"/>
  <c r="C336" i="1"/>
  <c r="N336" i="1"/>
  <c r="A337" i="1"/>
  <c r="C337" i="1"/>
  <c r="N337" i="1"/>
  <c r="A338" i="1"/>
  <c r="C338" i="1"/>
  <c r="N338" i="1"/>
  <c r="A339" i="1"/>
  <c r="C339" i="1"/>
  <c r="N339" i="1"/>
  <c r="A340" i="1"/>
  <c r="C340" i="1"/>
  <c r="N340" i="1"/>
  <c r="A341" i="1"/>
  <c r="C341" i="1"/>
  <c r="N341" i="1"/>
  <c r="A342" i="1"/>
  <c r="C342" i="1"/>
  <c r="N342" i="1"/>
  <c r="A343" i="1"/>
  <c r="C343" i="1"/>
  <c r="N343" i="1"/>
  <c r="A344" i="1"/>
  <c r="C344" i="1"/>
  <c r="N344" i="1"/>
  <c r="A345" i="1"/>
  <c r="C345" i="1"/>
  <c r="N345" i="1"/>
  <c r="A346" i="1"/>
  <c r="C346" i="1"/>
  <c r="N346" i="1"/>
  <c r="A347" i="1"/>
  <c r="C347" i="1"/>
  <c r="N347" i="1"/>
  <c r="A348" i="1"/>
  <c r="C348" i="1"/>
  <c r="N348" i="1"/>
  <c r="A349" i="1"/>
  <c r="C349" i="1"/>
  <c r="N349" i="1"/>
  <c r="A350" i="1"/>
  <c r="C350" i="1"/>
  <c r="N350" i="1"/>
  <c r="A351" i="1"/>
  <c r="C351" i="1"/>
  <c r="N351" i="1"/>
  <c r="A352" i="1"/>
  <c r="C352" i="1"/>
  <c r="N352" i="1"/>
  <c r="A353" i="1"/>
  <c r="C353" i="1"/>
  <c r="N353" i="1"/>
  <c r="A354" i="1"/>
  <c r="C354" i="1"/>
  <c r="N354" i="1"/>
  <c r="A355" i="1"/>
  <c r="C355" i="1"/>
  <c r="N355" i="1"/>
  <c r="A356" i="1"/>
  <c r="C356" i="1"/>
  <c r="N356" i="1"/>
  <c r="A357" i="1"/>
  <c r="C357" i="1"/>
  <c r="N357" i="1"/>
  <c r="A358" i="1"/>
  <c r="C358" i="1"/>
  <c r="N358" i="1"/>
  <c r="A359" i="1"/>
  <c r="C359" i="1"/>
  <c r="N359" i="1"/>
  <c r="A360" i="1"/>
  <c r="C360" i="1"/>
  <c r="N360" i="1"/>
  <c r="A361" i="1"/>
  <c r="C361" i="1"/>
  <c r="N361" i="1"/>
  <c r="A362" i="1"/>
  <c r="C362" i="1"/>
  <c r="N362" i="1"/>
  <c r="A363" i="1"/>
  <c r="C363" i="1"/>
  <c r="N363" i="1"/>
  <c r="A364" i="1"/>
  <c r="C364" i="1"/>
  <c r="N364" i="1"/>
  <c r="A365" i="1"/>
  <c r="C365" i="1"/>
  <c r="N365" i="1"/>
  <c r="A366" i="1"/>
  <c r="C366" i="1"/>
  <c r="N366" i="1"/>
  <c r="A367" i="1"/>
  <c r="C367" i="1"/>
  <c r="N367" i="1"/>
  <c r="A368" i="1"/>
  <c r="C368" i="1"/>
  <c r="N368" i="1"/>
  <c r="A369" i="1"/>
  <c r="C369" i="1"/>
  <c r="N369" i="1"/>
  <c r="A370" i="1"/>
  <c r="C370" i="1"/>
  <c r="N370" i="1"/>
  <c r="A371" i="1"/>
  <c r="C371" i="1"/>
  <c r="N371" i="1"/>
  <c r="A372" i="1"/>
  <c r="C372" i="1"/>
  <c r="N372" i="1"/>
  <c r="A373" i="1"/>
  <c r="C373" i="1"/>
  <c r="N373" i="1"/>
  <c r="A374" i="1"/>
  <c r="C374" i="1"/>
  <c r="N374" i="1"/>
  <c r="A375" i="1"/>
  <c r="C375" i="1"/>
  <c r="N375" i="1"/>
  <c r="A376" i="1"/>
  <c r="C376" i="1"/>
  <c r="N376" i="1"/>
  <c r="A377" i="1"/>
  <c r="C377" i="1"/>
  <c r="N377" i="1"/>
  <c r="A378" i="1"/>
  <c r="C378" i="1"/>
  <c r="F378" i="1"/>
  <c r="N378" i="1"/>
  <c r="A379" i="1"/>
  <c r="C379" i="1"/>
  <c r="N379" i="1"/>
  <c r="A380" i="1"/>
  <c r="C380" i="1"/>
  <c r="N380" i="1"/>
  <c r="A381" i="1"/>
  <c r="C381" i="1"/>
  <c r="N381" i="1"/>
  <c r="A382" i="1"/>
  <c r="C382" i="1"/>
  <c r="N382" i="1"/>
  <c r="A383" i="1"/>
  <c r="C383" i="1"/>
  <c r="N383" i="1"/>
  <c r="A384" i="1"/>
  <c r="C384" i="1"/>
  <c r="N384" i="1"/>
  <c r="A385" i="1"/>
  <c r="C385" i="1"/>
  <c r="N385" i="1"/>
  <c r="A386" i="1"/>
  <c r="C386" i="1"/>
  <c r="N386" i="1"/>
  <c r="A387" i="1"/>
  <c r="C387" i="1"/>
  <c r="N387" i="1"/>
  <c r="A388" i="1"/>
  <c r="C388" i="1"/>
  <c r="N388" i="1"/>
  <c r="A389" i="1"/>
  <c r="C389" i="1"/>
  <c r="N389" i="1"/>
  <c r="A390" i="1"/>
  <c r="C390" i="1"/>
  <c r="N390" i="1"/>
  <c r="A391" i="1"/>
  <c r="C391" i="1"/>
  <c r="N391" i="1"/>
  <c r="A392" i="1"/>
  <c r="C392" i="1"/>
  <c r="N392" i="1"/>
  <c r="A393" i="1"/>
  <c r="C393" i="1"/>
  <c r="N393" i="1"/>
  <c r="A394" i="1"/>
  <c r="C394" i="1"/>
  <c r="N394" i="1"/>
  <c r="A395" i="1"/>
  <c r="C395" i="1"/>
  <c r="N395" i="1"/>
  <c r="A396" i="1"/>
  <c r="C396" i="1"/>
  <c r="N396" i="1"/>
  <c r="A397" i="1"/>
  <c r="C397" i="1"/>
  <c r="N397" i="1"/>
  <c r="A398" i="1"/>
  <c r="C398" i="1"/>
  <c r="N398" i="1"/>
  <c r="A399" i="1"/>
  <c r="C399" i="1"/>
  <c r="N399" i="1"/>
  <c r="A400" i="1"/>
  <c r="C400" i="1"/>
  <c r="N400" i="1"/>
  <c r="A401" i="1"/>
  <c r="C401" i="1"/>
  <c r="N401" i="1"/>
  <c r="A402" i="1"/>
  <c r="C402" i="1"/>
  <c r="N402" i="1"/>
  <c r="A403" i="1"/>
  <c r="C403" i="1"/>
  <c r="N403" i="1"/>
  <c r="A404" i="1"/>
  <c r="C404" i="1"/>
  <c r="N404" i="1"/>
  <c r="A405" i="1"/>
  <c r="C405" i="1"/>
  <c r="N405" i="1"/>
  <c r="A406" i="1"/>
  <c r="C406" i="1"/>
  <c r="N406" i="1"/>
  <c r="A407" i="1"/>
  <c r="C407" i="1"/>
  <c r="N407" i="1"/>
  <c r="A408" i="1"/>
  <c r="C408" i="1"/>
  <c r="N408" i="1"/>
  <c r="A409" i="1"/>
  <c r="C409" i="1"/>
  <c r="N409" i="1"/>
  <c r="A410" i="1"/>
  <c r="C410" i="1"/>
  <c r="N410" i="1"/>
  <c r="A411" i="1"/>
  <c r="C411" i="1"/>
  <c r="N411" i="1"/>
  <c r="A412" i="1"/>
  <c r="C412" i="1"/>
  <c r="N412" i="1"/>
  <c r="A413" i="1"/>
  <c r="C413" i="1"/>
  <c r="N413" i="1"/>
  <c r="A414" i="1"/>
  <c r="C414" i="1"/>
  <c r="N414" i="1"/>
  <c r="A415" i="1"/>
  <c r="C415" i="1"/>
  <c r="N415" i="1"/>
  <c r="A416" i="1"/>
  <c r="C416" i="1"/>
  <c r="N416" i="1"/>
  <c r="A417" i="1"/>
  <c r="C417" i="1"/>
  <c r="N417" i="1"/>
  <c r="A418" i="1"/>
  <c r="C418" i="1"/>
  <c r="N418" i="1"/>
  <c r="A419" i="1"/>
  <c r="C419" i="1"/>
  <c r="N419" i="1"/>
  <c r="A420" i="1"/>
  <c r="C420" i="1"/>
  <c r="N420" i="1"/>
  <c r="A421" i="1"/>
  <c r="C421" i="1"/>
  <c r="N421" i="1"/>
  <c r="A422" i="1"/>
  <c r="C422" i="1"/>
  <c r="N422" i="1"/>
  <c r="A423" i="1"/>
  <c r="C423" i="1"/>
  <c r="N423" i="1"/>
  <c r="A424" i="1"/>
  <c r="C424" i="1"/>
  <c r="N424" i="1"/>
  <c r="A425" i="1"/>
  <c r="C425" i="1"/>
  <c r="N425" i="1"/>
  <c r="A426" i="1"/>
  <c r="C426" i="1"/>
  <c r="N426" i="1"/>
  <c r="A427" i="1"/>
  <c r="C427" i="1"/>
  <c r="N427" i="1"/>
  <c r="A428" i="1"/>
  <c r="C428" i="1"/>
  <c r="N428" i="1"/>
  <c r="A429" i="1"/>
  <c r="C429" i="1"/>
  <c r="N429" i="1"/>
  <c r="A430" i="1"/>
  <c r="C430" i="1"/>
  <c r="N430" i="1"/>
  <c r="A431" i="1"/>
  <c r="C431" i="1"/>
  <c r="N431" i="1"/>
  <c r="A432" i="1"/>
  <c r="C432" i="1"/>
  <c r="N432" i="1"/>
  <c r="A433" i="1"/>
  <c r="C433" i="1"/>
  <c r="N433" i="1"/>
  <c r="A434" i="1"/>
  <c r="C434" i="1"/>
  <c r="N434" i="1"/>
  <c r="A435" i="1"/>
  <c r="C435" i="1"/>
  <c r="N435" i="1"/>
  <c r="A436" i="1"/>
  <c r="C436" i="1"/>
  <c r="N436" i="1"/>
  <c r="A437" i="1"/>
  <c r="C437" i="1"/>
  <c r="N437" i="1"/>
  <c r="A438" i="1"/>
  <c r="C438" i="1"/>
  <c r="N438" i="1"/>
  <c r="A439" i="1"/>
  <c r="C439" i="1"/>
  <c r="N439" i="1"/>
  <c r="A440" i="1"/>
  <c r="C440" i="1"/>
  <c r="N440" i="1"/>
  <c r="A441" i="1"/>
  <c r="C441" i="1"/>
  <c r="N441" i="1"/>
  <c r="A442" i="1"/>
  <c r="C442" i="1"/>
  <c r="N442" i="1"/>
  <c r="A443" i="1"/>
  <c r="C443" i="1"/>
  <c r="N443" i="1"/>
  <c r="A444" i="1"/>
  <c r="C444" i="1"/>
  <c r="N444" i="1"/>
  <c r="A445" i="1"/>
  <c r="C445" i="1"/>
  <c r="N445" i="1"/>
  <c r="A446" i="1"/>
  <c r="C446" i="1"/>
  <c r="N446" i="1"/>
  <c r="A447" i="1"/>
  <c r="C447" i="1"/>
  <c r="N447" i="1"/>
  <c r="A448" i="1"/>
  <c r="C448" i="1"/>
  <c r="N448" i="1"/>
  <c r="A449" i="1"/>
  <c r="C449" i="1"/>
  <c r="N449" i="1"/>
  <c r="A450" i="1"/>
  <c r="C450" i="1"/>
  <c r="N450" i="1"/>
  <c r="A451" i="1"/>
  <c r="C451" i="1"/>
  <c r="N451" i="1"/>
  <c r="A452" i="1"/>
  <c r="C452" i="1"/>
  <c r="N452" i="1"/>
  <c r="A453" i="1"/>
  <c r="C453" i="1"/>
  <c r="N453" i="1"/>
  <c r="A454" i="1"/>
  <c r="C454" i="1"/>
  <c r="N454" i="1"/>
  <c r="A455" i="1"/>
  <c r="C455" i="1"/>
  <c r="N455" i="1"/>
  <c r="A456" i="1"/>
  <c r="C456" i="1"/>
  <c r="N456" i="1"/>
  <c r="A457" i="1"/>
  <c r="C457" i="1"/>
  <c r="N457" i="1"/>
  <c r="A458" i="1"/>
  <c r="C458" i="1"/>
  <c r="N458" i="1"/>
  <c r="A459" i="1"/>
  <c r="C459" i="1"/>
  <c r="N459" i="1"/>
  <c r="A460" i="1"/>
  <c r="C460" i="1"/>
  <c r="N460" i="1"/>
  <c r="A461" i="1"/>
  <c r="C461" i="1"/>
  <c r="N461" i="1"/>
  <c r="A462" i="1"/>
  <c r="C462" i="1"/>
  <c r="N462" i="1"/>
  <c r="A463" i="1"/>
  <c r="C463" i="1"/>
  <c r="N463" i="1"/>
  <c r="A464" i="1"/>
  <c r="C464" i="1"/>
  <c r="N464" i="1"/>
  <c r="A465" i="1"/>
  <c r="C465" i="1"/>
  <c r="N465" i="1"/>
  <c r="A466" i="1"/>
  <c r="C466" i="1"/>
  <c r="N466" i="1"/>
  <c r="A467" i="1"/>
  <c r="C467" i="1"/>
  <c r="N467" i="1"/>
  <c r="A468" i="1"/>
  <c r="C468" i="1"/>
  <c r="N468" i="1"/>
  <c r="A469" i="1"/>
  <c r="C469" i="1"/>
  <c r="N469" i="1"/>
  <c r="A470" i="1"/>
  <c r="C470" i="1"/>
  <c r="N470" i="1"/>
  <c r="A471" i="1"/>
  <c r="C471" i="1"/>
  <c r="N471" i="1"/>
  <c r="A472" i="1"/>
  <c r="C472" i="1"/>
  <c r="N472" i="1"/>
  <c r="A473" i="1"/>
  <c r="C473" i="1"/>
  <c r="N473" i="1"/>
  <c r="A474" i="1"/>
  <c r="C474" i="1"/>
  <c r="N474" i="1"/>
  <c r="A475" i="1"/>
  <c r="C475" i="1"/>
  <c r="N475" i="1"/>
  <c r="A476" i="1"/>
  <c r="C476" i="1"/>
  <c r="N476" i="1"/>
  <c r="A477" i="1"/>
  <c r="C477" i="1"/>
  <c r="N477" i="1"/>
  <c r="A478" i="1"/>
  <c r="C478" i="1"/>
  <c r="N478" i="1"/>
  <c r="A479" i="1"/>
  <c r="C479" i="1"/>
  <c r="N479" i="1"/>
  <c r="A480" i="1"/>
  <c r="C480" i="1"/>
  <c r="N480" i="1"/>
  <c r="A481" i="1"/>
  <c r="C481" i="1"/>
  <c r="N481" i="1"/>
  <c r="A482" i="1"/>
  <c r="C482" i="1"/>
  <c r="N482" i="1"/>
  <c r="A483" i="1"/>
  <c r="C483" i="1"/>
  <c r="N483" i="1"/>
  <c r="A484" i="1"/>
  <c r="C484" i="1"/>
  <c r="N484" i="1"/>
  <c r="A485" i="1"/>
  <c r="C485" i="1"/>
  <c r="N485" i="1"/>
  <c r="A486" i="1"/>
  <c r="C486" i="1"/>
  <c r="N486" i="1"/>
  <c r="A487" i="1"/>
  <c r="C487" i="1"/>
  <c r="N487" i="1"/>
  <c r="A488" i="1"/>
  <c r="C488" i="1"/>
  <c r="N488" i="1"/>
  <c r="A489" i="1"/>
  <c r="C489" i="1"/>
  <c r="N489" i="1"/>
  <c r="A490" i="1"/>
  <c r="C490" i="1"/>
  <c r="N490" i="1"/>
  <c r="A491" i="1"/>
  <c r="C491" i="1"/>
  <c r="N491" i="1"/>
  <c r="A492" i="1"/>
  <c r="C492" i="1"/>
  <c r="N492" i="1"/>
  <c r="A493" i="1"/>
  <c r="C493" i="1"/>
  <c r="N493" i="1"/>
  <c r="A494" i="1"/>
  <c r="C494" i="1"/>
  <c r="N494" i="1"/>
  <c r="A495" i="1"/>
  <c r="C495" i="1"/>
  <c r="N495" i="1"/>
  <c r="A496" i="1"/>
  <c r="C496" i="1"/>
  <c r="N496" i="1"/>
  <c r="A497" i="1"/>
  <c r="C497" i="1"/>
  <c r="N497" i="1"/>
  <c r="A498" i="1"/>
  <c r="C498" i="1"/>
  <c r="N498" i="1"/>
  <c r="A499" i="1"/>
  <c r="C499" i="1"/>
  <c r="N499" i="1"/>
  <c r="A500" i="1"/>
  <c r="C500" i="1"/>
  <c r="N500" i="1"/>
  <c r="A501" i="1"/>
  <c r="C501" i="1"/>
  <c r="N501" i="1"/>
  <c r="A502" i="1"/>
  <c r="C502" i="1"/>
  <c r="N502" i="1"/>
  <c r="A503" i="1"/>
  <c r="C503" i="1"/>
  <c r="N503" i="1"/>
  <c r="A504" i="1"/>
  <c r="C504" i="1"/>
  <c r="N504" i="1"/>
  <c r="A505" i="1"/>
  <c r="C505" i="1"/>
  <c r="N505" i="1"/>
  <c r="A506" i="1"/>
  <c r="C506" i="1"/>
  <c r="N506" i="1"/>
  <c r="A507" i="1"/>
  <c r="C507" i="1"/>
  <c r="N507" i="1"/>
  <c r="A508" i="1"/>
  <c r="C508" i="1"/>
  <c r="N508" i="1"/>
  <c r="A509" i="1"/>
  <c r="C509" i="1"/>
  <c r="N509" i="1"/>
  <c r="A510" i="1"/>
  <c r="C510" i="1"/>
  <c r="N510" i="1"/>
  <c r="A511" i="1"/>
  <c r="C511" i="1"/>
  <c r="N511" i="1"/>
  <c r="A512" i="1"/>
  <c r="C512" i="1"/>
  <c r="N512" i="1"/>
  <c r="A513" i="1"/>
  <c r="C513" i="1"/>
  <c r="N513" i="1"/>
  <c r="A514" i="1"/>
  <c r="C514" i="1"/>
  <c r="N514" i="1"/>
  <c r="A515" i="1"/>
  <c r="C515" i="1"/>
  <c r="N515" i="1"/>
  <c r="A516" i="1"/>
  <c r="C516" i="1"/>
  <c r="N516" i="1"/>
  <c r="A517" i="1"/>
  <c r="C517" i="1"/>
  <c r="N517" i="1"/>
  <c r="A518" i="1"/>
  <c r="C518" i="1"/>
  <c r="N518" i="1"/>
  <c r="A519" i="1"/>
  <c r="C519" i="1"/>
  <c r="N519" i="1"/>
  <c r="A520" i="1"/>
  <c r="C520" i="1"/>
  <c r="N520" i="1"/>
  <c r="A521" i="1"/>
  <c r="C521" i="1"/>
  <c r="N521" i="1"/>
  <c r="A522" i="1"/>
  <c r="C522" i="1"/>
  <c r="N522" i="1"/>
  <c r="A523" i="1"/>
  <c r="C523" i="1"/>
  <c r="N523" i="1"/>
  <c r="A524" i="1"/>
  <c r="C524" i="1"/>
  <c r="N524" i="1"/>
  <c r="A525" i="1"/>
  <c r="C525" i="1"/>
  <c r="N525" i="1"/>
  <c r="A526" i="1"/>
  <c r="C526" i="1"/>
  <c r="N526" i="1"/>
  <c r="A527" i="1"/>
  <c r="C527" i="1"/>
  <c r="N527" i="1"/>
  <c r="A528" i="1"/>
  <c r="C528" i="1"/>
  <c r="N528" i="1"/>
  <c r="A529" i="1"/>
  <c r="C529" i="1"/>
  <c r="N529" i="1"/>
  <c r="A530" i="1"/>
  <c r="C530" i="1"/>
  <c r="N530" i="1"/>
  <c r="A531" i="1"/>
  <c r="C531" i="1"/>
  <c r="N531" i="1"/>
  <c r="A532" i="1"/>
  <c r="C532" i="1"/>
  <c r="N532" i="1"/>
  <c r="A533" i="1"/>
  <c r="C533" i="1"/>
  <c r="N533" i="1"/>
  <c r="A534" i="1"/>
  <c r="C534" i="1"/>
  <c r="N534" i="1"/>
  <c r="A535" i="1"/>
  <c r="C535" i="1"/>
  <c r="N535" i="1"/>
  <c r="A536" i="1"/>
  <c r="C536" i="1"/>
  <c r="N536" i="1"/>
  <c r="A537" i="1"/>
  <c r="C537" i="1"/>
  <c r="N537" i="1"/>
  <c r="A538" i="1"/>
  <c r="C538" i="1"/>
  <c r="N538" i="1"/>
  <c r="A539" i="1"/>
  <c r="C539" i="1"/>
  <c r="N539" i="1"/>
  <c r="A540" i="1"/>
  <c r="C540" i="1"/>
  <c r="N540" i="1"/>
  <c r="A541" i="1"/>
  <c r="C541" i="1"/>
  <c r="N541" i="1"/>
  <c r="A542" i="1"/>
  <c r="C542" i="1"/>
  <c r="N542" i="1"/>
  <c r="A543" i="1"/>
  <c r="C543" i="1"/>
  <c r="N543" i="1"/>
  <c r="A544" i="1"/>
  <c r="C544" i="1"/>
  <c r="N544" i="1"/>
  <c r="A545" i="1"/>
  <c r="C545" i="1"/>
  <c r="N545" i="1"/>
  <c r="A546" i="1"/>
  <c r="C546" i="1"/>
  <c r="N546" i="1"/>
  <c r="A547" i="1"/>
  <c r="C547" i="1"/>
  <c r="N547" i="1"/>
  <c r="A548" i="1"/>
  <c r="C548" i="1"/>
  <c r="N548" i="1"/>
  <c r="A549" i="1"/>
  <c r="C549" i="1"/>
  <c r="N549" i="1"/>
  <c r="A550" i="1"/>
  <c r="C550" i="1"/>
  <c r="F550" i="1"/>
  <c r="N550" i="1"/>
  <c r="A551" i="1"/>
  <c r="C551" i="1"/>
  <c r="N551" i="1"/>
  <c r="A552" i="1"/>
  <c r="C552" i="1"/>
  <c r="N552" i="1"/>
  <c r="A553" i="1"/>
  <c r="C553" i="1"/>
  <c r="N553" i="1"/>
  <c r="A554" i="1"/>
  <c r="C554" i="1"/>
  <c r="N554" i="1"/>
  <c r="A555" i="1"/>
  <c r="C555" i="1"/>
  <c r="N555" i="1"/>
  <c r="A556" i="1"/>
  <c r="C556" i="1"/>
  <c r="N556" i="1"/>
  <c r="A557" i="1"/>
  <c r="C557" i="1"/>
  <c r="N557" i="1"/>
  <c r="A558" i="1"/>
  <c r="C558" i="1"/>
  <c r="N558" i="1"/>
  <c r="A559" i="1"/>
  <c r="C559" i="1"/>
  <c r="N559" i="1"/>
  <c r="A560" i="1"/>
  <c r="C560" i="1"/>
  <c r="N560" i="1"/>
  <c r="A561" i="1"/>
  <c r="C561" i="1"/>
  <c r="N561" i="1"/>
  <c r="A562" i="1"/>
  <c r="C562" i="1"/>
  <c r="N562" i="1"/>
  <c r="A563" i="1"/>
  <c r="C563" i="1"/>
  <c r="N563" i="1"/>
  <c r="A564" i="1"/>
  <c r="C564" i="1"/>
  <c r="N564" i="1"/>
  <c r="A565" i="1"/>
  <c r="C565" i="1"/>
  <c r="N565" i="1"/>
  <c r="A566" i="1"/>
  <c r="C566" i="1"/>
  <c r="N566" i="1"/>
  <c r="A567" i="1"/>
  <c r="C567" i="1"/>
  <c r="N567" i="1"/>
  <c r="A568" i="1"/>
  <c r="C568" i="1"/>
  <c r="N568" i="1"/>
  <c r="A569" i="1"/>
  <c r="C569" i="1"/>
  <c r="N569" i="1"/>
  <c r="A570" i="1"/>
  <c r="C570" i="1"/>
  <c r="N570" i="1"/>
  <c r="A571" i="1"/>
  <c r="C571" i="1"/>
  <c r="N571" i="1"/>
  <c r="A572" i="1"/>
  <c r="C572" i="1"/>
  <c r="N572" i="1"/>
  <c r="A573" i="1"/>
  <c r="C573" i="1"/>
  <c r="N573" i="1"/>
  <c r="A574" i="1"/>
  <c r="C574" i="1"/>
  <c r="N574" i="1"/>
  <c r="A575" i="1"/>
  <c r="C575" i="1"/>
  <c r="N575" i="1"/>
  <c r="A576" i="1"/>
  <c r="C576" i="1"/>
  <c r="N576" i="1"/>
  <c r="A577" i="1"/>
  <c r="C577" i="1"/>
  <c r="N577" i="1"/>
  <c r="A578" i="1"/>
  <c r="C578" i="1"/>
  <c r="N578" i="1"/>
  <c r="A579" i="1"/>
  <c r="C579" i="1"/>
  <c r="N579" i="1"/>
  <c r="A580" i="1"/>
  <c r="C580" i="1"/>
  <c r="N580" i="1"/>
  <c r="A581" i="1"/>
  <c r="C581" i="1"/>
  <c r="N581" i="1"/>
  <c r="A582" i="1"/>
  <c r="C582" i="1"/>
  <c r="N582" i="1"/>
  <c r="A583" i="1"/>
  <c r="C583" i="1"/>
  <c r="N583" i="1"/>
  <c r="A584" i="1"/>
  <c r="C584" i="1"/>
  <c r="N584" i="1"/>
  <c r="A585" i="1"/>
  <c r="C585" i="1"/>
  <c r="N585" i="1"/>
  <c r="A586" i="1"/>
  <c r="C586" i="1"/>
  <c r="N586" i="1"/>
  <c r="A587" i="1"/>
  <c r="C587" i="1"/>
  <c r="N587" i="1"/>
  <c r="A588" i="1"/>
  <c r="C588" i="1"/>
  <c r="N588" i="1"/>
  <c r="A589" i="1"/>
  <c r="C589" i="1"/>
  <c r="N589" i="1"/>
  <c r="A590" i="1"/>
  <c r="C590" i="1"/>
  <c r="N590" i="1"/>
  <c r="A591" i="1"/>
  <c r="C591" i="1"/>
  <c r="N591" i="1"/>
  <c r="A592" i="1"/>
  <c r="C592" i="1"/>
  <c r="N592" i="1"/>
  <c r="A593" i="1"/>
  <c r="C593" i="1"/>
  <c r="N593" i="1"/>
  <c r="A594" i="1"/>
  <c r="C594" i="1"/>
  <c r="N594" i="1"/>
  <c r="A595" i="1"/>
  <c r="C595" i="1"/>
  <c r="N595" i="1"/>
  <c r="A596" i="1"/>
  <c r="C596" i="1"/>
  <c r="N596" i="1"/>
  <c r="A597" i="1"/>
  <c r="C597" i="1"/>
  <c r="N597" i="1"/>
  <c r="A598" i="1"/>
  <c r="C598" i="1"/>
  <c r="N598" i="1"/>
  <c r="A599" i="1"/>
  <c r="C599" i="1"/>
  <c r="N599" i="1"/>
  <c r="A600" i="1"/>
  <c r="C600" i="1"/>
  <c r="N600" i="1"/>
  <c r="A601" i="1"/>
  <c r="C601" i="1"/>
  <c r="N601" i="1"/>
  <c r="A602" i="1"/>
  <c r="C602" i="1"/>
  <c r="N602" i="1"/>
  <c r="A603" i="1"/>
  <c r="C603" i="1"/>
  <c r="N603" i="1"/>
  <c r="A604" i="1"/>
  <c r="C604" i="1"/>
  <c r="N604" i="1"/>
  <c r="A605" i="1"/>
  <c r="C605" i="1"/>
  <c r="N605" i="1"/>
  <c r="A606" i="1"/>
  <c r="C606" i="1"/>
  <c r="N606" i="1"/>
  <c r="A607" i="1"/>
  <c r="C607" i="1"/>
  <c r="N607" i="1"/>
  <c r="A608" i="1"/>
  <c r="C608" i="1"/>
  <c r="N608" i="1"/>
  <c r="A609" i="1"/>
  <c r="C609" i="1"/>
  <c r="N609" i="1"/>
  <c r="A610" i="1"/>
  <c r="C610" i="1"/>
  <c r="N610" i="1"/>
  <c r="A611" i="1"/>
  <c r="C611" i="1"/>
  <c r="N611" i="1"/>
  <c r="A612" i="1"/>
  <c r="C612" i="1"/>
  <c r="N612" i="1"/>
  <c r="A613" i="1"/>
  <c r="C613" i="1"/>
  <c r="N613" i="1"/>
  <c r="A614" i="1"/>
  <c r="C614" i="1"/>
  <c r="N614" i="1"/>
  <c r="A615" i="1"/>
  <c r="C615" i="1"/>
  <c r="N615" i="1"/>
  <c r="A616" i="1"/>
  <c r="C616" i="1"/>
  <c r="N616" i="1"/>
  <c r="A617" i="1"/>
  <c r="C617" i="1"/>
  <c r="N617" i="1"/>
  <c r="A618" i="1"/>
  <c r="C618" i="1"/>
  <c r="N618" i="1"/>
  <c r="A619" i="1"/>
  <c r="C619" i="1"/>
  <c r="N619" i="1"/>
  <c r="A620" i="1"/>
  <c r="C620" i="1"/>
  <c r="N620" i="1"/>
  <c r="A621" i="1"/>
  <c r="C621" i="1"/>
  <c r="N621" i="1"/>
  <c r="A622" i="1"/>
  <c r="C622" i="1"/>
  <c r="N622" i="1"/>
  <c r="A623" i="1"/>
  <c r="C623" i="1"/>
  <c r="N623" i="1"/>
  <c r="A624" i="1"/>
  <c r="C624" i="1"/>
  <c r="N624" i="1"/>
  <c r="A625" i="1"/>
  <c r="C625" i="1"/>
  <c r="N625" i="1"/>
  <c r="A626" i="1"/>
  <c r="C626" i="1"/>
  <c r="N626" i="1"/>
  <c r="A627" i="1"/>
  <c r="C627" i="1"/>
  <c r="N627" i="1"/>
  <c r="A628" i="1"/>
  <c r="C628" i="1"/>
  <c r="N628" i="1"/>
  <c r="A629" i="1"/>
  <c r="C629" i="1"/>
  <c r="N629" i="1"/>
  <c r="A630" i="1"/>
  <c r="C630" i="1"/>
  <c r="N630" i="1"/>
  <c r="A631" i="1"/>
  <c r="C631" i="1"/>
  <c r="N631" i="1"/>
  <c r="A632" i="1"/>
  <c r="C632" i="1"/>
  <c r="N632" i="1"/>
  <c r="A633" i="1"/>
  <c r="C633" i="1"/>
  <c r="N633" i="1"/>
  <c r="A634" i="1"/>
  <c r="C634" i="1"/>
  <c r="N634" i="1"/>
  <c r="A635" i="1"/>
  <c r="C635" i="1"/>
  <c r="N635" i="1"/>
  <c r="A636" i="1"/>
  <c r="C636" i="1"/>
  <c r="N636" i="1"/>
  <c r="A637" i="1"/>
  <c r="C637" i="1"/>
  <c r="N637" i="1"/>
  <c r="A638" i="1"/>
  <c r="C638" i="1"/>
  <c r="N638" i="1"/>
  <c r="A639" i="1"/>
  <c r="C639" i="1"/>
  <c r="N639" i="1"/>
  <c r="A640" i="1"/>
  <c r="C640" i="1"/>
  <c r="N640" i="1"/>
  <c r="A641" i="1"/>
  <c r="C641" i="1"/>
  <c r="N641" i="1"/>
  <c r="A642" i="1"/>
  <c r="C642" i="1"/>
  <c r="N642" i="1"/>
  <c r="A643" i="1"/>
  <c r="C643" i="1"/>
  <c r="N643" i="1"/>
  <c r="A644" i="1"/>
  <c r="C644" i="1"/>
  <c r="N644" i="1"/>
  <c r="A645" i="1"/>
  <c r="C645" i="1"/>
  <c r="N645" i="1"/>
  <c r="A646" i="1"/>
  <c r="C646" i="1"/>
  <c r="N646" i="1"/>
  <c r="A647" i="1"/>
  <c r="C647" i="1"/>
  <c r="N647" i="1"/>
  <c r="A648" i="1"/>
  <c r="C648" i="1"/>
  <c r="N648" i="1"/>
  <c r="A649" i="1"/>
  <c r="C649" i="1"/>
  <c r="N649" i="1"/>
  <c r="A650" i="1"/>
  <c r="C650" i="1"/>
  <c r="N650" i="1"/>
  <c r="A651" i="1"/>
  <c r="C651" i="1"/>
  <c r="N651" i="1"/>
  <c r="A652" i="1"/>
  <c r="C652" i="1"/>
  <c r="N652" i="1"/>
  <c r="A653" i="1"/>
  <c r="C653" i="1"/>
  <c r="N653" i="1"/>
  <c r="A654" i="1"/>
  <c r="C654" i="1"/>
  <c r="N654" i="1"/>
  <c r="A655" i="1"/>
  <c r="C655" i="1"/>
  <c r="N655" i="1"/>
  <c r="A656" i="1"/>
  <c r="C656" i="1"/>
  <c r="N656" i="1"/>
  <c r="A657" i="1"/>
  <c r="C657" i="1"/>
  <c r="N657" i="1"/>
  <c r="A658" i="1"/>
  <c r="C658" i="1"/>
  <c r="N658" i="1"/>
  <c r="A659" i="1"/>
  <c r="C659" i="1"/>
  <c r="N659" i="1"/>
  <c r="A660" i="1"/>
  <c r="C660" i="1"/>
  <c r="N660" i="1"/>
  <c r="A661" i="1"/>
  <c r="C661" i="1"/>
  <c r="N661" i="1"/>
  <c r="A662" i="1"/>
  <c r="C662" i="1"/>
  <c r="N662" i="1"/>
  <c r="A663" i="1"/>
  <c r="C663" i="1"/>
  <c r="N663" i="1"/>
  <c r="A664" i="1"/>
  <c r="C664" i="1"/>
  <c r="N664" i="1"/>
  <c r="A665" i="1"/>
  <c r="C665" i="1"/>
  <c r="N665" i="1"/>
  <c r="A666" i="1"/>
  <c r="C666" i="1"/>
  <c r="N666" i="1"/>
  <c r="A667" i="1"/>
  <c r="C667" i="1"/>
  <c r="N667" i="1"/>
  <c r="A668" i="1"/>
  <c r="C668" i="1"/>
  <c r="N668" i="1"/>
  <c r="A669" i="1"/>
  <c r="C669" i="1"/>
  <c r="N669" i="1"/>
  <c r="A670" i="1"/>
  <c r="C670" i="1"/>
  <c r="N670" i="1"/>
  <c r="A671" i="1"/>
  <c r="C671" i="1"/>
  <c r="N671" i="1"/>
  <c r="A672" i="1"/>
  <c r="C672" i="1"/>
  <c r="N672" i="1"/>
  <c r="A673" i="1"/>
  <c r="C673" i="1"/>
  <c r="N673" i="1"/>
  <c r="A674" i="1"/>
  <c r="C674" i="1"/>
  <c r="N674" i="1"/>
  <c r="A675" i="1"/>
  <c r="C675" i="1"/>
  <c r="N675" i="1"/>
  <c r="A676" i="1"/>
  <c r="C676" i="1"/>
  <c r="N676" i="1"/>
  <c r="A677" i="1"/>
  <c r="C677" i="1"/>
  <c r="N677" i="1"/>
  <c r="A678" i="1"/>
  <c r="C678" i="1"/>
  <c r="N678" i="1"/>
  <c r="A679" i="1"/>
  <c r="C679" i="1"/>
  <c r="N679" i="1"/>
  <c r="A680" i="1"/>
  <c r="C680" i="1"/>
  <c r="N680" i="1"/>
  <c r="A681" i="1"/>
  <c r="C681" i="1"/>
  <c r="N681" i="1"/>
  <c r="A682" i="1"/>
  <c r="C682" i="1"/>
  <c r="N682" i="1"/>
  <c r="A683" i="1"/>
  <c r="C683" i="1"/>
  <c r="N683" i="1"/>
  <c r="A684" i="1"/>
  <c r="C684" i="1"/>
  <c r="N684" i="1"/>
  <c r="A685" i="1"/>
  <c r="C685" i="1"/>
  <c r="N685" i="1"/>
  <c r="A686" i="1"/>
  <c r="C686" i="1"/>
  <c r="N686" i="1"/>
  <c r="A687" i="1"/>
  <c r="C687" i="1"/>
  <c r="N687" i="1"/>
  <c r="A688" i="1"/>
  <c r="C688" i="1"/>
  <c r="N688" i="1"/>
  <c r="A689" i="1"/>
  <c r="C689" i="1"/>
  <c r="N689" i="1"/>
  <c r="A690" i="1"/>
  <c r="C690" i="1"/>
  <c r="N690" i="1"/>
  <c r="A691" i="1"/>
  <c r="C691" i="1"/>
  <c r="N691" i="1"/>
  <c r="A692" i="1"/>
  <c r="C692" i="1"/>
  <c r="N692" i="1"/>
  <c r="A693" i="1"/>
  <c r="C693" i="1"/>
  <c r="N693" i="1"/>
  <c r="A694" i="1"/>
  <c r="C694" i="1"/>
  <c r="N694" i="1"/>
  <c r="A695" i="1"/>
  <c r="C695" i="1"/>
  <c r="N695" i="1"/>
  <c r="A696" i="1"/>
  <c r="C696" i="1"/>
  <c r="N696" i="1"/>
  <c r="A697" i="1"/>
  <c r="C697" i="1"/>
  <c r="N697" i="1"/>
  <c r="A698" i="1"/>
  <c r="C698" i="1"/>
  <c r="N698" i="1"/>
  <c r="A699" i="1"/>
  <c r="C699" i="1"/>
  <c r="N699" i="1"/>
  <c r="A700" i="1"/>
  <c r="C700" i="1"/>
  <c r="N700" i="1"/>
  <c r="A701" i="1"/>
  <c r="C701" i="1"/>
  <c r="N701" i="1"/>
  <c r="A702" i="1"/>
  <c r="C702" i="1"/>
  <c r="N702" i="1"/>
  <c r="A703" i="1"/>
  <c r="C703" i="1"/>
  <c r="N703" i="1"/>
  <c r="A704" i="1"/>
  <c r="C704" i="1"/>
  <c r="N704" i="1"/>
  <c r="A705" i="1"/>
  <c r="C705" i="1"/>
  <c r="N705" i="1"/>
  <c r="A706" i="1"/>
  <c r="C706" i="1"/>
  <c r="N706" i="1"/>
  <c r="A707" i="1"/>
  <c r="C707" i="1"/>
  <c r="N707" i="1"/>
  <c r="A708" i="1"/>
  <c r="C708" i="1"/>
  <c r="N708" i="1"/>
  <c r="A709" i="1"/>
  <c r="C709" i="1"/>
  <c r="N709" i="1"/>
  <c r="A710" i="1"/>
  <c r="C710" i="1"/>
  <c r="N710" i="1"/>
  <c r="A711" i="1"/>
  <c r="C711" i="1"/>
  <c r="N711" i="1"/>
  <c r="A712" i="1"/>
  <c r="C712" i="1"/>
  <c r="N712" i="1"/>
  <c r="A713" i="1"/>
  <c r="C713" i="1"/>
  <c r="N713" i="1"/>
  <c r="A714" i="1"/>
  <c r="C714" i="1"/>
  <c r="N714" i="1"/>
  <c r="A715" i="1"/>
  <c r="C715" i="1"/>
  <c r="N715" i="1"/>
  <c r="A716" i="1"/>
  <c r="C716" i="1"/>
  <c r="N716" i="1"/>
  <c r="A717" i="1"/>
  <c r="C717" i="1"/>
  <c r="N717" i="1"/>
  <c r="A718" i="1"/>
  <c r="C718" i="1"/>
  <c r="N718" i="1"/>
  <c r="A719" i="1"/>
  <c r="C719" i="1"/>
  <c r="N719" i="1"/>
  <c r="A720" i="1"/>
  <c r="C720" i="1"/>
  <c r="N720" i="1"/>
  <c r="A721" i="1"/>
  <c r="C721" i="1"/>
  <c r="N721" i="1"/>
  <c r="A722" i="1"/>
  <c r="C722" i="1"/>
  <c r="N722" i="1"/>
  <c r="A723" i="1"/>
  <c r="C723" i="1"/>
  <c r="N723" i="1"/>
  <c r="A724" i="1"/>
  <c r="C724" i="1"/>
  <c r="N724" i="1"/>
  <c r="A725" i="1"/>
  <c r="C725" i="1"/>
  <c r="N725" i="1"/>
  <c r="A726" i="1"/>
  <c r="C726" i="1"/>
  <c r="N726" i="1"/>
  <c r="A727" i="1"/>
  <c r="C727" i="1"/>
  <c r="N727" i="1"/>
  <c r="A728" i="1"/>
  <c r="C728" i="1"/>
  <c r="N728" i="1"/>
  <c r="A729" i="1"/>
  <c r="C729" i="1"/>
  <c r="N729" i="1"/>
  <c r="A730" i="1"/>
  <c r="C730" i="1"/>
  <c r="N730" i="1"/>
  <c r="A731" i="1"/>
  <c r="C731" i="1"/>
  <c r="N731" i="1"/>
  <c r="A732" i="1"/>
  <c r="C732" i="1"/>
  <c r="N732" i="1"/>
  <c r="A733" i="1"/>
  <c r="C733" i="1"/>
  <c r="N733" i="1"/>
  <c r="A734" i="1"/>
  <c r="C734" i="1"/>
  <c r="N734" i="1"/>
  <c r="A735" i="1"/>
  <c r="C735" i="1"/>
  <c r="N735" i="1"/>
  <c r="A736" i="1"/>
  <c r="C736" i="1"/>
  <c r="N736" i="1"/>
  <c r="A737" i="1"/>
  <c r="C737" i="1"/>
  <c r="N737" i="1"/>
  <c r="A738" i="1"/>
  <c r="C738" i="1"/>
  <c r="N738" i="1"/>
  <c r="A739" i="1"/>
  <c r="C739" i="1"/>
  <c r="N739" i="1"/>
  <c r="A740" i="1"/>
  <c r="C740" i="1"/>
  <c r="N740" i="1"/>
  <c r="A741" i="1"/>
  <c r="C741" i="1"/>
  <c r="N741" i="1"/>
  <c r="A742" i="1"/>
  <c r="C742" i="1"/>
  <c r="N742" i="1"/>
  <c r="A743" i="1"/>
  <c r="C743" i="1"/>
  <c r="N743" i="1"/>
  <c r="A744" i="1"/>
  <c r="C744" i="1"/>
  <c r="N744" i="1"/>
  <c r="A745" i="1"/>
  <c r="C745" i="1"/>
  <c r="N745" i="1"/>
  <c r="A746" i="1"/>
  <c r="C746" i="1"/>
  <c r="N746" i="1"/>
  <c r="A747" i="1"/>
  <c r="C747" i="1"/>
  <c r="N747" i="1"/>
  <c r="A748" i="1"/>
  <c r="C748" i="1"/>
  <c r="N748" i="1"/>
  <c r="A749" i="1"/>
  <c r="C749" i="1"/>
  <c r="N749" i="1"/>
  <c r="A750" i="1"/>
  <c r="C750" i="1"/>
  <c r="N750" i="1"/>
  <c r="A751" i="1"/>
  <c r="C751" i="1"/>
  <c r="N751" i="1"/>
  <c r="A752" i="1"/>
  <c r="C752" i="1"/>
  <c r="N752" i="1"/>
  <c r="A753" i="1"/>
  <c r="C753" i="1"/>
  <c r="N753" i="1"/>
  <c r="A754" i="1"/>
  <c r="C754" i="1"/>
  <c r="N754" i="1"/>
  <c r="A755" i="1"/>
  <c r="C755" i="1"/>
  <c r="N755" i="1"/>
  <c r="A756" i="1"/>
  <c r="C756" i="1"/>
  <c r="N756" i="1"/>
  <c r="A757" i="1"/>
  <c r="C757" i="1"/>
  <c r="N757" i="1"/>
  <c r="A758" i="1"/>
  <c r="C758" i="1"/>
  <c r="N758" i="1"/>
  <c r="A759" i="1"/>
  <c r="C759" i="1"/>
  <c r="N759" i="1"/>
  <c r="A760" i="1"/>
  <c r="C760" i="1"/>
  <c r="N760" i="1"/>
  <c r="A761" i="1"/>
  <c r="C761" i="1"/>
  <c r="N761" i="1"/>
  <c r="A762" i="1"/>
  <c r="C762" i="1"/>
  <c r="N762" i="1"/>
  <c r="A763" i="1"/>
  <c r="C763" i="1"/>
  <c r="N763" i="1"/>
  <c r="A764" i="1"/>
  <c r="C764" i="1"/>
  <c r="F764" i="1"/>
  <c r="N764" i="1"/>
  <c r="A765" i="1"/>
  <c r="C765" i="1"/>
  <c r="N765" i="1"/>
  <c r="A766" i="1"/>
  <c r="C766" i="1"/>
  <c r="N766" i="1"/>
  <c r="A767" i="1"/>
  <c r="C767" i="1"/>
  <c r="N767" i="1"/>
  <c r="A768" i="1"/>
  <c r="C768" i="1"/>
  <c r="N768" i="1"/>
  <c r="A769" i="1"/>
  <c r="C769" i="1"/>
  <c r="N769" i="1"/>
  <c r="A770" i="1"/>
  <c r="C770" i="1"/>
  <c r="N770" i="1"/>
  <c r="A771" i="1"/>
  <c r="C771" i="1"/>
  <c r="N771" i="1"/>
  <c r="A772" i="1"/>
  <c r="C772" i="1"/>
  <c r="N772" i="1"/>
  <c r="A773" i="1"/>
  <c r="C773" i="1"/>
  <c r="N773" i="1"/>
  <c r="A774" i="1"/>
  <c r="C774" i="1"/>
  <c r="N774" i="1"/>
  <c r="A775" i="1"/>
  <c r="C775" i="1"/>
  <c r="N775" i="1"/>
  <c r="A776" i="1"/>
  <c r="C776" i="1"/>
  <c r="N776" i="1"/>
  <c r="A777" i="1"/>
  <c r="C777" i="1"/>
  <c r="N777" i="1"/>
  <c r="A778" i="1"/>
  <c r="C778" i="1"/>
  <c r="N778" i="1"/>
  <c r="A779" i="1"/>
  <c r="C779" i="1"/>
  <c r="N779" i="1"/>
  <c r="A780" i="1"/>
  <c r="C780" i="1"/>
  <c r="N780" i="1"/>
  <c r="A781" i="1"/>
  <c r="C781" i="1"/>
  <c r="N781" i="1"/>
  <c r="A782" i="1"/>
  <c r="C782" i="1"/>
  <c r="N782" i="1"/>
  <c r="A783" i="1"/>
  <c r="C783" i="1"/>
  <c r="N783" i="1"/>
  <c r="A784" i="1"/>
  <c r="C784" i="1"/>
  <c r="N784" i="1"/>
  <c r="A785" i="1"/>
  <c r="C785" i="1"/>
  <c r="N785" i="1"/>
  <c r="A786" i="1"/>
  <c r="C786" i="1"/>
  <c r="N786" i="1"/>
  <c r="A787" i="1"/>
  <c r="C787" i="1"/>
  <c r="N787" i="1"/>
  <c r="A788" i="1"/>
  <c r="C788" i="1"/>
  <c r="N788" i="1"/>
  <c r="A789" i="1"/>
  <c r="C789" i="1"/>
  <c r="N789" i="1"/>
  <c r="A790" i="1"/>
  <c r="C790" i="1"/>
  <c r="N790" i="1"/>
  <c r="A791" i="1"/>
  <c r="C791" i="1"/>
  <c r="N791" i="1"/>
  <c r="A792" i="1"/>
  <c r="C792" i="1"/>
  <c r="N792" i="1"/>
  <c r="A793" i="1"/>
  <c r="C793" i="1"/>
  <c r="N793" i="1"/>
  <c r="A794" i="1"/>
  <c r="C794" i="1"/>
  <c r="N794" i="1"/>
  <c r="A795" i="1"/>
  <c r="C795" i="1"/>
  <c r="N795" i="1"/>
  <c r="A796" i="1"/>
  <c r="C796" i="1"/>
  <c r="N796" i="1"/>
  <c r="A797" i="1"/>
  <c r="C797" i="1"/>
  <c r="N797" i="1"/>
  <c r="A798" i="1"/>
  <c r="C798" i="1"/>
  <c r="N798" i="1"/>
  <c r="A799" i="1"/>
  <c r="C799" i="1"/>
  <c r="N799" i="1"/>
  <c r="A800" i="1"/>
  <c r="C800" i="1"/>
  <c r="N800" i="1"/>
  <c r="A801" i="1"/>
  <c r="C801" i="1"/>
  <c r="N801" i="1"/>
  <c r="A802" i="1"/>
  <c r="C802" i="1"/>
  <c r="N802" i="1"/>
  <c r="A803" i="1"/>
  <c r="C803" i="1"/>
  <c r="N803" i="1"/>
  <c r="A804" i="1"/>
  <c r="C804" i="1"/>
  <c r="N804" i="1"/>
  <c r="A805" i="1"/>
  <c r="C805" i="1"/>
  <c r="N805" i="1"/>
  <c r="A806" i="1"/>
  <c r="C806" i="1"/>
  <c r="N806" i="1"/>
  <c r="A807" i="1"/>
  <c r="C807" i="1"/>
  <c r="N807" i="1"/>
  <c r="A808" i="1"/>
  <c r="C808" i="1"/>
  <c r="N808" i="1"/>
  <c r="A809" i="1"/>
  <c r="C809" i="1"/>
  <c r="N809" i="1"/>
  <c r="A810" i="1"/>
  <c r="C810" i="1"/>
  <c r="N810" i="1"/>
  <c r="A811" i="1"/>
  <c r="C811" i="1"/>
  <c r="N811" i="1"/>
  <c r="A812" i="1"/>
  <c r="C812" i="1"/>
  <c r="N812" i="1"/>
  <c r="A813" i="1"/>
  <c r="C813" i="1"/>
  <c r="N813" i="1"/>
  <c r="A814" i="1"/>
  <c r="C814" i="1"/>
  <c r="N814" i="1"/>
  <c r="A815" i="1"/>
  <c r="C815" i="1"/>
  <c r="N815" i="1"/>
  <c r="A816" i="1"/>
  <c r="C816" i="1"/>
  <c r="N816" i="1"/>
  <c r="A817" i="1"/>
  <c r="C817" i="1"/>
  <c r="N817" i="1"/>
  <c r="A818" i="1"/>
  <c r="C818" i="1"/>
  <c r="N818" i="1"/>
  <c r="A819" i="1"/>
  <c r="C819" i="1"/>
  <c r="N819" i="1"/>
  <c r="A820" i="1"/>
  <c r="C820" i="1"/>
  <c r="N820" i="1"/>
  <c r="A821" i="1"/>
  <c r="C821" i="1"/>
  <c r="N821" i="1"/>
  <c r="A822" i="1"/>
  <c r="C822" i="1"/>
  <c r="N822" i="1"/>
  <c r="A823" i="1"/>
  <c r="C823" i="1"/>
  <c r="N823" i="1"/>
  <c r="A824" i="1"/>
  <c r="C824" i="1"/>
  <c r="N824" i="1"/>
  <c r="A825" i="1"/>
  <c r="C825" i="1"/>
  <c r="N825" i="1"/>
  <c r="A826" i="1"/>
  <c r="C826" i="1"/>
  <c r="N826" i="1"/>
  <c r="A827" i="1"/>
  <c r="C827" i="1"/>
  <c r="N827" i="1"/>
  <c r="A828" i="1"/>
  <c r="C828" i="1"/>
  <c r="N828" i="1"/>
  <c r="A829" i="1"/>
  <c r="C829" i="1"/>
  <c r="N829" i="1"/>
  <c r="A830" i="1"/>
  <c r="C830" i="1"/>
  <c r="N830" i="1"/>
  <c r="A831" i="1"/>
  <c r="C831" i="1"/>
  <c r="N831" i="1"/>
  <c r="A832" i="1"/>
  <c r="C832" i="1"/>
  <c r="N832" i="1"/>
  <c r="A833" i="1"/>
  <c r="C833" i="1"/>
  <c r="N833" i="1"/>
  <c r="A834" i="1"/>
  <c r="C834" i="1"/>
  <c r="N834" i="1"/>
  <c r="A835" i="1"/>
  <c r="C835" i="1"/>
  <c r="N835" i="1"/>
  <c r="A836" i="1"/>
  <c r="C836" i="1"/>
  <c r="N836" i="1"/>
  <c r="A837" i="1"/>
  <c r="C837" i="1"/>
  <c r="N837" i="1"/>
  <c r="A838" i="1"/>
  <c r="C838" i="1"/>
  <c r="N838" i="1"/>
  <c r="A839" i="1"/>
  <c r="C839" i="1"/>
  <c r="N839" i="1"/>
  <c r="A840" i="1"/>
  <c r="C840" i="1"/>
  <c r="N840" i="1"/>
  <c r="A841" i="1"/>
  <c r="C841" i="1"/>
  <c r="N841" i="1"/>
  <c r="A842" i="1"/>
  <c r="C842" i="1"/>
  <c r="N842" i="1"/>
  <c r="A843" i="1"/>
  <c r="C843" i="1"/>
  <c r="N843" i="1"/>
  <c r="A844" i="1"/>
  <c r="C844" i="1"/>
  <c r="N844" i="1"/>
  <c r="A845" i="1"/>
  <c r="C845" i="1"/>
  <c r="N845" i="1"/>
  <c r="A846" i="1"/>
  <c r="C846" i="1"/>
  <c r="N846" i="1"/>
  <c r="A847" i="1"/>
  <c r="C847" i="1"/>
  <c r="N847" i="1"/>
  <c r="A848" i="1"/>
  <c r="C848" i="1"/>
  <c r="N848" i="1"/>
  <c r="A849" i="1"/>
  <c r="C849" i="1"/>
  <c r="N849" i="1"/>
  <c r="A850" i="1"/>
  <c r="C850" i="1"/>
  <c r="F850" i="1"/>
  <c r="N850" i="1"/>
  <c r="A851" i="1"/>
  <c r="C851" i="1"/>
  <c r="N851" i="1"/>
  <c r="A852" i="1"/>
  <c r="C852" i="1"/>
  <c r="N852" i="1"/>
  <c r="A853" i="1"/>
  <c r="C853" i="1"/>
  <c r="N853" i="1"/>
  <c r="A854" i="1"/>
  <c r="C854" i="1"/>
  <c r="N854" i="1"/>
  <c r="A855" i="1"/>
  <c r="C855" i="1"/>
  <c r="N855" i="1"/>
  <c r="A856" i="1"/>
  <c r="C856" i="1"/>
  <c r="N856" i="1"/>
  <c r="A857" i="1"/>
  <c r="C857" i="1"/>
  <c r="N857" i="1"/>
  <c r="A858" i="1"/>
  <c r="C858" i="1"/>
  <c r="N858" i="1"/>
  <c r="A859" i="1"/>
  <c r="C859" i="1"/>
  <c r="N859" i="1"/>
  <c r="A860" i="1"/>
  <c r="C860" i="1"/>
  <c r="N860" i="1"/>
  <c r="A861" i="1"/>
  <c r="C861" i="1"/>
  <c r="N861" i="1"/>
  <c r="A862" i="1"/>
  <c r="C862" i="1"/>
  <c r="N862" i="1"/>
  <c r="A863" i="1"/>
  <c r="C863" i="1"/>
  <c r="N863" i="1"/>
  <c r="A864" i="1"/>
  <c r="C864" i="1"/>
  <c r="N864" i="1"/>
  <c r="A865" i="1"/>
  <c r="C865" i="1"/>
  <c r="N865" i="1"/>
  <c r="A866" i="1"/>
  <c r="C866" i="1"/>
  <c r="N866" i="1"/>
  <c r="A867" i="1"/>
  <c r="C867" i="1"/>
  <c r="N867" i="1"/>
  <c r="A868" i="1"/>
  <c r="C868" i="1"/>
  <c r="N868" i="1"/>
  <c r="A869" i="1"/>
  <c r="C869" i="1"/>
  <c r="N869" i="1"/>
  <c r="A870" i="1"/>
  <c r="C870" i="1"/>
  <c r="N870" i="1"/>
  <c r="A871" i="1"/>
  <c r="C871" i="1"/>
  <c r="N871" i="1"/>
  <c r="A872" i="1"/>
  <c r="C872" i="1"/>
  <c r="F872" i="1"/>
  <c r="N872" i="1"/>
  <c r="A873" i="1"/>
  <c r="C873" i="1"/>
  <c r="N873" i="1"/>
  <c r="A874" i="1"/>
  <c r="C874" i="1"/>
  <c r="N874" i="1"/>
  <c r="A875" i="1"/>
  <c r="C875" i="1"/>
  <c r="N875" i="1"/>
  <c r="A876" i="1"/>
  <c r="C876" i="1"/>
  <c r="N876" i="1"/>
  <c r="A877" i="1"/>
  <c r="C877" i="1"/>
  <c r="N877" i="1"/>
  <c r="A878" i="1"/>
  <c r="C878" i="1"/>
  <c r="N878" i="1"/>
  <c r="A879" i="1"/>
  <c r="C879" i="1"/>
  <c r="N879" i="1"/>
  <c r="A880" i="1"/>
  <c r="C880" i="1"/>
  <c r="N880" i="1"/>
  <c r="A881" i="1"/>
  <c r="C881" i="1"/>
  <c r="N881" i="1"/>
  <c r="A882" i="1"/>
  <c r="C882" i="1"/>
  <c r="N882" i="1"/>
  <c r="A883" i="1"/>
  <c r="C883" i="1"/>
  <c r="N883" i="1"/>
  <c r="A884" i="1"/>
  <c r="C884" i="1"/>
  <c r="N884" i="1"/>
  <c r="A885" i="1"/>
  <c r="C885" i="1"/>
  <c r="N885" i="1"/>
  <c r="A886" i="1"/>
  <c r="C886" i="1"/>
  <c r="N886" i="1"/>
  <c r="A887" i="1"/>
  <c r="C887" i="1"/>
  <c r="N887" i="1"/>
  <c r="A888" i="1"/>
  <c r="C888" i="1"/>
  <c r="N888" i="1"/>
  <c r="A889" i="1"/>
  <c r="C889" i="1"/>
  <c r="N889" i="1"/>
  <c r="A890" i="1"/>
  <c r="C890" i="1"/>
  <c r="N890" i="1"/>
  <c r="A891" i="1"/>
  <c r="C891" i="1"/>
  <c r="N891" i="1"/>
  <c r="A892" i="1"/>
  <c r="C892" i="1"/>
  <c r="N892" i="1"/>
  <c r="A893" i="1"/>
  <c r="C893" i="1"/>
  <c r="N893" i="1"/>
  <c r="A894" i="1"/>
  <c r="C894" i="1"/>
  <c r="N894" i="1"/>
  <c r="A895" i="1"/>
  <c r="C895" i="1"/>
  <c r="N895" i="1"/>
  <c r="A896" i="1"/>
  <c r="C896" i="1"/>
  <c r="N896" i="1"/>
  <c r="A897" i="1"/>
  <c r="C897" i="1"/>
  <c r="N897" i="1"/>
  <c r="A898" i="1"/>
  <c r="C898" i="1"/>
  <c r="N898" i="1"/>
  <c r="A899" i="1"/>
  <c r="C899" i="1"/>
  <c r="N899" i="1"/>
  <c r="A900" i="1"/>
  <c r="C900" i="1"/>
  <c r="N900" i="1"/>
  <c r="A901" i="1"/>
  <c r="C901" i="1"/>
  <c r="N901" i="1"/>
  <c r="A902" i="1"/>
  <c r="C902" i="1"/>
  <c r="N902" i="1"/>
  <c r="A903" i="1"/>
  <c r="C903" i="1"/>
  <c r="N903" i="1"/>
  <c r="A904" i="1"/>
  <c r="C904" i="1"/>
  <c r="N904" i="1"/>
  <c r="A905" i="1"/>
  <c r="C905" i="1"/>
  <c r="N905" i="1"/>
  <c r="A906" i="1"/>
  <c r="C906" i="1"/>
  <c r="N906" i="1"/>
  <c r="A907" i="1"/>
  <c r="C907" i="1"/>
  <c r="N907" i="1"/>
  <c r="A908" i="1"/>
  <c r="C908" i="1"/>
  <c r="N908" i="1"/>
  <c r="A909" i="1"/>
  <c r="C909" i="1"/>
  <c r="N909" i="1"/>
  <c r="A910" i="1"/>
  <c r="C910" i="1"/>
  <c r="N910" i="1"/>
  <c r="A911" i="1"/>
  <c r="C911" i="1"/>
  <c r="N911" i="1"/>
  <c r="A912" i="1"/>
  <c r="C912" i="1"/>
  <c r="N912" i="1"/>
  <c r="A913" i="1"/>
  <c r="C913" i="1"/>
  <c r="N913" i="1"/>
  <c r="A914" i="1"/>
  <c r="C914" i="1"/>
  <c r="N914" i="1"/>
  <c r="A915" i="1"/>
  <c r="C915" i="1"/>
  <c r="N915" i="1"/>
  <c r="A916" i="1"/>
  <c r="C916" i="1"/>
  <c r="N916" i="1"/>
  <c r="A917" i="1"/>
  <c r="C917" i="1"/>
  <c r="N917" i="1"/>
  <c r="A918" i="1"/>
  <c r="C918" i="1"/>
  <c r="N918" i="1"/>
  <c r="A919" i="1"/>
  <c r="C919" i="1"/>
  <c r="N919" i="1"/>
  <c r="A920" i="1"/>
  <c r="C920" i="1"/>
  <c r="N920" i="1"/>
  <c r="A921" i="1"/>
  <c r="C921" i="1"/>
  <c r="N921" i="1"/>
  <c r="A922" i="1"/>
  <c r="C922" i="1"/>
  <c r="N922" i="1"/>
  <c r="A923" i="1"/>
  <c r="C923" i="1"/>
  <c r="N923" i="1"/>
  <c r="A924" i="1"/>
  <c r="C924" i="1"/>
  <c r="N924" i="1"/>
  <c r="A925" i="1"/>
  <c r="C925" i="1"/>
  <c r="N925" i="1"/>
  <c r="A926" i="1"/>
  <c r="C926" i="1"/>
  <c r="N926" i="1"/>
  <c r="A927" i="1"/>
  <c r="C927" i="1"/>
  <c r="N927" i="1"/>
  <c r="A928" i="1"/>
  <c r="C928" i="1"/>
  <c r="N928" i="1"/>
  <c r="A929" i="1"/>
  <c r="C929" i="1"/>
  <c r="N929" i="1"/>
  <c r="A930" i="1"/>
  <c r="C930" i="1"/>
  <c r="N930" i="1"/>
  <c r="A931" i="1"/>
  <c r="C931" i="1"/>
  <c r="N931" i="1"/>
  <c r="A932" i="1"/>
  <c r="C932" i="1"/>
  <c r="N932" i="1"/>
  <c r="A933" i="1"/>
  <c r="C933" i="1"/>
  <c r="N933" i="1"/>
  <c r="A934" i="1"/>
  <c r="C934" i="1"/>
  <c r="N934" i="1"/>
  <c r="A935" i="1"/>
  <c r="C935" i="1"/>
  <c r="N935" i="1"/>
  <c r="A936" i="1"/>
  <c r="C936" i="1"/>
  <c r="N936" i="1"/>
  <c r="A937" i="1"/>
  <c r="C937" i="1"/>
  <c r="N937" i="1"/>
  <c r="A938" i="1"/>
  <c r="C938" i="1"/>
  <c r="N938" i="1"/>
  <c r="A939" i="1"/>
  <c r="C939" i="1"/>
  <c r="N939" i="1"/>
  <c r="A940" i="1"/>
  <c r="C940" i="1"/>
  <c r="N940" i="1"/>
  <c r="A941" i="1"/>
  <c r="C941" i="1"/>
  <c r="N941" i="1"/>
  <c r="A942" i="1"/>
  <c r="C942" i="1"/>
  <c r="N942" i="1"/>
  <c r="A943" i="1"/>
  <c r="C943" i="1"/>
  <c r="N943" i="1"/>
  <c r="A944" i="1"/>
  <c r="C944" i="1"/>
  <c r="N944" i="1"/>
  <c r="A945" i="1"/>
  <c r="C945" i="1"/>
  <c r="N945" i="1"/>
  <c r="A946" i="1"/>
  <c r="C946" i="1"/>
  <c r="N946" i="1"/>
  <c r="A947" i="1"/>
  <c r="C947" i="1"/>
  <c r="N947" i="1"/>
  <c r="A948" i="1"/>
  <c r="C948" i="1"/>
  <c r="N948" i="1"/>
  <c r="A949" i="1"/>
  <c r="C949" i="1"/>
  <c r="N949" i="1"/>
  <c r="A950" i="1"/>
  <c r="C950" i="1"/>
  <c r="N950" i="1"/>
  <c r="A951" i="1"/>
  <c r="C951" i="1"/>
  <c r="N951" i="1"/>
  <c r="A952" i="1"/>
  <c r="C952" i="1"/>
  <c r="N952" i="1"/>
  <c r="A953" i="1"/>
  <c r="C953" i="1"/>
  <c r="N953" i="1"/>
  <c r="A954" i="1"/>
  <c r="C954" i="1"/>
  <c r="N954" i="1"/>
  <c r="A955" i="1"/>
  <c r="C955" i="1"/>
  <c r="N955" i="1"/>
  <c r="A956" i="1"/>
  <c r="C956" i="1"/>
  <c r="N956" i="1"/>
  <c r="A957" i="1"/>
  <c r="C957" i="1"/>
  <c r="N957" i="1"/>
  <c r="A958" i="1"/>
  <c r="C958" i="1"/>
  <c r="N958" i="1"/>
  <c r="A959" i="1"/>
  <c r="C959" i="1"/>
  <c r="N959" i="1"/>
  <c r="A960" i="1"/>
  <c r="C960" i="1"/>
  <c r="N960" i="1"/>
  <c r="A961" i="1"/>
  <c r="C961" i="1"/>
  <c r="N961" i="1"/>
  <c r="A962" i="1"/>
  <c r="C962" i="1"/>
  <c r="N962" i="1"/>
  <c r="A963" i="1"/>
  <c r="C963" i="1"/>
  <c r="N963" i="1"/>
  <c r="A964" i="1"/>
  <c r="C964" i="1"/>
  <c r="N964" i="1"/>
  <c r="A965" i="1"/>
  <c r="C965" i="1"/>
  <c r="N965" i="1"/>
  <c r="A966" i="1"/>
  <c r="C966" i="1"/>
  <c r="N966" i="1"/>
  <c r="A967" i="1"/>
  <c r="C967" i="1"/>
  <c r="N967" i="1"/>
  <c r="A968" i="1"/>
  <c r="C968" i="1"/>
  <c r="N968" i="1"/>
  <c r="A969" i="1"/>
  <c r="C969" i="1"/>
  <c r="N969" i="1"/>
  <c r="A970" i="1"/>
  <c r="C970" i="1"/>
  <c r="N970" i="1"/>
  <c r="A971" i="1"/>
  <c r="C971" i="1"/>
  <c r="N971" i="1"/>
  <c r="A972" i="1"/>
  <c r="C972" i="1"/>
  <c r="N972" i="1"/>
  <c r="A973" i="1"/>
  <c r="C973" i="1"/>
  <c r="N973" i="1"/>
  <c r="A974" i="1"/>
  <c r="C974" i="1"/>
  <c r="N974" i="1"/>
  <c r="A975" i="1"/>
  <c r="C975" i="1"/>
  <c r="N975" i="1"/>
  <c r="A976" i="1"/>
  <c r="C976" i="1"/>
  <c r="N976" i="1"/>
  <c r="A977" i="1"/>
  <c r="C977" i="1"/>
  <c r="N977" i="1"/>
  <c r="A978" i="1"/>
  <c r="C978" i="1"/>
  <c r="F978" i="1"/>
  <c r="N978" i="1"/>
  <c r="A979" i="1"/>
  <c r="C979" i="1"/>
  <c r="N979" i="1"/>
  <c r="A980" i="1"/>
  <c r="C980" i="1"/>
  <c r="N980" i="1"/>
  <c r="A981" i="1"/>
  <c r="C981" i="1"/>
  <c r="N981" i="1"/>
  <c r="A982" i="1"/>
  <c r="C982" i="1"/>
  <c r="N982" i="1"/>
  <c r="A983" i="1"/>
  <c r="C983" i="1"/>
  <c r="N983" i="1"/>
  <c r="A984" i="1"/>
  <c r="C984" i="1"/>
  <c r="N984" i="1"/>
  <c r="A985" i="1"/>
  <c r="C985" i="1"/>
  <c r="N985" i="1"/>
  <c r="A986" i="1"/>
  <c r="C986" i="1"/>
  <c r="F986" i="1"/>
  <c r="N986" i="1"/>
  <c r="A987" i="1"/>
  <c r="C987" i="1"/>
  <c r="N987" i="1"/>
  <c r="A988" i="1"/>
  <c r="C988" i="1"/>
  <c r="N988" i="1"/>
  <c r="A989" i="1"/>
  <c r="C989" i="1"/>
  <c r="N989" i="1"/>
  <c r="A990" i="1"/>
  <c r="C990" i="1"/>
  <c r="N990" i="1"/>
  <c r="A991" i="1"/>
  <c r="C991" i="1"/>
  <c r="N991" i="1"/>
  <c r="A992" i="1"/>
  <c r="C992" i="1"/>
  <c r="N992" i="1"/>
  <c r="A993" i="1"/>
  <c r="C993" i="1"/>
  <c r="N993" i="1"/>
  <c r="A994" i="1"/>
  <c r="C994" i="1"/>
  <c r="N994" i="1"/>
  <c r="A995" i="1"/>
  <c r="C995" i="1"/>
  <c r="N995" i="1"/>
  <c r="A996" i="1"/>
  <c r="C996" i="1"/>
  <c r="N996" i="1"/>
  <c r="A997" i="1"/>
  <c r="C997" i="1"/>
  <c r="N997" i="1"/>
  <c r="A998" i="1"/>
  <c r="C998" i="1"/>
  <c r="N998" i="1"/>
  <c r="A999" i="1"/>
  <c r="C999" i="1"/>
  <c r="N999" i="1"/>
  <c r="A1000" i="1"/>
  <c r="C1000" i="1"/>
  <c r="N1000" i="1"/>
  <c r="A1001" i="1"/>
  <c r="C1001" i="1"/>
  <c r="N1001" i="1"/>
  <c r="A1002" i="1"/>
  <c r="C1002" i="1"/>
  <c r="N1002" i="1"/>
  <c r="A1003" i="1"/>
  <c r="C1003" i="1"/>
  <c r="N1003" i="1"/>
  <c r="A1004" i="1"/>
  <c r="C1004" i="1"/>
  <c r="N1004" i="1"/>
  <c r="A1005" i="1"/>
  <c r="C1005" i="1"/>
  <c r="N1005" i="1"/>
  <c r="A1006" i="1"/>
  <c r="C1006" i="1"/>
  <c r="N1006" i="1"/>
  <c r="A1007" i="1"/>
  <c r="C1007" i="1"/>
  <c r="N1007" i="1"/>
  <c r="A1008" i="1"/>
  <c r="C1008" i="1"/>
  <c r="N1008" i="1"/>
  <c r="A1009" i="1"/>
  <c r="C1009" i="1"/>
  <c r="N1009" i="1"/>
  <c r="A1010" i="1"/>
  <c r="C1010" i="1"/>
  <c r="N1010" i="1"/>
  <c r="A1011" i="1"/>
  <c r="C1011" i="1"/>
  <c r="N1011" i="1"/>
  <c r="A1012" i="1"/>
  <c r="C1012" i="1"/>
  <c r="N1012" i="1"/>
  <c r="A1013" i="1"/>
  <c r="C1013" i="1"/>
  <c r="N1013" i="1"/>
  <c r="A1014" i="1"/>
  <c r="C1014" i="1"/>
  <c r="N1014" i="1"/>
  <c r="A1015" i="1"/>
  <c r="C1015" i="1"/>
  <c r="N1015" i="1"/>
  <c r="A1016" i="1"/>
  <c r="C1016" i="1"/>
  <c r="N1016" i="1"/>
  <c r="A1017" i="1"/>
  <c r="C1017" i="1"/>
  <c r="N1017" i="1"/>
  <c r="A1018" i="1"/>
  <c r="C1018" i="1"/>
  <c r="N1018" i="1"/>
  <c r="A1019" i="1"/>
  <c r="C1019" i="1"/>
  <c r="N1019" i="1"/>
  <c r="A1020" i="1"/>
  <c r="C1020" i="1"/>
  <c r="N1020" i="1"/>
  <c r="A1021" i="1"/>
  <c r="C1021" i="1"/>
  <c r="N1021" i="1"/>
  <c r="A1022" i="1"/>
  <c r="C1022" i="1"/>
  <c r="N1022" i="1"/>
  <c r="A1023" i="1"/>
  <c r="C1023" i="1"/>
  <c r="N1023" i="1"/>
  <c r="A1024" i="1"/>
  <c r="C1024" i="1"/>
  <c r="N1024" i="1"/>
  <c r="A1025" i="1"/>
  <c r="C1025" i="1"/>
  <c r="N1025" i="1"/>
  <c r="A1026" i="1"/>
  <c r="C1026" i="1"/>
  <c r="N1026" i="1"/>
  <c r="A1027" i="1"/>
  <c r="C1027" i="1"/>
  <c r="N1027" i="1"/>
  <c r="A1028" i="1"/>
  <c r="C1028" i="1"/>
  <c r="N1028" i="1"/>
  <c r="A1029" i="1"/>
  <c r="C1029" i="1"/>
  <c r="N1029" i="1"/>
  <c r="A1030" i="1"/>
  <c r="C1030" i="1"/>
  <c r="N1030" i="1"/>
  <c r="A1031" i="1"/>
  <c r="C1031" i="1"/>
  <c r="N1031" i="1"/>
  <c r="A1032" i="1"/>
  <c r="C1032" i="1"/>
  <c r="N1032" i="1"/>
  <c r="A1033" i="1"/>
  <c r="C1033" i="1"/>
  <c r="N1033" i="1"/>
  <c r="A1034" i="1"/>
  <c r="C1034" i="1"/>
  <c r="N1034" i="1"/>
  <c r="A1035" i="1"/>
  <c r="C1035" i="1"/>
  <c r="N1035" i="1"/>
  <c r="A1036" i="1"/>
  <c r="C1036" i="1"/>
  <c r="N1036" i="1"/>
  <c r="A1037" i="1"/>
  <c r="C1037" i="1"/>
  <c r="N1037" i="1"/>
  <c r="A1038" i="1"/>
  <c r="C1038" i="1"/>
  <c r="N1038" i="1"/>
  <c r="A1039" i="1"/>
  <c r="C1039" i="1"/>
  <c r="N1039" i="1"/>
  <c r="A1040" i="1"/>
  <c r="C1040" i="1"/>
  <c r="N1040" i="1"/>
  <c r="A1041" i="1"/>
  <c r="C1041" i="1"/>
  <c r="N1041" i="1"/>
  <c r="A1042" i="1"/>
  <c r="C1042" i="1"/>
  <c r="F1042" i="1"/>
  <c r="N1042" i="1"/>
  <c r="A1043" i="1"/>
  <c r="C1043" i="1"/>
  <c r="N1043" i="1"/>
  <c r="A1044" i="1"/>
  <c r="C1044" i="1"/>
  <c r="N1044" i="1"/>
  <c r="A1045" i="1"/>
  <c r="C1045" i="1"/>
  <c r="N1045" i="1"/>
  <c r="A1046" i="1"/>
  <c r="C1046" i="1"/>
  <c r="N1046" i="1"/>
  <c r="A1047" i="1"/>
  <c r="C1047" i="1"/>
  <c r="N1047" i="1"/>
  <c r="A1048" i="1"/>
  <c r="C1048" i="1"/>
  <c r="N1048" i="1"/>
  <c r="A1049" i="1"/>
  <c r="C1049" i="1"/>
  <c r="N1049" i="1"/>
  <c r="A1050" i="1"/>
  <c r="C1050" i="1"/>
  <c r="N1050" i="1"/>
  <c r="A1051" i="1"/>
  <c r="C1051" i="1"/>
  <c r="N1051" i="1"/>
  <c r="A1052" i="1"/>
  <c r="C1052" i="1"/>
  <c r="N1052" i="1"/>
  <c r="A1053" i="1"/>
  <c r="C1053" i="1"/>
  <c r="N1053" i="1"/>
  <c r="A1054" i="1"/>
  <c r="C1054" i="1"/>
  <c r="N1054" i="1"/>
  <c r="A1055" i="1"/>
  <c r="C1055" i="1"/>
  <c r="N1055" i="1"/>
  <c r="A1056" i="1"/>
  <c r="C1056" i="1"/>
  <c r="N1056" i="1"/>
  <c r="A1057" i="1"/>
  <c r="C1057" i="1"/>
  <c r="N1057" i="1"/>
  <c r="A1058" i="1"/>
  <c r="C1058" i="1"/>
  <c r="N1058" i="1"/>
  <c r="A1059" i="1"/>
  <c r="C1059" i="1"/>
  <c r="N1059" i="1"/>
  <c r="A1060" i="1"/>
  <c r="C1060" i="1"/>
  <c r="N1060" i="1"/>
  <c r="A1061" i="1"/>
  <c r="C1061" i="1"/>
  <c r="N1061" i="1"/>
  <c r="A1062" i="1"/>
  <c r="C1062" i="1"/>
  <c r="N1062" i="1"/>
  <c r="A1063" i="1"/>
  <c r="C1063" i="1"/>
  <c r="N1063" i="1"/>
  <c r="A1064" i="1"/>
  <c r="C1064" i="1"/>
  <c r="N1064" i="1"/>
  <c r="A1065" i="1"/>
  <c r="C1065" i="1"/>
  <c r="N1065" i="1"/>
  <c r="A1066" i="1"/>
  <c r="C1066" i="1"/>
  <c r="N1066" i="1"/>
  <c r="A1067" i="1"/>
  <c r="C1067" i="1"/>
  <c r="N1067" i="1"/>
  <c r="A1068" i="1"/>
  <c r="C1068" i="1"/>
  <c r="F1068" i="1"/>
  <c r="N1068" i="1"/>
  <c r="A1069" i="1"/>
  <c r="C1069" i="1"/>
  <c r="N1069" i="1"/>
  <c r="A1070" i="1"/>
  <c r="C1070" i="1"/>
  <c r="N1070" i="1"/>
  <c r="A1071" i="1"/>
  <c r="C1071" i="1"/>
  <c r="N1071" i="1"/>
  <c r="A1072" i="1"/>
  <c r="C1072" i="1"/>
  <c r="N1072" i="1"/>
  <c r="A1073" i="1"/>
  <c r="C1073" i="1"/>
  <c r="N1073" i="1"/>
  <c r="A1074" i="1"/>
  <c r="C1074" i="1"/>
  <c r="N1074" i="1"/>
  <c r="A1075" i="1"/>
  <c r="C1075" i="1"/>
  <c r="N1075" i="1"/>
  <c r="A1076" i="1"/>
  <c r="C1076" i="1"/>
  <c r="N1076" i="1"/>
  <c r="A1077" i="1"/>
  <c r="C1077" i="1"/>
  <c r="N1077" i="1"/>
  <c r="A1078" i="1"/>
  <c r="C1078" i="1"/>
  <c r="N1078" i="1"/>
  <c r="A1079" i="1"/>
  <c r="C1079" i="1"/>
  <c r="N1079" i="1"/>
  <c r="A1080" i="1"/>
  <c r="C1080" i="1"/>
  <c r="N1080" i="1"/>
  <c r="A1081" i="1"/>
  <c r="C1081" i="1"/>
  <c r="N1081" i="1"/>
  <c r="A1082" i="1"/>
  <c r="C1082" i="1"/>
  <c r="N1082" i="1"/>
  <c r="A1083" i="1"/>
  <c r="C1083" i="1"/>
  <c r="N1083" i="1"/>
  <c r="A1084" i="1"/>
  <c r="C1084" i="1"/>
  <c r="N1084" i="1"/>
  <c r="A1085" i="1"/>
  <c r="C1085" i="1"/>
  <c r="N1085" i="1"/>
  <c r="A1086" i="1"/>
  <c r="C1086" i="1"/>
  <c r="N1086" i="1"/>
  <c r="A1087" i="1"/>
  <c r="C1087" i="1"/>
  <c r="N1087" i="1"/>
  <c r="A1088" i="1"/>
  <c r="C1088" i="1"/>
  <c r="N1088" i="1"/>
  <c r="A1089" i="1"/>
  <c r="C1089" i="1"/>
  <c r="F1089" i="1"/>
  <c r="N1089" i="1"/>
  <c r="A1090" i="1"/>
  <c r="C1090" i="1"/>
  <c r="N1090" i="1"/>
  <c r="A1091" i="1"/>
  <c r="C1091" i="1"/>
  <c r="N1091" i="1"/>
  <c r="A1092" i="1"/>
  <c r="C1092" i="1"/>
  <c r="N1092" i="1"/>
  <c r="A1093" i="1"/>
  <c r="C1093" i="1"/>
  <c r="N1093" i="1"/>
  <c r="A1094" i="1"/>
  <c r="C1094" i="1"/>
  <c r="N1094" i="1"/>
  <c r="A1095" i="1"/>
  <c r="C1095" i="1"/>
  <c r="N1095" i="1"/>
  <c r="A1096" i="1"/>
  <c r="C1096" i="1"/>
  <c r="N1096" i="1"/>
  <c r="A1097" i="1"/>
  <c r="C1097" i="1"/>
  <c r="N1097" i="1"/>
  <c r="A1098" i="1"/>
  <c r="C1098" i="1"/>
  <c r="N1098" i="1"/>
  <c r="A1099" i="1"/>
  <c r="C1099" i="1"/>
  <c r="N1099" i="1"/>
  <c r="A1100" i="1"/>
  <c r="C1100" i="1"/>
  <c r="N1100" i="1"/>
  <c r="A1101" i="1"/>
  <c r="C1101" i="1"/>
  <c r="N1101" i="1"/>
  <c r="A1102" i="1"/>
  <c r="C1102" i="1"/>
  <c r="N1102" i="1"/>
  <c r="A1103" i="1"/>
  <c r="C1103" i="1"/>
  <c r="N1103" i="1"/>
  <c r="A1104" i="1"/>
  <c r="C1104" i="1"/>
  <c r="N1104" i="1"/>
  <c r="A1105" i="1"/>
  <c r="C1105" i="1"/>
  <c r="N1105" i="1"/>
  <c r="A1106" i="1"/>
  <c r="C1106" i="1"/>
  <c r="N1106" i="1"/>
  <c r="A1107" i="1"/>
  <c r="C1107" i="1"/>
  <c r="N1107" i="1"/>
  <c r="A1108" i="1"/>
  <c r="C1108" i="1"/>
  <c r="N1108" i="1"/>
  <c r="A1109" i="1"/>
  <c r="C1109" i="1"/>
  <c r="N1109" i="1"/>
  <c r="A1110" i="1"/>
  <c r="C1110" i="1"/>
  <c r="N1110" i="1"/>
  <c r="A1111" i="1"/>
  <c r="C1111" i="1"/>
  <c r="N1111" i="1"/>
  <c r="A1112" i="1"/>
  <c r="C1112" i="1"/>
  <c r="N1112" i="1"/>
  <c r="A1113" i="1"/>
  <c r="C1113" i="1"/>
  <c r="N1113" i="1"/>
  <c r="A1114" i="1"/>
  <c r="C1114" i="1"/>
  <c r="N1114" i="1"/>
  <c r="A1115" i="1"/>
  <c r="C1115" i="1"/>
  <c r="N1115" i="1"/>
  <c r="A1116" i="1"/>
  <c r="C1116" i="1"/>
  <c r="N1116" i="1"/>
  <c r="A1117" i="1"/>
  <c r="C1117" i="1"/>
  <c r="N1117" i="1"/>
  <c r="A1118" i="1"/>
  <c r="C1118" i="1"/>
  <c r="N1118" i="1"/>
  <c r="A1119" i="1"/>
  <c r="C1119" i="1"/>
  <c r="N1119" i="1"/>
  <c r="A1120" i="1"/>
  <c r="C1120" i="1"/>
  <c r="N1120" i="1"/>
  <c r="A1121" i="1"/>
  <c r="C1121" i="1"/>
  <c r="N1121" i="1"/>
  <c r="A1122" i="1"/>
  <c r="C1122" i="1"/>
  <c r="N1122" i="1"/>
  <c r="A1123" i="1"/>
  <c r="C1123" i="1"/>
  <c r="N1123" i="1"/>
  <c r="A1124" i="1"/>
  <c r="C1124" i="1"/>
  <c r="N1124" i="1"/>
  <c r="A1125" i="1"/>
  <c r="C1125" i="1"/>
  <c r="N1125" i="1"/>
  <c r="A1126" i="1"/>
  <c r="C1126" i="1"/>
  <c r="N1126" i="1"/>
  <c r="A1127" i="1"/>
  <c r="C1127" i="1"/>
  <c r="N1127" i="1"/>
  <c r="A1128" i="1"/>
  <c r="C1128" i="1"/>
  <c r="N1128" i="1"/>
  <c r="A1129" i="1"/>
  <c r="C1129" i="1"/>
  <c r="N1129" i="1"/>
  <c r="A1130" i="1"/>
  <c r="C1130" i="1"/>
  <c r="N1130" i="1"/>
  <c r="A1131" i="1"/>
  <c r="C1131" i="1"/>
  <c r="N1131" i="1"/>
  <c r="A1132" i="1"/>
  <c r="C1132" i="1"/>
  <c r="N1132" i="1"/>
  <c r="A1133" i="1"/>
  <c r="C1133" i="1"/>
  <c r="N1133" i="1"/>
  <c r="A1134" i="1"/>
  <c r="C1134" i="1"/>
  <c r="N1134" i="1"/>
  <c r="A1135" i="1"/>
  <c r="C1135" i="1"/>
  <c r="N1135" i="1"/>
  <c r="A1136" i="1"/>
  <c r="C1136" i="1"/>
  <c r="N1136" i="1"/>
  <c r="A1137" i="1"/>
  <c r="C1137" i="1"/>
  <c r="N1137" i="1"/>
  <c r="A1138" i="1"/>
  <c r="C1138" i="1"/>
  <c r="N1138" i="1"/>
  <c r="A1139" i="1"/>
  <c r="C1139" i="1"/>
  <c r="N1139" i="1"/>
  <c r="A1140" i="1"/>
  <c r="C1140" i="1"/>
  <c r="N1140" i="1"/>
  <c r="A1141" i="1"/>
  <c r="C1141" i="1"/>
  <c r="N1141" i="1"/>
  <c r="A1142" i="1"/>
  <c r="C1142" i="1"/>
  <c r="N1142" i="1"/>
  <c r="A1143" i="1"/>
  <c r="C1143" i="1"/>
  <c r="N1143" i="1"/>
  <c r="A1144" i="1"/>
  <c r="C1144" i="1"/>
  <c r="N1144" i="1"/>
  <c r="A1145" i="1"/>
  <c r="C1145" i="1"/>
  <c r="N1145" i="1"/>
  <c r="A1146" i="1"/>
  <c r="C1146" i="1"/>
  <c r="N1146" i="1"/>
  <c r="A1147" i="1"/>
  <c r="C1147" i="1"/>
  <c r="N1147" i="1"/>
  <c r="A1148" i="1"/>
  <c r="C1148" i="1"/>
  <c r="N1148" i="1"/>
  <c r="A1149" i="1"/>
  <c r="C1149" i="1"/>
  <c r="N1149" i="1"/>
  <c r="A1150" i="1"/>
  <c r="C1150" i="1"/>
  <c r="N1150" i="1"/>
  <c r="A1151" i="1"/>
  <c r="C1151" i="1"/>
  <c r="N1151" i="1"/>
  <c r="A1152" i="1"/>
  <c r="C1152" i="1"/>
  <c r="N1152" i="1"/>
  <c r="A1153" i="1"/>
  <c r="C1153" i="1"/>
  <c r="N1153" i="1"/>
  <c r="A1154" i="1"/>
  <c r="C1154" i="1"/>
  <c r="N1154" i="1"/>
  <c r="A1155" i="1"/>
  <c r="C1155" i="1"/>
  <c r="N1155" i="1"/>
  <c r="A1156" i="1"/>
  <c r="C1156" i="1"/>
  <c r="N1156" i="1"/>
  <c r="A1157" i="1"/>
  <c r="C1157" i="1"/>
  <c r="N1157" i="1"/>
  <c r="A1158" i="1"/>
  <c r="C1158" i="1"/>
  <c r="N1158" i="1"/>
  <c r="A1159" i="1"/>
  <c r="C1159" i="1"/>
  <c r="N1159" i="1"/>
  <c r="A1160" i="1"/>
  <c r="C1160" i="1"/>
  <c r="N1160" i="1"/>
  <c r="A1161" i="1"/>
  <c r="C1161" i="1"/>
  <c r="N1161" i="1"/>
  <c r="A1162" i="1"/>
  <c r="C1162" i="1"/>
  <c r="N1162" i="1"/>
  <c r="A1163" i="1"/>
  <c r="C1163" i="1"/>
  <c r="N1163" i="1"/>
  <c r="A1164" i="1"/>
  <c r="C1164" i="1"/>
  <c r="N1164" i="1"/>
  <c r="A1165" i="1"/>
  <c r="C1165" i="1"/>
  <c r="N1165" i="1"/>
  <c r="A1166" i="1"/>
  <c r="C1166" i="1"/>
  <c r="N1166" i="1"/>
  <c r="A1167" i="1"/>
  <c r="C1167" i="1"/>
  <c r="N1167" i="1"/>
  <c r="A1168" i="1"/>
  <c r="C1168" i="1"/>
  <c r="N1168" i="1"/>
  <c r="A1169" i="1"/>
  <c r="C1169" i="1"/>
  <c r="N1169" i="1"/>
  <c r="A1170" i="1"/>
  <c r="C1170" i="1"/>
  <c r="N1170" i="1"/>
  <c r="A1171" i="1"/>
  <c r="C1171" i="1"/>
  <c r="N1171" i="1"/>
  <c r="A1172" i="1"/>
  <c r="C1172" i="1"/>
  <c r="N1172" i="1"/>
  <c r="A1173" i="1"/>
  <c r="C1173" i="1"/>
  <c r="N1173" i="1"/>
  <c r="A1174" i="1"/>
  <c r="C1174" i="1"/>
  <c r="N1174" i="1"/>
  <c r="A1175" i="1"/>
  <c r="C1175" i="1"/>
  <c r="N1175" i="1"/>
  <c r="A1176" i="1"/>
  <c r="C1176" i="1"/>
  <c r="N1176" i="1"/>
  <c r="A1177" i="1"/>
  <c r="C1177" i="1"/>
  <c r="N1177" i="1"/>
  <c r="A1178" i="1"/>
  <c r="C1178" i="1"/>
  <c r="N1178" i="1"/>
  <c r="A1179" i="1"/>
  <c r="C1179" i="1"/>
  <c r="N1179" i="1"/>
  <c r="A1180" i="1"/>
  <c r="C1180" i="1"/>
  <c r="F1180" i="1"/>
  <c r="N1180" i="1"/>
  <c r="A1181" i="1"/>
  <c r="C1181" i="1"/>
  <c r="N1181" i="1"/>
  <c r="A1182" i="1"/>
  <c r="C1182" i="1"/>
  <c r="N1182" i="1"/>
  <c r="A1183" i="1"/>
  <c r="C1183" i="1"/>
  <c r="N1183" i="1"/>
  <c r="A1184" i="1"/>
  <c r="C1184" i="1"/>
  <c r="N1184" i="1"/>
  <c r="A1185" i="1"/>
  <c r="C1185" i="1"/>
  <c r="N1185" i="1"/>
  <c r="A1186" i="1"/>
  <c r="C1186" i="1"/>
  <c r="N1186" i="1"/>
  <c r="A1187" i="1"/>
  <c r="C1187" i="1"/>
  <c r="N1187" i="1"/>
  <c r="A1188" i="1"/>
  <c r="C1188" i="1"/>
  <c r="N1188" i="1"/>
  <c r="A1189" i="1"/>
  <c r="C1189" i="1"/>
  <c r="N1189" i="1"/>
  <c r="A1190" i="1"/>
  <c r="C1190" i="1"/>
  <c r="N1190" i="1"/>
  <c r="A1191" i="1"/>
  <c r="C1191" i="1"/>
  <c r="N1191" i="1"/>
  <c r="A1192" i="1"/>
  <c r="C1192" i="1"/>
  <c r="N1192" i="1"/>
  <c r="A1193" i="1"/>
  <c r="C1193" i="1"/>
  <c r="N1193" i="1"/>
  <c r="A1194" i="1"/>
  <c r="C1194" i="1"/>
  <c r="N1194" i="1"/>
  <c r="A1195" i="1"/>
  <c r="C1195" i="1"/>
  <c r="N1195" i="1"/>
  <c r="A1196" i="1"/>
  <c r="C1196" i="1"/>
  <c r="N1196" i="1"/>
  <c r="A1197" i="1"/>
  <c r="C1197" i="1"/>
  <c r="N1197" i="1"/>
  <c r="A1198" i="1"/>
  <c r="C1198" i="1"/>
  <c r="N1198" i="1"/>
  <c r="A1199" i="1"/>
  <c r="C1199" i="1"/>
  <c r="N1199" i="1"/>
  <c r="A1200" i="1"/>
  <c r="C1200" i="1"/>
  <c r="N1200" i="1"/>
  <c r="A1201" i="1"/>
  <c r="C1201" i="1"/>
  <c r="N1201" i="1"/>
  <c r="A1202" i="1"/>
  <c r="C1202" i="1"/>
  <c r="N1202" i="1"/>
  <c r="A1203" i="1"/>
  <c r="C1203" i="1"/>
  <c r="N1203" i="1"/>
  <c r="A1204" i="1"/>
  <c r="C1204" i="1"/>
  <c r="N1204" i="1"/>
  <c r="A1205" i="1"/>
  <c r="C1205" i="1"/>
  <c r="N1205" i="1"/>
  <c r="A1206" i="1"/>
  <c r="C1206" i="1"/>
  <c r="N1206" i="1"/>
  <c r="A1207" i="1"/>
  <c r="C1207" i="1"/>
  <c r="N1207" i="1"/>
  <c r="A1208" i="1"/>
  <c r="C1208" i="1"/>
  <c r="N1208" i="1"/>
  <c r="A1209" i="1"/>
  <c r="C1209" i="1"/>
  <c r="N1209" i="1"/>
  <c r="A1210" i="1"/>
  <c r="C1210" i="1"/>
  <c r="N1210" i="1"/>
  <c r="A1211" i="1"/>
  <c r="C1211" i="1"/>
  <c r="N1211" i="1"/>
  <c r="A1212" i="1"/>
  <c r="C1212" i="1"/>
  <c r="N1212" i="1"/>
  <c r="A1213" i="1"/>
  <c r="C1213" i="1"/>
  <c r="N1213" i="1"/>
  <c r="A1214" i="1"/>
  <c r="C1214" i="1"/>
  <c r="N1214" i="1"/>
  <c r="A1215" i="1"/>
  <c r="C1215" i="1"/>
  <c r="N1215" i="1"/>
  <c r="A1216" i="1"/>
  <c r="C1216" i="1"/>
  <c r="N1216" i="1"/>
  <c r="A1217" i="1"/>
  <c r="C1217" i="1"/>
  <c r="N1217" i="1"/>
  <c r="A1218" i="1"/>
  <c r="C1218" i="1"/>
  <c r="N1218" i="1"/>
  <c r="A1219" i="1"/>
  <c r="C1219" i="1"/>
  <c r="N1219" i="1"/>
  <c r="A1220" i="1"/>
  <c r="C1220" i="1"/>
  <c r="N1220" i="1"/>
  <c r="A1221" i="1"/>
  <c r="C1221" i="1"/>
  <c r="N1221" i="1"/>
  <c r="A1222" i="1"/>
  <c r="C1222" i="1"/>
  <c r="N1222" i="1"/>
  <c r="A1223" i="1"/>
  <c r="C1223" i="1"/>
  <c r="N1223" i="1"/>
  <c r="A1224" i="1"/>
  <c r="C1224" i="1"/>
  <c r="N1224" i="1"/>
  <c r="A1225" i="1"/>
  <c r="C1225" i="1"/>
  <c r="N1225" i="1"/>
  <c r="A1226" i="1"/>
  <c r="C1226" i="1"/>
  <c r="N1226" i="1"/>
  <c r="A1227" i="1"/>
  <c r="C1227" i="1"/>
  <c r="N1227" i="1"/>
  <c r="A1228" i="1"/>
  <c r="C1228" i="1"/>
  <c r="N1228" i="1"/>
  <c r="A1229" i="1"/>
  <c r="C1229" i="1"/>
  <c r="N1229" i="1"/>
  <c r="A1230" i="1"/>
  <c r="C1230" i="1"/>
  <c r="N1230" i="1"/>
  <c r="A1231" i="1"/>
  <c r="C1231" i="1"/>
  <c r="N1231" i="1"/>
  <c r="A1232" i="1"/>
  <c r="C1232" i="1"/>
  <c r="N1232" i="1"/>
  <c r="A1233" i="1"/>
  <c r="C1233" i="1"/>
  <c r="N1233" i="1"/>
  <c r="A1234" i="1"/>
  <c r="C1234" i="1"/>
  <c r="N1234" i="1"/>
  <c r="A1235" i="1"/>
  <c r="C1235" i="1"/>
  <c r="N1235" i="1"/>
  <c r="A1236" i="1"/>
  <c r="C1236" i="1"/>
  <c r="N1236" i="1"/>
  <c r="A1237" i="1"/>
  <c r="C1237" i="1"/>
  <c r="N1237" i="1"/>
  <c r="A1238" i="1"/>
  <c r="C1238" i="1"/>
  <c r="N1238" i="1"/>
  <c r="A1239" i="1"/>
  <c r="C1239" i="1"/>
  <c r="N1239" i="1"/>
  <c r="A1240" i="1"/>
  <c r="C1240" i="1"/>
  <c r="N1240" i="1"/>
  <c r="A1241" i="1"/>
  <c r="C1241" i="1"/>
  <c r="N1241" i="1"/>
  <c r="A1242" i="1"/>
  <c r="C1242" i="1"/>
  <c r="N1242" i="1"/>
  <c r="A1243" i="1"/>
  <c r="C1243" i="1"/>
  <c r="N1243" i="1"/>
  <c r="A1244" i="1"/>
  <c r="C1244" i="1"/>
  <c r="N1244" i="1"/>
  <c r="A1245" i="1"/>
  <c r="C1245" i="1"/>
  <c r="N1245" i="1"/>
  <c r="A1246" i="1"/>
  <c r="C1246" i="1"/>
  <c r="N1246" i="1"/>
  <c r="A1247" i="1"/>
  <c r="C1247" i="1"/>
  <c r="N1247" i="1"/>
  <c r="A1248" i="1"/>
  <c r="C1248" i="1"/>
  <c r="N1248" i="1"/>
  <c r="A1249" i="1"/>
  <c r="C1249" i="1"/>
  <c r="N1249" i="1"/>
  <c r="A1250" i="1"/>
  <c r="C1250" i="1"/>
  <c r="N1250" i="1"/>
  <c r="A1251" i="1"/>
  <c r="C1251" i="1"/>
  <c r="N1251" i="1"/>
  <c r="A1252" i="1"/>
  <c r="C1252" i="1"/>
  <c r="N1252" i="1"/>
  <c r="A1253" i="1"/>
  <c r="C1253" i="1"/>
  <c r="N1253" i="1"/>
  <c r="A1254" i="1"/>
  <c r="C1254" i="1"/>
  <c r="N1254" i="1"/>
  <c r="A1255" i="1"/>
  <c r="C1255" i="1"/>
  <c r="N1255" i="1"/>
  <c r="A1256" i="1"/>
  <c r="C1256" i="1"/>
  <c r="N1256" i="1"/>
  <c r="A1257" i="1"/>
  <c r="C1257" i="1"/>
  <c r="N1257" i="1"/>
  <c r="A1258" i="1"/>
  <c r="C1258" i="1"/>
  <c r="N1258" i="1"/>
  <c r="A1259" i="1"/>
  <c r="C1259" i="1"/>
  <c r="N1259" i="1"/>
  <c r="A1260" i="1"/>
  <c r="C1260" i="1"/>
  <c r="N1260" i="1"/>
  <c r="A1261" i="1"/>
  <c r="C1261" i="1"/>
  <c r="N1261" i="1"/>
  <c r="A1262" i="1"/>
  <c r="C1262" i="1"/>
  <c r="N1262" i="1"/>
  <c r="A1263" i="1"/>
  <c r="C1263" i="1"/>
  <c r="N1263" i="1"/>
  <c r="A1264" i="1"/>
  <c r="C1264" i="1"/>
  <c r="N1264" i="1"/>
  <c r="A1265" i="1"/>
  <c r="C1265" i="1"/>
  <c r="N1265" i="1"/>
  <c r="A1266" i="1"/>
  <c r="C1266" i="1"/>
  <c r="N1266" i="1"/>
  <c r="A1267" i="1"/>
  <c r="C1267" i="1"/>
  <c r="N1267" i="1"/>
  <c r="A1268" i="1"/>
  <c r="C1268" i="1"/>
  <c r="N1268" i="1"/>
  <c r="A1269" i="1"/>
  <c r="C1269" i="1"/>
  <c r="N1269" i="1"/>
  <c r="A1270" i="1"/>
  <c r="C1270" i="1"/>
  <c r="N1270" i="1"/>
  <c r="A1271" i="1"/>
  <c r="C1271" i="1"/>
  <c r="N1271" i="1"/>
  <c r="A1272" i="1"/>
  <c r="C1272" i="1"/>
  <c r="N1272" i="1"/>
  <c r="A1273" i="1"/>
  <c r="C1273" i="1"/>
  <c r="N1273" i="1"/>
  <c r="A1274" i="1"/>
  <c r="C1274" i="1"/>
  <c r="N1274" i="1"/>
  <c r="A1275" i="1"/>
  <c r="C1275" i="1"/>
  <c r="N1275" i="1"/>
  <c r="A1276" i="1"/>
  <c r="C1276" i="1"/>
  <c r="N1276" i="1"/>
  <c r="A1277" i="1"/>
  <c r="C1277" i="1"/>
  <c r="N1277" i="1"/>
  <c r="A1278" i="1"/>
  <c r="C1278" i="1"/>
  <c r="N1278" i="1"/>
  <c r="A1279" i="1"/>
  <c r="C1279" i="1"/>
  <c r="F1279" i="1"/>
  <c r="N1279" i="1"/>
  <c r="A1280" i="1"/>
  <c r="C1280" i="1"/>
  <c r="N1280" i="1"/>
  <c r="A1281" i="1"/>
  <c r="C1281" i="1"/>
  <c r="N1281" i="1"/>
  <c r="A1282" i="1"/>
  <c r="C1282" i="1"/>
  <c r="N1282" i="1"/>
  <c r="A1283" i="1"/>
  <c r="C1283" i="1"/>
  <c r="N1283" i="1"/>
  <c r="A1284" i="1"/>
  <c r="C1284" i="1"/>
  <c r="N1284" i="1"/>
  <c r="A1285" i="1"/>
  <c r="C1285" i="1"/>
  <c r="N1285" i="1"/>
  <c r="A1286" i="1"/>
  <c r="C1286" i="1"/>
  <c r="N1286" i="1"/>
  <c r="A1287" i="1"/>
  <c r="C1287" i="1"/>
  <c r="N1287" i="1"/>
  <c r="A1288" i="1"/>
  <c r="C1288" i="1"/>
  <c r="N1288" i="1"/>
  <c r="A1289" i="1"/>
  <c r="C1289" i="1"/>
  <c r="N1289" i="1"/>
  <c r="A1290" i="1"/>
  <c r="C1290" i="1"/>
  <c r="N1290" i="1"/>
  <c r="A1291" i="1"/>
  <c r="C1291" i="1"/>
  <c r="N1291" i="1"/>
  <c r="A1292" i="1"/>
  <c r="C1292" i="1"/>
  <c r="N1292" i="1"/>
  <c r="A1293" i="1"/>
  <c r="C1293" i="1"/>
  <c r="N1293" i="1"/>
  <c r="A1294" i="1"/>
  <c r="C1294" i="1"/>
  <c r="N1294" i="1"/>
  <c r="A1295" i="1"/>
  <c r="C1295" i="1"/>
  <c r="N1295" i="1"/>
  <c r="A1296" i="1"/>
  <c r="C1296" i="1"/>
  <c r="N1296" i="1"/>
  <c r="A1297" i="1"/>
  <c r="C1297" i="1"/>
  <c r="N1297" i="1"/>
  <c r="A1298" i="1"/>
  <c r="C1298" i="1"/>
  <c r="N1298" i="1"/>
  <c r="A1299" i="1"/>
  <c r="C1299" i="1"/>
  <c r="N1299" i="1"/>
  <c r="A1300" i="1"/>
  <c r="C1300" i="1"/>
  <c r="N1300" i="1"/>
  <c r="A1301" i="1"/>
  <c r="C1301" i="1"/>
  <c r="N1301" i="1"/>
  <c r="A1302" i="1"/>
  <c r="C1302" i="1"/>
  <c r="N1302" i="1"/>
  <c r="A1303" i="1"/>
  <c r="C1303" i="1"/>
  <c r="N1303" i="1"/>
  <c r="A1304" i="1"/>
  <c r="C1304" i="1"/>
  <c r="N1304" i="1"/>
  <c r="A1305" i="1"/>
  <c r="C1305" i="1"/>
  <c r="N1305" i="1"/>
  <c r="A1306" i="1"/>
  <c r="C1306" i="1"/>
  <c r="N1306" i="1"/>
  <c r="A1307" i="1"/>
  <c r="C1307" i="1"/>
  <c r="N1307" i="1"/>
  <c r="A1308" i="1"/>
  <c r="C1308" i="1"/>
  <c r="N1308" i="1"/>
  <c r="A1309" i="1"/>
  <c r="C1309" i="1"/>
  <c r="N1309" i="1"/>
  <c r="A1310" i="1"/>
  <c r="C1310" i="1"/>
  <c r="N1310" i="1"/>
  <c r="A1311" i="1"/>
  <c r="C1311" i="1"/>
  <c r="N1311" i="1"/>
  <c r="A1312" i="1"/>
  <c r="C1312" i="1"/>
  <c r="N1312" i="1"/>
  <c r="A1313" i="1"/>
  <c r="C1313" i="1"/>
  <c r="N1313" i="1"/>
  <c r="A1314" i="1"/>
  <c r="C1314" i="1"/>
  <c r="N1314" i="1"/>
  <c r="A1315" i="1"/>
  <c r="C1315" i="1"/>
  <c r="N1315" i="1"/>
  <c r="A1316" i="1"/>
  <c r="C1316" i="1"/>
  <c r="N1316" i="1"/>
  <c r="A1317" i="1"/>
  <c r="C1317" i="1"/>
  <c r="N1317" i="1"/>
  <c r="A1318" i="1"/>
  <c r="C1318" i="1"/>
  <c r="N1318" i="1"/>
  <c r="A1319" i="1"/>
  <c r="C1319" i="1"/>
  <c r="N1319" i="1"/>
  <c r="A1320" i="1"/>
  <c r="C1320" i="1"/>
  <c r="N1320" i="1"/>
  <c r="A1321" i="1"/>
  <c r="C1321" i="1"/>
  <c r="N1321" i="1"/>
  <c r="A1322" i="1"/>
  <c r="C1322" i="1"/>
  <c r="N1322" i="1"/>
  <c r="A1323" i="1"/>
  <c r="C1323" i="1"/>
  <c r="N1323" i="1"/>
  <c r="A1324" i="1"/>
  <c r="C1324" i="1"/>
  <c r="N1324" i="1"/>
  <c r="A1325" i="1"/>
  <c r="C1325" i="1"/>
  <c r="N1325" i="1"/>
  <c r="A1326" i="1"/>
  <c r="C1326" i="1"/>
  <c r="N1326" i="1"/>
  <c r="A1327" i="1"/>
  <c r="C1327" i="1"/>
  <c r="N1327" i="1"/>
  <c r="A1328" i="1"/>
  <c r="C1328" i="1"/>
  <c r="N1328" i="1"/>
  <c r="A1329" i="1"/>
  <c r="C1329" i="1"/>
  <c r="N1329" i="1"/>
  <c r="A1330" i="1"/>
  <c r="C1330" i="1"/>
  <c r="N1330" i="1"/>
  <c r="A1331" i="1"/>
  <c r="C1331" i="1"/>
  <c r="N1331" i="1"/>
  <c r="A1332" i="1"/>
  <c r="C1332" i="1"/>
  <c r="N1332" i="1"/>
  <c r="A1333" i="1"/>
  <c r="C1333" i="1"/>
  <c r="N1333" i="1"/>
  <c r="A1334" i="1"/>
  <c r="C1334" i="1"/>
  <c r="N1334" i="1"/>
  <c r="A1335" i="1"/>
  <c r="C1335" i="1"/>
  <c r="N1335" i="1"/>
  <c r="A1336" i="1"/>
  <c r="C1336" i="1"/>
  <c r="N1336" i="1"/>
  <c r="A1337" i="1"/>
  <c r="C1337" i="1"/>
  <c r="N1337" i="1"/>
  <c r="A1338" i="1"/>
  <c r="C1338" i="1"/>
  <c r="N1338" i="1"/>
  <c r="A1339" i="1"/>
  <c r="C1339" i="1"/>
  <c r="N1339" i="1"/>
  <c r="A1340" i="1"/>
  <c r="C1340" i="1"/>
  <c r="N1340" i="1"/>
  <c r="A1341" i="1"/>
  <c r="C1341" i="1"/>
  <c r="N1341" i="1"/>
  <c r="A1342" i="1"/>
  <c r="C1342" i="1"/>
  <c r="N1342" i="1"/>
  <c r="A1343" i="1"/>
  <c r="C1343" i="1"/>
  <c r="N1343" i="1"/>
  <c r="A1344" i="1"/>
  <c r="C1344" i="1"/>
  <c r="N1344" i="1"/>
  <c r="A1345" i="1"/>
  <c r="C1345" i="1"/>
  <c r="N1345" i="1"/>
  <c r="A1346" i="1"/>
  <c r="C1346" i="1"/>
  <c r="N1346" i="1"/>
  <c r="A1347" i="1"/>
  <c r="C1347" i="1"/>
  <c r="N1347" i="1"/>
  <c r="A1348" i="1"/>
  <c r="C1348" i="1"/>
  <c r="N1348" i="1"/>
  <c r="A1349" i="1"/>
  <c r="C1349" i="1"/>
  <c r="N1349" i="1"/>
  <c r="A1350" i="1"/>
  <c r="C1350" i="1"/>
  <c r="N1350" i="1"/>
  <c r="A1351" i="1"/>
  <c r="C1351" i="1"/>
  <c r="N1351" i="1"/>
  <c r="A1352" i="1"/>
  <c r="C1352" i="1"/>
  <c r="N1352" i="1"/>
  <c r="A1353" i="1"/>
  <c r="C1353" i="1"/>
  <c r="N1353" i="1"/>
  <c r="A1354" i="1"/>
  <c r="C1354" i="1"/>
  <c r="N1354" i="1"/>
  <c r="A1355" i="1"/>
  <c r="C1355" i="1"/>
  <c r="N1355" i="1"/>
  <c r="A1356" i="1"/>
  <c r="C1356" i="1"/>
  <c r="N1356" i="1"/>
  <c r="A1357" i="1"/>
  <c r="C1357" i="1"/>
  <c r="N1357" i="1"/>
  <c r="A1358" i="1"/>
  <c r="C1358" i="1"/>
  <c r="N1358" i="1"/>
  <c r="A1359" i="1"/>
  <c r="C1359" i="1"/>
  <c r="N1359" i="1"/>
  <c r="A1360" i="1"/>
  <c r="C1360" i="1"/>
  <c r="N1360" i="1"/>
  <c r="A1361" i="1"/>
  <c r="C1361" i="1"/>
  <c r="N1361" i="1"/>
  <c r="A1362" i="1"/>
  <c r="C1362" i="1"/>
  <c r="N1362" i="1"/>
  <c r="A1363" i="1"/>
  <c r="C1363" i="1"/>
  <c r="N1363" i="1"/>
  <c r="A1364" i="1"/>
  <c r="C1364" i="1"/>
  <c r="N1364" i="1"/>
  <c r="A1365" i="1"/>
  <c r="C1365" i="1"/>
  <c r="N1365" i="1"/>
  <c r="A1366" i="1"/>
  <c r="C1366" i="1"/>
  <c r="N1366" i="1"/>
  <c r="A1367" i="1"/>
  <c r="C1367" i="1"/>
  <c r="N1367" i="1"/>
  <c r="A1368" i="1"/>
  <c r="C1368" i="1"/>
  <c r="N1368" i="1"/>
  <c r="A1369" i="1"/>
  <c r="C1369" i="1"/>
  <c r="N1369" i="1"/>
  <c r="A1370" i="1"/>
  <c r="C1370" i="1"/>
  <c r="N1370" i="1"/>
  <c r="A1371" i="1"/>
  <c r="C1371" i="1"/>
  <c r="N1371" i="1"/>
  <c r="A1372" i="1"/>
  <c r="C1372" i="1"/>
  <c r="N1372" i="1"/>
  <c r="A1373" i="1"/>
  <c r="C1373" i="1"/>
  <c r="N1373" i="1"/>
  <c r="A1374" i="1"/>
  <c r="C1374" i="1"/>
  <c r="N1374" i="1"/>
  <c r="A1375" i="1"/>
  <c r="C1375" i="1"/>
  <c r="N1375" i="1"/>
  <c r="A1376" i="1"/>
  <c r="C1376" i="1"/>
  <c r="N1376" i="1"/>
  <c r="A1377" i="1"/>
  <c r="C1377" i="1"/>
  <c r="N1377" i="1"/>
  <c r="A1378" i="1"/>
  <c r="C1378" i="1"/>
  <c r="N1378" i="1"/>
  <c r="A1379" i="1"/>
  <c r="C1379" i="1"/>
  <c r="N1379" i="1"/>
  <c r="A1380" i="1"/>
  <c r="C1380" i="1"/>
  <c r="N1380" i="1"/>
  <c r="A1381" i="1"/>
  <c r="C1381" i="1"/>
  <c r="N1381" i="1"/>
  <c r="A1382" i="1"/>
  <c r="C1382" i="1"/>
  <c r="N1382" i="1"/>
  <c r="A1383" i="1"/>
  <c r="C1383" i="1"/>
  <c r="N1383" i="1"/>
  <c r="A1384" i="1"/>
  <c r="C1384" i="1"/>
  <c r="N1384" i="1"/>
  <c r="A1385" i="1"/>
  <c r="C1385" i="1"/>
  <c r="N1385" i="1"/>
  <c r="A1386" i="1"/>
  <c r="C1386" i="1"/>
  <c r="N1386" i="1"/>
  <c r="A1387" i="1"/>
  <c r="C1387" i="1"/>
  <c r="N1387" i="1"/>
  <c r="A1388" i="1"/>
  <c r="C1388" i="1"/>
  <c r="N1388" i="1"/>
  <c r="A1389" i="1"/>
  <c r="C1389" i="1"/>
  <c r="N1389" i="1"/>
  <c r="A1390" i="1"/>
  <c r="C1390" i="1"/>
  <c r="N1390" i="1"/>
  <c r="A1391" i="1"/>
  <c r="C1391" i="1"/>
  <c r="N1391" i="1"/>
  <c r="A1392" i="1"/>
  <c r="C1392" i="1"/>
  <c r="N1392" i="1"/>
  <c r="A1393" i="1"/>
  <c r="C1393" i="1"/>
  <c r="F1393" i="1"/>
  <c r="N1393" i="1"/>
  <c r="A1394" i="1"/>
  <c r="C1394" i="1"/>
  <c r="F1394" i="1"/>
  <c r="N1394" i="1"/>
  <c r="A1395" i="1"/>
  <c r="C1395" i="1"/>
  <c r="F1395" i="1"/>
  <c r="N1395" i="1"/>
  <c r="A1396" i="1"/>
  <c r="C1396" i="1"/>
  <c r="N1396" i="1"/>
  <c r="A1397" i="1"/>
  <c r="C1397" i="1"/>
  <c r="N1397" i="1"/>
  <c r="A1398" i="1"/>
  <c r="C1398" i="1"/>
  <c r="N1398" i="1"/>
  <c r="A1399" i="1"/>
  <c r="C1399" i="1"/>
  <c r="N1399" i="1"/>
  <c r="A1400" i="1"/>
  <c r="C1400" i="1"/>
  <c r="N1400" i="1"/>
  <c r="A1401" i="1"/>
  <c r="C1401" i="1"/>
  <c r="N1401" i="1"/>
  <c r="A1402" i="1"/>
  <c r="C1402" i="1"/>
  <c r="N1402" i="1"/>
  <c r="A1403" i="1"/>
  <c r="C1403" i="1"/>
  <c r="N1403" i="1"/>
  <c r="A1404" i="1"/>
  <c r="C1404" i="1"/>
  <c r="N1404" i="1"/>
  <c r="A1405" i="1"/>
  <c r="C1405" i="1"/>
  <c r="N1405" i="1"/>
  <c r="A1406" i="1"/>
  <c r="C1406" i="1"/>
  <c r="N1406" i="1"/>
  <c r="A1407" i="1"/>
  <c r="C1407" i="1"/>
  <c r="N1407" i="1"/>
  <c r="A1408" i="1"/>
  <c r="C1408" i="1"/>
  <c r="N1408" i="1"/>
  <c r="A1409" i="1"/>
  <c r="C1409" i="1"/>
  <c r="N1409" i="1"/>
  <c r="A1410" i="1"/>
  <c r="C1410" i="1"/>
  <c r="N1410" i="1"/>
  <c r="A1411" i="1"/>
  <c r="C1411" i="1"/>
  <c r="N1411" i="1"/>
  <c r="A1412" i="1"/>
  <c r="C1412" i="1"/>
  <c r="N1412" i="1"/>
  <c r="A1413" i="1"/>
  <c r="C1413" i="1"/>
  <c r="N1413" i="1"/>
  <c r="A1414" i="1"/>
  <c r="C1414" i="1"/>
  <c r="N1414" i="1"/>
  <c r="A1415" i="1"/>
  <c r="C1415" i="1"/>
  <c r="N1415" i="1"/>
  <c r="A1416" i="1"/>
  <c r="C1416" i="1"/>
  <c r="N1416" i="1"/>
  <c r="A1417" i="1"/>
  <c r="C1417" i="1"/>
  <c r="N1417" i="1"/>
  <c r="A1418" i="1"/>
  <c r="C1418" i="1"/>
  <c r="N1418" i="1"/>
  <c r="A1419" i="1"/>
  <c r="C1419" i="1"/>
  <c r="N1419" i="1"/>
  <c r="A1420" i="1"/>
  <c r="C1420" i="1"/>
  <c r="N1420" i="1"/>
  <c r="A1421" i="1"/>
  <c r="C1421" i="1"/>
  <c r="N1421" i="1"/>
  <c r="A1422" i="1"/>
  <c r="C1422" i="1"/>
  <c r="N1422" i="1"/>
  <c r="A1423" i="1"/>
  <c r="C1423" i="1"/>
  <c r="N1423" i="1"/>
  <c r="A1424" i="1"/>
  <c r="C1424" i="1"/>
  <c r="N1424" i="1"/>
  <c r="A1425" i="1"/>
  <c r="C1425" i="1"/>
  <c r="N1425" i="1"/>
  <c r="A1426" i="1"/>
  <c r="C1426" i="1"/>
  <c r="N1426" i="1"/>
  <c r="A1427" i="1"/>
  <c r="C1427" i="1"/>
  <c r="N1427" i="1"/>
  <c r="A1428" i="1"/>
  <c r="C1428" i="1"/>
  <c r="N1428" i="1"/>
  <c r="A1429" i="1"/>
  <c r="C1429" i="1"/>
  <c r="N1429" i="1"/>
  <c r="A1430" i="1"/>
  <c r="C1430" i="1"/>
  <c r="N1430" i="1"/>
  <c r="A1431" i="1"/>
  <c r="C1431" i="1"/>
  <c r="N1431" i="1"/>
  <c r="A1432" i="1"/>
  <c r="C1432" i="1"/>
  <c r="N1432" i="1"/>
  <c r="A1433" i="1"/>
  <c r="C1433" i="1"/>
  <c r="N1433" i="1"/>
  <c r="A1434" i="1"/>
  <c r="C1434" i="1"/>
  <c r="N1434" i="1"/>
  <c r="A1435" i="1"/>
  <c r="C1435" i="1"/>
  <c r="N1435" i="1"/>
  <c r="A1436" i="1"/>
  <c r="C1436" i="1"/>
  <c r="N1436" i="1"/>
  <c r="A1437" i="1"/>
  <c r="C1437" i="1"/>
  <c r="N1437" i="1"/>
  <c r="A1438" i="1"/>
  <c r="C1438" i="1"/>
  <c r="N1438" i="1"/>
  <c r="A1439" i="1"/>
  <c r="C1439" i="1"/>
  <c r="N1439" i="1"/>
  <c r="A1440" i="1"/>
  <c r="C1440" i="1"/>
  <c r="N1440" i="1"/>
  <c r="A1441" i="1"/>
  <c r="C1441" i="1"/>
  <c r="N1441" i="1"/>
  <c r="A1442" i="1"/>
  <c r="C1442" i="1"/>
  <c r="N1442" i="1"/>
  <c r="A1443" i="1"/>
  <c r="C1443" i="1"/>
  <c r="N1443" i="1"/>
  <c r="A1444" i="1"/>
  <c r="C1444" i="1"/>
  <c r="N1444" i="1"/>
  <c r="A1445" i="1"/>
  <c r="C1445" i="1"/>
  <c r="N1445" i="1"/>
  <c r="A1446" i="1"/>
  <c r="C1446" i="1"/>
  <c r="N1446" i="1"/>
  <c r="A1447" i="1"/>
  <c r="C1447" i="1"/>
  <c r="N1447" i="1"/>
  <c r="A1448" i="1"/>
  <c r="C1448" i="1"/>
  <c r="N1448" i="1"/>
  <c r="A1449" i="1"/>
  <c r="C1449" i="1"/>
  <c r="N1449" i="1"/>
  <c r="A1450" i="1"/>
  <c r="C1450" i="1"/>
  <c r="N1450" i="1"/>
  <c r="A1451" i="1"/>
  <c r="C1451" i="1"/>
  <c r="N1451" i="1"/>
  <c r="A1452" i="1"/>
  <c r="C1452" i="1"/>
  <c r="N1452" i="1"/>
  <c r="A1453" i="1"/>
  <c r="C1453" i="1"/>
  <c r="N1453" i="1"/>
  <c r="A1454" i="1"/>
  <c r="C1454" i="1"/>
  <c r="N1454" i="1"/>
  <c r="A1455" i="1"/>
  <c r="C1455" i="1"/>
  <c r="N1455" i="1"/>
  <c r="A1456" i="1"/>
  <c r="C1456" i="1"/>
  <c r="N1456" i="1"/>
  <c r="A1457" i="1"/>
  <c r="C1457" i="1"/>
  <c r="N1457" i="1"/>
  <c r="A1458" i="1"/>
  <c r="C1458" i="1"/>
  <c r="N1458" i="1"/>
  <c r="A1459" i="1"/>
  <c r="C1459" i="1"/>
  <c r="N1459" i="1"/>
  <c r="A1460" i="1"/>
  <c r="C1460" i="1"/>
  <c r="N1460" i="1"/>
  <c r="A1461" i="1"/>
  <c r="C1461" i="1"/>
  <c r="N1461" i="1"/>
  <c r="A1462" i="1"/>
  <c r="C1462" i="1"/>
  <c r="N1462" i="1"/>
  <c r="A1463" i="1"/>
  <c r="C1463" i="1"/>
  <c r="N1463" i="1"/>
  <c r="A1464" i="1"/>
  <c r="C1464" i="1"/>
  <c r="N1464" i="1"/>
  <c r="A1465" i="1"/>
  <c r="C1465" i="1"/>
  <c r="N1465" i="1"/>
  <c r="A1466" i="1"/>
  <c r="C1466" i="1"/>
  <c r="N1466" i="1"/>
  <c r="A1467" i="1"/>
  <c r="C1467" i="1"/>
  <c r="N1467" i="1"/>
  <c r="A1468" i="1"/>
  <c r="C1468" i="1"/>
  <c r="N1468" i="1"/>
  <c r="A1469" i="1"/>
  <c r="C1469" i="1"/>
  <c r="N1469" i="1"/>
  <c r="A1470" i="1"/>
  <c r="C1470" i="1"/>
  <c r="N1470" i="1"/>
  <c r="A1471" i="1"/>
  <c r="C1471" i="1"/>
  <c r="N1471" i="1"/>
  <c r="A1472" i="1"/>
  <c r="C1472" i="1"/>
  <c r="N1472" i="1"/>
  <c r="A1473" i="1"/>
  <c r="C1473" i="1"/>
  <c r="N1473" i="1"/>
  <c r="A1474" i="1"/>
  <c r="C1474" i="1"/>
  <c r="N1474" i="1"/>
  <c r="A1475" i="1"/>
  <c r="C1475" i="1"/>
  <c r="N1475" i="1"/>
  <c r="A1476" i="1"/>
  <c r="C1476" i="1"/>
  <c r="N1476" i="1"/>
  <c r="A1477" i="1"/>
  <c r="C1477" i="1"/>
  <c r="N1477" i="1"/>
  <c r="A1478" i="1"/>
  <c r="C1478" i="1"/>
  <c r="N1478" i="1"/>
  <c r="A1479" i="1"/>
  <c r="C1479" i="1"/>
  <c r="N1479" i="1"/>
  <c r="A1480" i="1"/>
  <c r="C1480" i="1"/>
  <c r="N1480" i="1"/>
  <c r="A1481" i="1"/>
  <c r="C1481" i="1"/>
  <c r="N1481" i="1"/>
  <c r="A1482" i="1"/>
  <c r="C1482" i="1"/>
  <c r="N1482" i="1"/>
  <c r="A1483" i="1"/>
  <c r="C1483" i="1"/>
  <c r="N1483" i="1"/>
  <c r="A1484" i="1"/>
  <c r="C1484" i="1"/>
  <c r="N1484" i="1"/>
  <c r="A1485" i="1"/>
  <c r="C1485" i="1"/>
  <c r="N1485" i="1"/>
  <c r="A1486" i="1"/>
  <c r="C1486" i="1"/>
  <c r="N1486" i="1"/>
  <c r="A1487" i="1"/>
  <c r="C1487" i="1"/>
  <c r="N1487" i="1"/>
  <c r="A1488" i="1"/>
  <c r="C1488" i="1"/>
  <c r="N1488" i="1"/>
  <c r="A1489" i="1"/>
  <c r="C1489" i="1"/>
  <c r="N1489" i="1"/>
  <c r="A1490" i="1"/>
  <c r="C1490" i="1"/>
  <c r="N1490" i="1"/>
  <c r="A1491" i="1"/>
  <c r="C1491" i="1"/>
  <c r="N1491" i="1"/>
  <c r="A1492" i="1"/>
  <c r="C1492" i="1"/>
  <c r="N1492" i="1"/>
  <c r="A1493" i="1"/>
  <c r="C1493" i="1"/>
  <c r="N1493" i="1"/>
  <c r="A1494" i="1"/>
  <c r="C1494" i="1"/>
  <c r="N1494" i="1"/>
  <c r="A1495" i="1"/>
  <c r="C1495" i="1"/>
  <c r="N1495" i="1"/>
  <c r="A1496" i="1"/>
  <c r="C1496" i="1"/>
  <c r="N1496" i="1"/>
  <c r="A1497" i="1"/>
  <c r="C1497" i="1"/>
  <c r="N1497" i="1"/>
  <c r="A1498" i="1"/>
  <c r="C1498" i="1"/>
  <c r="N1498" i="1"/>
  <c r="A1499" i="1"/>
  <c r="C1499" i="1"/>
  <c r="N1499" i="1"/>
  <c r="A1500" i="1"/>
  <c r="C1500" i="1"/>
  <c r="N1500" i="1"/>
  <c r="A1501" i="1"/>
  <c r="C1501" i="1"/>
  <c r="N1501" i="1"/>
  <c r="A1502" i="1"/>
  <c r="C1502" i="1"/>
  <c r="N1502" i="1"/>
  <c r="A1503" i="1"/>
  <c r="C1503" i="1"/>
  <c r="N1503" i="1"/>
  <c r="A1504" i="1"/>
  <c r="C1504" i="1"/>
  <c r="N1504" i="1"/>
  <c r="A1505" i="1"/>
  <c r="C1505" i="1"/>
  <c r="N1505" i="1"/>
  <c r="A1506" i="1"/>
  <c r="C1506" i="1"/>
  <c r="N1506" i="1"/>
  <c r="A1507" i="1"/>
  <c r="C1507" i="1"/>
  <c r="N1507" i="1"/>
  <c r="A1508" i="1"/>
  <c r="C1508" i="1"/>
  <c r="N1508" i="1"/>
  <c r="A1509" i="1"/>
  <c r="C1509" i="1"/>
  <c r="N1509" i="1"/>
  <c r="A1510" i="1"/>
  <c r="C1510" i="1"/>
  <c r="N1510" i="1"/>
  <c r="A1511" i="1"/>
  <c r="C1511" i="1"/>
  <c r="N1511" i="1"/>
  <c r="A1512" i="1"/>
  <c r="C1512" i="1"/>
  <c r="N1512" i="1"/>
  <c r="A1513" i="1"/>
  <c r="C1513" i="1"/>
  <c r="N1513" i="1"/>
  <c r="A1514" i="1"/>
  <c r="C1514" i="1"/>
  <c r="N1514" i="1"/>
  <c r="A1515" i="1"/>
  <c r="C1515" i="1"/>
  <c r="N1515" i="1"/>
  <c r="A1516" i="1"/>
  <c r="C1516" i="1"/>
  <c r="N1516" i="1"/>
  <c r="A1517" i="1"/>
  <c r="C1517" i="1"/>
  <c r="N1517" i="1"/>
  <c r="A1518" i="1"/>
  <c r="C1518" i="1"/>
  <c r="N1518" i="1"/>
  <c r="A1519" i="1"/>
  <c r="C1519" i="1"/>
  <c r="N1519" i="1"/>
  <c r="A1520" i="1"/>
  <c r="C1520" i="1"/>
  <c r="N1520" i="1"/>
  <c r="A1521" i="1"/>
  <c r="C1521" i="1"/>
  <c r="F1521" i="1"/>
  <c r="N1521" i="1"/>
  <c r="A1522" i="1"/>
  <c r="C1522" i="1"/>
  <c r="N1522" i="1"/>
  <c r="A1523" i="1"/>
  <c r="C1523" i="1"/>
  <c r="N1523" i="1"/>
  <c r="A1524" i="1"/>
  <c r="C1524" i="1"/>
  <c r="N1524" i="1"/>
  <c r="A1525" i="1"/>
  <c r="C1525" i="1"/>
  <c r="N1525" i="1"/>
  <c r="A1526" i="1"/>
  <c r="C1526" i="1"/>
  <c r="N1526" i="1"/>
  <c r="A1527" i="1"/>
  <c r="C1527" i="1"/>
  <c r="N1527" i="1"/>
  <c r="A1528" i="1"/>
  <c r="C1528" i="1"/>
  <c r="N1528" i="1"/>
  <c r="A1529" i="1"/>
  <c r="C1529" i="1"/>
  <c r="N1529" i="1"/>
  <c r="A1530" i="1"/>
  <c r="C1530" i="1"/>
  <c r="N1530" i="1"/>
  <c r="A1531" i="1"/>
  <c r="C1531" i="1"/>
  <c r="N1531" i="1"/>
  <c r="A1532" i="1"/>
  <c r="C1532" i="1"/>
  <c r="N1532" i="1"/>
  <c r="A1533" i="1"/>
  <c r="C1533" i="1"/>
  <c r="N1533" i="1"/>
  <c r="A1534" i="1"/>
  <c r="C1534" i="1"/>
  <c r="N1534" i="1"/>
  <c r="A1535" i="1"/>
  <c r="C1535" i="1"/>
  <c r="N1535" i="1"/>
  <c r="A1536" i="1"/>
  <c r="C1536" i="1"/>
  <c r="N1536" i="1"/>
  <c r="A1537" i="1"/>
  <c r="C1537" i="1"/>
  <c r="N1537" i="1"/>
  <c r="A1538" i="1"/>
  <c r="C1538" i="1"/>
  <c r="N1538" i="1"/>
  <c r="A1539" i="1"/>
  <c r="C1539" i="1"/>
  <c r="N1539" i="1"/>
  <c r="A1540" i="1"/>
  <c r="C1540" i="1"/>
  <c r="N1540" i="1"/>
  <c r="A1541" i="1"/>
  <c r="C1541" i="1"/>
  <c r="N1541" i="1"/>
  <c r="A1542" i="1"/>
  <c r="C1542" i="1"/>
  <c r="N1542" i="1"/>
  <c r="A1543" i="1"/>
  <c r="C1543" i="1"/>
  <c r="N1543" i="1"/>
  <c r="A1544" i="1"/>
  <c r="C1544" i="1"/>
  <c r="N1544" i="1"/>
  <c r="A1545" i="1"/>
  <c r="C1545" i="1"/>
  <c r="N1545" i="1"/>
  <c r="A1546" i="1"/>
  <c r="C1546" i="1"/>
  <c r="N1546" i="1"/>
  <c r="A1547" i="1"/>
  <c r="C1547" i="1"/>
  <c r="N1547" i="1"/>
  <c r="A1548" i="1"/>
  <c r="C1548" i="1"/>
  <c r="N1548" i="1"/>
  <c r="A1549" i="1"/>
  <c r="C1549" i="1"/>
  <c r="N1549" i="1"/>
  <c r="A1550" i="1"/>
  <c r="C1550" i="1"/>
  <c r="N1550" i="1"/>
  <c r="A1551" i="1"/>
  <c r="C1551" i="1"/>
  <c r="N1551" i="1"/>
  <c r="A1552" i="1"/>
  <c r="C1552" i="1"/>
  <c r="N1552" i="1"/>
  <c r="A1553" i="1"/>
  <c r="C1553" i="1"/>
  <c r="N1553" i="1"/>
  <c r="A1554" i="1"/>
  <c r="C1554" i="1"/>
  <c r="N1554" i="1"/>
  <c r="A1555" i="1"/>
  <c r="C1555" i="1"/>
  <c r="N1555" i="1"/>
  <c r="A1556" i="1"/>
  <c r="C1556" i="1"/>
  <c r="N1556" i="1"/>
  <c r="A1557" i="1"/>
  <c r="C1557" i="1"/>
  <c r="N1557" i="1"/>
  <c r="A1558" i="1"/>
  <c r="C1558" i="1"/>
  <c r="N1558" i="1"/>
  <c r="A1559" i="1"/>
  <c r="C1559" i="1"/>
  <c r="N1559" i="1"/>
  <c r="A1560" i="1"/>
  <c r="C1560" i="1"/>
  <c r="N1560" i="1"/>
  <c r="A1561" i="1"/>
  <c r="C1561" i="1"/>
  <c r="N1561" i="1"/>
  <c r="A1562" i="1"/>
  <c r="C1562" i="1"/>
  <c r="N1562" i="1"/>
  <c r="A1563" i="1"/>
  <c r="C1563" i="1"/>
  <c r="N1563" i="1"/>
  <c r="A1564" i="1"/>
  <c r="C1564" i="1"/>
  <c r="N1564" i="1"/>
  <c r="A1565" i="1"/>
  <c r="C1565" i="1"/>
  <c r="N1565" i="1"/>
  <c r="A1566" i="1"/>
  <c r="C1566" i="1"/>
  <c r="N1566" i="1"/>
  <c r="A1567" i="1"/>
  <c r="C1567" i="1"/>
  <c r="N1567" i="1"/>
  <c r="A1568" i="1"/>
  <c r="C1568" i="1"/>
  <c r="N1568" i="1"/>
  <c r="A1569" i="1"/>
  <c r="C1569" i="1"/>
  <c r="N1569" i="1"/>
  <c r="A1570" i="1"/>
  <c r="C1570" i="1"/>
  <c r="N1570" i="1"/>
  <c r="A1571" i="1"/>
  <c r="C1571" i="1"/>
  <c r="N1571" i="1"/>
  <c r="A1572" i="1"/>
  <c r="C1572" i="1"/>
  <c r="N1572" i="1"/>
  <c r="A1573" i="1"/>
  <c r="C1573" i="1"/>
  <c r="N1573" i="1"/>
  <c r="A1574" i="1"/>
  <c r="C1574" i="1"/>
  <c r="N1574" i="1"/>
  <c r="A1575" i="1"/>
  <c r="C1575" i="1"/>
  <c r="N1575" i="1"/>
  <c r="A1576" i="1"/>
  <c r="C1576" i="1"/>
  <c r="N1576" i="1"/>
  <c r="A1577" i="1"/>
  <c r="C1577" i="1"/>
  <c r="N1577" i="1"/>
  <c r="A1578" i="1"/>
  <c r="C1578" i="1"/>
  <c r="N1578" i="1"/>
  <c r="A1579" i="1"/>
  <c r="C1579" i="1"/>
  <c r="N1579" i="1"/>
  <c r="A1580" i="1"/>
  <c r="C1580" i="1"/>
  <c r="N1580" i="1"/>
  <c r="A1581" i="1"/>
  <c r="C1581" i="1"/>
  <c r="N1581" i="1"/>
  <c r="A1582" i="1"/>
  <c r="C1582" i="1"/>
  <c r="N1582" i="1"/>
  <c r="A1583" i="1"/>
  <c r="C1583" i="1"/>
  <c r="N1583" i="1"/>
  <c r="A1584" i="1"/>
  <c r="C1584" i="1"/>
  <c r="N1584" i="1"/>
  <c r="A1585" i="1"/>
  <c r="C1585" i="1"/>
  <c r="N1585" i="1"/>
  <c r="A1586" i="1"/>
  <c r="C1586" i="1"/>
  <c r="N1586" i="1"/>
  <c r="A1587" i="1"/>
  <c r="C1587" i="1"/>
  <c r="N1587" i="1"/>
  <c r="A1588" i="1"/>
  <c r="C1588" i="1"/>
  <c r="N1588" i="1"/>
  <c r="A1589" i="1"/>
  <c r="C1589" i="1"/>
  <c r="N1589" i="1"/>
  <c r="A1590" i="1"/>
  <c r="C1590" i="1"/>
  <c r="N1590" i="1"/>
  <c r="A1591" i="1"/>
  <c r="C1591" i="1"/>
  <c r="N1591" i="1"/>
  <c r="A1592" i="1"/>
  <c r="C1592" i="1"/>
  <c r="N1592" i="1"/>
  <c r="A1593" i="1"/>
  <c r="C1593" i="1"/>
  <c r="N1593" i="1"/>
  <c r="A1594" i="1"/>
  <c r="C1594" i="1"/>
  <c r="N1594" i="1"/>
  <c r="A1595" i="1"/>
  <c r="C1595" i="1"/>
  <c r="N1595" i="1"/>
  <c r="A1596" i="1"/>
  <c r="C1596" i="1"/>
  <c r="N1596" i="1"/>
  <c r="A1597" i="1"/>
  <c r="C1597" i="1"/>
  <c r="N1597" i="1"/>
  <c r="A1598" i="1"/>
  <c r="C1598" i="1"/>
  <c r="N1598" i="1"/>
  <c r="A1599" i="1"/>
  <c r="C1599" i="1"/>
  <c r="N1599" i="1"/>
  <c r="A1600" i="1"/>
  <c r="C1600" i="1"/>
  <c r="N1600" i="1"/>
  <c r="A1601" i="1"/>
  <c r="C1601" i="1"/>
  <c r="N1601" i="1"/>
  <c r="A1602" i="1"/>
  <c r="C1602" i="1"/>
  <c r="N1602" i="1"/>
  <c r="A1603" i="1"/>
  <c r="C1603" i="1"/>
  <c r="N1603" i="1"/>
  <c r="A1604" i="1"/>
  <c r="C1604" i="1"/>
  <c r="N1604" i="1"/>
  <c r="A1605" i="1"/>
  <c r="C1605" i="1"/>
  <c r="N1605" i="1"/>
  <c r="A1606" i="1"/>
  <c r="C1606" i="1"/>
  <c r="N1606" i="1"/>
  <c r="A1607" i="1"/>
  <c r="C1607" i="1"/>
  <c r="N1607" i="1"/>
  <c r="A1608" i="1"/>
  <c r="C1608" i="1"/>
  <c r="N1608" i="1"/>
  <c r="A1609" i="1"/>
  <c r="C1609" i="1"/>
  <c r="N1609" i="1"/>
  <c r="A1610" i="1"/>
  <c r="C1610" i="1"/>
  <c r="N1610" i="1"/>
  <c r="A1611" i="1"/>
  <c r="C1611" i="1"/>
  <c r="N1611" i="1"/>
  <c r="A1612" i="1"/>
  <c r="C1612" i="1"/>
  <c r="N1612" i="1"/>
  <c r="A1613" i="1"/>
  <c r="C1613" i="1"/>
  <c r="N1613" i="1"/>
  <c r="A1614" i="1"/>
  <c r="C1614" i="1"/>
  <c r="N1614" i="1"/>
  <c r="A1615" i="1"/>
  <c r="C1615" i="1"/>
  <c r="N1615" i="1"/>
  <c r="A1616" i="1"/>
  <c r="C1616" i="1"/>
  <c r="N1616" i="1"/>
  <c r="A1617" i="1"/>
  <c r="C1617" i="1"/>
  <c r="N1617" i="1"/>
  <c r="A1618" i="1"/>
  <c r="C1618" i="1"/>
  <c r="N1618" i="1"/>
  <c r="A1619" i="1"/>
  <c r="C1619" i="1"/>
  <c r="N1619" i="1"/>
  <c r="A1620" i="1"/>
  <c r="C1620" i="1"/>
  <c r="N1620" i="1"/>
  <c r="A1621" i="1"/>
  <c r="C1621" i="1"/>
  <c r="N1621" i="1"/>
  <c r="A1622" i="1"/>
  <c r="C1622" i="1"/>
  <c r="N1622" i="1"/>
  <c r="A1623" i="1"/>
  <c r="C1623" i="1"/>
  <c r="N1623" i="1"/>
  <c r="A1624" i="1"/>
  <c r="C1624" i="1"/>
  <c r="N1624" i="1"/>
  <c r="A1625" i="1"/>
  <c r="C1625" i="1"/>
  <c r="N1625" i="1"/>
  <c r="A1626" i="1"/>
  <c r="C1626" i="1"/>
  <c r="N1626" i="1"/>
  <c r="A1627" i="1"/>
  <c r="C1627" i="1"/>
  <c r="N1627" i="1"/>
  <c r="A1628" i="1"/>
  <c r="C1628" i="1"/>
  <c r="N1628" i="1"/>
  <c r="A1629" i="1"/>
  <c r="C1629" i="1"/>
  <c r="F1629" i="1"/>
  <c r="N1629" i="1"/>
  <c r="A1630" i="1"/>
  <c r="C1630" i="1"/>
  <c r="N1630" i="1"/>
  <c r="A1631" i="1"/>
  <c r="C1631" i="1"/>
  <c r="N1631" i="1"/>
  <c r="A1632" i="1"/>
  <c r="C1632" i="1"/>
  <c r="N1632" i="1"/>
  <c r="A1633" i="1"/>
  <c r="C1633" i="1"/>
  <c r="N1633" i="1"/>
  <c r="A1634" i="1"/>
  <c r="C1634" i="1"/>
  <c r="N1634" i="1"/>
  <c r="A1635" i="1"/>
  <c r="C1635" i="1"/>
  <c r="N1635" i="1"/>
  <c r="A1636" i="1"/>
  <c r="C1636" i="1"/>
  <c r="N1636" i="1"/>
  <c r="A1637" i="1"/>
  <c r="C1637" i="1"/>
  <c r="N1637" i="1"/>
  <c r="A1638" i="1"/>
  <c r="C1638" i="1"/>
  <c r="N1638" i="1"/>
  <c r="A1639" i="1"/>
  <c r="C1639" i="1"/>
  <c r="N1639" i="1"/>
  <c r="A1640" i="1"/>
  <c r="C1640" i="1"/>
  <c r="N1640" i="1"/>
  <c r="A1641" i="1"/>
  <c r="C1641" i="1"/>
  <c r="N1641" i="1"/>
  <c r="A1642" i="1"/>
  <c r="C1642" i="1"/>
  <c r="N1642" i="1"/>
  <c r="A1643" i="1"/>
  <c r="C1643" i="1"/>
  <c r="N1643" i="1"/>
  <c r="A1644" i="1"/>
  <c r="C1644" i="1"/>
  <c r="N1644" i="1"/>
  <c r="A1645" i="1"/>
  <c r="C1645" i="1"/>
  <c r="N1645" i="1"/>
  <c r="A1646" i="1"/>
  <c r="C1646" i="1"/>
  <c r="N1646" i="1"/>
  <c r="A1647" i="1"/>
  <c r="C1647" i="1"/>
  <c r="N1647" i="1"/>
  <c r="A1648" i="1"/>
  <c r="C1648" i="1"/>
  <c r="N1648" i="1"/>
  <c r="A1649" i="1"/>
  <c r="C1649" i="1"/>
  <c r="N1649" i="1"/>
  <c r="A1650" i="1"/>
  <c r="C1650" i="1"/>
  <c r="N1650" i="1"/>
  <c r="A1651" i="1"/>
  <c r="C1651" i="1"/>
  <c r="N1651" i="1"/>
  <c r="A1652" i="1"/>
  <c r="C1652" i="1"/>
  <c r="N1652" i="1"/>
  <c r="A1653" i="1"/>
  <c r="C1653" i="1"/>
  <c r="N1653" i="1"/>
  <c r="A1654" i="1"/>
  <c r="C1654" i="1"/>
  <c r="N1654" i="1"/>
  <c r="A1655" i="1"/>
  <c r="C1655" i="1"/>
  <c r="N1655" i="1"/>
  <c r="A1656" i="1"/>
  <c r="C1656" i="1"/>
  <c r="N1656" i="1"/>
  <c r="A1657" i="1"/>
  <c r="C1657" i="1"/>
  <c r="N1657" i="1"/>
  <c r="A1658" i="1"/>
  <c r="C1658" i="1"/>
  <c r="N1658" i="1"/>
  <c r="A1659" i="1"/>
  <c r="C1659" i="1"/>
  <c r="N1659" i="1"/>
  <c r="A1660" i="1"/>
  <c r="C1660" i="1"/>
  <c r="N1660" i="1"/>
  <c r="A1661" i="1"/>
  <c r="C1661" i="1"/>
  <c r="N1661" i="1"/>
  <c r="A1662" i="1"/>
  <c r="C1662" i="1"/>
  <c r="N1662" i="1"/>
  <c r="A1663" i="1"/>
  <c r="C1663" i="1"/>
  <c r="N1663" i="1"/>
  <c r="A1664" i="1"/>
  <c r="C1664" i="1"/>
  <c r="N1664" i="1"/>
  <c r="A1665" i="1"/>
  <c r="C1665" i="1"/>
  <c r="N1665" i="1"/>
  <c r="A1666" i="1"/>
  <c r="C1666" i="1"/>
  <c r="N1666" i="1"/>
  <c r="A1667" i="1"/>
  <c r="C1667" i="1"/>
  <c r="N1667" i="1"/>
  <c r="A1668" i="1"/>
  <c r="C1668" i="1"/>
  <c r="N1668" i="1"/>
  <c r="A1669" i="1"/>
  <c r="C1669" i="1"/>
  <c r="N1669" i="1"/>
  <c r="A1670" i="1"/>
  <c r="C1670" i="1"/>
  <c r="N1670" i="1"/>
  <c r="A1671" i="1"/>
  <c r="C1671" i="1"/>
  <c r="N1671" i="1"/>
  <c r="A1672" i="1"/>
  <c r="C1672" i="1"/>
  <c r="N1672" i="1"/>
  <c r="A1673" i="1"/>
  <c r="C1673" i="1"/>
  <c r="N1673" i="1"/>
  <c r="A1674" i="1"/>
  <c r="C1674" i="1"/>
  <c r="N1674" i="1"/>
  <c r="A1675" i="1"/>
  <c r="C1675" i="1"/>
  <c r="N1675" i="1"/>
  <c r="A1676" i="1"/>
  <c r="C1676" i="1"/>
  <c r="N1676" i="1"/>
  <c r="A1677" i="1"/>
  <c r="C1677" i="1"/>
  <c r="N1677" i="1"/>
  <c r="A1678" i="1"/>
  <c r="C1678" i="1"/>
  <c r="N1678" i="1"/>
  <c r="A1679" i="1"/>
  <c r="C1679" i="1"/>
  <c r="N1679" i="1"/>
  <c r="A1680" i="1"/>
  <c r="C1680" i="1"/>
  <c r="N1680" i="1"/>
  <c r="A1681" i="1"/>
  <c r="C1681" i="1"/>
  <c r="N1681" i="1"/>
  <c r="A1682" i="1"/>
  <c r="C1682" i="1"/>
  <c r="N1682" i="1"/>
  <c r="A1683" i="1"/>
  <c r="C1683" i="1"/>
  <c r="N1683" i="1"/>
  <c r="A1684" i="1"/>
  <c r="C1684" i="1"/>
  <c r="N1684" i="1"/>
  <c r="A1685" i="1"/>
  <c r="C1685" i="1"/>
  <c r="N1685" i="1"/>
  <c r="A1686" i="1"/>
  <c r="C1686" i="1"/>
  <c r="N1686" i="1"/>
  <c r="A1687" i="1"/>
  <c r="C1687" i="1"/>
  <c r="N1687" i="1"/>
  <c r="A1688" i="1"/>
  <c r="C1688" i="1"/>
  <c r="N1688" i="1"/>
  <c r="A1689" i="1"/>
  <c r="C1689" i="1"/>
  <c r="N1689" i="1"/>
  <c r="A1690" i="1"/>
  <c r="C1690" i="1"/>
  <c r="N1690" i="1"/>
  <c r="A1691" i="1"/>
  <c r="C1691" i="1"/>
  <c r="N1691" i="1"/>
  <c r="A1692" i="1"/>
  <c r="C1692" i="1"/>
  <c r="N1692" i="1"/>
  <c r="A1693" i="1"/>
  <c r="C1693" i="1"/>
  <c r="N1693" i="1"/>
  <c r="A1694" i="1"/>
  <c r="C1694" i="1"/>
  <c r="N1694" i="1"/>
  <c r="A1695" i="1"/>
  <c r="C1695" i="1"/>
  <c r="N1695" i="1"/>
  <c r="A1696" i="1"/>
  <c r="C1696" i="1"/>
  <c r="N1696" i="1"/>
  <c r="A1697" i="1"/>
  <c r="C1697" i="1"/>
  <c r="N1697" i="1"/>
  <c r="A1698" i="1"/>
  <c r="C1698" i="1"/>
  <c r="N1698" i="1"/>
  <c r="A1699" i="1"/>
  <c r="C1699" i="1"/>
  <c r="N1699" i="1"/>
  <c r="A1700" i="1"/>
  <c r="C1700" i="1"/>
  <c r="N1700" i="1"/>
  <c r="A1701" i="1"/>
  <c r="C1701" i="1"/>
  <c r="N1701" i="1"/>
  <c r="A1702" i="1"/>
  <c r="C1702" i="1"/>
  <c r="N1702" i="1"/>
  <c r="A1703" i="1"/>
  <c r="C1703" i="1"/>
  <c r="N1703" i="1"/>
  <c r="A1704" i="1"/>
  <c r="C1704" i="1"/>
  <c r="N1704" i="1"/>
  <c r="A1705" i="1"/>
  <c r="C1705" i="1"/>
  <c r="N1705" i="1"/>
  <c r="A1706" i="1"/>
  <c r="C1706" i="1"/>
  <c r="N1706" i="1"/>
  <c r="A1707" i="1"/>
  <c r="C1707" i="1"/>
  <c r="N1707" i="1"/>
  <c r="A1708" i="1"/>
  <c r="C1708" i="1"/>
  <c r="N1708" i="1"/>
  <c r="A1709" i="1"/>
  <c r="C1709" i="1"/>
  <c r="N1709" i="1"/>
  <c r="A1710" i="1"/>
  <c r="C1710" i="1"/>
  <c r="N1710" i="1"/>
  <c r="A1711" i="1"/>
  <c r="C1711" i="1"/>
  <c r="N1711" i="1"/>
  <c r="A1712" i="1"/>
  <c r="C1712" i="1"/>
  <c r="N1712" i="1"/>
  <c r="A1713" i="1"/>
  <c r="C1713" i="1"/>
  <c r="N1713" i="1"/>
  <c r="A1714" i="1"/>
  <c r="C1714" i="1"/>
  <c r="N1714" i="1"/>
  <c r="A1715" i="1"/>
  <c r="C1715" i="1"/>
  <c r="N1715" i="1"/>
  <c r="A1716" i="1"/>
  <c r="C1716" i="1"/>
  <c r="N1716" i="1"/>
  <c r="A1717" i="1"/>
  <c r="C1717" i="1"/>
  <c r="N1717" i="1"/>
  <c r="A1718" i="1"/>
  <c r="C1718" i="1"/>
  <c r="N1718" i="1"/>
  <c r="A1719" i="1"/>
  <c r="C1719" i="1"/>
  <c r="N1719" i="1"/>
  <c r="A1720" i="1"/>
  <c r="C1720" i="1"/>
  <c r="N1720" i="1"/>
  <c r="A1721" i="1"/>
  <c r="C1721" i="1"/>
  <c r="N1721" i="1"/>
  <c r="A1722" i="1"/>
  <c r="C1722" i="1"/>
  <c r="N1722" i="1"/>
  <c r="A1723" i="1"/>
  <c r="C1723" i="1"/>
  <c r="N1723" i="1"/>
  <c r="A1724" i="1"/>
  <c r="C1724" i="1"/>
  <c r="N1724" i="1"/>
  <c r="A1725" i="1"/>
  <c r="C1725" i="1"/>
  <c r="N1725" i="1"/>
  <c r="A1726" i="1"/>
  <c r="C1726" i="1"/>
  <c r="N1726" i="1"/>
  <c r="A1727" i="1"/>
  <c r="C1727" i="1"/>
  <c r="N1727" i="1"/>
  <c r="A1728" i="1"/>
  <c r="C1728" i="1"/>
  <c r="N1728" i="1"/>
  <c r="A1729" i="1"/>
  <c r="C1729" i="1"/>
  <c r="N1729" i="1"/>
  <c r="A1730" i="1"/>
  <c r="C1730" i="1"/>
  <c r="N1730" i="1"/>
  <c r="A1731" i="1"/>
  <c r="C1731" i="1"/>
  <c r="N1731" i="1"/>
  <c r="A1732" i="1"/>
  <c r="C1732" i="1"/>
  <c r="N1732" i="1"/>
  <c r="A1733" i="1"/>
  <c r="C1733" i="1"/>
  <c r="N1733" i="1"/>
  <c r="A1734" i="1"/>
  <c r="C1734" i="1"/>
  <c r="N1734" i="1"/>
  <c r="A1735" i="1"/>
  <c r="C1735" i="1"/>
  <c r="N1735" i="1"/>
  <c r="A1736" i="1"/>
  <c r="C1736" i="1"/>
  <c r="N1736" i="1"/>
  <c r="A1737" i="1"/>
  <c r="C1737" i="1"/>
  <c r="N1737" i="1"/>
  <c r="A1738" i="1"/>
  <c r="C1738" i="1"/>
  <c r="N1738" i="1"/>
  <c r="A1739" i="1"/>
  <c r="C1739" i="1"/>
  <c r="N1739" i="1"/>
  <c r="A1740" i="1"/>
  <c r="C1740" i="1"/>
  <c r="N1740" i="1"/>
  <c r="A1741" i="1"/>
  <c r="C1741" i="1"/>
  <c r="N1741" i="1"/>
  <c r="A1742" i="1"/>
  <c r="C1742" i="1"/>
  <c r="N1742" i="1"/>
  <c r="A1743" i="1"/>
  <c r="C1743" i="1"/>
  <c r="N1743" i="1"/>
  <c r="A1744" i="1"/>
  <c r="C1744" i="1"/>
  <c r="N1744" i="1"/>
  <c r="A1745" i="1"/>
  <c r="C1745" i="1"/>
  <c r="N1745" i="1"/>
  <c r="A1746" i="1"/>
  <c r="C1746" i="1"/>
  <c r="N1746" i="1"/>
  <c r="A1747" i="1"/>
  <c r="C1747" i="1"/>
  <c r="N1747" i="1"/>
  <c r="A1748" i="1"/>
  <c r="C1748" i="1"/>
  <c r="N1748" i="1"/>
  <c r="A1749" i="1"/>
  <c r="C1749" i="1"/>
  <c r="N1749" i="1"/>
  <c r="A1750" i="1"/>
  <c r="C1750" i="1"/>
  <c r="N1750" i="1"/>
  <c r="A1751" i="1"/>
  <c r="C1751" i="1"/>
  <c r="N1751" i="1"/>
  <c r="A1752" i="1"/>
  <c r="C1752" i="1"/>
  <c r="N1752" i="1"/>
  <c r="A1753" i="1"/>
  <c r="C1753" i="1"/>
  <c r="N1753" i="1"/>
  <c r="A1754" i="1"/>
  <c r="C1754" i="1"/>
  <c r="N1754" i="1"/>
  <c r="A1755" i="1"/>
  <c r="C1755" i="1"/>
  <c r="N1755" i="1"/>
  <c r="A1756" i="1"/>
  <c r="C1756" i="1"/>
  <c r="N1756" i="1"/>
  <c r="A1757" i="1"/>
  <c r="C1757" i="1"/>
  <c r="N1757" i="1"/>
  <c r="A1758" i="1"/>
  <c r="C1758" i="1"/>
  <c r="N1758" i="1"/>
  <c r="A1759" i="1"/>
  <c r="C1759" i="1"/>
  <c r="N1759" i="1"/>
  <c r="A1760" i="1"/>
  <c r="C1760" i="1"/>
  <c r="N1760" i="1"/>
  <c r="A1761" i="1"/>
  <c r="C1761" i="1"/>
  <c r="N1761" i="1"/>
  <c r="A1762" i="1"/>
  <c r="C1762" i="1"/>
  <c r="N1762" i="1"/>
  <c r="A1763" i="1"/>
  <c r="C1763" i="1"/>
  <c r="N1763" i="1"/>
  <c r="A1764" i="1"/>
  <c r="C1764" i="1"/>
  <c r="N1764" i="1"/>
  <c r="A1765" i="1"/>
  <c r="C1765" i="1"/>
  <c r="N1765" i="1"/>
  <c r="A1766" i="1"/>
  <c r="C1766" i="1"/>
  <c r="N1766" i="1"/>
  <c r="A1767" i="1"/>
  <c r="C1767" i="1"/>
  <c r="N1767" i="1"/>
  <c r="A1768" i="1"/>
  <c r="C1768" i="1"/>
  <c r="N1768" i="1"/>
  <c r="A1769" i="1"/>
  <c r="C1769" i="1"/>
  <c r="N1769" i="1"/>
  <c r="A1770" i="1"/>
  <c r="C1770" i="1"/>
  <c r="N1770" i="1"/>
  <c r="A1771" i="1"/>
  <c r="C1771" i="1"/>
  <c r="N1771" i="1"/>
  <c r="A1772" i="1"/>
  <c r="C1772" i="1"/>
  <c r="N1772" i="1"/>
  <c r="A1773" i="1"/>
  <c r="C1773" i="1"/>
  <c r="N1773" i="1"/>
  <c r="A1774" i="1"/>
  <c r="C1774" i="1"/>
  <c r="N1774" i="1"/>
  <c r="A1775" i="1"/>
  <c r="C1775" i="1"/>
  <c r="N1775" i="1"/>
  <c r="A1776" i="1"/>
  <c r="C1776" i="1"/>
  <c r="N1776" i="1"/>
  <c r="A1777" i="1"/>
  <c r="C1777" i="1"/>
  <c r="N1777" i="1"/>
  <c r="A1778" i="1"/>
  <c r="C1778" i="1"/>
  <c r="N1778" i="1"/>
  <c r="A1779" i="1"/>
  <c r="C1779" i="1"/>
  <c r="N1779" i="1"/>
  <c r="A1780" i="1"/>
  <c r="C1780" i="1"/>
  <c r="N1780" i="1"/>
  <c r="A1781" i="1"/>
  <c r="C1781" i="1"/>
  <c r="N1781" i="1"/>
  <c r="A1782" i="1"/>
  <c r="C1782" i="1"/>
  <c r="N1782" i="1"/>
  <c r="A1783" i="1"/>
  <c r="C1783" i="1"/>
  <c r="N1783" i="1"/>
  <c r="A1784" i="1"/>
  <c r="C1784" i="1"/>
  <c r="N1784" i="1"/>
  <c r="A1785" i="1"/>
  <c r="C1785" i="1"/>
  <c r="N1785" i="1"/>
  <c r="A1786" i="1"/>
  <c r="C1786" i="1"/>
  <c r="N1786" i="1"/>
  <c r="A1787" i="1"/>
  <c r="C1787" i="1"/>
  <c r="N1787" i="1"/>
  <c r="A1788" i="1"/>
  <c r="C1788" i="1"/>
  <c r="N1788" i="1"/>
  <c r="A1789" i="1"/>
  <c r="C1789" i="1"/>
  <c r="N1789" i="1"/>
  <c r="A1790" i="1"/>
  <c r="C1790" i="1"/>
  <c r="N1790" i="1"/>
  <c r="A1791" i="1"/>
  <c r="C1791" i="1"/>
  <c r="N1791" i="1"/>
  <c r="A1792" i="1"/>
  <c r="C1792" i="1"/>
  <c r="N1792" i="1"/>
  <c r="A1793" i="1"/>
  <c r="C1793" i="1"/>
  <c r="N1793" i="1"/>
  <c r="A1794" i="1"/>
  <c r="C1794" i="1"/>
  <c r="N1794" i="1"/>
  <c r="A1795" i="1"/>
  <c r="C1795" i="1"/>
  <c r="N1795" i="1"/>
  <c r="A1796" i="1"/>
  <c r="C1796" i="1"/>
  <c r="N1796" i="1"/>
  <c r="A1797" i="1"/>
  <c r="C1797" i="1"/>
  <c r="N1797" i="1"/>
  <c r="A1798" i="1"/>
  <c r="C1798" i="1"/>
  <c r="N1798" i="1"/>
  <c r="A1799" i="1"/>
  <c r="C1799" i="1"/>
  <c r="N1799" i="1"/>
  <c r="A1800" i="1"/>
  <c r="C1800" i="1"/>
  <c r="N1800" i="1"/>
  <c r="A1801" i="1"/>
  <c r="C1801" i="1"/>
  <c r="N1801" i="1"/>
  <c r="A1802" i="1"/>
  <c r="C1802" i="1"/>
  <c r="N1802" i="1"/>
  <c r="A1803" i="1"/>
  <c r="C1803" i="1"/>
  <c r="N1803" i="1"/>
  <c r="A1804" i="1"/>
  <c r="C1804" i="1"/>
  <c r="N1804" i="1"/>
  <c r="A1805" i="1"/>
  <c r="C1805" i="1"/>
  <c r="N1805" i="1"/>
  <c r="A1806" i="1"/>
  <c r="C1806" i="1"/>
  <c r="N1806" i="1"/>
  <c r="A1807" i="1"/>
  <c r="C1807" i="1"/>
  <c r="N1807" i="1"/>
  <c r="A1808" i="1"/>
  <c r="C1808" i="1"/>
  <c r="N1808" i="1"/>
  <c r="A1809" i="1"/>
  <c r="C1809" i="1"/>
  <c r="N1809" i="1"/>
  <c r="A1810" i="1"/>
  <c r="C1810" i="1"/>
  <c r="N1810" i="1"/>
  <c r="A1811" i="1"/>
  <c r="C1811" i="1"/>
  <c r="N1811" i="1"/>
  <c r="A1812" i="1"/>
  <c r="C1812" i="1"/>
  <c r="N1812" i="1"/>
  <c r="A1813" i="1"/>
  <c r="C1813" i="1"/>
  <c r="N1813" i="1"/>
  <c r="A1814" i="1"/>
  <c r="C1814" i="1"/>
  <c r="N1814" i="1"/>
  <c r="A1815" i="1"/>
  <c r="C1815" i="1"/>
  <c r="N1815" i="1"/>
  <c r="A1816" i="1"/>
  <c r="C1816" i="1"/>
  <c r="N1816" i="1"/>
  <c r="A1817" i="1"/>
  <c r="C1817" i="1"/>
  <c r="N1817" i="1"/>
  <c r="A1818" i="1"/>
  <c r="C1818" i="1"/>
  <c r="F1818" i="1"/>
  <c r="N1818" i="1"/>
  <c r="A1819" i="1"/>
  <c r="C1819" i="1"/>
  <c r="N1819" i="1"/>
  <c r="A1820" i="1"/>
  <c r="C1820" i="1"/>
  <c r="N1820" i="1"/>
  <c r="A1821" i="1"/>
  <c r="C1821" i="1"/>
  <c r="N1821" i="1"/>
  <c r="A1822" i="1"/>
  <c r="C1822" i="1"/>
  <c r="N1822" i="1"/>
  <c r="A1823" i="1"/>
  <c r="C1823" i="1"/>
  <c r="N1823" i="1"/>
  <c r="A1824" i="1"/>
  <c r="C1824" i="1"/>
  <c r="N1824" i="1"/>
  <c r="A1825" i="1"/>
  <c r="C1825" i="1"/>
  <c r="N1825" i="1"/>
  <c r="A1826" i="1"/>
  <c r="C1826" i="1"/>
  <c r="N1826" i="1"/>
  <c r="A1827" i="1"/>
  <c r="C1827" i="1"/>
  <c r="N1827" i="1"/>
  <c r="A1828" i="1"/>
  <c r="C1828" i="1"/>
  <c r="N1828" i="1"/>
  <c r="A1829" i="1"/>
  <c r="C1829" i="1"/>
  <c r="N1829" i="1"/>
  <c r="A1830" i="1"/>
  <c r="C1830" i="1"/>
  <c r="N1830" i="1"/>
  <c r="A1831" i="1"/>
  <c r="C1831" i="1"/>
  <c r="N1831" i="1"/>
  <c r="A1832" i="1"/>
  <c r="C1832" i="1"/>
  <c r="N1832" i="1"/>
  <c r="A1833" i="1"/>
  <c r="C1833" i="1"/>
  <c r="N1833" i="1"/>
  <c r="A1834" i="1"/>
  <c r="C1834" i="1"/>
  <c r="N1834" i="1"/>
  <c r="A1835" i="1"/>
  <c r="C1835" i="1"/>
  <c r="N1835" i="1"/>
  <c r="A1836" i="1"/>
  <c r="C1836" i="1"/>
  <c r="N1836" i="1"/>
  <c r="A1837" i="1"/>
  <c r="C1837" i="1"/>
  <c r="N1837" i="1"/>
  <c r="A1838" i="1"/>
  <c r="C1838" i="1"/>
  <c r="N1838" i="1"/>
  <c r="A1839" i="1"/>
  <c r="C1839" i="1"/>
  <c r="N1839" i="1"/>
  <c r="A1840" i="1"/>
  <c r="C1840" i="1"/>
  <c r="N1840" i="1"/>
  <c r="A1841" i="1"/>
  <c r="C1841" i="1"/>
  <c r="N1841" i="1"/>
  <c r="A1842" i="1"/>
  <c r="C1842" i="1"/>
  <c r="N1842" i="1"/>
  <c r="A1843" i="1"/>
  <c r="C1843" i="1"/>
  <c r="N1843" i="1"/>
  <c r="A1844" i="1"/>
  <c r="C1844" i="1"/>
  <c r="N1844" i="1"/>
  <c r="A1845" i="1"/>
  <c r="C1845" i="1"/>
  <c r="N1845" i="1"/>
  <c r="A1846" i="1"/>
  <c r="C1846" i="1"/>
  <c r="N1846" i="1"/>
  <c r="A1847" i="1"/>
  <c r="C1847" i="1"/>
  <c r="N1847" i="1"/>
  <c r="A1848" i="1"/>
  <c r="C1848" i="1"/>
  <c r="N1848" i="1"/>
  <c r="A1849" i="1"/>
  <c r="C1849" i="1"/>
  <c r="N1849" i="1"/>
  <c r="A1850" i="1"/>
  <c r="C1850" i="1"/>
  <c r="N1850" i="1"/>
  <c r="A1851" i="1"/>
  <c r="C1851" i="1"/>
  <c r="N1851" i="1"/>
  <c r="A1852" i="1"/>
  <c r="C1852" i="1"/>
  <c r="N1852" i="1"/>
  <c r="A1853" i="1"/>
  <c r="C1853" i="1"/>
  <c r="N1853" i="1"/>
  <c r="A1854" i="1"/>
  <c r="C1854" i="1"/>
  <c r="N1854" i="1"/>
  <c r="A1855" i="1"/>
  <c r="C1855" i="1"/>
  <c r="N1855" i="1"/>
  <c r="A1856" i="1"/>
  <c r="C1856" i="1"/>
  <c r="N1856" i="1"/>
  <c r="A1857" i="1"/>
  <c r="C1857" i="1"/>
  <c r="N1857" i="1"/>
  <c r="A1858" i="1"/>
  <c r="C1858" i="1"/>
  <c r="N1858" i="1"/>
  <c r="A1859" i="1"/>
  <c r="C1859" i="1"/>
  <c r="N1859" i="1"/>
  <c r="A1860" i="1"/>
  <c r="C1860" i="1"/>
  <c r="N1860" i="1"/>
  <c r="A1861" i="1"/>
  <c r="C1861" i="1"/>
  <c r="N1861" i="1"/>
  <c r="A1862" i="1"/>
  <c r="C1862" i="1"/>
  <c r="N1862" i="1"/>
  <c r="A1863" i="1"/>
  <c r="C1863" i="1"/>
  <c r="N1863" i="1"/>
  <c r="A1864" i="1"/>
  <c r="C1864" i="1"/>
  <c r="N1864" i="1"/>
  <c r="A1865" i="1"/>
  <c r="C1865" i="1"/>
  <c r="N1865" i="1"/>
  <c r="A1866" i="1"/>
  <c r="C1866" i="1"/>
  <c r="N1866" i="1"/>
  <c r="A1867" i="1"/>
  <c r="C1867" i="1"/>
  <c r="N1867" i="1"/>
  <c r="A1868" i="1"/>
  <c r="C1868" i="1"/>
  <c r="N1868" i="1"/>
  <c r="A1869" i="1"/>
  <c r="C1869" i="1"/>
  <c r="N1869" i="1"/>
  <c r="A1870" i="1"/>
  <c r="C1870" i="1"/>
  <c r="N1870" i="1"/>
  <c r="A1871" i="1"/>
  <c r="C1871" i="1"/>
  <c r="N1871" i="1"/>
  <c r="A1872" i="1"/>
  <c r="C1872" i="1"/>
  <c r="N1872" i="1"/>
  <c r="A1873" i="1"/>
  <c r="C1873" i="1"/>
  <c r="N1873" i="1"/>
  <c r="A1874" i="1"/>
  <c r="C1874" i="1"/>
  <c r="N1874" i="1"/>
  <c r="A1875" i="1"/>
  <c r="C1875" i="1"/>
  <c r="N1875" i="1"/>
  <c r="A1876" i="1"/>
  <c r="C1876" i="1"/>
  <c r="N1876" i="1"/>
  <c r="A1877" i="1"/>
  <c r="C1877" i="1"/>
  <c r="N1877" i="1"/>
  <c r="A1878" i="1"/>
  <c r="C1878" i="1"/>
  <c r="N1878" i="1"/>
  <c r="A1879" i="1"/>
  <c r="C1879" i="1"/>
  <c r="N1879" i="1"/>
  <c r="A1880" i="1"/>
  <c r="C1880" i="1"/>
  <c r="N1880" i="1"/>
  <c r="A1881" i="1"/>
  <c r="C1881" i="1"/>
  <c r="N1881" i="1"/>
  <c r="A1882" i="1"/>
  <c r="C1882" i="1"/>
  <c r="N1882" i="1"/>
  <c r="A1883" i="1"/>
  <c r="C1883" i="1"/>
  <c r="N1883" i="1"/>
  <c r="A1884" i="1"/>
  <c r="C1884" i="1"/>
  <c r="N1884" i="1"/>
  <c r="A1885" i="1"/>
  <c r="C1885" i="1"/>
  <c r="N1885" i="1"/>
  <c r="A1886" i="1"/>
  <c r="C1886" i="1"/>
  <c r="N1886" i="1"/>
  <c r="A1887" i="1"/>
  <c r="C1887" i="1"/>
  <c r="N1887" i="1"/>
  <c r="A1888" i="1"/>
  <c r="C1888" i="1"/>
  <c r="N1888" i="1"/>
  <c r="A1889" i="1"/>
  <c r="C1889" i="1"/>
  <c r="N1889" i="1"/>
  <c r="A1890" i="1"/>
  <c r="C1890" i="1"/>
  <c r="N1890" i="1"/>
  <c r="A1891" i="1"/>
  <c r="C1891" i="1"/>
  <c r="N1891" i="1"/>
  <c r="A1892" i="1"/>
  <c r="C1892" i="1"/>
  <c r="N1892" i="1"/>
  <c r="A1893" i="1"/>
  <c r="C1893" i="1"/>
  <c r="N1893" i="1"/>
  <c r="A1894" i="1"/>
  <c r="C1894" i="1"/>
  <c r="N1894" i="1"/>
  <c r="A1895" i="1"/>
  <c r="C1895" i="1"/>
  <c r="N1895" i="1"/>
  <c r="A1896" i="1"/>
  <c r="C1896" i="1"/>
  <c r="N1896" i="1"/>
  <c r="A1897" i="1"/>
  <c r="C1897" i="1"/>
  <c r="N1897" i="1"/>
  <c r="A1898" i="1"/>
  <c r="C1898" i="1"/>
  <c r="N1898" i="1"/>
  <c r="A1899" i="1"/>
  <c r="C1899" i="1"/>
  <c r="N1899" i="1"/>
  <c r="A1900" i="1"/>
  <c r="C1900" i="1"/>
  <c r="N1900" i="1"/>
  <c r="A1901" i="1"/>
  <c r="C1901" i="1"/>
  <c r="N1901" i="1"/>
  <c r="A1902" i="1"/>
  <c r="C1902" i="1"/>
  <c r="N1902" i="1"/>
  <c r="A1903" i="1"/>
  <c r="C1903" i="1"/>
  <c r="N1903" i="1"/>
  <c r="A1904" i="1"/>
  <c r="C1904" i="1"/>
  <c r="N1904" i="1"/>
  <c r="A1905" i="1"/>
  <c r="C1905" i="1"/>
  <c r="N1905" i="1"/>
  <c r="A1906" i="1"/>
  <c r="C1906" i="1"/>
  <c r="N1906" i="1"/>
  <c r="A1907" i="1"/>
  <c r="C1907" i="1"/>
  <c r="N1907" i="1"/>
  <c r="A1908" i="1"/>
  <c r="C1908" i="1"/>
  <c r="N1908" i="1"/>
  <c r="A1909" i="1"/>
  <c r="C1909" i="1"/>
  <c r="N1909" i="1"/>
  <c r="A1910" i="1"/>
  <c r="C1910" i="1"/>
  <c r="N1910" i="1"/>
  <c r="A1911" i="1"/>
  <c r="C1911" i="1"/>
  <c r="N1911" i="1"/>
  <c r="A1912" i="1"/>
  <c r="C1912" i="1"/>
  <c r="N1912" i="1"/>
  <c r="A1913" i="1"/>
  <c r="C1913" i="1"/>
  <c r="N1913" i="1"/>
  <c r="A1914" i="1"/>
  <c r="C1914" i="1"/>
  <c r="N1914" i="1"/>
  <c r="A1915" i="1"/>
  <c r="C1915" i="1"/>
  <c r="N1915" i="1"/>
  <c r="A1916" i="1"/>
  <c r="C1916" i="1"/>
  <c r="N1916" i="1"/>
  <c r="A1917" i="1"/>
  <c r="C1917" i="1"/>
  <c r="N1917" i="1"/>
  <c r="A1918" i="1"/>
  <c r="C1918" i="1"/>
  <c r="N1918" i="1"/>
  <c r="A1919" i="1"/>
  <c r="C1919" i="1"/>
  <c r="N1919" i="1"/>
  <c r="A1920" i="1"/>
  <c r="C1920" i="1"/>
  <c r="N1920" i="1"/>
  <c r="A1921" i="1"/>
  <c r="C1921" i="1"/>
  <c r="N1921" i="1"/>
  <c r="A1922" i="1"/>
  <c r="C1922" i="1"/>
  <c r="N1922" i="1"/>
  <c r="A1923" i="1"/>
  <c r="C1923" i="1"/>
  <c r="N1923" i="1"/>
  <c r="A1924" i="1"/>
  <c r="C1924" i="1"/>
  <c r="N1924" i="1"/>
  <c r="A1925" i="1"/>
  <c r="C1925" i="1"/>
  <c r="N1925" i="1"/>
  <c r="A1926" i="1"/>
  <c r="C1926" i="1"/>
  <c r="N1926" i="1"/>
  <c r="A1927" i="1"/>
  <c r="C1927" i="1"/>
  <c r="N1927" i="1"/>
  <c r="A1928" i="1"/>
  <c r="C1928" i="1"/>
  <c r="N1928" i="1"/>
  <c r="A1929" i="1"/>
  <c r="C1929" i="1"/>
  <c r="N1929" i="1"/>
  <c r="A1930" i="1"/>
  <c r="C1930" i="1"/>
  <c r="N1930" i="1"/>
  <c r="A1931" i="1"/>
  <c r="C1931" i="1"/>
  <c r="N1931" i="1"/>
  <c r="A1932" i="1"/>
  <c r="C1932" i="1"/>
  <c r="N1932" i="1"/>
  <c r="A1933" i="1"/>
  <c r="C1933" i="1"/>
  <c r="N1933" i="1"/>
  <c r="A1934" i="1"/>
  <c r="C1934" i="1"/>
  <c r="N1934" i="1"/>
  <c r="A1935" i="1"/>
  <c r="C1935" i="1"/>
  <c r="N1935" i="1"/>
  <c r="A1936" i="1"/>
  <c r="C1936" i="1"/>
  <c r="N1936" i="1"/>
  <c r="A1937" i="1"/>
  <c r="C1937" i="1"/>
  <c r="N1937" i="1"/>
  <c r="A1938" i="1"/>
  <c r="C1938" i="1"/>
  <c r="N1938" i="1"/>
  <c r="A1939" i="1"/>
  <c r="C1939" i="1"/>
  <c r="N1939" i="1"/>
  <c r="A1940" i="1"/>
  <c r="C1940" i="1"/>
  <c r="N1940" i="1"/>
  <c r="A1941" i="1"/>
  <c r="C1941" i="1"/>
  <c r="N1941" i="1"/>
  <c r="A1942" i="1"/>
  <c r="C1942" i="1"/>
  <c r="N1942" i="1"/>
  <c r="A1943" i="1"/>
  <c r="C1943" i="1"/>
  <c r="N1943" i="1"/>
  <c r="A1944" i="1"/>
  <c r="C1944" i="1"/>
  <c r="N1944" i="1"/>
  <c r="A1945" i="1"/>
  <c r="C1945" i="1"/>
  <c r="N1945" i="1"/>
  <c r="A1946" i="1"/>
  <c r="C1946" i="1"/>
  <c r="N1946" i="1"/>
  <c r="A1947" i="1"/>
  <c r="C1947" i="1"/>
  <c r="N1947" i="1"/>
  <c r="A1948" i="1"/>
  <c r="C1948" i="1"/>
  <c r="N1948" i="1"/>
  <c r="A1949" i="1"/>
  <c r="C1949" i="1"/>
  <c r="N1949" i="1"/>
  <c r="A1950" i="1"/>
  <c r="C1950" i="1"/>
  <c r="N1950" i="1"/>
  <c r="A1951" i="1"/>
  <c r="C1951" i="1"/>
  <c r="N1951" i="1"/>
  <c r="A1952" i="1"/>
  <c r="C1952" i="1"/>
  <c r="N1952" i="1"/>
  <c r="A1953" i="1"/>
  <c r="C1953" i="1"/>
  <c r="N1953" i="1"/>
  <c r="A1954" i="1"/>
  <c r="C1954" i="1"/>
  <c r="N1954" i="1"/>
  <c r="A1955" i="1"/>
  <c r="C1955" i="1"/>
  <c r="N1955" i="1"/>
  <c r="A1956" i="1"/>
  <c r="C1956" i="1"/>
  <c r="N1956" i="1"/>
  <c r="A1957" i="1"/>
  <c r="C1957" i="1"/>
  <c r="N1957" i="1"/>
  <c r="A1958" i="1"/>
  <c r="C1958" i="1"/>
  <c r="N1958" i="1"/>
  <c r="A1959" i="1"/>
  <c r="C1959" i="1"/>
  <c r="N1959" i="1"/>
  <c r="A1960" i="1"/>
  <c r="C1960" i="1"/>
  <c r="N1960" i="1"/>
  <c r="A1961" i="1"/>
  <c r="C1961" i="1"/>
  <c r="N1961" i="1"/>
  <c r="A1962" i="1"/>
  <c r="C1962" i="1"/>
  <c r="N1962" i="1"/>
  <c r="A1963" i="1"/>
  <c r="C1963" i="1"/>
  <c r="N1963" i="1"/>
  <c r="A1964" i="1"/>
  <c r="C1964" i="1"/>
  <c r="N1964" i="1"/>
  <c r="A1965" i="1"/>
  <c r="C1965" i="1"/>
  <c r="N1965" i="1"/>
  <c r="A1966" i="1"/>
  <c r="C1966" i="1"/>
  <c r="N1966" i="1"/>
  <c r="A1967" i="1"/>
  <c r="C1967" i="1"/>
  <c r="N1967" i="1"/>
  <c r="A1968" i="1"/>
  <c r="C1968" i="1"/>
  <c r="N1968" i="1"/>
  <c r="A1969" i="1"/>
  <c r="C1969" i="1"/>
  <c r="N1969" i="1"/>
  <c r="A1970" i="1"/>
  <c r="C1970" i="1"/>
  <c r="N1970" i="1"/>
  <c r="A1971" i="1"/>
  <c r="C1971" i="1"/>
  <c r="N1971" i="1"/>
  <c r="A1972" i="1"/>
  <c r="C1972" i="1"/>
  <c r="N1972" i="1"/>
  <c r="A1973" i="1"/>
  <c r="C1973" i="1"/>
  <c r="N1973" i="1"/>
  <c r="A1974" i="1"/>
  <c r="C1974" i="1"/>
  <c r="N1974" i="1"/>
  <c r="A1975" i="1"/>
  <c r="C1975" i="1"/>
  <c r="N1975" i="1"/>
  <c r="A1976" i="1"/>
  <c r="C1976" i="1"/>
  <c r="N1976" i="1"/>
  <c r="A1977" i="1"/>
  <c r="C1977" i="1"/>
  <c r="N1977" i="1"/>
  <c r="A1978" i="1"/>
  <c r="C1978" i="1"/>
  <c r="N1978" i="1"/>
  <c r="A1979" i="1"/>
  <c r="C1979" i="1"/>
  <c r="N1979" i="1"/>
  <c r="A1980" i="1"/>
  <c r="C1980" i="1"/>
  <c r="N1980" i="1"/>
  <c r="A1981" i="1"/>
  <c r="C1981" i="1"/>
  <c r="N1981" i="1"/>
  <c r="A1982" i="1"/>
  <c r="C1982" i="1"/>
  <c r="N1982" i="1"/>
  <c r="A1983" i="1"/>
  <c r="C1983" i="1"/>
  <c r="N1983" i="1"/>
  <c r="A1984" i="1"/>
  <c r="C1984" i="1"/>
  <c r="N1984" i="1"/>
  <c r="A1985" i="1"/>
  <c r="C1985" i="1"/>
  <c r="N1985" i="1"/>
  <c r="A1986" i="1"/>
  <c r="C1986" i="1"/>
  <c r="N1986" i="1"/>
  <c r="A1987" i="1"/>
  <c r="C1987" i="1"/>
  <c r="N1987" i="1"/>
  <c r="A1988" i="1"/>
  <c r="C1988" i="1"/>
  <c r="N1988" i="1"/>
  <c r="A1989" i="1"/>
  <c r="C1989" i="1"/>
  <c r="N1989" i="1"/>
  <c r="A1990" i="1"/>
  <c r="C1990" i="1"/>
  <c r="N1990" i="1"/>
  <c r="A1991" i="1"/>
  <c r="C1991" i="1"/>
  <c r="N1991" i="1"/>
  <c r="A1992" i="1"/>
  <c r="C1992" i="1"/>
  <c r="N1992" i="1"/>
  <c r="A1993" i="1"/>
  <c r="C1993" i="1"/>
  <c r="N1993" i="1"/>
  <c r="A1994" i="1"/>
  <c r="C1994" i="1"/>
  <c r="N1994" i="1"/>
  <c r="A1995" i="1"/>
  <c r="C1995" i="1"/>
  <c r="N1995" i="1"/>
  <c r="A1996" i="1"/>
  <c r="C1996" i="1"/>
  <c r="N1996" i="1"/>
  <c r="A1997" i="1"/>
  <c r="C1997" i="1"/>
  <c r="N1997" i="1"/>
  <c r="A1998" i="1"/>
  <c r="C1998" i="1"/>
  <c r="N1998" i="1"/>
  <c r="A1999" i="1"/>
  <c r="C1999" i="1"/>
  <c r="N1999" i="1"/>
  <c r="A2000" i="1"/>
  <c r="C2000" i="1"/>
  <c r="N2000" i="1"/>
  <c r="A2001" i="1"/>
  <c r="C2001" i="1"/>
  <c r="N2001" i="1"/>
  <c r="A2002" i="1"/>
  <c r="C2002" i="1"/>
  <c r="N2002" i="1"/>
  <c r="A2003" i="1"/>
  <c r="C2003" i="1"/>
  <c r="N2003" i="1"/>
  <c r="A2004" i="1"/>
  <c r="C2004" i="1"/>
  <c r="N2004" i="1"/>
  <c r="A2005" i="1"/>
  <c r="C2005" i="1"/>
  <c r="N2005" i="1"/>
  <c r="A2006" i="1"/>
  <c r="C2006" i="1"/>
  <c r="N2006" i="1"/>
  <c r="A2007" i="1"/>
  <c r="C2007" i="1"/>
  <c r="N2007" i="1"/>
  <c r="A2008" i="1"/>
  <c r="C2008" i="1"/>
  <c r="N2008" i="1"/>
  <c r="A2009" i="1"/>
  <c r="C2009" i="1"/>
  <c r="N2009" i="1"/>
  <c r="A2010" i="1"/>
  <c r="C2010" i="1"/>
  <c r="N2010" i="1"/>
  <c r="A2011" i="1"/>
  <c r="C2011" i="1"/>
  <c r="N2011" i="1"/>
  <c r="A2012" i="1"/>
  <c r="C2012" i="1"/>
  <c r="N2012" i="1"/>
  <c r="A2013" i="1"/>
  <c r="C2013" i="1"/>
  <c r="N2013" i="1"/>
  <c r="A2014" i="1"/>
  <c r="C2014" i="1"/>
  <c r="N2014" i="1"/>
  <c r="A2015" i="1"/>
  <c r="C2015" i="1"/>
  <c r="N2015" i="1"/>
  <c r="A2016" i="1"/>
  <c r="C2016" i="1"/>
  <c r="N2016" i="1"/>
  <c r="A2017" i="1"/>
  <c r="C2017" i="1"/>
  <c r="N2017" i="1"/>
  <c r="A2018" i="1"/>
  <c r="C2018" i="1"/>
  <c r="N2018" i="1"/>
  <c r="A2019" i="1"/>
  <c r="C2019" i="1"/>
  <c r="N2019" i="1"/>
  <c r="A2020" i="1"/>
  <c r="C2020" i="1"/>
  <c r="N2020" i="1"/>
  <c r="A2021" i="1"/>
  <c r="C2021" i="1"/>
  <c r="N2021" i="1"/>
  <c r="A2022" i="1"/>
  <c r="C2022" i="1"/>
  <c r="N2022" i="1"/>
  <c r="A2023" i="1"/>
  <c r="C2023" i="1"/>
  <c r="N2023" i="1"/>
  <c r="A2024" i="1"/>
  <c r="C2024" i="1"/>
  <c r="N2024" i="1"/>
  <c r="A2025" i="1"/>
  <c r="C2025" i="1"/>
  <c r="N2025" i="1"/>
  <c r="A2026" i="1"/>
  <c r="C2026" i="1"/>
  <c r="N2026" i="1"/>
  <c r="A2027" i="1"/>
  <c r="C2027" i="1"/>
  <c r="N2027" i="1"/>
  <c r="A2028" i="1"/>
  <c r="C2028" i="1"/>
  <c r="N2028" i="1"/>
  <c r="A2029" i="1"/>
  <c r="C2029" i="1"/>
  <c r="N2029" i="1"/>
  <c r="A2030" i="1"/>
  <c r="C2030" i="1"/>
  <c r="N2030" i="1"/>
  <c r="A2031" i="1"/>
  <c r="C2031" i="1"/>
  <c r="N2031" i="1"/>
  <c r="A2032" i="1"/>
  <c r="C2032" i="1"/>
  <c r="N2032" i="1"/>
  <c r="A2033" i="1"/>
  <c r="C2033" i="1"/>
  <c r="N2033" i="1"/>
  <c r="A2034" i="1"/>
  <c r="C2034" i="1"/>
  <c r="N2034" i="1"/>
  <c r="A2035" i="1"/>
  <c r="C2035" i="1"/>
  <c r="N2035" i="1"/>
  <c r="A2036" i="1"/>
  <c r="C2036" i="1"/>
  <c r="N2036" i="1"/>
  <c r="A2037" i="1"/>
  <c r="C2037" i="1"/>
  <c r="N2037" i="1"/>
  <c r="A2038" i="1"/>
  <c r="C2038" i="1"/>
  <c r="N2038" i="1"/>
  <c r="A2039" i="1"/>
  <c r="C2039" i="1"/>
  <c r="N2039" i="1"/>
  <c r="A2040" i="1"/>
  <c r="C2040" i="1"/>
  <c r="N2040" i="1"/>
  <c r="A2041" i="1"/>
  <c r="C2041" i="1"/>
  <c r="N2041" i="1"/>
  <c r="A2042" i="1"/>
  <c r="C2042" i="1"/>
  <c r="N2042" i="1"/>
  <c r="A2043" i="1"/>
  <c r="C2043" i="1"/>
  <c r="N2043" i="1"/>
  <c r="A2044" i="1"/>
  <c r="C2044" i="1"/>
  <c r="N2044" i="1"/>
  <c r="A2045" i="1"/>
  <c r="C2045" i="1"/>
  <c r="N2045" i="1"/>
  <c r="A2046" i="1"/>
  <c r="C2046" i="1"/>
  <c r="N2046" i="1"/>
  <c r="A2047" i="1"/>
  <c r="C2047" i="1"/>
  <c r="N2047" i="1"/>
  <c r="A2048" i="1"/>
  <c r="C2048" i="1"/>
  <c r="N2048" i="1"/>
  <c r="A2049" i="1"/>
  <c r="C2049" i="1"/>
  <c r="N2049" i="1"/>
  <c r="A2050" i="1"/>
  <c r="C2050" i="1"/>
  <c r="N2050" i="1"/>
  <c r="A2051" i="1"/>
  <c r="C2051" i="1"/>
  <c r="N2051" i="1"/>
  <c r="A2052" i="1"/>
  <c r="C2052" i="1"/>
  <c r="N2052" i="1"/>
  <c r="A2053" i="1"/>
  <c r="C2053" i="1"/>
  <c r="N2053" i="1"/>
  <c r="A2054" i="1"/>
  <c r="C2054" i="1"/>
  <c r="N2054" i="1"/>
  <c r="A2055" i="1"/>
  <c r="C2055" i="1"/>
  <c r="N2055" i="1"/>
  <c r="A2056" i="1"/>
  <c r="C2056" i="1"/>
  <c r="N2056" i="1"/>
  <c r="A2057" i="1"/>
  <c r="C2057" i="1"/>
  <c r="N2057" i="1"/>
  <c r="A2058" i="1"/>
  <c r="C2058" i="1"/>
  <c r="N2058" i="1"/>
  <c r="A2059" i="1"/>
  <c r="C2059" i="1"/>
  <c r="N2059" i="1"/>
  <c r="A2060" i="1"/>
  <c r="C2060" i="1"/>
  <c r="N2060" i="1"/>
  <c r="A2061" i="1"/>
  <c r="C2061" i="1"/>
  <c r="N2061" i="1"/>
  <c r="A2062" i="1"/>
  <c r="C2062" i="1"/>
  <c r="N2062" i="1"/>
  <c r="A2063" i="1"/>
  <c r="C2063" i="1"/>
  <c r="N2063" i="1"/>
  <c r="A2064" i="1"/>
  <c r="C2064" i="1"/>
  <c r="N2064" i="1"/>
  <c r="A2065" i="1"/>
  <c r="C2065" i="1"/>
  <c r="N2065" i="1"/>
  <c r="A2066" i="1"/>
  <c r="C2066" i="1"/>
  <c r="F2066" i="1"/>
  <c r="N2066" i="1"/>
  <c r="A2067" i="1"/>
  <c r="C2067" i="1"/>
  <c r="N2067" i="1"/>
  <c r="A2068" i="1"/>
  <c r="C2068" i="1"/>
  <c r="N2068" i="1"/>
  <c r="A2069" i="1"/>
  <c r="C2069" i="1"/>
  <c r="N2069" i="1"/>
  <c r="A2070" i="1"/>
  <c r="C2070" i="1"/>
  <c r="N2070" i="1"/>
  <c r="A2071" i="1"/>
  <c r="C2071" i="1"/>
  <c r="N2071" i="1"/>
  <c r="A2072" i="1"/>
  <c r="C2072" i="1"/>
  <c r="N2072" i="1"/>
  <c r="A2073" i="1"/>
  <c r="C2073" i="1"/>
  <c r="N2073" i="1"/>
  <c r="A2074" i="1"/>
  <c r="C2074" i="1"/>
  <c r="N2074" i="1"/>
  <c r="A2075" i="1"/>
  <c r="C2075" i="1"/>
  <c r="N2075" i="1"/>
  <c r="A2076" i="1"/>
  <c r="C2076" i="1"/>
  <c r="N2076" i="1"/>
  <c r="A2077" i="1"/>
  <c r="C2077" i="1"/>
  <c r="N2077" i="1"/>
  <c r="A2078" i="1"/>
  <c r="C2078" i="1"/>
  <c r="N2078" i="1"/>
  <c r="A2079" i="1"/>
  <c r="C2079" i="1"/>
  <c r="N2079" i="1"/>
  <c r="A2080" i="1"/>
  <c r="C2080" i="1"/>
  <c r="N2080" i="1"/>
  <c r="A2081" i="1"/>
  <c r="C2081" i="1"/>
  <c r="N2081" i="1"/>
  <c r="A2082" i="1"/>
  <c r="C2082" i="1"/>
  <c r="N2082" i="1"/>
  <c r="A2083" i="1"/>
  <c r="C2083" i="1"/>
  <c r="N2083" i="1"/>
  <c r="A2084" i="1"/>
  <c r="C2084" i="1"/>
  <c r="N2084" i="1"/>
  <c r="A2085" i="1"/>
  <c r="C2085" i="1"/>
  <c r="N2085" i="1"/>
  <c r="A2086" i="1"/>
  <c r="C2086" i="1"/>
  <c r="N2086" i="1"/>
  <c r="A2087" i="1"/>
  <c r="C2087" i="1"/>
  <c r="N2087" i="1"/>
  <c r="A2088" i="1"/>
  <c r="C2088" i="1"/>
  <c r="N2088" i="1"/>
  <c r="A2089" i="1"/>
  <c r="C2089" i="1"/>
  <c r="N2089" i="1"/>
  <c r="A2090" i="1"/>
  <c r="C2090" i="1"/>
  <c r="N2090" i="1"/>
  <c r="A2091" i="1"/>
  <c r="C2091" i="1"/>
  <c r="N2091" i="1"/>
  <c r="A2092" i="1"/>
  <c r="C2092" i="1"/>
  <c r="N2092" i="1"/>
  <c r="A2093" i="1"/>
  <c r="C2093" i="1"/>
  <c r="N2093" i="1"/>
  <c r="A2094" i="1"/>
  <c r="C2094" i="1"/>
  <c r="N2094" i="1"/>
  <c r="A2095" i="1"/>
  <c r="C2095" i="1"/>
  <c r="N2095" i="1"/>
  <c r="A2096" i="1"/>
  <c r="C2096" i="1"/>
  <c r="N2096" i="1"/>
  <c r="A2097" i="1"/>
  <c r="C2097" i="1"/>
  <c r="N2097" i="1"/>
  <c r="A2098" i="1"/>
  <c r="C2098" i="1"/>
  <c r="N2098" i="1"/>
  <c r="A2099" i="1"/>
  <c r="C2099" i="1"/>
  <c r="N2099" i="1"/>
  <c r="A2100" i="1"/>
  <c r="C2100" i="1"/>
  <c r="N2100" i="1"/>
  <c r="A2101" i="1"/>
  <c r="C2101" i="1"/>
  <c r="N2101" i="1"/>
  <c r="A2102" i="1"/>
  <c r="C2102" i="1"/>
  <c r="N2102" i="1"/>
  <c r="A2103" i="1"/>
  <c r="C2103" i="1"/>
  <c r="N2103" i="1"/>
  <c r="A2104" i="1"/>
  <c r="C2104" i="1"/>
  <c r="N2104" i="1"/>
  <c r="A2105" i="1"/>
  <c r="C2105" i="1"/>
  <c r="N2105" i="1"/>
  <c r="A2106" i="1"/>
  <c r="C2106" i="1"/>
  <c r="N2106" i="1"/>
  <c r="A2107" i="1"/>
  <c r="C2107" i="1"/>
  <c r="N2107" i="1"/>
  <c r="A2108" i="1"/>
  <c r="C2108" i="1"/>
  <c r="N2108" i="1"/>
  <c r="A2109" i="1"/>
  <c r="C2109" i="1"/>
  <c r="N2109" i="1"/>
  <c r="A2110" i="1"/>
  <c r="C2110" i="1"/>
  <c r="N2110" i="1"/>
  <c r="A2111" i="1"/>
  <c r="C2111" i="1"/>
  <c r="N2111" i="1"/>
  <c r="A2112" i="1"/>
  <c r="C2112" i="1"/>
  <c r="N2112" i="1"/>
  <c r="A2113" i="1"/>
  <c r="C2113" i="1"/>
  <c r="F2113" i="1"/>
  <c r="N2113" i="1"/>
  <c r="A2114" i="1"/>
  <c r="C2114" i="1"/>
  <c r="N2114" i="1"/>
  <c r="A2115" i="1"/>
  <c r="C2115" i="1"/>
  <c r="N2115" i="1"/>
  <c r="A2116" i="1"/>
  <c r="C2116" i="1"/>
  <c r="N2116" i="1"/>
  <c r="A2117" i="1"/>
  <c r="C2117" i="1"/>
  <c r="N2117" i="1"/>
  <c r="A2118" i="1"/>
  <c r="C2118" i="1"/>
  <c r="N2118" i="1"/>
  <c r="A2119" i="1"/>
  <c r="C2119" i="1"/>
  <c r="N2119" i="1"/>
  <c r="A2120" i="1"/>
  <c r="C2120" i="1"/>
  <c r="N2120" i="1"/>
  <c r="A2121" i="1"/>
  <c r="C2121" i="1"/>
  <c r="N2121" i="1"/>
  <c r="A2122" i="1"/>
  <c r="C2122" i="1"/>
  <c r="N2122" i="1"/>
  <c r="A2123" i="1"/>
  <c r="C2123" i="1"/>
  <c r="N2123" i="1"/>
  <c r="A2124" i="1"/>
  <c r="C2124" i="1"/>
  <c r="N2124" i="1"/>
  <c r="A2125" i="1"/>
  <c r="C2125" i="1"/>
  <c r="N2125" i="1"/>
  <c r="A2126" i="1"/>
  <c r="C2126" i="1"/>
  <c r="N2126" i="1"/>
  <c r="A2127" i="1"/>
  <c r="C2127" i="1"/>
  <c r="N2127" i="1"/>
  <c r="A2128" i="1"/>
  <c r="C2128" i="1"/>
  <c r="N2128" i="1"/>
  <c r="A2129" i="1"/>
  <c r="C2129" i="1"/>
  <c r="N2129" i="1"/>
  <c r="A2130" i="1"/>
  <c r="C2130" i="1"/>
  <c r="N2130" i="1"/>
  <c r="A2131" i="1"/>
  <c r="C2131" i="1"/>
  <c r="N2131" i="1"/>
  <c r="A2132" i="1"/>
  <c r="C2132" i="1"/>
  <c r="N2132" i="1"/>
  <c r="A2133" i="1"/>
  <c r="C2133" i="1"/>
  <c r="N2133" i="1"/>
  <c r="A2134" i="1"/>
  <c r="C2134" i="1"/>
  <c r="N2134" i="1"/>
  <c r="A2135" i="1"/>
  <c r="C2135" i="1"/>
  <c r="N2135" i="1"/>
  <c r="A2136" i="1"/>
  <c r="C2136" i="1"/>
  <c r="N2136" i="1"/>
  <c r="A2137" i="1"/>
  <c r="C2137" i="1"/>
  <c r="N2137" i="1"/>
  <c r="A2138" i="1"/>
  <c r="C2138" i="1"/>
  <c r="N2138" i="1"/>
  <c r="A2139" i="1"/>
  <c r="C2139" i="1"/>
  <c r="N2139" i="1"/>
  <c r="A2140" i="1"/>
  <c r="C2140" i="1"/>
  <c r="N2140" i="1"/>
  <c r="A2141" i="1"/>
  <c r="C2141" i="1"/>
  <c r="N2141" i="1"/>
  <c r="A2142" i="1"/>
  <c r="C2142" i="1"/>
  <c r="N2142" i="1"/>
  <c r="A2143" i="1"/>
  <c r="C2143" i="1"/>
  <c r="N2143" i="1"/>
  <c r="A2144" i="1"/>
  <c r="C2144" i="1"/>
  <c r="N2144" i="1"/>
  <c r="A2145" i="1"/>
  <c r="C2145" i="1"/>
  <c r="N2145" i="1"/>
  <c r="A2146" i="1"/>
  <c r="C2146" i="1"/>
  <c r="N2146" i="1"/>
  <c r="A2147" i="1"/>
  <c r="C2147" i="1"/>
  <c r="N2147" i="1"/>
  <c r="A2148" i="1"/>
  <c r="C2148" i="1"/>
  <c r="N2148" i="1"/>
  <c r="A2149" i="1"/>
  <c r="C2149" i="1"/>
  <c r="N2149" i="1"/>
  <c r="A2150" i="1"/>
  <c r="C2150" i="1"/>
  <c r="N2150" i="1"/>
  <c r="A2151" i="1"/>
  <c r="C2151" i="1"/>
  <c r="N2151" i="1"/>
  <c r="A2152" i="1"/>
  <c r="C2152" i="1"/>
  <c r="N2152" i="1"/>
  <c r="A2153" i="1"/>
  <c r="C2153" i="1"/>
  <c r="N2153" i="1"/>
  <c r="A2154" i="1"/>
  <c r="C2154" i="1"/>
  <c r="N2154" i="1"/>
  <c r="A2155" i="1"/>
  <c r="C2155" i="1"/>
  <c r="N2155" i="1"/>
  <c r="A2156" i="1"/>
  <c r="C2156" i="1"/>
  <c r="N2156" i="1"/>
  <c r="A2157" i="1"/>
  <c r="C2157" i="1"/>
  <c r="N2157" i="1"/>
  <c r="A2158" i="1"/>
  <c r="C2158" i="1"/>
  <c r="N2158" i="1"/>
  <c r="A2159" i="1"/>
  <c r="C2159" i="1"/>
  <c r="N2159" i="1"/>
  <c r="A2160" i="1"/>
  <c r="C2160" i="1"/>
  <c r="N2160" i="1"/>
  <c r="A2161" i="1"/>
  <c r="C2161" i="1"/>
  <c r="N2161" i="1"/>
  <c r="A2162" i="1"/>
  <c r="C2162" i="1"/>
  <c r="N2162" i="1"/>
  <c r="A2163" i="1"/>
  <c r="C2163" i="1"/>
  <c r="N2163" i="1"/>
  <c r="A2164" i="1"/>
  <c r="C2164" i="1"/>
  <c r="N2164" i="1"/>
  <c r="A2165" i="1"/>
  <c r="C2165" i="1"/>
  <c r="N2165" i="1"/>
  <c r="A2166" i="1"/>
  <c r="C2166" i="1"/>
  <c r="N2166" i="1"/>
  <c r="A2167" i="1"/>
  <c r="C2167" i="1"/>
  <c r="N2167" i="1"/>
  <c r="A2168" i="1"/>
  <c r="C2168" i="1"/>
  <c r="N2168" i="1"/>
  <c r="A2169" i="1"/>
  <c r="C2169" i="1"/>
  <c r="N2169" i="1"/>
  <c r="A2170" i="1"/>
  <c r="C2170" i="1"/>
  <c r="N2170" i="1"/>
  <c r="A2171" i="1"/>
  <c r="C2171" i="1"/>
  <c r="N2171" i="1"/>
  <c r="A2172" i="1"/>
  <c r="C2172" i="1"/>
  <c r="N2172" i="1"/>
  <c r="A2173" i="1"/>
  <c r="C2173" i="1"/>
  <c r="N2173" i="1"/>
  <c r="A2174" i="1"/>
  <c r="C2174" i="1"/>
  <c r="N2174" i="1"/>
  <c r="A2175" i="1"/>
  <c r="C2175" i="1"/>
  <c r="N2175" i="1"/>
  <c r="A2176" i="1"/>
  <c r="C2176" i="1"/>
  <c r="N2176" i="1"/>
  <c r="A2177" i="1"/>
  <c r="C2177" i="1"/>
  <c r="N2177" i="1"/>
  <c r="A2178" i="1"/>
  <c r="C2178" i="1"/>
  <c r="N2178" i="1"/>
  <c r="A2179" i="1"/>
  <c r="C2179" i="1"/>
  <c r="N2179" i="1"/>
  <c r="A2180" i="1"/>
  <c r="C2180" i="1"/>
  <c r="N2180" i="1"/>
  <c r="A2181" i="1"/>
  <c r="C2181" i="1"/>
  <c r="N2181" i="1"/>
  <c r="A2182" i="1"/>
  <c r="C2182" i="1"/>
  <c r="N2182" i="1"/>
  <c r="A2183" i="1"/>
  <c r="C2183" i="1"/>
  <c r="N2183" i="1"/>
  <c r="A2184" i="1"/>
  <c r="C2184" i="1"/>
  <c r="N2184" i="1"/>
  <c r="A2185" i="1"/>
  <c r="C2185" i="1"/>
  <c r="N2185" i="1"/>
  <c r="A2186" i="1"/>
  <c r="C2186" i="1"/>
  <c r="N2186" i="1"/>
  <c r="A2187" i="1"/>
  <c r="C2187" i="1"/>
  <c r="N2187" i="1"/>
  <c r="A2188" i="1"/>
  <c r="C2188" i="1"/>
  <c r="N2188" i="1"/>
  <c r="A2189" i="1"/>
  <c r="C2189" i="1"/>
  <c r="N2189" i="1"/>
  <c r="A2190" i="1"/>
  <c r="C2190" i="1"/>
  <c r="N2190" i="1"/>
  <c r="A2191" i="1"/>
  <c r="C2191" i="1"/>
  <c r="N2191" i="1"/>
  <c r="A2192" i="1"/>
  <c r="C2192" i="1"/>
  <c r="N2192" i="1"/>
  <c r="A2193" i="1"/>
  <c r="C2193" i="1"/>
  <c r="N2193" i="1"/>
  <c r="A2194" i="1"/>
  <c r="C2194" i="1"/>
  <c r="N2194" i="1"/>
  <c r="A2195" i="1"/>
  <c r="C2195" i="1"/>
  <c r="N2195" i="1"/>
  <c r="A2196" i="1"/>
  <c r="C2196" i="1"/>
  <c r="N2196" i="1"/>
  <c r="A2197" i="1"/>
  <c r="C2197" i="1"/>
  <c r="N2197" i="1"/>
  <c r="A2198" i="1"/>
  <c r="C2198" i="1"/>
  <c r="N2198" i="1"/>
  <c r="A2199" i="1"/>
  <c r="C2199" i="1"/>
  <c r="N2199" i="1"/>
  <c r="A2200" i="1"/>
  <c r="C2200" i="1"/>
  <c r="N2200" i="1"/>
  <c r="A2201" i="1"/>
  <c r="C2201" i="1"/>
  <c r="N2201" i="1"/>
  <c r="A2202" i="1"/>
  <c r="C2202" i="1"/>
  <c r="N2202" i="1"/>
  <c r="A2203" i="1"/>
  <c r="C2203" i="1"/>
  <c r="N2203" i="1"/>
  <c r="A2204" i="1"/>
  <c r="C2204" i="1"/>
  <c r="N2204" i="1"/>
  <c r="A2205" i="1"/>
  <c r="C2205" i="1"/>
  <c r="N2205" i="1"/>
  <c r="A2206" i="1"/>
  <c r="C2206" i="1"/>
  <c r="N2206" i="1"/>
  <c r="A2207" i="1"/>
  <c r="C2207" i="1"/>
  <c r="N2207" i="1"/>
  <c r="A2208" i="1"/>
  <c r="C2208" i="1"/>
  <c r="N2208" i="1"/>
  <c r="A2209" i="1"/>
  <c r="C2209" i="1"/>
  <c r="N2209" i="1"/>
  <c r="A2210" i="1"/>
  <c r="C2210" i="1"/>
  <c r="N2210" i="1"/>
  <c r="A2211" i="1"/>
  <c r="C2211" i="1"/>
  <c r="N2211" i="1"/>
  <c r="A2212" i="1"/>
  <c r="C2212" i="1"/>
  <c r="N2212" i="1"/>
  <c r="A2213" i="1"/>
  <c r="C2213" i="1"/>
  <c r="N2213" i="1"/>
  <c r="A2214" i="1"/>
  <c r="C2214" i="1"/>
  <c r="N2214" i="1"/>
  <c r="A2215" i="1"/>
  <c r="C2215" i="1"/>
  <c r="N2215" i="1"/>
  <c r="A2216" i="1"/>
  <c r="C2216" i="1"/>
  <c r="N2216" i="1"/>
  <c r="A2217" i="1"/>
  <c r="C2217" i="1"/>
  <c r="N2217" i="1"/>
  <c r="A2218" i="1"/>
  <c r="C2218" i="1"/>
  <c r="N2218" i="1"/>
  <c r="A2219" i="1"/>
  <c r="C2219" i="1"/>
  <c r="N2219" i="1"/>
  <c r="A2220" i="1"/>
  <c r="C2220" i="1"/>
  <c r="N2220" i="1"/>
  <c r="A2221" i="1"/>
  <c r="C2221" i="1"/>
  <c r="N2221" i="1"/>
  <c r="A2222" i="1"/>
  <c r="C2222" i="1"/>
  <c r="N2222" i="1"/>
  <c r="A2223" i="1"/>
  <c r="C2223" i="1"/>
  <c r="N2223" i="1"/>
  <c r="A2224" i="1"/>
  <c r="C2224" i="1"/>
  <c r="N2224" i="1"/>
  <c r="A2225" i="1"/>
  <c r="C2225" i="1"/>
  <c r="N2225" i="1"/>
  <c r="A2226" i="1"/>
  <c r="C2226" i="1"/>
  <c r="N2226" i="1"/>
  <c r="A2227" i="1"/>
  <c r="C2227" i="1"/>
  <c r="N2227" i="1"/>
  <c r="A2228" i="1"/>
  <c r="C2228" i="1"/>
  <c r="N2228" i="1"/>
  <c r="A2229" i="1"/>
  <c r="C2229" i="1"/>
  <c r="N2229" i="1"/>
  <c r="A2230" i="1"/>
  <c r="C2230" i="1"/>
  <c r="N2230" i="1"/>
  <c r="A2231" i="1"/>
  <c r="C2231" i="1"/>
  <c r="N2231" i="1"/>
  <c r="A2232" i="1"/>
  <c r="C2232" i="1"/>
  <c r="N2232" i="1"/>
  <c r="A2233" i="1"/>
  <c r="C2233" i="1"/>
  <c r="N2233" i="1"/>
  <c r="A2234" i="1"/>
  <c r="C2234" i="1"/>
  <c r="N2234" i="1"/>
  <c r="A2235" i="1"/>
  <c r="C2235" i="1"/>
  <c r="N2235" i="1"/>
  <c r="A2236" i="1"/>
  <c r="C2236" i="1"/>
  <c r="N2236" i="1"/>
  <c r="A2237" i="1"/>
  <c r="C2237" i="1"/>
  <c r="N2237" i="1"/>
  <c r="A2238" i="1"/>
  <c r="C2238" i="1"/>
  <c r="N2238" i="1"/>
  <c r="A2239" i="1"/>
  <c r="C2239" i="1"/>
  <c r="N2239" i="1"/>
  <c r="A2240" i="1"/>
  <c r="C2240" i="1"/>
  <c r="N2240" i="1"/>
  <c r="A2241" i="1"/>
  <c r="C2241" i="1"/>
  <c r="N2241" i="1"/>
  <c r="A2242" i="1"/>
  <c r="C2242" i="1"/>
  <c r="N2242" i="1"/>
  <c r="A2243" i="1"/>
  <c r="C2243" i="1"/>
  <c r="N2243" i="1"/>
  <c r="A2244" i="1"/>
  <c r="C2244" i="1"/>
  <c r="N2244" i="1"/>
  <c r="A2245" i="1"/>
  <c r="C2245" i="1"/>
  <c r="N2245" i="1"/>
  <c r="A2246" i="1"/>
  <c r="C2246" i="1"/>
  <c r="N2246" i="1"/>
  <c r="A2247" i="1"/>
  <c r="C2247" i="1"/>
  <c r="N2247" i="1"/>
  <c r="A2248" i="1"/>
  <c r="C2248" i="1"/>
  <c r="N2248" i="1"/>
  <c r="A2249" i="1"/>
  <c r="C2249" i="1"/>
  <c r="N2249" i="1"/>
  <c r="A2250" i="1"/>
  <c r="C2250" i="1"/>
  <c r="N2250" i="1"/>
  <c r="A2251" i="1"/>
  <c r="C2251" i="1"/>
  <c r="N2251" i="1"/>
  <c r="A2252" i="1"/>
  <c r="C2252" i="1"/>
  <c r="N2252" i="1"/>
  <c r="A2253" i="1"/>
  <c r="C2253" i="1"/>
  <c r="N2253" i="1"/>
  <c r="A2254" i="1"/>
  <c r="C2254" i="1"/>
  <c r="N2254" i="1"/>
  <c r="A2255" i="1"/>
  <c r="C2255" i="1"/>
  <c r="N2255" i="1"/>
  <c r="A2256" i="1"/>
  <c r="C2256" i="1"/>
  <c r="N2256" i="1"/>
  <c r="A2257" i="1"/>
  <c r="C2257" i="1"/>
  <c r="N2257" i="1"/>
  <c r="A2258" i="1"/>
  <c r="C2258" i="1"/>
  <c r="N2258" i="1"/>
  <c r="A2259" i="1"/>
  <c r="C2259" i="1"/>
  <c r="N2259" i="1"/>
  <c r="A2260" i="1"/>
  <c r="C2260" i="1"/>
  <c r="N2260" i="1"/>
  <c r="A2261" i="1"/>
  <c r="C2261" i="1"/>
  <c r="N2261" i="1"/>
  <c r="A2262" i="1"/>
  <c r="C2262" i="1"/>
  <c r="N2262" i="1"/>
  <c r="A2263" i="1"/>
  <c r="C2263" i="1"/>
  <c r="N2263" i="1"/>
  <c r="A2264" i="1"/>
  <c r="C2264" i="1"/>
  <c r="N2264" i="1"/>
  <c r="A2265" i="1"/>
  <c r="C2265" i="1"/>
  <c r="N2265" i="1"/>
  <c r="A2266" i="1"/>
  <c r="C2266" i="1"/>
  <c r="N2266" i="1"/>
  <c r="A2267" i="1"/>
  <c r="C2267" i="1"/>
  <c r="N2267" i="1"/>
  <c r="A2268" i="1"/>
  <c r="C2268" i="1"/>
  <c r="N2268" i="1"/>
  <c r="A2269" i="1"/>
  <c r="C2269" i="1"/>
  <c r="N2269" i="1"/>
  <c r="A2270" i="1"/>
  <c r="C2270" i="1"/>
  <c r="N2270" i="1"/>
  <c r="A2271" i="1"/>
  <c r="C2271" i="1"/>
  <c r="N2271" i="1"/>
  <c r="A2272" i="1"/>
  <c r="C2272" i="1"/>
  <c r="N2272" i="1"/>
  <c r="A2273" i="1"/>
  <c r="C2273" i="1"/>
  <c r="N2273" i="1"/>
  <c r="A2274" i="1"/>
  <c r="C2274" i="1"/>
  <c r="N2274" i="1"/>
  <c r="A2275" i="1"/>
  <c r="C2275" i="1"/>
  <c r="N2275" i="1"/>
  <c r="A2276" i="1"/>
  <c r="C2276" i="1"/>
  <c r="E2276" i="1"/>
  <c r="N2276" i="1"/>
  <c r="T2276" i="1"/>
  <c r="A2277" i="1"/>
  <c r="C2277" i="1"/>
  <c r="E2277" i="1"/>
  <c r="N2277" i="1"/>
  <c r="T2277" i="1"/>
  <c r="A2278" i="1"/>
  <c r="C2278" i="1"/>
  <c r="E2278" i="1"/>
  <c r="N2278" i="1"/>
  <c r="T2278" i="1"/>
  <c r="A2279" i="1"/>
  <c r="C2279" i="1"/>
  <c r="E2279" i="1"/>
  <c r="N2279" i="1"/>
  <c r="T2279" i="1"/>
  <c r="A2280" i="1"/>
  <c r="C2280" i="1"/>
  <c r="E2280" i="1"/>
  <c r="N2280" i="1"/>
  <c r="T2280" i="1"/>
  <c r="A2281" i="1"/>
  <c r="C2281" i="1"/>
  <c r="E2281" i="1"/>
  <c r="N2281" i="1"/>
  <c r="T2281" i="1"/>
  <c r="A2282" i="1"/>
  <c r="C2282" i="1"/>
  <c r="E2282" i="1"/>
  <c r="N2282" i="1"/>
  <c r="T2282" i="1"/>
  <c r="A2283" i="1"/>
  <c r="C2283" i="1"/>
  <c r="N2283" i="1"/>
  <c r="A2284" i="1"/>
  <c r="C2284" i="1"/>
  <c r="N2284" i="1"/>
  <c r="A2285" i="1"/>
  <c r="C2285" i="1"/>
  <c r="N2285" i="1"/>
  <c r="A2286" i="1"/>
  <c r="C2286" i="1"/>
  <c r="N2286" i="1"/>
  <c r="A2287" i="1"/>
  <c r="C2287" i="1"/>
  <c r="N2287" i="1"/>
  <c r="A2288" i="1"/>
  <c r="C2288" i="1"/>
  <c r="N2288" i="1"/>
  <c r="A2289" i="1"/>
  <c r="C2289" i="1"/>
  <c r="N2289" i="1"/>
  <c r="A2290" i="1"/>
  <c r="C2290" i="1"/>
  <c r="N2290" i="1"/>
  <c r="A2291" i="1"/>
  <c r="C2291" i="1"/>
  <c r="N2291" i="1"/>
  <c r="A2292" i="1"/>
  <c r="C2292" i="1"/>
  <c r="N2292" i="1"/>
  <c r="A2293" i="1"/>
  <c r="C2293" i="1"/>
  <c r="N2293" i="1"/>
  <c r="A2294" i="1"/>
  <c r="C2294" i="1"/>
  <c r="N2294" i="1"/>
  <c r="A2295" i="1"/>
  <c r="C2295" i="1"/>
  <c r="N2295" i="1"/>
  <c r="A2296" i="1"/>
  <c r="C2296" i="1"/>
  <c r="N2296" i="1"/>
  <c r="A2297" i="1"/>
  <c r="C2297" i="1"/>
  <c r="N2297" i="1"/>
  <c r="A2298" i="1"/>
  <c r="C2298" i="1"/>
  <c r="N2298" i="1"/>
  <c r="A2299" i="1"/>
  <c r="C2299" i="1"/>
  <c r="N2299" i="1"/>
  <c r="A2300" i="1"/>
  <c r="C2300" i="1"/>
  <c r="N2300" i="1"/>
  <c r="A2301" i="1"/>
  <c r="C2301" i="1"/>
  <c r="N2301" i="1"/>
  <c r="A2302" i="1"/>
  <c r="C2302" i="1"/>
  <c r="N2302" i="1"/>
  <c r="A2303" i="1"/>
  <c r="C2303" i="1"/>
  <c r="N2303" i="1"/>
  <c r="A2304" i="1"/>
  <c r="C2304" i="1"/>
  <c r="N2304" i="1"/>
  <c r="A2305" i="1"/>
  <c r="C2305" i="1"/>
  <c r="N2305" i="1"/>
  <c r="A2306" i="1"/>
  <c r="C2306" i="1"/>
  <c r="N2306" i="1"/>
  <c r="A2307" i="1"/>
  <c r="C2307" i="1"/>
  <c r="N2307" i="1"/>
  <c r="A2308" i="1"/>
  <c r="C2308" i="1"/>
  <c r="N2308" i="1"/>
  <c r="A2309" i="1"/>
  <c r="C2309" i="1"/>
  <c r="N2309" i="1"/>
  <c r="A2310" i="1"/>
  <c r="C2310" i="1"/>
  <c r="N2310" i="1"/>
  <c r="A2311" i="1"/>
  <c r="C2311" i="1"/>
  <c r="N2311" i="1"/>
  <c r="A2312" i="1"/>
  <c r="C2312" i="1"/>
  <c r="N2312" i="1"/>
  <c r="A2313" i="1"/>
  <c r="C2313" i="1"/>
  <c r="N2313" i="1"/>
  <c r="A2314" i="1"/>
  <c r="C2314" i="1"/>
  <c r="N2314" i="1"/>
  <c r="A2315" i="1"/>
  <c r="C2315" i="1"/>
  <c r="N2315" i="1"/>
  <c r="A2316" i="1"/>
  <c r="C2316" i="1"/>
  <c r="N2316" i="1"/>
  <c r="A2317" i="1"/>
  <c r="C2317" i="1"/>
  <c r="N2317" i="1"/>
  <c r="A2318" i="1"/>
  <c r="C2318" i="1"/>
  <c r="N2318" i="1"/>
  <c r="A2319" i="1"/>
  <c r="C2319" i="1"/>
  <c r="N2319" i="1"/>
  <c r="A2320" i="1"/>
  <c r="C2320" i="1"/>
  <c r="N2320" i="1"/>
  <c r="A2321" i="1"/>
  <c r="C2321" i="1"/>
  <c r="N2321" i="1"/>
  <c r="A2322" i="1"/>
  <c r="C2322" i="1"/>
  <c r="N2322" i="1"/>
  <c r="A2323" i="1"/>
  <c r="C2323" i="1"/>
  <c r="N2323" i="1"/>
  <c r="A2324" i="1"/>
  <c r="C2324" i="1"/>
  <c r="N2324" i="1"/>
  <c r="A2325" i="1"/>
  <c r="C2325" i="1"/>
  <c r="N2325" i="1"/>
  <c r="A2326" i="1"/>
  <c r="C2326" i="1"/>
  <c r="N2326" i="1"/>
  <c r="A2327" i="1"/>
  <c r="C2327" i="1"/>
  <c r="N2327" i="1"/>
  <c r="A2328" i="1"/>
  <c r="C2328" i="1"/>
  <c r="N2328" i="1"/>
  <c r="A2329" i="1"/>
  <c r="C2329" i="1"/>
  <c r="N2329" i="1"/>
  <c r="A2330" i="1"/>
  <c r="C2330" i="1"/>
  <c r="N2330" i="1"/>
  <c r="A2331" i="1"/>
  <c r="C2331" i="1"/>
  <c r="N2331" i="1"/>
  <c r="A2332" i="1"/>
  <c r="C2332" i="1"/>
  <c r="N2332" i="1"/>
  <c r="A2333" i="1"/>
  <c r="C2333" i="1"/>
  <c r="N2333" i="1"/>
  <c r="A2334" i="1"/>
  <c r="C2334" i="1"/>
  <c r="N2334" i="1"/>
  <c r="A2335" i="1"/>
  <c r="C2335" i="1"/>
  <c r="N2335" i="1"/>
  <c r="A2336" i="1"/>
  <c r="C2336" i="1"/>
  <c r="N2336" i="1"/>
  <c r="A2337" i="1"/>
  <c r="C2337" i="1"/>
  <c r="N2337" i="1"/>
  <c r="A2338" i="1"/>
  <c r="C2338" i="1"/>
  <c r="N2338" i="1"/>
  <c r="A2339" i="1"/>
  <c r="C2339" i="1"/>
  <c r="N2339" i="1"/>
  <c r="A2340" i="1"/>
  <c r="C2340" i="1"/>
  <c r="N2340" i="1"/>
  <c r="A2341" i="1"/>
  <c r="C2341" i="1"/>
  <c r="N2341" i="1"/>
  <c r="A2342" i="1"/>
  <c r="C2342" i="1"/>
  <c r="N2342" i="1"/>
  <c r="A2343" i="1"/>
  <c r="C2343" i="1"/>
  <c r="N2343" i="1"/>
  <c r="A2344" i="1"/>
  <c r="C2344" i="1"/>
  <c r="N2344" i="1"/>
  <c r="A2345" i="1"/>
  <c r="C2345" i="1"/>
  <c r="N2345" i="1"/>
  <c r="A2346" i="1"/>
  <c r="C2346" i="1"/>
  <c r="N2346" i="1"/>
  <c r="A2347" i="1"/>
  <c r="C2347" i="1"/>
  <c r="N2347" i="1"/>
  <c r="A2348" i="1"/>
  <c r="C2348" i="1"/>
  <c r="N2348" i="1"/>
  <c r="A2349" i="1"/>
  <c r="C2349" i="1"/>
  <c r="N2349" i="1"/>
  <c r="A2350" i="1"/>
  <c r="C2350" i="1"/>
  <c r="N2350" i="1"/>
  <c r="A2351" i="1"/>
  <c r="C2351" i="1"/>
  <c r="N2351" i="1"/>
  <c r="A2352" i="1"/>
  <c r="C2352" i="1"/>
  <c r="N2352" i="1"/>
  <c r="A2353" i="1"/>
  <c r="C2353" i="1"/>
  <c r="N2353" i="1"/>
  <c r="A2354" i="1"/>
  <c r="C2354" i="1"/>
  <c r="N2354" i="1"/>
  <c r="A2355" i="1"/>
  <c r="C2355" i="1"/>
  <c r="N2355" i="1"/>
  <c r="A2356" i="1"/>
  <c r="C2356" i="1"/>
  <c r="N2356" i="1"/>
  <c r="A2357" i="1"/>
  <c r="C2357" i="1"/>
  <c r="N2357" i="1"/>
  <c r="A2358" i="1"/>
  <c r="C2358" i="1"/>
  <c r="N2358" i="1"/>
  <c r="A2359" i="1"/>
  <c r="C2359" i="1"/>
  <c r="N2359" i="1"/>
  <c r="A2360" i="1"/>
  <c r="C2360" i="1"/>
  <c r="N2360" i="1"/>
  <c r="A2361" i="1"/>
  <c r="C2361" i="1"/>
  <c r="N2361" i="1"/>
  <c r="A2362" i="1"/>
  <c r="C2362" i="1"/>
  <c r="N2362" i="1"/>
  <c r="A2363" i="1"/>
  <c r="C2363" i="1"/>
  <c r="N2363" i="1"/>
  <c r="A2364" i="1"/>
  <c r="C2364" i="1"/>
  <c r="N2364" i="1"/>
  <c r="A2365" i="1"/>
  <c r="C2365" i="1"/>
  <c r="F2365" i="1"/>
  <c r="N2365" i="1"/>
  <c r="A2366" i="1"/>
  <c r="C2366" i="1"/>
  <c r="N2366" i="1"/>
  <c r="A2367" i="1"/>
  <c r="C2367" i="1"/>
  <c r="N2367" i="1"/>
  <c r="A2368" i="1"/>
  <c r="C2368" i="1"/>
  <c r="N2368" i="1"/>
  <c r="A2369" i="1"/>
  <c r="C2369" i="1"/>
  <c r="N2369" i="1"/>
  <c r="A2370" i="1"/>
  <c r="C2370" i="1"/>
  <c r="N2370" i="1"/>
  <c r="A2371" i="1"/>
  <c r="C2371" i="1"/>
  <c r="N2371" i="1"/>
  <c r="A2372" i="1"/>
  <c r="C2372" i="1"/>
  <c r="N2372" i="1"/>
  <c r="A2373" i="1"/>
  <c r="C2373" i="1"/>
  <c r="N2373" i="1"/>
  <c r="A2374" i="1"/>
  <c r="C2374" i="1"/>
  <c r="N2374" i="1"/>
  <c r="A2375" i="1"/>
  <c r="C2375" i="1"/>
  <c r="N2375" i="1"/>
  <c r="A2376" i="1"/>
  <c r="C2376" i="1"/>
  <c r="N2376" i="1"/>
  <c r="A2377" i="1"/>
  <c r="C2377" i="1"/>
  <c r="N2377" i="1"/>
  <c r="A2378" i="1"/>
  <c r="C2378" i="1"/>
  <c r="N2378" i="1"/>
  <c r="A2379" i="1"/>
  <c r="C2379" i="1"/>
  <c r="N2379" i="1"/>
  <c r="A2380" i="1"/>
  <c r="C2380" i="1"/>
  <c r="N2380" i="1"/>
  <c r="A2381" i="1"/>
  <c r="C2381" i="1"/>
  <c r="N2381" i="1"/>
  <c r="A2382" i="1"/>
  <c r="C2382" i="1"/>
  <c r="N2382" i="1"/>
  <c r="A2383" i="1"/>
  <c r="C2383" i="1"/>
  <c r="N2383" i="1"/>
  <c r="A2384" i="1"/>
  <c r="C2384" i="1"/>
  <c r="N2384" i="1"/>
  <c r="A2385" i="1"/>
  <c r="C2385" i="1"/>
  <c r="N2385" i="1"/>
  <c r="A2386" i="1"/>
  <c r="C2386" i="1"/>
  <c r="N2386" i="1"/>
  <c r="A2387" i="1"/>
  <c r="C2387" i="1"/>
  <c r="N2387" i="1"/>
  <c r="A2388" i="1"/>
  <c r="C2388" i="1"/>
  <c r="N2388" i="1"/>
  <c r="A2389" i="1"/>
  <c r="C2389" i="1"/>
  <c r="N2389" i="1"/>
  <c r="A2390" i="1"/>
  <c r="C2390" i="1"/>
  <c r="N2390" i="1"/>
  <c r="A2391" i="1"/>
  <c r="C2391" i="1"/>
  <c r="N2391" i="1"/>
  <c r="A2392" i="1"/>
  <c r="C2392" i="1"/>
  <c r="N2392" i="1"/>
  <c r="A2393" i="1"/>
  <c r="C2393" i="1"/>
  <c r="N2393" i="1"/>
  <c r="A2394" i="1"/>
  <c r="C2394" i="1"/>
  <c r="N2394" i="1"/>
  <c r="A2395" i="1"/>
  <c r="C2395" i="1"/>
  <c r="N2395" i="1"/>
  <c r="A2396" i="1"/>
  <c r="C2396" i="1"/>
  <c r="N2396" i="1"/>
  <c r="A2397" i="1"/>
  <c r="C2397" i="1"/>
  <c r="N2397" i="1"/>
  <c r="A2398" i="1"/>
  <c r="C2398" i="1"/>
  <c r="N2398" i="1"/>
  <c r="A2399" i="1"/>
  <c r="C2399" i="1"/>
  <c r="N2399" i="1"/>
  <c r="A2400" i="1"/>
  <c r="C2400" i="1"/>
  <c r="N2400" i="1"/>
  <c r="A2401" i="1"/>
  <c r="C2401" i="1"/>
  <c r="N2401" i="1"/>
  <c r="A2402" i="1"/>
  <c r="C2402" i="1"/>
  <c r="N2402" i="1"/>
  <c r="A2403" i="1"/>
  <c r="C2403" i="1"/>
  <c r="N2403" i="1"/>
  <c r="A2404" i="1"/>
  <c r="C2404" i="1"/>
  <c r="N2404" i="1"/>
  <c r="A2405" i="1"/>
  <c r="C2405" i="1"/>
  <c r="N2405" i="1"/>
  <c r="A2406" i="1"/>
  <c r="C2406" i="1"/>
  <c r="N2406" i="1"/>
  <c r="A2407" i="1"/>
  <c r="C2407" i="1"/>
  <c r="N2407" i="1"/>
  <c r="A2408" i="1"/>
  <c r="C2408" i="1"/>
  <c r="N2408" i="1"/>
  <c r="A2409" i="1"/>
  <c r="C2409" i="1"/>
  <c r="N2409" i="1"/>
  <c r="A2410" i="1"/>
  <c r="C2410" i="1"/>
  <c r="N2410" i="1"/>
  <c r="A2411" i="1"/>
  <c r="C2411" i="1"/>
  <c r="N2411" i="1"/>
  <c r="A2412" i="1"/>
  <c r="C2412" i="1"/>
  <c r="N2412" i="1"/>
  <c r="A2413" i="1"/>
  <c r="C2413" i="1"/>
  <c r="N2413" i="1"/>
  <c r="A2414" i="1"/>
  <c r="C2414" i="1"/>
  <c r="N2414" i="1"/>
  <c r="A2415" i="1"/>
  <c r="C2415" i="1"/>
  <c r="N2415" i="1"/>
  <c r="A2416" i="1"/>
  <c r="C2416" i="1"/>
  <c r="N2416" i="1"/>
  <c r="A2417" i="1"/>
  <c r="C2417" i="1"/>
  <c r="N2417" i="1"/>
  <c r="A2418" i="1"/>
  <c r="C2418" i="1"/>
  <c r="N2418" i="1"/>
  <c r="A2419" i="1"/>
  <c r="C2419" i="1"/>
  <c r="N2419" i="1"/>
  <c r="A2420" i="1"/>
  <c r="C2420" i="1"/>
  <c r="N2420" i="1"/>
  <c r="A2421" i="1"/>
  <c r="C2421" i="1"/>
  <c r="N2421" i="1"/>
  <c r="A2422" i="1"/>
  <c r="C2422" i="1"/>
  <c r="N2422" i="1"/>
  <c r="A2423" i="1"/>
  <c r="C2423" i="1"/>
  <c r="N2423" i="1"/>
  <c r="A2424" i="1"/>
  <c r="C2424" i="1"/>
  <c r="N2424" i="1"/>
  <c r="A2425" i="1"/>
  <c r="C2425" i="1"/>
  <c r="N2425" i="1"/>
  <c r="A2426" i="1"/>
  <c r="C2426" i="1"/>
  <c r="N2426" i="1"/>
  <c r="A2427" i="1"/>
  <c r="C2427" i="1"/>
  <c r="N2427" i="1"/>
  <c r="A2428" i="1"/>
  <c r="C2428" i="1"/>
  <c r="N2428" i="1"/>
  <c r="A2429" i="1"/>
  <c r="C2429" i="1"/>
  <c r="N2429" i="1"/>
  <c r="A2430" i="1"/>
  <c r="C2430" i="1"/>
  <c r="N2430" i="1"/>
  <c r="A2431" i="1"/>
  <c r="C2431" i="1"/>
  <c r="N2431" i="1"/>
  <c r="A2432" i="1"/>
  <c r="C2432" i="1"/>
  <c r="N2432" i="1"/>
  <c r="A2433" i="1"/>
  <c r="C2433" i="1"/>
  <c r="N2433" i="1"/>
  <c r="A2434" i="1"/>
  <c r="C2434" i="1"/>
  <c r="N2434" i="1"/>
  <c r="A2435" i="1"/>
  <c r="C2435" i="1"/>
  <c r="F2435" i="1"/>
  <c r="N2435" i="1"/>
  <c r="A2436" i="1"/>
  <c r="C2436" i="1"/>
  <c r="N2436" i="1"/>
  <c r="A2437" i="1"/>
  <c r="C2437" i="1"/>
  <c r="N2437" i="1"/>
  <c r="A2438" i="1"/>
  <c r="C2438" i="1"/>
  <c r="N2438" i="1"/>
  <c r="A2439" i="1"/>
  <c r="C2439" i="1"/>
  <c r="N2439" i="1"/>
  <c r="A2440" i="1"/>
  <c r="C2440" i="1"/>
  <c r="N2440" i="1"/>
  <c r="A2441" i="1"/>
  <c r="C2441" i="1"/>
  <c r="N2441" i="1"/>
  <c r="A2442" i="1"/>
  <c r="C2442" i="1"/>
  <c r="N2442" i="1"/>
  <c r="A2443" i="1"/>
  <c r="C2443" i="1"/>
  <c r="N2443" i="1"/>
  <c r="A2444" i="1"/>
  <c r="C2444" i="1"/>
  <c r="N2444" i="1"/>
  <c r="A2445" i="1"/>
  <c r="C2445" i="1"/>
  <c r="N2445" i="1"/>
  <c r="A2446" i="1"/>
  <c r="C2446" i="1"/>
  <c r="N2446" i="1"/>
  <c r="A2447" i="1"/>
  <c r="C2447" i="1"/>
  <c r="N2447" i="1"/>
  <c r="A2448" i="1"/>
  <c r="C2448" i="1"/>
  <c r="N2448" i="1"/>
  <c r="A2449" i="1"/>
  <c r="C2449" i="1"/>
  <c r="N2449" i="1"/>
  <c r="A2450" i="1"/>
  <c r="C2450" i="1"/>
  <c r="N2450" i="1"/>
  <c r="A2451" i="1"/>
  <c r="C2451" i="1"/>
  <c r="N2451" i="1"/>
  <c r="A2452" i="1"/>
  <c r="C2452" i="1"/>
  <c r="N2452" i="1"/>
  <c r="A2453" i="1"/>
  <c r="C2453" i="1"/>
  <c r="N2453" i="1"/>
  <c r="A2454" i="1"/>
  <c r="C2454" i="1"/>
  <c r="N2454" i="1"/>
  <c r="A2455" i="1"/>
  <c r="C2455" i="1"/>
  <c r="N2455" i="1"/>
  <c r="A2456" i="1"/>
  <c r="C2456" i="1"/>
  <c r="N2456" i="1"/>
  <c r="A2457" i="1"/>
  <c r="C2457" i="1"/>
  <c r="N2457" i="1"/>
  <c r="A2458" i="1"/>
  <c r="C2458" i="1"/>
  <c r="N2458" i="1"/>
  <c r="A2459" i="1"/>
  <c r="C2459" i="1"/>
  <c r="N2459" i="1"/>
  <c r="A2460" i="1"/>
  <c r="C2460" i="1"/>
  <c r="N2460" i="1"/>
  <c r="A2461" i="1"/>
  <c r="C2461" i="1"/>
  <c r="N2461" i="1"/>
  <c r="A2462" i="1"/>
  <c r="C2462" i="1"/>
  <c r="N2462" i="1"/>
  <c r="A2463" i="1"/>
  <c r="C2463" i="1"/>
  <c r="N2463" i="1"/>
  <c r="A2464" i="1"/>
  <c r="C2464" i="1"/>
  <c r="N2464" i="1"/>
  <c r="A2465" i="1"/>
  <c r="C2465" i="1"/>
  <c r="N2465" i="1"/>
  <c r="A2466" i="1"/>
  <c r="C2466" i="1"/>
  <c r="N2466" i="1"/>
  <c r="A2467" i="1"/>
  <c r="C2467" i="1"/>
  <c r="N2467" i="1"/>
  <c r="A2468" i="1"/>
  <c r="C2468" i="1"/>
  <c r="N2468" i="1"/>
  <c r="A2469" i="1"/>
  <c r="C2469" i="1"/>
  <c r="N2469" i="1"/>
  <c r="A2470" i="1"/>
  <c r="C2470" i="1"/>
  <c r="N2470" i="1"/>
  <c r="A2471" i="1"/>
  <c r="C2471" i="1"/>
  <c r="N2471" i="1"/>
  <c r="A2472" i="1"/>
  <c r="C2472" i="1"/>
  <c r="N2472" i="1"/>
  <c r="A2473" i="1"/>
  <c r="C2473" i="1"/>
  <c r="N2473" i="1"/>
  <c r="A2474" i="1"/>
  <c r="C2474" i="1"/>
  <c r="N2474" i="1"/>
  <c r="A2475" i="1"/>
  <c r="C2475" i="1"/>
  <c r="N2475" i="1"/>
  <c r="A2476" i="1"/>
  <c r="C2476" i="1"/>
  <c r="N2476" i="1"/>
  <c r="A2477" i="1"/>
  <c r="C2477" i="1"/>
  <c r="N2477" i="1"/>
  <c r="A2478" i="1"/>
  <c r="C2478" i="1"/>
  <c r="N2478" i="1"/>
  <c r="A2479" i="1"/>
  <c r="C2479" i="1"/>
  <c r="N2479" i="1"/>
  <c r="A2480" i="1"/>
  <c r="C2480" i="1"/>
  <c r="N2480" i="1"/>
  <c r="A2481" i="1"/>
  <c r="C2481" i="1"/>
  <c r="N2481" i="1"/>
  <c r="A2482" i="1"/>
  <c r="C2482" i="1"/>
  <c r="N2482" i="1"/>
  <c r="A2483" i="1"/>
  <c r="C2483" i="1"/>
  <c r="N2483" i="1"/>
  <c r="A2484" i="1"/>
  <c r="C2484" i="1"/>
  <c r="N2484" i="1"/>
  <c r="A2485" i="1"/>
  <c r="C2485" i="1"/>
  <c r="N2485" i="1"/>
  <c r="A2486" i="1"/>
  <c r="C2486" i="1"/>
  <c r="N2486" i="1"/>
  <c r="A2487" i="1"/>
  <c r="C2487" i="1"/>
  <c r="N2487" i="1"/>
  <c r="A2488" i="1"/>
  <c r="C2488" i="1"/>
  <c r="N2488" i="1"/>
  <c r="A2489" i="1"/>
  <c r="C2489" i="1"/>
  <c r="N2489" i="1"/>
  <c r="A2490" i="1"/>
  <c r="C2490" i="1"/>
  <c r="N2490" i="1"/>
  <c r="A2491" i="1"/>
  <c r="C2491" i="1"/>
  <c r="N2491" i="1"/>
  <c r="A2492" i="1"/>
  <c r="C2492" i="1"/>
  <c r="N2492" i="1"/>
  <c r="A2493" i="1"/>
  <c r="C2493" i="1"/>
  <c r="N2493" i="1"/>
  <c r="A2494" i="1"/>
  <c r="C2494" i="1"/>
  <c r="N2494" i="1"/>
  <c r="A2495" i="1"/>
  <c r="C2495" i="1"/>
  <c r="N2495" i="1"/>
  <c r="A2496" i="1"/>
  <c r="C2496" i="1"/>
  <c r="N2496" i="1"/>
  <c r="A2497" i="1"/>
  <c r="C2497" i="1"/>
  <c r="N2497" i="1"/>
  <c r="A2498" i="1"/>
  <c r="C2498" i="1"/>
  <c r="N2498" i="1"/>
  <c r="A2499" i="1"/>
  <c r="C2499" i="1"/>
  <c r="N2499" i="1"/>
  <c r="A2500" i="1"/>
  <c r="C2500" i="1"/>
  <c r="N2500" i="1"/>
  <c r="A2501" i="1"/>
  <c r="C2501" i="1"/>
  <c r="N2501" i="1"/>
  <c r="A2502" i="1"/>
  <c r="C2502" i="1"/>
  <c r="N2502" i="1"/>
  <c r="A2503" i="1"/>
  <c r="C2503" i="1"/>
  <c r="N2503" i="1"/>
  <c r="A2504" i="1"/>
  <c r="C2504" i="1"/>
  <c r="N2504" i="1"/>
  <c r="A2505" i="1"/>
  <c r="C2505" i="1"/>
  <c r="N2505" i="1"/>
  <c r="A2506" i="1"/>
  <c r="C2506" i="1"/>
  <c r="N2506" i="1"/>
  <c r="A2507" i="1"/>
  <c r="C2507" i="1"/>
  <c r="N2507" i="1"/>
  <c r="A2508" i="1"/>
  <c r="C2508" i="1"/>
  <c r="N2508" i="1"/>
  <c r="A2509" i="1"/>
  <c r="C2509" i="1"/>
  <c r="N2509" i="1"/>
  <c r="A2510" i="1"/>
  <c r="C2510" i="1"/>
  <c r="N2510" i="1"/>
  <c r="A2511" i="1"/>
  <c r="C2511" i="1"/>
  <c r="N2511" i="1"/>
  <c r="A2512" i="1"/>
  <c r="C2512" i="1"/>
  <c r="N2512" i="1"/>
  <c r="A2513" i="1"/>
  <c r="C2513" i="1"/>
  <c r="N2513" i="1"/>
  <c r="A2514" i="1"/>
  <c r="C2514" i="1"/>
  <c r="N2514" i="1"/>
  <c r="A2515" i="1"/>
  <c r="C2515" i="1"/>
  <c r="N2515" i="1"/>
  <c r="A2516" i="1"/>
  <c r="C2516" i="1"/>
  <c r="N2516" i="1"/>
  <c r="A2517" i="1"/>
  <c r="C2517" i="1"/>
  <c r="N2517" i="1"/>
  <c r="A2518" i="1"/>
  <c r="C2518" i="1"/>
  <c r="N2518" i="1"/>
  <c r="A2519" i="1"/>
  <c r="C2519" i="1"/>
  <c r="N2519" i="1"/>
  <c r="A2520" i="1"/>
  <c r="C2520" i="1"/>
  <c r="F2520" i="1"/>
  <c r="N2520" i="1"/>
  <c r="A2521" i="1"/>
  <c r="C2521" i="1"/>
  <c r="N2521" i="1"/>
  <c r="A2522" i="1"/>
  <c r="C2522" i="1"/>
  <c r="F2522" i="1"/>
  <c r="N2522" i="1"/>
  <c r="A2523" i="1"/>
  <c r="C2523" i="1"/>
  <c r="N2523" i="1"/>
  <c r="A2524" i="1"/>
  <c r="C2524" i="1"/>
  <c r="N2524" i="1"/>
  <c r="A2525" i="1"/>
  <c r="C2525" i="1"/>
  <c r="N2525" i="1"/>
  <c r="A2526" i="1"/>
  <c r="C2526" i="1"/>
  <c r="N2526" i="1"/>
  <c r="A2527" i="1"/>
  <c r="C2527" i="1"/>
  <c r="N2527" i="1"/>
  <c r="A2528" i="1"/>
  <c r="C2528" i="1"/>
  <c r="N2528" i="1"/>
  <c r="A2529" i="1"/>
  <c r="C2529" i="1"/>
  <c r="N2529" i="1"/>
  <c r="A2530" i="1"/>
  <c r="C2530" i="1"/>
  <c r="N2530" i="1"/>
  <c r="A2531" i="1"/>
  <c r="C2531" i="1"/>
  <c r="N2531" i="1"/>
  <c r="A2532" i="1"/>
  <c r="C2532" i="1"/>
  <c r="N2532" i="1"/>
  <c r="A2533" i="1"/>
  <c r="C2533" i="1"/>
  <c r="N2533" i="1"/>
  <c r="A2534" i="1"/>
  <c r="C2534" i="1"/>
  <c r="N2534" i="1"/>
  <c r="A2535" i="1"/>
  <c r="C2535" i="1"/>
  <c r="N2535" i="1"/>
  <c r="A2536" i="1"/>
  <c r="C2536" i="1"/>
  <c r="N2536" i="1"/>
  <c r="A2537" i="1"/>
  <c r="C2537" i="1"/>
  <c r="N2537" i="1"/>
  <c r="A2538" i="1"/>
  <c r="C2538" i="1"/>
  <c r="N2538" i="1"/>
  <c r="A2539" i="1"/>
  <c r="C2539" i="1"/>
  <c r="N2539" i="1"/>
  <c r="A2540" i="1"/>
  <c r="C2540" i="1"/>
  <c r="N2540" i="1"/>
  <c r="A2541" i="1"/>
  <c r="C2541" i="1"/>
  <c r="N2541" i="1"/>
  <c r="A2542" i="1"/>
  <c r="C2542" i="1"/>
  <c r="N2542" i="1"/>
  <c r="A2543" i="1"/>
  <c r="C2543" i="1"/>
  <c r="N2543" i="1"/>
  <c r="A2544" i="1"/>
  <c r="C2544" i="1"/>
  <c r="N2544" i="1"/>
  <c r="A2545" i="1"/>
  <c r="C2545" i="1"/>
  <c r="N2545" i="1"/>
  <c r="A2546" i="1"/>
  <c r="C2546" i="1"/>
  <c r="N2546" i="1"/>
  <c r="A2547" i="1"/>
  <c r="C2547" i="1"/>
  <c r="N2547" i="1"/>
  <c r="A2548" i="1"/>
  <c r="C2548" i="1"/>
  <c r="N2548" i="1"/>
  <c r="A2549" i="1"/>
  <c r="C2549" i="1"/>
  <c r="N2549" i="1"/>
  <c r="A2550" i="1"/>
  <c r="C2550" i="1"/>
  <c r="N2550" i="1"/>
  <c r="A2551" i="1"/>
  <c r="C2551" i="1"/>
  <c r="N2551" i="1"/>
  <c r="A2552" i="1"/>
  <c r="C2552" i="1"/>
  <c r="N2552" i="1"/>
  <c r="A2553" i="1"/>
  <c r="C2553" i="1"/>
  <c r="N2553" i="1"/>
  <c r="A2554" i="1"/>
  <c r="C2554" i="1"/>
  <c r="N2554" i="1"/>
  <c r="A2555" i="1"/>
  <c r="C2555" i="1"/>
  <c r="N2555" i="1"/>
  <c r="A2556" i="1"/>
  <c r="C2556" i="1"/>
  <c r="N2556" i="1"/>
  <c r="A2557" i="1"/>
  <c r="C2557" i="1"/>
  <c r="N2557" i="1"/>
  <c r="A2558" i="1"/>
  <c r="C2558" i="1"/>
  <c r="N2558" i="1"/>
  <c r="A2559" i="1"/>
  <c r="C2559" i="1"/>
  <c r="N2559" i="1"/>
  <c r="A2560" i="1"/>
  <c r="C2560" i="1"/>
  <c r="N2560" i="1"/>
  <c r="A2561" i="1"/>
  <c r="C2561" i="1"/>
  <c r="N2561" i="1"/>
  <c r="A2562" i="1"/>
  <c r="C2562" i="1"/>
  <c r="N2562" i="1"/>
  <c r="A2563" i="1"/>
  <c r="C2563" i="1"/>
  <c r="N2563" i="1"/>
  <c r="A2564" i="1"/>
  <c r="C2564" i="1"/>
  <c r="N2564" i="1"/>
  <c r="A2565" i="1"/>
  <c r="C2565" i="1"/>
  <c r="N2565" i="1"/>
  <c r="A2566" i="1"/>
  <c r="C2566" i="1"/>
  <c r="N2566" i="1"/>
  <c r="A2567" i="1"/>
  <c r="C2567" i="1"/>
  <c r="N2567" i="1"/>
  <c r="A2568" i="1"/>
  <c r="C2568" i="1"/>
  <c r="N2568" i="1"/>
  <c r="A2569" i="1"/>
  <c r="C2569" i="1"/>
  <c r="N2569" i="1"/>
  <c r="A2570" i="1"/>
  <c r="C2570" i="1"/>
  <c r="N2570" i="1"/>
  <c r="A2571" i="1"/>
  <c r="C2571" i="1"/>
  <c r="N2571" i="1"/>
  <c r="A2572" i="1"/>
  <c r="C2572" i="1"/>
  <c r="N2572" i="1"/>
  <c r="A2573" i="1"/>
  <c r="C2573" i="1"/>
  <c r="N2573" i="1"/>
  <c r="A2574" i="1"/>
  <c r="C2574" i="1"/>
  <c r="N2574" i="1"/>
  <c r="A2575" i="1"/>
  <c r="C2575" i="1"/>
  <c r="N2575" i="1"/>
  <c r="A2576" i="1"/>
  <c r="C2576" i="1"/>
  <c r="F2576" i="1"/>
  <c r="N2576" i="1"/>
  <c r="A2577" i="1"/>
  <c r="C2577" i="1"/>
  <c r="N2577" i="1"/>
  <c r="A2578" i="1"/>
  <c r="C2578" i="1"/>
  <c r="N2578" i="1"/>
  <c r="A2579" i="1"/>
  <c r="C2579" i="1"/>
  <c r="N2579" i="1"/>
  <c r="A2580" i="1"/>
  <c r="C2580" i="1"/>
  <c r="N2580" i="1"/>
  <c r="A2581" i="1"/>
  <c r="C2581" i="1"/>
  <c r="N2581" i="1"/>
  <c r="A2582" i="1"/>
  <c r="C2582" i="1"/>
  <c r="N2582" i="1"/>
  <c r="A2583" i="1"/>
  <c r="C2583" i="1"/>
  <c r="N2583" i="1"/>
  <c r="A2584" i="1"/>
  <c r="C2584" i="1"/>
  <c r="N2584" i="1"/>
  <c r="A2585" i="1"/>
  <c r="C2585" i="1"/>
  <c r="N2585" i="1"/>
  <c r="A2586" i="1"/>
  <c r="C2586" i="1"/>
  <c r="N2586" i="1"/>
  <c r="A2587" i="1"/>
  <c r="C2587" i="1"/>
  <c r="N2587" i="1"/>
  <c r="A2588" i="1"/>
  <c r="C2588" i="1"/>
  <c r="N2588" i="1"/>
  <c r="A2589" i="1"/>
  <c r="C2589" i="1"/>
  <c r="N2589" i="1"/>
  <c r="A2590" i="1"/>
  <c r="C2590" i="1"/>
  <c r="N2590" i="1"/>
  <c r="A2591" i="1"/>
  <c r="C2591" i="1"/>
  <c r="N2591" i="1"/>
  <c r="A2592" i="1"/>
  <c r="C2592" i="1"/>
  <c r="N2592" i="1"/>
  <c r="A2593" i="1"/>
  <c r="C2593" i="1"/>
  <c r="N2593" i="1"/>
  <c r="A2594" i="1"/>
  <c r="C2594" i="1"/>
  <c r="N2594" i="1"/>
  <c r="A2595" i="1"/>
  <c r="C2595" i="1"/>
  <c r="N2595" i="1"/>
  <c r="A2596" i="1"/>
  <c r="C2596" i="1"/>
  <c r="N2596" i="1"/>
  <c r="A2597" i="1"/>
  <c r="C2597" i="1"/>
  <c r="N2597" i="1"/>
  <c r="A2598" i="1"/>
  <c r="C2598" i="1"/>
  <c r="N2598" i="1"/>
  <c r="A2599" i="1"/>
  <c r="C2599" i="1"/>
  <c r="N2599" i="1"/>
  <c r="A2600" i="1"/>
  <c r="C2600" i="1"/>
  <c r="N2600" i="1"/>
  <c r="A2601" i="1"/>
  <c r="C2601" i="1"/>
  <c r="N2601" i="1"/>
  <c r="A2602" i="1"/>
  <c r="C2602" i="1"/>
  <c r="N2602" i="1"/>
  <c r="A2603" i="1"/>
  <c r="C2603" i="1"/>
  <c r="N2603" i="1"/>
  <c r="A2604" i="1"/>
  <c r="C2604" i="1"/>
  <c r="N2604" i="1"/>
  <c r="A2605" i="1"/>
  <c r="C2605" i="1"/>
  <c r="N2605" i="1"/>
  <c r="A2606" i="1"/>
  <c r="C2606" i="1"/>
  <c r="N2606" i="1"/>
  <c r="A2607" i="1"/>
  <c r="C2607" i="1"/>
  <c r="N2607" i="1"/>
  <c r="A2608" i="1"/>
  <c r="C2608" i="1"/>
  <c r="N2608" i="1"/>
  <c r="A2609" i="1"/>
  <c r="C2609" i="1"/>
  <c r="N2609" i="1"/>
  <c r="A2610" i="1"/>
  <c r="C2610" i="1"/>
  <c r="N2610" i="1"/>
  <c r="A2611" i="1"/>
  <c r="C2611" i="1"/>
  <c r="N2611" i="1"/>
  <c r="A2612" i="1"/>
  <c r="C2612" i="1"/>
  <c r="N2612" i="1"/>
  <c r="A2613" i="1"/>
  <c r="C2613" i="1"/>
  <c r="N2613" i="1"/>
  <c r="A2614" i="1"/>
  <c r="C2614" i="1"/>
  <c r="N2614" i="1"/>
  <c r="A2615" i="1"/>
  <c r="C2615" i="1"/>
  <c r="N2615" i="1"/>
  <c r="A2616" i="1"/>
  <c r="C2616" i="1"/>
  <c r="N2616" i="1"/>
  <c r="A2617" i="1"/>
  <c r="C2617" i="1"/>
  <c r="N2617" i="1"/>
  <c r="A2618" i="1"/>
  <c r="C2618" i="1"/>
  <c r="N2618" i="1"/>
  <c r="A2619" i="1"/>
  <c r="C2619" i="1"/>
  <c r="N2619" i="1"/>
  <c r="A2620" i="1"/>
  <c r="C2620" i="1"/>
  <c r="F2620" i="1"/>
  <c r="N2620" i="1"/>
  <c r="A2621" i="1"/>
  <c r="C2621" i="1"/>
  <c r="N2621" i="1"/>
  <c r="A2622" i="1"/>
  <c r="C2622" i="1"/>
  <c r="N2622" i="1"/>
  <c r="A2623" i="1"/>
  <c r="C2623" i="1"/>
  <c r="N2623" i="1"/>
  <c r="A2624" i="1"/>
  <c r="C2624" i="1"/>
  <c r="N2624" i="1"/>
  <c r="A2625" i="1"/>
  <c r="C2625" i="1"/>
  <c r="N2625" i="1"/>
  <c r="A2626" i="1"/>
  <c r="C2626" i="1"/>
  <c r="N2626" i="1"/>
  <c r="A2627" i="1"/>
  <c r="C2627" i="1"/>
  <c r="N2627" i="1"/>
  <c r="A2628" i="1"/>
  <c r="C2628" i="1"/>
  <c r="N2628" i="1"/>
  <c r="A2629" i="1"/>
  <c r="C2629" i="1"/>
  <c r="N2629" i="1"/>
  <c r="A2630" i="1"/>
  <c r="C2630" i="1"/>
  <c r="N2630" i="1"/>
  <c r="A2631" i="1"/>
  <c r="C2631" i="1"/>
  <c r="N2631" i="1"/>
  <c r="A2632" i="1"/>
  <c r="C2632" i="1"/>
  <c r="N2632" i="1"/>
  <c r="A2633" i="1"/>
  <c r="C2633" i="1"/>
  <c r="N2633" i="1"/>
  <c r="A2634" i="1"/>
  <c r="C2634" i="1"/>
  <c r="N2634" i="1"/>
  <c r="A2635" i="1"/>
  <c r="C2635" i="1"/>
  <c r="N2635" i="1"/>
  <c r="A2636" i="1"/>
  <c r="C2636" i="1"/>
  <c r="N2636" i="1"/>
  <c r="A2637" i="1"/>
  <c r="C2637" i="1"/>
  <c r="N2637" i="1"/>
  <c r="A2638" i="1"/>
  <c r="C2638" i="1"/>
  <c r="N2638" i="1"/>
  <c r="A2639" i="1"/>
  <c r="C2639" i="1"/>
  <c r="N2639" i="1"/>
  <c r="A2640" i="1"/>
  <c r="C2640" i="1"/>
  <c r="N2640" i="1"/>
  <c r="A2641" i="1"/>
  <c r="C2641" i="1"/>
  <c r="N2641" i="1"/>
  <c r="A2642" i="1"/>
  <c r="C2642" i="1"/>
  <c r="N2642" i="1"/>
  <c r="A2643" i="1"/>
  <c r="C2643" i="1"/>
  <c r="N2643" i="1"/>
  <c r="A2644" i="1"/>
  <c r="C2644" i="1"/>
  <c r="N2644" i="1"/>
  <c r="A2645" i="1"/>
  <c r="C2645" i="1"/>
  <c r="N2645" i="1"/>
  <c r="A2646" i="1"/>
  <c r="C2646" i="1"/>
  <c r="N2646" i="1"/>
  <c r="A2647" i="1"/>
  <c r="C2647" i="1"/>
  <c r="N2647" i="1"/>
  <c r="A2648" i="1"/>
  <c r="C2648" i="1"/>
  <c r="N2648" i="1"/>
  <c r="A2649" i="1"/>
  <c r="C2649" i="1"/>
  <c r="N2649" i="1"/>
  <c r="A2650" i="1"/>
  <c r="C2650" i="1"/>
  <c r="N2650" i="1"/>
  <c r="A2651" i="1"/>
  <c r="C2651" i="1"/>
  <c r="N2651" i="1"/>
  <c r="A2652" i="1"/>
  <c r="C2652" i="1"/>
  <c r="N2652" i="1"/>
  <c r="A2653" i="1"/>
  <c r="C2653" i="1"/>
  <c r="N2653" i="1"/>
  <c r="A2654" i="1"/>
  <c r="C2654" i="1"/>
  <c r="N2654" i="1"/>
  <c r="A2655" i="1"/>
  <c r="C2655" i="1"/>
  <c r="N2655" i="1"/>
  <c r="A2656" i="1"/>
  <c r="C2656" i="1"/>
  <c r="N2656" i="1"/>
  <c r="A2657" i="1"/>
  <c r="C2657" i="1"/>
  <c r="N2657" i="1"/>
  <c r="A2658" i="1"/>
  <c r="C2658" i="1"/>
  <c r="N2658" i="1"/>
  <c r="A2659" i="1"/>
  <c r="C2659" i="1"/>
  <c r="N2659" i="1"/>
  <c r="A2660" i="1"/>
  <c r="C2660" i="1"/>
  <c r="N2660" i="1"/>
  <c r="A2661" i="1"/>
  <c r="C2661" i="1"/>
  <c r="N2661" i="1"/>
  <c r="A2662" i="1"/>
  <c r="C2662" i="1"/>
  <c r="N2662" i="1"/>
  <c r="A2663" i="1"/>
  <c r="C2663" i="1"/>
  <c r="N2663" i="1"/>
  <c r="A2664" i="1"/>
  <c r="C2664" i="1"/>
  <c r="N2664" i="1"/>
  <c r="A2665" i="1"/>
  <c r="C2665" i="1"/>
  <c r="N2665" i="1"/>
  <c r="A2666" i="1"/>
  <c r="C2666" i="1"/>
  <c r="N2666" i="1"/>
  <c r="A2667" i="1"/>
  <c r="C2667" i="1"/>
  <c r="N2667" i="1"/>
  <c r="A2668" i="1"/>
  <c r="C2668" i="1"/>
  <c r="N2668" i="1"/>
  <c r="A2669" i="1"/>
  <c r="C2669" i="1"/>
  <c r="N2669" i="1"/>
  <c r="A2670" i="1"/>
  <c r="C2670" i="1"/>
  <c r="N2670" i="1"/>
  <c r="A2671" i="1"/>
  <c r="C2671" i="1"/>
  <c r="N2671" i="1"/>
  <c r="A2672" i="1"/>
  <c r="C2672" i="1"/>
  <c r="N2672" i="1"/>
  <c r="A2673" i="1"/>
  <c r="C2673" i="1"/>
  <c r="N2673" i="1"/>
  <c r="A2674" i="1"/>
  <c r="C2674" i="1"/>
  <c r="N2674" i="1"/>
  <c r="A2675" i="1"/>
  <c r="C2675" i="1"/>
  <c r="N2675" i="1"/>
  <c r="A2676" i="1"/>
  <c r="C2676" i="1"/>
  <c r="N2676" i="1"/>
  <c r="A2677" i="1"/>
  <c r="C2677" i="1"/>
  <c r="N2677" i="1"/>
  <c r="A2678" i="1"/>
  <c r="C2678" i="1"/>
  <c r="N2678" i="1"/>
  <c r="A2679" i="1"/>
  <c r="C2679" i="1"/>
  <c r="N2679" i="1"/>
  <c r="A2680" i="1"/>
  <c r="C2680" i="1"/>
  <c r="N2680" i="1"/>
  <c r="A2681" i="1"/>
  <c r="C2681" i="1"/>
  <c r="N2681" i="1"/>
  <c r="A2682" i="1"/>
  <c r="C2682" i="1"/>
  <c r="N2682" i="1"/>
  <c r="A2683" i="1"/>
  <c r="C2683" i="1"/>
  <c r="N2683" i="1"/>
  <c r="A2684" i="1"/>
  <c r="C2684" i="1"/>
  <c r="N2684" i="1"/>
  <c r="A2685" i="1"/>
  <c r="C2685" i="1"/>
  <c r="N2685" i="1"/>
  <c r="A2686" i="1"/>
  <c r="C2686" i="1"/>
  <c r="N2686" i="1"/>
  <c r="A2687" i="1"/>
  <c r="C2687" i="1"/>
  <c r="N2687" i="1"/>
  <c r="A2688" i="1"/>
  <c r="C2688" i="1"/>
  <c r="N2688" i="1"/>
  <c r="A2689" i="1"/>
  <c r="C2689" i="1"/>
  <c r="N2689" i="1"/>
  <c r="A2690" i="1"/>
  <c r="C2690" i="1"/>
  <c r="N2690" i="1"/>
  <c r="A2691" i="1"/>
  <c r="C2691" i="1"/>
  <c r="N2691" i="1"/>
  <c r="A2692" i="1"/>
  <c r="C2692" i="1"/>
  <c r="N2692" i="1"/>
  <c r="A2693" i="1"/>
  <c r="C2693" i="1"/>
  <c r="N2693" i="1"/>
  <c r="A2694" i="1"/>
  <c r="C2694" i="1"/>
  <c r="N2694" i="1"/>
  <c r="A2695" i="1"/>
  <c r="C2695" i="1"/>
  <c r="N2695" i="1"/>
  <c r="A2696" i="1"/>
  <c r="C2696" i="1"/>
  <c r="N2696" i="1"/>
  <c r="A2697" i="1"/>
  <c r="C2697" i="1"/>
  <c r="N2697" i="1"/>
  <c r="A2698" i="1"/>
  <c r="C2698" i="1"/>
  <c r="N2698" i="1"/>
  <c r="A2699" i="1"/>
  <c r="C2699" i="1"/>
  <c r="N2699" i="1"/>
  <c r="A2700" i="1"/>
  <c r="C2700" i="1"/>
  <c r="N2700" i="1"/>
  <c r="A2701" i="1"/>
  <c r="C2701" i="1"/>
  <c r="N2701" i="1"/>
  <c r="A2702" i="1"/>
  <c r="C2702" i="1"/>
  <c r="N2702" i="1"/>
  <c r="A2703" i="1"/>
  <c r="C2703" i="1"/>
  <c r="N2703" i="1"/>
  <c r="A2704" i="1"/>
  <c r="C2704" i="1"/>
  <c r="N2704" i="1"/>
  <c r="A2705" i="1"/>
  <c r="C2705" i="1"/>
  <c r="N2705" i="1"/>
  <c r="A2706" i="1"/>
  <c r="C2706" i="1"/>
  <c r="N2706" i="1"/>
  <c r="A2707" i="1"/>
  <c r="C2707" i="1"/>
  <c r="N2707" i="1"/>
  <c r="A2708" i="1"/>
  <c r="C2708" i="1"/>
  <c r="N2708" i="1"/>
  <c r="A2709" i="1"/>
  <c r="C2709" i="1"/>
  <c r="N2709" i="1"/>
  <c r="A2710" i="1"/>
  <c r="C2710" i="1"/>
  <c r="N2710" i="1"/>
  <c r="A2711" i="1"/>
  <c r="C2711" i="1"/>
  <c r="N2711" i="1"/>
  <c r="A2712" i="1"/>
  <c r="C2712" i="1"/>
  <c r="N2712" i="1"/>
  <c r="A2713" i="1"/>
  <c r="C2713" i="1"/>
  <c r="N2713" i="1"/>
  <c r="A2714" i="1"/>
  <c r="C2714" i="1"/>
  <c r="N2714" i="1"/>
  <c r="A2715" i="1"/>
  <c r="C2715" i="1"/>
  <c r="N2715" i="1"/>
  <c r="A2716" i="1"/>
  <c r="C2716" i="1"/>
  <c r="N2716" i="1"/>
  <c r="A2717" i="1"/>
  <c r="C2717" i="1"/>
  <c r="N2717" i="1"/>
  <c r="A2718" i="1"/>
  <c r="C2718" i="1"/>
  <c r="N2718" i="1"/>
  <c r="A2719" i="1"/>
  <c r="C2719" i="1"/>
  <c r="N2719" i="1"/>
  <c r="A2720" i="1"/>
  <c r="C2720" i="1"/>
  <c r="N2720" i="1"/>
  <c r="A2721" i="1"/>
  <c r="C2721" i="1"/>
  <c r="N2721" i="1"/>
  <c r="A2722" i="1"/>
  <c r="C2722" i="1"/>
  <c r="N2722" i="1"/>
  <c r="A2723" i="1"/>
  <c r="C2723" i="1"/>
  <c r="N2723" i="1"/>
  <c r="A2724" i="1"/>
  <c r="C2724" i="1"/>
  <c r="N2724" i="1"/>
  <c r="A2725" i="1"/>
  <c r="C2725" i="1"/>
  <c r="N2725" i="1"/>
  <c r="A2726" i="1"/>
  <c r="C2726" i="1"/>
  <c r="N2726" i="1"/>
  <c r="A2727" i="1"/>
  <c r="C2727" i="1"/>
  <c r="F2727" i="1"/>
  <c r="N2727" i="1"/>
  <c r="A2728" i="1"/>
  <c r="C2728" i="1"/>
  <c r="N2728" i="1"/>
  <c r="A2729" i="1"/>
  <c r="C2729" i="1"/>
  <c r="N2729" i="1"/>
  <c r="A2730" i="1"/>
  <c r="C2730" i="1"/>
  <c r="N2730" i="1"/>
  <c r="A2731" i="1"/>
  <c r="C2731" i="1"/>
  <c r="N2731" i="1"/>
  <c r="A2732" i="1"/>
  <c r="C2732" i="1"/>
  <c r="N2732" i="1"/>
  <c r="A2733" i="1"/>
  <c r="C2733" i="1"/>
  <c r="N2733" i="1"/>
  <c r="A2734" i="1"/>
  <c r="C2734" i="1"/>
  <c r="N2734" i="1"/>
  <c r="A2735" i="1"/>
  <c r="C2735" i="1"/>
  <c r="N2735" i="1"/>
  <c r="A2736" i="1"/>
  <c r="C2736" i="1"/>
  <c r="N2736" i="1"/>
  <c r="A2737" i="1"/>
  <c r="C2737" i="1"/>
  <c r="N2737" i="1"/>
  <c r="A2738" i="1"/>
  <c r="C2738" i="1"/>
  <c r="N2738" i="1"/>
  <c r="A2739" i="1"/>
  <c r="C2739" i="1"/>
  <c r="N2739" i="1"/>
  <c r="A2740" i="1"/>
  <c r="C2740" i="1"/>
  <c r="N2740" i="1"/>
  <c r="A2741" i="1"/>
  <c r="C2741" i="1"/>
  <c r="N2741" i="1"/>
  <c r="A2742" i="1"/>
  <c r="C2742" i="1"/>
  <c r="N2742" i="1"/>
  <c r="A2743" i="1"/>
  <c r="C2743" i="1"/>
  <c r="N2743" i="1"/>
  <c r="A2744" i="1"/>
  <c r="C2744" i="1"/>
  <c r="N2744" i="1"/>
  <c r="A2745" i="1"/>
  <c r="C2745" i="1"/>
  <c r="N2745" i="1"/>
  <c r="A2746" i="1"/>
  <c r="C2746" i="1"/>
  <c r="N2746" i="1"/>
  <c r="A2747" i="1"/>
  <c r="C2747" i="1"/>
  <c r="N2747" i="1"/>
  <c r="A2748" i="1"/>
  <c r="C2748" i="1"/>
  <c r="N2748" i="1"/>
  <c r="A2749" i="1"/>
  <c r="C2749" i="1"/>
  <c r="N2749" i="1"/>
  <c r="A2750" i="1"/>
  <c r="C2750" i="1"/>
  <c r="N2750" i="1"/>
  <c r="A2751" i="1"/>
  <c r="C2751" i="1"/>
  <c r="N2751" i="1"/>
  <c r="A2752" i="1"/>
  <c r="C2752" i="1"/>
  <c r="N2752" i="1"/>
  <c r="A2753" i="1"/>
  <c r="C2753" i="1"/>
  <c r="N2753" i="1"/>
  <c r="A2754" i="1"/>
  <c r="C2754" i="1"/>
  <c r="N2754" i="1"/>
  <c r="A2755" i="1"/>
  <c r="C2755" i="1"/>
  <c r="N2755" i="1"/>
  <c r="A2756" i="1"/>
  <c r="C2756" i="1"/>
  <c r="N2756" i="1"/>
  <c r="A2757" i="1"/>
  <c r="C2757" i="1"/>
  <c r="N2757" i="1"/>
  <c r="A2758" i="1"/>
  <c r="C2758" i="1"/>
  <c r="N2758" i="1"/>
  <c r="A2759" i="1"/>
  <c r="C2759" i="1"/>
  <c r="N2759" i="1"/>
  <c r="A2760" i="1"/>
  <c r="C2760" i="1"/>
  <c r="N2760" i="1"/>
  <c r="A2761" i="1"/>
  <c r="C2761" i="1"/>
  <c r="N2761" i="1"/>
  <c r="A2762" i="1"/>
  <c r="C2762" i="1"/>
  <c r="N2762" i="1"/>
  <c r="A2763" i="1"/>
  <c r="C2763" i="1"/>
  <c r="N2763" i="1"/>
  <c r="A2764" i="1"/>
  <c r="C2764" i="1"/>
  <c r="N2764" i="1"/>
  <c r="A2765" i="1"/>
  <c r="C2765" i="1"/>
  <c r="N2765" i="1"/>
  <c r="A2766" i="1"/>
  <c r="C2766" i="1"/>
  <c r="N2766" i="1"/>
  <c r="A2767" i="1"/>
  <c r="C2767" i="1"/>
  <c r="N2767" i="1"/>
  <c r="A2768" i="1"/>
  <c r="C2768" i="1"/>
  <c r="N2768" i="1"/>
  <c r="A2769" i="1"/>
  <c r="C2769" i="1"/>
  <c r="N2769" i="1"/>
  <c r="A2770" i="1"/>
  <c r="C2770" i="1"/>
  <c r="N2770" i="1"/>
  <c r="A2771" i="1"/>
  <c r="C2771" i="1"/>
  <c r="N2771" i="1"/>
  <c r="A2772" i="1"/>
  <c r="C2772" i="1"/>
  <c r="N2772" i="1"/>
  <c r="A2773" i="1"/>
  <c r="C2773" i="1"/>
  <c r="N2773" i="1"/>
  <c r="A2774" i="1"/>
  <c r="C2774" i="1"/>
  <c r="N2774" i="1"/>
  <c r="A2775" i="1"/>
  <c r="C2775" i="1"/>
  <c r="N2775" i="1"/>
  <c r="A2776" i="1"/>
  <c r="C2776" i="1"/>
  <c r="N2776" i="1"/>
  <c r="A2777" i="1"/>
  <c r="C2777" i="1"/>
  <c r="N2777" i="1"/>
  <c r="A2778" i="1"/>
  <c r="C2778" i="1"/>
  <c r="N2778" i="1"/>
  <c r="A2779" i="1"/>
  <c r="C2779" i="1"/>
  <c r="N2779" i="1"/>
  <c r="A2780" i="1"/>
  <c r="C2780" i="1"/>
  <c r="N2780" i="1"/>
  <c r="A2781" i="1"/>
  <c r="C2781" i="1"/>
  <c r="N2781" i="1"/>
  <c r="A2782" i="1"/>
  <c r="C2782" i="1"/>
  <c r="N2782" i="1"/>
  <c r="A2783" i="1"/>
  <c r="C2783" i="1"/>
  <c r="N2783" i="1"/>
  <c r="A2784" i="1"/>
  <c r="C2784" i="1"/>
  <c r="N2784" i="1"/>
  <c r="A2785" i="1"/>
  <c r="C2785" i="1"/>
  <c r="N2785" i="1"/>
  <c r="A2786" i="1"/>
  <c r="C2786" i="1"/>
  <c r="N2786" i="1"/>
  <c r="A2787" i="1"/>
  <c r="C2787" i="1"/>
  <c r="N2787" i="1"/>
  <c r="A2788" i="1"/>
  <c r="C2788" i="1"/>
  <c r="N2788" i="1"/>
  <c r="A2789" i="1"/>
  <c r="C2789" i="1"/>
  <c r="N2789" i="1"/>
  <c r="A2790" i="1"/>
  <c r="C2790" i="1"/>
  <c r="N2790" i="1"/>
  <c r="A2791" i="1"/>
  <c r="C2791" i="1"/>
  <c r="N2791" i="1"/>
  <c r="A2792" i="1"/>
  <c r="C2792" i="1"/>
  <c r="N2792" i="1"/>
  <c r="A2793" i="1"/>
  <c r="C2793" i="1"/>
  <c r="N2793" i="1"/>
  <c r="A2794" i="1"/>
  <c r="C2794" i="1"/>
  <c r="N2794" i="1"/>
  <c r="A2795" i="1"/>
  <c r="C2795" i="1"/>
  <c r="N2795" i="1"/>
  <c r="A2796" i="1"/>
  <c r="C2796" i="1"/>
  <c r="N2796" i="1"/>
  <c r="A2797" i="1"/>
  <c r="C2797" i="1"/>
  <c r="N2797" i="1"/>
  <c r="A2798" i="1"/>
  <c r="C2798" i="1"/>
  <c r="N2798" i="1"/>
  <c r="A2799" i="1"/>
  <c r="C2799" i="1"/>
  <c r="N2799" i="1"/>
  <c r="A2800" i="1"/>
  <c r="C2800" i="1"/>
  <c r="N2800" i="1"/>
  <c r="A2801" i="1"/>
  <c r="C2801" i="1"/>
  <c r="N2801" i="1"/>
  <c r="A2802" i="1"/>
  <c r="C2802" i="1"/>
  <c r="N2802" i="1"/>
  <c r="A2803" i="1"/>
  <c r="C2803" i="1"/>
  <c r="N2803" i="1"/>
  <c r="A2804" i="1"/>
  <c r="C2804" i="1"/>
  <c r="N2804" i="1"/>
  <c r="A2805" i="1"/>
  <c r="C2805" i="1"/>
  <c r="N2805" i="1"/>
  <c r="A2806" i="1"/>
  <c r="C2806" i="1"/>
  <c r="N2806" i="1"/>
  <c r="A2807" i="1"/>
  <c r="C2807" i="1"/>
  <c r="N2807" i="1"/>
  <c r="A2808" i="1"/>
  <c r="C2808" i="1"/>
  <c r="N2808" i="1"/>
  <c r="A2809" i="1"/>
  <c r="C2809" i="1"/>
  <c r="N2809" i="1"/>
  <c r="A2810" i="1"/>
  <c r="C2810" i="1"/>
  <c r="N2810" i="1"/>
  <c r="A2811" i="1"/>
  <c r="C2811" i="1"/>
  <c r="N2811" i="1"/>
  <c r="A2812" i="1"/>
  <c r="C2812" i="1"/>
  <c r="N2812" i="1"/>
  <c r="A2813" i="1"/>
  <c r="C2813" i="1"/>
  <c r="N2813" i="1"/>
  <c r="A2814" i="1"/>
  <c r="C2814" i="1"/>
  <c r="N2814" i="1"/>
  <c r="A2815" i="1"/>
  <c r="C2815" i="1"/>
  <c r="N2815" i="1"/>
  <c r="A2816" i="1"/>
  <c r="C2816" i="1"/>
  <c r="N2816" i="1"/>
  <c r="A2817" i="1"/>
  <c r="C2817" i="1"/>
  <c r="N2817" i="1"/>
  <c r="A2818" i="1"/>
  <c r="C2818" i="1"/>
  <c r="N2818" i="1"/>
  <c r="A2819" i="1"/>
  <c r="C2819" i="1"/>
  <c r="N2819" i="1"/>
  <c r="A2820" i="1"/>
  <c r="C2820" i="1"/>
  <c r="N2820" i="1"/>
  <c r="A2821" i="1"/>
  <c r="C2821" i="1"/>
  <c r="N2821" i="1"/>
  <c r="A2822" i="1"/>
  <c r="C2822" i="1"/>
  <c r="N2822" i="1"/>
  <c r="A2823" i="1"/>
  <c r="C2823" i="1"/>
  <c r="N2823" i="1"/>
  <c r="A2824" i="1"/>
  <c r="C2824" i="1"/>
  <c r="N2824" i="1"/>
  <c r="A2825" i="1"/>
  <c r="C2825" i="1"/>
  <c r="N2825" i="1"/>
  <c r="A2826" i="1"/>
  <c r="C2826" i="1"/>
  <c r="N2826" i="1"/>
  <c r="A2827" i="1"/>
  <c r="C2827" i="1"/>
  <c r="N2827" i="1"/>
  <c r="A2828" i="1"/>
  <c r="C2828" i="1"/>
  <c r="N2828" i="1"/>
  <c r="A2829" i="1"/>
  <c r="C2829" i="1"/>
  <c r="N2829" i="1"/>
  <c r="A2830" i="1"/>
  <c r="C2830" i="1"/>
  <c r="N2830" i="1"/>
  <c r="A2831" i="1"/>
  <c r="C2831" i="1"/>
  <c r="N2831" i="1"/>
  <c r="A2832" i="1"/>
  <c r="C2832" i="1"/>
  <c r="N2832" i="1"/>
  <c r="A2833" i="1"/>
  <c r="C2833" i="1"/>
  <c r="N2833" i="1"/>
  <c r="A2834" i="1"/>
  <c r="C2834" i="1"/>
  <c r="N2834" i="1"/>
  <c r="A2835" i="1"/>
  <c r="C2835" i="1"/>
  <c r="N2835" i="1"/>
  <c r="A2836" i="1"/>
  <c r="C2836" i="1"/>
  <c r="N2836" i="1"/>
  <c r="A2837" i="1"/>
  <c r="C2837" i="1"/>
  <c r="N2837" i="1"/>
  <c r="A2838" i="1"/>
  <c r="C2838" i="1"/>
  <c r="N2838" i="1"/>
  <c r="A2839" i="1"/>
  <c r="C2839" i="1"/>
  <c r="N2839" i="1"/>
  <c r="A2840" i="1"/>
  <c r="C2840" i="1"/>
  <c r="N2840" i="1"/>
  <c r="A2841" i="1"/>
  <c r="C2841" i="1"/>
  <c r="N2841" i="1"/>
  <c r="A2842" i="1"/>
  <c r="C2842" i="1"/>
  <c r="N2842" i="1"/>
  <c r="A2843" i="1"/>
  <c r="C2843" i="1"/>
  <c r="N2843" i="1"/>
  <c r="A2844" i="1"/>
  <c r="C2844" i="1"/>
  <c r="N2844" i="1"/>
  <c r="A2845" i="1"/>
  <c r="C2845" i="1"/>
  <c r="N2845" i="1"/>
  <c r="A2846" i="1"/>
  <c r="C2846" i="1"/>
  <c r="N2846" i="1"/>
  <c r="A2847" i="1"/>
  <c r="C2847" i="1"/>
  <c r="N2847" i="1"/>
  <c r="A2848" i="1"/>
  <c r="C2848" i="1"/>
  <c r="N2848" i="1"/>
  <c r="A2849" i="1"/>
  <c r="C2849" i="1"/>
  <c r="N2849" i="1"/>
  <c r="A2850" i="1"/>
  <c r="C2850" i="1"/>
  <c r="N2850" i="1"/>
  <c r="A2851" i="1"/>
  <c r="C2851" i="1"/>
  <c r="N2851" i="1"/>
  <c r="A2852" i="1"/>
  <c r="C2852" i="1"/>
  <c r="N2852" i="1"/>
  <c r="A2853" i="1"/>
  <c r="C2853" i="1"/>
  <c r="N2853" i="1"/>
  <c r="A2854" i="1"/>
  <c r="C2854" i="1"/>
  <c r="N2854" i="1"/>
  <c r="A2855" i="1"/>
  <c r="C2855" i="1"/>
  <c r="N2855" i="1"/>
  <c r="A2856" i="1"/>
  <c r="C2856" i="1"/>
  <c r="N2856" i="1"/>
  <c r="A2857" i="1"/>
  <c r="C2857" i="1"/>
  <c r="N2857" i="1"/>
  <c r="A2858" i="1"/>
  <c r="C2858" i="1"/>
  <c r="N2858" i="1"/>
  <c r="A2859" i="1"/>
  <c r="C2859" i="1"/>
  <c r="N2859" i="1"/>
  <c r="A2860" i="1"/>
  <c r="C2860" i="1"/>
  <c r="N2860" i="1"/>
  <c r="A2861" i="1"/>
  <c r="C2861" i="1"/>
  <c r="N2861" i="1"/>
  <c r="A2862" i="1"/>
  <c r="C2862" i="1"/>
  <c r="N2862" i="1"/>
  <c r="A2863" i="1"/>
  <c r="C2863" i="1"/>
  <c r="N2863" i="1"/>
  <c r="A2864" i="1"/>
  <c r="C2864" i="1"/>
  <c r="N2864" i="1"/>
  <c r="A2865" i="1"/>
  <c r="C2865" i="1"/>
  <c r="N2865" i="1"/>
  <c r="A2866" i="1"/>
  <c r="C2866" i="1"/>
  <c r="N2866" i="1"/>
  <c r="A2867" i="1"/>
  <c r="C2867" i="1"/>
  <c r="N2867" i="1"/>
  <c r="A2868" i="1"/>
  <c r="C2868" i="1"/>
  <c r="N2868" i="1"/>
  <c r="A2869" i="1"/>
  <c r="C2869" i="1"/>
  <c r="N2869" i="1"/>
  <c r="A2870" i="1"/>
  <c r="C2870" i="1"/>
  <c r="N2870" i="1"/>
  <c r="A2871" i="1"/>
  <c r="C2871" i="1"/>
  <c r="N2871" i="1"/>
  <c r="A2872" i="1"/>
  <c r="C2872" i="1"/>
  <c r="N2872" i="1"/>
  <c r="A2873" i="1"/>
  <c r="C2873" i="1"/>
  <c r="N2873" i="1"/>
  <c r="A2874" i="1"/>
  <c r="C2874" i="1"/>
  <c r="N2874" i="1"/>
  <c r="A2875" i="1"/>
  <c r="C2875" i="1"/>
  <c r="N2875" i="1"/>
  <c r="A2876" i="1"/>
  <c r="C2876" i="1"/>
  <c r="N2876" i="1"/>
  <c r="A2877" i="1"/>
  <c r="C2877" i="1"/>
  <c r="N2877" i="1"/>
  <c r="A2878" i="1"/>
  <c r="C2878" i="1"/>
  <c r="N2878" i="1"/>
  <c r="A2879" i="1"/>
  <c r="C2879" i="1"/>
  <c r="N2879" i="1"/>
  <c r="A2880" i="1"/>
  <c r="C2880" i="1"/>
  <c r="N2880" i="1"/>
  <c r="A2881" i="1"/>
  <c r="C2881" i="1"/>
  <c r="N2881" i="1"/>
  <c r="A2882" i="1"/>
  <c r="C2882" i="1"/>
  <c r="F2882" i="1"/>
  <c r="N2882" i="1"/>
  <c r="A2883" i="1"/>
  <c r="C2883" i="1"/>
  <c r="N2883" i="1"/>
  <c r="A2884" i="1"/>
  <c r="C2884" i="1"/>
  <c r="N2884" i="1"/>
  <c r="A2885" i="1"/>
  <c r="C2885" i="1"/>
  <c r="N2885" i="1"/>
  <c r="A2886" i="1"/>
  <c r="C2886" i="1"/>
  <c r="N2886" i="1"/>
  <c r="A2887" i="1"/>
  <c r="C2887" i="1"/>
  <c r="N2887" i="1"/>
  <c r="A2888" i="1"/>
  <c r="C2888" i="1"/>
  <c r="N2888" i="1"/>
  <c r="A2889" i="1"/>
  <c r="C2889" i="1"/>
  <c r="N2889" i="1"/>
  <c r="A2890" i="1"/>
  <c r="C2890" i="1"/>
  <c r="N2890" i="1"/>
  <c r="A2891" i="1"/>
  <c r="C2891" i="1"/>
  <c r="N2891" i="1"/>
  <c r="A2892" i="1"/>
  <c r="C2892" i="1"/>
  <c r="N2892" i="1"/>
  <c r="A2893" i="1"/>
  <c r="C2893" i="1"/>
  <c r="N2893" i="1"/>
  <c r="A2894" i="1"/>
  <c r="C2894" i="1"/>
  <c r="N2894" i="1"/>
  <c r="A2895" i="1"/>
  <c r="C2895" i="1"/>
  <c r="N2895" i="1"/>
  <c r="A2896" i="1"/>
  <c r="C2896" i="1"/>
  <c r="N2896" i="1"/>
  <c r="A2897" i="1"/>
  <c r="C2897" i="1"/>
  <c r="N2897" i="1"/>
  <c r="A2898" i="1"/>
  <c r="C2898" i="1"/>
  <c r="N2898" i="1"/>
  <c r="A2899" i="1"/>
  <c r="C2899" i="1"/>
  <c r="N2899" i="1"/>
  <c r="A2900" i="1"/>
  <c r="C2900" i="1"/>
  <c r="N2900" i="1"/>
  <c r="A2901" i="1"/>
  <c r="C2901" i="1"/>
  <c r="N2901" i="1"/>
  <c r="A2902" i="1"/>
  <c r="C2902" i="1"/>
  <c r="N2902" i="1"/>
  <c r="A2903" i="1"/>
  <c r="C2903" i="1"/>
  <c r="N2903" i="1"/>
  <c r="A2904" i="1"/>
  <c r="C2904" i="1"/>
  <c r="N2904" i="1"/>
  <c r="A2905" i="1"/>
  <c r="C2905" i="1"/>
  <c r="N2905" i="1"/>
  <c r="A2906" i="1"/>
  <c r="C2906" i="1"/>
  <c r="N2906" i="1"/>
  <c r="A2907" i="1"/>
  <c r="C2907" i="1"/>
  <c r="N2907" i="1"/>
  <c r="A2908" i="1"/>
  <c r="C2908" i="1"/>
  <c r="N2908" i="1"/>
  <c r="A2909" i="1"/>
  <c r="C2909" i="1"/>
  <c r="N2909" i="1"/>
  <c r="A2910" i="1"/>
  <c r="C2910" i="1"/>
  <c r="N2910" i="1"/>
  <c r="A2911" i="1"/>
  <c r="C2911" i="1"/>
  <c r="N2911" i="1"/>
  <c r="A2912" i="1"/>
  <c r="C2912" i="1"/>
  <c r="N2912" i="1"/>
  <c r="A2913" i="1"/>
  <c r="C2913" i="1"/>
  <c r="N2913" i="1"/>
  <c r="A2914" i="1"/>
  <c r="C2914" i="1"/>
  <c r="N2914" i="1"/>
  <c r="A2915" i="1"/>
  <c r="C2915" i="1"/>
  <c r="N2915" i="1"/>
  <c r="A2916" i="1"/>
  <c r="C2916" i="1"/>
  <c r="N2916" i="1"/>
  <c r="A2917" i="1"/>
  <c r="C2917" i="1"/>
  <c r="N2917" i="1"/>
  <c r="A2918" i="1"/>
  <c r="C2918" i="1"/>
  <c r="N2918" i="1"/>
  <c r="A2919" i="1"/>
  <c r="C2919" i="1"/>
  <c r="N2919" i="1"/>
  <c r="A2920" i="1"/>
  <c r="C2920" i="1"/>
  <c r="N2920" i="1"/>
  <c r="A2921" i="1"/>
  <c r="C2921" i="1"/>
  <c r="N2921" i="1"/>
  <c r="A2922" i="1"/>
  <c r="C2922" i="1"/>
  <c r="N2922" i="1"/>
  <c r="A2923" i="1"/>
  <c r="C2923" i="1"/>
  <c r="N2923" i="1"/>
  <c r="A2924" i="1"/>
  <c r="C2924" i="1"/>
  <c r="N2924" i="1"/>
  <c r="A2925" i="1"/>
  <c r="C2925" i="1"/>
  <c r="N2925" i="1"/>
  <c r="A2926" i="1"/>
  <c r="C2926" i="1"/>
  <c r="N2926" i="1"/>
  <c r="A2927" i="1"/>
  <c r="C2927" i="1"/>
  <c r="N2927" i="1"/>
  <c r="A2928" i="1"/>
  <c r="C2928" i="1"/>
  <c r="N2928" i="1"/>
  <c r="A2929" i="1"/>
  <c r="C2929" i="1"/>
  <c r="N2929" i="1"/>
  <c r="A2930" i="1"/>
  <c r="C2930" i="1"/>
  <c r="N2930" i="1"/>
  <c r="A2931" i="1"/>
  <c r="C2931" i="1"/>
  <c r="N2931" i="1"/>
  <c r="A2932" i="1"/>
  <c r="C2932" i="1"/>
  <c r="N2932" i="1"/>
  <c r="A2933" i="1"/>
  <c r="C2933" i="1"/>
  <c r="N2933" i="1"/>
  <c r="A2934" i="1"/>
  <c r="C2934" i="1"/>
  <c r="N2934" i="1"/>
  <c r="A2935" i="1"/>
  <c r="C2935" i="1"/>
  <c r="N2935" i="1"/>
  <c r="A2936" i="1"/>
  <c r="C2936" i="1"/>
  <c r="N2936" i="1"/>
  <c r="A2937" i="1"/>
  <c r="C2937" i="1"/>
  <c r="N2937" i="1"/>
  <c r="A2938" i="1"/>
  <c r="C2938" i="1"/>
  <c r="N2938" i="1"/>
  <c r="A2939" i="1"/>
  <c r="C2939" i="1"/>
  <c r="N2939" i="1"/>
  <c r="A2940" i="1"/>
  <c r="C2940" i="1"/>
  <c r="N2940" i="1"/>
  <c r="A2941" i="1"/>
  <c r="C2941" i="1"/>
  <c r="N2941" i="1"/>
  <c r="A2942" i="1"/>
  <c r="C2942" i="1"/>
  <c r="N2942" i="1"/>
  <c r="A2943" i="1"/>
  <c r="C2943" i="1"/>
  <c r="N2943" i="1"/>
  <c r="A2944" i="1"/>
  <c r="C2944" i="1"/>
  <c r="N2944" i="1"/>
  <c r="A2945" i="1"/>
  <c r="C2945" i="1"/>
  <c r="N2945" i="1"/>
  <c r="A2946" i="1"/>
  <c r="C2946" i="1"/>
  <c r="N2946" i="1"/>
  <c r="A2947" i="1"/>
  <c r="C2947" i="1"/>
  <c r="N2947" i="1"/>
  <c r="A2948" i="1"/>
  <c r="C2948" i="1"/>
  <c r="N2948" i="1"/>
  <c r="A2949" i="1"/>
  <c r="C2949" i="1"/>
  <c r="N2949" i="1"/>
  <c r="A2950" i="1"/>
  <c r="C2950" i="1"/>
  <c r="N2950" i="1"/>
  <c r="A2951" i="1"/>
  <c r="C2951" i="1"/>
  <c r="N2951" i="1"/>
  <c r="A2952" i="1"/>
  <c r="C2952" i="1"/>
  <c r="N2952" i="1"/>
  <c r="A2953" i="1"/>
  <c r="C2953" i="1"/>
  <c r="N2953" i="1"/>
  <c r="A2954" i="1"/>
  <c r="C2954" i="1"/>
  <c r="N2954" i="1"/>
  <c r="A2955" i="1"/>
  <c r="C2955" i="1"/>
  <c r="N2955" i="1"/>
  <c r="A2956" i="1"/>
  <c r="C2956" i="1"/>
  <c r="N2956" i="1"/>
  <c r="A2957" i="1"/>
  <c r="C2957" i="1"/>
  <c r="N2957" i="1"/>
  <c r="A2958" i="1"/>
  <c r="C2958" i="1"/>
  <c r="N2958" i="1"/>
  <c r="A2959" i="1"/>
  <c r="C2959" i="1"/>
  <c r="N2959" i="1"/>
  <c r="A2960" i="1"/>
  <c r="C2960" i="1"/>
  <c r="N2960" i="1"/>
  <c r="A2961" i="1"/>
  <c r="C2961" i="1"/>
  <c r="N2961" i="1"/>
  <c r="A2962" i="1"/>
  <c r="C2962" i="1"/>
  <c r="N2962" i="1"/>
  <c r="A2963" i="1"/>
  <c r="C2963" i="1"/>
  <c r="N2963" i="1"/>
  <c r="A2964" i="1"/>
  <c r="C2964" i="1"/>
  <c r="N2964" i="1"/>
  <c r="A2965" i="1"/>
  <c r="C2965" i="1"/>
  <c r="N2965" i="1"/>
  <c r="A2966" i="1"/>
  <c r="C2966" i="1"/>
  <c r="N2966" i="1"/>
  <c r="A2967" i="1"/>
  <c r="C2967" i="1"/>
  <c r="N2967" i="1"/>
  <c r="A2968" i="1"/>
  <c r="C2968" i="1"/>
  <c r="N2968" i="1"/>
  <c r="A2969" i="1"/>
  <c r="C2969" i="1"/>
  <c r="N2969" i="1"/>
  <c r="A2970" i="1"/>
  <c r="C2970" i="1"/>
  <c r="N2970" i="1"/>
  <c r="A2971" i="1"/>
  <c r="C2971" i="1"/>
  <c r="N2971" i="1"/>
  <c r="A2972" i="1"/>
  <c r="C2972" i="1"/>
  <c r="N2972" i="1"/>
  <c r="A2973" i="1"/>
  <c r="C2973" i="1"/>
  <c r="N2973" i="1"/>
  <c r="A2974" i="1"/>
  <c r="C2974" i="1"/>
  <c r="N2974" i="1"/>
  <c r="A2975" i="1"/>
  <c r="C2975" i="1"/>
  <c r="N2975" i="1"/>
  <c r="A2976" i="1"/>
  <c r="C2976" i="1"/>
  <c r="N2976" i="1"/>
  <c r="A2977" i="1"/>
  <c r="C2977" i="1"/>
  <c r="N2977" i="1"/>
  <c r="A2978" i="1"/>
  <c r="C2978" i="1"/>
  <c r="N2978" i="1"/>
  <c r="A2979" i="1"/>
  <c r="C2979" i="1"/>
  <c r="N2979" i="1"/>
  <c r="A2980" i="1"/>
  <c r="C2980" i="1"/>
  <c r="N2980" i="1"/>
  <c r="A2981" i="1"/>
  <c r="C2981" i="1"/>
  <c r="N2981" i="1"/>
  <c r="A2982" i="1"/>
  <c r="C2982" i="1"/>
  <c r="N2982" i="1"/>
  <c r="A2983" i="1"/>
  <c r="C2983" i="1"/>
  <c r="N2983" i="1"/>
  <c r="A2984" i="1"/>
  <c r="C2984" i="1"/>
  <c r="N2984" i="1"/>
  <c r="A2985" i="1"/>
  <c r="C2985" i="1"/>
  <c r="N2985" i="1"/>
  <c r="A2986" i="1"/>
  <c r="C2986" i="1"/>
  <c r="N2986" i="1"/>
  <c r="A2987" i="1"/>
  <c r="C2987" i="1"/>
  <c r="N2987" i="1"/>
  <c r="A2988" i="1"/>
  <c r="C2988" i="1"/>
  <c r="N2988" i="1"/>
  <c r="A2989" i="1"/>
  <c r="C2989" i="1"/>
  <c r="N2989" i="1"/>
  <c r="A2990" i="1"/>
  <c r="C2990" i="1"/>
  <c r="F2990" i="1"/>
  <c r="N2990" i="1"/>
  <c r="A2991" i="1"/>
  <c r="C2991" i="1"/>
  <c r="N2991" i="1"/>
  <c r="A2992" i="1"/>
  <c r="C2992" i="1"/>
  <c r="N2992" i="1"/>
  <c r="A2993" i="1"/>
  <c r="C2993" i="1"/>
  <c r="N2993" i="1"/>
  <c r="A2994" i="1"/>
  <c r="C2994" i="1"/>
  <c r="N2994" i="1"/>
  <c r="A2995" i="1"/>
  <c r="C2995" i="1"/>
  <c r="N2995" i="1"/>
  <c r="A2996" i="1"/>
  <c r="C2996" i="1"/>
  <c r="N2996" i="1"/>
  <c r="A2997" i="1"/>
  <c r="C2997" i="1"/>
  <c r="N2997" i="1"/>
  <c r="A2998" i="1"/>
  <c r="C2998" i="1"/>
  <c r="N2998" i="1"/>
  <c r="A2999" i="1"/>
  <c r="C2999" i="1"/>
  <c r="N2999" i="1"/>
  <c r="A3000" i="1"/>
  <c r="C3000" i="1"/>
  <c r="N3000" i="1"/>
  <c r="A3001" i="1"/>
  <c r="C3001" i="1"/>
  <c r="N3001" i="1"/>
  <c r="A3002" i="1"/>
  <c r="C3002" i="1"/>
  <c r="N3002" i="1"/>
  <c r="A3003" i="1"/>
  <c r="C3003" i="1"/>
  <c r="N3003" i="1"/>
  <c r="A3004" i="1"/>
  <c r="C3004" i="1"/>
  <c r="N3004" i="1"/>
  <c r="A3005" i="1"/>
  <c r="C3005" i="1"/>
  <c r="N3005" i="1"/>
  <c r="A3006" i="1"/>
  <c r="C3006" i="1"/>
  <c r="N3006" i="1"/>
  <c r="A3007" i="1"/>
  <c r="C3007" i="1"/>
  <c r="N3007" i="1"/>
  <c r="A3008" i="1"/>
  <c r="C3008" i="1"/>
  <c r="N3008" i="1"/>
  <c r="A3009" i="1"/>
  <c r="C3009" i="1"/>
  <c r="N3009" i="1"/>
  <c r="A3010" i="1"/>
  <c r="C3010" i="1"/>
  <c r="N3010" i="1"/>
  <c r="A3011" i="1"/>
  <c r="C3011" i="1"/>
  <c r="N3011" i="1"/>
  <c r="A3012" i="1"/>
  <c r="C3012" i="1"/>
  <c r="N3012" i="1"/>
  <c r="A3013" i="1"/>
  <c r="C3013" i="1"/>
  <c r="N3013" i="1"/>
  <c r="A3014" i="1"/>
  <c r="C3014" i="1"/>
  <c r="N3014" i="1"/>
  <c r="A3015" i="1"/>
  <c r="C3015" i="1"/>
  <c r="N3015" i="1"/>
  <c r="A3016" i="1"/>
  <c r="C3016" i="1"/>
  <c r="N3016" i="1"/>
  <c r="A3017" i="1"/>
  <c r="C3017" i="1"/>
  <c r="N3017" i="1"/>
  <c r="A3018" i="1"/>
  <c r="C3018" i="1"/>
  <c r="N3018" i="1"/>
  <c r="A3019" i="1"/>
  <c r="C3019" i="1"/>
  <c r="N3019" i="1"/>
  <c r="A3020" i="1"/>
  <c r="C3020" i="1"/>
  <c r="N3020" i="1"/>
  <c r="A3021" i="1"/>
  <c r="C3021" i="1"/>
  <c r="N3021" i="1"/>
  <c r="A3022" i="1"/>
  <c r="C3022" i="1"/>
  <c r="N3022" i="1"/>
  <c r="A3023" i="1"/>
  <c r="C3023" i="1"/>
  <c r="N3023" i="1"/>
  <c r="A3024" i="1"/>
  <c r="C3024" i="1"/>
  <c r="N3024" i="1"/>
  <c r="A3025" i="1"/>
  <c r="C3025" i="1"/>
  <c r="N3025" i="1"/>
  <c r="A3026" i="1"/>
  <c r="C3026" i="1"/>
  <c r="N3026" i="1"/>
  <c r="A3027" i="1"/>
  <c r="C3027" i="1"/>
  <c r="N3027" i="1"/>
  <c r="A3028" i="1"/>
  <c r="C3028" i="1"/>
  <c r="N3028" i="1"/>
  <c r="A3029" i="1"/>
  <c r="C3029" i="1"/>
  <c r="N3029" i="1"/>
  <c r="A3030" i="1"/>
  <c r="C3030" i="1"/>
  <c r="N3030" i="1"/>
  <c r="A3031" i="1"/>
  <c r="C3031" i="1"/>
  <c r="N3031" i="1"/>
  <c r="A3032" i="1"/>
  <c r="C3032" i="1"/>
  <c r="N3032" i="1"/>
  <c r="A3033" i="1"/>
  <c r="C3033" i="1"/>
  <c r="N3033" i="1"/>
  <c r="A3034" i="1"/>
  <c r="C3034" i="1"/>
  <c r="N3034" i="1"/>
  <c r="A3035" i="1"/>
  <c r="C3035" i="1"/>
  <c r="F3035" i="1"/>
  <c r="N3035" i="1"/>
  <c r="A3036" i="1"/>
  <c r="C3036" i="1"/>
  <c r="N3036" i="1"/>
  <c r="A3037" i="1"/>
  <c r="C3037" i="1"/>
  <c r="N3037" i="1"/>
  <c r="A3038" i="1"/>
  <c r="C3038" i="1"/>
  <c r="N3038" i="1"/>
  <c r="A3039" i="1"/>
  <c r="C3039" i="1"/>
  <c r="N3039" i="1"/>
  <c r="A3040" i="1"/>
  <c r="C3040" i="1"/>
  <c r="N3040" i="1"/>
  <c r="A3041" i="1"/>
  <c r="C3041" i="1"/>
  <c r="N3041" i="1"/>
  <c r="A3042" i="1"/>
  <c r="C3042" i="1"/>
  <c r="N3042" i="1"/>
  <c r="A3043" i="1"/>
  <c r="C3043" i="1"/>
  <c r="N3043" i="1"/>
  <c r="A3044" i="1"/>
  <c r="C3044" i="1"/>
  <c r="N3044" i="1"/>
  <c r="A3045" i="1"/>
  <c r="C3045" i="1"/>
  <c r="N3045" i="1"/>
  <c r="A3046" i="1"/>
  <c r="C3046" i="1"/>
  <c r="N3046" i="1"/>
  <c r="A3047" i="1"/>
  <c r="C3047" i="1"/>
  <c r="N3047" i="1"/>
  <c r="A3048" i="1"/>
  <c r="C3048" i="1"/>
  <c r="N3048" i="1"/>
  <c r="A3049" i="1"/>
  <c r="C3049" i="1"/>
  <c r="N3049" i="1"/>
  <c r="A3050" i="1"/>
  <c r="C3050" i="1"/>
  <c r="N3050" i="1"/>
  <c r="A3051" i="1"/>
  <c r="C3051" i="1"/>
  <c r="N3051" i="1"/>
  <c r="A3052" i="1"/>
  <c r="C3052" i="1"/>
  <c r="N3052" i="1"/>
  <c r="A3053" i="1"/>
  <c r="C3053" i="1"/>
  <c r="N3053" i="1"/>
  <c r="A3054" i="1"/>
  <c r="C3054" i="1"/>
  <c r="N3054" i="1"/>
  <c r="A3055" i="1"/>
  <c r="C3055" i="1"/>
  <c r="N3055" i="1"/>
  <c r="A3056" i="1"/>
  <c r="C3056" i="1"/>
  <c r="N3056" i="1"/>
  <c r="A3057" i="1"/>
  <c r="C3057" i="1"/>
  <c r="N3057" i="1"/>
  <c r="A3058" i="1"/>
  <c r="C3058" i="1"/>
  <c r="N3058" i="1"/>
  <c r="A3059" i="1"/>
  <c r="C3059" i="1"/>
  <c r="N3059" i="1"/>
  <c r="A3060" i="1"/>
  <c r="C3060" i="1"/>
  <c r="N3060" i="1"/>
  <c r="A3061" i="1"/>
  <c r="C3061" i="1"/>
  <c r="N3061" i="1"/>
  <c r="A3062" i="1"/>
  <c r="C3062" i="1"/>
  <c r="N3062" i="1"/>
  <c r="A3063" i="1"/>
  <c r="C3063" i="1"/>
  <c r="N3063" i="1"/>
  <c r="A3064" i="1"/>
  <c r="C3064" i="1"/>
  <c r="F3064" i="1"/>
  <c r="N3064" i="1"/>
  <c r="A3065" i="1"/>
  <c r="C3065" i="1"/>
  <c r="N3065" i="1"/>
  <c r="A3066" i="1"/>
  <c r="C3066" i="1"/>
  <c r="N3066" i="1"/>
  <c r="A3067" i="1"/>
  <c r="C3067" i="1"/>
  <c r="N3067" i="1"/>
  <c r="A3068" i="1"/>
  <c r="C3068" i="1"/>
  <c r="N3068" i="1"/>
  <c r="A3069" i="1"/>
  <c r="C3069" i="1"/>
  <c r="N3069" i="1"/>
  <c r="A3070" i="1"/>
  <c r="C3070" i="1"/>
  <c r="N3070" i="1"/>
  <c r="A3071" i="1"/>
  <c r="C3071" i="1"/>
  <c r="N3071" i="1"/>
  <c r="A3072" i="1"/>
  <c r="C3072" i="1"/>
  <c r="N3072" i="1"/>
  <c r="A3073" i="1"/>
  <c r="C3073" i="1"/>
  <c r="N3073" i="1"/>
  <c r="A3074" i="1"/>
  <c r="C3074" i="1"/>
  <c r="N3074" i="1"/>
  <c r="A3075" i="1"/>
  <c r="C3075" i="1"/>
  <c r="N3075" i="1"/>
  <c r="A3076" i="1"/>
  <c r="C3076" i="1"/>
  <c r="N3076" i="1"/>
  <c r="A3077" i="1"/>
  <c r="C3077" i="1"/>
  <c r="N3077" i="1"/>
  <c r="A3078" i="1"/>
  <c r="C3078" i="1"/>
  <c r="N3078" i="1"/>
  <c r="A3079" i="1"/>
  <c r="C3079" i="1"/>
  <c r="N3079" i="1"/>
  <c r="A3080" i="1"/>
  <c r="C3080" i="1"/>
  <c r="N3080" i="1"/>
  <c r="A3081" i="1"/>
  <c r="C3081" i="1"/>
  <c r="N3081" i="1"/>
  <c r="A3082" i="1"/>
  <c r="C3082" i="1"/>
  <c r="N3082" i="1"/>
  <c r="A3083" i="1"/>
  <c r="C3083" i="1"/>
  <c r="N3083" i="1"/>
  <c r="A3084" i="1"/>
  <c r="C3084" i="1"/>
  <c r="N3084" i="1"/>
  <c r="A3085" i="1"/>
  <c r="C3085" i="1"/>
  <c r="N3085" i="1"/>
  <c r="A3086" i="1"/>
  <c r="C3086" i="1"/>
  <c r="N3086" i="1"/>
  <c r="A3087" i="1"/>
  <c r="C3087" i="1"/>
  <c r="N3087" i="1"/>
  <c r="A3088" i="1"/>
  <c r="C3088" i="1"/>
  <c r="N3088" i="1"/>
  <c r="A3089" i="1"/>
  <c r="C3089" i="1"/>
  <c r="N3089" i="1"/>
  <c r="A3090" i="1"/>
  <c r="C3090" i="1"/>
  <c r="N3090" i="1"/>
  <c r="A3091" i="1"/>
  <c r="C3091" i="1"/>
  <c r="N3091" i="1"/>
  <c r="A3092" i="1"/>
  <c r="C3092" i="1"/>
  <c r="N3092" i="1"/>
  <c r="A3093" i="1"/>
  <c r="C3093" i="1"/>
  <c r="N3093" i="1"/>
  <c r="A3094" i="1"/>
  <c r="C3094" i="1"/>
  <c r="N3094" i="1"/>
  <c r="A3095" i="1"/>
  <c r="C3095" i="1"/>
  <c r="N3095" i="1"/>
  <c r="A3096" i="1"/>
  <c r="C3096" i="1"/>
  <c r="N3096" i="1"/>
  <c r="A3097" i="1"/>
  <c r="C3097" i="1"/>
  <c r="N3097" i="1"/>
  <c r="A3098" i="1"/>
  <c r="C3098" i="1"/>
  <c r="N3098" i="1"/>
  <c r="A3099" i="1"/>
  <c r="C3099" i="1"/>
  <c r="N3099" i="1"/>
  <c r="A3100" i="1"/>
  <c r="C3100" i="1"/>
  <c r="N3100" i="1"/>
  <c r="A3101" i="1"/>
  <c r="C3101" i="1"/>
  <c r="N3101" i="1"/>
  <c r="A3102" i="1"/>
  <c r="C3102" i="1"/>
  <c r="N3102" i="1"/>
  <c r="A3103" i="1"/>
  <c r="C3103" i="1"/>
  <c r="N3103" i="1"/>
  <c r="A3104" i="1"/>
  <c r="C3104" i="1"/>
  <c r="F3104" i="1"/>
  <c r="N3104" i="1"/>
  <c r="A3105" i="1"/>
  <c r="C3105" i="1"/>
  <c r="N3105" i="1"/>
  <c r="A3106" i="1"/>
  <c r="C3106" i="1"/>
  <c r="N3106" i="1"/>
  <c r="A3107" i="1"/>
  <c r="C3107" i="1"/>
  <c r="N3107" i="1"/>
  <c r="A3108" i="1"/>
  <c r="C3108" i="1"/>
  <c r="N3108" i="1"/>
  <c r="A3109" i="1"/>
  <c r="C3109" i="1"/>
  <c r="N3109" i="1"/>
  <c r="A3110" i="1"/>
  <c r="C3110" i="1"/>
  <c r="N3110" i="1"/>
  <c r="A3111" i="1"/>
  <c r="C3111" i="1"/>
  <c r="N3111" i="1"/>
  <c r="A3112" i="1"/>
  <c r="C3112" i="1"/>
  <c r="N3112" i="1"/>
  <c r="A3113" i="1"/>
  <c r="C3113" i="1"/>
  <c r="N3113" i="1"/>
  <c r="A3114" i="1"/>
  <c r="C3114" i="1"/>
  <c r="N3114" i="1"/>
  <c r="A3115" i="1"/>
  <c r="C3115" i="1"/>
  <c r="N3115" i="1"/>
  <c r="A3116" i="1"/>
  <c r="C3116" i="1"/>
  <c r="N3116" i="1"/>
  <c r="A3117" i="1"/>
  <c r="C3117" i="1"/>
  <c r="N3117" i="1"/>
  <c r="A3118" i="1"/>
  <c r="C3118" i="1"/>
  <c r="N3118" i="1"/>
  <c r="A3119" i="1"/>
  <c r="C3119" i="1"/>
  <c r="N3119" i="1"/>
  <c r="A3120" i="1"/>
  <c r="C3120" i="1"/>
  <c r="N3120" i="1"/>
  <c r="A3121" i="1"/>
  <c r="C3121" i="1"/>
  <c r="N3121" i="1"/>
  <c r="A3122" i="1"/>
  <c r="C3122" i="1"/>
  <c r="N3122" i="1"/>
  <c r="A3123" i="1"/>
  <c r="C3123" i="1"/>
  <c r="N3123" i="1"/>
  <c r="A3124" i="1"/>
  <c r="C3124" i="1"/>
  <c r="N3124" i="1"/>
  <c r="A3125" i="1"/>
  <c r="C3125" i="1"/>
  <c r="N3125" i="1"/>
  <c r="A3126" i="1"/>
  <c r="C3126" i="1"/>
  <c r="N3126" i="1"/>
  <c r="A3127" i="1"/>
  <c r="C3127" i="1"/>
  <c r="N3127" i="1"/>
  <c r="A3128" i="1"/>
  <c r="C3128" i="1"/>
  <c r="N3128" i="1"/>
  <c r="A3129" i="1"/>
  <c r="C3129" i="1"/>
  <c r="N3129" i="1"/>
  <c r="A3130" i="1"/>
  <c r="C3130" i="1"/>
  <c r="N3130" i="1"/>
  <c r="A3131" i="1"/>
  <c r="C3131" i="1"/>
  <c r="N3131" i="1"/>
  <c r="A3132" i="1"/>
  <c r="C3132" i="1"/>
  <c r="N3132" i="1"/>
  <c r="A3133" i="1"/>
  <c r="C3133" i="1"/>
  <c r="N3133" i="1"/>
  <c r="A3134" i="1"/>
  <c r="C3134" i="1"/>
  <c r="N3134" i="1"/>
  <c r="A3135" i="1"/>
  <c r="C3135" i="1"/>
  <c r="N3135" i="1"/>
  <c r="A3136" i="1"/>
  <c r="C3136" i="1"/>
  <c r="N3136" i="1"/>
  <c r="A3137" i="1"/>
  <c r="C3137" i="1"/>
  <c r="N3137" i="1"/>
  <c r="A3138" i="1"/>
  <c r="C3138" i="1"/>
  <c r="N3138" i="1"/>
  <c r="A3139" i="1"/>
  <c r="C3139" i="1"/>
  <c r="N3139" i="1"/>
  <c r="A3140" i="1"/>
  <c r="C3140" i="1"/>
  <c r="N3140" i="1"/>
  <c r="A3141" i="1"/>
  <c r="C3141" i="1"/>
  <c r="N3141" i="1"/>
  <c r="A3142" i="1"/>
  <c r="C3142" i="1"/>
  <c r="N3142" i="1"/>
  <c r="A3143" i="1"/>
  <c r="C3143" i="1"/>
  <c r="N3143" i="1"/>
  <c r="A3144" i="1"/>
  <c r="C3144" i="1"/>
  <c r="N3144" i="1"/>
  <c r="A3145" i="1"/>
  <c r="C3145" i="1"/>
  <c r="N3145" i="1"/>
  <c r="A3146" i="1"/>
  <c r="C3146" i="1"/>
  <c r="N3146" i="1"/>
  <c r="A3147" i="1"/>
  <c r="C3147" i="1"/>
  <c r="N3147" i="1"/>
  <c r="A3148" i="1"/>
  <c r="C3148" i="1"/>
  <c r="N3148" i="1"/>
  <c r="A3149" i="1"/>
  <c r="C3149" i="1"/>
  <c r="N3149" i="1"/>
  <c r="A3150" i="1"/>
  <c r="C3150" i="1"/>
  <c r="N3150" i="1"/>
  <c r="A3151" i="1"/>
  <c r="C3151" i="1"/>
  <c r="N3151" i="1"/>
  <c r="A3152" i="1"/>
  <c r="C3152" i="1"/>
  <c r="N3152" i="1"/>
  <c r="A3153" i="1"/>
  <c r="C3153" i="1"/>
  <c r="N3153" i="1"/>
  <c r="A3154" i="1"/>
  <c r="C3154" i="1"/>
  <c r="N3154" i="1"/>
  <c r="A3155" i="1"/>
  <c r="C3155" i="1"/>
  <c r="N3155" i="1"/>
  <c r="A3156" i="1"/>
  <c r="C3156" i="1"/>
  <c r="N3156" i="1"/>
  <c r="A3157" i="1"/>
  <c r="C3157" i="1"/>
  <c r="N3157" i="1"/>
  <c r="A3158" i="1"/>
  <c r="C3158" i="1"/>
  <c r="N3158" i="1"/>
  <c r="A3159" i="1"/>
  <c r="C3159" i="1"/>
  <c r="N3159" i="1"/>
  <c r="A3160" i="1"/>
  <c r="C3160" i="1"/>
  <c r="N3160" i="1"/>
  <c r="A3161" i="1"/>
  <c r="C3161" i="1"/>
  <c r="N3161" i="1"/>
  <c r="A3162" i="1"/>
  <c r="C3162" i="1"/>
  <c r="N3162" i="1"/>
  <c r="A3163" i="1"/>
  <c r="C3163" i="1"/>
  <c r="N3163" i="1"/>
  <c r="A3164" i="1"/>
  <c r="C3164" i="1"/>
  <c r="N3164" i="1"/>
  <c r="A3165" i="1"/>
  <c r="C3165" i="1"/>
  <c r="N3165" i="1"/>
  <c r="A3166" i="1"/>
  <c r="C3166" i="1"/>
  <c r="N3166" i="1"/>
  <c r="A3167" i="1"/>
  <c r="C3167" i="1"/>
  <c r="N3167" i="1"/>
  <c r="A3168" i="1"/>
  <c r="C3168" i="1"/>
  <c r="N3168" i="1"/>
  <c r="A3169" i="1"/>
  <c r="C3169" i="1"/>
  <c r="N3169" i="1"/>
  <c r="A3170" i="1"/>
  <c r="C3170" i="1"/>
  <c r="N3170" i="1"/>
  <c r="A3171" i="1"/>
  <c r="C3171" i="1"/>
  <c r="N3171" i="1"/>
  <c r="A3172" i="1"/>
  <c r="C3172" i="1"/>
  <c r="N3172" i="1"/>
  <c r="A3173" i="1"/>
  <c r="C3173" i="1"/>
  <c r="N3173" i="1"/>
  <c r="A3174" i="1"/>
  <c r="C3174" i="1"/>
  <c r="F3174" i="1"/>
  <c r="N3174" i="1"/>
  <c r="A3175" i="1"/>
  <c r="C3175" i="1"/>
  <c r="N3175" i="1"/>
  <c r="A3176" i="1"/>
  <c r="C3176" i="1"/>
  <c r="N3176" i="1"/>
  <c r="A3177" i="1"/>
  <c r="C3177" i="1"/>
  <c r="N3177" i="1"/>
  <c r="A3178" i="1"/>
  <c r="C3178" i="1"/>
  <c r="N3178" i="1"/>
  <c r="A3179" i="1"/>
  <c r="C3179" i="1"/>
  <c r="N3179" i="1"/>
  <c r="A3180" i="1"/>
  <c r="C3180" i="1"/>
  <c r="N3180" i="1"/>
  <c r="A3181" i="1"/>
  <c r="C3181" i="1"/>
  <c r="N3181" i="1"/>
  <c r="A3182" i="1"/>
  <c r="C3182" i="1"/>
  <c r="N3182" i="1"/>
  <c r="A3183" i="1"/>
  <c r="C3183" i="1"/>
  <c r="N3183" i="1"/>
  <c r="A3184" i="1"/>
  <c r="C3184" i="1"/>
  <c r="N3184" i="1"/>
  <c r="A3185" i="1"/>
  <c r="C3185" i="1"/>
  <c r="N3185" i="1"/>
  <c r="A3186" i="1"/>
  <c r="C3186" i="1"/>
  <c r="N3186" i="1"/>
  <c r="A3187" i="1"/>
  <c r="C3187" i="1"/>
  <c r="N3187" i="1"/>
  <c r="A3188" i="1"/>
  <c r="C3188" i="1"/>
  <c r="N3188" i="1"/>
  <c r="A3189" i="1"/>
  <c r="C3189" i="1"/>
  <c r="N3189" i="1"/>
  <c r="A3190" i="1"/>
  <c r="C3190" i="1"/>
  <c r="N3190" i="1"/>
  <c r="A3191" i="1"/>
  <c r="C3191" i="1"/>
  <c r="N3191" i="1"/>
  <c r="A3192" i="1"/>
  <c r="C3192" i="1"/>
  <c r="N3192" i="1"/>
  <c r="A3193" i="1"/>
  <c r="C3193" i="1"/>
  <c r="N3193" i="1"/>
  <c r="A3194" i="1"/>
  <c r="C3194" i="1"/>
  <c r="N3194" i="1"/>
  <c r="A3195" i="1"/>
  <c r="C3195" i="1"/>
  <c r="N3195" i="1"/>
  <c r="A3196" i="1"/>
  <c r="C3196" i="1"/>
  <c r="N3196" i="1"/>
  <c r="A3197" i="1"/>
  <c r="C3197" i="1"/>
  <c r="N3197" i="1"/>
  <c r="A3198" i="1"/>
  <c r="C3198" i="1"/>
  <c r="N3198" i="1"/>
  <c r="A3199" i="1"/>
  <c r="C3199" i="1"/>
  <c r="N3199" i="1"/>
  <c r="A3200" i="1"/>
  <c r="C3200" i="1"/>
  <c r="N3200" i="1"/>
  <c r="A3201" i="1"/>
  <c r="C3201" i="1"/>
  <c r="N3201" i="1"/>
  <c r="A3202" i="1"/>
  <c r="C3202" i="1"/>
  <c r="N3202" i="1"/>
  <c r="A3203" i="1"/>
  <c r="C3203" i="1"/>
  <c r="N3203" i="1"/>
  <c r="A3204" i="1"/>
  <c r="C3204" i="1"/>
  <c r="N3204" i="1"/>
  <c r="A3205" i="1"/>
  <c r="C3205" i="1"/>
  <c r="N3205" i="1"/>
  <c r="A3206" i="1"/>
  <c r="C3206" i="1"/>
  <c r="N3206" i="1"/>
  <c r="A3207" i="1"/>
  <c r="C3207" i="1"/>
  <c r="N3207" i="1"/>
  <c r="A3208" i="1"/>
  <c r="C3208" i="1"/>
  <c r="N3208" i="1"/>
  <c r="A3209" i="1"/>
  <c r="C3209" i="1"/>
  <c r="F3209" i="1"/>
  <c r="N3209" i="1"/>
  <c r="A3210" i="1"/>
  <c r="C3210" i="1"/>
  <c r="N3210" i="1"/>
  <c r="A3211" i="1"/>
  <c r="C3211" i="1"/>
  <c r="N3211" i="1"/>
  <c r="A3212" i="1"/>
  <c r="C3212" i="1"/>
  <c r="N3212" i="1"/>
  <c r="A3213" i="1"/>
  <c r="C3213" i="1"/>
  <c r="N3213" i="1"/>
  <c r="A3214" i="1"/>
  <c r="C3214" i="1"/>
  <c r="N3214" i="1"/>
  <c r="A3215" i="1"/>
  <c r="C3215" i="1"/>
  <c r="N3215" i="1"/>
  <c r="A3216" i="1"/>
  <c r="C3216" i="1"/>
  <c r="N3216" i="1"/>
  <c r="A3217" i="1"/>
  <c r="C3217" i="1"/>
  <c r="N3217" i="1"/>
  <c r="A3218" i="1"/>
  <c r="C3218" i="1"/>
  <c r="N3218" i="1"/>
  <c r="A3219" i="1"/>
  <c r="C3219" i="1"/>
  <c r="N3219" i="1"/>
  <c r="A3220" i="1"/>
  <c r="C3220" i="1"/>
  <c r="N3220" i="1"/>
  <c r="A3221" i="1"/>
  <c r="C3221" i="1"/>
  <c r="N3221" i="1"/>
  <c r="A3222" i="1"/>
  <c r="C3222" i="1"/>
  <c r="N3222" i="1"/>
  <c r="A3223" i="1"/>
  <c r="C3223" i="1"/>
  <c r="N3223" i="1"/>
  <c r="A3224" i="1"/>
  <c r="C3224" i="1"/>
  <c r="N3224" i="1"/>
  <c r="A3225" i="1"/>
  <c r="C3225" i="1"/>
  <c r="N3225" i="1"/>
  <c r="A3226" i="1"/>
  <c r="C3226" i="1"/>
  <c r="N3226" i="1"/>
  <c r="A3227" i="1"/>
  <c r="C3227" i="1"/>
  <c r="N3227" i="1"/>
  <c r="A3228" i="1"/>
  <c r="C3228" i="1"/>
  <c r="N3228" i="1"/>
  <c r="A3229" i="1"/>
  <c r="C3229" i="1"/>
  <c r="N3229" i="1"/>
  <c r="A3230" i="1"/>
  <c r="C3230" i="1"/>
  <c r="N3230" i="1"/>
  <c r="A3231" i="1"/>
  <c r="C3231" i="1"/>
  <c r="N3231" i="1"/>
  <c r="A3232" i="1"/>
  <c r="C3232" i="1"/>
  <c r="N3232" i="1"/>
  <c r="A3233" i="1"/>
  <c r="C3233" i="1"/>
  <c r="N3233" i="1"/>
  <c r="A3234" i="1"/>
  <c r="C3234" i="1"/>
  <c r="N3234" i="1"/>
  <c r="A3235" i="1"/>
  <c r="C3235" i="1"/>
  <c r="N3235" i="1"/>
  <c r="A3236" i="1"/>
  <c r="C3236" i="1"/>
  <c r="N3236" i="1"/>
  <c r="A3237" i="1"/>
  <c r="C3237" i="1"/>
  <c r="N3237" i="1"/>
  <c r="A3238" i="1"/>
  <c r="C3238" i="1"/>
  <c r="N3238" i="1"/>
  <c r="A3239" i="1"/>
  <c r="C3239" i="1"/>
  <c r="N3239" i="1"/>
  <c r="A3240" i="1"/>
  <c r="C3240" i="1"/>
  <c r="N3240" i="1"/>
  <c r="A3241" i="1"/>
  <c r="C3241" i="1"/>
  <c r="N3241" i="1"/>
  <c r="A3242" i="1"/>
  <c r="C3242" i="1"/>
  <c r="N3242" i="1"/>
  <c r="A3243" i="1"/>
  <c r="C3243" i="1"/>
  <c r="N3243" i="1"/>
  <c r="A3244" i="1"/>
  <c r="C3244" i="1"/>
  <c r="N3244" i="1"/>
  <c r="A3245" i="1"/>
  <c r="C3245" i="1"/>
  <c r="N3245" i="1"/>
  <c r="A3246" i="1"/>
  <c r="C3246" i="1"/>
  <c r="N3246" i="1"/>
  <c r="A3247" i="1"/>
  <c r="C3247" i="1"/>
  <c r="N3247" i="1"/>
  <c r="A3248" i="1"/>
  <c r="C3248" i="1"/>
  <c r="N3248" i="1"/>
  <c r="A3249" i="1"/>
  <c r="C3249" i="1"/>
  <c r="N3249" i="1"/>
  <c r="A3250" i="1"/>
  <c r="C3250" i="1"/>
  <c r="N3250" i="1"/>
  <c r="A3251" i="1"/>
  <c r="C3251" i="1"/>
  <c r="N3251" i="1"/>
  <c r="A3252" i="1"/>
  <c r="C3252" i="1"/>
  <c r="N3252" i="1"/>
  <c r="A3253" i="1"/>
  <c r="C3253" i="1"/>
  <c r="N3253" i="1"/>
  <c r="A3254" i="1"/>
  <c r="C3254" i="1"/>
  <c r="N3254" i="1"/>
  <c r="A3255" i="1"/>
  <c r="C3255" i="1"/>
  <c r="N3255" i="1"/>
  <c r="A3256" i="1"/>
  <c r="C3256" i="1"/>
  <c r="N3256" i="1"/>
  <c r="A3257" i="1"/>
  <c r="C3257" i="1"/>
  <c r="N3257" i="1"/>
  <c r="A3258" i="1"/>
  <c r="C3258" i="1"/>
  <c r="N3258" i="1"/>
  <c r="A3259" i="1"/>
  <c r="C3259" i="1"/>
  <c r="N3259" i="1"/>
  <c r="A3260" i="1"/>
  <c r="C3260" i="1"/>
  <c r="N3260" i="1"/>
  <c r="A3261" i="1"/>
  <c r="C3261" i="1"/>
  <c r="N3261" i="1"/>
  <c r="A3262" i="1"/>
  <c r="C3262" i="1"/>
  <c r="N3262" i="1"/>
  <c r="A3263" i="1"/>
  <c r="C3263" i="1"/>
  <c r="N3263" i="1"/>
  <c r="A3264" i="1"/>
  <c r="C3264" i="1"/>
  <c r="N3264" i="1"/>
  <c r="A3265" i="1"/>
  <c r="C3265" i="1"/>
  <c r="N3265" i="1"/>
  <c r="A3266" i="1"/>
  <c r="C3266" i="1"/>
  <c r="N3266" i="1"/>
  <c r="A3267" i="1"/>
  <c r="C3267" i="1"/>
  <c r="N3267" i="1"/>
  <c r="A3268" i="1"/>
  <c r="C3268" i="1"/>
  <c r="N3268" i="1"/>
  <c r="A3269" i="1"/>
  <c r="C3269" i="1"/>
  <c r="N3269" i="1"/>
  <c r="A3270" i="1"/>
  <c r="C3270" i="1"/>
  <c r="N3270" i="1"/>
  <c r="A3271" i="1"/>
  <c r="C3271" i="1"/>
  <c r="N3271" i="1"/>
  <c r="A3272" i="1"/>
  <c r="C3272" i="1"/>
  <c r="N3272" i="1"/>
  <c r="A3273" i="1"/>
  <c r="C3273" i="1"/>
  <c r="N3273" i="1"/>
  <c r="A3274" i="1"/>
  <c r="C3274" i="1"/>
  <c r="N3274" i="1"/>
  <c r="A3275" i="1"/>
  <c r="C3275" i="1"/>
  <c r="N3275" i="1"/>
  <c r="A3276" i="1"/>
  <c r="C3276" i="1"/>
  <c r="N3276" i="1"/>
  <c r="A3277" i="1"/>
  <c r="C3277" i="1"/>
  <c r="N3277" i="1"/>
  <c r="A3278" i="1"/>
  <c r="C3278" i="1"/>
  <c r="N3278" i="1"/>
  <c r="A3279" i="1"/>
  <c r="C3279" i="1"/>
  <c r="N3279" i="1"/>
  <c r="A3280" i="1"/>
  <c r="C3280" i="1"/>
  <c r="N3280" i="1"/>
  <c r="A3281" i="1"/>
  <c r="C3281" i="1"/>
  <c r="N3281" i="1"/>
  <c r="A3282" i="1"/>
  <c r="C3282" i="1"/>
  <c r="N3282" i="1"/>
  <c r="A3283" i="1"/>
  <c r="C3283" i="1"/>
  <c r="N3283" i="1"/>
  <c r="A3284" i="1"/>
  <c r="C3284" i="1"/>
  <c r="N3284" i="1"/>
  <c r="A3285" i="1"/>
  <c r="C3285" i="1"/>
  <c r="N3285" i="1"/>
  <c r="A3286" i="1"/>
  <c r="C3286" i="1"/>
  <c r="N3286" i="1"/>
  <c r="A3287" i="1"/>
  <c r="C3287" i="1"/>
  <c r="N3287" i="1"/>
  <c r="A3288" i="1"/>
  <c r="C3288" i="1"/>
  <c r="N3288" i="1"/>
  <c r="A3289" i="1"/>
  <c r="C3289" i="1"/>
  <c r="N3289" i="1"/>
  <c r="A3290" i="1"/>
  <c r="C3290" i="1"/>
  <c r="N3290" i="1"/>
  <c r="A3291" i="1"/>
  <c r="C3291" i="1"/>
  <c r="N3291" i="1"/>
  <c r="A3292" i="1"/>
  <c r="C3292" i="1"/>
  <c r="N3292" i="1"/>
  <c r="A3293" i="1"/>
  <c r="C3293" i="1"/>
  <c r="N3293" i="1"/>
  <c r="A3294" i="1"/>
  <c r="C3294" i="1"/>
  <c r="N3294" i="1"/>
  <c r="A3295" i="1"/>
  <c r="C3295" i="1"/>
  <c r="N3295" i="1"/>
  <c r="A3296" i="1"/>
  <c r="C3296" i="1"/>
  <c r="N3296" i="1"/>
  <c r="A3297" i="1"/>
  <c r="C3297" i="1"/>
  <c r="N3297" i="1"/>
  <c r="A3298" i="1"/>
  <c r="C3298" i="1"/>
  <c r="N3298" i="1"/>
  <c r="A3299" i="1"/>
  <c r="C3299" i="1"/>
  <c r="N3299" i="1"/>
  <c r="A3300" i="1"/>
  <c r="C3300" i="1"/>
  <c r="N3300" i="1"/>
  <c r="A3301" i="1"/>
  <c r="C3301" i="1"/>
  <c r="N3301" i="1"/>
  <c r="A3302" i="1"/>
  <c r="C3302" i="1"/>
  <c r="N3302" i="1"/>
  <c r="A3303" i="1"/>
  <c r="C3303" i="1"/>
  <c r="N3303" i="1"/>
  <c r="A3304" i="1"/>
  <c r="C3304" i="1"/>
  <c r="N3304" i="1"/>
  <c r="A3305" i="1"/>
  <c r="C3305" i="1"/>
  <c r="N3305" i="1"/>
  <c r="A3306" i="1"/>
  <c r="C3306" i="1"/>
  <c r="N3306" i="1"/>
  <c r="A3307" i="1"/>
  <c r="C3307" i="1"/>
  <c r="N3307" i="1"/>
  <c r="A3308" i="1"/>
  <c r="C3308" i="1"/>
  <c r="N3308" i="1"/>
  <c r="A3309" i="1"/>
  <c r="C3309" i="1"/>
  <c r="E3309" i="1"/>
  <c r="N3309" i="1"/>
  <c r="T3309" i="1"/>
  <c r="A3310" i="1"/>
  <c r="C3310" i="1"/>
  <c r="N3310" i="1"/>
  <c r="A3311" i="1"/>
  <c r="C3311" i="1"/>
  <c r="N3311" i="1"/>
  <c r="A3312" i="1"/>
  <c r="C3312" i="1"/>
  <c r="N3312" i="1"/>
  <c r="A3313" i="1"/>
  <c r="C3313" i="1"/>
  <c r="N3313" i="1"/>
  <c r="A3314" i="1"/>
  <c r="C3314" i="1"/>
  <c r="N3314" i="1"/>
  <c r="A3315" i="1"/>
  <c r="C3315" i="1"/>
  <c r="N3315" i="1"/>
  <c r="A3316" i="1"/>
  <c r="C3316" i="1"/>
  <c r="N3316" i="1"/>
  <c r="A3317" i="1"/>
  <c r="C3317" i="1"/>
  <c r="N3317" i="1"/>
  <c r="A3318" i="1"/>
  <c r="C3318" i="1"/>
  <c r="N3318" i="1"/>
  <c r="A3319" i="1"/>
  <c r="C3319" i="1"/>
  <c r="N3319" i="1"/>
  <c r="A3320" i="1"/>
  <c r="C3320" i="1"/>
  <c r="N3320" i="1"/>
  <c r="A3321" i="1"/>
  <c r="C3321" i="1"/>
  <c r="N3321" i="1"/>
  <c r="A3322" i="1"/>
  <c r="C3322" i="1"/>
  <c r="N3322" i="1"/>
  <c r="A3323" i="1"/>
  <c r="C3323" i="1"/>
  <c r="N3323" i="1"/>
  <c r="A3324" i="1"/>
  <c r="C3324" i="1"/>
  <c r="N3324" i="1"/>
  <c r="A3325" i="1"/>
  <c r="C3325" i="1"/>
  <c r="N3325" i="1"/>
  <c r="A3326" i="1"/>
  <c r="C3326" i="1"/>
  <c r="N3326" i="1"/>
  <c r="A3327" i="1"/>
  <c r="C3327" i="1"/>
  <c r="N3327" i="1"/>
  <c r="A3328" i="1"/>
  <c r="C3328" i="1"/>
  <c r="N3328" i="1"/>
  <c r="A3329" i="1"/>
  <c r="C3329" i="1"/>
  <c r="N3329" i="1"/>
  <c r="A3330" i="1"/>
  <c r="C3330" i="1"/>
  <c r="N3330" i="1"/>
  <c r="A3331" i="1"/>
  <c r="C3331" i="1"/>
  <c r="N3331" i="1"/>
  <c r="A3332" i="1"/>
  <c r="C3332" i="1"/>
  <c r="N3332" i="1"/>
  <c r="A3333" i="1"/>
  <c r="C3333" i="1"/>
  <c r="N3333" i="1"/>
  <c r="A3334" i="1"/>
  <c r="C3334" i="1"/>
  <c r="N3334" i="1"/>
  <c r="A3335" i="1"/>
  <c r="C3335" i="1"/>
  <c r="N3335" i="1"/>
  <c r="A3336" i="1"/>
  <c r="C3336" i="1"/>
  <c r="N3336" i="1"/>
  <c r="A3337" i="1"/>
  <c r="C3337" i="1"/>
  <c r="N3337" i="1"/>
  <c r="A3338" i="1"/>
  <c r="C3338" i="1"/>
  <c r="N3338" i="1"/>
  <c r="A3339" i="1"/>
  <c r="C3339" i="1"/>
  <c r="N3339" i="1"/>
  <c r="A3340" i="1"/>
  <c r="C3340" i="1"/>
  <c r="N3340" i="1"/>
  <c r="A3341" i="1"/>
  <c r="C3341" i="1"/>
  <c r="N3341" i="1"/>
  <c r="A3342" i="1"/>
  <c r="C3342" i="1"/>
  <c r="N3342" i="1"/>
  <c r="A3343" i="1"/>
  <c r="C3343" i="1"/>
  <c r="N3343" i="1"/>
  <c r="A3344" i="1"/>
  <c r="C3344" i="1"/>
  <c r="N3344" i="1"/>
  <c r="A3345" i="1"/>
  <c r="C3345" i="1"/>
  <c r="N3345" i="1"/>
  <c r="A3346" i="1"/>
  <c r="C3346" i="1"/>
  <c r="N3346" i="1"/>
  <c r="A3347" i="1"/>
  <c r="C3347" i="1"/>
  <c r="N3347" i="1"/>
  <c r="A3348" i="1"/>
  <c r="C3348" i="1"/>
  <c r="N3348" i="1"/>
  <c r="A3349" i="1"/>
  <c r="C3349" i="1"/>
  <c r="N3349" i="1"/>
  <c r="A3350" i="1"/>
  <c r="C3350" i="1"/>
  <c r="N3350" i="1"/>
  <c r="A3351" i="1"/>
  <c r="C3351" i="1"/>
  <c r="N3351" i="1"/>
  <c r="A3352" i="1"/>
  <c r="C3352" i="1"/>
  <c r="N3352" i="1"/>
  <c r="A3353" i="1"/>
  <c r="C3353" i="1"/>
  <c r="N3353" i="1"/>
  <c r="A3354" i="1"/>
  <c r="C3354" i="1"/>
  <c r="N3354" i="1"/>
  <c r="A3355" i="1"/>
  <c r="C3355" i="1"/>
  <c r="N3355" i="1"/>
  <c r="A3356" i="1"/>
  <c r="C3356" i="1"/>
  <c r="N3356" i="1"/>
  <c r="A3357" i="1"/>
  <c r="C3357" i="1"/>
  <c r="N3357" i="1"/>
  <c r="A3358" i="1"/>
  <c r="C3358" i="1"/>
  <c r="N3358" i="1"/>
  <c r="A3359" i="1"/>
  <c r="C3359" i="1"/>
  <c r="N3359" i="1"/>
  <c r="A3360" i="1"/>
  <c r="C3360" i="1"/>
  <c r="N3360" i="1"/>
  <c r="A3361" i="1"/>
  <c r="C3361" i="1"/>
  <c r="N3361" i="1"/>
  <c r="A3362" i="1"/>
  <c r="C3362" i="1"/>
  <c r="N3362" i="1"/>
  <c r="A3363" i="1"/>
  <c r="C3363" i="1"/>
  <c r="N3363" i="1"/>
  <c r="A3364" i="1"/>
  <c r="C3364" i="1"/>
  <c r="N3364" i="1"/>
  <c r="A3365" i="1"/>
  <c r="C3365" i="1"/>
  <c r="N3365" i="1"/>
  <c r="A3366" i="1"/>
  <c r="C3366" i="1"/>
  <c r="N3366" i="1"/>
  <c r="A3367" i="1"/>
  <c r="C3367" i="1"/>
  <c r="N3367" i="1"/>
  <c r="A3368" i="1"/>
  <c r="C3368" i="1"/>
  <c r="N3368" i="1"/>
  <c r="A3369" i="1"/>
  <c r="C3369" i="1"/>
  <c r="N3369" i="1"/>
  <c r="A3370" i="1"/>
  <c r="C3370" i="1"/>
  <c r="N3370" i="1"/>
  <c r="A3371" i="1"/>
  <c r="C3371" i="1"/>
  <c r="N3371" i="1"/>
  <c r="A3372" i="1"/>
  <c r="C3372" i="1"/>
  <c r="N3372" i="1"/>
  <c r="A3373" i="1"/>
  <c r="C3373" i="1"/>
  <c r="N3373" i="1"/>
  <c r="A3374" i="1"/>
  <c r="C3374" i="1"/>
  <c r="N3374" i="1"/>
  <c r="A3375" i="1"/>
  <c r="C3375" i="1"/>
  <c r="N3375" i="1"/>
  <c r="A3376" i="1"/>
  <c r="C3376" i="1"/>
  <c r="N3376" i="1"/>
  <c r="A3377" i="1"/>
  <c r="C3377" i="1"/>
  <c r="N3377" i="1"/>
  <c r="A3378" i="1"/>
  <c r="C3378" i="1"/>
  <c r="N3378" i="1"/>
  <c r="A3379" i="1"/>
  <c r="C3379" i="1"/>
  <c r="N3379" i="1"/>
  <c r="A3380" i="1"/>
  <c r="C3380" i="1"/>
  <c r="N3380" i="1"/>
  <c r="A3381" i="1"/>
  <c r="C3381" i="1"/>
  <c r="N3381" i="1"/>
  <c r="A3382" i="1"/>
  <c r="C3382" i="1"/>
  <c r="N3382" i="1"/>
  <c r="A3383" i="1"/>
  <c r="C3383" i="1"/>
  <c r="N3383" i="1"/>
  <c r="A3384" i="1"/>
  <c r="C3384" i="1"/>
  <c r="N3384" i="1"/>
  <c r="A3385" i="1"/>
  <c r="C3385" i="1"/>
  <c r="N3385" i="1"/>
  <c r="A3386" i="1"/>
  <c r="C3386" i="1"/>
  <c r="N3386" i="1"/>
  <c r="A3387" i="1"/>
  <c r="C3387" i="1"/>
  <c r="N3387" i="1"/>
  <c r="A3388" i="1"/>
  <c r="C3388" i="1"/>
  <c r="N3388" i="1"/>
  <c r="A3389" i="1"/>
  <c r="C3389" i="1"/>
  <c r="F3389" i="1"/>
  <c r="N3389" i="1"/>
  <c r="A3390" i="1"/>
  <c r="C3390" i="1"/>
  <c r="N3390" i="1"/>
  <c r="A3391" i="1"/>
  <c r="C3391" i="1"/>
  <c r="N3391" i="1"/>
  <c r="A3392" i="1"/>
  <c r="C3392" i="1"/>
  <c r="N3392" i="1"/>
  <c r="A3393" i="1"/>
  <c r="C3393" i="1"/>
  <c r="N3393" i="1"/>
  <c r="A3394" i="1"/>
  <c r="C3394" i="1"/>
  <c r="N3394" i="1"/>
  <c r="A3395" i="1"/>
  <c r="C3395" i="1"/>
  <c r="N3395" i="1"/>
  <c r="A3396" i="1"/>
  <c r="C3396" i="1"/>
  <c r="N3396" i="1"/>
  <c r="A3397" i="1"/>
  <c r="C3397" i="1"/>
  <c r="N3397" i="1"/>
  <c r="A3398" i="1"/>
  <c r="C3398" i="1"/>
  <c r="N3398" i="1"/>
  <c r="A3399" i="1"/>
  <c r="C3399" i="1"/>
  <c r="N3399" i="1"/>
  <c r="A3400" i="1"/>
  <c r="C3400" i="1"/>
  <c r="N3400" i="1"/>
  <c r="A3401" i="1"/>
  <c r="C3401" i="1"/>
  <c r="N3401" i="1"/>
  <c r="A3402" i="1"/>
  <c r="C3402" i="1"/>
  <c r="N3402" i="1"/>
  <c r="A3403" i="1"/>
  <c r="C3403" i="1"/>
  <c r="N3403" i="1"/>
  <c r="A3404" i="1"/>
  <c r="C3404" i="1"/>
  <c r="N3404" i="1"/>
  <c r="A3405" i="1"/>
  <c r="C3405" i="1"/>
  <c r="N3405" i="1"/>
  <c r="A3406" i="1"/>
  <c r="C3406" i="1"/>
  <c r="N3406" i="1"/>
  <c r="A3407" i="1"/>
  <c r="C3407" i="1"/>
  <c r="N3407" i="1"/>
  <c r="A3408" i="1"/>
  <c r="C3408" i="1"/>
  <c r="N3408" i="1"/>
  <c r="A3409" i="1"/>
  <c r="C3409" i="1"/>
  <c r="N3409" i="1"/>
  <c r="A3410" i="1"/>
  <c r="C3410" i="1"/>
  <c r="N3410" i="1"/>
  <c r="A3411" i="1"/>
  <c r="C3411" i="1"/>
  <c r="N3411" i="1"/>
  <c r="A3412" i="1"/>
  <c r="C3412" i="1"/>
  <c r="N3412" i="1"/>
  <c r="A3413" i="1"/>
  <c r="C3413" i="1"/>
  <c r="N3413" i="1"/>
  <c r="A3414" i="1"/>
  <c r="C3414" i="1"/>
  <c r="N3414" i="1"/>
  <c r="A3415" i="1"/>
  <c r="C3415" i="1"/>
  <c r="N3415" i="1"/>
  <c r="A3416" i="1"/>
  <c r="C3416" i="1"/>
  <c r="N3416" i="1"/>
  <c r="A3417" i="1"/>
  <c r="C3417" i="1"/>
  <c r="N3417" i="1"/>
  <c r="A3418" i="1"/>
  <c r="C3418" i="1"/>
  <c r="N3418" i="1"/>
  <c r="A3419" i="1"/>
  <c r="C3419" i="1"/>
  <c r="N3419" i="1"/>
  <c r="A3420" i="1"/>
  <c r="C3420" i="1"/>
  <c r="N3420" i="1"/>
  <c r="A3421" i="1"/>
  <c r="C3421" i="1"/>
  <c r="N3421" i="1"/>
  <c r="A3422" i="1"/>
  <c r="C3422" i="1"/>
  <c r="N3422" i="1"/>
  <c r="A3423" i="1"/>
  <c r="C3423" i="1"/>
  <c r="F3423" i="1"/>
  <c r="N3423" i="1"/>
  <c r="A3424" i="1"/>
  <c r="C3424" i="1"/>
  <c r="N3424" i="1"/>
  <c r="A3425" i="1"/>
  <c r="C3425" i="1"/>
  <c r="N3425" i="1"/>
  <c r="A3426" i="1"/>
  <c r="C3426" i="1"/>
  <c r="N3426" i="1"/>
  <c r="A3427" i="1"/>
  <c r="C3427" i="1"/>
  <c r="N3427" i="1"/>
  <c r="A3428" i="1"/>
  <c r="C3428" i="1"/>
  <c r="N3428" i="1"/>
  <c r="A3429" i="1"/>
  <c r="C3429" i="1"/>
  <c r="N3429" i="1"/>
  <c r="A3430" i="1"/>
  <c r="C3430" i="1"/>
  <c r="N3430" i="1"/>
  <c r="A3431" i="1"/>
  <c r="C3431" i="1"/>
  <c r="N3431" i="1"/>
  <c r="A3432" i="1"/>
  <c r="C3432" i="1"/>
  <c r="N3432" i="1"/>
  <c r="A3433" i="1"/>
  <c r="C3433" i="1"/>
  <c r="N3433" i="1"/>
  <c r="A3434" i="1"/>
  <c r="C3434" i="1"/>
  <c r="N3434" i="1"/>
  <c r="A3435" i="1"/>
  <c r="C3435" i="1"/>
  <c r="N3435" i="1"/>
  <c r="A3436" i="1"/>
  <c r="C3436" i="1"/>
  <c r="N3436" i="1"/>
  <c r="A3437" i="1"/>
  <c r="C3437" i="1"/>
  <c r="N3437" i="1"/>
  <c r="A3438" i="1"/>
  <c r="C3438" i="1"/>
  <c r="N3438" i="1"/>
  <c r="A3439" i="1"/>
  <c r="C3439" i="1"/>
  <c r="N3439" i="1"/>
  <c r="A3440" i="1"/>
  <c r="C3440" i="1"/>
  <c r="N3440" i="1"/>
  <c r="A3441" i="1"/>
  <c r="C3441" i="1"/>
  <c r="N3441" i="1"/>
  <c r="A3442" i="1"/>
  <c r="C3442" i="1"/>
  <c r="N3442" i="1"/>
  <c r="A3443" i="1"/>
  <c r="C3443" i="1"/>
  <c r="N3443" i="1"/>
  <c r="A3444" i="1"/>
  <c r="C3444" i="1"/>
  <c r="N3444" i="1"/>
  <c r="A3445" i="1"/>
  <c r="C3445" i="1"/>
  <c r="N3445" i="1"/>
  <c r="A3446" i="1"/>
  <c r="C3446" i="1"/>
  <c r="N3446" i="1"/>
  <c r="A3447" i="1"/>
  <c r="C3447" i="1"/>
  <c r="N3447" i="1"/>
  <c r="A3448" i="1"/>
  <c r="C3448" i="1"/>
  <c r="N3448" i="1"/>
  <c r="A3449" i="1"/>
  <c r="C3449" i="1"/>
  <c r="N3449" i="1"/>
  <c r="A3450" i="1"/>
  <c r="C3450" i="1"/>
  <c r="N3450" i="1"/>
  <c r="A3451" i="1"/>
  <c r="C3451" i="1"/>
  <c r="N3451" i="1"/>
  <c r="A3452" i="1"/>
  <c r="C3452" i="1"/>
  <c r="N3452" i="1"/>
  <c r="A3453" i="1"/>
  <c r="C3453" i="1"/>
  <c r="N3453" i="1"/>
  <c r="A3454" i="1"/>
  <c r="C3454" i="1"/>
  <c r="N3454" i="1"/>
  <c r="A3455" i="1"/>
  <c r="C3455" i="1"/>
  <c r="N3455" i="1"/>
  <c r="A3456" i="1"/>
  <c r="C3456" i="1"/>
  <c r="N3456" i="1"/>
  <c r="A3457" i="1"/>
  <c r="C3457" i="1"/>
  <c r="N3457" i="1"/>
  <c r="A3458" i="1"/>
  <c r="C3458" i="1"/>
  <c r="N3458" i="1"/>
  <c r="A3459" i="1"/>
  <c r="C3459" i="1"/>
  <c r="N3459" i="1"/>
  <c r="A3460" i="1"/>
  <c r="C3460" i="1"/>
  <c r="N3460" i="1"/>
  <c r="A3461" i="1"/>
  <c r="C3461" i="1"/>
  <c r="N3461" i="1"/>
  <c r="A3462" i="1"/>
  <c r="C3462" i="1"/>
  <c r="N3462" i="1"/>
  <c r="A3463" i="1"/>
  <c r="C3463" i="1"/>
  <c r="N3463" i="1"/>
  <c r="A3464" i="1"/>
  <c r="C3464" i="1"/>
  <c r="N3464" i="1"/>
  <c r="A3465" i="1"/>
  <c r="C3465" i="1"/>
  <c r="N3465" i="1"/>
  <c r="A3466" i="1"/>
  <c r="C3466" i="1"/>
  <c r="N3466" i="1"/>
  <c r="A3467" i="1"/>
  <c r="C3467" i="1"/>
  <c r="N3467" i="1"/>
  <c r="A3468" i="1"/>
  <c r="C3468" i="1"/>
  <c r="N3468" i="1"/>
  <c r="A3469" i="1"/>
  <c r="C3469" i="1"/>
  <c r="N3469" i="1"/>
  <c r="A3470" i="1"/>
  <c r="C3470" i="1"/>
  <c r="N3470" i="1"/>
  <c r="A3471" i="1"/>
  <c r="C3471" i="1"/>
  <c r="N3471" i="1"/>
  <c r="A3472" i="1"/>
  <c r="C3472" i="1"/>
  <c r="N3472" i="1"/>
  <c r="A3473" i="1"/>
  <c r="C3473" i="1"/>
  <c r="N3473" i="1"/>
  <c r="A3474" i="1"/>
  <c r="C3474" i="1"/>
  <c r="N3474" i="1"/>
  <c r="A3475" i="1"/>
  <c r="C3475" i="1"/>
  <c r="F3475" i="1"/>
  <c r="N3475" i="1"/>
  <c r="A3476" i="1"/>
  <c r="C3476" i="1"/>
  <c r="N3476" i="1"/>
  <c r="A3477" i="1"/>
  <c r="C3477" i="1"/>
  <c r="N3477" i="1"/>
  <c r="A3478" i="1"/>
  <c r="C3478" i="1"/>
  <c r="N3478" i="1"/>
  <c r="A3479" i="1"/>
  <c r="C3479" i="1"/>
  <c r="N3479" i="1"/>
  <c r="A3480" i="1"/>
  <c r="C3480" i="1"/>
  <c r="N3480" i="1"/>
  <c r="A3481" i="1"/>
  <c r="C3481" i="1"/>
  <c r="N3481" i="1"/>
  <c r="A3482" i="1"/>
  <c r="C3482" i="1"/>
  <c r="N3482" i="1"/>
  <c r="A3483" i="1"/>
  <c r="C3483" i="1"/>
  <c r="N3483" i="1"/>
  <c r="A3484" i="1"/>
  <c r="C3484" i="1"/>
  <c r="N3484" i="1"/>
  <c r="A3485" i="1"/>
  <c r="C3485" i="1"/>
  <c r="N3485" i="1"/>
  <c r="A3486" i="1"/>
  <c r="C3486" i="1"/>
  <c r="N3486" i="1"/>
  <c r="A3487" i="1"/>
  <c r="C3487" i="1"/>
  <c r="N3487" i="1"/>
  <c r="A3488" i="1"/>
  <c r="C3488" i="1"/>
  <c r="N3488" i="1"/>
  <c r="A3489" i="1"/>
  <c r="C3489" i="1"/>
  <c r="N3489" i="1"/>
  <c r="A3490" i="1"/>
  <c r="C3490" i="1"/>
  <c r="N3490" i="1"/>
  <c r="A3491" i="1"/>
  <c r="C3491" i="1"/>
  <c r="N3491" i="1"/>
  <c r="A3492" i="1"/>
  <c r="C3492" i="1"/>
  <c r="N3492" i="1"/>
  <c r="A3493" i="1"/>
  <c r="C3493" i="1"/>
  <c r="N3493" i="1"/>
  <c r="A3494" i="1"/>
  <c r="C3494" i="1"/>
  <c r="N3494" i="1"/>
  <c r="A3495" i="1"/>
  <c r="C3495" i="1"/>
  <c r="N3495" i="1"/>
  <c r="A3496" i="1"/>
  <c r="C3496" i="1"/>
  <c r="N3496" i="1"/>
  <c r="A3497" i="1"/>
  <c r="C3497" i="1"/>
  <c r="N3497" i="1"/>
  <c r="A3498" i="1"/>
  <c r="C3498" i="1"/>
  <c r="N3498" i="1"/>
  <c r="A3499" i="1"/>
  <c r="C3499" i="1"/>
  <c r="N3499" i="1"/>
  <c r="A3500" i="1"/>
  <c r="C3500" i="1"/>
  <c r="N3500" i="1"/>
  <c r="A3501" i="1"/>
  <c r="C3501" i="1"/>
  <c r="N3501" i="1"/>
  <c r="A3502" i="1"/>
  <c r="C3502" i="1"/>
  <c r="N3502" i="1"/>
  <c r="A3503" i="1"/>
  <c r="C3503" i="1"/>
  <c r="N3503" i="1"/>
  <c r="A3504" i="1"/>
  <c r="C3504" i="1"/>
  <c r="N3504" i="1"/>
  <c r="A3505" i="1"/>
  <c r="C3505" i="1"/>
  <c r="N3505" i="1"/>
  <c r="A3506" i="1"/>
  <c r="C3506" i="1"/>
  <c r="N3506" i="1"/>
  <c r="A3507" i="1"/>
  <c r="C3507" i="1"/>
  <c r="N3507" i="1"/>
  <c r="A3508" i="1"/>
  <c r="C3508" i="1"/>
  <c r="N3508" i="1"/>
  <c r="A3509" i="1"/>
  <c r="C3509" i="1"/>
  <c r="N3509" i="1"/>
  <c r="A3510" i="1"/>
  <c r="C3510" i="1"/>
  <c r="N3510" i="1"/>
  <c r="A3511" i="1"/>
  <c r="C3511" i="1"/>
  <c r="N3511" i="1"/>
  <c r="A3512" i="1"/>
  <c r="C3512" i="1"/>
  <c r="N3512" i="1"/>
  <c r="A3513" i="1"/>
  <c r="C3513" i="1"/>
  <c r="N3513" i="1"/>
  <c r="A3514" i="1"/>
  <c r="C3514" i="1"/>
  <c r="N3514" i="1"/>
  <c r="A3515" i="1"/>
  <c r="C3515" i="1"/>
  <c r="N3515" i="1"/>
  <c r="A3516" i="1"/>
  <c r="C3516" i="1"/>
  <c r="N3516" i="1"/>
  <c r="A3517" i="1"/>
  <c r="C3517" i="1"/>
  <c r="N3517" i="1"/>
  <c r="A3518" i="1"/>
  <c r="C3518" i="1"/>
  <c r="N3518" i="1"/>
  <c r="A3519" i="1"/>
  <c r="C3519" i="1"/>
  <c r="N3519" i="1"/>
  <c r="A3520" i="1"/>
  <c r="C3520" i="1"/>
  <c r="N3520" i="1"/>
  <c r="A3521" i="1"/>
  <c r="C3521" i="1"/>
  <c r="N3521" i="1"/>
  <c r="A3522" i="1"/>
  <c r="C3522" i="1"/>
  <c r="N3522" i="1"/>
  <c r="A3523" i="1"/>
  <c r="C3523" i="1"/>
  <c r="N3523" i="1"/>
  <c r="A3524" i="1"/>
  <c r="C3524" i="1"/>
  <c r="N3524" i="1"/>
  <c r="A3525" i="1"/>
  <c r="C3525" i="1"/>
  <c r="N3525" i="1"/>
  <c r="A3526" i="1"/>
  <c r="C3526" i="1"/>
  <c r="N3526" i="1"/>
  <c r="A3527" i="1"/>
  <c r="C3527" i="1"/>
  <c r="N3527" i="1"/>
  <c r="A3528" i="1"/>
  <c r="C3528" i="1"/>
  <c r="N3528" i="1"/>
  <c r="A3529" i="1"/>
  <c r="C3529" i="1"/>
  <c r="N3529" i="1"/>
  <c r="A3530" i="1"/>
  <c r="C3530" i="1"/>
  <c r="N3530" i="1"/>
  <c r="A3531" i="1"/>
  <c r="C3531" i="1"/>
  <c r="N3531" i="1"/>
  <c r="A3532" i="1"/>
  <c r="C3532" i="1"/>
  <c r="N3532" i="1"/>
  <c r="A3533" i="1"/>
  <c r="C3533" i="1"/>
  <c r="N3533" i="1"/>
  <c r="A3534" i="1"/>
  <c r="C3534" i="1"/>
  <c r="N3534" i="1"/>
  <c r="A3535" i="1"/>
  <c r="C3535" i="1"/>
  <c r="N3535" i="1"/>
  <c r="A3536" i="1"/>
  <c r="C3536" i="1"/>
  <c r="N3536" i="1"/>
  <c r="A3537" i="1"/>
  <c r="C3537" i="1"/>
  <c r="N3537" i="1"/>
  <c r="A3538" i="1"/>
  <c r="C3538" i="1"/>
  <c r="N3538" i="1"/>
  <c r="A3539" i="1"/>
  <c r="C3539" i="1"/>
  <c r="N3539" i="1"/>
  <c r="A3540" i="1"/>
  <c r="C3540" i="1"/>
  <c r="N3540" i="1"/>
  <c r="A3541" i="1"/>
  <c r="C3541" i="1"/>
  <c r="N3541" i="1"/>
  <c r="A3542" i="1"/>
  <c r="C3542" i="1"/>
  <c r="N3542" i="1"/>
  <c r="A3543" i="1"/>
  <c r="C3543" i="1"/>
  <c r="N3543" i="1"/>
  <c r="A3544" i="1"/>
  <c r="C3544" i="1"/>
  <c r="N3544" i="1"/>
  <c r="A3545" i="1"/>
  <c r="C3545" i="1"/>
  <c r="N3545" i="1"/>
  <c r="A3546" i="1"/>
  <c r="C3546" i="1"/>
  <c r="N3546" i="1"/>
  <c r="A3547" i="1"/>
  <c r="C3547" i="1"/>
  <c r="N3547" i="1"/>
  <c r="A3548" i="1"/>
  <c r="C3548" i="1"/>
  <c r="N3548" i="1"/>
  <c r="A3549" i="1"/>
  <c r="C3549" i="1"/>
  <c r="N3549" i="1"/>
  <c r="A3550" i="1"/>
  <c r="C3550" i="1"/>
  <c r="N3550" i="1"/>
  <c r="A3551" i="1"/>
  <c r="C3551" i="1"/>
  <c r="N3551" i="1"/>
  <c r="A3552" i="1"/>
  <c r="C3552" i="1"/>
  <c r="N3552" i="1"/>
  <c r="A3553" i="1"/>
  <c r="C3553" i="1"/>
  <c r="N3553" i="1"/>
  <c r="A3554" i="1"/>
  <c r="C3554" i="1"/>
  <c r="N3554" i="1"/>
  <c r="A3555" i="1"/>
  <c r="C3555" i="1"/>
  <c r="N3555" i="1"/>
  <c r="A3556" i="1"/>
  <c r="C3556" i="1"/>
  <c r="N3556" i="1"/>
  <c r="A3557" i="1"/>
  <c r="C3557" i="1"/>
  <c r="N3557" i="1"/>
  <c r="A3558" i="1"/>
  <c r="C3558" i="1"/>
  <c r="N3558" i="1"/>
  <c r="A3559" i="1"/>
  <c r="C3559" i="1"/>
  <c r="N3559" i="1"/>
  <c r="A3560" i="1"/>
  <c r="C3560" i="1"/>
  <c r="N3560" i="1"/>
  <c r="A3561" i="1"/>
  <c r="C3561" i="1"/>
  <c r="N3561" i="1"/>
  <c r="A3562" i="1"/>
  <c r="C3562" i="1"/>
  <c r="N3562" i="1"/>
  <c r="A3563" i="1"/>
  <c r="C3563" i="1"/>
  <c r="N3563" i="1"/>
  <c r="A3564" i="1"/>
  <c r="C3564" i="1"/>
  <c r="N3564" i="1"/>
  <c r="A3565" i="1"/>
  <c r="C3565" i="1"/>
  <c r="N3565" i="1"/>
  <c r="A3566" i="1"/>
  <c r="C3566" i="1"/>
  <c r="N3566" i="1"/>
  <c r="A3567" i="1"/>
  <c r="C3567" i="1"/>
  <c r="N3567" i="1"/>
  <c r="A3568" i="1"/>
  <c r="C3568" i="1"/>
  <c r="N3568" i="1"/>
  <c r="A3569" i="1"/>
  <c r="C3569" i="1"/>
  <c r="N3569" i="1"/>
  <c r="A3570" i="1"/>
  <c r="C3570" i="1"/>
  <c r="N3570" i="1"/>
  <c r="A3571" i="1"/>
  <c r="C3571" i="1"/>
  <c r="N3571" i="1"/>
  <c r="A3572" i="1"/>
  <c r="C3572" i="1"/>
  <c r="N3572" i="1"/>
  <c r="A3573" i="1"/>
  <c r="C3573" i="1"/>
  <c r="F3573" i="1"/>
  <c r="N3573" i="1"/>
  <c r="A3574" i="1"/>
  <c r="C3574" i="1"/>
  <c r="F3574" i="1"/>
  <c r="N3574" i="1"/>
  <c r="A3575" i="1"/>
  <c r="C3575" i="1"/>
  <c r="N3575" i="1"/>
  <c r="A3576" i="1"/>
  <c r="C3576" i="1"/>
  <c r="N3576" i="1"/>
  <c r="A3577" i="1"/>
  <c r="C3577" i="1"/>
  <c r="N3577" i="1"/>
  <c r="A3578" i="1"/>
  <c r="C3578" i="1"/>
  <c r="N3578" i="1"/>
  <c r="A3579" i="1"/>
  <c r="C3579" i="1"/>
  <c r="N3579" i="1"/>
  <c r="A3580" i="1"/>
  <c r="C3580" i="1"/>
  <c r="N3580" i="1"/>
  <c r="A3581" i="1"/>
  <c r="C3581" i="1"/>
  <c r="N3581" i="1"/>
  <c r="A3582" i="1"/>
  <c r="C3582" i="1"/>
  <c r="N3582" i="1"/>
  <c r="A3583" i="1"/>
  <c r="C3583" i="1"/>
  <c r="N3583" i="1"/>
  <c r="A3584" i="1"/>
  <c r="C3584" i="1"/>
  <c r="N3584" i="1"/>
  <c r="A3585" i="1"/>
  <c r="C3585" i="1"/>
  <c r="N3585" i="1"/>
  <c r="A3586" i="1"/>
  <c r="C3586" i="1"/>
  <c r="N3586" i="1"/>
  <c r="A3587" i="1"/>
  <c r="C3587" i="1"/>
  <c r="N3587" i="1"/>
  <c r="A3588" i="1"/>
  <c r="C3588" i="1"/>
  <c r="N3588" i="1"/>
  <c r="A3589" i="1"/>
  <c r="C3589" i="1"/>
  <c r="N3589" i="1"/>
  <c r="A3590" i="1"/>
  <c r="C3590" i="1"/>
  <c r="N3590" i="1"/>
  <c r="A3591" i="1"/>
  <c r="C3591" i="1"/>
  <c r="N3591" i="1"/>
  <c r="A3592" i="1"/>
  <c r="C3592" i="1"/>
  <c r="N3592" i="1"/>
  <c r="A3593" i="1"/>
  <c r="C3593" i="1"/>
  <c r="N3593" i="1"/>
  <c r="A3594" i="1"/>
  <c r="C3594" i="1"/>
  <c r="N3594" i="1"/>
  <c r="A3595" i="1"/>
  <c r="C3595" i="1"/>
  <c r="N3595" i="1"/>
  <c r="A3596" i="1"/>
  <c r="C3596" i="1"/>
  <c r="N3596" i="1"/>
  <c r="A3597" i="1"/>
  <c r="C3597" i="1"/>
  <c r="N3597" i="1"/>
  <c r="A3598" i="1"/>
  <c r="C3598" i="1"/>
  <c r="N3598" i="1"/>
  <c r="A3599" i="1"/>
  <c r="C3599" i="1"/>
  <c r="N3599" i="1"/>
  <c r="A3600" i="1"/>
  <c r="C3600" i="1"/>
  <c r="N3600" i="1"/>
  <c r="A3601" i="1"/>
  <c r="C3601" i="1"/>
  <c r="N3601" i="1"/>
  <c r="A3602" i="1"/>
  <c r="C3602" i="1"/>
  <c r="N3602" i="1"/>
  <c r="A3603" i="1"/>
  <c r="C3603" i="1"/>
  <c r="N3603" i="1"/>
  <c r="A3604" i="1"/>
  <c r="C3604" i="1"/>
  <c r="N3604" i="1"/>
  <c r="A3605" i="1"/>
  <c r="C3605" i="1"/>
  <c r="N3605" i="1"/>
  <c r="A3606" i="1"/>
  <c r="C3606" i="1"/>
  <c r="N3606" i="1"/>
  <c r="A3607" i="1"/>
  <c r="C3607" i="1"/>
  <c r="N3607" i="1"/>
  <c r="A3608" i="1"/>
  <c r="C3608" i="1"/>
  <c r="N3608" i="1"/>
  <c r="A3609" i="1"/>
  <c r="C3609" i="1"/>
  <c r="N3609" i="1"/>
  <c r="A3610" i="1"/>
  <c r="C3610" i="1"/>
  <c r="N3610" i="1"/>
  <c r="A3611" i="1"/>
  <c r="C3611" i="1"/>
  <c r="N3611" i="1"/>
  <c r="A3612" i="1"/>
  <c r="C3612" i="1"/>
  <c r="N3612" i="1"/>
  <c r="A3613" i="1"/>
  <c r="C3613" i="1"/>
  <c r="N3613" i="1"/>
  <c r="A3614" i="1"/>
  <c r="C3614" i="1"/>
  <c r="N3614" i="1"/>
  <c r="A3615" i="1"/>
  <c r="C3615" i="1"/>
  <c r="N3615" i="1"/>
  <c r="A3616" i="1"/>
  <c r="C3616" i="1"/>
  <c r="N3616" i="1"/>
  <c r="A3617" i="1"/>
  <c r="C3617" i="1"/>
  <c r="N3617" i="1"/>
  <c r="A3618" i="1"/>
  <c r="C3618" i="1"/>
  <c r="N3618" i="1"/>
  <c r="A3619" i="1"/>
  <c r="C3619" i="1"/>
  <c r="N3619" i="1"/>
  <c r="A3620" i="1"/>
  <c r="C3620" i="1"/>
  <c r="N3620" i="1"/>
  <c r="A3621" i="1"/>
  <c r="C3621" i="1"/>
  <c r="N3621" i="1"/>
  <c r="A3622" i="1"/>
  <c r="C3622" i="1"/>
  <c r="N3622" i="1"/>
  <c r="A3623" i="1"/>
  <c r="C3623" i="1"/>
  <c r="N3623" i="1"/>
  <c r="A3624" i="1"/>
  <c r="C3624" i="1"/>
  <c r="N3624" i="1"/>
  <c r="A3625" i="1"/>
  <c r="C3625" i="1"/>
  <c r="N3625" i="1"/>
  <c r="A3626" i="1"/>
  <c r="C3626" i="1"/>
  <c r="N3626" i="1"/>
  <c r="A3627" i="1"/>
  <c r="C3627" i="1"/>
  <c r="N3627" i="1"/>
  <c r="A3628" i="1"/>
  <c r="C3628" i="1"/>
  <c r="N3628" i="1"/>
  <c r="A3629" i="1"/>
  <c r="C3629" i="1"/>
  <c r="N3629" i="1"/>
  <c r="A3630" i="1"/>
  <c r="C3630" i="1"/>
  <c r="N3630" i="1"/>
  <c r="A3631" i="1"/>
  <c r="C3631" i="1"/>
  <c r="N3631" i="1"/>
  <c r="A3632" i="1"/>
  <c r="C3632" i="1"/>
  <c r="N3632" i="1"/>
  <c r="A3633" i="1"/>
  <c r="C3633" i="1"/>
  <c r="E3633" i="1"/>
  <c r="N3633" i="1"/>
  <c r="T3633" i="1"/>
  <c r="A3634" i="1"/>
  <c r="C3634" i="1"/>
  <c r="N3634" i="1"/>
  <c r="A3635" i="1"/>
  <c r="C3635" i="1"/>
  <c r="N3635" i="1"/>
  <c r="A3636" i="1"/>
  <c r="C3636" i="1"/>
  <c r="N3636" i="1"/>
  <c r="A3637" i="1"/>
  <c r="C3637" i="1"/>
  <c r="N3637" i="1"/>
  <c r="A3638" i="1"/>
  <c r="C3638" i="1"/>
  <c r="N3638" i="1"/>
  <c r="A3639" i="1"/>
  <c r="C3639" i="1"/>
  <c r="N3639" i="1"/>
  <c r="A3640" i="1"/>
  <c r="C3640" i="1"/>
  <c r="N3640" i="1"/>
  <c r="A3641" i="1"/>
  <c r="C3641" i="1"/>
  <c r="N3641" i="1"/>
  <c r="A3642" i="1"/>
  <c r="C3642" i="1"/>
  <c r="N3642" i="1"/>
  <c r="A3643" i="1"/>
  <c r="C3643" i="1"/>
  <c r="N3643" i="1"/>
  <c r="A3644" i="1"/>
  <c r="C3644" i="1"/>
  <c r="N3644" i="1"/>
  <c r="A3645" i="1"/>
  <c r="C3645" i="1"/>
  <c r="N3645" i="1"/>
  <c r="A3646" i="1"/>
  <c r="C3646" i="1"/>
  <c r="D3646" i="1"/>
  <c r="N3646" i="1"/>
  <c r="O3646" i="1"/>
  <c r="A3647" i="1"/>
  <c r="C3647" i="1"/>
  <c r="N3647" i="1"/>
  <c r="A3648" i="1"/>
  <c r="C3648" i="1"/>
  <c r="N3648" i="1"/>
  <c r="A3649" i="1"/>
  <c r="C3649" i="1"/>
  <c r="N3649" i="1"/>
  <c r="A3650" i="1"/>
  <c r="C3650" i="1"/>
  <c r="N3650" i="1"/>
  <c r="A3651" i="1"/>
  <c r="C3651" i="1"/>
  <c r="N3651" i="1"/>
  <c r="A3652" i="1"/>
  <c r="C3652" i="1"/>
  <c r="N3652" i="1"/>
  <c r="A3653" i="1"/>
  <c r="C3653" i="1"/>
  <c r="N3653" i="1"/>
  <c r="A3654" i="1"/>
  <c r="C3654" i="1"/>
  <c r="N3654" i="1"/>
  <c r="A3655" i="1"/>
  <c r="C3655" i="1"/>
  <c r="N3655" i="1"/>
  <c r="A3656" i="1"/>
  <c r="C3656" i="1"/>
  <c r="N3656" i="1"/>
  <c r="A3657" i="1"/>
  <c r="C3657" i="1"/>
  <c r="N3657" i="1"/>
  <c r="A3658" i="1"/>
  <c r="C3658" i="1"/>
  <c r="N3658" i="1"/>
  <c r="A3659" i="1"/>
  <c r="C3659" i="1"/>
  <c r="N3659" i="1"/>
  <c r="A3660" i="1"/>
  <c r="C3660" i="1"/>
  <c r="N3660" i="1"/>
  <c r="A3661" i="1"/>
  <c r="C3661" i="1"/>
  <c r="N3661" i="1"/>
  <c r="A3662" i="1"/>
  <c r="C3662" i="1"/>
  <c r="N3662" i="1"/>
  <c r="A3663" i="1"/>
  <c r="C3663" i="1"/>
  <c r="N3663" i="1"/>
  <c r="A3664" i="1"/>
  <c r="C3664" i="1"/>
  <c r="N3664" i="1"/>
  <c r="A3665" i="1"/>
  <c r="C3665" i="1"/>
  <c r="N3665" i="1"/>
  <c r="A3666" i="1"/>
  <c r="C3666" i="1"/>
  <c r="N3666" i="1"/>
  <c r="A3667" i="1"/>
  <c r="C3667" i="1"/>
  <c r="N3667" i="1"/>
  <c r="A3668" i="1"/>
  <c r="C3668" i="1"/>
  <c r="N3668" i="1"/>
  <c r="A3669" i="1"/>
  <c r="C3669" i="1"/>
  <c r="N3669" i="1"/>
  <c r="A3670" i="1"/>
  <c r="C3670" i="1"/>
  <c r="N3670" i="1"/>
  <c r="A3671" i="1"/>
  <c r="C3671" i="1"/>
  <c r="N3671" i="1"/>
  <c r="A3672" i="1"/>
  <c r="C3672" i="1"/>
  <c r="N3672" i="1"/>
  <c r="A3673" i="1"/>
  <c r="C3673" i="1"/>
  <c r="N3673" i="1"/>
  <c r="A3674" i="1"/>
  <c r="C3674" i="1"/>
  <c r="N3674" i="1"/>
  <c r="A3675" i="1"/>
  <c r="C3675" i="1"/>
  <c r="N3675" i="1"/>
  <c r="A3676" i="1"/>
  <c r="C3676" i="1"/>
  <c r="N3676" i="1"/>
  <c r="A3677" i="1"/>
  <c r="C3677" i="1"/>
  <c r="N3677" i="1"/>
  <c r="A3678" i="1"/>
  <c r="C3678" i="1"/>
  <c r="N3678" i="1"/>
  <c r="A3679" i="1"/>
  <c r="C3679" i="1"/>
  <c r="N3679" i="1"/>
  <c r="A3680" i="1"/>
  <c r="C3680" i="1"/>
  <c r="N3680" i="1"/>
  <c r="A3681" i="1"/>
  <c r="C3681" i="1"/>
  <c r="N3681" i="1"/>
  <c r="A3682" i="1"/>
  <c r="C3682" i="1"/>
  <c r="N3682" i="1"/>
  <c r="A3683" i="1"/>
  <c r="C3683" i="1"/>
  <c r="N3683" i="1"/>
  <c r="A3684" i="1"/>
  <c r="C3684" i="1"/>
  <c r="N3684" i="1"/>
  <c r="A3685" i="1"/>
  <c r="C3685" i="1"/>
  <c r="N3685" i="1"/>
  <c r="A3686" i="1"/>
  <c r="C3686" i="1"/>
  <c r="N3686" i="1"/>
  <c r="A3687" i="1"/>
  <c r="C3687" i="1"/>
  <c r="N3687" i="1"/>
  <c r="A3688" i="1"/>
  <c r="C3688" i="1"/>
  <c r="N3688" i="1"/>
  <c r="A3689" i="1"/>
  <c r="C3689" i="1"/>
  <c r="N3689" i="1"/>
  <c r="A3690" i="1"/>
  <c r="C3690" i="1"/>
  <c r="N3690" i="1"/>
  <c r="A3691" i="1"/>
  <c r="C3691" i="1"/>
  <c r="N3691" i="1"/>
  <c r="A3692" i="1"/>
  <c r="C3692" i="1"/>
  <c r="N3692" i="1"/>
  <c r="A3693" i="1"/>
  <c r="C3693" i="1"/>
  <c r="N3693" i="1"/>
  <c r="A3694" i="1"/>
  <c r="C3694" i="1"/>
  <c r="N3694" i="1"/>
  <c r="A3695" i="1"/>
  <c r="C3695" i="1"/>
  <c r="N3695" i="1"/>
  <c r="A3696" i="1"/>
  <c r="C3696" i="1"/>
  <c r="N3696" i="1"/>
  <c r="A3697" i="1"/>
  <c r="C3697" i="1"/>
  <c r="N3697" i="1"/>
  <c r="A3698" i="1"/>
  <c r="C3698" i="1"/>
  <c r="N3698" i="1"/>
  <c r="A3699" i="1"/>
  <c r="C3699" i="1"/>
  <c r="N3699" i="1"/>
  <c r="A3700" i="1"/>
  <c r="C3700" i="1"/>
  <c r="N3700" i="1"/>
  <c r="A3701" i="1"/>
  <c r="C3701" i="1"/>
  <c r="N3701" i="1"/>
  <c r="A3702" i="1"/>
  <c r="C3702" i="1"/>
  <c r="N3702" i="1"/>
  <c r="A3703" i="1"/>
  <c r="C3703" i="1"/>
  <c r="N3703" i="1"/>
  <c r="A3704" i="1"/>
  <c r="C3704" i="1"/>
  <c r="N3704" i="1"/>
  <c r="A3705" i="1"/>
  <c r="C3705" i="1"/>
  <c r="N3705" i="1"/>
  <c r="A3706" i="1"/>
  <c r="C3706" i="1"/>
  <c r="N3706" i="1"/>
  <c r="A3707" i="1"/>
  <c r="C3707" i="1"/>
  <c r="N3707" i="1"/>
  <c r="A3708" i="1"/>
  <c r="C3708" i="1"/>
  <c r="N3708" i="1"/>
  <c r="A3709" i="1"/>
  <c r="C3709" i="1"/>
  <c r="N3709" i="1"/>
  <c r="A3710" i="1"/>
  <c r="C3710" i="1"/>
  <c r="N3710" i="1"/>
  <c r="A3711" i="1"/>
  <c r="C3711" i="1"/>
  <c r="N3711" i="1"/>
  <c r="A3712" i="1"/>
  <c r="C3712" i="1"/>
  <c r="N3712" i="1"/>
  <c r="A3713" i="1"/>
  <c r="C3713" i="1"/>
  <c r="N3713" i="1"/>
  <c r="A3714" i="1"/>
  <c r="C3714" i="1"/>
  <c r="N3714" i="1"/>
  <c r="A3715" i="1"/>
  <c r="C3715" i="1"/>
  <c r="N3715" i="1"/>
  <c r="A3716" i="1"/>
  <c r="C3716" i="1"/>
  <c r="N3716" i="1"/>
  <c r="A3717" i="1"/>
  <c r="C3717" i="1"/>
  <c r="N3717" i="1"/>
  <c r="A3718" i="1"/>
  <c r="C3718" i="1"/>
  <c r="N3718" i="1"/>
  <c r="A3719" i="1"/>
  <c r="C3719" i="1"/>
  <c r="N3719" i="1"/>
  <c r="A3720" i="1"/>
  <c r="C3720" i="1"/>
  <c r="N3720" i="1"/>
  <c r="A3721" i="1"/>
  <c r="C3721" i="1"/>
  <c r="N3721" i="1"/>
  <c r="A3722" i="1"/>
  <c r="C3722" i="1"/>
  <c r="N3722" i="1"/>
  <c r="A3723" i="1"/>
  <c r="C3723" i="1"/>
  <c r="N3723" i="1"/>
  <c r="A3724" i="1"/>
  <c r="C3724" i="1"/>
  <c r="N3724" i="1"/>
  <c r="A3725" i="1"/>
  <c r="C3725" i="1"/>
  <c r="N3725" i="1"/>
  <c r="A3726" i="1"/>
  <c r="C3726" i="1"/>
  <c r="N3726" i="1"/>
  <c r="A3727" i="1"/>
  <c r="C3727" i="1"/>
  <c r="N3727" i="1"/>
  <c r="A3728" i="1"/>
  <c r="C3728" i="1"/>
  <c r="N3728" i="1"/>
  <c r="A3729" i="1"/>
  <c r="C3729" i="1"/>
  <c r="N3729" i="1"/>
  <c r="A3730" i="1"/>
  <c r="C3730" i="1"/>
  <c r="N3730" i="1"/>
  <c r="A3731" i="1"/>
  <c r="C3731" i="1"/>
  <c r="N3731" i="1"/>
  <c r="A3732" i="1"/>
  <c r="C3732" i="1"/>
  <c r="N3732" i="1"/>
  <c r="A3733" i="1"/>
  <c r="C3733" i="1"/>
  <c r="N3733" i="1"/>
  <c r="A3734" i="1"/>
  <c r="C3734" i="1"/>
  <c r="N3734" i="1"/>
  <c r="A3735" i="1"/>
  <c r="C3735" i="1"/>
  <c r="N3735" i="1"/>
  <c r="A3736" i="1"/>
  <c r="C3736" i="1"/>
  <c r="N3736" i="1"/>
  <c r="A3737" i="1"/>
  <c r="C3737" i="1"/>
  <c r="N3737" i="1"/>
  <c r="A3738" i="1"/>
  <c r="C3738" i="1"/>
  <c r="N3738" i="1"/>
  <c r="A3739" i="1"/>
  <c r="C3739" i="1"/>
  <c r="N3739" i="1"/>
  <c r="A3740" i="1"/>
  <c r="C3740" i="1"/>
  <c r="N3740" i="1"/>
  <c r="A3741" i="1"/>
  <c r="C3741" i="1"/>
  <c r="N3741" i="1"/>
  <c r="A3742" i="1"/>
  <c r="C3742" i="1"/>
  <c r="N3742" i="1"/>
  <c r="A3743" i="1"/>
  <c r="C3743" i="1"/>
  <c r="N3743" i="1"/>
  <c r="A3744" i="1"/>
  <c r="C3744" i="1"/>
  <c r="N3744" i="1"/>
  <c r="A3745" i="1"/>
  <c r="C3745" i="1"/>
  <c r="N3745" i="1"/>
  <c r="A3746" i="1"/>
  <c r="C3746" i="1"/>
  <c r="N3746" i="1"/>
  <c r="A3747" i="1"/>
  <c r="C3747" i="1"/>
  <c r="N3747" i="1"/>
  <c r="A3748" i="1"/>
  <c r="C3748" i="1"/>
  <c r="N3748" i="1"/>
  <c r="A3749" i="1"/>
  <c r="C3749" i="1"/>
  <c r="N3749" i="1"/>
  <c r="A3750" i="1"/>
  <c r="C3750" i="1"/>
  <c r="N3750" i="1"/>
  <c r="A3751" i="1"/>
  <c r="C3751" i="1"/>
  <c r="N3751" i="1"/>
  <c r="A3752" i="1"/>
  <c r="C3752" i="1"/>
  <c r="N3752" i="1"/>
  <c r="A3753" i="1"/>
  <c r="C3753" i="1"/>
  <c r="N3753" i="1"/>
  <c r="A3754" i="1"/>
  <c r="C3754" i="1"/>
  <c r="N3754" i="1"/>
  <c r="A3755" i="1"/>
  <c r="C3755" i="1"/>
  <c r="N3755" i="1"/>
  <c r="A3756" i="1"/>
  <c r="C3756" i="1"/>
  <c r="N3756" i="1"/>
  <c r="A3757" i="1"/>
  <c r="C3757" i="1"/>
  <c r="N3757" i="1"/>
  <c r="A3758" i="1"/>
  <c r="C3758" i="1"/>
  <c r="N3758" i="1"/>
  <c r="A3759" i="1"/>
  <c r="C3759" i="1"/>
  <c r="N3759" i="1"/>
  <c r="A3760" i="1"/>
  <c r="C3760" i="1"/>
  <c r="N3760" i="1"/>
  <c r="A3761" i="1"/>
  <c r="C3761" i="1"/>
  <c r="N3761" i="1"/>
  <c r="A3762" i="1"/>
  <c r="C3762" i="1"/>
  <c r="N3762" i="1"/>
  <c r="A3763" i="1"/>
  <c r="C3763" i="1"/>
  <c r="N3763" i="1"/>
  <c r="A3764" i="1"/>
  <c r="C3764" i="1"/>
  <c r="N3764" i="1"/>
  <c r="A3765" i="1"/>
  <c r="C3765" i="1"/>
  <c r="N3765" i="1"/>
  <c r="A3766" i="1"/>
  <c r="C3766" i="1"/>
  <c r="N3766" i="1"/>
  <c r="A3767" i="1"/>
  <c r="C3767" i="1"/>
  <c r="N3767" i="1"/>
  <c r="A3768" i="1"/>
  <c r="C3768" i="1"/>
  <c r="N3768" i="1"/>
  <c r="A3769" i="1"/>
  <c r="C3769" i="1"/>
  <c r="N3769" i="1"/>
  <c r="A3770" i="1"/>
  <c r="C3770" i="1"/>
  <c r="N3770" i="1"/>
  <c r="A3771" i="1"/>
  <c r="C3771" i="1"/>
  <c r="N3771" i="1"/>
  <c r="A3772" i="1"/>
  <c r="C3772" i="1"/>
  <c r="N3772" i="1"/>
  <c r="A3773" i="1"/>
  <c r="C3773" i="1"/>
  <c r="N3773" i="1"/>
  <c r="A3774" i="1"/>
  <c r="C3774" i="1"/>
  <c r="N3774" i="1"/>
  <c r="A3775" i="1"/>
  <c r="C3775" i="1"/>
  <c r="N3775" i="1"/>
  <c r="A3776" i="1"/>
  <c r="C3776" i="1"/>
  <c r="N3776" i="1"/>
  <c r="A3777" i="1"/>
  <c r="C3777" i="1"/>
  <c r="N3777" i="1"/>
  <c r="A3778" i="1"/>
  <c r="C3778" i="1"/>
  <c r="N3778" i="1"/>
  <c r="A3779" i="1"/>
  <c r="C3779" i="1"/>
  <c r="N3779" i="1"/>
  <c r="A3780" i="1"/>
  <c r="C3780" i="1"/>
  <c r="N3780" i="1"/>
  <c r="A3781" i="1"/>
  <c r="C3781" i="1"/>
  <c r="N3781" i="1"/>
  <c r="A3782" i="1"/>
  <c r="C3782" i="1"/>
  <c r="N3782" i="1"/>
  <c r="A3783" i="1"/>
  <c r="C3783" i="1"/>
  <c r="N3783" i="1"/>
  <c r="A3784" i="1"/>
  <c r="C3784" i="1"/>
  <c r="N3784" i="1"/>
  <c r="A3785" i="1"/>
  <c r="C3785" i="1"/>
  <c r="N3785" i="1"/>
  <c r="A3786" i="1"/>
  <c r="C3786" i="1"/>
  <c r="N3786" i="1"/>
  <c r="A3787" i="1"/>
  <c r="C3787" i="1"/>
  <c r="N3787" i="1"/>
  <c r="A3788" i="1"/>
  <c r="C3788" i="1"/>
  <c r="N3788" i="1"/>
  <c r="A3789" i="1"/>
  <c r="C3789" i="1"/>
  <c r="N3789" i="1"/>
  <c r="A3790" i="1"/>
  <c r="C3790" i="1"/>
  <c r="N3790" i="1"/>
  <c r="A3791" i="1"/>
  <c r="C3791" i="1"/>
  <c r="N3791" i="1"/>
  <c r="A3792" i="1"/>
  <c r="C3792" i="1"/>
  <c r="N3792" i="1"/>
  <c r="A3793" i="1"/>
  <c r="C3793" i="1"/>
  <c r="N3793" i="1"/>
  <c r="A3794" i="1"/>
  <c r="C3794" i="1"/>
  <c r="N3794" i="1"/>
  <c r="A3795" i="1"/>
  <c r="C3795" i="1"/>
  <c r="N3795" i="1"/>
  <c r="A3796" i="1"/>
  <c r="C3796" i="1"/>
  <c r="N3796" i="1"/>
  <c r="A3797" i="1"/>
  <c r="C3797" i="1"/>
  <c r="N3797" i="1"/>
  <c r="A3798" i="1"/>
  <c r="C3798" i="1"/>
  <c r="N3798" i="1"/>
  <c r="A3799" i="1"/>
  <c r="C3799" i="1"/>
  <c r="N3799" i="1"/>
  <c r="A3800" i="1"/>
  <c r="C3800" i="1"/>
  <c r="N3800" i="1"/>
  <c r="A3801" i="1"/>
  <c r="C3801" i="1"/>
  <c r="N3801" i="1"/>
  <c r="A3802" i="1"/>
  <c r="C3802" i="1"/>
  <c r="N3802" i="1"/>
  <c r="A3803" i="1"/>
  <c r="C3803" i="1"/>
  <c r="N3803" i="1"/>
  <c r="A3804" i="1"/>
  <c r="C3804" i="1"/>
  <c r="N3804" i="1"/>
  <c r="A3805" i="1"/>
  <c r="C3805" i="1"/>
  <c r="N3805" i="1"/>
  <c r="A3806" i="1"/>
  <c r="C3806" i="1"/>
  <c r="N3806" i="1"/>
  <c r="A3807" i="1"/>
  <c r="C3807" i="1"/>
  <c r="N3807" i="1"/>
  <c r="A3808" i="1"/>
  <c r="C3808" i="1"/>
  <c r="N3808" i="1"/>
  <c r="A3809" i="1"/>
  <c r="C3809" i="1"/>
  <c r="N3809" i="1"/>
  <c r="A3810" i="1"/>
  <c r="C3810" i="1"/>
  <c r="N3810" i="1"/>
  <c r="A3811" i="1"/>
  <c r="C3811" i="1"/>
  <c r="N3811" i="1"/>
  <c r="A3812" i="1"/>
  <c r="C3812" i="1"/>
  <c r="F3812" i="1"/>
  <c r="N3812" i="1"/>
  <c r="A3813" i="1"/>
  <c r="C3813" i="1"/>
  <c r="N3813" i="1"/>
  <c r="A3814" i="1"/>
  <c r="C3814" i="1"/>
  <c r="N3814" i="1"/>
  <c r="A3815" i="1"/>
  <c r="C3815" i="1"/>
  <c r="N3815" i="1"/>
  <c r="A3816" i="1"/>
  <c r="C3816" i="1"/>
  <c r="N3816" i="1"/>
  <c r="A3817" i="1"/>
  <c r="C3817" i="1"/>
  <c r="N3817" i="1"/>
  <c r="A3818" i="1"/>
  <c r="C3818" i="1"/>
  <c r="N3818" i="1"/>
  <c r="A3819" i="1"/>
  <c r="C3819" i="1"/>
  <c r="N3819" i="1"/>
  <c r="A3820" i="1"/>
  <c r="C3820" i="1"/>
  <c r="N3820" i="1"/>
  <c r="A3821" i="1"/>
  <c r="C3821" i="1"/>
  <c r="N3821" i="1"/>
  <c r="A3822" i="1"/>
  <c r="C3822" i="1"/>
  <c r="N3822" i="1"/>
  <c r="A3823" i="1"/>
  <c r="C3823" i="1"/>
  <c r="N3823" i="1"/>
  <c r="A3824" i="1"/>
  <c r="C3824" i="1"/>
  <c r="N3824" i="1"/>
  <c r="A3825" i="1"/>
  <c r="C3825" i="1"/>
  <c r="N3825" i="1"/>
  <c r="A3826" i="1"/>
  <c r="C3826" i="1"/>
  <c r="N3826" i="1"/>
  <c r="A3827" i="1"/>
  <c r="C3827" i="1"/>
  <c r="N3827" i="1"/>
  <c r="A3828" i="1"/>
  <c r="C3828" i="1"/>
  <c r="N3828" i="1"/>
  <c r="A3829" i="1"/>
  <c r="C3829" i="1"/>
  <c r="N3829" i="1"/>
  <c r="A3830" i="1"/>
  <c r="C3830" i="1"/>
  <c r="N3830" i="1"/>
  <c r="A3831" i="1"/>
  <c r="C3831" i="1"/>
  <c r="N3831" i="1"/>
  <c r="A3832" i="1"/>
  <c r="C3832" i="1"/>
  <c r="N3832" i="1"/>
  <c r="A3833" i="1"/>
  <c r="C3833" i="1"/>
  <c r="N3833" i="1"/>
  <c r="A3834" i="1"/>
  <c r="C3834" i="1"/>
  <c r="N3834" i="1"/>
  <c r="A3835" i="1"/>
  <c r="C3835" i="1"/>
  <c r="N3835" i="1"/>
  <c r="A3836" i="1"/>
  <c r="C3836" i="1"/>
  <c r="N3836" i="1"/>
  <c r="A3837" i="1"/>
  <c r="C3837" i="1"/>
  <c r="N3837" i="1"/>
  <c r="A3838" i="1"/>
  <c r="C3838" i="1"/>
  <c r="N3838" i="1"/>
  <c r="A3839" i="1"/>
  <c r="C3839" i="1"/>
  <c r="N3839" i="1"/>
  <c r="A3840" i="1"/>
  <c r="C3840" i="1"/>
  <c r="N3840" i="1"/>
  <c r="A3841" i="1"/>
  <c r="C3841" i="1"/>
  <c r="N3841" i="1"/>
  <c r="A3842" i="1"/>
  <c r="C3842" i="1"/>
  <c r="N3842" i="1"/>
  <c r="A3843" i="1"/>
  <c r="C3843" i="1"/>
  <c r="N3843" i="1"/>
  <c r="A3844" i="1"/>
  <c r="C3844" i="1"/>
  <c r="N3844" i="1"/>
  <c r="A3845" i="1"/>
  <c r="C3845" i="1"/>
  <c r="N3845" i="1"/>
  <c r="A3846" i="1"/>
  <c r="C3846" i="1"/>
  <c r="N3846" i="1"/>
  <c r="A3847" i="1"/>
  <c r="C3847" i="1"/>
  <c r="N3847" i="1"/>
  <c r="A3848" i="1"/>
  <c r="C3848" i="1"/>
  <c r="N3848" i="1"/>
  <c r="A3849" i="1"/>
  <c r="C3849" i="1"/>
  <c r="N3849" i="1"/>
  <c r="A3850" i="1"/>
  <c r="C3850" i="1"/>
  <c r="N3850" i="1"/>
  <c r="A3851" i="1"/>
  <c r="C3851" i="1"/>
  <c r="N3851" i="1"/>
  <c r="A3852" i="1"/>
  <c r="C3852" i="1"/>
  <c r="N3852" i="1"/>
  <c r="A3853" i="1"/>
  <c r="C3853" i="1"/>
  <c r="N3853" i="1"/>
  <c r="A3854" i="1"/>
  <c r="C3854" i="1"/>
  <c r="N3854" i="1"/>
  <c r="A3855" i="1"/>
  <c r="C3855" i="1"/>
  <c r="N3855" i="1"/>
  <c r="A3856" i="1"/>
  <c r="C3856" i="1"/>
  <c r="N3856" i="1"/>
  <c r="A3857" i="1"/>
  <c r="C3857" i="1"/>
  <c r="N3857" i="1"/>
  <c r="A3858" i="1"/>
  <c r="C3858" i="1"/>
  <c r="N3858" i="1"/>
  <c r="A3859" i="1"/>
  <c r="C3859" i="1"/>
  <c r="N3859" i="1"/>
  <c r="A3860" i="1"/>
  <c r="C3860" i="1"/>
  <c r="N3860" i="1"/>
  <c r="A3861" i="1"/>
  <c r="C3861" i="1"/>
  <c r="N3861" i="1"/>
  <c r="A3862" i="1"/>
  <c r="C3862" i="1"/>
  <c r="N3862" i="1"/>
  <c r="A3863" i="1"/>
  <c r="C3863" i="1"/>
  <c r="N3863" i="1"/>
  <c r="A3864" i="1"/>
  <c r="C3864" i="1"/>
  <c r="N3864" i="1"/>
  <c r="A3865" i="1"/>
  <c r="C3865" i="1"/>
  <c r="N3865" i="1"/>
  <c r="A3866" i="1"/>
  <c r="C3866" i="1"/>
  <c r="N3866" i="1"/>
  <c r="A3867" i="1"/>
  <c r="C3867" i="1"/>
  <c r="N3867" i="1"/>
  <c r="A3868" i="1"/>
  <c r="C3868" i="1"/>
  <c r="N3868" i="1"/>
  <c r="A3869" i="1"/>
  <c r="C3869" i="1"/>
  <c r="N3869" i="1"/>
  <c r="A3870" i="1"/>
  <c r="C3870" i="1"/>
  <c r="N3870" i="1"/>
  <c r="A3871" i="1"/>
  <c r="C3871" i="1"/>
  <c r="N3871" i="1"/>
  <c r="A3872" i="1"/>
  <c r="C3872" i="1"/>
  <c r="N3872" i="1"/>
  <c r="A3873" i="1"/>
  <c r="C3873" i="1"/>
  <c r="N3873" i="1"/>
  <c r="A3874" i="1"/>
  <c r="C3874" i="1"/>
  <c r="N3874" i="1"/>
  <c r="A3875" i="1"/>
  <c r="C3875" i="1"/>
  <c r="N3875" i="1"/>
  <c r="A3876" i="1"/>
  <c r="C3876" i="1"/>
  <c r="N3876" i="1"/>
  <c r="A3877" i="1"/>
  <c r="C3877" i="1"/>
  <c r="N3877" i="1"/>
  <c r="A3878" i="1"/>
  <c r="C3878" i="1"/>
  <c r="N3878" i="1"/>
  <c r="A3879" i="1"/>
  <c r="C3879" i="1"/>
  <c r="N3879" i="1"/>
  <c r="A3880" i="1"/>
  <c r="C3880" i="1"/>
  <c r="N3880" i="1"/>
  <c r="A3881" i="1"/>
  <c r="C3881" i="1"/>
  <c r="N3881" i="1"/>
  <c r="A3882" i="1"/>
  <c r="C3882" i="1"/>
  <c r="N3882" i="1"/>
  <c r="A3883" i="1"/>
  <c r="C3883" i="1"/>
  <c r="N3883" i="1"/>
  <c r="A3884" i="1"/>
  <c r="C3884" i="1"/>
  <c r="N3884" i="1"/>
  <c r="A3885" i="1"/>
  <c r="C3885" i="1"/>
  <c r="N3885" i="1"/>
  <c r="A3886" i="1"/>
  <c r="C3886" i="1"/>
  <c r="N3886" i="1"/>
  <c r="A3887" i="1"/>
  <c r="C3887" i="1"/>
  <c r="N3887" i="1"/>
  <c r="A3888" i="1"/>
  <c r="C3888" i="1"/>
  <c r="N3888" i="1"/>
  <c r="A3889" i="1"/>
  <c r="C3889" i="1"/>
  <c r="N3889" i="1"/>
  <c r="A3890" i="1"/>
  <c r="C3890" i="1"/>
  <c r="N3890" i="1"/>
  <c r="A3891" i="1"/>
  <c r="C3891" i="1"/>
  <c r="D3891" i="1"/>
  <c r="N3891" i="1"/>
  <c r="O3891" i="1"/>
  <c r="A3892" i="1"/>
  <c r="C3892" i="1"/>
  <c r="N3892" i="1"/>
  <c r="A3893" i="1"/>
  <c r="C3893" i="1"/>
  <c r="N3893" i="1"/>
  <c r="A3894" i="1"/>
  <c r="C3894" i="1"/>
  <c r="N3894" i="1"/>
  <c r="A3895" i="1"/>
  <c r="C3895" i="1"/>
  <c r="N3895" i="1"/>
  <c r="A3896" i="1"/>
  <c r="C3896" i="1"/>
  <c r="N3896" i="1"/>
  <c r="A3897" i="1"/>
  <c r="C3897" i="1"/>
  <c r="N3897" i="1"/>
  <c r="A3898" i="1"/>
  <c r="C3898" i="1"/>
  <c r="N3898" i="1"/>
  <c r="A3899" i="1"/>
  <c r="C3899" i="1"/>
  <c r="N3899" i="1"/>
  <c r="A3900" i="1"/>
  <c r="C3900" i="1"/>
  <c r="N3900" i="1"/>
  <c r="A3901" i="1"/>
  <c r="C3901" i="1"/>
  <c r="N3901" i="1"/>
  <c r="A3902" i="1"/>
  <c r="C3902" i="1"/>
  <c r="N3902" i="1"/>
  <c r="A3903" i="1"/>
  <c r="C3903" i="1"/>
  <c r="N3903" i="1"/>
  <c r="A3904" i="1"/>
  <c r="C3904" i="1"/>
  <c r="N3904" i="1"/>
  <c r="A3905" i="1"/>
  <c r="C3905" i="1"/>
  <c r="N3905" i="1"/>
  <c r="A3906" i="1"/>
  <c r="C3906" i="1"/>
  <c r="N3906" i="1"/>
  <c r="A3907" i="1"/>
  <c r="C3907" i="1"/>
  <c r="N3907" i="1"/>
  <c r="A3908" i="1"/>
  <c r="C3908" i="1"/>
  <c r="N3908" i="1"/>
  <c r="A3909" i="1"/>
  <c r="C3909" i="1"/>
  <c r="N3909" i="1"/>
  <c r="A3910" i="1"/>
  <c r="C3910" i="1"/>
  <c r="N3910" i="1"/>
  <c r="A3911" i="1"/>
  <c r="C3911" i="1"/>
  <c r="N3911" i="1"/>
  <c r="A3912" i="1"/>
  <c r="C3912" i="1"/>
  <c r="N3912" i="1"/>
  <c r="A3913" i="1"/>
  <c r="C3913" i="1"/>
  <c r="N3913" i="1"/>
  <c r="A3914" i="1"/>
  <c r="C3914" i="1"/>
  <c r="N3914" i="1"/>
  <c r="A3915" i="1"/>
  <c r="C3915" i="1"/>
  <c r="N3915" i="1"/>
  <c r="A3916" i="1"/>
  <c r="C3916" i="1"/>
  <c r="N3916" i="1"/>
  <c r="A3917" i="1"/>
  <c r="C3917" i="1"/>
  <c r="N3917" i="1"/>
  <c r="A3918" i="1"/>
  <c r="C3918" i="1"/>
  <c r="N3918" i="1"/>
  <c r="A3919" i="1"/>
  <c r="C3919" i="1"/>
  <c r="N3919" i="1"/>
  <c r="A3920" i="1"/>
  <c r="C3920" i="1"/>
  <c r="N3920" i="1"/>
  <c r="A3921" i="1"/>
  <c r="C3921" i="1"/>
  <c r="N3921" i="1"/>
  <c r="A3922" i="1"/>
  <c r="C3922" i="1"/>
  <c r="N3922" i="1"/>
  <c r="A3923" i="1"/>
  <c r="C3923" i="1"/>
  <c r="N3923" i="1"/>
  <c r="A3924" i="1"/>
  <c r="C3924" i="1"/>
  <c r="N3924" i="1"/>
  <c r="A3925" i="1"/>
  <c r="C3925" i="1"/>
  <c r="N3925" i="1"/>
  <c r="A3926" i="1"/>
  <c r="C3926" i="1"/>
  <c r="N3926" i="1"/>
  <c r="A3927" i="1"/>
  <c r="C3927" i="1"/>
  <c r="N3927" i="1"/>
  <c r="A3928" i="1"/>
  <c r="C3928" i="1"/>
  <c r="N3928" i="1"/>
  <c r="A3929" i="1"/>
  <c r="C3929" i="1"/>
  <c r="N3929" i="1"/>
  <c r="A3930" i="1"/>
  <c r="C3930" i="1"/>
  <c r="N3930" i="1"/>
  <c r="A3931" i="1"/>
  <c r="C3931" i="1"/>
  <c r="N3931" i="1"/>
  <c r="A3932" i="1"/>
  <c r="C3932" i="1"/>
  <c r="N3932" i="1"/>
  <c r="A3933" i="1"/>
  <c r="C3933" i="1"/>
  <c r="N3933" i="1"/>
  <c r="A3934" i="1"/>
  <c r="C3934" i="1"/>
  <c r="N3934" i="1"/>
  <c r="A3935" i="1"/>
  <c r="C3935" i="1"/>
  <c r="N3935" i="1"/>
  <c r="A3936" i="1"/>
  <c r="C3936" i="1"/>
  <c r="N3936" i="1"/>
  <c r="A3937" i="1"/>
  <c r="C3937" i="1"/>
  <c r="N3937" i="1"/>
  <c r="A3938" i="1"/>
  <c r="C3938" i="1"/>
  <c r="N3938" i="1"/>
  <c r="A3939" i="1"/>
  <c r="C3939" i="1"/>
  <c r="N3939" i="1"/>
  <c r="A3940" i="1"/>
  <c r="C3940" i="1"/>
  <c r="N3940" i="1"/>
  <c r="A3941" i="1"/>
  <c r="C3941" i="1"/>
  <c r="N3941" i="1"/>
  <c r="A3942" i="1"/>
  <c r="C3942" i="1"/>
  <c r="N3942" i="1"/>
  <c r="A3943" i="1"/>
  <c r="C3943" i="1"/>
  <c r="N3943" i="1"/>
  <c r="A3944" i="1"/>
  <c r="C3944" i="1"/>
  <c r="N3944" i="1"/>
  <c r="A3945" i="1"/>
  <c r="C3945" i="1"/>
  <c r="N3945" i="1"/>
  <c r="A3946" i="1"/>
  <c r="C3946" i="1"/>
  <c r="N3946" i="1"/>
  <c r="A3947" i="1"/>
  <c r="C3947" i="1"/>
  <c r="N3947" i="1"/>
  <c r="A3948" i="1"/>
  <c r="C3948" i="1"/>
  <c r="N3948" i="1"/>
  <c r="A3949" i="1"/>
  <c r="C3949" i="1"/>
  <c r="N3949" i="1"/>
  <c r="A3950" i="1"/>
  <c r="C3950" i="1"/>
  <c r="N3950" i="1"/>
  <c r="A3951" i="1"/>
  <c r="C3951" i="1"/>
  <c r="N3951" i="1"/>
  <c r="A3952" i="1"/>
  <c r="C3952" i="1"/>
  <c r="N3952" i="1"/>
  <c r="A3953" i="1"/>
  <c r="C3953" i="1"/>
  <c r="N3953" i="1"/>
  <c r="A3954" i="1"/>
  <c r="C3954" i="1"/>
  <c r="N3954" i="1"/>
  <c r="A3955" i="1"/>
  <c r="C3955" i="1"/>
  <c r="N3955" i="1"/>
  <c r="A3956" i="1"/>
  <c r="C3956" i="1"/>
  <c r="N3956" i="1"/>
  <c r="A3957" i="1"/>
  <c r="C3957" i="1"/>
  <c r="N3957" i="1"/>
  <c r="A3958" i="1"/>
  <c r="C3958" i="1"/>
  <c r="N3958" i="1"/>
  <c r="A3959" i="1"/>
  <c r="C3959" i="1"/>
  <c r="N3959" i="1"/>
  <c r="A3960" i="1"/>
  <c r="C3960" i="1"/>
  <c r="N3960" i="1"/>
  <c r="A3961" i="1"/>
  <c r="C3961" i="1"/>
  <c r="N3961" i="1"/>
  <c r="A3962" i="1"/>
  <c r="C3962" i="1"/>
  <c r="N3962" i="1"/>
  <c r="A3963" i="1"/>
  <c r="C3963" i="1"/>
  <c r="N3963" i="1"/>
  <c r="A3964" i="1"/>
  <c r="C3964" i="1"/>
  <c r="N3964" i="1"/>
  <c r="A3965" i="1"/>
  <c r="C3965" i="1"/>
  <c r="N3965" i="1"/>
  <c r="A3966" i="1"/>
  <c r="C3966" i="1"/>
  <c r="N3966" i="1"/>
  <c r="A3967" i="1"/>
  <c r="C3967" i="1"/>
  <c r="N3967" i="1"/>
  <c r="A3968" i="1"/>
  <c r="C3968" i="1"/>
  <c r="N3968" i="1"/>
  <c r="A3969" i="1"/>
  <c r="C3969" i="1"/>
  <c r="N3969" i="1"/>
  <c r="A3970" i="1"/>
  <c r="C3970" i="1"/>
  <c r="N3970" i="1"/>
  <c r="A3971" i="1"/>
  <c r="C3971" i="1"/>
  <c r="N3971" i="1"/>
  <c r="A3972" i="1"/>
  <c r="C3972" i="1"/>
  <c r="N3972" i="1"/>
  <c r="A3973" i="1"/>
  <c r="C3973" i="1"/>
  <c r="F3973" i="1"/>
  <c r="N3973" i="1"/>
  <c r="A3974" i="1"/>
  <c r="C3974" i="1"/>
  <c r="F3974" i="1"/>
  <c r="N3974" i="1"/>
  <c r="A3975" i="1"/>
  <c r="C3975" i="1"/>
  <c r="N3975" i="1"/>
  <c r="A3976" i="1"/>
  <c r="C3976" i="1"/>
  <c r="N3976" i="1"/>
  <c r="A3977" i="1"/>
  <c r="C3977" i="1"/>
  <c r="N3977" i="1"/>
  <c r="A3978" i="1"/>
  <c r="C3978" i="1"/>
  <c r="N3978" i="1"/>
  <c r="A3979" i="1"/>
  <c r="C3979" i="1"/>
  <c r="N3979" i="1"/>
  <c r="A3980" i="1"/>
  <c r="C3980" i="1"/>
  <c r="N3980" i="1"/>
  <c r="A3981" i="1"/>
  <c r="C3981" i="1"/>
  <c r="N3981" i="1"/>
  <c r="A3982" i="1"/>
  <c r="C3982" i="1"/>
  <c r="N3982" i="1"/>
  <c r="A3983" i="1"/>
  <c r="C3983" i="1"/>
  <c r="N3983" i="1"/>
  <c r="A3984" i="1"/>
  <c r="C3984" i="1"/>
  <c r="N3984" i="1"/>
  <c r="A3985" i="1"/>
  <c r="C3985" i="1"/>
  <c r="N3985" i="1"/>
  <c r="A3986" i="1"/>
  <c r="C3986" i="1"/>
  <c r="N3986" i="1"/>
  <c r="A3987" i="1"/>
  <c r="C3987" i="1"/>
  <c r="N3987" i="1"/>
  <c r="A3988" i="1"/>
  <c r="C3988" i="1"/>
  <c r="N3988" i="1"/>
  <c r="A3989" i="1"/>
  <c r="C3989" i="1"/>
  <c r="N3989" i="1"/>
  <c r="A3990" i="1"/>
  <c r="C3990" i="1"/>
  <c r="N3990" i="1"/>
  <c r="A3991" i="1"/>
  <c r="C3991" i="1"/>
  <c r="N3991" i="1"/>
  <c r="A3992" i="1"/>
  <c r="C3992" i="1"/>
  <c r="N3992" i="1"/>
  <c r="A3993" i="1"/>
  <c r="C3993" i="1"/>
  <c r="N3993" i="1"/>
  <c r="A3994" i="1"/>
  <c r="C3994" i="1"/>
  <c r="N3994" i="1"/>
  <c r="A3995" i="1"/>
  <c r="C3995" i="1"/>
  <c r="N3995" i="1"/>
  <c r="A3996" i="1"/>
  <c r="C3996" i="1"/>
  <c r="N3996" i="1"/>
  <c r="A3997" i="1"/>
  <c r="C3997" i="1"/>
  <c r="N3997" i="1"/>
  <c r="A3998" i="1"/>
  <c r="C3998" i="1"/>
  <c r="N3998" i="1"/>
  <c r="A3999" i="1"/>
  <c r="C3999" i="1"/>
  <c r="N3999" i="1"/>
  <c r="A4000" i="1"/>
  <c r="C4000" i="1"/>
  <c r="N4000" i="1"/>
  <c r="A4001" i="1"/>
  <c r="C4001" i="1"/>
  <c r="N4001" i="1"/>
  <c r="A4002" i="1"/>
  <c r="C4002" i="1"/>
  <c r="N4002" i="1"/>
  <c r="A4003" i="1"/>
  <c r="C4003" i="1"/>
  <c r="N4003" i="1"/>
  <c r="A4004" i="1"/>
  <c r="C4004" i="1"/>
  <c r="N4004" i="1"/>
  <c r="A4005" i="1"/>
  <c r="C4005" i="1"/>
  <c r="N4005" i="1"/>
  <c r="A4006" i="1"/>
  <c r="C4006" i="1"/>
  <c r="N4006" i="1"/>
  <c r="A4007" i="1"/>
  <c r="C4007" i="1"/>
  <c r="N4007" i="1"/>
  <c r="A4008" i="1"/>
  <c r="C4008" i="1"/>
  <c r="N4008" i="1"/>
  <c r="A4009" i="1"/>
  <c r="C4009" i="1"/>
  <c r="N4009" i="1"/>
  <c r="A4010" i="1"/>
  <c r="C4010" i="1"/>
  <c r="N4010" i="1"/>
  <c r="A4011" i="1"/>
  <c r="C4011" i="1"/>
  <c r="N4011" i="1"/>
  <c r="A4012" i="1"/>
  <c r="C4012" i="1"/>
  <c r="N4012" i="1"/>
  <c r="A4013" i="1"/>
  <c r="C4013" i="1"/>
  <c r="N4013" i="1"/>
  <c r="A4014" i="1"/>
  <c r="C4014" i="1"/>
  <c r="N4014" i="1"/>
  <c r="A4015" i="1"/>
  <c r="C4015" i="1"/>
  <c r="N4015" i="1"/>
  <c r="A4016" i="1"/>
  <c r="C4016" i="1"/>
  <c r="N4016" i="1"/>
  <c r="A4017" i="1"/>
  <c r="C4017" i="1"/>
  <c r="N4017" i="1"/>
  <c r="A4018" i="1"/>
  <c r="C4018" i="1"/>
  <c r="N4018" i="1"/>
  <c r="A4019" i="1"/>
  <c r="C4019" i="1"/>
  <c r="N4019" i="1"/>
  <c r="A4020" i="1"/>
  <c r="C4020" i="1"/>
  <c r="N4020" i="1"/>
  <c r="A4021" i="1"/>
  <c r="C4021" i="1"/>
  <c r="N4021" i="1"/>
  <c r="A4022" i="1"/>
  <c r="C4022" i="1"/>
  <c r="N4022" i="1"/>
  <c r="A4023" i="1"/>
  <c r="C4023" i="1"/>
  <c r="N4023" i="1"/>
  <c r="A4024" i="1"/>
  <c r="C4024" i="1"/>
  <c r="N4024" i="1"/>
  <c r="A4025" i="1"/>
  <c r="C4025" i="1"/>
  <c r="N4025" i="1"/>
  <c r="A4026" i="1"/>
  <c r="C4026" i="1"/>
  <c r="N4026" i="1"/>
  <c r="A4027" i="1"/>
  <c r="C4027" i="1"/>
  <c r="N4027" i="1"/>
  <c r="A4028" i="1"/>
  <c r="C4028" i="1"/>
  <c r="N4028" i="1"/>
  <c r="A4029" i="1"/>
  <c r="C4029" i="1"/>
  <c r="N4029" i="1"/>
  <c r="A4030" i="1"/>
  <c r="C4030" i="1"/>
  <c r="N4030" i="1"/>
  <c r="A4031" i="1"/>
  <c r="C4031" i="1"/>
  <c r="N4031" i="1"/>
  <c r="A4032" i="1"/>
  <c r="C4032" i="1"/>
  <c r="N4032" i="1"/>
  <c r="A4033" i="1"/>
  <c r="C4033" i="1"/>
  <c r="N4033" i="1"/>
  <c r="A4034" i="1"/>
  <c r="C4034" i="1"/>
  <c r="N4034" i="1"/>
  <c r="A4035" i="1"/>
  <c r="C4035" i="1"/>
  <c r="N4035" i="1"/>
  <c r="A4036" i="1"/>
  <c r="C4036" i="1"/>
  <c r="N4036" i="1"/>
  <c r="A4037" i="1"/>
  <c r="C4037" i="1"/>
  <c r="N4037" i="1"/>
  <c r="A4038" i="1"/>
  <c r="C4038" i="1"/>
  <c r="N4038" i="1"/>
  <c r="A4039" i="1"/>
  <c r="C4039" i="1"/>
  <c r="N4039" i="1"/>
  <c r="A4040" i="1"/>
  <c r="C4040" i="1"/>
  <c r="N4040" i="1"/>
  <c r="A4041" i="1"/>
  <c r="C4041" i="1"/>
  <c r="N4041" i="1"/>
  <c r="A4042" i="1"/>
  <c r="C4042" i="1"/>
  <c r="N4042" i="1"/>
  <c r="A4043" i="1"/>
  <c r="C4043" i="1"/>
  <c r="N4043" i="1"/>
  <c r="A4044" i="1"/>
  <c r="C4044" i="1"/>
  <c r="N4044" i="1"/>
  <c r="A4045" i="1"/>
  <c r="C4045" i="1"/>
  <c r="N4045" i="1"/>
  <c r="A4046" i="1"/>
  <c r="C4046" i="1"/>
  <c r="N4046" i="1"/>
  <c r="A4047" i="1"/>
  <c r="C4047" i="1"/>
  <c r="N4047" i="1"/>
  <c r="A4048" i="1"/>
  <c r="C4048" i="1"/>
  <c r="N4048" i="1"/>
  <c r="A4049" i="1"/>
  <c r="C4049" i="1"/>
  <c r="N4049" i="1"/>
  <c r="A4050" i="1"/>
  <c r="C4050" i="1"/>
  <c r="N4050" i="1"/>
  <c r="A4051" i="1"/>
  <c r="C4051" i="1"/>
  <c r="N4051" i="1"/>
  <c r="A4052" i="1"/>
  <c r="C4052" i="1"/>
  <c r="N4052" i="1"/>
  <c r="A4053" i="1"/>
  <c r="C4053" i="1"/>
  <c r="N4053" i="1"/>
  <c r="A4054" i="1"/>
  <c r="C4054" i="1"/>
  <c r="N4054" i="1"/>
  <c r="A4055" i="1"/>
  <c r="C4055" i="1"/>
  <c r="N4055" i="1"/>
  <c r="A4056" i="1"/>
  <c r="C4056" i="1"/>
  <c r="N4056" i="1"/>
  <c r="A4057" i="1"/>
  <c r="C4057" i="1"/>
  <c r="N4057" i="1"/>
  <c r="A4058" i="1"/>
  <c r="C4058" i="1"/>
  <c r="N4058" i="1"/>
  <c r="A4059" i="1"/>
  <c r="C4059" i="1"/>
  <c r="N4059" i="1"/>
  <c r="A4060" i="1"/>
  <c r="C4060" i="1"/>
  <c r="N4060" i="1"/>
  <c r="A4061" i="1"/>
  <c r="C4061" i="1"/>
  <c r="N4061" i="1"/>
  <c r="A4062" i="1"/>
  <c r="C4062" i="1"/>
  <c r="N4062" i="1"/>
  <c r="A4063" i="1"/>
  <c r="C4063" i="1"/>
  <c r="N4063" i="1"/>
  <c r="A4064" i="1"/>
  <c r="C4064" i="1"/>
  <c r="N4064" i="1"/>
  <c r="A4065" i="1"/>
  <c r="C4065" i="1"/>
  <c r="N4065" i="1"/>
  <c r="A4066" i="1"/>
  <c r="C4066" i="1"/>
  <c r="N4066" i="1"/>
  <c r="A4067" i="1"/>
  <c r="C4067" i="1"/>
  <c r="N4067" i="1"/>
  <c r="A4068" i="1"/>
  <c r="C4068" i="1"/>
  <c r="N4068" i="1"/>
  <c r="A4069" i="1"/>
  <c r="C4069" i="1"/>
  <c r="N4069" i="1"/>
  <c r="A4070" i="1"/>
  <c r="C4070" i="1"/>
  <c r="N4070" i="1"/>
  <c r="A4071" i="1"/>
  <c r="C4071" i="1"/>
  <c r="N4071" i="1"/>
  <c r="A4072" i="1"/>
  <c r="C4072" i="1"/>
  <c r="N4072" i="1"/>
  <c r="A4073" i="1"/>
  <c r="C4073" i="1"/>
  <c r="N4073" i="1"/>
  <c r="A4074" i="1"/>
  <c r="C4074" i="1"/>
  <c r="N4074" i="1"/>
  <c r="A4075" i="1"/>
  <c r="C4075" i="1"/>
  <c r="N4075" i="1"/>
  <c r="A4076" i="1"/>
  <c r="C4076" i="1"/>
  <c r="N4076" i="1"/>
  <c r="A4077" i="1"/>
  <c r="C4077" i="1"/>
  <c r="N4077" i="1"/>
  <c r="A4078" i="1"/>
  <c r="C4078" i="1"/>
  <c r="N4078" i="1"/>
  <c r="A4079" i="1"/>
  <c r="C4079" i="1"/>
  <c r="N4079" i="1"/>
  <c r="A4080" i="1"/>
  <c r="C4080" i="1"/>
  <c r="F4080" i="1"/>
  <c r="N4080" i="1"/>
  <c r="A4081" i="1"/>
  <c r="C4081" i="1"/>
  <c r="N4081" i="1"/>
  <c r="A4082" i="1"/>
  <c r="C4082" i="1"/>
  <c r="N4082" i="1"/>
  <c r="A4083" i="1"/>
  <c r="C4083" i="1"/>
  <c r="N4083" i="1"/>
  <c r="A4084" i="1"/>
  <c r="C4084" i="1"/>
  <c r="N4084" i="1"/>
  <c r="A4085" i="1"/>
  <c r="C4085" i="1"/>
  <c r="N4085" i="1"/>
  <c r="A4086" i="1"/>
  <c r="C4086" i="1"/>
  <c r="N4086" i="1"/>
  <c r="A4087" i="1"/>
  <c r="C4087" i="1"/>
  <c r="N4087" i="1"/>
  <c r="A4088" i="1"/>
  <c r="C4088" i="1"/>
  <c r="N4088" i="1"/>
  <c r="A4089" i="1"/>
  <c r="C4089" i="1"/>
  <c r="N4089" i="1"/>
  <c r="A4090" i="1"/>
  <c r="C4090" i="1"/>
  <c r="F4090" i="1"/>
  <c r="N4090" i="1"/>
  <c r="A4091" i="1"/>
  <c r="C4091" i="1"/>
  <c r="N4091" i="1"/>
  <c r="A4092" i="1"/>
  <c r="C4092" i="1"/>
  <c r="N4092" i="1"/>
  <c r="A4093" i="1"/>
  <c r="C4093" i="1"/>
  <c r="N4093" i="1"/>
  <c r="A4094" i="1"/>
  <c r="C4094" i="1"/>
  <c r="N4094" i="1"/>
  <c r="A4095" i="1"/>
  <c r="C4095" i="1"/>
  <c r="N4095" i="1"/>
  <c r="A4096" i="1"/>
  <c r="C4096" i="1"/>
  <c r="N4096" i="1"/>
  <c r="A4097" i="1"/>
  <c r="C4097" i="1"/>
  <c r="N4097" i="1"/>
  <c r="A4098" i="1"/>
  <c r="C4098" i="1"/>
  <c r="N4098" i="1"/>
  <c r="A4099" i="1"/>
  <c r="C4099" i="1"/>
  <c r="N4099" i="1"/>
  <c r="A4100" i="1"/>
  <c r="C4100" i="1"/>
  <c r="N4100" i="1"/>
  <c r="A4101" i="1"/>
  <c r="C4101" i="1"/>
  <c r="N4101" i="1"/>
  <c r="A4102" i="1"/>
  <c r="C4102" i="1"/>
  <c r="N4102" i="1"/>
  <c r="A4103" i="1"/>
  <c r="C4103" i="1"/>
  <c r="N4103" i="1"/>
  <c r="A4104" i="1"/>
  <c r="C4104" i="1"/>
  <c r="N4104" i="1"/>
  <c r="A4105" i="1"/>
  <c r="C4105" i="1"/>
  <c r="F4105" i="1"/>
  <c r="N4105" i="1"/>
  <c r="A4106" i="1"/>
  <c r="C4106" i="1"/>
  <c r="N4106" i="1"/>
  <c r="A4107" i="1"/>
  <c r="C4107" i="1"/>
  <c r="N4107" i="1"/>
  <c r="A4108" i="1"/>
  <c r="C4108" i="1"/>
  <c r="N4108" i="1"/>
  <c r="A4109" i="1"/>
  <c r="C4109" i="1"/>
  <c r="N4109" i="1"/>
  <c r="A4110" i="1"/>
  <c r="C4110" i="1"/>
  <c r="N4110" i="1"/>
  <c r="A4111" i="1"/>
  <c r="C4111" i="1"/>
  <c r="N4111" i="1"/>
  <c r="A4112" i="1"/>
  <c r="C4112" i="1"/>
  <c r="N4112" i="1"/>
  <c r="A4113" i="1"/>
  <c r="C4113" i="1"/>
  <c r="N4113" i="1"/>
  <c r="A4114" i="1"/>
  <c r="C4114" i="1"/>
  <c r="N4114" i="1"/>
  <c r="A4115" i="1"/>
  <c r="C4115" i="1"/>
  <c r="N4115" i="1"/>
  <c r="A4116" i="1"/>
  <c r="C4116" i="1"/>
  <c r="N4116" i="1"/>
  <c r="A4117" i="1"/>
  <c r="C4117" i="1"/>
  <c r="N4117" i="1"/>
  <c r="A4118" i="1"/>
  <c r="C4118" i="1"/>
  <c r="N4118" i="1"/>
  <c r="A4119" i="1"/>
  <c r="C4119" i="1"/>
  <c r="N4119" i="1"/>
  <c r="A4120" i="1"/>
  <c r="C4120" i="1"/>
  <c r="N4120" i="1"/>
  <c r="A4121" i="1"/>
  <c r="C4121" i="1"/>
  <c r="N4121" i="1"/>
  <c r="A4122" i="1"/>
  <c r="C4122" i="1"/>
  <c r="N4122" i="1"/>
  <c r="A4123" i="1"/>
  <c r="C4123" i="1"/>
  <c r="N4123" i="1"/>
  <c r="A4124" i="1"/>
  <c r="C4124" i="1"/>
  <c r="N4124" i="1"/>
  <c r="A4125" i="1"/>
  <c r="C4125" i="1"/>
  <c r="N4125" i="1"/>
  <c r="A4126" i="1"/>
  <c r="C4126" i="1"/>
  <c r="N4126" i="1"/>
  <c r="A4127" i="1"/>
  <c r="C4127" i="1"/>
  <c r="N4127" i="1"/>
  <c r="A4128" i="1"/>
  <c r="C4128" i="1"/>
  <c r="N4128" i="1"/>
  <c r="A4129" i="1"/>
  <c r="C4129" i="1"/>
  <c r="N4129" i="1"/>
  <c r="A4130" i="1"/>
  <c r="C4130" i="1"/>
  <c r="N4130" i="1"/>
  <c r="A4131" i="1"/>
  <c r="C4131" i="1"/>
  <c r="N4131" i="1"/>
  <c r="A4132" i="1"/>
  <c r="C4132" i="1"/>
  <c r="N4132" i="1"/>
  <c r="A4133" i="1"/>
  <c r="C4133" i="1"/>
  <c r="N4133" i="1"/>
  <c r="A4134" i="1"/>
  <c r="C4134" i="1"/>
  <c r="N4134" i="1"/>
  <c r="A4135" i="1"/>
  <c r="C4135" i="1"/>
  <c r="N4135" i="1"/>
  <c r="A4136" i="1"/>
  <c r="C4136" i="1"/>
  <c r="N4136" i="1"/>
  <c r="A4137" i="1"/>
  <c r="C4137" i="1"/>
  <c r="N4137" i="1"/>
  <c r="A4138" i="1"/>
  <c r="C4138" i="1"/>
  <c r="N4138" i="1"/>
  <c r="A4139" i="1"/>
  <c r="C4139" i="1"/>
  <c r="N4139" i="1"/>
  <c r="A4140" i="1"/>
  <c r="C4140" i="1"/>
  <c r="N4140" i="1"/>
  <c r="A4141" i="1"/>
  <c r="C4141" i="1"/>
  <c r="N4141" i="1"/>
  <c r="A4142" i="1"/>
  <c r="C4142" i="1"/>
  <c r="N4142" i="1"/>
  <c r="A4143" i="1"/>
  <c r="C4143" i="1"/>
  <c r="N4143" i="1"/>
  <c r="A4144" i="1"/>
  <c r="C4144" i="1"/>
  <c r="N4144" i="1"/>
  <c r="A4145" i="1"/>
  <c r="C4145" i="1"/>
  <c r="N4145" i="1"/>
  <c r="A4146" i="1"/>
  <c r="C4146" i="1"/>
  <c r="N4146" i="1"/>
  <c r="A4147" i="1"/>
  <c r="C4147" i="1"/>
  <c r="N4147" i="1"/>
  <c r="A4148" i="1"/>
  <c r="C4148" i="1"/>
  <c r="N4148" i="1"/>
  <c r="A4149" i="1"/>
  <c r="C4149" i="1"/>
  <c r="N4149" i="1"/>
  <c r="A4150" i="1"/>
  <c r="C4150" i="1"/>
  <c r="N4150" i="1"/>
  <c r="A4151" i="1"/>
  <c r="C4151" i="1"/>
  <c r="N4151" i="1"/>
  <c r="A4152" i="1"/>
  <c r="C4152" i="1"/>
  <c r="N4152" i="1"/>
  <c r="A4153" i="1"/>
  <c r="C4153" i="1"/>
  <c r="N4153" i="1"/>
  <c r="A4154" i="1"/>
  <c r="C4154" i="1"/>
  <c r="N4154" i="1"/>
  <c r="A4155" i="1"/>
  <c r="C4155" i="1"/>
  <c r="N4155" i="1"/>
  <c r="A4156" i="1"/>
  <c r="C4156" i="1"/>
  <c r="N4156" i="1"/>
  <c r="A4157" i="1"/>
  <c r="C4157" i="1"/>
  <c r="N4157" i="1"/>
  <c r="A4158" i="1"/>
  <c r="C4158" i="1"/>
  <c r="N4158" i="1"/>
  <c r="A4159" i="1"/>
  <c r="C4159" i="1"/>
  <c r="N4159" i="1"/>
  <c r="A4160" i="1"/>
  <c r="C4160" i="1"/>
  <c r="N4160" i="1"/>
  <c r="A4161" i="1"/>
  <c r="C4161" i="1"/>
  <c r="N4161" i="1"/>
  <c r="A4162" i="1"/>
  <c r="C4162" i="1"/>
  <c r="N4162" i="1"/>
  <c r="A4163" i="1"/>
  <c r="C4163" i="1"/>
  <c r="N4163" i="1"/>
  <c r="A4164" i="1"/>
  <c r="C4164" i="1"/>
  <c r="N4164" i="1"/>
  <c r="A4165" i="1"/>
  <c r="C4165" i="1"/>
  <c r="N4165" i="1"/>
  <c r="A4166" i="1"/>
  <c r="C4166" i="1"/>
  <c r="N4166" i="1"/>
  <c r="A4167" i="1"/>
  <c r="C4167" i="1"/>
  <c r="N4167" i="1"/>
  <c r="A4168" i="1"/>
  <c r="C4168" i="1"/>
  <c r="N4168" i="1"/>
  <c r="A4169" i="1"/>
  <c r="C4169" i="1"/>
  <c r="N4169" i="1"/>
  <c r="A4170" i="1"/>
  <c r="C4170" i="1"/>
  <c r="N4170" i="1"/>
  <c r="A4171" i="1"/>
  <c r="C4171" i="1"/>
  <c r="N4171" i="1"/>
  <c r="A4172" i="1"/>
  <c r="C4172" i="1"/>
  <c r="N4172" i="1"/>
  <c r="A4173" i="1"/>
  <c r="C4173" i="1"/>
  <c r="N4173" i="1"/>
  <c r="A4174" i="1"/>
  <c r="C4174" i="1"/>
  <c r="N4174" i="1"/>
  <c r="A4175" i="1"/>
  <c r="C4175" i="1"/>
  <c r="N4175" i="1"/>
  <c r="A4176" i="1"/>
  <c r="C4176" i="1"/>
  <c r="N4176" i="1"/>
  <c r="A4177" i="1"/>
  <c r="C4177" i="1"/>
  <c r="N4177" i="1"/>
  <c r="A4178" i="1"/>
  <c r="C4178" i="1"/>
  <c r="N4178" i="1"/>
  <c r="A4179" i="1"/>
  <c r="C4179" i="1"/>
  <c r="N4179" i="1"/>
  <c r="A4180" i="1"/>
  <c r="C4180" i="1"/>
  <c r="N4180" i="1"/>
  <c r="A4181" i="1"/>
  <c r="C4181" i="1"/>
  <c r="N4181" i="1"/>
  <c r="A4182" i="1"/>
  <c r="C4182" i="1"/>
  <c r="N4182" i="1"/>
  <c r="A4183" i="1"/>
  <c r="C4183" i="1"/>
  <c r="N4183" i="1"/>
  <c r="A4184" i="1"/>
  <c r="C4184" i="1"/>
  <c r="N4184" i="1"/>
  <c r="A4185" i="1"/>
  <c r="C4185" i="1"/>
  <c r="N4185" i="1"/>
  <c r="A4186" i="1"/>
  <c r="C4186" i="1"/>
  <c r="N4186" i="1"/>
  <c r="A4187" i="1"/>
  <c r="C4187" i="1"/>
  <c r="N4187" i="1"/>
  <c r="A4188" i="1"/>
  <c r="C4188" i="1"/>
  <c r="N4188" i="1"/>
  <c r="A4189" i="1"/>
  <c r="C4189" i="1"/>
  <c r="N4189" i="1"/>
  <c r="A4190" i="1"/>
  <c r="C4190" i="1"/>
  <c r="N4190" i="1"/>
  <c r="A4191" i="1"/>
  <c r="C4191" i="1"/>
  <c r="N4191" i="1"/>
  <c r="A4192" i="1"/>
  <c r="C4192" i="1"/>
  <c r="N4192" i="1"/>
  <c r="A4193" i="1"/>
  <c r="C4193" i="1"/>
  <c r="N4193" i="1"/>
  <c r="A4194" i="1"/>
  <c r="C4194" i="1"/>
  <c r="N4194" i="1"/>
  <c r="A4195" i="1"/>
  <c r="C4195" i="1"/>
  <c r="N4195" i="1"/>
  <c r="A4196" i="1"/>
  <c r="C4196" i="1"/>
  <c r="N4196" i="1"/>
  <c r="A4197" i="1"/>
  <c r="C4197" i="1"/>
  <c r="N4197" i="1"/>
  <c r="A4198" i="1"/>
  <c r="C4198" i="1"/>
  <c r="N4198" i="1"/>
  <c r="A4199" i="1"/>
  <c r="C4199" i="1"/>
  <c r="N4199" i="1"/>
  <c r="A4200" i="1"/>
  <c r="C4200" i="1"/>
  <c r="N4200" i="1"/>
  <c r="A4201" i="1"/>
  <c r="C4201" i="1"/>
  <c r="N4201" i="1"/>
  <c r="A4202" i="1"/>
  <c r="C4202" i="1"/>
  <c r="N4202" i="1"/>
  <c r="A4203" i="1"/>
  <c r="C4203" i="1"/>
  <c r="N4203" i="1"/>
  <c r="A4204" i="1"/>
  <c r="C4204" i="1"/>
  <c r="N4204" i="1"/>
  <c r="A4205" i="1"/>
  <c r="C4205" i="1"/>
  <c r="N4205" i="1"/>
  <c r="A4206" i="1"/>
  <c r="C4206" i="1"/>
  <c r="N4206" i="1"/>
  <c r="A4207" i="1"/>
  <c r="C4207" i="1"/>
  <c r="N4207" i="1"/>
  <c r="A4208" i="1"/>
  <c r="C4208" i="1"/>
  <c r="N4208" i="1"/>
  <c r="A4209" i="1"/>
  <c r="C4209" i="1"/>
  <c r="N4209" i="1"/>
  <c r="A4210" i="1"/>
  <c r="C4210" i="1"/>
  <c r="N4210" i="1"/>
  <c r="A4211" i="1"/>
  <c r="C4211" i="1"/>
  <c r="N4211" i="1"/>
  <c r="A4212" i="1"/>
  <c r="C4212" i="1"/>
  <c r="N4212" i="1"/>
  <c r="A4213" i="1"/>
  <c r="C4213" i="1"/>
  <c r="N4213" i="1"/>
  <c r="A4214" i="1"/>
  <c r="C4214" i="1"/>
  <c r="N4214" i="1"/>
  <c r="A4215" i="1"/>
  <c r="C4215" i="1"/>
  <c r="N4215" i="1"/>
  <c r="A4216" i="1"/>
  <c r="C4216" i="1"/>
  <c r="N4216" i="1"/>
  <c r="A4217" i="1"/>
  <c r="C4217" i="1"/>
  <c r="N4217" i="1"/>
  <c r="A4218" i="1"/>
  <c r="C4218" i="1"/>
  <c r="N4218" i="1"/>
  <c r="A4219" i="1"/>
  <c r="C4219" i="1"/>
  <c r="N4219" i="1"/>
  <c r="A4220" i="1"/>
  <c r="C4220" i="1"/>
  <c r="N4220" i="1"/>
  <c r="A4221" i="1"/>
  <c r="C4221" i="1"/>
  <c r="N4221" i="1"/>
  <c r="A4222" i="1"/>
  <c r="C4222" i="1"/>
  <c r="N4222" i="1"/>
  <c r="A4223" i="1"/>
  <c r="C4223" i="1"/>
  <c r="N4223" i="1"/>
  <c r="A4224" i="1"/>
  <c r="C4224" i="1"/>
  <c r="N4224" i="1"/>
  <c r="A4225" i="1"/>
  <c r="C4225" i="1"/>
  <c r="N4225" i="1"/>
  <c r="A4226" i="1"/>
  <c r="C4226" i="1"/>
  <c r="N4226" i="1"/>
  <c r="A4227" i="1"/>
  <c r="C4227" i="1"/>
  <c r="N4227" i="1"/>
  <c r="A4228" i="1"/>
  <c r="C4228" i="1"/>
  <c r="N4228" i="1"/>
  <c r="A4229" i="1"/>
  <c r="C4229" i="1"/>
  <c r="N4229" i="1"/>
  <c r="A4230" i="1"/>
  <c r="C4230" i="1"/>
  <c r="N4230" i="1"/>
  <c r="A4231" i="1"/>
  <c r="C4231" i="1"/>
  <c r="N4231" i="1"/>
  <c r="A4232" i="1"/>
  <c r="C4232" i="1"/>
  <c r="N4232" i="1"/>
  <c r="A4233" i="1"/>
  <c r="C4233" i="1"/>
  <c r="N4233" i="1"/>
  <c r="A4234" i="1"/>
  <c r="C4234" i="1"/>
  <c r="N4234" i="1"/>
  <c r="A4235" i="1"/>
  <c r="C4235" i="1"/>
  <c r="N4235" i="1"/>
  <c r="A4236" i="1"/>
  <c r="C4236" i="1"/>
  <c r="N4236" i="1"/>
  <c r="A4237" i="1"/>
  <c r="C4237" i="1"/>
  <c r="N4237" i="1"/>
  <c r="A4238" i="1"/>
  <c r="C4238" i="1"/>
  <c r="N4238" i="1"/>
  <c r="A4239" i="1"/>
  <c r="C4239" i="1"/>
  <c r="N4239" i="1"/>
  <c r="A4240" i="1"/>
  <c r="C4240" i="1"/>
  <c r="N4240" i="1"/>
  <c r="A4241" i="1"/>
  <c r="C4241" i="1"/>
  <c r="N4241" i="1"/>
  <c r="A4242" i="1"/>
  <c r="C4242" i="1"/>
  <c r="N4242" i="1"/>
  <c r="A4243" i="1"/>
  <c r="C4243" i="1"/>
  <c r="N4243" i="1"/>
  <c r="A4244" i="1"/>
  <c r="C4244" i="1"/>
  <c r="N4244" i="1"/>
  <c r="A4245" i="1"/>
  <c r="C4245" i="1"/>
  <c r="N4245" i="1"/>
  <c r="A4246" i="1"/>
  <c r="C4246" i="1"/>
  <c r="N4246" i="1"/>
  <c r="A4247" i="1"/>
  <c r="C4247" i="1"/>
  <c r="N4247" i="1"/>
  <c r="A4248" i="1"/>
  <c r="C4248" i="1"/>
  <c r="N4248" i="1"/>
  <c r="A4249" i="1"/>
  <c r="C4249" i="1"/>
  <c r="N4249" i="1"/>
  <c r="A4250" i="1"/>
  <c r="C4250" i="1"/>
  <c r="N4250" i="1"/>
  <c r="A4251" i="1"/>
  <c r="C4251" i="1"/>
  <c r="N4251" i="1"/>
  <c r="A4252" i="1"/>
  <c r="C4252" i="1"/>
  <c r="N4252" i="1"/>
  <c r="A4253" i="1"/>
  <c r="C4253" i="1"/>
  <c r="N4253" i="1"/>
  <c r="A4254" i="1"/>
  <c r="C4254" i="1"/>
  <c r="N4254" i="1"/>
  <c r="A4255" i="1"/>
  <c r="C4255" i="1"/>
  <c r="N4255" i="1"/>
  <c r="A4256" i="1"/>
  <c r="C4256" i="1"/>
  <c r="N4256" i="1"/>
  <c r="A4257" i="1"/>
  <c r="C4257" i="1"/>
  <c r="N4257" i="1"/>
  <c r="A4258" i="1"/>
  <c r="C4258" i="1"/>
  <c r="N4258" i="1"/>
  <c r="A4259" i="1"/>
  <c r="C4259" i="1"/>
  <c r="N4259" i="1"/>
  <c r="A4260" i="1"/>
  <c r="C4260" i="1"/>
  <c r="N4260" i="1"/>
  <c r="A4261" i="1"/>
  <c r="C4261" i="1"/>
  <c r="F4261" i="1"/>
  <c r="N4261" i="1"/>
  <c r="A4262" i="1"/>
  <c r="C4262" i="1"/>
  <c r="N4262" i="1"/>
  <c r="A4263" i="1"/>
  <c r="C4263" i="1"/>
  <c r="N4263" i="1"/>
  <c r="A4264" i="1"/>
  <c r="C4264" i="1"/>
  <c r="N4264" i="1"/>
  <c r="A4265" i="1"/>
  <c r="C4265" i="1"/>
  <c r="N4265" i="1"/>
  <c r="A4266" i="1"/>
  <c r="C4266" i="1"/>
  <c r="N4266" i="1"/>
  <c r="A4267" i="1"/>
  <c r="C4267" i="1"/>
  <c r="N4267" i="1"/>
  <c r="A4268" i="1"/>
  <c r="C4268" i="1"/>
  <c r="N4268" i="1"/>
  <c r="A4269" i="1"/>
  <c r="C4269" i="1"/>
  <c r="N4269" i="1"/>
  <c r="A4270" i="1"/>
  <c r="C4270" i="1"/>
  <c r="N4270" i="1"/>
  <c r="A4271" i="1"/>
  <c r="C4271" i="1"/>
  <c r="N4271" i="1"/>
  <c r="A4272" i="1"/>
  <c r="C4272" i="1"/>
  <c r="N4272" i="1"/>
  <c r="A4273" i="1"/>
  <c r="C4273" i="1"/>
  <c r="N4273" i="1"/>
  <c r="A4274" i="1"/>
  <c r="C4274" i="1"/>
  <c r="N4274" i="1"/>
  <c r="A4275" i="1"/>
  <c r="C4275" i="1"/>
  <c r="N4275" i="1"/>
  <c r="A4276" i="1"/>
  <c r="C4276" i="1"/>
  <c r="N4276" i="1"/>
  <c r="A4277" i="1"/>
  <c r="C4277" i="1"/>
  <c r="N4277" i="1"/>
  <c r="A4278" i="1"/>
  <c r="C4278" i="1"/>
  <c r="N4278" i="1"/>
  <c r="A4279" i="1"/>
  <c r="C4279" i="1"/>
  <c r="N4279" i="1"/>
  <c r="A4280" i="1"/>
  <c r="C4280" i="1"/>
  <c r="N4280" i="1"/>
  <c r="A4281" i="1"/>
  <c r="C4281" i="1"/>
  <c r="N4281" i="1"/>
  <c r="A4282" i="1"/>
  <c r="C4282" i="1"/>
  <c r="N4282" i="1"/>
  <c r="A4283" i="1"/>
  <c r="C4283" i="1"/>
  <c r="N4283" i="1"/>
  <c r="A4284" i="1"/>
  <c r="C4284" i="1"/>
  <c r="N4284" i="1"/>
  <c r="A4285" i="1"/>
  <c r="C4285" i="1"/>
  <c r="N4285" i="1"/>
  <c r="A4286" i="1"/>
  <c r="C4286" i="1"/>
  <c r="N4286" i="1"/>
  <c r="A4287" i="1"/>
  <c r="C4287" i="1"/>
  <c r="N4287" i="1"/>
  <c r="A4288" i="1"/>
  <c r="C4288" i="1"/>
  <c r="N4288" i="1"/>
  <c r="A4289" i="1"/>
  <c r="C4289" i="1"/>
  <c r="N4289" i="1"/>
  <c r="A4290" i="1"/>
  <c r="C4290" i="1"/>
  <c r="N4290" i="1"/>
  <c r="A4291" i="1"/>
  <c r="C4291" i="1"/>
  <c r="N4291" i="1"/>
  <c r="A4292" i="1"/>
  <c r="C4292" i="1"/>
  <c r="N4292" i="1"/>
  <c r="A4293" i="1"/>
  <c r="C4293" i="1"/>
  <c r="N4293" i="1"/>
  <c r="A4294" i="1"/>
  <c r="C4294" i="1"/>
  <c r="N4294" i="1"/>
  <c r="A4295" i="1"/>
  <c r="C4295" i="1"/>
  <c r="N4295" i="1"/>
  <c r="A4296" i="1"/>
  <c r="C4296" i="1"/>
  <c r="N4296" i="1"/>
  <c r="A4297" i="1"/>
  <c r="C4297" i="1"/>
  <c r="N4297" i="1"/>
  <c r="A4298" i="1"/>
  <c r="C4298" i="1"/>
  <c r="N4298" i="1"/>
  <c r="A4299" i="1"/>
  <c r="C4299" i="1"/>
  <c r="N4299" i="1"/>
  <c r="A4300" i="1"/>
  <c r="C4300" i="1"/>
  <c r="N4300" i="1"/>
  <c r="A4301" i="1"/>
  <c r="C4301" i="1"/>
  <c r="N4301" i="1"/>
  <c r="A4302" i="1"/>
  <c r="C4302" i="1"/>
  <c r="N4302" i="1"/>
  <c r="A4303" i="1"/>
  <c r="C4303" i="1"/>
  <c r="N4303" i="1"/>
  <c r="A4304" i="1"/>
  <c r="C4304" i="1"/>
  <c r="N4304" i="1"/>
  <c r="A4305" i="1"/>
  <c r="C4305" i="1"/>
  <c r="N4305" i="1"/>
  <c r="A4306" i="1"/>
  <c r="C4306" i="1"/>
  <c r="N4306" i="1"/>
  <c r="A4307" i="1"/>
  <c r="C4307" i="1"/>
  <c r="N4307" i="1"/>
  <c r="A4308" i="1"/>
  <c r="C4308" i="1"/>
  <c r="N4308" i="1"/>
  <c r="A4309" i="1"/>
  <c r="C4309" i="1"/>
  <c r="N4309" i="1"/>
  <c r="A4310" i="1"/>
  <c r="C4310" i="1"/>
  <c r="N4310" i="1"/>
  <c r="A4311" i="1"/>
  <c r="C4311" i="1"/>
  <c r="N4311" i="1"/>
  <c r="A4312" i="1"/>
  <c r="C4312" i="1"/>
  <c r="N4312" i="1"/>
  <c r="A4313" i="1"/>
  <c r="C4313" i="1"/>
  <c r="N4313" i="1"/>
  <c r="A4314" i="1"/>
  <c r="C4314" i="1"/>
  <c r="N4314" i="1"/>
  <c r="A4315" i="1"/>
  <c r="C4315" i="1"/>
  <c r="N4315" i="1"/>
  <c r="A4316" i="1"/>
  <c r="C4316" i="1"/>
  <c r="N4316" i="1"/>
  <c r="A4317" i="1"/>
  <c r="C4317" i="1"/>
  <c r="N4317" i="1"/>
  <c r="A4318" i="1"/>
  <c r="C4318" i="1"/>
  <c r="N4318" i="1"/>
  <c r="A4319" i="1"/>
  <c r="C4319" i="1"/>
  <c r="N4319" i="1"/>
  <c r="A4320" i="1"/>
  <c r="C4320" i="1"/>
  <c r="N4320" i="1"/>
  <c r="A4321" i="1"/>
  <c r="C4321" i="1"/>
  <c r="N4321" i="1"/>
  <c r="A4322" i="1"/>
  <c r="C4322" i="1"/>
  <c r="N4322" i="1"/>
  <c r="A4323" i="1"/>
  <c r="C4323" i="1"/>
  <c r="N4323" i="1"/>
  <c r="A4324" i="1"/>
  <c r="C4324" i="1"/>
  <c r="N4324" i="1"/>
  <c r="A4325" i="1"/>
  <c r="C4325" i="1"/>
  <c r="N4325" i="1"/>
  <c r="A4326" i="1"/>
  <c r="C4326" i="1"/>
  <c r="N4326" i="1"/>
  <c r="A4327" i="1"/>
  <c r="C4327" i="1"/>
  <c r="N4327" i="1"/>
  <c r="A4328" i="1"/>
  <c r="C4328" i="1"/>
  <c r="N4328" i="1"/>
  <c r="A4329" i="1"/>
  <c r="C4329" i="1"/>
  <c r="N4329" i="1"/>
  <c r="A4330" i="1"/>
  <c r="C4330" i="1"/>
  <c r="N4330" i="1"/>
  <c r="A4331" i="1"/>
  <c r="C4331" i="1"/>
  <c r="N4331" i="1"/>
  <c r="A4332" i="1"/>
  <c r="C4332" i="1"/>
  <c r="N4332" i="1"/>
  <c r="A4333" i="1"/>
  <c r="C4333" i="1"/>
  <c r="N4333" i="1"/>
  <c r="A4334" i="1"/>
  <c r="C4334" i="1"/>
  <c r="N4334" i="1"/>
  <c r="A4335" i="1"/>
  <c r="C4335" i="1"/>
  <c r="N4335" i="1"/>
  <c r="A4336" i="1"/>
  <c r="C4336" i="1"/>
  <c r="N4336" i="1"/>
  <c r="A4337" i="1"/>
  <c r="C4337" i="1"/>
  <c r="N4337" i="1"/>
  <c r="A4338" i="1"/>
  <c r="C4338" i="1"/>
  <c r="F4338" i="1"/>
  <c r="N4338" i="1"/>
  <c r="A4339" i="1"/>
  <c r="C4339" i="1"/>
  <c r="N4339" i="1"/>
  <c r="A4340" i="1"/>
  <c r="C4340" i="1"/>
  <c r="N4340" i="1"/>
  <c r="A4341" i="1"/>
  <c r="C4341" i="1"/>
  <c r="N4341" i="1"/>
  <c r="A4342" i="1"/>
  <c r="C4342" i="1"/>
  <c r="N4342" i="1"/>
  <c r="A4343" i="1"/>
  <c r="C4343" i="1"/>
  <c r="N4343" i="1"/>
  <c r="A4344" i="1"/>
  <c r="C4344" i="1"/>
  <c r="N4344" i="1"/>
  <c r="A4345" i="1"/>
  <c r="C4345" i="1"/>
  <c r="N4345" i="1"/>
  <c r="A4346" i="1"/>
  <c r="C4346" i="1"/>
  <c r="N4346" i="1"/>
  <c r="A4347" i="1"/>
  <c r="C4347" i="1"/>
  <c r="N4347" i="1"/>
  <c r="A4348" i="1"/>
  <c r="C4348" i="1"/>
  <c r="N4348" i="1"/>
  <c r="A4349" i="1"/>
  <c r="C4349" i="1"/>
  <c r="N4349" i="1"/>
  <c r="A4350" i="1"/>
  <c r="C4350" i="1"/>
  <c r="N4350" i="1"/>
  <c r="A4351" i="1"/>
  <c r="C4351" i="1"/>
  <c r="N4351" i="1"/>
  <c r="A4352" i="1"/>
  <c r="C4352" i="1"/>
  <c r="N4352" i="1"/>
  <c r="A4353" i="1"/>
  <c r="C4353" i="1"/>
  <c r="N4353" i="1"/>
  <c r="A4354" i="1"/>
  <c r="C4354" i="1"/>
  <c r="N4354" i="1"/>
  <c r="A4355" i="1"/>
  <c r="C4355" i="1"/>
  <c r="N4355" i="1"/>
  <c r="A4356" i="1"/>
  <c r="C4356" i="1"/>
  <c r="N4356" i="1"/>
  <c r="A4357" i="1"/>
  <c r="C4357" i="1"/>
  <c r="N4357" i="1"/>
  <c r="A4358" i="1"/>
  <c r="C4358" i="1"/>
  <c r="N4358" i="1"/>
  <c r="A4359" i="1"/>
  <c r="C4359" i="1"/>
  <c r="N4359" i="1"/>
  <c r="A4360" i="1"/>
  <c r="C4360" i="1"/>
  <c r="N4360" i="1"/>
  <c r="A4361" i="1"/>
  <c r="C4361" i="1"/>
  <c r="N4361" i="1"/>
  <c r="A4362" i="1"/>
  <c r="C4362" i="1"/>
  <c r="N4362" i="1"/>
  <c r="A4363" i="1"/>
  <c r="C4363" i="1"/>
  <c r="N4363" i="1"/>
  <c r="A4364" i="1"/>
  <c r="C4364" i="1"/>
  <c r="N4364" i="1"/>
  <c r="A4365" i="1"/>
  <c r="C4365" i="1"/>
  <c r="N4365" i="1"/>
  <c r="A4366" i="1"/>
  <c r="C4366" i="1"/>
  <c r="N4366" i="1"/>
  <c r="A4367" i="1"/>
  <c r="C4367" i="1"/>
  <c r="N4367" i="1"/>
  <c r="A4368" i="1"/>
  <c r="C4368" i="1"/>
  <c r="N4368" i="1"/>
  <c r="A4369" i="1"/>
  <c r="C4369" i="1"/>
  <c r="N4369" i="1"/>
  <c r="A4370" i="1"/>
  <c r="C4370" i="1"/>
  <c r="N4370" i="1"/>
  <c r="A4371" i="1"/>
  <c r="C4371" i="1"/>
  <c r="N4371" i="1"/>
  <c r="A4372" i="1"/>
  <c r="C4372" i="1"/>
  <c r="N4372" i="1"/>
  <c r="A4373" i="1"/>
  <c r="C4373" i="1"/>
  <c r="N4373" i="1"/>
  <c r="A4374" i="1"/>
  <c r="C4374" i="1"/>
  <c r="N4374" i="1"/>
  <c r="A4375" i="1"/>
  <c r="C4375" i="1"/>
  <c r="N4375" i="1"/>
  <c r="A4376" i="1"/>
  <c r="C4376" i="1"/>
  <c r="N4376" i="1"/>
  <c r="A4377" i="1"/>
  <c r="C4377" i="1"/>
  <c r="N4377" i="1"/>
  <c r="A4378" i="1"/>
  <c r="C4378" i="1"/>
  <c r="N4378" i="1"/>
  <c r="A4379" i="1"/>
  <c r="C4379" i="1"/>
  <c r="N4379" i="1"/>
  <c r="A4380" i="1"/>
  <c r="C4380" i="1"/>
  <c r="N4380" i="1"/>
  <c r="A4381" i="1"/>
  <c r="C4381" i="1"/>
  <c r="N4381" i="1"/>
  <c r="A4382" i="1"/>
  <c r="C4382" i="1"/>
  <c r="N4382" i="1"/>
  <c r="A4383" i="1"/>
  <c r="C4383" i="1"/>
  <c r="N4383" i="1"/>
  <c r="A4384" i="1"/>
  <c r="C4384" i="1"/>
  <c r="N4384" i="1"/>
  <c r="A4385" i="1"/>
  <c r="C4385" i="1"/>
  <c r="N4385" i="1"/>
  <c r="A4386" i="1"/>
  <c r="C4386" i="1"/>
  <c r="N4386" i="1"/>
  <c r="A4387" i="1"/>
  <c r="C4387" i="1"/>
  <c r="N4387" i="1"/>
  <c r="A4388" i="1"/>
  <c r="C4388" i="1"/>
  <c r="N4388" i="1"/>
  <c r="A4389" i="1"/>
  <c r="C4389" i="1"/>
  <c r="N4389" i="1"/>
  <c r="A4390" i="1"/>
  <c r="C4390" i="1"/>
  <c r="N4390" i="1"/>
  <c r="A4391" i="1"/>
  <c r="C4391" i="1"/>
  <c r="N4391" i="1"/>
  <c r="A4392" i="1"/>
  <c r="C4392" i="1"/>
  <c r="N4392" i="1"/>
  <c r="A4393" i="1"/>
  <c r="C4393" i="1"/>
  <c r="N4393" i="1"/>
  <c r="A4394" i="1"/>
  <c r="C4394" i="1"/>
  <c r="N4394" i="1"/>
  <c r="A4395" i="1"/>
  <c r="C4395" i="1"/>
  <c r="N4395" i="1"/>
  <c r="A4396" i="1"/>
  <c r="C4396" i="1"/>
  <c r="N4396" i="1"/>
  <c r="A4397" i="1"/>
  <c r="C4397" i="1"/>
  <c r="N4397" i="1"/>
  <c r="A4398" i="1"/>
  <c r="C4398" i="1"/>
  <c r="N4398" i="1"/>
  <c r="A4399" i="1"/>
  <c r="C4399" i="1"/>
  <c r="N4399" i="1"/>
  <c r="A4400" i="1"/>
  <c r="C4400" i="1"/>
  <c r="N4400" i="1"/>
  <c r="A4401" i="1"/>
  <c r="C4401" i="1"/>
  <c r="N4401" i="1"/>
  <c r="A4402" i="1"/>
  <c r="C4402" i="1"/>
  <c r="N4402" i="1"/>
  <c r="A4403" i="1"/>
  <c r="C4403" i="1"/>
  <c r="N4403" i="1"/>
  <c r="A4404" i="1"/>
  <c r="C4404" i="1"/>
  <c r="N4404" i="1"/>
  <c r="A4405" i="1"/>
  <c r="C4405" i="1"/>
  <c r="N4405" i="1"/>
  <c r="A4406" i="1"/>
  <c r="C4406" i="1"/>
  <c r="N4406" i="1"/>
  <c r="A4407" i="1"/>
  <c r="C4407" i="1"/>
  <c r="N4407" i="1"/>
  <c r="A4408" i="1"/>
  <c r="C4408" i="1"/>
  <c r="N4408" i="1"/>
  <c r="A4409" i="1"/>
  <c r="C4409" i="1"/>
  <c r="N4409" i="1"/>
  <c r="A4410" i="1"/>
  <c r="C4410" i="1"/>
  <c r="N4410" i="1"/>
  <c r="A4411" i="1"/>
  <c r="C4411" i="1"/>
  <c r="N4411" i="1"/>
  <c r="A4412" i="1"/>
  <c r="C4412" i="1"/>
  <c r="N4412" i="1"/>
  <c r="A4413" i="1"/>
  <c r="C4413" i="1"/>
  <c r="N4413" i="1"/>
  <c r="A4414" i="1"/>
  <c r="C4414" i="1"/>
  <c r="N4414" i="1"/>
  <c r="A4415" i="1"/>
  <c r="C4415" i="1"/>
  <c r="N4415" i="1"/>
  <c r="A4416" i="1"/>
  <c r="C4416" i="1"/>
  <c r="N4416" i="1"/>
  <c r="A4417" i="1"/>
  <c r="C4417" i="1"/>
  <c r="N4417" i="1"/>
  <c r="A4418" i="1"/>
  <c r="C4418" i="1"/>
  <c r="N4418" i="1"/>
  <c r="A4419" i="1"/>
  <c r="C4419" i="1"/>
  <c r="N4419" i="1"/>
  <c r="A4420" i="1"/>
  <c r="C4420" i="1"/>
  <c r="N4420" i="1"/>
  <c r="A4421" i="1"/>
  <c r="C4421" i="1"/>
  <c r="N4421" i="1"/>
  <c r="A4422" i="1"/>
  <c r="C4422" i="1"/>
  <c r="N4422" i="1"/>
  <c r="A4423" i="1"/>
  <c r="C4423" i="1"/>
  <c r="N4423" i="1"/>
  <c r="A4424" i="1"/>
  <c r="C4424" i="1"/>
  <c r="N4424" i="1"/>
  <c r="A4425" i="1"/>
  <c r="C4425" i="1"/>
  <c r="N4425" i="1"/>
  <c r="A4426" i="1"/>
  <c r="C4426" i="1"/>
  <c r="N4426" i="1"/>
  <c r="A4427" i="1"/>
  <c r="C4427" i="1"/>
  <c r="N4427" i="1"/>
  <c r="A4428" i="1"/>
  <c r="C4428" i="1"/>
  <c r="N4428" i="1"/>
  <c r="A4429" i="1"/>
  <c r="C4429" i="1"/>
  <c r="N4429" i="1"/>
  <c r="A4430" i="1"/>
  <c r="C4430" i="1"/>
  <c r="N4430" i="1"/>
  <c r="A4431" i="1"/>
  <c r="C4431" i="1"/>
  <c r="N4431" i="1"/>
  <c r="A4432" i="1"/>
  <c r="C4432" i="1"/>
  <c r="N4432" i="1"/>
  <c r="A4433" i="1"/>
  <c r="C4433" i="1"/>
  <c r="N4433" i="1"/>
  <c r="A4434" i="1"/>
  <c r="C4434" i="1"/>
  <c r="N4434" i="1"/>
  <c r="A4435" i="1"/>
  <c r="C4435" i="1"/>
  <c r="N4435" i="1"/>
  <c r="A4436" i="1"/>
  <c r="C4436" i="1"/>
  <c r="N4436" i="1"/>
  <c r="A4437" i="1"/>
  <c r="C4437" i="1"/>
  <c r="N4437" i="1"/>
  <c r="A4438" i="1"/>
  <c r="C4438" i="1"/>
  <c r="N4438" i="1"/>
  <c r="A4439" i="1"/>
  <c r="C4439" i="1"/>
  <c r="N4439" i="1"/>
  <c r="A4440" i="1"/>
  <c r="C4440" i="1"/>
  <c r="N4440" i="1"/>
  <c r="A4441" i="1"/>
  <c r="C4441" i="1"/>
  <c r="N4441" i="1"/>
  <c r="A4442" i="1"/>
  <c r="C4442" i="1"/>
  <c r="N4442" i="1"/>
  <c r="A4443" i="1"/>
  <c r="C4443" i="1"/>
  <c r="N4443" i="1"/>
  <c r="A4444" i="1"/>
  <c r="C4444" i="1"/>
  <c r="N4444" i="1"/>
  <c r="A4445" i="1"/>
  <c r="C4445" i="1"/>
  <c r="N4445" i="1"/>
  <c r="A4446" i="1"/>
  <c r="C4446" i="1"/>
  <c r="N4446" i="1"/>
  <c r="A4447" i="1"/>
  <c r="C4447" i="1"/>
  <c r="N4447" i="1"/>
  <c r="A4448" i="1"/>
  <c r="C4448" i="1"/>
  <c r="N4448" i="1"/>
  <c r="A4449" i="1"/>
  <c r="C4449" i="1"/>
  <c r="N4449" i="1"/>
  <c r="A4450" i="1"/>
  <c r="C4450" i="1"/>
  <c r="N4450" i="1"/>
  <c r="A4451" i="1"/>
  <c r="C4451" i="1"/>
  <c r="N4451" i="1"/>
  <c r="A4452" i="1"/>
  <c r="C4452" i="1"/>
  <c r="N4452" i="1"/>
  <c r="A4453" i="1"/>
  <c r="C4453" i="1"/>
  <c r="N4453" i="1"/>
  <c r="A4454" i="1"/>
  <c r="C4454" i="1"/>
  <c r="N4454" i="1"/>
  <c r="A4455" i="1"/>
  <c r="C4455" i="1"/>
  <c r="N4455" i="1"/>
  <c r="A4456" i="1"/>
  <c r="C4456" i="1"/>
  <c r="N4456" i="1"/>
  <c r="A4457" i="1"/>
  <c r="C4457" i="1"/>
  <c r="N4457" i="1"/>
  <c r="A4458" i="1"/>
  <c r="C4458" i="1"/>
  <c r="N4458" i="1"/>
  <c r="A4459" i="1"/>
  <c r="C4459" i="1"/>
  <c r="N4459" i="1"/>
  <c r="A4460" i="1"/>
  <c r="C4460" i="1"/>
  <c r="N4460" i="1"/>
  <c r="A4461" i="1"/>
  <c r="C4461" i="1"/>
  <c r="N4461" i="1"/>
  <c r="A4462" i="1"/>
  <c r="C4462" i="1"/>
  <c r="N4462" i="1"/>
  <c r="A4463" i="1"/>
  <c r="C4463" i="1"/>
  <c r="N4463" i="1"/>
  <c r="A4464" i="1"/>
  <c r="C4464" i="1"/>
  <c r="N4464" i="1"/>
  <c r="A4465" i="1"/>
  <c r="C4465" i="1"/>
  <c r="N4465" i="1"/>
  <c r="A4466" i="1"/>
  <c r="C4466" i="1"/>
  <c r="N4466" i="1"/>
  <c r="A4467" i="1"/>
  <c r="C4467" i="1"/>
  <c r="N4467" i="1"/>
  <c r="A4468" i="1"/>
  <c r="C4468" i="1"/>
  <c r="N4468" i="1"/>
  <c r="A4469" i="1"/>
  <c r="C4469" i="1"/>
  <c r="N4469" i="1"/>
  <c r="A4470" i="1"/>
  <c r="C4470" i="1"/>
  <c r="N4470" i="1"/>
  <c r="A4471" i="1"/>
  <c r="C4471" i="1"/>
  <c r="N4471" i="1"/>
  <c r="A4472" i="1"/>
  <c r="C4472" i="1"/>
  <c r="N4472" i="1"/>
  <c r="A4473" i="1"/>
  <c r="C4473" i="1"/>
  <c r="N4473" i="1"/>
  <c r="A4474" i="1"/>
  <c r="C4474" i="1"/>
  <c r="N4474" i="1"/>
  <c r="A4475" i="1"/>
  <c r="C4475" i="1"/>
  <c r="N4475" i="1"/>
  <c r="A4476" i="1"/>
  <c r="C4476" i="1"/>
  <c r="N4476" i="1"/>
  <c r="A4477" i="1"/>
  <c r="C4477" i="1"/>
  <c r="N4477" i="1"/>
  <c r="A4478" i="1"/>
  <c r="C4478" i="1"/>
  <c r="N4478" i="1"/>
  <c r="A4479" i="1"/>
  <c r="C4479" i="1"/>
  <c r="N4479" i="1"/>
  <c r="A4480" i="1"/>
  <c r="C4480" i="1"/>
  <c r="N4480" i="1"/>
  <c r="A4481" i="1"/>
  <c r="C4481" i="1"/>
  <c r="N4481" i="1"/>
  <c r="A4482" i="1"/>
  <c r="C4482" i="1"/>
  <c r="N4482" i="1"/>
  <c r="A4483" i="1"/>
  <c r="C4483" i="1"/>
  <c r="N4483" i="1"/>
  <c r="A4484" i="1"/>
  <c r="C4484" i="1"/>
  <c r="N4484" i="1"/>
  <c r="A4485" i="1"/>
  <c r="C4485" i="1"/>
  <c r="N4485" i="1"/>
  <c r="A4486" i="1"/>
  <c r="C4486" i="1"/>
  <c r="N4486" i="1"/>
  <c r="A4487" i="1"/>
  <c r="C4487" i="1"/>
  <c r="N4487" i="1"/>
  <c r="A4488" i="1"/>
  <c r="C4488" i="1"/>
  <c r="N4488" i="1"/>
  <c r="A4489" i="1"/>
  <c r="C4489" i="1"/>
  <c r="N4489" i="1"/>
  <c r="A4490" i="1"/>
  <c r="C4490" i="1"/>
  <c r="N4490" i="1"/>
  <c r="A4491" i="1"/>
  <c r="C4491" i="1"/>
  <c r="N4491" i="1"/>
  <c r="A4492" i="1"/>
  <c r="C4492" i="1"/>
  <c r="N4492" i="1"/>
  <c r="A4493" i="1"/>
  <c r="C4493" i="1"/>
  <c r="N4493" i="1"/>
  <c r="A4494" i="1"/>
  <c r="C4494" i="1"/>
  <c r="N4494" i="1"/>
  <c r="A4495" i="1"/>
  <c r="C4495" i="1"/>
  <c r="N4495" i="1"/>
  <c r="A4496" i="1"/>
  <c r="C4496" i="1"/>
  <c r="N4496" i="1"/>
  <c r="A4497" i="1"/>
  <c r="C4497" i="1"/>
  <c r="N4497" i="1"/>
  <c r="A4498" i="1"/>
  <c r="C4498" i="1"/>
  <c r="N4498" i="1"/>
  <c r="A4499" i="1"/>
  <c r="C4499" i="1"/>
  <c r="N4499" i="1"/>
  <c r="A4500" i="1"/>
  <c r="C4500" i="1"/>
  <c r="N4500" i="1"/>
  <c r="A4501" i="1"/>
  <c r="C4501" i="1"/>
  <c r="N4501" i="1"/>
  <c r="A4502" i="1"/>
  <c r="C4502" i="1"/>
  <c r="N4502" i="1"/>
  <c r="A4503" i="1"/>
  <c r="C4503" i="1"/>
  <c r="N4503" i="1"/>
  <c r="A4504" i="1"/>
  <c r="C4504" i="1"/>
  <c r="N4504" i="1"/>
  <c r="A4505" i="1"/>
  <c r="C4505" i="1"/>
  <c r="N4505" i="1"/>
  <c r="A4506" i="1"/>
  <c r="C4506" i="1"/>
  <c r="N4506" i="1"/>
  <c r="A4507" i="1"/>
  <c r="C4507" i="1"/>
  <c r="N4507" i="1"/>
  <c r="A4508" i="1"/>
  <c r="C4508" i="1"/>
  <c r="N4508" i="1"/>
  <c r="A4509" i="1"/>
  <c r="C4509" i="1"/>
  <c r="N4509" i="1"/>
  <c r="A4510" i="1"/>
  <c r="C4510" i="1"/>
  <c r="N4510" i="1"/>
  <c r="A4511" i="1"/>
  <c r="C4511" i="1"/>
  <c r="N4511" i="1"/>
  <c r="A4512" i="1"/>
  <c r="C4512" i="1"/>
  <c r="N4512" i="1"/>
  <c r="A4513" i="1"/>
  <c r="C4513" i="1"/>
  <c r="N4513" i="1"/>
  <c r="A4514" i="1"/>
  <c r="C4514" i="1"/>
  <c r="N4514" i="1"/>
  <c r="A4515" i="1"/>
  <c r="C4515" i="1"/>
  <c r="N4515" i="1"/>
  <c r="A4516" i="1"/>
  <c r="C4516" i="1"/>
  <c r="N4516" i="1"/>
  <c r="A4517" i="1"/>
  <c r="C4517" i="1"/>
  <c r="N4517" i="1"/>
  <c r="A4518" i="1"/>
  <c r="C4518" i="1"/>
  <c r="N4518" i="1"/>
  <c r="A4519" i="1"/>
  <c r="C4519" i="1"/>
  <c r="N4519" i="1"/>
  <c r="A4520" i="1"/>
  <c r="C4520" i="1"/>
  <c r="N4520" i="1"/>
  <c r="A4521" i="1"/>
  <c r="C4521" i="1"/>
  <c r="N4521" i="1"/>
  <c r="A4522" i="1"/>
  <c r="C4522" i="1"/>
  <c r="N4522" i="1"/>
  <c r="A4523" i="1"/>
  <c r="C4523" i="1"/>
  <c r="N4523" i="1"/>
  <c r="A4524" i="1"/>
  <c r="C4524" i="1"/>
  <c r="N4524" i="1"/>
  <c r="A4525" i="1"/>
  <c r="C4525" i="1"/>
  <c r="N4525" i="1"/>
  <c r="A4526" i="1"/>
  <c r="C4526" i="1"/>
  <c r="N4526" i="1"/>
  <c r="A4527" i="1"/>
  <c r="C4527" i="1"/>
  <c r="N4527" i="1"/>
  <c r="A4528" i="1"/>
  <c r="C4528" i="1"/>
  <c r="N4528" i="1"/>
  <c r="A4529" i="1"/>
  <c r="C4529" i="1"/>
  <c r="N4529" i="1"/>
  <c r="A4530" i="1"/>
  <c r="C4530" i="1"/>
  <c r="N4530" i="1"/>
  <c r="A4531" i="1"/>
  <c r="C4531" i="1"/>
  <c r="N4531" i="1"/>
  <c r="A4532" i="1"/>
  <c r="C4532" i="1"/>
  <c r="N4532" i="1"/>
  <c r="A4533" i="1"/>
  <c r="C4533" i="1"/>
  <c r="N4533" i="1"/>
  <c r="A4534" i="1"/>
  <c r="C4534" i="1"/>
  <c r="N4534" i="1"/>
  <c r="A4535" i="1"/>
  <c r="C4535" i="1"/>
  <c r="N4535" i="1"/>
  <c r="A4536" i="1"/>
  <c r="C4536" i="1"/>
  <c r="F4536" i="1"/>
  <c r="N4536" i="1"/>
  <c r="A4537" i="1"/>
  <c r="C4537" i="1"/>
  <c r="F4537" i="1"/>
  <c r="N4537" i="1"/>
  <c r="A4538" i="1"/>
  <c r="C4538" i="1"/>
  <c r="N4538" i="1"/>
  <c r="A4539" i="1"/>
  <c r="C4539" i="1"/>
  <c r="N4539" i="1"/>
  <c r="A4540" i="1"/>
  <c r="C4540" i="1"/>
  <c r="N4540" i="1"/>
  <c r="A4541" i="1"/>
  <c r="C4541" i="1"/>
  <c r="N4541" i="1"/>
  <c r="A4542" i="1"/>
  <c r="C4542" i="1"/>
  <c r="N4542" i="1"/>
  <c r="A4543" i="1"/>
  <c r="C4543" i="1"/>
  <c r="N4543" i="1"/>
  <c r="A4544" i="1"/>
  <c r="C4544" i="1"/>
  <c r="N4544" i="1"/>
  <c r="A4545" i="1"/>
  <c r="C4545" i="1"/>
  <c r="N4545" i="1"/>
  <c r="A4546" i="1"/>
  <c r="C4546" i="1"/>
  <c r="N4546" i="1"/>
  <c r="A4547" i="1"/>
  <c r="C4547" i="1"/>
  <c r="N4547" i="1"/>
  <c r="A4548" i="1"/>
  <c r="C4548" i="1"/>
  <c r="N4548" i="1"/>
  <c r="A4549" i="1"/>
  <c r="C4549" i="1"/>
  <c r="N4549" i="1"/>
  <c r="A4550" i="1"/>
  <c r="C4550" i="1"/>
  <c r="N4550" i="1"/>
  <c r="A4551" i="1"/>
  <c r="C4551" i="1"/>
  <c r="N4551" i="1"/>
  <c r="A4552" i="1"/>
  <c r="C4552" i="1"/>
  <c r="N4552" i="1"/>
  <c r="A4553" i="1"/>
  <c r="C4553" i="1"/>
  <c r="N4553" i="1"/>
  <c r="A4554" i="1"/>
  <c r="C4554" i="1"/>
  <c r="N4554" i="1"/>
  <c r="A4555" i="1"/>
  <c r="C4555" i="1"/>
  <c r="N4555" i="1"/>
  <c r="A4556" i="1"/>
  <c r="C4556" i="1"/>
  <c r="N4556" i="1"/>
  <c r="A4557" i="1"/>
  <c r="C4557" i="1"/>
  <c r="N4557" i="1"/>
  <c r="A4558" i="1"/>
  <c r="C4558" i="1"/>
  <c r="N4558" i="1"/>
  <c r="A4559" i="1"/>
  <c r="C4559" i="1"/>
  <c r="N4559" i="1"/>
  <c r="A4560" i="1"/>
  <c r="C4560" i="1"/>
  <c r="N4560" i="1"/>
  <c r="A4561" i="1"/>
  <c r="C4561" i="1"/>
  <c r="N4561" i="1"/>
  <c r="A4562" i="1"/>
  <c r="C4562" i="1"/>
  <c r="N4562" i="1"/>
  <c r="A4563" i="1"/>
  <c r="C4563" i="1"/>
  <c r="N4563" i="1"/>
  <c r="A4564" i="1"/>
  <c r="C4564" i="1"/>
  <c r="N4564" i="1"/>
  <c r="A4565" i="1"/>
  <c r="C4565" i="1"/>
  <c r="N4565" i="1"/>
  <c r="A4566" i="1"/>
  <c r="C4566" i="1"/>
  <c r="N4566" i="1"/>
  <c r="A4567" i="1"/>
  <c r="C4567" i="1"/>
  <c r="N4567" i="1"/>
  <c r="A4568" i="1"/>
  <c r="C4568" i="1"/>
  <c r="N4568" i="1"/>
  <c r="A4569" i="1"/>
  <c r="C4569" i="1"/>
  <c r="N4569" i="1"/>
  <c r="A4570" i="1"/>
  <c r="C4570" i="1"/>
  <c r="N4570" i="1"/>
  <c r="A4571" i="1"/>
  <c r="C4571" i="1"/>
  <c r="N4571" i="1"/>
  <c r="A4572" i="1"/>
  <c r="C4572" i="1"/>
  <c r="N4572" i="1"/>
  <c r="A4573" i="1"/>
  <c r="C4573" i="1"/>
  <c r="N4573" i="1"/>
  <c r="A4574" i="1"/>
  <c r="C4574" i="1"/>
  <c r="N4574" i="1"/>
  <c r="A4575" i="1"/>
  <c r="C4575" i="1"/>
  <c r="N4575" i="1"/>
  <c r="A4576" i="1"/>
  <c r="C4576" i="1"/>
  <c r="N4576" i="1"/>
  <c r="A4577" i="1"/>
  <c r="C4577" i="1"/>
  <c r="N4577" i="1"/>
  <c r="A4578" i="1"/>
  <c r="C4578" i="1"/>
  <c r="N4578" i="1"/>
  <c r="A4579" i="1"/>
  <c r="C4579" i="1"/>
  <c r="N4579" i="1"/>
  <c r="A4580" i="1"/>
  <c r="C4580" i="1"/>
  <c r="N4580" i="1"/>
  <c r="A4581" i="1"/>
  <c r="C4581" i="1"/>
  <c r="N4581" i="1"/>
  <c r="A4582" i="1"/>
  <c r="C4582" i="1"/>
  <c r="N4582" i="1"/>
  <c r="A4583" i="1"/>
  <c r="C4583" i="1"/>
  <c r="N4583" i="1"/>
  <c r="A4584" i="1"/>
  <c r="C4584" i="1"/>
  <c r="N4584" i="1"/>
  <c r="A4585" i="1"/>
  <c r="C4585" i="1"/>
  <c r="N4585" i="1"/>
  <c r="A4586" i="1"/>
  <c r="C4586" i="1"/>
  <c r="N4586" i="1"/>
  <c r="A4587" i="1"/>
  <c r="C4587" i="1"/>
  <c r="N4587" i="1"/>
  <c r="A4588" i="1"/>
  <c r="C4588" i="1"/>
  <c r="N4588" i="1"/>
  <c r="A4589" i="1"/>
  <c r="C4589" i="1"/>
  <c r="N4589" i="1"/>
  <c r="A4590" i="1"/>
  <c r="C4590" i="1"/>
  <c r="N4590" i="1"/>
  <c r="A4591" i="1"/>
  <c r="C4591" i="1"/>
  <c r="N4591" i="1"/>
  <c r="A4592" i="1"/>
  <c r="C4592" i="1"/>
  <c r="N4592" i="1"/>
  <c r="A4593" i="1"/>
  <c r="C4593" i="1"/>
  <c r="N4593" i="1"/>
  <c r="A4594" i="1"/>
  <c r="C4594" i="1"/>
  <c r="N4594" i="1"/>
  <c r="A4595" i="1"/>
  <c r="C4595" i="1"/>
  <c r="N4595" i="1"/>
  <c r="A4596" i="1"/>
  <c r="C4596" i="1"/>
  <c r="N4596" i="1"/>
  <c r="A4597" i="1"/>
  <c r="C4597" i="1"/>
  <c r="N4597" i="1"/>
  <c r="A4598" i="1"/>
  <c r="C4598" i="1"/>
  <c r="N4598" i="1"/>
  <c r="A4599" i="1"/>
  <c r="C4599" i="1"/>
  <c r="N4599" i="1"/>
  <c r="A4600" i="1"/>
  <c r="C4600" i="1"/>
  <c r="N4600" i="1"/>
  <c r="A4601" i="1"/>
  <c r="C4601" i="1"/>
  <c r="N4601" i="1"/>
  <c r="A4602" i="1"/>
  <c r="C4602" i="1"/>
  <c r="N4602" i="1"/>
  <c r="A4603" i="1"/>
  <c r="C4603" i="1"/>
  <c r="N4603" i="1"/>
  <c r="A4604" i="1"/>
  <c r="C4604" i="1"/>
  <c r="N4604" i="1"/>
  <c r="A4605" i="1"/>
  <c r="C4605" i="1"/>
  <c r="N4605" i="1"/>
  <c r="A4606" i="1"/>
  <c r="C4606" i="1"/>
  <c r="N4606" i="1"/>
  <c r="A4607" i="1"/>
  <c r="C4607" i="1"/>
  <c r="N4607" i="1"/>
  <c r="A4608" i="1"/>
  <c r="C4608" i="1"/>
  <c r="N4608" i="1"/>
  <c r="A4609" i="1"/>
  <c r="C4609" i="1"/>
  <c r="N4609" i="1"/>
  <c r="A4610" i="1"/>
  <c r="C4610" i="1"/>
  <c r="N4610" i="1"/>
  <c r="A4611" i="1"/>
  <c r="C4611" i="1"/>
  <c r="N4611" i="1"/>
  <c r="A4612" i="1"/>
  <c r="C4612" i="1"/>
  <c r="N4612" i="1"/>
  <c r="A4613" i="1"/>
  <c r="C4613" i="1"/>
  <c r="N4613" i="1"/>
  <c r="A4614" i="1"/>
  <c r="C4614" i="1"/>
  <c r="N4614" i="1"/>
  <c r="A4615" i="1"/>
  <c r="C4615" i="1"/>
  <c r="N4615" i="1"/>
  <c r="A4616" i="1"/>
  <c r="C4616" i="1"/>
  <c r="N4616" i="1"/>
  <c r="A4617" i="1"/>
  <c r="C4617" i="1"/>
  <c r="N4617" i="1"/>
  <c r="A4618" i="1"/>
  <c r="C4618" i="1"/>
  <c r="N4618" i="1"/>
  <c r="A4619" i="1"/>
  <c r="C4619" i="1"/>
  <c r="N4619" i="1"/>
  <c r="A4620" i="1"/>
  <c r="C4620" i="1"/>
  <c r="N4620" i="1"/>
  <c r="A4621" i="1"/>
  <c r="C4621" i="1"/>
  <c r="N4621" i="1"/>
  <c r="A4622" i="1"/>
  <c r="C4622" i="1"/>
  <c r="N4622" i="1"/>
  <c r="A4623" i="1"/>
  <c r="C4623" i="1"/>
  <c r="N4623" i="1"/>
  <c r="A4624" i="1"/>
  <c r="C4624" i="1"/>
  <c r="N4624" i="1"/>
  <c r="A4625" i="1"/>
  <c r="C4625" i="1"/>
  <c r="N4625" i="1"/>
  <c r="A4626" i="1"/>
  <c r="C4626" i="1"/>
  <c r="N4626" i="1"/>
  <c r="A4627" i="1"/>
  <c r="C4627" i="1"/>
  <c r="N4627" i="1"/>
  <c r="A4628" i="1"/>
  <c r="C4628" i="1"/>
  <c r="N4628" i="1"/>
  <c r="A4629" i="1"/>
  <c r="C4629" i="1"/>
  <c r="N4629" i="1"/>
  <c r="A4630" i="1"/>
  <c r="C4630" i="1"/>
  <c r="N4630" i="1"/>
  <c r="A4631" i="1"/>
  <c r="C4631" i="1"/>
  <c r="N4631" i="1"/>
  <c r="A4632" i="1"/>
  <c r="C4632" i="1"/>
  <c r="N4632" i="1"/>
  <c r="A4633" i="1"/>
  <c r="C4633" i="1"/>
  <c r="N4633" i="1"/>
  <c r="A4634" i="1"/>
  <c r="C4634" i="1"/>
  <c r="N4634" i="1"/>
  <c r="A4635" i="1"/>
  <c r="C4635" i="1"/>
  <c r="N4635" i="1"/>
  <c r="A4636" i="1"/>
  <c r="C4636" i="1"/>
  <c r="N4636" i="1"/>
  <c r="A4637" i="1"/>
  <c r="C4637" i="1"/>
  <c r="N4637" i="1"/>
  <c r="A4638" i="1"/>
  <c r="C4638" i="1"/>
  <c r="N4638" i="1"/>
  <c r="A4639" i="1"/>
  <c r="C4639" i="1"/>
  <c r="N4639" i="1"/>
  <c r="A4640" i="1"/>
  <c r="C4640" i="1"/>
  <c r="N4640" i="1"/>
  <c r="A4641" i="1"/>
  <c r="C4641" i="1"/>
  <c r="N4641" i="1"/>
  <c r="A4642" i="1"/>
  <c r="C4642" i="1"/>
  <c r="N4642" i="1"/>
  <c r="A4643" i="1"/>
  <c r="C4643" i="1"/>
  <c r="N4643" i="1"/>
  <c r="A4644" i="1"/>
  <c r="C4644" i="1"/>
  <c r="N4644" i="1"/>
  <c r="A4645" i="1"/>
  <c r="C4645" i="1"/>
  <c r="N4645" i="1"/>
  <c r="A4646" i="1"/>
  <c r="C4646" i="1"/>
  <c r="N4646" i="1"/>
  <c r="A4647" i="1"/>
  <c r="C4647" i="1"/>
  <c r="N4647" i="1"/>
  <c r="A4648" i="1"/>
  <c r="C4648" i="1"/>
  <c r="N4648" i="1"/>
  <c r="A4649" i="1"/>
  <c r="C4649" i="1"/>
  <c r="N4649" i="1"/>
  <c r="A4650" i="1"/>
  <c r="C4650" i="1"/>
  <c r="N4650" i="1"/>
  <c r="A4651" i="1"/>
  <c r="C4651" i="1"/>
  <c r="N4651" i="1"/>
  <c r="A4652" i="1"/>
  <c r="C4652" i="1"/>
  <c r="N4652" i="1"/>
  <c r="A4653" i="1"/>
  <c r="C4653" i="1"/>
  <c r="N4653" i="1"/>
  <c r="A4654" i="1"/>
  <c r="C4654" i="1"/>
  <c r="N4654" i="1"/>
  <c r="A4655" i="1"/>
  <c r="C4655" i="1"/>
  <c r="N4655" i="1"/>
  <c r="A4656" i="1"/>
  <c r="C4656" i="1"/>
  <c r="N4656" i="1"/>
  <c r="A4657" i="1"/>
  <c r="C4657" i="1"/>
  <c r="N4657" i="1"/>
  <c r="A4658" i="1"/>
  <c r="C4658" i="1"/>
  <c r="N4658" i="1"/>
  <c r="A4659" i="1"/>
  <c r="C4659" i="1"/>
  <c r="F4659" i="1"/>
  <c r="N4659" i="1"/>
  <c r="A4660" i="1"/>
  <c r="C4660" i="1"/>
  <c r="N4660" i="1"/>
  <c r="A4661" i="1"/>
  <c r="C4661" i="1"/>
  <c r="N4661" i="1"/>
  <c r="A4662" i="1"/>
  <c r="C4662" i="1"/>
  <c r="N4662" i="1"/>
  <c r="A4663" i="1"/>
  <c r="C4663" i="1"/>
  <c r="N4663" i="1"/>
  <c r="A4664" i="1"/>
  <c r="C4664" i="1"/>
  <c r="N4664" i="1"/>
  <c r="A4665" i="1"/>
  <c r="C4665" i="1"/>
  <c r="N4665" i="1"/>
  <c r="A4666" i="1"/>
  <c r="C4666" i="1"/>
  <c r="N4666" i="1"/>
  <c r="A4667" i="1"/>
  <c r="C4667" i="1"/>
  <c r="N4667" i="1"/>
  <c r="A4668" i="1"/>
  <c r="C4668" i="1"/>
  <c r="E4668" i="1"/>
  <c r="N4668" i="1"/>
  <c r="T4668" i="1"/>
  <c r="A4669" i="1"/>
  <c r="C4669" i="1"/>
  <c r="N4669" i="1"/>
  <c r="A4670" i="1"/>
  <c r="C4670" i="1"/>
  <c r="N4670" i="1"/>
  <c r="A4671" i="1"/>
  <c r="C4671" i="1"/>
  <c r="N4671" i="1"/>
  <c r="A4672" i="1"/>
  <c r="C4672" i="1"/>
  <c r="N4672" i="1"/>
  <c r="A4673" i="1"/>
  <c r="C4673" i="1"/>
  <c r="N4673" i="1"/>
  <c r="A4674" i="1"/>
  <c r="C4674" i="1"/>
  <c r="N4674" i="1"/>
  <c r="A4675" i="1"/>
  <c r="C4675" i="1"/>
  <c r="N4675" i="1"/>
  <c r="A4676" i="1"/>
  <c r="C4676" i="1"/>
  <c r="N4676" i="1"/>
  <c r="A4677" i="1"/>
  <c r="C4677" i="1"/>
  <c r="N4677" i="1"/>
  <c r="A4678" i="1"/>
  <c r="C4678" i="1"/>
  <c r="N4678" i="1"/>
  <c r="A4679" i="1"/>
  <c r="C4679" i="1"/>
  <c r="N4679" i="1"/>
  <c r="A4680" i="1"/>
  <c r="C4680" i="1"/>
  <c r="N4680" i="1"/>
  <c r="A4681" i="1"/>
  <c r="C4681" i="1"/>
  <c r="N4681" i="1"/>
  <c r="A4682" i="1"/>
  <c r="C4682" i="1"/>
  <c r="N4682" i="1"/>
  <c r="A4683" i="1"/>
  <c r="C4683" i="1"/>
  <c r="N4683" i="1"/>
  <c r="A4684" i="1"/>
  <c r="C4684" i="1"/>
  <c r="N4684" i="1"/>
  <c r="A4685" i="1"/>
  <c r="C4685" i="1"/>
  <c r="N4685" i="1"/>
  <c r="A4686" i="1"/>
  <c r="C4686" i="1"/>
  <c r="N4686" i="1"/>
  <c r="A4687" i="1"/>
  <c r="C4687" i="1"/>
  <c r="N4687" i="1"/>
  <c r="A4688" i="1"/>
  <c r="C4688" i="1"/>
  <c r="N4688" i="1"/>
  <c r="A4689" i="1"/>
  <c r="C4689" i="1"/>
  <c r="N4689" i="1"/>
  <c r="A4690" i="1"/>
  <c r="C4690" i="1"/>
  <c r="N4690" i="1"/>
  <c r="A4691" i="1"/>
  <c r="C4691" i="1"/>
  <c r="N4691" i="1"/>
  <c r="A4692" i="1"/>
  <c r="C4692" i="1"/>
  <c r="N4692" i="1"/>
  <c r="A4693" i="1"/>
  <c r="C4693" i="1"/>
  <c r="F4693" i="1"/>
  <c r="N4693" i="1"/>
  <c r="A4694" i="1"/>
  <c r="C4694" i="1"/>
  <c r="N4694" i="1"/>
  <c r="A4695" i="1"/>
  <c r="C4695" i="1"/>
  <c r="N4695" i="1"/>
  <c r="A4696" i="1"/>
  <c r="C4696" i="1"/>
  <c r="N4696" i="1"/>
  <c r="A4697" i="1"/>
  <c r="C4697" i="1"/>
  <c r="N4697" i="1"/>
  <c r="A4698" i="1"/>
  <c r="C4698" i="1"/>
  <c r="N4698" i="1"/>
  <c r="A4699" i="1"/>
  <c r="C4699" i="1"/>
  <c r="N4699" i="1"/>
  <c r="A4700" i="1"/>
  <c r="C4700" i="1"/>
  <c r="N4700" i="1"/>
  <c r="A4701" i="1"/>
  <c r="C4701" i="1"/>
  <c r="N4701" i="1"/>
  <c r="A4702" i="1"/>
  <c r="C4702" i="1"/>
  <c r="F4702" i="1"/>
  <c r="N4702" i="1"/>
  <c r="A4703" i="1"/>
  <c r="C4703" i="1"/>
  <c r="N4703" i="1"/>
  <c r="A4704" i="1"/>
  <c r="C4704" i="1"/>
  <c r="N4704" i="1"/>
  <c r="A4705" i="1"/>
  <c r="C4705" i="1"/>
  <c r="N4705" i="1"/>
  <c r="A4706" i="1"/>
  <c r="C4706" i="1"/>
  <c r="N4706" i="1"/>
  <c r="A4707" i="1"/>
  <c r="C4707" i="1"/>
  <c r="N4707" i="1"/>
  <c r="A4708" i="1"/>
  <c r="C4708" i="1"/>
  <c r="N4708" i="1"/>
  <c r="A4709" i="1"/>
  <c r="C4709" i="1"/>
  <c r="N4709" i="1"/>
  <c r="A4710" i="1"/>
  <c r="C4710" i="1"/>
  <c r="F4710" i="1"/>
  <c r="N4710" i="1"/>
  <c r="A4711" i="1"/>
  <c r="C4711" i="1"/>
  <c r="N4711" i="1"/>
  <c r="A4712" i="1"/>
  <c r="C4712" i="1"/>
  <c r="N4712" i="1"/>
  <c r="A4713" i="1"/>
  <c r="C4713" i="1"/>
  <c r="N4713" i="1"/>
  <c r="A4714" i="1"/>
  <c r="C4714" i="1"/>
  <c r="N4714" i="1"/>
  <c r="A4715" i="1"/>
  <c r="C4715" i="1"/>
  <c r="N4715" i="1"/>
  <c r="A4716" i="1"/>
  <c r="C4716" i="1"/>
  <c r="N4716" i="1"/>
  <c r="A4717" i="1"/>
  <c r="C4717" i="1"/>
  <c r="N4717" i="1"/>
  <c r="A4718" i="1"/>
  <c r="C4718" i="1"/>
  <c r="N4718" i="1"/>
  <c r="A4719" i="1"/>
  <c r="C4719" i="1"/>
  <c r="N4719" i="1"/>
  <c r="A4720" i="1"/>
  <c r="C4720" i="1"/>
  <c r="N4720" i="1"/>
  <c r="A4721" i="1"/>
  <c r="C4721" i="1"/>
  <c r="N4721" i="1"/>
  <c r="A4722" i="1"/>
  <c r="C4722" i="1"/>
  <c r="N4722" i="1"/>
  <c r="A4723" i="1"/>
  <c r="C4723" i="1"/>
  <c r="N4723" i="1"/>
  <c r="A4724" i="1"/>
  <c r="C4724" i="1"/>
  <c r="N4724" i="1"/>
  <c r="A4725" i="1"/>
  <c r="C4725" i="1"/>
  <c r="N4725" i="1"/>
  <c r="A4726" i="1"/>
  <c r="C4726" i="1"/>
  <c r="N4726" i="1"/>
  <c r="A4727" i="1"/>
  <c r="C4727" i="1"/>
  <c r="N4727" i="1"/>
  <c r="A4728" i="1"/>
  <c r="C4728" i="1"/>
  <c r="N4728" i="1"/>
  <c r="A4729" i="1"/>
  <c r="C4729" i="1"/>
  <c r="N4729" i="1"/>
  <c r="A4730" i="1"/>
  <c r="C4730" i="1"/>
  <c r="N4730" i="1"/>
  <c r="A4731" i="1"/>
  <c r="C4731" i="1"/>
  <c r="N4731" i="1"/>
  <c r="A4732" i="1"/>
  <c r="C4732" i="1"/>
  <c r="N4732" i="1"/>
  <c r="A4733" i="1"/>
  <c r="C4733" i="1"/>
  <c r="N4733" i="1"/>
  <c r="A4734" i="1"/>
  <c r="C4734" i="1"/>
  <c r="N4734" i="1"/>
  <c r="A4735" i="1"/>
  <c r="C4735" i="1"/>
  <c r="N4735" i="1"/>
  <c r="A4736" i="1"/>
  <c r="C4736" i="1"/>
  <c r="N4736" i="1"/>
  <c r="A4737" i="1"/>
  <c r="C4737" i="1"/>
  <c r="N4737" i="1"/>
  <c r="A4738" i="1"/>
  <c r="C4738" i="1"/>
  <c r="N4738" i="1"/>
  <c r="A4739" i="1"/>
  <c r="C4739" i="1"/>
  <c r="N4739" i="1"/>
  <c r="A4740" i="1"/>
  <c r="C4740" i="1"/>
  <c r="N4740" i="1"/>
  <c r="A4741" i="1"/>
  <c r="C4741" i="1"/>
  <c r="N4741" i="1"/>
  <c r="A4742" i="1"/>
  <c r="C4742" i="1"/>
  <c r="N4742" i="1"/>
  <c r="A4743" i="1"/>
  <c r="C4743" i="1"/>
  <c r="N4743" i="1"/>
  <c r="A4744" i="1"/>
  <c r="C4744" i="1"/>
  <c r="N4744" i="1"/>
  <c r="A4745" i="1"/>
  <c r="C4745" i="1"/>
  <c r="N4745" i="1"/>
  <c r="A4746" i="1"/>
  <c r="C4746" i="1"/>
  <c r="N4746" i="1"/>
  <c r="A4747" i="1"/>
  <c r="C4747" i="1"/>
  <c r="N4747" i="1"/>
  <c r="A4748" i="1"/>
  <c r="C4748" i="1"/>
  <c r="N4748" i="1"/>
  <c r="A4749" i="1"/>
  <c r="C4749" i="1"/>
  <c r="N4749" i="1"/>
  <c r="A4750" i="1"/>
  <c r="C4750" i="1"/>
  <c r="N4750" i="1"/>
  <c r="A4751" i="1"/>
  <c r="C4751" i="1"/>
  <c r="N4751" i="1"/>
  <c r="A4752" i="1"/>
  <c r="C4752" i="1"/>
  <c r="F4752" i="1"/>
  <c r="N4752" i="1"/>
  <c r="A4753" i="1"/>
  <c r="C4753" i="1"/>
  <c r="N4753" i="1"/>
  <c r="A4754" i="1"/>
  <c r="C4754" i="1"/>
  <c r="N4754" i="1"/>
  <c r="A4755" i="1"/>
  <c r="C4755" i="1"/>
  <c r="N4755" i="1"/>
  <c r="A4756" i="1"/>
  <c r="C4756" i="1"/>
  <c r="N4756" i="1"/>
  <c r="A4757" i="1"/>
  <c r="C4757" i="1"/>
  <c r="N4757" i="1"/>
  <c r="A4758" i="1"/>
  <c r="C4758" i="1"/>
  <c r="N4758" i="1"/>
  <c r="A4759" i="1"/>
  <c r="C4759" i="1"/>
  <c r="N4759" i="1"/>
  <c r="A4760" i="1"/>
  <c r="C4760" i="1"/>
  <c r="N4760" i="1"/>
  <c r="A4761" i="1"/>
  <c r="C4761" i="1"/>
  <c r="N4761" i="1"/>
  <c r="A4762" i="1"/>
  <c r="C4762" i="1"/>
  <c r="N4762" i="1"/>
  <c r="A4763" i="1"/>
  <c r="C4763" i="1"/>
  <c r="N4763" i="1"/>
  <c r="A4764" i="1"/>
  <c r="C4764" i="1"/>
  <c r="N4764" i="1"/>
  <c r="A4765" i="1"/>
  <c r="C4765" i="1"/>
  <c r="N4765" i="1"/>
  <c r="A4766" i="1"/>
  <c r="C4766" i="1"/>
  <c r="N4766" i="1"/>
  <c r="A4767" i="1"/>
  <c r="C4767" i="1"/>
  <c r="N4767" i="1"/>
  <c r="A4768" i="1"/>
  <c r="C4768" i="1"/>
  <c r="N4768" i="1"/>
  <c r="A4769" i="1"/>
  <c r="C4769" i="1"/>
  <c r="N4769" i="1"/>
  <c r="A4770" i="1"/>
  <c r="C4770" i="1"/>
  <c r="N4770" i="1"/>
  <c r="A4771" i="1"/>
  <c r="C4771" i="1"/>
  <c r="N4771" i="1"/>
  <c r="A4772" i="1"/>
  <c r="C4772" i="1"/>
  <c r="N4772" i="1"/>
  <c r="A4773" i="1"/>
  <c r="C4773" i="1"/>
  <c r="N4773" i="1"/>
  <c r="A4774" i="1"/>
  <c r="C4774" i="1"/>
  <c r="N4774" i="1"/>
  <c r="A4775" i="1"/>
  <c r="C4775" i="1"/>
  <c r="N4775" i="1"/>
  <c r="A4776" i="1"/>
  <c r="C4776" i="1"/>
  <c r="N4776" i="1"/>
  <c r="A4777" i="1"/>
  <c r="C4777" i="1"/>
  <c r="N4777" i="1"/>
  <c r="A4778" i="1"/>
  <c r="C4778" i="1"/>
  <c r="N4778" i="1"/>
  <c r="A4779" i="1"/>
  <c r="C4779" i="1"/>
  <c r="N4779" i="1"/>
  <c r="A4780" i="1"/>
  <c r="C4780" i="1"/>
  <c r="N4780" i="1"/>
  <c r="A4781" i="1"/>
  <c r="C4781" i="1"/>
  <c r="N4781" i="1"/>
  <c r="A4782" i="1"/>
  <c r="C4782" i="1"/>
  <c r="N4782" i="1"/>
  <c r="A4783" i="1"/>
  <c r="C4783" i="1"/>
  <c r="N4783" i="1"/>
  <c r="A4784" i="1"/>
  <c r="C4784" i="1"/>
  <c r="N4784" i="1"/>
  <c r="A4785" i="1"/>
  <c r="C4785" i="1"/>
  <c r="N4785" i="1"/>
  <c r="A4786" i="1"/>
  <c r="C4786" i="1"/>
  <c r="N4786" i="1"/>
  <c r="A4787" i="1"/>
  <c r="C4787" i="1"/>
  <c r="N4787" i="1"/>
  <c r="A4788" i="1"/>
  <c r="C4788" i="1"/>
  <c r="N4788" i="1"/>
  <c r="A4789" i="1"/>
  <c r="C4789" i="1"/>
  <c r="N4789" i="1"/>
  <c r="A4790" i="1"/>
  <c r="C4790" i="1"/>
  <c r="N4790" i="1"/>
  <c r="A4791" i="1"/>
  <c r="C4791" i="1"/>
  <c r="N4791" i="1"/>
  <c r="A4792" i="1"/>
  <c r="C4792" i="1"/>
  <c r="N4792" i="1"/>
  <c r="A4793" i="1"/>
  <c r="C4793" i="1"/>
  <c r="N4793" i="1"/>
  <c r="A4794" i="1"/>
  <c r="C4794" i="1"/>
  <c r="N4794" i="1"/>
  <c r="A4795" i="1"/>
  <c r="C4795" i="1"/>
  <c r="N4795" i="1"/>
  <c r="A4796" i="1"/>
  <c r="C4796" i="1"/>
  <c r="N4796" i="1"/>
  <c r="A4797" i="1"/>
  <c r="C4797" i="1"/>
  <c r="N4797" i="1"/>
  <c r="A4798" i="1"/>
  <c r="C4798" i="1"/>
  <c r="N4798" i="1"/>
  <c r="A4799" i="1"/>
  <c r="C4799" i="1"/>
  <c r="N4799" i="1"/>
  <c r="A4800" i="1"/>
  <c r="C4800" i="1"/>
  <c r="N4800" i="1"/>
  <c r="A4801" i="1"/>
  <c r="C4801" i="1"/>
  <c r="N4801" i="1"/>
  <c r="A4802" i="1"/>
  <c r="C4802" i="1"/>
  <c r="N4802" i="1"/>
  <c r="A4803" i="1"/>
  <c r="C4803" i="1"/>
  <c r="N4803" i="1"/>
  <c r="A4804" i="1"/>
  <c r="C4804" i="1"/>
  <c r="N4804" i="1"/>
  <c r="A4805" i="1"/>
  <c r="C4805" i="1"/>
  <c r="N4805" i="1"/>
  <c r="A4806" i="1"/>
  <c r="C4806" i="1"/>
  <c r="N4806" i="1"/>
  <c r="A4807" i="1"/>
  <c r="C4807" i="1"/>
  <c r="N4807" i="1"/>
  <c r="A4808" i="1"/>
  <c r="C4808" i="1"/>
  <c r="N4808" i="1"/>
  <c r="A4809" i="1"/>
  <c r="C4809" i="1"/>
  <c r="N4809" i="1"/>
  <c r="A4810" i="1"/>
  <c r="C4810" i="1"/>
  <c r="N4810" i="1"/>
  <c r="A4811" i="1"/>
  <c r="C4811" i="1"/>
  <c r="N4811" i="1"/>
  <c r="A4812" i="1"/>
  <c r="C4812" i="1"/>
  <c r="N4812" i="1"/>
  <c r="A4813" i="1"/>
  <c r="C4813" i="1"/>
  <c r="N4813" i="1"/>
  <c r="A4814" i="1"/>
  <c r="C4814" i="1"/>
  <c r="N4814" i="1"/>
  <c r="A4815" i="1"/>
  <c r="C4815" i="1"/>
  <c r="N4815" i="1"/>
  <c r="A4816" i="1"/>
  <c r="C4816" i="1"/>
  <c r="N4816" i="1"/>
  <c r="A4817" i="1"/>
  <c r="C4817" i="1"/>
  <c r="N4817" i="1"/>
  <c r="A4818" i="1"/>
  <c r="C4818" i="1"/>
  <c r="N4818" i="1"/>
  <c r="A4819" i="1"/>
  <c r="C4819" i="1"/>
  <c r="N4819" i="1"/>
  <c r="A4820" i="1"/>
  <c r="C4820" i="1"/>
  <c r="N4820" i="1"/>
  <c r="A4821" i="1"/>
  <c r="C4821" i="1"/>
  <c r="N4821" i="1"/>
  <c r="A4822" i="1"/>
  <c r="C4822" i="1"/>
  <c r="N4822" i="1"/>
  <c r="A4823" i="1"/>
  <c r="C4823" i="1"/>
  <c r="N4823" i="1"/>
  <c r="A4824" i="1"/>
  <c r="C4824" i="1"/>
  <c r="N4824" i="1"/>
  <c r="A4825" i="1"/>
  <c r="C4825" i="1"/>
  <c r="N4825" i="1"/>
  <c r="A4826" i="1"/>
  <c r="C4826" i="1"/>
  <c r="N4826" i="1"/>
  <c r="A4827" i="1"/>
  <c r="C4827" i="1"/>
  <c r="N4827" i="1"/>
  <c r="A4828" i="1"/>
  <c r="C4828" i="1"/>
  <c r="N4828" i="1"/>
  <c r="A4829" i="1"/>
  <c r="C4829" i="1"/>
  <c r="N4829" i="1"/>
  <c r="A4830" i="1"/>
  <c r="C4830" i="1"/>
  <c r="N4830" i="1"/>
  <c r="A4831" i="1"/>
  <c r="C4831" i="1"/>
  <c r="N4831" i="1"/>
  <c r="A4832" i="1"/>
  <c r="C4832" i="1"/>
  <c r="N4832" i="1"/>
  <c r="A4833" i="1"/>
  <c r="C4833" i="1"/>
  <c r="N4833" i="1"/>
  <c r="A4834" i="1"/>
  <c r="C4834" i="1"/>
  <c r="N4834" i="1"/>
  <c r="A4835" i="1"/>
  <c r="C4835" i="1"/>
  <c r="N4835" i="1"/>
  <c r="A4836" i="1"/>
  <c r="C4836" i="1"/>
  <c r="N4836" i="1"/>
  <c r="A4837" i="1"/>
  <c r="C4837" i="1"/>
  <c r="N4837" i="1"/>
  <c r="A4838" i="1"/>
  <c r="C4838" i="1"/>
  <c r="N4838" i="1"/>
  <c r="A4839" i="1"/>
  <c r="C4839" i="1"/>
  <c r="N4839" i="1"/>
  <c r="A4840" i="1"/>
  <c r="C4840" i="1"/>
  <c r="N4840" i="1"/>
  <c r="A4841" i="1"/>
  <c r="C4841" i="1"/>
  <c r="N4841" i="1"/>
  <c r="A4842" i="1"/>
  <c r="C4842" i="1"/>
  <c r="N4842" i="1"/>
  <c r="A4843" i="1"/>
  <c r="C4843" i="1"/>
  <c r="N4843" i="1"/>
  <c r="A4844" i="1"/>
  <c r="C4844" i="1"/>
  <c r="N4844" i="1"/>
  <c r="A4845" i="1"/>
  <c r="C4845" i="1"/>
  <c r="N4845" i="1"/>
  <c r="A4846" i="1"/>
  <c r="C4846" i="1"/>
  <c r="N4846" i="1"/>
  <c r="A4847" i="1"/>
  <c r="C4847" i="1"/>
  <c r="N4847" i="1"/>
  <c r="A4848" i="1"/>
  <c r="C4848" i="1"/>
  <c r="N4848" i="1"/>
  <c r="A4849" i="1"/>
  <c r="C4849" i="1"/>
  <c r="N4849" i="1"/>
  <c r="A4850" i="1"/>
  <c r="C4850" i="1"/>
  <c r="N4850" i="1"/>
  <c r="A4851" i="1"/>
  <c r="C4851" i="1"/>
  <c r="N4851" i="1"/>
  <c r="A4852" i="1"/>
  <c r="C4852" i="1"/>
  <c r="N4852" i="1"/>
  <c r="A4853" i="1"/>
  <c r="C4853" i="1"/>
  <c r="N4853" i="1"/>
  <c r="A4854" i="1"/>
  <c r="C4854" i="1"/>
  <c r="N4854" i="1"/>
  <c r="A4855" i="1"/>
  <c r="C4855" i="1"/>
  <c r="N4855" i="1"/>
  <c r="A4856" i="1"/>
  <c r="C4856" i="1"/>
  <c r="N4856" i="1"/>
  <c r="A4857" i="1"/>
  <c r="C4857" i="1"/>
  <c r="F4857" i="1"/>
  <c r="N4857" i="1"/>
  <c r="A4858" i="1"/>
  <c r="C4858" i="1"/>
  <c r="N4858" i="1"/>
  <c r="A4859" i="1"/>
  <c r="C4859" i="1"/>
  <c r="N4859" i="1"/>
  <c r="A4860" i="1"/>
  <c r="C4860" i="1"/>
  <c r="N4860" i="1"/>
  <c r="A4861" i="1"/>
  <c r="C4861" i="1"/>
  <c r="N4861" i="1"/>
  <c r="A4862" i="1"/>
  <c r="C4862" i="1"/>
  <c r="N4862" i="1"/>
  <c r="A4863" i="1"/>
  <c r="C4863" i="1"/>
  <c r="N4863" i="1"/>
  <c r="A4864" i="1"/>
  <c r="C4864" i="1"/>
  <c r="N4864" i="1"/>
  <c r="A4865" i="1"/>
  <c r="C4865" i="1"/>
  <c r="N4865" i="1"/>
  <c r="A4866" i="1"/>
  <c r="C4866" i="1"/>
  <c r="N4866" i="1"/>
  <c r="A4867" i="1"/>
  <c r="C4867" i="1"/>
  <c r="N4867" i="1"/>
  <c r="A4868" i="1"/>
  <c r="C4868" i="1"/>
  <c r="N4868" i="1"/>
  <c r="A4869" i="1"/>
  <c r="C4869" i="1"/>
  <c r="N4869" i="1"/>
  <c r="A4870" i="1"/>
  <c r="C4870" i="1"/>
  <c r="N4870" i="1"/>
  <c r="A4871" i="1"/>
  <c r="C4871" i="1"/>
  <c r="N4871" i="1"/>
  <c r="A4872" i="1"/>
  <c r="C4872" i="1"/>
  <c r="N4872" i="1"/>
  <c r="A4873" i="1"/>
  <c r="C4873" i="1"/>
  <c r="N4873" i="1"/>
  <c r="A4874" i="1"/>
  <c r="C4874" i="1"/>
  <c r="N4874" i="1"/>
  <c r="A4875" i="1"/>
  <c r="C4875" i="1"/>
  <c r="N4875" i="1"/>
  <c r="A4876" i="1"/>
  <c r="C4876" i="1"/>
  <c r="N4876" i="1"/>
  <c r="A4877" i="1"/>
  <c r="C4877" i="1"/>
  <c r="N4877" i="1"/>
  <c r="A4878" i="1"/>
  <c r="C4878" i="1"/>
  <c r="N4878" i="1"/>
  <c r="A4879" i="1"/>
  <c r="C4879" i="1"/>
  <c r="N4879" i="1"/>
  <c r="A4880" i="1"/>
  <c r="C4880" i="1"/>
  <c r="N4880" i="1"/>
  <c r="A4881" i="1"/>
  <c r="C4881" i="1"/>
  <c r="N4881" i="1"/>
  <c r="A4882" i="1"/>
  <c r="C4882" i="1"/>
  <c r="N4882" i="1"/>
  <c r="A4883" i="1"/>
  <c r="C4883" i="1"/>
  <c r="N4883" i="1"/>
  <c r="A4884" i="1"/>
  <c r="C4884" i="1"/>
  <c r="N4884" i="1"/>
  <c r="A4885" i="1"/>
  <c r="C4885" i="1"/>
  <c r="N4885" i="1"/>
  <c r="A4886" i="1"/>
  <c r="C4886" i="1"/>
  <c r="N4886" i="1"/>
  <c r="A4887" i="1"/>
  <c r="C4887" i="1"/>
  <c r="N4887" i="1"/>
  <c r="A4888" i="1"/>
  <c r="C4888" i="1"/>
  <c r="N4888" i="1"/>
  <c r="A4889" i="1"/>
  <c r="C4889" i="1"/>
  <c r="N4889" i="1"/>
  <c r="A4890" i="1"/>
  <c r="C4890" i="1"/>
  <c r="N4890" i="1"/>
  <c r="A4891" i="1"/>
  <c r="C4891" i="1"/>
  <c r="N4891" i="1"/>
  <c r="A4892" i="1"/>
  <c r="C4892" i="1"/>
  <c r="N4892" i="1"/>
  <c r="A4893" i="1"/>
  <c r="C4893" i="1"/>
  <c r="N4893" i="1"/>
  <c r="A4894" i="1"/>
  <c r="C4894" i="1"/>
  <c r="N4894" i="1"/>
  <c r="A4895" i="1"/>
  <c r="C4895" i="1"/>
  <c r="N4895" i="1"/>
  <c r="A4896" i="1"/>
  <c r="C4896" i="1"/>
  <c r="N4896" i="1"/>
  <c r="A4897" i="1"/>
  <c r="C4897" i="1"/>
  <c r="N4897" i="1"/>
  <c r="A4898" i="1"/>
  <c r="C4898" i="1"/>
  <c r="N4898" i="1"/>
  <c r="A4899" i="1"/>
  <c r="C4899" i="1"/>
  <c r="N4899" i="1"/>
  <c r="A4900" i="1"/>
  <c r="C4900" i="1"/>
  <c r="N4900" i="1"/>
  <c r="A4901" i="1"/>
  <c r="C4901" i="1"/>
  <c r="N4901" i="1"/>
  <c r="A4902" i="1"/>
  <c r="C4902" i="1"/>
  <c r="N4902" i="1"/>
  <c r="A4903" i="1"/>
  <c r="C4903" i="1"/>
  <c r="N4903" i="1"/>
  <c r="A4904" i="1"/>
  <c r="C4904" i="1"/>
  <c r="N4904" i="1"/>
  <c r="A4905" i="1"/>
  <c r="C4905" i="1"/>
  <c r="N4905" i="1"/>
  <c r="A4906" i="1"/>
  <c r="C4906" i="1"/>
  <c r="N4906" i="1"/>
  <c r="A4907" i="1"/>
  <c r="C4907" i="1"/>
  <c r="F4907" i="1"/>
  <c r="N4907" i="1"/>
  <c r="A4908" i="1"/>
  <c r="C4908" i="1"/>
  <c r="N4908" i="1"/>
  <c r="A4909" i="1"/>
  <c r="C4909" i="1"/>
  <c r="N4909" i="1"/>
  <c r="A4910" i="1"/>
  <c r="C4910" i="1"/>
  <c r="N4910" i="1"/>
  <c r="A4911" i="1"/>
  <c r="C4911" i="1"/>
  <c r="N4911" i="1"/>
  <c r="A4912" i="1"/>
  <c r="C4912" i="1"/>
  <c r="N4912" i="1"/>
  <c r="A4913" i="1"/>
  <c r="C4913" i="1"/>
  <c r="N4913" i="1"/>
  <c r="A4914" i="1"/>
  <c r="C4914" i="1"/>
  <c r="N4914" i="1"/>
  <c r="A4915" i="1"/>
  <c r="C4915" i="1"/>
  <c r="N4915" i="1"/>
  <c r="A4916" i="1"/>
  <c r="C4916" i="1"/>
  <c r="N4916" i="1"/>
  <c r="A4917" i="1"/>
  <c r="C4917" i="1"/>
  <c r="N4917" i="1"/>
  <c r="A4918" i="1"/>
  <c r="C4918" i="1"/>
  <c r="N4918" i="1"/>
  <c r="A4919" i="1"/>
  <c r="C4919" i="1"/>
  <c r="N4919" i="1"/>
  <c r="A4920" i="1"/>
  <c r="C4920" i="1"/>
  <c r="N4920" i="1"/>
  <c r="A4921" i="1"/>
  <c r="C4921" i="1"/>
  <c r="N4921" i="1"/>
  <c r="A4922" i="1"/>
  <c r="C4922" i="1"/>
  <c r="N4922" i="1"/>
  <c r="A4923" i="1"/>
  <c r="C4923" i="1"/>
  <c r="N4923" i="1"/>
  <c r="A4924" i="1"/>
  <c r="C4924" i="1"/>
  <c r="N4924" i="1"/>
  <c r="A4925" i="1"/>
  <c r="C4925" i="1"/>
  <c r="N4925" i="1"/>
  <c r="A4926" i="1"/>
  <c r="C4926" i="1"/>
  <c r="N4926" i="1"/>
  <c r="A4927" i="1"/>
  <c r="C4927" i="1"/>
  <c r="N4927" i="1"/>
  <c r="A4928" i="1"/>
  <c r="C4928" i="1"/>
  <c r="N4928" i="1"/>
  <c r="A4929" i="1"/>
  <c r="C4929" i="1"/>
  <c r="N4929" i="1"/>
  <c r="A4930" i="1"/>
  <c r="C4930" i="1"/>
  <c r="N4930" i="1"/>
  <c r="A4931" i="1"/>
  <c r="C4931" i="1"/>
  <c r="N4931" i="1"/>
  <c r="A4932" i="1"/>
  <c r="C4932" i="1"/>
  <c r="N4932" i="1"/>
  <c r="A4933" i="1"/>
  <c r="C4933" i="1"/>
  <c r="N4933" i="1"/>
  <c r="A4934" i="1"/>
  <c r="C4934" i="1"/>
  <c r="N4934" i="1"/>
  <c r="A4935" i="1"/>
  <c r="C4935" i="1"/>
  <c r="N4935" i="1"/>
  <c r="A4936" i="1"/>
  <c r="C4936" i="1"/>
  <c r="N4936" i="1"/>
  <c r="A4937" i="1"/>
  <c r="C4937" i="1"/>
  <c r="N4937" i="1"/>
  <c r="A4938" i="1"/>
  <c r="C4938" i="1"/>
  <c r="N4938" i="1"/>
  <c r="A4939" i="1"/>
  <c r="C4939" i="1"/>
  <c r="N4939" i="1"/>
  <c r="A4940" i="1"/>
  <c r="C4940" i="1"/>
  <c r="N4940" i="1"/>
  <c r="A4941" i="1"/>
  <c r="C4941" i="1"/>
  <c r="N4941" i="1"/>
  <c r="A4942" i="1"/>
  <c r="C4942" i="1"/>
  <c r="N4942" i="1"/>
  <c r="A4943" i="1"/>
  <c r="C4943" i="1"/>
  <c r="N4943" i="1"/>
  <c r="A4944" i="1"/>
  <c r="C4944" i="1"/>
  <c r="N4944" i="1"/>
  <c r="A4945" i="1"/>
  <c r="C4945" i="1"/>
  <c r="N4945" i="1"/>
  <c r="A4946" i="1"/>
  <c r="C4946" i="1"/>
  <c r="N4946" i="1"/>
  <c r="A4947" i="1"/>
  <c r="C4947" i="1"/>
  <c r="N4947" i="1"/>
  <c r="A4948" i="1"/>
  <c r="C4948" i="1"/>
  <c r="N4948" i="1"/>
  <c r="A4949" i="1"/>
  <c r="C4949" i="1"/>
  <c r="N4949" i="1"/>
  <c r="A4950" i="1"/>
  <c r="C4950" i="1"/>
  <c r="N4950" i="1"/>
  <c r="A4951" i="1"/>
  <c r="C4951" i="1"/>
  <c r="N4951" i="1"/>
  <c r="A4952" i="1"/>
  <c r="C4952" i="1"/>
  <c r="N4952" i="1"/>
  <c r="A4953" i="1"/>
  <c r="C4953" i="1"/>
  <c r="N4953" i="1"/>
  <c r="A4954" i="1"/>
  <c r="C4954" i="1"/>
  <c r="N4954" i="1"/>
  <c r="A4955" i="1"/>
  <c r="C4955" i="1"/>
  <c r="N4955" i="1"/>
  <c r="A4956" i="1"/>
  <c r="C4956" i="1"/>
  <c r="N4956" i="1"/>
  <c r="A4957" i="1"/>
  <c r="C4957" i="1"/>
  <c r="N4957" i="1"/>
  <c r="A4958" i="1"/>
  <c r="C4958" i="1"/>
  <c r="N4958" i="1"/>
  <c r="A4959" i="1"/>
  <c r="C4959" i="1"/>
  <c r="N4959" i="1"/>
  <c r="A4960" i="1"/>
  <c r="C4960" i="1"/>
  <c r="N4960" i="1"/>
  <c r="A4961" i="1"/>
  <c r="C4961" i="1"/>
  <c r="N4961" i="1"/>
  <c r="A4962" i="1"/>
  <c r="C4962" i="1"/>
  <c r="N4962" i="1"/>
  <c r="A4963" i="1"/>
  <c r="C4963" i="1"/>
  <c r="N4963" i="1"/>
  <c r="A4964" i="1"/>
  <c r="C4964" i="1"/>
  <c r="N4964" i="1"/>
  <c r="A4965" i="1"/>
  <c r="C4965" i="1"/>
  <c r="N4965" i="1"/>
  <c r="A4966" i="1"/>
  <c r="C4966" i="1"/>
  <c r="N4966" i="1"/>
  <c r="A4967" i="1"/>
  <c r="C4967" i="1"/>
  <c r="N4967" i="1"/>
  <c r="A4968" i="1"/>
  <c r="C4968" i="1"/>
  <c r="N4968" i="1"/>
  <c r="A4969" i="1"/>
  <c r="C4969" i="1"/>
  <c r="N4969" i="1"/>
  <c r="A4970" i="1"/>
  <c r="C4970" i="1"/>
  <c r="N4970" i="1"/>
  <c r="A4971" i="1"/>
  <c r="C4971" i="1"/>
  <c r="N4971" i="1"/>
  <c r="A4972" i="1"/>
  <c r="C4972" i="1"/>
  <c r="N4972" i="1"/>
  <c r="A4973" i="1"/>
  <c r="C4973" i="1"/>
  <c r="N4973" i="1"/>
  <c r="A4974" i="1"/>
  <c r="C4974" i="1"/>
  <c r="N4974" i="1"/>
  <c r="A4975" i="1"/>
  <c r="C4975" i="1"/>
  <c r="N4975" i="1"/>
  <c r="A4976" i="1"/>
  <c r="C4976" i="1"/>
  <c r="N4976" i="1"/>
  <c r="A4977" i="1"/>
  <c r="C4977" i="1"/>
  <c r="N4977" i="1"/>
  <c r="A4978" i="1"/>
  <c r="C4978" i="1"/>
  <c r="N4978" i="1"/>
  <c r="A4979" i="1"/>
  <c r="C4979" i="1"/>
  <c r="N4979" i="1"/>
  <c r="A4980" i="1"/>
  <c r="C4980" i="1"/>
  <c r="N4980" i="1"/>
  <c r="A4981" i="1"/>
  <c r="C4981" i="1"/>
  <c r="N4981" i="1"/>
  <c r="A4982" i="1"/>
  <c r="C4982" i="1"/>
  <c r="N4982" i="1"/>
  <c r="A4983" i="1"/>
  <c r="C4983" i="1"/>
  <c r="N4983" i="1"/>
  <c r="A4984" i="1"/>
  <c r="C4984" i="1"/>
  <c r="N4984" i="1"/>
  <c r="A4985" i="1"/>
  <c r="C4985" i="1"/>
  <c r="N4985" i="1"/>
  <c r="A4986" i="1"/>
  <c r="C4986" i="1"/>
  <c r="N4986" i="1"/>
  <c r="A4987" i="1"/>
  <c r="C4987" i="1"/>
  <c r="N4987" i="1"/>
  <c r="A4988" i="1"/>
  <c r="C4988" i="1"/>
  <c r="N4988" i="1"/>
  <c r="A4989" i="1"/>
  <c r="C4989" i="1"/>
  <c r="N4989" i="1"/>
  <c r="A4990" i="1"/>
  <c r="C4990" i="1"/>
  <c r="N4990" i="1"/>
  <c r="A4991" i="1"/>
  <c r="C4991" i="1"/>
  <c r="N4991" i="1"/>
  <c r="A4992" i="1"/>
  <c r="C4992" i="1"/>
  <c r="N4992" i="1"/>
  <c r="A4993" i="1"/>
  <c r="C4993" i="1"/>
  <c r="N4993" i="1"/>
  <c r="A4994" i="1"/>
  <c r="C4994" i="1"/>
  <c r="N4994" i="1"/>
  <c r="A4995" i="1"/>
  <c r="C4995" i="1"/>
  <c r="N4995" i="1"/>
  <c r="A4996" i="1"/>
  <c r="C4996" i="1"/>
  <c r="N4996" i="1"/>
  <c r="A4997" i="1"/>
  <c r="C4997" i="1"/>
  <c r="N4997" i="1"/>
  <c r="A4998" i="1"/>
  <c r="C4998" i="1"/>
  <c r="N4998" i="1"/>
  <c r="A4999" i="1"/>
  <c r="C4999" i="1"/>
  <c r="N4999" i="1"/>
  <c r="A5000" i="1"/>
  <c r="C5000" i="1"/>
  <c r="N5000" i="1"/>
  <c r="A5001" i="1"/>
  <c r="C5001" i="1"/>
  <c r="N5001" i="1"/>
  <c r="A5002" i="1"/>
  <c r="C5002" i="1"/>
  <c r="N5002" i="1"/>
  <c r="A5003" i="1"/>
  <c r="C5003" i="1"/>
  <c r="N5003" i="1"/>
  <c r="A5004" i="1"/>
  <c r="C5004" i="1"/>
  <c r="N5004" i="1"/>
  <c r="A5005" i="1"/>
  <c r="C5005" i="1"/>
  <c r="N5005" i="1"/>
  <c r="A5006" i="1"/>
  <c r="C5006" i="1"/>
  <c r="N5006" i="1"/>
  <c r="A5007" i="1"/>
  <c r="C5007" i="1"/>
  <c r="N5007" i="1"/>
  <c r="A5008" i="1"/>
  <c r="C5008" i="1"/>
  <c r="N5008" i="1"/>
  <c r="A5009" i="1"/>
  <c r="C5009" i="1"/>
  <c r="N5009" i="1"/>
  <c r="A5010" i="1"/>
  <c r="C5010" i="1"/>
  <c r="N5010" i="1"/>
  <c r="A5011" i="1"/>
  <c r="C5011" i="1"/>
  <c r="N5011" i="1"/>
  <c r="A5012" i="1"/>
  <c r="C5012" i="1"/>
  <c r="N5012" i="1"/>
  <c r="A5013" i="1"/>
  <c r="C5013" i="1"/>
  <c r="N5013" i="1"/>
  <c r="A5014" i="1"/>
  <c r="C5014" i="1"/>
  <c r="N5014" i="1"/>
  <c r="A5015" i="1"/>
  <c r="C5015" i="1"/>
  <c r="N5015" i="1"/>
  <c r="A5016" i="1"/>
  <c r="C5016" i="1"/>
  <c r="N5016" i="1"/>
  <c r="A5017" i="1"/>
  <c r="C5017" i="1"/>
  <c r="N5017" i="1"/>
  <c r="A5018" i="1"/>
  <c r="C5018" i="1"/>
  <c r="N5018" i="1"/>
  <c r="A5019" i="1"/>
  <c r="C5019" i="1"/>
  <c r="N5019" i="1"/>
  <c r="A5020" i="1"/>
  <c r="C5020" i="1"/>
  <c r="N5020" i="1"/>
  <c r="A5021" i="1"/>
  <c r="C5021" i="1"/>
  <c r="N5021" i="1"/>
  <c r="A5022" i="1"/>
  <c r="C5022" i="1"/>
  <c r="N5022" i="1"/>
  <c r="A5023" i="1"/>
  <c r="C5023" i="1"/>
  <c r="N5023" i="1"/>
  <c r="A5024" i="1"/>
  <c r="C5024" i="1"/>
  <c r="N5024" i="1"/>
  <c r="A5025" i="1"/>
  <c r="C5025" i="1"/>
  <c r="N5025" i="1"/>
  <c r="A5026" i="1"/>
  <c r="C5026" i="1"/>
  <c r="N5026" i="1"/>
  <c r="A5027" i="1"/>
  <c r="C5027" i="1"/>
  <c r="N5027" i="1"/>
  <c r="A5028" i="1"/>
  <c r="C5028" i="1"/>
  <c r="N5028" i="1"/>
  <c r="A5029" i="1"/>
  <c r="C5029" i="1"/>
  <c r="N5029" i="1"/>
  <c r="A5030" i="1"/>
  <c r="C5030" i="1"/>
  <c r="N5030" i="1"/>
  <c r="A5031" i="1"/>
  <c r="C5031" i="1"/>
  <c r="N5031" i="1"/>
  <c r="A5032" i="1"/>
  <c r="C5032" i="1"/>
  <c r="N5032" i="1"/>
  <c r="A5033" i="1"/>
  <c r="C5033" i="1"/>
  <c r="N5033" i="1"/>
  <c r="A5034" i="1"/>
  <c r="C5034" i="1"/>
  <c r="N5034" i="1"/>
  <c r="A5035" i="1"/>
  <c r="C5035" i="1"/>
  <c r="N5035" i="1"/>
  <c r="A5036" i="1"/>
  <c r="C5036" i="1"/>
  <c r="N5036" i="1"/>
  <c r="A5037" i="1"/>
  <c r="C5037" i="1"/>
  <c r="N5037" i="1"/>
  <c r="A5038" i="1"/>
  <c r="C5038" i="1"/>
  <c r="N5038" i="1"/>
  <c r="A5039" i="1"/>
  <c r="C5039" i="1"/>
  <c r="N5039" i="1"/>
  <c r="A5040" i="1"/>
  <c r="C5040" i="1"/>
  <c r="N5040" i="1"/>
  <c r="A5041" i="1"/>
  <c r="C5041" i="1"/>
  <c r="N5041" i="1"/>
  <c r="A5042" i="1"/>
  <c r="C5042" i="1"/>
  <c r="N5042" i="1"/>
  <c r="A5043" i="1"/>
  <c r="C5043" i="1"/>
  <c r="N5043" i="1"/>
  <c r="A5044" i="1"/>
  <c r="C5044" i="1"/>
  <c r="N5044" i="1"/>
  <c r="A5045" i="1"/>
  <c r="C5045" i="1"/>
  <c r="N5045" i="1"/>
  <c r="A5046" i="1"/>
  <c r="C5046" i="1"/>
  <c r="N5046" i="1"/>
  <c r="A5047" i="1"/>
  <c r="C5047" i="1"/>
  <c r="N5047" i="1"/>
  <c r="A5048" i="1"/>
  <c r="C5048" i="1"/>
  <c r="N5048" i="1"/>
  <c r="A5049" i="1"/>
  <c r="C5049" i="1"/>
  <c r="N5049" i="1"/>
  <c r="A5050" i="1"/>
  <c r="C5050" i="1"/>
  <c r="N5050" i="1"/>
  <c r="A5051" i="1"/>
  <c r="C5051" i="1"/>
  <c r="N5051" i="1"/>
  <c r="A5052" i="1"/>
  <c r="C5052" i="1"/>
  <c r="N5052" i="1"/>
  <c r="A5053" i="1"/>
  <c r="C5053" i="1"/>
  <c r="N5053" i="1"/>
  <c r="A5054" i="1"/>
  <c r="C5054" i="1"/>
  <c r="N5054" i="1"/>
  <c r="A5055" i="1"/>
  <c r="C5055" i="1"/>
  <c r="N5055" i="1"/>
  <c r="A5056" i="1"/>
  <c r="C5056" i="1"/>
  <c r="N5056" i="1"/>
  <c r="A5057" i="1"/>
  <c r="C5057" i="1"/>
  <c r="N5057" i="1"/>
  <c r="A5058" i="1"/>
  <c r="C5058" i="1"/>
  <c r="N5058" i="1"/>
  <c r="A5059" i="1"/>
  <c r="C5059" i="1"/>
  <c r="N5059" i="1"/>
  <c r="A5060" i="1"/>
  <c r="C5060" i="1"/>
  <c r="N5060" i="1"/>
  <c r="A5061" i="1"/>
  <c r="C5061" i="1"/>
  <c r="N5061" i="1"/>
  <c r="A5062" i="1"/>
  <c r="C5062" i="1"/>
  <c r="N5062" i="1"/>
  <c r="A5063" i="1"/>
  <c r="C5063" i="1"/>
  <c r="N5063" i="1"/>
  <c r="A5064" i="1"/>
  <c r="C5064" i="1"/>
  <c r="N5064" i="1"/>
  <c r="A5065" i="1"/>
  <c r="C5065" i="1"/>
  <c r="N5065" i="1"/>
  <c r="A5066" i="1"/>
  <c r="C5066" i="1"/>
  <c r="N5066" i="1"/>
  <c r="A5067" i="1"/>
  <c r="C5067" i="1"/>
  <c r="N5067" i="1"/>
  <c r="A5068" i="1"/>
  <c r="C5068" i="1"/>
  <c r="N5068" i="1"/>
  <c r="A5069" i="1"/>
  <c r="C5069" i="1"/>
  <c r="N5069" i="1"/>
  <c r="A5070" i="1"/>
  <c r="C5070" i="1"/>
  <c r="N5070" i="1"/>
  <c r="A5071" i="1"/>
  <c r="C5071" i="1"/>
  <c r="N5071" i="1"/>
  <c r="A5072" i="1"/>
  <c r="C5072" i="1"/>
  <c r="N5072" i="1"/>
  <c r="A5073" i="1"/>
  <c r="C5073" i="1"/>
  <c r="N5073" i="1"/>
  <c r="A5074" i="1"/>
  <c r="C5074" i="1"/>
  <c r="N5074" i="1"/>
  <c r="A5075" i="1"/>
  <c r="C5075" i="1"/>
  <c r="N5075" i="1"/>
  <c r="A5076" i="1"/>
  <c r="C5076" i="1"/>
  <c r="N5076" i="1"/>
  <c r="A5077" i="1"/>
  <c r="C5077" i="1"/>
  <c r="N5077" i="1"/>
  <c r="A5078" i="1"/>
  <c r="C5078" i="1"/>
  <c r="N5078" i="1"/>
  <c r="A5079" i="1"/>
  <c r="C5079" i="1"/>
  <c r="N5079" i="1"/>
  <c r="A5080" i="1"/>
  <c r="C5080" i="1"/>
  <c r="N5080" i="1"/>
  <c r="A5081" i="1"/>
  <c r="C5081" i="1"/>
  <c r="N5081" i="1"/>
  <c r="A5082" i="1"/>
  <c r="C5082" i="1"/>
  <c r="N5082" i="1"/>
  <c r="A5083" i="1"/>
  <c r="C5083" i="1"/>
  <c r="N5083" i="1"/>
  <c r="A5084" i="1"/>
  <c r="C5084" i="1"/>
  <c r="F5084" i="1"/>
  <c r="N5084" i="1"/>
  <c r="A5085" i="1"/>
  <c r="C5085" i="1"/>
  <c r="N5085" i="1"/>
  <c r="A5086" i="1"/>
  <c r="C5086" i="1"/>
  <c r="N5086" i="1"/>
  <c r="A5087" i="1"/>
  <c r="C5087" i="1"/>
  <c r="N5087" i="1"/>
  <c r="A5088" i="1"/>
  <c r="C5088" i="1"/>
  <c r="N5088" i="1"/>
  <c r="A5089" i="1"/>
  <c r="C5089" i="1"/>
  <c r="N5089" i="1"/>
  <c r="A5090" i="1"/>
  <c r="C5090" i="1"/>
  <c r="N5090" i="1"/>
  <c r="A5091" i="1"/>
  <c r="C5091" i="1"/>
  <c r="N5091" i="1"/>
  <c r="A5092" i="1"/>
  <c r="C5092" i="1"/>
  <c r="N5092" i="1"/>
  <c r="A5093" i="1"/>
  <c r="C5093" i="1"/>
  <c r="N5093" i="1"/>
  <c r="A5094" i="1"/>
  <c r="C5094" i="1"/>
  <c r="N5094" i="1"/>
  <c r="A5095" i="1"/>
  <c r="C5095" i="1"/>
  <c r="N5095" i="1"/>
  <c r="A5096" i="1"/>
  <c r="C5096" i="1"/>
  <c r="N5096" i="1"/>
  <c r="A5097" i="1"/>
  <c r="C5097" i="1"/>
  <c r="N5097" i="1"/>
  <c r="A5098" i="1"/>
  <c r="C5098" i="1"/>
  <c r="N5098" i="1"/>
  <c r="A5099" i="1"/>
  <c r="C5099" i="1"/>
  <c r="N5099" i="1"/>
  <c r="A5100" i="1"/>
  <c r="C5100" i="1"/>
  <c r="N5100" i="1"/>
  <c r="A5101" i="1"/>
  <c r="C5101" i="1"/>
  <c r="N5101" i="1"/>
  <c r="A5102" i="1"/>
  <c r="C5102" i="1"/>
  <c r="N5102" i="1"/>
  <c r="A5103" i="1"/>
  <c r="C5103" i="1"/>
  <c r="N5103" i="1"/>
  <c r="A5104" i="1"/>
  <c r="C5104" i="1"/>
  <c r="N5104" i="1"/>
  <c r="A5105" i="1"/>
  <c r="C5105" i="1"/>
  <c r="N5105" i="1"/>
  <c r="A5106" i="1"/>
  <c r="C5106" i="1"/>
  <c r="N5106" i="1"/>
  <c r="A5107" i="1"/>
  <c r="C5107" i="1"/>
  <c r="N5107" i="1"/>
  <c r="A5108" i="1"/>
  <c r="C5108" i="1"/>
  <c r="N5108" i="1"/>
  <c r="A5109" i="1"/>
  <c r="C5109" i="1"/>
  <c r="N5109" i="1"/>
  <c r="A5110" i="1"/>
  <c r="C5110" i="1"/>
  <c r="N5110" i="1"/>
  <c r="A5111" i="1"/>
  <c r="C5111" i="1"/>
  <c r="N5111" i="1"/>
  <c r="A5112" i="1"/>
  <c r="C5112" i="1"/>
  <c r="N5112" i="1"/>
  <c r="A5113" i="1"/>
  <c r="C5113" i="1"/>
  <c r="N5113" i="1"/>
  <c r="A5114" i="1"/>
  <c r="C5114" i="1"/>
  <c r="N5114" i="1"/>
  <c r="A5115" i="1"/>
  <c r="C5115" i="1"/>
  <c r="N5115" i="1"/>
  <c r="A5116" i="1"/>
  <c r="C5116" i="1"/>
  <c r="N5116" i="1"/>
  <c r="A5117" i="1"/>
  <c r="C5117" i="1"/>
  <c r="N5117" i="1"/>
  <c r="A5118" i="1"/>
  <c r="C5118" i="1"/>
  <c r="N5118" i="1"/>
  <c r="A5119" i="1"/>
  <c r="C5119" i="1"/>
  <c r="N5119" i="1"/>
  <c r="A5120" i="1"/>
  <c r="C5120" i="1"/>
  <c r="F5120" i="1"/>
  <c r="N5120" i="1"/>
  <c r="A5121" i="1"/>
  <c r="C5121" i="1"/>
  <c r="N5121" i="1"/>
  <c r="A5122" i="1"/>
  <c r="C5122" i="1"/>
  <c r="N5122" i="1"/>
  <c r="A5123" i="1"/>
  <c r="C5123" i="1"/>
  <c r="N5123" i="1"/>
  <c r="A5124" i="1"/>
  <c r="C5124" i="1"/>
  <c r="N5124" i="1"/>
  <c r="A5125" i="1"/>
  <c r="C5125" i="1"/>
  <c r="N5125" i="1"/>
  <c r="A5126" i="1"/>
  <c r="C5126" i="1"/>
  <c r="N5126" i="1"/>
  <c r="A5127" i="1"/>
  <c r="C5127" i="1"/>
  <c r="N5127" i="1"/>
  <c r="A5128" i="1"/>
  <c r="C5128" i="1"/>
  <c r="N5128" i="1"/>
  <c r="A5129" i="1"/>
  <c r="C5129" i="1"/>
  <c r="N5129" i="1"/>
  <c r="A5130" i="1"/>
  <c r="C5130" i="1"/>
  <c r="N5130" i="1"/>
  <c r="A5131" i="1"/>
  <c r="C5131" i="1"/>
  <c r="N5131" i="1"/>
  <c r="A5132" i="1"/>
  <c r="C5132" i="1"/>
  <c r="N5132" i="1"/>
  <c r="A5133" i="1"/>
  <c r="C5133" i="1"/>
  <c r="N5133" i="1"/>
  <c r="A5134" i="1"/>
  <c r="C5134" i="1"/>
  <c r="N5134" i="1"/>
  <c r="A5135" i="1"/>
  <c r="C5135" i="1"/>
  <c r="N5135" i="1"/>
  <c r="A5136" i="1"/>
  <c r="C5136" i="1"/>
  <c r="N5136" i="1"/>
  <c r="A5137" i="1"/>
  <c r="C5137" i="1"/>
  <c r="N5137" i="1"/>
  <c r="A5138" i="1"/>
  <c r="C5138" i="1"/>
  <c r="N5138" i="1"/>
  <c r="A5139" i="1"/>
  <c r="C5139" i="1"/>
  <c r="N5139" i="1"/>
  <c r="A5140" i="1"/>
  <c r="C5140" i="1"/>
  <c r="N5140" i="1"/>
  <c r="A5141" i="1"/>
  <c r="C5141" i="1"/>
  <c r="N5141" i="1"/>
  <c r="A5142" i="1"/>
  <c r="C5142" i="1"/>
  <c r="N5142" i="1"/>
  <c r="A5143" i="1"/>
  <c r="C5143" i="1"/>
  <c r="N5143" i="1"/>
  <c r="A5144" i="1"/>
  <c r="C5144" i="1"/>
  <c r="N5144" i="1"/>
  <c r="A5145" i="1"/>
  <c r="C5145" i="1"/>
  <c r="N5145" i="1"/>
  <c r="A5146" i="1"/>
  <c r="C5146" i="1"/>
  <c r="N5146" i="1"/>
  <c r="A5147" i="1"/>
  <c r="C5147" i="1"/>
  <c r="N5147" i="1"/>
  <c r="A5148" i="1"/>
  <c r="C5148" i="1"/>
  <c r="N5148" i="1"/>
  <c r="A5149" i="1"/>
  <c r="C5149" i="1"/>
  <c r="F5149" i="1"/>
  <c r="N5149" i="1"/>
  <c r="A5150" i="1"/>
  <c r="C5150" i="1"/>
  <c r="F5150" i="1"/>
  <c r="N5150" i="1"/>
  <c r="A5151" i="1"/>
  <c r="C5151" i="1"/>
  <c r="F5151" i="1"/>
  <c r="N5151" i="1"/>
  <c r="A5152" i="1"/>
  <c r="C5152" i="1"/>
  <c r="F5152" i="1"/>
  <c r="N5152" i="1"/>
  <c r="A5153" i="1"/>
  <c r="C5153" i="1"/>
  <c r="F5153" i="1"/>
  <c r="N5153" i="1"/>
  <c r="A5154" i="1"/>
  <c r="C5154" i="1"/>
  <c r="N5154" i="1"/>
  <c r="A5155" i="1"/>
  <c r="C5155" i="1"/>
  <c r="N5155" i="1"/>
  <c r="A5156" i="1"/>
  <c r="C5156" i="1"/>
  <c r="N5156" i="1"/>
  <c r="A5157" i="1"/>
  <c r="C5157" i="1"/>
  <c r="N5157" i="1"/>
  <c r="A5158" i="1"/>
  <c r="C5158" i="1"/>
  <c r="N5158" i="1"/>
  <c r="A5159" i="1"/>
  <c r="C5159" i="1"/>
  <c r="N5159" i="1"/>
  <c r="A5160" i="1"/>
  <c r="C5160" i="1"/>
  <c r="N5160" i="1"/>
  <c r="A5161" i="1"/>
  <c r="C5161" i="1"/>
  <c r="N5161" i="1"/>
  <c r="A5162" i="1"/>
  <c r="C5162" i="1"/>
  <c r="N5162" i="1"/>
  <c r="A5163" i="1"/>
  <c r="C5163" i="1"/>
  <c r="N5163" i="1"/>
  <c r="A5164" i="1"/>
  <c r="C5164" i="1"/>
  <c r="N5164" i="1"/>
  <c r="A5165" i="1"/>
  <c r="C5165" i="1"/>
  <c r="N5165" i="1"/>
  <c r="A5166" i="1"/>
  <c r="C5166" i="1"/>
  <c r="N5166" i="1"/>
  <c r="A5167" i="1"/>
  <c r="C5167" i="1"/>
  <c r="N5167" i="1"/>
  <c r="A5168" i="1"/>
  <c r="C5168" i="1"/>
  <c r="N5168" i="1"/>
  <c r="A5169" i="1"/>
  <c r="C5169" i="1"/>
  <c r="N5169" i="1"/>
  <c r="A5170" i="1"/>
  <c r="C5170" i="1"/>
  <c r="N5170" i="1"/>
  <c r="A5171" i="1"/>
  <c r="C5171" i="1"/>
  <c r="N5171" i="1"/>
  <c r="A5172" i="1"/>
  <c r="C5172" i="1"/>
  <c r="N5172" i="1"/>
  <c r="A5173" i="1"/>
  <c r="C5173" i="1"/>
  <c r="N5173" i="1"/>
  <c r="A5174" i="1"/>
  <c r="C5174" i="1"/>
  <c r="N5174" i="1"/>
  <c r="A5175" i="1"/>
  <c r="C5175" i="1"/>
  <c r="N5175" i="1"/>
  <c r="A5176" i="1"/>
  <c r="C5176" i="1"/>
  <c r="N5176" i="1"/>
  <c r="A5177" i="1"/>
  <c r="C5177" i="1"/>
  <c r="N5177" i="1"/>
  <c r="A5178" i="1"/>
  <c r="C5178" i="1"/>
  <c r="N5178" i="1"/>
  <c r="A5179" i="1"/>
  <c r="C5179" i="1"/>
  <c r="N5179" i="1"/>
  <c r="A5180" i="1"/>
  <c r="C5180" i="1"/>
  <c r="N5180" i="1"/>
  <c r="A5181" i="1"/>
  <c r="C5181" i="1"/>
  <c r="N5181" i="1"/>
  <c r="A5182" i="1"/>
  <c r="C5182" i="1"/>
  <c r="N5182" i="1"/>
  <c r="A5183" i="1"/>
  <c r="C5183" i="1"/>
  <c r="N5183" i="1"/>
  <c r="A5184" i="1"/>
  <c r="C5184" i="1"/>
  <c r="N5184" i="1"/>
  <c r="A5185" i="1"/>
  <c r="C5185" i="1"/>
  <c r="N5185" i="1"/>
  <c r="A5186" i="1"/>
  <c r="C5186" i="1"/>
  <c r="N5186" i="1"/>
  <c r="A5187" i="1"/>
  <c r="C5187" i="1"/>
  <c r="N5187" i="1"/>
  <c r="A5188" i="1"/>
  <c r="C5188" i="1"/>
  <c r="F5188" i="1"/>
  <c r="N5188" i="1"/>
  <c r="A5189" i="1"/>
  <c r="C5189" i="1"/>
  <c r="N5189" i="1"/>
  <c r="A5190" i="1"/>
  <c r="C5190" i="1"/>
  <c r="N5190" i="1"/>
  <c r="A5191" i="1"/>
  <c r="C5191" i="1"/>
  <c r="N5191" i="1"/>
  <c r="A5192" i="1"/>
  <c r="C5192" i="1"/>
  <c r="N5192" i="1"/>
  <c r="A5193" i="1"/>
  <c r="C5193" i="1"/>
  <c r="N5193" i="1"/>
  <c r="A5194" i="1"/>
  <c r="C5194" i="1"/>
  <c r="N5194" i="1"/>
  <c r="A5195" i="1"/>
  <c r="C5195" i="1"/>
  <c r="N5195" i="1"/>
  <c r="A5196" i="1"/>
  <c r="C5196" i="1"/>
  <c r="N5196" i="1"/>
  <c r="A5197" i="1"/>
  <c r="C5197" i="1"/>
  <c r="N5197" i="1"/>
  <c r="A5198" i="1"/>
  <c r="C5198" i="1"/>
  <c r="N5198" i="1"/>
  <c r="A5199" i="1"/>
  <c r="C5199" i="1"/>
  <c r="N5199" i="1"/>
  <c r="A5200" i="1"/>
  <c r="C5200" i="1"/>
  <c r="N5200" i="1"/>
  <c r="A5201" i="1"/>
  <c r="C5201" i="1"/>
  <c r="N5201" i="1"/>
  <c r="A5202" i="1"/>
  <c r="C5202" i="1"/>
  <c r="N5202" i="1"/>
  <c r="A5203" i="1"/>
  <c r="C5203" i="1"/>
  <c r="N5203" i="1"/>
  <c r="A5204" i="1"/>
  <c r="C5204" i="1"/>
  <c r="N5204" i="1"/>
  <c r="A5205" i="1"/>
  <c r="C5205" i="1"/>
  <c r="N5205" i="1"/>
  <c r="A5206" i="1"/>
  <c r="C5206" i="1"/>
  <c r="N5206" i="1"/>
  <c r="A5207" i="1"/>
  <c r="C5207" i="1"/>
  <c r="N5207" i="1"/>
  <c r="A5208" i="1"/>
  <c r="C5208" i="1"/>
  <c r="N5208" i="1"/>
  <c r="A5209" i="1"/>
  <c r="C5209" i="1"/>
  <c r="N5209" i="1"/>
  <c r="A5210" i="1"/>
  <c r="C5210" i="1"/>
  <c r="N5210" i="1"/>
  <c r="A5211" i="1"/>
  <c r="C5211" i="1"/>
  <c r="N5211" i="1"/>
  <c r="A5212" i="1"/>
  <c r="C5212" i="1"/>
  <c r="N5212" i="1"/>
  <c r="A5213" i="1"/>
  <c r="C5213" i="1"/>
  <c r="N5213" i="1"/>
  <c r="A5214" i="1"/>
  <c r="C5214" i="1"/>
  <c r="N5214" i="1"/>
  <c r="A5215" i="1"/>
  <c r="C5215" i="1"/>
  <c r="N5215" i="1"/>
  <c r="A5216" i="1"/>
  <c r="C5216" i="1"/>
  <c r="N5216" i="1"/>
  <c r="A5217" i="1"/>
  <c r="C5217" i="1"/>
  <c r="N5217" i="1"/>
  <c r="A5218" i="1"/>
  <c r="C5218" i="1"/>
  <c r="N5218" i="1"/>
  <c r="A5219" i="1"/>
  <c r="C5219" i="1"/>
  <c r="N5219" i="1"/>
  <c r="A5220" i="1"/>
  <c r="C5220" i="1"/>
  <c r="N5220" i="1"/>
  <c r="A5221" i="1"/>
  <c r="C5221" i="1"/>
  <c r="N5221" i="1"/>
  <c r="A5222" i="1"/>
  <c r="C5222" i="1"/>
  <c r="N5222" i="1"/>
  <c r="A5223" i="1"/>
  <c r="C5223" i="1"/>
  <c r="N5223" i="1"/>
  <c r="A5224" i="1"/>
  <c r="C5224" i="1"/>
  <c r="N5224" i="1"/>
  <c r="A5225" i="1"/>
  <c r="C5225" i="1"/>
  <c r="N5225" i="1"/>
  <c r="A5226" i="1"/>
  <c r="C5226" i="1"/>
  <c r="N5226" i="1"/>
  <c r="A5227" i="1"/>
  <c r="C5227" i="1"/>
  <c r="N5227" i="1"/>
  <c r="A5228" i="1"/>
  <c r="C5228" i="1"/>
  <c r="N5228" i="1"/>
  <c r="A5229" i="1"/>
  <c r="C5229" i="1"/>
  <c r="N5229" i="1"/>
  <c r="A5230" i="1"/>
  <c r="C5230" i="1"/>
  <c r="N5230" i="1"/>
  <c r="A5231" i="1"/>
  <c r="C5231" i="1"/>
  <c r="N5231" i="1"/>
  <c r="A5232" i="1"/>
  <c r="C5232" i="1"/>
  <c r="N5232" i="1"/>
  <c r="A5233" i="1"/>
  <c r="C5233" i="1"/>
  <c r="N5233" i="1"/>
  <c r="A5234" i="1"/>
  <c r="C5234" i="1"/>
  <c r="N5234" i="1"/>
  <c r="A5235" i="1"/>
  <c r="C5235" i="1"/>
  <c r="N5235" i="1"/>
  <c r="A5236" i="1"/>
  <c r="C5236" i="1"/>
  <c r="N5236" i="1"/>
  <c r="A5237" i="1"/>
  <c r="C5237" i="1"/>
  <c r="N5237" i="1"/>
  <c r="A5238" i="1"/>
  <c r="C5238" i="1"/>
  <c r="N5238" i="1"/>
  <c r="A5239" i="1"/>
  <c r="C5239" i="1"/>
  <c r="N5239" i="1"/>
  <c r="A5240" i="1"/>
  <c r="C5240" i="1"/>
  <c r="N5240" i="1"/>
  <c r="A5241" i="1"/>
  <c r="C5241" i="1"/>
  <c r="N5241" i="1"/>
  <c r="A5242" i="1"/>
  <c r="C5242" i="1"/>
  <c r="N5242" i="1"/>
  <c r="A5243" i="1"/>
  <c r="C5243" i="1"/>
  <c r="N5243" i="1"/>
  <c r="A5244" i="1"/>
  <c r="C5244" i="1"/>
  <c r="N5244" i="1"/>
  <c r="A5245" i="1"/>
  <c r="C5245" i="1"/>
  <c r="N5245" i="1"/>
  <c r="A5246" i="1"/>
  <c r="C5246" i="1"/>
  <c r="N5246" i="1"/>
  <c r="A5247" i="1"/>
  <c r="C5247" i="1"/>
  <c r="N5247" i="1"/>
  <c r="A5248" i="1"/>
  <c r="C5248" i="1"/>
  <c r="N5248" i="1"/>
  <c r="A5249" i="1"/>
  <c r="C5249" i="1"/>
  <c r="N5249" i="1"/>
  <c r="A5250" i="1"/>
  <c r="C5250" i="1"/>
  <c r="N5250" i="1"/>
  <c r="A5251" i="1"/>
  <c r="C5251" i="1"/>
  <c r="N5251" i="1"/>
  <c r="A5252" i="1"/>
  <c r="C5252" i="1"/>
  <c r="N5252" i="1"/>
  <c r="A5253" i="1"/>
  <c r="C5253" i="1"/>
  <c r="N5253" i="1"/>
  <c r="A5254" i="1"/>
  <c r="C5254" i="1"/>
  <c r="N5254" i="1"/>
  <c r="A5255" i="1"/>
  <c r="C5255" i="1"/>
  <c r="N5255" i="1"/>
  <c r="A5256" i="1"/>
  <c r="C5256" i="1"/>
  <c r="N5256" i="1"/>
  <c r="A5257" i="1"/>
  <c r="C5257" i="1"/>
  <c r="N5257" i="1"/>
  <c r="A5258" i="1"/>
  <c r="C5258" i="1"/>
  <c r="N5258" i="1"/>
  <c r="A5259" i="1"/>
  <c r="C5259" i="1"/>
  <c r="N5259" i="1"/>
  <c r="A5260" i="1"/>
  <c r="C5260" i="1"/>
  <c r="N5260" i="1"/>
  <c r="A5261" i="1"/>
  <c r="C5261" i="1"/>
  <c r="N5261" i="1"/>
  <c r="A5262" i="1"/>
  <c r="C5262" i="1"/>
  <c r="N5262" i="1"/>
  <c r="A5263" i="1"/>
  <c r="C5263" i="1"/>
  <c r="N5263" i="1"/>
  <c r="A5264" i="1"/>
  <c r="C5264" i="1"/>
  <c r="N5264" i="1"/>
  <c r="A5265" i="1"/>
  <c r="C5265" i="1"/>
  <c r="F5265" i="1"/>
  <c r="N5265" i="1"/>
  <c r="A5266" i="1"/>
  <c r="C5266" i="1"/>
  <c r="N5266" i="1"/>
  <c r="A5267" i="1"/>
  <c r="C5267" i="1"/>
  <c r="N5267" i="1"/>
  <c r="A5268" i="1"/>
  <c r="C5268" i="1"/>
  <c r="N5268" i="1"/>
  <c r="A5269" i="1"/>
  <c r="C5269" i="1"/>
  <c r="N5269" i="1"/>
  <c r="A5270" i="1"/>
  <c r="C5270" i="1"/>
  <c r="N5270" i="1"/>
  <c r="A5271" i="1"/>
  <c r="C5271" i="1"/>
  <c r="N5271" i="1"/>
  <c r="A5272" i="1"/>
  <c r="C5272" i="1"/>
  <c r="N5272" i="1"/>
  <c r="A5273" i="1"/>
  <c r="C5273" i="1"/>
  <c r="N5273" i="1"/>
  <c r="A5274" i="1"/>
  <c r="C5274" i="1"/>
  <c r="N5274" i="1"/>
  <c r="A5275" i="1"/>
  <c r="C5275" i="1"/>
  <c r="N5275" i="1"/>
  <c r="A5276" i="1"/>
  <c r="C5276" i="1"/>
  <c r="N5276" i="1"/>
  <c r="A5277" i="1"/>
  <c r="C5277" i="1"/>
  <c r="N5277" i="1"/>
  <c r="A5278" i="1"/>
  <c r="C5278" i="1"/>
  <c r="N5278" i="1"/>
  <c r="A5279" i="1"/>
  <c r="C5279" i="1"/>
  <c r="N5279" i="1"/>
  <c r="A5280" i="1"/>
  <c r="C5280" i="1"/>
  <c r="N5280" i="1"/>
  <c r="A5281" i="1"/>
  <c r="C5281" i="1"/>
  <c r="N5281" i="1"/>
  <c r="A5282" i="1"/>
  <c r="C5282" i="1"/>
  <c r="N5282" i="1"/>
  <c r="A5283" i="1"/>
  <c r="C5283" i="1"/>
  <c r="N5283" i="1"/>
  <c r="A5284" i="1"/>
  <c r="C5284" i="1"/>
  <c r="N5284" i="1"/>
  <c r="A5285" i="1"/>
  <c r="C5285" i="1"/>
  <c r="N5285" i="1"/>
  <c r="A5286" i="1"/>
  <c r="C5286" i="1"/>
  <c r="N5286" i="1"/>
  <c r="A5287" i="1"/>
  <c r="C5287" i="1"/>
  <c r="N5287" i="1"/>
  <c r="A5288" i="1"/>
  <c r="C5288" i="1"/>
  <c r="N5288" i="1"/>
  <c r="A5289" i="1"/>
  <c r="C5289" i="1"/>
  <c r="N5289" i="1"/>
  <c r="A5290" i="1"/>
  <c r="C5290" i="1"/>
  <c r="N5290" i="1"/>
  <c r="A5291" i="1"/>
  <c r="C5291" i="1"/>
  <c r="N5291" i="1"/>
  <c r="A5292" i="1"/>
  <c r="C5292" i="1"/>
  <c r="N5292" i="1"/>
  <c r="A5293" i="1"/>
  <c r="C5293" i="1"/>
  <c r="N5293" i="1"/>
  <c r="A5294" i="1"/>
  <c r="C5294" i="1"/>
  <c r="N5294" i="1"/>
  <c r="A5295" i="1"/>
  <c r="C5295" i="1"/>
  <c r="N5295" i="1"/>
  <c r="A5296" i="1"/>
  <c r="C5296" i="1"/>
  <c r="N5296" i="1"/>
  <c r="A5297" i="1"/>
  <c r="C5297" i="1"/>
  <c r="N5297" i="1"/>
  <c r="A5298" i="1"/>
  <c r="C5298" i="1"/>
  <c r="N5298" i="1"/>
  <c r="A5299" i="1"/>
  <c r="C5299" i="1"/>
  <c r="N5299" i="1"/>
  <c r="A5300" i="1"/>
  <c r="C5300" i="1"/>
  <c r="N5300" i="1"/>
  <c r="A5301" i="1"/>
  <c r="C5301" i="1"/>
  <c r="N5301" i="1"/>
  <c r="A5302" i="1"/>
  <c r="C5302" i="1"/>
  <c r="N5302" i="1"/>
  <c r="A5303" i="1"/>
  <c r="C5303" i="1"/>
  <c r="N5303" i="1"/>
  <c r="A5304" i="1"/>
  <c r="C5304" i="1"/>
  <c r="N5304" i="1"/>
  <c r="A5305" i="1"/>
  <c r="C5305" i="1"/>
  <c r="N5305" i="1"/>
  <c r="A5306" i="1"/>
  <c r="C5306" i="1"/>
  <c r="N5306" i="1"/>
  <c r="A5307" i="1"/>
  <c r="C5307" i="1"/>
  <c r="N5307" i="1"/>
  <c r="A5308" i="1"/>
  <c r="C5308" i="1"/>
  <c r="N5308" i="1"/>
  <c r="A5309" i="1"/>
  <c r="C5309" i="1"/>
  <c r="F5309" i="1"/>
  <c r="N5309" i="1"/>
  <c r="A5310" i="1"/>
  <c r="C5310" i="1"/>
  <c r="N5310" i="1"/>
  <c r="A5311" i="1"/>
  <c r="C5311" i="1"/>
  <c r="N5311" i="1"/>
  <c r="A5312" i="1"/>
  <c r="C5312" i="1"/>
  <c r="N5312" i="1"/>
  <c r="A5313" i="1"/>
  <c r="C5313" i="1"/>
  <c r="N5313" i="1"/>
  <c r="A5314" i="1"/>
  <c r="C5314" i="1"/>
  <c r="N5314" i="1"/>
  <c r="A5315" i="1"/>
  <c r="C5315" i="1"/>
  <c r="N5315" i="1"/>
  <c r="A5316" i="1"/>
  <c r="C5316" i="1"/>
  <c r="N5316" i="1"/>
  <c r="A5317" i="1"/>
  <c r="C5317" i="1"/>
  <c r="N5317" i="1"/>
  <c r="A5318" i="1"/>
  <c r="C5318" i="1"/>
  <c r="N5318" i="1"/>
  <c r="A5319" i="1"/>
  <c r="C5319" i="1"/>
  <c r="N5319" i="1"/>
  <c r="A5320" i="1"/>
  <c r="C5320" i="1"/>
  <c r="N5320" i="1"/>
  <c r="A5321" i="1"/>
  <c r="C5321" i="1"/>
  <c r="N5321" i="1"/>
  <c r="A5322" i="1"/>
  <c r="C5322" i="1"/>
  <c r="N5322" i="1"/>
  <c r="A5323" i="1"/>
  <c r="C5323" i="1"/>
  <c r="N5323" i="1"/>
  <c r="A5324" i="1"/>
  <c r="C5324" i="1"/>
  <c r="N5324" i="1"/>
  <c r="A5325" i="1"/>
  <c r="C5325" i="1"/>
  <c r="N5325" i="1"/>
  <c r="A5326" i="1"/>
  <c r="C5326" i="1"/>
  <c r="N5326" i="1"/>
  <c r="A5327" i="1"/>
  <c r="C5327" i="1"/>
  <c r="N5327" i="1"/>
  <c r="A5328" i="1"/>
  <c r="C5328" i="1"/>
  <c r="N5328" i="1"/>
  <c r="A5329" i="1"/>
  <c r="C5329" i="1"/>
  <c r="N5329" i="1"/>
  <c r="A5330" i="1"/>
  <c r="C5330" i="1"/>
  <c r="N5330" i="1"/>
  <c r="A5331" i="1"/>
  <c r="C5331" i="1"/>
  <c r="N5331" i="1"/>
  <c r="A5332" i="1"/>
  <c r="C5332" i="1"/>
  <c r="N5332" i="1"/>
  <c r="A5333" i="1"/>
  <c r="C5333" i="1"/>
  <c r="N5333" i="1"/>
  <c r="A5334" i="1"/>
  <c r="C5334" i="1"/>
  <c r="N5334" i="1"/>
  <c r="A5335" i="1"/>
  <c r="C5335" i="1"/>
  <c r="N5335" i="1"/>
  <c r="A5336" i="1"/>
  <c r="C5336" i="1"/>
  <c r="F5336" i="1"/>
  <c r="N5336" i="1"/>
  <c r="A5337" i="1"/>
  <c r="C5337" i="1"/>
  <c r="N5337" i="1"/>
  <c r="A5338" i="1"/>
  <c r="C5338" i="1"/>
  <c r="N5338" i="1"/>
  <c r="A5339" i="1"/>
  <c r="C5339" i="1"/>
  <c r="N5339" i="1"/>
  <c r="A5340" i="1"/>
  <c r="C5340" i="1"/>
  <c r="F5340" i="1"/>
  <c r="N5340" i="1"/>
  <c r="A5341" i="1"/>
  <c r="C5341" i="1"/>
  <c r="N5341" i="1"/>
  <c r="A5342" i="1"/>
  <c r="C5342" i="1"/>
  <c r="N5342" i="1"/>
  <c r="A5343" i="1"/>
  <c r="C5343" i="1"/>
  <c r="N5343" i="1"/>
  <c r="A5344" i="1"/>
  <c r="C5344" i="1"/>
  <c r="N5344" i="1"/>
  <c r="A5345" i="1"/>
  <c r="C5345" i="1"/>
  <c r="N5345" i="1"/>
  <c r="A5346" i="1"/>
  <c r="C5346" i="1"/>
  <c r="N5346" i="1"/>
  <c r="A5347" i="1"/>
  <c r="C5347" i="1"/>
  <c r="N5347" i="1"/>
  <c r="A5348" i="1"/>
  <c r="C5348" i="1"/>
  <c r="N5348" i="1"/>
  <c r="A5349" i="1"/>
  <c r="C5349" i="1"/>
  <c r="N5349" i="1"/>
  <c r="A5350" i="1"/>
  <c r="C5350" i="1"/>
  <c r="N5350" i="1"/>
  <c r="A5351" i="1"/>
  <c r="C5351" i="1"/>
  <c r="N5351" i="1"/>
  <c r="A5352" i="1"/>
  <c r="C5352" i="1"/>
  <c r="N5352" i="1"/>
  <c r="A5353" i="1"/>
  <c r="C5353" i="1"/>
  <c r="N5353" i="1"/>
  <c r="A5354" i="1"/>
  <c r="C5354" i="1"/>
  <c r="N5354" i="1"/>
  <c r="A5355" i="1"/>
  <c r="C5355" i="1"/>
  <c r="N5355" i="1"/>
  <c r="A5356" i="1"/>
  <c r="C5356" i="1"/>
  <c r="N5356" i="1"/>
  <c r="A5357" i="1"/>
  <c r="C5357" i="1"/>
  <c r="N5357" i="1"/>
  <c r="A5358" i="1"/>
  <c r="C5358" i="1"/>
  <c r="N5358" i="1"/>
  <c r="A5359" i="1"/>
  <c r="C5359" i="1"/>
  <c r="N5359" i="1"/>
  <c r="A5360" i="1"/>
  <c r="C5360" i="1"/>
  <c r="N5360" i="1"/>
  <c r="A5361" i="1"/>
  <c r="C5361" i="1"/>
  <c r="N5361" i="1"/>
  <c r="A5362" i="1"/>
  <c r="C5362" i="1"/>
  <c r="N5362" i="1"/>
  <c r="A5363" i="1"/>
  <c r="C5363" i="1"/>
  <c r="N5363" i="1"/>
  <c r="A5364" i="1"/>
  <c r="C5364" i="1"/>
  <c r="N5364" i="1"/>
  <c r="A5365" i="1"/>
  <c r="C5365" i="1"/>
  <c r="N5365" i="1"/>
  <c r="A5366" i="1"/>
  <c r="C5366" i="1"/>
  <c r="N5366" i="1"/>
  <c r="A5367" i="1"/>
  <c r="C5367" i="1"/>
  <c r="N5367" i="1"/>
  <c r="A5368" i="1"/>
  <c r="C5368" i="1"/>
  <c r="N5368" i="1"/>
  <c r="A5369" i="1"/>
  <c r="C5369" i="1"/>
  <c r="N5369" i="1"/>
  <c r="A5370" i="1"/>
  <c r="C5370" i="1"/>
  <c r="N5370" i="1"/>
  <c r="A5371" i="1"/>
  <c r="C5371" i="1"/>
  <c r="N5371" i="1"/>
  <c r="A5372" i="1"/>
  <c r="C5372" i="1"/>
  <c r="N5372" i="1"/>
  <c r="A5373" i="1"/>
  <c r="C5373" i="1"/>
  <c r="N5373" i="1"/>
  <c r="A5374" i="1"/>
  <c r="C5374" i="1"/>
  <c r="N5374" i="1"/>
  <c r="A5375" i="1"/>
  <c r="C5375" i="1"/>
  <c r="N5375" i="1"/>
  <c r="A5376" i="1"/>
  <c r="C5376" i="1"/>
  <c r="N5376" i="1"/>
  <c r="A5377" i="1"/>
  <c r="C5377" i="1"/>
  <c r="N5377" i="1"/>
  <c r="A5378" i="1"/>
  <c r="C5378" i="1"/>
  <c r="N5378" i="1"/>
  <c r="A5379" i="1"/>
  <c r="C5379" i="1"/>
  <c r="N5379" i="1"/>
  <c r="A5380" i="1"/>
  <c r="C5380" i="1"/>
  <c r="N5380" i="1"/>
  <c r="A5381" i="1"/>
  <c r="C5381" i="1"/>
  <c r="N5381" i="1"/>
  <c r="A5382" i="1"/>
  <c r="C5382" i="1"/>
  <c r="N5382" i="1"/>
  <c r="A5383" i="1"/>
  <c r="C5383" i="1"/>
  <c r="N5383" i="1"/>
  <c r="A5384" i="1"/>
  <c r="C5384" i="1"/>
  <c r="N5384" i="1"/>
  <c r="A5385" i="1"/>
  <c r="C5385" i="1"/>
  <c r="N5385" i="1"/>
  <c r="A5386" i="1"/>
  <c r="C5386" i="1"/>
  <c r="N5386" i="1"/>
  <c r="A5387" i="1"/>
  <c r="C5387" i="1"/>
  <c r="N5387" i="1"/>
  <c r="A5388" i="1"/>
  <c r="C5388" i="1"/>
  <c r="N5388" i="1"/>
  <c r="A5389" i="1"/>
  <c r="C5389" i="1"/>
  <c r="N5389" i="1"/>
  <c r="A5390" i="1"/>
  <c r="C5390" i="1"/>
  <c r="N5390" i="1"/>
  <c r="A5391" i="1"/>
  <c r="C5391" i="1"/>
  <c r="N5391" i="1"/>
  <c r="A5392" i="1"/>
  <c r="C5392" i="1"/>
  <c r="N5392" i="1"/>
  <c r="A5393" i="1"/>
  <c r="C5393" i="1"/>
  <c r="N5393" i="1"/>
  <c r="A5394" i="1"/>
  <c r="C5394" i="1"/>
  <c r="N5394" i="1"/>
  <c r="A5395" i="1"/>
  <c r="C5395" i="1"/>
  <c r="N5395" i="1"/>
  <c r="A5396" i="1"/>
  <c r="C5396" i="1"/>
  <c r="N5396" i="1"/>
  <c r="A5397" i="1"/>
  <c r="C5397" i="1"/>
  <c r="N5397" i="1"/>
  <c r="A5398" i="1"/>
  <c r="C5398" i="1"/>
  <c r="N5398" i="1"/>
  <c r="A5399" i="1"/>
  <c r="C5399" i="1"/>
  <c r="N5399" i="1"/>
  <c r="A5400" i="1"/>
  <c r="C5400" i="1"/>
  <c r="N5400" i="1"/>
  <c r="A5401" i="1"/>
  <c r="C5401" i="1"/>
  <c r="N5401" i="1"/>
  <c r="A5402" i="1"/>
  <c r="C5402" i="1"/>
  <c r="N5402" i="1"/>
  <c r="A5403" i="1"/>
  <c r="C5403" i="1"/>
  <c r="N5403" i="1"/>
  <c r="A5404" i="1"/>
  <c r="C5404" i="1"/>
  <c r="N5404" i="1"/>
  <c r="A5405" i="1"/>
  <c r="C5405" i="1"/>
  <c r="N5405" i="1"/>
  <c r="A5406" i="1"/>
  <c r="C5406" i="1"/>
  <c r="N5406" i="1"/>
  <c r="A5407" i="1"/>
  <c r="C5407" i="1"/>
  <c r="N5407" i="1"/>
  <c r="A5408" i="1"/>
  <c r="C5408" i="1"/>
  <c r="N5408" i="1"/>
  <c r="A5409" i="1"/>
  <c r="C5409" i="1"/>
  <c r="N5409" i="1"/>
  <c r="A5410" i="1"/>
  <c r="C5410" i="1"/>
  <c r="N5410" i="1"/>
  <c r="A5411" i="1"/>
  <c r="C5411" i="1"/>
  <c r="N5411" i="1"/>
  <c r="A5412" i="1"/>
  <c r="C5412" i="1"/>
  <c r="N5412" i="1"/>
  <c r="A5413" i="1"/>
  <c r="C5413" i="1"/>
  <c r="N5413" i="1"/>
  <c r="A5414" i="1"/>
  <c r="C5414" i="1"/>
  <c r="N5414" i="1"/>
  <c r="A5415" i="1"/>
  <c r="C5415" i="1"/>
  <c r="N5415" i="1"/>
  <c r="A5416" i="1"/>
  <c r="C5416" i="1"/>
  <c r="N5416" i="1"/>
  <c r="A5417" i="1"/>
  <c r="C5417" i="1"/>
  <c r="N5417" i="1"/>
  <c r="A5418" i="1"/>
  <c r="C5418" i="1"/>
  <c r="N5418" i="1"/>
  <c r="A5419" i="1"/>
  <c r="C5419" i="1"/>
  <c r="N5419" i="1"/>
  <c r="A5420" i="1"/>
  <c r="C5420" i="1"/>
  <c r="N5420" i="1"/>
  <c r="A5421" i="1"/>
  <c r="C5421" i="1"/>
  <c r="N5421" i="1"/>
  <c r="A5422" i="1"/>
  <c r="C5422" i="1"/>
  <c r="N5422" i="1"/>
  <c r="A5423" i="1"/>
  <c r="C5423" i="1"/>
  <c r="N5423" i="1"/>
  <c r="A5424" i="1"/>
  <c r="C5424" i="1"/>
  <c r="N5424" i="1"/>
  <c r="A5425" i="1"/>
  <c r="C5425" i="1"/>
  <c r="N5425" i="1"/>
  <c r="A5426" i="1"/>
  <c r="C5426" i="1"/>
  <c r="N5426" i="1"/>
  <c r="A5427" i="1"/>
  <c r="C5427" i="1"/>
  <c r="N5427" i="1"/>
  <c r="A5428" i="1"/>
  <c r="C5428" i="1"/>
  <c r="N5428" i="1"/>
  <c r="A5429" i="1"/>
  <c r="C5429" i="1"/>
  <c r="N5429" i="1"/>
  <c r="A5430" i="1"/>
  <c r="C5430" i="1"/>
  <c r="N5430" i="1"/>
  <c r="A5431" i="1"/>
  <c r="C5431" i="1"/>
  <c r="N5431" i="1"/>
  <c r="A5432" i="1"/>
  <c r="C5432" i="1"/>
  <c r="N5432" i="1"/>
  <c r="A5433" i="1"/>
  <c r="C5433" i="1"/>
  <c r="N5433" i="1"/>
  <c r="A5434" i="1"/>
  <c r="C5434" i="1"/>
  <c r="N5434" i="1"/>
  <c r="A5435" i="1"/>
  <c r="C5435" i="1"/>
  <c r="N5435" i="1"/>
  <c r="A5436" i="1"/>
  <c r="C5436" i="1"/>
  <c r="N5436" i="1"/>
  <c r="A5437" i="1"/>
  <c r="C5437" i="1"/>
  <c r="N5437" i="1"/>
  <c r="A5438" i="1"/>
  <c r="C5438" i="1"/>
  <c r="N5438" i="1"/>
  <c r="A5439" i="1"/>
  <c r="C5439" i="1"/>
  <c r="N5439" i="1"/>
  <c r="A5440" i="1"/>
  <c r="C5440" i="1"/>
  <c r="N5440" i="1"/>
  <c r="A5441" i="1"/>
  <c r="C5441" i="1"/>
  <c r="N5441" i="1"/>
  <c r="A5442" i="1"/>
  <c r="C5442" i="1"/>
  <c r="N5442" i="1"/>
  <c r="A5443" i="1"/>
  <c r="C5443" i="1"/>
  <c r="N5443" i="1"/>
  <c r="A5444" i="1"/>
  <c r="C5444" i="1"/>
  <c r="N5444" i="1"/>
  <c r="A5445" i="1"/>
  <c r="C5445" i="1"/>
  <c r="N5445" i="1"/>
  <c r="A5446" i="1"/>
  <c r="C5446" i="1"/>
  <c r="N5446" i="1"/>
  <c r="A5447" i="1"/>
  <c r="C5447" i="1"/>
  <c r="N5447" i="1"/>
  <c r="A5448" i="1"/>
  <c r="C5448" i="1"/>
  <c r="N5448" i="1"/>
  <c r="A5449" i="1"/>
  <c r="C5449" i="1"/>
  <c r="N5449" i="1"/>
  <c r="A5450" i="1"/>
  <c r="C5450" i="1"/>
  <c r="N5450" i="1"/>
  <c r="A5451" i="1"/>
  <c r="C5451" i="1"/>
  <c r="N5451" i="1"/>
  <c r="A5452" i="1"/>
  <c r="C5452" i="1"/>
  <c r="N5452" i="1"/>
  <c r="A5453" i="1"/>
  <c r="C5453" i="1"/>
  <c r="N5453" i="1"/>
  <c r="A5454" i="1"/>
  <c r="C5454" i="1"/>
  <c r="N5454" i="1"/>
  <c r="A5455" i="1"/>
  <c r="C5455" i="1"/>
  <c r="N5455" i="1"/>
  <c r="A5456" i="1"/>
  <c r="C5456" i="1"/>
  <c r="N5456" i="1"/>
  <c r="A5457" i="1"/>
  <c r="C5457" i="1"/>
  <c r="N5457" i="1"/>
  <c r="A5458" i="1"/>
  <c r="C5458" i="1"/>
  <c r="N5458" i="1"/>
  <c r="A5459" i="1"/>
  <c r="C5459" i="1"/>
  <c r="N5459" i="1"/>
  <c r="A5460" i="1"/>
  <c r="C5460" i="1"/>
  <c r="N5460" i="1"/>
  <c r="A5461" i="1"/>
  <c r="C5461" i="1"/>
  <c r="N5461" i="1"/>
  <c r="A5462" i="1"/>
  <c r="C5462" i="1"/>
  <c r="N5462" i="1"/>
  <c r="A5463" i="1"/>
  <c r="C5463" i="1"/>
  <c r="N5463" i="1"/>
  <c r="A5464" i="1"/>
  <c r="C5464" i="1"/>
  <c r="N5464" i="1"/>
  <c r="A5465" i="1"/>
  <c r="C5465" i="1"/>
  <c r="N5465" i="1"/>
  <c r="A5466" i="1"/>
  <c r="C5466" i="1"/>
  <c r="N5466" i="1"/>
  <c r="A5467" i="1"/>
  <c r="C5467" i="1"/>
  <c r="N5467" i="1"/>
  <c r="A5468" i="1"/>
  <c r="C5468" i="1"/>
  <c r="N5468" i="1"/>
  <c r="A5469" i="1"/>
  <c r="C5469" i="1"/>
  <c r="N5469" i="1"/>
  <c r="A5470" i="1"/>
  <c r="C5470" i="1"/>
  <c r="N5470" i="1"/>
  <c r="A5471" i="1"/>
  <c r="C5471" i="1"/>
  <c r="N5471" i="1"/>
  <c r="A5472" i="1"/>
  <c r="C5472" i="1"/>
  <c r="N5472" i="1"/>
  <c r="A5473" i="1"/>
  <c r="C5473" i="1"/>
  <c r="N5473" i="1"/>
  <c r="A5474" i="1"/>
  <c r="C5474" i="1"/>
  <c r="N5474" i="1"/>
  <c r="A5475" i="1"/>
  <c r="C5475" i="1"/>
  <c r="N5475" i="1"/>
  <c r="A5476" i="1"/>
  <c r="C5476" i="1"/>
  <c r="N5476" i="1"/>
  <c r="A5477" i="1"/>
  <c r="C5477" i="1"/>
  <c r="F5477" i="1"/>
  <c r="N5477" i="1"/>
  <c r="A5478" i="1"/>
  <c r="C5478" i="1"/>
  <c r="N5478" i="1"/>
  <c r="A5479" i="1"/>
  <c r="C5479" i="1"/>
  <c r="N5479" i="1"/>
  <c r="A5480" i="1"/>
  <c r="C5480" i="1"/>
  <c r="N5480" i="1"/>
  <c r="A5481" i="1"/>
  <c r="C5481" i="1"/>
  <c r="N5481" i="1"/>
  <c r="A5482" i="1"/>
  <c r="C5482" i="1"/>
  <c r="N5482" i="1"/>
  <c r="A5483" i="1"/>
  <c r="C5483" i="1"/>
  <c r="N5483" i="1"/>
  <c r="A5484" i="1"/>
  <c r="C5484" i="1"/>
  <c r="N5484" i="1"/>
  <c r="A5485" i="1"/>
  <c r="C5485" i="1"/>
  <c r="N5485" i="1"/>
  <c r="A5486" i="1"/>
  <c r="C5486" i="1"/>
  <c r="N5486" i="1"/>
  <c r="A5487" i="1"/>
  <c r="C5487" i="1"/>
  <c r="N5487" i="1"/>
  <c r="A5488" i="1"/>
  <c r="C5488" i="1"/>
  <c r="N5488" i="1"/>
  <c r="A5489" i="1"/>
  <c r="C5489" i="1"/>
  <c r="N5489" i="1"/>
  <c r="A5490" i="1"/>
  <c r="C5490" i="1"/>
  <c r="N5490" i="1"/>
  <c r="A5491" i="1"/>
  <c r="C5491" i="1"/>
  <c r="N5491" i="1"/>
  <c r="A5492" i="1"/>
  <c r="C5492" i="1"/>
  <c r="N5492" i="1"/>
  <c r="A5493" i="1"/>
  <c r="C5493" i="1"/>
  <c r="N5493" i="1"/>
  <c r="A5494" i="1"/>
  <c r="C5494" i="1"/>
  <c r="N5494" i="1"/>
  <c r="A5495" i="1"/>
  <c r="C5495" i="1"/>
  <c r="N5495" i="1"/>
  <c r="A5496" i="1"/>
  <c r="C5496" i="1"/>
  <c r="N5496" i="1"/>
  <c r="A5497" i="1"/>
  <c r="C5497" i="1"/>
  <c r="N5497" i="1"/>
  <c r="A5498" i="1"/>
  <c r="C5498" i="1"/>
  <c r="N5498" i="1"/>
  <c r="A5499" i="1"/>
  <c r="C5499" i="1"/>
  <c r="N5499" i="1"/>
  <c r="A5500" i="1"/>
  <c r="C5500" i="1"/>
  <c r="N5500" i="1"/>
  <c r="A5501" i="1"/>
  <c r="C5501" i="1"/>
  <c r="N5501" i="1"/>
  <c r="A5502" i="1"/>
  <c r="C5502" i="1"/>
  <c r="N5502" i="1"/>
  <c r="A5503" i="1"/>
  <c r="C5503" i="1"/>
  <c r="N5503" i="1"/>
  <c r="A5504" i="1"/>
  <c r="C5504" i="1"/>
  <c r="N5504" i="1"/>
  <c r="A5505" i="1"/>
  <c r="C5505" i="1"/>
  <c r="N5505" i="1"/>
  <c r="A5506" i="1"/>
  <c r="C5506" i="1"/>
  <c r="N5506" i="1"/>
  <c r="A5507" i="1"/>
  <c r="C5507" i="1"/>
  <c r="N5507" i="1"/>
  <c r="A5508" i="1"/>
  <c r="C5508" i="1"/>
  <c r="N5508" i="1"/>
  <c r="A5509" i="1"/>
  <c r="C5509" i="1"/>
  <c r="N5509" i="1"/>
  <c r="A5510" i="1"/>
  <c r="C5510" i="1"/>
  <c r="N5510" i="1"/>
  <c r="A5511" i="1"/>
  <c r="C5511" i="1"/>
  <c r="N5511" i="1"/>
  <c r="A5512" i="1"/>
  <c r="C5512" i="1"/>
  <c r="N5512" i="1"/>
  <c r="A5513" i="1"/>
  <c r="C5513" i="1"/>
  <c r="N5513" i="1"/>
  <c r="A5514" i="1"/>
  <c r="C5514" i="1"/>
  <c r="N5514" i="1"/>
  <c r="A5515" i="1"/>
  <c r="C5515" i="1"/>
  <c r="N5515" i="1"/>
  <c r="A5516" i="1"/>
  <c r="C5516" i="1"/>
  <c r="N5516" i="1"/>
  <c r="A5517" i="1"/>
  <c r="C5517" i="1"/>
  <c r="N5517" i="1"/>
  <c r="A5518" i="1"/>
  <c r="C5518" i="1"/>
  <c r="N5518" i="1"/>
  <c r="A5519" i="1"/>
  <c r="C5519" i="1"/>
  <c r="N5519" i="1"/>
  <c r="A5520" i="1"/>
  <c r="C5520" i="1"/>
  <c r="N5520" i="1"/>
  <c r="A5521" i="1"/>
  <c r="C5521" i="1"/>
  <c r="N5521" i="1"/>
  <c r="A5522" i="1"/>
  <c r="C5522" i="1"/>
  <c r="N5522" i="1"/>
  <c r="A5523" i="1"/>
  <c r="C5523" i="1"/>
  <c r="N5523" i="1"/>
  <c r="A5524" i="1"/>
  <c r="C5524" i="1"/>
  <c r="N5524" i="1"/>
  <c r="A5525" i="1"/>
  <c r="C5525" i="1"/>
  <c r="N5525" i="1"/>
  <c r="A5526" i="1"/>
  <c r="C5526" i="1"/>
  <c r="N5526" i="1"/>
  <c r="A5527" i="1"/>
  <c r="C5527" i="1"/>
  <c r="N5527" i="1"/>
  <c r="A5528" i="1"/>
  <c r="C5528" i="1"/>
  <c r="N5528" i="1"/>
  <c r="A5529" i="1"/>
  <c r="C5529" i="1"/>
  <c r="N5529" i="1"/>
  <c r="A5530" i="1"/>
  <c r="C5530" i="1"/>
  <c r="N5530" i="1"/>
  <c r="A5531" i="1"/>
  <c r="C5531" i="1"/>
  <c r="N5531" i="1"/>
  <c r="A5532" i="1"/>
  <c r="C5532" i="1"/>
  <c r="N5532" i="1"/>
  <c r="A5533" i="1"/>
  <c r="C5533" i="1"/>
  <c r="N5533" i="1"/>
  <c r="A5534" i="1"/>
  <c r="C5534" i="1"/>
  <c r="N5534" i="1"/>
  <c r="A5535" i="1"/>
  <c r="C5535" i="1"/>
  <c r="N5535" i="1"/>
  <c r="A5536" i="1"/>
  <c r="C5536" i="1"/>
  <c r="N5536" i="1"/>
  <c r="A5537" i="1"/>
  <c r="C5537" i="1"/>
  <c r="N5537" i="1"/>
  <c r="A5538" i="1"/>
  <c r="C5538" i="1"/>
  <c r="N5538" i="1"/>
  <c r="A5539" i="1"/>
  <c r="C5539" i="1"/>
  <c r="N5539" i="1"/>
  <c r="A5540" i="1"/>
  <c r="C5540" i="1"/>
  <c r="N5540" i="1"/>
  <c r="A5541" i="1"/>
  <c r="C5541" i="1"/>
  <c r="N5541" i="1"/>
  <c r="A5542" i="1"/>
  <c r="C5542" i="1"/>
  <c r="N5542" i="1"/>
  <c r="A5543" i="1"/>
  <c r="C5543" i="1"/>
  <c r="N5543" i="1"/>
  <c r="A5544" i="1"/>
  <c r="C5544" i="1"/>
  <c r="N5544" i="1"/>
  <c r="A5545" i="1"/>
  <c r="C5545" i="1"/>
  <c r="N5545" i="1"/>
  <c r="A5546" i="1"/>
  <c r="C5546" i="1"/>
  <c r="N5546" i="1"/>
  <c r="A5547" i="1"/>
  <c r="C5547" i="1"/>
  <c r="N5547" i="1"/>
  <c r="A5548" i="1"/>
  <c r="C5548" i="1"/>
  <c r="N5548" i="1"/>
  <c r="A5549" i="1"/>
  <c r="C5549" i="1"/>
  <c r="N5549" i="1"/>
  <c r="A5550" i="1"/>
  <c r="C5550" i="1"/>
  <c r="N5550" i="1"/>
  <c r="A5551" i="1"/>
  <c r="C5551" i="1"/>
  <c r="N5551" i="1"/>
  <c r="A5552" i="1"/>
  <c r="C5552" i="1"/>
  <c r="N5552" i="1"/>
  <c r="A5553" i="1"/>
  <c r="C5553" i="1"/>
  <c r="N5553" i="1"/>
  <c r="A5554" i="1"/>
  <c r="C5554" i="1"/>
  <c r="N5554" i="1"/>
  <c r="A5555" i="1"/>
  <c r="C5555" i="1"/>
  <c r="N5555" i="1"/>
  <c r="A5556" i="1"/>
  <c r="C5556" i="1"/>
  <c r="N5556" i="1"/>
  <c r="A5557" i="1"/>
  <c r="C5557" i="1"/>
  <c r="N5557" i="1"/>
  <c r="A5558" i="1"/>
  <c r="C5558" i="1"/>
  <c r="N5558" i="1"/>
  <c r="A5559" i="1"/>
  <c r="C5559" i="1"/>
  <c r="N5559" i="1"/>
  <c r="A5560" i="1"/>
  <c r="C5560" i="1"/>
  <c r="N5560" i="1"/>
  <c r="A5561" i="1"/>
  <c r="C5561" i="1"/>
  <c r="N5561" i="1"/>
  <c r="A5562" i="1"/>
  <c r="C5562" i="1"/>
  <c r="N5562" i="1"/>
  <c r="A5563" i="1"/>
  <c r="C5563" i="1"/>
  <c r="N5563" i="1"/>
  <c r="A5564" i="1"/>
  <c r="C5564" i="1"/>
  <c r="N5564" i="1"/>
  <c r="A5565" i="1"/>
  <c r="C5565" i="1"/>
  <c r="N5565" i="1"/>
  <c r="A5566" i="1"/>
  <c r="C5566" i="1"/>
  <c r="N5566" i="1"/>
  <c r="A5567" i="1"/>
  <c r="C5567" i="1"/>
  <c r="N5567" i="1"/>
  <c r="A5568" i="1"/>
  <c r="C5568" i="1"/>
  <c r="N5568" i="1"/>
  <c r="A5569" i="1"/>
  <c r="C5569" i="1"/>
  <c r="N5569" i="1"/>
  <c r="A5570" i="1"/>
  <c r="C5570" i="1"/>
  <c r="N5570" i="1"/>
  <c r="A5571" i="1"/>
  <c r="C5571" i="1"/>
  <c r="N5571" i="1"/>
  <c r="A5572" i="1"/>
  <c r="C5572" i="1"/>
  <c r="N5572" i="1"/>
  <c r="A5573" i="1"/>
  <c r="C5573" i="1"/>
  <c r="N5573" i="1"/>
  <c r="A5574" i="1"/>
  <c r="C5574" i="1"/>
  <c r="N5574" i="1"/>
  <c r="A5575" i="1"/>
  <c r="C5575" i="1"/>
  <c r="N5575" i="1"/>
  <c r="A5576" i="1"/>
  <c r="C5576" i="1"/>
  <c r="N5576" i="1"/>
  <c r="A5577" i="1"/>
  <c r="C5577" i="1"/>
  <c r="N5577" i="1"/>
  <c r="A5578" i="1"/>
  <c r="C5578" i="1"/>
  <c r="N5578" i="1"/>
  <c r="A5579" i="1"/>
  <c r="C5579" i="1"/>
  <c r="N5579" i="1"/>
  <c r="A5580" i="1"/>
  <c r="C5580" i="1"/>
  <c r="N5580" i="1"/>
  <c r="A5581" i="1"/>
  <c r="C5581" i="1"/>
  <c r="N5581" i="1"/>
  <c r="A5582" i="1"/>
  <c r="C5582" i="1"/>
  <c r="N5582" i="1"/>
  <c r="A5583" i="1"/>
  <c r="C5583" i="1"/>
  <c r="N5583" i="1"/>
  <c r="A5584" i="1"/>
  <c r="C5584" i="1"/>
  <c r="N5584" i="1"/>
  <c r="A5585" i="1"/>
  <c r="C5585" i="1"/>
  <c r="N5585" i="1"/>
  <c r="A5586" i="1"/>
  <c r="C5586" i="1"/>
  <c r="N5586" i="1"/>
  <c r="A5587" i="1"/>
  <c r="C5587" i="1"/>
  <c r="N5587" i="1"/>
  <c r="A5588" i="1"/>
  <c r="C5588" i="1"/>
  <c r="N5588" i="1"/>
  <c r="A5589" i="1"/>
  <c r="C5589" i="1"/>
  <c r="N5589" i="1"/>
  <c r="A5590" i="1"/>
  <c r="C5590" i="1"/>
  <c r="N5590" i="1"/>
  <c r="A5591" i="1"/>
  <c r="C5591" i="1"/>
  <c r="N5591" i="1"/>
  <c r="A5592" i="1"/>
  <c r="C5592" i="1"/>
  <c r="N5592" i="1"/>
  <c r="A5593" i="1"/>
  <c r="C5593" i="1"/>
  <c r="N5593" i="1"/>
  <c r="A5594" i="1"/>
  <c r="C5594" i="1"/>
  <c r="N5594" i="1"/>
  <c r="A5595" i="1"/>
  <c r="C5595" i="1"/>
  <c r="N5595" i="1"/>
  <c r="A5596" i="1"/>
  <c r="C5596" i="1"/>
  <c r="N5596" i="1"/>
  <c r="A5597" i="1"/>
  <c r="C5597" i="1"/>
  <c r="N5597" i="1"/>
  <c r="A5598" i="1"/>
  <c r="C5598" i="1"/>
  <c r="N5598" i="1"/>
  <c r="A5599" i="1"/>
  <c r="C5599" i="1"/>
  <c r="N5599" i="1"/>
  <c r="A5600" i="1"/>
  <c r="C5600" i="1"/>
  <c r="N5600" i="1"/>
  <c r="A5601" i="1"/>
  <c r="C5601" i="1"/>
  <c r="N5601" i="1"/>
  <c r="A5602" i="1"/>
  <c r="C5602" i="1"/>
  <c r="N5602" i="1"/>
  <c r="A5603" i="1"/>
  <c r="C5603" i="1"/>
  <c r="N5603" i="1"/>
  <c r="A5604" i="1"/>
  <c r="C5604" i="1"/>
  <c r="N5604" i="1"/>
  <c r="A5605" i="1"/>
  <c r="C5605" i="1"/>
  <c r="N5605" i="1"/>
  <c r="A5606" i="1"/>
  <c r="C5606" i="1"/>
  <c r="N5606" i="1"/>
  <c r="A5607" i="1"/>
  <c r="C5607" i="1"/>
  <c r="N5607" i="1"/>
  <c r="A5608" i="1"/>
  <c r="C5608" i="1"/>
  <c r="N5608" i="1"/>
  <c r="A5609" i="1"/>
  <c r="C5609" i="1"/>
  <c r="N5609" i="1"/>
  <c r="A5610" i="1"/>
  <c r="C5610" i="1"/>
  <c r="N5610" i="1"/>
  <c r="A5611" i="1"/>
  <c r="C5611" i="1"/>
  <c r="N5611" i="1"/>
  <c r="A5612" i="1"/>
  <c r="C5612" i="1"/>
  <c r="N5612" i="1"/>
  <c r="A5613" i="1"/>
  <c r="C5613" i="1"/>
  <c r="N5613" i="1"/>
  <c r="A5614" i="1"/>
  <c r="C5614" i="1"/>
  <c r="N5614" i="1"/>
  <c r="A5615" i="1"/>
  <c r="C5615" i="1"/>
  <c r="N5615" i="1"/>
  <c r="A5616" i="1"/>
  <c r="C5616" i="1"/>
  <c r="N5616" i="1"/>
  <c r="A5617" i="1"/>
  <c r="C5617" i="1"/>
  <c r="N5617" i="1"/>
  <c r="A5618" i="1"/>
  <c r="C5618" i="1"/>
  <c r="N5618" i="1"/>
  <c r="A5619" i="1"/>
  <c r="C5619" i="1"/>
  <c r="N5619" i="1"/>
  <c r="A5620" i="1"/>
  <c r="C5620" i="1"/>
  <c r="N5620" i="1"/>
  <c r="A5621" i="1"/>
  <c r="C5621" i="1"/>
  <c r="N5621" i="1"/>
  <c r="A5622" i="1"/>
  <c r="C5622" i="1"/>
  <c r="N5622" i="1"/>
  <c r="A5623" i="1"/>
  <c r="C5623" i="1"/>
  <c r="N5623" i="1"/>
  <c r="A5624" i="1"/>
  <c r="C5624" i="1"/>
  <c r="N5624" i="1"/>
  <c r="A5625" i="1"/>
  <c r="C5625" i="1"/>
  <c r="N5625" i="1"/>
  <c r="A5626" i="1"/>
  <c r="C5626" i="1"/>
  <c r="N5626" i="1"/>
  <c r="A5627" i="1"/>
  <c r="C5627" i="1"/>
  <c r="G5627" i="1"/>
  <c r="N5627" i="1"/>
  <c r="A5628" i="1"/>
  <c r="C5628" i="1"/>
  <c r="N5628" i="1"/>
  <c r="A5629" i="1"/>
  <c r="C5629" i="1"/>
  <c r="N5629" i="1"/>
  <c r="A5630" i="1"/>
  <c r="C5630" i="1"/>
  <c r="N5630" i="1"/>
  <c r="A5631" i="1"/>
  <c r="C5631" i="1"/>
  <c r="N5631" i="1"/>
  <c r="A5632" i="1"/>
  <c r="C5632" i="1"/>
  <c r="N5632" i="1"/>
  <c r="A5633" i="1"/>
  <c r="C5633" i="1"/>
  <c r="N5633" i="1"/>
  <c r="A5634" i="1"/>
  <c r="C5634" i="1"/>
  <c r="N5634" i="1"/>
  <c r="A5635" i="1"/>
  <c r="C5635" i="1"/>
  <c r="N5635" i="1"/>
  <c r="A5636" i="1"/>
  <c r="C5636" i="1"/>
  <c r="N5636" i="1"/>
  <c r="A5637" i="1"/>
  <c r="C5637" i="1"/>
  <c r="N5637" i="1"/>
  <c r="A5638" i="1"/>
  <c r="C5638" i="1"/>
  <c r="N5638" i="1"/>
  <c r="A5639" i="1"/>
  <c r="C5639" i="1"/>
  <c r="N5639" i="1"/>
  <c r="A5640" i="1"/>
  <c r="C5640" i="1"/>
  <c r="N5640" i="1"/>
  <c r="A5641" i="1"/>
  <c r="C5641" i="1"/>
  <c r="N5641" i="1"/>
  <c r="A5642" i="1"/>
  <c r="C5642" i="1"/>
  <c r="N5642" i="1"/>
  <c r="A5643" i="1"/>
  <c r="C5643" i="1"/>
  <c r="N5643" i="1"/>
  <c r="A5644" i="1"/>
  <c r="C5644" i="1"/>
  <c r="N5644" i="1"/>
  <c r="A5645" i="1"/>
  <c r="C5645" i="1"/>
  <c r="N5645" i="1"/>
  <c r="A5646" i="1"/>
  <c r="C5646" i="1"/>
  <c r="N5646" i="1"/>
  <c r="A5647" i="1"/>
  <c r="C5647" i="1"/>
  <c r="N5647" i="1"/>
  <c r="A5648" i="1"/>
  <c r="C5648" i="1"/>
  <c r="N5648" i="1"/>
  <c r="A5649" i="1"/>
  <c r="C5649" i="1"/>
  <c r="N5649" i="1"/>
  <c r="A5650" i="1"/>
  <c r="C5650" i="1"/>
  <c r="N5650" i="1"/>
  <c r="A5651" i="1"/>
  <c r="C5651" i="1"/>
  <c r="N5651" i="1"/>
  <c r="A5652" i="1"/>
  <c r="C5652" i="1"/>
  <c r="N5652" i="1"/>
  <c r="A5653" i="1"/>
  <c r="C5653" i="1"/>
  <c r="N5653" i="1"/>
  <c r="A5654" i="1"/>
  <c r="C5654" i="1"/>
  <c r="N5654" i="1"/>
  <c r="A5655" i="1"/>
  <c r="C5655" i="1"/>
  <c r="N5655" i="1"/>
  <c r="A5656" i="1"/>
  <c r="C5656" i="1"/>
  <c r="N5656" i="1"/>
  <c r="A5657" i="1"/>
  <c r="C5657" i="1"/>
  <c r="N5657" i="1"/>
  <c r="A5658" i="1"/>
  <c r="C5658" i="1"/>
  <c r="N5658" i="1"/>
  <c r="A5659" i="1"/>
  <c r="C5659" i="1"/>
  <c r="N5659" i="1"/>
  <c r="A5660" i="1"/>
  <c r="C5660" i="1"/>
  <c r="N5660" i="1"/>
  <c r="A5661" i="1"/>
  <c r="C5661" i="1"/>
  <c r="N5661" i="1"/>
  <c r="A5662" i="1"/>
  <c r="C5662" i="1"/>
  <c r="N5662" i="1"/>
  <c r="A5663" i="1"/>
  <c r="C5663" i="1"/>
  <c r="N5663" i="1"/>
  <c r="A5664" i="1"/>
  <c r="C5664" i="1"/>
  <c r="N5664" i="1"/>
  <c r="A5665" i="1"/>
  <c r="C5665" i="1"/>
  <c r="N5665" i="1"/>
  <c r="A5666" i="1"/>
  <c r="C5666" i="1"/>
  <c r="N5666" i="1"/>
  <c r="A5667" i="1"/>
  <c r="C5667" i="1"/>
  <c r="N5667" i="1"/>
  <c r="A5668" i="1"/>
  <c r="C5668" i="1"/>
  <c r="N5668" i="1"/>
  <c r="A5669" i="1"/>
  <c r="C5669" i="1"/>
  <c r="N5669" i="1"/>
  <c r="A5670" i="1"/>
  <c r="C5670" i="1"/>
  <c r="N5670" i="1"/>
  <c r="A5671" i="1"/>
  <c r="C5671" i="1"/>
  <c r="N5671" i="1"/>
  <c r="A5672" i="1"/>
  <c r="C5672" i="1"/>
  <c r="N5672" i="1"/>
  <c r="A5673" i="1"/>
  <c r="C5673" i="1"/>
  <c r="N5673" i="1"/>
  <c r="A5674" i="1"/>
  <c r="C5674" i="1"/>
  <c r="N5674" i="1"/>
  <c r="A5675" i="1"/>
  <c r="C5675" i="1"/>
  <c r="N5675" i="1"/>
  <c r="A5676" i="1"/>
  <c r="C5676" i="1"/>
  <c r="N5676" i="1"/>
  <c r="A5677" i="1"/>
  <c r="C5677" i="1"/>
  <c r="N5677" i="1"/>
  <c r="A5678" i="1"/>
  <c r="C5678" i="1"/>
  <c r="N5678" i="1"/>
  <c r="A5679" i="1"/>
  <c r="C5679" i="1"/>
  <c r="N5679" i="1"/>
  <c r="A5680" i="1"/>
  <c r="C5680" i="1"/>
  <c r="N5680" i="1"/>
  <c r="A5681" i="1"/>
  <c r="C5681" i="1"/>
  <c r="N5681" i="1"/>
  <c r="A5682" i="1"/>
  <c r="C5682" i="1"/>
  <c r="N5682" i="1"/>
  <c r="A5683" i="1"/>
  <c r="C5683" i="1"/>
  <c r="N5683" i="1"/>
  <c r="A5684" i="1"/>
  <c r="C5684" i="1"/>
  <c r="N5684" i="1"/>
  <c r="A5685" i="1"/>
  <c r="C5685" i="1"/>
  <c r="N5685" i="1"/>
  <c r="A5686" i="1"/>
  <c r="C5686" i="1"/>
  <c r="N5686" i="1"/>
  <c r="A5687" i="1"/>
  <c r="C5687" i="1"/>
  <c r="N5687" i="1"/>
  <c r="A5688" i="1"/>
  <c r="C5688" i="1"/>
  <c r="N5688" i="1"/>
  <c r="A5689" i="1"/>
  <c r="C5689" i="1"/>
  <c r="N5689" i="1"/>
  <c r="A5690" i="1"/>
  <c r="C5690" i="1"/>
  <c r="N5690" i="1"/>
  <c r="A5691" i="1"/>
  <c r="C5691" i="1"/>
  <c r="N5691" i="1"/>
  <c r="A5692" i="1"/>
  <c r="C5692" i="1"/>
  <c r="N5692" i="1"/>
  <c r="A5693" i="1"/>
  <c r="C5693" i="1"/>
  <c r="N5693" i="1"/>
  <c r="A5694" i="1"/>
  <c r="C5694" i="1"/>
  <c r="N5694" i="1"/>
  <c r="A5695" i="1"/>
  <c r="C5695" i="1"/>
  <c r="N5695" i="1"/>
  <c r="A5696" i="1"/>
  <c r="C5696" i="1"/>
  <c r="N5696" i="1"/>
  <c r="A5697" i="1"/>
  <c r="C5697" i="1"/>
  <c r="N5697" i="1"/>
  <c r="A5698" i="1"/>
  <c r="C5698" i="1"/>
  <c r="N5698" i="1"/>
  <c r="A5699" i="1"/>
  <c r="C5699" i="1"/>
  <c r="N5699" i="1"/>
  <c r="A5700" i="1"/>
  <c r="C5700" i="1"/>
  <c r="N5700" i="1"/>
  <c r="A5701" i="1"/>
  <c r="C5701" i="1"/>
  <c r="N5701" i="1"/>
  <c r="A5702" i="1"/>
  <c r="C5702" i="1"/>
  <c r="N5702" i="1"/>
  <c r="A5703" i="1"/>
  <c r="C5703" i="1"/>
  <c r="N5703" i="1"/>
  <c r="A5704" i="1"/>
  <c r="C5704" i="1"/>
  <c r="N5704" i="1"/>
  <c r="A5705" i="1"/>
  <c r="C5705" i="1"/>
  <c r="N5705" i="1"/>
  <c r="A5706" i="1"/>
  <c r="C5706" i="1"/>
  <c r="N5706" i="1"/>
  <c r="A5707" i="1"/>
  <c r="C5707" i="1"/>
  <c r="N5707" i="1"/>
  <c r="A5708" i="1"/>
  <c r="C5708" i="1"/>
  <c r="N5708" i="1"/>
  <c r="A5709" i="1"/>
  <c r="C5709" i="1"/>
  <c r="N5709" i="1"/>
  <c r="A5710" i="1"/>
  <c r="C5710" i="1"/>
  <c r="N5710" i="1"/>
  <c r="A5711" i="1"/>
  <c r="C5711" i="1"/>
  <c r="N5711" i="1"/>
  <c r="A5712" i="1"/>
  <c r="C5712" i="1"/>
  <c r="N5712" i="1"/>
  <c r="A5713" i="1"/>
  <c r="C5713" i="1"/>
  <c r="N5713" i="1"/>
  <c r="A5714" i="1"/>
  <c r="C5714" i="1"/>
  <c r="N5714" i="1"/>
  <c r="A5715" i="1"/>
  <c r="C5715" i="1"/>
  <c r="N5715" i="1"/>
  <c r="A5716" i="1"/>
  <c r="C5716" i="1"/>
  <c r="N5716" i="1"/>
  <c r="A5717" i="1"/>
  <c r="C5717" i="1"/>
  <c r="N5717" i="1"/>
  <c r="A5718" i="1"/>
  <c r="C5718" i="1"/>
  <c r="N5718" i="1"/>
  <c r="A5719" i="1"/>
  <c r="C5719" i="1"/>
  <c r="N5719" i="1"/>
  <c r="A5720" i="1"/>
  <c r="C5720" i="1"/>
  <c r="N5720" i="1"/>
  <c r="A5721" i="1"/>
  <c r="C5721" i="1"/>
  <c r="N5721" i="1"/>
  <c r="A5722" i="1"/>
  <c r="C5722" i="1"/>
  <c r="N5722" i="1"/>
  <c r="A5723" i="1"/>
  <c r="C5723" i="1"/>
  <c r="N5723" i="1"/>
  <c r="A5724" i="1"/>
  <c r="C5724" i="1"/>
  <c r="N5724" i="1"/>
  <c r="A5725" i="1"/>
  <c r="C5725" i="1"/>
  <c r="N5725" i="1"/>
  <c r="A5726" i="1"/>
  <c r="C5726" i="1"/>
  <c r="N5726" i="1"/>
  <c r="A5727" i="1"/>
  <c r="C5727" i="1"/>
  <c r="N5727" i="1"/>
  <c r="A5728" i="1"/>
  <c r="C5728" i="1"/>
  <c r="N5728" i="1"/>
  <c r="A5729" i="1"/>
  <c r="C5729" i="1"/>
  <c r="N5729" i="1"/>
  <c r="A5730" i="1"/>
  <c r="C5730" i="1"/>
  <c r="N5730" i="1"/>
  <c r="A5731" i="1"/>
  <c r="C5731" i="1"/>
  <c r="N5731" i="1"/>
  <c r="A5732" i="1"/>
  <c r="C5732" i="1"/>
  <c r="N5732" i="1"/>
  <c r="A5733" i="1"/>
  <c r="C5733" i="1"/>
  <c r="N5733" i="1"/>
  <c r="A5734" i="1"/>
  <c r="C5734" i="1"/>
  <c r="N5734" i="1"/>
  <c r="A5735" i="1"/>
  <c r="C5735" i="1"/>
  <c r="N5735" i="1"/>
  <c r="A5736" i="1"/>
  <c r="C5736" i="1"/>
  <c r="N5736" i="1"/>
  <c r="A5737" i="1"/>
  <c r="C5737" i="1"/>
  <c r="N5737" i="1"/>
  <c r="A5738" i="1"/>
  <c r="C5738" i="1"/>
  <c r="N5738" i="1"/>
  <c r="A5739" i="1"/>
  <c r="C5739" i="1"/>
  <c r="N5739" i="1"/>
  <c r="A5740" i="1"/>
  <c r="C5740" i="1"/>
  <c r="N5740" i="1"/>
  <c r="A5741" i="1"/>
  <c r="C5741" i="1"/>
  <c r="N5741" i="1"/>
  <c r="A5742" i="1"/>
  <c r="C5742" i="1"/>
  <c r="N5742" i="1"/>
  <c r="A5743" i="1"/>
  <c r="C5743" i="1"/>
  <c r="N5743" i="1"/>
  <c r="A5744" i="1"/>
  <c r="C5744" i="1"/>
  <c r="N5744" i="1"/>
  <c r="A5745" i="1"/>
  <c r="C5745" i="1"/>
  <c r="N5745" i="1"/>
  <c r="A5746" i="1"/>
  <c r="C5746" i="1"/>
  <c r="N5746" i="1"/>
  <c r="A5747" i="1"/>
  <c r="C5747" i="1"/>
  <c r="N5747" i="1"/>
  <c r="A5748" i="1"/>
  <c r="C5748" i="1"/>
  <c r="N5748" i="1"/>
  <c r="A5749" i="1"/>
  <c r="C5749" i="1"/>
  <c r="N5749" i="1"/>
  <c r="A5750" i="1"/>
  <c r="C5750" i="1"/>
  <c r="N5750" i="1"/>
  <c r="A5751" i="1"/>
  <c r="C5751" i="1"/>
  <c r="N5751" i="1"/>
  <c r="A5752" i="1"/>
  <c r="C5752" i="1"/>
  <c r="N5752" i="1"/>
  <c r="A5753" i="1"/>
  <c r="C5753" i="1"/>
  <c r="N5753" i="1"/>
  <c r="A5754" i="1"/>
  <c r="C5754" i="1"/>
  <c r="N5754" i="1"/>
  <c r="A5755" i="1"/>
  <c r="C5755" i="1"/>
  <c r="N5755" i="1"/>
  <c r="A5756" i="1"/>
  <c r="C5756" i="1"/>
  <c r="N5756" i="1"/>
  <c r="A5757" i="1"/>
  <c r="C5757" i="1"/>
  <c r="N5757" i="1"/>
  <c r="A5758" i="1"/>
  <c r="C5758" i="1"/>
  <c r="N5758" i="1"/>
  <c r="A5759" i="1"/>
  <c r="C5759" i="1"/>
  <c r="N5759" i="1"/>
  <c r="A5760" i="1"/>
  <c r="C5760" i="1"/>
  <c r="N5760" i="1"/>
  <c r="A5761" i="1"/>
  <c r="C5761" i="1"/>
  <c r="N5761" i="1"/>
  <c r="A5762" i="1"/>
  <c r="C5762" i="1"/>
  <c r="N5762" i="1"/>
  <c r="A5763" i="1"/>
  <c r="C5763" i="1"/>
  <c r="N5763" i="1"/>
  <c r="A5764" i="1"/>
  <c r="C5764" i="1"/>
  <c r="N5764" i="1"/>
  <c r="A5765" i="1"/>
  <c r="C5765" i="1"/>
  <c r="N5765" i="1"/>
  <c r="A5766" i="1"/>
  <c r="C5766" i="1"/>
  <c r="N5766" i="1"/>
  <c r="A5767" i="1"/>
  <c r="C5767" i="1"/>
  <c r="N5767" i="1"/>
  <c r="A5768" i="1"/>
  <c r="C5768" i="1"/>
  <c r="N5768" i="1"/>
  <c r="A5769" i="1"/>
  <c r="C5769" i="1"/>
  <c r="N5769" i="1"/>
  <c r="A5770" i="1"/>
  <c r="C5770" i="1"/>
  <c r="N5770" i="1"/>
  <c r="A5771" i="1"/>
  <c r="C5771" i="1"/>
  <c r="N5771" i="1"/>
  <c r="A5772" i="1"/>
  <c r="C5772" i="1"/>
  <c r="N5772" i="1"/>
  <c r="A5773" i="1"/>
  <c r="C5773" i="1"/>
  <c r="N5773" i="1"/>
  <c r="A5774" i="1"/>
  <c r="C5774" i="1"/>
  <c r="N5774" i="1"/>
  <c r="A5775" i="1"/>
  <c r="C5775" i="1"/>
  <c r="N5775" i="1"/>
  <c r="A5776" i="1"/>
  <c r="C5776" i="1"/>
  <c r="N5776" i="1"/>
  <c r="A5777" i="1"/>
  <c r="C5777" i="1"/>
  <c r="N5777" i="1"/>
  <c r="A5778" i="1"/>
  <c r="C5778" i="1"/>
  <c r="N5778" i="1"/>
  <c r="A5779" i="1"/>
  <c r="C5779" i="1"/>
  <c r="N5779" i="1"/>
  <c r="A5780" i="1"/>
  <c r="C5780" i="1"/>
  <c r="N5780" i="1"/>
  <c r="A5781" i="1"/>
  <c r="C5781" i="1"/>
  <c r="N5781" i="1"/>
  <c r="A5782" i="1"/>
  <c r="C5782" i="1"/>
  <c r="N5782" i="1"/>
  <c r="A5783" i="1"/>
  <c r="C5783" i="1"/>
  <c r="N5783" i="1"/>
  <c r="A5784" i="1"/>
  <c r="C5784" i="1"/>
  <c r="N5784" i="1"/>
  <c r="A5785" i="1"/>
  <c r="C5785" i="1"/>
  <c r="N5785" i="1"/>
  <c r="A5786" i="1"/>
  <c r="C5786" i="1"/>
  <c r="N5786" i="1"/>
  <c r="A5787" i="1"/>
  <c r="C5787" i="1"/>
  <c r="N5787" i="1"/>
  <c r="A5788" i="1"/>
  <c r="C5788" i="1"/>
  <c r="N5788" i="1"/>
  <c r="A5789" i="1"/>
  <c r="C5789" i="1"/>
  <c r="N5789" i="1"/>
  <c r="A5790" i="1"/>
  <c r="C5790" i="1"/>
  <c r="N5790" i="1"/>
  <c r="A5791" i="1"/>
  <c r="C5791" i="1"/>
  <c r="N5791" i="1"/>
  <c r="A5792" i="1"/>
  <c r="C5792" i="1"/>
  <c r="N5792" i="1"/>
  <c r="A5793" i="1"/>
  <c r="C5793" i="1"/>
  <c r="N5793" i="1"/>
  <c r="A5794" i="1"/>
  <c r="C5794" i="1"/>
  <c r="N5794" i="1"/>
  <c r="A5795" i="1"/>
  <c r="C5795" i="1"/>
  <c r="N5795" i="1"/>
  <c r="A5796" i="1"/>
  <c r="C5796" i="1"/>
  <c r="N5796" i="1"/>
  <c r="A5797" i="1"/>
  <c r="C5797" i="1"/>
  <c r="N5797" i="1"/>
  <c r="A5798" i="1"/>
  <c r="C5798" i="1"/>
  <c r="N5798" i="1"/>
  <c r="A5799" i="1"/>
  <c r="C5799" i="1"/>
  <c r="N5799" i="1"/>
  <c r="A5800" i="1"/>
  <c r="C5800" i="1"/>
  <c r="N5800" i="1"/>
  <c r="A5801" i="1"/>
  <c r="C5801" i="1"/>
  <c r="N5801" i="1"/>
  <c r="A5802" i="1"/>
  <c r="C5802" i="1"/>
  <c r="N5802" i="1"/>
  <c r="A5803" i="1"/>
  <c r="C5803" i="1"/>
  <c r="N5803" i="1"/>
  <c r="A5804" i="1"/>
  <c r="C5804" i="1"/>
  <c r="N5804" i="1"/>
  <c r="A5805" i="1"/>
  <c r="C5805" i="1"/>
  <c r="N5805" i="1"/>
  <c r="A5806" i="1"/>
  <c r="C5806" i="1"/>
  <c r="N5806" i="1"/>
  <c r="A5807" i="1"/>
  <c r="C5807" i="1"/>
  <c r="N5807" i="1"/>
  <c r="A5808" i="1"/>
  <c r="C5808" i="1"/>
  <c r="N5808" i="1"/>
  <c r="A5809" i="1"/>
  <c r="C5809" i="1"/>
  <c r="N5809" i="1"/>
  <c r="A5810" i="1"/>
  <c r="C5810" i="1"/>
  <c r="N5810" i="1"/>
  <c r="A5811" i="1"/>
  <c r="C5811" i="1"/>
  <c r="N5811" i="1"/>
  <c r="A5812" i="1"/>
  <c r="C5812" i="1"/>
  <c r="N5812" i="1"/>
  <c r="A5813" i="1"/>
  <c r="C5813" i="1"/>
  <c r="N5813" i="1"/>
  <c r="A5814" i="1"/>
  <c r="C5814" i="1"/>
  <c r="N5814" i="1"/>
  <c r="A5815" i="1"/>
  <c r="C5815" i="1"/>
  <c r="N5815" i="1"/>
  <c r="A5816" i="1"/>
  <c r="C5816" i="1"/>
  <c r="N5816" i="1"/>
  <c r="A5817" i="1"/>
  <c r="C5817" i="1"/>
  <c r="N5817" i="1"/>
  <c r="A5818" i="1"/>
  <c r="C5818" i="1"/>
  <c r="N5818" i="1"/>
  <c r="A5819" i="1"/>
  <c r="C5819" i="1"/>
  <c r="D5819" i="1"/>
  <c r="N5819" i="1"/>
  <c r="O5819" i="1"/>
  <c r="A5820" i="1"/>
  <c r="C5820" i="1"/>
  <c r="N5820" i="1"/>
  <c r="A5821" i="1"/>
  <c r="C5821" i="1"/>
  <c r="N5821" i="1"/>
  <c r="A5822" i="1"/>
  <c r="C5822" i="1"/>
  <c r="N5822" i="1"/>
  <c r="A5823" i="1"/>
  <c r="C5823" i="1"/>
  <c r="N5823" i="1"/>
  <c r="A5824" i="1"/>
  <c r="C5824" i="1"/>
  <c r="N5824" i="1"/>
  <c r="A5825" i="1"/>
  <c r="C5825" i="1"/>
  <c r="N5825" i="1"/>
  <c r="A5826" i="1"/>
  <c r="C5826" i="1"/>
  <c r="N5826" i="1"/>
  <c r="A5827" i="1"/>
  <c r="C5827" i="1"/>
  <c r="N5827" i="1"/>
  <c r="A5828" i="1"/>
  <c r="C5828" i="1"/>
  <c r="N5828" i="1"/>
  <c r="A5829" i="1"/>
  <c r="C5829" i="1"/>
  <c r="N5829" i="1"/>
  <c r="A5830" i="1"/>
  <c r="C5830" i="1"/>
  <c r="N5830" i="1"/>
  <c r="A5831" i="1"/>
  <c r="C5831" i="1"/>
  <c r="N5831" i="1"/>
  <c r="A5832" i="1"/>
  <c r="C5832" i="1"/>
  <c r="N5832" i="1"/>
  <c r="A5833" i="1"/>
  <c r="C5833" i="1"/>
  <c r="N5833" i="1"/>
  <c r="A5834" i="1"/>
  <c r="C5834" i="1"/>
  <c r="N5834" i="1"/>
  <c r="A5835" i="1"/>
  <c r="C5835" i="1"/>
  <c r="N5835" i="1"/>
  <c r="A5836" i="1"/>
  <c r="C5836" i="1"/>
  <c r="N5836" i="1"/>
  <c r="A5837" i="1"/>
  <c r="C5837" i="1"/>
  <c r="N5837" i="1"/>
  <c r="A5838" i="1"/>
  <c r="C5838" i="1"/>
  <c r="N5838" i="1"/>
  <c r="A5839" i="1"/>
  <c r="C5839" i="1"/>
  <c r="N5839" i="1"/>
  <c r="A5840" i="1"/>
  <c r="C5840" i="1"/>
  <c r="N5840" i="1"/>
  <c r="A5841" i="1"/>
  <c r="C5841" i="1"/>
  <c r="N5841" i="1"/>
  <c r="A5842" i="1"/>
  <c r="C5842" i="1"/>
  <c r="N5842" i="1"/>
  <c r="A5843" i="1"/>
  <c r="C5843" i="1"/>
  <c r="N5843" i="1"/>
  <c r="A5844" i="1"/>
  <c r="C5844" i="1"/>
  <c r="N5844" i="1"/>
  <c r="A5845" i="1"/>
  <c r="C5845" i="1"/>
  <c r="N5845" i="1"/>
  <c r="A5846" i="1"/>
  <c r="C5846" i="1"/>
  <c r="N5846" i="1"/>
  <c r="A5847" i="1"/>
  <c r="C5847" i="1"/>
  <c r="N5847" i="1"/>
  <c r="A5848" i="1"/>
  <c r="C5848" i="1"/>
  <c r="N5848" i="1"/>
  <c r="A5849" i="1"/>
  <c r="C5849" i="1"/>
  <c r="N5849" i="1"/>
  <c r="A5850" i="1"/>
  <c r="C5850" i="1"/>
  <c r="N5850" i="1"/>
  <c r="A5851" i="1"/>
  <c r="C5851" i="1"/>
  <c r="N5851" i="1"/>
  <c r="A5852" i="1"/>
  <c r="C5852" i="1"/>
  <c r="N5852" i="1"/>
  <c r="A5853" i="1"/>
  <c r="C5853" i="1"/>
  <c r="N5853" i="1"/>
  <c r="A5854" i="1"/>
  <c r="C5854" i="1"/>
  <c r="N5854" i="1"/>
  <c r="A5855" i="1"/>
  <c r="C5855" i="1"/>
  <c r="N5855" i="1"/>
  <c r="A5856" i="1"/>
  <c r="C5856" i="1"/>
  <c r="N5856" i="1"/>
  <c r="A5857" i="1"/>
  <c r="C5857" i="1"/>
  <c r="N5857" i="1"/>
  <c r="A5858" i="1"/>
  <c r="C5858" i="1"/>
  <c r="N5858" i="1"/>
  <c r="A5859" i="1"/>
  <c r="C5859" i="1"/>
  <c r="N5859" i="1"/>
  <c r="A5860" i="1"/>
  <c r="C5860" i="1"/>
  <c r="N5860" i="1"/>
  <c r="A5861" i="1"/>
  <c r="C5861" i="1"/>
  <c r="N5861" i="1"/>
  <c r="A5862" i="1"/>
  <c r="C5862" i="1"/>
  <c r="N5862" i="1"/>
  <c r="A5863" i="1"/>
  <c r="C5863" i="1"/>
  <c r="N5863" i="1"/>
  <c r="A5864" i="1"/>
  <c r="C5864" i="1"/>
  <c r="N5864" i="1"/>
  <c r="A5865" i="1"/>
  <c r="C5865" i="1"/>
  <c r="N5865" i="1"/>
  <c r="A5866" i="1"/>
  <c r="C5866" i="1"/>
  <c r="N5866" i="1"/>
  <c r="A5867" i="1"/>
  <c r="C5867" i="1"/>
  <c r="N5867" i="1"/>
  <c r="A5868" i="1"/>
  <c r="C5868" i="1"/>
  <c r="N5868" i="1"/>
  <c r="A5869" i="1"/>
  <c r="C5869" i="1"/>
  <c r="N5869" i="1"/>
  <c r="A5870" i="1"/>
  <c r="C5870" i="1"/>
  <c r="N5870" i="1"/>
  <c r="A5871" i="1"/>
  <c r="C5871" i="1"/>
  <c r="N5871" i="1"/>
  <c r="A5872" i="1"/>
  <c r="C5872" i="1"/>
  <c r="N5872" i="1"/>
  <c r="A5873" i="1"/>
  <c r="C5873" i="1"/>
  <c r="N5873" i="1"/>
  <c r="A5874" i="1"/>
  <c r="C5874" i="1"/>
  <c r="N5874" i="1"/>
  <c r="A5875" i="1"/>
  <c r="C5875" i="1"/>
  <c r="N5875" i="1"/>
  <c r="A5876" i="1"/>
  <c r="C5876" i="1"/>
  <c r="N5876" i="1"/>
  <c r="A5877" i="1"/>
  <c r="C5877" i="1"/>
  <c r="N5877" i="1"/>
  <c r="A5878" i="1"/>
  <c r="C5878" i="1"/>
  <c r="N5878" i="1"/>
  <c r="A5879" i="1"/>
  <c r="C5879" i="1"/>
  <c r="N5879" i="1"/>
  <c r="A5880" i="1"/>
  <c r="C5880" i="1"/>
  <c r="N5880" i="1"/>
  <c r="A5881" i="1"/>
  <c r="C5881" i="1"/>
  <c r="F5881" i="1"/>
  <c r="N5881" i="1"/>
  <c r="A5882" i="1"/>
  <c r="C5882" i="1"/>
  <c r="N5882" i="1"/>
  <c r="A5883" i="1"/>
  <c r="C5883" i="1"/>
  <c r="N5883" i="1"/>
  <c r="A5884" i="1"/>
  <c r="C5884" i="1"/>
  <c r="N5884" i="1"/>
  <c r="A5885" i="1"/>
  <c r="C5885" i="1"/>
  <c r="N5885" i="1"/>
  <c r="A5886" i="1"/>
  <c r="C5886" i="1"/>
  <c r="K5886" i="1"/>
  <c r="N5886" i="1"/>
  <c r="A5887" i="1"/>
  <c r="C5887" i="1"/>
  <c r="N5887" i="1"/>
  <c r="A5888" i="1"/>
  <c r="C5888" i="1"/>
  <c r="N5888" i="1"/>
  <c r="A5889" i="1"/>
  <c r="C5889" i="1"/>
  <c r="K5889" i="1"/>
  <c r="N5889" i="1"/>
  <c r="A5890" i="1"/>
  <c r="C5890" i="1"/>
  <c r="K5890" i="1"/>
  <c r="N5890" i="1"/>
  <c r="A5891" i="1"/>
  <c r="C5891" i="1"/>
  <c r="N5891" i="1"/>
  <c r="A5892" i="1"/>
  <c r="C5892" i="1"/>
  <c r="N5892" i="1"/>
  <c r="A5893" i="1"/>
  <c r="C5893" i="1"/>
  <c r="N5893" i="1"/>
  <c r="A5894" i="1"/>
  <c r="C5894" i="1"/>
  <c r="N5894" i="1"/>
  <c r="A5895" i="1"/>
  <c r="C5895" i="1"/>
  <c r="N5895" i="1"/>
  <c r="A5896" i="1"/>
  <c r="C5896" i="1"/>
  <c r="N5896" i="1"/>
  <c r="A5897" i="1"/>
  <c r="C5897" i="1"/>
  <c r="N5897" i="1"/>
  <c r="A5898" i="1"/>
  <c r="C5898" i="1"/>
  <c r="N5898" i="1"/>
  <c r="A5899" i="1"/>
  <c r="C5899" i="1"/>
  <c r="N5899" i="1"/>
  <c r="A5900" i="1"/>
  <c r="C5900" i="1"/>
  <c r="N5900" i="1"/>
  <c r="A5901" i="1"/>
  <c r="C5901" i="1"/>
  <c r="N5901" i="1"/>
  <c r="A5902" i="1"/>
  <c r="C5902" i="1"/>
  <c r="N5902" i="1"/>
  <c r="A5903" i="1"/>
  <c r="C5903" i="1"/>
  <c r="N5903" i="1"/>
  <c r="A5904" i="1"/>
  <c r="C5904" i="1"/>
  <c r="N5904" i="1"/>
  <c r="A5905" i="1"/>
  <c r="C5905" i="1"/>
  <c r="N5905" i="1"/>
  <c r="A5906" i="1"/>
  <c r="C5906" i="1"/>
  <c r="N5906" i="1"/>
  <c r="A5907" i="1"/>
  <c r="C5907" i="1"/>
  <c r="N5907" i="1"/>
  <c r="A5908" i="1"/>
  <c r="C5908" i="1"/>
  <c r="N5908" i="1"/>
  <c r="A5909" i="1"/>
  <c r="C5909" i="1"/>
  <c r="N5909" i="1"/>
  <c r="A5910" i="1"/>
  <c r="C5910" i="1"/>
  <c r="N5910" i="1"/>
  <c r="A5911" i="1"/>
  <c r="C5911" i="1"/>
  <c r="N5911" i="1"/>
  <c r="A5912" i="1"/>
  <c r="C5912" i="1"/>
  <c r="N5912" i="1"/>
  <c r="A5913" i="1"/>
  <c r="C5913" i="1"/>
  <c r="N5913" i="1"/>
  <c r="A5914" i="1"/>
  <c r="C5914" i="1"/>
  <c r="N5914" i="1"/>
  <c r="A5915" i="1"/>
  <c r="C5915" i="1"/>
  <c r="N5915" i="1"/>
  <c r="A5916" i="1"/>
  <c r="C5916" i="1"/>
  <c r="N5916" i="1"/>
  <c r="A5917" i="1"/>
  <c r="C5917" i="1"/>
  <c r="N5917" i="1"/>
  <c r="A5918" i="1"/>
  <c r="C5918" i="1"/>
  <c r="N5918" i="1"/>
  <c r="A5919" i="1"/>
  <c r="C5919" i="1"/>
  <c r="N5919" i="1"/>
  <c r="A5920" i="1"/>
  <c r="C5920" i="1"/>
  <c r="N5920" i="1"/>
  <c r="A5921" i="1"/>
  <c r="C5921" i="1"/>
  <c r="N5921" i="1"/>
  <c r="A5922" i="1"/>
  <c r="C5922" i="1"/>
  <c r="N5922" i="1"/>
  <c r="A5923" i="1"/>
  <c r="C5923" i="1"/>
  <c r="N5923" i="1"/>
  <c r="A5924" i="1"/>
  <c r="C5924" i="1"/>
  <c r="N5924" i="1"/>
  <c r="A5925" i="1"/>
  <c r="C5925" i="1"/>
  <c r="N5925" i="1"/>
  <c r="A5926" i="1"/>
  <c r="C5926" i="1"/>
  <c r="N5926" i="1"/>
  <c r="A5927" i="1"/>
  <c r="C5927" i="1"/>
  <c r="N5927" i="1"/>
  <c r="A5928" i="1"/>
  <c r="C5928" i="1"/>
  <c r="N5928" i="1"/>
  <c r="A5929" i="1"/>
  <c r="C5929" i="1"/>
  <c r="N5929" i="1"/>
  <c r="A5930" i="1"/>
  <c r="C5930" i="1"/>
  <c r="N5930" i="1"/>
  <c r="A5931" i="1"/>
  <c r="C5931" i="1"/>
  <c r="N5931" i="1"/>
  <c r="A5932" i="1"/>
  <c r="C5932" i="1"/>
  <c r="K5932" i="1"/>
  <c r="N5932" i="1"/>
  <c r="A5933" i="1"/>
  <c r="C5933" i="1"/>
  <c r="N5933" i="1"/>
  <c r="A5934" i="1"/>
  <c r="C5934" i="1"/>
  <c r="N5934" i="1"/>
  <c r="A5935" i="1"/>
  <c r="C5935" i="1"/>
  <c r="N5935" i="1"/>
  <c r="A5936" i="1"/>
  <c r="C5936" i="1"/>
  <c r="N5936" i="1"/>
  <c r="A5937" i="1"/>
  <c r="C5937" i="1"/>
  <c r="N5937" i="1"/>
  <c r="A5938" i="1"/>
  <c r="C5938" i="1"/>
  <c r="N5938" i="1"/>
  <c r="A5939" i="1"/>
  <c r="C5939" i="1"/>
  <c r="N5939" i="1"/>
  <c r="A5940" i="1"/>
  <c r="C5940" i="1"/>
  <c r="N5940" i="1"/>
  <c r="A5941" i="1"/>
  <c r="C5941" i="1"/>
  <c r="N5941" i="1"/>
  <c r="A5942" i="1"/>
  <c r="C5942" i="1"/>
  <c r="N5942" i="1"/>
  <c r="A5943" i="1"/>
  <c r="C5943" i="1"/>
  <c r="N5943" i="1"/>
  <c r="A5944" i="1"/>
  <c r="C5944" i="1"/>
  <c r="N5944" i="1"/>
  <c r="A5945" i="1"/>
  <c r="C5945" i="1"/>
  <c r="N5945" i="1"/>
  <c r="A5946" i="1"/>
  <c r="C5946" i="1"/>
  <c r="N5946" i="1"/>
  <c r="A5947" i="1"/>
  <c r="C5947" i="1"/>
  <c r="N5947" i="1"/>
  <c r="A5948" i="1"/>
  <c r="C5948" i="1"/>
  <c r="N5948" i="1"/>
  <c r="A5949" i="1"/>
  <c r="C5949" i="1"/>
  <c r="N5949" i="1"/>
  <c r="A5950" i="1"/>
  <c r="C5950" i="1"/>
  <c r="N5950" i="1"/>
  <c r="A5951" i="1"/>
  <c r="C5951" i="1"/>
  <c r="N5951" i="1"/>
  <c r="A5952" i="1"/>
  <c r="C5952" i="1"/>
  <c r="N5952" i="1"/>
  <c r="A5953" i="1"/>
  <c r="C5953" i="1"/>
  <c r="N5953" i="1"/>
  <c r="A5954" i="1"/>
  <c r="C5954" i="1"/>
  <c r="N5954" i="1"/>
  <c r="A5955" i="1"/>
  <c r="C5955" i="1"/>
  <c r="N5955" i="1"/>
  <c r="A5956" i="1"/>
  <c r="C5956" i="1"/>
  <c r="N5956" i="1"/>
  <c r="A5957" i="1"/>
  <c r="C5957" i="1"/>
  <c r="N5957" i="1"/>
  <c r="A5958" i="1"/>
  <c r="C5958" i="1"/>
  <c r="N5958" i="1"/>
  <c r="A5959" i="1"/>
  <c r="C5959" i="1"/>
  <c r="N5959" i="1"/>
  <c r="A5960" i="1"/>
  <c r="C5960" i="1"/>
  <c r="N5960" i="1"/>
  <c r="A5961" i="1"/>
  <c r="C5961" i="1"/>
  <c r="N5961" i="1"/>
  <c r="A5962" i="1"/>
  <c r="C5962" i="1"/>
  <c r="N5962" i="1"/>
  <c r="A5963" i="1"/>
  <c r="C5963" i="1"/>
  <c r="N5963" i="1"/>
  <c r="A5964" i="1"/>
  <c r="C5964" i="1"/>
  <c r="N5964" i="1"/>
  <c r="A5965" i="1"/>
  <c r="C5965" i="1"/>
  <c r="N5965" i="1"/>
  <c r="A5966" i="1"/>
  <c r="C5966" i="1"/>
  <c r="N5966" i="1"/>
  <c r="A5967" i="1"/>
  <c r="C5967" i="1"/>
  <c r="N5967" i="1"/>
  <c r="A5968" i="1"/>
  <c r="C5968" i="1"/>
  <c r="N5968" i="1"/>
  <c r="A5969" i="1"/>
  <c r="C5969" i="1"/>
  <c r="N5969" i="1"/>
  <c r="A5970" i="1"/>
  <c r="C5970" i="1"/>
  <c r="N5970" i="1"/>
  <c r="A5971" i="1"/>
  <c r="C5971" i="1"/>
  <c r="N5971" i="1"/>
  <c r="A5972" i="1"/>
  <c r="C5972" i="1"/>
  <c r="N5972" i="1"/>
  <c r="A5973" i="1"/>
  <c r="C5973" i="1"/>
  <c r="N5973" i="1"/>
  <c r="A5974" i="1"/>
  <c r="C5974" i="1"/>
  <c r="N5974" i="1"/>
  <c r="A5975" i="1"/>
  <c r="C5975" i="1"/>
  <c r="N5975" i="1"/>
  <c r="A5976" i="1"/>
  <c r="C5976" i="1"/>
  <c r="N5976" i="1"/>
  <c r="A5977" i="1"/>
  <c r="C5977" i="1"/>
  <c r="N5977" i="1"/>
  <c r="A5978" i="1"/>
  <c r="C5978" i="1"/>
  <c r="N5978" i="1"/>
  <c r="A5979" i="1"/>
  <c r="C5979" i="1"/>
  <c r="N5979" i="1"/>
  <c r="A5980" i="1"/>
  <c r="C5980" i="1"/>
  <c r="N5980" i="1"/>
  <c r="A5981" i="1"/>
  <c r="C5981" i="1"/>
  <c r="N5981" i="1"/>
  <c r="A5982" i="1"/>
  <c r="C5982" i="1"/>
  <c r="N5982" i="1"/>
  <c r="A5983" i="1"/>
  <c r="C5983" i="1"/>
  <c r="N5983" i="1"/>
  <c r="A5984" i="1"/>
  <c r="C5984" i="1"/>
  <c r="N5984" i="1"/>
  <c r="A5985" i="1"/>
  <c r="C5985" i="1"/>
  <c r="N5985" i="1"/>
  <c r="A5986" i="1"/>
  <c r="C5986" i="1"/>
  <c r="N5986" i="1"/>
  <c r="A5987" i="1"/>
  <c r="C5987" i="1"/>
  <c r="N5987" i="1"/>
  <c r="A5988" i="1"/>
  <c r="C5988" i="1"/>
  <c r="N5988" i="1"/>
  <c r="A5989" i="1"/>
  <c r="C5989" i="1"/>
  <c r="N5989" i="1"/>
  <c r="A5990" i="1"/>
  <c r="C5990" i="1"/>
  <c r="N5990" i="1"/>
  <c r="A5991" i="1"/>
  <c r="C5991" i="1"/>
  <c r="N5991" i="1"/>
  <c r="A5992" i="1"/>
  <c r="C5992" i="1"/>
  <c r="N5992" i="1"/>
  <c r="A5993" i="1"/>
  <c r="C5993" i="1"/>
  <c r="N5993" i="1"/>
  <c r="A5994" i="1"/>
  <c r="C5994" i="1"/>
  <c r="N5994" i="1"/>
  <c r="A5995" i="1"/>
  <c r="C5995" i="1"/>
  <c r="N5995" i="1"/>
  <c r="A5996" i="1"/>
  <c r="C5996" i="1"/>
  <c r="N5996" i="1"/>
  <c r="A5997" i="1"/>
  <c r="C5997" i="1"/>
  <c r="N5997" i="1"/>
  <c r="A5998" i="1"/>
  <c r="C5998" i="1"/>
  <c r="N5998" i="1"/>
  <c r="A5999" i="1"/>
  <c r="C5999" i="1"/>
  <c r="N5999" i="1"/>
  <c r="A6000" i="1"/>
  <c r="C6000" i="1"/>
  <c r="N6000" i="1"/>
  <c r="A6001" i="1"/>
  <c r="C6001" i="1"/>
  <c r="N6001" i="1"/>
  <c r="A6002" i="1"/>
  <c r="C6002" i="1"/>
  <c r="N6002" i="1"/>
  <c r="A6003" i="1"/>
  <c r="C6003" i="1"/>
  <c r="N6003" i="1"/>
  <c r="A6004" i="1"/>
  <c r="C6004" i="1"/>
  <c r="K6004" i="1"/>
  <c r="N6004" i="1"/>
  <c r="A6005" i="1"/>
  <c r="C6005" i="1"/>
  <c r="N6005" i="1"/>
  <c r="A6006" i="1"/>
  <c r="C6006" i="1"/>
  <c r="N6006" i="1"/>
  <c r="A6007" i="1"/>
  <c r="C6007" i="1"/>
  <c r="N6007" i="1"/>
  <c r="A6008" i="1"/>
  <c r="C6008" i="1"/>
  <c r="N6008" i="1"/>
  <c r="A6009" i="1"/>
  <c r="C6009" i="1"/>
  <c r="N6009" i="1"/>
  <c r="A6010" i="1"/>
  <c r="C6010" i="1"/>
  <c r="N6010" i="1"/>
  <c r="A6011" i="1"/>
  <c r="C6011" i="1"/>
  <c r="N6011" i="1"/>
  <c r="A6012" i="1"/>
  <c r="C6012" i="1"/>
  <c r="N6012" i="1"/>
  <c r="A6013" i="1"/>
  <c r="C6013" i="1"/>
  <c r="N6013" i="1"/>
  <c r="A6014" i="1"/>
  <c r="C6014" i="1"/>
  <c r="N6014" i="1"/>
  <c r="A6015" i="1"/>
  <c r="C6015" i="1"/>
  <c r="N6015" i="1"/>
  <c r="A6016" i="1"/>
  <c r="C6016" i="1"/>
  <c r="N6016" i="1"/>
  <c r="A6017" i="1"/>
  <c r="C6017" i="1"/>
  <c r="N6017" i="1"/>
  <c r="A6018" i="1"/>
  <c r="C6018" i="1"/>
  <c r="N6018" i="1"/>
  <c r="A6019" i="1"/>
  <c r="C6019" i="1"/>
  <c r="N6019" i="1"/>
  <c r="A6020" i="1"/>
  <c r="C6020" i="1"/>
  <c r="N6020" i="1"/>
  <c r="A6021" i="1"/>
  <c r="C6021" i="1"/>
  <c r="N6021" i="1"/>
  <c r="A6022" i="1"/>
  <c r="C6022" i="1"/>
  <c r="N6022" i="1"/>
  <c r="A6023" i="1"/>
  <c r="C6023" i="1"/>
  <c r="N6023" i="1"/>
  <c r="A6024" i="1"/>
  <c r="C6024" i="1"/>
  <c r="N6024" i="1"/>
  <c r="A6025" i="1"/>
  <c r="C6025" i="1"/>
  <c r="N6025" i="1"/>
  <c r="A6026" i="1"/>
  <c r="C6026" i="1"/>
  <c r="N6026" i="1"/>
  <c r="A6027" i="1"/>
  <c r="C6027" i="1"/>
  <c r="N6027" i="1"/>
  <c r="A6028" i="1"/>
  <c r="C6028" i="1"/>
  <c r="N6028" i="1"/>
  <c r="A6029" i="1"/>
  <c r="C6029" i="1"/>
  <c r="N6029" i="1"/>
  <c r="A6030" i="1"/>
  <c r="C6030" i="1"/>
  <c r="N6030" i="1"/>
  <c r="A6031" i="1"/>
  <c r="C6031" i="1"/>
  <c r="N6031" i="1"/>
  <c r="A6032" i="1"/>
  <c r="C6032" i="1"/>
  <c r="N6032" i="1"/>
  <c r="A6033" i="1"/>
  <c r="C6033" i="1"/>
  <c r="N6033" i="1"/>
  <c r="A6034" i="1"/>
  <c r="C6034" i="1"/>
  <c r="N6034" i="1"/>
  <c r="A6035" i="1"/>
  <c r="C6035" i="1"/>
  <c r="N6035" i="1"/>
  <c r="A6036" i="1"/>
  <c r="C6036" i="1"/>
  <c r="N6036" i="1"/>
  <c r="A6037" i="1"/>
  <c r="C6037" i="1"/>
  <c r="N6037" i="1"/>
  <c r="A6038" i="1"/>
  <c r="C6038" i="1"/>
  <c r="N6038" i="1"/>
  <c r="A6039" i="1"/>
  <c r="C6039" i="1"/>
  <c r="N6039" i="1"/>
  <c r="A6040" i="1"/>
  <c r="C6040" i="1"/>
  <c r="N6040" i="1"/>
  <c r="A6041" i="1"/>
  <c r="C6041" i="1"/>
  <c r="N6041" i="1"/>
  <c r="A6042" i="1"/>
  <c r="C6042" i="1"/>
  <c r="N6042" i="1"/>
  <c r="A6043" i="1"/>
  <c r="C6043" i="1"/>
  <c r="N6043" i="1"/>
  <c r="A6044" i="1"/>
  <c r="C6044" i="1"/>
  <c r="N6044" i="1"/>
  <c r="A6045" i="1"/>
  <c r="C6045" i="1"/>
  <c r="N6045" i="1"/>
  <c r="A6046" i="1"/>
  <c r="C6046" i="1"/>
  <c r="N6046" i="1"/>
  <c r="A6047" i="1"/>
  <c r="C6047" i="1"/>
  <c r="K6047" i="1"/>
  <c r="N6047" i="1"/>
  <c r="A6048" i="1"/>
  <c r="C6048" i="1"/>
  <c r="N6048" i="1"/>
  <c r="A6049" i="1"/>
  <c r="C6049" i="1"/>
  <c r="N6049" i="1"/>
  <c r="A6050" i="1"/>
  <c r="C6050" i="1"/>
  <c r="N6050" i="1"/>
  <c r="A6051" i="1"/>
  <c r="C6051" i="1"/>
  <c r="N6051" i="1"/>
  <c r="A6052" i="1"/>
  <c r="C6052" i="1"/>
  <c r="N6052" i="1"/>
  <c r="A6053" i="1"/>
  <c r="C6053" i="1"/>
  <c r="N6053" i="1"/>
  <c r="A6054" i="1"/>
  <c r="C6054" i="1"/>
  <c r="N6054" i="1"/>
  <c r="A6055" i="1"/>
  <c r="C6055" i="1"/>
  <c r="N6055" i="1"/>
  <c r="A6056" i="1"/>
  <c r="C6056" i="1"/>
  <c r="N6056" i="1"/>
  <c r="A6057" i="1"/>
  <c r="C6057" i="1"/>
  <c r="E6057" i="1"/>
  <c r="N6057" i="1"/>
  <c r="T6057" i="1"/>
  <c r="A6058" i="1"/>
  <c r="C6058" i="1"/>
  <c r="E6058" i="1"/>
  <c r="N6058" i="1"/>
  <c r="T6058" i="1"/>
  <c r="A6059" i="1"/>
  <c r="C6059" i="1"/>
  <c r="E6059" i="1"/>
  <c r="N6059" i="1"/>
  <c r="T6059" i="1"/>
  <c r="A6060" i="1"/>
  <c r="C6060" i="1"/>
  <c r="E6060" i="1"/>
  <c r="N6060" i="1"/>
  <c r="T6060" i="1"/>
  <c r="A6061" i="1"/>
  <c r="C6061" i="1"/>
  <c r="E6061" i="1"/>
  <c r="N6061" i="1"/>
  <c r="T6061" i="1"/>
  <c r="A6062" i="1"/>
  <c r="C6062" i="1"/>
  <c r="N6062" i="1"/>
  <c r="A6063" i="1"/>
  <c r="C6063" i="1"/>
  <c r="N6063" i="1"/>
  <c r="A6064" i="1"/>
  <c r="C6064" i="1"/>
  <c r="N6064" i="1"/>
  <c r="A6065" i="1"/>
  <c r="C6065" i="1"/>
  <c r="N6065" i="1"/>
  <c r="A6066" i="1"/>
  <c r="C6066" i="1"/>
  <c r="N6066" i="1"/>
  <c r="A6067" i="1"/>
  <c r="C6067" i="1"/>
  <c r="N6067" i="1"/>
  <c r="A6068" i="1"/>
  <c r="C6068" i="1"/>
  <c r="N6068" i="1"/>
  <c r="A6069" i="1"/>
  <c r="C6069" i="1"/>
  <c r="N6069" i="1"/>
  <c r="A6070" i="1"/>
  <c r="C6070" i="1"/>
  <c r="N6070" i="1"/>
  <c r="A6071" i="1"/>
  <c r="C6071" i="1"/>
  <c r="N6071" i="1"/>
  <c r="A6072" i="1"/>
  <c r="C6072" i="1"/>
  <c r="N6072" i="1"/>
  <c r="A6073" i="1"/>
  <c r="C6073" i="1"/>
  <c r="N6073" i="1"/>
  <c r="A6074" i="1"/>
  <c r="C6074" i="1"/>
  <c r="N6074" i="1"/>
  <c r="A6075" i="1"/>
  <c r="C6075" i="1"/>
  <c r="N6075" i="1"/>
  <c r="A6076" i="1"/>
  <c r="C6076" i="1"/>
  <c r="N6076" i="1"/>
  <c r="A6077" i="1"/>
  <c r="C6077" i="1"/>
  <c r="N6077" i="1"/>
  <c r="A6078" i="1"/>
  <c r="C6078" i="1"/>
  <c r="N6078" i="1"/>
  <c r="A6079" i="1"/>
  <c r="C6079" i="1"/>
  <c r="N6079" i="1"/>
  <c r="A6080" i="1"/>
  <c r="C6080" i="1"/>
  <c r="N6080" i="1"/>
  <c r="A6081" i="1"/>
  <c r="C6081" i="1"/>
  <c r="N6081" i="1"/>
  <c r="A6082" i="1"/>
  <c r="C6082" i="1"/>
  <c r="N6082" i="1"/>
  <c r="A6083" i="1"/>
  <c r="C6083" i="1"/>
  <c r="N6083" i="1"/>
  <c r="A6084" i="1"/>
  <c r="C6084" i="1"/>
  <c r="N6084" i="1"/>
  <c r="A6085" i="1"/>
  <c r="C6085" i="1"/>
  <c r="N6085" i="1"/>
  <c r="A6086" i="1"/>
  <c r="C6086" i="1"/>
  <c r="N6086" i="1"/>
  <c r="A6087" i="1"/>
  <c r="C6087" i="1"/>
  <c r="N6087" i="1"/>
  <c r="A6088" i="1"/>
  <c r="C6088" i="1"/>
  <c r="N6088" i="1"/>
  <c r="A6089" i="1"/>
  <c r="C6089" i="1"/>
  <c r="N6089" i="1"/>
  <c r="A6090" i="1"/>
  <c r="C6090" i="1"/>
  <c r="N6090" i="1"/>
  <c r="A6091" i="1"/>
  <c r="C6091" i="1"/>
  <c r="N6091" i="1"/>
  <c r="A6092" i="1"/>
  <c r="C6092" i="1"/>
  <c r="K6092" i="1"/>
  <c r="N6092" i="1"/>
  <c r="A6093" i="1"/>
  <c r="C6093" i="1"/>
  <c r="K6093" i="1"/>
  <c r="N6093" i="1"/>
  <c r="A6094" i="1"/>
  <c r="C6094" i="1"/>
  <c r="K6094" i="1"/>
  <c r="N6094" i="1"/>
  <c r="A6095" i="1"/>
  <c r="C6095" i="1"/>
  <c r="K6095" i="1"/>
  <c r="N6095" i="1"/>
  <c r="A6096" i="1"/>
  <c r="C6096" i="1"/>
  <c r="K6096" i="1"/>
  <c r="N6096" i="1"/>
  <c r="A6097" i="1"/>
  <c r="C6097" i="1"/>
  <c r="N6097" i="1"/>
  <c r="A6098" i="1"/>
  <c r="C6098" i="1"/>
  <c r="N6098" i="1"/>
  <c r="A6099" i="1"/>
  <c r="C6099" i="1"/>
  <c r="N6099" i="1"/>
  <c r="A6100" i="1"/>
  <c r="C6100" i="1"/>
  <c r="N6100" i="1"/>
  <c r="A6101" i="1"/>
  <c r="C6101" i="1"/>
  <c r="K6101" i="1"/>
  <c r="N6101" i="1"/>
  <c r="A6102" i="1"/>
  <c r="C6102" i="1"/>
  <c r="K6102" i="1"/>
  <c r="N6102" i="1"/>
  <c r="A6103" i="1"/>
  <c r="C6103" i="1"/>
  <c r="N6103" i="1"/>
  <c r="A6104" i="1"/>
  <c r="C6104" i="1"/>
  <c r="K6104" i="1"/>
  <c r="N6104" i="1"/>
  <c r="A6105" i="1"/>
  <c r="C6105" i="1"/>
  <c r="N6105" i="1"/>
  <c r="A6106" i="1"/>
  <c r="C6106" i="1"/>
  <c r="N6106" i="1"/>
  <c r="A6107" i="1"/>
  <c r="C6107" i="1"/>
  <c r="N6107" i="1"/>
  <c r="A6108" i="1"/>
  <c r="C6108" i="1"/>
  <c r="N6108" i="1"/>
  <c r="A6109" i="1"/>
  <c r="C6109" i="1"/>
  <c r="N6109" i="1"/>
  <c r="A6110" i="1"/>
  <c r="C6110" i="1"/>
  <c r="N6110" i="1"/>
  <c r="A6111" i="1"/>
  <c r="C6111" i="1"/>
  <c r="N6111" i="1"/>
  <c r="A6112" i="1"/>
  <c r="C6112" i="1"/>
  <c r="N6112" i="1"/>
  <c r="A6113" i="1"/>
  <c r="C6113" i="1"/>
  <c r="N6113" i="1"/>
  <c r="A6114" i="1"/>
  <c r="C6114" i="1"/>
  <c r="K6114" i="1"/>
  <c r="N6114" i="1"/>
  <c r="A6115" i="1"/>
  <c r="C6115" i="1"/>
  <c r="N6115" i="1"/>
  <c r="A6116" i="1"/>
  <c r="C6116" i="1"/>
  <c r="N6116" i="1"/>
  <c r="A6117" i="1"/>
  <c r="C6117" i="1"/>
  <c r="N6117" i="1"/>
  <c r="A6118" i="1"/>
  <c r="C6118" i="1"/>
  <c r="N6118" i="1"/>
  <c r="A6119" i="1"/>
  <c r="C6119" i="1"/>
  <c r="N6119" i="1"/>
  <c r="A6120" i="1"/>
  <c r="C6120" i="1"/>
  <c r="K6120" i="1"/>
  <c r="N6120" i="1"/>
  <c r="A6121" i="1"/>
  <c r="C6121" i="1"/>
  <c r="K6121" i="1"/>
  <c r="N6121" i="1"/>
  <c r="A6122" i="1"/>
  <c r="C6122" i="1"/>
  <c r="K6122" i="1"/>
  <c r="N6122" i="1"/>
  <c r="A6123" i="1"/>
  <c r="C6123" i="1"/>
  <c r="N6123" i="1"/>
  <c r="A6124" i="1"/>
  <c r="C6124" i="1"/>
  <c r="K6124" i="1"/>
  <c r="N6124" i="1"/>
  <c r="A6125" i="1"/>
  <c r="C6125" i="1"/>
  <c r="K6125" i="1"/>
  <c r="N6125" i="1"/>
  <c r="A6126" i="1"/>
  <c r="C6126" i="1"/>
  <c r="N6126" i="1"/>
  <c r="A6127" i="1"/>
  <c r="C6127" i="1"/>
  <c r="N6127" i="1"/>
  <c r="A6128" i="1"/>
  <c r="C6128" i="1"/>
  <c r="K6128" i="1"/>
  <c r="N6128" i="1"/>
  <c r="A6129" i="1"/>
  <c r="C6129" i="1"/>
  <c r="N6129" i="1"/>
  <c r="A6130" i="1"/>
  <c r="C6130" i="1"/>
  <c r="N6130" i="1"/>
  <c r="A6131" i="1"/>
  <c r="C6131" i="1"/>
  <c r="N6131" i="1"/>
  <c r="A6132" i="1"/>
  <c r="C6132" i="1"/>
  <c r="N6132" i="1"/>
  <c r="A6133" i="1"/>
  <c r="C6133" i="1"/>
  <c r="N6133" i="1"/>
  <c r="A6134" i="1"/>
  <c r="C6134" i="1"/>
  <c r="N6134" i="1"/>
  <c r="A6135" i="1"/>
  <c r="C6135" i="1"/>
  <c r="N6135" i="1"/>
  <c r="A6136" i="1"/>
  <c r="C6136" i="1"/>
  <c r="K6136" i="1"/>
  <c r="N6136" i="1"/>
  <c r="A6137" i="1"/>
  <c r="C6137" i="1"/>
  <c r="K6137" i="1"/>
  <c r="N6137" i="1"/>
  <c r="A6138" i="1"/>
  <c r="C6138" i="1"/>
  <c r="K6138" i="1"/>
  <c r="N6138" i="1"/>
  <c r="A6139" i="1"/>
  <c r="C6139" i="1"/>
  <c r="N6139" i="1"/>
  <c r="A6140" i="1"/>
  <c r="C6140" i="1"/>
  <c r="K6140" i="1"/>
  <c r="N6140" i="1"/>
  <c r="A6141" i="1"/>
  <c r="C6141" i="1"/>
  <c r="K6141" i="1"/>
  <c r="N6141" i="1"/>
  <c r="A6142" i="1"/>
  <c r="C6142" i="1"/>
  <c r="N6142" i="1"/>
  <c r="A6143" i="1"/>
  <c r="C6143" i="1"/>
  <c r="N6143" i="1"/>
  <c r="A6144" i="1"/>
  <c r="C6144" i="1"/>
  <c r="N6144" i="1"/>
  <c r="A6145" i="1"/>
  <c r="C6145" i="1"/>
  <c r="N6145" i="1"/>
  <c r="A6146" i="1"/>
  <c r="C6146" i="1"/>
  <c r="N6146" i="1"/>
  <c r="A6147" i="1"/>
  <c r="C6147" i="1"/>
  <c r="N6147" i="1"/>
  <c r="A6148" i="1"/>
  <c r="C6148" i="1"/>
  <c r="N6148" i="1"/>
  <c r="A6149" i="1"/>
  <c r="C6149" i="1"/>
  <c r="N6149" i="1"/>
  <c r="A6150" i="1"/>
  <c r="C6150" i="1"/>
  <c r="K6150" i="1"/>
  <c r="N6150" i="1"/>
  <c r="A6151" i="1"/>
  <c r="C6151" i="1"/>
  <c r="N6151" i="1"/>
  <c r="A6152" i="1"/>
  <c r="C6152" i="1"/>
  <c r="N6152" i="1"/>
  <c r="A6153" i="1"/>
  <c r="C6153" i="1"/>
  <c r="N6153" i="1"/>
  <c r="A6154" i="1"/>
  <c r="C6154" i="1"/>
  <c r="N6154" i="1"/>
  <c r="A6155" i="1"/>
  <c r="C6155" i="1"/>
  <c r="N6155" i="1"/>
  <c r="A6156" i="1"/>
  <c r="C6156" i="1"/>
  <c r="N6156" i="1"/>
  <c r="A6157" i="1"/>
  <c r="C6157" i="1"/>
  <c r="N6157" i="1"/>
  <c r="A6158" i="1"/>
  <c r="C6158" i="1"/>
  <c r="N6158" i="1"/>
  <c r="A6159" i="1"/>
  <c r="C6159" i="1"/>
  <c r="N6159" i="1"/>
  <c r="A6160" i="1"/>
  <c r="C6160" i="1"/>
  <c r="N6160" i="1"/>
  <c r="A6161" i="1"/>
  <c r="C6161" i="1"/>
  <c r="N6161" i="1"/>
  <c r="A6162" i="1"/>
  <c r="C6162" i="1"/>
  <c r="N6162" i="1"/>
  <c r="A6163" i="1"/>
  <c r="C6163" i="1"/>
  <c r="N6163" i="1"/>
  <c r="A6164" i="1"/>
  <c r="C6164" i="1"/>
  <c r="N6164" i="1"/>
  <c r="A6165" i="1"/>
  <c r="C6165" i="1"/>
  <c r="N6165" i="1"/>
  <c r="A6166" i="1"/>
  <c r="C6166" i="1"/>
  <c r="N6166" i="1"/>
  <c r="A6167" i="1"/>
  <c r="C6167" i="1"/>
  <c r="N6167" i="1"/>
  <c r="A6168" i="1"/>
  <c r="C6168" i="1"/>
  <c r="N6168" i="1"/>
  <c r="A6169" i="1"/>
  <c r="C6169" i="1"/>
  <c r="N6169" i="1"/>
  <c r="A6170" i="1"/>
  <c r="C6170" i="1"/>
  <c r="N6170" i="1"/>
  <c r="A6171" i="1"/>
  <c r="C6171" i="1"/>
  <c r="N6171" i="1"/>
  <c r="A6172" i="1"/>
  <c r="C6172" i="1"/>
  <c r="N6172" i="1"/>
  <c r="A6173" i="1"/>
  <c r="C6173" i="1"/>
  <c r="N6173" i="1"/>
  <c r="A6174" i="1"/>
  <c r="C6174" i="1"/>
  <c r="N6174" i="1"/>
  <c r="A6175" i="1"/>
  <c r="C6175" i="1"/>
  <c r="N6175" i="1"/>
  <c r="A6176" i="1"/>
  <c r="C6176" i="1"/>
  <c r="N6176" i="1"/>
  <c r="A6177" i="1"/>
  <c r="C6177" i="1"/>
  <c r="K6177" i="1"/>
  <c r="N6177" i="1"/>
  <c r="A6178" i="1"/>
  <c r="C6178" i="1"/>
  <c r="N6178" i="1"/>
  <c r="A6179" i="1"/>
  <c r="C6179" i="1"/>
  <c r="N6179" i="1"/>
  <c r="A6180" i="1"/>
  <c r="C6180" i="1"/>
  <c r="K6180" i="1"/>
  <c r="N6180" i="1"/>
  <c r="A6181" i="1"/>
  <c r="C6181" i="1"/>
  <c r="K6181" i="1"/>
  <c r="N6181" i="1"/>
  <c r="A6182" i="1"/>
  <c r="C6182" i="1"/>
  <c r="N6182" i="1"/>
  <c r="A6183" i="1"/>
  <c r="C6183" i="1"/>
  <c r="K6183" i="1"/>
  <c r="N6183" i="1"/>
  <c r="A6184" i="1"/>
  <c r="C6184" i="1"/>
  <c r="N6184" i="1"/>
  <c r="A6185" i="1"/>
  <c r="C6185" i="1"/>
  <c r="N6185" i="1"/>
  <c r="A6186" i="1"/>
  <c r="C6186" i="1"/>
  <c r="N6186" i="1"/>
  <c r="A6187" i="1"/>
  <c r="C6187" i="1"/>
  <c r="N6187" i="1"/>
  <c r="A6188" i="1"/>
  <c r="C6188" i="1"/>
  <c r="N6188" i="1"/>
  <c r="A6189" i="1"/>
  <c r="C6189" i="1"/>
  <c r="N6189" i="1"/>
  <c r="A6190" i="1"/>
  <c r="C6190" i="1"/>
  <c r="K6190" i="1"/>
  <c r="N6190" i="1"/>
  <c r="A6191" i="1"/>
  <c r="C6191" i="1"/>
  <c r="K6191" i="1"/>
  <c r="N6191" i="1"/>
  <c r="A6192" i="1"/>
  <c r="C6192" i="1"/>
  <c r="K6192" i="1"/>
  <c r="N6192" i="1"/>
  <c r="A6193" i="1"/>
  <c r="C6193" i="1"/>
  <c r="N6193" i="1"/>
  <c r="A6194" i="1"/>
  <c r="C6194" i="1"/>
  <c r="N6194" i="1"/>
  <c r="A6195" i="1"/>
  <c r="C6195" i="1"/>
  <c r="N6195" i="1"/>
  <c r="A6196" i="1"/>
  <c r="C6196" i="1"/>
  <c r="N6196" i="1"/>
  <c r="A6197" i="1"/>
  <c r="C6197" i="1"/>
  <c r="N6197" i="1"/>
  <c r="A6198" i="1"/>
  <c r="C6198" i="1"/>
  <c r="N6198" i="1"/>
  <c r="A6199" i="1"/>
  <c r="C6199" i="1"/>
  <c r="N6199" i="1"/>
  <c r="A6200" i="1"/>
  <c r="C6200" i="1"/>
  <c r="N6200" i="1"/>
  <c r="A6201" i="1"/>
  <c r="C6201" i="1"/>
  <c r="N6201" i="1"/>
  <c r="A6202" i="1"/>
  <c r="C6202" i="1"/>
  <c r="N6202" i="1"/>
  <c r="A6203" i="1"/>
  <c r="C6203" i="1"/>
  <c r="N6203" i="1"/>
  <c r="A6204" i="1"/>
  <c r="C6204" i="1"/>
  <c r="N6204" i="1"/>
  <c r="A6205" i="1"/>
  <c r="C6205" i="1"/>
  <c r="N6205" i="1"/>
  <c r="A6206" i="1"/>
  <c r="C6206" i="1"/>
  <c r="N6206" i="1"/>
  <c r="A6207" i="1"/>
  <c r="C6207" i="1"/>
  <c r="N6207" i="1"/>
  <c r="A6208" i="1"/>
  <c r="C6208" i="1"/>
  <c r="N6208" i="1"/>
  <c r="A6209" i="1"/>
  <c r="C6209" i="1"/>
  <c r="N6209" i="1"/>
  <c r="A6210" i="1"/>
  <c r="C6210" i="1"/>
  <c r="N6210" i="1"/>
  <c r="A6211" i="1"/>
  <c r="C6211" i="1"/>
  <c r="N6211" i="1"/>
  <c r="A6212" i="1"/>
  <c r="C6212" i="1"/>
  <c r="N6212" i="1"/>
  <c r="A6213" i="1"/>
  <c r="C6213" i="1"/>
  <c r="N6213" i="1"/>
  <c r="A6214" i="1"/>
  <c r="C6214" i="1"/>
  <c r="N6214" i="1"/>
  <c r="A6215" i="1"/>
  <c r="C6215" i="1"/>
  <c r="K6215" i="1"/>
  <c r="N6215" i="1"/>
  <c r="A6216" i="1"/>
  <c r="C6216" i="1"/>
  <c r="K6216" i="1"/>
  <c r="N6216" i="1"/>
  <c r="A6217" i="1"/>
  <c r="C6217" i="1"/>
  <c r="N6217" i="1"/>
  <c r="A6218" i="1"/>
  <c r="C6218" i="1"/>
  <c r="N6218" i="1"/>
  <c r="A6219" i="1"/>
  <c r="C6219" i="1"/>
  <c r="K6219" i="1"/>
  <c r="N6219" i="1"/>
  <c r="A6220" i="1"/>
  <c r="C6220" i="1"/>
  <c r="N6220" i="1"/>
  <c r="A6221" i="1"/>
  <c r="C6221" i="1"/>
  <c r="K6221" i="1"/>
  <c r="N6221" i="1"/>
  <c r="A6222" i="1"/>
  <c r="C6222" i="1"/>
  <c r="N6222" i="1"/>
  <c r="A6223" i="1"/>
  <c r="C6223" i="1"/>
  <c r="N6223" i="1"/>
  <c r="A6224" i="1"/>
  <c r="C6224" i="1"/>
  <c r="N6224" i="1"/>
  <c r="A6225" i="1"/>
  <c r="C6225" i="1"/>
  <c r="N6225" i="1"/>
  <c r="A6226" i="1"/>
  <c r="C6226" i="1"/>
  <c r="N6226" i="1"/>
  <c r="A6227" i="1"/>
  <c r="C6227" i="1"/>
  <c r="N6227" i="1"/>
  <c r="A6228" i="1"/>
  <c r="C6228" i="1"/>
  <c r="N6228" i="1"/>
  <c r="A6229" i="1"/>
  <c r="C6229" i="1"/>
  <c r="N6229" i="1"/>
  <c r="A6230" i="1"/>
  <c r="C6230" i="1"/>
  <c r="K6230" i="1"/>
  <c r="N6230" i="1"/>
  <c r="A6231" i="1"/>
  <c r="C6231" i="1"/>
  <c r="N6231" i="1"/>
  <c r="A6232" i="1"/>
  <c r="C6232" i="1"/>
  <c r="N6232" i="1"/>
  <c r="A6233" i="1"/>
  <c r="C6233" i="1"/>
  <c r="N6233" i="1"/>
  <c r="A6234" i="1"/>
  <c r="C6234" i="1"/>
  <c r="N6234" i="1"/>
  <c r="A6235" i="1"/>
  <c r="C6235" i="1"/>
  <c r="N6235" i="1"/>
  <c r="A6236" i="1"/>
  <c r="C6236" i="1"/>
  <c r="N6236" i="1"/>
  <c r="A6237" i="1"/>
  <c r="C6237" i="1"/>
  <c r="N6237" i="1"/>
  <c r="A6238" i="1"/>
  <c r="C6238" i="1"/>
  <c r="N6238" i="1"/>
  <c r="A6239" i="1"/>
  <c r="C6239" i="1"/>
  <c r="N6239" i="1"/>
  <c r="A6240" i="1"/>
  <c r="C6240" i="1"/>
  <c r="N6240" i="1"/>
  <c r="A6241" i="1"/>
  <c r="C6241" i="1"/>
  <c r="N6241" i="1"/>
  <c r="A6242" i="1"/>
  <c r="C6242" i="1"/>
  <c r="N6242" i="1"/>
  <c r="A6243" i="1"/>
  <c r="C6243" i="1"/>
  <c r="K6243" i="1"/>
  <c r="N6243" i="1"/>
  <c r="A6244" i="1"/>
  <c r="C6244" i="1"/>
  <c r="N6244" i="1"/>
  <c r="A6245" i="1"/>
  <c r="C6245" i="1"/>
  <c r="N6245" i="1"/>
  <c r="A6246" i="1"/>
  <c r="C6246" i="1"/>
  <c r="N6246" i="1"/>
  <c r="A6247" i="1"/>
  <c r="C6247" i="1"/>
  <c r="N6247" i="1"/>
  <c r="A6248" i="1"/>
  <c r="C6248" i="1"/>
  <c r="N6248" i="1"/>
  <c r="A6249" i="1"/>
  <c r="C6249" i="1"/>
  <c r="N6249" i="1"/>
  <c r="A6250" i="1"/>
  <c r="C6250" i="1"/>
  <c r="N6250" i="1"/>
  <c r="A6251" i="1"/>
  <c r="C6251" i="1"/>
  <c r="N6251" i="1"/>
  <c r="A6252" i="1"/>
  <c r="C6252" i="1"/>
  <c r="N6252" i="1"/>
  <c r="A6253" i="1"/>
  <c r="C6253" i="1"/>
  <c r="N6253" i="1"/>
  <c r="A6254" i="1"/>
  <c r="C6254" i="1"/>
  <c r="N6254" i="1"/>
  <c r="A6255" i="1"/>
  <c r="C6255" i="1"/>
  <c r="N6255" i="1"/>
  <c r="A6256" i="1"/>
  <c r="C6256" i="1"/>
  <c r="N6256" i="1"/>
  <c r="A6257" i="1"/>
  <c r="C6257" i="1"/>
  <c r="N6257" i="1"/>
  <c r="A6258" i="1"/>
  <c r="C6258" i="1"/>
  <c r="N6258" i="1"/>
  <c r="A6259" i="1"/>
  <c r="C6259" i="1"/>
  <c r="N6259" i="1"/>
  <c r="A6260" i="1"/>
  <c r="C6260" i="1"/>
  <c r="N6260" i="1"/>
  <c r="A6261" i="1"/>
  <c r="C6261" i="1"/>
  <c r="N6261" i="1"/>
  <c r="A6262" i="1"/>
  <c r="C6262" i="1"/>
  <c r="N6262" i="1"/>
  <c r="A6263" i="1"/>
  <c r="C6263" i="1"/>
  <c r="N6263" i="1"/>
  <c r="A6264" i="1"/>
  <c r="C6264" i="1"/>
  <c r="N6264" i="1"/>
  <c r="A6265" i="1"/>
  <c r="C6265" i="1"/>
  <c r="N6265" i="1"/>
  <c r="A6266" i="1"/>
  <c r="C6266" i="1"/>
  <c r="N6266" i="1"/>
  <c r="A6267" i="1"/>
  <c r="C6267" i="1"/>
  <c r="N6267" i="1"/>
  <c r="A6268" i="1"/>
  <c r="C6268" i="1"/>
  <c r="N6268" i="1"/>
  <c r="A6269" i="1"/>
  <c r="C6269" i="1"/>
  <c r="N6269" i="1"/>
  <c r="A6270" i="1"/>
  <c r="C6270" i="1"/>
  <c r="N6270" i="1"/>
  <c r="A6271" i="1"/>
  <c r="C6271" i="1"/>
  <c r="N6271" i="1"/>
  <c r="A6272" i="1"/>
  <c r="C6272" i="1"/>
  <c r="N6272" i="1"/>
  <c r="A6273" i="1"/>
  <c r="C6273" i="1"/>
  <c r="N6273" i="1"/>
  <c r="A6274" i="1"/>
  <c r="C6274" i="1"/>
  <c r="K6274" i="1"/>
  <c r="N6274" i="1"/>
  <c r="A6275" i="1"/>
  <c r="C6275" i="1"/>
  <c r="K6275" i="1"/>
  <c r="N6275" i="1"/>
  <c r="A6276" i="1"/>
  <c r="C6276" i="1"/>
  <c r="N6276" i="1"/>
  <c r="A6277" i="1"/>
  <c r="C6277" i="1"/>
  <c r="N6277" i="1"/>
  <c r="A6278" i="1"/>
  <c r="C6278" i="1"/>
  <c r="N6278" i="1"/>
  <c r="A6279" i="1"/>
  <c r="C6279" i="1"/>
  <c r="N6279" i="1"/>
  <c r="A6280" i="1"/>
  <c r="C6280" i="1"/>
  <c r="K6280" i="1"/>
  <c r="N6280" i="1"/>
  <c r="A6281" i="1"/>
  <c r="C6281" i="1"/>
  <c r="N6281" i="1"/>
  <c r="A6282" i="1"/>
  <c r="C6282" i="1"/>
  <c r="K6282" i="1"/>
  <c r="N6282" i="1"/>
  <c r="A6283" i="1"/>
  <c r="C6283" i="1"/>
  <c r="N6283" i="1"/>
  <c r="A6284" i="1"/>
  <c r="C6284" i="1"/>
  <c r="K6284" i="1"/>
  <c r="N6284" i="1"/>
  <c r="A6285" i="1"/>
  <c r="C6285" i="1"/>
  <c r="K6285" i="1"/>
  <c r="N6285" i="1"/>
  <c r="A6286" i="1"/>
  <c r="C6286" i="1"/>
  <c r="N6286" i="1"/>
  <c r="A6287" i="1"/>
  <c r="C6287" i="1"/>
  <c r="N6287" i="1"/>
  <c r="A6288" i="1"/>
  <c r="C6288" i="1"/>
  <c r="N6288" i="1"/>
  <c r="A6289" i="1"/>
  <c r="C6289" i="1"/>
  <c r="N6289" i="1"/>
  <c r="A6290" i="1"/>
  <c r="C6290" i="1"/>
  <c r="N6290" i="1"/>
  <c r="A6291" i="1"/>
  <c r="C6291" i="1"/>
  <c r="N6291" i="1"/>
  <c r="A6292" i="1"/>
  <c r="C6292" i="1"/>
  <c r="N6292" i="1"/>
  <c r="A6293" i="1"/>
  <c r="C6293" i="1"/>
  <c r="N6293" i="1"/>
  <c r="A6294" i="1"/>
  <c r="C6294" i="1"/>
  <c r="K6294" i="1"/>
  <c r="N6294" i="1"/>
  <c r="A6295" i="1"/>
  <c r="C6295" i="1"/>
  <c r="K6295" i="1"/>
  <c r="N6295" i="1"/>
  <c r="A6296" i="1"/>
  <c r="C6296" i="1"/>
  <c r="K6296" i="1"/>
  <c r="N6296" i="1"/>
  <c r="A6297" i="1"/>
  <c r="C6297" i="1"/>
  <c r="N6297" i="1"/>
  <c r="A6298" i="1"/>
  <c r="C6298" i="1"/>
  <c r="N6298" i="1"/>
  <c r="A6299" i="1"/>
  <c r="C6299" i="1"/>
  <c r="N6299" i="1"/>
  <c r="A6300" i="1"/>
  <c r="C6300" i="1"/>
  <c r="N6300" i="1"/>
  <c r="A6301" i="1"/>
  <c r="C6301" i="1"/>
  <c r="N6301" i="1"/>
  <c r="A6302" i="1"/>
  <c r="C6302" i="1"/>
  <c r="N6302" i="1"/>
  <c r="A6303" i="1"/>
  <c r="C6303" i="1"/>
  <c r="N6303" i="1"/>
  <c r="A6304" i="1"/>
  <c r="C6304" i="1"/>
  <c r="N6304" i="1"/>
  <c r="A6305" i="1"/>
  <c r="C6305" i="1"/>
  <c r="N6305" i="1"/>
  <c r="A6306" i="1"/>
  <c r="C6306" i="1"/>
  <c r="N6306" i="1"/>
  <c r="A6307" i="1"/>
  <c r="C6307" i="1"/>
  <c r="N6307" i="1"/>
  <c r="A6308" i="1"/>
  <c r="C6308" i="1"/>
  <c r="N6308" i="1"/>
  <c r="A6309" i="1"/>
  <c r="C6309" i="1"/>
  <c r="N6309" i="1"/>
  <c r="A6310" i="1"/>
  <c r="C6310" i="1"/>
  <c r="K6310" i="1"/>
  <c r="N6310" i="1"/>
  <c r="A6311" i="1"/>
  <c r="C6311" i="1"/>
  <c r="N6311" i="1"/>
  <c r="A6312" i="1"/>
  <c r="C6312" i="1"/>
  <c r="N6312" i="1"/>
  <c r="A6313" i="1"/>
  <c r="C6313" i="1"/>
  <c r="N6313" i="1"/>
  <c r="A6314" i="1"/>
  <c r="C6314" i="1"/>
  <c r="N6314" i="1"/>
  <c r="A6315" i="1"/>
  <c r="C6315" i="1"/>
  <c r="N6315" i="1"/>
  <c r="A6316" i="1"/>
  <c r="C6316" i="1"/>
  <c r="N6316" i="1"/>
  <c r="A6317" i="1"/>
  <c r="C6317" i="1"/>
  <c r="N6317" i="1"/>
  <c r="A6318" i="1"/>
  <c r="C6318" i="1"/>
  <c r="N6318" i="1"/>
  <c r="A6319" i="1"/>
  <c r="C6319" i="1"/>
  <c r="N6319" i="1"/>
  <c r="A6320" i="1"/>
  <c r="C6320" i="1"/>
  <c r="N6320" i="1"/>
  <c r="A6321" i="1"/>
  <c r="C6321" i="1"/>
  <c r="K6321" i="1"/>
  <c r="N6321" i="1"/>
  <c r="A6322" i="1"/>
  <c r="C6322" i="1"/>
  <c r="N6322" i="1"/>
  <c r="A6323" i="1"/>
  <c r="C6323" i="1"/>
  <c r="N6323" i="1"/>
  <c r="A6324" i="1"/>
  <c r="C6324" i="1"/>
  <c r="N6324" i="1"/>
  <c r="A6325" i="1"/>
  <c r="C6325" i="1"/>
  <c r="N6325" i="1"/>
  <c r="A6326" i="1"/>
  <c r="C6326" i="1"/>
  <c r="N6326" i="1"/>
  <c r="A6327" i="1"/>
  <c r="C6327" i="1"/>
  <c r="N6327" i="1"/>
  <c r="A6328" i="1"/>
  <c r="C6328" i="1"/>
  <c r="N6328" i="1"/>
  <c r="A6329" i="1"/>
  <c r="C6329" i="1"/>
  <c r="N6329" i="1"/>
  <c r="A6330" i="1"/>
  <c r="C6330" i="1"/>
  <c r="N6330" i="1"/>
  <c r="A6331" i="1"/>
  <c r="C6331" i="1"/>
  <c r="N6331" i="1"/>
  <c r="A6332" i="1"/>
  <c r="C6332" i="1"/>
  <c r="N6332" i="1"/>
  <c r="A6333" i="1"/>
  <c r="C6333" i="1"/>
  <c r="N6333" i="1"/>
  <c r="A6334" i="1"/>
  <c r="C6334" i="1"/>
  <c r="K6334" i="1"/>
  <c r="N6334" i="1"/>
  <c r="A6335" i="1"/>
  <c r="C6335" i="1"/>
  <c r="N6335" i="1"/>
  <c r="A6336" i="1"/>
  <c r="C6336" i="1"/>
  <c r="N6336" i="1"/>
  <c r="A6337" i="1"/>
  <c r="C6337" i="1"/>
  <c r="N6337" i="1"/>
  <c r="A6338" i="1"/>
  <c r="C6338" i="1"/>
  <c r="N6338" i="1"/>
  <c r="A6339" i="1"/>
  <c r="C6339" i="1"/>
  <c r="N6339" i="1"/>
  <c r="A6340" i="1"/>
  <c r="C6340" i="1"/>
  <c r="N6340" i="1"/>
  <c r="A6341" i="1"/>
  <c r="C6341" i="1"/>
  <c r="N6341" i="1"/>
  <c r="A6342" i="1"/>
  <c r="C6342" i="1"/>
  <c r="N6342" i="1"/>
  <c r="A6343" i="1"/>
  <c r="C6343" i="1"/>
  <c r="N6343" i="1"/>
  <c r="A6344" i="1"/>
  <c r="C6344" i="1"/>
  <c r="N6344" i="1"/>
  <c r="A6345" i="1"/>
  <c r="C6345" i="1"/>
  <c r="N6345" i="1"/>
  <c r="A6346" i="1"/>
  <c r="C6346" i="1"/>
  <c r="N6346" i="1"/>
  <c r="A6347" i="1"/>
  <c r="C6347" i="1"/>
  <c r="N6347" i="1"/>
  <c r="A6348" i="1"/>
  <c r="C6348" i="1"/>
  <c r="N6348" i="1"/>
  <c r="A6349" i="1"/>
  <c r="C6349" i="1"/>
  <c r="F6349" i="1"/>
  <c r="N6349" i="1"/>
  <c r="A6350" i="1"/>
  <c r="C6350" i="1"/>
  <c r="F6350" i="1"/>
  <c r="N6350" i="1"/>
  <c r="A6351" i="1"/>
  <c r="C6351" i="1"/>
  <c r="N6351" i="1"/>
  <c r="A6352" i="1"/>
  <c r="C6352" i="1"/>
  <c r="N6352" i="1"/>
  <c r="A6353" i="1"/>
  <c r="C6353" i="1"/>
  <c r="N6353" i="1"/>
  <c r="A6354" i="1"/>
  <c r="C6354" i="1"/>
  <c r="N6354" i="1"/>
  <c r="A6355" i="1"/>
  <c r="C6355" i="1"/>
  <c r="N6355" i="1"/>
  <c r="A6356" i="1"/>
  <c r="C6356" i="1"/>
  <c r="N6356" i="1"/>
  <c r="A6357" i="1"/>
  <c r="C6357" i="1"/>
  <c r="K6357" i="1"/>
  <c r="N6357" i="1"/>
  <c r="A6358" i="1"/>
  <c r="C6358" i="1"/>
  <c r="K6358" i="1"/>
  <c r="N6358" i="1"/>
  <c r="A6359" i="1"/>
  <c r="C6359" i="1"/>
  <c r="N6359" i="1"/>
  <c r="A6360" i="1"/>
  <c r="C6360" i="1"/>
  <c r="N6360" i="1"/>
  <c r="A6361" i="1"/>
  <c r="C6361" i="1"/>
  <c r="K6361" i="1"/>
  <c r="N6361" i="1"/>
  <c r="A6362" i="1"/>
  <c r="C6362" i="1"/>
  <c r="K6362" i="1"/>
  <c r="N6362" i="1"/>
  <c r="A6363" i="1"/>
  <c r="C6363" i="1"/>
  <c r="N6363" i="1"/>
  <c r="A6364" i="1"/>
  <c r="C6364" i="1"/>
  <c r="N6364" i="1"/>
  <c r="A6365" i="1"/>
  <c r="C6365" i="1"/>
  <c r="N6365" i="1"/>
  <c r="A6366" i="1"/>
  <c r="C6366" i="1"/>
  <c r="N6366" i="1"/>
  <c r="A6367" i="1"/>
  <c r="C6367" i="1"/>
  <c r="N6367" i="1"/>
  <c r="A6368" i="1"/>
  <c r="C6368" i="1"/>
  <c r="N6368" i="1"/>
  <c r="A6369" i="1"/>
  <c r="C6369" i="1"/>
  <c r="N6369" i="1"/>
  <c r="A6370" i="1"/>
  <c r="C6370" i="1"/>
  <c r="N6370" i="1"/>
  <c r="A6371" i="1"/>
  <c r="C6371" i="1"/>
  <c r="N6371" i="1"/>
  <c r="A6372" i="1"/>
  <c r="C6372" i="1"/>
  <c r="K6372" i="1"/>
  <c r="N6372" i="1"/>
  <c r="A6373" i="1"/>
  <c r="C6373" i="1"/>
  <c r="K6373" i="1"/>
  <c r="N6373" i="1"/>
  <c r="A6374" i="1"/>
  <c r="C6374" i="1"/>
  <c r="N6374" i="1"/>
  <c r="A6375" i="1"/>
  <c r="C6375" i="1"/>
  <c r="N6375" i="1"/>
  <c r="A6376" i="1"/>
  <c r="C6376" i="1"/>
  <c r="N6376" i="1"/>
  <c r="A6377" i="1"/>
  <c r="C6377" i="1"/>
  <c r="N6377" i="1"/>
  <c r="A6378" i="1"/>
  <c r="C6378" i="1"/>
  <c r="N6378" i="1"/>
  <c r="A6379" i="1"/>
  <c r="C6379" i="1"/>
  <c r="N6379" i="1"/>
  <c r="A6380" i="1"/>
  <c r="C6380" i="1"/>
  <c r="N6380" i="1"/>
  <c r="A6381" i="1"/>
  <c r="C6381" i="1"/>
  <c r="N6381" i="1"/>
  <c r="A6382" i="1"/>
  <c r="C6382" i="1"/>
  <c r="N6382" i="1"/>
  <c r="A6383" i="1"/>
  <c r="C6383" i="1"/>
  <c r="N6383" i="1"/>
  <c r="A6384" i="1"/>
  <c r="C6384" i="1"/>
  <c r="N6384" i="1"/>
  <c r="A6385" i="1"/>
  <c r="C6385" i="1"/>
  <c r="N6385" i="1"/>
  <c r="A6386" i="1"/>
  <c r="C6386" i="1"/>
  <c r="K6386" i="1"/>
  <c r="N6386" i="1"/>
  <c r="A6387" i="1"/>
  <c r="C6387" i="1"/>
  <c r="K6387" i="1"/>
  <c r="N6387" i="1"/>
  <c r="A6388" i="1"/>
  <c r="C6388" i="1"/>
  <c r="K6388" i="1"/>
  <c r="N6388" i="1"/>
  <c r="A6389" i="1"/>
  <c r="C6389" i="1"/>
  <c r="K6389" i="1"/>
  <c r="N6389" i="1"/>
  <c r="A6390" i="1"/>
  <c r="C6390" i="1"/>
  <c r="N6390" i="1"/>
  <c r="A6391" i="1"/>
  <c r="C6391" i="1"/>
  <c r="N6391" i="1"/>
  <c r="A6392" i="1"/>
  <c r="C6392" i="1"/>
  <c r="N6392" i="1"/>
  <c r="A6393" i="1"/>
  <c r="C6393" i="1"/>
  <c r="N6393" i="1"/>
  <c r="A6394" i="1"/>
  <c r="C6394" i="1"/>
  <c r="N6394" i="1"/>
  <c r="A6395" i="1"/>
  <c r="C6395" i="1"/>
  <c r="N6395" i="1"/>
  <c r="A6396" i="1"/>
  <c r="C6396" i="1"/>
  <c r="N6396" i="1"/>
  <c r="A6397" i="1"/>
  <c r="C6397" i="1"/>
  <c r="K6397" i="1"/>
  <c r="N6397" i="1"/>
  <c r="A6398" i="1"/>
  <c r="C6398" i="1"/>
  <c r="K6398" i="1"/>
  <c r="N6398" i="1"/>
  <c r="A6399" i="1"/>
  <c r="C6399" i="1"/>
  <c r="N6399" i="1"/>
  <c r="A6400" i="1"/>
  <c r="C6400" i="1"/>
  <c r="N6400" i="1"/>
  <c r="A6401" i="1"/>
  <c r="C6401" i="1"/>
  <c r="K6401" i="1"/>
  <c r="N6401" i="1"/>
  <c r="A6402" i="1"/>
  <c r="C6402" i="1"/>
  <c r="K6402" i="1"/>
  <c r="N6402" i="1"/>
  <c r="A6403" i="1"/>
  <c r="C6403" i="1"/>
  <c r="N6403" i="1"/>
  <c r="A6404" i="1"/>
  <c r="C6404" i="1"/>
  <c r="N6404" i="1"/>
  <c r="A6405" i="1"/>
  <c r="C6405" i="1"/>
  <c r="K6405" i="1"/>
  <c r="N6405" i="1"/>
  <c r="A6406" i="1"/>
  <c r="C6406" i="1"/>
  <c r="K6406" i="1"/>
  <c r="N6406" i="1"/>
  <c r="A6407" i="1"/>
  <c r="C6407" i="1"/>
  <c r="K6407" i="1"/>
  <c r="N6407" i="1"/>
  <c r="A6408" i="1"/>
  <c r="C6408" i="1"/>
  <c r="K6408" i="1"/>
  <c r="N6408" i="1"/>
  <c r="A6409" i="1"/>
  <c r="C6409" i="1"/>
  <c r="N6409" i="1"/>
  <c r="A6410" i="1"/>
  <c r="C6410" i="1"/>
  <c r="N6410" i="1"/>
  <c r="A6411" i="1"/>
  <c r="C6411" i="1"/>
  <c r="N6411" i="1"/>
  <c r="A6412" i="1"/>
  <c r="C6412" i="1"/>
  <c r="N6412" i="1"/>
  <c r="A6413" i="1"/>
  <c r="C6413" i="1"/>
  <c r="N6413" i="1"/>
  <c r="A6414" i="1"/>
  <c r="C6414" i="1"/>
  <c r="N6414" i="1"/>
  <c r="A6415" i="1"/>
  <c r="C6415" i="1"/>
  <c r="N6415" i="1"/>
  <c r="A6416" i="1"/>
  <c r="C6416" i="1"/>
  <c r="N6416" i="1"/>
  <c r="A6417" i="1"/>
  <c r="C6417" i="1"/>
  <c r="N6417" i="1"/>
  <c r="A6418" i="1"/>
  <c r="C6418" i="1"/>
  <c r="N6418" i="1"/>
  <c r="A6419" i="1"/>
  <c r="C6419" i="1"/>
  <c r="N6419" i="1"/>
  <c r="A6420" i="1"/>
  <c r="C6420" i="1"/>
  <c r="N6420" i="1"/>
  <c r="A6421" i="1"/>
  <c r="C6421" i="1"/>
  <c r="N6421" i="1"/>
  <c r="A6422" i="1"/>
  <c r="C6422" i="1"/>
  <c r="N6422" i="1"/>
  <c r="A6423" i="1"/>
  <c r="C6423" i="1"/>
  <c r="N6423" i="1"/>
  <c r="A6424" i="1"/>
  <c r="C6424" i="1"/>
  <c r="N6424" i="1"/>
  <c r="A6425" i="1"/>
  <c r="C6425" i="1"/>
  <c r="N6425" i="1"/>
  <c r="A6426" i="1"/>
  <c r="C6426" i="1"/>
  <c r="N6426" i="1"/>
  <c r="A6427" i="1"/>
  <c r="C6427" i="1"/>
  <c r="N6427" i="1"/>
  <c r="A6428" i="1"/>
  <c r="C6428" i="1"/>
  <c r="N6428" i="1"/>
  <c r="A6429" i="1"/>
  <c r="C6429" i="1"/>
  <c r="N6429" i="1"/>
  <c r="A6430" i="1"/>
  <c r="C6430" i="1"/>
  <c r="N6430" i="1"/>
  <c r="A6431" i="1"/>
  <c r="C6431" i="1"/>
  <c r="N6431" i="1"/>
  <c r="A6432" i="1"/>
  <c r="C6432" i="1"/>
  <c r="N6432" i="1"/>
  <c r="A6433" i="1"/>
  <c r="C6433" i="1"/>
  <c r="N6433" i="1"/>
  <c r="A6434" i="1"/>
  <c r="C6434" i="1"/>
  <c r="N6434" i="1"/>
  <c r="A6435" i="1"/>
  <c r="C6435" i="1"/>
  <c r="N6435" i="1"/>
  <c r="A6436" i="1"/>
  <c r="C6436" i="1"/>
  <c r="N6436" i="1"/>
  <c r="A6437" i="1"/>
  <c r="C6437" i="1"/>
  <c r="N6437" i="1"/>
  <c r="A6438" i="1"/>
  <c r="C6438" i="1"/>
  <c r="N6438" i="1"/>
  <c r="A6439" i="1"/>
  <c r="C6439" i="1"/>
  <c r="K6439" i="1"/>
  <c r="N6439" i="1"/>
  <c r="A6440" i="1"/>
  <c r="C6440" i="1"/>
  <c r="N6440" i="1"/>
  <c r="A6441" i="1"/>
  <c r="C6441" i="1"/>
  <c r="N6441" i="1"/>
  <c r="A6442" i="1"/>
  <c r="C6442" i="1"/>
  <c r="N6442" i="1"/>
  <c r="A6443" i="1"/>
  <c r="C6443" i="1"/>
  <c r="N6443" i="1"/>
  <c r="A6444" i="1"/>
  <c r="C6444" i="1"/>
  <c r="N6444" i="1"/>
  <c r="A6445" i="1"/>
  <c r="C6445" i="1"/>
  <c r="N6445" i="1"/>
  <c r="A6446" i="1"/>
  <c r="C6446" i="1"/>
  <c r="N6446" i="1"/>
  <c r="A6447" i="1"/>
  <c r="C6447" i="1"/>
  <c r="N6447" i="1"/>
  <c r="A6448" i="1"/>
  <c r="C6448" i="1"/>
  <c r="N6448" i="1"/>
  <c r="A6449" i="1"/>
  <c r="C6449" i="1"/>
  <c r="N6449" i="1"/>
  <c r="A6450" i="1"/>
  <c r="C6450" i="1"/>
  <c r="N6450" i="1"/>
  <c r="A6451" i="1"/>
  <c r="C6451" i="1"/>
  <c r="N6451" i="1"/>
  <c r="A6452" i="1"/>
  <c r="C6452" i="1"/>
  <c r="N6452" i="1"/>
  <c r="A6453" i="1"/>
  <c r="C6453" i="1"/>
  <c r="N6453" i="1"/>
  <c r="A6454" i="1"/>
  <c r="C6454" i="1"/>
  <c r="K6454" i="1"/>
  <c r="N6454" i="1"/>
  <c r="A6455" i="1"/>
  <c r="C6455" i="1"/>
  <c r="N6455" i="1"/>
  <c r="A6456" i="1"/>
  <c r="C6456" i="1"/>
  <c r="N6456" i="1"/>
  <c r="A6457" i="1"/>
  <c r="C6457" i="1"/>
  <c r="N6457" i="1"/>
  <c r="A6458" i="1"/>
  <c r="C6458" i="1"/>
  <c r="N6458" i="1"/>
  <c r="A6459" i="1"/>
  <c r="C6459" i="1"/>
  <c r="N6459" i="1"/>
  <c r="A6460" i="1"/>
  <c r="C6460" i="1"/>
  <c r="N6460" i="1"/>
  <c r="A6461" i="1"/>
  <c r="C6461" i="1"/>
  <c r="N6461" i="1"/>
  <c r="A6462" i="1"/>
  <c r="C6462" i="1"/>
  <c r="N6462" i="1"/>
  <c r="A6463" i="1"/>
  <c r="C6463" i="1"/>
  <c r="N6463" i="1"/>
  <c r="A6464" i="1"/>
  <c r="C6464" i="1"/>
  <c r="N6464" i="1"/>
  <c r="A6465" i="1"/>
  <c r="C6465" i="1"/>
  <c r="N6465" i="1"/>
  <c r="A6466" i="1"/>
  <c r="C6466" i="1"/>
  <c r="N6466" i="1"/>
  <c r="A6467" i="1"/>
  <c r="C6467" i="1"/>
  <c r="N6467" i="1"/>
  <c r="A6468" i="1"/>
  <c r="C6468" i="1"/>
  <c r="N6468" i="1"/>
  <c r="A6469" i="1"/>
  <c r="C6469" i="1"/>
  <c r="N6469" i="1"/>
  <c r="A6470" i="1"/>
  <c r="C6470" i="1"/>
  <c r="N6470" i="1"/>
  <c r="A6471" i="1"/>
  <c r="C6471" i="1"/>
  <c r="N6471" i="1"/>
  <c r="A6472" i="1"/>
  <c r="C6472" i="1"/>
  <c r="N6472" i="1"/>
  <c r="A6473" i="1"/>
  <c r="C6473" i="1"/>
  <c r="N6473" i="1"/>
  <c r="A6474" i="1"/>
  <c r="C6474" i="1"/>
  <c r="N6474" i="1"/>
  <c r="A6475" i="1"/>
  <c r="C6475" i="1"/>
  <c r="N6475" i="1"/>
  <c r="A6476" i="1"/>
  <c r="C6476" i="1"/>
  <c r="N6476" i="1"/>
  <c r="A6477" i="1"/>
  <c r="C6477" i="1"/>
  <c r="N6477" i="1"/>
  <c r="A6478" i="1"/>
  <c r="C6478" i="1"/>
  <c r="N6478" i="1"/>
  <c r="A6479" i="1"/>
  <c r="C6479" i="1"/>
  <c r="N6479" i="1"/>
  <c r="A6480" i="1"/>
  <c r="C6480" i="1"/>
  <c r="N6480" i="1"/>
  <c r="A6481" i="1"/>
  <c r="C6481" i="1"/>
  <c r="K6481" i="1"/>
  <c r="N6481" i="1"/>
  <c r="A6482" i="1"/>
  <c r="C6482" i="1"/>
  <c r="K6482" i="1"/>
  <c r="N6482" i="1"/>
  <c r="A6483" i="1"/>
  <c r="C6483" i="1"/>
  <c r="N6483" i="1"/>
  <c r="A6484" i="1"/>
  <c r="C6484" i="1"/>
  <c r="N6484" i="1"/>
  <c r="A6485" i="1"/>
  <c r="C6485" i="1"/>
  <c r="N6485" i="1"/>
  <c r="A6486" i="1"/>
  <c r="C6486" i="1"/>
  <c r="K6486" i="1"/>
  <c r="N6486" i="1"/>
  <c r="A6487" i="1"/>
  <c r="C6487" i="1"/>
  <c r="K6487" i="1"/>
  <c r="N6487" i="1"/>
  <c r="A6488" i="1"/>
  <c r="C6488" i="1"/>
  <c r="K6488" i="1"/>
  <c r="N6488" i="1"/>
  <c r="A6489" i="1"/>
  <c r="C6489" i="1"/>
  <c r="N6489" i="1"/>
  <c r="A6490" i="1"/>
  <c r="C6490" i="1"/>
  <c r="K6490" i="1"/>
  <c r="N6490" i="1"/>
  <c r="A6491" i="1"/>
  <c r="C6491" i="1"/>
  <c r="N6491" i="1"/>
  <c r="A6492" i="1"/>
  <c r="C6492" i="1"/>
  <c r="N6492" i="1"/>
  <c r="A6493" i="1"/>
  <c r="C6493" i="1"/>
  <c r="N6493" i="1"/>
  <c r="A6494" i="1"/>
  <c r="C6494" i="1"/>
  <c r="N6494" i="1"/>
  <c r="A6495" i="1"/>
  <c r="C6495" i="1"/>
  <c r="N6495" i="1"/>
  <c r="A6496" i="1"/>
  <c r="C6496" i="1"/>
  <c r="N6496" i="1"/>
  <c r="A6497" i="1"/>
  <c r="C6497" i="1"/>
  <c r="N6497" i="1"/>
  <c r="A6498" i="1"/>
  <c r="C6498" i="1"/>
  <c r="K6498" i="1"/>
  <c r="N6498" i="1"/>
  <c r="A6499" i="1"/>
  <c r="C6499" i="1"/>
  <c r="K6499" i="1"/>
  <c r="N6499" i="1"/>
  <c r="A6500" i="1"/>
  <c r="C6500" i="1"/>
  <c r="K6500" i="1"/>
  <c r="N6500" i="1"/>
  <c r="A6501" i="1"/>
  <c r="C6501" i="1"/>
  <c r="K6501" i="1"/>
  <c r="N6501" i="1"/>
  <c r="A6502" i="1"/>
  <c r="C6502" i="1"/>
  <c r="N6502" i="1"/>
  <c r="A6503" i="1"/>
  <c r="C6503" i="1"/>
  <c r="N6503" i="1"/>
  <c r="A6504" i="1"/>
  <c r="C6504" i="1"/>
  <c r="N6504" i="1"/>
  <c r="A6505" i="1"/>
  <c r="C6505" i="1"/>
  <c r="N6505" i="1"/>
  <c r="A6506" i="1"/>
  <c r="C6506" i="1"/>
  <c r="N6506" i="1"/>
  <c r="A6507" i="1"/>
  <c r="C6507" i="1"/>
  <c r="N6507" i="1"/>
  <c r="A6508" i="1"/>
  <c r="C6508" i="1"/>
  <c r="N6508" i="1"/>
  <c r="A6509" i="1"/>
  <c r="C6509" i="1"/>
  <c r="N6509" i="1"/>
  <c r="A6510" i="1"/>
  <c r="C6510" i="1"/>
  <c r="N6510" i="1"/>
  <c r="A6511" i="1"/>
  <c r="C6511" i="1"/>
  <c r="N6511" i="1"/>
  <c r="A6512" i="1"/>
  <c r="C6512" i="1"/>
  <c r="N6512" i="1"/>
  <c r="A6513" i="1"/>
  <c r="C6513" i="1"/>
  <c r="N6513" i="1"/>
  <c r="A6514" i="1"/>
  <c r="C6514" i="1"/>
  <c r="N6514" i="1"/>
  <c r="A6515" i="1"/>
  <c r="C6515" i="1"/>
  <c r="N6515" i="1"/>
  <c r="A6516" i="1"/>
  <c r="C6516" i="1"/>
  <c r="N6516" i="1"/>
  <c r="A6517" i="1"/>
  <c r="C6517" i="1"/>
  <c r="N6517" i="1"/>
  <c r="A6518" i="1"/>
  <c r="C6518" i="1"/>
  <c r="N6518" i="1"/>
  <c r="A6519" i="1"/>
  <c r="C6519" i="1"/>
  <c r="N6519" i="1"/>
  <c r="A6520" i="1"/>
  <c r="C6520" i="1"/>
  <c r="N6520" i="1"/>
  <c r="A6521" i="1"/>
  <c r="C6521" i="1"/>
  <c r="N6521" i="1"/>
  <c r="A6522" i="1"/>
  <c r="C6522" i="1"/>
  <c r="N6522" i="1"/>
  <c r="A6523" i="1"/>
  <c r="C6523" i="1"/>
  <c r="N6523" i="1"/>
  <c r="A6524" i="1"/>
  <c r="C6524" i="1"/>
  <c r="N6524" i="1"/>
  <c r="A6525" i="1"/>
  <c r="C6525" i="1"/>
  <c r="N6525" i="1"/>
  <c r="A6526" i="1"/>
  <c r="C6526" i="1"/>
  <c r="N6526" i="1"/>
  <c r="A6527" i="1"/>
  <c r="C6527" i="1"/>
  <c r="N6527" i="1"/>
  <c r="A6528" i="1"/>
  <c r="C6528" i="1"/>
  <c r="K6528" i="1"/>
  <c r="N6528" i="1"/>
  <c r="A6529" i="1"/>
  <c r="C6529" i="1"/>
  <c r="N6529" i="1"/>
  <c r="A6530" i="1"/>
  <c r="C6530" i="1"/>
  <c r="K6530" i="1"/>
  <c r="N6530" i="1"/>
  <c r="A6531" i="1"/>
  <c r="C6531" i="1"/>
  <c r="N6531" i="1"/>
  <c r="A6532" i="1"/>
  <c r="C6532" i="1"/>
  <c r="N6532" i="1"/>
  <c r="A6533" i="1"/>
  <c r="C6533" i="1"/>
  <c r="N6533" i="1"/>
  <c r="A6534" i="1"/>
  <c r="C6534" i="1"/>
  <c r="N6534" i="1"/>
  <c r="A6535" i="1"/>
  <c r="C6535" i="1"/>
  <c r="N6535" i="1"/>
  <c r="A6536" i="1"/>
  <c r="C6536" i="1"/>
  <c r="N6536" i="1"/>
  <c r="A6537" i="1"/>
  <c r="C6537" i="1"/>
  <c r="N6537" i="1"/>
  <c r="A6538" i="1"/>
  <c r="C6538" i="1"/>
  <c r="N6538" i="1"/>
  <c r="A6539" i="1"/>
  <c r="C6539" i="1"/>
  <c r="N6539" i="1"/>
  <c r="A6540" i="1"/>
  <c r="C6540" i="1"/>
  <c r="N6540" i="1"/>
  <c r="A6541" i="1"/>
  <c r="C6541" i="1"/>
  <c r="N6541" i="1"/>
  <c r="A6542" i="1"/>
  <c r="C6542" i="1"/>
  <c r="N6542" i="1"/>
  <c r="A6543" i="1"/>
  <c r="C6543" i="1"/>
  <c r="N6543" i="1"/>
  <c r="A6544" i="1"/>
  <c r="C6544" i="1"/>
  <c r="K6544" i="1"/>
  <c r="N6544" i="1"/>
  <c r="A6545" i="1"/>
  <c r="C6545" i="1"/>
  <c r="K6545" i="1"/>
  <c r="N6545" i="1"/>
  <c r="A6546" i="1"/>
  <c r="C6546" i="1"/>
  <c r="N6546" i="1"/>
  <c r="A6547" i="1"/>
  <c r="C6547" i="1"/>
  <c r="N6547" i="1"/>
  <c r="A6548" i="1"/>
  <c r="C6548" i="1"/>
  <c r="N6548" i="1"/>
  <c r="A6549" i="1"/>
  <c r="C6549" i="1"/>
  <c r="N6549" i="1"/>
  <c r="A6550" i="1"/>
  <c r="C6550" i="1"/>
  <c r="N6550" i="1"/>
  <c r="A6551" i="1"/>
  <c r="C6551" i="1"/>
  <c r="N6551" i="1"/>
  <c r="A6552" i="1"/>
  <c r="C6552" i="1"/>
  <c r="N6552" i="1"/>
  <c r="A6553" i="1"/>
  <c r="C6553" i="1"/>
  <c r="N6553" i="1"/>
  <c r="A6554" i="1"/>
  <c r="C6554" i="1"/>
  <c r="K6554" i="1"/>
  <c r="N6554" i="1"/>
  <c r="A6555" i="1"/>
  <c r="C6555" i="1"/>
  <c r="N6555" i="1"/>
  <c r="A6556" i="1"/>
  <c r="C6556" i="1"/>
  <c r="N6556" i="1"/>
  <c r="A6557" i="1"/>
  <c r="C6557" i="1"/>
  <c r="N6557" i="1"/>
  <c r="A6558" i="1"/>
  <c r="C6558" i="1"/>
  <c r="K6558" i="1"/>
  <c r="N6558" i="1"/>
  <c r="A6559" i="1"/>
  <c r="C6559" i="1"/>
  <c r="N6559" i="1"/>
  <c r="A6560" i="1"/>
  <c r="C6560" i="1"/>
  <c r="N6560" i="1"/>
  <c r="A6561" i="1"/>
  <c r="C6561" i="1"/>
  <c r="N6561" i="1"/>
  <c r="A6562" i="1"/>
  <c r="C6562" i="1"/>
  <c r="N6562" i="1"/>
  <c r="A6563" i="1"/>
  <c r="C6563" i="1"/>
  <c r="N6563" i="1"/>
  <c r="A6564" i="1"/>
  <c r="C6564" i="1"/>
  <c r="N6564" i="1"/>
  <c r="A6565" i="1"/>
  <c r="C6565" i="1"/>
  <c r="N6565" i="1"/>
  <c r="A6566" i="1"/>
  <c r="C6566" i="1"/>
  <c r="N6566" i="1"/>
  <c r="A6567" i="1"/>
  <c r="C6567" i="1"/>
  <c r="N6567" i="1"/>
  <c r="A6568" i="1"/>
  <c r="C6568" i="1"/>
  <c r="N6568" i="1"/>
  <c r="A6569" i="1"/>
  <c r="C6569" i="1"/>
  <c r="N6569" i="1"/>
  <c r="A6570" i="1"/>
  <c r="C6570" i="1"/>
  <c r="N6570" i="1"/>
  <c r="A6571" i="1"/>
  <c r="C6571" i="1"/>
  <c r="N6571" i="1"/>
  <c r="A6572" i="1"/>
  <c r="C6572" i="1"/>
  <c r="N6572" i="1"/>
  <c r="A6573" i="1"/>
  <c r="C6573" i="1"/>
  <c r="N6573" i="1"/>
  <c r="A6574" i="1"/>
  <c r="C6574" i="1"/>
  <c r="N6574" i="1"/>
  <c r="A6575" i="1"/>
  <c r="C6575" i="1"/>
  <c r="N6575" i="1"/>
  <c r="A6576" i="1"/>
  <c r="C6576" i="1"/>
  <c r="N6576" i="1"/>
  <c r="A6577" i="1"/>
  <c r="C6577" i="1"/>
  <c r="N6577" i="1"/>
  <c r="A6578" i="1"/>
  <c r="C6578" i="1"/>
  <c r="N6578" i="1"/>
  <c r="A6579" i="1"/>
  <c r="C6579" i="1"/>
  <c r="N6579" i="1"/>
  <c r="A6580" i="1"/>
  <c r="C6580" i="1"/>
  <c r="N6580" i="1"/>
  <c r="A6581" i="1"/>
  <c r="C6581" i="1"/>
  <c r="N6581" i="1"/>
  <c r="A6582" i="1"/>
  <c r="C6582" i="1"/>
  <c r="N6582" i="1"/>
  <c r="A6583" i="1"/>
  <c r="C6583" i="1"/>
  <c r="N6583" i="1"/>
  <c r="A6584" i="1"/>
  <c r="C6584" i="1"/>
  <c r="N6584" i="1"/>
  <c r="A6585" i="1"/>
  <c r="C6585" i="1"/>
  <c r="N6585" i="1"/>
  <c r="A6586" i="1"/>
  <c r="C6586" i="1"/>
  <c r="N6586" i="1"/>
  <c r="A6587" i="1"/>
  <c r="C6587" i="1"/>
  <c r="N6587" i="1"/>
  <c r="A6588" i="1"/>
  <c r="C6588" i="1"/>
  <c r="N6588" i="1"/>
  <c r="A6589" i="1"/>
  <c r="C6589" i="1"/>
  <c r="N6589" i="1"/>
  <c r="A6590" i="1"/>
  <c r="C6590" i="1"/>
  <c r="N6590" i="1"/>
  <c r="A6591" i="1"/>
  <c r="C6591" i="1"/>
  <c r="N6591" i="1"/>
  <c r="A6592" i="1"/>
  <c r="C6592" i="1"/>
  <c r="K6592" i="1"/>
  <c r="N6592" i="1"/>
  <c r="A6593" i="1"/>
  <c r="C6593" i="1"/>
  <c r="N6593" i="1"/>
  <c r="A6594" i="1"/>
  <c r="C6594" i="1"/>
  <c r="N6594" i="1"/>
  <c r="A6595" i="1"/>
  <c r="C6595" i="1"/>
  <c r="K6595" i="1"/>
  <c r="N6595" i="1"/>
  <c r="A6596" i="1"/>
  <c r="C6596" i="1"/>
  <c r="N6596" i="1"/>
  <c r="A6597" i="1"/>
  <c r="C6597" i="1"/>
  <c r="N6597" i="1"/>
  <c r="A6598" i="1"/>
  <c r="C6598" i="1"/>
  <c r="N6598" i="1"/>
  <c r="A6599" i="1"/>
  <c r="C6599" i="1"/>
  <c r="N6599" i="1"/>
  <c r="A6600" i="1"/>
  <c r="C6600" i="1"/>
  <c r="N6600" i="1"/>
  <c r="A6601" i="1"/>
  <c r="C6601" i="1"/>
  <c r="N6601" i="1"/>
  <c r="A6602" i="1"/>
  <c r="C6602" i="1"/>
  <c r="K6602" i="1"/>
  <c r="N6602" i="1"/>
  <c r="A6603" i="1"/>
  <c r="C6603" i="1"/>
  <c r="N6603" i="1"/>
  <c r="A6604" i="1"/>
  <c r="C6604" i="1"/>
  <c r="N6604" i="1"/>
  <c r="A6605" i="1"/>
  <c r="C6605" i="1"/>
  <c r="N6605" i="1"/>
  <c r="A6606" i="1"/>
  <c r="C6606" i="1"/>
  <c r="N6606" i="1"/>
  <c r="A6607" i="1"/>
  <c r="C6607" i="1"/>
  <c r="N6607" i="1"/>
  <c r="A6608" i="1"/>
  <c r="C6608" i="1"/>
  <c r="N6608" i="1"/>
  <c r="A6609" i="1"/>
  <c r="C6609" i="1"/>
  <c r="N6609" i="1"/>
  <c r="A6610" i="1"/>
  <c r="C6610" i="1"/>
  <c r="N6610" i="1"/>
  <c r="A6611" i="1"/>
  <c r="C6611" i="1"/>
  <c r="N6611" i="1"/>
  <c r="A6612" i="1"/>
  <c r="C6612" i="1"/>
  <c r="N6612" i="1"/>
  <c r="A6613" i="1"/>
  <c r="C6613" i="1"/>
  <c r="N6613" i="1"/>
  <c r="A6614" i="1"/>
  <c r="C6614" i="1"/>
  <c r="N6614" i="1"/>
  <c r="A6615" i="1"/>
  <c r="C6615" i="1"/>
  <c r="N6615" i="1"/>
  <c r="A6616" i="1"/>
  <c r="C6616" i="1"/>
  <c r="N6616" i="1"/>
  <c r="A6617" i="1"/>
  <c r="C6617" i="1"/>
  <c r="N6617" i="1"/>
  <c r="A6618" i="1"/>
  <c r="C6618" i="1"/>
  <c r="N6618" i="1"/>
  <c r="A6619" i="1"/>
  <c r="C6619" i="1"/>
  <c r="N6619" i="1"/>
  <c r="A6620" i="1"/>
  <c r="C6620" i="1"/>
  <c r="N6620" i="1"/>
  <c r="A6621" i="1"/>
  <c r="C6621" i="1"/>
  <c r="K6621" i="1"/>
  <c r="N6621" i="1"/>
  <c r="A6622" i="1"/>
  <c r="C6622" i="1"/>
  <c r="N6622" i="1"/>
  <c r="A6623" i="1"/>
  <c r="C6623" i="1"/>
  <c r="N6623" i="1"/>
  <c r="A6624" i="1"/>
  <c r="C6624" i="1"/>
  <c r="N6624" i="1"/>
  <c r="A6625" i="1"/>
  <c r="C6625" i="1"/>
  <c r="N6625" i="1"/>
  <c r="A6626" i="1"/>
  <c r="C6626" i="1"/>
  <c r="N6626" i="1"/>
  <c r="A6627" i="1"/>
  <c r="C6627" i="1"/>
  <c r="N6627" i="1"/>
  <c r="A6628" i="1"/>
  <c r="C6628" i="1"/>
  <c r="N6628" i="1"/>
  <c r="A6629" i="1"/>
  <c r="C6629" i="1"/>
  <c r="N6629" i="1"/>
  <c r="A6630" i="1"/>
  <c r="C6630" i="1"/>
  <c r="N6630" i="1"/>
  <c r="A6631" i="1"/>
  <c r="C6631" i="1"/>
  <c r="N6631" i="1"/>
  <c r="A6632" i="1"/>
  <c r="C6632" i="1"/>
  <c r="N6632" i="1"/>
  <c r="A6633" i="1"/>
  <c r="C6633" i="1"/>
  <c r="N6633" i="1"/>
  <c r="A6634" i="1"/>
  <c r="C6634" i="1"/>
  <c r="N6634" i="1"/>
  <c r="A6635" i="1"/>
  <c r="C6635" i="1"/>
  <c r="N6635" i="1"/>
  <c r="A6636" i="1"/>
  <c r="C6636" i="1"/>
  <c r="N6636" i="1"/>
  <c r="A6637" i="1"/>
  <c r="C6637" i="1"/>
  <c r="N6637" i="1"/>
  <c r="A6638" i="1"/>
  <c r="C6638" i="1"/>
  <c r="K6638" i="1"/>
  <c r="N6638" i="1"/>
  <c r="A6639" i="1"/>
  <c r="C6639" i="1"/>
  <c r="K6639" i="1"/>
  <c r="N6639" i="1"/>
  <c r="A6640" i="1"/>
  <c r="C6640" i="1"/>
  <c r="K6640" i="1"/>
  <c r="N6640" i="1"/>
  <c r="A6641" i="1"/>
  <c r="C6641" i="1"/>
  <c r="N6641" i="1"/>
  <c r="A6642" i="1"/>
  <c r="C6642" i="1"/>
  <c r="E6642" i="1"/>
  <c r="N6642" i="1"/>
  <c r="T6642" i="1"/>
  <c r="A6643" i="1"/>
  <c r="C6643" i="1"/>
  <c r="K6643" i="1"/>
  <c r="N6643" i="1"/>
  <c r="A6644" i="1"/>
  <c r="C6644" i="1"/>
  <c r="N6644" i="1"/>
  <c r="A6645" i="1"/>
  <c r="C6645" i="1"/>
  <c r="N6645" i="1"/>
  <c r="A6646" i="1"/>
  <c r="C6646" i="1"/>
  <c r="N6646" i="1"/>
  <c r="A6647" i="1"/>
  <c r="C6647" i="1"/>
  <c r="N6647" i="1"/>
  <c r="A6648" i="1"/>
  <c r="C6648" i="1"/>
  <c r="N6648" i="1"/>
  <c r="A6649" i="1"/>
  <c r="C6649" i="1"/>
  <c r="N6649" i="1"/>
  <c r="A6650" i="1"/>
  <c r="C6650" i="1"/>
  <c r="N6650" i="1"/>
  <c r="A6651" i="1"/>
  <c r="C6651" i="1"/>
  <c r="N6651" i="1"/>
  <c r="A6652" i="1"/>
  <c r="C6652" i="1"/>
  <c r="N6652" i="1"/>
  <c r="A6653" i="1"/>
  <c r="C6653" i="1"/>
  <c r="N6653" i="1"/>
  <c r="A6654" i="1"/>
  <c r="C6654" i="1"/>
  <c r="K6654" i="1"/>
  <c r="N6654" i="1"/>
  <c r="A6655" i="1"/>
  <c r="C6655" i="1"/>
  <c r="N6655" i="1"/>
  <c r="A6656" i="1"/>
  <c r="C6656" i="1"/>
  <c r="N6656" i="1"/>
  <c r="A6657" i="1"/>
  <c r="C6657" i="1"/>
  <c r="N6657" i="1"/>
  <c r="A6658" i="1"/>
  <c r="C6658" i="1"/>
  <c r="K6658" i="1"/>
  <c r="N6658" i="1"/>
  <c r="A6659" i="1"/>
  <c r="C6659" i="1"/>
  <c r="N6659" i="1"/>
  <c r="A6660" i="1"/>
  <c r="C6660" i="1"/>
  <c r="N6660" i="1"/>
  <c r="A6661" i="1"/>
  <c r="C6661" i="1"/>
  <c r="N6661" i="1"/>
  <c r="A6662" i="1"/>
  <c r="C6662" i="1"/>
  <c r="N6662" i="1"/>
  <c r="A6663" i="1"/>
  <c r="C6663" i="1"/>
  <c r="N6663" i="1"/>
  <c r="A6664" i="1"/>
  <c r="C6664" i="1"/>
  <c r="N6664" i="1"/>
  <c r="A6665" i="1"/>
  <c r="C6665" i="1"/>
  <c r="N6665" i="1"/>
  <c r="A6666" i="1"/>
  <c r="C6666" i="1"/>
  <c r="N6666" i="1"/>
  <c r="A6667" i="1"/>
  <c r="C6667" i="1"/>
  <c r="N6667" i="1"/>
  <c r="A6668" i="1"/>
  <c r="C6668" i="1"/>
  <c r="N6668" i="1"/>
  <c r="A6669" i="1"/>
  <c r="C6669" i="1"/>
  <c r="N6669" i="1"/>
  <c r="A6670" i="1"/>
  <c r="C6670" i="1"/>
  <c r="N6670" i="1"/>
  <c r="A6671" i="1"/>
  <c r="C6671" i="1"/>
  <c r="N6671" i="1"/>
  <c r="A6672" i="1"/>
  <c r="C6672" i="1"/>
  <c r="N6672" i="1"/>
  <c r="A6673" i="1"/>
  <c r="C6673" i="1"/>
  <c r="N6673" i="1"/>
  <c r="A6674" i="1"/>
  <c r="C6674" i="1"/>
  <c r="N6674" i="1"/>
  <c r="A6675" i="1"/>
  <c r="C6675" i="1"/>
  <c r="N6675" i="1"/>
  <c r="A6676" i="1"/>
  <c r="C6676" i="1"/>
  <c r="N6676" i="1"/>
  <c r="A6677" i="1"/>
  <c r="C6677" i="1"/>
  <c r="N6677" i="1"/>
  <c r="A6678" i="1"/>
  <c r="C6678" i="1"/>
  <c r="N6678" i="1"/>
  <c r="A6679" i="1"/>
  <c r="C6679" i="1"/>
  <c r="N6679" i="1"/>
  <c r="A6680" i="1"/>
  <c r="C6680" i="1"/>
  <c r="N6680" i="1"/>
  <c r="A6681" i="1"/>
  <c r="C6681" i="1"/>
  <c r="N6681" i="1"/>
  <c r="A6682" i="1"/>
  <c r="C6682" i="1"/>
  <c r="N6682" i="1"/>
  <c r="A6683" i="1"/>
  <c r="C6683" i="1"/>
  <c r="K6683" i="1"/>
  <c r="N6683" i="1"/>
  <c r="A6684" i="1"/>
  <c r="C6684" i="1"/>
  <c r="K6684" i="1"/>
  <c r="N6684" i="1"/>
  <c r="A6685" i="1"/>
  <c r="C6685" i="1"/>
  <c r="K6685" i="1"/>
  <c r="N6685" i="1"/>
  <c r="A6686" i="1"/>
  <c r="C6686" i="1"/>
  <c r="K6686" i="1"/>
  <c r="N6686" i="1"/>
  <c r="A6687" i="1"/>
  <c r="C6687" i="1"/>
  <c r="K6687" i="1"/>
  <c r="N6687" i="1"/>
  <c r="A6688" i="1"/>
  <c r="C6688" i="1"/>
  <c r="K6688" i="1"/>
  <c r="N6688" i="1"/>
  <c r="A6689" i="1"/>
  <c r="C6689" i="1"/>
  <c r="N6689" i="1"/>
  <c r="A6690" i="1"/>
  <c r="C6690" i="1"/>
  <c r="K6690" i="1"/>
  <c r="N6690" i="1"/>
  <c r="A6691" i="1"/>
  <c r="C6691" i="1"/>
  <c r="N6691" i="1"/>
  <c r="A6692" i="1"/>
  <c r="C6692" i="1"/>
  <c r="E6692" i="1"/>
  <c r="N6692" i="1"/>
  <c r="T6692" i="1"/>
  <c r="A6693" i="1"/>
  <c r="C6693" i="1"/>
  <c r="N6693" i="1"/>
  <c r="A6694" i="1"/>
  <c r="C6694" i="1"/>
  <c r="N6694" i="1"/>
  <c r="A6695" i="1"/>
  <c r="C6695" i="1"/>
  <c r="K6695" i="1"/>
  <c r="N6695" i="1"/>
  <c r="A6696" i="1"/>
  <c r="C6696" i="1"/>
  <c r="K6696" i="1"/>
  <c r="N6696" i="1"/>
  <c r="A6697" i="1"/>
  <c r="C6697" i="1"/>
  <c r="K6697" i="1"/>
  <c r="N6697" i="1"/>
  <c r="A6698" i="1"/>
  <c r="C6698" i="1"/>
  <c r="N6698" i="1"/>
  <c r="A6699" i="1"/>
  <c r="C6699" i="1"/>
  <c r="N6699" i="1"/>
  <c r="A6700" i="1"/>
  <c r="C6700" i="1"/>
  <c r="N6700" i="1"/>
  <c r="A6701" i="1"/>
  <c r="C6701" i="1"/>
  <c r="N6701" i="1"/>
  <c r="A6702" i="1"/>
  <c r="C6702" i="1"/>
  <c r="N6702" i="1"/>
  <c r="A6703" i="1"/>
  <c r="C6703" i="1"/>
  <c r="N6703" i="1"/>
  <c r="A6704" i="1"/>
  <c r="C6704" i="1"/>
  <c r="N6704" i="1"/>
  <c r="A6705" i="1"/>
  <c r="C6705" i="1"/>
  <c r="N6705" i="1"/>
  <c r="A6706" i="1"/>
  <c r="C6706" i="1"/>
  <c r="N6706" i="1"/>
  <c r="A6707" i="1"/>
  <c r="C6707" i="1"/>
  <c r="N6707" i="1"/>
  <c r="A6708" i="1"/>
  <c r="C6708" i="1"/>
  <c r="N6708" i="1"/>
  <c r="A6709" i="1"/>
  <c r="C6709" i="1"/>
  <c r="K6709" i="1"/>
  <c r="N6709" i="1"/>
  <c r="A6710" i="1"/>
  <c r="C6710" i="1"/>
  <c r="K6710" i="1"/>
  <c r="N6710" i="1"/>
  <c r="A6711" i="1"/>
  <c r="C6711" i="1"/>
  <c r="N6711" i="1"/>
  <c r="A6712" i="1"/>
  <c r="C6712" i="1"/>
  <c r="N6712" i="1"/>
  <c r="A6713" i="1"/>
  <c r="C6713" i="1"/>
  <c r="N6713" i="1"/>
  <c r="A6714" i="1"/>
  <c r="C6714" i="1"/>
  <c r="K6714" i="1"/>
  <c r="N6714" i="1"/>
  <c r="A6715" i="1"/>
  <c r="C6715" i="1"/>
  <c r="N6715" i="1"/>
  <c r="A6716" i="1"/>
  <c r="C6716" i="1"/>
  <c r="N6716" i="1"/>
  <c r="A6717" i="1"/>
  <c r="C6717" i="1"/>
  <c r="K6717" i="1"/>
  <c r="N6717" i="1"/>
  <c r="A6718" i="1"/>
  <c r="C6718" i="1"/>
  <c r="N6718" i="1"/>
  <c r="A6719" i="1"/>
  <c r="C6719" i="1"/>
  <c r="E6719" i="1"/>
  <c r="K6719" i="1"/>
  <c r="N6719" i="1"/>
  <c r="T6719" i="1"/>
  <c r="A6720" i="1"/>
  <c r="C6720" i="1"/>
  <c r="K6720" i="1"/>
  <c r="N6720" i="1"/>
  <c r="A6721" i="1"/>
  <c r="C6721" i="1"/>
  <c r="N6721" i="1"/>
  <c r="A6722" i="1"/>
  <c r="C6722" i="1"/>
  <c r="K6722" i="1"/>
  <c r="N6722" i="1"/>
  <c r="A6723" i="1"/>
  <c r="C6723" i="1"/>
  <c r="K6723" i="1"/>
  <c r="N6723" i="1"/>
  <c r="A6724" i="1"/>
  <c r="C6724" i="1"/>
  <c r="N6724" i="1"/>
  <c r="A6725" i="1"/>
  <c r="C6725" i="1"/>
  <c r="K6725" i="1"/>
  <c r="N6725" i="1"/>
  <c r="A6726" i="1"/>
  <c r="C6726" i="1"/>
  <c r="N6726" i="1"/>
  <c r="A6727" i="1"/>
  <c r="C6727" i="1"/>
  <c r="F6727" i="1"/>
  <c r="N6727" i="1"/>
  <c r="A6728" i="1"/>
  <c r="C6728" i="1"/>
  <c r="N6728" i="1"/>
  <c r="A6729" i="1"/>
  <c r="C6729" i="1"/>
  <c r="N6729" i="1"/>
  <c r="A6730" i="1"/>
  <c r="C6730" i="1"/>
  <c r="N6730" i="1"/>
  <c r="A6731" i="1"/>
  <c r="C6731" i="1"/>
  <c r="N6731" i="1"/>
  <c r="A6732" i="1"/>
  <c r="C6732" i="1"/>
  <c r="K6732" i="1"/>
  <c r="N6732" i="1"/>
  <c r="A6733" i="1"/>
  <c r="C6733" i="1"/>
  <c r="K6733" i="1"/>
  <c r="N6733" i="1"/>
  <c r="A6734" i="1"/>
  <c r="C6734" i="1"/>
  <c r="N6734" i="1"/>
  <c r="A6735" i="1"/>
  <c r="C6735" i="1"/>
  <c r="N6735" i="1"/>
  <c r="A6736" i="1"/>
  <c r="C6736" i="1"/>
  <c r="N6736" i="1"/>
  <c r="A6737" i="1"/>
  <c r="C6737" i="1"/>
  <c r="N6737" i="1"/>
  <c r="A6738" i="1"/>
  <c r="C6738" i="1"/>
  <c r="N6738" i="1"/>
  <c r="A6739" i="1"/>
  <c r="C6739" i="1"/>
  <c r="N6739" i="1"/>
  <c r="A6740" i="1"/>
  <c r="C6740" i="1"/>
  <c r="N6740" i="1"/>
  <c r="A6741" i="1"/>
  <c r="C6741" i="1"/>
  <c r="N6741" i="1"/>
  <c r="A6742" i="1"/>
  <c r="C6742" i="1"/>
  <c r="K6742" i="1"/>
  <c r="N6742" i="1"/>
  <c r="A6743" i="1"/>
  <c r="C6743" i="1"/>
  <c r="K6743" i="1"/>
  <c r="N6743" i="1"/>
  <c r="A6744" i="1"/>
  <c r="C6744" i="1"/>
  <c r="K6744" i="1"/>
  <c r="N6744" i="1"/>
  <c r="A6745" i="1"/>
  <c r="C6745" i="1"/>
  <c r="N6745" i="1"/>
  <c r="A6746" i="1"/>
  <c r="C6746" i="1"/>
  <c r="N6746" i="1"/>
  <c r="A6747" i="1"/>
  <c r="C6747" i="1"/>
  <c r="K6747" i="1"/>
  <c r="N6747" i="1"/>
  <c r="A6748" i="1"/>
  <c r="C6748" i="1"/>
  <c r="K6748" i="1"/>
  <c r="N6748" i="1"/>
  <c r="A6749" i="1"/>
  <c r="C6749" i="1"/>
  <c r="K6749" i="1"/>
  <c r="N6749" i="1"/>
  <c r="A6750" i="1"/>
  <c r="C6750" i="1"/>
  <c r="K6750" i="1"/>
  <c r="N6750" i="1"/>
  <c r="A6751" i="1"/>
  <c r="C6751" i="1"/>
  <c r="N6751" i="1"/>
  <c r="A6752" i="1"/>
  <c r="C6752" i="1"/>
  <c r="N6752" i="1"/>
  <c r="A6753" i="1"/>
  <c r="C6753" i="1"/>
  <c r="K6753" i="1"/>
  <c r="N6753" i="1"/>
  <c r="A6754" i="1"/>
  <c r="C6754" i="1"/>
  <c r="K6754" i="1"/>
  <c r="N6754" i="1"/>
  <c r="A6755" i="1"/>
  <c r="C6755" i="1"/>
  <c r="N6755" i="1"/>
  <c r="A6756" i="1"/>
  <c r="C6756" i="1"/>
  <c r="N6756" i="1"/>
  <c r="A6757" i="1"/>
  <c r="C6757" i="1"/>
  <c r="K6757" i="1"/>
  <c r="N6757" i="1"/>
  <c r="A6758" i="1"/>
  <c r="C6758" i="1"/>
  <c r="K6758" i="1"/>
  <c r="N6758" i="1"/>
  <c r="A6759" i="1"/>
  <c r="C6759" i="1"/>
  <c r="K6759" i="1"/>
  <c r="N6759" i="1"/>
  <c r="A6760" i="1"/>
  <c r="C6760" i="1"/>
  <c r="K6760" i="1"/>
  <c r="N6760" i="1"/>
  <c r="A6761" i="1"/>
  <c r="C6761" i="1"/>
  <c r="N6761" i="1"/>
  <c r="A6762" i="1"/>
  <c r="C6762" i="1"/>
  <c r="N6762" i="1"/>
  <c r="A6763" i="1"/>
  <c r="C6763" i="1"/>
  <c r="N6763" i="1"/>
  <c r="A6764" i="1"/>
  <c r="C6764" i="1"/>
  <c r="K6764" i="1"/>
  <c r="N6764" i="1"/>
  <c r="A6765" i="1"/>
  <c r="C6765" i="1"/>
  <c r="K6765" i="1"/>
  <c r="N6765" i="1"/>
  <c r="A6766" i="1"/>
  <c r="C6766" i="1"/>
  <c r="K6766" i="1"/>
  <c r="N6766" i="1"/>
  <c r="A6767" i="1"/>
  <c r="C6767" i="1"/>
  <c r="N6767" i="1"/>
  <c r="A6768" i="1"/>
  <c r="C6768" i="1"/>
  <c r="K6768" i="1"/>
  <c r="N6768" i="1"/>
  <c r="A6769" i="1"/>
  <c r="C6769" i="1"/>
  <c r="N6769" i="1"/>
  <c r="A6770" i="1"/>
  <c r="C6770" i="1"/>
  <c r="N6770" i="1"/>
  <c r="A6771" i="1"/>
  <c r="C6771" i="1"/>
  <c r="K6771" i="1"/>
  <c r="N6771" i="1"/>
  <c r="A6772" i="1"/>
  <c r="C6772" i="1"/>
  <c r="K6772" i="1"/>
  <c r="N6772" i="1"/>
  <c r="A6773" i="1"/>
  <c r="C6773" i="1"/>
  <c r="K6773" i="1"/>
  <c r="N6773" i="1"/>
  <c r="A6774" i="1"/>
  <c r="C6774" i="1"/>
  <c r="N6774" i="1"/>
  <c r="A6775" i="1"/>
  <c r="C6775" i="1"/>
  <c r="K6775" i="1"/>
  <c r="N6775" i="1"/>
  <c r="A6776" i="1"/>
  <c r="C6776" i="1"/>
  <c r="K6776" i="1"/>
  <c r="N6776" i="1"/>
  <c r="A6777" i="1"/>
  <c r="C6777" i="1"/>
  <c r="K6777" i="1"/>
  <c r="N6777" i="1"/>
  <c r="A6778" i="1"/>
  <c r="C6778" i="1"/>
  <c r="N6778" i="1"/>
  <c r="A6779" i="1"/>
  <c r="C6779" i="1"/>
  <c r="N6779" i="1"/>
  <c r="A6780" i="1"/>
  <c r="C6780" i="1"/>
  <c r="N6780" i="1"/>
  <c r="A6781" i="1"/>
  <c r="C6781" i="1"/>
  <c r="N6781" i="1"/>
  <c r="A6782" i="1"/>
  <c r="C6782" i="1"/>
  <c r="N6782" i="1"/>
  <c r="A6783" i="1"/>
  <c r="C6783" i="1"/>
  <c r="N6783" i="1"/>
  <c r="A6784" i="1"/>
  <c r="C6784" i="1"/>
  <c r="N6784" i="1"/>
  <c r="A6785" i="1"/>
  <c r="C6785" i="1"/>
  <c r="K6785" i="1"/>
  <c r="N6785" i="1"/>
  <c r="A6786" i="1"/>
  <c r="C6786" i="1"/>
  <c r="N6786" i="1"/>
  <c r="A6787" i="1"/>
  <c r="C6787" i="1"/>
  <c r="N6787" i="1"/>
  <c r="A6788" i="1"/>
  <c r="C6788" i="1"/>
  <c r="N6788" i="1"/>
  <c r="A6789" i="1"/>
  <c r="C6789" i="1"/>
  <c r="K6789" i="1"/>
  <c r="N6789" i="1"/>
  <c r="A6790" i="1"/>
  <c r="C6790" i="1"/>
  <c r="K6790" i="1"/>
  <c r="N6790" i="1"/>
  <c r="A6791" i="1"/>
  <c r="C6791" i="1"/>
  <c r="N6791" i="1"/>
  <c r="A6792" i="1"/>
  <c r="C6792" i="1"/>
  <c r="N6792" i="1"/>
  <c r="A6793" i="1"/>
  <c r="C6793" i="1"/>
  <c r="N6793" i="1"/>
  <c r="A6794" i="1"/>
  <c r="C6794" i="1"/>
  <c r="K6794" i="1"/>
  <c r="N6794" i="1"/>
  <c r="A6795" i="1"/>
  <c r="C6795" i="1"/>
  <c r="N6795" i="1"/>
  <c r="A6796" i="1"/>
  <c r="C6796" i="1"/>
  <c r="K6796" i="1"/>
  <c r="N6796" i="1"/>
  <c r="A6797" i="1"/>
  <c r="C6797" i="1"/>
  <c r="N6797" i="1"/>
  <c r="A6798" i="1"/>
  <c r="C6798" i="1"/>
  <c r="K6798" i="1"/>
  <c r="N6798" i="1"/>
  <c r="A6799" i="1"/>
  <c r="C6799" i="1"/>
  <c r="N6799" i="1"/>
  <c r="A6800" i="1"/>
  <c r="C6800" i="1"/>
  <c r="N6800" i="1"/>
  <c r="A6801" i="1"/>
  <c r="C6801" i="1"/>
  <c r="K6801" i="1"/>
  <c r="N6801" i="1"/>
  <c r="A6802" i="1"/>
  <c r="C6802" i="1"/>
  <c r="K6802" i="1"/>
  <c r="N6802" i="1"/>
  <c r="A6803" i="1"/>
  <c r="C6803" i="1"/>
  <c r="N6803" i="1"/>
  <c r="A6804" i="1"/>
  <c r="C6804" i="1"/>
  <c r="K6804" i="1"/>
  <c r="N6804" i="1"/>
  <c r="A6805" i="1"/>
  <c r="C6805" i="1"/>
  <c r="N6805" i="1"/>
  <c r="A6806" i="1"/>
  <c r="C6806" i="1"/>
  <c r="K6806" i="1"/>
  <c r="N6806" i="1"/>
  <c r="A6807" i="1"/>
  <c r="C6807" i="1"/>
  <c r="K6807" i="1"/>
  <c r="N6807" i="1"/>
  <c r="A6808" i="1"/>
  <c r="C6808" i="1"/>
  <c r="K6808" i="1"/>
  <c r="N6808" i="1"/>
  <c r="A6809" i="1"/>
  <c r="C6809" i="1"/>
  <c r="N6809" i="1"/>
  <c r="A6810" i="1"/>
  <c r="C6810" i="1"/>
  <c r="K6810" i="1"/>
  <c r="N6810" i="1"/>
  <c r="A6811" i="1"/>
  <c r="C6811" i="1"/>
  <c r="K6811" i="1"/>
  <c r="N6811" i="1"/>
  <c r="A6812" i="1"/>
  <c r="C6812" i="1"/>
  <c r="K6812" i="1"/>
  <c r="N6812" i="1"/>
  <c r="A6813" i="1"/>
  <c r="C6813" i="1"/>
  <c r="K6813" i="1"/>
  <c r="N6813" i="1"/>
  <c r="A6814" i="1"/>
  <c r="C6814" i="1"/>
  <c r="K6814" i="1"/>
  <c r="N6814" i="1"/>
  <c r="A6815" i="1"/>
  <c r="C6815" i="1"/>
  <c r="K6815" i="1"/>
  <c r="N6815" i="1"/>
  <c r="A6816" i="1"/>
  <c r="C6816" i="1"/>
  <c r="K6816" i="1"/>
  <c r="N6816" i="1"/>
  <c r="A6817" i="1"/>
  <c r="C6817" i="1"/>
  <c r="N6817" i="1"/>
  <c r="A6818" i="1"/>
  <c r="C6818" i="1"/>
  <c r="K6818" i="1"/>
  <c r="N6818" i="1"/>
  <c r="A6819" i="1"/>
  <c r="C6819" i="1"/>
  <c r="N6819" i="1"/>
  <c r="A6820" i="1"/>
  <c r="C6820" i="1"/>
  <c r="N6820" i="1"/>
  <c r="A6821" i="1"/>
  <c r="C6821" i="1"/>
  <c r="K6821" i="1"/>
  <c r="N6821" i="1"/>
  <c r="A6822" i="1"/>
  <c r="C6822" i="1"/>
  <c r="K6822" i="1"/>
  <c r="N6822" i="1"/>
  <c r="A6823" i="1"/>
  <c r="C6823" i="1"/>
  <c r="N6823" i="1"/>
  <c r="A6824" i="1"/>
  <c r="C6824" i="1"/>
  <c r="N6824" i="1"/>
  <c r="A6825" i="1"/>
  <c r="C6825" i="1"/>
  <c r="K6825" i="1"/>
  <c r="N6825" i="1"/>
  <c r="A6826" i="1"/>
  <c r="C6826" i="1"/>
  <c r="N6826" i="1"/>
  <c r="A6827" i="1"/>
  <c r="C6827" i="1"/>
  <c r="N6827" i="1"/>
  <c r="A6828" i="1"/>
  <c r="C6828" i="1"/>
  <c r="N6828" i="1"/>
  <c r="A6829" i="1"/>
  <c r="C6829" i="1"/>
  <c r="N6829" i="1"/>
  <c r="A6830" i="1"/>
  <c r="C6830" i="1"/>
  <c r="N6830" i="1"/>
  <c r="A6831" i="1"/>
  <c r="C6831" i="1"/>
  <c r="N6831" i="1"/>
  <c r="A6832" i="1"/>
  <c r="C6832" i="1"/>
  <c r="N6832" i="1"/>
  <c r="A6833" i="1"/>
  <c r="C6833" i="1"/>
  <c r="N6833" i="1"/>
  <c r="A6834" i="1"/>
  <c r="C6834" i="1"/>
  <c r="K6834" i="1"/>
  <c r="N6834" i="1"/>
  <c r="A6835" i="1"/>
  <c r="C6835" i="1"/>
  <c r="N6835" i="1"/>
  <c r="A6836" i="1"/>
  <c r="C6836" i="1"/>
  <c r="K6836" i="1"/>
  <c r="N6836" i="1"/>
  <c r="A6837" i="1"/>
  <c r="C6837" i="1"/>
  <c r="K6837" i="1"/>
  <c r="N6837" i="1"/>
  <c r="A6838" i="1"/>
  <c r="C6838" i="1"/>
  <c r="K6838" i="1"/>
  <c r="N6838" i="1"/>
  <c r="A6839" i="1"/>
  <c r="C6839" i="1"/>
  <c r="K6839" i="1"/>
  <c r="N6839" i="1"/>
  <c r="A6840" i="1"/>
  <c r="C6840" i="1"/>
  <c r="K6840" i="1"/>
  <c r="N6840" i="1"/>
  <c r="A6841" i="1"/>
  <c r="C6841" i="1"/>
  <c r="K6841" i="1"/>
  <c r="N6841" i="1"/>
  <c r="A6842" i="1"/>
  <c r="C6842" i="1"/>
  <c r="K6842" i="1"/>
  <c r="N6842" i="1"/>
  <c r="A6843" i="1"/>
  <c r="C6843" i="1"/>
  <c r="K6843" i="1"/>
  <c r="N6843" i="1"/>
  <c r="A6844" i="1"/>
  <c r="C6844" i="1"/>
  <c r="K6844" i="1"/>
  <c r="N6844" i="1"/>
  <c r="A6845" i="1"/>
  <c r="C6845" i="1"/>
  <c r="K6845" i="1"/>
  <c r="N6845" i="1"/>
  <c r="A6846" i="1"/>
  <c r="C6846" i="1"/>
  <c r="K6846" i="1"/>
  <c r="N6846" i="1"/>
  <c r="A6847" i="1"/>
  <c r="C6847" i="1"/>
  <c r="K6847" i="1"/>
  <c r="N6847" i="1"/>
  <c r="A6848" i="1"/>
  <c r="C6848" i="1"/>
  <c r="K6848" i="1"/>
  <c r="N6848" i="1"/>
  <c r="A6849" i="1"/>
  <c r="C6849" i="1"/>
  <c r="K6849" i="1"/>
  <c r="N6849" i="1"/>
  <c r="A6850" i="1"/>
  <c r="C6850" i="1"/>
  <c r="D6850" i="1"/>
  <c r="K6850" i="1"/>
  <c r="N6850" i="1"/>
  <c r="O6850" i="1"/>
  <c r="A6851" i="1"/>
  <c r="C6851" i="1"/>
  <c r="K6851" i="1"/>
  <c r="N6851" i="1"/>
  <c r="A6852" i="1"/>
  <c r="C6852" i="1"/>
  <c r="N6852" i="1"/>
  <c r="A6853" i="1"/>
  <c r="C6853" i="1"/>
  <c r="N6853" i="1"/>
  <c r="A6854" i="1"/>
  <c r="C6854" i="1"/>
  <c r="N6854" i="1"/>
  <c r="A6855" i="1"/>
  <c r="C6855" i="1"/>
  <c r="N6855" i="1"/>
  <c r="A6856" i="1"/>
  <c r="C6856" i="1"/>
  <c r="K6856" i="1"/>
  <c r="N6856" i="1"/>
  <c r="A6857" i="1"/>
  <c r="C6857" i="1"/>
  <c r="K6857" i="1"/>
  <c r="N6857" i="1"/>
  <c r="A6858" i="1"/>
  <c r="C6858" i="1"/>
  <c r="K6858" i="1"/>
  <c r="N6858" i="1"/>
  <c r="A6859" i="1"/>
  <c r="C6859" i="1"/>
  <c r="K6859" i="1"/>
  <c r="N6859" i="1"/>
  <c r="A6860" i="1"/>
  <c r="C6860" i="1"/>
  <c r="K6860" i="1"/>
  <c r="N6860" i="1"/>
  <c r="A6861" i="1"/>
  <c r="C6861" i="1"/>
  <c r="K6861" i="1"/>
  <c r="N6861" i="1"/>
  <c r="A6862" i="1"/>
  <c r="C6862" i="1"/>
  <c r="K6862" i="1"/>
  <c r="N6862" i="1"/>
  <c r="A6863" i="1"/>
  <c r="C6863" i="1"/>
  <c r="K6863" i="1"/>
  <c r="N6863" i="1"/>
  <c r="A6864" i="1"/>
  <c r="C6864" i="1"/>
  <c r="K6864" i="1"/>
  <c r="N6864" i="1"/>
  <c r="A6865" i="1"/>
  <c r="C6865" i="1"/>
  <c r="K6865" i="1"/>
  <c r="N6865" i="1"/>
  <c r="A6866" i="1"/>
  <c r="C6866" i="1"/>
  <c r="K6866" i="1"/>
  <c r="N6866" i="1"/>
  <c r="A6867" i="1"/>
  <c r="C6867" i="1"/>
  <c r="N6867" i="1"/>
  <c r="A6868" i="1"/>
  <c r="C6868" i="1"/>
  <c r="K6868" i="1"/>
  <c r="N6868" i="1"/>
  <c r="A6869" i="1"/>
  <c r="C6869" i="1"/>
  <c r="K6869" i="1"/>
  <c r="N6869" i="1"/>
  <c r="A6870" i="1"/>
  <c r="C6870" i="1"/>
  <c r="K6870" i="1"/>
  <c r="N6870" i="1"/>
  <c r="A6871" i="1"/>
  <c r="C6871" i="1"/>
  <c r="K6871" i="1"/>
  <c r="N6871" i="1"/>
  <c r="A6872" i="1"/>
  <c r="C6872" i="1"/>
  <c r="K6872" i="1"/>
  <c r="N6872" i="1"/>
  <c r="A6873" i="1"/>
  <c r="C6873" i="1"/>
  <c r="N6873" i="1"/>
  <c r="A6874" i="1"/>
  <c r="C6874" i="1"/>
  <c r="N6874" i="1"/>
  <c r="A6875" i="1"/>
  <c r="C6875" i="1"/>
  <c r="N6875" i="1"/>
  <c r="A6876" i="1"/>
  <c r="C6876" i="1"/>
  <c r="K6876" i="1"/>
  <c r="N6876" i="1"/>
  <c r="A6877" i="1"/>
  <c r="C6877" i="1"/>
  <c r="K6877" i="1"/>
  <c r="N6877" i="1"/>
  <c r="A6878" i="1"/>
  <c r="C6878" i="1"/>
  <c r="K6878" i="1"/>
  <c r="N6878" i="1"/>
  <c r="A6879" i="1"/>
  <c r="C6879" i="1"/>
  <c r="N6879" i="1"/>
  <c r="A6880" i="1"/>
  <c r="C6880" i="1"/>
  <c r="N6880" i="1"/>
  <c r="A6881" i="1"/>
  <c r="C6881" i="1"/>
  <c r="K6881" i="1"/>
  <c r="N6881" i="1"/>
  <c r="A6882" i="1"/>
  <c r="C6882" i="1"/>
  <c r="K6882" i="1"/>
  <c r="N6882" i="1"/>
  <c r="A6883" i="1"/>
  <c r="C6883" i="1"/>
  <c r="K6883" i="1"/>
  <c r="N6883" i="1"/>
  <c r="A6884" i="1"/>
  <c r="C6884" i="1"/>
  <c r="K6884" i="1"/>
  <c r="N6884" i="1"/>
  <c r="A6885" i="1"/>
  <c r="C6885" i="1"/>
  <c r="K6885" i="1"/>
  <c r="N6885" i="1"/>
  <c r="A6886" i="1"/>
  <c r="C6886" i="1"/>
  <c r="N6886" i="1"/>
  <c r="A6887" i="1"/>
  <c r="C6887" i="1"/>
  <c r="N6887" i="1"/>
  <c r="A6888" i="1"/>
  <c r="C6888" i="1"/>
  <c r="N6888" i="1"/>
  <c r="A6889" i="1"/>
  <c r="C6889" i="1"/>
  <c r="N6889" i="1"/>
  <c r="A6890" i="1"/>
  <c r="C6890" i="1"/>
  <c r="K6890" i="1"/>
  <c r="N6890" i="1"/>
  <c r="A6891" i="1"/>
  <c r="C6891" i="1"/>
  <c r="N6891" i="1"/>
  <c r="A6892" i="1"/>
  <c r="C6892" i="1"/>
  <c r="K6892" i="1"/>
  <c r="N6892" i="1"/>
  <c r="A6893" i="1"/>
  <c r="C6893" i="1"/>
  <c r="K6893" i="1"/>
  <c r="N6893" i="1"/>
  <c r="A6894" i="1"/>
  <c r="C6894" i="1"/>
  <c r="K6894" i="1"/>
  <c r="N6894" i="1"/>
  <c r="A6895" i="1"/>
  <c r="C6895" i="1"/>
  <c r="N6895" i="1"/>
  <c r="A6896" i="1"/>
  <c r="C6896" i="1"/>
  <c r="K6896" i="1"/>
  <c r="N6896" i="1"/>
  <c r="A6897" i="1"/>
  <c r="C6897" i="1"/>
  <c r="N6897" i="1"/>
  <c r="A6898" i="1"/>
  <c r="C6898" i="1"/>
  <c r="K6898" i="1"/>
  <c r="N6898" i="1"/>
  <c r="A6899" i="1"/>
  <c r="C6899" i="1"/>
  <c r="K6899" i="1"/>
  <c r="N6899" i="1"/>
  <c r="A6900" i="1"/>
  <c r="C6900" i="1"/>
  <c r="N6900" i="1"/>
  <c r="A6901" i="1"/>
  <c r="C6901" i="1"/>
  <c r="N6901" i="1"/>
  <c r="A6902" i="1"/>
  <c r="C6902" i="1"/>
  <c r="N6902" i="1"/>
  <c r="A6903" i="1"/>
  <c r="C6903" i="1"/>
  <c r="K6903" i="1"/>
  <c r="N6903" i="1"/>
  <c r="A6904" i="1"/>
  <c r="C6904" i="1"/>
  <c r="N6904" i="1"/>
  <c r="A6905" i="1"/>
  <c r="C6905" i="1"/>
  <c r="N6905" i="1"/>
  <c r="A6906" i="1"/>
  <c r="C6906" i="1"/>
  <c r="N6906" i="1"/>
  <c r="A6907" i="1"/>
  <c r="C6907" i="1"/>
  <c r="N6907" i="1"/>
  <c r="A6908" i="1"/>
  <c r="C6908" i="1"/>
  <c r="N6908" i="1"/>
  <c r="A6909" i="1"/>
  <c r="C6909" i="1"/>
  <c r="N6909" i="1"/>
  <c r="A6910" i="1"/>
  <c r="C6910" i="1"/>
  <c r="N6910" i="1"/>
  <c r="A6911" i="1"/>
  <c r="C6911" i="1"/>
  <c r="K6911" i="1"/>
  <c r="N6911" i="1"/>
  <c r="A6912" i="1"/>
  <c r="C6912" i="1"/>
  <c r="K6912" i="1"/>
  <c r="N6912" i="1"/>
  <c r="A6913" i="1"/>
  <c r="C6913" i="1"/>
  <c r="D6913" i="1"/>
  <c r="K6913" i="1"/>
  <c r="N6913" i="1"/>
  <c r="O6913" i="1"/>
  <c r="A6914" i="1"/>
  <c r="C6914" i="1"/>
  <c r="N6914" i="1"/>
  <c r="A6915" i="1"/>
  <c r="C6915" i="1"/>
  <c r="N6915" i="1"/>
  <c r="A6916" i="1"/>
  <c r="C6916" i="1"/>
  <c r="K6916" i="1"/>
  <c r="N6916" i="1"/>
  <c r="A6917" i="1"/>
  <c r="C6917" i="1"/>
  <c r="K6917" i="1"/>
  <c r="N6917" i="1"/>
  <c r="A6918" i="1"/>
  <c r="C6918" i="1"/>
  <c r="K6918" i="1"/>
  <c r="N6918" i="1"/>
  <c r="A6919" i="1"/>
  <c r="C6919" i="1"/>
  <c r="K6919" i="1"/>
  <c r="N6919" i="1"/>
  <c r="A6920" i="1"/>
  <c r="C6920" i="1"/>
  <c r="K6920" i="1"/>
  <c r="N6920" i="1"/>
  <c r="A6921" i="1"/>
  <c r="C6921" i="1"/>
  <c r="K6921" i="1"/>
  <c r="N6921" i="1"/>
  <c r="A6922" i="1"/>
  <c r="C6922" i="1"/>
  <c r="K6922" i="1"/>
  <c r="N6922" i="1"/>
  <c r="A6923" i="1"/>
  <c r="C6923" i="1"/>
  <c r="K6923" i="1"/>
  <c r="N6923" i="1"/>
  <c r="A6924" i="1"/>
  <c r="C6924" i="1"/>
  <c r="K6924" i="1"/>
  <c r="N6924" i="1"/>
  <c r="A6925" i="1"/>
  <c r="C6925" i="1"/>
  <c r="K6925" i="1"/>
  <c r="N6925" i="1"/>
  <c r="A6926" i="1"/>
  <c r="C6926" i="1"/>
  <c r="K6926" i="1"/>
  <c r="N6926" i="1"/>
  <c r="A6927" i="1"/>
  <c r="C6927" i="1"/>
  <c r="K6927" i="1"/>
  <c r="N6927" i="1"/>
  <c r="A6928" i="1"/>
  <c r="C6928" i="1"/>
  <c r="K6928" i="1"/>
  <c r="N6928" i="1"/>
  <c r="A6929" i="1"/>
  <c r="C6929" i="1"/>
  <c r="N6929" i="1"/>
  <c r="A6930" i="1"/>
  <c r="C6930" i="1"/>
  <c r="N6930" i="1"/>
  <c r="A6931" i="1"/>
  <c r="C6931" i="1"/>
  <c r="K6931" i="1"/>
  <c r="N6931" i="1"/>
  <c r="A6932" i="1"/>
  <c r="C6932" i="1"/>
  <c r="N6932" i="1"/>
  <c r="A6933" i="1"/>
  <c r="C6933" i="1"/>
  <c r="N6933" i="1"/>
  <c r="A6934" i="1"/>
  <c r="C6934" i="1"/>
  <c r="N6934" i="1"/>
  <c r="A6935" i="1"/>
  <c r="C6935" i="1"/>
  <c r="N6935" i="1"/>
  <c r="A6936" i="1"/>
  <c r="C6936" i="1"/>
  <c r="K6936" i="1"/>
  <c r="N6936" i="1"/>
  <c r="A6937" i="1"/>
  <c r="C6937" i="1"/>
  <c r="N6937" i="1"/>
  <c r="A6938" i="1"/>
  <c r="C6938" i="1"/>
  <c r="K6938" i="1"/>
  <c r="N6938" i="1"/>
  <c r="A6939" i="1"/>
  <c r="C6939" i="1"/>
  <c r="K6939" i="1"/>
  <c r="N6939" i="1"/>
  <c r="A6940" i="1"/>
  <c r="C6940" i="1"/>
  <c r="K6940" i="1"/>
  <c r="N6940" i="1"/>
  <c r="A6941" i="1"/>
  <c r="C6941" i="1"/>
  <c r="K6941" i="1"/>
  <c r="N6941" i="1"/>
  <c r="A6942" i="1"/>
  <c r="C6942" i="1"/>
  <c r="K6942" i="1"/>
  <c r="N6942" i="1"/>
  <c r="A6943" i="1"/>
  <c r="C6943" i="1"/>
  <c r="K6943" i="1"/>
  <c r="N6943" i="1"/>
  <c r="A6944" i="1"/>
  <c r="C6944" i="1"/>
  <c r="K6944" i="1"/>
  <c r="N6944" i="1"/>
  <c r="A6945" i="1"/>
  <c r="C6945" i="1"/>
  <c r="K6945" i="1"/>
  <c r="N6945" i="1"/>
  <c r="A6946" i="1"/>
  <c r="C6946" i="1"/>
  <c r="K6946" i="1"/>
  <c r="N6946" i="1"/>
  <c r="A6947" i="1"/>
  <c r="C6947" i="1"/>
  <c r="N6947" i="1"/>
  <c r="A6948" i="1"/>
  <c r="C6948" i="1"/>
  <c r="N6948" i="1"/>
  <c r="A6949" i="1"/>
  <c r="C6949" i="1"/>
  <c r="K6949" i="1"/>
  <c r="N6949" i="1"/>
  <c r="A6950" i="1"/>
  <c r="C6950" i="1"/>
  <c r="N6950" i="1"/>
  <c r="A6951" i="1"/>
  <c r="C6951" i="1"/>
  <c r="N6951" i="1"/>
  <c r="A6952" i="1"/>
  <c r="C6952" i="1"/>
  <c r="K6952" i="1"/>
  <c r="N6952" i="1"/>
  <c r="A6953" i="1"/>
  <c r="C6953" i="1"/>
  <c r="N6953" i="1"/>
  <c r="A6954" i="1"/>
  <c r="C6954" i="1"/>
  <c r="K6954" i="1"/>
  <c r="N6954" i="1"/>
  <c r="A6955" i="1"/>
  <c r="C6955" i="1"/>
  <c r="K6955" i="1"/>
  <c r="N6955" i="1"/>
  <c r="A6956" i="1"/>
  <c r="C6956" i="1"/>
  <c r="K6956" i="1"/>
  <c r="N6956" i="1"/>
  <c r="A6957" i="1"/>
  <c r="C6957" i="1"/>
  <c r="N6957" i="1"/>
  <c r="A6958" i="1"/>
  <c r="C6958" i="1"/>
  <c r="K6958" i="1"/>
  <c r="N6958" i="1"/>
  <c r="A6959" i="1"/>
  <c r="C6959" i="1"/>
  <c r="K6959" i="1"/>
  <c r="N6959" i="1"/>
  <c r="A6960" i="1"/>
  <c r="C6960" i="1"/>
  <c r="K6960" i="1"/>
  <c r="N6960" i="1"/>
  <c r="A6961" i="1"/>
  <c r="C6961" i="1"/>
  <c r="K6961" i="1"/>
  <c r="N6961" i="1"/>
  <c r="A6962" i="1"/>
  <c r="C6962" i="1"/>
  <c r="K6962" i="1"/>
  <c r="N6962" i="1"/>
  <c r="A6963" i="1"/>
  <c r="C6963" i="1"/>
  <c r="K6963" i="1"/>
  <c r="N6963" i="1"/>
  <c r="A6964" i="1"/>
  <c r="C6964" i="1"/>
  <c r="N6964" i="1"/>
  <c r="A6965" i="1"/>
  <c r="C6965" i="1"/>
  <c r="K6965" i="1"/>
  <c r="N6965" i="1"/>
  <c r="A6966" i="1"/>
  <c r="C6966" i="1"/>
  <c r="K6966" i="1"/>
  <c r="N6966" i="1"/>
  <c r="A6967" i="1"/>
  <c r="C6967" i="1"/>
  <c r="K6967" i="1"/>
  <c r="N6967" i="1"/>
  <c r="A6968" i="1"/>
  <c r="C6968" i="1"/>
  <c r="N6968" i="1"/>
  <c r="A6969" i="1"/>
  <c r="C6969" i="1"/>
  <c r="K6969" i="1"/>
  <c r="N6969" i="1"/>
  <c r="A6970" i="1"/>
  <c r="C6970" i="1"/>
  <c r="N6970" i="1"/>
  <c r="A6971" i="1"/>
  <c r="C6971" i="1"/>
  <c r="N6971" i="1"/>
  <c r="A6972" i="1"/>
  <c r="C6972" i="1"/>
  <c r="N6972" i="1"/>
  <c r="A6973" i="1"/>
  <c r="C6973" i="1"/>
  <c r="N6973" i="1"/>
  <c r="A6974" i="1"/>
  <c r="C6974" i="1"/>
  <c r="K6974" i="1"/>
  <c r="N6974" i="1"/>
  <c r="A6975" i="1"/>
  <c r="C6975" i="1"/>
  <c r="N6975" i="1"/>
  <c r="A6976" i="1"/>
  <c r="C6976" i="1"/>
  <c r="N6976" i="1"/>
  <c r="A6977" i="1"/>
  <c r="C6977" i="1"/>
  <c r="K6977" i="1"/>
  <c r="N6977" i="1"/>
  <c r="A6978" i="1"/>
  <c r="C6978" i="1"/>
  <c r="N6978" i="1"/>
  <c r="A6979" i="1"/>
  <c r="C6979" i="1"/>
  <c r="N6979" i="1"/>
  <c r="A6980" i="1"/>
  <c r="C6980" i="1"/>
  <c r="K6980" i="1"/>
  <c r="N6980" i="1"/>
  <c r="A6981" i="1"/>
  <c r="C6981" i="1"/>
  <c r="N6981" i="1"/>
  <c r="A6982" i="1"/>
  <c r="C6982" i="1"/>
  <c r="N6982" i="1"/>
  <c r="A6983" i="1"/>
  <c r="C6983" i="1"/>
  <c r="N6983" i="1"/>
  <c r="A6984" i="1"/>
  <c r="C6984" i="1"/>
  <c r="N6984" i="1"/>
  <c r="A6985" i="1"/>
  <c r="C6985" i="1"/>
  <c r="N6985" i="1"/>
  <c r="A6986" i="1"/>
  <c r="C6986" i="1"/>
  <c r="N6986" i="1"/>
  <c r="A6987" i="1"/>
  <c r="C6987" i="1"/>
  <c r="F6987" i="1"/>
  <c r="N6987" i="1"/>
  <c r="A6988" i="1"/>
  <c r="C6988" i="1"/>
  <c r="F6988" i="1"/>
  <c r="N6988" i="1"/>
  <c r="A6989" i="1"/>
  <c r="C6989" i="1"/>
  <c r="F6989" i="1"/>
  <c r="N6989" i="1"/>
  <c r="A6990" i="1"/>
  <c r="C6990" i="1"/>
  <c r="K6990" i="1"/>
  <c r="N6990" i="1"/>
  <c r="A6991" i="1"/>
  <c r="C6991" i="1"/>
  <c r="N6991" i="1"/>
  <c r="A6992" i="1"/>
  <c r="C6992" i="1"/>
  <c r="N6992" i="1"/>
  <c r="A6993" i="1"/>
  <c r="C6993" i="1"/>
  <c r="N6993" i="1"/>
  <c r="A6994" i="1"/>
  <c r="C6994" i="1"/>
  <c r="N6994" i="1"/>
  <c r="A6995" i="1"/>
  <c r="C6995" i="1"/>
  <c r="N6995" i="1"/>
  <c r="A6996" i="1"/>
  <c r="C6996" i="1"/>
  <c r="N6996" i="1"/>
  <c r="A6997" i="1"/>
  <c r="C6997" i="1"/>
  <c r="N6997" i="1"/>
  <c r="A6998" i="1"/>
  <c r="C6998" i="1"/>
  <c r="N6998" i="1"/>
  <c r="A6999" i="1"/>
  <c r="C6999" i="1"/>
  <c r="K6999" i="1"/>
  <c r="N6999" i="1"/>
  <c r="A7000" i="1"/>
  <c r="C7000" i="1"/>
  <c r="N7000" i="1"/>
  <c r="A7001" i="1"/>
  <c r="C7001" i="1"/>
  <c r="N7001" i="1"/>
  <c r="A7002" i="1"/>
  <c r="C7002" i="1"/>
  <c r="N7002" i="1"/>
  <c r="A7003" i="1"/>
  <c r="C7003" i="1"/>
  <c r="N7003" i="1"/>
  <c r="A7004" i="1"/>
  <c r="C7004" i="1"/>
  <c r="K7004" i="1"/>
  <c r="N7004" i="1"/>
  <c r="A7005" i="1"/>
  <c r="C7005" i="1"/>
  <c r="N7005" i="1"/>
  <c r="A7006" i="1"/>
  <c r="C7006" i="1"/>
  <c r="N7006" i="1"/>
  <c r="A7007" i="1"/>
  <c r="C7007" i="1"/>
  <c r="N7007" i="1"/>
  <c r="A7008" i="1"/>
  <c r="C7008" i="1"/>
  <c r="N7008" i="1"/>
  <c r="A7009" i="1"/>
  <c r="C7009" i="1"/>
  <c r="N7009" i="1"/>
  <c r="A7010" i="1"/>
  <c r="C7010" i="1"/>
  <c r="N7010" i="1"/>
  <c r="A7011" i="1"/>
  <c r="C7011" i="1"/>
  <c r="F7011" i="1"/>
  <c r="N7011" i="1"/>
  <c r="A7012" i="1"/>
  <c r="C7012" i="1"/>
  <c r="N7012" i="1"/>
  <c r="A7013" i="1"/>
  <c r="C7013" i="1"/>
  <c r="N7013" i="1"/>
  <c r="A7014" i="1"/>
  <c r="C7014" i="1"/>
  <c r="N7014" i="1"/>
  <c r="A7015" i="1"/>
  <c r="C7015" i="1"/>
  <c r="K7015" i="1"/>
  <c r="N7015" i="1"/>
  <c r="A7016" i="1"/>
  <c r="C7016" i="1"/>
  <c r="N7016" i="1"/>
  <c r="A7017" i="1"/>
  <c r="C7017" i="1"/>
  <c r="N7017" i="1"/>
  <c r="A7018" i="1"/>
  <c r="C7018" i="1"/>
  <c r="N7018" i="1"/>
  <c r="A7019" i="1"/>
  <c r="C7019" i="1"/>
  <c r="N7019" i="1"/>
  <c r="A7020" i="1"/>
  <c r="C7020" i="1"/>
  <c r="N7020" i="1"/>
  <c r="A7021" i="1"/>
  <c r="C7021" i="1"/>
  <c r="N7021" i="1"/>
  <c r="A7022" i="1"/>
  <c r="C7022" i="1"/>
  <c r="N7022" i="1"/>
  <c r="A7023" i="1"/>
  <c r="C7023" i="1"/>
  <c r="N7023" i="1"/>
  <c r="A7024" i="1"/>
  <c r="C7024" i="1"/>
  <c r="N7024" i="1"/>
  <c r="A7025" i="1"/>
  <c r="C7025" i="1"/>
  <c r="N7025" i="1"/>
  <c r="A7026" i="1"/>
  <c r="C7026" i="1"/>
  <c r="N7026" i="1"/>
  <c r="A7027" i="1"/>
  <c r="C7027" i="1"/>
  <c r="N7027" i="1"/>
  <c r="A7028" i="1"/>
  <c r="C7028" i="1"/>
  <c r="N7028" i="1"/>
  <c r="A7029" i="1"/>
  <c r="C7029" i="1"/>
  <c r="K7029" i="1"/>
  <c r="N7029" i="1"/>
  <c r="A7030" i="1"/>
  <c r="C7030" i="1"/>
  <c r="K7030" i="1"/>
  <c r="N7030" i="1"/>
  <c r="A7031" i="1"/>
  <c r="C7031" i="1"/>
  <c r="N7031" i="1"/>
  <c r="A7032" i="1"/>
  <c r="C7032" i="1"/>
  <c r="K7032" i="1"/>
  <c r="N7032" i="1"/>
  <c r="A7033" i="1"/>
  <c r="C7033" i="1"/>
  <c r="K7033" i="1"/>
  <c r="N7033" i="1"/>
  <c r="A7034" i="1"/>
  <c r="C7034" i="1"/>
  <c r="K7034" i="1"/>
  <c r="N7034" i="1"/>
  <c r="A7035" i="1"/>
  <c r="C7035" i="1"/>
  <c r="N7035" i="1"/>
  <c r="A7036" i="1"/>
  <c r="C7036" i="1"/>
  <c r="K7036" i="1"/>
  <c r="N7036" i="1"/>
  <c r="A7037" i="1"/>
  <c r="C7037" i="1"/>
  <c r="K7037" i="1"/>
  <c r="N7037" i="1"/>
  <c r="A7038" i="1"/>
  <c r="C7038" i="1"/>
  <c r="K7038" i="1"/>
  <c r="N7038" i="1"/>
  <c r="A7039" i="1"/>
  <c r="C7039" i="1"/>
  <c r="K7039" i="1"/>
  <c r="N7039" i="1"/>
  <c r="A7040" i="1"/>
  <c r="C7040" i="1"/>
  <c r="N7040" i="1"/>
  <c r="A7041" i="1"/>
  <c r="C7041" i="1"/>
  <c r="N7041" i="1"/>
  <c r="A7042" i="1"/>
  <c r="C7042" i="1"/>
  <c r="N7042" i="1"/>
  <c r="A7043" i="1"/>
  <c r="C7043" i="1"/>
  <c r="N7043" i="1"/>
  <c r="A7044" i="1"/>
  <c r="C7044" i="1"/>
  <c r="N7044" i="1"/>
  <c r="A7045" i="1"/>
  <c r="C7045" i="1"/>
  <c r="N7045" i="1"/>
  <c r="A7046" i="1"/>
  <c r="C7046" i="1"/>
  <c r="K7046" i="1"/>
  <c r="N7046" i="1"/>
  <c r="A7047" i="1"/>
  <c r="C7047" i="1"/>
  <c r="N7047" i="1"/>
  <c r="A7048" i="1"/>
  <c r="C7048" i="1"/>
  <c r="K7048" i="1"/>
  <c r="N7048" i="1"/>
  <c r="A7049" i="1"/>
  <c r="C7049" i="1"/>
  <c r="K7049" i="1"/>
  <c r="N7049" i="1"/>
  <c r="A7050" i="1"/>
  <c r="C7050" i="1"/>
  <c r="K7050" i="1"/>
  <c r="N7050" i="1"/>
  <c r="A7051" i="1"/>
  <c r="C7051" i="1"/>
  <c r="K7051" i="1"/>
  <c r="N7051" i="1"/>
  <c r="A7052" i="1"/>
  <c r="C7052" i="1"/>
  <c r="N7052" i="1"/>
  <c r="A7053" i="1"/>
  <c r="C7053" i="1"/>
  <c r="K7053" i="1"/>
  <c r="N7053" i="1"/>
  <c r="A7054" i="1"/>
  <c r="C7054" i="1"/>
  <c r="K7054" i="1"/>
  <c r="N7054" i="1"/>
  <c r="A7055" i="1"/>
  <c r="C7055" i="1"/>
  <c r="K7055" i="1"/>
  <c r="N7055" i="1"/>
  <c r="A7056" i="1"/>
  <c r="C7056" i="1"/>
  <c r="K7056" i="1"/>
  <c r="N7056" i="1"/>
  <c r="A7057" i="1"/>
  <c r="C7057" i="1"/>
  <c r="K7057" i="1"/>
  <c r="N7057" i="1"/>
  <c r="A7058" i="1"/>
  <c r="C7058" i="1"/>
  <c r="K7058" i="1"/>
  <c r="N7058" i="1"/>
  <c r="A7059" i="1"/>
  <c r="C7059" i="1"/>
  <c r="K7059" i="1"/>
  <c r="N7059" i="1"/>
  <c r="A7060" i="1"/>
  <c r="C7060" i="1"/>
  <c r="K7060" i="1"/>
  <c r="N7060" i="1"/>
  <c r="A7061" i="1"/>
  <c r="C7061" i="1"/>
  <c r="K7061" i="1"/>
  <c r="N7061" i="1"/>
  <c r="A7062" i="1"/>
  <c r="C7062" i="1"/>
  <c r="K7062" i="1"/>
  <c r="N7062" i="1"/>
  <c r="A7063" i="1"/>
  <c r="C7063" i="1"/>
  <c r="N7063" i="1"/>
  <c r="A7064" i="1"/>
  <c r="C7064" i="1"/>
  <c r="N7064" i="1"/>
  <c r="A7065" i="1"/>
  <c r="C7065" i="1"/>
  <c r="N7065" i="1"/>
  <c r="A7066" i="1"/>
  <c r="C7066" i="1"/>
  <c r="K7066" i="1"/>
  <c r="N7066" i="1"/>
  <c r="A7067" i="1"/>
  <c r="C7067" i="1"/>
  <c r="K7067" i="1"/>
  <c r="N7067" i="1"/>
  <c r="A7068" i="1"/>
  <c r="C7068" i="1"/>
  <c r="K7068" i="1"/>
  <c r="N7068" i="1"/>
  <c r="A7069" i="1"/>
  <c r="C7069" i="1"/>
  <c r="N7069" i="1"/>
  <c r="A7070" i="1"/>
  <c r="C7070" i="1"/>
  <c r="K7070" i="1"/>
  <c r="N7070" i="1"/>
  <c r="A7071" i="1"/>
  <c r="C7071" i="1"/>
  <c r="K7071" i="1"/>
  <c r="N7071" i="1"/>
  <c r="A7072" i="1"/>
  <c r="C7072" i="1"/>
  <c r="N7072" i="1"/>
  <c r="A7073" i="1"/>
  <c r="C7073" i="1"/>
  <c r="K7073" i="1"/>
  <c r="N7073" i="1"/>
  <c r="A7074" i="1"/>
  <c r="C7074" i="1"/>
  <c r="K7074" i="1"/>
  <c r="N7074" i="1"/>
  <c r="A7075" i="1"/>
  <c r="C7075" i="1"/>
  <c r="K7075" i="1"/>
  <c r="N7075" i="1"/>
  <c r="A7076" i="1"/>
  <c r="C7076" i="1"/>
  <c r="K7076" i="1"/>
  <c r="N7076" i="1"/>
  <c r="A7077" i="1"/>
  <c r="C7077" i="1"/>
  <c r="K7077" i="1"/>
  <c r="N7077" i="1"/>
  <c r="A7078" i="1"/>
  <c r="C7078" i="1"/>
  <c r="K7078" i="1"/>
  <c r="N7078" i="1"/>
  <c r="A7079" i="1"/>
  <c r="C7079" i="1"/>
  <c r="K7079" i="1"/>
  <c r="N7079" i="1"/>
  <c r="A7080" i="1"/>
  <c r="C7080" i="1"/>
  <c r="K7080" i="1"/>
  <c r="N7080" i="1"/>
  <c r="A7081" i="1"/>
  <c r="C7081" i="1"/>
  <c r="K7081" i="1"/>
  <c r="N7081" i="1"/>
  <c r="A7082" i="1"/>
  <c r="C7082" i="1"/>
  <c r="K7082" i="1"/>
  <c r="N7082" i="1"/>
  <c r="A7083" i="1"/>
  <c r="C7083" i="1"/>
  <c r="K7083" i="1"/>
  <c r="N7083" i="1"/>
  <c r="A7084" i="1"/>
  <c r="C7084" i="1"/>
  <c r="K7084" i="1"/>
  <c r="N7084" i="1"/>
  <c r="A7085" i="1"/>
  <c r="C7085" i="1"/>
  <c r="N7085" i="1"/>
  <c r="A7086" i="1"/>
  <c r="C7086" i="1"/>
  <c r="K7086" i="1"/>
  <c r="N7086" i="1"/>
  <c r="A7087" i="1"/>
  <c r="C7087" i="1"/>
  <c r="N7087" i="1"/>
  <c r="A7088" i="1"/>
  <c r="C7088" i="1"/>
  <c r="K7088" i="1"/>
  <c r="N7088" i="1"/>
  <c r="A7089" i="1"/>
  <c r="C7089" i="1"/>
  <c r="K7089" i="1"/>
  <c r="N7089" i="1"/>
  <c r="A7090" i="1"/>
  <c r="C7090" i="1"/>
  <c r="N7090" i="1"/>
  <c r="A7091" i="1"/>
  <c r="C7091" i="1"/>
  <c r="N7091" i="1"/>
  <c r="A7092" i="1"/>
  <c r="C7092" i="1"/>
  <c r="K7092" i="1"/>
  <c r="N7092" i="1"/>
  <c r="A7093" i="1"/>
  <c r="C7093" i="1"/>
  <c r="N7093" i="1"/>
  <c r="A7094" i="1"/>
  <c r="C7094" i="1"/>
  <c r="K7094" i="1"/>
  <c r="N7094" i="1"/>
  <c r="A7095" i="1"/>
  <c r="C7095" i="1"/>
  <c r="N7095" i="1"/>
  <c r="A7096" i="1"/>
  <c r="C7096" i="1"/>
  <c r="N7096" i="1"/>
  <c r="A7097" i="1"/>
  <c r="C7097" i="1"/>
  <c r="K7097" i="1"/>
  <c r="N7097" i="1"/>
  <c r="A7098" i="1"/>
  <c r="C7098" i="1"/>
  <c r="K7098" i="1"/>
  <c r="N7098" i="1"/>
  <c r="A7099" i="1"/>
  <c r="C7099" i="1"/>
  <c r="K7099" i="1"/>
  <c r="N7099" i="1"/>
  <c r="A7100" i="1"/>
  <c r="C7100" i="1"/>
  <c r="K7100" i="1"/>
  <c r="N7100" i="1"/>
  <c r="A7101" i="1"/>
  <c r="C7101" i="1"/>
  <c r="N7101" i="1"/>
  <c r="A7102" i="1"/>
  <c r="C7102" i="1"/>
  <c r="N7102" i="1"/>
  <c r="A7103" i="1"/>
  <c r="C7103" i="1"/>
  <c r="F7103" i="1"/>
  <c r="N7103" i="1"/>
  <c r="A7104" i="1"/>
  <c r="C7104" i="1"/>
  <c r="K7104" i="1"/>
  <c r="N7104" i="1"/>
  <c r="A7105" i="1"/>
  <c r="C7105" i="1"/>
  <c r="N7105" i="1"/>
  <c r="A7106" i="1"/>
  <c r="C7106" i="1"/>
  <c r="N7106" i="1"/>
  <c r="A7107" i="1"/>
  <c r="C7107" i="1"/>
  <c r="K7107" i="1"/>
  <c r="N7107" i="1"/>
  <c r="A7108" i="1"/>
  <c r="C7108" i="1"/>
  <c r="K7108" i="1"/>
  <c r="N7108" i="1"/>
  <c r="A7109" i="1"/>
  <c r="C7109" i="1"/>
  <c r="N7109" i="1"/>
  <c r="A7110" i="1"/>
  <c r="C7110" i="1"/>
  <c r="N7110" i="1"/>
  <c r="A7111" i="1"/>
  <c r="C7111" i="1"/>
  <c r="K7111" i="1"/>
  <c r="N7111" i="1"/>
  <c r="A7112" i="1"/>
  <c r="C7112" i="1"/>
  <c r="N7112" i="1"/>
  <c r="A7113" i="1"/>
  <c r="C7113" i="1"/>
  <c r="N7113" i="1"/>
  <c r="A7114" i="1"/>
  <c r="C7114" i="1"/>
  <c r="N7114" i="1"/>
  <c r="A7115" i="1"/>
  <c r="C7115" i="1"/>
  <c r="N7115" i="1"/>
  <c r="A7116" i="1"/>
  <c r="C7116" i="1"/>
  <c r="N7116" i="1"/>
  <c r="A7117" i="1"/>
  <c r="C7117" i="1"/>
  <c r="N7117" i="1"/>
  <c r="A7118" i="1"/>
  <c r="C7118" i="1"/>
  <c r="N7118" i="1"/>
  <c r="A7119" i="1"/>
  <c r="C7119" i="1"/>
  <c r="N7119" i="1"/>
  <c r="A7120" i="1"/>
  <c r="C7120" i="1"/>
  <c r="K7120" i="1"/>
  <c r="N7120" i="1"/>
  <c r="A7121" i="1"/>
  <c r="C7121" i="1"/>
  <c r="K7121" i="1"/>
  <c r="N7121" i="1"/>
  <c r="A7122" i="1"/>
  <c r="C7122" i="1"/>
  <c r="K7122" i="1"/>
  <c r="N7122" i="1"/>
  <c r="A7123" i="1"/>
  <c r="C7123" i="1"/>
  <c r="K7123" i="1"/>
  <c r="N7123" i="1"/>
  <c r="A7124" i="1"/>
  <c r="C7124" i="1"/>
  <c r="K7124" i="1"/>
  <c r="N7124" i="1"/>
  <c r="A7125" i="1"/>
  <c r="C7125" i="1"/>
  <c r="K7125" i="1"/>
  <c r="N7125" i="1"/>
  <c r="A7126" i="1"/>
  <c r="C7126" i="1"/>
  <c r="K7126" i="1"/>
  <c r="N7126" i="1"/>
  <c r="A7127" i="1"/>
  <c r="C7127" i="1"/>
  <c r="K7127" i="1"/>
  <c r="N7127" i="1"/>
  <c r="A7128" i="1"/>
  <c r="C7128" i="1"/>
  <c r="N7128" i="1"/>
  <c r="A7129" i="1"/>
  <c r="C7129" i="1"/>
  <c r="K7129" i="1"/>
  <c r="N7129" i="1"/>
  <c r="A7130" i="1"/>
  <c r="C7130" i="1"/>
  <c r="K7130" i="1"/>
  <c r="N7130" i="1"/>
  <c r="A7131" i="1"/>
  <c r="C7131" i="1"/>
  <c r="K7131" i="1"/>
  <c r="N7131" i="1"/>
  <c r="A7132" i="1"/>
  <c r="C7132" i="1"/>
  <c r="N7132" i="1"/>
  <c r="A7133" i="1"/>
  <c r="C7133" i="1"/>
  <c r="N7133" i="1"/>
  <c r="A7134" i="1"/>
  <c r="C7134" i="1"/>
  <c r="K7134" i="1"/>
  <c r="N7134" i="1"/>
  <c r="A7135" i="1"/>
  <c r="C7135" i="1"/>
  <c r="E7135" i="1"/>
  <c r="N7135" i="1"/>
  <c r="T7135" i="1"/>
  <c r="A7136" i="1"/>
  <c r="C7136" i="1"/>
  <c r="N7136" i="1"/>
  <c r="A7137" i="1"/>
  <c r="C7137" i="1"/>
  <c r="N7137" i="1"/>
  <c r="A7138" i="1"/>
  <c r="C7138" i="1"/>
  <c r="N7138" i="1"/>
  <c r="A7139" i="1"/>
  <c r="C7139" i="1"/>
  <c r="N7139" i="1"/>
  <c r="A7140" i="1"/>
  <c r="C7140" i="1"/>
  <c r="N7140" i="1"/>
  <c r="A7141" i="1"/>
  <c r="C7141" i="1"/>
  <c r="N7141" i="1"/>
  <c r="A7142" i="1"/>
  <c r="C7142" i="1"/>
  <c r="N7142" i="1"/>
  <c r="A7143" i="1"/>
  <c r="C7143" i="1"/>
  <c r="K7143" i="1"/>
  <c r="N7143" i="1"/>
  <c r="A7144" i="1"/>
  <c r="C7144" i="1"/>
  <c r="N7144" i="1"/>
  <c r="A7145" i="1"/>
  <c r="C7145" i="1"/>
  <c r="K7145" i="1"/>
  <c r="N7145" i="1"/>
  <c r="A7146" i="1"/>
  <c r="C7146" i="1"/>
  <c r="K7146" i="1"/>
  <c r="N7146" i="1"/>
  <c r="A7147" i="1"/>
  <c r="C7147" i="1"/>
  <c r="N7147" i="1"/>
  <c r="A7148" i="1"/>
  <c r="C7148" i="1"/>
  <c r="K7148" i="1"/>
  <c r="N7148" i="1"/>
  <c r="A7149" i="1"/>
  <c r="C7149" i="1"/>
  <c r="N7149" i="1"/>
  <c r="A7150" i="1"/>
  <c r="C7150" i="1"/>
  <c r="N7150" i="1"/>
  <c r="A7151" i="1"/>
  <c r="C7151" i="1"/>
  <c r="N7151" i="1"/>
  <c r="A7152" i="1"/>
  <c r="C7152" i="1"/>
  <c r="N7152" i="1"/>
  <c r="A7153" i="1"/>
  <c r="C7153" i="1"/>
  <c r="N7153" i="1"/>
  <c r="A7154" i="1"/>
  <c r="C7154" i="1"/>
  <c r="N7154" i="1"/>
  <c r="A7155" i="1"/>
  <c r="C7155" i="1"/>
  <c r="K7155" i="1"/>
  <c r="N7155" i="1"/>
  <c r="A7156" i="1"/>
  <c r="C7156" i="1"/>
  <c r="K7156" i="1"/>
  <c r="N7156" i="1"/>
  <c r="A7157" i="1"/>
  <c r="C7157" i="1"/>
  <c r="K7157" i="1"/>
  <c r="N7157" i="1"/>
  <c r="A7158" i="1"/>
  <c r="C7158" i="1"/>
  <c r="K7158" i="1"/>
  <c r="N7158" i="1"/>
  <c r="A7159" i="1"/>
  <c r="C7159" i="1"/>
  <c r="K7159" i="1"/>
  <c r="N7159" i="1"/>
  <c r="A7160" i="1"/>
  <c r="C7160" i="1"/>
  <c r="K7160" i="1"/>
  <c r="N7160" i="1"/>
  <c r="A7161" i="1"/>
  <c r="C7161" i="1"/>
  <c r="N7161" i="1"/>
  <c r="A7162" i="1"/>
  <c r="C7162" i="1"/>
  <c r="K7162" i="1"/>
  <c r="N7162" i="1"/>
  <c r="A7163" i="1"/>
  <c r="C7163" i="1"/>
  <c r="K7163" i="1"/>
  <c r="N7163" i="1"/>
  <c r="A7164" i="1"/>
  <c r="C7164" i="1"/>
  <c r="K7164" i="1"/>
  <c r="N7164" i="1"/>
  <c r="A7165" i="1"/>
  <c r="C7165" i="1"/>
  <c r="K7165" i="1"/>
  <c r="N7165" i="1"/>
  <c r="A7166" i="1"/>
  <c r="C7166" i="1"/>
  <c r="K7166" i="1"/>
  <c r="N7166" i="1"/>
  <c r="A7167" i="1"/>
  <c r="C7167" i="1"/>
  <c r="K7167" i="1"/>
  <c r="N7167" i="1"/>
  <c r="A7168" i="1"/>
  <c r="C7168" i="1"/>
  <c r="K7168" i="1"/>
  <c r="N7168" i="1"/>
  <c r="A7169" i="1"/>
  <c r="C7169" i="1"/>
  <c r="K7169" i="1"/>
  <c r="N7169" i="1"/>
  <c r="A7170" i="1"/>
  <c r="C7170" i="1"/>
  <c r="E7170" i="1"/>
  <c r="N7170" i="1"/>
  <c r="T7170" i="1"/>
  <c r="A7171" i="1"/>
  <c r="C7171" i="1"/>
  <c r="E7171" i="1"/>
  <c r="N7171" i="1"/>
  <c r="T7171" i="1"/>
  <c r="A7172" i="1"/>
  <c r="C7172" i="1"/>
  <c r="K7172" i="1"/>
  <c r="N7172" i="1"/>
  <c r="A7173" i="1"/>
  <c r="C7173" i="1"/>
  <c r="K7173" i="1"/>
  <c r="N7173" i="1"/>
  <c r="A7174" i="1"/>
  <c r="C7174" i="1"/>
  <c r="K7174" i="1"/>
  <c r="N7174" i="1"/>
  <c r="A7175" i="1"/>
  <c r="C7175" i="1"/>
  <c r="K7175" i="1"/>
  <c r="N7175" i="1"/>
  <c r="A7176" i="1"/>
  <c r="C7176" i="1"/>
  <c r="K7176" i="1"/>
  <c r="N7176" i="1"/>
  <c r="A7177" i="1"/>
  <c r="C7177" i="1"/>
  <c r="K7177" i="1"/>
  <c r="N7177" i="1"/>
  <c r="A7178" i="1"/>
  <c r="C7178" i="1"/>
  <c r="N7178" i="1"/>
  <c r="A7179" i="1"/>
  <c r="C7179" i="1"/>
  <c r="K7179" i="1"/>
  <c r="N7179" i="1"/>
  <c r="A7180" i="1"/>
  <c r="C7180" i="1"/>
  <c r="N7180" i="1"/>
  <c r="A7181" i="1"/>
  <c r="C7181" i="1"/>
  <c r="N7181" i="1"/>
  <c r="A7182" i="1"/>
  <c r="C7182" i="1"/>
  <c r="N7182" i="1"/>
  <c r="A7183" i="1"/>
  <c r="C7183" i="1"/>
  <c r="N7183" i="1"/>
  <c r="A7184" i="1"/>
  <c r="C7184" i="1"/>
  <c r="N7184" i="1"/>
  <c r="A7185" i="1"/>
  <c r="C7185" i="1"/>
  <c r="K7185" i="1"/>
  <c r="N7185" i="1"/>
  <c r="A7186" i="1"/>
  <c r="C7186" i="1"/>
  <c r="N7186" i="1"/>
  <c r="A7187" i="1"/>
  <c r="C7187" i="1"/>
  <c r="N7187" i="1"/>
  <c r="A7188" i="1"/>
  <c r="C7188" i="1"/>
  <c r="N7188" i="1"/>
  <c r="A7189" i="1"/>
  <c r="C7189" i="1"/>
  <c r="N7189" i="1"/>
  <c r="A7190" i="1"/>
  <c r="C7190" i="1"/>
  <c r="N7190" i="1"/>
  <c r="A7191" i="1"/>
  <c r="C7191" i="1"/>
  <c r="N7191" i="1"/>
  <c r="A7192" i="1"/>
  <c r="C7192" i="1"/>
  <c r="N7192" i="1"/>
  <c r="A7193" i="1"/>
  <c r="C7193" i="1"/>
  <c r="N7193" i="1"/>
  <c r="A7194" i="1"/>
  <c r="C7194" i="1"/>
  <c r="N7194" i="1"/>
  <c r="A7195" i="1"/>
  <c r="C7195" i="1"/>
  <c r="K7195" i="1"/>
  <c r="N7195" i="1"/>
  <c r="A7196" i="1"/>
  <c r="C7196" i="1"/>
  <c r="N7196" i="1"/>
  <c r="A7197" i="1"/>
  <c r="C7197" i="1"/>
  <c r="K7197" i="1"/>
  <c r="N7197" i="1"/>
  <c r="A7198" i="1"/>
  <c r="C7198" i="1"/>
  <c r="K7198" i="1"/>
  <c r="N7198" i="1"/>
  <c r="A7199" i="1"/>
  <c r="C7199" i="1"/>
  <c r="D7199" i="1"/>
  <c r="K7199" i="1"/>
  <c r="N7199" i="1"/>
  <c r="O7199" i="1"/>
  <c r="A7200" i="1"/>
  <c r="C7200" i="1"/>
  <c r="K7200" i="1"/>
  <c r="N7200" i="1"/>
  <c r="A7201" i="1"/>
  <c r="C7201" i="1"/>
  <c r="K7201" i="1"/>
  <c r="N7201" i="1"/>
  <c r="A7202" i="1"/>
  <c r="C7202" i="1"/>
  <c r="K7202" i="1"/>
  <c r="N7202" i="1"/>
  <c r="A7203" i="1"/>
  <c r="C7203" i="1"/>
  <c r="K7203" i="1"/>
  <c r="N7203" i="1"/>
  <c r="A7204" i="1"/>
  <c r="C7204" i="1"/>
  <c r="K7204" i="1"/>
  <c r="N7204" i="1"/>
  <c r="A7205" i="1"/>
  <c r="C7205" i="1"/>
  <c r="K7205" i="1"/>
  <c r="N7205" i="1"/>
  <c r="A7206" i="1"/>
  <c r="C7206" i="1"/>
  <c r="K7206" i="1"/>
  <c r="N7206" i="1"/>
  <c r="A7207" i="1"/>
  <c r="C7207" i="1"/>
  <c r="K7207" i="1"/>
  <c r="N7207" i="1"/>
  <c r="A7208" i="1"/>
  <c r="C7208" i="1"/>
  <c r="K7208" i="1"/>
  <c r="N7208" i="1"/>
  <c r="A7209" i="1"/>
  <c r="C7209" i="1"/>
  <c r="K7209" i="1"/>
  <c r="N7209" i="1"/>
  <c r="A7210" i="1"/>
  <c r="C7210" i="1"/>
  <c r="K7210" i="1"/>
  <c r="N7210" i="1"/>
  <c r="A7211" i="1"/>
  <c r="C7211" i="1"/>
  <c r="K7211" i="1"/>
  <c r="N7211" i="1"/>
  <c r="A7212" i="1"/>
  <c r="C7212" i="1"/>
  <c r="K7212" i="1"/>
  <c r="N7212" i="1"/>
  <c r="A7213" i="1"/>
  <c r="C7213" i="1"/>
  <c r="K7213" i="1"/>
  <c r="N7213" i="1"/>
  <c r="A7214" i="1"/>
  <c r="C7214" i="1"/>
  <c r="K7214" i="1"/>
  <c r="N7214" i="1"/>
  <c r="A7215" i="1"/>
  <c r="C7215" i="1"/>
  <c r="K7215" i="1"/>
  <c r="N7215" i="1"/>
  <c r="A7216" i="1"/>
  <c r="C7216" i="1"/>
  <c r="K7216" i="1"/>
  <c r="N7216" i="1"/>
  <c r="A7217" i="1"/>
  <c r="C7217" i="1"/>
  <c r="K7217" i="1"/>
  <c r="N7217" i="1"/>
  <c r="A7218" i="1"/>
  <c r="C7218" i="1"/>
  <c r="N7218" i="1"/>
  <c r="A7219" i="1"/>
  <c r="C7219" i="1"/>
  <c r="N7219" i="1"/>
  <c r="A7220" i="1"/>
  <c r="C7220" i="1"/>
  <c r="N7220" i="1"/>
  <c r="A7221" i="1"/>
  <c r="C7221" i="1"/>
  <c r="K7221" i="1"/>
  <c r="N7221" i="1"/>
  <c r="A7222" i="1"/>
  <c r="C7222" i="1"/>
  <c r="K7222" i="1"/>
  <c r="N7222" i="1"/>
  <c r="A7223" i="1"/>
  <c r="C7223" i="1"/>
  <c r="K7223" i="1"/>
  <c r="N7223" i="1"/>
  <c r="A7224" i="1"/>
  <c r="C7224" i="1"/>
  <c r="N7224" i="1"/>
  <c r="A7225" i="1"/>
  <c r="C7225" i="1"/>
  <c r="K7225" i="1"/>
  <c r="N7225" i="1"/>
  <c r="A7226" i="1"/>
  <c r="C7226" i="1"/>
  <c r="K7226" i="1"/>
  <c r="N7226" i="1"/>
  <c r="A7227" i="1"/>
  <c r="C7227" i="1"/>
  <c r="K7227" i="1"/>
  <c r="N7227" i="1"/>
  <c r="A7228" i="1"/>
  <c r="C7228" i="1"/>
  <c r="K7228" i="1"/>
  <c r="N7228" i="1"/>
  <c r="A7229" i="1"/>
  <c r="C7229" i="1"/>
  <c r="K7229" i="1"/>
  <c r="N7229" i="1"/>
  <c r="A7230" i="1"/>
  <c r="C7230" i="1"/>
  <c r="K7230" i="1"/>
  <c r="N7230" i="1"/>
  <c r="A7231" i="1"/>
  <c r="C7231" i="1"/>
  <c r="K7231" i="1"/>
  <c r="N7231" i="1"/>
  <c r="A7232" i="1"/>
  <c r="C7232" i="1"/>
  <c r="K7232" i="1"/>
  <c r="N7232" i="1"/>
  <c r="A7233" i="1"/>
  <c r="C7233" i="1"/>
  <c r="K7233" i="1"/>
  <c r="N7233" i="1"/>
  <c r="A7234" i="1"/>
  <c r="C7234" i="1"/>
  <c r="K7234" i="1"/>
  <c r="N7234" i="1"/>
  <c r="A7235" i="1"/>
  <c r="C7235" i="1"/>
  <c r="K7235" i="1"/>
  <c r="N7235" i="1"/>
  <c r="A7236" i="1"/>
  <c r="C7236" i="1"/>
  <c r="N7236" i="1"/>
  <c r="A7237" i="1"/>
  <c r="C7237" i="1"/>
  <c r="N7237" i="1"/>
  <c r="A7238" i="1"/>
  <c r="C7238" i="1"/>
  <c r="N7238" i="1"/>
  <c r="A7239" i="1"/>
  <c r="C7239" i="1"/>
  <c r="K7239" i="1"/>
  <c r="N7239" i="1"/>
  <c r="A7240" i="1"/>
  <c r="C7240" i="1"/>
  <c r="D7240" i="1"/>
  <c r="K7240" i="1"/>
  <c r="N7240" i="1"/>
  <c r="O7240" i="1"/>
  <c r="A7241" i="1"/>
  <c r="C7241" i="1"/>
  <c r="K7241" i="1"/>
  <c r="N7241" i="1"/>
  <c r="A7242" i="1"/>
  <c r="C7242" i="1"/>
  <c r="N7242" i="1"/>
  <c r="A7243" i="1"/>
  <c r="C7243" i="1"/>
  <c r="K7243" i="1"/>
  <c r="N7243" i="1"/>
  <c r="A7244" i="1"/>
  <c r="C7244" i="1"/>
  <c r="K7244" i="1"/>
  <c r="N7244" i="1"/>
  <c r="A7245" i="1"/>
  <c r="C7245" i="1"/>
  <c r="K7245" i="1"/>
  <c r="N7245" i="1"/>
  <c r="A7246" i="1"/>
  <c r="C7246" i="1"/>
  <c r="N7246" i="1"/>
  <c r="A7247" i="1"/>
  <c r="C7247" i="1"/>
  <c r="K7247" i="1"/>
  <c r="N7247" i="1"/>
  <c r="A7248" i="1"/>
  <c r="C7248" i="1"/>
  <c r="K7248" i="1"/>
  <c r="N7248" i="1"/>
  <c r="A7249" i="1"/>
  <c r="C7249" i="1"/>
  <c r="K7249" i="1"/>
  <c r="N7249" i="1"/>
  <c r="A7250" i="1"/>
  <c r="C7250" i="1"/>
  <c r="K7250" i="1"/>
  <c r="N7250" i="1"/>
  <c r="A7251" i="1"/>
  <c r="C7251" i="1"/>
  <c r="K7251" i="1"/>
  <c r="N7251" i="1"/>
  <c r="A7252" i="1"/>
  <c r="C7252" i="1"/>
  <c r="F7252" i="1"/>
  <c r="N7252" i="1"/>
  <c r="A7253" i="1"/>
  <c r="C7253" i="1"/>
  <c r="K7253" i="1"/>
  <c r="N7253" i="1"/>
  <c r="A7254" i="1"/>
  <c r="C7254" i="1"/>
  <c r="K7254" i="1"/>
  <c r="N7254" i="1"/>
  <c r="A7255" i="1"/>
  <c r="C7255" i="1"/>
  <c r="K7255" i="1"/>
  <c r="N7255" i="1"/>
  <c r="A7256" i="1"/>
  <c r="C7256" i="1"/>
  <c r="K7256" i="1"/>
  <c r="N7256" i="1"/>
  <c r="A7257" i="1"/>
  <c r="C7257" i="1"/>
  <c r="N7257" i="1"/>
  <c r="A7258" i="1"/>
  <c r="C7258" i="1"/>
  <c r="K7258" i="1"/>
  <c r="N7258" i="1"/>
  <c r="A7259" i="1"/>
  <c r="C7259" i="1"/>
  <c r="K7259" i="1"/>
  <c r="N7259" i="1"/>
  <c r="A7260" i="1"/>
  <c r="C7260" i="1"/>
  <c r="K7260" i="1"/>
  <c r="N7260" i="1"/>
  <c r="A7261" i="1"/>
  <c r="C7261" i="1"/>
  <c r="K7261" i="1"/>
  <c r="N7261" i="1"/>
  <c r="A7262" i="1"/>
  <c r="C7262" i="1"/>
  <c r="N7262" i="1"/>
  <c r="A7263" i="1"/>
  <c r="C7263" i="1"/>
  <c r="K7263" i="1"/>
  <c r="N7263" i="1"/>
  <c r="A7264" i="1"/>
  <c r="C7264" i="1"/>
  <c r="E7264" i="1"/>
  <c r="N7264" i="1"/>
  <c r="T7264" i="1"/>
  <c r="A7265" i="1"/>
  <c r="C7265" i="1"/>
  <c r="N7265" i="1"/>
  <c r="A7266" i="1"/>
  <c r="C7266" i="1"/>
  <c r="N7266" i="1"/>
  <c r="A7267" i="1"/>
  <c r="C7267" i="1"/>
  <c r="K7267" i="1"/>
  <c r="N7267" i="1"/>
  <c r="A7268" i="1"/>
  <c r="C7268" i="1"/>
  <c r="K7268" i="1"/>
  <c r="N7268" i="1"/>
  <c r="A7269" i="1"/>
  <c r="C7269" i="1"/>
  <c r="K7269" i="1"/>
  <c r="N7269" i="1"/>
  <c r="A7270" i="1"/>
  <c r="C7270" i="1"/>
  <c r="K7270" i="1"/>
  <c r="N7270" i="1"/>
  <c r="A7271" i="1"/>
  <c r="C7271" i="1"/>
  <c r="K7271" i="1"/>
  <c r="N7271" i="1"/>
  <c r="A7272" i="1"/>
  <c r="C7272" i="1"/>
  <c r="K7272" i="1"/>
  <c r="N7272" i="1"/>
  <c r="A7273" i="1"/>
  <c r="C7273" i="1"/>
  <c r="K7273" i="1"/>
  <c r="N7273" i="1"/>
  <c r="A7274" i="1"/>
  <c r="C7274" i="1"/>
  <c r="K7274" i="1"/>
  <c r="N7274" i="1"/>
  <c r="A7275" i="1"/>
  <c r="C7275" i="1"/>
  <c r="N7275" i="1"/>
  <c r="A7276" i="1"/>
  <c r="C7276" i="1"/>
  <c r="K7276" i="1"/>
  <c r="N7276" i="1"/>
  <c r="A7277" i="1"/>
  <c r="C7277" i="1"/>
  <c r="N7277" i="1"/>
  <c r="A7278" i="1"/>
  <c r="C7278" i="1"/>
  <c r="K7278" i="1"/>
  <c r="N7278" i="1"/>
  <c r="A7279" i="1"/>
  <c r="C7279" i="1"/>
  <c r="N7279" i="1"/>
  <c r="A7280" i="1"/>
  <c r="C7280" i="1"/>
  <c r="N7280" i="1"/>
  <c r="A7281" i="1"/>
  <c r="C7281" i="1"/>
  <c r="K7281" i="1"/>
  <c r="N7281" i="1"/>
  <c r="A7282" i="1"/>
  <c r="C7282" i="1"/>
  <c r="K7282" i="1"/>
  <c r="N7282" i="1"/>
  <c r="A7283" i="1"/>
  <c r="C7283" i="1"/>
  <c r="K7283" i="1"/>
  <c r="N7283" i="1"/>
  <c r="A7284" i="1"/>
  <c r="C7284" i="1"/>
  <c r="K7284" i="1"/>
  <c r="N7284" i="1"/>
  <c r="A7285" i="1"/>
  <c r="C7285" i="1"/>
  <c r="K7285" i="1"/>
  <c r="N7285" i="1"/>
  <c r="A7286" i="1"/>
  <c r="C7286" i="1"/>
  <c r="K7286" i="1"/>
  <c r="N7286" i="1"/>
  <c r="A7287" i="1"/>
  <c r="C7287" i="1"/>
  <c r="K7287" i="1"/>
  <c r="N7287" i="1"/>
  <c r="A7288" i="1"/>
  <c r="C7288" i="1"/>
  <c r="K7288" i="1"/>
  <c r="N7288" i="1"/>
  <c r="A7289" i="1"/>
  <c r="C7289" i="1"/>
  <c r="K7289" i="1"/>
  <c r="N7289" i="1"/>
  <c r="A7290" i="1"/>
  <c r="C7290" i="1"/>
  <c r="K7290" i="1"/>
  <c r="N7290" i="1"/>
  <c r="A7291" i="1"/>
  <c r="C7291" i="1"/>
  <c r="K7291" i="1"/>
  <c r="N7291" i="1"/>
  <c r="A7292" i="1"/>
  <c r="C7292" i="1"/>
  <c r="K7292" i="1"/>
  <c r="N7292" i="1"/>
  <c r="A7293" i="1"/>
  <c r="C7293" i="1"/>
  <c r="N7293" i="1"/>
  <c r="A7294" i="1"/>
  <c r="C7294" i="1"/>
  <c r="N7294" i="1"/>
  <c r="A7295" i="1"/>
  <c r="C7295" i="1"/>
  <c r="K7295" i="1"/>
  <c r="N7295" i="1"/>
  <c r="A7296" i="1"/>
  <c r="C7296" i="1"/>
  <c r="K7296" i="1"/>
  <c r="N7296" i="1"/>
  <c r="A7297" i="1"/>
  <c r="C7297" i="1"/>
  <c r="K7297" i="1"/>
  <c r="N7297" i="1"/>
  <c r="A7298" i="1"/>
  <c r="C7298" i="1"/>
  <c r="K7298" i="1"/>
  <c r="N7298" i="1"/>
  <c r="A7299" i="1"/>
  <c r="C7299" i="1"/>
  <c r="N7299" i="1"/>
  <c r="A7300" i="1"/>
  <c r="C7300" i="1"/>
  <c r="N7300" i="1"/>
  <c r="A7301" i="1"/>
  <c r="C7301" i="1"/>
  <c r="K7301" i="1"/>
  <c r="N7301" i="1"/>
  <c r="A7302" i="1"/>
  <c r="C7302" i="1"/>
  <c r="K7302" i="1"/>
  <c r="N7302" i="1"/>
  <c r="A7303" i="1"/>
  <c r="C7303" i="1"/>
  <c r="K7303" i="1"/>
  <c r="N7303" i="1"/>
  <c r="A7304" i="1"/>
  <c r="C7304" i="1"/>
  <c r="K7304" i="1"/>
  <c r="N7304" i="1"/>
  <c r="A7305" i="1"/>
  <c r="C7305" i="1"/>
  <c r="K7305" i="1"/>
  <c r="N7305" i="1"/>
  <c r="A7306" i="1"/>
  <c r="C7306" i="1"/>
  <c r="K7306" i="1"/>
  <c r="N7306" i="1"/>
  <c r="A7307" i="1"/>
  <c r="C7307" i="1"/>
  <c r="K7307" i="1"/>
  <c r="N7307" i="1"/>
  <c r="A7308" i="1"/>
  <c r="C7308" i="1"/>
  <c r="K7308" i="1"/>
  <c r="N7308" i="1"/>
  <c r="A7309" i="1"/>
  <c r="C7309" i="1"/>
  <c r="K7309" i="1"/>
  <c r="N7309" i="1"/>
  <c r="A7310" i="1"/>
  <c r="C7310" i="1"/>
  <c r="K7310" i="1"/>
  <c r="N7310" i="1"/>
  <c r="A7311" i="1"/>
  <c r="C7311" i="1"/>
  <c r="K7311" i="1"/>
  <c r="N7311" i="1"/>
  <c r="A7312" i="1"/>
  <c r="C7312" i="1"/>
  <c r="K7312" i="1"/>
  <c r="N7312" i="1"/>
  <c r="A7313" i="1"/>
  <c r="C7313" i="1"/>
  <c r="K7313" i="1"/>
  <c r="N7313" i="1"/>
  <c r="A7314" i="1"/>
  <c r="C7314" i="1"/>
  <c r="K7314" i="1"/>
  <c r="N7314" i="1"/>
  <c r="A7315" i="1"/>
  <c r="C7315" i="1"/>
  <c r="K7315" i="1"/>
  <c r="N7315" i="1"/>
  <c r="A7316" i="1"/>
  <c r="C7316" i="1"/>
  <c r="N7316" i="1"/>
  <c r="A7317" i="1"/>
  <c r="C7317" i="1"/>
  <c r="K7317" i="1"/>
  <c r="N7317" i="1"/>
  <c r="A7318" i="1"/>
  <c r="C7318" i="1"/>
  <c r="K7318" i="1"/>
  <c r="N7318" i="1"/>
  <c r="A7319" i="1"/>
  <c r="C7319" i="1"/>
  <c r="K7319" i="1"/>
  <c r="N7319" i="1"/>
  <c r="A7320" i="1"/>
  <c r="C7320" i="1"/>
  <c r="K7320" i="1"/>
  <c r="N7320" i="1"/>
  <c r="A7321" i="1"/>
  <c r="C7321" i="1"/>
  <c r="K7321" i="1"/>
  <c r="N7321" i="1"/>
  <c r="A7322" i="1"/>
  <c r="C7322" i="1"/>
  <c r="N7322" i="1"/>
  <c r="A7323" i="1"/>
  <c r="C7323" i="1"/>
  <c r="N7323" i="1"/>
  <c r="A7324" i="1"/>
  <c r="C7324" i="1"/>
  <c r="N7324" i="1"/>
  <c r="A7325" i="1"/>
  <c r="C7325" i="1"/>
  <c r="N7325" i="1"/>
  <c r="A7326" i="1"/>
  <c r="C7326" i="1"/>
  <c r="N7326" i="1"/>
  <c r="A7327" i="1"/>
  <c r="C7327" i="1"/>
  <c r="N7327" i="1"/>
  <c r="A7328" i="1"/>
  <c r="C7328" i="1"/>
  <c r="N7328" i="1"/>
  <c r="A7329" i="1"/>
  <c r="C7329" i="1"/>
  <c r="N7329" i="1"/>
  <c r="A7330" i="1"/>
  <c r="C7330" i="1"/>
  <c r="N7330" i="1"/>
  <c r="A7331" i="1"/>
  <c r="C7331" i="1"/>
  <c r="N7331" i="1"/>
  <c r="A7332" i="1"/>
  <c r="C7332" i="1"/>
  <c r="N7332" i="1"/>
  <c r="A7333" i="1"/>
  <c r="C7333" i="1"/>
  <c r="N7333" i="1"/>
  <c r="A7334" i="1"/>
  <c r="C7334" i="1"/>
  <c r="N7334" i="1"/>
  <c r="A7335" i="1"/>
  <c r="C7335" i="1"/>
  <c r="N7335" i="1"/>
  <c r="A7336" i="1"/>
  <c r="C7336" i="1"/>
  <c r="N7336" i="1"/>
  <c r="A7337" i="1"/>
  <c r="C7337" i="1"/>
  <c r="N7337" i="1"/>
  <c r="A7338" i="1"/>
  <c r="C7338" i="1"/>
  <c r="N7338" i="1"/>
  <c r="A7339" i="1"/>
  <c r="C7339" i="1"/>
  <c r="N7339" i="1"/>
  <c r="A7340" i="1"/>
  <c r="C7340" i="1"/>
  <c r="N7340" i="1"/>
  <c r="A7341" i="1"/>
  <c r="C7341" i="1"/>
  <c r="K7341" i="1"/>
  <c r="N7341" i="1"/>
  <c r="A7342" i="1"/>
  <c r="C7342" i="1"/>
  <c r="N7342" i="1"/>
  <c r="A7343" i="1"/>
  <c r="C7343" i="1"/>
  <c r="K7343" i="1"/>
  <c r="N7343" i="1"/>
  <c r="A7344" i="1"/>
  <c r="C7344" i="1"/>
  <c r="K7344" i="1"/>
  <c r="N7344" i="1"/>
  <c r="A7345" i="1"/>
  <c r="C7345" i="1"/>
  <c r="K7345" i="1"/>
  <c r="N7345" i="1"/>
  <c r="A7346" i="1"/>
  <c r="C7346" i="1"/>
  <c r="K7346" i="1"/>
  <c r="N7346" i="1"/>
  <c r="A7347" i="1"/>
  <c r="C7347" i="1"/>
  <c r="K7347" i="1"/>
  <c r="N7347" i="1"/>
  <c r="A7348" i="1"/>
  <c r="C7348" i="1"/>
  <c r="N7348" i="1"/>
  <c r="A7349" i="1"/>
  <c r="C7349" i="1"/>
  <c r="K7349" i="1"/>
  <c r="N7349" i="1"/>
  <c r="A7350" i="1"/>
  <c r="C7350" i="1"/>
  <c r="K7350" i="1"/>
  <c r="N7350" i="1"/>
  <c r="A7351" i="1"/>
  <c r="C7351" i="1"/>
  <c r="K7351" i="1"/>
  <c r="N7351" i="1"/>
  <c r="A7352" i="1"/>
  <c r="C7352" i="1"/>
  <c r="F7352" i="1"/>
  <c r="N7352" i="1"/>
  <c r="A7353" i="1"/>
  <c r="C7353" i="1"/>
  <c r="K7353" i="1"/>
  <c r="N7353" i="1"/>
  <c r="A7354" i="1"/>
  <c r="C7354" i="1"/>
  <c r="K7354" i="1"/>
  <c r="N7354" i="1"/>
  <c r="A7355" i="1"/>
  <c r="C7355" i="1"/>
  <c r="N7355" i="1"/>
  <c r="A7356" i="1"/>
  <c r="C7356" i="1"/>
  <c r="K7356" i="1"/>
  <c r="N7356" i="1"/>
  <c r="A7357" i="1"/>
  <c r="C7357" i="1"/>
  <c r="K7357" i="1"/>
  <c r="N7357" i="1"/>
  <c r="A7358" i="1"/>
  <c r="C7358" i="1"/>
  <c r="K7358" i="1"/>
  <c r="N7358" i="1"/>
  <c r="A7359" i="1"/>
  <c r="C7359" i="1"/>
  <c r="K7359" i="1"/>
  <c r="N7359" i="1"/>
  <c r="A7360" i="1"/>
  <c r="C7360" i="1"/>
  <c r="K7360" i="1"/>
  <c r="N7360" i="1"/>
  <c r="A7361" i="1"/>
  <c r="C7361" i="1"/>
  <c r="K7361" i="1"/>
  <c r="N7361" i="1"/>
  <c r="A7362" i="1"/>
  <c r="C7362" i="1"/>
  <c r="K7362" i="1"/>
  <c r="N7362" i="1"/>
  <c r="A7363" i="1"/>
  <c r="C7363" i="1"/>
  <c r="N7363" i="1"/>
  <c r="A7364" i="1"/>
  <c r="C7364" i="1"/>
  <c r="K7364" i="1"/>
  <c r="N7364" i="1"/>
  <c r="A7365" i="1"/>
  <c r="C7365" i="1"/>
  <c r="N7365" i="1"/>
  <c r="A7366" i="1"/>
  <c r="C7366" i="1"/>
  <c r="K7366" i="1"/>
  <c r="N7366" i="1"/>
  <c r="A7367" i="1"/>
  <c r="C7367" i="1"/>
  <c r="K7367" i="1"/>
  <c r="N7367" i="1"/>
  <c r="A7368" i="1"/>
  <c r="C7368" i="1"/>
  <c r="K7368" i="1"/>
  <c r="N7368" i="1"/>
  <c r="A7369" i="1"/>
  <c r="C7369" i="1"/>
  <c r="K7369" i="1"/>
  <c r="N7369" i="1"/>
  <c r="A7370" i="1"/>
  <c r="C7370" i="1"/>
  <c r="K7370" i="1"/>
  <c r="N7370" i="1"/>
  <c r="A7371" i="1"/>
  <c r="C7371" i="1"/>
  <c r="K7371" i="1"/>
  <c r="N7371" i="1"/>
  <c r="A7372" i="1"/>
  <c r="C7372" i="1"/>
  <c r="K7372" i="1"/>
  <c r="N7372" i="1"/>
  <c r="A7373" i="1"/>
  <c r="C7373" i="1"/>
  <c r="N7373" i="1"/>
  <c r="A7374" i="1"/>
  <c r="C7374" i="1"/>
  <c r="K7374" i="1"/>
  <c r="N7374" i="1"/>
  <c r="A7375" i="1"/>
  <c r="C7375" i="1"/>
  <c r="K7375" i="1"/>
  <c r="N7375" i="1"/>
  <c r="A7376" i="1"/>
  <c r="C7376" i="1"/>
  <c r="N7376" i="1"/>
  <c r="A7377" i="1"/>
  <c r="C7377" i="1"/>
  <c r="N7377" i="1"/>
  <c r="A7378" i="1"/>
  <c r="C7378" i="1"/>
  <c r="K7378" i="1"/>
  <c r="N7378" i="1"/>
  <c r="A7379" i="1"/>
  <c r="C7379" i="1"/>
  <c r="N7379" i="1"/>
  <c r="A7380" i="1"/>
  <c r="C7380" i="1"/>
  <c r="N7380" i="1"/>
  <c r="A7381" i="1"/>
  <c r="C7381" i="1"/>
  <c r="K7381" i="1"/>
  <c r="N7381" i="1"/>
  <c r="A7382" i="1"/>
  <c r="C7382" i="1"/>
  <c r="N7382" i="1"/>
  <c r="A7383" i="1"/>
  <c r="C7383" i="1"/>
  <c r="N7383" i="1"/>
  <c r="A7384" i="1"/>
  <c r="C7384" i="1"/>
  <c r="N7384" i="1"/>
  <c r="A7385" i="1"/>
  <c r="C7385" i="1"/>
  <c r="N7385" i="1"/>
  <c r="A7386" i="1"/>
  <c r="C7386" i="1"/>
  <c r="K7386" i="1"/>
  <c r="N7386" i="1"/>
  <c r="A7387" i="1"/>
  <c r="C7387" i="1"/>
  <c r="K7387" i="1"/>
  <c r="N7387" i="1"/>
  <c r="A7388" i="1"/>
  <c r="C7388" i="1"/>
  <c r="K7388" i="1"/>
  <c r="N7388" i="1"/>
  <c r="A7389" i="1"/>
  <c r="C7389" i="1"/>
  <c r="K7389" i="1"/>
  <c r="N7389" i="1"/>
  <c r="A7390" i="1"/>
  <c r="C7390" i="1"/>
  <c r="K7390" i="1"/>
  <c r="N7390" i="1"/>
  <c r="A7391" i="1"/>
  <c r="C7391" i="1"/>
  <c r="N7391" i="1"/>
  <c r="A7392" i="1"/>
  <c r="C7392" i="1"/>
  <c r="K7392" i="1"/>
  <c r="N7392" i="1"/>
  <c r="A7393" i="1"/>
  <c r="C7393" i="1"/>
  <c r="N7393" i="1"/>
  <c r="A7394" i="1"/>
  <c r="C7394" i="1"/>
  <c r="K7394" i="1"/>
  <c r="N7394" i="1"/>
  <c r="A7395" i="1"/>
  <c r="C7395" i="1"/>
  <c r="K7395" i="1"/>
  <c r="N7395" i="1"/>
  <c r="A7396" i="1"/>
  <c r="C7396" i="1"/>
  <c r="K7396" i="1"/>
  <c r="N7396" i="1"/>
  <c r="A7397" i="1"/>
  <c r="C7397" i="1"/>
  <c r="K7397" i="1"/>
  <c r="N7397" i="1"/>
  <c r="A7398" i="1"/>
  <c r="C7398" i="1"/>
  <c r="K7398" i="1"/>
  <c r="N7398" i="1"/>
  <c r="A7399" i="1"/>
  <c r="C7399" i="1"/>
  <c r="N7399" i="1"/>
  <c r="A7400" i="1"/>
  <c r="C7400" i="1"/>
  <c r="N7400" i="1"/>
  <c r="A7401" i="1"/>
  <c r="C7401" i="1"/>
  <c r="N7401" i="1"/>
  <c r="A7402" i="1"/>
  <c r="C7402" i="1"/>
  <c r="K7402" i="1"/>
  <c r="N7402" i="1"/>
  <c r="A7403" i="1"/>
  <c r="C7403" i="1"/>
  <c r="K7403" i="1"/>
  <c r="N7403" i="1"/>
  <c r="A7404" i="1"/>
  <c r="C7404" i="1"/>
  <c r="N7404" i="1"/>
  <c r="A7405" i="1"/>
  <c r="C7405" i="1"/>
  <c r="K7405" i="1"/>
  <c r="N7405" i="1"/>
  <c r="A7406" i="1"/>
  <c r="C7406" i="1"/>
  <c r="K7406" i="1"/>
  <c r="N7406" i="1"/>
  <c r="A7407" i="1"/>
  <c r="C7407" i="1"/>
  <c r="K7407" i="1"/>
  <c r="N7407" i="1"/>
  <c r="A7408" i="1"/>
  <c r="C7408" i="1"/>
  <c r="K7408" i="1"/>
  <c r="N7408" i="1"/>
  <c r="A7409" i="1"/>
  <c r="C7409" i="1"/>
  <c r="N7409" i="1"/>
  <c r="A7410" i="1"/>
  <c r="C7410" i="1"/>
  <c r="K7410" i="1"/>
  <c r="N7410" i="1"/>
  <c r="A7411" i="1"/>
  <c r="C7411" i="1"/>
  <c r="K7411" i="1"/>
  <c r="N7411" i="1"/>
  <c r="A7412" i="1"/>
  <c r="C7412" i="1"/>
  <c r="K7412" i="1"/>
  <c r="N7412" i="1"/>
  <c r="A7413" i="1"/>
  <c r="C7413" i="1"/>
  <c r="N7413" i="1"/>
  <c r="A7414" i="1"/>
  <c r="C7414" i="1"/>
  <c r="N7414" i="1"/>
  <c r="A7415" i="1"/>
  <c r="C7415" i="1"/>
  <c r="N7415" i="1"/>
  <c r="A7416" i="1"/>
  <c r="C7416" i="1"/>
  <c r="N7416" i="1"/>
  <c r="A7417" i="1"/>
  <c r="C7417" i="1"/>
  <c r="N7417" i="1"/>
  <c r="A7418" i="1"/>
  <c r="C7418" i="1"/>
  <c r="N7418" i="1"/>
  <c r="A7419" i="1"/>
  <c r="C7419" i="1"/>
  <c r="K7419" i="1"/>
  <c r="N7419" i="1"/>
  <c r="A7420" i="1"/>
  <c r="C7420" i="1"/>
  <c r="K7420" i="1"/>
  <c r="N7420" i="1"/>
  <c r="A7421" i="1"/>
  <c r="C7421" i="1"/>
  <c r="N7421" i="1"/>
  <c r="A7422" i="1"/>
  <c r="C7422" i="1"/>
  <c r="K7422" i="1"/>
  <c r="N7422" i="1"/>
  <c r="A7423" i="1"/>
  <c r="C7423" i="1"/>
  <c r="K7423" i="1"/>
  <c r="N7423" i="1"/>
  <c r="A7424" i="1"/>
  <c r="C7424" i="1"/>
  <c r="K7424" i="1"/>
  <c r="N7424" i="1"/>
  <c r="A7425" i="1"/>
  <c r="C7425" i="1"/>
  <c r="K7425" i="1"/>
  <c r="N7425" i="1"/>
  <c r="A7426" i="1"/>
  <c r="C7426" i="1"/>
  <c r="K7426" i="1"/>
  <c r="N7426" i="1"/>
  <c r="A7427" i="1"/>
  <c r="C7427" i="1"/>
  <c r="N7427" i="1"/>
  <c r="A7428" i="1"/>
  <c r="C7428" i="1"/>
  <c r="K7428" i="1"/>
  <c r="N7428" i="1"/>
  <c r="A7429" i="1"/>
  <c r="C7429" i="1"/>
  <c r="N7429" i="1"/>
  <c r="A7430" i="1"/>
  <c r="C7430" i="1"/>
  <c r="K7430" i="1"/>
  <c r="N7430" i="1"/>
  <c r="A7431" i="1"/>
  <c r="C7431" i="1"/>
  <c r="N7431" i="1"/>
  <c r="A7432" i="1"/>
  <c r="C7432" i="1"/>
  <c r="K7432" i="1"/>
  <c r="N7432" i="1"/>
  <c r="A7433" i="1"/>
  <c r="C7433" i="1"/>
  <c r="K7433" i="1"/>
  <c r="N7433" i="1"/>
  <c r="A7434" i="1"/>
  <c r="C7434" i="1"/>
  <c r="N7434" i="1"/>
  <c r="A7435" i="1"/>
  <c r="C7435" i="1"/>
  <c r="K7435" i="1"/>
  <c r="N7435" i="1"/>
  <c r="A7436" i="1"/>
  <c r="C7436" i="1"/>
  <c r="K7436" i="1"/>
  <c r="N7436" i="1"/>
  <c r="A7437" i="1"/>
  <c r="C7437" i="1"/>
  <c r="K7437" i="1"/>
  <c r="N7437" i="1"/>
  <c r="A7438" i="1"/>
  <c r="C7438" i="1"/>
  <c r="K7438" i="1"/>
  <c r="N7438" i="1"/>
  <c r="A7439" i="1"/>
  <c r="C7439" i="1"/>
  <c r="K7439" i="1"/>
  <c r="N7439" i="1"/>
  <c r="A7440" i="1"/>
  <c r="C7440" i="1"/>
  <c r="N7440" i="1"/>
  <c r="A7441" i="1"/>
  <c r="C7441" i="1"/>
  <c r="K7441" i="1"/>
  <c r="N7441" i="1"/>
  <c r="A7442" i="1"/>
  <c r="C7442" i="1"/>
  <c r="K7442" i="1"/>
  <c r="N7442" i="1"/>
  <c r="A7443" i="1"/>
  <c r="C7443" i="1"/>
  <c r="N7443" i="1"/>
  <c r="A7444" i="1"/>
  <c r="C7444" i="1"/>
  <c r="N7444" i="1"/>
  <c r="A7445" i="1"/>
  <c r="C7445" i="1"/>
  <c r="N7445" i="1"/>
  <c r="A7446" i="1"/>
  <c r="C7446" i="1"/>
  <c r="N7446" i="1"/>
  <c r="A7447" i="1"/>
  <c r="C7447" i="1"/>
  <c r="N7447" i="1"/>
  <c r="A7448" i="1"/>
  <c r="C7448" i="1"/>
  <c r="N7448" i="1"/>
  <c r="A7449" i="1"/>
  <c r="C7449" i="1"/>
  <c r="N7449" i="1"/>
  <c r="A7450" i="1"/>
  <c r="C7450" i="1"/>
  <c r="N7450" i="1"/>
  <c r="A7451" i="1"/>
  <c r="C7451" i="1"/>
  <c r="N7451" i="1"/>
  <c r="A7452" i="1"/>
  <c r="C7452" i="1"/>
  <c r="N7452" i="1"/>
  <c r="A7453" i="1"/>
  <c r="C7453" i="1"/>
  <c r="N7453" i="1"/>
  <c r="A7454" i="1"/>
  <c r="C7454" i="1"/>
  <c r="N7454" i="1"/>
  <c r="A7455" i="1"/>
  <c r="C7455" i="1"/>
  <c r="N7455" i="1"/>
  <c r="A7456" i="1"/>
  <c r="C7456" i="1"/>
  <c r="N7456" i="1"/>
  <c r="A7457" i="1"/>
  <c r="C7457" i="1"/>
  <c r="K7457" i="1"/>
  <c r="N7457" i="1"/>
  <c r="A7458" i="1"/>
  <c r="C7458" i="1"/>
  <c r="K7458" i="1"/>
  <c r="N7458" i="1"/>
  <c r="A7459" i="1"/>
  <c r="C7459" i="1"/>
  <c r="N7459" i="1"/>
  <c r="A7460" i="1"/>
  <c r="C7460" i="1"/>
  <c r="N7460" i="1"/>
  <c r="A7461" i="1"/>
  <c r="C7461" i="1"/>
  <c r="N7461" i="1"/>
  <c r="A7462" i="1"/>
  <c r="C7462" i="1"/>
  <c r="K7462" i="1"/>
  <c r="N7462" i="1"/>
  <c r="A7463" i="1"/>
  <c r="C7463" i="1"/>
  <c r="N7463" i="1"/>
  <c r="A7464" i="1"/>
  <c r="C7464" i="1"/>
  <c r="K7464" i="1"/>
  <c r="N7464" i="1"/>
  <c r="A7465" i="1"/>
  <c r="C7465" i="1"/>
  <c r="N7465" i="1"/>
  <c r="A7466" i="1"/>
  <c r="C7466" i="1"/>
  <c r="K7466" i="1"/>
  <c r="N7466" i="1"/>
  <c r="A7467" i="1"/>
  <c r="C7467" i="1"/>
  <c r="K7467" i="1"/>
  <c r="N7467" i="1"/>
  <c r="A7468" i="1"/>
  <c r="C7468" i="1"/>
  <c r="N7468" i="1"/>
  <c r="A7469" i="1"/>
  <c r="C7469" i="1"/>
  <c r="N7469" i="1"/>
  <c r="A7470" i="1"/>
  <c r="C7470" i="1"/>
  <c r="N7470" i="1"/>
  <c r="A7471" i="1"/>
  <c r="C7471" i="1"/>
  <c r="N7471" i="1"/>
  <c r="A7472" i="1"/>
  <c r="C7472" i="1"/>
  <c r="N7472" i="1"/>
  <c r="A7473" i="1"/>
  <c r="C7473" i="1"/>
  <c r="N7473" i="1"/>
  <c r="A7474" i="1"/>
  <c r="C7474" i="1"/>
  <c r="K7474" i="1"/>
  <c r="N7474" i="1"/>
  <c r="A7475" i="1"/>
  <c r="C7475" i="1"/>
  <c r="K7475" i="1"/>
  <c r="N7475" i="1"/>
  <c r="A7476" i="1"/>
  <c r="C7476" i="1"/>
  <c r="K7476" i="1"/>
  <c r="N7476" i="1"/>
  <c r="A7477" i="1"/>
  <c r="C7477" i="1"/>
  <c r="K7477" i="1"/>
  <c r="N7477" i="1"/>
  <c r="A7478" i="1"/>
  <c r="C7478" i="1"/>
  <c r="K7478" i="1"/>
  <c r="N7478" i="1"/>
  <c r="A7479" i="1"/>
  <c r="C7479" i="1"/>
  <c r="K7479" i="1"/>
  <c r="N7479" i="1"/>
  <c r="A7480" i="1"/>
  <c r="C7480" i="1"/>
  <c r="K7480" i="1"/>
  <c r="N7480" i="1"/>
  <c r="A7481" i="1"/>
  <c r="C7481" i="1"/>
  <c r="K7481" i="1"/>
  <c r="N7481" i="1"/>
  <c r="A7482" i="1"/>
  <c r="C7482" i="1"/>
  <c r="K7482" i="1"/>
  <c r="N7482" i="1"/>
  <c r="A7483" i="1"/>
  <c r="C7483" i="1"/>
  <c r="K7483" i="1"/>
  <c r="N7483" i="1"/>
  <c r="A7484" i="1"/>
  <c r="C7484" i="1"/>
  <c r="K7484" i="1"/>
  <c r="N7484" i="1"/>
  <c r="A7485" i="1"/>
  <c r="C7485" i="1"/>
  <c r="N7485" i="1"/>
  <c r="A7486" i="1"/>
  <c r="C7486" i="1"/>
  <c r="K7486" i="1"/>
  <c r="N7486" i="1"/>
  <c r="A7487" i="1"/>
  <c r="C7487" i="1"/>
  <c r="K7487" i="1"/>
  <c r="N7487" i="1"/>
  <c r="A7488" i="1"/>
  <c r="C7488" i="1"/>
  <c r="K7488" i="1"/>
  <c r="N7488" i="1"/>
  <c r="A7489" i="1"/>
  <c r="C7489" i="1"/>
  <c r="K7489" i="1"/>
  <c r="N7489" i="1"/>
  <c r="A7490" i="1"/>
  <c r="C7490" i="1"/>
  <c r="K7490" i="1"/>
  <c r="N7490" i="1"/>
  <c r="A7491" i="1"/>
  <c r="C7491" i="1"/>
  <c r="K7491" i="1"/>
  <c r="N7491" i="1"/>
  <c r="A7492" i="1"/>
  <c r="C7492" i="1"/>
  <c r="K7492" i="1"/>
  <c r="N7492" i="1"/>
  <c r="A7493" i="1"/>
  <c r="C7493" i="1"/>
  <c r="K7493" i="1"/>
  <c r="N7493" i="1"/>
  <c r="A7494" i="1"/>
  <c r="C7494" i="1"/>
  <c r="K7494" i="1"/>
  <c r="N7494" i="1"/>
  <c r="A7495" i="1"/>
  <c r="C7495" i="1"/>
  <c r="N7495" i="1"/>
  <c r="A7496" i="1"/>
  <c r="C7496" i="1"/>
  <c r="N7496" i="1"/>
  <c r="A7497" i="1"/>
  <c r="C7497" i="1"/>
  <c r="N7497" i="1"/>
  <c r="A7498" i="1"/>
  <c r="C7498" i="1"/>
  <c r="K7498" i="1"/>
  <c r="N7498" i="1"/>
  <c r="A7499" i="1"/>
  <c r="C7499" i="1"/>
  <c r="K7499" i="1"/>
  <c r="N7499" i="1"/>
  <c r="A7500" i="1"/>
  <c r="C7500" i="1"/>
  <c r="K7500" i="1"/>
  <c r="N7500" i="1"/>
  <c r="A7501" i="1"/>
  <c r="C7501" i="1"/>
  <c r="E7501" i="1"/>
  <c r="N7501" i="1"/>
  <c r="T7501" i="1"/>
  <c r="A7502" i="1"/>
  <c r="C7502" i="1"/>
  <c r="K7502" i="1"/>
  <c r="N7502" i="1"/>
  <c r="A7503" i="1"/>
  <c r="C7503" i="1"/>
  <c r="K7503" i="1"/>
  <c r="N7503" i="1"/>
  <c r="A7504" i="1"/>
  <c r="C7504" i="1"/>
  <c r="N7504" i="1"/>
  <c r="A7505" i="1"/>
  <c r="C7505" i="1"/>
  <c r="N7505" i="1"/>
  <c r="A7506" i="1"/>
  <c r="C7506" i="1"/>
  <c r="N7506" i="1"/>
  <c r="A7507" i="1"/>
  <c r="C7507" i="1"/>
  <c r="N7507" i="1"/>
  <c r="A7508" i="1"/>
  <c r="C7508" i="1"/>
  <c r="K7508" i="1"/>
  <c r="N7508" i="1"/>
  <c r="A7509" i="1"/>
  <c r="C7509" i="1"/>
  <c r="N7509" i="1"/>
  <c r="A7510" i="1"/>
  <c r="C7510" i="1"/>
  <c r="N7510" i="1"/>
  <c r="A7511" i="1"/>
  <c r="C7511" i="1"/>
  <c r="K7511" i="1"/>
  <c r="N7511" i="1"/>
  <c r="A7512" i="1"/>
  <c r="C7512" i="1"/>
  <c r="K7512" i="1"/>
  <c r="N7512" i="1"/>
  <c r="A7513" i="1"/>
  <c r="C7513" i="1"/>
  <c r="N7513" i="1"/>
  <c r="A7514" i="1"/>
  <c r="C7514" i="1"/>
  <c r="N7514" i="1"/>
  <c r="A7515" i="1"/>
  <c r="C7515" i="1"/>
  <c r="N7515" i="1"/>
  <c r="A7516" i="1"/>
  <c r="C7516" i="1"/>
  <c r="N7516" i="1"/>
  <c r="A7517" i="1"/>
  <c r="C7517" i="1"/>
  <c r="K7517" i="1"/>
  <c r="N7517" i="1"/>
  <c r="A7518" i="1"/>
  <c r="C7518" i="1"/>
  <c r="N7518" i="1"/>
  <c r="A7519" i="1"/>
  <c r="C7519" i="1"/>
  <c r="K7519" i="1"/>
  <c r="N7519" i="1"/>
  <c r="A7520" i="1"/>
  <c r="C7520" i="1"/>
  <c r="K7520" i="1"/>
  <c r="N7520" i="1"/>
  <c r="A7521" i="1"/>
  <c r="C7521" i="1"/>
  <c r="K7521" i="1"/>
  <c r="N7521" i="1"/>
  <c r="A7522" i="1"/>
  <c r="C7522" i="1"/>
  <c r="K7522" i="1"/>
  <c r="N7522" i="1"/>
  <c r="A7523" i="1"/>
  <c r="C7523" i="1"/>
  <c r="N7523" i="1"/>
  <c r="A7524" i="1"/>
  <c r="C7524" i="1"/>
  <c r="K7524" i="1"/>
  <c r="N7524" i="1"/>
  <c r="A7525" i="1"/>
  <c r="C7525" i="1"/>
  <c r="K7525" i="1"/>
  <c r="N7525" i="1"/>
  <c r="A7526" i="1"/>
  <c r="C7526" i="1"/>
  <c r="N7526" i="1"/>
  <c r="A7527" i="1"/>
  <c r="C7527" i="1"/>
  <c r="N7527" i="1"/>
  <c r="A7528" i="1"/>
  <c r="C7528" i="1"/>
  <c r="N7528" i="1"/>
  <c r="A7529" i="1"/>
  <c r="C7529" i="1"/>
  <c r="K7529" i="1"/>
  <c r="N7529" i="1"/>
  <c r="A7530" i="1"/>
  <c r="C7530" i="1"/>
  <c r="N7530" i="1"/>
  <c r="A7531" i="1"/>
  <c r="C7531" i="1"/>
  <c r="K7531" i="1"/>
  <c r="N7531" i="1"/>
  <c r="A7532" i="1"/>
  <c r="C7532" i="1"/>
  <c r="N7532" i="1"/>
  <c r="A7533" i="1"/>
  <c r="C7533" i="1"/>
  <c r="N7533" i="1"/>
  <c r="A7534" i="1"/>
  <c r="C7534" i="1"/>
  <c r="N7534" i="1"/>
  <c r="A7535" i="1"/>
  <c r="C7535" i="1"/>
  <c r="K7535" i="1"/>
  <c r="N7535" i="1"/>
  <c r="A7536" i="1"/>
  <c r="C7536" i="1"/>
  <c r="K7536" i="1"/>
  <c r="N7536" i="1"/>
  <c r="A7537" i="1"/>
  <c r="C7537" i="1"/>
  <c r="K7537" i="1"/>
  <c r="N7537" i="1"/>
  <c r="A7538" i="1"/>
  <c r="C7538" i="1"/>
  <c r="N7538" i="1"/>
  <c r="A7539" i="1"/>
  <c r="C7539" i="1"/>
  <c r="N7539" i="1"/>
  <c r="A7540" i="1"/>
  <c r="C7540" i="1"/>
  <c r="N7540" i="1"/>
  <c r="A7541" i="1"/>
  <c r="C7541" i="1"/>
  <c r="N7541" i="1"/>
  <c r="A7542" i="1"/>
  <c r="C7542" i="1"/>
  <c r="N7542" i="1"/>
  <c r="A7543" i="1"/>
  <c r="C7543" i="1"/>
  <c r="K7543" i="1"/>
  <c r="N7543" i="1"/>
  <c r="A7544" i="1"/>
  <c r="C7544" i="1"/>
  <c r="N7544" i="1"/>
  <c r="A7545" i="1"/>
  <c r="C7545" i="1"/>
  <c r="K7545" i="1"/>
  <c r="N7545" i="1"/>
  <c r="A7546" i="1"/>
  <c r="C7546" i="1"/>
  <c r="N7546" i="1"/>
  <c r="A7547" i="1"/>
  <c r="C7547" i="1"/>
  <c r="K7547" i="1"/>
  <c r="N7547" i="1"/>
  <c r="A7548" i="1"/>
  <c r="C7548" i="1"/>
  <c r="K7548" i="1"/>
  <c r="N7548" i="1"/>
  <c r="A7549" i="1"/>
  <c r="C7549" i="1"/>
  <c r="K7549" i="1"/>
  <c r="N7549" i="1"/>
  <c r="A7550" i="1"/>
  <c r="C7550" i="1"/>
  <c r="K7550" i="1"/>
  <c r="N7550" i="1"/>
  <c r="A7551" i="1"/>
  <c r="C7551" i="1"/>
  <c r="K7551" i="1"/>
  <c r="N7551" i="1"/>
  <c r="A7552" i="1"/>
  <c r="C7552" i="1"/>
  <c r="K7552" i="1"/>
  <c r="N7552" i="1"/>
  <c r="A7553" i="1"/>
  <c r="C7553" i="1"/>
  <c r="K7553" i="1"/>
  <c r="N7553" i="1"/>
  <c r="A7554" i="1"/>
  <c r="C7554" i="1"/>
  <c r="K7554" i="1"/>
  <c r="N7554" i="1"/>
  <c r="A7555" i="1"/>
  <c r="C7555" i="1"/>
  <c r="N7555" i="1"/>
  <c r="A7556" i="1"/>
  <c r="C7556" i="1"/>
  <c r="N7556" i="1"/>
  <c r="A7557" i="1"/>
  <c r="C7557" i="1"/>
  <c r="N7557" i="1"/>
  <c r="A7558" i="1"/>
  <c r="C7558" i="1"/>
  <c r="N7558" i="1"/>
  <c r="A7559" i="1"/>
  <c r="C7559" i="1"/>
  <c r="K7559" i="1"/>
  <c r="N7559" i="1"/>
  <c r="A7560" i="1"/>
  <c r="C7560" i="1"/>
  <c r="N7560" i="1"/>
  <c r="A7561" i="1"/>
  <c r="C7561" i="1"/>
  <c r="N7561" i="1"/>
  <c r="A7562" i="1"/>
  <c r="C7562" i="1"/>
  <c r="N7562" i="1"/>
  <c r="A7563" i="1"/>
  <c r="C7563" i="1"/>
  <c r="K7563" i="1"/>
  <c r="N7563" i="1"/>
  <c r="A7564" i="1"/>
  <c r="C7564" i="1"/>
  <c r="N7564" i="1"/>
  <c r="A7565" i="1"/>
  <c r="C7565" i="1"/>
  <c r="K7565" i="1"/>
  <c r="N7565" i="1"/>
  <c r="A7566" i="1"/>
  <c r="C7566" i="1"/>
  <c r="K7566" i="1"/>
  <c r="N7566" i="1"/>
  <c r="A7567" i="1"/>
  <c r="C7567" i="1"/>
  <c r="K7567" i="1"/>
  <c r="N7567" i="1"/>
  <c r="A7568" i="1"/>
  <c r="C7568" i="1"/>
  <c r="K7568" i="1"/>
  <c r="N7568" i="1"/>
  <c r="A7569" i="1"/>
  <c r="C7569" i="1"/>
  <c r="N7569" i="1"/>
  <c r="A7570" i="1"/>
  <c r="C7570" i="1"/>
  <c r="N7570" i="1"/>
  <c r="A7571" i="1"/>
  <c r="C7571" i="1"/>
  <c r="N7571" i="1"/>
  <c r="A7572" i="1"/>
  <c r="C7572" i="1"/>
  <c r="N7572" i="1"/>
  <c r="A7573" i="1"/>
  <c r="C7573" i="1"/>
  <c r="N7573" i="1"/>
  <c r="A7574" i="1"/>
  <c r="C7574" i="1"/>
  <c r="N7574" i="1"/>
  <c r="A7575" i="1"/>
  <c r="C7575" i="1"/>
  <c r="K7575" i="1"/>
  <c r="N7575" i="1"/>
  <c r="A7576" i="1"/>
  <c r="C7576" i="1"/>
  <c r="K7576" i="1"/>
  <c r="N7576" i="1"/>
  <c r="A7577" i="1"/>
  <c r="C7577" i="1"/>
  <c r="K7577" i="1"/>
  <c r="N7577" i="1"/>
  <c r="A7578" i="1"/>
  <c r="C7578" i="1"/>
  <c r="K7578" i="1"/>
  <c r="N7578" i="1"/>
  <c r="A7579" i="1"/>
  <c r="C7579" i="1"/>
  <c r="K7579" i="1"/>
  <c r="N7579" i="1"/>
  <c r="A7580" i="1"/>
  <c r="C7580" i="1"/>
  <c r="N7580" i="1"/>
  <c r="A7581" i="1"/>
  <c r="C7581" i="1"/>
  <c r="N7581" i="1"/>
  <c r="A7582" i="1"/>
  <c r="C7582" i="1"/>
  <c r="K7582" i="1"/>
  <c r="N7582" i="1"/>
  <c r="A7583" i="1"/>
  <c r="C7583" i="1"/>
  <c r="N7583" i="1"/>
  <c r="A7584" i="1"/>
  <c r="C7584" i="1"/>
  <c r="N7584" i="1"/>
  <c r="A7585" i="1"/>
  <c r="C7585" i="1"/>
  <c r="N7585" i="1"/>
  <c r="A7586" i="1"/>
  <c r="C7586" i="1"/>
  <c r="N7586" i="1"/>
  <c r="A7587" i="1"/>
  <c r="C7587" i="1"/>
  <c r="D7587" i="1"/>
  <c r="E7587" i="1"/>
  <c r="K7587" i="1"/>
  <c r="N7587" i="1"/>
  <c r="O7587" i="1"/>
  <c r="T7587" i="1"/>
  <c r="A7588" i="1"/>
  <c r="C7588" i="1"/>
  <c r="N7588" i="1"/>
  <c r="A7589" i="1"/>
  <c r="C7589" i="1"/>
  <c r="K7589" i="1"/>
  <c r="N7589" i="1"/>
  <c r="A7590" i="1"/>
  <c r="C7590" i="1"/>
  <c r="K7590" i="1"/>
  <c r="N7590" i="1"/>
  <c r="A7591" i="1"/>
  <c r="C7591" i="1"/>
  <c r="N7591" i="1"/>
  <c r="A7592" i="1"/>
  <c r="C7592" i="1"/>
  <c r="K7592" i="1"/>
  <c r="N7592" i="1"/>
  <c r="A7593" i="1"/>
  <c r="C7593" i="1"/>
  <c r="K7593" i="1"/>
  <c r="N7593" i="1"/>
  <c r="A7594" i="1"/>
  <c r="C7594" i="1"/>
  <c r="K7594" i="1"/>
  <c r="N7594" i="1"/>
  <c r="A7595" i="1"/>
  <c r="C7595" i="1"/>
  <c r="K7595" i="1"/>
  <c r="N7595" i="1"/>
  <c r="A7596" i="1"/>
  <c r="C7596" i="1"/>
  <c r="K7596" i="1"/>
  <c r="N7596" i="1"/>
  <c r="A7597" i="1"/>
  <c r="C7597" i="1"/>
  <c r="K7597" i="1"/>
  <c r="N7597" i="1"/>
  <c r="A7598" i="1"/>
  <c r="C7598" i="1"/>
  <c r="N7598" i="1"/>
  <c r="A7599" i="1"/>
  <c r="C7599" i="1"/>
  <c r="K7599" i="1"/>
  <c r="N7599" i="1"/>
  <c r="A7600" i="1"/>
  <c r="C7600" i="1"/>
  <c r="N7600" i="1"/>
  <c r="A7601" i="1"/>
  <c r="C7601" i="1"/>
  <c r="N7601" i="1"/>
  <c r="A7602" i="1"/>
  <c r="C7602" i="1"/>
  <c r="N7602" i="1"/>
  <c r="A7603" i="1"/>
  <c r="C7603" i="1"/>
  <c r="K7603" i="1"/>
  <c r="N7603" i="1"/>
  <c r="A7604" i="1"/>
  <c r="C7604" i="1"/>
  <c r="K7604" i="1"/>
  <c r="N7604" i="1"/>
  <c r="A7605" i="1"/>
  <c r="C7605" i="1"/>
  <c r="K7605" i="1"/>
  <c r="N7605" i="1"/>
  <c r="A7606" i="1"/>
  <c r="C7606" i="1"/>
  <c r="K7606" i="1"/>
  <c r="N7606" i="1"/>
  <c r="A7607" i="1"/>
  <c r="C7607" i="1"/>
  <c r="N7607" i="1"/>
  <c r="A7608" i="1"/>
  <c r="C7608" i="1"/>
  <c r="N7608" i="1"/>
  <c r="A7609" i="1"/>
  <c r="C7609" i="1"/>
  <c r="N7609" i="1"/>
  <c r="A7610" i="1"/>
  <c r="C7610" i="1"/>
  <c r="N7610" i="1"/>
  <c r="A7611" i="1"/>
  <c r="C7611" i="1"/>
  <c r="N7611" i="1"/>
  <c r="A7612" i="1"/>
  <c r="C7612" i="1"/>
  <c r="N7612" i="1"/>
  <c r="A7613" i="1"/>
  <c r="C7613" i="1"/>
  <c r="N7613" i="1"/>
  <c r="A7614" i="1"/>
  <c r="C7614" i="1"/>
  <c r="N7614" i="1"/>
  <c r="A7615" i="1"/>
  <c r="C7615" i="1"/>
  <c r="N7615" i="1"/>
  <c r="A7616" i="1"/>
  <c r="C7616" i="1"/>
  <c r="N7616" i="1"/>
  <c r="A7617" i="1"/>
  <c r="C7617" i="1"/>
  <c r="K7617" i="1"/>
  <c r="N7617" i="1"/>
  <c r="A7618" i="1"/>
  <c r="C7618" i="1"/>
  <c r="N7618" i="1"/>
  <c r="A7619" i="1"/>
  <c r="C7619" i="1"/>
  <c r="N7619" i="1"/>
  <c r="A7620" i="1"/>
  <c r="C7620" i="1"/>
  <c r="K7620" i="1"/>
  <c r="N7620" i="1"/>
  <c r="A7621" i="1"/>
  <c r="C7621" i="1"/>
  <c r="K7621" i="1"/>
  <c r="N7621" i="1"/>
  <c r="A7622" i="1"/>
  <c r="C7622" i="1"/>
  <c r="K7622" i="1"/>
  <c r="N7622" i="1"/>
  <c r="A7623" i="1"/>
  <c r="C7623" i="1"/>
  <c r="K7623" i="1"/>
  <c r="N7623" i="1"/>
  <c r="A7624" i="1"/>
  <c r="C7624" i="1"/>
  <c r="K7624" i="1"/>
  <c r="N7624" i="1"/>
  <c r="A7625" i="1"/>
  <c r="C7625" i="1"/>
  <c r="K7625" i="1"/>
  <c r="N7625" i="1"/>
  <c r="A7626" i="1"/>
  <c r="C7626" i="1"/>
  <c r="K7626" i="1"/>
  <c r="N7626" i="1"/>
  <c r="A7627" i="1"/>
  <c r="C7627" i="1"/>
  <c r="K7627" i="1"/>
  <c r="N7627" i="1"/>
  <c r="A7628" i="1"/>
  <c r="C7628" i="1"/>
  <c r="K7628" i="1"/>
  <c r="N7628" i="1"/>
  <c r="A7629" i="1"/>
  <c r="C7629" i="1"/>
  <c r="K7629" i="1"/>
  <c r="N7629" i="1"/>
  <c r="A7630" i="1"/>
  <c r="C7630" i="1"/>
  <c r="N7630" i="1"/>
  <c r="A7631" i="1"/>
  <c r="C7631" i="1"/>
  <c r="K7631" i="1"/>
  <c r="N7631" i="1"/>
  <c r="A7632" i="1"/>
  <c r="C7632" i="1"/>
  <c r="K7632" i="1"/>
  <c r="N7632" i="1"/>
  <c r="A7633" i="1"/>
  <c r="C7633" i="1"/>
  <c r="K7633" i="1"/>
  <c r="N7633" i="1"/>
  <c r="A7634" i="1"/>
  <c r="C7634" i="1"/>
  <c r="N7634" i="1"/>
  <c r="A7635" i="1"/>
  <c r="C7635" i="1"/>
  <c r="N7635" i="1"/>
  <c r="A7636" i="1"/>
  <c r="C7636" i="1"/>
  <c r="F7636" i="1"/>
  <c r="N7636" i="1"/>
  <c r="A7637" i="1"/>
  <c r="C7637" i="1"/>
  <c r="K7637" i="1"/>
  <c r="N7637" i="1"/>
  <c r="A7638" i="1"/>
  <c r="C7638" i="1"/>
  <c r="K7638" i="1"/>
  <c r="N7638" i="1"/>
  <c r="A7639" i="1"/>
  <c r="C7639" i="1"/>
  <c r="K7639" i="1"/>
  <c r="N7639" i="1"/>
  <c r="A7640" i="1"/>
  <c r="C7640" i="1"/>
  <c r="K7640" i="1"/>
  <c r="N7640" i="1"/>
  <c r="A7641" i="1"/>
  <c r="C7641" i="1"/>
  <c r="N7641" i="1"/>
  <c r="A7642" i="1"/>
  <c r="C7642" i="1"/>
  <c r="K7642" i="1"/>
  <c r="N7642" i="1"/>
  <c r="A7643" i="1"/>
  <c r="C7643" i="1"/>
  <c r="D7643" i="1"/>
  <c r="E7643" i="1"/>
  <c r="K7643" i="1"/>
  <c r="N7643" i="1"/>
  <c r="O7643" i="1"/>
  <c r="T7643" i="1"/>
  <c r="A7644" i="1"/>
  <c r="C7644" i="1"/>
  <c r="K7644" i="1"/>
  <c r="N7644" i="1"/>
  <c r="A7645" i="1"/>
  <c r="C7645" i="1"/>
  <c r="K7645" i="1"/>
  <c r="N7645" i="1"/>
  <c r="A7646" i="1"/>
  <c r="C7646" i="1"/>
  <c r="K7646" i="1"/>
  <c r="N7646" i="1"/>
  <c r="A7647" i="1"/>
  <c r="C7647" i="1"/>
  <c r="N7647" i="1"/>
  <c r="A7648" i="1"/>
  <c r="C7648" i="1"/>
  <c r="K7648" i="1"/>
  <c r="N7648" i="1"/>
  <c r="A7649" i="1"/>
  <c r="C7649" i="1"/>
  <c r="K7649" i="1"/>
  <c r="N7649" i="1"/>
  <c r="A7650" i="1"/>
  <c r="C7650" i="1"/>
  <c r="K7650" i="1"/>
  <c r="N7650" i="1"/>
  <c r="A7651" i="1"/>
  <c r="C7651" i="1"/>
  <c r="K7651" i="1"/>
  <c r="N7651" i="1"/>
  <c r="A7652" i="1"/>
  <c r="C7652" i="1"/>
  <c r="N7652" i="1"/>
  <c r="A7653" i="1"/>
  <c r="C7653" i="1"/>
  <c r="K7653" i="1"/>
  <c r="N7653" i="1"/>
  <c r="A7654" i="1"/>
  <c r="C7654" i="1"/>
  <c r="K7654" i="1"/>
  <c r="N7654" i="1"/>
  <c r="A7655" i="1"/>
  <c r="C7655" i="1"/>
  <c r="N7655" i="1"/>
  <c r="A7656" i="1"/>
  <c r="C7656" i="1"/>
  <c r="K7656" i="1"/>
  <c r="N7656" i="1"/>
  <c r="A7657" i="1"/>
  <c r="C7657" i="1"/>
  <c r="N7657" i="1"/>
  <c r="A7658" i="1"/>
  <c r="C7658" i="1"/>
  <c r="K7658" i="1"/>
  <c r="N7658" i="1"/>
  <c r="A7659" i="1"/>
  <c r="C7659" i="1"/>
  <c r="D7659" i="1"/>
  <c r="E7659" i="1"/>
  <c r="K7659" i="1"/>
  <c r="N7659" i="1"/>
  <c r="O7659" i="1"/>
  <c r="T7659" i="1"/>
  <c r="A7660" i="1"/>
  <c r="C7660" i="1"/>
  <c r="K7660" i="1"/>
  <c r="N7660" i="1"/>
  <c r="A7661" i="1"/>
  <c r="C7661" i="1"/>
  <c r="K7661" i="1"/>
  <c r="N7661" i="1"/>
  <c r="A7662" i="1"/>
  <c r="C7662" i="1"/>
  <c r="N7662" i="1"/>
  <c r="A7663" i="1"/>
  <c r="C7663" i="1"/>
  <c r="K7663" i="1"/>
  <c r="N7663" i="1"/>
  <c r="A7664" i="1"/>
  <c r="C7664" i="1"/>
  <c r="K7664" i="1"/>
  <c r="N7664" i="1"/>
  <c r="A7665" i="1"/>
  <c r="C7665" i="1"/>
  <c r="K7665" i="1"/>
  <c r="N7665" i="1"/>
  <c r="A7666" i="1"/>
  <c r="C7666" i="1"/>
  <c r="N7666" i="1"/>
  <c r="A7667" i="1"/>
  <c r="C7667" i="1"/>
  <c r="K7667" i="1"/>
  <c r="N7667" i="1"/>
  <c r="A7668" i="1"/>
  <c r="C7668" i="1"/>
  <c r="K7668" i="1"/>
  <c r="N7668" i="1"/>
  <c r="A7669" i="1"/>
  <c r="C7669" i="1"/>
  <c r="N7669" i="1"/>
  <c r="A7670" i="1"/>
  <c r="C7670" i="1"/>
  <c r="K7670" i="1"/>
  <c r="N7670" i="1"/>
  <c r="A7671" i="1"/>
  <c r="C7671" i="1"/>
  <c r="N7671" i="1"/>
  <c r="A7672" i="1"/>
  <c r="C7672" i="1"/>
  <c r="K7672" i="1"/>
  <c r="N7672" i="1"/>
  <c r="A7673" i="1"/>
  <c r="C7673" i="1"/>
  <c r="K7673" i="1"/>
  <c r="N7673" i="1"/>
  <c r="A7674" i="1"/>
  <c r="C7674" i="1"/>
  <c r="D7674" i="1"/>
  <c r="E7674" i="1"/>
  <c r="K7674" i="1"/>
  <c r="N7674" i="1"/>
  <c r="O7674" i="1"/>
  <c r="T7674" i="1"/>
  <c r="A7675" i="1"/>
  <c r="C7675" i="1"/>
  <c r="K7675" i="1"/>
  <c r="N7675" i="1"/>
  <c r="A7676" i="1"/>
  <c r="C7676" i="1"/>
  <c r="K7676" i="1"/>
  <c r="N7676" i="1"/>
  <c r="A7677" i="1"/>
  <c r="C7677" i="1"/>
  <c r="K7677" i="1"/>
  <c r="N7677" i="1"/>
  <c r="A7678" i="1"/>
  <c r="C7678" i="1"/>
  <c r="K7678" i="1"/>
  <c r="N7678" i="1"/>
  <c r="A7679" i="1"/>
  <c r="C7679" i="1"/>
  <c r="K7679" i="1"/>
  <c r="N7679" i="1"/>
  <c r="A7680" i="1"/>
  <c r="C7680" i="1"/>
  <c r="K7680" i="1"/>
  <c r="N7680" i="1"/>
  <c r="A7681" i="1"/>
  <c r="C7681" i="1"/>
  <c r="K7681" i="1"/>
  <c r="N7681" i="1"/>
  <c r="A7682" i="1"/>
  <c r="C7682" i="1"/>
  <c r="N7682" i="1"/>
  <c r="A7683" i="1"/>
  <c r="C7683" i="1"/>
  <c r="N7683" i="1"/>
  <c r="A7684" i="1"/>
  <c r="C7684" i="1"/>
  <c r="K7684" i="1"/>
  <c r="N7684" i="1"/>
  <c r="A7685" i="1"/>
  <c r="C7685" i="1"/>
  <c r="K7685" i="1"/>
  <c r="N7685" i="1"/>
  <c r="A7686" i="1"/>
  <c r="C7686" i="1"/>
  <c r="K7686" i="1"/>
  <c r="N7686" i="1"/>
  <c r="A7687" i="1"/>
  <c r="C7687" i="1"/>
  <c r="K7687" i="1"/>
  <c r="N7687" i="1"/>
  <c r="A7688" i="1"/>
  <c r="C7688" i="1"/>
  <c r="K7688" i="1"/>
  <c r="N7688" i="1"/>
  <c r="A7689" i="1"/>
  <c r="C7689" i="1"/>
  <c r="K7689" i="1"/>
  <c r="N7689" i="1"/>
  <c r="A7690" i="1"/>
  <c r="C7690" i="1"/>
  <c r="K7690" i="1"/>
  <c r="N7690" i="1"/>
  <c r="A7691" i="1"/>
  <c r="C7691" i="1"/>
  <c r="N7691" i="1"/>
  <c r="A7692" i="1"/>
  <c r="C7692" i="1"/>
  <c r="K7692" i="1"/>
  <c r="N7692" i="1"/>
  <c r="A7693" i="1"/>
  <c r="C7693" i="1"/>
  <c r="K7693" i="1"/>
  <c r="N7693" i="1"/>
  <c r="A7694" i="1"/>
  <c r="C7694" i="1"/>
  <c r="K7694" i="1"/>
  <c r="N7694" i="1"/>
  <c r="A7695" i="1"/>
  <c r="C7695" i="1"/>
  <c r="K7695" i="1"/>
  <c r="N7695" i="1"/>
  <c r="A7696" i="1"/>
  <c r="C7696" i="1"/>
  <c r="K7696" i="1"/>
  <c r="N7696" i="1"/>
  <c r="A7697" i="1"/>
  <c r="C7697" i="1"/>
  <c r="K7697" i="1"/>
  <c r="N7697" i="1"/>
  <c r="A7698" i="1"/>
  <c r="C7698" i="1"/>
  <c r="K7698" i="1"/>
  <c r="N7698" i="1"/>
  <c r="A7699" i="1"/>
  <c r="C7699" i="1"/>
  <c r="K7699" i="1"/>
  <c r="N7699" i="1"/>
  <c r="A7700" i="1"/>
  <c r="C7700" i="1"/>
  <c r="K7700" i="1"/>
  <c r="N7700" i="1"/>
  <c r="A7701" i="1"/>
  <c r="C7701" i="1"/>
  <c r="N7701" i="1"/>
  <c r="A7702" i="1"/>
  <c r="C7702" i="1"/>
  <c r="N7702" i="1"/>
  <c r="A7703" i="1"/>
  <c r="C7703" i="1"/>
  <c r="K7703" i="1"/>
  <c r="N7703" i="1"/>
  <c r="A7704" i="1"/>
  <c r="C7704" i="1"/>
  <c r="N7704" i="1"/>
  <c r="A7705" i="1"/>
  <c r="C7705" i="1"/>
  <c r="K7705" i="1"/>
  <c r="N7705" i="1"/>
  <c r="A7706" i="1"/>
  <c r="C7706" i="1"/>
  <c r="K7706" i="1"/>
  <c r="N7706" i="1"/>
  <c r="A7707" i="1"/>
  <c r="C7707" i="1"/>
  <c r="K7707" i="1"/>
  <c r="N7707" i="1"/>
  <c r="A7708" i="1"/>
  <c r="C7708" i="1"/>
  <c r="N7708" i="1"/>
  <c r="A7709" i="1"/>
  <c r="C7709" i="1"/>
  <c r="N7709" i="1"/>
  <c r="A7710" i="1"/>
  <c r="C7710" i="1"/>
  <c r="N7710" i="1"/>
  <c r="A7711" i="1"/>
  <c r="C7711" i="1"/>
  <c r="K7711" i="1"/>
  <c r="N7711" i="1"/>
  <c r="A7712" i="1"/>
  <c r="C7712" i="1"/>
  <c r="K7712" i="1"/>
  <c r="N7712" i="1"/>
  <c r="A7713" i="1"/>
  <c r="C7713" i="1"/>
  <c r="K7713" i="1"/>
  <c r="N7713" i="1"/>
  <c r="A7714" i="1"/>
  <c r="C7714" i="1"/>
  <c r="N7714" i="1"/>
  <c r="A7715" i="1"/>
  <c r="C7715" i="1"/>
  <c r="K7715" i="1"/>
  <c r="N7715" i="1"/>
  <c r="A7716" i="1"/>
  <c r="C7716" i="1"/>
  <c r="K7716" i="1"/>
  <c r="N7716" i="1"/>
  <c r="A7717" i="1"/>
  <c r="C7717" i="1"/>
  <c r="F7717" i="1"/>
  <c r="N7717" i="1"/>
  <c r="A7718" i="1"/>
  <c r="C7718" i="1"/>
  <c r="K7718" i="1"/>
  <c r="N7718" i="1"/>
  <c r="A7719" i="1"/>
  <c r="C7719" i="1"/>
  <c r="K7719" i="1"/>
  <c r="N7719" i="1"/>
  <c r="A7720" i="1"/>
  <c r="C7720" i="1"/>
  <c r="K7720" i="1"/>
  <c r="N7720" i="1"/>
  <c r="A7721" i="1"/>
  <c r="C7721" i="1"/>
  <c r="K7721" i="1"/>
  <c r="N7721" i="1"/>
  <c r="A7722" i="1"/>
  <c r="C7722" i="1"/>
  <c r="K7722" i="1"/>
  <c r="N7722" i="1"/>
  <c r="A7723" i="1"/>
  <c r="C7723" i="1"/>
  <c r="K7723" i="1"/>
  <c r="N7723" i="1"/>
  <c r="A7724" i="1"/>
  <c r="C7724" i="1"/>
  <c r="K7724" i="1"/>
  <c r="N7724" i="1"/>
  <c r="A7725" i="1"/>
  <c r="C7725" i="1"/>
  <c r="K7725" i="1"/>
  <c r="N7725" i="1"/>
  <c r="A7726" i="1"/>
  <c r="C7726" i="1"/>
  <c r="K7726" i="1"/>
  <c r="N7726" i="1"/>
  <c r="A7727" i="1"/>
  <c r="C7727" i="1"/>
  <c r="K7727" i="1"/>
  <c r="N7727" i="1"/>
  <c r="A7728" i="1"/>
  <c r="C7728" i="1"/>
  <c r="K7728" i="1"/>
  <c r="N7728" i="1"/>
  <c r="A7729" i="1"/>
  <c r="C7729" i="1"/>
  <c r="K7729" i="1"/>
  <c r="N7729" i="1"/>
  <c r="A7730" i="1"/>
  <c r="C7730" i="1"/>
  <c r="K7730" i="1"/>
  <c r="N7730" i="1"/>
  <c r="A7731" i="1"/>
  <c r="C7731" i="1"/>
  <c r="K7731" i="1"/>
  <c r="N7731" i="1"/>
  <c r="A7732" i="1"/>
  <c r="C7732" i="1"/>
  <c r="N7732" i="1"/>
  <c r="A7733" i="1"/>
  <c r="C7733" i="1"/>
  <c r="N7733" i="1"/>
  <c r="A7734" i="1"/>
  <c r="C7734" i="1"/>
  <c r="K7734" i="1"/>
  <c r="N7734" i="1"/>
  <c r="A7735" i="1"/>
  <c r="C7735" i="1"/>
  <c r="K7735" i="1"/>
  <c r="N7735" i="1"/>
  <c r="A7736" i="1"/>
  <c r="C7736" i="1"/>
  <c r="K7736" i="1"/>
  <c r="N7736" i="1"/>
  <c r="A7737" i="1"/>
  <c r="C7737" i="1"/>
  <c r="K7737" i="1"/>
  <c r="N7737" i="1"/>
  <c r="A7738" i="1"/>
  <c r="C7738" i="1"/>
  <c r="K7738" i="1"/>
  <c r="N7738" i="1"/>
  <c r="A7739" i="1"/>
  <c r="C7739" i="1"/>
  <c r="N7739" i="1"/>
  <c r="A7740" i="1"/>
  <c r="C7740" i="1"/>
  <c r="K7740" i="1"/>
  <c r="N7740" i="1"/>
  <c r="A7741" i="1"/>
  <c r="C7741" i="1"/>
  <c r="K7741" i="1"/>
  <c r="N7741" i="1"/>
  <c r="A7742" i="1"/>
  <c r="C7742" i="1"/>
  <c r="K7742" i="1"/>
  <c r="N7742" i="1"/>
  <c r="A7743" i="1"/>
  <c r="C7743" i="1"/>
  <c r="K7743" i="1"/>
  <c r="N7743" i="1"/>
  <c r="A7744" i="1"/>
  <c r="C7744" i="1"/>
  <c r="K7744" i="1"/>
  <c r="N7744" i="1"/>
  <c r="A7745" i="1"/>
  <c r="C7745" i="1"/>
  <c r="K7745" i="1"/>
  <c r="N7745" i="1"/>
  <c r="A7746" i="1"/>
  <c r="C7746" i="1"/>
  <c r="N7746" i="1"/>
  <c r="A7747" i="1"/>
  <c r="C7747" i="1"/>
  <c r="N7747" i="1"/>
  <c r="A7748" i="1"/>
  <c r="C7748" i="1"/>
  <c r="N7748" i="1"/>
  <c r="A7749" i="1"/>
  <c r="C7749" i="1"/>
  <c r="K7749" i="1"/>
  <c r="N7749" i="1"/>
  <c r="A7750" i="1"/>
  <c r="C7750" i="1"/>
  <c r="D7750" i="1"/>
  <c r="K7750" i="1"/>
  <c r="N7750" i="1"/>
  <c r="O7750" i="1"/>
  <c r="A7751" i="1"/>
  <c r="C7751" i="1"/>
  <c r="K7751" i="1"/>
  <c r="N7751" i="1"/>
  <c r="A7752" i="1"/>
  <c r="C7752" i="1"/>
  <c r="K7752" i="1"/>
  <c r="N7752" i="1"/>
  <c r="A7753" i="1"/>
  <c r="C7753" i="1"/>
  <c r="K7753" i="1"/>
  <c r="N7753" i="1"/>
  <c r="A7754" i="1"/>
  <c r="C7754" i="1"/>
  <c r="K7754" i="1"/>
  <c r="N7754" i="1"/>
  <c r="A7755" i="1"/>
  <c r="C7755" i="1"/>
  <c r="K7755" i="1"/>
  <c r="N7755" i="1"/>
  <c r="A7756" i="1"/>
  <c r="C7756" i="1"/>
  <c r="K7756" i="1"/>
  <c r="N7756" i="1"/>
  <c r="A7757" i="1"/>
  <c r="C7757" i="1"/>
  <c r="K7757" i="1"/>
  <c r="N7757" i="1"/>
  <c r="A7758" i="1"/>
  <c r="C7758" i="1"/>
  <c r="K7758" i="1"/>
  <c r="N7758" i="1"/>
  <c r="A7759" i="1"/>
  <c r="C7759" i="1"/>
  <c r="K7759" i="1"/>
  <c r="N7759" i="1"/>
  <c r="A7760" i="1"/>
  <c r="C7760" i="1"/>
  <c r="K7760" i="1"/>
  <c r="N7760" i="1"/>
  <c r="A7761" i="1"/>
  <c r="C7761" i="1"/>
  <c r="K7761" i="1"/>
  <c r="N7761" i="1"/>
  <c r="A7762" i="1"/>
  <c r="C7762" i="1"/>
  <c r="K7762" i="1"/>
  <c r="N7762" i="1"/>
  <c r="A7763" i="1"/>
  <c r="C7763" i="1"/>
  <c r="K7763" i="1"/>
  <c r="N7763" i="1"/>
  <c r="A7764" i="1"/>
  <c r="C7764" i="1"/>
  <c r="N7764" i="1"/>
  <c r="A7765" i="1"/>
  <c r="C7765" i="1"/>
  <c r="N7765" i="1"/>
  <c r="A7766" i="1"/>
  <c r="C7766" i="1"/>
  <c r="N7766" i="1"/>
  <c r="A7767" i="1"/>
  <c r="C7767" i="1"/>
  <c r="N7767" i="1"/>
  <c r="A7768" i="1"/>
  <c r="C7768" i="1"/>
  <c r="K7768" i="1"/>
  <c r="N7768" i="1"/>
  <c r="A7769" i="1"/>
  <c r="C7769" i="1"/>
  <c r="N7769" i="1"/>
  <c r="A7770" i="1"/>
  <c r="C7770" i="1"/>
  <c r="N7770" i="1"/>
  <c r="A7771" i="1"/>
  <c r="C7771" i="1"/>
  <c r="K7771" i="1"/>
  <c r="N7771" i="1"/>
  <c r="A7772" i="1"/>
  <c r="C7772" i="1"/>
  <c r="K7772" i="1"/>
  <c r="N7772" i="1"/>
  <c r="A7773" i="1"/>
  <c r="C7773" i="1"/>
  <c r="N7773" i="1"/>
  <c r="A7774" i="1"/>
  <c r="C7774" i="1"/>
  <c r="K7774" i="1"/>
  <c r="N7774" i="1"/>
  <c r="A7775" i="1"/>
  <c r="C7775" i="1"/>
  <c r="K7775" i="1"/>
  <c r="N7775" i="1"/>
  <c r="A7776" i="1"/>
  <c r="C7776" i="1"/>
  <c r="K7776" i="1"/>
  <c r="N7776" i="1"/>
  <c r="A7777" i="1"/>
  <c r="C7777" i="1"/>
  <c r="N7777" i="1"/>
  <c r="A7778" i="1"/>
  <c r="C7778" i="1"/>
  <c r="N7778" i="1"/>
  <c r="A7779" i="1"/>
  <c r="C7779" i="1"/>
  <c r="K7779" i="1"/>
  <c r="N7779" i="1"/>
  <c r="A7780" i="1"/>
  <c r="C7780" i="1"/>
  <c r="K7780" i="1"/>
  <c r="N7780" i="1"/>
  <c r="A7781" i="1"/>
  <c r="C7781" i="1"/>
  <c r="K7781" i="1"/>
  <c r="N7781" i="1"/>
  <c r="A7782" i="1"/>
  <c r="C7782" i="1"/>
  <c r="N7782" i="1"/>
  <c r="A7783" i="1"/>
  <c r="C7783" i="1"/>
  <c r="N7783" i="1"/>
  <c r="A7784" i="1"/>
  <c r="C7784" i="1"/>
  <c r="K7784" i="1"/>
  <c r="N7784" i="1"/>
  <c r="A7785" i="1"/>
  <c r="C7785" i="1"/>
  <c r="K7785" i="1"/>
  <c r="N7785" i="1"/>
  <c r="A7786" i="1"/>
  <c r="C7786" i="1"/>
  <c r="K7786" i="1"/>
  <c r="N7786" i="1"/>
  <c r="A7787" i="1"/>
  <c r="C7787" i="1"/>
  <c r="N7787" i="1"/>
  <c r="A7788" i="1"/>
  <c r="C7788" i="1"/>
  <c r="K7788" i="1"/>
  <c r="N7788" i="1"/>
  <c r="A7789" i="1"/>
  <c r="C7789" i="1"/>
  <c r="K7789" i="1"/>
  <c r="N7789" i="1"/>
  <c r="A7790" i="1"/>
  <c r="C7790" i="1"/>
  <c r="N7790" i="1"/>
  <c r="A7791" i="1"/>
  <c r="C7791" i="1"/>
  <c r="N7791" i="1"/>
  <c r="A7792" i="1"/>
  <c r="C7792" i="1"/>
  <c r="F7792" i="1"/>
  <c r="N7792" i="1"/>
  <c r="A7793" i="1"/>
  <c r="C7793" i="1"/>
  <c r="K7793" i="1"/>
  <c r="N7793" i="1"/>
  <c r="A7794" i="1"/>
  <c r="C7794" i="1"/>
  <c r="N7794" i="1"/>
  <c r="A7795" i="1"/>
  <c r="C7795" i="1"/>
  <c r="N7795" i="1"/>
  <c r="A7796" i="1"/>
  <c r="C7796" i="1"/>
  <c r="N7796" i="1"/>
  <c r="A7797" i="1"/>
  <c r="C7797" i="1"/>
  <c r="N7797" i="1"/>
  <c r="A7798" i="1"/>
  <c r="C7798" i="1"/>
  <c r="N7798" i="1"/>
  <c r="A7799" i="1"/>
  <c r="C7799" i="1"/>
  <c r="N7799" i="1"/>
  <c r="A7800" i="1"/>
  <c r="C7800" i="1"/>
  <c r="N7800" i="1"/>
  <c r="A7801" i="1"/>
  <c r="C7801" i="1"/>
  <c r="N7801" i="1"/>
  <c r="A7802" i="1"/>
  <c r="C7802" i="1"/>
  <c r="K7802" i="1"/>
  <c r="N7802" i="1"/>
  <c r="A7803" i="1"/>
  <c r="C7803" i="1"/>
  <c r="K7803" i="1"/>
  <c r="N7803" i="1"/>
  <c r="A7804" i="1"/>
  <c r="C7804" i="1"/>
  <c r="N7804" i="1"/>
  <c r="A7805" i="1"/>
  <c r="C7805" i="1"/>
  <c r="K7805" i="1"/>
  <c r="N7805" i="1"/>
  <c r="A7806" i="1"/>
  <c r="C7806" i="1"/>
  <c r="K7806" i="1"/>
  <c r="N7806" i="1"/>
  <c r="A7807" i="1"/>
  <c r="C7807" i="1"/>
  <c r="N7807" i="1"/>
  <c r="A7808" i="1"/>
  <c r="C7808" i="1"/>
  <c r="N7808" i="1"/>
  <c r="A7809" i="1"/>
  <c r="C7809" i="1"/>
  <c r="K7809" i="1"/>
  <c r="N7809" i="1"/>
  <c r="A7810" i="1"/>
  <c r="C7810" i="1"/>
  <c r="K7810" i="1"/>
  <c r="N7810" i="1"/>
  <c r="A7811" i="1"/>
  <c r="C7811" i="1"/>
  <c r="K7811" i="1"/>
  <c r="N7811" i="1"/>
  <c r="A7812" i="1"/>
  <c r="C7812" i="1"/>
  <c r="K7812" i="1"/>
  <c r="N7812" i="1"/>
  <c r="A7813" i="1"/>
  <c r="C7813" i="1"/>
  <c r="K7813" i="1"/>
  <c r="N7813" i="1"/>
  <c r="A7814" i="1"/>
  <c r="C7814" i="1"/>
  <c r="N7814" i="1"/>
  <c r="A7815" i="1"/>
  <c r="C7815" i="1"/>
  <c r="K7815" i="1"/>
  <c r="N7815" i="1"/>
  <c r="A7816" i="1"/>
  <c r="C7816" i="1"/>
  <c r="K7816" i="1"/>
  <c r="N7816" i="1"/>
  <c r="A7817" i="1"/>
  <c r="C7817" i="1"/>
  <c r="K7817" i="1"/>
  <c r="N7817" i="1"/>
  <c r="A7818" i="1"/>
  <c r="C7818" i="1"/>
  <c r="K7818" i="1"/>
  <c r="N7818" i="1"/>
  <c r="A7819" i="1"/>
  <c r="C7819" i="1"/>
  <c r="K7819" i="1"/>
  <c r="N7819" i="1"/>
  <c r="A7820" i="1"/>
  <c r="C7820" i="1"/>
  <c r="K7820" i="1"/>
  <c r="N7820" i="1"/>
  <c r="A7821" i="1"/>
  <c r="C7821" i="1"/>
  <c r="K7821" i="1"/>
  <c r="N7821" i="1"/>
  <c r="A7822" i="1"/>
  <c r="C7822" i="1"/>
  <c r="K7822" i="1"/>
  <c r="N7822" i="1"/>
  <c r="A7823" i="1"/>
  <c r="C7823" i="1"/>
  <c r="K7823" i="1"/>
  <c r="N7823" i="1"/>
  <c r="A7824" i="1"/>
  <c r="C7824" i="1"/>
  <c r="K7824" i="1"/>
  <c r="N7824" i="1"/>
  <c r="A7825" i="1"/>
  <c r="C7825" i="1"/>
  <c r="N7825" i="1"/>
  <c r="A7826" i="1"/>
  <c r="C7826" i="1"/>
  <c r="K7826" i="1"/>
  <c r="N7826" i="1"/>
  <c r="A7827" i="1"/>
  <c r="C7827" i="1"/>
  <c r="K7827" i="1"/>
  <c r="N7827" i="1"/>
  <c r="A7828" i="1"/>
  <c r="C7828" i="1"/>
  <c r="N7828" i="1"/>
  <c r="A7829" i="1"/>
  <c r="C7829" i="1"/>
  <c r="N7829" i="1"/>
  <c r="A7830" i="1"/>
  <c r="C7830" i="1"/>
  <c r="N7830" i="1"/>
  <c r="A7831" i="1"/>
  <c r="C7831" i="1"/>
  <c r="K7831" i="1"/>
  <c r="N7831" i="1"/>
  <c r="A7832" i="1"/>
  <c r="C7832" i="1"/>
  <c r="K7832" i="1"/>
  <c r="N7832" i="1"/>
  <c r="A7833" i="1"/>
  <c r="C7833" i="1"/>
  <c r="N7833" i="1"/>
  <c r="A7834" i="1"/>
  <c r="C7834" i="1"/>
  <c r="K7834" i="1"/>
  <c r="N7834" i="1"/>
  <c r="A7835" i="1"/>
  <c r="C7835" i="1"/>
  <c r="N7835" i="1"/>
  <c r="A7836" i="1"/>
  <c r="C7836" i="1"/>
  <c r="N7836" i="1"/>
  <c r="A7837" i="1"/>
  <c r="C7837" i="1"/>
  <c r="K7837" i="1"/>
  <c r="N7837" i="1"/>
  <c r="A7838" i="1"/>
  <c r="C7838" i="1"/>
  <c r="K7838" i="1"/>
  <c r="N7838" i="1"/>
  <c r="A7839" i="1"/>
  <c r="C7839" i="1"/>
  <c r="K7839" i="1"/>
  <c r="N7839" i="1"/>
  <c r="A7840" i="1"/>
  <c r="C7840" i="1"/>
  <c r="N7840" i="1"/>
  <c r="A7841" i="1"/>
  <c r="C7841" i="1"/>
  <c r="K7841" i="1"/>
  <c r="N7841" i="1"/>
  <c r="A7842" i="1"/>
  <c r="C7842" i="1"/>
  <c r="K7842" i="1"/>
  <c r="N7842" i="1"/>
  <c r="A7843" i="1"/>
  <c r="C7843" i="1"/>
  <c r="K7843" i="1"/>
  <c r="N7843" i="1"/>
  <c r="A7844" i="1"/>
  <c r="C7844" i="1"/>
  <c r="K7844" i="1"/>
  <c r="N7844" i="1"/>
  <c r="A7845" i="1"/>
  <c r="C7845" i="1"/>
  <c r="K7845" i="1"/>
  <c r="N7845" i="1"/>
  <c r="A7846" i="1"/>
  <c r="C7846" i="1"/>
  <c r="K7846" i="1"/>
  <c r="N7846" i="1"/>
  <c r="A7847" i="1"/>
  <c r="C7847" i="1"/>
  <c r="N7847" i="1"/>
  <c r="A7848" i="1"/>
  <c r="C7848" i="1"/>
  <c r="K7848" i="1"/>
  <c r="N7848" i="1"/>
  <c r="A7849" i="1"/>
  <c r="C7849" i="1"/>
  <c r="K7849" i="1"/>
  <c r="N7849" i="1"/>
  <c r="A7850" i="1"/>
  <c r="C7850" i="1"/>
  <c r="K7850" i="1"/>
  <c r="N7850" i="1"/>
  <c r="A7851" i="1"/>
  <c r="C7851" i="1"/>
  <c r="K7851" i="1"/>
  <c r="N7851" i="1"/>
  <c r="A7852" i="1"/>
  <c r="C7852" i="1"/>
  <c r="K7852" i="1"/>
  <c r="N7852" i="1"/>
  <c r="A7853" i="1"/>
  <c r="C7853" i="1"/>
  <c r="N7853" i="1"/>
  <c r="A7854" i="1"/>
  <c r="C7854" i="1"/>
  <c r="K7854" i="1"/>
  <c r="N7854" i="1"/>
  <c r="A7855" i="1"/>
  <c r="C7855" i="1"/>
  <c r="K7855" i="1"/>
  <c r="N7855" i="1"/>
  <c r="A7856" i="1"/>
  <c r="C7856" i="1"/>
  <c r="K7856" i="1"/>
  <c r="N7856" i="1"/>
  <c r="A7857" i="1"/>
  <c r="C7857" i="1"/>
  <c r="N7857" i="1"/>
  <c r="A7858" i="1"/>
  <c r="C7858" i="1"/>
  <c r="N7858" i="1"/>
  <c r="A7859" i="1"/>
  <c r="C7859" i="1"/>
  <c r="N7859" i="1"/>
  <c r="A7860" i="1"/>
  <c r="C7860" i="1"/>
  <c r="K7860" i="1"/>
  <c r="N7860" i="1"/>
  <c r="A7861" i="1"/>
  <c r="C7861" i="1"/>
  <c r="K7861" i="1"/>
  <c r="N7861" i="1"/>
  <c r="A7862" i="1"/>
  <c r="C7862" i="1"/>
  <c r="K7862" i="1"/>
  <c r="N7862" i="1"/>
  <c r="A7863" i="1"/>
  <c r="C7863" i="1"/>
  <c r="K7863" i="1"/>
  <c r="N7863" i="1"/>
  <c r="A7864" i="1"/>
  <c r="C7864" i="1"/>
  <c r="K7864" i="1"/>
  <c r="N7864" i="1"/>
  <c r="A7865" i="1"/>
  <c r="C7865" i="1"/>
  <c r="K7865" i="1"/>
  <c r="N7865" i="1"/>
  <c r="A7866" i="1"/>
  <c r="C7866" i="1"/>
  <c r="K7866" i="1"/>
  <c r="N7866" i="1"/>
  <c r="A7867" i="1"/>
  <c r="C7867" i="1"/>
  <c r="K7867" i="1"/>
  <c r="N7867" i="1"/>
  <c r="A7868" i="1"/>
  <c r="C7868" i="1"/>
  <c r="K7868" i="1"/>
  <c r="N7868" i="1"/>
  <c r="A7869" i="1"/>
  <c r="C7869" i="1"/>
  <c r="K7869" i="1"/>
  <c r="N7869" i="1"/>
  <c r="A7870" i="1"/>
  <c r="C7870" i="1"/>
  <c r="K7870" i="1"/>
  <c r="N7870" i="1"/>
  <c r="A7871" i="1"/>
  <c r="C7871" i="1"/>
  <c r="N7871" i="1"/>
  <c r="A7872" i="1"/>
  <c r="C7872" i="1"/>
  <c r="K7872" i="1"/>
  <c r="N7872" i="1"/>
  <c r="A7873" i="1"/>
  <c r="C7873" i="1"/>
  <c r="K7873" i="1"/>
  <c r="N7873" i="1"/>
  <c r="A7874" i="1"/>
  <c r="C7874" i="1"/>
  <c r="K7874" i="1"/>
  <c r="N7874" i="1"/>
  <c r="A7875" i="1"/>
  <c r="C7875" i="1"/>
  <c r="K7875" i="1"/>
  <c r="N7875" i="1"/>
  <c r="A7876" i="1"/>
  <c r="C7876" i="1"/>
  <c r="K7876" i="1"/>
  <c r="N7876" i="1"/>
  <c r="A7877" i="1"/>
  <c r="C7877" i="1"/>
  <c r="K7877" i="1"/>
  <c r="N7877" i="1"/>
  <c r="A7878" i="1"/>
  <c r="C7878" i="1"/>
  <c r="K7878" i="1"/>
  <c r="N7878" i="1"/>
  <c r="A7879" i="1"/>
  <c r="C7879" i="1"/>
  <c r="K7879" i="1"/>
  <c r="N7879" i="1"/>
  <c r="A7880" i="1"/>
  <c r="C7880" i="1"/>
  <c r="K7880" i="1"/>
  <c r="N7880" i="1"/>
  <c r="A7881" i="1"/>
  <c r="C7881" i="1"/>
  <c r="K7881" i="1"/>
  <c r="N7881" i="1"/>
  <c r="A7882" i="1"/>
  <c r="C7882" i="1"/>
  <c r="K7882" i="1"/>
  <c r="N7882" i="1"/>
  <c r="A7883" i="1"/>
  <c r="C7883" i="1"/>
  <c r="K7883" i="1"/>
  <c r="N7883" i="1"/>
  <c r="A7884" i="1"/>
  <c r="C7884" i="1"/>
  <c r="K7884" i="1"/>
  <c r="N7884" i="1"/>
  <c r="A7885" i="1"/>
  <c r="C7885" i="1"/>
  <c r="K7885" i="1"/>
  <c r="N7885" i="1"/>
  <c r="A7886" i="1"/>
  <c r="C7886" i="1"/>
  <c r="K7886" i="1"/>
  <c r="N7886" i="1"/>
  <c r="A7887" i="1"/>
  <c r="C7887" i="1"/>
  <c r="K7887" i="1"/>
  <c r="N7887" i="1"/>
  <c r="A7888" i="1"/>
  <c r="C7888" i="1"/>
  <c r="K7888" i="1"/>
  <c r="N7888" i="1"/>
  <c r="A7889" i="1"/>
  <c r="C7889" i="1"/>
  <c r="K7889" i="1"/>
  <c r="N7889" i="1"/>
  <c r="A7890" i="1"/>
  <c r="C7890" i="1"/>
  <c r="K7890" i="1"/>
  <c r="N7890" i="1"/>
  <c r="A7891" i="1"/>
  <c r="C7891" i="1"/>
  <c r="N7891" i="1"/>
  <c r="A7892" i="1"/>
  <c r="C7892" i="1"/>
  <c r="N7892" i="1"/>
  <c r="A7893" i="1"/>
  <c r="C7893" i="1"/>
  <c r="N7893" i="1"/>
  <c r="A7894" i="1"/>
  <c r="C7894" i="1"/>
  <c r="N7894" i="1"/>
  <c r="A7895" i="1"/>
  <c r="C7895" i="1"/>
  <c r="K7895" i="1"/>
  <c r="N7895" i="1"/>
  <c r="A7896" i="1"/>
  <c r="C7896" i="1"/>
  <c r="K7896" i="1"/>
  <c r="N7896" i="1"/>
  <c r="A7897" i="1"/>
  <c r="C7897" i="1"/>
  <c r="K7897" i="1"/>
  <c r="N7897" i="1"/>
  <c r="A7898" i="1"/>
  <c r="C7898" i="1"/>
  <c r="N7898" i="1"/>
  <c r="A7899" i="1"/>
  <c r="C7899" i="1"/>
  <c r="K7899" i="1"/>
  <c r="N7899" i="1"/>
  <c r="A7900" i="1"/>
  <c r="C7900" i="1"/>
  <c r="N7900" i="1"/>
  <c r="A7901" i="1"/>
  <c r="C7901" i="1"/>
  <c r="N7901" i="1"/>
  <c r="A7902" i="1"/>
  <c r="C7902" i="1"/>
  <c r="N7902" i="1"/>
  <c r="A7903" i="1"/>
  <c r="C7903" i="1"/>
  <c r="N7903" i="1"/>
  <c r="A7904" i="1"/>
  <c r="C7904" i="1"/>
  <c r="N7904" i="1"/>
  <c r="A7905" i="1"/>
  <c r="C7905" i="1"/>
  <c r="K7905" i="1"/>
  <c r="N7905" i="1"/>
  <c r="A7906" i="1"/>
  <c r="C7906" i="1"/>
  <c r="K7906" i="1"/>
  <c r="N7906" i="1"/>
  <c r="A7907" i="1"/>
  <c r="C7907" i="1"/>
  <c r="K7907" i="1"/>
  <c r="N7907" i="1"/>
  <c r="A7908" i="1"/>
  <c r="C7908" i="1"/>
  <c r="K7908" i="1"/>
  <c r="N7908" i="1"/>
  <c r="A7909" i="1"/>
  <c r="C7909" i="1"/>
  <c r="K7909" i="1"/>
  <c r="N7909" i="1"/>
  <c r="A7910" i="1"/>
  <c r="C7910" i="1"/>
  <c r="K7910" i="1"/>
  <c r="N7910" i="1"/>
  <c r="A7911" i="1"/>
  <c r="C7911" i="1"/>
  <c r="K7911" i="1"/>
  <c r="N7911" i="1"/>
  <c r="A7912" i="1"/>
  <c r="C7912" i="1"/>
  <c r="K7912" i="1"/>
  <c r="N7912" i="1"/>
  <c r="A7913" i="1"/>
  <c r="C7913" i="1"/>
  <c r="K7913" i="1"/>
  <c r="N7913" i="1"/>
  <c r="A7914" i="1"/>
  <c r="C7914" i="1"/>
  <c r="K7914" i="1"/>
  <c r="N7914" i="1"/>
  <c r="A7915" i="1"/>
  <c r="C7915" i="1"/>
  <c r="K7915" i="1"/>
  <c r="N7915" i="1"/>
  <c r="A7916" i="1"/>
  <c r="C7916" i="1"/>
  <c r="K7916" i="1"/>
  <c r="N7916" i="1"/>
  <c r="A7917" i="1"/>
  <c r="C7917" i="1"/>
  <c r="K7917" i="1"/>
  <c r="N7917" i="1"/>
  <c r="A7918" i="1"/>
  <c r="C7918" i="1"/>
  <c r="N7918" i="1"/>
  <c r="A7919" i="1"/>
  <c r="C7919" i="1"/>
  <c r="N7919" i="1"/>
  <c r="A7920" i="1"/>
  <c r="C7920" i="1"/>
  <c r="K7920" i="1"/>
  <c r="N7920" i="1"/>
  <c r="A7921" i="1"/>
  <c r="C7921" i="1"/>
  <c r="K7921" i="1"/>
  <c r="N7921" i="1"/>
  <c r="A7922" i="1"/>
  <c r="C7922" i="1"/>
  <c r="K7922" i="1"/>
  <c r="N7922" i="1"/>
  <c r="A7923" i="1"/>
  <c r="C7923" i="1"/>
  <c r="N7923" i="1"/>
  <c r="A7924" i="1"/>
  <c r="C7924" i="1"/>
  <c r="N7924" i="1"/>
  <c r="A7925" i="1"/>
  <c r="C7925" i="1"/>
  <c r="K7925" i="1"/>
  <c r="N7925" i="1"/>
  <c r="A7926" i="1"/>
  <c r="C7926" i="1"/>
  <c r="K7926" i="1"/>
  <c r="N7926" i="1"/>
  <c r="A7927" i="1"/>
  <c r="C7927" i="1"/>
  <c r="N7927" i="1"/>
  <c r="A7928" i="1"/>
  <c r="C7928" i="1"/>
  <c r="K7928" i="1"/>
  <c r="N7928" i="1"/>
  <c r="A7929" i="1"/>
  <c r="C7929" i="1"/>
  <c r="N7929" i="1"/>
  <c r="A7930" i="1"/>
  <c r="C7930" i="1"/>
  <c r="K7930" i="1"/>
  <c r="N7930" i="1"/>
  <c r="A7931" i="1"/>
  <c r="C7931" i="1"/>
  <c r="N7931" i="1"/>
  <c r="A7932" i="1"/>
  <c r="C7932" i="1"/>
  <c r="K7932" i="1"/>
  <c r="N7932" i="1"/>
  <c r="A7933" i="1"/>
  <c r="C7933" i="1"/>
  <c r="K7933" i="1"/>
  <c r="N7933" i="1"/>
  <c r="A7934" i="1"/>
  <c r="C7934" i="1"/>
  <c r="K7934" i="1"/>
  <c r="N7934" i="1"/>
  <c r="A7935" i="1"/>
  <c r="C7935" i="1"/>
  <c r="N7935" i="1"/>
  <c r="A7936" i="1"/>
  <c r="C7936" i="1"/>
  <c r="N7936" i="1"/>
  <c r="A7937" i="1"/>
  <c r="C7937" i="1"/>
  <c r="N7937" i="1"/>
  <c r="A7938" i="1"/>
  <c r="C7938" i="1"/>
  <c r="N7938" i="1"/>
  <c r="A7939" i="1"/>
  <c r="C7939" i="1"/>
  <c r="N7939" i="1"/>
  <c r="A7940" i="1"/>
  <c r="C7940" i="1"/>
  <c r="N7940" i="1"/>
  <c r="A7941" i="1"/>
  <c r="C7941" i="1"/>
  <c r="N7941" i="1"/>
  <c r="A7942" i="1"/>
  <c r="C7942" i="1"/>
  <c r="K7942" i="1"/>
  <c r="N7942" i="1"/>
  <c r="A7943" i="1"/>
  <c r="C7943" i="1"/>
  <c r="K7943" i="1"/>
  <c r="N7943" i="1"/>
  <c r="A7944" i="1"/>
  <c r="C7944" i="1"/>
  <c r="K7944" i="1"/>
  <c r="N7944" i="1"/>
  <c r="A7945" i="1"/>
  <c r="C7945" i="1"/>
  <c r="K7945" i="1"/>
  <c r="N7945" i="1"/>
  <c r="A7946" i="1"/>
  <c r="C7946" i="1"/>
  <c r="N7946" i="1"/>
  <c r="A7947" i="1"/>
  <c r="C7947" i="1"/>
  <c r="N7947" i="1"/>
  <c r="A7948" i="1"/>
  <c r="C7948" i="1"/>
  <c r="N7948" i="1"/>
  <c r="A7949" i="1"/>
  <c r="C7949" i="1"/>
  <c r="K7949" i="1"/>
  <c r="N7949" i="1"/>
  <c r="A7950" i="1"/>
  <c r="C7950" i="1"/>
  <c r="K7950" i="1"/>
  <c r="N7950" i="1"/>
  <c r="A7951" i="1"/>
  <c r="C7951" i="1"/>
  <c r="N7951" i="1"/>
  <c r="A7952" i="1"/>
  <c r="C7952" i="1"/>
  <c r="K7952" i="1"/>
  <c r="N7952" i="1"/>
  <c r="A7953" i="1"/>
  <c r="C7953" i="1"/>
  <c r="K7953" i="1"/>
  <c r="N7953" i="1"/>
  <c r="A7954" i="1"/>
  <c r="C7954" i="1"/>
  <c r="N7954" i="1"/>
  <c r="A7955" i="1"/>
  <c r="C7955" i="1"/>
  <c r="N7955" i="1"/>
  <c r="A7956" i="1"/>
  <c r="C7956" i="1"/>
  <c r="N7956" i="1"/>
  <c r="A7957" i="1"/>
  <c r="C7957" i="1"/>
  <c r="K7957" i="1"/>
  <c r="N7957" i="1"/>
  <c r="A7958" i="1"/>
  <c r="C7958" i="1"/>
  <c r="K7958" i="1"/>
  <c r="N7958" i="1"/>
  <c r="A7959" i="1"/>
  <c r="C7959" i="1"/>
  <c r="E7959" i="1"/>
  <c r="K7959" i="1"/>
  <c r="N7959" i="1"/>
  <c r="T7959" i="1"/>
  <c r="A7960" i="1"/>
  <c r="C7960" i="1"/>
  <c r="E7960" i="1"/>
  <c r="K7960" i="1"/>
  <c r="N7960" i="1"/>
  <c r="T7960" i="1"/>
  <c r="A7961" i="1"/>
  <c r="C7961" i="1"/>
  <c r="K7961" i="1"/>
  <c r="N7961" i="1"/>
  <c r="A7962" i="1"/>
  <c r="C7962" i="1"/>
  <c r="K7962" i="1"/>
  <c r="N7962" i="1"/>
  <c r="A7963" i="1"/>
  <c r="C7963" i="1"/>
  <c r="K7963" i="1"/>
  <c r="N7963" i="1"/>
  <c r="A7964" i="1"/>
  <c r="C7964" i="1"/>
  <c r="K7964" i="1"/>
  <c r="N7964" i="1"/>
  <c r="A7965" i="1"/>
  <c r="C7965" i="1"/>
  <c r="K7965" i="1"/>
  <c r="N7965" i="1"/>
  <c r="A7966" i="1"/>
  <c r="C7966" i="1"/>
  <c r="K7966" i="1"/>
  <c r="N7966" i="1"/>
  <c r="A7967" i="1"/>
  <c r="C7967" i="1"/>
  <c r="N7967" i="1"/>
  <c r="A7968" i="1"/>
  <c r="C7968" i="1"/>
  <c r="N7968" i="1"/>
  <c r="A7969" i="1"/>
  <c r="C7969" i="1"/>
  <c r="N7969" i="1"/>
  <c r="A7970" i="1"/>
  <c r="C7970" i="1"/>
  <c r="N7970" i="1"/>
  <c r="A7971" i="1"/>
  <c r="C7971" i="1"/>
  <c r="N7971" i="1"/>
  <c r="A7972" i="1"/>
  <c r="C7972" i="1"/>
  <c r="N7972" i="1"/>
  <c r="A7973" i="1"/>
  <c r="C7973" i="1"/>
  <c r="N7973" i="1"/>
  <c r="A7974" i="1"/>
  <c r="C7974" i="1"/>
  <c r="N7974" i="1"/>
  <c r="A7975" i="1"/>
  <c r="C7975" i="1"/>
  <c r="N7975" i="1"/>
  <c r="A7976" i="1"/>
  <c r="C7976" i="1"/>
  <c r="K7976" i="1"/>
  <c r="N7976" i="1"/>
  <c r="A7977" i="1"/>
  <c r="C7977" i="1"/>
  <c r="K7977" i="1"/>
  <c r="N7977" i="1"/>
  <c r="A7978" i="1"/>
  <c r="C7978" i="1"/>
  <c r="K7978" i="1"/>
  <c r="N7978" i="1"/>
  <c r="A7979" i="1"/>
  <c r="C7979" i="1"/>
  <c r="N7979" i="1"/>
  <c r="A7980" i="1"/>
  <c r="C7980" i="1"/>
  <c r="N7980" i="1"/>
  <c r="A7981" i="1"/>
  <c r="C7981" i="1"/>
  <c r="N7981" i="1"/>
  <c r="A7982" i="1"/>
  <c r="C7982" i="1"/>
  <c r="N7982" i="1"/>
  <c r="A7983" i="1"/>
  <c r="C7983" i="1"/>
  <c r="N7983" i="1"/>
  <c r="A7984" i="1"/>
  <c r="C7984" i="1"/>
  <c r="N7984" i="1"/>
  <c r="A7985" i="1"/>
  <c r="C7985" i="1"/>
  <c r="N7985" i="1"/>
  <c r="A7986" i="1"/>
  <c r="C7986" i="1"/>
  <c r="K7986" i="1"/>
  <c r="N7986" i="1"/>
  <c r="A7987" i="1"/>
  <c r="C7987" i="1"/>
  <c r="K7987" i="1"/>
  <c r="N7987" i="1"/>
  <c r="A7988" i="1"/>
  <c r="C7988" i="1"/>
  <c r="K7988" i="1"/>
  <c r="N7988" i="1"/>
  <c r="A7989" i="1"/>
  <c r="C7989" i="1"/>
  <c r="K7989" i="1"/>
  <c r="N7989" i="1"/>
  <c r="A7990" i="1"/>
  <c r="C7990" i="1"/>
  <c r="N7990" i="1"/>
  <c r="A7991" i="1"/>
  <c r="C7991" i="1"/>
  <c r="K7991" i="1"/>
  <c r="N7991" i="1"/>
  <c r="A7992" i="1"/>
  <c r="C7992" i="1"/>
  <c r="K7992" i="1"/>
  <c r="N7992" i="1"/>
  <c r="A7993" i="1"/>
  <c r="C7993" i="1"/>
  <c r="K7993" i="1"/>
  <c r="N7993" i="1"/>
  <c r="A7994" i="1"/>
  <c r="C7994" i="1"/>
  <c r="N7994" i="1"/>
  <c r="A7995" i="1"/>
  <c r="C7995" i="1"/>
  <c r="N7995" i="1"/>
  <c r="A7996" i="1"/>
  <c r="C7996" i="1"/>
  <c r="N7996" i="1"/>
  <c r="A7997" i="1"/>
  <c r="C7997" i="1"/>
  <c r="K7997" i="1"/>
  <c r="N7997" i="1"/>
  <c r="A7998" i="1"/>
  <c r="C7998" i="1"/>
  <c r="K7998" i="1"/>
  <c r="N7998" i="1"/>
  <c r="A7999" i="1"/>
  <c r="C7999" i="1"/>
  <c r="K7999" i="1"/>
  <c r="N7999" i="1"/>
  <c r="A8000" i="1"/>
  <c r="C8000" i="1"/>
  <c r="N8000" i="1"/>
  <c r="A8001" i="1"/>
  <c r="C8001" i="1"/>
  <c r="K8001" i="1"/>
  <c r="N8001" i="1"/>
  <c r="A8002" i="1"/>
  <c r="C8002" i="1"/>
  <c r="K8002" i="1"/>
  <c r="N8002" i="1"/>
  <c r="A8003" i="1"/>
  <c r="C8003" i="1"/>
  <c r="N8003" i="1"/>
  <c r="A8004" i="1"/>
  <c r="C8004" i="1"/>
  <c r="K8004" i="1"/>
  <c r="N8004" i="1"/>
  <c r="A8005" i="1"/>
  <c r="C8005" i="1"/>
  <c r="N8005" i="1"/>
  <c r="A8006" i="1"/>
  <c r="C8006" i="1"/>
  <c r="N8006" i="1"/>
  <c r="A8007" i="1"/>
  <c r="C8007" i="1"/>
  <c r="K8007" i="1"/>
  <c r="N8007" i="1"/>
  <c r="A8008" i="1"/>
  <c r="C8008" i="1"/>
  <c r="N8008" i="1"/>
  <c r="A8009" i="1"/>
  <c r="C8009" i="1"/>
  <c r="N8009" i="1"/>
  <c r="A8010" i="1"/>
  <c r="C8010" i="1"/>
  <c r="N8010" i="1"/>
  <c r="A8011" i="1"/>
  <c r="C8011" i="1"/>
  <c r="N8011" i="1"/>
  <c r="A8012" i="1"/>
  <c r="C8012" i="1"/>
  <c r="N8012" i="1"/>
  <c r="A8013" i="1"/>
  <c r="C8013" i="1"/>
  <c r="N8013" i="1"/>
  <c r="A8014" i="1"/>
  <c r="C8014" i="1"/>
  <c r="N8014" i="1"/>
  <c r="A8015" i="1"/>
  <c r="C8015" i="1"/>
  <c r="N8015" i="1"/>
  <c r="A8016" i="1"/>
  <c r="C8016" i="1"/>
  <c r="N8016" i="1"/>
  <c r="A8017" i="1"/>
  <c r="C8017" i="1"/>
  <c r="N8017" i="1"/>
  <c r="A8018" i="1"/>
  <c r="C8018" i="1"/>
  <c r="N8018" i="1"/>
  <c r="A8019" i="1"/>
  <c r="C8019" i="1"/>
  <c r="N8019" i="1"/>
  <c r="A8020" i="1"/>
  <c r="C8020" i="1"/>
  <c r="N8020" i="1"/>
  <c r="A8021" i="1"/>
  <c r="C8021" i="1"/>
  <c r="K8021" i="1"/>
  <c r="N8021" i="1"/>
  <c r="A8022" i="1"/>
  <c r="C8022" i="1"/>
  <c r="K8022" i="1"/>
  <c r="N8022" i="1"/>
  <c r="A8023" i="1"/>
  <c r="C8023" i="1"/>
  <c r="N8023" i="1"/>
  <c r="A8024" i="1"/>
  <c r="C8024" i="1"/>
  <c r="N8024" i="1"/>
  <c r="A8025" i="1"/>
  <c r="C8025" i="1"/>
  <c r="N8025" i="1"/>
  <c r="A8026" i="1"/>
  <c r="C8026" i="1"/>
  <c r="N8026" i="1"/>
  <c r="A8027" i="1"/>
  <c r="C8027" i="1"/>
  <c r="K8027" i="1"/>
  <c r="N8027" i="1"/>
  <c r="A8028" i="1"/>
  <c r="C8028" i="1"/>
  <c r="N8028" i="1"/>
  <c r="A8029" i="1"/>
  <c r="C8029" i="1"/>
  <c r="K8029" i="1"/>
  <c r="N8029" i="1"/>
  <c r="A8030" i="1"/>
  <c r="C8030" i="1"/>
  <c r="K8030" i="1"/>
  <c r="N8030" i="1"/>
  <c r="A8031" i="1"/>
  <c r="C8031" i="1"/>
  <c r="K8031" i="1"/>
  <c r="N8031" i="1"/>
  <c r="A8032" i="1"/>
  <c r="C8032" i="1"/>
  <c r="N8032" i="1"/>
  <c r="A8033" i="1"/>
  <c r="C8033" i="1"/>
  <c r="N8033" i="1"/>
  <c r="A8034" i="1"/>
  <c r="C8034" i="1"/>
  <c r="N8034" i="1"/>
  <c r="A8035" i="1"/>
  <c r="C8035" i="1"/>
  <c r="K8035" i="1"/>
  <c r="N8035" i="1"/>
  <c r="A8036" i="1"/>
  <c r="C8036" i="1"/>
  <c r="K8036" i="1"/>
  <c r="N8036" i="1"/>
  <c r="A8037" i="1"/>
  <c r="C8037" i="1"/>
  <c r="K8037" i="1"/>
  <c r="N8037" i="1"/>
  <c r="A8038" i="1"/>
  <c r="C8038" i="1"/>
  <c r="K8038" i="1"/>
  <c r="N8038" i="1"/>
  <c r="A8039" i="1"/>
  <c r="C8039" i="1"/>
  <c r="N8039" i="1"/>
  <c r="A8040" i="1"/>
  <c r="C8040" i="1"/>
  <c r="N8040" i="1"/>
  <c r="A8041" i="1"/>
  <c r="C8041" i="1"/>
  <c r="N8041" i="1"/>
  <c r="A8042" i="1"/>
  <c r="C8042" i="1"/>
  <c r="N8042" i="1"/>
  <c r="A8043" i="1"/>
  <c r="C8043" i="1"/>
  <c r="N8043" i="1"/>
  <c r="A8044" i="1"/>
  <c r="C8044" i="1"/>
  <c r="N8044" i="1"/>
  <c r="A8045" i="1"/>
  <c r="C8045" i="1"/>
  <c r="N8045" i="1"/>
  <c r="A8046" i="1"/>
  <c r="C8046" i="1"/>
  <c r="N8046" i="1"/>
  <c r="A8047" i="1"/>
  <c r="C8047" i="1"/>
  <c r="N8047" i="1"/>
  <c r="A8048" i="1"/>
  <c r="C8048" i="1"/>
  <c r="K8048" i="1"/>
  <c r="N8048" i="1"/>
  <c r="A8049" i="1"/>
  <c r="C8049" i="1"/>
  <c r="K8049" i="1"/>
  <c r="N8049" i="1"/>
  <c r="A8050" i="1"/>
  <c r="C8050" i="1"/>
  <c r="N8050" i="1"/>
  <c r="A8051" i="1"/>
  <c r="C8051" i="1"/>
  <c r="N8051" i="1"/>
  <c r="A8052" i="1"/>
  <c r="C8052" i="1"/>
  <c r="N8052" i="1"/>
  <c r="A8053" i="1"/>
  <c r="C8053" i="1"/>
  <c r="N8053" i="1"/>
  <c r="A8054" i="1"/>
  <c r="C8054" i="1"/>
  <c r="N8054" i="1"/>
  <c r="A8055" i="1"/>
  <c r="C8055" i="1"/>
  <c r="N8055" i="1"/>
  <c r="A8056" i="1"/>
  <c r="C8056" i="1"/>
  <c r="N8056" i="1"/>
  <c r="A8057" i="1"/>
  <c r="C8057" i="1"/>
  <c r="N8057" i="1"/>
  <c r="A8058" i="1"/>
  <c r="C8058" i="1"/>
  <c r="N8058" i="1"/>
  <c r="A8059" i="1"/>
  <c r="C8059" i="1"/>
  <c r="N8059" i="1"/>
  <c r="A8060" i="1"/>
  <c r="C8060" i="1"/>
  <c r="N8060" i="1"/>
  <c r="A8061" i="1"/>
  <c r="C8061" i="1"/>
  <c r="N8061" i="1"/>
  <c r="A8062" i="1"/>
  <c r="C8062" i="1"/>
  <c r="N8062" i="1"/>
  <c r="A8063" i="1"/>
  <c r="C8063" i="1"/>
  <c r="N8063" i="1"/>
  <c r="A8064" i="1"/>
  <c r="C8064" i="1"/>
  <c r="N8064" i="1"/>
  <c r="A8065" i="1"/>
  <c r="C8065" i="1"/>
  <c r="N8065" i="1"/>
  <c r="A8066" i="1"/>
  <c r="C8066" i="1"/>
  <c r="N8066" i="1"/>
  <c r="A8067" i="1"/>
  <c r="C8067" i="1"/>
  <c r="N8067" i="1"/>
  <c r="A8068" i="1"/>
  <c r="C8068" i="1"/>
  <c r="N8068" i="1"/>
  <c r="A8069" i="1"/>
  <c r="C8069" i="1"/>
  <c r="K8069" i="1"/>
  <c r="N8069" i="1"/>
  <c r="A8070" i="1"/>
  <c r="C8070" i="1"/>
  <c r="N8070" i="1"/>
  <c r="A8071" i="1"/>
  <c r="C8071" i="1"/>
  <c r="N8071" i="1"/>
  <c r="A8072" i="1"/>
  <c r="C8072" i="1"/>
  <c r="N8072" i="1"/>
  <c r="A8073" i="1"/>
  <c r="C8073" i="1"/>
  <c r="N8073" i="1"/>
  <c r="A8074" i="1"/>
  <c r="C8074" i="1"/>
  <c r="N8074" i="1"/>
  <c r="A8075" i="1"/>
  <c r="C8075" i="1"/>
  <c r="K8075" i="1"/>
  <c r="N8075" i="1"/>
  <c r="A8076" i="1"/>
  <c r="C8076" i="1"/>
  <c r="N8076" i="1"/>
  <c r="A8077" i="1"/>
  <c r="C8077" i="1"/>
  <c r="K8077" i="1"/>
  <c r="N8077" i="1"/>
  <c r="A8078" i="1"/>
  <c r="C8078" i="1"/>
  <c r="N8078" i="1"/>
  <c r="A8079" i="1"/>
  <c r="C8079" i="1"/>
  <c r="K8079" i="1"/>
  <c r="N8079" i="1"/>
  <c r="A8080" i="1"/>
  <c r="C8080" i="1"/>
  <c r="N8080" i="1"/>
  <c r="A8081" i="1"/>
  <c r="C8081" i="1"/>
  <c r="K8081" i="1"/>
  <c r="N8081" i="1"/>
  <c r="A8082" i="1"/>
  <c r="C8082" i="1"/>
  <c r="K8082" i="1"/>
  <c r="N8082" i="1"/>
  <c r="A8083" i="1"/>
  <c r="C8083" i="1"/>
  <c r="N8083" i="1"/>
  <c r="A8084" i="1"/>
  <c r="C8084" i="1"/>
  <c r="N8084" i="1"/>
  <c r="A8085" i="1"/>
  <c r="C8085" i="1"/>
  <c r="N8085" i="1"/>
  <c r="A8086" i="1"/>
  <c r="C8086" i="1"/>
  <c r="N8086" i="1"/>
  <c r="A8087" i="1"/>
  <c r="C8087" i="1"/>
  <c r="N8087" i="1"/>
  <c r="A8088" i="1"/>
  <c r="C8088" i="1"/>
  <c r="N8088" i="1"/>
  <c r="A8089" i="1"/>
  <c r="C8089" i="1"/>
  <c r="K8089" i="1"/>
  <c r="N8089" i="1"/>
  <c r="A8090" i="1"/>
  <c r="C8090" i="1"/>
  <c r="K8090" i="1"/>
  <c r="N8090" i="1"/>
  <c r="A8091" i="1"/>
  <c r="C8091" i="1"/>
  <c r="K8091" i="1"/>
  <c r="N8091" i="1"/>
  <c r="A8092" i="1"/>
  <c r="C8092" i="1"/>
  <c r="N8092" i="1"/>
  <c r="A8093" i="1"/>
  <c r="C8093" i="1"/>
  <c r="K8093" i="1"/>
  <c r="N8093" i="1"/>
  <c r="A8094" i="1"/>
  <c r="C8094" i="1"/>
  <c r="K8094" i="1"/>
  <c r="N8094" i="1"/>
  <c r="A8095" i="1"/>
  <c r="C8095" i="1"/>
  <c r="N8095" i="1"/>
  <c r="A8096" i="1"/>
  <c r="C8096" i="1"/>
  <c r="N8096" i="1"/>
  <c r="A8097" i="1"/>
  <c r="C8097" i="1"/>
  <c r="N8097" i="1"/>
  <c r="A8098" i="1"/>
  <c r="C8098" i="1"/>
  <c r="N8098" i="1"/>
  <c r="A8099" i="1"/>
  <c r="C8099" i="1"/>
  <c r="N8099" i="1"/>
  <c r="A8100" i="1"/>
  <c r="C8100" i="1"/>
  <c r="K8100" i="1"/>
  <c r="N8100" i="1"/>
  <c r="A8101" i="1"/>
  <c r="C8101" i="1"/>
  <c r="K8101" i="1"/>
  <c r="N8101" i="1"/>
  <c r="A8102" i="1"/>
  <c r="C8102" i="1"/>
  <c r="K8102" i="1"/>
  <c r="N8102" i="1"/>
  <c r="A8103" i="1"/>
  <c r="C8103" i="1"/>
  <c r="N8103" i="1"/>
  <c r="A8104" i="1"/>
  <c r="C8104" i="1"/>
  <c r="K8104" i="1"/>
  <c r="N8104" i="1"/>
  <c r="A8105" i="1"/>
  <c r="C8105" i="1"/>
  <c r="K8105" i="1"/>
  <c r="N8105" i="1"/>
  <c r="A8106" i="1"/>
  <c r="C8106" i="1"/>
  <c r="K8106" i="1"/>
  <c r="N8106" i="1"/>
  <c r="A8107" i="1"/>
  <c r="C8107" i="1"/>
  <c r="K8107" i="1"/>
  <c r="N8107" i="1"/>
  <c r="A8108" i="1"/>
  <c r="C8108" i="1"/>
  <c r="K8108" i="1"/>
  <c r="N8108" i="1"/>
  <c r="A8109" i="1"/>
  <c r="C8109" i="1"/>
  <c r="N8109" i="1"/>
  <c r="A8110" i="1"/>
  <c r="C8110" i="1"/>
  <c r="N8110" i="1"/>
  <c r="A8111" i="1"/>
  <c r="C8111" i="1"/>
  <c r="K8111" i="1"/>
  <c r="N8111" i="1"/>
  <c r="A8112" i="1"/>
  <c r="C8112" i="1"/>
  <c r="K8112" i="1"/>
  <c r="N8112" i="1"/>
  <c r="A8113" i="1"/>
  <c r="C8113" i="1"/>
  <c r="K8113" i="1"/>
  <c r="N8113" i="1"/>
  <c r="A8114" i="1"/>
  <c r="C8114" i="1"/>
  <c r="K8114" i="1"/>
  <c r="N8114" i="1"/>
  <c r="A8115" i="1"/>
  <c r="C8115" i="1"/>
  <c r="K8115" i="1"/>
  <c r="N8115" i="1"/>
  <c r="A8116" i="1"/>
  <c r="C8116" i="1"/>
  <c r="K8116" i="1"/>
  <c r="N8116" i="1"/>
  <c r="A8117" i="1"/>
  <c r="C8117" i="1"/>
  <c r="K8117" i="1"/>
  <c r="N8117" i="1"/>
  <c r="A8118" i="1"/>
  <c r="C8118" i="1"/>
  <c r="K8118" i="1"/>
  <c r="N8118" i="1"/>
  <c r="A8119" i="1"/>
  <c r="C8119" i="1"/>
  <c r="K8119" i="1"/>
  <c r="N8119" i="1"/>
  <c r="A8120" i="1"/>
  <c r="C8120" i="1"/>
  <c r="K8120" i="1"/>
  <c r="N8120" i="1"/>
  <c r="A8121" i="1"/>
  <c r="C8121" i="1"/>
  <c r="K8121" i="1"/>
  <c r="N8121" i="1"/>
  <c r="A8122" i="1"/>
  <c r="C8122" i="1"/>
  <c r="K8122" i="1"/>
  <c r="N8122" i="1"/>
  <c r="A8123" i="1"/>
  <c r="C8123" i="1"/>
  <c r="N8123" i="1"/>
  <c r="A8124" i="1"/>
  <c r="C8124" i="1"/>
  <c r="K8124" i="1"/>
  <c r="N8124" i="1"/>
  <c r="A8125" i="1"/>
  <c r="C8125" i="1"/>
  <c r="N8125" i="1"/>
  <c r="A8126" i="1"/>
  <c r="C8126" i="1"/>
  <c r="N8126" i="1"/>
  <c r="A8127" i="1"/>
  <c r="C8127" i="1"/>
  <c r="N8127" i="1"/>
  <c r="A8128" i="1"/>
  <c r="C8128" i="1"/>
  <c r="N8128" i="1"/>
  <c r="A8129" i="1"/>
  <c r="C8129" i="1"/>
  <c r="N8129" i="1"/>
  <c r="A8130" i="1"/>
  <c r="C8130" i="1"/>
  <c r="N8130" i="1"/>
  <c r="A8131" i="1"/>
  <c r="C8131" i="1"/>
  <c r="K8131" i="1"/>
  <c r="N8131" i="1"/>
  <c r="A8132" i="1"/>
  <c r="C8132" i="1"/>
  <c r="N8132" i="1"/>
  <c r="A8133" i="1"/>
  <c r="C8133" i="1"/>
  <c r="N8133" i="1"/>
  <c r="A8134" i="1"/>
  <c r="C8134" i="1"/>
  <c r="N8134" i="1"/>
  <c r="A8135" i="1"/>
  <c r="C8135" i="1"/>
  <c r="N8135" i="1"/>
  <c r="A8136" i="1"/>
  <c r="C8136" i="1"/>
  <c r="N8136" i="1"/>
  <c r="A8137" i="1"/>
  <c r="C8137" i="1"/>
  <c r="N8137" i="1"/>
  <c r="A8138" i="1"/>
  <c r="C8138" i="1"/>
  <c r="N8138" i="1"/>
  <c r="A8139" i="1"/>
  <c r="C8139" i="1"/>
  <c r="K8139" i="1"/>
  <c r="N8139" i="1"/>
  <c r="A8140" i="1"/>
  <c r="C8140" i="1"/>
  <c r="N8140" i="1"/>
  <c r="A8141" i="1"/>
  <c r="C8141" i="1"/>
  <c r="F8141" i="1"/>
  <c r="N8141" i="1"/>
  <c r="A8142" i="1"/>
  <c r="C8142" i="1"/>
  <c r="N8142" i="1"/>
  <c r="A8143" i="1"/>
  <c r="C8143" i="1"/>
  <c r="N8143" i="1"/>
  <c r="A8144" i="1"/>
  <c r="C8144" i="1"/>
  <c r="K8144" i="1"/>
  <c r="N8144" i="1"/>
  <c r="A8145" i="1"/>
  <c r="C8145" i="1"/>
  <c r="N8145" i="1"/>
  <c r="A8146" i="1"/>
  <c r="C8146" i="1"/>
  <c r="N8146" i="1"/>
  <c r="A8147" i="1"/>
  <c r="C8147" i="1"/>
  <c r="N8147" i="1"/>
  <c r="A8148" i="1"/>
  <c r="C8148" i="1"/>
  <c r="N8148" i="1"/>
  <c r="A8149" i="1"/>
  <c r="C8149" i="1"/>
  <c r="N8149" i="1"/>
  <c r="A8150" i="1"/>
  <c r="C8150" i="1"/>
  <c r="K8150" i="1"/>
  <c r="N8150" i="1"/>
  <c r="A8151" i="1"/>
  <c r="C8151" i="1"/>
  <c r="K8151" i="1"/>
  <c r="N8151" i="1"/>
  <c r="A8152" i="1"/>
  <c r="C8152" i="1"/>
  <c r="K8152" i="1"/>
  <c r="N8152" i="1"/>
  <c r="A8153" i="1"/>
  <c r="C8153" i="1"/>
  <c r="N8153" i="1"/>
  <c r="A8154" i="1"/>
  <c r="C8154" i="1"/>
  <c r="N8154" i="1"/>
  <c r="A8155" i="1"/>
  <c r="C8155" i="1"/>
  <c r="N8155" i="1"/>
  <c r="A8156" i="1"/>
  <c r="C8156" i="1"/>
  <c r="N8156" i="1"/>
  <c r="A8157" i="1"/>
  <c r="C8157" i="1"/>
  <c r="K8157" i="1"/>
  <c r="N8157" i="1"/>
  <c r="A8158" i="1"/>
  <c r="C8158" i="1"/>
  <c r="K8158" i="1"/>
  <c r="N8158" i="1"/>
  <c r="A8159" i="1"/>
  <c r="C8159" i="1"/>
  <c r="N8159" i="1"/>
  <c r="A8160" i="1"/>
  <c r="C8160" i="1"/>
  <c r="N8160" i="1"/>
  <c r="A8161" i="1"/>
  <c r="C8161" i="1"/>
  <c r="N8161" i="1"/>
  <c r="A8162" i="1"/>
  <c r="C8162" i="1"/>
  <c r="N8162" i="1"/>
  <c r="A8163" i="1"/>
  <c r="C8163" i="1"/>
  <c r="N8163" i="1"/>
  <c r="A8164" i="1"/>
  <c r="C8164" i="1"/>
  <c r="K8164" i="1"/>
  <c r="N8164" i="1"/>
  <c r="A8165" i="1"/>
  <c r="C8165" i="1"/>
  <c r="K8165" i="1"/>
  <c r="N8165" i="1"/>
  <c r="A8166" i="1"/>
  <c r="C8166" i="1"/>
  <c r="K8166" i="1"/>
  <c r="N8166" i="1"/>
  <c r="A8167" i="1"/>
  <c r="C8167" i="1"/>
  <c r="K8167" i="1"/>
  <c r="N8167" i="1"/>
  <c r="A8168" i="1"/>
  <c r="C8168" i="1"/>
  <c r="K8168" i="1"/>
  <c r="N8168" i="1"/>
  <c r="A8169" i="1"/>
  <c r="C8169" i="1"/>
  <c r="K8169" i="1"/>
  <c r="N8169" i="1"/>
  <c r="A8170" i="1"/>
  <c r="C8170" i="1"/>
  <c r="K8170" i="1"/>
  <c r="N8170" i="1"/>
  <c r="A8171" i="1"/>
  <c r="C8171" i="1"/>
  <c r="K8171" i="1"/>
  <c r="N8171" i="1"/>
  <c r="A8172" i="1"/>
  <c r="C8172" i="1"/>
  <c r="N8172" i="1"/>
  <c r="A8173" i="1"/>
  <c r="C8173" i="1"/>
  <c r="K8173" i="1"/>
  <c r="N8173" i="1"/>
  <c r="A8174" i="1"/>
  <c r="C8174" i="1"/>
  <c r="K8174" i="1"/>
  <c r="N8174" i="1"/>
  <c r="A8175" i="1"/>
  <c r="C8175" i="1"/>
  <c r="N8175" i="1"/>
  <c r="A8176" i="1"/>
  <c r="C8176" i="1"/>
  <c r="N8176" i="1"/>
  <c r="A8177" i="1"/>
  <c r="C8177" i="1"/>
  <c r="N8177" i="1"/>
  <c r="A8178" i="1"/>
  <c r="C8178" i="1"/>
  <c r="N8178" i="1"/>
  <c r="A8179" i="1"/>
  <c r="C8179" i="1"/>
  <c r="N8179" i="1"/>
  <c r="A8180" i="1"/>
  <c r="C8180" i="1"/>
  <c r="N8180" i="1"/>
  <c r="A8181" i="1"/>
  <c r="C8181" i="1"/>
  <c r="N8181" i="1"/>
  <c r="A8182" i="1"/>
  <c r="C8182" i="1"/>
  <c r="N8182" i="1"/>
  <c r="A8183" i="1"/>
  <c r="C8183" i="1"/>
  <c r="K8183" i="1"/>
  <c r="N8183" i="1"/>
  <c r="A8184" i="1"/>
  <c r="C8184" i="1"/>
  <c r="N8184" i="1"/>
  <c r="A8185" i="1"/>
  <c r="C8185" i="1"/>
  <c r="K8185" i="1"/>
  <c r="N8185" i="1"/>
  <c r="A8186" i="1"/>
  <c r="C8186" i="1"/>
  <c r="K8186" i="1"/>
  <c r="N8186" i="1"/>
  <c r="A8187" i="1"/>
  <c r="C8187" i="1"/>
  <c r="K8187" i="1"/>
  <c r="N8187" i="1"/>
  <c r="A8188" i="1"/>
  <c r="C8188" i="1"/>
  <c r="K8188" i="1"/>
  <c r="N8188" i="1"/>
  <c r="A8189" i="1"/>
  <c r="C8189" i="1"/>
  <c r="E8189" i="1"/>
  <c r="K8189" i="1"/>
  <c r="N8189" i="1"/>
  <c r="T8189" i="1"/>
  <c r="A8190" i="1"/>
  <c r="C8190" i="1"/>
  <c r="K8190" i="1"/>
  <c r="N8190" i="1"/>
  <c r="A8191" i="1"/>
  <c r="C8191" i="1"/>
  <c r="K8191" i="1"/>
  <c r="N8191" i="1"/>
  <c r="A8192" i="1"/>
  <c r="C8192" i="1"/>
  <c r="N8192" i="1"/>
  <c r="A8193" i="1"/>
  <c r="C8193" i="1"/>
  <c r="N8193" i="1"/>
  <c r="A8194" i="1"/>
  <c r="C8194" i="1"/>
  <c r="N8194" i="1"/>
  <c r="A8195" i="1"/>
  <c r="C8195" i="1"/>
  <c r="N8195" i="1"/>
  <c r="A8196" i="1"/>
  <c r="C8196" i="1"/>
  <c r="N8196" i="1"/>
  <c r="A8197" i="1"/>
  <c r="C8197" i="1"/>
  <c r="K8197" i="1"/>
  <c r="N8197" i="1"/>
  <c r="A8198" i="1"/>
  <c r="C8198" i="1"/>
  <c r="N8198" i="1"/>
  <c r="A8199" i="1"/>
  <c r="C8199" i="1"/>
  <c r="N8199" i="1"/>
  <c r="A8200" i="1"/>
  <c r="C8200" i="1"/>
  <c r="E8200" i="1"/>
  <c r="K8200" i="1"/>
  <c r="N8200" i="1"/>
  <c r="T8200" i="1"/>
  <c r="A8201" i="1"/>
  <c r="C8201" i="1"/>
  <c r="E8201" i="1"/>
  <c r="K8201" i="1"/>
  <c r="N8201" i="1"/>
  <c r="T8201" i="1"/>
  <c r="A8202" i="1"/>
  <c r="C8202" i="1"/>
  <c r="N8202" i="1"/>
  <c r="A8203" i="1"/>
  <c r="C8203" i="1"/>
  <c r="N8203" i="1"/>
  <c r="A8204" i="1"/>
  <c r="C8204" i="1"/>
  <c r="N8204" i="1"/>
  <c r="A8205" i="1"/>
  <c r="C8205" i="1"/>
  <c r="N8205" i="1"/>
  <c r="A8206" i="1"/>
  <c r="C8206" i="1"/>
  <c r="N8206" i="1"/>
  <c r="A8207" i="1"/>
  <c r="C8207" i="1"/>
  <c r="K8207" i="1"/>
  <c r="N8207" i="1"/>
  <c r="A8208" i="1"/>
  <c r="C8208" i="1"/>
  <c r="N8208" i="1"/>
  <c r="A8209" i="1"/>
  <c r="C8209" i="1"/>
  <c r="N8209" i="1"/>
  <c r="A8210" i="1"/>
  <c r="C8210" i="1"/>
  <c r="N8210" i="1"/>
  <c r="A8211" i="1"/>
  <c r="C8211" i="1"/>
  <c r="N8211" i="1"/>
  <c r="A8212" i="1"/>
  <c r="C8212" i="1"/>
  <c r="N8212" i="1"/>
  <c r="A8213" i="1"/>
  <c r="C8213" i="1"/>
  <c r="N8213" i="1"/>
  <c r="A8214" i="1"/>
  <c r="C8214" i="1"/>
  <c r="K8214" i="1"/>
  <c r="N8214" i="1"/>
  <c r="A8215" i="1"/>
  <c r="C8215" i="1"/>
  <c r="N8215" i="1"/>
  <c r="A8216" i="1"/>
  <c r="C8216" i="1"/>
  <c r="N8216" i="1"/>
  <c r="A8217" i="1"/>
  <c r="C8217" i="1"/>
  <c r="N8217" i="1"/>
  <c r="A8218" i="1"/>
  <c r="C8218" i="1"/>
  <c r="N8218" i="1"/>
  <c r="A8219" i="1"/>
  <c r="C8219" i="1"/>
  <c r="N8219" i="1"/>
  <c r="A8220" i="1"/>
  <c r="C8220" i="1"/>
  <c r="N8220" i="1"/>
  <c r="A8221" i="1"/>
  <c r="C8221" i="1"/>
  <c r="K8221" i="1"/>
  <c r="N8221" i="1"/>
  <c r="A8222" i="1"/>
  <c r="C8222" i="1"/>
  <c r="N8222" i="1"/>
  <c r="A8223" i="1"/>
  <c r="C8223" i="1"/>
  <c r="K8223" i="1"/>
  <c r="N8223" i="1"/>
  <c r="A8224" i="1"/>
  <c r="C8224" i="1"/>
  <c r="N8224" i="1"/>
  <c r="A8225" i="1"/>
  <c r="C8225" i="1"/>
  <c r="N8225" i="1"/>
  <c r="A8226" i="1"/>
  <c r="C8226" i="1"/>
  <c r="N8226" i="1"/>
  <c r="A8227" i="1"/>
  <c r="C8227" i="1"/>
  <c r="N8227" i="1"/>
  <c r="A8228" i="1"/>
  <c r="C8228" i="1"/>
  <c r="N8228" i="1"/>
  <c r="A8229" i="1"/>
  <c r="C8229" i="1"/>
  <c r="N8229" i="1"/>
  <c r="A8230" i="1"/>
  <c r="C8230" i="1"/>
  <c r="N8230" i="1"/>
  <c r="A8231" i="1"/>
  <c r="C8231" i="1"/>
  <c r="N8231" i="1"/>
  <c r="A8232" i="1"/>
  <c r="C8232" i="1"/>
  <c r="N8232" i="1"/>
  <c r="A8233" i="1"/>
  <c r="C8233" i="1"/>
  <c r="N8233" i="1"/>
  <c r="A8234" i="1"/>
  <c r="C8234" i="1"/>
  <c r="N8234" i="1"/>
  <c r="A8235" i="1"/>
  <c r="C8235" i="1"/>
  <c r="N8235" i="1"/>
  <c r="A8236" i="1"/>
  <c r="C8236" i="1"/>
  <c r="N8236" i="1"/>
  <c r="A8237" i="1"/>
  <c r="C8237" i="1"/>
  <c r="N8237" i="1"/>
  <c r="A8238" i="1"/>
  <c r="C8238" i="1"/>
  <c r="N8238" i="1"/>
  <c r="A8239" i="1"/>
  <c r="C8239" i="1"/>
  <c r="K8239" i="1"/>
  <c r="N8239" i="1"/>
  <c r="A8240" i="1"/>
  <c r="C8240" i="1"/>
  <c r="N8240" i="1"/>
  <c r="A8241" i="1"/>
  <c r="C8241" i="1"/>
  <c r="N8241" i="1"/>
  <c r="A8242" i="1"/>
  <c r="C8242" i="1"/>
  <c r="N8242" i="1"/>
  <c r="A8243" i="1"/>
  <c r="C8243" i="1"/>
  <c r="N8243" i="1"/>
  <c r="A8244" i="1"/>
  <c r="C8244" i="1"/>
  <c r="N8244" i="1"/>
  <c r="A8245" i="1"/>
  <c r="C8245" i="1"/>
  <c r="N8245" i="1"/>
  <c r="A8246" i="1"/>
  <c r="C8246" i="1"/>
  <c r="N8246" i="1"/>
  <c r="A8247" i="1"/>
  <c r="C8247" i="1"/>
  <c r="N8247" i="1"/>
  <c r="A8248" i="1"/>
  <c r="C8248" i="1"/>
  <c r="N8248" i="1"/>
  <c r="A8249" i="1"/>
  <c r="C8249" i="1"/>
  <c r="N8249" i="1"/>
  <c r="A8250" i="1"/>
  <c r="C8250" i="1"/>
  <c r="N8250" i="1"/>
  <c r="A8251" i="1"/>
  <c r="C8251" i="1"/>
  <c r="K8251" i="1"/>
  <c r="N8251" i="1"/>
  <c r="A8252" i="1"/>
  <c r="C8252" i="1"/>
  <c r="K8252" i="1"/>
  <c r="N8252" i="1"/>
  <c r="A8253" i="1"/>
  <c r="C8253" i="1"/>
  <c r="K8253" i="1"/>
  <c r="N8253" i="1"/>
  <c r="A8254" i="1"/>
  <c r="C8254" i="1"/>
  <c r="N8254" i="1"/>
  <c r="A8255" i="1"/>
  <c r="C8255" i="1"/>
  <c r="K8255" i="1"/>
  <c r="N8255" i="1"/>
  <c r="A8256" i="1"/>
  <c r="C8256" i="1"/>
  <c r="N8256" i="1"/>
  <c r="A8257" i="1"/>
  <c r="C8257" i="1"/>
  <c r="N8257" i="1"/>
  <c r="A8258" i="1"/>
  <c r="C8258" i="1"/>
  <c r="N8258" i="1"/>
  <c r="A8259" i="1"/>
  <c r="C8259" i="1"/>
  <c r="N8259" i="1"/>
  <c r="A8260" i="1"/>
  <c r="C8260" i="1"/>
  <c r="K8260" i="1"/>
  <c r="N8260" i="1"/>
  <c r="A8261" i="1"/>
  <c r="C8261" i="1"/>
  <c r="N8261" i="1"/>
  <c r="A8262" i="1"/>
  <c r="C8262" i="1"/>
  <c r="N8262" i="1"/>
  <c r="A8263" i="1"/>
  <c r="C8263" i="1"/>
  <c r="N8263" i="1"/>
  <c r="A8264" i="1"/>
  <c r="C8264" i="1"/>
  <c r="N8264" i="1"/>
  <c r="A8265" i="1"/>
  <c r="C8265" i="1"/>
  <c r="N8265" i="1"/>
  <c r="A8266" i="1"/>
  <c r="C8266" i="1"/>
  <c r="N8266" i="1"/>
  <c r="A8267" i="1"/>
  <c r="C8267" i="1"/>
  <c r="N8267" i="1"/>
  <c r="A8268" i="1"/>
  <c r="C8268" i="1"/>
  <c r="N8268" i="1"/>
  <c r="A8269" i="1"/>
  <c r="C8269" i="1"/>
  <c r="N8269" i="1"/>
  <c r="A8270" i="1"/>
  <c r="C8270" i="1"/>
  <c r="N8270" i="1"/>
  <c r="A8271" i="1"/>
  <c r="C8271" i="1"/>
  <c r="K8271" i="1"/>
  <c r="N8271" i="1"/>
  <c r="A8272" i="1"/>
  <c r="C8272" i="1"/>
  <c r="N8272" i="1"/>
  <c r="A8273" i="1"/>
  <c r="C8273" i="1"/>
  <c r="K8273" i="1"/>
  <c r="N8273" i="1"/>
  <c r="A8274" i="1"/>
  <c r="C8274" i="1"/>
  <c r="K8274" i="1"/>
  <c r="N8274" i="1"/>
  <c r="A8275" i="1"/>
  <c r="C8275" i="1"/>
  <c r="K8275" i="1"/>
  <c r="N8275" i="1"/>
  <c r="A8276" i="1"/>
  <c r="C8276" i="1"/>
  <c r="K8276" i="1"/>
  <c r="N8276" i="1"/>
  <c r="A8277" i="1"/>
  <c r="C8277" i="1"/>
  <c r="N8277" i="1"/>
  <c r="A8278" i="1"/>
  <c r="C8278" i="1"/>
  <c r="N8278" i="1"/>
  <c r="A8279" i="1"/>
  <c r="C8279" i="1"/>
  <c r="K8279" i="1"/>
  <c r="N8279" i="1"/>
  <c r="A8280" i="1"/>
  <c r="C8280" i="1"/>
  <c r="K8280" i="1"/>
  <c r="N8280" i="1"/>
  <c r="A8281" i="1"/>
  <c r="C8281" i="1"/>
  <c r="K8281" i="1"/>
  <c r="N8281" i="1"/>
  <c r="A8282" i="1"/>
  <c r="C8282" i="1"/>
  <c r="N8282" i="1"/>
  <c r="A8283" i="1"/>
  <c r="C8283" i="1"/>
  <c r="N8283" i="1"/>
  <c r="A8284" i="1"/>
  <c r="C8284" i="1"/>
  <c r="N8284" i="1"/>
  <c r="A8285" i="1"/>
  <c r="C8285" i="1"/>
  <c r="N8285" i="1"/>
  <c r="A8286" i="1"/>
  <c r="C8286" i="1"/>
  <c r="N8286" i="1"/>
  <c r="A8287" i="1"/>
  <c r="C8287" i="1"/>
  <c r="N8287" i="1"/>
  <c r="A8288" i="1"/>
  <c r="C8288" i="1"/>
  <c r="N8288" i="1"/>
  <c r="A8289" i="1"/>
  <c r="C8289" i="1"/>
  <c r="N8289" i="1"/>
  <c r="A8290" i="1"/>
  <c r="C8290" i="1"/>
  <c r="N8290" i="1"/>
  <c r="A8291" i="1"/>
  <c r="C8291" i="1"/>
  <c r="N8291" i="1"/>
  <c r="A8292" i="1"/>
  <c r="C8292" i="1"/>
  <c r="K8292" i="1"/>
  <c r="N8292" i="1"/>
  <c r="A8293" i="1"/>
  <c r="C8293" i="1"/>
  <c r="N8293" i="1"/>
  <c r="A8294" i="1"/>
  <c r="C8294" i="1"/>
  <c r="N8294" i="1"/>
  <c r="A8295" i="1"/>
  <c r="C8295" i="1"/>
  <c r="K8295" i="1"/>
  <c r="N8295" i="1"/>
  <c r="A8296" i="1"/>
  <c r="C8296" i="1"/>
  <c r="N8296" i="1"/>
  <c r="A8297" i="1"/>
  <c r="C8297" i="1"/>
  <c r="K8297" i="1"/>
  <c r="N8297" i="1"/>
  <c r="A8298" i="1"/>
  <c r="C8298" i="1"/>
  <c r="N8298" i="1"/>
  <c r="A8299" i="1"/>
  <c r="C8299" i="1"/>
  <c r="N8299" i="1"/>
  <c r="A8300" i="1"/>
  <c r="C8300" i="1"/>
  <c r="N8300" i="1"/>
  <c r="A8301" i="1"/>
  <c r="C8301" i="1"/>
  <c r="N8301" i="1"/>
  <c r="A8302" i="1"/>
  <c r="C8302" i="1"/>
  <c r="K8302" i="1"/>
  <c r="N8302" i="1"/>
  <c r="A8303" i="1"/>
  <c r="C8303" i="1"/>
  <c r="N8303" i="1"/>
  <c r="A8304" i="1"/>
  <c r="C8304" i="1"/>
  <c r="N8304" i="1"/>
  <c r="A8305" i="1"/>
  <c r="C8305" i="1"/>
  <c r="N8305" i="1"/>
  <c r="A8306" i="1"/>
  <c r="C8306" i="1"/>
  <c r="N8306" i="1"/>
  <c r="A8307" i="1"/>
  <c r="C8307" i="1"/>
  <c r="F8307" i="1"/>
  <c r="N8307" i="1"/>
  <c r="A8308" i="1"/>
  <c r="C8308" i="1"/>
  <c r="K8308" i="1"/>
  <c r="N8308" i="1"/>
  <c r="A8309" i="1"/>
  <c r="C8309" i="1"/>
  <c r="N8309" i="1"/>
  <c r="A8310" i="1"/>
  <c r="C8310" i="1"/>
  <c r="K8310" i="1"/>
  <c r="N8310" i="1"/>
  <c r="A8311" i="1"/>
  <c r="C8311" i="1"/>
  <c r="N8311" i="1"/>
  <c r="A8312" i="1"/>
  <c r="C8312" i="1"/>
  <c r="N8312" i="1"/>
  <c r="A8313" i="1"/>
  <c r="C8313" i="1"/>
  <c r="N8313" i="1"/>
  <c r="A8314" i="1"/>
  <c r="C8314" i="1"/>
  <c r="K8314" i="1"/>
  <c r="N8314" i="1"/>
  <c r="A8315" i="1"/>
  <c r="C8315" i="1"/>
  <c r="N8315" i="1"/>
  <c r="A8316" i="1"/>
  <c r="C8316" i="1"/>
  <c r="N8316" i="1"/>
  <c r="A8317" i="1"/>
  <c r="C8317" i="1"/>
  <c r="N8317" i="1"/>
  <c r="A8318" i="1"/>
  <c r="C8318" i="1"/>
  <c r="K8318" i="1"/>
  <c r="N8318" i="1"/>
  <c r="A8319" i="1"/>
  <c r="C8319" i="1"/>
  <c r="K8319" i="1"/>
  <c r="N8319" i="1"/>
  <c r="A8320" i="1"/>
  <c r="C8320" i="1"/>
  <c r="K8320" i="1"/>
  <c r="N8320" i="1"/>
  <c r="A8321" i="1"/>
  <c r="C8321" i="1"/>
  <c r="N8321" i="1"/>
  <c r="A8322" i="1"/>
  <c r="C8322" i="1"/>
  <c r="N8322" i="1"/>
  <c r="A8323" i="1"/>
  <c r="C8323" i="1"/>
  <c r="N8323" i="1"/>
  <c r="A8324" i="1"/>
  <c r="C8324" i="1"/>
  <c r="N8324" i="1"/>
  <c r="A8325" i="1"/>
  <c r="C8325" i="1"/>
  <c r="N8325" i="1"/>
  <c r="A8326" i="1"/>
  <c r="C8326" i="1"/>
  <c r="K8326" i="1"/>
  <c r="N8326" i="1"/>
  <c r="A8327" i="1"/>
  <c r="C8327" i="1"/>
  <c r="K8327" i="1"/>
  <c r="N8327" i="1"/>
  <c r="A8328" i="1"/>
  <c r="C8328" i="1"/>
  <c r="K8328" i="1"/>
  <c r="N8328" i="1"/>
  <c r="A8329" i="1"/>
  <c r="C8329" i="1"/>
  <c r="K8329" i="1"/>
  <c r="N8329" i="1"/>
  <c r="A8330" i="1"/>
  <c r="C8330" i="1"/>
  <c r="N8330" i="1"/>
  <c r="A8331" i="1"/>
  <c r="C8331" i="1"/>
  <c r="K8331" i="1"/>
  <c r="N8331" i="1"/>
  <c r="A8332" i="1"/>
  <c r="C8332" i="1"/>
  <c r="K8332" i="1"/>
  <c r="N8332" i="1"/>
  <c r="A8333" i="1"/>
  <c r="C8333" i="1"/>
  <c r="N8333" i="1"/>
  <c r="A8334" i="1"/>
  <c r="C8334" i="1"/>
  <c r="N8334" i="1"/>
  <c r="A8335" i="1"/>
  <c r="C8335" i="1"/>
  <c r="N8335" i="1"/>
  <c r="A8336" i="1"/>
  <c r="C8336" i="1"/>
  <c r="N8336" i="1"/>
  <c r="A8337" i="1"/>
  <c r="C8337" i="1"/>
  <c r="N8337" i="1"/>
  <c r="A8338" i="1"/>
  <c r="C8338" i="1"/>
  <c r="K8338" i="1"/>
  <c r="N8338" i="1"/>
  <c r="A8339" i="1"/>
  <c r="C8339" i="1"/>
  <c r="F8339" i="1"/>
  <c r="N8339" i="1"/>
  <c r="A8340" i="1"/>
  <c r="C8340" i="1"/>
  <c r="N8340" i="1"/>
  <c r="A8341" i="1"/>
  <c r="C8341" i="1"/>
  <c r="N8341" i="1"/>
  <c r="A8342" i="1"/>
  <c r="C8342" i="1"/>
  <c r="N8342" i="1"/>
  <c r="A8343" i="1"/>
  <c r="C8343" i="1"/>
  <c r="N8343" i="1"/>
  <c r="A8344" i="1"/>
  <c r="C8344" i="1"/>
  <c r="N8344" i="1"/>
  <c r="A8345" i="1"/>
  <c r="C8345" i="1"/>
  <c r="N8345" i="1"/>
  <c r="A8346" i="1"/>
  <c r="C8346" i="1"/>
  <c r="N8346" i="1"/>
  <c r="A8347" i="1"/>
  <c r="C8347" i="1"/>
  <c r="N8347" i="1"/>
  <c r="A8348" i="1"/>
  <c r="C8348" i="1"/>
  <c r="N8348" i="1"/>
  <c r="A8349" i="1"/>
  <c r="C8349" i="1"/>
  <c r="N8349" i="1"/>
  <c r="A8350" i="1"/>
  <c r="C8350" i="1"/>
  <c r="N8350" i="1"/>
  <c r="A8351" i="1"/>
  <c r="C8351" i="1"/>
  <c r="N8351" i="1"/>
  <c r="A8352" i="1"/>
  <c r="C8352" i="1"/>
  <c r="N8352" i="1"/>
  <c r="A8353" i="1"/>
  <c r="C8353" i="1"/>
  <c r="N8353" i="1"/>
  <c r="A8354" i="1"/>
  <c r="C8354" i="1"/>
  <c r="N8354" i="1"/>
  <c r="A8355" i="1"/>
  <c r="C8355" i="1"/>
  <c r="K8355" i="1"/>
  <c r="N8355" i="1"/>
  <c r="A8356" i="1"/>
  <c r="C8356" i="1"/>
  <c r="N8356" i="1"/>
  <c r="A8357" i="1"/>
  <c r="C8357" i="1"/>
  <c r="N8357" i="1"/>
  <c r="A8358" i="1"/>
  <c r="C8358" i="1"/>
  <c r="N8358" i="1"/>
  <c r="A8359" i="1"/>
  <c r="C8359" i="1"/>
  <c r="N8359" i="1"/>
  <c r="A8360" i="1"/>
  <c r="C8360" i="1"/>
  <c r="N8360" i="1"/>
  <c r="A8361" i="1"/>
  <c r="C8361" i="1"/>
  <c r="N8361" i="1"/>
  <c r="A8362" i="1"/>
  <c r="C8362" i="1"/>
  <c r="N8362" i="1"/>
  <c r="A8363" i="1"/>
  <c r="C8363" i="1"/>
  <c r="N8363" i="1"/>
  <c r="A8364" i="1"/>
  <c r="C8364" i="1"/>
  <c r="N8364" i="1"/>
  <c r="A8365" i="1"/>
  <c r="C8365" i="1"/>
  <c r="N8365" i="1"/>
  <c r="A8366" i="1"/>
  <c r="C8366" i="1"/>
  <c r="N8366" i="1"/>
  <c r="A8367" i="1"/>
  <c r="C8367" i="1"/>
  <c r="K8367" i="1"/>
  <c r="N8367" i="1"/>
  <c r="A8368" i="1"/>
  <c r="C8368" i="1"/>
  <c r="N8368" i="1"/>
  <c r="A8369" i="1"/>
  <c r="C8369" i="1"/>
  <c r="N8369" i="1"/>
  <c r="A8370" i="1"/>
  <c r="C8370" i="1"/>
  <c r="N8370" i="1"/>
  <c r="A8371" i="1"/>
  <c r="C8371" i="1"/>
  <c r="N8371" i="1"/>
  <c r="A8372" i="1"/>
  <c r="C8372" i="1"/>
  <c r="K8372" i="1"/>
  <c r="N8372" i="1"/>
  <c r="A8373" i="1"/>
  <c r="C8373" i="1"/>
  <c r="K8373" i="1"/>
  <c r="N8373" i="1"/>
  <c r="A8374" i="1"/>
  <c r="C8374" i="1"/>
  <c r="K8374" i="1"/>
  <c r="N8374" i="1"/>
  <c r="A8375" i="1"/>
  <c r="C8375" i="1"/>
  <c r="K8375" i="1"/>
  <c r="N8375" i="1"/>
  <c r="A8376" i="1"/>
  <c r="C8376" i="1"/>
  <c r="N8376" i="1"/>
  <c r="A8377" i="1"/>
  <c r="C8377" i="1"/>
  <c r="K8377" i="1"/>
  <c r="N8377" i="1"/>
  <c r="A8378" i="1"/>
  <c r="C8378" i="1"/>
  <c r="K8378" i="1"/>
  <c r="N8378" i="1"/>
  <c r="A8379" i="1"/>
  <c r="C8379" i="1"/>
  <c r="N8379" i="1"/>
  <c r="A8380" i="1"/>
  <c r="C8380" i="1"/>
  <c r="N8380" i="1"/>
  <c r="A8381" i="1"/>
  <c r="C8381" i="1"/>
  <c r="N8381" i="1"/>
  <c r="A8382" i="1"/>
  <c r="C8382" i="1"/>
  <c r="N8382" i="1"/>
  <c r="A8383" i="1"/>
  <c r="C8383" i="1"/>
  <c r="N8383" i="1"/>
  <c r="A8384" i="1"/>
  <c r="C8384" i="1"/>
  <c r="N8384" i="1"/>
  <c r="A8385" i="1"/>
  <c r="C8385" i="1"/>
  <c r="K8385" i="1"/>
  <c r="N8385" i="1"/>
  <c r="A8386" i="1"/>
  <c r="C8386" i="1"/>
  <c r="N8386" i="1"/>
  <c r="A8387" i="1"/>
  <c r="C8387" i="1"/>
  <c r="N8387" i="1"/>
  <c r="A8388" i="1"/>
  <c r="C8388" i="1"/>
  <c r="K8388" i="1"/>
  <c r="N8388" i="1"/>
  <c r="A8389" i="1"/>
  <c r="C8389" i="1"/>
  <c r="N8389" i="1"/>
  <c r="A8390" i="1"/>
  <c r="C8390" i="1"/>
  <c r="N8390" i="1"/>
  <c r="A8391" i="1"/>
  <c r="C8391" i="1"/>
  <c r="N8391" i="1"/>
  <c r="A8392" i="1"/>
  <c r="C8392" i="1"/>
  <c r="K8392" i="1"/>
  <c r="N8392" i="1"/>
  <c r="A8393" i="1"/>
  <c r="C8393" i="1"/>
  <c r="K8393" i="1"/>
  <c r="N8393" i="1"/>
  <c r="A8394" i="1"/>
  <c r="C8394" i="1"/>
  <c r="K8394" i="1"/>
  <c r="N8394" i="1"/>
  <c r="A8395" i="1"/>
  <c r="C8395" i="1"/>
  <c r="K8395" i="1"/>
  <c r="N8395" i="1"/>
  <c r="A8396" i="1"/>
  <c r="C8396" i="1"/>
  <c r="K8396" i="1"/>
  <c r="N8396" i="1"/>
  <c r="A8397" i="1"/>
  <c r="C8397" i="1"/>
  <c r="N8397" i="1"/>
  <c r="A8398" i="1"/>
  <c r="C8398" i="1"/>
  <c r="K8398" i="1"/>
  <c r="N8398" i="1"/>
  <c r="A8399" i="1"/>
  <c r="C8399" i="1"/>
  <c r="N8399" i="1"/>
  <c r="A8400" i="1"/>
  <c r="C8400" i="1"/>
  <c r="K8400" i="1"/>
  <c r="N8400" i="1"/>
  <c r="A8401" i="1"/>
  <c r="C8401" i="1"/>
  <c r="K8401" i="1"/>
  <c r="N8401" i="1"/>
  <c r="A8402" i="1"/>
  <c r="C8402" i="1"/>
  <c r="K8402" i="1"/>
  <c r="N8402" i="1"/>
  <c r="A8403" i="1"/>
  <c r="C8403" i="1"/>
  <c r="K8403" i="1"/>
  <c r="N8403" i="1"/>
  <c r="A8404" i="1"/>
  <c r="C8404" i="1"/>
  <c r="N8404" i="1"/>
  <c r="A8405" i="1"/>
  <c r="C8405" i="1"/>
  <c r="K8405" i="1"/>
  <c r="N8405" i="1"/>
  <c r="A8406" i="1"/>
  <c r="C8406" i="1"/>
  <c r="K8406" i="1"/>
  <c r="N8406" i="1"/>
  <c r="A8407" i="1"/>
  <c r="C8407" i="1"/>
  <c r="K8407" i="1"/>
  <c r="N8407" i="1"/>
  <c r="A8408" i="1"/>
  <c r="C8408" i="1"/>
  <c r="K8408" i="1"/>
  <c r="N8408" i="1"/>
  <c r="A8409" i="1"/>
  <c r="C8409" i="1"/>
  <c r="K8409" i="1"/>
  <c r="N8409" i="1"/>
  <c r="A8410" i="1"/>
  <c r="C8410" i="1"/>
  <c r="N8410" i="1"/>
  <c r="A8411" i="1"/>
  <c r="C8411" i="1"/>
  <c r="K8411" i="1"/>
  <c r="N8411" i="1"/>
  <c r="A8412" i="1"/>
  <c r="C8412" i="1"/>
  <c r="K8412" i="1"/>
  <c r="N8412" i="1"/>
  <c r="A8413" i="1"/>
  <c r="C8413" i="1"/>
  <c r="K8413" i="1"/>
  <c r="N8413" i="1"/>
  <c r="A8414" i="1"/>
  <c r="C8414" i="1"/>
  <c r="K8414" i="1"/>
  <c r="N8414" i="1"/>
  <c r="A8415" i="1"/>
  <c r="C8415" i="1"/>
  <c r="N8415" i="1"/>
  <c r="A8416" i="1"/>
  <c r="C8416" i="1"/>
  <c r="K8416" i="1"/>
  <c r="N8416" i="1"/>
  <c r="A8417" i="1"/>
  <c r="C8417" i="1"/>
  <c r="K8417" i="1"/>
  <c r="N8417" i="1"/>
  <c r="A8418" i="1"/>
  <c r="C8418" i="1"/>
  <c r="N8418" i="1"/>
  <c r="A8419" i="1"/>
  <c r="C8419" i="1"/>
  <c r="K8419" i="1"/>
  <c r="N8419" i="1"/>
  <c r="A8420" i="1"/>
  <c r="C8420" i="1"/>
  <c r="N8420" i="1"/>
  <c r="A8421" i="1"/>
  <c r="C8421" i="1"/>
  <c r="N8421" i="1"/>
  <c r="A8422" i="1"/>
  <c r="C8422" i="1"/>
  <c r="N8422" i="1"/>
  <c r="A8423" i="1"/>
  <c r="C8423" i="1"/>
  <c r="N8423" i="1"/>
  <c r="A8424" i="1"/>
  <c r="C8424" i="1"/>
  <c r="N8424" i="1"/>
  <c r="A8425" i="1"/>
  <c r="C8425" i="1"/>
  <c r="N8425" i="1"/>
  <c r="A8426" i="1"/>
  <c r="C8426" i="1"/>
  <c r="K8426" i="1"/>
  <c r="N8426" i="1"/>
  <c r="A8427" i="1"/>
  <c r="C8427" i="1"/>
  <c r="K8427" i="1"/>
  <c r="N8427" i="1"/>
  <c r="A8428" i="1"/>
  <c r="C8428" i="1"/>
  <c r="K8428" i="1"/>
  <c r="N8428" i="1"/>
  <c r="A8429" i="1"/>
  <c r="C8429" i="1"/>
  <c r="K8429" i="1"/>
  <c r="N8429" i="1"/>
  <c r="A8430" i="1"/>
  <c r="C8430" i="1"/>
  <c r="N8430" i="1"/>
  <c r="A8431" i="1"/>
  <c r="C8431" i="1"/>
  <c r="K8431" i="1"/>
  <c r="N8431" i="1"/>
  <c r="A8432" i="1"/>
  <c r="C8432" i="1"/>
  <c r="N8432" i="1"/>
  <c r="A8433" i="1"/>
  <c r="C8433" i="1"/>
  <c r="N8433" i="1"/>
  <c r="A8434" i="1"/>
  <c r="C8434" i="1"/>
  <c r="N8434" i="1"/>
  <c r="A8435" i="1"/>
  <c r="C8435" i="1"/>
  <c r="K8435" i="1"/>
  <c r="N8435" i="1"/>
  <c r="A8436" i="1"/>
  <c r="C8436" i="1"/>
  <c r="K8436" i="1"/>
  <c r="N8436" i="1"/>
  <c r="A8437" i="1"/>
  <c r="C8437" i="1"/>
  <c r="K8437" i="1"/>
  <c r="N8437" i="1"/>
  <c r="A8438" i="1"/>
  <c r="C8438" i="1"/>
  <c r="K8438" i="1"/>
  <c r="N8438" i="1"/>
  <c r="A8439" i="1"/>
  <c r="C8439" i="1"/>
  <c r="N8439" i="1"/>
  <c r="A8440" i="1"/>
  <c r="C8440" i="1"/>
  <c r="N8440" i="1"/>
  <c r="A8441" i="1"/>
  <c r="C8441" i="1"/>
  <c r="N8441" i="1"/>
  <c r="A8442" i="1"/>
  <c r="C8442" i="1"/>
  <c r="N8442" i="1"/>
  <c r="A8443" i="1"/>
  <c r="C8443" i="1"/>
  <c r="N8443" i="1"/>
  <c r="A8444" i="1"/>
  <c r="C8444" i="1"/>
  <c r="K8444" i="1"/>
  <c r="N8444" i="1"/>
  <c r="A8445" i="1"/>
  <c r="C8445" i="1"/>
  <c r="N8445" i="1"/>
  <c r="A8446" i="1"/>
  <c r="C8446" i="1"/>
  <c r="K8446" i="1"/>
  <c r="N8446" i="1"/>
  <c r="A8447" i="1"/>
  <c r="C8447" i="1"/>
  <c r="N8447" i="1"/>
  <c r="A8448" i="1"/>
  <c r="C8448" i="1"/>
  <c r="N8448" i="1"/>
  <c r="A8449" i="1"/>
  <c r="C8449" i="1"/>
  <c r="N8449" i="1"/>
  <c r="A8450" i="1"/>
  <c r="C8450" i="1"/>
  <c r="N8450" i="1"/>
  <c r="A8451" i="1"/>
  <c r="C8451" i="1"/>
  <c r="N8451" i="1"/>
  <c r="A8452" i="1"/>
  <c r="C8452" i="1"/>
  <c r="N8452" i="1"/>
  <c r="A8453" i="1"/>
  <c r="C8453" i="1"/>
  <c r="K8453" i="1"/>
  <c r="N8453" i="1"/>
  <c r="A8454" i="1"/>
  <c r="C8454" i="1"/>
  <c r="K8454" i="1"/>
  <c r="N8454" i="1"/>
  <c r="A8455" i="1"/>
  <c r="C8455" i="1"/>
  <c r="K8455" i="1"/>
  <c r="N8455" i="1"/>
  <c r="A8456" i="1"/>
  <c r="C8456" i="1"/>
  <c r="K8456" i="1"/>
  <c r="N8456" i="1"/>
  <c r="A8457" i="1"/>
  <c r="C8457" i="1"/>
  <c r="N8457" i="1"/>
  <c r="A8458" i="1"/>
  <c r="C8458" i="1"/>
  <c r="N8458" i="1"/>
  <c r="A8459" i="1"/>
  <c r="C8459" i="1"/>
  <c r="N8459" i="1"/>
  <c r="A8460" i="1"/>
  <c r="C8460" i="1"/>
  <c r="N8460" i="1"/>
  <c r="A8461" i="1"/>
  <c r="C8461" i="1"/>
  <c r="K8461" i="1"/>
  <c r="N8461" i="1"/>
  <c r="A8462" i="1"/>
  <c r="C8462" i="1"/>
  <c r="K8462" i="1"/>
  <c r="N8462" i="1"/>
  <c r="A8463" i="1"/>
  <c r="C8463" i="1"/>
  <c r="N8463" i="1"/>
  <c r="A8464" i="1"/>
  <c r="C8464" i="1"/>
  <c r="K8464" i="1"/>
  <c r="N8464" i="1"/>
  <c r="A8465" i="1"/>
  <c r="C8465" i="1"/>
  <c r="N8465" i="1"/>
  <c r="A8466" i="1"/>
  <c r="C8466" i="1"/>
  <c r="N8466" i="1"/>
  <c r="A8467" i="1"/>
  <c r="C8467" i="1"/>
  <c r="N8467" i="1"/>
  <c r="A8468" i="1"/>
  <c r="C8468" i="1"/>
  <c r="K8468" i="1"/>
  <c r="N8468" i="1"/>
  <c r="A8469" i="1"/>
  <c r="C8469" i="1"/>
  <c r="K8469" i="1"/>
  <c r="N8469" i="1"/>
  <c r="A8470" i="1"/>
  <c r="C8470" i="1"/>
  <c r="K8470" i="1"/>
  <c r="N8470" i="1"/>
  <c r="A8471" i="1"/>
  <c r="C8471" i="1"/>
  <c r="K8471" i="1"/>
  <c r="N8471" i="1"/>
  <c r="A8472" i="1"/>
  <c r="C8472" i="1"/>
  <c r="N8472" i="1"/>
  <c r="A8473" i="1"/>
  <c r="C8473" i="1"/>
  <c r="K8473" i="1"/>
  <c r="N8473" i="1"/>
  <c r="A8474" i="1"/>
  <c r="C8474" i="1"/>
  <c r="N8474" i="1"/>
  <c r="A8475" i="1"/>
  <c r="C8475" i="1"/>
  <c r="K8475" i="1"/>
  <c r="N8475" i="1"/>
  <c r="A8476" i="1"/>
  <c r="C8476" i="1"/>
  <c r="N8476" i="1"/>
  <c r="A8477" i="1"/>
  <c r="C8477" i="1"/>
  <c r="N8477" i="1"/>
  <c r="A8478" i="1"/>
  <c r="C8478" i="1"/>
  <c r="N8478" i="1"/>
  <c r="A8479" i="1"/>
  <c r="C8479" i="1"/>
  <c r="K8479" i="1"/>
  <c r="N8479" i="1"/>
  <c r="A8480" i="1"/>
  <c r="C8480" i="1"/>
  <c r="K8480" i="1"/>
  <c r="N8480" i="1"/>
  <c r="A8481" i="1"/>
  <c r="C8481" i="1"/>
  <c r="N8481" i="1"/>
  <c r="A8482" i="1"/>
  <c r="C8482" i="1"/>
  <c r="N8482" i="1"/>
  <c r="A8483" i="1"/>
  <c r="C8483" i="1"/>
  <c r="K8483" i="1"/>
  <c r="N8483" i="1"/>
  <c r="A8484" i="1"/>
  <c r="C8484" i="1"/>
  <c r="K8484" i="1"/>
  <c r="N8484" i="1"/>
  <c r="A8485" i="1"/>
  <c r="C8485" i="1"/>
  <c r="N8485" i="1"/>
  <c r="A8486" i="1"/>
  <c r="C8486" i="1"/>
  <c r="N8486" i="1"/>
  <c r="A8487" i="1"/>
  <c r="C8487" i="1"/>
  <c r="N8487" i="1"/>
  <c r="A8488" i="1"/>
  <c r="C8488" i="1"/>
  <c r="K8488" i="1"/>
  <c r="N8488" i="1"/>
  <c r="A8489" i="1"/>
  <c r="C8489" i="1"/>
  <c r="K8489" i="1"/>
  <c r="N8489" i="1"/>
  <c r="A8490" i="1"/>
  <c r="C8490" i="1"/>
  <c r="N8490" i="1"/>
  <c r="A8491" i="1"/>
  <c r="C8491" i="1"/>
  <c r="N8491" i="1"/>
  <c r="A8492" i="1"/>
  <c r="C8492" i="1"/>
  <c r="N8492" i="1"/>
  <c r="A8493" i="1"/>
  <c r="C8493" i="1"/>
  <c r="K8493" i="1"/>
  <c r="N8493" i="1"/>
  <c r="A8494" i="1"/>
  <c r="C8494" i="1"/>
  <c r="K8494" i="1"/>
  <c r="N8494" i="1"/>
  <c r="A8495" i="1"/>
  <c r="C8495" i="1"/>
  <c r="K8495" i="1"/>
  <c r="N8495" i="1"/>
  <c r="A8496" i="1"/>
  <c r="C8496" i="1"/>
  <c r="K8496" i="1"/>
  <c r="N8496" i="1"/>
  <c r="A8497" i="1"/>
  <c r="C8497" i="1"/>
  <c r="K8497" i="1"/>
  <c r="N8497" i="1"/>
  <c r="A8498" i="1"/>
  <c r="C8498" i="1"/>
  <c r="K8498" i="1"/>
  <c r="N8498" i="1"/>
  <c r="A8499" i="1"/>
  <c r="C8499" i="1"/>
  <c r="K8499" i="1"/>
  <c r="N8499" i="1"/>
  <c r="A8500" i="1"/>
  <c r="C8500" i="1"/>
  <c r="K8500" i="1"/>
  <c r="N8500" i="1"/>
  <c r="A8501" i="1"/>
  <c r="C8501" i="1"/>
  <c r="K8501" i="1"/>
  <c r="N8501" i="1"/>
  <c r="A8502" i="1"/>
  <c r="C8502" i="1"/>
  <c r="N8502" i="1"/>
  <c r="A8503" i="1"/>
  <c r="C8503" i="1"/>
  <c r="N8503" i="1"/>
  <c r="A8504" i="1"/>
  <c r="C8504" i="1"/>
  <c r="N8504" i="1"/>
  <c r="A8505" i="1"/>
  <c r="C8505" i="1"/>
  <c r="K8505" i="1"/>
  <c r="N8505" i="1"/>
  <c r="A8506" i="1"/>
  <c r="C8506" i="1"/>
  <c r="K8506" i="1"/>
  <c r="N8506" i="1"/>
  <c r="A8507" i="1"/>
  <c r="C8507" i="1"/>
  <c r="K8507" i="1"/>
  <c r="N8507" i="1"/>
  <c r="A8508" i="1"/>
  <c r="C8508" i="1"/>
  <c r="K8508" i="1"/>
  <c r="N8508" i="1"/>
  <c r="A8509" i="1"/>
  <c r="C8509" i="1"/>
  <c r="K8509" i="1"/>
  <c r="N8509" i="1"/>
  <c r="A8510" i="1"/>
  <c r="C8510" i="1"/>
  <c r="K8510" i="1"/>
  <c r="N8510" i="1"/>
  <c r="A8511" i="1"/>
  <c r="C8511" i="1"/>
  <c r="K8511" i="1"/>
  <c r="N8511" i="1"/>
  <c r="A8512" i="1"/>
  <c r="C8512" i="1"/>
  <c r="N8512" i="1"/>
  <c r="A8513" i="1"/>
  <c r="C8513" i="1"/>
  <c r="K8513" i="1"/>
  <c r="N8513" i="1"/>
  <c r="A8514" i="1"/>
  <c r="C8514" i="1"/>
  <c r="K8514" i="1"/>
  <c r="N8514" i="1"/>
  <c r="A8515" i="1"/>
  <c r="C8515" i="1"/>
  <c r="N8515" i="1"/>
  <c r="A8516" i="1"/>
  <c r="C8516" i="1"/>
  <c r="K8516" i="1"/>
  <c r="N8516" i="1"/>
  <c r="A8517" i="1"/>
  <c r="C8517" i="1"/>
  <c r="K8517" i="1"/>
  <c r="N8517" i="1"/>
  <c r="A8518" i="1"/>
  <c r="C8518" i="1"/>
  <c r="N8518" i="1"/>
  <c r="A8519" i="1"/>
  <c r="C8519" i="1"/>
  <c r="N8519" i="1"/>
  <c r="A8520" i="1"/>
  <c r="C8520" i="1"/>
  <c r="N8520" i="1"/>
  <c r="A8521" i="1"/>
  <c r="C8521" i="1"/>
  <c r="N8521" i="1"/>
  <c r="A8522" i="1"/>
  <c r="C8522" i="1"/>
  <c r="K8522" i="1"/>
  <c r="N8522" i="1"/>
  <c r="A8523" i="1"/>
  <c r="C8523" i="1"/>
  <c r="K8523" i="1"/>
  <c r="N8523" i="1"/>
  <c r="A8524" i="1"/>
  <c r="C8524" i="1"/>
  <c r="N8524" i="1"/>
  <c r="A8525" i="1"/>
  <c r="C8525" i="1"/>
  <c r="N8525" i="1"/>
  <c r="A8526" i="1"/>
  <c r="C8526" i="1"/>
  <c r="N8526" i="1"/>
  <c r="A8527" i="1"/>
  <c r="C8527" i="1"/>
  <c r="K8527" i="1"/>
  <c r="N8527" i="1"/>
  <c r="A8528" i="1"/>
  <c r="C8528" i="1"/>
  <c r="K8528" i="1"/>
  <c r="N8528" i="1"/>
  <c r="A8529" i="1"/>
  <c r="C8529" i="1"/>
  <c r="N8529" i="1"/>
  <c r="A8530" i="1"/>
  <c r="C8530" i="1"/>
  <c r="N8530" i="1"/>
  <c r="A8531" i="1"/>
  <c r="C8531" i="1"/>
  <c r="N8531" i="1"/>
  <c r="A8532" i="1"/>
  <c r="C8532" i="1"/>
  <c r="K8532" i="1"/>
  <c r="N8532" i="1"/>
  <c r="A8533" i="1"/>
  <c r="C8533" i="1"/>
  <c r="N8533" i="1"/>
  <c r="A8534" i="1"/>
  <c r="C8534" i="1"/>
  <c r="N8534" i="1"/>
  <c r="A8535" i="1"/>
  <c r="C8535" i="1"/>
  <c r="N8535" i="1"/>
  <c r="A8536" i="1"/>
  <c r="C8536" i="1"/>
  <c r="N8536" i="1"/>
  <c r="A8537" i="1"/>
  <c r="C8537" i="1"/>
  <c r="N8537" i="1"/>
  <c r="A8538" i="1"/>
  <c r="C8538" i="1"/>
  <c r="N8538" i="1"/>
  <c r="A8539" i="1"/>
  <c r="C8539" i="1"/>
  <c r="N8539" i="1"/>
  <c r="A8540" i="1"/>
  <c r="C8540" i="1"/>
  <c r="K8540" i="1"/>
  <c r="N8540" i="1"/>
  <c r="A8541" i="1"/>
  <c r="C8541" i="1"/>
  <c r="K8541" i="1"/>
  <c r="N8541" i="1"/>
  <c r="A8542" i="1"/>
  <c r="C8542" i="1"/>
  <c r="K8542" i="1"/>
  <c r="N8542" i="1"/>
  <c r="A8543" i="1"/>
  <c r="C8543" i="1"/>
  <c r="N8543" i="1"/>
  <c r="A8544" i="1"/>
  <c r="C8544" i="1"/>
  <c r="K8544" i="1"/>
  <c r="N8544" i="1"/>
  <c r="A8545" i="1"/>
  <c r="C8545" i="1"/>
  <c r="N8545" i="1"/>
  <c r="A8546" i="1"/>
  <c r="C8546" i="1"/>
  <c r="N8546" i="1"/>
  <c r="A8547" i="1"/>
  <c r="C8547" i="1"/>
  <c r="N8547" i="1"/>
  <c r="A8548" i="1"/>
  <c r="C8548" i="1"/>
  <c r="N8548" i="1"/>
  <c r="A8549" i="1"/>
  <c r="C8549" i="1"/>
  <c r="N8549" i="1"/>
  <c r="A8550" i="1"/>
  <c r="C8550" i="1"/>
  <c r="K8550" i="1"/>
  <c r="N8550" i="1"/>
  <c r="A8551" i="1"/>
  <c r="C8551" i="1"/>
  <c r="N8551" i="1"/>
  <c r="A8552" i="1"/>
  <c r="C8552" i="1"/>
  <c r="N8552" i="1"/>
  <c r="A8553" i="1"/>
  <c r="C8553" i="1"/>
  <c r="N8553" i="1"/>
  <c r="A8554" i="1"/>
  <c r="C8554" i="1"/>
  <c r="K8554" i="1"/>
  <c r="N8554" i="1"/>
  <c r="A8555" i="1"/>
  <c r="C8555" i="1"/>
  <c r="K8555" i="1"/>
  <c r="N8555" i="1"/>
  <c r="A8556" i="1"/>
  <c r="C8556" i="1"/>
  <c r="K8556" i="1"/>
  <c r="N8556" i="1"/>
  <c r="A8557" i="1"/>
  <c r="C8557" i="1"/>
  <c r="K8557" i="1"/>
  <c r="N8557" i="1"/>
  <c r="A8558" i="1"/>
  <c r="C8558" i="1"/>
  <c r="K8558" i="1"/>
  <c r="N8558" i="1"/>
  <c r="A8559" i="1"/>
  <c r="C8559" i="1"/>
  <c r="K8559" i="1"/>
  <c r="N8559" i="1"/>
  <c r="A8560" i="1"/>
  <c r="C8560" i="1"/>
  <c r="K8560" i="1"/>
  <c r="N8560" i="1"/>
  <c r="A8561" i="1"/>
  <c r="C8561" i="1"/>
  <c r="K8561" i="1"/>
  <c r="N8561" i="1"/>
  <c r="A8562" i="1"/>
  <c r="C8562" i="1"/>
  <c r="N8562" i="1"/>
  <c r="A8563" i="1"/>
  <c r="C8563" i="1"/>
  <c r="N8563" i="1"/>
  <c r="A8564" i="1"/>
  <c r="C8564" i="1"/>
  <c r="N8564" i="1"/>
  <c r="A8565" i="1"/>
  <c r="C8565" i="1"/>
  <c r="K8565" i="1"/>
  <c r="N8565" i="1"/>
  <c r="A8566" i="1"/>
  <c r="C8566" i="1"/>
  <c r="N8566" i="1"/>
  <c r="A8567" i="1"/>
  <c r="C8567" i="1"/>
  <c r="N8567" i="1"/>
  <c r="A8568" i="1"/>
  <c r="C8568" i="1"/>
  <c r="N8568" i="1"/>
  <c r="A8569" i="1"/>
  <c r="C8569" i="1"/>
  <c r="N8569" i="1"/>
  <c r="A8570" i="1"/>
  <c r="C8570" i="1"/>
  <c r="N8570" i="1"/>
  <c r="A8571" i="1"/>
  <c r="C8571" i="1"/>
  <c r="N8571" i="1"/>
  <c r="A8572" i="1"/>
  <c r="C8572" i="1"/>
  <c r="N8572" i="1"/>
  <c r="A8573" i="1"/>
  <c r="C8573" i="1"/>
  <c r="N8573" i="1"/>
  <c r="A8574" i="1"/>
  <c r="C8574" i="1"/>
  <c r="N8574" i="1"/>
  <c r="A8575" i="1"/>
  <c r="C8575" i="1"/>
  <c r="N8575" i="1"/>
  <c r="A8576" i="1"/>
  <c r="C8576" i="1"/>
  <c r="N8576" i="1"/>
  <c r="A8577" i="1"/>
  <c r="C8577" i="1"/>
  <c r="N8577" i="1"/>
  <c r="A8578" i="1"/>
  <c r="C8578" i="1"/>
  <c r="K8578" i="1"/>
  <c r="N8578" i="1"/>
  <c r="A8579" i="1"/>
  <c r="C8579" i="1"/>
  <c r="N8579" i="1"/>
  <c r="A8580" i="1"/>
  <c r="C8580" i="1"/>
  <c r="N8580" i="1"/>
  <c r="A8581" i="1"/>
  <c r="C8581" i="1"/>
  <c r="K8581" i="1"/>
  <c r="N8581" i="1"/>
  <c r="A8582" i="1"/>
  <c r="C8582" i="1"/>
  <c r="N8582" i="1"/>
  <c r="A8583" i="1"/>
  <c r="C8583" i="1"/>
  <c r="N8583" i="1"/>
  <c r="A8584" i="1"/>
  <c r="C8584" i="1"/>
  <c r="N8584" i="1"/>
  <c r="A8585" i="1"/>
  <c r="C8585" i="1"/>
  <c r="K8585" i="1"/>
  <c r="N8585" i="1"/>
  <c r="A8586" i="1"/>
  <c r="C8586" i="1"/>
  <c r="K8586" i="1"/>
  <c r="N8586" i="1"/>
  <c r="A8587" i="1"/>
  <c r="C8587" i="1"/>
  <c r="N8587" i="1"/>
  <c r="A8588" i="1"/>
  <c r="C8588" i="1"/>
  <c r="N8588" i="1"/>
  <c r="A8589" i="1"/>
  <c r="C8589" i="1"/>
  <c r="N8589" i="1"/>
  <c r="A8590" i="1"/>
  <c r="C8590" i="1"/>
  <c r="N8590" i="1"/>
  <c r="A8591" i="1"/>
  <c r="C8591" i="1"/>
  <c r="N8591" i="1"/>
  <c r="A8592" i="1"/>
  <c r="C8592" i="1"/>
  <c r="N8592" i="1"/>
  <c r="A8593" i="1"/>
  <c r="C8593" i="1"/>
  <c r="N8593" i="1"/>
  <c r="A8594" i="1"/>
  <c r="C8594" i="1"/>
  <c r="K8594" i="1"/>
  <c r="N8594" i="1"/>
  <c r="A8595" i="1"/>
  <c r="C8595" i="1"/>
  <c r="N8595" i="1"/>
  <c r="A8596" i="1"/>
  <c r="C8596" i="1"/>
  <c r="N8596" i="1"/>
  <c r="A8597" i="1"/>
  <c r="C8597" i="1"/>
  <c r="E8597" i="1"/>
  <c r="K8597" i="1"/>
  <c r="N8597" i="1"/>
  <c r="T8597" i="1"/>
  <c r="A8598" i="1"/>
  <c r="C8598" i="1"/>
  <c r="E8598" i="1"/>
  <c r="K8598" i="1"/>
  <c r="N8598" i="1"/>
  <c r="T8598" i="1"/>
  <c r="A8599" i="1"/>
  <c r="C8599" i="1"/>
  <c r="E8599" i="1"/>
  <c r="K8599" i="1"/>
  <c r="N8599" i="1"/>
  <c r="T8599" i="1"/>
  <c r="A8600" i="1"/>
  <c r="C8600" i="1"/>
  <c r="K8600" i="1"/>
  <c r="N8600" i="1"/>
  <c r="A8601" i="1"/>
  <c r="C8601" i="1"/>
  <c r="N8601" i="1"/>
  <c r="A8602" i="1"/>
  <c r="C8602" i="1"/>
  <c r="K8602" i="1"/>
  <c r="N8602" i="1"/>
  <c r="A8603" i="1"/>
  <c r="C8603" i="1"/>
  <c r="N8603" i="1"/>
  <c r="A8604" i="1"/>
  <c r="C8604" i="1"/>
  <c r="K8604" i="1"/>
  <c r="N8604" i="1"/>
  <c r="A8605" i="1"/>
  <c r="C8605" i="1"/>
  <c r="K8605" i="1"/>
  <c r="N8605" i="1"/>
  <c r="A8606" i="1"/>
  <c r="C8606" i="1"/>
  <c r="N8606" i="1"/>
  <c r="A8607" i="1"/>
  <c r="C8607" i="1"/>
  <c r="N8607" i="1"/>
  <c r="A8608" i="1"/>
  <c r="C8608" i="1"/>
  <c r="N8608" i="1"/>
  <c r="A8609" i="1"/>
  <c r="C8609" i="1"/>
  <c r="N8609" i="1"/>
  <c r="A8610" i="1"/>
  <c r="C8610" i="1"/>
  <c r="N8610" i="1"/>
  <c r="A8611" i="1"/>
  <c r="C8611" i="1"/>
  <c r="N8611" i="1"/>
  <c r="A8612" i="1"/>
  <c r="C8612" i="1"/>
  <c r="K8612" i="1"/>
  <c r="N8612" i="1"/>
  <c r="A8613" i="1"/>
  <c r="C8613" i="1"/>
  <c r="N8613" i="1"/>
  <c r="A8614" i="1"/>
  <c r="C8614" i="1"/>
  <c r="K8614" i="1"/>
  <c r="N8614" i="1"/>
  <c r="A8615" i="1"/>
  <c r="C8615" i="1"/>
  <c r="K8615" i="1"/>
  <c r="N8615" i="1"/>
  <c r="A8616" i="1"/>
  <c r="C8616" i="1"/>
  <c r="N8616" i="1"/>
  <c r="A8617" i="1"/>
  <c r="C8617" i="1"/>
  <c r="K8617" i="1"/>
  <c r="N8617" i="1"/>
  <c r="A8618" i="1"/>
  <c r="C8618" i="1"/>
  <c r="N8618" i="1"/>
  <c r="A8619" i="1"/>
  <c r="C8619" i="1"/>
  <c r="N8619" i="1"/>
  <c r="A8620" i="1"/>
  <c r="C8620" i="1"/>
  <c r="N8620" i="1"/>
  <c r="A8621" i="1"/>
  <c r="C8621" i="1"/>
  <c r="N8621" i="1"/>
  <c r="A8622" i="1"/>
  <c r="C8622" i="1"/>
  <c r="N8622" i="1"/>
  <c r="A8623" i="1"/>
  <c r="C8623" i="1"/>
  <c r="K8623" i="1"/>
  <c r="N8623" i="1"/>
  <c r="A8624" i="1"/>
  <c r="C8624" i="1"/>
  <c r="K8624" i="1"/>
  <c r="N8624" i="1"/>
  <c r="A8625" i="1"/>
  <c r="C8625" i="1"/>
  <c r="N8625" i="1"/>
  <c r="A8626" i="1"/>
  <c r="C8626" i="1"/>
  <c r="N8626" i="1"/>
  <c r="A8627" i="1"/>
  <c r="C8627" i="1"/>
  <c r="E8627" i="1"/>
  <c r="K8627" i="1"/>
  <c r="N8627" i="1"/>
  <c r="T8627" i="1"/>
  <c r="A8628" i="1"/>
  <c r="C8628" i="1"/>
  <c r="E8628" i="1"/>
  <c r="K8628" i="1"/>
  <c r="N8628" i="1"/>
  <c r="T8628" i="1"/>
  <c r="A8629" i="1"/>
  <c r="C8629" i="1"/>
  <c r="E8629" i="1"/>
  <c r="K8629" i="1"/>
  <c r="N8629" i="1"/>
  <c r="T8629" i="1"/>
  <c r="A8630" i="1"/>
  <c r="C8630" i="1"/>
  <c r="E8630" i="1"/>
  <c r="K8630" i="1"/>
  <c r="N8630" i="1"/>
  <c r="T8630" i="1"/>
  <c r="A8631" i="1"/>
  <c r="C8631" i="1"/>
  <c r="E8631" i="1"/>
  <c r="K8631" i="1"/>
  <c r="N8631" i="1"/>
  <c r="T8631" i="1"/>
  <c r="A8632" i="1"/>
  <c r="C8632" i="1"/>
  <c r="E8632" i="1"/>
  <c r="K8632" i="1"/>
  <c r="N8632" i="1"/>
  <c r="T8632" i="1"/>
  <c r="A8633" i="1"/>
  <c r="C8633" i="1"/>
  <c r="N8633" i="1"/>
  <c r="A8634" i="1"/>
  <c r="C8634" i="1"/>
  <c r="K8634" i="1"/>
  <c r="N8634" i="1"/>
  <c r="A8635" i="1"/>
  <c r="C8635" i="1"/>
  <c r="K8635" i="1"/>
  <c r="N8635" i="1"/>
  <c r="A8636" i="1"/>
  <c r="C8636" i="1"/>
  <c r="K8636" i="1"/>
  <c r="N8636" i="1"/>
  <c r="A8637" i="1"/>
  <c r="C8637" i="1"/>
  <c r="K8637" i="1"/>
  <c r="N8637" i="1"/>
  <c r="A8638" i="1"/>
  <c r="C8638" i="1"/>
  <c r="N8638" i="1"/>
  <c r="A8639" i="1"/>
  <c r="C8639" i="1"/>
  <c r="N8639" i="1"/>
  <c r="A8640" i="1"/>
  <c r="C8640" i="1"/>
  <c r="K8640" i="1"/>
  <c r="N8640" i="1"/>
  <c r="A8641" i="1"/>
  <c r="C8641" i="1"/>
  <c r="N8641" i="1"/>
  <c r="A8642" i="1"/>
  <c r="C8642" i="1"/>
  <c r="N8642" i="1"/>
  <c r="A8643" i="1"/>
  <c r="C8643" i="1"/>
  <c r="N8643" i="1"/>
  <c r="A8644" i="1"/>
  <c r="C8644" i="1"/>
  <c r="N8644" i="1"/>
  <c r="A8645" i="1"/>
  <c r="C8645" i="1"/>
  <c r="N8645" i="1"/>
  <c r="A8646" i="1"/>
  <c r="C8646" i="1"/>
  <c r="N8646" i="1"/>
  <c r="A8647" i="1"/>
  <c r="C8647" i="1"/>
  <c r="N8647" i="1"/>
  <c r="A8648" i="1"/>
  <c r="C8648" i="1"/>
  <c r="N8648" i="1"/>
  <c r="A8649" i="1"/>
  <c r="C8649" i="1"/>
  <c r="N8649" i="1"/>
  <c r="A8650" i="1"/>
  <c r="C8650" i="1"/>
  <c r="N8650" i="1"/>
  <c r="A8651" i="1"/>
  <c r="C8651" i="1"/>
  <c r="K8651" i="1"/>
  <c r="N8651" i="1"/>
  <c r="A8652" i="1"/>
  <c r="C8652" i="1"/>
  <c r="K8652" i="1"/>
  <c r="N8652" i="1"/>
  <c r="A8653" i="1"/>
  <c r="C8653" i="1"/>
  <c r="N8653" i="1"/>
  <c r="A8654" i="1"/>
  <c r="C8654" i="1"/>
  <c r="K8654" i="1"/>
  <c r="N8654" i="1"/>
  <c r="A8655" i="1"/>
  <c r="C8655" i="1"/>
  <c r="K8655" i="1"/>
  <c r="N8655" i="1"/>
  <c r="A8656" i="1"/>
  <c r="C8656" i="1"/>
  <c r="N8656" i="1"/>
  <c r="A8657" i="1"/>
  <c r="C8657" i="1"/>
  <c r="N8657" i="1"/>
  <c r="A8658" i="1"/>
  <c r="C8658" i="1"/>
  <c r="K8658" i="1"/>
  <c r="N8658" i="1"/>
  <c r="A8659" i="1"/>
  <c r="C8659" i="1"/>
  <c r="K8659" i="1"/>
  <c r="N8659" i="1"/>
  <c r="A8660" i="1"/>
  <c r="C8660" i="1"/>
  <c r="K8660" i="1"/>
  <c r="N8660" i="1"/>
  <c r="A8661" i="1"/>
  <c r="C8661" i="1"/>
  <c r="N8661" i="1"/>
  <c r="A8662" i="1"/>
  <c r="C8662" i="1"/>
  <c r="K8662" i="1"/>
  <c r="N8662" i="1"/>
  <c r="A8663" i="1"/>
  <c r="C8663" i="1"/>
  <c r="N8663" i="1"/>
  <c r="A8664" i="1"/>
  <c r="C8664" i="1"/>
  <c r="N8664" i="1"/>
  <c r="A8665" i="1"/>
  <c r="C8665" i="1"/>
  <c r="N8665" i="1"/>
  <c r="A8666" i="1"/>
  <c r="C8666" i="1"/>
  <c r="N8666" i="1"/>
  <c r="A8667" i="1"/>
  <c r="C8667" i="1"/>
  <c r="N8667" i="1"/>
  <c r="A8668" i="1"/>
  <c r="C8668" i="1"/>
  <c r="K8668" i="1"/>
  <c r="N8668" i="1"/>
  <c r="A8669" i="1"/>
  <c r="C8669" i="1"/>
  <c r="N8669" i="1"/>
  <c r="A8670" i="1"/>
  <c r="C8670" i="1"/>
  <c r="N8670" i="1"/>
  <c r="A8671" i="1"/>
  <c r="C8671" i="1"/>
  <c r="K8671" i="1"/>
  <c r="N8671" i="1"/>
  <c r="A8672" i="1"/>
  <c r="C8672" i="1"/>
  <c r="N8672" i="1"/>
  <c r="A8673" i="1"/>
  <c r="C8673" i="1"/>
  <c r="N8673" i="1"/>
  <c r="A8674" i="1"/>
  <c r="C8674" i="1"/>
  <c r="K8674" i="1"/>
  <c r="N8674" i="1"/>
  <c r="A8675" i="1"/>
  <c r="C8675" i="1"/>
  <c r="N8675" i="1"/>
  <c r="A8676" i="1"/>
  <c r="C8676" i="1"/>
  <c r="N8676" i="1"/>
  <c r="A8677" i="1"/>
  <c r="C8677" i="1"/>
  <c r="K8677" i="1"/>
  <c r="N8677" i="1"/>
  <c r="A8678" i="1"/>
  <c r="C8678" i="1"/>
  <c r="K8678" i="1"/>
  <c r="N8678" i="1"/>
  <c r="A8679" i="1"/>
  <c r="C8679" i="1"/>
  <c r="K8679" i="1"/>
  <c r="N8679" i="1"/>
  <c r="A8680" i="1"/>
  <c r="C8680" i="1"/>
  <c r="N8680" i="1"/>
  <c r="A8681" i="1"/>
  <c r="C8681" i="1"/>
  <c r="N8681" i="1"/>
  <c r="A8682" i="1"/>
  <c r="C8682" i="1"/>
  <c r="N8682" i="1"/>
  <c r="A8683" i="1"/>
  <c r="C8683" i="1"/>
  <c r="N8683" i="1"/>
  <c r="A8684" i="1"/>
  <c r="C8684" i="1"/>
  <c r="N8684" i="1"/>
  <c r="A8685" i="1"/>
  <c r="C8685" i="1"/>
  <c r="N8685" i="1"/>
  <c r="A8686" i="1"/>
  <c r="C8686" i="1"/>
  <c r="N8686" i="1"/>
  <c r="A8687" i="1"/>
  <c r="C8687" i="1"/>
  <c r="N8687" i="1"/>
  <c r="A8688" i="1"/>
  <c r="C8688" i="1"/>
  <c r="K8688" i="1"/>
  <c r="N8688" i="1"/>
  <c r="A8689" i="1"/>
  <c r="C8689" i="1"/>
  <c r="K8689" i="1"/>
  <c r="N8689" i="1"/>
  <c r="A8690" i="1"/>
  <c r="C8690" i="1"/>
  <c r="N8690" i="1"/>
  <c r="A8691" i="1"/>
  <c r="C8691" i="1"/>
  <c r="N8691" i="1"/>
  <c r="A8692" i="1"/>
  <c r="C8692" i="1"/>
  <c r="N8692" i="1"/>
  <c r="A8693" i="1"/>
  <c r="C8693" i="1"/>
  <c r="K8693" i="1"/>
  <c r="N8693" i="1"/>
  <c r="A8694" i="1"/>
  <c r="C8694" i="1"/>
  <c r="N8694" i="1"/>
  <c r="A8695" i="1"/>
  <c r="C8695" i="1"/>
  <c r="N8695" i="1"/>
  <c r="A8696" i="1"/>
  <c r="C8696" i="1"/>
  <c r="N8696" i="1"/>
  <c r="A8697" i="1"/>
  <c r="C8697" i="1"/>
  <c r="K8697" i="1"/>
  <c r="N8697" i="1"/>
  <c r="A8698" i="1"/>
  <c r="C8698" i="1"/>
  <c r="N8698" i="1"/>
  <c r="A8699" i="1"/>
  <c r="C8699" i="1"/>
  <c r="N8699" i="1"/>
  <c r="A8700" i="1"/>
  <c r="C8700" i="1"/>
  <c r="K8700" i="1"/>
  <c r="N8700" i="1"/>
  <c r="A8701" i="1"/>
  <c r="C8701" i="1"/>
  <c r="N8701" i="1"/>
  <c r="A8702" i="1"/>
  <c r="C8702" i="1"/>
  <c r="N8702" i="1"/>
  <c r="A8703" i="1"/>
  <c r="C8703" i="1"/>
  <c r="K8703" i="1"/>
  <c r="N8703" i="1"/>
  <c r="A8704" i="1"/>
  <c r="C8704" i="1"/>
  <c r="K8704" i="1"/>
  <c r="N8704" i="1"/>
  <c r="A8705" i="1"/>
  <c r="C8705" i="1"/>
  <c r="N8705" i="1"/>
  <c r="A8706" i="1"/>
  <c r="C8706" i="1"/>
  <c r="K8706" i="1"/>
  <c r="N8706" i="1"/>
  <c r="A8707" i="1"/>
  <c r="C8707" i="1"/>
  <c r="N8707" i="1"/>
  <c r="A8708" i="1"/>
  <c r="C8708" i="1"/>
  <c r="K8708" i="1"/>
  <c r="N8708" i="1"/>
  <c r="A8709" i="1"/>
  <c r="C8709" i="1"/>
  <c r="N8709" i="1"/>
  <c r="A8710" i="1"/>
  <c r="C8710" i="1"/>
  <c r="K8710" i="1"/>
  <c r="N8710" i="1"/>
  <c r="A8711" i="1"/>
  <c r="C8711" i="1"/>
  <c r="K8711" i="1"/>
  <c r="N8711" i="1"/>
  <c r="A8712" i="1"/>
  <c r="C8712" i="1"/>
  <c r="K8712" i="1"/>
  <c r="N8712" i="1"/>
  <c r="A8713" i="1"/>
  <c r="C8713" i="1"/>
  <c r="N8713" i="1"/>
  <c r="A8714" i="1"/>
  <c r="C8714" i="1"/>
  <c r="N8714" i="1"/>
  <c r="A8715" i="1"/>
  <c r="C8715" i="1"/>
  <c r="K8715" i="1"/>
  <c r="N8715" i="1"/>
  <c r="A8716" i="1"/>
  <c r="C8716" i="1"/>
  <c r="N8716" i="1"/>
  <c r="A8717" i="1"/>
  <c r="C8717" i="1"/>
  <c r="N8717" i="1"/>
  <c r="A8718" i="1"/>
  <c r="C8718" i="1"/>
  <c r="K8718" i="1"/>
  <c r="N8718" i="1"/>
  <c r="A8719" i="1"/>
  <c r="C8719" i="1"/>
  <c r="K8719" i="1"/>
  <c r="N8719" i="1"/>
  <c r="A8720" i="1"/>
  <c r="C8720" i="1"/>
  <c r="K8720" i="1"/>
  <c r="N8720" i="1"/>
  <c r="A8721" i="1"/>
  <c r="C8721" i="1"/>
  <c r="N8721" i="1"/>
  <c r="A8722" i="1"/>
  <c r="C8722" i="1"/>
  <c r="K8722" i="1"/>
  <c r="N8722" i="1"/>
  <c r="A8723" i="1"/>
  <c r="C8723" i="1"/>
  <c r="K8723" i="1"/>
  <c r="N8723" i="1"/>
  <c r="A8724" i="1"/>
  <c r="C8724" i="1"/>
  <c r="N8724" i="1"/>
  <c r="A8725" i="1"/>
  <c r="C8725" i="1"/>
  <c r="N8725" i="1"/>
  <c r="A8726" i="1"/>
  <c r="C8726" i="1"/>
  <c r="N8726" i="1"/>
  <c r="A8727" i="1"/>
  <c r="C8727" i="1"/>
  <c r="K8727" i="1"/>
  <c r="N8727" i="1"/>
  <c r="A8728" i="1"/>
  <c r="C8728" i="1"/>
  <c r="K8728" i="1"/>
  <c r="N8728" i="1"/>
  <c r="A8729" i="1"/>
  <c r="C8729" i="1"/>
  <c r="K8729" i="1"/>
  <c r="N8729" i="1"/>
  <c r="A8730" i="1"/>
  <c r="C8730" i="1"/>
  <c r="K8730" i="1"/>
  <c r="N8730" i="1"/>
  <c r="A8731" i="1"/>
  <c r="C8731" i="1"/>
  <c r="K8731" i="1"/>
  <c r="N8731" i="1"/>
  <c r="A8732" i="1"/>
  <c r="C8732" i="1"/>
  <c r="K8732" i="1"/>
  <c r="N8732" i="1"/>
  <c r="A8733" i="1"/>
  <c r="C8733" i="1"/>
  <c r="K8733" i="1"/>
  <c r="N8733" i="1"/>
  <c r="A8734" i="1"/>
  <c r="C8734" i="1"/>
  <c r="K8734" i="1"/>
  <c r="N8734" i="1"/>
  <c r="A8735" i="1"/>
  <c r="C8735" i="1"/>
  <c r="K8735" i="1"/>
  <c r="N8735" i="1"/>
  <c r="A8736" i="1"/>
  <c r="C8736" i="1"/>
  <c r="K8736" i="1"/>
  <c r="N8736" i="1"/>
  <c r="A8737" i="1"/>
  <c r="C8737" i="1"/>
  <c r="K8737" i="1"/>
  <c r="N8737" i="1"/>
  <c r="A8738" i="1"/>
  <c r="C8738" i="1"/>
  <c r="K8738" i="1"/>
  <c r="N8738" i="1"/>
  <c r="A8739" i="1"/>
  <c r="C8739" i="1"/>
  <c r="K8739" i="1"/>
  <c r="N8739" i="1"/>
  <c r="A8740" i="1"/>
  <c r="C8740" i="1"/>
  <c r="K8740" i="1"/>
  <c r="N8740" i="1"/>
  <c r="A8741" i="1"/>
  <c r="C8741" i="1"/>
  <c r="K8741" i="1"/>
  <c r="N8741" i="1"/>
  <c r="A8742" i="1"/>
  <c r="C8742" i="1"/>
  <c r="K8742" i="1"/>
  <c r="N8742" i="1"/>
  <c r="A8743" i="1"/>
  <c r="C8743" i="1"/>
  <c r="K8743" i="1"/>
  <c r="N8743" i="1"/>
  <c r="A8744" i="1"/>
  <c r="C8744" i="1"/>
  <c r="K8744" i="1"/>
  <c r="N8744" i="1"/>
  <c r="A8745" i="1"/>
  <c r="C8745" i="1"/>
  <c r="K8745" i="1"/>
  <c r="N8745" i="1"/>
  <c r="A8746" i="1"/>
  <c r="C8746" i="1"/>
  <c r="N8746" i="1"/>
  <c r="A8747" i="1"/>
  <c r="C8747" i="1"/>
  <c r="N8747" i="1"/>
  <c r="A8748" i="1"/>
  <c r="C8748" i="1"/>
  <c r="N8748" i="1"/>
  <c r="A8749" i="1"/>
  <c r="C8749" i="1"/>
  <c r="K8749" i="1"/>
  <c r="N8749" i="1"/>
  <c r="A8750" i="1"/>
  <c r="C8750" i="1"/>
  <c r="N8750" i="1"/>
  <c r="A8751" i="1"/>
  <c r="C8751" i="1"/>
  <c r="N8751" i="1"/>
  <c r="A8752" i="1"/>
  <c r="C8752" i="1"/>
  <c r="N8752" i="1"/>
  <c r="A8753" i="1"/>
  <c r="C8753" i="1"/>
  <c r="N8753" i="1"/>
  <c r="A8754" i="1"/>
  <c r="C8754" i="1"/>
  <c r="N8754" i="1"/>
  <c r="A8755" i="1"/>
  <c r="C8755" i="1"/>
  <c r="D8755" i="1"/>
  <c r="K8755" i="1"/>
  <c r="N8755" i="1"/>
  <c r="O8755" i="1"/>
  <c r="A8756" i="1"/>
  <c r="C8756" i="1"/>
  <c r="K8756" i="1"/>
  <c r="N8756" i="1"/>
  <c r="A8757" i="1"/>
  <c r="C8757" i="1"/>
  <c r="N8757" i="1"/>
  <c r="A8758" i="1"/>
  <c r="C8758" i="1"/>
  <c r="N8758" i="1"/>
  <c r="A8759" i="1"/>
  <c r="C8759" i="1"/>
  <c r="N8759" i="1"/>
  <c r="A8760" i="1"/>
  <c r="C8760" i="1"/>
  <c r="N8760" i="1"/>
  <c r="A8761" i="1"/>
  <c r="C8761" i="1"/>
  <c r="K8761" i="1"/>
  <c r="N8761" i="1"/>
  <c r="A8762" i="1"/>
  <c r="C8762" i="1"/>
  <c r="K8762" i="1"/>
  <c r="N8762" i="1"/>
  <c r="A8763" i="1"/>
  <c r="C8763" i="1"/>
  <c r="K8763" i="1"/>
  <c r="N8763" i="1"/>
  <c r="A8764" i="1"/>
  <c r="C8764" i="1"/>
  <c r="K8764" i="1"/>
  <c r="N8764" i="1"/>
  <c r="A8765" i="1"/>
  <c r="C8765" i="1"/>
  <c r="N8765" i="1"/>
  <c r="A8766" i="1"/>
  <c r="C8766" i="1"/>
  <c r="K8766" i="1"/>
  <c r="N8766" i="1"/>
  <c r="A8767" i="1"/>
  <c r="C8767" i="1"/>
  <c r="K8767" i="1"/>
  <c r="N8767" i="1"/>
  <c r="A8768" i="1"/>
  <c r="C8768" i="1"/>
  <c r="K8768" i="1"/>
  <c r="N8768" i="1"/>
  <c r="A8769" i="1"/>
  <c r="C8769" i="1"/>
  <c r="N8769" i="1"/>
  <c r="A8770" i="1"/>
  <c r="C8770" i="1"/>
  <c r="K8770" i="1"/>
  <c r="N8770" i="1"/>
  <c r="A8771" i="1"/>
  <c r="C8771" i="1"/>
  <c r="N8771" i="1"/>
  <c r="A8772" i="1"/>
  <c r="C8772" i="1"/>
  <c r="K8772" i="1"/>
  <c r="N8772" i="1"/>
  <c r="A8773" i="1"/>
  <c r="C8773" i="1"/>
  <c r="K8773" i="1"/>
  <c r="N8773" i="1"/>
  <c r="A8774" i="1"/>
  <c r="C8774" i="1"/>
  <c r="K8774" i="1"/>
  <c r="N8774" i="1"/>
  <c r="A8775" i="1"/>
  <c r="C8775" i="1"/>
  <c r="K8775" i="1"/>
  <c r="N8775" i="1"/>
  <c r="A8776" i="1"/>
  <c r="C8776" i="1"/>
  <c r="K8776" i="1"/>
  <c r="N8776" i="1"/>
  <c r="A8777" i="1"/>
  <c r="C8777" i="1"/>
  <c r="K8777" i="1"/>
  <c r="N8777" i="1"/>
  <c r="A8778" i="1"/>
  <c r="C8778" i="1"/>
  <c r="K8778" i="1"/>
  <c r="N8778" i="1"/>
  <c r="A8779" i="1"/>
  <c r="C8779" i="1"/>
  <c r="K8779" i="1"/>
  <c r="N8779" i="1"/>
  <c r="A8780" i="1"/>
  <c r="C8780" i="1"/>
  <c r="K8780" i="1"/>
  <c r="N8780" i="1"/>
  <c r="A8781" i="1"/>
  <c r="C8781" i="1"/>
  <c r="K8781" i="1"/>
  <c r="N8781" i="1"/>
  <c r="A8782" i="1"/>
  <c r="C8782" i="1"/>
  <c r="K8782" i="1"/>
  <c r="N8782" i="1"/>
  <c r="A8783" i="1"/>
  <c r="C8783" i="1"/>
  <c r="K8783" i="1"/>
  <c r="N8783" i="1"/>
  <c r="A8784" i="1"/>
  <c r="C8784" i="1"/>
  <c r="N8784" i="1"/>
  <c r="A8785" i="1"/>
  <c r="C8785" i="1"/>
  <c r="K8785" i="1"/>
  <c r="N8785" i="1"/>
  <c r="A8786" i="1"/>
  <c r="C8786" i="1"/>
  <c r="K8786" i="1"/>
  <c r="N8786" i="1"/>
  <c r="A8787" i="1"/>
  <c r="C8787" i="1"/>
  <c r="K8787" i="1"/>
  <c r="N8787" i="1"/>
  <c r="A8788" i="1"/>
  <c r="C8788" i="1"/>
  <c r="D8788" i="1"/>
  <c r="E8788" i="1"/>
  <c r="K8788" i="1"/>
  <c r="N8788" i="1"/>
  <c r="O8788" i="1"/>
  <c r="T8788" i="1"/>
  <c r="A8789" i="1"/>
  <c r="C8789" i="1"/>
  <c r="K8789" i="1"/>
  <c r="N8789" i="1"/>
  <c r="A8790" i="1"/>
  <c r="C8790" i="1"/>
  <c r="N8790" i="1"/>
  <c r="A8791" i="1"/>
  <c r="C8791" i="1"/>
  <c r="K8791" i="1"/>
  <c r="N8791" i="1"/>
  <c r="A8792" i="1"/>
  <c r="C8792" i="1"/>
  <c r="K8792" i="1"/>
  <c r="N8792" i="1"/>
  <c r="A8793" i="1"/>
  <c r="C8793" i="1"/>
  <c r="K8793" i="1"/>
  <c r="N8793" i="1"/>
  <c r="A8794" i="1"/>
  <c r="C8794" i="1"/>
  <c r="K8794" i="1"/>
  <c r="N8794" i="1"/>
  <c r="A8795" i="1"/>
  <c r="C8795" i="1"/>
  <c r="K8795" i="1"/>
  <c r="N8795" i="1"/>
  <c r="A8796" i="1"/>
  <c r="C8796" i="1"/>
  <c r="K8796" i="1"/>
  <c r="N8796" i="1"/>
  <c r="A8797" i="1"/>
  <c r="C8797" i="1"/>
  <c r="K8797" i="1"/>
  <c r="N8797" i="1"/>
  <c r="A8798" i="1"/>
  <c r="C8798" i="1"/>
  <c r="K8798" i="1"/>
  <c r="N8798" i="1"/>
  <c r="A8799" i="1"/>
  <c r="C8799" i="1"/>
  <c r="K8799" i="1"/>
  <c r="N8799" i="1"/>
  <c r="A8800" i="1"/>
  <c r="C8800" i="1"/>
  <c r="K8800" i="1"/>
  <c r="N8800" i="1"/>
  <c r="A8801" i="1"/>
  <c r="C8801" i="1"/>
  <c r="D8801" i="1"/>
  <c r="K8801" i="1"/>
  <c r="N8801" i="1"/>
  <c r="O8801" i="1"/>
  <c r="A8802" i="1"/>
  <c r="C8802" i="1"/>
  <c r="K8802" i="1"/>
  <c r="N8802" i="1"/>
  <c r="A8803" i="1"/>
  <c r="C8803" i="1"/>
  <c r="K8803" i="1"/>
  <c r="N8803" i="1"/>
  <c r="A8804" i="1"/>
  <c r="C8804" i="1"/>
  <c r="K8804" i="1"/>
  <c r="N8804" i="1"/>
  <c r="A8805" i="1"/>
  <c r="C8805" i="1"/>
  <c r="K8805" i="1"/>
  <c r="N8805" i="1"/>
  <c r="A8806" i="1"/>
  <c r="C8806" i="1"/>
  <c r="K8806" i="1"/>
  <c r="N8806" i="1"/>
  <c r="A8807" i="1"/>
  <c r="C8807" i="1"/>
  <c r="K8807" i="1"/>
  <c r="N8807" i="1"/>
  <c r="A8808" i="1"/>
  <c r="C8808" i="1"/>
  <c r="K8808" i="1"/>
  <c r="N8808" i="1"/>
  <c r="A8809" i="1"/>
  <c r="C8809" i="1"/>
  <c r="K8809" i="1"/>
  <c r="N8809" i="1"/>
  <c r="A8810" i="1"/>
  <c r="C8810" i="1"/>
  <c r="K8810" i="1"/>
  <c r="N8810" i="1"/>
  <c r="A8811" i="1"/>
  <c r="C8811" i="1"/>
  <c r="K8811" i="1"/>
  <c r="N8811" i="1"/>
  <c r="A8812" i="1"/>
  <c r="C8812" i="1"/>
  <c r="K8812" i="1"/>
  <c r="N8812" i="1"/>
  <c r="A8813" i="1"/>
  <c r="C8813" i="1"/>
  <c r="K8813" i="1"/>
  <c r="N8813" i="1"/>
  <c r="A8814" i="1"/>
  <c r="C8814" i="1"/>
  <c r="K8814" i="1"/>
  <c r="N8814" i="1"/>
  <c r="A8815" i="1"/>
  <c r="C8815" i="1"/>
  <c r="K8815" i="1"/>
  <c r="N8815" i="1"/>
  <c r="A8816" i="1"/>
  <c r="C8816" i="1"/>
  <c r="N8816" i="1"/>
  <c r="A8817" i="1"/>
  <c r="C8817" i="1"/>
  <c r="K8817" i="1"/>
  <c r="N8817" i="1"/>
  <c r="A8818" i="1"/>
  <c r="C8818" i="1"/>
  <c r="N8818" i="1"/>
  <c r="A8819" i="1"/>
  <c r="C8819" i="1"/>
  <c r="N8819" i="1"/>
  <c r="A8820" i="1"/>
  <c r="C8820" i="1"/>
  <c r="N8820" i="1"/>
  <c r="A8821" i="1"/>
  <c r="C8821" i="1"/>
  <c r="K8821" i="1"/>
  <c r="N8821" i="1"/>
  <c r="A8822" i="1"/>
  <c r="C8822" i="1"/>
  <c r="K8822" i="1"/>
  <c r="N8822" i="1"/>
  <c r="A8823" i="1"/>
  <c r="C8823" i="1"/>
  <c r="K8823" i="1"/>
  <c r="N8823" i="1"/>
  <c r="A8824" i="1"/>
  <c r="C8824" i="1"/>
  <c r="K8824" i="1"/>
  <c r="N8824" i="1"/>
  <c r="A8825" i="1"/>
  <c r="C8825" i="1"/>
  <c r="N8825" i="1"/>
  <c r="A8826" i="1"/>
  <c r="C8826" i="1"/>
  <c r="K8826" i="1"/>
  <c r="N8826" i="1"/>
  <c r="A8827" i="1"/>
  <c r="C8827" i="1"/>
  <c r="N8827" i="1"/>
  <c r="A8828" i="1"/>
  <c r="C8828" i="1"/>
  <c r="N8828" i="1"/>
  <c r="A8829" i="1"/>
  <c r="C8829" i="1"/>
  <c r="N8829" i="1"/>
  <c r="A8830" i="1"/>
  <c r="C8830" i="1"/>
  <c r="N8830" i="1"/>
  <c r="A8831" i="1"/>
  <c r="C8831" i="1"/>
  <c r="N8831" i="1"/>
  <c r="A8832" i="1"/>
  <c r="C8832" i="1"/>
  <c r="K8832" i="1"/>
  <c r="N8832" i="1"/>
  <c r="A8833" i="1"/>
  <c r="C8833" i="1"/>
  <c r="K8833" i="1"/>
  <c r="N8833" i="1"/>
  <c r="A8834" i="1"/>
  <c r="C8834" i="1"/>
  <c r="K8834" i="1"/>
  <c r="N8834" i="1"/>
  <c r="A8835" i="1"/>
  <c r="C8835" i="1"/>
  <c r="K8835" i="1"/>
  <c r="N8835" i="1"/>
  <c r="A8836" i="1"/>
  <c r="C8836" i="1"/>
  <c r="E8836" i="1"/>
  <c r="N8836" i="1"/>
  <c r="T8836" i="1"/>
  <c r="A8837" i="1"/>
  <c r="C8837" i="1"/>
  <c r="N8837" i="1"/>
  <c r="A8838" i="1"/>
  <c r="C8838" i="1"/>
  <c r="N8838" i="1"/>
  <c r="A8839" i="1"/>
  <c r="C8839" i="1"/>
  <c r="N8839" i="1"/>
  <c r="A8840" i="1"/>
  <c r="C8840" i="1"/>
  <c r="N8840" i="1"/>
  <c r="A8841" i="1"/>
  <c r="C8841" i="1"/>
  <c r="N8841" i="1"/>
  <c r="A8842" i="1"/>
  <c r="C8842" i="1"/>
  <c r="N8842" i="1"/>
  <c r="A8843" i="1"/>
  <c r="C8843" i="1"/>
  <c r="N8843" i="1"/>
  <c r="A8844" i="1"/>
  <c r="C8844" i="1"/>
  <c r="N8844" i="1"/>
  <c r="A8845" i="1"/>
  <c r="C8845" i="1"/>
  <c r="N8845" i="1"/>
  <c r="A8846" i="1"/>
  <c r="C8846" i="1"/>
  <c r="N8846" i="1"/>
  <c r="A8847" i="1"/>
  <c r="C8847" i="1"/>
  <c r="N8847" i="1"/>
  <c r="A8848" i="1"/>
  <c r="C8848" i="1"/>
  <c r="N8848" i="1"/>
  <c r="A8849" i="1"/>
  <c r="C8849" i="1"/>
  <c r="N8849" i="1"/>
  <c r="A8850" i="1"/>
  <c r="C8850" i="1"/>
  <c r="K8850" i="1"/>
  <c r="N8850" i="1"/>
  <c r="A8851" i="1"/>
  <c r="C8851" i="1"/>
  <c r="K8851" i="1"/>
  <c r="N8851" i="1"/>
  <c r="A8852" i="1"/>
  <c r="C8852" i="1"/>
  <c r="K8852" i="1"/>
  <c r="N8852" i="1"/>
  <c r="A8853" i="1"/>
  <c r="C8853" i="1"/>
  <c r="K8853" i="1"/>
  <c r="N8853" i="1"/>
  <c r="A8854" i="1"/>
  <c r="C8854" i="1"/>
  <c r="K8854" i="1"/>
  <c r="N8854" i="1"/>
  <c r="A8855" i="1"/>
  <c r="C8855" i="1"/>
  <c r="K8855" i="1"/>
  <c r="N8855" i="1"/>
  <c r="A8856" i="1"/>
  <c r="C8856" i="1"/>
  <c r="K8856" i="1"/>
  <c r="N8856" i="1"/>
  <c r="A8857" i="1"/>
  <c r="C8857" i="1"/>
  <c r="K8857" i="1"/>
  <c r="N8857" i="1"/>
  <c r="A8858" i="1"/>
  <c r="C8858" i="1"/>
  <c r="K8858" i="1"/>
  <c r="N8858" i="1"/>
  <c r="A8859" i="1"/>
  <c r="C8859" i="1"/>
  <c r="K8859" i="1"/>
  <c r="N8859" i="1"/>
  <c r="A8860" i="1"/>
  <c r="C8860" i="1"/>
  <c r="K8860" i="1"/>
  <c r="N8860" i="1"/>
  <c r="A8861" i="1"/>
  <c r="C8861" i="1"/>
  <c r="N8861" i="1"/>
  <c r="A8862" i="1"/>
  <c r="C8862" i="1"/>
  <c r="N8862" i="1"/>
  <c r="A8863" i="1"/>
  <c r="C8863" i="1"/>
  <c r="N8863" i="1"/>
  <c r="A8864" i="1"/>
  <c r="C8864" i="1"/>
  <c r="N8864" i="1"/>
  <c r="A8865" i="1"/>
  <c r="C8865" i="1"/>
  <c r="N8865" i="1"/>
  <c r="A8866" i="1"/>
  <c r="C8866" i="1"/>
  <c r="K8866" i="1"/>
  <c r="N8866" i="1"/>
  <c r="A8867" i="1"/>
  <c r="C8867" i="1"/>
  <c r="K8867" i="1"/>
  <c r="N8867" i="1"/>
  <c r="A8868" i="1"/>
  <c r="C8868" i="1"/>
  <c r="N8868" i="1"/>
  <c r="A8869" i="1"/>
  <c r="C8869" i="1"/>
  <c r="N8869" i="1"/>
  <c r="A8870" i="1"/>
  <c r="C8870" i="1"/>
  <c r="N8870" i="1"/>
  <c r="A8871" i="1"/>
  <c r="C8871" i="1"/>
  <c r="N8871" i="1"/>
  <c r="A8872" i="1"/>
  <c r="C8872" i="1"/>
  <c r="N8872" i="1"/>
  <c r="A8873" i="1"/>
  <c r="C8873" i="1"/>
  <c r="K8873" i="1"/>
  <c r="N8873" i="1"/>
  <c r="A8874" i="1"/>
  <c r="C8874" i="1"/>
  <c r="N8874" i="1"/>
  <c r="A8875" i="1"/>
  <c r="C8875" i="1"/>
  <c r="N8875" i="1"/>
  <c r="A8876" i="1"/>
  <c r="C8876" i="1"/>
  <c r="N8876" i="1"/>
  <c r="A8877" i="1"/>
  <c r="C8877" i="1"/>
  <c r="K8877" i="1"/>
  <c r="N8877" i="1"/>
  <c r="A8878" i="1"/>
  <c r="C8878" i="1"/>
  <c r="K8878" i="1"/>
  <c r="N8878" i="1"/>
  <c r="A8879" i="1"/>
  <c r="C8879" i="1"/>
  <c r="K8879" i="1"/>
  <c r="N8879" i="1"/>
  <c r="A8880" i="1"/>
  <c r="C8880" i="1"/>
  <c r="K8880" i="1"/>
  <c r="N8880" i="1"/>
  <c r="A8881" i="1"/>
  <c r="C8881" i="1"/>
  <c r="K8881" i="1"/>
  <c r="N8881" i="1"/>
  <c r="A8882" i="1"/>
  <c r="C8882" i="1"/>
  <c r="N8882" i="1"/>
  <c r="A8883" i="1"/>
  <c r="C8883" i="1"/>
  <c r="N8883" i="1"/>
  <c r="A8884" i="1"/>
  <c r="C8884" i="1"/>
  <c r="N8884" i="1"/>
  <c r="A8885" i="1"/>
  <c r="C8885" i="1"/>
  <c r="K8885" i="1"/>
  <c r="N8885" i="1"/>
  <c r="A8886" i="1"/>
  <c r="C8886" i="1"/>
  <c r="K8886" i="1"/>
  <c r="N8886" i="1"/>
  <c r="A8887" i="1"/>
  <c r="C8887" i="1"/>
  <c r="N8887" i="1"/>
  <c r="A8888" i="1"/>
  <c r="C8888" i="1"/>
  <c r="N8888" i="1"/>
  <c r="A8889" i="1"/>
  <c r="C8889" i="1"/>
  <c r="N8889" i="1"/>
  <c r="A8890" i="1"/>
  <c r="C8890" i="1"/>
  <c r="N8890" i="1"/>
  <c r="A8891" i="1"/>
  <c r="C8891" i="1"/>
  <c r="K8891" i="1"/>
  <c r="N8891" i="1"/>
  <c r="A8892" i="1"/>
  <c r="C8892" i="1"/>
  <c r="N8892" i="1"/>
  <c r="A8893" i="1"/>
  <c r="C8893" i="1"/>
  <c r="N8893" i="1"/>
  <c r="A8894" i="1"/>
  <c r="C8894" i="1"/>
  <c r="N8894" i="1"/>
  <c r="A8895" i="1"/>
  <c r="C8895" i="1"/>
  <c r="K8895" i="1"/>
  <c r="N8895" i="1"/>
  <c r="A8896" i="1"/>
  <c r="C8896" i="1"/>
  <c r="K8896" i="1"/>
  <c r="N8896" i="1"/>
  <c r="A8897" i="1"/>
  <c r="C8897" i="1"/>
  <c r="N8897" i="1"/>
  <c r="A8898" i="1"/>
  <c r="C8898" i="1"/>
  <c r="N8898" i="1"/>
  <c r="A8899" i="1"/>
  <c r="C8899" i="1"/>
  <c r="N8899" i="1"/>
  <c r="A8900" i="1"/>
  <c r="C8900" i="1"/>
  <c r="K8900" i="1"/>
  <c r="N8900" i="1"/>
  <c r="A8901" i="1"/>
  <c r="C8901" i="1"/>
  <c r="K8901" i="1"/>
  <c r="N8901" i="1"/>
  <c r="A8902" i="1"/>
  <c r="C8902" i="1"/>
  <c r="N8902" i="1"/>
  <c r="A8903" i="1"/>
  <c r="C8903" i="1"/>
  <c r="N8903" i="1"/>
  <c r="A8904" i="1"/>
  <c r="C8904" i="1"/>
  <c r="N8904" i="1"/>
  <c r="A8905" i="1"/>
  <c r="C8905" i="1"/>
  <c r="N8905" i="1"/>
  <c r="A8906" i="1"/>
  <c r="C8906" i="1"/>
  <c r="N8906" i="1"/>
  <c r="A8907" i="1"/>
  <c r="C8907" i="1"/>
  <c r="N8907" i="1"/>
  <c r="A8908" i="1"/>
  <c r="C8908" i="1"/>
  <c r="N8908" i="1"/>
  <c r="A8909" i="1"/>
  <c r="C8909" i="1"/>
  <c r="N8909" i="1"/>
  <c r="A8910" i="1"/>
  <c r="C8910" i="1"/>
  <c r="N8910" i="1"/>
  <c r="A8911" i="1"/>
  <c r="C8911" i="1"/>
  <c r="N8911" i="1"/>
  <c r="A8912" i="1"/>
  <c r="C8912" i="1"/>
  <c r="N8912" i="1"/>
  <c r="A8913" i="1"/>
  <c r="C8913" i="1"/>
  <c r="N8913" i="1"/>
  <c r="A8914" i="1"/>
  <c r="C8914" i="1"/>
  <c r="N8914" i="1"/>
  <c r="A8915" i="1"/>
  <c r="C8915" i="1"/>
  <c r="E8915" i="1"/>
  <c r="K8915" i="1"/>
  <c r="N8915" i="1"/>
  <c r="T8915" i="1"/>
  <c r="A8916" i="1"/>
  <c r="C8916" i="1"/>
  <c r="N8916" i="1"/>
  <c r="A8917" i="1"/>
  <c r="C8917" i="1"/>
  <c r="E8917" i="1"/>
  <c r="K8917" i="1"/>
  <c r="N8917" i="1"/>
  <c r="T8917" i="1"/>
  <c r="A8918" i="1"/>
  <c r="C8918" i="1"/>
  <c r="E8918" i="1"/>
  <c r="K8918" i="1"/>
  <c r="N8918" i="1"/>
  <c r="T8918" i="1"/>
  <c r="A8919" i="1"/>
  <c r="C8919" i="1"/>
  <c r="E8919" i="1"/>
  <c r="K8919" i="1"/>
  <c r="N8919" i="1"/>
  <c r="T8919" i="1"/>
  <c r="A8920" i="1"/>
  <c r="C8920" i="1"/>
  <c r="N8920" i="1"/>
  <c r="A8921" i="1"/>
  <c r="C8921" i="1"/>
  <c r="N8921" i="1"/>
  <c r="A8922" i="1"/>
  <c r="C8922" i="1"/>
  <c r="N8922" i="1"/>
  <c r="A8923" i="1"/>
  <c r="C8923" i="1"/>
  <c r="N8923" i="1"/>
  <c r="A8924" i="1"/>
  <c r="C8924" i="1"/>
  <c r="N8924" i="1"/>
  <c r="A8925" i="1"/>
  <c r="C8925" i="1"/>
  <c r="N8925" i="1"/>
  <c r="A8926" i="1"/>
  <c r="C8926" i="1"/>
  <c r="K8926" i="1"/>
  <c r="N8926" i="1"/>
  <c r="A8927" i="1"/>
  <c r="C8927" i="1"/>
  <c r="N8927" i="1"/>
  <c r="A8928" i="1"/>
  <c r="C8928" i="1"/>
  <c r="K8928" i="1"/>
  <c r="N8928" i="1"/>
  <c r="A8929" i="1"/>
  <c r="C8929" i="1"/>
  <c r="N8929" i="1"/>
  <c r="A8930" i="1"/>
  <c r="C8930" i="1"/>
  <c r="K8930" i="1"/>
  <c r="N8930" i="1"/>
  <c r="A8931" i="1"/>
  <c r="C8931" i="1"/>
  <c r="N8931" i="1"/>
  <c r="A8932" i="1"/>
  <c r="C8932" i="1"/>
  <c r="N8932" i="1"/>
  <c r="A8933" i="1"/>
  <c r="C8933" i="1"/>
  <c r="K8933" i="1"/>
  <c r="N8933" i="1"/>
  <c r="A8934" i="1"/>
  <c r="C8934" i="1"/>
  <c r="N8934" i="1"/>
  <c r="A8935" i="1"/>
  <c r="C8935" i="1"/>
  <c r="N8935" i="1"/>
  <c r="A8936" i="1"/>
  <c r="C8936" i="1"/>
  <c r="N8936" i="1"/>
  <c r="A8937" i="1"/>
  <c r="C8937" i="1"/>
  <c r="K8937" i="1"/>
  <c r="N8937" i="1"/>
  <c r="A8938" i="1"/>
  <c r="C8938" i="1"/>
  <c r="K8938" i="1"/>
  <c r="N8938" i="1"/>
  <c r="A8939" i="1"/>
  <c r="C8939" i="1"/>
  <c r="N8939" i="1"/>
  <c r="A8940" i="1"/>
  <c r="C8940" i="1"/>
  <c r="N8940" i="1"/>
  <c r="A8941" i="1"/>
  <c r="C8941" i="1"/>
  <c r="N8941" i="1"/>
  <c r="A8942" i="1"/>
  <c r="C8942" i="1"/>
  <c r="E8942" i="1"/>
  <c r="N8942" i="1"/>
  <c r="T8942" i="1"/>
  <c r="A8943" i="1"/>
  <c r="C8943" i="1"/>
  <c r="K8943" i="1"/>
  <c r="N8943" i="1"/>
  <c r="A8944" i="1"/>
  <c r="C8944" i="1"/>
  <c r="K8944" i="1"/>
  <c r="N8944" i="1"/>
  <c r="A8945" i="1"/>
  <c r="C8945" i="1"/>
  <c r="N8945" i="1"/>
  <c r="A8946" i="1"/>
  <c r="C8946" i="1"/>
  <c r="N8946" i="1"/>
  <c r="A8947" i="1"/>
  <c r="C8947" i="1"/>
  <c r="K8947" i="1"/>
  <c r="N8947" i="1"/>
  <c r="A8948" i="1"/>
  <c r="C8948" i="1"/>
  <c r="K8948" i="1"/>
  <c r="N8948" i="1"/>
  <c r="A8949" i="1"/>
  <c r="C8949" i="1"/>
  <c r="K8949" i="1"/>
  <c r="N8949" i="1"/>
  <c r="A8950" i="1"/>
  <c r="C8950" i="1"/>
  <c r="K8950" i="1"/>
  <c r="N8950" i="1"/>
  <c r="A8951" i="1"/>
  <c r="C8951" i="1"/>
  <c r="K8951" i="1"/>
  <c r="N8951" i="1"/>
  <c r="A8952" i="1"/>
  <c r="C8952" i="1"/>
  <c r="K8952" i="1"/>
  <c r="N8952" i="1"/>
  <c r="A8953" i="1"/>
  <c r="C8953" i="1"/>
  <c r="K8953" i="1"/>
  <c r="N8953" i="1"/>
  <c r="A8954" i="1"/>
  <c r="C8954" i="1"/>
  <c r="K8954" i="1"/>
  <c r="N8954" i="1"/>
  <c r="A8955" i="1"/>
  <c r="C8955" i="1"/>
  <c r="K8955" i="1"/>
  <c r="N8955" i="1"/>
  <c r="A8956" i="1"/>
  <c r="C8956" i="1"/>
  <c r="K8956" i="1"/>
  <c r="N8956" i="1"/>
  <c r="A8957" i="1"/>
  <c r="C8957" i="1"/>
  <c r="K8957" i="1"/>
  <c r="N8957" i="1"/>
  <c r="A8958" i="1"/>
  <c r="C8958" i="1"/>
  <c r="K8958" i="1"/>
  <c r="N8958" i="1"/>
  <c r="A8959" i="1"/>
  <c r="C8959" i="1"/>
  <c r="K8959" i="1"/>
  <c r="N8959" i="1"/>
  <c r="A8960" i="1"/>
  <c r="C8960" i="1"/>
  <c r="K8960" i="1"/>
  <c r="N8960" i="1"/>
  <c r="A8961" i="1"/>
  <c r="C8961" i="1"/>
  <c r="K8961" i="1"/>
  <c r="N8961" i="1"/>
  <c r="A8962" i="1"/>
  <c r="C8962" i="1"/>
  <c r="K8962" i="1"/>
  <c r="N8962" i="1"/>
  <c r="A8963" i="1"/>
  <c r="C8963" i="1"/>
  <c r="N8963" i="1"/>
  <c r="A8964" i="1"/>
  <c r="C8964" i="1"/>
  <c r="N8964" i="1"/>
  <c r="A8965" i="1"/>
  <c r="C8965" i="1"/>
  <c r="K8965" i="1"/>
  <c r="N8965" i="1"/>
  <c r="A8966" i="1"/>
  <c r="C8966" i="1"/>
  <c r="N8966" i="1"/>
  <c r="A8967" i="1"/>
  <c r="C8967" i="1"/>
  <c r="K8967" i="1"/>
  <c r="N8967" i="1"/>
  <c r="A8968" i="1"/>
  <c r="C8968" i="1"/>
  <c r="N8968" i="1"/>
  <c r="A8969" i="1"/>
  <c r="C8969" i="1"/>
  <c r="N8969" i="1"/>
  <c r="A8970" i="1"/>
  <c r="C8970" i="1"/>
  <c r="K8970" i="1"/>
  <c r="N8970" i="1"/>
  <c r="A8971" i="1"/>
  <c r="C8971" i="1"/>
  <c r="N8971" i="1"/>
  <c r="A8972" i="1"/>
  <c r="C8972" i="1"/>
  <c r="N8972" i="1"/>
  <c r="A8973" i="1"/>
  <c r="C8973" i="1"/>
  <c r="N8973" i="1"/>
  <c r="A8974" i="1"/>
  <c r="C8974" i="1"/>
  <c r="N8974" i="1"/>
  <c r="A8975" i="1"/>
  <c r="C8975" i="1"/>
  <c r="N8975" i="1"/>
  <c r="A8976" i="1"/>
  <c r="C8976" i="1"/>
  <c r="N8976" i="1"/>
  <c r="A8977" i="1"/>
  <c r="C8977" i="1"/>
  <c r="N8977" i="1"/>
  <c r="A8978" i="1"/>
  <c r="C8978" i="1"/>
  <c r="N8978" i="1"/>
  <c r="A8979" i="1"/>
  <c r="C8979" i="1"/>
  <c r="K8979" i="1"/>
  <c r="N8979" i="1"/>
  <c r="A8980" i="1"/>
  <c r="C8980" i="1"/>
  <c r="N8980" i="1"/>
  <c r="A8981" i="1"/>
  <c r="C8981" i="1"/>
  <c r="K8981" i="1"/>
  <c r="N8981" i="1"/>
  <c r="A8982" i="1"/>
  <c r="C8982" i="1"/>
  <c r="K8982" i="1"/>
  <c r="N8982" i="1"/>
  <c r="A8983" i="1"/>
  <c r="C8983" i="1"/>
  <c r="K8983" i="1"/>
  <c r="N8983" i="1"/>
  <c r="A8984" i="1"/>
  <c r="C8984" i="1"/>
  <c r="K8984" i="1"/>
  <c r="N8984" i="1"/>
  <c r="A8985" i="1"/>
  <c r="C8985" i="1"/>
  <c r="K8985" i="1"/>
  <c r="N8985" i="1"/>
  <c r="A8986" i="1"/>
  <c r="C8986" i="1"/>
  <c r="K8986" i="1"/>
  <c r="N8986" i="1"/>
  <c r="A8987" i="1"/>
  <c r="C8987" i="1"/>
  <c r="K8987" i="1"/>
  <c r="N8987" i="1"/>
  <c r="A8988" i="1"/>
  <c r="C8988" i="1"/>
  <c r="K8988" i="1"/>
  <c r="N8988" i="1"/>
  <c r="A8989" i="1"/>
  <c r="C8989" i="1"/>
  <c r="K8989" i="1"/>
  <c r="N8989" i="1"/>
  <c r="A8990" i="1"/>
  <c r="C8990" i="1"/>
  <c r="K8990" i="1"/>
  <c r="N8990" i="1"/>
  <c r="A8991" i="1"/>
  <c r="C8991" i="1"/>
  <c r="K8991" i="1"/>
  <c r="N8991" i="1"/>
  <c r="A8992" i="1"/>
  <c r="C8992" i="1"/>
  <c r="K8992" i="1"/>
  <c r="N8992" i="1"/>
  <c r="A8993" i="1"/>
  <c r="C8993" i="1"/>
  <c r="K8993" i="1"/>
  <c r="N8993" i="1"/>
  <c r="A8994" i="1"/>
  <c r="C8994" i="1"/>
  <c r="K8994" i="1"/>
  <c r="N8994" i="1"/>
  <c r="A8995" i="1"/>
  <c r="C8995" i="1"/>
  <c r="N8995" i="1"/>
  <c r="A8996" i="1"/>
  <c r="C8996" i="1"/>
  <c r="N8996" i="1"/>
  <c r="A8997" i="1"/>
  <c r="C8997" i="1"/>
  <c r="N8997" i="1"/>
  <c r="A8998" i="1"/>
  <c r="C8998" i="1"/>
  <c r="K8998" i="1"/>
  <c r="N8998" i="1"/>
  <c r="A8999" i="1"/>
  <c r="C8999" i="1"/>
  <c r="N8999" i="1"/>
  <c r="A9000" i="1"/>
  <c r="C9000" i="1"/>
  <c r="N9000" i="1"/>
  <c r="A9001" i="1"/>
  <c r="C9001" i="1"/>
  <c r="N9001" i="1"/>
  <c r="A9002" i="1"/>
  <c r="C9002" i="1"/>
  <c r="N9002" i="1"/>
  <c r="A9003" i="1"/>
  <c r="C9003" i="1"/>
  <c r="N9003" i="1"/>
  <c r="A9004" i="1"/>
  <c r="C9004" i="1"/>
  <c r="K9004" i="1"/>
  <c r="N9004" i="1"/>
  <c r="A9005" i="1"/>
  <c r="C9005" i="1"/>
  <c r="K9005" i="1"/>
  <c r="N9005" i="1"/>
  <c r="A9006" i="1"/>
  <c r="C9006" i="1"/>
  <c r="N9006" i="1"/>
  <c r="A9007" i="1"/>
  <c r="C9007" i="1"/>
  <c r="N9007" i="1"/>
  <c r="A9008" i="1"/>
  <c r="C9008" i="1"/>
  <c r="N9008" i="1"/>
  <c r="A9009" i="1"/>
  <c r="C9009" i="1"/>
  <c r="N9009" i="1"/>
  <c r="A9010" i="1"/>
  <c r="C9010" i="1"/>
  <c r="N9010" i="1"/>
  <c r="A9011" i="1"/>
  <c r="C9011" i="1"/>
  <c r="K9011" i="1"/>
  <c r="N9011" i="1"/>
  <c r="A9012" i="1"/>
  <c r="C9012" i="1"/>
  <c r="K9012" i="1"/>
  <c r="N9012" i="1"/>
  <c r="A9013" i="1"/>
  <c r="C9013" i="1"/>
  <c r="N9013" i="1"/>
  <c r="A9014" i="1"/>
  <c r="C9014" i="1"/>
  <c r="N9014" i="1"/>
  <c r="A9015" i="1"/>
  <c r="C9015" i="1"/>
  <c r="K9015" i="1"/>
  <c r="N9015" i="1"/>
  <c r="A9016" i="1"/>
  <c r="C9016" i="1"/>
  <c r="N9016" i="1"/>
  <c r="A9017" i="1"/>
  <c r="C9017" i="1"/>
  <c r="N9017" i="1"/>
  <c r="A9018" i="1"/>
  <c r="C9018" i="1"/>
  <c r="N9018" i="1"/>
  <c r="A9019" i="1"/>
  <c r="C9019" i="1"/>
  <c r="N9019" i="1"/>
  <c r="A9020" i="1"/>
  <c r="C9020" i="1"/>
  <c r="N9020" i="1"/>
  <c r="A9021" i="1"/>
  <c r="C9021" i="1"/>
  <c r="N9021" i="1"/>
  <c r="A9022" i="1"/>
  <c r="C9022" i="1"/>
  <c r="K9022" i="1"/>
  <c r="N9022" i="1"/>
  <c r="A9023" i="1"/>
  <c r="C9023" i="1"/>
  <c r="K9023" i="1"/>
  <c r="N9023" i="1"/>
  <c r="A9024" i="1"/>
  <c r="C9024" i="1"/>
  <c r="K9024" i="1"/>
  <c r="N9024" i="1"/>
  <c r="A9025" i="1"/>
  <c r="C9025" i="1"/>
  <c r="K9025" i="1"/>
  <c r="N9025" i="1"/>
  <c r="A9026" i="1"/>
  <c r="C9026" i="1"/>
  <c r="K9026" i="1"/>
  <c r="N9026" i="1"/>
  <c r="A9027" i="1"/>
  <c r="C9027" i="1"/>
  <c r="K9027" i="1"/>
  <c r="N9027" i="1"/>
  <c r="A9028" i="1"/>
  <c r="C9028" i="1"/>
  <c r="K9028" i="1"/>
  <c r="N9028" i="1"/>
  <c r="A9029" i="1"/>
  <c r="C9029" i="1"/>
  <c r="N9029" i="1"/>
  <c r="A9030" i="1"/>
  <c r="C9030" i="1"/>
  <c r="N9030" i="1"/>
  <c r="A9031" i="1"/>
  <c r="C9031" i="1"/>
  <c r="N9031" i="1"/>
  <c r="A9032" i="1"/>
  <c r="C9032" i="1"/>
  <c r="N9032" i="1"/>
  <c r="A9033" i="1"/>
  <c r="C9033" i="1"/>
  <c r="N9033" i="1"/>
  <c r="A9034" i="1"/>
  <c r="C9034" i="1"/>
  <c r="N9034" i="1"/>
  <c r="A9035" i="1"/>
  <c r="C9035" i="1"/>
  <c r="N9035" i="1"/>
  <c r="A9036" i="1"/>
  <c r="C9036" i="1"/>
  <c r="N9036" i="1"/>
  <c r="A9037" i="1"/>
  <c r="C9037" i="1"/>
  <c r="N9037" i="1"/>
  <c r="A9038" i="1"/>
  <c r="C9038" i="1"/>
  <c r="N9038" i="1"/>
  <c r="A9039" i="1"/>
  <c r="C9039" i="1"/>
  <c r="N9039" i="1"/>
  <c r="A9040" i="1"/>
  <c r="C9040" i="1"/>
  <c r="N9040" i="1"/>
  <c r="A9041" i="1"/>
  <c r="C9041" i="1"/>
  <c r="K9041" i="1"/>
  <c r="N9041" i="1"/>
  <c r="A9042" i="1"/>
  <c r="C9042" i="1"/>
  <c r="K9042" i="1"/>
  <c r="N9042" i="1"/>
  <c r="A9043" i="1"/>
  <c r="C9043" i="1"/>
  <c r="N9043" i="1"/>
  <c r="A9044" i="1"/>
  <c r="C9044" i="1"/>
  <c r="N9044" i="1"/>
  <c r="A9045" i="1"/>
  <c r="C9045" i="1"/>
  <c r="N9045" i="1"/>
  <c r="A9046" i="1"/>
  <c r="C9046" i="1"/>
  <c r="K9046" i="1"/>
  <c r="N9046" i="1"/>
  <c r="A9047" i="1"/>
  <c r="C9047" i="1"/>
  <c r="N9047" i="1"/>
  <c r="A9048" i="1"/>
  <c r="C9048" i="1"/>
  <c r="K9048" i="1"/>
  <c r="N9048" i="1"/>
  <c r="A9049" i="1"/>
  <c r="C9049" i="1"/>
  <c r="K9049" i="1"/>
  <c r="N9049" i="1"/>
  <c r="A9050" i="1"/>
  <c r="C9050" i="1"/>
  <c r="K9050" i="1"/>
  <c r="N9050" i="1"/>
  <c r="A9051" i="1"/>
  <c r="C9051" i="1"/>
  <c r="N9051" i="1"/>
  <c r="A9052" i="1"/>
  <c r="C9052" i="1"/>
  <c r="K9052" i="1"/>
  <c r="N9052" i="1"/>
  <c r="A9053" i="1"/>
  <c r="C9053" i="1"/>
  <c r="K9053" i="1"/>
  <c r="N9053" i="1"/>
  <c r="A9054" i="1"/>
  <c r="C9054" i="1"/>
  <c r="K9054" i="1"/>
  <c r="N9054" i="1"/>
  <c r="A9055" i="1"/>
  <c r="C9055" i="1"/>
  <c r="N9055" i="1"/>
  <c r="A9056" i="1"/>
  <c r="C9056" i="1"/>
  <c r="N9056" i="1"/>
  <c r="A9057" i="1"/>
  <c r="C9057" i="1"/>
  <c r="N9057" i="1"/>
  <c r="A9058" i="1"/>
  <c r="C9058" i="1"/>
  <c r="K9058" i="1"/>
  <c r="N9058" i="1"/>
  <c r="A9059" i="1"/>
  <c r="C9059" i="1"/>
  <c r="K9059" i="1"/>
  <c r="N9059" i="1"/>
  <c r="A9060" i="1"/>
  <c r="C9060" i="1"/>
  <c r="N9060" i="1"/>
  <c r="A9061" i="1"/>
  <c r="C9061" i="1"/>
  <c r="K9061" i="1"/>
  <c r="N9061" i="1"/>
  <c r="A9062" i="1"/>
  <c r="C9062" i="1"/>
  <c r="K9062" i="1"/>
  <c r="N9062" i="1"/>
  <c r="A9063" i="1"/>
  <c r="C9063" i="1"/>
  <c r="K9063" i="1"/>
  <c r="N9063" i="1"/>
  <c r="A9064" i="1"/>
  <c r="C9064" i="1"/>
  <c r="N9064" i="1"/>
  <c r="A9065" i="1"/>
  <c r="C9065" i="1"/>
  <c r="N9065" i="1"/>
  <c r="A9066" i="1"/>
  <c r="C9066" i="1"/>
  <c r="N9066" i="1"/>
  <c r="A9067" i="1"/>
  <c r="C9067" i="1"/>
  <c r="N9067" i="1"/>
  <c r="A9068" i="1"/>
  <c r="C9068" i="1"/>
  <c r="K9068" i="1"/>
  <c r="N9068" i="1"/>
  <c r="A9069" i="1"/>
  <c r="C9069" i="1"/>
  <c r="N9069" i="1"/>
  <c r="A9070" i="1"/>
  <c r="C9070" i="1"/>
  <c r="K9070" i="1"/>
  <c r="N9070" i="1"/>
  <c r="A9071" i="1"/>
  <c r="C9071" i="1"/>
  <c r="K9071" i="1"/>
  <c r="N9071" i="1"/>
  <c r="A9072" i="1"/>
  <c r="C9072" i="1"/>
  <c r="N9072" i="1"/>
  <c r="A9073" i="1"/>
  <c r="C9073" i="1"/>
  <c r="N9073" i="1"/>
  <c r="A9074" i="1"/>
  <c r="C9074" i="1"/>
  <c r="N9074" i="1"/>
  <c r="A9075" i="1"/>
  <c r="C9075" i="1"/>
  <c r="K9075" i="1"/>
  <c r="N9075" i="1"/>
  <c r="A9076" i="1"/>
  <c r="C9076" i="1"/>
  <c r="K9076" i="1"/>
  <c r="N9076" i="1"/>
  <c r="A9077" i="1"/>
  <c r="C9077" i="1"/>
  <c r="K9077" i="1"/>
  <c r="N9077" i="1"/>
  <c r="A9078" i="1"/>
  <c r="C9078" i="1"/>
  <c r="N9078" i="1"/>
  <c r="A9079" i="1"/>
  <c r="C9079" i="1"/>
  <c r="K9079" i="1"/>
  <c r="N9079" i="1"/>
  <c r="A9080" i="1"/>
  <c r="C9080" i="1"/>
  <c r="N9080" i="1"/>
  <c r="A9081" i="1"/>
  <c r="C9081" i="1"/>
  <c r="N9081" i="1"/>
  <c r="A9082" i="1"/>
  <c r="C9082" i="1"/>
  <c r="N9082" i="1"/>
  <c r="A9083" i="1"/>
  <c r="C9083" i="1"/>
  <c r="N9083" i="1"/>
  <c r="A9084" i="1"/>
  <c r="C9084" i="1"/>
  <c r="K9084" i="1"/>
  <c r="N9084" i="1"/>
  <c r="A9085" i="1"/>
  <c r="C9085" i="1"/>
  <c r="K9085" i="1"/>
  <c r="N9085" i="1"/>
  <c r="A9086" i="1"/>
  <c r="C9086" i="1"/>
  <c r="K9086" i="1"/>
  <c r="N9086" i="1"/>
  <c r="A9087" i="1"/>
  <c r="C9087" i="1"/>
  <c r="N9087" i="1"/>
  <c r="A9088" i="1"/>
  <c r="C9088" i="1"/>
  <c r="K9088" i="1"/>
  <c r="N9088" i="1"/>
  <c r="A9089" i="1"/>
  <c r="C9089" i="1"/>
  <c r="N9089" i="1"/>
  <c r="A9090" i="1"/>
  <c r="C9090" i="1"/>
  <c r="N9090" i="1"/>
  <c r="A9091" i="1"/>
  <c r="C9091" i="1"/>
  <c r="N9091" i="1"/>
  <c r="A9092" i="1"/>
  <c r="C9092" i="1"/>
  <c r="N9092" i="1"/>
  <c r="A9093" i="1"/>
  <c r="C9093" i="1"/>
  <c r="K9093" i="1"/>
  <c r="N9093" i="1"/>
  <c r="A9094" i="1"/>
  <c r="C9094" i="1"/>
  <c r="N9094" i="1"/>
  <c r="A9095" i="1"/>
  <c r="C9095" i="1"/>
  <c r="K9095" i="1"/>
  <c r="N9095" i="1"/>
  <c r="A9096" i="1"/>
  <c r="C9096" i="1"/>
  <c r="K9096" i="1"/>
  <c r="N9096" i="1"/>
  <c r="A9097" i="1"/>
  <c r="C9097" i="1"/>
  <c r="K9097" i="1"/>
  <c r="N9097" i="1"/>
  <c r="A9098" i="1"/>
  <c r="C9098" i="1"/>
  <c r="N9098" i="1"/>
  <c r="A9099" i="1"/>
  <c r="C9099" i="1"/>
  <c r="N9099" i="1"/>
  <c r="A9100" i="1"/>
  <c r="C9100" i="1"/>
  <c r="N9100" i="1"/>
  <c r="A9101" i="1"/>
  <c r="C9101" i="1"/>
  <c r="N9101" i="1"/>
  <c r="A9102" i="1"/>
  <c r="C9102" i="1"/>
  <c r="K9102" i="1"/>
  <c r="N9102" i="1"/>
  <c r="A9103" i="1"/>
  <c r="C9103" i="1"/>
  <c r="K9103" i="1"/>
  <c r="N9103" i="1"/>
  <c r="A9104" i="1"/>
  <c r="C9104" i="1"/>
  <c r="K9104" i="1"/>
  <c r="N9104" i="1"/>
  <c r="A9105" i="1"/>
  <c r="C9105" i="1"/>
  <c r="K9105" i="1"/>
  <c r="N9105" i="1"/>
  <c r="A9106" i="1"/>
  <c r="C9106" i="1"/>
  <c r="K9106" i="1"/>
  <c r="N9106" i="1"/>
  <c r="A9107" i="1"/>
  <c r="C9107" i="1"/>
  <c r="N9107" i="1"/>
  <c r="A9108" i="1"/>
  <c r="C9108" i="1"/>
  <c r="K9108" i="1"/>
  <c r="N9108" i="1"/>
  <c r="A9109" i="1"/>
  <c r="C9109" i="1"/>
  <c r="K9109" i="1"/>
  <c r="N9109" i="1"/>
  <c r="A9110" i="1"/>
  <c r="C9110" i="1"/>
  <c r="K9110" i="1"/>
  <c r="N9110" i="1"/>
  <c r="A9111" i="1"/>
  <c r="C9111" i="1"/>
  <c r="N9111" i="1"/>
  <c r="A9112" i="1"/>
  <c r="C9112" i="1"/>
  <c r="N9112" i="1"/>
  <c r="A9113" i="1"/>
  <c r="C9113" i="1"/>
  <c r="K9113" i="1"/>
  <c r="N9113" i="1"/>
  <c r="A9114" i="1"/>
  <c r="C9114" i="1"/>
  <c r="K9114" i="1"/>
  <c r="N9114" i="1"/>
  <c r="A9115" i="1"/>
  <c r="C9115" i="1"/>
  <c r="K9115" i="1"/>
  <c r="N9115" i="1"/>
  <c r="A9116" i="1"/>
  <c r="C9116" i="1"/>
  <c r="N9116" i="1"/>
  <c r="A9117" i="1"/>
  <c r="C9117" i="1"/>
  <c r="N9117" i="1"/>
  <c r="A9118" i="1"/>
  <c r="C9118" i="1"/>
  <c r="K9118" i="1"/>
  <c r="N9118" i="1"/>
  <c r="A9119" i="1"/>
  <c r="C9119" i="1"/>
  <c r="K9119" i="1"/>
  <c r="N9119" i="1"/>
  <c r="A9120" i="1"/>
  <c r="C9120" i="1"/>
  <c r="N9120" i="1"/>
  <c r="A9121" i="1"/>
  <c r="C9121" i="1"/>
  <c r="N9121" i="1"/>
  <c r="A9122" i="1"/>
  <c r="C9122" i="1"/>
  <c r="K9122" i="1"/>
  <c r="N9122" i="1"/>
  <c r="A9123" i="1"/>
  <c r="C9123" i="1"/>
  <c r="N9123" i="1"/>
  <c r="A9124" i="1"/>
  <c r="C9124" i="1"/>
  <c r="K9124" i="1"/>
  <c r="N9124" i="1"/>
  <c r="A9125" i="1"/>
  <c r="C9125" i="1"/>
  <c r="K9125" i="1"/>
  <c r="N9125" i="1"/>
  <c r="A9126" i="1"/>
  <c r="C9126" i="1"/>
  <c r="K9126" i="1"/>
  <c r="N9126" i="1"/>
  <c r="A9127" i="1"/>
  <c r="C9127" i="1"/>
  <c r="D9127" i="1"/>
  <c r="K9127" i="1"/>
  <c r="N9127" i="1"/>
  <c r="O9127" i="1"/>
  <c r="A9128" i="1"/>
  <c r="C9128" i="1"/>
  <c r="N9128" i="1"/>
  <c r="A9129" i="1"/>
  <c r="C9129" i="1"/>
  <c r="K9129" i="1"/>
  <c r="N9129" i="1"/>
  <c r="A9130" i="1"/>
  <c r="C9130" i="1"/>
  <c r="K9130" i="1"/>
  <c r="N9130" i="1"/>
  <c r="A9131" i="1"/>
  <c r="C9131" i="1"/>
  <c r="N9131" i="1"/>
  <c r="A9132" i="1"/>
  <c r="C9132" i="1"/>
  <c r="K9132" i="1"/>
  <c r="N9132" i="1"/>
  <c r="A9133" i="1"/>
  <c r="C9133" i="1"/>
  <c r="K9133" i="1"/>
  <c r="N9133" i="1"/>
  <c r="A9134" i="1"/>
  <c r="C9134" i="1"/>
  <c r="K9134" i="1"/>
  <c r="N9134" i="1"/>
  <c r="A9135" i="1"/>
  <c r="C9135" i="1"/>
  <c r="K9135" i="1"/>
  <c r="N9135" i="1"/>
  <c r="A9136" i="1"/>
  <c r="C9136" i="1"/>
  <c r="K9136" i="1"/>
  <c r="N9136" i="1"/>
  <c r="A9137" i="1"/>
  <c r="C9137" i="1"/>
  <c r="K9137" i="1"/>
  <c r="N9137" i="1"/>
  <c r="A9138" i="1"/>
  <c r="C9138" i="1"/>
  <c r="K9138" i="1"/>
  <c r="N9138" i="1"/>
  <c r="A9139" i="1"/>
  <c r="C9139" i="1"/>
  <c r="K9139" i="1"/>
  <c r="N9139" i="1"/>
  <c r="A9140" i="1"/>
  <c r="C9140" i="1"/>
  <c r="K9140" i="1"/>
  <c r="N9140" i="1"/>
  <c r="A9141" i="1"/>
  <c r="C9141" i="1"/>
  <c r="K9141" i="1"/>
  <c r="N9141" i="1"/>
  <c r="A9142" i="1"/>
  <c r="C9142" i="1"/>
  <c r="N9142" i="1"/>
  <c r="A9143" i="1"/>
  <c r="C9143" i="1"/>
  <c r="K9143" i="1"/>
  <c r="N9143" i="1"/>
  <c r="A9144" i="1"/>
  <c r="C9144" i="1"/>
  <c r="K9144" i="1"/>
  <c r="N9144" i="1"/>
  <c r="A9145" i="1"/>
  <c r="C9145" i="1"/>
  <c r="N9145" i="1"/>
  <c r="A9146" i="1"/>
  <c r="C9146" i="1"/>
  <c r="K9146" i="1"/>
  <c r="N9146" i="1"/>
  <c r="A9147" i="1"/>
  <c r="C9147" i="1"/>
  <c r="K9147" i="1"/>
  <c r="N9147" i="1"/>
  <c r="A9148" i="1"/>
  <c r="C9148" i="1"/>
  <c r="K9148" i="1"/>
  <c r="N9148" i="1"/>
  <c r="A9149" i="1"/>
  <c r="C9149" i="1"/>
  <c r="K9149" i="1"/>
  <c r="N9149" i="1"/>
  <c r="A9150" i="1"/>
  <c r="C9150" i="1"/>
  <c r="K9150" i="1"/>
  <c r="N9150" i="1"/>
  <c r="A9151" i="1"/>
  <c r="C9151" i="1"/>
  <c r="K9151" i="1"/>
  <c r="N9151" i="1"/>
  <c r="A9152" i="1"/>
  <c r="C9152" i="1"/>
  <c r="K9152" i="1"/>
  <c r="N9152" i="1"/>
  <c r="A9153" i="1"/>
  <c r="C9153" i="1"/>
  <c r="K9153" i="1"/>
  <c r="N9153" i="1"/>
  <c r="A9154" i="1"/>
  <c r="C9154" i="1"/>
  <c r="K9154" i="1"/>
  <c r="N9154" i="1"/>
  <c r="A9155" i="1"/>
  <c r="C9155" i="1"/>
  <c r="K9155" i="1"/>
  <c r="N9155" i="1"/>
  <c r="A9156" i="1"/>
  <c r="C9156" i="1"/>
  <c r="K9156" i="1"/>
  <c r="N9156" i="1"/>
  <c r="A9157" i="1"/>
  <c r="C9157" i="1"/>
  <c r="K9157" i="1"/>
  <c r="N9157" i="1"/>
  <c r="A9158" i="1"/>
  <c r="C9158" i="1"/>
  <c r="K9158" i="1"/>
  <c r="N9158" i="1"/>
  <c r="A9159" i="1"/>
  <c r="C9159" i="1"/>
  <c r="K9159" i="1"/>
  <c r="N9159" i="1"/>
  <c r="A9160" i="1"/>
  <c r="C9160" i="1"/>
  <c r="K9160" i="1"/>
  <c r="N9160" i="1"/>
  <c r="A9161" i="1"/>
  <c r="C9161" i="1"/>
  <c r="K9161" i="1"/>
  <c r="N9161" i="1"/>
  <c r="A9162" i="1"/>
  <c r="C9162" i="1"/>
  <c r="K9162" i="1"/>
  <c r="N9162" i="1"/>
  <c r="A9163" i="1"/>
  <c r="C9163" i="1"/>
  <c r="N9163" i="1"/>
  <c r="A9164" i="1"/>
  <c r="C9164" i="1"/>
  <c r="K9164" i="1"/>
  <c r="N9164" i="1"/>
  <c r="A9165" i="1"/>
  <c r="C9165" i="1"/>
  <c r="K9165" i="1"/>
  <c r="N9165" i="1"/>
  <c r="A9166" i="1"/>
  <c r="C9166" i="1"/>
  <c r="N9166" i="1"/>
  <c r="A9167" i="1"/>
  <c r="C9167" i="1"/>
  <c r="K9167" i="1"/>
  <c r="N9167" i="1"/>
  <c r="A9168" i="1"/>
  <c r="C9168" i="1"/>
  <c r="K9168" i="1"/>
  <c r="N9168" i="1"/>
  <c r="A9169" i="1"/>
  <c r="C9169" i="1"/>
  <c r="K9169" i="1"/>
  <c r="N9169" i="1"/>
  <c r="A9170" i="1"/>
  <c r="C9170" i="1"/>
  <c r="K9170" i="1"/>
  <c r="N9170" i="1"/>
  <c r="A9171" i="1"/>
  <c r="C9171" i="1"/>
  <c r="K9171" i="1"/>
  <c r="N9171" i="1"/>
  <c r="A9172" i="1"/>
  <c r="C9172" i="1"/>
  <c r="K9172" i="1"/>
  <c r="N9172" i="1"/>
  <c r="A9173" i="1"/>
  <c r="C9173" i="1"/>
  <c r="K9173" i="1"/>
  <c r="N9173" i="1"/>
  <c r="A9174" i="1"/>
  <c r="C9174" i="1"/>
  <c r="K9174" i="1"/>
  <c r="N9174" i="1"/>
  <c r="A9175" i="1"/>
  <c r="C9175" i="1"/>
  <c r="K9175" i="1"/>
  <c r="N9175" i="1"/>
  <c r="A9176" i="1"/>
  <c r="C9176" i="1"/>
  <c r="K9176" i="1"/>
  <c r="N9176" i="1"/>
  <c r="A9177" i="1"/>
  <c r="C9177" i="1"/>
  <c r="K9177" i="1"/>
  <c r="N9177" i="1"/>
  <c r="A9178" i="1"/>
  <c r="C9178" i="1"/>
  <c r="K9178" i="1"/>
  <c r="N9178" i="1"/>
  <c r="A9179" i="1"/>
  <c r="C9179" i="1"/>
  <c r="K9179" i="1"/>
  <c r="N9179" i="1"/>
  <c r="A9180" i="1"/>
  <c r="C9180" i="1"/>
  <c r="K9180" i="1"/>
  <c r="N9180" i="1"/>
  <c r="A9181" i="1"/>
  <c r="C9181" i="1"/>
  <c r="K9181" i="1"/>
  <c r="N9181" i="1"/>
  <c r="A9182" i="1"/>
  <c r="C9182" i="1"/>
  <c r="K9182" i="1"/>
  <c r="N9182" i="1"/>
  <c r="A9183" i="1"/>
  <c r="C9183" i="1"/>
  <c r="K9183" i="1"/>
  <c r="N9183" i="1"/>
  <c r="A9184" i="1"/>
  <c r="C9184" i="1"/>
  <c r="D9184" i="1"/>
  <c r="K9184" i="1"/>
  <c r="N9184" i="1"/>
  <c r="O9184" i="1"/>
  <c r="A9185" i="1"/>
  <c r="C9185" i="1"/>
  <c r="N9185" i="1"/>
  <c r="A9186" i="1"/>
  <c r="C9186" i="1"/>
  <c r="K9186" i="1"/>
  <c r="N9186" i="1"/>
  <c r="A9187" i="1"/>
  <c r="C9187" i="1"/>
  <c r="K9187" i="1"/>
  <c r="N9187" i="1"/>
  <c r="A9188" i="1"/>
  <c r="C9188" i="1"/>
  <c r="K9188" i="1"/>
  <c r="N9188" i="1"/>
  <c r="A9189" i="1"/>
  <c r="C9189" i="1"/>
  <c r="K9189" i="1"/>
  <c r="N9189" i="1"/>
  <c r="A9190" i="1"/>
  <c r="C9190" i="1"/>
  <c r="K9190" i="1"/>
  <c r="N9190" i="1"/>
  <c r="A9191" i="1"/>
  <c r="C9191" i="1"/>
  <c r="N9191" i="1"/>
  <c r="A9192" i="1"/>
  <c r="C9192" i="1"/>
  <c r="N9192" i="1"/>
  <c r="A9193" i="1"/>
  <c r="C9193" i="1"/>
  <c r="K9193" i="1"/>
  <c r="N9193" i="1"/>
  <c r="A9194" i="1"/>
  <c r="C9194" i="1"/>
  <c r="K9194" i="1"/>
  <c r="N9194" i="1"/>
  <c r="A9195" i="1"/>
  <c r="C9195" i="1"/>
  <c r="F9195" i="1"/>
  <c r="K9195" i="1"/>
  <c r="N9195" i="1"/>
  <c r="A9196" i="1"/>
  <c r="C9196" i="1"/>
  <c r="N9196" i="1"/>
  <c r="A9197" i="1"/>
  <c r="C9197" i="1"/>
  <c r="N9197" i="1"/>
  <c r="A9198" i="1"/>
  <c r="C9198" i="1"/>
  <c r="N9198" i="1"/>
  <c r="A9199" i="1"/>
  <c r="C9199" i="1"/>
  <c r="N9199" i="1"/>
  <c r="A9200" i="1"/>
  <c r="C9200" i="1"/>
  <c r="K9200" i="1"/>
  <c r="N9200" i="1"/>
  <c r="A9201" i="1"/>
  <c r="C9201" i="1"/>
  <c r="K9201" i="1"/>
  <c r="N9201" i="1"/>
  <c r="A9202" i="1"/>
  <c r="C9202" i="1"/>
  <c r="K9202" i="1"/>
  <c r="N9202" i="1"/>
  <c r="A9203" i="1"/>
  <c r="C9203" i="1"/>
  <c r="K9203" i="1"/>
  <c r="N9203" i="1"/>
  <c r="A9204" i="1"/>
  <c r="C9204" i="1"/>
  <c r="N9204" i="1"/>
  <c r="A9205" i="1"/>
  <c r="C9205" i="1"/>
  <c r="K9205" i="1"/>
  <c r="N9205" i="1"/>
  <c r="A9206" i="1"/>
  <c r="C9206" i="1"/>
  <c r="K9206" i="1"/>
  <c r="N9206" i="1"/>
  <c r="A9207" i="1"/>
  <c r="C9207" i="1"/>
  <c r="K9207" i="1"/>
  <c r="N9207" i="1"/>
  <c r="A9208" i="1"/>
  <c r="C9208" i="1"/>
  <c r="K9208" i="1"/>
  <c r="N9208" i="1"/>
  <c r="A9209" i="1"/>
  <c r="C9209" i="1"/>
  <c r="K9209" i="1"/>
  <c r="N9209" i="1"/>
  <c r="A9210" i="1"/>
  <c r="C9210" i="1"/>
  <c r="K9210" i="1"/>
  <c r="N9210" i="1"/>
  <c r="A9211" i="1"/>
  <c r="C9211" i="1"/>
  <c r="K9211" i="1"/>
  <c r="N9211" i="1"/>
  <c r="A9212" i="1"/>
  <c r="C9212" i="1"/>
  <c r="K9212" i="1"/>
  <c r="N9212" i="1"/>
  <c r="A9213" i="1"/>
  <c r="C9213" i="1"/>
  <c r="K9213" i="1"/>
  <c r="N9213" i="1"/>
  <c r="A9214" i="1"/>
  <c r="C9214" i="1"/>
  <c r="K9214" i="1"/>
  <c r="N9214" i="1"/>
  <c r="A9215" i="1"/>
  <c r="C9215" i="1"/>
  <c r="K9215" i="1"/>
  <c r="N9215" i="1"/>
  <c r="A9216" i="1"/>
  <c r="C9216" i="1"/>
  <c r="K9216" i="1"/>
  <c r="N9216" i="1"/>
  <c r="A9217" i="1"/>
  <c r="C9217" i="1"/>
  <c r="K9217" i="1"/>
  <c r="N9217" i="1"/>
  <c r="A9218" i="1"/>
  <c r="C9218" i="1"/>
  <c r="K9218" i="1"/>
  <c r="N9218" i="1"/>
  <c r="A9219" i="1"/>
  <c r="C9219" i="1"/>
  <c r="K9219" i="1"/>
  <c r="N9219" i="1"/>
  <c r="A9220" i="1"/>
  <c r="C9220" i="1"/>
  <c r="K9220" i="1"/>
  <c r="N9220" i="1"/>
  <c r="A9221" i="1"/>
  <c r="C9221" i="1"/>
  <c r="K9221" i="1"/>
  <c r="N9221" i="1"/>
  <c r="A9222" i="1"/>
  <c r="C9222" i="1"/>
  <c r="K9222" i="1"/>
  <c r="N9222" i="1"/>
  <c r="A9223" i="1"/>
  <c r="C9223" i="1"/>
  <c r="K9223" i="1"/>
  <c r="N9223" i="1"/>
  <c r="A9224" i="1"/>
  <c r="C9224" i="1"/>
  <c r="K9224" i="1"/>
  <c r="N9224" i="1"/>
  <c r="A9225" i="1"/>
  <c r="C9225" i="1"/>
  <c r="K9225" i="1"/>
  <c r="N9225" i="1"/>
  <c r="A9226" i="1"/>
  <c r="C9226" i="1"/>
  <c r="K9226" i="1"/>
  <c r="N9226" i="1"/>
  <c r="A9227" i="1"/>
  <c r="C9227" i="1"/>
  <c r="K9227" i="1"/>
  <c r="N9227" i="1"/>
  <c r="A9228" i="1"/>
  <c r="C9228" i="1"/>
  <c r="K9228" i="1"/>
  <c r="N9228" i="1"/>
  <c r="A9229" i="1"/>
  <c r="C9229" i="1"/>
  <c r="K9229" i="1"/>
  <c r="N9229" i="1"/>
  <c r="A9230" i="1"/>
  <c r="C9230" i="1"/>
  <c r="N9230" i="1"/>
  <c r="A9231" i="1"/>
  <c r="C9231" i="1"/>
  <c r="N9231" i="1"/>
  <c r="A9232" i="1"/>
  <c r="C9232" i="1"/>
  <c r="K9232" i="1"/>
  <c r="N9232" i="1"/>
  <c r="A9233" i="1"/>
  <c r="C9233" i="1"/>
  <c r="K9233" i="1"/>
  <c r="N9233" i="1"/>
  <c r="A9234" i="1"/>
  <c r="C9234" i="1"/>
  <c r="K9234" i="1"/>
  <c r="N9234" i="1"/>
  <c r="A9235" i="1"/>
  <c r="C9235" i="1"/>
  <c r="N9235" i="1"/>
  <c r="A9236" i="1"/>
  <c r="C9236" i="1"/>
  <c r="N9236" i="1"/>
  <c r="A9237" i="1"/>
  <c r="C9237" i="1"/>
  <c r="N9237" i="1"/>
  <c r="A9238" i="1"/>
  <c r="C9238" i="1"/>
  <c r="N9238" i="1"/>
  <c r="A9239" i="1"/>
  <c r="C9239" i="1"/>
  <c r="N9239" i="1"/>
  <c r="A9240" i="1"/>
  <c r="C9240" i="1"/>
  <c r="N9240" i="1"/>
  <c r="A9241" i="1"/>
  <c r="C9241" i="1"/>
  <c r="N9241" i="1"/>
  <c r="A9242" i="1"/>
  <c r="C9242" i="1"/>
  <c r="N9242" i="1"/>
  <c r="A9243" i="1"/>
  <c r="C9243" i="1"/>
  <c r="N9243" i="1"/>
  <c r="A9244" i="1"/>
  <c r="C9244" i="1"/>
  <c r="N9244" i="1"/>
  <c r="A9245" i="1"/>
  <c r="C9245" i="1"/>
  <c r="N9245" i="1"/>
  <c r="A9246" i="1"/>
  <c r="C9246" i="1"/>
  <c r="N9246" i="1"/>
  <c r="A9247" i="1"/>
  <c r="C9247" i="1"/>
  <c r="N9247" i="1"/>
  <c r="A9248" i="1"/>
  <c r="C9248" i="1"/>
  <c r="N9248" i="1"/>
  <c r="A9249" i="1"/>
  <c r="C9249" i="1"/>
  <c r="K9249" i="1"/>
  <c r="N9249" i="1"/>
  <c r="A9250" i="1"/>
  <c r="C9250" i="1"/>
  <c r="K9250" i="1"/>
  <c r="N9250" i="1"/>
  <c r="A9251" i="1"/>
  <c r="C9251" i="1"/>
  <c r="K9251" i="1"/>
  <c r="N9251" i="1"/>
  <c r="A9252" i="1"/>
  <c r="C9252" i="1"/>
  <c r="K9252" i="1"/>
  <c r="N9252" i="1"/>
  <c r="A9253" i="1"/>
  <c r="C9253" i="1"/>
  <c r="K9253" i="1"/>
  <c r="N9253" i="1"/>
  <c r="A9254" i="1"/>
  <c r="C9254" i="1"/>
  <c r="N9254" i="1"/>
  <c r="A9255" i="1"/>
  <c r="C9255" i="1"/>
  <c r="K9255" i="1"/>
  <c r="N9255" i="1"/>
  <c r="A9256" i="1"/>
  <c r="C9256" i="1"/>
  <c r="K9256" i="1"/>
  <c r="N9256" i="1"/>
  <c r="A9257" i="1"/>
  <c r="C9257" i="1"/>
  <c r="K9257" i="1"/>
  <c r="N9257" i="1"/>
  <c r="A9258" i="1"/>
  <c r="C9258" i="1"/>
  <c r="K9258" i="1"/>
  <c r="N9258" i="1"/>
  <c r="A9259" i="1"/>
  <c r="C9259" i="1"/>
  <c r="K9259" i="1"/>
  <c r="N9259" i="1"/>
  <c r="A9260" i="1"/>
  <c r="C9260" i="1"/>
  <c r="K9260" i="1"/>
  <c r="N9260" i="1"/>
  <c r="A9261" i="1"/>
  <c r="C9261" i="1"/>
  <c r="K9261" i="1"/>
  <c r="N9261" i="1"/>
  <c r="A9262" i="1"/>
  <c r="C9262" i="1"/>
  <c r="K9262" i="1"/>
  <c r="N9262" i="1"/>
  <c r="A9263" i="1"/>
  <c r="C9263" i="1"/>
  <c r="K9263" i="1"/>
  <c r="N9263" i="1"/>
  <c r="A9264" i="1"/>
  <c r="C9264" i="1"/>
  <c r="K9264" i="1"/>
  <c r="N9264" i="1"/>
  <c r="A9265" i="1"/>
  <c r="C9265" i="1"/>
  <c r="N9265" i="1"/>
  <c r="A9266" i="1"/>
  <c r="C9266" i="1"/>
  <c r="N9266" i="1"/>
  <c r="A9267" i="1"/>
  <c r="C9267" i="1"/>
  <c r="K9267" i="1"/>
  <c r="N9267" i="1"/>
  <c r="A9268" i="1"/>
  <c r="C9268" i="1"/>
  <c r="K9268" i="1"/>
  <c r="N9268" i="1"/>
  <c r="A9269" i="1"/>
  <c r="C9269" i="1"/>
  <c r="N9269" i="1"/>
  <c r="A9270" i="1"/>
  <c r="C9270" i="1"/>
  <c r="N9270" i="1"/>
  <c r="A9271" i="1"/>
  <c r="C9271" i="1"/>
  <c r="N9271" i="1"/>
  <c r="A9272" i="1"/>
  <c r="C9272" i="1"/>
  <c r="K9272" i="1"/>
  <c r="N9272" i="1"/>
  <c r="A9273" i="1"/>
  <c r="C9273" i="1"/>
  <c r="N9273" i="1"/>
  <c r="A9274" i="1"/>
  <c r="C9274" i="1"/>
  <c r="K9274" i="1"/>
  <c r="N9274" i="1"/>
  <c r="A9275" i="1"/>
  <c r="C9275" i="1"/>
  <c r="N9275" i="1"/>
  <c r="A9276" i="1"/>
  <c r="C9276" i="1"/>
  <c r="K9276" i="1"/>
  <c r="N9276" i="1"/>
  <c r="A9277" i="1"/>
  <c r="C9277" i="1"/>
  <c r="N9277" i="1"/>
  <c r="A9278" i="1"/>
  <c r="C9278" i="1"/>
  <c r="N9278" i="1"/>
  <c r="A9279" i="1"/>
  <c r="C9279" i="1"/>
  <c r="K9279" i="1"/>
  <c r="N9279" i="1"/>
  <c r="A9280" i="1"/>
  <c r="C9280" i="1"/>
  <c r="K9280" i="1"/>
  <c r="N9280" i="1"/>
  <c r="A9281" i="1"/>
  <c r="C9281" i="1"/>
  <c r="K9281" i="1"/>
  <c r="N9281" i="1"/>
  <c r="A9282" i="1"/>
  <c r="C9282" i="1"/>
  <c r="K9282" i="1"/>
  <c r="N9282" i="1"/>
  <c r="A9283" i="1"/>
  <c r="C9283" i="1"/>
  <c r="K9283" i="1"/>
  <c r="N9283" i="1"/>
  <c r="A9284" i="1"/>
  <c r="C9284" i="1"/>
  <c r="K9284" i="1"/>
  <c r="N9284" i="1"/>
  <c r="A9285" i="1"/>
  <c r="C9285" i="1"/>
  <c r="K9285" i="1"/>
  <c r="N9285" i="1"/>
  <c r="A9286" i="1"/>
  <c r="C9286" i="1"/>
  <c r="K9286" i="1"/>
  <c r="N9286" i="1"/>
  <c r="A9287" i="1"/>
  <c r="C9287" i="1"/>
  <c r="K9287" i="1"/>
  <c r="N9287" i="1"/>
  <c r="A9288" i="1"/>
  <c r="C9288" i="1"/>
  <c r="K9288" i="1"/>
  <c r="N9288" i="1"/>
  <c r="A9289" i="1"/>
  <c r="C9289" i="1"/>
  <c r="K9289" i="1"/>
  <c r="N9289" i="1"/>
  <c r="A9290" i="1"/>
  <c r="C9290" i="1"/>
  <c r="N9290" i="1"/>
  <c r="A9291" i="1"/>
  <c r="C9291" i="1"/>
  <c r="K9291" i="1"/>
  <c r="N9291" i="1"/>
  <c r="A9292" i="1"/>
  <c r="C9292" i="1"/>
  <c r="K9292" i="1"/>
  <c r="N9292" i="1"/>
  <c r="A9293" i="1"/>
  <c r="C9293" i="1"/>
  <c r="K9293" i="1"/>
  <c r="N9293" i="1"/>
  <c r="A9294" i="1"/>
  <c r="C9294" i="1"/>
  <c r="N9294" i="1"/>
  <c r="A9295" i="1"/>
  <c r="C9295" i="1"/>
  <c r="K9295" i="1"/>
  <c r="N9295" i="1"/>
  <c r="A9296" i="1"/>
  <c r="C9296" i="1"/>
  <c r="K9296" i="1"/>
  <c r="N9296" i="1"/>
  <c r="A9297" i="1"/>
  <c r="C9297" i="1"/>
  <c r="K9297" i="1"/>
  <c r="N9297" i="1"/>
  <c r="A9298" i="1"/>
  <c r="C9298" i="1"/>
  <c r="N9298" i="1"/>
  <c r="A9299" i="1"/>
  <c r="C9299" i="1"/>
  <c r="N9299" i="1"/>
  <c r="A9300" i="1"/>
  <c r="C9300" i="1"/>
  <c r="K9300" i="1"/>
  <c r="N9300" i="1"/>
  <c r="A9301" i="1"/>
  <c r="C9301" i="1"/>
  <c r="N9301" i="1"/>
  <c r="A9302" i="1"/>
  <c r="C9302" i="1"/>
  <c r="K9302" i="1"/>
  <c r="N9302" i="1"/>
  <c r="A9303" i="1"/>
  <c r="C9303" i="1"/>
  <c r="K9303" i="1"/>
  <c r="N9303" i="1"/>
  <c r="A9304" i="1"/>
  <c r="C9304" i="1"/>
  <c r="K9304" i="1"/>
  <c r="N9304" i="1"/>
  <c r="A9305" i="1"/>
  <c r="C9305" i="1"/>
  <c r="K9305" i="1"/>
  <c r="N9305" i="1"/>
  <c r="A9306" i="1"/>
  <c r="C9306" i="1"/>
  <c r="K9306" i="1"/>
  <c r="N9306" i="1"/>
  <c r="A9307" i="1"/>
  <c r="C9307" i="1"/>
  <c r="K9307" i="1"/>
  <c r="N9307" i="1"/>
  <c r="A9308" i="1"/>
  <c r="C9308" i="1"/>
  <c r="K9308" i="1"/>
  <c r="N9308" i="1"/>
  <c r="A9309" i="1"/>
  <c r="C9309" i="1"/>
  <c r="N9309" i="1"/>
  <c r="A9310" i="1"/>
  <c r="C9310" i="1"/>
  <c r="N9310" i="1"/>
  <c r="A9311" i="1"/>
  <c r="C9311" i="1"/>
  <c r="K9311" i="1"/>
  <c r="N9311" i="1"/>
  <c r="A9312" i="1"/>
  <c r="C9312" i="1"/>
  <c r="K9312" i="1"/>
  <c r="N9312" i="1"/>
  <c r="A9313" i="1"/>
  <c r="C9313" i="1"/>
  <c r="K9313" i="1"/>
  <c r="N9313" i="1"/>
  <c r="A9314" i="1"/>
  <c r="C9314" i="1"/>
  <c r="K9314" i="1"/>
  <c r="N9314" i="1"/>
  <c r="A9315" i="1"/>
  <c r="C9315" i="1"/>
  <c r="N9315" i="1"/>
  <c r="A9316" i="1"/>
  <c r="C9316" i="1"/>
  <c r="N9316" i="1"/>
  <c r="A9317" i="1"/>
  <c r="C9317" i="1"/>
  <c r="K9317" i="1"/>
  <c r="N9317" i="1"/>
  <c r="A9318" i="1"/>
  <c r="C9318" i="1"/>
  <c r="N9318" i="1"/>
  <c r="A9319" i="1"/>
  <c r="C9319" i="1"/>
  <c r="N9319" i="1"/>
  <c r="A9320" i="1"/>
  <c r="C9320" i="1"/>
  <c r="N9320" i="1"/>
  <c r="A9321" i="1"/>
  <c r="C9321" i="1"/>
  <c r="N9321" i="1"/>
  <c r="A9322" i="1"/>
  <c r="C9322" i="1"/>
  <c r="N9322" i="1"/>
  <c r="A9323" i="1"/>
  <c r="C9323" i="1"/>
  <c r="K9323" i="1"/>
  <c r="N9323" i="1"/>
  <c r="A9324" i="1"/>
  <c r="C9324" i="1"/>
  <c r="K9324" i="1"/>
  <c r="N9324" i="1"/>
  <c r="A9325" i="1"/>
  <c r="C9325" i="1"/>
  <c r="K9325" i="1"/>
  <c r="N9325" i="1"/>
  <c r="A9326" i="1"/>
  <c r="C9326" i="1"/>
  <c r="K9326" i="1"/>
  <c r="N9326" i="1"/>
  <c r="A9327" i="1"/>
  <c r="C9327" i="1"/>
  <c r="K9327" i="1"/>
  <c r="N9327" i="1"/>
  <c r="A9328" i="1"/>
  <c r="C9328" i="1"/>
  <c r="K9328" i="1"/>
  <c r="N9328" i="1"/>
  <c r="A9329" i="1"/>
  <c r="C9329" i="1"/>
  <c r="K9329" i="1"/>
  <c r="N9329" i="1"/>
  <c r="A9330" i="1"/>
  <c r="C9330" i="1"/>
  <c r="K9330" i="1"/>
  <c r="N9330" i="1"/>
  <c r="A9331" i="1"/>
  <c r="C9331" i="1"/>
  <c r="K9331" i="1"/>
  <c r="N9331" i="1"/>
  <c r="A9332" i="1"/>
  <c r="C9332" i="1"/>
  <c r="K9332" i="1"/>
  <c r="N9332" i="1"/>
  <c r="A9333" i="1"/>
  <c r="C9333" i="1"/>
  <c r="N9333" i="1"/>
  <c r="A9334" i="1"/>
  <c r="C9334" i="1"/>
  <c r="N9334" i="1"/>
  <c r="A9335" i="1"/>
  <c r="C9335" i="1"/>
  <c r="K9335" i="1"/>
  <c r="N9335" i="1"/>
  <c r="A9336" i="1"/>
  <c r="C9336" i="1"/>
  <c r="N9336" i="1"/>
  <c r="A9337" i="1"/>
  <c r="C9337" i="1"/>
  <c r="K9337" i="1"/>
  <c r="N9337" i="1"/>
  <c r="A9338" i="1"/>
  <c r="C9338" i="1"/>
  <c r="K9338" i="1"/>
  <c r="N9338" i="1"/>
  <c r="A9339" i="1"/>
  <c r="C9339" i="1"/>
  <c r="K9339" i="1"/>
  <c r="N9339" i="1"/>
  <c r="A9340" i="1"/>
  <c r="C9340" i="1"/>
  <c r="K9340" i="1"/>
  <c r="N9340" i="1"/>
  <c r="A9341" i="1"/>
  <c r="C9341" i="1"/>
  <c r="N9341" i="1"/>
  <c r="A9342" i="1"/>
  <c r="C9342" i="1"/>
  <c r="K9342" i="1"/>
  <c r="N9342" i="1"/>
  <c r="A9343" i="1"/>
  <c r="C9343" i="1"/>
  <c r="K9343" i="1"/>
  <c r="N9343" i="1"/>
  <c r="A9344" i="1"/>
  <c r="C9344" i="1"/>
  <c r="K9344" i="1"/>
  <c r="N9344" i="1"/>
  <c r="A9345" i="1"/>
  <c r="C9345" i="1"/>
  <c r="N9345" i="1"/>
  <c r="A9346" i="1"/>
  <c r="C9346" i="1"/>
  <c r="N9346" i="1"/>
  <c r="A9347" i="1"/>
  <c r="C9347" i="1"/>
  <c r="K9347" i="1"/>
  <c r="N9347" i="1"/>
  <c r="A9348" i="1"/>
  <c r="C9348" i="1"/>
  <c r="E9348" i="1"/>
  <c r="K9348" i="1"/>
  <c r="N9348" i="1"/>
  <c r="T9348" i="1"/>
  <c r="A9349" i="1"/>
  <c r="C9349" i="1"/>
  <c r="K9349" i="1"/>
  <c r="N9349" i="1"/>
  <c r="A9350" i="1"/>
  <c r="C9350" i="1"/>
  <c r="K9350" i="1"/>
  <c r="N9350" i="1"/>
  <c r="A9351" i="1"/>
  <c r="C9351" i="1"/>
  <c r="K9351" i="1"/>
  <c r="N9351" i="1"/>
  <c r="A9352" i="1"/>
  <c r="C9352" i="1"/>
  <c r="K9352" i="1"/>
  <c r="N9352" i="1"/>
  <c r="A9353" i="1"/>
  <c r="C9353" i="1"/>
  <c r="K9353" i="1"/>
  <c r="N9353" i="1"/>
  <c r="A9354" i="1"/>
  <c r="C9354" i="1"/>
  <c r="N9354" i="1"/>
  <c r="A9355" i="1"/>
  <c r="C9355" i="1"/>
  <c r="K9355" i="1"/>
  <c r="N9355" i="1"/>
  <c r="A9356" i="1"/>
  <c r="C9356" i="1"/>
  <c r="K9356" i="1"/>
  <c r="N9356" i="1"/>
  <c r="A9357" i="1"/>
  <c r="C9357" i="1"/>
  <c r="K9357" i="1"/>
  <c r="N9357" i="1"/>
  <c r="A9358" i="1"/>
  <c r="C9358" i="1"/>
  <c r="K9358" i="1"/>
  <c r="N9358" i="1"/>
  <c r="A9359" i="1"/>
  <c r="C9359" i="1"/>
  <c r="K9359" i="1"/>
  <c r="N9359" i="1"/>
  <c r="A9360" i="1"/>
  <c r="C9360" i="1"/>
  <c r="K9360" i="1"/>
  <c r="N9360" i="1"/>
  <c r="A9361" i="1"/>
  <c r="C9361" i="1"/>
  <c r="K9361" i="1"/>
  <c r="N9361" i="1"/>
  <c r="A9362" i="1"/>
  <c r="C9362" i="1"/>
  <c r="K9362" i="1"/>
  <c r="N9362" i="1"/>
  <c r="A9363" i="1"/>
  <c r="C9363" i="1"/>
  <c r="N9363" i="1"/>
  <c r="A9364" i="1"/>
  <c r="C9364" i="1"/>
  <c r="N9364" i="1"/>
  <c r="A9365" i="1"/>
  <c r="C9365" i="1"/>
  <c r="K9365" i="1"/>
  <c r="N9365" i="1"/>
  <c r="A9366" i="1"/>
  <c r="C9366" i="1"/>
  <c r="F9366" i="1"/>
  <c r="N9366" i="1"/>
  <c r="A9367" i="1"/>
  <c r="C9367" i="1"/>
  <c r="K9367" i="1"/>
  <c r="N9367" i="1"/>
  <c r="A9368" i="1"/>
  <c r="C9368" i="1"/>
  <c r="N9368" i="1"/>
  <c r="A9369" i="1"/>
  <c r="C9369" i="1"/>
  <c r="K9369" i="1"/>
  <c r="N9369" i="1"/>
  <c r="A9370" i="1"/>
  <c r="C9370" i="1"/>
  <c r="N9370" i="1"/>
  <c r="A9371" i="1"/>
  <c r="C9371" i="1"/>
  <c r="K9371" i="1"/>
  <c r="N9371" i="1"/>
  <c r="A9372" i="1"/>
  <c r="C9372" i="1"/>
  <c r="K9372" i="1"/>
  <c r="N9372" i="1"/>
  <c r="A9373" i="1"/>
  <c r="C9373" i="1"/>
  <c r="N9373" i="1"/>
  <c r="A9374" i="1"/>
  <c r="C9374" i="1"/>
  <c r="K9374" i="1"/>
  <c r="N9374" i="1"/>
  <c r="A9375" i="1"/>
  <c r="C9375" i="1"/>
  <c r="K9375" i="1"/>
  <c r="N9375" i="1"/>
  <c r="A9376" i="1"/>
  <c r="C9376" i="1"/>
  <c r="N9376" i="1"/>
  <c r="A9377" i="1"/>
  <c r="C9377" i="1"/>
  <c r="N9377" i="1"/>
  <c r="A9378" i="1"/>
  <c r="C9378" i="1"/>
  <c r="N9378" i="1"/>
  <c r="A9379" i="1"/>
  <c r="C9379" i="1"/>
  <c r="N9379" i="1"/>
  <c r="A9380" i="1"/>
  <c r="C9380" i="1"/>
  <c r="N9380" i="1"/>
  <c r="A9381" i="1"/>
  <c r="C9381" i="1"/>
  <c r="N9381" i="1"/>
  <c r="A9382" i="1"/>
  <c r="C9382" i="1"/>
  <c r="N9382" i="1"/>
  <c r="A9383" i="1"/>
  <c r="C9383" i="1"/>
  <c r="N9383" i="1"/>
  <c r="A9384" i="1"/>
  <c r="C9384" i="1"/>
  <c r="N9384" i="1"/>
  <c r="A9385" i="1"/>
  <c r="C9385" i="1"/>
  <c r="N9385" i="1"/>
  <c r="A9386" i="1"/>
  <c r="C9386" i="1"/>
  <c r="N9386" i="1"/>
  <c r="A9387" i="1"/>
  <c r="C9387" i="1"/>
  <c r="K9387" i="1"/>
  <c r="N9387" i="1"/>
  <c r="A9388" i="1"/>
  <c r="C9388" i="1"/>
  <c r="K9388" i="1"/>
  <c r="N9388" i="1"/>
  <c r="A9389" i="1"/>
  <c r="C9389" i="1"/>
  <c r="K9389" i="1"/>
  <c r="N9389" i="1"/>
  <c r="A9390" i="1"/>
  <c r="C9390" i="1"/>
  <c r="N9390" i="1"/>
  <c r="A9391" i="1"/>
  <c r="C9391" i="1"/>
  <c r="K9391" i="1"/>
  <c r="N9391" i="1"/>
  <c r="A9392" i="1"/>
  <c r="C9392" i="1"/>
  <c r="N9392" i="1"/>
  <c r="A9393" i="1"/>
  <c r="C9393" i="1"/>
  <c r="K9393" i="1"/>
  <c r="N9393" i="1"/>
  <c r="A9394" i="1"/>
  <c r="C9394" i="1"/>
  <c r="N9394" i="1"/>
  <c r="A9395" i="1"/>
  <c r="C9395" i="1"/>
  <c r="N9395" i="1"/>
  <c r="A9396" i="1"/>
  <c r="C9396" i="1"/>
  <c r="N9396" i="1"/>
  <c r="A9397" i="1"/>
  <c r="C9397" i="1"/>
  <c r="N9397" i="1"/>
  <c r="A9398" i="1"/>
  <c r="C9398" i="1"/>
  <c r="K9398" i="1"/>
  <c r="N9398" i="1"/>
  <c r="A9399" i="1"/>
  <c r="C9399" i="1"/>
  <c r="K9399" i="1"/>
  <c r="N9399" i="1"/>
  <c r="A9400" i="1"/>
  <c r="C9400" i="1"/>
  <c r="K9400" i="1"/>
  <c r="N9400" i="1"/>
  <c r="A9401" i="1"/>
  <c r="C9401" i="1"/>
  <c r="N9401" i="1"/>
  <c r="A9402" i="1"/>
  <c r="C9402" i="1"/>
  <c r="K9402" i="1"/>
  <c r="N9402" i="1"/>
  <c r="A9403" i="1"/>
  <c r="C9403" i="1"/>
  <c r="K9403" i="1"/>
  <c r="N9403" i="1"/>
  <c r="A9404" i="1"/>
  <c r="C9404" i="1"/>
  <c r="K9404" i="1"/>
  <c r="N9404" i="1"/>
  <c r="A9405" i="1"/>
  <c r="C9405" i="1"/>
  <c r="K9405" i="1"/>
  <c r="N9405" i="1"/>
  <c r="A9406" i="1"/>
  <c r="C9406" i="1"/>
  <c r="K9406" i="1"/>
  <c r="N9406" i="1"/>
  <c r="A9407" i="1"/>
  <c r="C9407" i="1"/>
  <c r="N9407" i="1"/>
  <c r="A9408" i="1"/>
  <c r="C9408" i="1"/>
  <c r="K9408" i="1"/>
  <c r="N9408" i="1"/>
  <c r="A9409" i="1"/>
  <c r="C9409" i="1"/>
  <c r="K9409" i="1"/>
  <c r="N9409" i="1"/>
  <c r="A9410" i="1"/>
  <c r="C9410" i="1"/>
  <c r="K9410" i="1"/>
  <c r="N9410" i="1"/>
  <c r="A9411" i="1"/>
  <c r="C9411" i="1"/>
  <c r="N9411" i="1"/>
  <c r="A9412" i="1"/>
  <c r="C9412" i="1"/>
  <c r="N9412" i="1"/>
  <c r="A9413" i="1"/>
  <c r="C9413" i="1"/>
  <c r="K9413" i="1"/>
  <c r="N9413" i="1"/>
  <c r="A9414" i="1"/>
  <c r="C9414" i="1"/>
  <c r="N9414" i="1"/>
  <c r="A9415" i="1"/>
  <c r="C9415" i="1"/>
  <c r="K9415" i="1"/>
  <c r="N9415" i="1"/>
  <c r="A9416" i="1"/>
  <c r="C9416" i="1"/>
  <c r="K9416" i="1"/>
  <c r="N9416" i="1"/>
  <c r="A9417" i="1"/>
  <c r="C9417" i="1"/>
  <c r="K9417" i="1"/>
  <c r="N9417" i="1"/>
  <c r="A9418" i="1"/>
  <c r="C9418" i="1"/>
  <c r="K9418" i="1"/>
  <c r="N9418" i="1"/>
  <c r="A9419" i="1"/>
  <c r="C9419" i="1"/>
  <c r="N9419" i="1"/>
  <c r="A9420" i="1"/>
  <c r="C9420" i="1"/>
  <c r="K9420" i="1"/>
  <c r="N9420" i="1"/>
  <c r="A9421" i="1"/>
  <c r="C9421" i="1"/>
  <c r="K9421" i="1"/>
  <c r="N9421" i="1"/>
  <c r="A9422" i="1"/>
  <c r="C9422" i="1"/>
  <c r="K9422" i="1"/>
  <c r="N9422" i="1"/>
  <c r="A9423" i="1"/>
  <c r="C9423" i="1"/>
  <c r="K9423" i="1"/>
  <c r="N9423" i="1"/>
  <c r="A9424" i="1"/>
  <c r="C9424" i="1"/>
  <c r="N9424" i="1"/>
  <c r="A9425" i="1"/>
  <c r="C9425" i="1"/>
  <c r="N9425" i="1"/>
  <c r="A9426" i="1"/>
  <c r="C9426" i="1"/>
  <c r="N9426" i="1"/>
  <c r="A9427" i="1"/>
  <c r="C9427" i="1"/>
  <c r="N9427" i="1"/>
  <c r="A9428" i="1"/>
  <c r="C9428" i="1"/>
  <c r="N9428" i="1"/>
  <c r="A9429" i="1"/>
  <c r="C9429" i="1"/>
  <c r="N9429" i="1"/>
  <c r="A9430" i="1"/>
  <c r="C9430" i="1"/>
  <c r="N9430" i="1"/>
  <c r="A9431" i="1"/>
  <c r="C9431" i="1"/>
  <c r="N9431" i="1"/>
  <c r="A9432" i="1"/>
  <c r="C9432" i="1"/>
  <c r="N9432" i="1"/>
  <c r="A9433" i="1"/>
  <c r="C9433" i="1"/>
  <c r="N9433" i="1"/>
  <c r="A9434" i="1"/>
  <c r="C9434" i="1"/>
  <c r="N9434" i="1"/>
  <c r="A9435" i="1"/>
  <c r="C9435" i="1"/>
  <c r="N9435" i="1"/>
  <c r="A9436" i="1"/>
  <c r="C9436" i="1"/>
  <c r="N9436" i="1"/>
  <c r="A9437" i="1"/>
  <c r="C9437" i="1"/>
  <c r="N9437" i="1"/>
  <c r="A9438" i="1"/>
  <c r="C9438" i="1"/>
  <c r="K9438" i="1"/>
  <c r="N9438" i="1"/>
  <c r="A9439" i="1"/>
  <c r="C9439" i="1"/>
  <c r="K9439" i="1"/>
  <c r="N9439" i="1"/>
  <c r="A9440" i="1"/>
  <c r="C9440" i="1"/>
  <c r="N9440" i="1"/>
  <c r="A9441" i="1"/>
  <c r="C9441" i="1"/>
  <c r="N9441" i="1"/>
  <c r="A9442" i="1"/>
  <c r="C9442" i="1"/>
  <c r="N9442" i="1"/>
  <c r="A9443" i="1"/>
  <c r="C9443" i="1"/>
  <c r="N9443" i="1"/>
  <c r="A9444" i="1"/>
  <c r="C9444" i="1"/>
  <c r="N9444" i="1"/>
  <c r="A9445" i="1"/>
  <c r="C9445" i="1"/>
  <c r="N9445" i="1"/>
  <c r="A9446" i="1"/>
  <c r="C9446" i="1"/>
  <c r="N9446" i="1"/>
  <c r="A9447" i="1"/>
  <c r="C9447" i="1"/>
  <c r="N9447" i="1"/>
  <c r="A9448" i="1"/>
  <c r="C9448" i="1"/>
  <c r="E9448" i="1"/>
  <c r="K9448" i="1"/>
  <c r="N9448" i="1"/>
  <c r="T9448" i="1"/>
  <c r="A9449" i="1"/>
  <c r="C9449" i="1"/>
  <c r="E9449" i="1"/>
  <c r="K9449" i="1"/>
  <c r="N9449" i="1"/>
  <c r="T9449" i="1"/>
  <c r="A9450" i="1"/>
  <c r="C9450" i="1"/>
  <c r="K9450" i="1"/>
  <c r="N9450" i="1"/>
  <c r="A9451" i="1"/>
  <c r="C9451" i="1"/>
  <c r="N9451" i="1"/>
  <c r="A9452" i="1"/>
  <c r="C9452" i="1"/>
  <c r="N9452" i="1"/>
  <c r="A9453" i="1"/>
  <c r="C9453" i="1"/>
  <c r="N9453" i="1"/>
  <c r="A9454" i="1"/>
  <c r="C9454" i="1"/>
  <c r="K9454" i="1"/>
  <c r="N9454" i="1"/>
  <c r="A9455" i="1"/>
  <c r="C9455" i="1"/>
  <c r="K9455" i="1"/>
  <c r="N9455" i="1"/>
  <c r="A9456" i="1"/>
  <c r="C9456" i="1"/>
  <c r="K9456" i="1"/>
  <c r="N9456" i="1"/>
  <c r="A9457" i="1"/>
  <c r="C9457" i="1"/>
  <c r="K9457" i="1"/>
  <c r="N9457" i="1"/>
  <c r="A9458" i="1"/>
  <c r="C9458" i="1"/>
  <c r="K9458" i="1"/>
  <c r="N9458" i="1"/>
  <c r="A9459" i="1"/>
  <c r="C9459" i="1"/>
  <c r="K9459" i="1"/>
  <c r="N9459" i="1"/>
  <c r="A9460" i="1"/>
  <c r="C9460" i="1"/>
  <c r="K9460" i="1"/>
  <c r="N9460" i="1"/>
  <c r="A9461" i="1"/>
  <c r="C9461" i="1"/>
  <c r="K9461" i="1"/>
  <c r="N9461" i="1"/>
  <c r="A9462" i="1"/>
  <c r="C9462" i="1"/>
  <c r="K9462" i="1"/>
  <c r="N9462" i="1"/>
  <c r="A9463" i="1"/>
  <c r="C9463" i="1"/>
  <c r="K9463" i="1"/>
  <c r="N9463" i="1"/>
  <c r="A9464" i="1"/>
  <c r="C9464" i="1"/>
  <c r="K9464" i="1"/>
  <c r="N9464" i="1"/>
  <c r="A9465" i="1"/>
  <c r="C9465" i="1"/>
  <c r="K9465" i="1"/>
  <c r="N9465" i="1"/>
  <c r="A9466" i="1"/>
  <c r="C9466" i="1"/>
  <c r="K9466" i="1"/>
  <c r="N9466" i="1"/>
  <c r="A9467" i="1"/>
  <c r="C9467" i="1"/>
  <c r="K9467" i="1"/>
  <c r="N9467" i="1"/>
  <c r="A9468" i="1"/>
  <c r="C9468" i="1"/>
  <c r="N9468" i="1"/>
  <c r="A9469" i="1"/>
  <c r="C9469" i="1"/>
  <c r="K9469" i="1"/>
  <c r="N9469" i="1"/>
  <c r="A9470" i="1"/>
  <c r="C9470" i="1"/>
  <c r="K9470" i="1"/>
  <c r="N9470" i="1"/>
  <c r="A9471" i="1"/>
  <c r="C9471" i="1"/>
  <c r="K9471" i="1"/>
  <c r="N9471" i="1"/>
  <c r="A9472" i="1"/>
  <c r="C9472" i="1"/>
  <c r="K9472" i="1"/>
  <c r="N9472" i="1"/>
  <c r="A9473" i="1"/>
  <c r="C9473" i="1"/>
  <c r="K9473" i="1"/>
  <c r="N9473" i="1"/>
  <c r="A9474" i="1"/>
  <c r="C9474" i="1"/>
  <c r="N9474" i="1"/>
  <c r="A9475" i="1"/>
  <c r="C9475" i="1"/>
  <c r="N9475" i="1"/>
  <c r="A9476" i="1"/>
  <c r="C9476" i="1"/>
  <c r="N9476" i="1"/>
  <c r="A9477" i="1"/>
  <c r="C9477" i="1"/>
  <c r="N9477" i="1"/>
  <c r="A9478" i="1"/>
  <c r="C9478" i="1"/>
  <c r="N9478" i="1"/>
  <c r="A9479" i="1"/>
  <c r="C9479" i="1"/>
  <c r="K9479" i="1"/>
  <c r="N9479" i="1"/>
  <c r="A9480" i="1"/>
  <c r="C9480" i="1"/>
  <c r="K9480" i="1"/>
  <c r="N9480" i="1"/>
  <c r="A9481" i="1"/>
  <c r="C9481" i="1"/>
  <c r="K9481" i="1"/>
  <c r="N9481" i="1"/>
  <c r="A9482" i="1"/>
  <c r="C9482" i="1"/>
  <c r="N9482" i="1"/>
  <c r="A9483" i="1"/>
  <c r="C9483" i="1"/>
  <c r="N9483" i="1"/>
  <c r="A9484" i="1"/>
  <c r="C9484" i="1"/>
  <c r="K9484" i="1"/>
  <c r="N9484" i="1"/>
  <c r="A9485" i="1"/>
  <c r="C9485" i="1"/>
  <c r="N9485" i="1"/>
  <c r="A9486" i="1"/>
  <c r="C9486" i="1"/>
  <c r="N9486" i="1"/>
  <c r="A9487" i="1"/>
  <c r="C9487" i="1"/>
  <c r="N9487" i="1"/>
  <c r="A9488" i="1"/>
  <c r="C9488" i="1"/>
  <c r="N9488" i="1"/>
  <c r="A9489" i="1"/>
  <c r="C9489" i="1"/>
  <c r="N9489" i="1"/>
  <c r="A9490" i="1"/>
  <c r="C9490" i="1"/>
  <c r="N9490" i="1"/>
  <c r="A9491" i="1"/>
  <c r="C9491" i="1"/>
  <c r="N9491" i="1"/>
  <c r="A9492" i="1"/>
  <c r="C9492" i="1"/>
  <c r="N9492" i="1"/>
  <c r="A9493" i="1"/>
  <c r="C9493" i="1"/>
  <c r="N9493" i="1"/>
  <c r="A9494" i="1"/>
  <c r="C9494" i="1"/>
  <c r="N9494" i="1"/>
  <c r="A9495" i="1"/>
  <c r="C9495" i="1"/>
  <c r="N9495" i="1"/>
  <c r="A9496" i="1"/>
  <c r="C9496" i="1"/>
  <c r="N9496" i="1"/>
  <c r="A9497" i="1"/>
  <c r="C9497" i="1"/>
  <c r="K9497" i="1"/>
  <c r="N9497" i="1"/>
  <c r="A9498" i="1"/>
  <c r="C9498" i="1"/>
  <c r="K9498" i="1"/>
  <c r="N9498" i="1"/>
  <c r="A9499" i="1"/>
  <c r="C9499" i="1"/>
  <c r="K9499" i="1"/>
  <c r="N9499" i="1"/>
  <c r="A9500" i="1"/>
  <c r="C9500" i="1"/>
  <c r="N9500" i="1"/>
  <c r="A9501" i="1"/>
  <c r="C9501" i="1"/>
  <c r="K9501" i="1"/>
  <c r="N9501" i="1"/>
  <c r="A9502" i="1"/>
  <c r="C9502" i="1"/>
  <c r="K9502" i="1"/>
  <c r="N9502" i="1"/>
  <c r="A9503" i="1"/>
  <c r="C9503" i="1"/>
  <c r="N9503" i="1"/>
  <c r="A9504" i="1"/>
  <c r="C9504" i="1"/>
  <c r="N9504" i="1"/>
  <c r="A9505" i="1"/>
  <c r="C9505" i="1"/>
  <c r="N9505" i="1"/>
  <c r="A9506" i="1"/>
  <c r="C9506" i="1"/>
  <c r="N9506" i="1"/>
  <c r="A9507" i="1"/>
  <c r="C9507" i="1"/>
  <c r="E9507" i="1"/>
  <c r="K9507" i="1"/>
  <c r="N9507" i="1"/>
  <c r="T9507" i="1"/>
  <c r="A9508" i="1"/>
  <c r="C9508" i="1"/>
  <c r="N9508" i="1"/>
  <c r="A9509" i="1"/>
  <c r="C9509" i="1"/>
  <c r="N9509" i="1"/>
  <c r="A9510" i="1"/>
  <c r="C9510" i="1"/>
  <c r="K9510" i="1"/>
  <c r="N9510" i="1"/>
  <c r="A9511" i="1"/>
  <c r="C9511" i="1"/>
  <c r="K9511" i="1"/>
  <c r="N9511" i="1"/>
  <c r="A9512" i="1"/>
  <c r="C9512" i="1"/>
  <c r="N9512" i="1"/>
  <c r="A9513" i="1"/>
  <c r="C9513" i="1"/>
  <c r="K9513" i="1"/>
  <c r="N9513" i="1"/>
  <c r="A9514" i="1"/>
  <c r="C9514" i="1"/>
  <c r="K9514" i="1"/>
  <c r="N9514" i="1"/>
  <c r="A9515" i="1"/>
  <c r="C9515" i="1"/>
  <c r="K9515" i="1"/>
  <c r="N9515" i="1"/>
  <c r="A9516" i="1"/>
  <c r="C9516" i="1"/>
  <c r="K9516" i="1"/>
  <c r="N9516" i="1"/>
  <c r="A9517" i="1"/>
  <c r="C9517" i="1"/>
  <c r="K9517" i="1"/>
  <c r="N9517" i="1"/>
  <c r="A9518" i="1"/>
  <c r="C9518" i="1"/>
  <c r="K9518" i="1"/>
  <c r="N9518" i="1"/>
  <c r="A9519" i="1"/>
  <c r="C9519" i="1"/>
  <c r="K9519" i="1"/>
  <c r="N9519" i="1"/>
  <c r="A9520" i="1"/>
  <c r="C9520" i="1"/>
  <c r="K9520" i="1"/>
  <c r="N9520" i="1"/>
  <c r="A9521" i="1"/>
  <c r="C9521" i="1"/>
  <c r="K9521" i="1"/>
  <c r="N9521" i="1"/>
  <c r="A9522" i="1"/>
  <c r="C9522" i="1"/>
  <c r="N9522" i="1"/>
  <c r="A9523" i="1"/>
  <c r="C9523" i="1"/>
  <c r="N9523" i="1"/>
  <c r="A9524" i="1"/>
  <c r="C9524" i="1"/>
  <c r="K9524" i="1"/>
  <c r="N9524" i="1"/>
  <c r="A9525" i="1"/>
  <c r="C9525" i="1"/>
  <c r="K9525" i="1"/>
  <c r="N9525" i="1"/>
  <c r="A9526" i="1"/>
  <c r="C9526" i="1"/>
  <c r="N9526" i="1"/>
  <c r="A9527" i="1"/>
  <c r="C9527" i="1"/>
  <c r="K9527" i="1"/>
  <c r="N9527" i="1"/>
  <c r="A9528" i="1"/>
  <c r="C9528" i="1"/>
  <c r="K9528" i="1"/>
  <c r="N9528" i="1"/>
  <c r="A9529" i="1"/>
  <c r="C9529" i="1"/>
  <c r="K9529" i="1"/>
  <c r="N9529" i="1"/>
  <c r="A9530" i="1"/>
  <c r="C9530" i="1"/>
  <c r="K9530" i="1"/>
  <c r="N9530" i="1"/>
  <c r="A9531" i="1"/>
  <c r="C9531" i="1"/>
  <c r="K9531" i="1"/>
  <c r="N9531" i="1"/>
  <c r="A9532" i="1"/>
  <c r="C9532" i="1"/>
  <c r="K9532" i="1"/>
  <c r="N9532" i="1"/>
  <c r="A9533" i="1"/>
  <c r="C9533" i="1"/>
  <c r="N9533" i="1"/>
  <c r="A9534" i="1"/>
  <c r="C9534" i="1"/>
  <c r="N9534" i="1"/>
  <c r="A9535" i="1"/>
  <c r="C9535" i="1"/>
  <c r="N9535" i="1"/>
  <c r="A9536" i="1"/>
  <c r="C9536" i="1"/>
  <c r="K9536" i="1"/>
  <c r="N9536" i="1"/>
  <c r="A9537" i="1"/>
  <c r="C9537" i="1"/>
  <c r="K9537" i="1"/>
  <c r="N9537" i="1"/>
  <c r="A9538" i="1"/>
  <c r="C9538" i="1"/>
  <c r="N9538" i="1"/>
  <c r="A9539" i="1"/>
  <c r="C9539" i="1"/>
  <c r="N9539" i="1"/>
  <c r="A9540" i="1"/>
  <c r="C9540" i="1"/>
  <c r="K9540" i="1"/>
  <c r="N9540" i="1"/>
  <c r="A9541" i="1"/>
  <c r="C9541" i="1"/>
  <c r="K9541" i="1"/>
  <c r="N9541" i="1"/>
  <c r="A9542" i="1"/>
  <c r="C9542" i="1"/>
  <c r="K9542" i="1"/>
  <c r="N9542" i="1"/>
  <c r="A9543" i="1"/>
  <c r="C9543" i="1"/>
  <c r="K9543" i="1"/>
  <c r="N9543" i="1"/>
  <c r="A9544" i="1"/>
  <c r="C9544" i="1"/>
  <c r="N9544" i="1"/>
  <c r="A9545" i="1"/>
  <c r="C9545" i="1"/>
  <c r="K9545" i="1"/>
  <c r="N9545" i="1"/>
  <c r="A9546" i="1"/>
  <c r="C9546" i="1"/>
  <c r="K9546" i="1"/>
  <c r="N9546" i="1"/>
  <c r="A9547" i="1"/>
  <c r="C9547" i="1"/>
  <c r="N9547" i="1"/>
  <c r="A9548" i="1"/>
  <c r="C9548" i="1"/>
  <c r="K9548" i="1"/>
  <c r="N9548" i="1"/>
  <c r="A9549" i="1"/>
  <c r="C9549" i="1"/>
  <c r="K9549" i="1"/>
  <c r="N9549" i="1"/>
  <c r="A9550" i="1"/>
  <c r="C9550" i="1"/>
  <c r="K9550" i="1"/>
  <c r="N9550" i="1"/>
  <c r="A9551" i="1"/>
  <c r="C9551" i="1"/>
  <c r="N9551" i="1"/>
  <c r="A9552" i="1"/>
  <c r="C9552" i="1"/>
  <c r="N9552" i="1"/>
  <c r="A9553" i="1"/>
  <c r="C9553" i="1"/>
  <c r="N9553" i="1"/>
  <c r="A9554" i="1"/>
  <c r="C9554" i="1"/>
  <c r="N9554" i="1"/>
  <c r="A9555" i="1"/>
  <c r="C9555" i="1"/>
  <c r="N9555" i="1"/>
  <c r="A9556" i="1"/>
  <c r="C9556" i="1"/>
  <c r="N9556" i="1"/>
  <c r="A9557" i="1"/>
  <c r="C9557" i="1"/>
  <c r="N9557" i="1"/>
  <c r="A9558" i="1"/>
  <c r="C9558" i="1"/>
  <c r="K9558" i="1"/>
  <c r="N9558" i="1"/>
  <c r="A9559" i="1"/>
  <c r="C9559" i="1"/>
  <c r="K9559" i="1"/>
  <c r="N9559" i="1"/>
  <c r="A9560" i="1"/>
  <c r="C9560" i="1"/>
  <c r="K9560" i="1"/>
  <c r="N9560" i="1"/>
  <c r="A9561" i="1"/>
  <c r="C9561" i="1"/>
  <c r="N9561" i="1"/>
  <c r="A9562" i="1"/>
  <c r="C9562" i="1"/>
  <c r="N9562" i="1"/>
  <c r="A9563" i="1"/>
  <c r="C9563" i="1"/>
  <c r="N9563" i="1"/>
  <c r="A9564" i="1"/>
  <c r="C9564" i="1"/>
  <c r="K9564" i="1"/>
  <c r="N9564" i="1"/>
  <c r="A9565" i="1"/>
  <c r="C9565" i="1"/>
  <c r="N9565" i="1"/>
  <c r="A9566" i="1"/>
  <c r="C9566" i="1"/>
  <c r="K9566" i="1"/>
  <c r="N9566" i="1"/>
  <c r="A9567" i="1"/>
  <c r="C9567" i="1"/>
  <c r="K9567" i="1"/>
  <c r="N9567" i="1"/>
  <c r="A9568" i="1"/>
  <c r="C9568" i="1"/>
  <c r="K9568" i="1"/>
  <c r="N9568" i="1"/>
  <c r="A9569" i="1"/>
  <c r="C9569" i="1"/>
  <c r="K9569" i="1"/>
  <c r="N9569" i="1"/>
  <c r="A9570" i="1"/>
  <c r="C9570" i="1"/>
  <c r="K9570" i="1"/>
  <c r="N9570" i="1"/>
  <c r="A9571" i="1"/>
  <c r="C9571" i="1"/>
  <c r="N9571" i="1"/>
  <c r="A9572" i="1"/>
  <c r="C9572" i="1"/>
  <c r="N9572" i="1"/>
  <c r="A9573" i="1"/>
  <c r="C9573" i="1"/>
  <c r="K9573" i="1"/>
  <c r="N9573" i="1"/>
  <c r="A9574" i="1"/>
  <c r="C9574" i="1"/>
  <c r="K9574" i="1"/>
  <c r="N9574" i="1"/>
  <c r="A9575" i="1"/>
  <c r="C9575" i="1"/>
  <c r="K9575" i="1"/>
  <c r="N9575" i="1"/>
  <c r="A9576" i="1"/>
  <c r="C9576" i="1"/>
  <c r="N9576" i="1"/>
  <c r="A9577" i="1"/>
  <c r="C9577" i="1"/>
  <c r="N9577" i="1"/>
  <c r="A9578" i="1"/>
  <c r="C9578" i="1"/>
  <c r="N9578" i="1"/>
  <c r="A9579" i="1"/>
  <c r="C9579" i="1"/>
  <c r="N9579" i="1"/>
  <c r="A9580" i="1"/>
  <c r="C9580" i="1"/>
  <c r="K9580" i="1"/>
  <c r="N9580" i="1"/>
  <c r="A9581" i="1"/>
  <c r="C9581" i="1"/>
  <c r="N9581" i="1"/>
  <c r="A9582" i="1"/>
  <c r="C9582" i="1"/>
  <c r="K9582" i="1"/>
  <c r="N9582" i="1"/>
  <c r="A9583" i="1"/>
  <c r="C9583" i="1"/>
  <c r="K9583" i="1"/>
  <c r="N9583" i="1"/>
  <c r="A9584" i="1"/>
  <c r="C9584" i="1"/>
  <c r="N9584" i="1"/>
  <c r="A9585" i="1"/>
  <c r="C9585" i="1"/>
  <c r="K9585" i="1"/>
  <c r="N9585" i="1"/>
  <c r="A9586" i="1"/>
  <c r="C9586" i="1"/>
  <c r="N9586" i="1"/>
  <c r="A9587" i="1"/>
  <c r="C9587" i="1"/>
  <c r="K9587" i="1"/>
  <c r="N9587" i="1"/>
  <c r="A9588" i="1"/>
  <c r="C9588" i="1"/>
  <c r="K9588" i="1"/>
  <c r="N9588" i="1"/>
  <c r="A9589" i="1"/>
  <c r="C9589" i="1"/>
  <c r="N9589" i="1"/>
  <c r="A9590" i="1"/>
  <c r="C9590" i="1"/>
  <c r="K9590" i="1"/>
  <c r="N9590" i="1"/>
  <c r="A9591" i="1"/>
  <c r="C9591" i="1"/>
  <c r="K9591" i="1"/>
  <c r="N9591" i="1"/>
  <c r="A9592" i="1"/>
  <c r="C9592" i="1"/>
  <c r="N9592" i="1"/>
  <c r="A9593" i="1"/>
  <c r="C9593" i="1"/>
  <c r="N9593" i="1"/>
  <c r="A9594" i="1"/>
  <c r="C9594" i="1"/>
  <c r="K9594" i="1"/>
  <c r="N9594" i="1"/>
  <c r="A9595" i="1"/>
  <c r="C9595" i="1"/>
  <c r="K9595" i="1"/>
  <c r="N9595" i="1"/>
  <c r="A9596" i="1"/>
  <c r="C9596" i="1"/>
  <c r="N9596" i="1"/>
  <c r="A9597" i="1"/>
  <c r="C9597" i="1"/>
  <c r="N9597" i="1"/>
  <c r="A9598" i="1"/>
  <c r="C9598" i="1"/>
  <c r="N9598" i="1"/>
  <c r="A9599" i="1"/>
  <c r="C9599" i="1"/>
  <c r="N9599" i="1"/>
  <c r="A9600" i="1"/>
  <c r="C9600" i="1"/>
  <c r="N9600" i="1"/>
  <c r="A9601" i="1"/>
  <c r="C9601" i="1"/>
  <c r="N9601" i="1"/>
  <c r="A9602" i="1"/>
  <c r="C9602" i="1"/>
  <c r="N9602" i="1"/>
  <c r="A9603" i="1"/>
  <c r="C9603" i="1"/>
  <c r="K9603" i="1"/>
  <c r="N9603" i="1"/>
  <c r="A9604" i="1"/>
  <c r="C9604" i="1"/>
  <c r="K9604" i="1"/>
  <c r="N9604" i="1"/>
  <c r="A9605" i="1"/>
  <c r="C9605" i="1"/>
  <c r="K9605" i="1"/>
  <c r="N9605" i="1"/>
  <c r="A9606" i="1"/>
  <c r="C9606" i="1"/>
  <c r="K9606" i="1"/>
  <c r="N9606" i="1"/>
  <c r="A9607" i="1"/>
  <c r="C9607" i="1"/>
  <c r="K9607" i="1"/>
  <c r="N9607" i="1"/>
  <c r="A9608" i="1"/>
  <c r="C9608" i="1"/>
  <c r="N9608" i="1"/>
  <c r="A9609" i="1"/>
  <c r="C9609" i="1"/>
  <c r="K9609" i="1"/>
  <c r="N9609" i="1"/>
  <c r="A9610" i="1"/>
  <c r="C9610" i="1"/>
  <c r="K9610" i="1"/>
  <c r="N9610" i="1"/>
  <c r="A9611" i="1"/>
  <c r="C9611" i="1"/>
  <c r="K9611" i="1"/>
  <c r="N9611" i="1"/>
  <c r="A9612" i="1"/>
  <c r="C9612" i="1"/>
  <c r="K9612" i="1"/>
  <c r="N9612" i="1"/>
  <c r="A9613" i="1"/>
  <c r="C9613" i="1"/>
  <c r="K9613" i="1"/>
  <c r="N9613" i="1"/>
  <c r="A9614" i="1"/>
  <c r="C9614" i="1"/>
  <c r="K9614" i="1"/>
  <c r="N9614" i="1"/>
  <c r="A9615" i="1"/>
  <c r="C9615" i="1"/>
  <c r="K9615" i="1"/>
  <c r="N9615" i="1"/>
  <c r="A9616" i="1"/>
  <c r="C9616" i="1"/>
  <c r="K9616" i="1"/>
  <c r="N9616" i="1"/>
  <c r="A9617" i="1"/>
  <c r="C9617" i="1"/>
  <c r="N9617" i="1"/>
  <c r="A9618" i="1"/>
  <c r="C9618" i="1"/>
  <c r="K9618" i="1"/>
  <c r="N9618" i="1"/>
  <c r="A9619" i="1"/>
  <c r="C9619" i="1"/>
  <c r="N9619" i="1"/>
  <c r="A9620" i="1"/>
  <c r="C9620" i="1"/>
  <c r="K9620" i="1"/>
  <c r="N9620" i="1"/>
  <c r="A9621" i="1"/>
  <c r="C9621" i="1"/>
  <c r="N9621" i="1"/>
  <c r="A9622" i="1"/>
  <c r="C9622" i="1"/>
  <c r="K9622" i="1"/>
  <c r="N9622" i="1"/>
  <c r="A9623" i="1"/>
  <c r="C9623" i="1"/>
  <c r="K9623" i="1"/>
  <c r="N9623" i="1"/>
  <c r="A9624" i="1"/>
  <c r="C9624" i="1"/>
  <c r="K9624" i="1"/>
  <c r="N9624" i="1"/>
  <c r="A9625" i="1"/>
  <c r="C9625" i="1"/>
  <c r="K9625" i="1"/>
  <c r="N9625" i="1"/>
  <c r="A9626" i="1"/>
  <c r="C9626" i="1"/>
  <c r="K9626" i="1"/>
  <c r="N9626" i="1"/>
  <c r="A9627" i="1"/>
  <c r="C9627" i="1"/>
  <c r="N9627" i="1"/>
  <c r="A9628" i="1"/>
  <c r="C9628" i="1"/>
  <c r="K9628" i="1"/>
  <c r="N9628" i="1"/>
  <c r="A9629" i="1"/>
  <c r="C9629" i="1"/>
  <c r="K9629" i="1"/>
  <c r="N9629" i="1"/>
  <c r="A9630" i="1"/>
  <c r="C9630" i="1"/>
  <c r="N9630" i="1"/>
  <c r="A9631" i="1"/>
  <c r="C9631" i="1"/>
  <c r="K9631" i="1"/>
  <c r="N9631" i="1"/>
  <c r="A9632" i="1"/>
  <c r="C9632" i="1"/>
  <c r="N9632" i="1"/>
  <c r="A9633" i="1"/>
  <c r="C9633" i="1"/>
  <c r="K9633" i="1"/>
  <c r="N9633" i="1"/>
  <c r="A9634" i="1"/>
  <c r="C9634" i="1"/>
  <c r="K9634" i="1"/>
  <c r="N9634" i="1"/>
  <c r="A9635" i="1"/>
  <c r="C9635" i="1"/>
  <c r="N9635" i="1"/>
  <c r="A9636" i="1"/>
  <c r="C9636" i="1"/>
  <c r="K9636" i="1"/>
  <c r="N9636" i="1"/>
  <c r="A9637" i="1"/>
  <c r="C9637" i="1"/>
  <c r="N9637" i="1"/>
  <c r="A9638" i="1"/>
  <c r="C9638" i="1"/>
  <c r="K9638" i="1"/>
  <c r="N9638" i="1"/>
  <c r="A9639" i="1"/>
  <c r="C9639" i="1"/>
  <c r="K9639" i="1"/>
  <c r="N9639" i="1"/>
  <c r="A9640" i="1"/>
  <c r="C9640" i="1"/>
  <c r="K9640" i="1"/>
  <c r="N9640" i="1"/>
  <c r="A9641" i="1"/>
  <c r="C9641" i="1"/>
  <c r="N9641" i="1"/>
  <c r="A9642" i="1"/>
  <c r="C9642" i="1"/>
  <c r="N9642" i="1"/>
  <c r="A9643" i="1"/>
  <c r="C9643" i="1"/>
  <c r="K9643" i="1"/>
  <c r="N9643" i="1"/>
  <c r="A9644" i="1"/>
  <c r="C9644" i="1"/>
  <c r="K9644" i="1"/>
  <c r="N9644" i="1"/>
  <c r="A9645" i="1"/>
  <c r="C9645" i="1"/>
  <c r="K9645" i="1"/>
  <c r="N9645" i="1"/>
  <c r="A9646" i="1"/>
  <c r="C9646" i="1"/>
  <c r="K9646" i="1"/>
  <c r="N9646" i="1"/>
  <c r="A9647" i="1"/>
  <c r="C9647" i="1"/>
  <c r="K9647" i="1"/>
  <c r="N9647" i="1"/>
  <c r="A9648" i="1"/>
  <c r="C9648" i="1"/>
  <c r="K9648" i="1"/>
  <c r="N9648" i="1"/>
  <c r="A9649" i="1"/>
  <c r="C9649" i="1"/>
  <c r="K9649" i="1"/>
  <c r="N9649" i="1"/>
  <c r="A9650" i="1"/>
  <c r="C9650" i="1"/>
  <c r="K9650" i="1"/>
  <c r="N9650" i="1"/>
  <c r="A9651" i="1"/>
  <c r="C9651" i="1"/>
  <c r="K9651" i="1"/>
  <c r="N9651" i="1"/>
  <c r="A9652" i="1"/>
  <c r="C9652" i="1"/>
  <c r="K9652" i="1"/>
  <c r="N9652" i="1"/>
  <c r="A9653" i="1"/>
  <c r="C9653" i="1"/>
  <c r="K9653" i="1"/>
  <c r="N9653" i="1"/>
  <c r="A9654" i="1"/>
  <c r="C9654" i="1"/>
  <c r="K9654" i="1"/>
  <c r="N9654" i="1"/>
  <c r="A9655" i="1"/>
  <c r="C9655" i="1"/>
  <c r="K9655" i="1"/>
  <c r="N9655" i="1"/>
  <c r="A9656" i="1"/>
  <c r="C9656" i="1"/>
  <c r="K9656" i="1"/>
  <c r="N9656" i="1"/>
  <c r="A9657" i="1"/>
  <c r="C9657" i="1"/>
  <c r="N9657" i="1"/>
  <c r="A9658" i="1"/>
  <c r="C9658" i="1"/>
  <c r="K9658" i="1"/>
  <c r="N9658" i="1"/>
  <c r="A9659" i="1"/>
  <c r="C9659" i="1"/>
  <c r="N9659" i="1"/>
  <c r="A9660" i="1"/>
  <c r="C9660" i="1"/>
  <c r="K9660" i="1"/>
  <c r="N9660" i="1"/>
  <c r="A9661" i="1"/>
  <c r="C9661" i="1"/>
  <c r="K9661" i="1"/>
  <c r="N9661" i="1"/>
  <c r="A9662" i="1"/>
  <c r="C9662" i="1"/>
  <c r="K9662" i="1"/>
  <c r="N9662" i="1"/>
  <c r="A9663" i="1"/>
  <c r="C9663" i="1"/>
  <c r="K9663" i="1"/>
  <c r="N9663" i="1"/>
  <c r="A9664" i="1"/>
  <c r="C9664" i="1"/>
  <c r="N9664" i="1"/>
  <c r="A9665" i="1"/>
  <c r="C9665" i="1"/>
  <c r="D9665" i="1"/>
  <c r="K9665" i="1"/>
  <c r="N9665" i="1"/>
  <c r="O9665" i="1"/>
  <c r="A9666" i="1"/>
  <c r="C9666" i="1"/>
  <c r="N9666" i="1"/>
  <c r="A9667" i="1"/>
  <c r="C9667" i="1"/>
  <c r="K9667" i="1"/>
  <c r="N9667" i="1"/>
  <c r="A9668" i="1"/>
  <c r="C9668" i="1"/>
  <c r="K9668" i="1"/>
  <c r="N9668" i="1"/>
  <c r="A9669" i="1"/>
  <c r="C9669" i="1"/>
  <c r="K9669" i="1"/>
  <c r="N9669" i="1"/>
  <c r="A9670" i="1"/>
  <c r="C9670" i="1"/>
  <c r="K9670" i="1"/>
  <c r="N9670" i="1"/>
  <c r="A9671" i="1"/>
  <c r="C9671" i="1"/>
  <c r="K9671" i="1"/>
  <c r="N9671" i="1"/>
  <c r="A9672" i="1"/>
  <c r="C9672" i="1"/>
  <c r="K9672" i="1"/>
  <c r="N9672" i="1"/>
  <c r="A9673" i="1"/>
  <c r="C9673" i="1"/>
  <c r="K9673" i="1"/>
  <c r="N9673" i="1"/>
  <c r="A9674" i="1"/>
  <c r="C9674" i="1"/>
  <c r="N9674" i="1"/>
  <c r="A9675" i="1"/>
  <c r="C9675" i="1"/>
  <c r="K9675" i="1"/>
  <c r="N9675" i="1"/>
  <c r="A9676" i="1"/>
  <c r="C9676" i="1"/>
  <c r="K9676" i="1"/>
  <c r="N9676" i="1"/>
  <c r="A9677" i="1"/>
  <c r="C9677" i="1"/>
  <c r="K9677" i="1"/>
  <c r="N9677" i="1"/>
  <c r="A9678" i="1"/>
  <c r="C9678" i="1"/>
  <c r="K9678" i="1"/>
  <c r="N9678" i="1"/>
  <c r="A9679" i="1"/>
  <c r="C9679" i="1"/>
  <c r="K9679" i="1"/>
  <c r="N9679" i="1"/>
  <c r="A9680" i="1"/>
  <c r="C9680" i="1"/>
  <c r="K9680" i="1"/>
  <c r="N9680" i="1"/>
  <c r="A9681" i="1"/>
  <c r="C9681" i="1"/>
  <c r="K9681" i="1"/>
  <c r="N9681" i="1"/>
  <c r="A9682" i="1"/>
  <c r="C9682" i="1"/>
  <c r="K9682" i="1"/>
  <c r="N9682" i="1"/>
  <c r="A9683" i="1"/>
  <c r="C9683" i="1"/>
  <c r="K9683" i="1"/>
  <c r="N9683" i="1"/>
  <c r="A9684" i="1"/>
  <c r="C9684" i="1"/>
  <c r="K9684" i="1"/>
  <c r="N9684" i="1"/>
  <c r="A9685" i="1"/>
  <c r="C9685" i="1"/>
  <c r="K9685" i="1"/>
  <c r="N9685" i="1"/>
  <c r="A9686" i="1"/>
  <c r="C9686" i="1"/>
  <c r="N9686" i="1"/>
  <c r="A9687" i="1"/>
  <c r="C9687" i="1"/>
  <c r="N9687" i="1"/>
  <c r="A9688" i="1"/>
  <c r="C9688" i="1"/>
  <c r="K9688" i="1"/>
  <c r="N9688" i="1"/>
  <c r="A9689" i="1"/>
  <c r="C9689" i="1"/>
  <c r="K9689" i="1"/>
  <c r="N9689" i="1"/>
  <c r="A9690" i="1"/>
  <c r="C9690" i="1"/>
  <c r="K9690" i="1"/>
  <c r="N9690" i="1"/>
  <c r="A9691" i="1"/>
  <c r="C9691" i="1"/>
  <c r="K9691" i="1"/>
  <c r="N9691" i="1"/>
  <c r="A9692" i="1"/>
  <c r="C9692" i="1"/>
  <c r="K9692" i="1"/>
  <c r="N9692" i="1"/>
  <c r="A9693" i="1"/>
  <c r="C9693" i="1"/>
  <c r="N9693" i="1"/>
  <c r="A9694" i="1"/>
  <c r="C9694" i="1"/>
  <c r="K9694" i="1"/>
  <c r="N9694" i="1"/>
  <c r="A9695" i="1"/>
  <c r="C9695" i="1"/>
  <c r="K9695" i="1"/>
  <c r="N9695" i="1"/>
  <c r="A9696" i="1"/>
  <c r="C9696" i="1"/>
  <c r="N9696" i="1"/>
  <c r="A9697" i="1"/>
  <c r="C9697" i="1"/>
  <c r="N9697" i="1"/>
  <c r="A9698" i="1"/>
  <c r="C9698" i="1"/>
  <c r="K9698" i="1"/>
  <c r="N9698" i="1"/>
  <c r="A9699" i="1"/>
  <c r="C9699" i="1"/>
  <c r="K9699" i="1"/>
  <c r="N9699" i="1"/>
  <c r="A9700" i="1"/>
  <c r="C9700" i="1"/>
  <c r="N9700" i="1"/>
  <c r="A9701" i="1"/>
  <c r="C9701" i="1"/>
  <c r="K9701" i="1"/>
  <c r="N9701" i="1"/>
  <c r="A9702" i="1"/>
  <c r="C9702" i="1"/>
  <c r="N9702" i="1"/>
  <c r="A9703" i="1"/>
  <c r="C9703" i="1"/>
  <c r="K9703" i="1"/>
  <c r="N9703" i="1"/>
  <c r="A9704" i="1"/>
  <c r="C9704" i="1"/>
  <c r="K9704" i="1"/>
  <c r="N9704" i="1"/>
  <c r="A9705" i="1"/>
  <c r="C9705" i="1"/>
  <c r="K9705" i="1"/>
  <c r="N9705" i="1"/>
  <c r="A9706" i="1"/>
  <c r="C9706" i="1"/>
  <c r="K9706" i="1"/>
  <c r="N9706" i="1"/>
  <c r="A9707" i="1"/>
  <c r="C9707" i="1"/>
  <c r="N9707" i="1"/>
  <c r="A9708" i="1"/>
  <c r="C9708" i="1"/>
  <c r="N9708" i="1"/>
  <c r="A9709" i="1"/>
  <c r="C9709" i="1"/>
  <c r="N9709" i="1"/>
  <c r="A9710" i="1"/>
  <c r="C9710" i="1"/>
  <c r="N9710" i="1"/>
  <c r="A9711" i="1"/>
  <c r="C9711" i="1"/>
  <c r="N9711" i="1"/>
  <c r="A9712" i="1"/>
  <c r="C9712" i="1"/>
  <c r="N9712" i="1"/>
  <c r="A9713" i="1"/>
  <c r="C9713" i="1"/>
  <c r="K9713" i="1"/>
  <c r="N9713" i="1"/>
  <c r="A9714" i="1"/>
  <c r="C9714" i="1"/>
  <c r="K9714" i="1"/>
  <c r="N9714" i="1"/>
  <c r="A9715" i="1"/>
  <c r="C9715" i="1"/>
  <c r="N9715" i="1"/>
  <c r="A9716" i="1"/>
  <c r="C9716" i="1"/>
  <c r="K9716" i="1"/>
  <c r="N9716" i="1"/>
  <c r="A9717" i="1"/>
  <c r="C9717" i="1"/>
  <c r="K9717" i="1"/>
  <c r="N9717" i="1"/>
  <c r="A9718" i="1"/>
  <c r="C9718" i="1"/>
  <c r="K9718" i="1"/>
  <c r="N9718" i="1"/>
  <c r="A9719" i="1"/>
  <c r="C9719" i="1"/>
  <c r="K9719" i="1"/>
  <c r="N9719" i="1"/>
  <c r="A9720" i="1"/>
  <c r="C9720" i="1"/>
  <c r="K9720" i="1"/>
  <c r="N9720" i="1"/>
  <c r="A9721" i="1"/>
  <c r="C9721" i="1"/>
  <c r="K9721" i="1"/>
  <c r="N9721" i="1"/>
  <c r="A9722" i="1"/>
  <c r="C9722" i="1"/>
  <c r="N9722" i="1"/>
  <c r="A9723" i="1"/>
  <c r="C9723" i="1"/>
  <c r="K9723" i="1"/>
  <c r="N9723" i="1"/>
  <c r="A9724" i="1"/>
  <c r="C9724" i="1"/>
  <c r="K9724" i="1"/>
  <c r="N9724" i="1"/>
  <c r="A9725" i="1"/>
  <c r="C9725" i="1"/>
  <c r="N9725" i="1"/>
  <c r="A9726" i="1"/>
  <c r="C9726" i="1"/>
  <c r="K9726" i="1"/>
  <c r="N9726" i="1"/>
  <c r="A9727" i="1"/>
  <c r="C9727" i="1"/>
  <c r="K9727" i="1"/>
  <c r="N9727" i="1"/>
  <c r="A9728" i="1"/>
  <c r="C9728" i="1"/>
  <c r="N9728" i="1"/>
  <c r="A9729" i="1"/>
  <c r="C9729" i="1"/>
  <c r="K9729" i="1"/>
  <c r="N9729" i="1"/>
  <c r="A9730" i="1"/>
  <c r="C9730" i="1"/>
  <c r="K9730" i="1"/>
  <c r="N9730" i="1"/>
  <c r="A9731" i="1"/>
  <c r="C9731" i="1"/>
  <c r="K9731" i="1"/>
  <c r="N9731" i="1"/>
  <c r="A9732" i="1"/>
  <c r="C9732" i="1"/>
  <c r="N9732" i="1"/>
  <c r="A9733" i="1"/>
  <c r="C9733" i="1"/>
  <c r="K9733" i="1"/>
  <c r="N9733" i="1"/>
  <c r="A9734" i="1"/>
  <c r="C9734" i="1"/>
  <c r="K9734" i="1"/>
  <c r="N9734" i="1"/>
  <c r="A9735" i="1"/>
  <c r="C9735" i="1"/>
  <c r="K9735" i="1"/>
  <c r="N9735" i="1"/>
  <c r="A9736" i="1"/>
  <c r="C9736" i="1"/>
  <c r="K9736" i="1"/>
  <c r="N9736" i="1"/>
  <c r="A9737" i="1"/>
  <c r="C9737" i="1"/>
  <c r="K9737" i="1"/>
  <c r="N9737" i="1"/>
  <c r="A9738" i="1"/>
  <c r="C9738" i="1"/>
  <c r="N9738" i="1"/>
  <c r="A9739" i="1"/>
  <c r="C9739" i="1"/>
  <c r="N9739" i="1"/>
  <c r="A9740" i="1"/>
  <c r="C9740" i="1"/>
  <c r="K9740" i="1"/>
  <c r="N9740" i="1"/>
  <c r="A9741" i="1"/>
  <c r="C9741" i="1"/>
  <c r="N9741" i="1"/>
  <c r="A9742" i="1"/>
  <c r="C9742" i="1"/>
  <c r="N9742" i="1"/>
  <c r="A9743" i="1"/>
  <c r="C9743" i="1"/>
  <c r="K9743" i="1"/>
  <c r="N9743" i="1"/>
  <c r="A9744" i="1"/>
  <c r="C9744" i="1"/>
  <c r="N9744" i="1"/>
  <c r="A9745" i="1"/>
  <c r="C9745" i="1"/>
  <c r="N9745" i="1"/>
  <c r="A9746" i="1"/>
  <c r="C9746" i="1"/>
  <c r="K9746" i="1"/>
  <c r="N9746" i="1"/>
  <c r="A9747" i="1"/>
  <c r="C9747" i="1"/>
  <c r="K9747" i="1"/>
  <c r="N9747" i="1"/>
  <c r="A9748" i="1"/>
  <c r="C9748" i="1"/>
  <c r="N9748" i="1"/>
  <c r="A9749" i="1"/>
  <c r="C9749" i="1"/>
  <c r="K9749" i="1"/>
  <c r="N9749" i="1"/>
  <c r="A9750" i="1"/>
  <c r="C9750" i="1"/>
  <c r="K9750" i="1"/>
  <c r="N9750" i="1"/>
  <c r="A9751" i="1"/>
  <c r="C9751" i="1"/>
  <c r="K9751" i="1"/>
  <c r="N9751" i="1"/>
  <c r="A9752" i="1"/>
  <c r="C9752" i="1"/>
  <c r="K9752" i="1"/>
  <c r="N9752" i="1"/>
  <c r="A9753" i="1"/>
  <c r="C9753" i="1"/>
  <c r="K9753" i="1"/>
  <c r="N9753" i="1"/>
  <c r="A9754" i="1"/>
  <c r="C9754" i="1"/>
  <c r="K9754" i="1"/>
  <c r="N9754" i="1"/>
  <c r="A9755" i="1"/>
  <c r="C9755" i="1"/>
  <c r="K9755" i="1"/>
  <c r="N9755" i="1"/>
  <c r="A9756" i="1"/>
  <c r="C9756" i="1"/>
  <c r="K9756" i="1"/>
  <c r="N9756" i="1"/>
  <c r="A9757" i="1"/>
  <c r="C9757" i="1"/>
  <c r="K9757" i="1"/>
  <c r="N9757" i="1"/>
  <c r="A9758" i="1"/>
  <c r="C9758" i="1"/>
  <c r="K9758" i="1"/>
  <c r="N9758" i="1"/>
  <c r="A9759" i="1"/>
  <c r="C9759" i="1"/>
  <c r="K9759" i="1"/>
  <c r="N9759" i="1"/>
  <c r="A9760" i="1"/>
  <c r="C9760" i="1"/>
  <c r="K9760" i="1"/>
  <c r="N9760" i="1"/>
  <c r="A9761" i="1"/>
  <c r="C9761" i="1"/>
  <c r="K9761" i="1"/>
  <c r="N9761" i="1"/>
  <c r="A9762" i="1"/>
  <c r="C9762" i="1"/>
  <c r="K9762" i="1"/>
  <c r="N9762" i="1"/>
  <c r="A9763" i="1"/>
  <c r="C9763" i="1"/>
  <c r="K9763" i="1"/>
  <c r="N9763" i="1"/>
  <c r="A9764" i="1"/>
  <c r="C9764" i="1"/>
  <c r="K9764" i="1"/>
  <c r="N9764" i="1"/>
  <c r="A9765" i="1"/>
  <c r="C9765" i="1"/>
  <c r="K9765" i="1"/>
  <c r="N9765" i="1"/>
  <c r="A9766" i="1"/>
  <c r="C9766" i="1"/>
  <c r="K9766" i="1"/>
  <c r="N9766" i="1"/>
  <c r="A9767" i="1"/>
  <c r="C9767" i="1"/>
  <c r="K9767" i="1"/>
  <c r="N9767" i="1"/>
  <c r="A9768" i="1"/>
  <c r="C9768" i="1"/>
  <c r="K9768" i="1"/>
  <c r="N9768" i="1"/>
  <c r="A9769" i="1"/>
  <c r="C9769" i="1"/>
  <c r="K9769" i="1"/>
  <c r="N9769" i="1"/>
  <c r="A9770" i="1"/>
  <c r="C9770" i="1"/>
  <c r="K9770" i="1"/>
  <c r="N9770" i="1"/>
  <c r="A9771" i="1"/>
  <c r="C9771" i="1"/>
  <c r="K9771" i="1"/>
  <c r="N9771" i="1"/>
  <c r="A9772" i="1"/>
  <c r="C9772" i="1"/>
  <c r="K9772" i="1"/>
  <c r="N9772" i="1"/>
  <c r="A9773" i="1"/>
  <c r="C9773" i="1"/>
  <c r="K9773" i="1"/>
  <c r="N9773" i="1"/>
  <c r="A9774" i="1"/>
  <c r="C9774" i="1"/>
  <c r="K9774" i="1"/>
  <c r="N9774" i="1"/>
  <c r="A9775" i="1"/>
  <c r="C9775" i="1"/>
  <c r="N9775" i="1"/>
  <c r="A9776" i="1"/>
  <c r="C9776" i="1"/>
  <c r="K9776" i="1"/>
  <c r="N9776" i="1"/>
  <c r="A9777" i="1"/>
  <c r="C9777" i="1"/>
  <c r="K9777" i="1"/>
  <c r="N9777" i="1"/>
  <c r="A9778" i="1"/>
  <c r="C9778" i="1"/>
  <c r="K9778" i="1"/>
  <c r="N9778" i="1"/>
  <c r="A9779" i="1"/>
  <c r="C9779" i="1"/>
  <c r="N9779" i="1"/>
  <c r="A9780" i="1"/>
  <c r="C9780" i="1"/>
  <c r="K9780" i="1"/>
  <c r="N9780" i="1"/>
  <c r="A9781" i="1"/>
  <c r="C9781" i="1"/>
  <c r="N9781" i="1"/>
  <c r="A9782" i="1"/>
  <c r="C9782" i="1"/>
  <c r="K9782" i="1"/>
  <c r="N9782" i="1"/>
  <c r="A9783" i="1"/>
  <c r="C9783" i="1"/>
  <c r="N9783" i="1"/>
  <c r="A9784" i="1"/>
  <c r="C9784" i="1"/>
  <c r="N9784" i="1"/>
  <c r="A9785" i="1"/>
  <c r="C9785" i="1"/>
  <c r="K9785" i="1"/>
  <c r="N9785" i="1"/>
  <c r="A9786" i="1"/>
  <c r="C9786" i="1"/>
  <c r="K9786" i="1"/>
  <c r="N9786" i="1"/>
  <c r="A9787" i="1"/>
  <c r="C9787" i="1"/>
  <c r="K9787" i="1"/>
  <c r="N9787" i="1"/>
  <c r="A9788" i="1"/>
  <c r="C9788" i="1"/>
  <c r="K9788" i="1"/>
  <c r="N9788" i="1"/>
  <c r="A9789" i="1"/>
  <c r="C9789" i="1"/>
  <c r="K9789" i="1"/>
  <c r="N9789" i="1"/>
  <c r="A9790" i="1"/>
  <c r="C9790" i="1"/>
  <c r="K9790" i="1"/>
  <c r="N9790" i="1"/>
  <c r="A9791" i="1"/>
  <c r="C9791" i="1"/>
  <c r="K9791" i="1"/>
  <c r="N9791" i="1"/>
  <c r="A9792" i="1"/>
  <c r="C9792" i="1"/>
  <c r="K9792" i="1"/>
  <c r="N9792" i="1"/>
  <c r="A9793" i="1"/>
  <c r="C9793" i="1"/>
  <c r="N9793" i="1"/>
  <c r="A9794" i="1"/>
  <c r="C9794" i="1"/>
  <c r="K9794" i="1"/>
  <c r="N9794" i="1"/>
  <c r="A9795" i="1"/>
  <c r="C9795" i="1"/>
  <c r="K9795" i="1"/>
  <c r="N9795" i="1"/>
  <c r="A9796" i="1"/>
  <c r="C9796" i="1"/>
  <c r="K9796" i="1"/>
  <c r="N9796" i="1"/>
  <c r="A9797" i="1"/>
  <c r="C9797" i="1"/>
  <c r="K9797" i="1"/>
  <c r="N9797" i="1"/>
  <c r="A9798" i="1"/>
  <c r="C9798" i="1"/>
  <c r="N9798" i="1"/>
  <c r="A9799" i="1"/>
  <c r="C9799" i="1"/>
  <c r="K9799" i="1"/>
  <c r="N9799" i="1"/>
  <c r="A9800" i="1"/>
  <c r="C9800" i="1"/>
  <c r="K9800" i="1"/>
  <c r="N9800" i="1"/>
  <c r="A9801" i="1"/>
  <c r="C9801" i="1"/>
  <c r="K9801" i="1"/>
  <c r="N9801" i="1"/>
  <c r="A9802" i="1"/>
  <c r="C9802" i="1"/>
  <c r="K9802" i="1"/>
  <c r="N9802" i="1"/>
  <c r="A9803" i="1"/>
  <c r="C9803" i="1"/>
  <c r="N9803" i="1"/>
  <c r="A9804" i="1"/>
  <c r="C9804" i="1"/>
  <c r="N9804" i="1"/>
  <c r="A9805" i="1"/>
  <c r="C9805" i="1"/>
  <c r="N9805" i="1"/>
  <c r="A9806" i="1"/>
  <c r="C9806" i="1"/>
  <c r="K9806" i="1"/>
  <c r="N9806" i="1"/>
  <c r="A9807" i="1"/>
  <c r="C9807" i="1"/>
  <c r="K9807" i="1"/>
  <c r="N9807" i="1"/>
  <c r="A9808" i="1"/>
  <c r="C9808" i="1"/>
  <c r="K9808" i="1"/>
  <c r="N9808" i="1"/>
  <c r="A9809" i="1"/>
  <c r="C9809" i="1"/>
  <c r="K9809" i="1"/>
  <c r="N9809" i="1"/>
  <c r="A9810" i="1"/>
  <c r="C9810" i="1"/>
  <c r="K9810" i="1"/>
  <c r="N9810" i="1"/>
  <c r="A9811" i="1"/>
  <c r="C9811" i="1"/>
  <c r="K9811" i="1"/>
  <c r="N9811" i="1"/>
  <c r="A9812" i="1"/>
  <c r="C9812" i="1"/>
  <c r="K9812" i="1"/>
  <c r="N9812" i="1"/>
  <c r="A9813" i="1"/>
  <c r="C9813" i="1"/>
  <c r="K9813" i="1"/>
  <c r="N9813" i="1"/>
  <c r="A9814" i="1"/>
  <c r="C9814" i="1"/>
  <c r="K9814" i="1"/>
  <c r="N9814" i="1"/>
  <c r="A9815" i="1"/>
  <c r="C9815" i="1"/>
  <c r="N9815" i="1"/>
  <c r="A9816" i="1"/>
  <c r="C9816" i="1"/>
  <c r="K9816" i="1"/>
  <c r="N9816" i="1"/>
  <c r="A9817" i="1"/>
  <c r="C9817" i="1"/>
  <c r="K9817" i="1"/>
  <c r="N9817" i="1"/>
  <c r="A9818" i="1"/>
  <c r="C9818" i="1"/>
  <c r="K9818" i="1"/>
  <c r="N9818" i="1"/>
  <c r="A9819" i="1"/>
  <c r="C9819" i="1"/>
  <c r="K9819" i="1"/>
  <c r="N9819" i="1"/>
  <c r="A9820" i="1"/>
  <c r="C9820" i="1"/>
  <c r="K9820" i="1"/>
  <c r="N9820" i="1"/>
  <c r="A9821" i="1"/>
  <c r="C9821" i="1"/>
  <c r="N9821" i="1"/>
  <c r="A9822" i="1"/>
  <c r="C9822" i="1"/>
  <c r="K9822" i="1"/>
  <c r="N9822" i="1"/>
  <c r="A9823" i="1"/>
  <c r="C9823" i="1"/>
  <c r="K9823" i="1"/>
  <c r="N9823" i="1"/>
  <c r="A9824" i="1"/>
  <c r="C9824" i="1"/>
  <c r="F9824" i="1"/>
  <c r="K9824" i="1"/>
  <c r="N9824" i="1"/>
  <c r="A9825" i="1"/>
  <c r="C9825" i="1"/>
  <c r="K9825" i="1"/>
  <c r="N9825" i="1"/>
  <c r="A9826" i="1"/>
  <c r="C9826" i="1"/>
  <c r="K9826" i="1"/>
  <c r="N9826" i="1"/>
  <c r="A9827" i="1"/>
  <c r="C9827" i="1"/>
  <c r="K9827" i="1"/>
  <c r="N9827" i="1"/>
  <c r="A9828" i="1"/>
  <c r="C9828" i="1"/>
  <c r="K9828" i="1"/>
  <c r="N9828" i="1"/>
  <c r="A9829" i="1"/>
  <c r="C9829" i="1"/>
  <c r="K9829" i="1"/>
  <c r="N9829" i="1"/>
  <c r="A9830" i="1"/>
  <c r="C9830" i="1"/>
  <c r="N9830" i="1"/>
  <c r="A9831" i="1"/>
  <c r="C9831" i="1"/>
  <c r="N9831" i="1"/>
  <c r="A9832" i="1"/>
  <c r="C9832" i="1"/>
  <c r="N9832" i="1"/>
  <c r="A9833" i="1"/>
  <c r="C9833" i="1"/>
  <c r="K9833" i="1"/>
  <c r="N9833" i="1"/>
  <c r="A9834" i="1"/>
  <c r="C9834" i="1"/>
  <c r="N9834" i="1"/>
  <c r="A9835" i="1"/>
  <c r="C9835" i="1"/>
  <c r="N9835" i="1"/>
  <c r="A9836" i="1"/>
  <c r="C9836" i="1"/>
  <c r="K9836" i="1"/>
  <c r="N9836" i="1"/>
  <c r="A9837" i="1"/>
  <c r="C9837" i="1"/>
  <c r="K9837" i="1"/>
  <c r="N9837" i="1"/>
  <c r="A9838" i="1"/>
  <c r="C9838" i="1"/>
  <c r="K9838" i="1"/>
  <c r="N9838" i="1"/>
  <c r="A9839" i="1"/>
  <c r="C9839" i="1"/>
  <c r="K9839" i="1"/>
  <c r="N9839" i="1"/>
  <c r="A9840" i="1"/>
  <c r="C9840" i="1"/>
  <c r="K9840" i="1"/>
  <c r="N9840" i="1"/>
  <c r="A9841" i="1"/>
  <c r="C9841" i="1"/>
  <c r="K9841" i="1"/>
  <c r="N9841" i="1"/>
  <c r="A9842" i="1"/>
  <c r="C9842" i="1"/>
  <c r="K9842" i="1"/>
  <c r="N9842" i="1"/>
  <c r="A9843" i="1"/>
  <c r="C9843" i="1"/>
  <c r="K9843" i="1"/>
  <c r="N9843" i="1"/>
  <c r="A9844" i="1"/>
  <c r="C9844" i="1"/>
  <c r="K9844" i="1"/>
  <c r="N9844" i="1"/>
  <c r="A9845" i="1"/>
  <c r="C9845" i="1"/>
  <c r="K9845" i="1"/>
  <c r="N9845" i="1"/>
  <c r="A9846" i="1"/>
  <c r="C9846" i="1"/>
  <c r="N9846" i="1"/>
  <c r="A9847" i="1"/>
  <c r="C9847" i="1"/>
  <c r="N9847" i="1"/>
  <c r="A9848" i="1"/>
  <c r="C9848" i="1"/>
  <c r="K9848" i="1"/>
  <c r="N9848" i="1"/>
  <c r="A9849" i="1"/>
  <c r="C9849" i="1"/>
  <c r="K9849" i="1"/>
  <c r="N9849" i="1"/>
  <c r="A9850" i="1"/>
  <c r="C9850" i="1"/>
  <c r="N9850" i="1"/>
  <c r="A9851" i="1"/>
  <c r="C9851" i="1"/>
  <c r="K9851" i="1"/>
  <c r="N9851" i="1"/>
  <c r="A9852" i="1"/>
  <c r="C9852" i="1"/>
  <c r="K9852" i="1"/>
  <c r="N9852" i="1"/>
  <c r="A9853" i="1"/>
  <c r="C9853" i="1"/>
  <c r="K9853" i="1"/>
  <c r="N9853" i="1"/>
  <c r="A9854" i="1"/>
  <c r="C9854" i="1"/>
  <c r="K9854" i="1"/>
  <c r="N9854" i="1"/>
  <c r="A9855" i="1"/>
  <c r="C9855" i="1"/>
  <c r="K9855" i="1"/>
  <c r="N9855" i="1"/>
  <c r="A9856" i="1"/>
  <c r="C9856" i="1"/>
  <c r="K9856" i="1"/>
  <c r="N9856" i="1"/>
  <c r="A9857" i="1"/>
  <c r="C9857" i="1"/>
  <c r="N9857" i="1"/>
  <c r="A9858" i="1"/>
  <c r="C9858" i="1"/>
  <c r="N9858" i="1"/>
  <c r="A9859" i="1"/>
  <c r="C9859" i="1"/>
  <c r="K9859" i="1"/>
  <c r="N9859" i="1"/>
  <c r="A9860" i="1"/>
  <c r="C9860" i="1"/>
  <c r="K9860" i="1"/>
  <c r="N9860" i="1"/>
  <c r="A9861" i="1"/>
  <c r="C9861" i="1"/>
  <c r="N9861" i="1"/>
  <c r="A9862" i="1"/>
  <c r="C9862" i="1"/>
  <c r="K9862" i="1"/>
  <c r="N9862" i="1"/>
  <c r="A9863" i="1"/>
  <c r="C9863" i="1"/>
  <c r="N9863" i="1"/>
  <c r="A9864" i="1"/>
  <c r="C9864" i="1"/>
  <c r="K9864" i="1"/>
  <c r="N9864" i="1"/>
  <c r="A9865" i="1"/>
  <c r="C9865" i="1"/>
  <c r="K9865" i="1"/>
  <c r="N9865" i="1"/>
  <c r="A9866" i="1"/>
  <c r="C9866" i="1"/>
  <c r="K9866" i="1"/>
  <c r="N9866" i="1"/>
  <c r="A9867" i="1"/>
  <c r="C9867" i="1"/>
  <c r="K9867" i="1"/>
  <c r="N9867" i="1"/>
  <c r="A9868" i="1"/>
  <c r="C9868" i="1"/>
  <c r="N9868" i="1"/>
  <c r="A9869" i="1"/>
  <c r="C9869" i="1"/>
  <c r="N9869" i="1"/>
  <c r="A9870" i="1"/>
  <c r="C9870" i="1"/>
  <c r="N9870" i="1"/>
  <c r="A9871" i="1"/>
  <c r="C9871" i="1"/>
  <c r="K9871" i="1"/>
  <c r="N9871" i="1"/>
  <c r="A9872" i="1"/>
  <c r="C9872" i="1"/>
  <c r="N9872" i="1"/>
  <c r="A9873" i="1"/>
  <c r="C9873" i="1"/>
  <c r="N9873" i="1"/>
  <c r="A9874" i="1"/>
  <c r="C9874" i="1"/>
  <c r="N9874" i="1"/>
  <c r="A9875" i="1"/>
  <c r="C9875" i="1"/>
  <c r="N9875" i="1"/>
  <c r="A9876" i="1"/>
  <c r="C9876" i="1"/>
  <c r="K9876" i="1"/>
  <c r="N9876" i="1"/>
  <c r="A9877" i="1"/>
  <c r="C9877" i="1"/>
  <c r="K9877" i="1"/>
  <c r="N9877" i="1"/>
  <c r="A9878" i="1"/>
  <c r="C9878" i="1"/>
  <c r="K9878" i="1"/>
  <c r="N9878" i="1"/>
  <c r="A9879" i="1"/>
  <c r="C9879" i="1"/>
  <c r="K9879" i="1"/>
  <c r="N9879" i="1"/>
  <c r="A9880" i="1"/>
  <c r="C9880" i="1"/>
  <c r="K9880" i="1"/>
  <c r="N9880" i="1"/>
  <c r="A9881" i="1"/>
  <c r="C9881" i="1"/>
  <c r="K9881" i="1"/>
  <c r="N9881" i="1"/>
  <c r="A9882" i="1"/>
  <c r="C9882" i="1"/>
  <c r="K9882" i="1"/>
  <c r="N9882" i="1"/>
  <c r="A9883" i="1"/>
  <c r="C9883" i="1"/>
  <c r="N9883" i="1"/>
  <c r="A9884" i="1"/>
  <c r="C9884" i="1"/>
  <c r="N9884" i="1"/>
  <c r="A9885" i="1"/>
  <c r="C9885" i="1"/>
  <c r="N9885" i="1"/>
  <c r="A9886" i="1"/>
  <c r="C9886" i="1"/>
  <c r="K9886" i="1"/>
  <c r="N9886" i="1"/>
  <c r="A9887" i="1"/>
  <c r="C9887" i="1"/>
  <c r="N9887" i="1"/>
  <c r="A9888" i="1"/>
  <c r="C9888" i="1"/>
  <c r="N9888" i="1"/>
  <c r="A9889" i="1"/>
  <c r="C9889" i="1"/>
  <c r="K9889" i="1"/>
  <c r="N9889" i="1"/>
  <c r="A9890" i="1"/>
  <c r="C9890" i="1"/>
  <c r="K9890" i="1"/>
  <c r="N9890" i="1"/>
  <c r="A9891" i="1"/>
  <c r="C9891" i="1"/>
  <c r="K9891" i="1"/>
  <c r="N9891" i="1"/>
  <c r="A9892" i="1"/>
  <c r="C9892" i="1"/>
  <c r="N9892" i="1"/>
  <c r="A9893" i="1"/>
  <c r="C9893" i="1"/>
  <c r="K9893" i="1"/>
  <c r="N9893" i="1"/>
  <c r="A9894" i="1"/>
  <c r="C9894" i="1"/>
  <c r="N9894" i="1"/>
  <c r="A9895" i="1"/>
  <c r="C9895" i="1"/>
  <c r="N9895" i="1"/>
  <c r="A9896" i="1"/>
  <c r="C9896" i="1"/>
  <c r="N9896" i="1"/>
  <c r="A9897" i="1"/>
  <c r="C9897" i="1"/>
  <c r="K9897" i="1"/>
  <c r="N9897" i="1"/>
  <c r="A9898" i="1"/>
  <c r="C9898" i="1"/>
  <c r="K9898" i="1"/>
  <c r="N9898" i="1"/>
  <c r="A9899" i="1"/>
  <c r="C9899" i="1"/>
  <c r="K9899" i="1"/>
  <c r="N9899" i="1"/>
  <c r="A9900" i="1"/>
  <c r="C9900" i="1"/>
  <c r="K9900" i="1"/>
  <c r="N9900" i="1"/>
  <c r="A9901" i="1"/>
  <c r="C9901" i="1"/>
  <c r="K9901" i="1"/>
  <c r="N9901" i="1"/>
  <c r="A9902" i="1"/>
  <c r="C9902" i="1"/>
  <c r="K9902" i="1"/>
  <c r="N9902" i="1"/>
  <c r="A9903" i="1"/>
  <c r="C9903" i="1"/>
  <c r="K9903" i="1"/>
  <c r="N9903" i="1"/>
  <c r="A9904" i="1"/>
  <c r="C9904" i="1"/>
  <c r="K9904" i="1"/>
  <c r="N9904" i="1"/>
  <c r="A9905" i="1"/>
  <c r="C9905" i="1"/>
  <c r="K9905" i="1"/>
  <c r="N9905" i="1"/>
  <c r="A9906" i="1"/>
  <c r="C9906" i="1"/>
  <c r="K9906" i="1"/>
  <c r="N9906" i="1"/>
  <c r="A9907" i="1"/>
  <c r="C9907" i="1"/>
  <c r="K9907" i="1"/>
  <c r="N9907" i="1"/>
  <c r="A9908" i="1"/>
  <c r="C9908" i="1"/>
  <c r="N9908" i="1"/>
  <c r="A9909" i="1"/>
  <c r="C9909" i="1"/>
  <c r="N9909" i="1"/>
  <c r="A9910" i="1"/>
  <c r="C9910" i="1"/>
  <c r="N9910" i="1"/>
  <c r="A9911" i="1"/>
  <c r="C9911" i="1"/>
  <c r="N9911" i="1"/>
  <c r="A9912" i="1"/>
  <c r="C9912" i="1"/>
  <c r="N9912" i="1"/>
  <c r="A9913" i="1"/>
  <c r="C9913" i="1"/>
  <c r="K9913" i="1"/>
  <c r="N9913" i="1"/>
  <c r="A9914" i="1"/>
  <c r="C9914" i="1"/>
  <c r="K9914" i="1"/>
  <c r="N9914" i="1"/>
  <c r="A9915" i="1"/>
  <c r="C9915" i="1"/>
  <c r="K9915" i="1"/>
  <c r="N9915" i="1"/>
  <c r="A9916" i="1"/>
  <c r="C9916" i="1"/>
  <c r="K9916" i="1"/>
  <c r="N9916" i="1"/>
  <c r="A9917" i="1"/>
  <c r="C9917" i="1"/>
  <c r="K9917" i="1"/>
  <c r="N9917" i="1"/>
  <c r="A9918" i="1"/>
  <c r="C9918" i="1"/>
  <c r="K9918" i="1"/>
  <c r="N9918" i="1"/>
  <c r="A9919" i="1"/>
  <c r="C9919" i="1"/>
  <c r="K9919" i="1"/>
  <c r="N9919" i="1"/>
  <c r="A9920" i="1"/>
  <c r="C9920" i="1"/>
  <c r="N9920" i="1"/>
  <c r="A9921" i="1"/>
  <c r="C9921" i="1"/>
  <c r="K9921" i="1"/>
  <c r="N9921" i="1"/>
  <c r="A9922" i="1"/>
  <c r="C9922" i="1"/>
  <c r="N9922" i="1"/>
  <c r="A9923" i="1"/>
  <c r="C9923" i="1"/>
  <c r="N9923" i="1"/>
  <c r="A9924" i="1"/>
  <c r="C9924" i="1"/>
  <c r="K9924" i="1"/>
  <c r="N9924" i="1"/>
  <c r="A9925" i="1"/>
  <c r="C9925" i="1"/>
  <c r="N9925" i="1"/>
  <c r="A9926" i="1"/>
  <c r="C9926" i="1"/>
  <c r="N9926" i="1"/>
  <c r="A9927" i="1"/>
  <c r="C9927" i="1"/>
  <c r="K9927" i="1"/>
  <c r="N9927" i="1"/>
  <c r="A9928" i="1"/>
  <c r="C9928" i="1"/>
  <c r="K9928" i="1"/>
  <c r="N9928" i="1"/>
  <c r="A9929" i="1"/>
  <c r="C9929" i="1"/>
  <c r="K9929" i="1"/>
  <c r="N9929" i="1"/>
  <c r="A9930" i="1"/>
  <c r="C9930" i="1"/>
  <c r="K9930" i="1"/>
  <c r="N9930" i="1"/>
  <c r="A9931" i="1"/>
  <c r="C9931" i="1"/>
  <c r="N9931" i="1"/>
  <c r="A9932" i="1"/>
  <c r="C9932" i="1"/>
  <c r="K9932" i="1"/>
  <c r="N9932" i="1"/>
  <c r="A9933" i="1"/>
  <c r="C9933" i="1"/>
  <c r="K9933" i="1"/>
  <c r="N9933" i="1"/>
  <c r="A9934" i="1"/>
  <c r="C9934" i="1"/>
  <c r="K9934" i="1"/>
  <c r="N9934" i="1"/>
  <c r="A9935" i="1"/>
  <c r="C9935" i="1"/>
  <c r="K9935" i="1"/>
  <c r="N9935" i="1"/>
  <c r="A9936" i="1"/>
  <c r="C9936" i="1"/>
  <c r="K9936" i="1"/>
  <c r="N9936" i="1"/>
  <c r="A9937" i="1"/>
  <c r="C9937" i="1"/>
  <c r="K9937" i="1"/>
  <c r="N9937" i="1"/>
  <c r="A9938" i="1"/>
  <c r="C9938" i="1"/>
  <c r="N9938" i="1"/>
  <c r="A9939" i="1"/>
  <c r="C9939" i="1"/>
  <c r="K9939" i="1"/>
  <c r="N9939" i="1"/>
  <c r="A9940" i="1"/>
  <c r="C9940" i="1"/>
  <c r="K9940" i="1"/>
  <c r="N9940" i="1"/>
  <c r="A9941" i="1"/>
  <c r="C9941" i="1"/>
  <c r="N9941" i="1"/>
  <c r="A9942" i="1"/>
  <c r="C9942" i="1"/>
  <c r="K9942" i="1"/>
  <c r="N9942" i="1"/>
  <c r="A9943" i="1"/>
  <c r="C9943" i="1"/>
  <c r="K9943" i="1"/>
  <c r="N9943" i="1"/>
  <c r="A9944" i="1"/>
  <c r="C9944" i="1"/>
  <c r="K9944" i="1"/>
  <c r="N9944" i="1"/>
  <c r="A9945" i="1"/>
  <c r="C9945" i="1"/>
  <c r="N9945" i="1"/>
  <c r="A9946" i="1"/>
  <c r="C9946" i="1"/>
  <c r="K9946" i="1"/>
  <c r="N9946" i="1"/>
  <c r="A9947" i="1"/>
  <c r="C9947" i="1"/>
  <c r="N9947" i="1"/>
  <c r="A9948" i="1"/>
  <c r="C9948" i="1"/>
  <c r="E9948" i="1"/>
  <c r="N9948" i="1"/>
  <c r="T9948" i="1"/>
  <c r="A9949" i="1"/>
  <c r="C9949" i="1"/>
  <c r="E9949" i="1"/>
  <c r="N9949" i="1"/>
  <c r="T9949" i="1"/>
  <c r="A9950" i="1"/>
  <c r="C9950" i="1"/>
  <c r="E9950" i="1"/>
  <c r="N9950" i="1"/>
  <c r="T9950" i="1"/>
  <c r="A9951" i="1"/>
  <c r="C9951" i="1"/>
  <c r="N9951" i="1"/>
  <c r="A9952" i="1"/>
  <c r="C9952" i="1"/>
  <c r="N9952" i="1"/>
  <c r="A9953" i="1"/>
  <c r="C9953" i="1"/>
  <c r="K9953" i="1"/>
  <c r="N9953" i="1"/>
  <c r="A9954" i="1"/>
  <c r="C9954" i="1"/>
  <c r="K9954" i="1"/>
  <c r="N9954" i="1"/>
  <c r="A9955" i="1"/>
  <c r="C9955" i="1"/>
  <c r="N9955" i="1"/>
  <c r="A9956" i="1"/>
  <c r="C9956" i="1"/>
  <c r="K9956" i="1"/>
  <c r="N9956" i="1"/>
  <c r="A9957" i="1"/>
  <c r="C9957" i="1"/>
  <c r="K9957" i="1"/>
  <c r="N9957" i="1"/>
  <c r="A9958" i="1"/>
  <c r="C9958" i="1"/>
  <c r="N9958" i="1"/>
  <c r="A9959" i="1"/>
  <c r="C9959" i="1"/>
  <c r="K9959" i="1"/>
  <c r="N9959" i="1"/>
  <c r="A9960" i="1"/>
  <c r="C9960" i="1"/>
  <c r="K9960" i="1"/>
  <c r="N9960" i="1"/>
  <c r="A9961" i="1"/>
  <c r="C9961" i="1"/>
  <c r="N9961" i="1"/>
  <c r="A9962" i="1"/>
  <c r="C9962" i="1"/>
  <c r="N9962" i="1"/>
  <c r="A9963" i="1"/>
  <c r="C9963" i="1"/>
  <c r="N9963" i="1"/>
  <c r="A9964" i="1"/>
  <c r="C9964" i="1"/>
  <c r="N9964" i="1"/>
  <c r="A9965" i="1"/>
  <c r="C9965" i="1"/>
  <c r="N9965" i="1"/>
  <c r="A9966" i="1"/>
  <c r="C9966" i="1"/>
  <c r="N9966" i="1"/>
  <c r="A9967" i="1"/>
  <c r="C9967" i="1"/>
  <c r="K9967" i="1"/>
  <c r="N9967" i="1"/>
  <c r="A9968" i="1"/>
  <c r="C9968" i="1"/>
  <c r="E9968" i="1"/>
  <c r="N9968" i="1"/>
  <c r="T9968" i="1"/>
  <c r="A9969" i="1"/>
  <c r="C9969" i="1"/>
  <c r="N9969" i="1"/>
  <c r="A9970" i="1"/>
  <c r="C9970" i="1"/>
  <c r="K9970" i="1"/>
  <c r="N9970" i="1"/>
  <c r="A9971" i="1"/>
  <c r="C9971" i="1"/>
  <c r="K9971" i="1"/>
  <c r="N9971" i="1"/>
  <c r="A9972" i="1"/>
  <c r="C9972" i="1"/>
  <c r="N9972" i="1"/>
  <c r="A9973" i="1"/>
  <c r="C9973" i="1"/>
  <c r="N9973" i="1"/>
  <c r="A9974" i="1"/>
  <c r="C9974" i="1"/>
  <c r="K9974" i="1"/>
  <c r="N9974" i="1"/>
  <c r="A9975" i="1"/>
  <c r="C9975" i="1"/>
  <c r="K9975" i="1"/>
  <c r="N9975" i="1"/>
  <c r="A9976" i="1"/>
  <c r="C9976" i="1"/>
  <c r="K9976" i="1"/>
  <c r="N9976" i="1"/>
  <c r="A9977" i="1"/>
  <c r="C9977" i="1"/>
  <c r="K9977" i="1"/>
  <c r="N9977" i="1"/>
  <c r="A9978" i="1"/>
  <c r="C9978" i="1"/>
  <c r="K9978" i="1"/>
  <c r="N9978" i="1"/>
  <c r="A9979" i="1"/>
  <c r="C9979" i="1"/>
  <c r="K9979" i="1"/>
  <c r="N9979" i="1"/>
  <c r="A9980" i="1"/>
  <c r="C9980" i="1"/>
  <c r="K9980" i="1"/>
  <c r="N9980" i="1"/>
  <c r="A9981" i="1"/>
  <c r="C9981" i="1"/>
  <c r="K9981" i="1"/>
  <c r="N9981" i="1"/>
  <c r="A9982" i="1"/>
  <c r="C9982" i="1"/>
  <c r="K9982" i="1"/>
  <c r="N9982" i="1"/>
  <c r="A9983" i="1"/>
  <c r="C9983" i="1"/>
  <c r="K9983" i="1"/>
  <c r="N9983" i="1"/>
  <c r="A9984" i="1"/>
  <c r="C9984" i="1"/>
  <c r="K9984" i="1"/>
  <c r="N9984" i="1"/>
  <c r="A9985" i="1"/>
  <c r="C9985" i="1"/>
  <c r="K9985" i="1"/>
  <c r="N9985" i="1"/>
  <c r="A9986" i="1"/>
  <c r="C9986" i="1"/>
  <c r="K9986" i="1"/>
  <c r="N9986" i="1"/>
  <c r="A9987" i="1"/>
  <c r="C9987" i="1"/>
  <c r="D9987" i="1"/>
  <c r="E9987" i="1"/>
  <c r="K9987" i="1"/>
  <c r="N9987" i="1"/>
  <c r="O9987" i="1"/>
  <c r="T9987" i="1"/>
  <c r="A9988" i="1"/>
  <c r="C9988" i="1"/>
  <c r="N9988" i="1"/>
  <c r="A9989" i="1"/>
  <c r="C9989" i="1"/>
  <c r="D9989" i="1"/>
  <c r="E9989" i="1"/>
  <c r="K9989" i="1"/>
  <c r="N9989" i="1"/>
  <c r="O9989" i="1"/>
  <c r="T9989" i="1"/>
  <c r="A9990" i="1"/>
  <c r="C9990" i="1"/>
  <c r="D9990" i="1"/>
  <c r="E9990" i="1"/>
  <c r="K9990" i="1"/>
  <c r="N9990" i="1"/>
  <c r="O9990" i="1"/>
  <c r="T9990" i="1"/>
  <c r="A9991" i="1"/>
  <c r="C9991" i="1"/>
  <c r="D9991" i="1"/>
  <c r="E9991" i="1"/>
  <c r="K9991" i="1"/>
  <c r="N9991" i="1"/>
  <c r="O9991" i="1"/>
  <c r="T9991" i="1"/>
  <c r="A9992" i="1"/>
  <c r="C9992" i="1"/>
  <c r="N9992" i="1"/>
  <c r="A9993" i="1"/>
  <c r="C9993" i="1"/>
  <c r="N9993" i="1"/>
  <c r="A9994" i="1"/>
  <c r="C9994" i="1"/>
  <c r="N9994" i="1"/>
  <c r="A9995" i="1"/>
  <c r="C9995" i="1"/>
  <c r="K9995" i="1"/>
  <c r="N9995" i="1"/>
  <c r="A9996" i="1"/>
  <c r="C9996" i="1"/>
  <c r="K9996" i="1"/>
  <c r="N9996" i="1"/>
  <c r="A9997" i="1"/>
  <c r="C9997" i="1"/>
  <c r="D9997" i="1"/>
  <c r="E9997" i="1"/>
  <c r="K9997" i="1"/>
  <c r="N9997" i="1"/>
  <c r="O9997" i="1"/>
  <c r="T9997" i="1"/>
  <c r="A9998" i="1"/>
  <c r="C9998" i="1"/>
  <c r="D9998" i="1"/>
  <c r="K9998" i="1"/>
  <c r="N9998" i="1"/>
  <c r="O9998" i="1"/>
  <c r="A9999" i="1"/>
  <c r="C9999" i="1"/>
  <c r="N9999" i="1"/>
  <c r="A10000" i="1"/>
  <c r="C10000" i="1"/>
  <c r="N10000" i="1"/>
  <c r="A10001" i="1"/>
  <c r="C10001" i="1"/>
  <c r="K10001" i="1"/>
  <c r="N10001" i="1"/>
  <c r="A10002" i="1"/>
  <c r="C10002" i="1"/>
  <c r="K10002" i="1"/>
  <c r="N10002" i="1"/>
  <c r="A10003" i="1"/>
  <c r="C10003" i="1"/>
  <c r="N10003" i="1"/>
  <c r="A10004" i="1"/>
  <c r="C10004" i="1"/>
  <c r="N10004" i="1"/>
  <c r="A10005" i="1"/>
  <c r="C10005" i="1"/>
  <c r="K10005" i="1"/>
  <c r="N10005" i="1"/>
  <c r="A10006" i="1"/>
  <c r="C10006" i="1"/>
  <c r="K10006" i="1"/>
  <c r="N10006" i="1"/>
  <c r="A10007" i="1"/>
  <c r="C10007" i="1"/>
  <c r="N10007" i="1"/>
  <c r="A10008" i="1"/>
  <c r="C10008" i="1"/>
  <c r="K10008" i="1"/>
  <c r="N10008" i="1"/>
  <c r="A10009" i="1"/>
  <c r="C10009" i="1"/>
  <c r="K10009" i="1"/>
  <c r="N10009" i="1"/>
  <c r="A10010" i="1"/>
  <c r="C10010" i="1"/>
  <c r="K10010" i="1"/>
  <c r="N10010" i="1"/>
  <c r="A10011" i="1"/>
  <c r="C10011" i="1"/>
  <c r="K10011" i="1"/>
  <c r="N10011" i="1"/>
  <c r="A10012" i="1"/>
  <c r="C10012" i="1"/>
  <c r="K10012" i="1"/>
  <c r="N10012" i="1"/>
  <c r="A10013" i="1"/>
  <c r="C10013" i="1"/>
  <c r="N10013" i="1"/>
  <c r="A10014" i="1"/>
  <c r="C10014" i="1"/>
  <c r="K10014" i="1"/>
  <c r="N10014" i="1"/>
  <c r="A10015" i="1"/>
  <c r="C10015" i="1"/>
  <c r="K10015" i="1"/>
  <c r="N10015" i="1"/>
  <c r="A10016" i="1"/>
  <c r="C10016" i="1"/>
  <c r="N10016" i="1"/>
  <c r="A10017" i="1"/>
  <c r="C10017" i="1"/>
  <c r="N10017" i="1"/>
  <c r="A10018" i="1"/>
  <c r="C10018" i="1"/>
  <c r="N10018" i="1"/>
  <c r="A10019" i="1"/>
  <c r="C10019" i="1"/>
  <c r="N10019" i="1"/>
  <c r="A10020" i="1"/>
  <c r="C10020" i="1"/>
  <c r="N10020" i="1"/>
  <c r="A10021" i="1"/>
  <c r="C10021" i="1"/>
  <c r="N10021" i="1"/>
  <c r="A10022" i="1"/>
  <c r="C10022" i="1"/>
  <c r="N10022" i="1"/>
  <c r="A10023" i="1"/>
  <c r="C10023" i="1"/>
  <c r="N10023" i="1"/>
  <c r="A10024" i="1"/>
  <c r="C10024" i="1"/>
  <c r="K10024" i="1"/>
  <c r="N10024" i="1"/>
  <c r="A10025" i="1"/>
  <c r="C10025" i="1"/>
  <c r="N10025" i="1"/>
  <c r="A10026" i="1"/>
  <c r="C10026" i="1"/>
  <c r="N10026" i="1"/>
  <c r="A10027" i="1"/>
  <c r="C10027" i="1"/>
  <c r="K10027" i="1"/>
  <c r="N10027" i="1"/>
  <c r="A10028" i="1"/>
  <c r="C10028" i="1"/>
  <c r="K10028" i="1"/>
  <c r="N10028" i="1"/>
  <c r="A10029" i="1"/>
  <c r="C10029" i="1"/>
  <c r="K10029" i="1"/>
  <c r="N10029" i="1"/>
  <c r="A10030" i="1"/>
  <c r="C10030" i="1"/>
  <c r="K10030" i="1"/>
  <c r="N10030" i="1"/>
  <c r="A10031" i="1"/>
  <c r="C10031" i="1"/>
  <c r="K10031" i="1"/>
  <c r="N10031" i="1"/>
  <c r="A10032" i="1"/>
  <c r="C10032" i="1"/>
  <c r="K10032" i="1"/>
  <c r="N10032" i="1"/>
  <c r="A10033" i="1"/>
  <c r="C10033" i="1"/>
  <c r="F10033" i="1"/>
  <c r="N10033" i="1"/>
  <c r="A10034" i="1"/>
  <c r="C10034" i="1"/>
  <c r="K10034" i="1"/>
  <c r="N10034" i="1"/>
  <c r="A10035" i="1"/>
  <c r="C10035" i="1"/>
  <c r="N10035" i="1"/>
  <c r="A10036" i="1"/>
  <c r="C10036" i="1"/>
  <c r="N10036" i="1"/>
  <c r="A10037" i="1"/>
  <c r="C10037" i="1"/>
  <c r="N10037" i="1"/>
  <c r="A10038" i="1"/>
  <c r="C10038" i="1"/>
  <c r="N10038" i="1"/>
  <c r="A10039" i="1"/>
  <c r="C10039" i="1"/>
  <c r="K10039" i="1"/>
  <c r="N10039" i="1"/>
  <c r="A10040" i="1"/>
  <c r="C10040" i="1"/>
  <c r="N10040" i="1"/>
  <c r="A10041" i="1"/>
  <c r="C10041" i="1"/>
  <c r="K10041" i="1"/>
  <c r="N10041" i="1"/>
  <c r="A10042" i="1"/>
  <c r="C10042" i="1"/>
  <c r="K10042" i="1"/>
  <c r="N10042" i="1"/>
  <c r="A10043" i="1"/>
  <c r="C10043" i="1"/>
  <c r="N10043" i="1"/>
  <c r="A10044" i="1"/>
  <c r="C10044" i="1"/>
  <c r="N10044" i="1"/>
  <c r="A10045" i="1"/>
  <c r="C10045" i="1"/>
  <c r="K10045" i="1"/>
  <c r="N10045" i="1"/>
  <c r="A10046" i="1"/>
  <c r="C10046" i="1"/>
  <c r="K10046" i="1"/>
  <c r="N10046" i="1"/>
  <c r="A10047" i="1"/>
  <c r="C10047" i="1"/>
  <c r="N10047" i="1"/>
  <c r="A10048" i="1"/>
  <c r="C10048" i="1"/>
  <c r="N10048" i="1"/>
  <c r="A10049" i="1"/>
  <c r="C10049" i="1"/>
  <c r="K10049" i="1"/>
  <c r="N10049" i="1"/>
  <c r="A10050" i="1"/>
  <c r="C10050" i="1"/>
  <c r="K10050" i="1"/>
  <c r="N10050" i="1"/>
  <c r="A10051" i="1"/>
  <c r="C10051" i="1"/>
  <c r="K10051" i="1"/>
  <c r="N10051" i="1"/>
  <c r="A10052" i="1"/>
  <c r="C10052" i="1"/>
  <c r="K10052" i="1"/>
  <c r="N10052" i="1"/>
  <c r="A10053" i="1"/>
  <c r="C10053" i="1"/>
  <c r="N10053" i="1"/>
  <c r="A10054" i="1"/>
  <c r="C10054" i="1"/>
  <c r="K10054" i="1"/>
  <c r="N10054" i="1"/>
  <c r="A10055" i="1"/>
  <c r="C10055" i="1"/>
  <c r="N10055" i="1"/>
  <c r="A10056" i="1"/>
  <c r="C10056" i="1"/>
  <c r="N10056" i="1"/>
  <c r="A10057" i="1"/>
  <c r="C10057" i="1"/>
  <c r="N10057" i="1"/>
  <c r="A10058" i="1"/>
  <c r="C10058" i="1"/>
  <c r="N10058" i="1"/>
  <c r="A10059" i="1"/>
  <c r="C10059" i="1"/>
  <c r="K10059" i="1"/>
  <c r="N10059" i="1"/>
  <c r="A10060" i="1"/>
  <c r="C10060" i="1"/>
  <c r="K10060" i="1"/>
  <c r="N10060" i="1"/>
  <c r="A10061" i="1"/>
  <c r="C10061" i="1"/>
  <c r="K10061" i="1"/>
  <c r="N10061" i="1"/>
  <c r="A10062" i="1"/>
  <c r="C10062" i="1"/>
  <c r="K10062" i="1"/>
  <c r="N10062" i="1"/>
  <c r="A10063" i="1"/>
  <c r="C10063" i="1"/>
  <c r="K10063" i="1"/>
  <c r="N10063" i="1"/>
  <c r="A10064" i="1"/>
  <c r="C10064" i="1"/>
  <c r="K10064" i="1"/>
  <c r="N10064" i="1"/>
  <c r="A10065" i="1"/>
  <c r="C10065" i="1"/>
  <c r="K10065" i="1"/>
  <c r="N10065" i="1"/>
  <c r="A10066" i="1"/>
  <c r="C10066" i="1"/>
  <c r="K10066" i="1"/>
  <c r="N10066" i="1"/>
  <c r="A10067" i="1"/>
  <c r="C10067" i="1"/>
  <c r="N10067" i="1"/>
  <c r="A10068" i="1"/>
  <c r="C10068" i="1"/>
  <c r="K10068" i="1"/>
  <c r="N10068" i="1"/>
  <c r="A10069" i="1"/>
  <c r="C10069" i="1"/>
  <c r="K10069" i="1"/>
  <c r="N10069" i="1"/>
  <c r="A10070" i="1"/>
  <c r="C10070" i="1"/>
  <c r="K10070" i="1"/>
  <c r="N10070" i="1"/>
  <c r="A10071" i="1"/>
  <c r="C10071" i="1"/>
  <c r="K10071" i="1"/>
  <c r="N10071" i="1"/>
  <c r="A10072" i="1"/>
  <c r="C10072" i="1"/>
  <c r="K10072" i="1"/>
  <c r="N10072" i="1"/>
  <c r="A10073" i="1"/>
  <c r="C10073" i="1"/>
  <c r="K10073" i="1"/>
  <c r="N10073" i="1"/>
  <c r="A10074" i="1"/>
  <c r="C10074" i="1"/>
  <c r="K10074" i="1"/>
  <c r="N10074" i="1"/>
  <c r="A10075" i="1"/>
  <c r="C10075" i="1"/>
  <c r="K10075" i="1"/>
  <c r="N10075" i="1"/>
  <c r="A10076" i="1"/>
  <c r="C10076" i="1"/>
  <c r="K10076" i="1"/>
  <c r="N10076" i="1"/>
  <c r="A10077" i="1"/>
  <c r="C10077" i="1"/>
  <c r="K10077" i="1"/>
  <c r="N10077" i="1"/>
  <c r="A10078" i="1"/>
  <c r="C10078" i="1"/>
  <c r="K10078" i="1"/>
  <c r="N10078" i="1"/>
  <c r="A10079" i="1"/>
  <c r="C10079" i="1"/>
  <c r="K10079" i="1"/>
  <c r="N10079" i="1"/>
  <c r="A10080" i="1"/>
  <c r="C10080" i="1"/>
  <c r="K10080" i="1"/>
  <c r="N10080" i="1"/>
  <c r="A10081" i="1"/>
  <c r="C10081" i="1"/>
  <c r="N10081" i="1"/>
  <c r="A10082" i="1"/>
  <c r="C10082" i="1"/>
  <c r="N10082" i="1"/>
  <c r="A10083" i="1"/>
  <c r="C10083" i="1"/>
  <c r="N10083" i="1"/>
  <c r="A10084" i="1"/>
  <c r="C10084" i="1"/>
  <c r="N10084" i="1"/>
  <c r="A10085" i="1"/>
  <c r="C10085" i="1"/>
  <c r="N10085" i="1"/>
  <c r="A10086" i="1"/>
  <c r="C10086" i="1"/>
  <c r="N10086" i="1"/>
  <c r="A10087" i="1"/>
  <c r="C10087" i="1"/>
  <c r="N10087" i="1"/>
  <c r="A10088" i="1"/>
  <c r="C10088" i="1"/>
  <c r="N10088" i="1"/>
  <c r="A10089" i="1"/>
  <c r="C10089" i="1"/>
  <c r="N10089" i="1"/>
  <c r="A10090" i="1"/>
  <c r="C10090" i="1"/>
  <c r="N10090" i="1"/>
  <c r="A10091" i="1"/>
  <c r="C10091" i="1"/>
  <c r="N10091" i="1"/>
  <c r="A10092" i="1"/>
  <c r="C10092" i="1"/>
  <c r="N10092" i="1"/>
  <c r="A10093" i="1"/>
  <c r="C10093" i="1"/>
  <c r="N10093" i="1"/>
  <c r="A10094" i="1"/>
  <c r="C10094" i="1"/>
  <c r="N10094" i="1"/>
  <c r="A10095" i="1"/>
  <c r="C10095" i="1"/>
  <c r="K10095" i="1"/>
  <c r="N10095" i="1"/>
  <c r="A10096" i="1"/>
  <c r="C10096" i="1"/>
  <c r="E10096" i="1"/>
  <c r="K10096" i="1"/>
  <c r="N10096" i="1"/>
  <c r="T10096" i="1"/>
  <c r="A10097" i="1"/>
  <c r="C10097" i="1"/>
  <c r="K10097" i="1"/>
  <c r="N10097" i="1"/>
  <c r="A10098" i="1"/>
  <c r="C10098" i="1"/>
  <c r="E10098" i="1"/>
  <c r="K10098" i="1"/>
  <c r="N10098" i="1"/>
  <c r="T10098" i="1"/>
  <c r="A10099" i="1"/>
  <c r="C10099" i="1"/>
  <c r="N10099" i="1"/>
  <c r="A10100" i="1"/>
  <c r="C10100" i="1"/>
  <c r="K10100" i="1"/>
  <c r="N10100" i="1"/>
  <c r="A10101" i="1"/>
  <c r="C10101" i="1"/>
  <c r="K10101" i="1"/>
  <c r="N10101" i="1"/>
  <c r="A10102" i="1"/>
  <c r="C10102" i="1"/>
  <c r="N10102" i="1"/>
  <c r="A10103" i="1"/>
  <c r="C10103" i="1"/>
  <c r="K10103" i="1"/>
  <c r="N10103" i="1"/>
  <c r="A10104" i="1"/>
  <c r="C10104" i="1"/>
  <c r="K10104" i="1"/>
  <c r="N10104" i="1"/>
  <c r="A10105" i="1"/>
  <c r="C10105" i="1"/>
  <c r="N10105" i="1"/>
  <c r="A10106" i="1"/>
  <c r="C10106" i="1"/>
  <c r="K10106" i="1"/>
  <c r="N10106" i="1"/>
  <c r="A10107" i="1"/>
  <c r="C10107" i="1"/>
  <c r="N10107" i="1"/>
  <c r="A10108" i="1"/>
  <c r="C10108" i="1"/>
  <c r="N10108" i="1"/>
  <c r="A10109" i="1"/>
  <c r="C10109" i="1"/>
  <c r="N10109" i="1"/>
  <c r="A10110" i="1"/>
  <c r="C10110" i="1"/>
  <c r="K10110" i="1"/>
  <c r="N10110" i="1"/>
  <c r="A10111" i="1"/>
  <c r="C10111" i="1"/>
  <c r="N10111" i="1"/>
  <c r="A10112" i="1"/>
  <c r="C10112" i="1"/>
  <c r="N10112" i="1"/>
  <c r="A10113" i="1"/>
  <c r="C10113" i="1"/>
  <c r="K10113" i="1"/>
  <c r="N10113" i="1"/>
  <c r="A10114" i="1"/>
  <c r="C10114" i="1"/>
  <c r="K10114" i="1"/>
  <c r="N10114" i="1"/>
  <c r="A10115" i="1"/>
  <c r="C10115" i="1"/>
  <c r="K10115" i="1"/>
  <c r="N10115" i="1"/>
  <c r="A10116" i="1"/>
  <c r="C10116" i="1"/>
  <c r="K10116" i="1"/>
  <c r="N10116" i="1"/>
  <c r="A10117" i="1"/>
  <c r="C10117" i="1"/>
  <c r="N10117" i="1"/>
  <c r="A10118" i="1"/>
  <c r="C10118" i="1"/>
  <c r="K10118" i="1"/>
  <c r="N10118" i="1"/>
  <c r="A10119" i="1"/>
  <c r="C10119" i="1"/>
  <c r="N10119" i="1"/>
  <c r="A10120" i="1"/>
  <c r="C10120" i="1"/>
  <c r="K10120" i="1"/>
  <c r="N10120" i="1"/>
  <c r="A10121" i="1"/>
  <c r="C10121" i="1"/>
  <c r="K10121" i="1"/>
  <c r="N10121" i="1"/>
  <c r="A10122" i="1"/>
  <c r="C10122" i="1"/>
  <c r="K10122" i="1"/>
  <c r="N10122" i="1"/>
  <c r="A10123" i="1"/>
  <c r="C10123" i="1"/>
  <c r="K10123" i="1"/>
  <c r="N10123" i="1"/>
  <c r="A10124" i="1"/>
  <c r="C10124" i="1"/>
  <c r="K10124" i="1"/>
  <c r="N10124" i="1"/>
  <c r="A10125" i="1"/>
  <c r="C10125" i="1"/>
  <c r="K10125" i="1"/>
  <c r="N10125" i="1"/>
  <c r="A10126" i="1"/>
  <c r="C10126" i="1"/>
  <c r="K10126" i="1"/>
  <c r="N10126" i="1"/>
  <c r="A10127" i="1"/>
  <c r="C10127" i="1"/>
  <c r="N10127" i="1"/>
  <c r="A10128" i="1"/>
  <c r="C10128" i="1"/>
  <c r="K10128" i="1"/>
  <c r="N10128" i="1"/>
  <c r="A10129" i="1"/>
  <c r="C10129" i="1"/>
  <c r="K10129" i="1"/>
  <c r="N10129" i="1"/>
  <c r="A10130" i="1"/>
  <c r="C10130" i="1"/>
  <c r="N10130" i="1"/>
  <c r="A10131" i="1"/>
  <c r="C10131" i="1"/>
  <c r="K10131" i="1"/>
  <c r="N10131" i="1"/>
  <c r="A10132" i="1"/>
  <c r="C10132" i="1"/>
  <c r="K10132" i="1"/>
  <c r="N10132" i="1"/>
  <c r="A10133" i="1"/>
  <c r="C10133" i="1"/>
  <c r="N10133" i="1"/>
  <c r="A10134" i="1"/>
  <c r="C10134" i="1"/>
  <c r="N10134" i="1"/>
  <c r="A10135" i="1"/>
  <c r="C10135" i="1"/>
  <c r="N10135" i="1"/>
  <c r="A10136" i="1"/>
  <c r="C10136" i="1"/>
  <c r="N10136" i="1"/>
  <c r="A10137" i="1"/>
  <c r="C10137" i="1"/>
  <c r="N10137" i="1"/>
  <c r="A10138" i="1"/>
  <c r="C10138" i="1"/>
  <c r="N10138" i="1"/>
  <c r="A10139" i="1"/>
  <c r="C10139" i="1"/>
  <c r="N10139" i="1"/>
  <c r="A10140" i="1"/>
  <c r="C10140" i="1"/>
  <c r="N10140" i="1"/>
  <c r="A10141" i="1"/>
  <c r="C10141" i="1"/>
  <c r="N10141" i="1"/>
  <c r="A10142" i="1"/>
  <c r="C10142" i="1"/>
  <c r="N10142" i="1"/>
  <c r="A10143" i="1"/>
  <c r="C10143" i="1"/>
  <c r="N10143" i="1"/>
  <c r="A10144" i="1"/>
  <c r="C10144" i="1"/>
  <c r="N10144" i="1"/>
  <c r="A10145" i="1"/>
  <c r="C10145" i="1"/>
  <c r="N10145" i="1"/>
  <c r="A10146" i="1"/>
  <c r="C10146" i="1"/>
  <c r="K10146" i="1"/>
  <c r="N10146" i="1"/>
  <c r="A10147" i="1"/>
  <c r="C10147" i="1"/>
  <c r="N10147" i="1"/>
  <c r="A10148" i="1"/>
  <c r="C10148" i="1"/>
  <c r="K10148" i="1"/>
  <c r="N10148" i="1"/>
  <c r="A10149" i="1"/>
  <c r="C10149" i="1"/>
  <c r="K10149" i="1"/>
  <c r="N10149" i="1"/>
  <c r="A10150" i="1"/>
  <c r="C10150" i="1"/>
  <c r="N10150" i="1"/>
  <c r="A10151" i="1"/>
  <c r="C10151" i="1"/>
  <c r="K10151" i="1"/>
  <c r="N10151" i="1"/>
  <c r="A10152" i="1"/>
  <c r="C10152" i="1"/>
  <c r="K10152" i="1"/>
  <c r="N10152" i="1"/>
  <c r="A10153" i="1"/>
  <c r="C10153" i="1"/>
  <c r="K10153" i="1"/>
  <c r="N10153" i="1"/>
  <c r="A10154" i="1"/>
  <c r="C10154" i="1"/>
  <c r="K10154" i="1"/>
  <c r="N10154" i="1"/>
  <c r="A10155" i="1"/>
  <c r="C10155" i="1"/>
  <c r="K10155" i="1"/>
  <c r="N10155" i="1"/>
  <c r="A10156" i="1"/>
  <c r="C10156" i="1"/>
  <c r="K10156" i="1"/>
  <c r="N10156" i="1"/>
  <c r="A10157" i="1"/>
  <c r="C10157" i="1"/>
  <c r="N10157" i="1"/>
  <c r="A10158" i="1"/>
  <c r="C10158" i="1"/>
  <c r="K10158" i="1"/>
  <c r="N10158" i="1"/>
  <c r="A10159" i="1"/>
  <c r="C10159" i="1"/>
  <c r="K10159" i="1"/>
  <c r="N10159" i="1"/>
  <c r="A10160" i="1"/>
  <c r="C10160" i="1"/>
  <c r="K10160" i="1"/>
  <c r="N10160" i="1"/>
  <c r="A10161" i="1"/>
  <c r="C10161" i="1"/>
  <c r="K10161" i="1"/>
  <c r="N10161" i="1"/>
  <c r="A10162" i="1"/>
  <c r="C10162" i="1"/>
  <c r="N10162" i="1"/>
  <c r="A10163" i="1"/>
  <c r="C10163" i="1"/>
  <c r="N10163" i="1"/>
  <c r="A10164" i="1"/>
  <c r="C10164" i="1"/>
  <c r="K10164" i="1"/>
  <c r="N10164" i="1"/>
  <c r="A10165" i="1"/>
  <c r="C10165" i="1"/>
  <c r="K10165" i="1"/>
  <c r="N10165" i="1"/>
  <c r="A10166" i="1"/>
  <c r="C10166" i="1"/>
  <c r="K10166" i="1"/>
  <c r="N10166" i="1"/>
  <c r="A10167" i="1"/>
  <c r="C10167" i="1"/>
  <c r="K10167" i="1"/>
  <c r="N10167" i="1"/>
  <c r="A10168" i="1"/>
  <c r="C10168" i="1"/>
  <c r="K10168" i="1"/>
  <c r="N10168" i="1"/>
  <c r="A10169" i="1"/>
  <c r="C10169" i="1"/>
  <c r="K10169" i="1"/>
  <c r="N10169" i="1"/>
  <c r="A10170" i="1"/>
  <c r="C10170" i="1"/>
  <c r="K10170" i="1"/>
  <c r="N10170" i="1"/>
  <c r="A10171" i="1"/>
  <c r="C10171" i="1"/>
  <c r="K10171" i="1"/>
  <c r="N10171" i="1"/>
  <c r="A10172" i="1"/>
  <c r="C10172" i="1"/>
  <c r="K10172" i="1"/>
  <c r="N10172" i="1"/>
  <c r="A10173" i="1"/>
  <c r="C10173" i="1"/>
  <c r="K10173" i="1"/>
  <c r="N10173" i="1"/>
  <c r="A10174" i="1"/>
  <c r="C10174" i="1"/>
  <c r="K10174" i="1"/>
  <c r="N10174" i="1"/>
  <c r="A10175" i="1"/>
  <c r="C10175" i="1"/>
  <c r="K10175" i="1"/>
  <c r="N10175" i="1"/>
  <c r="A10176" i="1"/>
  <c r="C10176" i="1"/>
  <c r="K10176" i="1"/>
  <c r="N10176" i="1"/>
  <c r="A10177" i="1"/>
  <c r="C10177" i="1"/>
  <c r="K10177" i="1"/>
  <c r="N10177" i="1"/>
  <c r="A10178" i="1"/>
  <c r="C10178" i="1"/>
  <c r="K10178" i="1"/>
  <c r="N10178" i="1"/>
  <c r="A10179" i="1"/>
  <c r="C10179" i="1"/>
  <c r="K10179" i="1"/>
  <c r="N10179" i="1"/>
  <c r="A10180" i="1"/>
  <c r="C10180" i="1"/>
  <c r="K10180" i="1"/>
  <c r="N10180" i="1"/>
  <c r="A10181" i="1"/>
  <c r="C10181" i="1"/>
  <c r="K10181" i="1"/>
  <c r="N10181" i="1"/>
  <c r="A10182" i="1"/>
  <c r="C10182" i="1"/>
  <c r="K10182" i="1"/>
  <c r="N10182" i="1"/>
  <c r="A10183" i="1"/>
  <c r="C10183" i="1"/>
  <c r="K10183" i="1"/>
  <c r="N10183" i="1"/>
  <c r="A10184" i="1"/>
  <c r="C10184" i="1"/>
  <c r="K10184" i="1"/>
  <c r="N10184" i="1"/>
  <c r="A10185" i="1"/>
  <c r="C10185" i="1"/>
  <c r="K10185" i="1"/>
  <c r="N10185" i="1"/>
  <c r="A10186" i="1"/>
  <c r="C10186" i="1"/>
  <c r="N10186" i="1"/>
  <c r="A10187" i="1"/>
  <c r="C10187" i="1"/>
  <c r="K10187" i="1"/>
  <c r="N10187" i="1"/>
  <c r="A10188" i="1"/>
  <c r="C10188" i="1"/>
  <c r="K10188" i="1"/>
  <c r="N10188" i="1"/>
  <c r="A10189" i="1"/>
  <c r="C10189" i="1"/>
  <c r="N10189" i="1"/>
  <c r="A10190" i="1"/>
  <c r="C10190" i="1"/>
  <c r="N10190" i="1"/>
  <c r="A10191" i="1"/>
  <c r="C10191" i="1"/>
  <c r="N10191" i="1"/>
  <c r="A10192" i="1"/>
  <c r="C10192" i="1"/>
  <c r="K10192" i="1"/>
  <c r="N10192" i="1"/>
  <c r="A10193" i="1"/>
  <c r="C10193" i="1"/>
  <c r="K10193" i="1"/>
  <c r="N10193" i="1"/>
  <c r="A10194" i="1"/>
  <c r="C10194" i="1"/>
  <c r="K10194" i="1"/>
  <c r="N10194" i="1"/>
  <c r="A10195" i="1"/>
  <c r="C10195" i="1"/>
  <c r="N10195" i="1"/>
  <c r="A10196" i="1"/>
  <c r="C10196" i="1"/>
  <c r="N10196" i="1"/>
  <c r="A10197" i="1"/>
  <c r="C10197" i="1"/>
  <c r="K10197" i="1"/>
  <c r="N10197" i="1"/>
  <c r="A10198" i="1"/>
  <c r="C10198" i="1"/>
  <c r="K10198" i="1"/>
  <c r="N10198" i="1"/>
  <c r="A10199" i="1"/>
  <c r="C10199" i="1"/>
  <c r="K10199" i="1"/>
  <c r="N10199" i="1"/>
  <c r="A10200" i="1"/>
  <c r="C10200" i="1"/>
  <c r="K10200" i="1"/>
  <c r="N10200" i="1"/>
  <c r="A10201" i="1"/>
  <c r="C10201" i="1"/>
  <c r="K10201" i="1"/>
  <c r="N10201" i="1"/>
  <c r="A10202" i="1"/>
  <c r="C10202" i="1"/>
  <c r="K10202" i="1"/>
  <c r="N10202" i="1"/>
  <c r="A10203" i="1"/>
  <c r="C10203" i="1"/>
  <c r="K10203" i="1"/>
  <c r="N10203" i="1"/>
  <c r="A10204" i="1"/>
  <c r="C10204" i="1"/>
  <c r="K10204" i="1"/>
  <c r="N10204" i="1"/>
  <c r="A10205" i="1"/>
  <c r="C10205" i="1"/>
  <c r="N10205" i="1"/>
  <c r="A10206" i="1"/>
  <c r="C10206" i="1"/>
  <c r="N10206" i="1"/>
  <c r="A10207" i="1"/>
  <c r="C10207" i="1"/>
  <c r="K10207" i="1"/>
  <c r="N10207" i="1"/>
  <c r="A10208" i="1"/>
  <c r="C10208" i="1"/>
  <c r="K10208" i="1"/>
  <c r="N10208" i="1"/>
  <c r="A10209" i="1"/>
  <c r="C10209" i="1"/>
  <c r="K10209" i="1"/>
  <c r="N10209" i="1"/>
  <c r="A10210" i="1"/>
  <c r="C10210" i="1"/>
  <c r="K10210" i="1"/>
  <c r="N10210" i="1"/>
  <c r="A10211" i="1"/>
  <c r="C10211" i="1"/>
  <c r="K10211" i="1"/>
  <c r="N10211" i="1"/>
  <c r="A10212" i="1"/>
  <c r="C10212" i="1"/>
  <c r="K10212" i="1"/>
  <c r="N10212" i="1"/>
  <c r="A10213" i="1"/>
  <c r="C10213" i="1"/>
  <c r="D10213" i="1"/>
  <c r="K10213" i="1"/>
  <c r="N10213" i="1"/>
  <c r="O10213" i="1"/>
  <c r="A10214" i="1"/>
  <c r="C10214" i="1"/>
  <c r="D10214" i="1"/>
  <c r="K10214" i="1"/>
  <c r="N10214" i="1"/>
  <c r="O10214" i="1"/>
  <c r="A10215" i="1"/>
  <c r="C10215" i="1"/>
  <c r="K10215" i="1"/>
  <c r="N10215" i="1"/>
  <c r="A10216" i="1"/>
  <c r="C10216" i="1"/>
  <c r="K10216" i="1"/>
  <c r="N10216" i="1"/>
  <c r="A10217" i="1"/>
  <c r="C10217" i="1"/>
  <c r="K10217" i="1"/>
  <c r="N10217" i="1"/>
  <c r="A10218" i="1"/>
  <c r="C10218" i="1"/>
  <c r="K10218" i="1"/>
  <c r="N10218" i="1"/>
  <c r="A10219" i="1"/>
  <c r="C10219" i="1"/>
  <c r="K10219" i="1"/>
  <c r="N10219" i="1"/>
  <c r="A10220" i="1"/>
  <c r="C10220" i="1"/>
  <c r="K10220" i="1"/>
  <c r="N10220" i="1"/>
  <c r="A10221" i="1"/>
  <c r="C10221" i="1"/>
  <c r="K10221" i="1"/>
  <c r="N10221" i="1"/>
  <c r="A10222" i="1"/>
  <c r="C10222" i="1"/>
  <c r="K10222" i="1"/>
  <c r="N10222" i="1"/>
  <c r="A10223" i="1"/>
  <c r="C10223" i="1"/>
  <c r="K10223" i="1"/>
  <c r="N10223" i="1"/>
  <c r="A10224" i="1"/>
  <c r="C10224" i="1"/>
  <c r="K10224" i="1"/>
  <c r="N10224" i="1"/>
  <c r="A10225" i="1"/>
  <c r="C10225" i="1"/>
  <c r="K10225" i="1"/>
  <c r="N10225" i="1"/>
  <c r="A10226" i="1"/>
  <c r="C10226" i="1"/>
  <c r="K10226" i="1"/>
  <c r="N10226" i="1"/>
  <c r="A10227" i="1"/>
  <c r="C10227" i="1"/>
  <c r="K10227" i="1"/>
  <c r="N10227" i="1"/>
  <c r="A10228" i="1"/>
  <c r="C10228" i="1"/>
  <c r="K10228" i="1"/>
  <c r="N10228" i="1"/>
  <c r="A10229" i="1"/>
  <c r="C10229" i="1"/>
  <c r="K10229" i="1"/>
  <c r="N10229" i="1"/>
  <c r="A10230" i="1"/>
  <c r="C10230" i="1"/>
  <c r="N10230" i="1"/>
  <c r="A10231" i="1"/>
  <c r="C10231" i="1"/>
  <c r="K10231" i="1"/>
  <c r="N10231" i="1"/>
  <c r="A10232" i="1"/>
  <c r="C10232" i="1"/>
  <c r="K10232" i="1"/>
  <c r="N10232" i="1"/>
  <c r="A10233" i="1"/>
  <c r="C10233" i="1"/>
  <c r="N10233" i="1"/>
  <c r="A10234" i="1"/>
  <c r="C10234" i="1"/>
  <c r="N10234" i="1"/>
  <c r="A10235" i="1"/>
  <c r="C10235" i="1"/>
  <c r="K10235" i="1"/>
  <c r="N10235" i="1"/>
  <c r="A10236" i="1"/>
  <c r="C10236" i="1"/>
  <c r="N10236" i="1"/>
  <c r="A10237" i="1"/>
  <c r="C10237" i="1"/>
  <c r="N10237" i="1"/>
  <c r="A10238" i="1"/>
  <c r="C10238" i="1"/>
  <c r="K10238" i="1"/>
  <c r="N10238" i="1"/>
  <c r="A10239" i="1"/>
  <c r="C10239" i="1"/>
  <c r="K10239" i="1"/>
  <c r="N10239" i="1"/>
  <c r="A10240" i="1"/>
  <c r="C10240" i="1"/>
  <c r="K10240" i="1"/>
  <c r="N10240" i="1"/>
  <c r="A10241" i="1"/>
  <c r="C10241" i="1"/>
  <c r="K10241" i="1"/>
  <c r="N10241" i="1"/>
  <c r="A10242" i="1"/>
  <c r="C10242" i="1"/>
  <c r="K10242" i="1"/>
  <c r="N10242" i="1"/>
  <c r="A10243" i="1"/>
  <c r="C10243" i="1"/>
  <c r="K10243" i="1"/>
  <c r="N10243" i="1"/>
  <c r="A10244" i="1"/>
  <c r="C10244" i="1"/>
  <c r="N10244" i="1"/>
  <c r="A10245" i="1"/>
  <c r="C10245" i="1"/>
  <c r="N10245" i="1"/>
  <c r="A10246" i="1"/>
  <c r="C10246" i="1"/>
  <c r="K10246" i="1"/>
  <c r="N10246" i="1"/>
  <c r="A10247" i="1"/>
  <c r="C10247" i="1"/>
  <c r="K10247" i="1"/>
  <c r="N10247" i="1"/>
  <c r="A10248" i="1"/>
  <c r="C10248" i="1"/>
  <c r="K10248" i="1"/>
  <c r="N10248" i="1"/>
  <c r="A10249" i="1"/>
  <c r="C10249" i="1"/>
  <c r="K10249" i="1"/>
  <c r="N10249" i="1"/>
  <c r="A10250" i="1"/>
  <c r="C10250" i="1"/>
  <c r="K10250" i="1"/>
  <c r="N10250" i="1"/>
  <c r="A10251" i="1"/>
  <c r="C10251" i="1"/>
  <c r="K10251" i="1"/>
  <c r="N10251" i="1"/>
  <c r="A10252" i="1"/>
  <c r="C10252" i="1"/>
  <c r="K10252" i="1"/>
  <c r="N10252" i="1"/>
  <c r="A10253" i="1"/>
  <c r="C10253" i="1"/>
  <c r="K10253" i="1"/>
  <c r="N10253" i="1"/>
  <c r="A10254" i="1"/>
  <c r="C10254" i="1"/>
  <c r="K10254" i="1"/>
  <c r="N10254" i="1"/>
  <c r="A10255" i="1"/>
  <c r="C10255" i="1"/>
  <c r="K10255" i="1"/>
  <c r="N10255" i="1"/>
  <c r="A10256" i="1"/>
  <c r="C10256" i="1"/>
  <c r="K10256" i="1"/>
  <c r="N10256" i="1"/>
  <c r="A10257" i="1"/>
  <c r="C10257" i="1"/>
  <c r="N10257" i="1"/>
  <c r="A10258" i="1"/>
  <c r="C10258" i="1"/>
  <c r="K10258" i="1"/>
  <c r="N10258" i="1"/>
  <c r="A10259" i="1"/>
  <c r="C10259" i="1"/>
  <c r="K10259" i="1"/>
  <c r="N10259" i="1"/>
  <c r="A10260" i="1"/>
  <c r="C10260" i="1"/>
  <c r="K10260" i="1"/>
  <c r="N10260" i="1"/>
  <c r="A10261" i="1"/>
  <c r="C10261" i="1"/>
  <c r="K10261" i="1"/>
  <c r="N10261" i="1"/>
  <c r="A10262" i="1"/>
  <c r="C10262" i="1"/>
  <c r="K10262" i="1"/>
  <c r="N10262" i="1"/>
  <c r="A10263" i="1"/>
  <c r="C10263" i="1"/>
  <c r="K10263" i="1"/>
  <c r="N10263" i="1"/>
  <c r="A10264" i="1"/>
  <c r="C10264" i="1"/>
  <c r="K10264" i="1"/>
  <c r="N10264" i="1"/>
  <c r="A10265" i="1"/>
  <c r="C10265" i="1"/>
  <c r="K10265" i="1"/>
  <c r="N10265" i="1"/>
  <c r="A10266" i="1"/>
  <c r="C10266" i="1"/>
  <c r="K10266" i="1"/>
  <c r="N10266" i="1"/>
  <c r="A10267" i="1"/>
  <c r="C10267" i="1"/>
  <c r="K10267" i="1"/>
  <c r="N10267" i="1"/>
  <c r="A10268" i="1"/>
  <c r="C10268" i="1"/>
  <c r="K10268" i="1"/>
  <c r="N10268" i="1"/>
  <c r="A10269" i="1"/>
  <c r="C10269" i="1"/>
  <c r="K10269" i="1"/>
  <c r="N10269" i="1"/>
  <c r="A10270" i="1"/>
  <c r="C10270" i="1"/>
  <c r="K10270" i="1"/>
  <c r="N10270" i="1"/>
  <c r="A10271" i="1"/>
  <c r="C10271" i="1"/>
  <c r="K10271" i="1"/>
  <c r="N10271" i="1"/>
  <c r="A10272" i="1"/>
  <c r="C10272" i="1"/>
  <c r="K10272" i="1"/>
  <c r="N10272" i="1"/>
  <c r="A10273" i="1"/>
  <c r="C10273" i="1"/>
  <c r="N10273" i="1"/>
  <c r="A10274" i="1"/>
  <c r="C10274" i="1"/>
  <c r="K10274" i="1"/>
  <c r="N10274" i="1"/>
  <c r="A10275" i="1"/>
  <c r="C10275" i="1"/>
  <c r="K10275" i="1"/>
  <c r="N10275" i="1"/>
  <c r="A10276" i="1"/>
  <c r="C10276" i="1"/>
  <c r="K10276" i="1"/>
  <c r="N10276" i="1"/>
  <c r="A10277" i="1"/>
  <c r="C10277" i="1"/>
  <c r="K10277" i="1"/>
  <c r="N10277" i="1"/>
  <c r="A10278" i="1"/>
  <c r="C10278" i="1"/>
  <c r="K10278" i="1"/>
  <c r="N10278" i="1"/>
  <c r="A10279" i="1"/>
  <c r="C10279" i="1"/>
  <c r="K10279" i="1"/>
  <c r="N10279" i="1"/>
  <c r="A10280" i="1"/>
  <c r="C10280" i="1"/>
  <c r="N10280" i="1"/>
  <c r="A10281" i="1"/>
  <c r="C10281" i="1"/>
  <c r="K10281" i="1"/>
  <c r="N10281" i="1"/>
  <c r="A10282" i="1"/>
  <c r="C10282" i="1"/>
  <c r="K10282" i="1"/>
  <c r="N10282" i="1"/>
  <c r="A10283" i="1"/>
  <c r="C10283" i="1"/>
  <c r="K10283" i="1"/>
  <c r="N10283" i="1"/>
  <c r="A10284" i="1"/>
  <c r="C10284" i="1"/>
  <c r="K10284" i="1"/>
  <c r="N10284" i="1"/>
  <c r="A10285" i="1"/>
  <c r="C10285" i="1"/>
  <c r="K10285" i="1"/>
  <c r="N10285" i="1"/>
  <c r="A10286" i="1"/>
  <c r="C10286" i="1"/>
  <c r="K10286" i="1"/>
  <c r="N10286" i="1"/>
  <c r="A10287" i="1"/>
  <c r="C10287" i="1"/>
  <c r="K10287" i="1"/>
  <c r="N10287" i="1"/>
  <c r="A10288" i="1"/>
  <c r="C10288" i="1"/>
  <c r="N10288" i="1"/>
  <c r="A10289" i="1"/>
  <c r="C10289" i="1"/>
  <c r="N10289" i="1"/>
  <c r="A10290" i="1"/>
  <c r="C10290" i="1"/>
  <c r="K10290" i="1"/>
  <c r="N10290" i="1"/>
  <c r="A10291" i="1"/>
  <c r="C10291" i="1"/>
  <c r="K10291" i="1"/>
  <c r="N10291" i="1"/>
  <c r="A10292" i="1"/>
  <c r="C10292" i="1"/>
  <c r="N10292" i="1"/>
  <c r="A10293" i="1"/>
  <c r="C10293" i="1"/>
  <c r="K10293" i="1"/>
  <c r="N10293" i="1"/>
  <c r="A10294" i="1"/>
  <c r="C10294" i="1"/>
  <c r="N10294" i="1"/>
  <c r="A10295" i="1"/>
  <c r="C10295" i="1"/>
  <c r="K10295" i="1"/>
  <c r="N10295" i="1"/>
  <c r="A10296" i="1"/>
  <c r="C10296" i="1"/>
  <c r="K10296" i="1"/>
  <c r="N10296" i="1"/>
  <c r="A10297" i="1"/>
  <c r="C10297" i="1"/>
  <c r="K10297" i="1"/>
  <c r="N10297" i="1"/>
  <c r="A10298" i="1"/>
  <c r="C10298" i="1"/>
  <c r="N10298" i="1"/>
  <c r="A10299" i="1"/>
  <c r="C10299" i="1"/>
  <c r="K10299" i="1"/>
  <c r="N10299" i="1"/>
  <c r="A10300" i="1"/>
  <c r="C10300" i="1"/>
  <c r="N10300" i="1"/>
  <c r="A10301" i="1"/>
  <c r="C10301" i="1"/>
  <c r="K10301" i="1"/>
  <c r="N10301" i="1"/>
  <c r="A10302" i="1"/>
  <c r="C10302" i="1"/>
  <c r="N10302" i="1"/>
  <c r="A10303" i="1"/>
  <c r="C10303" i="1"/>
  <c r="N10303" i="1"/>
  <c r="A10304" i="1"/>
  <c r="C10304" i="1"/>
  <c r="N10304" i="1"/>
  <c r="A10305" i="1"/>
  <c r="C10305" i="1"/>
  <c r="N10305" i="1"/>
  <c r="A10306" i="1"/>
  <c r="C10306" i="1"/>
  <c r="N10306" i="1"/>
  <c r="A10307" i="1"/>
  <c r="C10307" i="1"/>
  <c r="K10307" i="1"/>
  <c r="N10307" i="1"/>
  <c r="A10308" i="1"/>
  <c r="C10308" i="1"/>
  <c r="N10308" i="1"/>
  <c r="A10309" i="1"/>
  <c r="C10309" i="1"/>
  <c r="K10309" i="1"/>
  <c r="N10309" i="1"/>
  <c r="A10310" i="1"/>
  <c r="C10310" i="1"/>
  <c r="N10310" i="1"/>
  <c r="A10311" i="1"/>
  <c r="C10311" i="1"/>
  <c r="N10311" i="1"/>
  <c r="A10312" i="1"/>
  <c r="C10312" i="1"/>
  <c r="N10312" i="1"/>
  <c r="A10313" i="1"/>
  <c r="C10313" i="1"/>
  <c r="N10313" i="1"/>
  <c r="A10314" i="1"/>
  <c r="C10314" i="1"/>
  <c r="N10314" i="1"/>
  <c r="A10315" i="1"/>
  <c r="C10315" i="1"/>
  <c r="K10315" i="1"/>
  <c r="N10315" i="1"/>
  <c r="A10316" i="1"/>
  <c r="C10316" i="1"/>
  <c r="N10316" i="1"/>
  <c r="A10317" i="1"/>
  <c r="C10317" i="1"/>
  <c r="N10317" i="1"/>
  <c r="A10318" i="1"/>
  <c r="C10318" i="1"/>
  <c r="K10318" i="1"/>
  <c r="N10318" i="1"/>
  <c r="A10319" i="1"/>
  <c r="C10319" i="1"/>
  <c r="K10319" i="1"/>
  <c r="N10319" i="1"/>
  <c r="A10320" i="1"/>
  <c r="C10320" i="1"/>
  <c r="K10320" i="1"/>
  <c r="N10320" i="1"/>
  <c r="A10321" i="1"/>
  <c r="C10321" i="1"/>
  <c r="N10321" i="1"/>
  <c r="A10322" i="1"/>
  <c r="C10322" i="1"/>
  <c r="K10322" i="1"/>
  <c r="N10322" i="1"/>
  <c r="A10323" i="1"/>
  <c r="C10323" i="1"/>
  <c r="N10323" i="1"/>
  <c r="A10324" i="1"/>
  <c r="C10324" i="1"/>
  <c r="K10324" i="1"/>
  <c r="N10324" i="1"/>
  <c r="A10325" i="1"/>
  <c r="C10325" i="1"/>
  <c r="K10325" i="1"/>
  <c r="N10325" i="1"/>
  <c r="A10326" i="1"/>
  <c r="C10326" i="1"/>
  <c r="K10326" i="1"/>
  <c r="N10326" i="1"/>
  <c r="A10327" i="1"/>
  <c r="C10327" i="1"/>
  <c r="K10327" i="1"/>
  <c r="N10327" i="1"/>
  <c r="A10328" i="1"/>
  <c r="C10328" i="1"/>
  <c r="N10328" i="1"/>
  <c r="A10329" i="1"/>
  <c r="C10329" i="1"/>
  <c r="K10329" i="1"/>
  <c r="N10329" i="1"/>
  <c r="A10330" i="1"/>
  <c r="C10330" i="1"/>
  <c r="K10330" i="1"/>
  <c r="N10330" i="1"/>
  <c r="A10331" i="1"/>
  <c r="C10331" i="1"/>
  <c r="D10331" i="1"/>
  <c r="E10331" i="1"/>
  <c r="K10331" i="1"/>
  <c r="N10331" i="1"/>
  <c r="O10331" i="1"/>
  <c r="T10331" i="1"/>
  <c r="A10332" i="1"/>
  <c r="C10332" i="1"/>
  <c r="N10332" i="1"/>
  <c r="A10333" i="1"/>
  <c r="C10333" i="1"/>
  <c r="E10333" i="1"/>
  <c r="K10333" i="1"/>
  <c r="N10333" i="1"/>
  <c r="T10333" i="1"/>
  <c r="A10334" i="1"/>
  <c r="C10334" i="1"/>
  <c r="K10334" i="1"/>
  <c r="N10334" i="1"/>
  <c r="A10335" i="1"/>
  <c r="C10335" i="1"/>
  <c r="K10335" i="1"/>
  <c r="N10335" i="1"/>
  <c r="A10336" i="1"/>
  <c r="C10336" i="1"/>
  <c r="K10336" i="1"/>
  <c r="N10336" i="1"/>
  <c r="A10337" i="1"/>
  <c r="C10337" i="1"/>
  <c r="K10337" i="1"/>
  <c r="N10337" i="1"/>
  <c r="A10338" i="1"/>
  <c r="C10338" i="1"/>
  <c r="K10338" i="1"/>
  <c r="N10338" i="1"/>
  <c r="A10339" i="1"/>
  <c r="C10339" i="1"/>
  <c r="K10339" i="1"/>
  <c r="N10339" i="1"/>
  <c r="A10340" i="1"/>
  <c r="C10340" i="1"/>
  <c r="N10340" i="1"/>
  <c r="A10341" i="1"/>
  <c r="C10341" i="1"/>
  <c r="K10341" i="1"/>
  <c r="N10341" i="1"/>
  <c r="A10342" i="1"/>
  <c r="C10342" i="1"/>
  <c r="K10342" i="1"/>
  <c r="N10342" i="1"/>
  <c r="A10343" i="1"/>
  <c r="C10343" i="1"/>
  <c r="K10343" i="1"/>
  <c r="N10343" i="1"/>
  <c r="A10344" i="1"/>
  <c r="C10344" i="1"/>
  <c r="F10344" i="1"/>
  <c r="K10344" i="1"/>
  <c r="N10344" i="1"/>
  <c r="A10345" i="1"/>
  <c r="C10345" i="1"/>
  <c r="N10345" i="1"/>
  <c r="A10346" i="1"/>
  <c r="C10346" i="1"/>
  <c r="N10346" i="1"/>
  <c r="A10347" i="1"/>
  <c r="C10347" i="1"/>
  <c r="N10347" i="1"/>
  <c r="A10348" i="1"/>
  <c r="C10348" i="1"/>
  <c r="N10348" i="1"/>
  <c r="A10349" i="1"/>
  <c r="C10349" i="1"/>
  <c r="N10349" i="1"/>
  <c r="A10350" i="1"/>
  <c r="C10350" i="1"/>
  <c r="N10350" i="1"/>
  <c r="A10351" i="1"/>
  <c r="C10351" i="1"/>
  <c r="N10351" i="1"/>
  <c r="A10352" i="1"/>
  <c r="C10352" i="1"/>
  <c r="N10352" i="1"/>
  <c r="A10353" i="1"/>
  <c r="C10353" i="1"/>
  <c r="K10353" i="1"/>
  <c r="N10353" i="1"/>
  <c r="A10354" i="1"/>
  <c r="C10354" i="1"/>
  <c r="N10354" i="1"/>
  <c r="A10355" i="1"/>
  <c r="C10355" i="1"/>
  <c r="K10355" i="1"/>
  <c r="N10355" i="1"/>
  <c r="A10356" i="1"/>
  <c r="C10356" i="1"/>
  <c r="N10356" i="1"/>
  <c r="A10357" i="1"/>
  <c r="C10357" i="1"/>
  <c r="K10357" i="1"/>
  <c r="N10357" i="1"/>
  <c r="A10358" i="1"/>
  <c r="C10358" i="1"/>
  <c r="N10358" i="1"/>
  <c r="A10359" i="1"/>
  <c r="C10359" i="1"/>
  <c r="N10359" i="1"/>
  <c r="A10360" i="1"/>
  <c r="C10360" i="1"/>
  <c r="N10360" i="1"/>
  <c r="A10361" i="1"/>
  <c r="C10361" i="1"/>
  <c r="N10361" i="1"/>
  <c r="A10362" i="1"/>
  <c r="C10362" i="1"/>
  <c r="N10362" i="1"/>
  <c r="A10363" i="1"/>
  <c r="C10363" i="1"/>
  <c r="N10363" i="1"/>
  <c r="A10364" i="1"/>
  <c r="C10364" i="1"/>
  <c r="N10364" i="1"/>
  <c r="A10365" i="1"/>
  <c r="C10365" i="1"/>
  <c r="N10365" i="1"/>
  <c r="A10366" i="1"/>
  <c r="C10366" i="1"/>
  <c r="N10366" i="1"/>
  <c r="A10367" i="1"/>
  <c r="C10367" i="1"/>
  <c r="N10367" i="1"/>
  <c r="A10368" i="1"/>
  <c r="C10368" i="1"/>
  <c r="N10368" i="1"/>
  <c r="A10369" i="1"/>
  <c r="C10369" i="1"/>
  <c r="N10369" i="1"/>
  <c r="A10370" i="1"/>
  <c r="C10370" i="1"/>
  <c r="N10370" i="1"/>
  <c r="A10371" i="1"/>
  <c r="C10371" i="1"/>
  <c r="N10371" i="1"/>
  <c r="A10372" i="1"/>
  <c r="C10372" i="1"/>
  <c r="N10372" i="1"/>
  <c r="A10373" i="1"/>
  <c r="C10373" i="1"/>
  <c r="N10373" i="1"/>
  <c r="A10374" i="1"/>
  <c r="C10374" i="1"/>
  <c r="N10374" i="1"/>
  <c r="A10375" i="1"/>
  <c r="C10375" i="1"/>
  <c r="N10375" i="1"/>
  <c r="A10376" i="1"/>
  <c r="C10376" i="1"/>
  <c r="N10376" i="1"/>
  <c r="A10377" i="1"/>
  <c r="C10377" i="1"/>
  <c r="N10377" i="1"/>
  <c r="A10378" i="1"/>
  <c r="C10378" i="1"/>
  <c r="N10378" i="1"/>
  <c r="A10379" i="1"/>
  <c r="C10379" i="1"/>
  <c r="N10379" i="1"/>
  <c r="A10380" i="1"/>
  <c r="C10380" i="1"/>
  <c r="N10380" i="1"/>
  <c r="A10381" i="1"/>
  <c r="C10381" i="1"/>
  <c r="N10381" i="1"/>
  <c r="A10382" i="1"/>
  <c r="C10382" i="1"/>
  <c r="N10382" i="1"/>
  <c r="A10383" i="1"/>
  <c r="C10383" i="1"/>
  <c r="N10383" i="1"/>
  <c r="A10384" i="1"/>
  <c r="C10384" i="1"/>
  <c r="N10384" i="1"/>
  <c r="A10385" i="1"/>
  <c r="C10385" i="1"/>
  <c r="N10385" i="1"/>
  <c r="A10386" i="1"/>
  <c r="C10386" i="1"/>
  <c r="N10386" i="1"/>
  <c r="A10387" i="1"/>
  <c r="C10387" i="1"/>
  <c r="N10387" i="1"/>
  <c r="A10388" i="1"/>
  <c r="C10388" i="1"/>
  <c r="N10388" i="1"/>
  <c r="A10389" i="1"/>
  <c r="C10389" i="1"/>
  <c r="N10389" i="1"/>
  <c r="A10390" i="1"/>
  <c r="C10390" i="1"/>
  <c r="K10390" i="1"/>
  <c r="N10390" i="1"/>
  <c r="A10391" i="1"/>
  <c r="C10391" i="1"/>
  <c r="K10391" i="1"/>
  <c r="N10391" i="1"/>
  <c r="A10392" i="1"/>
  <c r="C10392" i="1"/>
  <c r="K10392" i="1"/>
  <c r="N10392" i="1"/>
  <c r="A10393" i="1"/>
  <c r="C10393" i="1"/>
  <c r="K10393" i="1"/>
  <c r="N10393" i="1"/>
  <c r="A10394" i="1"/>
  <c r="C10394" i="1"/>
  <c r="K10394" i="1"/>
  <c r="N10394" i="1"/>
  <c r="A10395" i="1"/>
  <c r="C10395" i="1"/>
  <c r="K10395" i="1"/>
  <c r="N10395" i="1"/>
  <c r="A10396" i="1"/>
  <c r="C10396" i="1"/>
  <c r="K10396" i="1"/>
  <c r="N10396" i="1"/>
  <c r="A10397" i="1"/>
  <c r="C10397" i="1"/>
  <c r="K10397" i="1"/>
  <c r="N10397" i="1"/>
  <c r="A10398" i="1"/>
  <c r="C10398" i="1"/>
  <c r="K10398" i="1"/>
  <c r="N10398" i="1"/>
  <c r="A10399" i="1"/>
  <c r="C10399" i="1"/>
  <c r="K10399" i="1"/>
  <c r="N10399" i="1"/>
  <c r="A10400" i="1"/>
  <c r="C10400" i="1"/>
  <c r="K10400" i="1"/>
  <c r="N10400" i="1"/>
  <c r="A10401" i="1"/>
  <c r="C10401" i="1"/>
  <c r="K10401" i="1"/>
  <c r="N10401" i="1"/>
  <c r="A10402" i="1"/>
  <c r="C10402" i="1"/>
  <c r="K10402" i="1"/>
  <c r="N10402" i="1"/>
  <c r="A10403" i="1"/>
  <c r="C10403" i="1"/>
  <c r="K10403" i="1"/>
  <c r="N10403" i="1"/>
  <c r="A10404" i="1"/>
  <c r="C10404" i="1"/>
  <c r="N10404" i="1"/>
  <c r="A10405" i="1"/>
  <c r="C10405" i="1"/>
  <c r="N10405" i="1"/>
  <c r="A10406" i="1"/>
  <c r="C10406" i="1"/>
  <c r="N10406" i="1"/>
  <c r="A10407" i="1"/>
  <c r="C10407" i="1"/>
  <c r="N10407" i="1"/>
  <c r="A10408" i="1"/>
  <c r="C10408" i="1"/>
  <c r="N10408" i="1"/>
  <c r="A10409" i="1"/>
  <c r="C10409" i="1"/>
  <c r="N10409" i="1"/>
  <c r="A10410" i="1"/>
  <c r="C10410" i="1"/>
  <c r="N10410" i="1"/>
  <c r="A10411" i="1"/>
  <c r="C10411" i="1"/>
  <c r="N10411" i="1"/>
  <c r="A10412" i="1"/>
  <c r="C10412" i="1"/>
  <c r="K10412" i="1"/>
  <c r="N10412" i="1"/>
  <c r="A10413" i="1"/>
  <c r="C10413" i="1"/>
  <c r="K10413" i="1"/>
  <c r="N10413" i="1"/>
  <c r="A10414" i="1"/>
  <c r="C10414" i="1"/>
  <c r="N10414" i="1"/>
  <c r="A10415" i="1"/>
  <c r="C10415" i="1"/>
  <c r="N10415" i="1"/>
  <c r="A10416" i="1"/>
  <c r="C10416" i="1"/>
  <c r="N10416" i="1"/>
  <c r="A10417" i="1"/>
  <c r="C10417" i="1"/>
  <c r="N10417" i="1"/>
  <c r="A10418" i="1"/>
  <c r="C10418" i="1"/>
  <c r="N10418" i="1"/>
  <c r="A10419" i="1"/>
  <c r="C10419" i="1"/>
  <c r="N10419" i="1"/>
  <c r="A10420" i="1"/>
  <c r="C10420" i="1"/>
  <c r="N10420" i="1"/>
  <c r="A10421" i="1"/>
  <c r="C10421" i="1"/>
  <c r="N10421" i="1"/>
  <c r="A10422" i="1"/>
  <c r="C10422" i="1"/>
  <c r="N10422" i="1"/>
  <c r="A10423" i="1"/>
  <c r="C10423" i="1"/>
  <c r="N10423" i="1"/>
  <c r="A10424" i="1"/>
  <c r="C10424" i="1"/>
  <c r="N10424" i="1"/>
  <c r="A10425" i="1"/>
  <c r="C10425" i="1"/>
  <c r="N10425" i="1"/>
  <c r="A10426" i="1"/>
  <c r="C10426" i="1"/>
  <c r="N10426" i="1"/>
  <c r="A10427" i="1"/>
  <c r="C10427" i="1"/>
  <c r="N10427" i="1"/>
  <c r="A10428" i="1"/>
  <c r="C10428" i="1"/>
  <c r="N10428" i="1"/>
  <c r="A10429" i="1"/>
  <c r="C10429" i="1"/>
  <c r="N10429" i="1"/>
  <c r="A10430" i="1"/>
  <c r="C10430" i="1"/>
  <c r="N10430" i="1"/>
  <c r="A10431" i="1"/>
  <c r="C10431" i="1"/>
  <c r="N10431" i="1"/>
  <c r="A10432" i="1"/>
  <c r="C10432" i="1"/>
  <c r="N10432" i="1"/>
  <c r="A10433" i="1"/>
  <c r="C10433" i="1"/>
  <c r="N10433" i="1"/>
  <c r="A10434" i="1"/>
  <c r="C10434" i="1"/>
  <c r="N10434" i="1"/>
  <c r="A10435" i="1"/>
  <c r="C10435" i="1"/>
  <c r="N10435" i="1"/>
  <c r="A10436" i="1"/>
  <c r="C10436" i="1"/>
  <c r="N10436" i="1"/>
  <c r="A10437" i="1"/>
  <c r="C10437" i="1"/>
  <c r="N10437" i="1"/>
  <c r="A10438" i="1"/>
  <c r="C10438" i="1"/>
  <c r="N10438" i="1"/>
  <c r="A10439" i="1"/>
  <c r="C10439" i="1"/>
  <c r="N10439" i="1"/>
  <c r="A10440" i="1"/>
  <c r="C10440" i="1"/>
  <c r="N10440" i="1"/>
  <c r="A10441" i="1"/>
  <c r="C10441" i="1"/>
  <c r="N10441" i="1"/>
  <c r="A10442" i="1"/>
  <c r="C10442" i="1"/>
  <c r="E10442" i="1"/>
  <c r="N10442" i="1"/>
  <c r="T10442" i="1"/>
  <c r="A10443" i="1"/>
  <c r="C10443" i="1"/>
  <c r="N10443" i="1"/>
  <c r="A10444" i="1"/>
  <c r="C10444" i="1"/>
  <c r="K10444" i="1"/>
  <c r="N10444" i="1"/>
  <c r="A10445" i="1"/>
  <c r="C10445" i="1"/>
  <c r="K10445" i="1"/>
  <c r="N10445" i="1"/>
  <c r="A10446" i="1"/>
  <c r="C10446" i="1"/>
  <c r="K10446" i="1"/>
  <c r="N10446" i="1"/>
  <c r="A10447" i="1"/>
  <c r="C10447" i="1"/>
  <c r="K10447" i="1"/>
  <c r="N10447" i="1"/>
  <c r="A10448" i="1"/>
  <c r="C10448" i="1"/>
  <c r="K10448" i="1"/>
  <c r="N10448" i="1"/>
  <c r="A10449" i="1"/>
  <c r="C10449" i="1"/>
  <c r="N10449" i="1"/>
  <c r="A10450" i="1"/>
  <c r="C10450" i="1"/>
  <c r="N10450" i="1"/>
  <c r="A10451" i="1"/>
  <c r="C10451" i="1"/>
  <c r="K10451" i="1"/>
  <c r="N10451" i="1"/>
  <c r="A10452" i="1"/>
  <c r="C10452" i="1"/>
  <c r="N10452" i="1"/>
  <c r="A10453" i="1"/>
  <c r="C10453" i="1"/>
  <c r="K10453" i="1"/>
  <c r="N10453" i="1"/>
  <c r="A10454" i="1"/>
  <c r="C10454" i="1"/>
  <c r="K10454" i="1"/>
  <c r="N10454" i="1"/>
  <c r="A10455" i="1"/>
  <c r="C10455" i="1"/>
  <c r="D10455" i="1"/>
  <c r="K10455" i="1"/>
  <c r="N10455" i="1"/>
  <c r="O10455" i="1"/>
  <c r="A10456" i="1"/>
  <c r="C10456" i="1"/>
  <c r="K10456" i="1"/>
  <c r="N10456" i="1"/>
  <c r="A10457" i="1"/>
  <c r="C10457" i="1"/>
  <c r="K10457" i="1"/>
  <c r="N10457" i="1"/>
  <c r="A10458" i="1"/>
  <c r="C10458" i="1"/>
  <c r="K10458" i="1"/>
  <c r="N10458" i="1"/>
  <c r="A10459" i="1"/>
  <c r="C10459" i="1"/>
  <c r="K10459" i="1"/>
  <c r="N10459" i="1"/>
  <c r="A10460" i="1"/>
  <c r="C10460" i="1"/>
  <c r="K10460" i="1"/>
  <c r="N10460" i="1"/>
  <c r="A10461" i="1"/>
  <c r="C10461" i="1"/>
  <c r="K10461" i="1"/>
  <c r="N10461" i="1"/>
  <c r="A10462" i="1"/>
  <c r="C10462" i="1"/>
  <c r="K10462" i="1"/>
  <c r="N10462" i="1"/>
  <c r="A10463" i="1"/>
  <c r="C10463" i="1"/>
  <c r="K10463" i="1"/>
  <c r="N10463" i="1"/>
  <c r="A10464" i="1"/>
  <c r="C10464" i="1"/>
  <c r="K10464" i="1"/>
  <c r="N10464" i="1"/>
  <c r="A10465" i="1"/>
  <c r="C10465" i="1"/>
  <c r="K10465" i="1"/>
  <c r="N10465" i="1"/>
  <c r="A10466" i="1"/>
  <c r="C10466" i="1"/>
  <c r="K10466" i="1"/>
  <c r="N10466" i="1"/>
  <c r="A10467" i="1"/>
  <c r="C10467" i="1"/>
  <c r="K10467" i="1"/>
  <c r="N10467" i="1"/>
  <c r="A10468" i="1"/>
  <c r="C10468" i="1"/>
  <c r="K10468" i="1"/>
  <c r="N10468" i="1"/>
  <c r="A10469" i="1"/>
  <c r="C10469" i="1"/>
  <c r="N10469" i="1"/>
  <c r="A10470" i="1"/>
  <c r="C10470" i="1"/>
  <c r="K10470" i="1"/>
  <c r="N10470" i="1"/>
  <c r="A10471" i="1"/>
  <c r="C10471" i="1"/>
  <c r="K10471" i="1"/>
  <c r="N10471" i="1"/>
  <c r="A10472" i="1"/>
  <c r="C10472" i="1"/>
  <c r="K10472" i="1"/>
  <c r="N10472" i="1"/>
  <c r="A10473" i="1"/>
  <c r="C10473" i="1"/>
  <c r="N10473" i="1"/>
  <c r="A10474" i="1"/>
  <c r="C10474" i="1"/>
  <c r="K10474" i="1"/>
  <c r="N10474" i="1"/>
  <c r="A10475" i="1"/>
  <c r="C10475" i="1"/>
  <c r="N10475" i="1"/>
  <c r="A10476" i="1"/>
  <c r="C10476" i="1"/>
  <c r="N10476" i="1"/>
  <c r="A10477" i="1"/>
  <c r="C10477" i="1"/>
  <c r="K10477" i="1"/>
  <c r="N10477" i="1"/>
  <c r="A10478" i="1"/>
  <c r="C10478" i="1"/>
  <c r="K10478" i="1"/>
  <c r="N10478" i="1"/>
  <c r="A10479" i="1"/>
  <c r="C10479" i="1"/>
  <c r="K10479" i="1"/>
  <c r="N10479" i="1"/>
  <c r="A10480" i="1"/>
  <c r="C10480" i="1"/>
  <c r="K10480" i="1"/>
  <c r="N10480" i="1"/>
  <c r="A10481" i="1"/>
  <c r="C10481" i="1"/>
  <c r="K10481" i="1"/>
  <c r="N10481" i="1"/>
  <c r="A10482" i="1"/>
  <c r="C10482" i="1"/>
  <c r="K10482" i="1"/>
  <c r="N10482" i="1"/>
  <c r="A10483" i="1"/>
  <c r="C10483" i="1"/>
  <c r="N10483" i="1"/>
  <c r="A10484" i="1"/>
  <c r="C10484" i="1"/>
  <c r="N10484" i="1"/>
  <c r="A10485" i="1"/>
  <c r="C10485" i="1"/>
  <c r="K10485" i="1"/>
  <c r="N10485" i="1"/>
  <c r="A10486" i="1"/>
  <c r="C10486" i="1"/>
  <c r="K10486" i="1"/>
  <c r="N10486" i="1"/>
  <c r="A10487" i="1"/>
  <c r="C10487" i="1"/>
  <c r="K10487" i="1"/>
  <c r="N10487" i="1"/>
  <c r="A10488" i="1"/>
  <c r="C10488" i="1"/>
  <c r="K10488" i="1"/>
  <c r="N10488" i="1"/>
  <c r="A10489" i="1"/>
  <c r="C10489" i="1"/>
  <c r="K10489" i="1"/>
  <c r="N10489" i="1"/>
  <c r="A10490" i="1"/>
  <c r="C10490" i="1"/>
  <c r="N10490" i="1"/>
  <c r="A10491" i="1"/>
  <c r="C10491" i="1"/>
  <c r="K10491" i="1"/>
  <c r="N10491" i="1"/>
  <c r="A10492" i="1"/>
  <c r="C10492" i="1"/>
  <c r="K10492" i="1"/>
  <c r="N10492" i="1"/>
  <c r="A10493" i="1"/>
  <c r="C10493" i="1"/>
  <c r="K10493" i="1"/>
  <c r="N10493" i="1"/>
  <c r="A10494" i="1"/>
  <c r="C10494" i="1"/>
  <c r="K10494" i="1"/>
  <c r="N10494" i="1"/>
  <c r="A10495" i="1"/>
  <c r="C10495" i="1"/>
  <c r="K10495" i="1"/>
  <c r="N10495" i="1"/>
  <c r="A10496" i="1"/>
  <c r="C10496" i="1"/>
  <c r="K10496" i="1"/>
  <c r="N10496" i="1"/>
  <c r="A10497" i="1"/>
  <c r="C10497" i="1"/>
  <c r="K10497" i="1"/>
  <c r="N10497" i="1"/>
  <c r="A10498" i="1"/>
  <c r="C10498" i="1"/>
  <c r="K10498" i="1"/>
  <c r="N10498" i="1"/>
  <c r="A10499" i="1"/>
  <c r="C10499" i="1"/>
  <c r="K10499" i="1"/>
  <c r="N10499" i="1"/>
  <c r="A10500" i="1"/>
  <c r="C10500" i="1"/>
  <c r="N10500" i="1"/>
  <c r="A10501" i="1"/>
  <c r="C10501" i="1"/>
  <c r="N10501" i="1"/>
  <c r="A10502" i="1"/>
  <c r="C10502" i="1"/>
  <c r="K10502" i="1"/>
  <c r="N10502" i="1"/>
  <c r="A10503" i="1"/>
  <c r="C10503" i="1"/>
  <c r="N10503" i="1"/>
  <c r="A10504" i="1"/>
  <c r="C10504" i="1"/>
  <c r="K10504" i="1"/>
  <c r="N10504" i="1"/>
  <c r="A10505" i="1"/>
  <c r="C10505" i="1"/>
  <c r="K10505" i="1"/>
  <c r="N10505" i="1"/>
  <c r="A10506" i="1"/>
  <c r="C10506" i="1"/>
  <c r="K10506" i="1"/>
  <c r="N10506" i="1"/>
  <c r="A10507" i="1"/>
  <c r="C10507" i="1"/>
  <c r="K10507" i="1"/>
  <c r="N10507" i="1"/>
  <c r="A10508" i="1"/>
  <c r="C10508" i="1"/>
  <c r="N10508" i="1"/>
  <c r="A10509" i="1"/>
  <c r="C10509" i="1"/>
  <c r="K10509" i="1"/>
  <c r="N10509" i="1"/>
  <c r="A10510" i="1"/>
  <c r="C10510" i="1"/>
  <c r="K10510" i="1"/>
  <c r="N10510" i="1"/>
  <c r="A10511" i="1"/>
  <c r="C10511" i="1"/>
  <c r="N10511" i="1"/>
  <c r="A10512" i="1"/>
  <c r="C10512" i="1"/>
  <c r="K10512" i="1"/>
  <c r="N10512" i="1"/>
  <c r="A10513" i="1"/>
  <c r="C10513" i="1"/>
  <c r="K10513" i="1"/>
  <c r="N10513" i="1"/>
  <c r="A10514" i="1"/>
  <c r="C10514" i="1"/>
  <c r="K10514" i="1"/>
  <c r="N10514" i="1"/>
  <c r="A10515" i="1"/>
  <c r="C10515" i="1"/>
  <c r="N10515" i="1"/>
  <c r="A10516" i="1"/>
  <c r="C10516" i="1"/>
  <c r="K10516" i="1"/>
  <c r="N10516" i="1"/>
  <c r="A10517" i="1"/>
  <c r="C10517" i="1"/>
  <c r="K10517" i="1"/>
  <c r="N10517" i="1"/>
  <c r="A10518" i="1"/>
  <c r="C10518" i="1"/>
  <c r="N10518" i="1"/>
  <c r="A10519" i="1"/>
  <c r="C10519" i="1"/>
  <c r="K10519" i="1"/>
  <c r="N10519" i="1"/>
  <c r="A10520" i="1"/>
  <c r="C10520" i="1"/>
  <c r="K10520" i="1"/>
  <c r="N10520" i="1"/>
  <c r="A10521" i="1"/>
  <c r="C10521" i="1"/>
  <c r="K10521" i="1"/>
  <c r="N10521" i="1"/>
  <c r="A10522" i="1"/>
  <c r="C10522" i="1"/>
  <c r="K10522" i="1"/>
  <c r="N10522" i="1"/>
  <c r="A10523" i="1"/>
  <c r="C10523" i="1"/>
  <c r="K10523" i="1"/>
  <c r="N10523" i="1"/>
  <c r="A10524" i="1"/>
  <c r="C10524" i="1"/>
  <c r="K10524" i="1"/>
  <c r="N10524" i="1"/>
  <c r="A10525" i="1"/>
  <c r="C10525" i="1"/>
  <c r="N10525" i="1"/>
  <c r="A10526" i="1"/>
  <c r="C10526" i="1"/>
  <c r="K10526" i="1"/>
  <c r="N10526" i="1"/>
  <c r="A10527" i="1"/>
  <c r="C10527" i="1"/>
  <c r="K10527" i="1"/>
  <c r="N10527" i="1"/>
  <c r="A10528" i="1"/>
  <c r="C10528" i="1"/>
  <c r="F10528" i="1"/>
  <c r="N10528" i="1"/>
  <c r="A10529" i="1"/>
  <c r="C10529" i="1"/>
  <c r="N10529" i="1"/>
  <c r="A10530" i="1"/>
  <c r="C10530" i="1"/>
  <c r="K10530" i="1"/>
  <c r="N10530" i="1"/>
  <c r="A10531" i="1"/>
  <c r="C10531" i="1"/>
  <c r="K10531" i="1"/>
  <c r="N10531" i="1"/>
  <c r="A10532" i="1"/>
  <c r="C10532" i="1"/>
  <c r="K10532" i="1"/>
  <c r="N10532" i="1"/>
  <c r="A10533" i="1"/>
  <c r="C10533" i="1"/>
  <c r="K10533" i="1"/>
  <c r="N10533" i="1"/>
  <c r="A10534" i="1"/>
  <c r="C10534" i="1"/>
  <c r="K10534" i="1"/>
  <c r="N10534" i="1"/>
  <c r="A10535" i="1"/>
  <c r="C10535" i="1"/>
  <c r="K10535" i="1"/>
  <c r="N10535" i="1"/>
  <c r="A10536" i="1"/>
  <c r="C10536" i="1"/>
  <c r="K10536" i="1"/>
  <c r="N10536" i="1"/>
  <c r="A10537" i="1"/>
  <c r="C10537" i="1"/>
  <c r="K10537" i="1"/>
  <c r="N10537" i="1"/>
  <c r="A10538" i="1"/>
  <c r="C10538" i="1"/>
  <c r="K10538" i="1"/>
  <c r="N10538" i="1"/>
  <c r="A10539" i="1"/>
  <c r="C10539" i="1"/>
  <c r="K10539" i="1"/>
  <c r="N10539" i="1"/>
  <c r="A10540" i="1"/>
  <c r="C10540" i="1"/>
  <c r="K10540" i="1"/>
  <c r="N10540" i="1"/>
  <c r="A10541" i="1"/>
  <c r="C10541" i="1"/>
  <c r="K10541" i="1"/>
  <c r="N10541" i="1"/>
  <c r="A10542" i="1"/>
  <c r="C10542" i="1"/>
  <c r="K10542" i="1"/>
  <c r="N10542" i="1"/>
  <c r="A10543" i="1"/>
  <c r="C10543" i="1"/>
  <c r="N10543" i="1"/>
  <c r="A10544" i="1"/>
  <c r="C10544" i="1"/>
  <c r="N10544" i="1"/>
  <c r="A10545" i="1"/>
  <c r="C10545" i="1"/>
  <c r="N10545" i="1"/>
  <c r="A10546" i="1"/>
  <c r="C10546" i="1"/>
  <c r="K10546" i="1"/>
  <c r="N10546" i="1"/>
  <c r="A10547" i="1"/>
  <c r="C10547" i="1"/>
  <c r="K10547" i="1"/>
  <c r="N10547" i="1"/>
  <c r="A10548" i="1"/>
  <c r="C10548" i="1"/>
  <c r="K10548" i="1"/>
  <c r="N10548" i="1"/>
  <c r="A10549" i="1"/>
  <c r="C10549" i="1"/>
  <c r="N10549" i="1"/>
  <c r="A10550" i="1"/>
  <c r="C10550" i="1"/>
  <c r="N10550" i="1"/>
  <c r="A10551" i="1"/>
  <c r="C10551" i="1"/>
  <c r="N10551" i="1"/>
  <c r="A10552" i="1"/>
  <c r="C10552" i="1"/>
  <c r="N10552" i="1"/>
  <c r="A10553" i="1"/>
  <c r="C10553" i="1"/>
  <c r="N10553" i="1"/>
  <c r="A10554" i="1"/>
  <c r="C10554" i="1"/>
  <c r="N10554" i="1"/>
  <c r="A10555" i="1"/>
  <c r="C10555" i="1"/>
  <c r="N10555" i="1"/>
  <c r="A10556" i="1"/>
  <c r="C10556" i="1"/>
  <c r="N10556" i="1"/>
  <c r="A10557" i="1"/>
  <c r="C10557" i="1"/>
  <c r="N10557" i="1"/>
  <c r="A10558" i="1"/>
  <c r="C10558" i="1"/>
  <c r="K10558" i="1"/>
  <c r="N10558" i="1"/>
  <c r="A10559" i="1"/>
  <c r="C10559" i="1"/>
  <c r="N10559" i="1"/>
  <c r="A10560" i="1"/>
  <c r="C10560" i="1"/>
  <c r="N10560" i="1"/>
  <c r="A10561" i="1"/>
  <c r="C10561" i="1"/>
  <c r="N10561" i="1"/>
  <c r="A10562" i="1"/>
  <c r="C10562" i="1"/>
  <c r="N10562" i="1"/>
  <c r="A10563" i="1"/>
  <c r="C10563" i="1"/>
  <c r="N10563" i="1"/>
  <c r="A10564" i="1"/>
  <c r="C10564" i="1"/>
  <c r="N10564" i="1"/>
  <c r="A10565" i="1"/>
  <c r="C10565" i="1"/>
  <c r="K10565" i="1"/>
  <c r="N10565" i="1"/>
  <c r="A10566" i="1"/>
  <c r="C10566" i="1"/>
  <c r="K10566" i="1"/>
  <c r="N10566" i="1"/>
  <c r="A10567" i="1"/>
  <c r="C10567" i="1"/>
  <c r="K10567" i="1"/>
  <c r="N10567" i="1"/>
  <c r="A10568" i="1"/>
  <c r="C10568" i="1"/>
  <c r="N10568" i="1"/>
  <c r="A10569" i="1"/>
  <c r="C10569" i="1"/>
  <c r="N10569" i="1"/>
  <c r="A10570" i="1"/>
  <c r="C10570" i="1"/>
  <c r="K10570" i="1"/>
  <c r="N10570" i="1"/>
  <c r="A10571" i="1"/>
  <c r="C10571" i="1"/>
  <c r="K10571" i="1"/>
  <c r="N10571" i="1"/>
  <c r="A10572" i="1"/>
  <c r="C10572" i="1"/>
  <c r="K10572" i="1"/>
  <c r="N10572" i="1"/>
  <c r="A10573" i="1"/>
  <c r="C10573" i="1"/>
  <c r="K10573" i="1"/>
  <c r="N10573" i="1"/>
  <c r="A10574" i="1"/>
  <c r="C10574" i="1"/>
  <c r="K10574" i="1"/>
  <c r="N10574" i="1"/>
  <c r="A10575" i="1"/>
  <c r="C10575" i="1"/>
  <c r="K10575" i="1"/>
  <c r="N10575" i="1"/>
  <c r="A10576" i="1"/>
  <c r="C10576" i="1"/>
  <c r="K10576" i="1"/>
  <c r="N10576" i="1"/>
  <c r="A10577" i="1"/>
  <c r="C10577" i="1"/>
  <c r="N10577" i="1"/>
  <c r="A10578" i="1"/>
  <c r="C10578" i="1"/>
  <c r="N10578" i="1"/>
  <c r="A10579" i="1"/>
  <c r="C10579" i="1"/>
  <c r="N10579" i="1"/>
  <c r="A10580" i="1"/>
  <c r="C10580" i="1"/>
  <c r="N10580" i="1"/>
  <c r="A10581" i="1"/>
  <c r="C10581" i="1"/>
  <c r="N10581" i="1"/>
  <c r="A10582" i="1"/>
  <c r="C10582" i="1"/>
  <c r="N10582" i="1"/>
  <c r="A10583" i="1"/>
  <c r="C10583" i="1"/>
  <c r="N10583" i="1"/>
  <c r="A10584" i="1"/>
  <c r="C10584" i="1"/>
  <c r="N10584" i="1"/>
  <c r="A10585" i="1"/>
  <c r="C10585" i="1"/>
  <c r="N10585" i="1"/>
  <c r="A10586" i="1"/>
  <c r="C10586" i="1"/>
  <c r="N10586" i="1"/>
  <c r="A10587" i="1"/>
  <c r="C10587" i="1"/>
  <c r="N10587" i="1"/>
  <c r="A10588" i="1"/>
  <c r="C10588" i="1"/>
  <c r="N10588" i="1"/>
  <c r="A10589" i="1"/>
  <c r="C10589" i="1"/>
  <c r="N10589" i="1"/>
  <c r="A10590" i="1"/>
  <c r="C10590" i="1"/>
  <c r="N10590" i="1"/>
  <c r="A10591" i="1"/>
  <c r="C10591" i="1"/>
  <c r="N10591" i="1"/>
  <c r="A10592" i="1"/>
  <c r="C10592" i="1"/>
  <c r="N10592" i="1"/>
  <c r="A10593" i="1"/>
  <c r="C10593" i="1"/>
  <c r="N10593" i="1"/>
  <c r="A10594" i="1"/>
  <c r="C10594" i="1"/>
  <c r="K10594" i="1"/>
  <c r="N10594" i="1"/>
  <c r="A10595" i="1"/>
  <c r="C10595" i="1"/>
  <c r="N10595" i="1"/>
  <c r="A10596" i="1"/>
  <c r="C10596" i="1"/>
  <c r="N10596" i="1"/>
  <c r="A10597" i="1"/>
  <c r="C10597" i="1"/>
  <c r="K10597" i="1"/>
  <c r="N10597" i="1"/>
  <c r="A10598" i="1"/>
  <c r="C10598" i="1"/>
  <c r="K10598" i="1"/>
  <c r="N10598" i="1"/>
  <c r="A10599" i="1"/>
  <c r="C10599" i="1"/>
  <c r="K10599" i="1"/>
  <c r="N10599" i="1"/>
  <c r="A10600" i="1"/>
  <c r="C10600" i="1"/>
  <c r="K10600" i="1"/>
  <c r="N10600" i="1"/>
  <c r="A10601" i="1"/>
  <c r="C10601" i="1"/>
  <c r="K10601" i="1"/>
  <c r="N10601" i="1"/>
  <c r="A10602" i="1"/>
  <c r="C10602" i="1"/>
  <c r="K10602" i="1"/>
  <c r="N10602" i="1"/>
  <c r="A10603" i="1"/>
  <c r="C10603" i="1"/>
  <c r="K10603" i="1"/>
  <c r="N10603" i="1"/>
  <c r="A10604" i="1"/>
  <c r="C10604" i="1"/>
  <c r="K10604" i="1"/>
  <c r="N10604" i="1"/>
  <c r="A10605" i="1"/>
  <c r="C10605" i="1"/>
  <c r="K10605" i="1"/>
  <c r="N10605" i="1"/>
  <c r="A10606" i="1"/>
  <c r="C10606" i="1"/>
  <c r="N10606" i="1"/>
  <c r="A10607" i="1"/>
  <c r="C10607" i="1"/>
  <c r="K10607" i="1"/>
  <c r="N10607" i="1"/>
  <c r="A10608" i="1"/>
  <c r="C10608" i="1"/>
  <c r="K10608" i="1"/>
  <c r="N10608" i="1"/>
  <c r="A10609" i="1"/>
  <c r="C10609" i="1"/>
  <c r="N10609" i="1"/>
  <c r="A10610" i="1"/>
  <c r="C10610" i="1"/>
  <c r="K10610" i="1"/>
  <c r="N10610" i="1"/>
  <c r="A10611" i="1"/>
  <c r="C10611" i="1"/>
  <c r="K10611" i="1"/>
  <c r="N10611" i="1"/>
  <c r="A10612" i="1"/>
  <c r="C10612" i="1"/>
  <c r="K10612" i="1"/>
  <c r="N10612" i="1"/>
  <c r="A10613" i="1"/>
  <c r="C10613" i="1"/>
  <c r="K10613" i="1"/>
  <c r="N10613" i="1"/>
  <c r="A10614" i="1"/>
  <c r="C10614" i="1"/>
  <c r="N10614" i="1"/>
  <c r="A10615" i="1"/>
  <c r="C10615" i="1"/>
  <c r="K10615" i="1"/>
  <c r="N10615" i="1"/>
  <c r="A10616" i="1"/>
  <c r="C10616" i="1"/>
  <c r="N10616" i="1"/>
  <c r="A10617" i="1"/>
  <c r="C10617" i="1"/>
  <c r="K10617" i="1"/>
  <c r="N10617" i="1"/>
  <c r="A10618" i="1"/>
  <c r="C10618" i="1"/>
  <c r="K10618" i="1"/>
  <c r="N10618" i="1"/>
  <c r="A10619" i="1"/>
  <c r="C10619" i="1"/>
  <c r="K10619" i="1"/>
  <c r="N10619" i="1"/>
  <c r="A10620" i="1"/>
  <c r="C10620" i="1"/>
  <c r="K10620" i="1"/>
  <c r="N10620" i="1"/>
  <c r="A10621" i="1"/>
  <c r="C10621" i="1"/>
  <c r="K10621" i="1"/>
  <c r="N10621" i="1"/>
  <c r="A10622" i="1"/>
  <c r="C10622" i="1"/>
  <c r="K10622" i="1"/>
  <c r="N10622" i="1"/>
  <c r="A10623" i="1"/>
  <c r="C10623" i="1"/>
  <c r="K10623" i="1"/>
  <c r="N10623" i="1"/>
  <c r="A10624" i="1"/>
  <c r="C10624" i="1"/>
  <c r="N10624" i="1"/>
  <c r="A10625" i="1"/>
  <c r="C10625" i="1"/>
  <c r="N10625" i="1"/>
  <c r="A10626" i="1"/>
  <c r="C10626" i="1"/>
  <c r="K10626" i="1"/>
  <c r="N10626" i="1"/>
  <c r="A10627" i="1"/>
  <c r="C10627" i="1"/>
  <c r="K10627" i="1"/>
  <c r="N10627" i="1"/>
  <c r="A10628" i="1"/>
  <c r="C10628" i="1"/>
  <c r="K10628" i="1"/>
  <c r="N10628" i="1"/>
  <c r="A10629" i="1"/>
  <c r="C10629" i="1"/>
  <c r="K10629" i="1"/>
  <c r="N10629" i="1"/>
  <c r="A10630" i="1"/>
  <c r="C10630" i="1"/>
  <c r="K10630" i="1"/>
  <c r="N10630" i="1"/>
  <c r="A10631" i="1"/>
  <c r="C10631" i="1"/>
  <c r="N10631" i="1"/>
  <c r="A10632" i="1"/>
  <c r="C10632" i="1"/>
  <c r="N10632" i="1"/>
  <c r="A10633" i="1"/>
  <c r="C10633" i="1"/>
  <c r="N10633" i="1"/>
  <c r="A10634" i="1"/>
  <c r="C10634" i="1"/>
  <c r="N10634" i="1"/>
  <c r="A10635" i="1"/>
  <c r="C10635" i="1"/>
  <c r="N10635" i="1"/>
  <c r="A10636" i="1"/>
  <c r="C10636" i="1"/>
  <c r="K10636" i="1"/>
  <c r="N10636" i="1"/>
  <c r="A10637" i="1"/>
  <c r="C10637" i="1"/>
  <c r="K10637" i="1"/>
  <c r="N10637" i="1"/>
  <c r="A10638" i="1"/>
  <c r="C10638" i="1"/>
  <c r="K10638" i="1"/>
  <c r="N10638" i="1"/>
  <c r="A10639" i="1"/>
  <c r="C10639" i="1"/>
  <c r="N10639" i="1"/>
  <c r="A10640" i="1"/>
  <c r="C10640" i="1"/>
  <c r="K10640" i="1"/>
  <c r="N10640" i="1"/>
  <c r="A10641" i="1"/>
  <c r="C10641" i="1"/>
  <c r="K10641" i="1"/>
  <c r="N10641" i="1"/>
  <c r="A10642" i="1"/>
  <c r="C10642" i="1"/>
  <c r="K10642" i="1"/>
  <c r="N10642" i="1"/>
  <c r="A10643" i="1"/>
  <c r="C10643" i="1"/>
  <c r="K10643" i="1"/>
  <c r="N10643" i="1"/>
  <c r="A10644" i="1"/>
  <c r="C10644" i="1"/>
  <c r="K10644" i="1"/>
  <c r="N10644" i="1"/>
  <c r="A10645" i="1"/>
  <c r="C10645" i="1"/>
  <c r="N10645" i="1"/>
  <c r="A10646" i="1"/>
  <c r="C10646" i="1"/>
  <c r="K10646" i="1"/>
  <c r="N10646" i="1"/>
  <c r="A10647" i="1"/>
  <c r="C10647" i="1"/>
  <c r="K10647" i="1"/>
  <c r="N10647" i="1"/>
  <c r="A10648" i="1"/>
  <c r="C10648" i="1"/>
  <c r="N10648" i="1"/>
  <c r="A10649" i="1"/>
  <c r="C10649" i="1"/>
  <c r="K10649" i="1"/>
  <c r="N10649" i="1"/>
  <c r="A10650" i="1"/>
  <c r="C10650" i="1"/>
  <c r="K10650" i="1"/>
  <c r="N10650" i="1"/>
  <c r="A10651" i="1"/>
  <c r="C10651" i="1"/>
  <c r="K10651" i="1"/>
  <c r="N10651" i="1"/>
  <c r="A10652" i="1"/>
  <c r="C10652" i="1"/>
  <c r="K10652" i="1"/>
  <c r="N10652" i="1"/>
  <c r="A10653" i="1"/>
  <c r="C10653" i="1"/>
  <c r="K10653" i="1"/>
  <c r="N10653" i="1"/>
  <c r="A10654" i="1"/>
  <c r="C10654" i="1"/>
  <c r="N10654" i="1"/>
  <c r="A10655" i="1"/>
  <c r="C10655" i="1"/>
  <c r="K10655" i="1"/>
  <c r="N10655" i="1"/>
  <c r="A10656" i="1"/>
  <c r="C10656" i="1"/>
  <c r="K10656" i="1"/>
  <c r="N10656" i="1"/>
  <c r="A10657" i="1"/>
  <c r="C10657" i="1"/>
  <c r="K10657" i="1"/>
  <c r="N10657" i="1"/>
  <c r="A10658" i="1"/>
  <c r="C10658" i="1"/>
  <c r="K10658" i="1"/>
  <c r="N10658" i="1"/>
  <c r="A10659" i="1"/>
  <c r="C10659" i="1"/>
  <c r="K10659" i="1"/>
  <c r="N10659" i="1"/>
  <c r="A10660" i="1"/>
  <c r="C10660" i="1"/>
  <c r="K10660" i="1"/>
  <c r="N10660" i="1"/>
  <c r="A10661" i="1"/>
  <c r="C10661" i="1"/>
  <c r="K10661" i="1"/>
  <c r="N10661" i="1"/>
  <c r="A10662" i="1"/>
  <c r="C10662" i="1"/>
  <c r="K10662" i="1"/>
  <c r="N10662" i="1"/>
  <c r="A10663" i="1"/>
  <c r="C10663" i="1"/>
  <c r="K10663" i="1"/>
  <c r="N10663" i="1"/>
  <c r="A10664" i="1"/>
  <c r="C10664" i="1"/>
  <c r="K10664" i="1"/>
  <c r="N10664" i="1"/>
  <c r="A10665" i="1"/>
  <c r="C10665" i="1"/>
  <c r="K10665" i="1"/>
  <c r="N10665" i="1"/>
  <c r="A10666" i="1"/>
  <c r="C10666" i="1"/>
  <c r="D10666" i="1"/>
  <c r="K10666" i="1"/>
  <c r="N10666" i="1"/>
  <c r="O10666" i="1"/>
  <c r="A10667" i="1"/>
  <c r="C10667" i="1"/>
  <c r="K10667" i="1"/>
  <c r="N10667" i="1"/>
  <c r="A10668" i="1"/>
  <c r="C10668" i="1"/>
  <c r="K10668" i="1"/>
  <c r="N10668" i="1"/>
  <c r="A10669" i="1"/>
  <c r="C10669" i="1"/>
  <c r="K10669" i="1"/>
  <c r="N10669" i="1"/>
  <c r="A10670" i="1"/>
  <c r="C10670" i="1"/>
  <c r="K10670" i="1"/>
  <c r="N10670" i="1"/>
  <c r="A10671" i="1"/>
  <c r="C10671" i="1"/>
  <c r="K10671" i="1"/>
  <c r="N10671" i="1"/>
  <c r="A10672" i="1"/>
  <c r="C10672" i="1"/>
  <c r="N10672" i="1"/>
  <c r="A10673" i="1"/>
  <c r="C10673" i="1"/>
  <c r="K10673" i="1"/>
  <c r="N10673" i="1"/>
  <c r="A10674" i="1"/>
  <c r="C10674" i="1"/>
  <c r="K10674" i="1"/>
  <c r="N10674" i="1"/>
  <c r="A10675" i="1"/>
  <c r="C10675" i="1"/>
  <c r="K10675" i="1"/>
  <c r="N10675" i="1"/>
  <c r="A10676" i="1"/>
  <c r="C10676" i="1"/>
  <c r="N10676" i="1"/>
  <c r="A10677" i="1"/>
  <c r="C10677" i="1"/>
  <c r="N10677" i="1"/>
  <c r="A10678" i="1"/>
  <c r="C10678" i="1"/>
  <c r="N10678" i="1"/>
  <c r="A10679" i="1"/>
  <c r="C10679" i="1"/>
  <c r="N10679" i="1"/>
  <c r="A10680" i="1"/>
  <c r="C10680" i="1"/>
  <c r="F10680" i="1"/>
  <c r="N10680" i="1"/>
  <c r="A10681" i="1"/>
  <c r="C10681" i="1"/>
  <c r="K10681" i="1"/>
  <c r="N10681" i="1"/>
  <c r="A10682" i="1"/>
  <c r="C10682" i="1"/>
  <c r="K10682" i="1"/>
  <c r="N10682" i="1"/>
  <c r="A10683" i="1"/>
  <c r="C10683" i="1"/>
  <c r="K10683" i="1"/>
  <c r="N10683" i="1"/>
  <c r="A10684" i="1"/>
  <c r="C10684" i="1"/>
  <c r="K10684" i="1"/>
  <c r="N10684" i="1"/>
  <c r="A10685" i="1"/>
  <c r="C10685" i="1"/>
  <c r="K10685" i="1"/>
  <c r="N10685" i="1"/>
  <c r="A10686" i="1"/>
  <c r="C10686" i="1"/>
  <c r="K10686" i="1"/>
  <c r="N10686" i="1"/>
  <c r="A10687" i="1"/>
  <c r="C10687" i="1"/>
  <c r="N10687" i="1"/>
  <c r="A10688" i="1"/>
  <c r="C10688" i="1"/>
  <c r="N10688" i="1"/>
  <c r="A10689" i="1"/>
  <c r="C10689" i="1"/>
  <c r="K10689" i="1"/>
  <c r="N10689" i="1"/>
  <c r="A10690" i="1"/>
  <c r="C10690" i="1"/>
  <c r="K10690" i="1"/>
  <c r="N10690" i="1"/>
  <c r="A10691" i="1"/>
  <c r="C10691" i="1"/>
  <c r="K10691" i="1"/>
  <c r="N10691" i="1"/>
  <c r="A10692" i="1"/>
  <c r="C10692" i="1"/>
  <c r="K10692" i="1"/>
  <c r="N10692" i="1"/>
  <c r="A10693" i="1"/>
  <c r="C10693" i="1"/>
  <c r="K10693" i="1"/>
  <c r="N10693" i="1"/>
  <c r="A10694" i="1"/>
  <c r="C10694" i="1"/>
  <c r="K10694" i="1"/>
  <c r="N10694" i="1"/>
  <c r="A10695" i="1"/>
  <c r="C10695" i="1"/>
  <c r="K10695" i="1"/>
  <c r="N10695" i="1"/>
  <c r="A10696" i="1"/>
  <c r="C10696" i="1"/>
  <c r="K10696" i="1"/>
  <c r="N10696" i="1"/>
  <c r="A10697" i="1"/>
  <c r="C10697" i="1"/>
  <c r="K10697" i="1"/>
  <c r="N10697" i="1"/>
  <c r="A10698" i="1"/>
  <c r="C10698" i="1"/>
  <c r="K10698" i="1"/>
  <c r="N10698" i="1"/>
  <c r="A10699" i="1"/>
  <c r="C10699" i="1"/>
  <c r="K10699" i="1"/>
  <c r="N10699" i="1"/>
  <c r="A10700" i="1"/>
  <c r="C10700" i="1"/>
  <c r="N10700" i="1"/>
  <c r="A10701" i="1"/>
  <c r="C10701" i="1"/>
  <c r="K10701" i="1"/>
  <c r="N10701" i="1"/>
  <c r="A10702" i="1"/>
  <c r="C10702" i="1"/>
  <c r="K10702" i="1"/>
  <c r="N10702" i="1"/>
  <c r="A10703" i="1"/>
  <c r="C10703" i="1"/>
  <c r="N10703" i="1"/>
  <c r="A10704" i="1"/>
  <c r="C10704" i="1"/>
  <c r="K10704" i="1"/>
  <c r="N10704" i="1"/>
  <c r="A10705" i="1"/>
  <c r="C10705" i="1"/>
  <c r="K10705" i="1"/>
  <c r="N10705" i="1"/>
  <c r="A10706" i="1"/>
  <c r="C10706" i="1"/>
  <c r="K10706" i="1"/>
  <c r="N10706" i="1"/>
  <c r="A10707" i="1"/>
  <c r="C10707" i="1"/>
  <c r="K10707" i="1"/>
  <c r="N10707" i="1"/>
  <c r="A10708" i="1"/>
  <c r="C10708" i="1"/>
  <c r="K10708" i="1"/>
  <c r="N10708" i="1"/>
  <c r="A10709" i="1"/>
  <c r="C10709" i="1"/>
  <c r="K10709" i="1"/>
  <c r="N10709" i="1"/>
  <c r="A10710" i="1"/>
  <c r="C10710" i="1"/>
  <c r="K10710" i="1"/>
  <c r="N10710" i="1"/>
  <c r="A10711" i="1"/>
  <c r="C10711" i="1"/>
  <c r="K10711" i="1"/>
  <c r="N10711" i="1"/>
  <c r="A10712" i="1"/>
  <c r="C10712" i="1"/>
  <c r="K10712" i="1"/>
  <c r="N10712" i="1"/>
  <c r="A10713" i="1"/>
  <c r="C10713" i="1"/>
  <c r="K10713" i="1"/>
  <c r="N10713" i="1"/>
  <c r="A10714" i="1"/>
  <c r="C10714" i="1"/>
  <c r="K10714" i="1"/>
  <c r="N10714" i="1"/>
  <c r="A10715" i="1"/>
  <c r="C10715" i="1"/>
  <c r="K10715" i="1"/>
  <c r="N10715" i="1"/>
  <c r="A10716" i="1"/>
  <c r="C10716" i="1"/>
  <c r="K10716" i="1"/>
  <c r="N10716" i="1"/>
  <c r="A10717" i="1"/>
  <c r="C10717" i="1"/>
  <c r="K10717" i="1"/>
  <c r="N10717" i="1"/>
  <c r="A10718" i="1"/>
  <c r="C10718" i="1"/>
  <c r="K10718" i="1"/>
  <c r="N10718" i="1"/>
  <c r="A10719" i="1"/>
  <c r="C10719" i="1"/>
  <c r="K10719" i="1"/>
  <c r="N10719" i="1"/>
  <c r="A10720" i="1"/>
  <c r="C10720" i="1"/>
  <c r="K10720" i="1"/>
  <c r="N10720" i="1"/>
  <c r="A10721" i="1"/>
  <c r="C10721" i="1"/>
  <c r="K10721" i="1"/>
  <c r="N10721" i="1"/>
  <c r="A10722" i="1"/>
  <c r="C10722" i="1"/>
  <c r="K10722" i="1"/>
  <c r="N10722" i="1"/>
  <c r="A10723" i="1"/>
  <c r="C10723" i="1"/>
  <c r="K10723" i="1"/>
  <c r="N10723" i="1"/>
  <c r="A10724" i="1"/>
  <c r="C10724" i="1"/>
  <c r="K10724" i="1"/>
  <c r="N10724" i="1"/>
  <c r="A10725" i="1"/>
  <c r="C10725" i="1"/>
  <c r="K10725" i="1"/>
  <c r="N10725" i="1"/>
  <c r="A10726" i="1"/>
  <c r="C10726" i="1"/>
  <c r="K10726" i="1"/>
  <c r="N10726" i="1"/>
  <c r="A10727" i="1"/>
  <c r="C10727" i="1"/>
  <c r="K10727" i="1"/>
  <c r="N10727" i="1"/>
  <c r="A10728" i="1"/>
  <c r="C10728" i="1"/>
  <c r="K10728" i="1"/>
  <c r="N10728" i="1"/>
  <c r="A10729" i="1"/>
  <c r="C10729" i="1"/>
  <c r="K10729" i="1"/>
  <c r="N10729" i="1"/>
  <c r="A10730" i="1"/>
  <c r="C10730" i="1"/>
  <c r="K10730" i="1"/>
  <c r="N10730" i="1"/>
  <c r="A10731" i="1"/>
  <c r="C10731" i="1"/>
  <c r="K10731" i="1"/>
  <c r="N10731" i="1"/>
  <c r="A10732" i="1"/>
  <c r="C10732" i="1"/>
  <c r="K10732" i="1"/>
  <c r="N10732" i="1"/>
  <c r="A10733" i="1"/>
  <c r="C10733" i="1"/>
  <c r="K10733" i="1"/>
  <c r="N10733" i="1"/>
  <c r="A10734" i="1"/>
  <c r="C10734" i="1"/>
  <c r="K10734" i="1"/>
  <c r="N10734" i="1"/>
  <c r="A10735" i="1"/>
  <c r="C10735" i="1"/>
  <c r="K10735" i="1"/>
  <c r="N10735" i="1"/>
  <c r="A10736" i="1"/>
  <c r="C10736" i="1"/>
  <c r="K10736" i="1"/>
  <c r="N10736" i="1"/>
  <c r="A10737" i="1"/>
  <c r="C10737" i="1"/>
  <c r="K10737" i="1"/>
  <c r="N10737" i="1"/>
  <c r="A10738" i="1"/>
  <c r="C10738" i="1"/>
  <c r="K10738" i="1"/>
  <c r="N10738" i="1"/>
  <c r="A10739" i="1"/>
  <c r="C10739" i="1"/>
  <c r="K10739" i="1"/>
  <c r="N10739" i="1"/>
  <c r="A10740" i="1"/>
  <c r="C10740" i="1"/>
  <c r="K10740" i="1"/>
  <c r="N10740" i="1"/>
  <c r="A10741" i="1"/>
  <c r="C10741" i="1"/>
  <c r="K10741" i="1"/>
  <c r="N10741" i="1"/>
  <c r="A10742" i="1"/>
  <c r="C10742" i="1"/>
  <c r="N10742" i="1"/>
  <c r="A10743" i="1"/>
  <c r="C10743" i="1"/>
  <c r="N10743" i="1"/>
  <c r="A10744" i="1"/>
  <c r="C10744" i="1"/>
  <c r="K10744" i="1"/>
  <c r="N10744" i="1"/>
  <c r="A10745" i="1"/>
  <c r="C10745" i="1"/>
  <c r="K10745" i="1"/>
  <c r="N10745" i="1"/>
  <c r="A10746" i="1"/>
  <c r="C10746" i="1"/>
  <c r="K10746" i="1"/>
  <c r="N10746" i="1"/>
  <c r="A10747" i="1"/>
  <c r="C10747" i="1"/>
  <c r="K10747" i="1"/>
  <c r="N10747" i="1"/>
  <c r="A10748" i="1"/>
  <c r="C10748" i="1"/>
  <c r="N10748" i="1"/>
  <c r="A10749" i="1"/>
  <c r="C10749" i="1"/>
  <c r="K10749" i="1"/>
  <c r="N10749" i="1"/>
  <c r="A10750" i="1"/>
  <c r="C10750" i="1"/>
  <c r="K10750" i="1"/>
  <c r="N10750" i="1"/>
  <c r="A10751" i="1"/>
  <c r="C10751" i="1"/>
  <c r="K10751" i="1"/>
  <c r="N10751" i="1"/>
  <c r="A10752" i="1"/>
  <c r="C10752" i="1"/>
  <c r="K10752" i="1"/>
  <c r="N10752" i="1"/>
  <c r="A10753" i="1"/>
  <c r="C10753" i="1"/>
  <c r="K10753" i="1"/>
  <c r="N10753" i="1"/>
  <c r="A10754" i="1"/>
  <c r="C10754" i="1"/>
  <c r="K10754" i="1"/>
  <c r="N10754" i="1"/>
  <c r="A10755" i="1"/>
  <c r="C10755" i="1"/>
  <c r="K10755" i="1"/>
  <c r="N10755" i="1"/>
  <c r="A10756" i="1"/>
  <c r="C10756" i="1"/>
  <c r="K10756" i="1"/>
  <c r="N10756" i="1"/>
  <c r="A10757" i="1"/>
  <c r="C10757" i="1"/>
  <c r="K10757" i="1"/>
  <c r="N10757" i="1"/>
  <c r="A10758" i="1"/>
  <c r="C10758" i="1"/>
  <c r="N10758" i="1"/>
  <c r="A10759" i="1"/>
  <c r="C10759" i="1"/>
  <c r="N10759" i="1"/>
  <c r="A10760" i="1"/>
  <c r="C10760" i="1"/>
  <c r="N10760" i="1"/>
  <c r="A10761" i="1"/>
  <c r="C10761" i="1"/>
  <c r="N10761" i="1"/>
  <c r="A10762" i="1"/>
  <c r="C10762" i="1"/>
  <c r="N10762" i="1"/>
  <c r="A10763" i="1"/>
  <c r="C10763" i="1"/>
  <c r="K10763" i="1"/>
  <c r="N10763" i="1"/>
  <c r="A10764" i="1"/>
  <c r="C10764" i="1"/>
  <c r="K10764" i="1"/>
  <c r="N10764" i="1"/>
  <c r="A10765" i="1"/>
  <c r="C10765" i="1"/>
  <c r="K10765" i="1"/>
  <c r="N10765" i="1"/>
  <c r="A10766" i="1"/>
  <c r="C10766" i="1"/>
  <c r="K10766" i="1"/>
  <c r="N10766" i="1"/>
  <c r="A10767" i="1"/>
  <c r="C10767" i="1"/>
  <c r="K10767" i="1"/>
  <c r="N10767" i="1"/>
  <c r="A10768" i="1"/>
  <c r="C10768" i="1"/>
  <c r="K10768" i="1"/>
  <c r="N10768" i="1"/>
  <c r="A10769" i="1"/>
  <c r="C10769" i="1"/>
  <c r="K10769" i="1"/>
  <c r="N10769" i="1"/>
  <c r="A10770" i="1"/>
  <c r="C10770" i="1"/>
  <c r="K10770" i="1"/>
  <c r="N10770" i="1"/>
  <c r="A10771" i="1"/>
  <c r="C10771" i="1"/>
  <c r="K10771" i="1"/>
  <c r="N10771" i="1"/>
  <c r="A10772" i="1"/>
  <c r="C10772" i="1"/>
  <c r="K10772" i="1"/>
  <c r="N10772" i="1"/>
  <c r="A10773" i="1"/>
  <c r="C10773" i="1"/>
  <c r="N10773" i="1"/>
  <c r="A10774" i="1"/>
  <c r="C10774" i="1"/>
  <c r="N10774" i="1"/>
  <c r="A10775" i="1"/>
  <c r="C10775" i="1"/>
  <c r="N10775" i="1"/>
  <c r="A10776" i="1"/>
  <c r="C10776" i="1"/>
  <c r="K10776" i="1"/>
  <c r="N10776" i="1"/>
  <c r="A10777" i="1"/>
  <c r="C10777" i="1"/>
  <c r="K10777" i="1"/>
  <c r="N10777" i="1"/>
  <c r="A10778" i="1"/>
  <c r="C10778" i="1"/>
  <c r="N10778" i="1"/>
  <c r="A10779" i="1"/>
  <c r="C10779" i="1"/>
  <c r="K10779" i="1"/>
  <c r="N10779" i="1"/>
  <c r="A10780" i="1"/>
  <c r="C10780" i="1"/>
  <c r="N10780" i="1"/>
  <c r="A10781" i="1"/>
  <c r="C10781" i="1"/>
  <c r="K10781" i="1"/>
  <c r="N10781" i="1"/>
  <c r="A10782" i="1"/>
  <c r="C10782" i="1"/>
  <c r="K10782" i="1"/>
  <c r="N10782" i="1"/>
  <c r="A10783" i="1"/>
  <c r="C10783" i="1"/>
  <c r="K10783" i="1"/>
  <c r="N10783" i="1"/>
  <c r="A10784" i="1"/>
  <c r="C10784" i="1"/>
  <c r="N10784" i="1"/>
  <c r="A10785" i="1"/>
  <c r="C10785" i="1"/>
  <c r="K10785" i="1"/>
  <c r="N10785" i="1"/>
  <c r="A10786" i="1"/>
  <c r="C10786" i="1"/>
  <c r="K10786" i="1"/>
  <c r="N10786" i="1"/>
  <c r="A10787" i="1"/>
  <c r="C10787" i="1"/>
  <c r="N10787" i="1"/>
  <c r="A10788" i="1"/>
  <c r="C10788" i="1"/>
  <c r="N10788" i="1"/>
  <c r="A10789" i="1"/>
  <c r="C10789" i="1"/>
  <c r="K10789" i="1"/>
  <c r="N10789" i="1"/>
  <c r="A10790" i="1"/>
  <c r="C10790" i="1"/>
  <c r="N10790" i="1"/>
  <c r="A10791" i="1"/>
  <c r="C10791" i="1"/>
  <c r="K10791" i="1"/>
  <c r="N10791" i="1"/>
  <c r="A10792" i="1"/>
  <c r="C10792" i="1"/>
  <c r="K10792" i="1"/>
  <c r="N10792" i="1"/>
  <c r="A10793" i="1"/>
  <c r="C10793" i="1"/>
  <c r="K10793" i="1"/>
  <c r="N10793" i="1"/>
  <c r="A10794" i="1"/>
  <c r="C10794" i="1"/>
  <c r="K10794" i="1"/>
  <c r="N10794" i="1"/>
  <c r="A10795" i="1"/>
  <c r="C10795" i="1"/>
  <c r="K10795" i="1"/>
  <c r="N10795" i="1"/>
  <c r="A10796" i="1"/>
  <c r="C10796" i="1"/>
  <c r="K10796" i="1"/>
  <c r="N10796" i="1"/>
  <c r="A10797" i="1"/>
  <c r="C10797" i="1"/>
  <c r="K10797" i="1"/>
  <c r="N10797" i="1"/>
  <c r="A10798" i="1"/>
  <c r="C10798" i="1"/>
  <c r="K10798" i="1"/>
  <c r="N10798" i="1"/>
  <c r="A10799" i="1"/>
  <c r="C10799" i="1"/>
  <c r="K10799" i="1"/>
  <c r="N10799" i="1"/>
  <c r="A10800" i="1"/>
  <c r="C10800" i="1"/>
  <c r="K10800" i="1"/>
  <c r="N10800" i="1"/>
  <c r="A10801" i="1"/>
  <c r="C10801" i="1"/>
  <c r="K10801" i="1"/>
  <c r="N10801" i="1"/>
  <c r="A10802" i="1"/>
  <c r="C10802" i="1"/>
  <c r="K10802" i="1"/>
  <c r="N10802" i="1"/>
  <c r="A10803" i="1"/>
  <c r="C10803" i="1"/>
  <c r="K10803" i="1"/>
  <c r="N10803" i="1"/>
  <c r="A10804" i="1"/>
  <c r="C10804" i="1"/>
  <c r="K10804" i="1"/>
  <c r="N10804" i="1"/>
  <c r="A10805" i="1"/>
  <c r="C10805" i="1"/>
  <c r="K10805" i="1"/>
  <c r="N10805" i="1"/>
  <c r="A10806" i="1"/>
  <c r="C10806" i="1"/>
  <c r="K10806" i="1"/>
  <c r="N10806" i="1"/>
  <c r="A10807" i="1"/>
  <c r="C10807" i="1"/>
  <c r="N10807" i="1"/>
  <c r="A10808" i="1"/>
  <c r="C10808" i="1"/>
  <c r="K10808" i="1"/>
  <c r="N10808" i="1"/>
  <c r="A10809" i="1"/>
  <c r="C10809" i="1"/>
  <c r="K10809" i="1"/>
  <c r="N10809" i="1"/>
  <c r="A10810" i="1"/>
  <c r="C10810" i="1"/>
  <c r="D10810" i="1"/>
  <c r="E10810" i="1"/>
  <c r="K10810" i="1"/>
  <c r="N10810" i="1"/>
  <c r="O10810" i="1"/>
  <c r="T10810" i="1"/>
  <c r="A10811" i="1"/>
  <c r="C10811" i="1"/>
  <c r="K10811" i="1"/>
  <c r="N10811" i="1"/>
  <c r="A10812" i="1"/>
  <c r="C10812" i="1"/>
  <c r="K10812" i="1"/>
  <c r="N10812" i="1"/>
  <c r="A10813" i="1"/>
  <c r="C10813" i="1"/>
  <c r="K10813" i="1"/>
  <c r="N10813" i="1"/>
  <c r="A10814" i="1"/>
  <c r="C10814" i="1"/>
  <c r="N10814" i="1"/>
  <c r="A10815" i="1"/>
  <c r="C10815" i="1"/>
  <c r="N10815" i="1"/>
  <c r="A10816" i="1"/>
  <c r="C10816" i="1"/>
  <c r="N10816" i="1"/>
  <c r="A10817" i="1"/>
  <c r="C10817" i="1"/>
  <c r="K10817" i="1"/>
  <c r="N10817" i="1"/>
  <c r="A10818" i="1"/>
  <c r="C10818" i="1"/>
  <c r="K10818" i="1"/>
  <c r="N10818" i="1"/>
  <c r="A10819" i="1"/>
  <c r="C10819" i="1"/>
  <c r="K10819" i="1"/>
  <c r="N10819" i="1"/>
  <c r="A10820" i="1"/>
  <c r="C10820" i="1"/>
  <c r="K10820" i="1"/>
  <c r="N10820" i="1"/>
  <c r="A10821" i="1"/>
  <c r="C10821" i="1"/>
  <c r="K10821" i="1"/>
  <c r="N10821" i="1"/>
  <c r="A10822" i="1"/>
  <c r="C10822" i="1"/>
  <c r="N10822" i="1"/>
  <c r="A10823" i="1"/>
  <c r="C10823" i="1"/>
  <c r="K10823" i="1"/>
  <c r="N10823" i="1"/>
  <c r="A10824" i="1"/>
  <c r="C10824" i="1"/>
  <c r="K10824" i="1"/>
  <c r="N10824" i="1"/>
  <c r="A10825" i="1"/>
  <c r="C10825" i="1"/>
  <c r="K10825" i="1"/>
  <c r="N10825" i="1"/>
  <c r="A10826" i="1"/>
  <c r="C10826" i="1"/>
  <c r="N10826" i="1"/>
  <c r="A10827" i="1"/>
  <c r="C10827" i="1"/>
  <c r="K10827" i="1"/>
  <c r="N10827" i="1"/>
  <c r="A10828" i="1"/>
  <c r="C10828" i="1"/>
  <c r="K10828" i="1"/>
  <c r="N10828" i="1"/>
  <c r="A10829" i="1"/>
  <c r="C10829" i="1"/>
  <c r="N10829" i="1"/>
  <c r="A10830" i="1"/>
  <c r="C10830" i="1"/>
  <c r="K10830" i="1"/>
  <c r="N10830" i="1"/>
  <c r="A10831" i="1"/>
  <c r="C10831" i="1"/>
  <c r="K10831" i="1"/>
  <c r="N10831" i="1"/>
  <c r="A10832" i="1"/>
  <c r="C10832" i="1"/>
  <c r="K10832" i="1"/>
  <c r="N10832" i="1"/>
  <c r="A10833" i="1"/>
  <c r="C10833" i="1"/>
  <c r="K10833" i="1"/>
  <c r="N10833" i="1"/>
  <c r="A10834" i="1"/>
  <c r="C10834" i="1"/>
  <c r="K10834" i="1"/>
  <c r="N10834" i="1"/>
  <c r="A10835" i="1"/>
  <c r="C10835" i="1"/>
  <c r="K10835" i="1"/>
  <c r="N10835" i="1"/>
  <c r="A10836" i="1"/>
  <c r="C10836" i="1"/>
  <c r="K10836" i="1"/>
  <c r="N10836" i="1"/>
  <c r="A10837" i="1"/>
  <c r="C10837" i="1"/>
  <c r="F10837" i="1"/>
  <c r="N10837" i="1"/>
  <c r="A10838" i="1"/>
  <c r="C10838" i="1"/>
  <c r="K10838" i="1"/>
  <c r="N10838" i="1"/>
  <c r="A10839" i="1"/>
  <c r="C10839" i="1"/>
  <c r="K10839" i="1"/>
  <c r="N10839" i="1"/>
  <c r="A10840" i="1"/>
  <c r="C10840" i="1"/>
  <c r="K10840" i="1"/>
  <c r="N10840" i="1"/>
  <c r="A10841" i="1"/>
  <c r="C10841" i="1"/>
  <c r="K10841" i="1"/>
  <c r="N10841" i="1"/>
  <c r="A10842" i="1"/>
  <c r="C10842" i="1"/>
  <c r="K10842" i="1"/>
  <c r="N10842" i="1"/>
  <c r="A10843" i="1"/>
  <c r="C10843" i="1"/>
  <c r="K10843" i="1"/>
  <c r="N10843" i="1"/>
  <c r="A10844" i="1"/>
  <c r="C10844" i="1"/>
  <c r="K10844" i="1"/>
  <c r="N10844" i="1"/>
  <c r="A10845" i="1"/>
  <c r="C10845" i="1"/>
  <c r="N10845" i="1"/>
  <c r="A10846" i="1"/>
  <c r="C10846" i="1"/>
  <c r="K10846" i="1"/>
  <c r="N10846" i="1"/>
  <c r="A10847" i="1"/>
  <c r="C10847" i="1"/>
  <c r="K10847" i="1"/>
  <c r="N10847" i="1"/>
  <c r="A10848" i="1"/>
  <c r="C10848" i="1"/>
  <c r="K10848" i="1"/>
  <c r="N10848" i="1"/>
  <c r="A10849" i="1"/>
  <c r="C10849" i="1"/>
  <c r="K10849" i="1"/>
  <c r="N10849" i="1"/>
  <c r="A10850" i="1"/>
  <c r="C10850" i="1"/>
  <c r="K10850" i="1"/>
  <c r="N10850" i="1"/>
  <c r="A10851" i="1"/>
  <c r="C10851" i="1"/>
  <c r="K10851" i="1"/>
  <c r="N10851" i="1"/>
  <c r="A10852" i="1"/>
  <c r="C10852" i="1"/>
  <c r="K10852" i="1"/>
  <c r="N10852" i="1"/>
  <c r="A10853" i="1"/>
  <c r="C10853" i="1"/>
  <c r="K10853" i="1"/>
  <c r="N10853" i="1"/>
  <c r="A10854" i="1"/>
  <c r="C10854" i="1"/>
  <c r="K10854" i="1"/>
  <c r="N10854" i="1"/>
  <c r="A10855" i="1"/>
  <c r="C10855" i="1"/>
  <c r="K10855" i="1"/>
  <c r="N10855" i="1"/>
  <c r="A10856" i="1"/>
  <c r="C10856" i="1"/>
  <c r="K10856" i="1"/>
  <c r="N10856" i="1"/>
  <c r="A10857" i="1"/>
  <c r="C10857" i="1"/>
  <c r="N10857" i="1"/>
  <c r="A10858" i="1"/>
  <c r="C10858" i="1"/>
  <c r="K10858" i="1"/>
  <c r="N10858" i="1"/>
  <c r="A10859" i="1"/>
  <c r="C10859" i="1"/>
  <c r="N10859" i="1"/>
  <c r="A10860" i="1"/>
  <c r="C10860" i="1"/>
  <c r="N10860" i="1"/>
  <c r="A10861" i="1"/>
  <c r="C10861" i="1"/>
  <c r="K10861" i="1"/>
  <c r="N10861" i="1"/>
  <c r="A10862" i="1"/>
  <c r="C10862" i="1"/>
  <c r="K10862" i="1"/>
  <c r="N10862" i="1"/>
  <c r="A10863" i="1"/>
  <c r="C10863" i="1"/>
  <c r="K10863" i="1"/>
  <c r="N10863" i="1"/>
  <c r="A10864" i="1"/>
  <c r="C10864" i="1"/>
  <c r="K10864" i="1"/>
  <c r="N10864" i="1"/>
  <c r="A10865" i="1"/>
  <c r="C10865" i="1"/>
  <c r="K10865" i="1"/>
  <c r="N10865" i="1"/>
  <c r="A10866" i="1"/>
  <c r="C10866" i="1"/>
  <c r="K10866" i="1"/>
  <c r="N10866" i="1"/>
  <c r="A10867" i="1"/>
  <c r="C10867" i="1"/>
  <c r="K10867" i="1"/>
  <c r="N10867" i="1"/>
  <c r="A10868" i="1"/>
  <c r="C10868" i="1"/>
  <c r="K10868" i="1"/>
  <c r="N10868" i="1"/>
  <c r="A10869" i="1"/>
  <c r="C10869" i="1"/>
  <c r="N10869" i="1"/>
  <c r="A10870" i="1"/>
  <c r="C10870" i="1"/>
  <c r="K10870" i="1"/>
  <c r="N10870" i="1"/>
  <c r="A10871" i="1"/>
  <c r="C10871" i="1"/>
  <c r="K10871" i="1"/>
  <c r="N10871" i="1"/>
  <c r="A10872" i="1"/>
  <c r="C10872" i="1"/>
  <c r="K10872" i="1"/>
  <c r="N10872" i="1"/>
  <c r="A10873" i="1"/>
  <c r="C10873" i="1"/>
  <c r="K10873" i="1"/>
  <c r="N10873" i="1"/>
  <c r="A10874" i="1"/>
  <c r="C10874" i="1"/>
  <c r="K10874" i="1"/>
  <c r="N10874" i="1"/>
  <c r="A10875" i="1"/>
  <c r="C10875" i="1"/>
  <c r="K10875" i="1"/>
  <c r="N10875" i="1"/>
  <c r="A10876" i="1"/>
  <c r="C10876" i="1"/>
  <c r="K10876" i="1"/>
  <c r="N10876" i="1"/>
  <c r="A10877" i="1"/>
  <c r="C10877" i="1"/>
  <c r="K10877" i="1"/>
  <c r="N10877" i="1"/>
  <c r="A10878" i="1"/>
  <c r="C10878" i="1"/>
  <c r="K10878" i="1"/>
  <c r="N10878" i="1"/>
  <c r="A10879" i="1"/>
  <c r="C10879" i="1"/>
  <c r="K10879" i="1"/>
  <c r="N10879" i="1"/>
  <c r="A10880" i="1"/>
  <c r="C10880" i="1"/>
  <c r="K10880" i="1"/>
  <c r="N10880" i="1"/>
  <c r="A10881" i="1"/>
  <c r="C10881" i="1"/>
  <c r="K10881" i="1"/>
  <c r="N10881" i="1"/>
  <c r="A10882" i="1"/>
  <c r="C10882" i="1"/>
  <c r="K10882" i="1"/>
  <c r="N10882" i="1"/>
  <c r="A10883" i="1"/>
  <c r="C10883" i="1"/>
  <c r="K10883" i="1"/>
  <c r="N10883" i="1"/>
  <c r="A10884" i="1"/>
  <c r="C10884" i="1"/>
  <c r="K10884" i="1"/>
  <c r="N10884" i="1"/>
  <c r="A10885" i="1"/>
  <c r="C10885" i="1"/>
  <c r="K10885" i="1"/>
  <c r="N10885" i="1"/>
  <c r="A10886" i="1"/>
  <c r="C10886" i="1"/>
  <c r="K10886" i="1"/>
  <c r="N10886" i="1"/>
  <c r="A10887" i="1"/>
  <c r="C10887" i="1"/>
  <c r="K10887" i="1"/>
  <c r="N10887" i="1"/>
  <c r="A10888" i="1"/>
  <c r="C10888" i="1"/>
  <c r="K10888" i="1"/>
  <c r="N10888" i="1"/>
  <c r="A10889" i="1"/>
  <c r="C10889" i="1"/>
  <c r="K10889" i="1"/>
  <c r="N10889" i="1"/>
  <c r="A10890" i="1"/>
  <c r="C10890" i="1"/>
  <c r="K10890" i="1"/>
  <c r="N10890" i="1"/>
  <c r="A10891" i="1"/>
  <c r="C10891" i="1"/>
  <c r="K10891" i="1"/>
  <c r="N10891" i="1"/>
  <c r="A10892" i="1"/>
  <c r="C10892" i="1"/>
  <c r="K10892" i="1"/>
  <c r="N10892" i="1"/>
  <c r="A10893" i="1"/>
  <c r="C10893" i="1"/>
  <c r="K10893" i="1"/>
  <c r="N10893" i="1"/>
  <c r="A10894" i="1"/>
  <c r="C10894" i="1"/>
  <c r="K10894" i="1"/>
  <c r="N10894" i="1"/>
  <c r="A10895" i="1"/>
  <c r="C10895" i="1"/>
  <c r="K10895" i="1"/>
  <c r="N10895" i="1"/>
  <c r="A10896" i="1"/>
  <c r="C10896" i="1"/>
  <c r="K10896" i="1"/>
  <c r="N10896" i="1"/>
  <c r="A10897" i="1"/>
  <c r="C10897" i="1"/>
  <c r="K10897" i="1"/>
  <c r="N10897" i="1"/>
  <c r="A10898" i="1"/>
  <c r="C10898" i="1"/>
  <c r="N10898" i="1"/>
  <c r="A10899" i="1"/>
  <c r="C10899" i="1"/>
  <c r="K10899" i="1"/>
  <c r="N10899" i="1"/>
  <c r="A10900" i="1"/>
  <c r="C10900" i="1"/>
  <c r="K10900" i="1"/>
  <c r="N10900" i="1"/>
  <c r="A10901" i="1"/>
  <c r="C10901" i="1"/>
  <c r="K10901" i="1"/>
  <c r="N10901" i="1"/>
  <c r="A10902" i="1"/>
  <c r="C10902" i="1"/>
  <c r="K10902" i="1"/>
  <c r="N10902" i="1"/>
  <c r="A10903" i="1"/>
  <c r="C10903" i="1"/>
  <c r="K10903" i="1"/>
  <c r="N10903" i="1"/>
  <c r="A10904" i="1"/>
  <c r="C10904" i="1"/>
  <c r="K10904" i="1"/>
  <c r="N10904" i="1"/>
  <c r="A10905" i="1"/>
  <c r="C10905" i="1"/>
  <c r="K10905" i="1"/>
  <c r="N10905" i="1"/>
  <c r="A10906" i="1"/>
  <c r="C10906" i="1"/>
  <c r="K10906" i="1"/>
  <c r="N10906" i="1"/>
  <c r="A10907" i="1"/>
  <c r="C10907" i="1"/>
  <c r="K10907" i="1"/>
  <c r="N10907" i="1"/>
  <c r="A10908" i="1"/>
  <c r="C10908" i="1"/>
  <c r="K10908" i="1"/>
  <c r="N10908" i="1"/>
  <c r="A10909" i="1"/>
  <c r="C10909" i="1"/>
  <c r="K10909" i="1"/>
  <c r="N10909" i="1"/>
  <c r="A10910" i="1"/>
  <c r="C10910" i="1"/>
  <c r="K10910" i="1"/>
  <c r="N10910" i="1"/>
  <c r="A10911" i="1"/>
  <c r="C10911" i="1"/>
  <c r="K10911" i="1"/>
  <c r="N10911" i="1"/>
  <c r="A10912" i="1"/>
  <c r="C10912" i="1"/>
  <c r="N10912" i="1"/>
  <c r="A10913" i="1"/>
  <c r="C10913" i="1"/>
  <c r="K10913" i="1"/>
  <c r="N10913" i="1"/>
  <c r="A10914" i="1"/>
  <c r="C10914" i="1"/>
  <c r="N10914" i="1"/>
  <c r="A10915" i="1"/>
  <c r="C10915" i="1"/>
  <c r="N10915" i="1"/>
  <c r="A10916" i="1"/>
  <c r="C10916" i="1"/>
  <c r="K10916" i="1"/>
  <c r="N10916" i="1"/>
  <c r="A10917" i="1"/>
  <c r="C10917" i="1"/>
  <c r="N10917" i="1"/>
  <c r="A10918" i="1"/>
  <c r="C10918" i="1"/>
  <c r="K10918" i="1"/>
  <c r="N10918" i="1"/>
  <c r="A10919" i="1"/>
  <c r="C10919" i="1"/>
  <c r="K10919" i="1"/>
  <c r="N10919" i="1"/>
  <c r="A10920" i="1"/>
  <c r="C10920" i="1"/>
  <c r="N10920" i="1"/>
  <c r="A10921" i="1"/>
  <c r="C10921" i="1"/>
  <c r="K10921" i="1"/>
  <c r="N10921" i="1"/>
  <c r="A10922" i="1"/>
  <c r="C10922" i="1"/>
  <c r="K10922" i="1"/>
  <c r="N10922" i="1"/>
  <c r="A10923" i="1"/>
  <c r="C10923" i="1"/>
  <c r="K10923" i="1"/>
  <c r="N10923" i="1"/>
  <c r="A10924" i="1"/>
  <c r="C10924" i="1"/>
  <c r="K10924" i="1"/>
  <c r="N10924" i="1"/>
  <c r="A10925" i="1"/>
  <c r="C10925" i="1"/>
  <c r="N10925" i="1"/>
  <c r="A10926" i="1"/>
  <c r="C10926" i="1"/>
  <c r="K10926" i="1"/>
  <c r="N10926" i="1"/>
  <c r="A10927" i="1"/>
  <c r="C10927" i="1"/>
  <c r="K10927" i="1"/>
  <c r="N10927" i="1"/>
  <c r="A10928" i="1"/>
  <c r="C10928" i="1"/>
  <c r="K10928" i="1"/>
  <c r="N10928" i="1"/>
  <c r="A10929" i="1"/>
  <c r="C10929" i="1"/>
  <c r="K10929" i="1"/>
  <c r="N10929" i="1"/>
  <c r="A10930" i="1"/>
  <c r="C10930" i="1"/>
  <c r="K10930" i="1"/>
  <c r="N10930" i="1"/>
  <c r="A10931" i="1"/>
  <c r="C10931" i="1"/>
  <c r="N10931" i="1"/>
  <c r="A10932" i="1"/>
  <c r="C10932" i="1"/>
  <c r="N10932" i="1"/>
  <c r="A10933" i="1"/>
  <c r="C10933" i="1"/>
  <c r="N10933" i="1"/>
  <c r="A10934" i="1"/>
  <c r="C10934" i="1"/>
  <c r="N10934" i="1"/>
  <c r="A10935" i="1"/>
  <c r="C10935" i="1"/>
  <c r="N10935" i="1"/>
  <c r="A10936" i="1"/>
  <c r="C10936" i="1"/>
  <c r="N10936" i="1"/>
  <c r="A10937" i="1"/>
  <c r="C10937" i="1"/>
  <c r="N10937" i="1"/>
  <c r="A10938" i="1"/>
  <c r="C10938" i="1"/>
  <c r="K10938" i="1"/>
  <c r="N10938" i="1"/>
  <c r="A10939" i="1"/>
  <c r="C10939" i="1"/>
  <c r="K10939" i="1"/>
  <c r="N10939" i="1"/>
  <c r="A10940" i="1"/>
  <c r="C10940" i="1"/>
  <c r="K10940" i="1"/>
  <c r="N10940" i="1"/>
  <c r="A10941" i="1"/>
  <c r="C10941" i="1"/>
  <c r="K10941" i="1"/>
  <c r="N10941" i="1"/>
  <c r="A10942" i="1"/>
  <c r="C10942" i="1"/>
  <c r="K10942" i="1"/>
  <c r="N10942" i="1"/>
  <c r="A10943" i="1"/>
  <c r="C10943" i="1"/>
  <c r="N10943" i="1"/>
  <c r="A10944" i="1"/>
  <c r="C10944" i="1"/>
  <c r="N10944" i="1"/>
  <c r="A10945" i="1"/>
  <c r="C10945" i="1"/>
  <c r="N10945" i="1"/>
  <c r="A10946" i="1"/>
  <c r="C10946" i="1"/>
  <c r="N10946" i="1"/>
  <c r="A10947" i="1"/>
  <c r="C10947" i="1"/>
  <c r="N10947" i="1"/>
  <c r="A10948" i="1"/>
  <c r="C10948" i="1"/>
  <c r="K10948" i="1"/>
  <c r="N10948" i="1"/>
  <c r="A10949" i="1"/>
  <c r="C10949" i="1"/>
  <c r="K10949" i="1"/>
  <c r="N10949" i="1"/>
  <c r="A10950" i="1"/>
  <c r="C10950" i="1"/>
  <c r="K10950" i="1"/>
  <c r="N10950" i="1"/>
  <c r="A10951" i="1"/>
  <c r="C10951" i="1"/>
  <c r="N10951" i="1"/>
  <c r="A10952" i="1"/>
  <c r="C10952" i="1"/>
  <c r="K10952" i="1"/>
  <c r="N10952" i="1"/>
  <c r="A10953" i="1"/>
  <c r="C10953" i="1"/>
  <c r="N10953" i="1"/>
  <c r="A10954" i="1"/>
  <c r="C10954" i="1"/>
  <c r="N10954" i="1"/>
  <c r="A10955" i="1"/>
  <c r="C10955" i="1"/>
  <c r="K10955" i="1"/>
  <c r="N10955" i="1"/>
  <c r="A10956" i="1"/>
  <c r="C10956" i="1"/>
  <c r="K10956" i="1"/>
  <c r="N10956" i="1"/>
  <c r="A10957" i="1"/>
  <c r="C10957" i="1"/>
  <c r="K10957" i="1"/>
  <c r="N10957" i="1"/>
  <c r="A10958" i="1"/>
  <c r="C10958" i="1"/>
  <c r="N10958" i="1"/>
  <c r="A10959" i="1"/>
  <c r="C10959" i="1"/>
  <c r="N10959" i="1"/>
  <c r="A10960" i="1"/>
  <c r="C10960" i="1"/>
  <c r="N10960" i="1"/>
  <c r="A10961" i="1"/>
  <c r="C10961" i="1"/>
  <c r="N10961" i="1"/>
  <c r="A10962" i="1"/>
  <c r="C10962" i="1"/>
  <c r="K10962" i="1"/>
  <c r="N10962" i="1"/>
  <c r="A10963" i="1"/>
  <c r="C10963" i="1"/>
  <c r="N10963" i="1"/>
  <c r="A10964" i="1"/>
  <c r="C10964" i="1"/>
  <c r="K10964" i="1"/>
  <c r="N10964" i="1"/>
  <c r="A10965" i="1"/>
  <c r="C10965" i="1"/>
  <c r="K10965" i="1"/>
  <c r="N10965" i="1"/>
  <c r="A10966" i="1"/>
  <c r="C10966" i="1"/>
  <c r="F10966" i="1"/>
  <c r="N10966" i="1"/>
  <c r="A10967" i="1"/>
  <c r="C10967" i="1"/>
  <c r="N10967" i="1"/>
  <c r="A10968" i="1"/>
  <c r="C10968" i="1"/>
  <c r="K10968" i="1"/>
  <c r="N10968" i="1"/>
  <c r="A10969" i="1"/>
  <c r="C10969" i="1"/>
  <c r="K10969" i="1"/>
  <c r="N10969" i="1"/>
  <c r="A10970" i="1"/>
  <c r="C10970" i="1"/>
  <c r="N10970" i="1"/>
  <c r="A10971" i="1"/>
  <c r="C10971" i="1"/>
  <c r="N10971" i="1"/>
  <c r="A10972" i="1"/>
  <c r="C10972" i="1"/>
  <c r="N10972" i="1"/>
  <c r="A10973" i="1"/>
  <c r="C10973" i="1"/>
  <c r="K10973" i="1"/>
  <c r="N10973" i="1"/>
  <c r="A10974" i="1"/>
  <c r="C10974" i="1"/>
  <c r="N10974" i="1"/>
  <c r="A10975" i="1"/>
  <c r="C10975" i="1"/>
  <c r="K10975" i="1"/>
  <c r="N10975" i="1"/>
  <c r="A10976" i="1"/>
  <c r="C10976" i="1"/>
  <c r="K10976" i="1"/>
  <c r="N10976" i="1"/>
  <c r="A10977" i="1"/>
  <c r="C10977" i="1"/>
  <c r="K10977" i="1"/>
  <c r="N10977" i="1"/>
  <c r="A10978" i="1"/>
  <c r="C10978" i="1"/>
  <c r="K10978" i="1"/>
  <c r="N10978" i="1"/>
  <c r="A10979" i="1"/>
  <c r="C10979" i="1"/>
  <c r="K10979" i="1"/>
  <c r="N10979" i="1"/>
  <c r="A10980" i="1"/>
  <c r="C10980" i="1"/>
  <c r="K10980" i="1"/>
  <c r="N10980" i="1"/>
  <c r="A10981" i="1"/>
  <c r="C10981" i="1"/>
  <c r="K10981" i="1"/>
  <c r="N10981" i="1"/>
  <c r="A10982" i="1"/>
  <c r="C10982" i="1"/>
  <c r="N10982" i="1"/>
  <c r="A10983" i="1"/>
  <c r="C10983" i="1"/>
  <c r="N10983" i="1"/>
  <c r="A10984" i="1"/>
  <c r="C10984" i="1"/>
  <c r="N10984" i="1"/>
  <c r="A10985" i="1"/>
  <c r="C10985" i="1"/>
  <c r="N10985" i="1"/>
  <c r="A10986" i="1"/>
  <c r="C10986" i="1"/>
  <c r="N10986" i="1"/>
  <c r="A10987" i="1"/>
  <c r="C10987" i="1"/>
  <c r="K10987" i="1"/>
  <c r="N10987" i="1"/>
  <c r="A10988" i="1"/>
  <c r="C10988" i="1"/>
  <c r="N10988" i="1"/>
  <c r="A10989" i="1"/>
  <c r="C10989" i="1"/>
  <c r="N10989" i="1"/>
  <c r="A10990" i="1"/>
  <c r="C10990" i="1"/>
  <c r="N10990" i="1"/>
  <c r="A10991" i="1"/>
  <c r="C10991" i="1"/>
  <c r="N10991" i="1"/>
  <c r="A10992" i="1"/>
  <c r="C10992" i="1"/>
  <c r="N10992" i="1"/>
  <c r="A10993" i="1"/>
  <c r="C10993" i="1"/>
  <c r="N10993" i="1"/>
  <c r="A10994" i="1"/>
  <c r="C10994" i="1"/>
  <c r="N10994" i="1"/>
  <c r="A10995" i="1"/>
  <c r="C10995" i="1"/>
  <c r="N10995" i="1"/>
  <c r="A10996" i="1"/>
  <c r="C10996" i="1"/>
  <c r="N10996" i="1"/>
  <c r="A10997" i="1"/>
  <c r="C10997" i="1"/>
  <c r="N10997" i="1"/>
  <c r="A10998" i="1"/>
  <c r="C10998" i="1"/>
  <c r="N10998" i="1"/>
  <c r="A10999" i="1"/>
  <c r="C10999" i="1"/>
  <c r="N10999" i="1"/>
  <c r="A11000" i="1"/>
  <c r="C11000" i="1"/>
  <c r="N11000" i="1"/>
  <c r="A11001" i="1"/>
  <c r="C11001" i="1"/>
  <c r="N11001" i="1"/>
  <c r="A11002" i="1"/>
  <c r="C11002" i="1"/>
  <c r="N11002" i="1"/>
  <c r="A11003" i="1"/>
  <c r="C11003" i="1"/>
  <c r="N11003" i="1"/>
  <c r="A11004" i="1"/>
  <c r="C11004" i="1"/>
  <c r="N11004" i="1"/>
  <c r="A11005" i="1"/>
  <c r="C11005" i="1"/>
  <c r="N11005" i="1"/>
  <c r="A11006" i="1"/>
  <c r="C11006" i="1"/>
  <c r="N11006" i="1"/>
  <c r="A11007" i="1"/>
  <c r="C11007" i="1"/>
  <c r="N11007" i="1"/>
  <c r="A11008" i="1"/>
  <c r="C11008" i="1"/>
  <c r="N11008" i="1"/>
  <c r="A11009" i="1"/>
  <c r="C11009" i="1"/>
  <c r="N11009" i="1"/>
  <c r="A11010" i="1"/>
  <c r="C11010" i="1"/>
  <c r="N11010" i="1"/>
  <c r="A11011" i="1"/>
  <c r="C11011" i="1"/>
  <c r="N11011" i="1"/>
  <c r="A11012" i="1"/>
  <c r="C11012" i="1"/>
  <c r="N11012" i="1"/>
  <c r="A11013" i="1"/>
  <c r="C11013" i="1"/>
  <c r="N11013" i="1"/>
  <c r="A11014" i="1"/>
  <c r="C11014" i="1"/>
  <c r="N11014" i="1"/>
  <c r="A11015" i="1"/>
  <c r="C11015" i="1"/>
  <c r="N11015" i="1"/>
  <c r="A11016" i="1"/>
  <c r="C11016" i="1"/>
  <c r="K11016" i="1"/>
  <c r="N11016" i="1"/>
  <c r="A11017" i="1"/>
  <c r="C11017" i="1"/>
  <c r="N11017" i="1"/>
  <c r="A11018" i="1"/>
  <c r="C11018" i="1"/>
  <c r="K11018" i="1"/>
  <c r="N11018" i="1"/>
  <c r="A11019" i="1"/>
  <c r="C11019" i="1"/>
  <c r="N11019" i="1"/>
  <c r="A11020" i="1"/>
  <c r="C11020" i="1"/>
  <c r="N11020" i="1"/>
  <c r="A11021" i="1"/>
  <c r="C11021" i="1"/>
  <c r="N11021" i="1"/>
  <c r="A11022" i="1"/>
  <c r="C11022" i="1"/>
  <c r="N11022" i="1"/>
  <c r="A11023" i="1"/>
  <c r="C11023" i="1"/>
  <c r="K11023" i="1"/>
  <c r="N11023" i="1"/>
  <c r="A11024" i="1"/>
  <c r="C11024" i="1"/>
  <c r="K11024" i="1"/>
  <c r="N11024" i="1"/>
  <c r="A11025" i="1"/>
  <c r="C11025" i="1"/>
  <c r="K11025" i="1"/>
  <c r="N11025" i="1"/>
  <c r="A11026" i="1"/>
  <c r="C11026" i="1"/>
  <c r="N11026" i="1"/>
  <c r="A11027" i="1"/>
  <c r="C11027" i="1"/>
  <c r="N11027" i="1"/>
  <c r="A11028" i="1"/>
  <c r="C11028" i="1"/>
  <c r="N11028" i="1"/>
  <c r="A11029" i="1"/>
  <c r="C11029" i="1"/>
  <c r="N11029" i="1"/>
  <c r="A11030" i="1"/>
  <c r="C11030" i="1"/>
  <c r="N11030" i="1"/>
  <c r="A11031" i="1"/>
  <c r="C11031" i="1"/>
  <c r="N11031" i="1"/>
  <c r="A11032" i="1"/>
  <c r="C11032" i="1"/>
  <c r="N11032" i="1"/>
  <c r="A11033" i="1"/>
  <c r="C11033" i="1"/>
  <c r="N11033" i="1"/>
  <c r="A11034" i="1"/>
  <c r="C11034" i="1"/>
  <c r="N11034" i="1"/>
  <c r="A11035" i="1"/>
  <c r="C11035" i="1"/>
  <c r="N11035" i="1"/>
  <c r="A11036" i="1"/>
  <c r="C11036" i="1"/>
  <c r="N11036" i="1"/>
  <c r="A11037" i="1"/>
  <c r="C11037" i="1"/>
  <c r="N11037" i="1"/>
  <c r="A11038" i="1"/>
  <c r="C11038" i="1"/>
  <c r="N11038" i="1"/>
  <c r="A11039" i="1"/>
  <c r="C11039" i="1"/>
  <c r="N11039" i="1"/>
  <c r="A11040" i="1"/>
  <c r="C11040" i="1"/>
  <c r="N11040" i="1"/>
  <c r="A11041" i="1"/>
  <c r="C11041" i="1"/>
  <c r="N11041" i="1"/>
  <c r="A11042" i="1"/>
  <c r="C11042" i="1"/>
  <c r="N11042" i="1"/>
  <c r="A11043" i="1"/>
  <c r="C11043" i="1"/>
  <c r="K11043" i="1"/>
  <c r="N11043" i="1"/>
  <c r="A11044" i="1"/>
  <c r="C11044" i="1"/>
  <c r="K11044" i="1"/>
  <c r="N11044" i="1"/>
  <c r="A11045" i="1"/>
  <c r="C11045" i="1"/>
  <c r="K11045" i="1"/>
  <c r="N11045" i="1"/>
  <c r="A11046" i="1"/>
  <c r="C11046" i="1"/>
  <c r="N11046" i="1"/>
  <c r="A11047" i="1"/>
  <c r="C11047" i="1"/>
  <c r="N11047" i="1"/>
  <c r="A11048" i="1"/>
  <c r="C11048" i="1"/>
  <c r="N11048" i="1"/>
  <c r="A11049" i="1"/>
  <c r="C11049" i="1"/>
  <c r="N11049" i="1"/>
  <c r="A11050" i="1"/>
  <c r="C11050" i="1"/>
  <c r="N11050" i="1"/>
  <c r="A11051" i="1"/>
  <c r="C11051" i="1"/>
  <c r="N11051" i="1"/>
  <c r="A11052" i="1"/>
  <c r="C11052" i="1"/>
  <c r="N11052" i="1"/>
  <c r="A11053" i="1"/>
  <c r="C11053" i="1"/>
  <c r="K11053" i="1"/>
  <c r="N11053" i="1"/>
  <c r="A11054" i="1"/>
  <c r="C11054" i="1"/>
  <c r="N11054" i="1"/>
  <c r="A11055" i="1"/>
  <c r="C11055" i="1"/>
  <c r="N11055" i="1"/>
  <c r="A11056" i="1"/>
  <c r="C11056" i="1"/>
  <c r="N11056" i="1"/>
  <c r="A11057" i="1"/>
  <c r="C11057" i="1"/>
  <c r="N11057" i="1"/>
  <c r="A11058" i="1"/>
  <c r="C11058" i="1"/>
  <c r="K11058" i="1"/>
  <c r="N11058" i="1"/>
  <c r="A11059" i="1"/>
  <c r="C11059" i="1"/>
  <c r="N11059" i="1"/>
  <c r="A11060" i="1"/>
  <c r="C11060" i="1"/>
  <c r="N11060" i="1"/>
  <c r="A11061" i="1"/>
  <c r="C11061" i="1"/>
  <c r="N11061" i="1"/>
  <c r="A11062" i="1"/>
  <c r="C11062" i="1"/>
  <c r="K11062" i="1"/>
  <c r="N11062" i="1"/>
  <c r="A11063" i="1"/>
  <c r="C11063" i="1"/>
  <c r="K11063" i="1"/>
  <c r="N11063" i="1"/>
  <c r="A11064" i="1"/>
  <c r="C11064" i="1"/>
  <c r="N11064" i="1"/>
  <c r="A11065" i="1"/>
  <c r="C11065" i="1"/>
  <c r="N11065" i="1"/>
  <c r="A11066" i="1"/>
  <c r="C11066" i="1"/>
  <c r="N11066" i="1"/>
  <c r="A11067" i="1"/>
  <c r="C11067" i="1"/>
  <c r="N11067" i="1"/>
  <c r="A11068" i="1"/>
  <c r="C11068" i="1"/>
  <c r="N11068" i="1"/>
  <c r="A11069" i="1"/>
  <c r="C11069" i="1"/>
  <c r="K11069" i="1"/>
  <c r="N11069" i="1"/>
  <c r="A11070" i="1"/>
  <c r="C11070" i="1"/>
  <c r="N11070" i="1"/>
  <c r="A11071" i="1"/>
  <c r="C11071" i="1"/>
  <c r="N11071" i="1"/>
  <c r="A11072" i="1"/>
  <c r="C11072" i="1"/>
  <c r="N11072" i="1"/>
  <c r="A11073" i="1"/>
  <c r="C11073" i="1"/>
  <c r="K11073" i="1"/>
  <c r="N11073" i="1"/>
  <c r="A11074" i="1"/>
  <c r="C11074" i="1"/>
  <c r="K11074" i="1"/>
  <c r="N11074" i="1"/>
  <c r="A11075" i="1"/>
  <c r="C11075" i="1"/>
  <c r="N11075" i="1"/>
  <c r="A11076" i="1"/>
  <c r="C11076" i="1"/>
  <c r="K11076" i="1"/>
  <c r="N11076" i="1"/>
  <c r="A11077" i="1"/>
  <c r="C11077" i="1"/>
  <c r="K11077" i="1"/>
  <c r="N11077" i="1"/>
  <c r="A11078" i="1"/>
  <c r="C11078" i="1"/>
  <c r="N11078" i="1"/>
  <c r="A11079" i="1"/>
  <c r="C11079" i="1"/>
  <c r="K11079" i="1"/>
  <c r="N11079" i="1"/>
  <c r="A11080" i="1"/>
  <c r="C11080" i="1"/>
  <c r="N11080" i="1"/>
  <c r="A11081" i="1"/>
  <c r="C11081" i="1"/>
  <c r="N11081" i="1"/>
  <c r="A11082" i="1"/>
  <c r="C11082" i="1"/>
  <c r="N11082" i="1"/>
  <c r="A11083" i="1"/>
  <c r="C11083" i="1"/>
  <c r="K11083" i="1"/>
  <c r="N11083" i="1"/>
  <c r="A11084" i="1"/>
  <c r="C11084" i="1"/>
  <c r="N11084" i="1"/>
  <c r="A11085" i="1"/>
  <c r="C11085" i="1"/>
  <c r="K11085" i="1"/>
  <c r="N11085" i="1"/>
  <c r="A11086" i="1"/>
  <c r="C11086" i="1"/>
  <c r="N11086" i="1"/>
  <c r="A11087" i="1"/>
  <c r="C11087" i="1"/>
  <c r="K11087" i="1"/>
  <c r="N11087" i="1"/>
  <c r="A11088" i="1"/>
  <c r="C11088" i="1"/>
  <c r="K11088" i="1"/>
  <c r="N11088" i="1"/>
  <c r="A11089" i="1"/>
  <c r="C11089" i="1"/>
  <c r="N11089" i="1"/>
  <c r="A11090" i="1"/>
  <c r="C11090" i="1"/>
  <c r="K11090" i="1"/>
  <c r="N11090" i="1"/>
  <c r="A11091" i="1"/>
  <c r="C11091" i="1"/>
  <c r="K11091" i="1"/>
  <c r="N11091" i="1"/>
  <c r="A11092" i="1"/>
  <c r="C11092" i="1"/>
  <c r="K11092" i="1"/>
  <c r="N11092" i="1"/>
  <c r="A11093" i="1"/>
  <c r="C11093" i="1"/>
  <c r="N11093" i="1"/>
  <c r="A11094" i="1"/>
  <c r="C11094" i="1"/>
  <c r="N11094" i="1"/>
  <c r="A11095" i="1"/>
  <c r="C11095" i="1"/>
  <c r="K11095" i="1"/>
  <c r="N11095" i="1"/>
  <c r="A11096" i="1"/>
  <c r="C11096" i="1"/>
  <c r="N11096" i="1"/>
  <c r="A11097" i="1"/>
  <c r="C11097" i="1"/>
  <c r="N11097" i="1"/>
  <c r="A11098" i="1"/>
  <c r="C11098" i="1"/>
  <c r="N11098" i="1"/>
  <c r="A11099" i="1"/>
  <c r="C11099" i="1"/>
  <c r="N11099" i="1"/>
  <c r="A11100" i="1"/>
  <c r="C11100" i="1"/>
  <c r="N11100" i="1"/>
  <c r="A11101" i="1"/>
  <c r="C11101" i="1"/>
  <c r="K11101" i="1"/>
  <c r="N11101" i="1"/>
  <c r="A11102" i="1"/>
  <c r="C11102" i="1"/>
  <c r="N11102" i="1"/>
  <c r="A11103" i="1"/>
  <c r="C11103" i="1"/>
  <c r="K11103" i="1"/>
  <c r="N11103" i="1"/>
  <c r="A11104" i="1"/>
  <c r="C11104" i="1"/>
  <c r="N11104" i="1"/>
  <c r="A11105" i="1"/>
  <c r="C11105" i="1"/>
  <c r="N11105" i="1"/>
  <c r="A11106" i="1"/>
  <c r="C11106" i="1"/>
  <c r="N11106" i="1"/>
  <c r="A11107" i="1"/>
  <c r="C11107" i="1"/>
  <c r="N11107" i="1"/>
  <c r="A11108" i="1"/>
  <c r="C11108" i="1"/>
  <c r="N11108" i="1"/>
  <c r="A11109" i="1"/>
  <c r="C11109" i="1"/>
  <c r="N11109" i="1"/>
  <c r="A11110" i="1"/>
  <c r="C11110" i="1"/>
  <c r="N11110" i="1"/>
  <c r="A11111" i="1"/>
  <c r="C11111" i="1"/>
  <c r="N11111" i="1"/>
  <c r="A11112" i="1"/>
  <c r="C11112" i="1"/>
  <c r="N11112" i="1"/>
  <c r="A11113" i="1"/>
  <c r="C11113" i="1"/>
  <c r="N11113" i="1"/>
  <c r="A11114" i="1"/>
  <c r="C11114" i="1"/>
  <c r="N11114" i="1"/>
  <c r="A11115" i="1"/>
  <c r="C11115" i="1"/>
  <c r="N11115" i="1"/>
  <c r="A11116" i="1"/>
  <c r="C11116" i="1"/>
  <c r="N11116" i="1"/>
  <c r="A11117" i="1"/>
  <c r="C11117" i="1"/>
  <c r="N11117" i="1"/>
  <c r="A11118" i="1"/>
  <c r="C11118" i="1"/>
  <c r="N11118" i="1"/>
  <c r="A11119" i="1"/>
  <c r="C11119" i="1"/>
  <c r="N11119" i="1"/>
  <c r="A11120" i="1"/>
  <c r="C11120" i="1"/>
  <c r="K11120" i="1"/>
  <c r="N11120" i="1"/>
  <c r="A11121" i="1"/>
  <c r="C11121" i="1"/>
  <c r="N11121" i="1"/>
  <c r="A11122" i="1"/>
  <c r="C11122" i="1"/>
  <c r="N11122" i="1"/>
  <c r="A11123" i="1"/>
  <c r="C11123" i="1"/>
  <c r="N11123" i="1"/>
  <c r="A11124" i="1"/>
  <c r="C11124" i="1"/>
  <c r="N11124" i="1"/>
  <c r="A11125" i="1"/>
  <c r="C11125" i="1"/>
  <c r="N11125" i="1"/>
  <c r="A11126" i="1"/>
  <c r="C11126" i="1"/>
  <c r="N11126" i="1"/>
  <c r="A11127" i="1"/>
  <c r="C11127" i="1"/>
  <c r="K11127" i="1"/>
  <c r="N11127" i="1"/>
  <c r="A11128" i="1"/>
  <c r="C11128" i="1"/>
  <c r="K11128" i="1"/>
  <c r="N11128" i="1"/>
  <c r="A11129" i="1"/>
  <c r="C11129" i="1"/>
  <c r="N11129" i="1"/>
  <c r="A11130" i="1"/>
  <c r="C11130" i="1"/>
  <c r="N11130" i="1"/>
  <c r="A11131" i="1"/>
  <c r="C11131" i="1"/>
  <c r="E11131" i="1"/>
  <c r="N11131" i="1"/>
  <c r="T11131" i="1"/>
  <c r="A11132" i="1"/>
  <c r="C11132" i="1"/>
  <c r="E11132" i="1"/>
  <c r="N11132" i="1"/>
  <c r="T11132" i="1"/>
  <c r="A11133" i="1"/>
  <c r="C11133" i="1"/>
  <c r="N11133" i="1"/>
  <c r="A11134" i="1"/>
  <c r="C11134" i="1"/>
  <c r="N11134" i="1"/>
  <c r="A11135" i="1"/>
  <c r="C11135" i="1"/>
  <c r="N11135" i="1"/>
  <c r="A11136" i="1"/>
  <c r="C11136" i="1"/>
  <c r="K11136" i="1"/>
  <c r="N11136" i="1"/>
  <c r="A11137" i="1"/>
  <c r="C11137" i="1"/>
  <c r="N11137" i="1"/>
  <c r="A11138" i="1"/>
  <c r="C11138" i="1"/>
  <c r="N11138" i="1"/>
  <c r="A11139" i="1"/>
  <c r="C11139" i="1"/>
  <c r="N11139" i="1"/>
  <c r="A11140" i="1"/>
  <c r="C11140" i="1"/>
  <c r="N11140" i="1"/>
  <c r="A11141" i="1"/>
  <c r="C11141" i="1"/>
  <c r="N11141" i="1"/>
  <c r="A11142" i="1"/>
  <c r="C11142" i="1"/>
  <c r="N11142" i="1"/>
  <c r="A11143" i="1"/>
  <c r="C11143" i="1"/>
  <c r="N11143" i="1"/>
  <c r="A11144" i="1"/>
  <c r="C11144" i="1"/>
  <c r="N11144" i="1"/>
  <c r="A11145" i="1"/>
  <c r="C11145" i="1"/>
  <c r="N11145" i="1"/>
  <c r="A11146" i="1"/>
  <c r="C11146" i="1"/>
  <c r="K11146" i="1"/>
  <c r="N11146" i="1"/>
  <c r="A11147" i="1"/>
  <c r="C11147" i="1"/>
  <c r="N11147" i="1"/>
  <c r="A11148" i="1"/>
  <c r="C11148" i="1"/>
  <c r="N11148" i="1"/>
  <c r="A11149" i="1"/>
  <c r="C11149" i="1"/>
  <c r="N11149" i="1"/>
  <c r="A11150" i="1"/>
  <c r="C11150" i="1"/>
  <c r="N11150" i="1"/>
  <c r="A11151" i="1"/>
  <c r="C11151" i="1"/>
  <c r="N11151" i="1"/>
  <c r="A11152" i="1"/>
  <c r="C11152" i="1"/>
  <c r="N11152" i="1"/>
  <c r="A11153" i="1"/>
  <c r="C11153" i="1"/>
  <c r="N11153" i="1"/>
  <c r="A11154" i="1"/>
  <c r="C11154" i="1"/>
  <c r="N11154" i="1"/>
  <c r="A11155" i="1"/>
  <c r="C11155" i="1"/>
  <c r="N11155" i="1"/>
  <c r="A11156" i="1"/>
  <c r="C11156" i="1"/>
  <c r="N11156" i="1"/>
  <c r="A11157" i="1"/>
  <c r="C11157" i="1"/>
  <c r="N11157" i="1"/>
  <c r="A11158" i="1"/>
  <c r="C11158" i="1"/>
  <c r="N11158" i="1"/>
  <c r="A11159" i="1"/>
  <c r="C11159" i="1"/>
  <c r="N11159" i="1"/>
  <c r="A11160" i="1"/>
  <c r="C11160" i="1"/>
  <c r="N11160" i="1"/>
  <c r="A11161" i="1"/>
  <c r="C11161" i="1"/>
  <c r="N11161" i="1"/>
  <c r="A11162" i="1"/>
  <c r="C11162" i="1"/>
  <c r="K11162" i="1"/>
  <c r="N11162" i="1"/>
  <c r="A11163" i="1"/>
  <c r="C11163" i="1"/>
  <c r="K11163" i="1"/>
  <c r="N11163" i="1"/>
  <c r="A11164" i="1"/>
  <c r="C11164" i="1"/>
  <c r="N11164" i="1"/>
  <c r="A11165" i="1"/>
  <c r="C11165" i="1"/>
  <c r="N11165" i="1"/>
  <c r="A11166" i="1"/>
  <c r="C11166" i="1"/>
  <c r="K11166" i="1"/>
  <c r="N11166" i="1"/>
  <c r="A11167" i="1"/>
  <c r="C11167" i="1"/>
  <c r="K11167" i="1"/>
  <c r="N11167" i="1"/>
  <c r="A11168" i="1"/>
  <c r="C11168" i="1"/>
  <c r="K11168" i="1"/>
  <c r="N11168" i="1"/>
  <c r="A11169" i="1"/>
  <c r="C11169" i="1"/>
  <c r="N11169" i="1"/>
  <c r="A11170" i="1"/>
  <c r="C11170" i="1"/>
  <c r="K11170" i="1"/>
  <c r="N11170" i="1"/>
  <c r="A11171" i="1"/>
  <c r="C11171" i="1"/>
  <c r="K11171" i="1"/>
  <c r="N11171" i="1"/>
  <c r="A11172" i="1"/>
  <c r="C11172" i="1"/>
  <c r="N11172" i="1"/>
  <c r="A11173" i="1"/>
  <c r="C11173" i="1"/>
  <c r="N11173" i="1"/>
  <c r="A11174" i="1"/>
  <c r="C11174" i="1"/>
  <c r="N11174" i="1"/>
  <c r="A11175" i="1"/>
  <c r="C11175" i="1"/>
  <c r="N11175" i="1"/>
  <c r="A11176" i="1"/>
  <c r="C11176" i="1"/>
  <c r="F11176" i="1"/>
  <c r="N11176" i="1"/>
  <c r="A11177" i="1"/>
  <c r="C11177" i="1"/>
  <c r="N11177" i="1"/>
  <c r="A11178" i="1"/>
  <c r="C11178" i="1"/>
  <c r="N11178" i="1"/>
  <c r="A11179" i="1"/>
  <c r="C11179" i="1"/>
  <c r="N11179" i="1"/>
  <c r="A11180" i="1"/>
  <c r="C11180" i="1"/>
  <c r="N11180" i="1"/>
  <c r="A11181" i="1"/>
  <c r="C11181" i="1"/>
  <c r="N11181" i="1"/>
  <c r="A11182" i="1"/>
  <c r="C11182" i="1"/>
  <c r="N11182" i="1"/>
  <c r="A11183" i="1"/>
  <c r="C11183" i="1"/>
  <c r="K11183" i="1"/>
  <c r="N11183" i="1"/>
  <c r="A11184" i="1"/>
  <c r="C11184" i="1"/>
  <c r="N11184" i="1"/>
  <c r="A11185" i="1"/>
  <c r="C11185" i="1"/>
  <c r="N11185" i="1"/>
  <c r="A11186" i="1"/>
  <c r="C11186" i="1"/>
  <c r="N11186" i="1"/>
  <c r="A11187" i="1"/>
  <c r="C11187" i="1"/>
  <c r="K11187" i="1"/>
  <c r="N11187" i="1"/>
  <c r="A11188" i="1"/>
  <c r="C11188" i="1"/>
  <c r="N11188" i="1"/>
  <c r="A11189" i="1"/>
  <c r="C11189" i="1"/>
  <c r="N11189" i="1"/>
  <c r="A11190" i="1"/>
  <c r="C11190" i="1"/>
  <c r="K11190" i="1"/>
  <c r="N11190" i="1"/>
  <c r="A11191" i="1"/>
  <c r="C11191" i="1"/>
  <c r="K11191" i="1"/>
  <c r="N11191" i="1"/>
  <c r="A11192" i="1"/>
  <c r="C11192" i="1"/>
  <c r="K11192" i="1"/>
  <c r="N11192" i="1"/>
  <c r="A11193" i="1"/>
  <c r="C11193" i="1"/>
  <c r="K11193" i="1"/>
  <c r="N11193" i="1"/>
  <c r="A11194" i="1"/>
  <c r="C11194" i="1"/>
  <c r="K11194" i="1"/>
  <c r="N11194" i="1"/>
  <c r="A11195" i="1"/>
  <c r="C11195" i="1"/>
  <c r="K11195" i="1"/>
  <c r="N11195" i="1"/>
  <c r="A11196" i="1"/>
  <c r="C11196" i="1"/>
  <c r="N11196" i="1"/>
  <c r="A11197" i="1"/>
  <c r="C11197" i="1"/>
  <c r="N11197" i="1"/>
  <c r="A11198" i="1"/>
  <c r="C11198" i="1"/>
  <c r="N11198" i="1"/>
  <c r="A11199" i="1"/>
  <c r="C11199" i="1"/>
  <c r="N11199" i="1"/>
  <c r="A11200" i="1"/>
  <c r="C11200" i="1"/>
  <c r="N11200" i="1"/>
  <c r="A11201" i="1"/>
  <c r="C11201" i="1"/>
  <c r="N11201" i="1"/>
  <c r="A11202" i="1"/>
  <c r="C11202" i="1"/>
  <c r="N11202" i="1"/>
  <c r="A11203" i="1"/>
  <c r="C11203" i="1"/>
  <c r="N11203" i="1"/>
  <c r="A11204" i="1"/>
  <c r="C11204" i="1"/>
  <c r="N11204" i="1"/>
  <c r="A11205" i="1"/>
  <c r="C11205" i="1"/>
  <c r="N11205" i="1"/>
  <c r="A11206" i="1"/>
  <c r="C11206" i="1"/>
  <c r="K11206" i="1"/>
  <c r="N11206" i="1"/>
  <c r="A11207" i="1"/>
  <c r="C11207" i="1"/>
  <c r="N11207" i="1"/>
  <c r="A11208" i="1"/>
  <c r="C11208" i="1"/>
  <c r="N11208" i="1"/>
  <c r="A11209" i="1"/>
  <c r="C11209" i="1"/>
  <c r="N11209" i="1"/>
  <c r="A11210" i="1"/>
  <c r="C11210" i="1"/>
  <c r="N11210" i="1"/>
  <c r="A11211" i="1"/>
  <c r="C11211" i="1"/>
  <c r="N11211" i="1"/>
  <c r="A11212" i="1"/>
  <c r="C11212" i="1"/>
  <c r="K11212" i="1"/>
  <c r="N11212" i="1"/>
  <c r="A11213" i="1"/>
  <c r="C11213" i="1"/>
  <c r="N11213" i="1"/>
  <c r="A11214" i="1"/>
  <c r="C11214" i="1"/>
  <c r="N11214" i="1"/>
  <c r="A11215" i="1"/>
  <c r="C11215" i="1"/>
  <c r="N11215" i="1"/>
  <c r="A11216" i="1"/>
  <c r="C11216" i="1"/>
  <c r="K11216" i="1"/>
  <c r="N11216" i="1"/>
  <c r="A11217" i="1"/>
  <c r="C11217" i="1"/>
  <c r="N11217" i="1"/>
  <c r="A11218" i="1"/>
  <c r="C11218" i="1"/>
  <c r="N11218" i="1"/>
  <c r="A11219" i="1"/>
  <c r="C11219" i="1"/>
  <c r="N11219" i="1"/>
  <c r="A11220" i="1"/>
  <c r="C11220" i="1"/>
  <c r="N11220" i="1"/>
  <c r="A11221" i="1"/>
  <c r="C11221" i="1"/>
  <c r="K11221" i="1"/>
  <c r="N11221" i="1"/>
  <c r="A11222" i="1"/>
  <c r="C11222" i="1"/>
  <c r="N11222" i="1"/>
  <c r="A11223" i="1"/>
  <c r="C11223" i="1"/>
  <c r="N11223" i="1"/>
  <c r="A11224" i="1"/>
  <c r="C11224" i="1"/>
  <c r="K11224" i="1"/>
  <c r="N11224" i="1"/>
  <c r="A11225" i="1"/>
  <c r="C11225" i="1"/>
  <c r="N11225" i="1"/>
  <c r="A11226" i="1"/>
  <c r="C11226" i="1"/>
  <c r="N11226" i="1"/>
  <c r="A11227" i="1"/>
  <c r="C11227" i="1"/>
  <c r="N11227" i="1"/>
  <c r="A11228" i="1"/>
  <c r="C11228" i="1"/>
  <c r="N11228" i="1"/>
  <c r="A11229" i="1"/>
  <c r="C11229" i="1"/>
  <c r="K11229" i="1"/>
  <c r="N11229" i="1"/>
  <c r="A11230" i="1"/>
  <c r="C11230" i="1"/>
  <c r="N11230" i="1"/>
  <c r="A11231" i="1"/>
  <c r="C11231" i="1"/>
  <c r="N11231" i="1"/>
  <c r="A11232" i="1"/>
  <c r="C11232" i="1"/>
  <c r="K11232" i="1"/>
  <c r="N11232" i="1"/>
  <c r="A11233" i="1"/>
  <c r="C11233" i="1"/>
  <c r="K11233" i="1"/>
  <c r="N11233" i="1"/>
  <c r="A11234" i="1"/>
  <c r="C11234" i="1"/>
  <c r="N11234" i="1"/>
  <c r="A11235" i="1"/>
  <c r="C11235" i="1"/>
  <c r="K11235" i="1"/>
  <c r="N11235" i="1"/>
  <c r="A11236" i="1"/>
  <c r="C11236" i="1"/>
  <c r="K11236" i="1"/>
  <c r="N11236" i="1"/>
  <c r="A11237" i="1"/>
  <c r="C11237" i="1"/>
  <c r="N11237" i="1"/>
  <c r="A11238" i="1"/>
  <c r="C11238" i="1"/>
  <c r="N11238" i="1"/>
  <c r="A11239" i="1"/>
  <c r="C11239" i="1"/>
  <c r="N11239" i="1"/>
  <c r="A11240" i="1"/>
  <c r="C11240" i="1"/>
  <c r="N11240" i="1"/>
  <c r="A11241" i="1"/>
  <c r="C11241" i="1"/>
  <c r="K11241" i="1"/>
  <c r="N11241" i="1"/>
  <c r="A11242" i="1"/>
  <c r="C11242" i="1"/>
  <c r="K11242" i="1"/>
  <c r="N11242" i="1"/>
  <c r="A11243" i="1"/>
  <c r="C11243" i="1"/>
  <c r="K11243" i="1"/>
  <c r="N11243" i="1"/>
  <c r="A11244" i="1"/>
  <c r="C11244" i="1"/>
  <c r="N11244" i="1"/>
  <c r="A11245" i="1"/>
  <c r="C11245" i="1"/>
  <c r="N11245" i="1"/>
  <c r="A11246" i="1"/>
  <c r="C11246" i="1"/>
  <c r="N11246" i="1"/>
  <c r="A11247" i="1"/>
  <c r="C11247" i="1"/>
  <c r="K11247" i="1"/>
  <c r="N11247" i="1"/>
  <c r="A11248" i="1"/>
  <c r="C11248" i="1"/>
  <c r="K11248" i="1"/>
  <c r="N11248" i="1"/>
  <c r="A11249" i="1"/>
  <c r="C11249" i="1"/>
  <c r="K11249" i="1"/>
  <c r="N11249" i="1"/>
  <c r="A11250" i="1"/>
  <c r="C11250" i="1"/>
  <c r="K11250" i="1"/>
  <c r="N11250" i="1"/>
  <c r="A11251" i="1"/>
  <c r="C11251" i="1"/>
  <c r="N11251" i="1"/>
  <c r="A11252" i="1"/>
  <c r="C11252" i="1"/>
  <c r="N11252" i="1"/>
  <c r="A11253" i="1"/>
  <c r="C11253" i="1"/>
  <c r="N11253" i="1"/>
  <c r="A11254" i="1"/>
  <c r="C11254" i="1"/>
  <c r="N11254" i="1"/>
  <c r="A11255" i="1"/>
  <c r="C11255" i="1"/>
  <c r="K11255" i="1"/>
  <c r="N11255" i="1"/>
  <c r="A11256" i="1"/>
  <c r="C11256" i="1"/>
  <c r="N11256" i="1"/>
  <c r="A11257" i="1"/>
  <c r="C11257" i="1"/>
  <c r="N11257" i="1"/>
  <c r="A11258" i="1"/>
  <c r="C11258" i="1"/>
  <c r="K11258" i="1"/>
  <c r="N11258" i="1"/>
  <c r="A11259" i="1"/>
  <c r="C11259" i="1"/>
  <c r="K11259" i="1"/>
  <c r="N11259" i="1"/>
  <c r="A11260" i="1"/>
  <c r="C11260" i="1"/>
  <c r="N11260" i="1"/>
  <c r="A11261" i="1"/>
  <c r="C11261" i="1"/>
  <c r="K11261" i="1"/>
  <c r="N11261" i="1"/>
  <c r="A11262" i="1"/>
  <c r="C11262" i="1"/>
  <c r="N11262" i="1"/>
  <c r="A11263" i="1"/>
  <c r="C11263" i="1"/>
  <c r="N11263" i="1"/>
  <c r="A11264" i="1"/>
  <c r="C11264" i="1"/>
  <c r="K11264" i="1"/>
  <c r="N11264" i="1"/>
  <c r="A11265" i="1"/>
  <c r="C11265" i="1"/>
  <c r="N11265" i="1"/>
  <c r="A11266" i="1"/>
  <c r="C11266" i="1"/>
  <c r="K11266" i="1"/>
  <c r="N11266" i="1"/>
  <c r="A11267" i="1"/>
  <c r="C11267" i="1"/>
  <c r="K11267" i="1"/>
  <c r="N11267" i="1"/>
  <c r="A11268" i="1"/>
  <c r="C11268" i="1"/>
  <c r="K11268" i="1"/>
  <c r="N11268" i="1"/>
  <c r="A11269" i="1"/>
  <c r="C11269" i="1"/>
  <c r="K11269" i="1"/>
  <c r="N11269" i="1"/>
  <c r="A11270" i="1"/>
  <c r="C11270" i="1"/>
  <c r="K11270" i="1"/>
  <c r="N11270" i="1"/>
  <c r="A11271" i="1"/>
  <c r="C11271" i="1"/>
  <c r="K11271" i="1"/>
  <c r="N11271" i="1"/>
  <c r="A11272" i="1"/>
  <c r="C11272" i="1"/>
  <c r="K11272" i="1"/>
  <c r="N11272" i="1"/>
  <c r="A11273" i="1"/>
  <c r="C11273" i="1"/>
  <c r="K11273" i="1"/>
  <c r="N11273" i="1"/>
  <c r="A11274" i="1"/>
  <c r="C11274" i="1"/>
  <c r="K11274" i="1"/>
  <c r="N11274" i="1"/>
  <c r="A11275" i="1"/>
  <c r="C11275" i="1"/>
  <c r="K11275" i="1"/>
  <c r="N11275" i="1"/>
  <c r="A11276" i="1"/>
  <c r="C11276" i="1"/>
  <c r="K11276" i="1"/>
  <c r="N11276" i="1"/>
  <c r="A11277" i="1"/>
  <c r="C11277" i="1"/>
  <c r="K11277" i="1"/>
  <c r="N11277" i="1"/>
  <c r="A11278" i="1"/>
  <c r="C11278" i="1"/>
  <c r="K11278" i="1"/>
  <c r="N11278" i="1"/>
  <c r="A11279" i="1"/>
  <c r="C11279" i="1"/>
  <c r="K11279" i="1"/>
  <c r="N11279" i="1"/>
  <c r="A11280" i="1"/>
  <c r="C11280" i="1"/>
  <c r="K11280" i="1"/>
  <c r="N11280" i="1"/>
  <c r="A11281" i="1"/>
  <c r="C11281" i="1"/>
  <c r="K11281" i="1"/>
  <c r="N11281" i="1"/>
  <c r="A11282" i="1"/>
  <c r="C11282" i="1"/>
  <c r="K11282" i="1"/>
  <c r="N11282" i="1"/>
  <c r="A11283" i="1"/>
  <c r="C11283" i="1"/>
  <c r="N11283" i="1"/>
  <c r="A11284" i="1"/>
  <c r="C11284" i="1"/>
  <c r="K11284" i="1"/>
  <c r="N11284" i="1"/>
  <c r="A11285" i="1"/>
  <c r="C11285" i="1"/>
  <c r="K11285" i="1"/>
  <c r="N11285" i="1"/>
  <c r="A11286" i="1"/>
  <c r="C11286" i="1"/>
  <c r="N11286" i="1"/>
  <c r="A11287" i="1"/>
  <c r="C11287" i="1"/>
  <c r="K11287" i="1"/>
  <c r="N11287" i="1"/>
  <c r="A11288" i="1"/>
  <c r="C11288" i="1"/>
  <c r="K11288" i="1"/>
  <c r="N11288" i="1"/>
  <c r="A11289" i="1"/>
  <c r="C11289" i="1"/>
  <c r="N11289" i="1"/>
  <c r="A11290" i="1"/>
  <c r="C11290" i="1"/>
  <c r="K11290" i="1"/>
  <c r="N11290" i="1"/>
  <c r="A11291" i="1"/>
  <c r="C11291" i="1"/>
  <c r="K11291" i="1"/>
  <c r="N11291" i="1"/>
  <c r="A11292" i="1"/>
  <c r="C11292" i="1"/>
  <c r="K11292" i="1"/>
  <c r="N11292" i="1"/>
  <c r="A11293" i="1"/>
  <c r="C11293" i="1"/>
  <c r="K11293" i="1"/>
  <c r="N11293" i="1"/>
  <c r="A11294" i="1"/>
  <c r="C11294" i="1"/>
  <c r="K11294" i="1"/>
  <c r="N11294" i="1"/>
  <c r="A11295" i="1"/>
  <c r="C11295" i="1"/>
  <c r="K11295" i="1"/>
  <c r="N11295" i="1"/>
  <c r="A11296" i="1"/>
  <c r="C11296" i="1"/>
  <c r="N11296" i="1"/>
  <c r="A11297" i="1"/>
  <c r="C11297" i="1"/>
  <c r="N11297" i="1"/>
  <c r="A11298" i="1"/>
  <c r="C11298" i="1"/>
  <c r="N11298" i="1"/>
  <c r="A11299" i="1"/>
  <c r="C11299" i="1"/>
  <c r="N11299" i="1"/>
  <c r="A11300" i="1"/>
  <c r="C11300" i="1"/>
  <c r="N11300" i="1"/>
  <c r="A11301" i="1"/>
  <c r="C11301" i="1"/>
  <c r="N11301" i="1"/>
  <c r="A11302" i="1"/>
  <c r="C11302" i="1"/>
  <c r="N11302" i="1"/>
  <c r="A11303" i="1"/>
  <c r="C11303" i="1"/>
  <c r="N11303" i="1"/>
  <c r="A11304" i="1"/>
  <c r="C11304" i="1"/>
  <c r="N11304" i="1"/>
  <c r="A11305" i="1"/>
  <c r="C11305" i="1"/>
  <c r="N11305" i="1"/>
  <c r="A11306" i="1"/>
  <c r="C11306" i="1"/>
  <c r="N11306" i="1"/>
  <c r="A11307" i="1"/>
  <c r="C11307" i="1"/>
  <c r="N11307" i="1"/>
  <c r="A11308" i="1"/>
  <c r="C11308" i="1"/>
  <c r="K11308" i="1"/>
  <c r="N11308" i="1"/>
  <c r="A11309" i="1"/>
  <c r="C11309" i="1"/>
  <c r="K11309" i="1"/>
  <c r="N11309" i="1"/>
  <c r="A11310" i="1"/>
  <c r="C11310" i="1"/>
  <c r="N11310" i="1"/>
  <c r="A11311" i="1"/>
  <c r="C11311" i="1"/>
  <c r="K11311" i="1"/>
  <c r="N11311" i="1"/>
  <c r="A11312" i="1"/>
  <c r="C11312" i="1"/>
  <c r="K11312" i="1"/>
  <c r="N11312" i="1"/>
  <c r="A11313" i="1"/>
  <c r="C11313" i="1"/>
  <c r="N11313" i="1"/>
  <c r="A11314" i="1"/>
  <c r="C11314" i="1"/>
  <c r="K11314" i="1"/>
  <c r="N11314" i="1"/>
  <c r="A11315" i="1"/>
  <c r="C11315" i="1"/>
  <c r="N11315" i="1"/>
  <c r="A11316" i="1"/>
  <c r="C11316" i="1"/>
  <c r="K11316" i="1"/>
  <c r="N11316" i="1"/>
  <c r="A11317" i="1"/>
  <c r="C11317" i="1"/>
  <c r="K11317" i="1"/>
  <c r="N11317" i="1"/>
  <c r="A11318" i="1"/>
  <c r="C11318" i="1"/>
  <c r="K11318" i="1"/>
  <c r="N11318" i="1"/>
  <c r="A11319" i="1"/>
  <c r="C11319" i="1"/>
  <c r="K11319" i="1"/>
  <c r="N11319" i="1"/>
  <c r="A11320" i="1"/>
  <c r="C11320" i="1"/>
  <c r="N11320" i="1"/>
  <c r="A11321" i="1"/>
  <c r="C11321" i="1"/>
  <c r="N11321" i="1"/>
  <c r="A11322" i="1"/>
  <c r="C11322" i="1"/>
  <c r="N11322" i="1"/>
  <c r="A11323" i="1"/>
  <c r="C11323" i="1"/>
  <c r="K11323" i="1"/>
  <c r="N11323" i="1"/>
  <c r="A11324" i="1"/>
  <c r="C11324" i="1"/>
  <c r="N11324" i="1"/>
  <c r="A11325" i="1"/>
  <c r="C11325" i="1"/>
  <c r="K11325" i="1"/>
  <c r="N11325" i="1"/>
  <c r="A11326" i="1"/>
  <c r="C11326" i="1"/>
  <c r="K11326" i="1"/>
  <c r="N11326" i="1"/>
  <c r="A11327" i="1"/>
  <c r="C11327" i="1"/>
  <c r="N11327" i="1"/>
  <c r="A11328" i="1"/>
  <c r="C11328" i="1"/>
  <c r="K11328" i="1"/>
  <c r="N11328" i="1"/>
  <c r="A11329" i="1"/>
  <c r="C11329" i="1"/>
  <c r="N11329" i="1"/>
  <c r="A11330" i="1"/>
  <c r="C11330" i="1"/>
  <c r="N11330" i="1"/>
  <c r="A11331" i="1"/>
  <c r="C11331" i="1"/>
  <c r="N11331" i="1"/>
  <c r="A11332" i="1"/>
  <c r="C11332" i="1"/>
  <c r="N11332" i="1"/>
  <c r="A11333" i="1"/>
  <c r="C11333" i="1"/>
  <c r="N11333" i="1"/>
  <c r="A11334" i="1"/>
  <c r="C11334" i="1"/>
  <c r="N11334" i="1"/>
  <c r="A11335" i="1"/>
  <c r="C11335" i="1"/>
  <c r="N11335" i="1"/>
  <c r="A11336" i="1"/>
  <c r="C11336" i="1"/>
  <c r="N11336" i="1"/>
  <c r="A11337" i="1"/>
  <c r="C11337" i="1"/>
  <c r="N11337" i="1"/>
  <c r="A11338" i="1"/>
  <c r="C11338" i="1"/>
  <c r="N11338" i="1"/>
  <c r="A11339" i="1"/>
  <c r="C11339" i="1"/>
  <c r="N11339" i="1"/>
  <c r="A11340" i="1"/>
  <c r="C11340" i="1"/>
  <c r="N11340" i="1"/>
  <c r="A11341" i="1"/>
  <c r="C11341" i="1"/>
  <c r="N11341" i="1"/>
  <c r="A11342" i="1"/>
  <c r="C11342" i="1"/>
  <c r="N11342" i="1"/>
  <c r="A11343" i="1"/>
  <c r="C11343" i="1"/>
  <c r="N11343" i="1"/>
  <c r="A11344" i="1"/>
  <c r="C11344" i="1"/>
  <c r="N11344" i="1"/>
  <c r="A11345" i="1"/>
  <c r="C11345" i="1"/>
  <c r="K11345" i="1"/>
  <c r="N11345" i="1"/>
  <c r="A11346" i="1"/>
  <c r="C11346" i="1"/>
  <c r="N11346" i="1"/>
  <c r="A11347" i="1"/>
  <c r="C11347" i="1"/>
  <c r="N11347" i="1"/>
  <c r="A11348" i="1"/>
  <c r="C11348" i="1"/>
  <c r="N11348" i="1"/>
  <c r="A11349" i="1"/>
  <c r="C11349" i="1"/>
  <c r="N11349" i="1"/>
  <c r="A11350" i="1"/>
  <c r="C11350" i="1"/>
  <c r="N11350" i="1"/>
  <c r="A11351" i="1"/>
  <c r="C11351" i="1"/>
  <c r="N11351" i="1"/>
  <c r="A11352" i="1"/>
  <c r="C11352" i="1"/>
  <c r="K11352" i="1"/>
  <c r="N11352" i="1"/>
  <c r="A11353" i="1"/>
  <c r="C11353" i="1"/>
  <c r="N11353" i="1"/>
  <c r="A11354" i="1"/>
  <c r="C11354" i="1"/>
  <c r="N11354" i="1"/>
  <c r="A11355" i="1"/>
  <c r="C11355" i="1"/>
  <c r="N11355" i="1"/>
  <c r="A11356" i="1"/>
  <c r="C11356" i="1"/>
  <c r="N11356" i="1"/>
  <c r="A11357" i="1"/>
  <c r="C11357" i="1"/>
  <c r="N11357" i="1"/>
  <c r="A11358" i="1"/>
  <c r="C11358" i="1"/>
  <c r="N11358" i="1"/>
  <c r="A11359" i="1"/>
  <c r="C11359" i="1"/>
  <c r="N11359" i="1"/>
  <c r="A11360" i="1"/>
  <c r="C11360" i="1"/>
  <c r="K11360" i="1"/>
  <c r="N11360" i="1"/>
  <c r="A11361" i="1"/>
  <c r="C11361" i="1"/>
  <c r="K11361" i="1"/>
  <c r="N11361" i="1"/>
  <c r="A11362" i="1"/>
  <c r="C11362" i="1"/>
  <c r="K11362" i="1"/>
  <c r="N11362" i="1"/>
  <c r="A11363" i="1"/>
  <c r="C11363" i="1"/>
  <c r="K11363" i="1"/>
  <c r="N11363" i="1"/>
  <c r="A11364" i="1"/>
  <c r="C11364" i="1"/>
  <c r="N11364" i="1"/>
  <c r="A11365" i="1"/>
  <c r="C11365" i="1"/>
  <c r="N11365" i="1"/>
  <c r="A11366" i="1"/>
  <c r="C11366" i="1"/>
  <c r="N11366" i="1"/>
  <c r="A11367" i="1"/>
  <c r="C11367" i="1"/>
  <c r="N11367" i="1"/>
  <c r="A11368" i="1"/>
  <c r="C11368" i="1"/>
  <c r="N11368" i="1"/>
  <c r="A11369" i="1"/>
  <c r="C11369" i="1"/>
  <c r="N11369" i="1"/>
  <c r="A11370" i="1"/>
  <c r="C11370" i="1"/>
  <c r="N11370" i="1"/>
  <c r="A11371" i="1"/>
  <c r="C11371" i="1"/>
  <c r="K11371" i="1"/>
  <c r="N11371" i="1"/>
  <c r="A11372" i="1"/>
  <c r="C11372" i="1"/>
  <c r="K11372" i="1"/>
  <c r="N11372" i="1"/>
  <c r="A11373" i="1"/>
  <c r="C11373" i="1"/>
  <c r="N11373" i="1"/>
  <c r="A11374" i="1"/>
  <c r="C11374" i="1"/>
  <c r="N11374" i="1"/>
  <c r="A11375" i="1"/>
  <c r="C11375" i="1"/>
  <c r="K11375" i="1"/>
  <c r="N11375" i="1"/>
  <c r="A11376" i="1"/>
  <c r="C11376" i="1"/>
  <c r="K11376" i="1"/>
  <c r="N11376" i="1"/>
  <c r="A11377" i="1"/>
  <c r="C11377" i="1"/>
  <c r="N11377" i="1"/>
  <c r="A11378" i="1"/>
  <c r="C11378" i="1"/>
  <c r="N11378" i="1"/>
  <c r="A11379" i="1"/>
  <c r="C11379" i="1"/>
  <c r="N11379" i="1"/>
  <c r="A11380" i="1"/>
  <c r="C11380" i="1"/>
  <c r="N11380" i="1"/>
  <c r="A11381" i="1"/>
  <c r="C11381" i="1"/>
  <c r="N11381" i="1"/>
  <c r="A11382" i="1"/>
  <c r="C11382" i="1"/>
  <c r="N11382" i="1"/>
  <c r="A11383" i="1"/>
  <c r="C11383" i="1"/>
  <c r="N11383" i="1"/>
  <c r="A11384" i="1"/>
  <c r="C11384" i="1"/>
  <c r="N11384" i="1"/>
  <c r="A11385" i="1"/>
  <c r="C11385" i="1"/>
  <c r="K11385" i="1"/>
  <c r="N11385" i="1"/>
  <c r="A11386" i="1"/>
  <c r="C11386" i="1"/>
  <c r="N11386" i="1"/>
  <c r="A11387" i="1"/>
  <c r="C11387" i="1"/>
  <c r="N11387" i="1"/>
  <c r="A11388" i="1"/>
  <c r="C11388" i="1"/>
  <c r="N11388" i="1"/>
  <c r="A11389" i="1"/>
  <c r="C11389" i="1"/>
  <c r="N11389" i="1"/>
  <c r="A11390" i="1"/>
  <c r="C11390" i="1"/>
  <c r="N11390" i="1"/>
  <c r="A11391" i="1"/>
  <c r="C11391" i="1"/>
  <c r="N11391" i="1"/>
  <c r="A11392" i="1"/>
  <c r="C11392" i="1"/>
  <c r="N11392" i="1"/>
  <c r="A11393" i="1"/>
  <c r="C11393" i="1"/>
  <c r="K11393" i="1"/>
  <c r="N11393" i="1"/>
  <c r="A11394" i="1"/>
  <c r="C11394" i="1"/>
  <c r="N11394" i="1"/>
  <c r="A11395" i="1"/>
  <c r="C11395" i="1"/>
  <c r="N11395" i="1"/>
  <c r="A11396" i="1"/>
  <c r="C11396" i="1"/>
  <c r="K11396" i="1"/>
  <c r="N11396" i="1"/>
  <c r="A11397" i="1"/>
  <c r="C11397" i="1"/>
  <c r="K11397" i="1"/>
  <c r="N11397" i="1"/>
  <c r="A11398" i="1"/>
  <c r="C11398" i="1"/>
  <c r="N11398" i="1"/>
  <c r="A11399" i="1"/>
  <c r="C11399" i="1"/>
  <c r="N11399" i="1"/>
  <c r="A11400" i="1"/>
  <c r="C11400" i="1"/>
  <c r="N11400" i="1"/>
  <c r="A11401" i="1"/>
  <c r="C11401" i="1"/>
  <c r="N11401" i="1"/>
  <c r="A11402" i="1"/>
  <c r="C11402" i="1"/>
  <c r="N11402" i="1"/>
  <c r="A11403" i="1"/>
  <c r="C11403" i="1"/>
  <c r="N11403" i="1"/>
  <c r="A11404" i="1"/>
  <c r="C11404" i="1"/>
  <c r="N11404" i="1"/>
  <c r="A11405" i="1"/>
  <c r="C11405" i="1"/>
  <c r="N11405" i="1"/>
  <c r="A11406" i="1"/>
  <c r="C11406" i="1"/>
  <c r="N11406" i="1"/>
  <c r="A11407" i="1"/>
  <c r="C11407" i="1"/>
  <c r="N11407" i="1"/>
  <c r="A11408" i="1"/>
  <c r="C11408" i="1"/>
  <c r="E11408" i="1"/>
  <c r="N11408" i="1"/>
  <c r="T11408" i="1"/>
  <c r="A11409" i="1"/>
  <c r="C11409" i="1"/>
  <c r="N11409" i="1"/>
  <c r="A11410" i="1"/>
  <c r="C11410" i="1"/>
  <c r="N11410" i="1"/>
  <c r="A11411" i="1"/>
  <c r="C11411" i="1"/>
  <c r="N11411" i="1"/>
  <c r="A11412" i="1"/>
  <c r="C11412" i="1"/>
  <c r="N11412" i="1"/>
  <c r="A11413" i="1"/>
  <c r="C11413" i="1"/>
  <c r="N11413" i="1"/>
  <c r="A11414" i="1"/>
  <c r="C11414" i="1"/>
  <c r="N11414" i="1"/>
  <c r="A11415" i="1"/>
  <c r="C11415" i="1"/>
  <c r="K11415" i="1"/>
  <c r="N11415" i="1"/>
  <c r="A11416" i="1"/>
  <c r="C11416" i="1"/>
  <c r="N11416" i="1"/>
  <c r="A11417" i="1"/>
  <c r="C11417" i="1"/>
  <c r="N11417" i="1"/>
  <c r="A11418" i="1"/>
  <c r="C11418" i="1"/>
  <c r="N11418" i="1"/>
  <c r="A11419" i="1"/>
  <c r="C11419" i="1"/>
  <c r="K11419" i="1"/>
  <c r="N11419" i="1"/>
  <c r="A11420" i="1"/>
  <c r="C11420" i="1"/>
  <c r="N11420" i="1"/>
  <c r="A11421" i="1"/>
  <c r="C11421" i="1"/>
  <c r="N11421" i="1"/>
  <c r="A11422" i="1"/>
  <c r="C11422" i="1"/>
  <c r="N11422" i="1"/>
  <c r="A11423" i="1"/>
  <c r="C11423" i="1"/>
  <c r="N11423" i="1"/>
  <c r="A11424" i="1"/>
  <c r="C11424" i="1"/>
  <c r="N11424" i="1"/>
  <c r="A11425" i="1"/>
  <c r="C11425" i="1"/>
  <c r="N11425" i="1"/>
  <c r="A11426" i="1"/>
  <c r="C11426" i="1"/>
  <c r="K11426" i="1"/>
  <c r="N11426" i="1"/>
  <c r="A11427" i="1"/>
  <c r="C11427" i="1"/>
  <c r="N11427" i="1"/>
  <c r="A11428" i="1"/>
  <c r="C11428" i="1"/>
  <c r="N11428" i="1"/>
  <c r="A11429" i="1"/>
  <c r="C11429" i="1"/>
  <c r="N11429" i="1"/>
  <c r="A11430" i="1"/>
  <c r="C11430" i="1"/>
  <c r="K11430" i="1"/>
  <c r="N11430" i="1"/>
  <c r="A11431" i="1"/>
  <c r="C11431" i="1"/>
  <c r="N11431" i="1"/>
  <c r="A11432" i="1"/>
  <c r="C11432" i="1"/>
  <c r="K11432" i="1"/>
  <c r="N11432" i="1"/>
  <c r="A11433" i="1"/>
  <c r="C11433" i="1"/>
  <c r="K11433" i="1"/>
  <c r="N11433" i="1"/>
  <c r="A11434" i="1"/>
  <c r="C11434" i="1"/>
  <c r="N11434" i="1"/>
  <c r="A11435" i="1"/>
  <c r="C11435" i="1"/>
  <c r="E11435" i="1"/>
  <c r="N11435" i="1"/>
  <c r="T11435" i="1"/>
  <c r="A11436" i="1"/>
  <c r="C11436" i="1"/>
  <c r="K11436" i="1"/>
  <c r="N11436" i="1"/>
  <c r="A11437" i="1"/>
  <c r="C11437" i="1"/>
  <c r="N11437" i="1"/>
  <c r="A11438" i="1"/>
  <c r="C11438" i="1"/>
  <c r="N11438" i="1"/>
  <c r="A11439" i="1"/>
  <c r="C11439" i="1"/>
  <c r="N11439" i="1"/>
  <c r="A11440" i="1"/>
  <c r="C11440" i="1"/>
  <c r="N11440" i="1"/>
  <c r="A11441" i="1"/>
  <c r="C11441" i="1"/>
  <c r="K11441" i="1"/>
  <c r="N11441" i="1"/>
  <c r="A11442" i="1"/>
  <c r="C11442" i="1"/>
  <c r="N11442" i="1"/>
  <c r="A11443" i="1"/>
  <c r="C11443" i="1"/>
  <c r="K11443" i="1"/>
  <c r="N11443" i="1"/>
  <c r="A11444" i="1"/>
  <c r="C11444" i="1"/>
  <c r="N11444" i="1"/>
  <c r="A11445" i="1"/>
  <c r="C11445" i="1"/>
  <c r="N11445" i="1"/>
  <c r="A11446" i="1"/>
  <c r="C11446" i="1"/>
  <c r="K11446" i="1"/>
  <c r="N11446" i="1"/>
  <c r="A11447" i="1"/>
  <c r="C11447" i="1"/>
  <c r="N11447" i="1"/>
  <c r="A11448" i="1"/>
  <c r="C11448" i="1"/>
  <c r="K11448" i="1"/>
  <c r="N11448" i="1"/>
  <c r="A11449" i="1"/>
  <c r="C11449" i="1"/>
  <c r="N11449" i="1"/>
  <c r="A11450" i="1"/>
  <c r="C11450" i="1"/>
  <c r="K11450" i="1"/>
  <c r="N11450" i="1"/>
  <c r="A11451" i="1"/>
  <c r="C11451" i="1"/>
  <c r="N11451" i="1"/>
  <c r="A11452" i="1"/>
  <c r="C11452" i="1"/>
  <c r="N11452" i="1"/>
  <c r="A11453" i="1"/>
  <c r="C11453" i="1"/>
  <c r="E11453" i="1"/>
  <c r="N11453" i="1"/>
  <c r="T11453" i="1"/>
  <c r="A11454" i="1"/>
  <c r="C11454" i="1"/>
  <c r="K11454" i="1"/>
  <c r="N11454" i="1"/>
  <c r="A11455" i="1"/>
  <c r="C11455" i="1"/>
  <c r="E11455" i="1"/>
  <c r="N11455" i="1"/>
  <c r="T11455" i="1"/>
  <c r="A11456" i="1"/>
  <c r="C11456" i="1"/>
  <c r="E11456" i="1"/>
  <c r="N11456" i="1"/>
  <c r="T11456" i="1"/>
  <c r="A11457" i="1"/>
  <c r="C11457" i="1"/>
  <c r="E11457" i="1"/>
  <c r="N11457" i="1"/>
  <c r="T11457" i="1"/>
  <c r="A11458" i="1"/>
  <c r="C11458" i="1"/>
  <c r="D11458" i="1"/>
  <c r="E11458" i="1"/>
  <c r="K11458" i="1"/>
  <c r="N11458" i="1"/>
  <c r="O11458" i="1"/>
  <c r="T11458" i="1"/>
  <c r="A11459" i="1"/>
  <c r="C11459" i="1"/>
  <c r="N11459" i="1"/>
  <c r="A11460" i="1"/>
  <c r="C11460" i="1"/>
  <c r="D11460" i="1"/>
  <c r="E11460" i="1"/>
  <c r="K11460" i="1"/>
  <c r="N11460" i="1"/>
  <c r="O11460" i="1"/>
  <c r="T11460" i="1"/>
  <c r="A11461" i="1"/>
  <c r="C11461" i="1"/>
  <c r="N11461" i="1"/>
  <c r="A11462" i="1"/>
  <c r="C11462" i="1"/>
  <c r="K11462" i="1"/>
  <c r="N11462" i="1"/>
  <c r="A11463" i="1"/>
  <c r="C11463" i="1"/>
  <c r="N11463" i="1"/>
  <c r="A11464" i="1"/>
  <c r="C11464" i="1"/>
  <c r="K11464" i="1"/>
  <c r="N11464" i="1"/>
  <c r="A11465" i="1"/>
  <c r="C11465" i="1"/>
  <c r="K11465" i="1"/>
  <c r="N11465" i="1"/>
  <c r="A11466" i="1"/>
  <c r="C11466" i="1"/>
  <c r="K11466" i="1"/>
  <c r="N11466" i="1"/>
  <c r="A11467" i="1"/>
  <c r="C11467" i="1"/>
  <c r="N11467" i="1"/>
  <c r="A11468" i="1"/>
  <c r="C11468" i="1"/>
  <c r="K11468" i="1"/>
  <c r="N11468" i="1"/>
  <c r="A11469" i="1"/>
  <c r="C11469" i="1"/>
  <c r="N11469" i="1"/>
  <c r="A11470" i="1"/>
  <c r="C11470" i="1"/>
  <c r="N11470" i="1"/>
  <c r="A11471" i="1"/>
  <c r="C11471" i="1"/>
  <c r="N11471" i="1"/>
  <c r="A11472" i="1"/>
  <c r="C11472" i="1"/>
  <c r="N11472" i="1"/>
  <c r="A11473" i="1"/>
  <c r="C11473" i="1"/>
  <c r="N11473" i="1"/>
  <c r="A11474" i="1"/>
  <c r="C11474" i="1"/>
  <c r="N11474" i="1"/>
  <c r="A11475" i="1"/>
  <c r="C11475" i="1"/>
  <c r="N11475" i="1"/>
  <c r="A11476" i="1"/>
  <c r="C11476" i="1"/>
  <c r="K11476" i="1"/>
  <c r="N11476" i="1"/>
  <c r="A11477" i="1"/>
  <c r="C11477" i="1"/>
  <c r="K11477" i="1"/>
  <c r="N11477" i="1"/>
  <c r="A11478" i="1"/>
  <c r="C11478" i="1"/>
  <c r="K11478" i="1"/>
  <c r="N11478" i="1"/>
  <c r="A11479" i="1"/>
  <c r="C11479" i="1"/>
  <c r="N11479" i="1"/>
  <c r="A11480" i="1"/>
  <c r="C11480" i="1"/>
  <c r="N11480" i="1"/>
  <c r="A11481" i="1"/>
  <c r="C11481" i="1"/>
  <c r="N11481" i="1"/>
  <c r="A11482" i="1"/>
  <c r="C11482" i="1"/>
  <c r="N11482" i="1"/>
  <c r="A11483" i="1"/>
  <c r="C11483" i="1"/>
  <c r="N11483" i="1"/>
  <c r="A11484" i="1"/>
  <c r="C11484" i="1"/>
  <c r="N11484" i="1"/>
  <c r="A11485" i="1"/>
  <c r="C11485" i="1"/>
  <c r="N11485" i="1"/>
  <c r="A11486" i="1"/>
  <c r="C11486" i="1"/>
  <c r="N11486" i="1"/>
  <c r="A11487" i="1"/>
  <c r="C11487" i="1"/>
  <c r="N11487" i="1"/>
  <c r="A11488" i="1"/>
  <c r="C11488" i="1"/>
  <c r="N11488" i="1"/>
  <c r="A11489" i="1"/>
  <c r="C11489" i="1"/>
  <c r="K11489" i="1"/>
  <c r="N11489" i="1"/>
  <c r="A11490" i="1"/>
  <c r="C11490" i="1"/>
  <c r="K11490" i="1"/>
  <c r="N11490" i="1"/>
  <c r="A11491" i="1"/>
  <c r="C11491" i="1"/>
  <c r="K11491" i="1"/>
  <c r="N11491" i="1"/>
  <c r="A11492" i="1"/>
  <c r="C11492" i="1"/>
  <c r="K11492" i="1"/>
  <c r="N11492" i="1"/>
  <c r="A11493" i="1"/>
  <c r="C11493" i="1"/>
  <c r="N11493" i="1"/>
  <c r="A11494" i="1"/>
  <c r="C11494" i="1"/>
  <c r="K11494" i="1"/>
  <c r="N11494" i="1"/>
  <c r="A11495" i="1"/>
  <c r="C11495" i="1"/>
  <c r="N11495" i="1"/>
  <c r="A11496" i="1"/>
  <c r="C11496" i="1"/>
  <c r="N11496" i="1"/>
  <c r="A11497" i="1"/>
  <c r="C11497" i="1"/>
  <c r="N11497" i="1"/>
  <c r="A11498" i="1"/>
  <c r="C11498" i="1"/>
  <c r="N11498" i="1"/>
  <c r="A11499" i="1"/>
  <c r="C11499" i="1"/>
  <c r="N11499" i="1"/>
  <c r="A11500" i="1"/>
  <c r="C11500" i="1"/>
  <c r="N11500" i="1"/>
  <c r="A11501" i="1"/>
  <c r="C11501" i="1"/>
  <c r="K11501" i="1"/>
  <c r="N11501" i="1"/>
  <c r="A11502" i="1"/>
  <c r="C11502" i="1"/>
  <c r="N11502" i="1"/>
  <c r="A11503" i="1"/>
  <c r="C11503" i="1"/>
  <c r="K11503" i="1"/>
  <c r="N11503" i="1"/>
  <c r="A11504" i="1"/>
  <c r="C11504" i="1"/>
  <c r="N11504" i="1"/>
  <c r="A11505" i="1"/>
  <c r="C11505" i="1"/>
  <c r="N11505" i="1"/>
  <c r="A11506" i="1"/>
  <c r="C11506" i="1"/>
  <c r="N11506" i="1"/>
  <c r="A11507" i="1"/>
  <c r="C11507" i="1"/>
  <c r="K11507" i="1"/>
  <c r="N11507" i="1"/>
  <c r="A11508" i="1"/>
  <c r="C11508" i="1"/>
  <c r="K11508" i="1"/>
  <c r="N11508" i="1"/>
  <c r="A11509" i="1"/>
  <c r="C11509" i="1"/>
  <c r="K11509" i="1"/>
  <c r="N11509" i="1"/>
  <c r="A11510" i="1"/>
  <c r="C11510" i="1"/>
  <c r="N11510" i="1"/>
  <c r="A11511" i="1"/>
  <c r="C11511" i="1"/>
  <c r="N11511" i="1"/>
  <c r="A11512" i="1"/>
  <c r="C11512" i="1"/>
  <c r="N11512" i="1"/>
  <c r="A11513" i="1"/>
  <c r="C11513" i="1"/>
  <c r="N11513" i="1"/>
  <c r="A11514" i="1"/>
  <c r="C11514" i="1"/>
  <c r="N11514" i="1"/>
  <c r="A11515" i="1"/>
  <c r="C11515" i="1"/>
  <c r="N11515" i="1"/>
  <c r="A11516" i="1"/>
  <c r="C11516" i="1"/>
  <c r="N11516" i="1"/>
  <c r="A11517" i="1"/>
  <c r="C11517" i="1"/>
  <c r="N11517" i="1"/>
  <c r="A11518" i="1"/>
  <c r="C11518" i="1"/>
  <c r="K11518" i="1"/>
  <c r="N11518" i="1"/>
  <c r="A11519" i="1"/>
  <c r="C11519" i="1"/>
  <c r="N11519" i="1"/>
  <c r="A11520" i="1"/>
  <c r="C11520" i="1"/>
  <c r="N11520" i="1"/>
  <c r="A11521" i="1"/>
  <c r="C11521" i="1"/>
  <c r="D11521" i="1"/>
  <c r="N11521" i="1"/>
  <c r="O11521" i="1"/>
  <c r="A11522" i="1"/>
  <c r="C11522" i="1"/>
  <c r="D11522" i="1"/>
  <c r="N11522" i="1"/>
  <c r="O11522" i="1"/>
  <c r="A11523" i="1"/>
  <c r="C11523" i="1"/>
  <c r="K11523" i="1"/>
  <c r="N11523" i="1"/>
  <c r="A11524" i="1"/>
  <c r="C11524" i="1"/>
  <c r="N11524" i="1"/>
  <c r="A11525" i="1"/>
  <c r="C11525" i="1"/>
  <c r="N11525" i="1"/>
  <c r="A11526" i="1"/>
  <c r="C11526" i="1"/>
  <c r="K11526" i="1"/>
  <c r="N11526" i="1"/>
  <c r="A11527" i="1"/>
  <c r="C11527" i="1"/>
  <c r="D11527" i="1"/>
  <c r="N11527" i="1"/>
  <c r="O11527" i="1"/>
  <c r="A11528" i="1"/>
  <c r="C11528" i="1"/>
  <c r="D11528" i="1"/>
  <c r="N11528" i="1"/>
  <c r="O11528" i="1"/>
  <c r="A11529" i="1"/>
  <c r="C11529" i="1"/>
  <c r="D11529" i="1"/>
  <c r="N11529" i="1"/>
  <c r="O11529" i="1"/>
  <c r="A11530" i="1"/>
  <c r="C11530" i="1"/>
  <c r="D11530" i="1"/>
  <c r="N11530" i="1"/>
  <c r="O11530" i="1"/>
  <c r="A11531" i="1"/>
  <c r="C11531" i="1"/>
  <c r="N11531" i="1"/>
  <c r="A11532" i="1"/>
  <c r="C11532" i="1"/>
  <c r="K11532" i="1"/>
  <c r="N11532" i="1"/>
  <c r="A11533" i="1"/>
  <c r="C11533" i="1"/>
  <c r="K11533" i="1"/>
  <c r="N11533" i="1"/>
  <c r="A11534" i="1"/>
  <c r="C11534" i="1"/>
  <c r="K11534" i="1"/>
  <c r="N11534" i="1"/>
  <c r="A11535" i="1"/>
  <c r="C11535" i="1"/>
  <c r="K11535" i="1"/>
  <c r="N11535" i="1"/>
  <c r="A11536" i="1"/>
  <c r="C11536" i="1"/>
  <c r="K11536" i="1"/>
  <c r="N11536" i="1"/>
  <c r="A11537" i="1"/>
  <c r="C11537" i="1"/>
  <c r="N11537" i="1"/>
  <c r="A11538" i="1"/>
  <c r="C11538" i="1"/>
  <c r="K11538" i="1"/>
  <c r="N11538" i="1"/>
  <c r="A11539" i="1"/>
  <c r="C11539" i="1"/>
  <c r="N11539" i="1"/>
  <c r="A11540" i="1"/>
  <c r="C11540" i="1"/>
  <c r="N11540" i="1"/>
  <c r="A11541" i="1"/>
  <c r="C11541" i="1"/>
  <c r="N11541" i="1"/>
  <c r="A11542" i="1"/>
  <c r="C11542" i="1"/>
  <c r="N11542" i="1"/>
  <c r="A11543" i="1"/>
  <c r="C11543" i="1"/>
  <c r="N11543" i="1"/>
  <c r="A11544" i="1"/>
  <c r="C11544" i="1"/>
  <c r="N11544" i="1"/>
  <c r="A11545" i="1"/>
  <c r="C11545" i="1"/>
  <c r="N11545" i="1"/>
  <c r="A11546" i="1"/>
  <c r="C11546" i="1"/>
  <c r="N11546" i="1"/>
  <c r="A11547" i="1"/>
  <c r="C11547" i="1"/>
  <c r="N11547" i="1"/>
  <c r="A11548" i="1"/>
  <c r="C11548" i="1"/>
  <c r="N11548" i="1"/>
  <c r="A11549" i="1"/>
  <c r="C11549" i="1"/>
  <c r="N11549" i="1"/>
  <c r="A11550" i="1"/>
  <c r="C11550" i="1"/>
  <c r="N11550" i="1"/>
  <c r="A11551" i="1"/>
  <c r="C11551" i="1"/>
  <c r="N11551" i="1"/>
  <c r="A11552" i="1"/>
  <c r="C11552" i="1"/>
  <c r="K11552" i="1"/>
  <c r="N11552" i="1"/>
  <c r="A11553" i="1"/>
  <c r="C11553" i="1"/>
  <c r="N11553" i="1"/>
  <c r="A11554" i="1"/>
  <c r="C11554" i="1"/>
  <c r="N11554" i="1"/>
  <c r="A11555" i="1"/>
  <c r="C11555" i="1"/>
  <c r="N11555" i="1"/>
  <c r="A11556" i="1"/>
  <c r="C11556" i="1"/>
  <c r="N11556" i="1"/>
  <c r="A11557" i="1"/>
  <c r="C11557" i="1"/>
  <c r="K11557" i="1"/>
  <c r="N11557" i="1"/>
  <c r="A11558" i="1"/>
  <c r="C11558" i="1"/>
  <c r="N11558" i="1"/>
  <c r="A11559" i="1"/>
  <c r="C11559" i="1"/>
  <c r="N11559" i="1"/>
  <c r="A11560" i="1"/>
  <c r="C11560" i="1"/>
  <c r="N11560" i="1"/>
  <c r="A11561" i="1"/>
  <c r="C11561" i="1"/>
  <c r="N11561" i="1"/>
  <c r="A11562" i="1"/>
  <c r="C11562" i="1"/>
  <c r="N11562" i="1"/>
  <c r="A11563" i="1"/>
  <c r="C11563" i="1"/>
  <c r="K11563" i="1"/>
  <c r="N11563" i="1"/>
  <c r="A11564" i="1"/>
  <c r="C11564" i="1"/>
  <c r="D11564" i="1"/>
  <c r="N11564" i="1"/>
  <c r="O11564" i="1"/>
  <c r="A11565" i="1"/>
  <c r="C11565" i="1"/>
  <c r="K11565" i="1"/>
  <c r="N11565" i="1"/>
  <c r="A11566" i="1"/>
  <c r="C11566" i="1"/>
  <c r="K11566" i="1"/>
  <c r="N11566" i="1"/>
  <c r="A11567" i="1"/>
  <c r="C11567" i="1"/>
  <c r="K11567" i="1"/>
  <c r="N11567" i="1"/>
  <c r="A11568" i="1"/>
  <c r="C11568" i="1"/>
  <c r="D11568" i="1"/>
  <c r="E11568" i="1"/>
  <c r="N11568" i="1"/>
  <c r="O11568" i="1"/>
  <c r="T11568" i="1"/>
  <c r="A11569" i="1"/>
  <c r="C11569" i="1"/>
  <c r="K11569" i="1"/>
  <c r="N11569" i="1"/>
  <c r="A11570" i="1"/>
  <c r="C11570" i="1"/>
  <c r="K11570" i="1"/>
  <c r="N11570" i="1"/>
  <c r="A11571" i="1"/>
  <c r="C11571" i="1"/>
  <c r="N11571" i="1"/>
  <c r="A11572" i="1"/>
  <c r="C11572" i="1"/>
  <c r="D11572" i="1"/>
  <c r="E11572" i="1"/>
  <c r="N11572" i="1"/>
  <c r="O11572" i="1"/>
  <c r="T11572" i="1"/>
  <c r="A11573" i="1"/>
  <c r="C11573" i="1"/>
  <c r="D11573" i="1"/>
  <c r="E11573" i="1"/>
  <c r="N11573" i="1"/>
  <c r="O11573" i="1"/>
  <c r="T11573" i="1"/>
  <c r="A11574" i="1"/>
  <c r="C11574" i="1"/>
  <c r="N11574" i="1"/>
  <c r="A11575" i="1"/>
  <c r="C11575" i="1"/>
  <c r="N11575" i="1"/>
  <c r="A11576" i="1"/>
  <c r="C11576" i="1"/>
  <c r="N11576" i="1"/>
  <c r="A11577" i="1"/>
  <c r="C11577" i="1"/>
  <c r="K11577" i="1"/>
  <c r="N11577" i="1"/>
  <c r="A11578" i="1"/>
  <c r="C11578" i="1"/>
  <c r="N11578" i="1"/>
  <c r="A11579" i="1"/>
  <c r="C11579" i="1"/>
  <c r="K11579" i="1"/>
  <c r="N11579" i="1"/>
  <c r="A11580" i="1"/>
  <c r="C11580" i="1"/>
  <c r="N11580" i="1"/>
  <c r="A11581" i="1"/>
  <c r="C11581" i="1"/>
  <c r="N11581" i="1"/>
  <c r="A11582" i="1"/>
  <c r="C11582" i="1"/>
  <c r="K11582" i="1"/>
  <c r="N11582" i="1"/>
  <c r="A11583" i="1"/>
  <c r="C11583" i="1"/>
  <c r="E11583" i="1"/>
  <c r="N11583" i="1"/>
  <c r="T11583" i="1"/>
  <c r="A11584" i="1"/>
  <c r="C11584" i="1"/>
  <c r="N11584" i="1"/>
  <c r="A11585" i="1"/>
  <c r="C11585" i="1"/>
  <c r="N11585" i="1"/>
  <c r="A11586" i="1"/>
  <c r="C11586" i="1"/>
  <c r="N11586" i="1"/>
  <c r="A11587" i="1"/>
  <c r="C11587" i="1"/>
  <c r="K11587" i="1"/>
  <c r="N11587" i="1"/>
  <c r="A11588" i="1"/>
  <c r="C11588" i="1"/>
  <c r="N11588" i="1"/>
  <c r="A11589" i="1"/>
  <c r="C11589" i="1"/>
  <c r="N11589" i="1"/>
  <c r="A11590" i="1"/>
  <c r="C11590" i="1"/>
  <c r="N11590" i="1"/>
  <c r="A11591" i="1"/>
  <c r="C11591" i="1"/>
  <c r="N11591" i="1"/>
  <c r="A11592" i="1"/>
  <c r="C11592" i="1"/>
  <c r="N11592" i="1"/>
  <c r="A11593" i="1"/>
  <c r="C11593" i="1"/>
  <c r="N11593" i="1"/>
  <c r="A11594" i="1"/>
  <c r="C11594" i="1"/>
  <c r="N11594" i="1"/>
  <c r="A11595" i="1"/>
  <c r="C11595" i="1"/>
  <c r="N11595" i="1"/>
  <c r="A11596" i="1"/>
  <c r="C11596" i="1"/>
  <c r="N11596" i="1"/>
  <c r="A11597" i="1"/>
  <c r="C11597" i="1"/>
  <c r="N11597" i="1"/>
  <c r="A11598" i="1"/>
  <c r="C11598" i="1"/>
  <c r="N11598" i="1"/>
  <c r="A11599" i="1"/>
  <c r="C11599" i="1"/>
  <c r="N11599" i="1"/>
  <c r="A11600" i="1"/>
  <c r="C11600" i="1"/>
  <c r="N11600" i="1"/>
  <c r="A11601" i="1"/>
  <c r="C11601" i="1"/>
  <c r="N11601" i="1"/>
  <c r="A11602" i="1"/>
  <c r="C11602" i="1"/>
  <c r="N11602" i="1"/>
  <c r="A11603" i="1"/>
  <c r="C11603" i="1"/>
  <c r="N11603" i="1"/>
  <c r="A11604" i="1"/>
  <c r="C11604" i="1"/>
  <c r="N11604" i="1"/>
  <c r="A11605" i="1"/>
  <c r="C11605" i="1"/>
  <c r="K11605" i="1"/>
  <c r="N11605" i="1"/>
  <c r="A11606" i="1"/>
  <c r="C11606" i="1"/>
  <c r="N11606" i="1"/>
  <c r="A11607" i="1"/>
  <c r="C11607" i="1"/>
  <c r="K11607" i="1"/>
  <c r="N11607" i="1"/>
  <c r="A11608" i="1"/>
  <c r="C11608" i="1"/>
  <c r="K11608" i="1"/>
  <c r="N11608" i="1"/>
  <c r="A11609" i="1"/>
  <c r="C11609" i="1"/>
  <c r="K11609" i="1"/>
  <c r="N11609" i="1"/>
  <c r="A11610" i="1"/>
  <c r="C11610" i="1"/>
  <c r="N11610" i="1"/>
  <c r="A11611" i="1"/>
  <c r="C11611" i="1"/>
  <c r="N11611" i="1"/>
  <c r="A11612" i="1"/>
  <c r="C11612" i="1"/>
  <c r="N11612" i="1"/>
  <c r="A11613" i="1"/>
  <c r="C11613" i="1"/>
  <c r="N11613" i="1"/>
  <c r="A11614" i="1"/>
  <c r="C11614" i="1"/>
  <c r="N11614" i="1"/>
  <c r="A11615" i="1"/>
  <c r="C11615" i="1"/>
  <c r="K11615" i="1"/>
  <c r="N11615" i="1"/>
  <c r="A11616" i="1"/>
  <c r="C11616" i="1"/>
  <c r="N11616" i="1"/>
  <c r="A11617" i="1"/>
  <c r="C11617" i="1"/>
  <c r="K11617" i="1"/>
  <c r="N11617" i="1"/>
  <c r="A11618" i="1"/>
  <c r="C11618" i="1"/>
  <c r="K11618" i="1"/>
  <c r="N11618" i="1"/>
  <c r="A11619" i="1"/>
  <c r="C11619" i="1"/>
  <c r="N11619" i="1"/>
  <c r="A11620" i="1"/>
  <c r="C11620" i="1"/>
  <c r="N11620" i="1"/>
  <c r="A11621" i="1"/>
  <c r="C11621" i="1"/>
  <c r="N11621" i="1"/>
  <c r="A11622" i="1"/>
  <c r="C11622" i="1"/>
  <c r="N11622" i="1"/>
  <c r="A11623" i="1"/>
  <c r="C11623" i="1"/>
  <c r="N11623" i="1"/>
  <c r="A11624" i="1"/>
  <c r="C11624" i="1"/>
  <c r="N11624" i="1"/>
  <c r="A11625" i="1"/>
  <c r="C11625" i="1"/>
  <c r="N11625" i="1"/>
  <c r="A11626" i="1"/>
  <c r="C11626" i="1"/>
  <c r="N11626" i="1"/>
  <c r="A11627" i="1"/>
  <c r="C11627" i="1"/>
  <c r="N11627" i="1"/>
  <c r="A11628" i="1"/>
  <c r="C11628" i="1"/>
  <c r="N11628" i="1"/>
  <c r="A11629" i="1"/>
  <c r="C11629" i="1"/>
  <c r="D11629" i="1"/>
  <c r="N11629" i="1"/>
  <c r="O11629" i="1"/>
  <c r="A11630" i="1"/>
  <c r="C11630" i="1"/>
  <c r="N11630" i="1"/>
  <c r="A11631" i="1"/>
  <c r="C11631" i="1"/>
  <c r="E11631" i="1"/>
  <c r="N11631" i="1"/>
  <c r="T11631" i="1"/>
  <c r="A11632" i="1"/>
  <c r="C11632" i="1"/>
  <c r="N11632" i="1"/>
  <c r="A11633" i="1"/>
  <c r="C11633" i="1"/>
  <c r="N11633" i="1"/>
  <c r="A11634" i="1"/>
  <c r="C11634" i="1"/>
  <c r="N11634" i="1"/>
  <c r="A11635" i="1"/>
  <c r="C11635" i="1"/>
  <c r="N11635" i="1"/>
  <c r="A11636" i="1"/>
  <c r="C11636" i="1"/>
  <c r="N11636" i="1"/>
  <c r="A11637" i="1"/>
  <c r="C11637" i="1"/>
  <c r="N11637" i="1"/>
  <c r="A11638" i="1"/>
  <c r="C11638" i="1"/>
  <c r="N11638" i="1"/>
  <c r="A11639" i="1"/>
  <c r="C11639" i="1"/>
  <c r="N11639" i="1"/>
  <c r="A11640" i="1"/>
  <c r="C11640" i="1"/>
  <c r="N11640" i="1"/>
  <c r="A11641" i="1"/>
  <c r="C11641" i="1"/>
  <c r="N11641" i="1"/>
  <c r="A11642" i="1"/>
  <c r="C11642" i="1"/>
  <c r="N11642" i="1"/>
  <c r="A11643" i="1"/>
  <c r="C11643" i="1"/>
  <c r="N11643" i="1"/>
  <c r="A11644" i="1"/>
  <c r="C11644" i="1"/>
  <c r="K11644" i="1"/>
  <c r="N11644" i="1"/>
  <c r="A11645" i="1"/>
  <c r="C11645" i="1"/>
  <c r="K11645" i="1"/>
  <c r="N11645" i="1"/>
  <c r="A11646" i="1"/>
  <c r="C11646" i="1"/>
  <c r="N11646" i="1"/>
  <c r="A11647" i="1"/>
  <c r="C11647" i="1"/>
  <c r="N11647" i="1"/>
  <c r="A11648" i="1"/>
  <c r="C11648" i="1"/>
  <c r="N11648" i="1"/>
  <c r="A11649" i="1"/>
  <c r="C11649" i="1"/>
  <c r="N11649" i="1"/>
  <c r="A11650" i="1"/>
  <c r="C11650" i="1"/>
  <c r="N11650" i="1"/>
  <c r="A11651" i="1"/>
  <c r="C11651" i="1"/>
  <c r="N11651" i="1"/>
  <c r="A11652" i="1"/>
  <c r="C11652" i="1"/>
  <c r="N11652" i="1"/>
  <c r="A11653" i="1"/>
  <c r="C11653" i="1"/>
  <c r="N11653" i="1"/>
  <c r="A11654" i="1"/>
  <c r="C11654" i="1"/>
  <c r="N11654" i="1"/>
  <c r="A11655" i="1"/>
  <c r="C11655" i="1"/>
  <c r="N11655" i="1"/>
  <c r="A11656" i="1"/>
  <c r="C11656" i="1"/>
  <c r="N11656" i="1"/>
  <c r="A11657" i="1"/>
  <c r="C11657" i="1"/>
  <c r="N11657" i="1"/>
  <c r="A11658" i="1"/>
  <c r="C11658" i="1"/>
  <c r="N11658" i="1"/>
  <c r="A11659" i="1"/>
  <c r="C11659" i="1"/>
  <c r="N11659" i="1"/>
  <c r="A11660" i="1"/>
  <c r="C11660" i="1"/>
  <c r="N11660" i="1"/>
  <c r="A11661" i="1"/>
  <c r="C11661" i="1"/>
  <c r="N11661" i="1"/>
  <c r="A11662" i="1"/>
  <c r="C11662" i="1"/>
  <c r="N11662" i="1"/>
  <c r="A11663" i="1"/>
  <c r="C11663" i="1"/>
  <c r="N11663" i="1"/>
  <c r="A11664" i="1"/>
  <c r="C11664" i="1"/>
  <c r="N11664" i="1"/>
  <c r="A11665" i="1"/>
  <c r="C11665" i="1"/>
  <c r="N11665" i="1"/>
  <c r="A11666" i="1"/>
  <c r="C11666" i="1"/>
  <c r="K11666" i="1"/>
  <c r="N11666" i="1"/>
  <c r="A11667" i="1"/>
  <c r="C11667" i="1"/>
  <c r="N11667" i="1"/>
  <c r="A11668" i="1"/>
  <c r="C11668" i="1"/>
  <c r="N11668" i="1"/>
  <c r="A11669" i="1"/>
  <c r="C11669" i="1"/>
  <c r="N11669" i="1"/>
  <c r="A11670" i="1"/>
  <c r="C11670" i="1"/>
  <c r="N11670" i="1"/>
  <c r="A11671" i="1"/>
  <c r="C11671" i="1"/>
  <c r="N11671" i="1"/>
  <c r="A11672" i="1"/>
  <c r="C11672" i="1"/>
  <c r="N11672" i="1"/>
  <c r="A11673" i="1"/>
  <c r="C11673" i="1"/>
  <c r="K11673" i="1"/>
  <c r="N11673" i="1"/>
  <c r="A11674" i="1"/>
  <c r="C11674" i="1"/>
  <c r="N11674" i="1"/>
  <c r="A11675" i="1"/>
  <c r="C11675" i="1"/>
  <c r="N11675" i="1"/>
  <c r="A11676" i="1"/>
  <c r="C11676" i="1"/>
  <c r="D11676" i="1"/>
  <c r="N11676" i="1"/>
  <c r="O11676" i="1"/>
  <c r="A11677" i="1"/>
  <c r="C11677" i="1"/>
  <c r="N11677" i="1"/>
  <c r="A11678" i="1"/>
  <c r="C11678" i="1"/>
  <c r="N11678" i="1"/>
  <c r="A11679" i="1"/>
  <c r="C11679" i="1"/>
  <c r="N11679" i="1"/>
  <c r="A11680" i="1"/>
  <c r="C11680" i="1"/>
  <c r="N11680" i="1"/>
  <c r="A11681" i="1"/>
  <c r="C11681" i="1"/>
  <c r="N11681" i="1"/>
  <c r="A11682" i="1"/>
  <c r="C11682" i="1"/>
  <c r="N11682" i="1"/>
  <c r="A11683" i="1"/>
  <c r="C11683" i="1"/>
  <c r="K11683" i="1"/>
  <c r="N11683" i="1"/>
  <c r="A11684" i="1"/>
  <c r="C11684" i="1"/>
  <c r="K11684" i="1"/>
  <c r="N11684" i="1"/>
  <c r="A11685" i="1"/>
  <c r="C11685" i="1"/>
  <c r="N11685" i="1"/>
  <c r="A11686" i="1"/>
  <c r="C11686" i="1"/>
  <c r="N11686" i="1"/>
  <c r="A11687" i="1"/>
  <c r="C11687" i="1"/>
  <c r="N11687" i="1"/>
  <c r="A11688" i="1"/>
  <c r="C11688" i="1"/>
  <c r="N11688" i="1"/>
  <c r="A11689" i="1"/>
  <c r="C11689" i="1"/>
  <c r="N11689" i="1"/>
  <c r="A11690" i="1"/>
  <c r="C11690" i="1"/>
  <c r="N11690" i="1"/>
  <c r="A11691" i="1"/>
  <c r="C11691" i="1"/>
  <c r="N11691" i="1"/>
  <c r="A11692" i="1"/>
  <c r="C11692" i="1"/>
  <c r="N11692" i="1"/>
  <c r="A11693" i="1"/>
  <c r="C11693" i="1"/>
  <c r="N11693" i="1"/>
  <c r="A11694" i="1"/>
  <c r="C11694" i="1"/>
  <c r="N11694" i="1"/>
  <c r="A11695" i="1"/>
  <c r="C11695" i="1"/>
  <c r="N11695" i="1"/>
  <c r="A11696" i="1"/>
  <c r="C11696" i="1"/>
  <c r="D11696" i="1"/>
  <c r="N11696" i="1"/>
  <c r="O11696" i="1"/>
  <c r="A11697" i="1"/>
  <c r="C11697" i="1"/>
  <c r="N11697" i="1"/>
  <c r="A11698" i="1"/>
  <c r="C11698" i="1"/>
  <c r="N11698" i="1"/>
  <c r="A11699" i="1"/>
  <c r="C11699" i="1"/>
  <c r="N11699" i="1"/>
  <c r="A11700" i="1"/>
  <c r="C11700" i="1"/>
  <c r="K11700" i="1"/>
  <c r="N11700" i="1"/>
  <c r="A11701" i="1"/>
  <c r="C11701" i="1"/>
  <c r="K11701" i="1"/>
  <c r="N11701" i="1"/>
  <c r="A11702" i="1"/>
  <c r="C11702" i="1"/>
  <c r="N11702" i="1"/>
  <c r="A11703" i="1"/>
  <c r="C11703" i="1"/>
  <c r="N11703" i="1"/>
  <c r="A11704" i="1"/>
  <c r="C11704" i="1"/>
  <c r="N11704" i="1"/>
  <c r="A11705" i="1"/>
  <c r="C11705" i="1"/>
  <c r="N11705" i="1"/>
  <c r="A11706" i="1"/>
  <c r="C11706" i="1"/>
  <c r="N11706" i="1"/>
  <c r="A11707" i="1"/>
  <c r="C11707" i="1"/>
  <c r="N11707" i="1"/>
  <c r="A11708" i="1"/>
  <c r="C11708" i="1"/>
  <c r="N11708" i="1"/>
  <c r="A11709" i="1"/>
  <c r="C11709" i="1"/>
  <c r="N11709" i="1"/>
  <c r="A11710" i="1"/>
  <c r="C11710" i="1"/>
  <c r="N11710" i="1"/>
  <c r="A11711" i="1"/>
  <c r="C11711" i="1"/>
  <c r="N11711" i="1"/>
  <c r="A11712" i="1"/>
  <c r="C11712" i="1"/>
  <c r="N11712" i="1"/>
  <c r="A11713" i="1"/>
  <c r="C11713" i="1"/>
  <c r="N11713" i="1"/>
  <c r="A11714" i="1"/>
  <c r="C11714" i="1"/>
  <c r="N11714" i="1"/>
  <c r="A11715" i="1"/>
  <c r="C11715" i="1"/>
  <c r="N11715" i="1"/>
  <c r="A11716" i="1"/>
  <c r="C11716" i="1"/>
  <c r="N11716" i="1"/>
  <c r="A11717" i="1"/>
  <c r="C11717" i="1"/>
  <c r="N11717" i="1"/>
  <c r="A11718" i="1"/>
  <c r="C11718" i="1"/>
  <c r="N11718" i="1"/>
  <c r="A11719" i="1"/>
  <c r="C11719" i="1"/>
  <c r="N11719" i="1"/>
  <c r="A11720" i="1"/>
  <c r="C11720" i="1"/>
  <c r="N11720" i="1"/>
  <c r="A11721" i="1"/>
  <c r="C11721" i="1"/>
  <c r="N11721" i="1"/>
  <c r="A11722" i="1"/>
  <c r="C11722" i="1"/>
  <c r="N11722" i="1"/>
  <c r="A11723" i="1"/>
  <c r="C11723" i="1"/>
  <c r="N11723" i="1"/>
  <c r="A11724" i="1"/>
  <c r="C11724" i="1"/>
  <c r="N11724" i="1"/>
  <c r="A11725" i="1"/>
  <c r="C11725" i="1"/>
  <c r="K11725" i="1"/>
  <c r="N11725" i="1"/>
  <c r="A11726" i="1"/>
  <c r="C11726" i="1"/>
  <c r="N11726" i="1"/>
  <c r="A11727" i="1"/>
  <c r="C11727" i="1"/>
  <c r="N11727" i="1"/>
  <c r="A11728" i="1"/>
  <c r="C11728" i="1"/>
  <c r="N11728" i="1"/>
  <c r="A11729" i="1"/>
  <c r="C11729" i="1"/>
  <c r="N11729" i="1"/>
  <c r="A11730" i="1"/>
  <c r="C11730" i="1"/>
  <c r="N11730" i="1"/>
  <c r="A11731" i="1"/>
  <c r="C11731" i="1"/>
  <c r="K11731" i="1"/>
  <c r="N11731" i="1"/>
  <c r="A11732" i="1"/>
  <c r="C11732" i="1"/>
  <c r="K11732" i="1"/>
  <c r="N11732" i="1"/>
  <c r="A11733" i="1"/>
  <c r="C11733" i="1"/>
  <c r="N11733" i="1"/>
  <c r="A11734" i="1"/>
  <c r="C11734" i="1"/>
  <c r="N11734" i="1"/>
  <c r="A11735" i="1"/>
  <c r="C11735" i="1"/>
  <c r="K11735" i="1"/>
  <c r="N11735" i="1"/>
  <c r="A11736" i="1"/>
  <c r="C11736" i="1"/>
  <c r="N11736" i="1"/>
  <c r="A11737" i="1"/>
  <c r="C11737" i="1"/>
  <c r="N11737" i="1"/>
  <c r="A11738" i="1"/>
  <c r="C11738" i="1"/>
  <c r="N11738" i="1"/>
  <c r="A11739" i="1"/>
  <c r="C11739" i="1"/>
  <c r="N11739" i="1"/>
  <c r="A11740" i="1"/>
  <c r="C11740" i="1"/>
  <c r="N11740" i="1"/>
  <c r="A11741" i="1"/>
  <c r="C11741" i="1"/>
  <c r="N11741" i="1"/>
  <c r="A11742" i="1"/>
  <c r="C11742" i="1"/>
  <c r="N11742" i="1"/>
  <c r="A11743" i="1"/>
  <c r="C11743" i="1"/>
  <c r="N11743" i="1"/>
  <c r="A11744" i="1"/>
  <c r="C11744" i="1"/>
  <c r="N11744" i="1"/>
  <c r="A11745" i="1"/>
  <c r="C11745" i="1"/>
  <c r="F11745" i="1"/>
  <c r="N11745" i="1"/>
  <c r="A11746" i="1"/>
  <c r="C11746" i="1"/>
  <c r="N11746" i="1"/>
  <c r="A11747" i="1"/>
  <c r="C11747" i="1"/>
  <c r="N11747" i="1"/>
  <c r="A11748" i="1"/>
  <c r="C11748" i="1"/>
  <c r="N11748" i="1"/>
  <c r="A11749" i="1"/>
  <c r="C11749" i="1"/>
  <c r="N11749" i="1"/>
  <c r="A11750" i="1"/>
  <c r="C11750" i="1"/>
  <c r="K11750" i="1"/>
  <c r="N11750" i="1"/>
  <c r="A11751" i="1"/>
  <c r="C11751" i="1"/>
  <c r="N11751" i="1"/>
  <c r="A11752" i="1"/>
  <c r="C11752" i="1"/>
  <c r="N11752" i="1"/>
  <c r="A11753" i="1"/>
  <c r="C11753" i="1"/>
  <c r="N11753" i="1"/>
  <c r="A11754" i="1"/>
  <c r="C11754" i="1"/>
  <c r="N11754" i="1"/>
  <c r="A11755" i="1"/>
  <c r="C11755" i="1"/>
  <c r="N11755" i="1"/>
  <c r="A11756" i="1"/>
  <c r="C11756" i="1"/>
  <c r="N11756" i="1"/>
  <c r="A11757" i="1"/>
  <c r="C11757" i="1"/>
  <c r="N11757" i="1"/>
  <c r="A11758" i="1"/>
  <c r="C11758" i="1"/>
  <c r="N11758" i="1"/>
  <c r="A11759" i="1"/>
  <c r="C11759" i="1"/>
  <c r="N11759" i="1"/>
  <c r="A11760" i="1"/>
  <c r="C11760" i="1"/>
  <c r="N11760" i="1"/>
  <c r="A11761" i="1"/>
  <c r="C11761" i="1"/>
  <c r="N11761" i="1"/>
  <c r="A11762" i="1"/>
  <c r="C11762" i="1"/>
  <c r="N11762" i="1"/>
  <c r="A11763" i="1"/>
  <c r="C11763" i="1"/>
  <c r="N11763" i="1"/>
  <c r="A11764" i="1"/>
  <c r="C11764" i="1"/>
  <c r="N11764" i="1"/>
  <c r="A11765" i="1"/>
  <c r="C11765" i="1"/>
  <c r="N11765" i="1"/>
  <c r="A11766" i="1"/>
  <c r="C11766" i="1"/>
  <c r="N11766" i="1"/>
  <c r="A11767" i="1"/>
  <c r="C11767" i="1"/>
  <c r="N11767" i="1"/>
  <c r="A11768" i="1"/>
  <c r="C11768" i="1"/>
  <c r="N11768" i="1"/>
  <c r="A11769" i="1"/>
  <c r="C11769" i="1"/>
  <c r="K11769" i="1"/>
  <c r="N11769" i="1"/>
  <c r="A11770" i="1"/>
  <c r="C11770" i="1"/>
  <c r="N11770" i="1"/>
  <c r="A11771" i="1"/>
  <c r="C11771" i="1"/>
  <c r="N11771" i="1"/>
  <c r="A11772" i="1"/>
  <c r="C11772" i="1"/>
  <c r="N11772" i="1"/>
  <c r="A11773" i="1"/>
  <c r="C11773" i="1"/>
  <c r="N11773" i="1"/>
  <c r="A11774" i="1"/>
  <c r="C11774" i="1"/>
  <c r="N11774" i="1"/>
  <c r="A11775" i="1"/>
  <c r="C11775" i="1"/>
  <c r="K11775" i="1"/>
  <c r="N11775" i="1"/>
  <c r="A11776" i="1"/>
  <c r="C11776" i="1"/>
  <c r="N11776" i="1"/>
  <c r="A11777" i="1"/>
  <c r="C11777" i="1"/>
  <c r="N11777" i="1"/>
  <c r="A11778" i="1"/>
  <c r="C11778" i="1"/>
  <c r="N11778" i="1"/>
  <c r="A11779" i="1"/>
  <c r="C11779" i="1"/>
  <c r="K11779" i="1"/>
  <c r="N11779" i="1"/>
  <c r="A11780" i="1"/>
  <c r="C11780" i="1"/>
  <c r="K11780" i="1"/>
  <c r="N11780" i="1"/>
  <c r="A11781" i="1"/>
  <c r="C11781" i="1"/>
  <c r="K11781" i="1"/>
  <c r="N11781" i="1"/>
  <c r="A11782" i="1"/>
  <c r="C11782" i="1"/>
  <c r="K11782" i="1"/>
  <c r="N11782" i="1"/>
  <c r="A11783" i="1"/>
  <c r="C11783" i="1"/>
  <c r="K11783" i="1"/>
  <c r="N11783" i="1"/>
  <c r="A11784" i="1"/>
  <c r="C11784" i="1"/>
  <c r="K11784" i="1"/>
  <c r="N11784" i="1"/>
  <c r="A11785" i="1"/>
  <c r="C11785" i="1"/>
  <c r="K11785" i="1"/>
  <c r="N11785" i="1"/>
  <c r="A11786" i="1"/>
  <c r="C11786" i="1"/>
  <c r="K11786" i="1"/>
  <c r="N11786" i="1"/>
  <c r="A11787" i="1"/>
  <c r="C11787" i="1"/>
  <c r="K11787" i="1"/>
  <c r="N11787" i="1"/>
  <c r="A11788" i="1"/>
  <c r="C11788" i="1"/>
  <c r="K11788" i="1"/>
  <c r="N11788" i="1"/>
  <c r="A11789" i="1"/>
  <c r="C11789" i="1"/>
  <c r="K11789" i="1"/>
  <c r="N11789" i="1"/>
  <c r="A11790" i="1"/>
  <c r="C11790" i="1"/>
  <c r="K11790" i="1"/>
  <c r="N11790" i="1"/>
  <c r="A11791" i="1"/>
  <c r="C11791" i="1"/>
  <c r="N11791" i="1"/>
  <c r="A11792" i="1"/>
  <c r="C11792" i="1"/>
  <c r="N11792" i="1"/>
  <c r="A11793" i="1"/>
  <c r="C11793" i="1"/>
  <c r="N11793" i="1"/>
  <c r="A11794" i="1"/>
  <c r="C11794" i="1"/>
  <c r="N11794" i="1"/>
  <c r="A11795" i="1"/>
  <c r="C11795" i="1"/>
  <c r="K11795" i="1"/>
  <c r="N11795" i="1"/>
  <c r="A11796" i="1"/>
  <c r="C11796" i="1"/>
  <c r="N11796" i="1"/>
  <c r="A11797" i="1"/>
  <c r="C11797" i="1"/>
  <c r="N11797" i="1"/>
  <c r="A11798" i="1"/>
  <c r="C11798" i="1"/>
  <c r="N11798" i="1"/>
  <c r="A11799" i="1"/>
  <c r="C11799" i="1"/>
  <c r="K11799" i="1"/>
  <c r="N11799" i="1"/>
  <c r="A11800" i="1"/>
  <c r="C11800" i="1"/>
  <c r="N11800" i="1"/>
  <c r="A11801" i="1"/>
  <c r="C11801" i="1"/>
  <c r="N11801" i="1"/>
  <c r="A11802" i="1"/>
  <c r="C11802" i="1"/>
  <c r="K11802" i="1"/>
  <c r="N11802" i="1"/>
  <c r="A11803" i="1"/>
  <c r="C11803" i="1"/>
  <c r="N11803" i="1"/>
  <c r="A11804" i="1"/>
  <c r="C11804" i="1"/>
  <c r="N11804" i="1"/>
  <c r="A11805" i="1"/>
  <c r="C11805" i="1"/>
  <c r="N11805" i="1"/>
  <c r="A11806" i="1"/>
  <c r="C11806" i="1"/>
  <c r="N11806" i="1"/>
  <c r="A11807" i="1"/>
  <c r="C11807" i="1"/>
  <c r="N11807" i="1"/>
  <c r="A11808" i="1"/>
  <c r="C11808" i="1"/>
  <c r="K11808" i="1"/>
  <c r="N11808" i="1"/>
  <c r="A11809" i="1"/>
  <c r="C11809" i="1"/>
  <c r="K11809" i="1"/>
  <c r="N11809" i="1"/>
  <c r="A11810" i="1"/>
  <c r="C11810" i="1"/>
  <c r="N11810" i="1"/>
  <c r="A11811" i="1"/>
  <c r="C11811" i="1"/>
  <c r="K11811" i="1"/>
  <c r="N11811" i="1"/>
  <c r="A11812" i="1"/>
  <c r="C11812" i="1"/>
  <c r="K11812" i="1"/>
  <c r="N11812" i="1"/>
  <c r="A11813" i="1"/>
  <c r="C11813" i="1"/>
  <c r="K11813" i="1"/>
  <c r="N11813" i="1"/>
  <c r="A11814" i="1"/>
  <c r="C11814" i="1"/>
  <c r="K11814" i="1"/>
  <c r="N11814" i="1"/>
  <c r="A11815" i="1"/>
  <c r="C11815" i="1"/>
  <c r="N11815" i="1"/>
  <c r="A11816" i="1"/>
  <c r="C11816" i="1"/>
  <c r="K11816" i="1"/>
  <c r="N11816" i="1"/>
  <c r="A11817" i="1"/>
  <c r="C11817" i="1"/>
  <c r="N11817" i="1"/>
  <c r="A11818" i="1"/>
  <c r="C11818" i="1"/>
  <c r="N11818" i="1"/>
  <c r="A11819" i="1"/>
  <c r="C11819" i="1"/>
  <c r="N11819" i="1"/>
  <c r="A11820" i="1"/>
  <c r="C11820" i="1"/>
  <c r="N11820" i="1"/>
  <c r="A11821" i="1"/>
  <c r="C11821" i="1"/>
  <c r="N11821" i="1"/>
  <c r="A11822" i="1"/>
  <c r="C11822" i="1"/>
  <c r="K11822" i="1"/>
  <c r="N11822" i="1"/>
  <c r="A11823" i="1"/>
  <c r="C11823" i="1"/>
  <c r="N11823" i="1"/>
  <c r="A11824" i="1"/>
  <c r="C11824" i="1"/>
  <c r="N11824" i="1"/>
  <c r="A11825" i="1"/>
  <c r="C11825" i="1"/>
  <c r="N11825" i="1"/>
  <c r="A11826" i="1"/>
  <c r="C11826" i="1"/>
  <c r="N11826" i="1"/>
  <c r="A11827" i="1"/>
  <c r="C11827" i="1"/>
  <c r="K11827" i="1"/>
  <c r="N11827" i="1"/>
  <c r="A11828" i="1"/>
  <c r="C11828" i="1"/>
  <c r="N11828" i="1"/>
  <c r="A11829" i="1"/>
  <c r="C11829" i="1"/>
  <c r="D11829" i="1"/>
  <c r="E11829" i="1"/>
  <c r="K11829" i="1"/>
  <c r="N11829" i="1"/>
  <c r="O11829" i="1"/>
  <c r="T11829" i="1"/>
  <c r="A11830" i="1"/>
  <c r="C11830" i="1"/>
  <c r="D11830" i="1"/>
  <c r="E11830" i="1"/>
  <c r="K11830" i="1"/>
  <c r="N11830" i="1"/>
  <c r="O11830" i="1"/>
  <c r="T11830" i="1"/>
  <c r="A11831" i="1"/>
  <c r="C11831" i="1"/>
  <c r="D11831" i="1"/>
  <c r="E11831" i="1"/>
  <c r="K11831" i="1"/>
  <c r="N11831" i="1"/>
  <c r="O11831" i="1"/>
  <c r="T11831" i="1"/>
  <c r="A11832" i="1"/>
  <c r="C11832" i="1"/>
  <c r="D11832" i="1"/>
  <c r="E11832" i="1"/>
  <c r="K11832" i="1"/>
  <c r="N11832" i="1"/>
  <c r="O11832" i="1"/>
  <c r="T11832" i="1"/>
  <c r="A11833" i="1"/>
  <c r="C11833" i="1"/>
  <c r="D11833" i="1"/>
  <c r="E11833" i="1"/>
  <c r="K11833" i="1"/>
  <c r="N11833" i="1"/>
  <c r="O11833" i="1"/>
  <c r="T11833" i="1"/>
  <c r="A11834" i="1"/>
  <c r="C11834" i="1"/>
  <c r="D11834" i="1"/>
  <c r="E11834" i="1"/>
  <c r="K11834" i="1"/>
  <c r="N11834" i="1"/>
  <c r="O11834" i="1"/>
  <c r="T11834" i="1"/>
  <c r="A11835" i="1"/>
  <c r="C11835" i="1"/>
  <c r="K11835" i="1"/>
  <c r="N11835" i="1"/>
  <c r="A11836" i="1"/>
  <c r="C11836" i="1"/>
  <c r="N11836" i="1"/>
  <c r="A11837" i="1"/>
  <c r="C11837" i="1"/>
  <c r="N11837" i="1"/>
  <c r="A11838" i="1"/>
  <c r="C11838" i="1"/>
  <c r="N11838" i="1"/>
  <c r="A11839" i="1"/>
  <c r="C11839" i="1"/>
  <c r="N11839" i="1"/>
  <c r="A11840" i="1"/>
  <c r="C11840" i="1"/>
  <c r="N11840" i="1"/>
  <c r="A11841" i="1"/>
  <c r="C11841" i="1"/>
  <c r="N11841" i="1"/>
  <c r="A11842" i="1"/>
  <c r="C11842" i="1"/>
  <c r="N11842" i="1"/>
  <c r="A11843" i="1"/>
  <c r="C11843" i="1"/>
  <c r="N11843" i="1"/>
  <c r="A11844" i="1"/>
  <c r="C11844" i="1"/>
  <c r="N11844" i="1"/>
  <c r="A11845" i="1"/>
  <c r="C11845" i="1"/>
  <c r="N11845" i="1"/>
  <c r="A11846" i="1"/>
  <c r="C11846" i="1"/>
  <c r="N11846" i="1"/>
  <c r="A11847" i="1"/>
  <c r="C11847" i="1"/>
  <c r="N11847" i="1"/>
  <c r="A11848" i="1"/>
  <c r="C11848" i="1"/>
  <c r="N11848" i="1"/>
  <c r="A11849" i="1"/>
  <c r="C11849" i="1"/>
  <c r="N11849" i="1"/>
  <c r="A11850" i="1"/>
  <c r="C11850" i="1"/>
  <c r="N11850" i="1"/>
  <c r="A11851" i="1"/>
  <c r="C11851" i="1"/>
  <c r="K11851" i="1"/>
  <c r="N11851" i="1"/>
  <c r="A11852" i="1"/>
  <c r="C11852" i="1"/>
  <c r="N11852" i="1"/>
  <c r="A11853" i="1"/>
  <c r="C11853" i="1"/>
  <c r="N11853" i="1"/>
  <c r="A11854" i="1"/>
  <c r="C11854" i="1"/>
  <c r="N11854" i="1"/>
  <c r="A11855" i="1"/>
  <c r="C11855" i="1"/>
  <c r="N11855" i="1"/>
  <c r="A11856" i="1"/>
  <c r="C11856" i="1"/>
  <c r="K11856" i="1"/>
  <c r="N11856" i="1"/>
  <c r="A11857" i="1"/>
  <c r="C11857" i="1"/>
  <c r="N11857" i="1"/>
  <c r="A11858" i="1"/>
  <c r="C11858" i="1"/>
  <c r="N11858" i="1"/>
  <c r="A11859" i="1"/>
  <c r="C11859" i="1"/>
  <c r="N11859" i="1"/>
  <c r="A11860" i="1"/>
  <c r="C11860" i="1"/>
  <c r="N11860" i="1"/>
  <c r="A11861" i="1"/>
  <c r="C11861" i="1"/>
  <c r="N11861" i="1"/>
  <c r="A11862" i="1"/>
  <c r="C11862" i="1"/>
  <c r="N11862" i="1"/>
  <c r="A11863" i="1"/>
  <c r="C11863" i="1"/>
  <c r="K11863" i="1"/>
  <c r="N11863" i="1"/>
  <c r="A11864" i="1"/>
  <c r="C11864" i="1"/>
  <c r="K11864" i="1"/>
  <c r="N11864" i="1"/>
  <c r="A11865" i="1"/>
  <c r="C11865" i="1"/>
  <c r="N11865" i="1"/>
  <c r="A11866" i="1"/>
  <c r="C11866" i="1"/>
  <c r="K11866" i="1"/>
  <c r="N11866" i="1"/>
  <c r="A11867" i="1"/>
  <c r="C11867" i="1"/>
  <c r="N11867" i="1"/>
  <c r="A11868" i="1"/>
  <c r="C11868" i="1"/>
  <c r="N11868" i="1"/>
  <c r="A11869" i="1"/>
  <c r="C11869" i="1"/>
  <c r="N11869" i="1"/>
  <c r="A11870" i="1"/>
  <c r="C11870" i="1"/>
  <c r="K11870" i="1"/>
  <c r="N11870" i="1"/>
  <c r="A11871" i="1"/>
  <c r="C11871" i="1"/>
  <c r="N11871" i="1"/>
  <c r="A11872" i="1"/>
  <c r="C11872" i="1"/>
  <c r="N11872" i="1"/>
  <c r="A11873" i="1"/>
  <c r="C11873" i="1"/>
  <c r="K11873" i="1"/>
  <c r="N11873" i="1"/>
  <c r="A11874" i="1"/>
  <c r="C11874" i="1"/>
  <c r="K11874" i="1"/>
  <c r="N11874" i="1"/>
  <c r="A11875" i="1"/>
  <c r="C11875" i="1"/>
  <c r="N11875" i="1"/>
  <c r="A11876" i="1"/>
  <c r="C11876" i="1"/>
  <c r="N11876" i="1"/>
  <c r="A11877" i="1"/>
  <c r="C11877" i="1"/>
  <c r="N11877" i="1"/>
  <c r="A11878" i="1"/>
  <c r="C11878" i="1"/>
  <c r="N11878" i="1"/>
  <c r="A11879" i="1"/>
  <c r="C11879" i="1"/>
  <c r="K11879" i="1"/>
  <c r="N11879" i="1"/>
  <c r="A11880" i="1"/>
  <c r="C11880" i="1"/>
  <c r="N11880" i="1"/>
  <c r="A11881" i="1"/>
  <c r="C11881" i="1"/>
  <c r="K11881" i="1"/>
  <c r="N11881" i="1"/>
  <c r="A11882" i="1"/>
  <c r="C11882" i="1"/>
  <c r="N11882" i="1"/>
  <c r="A11883" i="1"/>
  <c r="C11883" i="1"/>
  <c r="N11883" i="1"/>
  <c r="A11884" i="1"/>
  <c r="C11884" i="1"/>
  <c r="N11884" i="1"/>
  <c r="A11885" i="1"/>
  <c r="C11885" i="1"/>
  <c r="N11885" i="1"/>
  <c r="A11886" i="1"/>
  <c r="C11886" i="1"/>
  <c r="N11886" i="1"/>
  <c r="A11887" i="1"/>
  <c r="C11887" i="1"/>
  <c r="N11887" i="1"/>
  <c r="A11888" i="1"/>
  <c r="C11888" i="1"/>
  <c r="N11888" i="1"/>
  <c r="A11889" i="1"/>
  <c r="C11889" i="1"/>
  <c r="N11889" i="1"/>
  <c r="A11890" i="1"/>
  <c r="C11890" i="1"/>
  <c r="N11890" i="1"/>
  <c r="A11891" i="1"/>
  <c r="C11891" i="1"/>
  <c r="N11891" i="1"/>
  <c r="A11892" i="1"/>
  <c r="C11892" i="1"/>
  <c r="K11892" i="1"/>
  <c r="N11892" i="1"/>
  <c r="A11893" i="1"/>
  <c r="C11893" i="1"/>
  <c r="N11893" i="1"/>
  <c r="A11894" i="1"/>
  <c r="C11894" i="1"/>
  <c r="N11894" i="1"/>
  <c r="A11895" i="1"/>
  <c r="C11895" i="1"/>
  <c r="N11895" i="1"/>
  <c r="A11896" i="1"/>
  <c r="C11896" i="1"/>
  <c r="K11896" i="1"/>
  <c r="N11896" i="1"/>
  <c r="A11897" i="1"/>
  <c r="C11897" i="1"/>
  <c r="N11897" i="1"/>
  <c r="A11898" i="1"/>
  <c r="C11898" i="1"/>
  <c r="N11898" i="1"/>
  <c r="A11899" i="1"/>
  <c r="C11899" i="1"/>
  <c r="K11899" i="1"/>
  <c r="N11899" i="1"/>
  <c r="A11900" i="1"/>
  <c r="C11900" i="1"/>
  <c r="N11900" i="1"/>
  <c r="A11901" i="1"/>
  <c r="C11901" i="1"/>
  <c r="N11901" i="1"/>
  <c r="A11902" i="1"/>
  <c r="C11902" i="1"/>
  <c r="K11902" i="1"/>
  <c r="N11902" i="1"/>
  <c r="A11903" i="1"/>
  <c r="C11903" i="1"/>
  <c r="K11903" i="1"/>
  <c r="N11903" i="1"/>
  <c r="A11904" i="1"/>
  <c r="C11904" i="1"/>
  <c r="N11904" i="1"/>
  <c r="A11905" i="1"/>
  <c r="C11905" i="1"/>
  <c r="N11905" i="1"/>
  <c r="A11906" i="1"/>
  <c r="C11906" i="1"/>
  <c r="N11906" i="1"/>
  <c r="A11907" i="1"/>
  <c r="C11907" i="1"/>
  <c r="N11907" i="1"/>
  <c r="A11908" i="1"/>
  <c r="C11908" i="1"/>
  <c r="N11908" i="1"/>
  <c r="A11909" i="1"/>
  <c r="C11909" i="1"/>
  <c r="N11909" i="1"/>
  <c r="A11910" i="1"/>
  <c r="C11910" i="1"/>
  <c r="N11910" i="1"/>
  <c r="A11911" i="1"/>
  <c r="C11911" i="1"/>
  <c r="N11911" i="1"/>
  <c r="A11912" i="1"/>
  <c r="C11912" i="1"/>
  <c r="N11912" i="1"/>
  <c r="A11913" i="1"/>
  <c r="C11913" i="1"/>
  <c r="N11913" i="1"/>
  <c r="A11914" i="1"/>
  <c r="C11914" i="1"/>
  <c r="N11914" i="1"/>
  <c r="A11915" i="1"/>
  <c r="C11915" i="1"/>
  <c r="N11915" i="1"/>
  <c r="A11916" i="1"/>
  <c r="C11916" i="1"/>
  <c r="N11916" i="1"/>
  <c r="A11917" i="1"/>
  <c r="C11917" i="1"/>
  <c r="N11917" i="1"/>
  <c r="A11918" i="1"/>
  <c r="C11918" i="1"/>
  <c r="N11918" i="1"/>
  <c r="A11919" i="1"/>
  <c r="C11919" i="1"/>
  <c r="N11919" i="1"/>
  <c r="A11920" i="1"/>
  <c r="C11920" i="1"/>
  <c r="N11920" i="1"/>
  <c r="A11921" i="1"/>
  <c r="C11921" i="1"/>
  <c r="N11921" i="1"/>
  <c r="A11922" i="1"/>
  <c r="C11922" i="1"/>
  <c r="N11922" i="1"/>
  <c r="A11923" i="1"/>
  <c r="C11923" i="1"/>
  <c r="N11923" i="1"/>
  <c r="A11924" i="1"/>
  <c r="C11924" i="1"/>
  <c r="K11924" i="1"/>
  <c r="N11924" i="1"/>
  <c r="A11925" i="1"/>
  <c r="C11925" i="1"/>
  <c r="N11925" i="1"/>
  <c r="A11926" i="1"/>
  <c r="C11926" i="1"/>
  <c r="N11926" i="1"/>
  <c r="A11927" i="1"/>
  <c r="C11927" i="1"/>
  <c r="N11927" i="1"/>
  <c r="A11928" i="1"/>
  <c r="C11928" i="1"/>
  <c r="N11928" i="1"/>
  <c r="A11929" i="1"/>
  <c r="C11929" i="1"/>
  <c r="K11929" i="1"/>
  <c r="N11929" i="1"/>
  <c r="A11930" i="1"/>
  <c r="C11930" i="1"/>
  <c r="K11930" i="1"/>
  <c r="N11930" i="1"/>
  <c r="A11931" i="1"/>
  <c r="C11931" i="1"/>
  <c r="N11931" i="1"/>
  <c r="A11932" i="1"/>
  <c r="C11932" i="1"/>
  <c r="N11932" i="1"/>
  <c r="A11933" i="1"/>
  <c r="C11933" i="1"/>
  <c r="N11933" i="1"/>
  <c r="A11934" i="1"/>
  <c r="C11934" i="1"/>
  <c r="N11934" i="1"/>
  <c r="A11935" i="1"/>
  <c r="C11935" i="1"/>
  <c r="N11935" i="1"/>
  <c r="A11936" i="1"/>
  <c r="C11936" i="1"/>
  <c r="N11936" i="1"/>
  <c r="A11937" i="1"/>
  <c r="C11937" i="1"/>
  <c r="N11937" i="1"/>
  <c r="A11938" i="1"/>
  <c r="C11938" i="1"/>
  <c r="N11938" i="1"/>
  <c r="A11939" i="1"/>
  <c r="C11939" i="1"/>
  <c r="N11939" i="1"/>
  <c r="A11940" i="1"/>
  <c r="C11940" i="1"/>
  <c r="N11940" i="1"/>
  <c r="A11941" i="1"/>
  <c r="C11941" i="1"/>
  <c r="K11941" i="1"/>
  <c r="N11941" i="1"/>
  <c r="A11942" i="1"/>
  <c r="C11942" i="1"/>
  <c r="K11942" i="1"/>
  <c r="N11942" i="1"/>
  <c r="A11943" i="1"/>
  <c r="C11943" i="1"/>
  <c r="K11943" i="1"/>
  <c r="N11943" i="1"/>
  <c r="A11944" i="1"/>
  <c r="C11944" i="1"/>
  <c r="K11944" i="1"/>
  <c r="N11944" i="1"/>
  <c r="A11945" i="1"/>
  <c r="C11945" i="1"/>
  <c r="K11945" i="1"/>
  <c r="N11945" i="1"/>
  <c r="A11946" i="1"/>
  <c r="C11946" i="1"/>
  <c r="K11946" i="1"/>
  <c r="N11946" i="1"/>
  <c r="A11947" i="1"/>
  <c r="C11947" i="1"/>
  <c r="K11947" i="1"/>
  <c r="N11947" i="1"/>
  <c r="A11948" i="1"/>
  <c r="C11948" i="1"/>
  <c r="K11948" i="1"/>
  <c r="N11948" i="1"/>
  <c r="A11949" i="1"/>
  <c r="C11949" i="1"/>
  <c r="K11949" i="1"/>
  <c r="N11949" i="1"/>
  <c r="A11950" i="1"/>
  <c r="C11950" i="1"/>
  <c r="K11950" i="1"/>
  <c r="N11950" i="1"/>
  <c r="A11951" i="1"/>
  <c r="C11951" i="1"/>
  <c r="K11951" i="1"/>
  <c r="N11951" i="1"/>
  <c r="A11952" i="1"/>
  <c r="C11952" i="1"/>
  <c r="N11952" i="1"/>
  <c r="A11953" i="1"/>
  <c r="C11953" i="1"/>
  <c r="N11953" i="1"/>
  <c r="A11954" i="1"/>
  <c r="C11954" i="1"/>
  <c r="N11954" i="1"/>
  <c r="A11955" i="1"/>
  <c r="C11955" i="1"/>
  <c r="N11955" i="1"/>
  <c r="A11956" i="1"/>
  <c r="C11956" i="1"/>
  <c r="N11956" i="1"/>
  <c r="A11957" i="1"/>
  <c r="C11957" i="1"/>
  <c r="N11957" i="1"/>
  <c r="A11958" i="1"/>
  <c r="C11958" i="1"/>
  <c r="N11958" i="1"/>
  <c r="A11959" i="1"/>
  <c r="C11959" i="1"/>
  <c r="E11959" i="1"/>
  <c r="N11959" i="1"/>
  <c r="T11959" i="1"/>
  <c r="A11960" i="1"/>
  <c r="C11960" i="1"/>
  <c r="N11960" i="1"/>
  <c r="A11961" i="1"/>
  <c r="C11961" i="1"/>
  <c r="N11961" i="1"/>
  <c r="A11962" i="1"/>
  <c r="C11962" i="1"/>
  <c r="N11962" i="1"/>
  <c r="A11963" i="1"/>
  <c r="C11963" i="1"/>
  <c r="N11963" i="1"/>
  <c r="A11964" i="1"/>
  <c r="C11964" i="1"/>
  <c r="F11964" i="1"/>
  <c r="N11964" i="1"/>
  <c r="A11965" i="1"/>
  <c r="C11965" i="1"/>
  <c r="N11965" i="1"/>
  <c r="A11966" i="1"/>
  <c r="C11966" i="1"/>
  <c r="N11966" i="1"/>
  <c r="A11967" i="1"/>
  <c r="C11967" i="1"/>
  <c r="N11967" i="1"/>
  <c r="A11968" i="1"/>
  <c r="C11968" i="1"/>
  <c r="F11968" i="1"/>
  <c r="N11968" i="1"/>
  <c r="A11969" i="1"/>
  <c r="C11969" i="1"/>
  <c r="K11969" i="1"/>
  <c r="N11969" i="1"/>
  <c r="A11970" i="1"/>
  <c r="C11970" i="1"/>
  <c r="N11970" i="1"/>
  <c r="A11971" i="1"/>
  <c r="C11971" i="1"/>
  <c r="N11971" i="1"/>
  <c r="A11972" i="1"/>
  <c r="C11972" i="1"/>
  <c r="N11972" i="1"/>
  <c r="A11973" i="1"/>
  <c r="C11973" i="1"/>
  <c r="N11973" i="1"/>
  <c r="A11974" i="1"/>
  <c r="C11974" i="1"/>
  <c r="K11974" i="1"/>
  <c r="N11974" i="1"/>
  <c r="A11975" i="1"/>
  <c r="C11975" i="1"/>
  <c r="N11975" i="1"/>
  <c r="A11976" i="1"/>
  <c r="C11976" i="1"/>
  <c r="N11976" i="1"/>
  <c r="A11977" i="1"/>
  <c r="C11977" i="1"/>
  <c r="N11977" i="1"/>
  <c r="A11978" i="1"/>
  <c r="C11978" i="1"/>
  <c r="N11978" i="1"/>
  <c r="A11979" i="1"/>
  <c r="C11979" i="1"/>
  <c r="N11979" i="1"/>
  <c r="A11980" i="1"/>
  <c r="C11980" i="1"/>
  <c r="N11980" i="1"/>
  <c r="A11981" i="1"/>
  <c r="C11981" i="1"/>
  <c r="N11981" i="1"/>
  <c r="A11982" i="1"/>
  <c r="C11982" i="1"/>
  <c r="N11982" i="1"/>
  <c r="A11983" i="1"/>
  <c r="C11983" i="1"/>
  <c r="N11983" i="1"/>
  <c r="A11984" i="1"/>
  <c r="C11984" i="1"/>
  <c r="N11984" i="1"/>
  <c r="A11985" i="1"/>
  <c r="C11985" i="1"/>
  <c r="K11985" i="1"/>
  <c r="N11985" i="1"/>
  <c r="A11986" i="1"/>
  <c r="C11986" i="1"/>
  <c r="K11986" i="1"/>
  <c r="N11986" i="1"/>
  <c r="A11987" i="1"/>
  <c r="C11987" i="1"/>
  <c r="N11987" i="1"/>
  <c r="A11988" i="1"/>
  <c r="C11988" i="1"/>
  <c r="N11988" i="1"/>
  <c r="A11989" i="1"/>
  <c r="C11989" i="1"/>
  <c r="N11989" i="1"/>
  <c r="A11990" i="1"/>
  <c r="C11990" i="1"/>
  <c r="K11990" i="1"/>
  <c r="N11990" i="1"/>
  <c r="A11991" i="1"/>
  <c r="C11991" i="1"/>
  <c r="N11991" i="1"/>
  <c r="A11992" i="1"/>
  <c r="C11992" i="1"/>
  <c r="N11992" i="1"/>
  <c r="A11993" i="1"/>
  <c r="C11993" i="1"/>
  <c r="K11993" i="1"/>
  <c r="N11993" i="1"/>
  <c r="A11994" i="1"/>
  <c r="C11994" i="1"/>
  <c r="N11994" i="1"/>
  <c r="A11995" i="1"/>
  <c r="C11995" i="1"/>
  <c r="N11995" i="1"/>
  <c r="A11996" i="1"/>
  <c r="C11996" i="1"/>
  <c r="N11996" i="1"/>
  <c r="A11997" i="1"/>
  <c r="C11997" i="1"/>
  <c r="N11997" i="1"/>
  <c r="A11998" i="1"/>
  <c r="C11998" i="1"/>
  <c r="K11998" i="1"/>
  <c r="N11998" i="1"/>
  <c r="A11999" i="1"/>
  <c r="C11999" i="1"/>
  <c r="N11999" i="1"/>
  <c r="A12000" i="1"/>
  <c r="C12000" i="1"/>
  <c r="N12000" i="1"/>
  <c r="A12001" i="1"/>
  <c r="C12001" i="1"/>
  <c r="K12001" i="1"/>
  <c r="N12001" i="1"/>
  <c r="A12002" i="1"/>
  <c r="C12002" i="1"/>
  <c r="N12002" i="1"/>
  <c r="A12003" i="1"/>
  <c r="C12003" i="1"/>
  <c r="K12003" i="1"/>
  <c r="N12003" i="1"/>
  <c r="A12004" i="1"/>
  <c r="C12004" i="1"/>
  <c r="K12004" i="1"/>
  <c r="N12004" i="1"/>
  <c r="A12005" i="1"/>
  <c r="C12005" i="1"/>
  <c r="N12005" i="1"/>
  <c r="A12006" i="1"/>
  <c r="C12006" i="1"/>
  <c r="N12006" i="1"/>
  <c r="A12007" i="1"/>
  <c r="C12007" i="1"/>
  <c r="N12007" i="1"/>
  <c r="A12008" i="1"/>
  <c r="C12008" i="1"/>
  <c r="N12008" i="1"/>
  <c r="A12009" i="1"/>
  <c r="C12009" i="1"/>
  <c r="N12009" i="1"/>
  <c r="A12010" i="1"/>
  <c r="C12010" i="1"/>
  <c r="N12010" i="1"/>
  <c r="A12011" i="1"/>
  <c r="C12011" i="1"/>
  <c r="K12011" i="1"/>
  <c r="N12011" i="1"/>
  <c r="A12012" i="1"/>
  <c r="C12012" i="1"/>
  <c r="N12012" i="1"/>
  <c r="A12013" i="1"/>
  <c r="C12013" i="1"/>
  <c r="N12013" i="1"/>
  <c r="A12014" i="1"/>
  <c r="C12014" i="1"/>
  <c r="N12014" i="1"/>
  <c r="A12015" i="1"/>
  <c r="C12015" i="1"/>
  <c r="N12015" i="1"/>
  <c r="A12016" i="1"/>
  <c r="C12016" i="1"/>
  <c r="N12016" i="1"/>
  <c r="A12017" i="1"/>
  <c r="C12017" i="1"/>
  <c r="N12017" i="1"/>
  <c r="A12018" i="1"/>
  <c r="C12018" i="1"/>
  <c r="N12018" i="1"/>
  <c r="A12019" i="1"/>
  <c r="C12019" i="1"/>
  <c r="K12019" i="1"/>
  <c r="N12019" i="1"/>
  <c r="A12020" i="1"/>
  <c r="C12020" i="1"/>
  <c r="N12020" i="1"/>
  <c r="A12021" i="1"/>
  <c r="C12021" i="1"/>
  <c r="N12021" i="1"/>
  <c r="A12022" i="1"/>
  <c r="C12022" i="1"/>
  <c r="N12022" i="1"/>
  <c r="A12023" i="1"/>
  <c r="C12023" i="1"/>
  <c r="N12023" i="1"/>
  <c r="A12024" i="1"/>
  <c r="C12024" i="1"/>
  <c r="N12024" i="1"/>
  <c r="A12025" i="1"/>
  <c r="C12025" i="1"/>
  <c r="N12025" i="1"/>
  <c r="A12026" i="1"/>
  <c r="C12026" i="1"/>
  <c r="K12026" i="1"/>
  <c r="N12026" i="1"/>
  <c r="A12027" i="1"/>
  <c r="C12027" i="1"/>
  <c r="K12027" i="1"/>
  <c r="N12027" i="1"/>
  <c r="A12028" i="1"/>
  <c r="C12028" i="1"/>
  <c r="N12028" i="1"/>
  <c r="A12029" i="1"/>
  <c r="C12029" i="1"/>
  <c r="N12029" i="1"/>
  <c r="A12030" i="1"/>
  <c r="C12030" i="1"/>
  <c r="N12030" i="1"/>
  <c r="A12031" i="1"/>
  <c r="C12031" i="1"/>
  <c r="N12031" i="1"/>
  <c r="A12032" i="1"/>
  <c r="C12032" i="1"/>
  <c r="N12032" i="1"/>
  <c r="A12033" i="1"/>
  <c r="C12033" i="1"/>
  <c r="N12033" i="1"/>
  <c r="A12034" i="1"/>
  <c r="C12034" i="1"/>
  <c r="N12034" i="1"/>
  <c r="A12035" i="1"/>
  <c r="C12035" i="1"/>
  <c r="N12035" i="1"/>
  <c r="A12036" i="1"/>
  <c r="C12036" i="1"/>
  <c r="N12036" i="1"/>
  <c r="A12037" i="1"/>
  <c r="C12037" i="1"/>
  <c r="K12037" i="1"/>
  <c r="N12037" i="1"/>
  <c r="A12038" i="1"/>
  <c r="C12038" i="1"/>
  <c r="N12038" i="1"/>
  <c r="A12039" i="1"/>
  <c r="C12039" i="1"/>
  <c r="N12039" i="1"/>
  <c r="A12040" i="1"/>
  <c r="C12040" i="1"/>
  <c r="N12040" i="1"/>
  <c r="A12041" i="1"/>
  <c r="C12041" i="1"/>
  <c r="N12041" i="1"/>
  <c r="A12042" i="1"/>
  <c r="C12042" i="1"/>
  <c r="N12042" i="1"/>
  <c r="A12043" i="1"/>
  <c r="C12043" i="1"/>
  <c r="F12043" i="1"/>
  <c r="N12043" i="1"/>
  <c r="A12044" i="1"/>
  <c r="C12044" i="1"/>
  <c r="N12044" i="1"/>
  <c r="A12045" i="1"/>
  <c r="C12045" i="1"/>
  <c r="N12045" i="1"/>
  <c r="A12046" i="1"/>
  <c r="C12046" i="1"/>
  <c r="N12046" i="1"/>
  <c r="A12047" i="1"/>
  <c r="C12047" i="1"/>
  <c r="N12047" i="1"/>
  <c r="A12048" i="1"/>
  <c r="C12048" i="1"/>
  <c r="N12048" i="1"/>
  <c r="A12049" i="1"/>
  <c r="C12049" i="1"/>
  <c r="N12049" i="1"/>
  <c r="A12050" i="1"/>
  <c r="C12050" i="1"/>
  <c r="K12050" i="1"/>
  <c r="N12050" i="1"/>
  <c r="A12051" i="1"/>
  <c r="C12051" i="1"/>
  <c r="N12051" i="1"/>
  <c r="A12052" i="1"/>
  <c r="C12052" i="1"/>
  <c r="N12052" i="1"/>
  <c r="A12053" i="1"/>
  <c r="C12053" i="1"/>
  <c r="N12053" i="1"/>
  <c r="A12054" i="1"/>
  <c r="C12054" i="1"/>
  <c r="N12054" i="1"/>
  <c r="A12055" i="1"/>
  <c r="C12055" i="1"/>
  <c r="N12055" i="1"/>
  <c r="A12056" i="1"/>
  <c r="C12056" i="1"/>
  <c r="N12056" i="1"/>
  <c r="A12057" i="1"/>
  <c r="C12057" i="1"/>
  <c r="N12057" i="1"/>
  <c r="A12058" i="1"/>
  <c r="C12058" i="1"/>
  <c r="N12058" i="1"/>
  <c r="A12059" i="1"/>
  <c r="C12059" i="1"/>
  <c r="D12059" i="1"/>
  <c r="E12059" i="1"/>
  <c r="N12059" i="1"/>
  <c r="O12059" i="1"/>
  <c r="T12059" i="1"/>
  <c r="A12060" i="1"/>
  <c r="C12060" i="1"/>
  <c r="N12060" i="1"/>
  <c r="A12061" i="1"/>
  <c r="C12061" i="1"/>
  <c r="N12061" i="1"/>
  <c r="A12062" i="1"/>
  <c r="C12062" i="1"/>
  <c r="N12062" i="1"/>
  <c r="A12063" i="1"/>
  <c r="C12063" i="1"/>
  <c r="N12063" i="1"/>
  <c r="A12064" i="1"/>
  <c r="C12064" i="1"/>
  <c r="N12064" i="1"/>
  <c r="A12065" i="1"/>
  <c r="C12065" i="1"/>
  <c r="N12065" i="1"/>
  <c r="A12066" i="1"/>
  <c r="C12066" i="1"/>
  <c r="N12066" i="1"/>
  <c r="A12067" i="1"/>
  <c r="C12067" i="1"/>
  <c r="N12067" i="1"/>
  <c r="A12068" i="1"/>
  <c r="C12068" i="1"/>
  <c r="N12068" i="1"/>
  <c r="A12069" i="1"/>
  <c r="C12069" i="1"/>
  <c r="N12069" i="1"/>
  <c r="A12070" i="1"/>
  <c r="C12070" i="1"/>
  <c r="N12070" i="1"/>
  <c r="A12071" i="1"/>
  <c r="C12071" i="1"/>
  <c r="N12071" i="1"/>
  <c r="A12072" i="1"/>
  <c r="C12072" i="1"/>
  <c r="N12072" i="1"/>
  <c r="A12073" i="1"/>
  <c r="C12073" i="1"/>
  <c r="K12073" i="1"/>
  <c r="N12073" i="1"/>
  <c r="A12074" i="1"/>
  <c r="C12074" i="1"/>
  <c r="K12074" i="1"/>
  <c r="N12074" i="1"/>
  <c r="A12075" i="1"/>
  <c r="C12075" i="1"/>
  <c r="N12075" i="1"/>
  <c r="A12076" i="1"/>
  <c r="C12076" i="1"/>
  <c r="N12076" i="1"/>
  <c r="A12077" i="1"/>
  <c r="C12077" i="1"/>
  <c r="N12077" i="1"/>
  <c r="A12078" i="1"/>
  <c r="C12078" i="1"/>
  <c r="N12078" i="1"/>
  <c r="A12079" i="1"/>
  <c r="C12079" i="1"/>
  <c r="N12079" i="1"/>
  <c r="A12080" i="1"/>
  <c r="C12080" i="1"/>
  <c r="N12080" i="1"/>
  <c r="A12081" i="1"/>
  <c r="C12081" i="1"/>
  <c r="K12081" i="1"/>
  <c r="N12081" i="1"/>
  <c r="A12082" i="1"/>
  <c r="C12082" i="1"/>
  <c r="N12082" i="1"/>
  <c r="A12083" i="1"/>
  <c r="C12083" i="1"/>
  <c r="N12083" i="1"/>
  <c r="A12084" i="1"/>
  <c r="C12084" i="1"/>
  <c r="N12084" i="1"/>
  <c r="A12085" i="1"/>
  <c r="C12085" i="1"/>
  <c r="N12085" i="1"/>
  <c r="A12086" i="1"/>
  <c r="C12086" i="1"/>
  <c r="N12086" i="1"/>
  <c r="A12087" i="1"/>
  <c r="C12087" i="1"/>
  <c r="N12087" i="1"/>
  <c r="A12088" i="1"/>
  <c r="C12088" i="1"/>
  <c r="N12088" i="1"/>
  <c r="A12089" i="1"/>
  <c r="C12089" i="1"/>
  <c r="N12089" i="1"/>
  <c r="A12090" i="1"/>
  <c r="C12090" i="1"/>
  <c r="N12090" i="1"/>
  <c r="A12091" i="1"/>
  <c r="C12091" i="1"/>
  <c r="N12091" i="1"/>
  <c r="A12092" i="1"/>
  <c r="C12092" i="1"/>
  <c r="N12092" i="1"/>
  <c r="A12093" i="1"/>
  <c r="C12093" i="1"/>
  <c r="N12093" i="1"/>
  <c r="A12094" i="1"/>
  <c r="C12094" i="1"/>
  <c r="N12094" i="1"/>
  <c r="A12095" i="1"/>
  <c r="C12095" i="1"/>
  <c r="K12095" i="1"/>
  <c r="N12095" i="1"/>
  <c r="A12096" i="1"/>
  <c r="C12096" i="1"/>
  <c r="N12096" i="1"/>
  <c r="A12097" i="1"/>
  <c r="C12097" i="1"/>
  <c r="N12097" i="1"/>
  <c r="A12098" i="1"/>
  <c r="C12098" i="1"/>
  <c r="N12098" i="1"/>
  <c r="A12099" i="1"/>
  <c r="C12099" i="1"/>
  <c r="N12099" i="1"/>
  <c r="A12100" i="1"/>
  <c r="C12100" i="1"/>
  <c r="N12100" i="1"/>
  <c r="A12101" i="1"/>
  <c r="C12101" i="1"/>
  <c r="N12101" i="1"/>
  <c r="A12102" i="1"/>
  <c r="C12102" i="1"/>
  <c r="N12102" i="1"/>
  <c r="A12103" i="1"/>
  <c r="C12103" i="1"/>
  <c r="N12103" i="1"/>
  <c r="A12104" i="1"/>
  <c r="C12104" i="1"/>
  <c r="N12104" i="1"/>
  <c r="A12105" i="1"/>
  <c r="C12105" i="1"/>
  <c r="N12105" i="1"/>
  <c r="A12106" i="1"/>
  <c r="C12106" i="1"/>
  <c r="K12106" i="1"/>
  <c r="N12106" i="1"/>
  <c r="A12107" i="1"/>
  <c r="C12107" i="1"/>
  <c r="K12107" i="1"/>
  <c r="N12107" i="1"/>
  <c r="A12108" i="1"/>
  <c r="C12108" i="1"/>
  <c r="N12108" i="1"/>
  <c r="A12109" i="1"/>
  <c r="C12109" i="1"/>
  <c r="N12109" i="1"/>
  <c r="A12110" i="1"/>
  <c r="C12110" i="1"/>
  <c r="N12110" i="1"/>
  <c r="A12111" i="1"/>
  <c r="C12111" i="1"/>
  <c r="N12111" i="1"/>
  <c r="A12112" i="1"/>
  <c r="C12112" i="1"/>
  <c r="N12112" i="1"/>
  <c r="A12113" i="1"/>
  <c r="C12113" i="1"/>
  <c r="D12113" i="1"/>
  <c r="N12113" i="1"/>
  <c r="O12113" i="1"/>
  <c r="A12114" i="1"/>
  <c r="C12114" i="1"/>
  <c r="D12114" i="1"/>
  <c r="N12114" i="1"/>
  <c r="O12114" i="1"/>
  <c r="A12115" i="1"/>
  <c r="C12115" i="1"/>
  <c r="N12115" i="1"/>
  <c r="A12116" i="1"/>
  <c r="C12116" i="1"/>
  <c r="N12116" i="1"/>
  <c r="A12117" i="1"/>
  <c r="C12117" i="1"/>
  <c r="N12117" i="1"/>
  <c r="A12118" i="1"/>
  <c r="C12118" i="1"/>
  <c r="K12118" i="1"/>
  <c r="N12118" i="1"/>
  <c r="A12119" i="1"/>
  <c r="C12119" i="1"/>
  <c r="N12119" i="1"/>
  <c r="A12120" i="1"/>
  <c r="C12120" i="1"/>
  <c r="N12120" i="1"/>
  <c r="A12121" i="1"/>
  <c r="C12121" i="1"/>
  <c r="N12121" i="1"/>
  <c r="A12122" i="1"/>
  <c r="C12122" i="1"/>
  <c r="N12122" i="1"/>
  <c r="A12123" i="1"/>
  <c r="C12123" i="1"/>
  <c r="E12123" i="1"/>
  <c r="K12123" i="1"/>
  <c r="N12123" i="1"/>
  <c r="T12123" i="1"/>
  <c r="A12124" i="1"/>
  <c r="C12124" i="1"/>
  <c r="E12124" i="1"/>
  <c r="N12124" i="1"/>
  <c r="T12124" i="1"/>
  <c r="A12125" i="1"/>
  <c r="C12125" i="1"/>
  <c r="E12125" i="1"/>
  <c r="N12125" i="1"/>
  <c r="T12125" i="1"/>
  <c r="A12126" i="1"/>
  <c r="C12126" i="1"/>
  <c r="E12126" i="1"/>
  <c r="N12126" i="1"/>
  <c r="T12126" i="1"/>
  <c r="A12127" i="1"/>
  <c r="C12127" i="1"/>
  <c r="E12127" i="1"/>
  <c r="N12127" i="1"/>
  <c r="T12127" i="1"/>
  <c r="A12128" i="1"/>
  <c r="C12128" i="1"/>
  <c r="N12128" i="1"/>
  <c r="A12129" i="1"/>
  <c r="C12129" i="1"/>
  <c r="N12129" i="1"/>
  <c r="A12130" i="1"/>
  <c r="C12130" i="1"/>
  <c r="N12130" i="1"/>
  <c r="A12131" i="1"/>
  <c r="C12131" i="1"/>
  <c r="N12131" i="1"/>
  <c r="A12132" i="1"/>
  <c r="C12132" i="1"/>
  <c r="N12132" i="1"/>
  <c r="A12133" i="1"/>
  <c r="C12133" i="1"/>
  <c r="K12133" i="1"/>
  <c r="N12133" i="1"/>
  <c r="A12134" i="1"/>
  <c r="C12134" i="1"/>
  <c r="K12134" i="1"/>
  <c r="N12134" i="1"/>
  <c r="A12135" i="1"/>
  <c r="C12135" i="1"/>
  <c r="N12135" i="1"/>
  <c r="A12136" i="1"/>
  <c r="C12136" i="1"/>
  <c r="N12136" i="1"/>
  <c r="A12137" i="1"/>
  <c r="C12137" i="1"/>
  <c r="N12137" i="1"/>
  <c r="A12138" i="1"/>
  <c r="C12138" i="1"/>
  <c r="N12138" i="1"/>
  <c r="A12139" i="1"/>
  <c r="C12139" i="1"/>
  <c r="N12139" i="1"/>
  <c r="A12140" i="1"/>
  <c r="C12140" i="1"/>
  <c r="N12140" i="1"/>
  <c r="A12141" i="1"/>
  <c r="C12141" i="1"/>
  <c r="N12141" i="1"/>
  <c r="A12142" i="1"/>
  <c r="C12142" i="1"/>
  <c r="N12142" i="1"/>
  <c r="A12143" i="1"/>
  <c r="C12143" i="1"/>
  <c r="N12143" i="1"/>
  <c r="A12144" i="1"/>
  <c r="C12144" i="1"/>
  <c r="N12144" i="1"/>
  <c r="A12145" i="1"/>
  <c r="C12145" i="1"/>
  <c r="N12145" i="1"/>
  <c r="A12146" i="1"/>
  <c r="C12146" i="1"/>
  <c r="N12146" i="1"/>
  <c r="A12147" i="1"/>
  <c r="C12147" i="1"/>
  <c r="N12147" i="1"/>
  <c r="A12148" i="1"/>
  <c r="C12148" i="1"/>
  <c r="N12148" i="1"/>
  <c r="A12149" i="1"/>
  <c r="C12149" i="1"/>
  <c r="N12149" i="1"/>
  <c r="A12150" i="1"/>
  <c r="C12150" i="1"/>
  <c r="N12150" i="1"/>
  <c r="A12151" i="1"/>
  <c r="C12151" i="1"/>
  <c r="N12151" i="1"/>
  <c r="A12152" i="1"/>
  <c r="C12152" i="1"/>
  <c r="N12152" i="1"/>
  <c r="A12153" i="1"/>
  <c r="C12153" i="1"/>
  <c r="N12153" i="1"/>
  <c r="A12154" i="1"/>
  <c r="C12154" i="1"/>
  <c r="N12154" i="1"/>
  <c r="A12155" i="1"/>
  <c r="C12155" i="1"/>
  <c r="K12155" i="1"/>
  <c r="N12155" i="1"/>
  <c r="A12156" i="1"/>
  <c r="C12156" i="1"/>
  <c r="D12156" i="1"/>
  <c r="K12156" i="1"/>
  <c r="N12156" i="1"/>
  <c r="O12156" i="1"/>
  <c r="A12157" i="1"/>
  <c r="C12157" i="1"/>
  <c r="N12157" i="1"/>
  <c r="A12158" i="1"/>
  <c r="C12158" i="1"/>
  <c r="N12158" i="1"/>
  <c r="A12159" i="1"/>
  <c r="C12159" i="1"/>
  <c r="D12159" i="1"/>
  <c r="K12159" i="1"/>
  <c r="N12159" i="1"/>
  <c r="O12159" i="1"/>
  <c r="A12160" i="1"/>
  <c r="C12160" i="1"/>
  <c r="N12160" i="1"/>
  <c r="A12161" i="1"/>
  <c r="C12161" i="1"/>
  <c r="N12161" i="1"/>
  <c r="A12162" i="1"/>
  <c r="C12162" i="1"/>
  <c r="K12162" i="1"/>
  <c r="N12162" i="1"/>
  <c r="A12163" i="1"/>
  <c r="C12163" i="1"/>
  <c r="N12163" i="1"/>
  <c r="A12164" i="1"/>
  <c r="C12164" i="1"/>
  <c r="N12164" i="1"/>
  <c r="A12165" i="1"/>
  <c r="C12165" i="1"/>
  <c r="N12165" i="1"/>
  <c r="A12166" i="1"/>
  <c r="C12166" i="1"/>
  <c r="N12166" i="1"/>
  <c r="A12167" i="1"/>
  <c r="C12167" i="1"/>
  <c r="N12167" i="1"/>
  <c r="A12168" i="1"/>
  <c r="C12168" i="1"/>
  <c r="N12168" i="1"/>
  <c r="A12169" i="1"/>
  <c r="C12169" i="1"/>
  <c r="N12169" i="1"/>
  <c r="A12170" i="1"/>
  <c r="C12170" i="1"/>
  <c r="N12170" i="1"/>
  <c r="A12171" i="1"/>
  <c r="C12171" i="1"/>
  <c r="E12171" i="1"/>
  <c r="N12171" i="1"/>
  <c r="T12171" i="1"/>
  <c r="A12172" i="1"/>
  <c r="C12172" i="1"/>
  <c r="E12172" i="1"/>
  <c r="K12172" i="1"/>
  <c r="N12172" i="1"/>
  <c r="T12172" i="1"/>
  <c r="A12173" i="1"/>
  <c r="C12173" i="1"/>
  <c r="N12173" i="1"/>
  <c r="A12174" i="1"/>
  <c r="C12174" i="1"/>
  <c r="N12174" i="1"/>
  <c r="A12175" i="1"/>
  <c r="C12175" i="1"/>
  <c r="N12175" i="1"/>
  <c r="A12176" i="1"/>
  <c r="C12176" i="1"/>
  <c r="N12176" i="1"/>
  <c r="A12177" i="1"/>
  <c r="C12177" i="1"/>
  <c r="N12177" i="1"/>
  <c r="A12178" i="1"/>
  <c r="C12178" i="1"/>
  <c r="N12178" i="1"/>
  <c r="A12179" i="1"/>
  <c r="C12179" i="1"/>
  <c r="K12179" i="1"/>
  <c r="N12179" i="1"/>
  <c r="A12180" i="1"/>
  <c r="C12180" i="1"/>
  <c r="E12180" i="1"/>
  <c r="K12180" i="1"/>
  <c r="N12180" i="1"/>
  <c r="T12180" i="1"/>
  <c r="A12181" i="1"/>
  <c r="C12181" i="1"/>
  <c r="N12181" i="1"/>
  <c r="A12182" i="1"/>
  <c r="C12182" i="1"/>
  <c r="N12182" i="1"/>
  <c r="A12183" i="1"/>
  <c r="C12183" i="1"/>
  <c r="K12183" i="1"/>
  <c r="N12183" i="1"/>
  <c r="A12184" i="1"/>
  <c r="C12184" i="1"/>
  <c r="N12184" i="1"/>
  <c r="A12185" i="1"/>
  <c r="C12185" i="1"/>
  <c r="K12185" i="1"/>
  <c r="N12185" i="1"/>
  <c r="A12186" i="1"/>
  <c r="C12186" i="1"/>
  <c r="K12186" i="1"/>
  <c r="N12186" i="1"/>
  <c r="A12187" i="1"/>
  <c r="C12187" i="1"/>
  <c r="K12187" i="1"/>
  <c r="N12187" i="1"/>
  <c r="A12188" i="1"/>
  <c r="C12188" i="1"/>
  <c r="N12188" i="1"/>
  <c r="A12189" i="1"/>
  <c r="C12189" i="1"/>
  <c r="N12189" i="1"/>
  <c r="A12190" i="1"/>
  <c r="C12190" i="1"/>
  <c r="N12190" i="1"/>
  <c r="A12191" i="1"/>
  <c r="C12191" i="1"/>
  <c r="N12191" i="1"/>
  <c r="A12192" i="1"/>
  <c r="C12192" i="1"/>
  <c r="K12192" i="1"/>
  <c r="N12192" i="1"/>
  <c r="A12193" i="1"/>
  <c r="C12193" i="1"/>
  <c r="E12193" i="1"/>
  <c r="N12193" i="1"/>
  <c r="T12193" i="1"/>
  <c r="A12194" i="1"/>
  <c r="C12194" i="1"/>
  <c r="N12194" i="1"/>
  <c r="A12195" i="1"/>
  <c r="C12195" i="1"/>
  <c r="N12195" i="1"/>
  <c r="A12196" i="1"/>
  <c r="C12196" i="1"/>
  <c r="N12196" i="1"/>
  <c r="A12197" i="1"/>
  <c r="C12197" i="1"/>
  <c r="N12197" i="1"/>
  <c r="A12198" i="1"/>
  <c r="C12198" i="1"/>
  <c r="N12198" i="1"/>
  <c r="A12199" i="1"/>
  <c r="C12199" i="1"/>
  <c r="N12199" i="1"/>
  <c r="A12200" i="1"/>
  <c r="C12200" i="1"/>
  <c r="N12200" i="1"/>
  <c r="A12201" i="1"/>
  <c r="C12201" i="1"/>
  <c r="N12201" i="1"/>
  <c r="A12202" i="1"/>
  <c r="C12202" i="1"/>
  <c r="N12202" i="1"/>
  <c r="A12203" i="1"/>
  <c r="C12203" i="1"/>
  <c r="N12203" i="1"/>
  <c r="A12204" i="1"/>
  <c r="C12204" i="1"/>
  <c r="N12204" i="1"/>
  <c r="A12205" i="1"/>
  <c r="C12205" i="1"/>
  <c r="N12205" i="1"/>
  <c r="A12206" i="1"/>
  <c r="C12206" i="1"/>
  <c r="N12206" i="1"/>
  <c r="A12207" i="1"/>
  <c r="C12207" i="1"/>
  <c r="N12207" i="1"/>
  <c r="A12208" i="1"/>
  <c r="C12208" i="1"/>
  <c r="N12208" i="1"/>
  <c r="A12209" i="1"/>
  <c r="C12209" i="1"/>
  <c r="N12209" i="1"/>
  <c r="A12210" i="1"/>
  <c r="C12210" i="1"/>
  <c r="N12210" i="1"/>
  <c r="A12211" i="1"/>
  <c r="C12211" i="1"/>
  <c r="N12211" i="1"/>
  <c r="A12212" i="1"/>
  <c r="C12212" i="1"/>
  <c r="N12212" i="1"/>
  <c r="A12213" i="1"/>
  <c r="C12213" i="1"/>
  <c r="N12213" i="1"/>
  <c r="A12214" i="1"/>
  <c r="C12214" i="1"/>
  <c r="N12214" i="1"/>
  <c r="A12215" i="1"/>
  <c r="C12215" i="1"/>
  <c r="N12215" i="1"/>
  <c r="A12216" i="1"/>
  <c r="C12216" i="1"/>
  <c r="N12216" i="1"/>
  <c r="A12217" i="1"/>
  <c r="C12217" i="1"/>
  <c r="N12217" i="1"/>
  <c r="A12218" i="1"/>
  <c r="C12218" i="1"/>
  <c r="N12218" i="1"/>
  <c r="A12219" i="1"/>
  <c r="C12219" i="1"/>
  <c r="N12219" i="1"/>
  <c r="A12220" i="1"/>
  <c r="C12220" i="1"/>
  <c r="K12220" i="1"/>
  <c r="N12220" i="1"/>
  <c r="A12221" i="1"/>
  <c r="C12221" i="1"/>
  <c r="K12221" i="1"/>
  <c r="N12221" i="1"/>
  <c r="A12222" i="1"/>
  <c r="C12222" i="1"/>
  <c r="N12222" i="1"/>
  <c r="A12223" i="1"/>
  <c r="C12223" i="1"/>
  <c r="K12223" i="1"/>
  <c r="N12223" i="1"/>
  <c r="A12224" i="1"/>
  <c r="C12224" i="1"/>
  <c r="N12224" i="1"/>
  <c r="A12225" i="1"/>
  <c r="C12225" i="1"/>
  <c r="N12225" i="1"/>
  <c r="A12226" i="1"/>
  <c r="C12226" i="1"/>
  <c r="N12226" i="1"/>
  <c r="A12227" i="1"/>
  <c r="C12227" i="1"/>
  <c r="N12227" i="1"/>
  <c r="A12228" i="1"/>
  <c r="C12228" i="1"/>
  <c r="N12228" i="1"/>
  <c r="A12229" i="1"/>
  <c r="C12229" i="1"/>
  <c r="N12229" i="1"/>
  <c r="A12230" i="1"/>
  <c r="C12230" i="1"/>
  <c r="N12230" i="1"/>
  <c r="A12231" i="1"/>
  <c r="C12231" i="1"/>
  <c r="N12231" i="1"/>
  <c r="A12232" i="1"/>
  <c r="C12232" i="1"/>
  <c r="N12232" i="1"/>
  <c r="A12233" i="1"/>
  <c r="C12233" i="1"/>
  <c r="N12233" i="1"/>
  <c r="A12234" i="1"/>
  <c r="C12234" i="1"/>
  <c r="N12234" i="1"/>
  <c r="A12235" i="1"/>
  <c r="C12235" i="1"/>
  <c r="N12235" i="1"/>
  <c r="A12236" i="1"/>
  <c r="C12236" i="1"/>
  <c r="N12236" i="1"/>
  <c r="A12237" i="1"/>
  <c r="C12237" i="1"/>
  <c r="N12237" i="1"/>
  <c r="A12238" i="1"/>
  <c r="C12238" i="1"/>
  <c r="N12238" i="1"/>
  <c r="A12239" i="1"/>
  <c r="C12239" i="1"/>
  <c r="N12239" i="1"/>
  <c r="A12240" i="1"/>
  <c r="C12240" i="1"/>
  <c r="N12240" i="1"/>
  <c r="A12241" i="1"/>
  <c r="C12241" i="1"/>
  <c r="N12241" i="1"/>
  <c r="A12242" i="1"/>
  <c r="C12242" i="1"/>
  <c r="N12242" i="1"/>
  <c r="A12243" i="1"/>
  <c r="C12243" i="1"/>
  <c r="N12243" i="1"/>
  <c r="A12244" i="1"/>
  <c r="C12244" i="1"/>
  <c r="N12244" i="1"/>
  <c r="A12245" i="1"/>
  <c r="C12245" i="1"/>
  <c r="N12245" i="1"/>
  <c r="A12246" i="1"/>
  <c r="C12246" i="1"/>
  <c r="N12246" i="1"/>
  <c r="A12247" i="1"/>
  <c r="C12247" i="1"/>
  <c r="N12247" i="1"/>
  <c r="A12248" i="1"/>
  <c r="C12248" i="1"/>
  <c r="N12248" i="1"/>
  <c r="A12249" i="1"/>
  <c r="C12249" i="1"/>
  <c r="N12249" i="1"/>
  <c r="A12250" i="1"/>
  <c r="C12250" i="1"/>
  <c r="N12250" i="1"/>
  <c r="A12251" i="1"/>
  <c r="C12251" i="1"/>
  <c r="N12251" i="1"/>
  <c r="A12252" i="1"/>
  <c r="C12252" i="1"/>
  <c r="K12252" i="1"/>
  <c r="N12252" i="1"/>
  <c r="A12253" i="1"/>
  <c r="C12253" i="1"/>
  <c r="K12253" i="1"/>
  <c r="N12253" i="1"/>
  <c r="A12254" i="1"/>
  <c r="C12254" i="1"/>
  <c r="K12254" i="1"/>
  <c r="N12254" i="1"/>
  <c r="A12255" i="1"/>
  <c r="C12255" i="1"/>
  <c r="K12255" i="1"/>
  <c r="N12255" i="1"/>
  <c r="A12256" i="1"/>
  <c r="C12256" i="1"/>
  <c r="K12256" i="1"/>
  <c r="N12256" i="1"/>
  <c r="A12257" i="1"/>
  <c r="C12257" i="1"/>
  <c r="N12257" i="1"/>
  <c r="A12258" i="1"/>
  <c r="C12258" i="1"/>
  <c r="N12258" i="1"/>
  <c r="A12259" i="1"/>
  <c r="C12259" i="1"/>
  <c r="N12259" i="1"/>
  <c r="A12260" i="1"/>
  <c r="C12260" i="1"/>
  <c r="N12260" i="1"/>
  <c r="A12261" i="1"/>
  <c r="C12261" i="1"/>
  <c r="N12261" i="1"/>
  <c r="A12262" i="1"/>
  <c r="C12262" i="1"/>
  <c r="N12262" i="1"/>
  <c r="A12263" i="1"/>
  <c r="C12263" i="1"/>
  <c r="N12263" i="1"/>
  <c r="A12264" i="1"/>
  <c r="C12264" i="1"/>
  <c r="N12264" i="1"/>
  <c r="A12265" i="1"/>
  <c r="C12265" i="1"/>
  <c r="N12265" i="1"/>
  <c r="A12266" i="1"/>
  <c r="C12266" i="1"/>
  <c r="N12266" i="1"/>
  <c r="A12267" i="1"/>
  <c r="C12267" i="1"/>
  <c r="N12267" i="1"/>
  <c r="A12268" i="1"/>
  <c r="C12268" i="1"/>
  <c r="N12268" i="1"/>
  <c r="A12269" i="1"/>
  <c r="C12269" i="1"/>
  <c r="N12269" i="1"/>
  <c r="A12270" i="1"/>
  <c r="C12270" i="1"/>
  <c r="N12270" i="1"/>
  <c r="A12271" i="1"/>
  <c r="C12271" i="1"/>
  <c r="N12271" i="1"/>
  <c r="A12272" i="1"/>
  <c r="C12272" i="1"/>
  <c r="N12272" i="1"/>
  <c r="A12273" i="1"/>
  <c r="C12273" i="1"/>
  <c r="K12273" i="1"/>
  <c r="N12273" i="1"/>
  <c r="A12274" i="1"/>
  <c r="C12274" i="1"/>
  <c r="K12274" i="1"/>
  <c r="N12274" i="1"/>
  <c r="A12275" i="1"/>
  <c r="C12275" i="1"/>
  <c r="N12275" i="1"/>
  <c r="A12276" i="1"/>
  <c r="C12276" i="1"/>
  <c r="N12276" i="1"/>
  <c r="A12277" i="1"/>
  <c r="C12277" i="1"/>
  <c r="N12277" i="1"/>
  <c r="A12278" i="1"/>
  <c r="C12278" i="1"/>
  <c r="K12278" i="1"/>
  <c r="N12278" i="1"/>
  <c r="A12279" i="1"/>
  <c r="C12279" i="1"/>
  <c r="N12279" i="1"/>
  <c r="A12280" i="1"/>
  <c r="C12280" i="1"/>
  <c r="N12280" i="1"/>
  <c r="A12281" i="1"/>
  <c r="C12281" i="1"/>
  <c r="N12281" i="1"/>
  <c r="A12282" i="1"/>
  <c r="C12282" i="1"/>
  <c r="N12282" i="1"/>
  <c r="A12283" i="1"/>
  <c r="C12283" i="1"/>
  <c r="N12283" i="1"/>
  <c r="A12284" i="1"/>
  <c r="C12284" i="1"/>
  <c r="N12284" i="1"/>
  <c r="A12285" i="1"/>
  <c r="C12285" i="1"/>
  <c r="N12285" i="1"/>
  <c r="A12286" i="1"/>
  <c r="C12286" i="1"/>
  <c r="K12286" i="1"/>
  <c r="N12286" i="1"/>
  <c r="A12287" i="1"/>
  <c r="C12287" i="1"/>
  <c r="N12287" i="1"/>
  <c r="A12288" i="1"/>
  <c r="C12288" i="1"/>
  <c r="N12288" i="1"/>
  <c r="A12289" i="1"/>
  <c r="C12289" i="1"/>
  <c r="F12289" i="1"/>
  <c r="N12289" i="1"/>
  <c r="A12290" i="1"/>
  <c r="C12290" i="1"/>
  <c r="F12290" i="1"/>
  <c r="N12290" i="1"/>
  <c r="A12291" i="1"/>
  <c r="C12291" i="1"/>
  <c r="N12291" i="1"/>
  <c r="A12292" i="1"/>
  <c r="C12292" i="1"/>
  <c r="N12292" i="1"/>
  <c r="A12293" i="1"/>
  <c r="C12293" i="1"/>
  <c r="N12293" i="1"/>
  <c r="A12294" i="1"/>
  <c r="C12294" i="1"/>
  <c r="N12294" i="1"/>
  <c r="A12295" i="1"/>
  <c r="C12295" i="1"/>
  <c r="N12295" i="1"/>
  <c r="A12296" i="1"/>
  <c r="C12296" i="1"/>
  <c r="N12296" i="1"/>
  <c r="A12297" i="1"/>
  <c r="C12297" i="1"/>
  <c r="N12297" i="1"/>
  <c r="A12298" i="1"/>
  <c r="C12298" i="1"/>
  <c r="N12298" i="1"/>
  <c r="A12299" i="1"/>
  <c r="C12299" i="1"/>
  <c r="N12299" i="1"/>
  <c r="A12300" i="1"/>
  <c r="C12300" i="1"/>
  <c r="N12300" i="1"/>
  <c r="A12301" i="1"/>
  <c r="C12301" i="1"/>
  <c r="N12301" i="1"/>
  <c r="A12302" i="1"/>
  <c r="C12302" i="1"/>
  <c r="F12302" i="1"/>
  <c r="N12302" i="1"/>
  <c r="A12303" i="1"/>
  <c r="C12303" i="1"/>
  <c r="N12303" i="1"/>
  <c r="A12304" i="1"/>
  <c r="C12304" i="1"/>
  <c r="N12304" i="1"/>
  <c r="A12305" i="1"/>
  <c r="C12305" i="1"/>
  <c r="N12305" i="1"/>
  <c r="A12306" i="1"/>
  <c r="C12306" i="1"/>
  <c r="N12306" i="1"/>
  <c r="A12307" i="1"/>
  <c r="C12307" i="1"/>
  <c r="N12307" i="1"/>
  <c r="A12308" i="1"/>
  <c r="C12308" i="1"/>
  <c r="N12308" i="1"/>
  <c r="A12309" i="1"/>
  <c r="C12309" i="1"/>
  <c r="N12309" i="1"/>
  <c r="A12310" i="1"/>
  <c r="C12310" i="1"/>
  <c r="N12310" i="1"/>
  <c r="A12311" i="1"/>
  <c r="C12311" i="1"/>
  <c r="N12311" i="1"/>
  <c r="A12312" i="1"/>
  <c r="C12312" i="1"/>
  <c r="E12312" i="1"/>
  <c r="N12312" i="1"/>
  <c r="T12312" i="1"/>
  <c r="A12313" i="1"/>
  <c r="C12313" i="1"/>
  <c r="N12313" i="1"/>
  <c r="A12314" i="1"/>
  <c r="C12314" i="1"/>
  <c r="N12314" i="1"/>
  <c r="A12315" i="1"/>
  <c r="C12315" i="1"/>
  <c r="N12315" i="1"/>
  <c r="A12316" i="1"/>
  <c r="C12316" i="1"/>
  <c r="K12316" i="1"/>
  <c r="N12316" i="1"/>
  <c r="A12317" i="1"/>
  <c r="C12317" i="1"/>
  <c r="K12317" i="1"/>
  <c r="N12317" i="1"/>
  <c r="A12318" i="1"/>
  <c r="C12318" i="1"/>
  <c r="N12318" i="1"/>
  <c r="A12319" i="1"/>
  <c r="C12319" i="1"/>
  <c r="N12319" i="1"/>
  <c r="A12320" i="1"/>
  <c r="C12320" i="1"/>
  <c r="N12320" i="1"/>
  <c r="A12321" i="1"/>
  <c r="C12321" i="1"/>
  <c r="K12321" i="1"/>
  <c r="N12321" i="1"/>
  <c r="A12322" i="1"/>
  <c r="C12322" i="1"/>
  <c r="N12322" i="1"/>
  <c r="A12323" i="1"/>
  <c r="C12323" i="1"/>
  <c r="K12323" i="1"/>
  <c r="N12323" i="1"/>
  <c r="A12324" i="1"/>
  <c r="C12324" i="1"/>
  <c r="N12324" i="1"/>
  <c r="A12325" i="1"/>
  <c r="C12325" i="1"/>
  <c r="N12325" i="1"/>
  <c r="A12326" i="1"/>
  <c r="C12326" i="1"/>
  <c r="N12326" i="1"/>
  <c r="A12327" i="1"/>
  <c r="C12327" i="1"/>
  <c r="N12327" i="1"/>
  <c r="A12328" i="1"/>
  <c r="C12328" i="1"/>
  <c r="N12328" i="1"/>
  <c r="A12329" i="1"/>
  <c r="C12329" i="1"/>
  <c r="N12329" i="1"/>
  <c r="A12330" i="1"/>
  <c r="C12330" i="1"/>
  <c r="N12330" i="1"/>
  <c r="A12331" i="1"/>
  <c r="C12331" i="1"/>
  <c r="N12331" i="1"/>
  <c r="A12332" i="1"/>
  <c r="C12332" i="1"/>
  <c r="N12332" i="1"/>
  <c r="A12333" i="1"/>
  <c r="C12333" i="1"/>
  <c r="K12333" i="1"/>
  <c r="N12333" i="1"/>
  <c r="A12334" i="1"/>
  <c r="C12334" i="1"/>
  <c r="K12334" i="1"/>
  <c r="N12334" i="1"/>
  <c r="A12335" i="1"/>
  <c r="C12335" i="1"/>
  <c r="K12335" i="1"/>
  <c r="N12335" i="1"/>
  <c r="A12336" i="1"/>
  <c r="C12336" i="1"/>
  <c r="K12336" i="1"/>
  <c r="N12336" i="1"/>
  <c r="A12337" i="1"/>
  <c r="C12337" i="1"/>
  <c r="K12337" i="1"/>
  <c r="N12337" i="1"/>
  <c r="A12338" i="1"/>
  <c r="C12338" i="1"/>
  <c r="N12338" i="1"/>
  <c r="A12339" i="1"/>
  <c r="C12339" i="1"/>
  <c r="N12339" i="1"/>
  <c r="A12340" i="1"/>
  <c r="C12340" i="1"/>
  <c r="N12340" i="1"/>
  <c r="A12341" i="1"/>
  <c r="C12341" i="1"/>
  <c r="N12341" i="1"/>
  <c r="A12342" i="1"/>
  <c r="C12342" i="1"/>
  <c r="N12342" i="1"/>
  <c r="A12343" i="1"/>
  <c r="C12343" i="1"/>
  <c r="N12343" i="1"/>
  <c r="A12344" i="1"/>
  <c r="C12344" i="1"/>
  <c r="K12344" i="1"/>
  <c r="N12344" i="1"/>
  <c r="A12345" i="1"/>
  <c r="C12345" i="1"/>
  <c r="K12345" i="1"/>
  <c r="N12345" i="1"/>
  <c r="A12346" i="1"/>
  <c r="C12346" i="1"/>
  <c r="N12346" i="1"/>
  <c r="A12347" i="1"/>
  <c r="C12347" i="1"/>
  <c r="N12347" i="1"/>
  <c r="A12348" i="1"/>
  <c r="C12348" i="1"/>
  <c r="K12348" i="1"/>
  <c r="N12348" i="1"/>
  <c r="A12349" i="1"/>
  <c r="C12349" i="1"/>
  <c r="N12349" i="1"/>
  <c r="A12350" i="1"/>
  <c r="C12350" i="1"/>
  <c r="N12350" i="1"/>
  <c r="A12351" i="1"/>
  <c r="C12351" i="1"/>
  <c r="N12351" i="1"/>
  <c r="A12352" i="1"/>
  <c r="C12352" i="1"/>
  <c r="N12352" i="1"/>
  <c r="A12353" i="1"/>
  <c r="C12353" i="1"/>
  <c r="K12353" i="1"/>
  <c r="N12353" i="1"/>
  <c r="A12354" i="1"/>
  <c r="C12354" i="1"/>
  <c r="N12354" i="1"/>
  <c r="A12355" i="1"/>
  <c r="C12355" i="1"/>
  <c r="N12355" i="1"/>
  <c r="A12356" i="1"/>
  <c r="C12356" i="1"/>
  <c r="K12356" i="1"/>
  <c r="N12356" i="1"/>
  <c r="A12357" i="1"/>
  <c r="C12357" i="1"/>
  <c r="K12357" i="1"/>
  <c r="N12357" i="1"/>
  <c r="A12358" i="1"/>
  <c r="C12358" i="1"/>
  <c r="N12358" i="1"/>
  <c r="A12359" i="1"/>
  <c r="C12359" i="1"/>
  <c r="N12359" i="1"/>
  <c r="A12360" i="1"/>
  <c r="C12360" i="1"/>
  <c r="N12360" i="1"/>
  <c r="A12361" i="1"/>
  <c r="C12361" i="1"/>
  <c r="K12361" i="1"/>
  <c r="N12361" i="1"/>
  <c r="A12362" i="1"/>
  <c r="C12362" i="1"/>
  <c r="N12362" i="1"/>
  <c r="A12363" i="1"/>
  <c r="C12363" i="1"/>
  <c r="N12363" i="1"/>
  <c r="A12364" i="1"/>
  <c r="C12364" i="1"/>
  <c r="N12364" i="1"/>
  <c r="A12365" i="1"/>
  <c r="C12365" i="1"/>
  <c r="N12365" i="1"/>
  <c r="A12366" i="1"/>
  <c r="C12366" i="1"/>
  <c r="K12366" i="1"/>
  <c r="N12366" i="1"/>
  <c r="A12367" i="1"/>
  <c r="C12367" i="1"/>
  <c r="N12367" i="1"/>
  <c r="A12368" i="1"/>
  <c r="C12368" i="1"/>
  <c r="N12368" i="1"/>
  <c r="A12369" i="1"/>
  <c r="C12369" i="1"/>
  <c r="K12369" i="1"/>
  <c r="N12369" i="1"/>
  <c r="A12370" i="1"/>
  <c r="C12370" i="1"/>
  <c r="N12370" i="1"/>
  <c r="A12371" i="1"/>
  <c r="C12371" i="1"/>
  <c r="N12371" i="1"/>
  <c r="A12372" i="1"/>
  <c r="C12372" i="1"/>
  <c r="K12372" i="1"/>
  <c r="N12372" i="1"/>
  <c r="A12373" i="1"/>
  <c r="C12373" i="1"/>
  <c r="N12373" i="1"/>
  <c r="A12374" i="1"/>
  <c r="C12374" i="1"/>
  <c r="K12374" i="1"/>
  <c r="N12374" i="1"/>
  <c r="A12375" i="1"/>
  <c r="C12375" i="1"/>
  <c r="K12375" i="1"/>
  <c r="N12375" i="1"/>
  <c r="A12376" i="1"/>
  <c r="C12376" i="1"/>
  <c r="N12376" i="1"/>
  <c r="A12377" i="1"/>
  <c r="C12377" i="1"/>
  <c r="K12377" i="1"/>
  <c r="N12377" i="1"/>
  <c r="A12378" i="1"/>
  <c r="C12378" i="1"/>
  <c r="K12378" i="1"/>
  <c r="N12378" i="1"/>
  <c r="A12379" i="1"/>
  <c r="C12379" i="1"/>
  <c r="N12379" i="1"/>
  <c r="A12380" i="1"/>
  <c r="C12380" i="1"/>
  <c r="N12380" i="1"/>
  <c r="A12381" i="1"/>
  <c r="C12381" i="1"/>
  <c r="N12381" i="1"/>
  <c r="A12382" i="1"/>
  <c r="C12382" i="1"/>
  <c r="N12382" i="1"/>
  <c r="A12383" i="1"/>
  <c r="C12383" i="1"/>
  <c r="N12383" i="1"/>
  <c r="A12384" i="1"/>
  <c r="C12384" i="1"/>
  <c r="N12384" i="1"/>
  <c r="A12385" i="1"/>
  <c r="C12385" i="1"/>
  <c r="N12385" i="1"/>
  <c r="A12386" i="1"/>
  <c r="C12386" i="1"/>
  <c r="K12386" i="1"/>
  <c r="N12386" i="1"/>
  <c r="A12387" i="1"/>
  <c r="C12387" i="1"/>
  <c r="N12387" i="1"/>
  <c r="A12388" i="1"/>
  <c r="C12388" i="1"/>
  <c r="N12388" i="1"/>
  <c r="A12389" i="1"/>
  <c r="C12389" i="1"/>
  <c r="K12389" i="1"/>
  <c r="N12389" i="1"/>
  <c r="A12390" i="1"/>
  <c r="C12390" i="1"/>
  <c r="N12390" i="1"/>
  <c r="A12391" i="1"/>
  <c r="C12391" i="1"/>
  <c r="N12391" i="1"/>
  <c r="A12392" i="1"/>
  <c r="C12392" i="1"/>
  <c r="N12392" i="1"/>
  <c r="A12393" i="1"/>
  <c r="C12393" i="1"/>
  <c r="N12393" i="1"/>
  <c r="A12394" i="1"/>
  <c r="C12394" i="1"/>
  <c r="N12394" i="1"/>
  <c r="A12395" i="1"/>
  <c r="C12395" i="1"/>
  <c r="N12395" i="1"/>
  <c r="A12396" i="1"/>
  <c r="C12396" i="1"/>
  <c r="N12396" i="1"/>
  <c r="A12397" i="1"/>
  <c r="C12397" i="1"/>
  <c r="N12397" i="1"/>
  <c r="A12398" i="1"/>
  <c r="C12398" i="1"/>
  <c r="N12398" i="1"/>
  <c r="A12399" i="1"/>
  <c r="C12399" i="1"/>
  <c r="N12399" i="1"/>
  <c r="A12400" i="1"/>
  <c r="C12400" i="1"/>
  <c r="K12400" i="1"/>
  <c r="N12400" i="1"/>
  <c r="A12401" i="1"/>
  <c r="C12401" i="1"/>
  <c r="N12401" i="1"/>
  <c r="A12402" i="1"/>
  <c r="C12402" i="1"/>
  <c r="N12402" i="1"/>
  <c r="A12403" i="1"/>
  <c r="C12403" i="1"/>
  <c r="N12403" i="1"/>
  <c r="A12404" i="1"/>
  <c r="C12404" i="1"/>
  <c r="N12404" i="1"/>
  <c r="A12405" i="1"/>
  <c r="C12405" i="1"/>
  <c r="N12405" i="1"/>
  <c r="A12406" i="1"/>
  <c r="C12406" i="1"/>
  <c r="N12406" i="1"/>
  <c r="A12407" i="1"/>
  <c r="C12407" i="1"/>
  <c r="K12407" i="1"/>
  <c r="N12407" i="1"/>
  <c r="A12408" i="1"/>
  <c r="C12408" i="1"/>
  <c r="K12408" i="1"/>
  <c r="N12408" i="1"/>
  <c r="A12409" i="1"/>
  <c r="C12409" i="1"/>
  <c r="N12409" i="1"/>
  <c r="A12410" i="1"/>
  <c r="C12410" i="1"/>
  <c r="K12410" i="1"/>
  <c r="N12410" i="1"/>
  <c r="A12411" i="1"/>
  <c r="C12411" i="1"/>
  <c r="N12411" i="1"/>
  <c r="A12412" i="1"/>
  <c r="C12412" i="1"/>
  <c r="N12412" i="1"/>
  <c r="A12413" i="1"/>
  <c r="C12413" i="1"/>
  <c r="N12413" i="1"/>
  <c r="A12414" i="1"/>
  <c r="C12414" i="1"/>
  <c r="N12414" i="1"/>
  <c r="A12415" i="1"/>
  <c r="C12415" i="1"/>
  <c r="N12415" i="1"/>
  <c r="A12416" i="1"/>
  <c r="C12416" i="1"/>
  <c r="N12416" i="1"/>
  <c r="A12417" i="1"/>
  <c r="C12417" i="1"/>
  <c r="N12417" i="1"/>
  <c r="A12418" i="1"/>
  <c r="C12418" i="1"/>
  <c r="N12418" i="1"/>
  <c r="A12419" i="1"/>
  <c r="C12419" i="1"/>
  <c r="N12419" i="1"/>
  <c r="A12420" i="1"/>
  <c r="C12420" i="1"/>
  <c r="N12420" i="1"/>
  <c r="A12421" i="1"/>
  <c r="C12421" i="1"/>
  <c r="K12421" i="1"/>
  <c r="N12421" i="1"/>
  <c r="A12422" i="1"/>
  <c r="C12422" i="1"/>
  <c r="K12422" i="1"/>
  <c r="N12422" i="1"/>
  <c r="A12423" i="1"/>
  <c r="C12423" i="1"/>
  <c r="N12423" i="1"/>
  <c r="A12424" i="1"/>
  <c r="C12424" i="1"/>
  <c r="N12424" i="1"/>
  <c r="A12425" i="1"/>
  <c r="C12425" i="1"/>
  <c r="N12425" i="1"/>
  <c r="A12426" i="1"/>
  <c r="C12426" i="1"/>
  <c r="N12426" i="1"/>
  <c r="A12427" i="1"/>
  <c r="C12427" i="1"/>
  <c r="N12427" i="1"/>
  <c r="A12428" i="1"/>
  <c r="C12428" i="1"/>
  <c r="K12428" i="1"/>
  <c r="N12428" i="1"/>
  <c r="A12429" i="1"/>
  <c r="C12429" i="1"/>
  <c r="N12429" i="1"/>
  <c r="A12430" i="1"/>
  <c r="C12430" i="1"/>
  <c r="K12430" i="1"/>
  <c r="N12430" i="1"/>
  <c r="A12431" i="1"/>
  <c r="C12431" i="1"/>
  <c r="K12431" i="1"/>
  <c r="N12431" i="1"/>
  <c r="A12432" i="1"/>
  <c r="C12432" i="1"/>
  <c r="K12432" i="1"/>
  <c r="N12432" i="1"/>
  <c r="A12433" i="1"/>
  <c r="C12433" i="1"/>
  <c r="N12433" i="1"/>
  <c r="A12434" i="1"/>
  <c r="C12434" i="1"/>
  <c r="N12434" i="1"/>
  <c r="A12435" i="1"/>
  <c r="C12435" i="1"/>
  <c r="K12435" i="1"/>
  <c r="N12435" i="1"/>
  <c r="A12436" i="1"/>
  <c r="C12436" i="1"/>
  <c r="N12436" i="1"/>
  <c r="A12437" i="1"/>
  <c r="C12437" i="1"/>
  <c r="N12437" i="1"/>
  <c r="A12438" i="1"/>
  <c r="C12438" i="1"/>
  <c r="N12438" i="1"/>
  <c r="A12439" i="1"/>
  <c r="C12439" i="1"/>
  <c r="N12439" i="1"/>
  <c r="A12440" i="1"/>
  <c r="C12440" i="1"/>
  <c r="N12440" i="1"/>
  <c r="A12441" i="1"/>
  <c r="C12441" i="1"/>
  <c r="N12441" i="1"/>
  <c r="A12442" i="1"/>
  <c r="C12442" i="1"/>
  <c r="N12442" i="1"/>
  <c r="A12443" i="1"/>
  <c r="C12443" i="1"/>
  <c r="N12443" i="1"/>
  <c r="A12444" i="1"/>
  <c r="C12444" i="1"/>
  <c r="N12444" i="1"/>
  <c r="A12445" i="1"/>
  <c r="C12445" i="1"/>
  <c r="N12445" i="1"/>
  <c r="A12446" i="1"/>
  <c r="C12446" i="1"/>
  <c r="N12446" i="1"/>
  <c r="A12447" i="1"/>
  <c r="C12447" i="1"/>
  <c r="N12447" i="1"/>
  <c r="A12448" i="1"/>
  <c r="C12448" i="1"/>
  <c r="N12448" i="1"/>
  <c r="A12449" i="1"/>
  <c r="C12449" i="1"/>
  <c r="K12449" i="1"/>
  <c r="N12449" i="1"/>
  <c r="A12450" i="1"/>
  <c r="C12450" i="1"/>
  <c r="N12450" i="1"/>
  <c r="A12451" i="1"/>
  <c r="C12451" i="1"/>
  <c r="N12451" i="1"/>
  <c r="A12452" i="1"/>
  <c r="C12452" i="1"/>
  <c r="N12452" i="1"/>
  <c r="A12453" i="1"/>
  <c r="C12453" i="1"/>
  <c r="N12453" i="1"/>
  <c r="A12454" i="1"/>
  <c r="C12454" i="1"/>
  <c r="K12454" i="1"/>
  <c r="N12454" i="1"/>
  <c r="A12455" i="1"/>
  <c r="C12455" i="1"/>
  <c r="N12455" i="1"/>
  <c r="A12456" i="1"/>
  <c r="C12456" i="1"/>
  <c r="K12456" i="1"/>
  <c r="N12456" i="1"/>
  <c r="A12457" i="1"/>
  <c r="C12457" i="1"/>
  <c r="N12457" i="1"/>
  <c r="A12458" i="1"/>
  <c r="C12458" i="1"/>
  <c r="N12458" i="1"/>
  <c r="A12459" i="1"/>
  <c r="C12459" i="1"/>
  <c r="N12459" i="1"/>
  <c r="A12460" i="1"/>
  <c r="C12460" i="1"/>
  <c r="N12460" i="1"/>
  <c r="A12461" i="1"/>
  <c r="C12461" i="1"/>
  <c r="N12461" i="1"/>
  <c r="A12462" i="1"/>
  <c r="C12462" i="1"/>
  <c r="K12462" i="1"/>
  <c r="N12462" i="1"/>
  <c r="A12463" i="1"/>
  <c r="C12463" i="1"/>
  <c r="N12463" i="1"/>
  <c r="A12464" i="1"/>
  <c r="C12464" i="1"/>
  <c r="N12464" i="1"/>
  <c r="A12465" i="1"/>
  <c r="C12465" i="1"/>
  <c r="N12465" i="1"/>
  <c r="A12466" i="1"/>
  <c r="C12466" i="1"/>
  <c r="N12466" i="1"/>
  <c r="A12467" i="1"/>
  <c r="C12467" i="1"/>
  <c r="N12467" i="1"/>
  <c r="A12468" i="1"/>
  <c r="C12468" i="1"/>
  <c r="N12468" i="1"/>
  <c r="A12469" i="1"/>
  <c r="C12469" i="1"/>
  <c r="K12469" i="1"/>
  <c r="N12469" i="1"/>
  <c r="A12470" i="1"/>
  <c r="C12470" i="1"/>
  <c r="N12470" i="1"/>
  <c r="A12471" i="1"/>
  <c r="C12471" i="1"/>
  <c r="N12471" i="1"/>
  <c r="A12472" i="1"/>
  <c r="C12472" i="1"/>
  <c r="N12472" i="1"/>
  <c r="A12473" i="1"/>
  <c r="C12473" i="1"/>
  <c r="N12473" i="1"/>
  <c r="A12474" i="1"/>
  <c r="C12474" i="1"/>
  <c r="N12474" i="1"/>
  <c r="A12475" i="1"/>
  <c r="C12475" i="1"/>
  <c r="K12475" i="1"/>
  <c r="N12475" i="1"/>
  <c r="A12476" i="1"/>
  <c r="C12476" i="1"/>
  <c r="N12476" i="1"/>
  <c r="A12477" i="1"/>
  <c r="C12477" i="1"/>
  <c r="N12477" i="1"/>
  <c r="A12478" i="1"/>
  <c r="C12478" i="1"/>
  <c r="N12478" i="1"/>
  <c r="A12479" i="1"/>
  <c r="C12479" i="1"/>
  <c r="N12479" i="1"/>
  <c r="A12480" i="1"/>
  <c r="C12480" i="1"/>
  <c r="N12480" i="1"/>
  <c r="A12481" i="1"/>
  <c r="C12481" i="1"/>
  <c r="N12481" i="1"/>
  <c r="A12482" i="1"/>
  <c r="C12482" i="1"/>
  <c r="N12482" i="1"/>
  <c r="A12483" i="1"/>
  <c r="C12483" i="1"/>
  <c r="N12483" i="1"/>
  <c r="A12484" i="1"/>
  <c r="C12484" i="1"/>
  <c r="K12484" i="1"/>
  <c r="N12484" i="1"/>
  <c r="A12485" i="1"/>
  <c r="C12485" i="1"/>
  <c r="K12485" i="1"/>
  <c r="N12485" i="1"/>
  <c r="A12486" i="1"/>
  <c r="C12486" i="1"/>
  <c r="K12486" i="1"/>
  <c r="N12486" i="1"/>
  <c r="A12487" i="1"/>
  <c r="C12487" i="1"/>
  <c r="N12487" i="1"/>
  <c r="A12488" i="1"/>
  <c r="C12488" i="1"/>
  <c r="N12488" i="1"/>
  <c r="A12489" i="1"/>
  <c r="C12489" i="1"/>
  <c r="N12489" i="1"/>
  <c r="A12490" i="1"/>
  <c r="C12490" i="1"/>
  <c r="N12490" i="1"/>
  <c r="A12491" i="1"/>
  <c r="C12491" i="1"/>
  <c r="K12491" i="1"/>
  <c r="N12491" i="1"/>
  <c r="A12492" i="1"/>
  <c r="C12492" i="1"/>
  <c r="K12492" i="1"/>
  <c r="N12492" i="1"/>
  <c r="A12493" i="1"/>
  <c r="C12493" i="1"/>
  <c r="N12493" i="1"/>
  <c r="A12494" i="1"/>
  <c r="C12494" i="1"/>
  <c r="N12494" i="1"/>
  <c r="A12495" i="1"/>
  <c r="C12495" i="1"/>
  <c r="N12495" i="1"/>
  <c r="A12496" i="1"/>
  <c r="C12496" i="1"/>
  <c r="N12496" i="1"/>
  <c r="A12497" i="1"/>
  <c r="C12497" i="1"/>
  <c r="N12497" i="1"/>
  <c r="A12498" i="1"/>
  <c r="C12498" i="1"/>
  <c r="N12498" i="1"/>
  <c r="A12499" i="1"/>
  <c r="C12499" i="1"/>
  <c r="N12499" i="1"/>
  <c r="A12500" i="1"/>
  <c r="C12500" i="1"/>
  <c r="N12500" i="1"/>
  <c r="A12501" i="1"/>
  <c r="C12501" i="1"/>
  <c r="K12501" i="1"/>
  <c r="N12501" i="1"/>
  <c r="A12502" i="1"/>
  <c r="C12502" i="1"/>
  <c r="K12502" i="1"/>
  <c r="N12502" i="1"/>
  <c r="A12503" i="1"/>
  <c r="C12503" i="1"/>
  <c r="N12503" i="1"/>
  <c r="A12504" i="1"/>
  <c r="C12504" i="1"/>
  <c r="E12504" i="1"/>
  <c r="K12504" i="1"/>
  <c r="N12504" i="1"/>
  <c r="T12504" i="1"/>
  <c r="A12505" i="1"/>
  <c r="C12505" i="1"/>
  <c r="N12505" i="1"/>
  <c r="A12506" i="1"/>
  <c r="C12506" i="1"/>
  <c r="N12506" i="1"/>
  <c r="A12507" i="1"/>
  <c r="C12507" i="1"/>
  <c r="N12507" i="1"/>
  <c r="A12508" i="1"/>
  <c r="C12508" i="1"/>
  <c r="N12508" i="1"/>
  <c r="A12509" i="1"/>
  <c r="C12509" i="1"/>
  <c r="N12509" i="1"/>
  <c r="A12510" i="1"/>
  <c r="C12510" i="1"/>
  <c r="K12510" i="1"/>
  <c r="N12510" i="1"/>
  <c r="A12511" i="1"/>
  <c r="C12511" i="1"/>
  <c r="N12511" i="1"/>
  <c r="A12512" i="1"/>
  <c r="C12512" i="1"/>
  <c r="N12512" i="1"/>
  <c r="A12513" i="1"/>
  <c r="C12513" i="1"/>
  <c r="N12513" i="1"/>
  <c r="A12514" i="1"/>
  <c r="C12514" i="1"/>
  <c r="N12514" i="1"/>
  <c r="A12515" i="1"/>
  <c r="C12515" i="1"/>
  <c r="N12515" i="1"/>
  <c r="A12516" i="1"/>
  <c r="C12516" i="1"/>
  <c r="N12516" i="1"/>
  <c r="A12517" i="1"/>
  <c r="C12517" i="1"/>
  <c r="N12517" i="1"/>
  <c r="A12518" i="1"/>
  <c r="C12518" i="1"/>
  <c r="N12518" i="1"/>
  <c r="A12519" i="1"/>
  <c r="C12519" i="1"/>
  <c r="N12519" i="1"/>
  <c r="A12520" i="1"/>
  <c r="C12520" i="1"/>
  <c r="N12520" i="1"/>
  <c r="A12521" i="1"/>
  <c r="C12521" i="1"/>
  <c r="N12521" i="1"/>
  <c r="A12522" i="1"/>
  <c r="C12522" i="1"/>
  <c r="N12522" i="1"/>
  <c r="A12523" i="1"/>
  <c r="C12523" i="1"/>
  <c r="N12523" i="1"/>
  <c r="A12524" i="1"/>
  <c r="C12524" i="1"/>
  <c r="N12524" i="1"/>
  <c r="A12525" i="1"/>
  <c r="C12525" i="1"/>
  <c r="N12525" i="1"/>
  <c r="A12526" i="1"/>
  <c r="C12526" i="1"/>
  <c r="N12526" i="1"/>
  <c r="A12527" i="1"/>
  <c r="C12527" i="1"/>
  <c r="N12527" i="1"/>
  <c r="A12528" i="1"/>
  <c r="C12528" i="1"/>
  <c r="N12528" i="1"/>
  <c r="A12529" i="1"/>
  <c r="C12529" i="1"/>
  <c r="N12529" i="1"/>
  <c r="A12530" i="1"/>
  <c r="C12530" i="1"/>
  <c r="N12530" i="1"/>
  <c r="A12531" i="1"/>
  <c r="C12531" i="1"/>
  <c r="N12531" i="1"/>
  <c r="A12532" i="1"/>
  <c r="C12532" i="1"/>
  <c r="N12532" i="1"/>
  <c r="A12533" i="1"/>
  <c r="C12533" i="1"/>
  <c r="K12533" i="1"/>
  <c r="N12533" i="1"/>
  <c r="A12534" i="1"/>
  <c r="C12534" i="1"/>
  <c r="N12534" i="1"/>
  <c r="A12535" i="1"/>
  <c r="C12535" i="1"/>
  <c r="N12535" i="1"/>
  <c r="A12536" i="1"/>
  <c r="C12536" i="1"/>
  <c r="N12536" i="1"/>
  <c r="A12537" i="1"/>
  <c r="C12537" i="1"/>
  <c r="N12537" i="1"/>
  <c r="A12538" i="1"/>
  <c r="C12538" i="1"/>
  <c r="N12538" i="1"/>
  <c r="A12539" i="1"/>
  <c r="C12539" i="1"/>
  <c r="N12539" i="1"/>
  <c r="A12540" i="1"/>
  <c r="C12540" i="1"/>
  <c r="N12540" i="1"/>
  <c r="A12541" i="1"/>
  <c r="C12541" i="1"/>
  <c r="N12541" i="1"/>
  <c r="A12542" i="1"/>
  <c r="C12542" i="1"/>
  <c r="N12542" i="1"/>
  <c r="A12543" i="1"/>
  <c r="C12543" i="1"/>
  <c r="N12543" i="1"/>
  <c r="A12544" i="1"/>
  <c r="C12544" i="1"/>
  <c r="N12544" i="1"/>
  <c r="A12545" i="1"/>
  <c r="C12545" i="1"/>
  <c r="K12545" i="1"/>
  <c r="N12545" i="1"/>
  <c r="A12546" i="1"/>
  <c r="C12546" i="1"/>
  <c r="N12546" i="1"/>
  <c r="A12547" i="1"/>
  <c r="C12547" i="1"/>
  <c r="N12547" i="1"/>
  <c r="A12548" i="1"/>
  <c r="C12548" i="1"/>
  <c r="K12548" i="1"/>
  <c r="N12548" i="1"/>
  <c r="A12549" i="1"/>
  <c r="C12549" i="1"/>
  <c r="N12549" i="1"/>
  <c r="A12550" i="1"/>
  <c r="C12550" i="1"/>
  <c r="N12550" i="1"/>
  <c r="A12551" i="1"/>
  <c r="C12551" i="1"/>
  <c r="N12551" i="1"/>
  <c r="A12552" i="1"/>
  <c r="C12552" i="1"/>
  <c r="N12552" i="1"/>
  <c r="A12553" i="1"/>
  <c r="C12553" i="1"/>
  <c r="N12553" i="1"/>
  <c r="A12554" i="1"/>
  <c r="C12554" i="1"/>
  <c r="E12554" i="1"/>
  <c r="K12554" i="1"/>
  <c r="N12554" i="1"/>
  <c r="T12554" i="1"/>
  <c r="A12555" i="1"/>
  <c r="C12555" i="1"/>
  <c r="N12555" i="1"/>
  <c r="A12556" i="1"/>
  <c r="C12556" i="1"/>
  <c r="N12556" i="1"/>
  <c r="A12557" i="1"/>
  <c r="C12557" i="1"/>
  <c r="N12557" i="1"/>
  <c r="A12558" i="1"/>
  <c r="C12558" i="1"/>
  <c r="N12558" i="1"/>
  <c r="A12559" i="1"/>
  <c r="C12559" i="1"/>
  <c r="N12559" i="1"/>
  <c r="A12560" i="1"/>
  <c r="C12560" i="1"/>
  <c r="N12560" i="1"/>
  <c r="A12561" i="1"/>
  <c r="C12561" i="1"/>
  <c r="N12561" i="1"/>
  <c r="A12562" i="1"/>
  <c r="C12562" i="1"/>
  <c r="N12562" i="1"/>
  <c r="A12563" i="1"/>
  <c r="C12563" i="1"/>
  <c r="N12563" i="1"/>
  <c r="A12564" i="1"/>
  <c r="C12564" i="1"/>
  <c r="N12564" i="1"/>
  <c r="A12565" i="1"/>
  <c r="C12565" i="1"/>
  <c r="N12565" i="1"/>
  <c r="A12566" i="1"/>
  <c r="C12566" i="1"/>
  <c r="N12566" i="1"/>
  <c r="A12567" i="1"/>
  <c r="C12567" i="1"/>
  <c r="N12567" i="1"/>
  <c r="A12568" i="1"/>
  <c r="C12568" i="1"/>
  <c r="N12568" i="1"/>
  <c r="A12569" i="1"/>
  <c r="C12569" i="1"/>
  <c r="N12569" i="1"/>
  <c r="A12570" i="1"/>
  <c r="C12570" i="1"/>
  <c r="N12570" i="1"/>
  <c r="A12571" i="1"/>
  <c r="C12571" i="1"/>
  <c r="N12571" i="1"/>
  <c r="A12572" i="1"/>
  <c r="C12572" i="1"/>
  <c r="N12572" i="1"/>
  <c r="A12573" i="1"/>
  <c r="C12573" i="1"/>
  <c r="N12573" i="1"/>
  <c r="A12574" i="1"/>
  <c r="C12574" i="1"/>
  <c r="K12574" i="1"/>
  <c r="N12574" i="1"/>
  <c r="A12575" i="1"/>
  <c r="C12575" i="1"/>
  <c r="N12575" i="1"/>
  <c r="A12576" i="1"/>
  <c r="C12576" i="1"/>
  <c r="N12576" i="1"/>
  <c r="A12577" i="1"/>
  <c r="C12577" i="1"/>
  <c r="N12577" i="1"/>
  <c r="A12578" i="1"/>
  <c r="C12578" i="1"/>
  <c r="N12578" i="1"/>
  <c r="A12579" i="1"/>
  <c r="C12579" i="1"/>
  <c r="N12579" i="1"/>
  <c r="A12580" i="1"/>
  <c r="C12580" i="1"/>
  <c r="N12580" i="1"/>
  <c r="A12581" i="1"/>
  <c r="C12581" i="1"/>
  <c r="N12581" i="1"/>
  <c r="A12582" i="1"/>
  <c r="C12582" i="1"/>
  <c r="N12582" i="1"/>
  <c r="A12583" i="1"/>
  <c r="C12583" i="1"/>
  <c r="N12583" i="1"/>
  <c r="A12584" i="1"/>
  <c r="C12584" i="1"/>
  <c r="N12584" i="1"/>
  <c r="A12585" i="1"/>
  <c r="C12585" i="1"/>
  <c r="N12585" i="1"/>
  <c r="A12586" i="1"/>
  <c r="C12586" i="1"/>
  <c r="N12586" i="1"/>
  <c r="A12587" i="1"/>
  <c r="C12587" i="1"/>
  <c r="N12587" i="1"/>
  <c r="A12588" i="1"/>
  <c r="C12588" i="1"/>
  <c r="N12588" i="1"/>
  <c r="A12589" i="1"/>
  <c r="C12589" i="1"/>
  <c r="N12589" i="1"/>
  <c r="A12590" i="1"/>
  <c r="C12590" i="1"/>
  <c r="N12590" i="1"/>
  <c r="A12591" i="1"/>
  <c r="C12591" i="1"/>
  <c r="N12591" i="1"/>
  <c r="A12592" i="1"/>
  <c r="C12592" i="1"/>
  <c r="N12592" i="1"/>
  <c r="A12593" i="1"/>
  <c r="C12593" i="1"/>
  <c r="N12593" i="1"/>
  <c r="A12594" i="1"/>
  <c r="C12594" i="1"/>
  <c r="N12594" i="1"/>
  <c r="A12595" i="1"/>
  <c r="C12595" i="1"/>
  <c r="N12595" i="1"/>
  <c r="A12596" i="1"/>
  <c r="C12596" i="1"/>
  <c r="N12596" i="1"/>
  <c r="A12597" i="1"/>
  <c r="C12597" i="1"/>
  <c r="N12597" i="1"/>
  <c r="A12598" i="1"/>
  <c r="C12598" i="1"/>
  <c r="N12598" i="1"/>
  <c r="A12599" i="1"/>
  <c r="C12599" i="1"/>
  <c r="K12599" i="1"/>
  <c r="N12599" i="1"/>
  <c r="A12600" i="1"/>
  <c r="C12600" i="1"/>
  <c r="N12600" i="1"/>
  <c r="A12601" i="1"/>
  <c r="C12601" i="1"/>
  <c r="N12601" i="1"/>
  <c r="A12602" i="1"/>
  <c r="C12602" i="1"/>
  <c r="N12602" i="1"/>
  <c r="A12603" i="1"/>
  <c r="C12603" i="1"/>
  <c r="N12603" i="1"/>
  <c r="A12604" i="1"/>
  <c r="C12604" i="1"/>
  <c r="N12604" i="1"/>
  <c r="A12605" i="1"/>
  <c r="C12605" i="1"/>
  <c r="K12605" i="1"/>
  <c r="N12605" i="1"/>
  <c r="A12606" i="1"/>
  <c r="C12606" i="1"/>
  <c r="N12606" i="1"/>
  <c r="A12607" i="1"/>
  <c r="C12607" i="1"/>
  <c r="N12607" i="1"/>
  <c r="A12608" i="1"/>
  <c r="C12608" i="1"/>
  <c r="N12608" i="1"/>
  <c r="A12609" i="1"/>
  <c r="C12609" i="1"/>
  <c r="N12609" i="1"/>
  <c r="A12610" i="1"/>
  <c r="C12610" i="1"/>
  <c r="K12610" i="1"/>
  <c r="N12610" i="1"/>
  <c r="A12611" i="1"/>
  <c r="C12611" i="1"/>
  <c r="N12611" i="1"/>
  <c r="A12612" i="1"/>
  <c r="C12612" i="1"/>
  <c r="N12612" i="1"/>
  <c r="A12613" i="1"/>
  <c r="C12613" i="1"/>
  <c r="N12613" i="1"/>
  <c r="A12614" i="1"/>
  <c r="C12614" i="1"/>
  <c r="N12614" i="1"/>
  <c r="A12615" i="1"/>
  <c r="C12615" i="1"/>
  <c r="K12615" i="1"/>
  <c r="N12615" i="1"/>
  <c r="A12616" i="1"/>
  <c r="C12616" i="1"/>
  <c r="N12616" i="1"/>
  <c r="A12617" i="1"/>
  <c r="C12617" i="1"/>
  <c r="N12617" i="1"/>
  <c r="A12618" i="1"/>
  <c r="C12618" i="1"/>
  <c r="N12618" i="1"/>
  <c r="A12619" i="1"/>
  <c r="C12619" i="1"/>
  <c r="N12619" i="1"/>
  <c r="A12620" i="1"/>
  <c r="C12620" i="1"/>
  <c r="N12620" i="1"/>
  <c r="A12621" i="1"/>
  <c r="C12621" i="1"/>
  <c r="N12621" i="1"/>
  <c r="A12622" i="1"/>
  <c r="C12622" i="1"/>
  <c r="N12622" i="1"/>
  <c r="A12623" i="1"/>
  <c r="C12623" i="1"/>
  <c r="N12623" i="1"/>
  <c r="A12624" i="1"/>
  <c r="C12624" i="1"/>
  <c r="N12624" i="1"/>
  <c r="A12625" i="1"/>
  <c r="C12625" i="1"/>
  <c r="N12625" i="1"/>
  <c r="A12626" i="1"/>
  <c r="C12626" i="1"/>
  <c r="N12626" i="1"/>
  <c r="A12627" i="1"/>
  <c r="C12627" i="1"/>
  <c r="K12627" i="1"/>
  <c r="N12627" i="1"/>
  <c r="A12628" i="1"/>
  <c r="C12628" i="1"/>
  <c r="N12628" i="1"/>
  <c r="A12629" i="1"/>
  <c r="C12629" i="1"/>
  <c r="K12629" i="1"/>
  <c r="N12629" i="1"/>
  <c r="A12630" i="1"/>
  <c r="C12630" i="1"/>
  <c r="K12630" i="1"/>
  <c r="N12630" i="1"/>
  <c r="A12631" i="1"/>
  <c r="C12631" i="1"/>
  <c r="K12631" i="1"/>
  <c r="N12631" i="1"/>
  <c r="A12632" i="1"/>
  <c r="C12632" i="1"/>
  <c r="N12632" i="1"/>
  <c r="A12633" i="1"/>
  <c r="C12633" i="1"/>
  <c r="N12633" i="1"/>
  <c r="A12634" i="1"/>
  <c r="C12634" i="1"/>
  <c r="N12634" i="1"/>
  <c r="A12635" i="1"/>
  <c r="C12635" i="1"/>
  <c r="N12635" i="1"/>
  <c r="A12636" i="1"/>
  <c r="C12636" i="1"/>
  <c r="N12636" i="1"/>
  <c r="A12637" i="1"/>
  <c r="C12637" i="1"/>
  <c r="N12637" i="1"/>
  <c r="A12638" i="1"/>
  <c r="C12638" i="1"/>
  <c r="N12638" i="1"/>
  <c r="A12639" i="1"/>
  <c r="C12639" i="1"/>
  <c r="K12639" i="1"/>
  <c r="N12639" i="1"/>
  <c r="A12640" i="1"/>
  <c r="C12640" i="1"/>
  <c r="N12640" i="1"/>
  <c r="A12641" i="1"/>
  <c r="C12641" i="1"/>
  <c r="K12641" i="1"/>
  <c r="N12641" i="1"/>
  <c r="A12642" i="1"/>
  <c r="C12642" i="1"/>
  <c r="N12642" i="1"/>
  <c r="A12643" i="1"/>
  <c r="C12643" i="1"/>
  <c r="N12643" i="1"/>
  <c r="A12644" i="1"/>
  <c r="C12644" i="1"/>
  <c r="N12644" i="1"/>
  <c r="A12645" i="1"/>
  <c r="C12645" i="1"/>
  <c r="N12645" i="1"/>
  <c r="A12646" i="1"/>
  <c r="C12646" i="1"/>
  <c r="N12646" i="1"/>
  <c r="A12647" i="1"/>
  <c r="C12647" i="1"/>
  <c r="K12647" i="1"/>
  <c r="N12647" i="1"/>
  <c r="A12648" i="1"/>
  <c r="C12648" i="1"/>
  <c r="N12648" i="1"/>
  <c r="A12649" i="1"/>
  <c r="C12649" i="1"/>
  <c r="K12649" i="1"/>
  <c r="N12649" i="1"/>
  <c r="A12650" i="1"/>
  <c r="C12650" i="1"/>
  <c r="K12650" i="1"/>
  <c r="N12650" i="1"/>
  <c r="A12651" i="1"/>
  <c r="C12651" i="1"/>
  <c r="K12651" i="1"/>
  <c r="N12651" i="1"/>
  <c r="A12652" i="1"/>
  <c r="C12652" i="1"/>
  <c r="N12652" i="1"/>
  <c r="A12653" i="1"/>
  <c r="C12653" i="1"/>
  <c r="N12653" i="1"/>
  <c r="A12654" i="1"/>
  <c r="C12654" i="1"/>
  <c r="K12654" i="1"/>
  <c r="N12654" i="1"/>
  <c r="A12655" i="1"/>
  <c r="C12655" i="1"/>
  <c r="K12655" i="1"/>
  <c r="N12655" i="1"/>
  <c r="A12656" i="1"/>
  <c r="C12656" i="1"/>
  <c r="N12656" i="1"/>
  <c r="A12657" i="1"/>
  <c r="C12657" i="1"/>
  <c r="N12657" i="1"/>
  <c r="A12658" i="1"/>
  <c r="C12658" i="1"/>
  <c r="N12658" i="1"/>
  <c r="A12659" i="1"/>
  <c r="C12659" i="1"/>
  <c r="N12659" i="1"/>
  <c r="A12660" i="1"/>
  <c r="C12660" i="1"/>
  <c r="N12660" i="1"/>
  <c r="A12661" i="1"/>
  <c r="C12661" i="1"/>
  <c r="K12661" i="1"/>
  <c r="N12661" i="1"/>
  <c r="A12662" i="1"/>
  <c r="C12662" i="1"/>
  <c r="K12662" i="1"/>
  <c r="N12662" i="1"/>
  <c r="A12663" i="1"/>
  <c r="C12663" i="1"/>
  <c r="K12663" i="1"/>
  <c r="N12663" i="1"/>
  <c r="A12664" i="1"/>
  <c r="C12664" i="1"/>
  <c r="K12664" i="1"/>
  <c r="N12664" i="1"/>
  <c r="A12665" i="1"/>
  <c r="C12665" i="1"/>
  <c r="N12665" i="1"/>
  <c r="A12666" i="1"/>
  <c r="C12666" i="1"/>
  <c r="N12666" i="1"/>
  <c r="A12667" i="1"/>
  <c r="C12667" i="1"/>
  <c r="N12667" i="1"/>
  <c r="A12668" i="1"/>
  <c r="C12668" i="1"/>
  <c r="N12668" i="1"/>
  <c r="A12669" i="1"/>
  <c r="C12669" i="1"/>
  <c r="N12669" i="1"/>
  <c r="A12670" i="1"/>
  <c r="C12670" i="1"/>
  <c r="K12670" i="1"/>
  <c r="N12670" i="1"/>
  <c r="A12671" i="1"/>
  <c r="C12671" i="1"/>
  <c r="N12671" i="1"/>
  <c r="A12672" i="1"/>
  <c r="C12672" i="1"/>
  <c r="N12672" i="1"/>
  <c r="A12673" i="1"/>
  <c r="C12673" i="1"/>
  <c r="N12673" i="1"/>
  <c r="A12674" i="1"/>
  <c r="C12674" i="1"/>
  <c r="N12674" i="1"/>
  <c r="A12675" i="1"/>
  <c r="C12675" i="1"/>
  <c r="N12675" i="1"/>
  <c r="A12676" i="1"/>
  <c r="C12676" i="1"/>
  <c r="N12676" i="1"/>
  <c r="A12677" i="1"/>
  <c r="C12677" i="1"/>
  <c r="N12677" i="1"/>
  <c r="A12678" i="1"/>
  <c r="C12678" i="1"/>
  <c r="N12678" i="1"/>
  <c r="A12679" i="1"/>
  <c r="C12679" i="1"/>
  <c r="D12679" i="1"/>
  <c r="E12679" i="1"/>
  <c r="N12679" i="1"/>
  <c r="O12679" i="1"/>
  <c r="T12679" i="1"/>
  <c r="A12680" i="1"/>
  <c r="C12680" i="1"/>
  <c r="N12680" i="1"/>
  <c r="A12681" i="1"/>
  <c r="C12681" i="1"/>
  <c r="N12681" i="1"/>
  <c r="A12682" i="1"/>
  <c r="C12682" i="1"/>
  <c r="N12682" i="1"/>
  <c r="A12683" i="1"/>
  <c r="C12683" i="1"/>
  <c r="N12683" i="1"/>
  <c r="A12684" i="1"/>
  <c r="C12684" i="1"/>
  <c r="N12684" i="1"/>
  <c r="A12685" i="1"/>
  <c r="C12685" i="1"/>
  <c r="N12685" i="1"/>
  <c r="A12686" i="1"/>
  <c r="C12686" i="1"/>
  <c r="N12686" i="1"/>
  <c r="A12687" i="1"/>
  <c r="C12687" i="1"/>
  <c r="N12687" i="1"/>
  <c r="A12688" i="1"/>
  <c r="C12688" i="1"/>
  <c r="K12688" i="1"/>
  <c r="N12688" i="1"/>
  <c r="A12689" i="1"/>
  <c r="C12689" i="1"/>
  <c r="N12689" i="1"/>
  <c r="A12690" i="1"/>
  <c r="C12690" i="1"/>
  <c r="N12690" i="1"/>
  <c r="A12691" i="1"/>
  <c r="C12691" i="1"/>
  <c r="D12691" i="1"/>
  <c r="N12691" i="1"/>
  <c r="O12691" i="1"/>
  <c r="A12692" i="1"/>
  <c r="C12692" i="1"/>
  <c r="D12692" i="1"/>
  <c r="E12692" i="1"/>
  <c r="N12692" i="1"/>
  <c r="O12692" i="1"/>
  <c r="T12692" i="1"/>
  <c r="A12693" i="1"/>
  <c r="C12693" i="1"/>
  <c r="K12693" i="1"/>
  <c r="N12693" i="1"/>
  <c r="A12694" i="1"/>
  <c r="C12694" i="1"/>
  <c r="K12694" i="1"/>
  <c r="N12694" i="1"/>
  <c r="A12695" i="1"/>
  <c r="C12695" i="1"/>
  <c r="K12695" i="1"/>
  <c r="N12695" i="1"/>
  <c r="A12696" i="1"/>
  <c r="C12696" i="1"/>
  <c r="N12696" i="1"/>
  <c r="A12697" i="1"/>
  <c r="C12697" i="1"/>
  <c r="N12697" i="1"/>
  <c r="A12698" i="1"/>
  <c r="C12698" i="1"/>
  <c r="D12698" i="1"/>
  <c r="K12698" i="1"/>
  <c r="N12698" i="1"/>
  <c r="O12698" i="1"/>
  <c r="A12699" i="1"/>
  <c r="C12699" i="1"/>
  <c r="D12699" i="1"/>
  <c r="K12699" i="1"/>
  <c r="N12699" i="1"/>
  <c r="O12699" i="1"/>
  <c r="A12700" i="1"/>
  <c r="C12700" i="1"/>
  <c r="N12700" i="1"/>
  <c r="A12701" i="1"/>
  <c r="C12701" i="1"/>
  <c r="N12701" i="1"/>
  <c r="A12702" i="1"/>
  <c r="C12702" i="1"/>
  <c r="N12702" i="1"/>
  <c r="A12703" i="1"/>
  <c r="C12703" i="1"/>
  <c r="N12703" i="1"/>
  <c r="A12704" i="1"/>
  <c r="C12704" i="1"/>
  <c r="N12704" i="1"/>
  <c r="A12705" i="1"/>
  <c r="C12705" i="1"/>
  <c r="N12705" i="1"/>
  <c r="A12706" i="1"/>
  <c r="C12706" i="1"/>
  <c r="K12706" i="1"/>
  <c r="N12706" i="1"/>
  <c r="A12707" i="1"/>
  <c r="C12707" i="1"/>
  <c r="K12707" i="1"/>
  <c r="N12707" i="1"/>
  <c r="A12708" i="1"/>
  <c r="C12708" i="1"/>
  <c r="K12708" i="1"/>
  <c r="N12708" i="1"/>
  <c r="A12709" i="1"/>
  <c r="C12709" i="1"/>
  <c r="N12709" i="1"/>
  <c r="A12710" i="1"/>
  <c r="C12710" i="1"/>
  <c r="N12710" i="1"/>
  <c r="A12711" i="1"/>
  <c r="C12711" i="1"/>
  <c r="K12711" i="1"/>
  <c r="N12711" i="1"/>
  <c r="A12712" i="1"/>
  <c r="C12712" i="1"/>
  <c r="N12712" i="1"/>
  <c r="A12713" i="1"/>
  <c r="C12713" i="1"/>
  <c r="N12713" i="1"/>
  <c r="A12714" i="1"/>
  <c r="C12714" i="1"/>
  <c r="N12714" i="1"/>
  <c r="A12715" i="1"/>
  <c r="C12715" i="1"/>
  <c r="N12715" i="1"/>
  <c r="A12716" i="1"/>
  <c r="C12716" i="1"/>
  <c r="K12716" i="1"/>
  <c r="N12716" i="1"/>
  <c r="A12717" i="1"/>
  <c r="C12717" i="1"/>
  <c r="N12717" i="1"/>
  <c r="A12718" i="1"/>
  <c r="C12718" i="1"/>
  <c r="K12718" i="1"/>
  <c r="N12718" i="1"/>
  <c r="A12719" i="1"/>
  <c r="C12719" i="1"/>
  <c r="N12719" i="1"/>
  <c r="A12720" i="1"/>
  <c r="C12720" i="1"/>
  <c r="N12720" i="1"/>
  <c r="A12721" i="1"/>
  <c r="C12721" i="1"/>
  <c r="K12721" i="1"/>
  <c r="N12721" i="1"/>
  <c r="A12722" i="1"/>
  <c r="C12722" i="1"/>
  <c r="N12722" i="1"/>
  <c r="A12723" i="1"/>
  <c r="C12723" i="1"/>
  <c r="N12723" i="1"/>
  <c r="A12724" i="1"/>
  <c r="C12724" i="1"/>
  <c r="N12724" i="1"/>
  <c r="A12725" i="1"/>
  <c r="C12725" i="1"/>
  <c r="K12725" i="1"/>
  <c r="N12725" i="1"/>
  <c r="A12726" i="1"/>
  <c r="C12726" i="1"/>
  <c r="N12726" i="1"/>
  <c r="A12727" i="1"/>
  <c r="C12727" i="1"/>
  <c r="N12727" i="1"/>
  <c r="A12728" i="1"/>
  <c r="C12728" i="1"/>
  <c r="N12728" i="1"/>
  <c r="A12729" i="1"/>
  <c r="C12729" i="1"/>
  <c r="N12729" i="1"/>
  <c r="A12730" i="1"/>
  <c r="C12730" i="1"/>
  <c r="N12730" i="1"/>
  <c r="A12731" i="1"/>
  <c r="C12731" i="1"/>
  <c r="N12731" i="1"/>
  <c r="A12732" i="1"/>
  <c r="C12732" i="1"/>
  <c r="N12732" i="1"/>
  <c r="A12733" i="1"/>
  <c r="C12733" i="1"/>
  <c r="N12733" i="1"/>
  <c r="A12734" i="1"/>
  <c r="C12734" i="1"/>
  <c r="N12734" i="1"/>
  <c r="A12735" i="1"/>
  <c r="C12735" i="1"/>
  <c r="N12735" i="1"/>
  <c r="A12736" i="1"/>
  <c r="C12736" i="1"/>
  <c r="N12736" i="1"/>
  <c r="A12737" i="1"/>
  <c r="C12737" i="1"/>
  <c r="N12737" i="1"/>
  <c r="A12738" i="1"/>
  <c r="C12738" i="1"/>
  <c r="N12738" i="1"/>
  <c r="A12739" i="1"/>
  <c r="C12739" i="1"/>
  <c r="N12739" i="1"/>
  <c r="A12740" i="1"/>
  <c r="C12740" i="1"/>
  <c r="N12740" i="1"/>
  <c r="A12741" i="1"/>
  <c r="C12741" i="1"/>
  <c r="N12741" i="1"/>
  <c r="A12742" i="1"/>
  <c r="C12742" i="1"/>
  <c r="N12742" i="1"/>
  <c r="A12743" i="1"/>
  <c r="C12743" i="1"/>
  <c r="N12743" i="1"/>
  <c r="A12744" i="1"/>
  <c r="C12744" i="1"/>
  <c r="N12744" i="1"/>
  <c r="A12745" i="1"/>
  <c r="C12745" i="1"/>
  <c r="N12745" i="1"/>
  <c r="A12746" i="1"/>
  <c r="C12746" i="1"/>
  <c r="N12746" i="1"/>
  <c r="A12747" i="1"/>
  <c r="C12747" i="1"/>
  <c r="N12747" i="1"/>
  <c r="A12748" i="1"/>
  <c r="C12748" i="1"/>
  <c r="N12748" i="1"/>
  <c r="A12749" i="1"/>
  <c r="C12749" i="1"/>
  <c r="N12749" i="1"/>
  <c r="A12750" i="1"/>
  <c r="C12750" i="1"/>
  <c r="N12750" i="1"/>
  <c r="A12751" i="1"/>
  <c r="C12751" i="1"/>
  <c r="N12751" i="1"/>
  <c r="A12752" i="1"/>
  <c r="C12752" i="1"/>
  <c r="N12752" i="1"/>
  <c r="A12753" i="1"/>
  <c r="C12753" i="1"/>
  <c r="N12753" i="1"/>
  <c r="A12754" i="1"/>
  <c r="C12754" i="1"/>
  <c r="K12754" i="1"/>
  <c r="N12754" i="1"/>
  <c r="A12755" i="1"/>
  <c r="C12755" i="1"/>
  <c r="N12755" i="1"/>
  <c r="A12756" i="1"/>
  <c r="C12756" i="1"/>
  <c r="N12756" i="1"/>
  <c r="A12757" i="1"/>
  <c r="C12757" i="1"/>
  <c r="K12757" i="1"/>
  <c r="N12757" i="1"/>
  <c r="A12758" i="1"/>
  <c r="C12758" i="1"/>
  <c r="N12758" i="1"/>
  <c r="A12759" i="1"/>
  <c r="C12759" i="1"/>
  <c r="N12759" i="1"/>
  <c r="A12760" i="1"/>
  <c r="C12760" i="1"/>
  <c r="N12760" i="1"/>
  <c r="A12761" i="1"/>
  <c r="C12761" i="1"/>
  <c r="N12761" i="1"/>
  <c r="A12762" i="1"/>
  <c r="C12762" i="1"/>
  <c r="N12762" i="1"/>
  <c r="A12763" i="1"/>
  <c r="C12763" i="1"/>
  <c r="N12763" i="1"/>
  <c r="A12764" i="1"/>
  <c r="C12764" i="1"/>
  <c r="N12764" i="1"/>
  <c r="A12765" i="1"/>
  <c r="C12765" i="1"/>
  <c r="N12765" i="1"/>
  <c r="A12766" i="1"/>
  <c r="C12766" i="1"/>
  <c r="N12766" i="1"/>
  <c r="A12767" i="1"/>
  <c r="C12767" i="1"/>
  <c r="N12767" i="1"/>
  <c r="A12768" i="1"/>
  <c r="C12768" i="1"/>
  <c r="D12768" i="1"/>
  <c r="N12768" i="1"/>
  <c r="O12768" i="1"/>
  <c r="A12769" i="1"/>
  <c r="C12769" i="1"/>
  <c r="K12769" i="1"/>
  <c r="N12769" i="1"/>
  <c r="A12770" i="1"/>
  <c r="C12770" i="1"/>
  <c r="N12770" i="1"/>
  <c r="A12771" i="1"/>
  <c r="C12771" i="1"/>
  <c r="K12771" i="1"/>
  <c r="N12771" i="1"/>
  <c r="A12772" i="1"/>
  <c r="C12772" i="1"/>
  <c r="N12772" i="1"/>
  <c r="A12773" i="1"/>
  <c r="C12773" i="1"/>
  <c r="N12773" i="1"/>
  <c r="A12774" i="1"/>
  <c r="C12774" i="1"/>
  <c r="N12774" i="1"/>
  <c r="A12775" i="1"/>
  <c r="C12775" i="1"/>
  <c r="N12775" i="1"/>
  <c r="A12776" i="1"/>
  <c r="C12776" i="1"/>
  <c r="N12776" i="1"/>
  <c r="A12777" i="1"/>
  <c r="C12777" i="1"/>
  <c r="N12777" i="1"/>
  <c r="A12778" i="1"/>
  <c r="C12778" i="1"/>
  <c r="N12778" i="1"/>
  <c r="A12779" i="1"/>
  <c r="C12779" i="1"/>
  <c r="N12779" i="1"/>
  <c r="A12780" i="1"/>
  <c r="C12780" i="1"/>
  <c r="N12780" i="1"/>
  <c r="A12781" i="1"/>
  <c r="C12781" i="1"/>
  <c r="N12781" i="1"/>
  <c r="A12782" i="1"/>
  <c r="C12782" i="1"/>
  <c r="N12782" i="1"/>
  <c r="A12783" i="1"/>
  <c r="C12783" i="1"/>
  <c r="N12783" i="1"/>
  <c r="A12784" i="1"/>
  <c r="C12784" i="1"/>
  <c r="N12784" i="1"/>
  <c r="A12785" i="1"/>
  <c r="C12785" i="1"/>
  <c r="N12785" i="1"/>
  <c r="A12786" i="1"/>
  <c r="C12786" i="1"/>
  <c r="N12786" i="1"/>
  <c r="A12787" i="1"/>
  <c r="C12787" i="1"/>
  <c r="N12787" i="1"/>
  <c r="A12788" i="1"/>
  <c r="C12788" i="1"/>
  <c r="N12788" i="1"/>
  <c r="A12789" i="1"/>
  <c r="C12789" i="1"/>
  <c r="N12789" i="1"/>
  <c r="A12790" i="1"/>
  <c r="C12790" i="1"/>
  <c r="N12790" i="1"/>
  <c r="A12791" i="1"/>
  <c r="C12791" i="1"/>
  <c r="N12791" i="1"/>
  <c r="A12792" i="1"/>
  <c r="C12792" i="1"/>
  <c r="N12792" i="1"/>
  <c r="A12793" i="1"/>
  <c r="C12793" i="1"/>
  <c r="N12793" i="1"/>
  <c r="A12794" i="1"/>
  <c r="C12794" i="1"/>
  <c r="N12794" i="1"/>
  <c r="A12795" i="1"/>
  <c r="C12795" i="1"/>
  <c r="N12795" i="1"/>
  <c r="A12796" i="1"/>
  <c r="C12796" i="1"/>
  <c r="N12796" i="1"/>
  <c r="A12797" i="1"/>
  <c r="C12797" i="1"/>
  <c r="N12797" i="1"/>
  <c r="A12798" i="1"/>
  <c r="C12798" i="1"/>
  <c r="N12798" i="1"/>
  <c r="A12799" i="1"/>
  <c r="C12799" i="1"/>
  <c r="N12799" i="1"/>
  <c r="A12800" i="1"/>
  <c r="C12800" i="1"/>
  <c r="N12800" i="1"/>
  <c r="A12801" i="1"/>
  <c r="C12801" i="1"/>
  <c r="N12801" i="1"/>
  <c r="A12802" i="1"/>
  <c r="C12802" i="1"/>
  <c r="N12802" i="1"/>
  <c r="A12803" i="1"/>
  <c r="C12803" i="1"/>
  <c r="N12803" i="1"/>
  <c r="A12804" i="1"/>
  <c r="C12804" i="1"/>
  <c r="N12804" i="1"/>
  <c r="A12805" i="1"/>
  <c r="C12805" i="1"/>
  <c r="N12805" i="1"/>
  <c r="A12806" i="1"/>
  <c r="C12806" i="1"/>
  <c r="K12806" i="1"/>
  <c r="N12806" i="1"/>
  <c r="A12807" i="1"/>
  <c r="C12807" i="1"/>
  <c r="K12807" i="1"/>
  <c r="N12807" i="1"/>
  <c r="A12808" i="1"/>
  <c r="C12808" i="1"/>
  <c r="N12808" i="1"/>
  <c r="A12809" i="1"/>
  <c r="C12809" i="1"/>
  <c r="E12809" i="1"/>
  <c r="N12809" i="1"/>
  <c r="T12809" i="1"/>
  <c r="A12810" i="1"/>
  <c r="C12810" i="1"/>
  <c r="K12810" i="1"/>
  <c r="N12810" i="1"/>
  <c r="A12811" i="1"/>
  <c r="C12811" i="1"/>
  <c r="N12811" i="1"/>
  <c r="A12812" i="1"/>
  <c r="C12812" i="1"/>
  <c r="N12812" i="1"/>
  <c r="A12813" i="1"/>
  <c r="C12813" i="1"/>
  <c r="K12813" i="1"/>
  <c r="N12813" i="1"/>
  <c r="A12814" i="1"/>
  <c r="C12814" i="1"/>
  <c r="N12814" i="1"/>
  <c r="A12815" i="1"/>
  <c r="C12815" i="1"/>
  <c r="N12815" i="1"/>
  <c r="A12816" i="1"/>
  <c r="C12816" i="1"/>
  <c r="N12816" i="1"/>
  <c r="A12817" i="1"/>
  <c r="C12817" i="1"/>
  <c r="N12817" i="1"/>
  <c r="A12818" i="1"/>
  <c r="C12818" i="1"/>
  <c r="N12818" i="1"/>
  <c r="A12819" i="1"/>
  <c r="C12819" i="1"/>
  <c r="K12819" i="1"/>
  <c r="N12819" i="1"/>
  <c r="A12820" i="1"/>
  <c r="C12820" i="1"/>
  <c r="F12820" i="1"/>
  <c r="N12820" i="1"/>
  <c r="A12821" i="1"/>
  <c r="C12821" i="1"/>
  <c r="N12821" i="1"/>
  <c r="A12822" i="1"/>
  <c r="C12822" i="1"/>
  <c r="N12822" i="1"/>
  <c r="A12823" i="1"/>
  <c r="C12823" i="1"/>
  <c r="E12823" i="1"/>
  <c r="N12823" i="1"/>
  <c r="T12823" i="1"/>
  <c r="A12824" i="1"/>
  <c r="C12824" i="1"/>
  <c r="N12824" i="1"/>
  <c r="A12825" i="1"/>
  <c r="C12825" i="1"/>
  <c r="N12825" i="1"/>
  <c r="A12826" i="1"/>
  <c r="C12826" i="1"/>
  <c r="N12826" i="1"/>
  <c r="A12827" i="1"/>
  <c r="C12827" i="1"/>
  <c r="N12827" i="1"/>
  <c r="A12828" i="1"/>
  <c r="C12828" i="1"/>
  <c r="E12828" i="1"/>
  <c r="N12828" i="1"/>
  <c r="T12828" i="1"/>
  <c r="A12829" i="1"/>
  <c r="C12829" i="1"/>
  <c r="K12829" i="1"/>
  <c r="N12829" i="1"/>
  <c r="A12830" i="1"/>
  <c r="C12830" i="1"/>
  <c r="N12830" i="1"/>
  <c r="A12831" i="1"/>
  <c r="C12831" i="1"/>
  <c r="K12831" i="1"/>
  <c r="N12831" i="1"/>
  <c r="A12832" i="1"/>
  <c r="C12832" i="1"/>
  <c r="N12832" i="1"/>
  <c r="A12833" i="1"/>
  <c r="C12833" i="1"/>
  <c r="N12833" i="1"/>
  <c r="A12834" i="1"/>
  <c r="C12834" i="1"/>
  <c r="N12834" i="1"/>
  <c r="A12835" i="1"/>
  <c r="C12835" i="1"/>
  <c r="K12835" i="1"/>
  <c r="N12835" i="1"/>
  <c r="A12836" i="1"/>
  <c r="C12836" i="1"/>
  <c r="N12836" i="1"/>
  <c r="A12837" i="1"/>
  <c r="C12837" i="1"/>
  <c r="N12837" i="1"/>
  <c r="A12838" i="1"/>
  <c r="C12838" i="1"/>
  <c r="N12838" i="1"/>
  <c r="A12839" i="1"/>
  <c r="C12839" i="1"/>
  <c r="N12839" i="1"/>
  <c r="A12840" i="1"/>
  <c r="C12840" i="1"/>
  <c r="N12840" i="1"/>
  <c r="A12841" i="1"/>
  <c r="C12841" i="1"/>
  <c r="N12841" i="1"/>
  <c r="A12842" i="1"/>
  <c r="C12842" i="1"/>
  <c r="N12842" i="1"/>
  <c r="A12843" i="1"/>
  <c r="C12843" i="1"/>
  <c r="D12843" i="1"/>
  <c r="N12843" i="1"/>
  <c r="O12843" i="1"/>
  <c r="A12844" i="1"/>
  <c r="C12844" i="1"/>
  <c r="K12844" i="1"/>
  <c r="N12844" i="1"/>
  <c r="A12845" i="1"/>
  <c r="C12845" i="1"/>
  <c r="N12845" i="1"/>
  <c r="A12846" i="1"/>
  <c r="C12846" i="1"/>
  <c r="N12846" i="1"/>
  <c r="A12847" i="1"/>
  <c r="C12847" i="1"/>
  <c r="N12847" i="1"/>
  <c r="A12848" i="1"/>
  <c r="C12848" i="1"/>
  <c r="N12848" i="1"/>
  <c r="A12849" i="1"/>
  <c r="C12849" i="1"/>
  <c r="N12849" i="1"/>
  <c r="A12850" i="1"/>
  <c r="C12850" i="1"/>
  <c r="N12850" i="1"/>
  <c r="A12851" i="1"/>
  <c r="C12851" i="1"/>
  <c r="N12851" i="1"/>
  <c r="A12852" i="1"/>
  <c r="C12852" i="1"/>
  <c r="N12852" i="1"/>
  <c r="A12853" i="1"/>
  <c r="C12853" i="1"/>
  <c r="N12853" i="1"/>
  <c r="A12854" i="1"/>
  <c r="C12854" i="1"/>
  <c r="N12854" i="1"/>
  <c r="A12855" i="1"/>
  <c r="C12855" i="1"/>
  <c r="N12855" i="1"/>
  <c r="A12856" i="1"/>
  <c r="C12856" i="1"/>
  <c r="N12856" i="1"/>
  <c r="A12857" i="1"/>
  <c r="C12857" i="1"/>
  <c r="N12857" i="1"/>
  <c r="A12858" i="1"/>
  <c r="C12858" i="1"/>
  <c r="N12858" i="1"/>
  <c r="A12859" i="1"/>
  <c r="C12859" i="1"/>
  <c r="N12859" i="1"/>
  <c r="A12860" i="1"/>
  <c r="C12860" i="1"/>
  <c r="N12860" i="1"/>
  <c r="A12861" i="1"/>
  <c r="C12861" i="1"/>
  <c r="N12861" i="1"/>
  <c r="A12862" i="1"/>
  <c r="C12862" i="1"/>
  <c r="N12862" i="1"/>
  <c r="A12863" i="1"/>
  <c r="C12863" i="1"/>
  <c r="N12863" i="1"/>
  <c r="A12864" i="1"/>
  <c r="C12864" i="1"/>
  <c r="N12864" i="1"/>
  <c r="A12865" i="1"/>
  <c r="C12865" i="1"/>
  <c r="N12865" i="1"/>
  <c r="A12866" i="1"/>
  <c r="C12866" i="1"/>
  <c r="N12866" i="1"/>
  <c r="A12867" i="1"/>
  <c r="C12867" i="1"/>
  <c r="N12867" i="1"/>
  <c r="A12868" i="1"/>
  <c r="C12868" i="1"/>
  <c r="N12868" i="1"/>
  <c r="A12869" i="1"/>
  <c r="C12869" i="1"/>
  <c r="N12869" i="1"/>
  <c r="A12870" i="1"/>
  <c r="C12870" i="1"/>
  <c r="N12870" i="1"/>
  <c r="A12871" i="1"/>
  <c r="C12871" i="1"/>
  <c r="N12871" i="1"/>
  <c r="A12872" i="1"/>
  <c r="C12872" i="1"/>
  <c r="N12872" i="1"/>
  <c r="A12873" i="1"/>
  <c r="C12873" i="1"/>
  <c r="N12873" i="1"/>
  <c r="A12874" i="1"/>
  <c r="C12874" i="1"/>
  <c r="N12874" i="1"/>
  <c r="A12875" i="1"/>
  <c r="C12875" i="1"/>
  <c r="N12875" i="1"/>
  <c r="A12876" i="1"/>
  <c r="C12876" i="1"/>
  <c r="N12876" i="1"/>
  <c r="A12877" i="1"/>
  <c r="C12877" i="1"/>
  <c r="N12877" i="1"/>
  <c r="A12878" i="1"/>
  <c r="C12878" i="1"/>
  <c r="N12878" i="1"/>
  <c r="A12879" i="1"/>
  <c r="C12879" i="1"/>
  <c r="K12879" i="1"/>
  <c r="N12879" i="1"/>
  <c r="A12880" i="1"/>
  <c r="C12880" i="1"/>
  <c r="N12880" i="1"/>
  <c r="A12881" i="1"/>
  <c r="C12881" i="1"/>
  <c r="N12881" i="1"/>
  <c r="A12882" i="1"/>
  <c r="C12882" i="1"/>
  <c r="K12882" i="1"/>
  <c r="N12882" i="1"/>
  <c r="A12883" i="1"/>
  <c r="C12883" i="1"/>
  <c r="N12883" i="1"/>
  <c r="A12884" i="1"/>
  <c r="C12884" i="1"/>
  <c r="N12884" i="1"/>
  <c r="A12885" i="1"/>
  <c r="C12885" i="1"/>
  <c r="N12885" i="1"/>
  <c r="A12886" i="1"/>
  <c r="C12886" i="1"/>
  <c r="N12886" i="1"/>
  <c r="A12887" i="1"/>
  <c r="C12887" i="1"/>
  <c r="N12887" i="1"/>
  <c r="A12888" i="1"/>
  <c r="C12888" i="1"/>
  <c r="N12888" i="1"/>
  <c r="A12889" i="1"/>
  <c r="C12889" i="1"/>
  <c r="N12889" i="1"/>
  <c r="A12890" i="1"/>
  <c r="C12890" i="1"/>
  <c r="N12890" i="1"/>
  <c r="A12891" i="1"/>
  <c r="C12891" i="1"/>
  <c r="N12891" i="1"/>
  <c r="A12892" i="1"/>
  <c r="C12892" i="1"/>
  <c r="N12892" i="1"/>
  <c r="A12893" i="1"/>
  <c r="C12893" i="1"/>
  <c r="N12893" i="1"/>
  <c r="A12894" i="1"/>
  <c r="C12894" i="1"/>
  <c r="E12894" i="1"/>
  <c r="N12894" i="1"/>
  <c r="T12894" i="1"/>
  <c r="A12895" i="1"/>
  <c r="C12895" i="1"/>
  <c r="N12895" i="1"/>
  <c r="A12896" i="1"/>
  <c r="C12896" i="1"/>
  <c r="N12896" i="1"/>
  <c r="A12897" i="1"/>
  <c r="C12897" i="1"/>
  <c r="N12897" i="1"/>
  <c r="A12898" i="1"/>
  <c r="C12898" i="1"/>
  <c r="N12898" i="1"/>
  <c r="A12899" i="1"/>
  <c r="C12899" i="1"/>
  <c r="N12899" i="1"/>
  <c r="A12900" i="1"/>
  <c r="C12900" i="1"/>
  <c r="D12900" i="1"/>
  <c r="N12900" i="1"/>
  <c r="O12900" i="1"/>
  <c r="A12901" i="1"/>
  <c r="C12901" i="1"/>
  <c r="N12901" i="1"/>
  <c r="A12902" i="1"/>
  <c r="C12902" i="1"/>
  <c r="N12902" i="1"/>
  <c r="A12903" i="1"/>
  <c r="C12903" i="1"/>
  <c r="N12903" i="1"/>
  <c r="A12904" i="1"/>
  <c r="C12904" i="1"/>
  <c r="N12904" i="1"/>
  <c r="A12905" i="1"/>
  <c r="C12905" i="1"/>
  <c r="N12905" i="1"/>
  <c r="A12906" i="1"/>
  <c r="C12906" i="1"/>
  <c r="K12906" i="1"/>
  <c r="N12906" i="1"/>
  <c r="A12907" i="1"/>
  <c r="C12907" i="1"/>
  <c r="N12907" i="1"/>
  <c r="A12908" i="1"/>
  <c r="C12908" i="1"/>
  <c r="N12908" i="1"/>
  <c r="A12909" i="1"/>
  <c r="C12909" i="1"/>
  <c r="N12909" i="1"/>
  <c r="A12910" i="1"/>
  <c r="C12910" i="1"/>
  <c r="K12910" i="1"/>
  <c r="N12910" i="1"/>
  <c r="A12911" i="1"/>
  <c r="C12911" i="1"/>
  <c r="N12911" i="1"/>
  <c r="A12912" i="1"/>
  <c r="C12912" i="1"/>
  <c r="N12912" i="1"/>
  <c r="A12913" i="1"/>
  <c r="C12913" i="1"/>
  <c r="N12913" i="1"/>
  <c r="A12914" i="1"/>
  <c r="C12914" i="1"/>
  <c r="K12914" i="1"/>
  <c r="N12914" i="1"/>
  <c r="A12915" i="1"/>
  <c r="C12915" i="1"/>
  <c r="N12915" i="1"/>
  <c r="A12916" i="1"/>
  <c r="C12916" i="1"/>
  <c r="N12916" i="1"/>
  <c r="A12917" i="1"/>
  <c r="C12917" i="1"/>
  <c r="N12917" i="1"/>
  <c r="A12918" i="1"/>
  <c r="C12918" i="1"/>
  <c r="D12918" i="1"/>
  <c r="E12918" i="1"/>
  <c r="N12918" i="1"/>
  <c r="O12918" i="1"/>
  <c r="T12918" i="1"/>
  <c r="A12919" i="1"/>
  <c r="C12919" i="1"/>
  <c r="K12919" i="1"/>
  <c r="N12919" i="1"/>
  <c r="A12920" i="1"/>
  <c r="C12920" i="1"/>
  <c r="N12920" i="1"/>
  <c r="A12921" i="1"/>
  <c r="C12921" i="1"/>
  <c r="N12921" i="1"/>
  <c r="A12922" i="1"/>
  <c r="C12922" i="1"/>
  <c r="N12922" i="1"/>
  <c r="A12923" i="1"/>
  <c r="C12923" i="1"/>
  <c r="N12923" i="1"/>
  <c r="A12924" i="1"/>
  <c r="C12924" i="1"/>
  <c r="N12924" i="1"/>
  <c r="A12925" i="1"/>
  <c r="C12925" i="1"/>
  <c r="N12925" i="1"/>
  <c r="A12926" i="1"/>
  <c r="C12926" i="1"/>
  <c r="N12926" i="1"/>
  <c r="A12927" i="1"/>
  <c r="C12927" i="1"/>
  <c r="N12927" i="1"/>
  <c r="A12928" i="1"/>
  <c r="C12928" i="1"/>
  <c r="N12928" i="1"/>
  <c r="A12929" i="1"/>
  <c r="C12929" i="1"/>
  <c r="N12929" i="1"/>
  <c r="A12930" i="1"/>
  <c r="C12930" i="1"/>
  <c r="N12930" i="1"/>
  <c r="A12931" i="1"/>
  <c r="C12931" i="1"/>
  <c r="K12931" i="1"/>
  <c r="N12931" i="1"/>
  <c r="A12932" i="1"/>
  <c r="C12932" i="1"/>
  <c r="N12932" i="1"/>
  <c r="A12933" i="1"/>
  <c r="C12933" i="1"/>
  <c r="N12933" i="1"/>
  <c r="A12934" i="1"/>
  <c r="C12934" i="1"/>
  <c r="N12934" i="1"/>
  <c r="A12935" i="1"/>
  <c r="C12935" i="1"/>
  <c r="N12935" i="1"/>
  <c r="A12936" i="1"/>
  <c r="C12936" i="1"/>
  <c r="N12936" i="1"/>
  <c r="A12937" i="1"/>
  <c r="C12937" i="1"/>
  <c r="N12937" i="1"/>
  <c r="A12938" i="1"/>
  <c r="C12938" i="1"/>
  <c r="N12938" i="1"/>
  <c r="A12939" i="1"/>
  <c r="C12939" i="1"/>
  <c r="N12939" i="1"/>
  <c r="A12940" i="1"/>
  <c r="C12940" i="1"/>
  <c r="K12940" i="1"/>
  <c r="N12940" i="1"/>
  <c r="A12941" i="1"/>
  <c r="C12941" i="1"/>
  <c r="N12941" i="1"/>
  <c r="A12942" i="1"/>
  <c r="C12942" i="1"/>
  <c r="N12942" i="1"/>
  <c r="A12943" i="1"/>
  <c r="C12943" i="1"/>
  <c r="N12943" i="1"/>
  <c r="A12944" i="1"/>
  <c r="C12944" i="1"/>
  <c r="N12944" i="1"/>
  <c r="A12945" i="1"/>
  <c r="C12945" i="1"/>
  <c r="N12945" i="1"/>
  <c r="A12946" i="1"/>
  <c r="C12946" i="1"/>
  <c r="N12946" i="1"/>
  <c r="A12947" i="1"/>
  <c r="C12947" i="1"/>
  <c r="N12947" i="1"/>
  <c r="A12948" i="1"/>
  <c r="C12948" i="1"/>
  <c r="K12948" i="1"/>
  <c r="N12948" i="1"/>
  <c r="A12949" i="1"/>
  <c r="C12949" i="1"/>
  <c r="K12949" i="1"/>
  <c r="N12949" i="1"/>
  <c r="A12950" i="1"/>
  <c r="C12950" i="1"/>
  <c r="N12950" i="1"/>
  <c r="A12951" i="1"/>
  <c r="C12951" i="1"/>
  <c r="N12951" i="1"/>
  <c r="A12952" i="1"/>
  <c r="C12952" i="1"/>
  <c r="N12952" i="1"/>
  <c r="A12953" i="1"/>
  <c r="C12953" i="1"/>
  <c r="N12953" i="1"/>
  <c r="A12954" i="1"/>
  <c r="C12954" i="1"/>
  <c r="N12954" i="1"/>
  <c r="A12955" i="1"/>
  <c r="C12955" i="1"/>
  <c r="N12955" i="1"/>
  <c r="A12956" i="1"/>
  <c r="C12956" i="1"/>
  <c r="N12956" i="1"/>
  <c r="A12957" i="1"/>
  <c r="C12957" i="1"/>
  <c r="N12957" i="1"/>
  <c r="A12958" i="1"/>
  <c r="C12958" i="1"/>
  <c r="K12958" i="1"/>
  <c r="N12958" i="1"/>
  <c r="A12959" i="1"/>
  <c r="C12959" i="1"/>
  <c r="K12959" i="1"/>
  <c r="N12959" i="1"/>
  <c r="A12960" i="1"/>
  <c r="C12960" i="1"/>
  <c r="N12960" i="1"/>
  <c r="A12961" i="1"/>
  <c r="C12961" i="1"/>
  <c r="N12961" i="1"/>
  <c r="A12962" i="1"/>
  <c r="C12962" i="1"/>
  <c r="N12962" i="1"/>
  <c r="A12963" i="1"/>
  <c r="C12963" i="1"/>
  <c r="N12963" i="1"/>
  <c r="A12964" i="1"/>
  <c r="C12964" i="1"/>
  <c r="K12964" i="1"/>
  <c r="N12964" i="1"/>
  <c r="A12965" i="1"/>
  <c r="C12965" i="1"/>
  <c r="K12965" i="1"/>
  <c r="N12965" i="1"/>
  <c r="A12966" i="1"/>
  <c r="C12966" i="1"/>
  <c r="K12966" i="1"/>
  <c r="N12966" i="1"/>
  <c r="A12967" i="1"/>
  <c r="C12967" i="1"/>
  <c r="N12967" i="1"/>
  <c r="A12968" i="1"/>
  <c r="C12968" i="1"/>
  <c r="N12968" i="1"/>
  <c r="A12969" i="1"/>
  <c r="C12969" i="1"/>
  <c r="N12969" i="1"/>
  <c r="A12970" i="1"/>
  <c r="C12970" i="1"/>
  <c r="N12970" i="1"/>
  <c r="A12971" i="1"/>
  <c r="C12971" i="1"/>
  <c r="K12971" i="1"/>
  <c r="N12971" i="1"/>
  <c r="A12972" i="1"/>
  <c r="C12972" i="1"/>
  <c r="K12972" i="1"/>
  <c r="N12972" i="1"/>
  <c r="A12973" i="1"/>
  <c r="C12973" i="1"/>
  <c r="K12973" i="1"/>
  <c r="N12973" i="1"/>
  <c r="A12974" i="1"/>
  <c r="C12974" i="1"/>
  <c r="N12974" i="1"/>
  <c r="A12975" i="1"/>
  <c r="C12975" i="1"/>
  <c r="K12975" i="1"/>
  <c r="N12975" i="1"/>
  <c r="A12976" i="1"/>
  <c r="C12976" i="1"/>
  <c r="K12976" i="1"/>
  <c r="N12976" i="1"/>
  <c r="A12977" i="1"/>
  <c r="C12977" i="1"/>
  <c r="K12977" i="1"/>
  <c r="N12977" i="1"/>
  <c r="A12978" i="1"/>
  <c r="C12978" i="1"/>
  <c r="K12978" i="1"/>
  <c r="N12978" i="1"/>
  <c r="A12979" i="1"/>
  <c r="C12979" i="1"/>
  <c r="N12979" i="1"/>
  <c r="A12980" i="1"/>
  <c r="C12980" i="1"/>
  <c r="K12980" i="1"/>
  <c r="N12980" i="1"/>
  <c r="A12981" i="1"/>
  <c r="C12981" i="1"/>
  <c r="N12981" i="1"/>
  <c r="A12982" i="1"/>
  <c r="C12982" i="1"/>
  <c r="N12982" i="1"/>
  <c r="A12983" i="1"/>
  <c r="C12983" i="1"/>
  <c r="N12983" i="1"/>
  <c r="A12984" i="1"/>
  <c r="C12984" i="1"/>
  <c r="N12984" i="1"/>
  <c r="A12985" i="1"/>
  <c r="C12985" i="1"/>
  <c r="N12985" i="1"/>
  <c r="A12986" i="1"/>
  <c r="C12986" i="1"/>
  <c r="N12986" i="1"/>
  <c r="A12987" i="1"/>
  <c r="C12987" i="1"/>
  <c r="N12987" i="1"/>
  <c r="A12988" i="1"/>
  <c r="C12988" i="1"/>
  <c r="N12988" i="1"/>
  <c r="A12989" i="1"/>
  <c r="C12989" i="1"/>
  <c r="K12989" i="1"/>
  <c r="N12989" i="1"/>
  <c r="A12990" i="1"/>
  <c r="C12990" i="1"/>
  <c r="K12990" i="1"/>
  <c r="N12990" i="1"/>
  <c r="A12991" i="1"/>
  <c r="C12991" i="1"/>
  <c r="N12991" i="1"/>
  <c r="A12992" i="1"/>
  <c r="C12992" i="1"/>
  <c r="N12992" i="1"/>
  <c r="A12993" i="1"/>
  <c r="C12993" i="1"/>
  <c r="N12993" i="1"/>
  <c r="A12994" i="1"/>
  <c r="C12994" i="1"/>
  <c r="N12994" i="1"/>
  <c r="A12995" i="1"/>
  <c r="C12995" i="1"/>
  <c r="N12995" i="1"/>
  <c r="A12996" i="1"/>
  <c r="C12996" i="1"/>
  <c r="N12996" i="1"/>
  <c r="A12997" i="1"/>
  <c r="C12997" i="1"/>
  <c r="N12997" i="1"/>
  <c r="A12998" i="1"/>
  <c r="C12998" i="1"/>
  <c r="N12998" i="1"/>
  <c r="A12999" i="1"/>
  <c r="C12999" i="1"/>
  <c r="N12999" i="1"/>
  <c r="A13000" i="1"/>
  <c r="C13000" i="1"/>
  <c r="N13000" i="1"/>
  <c r="A13001" i="1"/>
  <c r="C13001" i="1"/>
  <c r="N13001" i="1"/>
  <c r="A13002" i="1"/>
  <c r="C13002" i="1"/>
  <c r="N13002" i="1"/>
  <c r="A13003" i="1"/>
  <c r="C13003" i="1"/>
  <c r="N13003" i="1"/>
  <c r="A13004" i="1"/>
  <c r="C13004" i="1"/>
  <c r="N13004" i="1"/>
  <c r="A13005" i="1"/>
  <c r="C13005" i="1"/>
  <c r="N13005" i="1"/>
  <c r="A13006" i="1"/>
  <c r="C13006" i="1"/>
  <c r="N13006" i="1"/>
  <c r="A13007" i="1"/>
  <c r="C13007" i="1"/>
  <c r="N13007" i="1"/>
  <c r="A13008" i="1"/>
  <c r="C13008" i="1"/>
  <c r="N13008" i="1"/>
  <c r="A13009" i="1"/>
  <c r="C13009" i="1"/>
  <c r="N13009" i="1"/>
  <c r="A13010" i="1"/>
  <c r="C13010" i="1"/>
  <c r="N13010" i="1"/>
  <c r="A13011" i="1"/>
  <c r="C13011" i="1"/>
  <c r="N13011" i="1"/>
  <c r="A13012" i="1"/>
  <c r="C13012" i="1"/>
  <c r="N13012" i="1"/>
  <c r="A13013" i="1"/>
  <c r="C13013" i="1"/>
  <c r="N13013" i="1"/>
  <c r="A13014" i="1"/>
  <c r="C13014" i="1"/>
  <c r="K13014" i="1"/>
  <c r="N13014" i="1"/>
  <c r="A13015" i="1"/>
  <c r="C13015" i="1"/>
  <c r="N13015" i="1"/>
  <c r="A13016" i="1"/>
  <c r="C13016" i="1"/>
  <c r="N13016" i="1"/>
  <c r="A13017" i="1"/>
  <c r="C13017" i="1"/>
  <c r="K13017" i="1"/>
  <c r="N13017" i="1"/>
  <c r="A13018" i="1"/>
  <c r="C13018" i="1"/>
  <c r="N13018" i="1"/>
  <c r="A13019" i="1"/>
  <c r="C13019" i="1"/>
  <c r="K13019" i="1"/>
  <c r="N13019" i="1"/>
  <c r="A13020" i="1"/>
  <c r="C13020" i="1"/>
  <c r="K13020" i="1"/>
  <c r="N13020" i="1"/>
  <c r="A13021" i="1"/>
  <c r="C13021" i="1"/>
  <c r="K13021" i="1"/>
  <c r="N13021" i="1"/>
  <c r="A13022" i="1"/>
  <c r="C13022" i="1"/>
  <c r="K13022" i="1"/>
  <c r="N13022" i="1"/>
  <c r="A13023" i="1"/>
  <c r="C13023" i="1"/>
  <c r="K13023" i="1"/>
  <c r="N13023" i="1"/>
  <c r="A13024" i="1"/>
  <c r="C13024" i="1"/>
  <c r="K13024" i="1"/>
  <c r="N13024" i="1"/>
  <c r="A13025" i="1"/>
  <c r="C13025" i="1"/>
  <c r="K13025" i="1"/>
  <c r="N13025" i="1"/>
  <c r="A13026" i="1"/>
  <c r="C13026" i="1"/>
  <c r="K13026" i="1"/>
  <c r="N13026" i="1"/>
  <c r="A13027" i="1"/>
  <c r="C13027" i="1"/>
  <c r="K13027" i="1"/>
  <c r="N13027" i="1"/>
  <c r="A13028" i="1"/>
  <c r="C13028" i="1"/>
  <c r="K13028" i="1"/>
  <c r="N13028" i="1"/>
  <c r="A13029" i="1"/>
  <c r="C13029" i="1"/>
  <c r="N13029" i="1"/>
  <c r="A13030" i="1"/>
  <c r="C13030" i="1"/>
  <c r="N13030" i="1"/>
  <c r="A13031" i="1"/>
  <c r="C13031" i="1"/>
  <c r="N13031" i="1"/>
  <c r="A13032" i="1"/>
  <c r="C13032" i="1"/>
  <c r="K13032" i="1"/>
  <c r="N13032" i="1"/>
  <c r="A13033" i="1"/>
  <c r="C13033" i="1"/>
  <c r="N13033" i="1"/>
  <c r="A13034" i="1"/>
  <c r="C13034" i="1"/>
  <c r="N13034" i="1"/>
  <c r="A13035" i="1"/>
  <c r="C13035" i="1"/>
  <c r="N13035" i="1"/>
  <c r="A13036" i="1"/>
  <c r="C13036" i="1"/>
  <c r="N13036" i="1"/>
  <c r="A13037" i="1"/>
  <c r="C13037" i="1"/>
  <c r="N13037" i="1"/>
  <c r="A13038" i="1"/>
  <c r="C13038" i="1"/>
  <c r="K13038" i="1"/>
  <c r="N13038" i="1"/>
  <c r="A13039" i="1"/>
  <c r="C13039" i="1"/>
  <c r="N13039" i="1"/>
  <c r="A13040" i="1"/>
  <c r="C13040" i="1"/>
  <c r="N13040" i="1"/>
  <c r="A13041" i="1"/>
  <c r="C13041" i="1"/>
  <c r="N13041" i="1"/>
  <c r="A13042" i="1"/>
  <c r="C13042" i="1"/>
  <c r="K13042" i="1"/>
  <c r="N13042" i="1"/>
  <c r="A13043" i="1"/>
  <c r="C13043" i="1"/>
  <c r="K13043" i="1"/>
  <c r="N13043" i="1"/>
  <c r="A13044" i="1"/>
  <c r="C13044" i="1"/>
  <c r="N13044" i="1"/>
  <c r="A13045" i="1"/>
  <c r="C13045" i="1"/>
  <c r="N13045" i="1"/>
  <c r="A13046" i="1"/>
  <c r="C13046" i="1"/>
  <c r="N13046" i="1"/>
  <c r="A13047" i="1"/>
  <c r="C13047" i="1"/>
  <c r="N13047" i="1"/>
  <c r="A13048" i="1"/>
  <c r="C13048" i="1"/>
  <c r="N13048" i="1"/>
  <c r="A13049" i="1"/>
  <c r="C13049" i="1"/>
  <c r="N13049" i="1"/>
  <c r="A13050" i="1"/>
  <c r="C13050" i="1"/>
  <c r="K13050" i="1"/>
  <c r="N13050" i="1"/>
  <c r="A13051" i="1"/>
  <c r="C13051" i="1"/>
  <c r="N13051" i="1"/>
  <c r="A13052" i="1"/>
  <c r="C13052" i="1"/>
  <c r="N13052" i="1"/>
  <c r="A13053" i="1"/>
  <c r="C13053" i="1"/>
  <c r="N13053" i="1"/>
  <c r="A13054" i="1"/>
  <c r="C13054" i="1"/>
  <c r="N13054" i="1"/>
  <c r="A13055" i="1"/>
  <c r="C13055" i="1"/>
  <c r="N13055" i="1"/>
  <c r="A13056" i="1"/>
  <c r="C13056" i="1"/>
  <c r="K13056" i="1"/>
  <c r="N13056" i="1"/>
  <c r="A13057" i="1"/>
  <c r="C13057" i="1"/>
  <c r="K13057" i="1"/>
  <c r="N13057" i="1"/>
  <c r="A13058" i="1"/>
  <c r="C13058" i="1"/>
  <c r="N13058" i="1"/>
  <c r="A13059" i="1"/>
  <c r="C13059" i="1"/>
  <c r="N13059" i="1"/>
  <c r="A13060" i="1"/>
  <c r="C13060" i="1"/>
  <c r="N13060" i="1"/>
  <c r="A13061" i="1"/>
  <c r="C13061" i="1"/>
  <c r="K13061" i="1"/>
  <c r="N13061" i="1"/>
  <c r="A13062" i="1"/>
  <c r="C13062" i="1"/>
  <c r="N13062" i="1"/>
  <c r="A13063" i="1"/>
  <c r="C13063" i="1"/>
  <c r="K13063" i="1"/>
  <c r="N13063" i="1"/>
  <c r="A13064" i="1"/>
  <c r="C13064" i="1"/>
  <c r="N13064" i="1"/>
  <c r="A13065" i="1"/>
  <c r="C13065" i="1"/>
  <c r="N13065" i="1"/>
  <c r="A13066" i="1"/>
  <c r="C13066" i="1"/>
  <c r="N13066" i="1"/>
  <c r="A13067" i="1"/>
  <c r="C13067" i="1"/>
  <c r="F13067" i="1"/>
  <c r="N13067" i="1"/>
  <c r="A13068" i="1"/>
  <c r="C13068" i="1"/>
  <c r="F13068" i="1"/>
  <c r="N13068" i="1"/>
  <c r="A13069" i="1"/>
  <c r="C13069" i="1"/>
  <c r="F13069" i="1"/>
  <c r="N13069" i="1"/>
  <c r="A13070" i="1"/>
  <c r="C13070" i="1"/>
  <c r="K13070" i="1"/>
  <c r="N13070" i="1"/>
  <c r="A13071" i="1"/>
  <c r="C13071" i="1"/>
  <c r="N13071" i="1"/>
  <c r="A13072" i="1"/>
  <c r="C13072" i="1"/>
  <c r="N13072" i="1"/>
  <c r="A13073" i="1"/>
  <c r="C13073" i="1"/>
  <c r="N13073" i="1"/>
  <c r="A13074" i="1"/>
  <c r="C13074" i="1"/>
  <c r="K13074" i="1"/>
  <c r="N13074" i="1"/>
  <c r="A13075" i="1"/>
  <c r="C13075" i="1"/>
  <c r="N13075" i="1"/>
  <c r="A13076" i="1"/>
  <c r="C13076" i="1"/>
  <c r="N13076" i="1"/>
  <c r="A13077" i="1"/>
  <c r="C13077" i="1"/>
  <c r="N13077" i="1"/>
  <c r="A13078" i="1"/>
  <c r="C13078" i="1"/>
  <c r="K13078" i="1"/>
  <c r="N13078" i="1"/>
  <c r="A13079" i="1"/>
  <c r="C13079" i="1"/>
  <c r="N13079" i="1"/>
  <c r="A13080" i="1"/>
  <c r="C13080" i="1"/>
  <c r="N13080" i="1"/>
  <c r="A13081" i="1"/>
  <c r="C13081" i="1"/>
  <c r="N13081" i="1"/>
  <c r="A13082" i="1"/>
  <c r="C13082" i="1"/>
  <c r="N13082" i="1"/>
  <c r="A13083" i="1"/>
  <c r="C13083" i="1"/>
  <c r="N13083" i="1"/>
  <c r="A13084" i="1"/>
  <c r="C13084" i="1"/>
  <c r="N13084" i="1"/>
  <c r="A13085" i="1"/>
  <c r="C13085" i="1"/>
  <c r="N13085" i="1"/>
  <c r="A13086" i="1"/>
  <c r="C13086" i="1"/>
  <c r="N13086" i="1"/>
  <c r="A13087" i="1"/>
  <c r="C13087" i="1"/>
  <c r="N13087" i="1"/>
  <c r="A13088" i="1"/>
  <c r="C13088" i="1"/>
  <c r="N13088" i="1"/>
  <c r="A13089" i="1"/>
  <c r="C13089" i="1"/>
  <c r="N13089" i="1"/>
  <c r="A13090" i="1"/>
  <c r="C13090" i="1"/>
  <c r="N13090" i="1"/>
  <c r="A13091" i="1"/>
  <c r="C13091" i="1"/>
  <c r="N13091" i="1"/>
  <c r="A13092" i="1"/>
  <c r="C13092" i="1"/>
  <c r="N13092" i="1"/>
  <c r="A13093" i="1"/>
  <c r="C13093" i="1"/>
  <c r="N13093" i="1"/>
  <c r="A13094" i="1"/>
  <c r="C13094" i="1"/>
  <c r="N13094" i="1"/>
  <c r="A13095" i="1"/>
  <c r="C13095" i="1"/>
  <c r="N13095" i="1"/>
  <c r="A13096" i="1"/>
  <c r="C13096" i="1"/>
  <c r="K13096" i="1"/>
  <c r="N13096" i="1"/>
  <c r="A13097" i="1"/>
  <c r="C13097" i="1"/>
  <c r="N13097" i="1"/>
  <c r="A13098" i="1"/>
  <c r="C13098" i="1"/>
  <c r="N13098" i="1"/>
  <c r="A13099" i="1"/>
  <c r="C13099" i="1"/>
  <c r="N13099" i="1"/>
  <c r="A13100" i="1"/>
  <c r="C13100" i="1"/>
  <c r="N13100" i="1"/>
  <c r="A13101" i="1"/>
  <c r="C13101" i="1"/>
  <c r="N13101" i="1"/>
  <c r="A13102" i="1"/>
  <c r="C13102" i="1"/>
  <c r="N13102" i="1"/>
  <c r="A13103" i="1"/>
  <c r="C13103" i="1"/>
  <c r="N13103" i="1"/>
  <c r="A13104" i="1"/>
  <c r="C13104" i="1"/>
  <c r="N13104" i="1"/>
  <c r="A13105" i="1"/>
  <c r="C13105" i="1"/>
  <c r="D13105" i="1"/>
  <c r="E13105" i="1"/>
  <c r="N13105" i="1"/>
  <c r="O13105" i="1"/>
  <c r="T13105" i="1"/>
  <c r="A13106" i="1"/>
  <c r="C13106" i="1"/>
  <c r="N13106" i="1"/>
  <c r="A13107" i="1"/>
  <c r="C13107" i="1"/>
  <c r="N13107" i="1"/>
  <c r="A13108" i="1"/>
  <c r="C13108" i="1"/>
  <c r="E13108" i="1"/>
  <c r="N13108" i="1"/>
  <c r="T13108" i="1"/>
  <c r="A13109" i="1"/>
  <c r="C13109" i="1"/>
  <c r="N13109" i="1"/>
  <c r="A13110" i="1"/>
  <c r="C13110" i="1"/>
  <c r="N13110" i="1"/>
  <c r="A13111" i="1"/>
  <c r="C13111" i="1"/>
  <c r="N13111" i="1"/>
  <c r="A13112" i="1"/>
  <c r="C13112" i="1"/>
  <c r="N13112" i="1"/>
  <c r="A13113" i="1"/>
  <c r="C13113" i="1"/>
  <c r="N13113" i="1"/>
  <c r="A13114" i="1"/>
  <c r="C13114" i="1"/>
  <c r="N13114" i="1"/>
  <c r="A13115" i="1"/>
  <c r="C13115" i="1"/>
  <c r="N13115" i="1"/>
  <c r="A13116" i="1"/>
  <c r="C13116" i="1"/>
  <c r="N13116" i="1"/>
  <c r="A13117" i="1"/>
  <c r="C13117" i="1"/>
  <c r="N13117" i="1"/>
  <c r="A13118" i="1"/>
  <c r="C13118" i="1"/>
  <c r="N13118" i="1"/>
  <c r="A13119" i="1"/>
  <c r="C13119" i="1"/>
  <c r="K13119" i="1"/>
  <c r="N13119" i="1"/>
  <c r="A13120" i="1"/>
  <c r="C13120" i="1"/>
  <c r="N13120" i="1"/>
  <c r="A13121" i="1"/>
  <c r="C13121" i="1"/>
  <c r="N13121" i="1"/>
  <c r="A13122" i="1"/>
  <c r="C13122" i="1"/>
  <c r="K13122" i="1"/>
  <c r="N13122" i="1"/>
  <c r="A13123" i="1"/>
  <c r="C13123" i="1"/>
  <c r="N13123" i="1"/>
  <c r="A13124" i="1"/>
  <c r="C13124" i="1"/>
  <c r="N13124" i="1"/>
  <c r="A13125" i="1"/>
  <c r="C13125" i="1"/>
  <c r="N13125" i="1"/>
  <c r="A13126" i="1"/>
  <c r="C13126" i="1"/>
  <c r="N13126" i="1"/>
  <c r="A13127" i="1"/>
  <c r="C13127" i="1"/>
  <c r="N13127" i="1"/>
  <c r="A13128" i="1"/>
  <c r="C13128" i="1"/>
  <c r="N13128" i="1"/>
  <c r="A13129" i="1"/>
  <c r="C13129" i="1"/>
  <c r="N13129" i="1"/>
  <c r="A13130" i="1"/>
  <c r="C13130" i="1"/>
  <c r="N13130" i="1"/>
  <c r="A13131" i="1"/>
  <c r="C13131" i="1"/>
  <c r="N13131" i="1"/>
  <c r="A13132" i="1"/>
  <c r="C13132" i="1"/>
  <c r="N13132" i="1"/>
  <c r="A13133" i="1"/>
  <c r="C13133" i="1"/>
  <c r="N13133" i="1"/>
  <c r="A13134" i="1"/>
  <c r="C13134" i="1"/>
  <c r="N13134" i="1"/>
  <c r="A13135" i="1"/>
  <c r="C13135" i="1"/>
  <c r="N13135" i="1"/>
  <c r="A13136" i="1"/>
  <c r="C13136" i="1"/>
  <c r="N13136" i="1"/>
  <c r="A13137" i="1"/>
  <c r="C13137" i="1"/>
  <c r="N13137" i="1"/>
  <c r="A13138" i="1"/>
  <c r="C13138" i="1"/>
  <c r="N13138" i="1"/>
  <c r="A13139" i="1"/>
  <c r="C13139" i="1"/>
  <c r="N13139" i="1"/>
  <c r="A13140" i="1"/>
  <c r="C13140" i="1"/>
  <c r="N13140" i="1"/>
  <c r="A13141" i="1"/>
  <c r="C13141" i="1"/>
  <c r="N13141" i="1"/>
  <c r="A13142" i="1"/>
  <c r="C13142" i="1"/>
  <c r="N13142" i="1"/>
  <c r="A13143" i="1"/>
  <c r="C13143" i="1"/>
  <c r="K13143" i="1"/>
  <c r="N13143" i="1"/>
  <c r="A13144" i="1"/>
  <c r="C13144" i="1"/>
  <c r="N13144" i="1"/>
  <c r="A13145" i="1"/>
  <c r="C13145" i="1"/>
  <c r="K13145" i="1"/>
  <c r="N13145" i="1"/>
  <c r="A13146" i="1"/>
  <c r="C13146" i="1"/>
  <c r="K13146" i="1"/>
  <c r="N13146" i="1"/>
  <c r="A13147" i="1"/>
  <c r="C13147" i="1"/>
  <c r="N13147" i="1"/>
  <c r="A13148" i="1"/>
  <c r="C13148" i="1"/>
  <c r="N13148" i="1"/>
  <c r="A13149" i="1"/>
  <c r="C13149" i="1"/>
  <c r="K13149" i="1"/>
  <c r="N13149" i="1"/>
  <c r="A13150" i="1"/>
  <c r="C13150" i="1"/>
  <c r="N13150" i="1"/>
  <c r="A13151" i="1"/>
  <c r="C13151" i="1"/>
  <c r="N13151" i="1"/>
  <c r="A13152" i="1"/>
  <c r="C13152" i="1"/>
  <c r="N13152" i="1"/>
  <c r="A13153" i="1"/>
  <c r="C13153" i="1"/>
  <c r="N13153" i="1"/>
  <c r="A13154" i="1"/>
  <c r="C13154" i="1"/>
  <c r="K13154" i="1"/>
  <c r="N13154" i="1"/>
  <c r="A13155" i="1"/>
  <c r="C13155" i="1"/>
  <c r="D13155" i="1"/>
  <c r="E13155" i="1"/>
  <c r="N13155" i="1"/>
  <c r="O13155" i="1"/>
  <c r="T13155" i="1"/>
  <c r="A13156" i="1"/>
  <c r="C13156" i="1"/>
  <c r="N13156" i="1"/>
  <c r="A13157" i="1"/>
  <c r="C13157" i="1"/>
  <c r="N13157" i="1"/>
  <c r="A13158" i="1"/>
  <c r="C13158" i="1"/>
  <c r="N13158" i="1"/>
  <c r="A13159" i="1"/>
  <c r="C13159" i="1"/>
  <c r="K13159" i="1"/>
  <c r="N13159" i="1"/>
  <c r="A13160" i="1"/>
  <c r="C13160" i="1"/>
  <c r="N13160" i="1"/>
  <c r="A13161" i="1"/>
  <c r="C13161" i="1"/>
  <c r="N13161" i="1"/>
  <c r="A13162" i="1"/>
  <c r="C13162" i="1"/>
  <c r="N13162" i="1"/>
  <c r="A13163" i="1"/>
  <c r="C13163" i="1"/>
  <c r="K13163" i="1"/>
  <c r="N13163" i="1"/>
  <c r="A13164" i="1"/>
  <c r="C13164" i="1"/>
  <c r="K13164" i="1"/>
  <c r="N13164" i="1"/>
  <c r="A13165" i="1"/>
  <c r="C13165" i="1"/>
  <c r="N13165" i="1"/>
  <c r="A13166" i="1"/>
  <c r="C13166" i="1"/>
  <c r="N13166" i="1"/>
  <c r="A13167" i="1"/>
  <c r="C13167" i="1"/>
  <c r="K13167" i="1"/>
  <c r="N13167" i="1"/>
  <c r="A13168" i="1"/>
  <c r="C13168" i="1"/>
  <c r="K13168" i="1"/>
  <c r="N13168" i="1"/>
  <c r="A13169" i="1"/>
  <c r="C13169" i="1"/>
  <c r="K13169" i="1"/>
  <c r="N13169" i="1"/>
  <c r="A13170" i="1"/>
  <c r="C13170" i="1"/>
  <c r="N13170" i="1"/>
  <c r="A13171" i="1"/>
  <c r="C13171" i="1"/>
  <c r="D13171" i="1"/>
  <c r="E13171" i="1"/>
  <c r="N13171" i="1"/>
  <c r="O13171" i="1"/>
  <c r="T13171" i="1"/>
  <c r="A13172" i="1"/>
  <c r="C13172" i="1"/>
  <c r="N13172" i="1"/>
  <c r="A13173" i="1"/>
  <c r="C13173" i="1"/>
  <c r="N13173" i="1"/>
  <c r="A13174" i="1"/>
  <c r="C13174" i="1"/>
  <c r="N13174" i="1"/>
  <c r="A13175" i="1"/>
  <c r="C13175" i="1"/>
  <c r="N13175" i="1"/>
  <c r="A13176" i="1"/>
  <c r="C13176" i="1"/>
  <c r="N13176" i="1"/>
  <c r="A13177" i="1"/>
  <c r="C13177" i="1"/>
  <c r="N13177" i="1"/>
  <c r="A13178" i="1"/>
  <c r="C13178" i="1"/>
  <c r="N13178" i="1"/>
  <c r="A13179" i="1"/>
  <c r="C13179" i="1"/>
  <c r="N13179" i="1"/>
  <c r="A13180" i="1"/>
  <c r="C13180" i="1"/>
  <c r="N13180" i="1"/>
  <c r="A13181" i="1"/>
  <c r="C13181" i="1"/>
  <c r="N13181" i="1"/>
  <c r="A13182" i="1"/>
  <c r="C13182" i="1"/>
  <c r="N13182" i="1"/>
  <c r="A13183" i="1"/>
  <c r="C13183" i="1"/>
  <c r="N13183" i="1"/>
  <c r="A13184" i="1"/>
  <c r="C13184" i="1"/>
  <c r="N13184" i="1"/>
  <c r="A13185" i="1"/>
  <c r="C13185" i="1"/>
  <c r="N13185" i="1"/>
  <c r="A13186" i="1"/>
  <c r="C13186" i="1"/>
  <c r="N13186" i="1"/>
  <c r="A13187" i="1"/>
  <c r="C13187" i="1"/>
  <c r="N13187" i="1"/>
  <c r="A13188" i="1"/>
  <c r="C13188" i="1"/>
  <c r="N13188" i="1"/>
  <c r="A13189" i="1"/>
  <c r="C13189" i="1"/>
  <c r="K13189" i="1"/>
  <c r="N13189" i="1"/>
  <c r="A13190" i="1"/>
  <c r="C13190" i="1"/>
  <c r="N13190" i="1"/>
  <c r="A13191" i="1"/>
  <c r="C13191" i="1"/>
  <c r="N13191" i="1"/>
  <c r="A13192" i="1"/>
  <c r="C13192" i="1"/>
  <c r="N13192" i="1"/>
  <c r="A13193" i="1"/>
  <c r="C13193" i="1"/>
  <c r="E13193" i="1"/>
  <c r="N13193" i="1"/>
  <c r="T13193" i="1"/>
  <c r="A13194" i="1"/>
  <c r="C13194" i="1"/>
  <c r="K13194" i="1"/>
  <c r="N13194" i="1"/>
  <c r="A13195" i="1"/>
  <c r="C13195" i="1"/>
  <c r="N13195" i="1"/>
  <c r="A13196" i="1"/>
  <c r="C13196" i="1"/>
  <c r="N13196" i="1"/>
  <c r="A13197" i="1"/>
  <c r="C13197" i="1"/>
  <c r="N13197" i="1"/>
  <c r="A13198" i="1"/>
  <c r="C13198" i="1"/>
  <c r="N13198" i="1"/>
  <c r="A13199" i="1"/>
  <c r="C13199" i="1"/>
  <c r="N13199" i="1"/>
  <c r="A13200" i="1"/>
  <c r="C13200" i="1"/>
  <c r="N13200" i="1"/>
  <c r="A13201" i="1"/>
  <c r="C13201" i="1"/>
  <c r="N13201" i="1"/>
  <c r="A13202" i="1"/>
  <c r="C13202" i="1"/>
  <c r="N13202" i="1"/>
  <c r="A13203" i="1"/>
  <c r="C13203" i="1"/>
  <c r="K13203" i="1"/>
  <c r="N13203" i="1"/>
  <c r="A13204" i="1"/>
  <c r="C13204" i="1"/>
  <c r="K13204" i="1"/>
  <c r="N13204" i="1"/>
  <c r="A13205" i="1"/>
  <c r="C13205" i="1"/>
  <c r="N13205" i="1"/>
  <c r="A13206" i="1"/>
  <c r="C13206" i="1"/>
  <c r="N13206" i="1"/>
  <c r="A13207" i="1"/>
  <c r="C13207" i="1"/>
  <c r="N13207" i="1"/>
  <c r="A13208" i="1"/>
  <c r="C13208" i="1"/>
  <c r="N13208" i="1"/>
  <c r="A13209" i="1"/>
  <c r="C13209" i="1"/>
  <c r="N13209" i="1"/>
  <c r="A13210" i="1"/>
  <c r="C13210" i="1"/>
  <c r="N13210" i="1"/>
  <c r="A13211" i="1"/>
  <c r="C13211" i="1"/>
  <c r="N13211" i="1"/>
  <c r="A13212" i="1"/>
  <c r="C13212" i="1"/>
  <c r="N13212" i="1"/>
  <c r="A13213" i="1"/>
  <c r="C13213" i="1"/>
  <c r="K13213" i="1"/>
  <c r="N13213" i="1"/>
  <c r="A13214" i="1"/>
  <c r="C13214" i="1"/>
  <c r="N13214" i="1"/>
  <c r="A13215" i="1"/>
  <c r="C13215" i="1"/>
  <c r="N13215" i="1"/>
  <c r="A13216" i="1"/>
  <c r="C13216" i="1"/>
  <c r="N13216" i="1"/>
  <c r="A13217" i="1"/>
  <c r="C13217" i="1"/>
  <c r="N13217" i="1"/>
  <c r="A13218" i="1"/>
  <c r="C13218" i="1"/>
  <c r="N13218" i="1"/>
  <c r="A13219" i="1"/>
  <c r="C13219" i="1"/>
  <c r="N13219" i="1"/>
  <c r="A13220" i="1"/>
  <c r="C13220" i="1"/>
  <c r="N13220" i="1"/>
  <c r="A13221" i="1"/>
  <c r="C13221" i="1"/>
  <c r="N13221" i="1"/>
  <c r="A13222" i="1"/>
  <c r="C13222" i="1"/>
  <c r="N13222" i="1"/>
  <c r="A13223" i="1"/>
  <c r="C13223" i="1"/>
  <c r="N13223" i="1"/>
  <c r="A13224" i="1"/>
  <c r="C13224" i="1"/>
  <c r="N13224" i="1"/>
  <c r="A13225" i="1"/>
  <c r="C13225" i="1"/>
  <c r="N13225" i="1"/>
  <c r="A13226" i="1"/>
  <c r="C13226" i="1"/>
  <c r="N13226" i="1"/>
  <c r="A13227" i="1"/>
  <c r="C13227" i="1"/>
  <c r="K13227" i="1"/>
  <c r="N13227" i="1"/>
  <c r="A13228" i="1"/>
  <c r="C13228" i="1"/>
  <c r="N13228" i="1"/>
  <c r="A13229" i="1"/>
  <c r="C13229" i="1"/>
  <c r="K13229" i="1"/>
  <c r="N13229" i="1"/>
  <c r="A13230" i="1"/>
  <c r="C13230" i="1"/>
  <c r="N13230" i="1"/>
  <c r="A13231" i="1"/>
  <c r="C13231" i="1"/>
  <c r="N13231" i="1"/>
  <c r="A13232" i="1"/>
  <c r="C13232" i="1"/>
  <c r="N13232" i="1"/>
  <c r="A13233" i="1"/>
  <c r="C13233" i="1"/>
  <c r="N13233" i="1"/>
  <c r="A13234" i="1"/>
  <c r="C13234" i="1"/>
  <c r="N13234" i="1"/>
  <c r="A13235" i="1"/>
  <c r="C13235" i="1"/>
  <c r="N13235" i="1"/>
  <c r="A13236" i="1"/>
  <c r="C13236" i="1"/>
  <c r="E13236" i="1"/>
  <c r="N13236" i="1"/>
  <c r="T13236" i="1"/>
  <c r="A13237" i="1"/>
  <c r="C13237" i="1"/>
  <c r="K13237" i="1"/>
  <c r="N13237" i="1"/>
  <c r="A13238" i="1"/>
  <c r="C13238" i="1"/>
  <c r="N13238" i="1"/>
  <c r="A13239" i="1"/>
  <c r="C13239" i="1"/>
  <c r="K13239" i="1"/>
  <c r="N13239" i="1"/>
  <c r="A13240" i="1"/>
  <c r="C13240" i="1"/>
  <c r="N13240" i="1"/>
  <c r="A13241" i="1"/>
  <c r="C13241" i="1"/>
  <c r="N13241" i="1"/>
  <c r="A13242" i="1"/>
  <c r="C13242" i="1"/>
  <c r="N13242" i="1"/>
  <c r="A13243" i="1"/>
  <c r="C13243" i="1"/>
  <c r="N13243" i="1"/>
  <c r="A13244" i="1"/>
  <c r="C13244" i="1"/>
  <c r="N13244" i="1"/>
  <c r="A13245" i="1"/>
  <c r="C13245" i="1"/>
  <c r="N13245" i="1"/>
  <c r="A13246" i="1"/>
  <c r="C13246" i="1"/>
  <c r="K13246" i="1"/>
  <c r="N13246" i="1"/>
  <c r="A13247" i="1"/>
  <c r="C13247" i="1"/>
  <c r="K13247" i="1"/>
  <c r="N13247" i="1"/>
  <c r="A13248" i="1"/>
  <c r="C13248" i="1"/>
  <c r="K13248" i="1"/>
  <c r="N13248" i="1"/>
  <c r="A13249" i="1"/>
  <c r="C13249" i="1"/>
  <c r="N13249" i="1"/>
  <c r="A13250" i="1"/>
  <c r="C13250" i="1"/>
  <c r="K13250" i="1"/>
  <c r="N13250" i="1"/>
  <c r="A13251" i="1"/>
  <c r="C13251" i="1"/>
  <c r="K13251" i="1"/>
  <c r="N13251" i="1"/>
  <c r="A13252" i="1"/>
  <c r="C13252" i="1"/>
  <c r="N13252" i="1"/>
  <c r="A13253" i="1"/>
  <c r="C13253" i="1"/>
  <c r="N13253" i="1"/>
  <c r="A13254" i="1"/>
  <c r="C13254" i="1"/>
  <c r="N13254" i="1"/>
  <c r="A13255" i="1"/>
  <c r="C13255" i="1"/>
  <c r="N13255" i="1"/>
  <c r="A13256" i="1"/>
  <c r="C13256" i="1"/>
  <c r="N13256" i="1"/>
  <c r="A13257" i="1"/>
  <c r="C13257" i="1"/>
  <c r="N13257" i="1"/>
  <c r="A13258" i="1"/>
  <c r="C13258" i="1"/>
  <c r="N13258" i="1"/>
  <c r="A13259" i="1"/>
  <c r="C13259" i="1"/>
  <c r="N13259" i="1"/>
  <c r="A13260" i="1"/>
  <c r="C13260" i="1"/>
  <c r="N13260" i="1"/>
  <c r="A13261" i="1"/>
  <c r="C13261" i="1"/>
  <c r="N13261" i="1"/>
  <c r="A13262" i="1"/>
  <c r="C13262" i="1"/>
  <c r="N13262" i="1"/>
  <c r="A13263" i="1"/>
  <c r="C13263" i="1"/>
  <c r="N13263" i="1"/>
  <c r="A13264" i="1"/>
  <c r="C13264" i="1"/>
  <c r="N13264" i="1"/>
  <c r="A13265" i="1"/>
  <c r="C13265" i="1"/>
  <c r="N13265" i="1"/>
  <c r="A13266" i="1"/>
  <c r="C13266" i="1"/>
  <c r="N13266" i="1"/>
  <c r="A13267" i="1"/>
  <c r="C13267" i="1"/>
  <c r="N13267" i="1"/>
  <c r="A13268" i="1"/>
  <c r="C13268" i="1"/>
  <c r="N13268" i="1"/>
  <c r="A13269" i="1"/>
  <c r="C13269" i="1"/>
  <c r="N13269" i="1"/>
  <c r="A13270" i="1"/>
  <c r="C13270" i="1"/>
  <c r="N13270" i="1"/>
  <c r="A13271" i="1"/>
  <c r="C13271" i="1"/>
  <c r="N13271" i="1"/>
  <c r="A13272" i="1"/>
  <c r="C13272" i="1"/>
  <c r="K13272" i="1"/>
  <c r="N13272" i="1"/>
  <c r="A13273" i="1"/>
  <c r="C13273" i="1"/>
  <c r="N13273" i="1"/>
  <c r="A13274" i="1"/>
  <c r="C13274" i="1"/>
  <c r="N13274" i="1"/>
  <c r="A13275" i="1"/>
  <c r="C13275" i="1"/>
  <c r="N13275" i="1"/>
  <c r="A13276" i="1"/>
  <c r="C13276" i="1"/>
  <c r="N13276" i="1"/>
  <c r="A13277" i="1"/>
  <c r="C13277" i="1"/>
  <c r="N13277" i="1"/>
  <c r="A13278" i="1"/>
  <c r="C13278" i="1"/>
  <c r="K13278" i="1"/>
  <c r="N13278" i="1"/>
  <c r="A13279" i="1"/>
  <c r="C13279" i="1"/>
  <c r="K13279" i="1"/>
  <c r="N13279" i="1"/>
  <c r="A13280" i="1"/>
  <c r="C13280" i="1"/>
  <c r="N13280" i="1"/>
  <c r="A13281" i="1"/>
  <c r="C13281" i="1"/>
  <c r="N13281" i="1"/>
  <c r="A13282" i="1"/>
  <c r="C13282" i="1"/>
  <c r="K13282" i="1"/>
  <c r="N13282" i="1"/>
  <c r="A13283" i="1"/>
  <c r="C13283" i="1"/>
  <c r="K13283" i="1"/>
  <c r="N13283" i="1"/>
  <c r="A13284" i="1"/>
  <c r="C13284" i="1"/>
  <c r="N13284" i="1"/>
  <c r="A13285" i="1"/>
  <c r="C13285" i="1"/>
  <c r="N13285" i="1"/>
  <c r="A13286" i="1"/>
  <c r="C13286" i="1"/>
  <c r="N13286" i="1"/>
  <c r="A13287" i="1"/>
  <c r="C13287" i="1"/>
  <c r="N13287" i="1"/>
  <c r="A13288" i="1"/>
  <c r="C13288" i="1"/>
  <c r="N13288" i="1"/>
  <c r="A13289" i="1"/>
  <c r="C13289" i="1"/>
  <c r="N13289" i="1"/>
  <c r="A13290" i="1"/>
  <c r="C13290" i="1"/>
  <c r="N13290" i="1"/>
  <c r="A13291" i="1"/>
  <c r="C13291" i="1"/>
  <c r="N13291" i="1"/>
  <c r="A13292" i="1"/>
  <c r="C13292" i="1"/>
  <c r="N13292" i="1"/>
  <c r="A13293" i="1"/>
  <c r="C13293" i="1"/>
  <c r="N13293" i="1"/>
  <c r="A13294" i="1"/>
  <c r="C13294" i="1"/>
  <c r="N13294" i="1"/>
  <c r="A13295" i="1"/>
  <c r="C13295" i="1"/>
  <c r="N13295" i="1"/>
  <c r="A13296" i="1"/>
  <c r="C13296" i="1"/>
  <c r="N13296" i="1"/>
  <c r="A13297" i="1"/>
  <c r="C13297" i="1"/>
  <c r="N13297" i="1"/>
  <c r="A13298" i="1"/>
  <c r="C13298" i="1"/>
  <c r="K13298" i="1"/>
  <c r="N13298" i="1"/>
  <c r="A13299" i="1"/>
  <c r="C13299" i="1"/>
  <c r="N13299" i="1"/>
  <c r="A13300" i="1"/>
  <c r="C13300" i="1"/>
  <c r="N13300" i="1"/>
  <c r="A13301" i="1"/>
  <c r="C13301" i="1"/>
  <c r="N13301" i="1"/>
  <c r="A13302" i="1"/>
  <c r="C13302" i="1"/>
  <c r="K13302" i="1"/>
  <c r="N13302" i="1"/>
  <c r="A13303" i="1"/>
  <c r="C13303" i="1"/>
  <c r="N13303" i="1"/>
  <c r="A13304" i="1"/>
  <c r="C13304" i="1"/>
  <c r="N13304" i="1"/>
  <c r="A13305" i="1"/>
  <c r="C13305" i="1"/>
  <c r="N13305" i="1"/>
  <c r="A13306" i="1"/>
  <c r="C13306" i="1"/>
  <c r="K13306" i="1"/>
  <c r="N13306" i="1"/>
  <c r="A13307" i="1"/>
  <c r="C13307" i="1"/>
  <c r="N13307" i="1"/>
  <c r="A13308" i="1"/>
  <c r="C13308" i="1"/>
  <c r="N13308" i="1"/>
  <c r="A13309" i="1"/>
  <c r="C13309" i="1"/>
  <c r="N13309" i="1"/>
  <c r="A13310" i="1"/>
  <c r="C13310" i="1"/>
  <c r="N13310" i="1"/>
  <c r="A13311" i="1"/>
  <c r="C13311" i="1"/>
  <c r="N13311" i="1"/>
  <c r="A13312" i="1"/>
  <c r="C13312" i="1"/>
  <c r="N13312" i="1"/>
  <c r="A13313" i="1"/>
  <c r="C13313" i="1"/>
  <c r="N13313" i="1"/>
  <c r="A13314" i="1"/>
  <c r="C13314" i="1"/>
  <c r="N13314" i="1"/>
  <c r="A13315" i="1"/>
  <c r="C13315" i="1"/>
  <c r="E13315" i="1"/>
  <c r="N13315" i="1"/>
  <c r="T13315" i="1"/>
  <c r="A13316" i="1"/>
  <c r="C13316" i="1"/>
  <c r="N13316" i="1"/>
  <c r="A13317" i="1"/>
  <c r="C13317" i="1"/>
  <c r="N13317" i="1"/>
  <c r="A13318" i="1"/>
  <c r="C13318" i="1"/>
  <c r="N13318" i="1"/>
  <c r="A13319" i="1"/>
  <c r="C13319" i="1"/>
  <c r="N13319" i="1"/>
  <c r="A13320" i="1"/>
  <c r="C13320" i="1"/>
  <c r="N13320" i="1"/>
  <c r="A13321" i="1"/>
  <c r="C13321" i="1"/>
  <c r="N13321" i="1"/>
  <c r="A13322" i="1"/>
  <c r="C13322" i="1"/>
  <c r="N13322" i="1"/>
  <c r="A13323" i="1"/>
  <c r="C13323" i="1"/>
  <c r="N13323" i="1"/>
  <c r="A13324" i="1"/>
  <c r="C13324" i="1"/>
  <c r="D13324" i="1"/>
  <c r="E13324" i="1"/>
  <c r="N13324" i="1"/>
  <c r="O13324" i="1"/>
  <c r="T13324" i="1"/>
  <c r="A13325" i="1"/>
  <c r="C13325" i="1"/>
  <c r="N13325" i="1"/>
  <c r="A13326" i="1"/>
  <c r="C13326" i="1"/>
  <c r="N13326" i="1"/>
  <c r="A13327" i="1"/>
  <c r="C13327" i="1"/>
  <c r="N13327" i="1"/>
  <c r="A13328" i="1"/>
  <c r="C13328" i="1"/>
  <c r="N13328" i="1"/>
  <c r="A13329" i="1"/>
  <c r="C13329" i="1"/>
  <c r="N13329" i="1"/>
  <c r="A13330" i="1"/>
  <c r="C13330" i="1"/>
  <c r="K13330" i="1"/>
  <c r="N13330" i="1"/>
  <c r="A13331" i="1"/>
  <c r="C13331" i="1"/>
  <c r="K13331" i="1"/>
  <c r="N13331" i="1"/>
  <c r="A13332" i="1"/>
  <c r="C13332" i="1"/>
  <c r="K13332" i="1"/>
  <c r="N13332" i="1"/>
  <c r="A13333" i="1"/>
  <c r="C13333" i="1"/>
  <c r="N13333" i="1"/>
  <c r="A13334" i="1"/>
  <c r="C13334" i="1"/>
  <c r="K13334" i="1"/>
  <c r="N13334" i="1"/>
  <c r="A13335" i="1"/>
  <c r="C13335" i="1"/>
  <c r="K13335" i="1"/>
  <c r="N13335" i="1"/>
  <c r="A13336" i="1"/>
  <c r="C13336" i="1"/>
  <c r="K13336" i="1"/>
  <c r="N13336" i="1"/>
  <c r="A13337" i="1"/>
  <c r="C13337" i="1"/>
  <c r="N13337" i="1"/>
  <c r="A13338" i="1"/>
  <c r="C13338" i="1"/>
  <c r="K13338" i="1"/>
  <c r="N13338" i="1"/>
  <c r="A13339" i="1"/>
  <c r="C13339" i="1"/>
  <c r="N13339" i="1"/>
  <c r="A13340" i="1"/>
  <c r="C13340" i="1"/>
  <c r="N13340" i="1"/>
  <c r="A13341" i="1"/>
  <c r="C13341" i="1"/>
  <c r="N13341" i="1"/>
  <c r="A13342" i="1"/>
  <c r="C13342" i="1"/>
  <c r="N13342" i="1"/>
  <c r="A13343" i="1"/>
  <c r="C13343" i="1"/>
  <c r="K13343" i="1"/>
  <c r="N13343" i="1"/>
  <c r="A13344" i="1"/>
  <c r="C13344" i="1"/>
  <c r="N13344" i="1"/>
  <c r="A13345" i="1"/>
  <c r="C13345" i="1"/>
  <c r="N13345" i="1"/>
  <c r="A13346" i="1"/>
  <c r="C13346" i="1"/>
  <c r="N13346" i="1"/>
  <c r="A13347" i="1"/>
  <c r="C13347" i="1"/>
  <c r="N13347" i="1"/>
  <c r="A13348" i="1"/>
  <c r="C13348" i="1"/>
  <c r="K13348" i="1"/>
  <c r="N13348" i="1"/>
  <c r="A13349" i="1"/>
  <c r="C13349" i="1"/>
  <c r="N13349" i="1"/>
  <c r="A13350" i="1"/>
  <c r="C13350" i="1"/>
  <c r="N13350" i="1"/>
  <c r="A13351" i="1"/>
  <c r="C13351" i="1"/>
  <c r="N13351" i="1"/>
  <c r="A13352" i="1"/>
  <c r="C13352" i="1"/>
  <c r="N13352" i="1"/>
  <c r="A13353" i="1"/>
  <c r="C13353" i="1"/>
  <c r="N13353" i="1"/>
  <c r="A13354" i="1"/>
  <c r="C13354" i="1"/>
  <c r="N13354" i="1"/>
  <c r="A13355" i="1"/>
  <c r="C13355" i="1"/>
  <c r="N13355" i="1"/>
  <c r="A13356" i="1"/>
  <c r="C13356" i="1"/>
  <c r="N13356" i="1"/>
  <c r="A13357" i="1"/>
  <c r="C13357" i="1"/>
  <c r="N13357" i="1"/>
  <c r="A13358" i="1"/>
  <c r="C13358" i="1"/>
  <c r="K13358" i="1"/>
  <c r="N13358" i="1"/>
  <c r="A13359" i="1"/>
  <c r="C13359" i="1"/>
  <c r="N13359" i="1"/>
  <c r="A13360" i="1"/>
  <c r="C13360" i="1"/>
  <c r="N13360" i="1"/>
  <c r="A13361" i="1"/>
  <c r="C13361" i="1"/>
  <c r="N13361" i="1"/>
  <c r="A13362" i="1"/>
  <c r="C13362" i="1"/>
  <c r="K13362" i="1"/>
  <c r="N13362" i="1"/>
  <c r="A13363" i="1"/>
  <c r="C13363" i="1"/>
  <c r="N13363" i="1"/>
  <c r="A13364" i="1"/>
  <c r="C13364" i="1"/>
  <c r="N13364" i="1"/>
  <c r="A13365" i="1"/>
  <c r="C13365" i="1"/>
  <c r="N13365" i="1"/>
  <c r="A13366" i="1"/>
  <c r="C13366" i="1"/>
  <c r="N13366" i="1"/>
  <c r="A13367" i="1"/>
  <c r="C13367" i="1"/>
  <c r="N13367" i="1"/>
  <c r="A13368" i="1"/>
  <c r="C13368" i="1"/>
  <c r="K13368" i="1"/>
  <c r="N13368" i="1"/>
  <c r="A13369" i="1"/>
  <c r="C13369" i="1"/>
  <c r="N13369" i="1"/>
  <c r="A13370" i="1"/>
  <c r="C13370" i="1"/>
  <c r="N13370" i="1"/>
  <c r="A13371" i="1"/>
  <c r="C13371" i="1"/>
  <c r="N13371" i="1"/>
  <c r="A13372" i="1"/>
  <c r="C13372" i="1"/>
  <c r="N13372" i="1"/>
  <c r="A13373" i="1"/>
  <c r="C13373" i="1"/>
  <c r="N13373" i="1"/>
  <c r="A13374" i="1"/>
  <c r="C13374" i="1"/>
  <c r="N13374" i="1"/>
  <c r="A13375" i="1"/>
  <c r="C13375" i="1"/>
  <c r="K13375" i="1"/>
  <c r="N13375" i="1"/>
  <c r="A13376" i="1"/>
  <c r="C13376" i="1"/>
  <c r="N13376" i="1"/>
  <c r="A13377" i="1"/>
  <c r="C13377" i="1"/>
  <c r="N13377" i="1"/>
  <c r="A13378" i="1"/>
  <c r="C13378" i="1"/>
  <c r="N13378" i="1"/>
  <c r="A13379" i="1"/>
  <c r="C13379" i="1"/>
  <c r="N13379" i="1"/>
  <c r="A13380" i="1"/>
  <c r="C13380" i="1"/>
  <c r="N13380" i="1"/>
  <c r="A13381" i="1"/>
  <c r="C13381" i="1"/>
  <c r="N13381" i="1"/>
  <c r="A13382" i="1"/>
  <c r="C13382" i="1"/>
  <c r="N13382" i="1"/>
  <c r="A13383" i="1"/>
  <c r="C13383" i="1"/>
  <c r="N13383" i="1"/>
  <c r="A13384" i="1"/>
  <c r="C13384" i="1"/>
  <c r="K13384" i="1"/>
  <c r="N13384" i="1"/>
  <c r="A13385" i="1"/>
  <c r="C13385" i="1"/>
  <c r="N13385" i="1"/>
  <c r="A13386" i="1"/>
  <c r="C13386" i="1"/>
  <c r="N13386" i="1"/>
  <c r="A13387" i="1"/>
  <c r="C13387" i="1"/>
  <c r="N13387" i="1"/>
  <c r="A13388" i="1"/>
  <c r="C13388" i="1"/>
  <c r="N13388" i="1"/>
  <c r="A13389" i="1"/>
  <c r="C13389" i="1"/>
  <c r="N13389" i="1"/>
  <c r="A13390" i="1"/>
  <c r="C13390" i="1"/>
  <c r="N13390" i="1"/>
  <c r="A13391" i="1"/>
  <c r="C13391" i="1"/>
  <c r="N13391" i="1"/>
  <c r="A13392" i="1"/>
  <c r="C13392" i="1"/>
  <c r="N13392" i="1"/>
  <c r="A13393" i="1"/>
  <c r="C13393" i="1"/>
  <c r="N13393" i="1"/>
  <c r="A13394" i="1"/>
  <c r="C13394" i="1"/>
  <c r="N13394" i="1"/>
  <c r="A13395" i="1"/>
  <c r="C13395" i="1"/>
  <c r="N13395" i="1"/>
  <c r="A13396" i="1"/>
  <c r="C13396" i="1"/>
  <c r="N13396" i="1"/>
  <c r="A13397" i="1"/>
  <c r="C13397" i="1"/>
  <c r="N13397" i="1"/>
  <c r="A13398" i="1"/>
  <c r="C13398" i="1"/>
  <c r="N13398" i="1"/>
  <c r="A13399" i="1"/>
  <c r="C13399" i="1"/>
  <c r="N13399" i="1"/>
  <c r="A13400" i="1"/>
  <c r="C13400" i="1"/>
  <c r="N13400" i="1"/>
  <c r="A13401" i="1"/>
  <c r="C13401" i="1"/>
  <c r="N13401" i="1"/>
  <c r="A13402" i="1"/>
  <c r="C13402" i="1"/>
  <c r="N13402" i="1"/>
  <c r="A13403" i="1"/>
  <c r="C13403" i="1"/>
  <c r="N13403" i="1"/>
  <c r="A13404" i="1"/>
  <c r="C13404" i="1"/>
  <c r="K13404" i="1"/>
  <c r="N13404" i="1"/>
  <c r="A13405" i="1"/>
  <c r="C13405" i="1"/>
  <c r="N13405" i="1"/>
  <c r="A13406" i="1"/>
  <c r="C13406" i="1"/>
  <c r="N13406" i="1"/>
  <c r="A13407" i="1"/>
  <c r="C13407" i="1"/>
  <c r="N13407" i="1"/>
  <c r="A13408" i="1"/>
  <c r="C13408" i="1"/>
  <c r="N13408" i="1"/>
  <c r="A13409" i="1"/>
  <c r="C13409" i="1"/>
  <c r="N13409" i="1"/>
  <c r="A13410" i="1"/>
  <c r="C13410" i="1"/>
  <c r="N13410" i="1"/>
  <c r="A13411" i="1"/>
  <c r="C13411" i="1"/>
  <c r="N13411" i="1"/>
  <c r="A13412" i="1"/>
  <c r="C13412" i="1"/>
  <c r="N13412" i="1"/>
  <c r="A13413" i="1"/>
  <c r="C13413" i="1"/>
  <c r="N13413" i="1"/>
  <c r="A13414" i="1"/>
  <c r="C13414" i="1"/>
  <c r="N13414" i="1"/>
  <c r="A13415" i="1"/>
  <c r="C13415" i="1"/>
  <c r="K13415" i="1"/>
  <c r="N13415" i="1"/>
  <c r="A13416" i="1"/>
  <c r="C13416" i="1"/>
  <c r="N13416" i="1"/>
  <c r="A13417" i="1"/>
  <c r="C13417" i="1"/>
  <c r="N13417" i="1"/>
  <c r="A13418" i="1"/>
  <c r="C13418" i="1"/>
  <c r="N13418" i="1"/>
  <c r="A13419" i="1"/>
  <c r="C13419" i="1"/>
  <c r="N13419" i="1"/>
  <c r="A13420" i="1"/>
  <c r="C13420" i="1"/>
  <c r="N13420" i="1"/>
  <c r="A13421" i="1"/>
  <c r="C13421" i="1"/>
  <c r="K13421" i="1"/>
  <c r="N13421" i="1"/>
  <c r="A13422" i="1"/>
  <c r="C13422" i="1"/>
  <c r="K13422" i="1"/>
  <c r="N13422" i="1"/>
  <c r="A13423" i="1"/>
  <c r="C13423" i="1"/>
  <c r="K13423" i="1"/>
  <c r="N13423" i="1"/>
  <c r="A13424" i="1"/>
  <c r="C13424" i="1"/>
  <c r="N13424" i="1"/>
  <c r="A13425" i="1"/>
  <c r="C13425" i="1"/>
  <c r="K13425" i="1"/>
  <c r="N13425" i="1"/>
  <c r="A13426" i="1"/>
  <c r="C13426" i="1"/>
  <c r="N13426" i="1"/>
  <c r="A13427" i="1"/>
  <c r="C13427" i="1"/>
  <c r="N13427" i="1"/>
  <c r="A13428" i="1"/>
  <c r="C13428" i="1"/>
  <c r="N13428" i="1"/>
  <c r="A13429" i="1"/>
  <c r="C13429" i="1"/>
  <c r="N13429" i="1"/>
  <c r="A13430" i="1"/>
  <c r="C13430" i="1"/>
  <c r="N13430" i="1"/>
  <c r="A13431" i="1"/>
  <c r="C13431" i="1"/>
  <c r="N13431" i="1"/>
  <c r="A13432" i="1"/>
  <c r="C13432" i="1"/>
  <c r="F13432" i="1"/>
  <c r="N13432" i="1"/>
  <c r="A13433" i="1"/>
  <c r="C13433" i="1"/>
  <c r="N13433" i="1"/>
  <c r="A13434" i="1"/>
  <c r="C13434" i="1"/>
  <c r="N13434" i="1"/>
  <c r="A13435" i="1"/>
  <c r="C13435" i="1"/>
  <c r="N13435" i="1"/>
  <c r="A13436" i="1"/>
  <c r="C13436" i="1"/>
  <c r="N13436" i="1"/>
  <c r="A13437" i="1"/>
  <c r="C13437" i="1"/>
  <c r="N13437" i="1"/>
  <c r="A13438" i="1"/>
  <c r="C13438" i="1"/>
  <c r="N13438" i="1"/>
  <c r="A13439" i="1"/>
  <c r="C13439" i="1"/>
  <c r="N13439" i="1"/>
  <c r="A13440" i="1"/>
  <c r="C13440" i="1"/>
  <c r="N13440" i="1"/>
  <c r="A13441" i="1"/>
  <c r="C13441" i="1"/>
  <c r="F13441" i="1"/>
  <c r="N13441" i="1"/>
  <c r="A13442" i="1"/>
  <c r="C13442" i="1"/>
  <c r="K13442" i="1"/>
  <c r="N13442" i="1"/>
  <c r="A13443" i="1"/>
  <c r="C13443" i="1"/>
  <c r="K13443" i="1"/>
  <c r="N13443" i="1"/>
  <c r="A13444" i="1"/>
  <c r="C13444" i="1"/>
  <c r="D13444" i="1"/>
  <c r="K13444" i="1"/>
  <c r="N13444" i="1"/>
  <c r="O13444" i="1"/>
  <c r="A13445" i="1"/>
  <c r="C13445" i="1"/>
  <c r="K13445" i="1"/>
  <c r="N13445" i="1"/>
  <c r="A13446" i="1"/>
  <c r="C13446" i="1"/>
  <c r="K13446" i="1"/>
  <c r="N13446" i="1"/>
  <c r="A13447" i="1"/>
  <c r="C13447" i="1"/>
  <c r="N13447" i="1"/>
  <c r="A13448" i="1"/>
  <c r="C13448" i="1"/>
  <c r="N13448" i="1"/>
  <c r="A13449" i="1"/>
  <c r="C13449" i="1"/>
  <c r="N13449" i="1"/>
  <c r="A13450" i="1"/>
  <c r="C13450" i="1"/>
  <c r="F13450" i="1"/>
  <c r="N13450" i="1"/>
  <c r="A13451" i="1"/>
  <c r="C13451" i="1"/>
  <c r="K13451" i="1"/>
  <c r="N13451" i="1"/>
  <c r="A13452" i="1"/>
  <c r="C13452" i="1"/>
  <c r="K13452" i="1"/>
  <c r="N13452" i="1"/>
  <c r="A13453" i="1"/>
  <c r="C13453" i="1"/>
  <c r="K13453" i="1"/>
  <c r="N13453" i="1"/>
  <c r="A13454" i="1"/>
  <c r="C13454" i="1"/>
  <c r="K13454" i="1"/>
  <c r="N13454" i="1"/>
  <c r="A13455" i="1"/>
  <c r="C13455" i="1"/>
  <c r="K13455" i="1"/>
  <c r="N13455" i="1"/>
  <c r="A13456" i="1"/>
  <c r="C13456" i="1"/>
  <c r="K13456" i="1"/>
  <c r="N13456" i="1"/>
  <c r="A13457" i="1"/>
  <c r="C13457" i="1"/>
  <c r="K13457" i="1"/>
  <c r="N13457" i="1"/>
  <c r="A13458" i="1"/>
  <c r="C13458" i="1"/>
  <c r="K13458" i="1"/>
  <c r="N13458" i="1"/>
  <c r="A13459" i="1"/>
  <c r="C13459" i="1"/>
  <c r="K13459" i="1"/>
  <c r="N13459" i="1"/>
  <c r="A13460" i="1"/>
  <c r="C13460" i="1"/>
  <c r="K13460" i="1"/>
  <c r="N13460" i="1"/>
  <c r="A13461" i="1"/>
  <c r="C13461" i="1"/>
  <c r="K13461" i="1"/>
  <c r="N13461" i="1"/>
  <c r="A13462" i="1"/>
  <c r="C13462" i="1"/>
  <c r="K13462" i="1"/>
  <c r="N13462" i="1"/>
  <c r="A13463" i="1"/>
  <c r="C13463" i="1"/>
  <c r="K13463" i="1"/>
  <c r="N13463" i="1"/>
  <c r="A13464" i="1"/>
  <c r="C13464" i="1"/>
  <c r="K13464" i="1"/>
  <c r="N13464" i="1"/>
  <c r="A13465" i="1"/>
  <c r="C13465" i="1"/>
  <c r="K13465" i="1"/>
  <c r="N13465" i="1"/>
  <c r="A13466" i="1"/>
  <c r="C13466" i="1"/>
  <c r="K13466" i="1"/>
  <c r="N13466" i="1"/>
  <c r="A13467" i="1"/>
  <c r="C13467" i="1"/>
  <c r="K13467" i="1"/>
  <c r="N13467" i="1"/>
  <c r="A13468" i="1"/>
  <c r="C13468" i="1"/>
  <c r="K13468" i="1"/>
  <c r="N13468" i="1"/>
  <c r="A13469" i="1"/>
  <c r="C13469" i="1"/>
  <c r="K13469" i="1"/>
  <c r="N13469" i="1"/>
  <c r="A13470" i="1"/>
  <c r="C13470" i="1"/>
  <c r="K13470" i="1"/>
  <c r="N13470" i="1"/>
  <c r="A13471" i="1"/>
  <c r="C13471" i="1"/>
  <c r="K13471" i="1"/>
  <c r="N13471" i="1"/>
  <c r="A13472" i="1"/>
  <c r="C13472" i="1"/>
  <c r="K13472" i="1"/>
  <c r="N13472" i="1"/>
  <c r="A13473" i="1"/>
  <c r="C13473" i="1"/>
  <c r="K13473" i="1"/>
  <c r="N13473" i="1"/>
  <c r="A13474" i="1"/>
  <c r="C13474" i="1"/>
  <c r="K13474" i="1"/>
  <c r="N13474" i="1"/>
  <c r="A13475" i="1"/>
  <c r="C13475" i="1"/>
  <c r="K13475" i="1"/>
  <c r="N13475" i="1"/>
  <c r="A13476" i="1"/>
  <c r="C13476" i="1"/>
  <c r="K13476" i="1"/>
  <c r="N13476" i="1"/>
  <c r="A13477" i="1"/>
  <c r="C13477" i="1"/>
  <c r="K13477" i="1"/>
  <c r="N13477" i="1"/>
  <c r="A13478" i="1"/>
  <c r="C13478" i="1"/>
  <c r="N13478" i="1"/>
  <c r="A13479" i="1"/>
  <c r="C13479" i="1"/>
  <c r="K13479" i="1"/>
  <c r="N13479" i="1"/>
  <c r="A13480" i="1"/>
  <c r="C13480" i="1"/>
  <c r="N13480" i="1"/>
  <c r="A13481" i="1"/>
  <c r="C13481" i="1"/>
  <c r="F13481" i="1"/>
  <c r="N13481" i="1"/>
  <c r="A13482" i="1"/>
  <c r="C13482" i="1"/>
  <c r="F13482" i="1"/>
  <c r="N13482" i="1"/>
  <c r="A13483" i="1"/>
  <c r="C13483" i="1"/>
  <c r="F13483" i="1"/>
  <c r="N13483" i="1"/>
  <c r="A13484" i="1"/>
  <c r="C13484" i="1"/>
  <c r="F13484" i="1"/>
  <c r="N13484" i="1"/>
  <c r="A13485" i="1"/>
  <c r="C13485" i="1"/>
  <c r="F13485" i="1"/>
  <c r="N13485" i="1"/>
  <c r="A13486" i="1"/>
  <c r="C13486" i="1"/>
  <c r="N13486" i="1"/>
  <c r="A13487" i="1"/>
  <c r="C13487" i="1"/>
  <c r="K13487" i="1"/>
  <c r="N13487" i="1"/>
  <c r="A13488" i="1"/>
  <c r="C13488" i="1"/>
  <c r="K13488" i="1"/>
  <c r="N13488" i="1"/>
  <c r="A13489" i="1"/>
  <c r="C13489" i="1"/>
  <c r="K13489" i="1"/>
  <c r="N13489" i="1"/>
  <c r="A13490" i="1"/>
  <c r="C13490" i="1"/>
  <c r="K13490" i="1"/>
  <c r="N13490" i="1"/>
  <c r="A13491" i="1"/>
  <c r="C13491" i="1"/>
  <c r="K13491" i="1"/>
  <c r="N13491" i="1"/>
  <c r="A13492" i="1"/>
  <c r="C13492" i="1"/>
  <c r="K13492" i="1"/>
  <c r="N13492" i="1"/>
  <c r="A13493" i="1"/>
  <c r="C13493" i="1"/>
  <c r="K13493" i="1"/>
  <c r="N13493" i="1"/>
  <c r="A13494" i="1"/>
  <c r="C13494" i="1"/>
  <c r="K13494" i="1"/>
  <c r="N13494" i="1"/>
  <c r="A13495" i="1"/>
  <c r="C13495" i="1"/>
  <c r="K13495" i="1"/>
  <c r="N13495" i="1"/>
  <c r="A13496" i="1"/>
  <c r="C13496" i="1"/>
  <c r="K13496" i="1"/>
  <c r="N13496" i="1"/>
  <c r="A13497" i="1"/>
  <c r="C13497" i="1"/>
  <c r="N13497" i="1"/>
  <c r="A13498" i="1"/>
  <c r="C13498" i="1"/>
  <c r="K13498" i="1"/>
  <c r="N13498" i="1"/>
  <c r="A13499" i="1"/>
  <c r="C13499" i="1"/>
  <c r="N13499" i="1"/>
  <c r="A13500" i="1"/>
  <c r="C13500" i="1"/>
  <c r="K13500" i="1"/>
  <c r="N13500" i="1"/>
  <c r="A13501" i="1"/>
  <c r="C13501" i="1"/>
  <c r="K13501" i="1"/>
  <c r="N13501" i="1"/>
  <c r="A13502" i="1"/>
  <c r="C13502" i="1"/>
  <c r="N13502" i="1"/>
  <c r="A13503" i="1"/>
  <c r="C13503" i="1"/>
  <c r="K13503" i="1"/>
  <c r="N13503" i="1"/>
  <c r="A13504" i="1"/>
  <c r="C13504" i="1"/>
  <c r="K13504" i="1"/>
  <c r="N13504" i="1"/>
  <c r="A13505" i="1"/>
  <c r="C13505" i="1"/>
  <c r="N13505" i="1"/>
  <c r="A13506" i="1"/>
  <c r="C13506" i="1"/>
  <c r="N13506" i="1"/>
  <c r="A13507" i="1"/>
  <c r="C13507" i="1"/>
  <c r="N13507" i="1"/>
  <c r="A13508" i="1"/>
  <c r="C13508" i="1"/>
  <c r="N13508" i="1"/>
  <c r="A13509" i="1"/>
  <c r="C13509" i="1"/>
  <c r="N13509" i="1"/>
  <c r="A13510" i="1"/>
  <c r="C13510" i="1"/>
  <c r="N13510" i="1"/>
  <c r="A13511" i="1"/>
  <c r="C13511" i="1"/>
  <c r="N13511" i="1"/>
  <c r="A13512" i="1"/>
  <c r="C13512" i="1"/>
  <c r="N13512" i="1"/>
  <c r="A13513" i="1"/>
  <c r="C13513" i="1"/>
  <c r="N13513" i="1"/>
  <c r="A13514" i="1"/>
  <c r="C13514" i="1"/>
  <c r="N13514" i="1"/>
  <c r="A13515" i="1"/>
  <c r="C13515" i="1"/>
  <c r="N13515" i="1"/>
  <c r="A13516" i="1"/>
  <c r="C13516" i="1"/>
  <c r="N13516" i="1"/>
  <c r="A13517" i="1"/>
  <c r="C13517" i="1"/>
  <c r="K13517" i="1"/>
  <c r="N13517" i="1"/>
  <c r="A13518" i="1"/>
  <c r="C13518" i="1"/>
  <c r="K13518" i="1"/>
  <c r="N13518" i="1"/>
  <c r="A13519" i="1"/>
  <c r="C13519" i="1"/>
  <c r="N13519" i="1"/>
  <c r="A13520" i="1"/>
  <c r="C13520" i="1"/>
  <c r="N13520" i="1"/>
  <c r="A13521" i="1"/>
  <c r="C13521" i="1"/>
  <c r="N13521" i="1"/>
  <c r="A13522" i="1"/>
  <c r="C13522" i="1"/>
  <c r="N13522" i="1"/>
  <c r="A13523" i="1"/>
  <c r="C13523" i="1"/>
  <c r="K13523" i="1"/>
  <c r="N13523" i="1"/>
  <c r="A13524" i="1"/>
  <c r="C13524" i="1"/>
  <c r="K13524" i="1"/>
  <c r="N13524" i="1"/>
  <c r="A13525" i="1"/>
  <c r="C13525" i="1"/>
  <c r="N13525" i="1"/>
  <c r="A13526" i="1"/>
  <c r="C13526" i="1"/>
  <c r="N13526" i="1"/>
  <c r="A13527" i="1"/>
  <c r="C13527" i="1"/>
  <c r="N13527" i="1"/>
  <c r="A13528" i="1"/>
  <c r="C13528" i="1"/>
  <c r="N13528" i="1"/>
  <c r="A13529" i="1"/>
  <c r="C13529" i="1"/>
  <c r="N13529" i="1"/>
  <c r="A13530" i="1"/>
  <c r="C13530" i="1"/>
  <c r="N13530" i="1"/>
  <c r="A13531" i="1"/>
  <c r="C13531" i="1"/>
  <c r="N13531" i="1"/>
  <c r="A13532" i="1"/>
  <c r="C13532" i="1"/>
  <c r="N13532" i="1"/>
  <c r="A13533" i="1"/>
  <c r="C13533" i="1"/>
  <c r="N13533" i="1"/>
  <c r="A13534" i="1"/>
  <c r="C13534" i="1"/>
  <c r="N13534" i="1"/>
  <c r="A13535" i="1"/>
  <c r="C13535" i="1"/>
  <c r="N13535" i="1"/>
  <c r="A13536" i="1"/>
  <c r="C13536" i="1"/>
  <c r="N13536" i="1"/>
  <c r="A13537" i="1"/>
  <c r="C13537" i="1"/>
  <c r="N13537" i="1"/>
  <c r="A13538" i="1"/>
  <c r="C13538" i="1"/>
  <c r="N13538" i="1"/>
  <c r="A13539" i="1"/>
  <c r="C13539" i="1"/>
  <c r="N13539" i="1"/>
  <c r="A13540" i="1"/>
  <c r="C13540" i="1"/>
  <c r="N13540" i="1"/>
  <c r="A13541" i="1"/>
  <c r="C13541" i="1"/>
  <c r="N13541" i="1"/>
  <c r="A13542" i="1"/>
  <c r="C13542" i="1"/>
  <c r="N13542" i="1"/>
  <c r="A13543" i="1"/>
  <c r="C13543" i="1"/>
  <c r="N13543" i="1"/>
  <c r="A13544" i="1"/>
  <c r="C13544" i="1"/>
  <c r="N13544" i="1"/>
  <c r="A13545" i="1"/>
  <c r="C13545" i="1"/>
  <c r="N13545" i="1"/>
  <c r="A13546" i="1"/>
  <c r="C13546" i="1"/>
  <c r="N13546" i="1"/>
  <c r="A13547" i="1"/>
  <c r="C13547" i="1"/>
  <c r="N13547" i="1"/>
  <c r="A13548" i="1"/>
  <c r="C13548" i="1"/>
  <c r="N13548" i="1"/>
  <c r="A13549" i="1"/>
  <c r="C13549" i="1"/>
  <c r="N13549" i="1"/>
  <c r="A13550" i="1"/>
  <c r="C13550" i="1"/>
  <c r="N13550" i="1"/>
  <c r="A13551" i="1"/>
  <c r="C13551" i="1"/>
  <c r="N13551" i="1"/>
  <c r="A13552" i="1"/>
  <c r="C13552" i="1"/>
  <c r="N13552" i="1"/>
  <c r="A13553" i="1"/>
  <c r="C13553" i="1"/>
  <c r="N13553" i="1"/>
  <c r="A13554" i="1"/>
  <c r="C13554" i="1"/>
  <c r="N13554" i="1"/>
  <c r="A13555" i="1"/>
  <c r="C13555" i="1"/>
  <c r="N13555" i="1"/>
  <c r="A13556" i="1"/>
  <c r="C13556" i="1"/>
  <c r="N13556" i="1"/>
  <c r="A13557" i="1"/>
  <c r="C13557" i="1"/>
  <c r="N13557" i="1"/>
  <c r="A13558" i="1"/>
  <c r="C13558" i="1"/>
  <c r="D13558" i="1"/>
  <c r="E13558" i="1"/>
  <c r="K13558" i="1"/>
  <c r="N13558" i="1"/>
  <c r="O13558" i="1"/>
  <c r="T13558" i="1"/>
  <c r="A13559" i="1"/>
  <c r="C13559" i="1"/>
  <c r="N13559" i="1"/>
  <c r="A13560" i="1"/>
  <c r="C13560" i="1"/>
  <c r="E13560" i="1"/>
  <c r="N13560" i="1"/>
  <c r="T13560" i="1"/>
  <c r="A13561" i="1"/>
  <c r="C13561" i="1"/>
  <c r="N13561" i="1"/>
  <c r="A13562" i="1"/>
  <c r="C13562" i="1"/>
  <c r="N13562" i="1"/>
  <c r="A13563" i="1"/>
  <c r="C13563" i="1"/>
  <c r="N13563" i="1"/>
  <c r="A13564" i="1"/>
  <c r="C13564" i="1"/>
  <c r="N13564" i="1"/>
  <c r="A13565" i="1"/>
  <c r="C13565" i="1"/>
  <c r="N13565" i="1"/>
  <c r="A13566" i="1"/>
  <c r="C13566" i="1"/>
  <c r="N13566" i="1"/>
  <c r="A13567" i="1"/>
  <c r="C13567" i="1"/>
  <c r="N13567" i="1"/>
  <c r="A13568" i="1"/>
  <c r="C13568" i="1"/>
  <c r="N13568" i="1"/>
  <c r="A13569" i="1"/>
  <c r="C13569" i="1"/>
  <c r="N13569" i="1"/>
  <c r="A13570" i="1"/>
  <c r="C13570" i="1"/>
  <c r="K13570" i="1"/>
  <c r="N13570" i="1"/>
  <c r="A13571" i="1"/>
  <c r="C13571" i="1"/>
  <c r="N13571" i="1"/>
  <c r="A13572" i="1"/>
  <c r="C13572" i="1"/>
  <c r="N13572" i="1"/>
  <c r="A13573" i="1"/>
  <c r="C13573" i="1"/>
  <c r="N13573" i="1"/>
  <c r="A13574" i="1"/>
  <c r="C13574" i="1"/>
  <c r="N13574" i="1"/>
  <c r="A13575" i="1"/>
  <c r="C13575" i="1"/>
  <c r="N13575" i="1"/>
  <c r="A13576" i="1"/>
  <c r="C13576" i="1"/>
  <c r="N13576" i="1"/>
  <c r="A13577" i="1"/>
  <c r="C13577" i="1"/>
  <c r="N13577" i="1"/>
  <c r="A13578" i="1"/>
  <c r="C13578" i="1"/>
  <c r="K13578" i="1"/>
  <c r="N13578" i="1"/>
  <c r="A13579" i="1"/>
  <c r="C13579" i="1"/>
  <c r="N13579" i="1"/>
  <c r="A13580" i="1"/>
  <c r="C13580" i="1"/>
  <c r="N13580" i="1"/>
  <c r="A13581" i="1"/>
  <c r="C13581" i="1"/>
  <c r="N13581" i="1"/>
  <c r="A13582" i="1"/>
  <c r="C13582" i="1"/>
  <c r="N13582" i="1"/>
  <c r="A13583" i="1"/>
  <c r="C13583" i="1"/>
  <c r="N13583" i="1"/>
  <c r="A13584" i="1"/>
  <c r="C13584" i="1"/>
  <c r="N13584" i="1"/>
  <c r="A13585" i="1"/>
  <c r="C13585" i="1"/>
  <c r="K13585" i="1"/>
  <c r="N13585" i="1"/>
  <c r="A13586" i="1"/>
  <c r="C13586" i="1"/>
  <c r="K13586" i="1"/>
  <c r="N13586" i="1"/>
  <c r="A13587" i="1"/>
  <c r="C13587" i="1"/>
  <c r="N13587" i="1"/>
  <c r="A13588" i="1"/>
  <c r="C13588" i="1"/>
  <c r="N13588" i="1"/>
  <c r="A13589" i="1"/>
  <c r="C13589" i="1"/>
  <c r="N13589" i="1"/>
  <c r="A13590" i="1"/>
  <c r="C13590" i="1"/>
  <c r="N13590" i="1"/>
  <c r="A13591" i="1"/>
  <c r="C13591" i="1"/>
  <c r="N13591" i="1"/>
  <c r="A13592" i="1"/>
  <c r="C13592" i="1"/>
  <c r="N13592" i="1"/>
  <c r="A13593" i="1"/>
  <c r="C13593" i="1"/>
  <c r="K13593" i="1"/>
  <c r="N13593" i="1"/>
  <c r="A13594" i="1"/>
  <c r="C13594" i="1"/>
  <c r="N13594" i="1"/>
  <c r="A13595" i="1"/>
  <c r="C13595" i="1"/>
  <c r="N13595" i="1"/>
  <c r="A13596" i="1"/>
  <c r="C13596" i="1"/>
  <c r="N13596" i="1"/>
  <c r="A13597" i="1"/>
  <c r="C13597" i="1"/>
  <c r="N13597" i="1"/>
  <c r="A13598" i="1"/>
  <c r="C13598" i="1"/>
  <c r="N13598" i="1"/>
  <c r="A13599" i="1"/>
  <c r="C13599" i="1"/>
  <c r="N13599" i="1"/>
  <c r="A13600" i="1"/>
  <c r="C13600" i="1"/>
  <c r="N13600" i="1"/>
  <c r="A13601" i="1"/>
  <c r="C13601" i="1"/>
  <c r="N13601" i="1"/>
  <c r="A13602" i="1"/>
  <c r="C13602" i="1"/>
  <c r="N13602" i="1"/>
  <c r="A13603" i="1"/>
  <c r="C13603" i="1"/>
  <c r="N13603" i="1"/>
  <c r="A13604" i="1"/>
  <c r="C13604" i="1"/>
  <c r="N13604" i="1"/>
  <c r="A13605" i="1"/>
  <c r="C13605" i="1"/>
  <c r="N13605" i="1"/>
  <c r="A13606" i="1"/>
  <c r="C13606" i="1"/>
  <c r="N13606" i="1"/>
  <c r="A13607" i="1"/>
  <c r="C13607" i="1"/>
  <c r="N13607" i="1"/>
  <c r="A13608" i="1"/>
  <c r="C13608" i="1"/>
  <c r="N13608" i="1"/>
  <c r="A13609" i="1"/>
  <c r="C13609" i="1"/>
  <c r="N13609" i="1"/>
  <c r="A13610" i="1"/>
  <c r="C13610" i="1"/>
  <c r="N13610" i="1"/>
  <c r="A13611" i="1"/>
  <c r="C13611" i="1"/>
  <c r="N13611" i="1"/>
  <c r="A13612" i="1"/>
  <c r="C13612" i="1"/>
  <c r="N13612" i="1"/>
  <c r="A13613" i="1"/>
  <c r="C13613" i="1"/>
  <c r="N13613" i="1"/>
  <c r="A13614" i="1"/>
  <c r="C13614" i="1"/>
  <c r="N13614" i="1"/>
  <c r="A13615" i="1"/>
  <c r="C13615" i="1"/>
  <c r="E13615" i="1"/>
  <c r="N13615" i="1"/>
  <c r="T13615" i="1"/>
  <c r="A13616" i="1"/>
  <c r="C13616" i="1"/>
  <c r="N13616" i="1"/>
  <c r="A13617" i="1"/>
  <c r="C13617" i="1"/>
  <c r="N13617" i="1"/>
  <c r="A13618" i="1"/>
  <c r="C13618" i="1"/>
  <c r="N13618" i="1"/>
  <c r="A13619" i="1"/>
  <c r="C13619" i="1"/>
  <c r="N13619" i="1"/>
  <c r="A13620" i="1"/>
  <c r="C13620" i="1"/>
  <c r="N13620" i="1"/>
  <c r="A13621" i="1"/>
  <c r="C13621" i="1"/>
  <c r="N13621" i="1"/>
  <c r="A13622" i="1"/>
  <c r="C13622" i="1"/>
  <c r="E13622" i="1"/>
  <c r="N13622" i="1"/>
  <c r="T13622" i="1"/>
  <c r="A13623" i="1"/>
  <c r="C13623" i="1"/>
  <c r="N13623" i="1"/>
  <c r="A13624" i="1"/>
  <c r="C13624" i="1"/>
  <c r="N13624" i="1"/>
  <c r="A13625" i="1"/>
  <c r="C13625" i="1"/>
  <c r="N13625" i="1"/>
  <c r="A13626" i="1"/>
  <c r="C13626" i="1"/>
  <c r="N13626" i="1"/>
  <c r="A13627" i="1"/>
  <c r="C13627" i="1"/>
  <c r="N13627" i="1"/>
  <c r="A13628" i="1"/>
  <c r="C13628" i="1"/>
  <c r="N13628" i="1"/>
  <c r="A13629" i="1"/>
  <c r="C13629" i="1"/>
  <c r="N13629" i="1"/>
  <c r="A13630" i="1"/>
  <c r="C13630" i="1"/>
  <c r="N13630" i="1"/>
  <c r="A13631" i="1"/>
  <c r="C13631" i="1"/>
  <c r="N13631" i="1"/>
  <c r="A13632" i="1"/>
  <c r="C13632" i="1"/>
  <c r="N13632" i="1"/>
  <c r="A13633" i="1"/>
  <c r="C13633" i="1"/>
  <c r="N13633" i="1"/>
  <c r="A13634" i="1"/>
  <c r="C13634" i="1"/>
  <c r="N13634" i="1"/>
  <c r="A13635" i="1"/>
  <c r="C13635" i="1"/>
  <c r="N13635" i="1"/>
  <c r="A13636" i="1"/>
  <c r="C13636" i="1"/>
  <c r="N13636" i="1"/>
  <c r="A13637" i="1"/>
  <c r="C13637" i="1"/>
  <c r="K13637" i="1"/>
  <c r="N13637" i="1"/>
  <c r="A13638" i="1"/>
  <c r="C13638" i="1"/>
  <c r="N13638" i="1"/>
  <c r="A13639" i="1"/>
  <c r="C13639" i="1"/>
  <c r="N13639" i="1"/>
  <c r="A13640" i="1"/>
  <c r="C13640" i="1"/>
  <c r="N13640" i="1"/>
  <c r="A13641" i="1"/>
  <c r="C13641" i="1"/>
  <c r="D13641" i="1"/>
  <c r="E13641" i="1"/>
  <c r="N13641" i="1"/>
  <c r="O13641" i="1"/>
  <c r="T13641" i="1"/>
  <c r="A13642" i="1"/>
  <c r="C13642" i="1"/>
  <c r="N13642" i="1"/>
  <c r="A13643" i="1"/>
  <c r="C13643" i="1"/>
  <c r="N13643" i="1"/>
  <c r="A13644" i="1"/>
  <c r="C13644" i="1"/>
  <c r="N13644" i="1"/>
  <c r="A13645" i="1"/>
  <c r="C13645" i="1"/>
  <c r="E13645" i="1"/>
  <c r="N13645" i="1"/>
  <c r="T13645" i="1"/>
  <c r="A13646" i="1"/>
  <c r="C13646" i="1"/>
  <c r="N13646" i="1"/>
  <c r="A13647" i="1"/>
  <c r="C13647" i="1"/>
  <c r="N13647" i="1"/>
  <c r="A13648" i="1"/>
  <c r="C13648" i="1"/>
  <c r="N13648" i="1"/>
  <c r="A13649" i="1"/>
  <c r="C13649" i="1"/>
  <c r="N13649" i="1"/>
  <c r="A13650" i="1"/>
  <c r="C13650" i="1"/>
  <c r="K13650" i="1"/>
  <c r="N13650" i="1"/>
  <c r="A13651" i="1"/>
  <c r="C13651" i="1"/>
  <c r="K13651" i="1"/>
  <c r="N13651" i="1"/>
  <c r="A13652" i="1"/>
  <c r="C13652" i="1"/>
  <c r="K13652" i="1"/>
  <c r="N13652" i="1"/>
  <c r="A13653" i="1"/>
  <c r="C13653" i="1"/>
  <c r="N13653" i="1"/>
  <c r="A13654" i="1"/>
  <c r="C13654" i="1"/>
  <c r="N13654" i="1"/>
  <c r="A13655" i="1"/>
  <c r="C13655" i="1"/>
  <c r="N13655" i="1"/>
  <c r="A13656" i="1"/>
  <c r="C13656" i="1"/>
  <c r="N13656" i="1"/>
  <c r="A13657" i="1"/>
  <c r="C13657" i="1"/>
  <c r="N13657" i="1"/>
  <c r="A13658" i="1"/>
  <c r="C13658" i="1"/>
  <c r="N13658" i="1"/>
  <c r="A13659" i="1"/>
  <c r="C13659" i="1"/>
  <c r="N13659" i="1"/>
  <c r="A13660" i="1"/>
  <c r="C13660" i="1"/>
  <c r="N13660" i="1"/>
  <c r="A13661" i="1"/>
  <c r="C13661" i="1"/>
  <c r="N13661" i="1"/>
  <c r="A13662" i="1"/>
  <c r="C13662" i="1"/>
  <c r="N13662" i="1"/>
  <c r="A13663" i="1"/>
  <c r="C13663" i="1"/>
  <c r="E13663" i="1"/>
  <c r="K13663" i="1"/>
  <c r="N13663" i="1"/>
  <c r="T13663" i="1"/>
  <c r="A13664" i="1"/>
  <c r="C13664" i="1"/>
  <c r="E13664" i="1"/>
  <c r="K13664" i="1"/>
  <c r="N13664" i="1"/>
  <c r="T13664" i="1"/>
  <c r="A13665" i="1"/>
  <c r="C13665" i="1"/>
  <c r="E13665" i="1"/>
  <c r="K13665" i="1"/>
  <c r="N13665" i="1"/>
  <c r="T13665" i="1"/>
  <c r="A13666" i="1"/>
  <c r="C13666" i="1"/>
  <c r="E13666" i="1"/>
  <c r="K13666" i="1"/>
  <c r="N13666" i="1"/>
  <c r="T13666" i="1"/>
  <c r="A13667" i="1"/>
  <c r="C13667" i="1"/>
  <c r="E13667" i="1"/>
  <c r="K13667" i="1"/>
  <c r="N13667" i="1"/>
  <c r="T13667" i="1"/>
  <c r="A13668" i="1"/>
  <c r="C13668" i="1"/>
  <c r="E13668" i="1"/>
  <c r="K13668" i="1"/>
  <c r="N13668" i="1"/>
  <c r="T13668" i="1"/>
  <c r="A13669" i="1"/>
  <c r="C13669" i="1"/>
  <c r="E13669" i="1"/>
  <c r="K13669" i="1"/>
  <c r="N13669" i="1"/>
  <c r="T13669" i="1"/>
  <c r="A13670" i="1"/>
  <c r="C13670" i="1"/>
  <c r="N13670" i="1"/>
  <c r="A13671" i="1"/>
  <c r="C13671" i="1"/>
  <c r="N13671" i="1"/>
  <c r="A13672" i="1"/>
  <c r="C13672" i="1"/>
  <c r="N13672" i="1"/>
  <c r="A13673" i="1"/>
  <c r="C13673" i="1"/>
  <c r="N13673" i="1"/>
  <c r="A13674" i="1"/>
  <c r="C13674" i="1"/>
  <c r="K13674" i="1"/>
  <c r="N13674" i="1"/>
  <c r="A13675" i="1"/>
  <c r="C13675" i="1"/>
  <c r="K13675" i="1"/>
  <c r="N13675" i="1"/>
  <c r="A13676" i="1"/>
  <c r="C13676" i="1"/>
  <c r="D13676" i="1"/>
  <c r="N13676" i="1"/>
  <c r="O13676" i="1"/>
  <c r="A13677" i="1"/>
  <c r="C13677" i="1"/>
  <c r="N13677" i="1"/>
  <c r="A13678" i="1"/>
  <c r="C13678" i="1"/>
  <c r="K13678" i="1"/>
  <c r="N13678" i="1"/>
  <c r="A13679" i="1"/>
  <c r="C13679" i="1"/>
  <c r="N13679" i="1"/>
  <c r="A13680" i="1"/>
  <c r="C13680" i="1"/>
  <c r="K13680" i="1"/>
  <c r="N13680" i="1"/>
  <c r="A13681" i="1"/>
  <c r="C13681" i="1"/>
  <c r="N13681" i="1"/>
  <c r="A13682" i="1"/>
  <c r="C13682" i="1"/>
  <c r="N13682" i="1"/>
  <c r="A13683" i="1"/>
  <c r="C13683" i="1"/>
  <c r="N13683" i="1"/>
  <c r="A13684" i="1"/>
  <c r="C13684" i="1"/>
  <c r="N13684" i="1"/>
  <c r="A13685" i="1"/>
  <c r="C13685" i="1"/>
  <c r="N13685" i="1"/>
  <c r="A13686" i="1"/>
  <c r="C13686" i="1"/>
  <c r="N13686" i="1"/>
  <c r="A13687" i="1"/>
  <c r="C13687" i="1"/>
  <c r="N13687" i="1"/>
  <c r="A13688" i="1"/>
  <c r="C13688" i="1"/>
  <c r="N13688" i="1"/>
  <c r="A13689" i="1"/>
  <c r="C13689" i="1"/>
  <c r="N13689" i="1"/>
  <c r="A13690" i="1"/>
  <c r="C13690" i="1"/>
  <c r="N13690" i="1"/>
  <c r="A13691" i="1"/>
  <c r="C13691" i="1"/>
  <c r="N13691" i="1"/>
  <c r="A13692" i="1"/>
  <c r="C13692" i="1"/>
  <c r="N13692" i="1"/>
  <c r="A13693" i="1"/>
  <c r="C13693" i="1"/>
  <c r="N13693" i="1"/>
  <c r="A13694" i="1"/>
  <c r="C13694" i="1"/>
  <c r="N13694" i="1"/>
  <c r="A13695" i="1"/>
  <c r="C13695" i="1"/>
  <c r="N13695" i="1"/>
  <c r="A13696" i="1"/>
  <c r="C13696" i="1"/>
  <c r="N13696" i="1"/>
  <c r="A13697" i="1"/>
  <c r="C13697" i="1"/>
  <c r="D13697" i="1"/>
  <c r="N13697" i="1"/>
  <c r="O13697" i="1"/>
  <c r="A13698" i="1"/>
  <c r="C13698" i="1"/>
  <c r="N13698" i="1"/>
  <c r="A13699" i="1"/>
  <c r="C13699" i="1"/>
  <c r="N13699" i="1"/>
  <c r="A13700" i="1"/>
  <c r="C13700" i="1"/>
  <c r="N13700" i="1"/>
  <c r="A13701" i="1"/>
  <c r="C13701" i="1"/>
  <c r="N13701" i="1"/>
  <c r="A13702" i="1"/>
  <c r="C13702" i="1"/>
  <c r="N13702" i="1"/>
  <c r="A13703" i="1"/>
  <c r="C13703" i="1"/>
  <c r="K13703" i="1"/>
  <c r="N13703" i="1"/>
  <c r="A13704" i="1"/>
  <c r="C13704" i="1"/>
  <c r="N13704" i="1"/>
  <c r="A13705" i="1"/>
  <c r="C13705" i="1"/>
  <c r="N13705" i="1"/>
  <c r="A13706" i="1"/>
  <c r="C13706" i="1"/>
  <c r="N13706" i="1"/>
  <c r="A13707" i="1"/>
  <c r="C13707" i="1"/>
  <c r="N13707" i="1"/>
  <c r="A13708" i="1"/>
  <c r="C13708" i="1"/>
  <c r="N13708" i="1"/>
  <c r="A13709" i="1"/>
  <c r="C13709" i="1"/>
  <c r="N13709" i="1"/>
  <c r="A13710" i="1"/>
  <c r="C13710" i="1"/>
  <c r="N13710" i="1"/>
  <c r="A13711" i="1"/>
  <c r="C13711" i="1"/>
  <c r="N13711" i="1"/>
  <c r="A13712" i="1"/>
  <c r="C13712" i="1"/>
  <c r="N13712" i="1"/>
  <c r="A13713" i="1"/>
  <c r="C13713" i="1"/>
  <c r="N13713" i="1"/>
  <c r="A13714" i="1"/>
  <c r="C13714" i="1"/>
  <c r="N13714" i="1"/>
  <c r="A13715" i="1"/>
  <c r="C13715" i="1"/>
  <c r="N13715" i="1"/>
  <c r="A13716" i="1"/>
  <c r="C13716" i="1"/>
  <c r="N13716" i="1"/>
  <c r="A13717" i="1"/>
  <c r="C13717" i="1"/>
  <c r="N13717" i="1"/>
  <c r="A13718" i="1"/>
  <c r="C13718" i="1"/>
  <c r="N13718" i="1"/>
  <c r="A13719" i="1"/>
  <c r="C13719" i="1"/>
  <c r="N13719" i="1"/>
  <c r="A13720" i="1"/>
  <c r="C13720" i="1"/>
  <c r="N13720" i="1"/>
  <c r="A13721" i="1"/>
  <c r="C13721" i="1"/>
  <c r="N13721" i="1"/>
  <c r="A13722" i="1"/>
  <c r="C13722" i="1"/>
  <c r="N13722" i="1"/>
  <c r="A13723" i="1"/>
  <c r="C13723" i="1"/>
  <c r="N13723" i="1"/>
  <c r="A13724" i="1"/>
  <c r="C13724" i="1"/>
  <c r="N13724" i="1"/>
  <c r="A13725" i="1"/>
  <c r="C13725" i="1"/>
  <c r="N13725" i="1"/>
  <c r="A13726" i="1"/>
  <c r="C13726" i="1"/>
  <c r="N13726" i="1"/>
  <c r="A13727" i="1"/>
  <c r="C13727" i="1"/>
  <c r="N13727" i="1"/>
  <c r="A13728" i="1"/>
  <c r="C13728" i="1"/>
  <c r="N13728" i="1"/>
  <c r="A13729" i="1"/>
  <c r="C13729" i="1"/>
  <c r="N13729" i="1"/>
  <c r="A13730" i="1"/>
  <c r="C13730" i="1"/>
  <c r="N13730" i="1"/>
  <c r="A13731" i="1"/>
  <c r="C13731" i="1"/>
  <c r="N13731" i="1"/>
  <c r="A13732" i="1"/>
  <c r="C13732" i="1"/>
  <c r="N13732" i="1"/>
  <c r="A13733" i="1"/>
  <c r="C13733" i="1"/>
  <c r="N13733" i="1"/>
  <c r="A13734" i="1"/>
  <c r="C13734" i="1"/>
  <c r="N13734" i="1"/>
  <c r="A13735" i="1"/>
  <c r="C13735" i="1"/>
  <c r="N13735" i="1"/>
  <c r="A13736" i="1"/>
  <c r="C13736" i="1"/>
  <c r="N13736" i="1"/>
  <c r="A13737" i="1"/>
  <c r="C13737" i="1"/>
  <c r="N13737" i="1"/>
  <c r="A13738" i="1"/>
  <c r="C13738" i="1"/>
  <c r="N13738" i="1"/>
  <c r="A13739" i="1"/>
  <c r="C13739" i="1"/>
  <c r="N13739" i="1"/>
  <c r="A13740" i="1"/>
  <c r="C13740" i="1"/>
  <c r="N13740" i="1"/>
  <c r="A13741" i="1"/>
  <c r="C13741" i="1"/>
  <c r="N13741" i="1"/>
  <c r="A13742" i="1"/>
  <c r="C13742" i="1"/>
  <c r="N13742" i="1"/>
  <c r="A13743" i="1"/>
  <c r="C13743" i="1"/>
  <c r="N13743" i="1"/>
  <c r="A13744" i="1"/>
  <c r="C13744" i="1"/>
  <c r="N13744" i="1"/>
  <c r="A13745" i="1"/>
  <c r="C13745" i="1"/>
  <c r="F13745" i="1"/>
  <c r="K13745" i="1"/>
  <c r="N13745" i="1"/>
  <c r="A13746" i="1"/>
  <c r="C13746" i="1"/>
  <c r="F13746" i="1"/>
  <c r="K13746" i="1"/>
  <c r="N13746" i="1"/>
  <c r="A13747" i="1"/>
  <c r="C13747" i="1"/>
  <c r="F13747" i="1"/>
  <c r="K13747" i="1"/>
  <c r="N13747" i="1"/>
  <c r="A13748" i="1"/>
  <c r="C13748" i="1"/>
  <c r="N13748" i="1"/>
  <c r="A13749" i="1"/>
  <c r="C13749" i="1"/>
  <c r="K13749" i="1"/>
  <c r="N13749" i="1"/>
  <c r="A13750" i="1"/>
  <c r="C13750" i="1"/>
  <c r="N13750" i="1"/>
  <c r="A13751" i="1"/>
  <c r="C13751" i="1"/>
  <c r="N13751" i="1"/>
  <c r="A13752" i="1"/>
  <c r="C13752" i="1"/>
  <c r="N13752" i="1"/>
  <c r="A13753" i="1"/>
  <c r="C13753" i="1"/>
  <c r="N13753" i="1"/>
  <c r="A13754" i="1"/>
  <c r="C13754" i="1"/>
  <c r="N13754" i="1"/>
  <c r="A13755" i="1"/>
  <c r="C13755" i="1"/>
  <c r="N13755" i="1"/>
  <c r="A13756" i="1"/>
  <c r="C13756" i="1"/>
  <c r="N13756" i="1"/>
  <c r="A13757" i="1"/>
  <c r="C13757" i="1"/>
  <c r="N13757" i="1"/>
  <c r="A13758" i="1"/>
  <c r="C13758" i="1"/>
  <c r="K13758" i="1"/>
  <c r="N13758" i="1"/>
  <c r="A13759" i="1"/>
  <c r="C13759" i="1"/>
  <c r="N13759" i="1"/>
  <c r="A13760" i="1"/>
  <c r="C13760" i="1"/>
  <c r="N13760" i="1"/>
  <c r="A13761" i="1"/>
  <c r="C13761" i="1"/>
  <c r="N13761" i="1"/>
  <c r="A13762" i="1"/>
  <c r="C13762" i="1"/>
  <c r="N13762" i="1"/>
  <c r="A13763" i="1"/>
  <c r="C13763" i="1"/>
  <c r="N13763" i="1"/>
  <c r="A13764" i="1"/>
  <c r="C13764" i="1"/>
  <c r="N13764" i="1"/>
  <c r="A13765" i="1"/>
  <c r="C13765" i="1"/>
  <c r="K13765" i="1"/>
  <c r="N13765" i="1"/>
  <c r="A13766" i="1"/>
  <c r="C13766" i="1"/>
  <c r="N13766" i="1"/>
  <c r="A13767" i="1"/>
  <c r="C13767" i="1"/>
  <c r="N13767" i="1"/>
  <c r="A13768" i="1"/>
  <c r="C13768" i="1"/>
  <c r="N13768" i="1"/>
  <c r="A13769" i="1"/>
  <c r="C13769" i="1"/>
  <c r="K13769" i="1"/>
  <c r="N13769" i="1"/>
  <c r="A13770" i="1"/>
  <c r="C13770" i="1"/>
  <c r="K13770" i="1"/>
  <c r="N13770" i="1"/>
  <c r="A13771" i="1"/>
  <c r="C13771" i="1"/>
  <c r="N13771" i="1"/>
  <c r="A13772" i="1"/>
  <c r="C13772" i="1"/>
  <c r="N13772" i="1"/>
  <c r="A13773" i="1"/>
  <c r="C13773" i="1"/>
  <c r="N13773" i="1"/>
  <c r="A13774" i="1"/>
  <c r="C13774" i="1"/>
  <c r="N13774" i="1"/>
  <c r="A13775" i="1"/>
  <c r="C13775" i="1"/>
  <c r="N13775" i="1"/>
  <c r="A13776" i="1"/>
  <c r="C13776" i="1"/>
  <c r="N13776" i="1"/>
  <c r="A13777" i="1"/>
  <c r="C13777" i="1"/>
  <c r="D13777" i="1"/>
  <c r="N13777" i="1"/>
  <c r="O13777" i="1"/>
  <c r="A13778" i="1"/>
  <c r="C13778" i="1"/>
  <c r="N13778" i="1"/>
  <c r="A13779" i="1"/>
  <c r="C13779" i="1"/>
  <c r="N13779" i="1"/>
  <c r="A13780" i="1"/>
  <c r="C13780" i="1"/>
  <c r="N13780" i="1"/>
  <c r="A13781" i="1"/>
  <c r="C13781" i="1"/>
  <c r="E13781" i="1"/>
  <c r="N13781" i="1"/>
  <c r="T13781" i="1"/>
  <c r="A13782" i="1"/>
  <c r="C13782" i="1"/>
  <c r="N13782" i="1"/>
  <c r="A13783" i="1"/>
  <c r="C13783" i="1"/>
  <c r="N13783" i="1"/>
  <c r="A13784" i="1"/>
  <c r="C13784" i="1"/>
  <c r="N13784" i="1"/>
  <c r="A13785" i="1"/>
  <c r="C13785" i="1"/>
  <c r="N13785" i="1"/>
  <c r="A13786" i="1"/>
  <c r="C13786" i="1"/>
  <c r="K13786" i="1"/>
  <c r="N13786" i="1"/>
  <c r="A13787" i="1"/>
  <c r="C13787" i="1"/>
  <c r="N13787" i="1"/>
  <c r="A13788" i="1"/>
  <c r="C13788" i="1"/>
  <c r="N13788" i="1"/>
  <c r="A13789" i="1"/>
  <c r="C13789" i="1"/>
  <c r="N13789" i="1"/>
  <c r="A13790" i="1"/>
  <c r="C13790" i="1"/>
  <c r="N13790" i="1"/>
  <c r="A13791" i="1"/>
  <c r="C13791" i="1"/>
  <c r="N13791" i="1"/>
  <c r="A13792" i="1"/>
  <c r="C13792" i="1"/>
  <c r="N13792" i="1"/>
  <c r="A13793" i="1"/>
  <c r="C13793" i="1"/>
  <c r="N13793" i="1"/>
  <c r="A13794" i="1"/>
  <c r="C13794" i="1"/>
  <c r="N13794" i="1"/>
  <c r="A13795" i="1"/>
  <c r="C13795" i="1"/>
  <c r="N13795" i="1"/>
  <c r="A13796" i="1"/>
  <c r="C13796" i="1"/>
  <c r="K13796" i="1"/>
  <c r="N13796" i="1"/>
  <c r="A13797" i="1"/>
  <c r="C13797" i="1"/>
  <c r="N13797" i="1"/>
  <c r="A13798" i="1"/>
  <c r="C13798" i="1"/>
  <c r="K13798" i="1"/>
  <c r="N13798" i="1"/>
  <c r="A13799" i="1"/>
  <c r="C13799" i="1"/>
  <c r="N13799" i="1"/>
  <c r="A13800" i="1"/>
  <c r="C13800" i="1"/>
  <c r="N13800" i="1"/>
  <c r="A13801" i="1"/>
  <c r="C13801" i="1"/>
  <c r="N13801" i="1"/>
  <c r="A13802" i="1"/>
  <c r="C13802" i="1"/>
  <c r="N13802" i="1"/>
  <c r="A13803" i="1"/>
  <c r="C13803" i="1"/>
  <c r="N13803" i="1"/>
  <c r="A13804" i="1"/>
  <c r="C13804" i="1"/>
  <c r="N13804" i="1"/>
  <c r="A13805" i="1"/>
  <c r="C13805" i="1"/>
  <c r="N13805" i="1"/>
  <c r="A13806" i="1"/>
  <c r="C13806" i="1"/>
  <c r="K13806" i="1"/>
  <c r="N13806" i="1"/>
  <c r="A13807" i="1"/>
  <c r="C13807" i="1"/>
  <c r="N13807" i="1"/>
  <c r="A13808" i="1"/>
  <c r="C13808" i="1"/>
  <c r="N13808" i="1"/>
  <c r="A13809" i="1"/>
  <c r="C13809" i="1"/>
  <c r="K13809" i="1"/>
  <c r="N13809" i="1"/>
  <c r="A13810" i="1"/>
  <c r="C13810" i="1"/>
  <c r="N13810" i="1"/>
  <c r="A13811" i="1"/>
  <c r="C13811" i="1"/>
  <c r="N13811" i="1"/>
  <c r="A13812" i="1"/>
  <c r="C13812" i="1"/>
  <c r="K13812" i="1"/>
  <c r="N13812" i="1"/>
  <c r="A13813" i="1"/>
  <c r="C13813" i="1"/>
  <c r="K13813" i="1"/>
  <c r="N13813" i="1"/>
  <c r="A13814" i="1"/>
  <c r="C13814" i="1"/>
  <c r="N13814" i="1"/>
  <c r="A13815" i="1"/>
  <c r="C13815" i="1"/>
  <c r="N13815" i="1"/>
  <c r="A13816" i="1"/>
  <c r="C13816" i="1"/>
  <c r="N13816" i="1"/>
  <c r="A13817" i="1"/>
  <c r="C13817" i="1"/>
  <c r="K13817" i="1"/>
  <c r="N13817" i="1"/>
  <c r="A13818" i="1"/>
  <c r="C13818" i="1"/>
  <c r="K13818" i="1"/>
  <c r="N13818" i="1"/>
  <c r="A13819" i="1"/>
  <c r="C13819" i="1"/>
  <c r="N13819" i="1"/>
  <c r="A13820" i="1"/>
  <c r="C13820" i="1"/>
  <c r="N13820" i="1"/>
  <c r="A13821" i="1"/>
  <c r="C13821" i="1"/>
  <c r="N13821" i="1"/>
  <c r="A13822" i="1"/>
  <c r="C13822" i="1"/>
  <c r="N13822" i="1"/>
  <c r="A13823" i="1"/>
  <c r="C13823" i="1"/>
  <c r="N13823" i="1"/>
  <c r="A13824" i="1"/>
  <c r="C13824" i="1"/>
  <c r="N13824" i="1"/>
  <c r="A13825" i="1"/>
  <c r="C13825" i="1"/>
  <c r="N13825" i="1"/>
  <c r="A13826" i="1"/>
  <c r="C13826" i="1"/>
  <c r="N13826" i="1"/>
  <c r="A13827" i="1"/>
  <c r="C13827" i="1"/>
  <c r="N13827" i="1"/>
  <c r="A13828" i="1"/>
  <c r="C13828" i="1"/>
  <c r="N13828" i="1"/>
  <c r="A13829" i="1"/>
  <c r="C13829" i="1"/>
  <c r="N13829" i="1"/>
  <c r="A13830" i="1"/>
  <c r="C13830" i="1"/>
  <c r="N13830" i="1"/>
  <c r="A13831" i="1"/>
  <c r="C13831" i="1"/>
  <c r="N13831" i="1"/>
  <c r="A13832" i="1"/>
  <c r="C13832" i="1"/>
  <c r="N13832" i="1"/>
  <c r="A13833" i="1"/>
  <c r="C13833" i="1"/>
  <c r="N13833" i="1"/>
  <c r="A13834" i="1"/>
  <c r="C13834" i="1"/>
  <c r="N13834" i="1"/>
  <c r="A13835" i="1"/>
  <c r="C13835" i="1"/>
  <c r="N13835" i="1"/>
  <c r="A13836" i="1"/>
  <c r="C13836" i="1"/>
  <c r="N13836" i="1"/>
  <c r="A13837" i="1"/>
  <c r="C13837" i="1"/>
  <c r="N13837" i="1"/>
  <c r="A13838" i="1"/>
  <c r="C13838" i="1"/>
  <c r="N13838" i="1"/>
  <c r="A13839" i="1"/>
  <c r="C13839" i="1"/>
  <c r="N13839" i="1"/>
  <c r="A13840" i="1"/>
  <c r="C13840" i="1"/>
  <c r="N13840" i="1"/>
  <c r="A13841" i="1"/>
  <c r="C13841" i="1"/>
  <c r="N13841" i="1"/>
  <c r="A13842" i="1"/>
  <c r="C13842" i="1"/>
  <c r="N13842" i="1"/>
  <c r="A13843" i="1"/>
  <c r="C13843" i="1"/>
  <c r="N13843" i="1"/>
  <c r="A13844" i="1"/>
  <c r="C13844" i="1"/>
  <c r="N13844" i="1"/>
  <c r="A13845" i="1"/>
  <c r="C13845" i="1"/>
  <c r="N13845" i="1"/>
  <c r="A13846" i="1"/>
  <c r="C13846" i="1"/>
  <c r="K13846" i="1"/>
  <c r="N13846" i="1"/>
  <c r="A13847" i="1"/>
  <c r="C13847" i="1"/>
  <c r="N13847" i="1"/>
  <c r="A13848" i="1"/>
  <c r="C13848" i="1"/>
  <c r="N13848" i="1"/>
  <c r="A13849" i="1"/>
  <c r="C13849" i="1"/>
  <c r="N13849" i="1"/>
  <c r="A13850" i="1"/>
  <c r="C13850" i="1"/>
  <c r="N13850" i="1"/>
  <c r="A13851" i="1"/>
  <c r="C13851" i="1"/>
  <c r="N13851" i="1"/>
  <c r="A13852" i="1"/>
  <c r="C13852" i="1"/>
  <c r="N13852" i="1"/>
  <c r="A13853" i="1"/>
  <c r="C13853" i="1"/>
  <c r="N13853" i="1"/>
  <c r="A13854" i="1"/>
  <c r="C13854" i="1"/>
  <c r="N13854" i="1"/>
  <c r="A13855" i="1"/>
  <c r="C13855" i="1"/>
  <c r="N13855" i="1"/>
  <c r="A13856" i="1"/>
  <c r="C13856" i="1"/>
  <c r="N13856" i="1"/>
  <c r="A13857" i="1"/>
  <c r="C13857" i="1"/>
  <c r="N13857" i="1"/>
  <c r="A13858" i="1"/>
  <c r="C13858" i="1"/>
  <c r="N13858" i="1"/>
  <c r="A13859" i="1"/>
  <c r="C13859" i="1"/>
  <c r="N13859" i="1"/>
  <c r="A13860" i="1"/>
  <c r="C13860" i="1"/>
  <c r="N13860" i="1"/>
  <c r="A13861" i="1"/>
  <c r="C13861" i="1"/>
  <c r="N13861" i="1"/>
  <c r="A13862" i="1"/>
  <c r="C13862" i="1"/>
  <c r="N13862" i="1"/>
  <c r="A13863" i="1"/>
  <c r="C13863" i="1"/>
  <c r="N13863" i="1"/>
  <c r="A13864" i="1"/>
  <c r="C13864" i="1"/>
  <c r="N13864" i="1"/>
  <c r="A13865" i="1"/>
  <c r="C13865" i="1"/>
  <c r="N13865" i="1"/>
  <c r="A13866" i="1"/>
  <c r="C13866" i="1"/>
  <c r="N13866" i="1"/>
  <c r="A13867" i="1"/>
  <c r="C13867" i="1"/>
  <c r="N13867" i="1"/>
  <c r="A13868" i="1"/>
  <c r="C13868" i="1"/>
  <c r="N13868" i="1"/>
  <c r="A13869" i="1"/>
  <c r="C13869" i="1"/>
  <c r="N13869" i="1"/>
  <c r="A13870" i="1"/>
  <c r="C13870" i="1"/>
  <c r="N13870" i="1"/>
  <c r="A13871" i="1"/>
  <c r="C13871" i="1"/>
  <c r="N13871" i="1"/>
  <c r="A13872" i="1"/>
  <c r="C13872" i="1"/>
  <c r="N13872" i="1"/>
  <c r="A13873" i="1"/>
  <c r="C13873" i="1"/>
  <c r="N13873" i="1"/>
  <c r="A13874" i="1"/>
  <c r="C13874" i="1"/>
  <c r="N13874" i="1"/>
  <c r="A13875" i="1"/>
  <c r="C13875" i="1"/>
  <c r="N13875" i="1"/>
  <c r="A13876" i="1"/>
  <c r="C13876" i="1"/>
  <c r="N13876" i="1"/>
  <c r="A13877" i="1"/>
  <c r="C13877" i="1"/>
  <c r="N13877" i="1"/>
  <c r="A13878" i="1"/>
  <c r="C13878" i="1"/>
  <c r="K13878" i="1"/>
  <c r="N13878" i="1"/>
  <c r="A13879" i="1"/>
  <c r="C13879" i="1"/>
  <c r="K13879" i="1"/>
  <c r="N13879" i="1"/>
  <c r="A13880" i="1"/>
  <c r="C13880" i="1"/>
  <c r="N13880" i="1"/>
  <c r="A13881" i="1"/>
  <c r="C13881" i="1"/>
  <c r="N13881" i="1"/>
  <c r="A13882" i="1"/>
  <c r="C13882" i="1"/>
  <c r="N13882" i="1"/>
  <c r="A13883" i="1"/>
  <c r="C13883" i="1"/>
  <c r="N13883" i="1"/>
  <c r="A13884" i="1"/>
  <c r="C13884" i="1"/>
  <c r="N13884" i="1"/>
  <c r="A13885" i="1"/>
  <c r="C13885" i="1"/>
  <c r="N13885" i="1"/>
  <c r="A13886" i="1"/>
  <c r="C13886" i="1"/>
  <c r="N13886" i="1"/>
  <c r="A13887" i="1"/>
  <c r="C13887" i="1"/>
  <c r="N13887" i="1"/>
  <c r="A13888" i="1"/>
  <c r="C13888" i="1"/>
  <c r="N13888" i="1"/>
  <c r="A13889" i="1"/>
  <c r="C13889" i="1"/>
  <c r="K13889" i="1"/>
  <c r="N13889" i="1"/>
  <c r="A13890" i="1"/>
  <c r="C13890" i="1"/>
  <c r="N13890" i="1"/>
  <c r="A13891" i="1"/>
  <c r="C13891" i="1"/>
  <c r="K13891" i="1"/>
  <c r="N13891" i="1"/>
  <c r="A13892" i="1"/>
  <c r="C13892" i="1"/>
  <c r="N13892" i="1"/>
  <c r="A13893" i="1"/>
  <c r="C13893" i="1"/>
  <c r="N13893" i="1"/>
  <c r="A13894" i="1"/>
  <c r="C13894" i="1"/>
  <c r="N13894" i="1"/>
  <c r="A13895" i="1"/>
  <c r="C13895" i="1"/>
  <c r="N13895" i="1"/>
  <c r="A13896" i="1"/>
  <c r="C13896" i="1"/>
  <c r="N13896" i="1"/>
  <c r="A13897" i="1"/>
  <c r="C13897" i="1"/>
  <c r="N13897" i="1"/>
  <c r="A13898" i="1"/>
  <c r="C13898" i="1"/>
  <c r="N13898" i="1"/>
  <c r="A13899" i="1"/>
  <c r="C13899" i="1"/>
  <c r="N13899" i="1"/>
  <c r="A13900" i="1"/>
  <c r="C13900" i="1"/>
  <c r="N13900" i="1"/>
  <c r="A13901" i="1"/>
  <c r="C13901" i="1"/>
  <c r="N13901" i="1"/>
  <c r="A13902" i="1"/>
  <c r="C13902" i="1"/>
  <c r="N13902" i="1"/>
  <c r="A13903" i="1"/>
  <c r="C13903" i="1"/>
  <c r="N13903" i="1"/>
  <c r="A13904" i="1"/>
  <c r="C13904" i="1"/>
  <c r="N13904" i="1"/>
  <c r="A13905" i="1"/>
  <c r="C13905" i="1"/>
  <c r="N13905" i="1"/>
  <c r="A13906" i="1"/>
  <c r="C13906" i="1"/>
  <c r="N13906" i="1"/>
  <c r="A13907" i="1"/>
  <c r="C13907" i="1"/>
  <c r="N13907" i="1"/>
  <c r="A13908" i="1"/>
  <c r="C13908" i="1"/>
  <c r="N13908" i="1"/>
  <c r="A13909" i="1"/>
  <c r="C13909" i="1"/>
  <c r="N13909" i="1"/>
  <c r="A13910" i="1"/>
  <c r="C13910" i="1"/>
  <c r="N13910" i="1"/>
  <c r="A13911" i="1"/>
  <c r="C13911" i="1"/>
  <c r="N13911" i="1"/>
  <c r="A13912" i="1"/>
  <c r="C13912" i="1"/>
  <c r="N13912" i="1"/>
  <c r="A13913" i="1"/>
  <c r="C13913" i="1"/>
  <c r="N13913" i="1"/>
  <c r="A13914" i="1"/>
  <c r="C13914" i="1"/>
  <c r="N13914" i="1"/>
  <c r="A13915" i="1"/>
  <c r="C13915" i="1"/>
  <c r="K13915" i="1"/>
  <c r="N13915" i="1"/>
  <c r="A13916" i="1"/>
  <c r="C13916" i="1"/>
  <c r="N13916" i="1"/>
  <c r="A13917" i="1"/>
  <c r="C13917" i="1"/>
  <c r="N13917" i="1"/>
  <c r="A13918" i="1"/>
  <c r="C13918" i="1"/>
  <c r="N13918" i="1"/>
  <c r="A13919" i="1"/>
  <c r="C13919" i="1"/>
  <c r="N13919" i="1"/>
  <c r="A13920" i="1"/>
  <c r="C13920" i="1"/>
  <c r="N13920" i="1"/>
  <c r="A13921" i="1"/>
  <c r="C13921" i="1"/>
  <c r="N13921" i="1"/>
  <c r="A13922" i="1"/>
  <c r="C13922" i="1"/>
  <c r="N13922" i="1"/>
  <c r="A13923" i="1"/>
  <c r="C13923" i="1"/>
  <c r="N13923" i="1"/>
  <c r="A13924" i="1"/>
  <c r="C13924" i="1"/>
  <c r="N13924" i="1"/>
  <c r="A13925" i="1"/>
  <c r="C13925" i="1"/>
  <c r="K13925" i="1"/>
  <c r="N13925" i="1"/>
  <c r="A13926" i="1"/>
  <c r="C13926" i="1"/>
  <c r="K13926" i="1"/>
  <c r="N13926" i="1"/>
  <c r="A13927" i="1"/>
  <c r="C13927" i="1"/>
  <c r="N13927" i="1"/>
  <c r="A13928" i="1"/>
  <c r="C13928" i="1"/>
  <c r="N13928" i="1"/>
  <c r="A13929" i="1"/>
  <c r="C13929" i="1"/>
  <c r="N13929" i="1"/>
  <c r="A13930" i="1"/>
  <c r="C13930" i="1"/>
  <c r="N13930" i="1"/>
  <c r="A13931" i="1"/>
  <c r="C13931" i="1"/>
  <c r="N13931" i="1"/>
  <c r="A13932" i="1"/>
  <c r="C13932" i="1"/>
  <c r="N13932" i="1"/>
  <c r="A13933" i="1"/>
  <c r="C13933" i="1"/>
  <c r="N13933" i="1"/>
  <c r="A13934" i="1"/>
  <c r="C13934" i="1"/>
  <c r="D13934" i="1"/>
  <c r="N13934" i="1"/>
  <c r="O13934" i="1"/>
  <c r="A13935" i="1"/>
  <c r="C13935" i="1"/>
  <c r="N13935" i="1"/>
  <c r="A13936" i="1"/>
  <c r="C13936" i="1"/>
  <c r="N13936" i="1"/>
  <c r="A13937" i="1"/>
  <c r="C13937" i="1"/>
  <c r="N13937" i="1"/>
  <c r="A13938" i="1"/>
  <c r="C13938" i="1"/>
  <c r="N13938" i="1"/>
  <c r="A13939" i="1"/>
  <c r="C13939" i="1"/>
  <c r="N13939" i="1"/>
  <c r="A13940" i="1"/>
  <c r="C13940" i="1"/>
  <c r="N13940" i="1"/>
  <c r="A13941" i="1"/>
  <c r="C13941" i="1"/>
  <c r="N13941" i="1"/>
  <c r="A13942" i="1"/>
  <c r="C13942" i="1"/>
  <c r="N13942" i="1"/>
  <c r="A13943" i="1"/>
  <c r="C13943" i="1"/>
  <c r="N13943" i="1"/>
  <c r="A13944" i="1"/>
  <c r="C13944" i="1"/>
  <c r="N13944" i="1"/>
  <c r="A13945" i="1"/>
  <c r="C13945" i="1"/>
  <c r="K13945" i="1"/>
  <c r="N13945" i="1"/>
  <c r="A13946" i="1"/>
  <c r="C13946" i="1"/>
  <c r="N13946" i="1"/>
  <c r="A13947" i="1"/>
  <c r="C13947" i="1"/>
  <c r="N13947" i="1"/>
  <c r="A13948" i="1"/>
  <c r="C13948" i="1"/>
  <c r="N13948" i="1"/>
  <c r="A13949" i="1"/>
  <c r="C13949" i="1"/>
  <c r="N13949" i="1"/>
  <c r="A13950" i="1"/>
  <c r="C13950" i="1"/>
  <c r="N13950" i="1"/>
  <c r="A13951" i="1"/>
  <c r="C13951" i="1"/>
  <c r="N13951" i="1"/>
  <c r="A13952" i="1"/>
  <c r="C13952" i="1"/>
  <c r="N13952" i="1"/>
  <c r="A13953" i="1"/>
  <c r="C13953" i="1"/>
  <c r="N13953" i="1"/>
  <c r="A13954" i="1"/>
  <c r="C13954" i="1"/>
  <c r="N13954" i="1"/>
  <c r="A13955" i="1"/>
  <c r="C13955" i="1"/>
  <c r="K13955" i="1"/>
  <c r="N13955" i="1"/>
  <c r="A13956" i="1"/>
  <c r="C13956" i="1"/>
  <c r="N13956" i="1"/>
  <c r="A13957" i="1"/>
  <c r="C13957" i="1"/>
  <c r="N13957" i="1"/>
  <c r="A13958" i="1"/>
  <c r="C13958" i="1"/>
  <c r="N13958" i="1"/>
  <c r="A13959" i="1"/>
  <c r="C13959" i="1"/>
  <c r="N13959" i="1"/>
  <c r="A13960" i="1"/>
  <c r="C13960" i="1"/>
  <c r="N13960" i="1"/>
  <c r="A13961" i="1"/>
  <c r="C13961" i="1"/>
  <c r="K13961" i="1"/>
  <c r="N13961" i="1"/>
  <c r="A13962" i="1"/>
  <c r="C13962" i="1"/>
  <c r="N13962" i="1"/>
  <c r="A13963" i="1"/>
  <c r="C13963" i="1"/>
  <c r="N13963" i="1"/>
  <c r="A13964" i="1"/>
  <c r="C13964" i="1"/>
  <c r="N13964" i="1"/>
  <c r="A13965" i="1"/>
  <c r="C13965" i="1"/>
  <c r="N13965" i="1"/>
  <c r="A13966" i="1"/>
  <c r="C13966" i="1"/>
  <c r="N13966" i="1"/>
  <c r="A13967" i="1"/>
  <c r="C13967" i="1"/>
  <c r="K13967" i="1"/>
  <c r="N13967" i="1"/>
  <c r="A13968" i="1"/>
  <c r="C13968" i="1"/>
  <c r="N13968" i="1"/>
  <c r="A13969" i="1"/>
  <c r="C13969" i="1"/>
  <c r="N13969" i="1"/>
  <c r="A13970" i="1"/>
  <c r="C13970" i="1"/>
  <c r="N13970" i="1"/>
  <c r="A13971" i="1"/>
  <c r="C13971" i="1"/>
  <c r="N13971" i="1"/>
  <c r="A13972" i="1"/>
  <c r="C13972" i="1"/>
  <c r="N13972" i="1"/>
  <c r="A13973" i="1"/>
  <c r="C13973" i="1"/>
  <c r="N13973" i="1"/>
  <c r="A13974" i="1"/>
  <c r="C13974" i="1"/>
  <c r="N13974" i="1"/>
  <c r="A13975" i="1"/>
  <c r="C13975" i="1"/>
  <c r="N13975" i="1"/>
  <c r="A13976" i="1"/>
  <c r="C13976" i="1"/>
  <c r="N13976" i="1"/>
  <c r="A13977" i="1"/>
  <c r="C13977" i="1"/>
  <c r="K13977" i="1"/>
  <c r="N13977" i="1"/>
  <c r="A13978" i="1"/>
  <c r="C13978" i="1"/>
  <c r="N13978" i="1"/>
  <c r="A13979" i="1"/>
  <c r="C13979" i="1"/>
  <c r="N13979" i="1"/>
  <c r="A13980" i="1"/>
  <c r="C13980" i="1"/>
  <c r="N13980" i="1"/>
  <c r="A13981" i="1"/>
  <c r="C13981" i="1"/>
  <c r="N13981" i="1"/>
  <c r="A13982" i="1"/>
  <c r="C13982" i="1"/>
  <c r="N13982" i="1"/>
  <c r="A13983" i="1"/>
  <c r="C13983" i="1"/>
  <c r="N13983" i="1"/>
  <c r="A13984" i="1"/>
  <c r="C13984" i="1"/>
  <c r="N13984" i="1"/>
  <c r="A13985" i="1"/>
  <c r="C13985" i="1"/>
  <c r="N13985" i="1"/>
  <c r="A13986" i="1"/>
  <c r="C13986" i="1"/>
  <c r="N13986" i="1"/>
  <c r="A13987" i="1"/>
  <c r="C13987" i="1"/>
  <c r="N13987" i="1"/>
  <c r="A13988" i="1"/>
  <c r="C13988" i="1"/>
  <c r="N13988" i="1"/>
  <c r="A13989" i="1"/>
  <c r="C13989" i="1"/>
  <c r="N13989" i="1"/>
  <c r="A13990" i="1"/>
  <c r="C13990" i="1"/>
  <c r="N13990" i="1"/>
  <c r="A13991" i="1"/>
  <c r="C13991" i="1"/>
  <c r="N13991" i="1"/>
  <c r="A13992" i="1"/>
  <c r="C13992" i="1"/>
  <c r="N13992" i="1"/>
  <c r="A13993" i="1"/>
  <c r="C13993" i="1"/>
  <c r="K13993" i="1"/>
  <c r="N13993" i="1"/>
  <c r="A13994" i="1"/>
  <c r="C13994" i="1"/>
  <c r="N13994" i="1"/>
  <c r="A13995" i="1"/>
  <c r="C13995" i="1"/>
  <c r="N13995" i="1"/>
  <c r="A13996" i="1"/>
  <c r="C13996" i="1"/>
  <c r="N13996" i="1"/>
  <c r="A13997" i="1"/>
  <c r="C13997" i="1"/>
  <c r="N13997" i="1"/>
  <c r="A13998" i="1"/>
  <c r="C13998" i="1"/>
  <c r="N13998" i="1"/>
  <c r="A13999" i="1"/>
  <c r="C13999" i="1"/>
  <c r="N13999" i="1"/>
  <c r="A14000" i="1"/>
  <c r="C14000" i="1"/>
  <c r="N14000" i="1"/>
  <c r="A14001" i="1"/>
  <c r="C14001" i="1"/>
  <c r="N14001" i="1"/>
  <c r="A14002" i="1"/>
  <c r="C14002" i="1"/>
  <c r="N14002" i="1"/>
  <c r="A14003" i="1"/>
  <c r="C14003" i="1"/>
  <c r="K14003" i="1"/>
  <c r="N14003" i="1"/>
  <c r="A14004" i="1"/>
  <c r="C14004" i="1"/>
  <c r="K14004" i="1"/>
  <c r="N14004" i="1"/>
  <c r="A14005" i="1"/>
  <c r="C14005" i="1"/>
  <c r="N14005" i="1"/>
  <c r="A14006" i="1"/>
  <c r="C14006" i="1"/>
  <c r="N14006" i="1"/>
  <c r="A14007" i="1"/>
  <c r="C14007" i="1"/>
  <c r="N14007" i="1"/>
  <c r="A14008" i="1"/>
  <c r="C14008" i="1"/>
  <c r="N14008" i="1"/>
  <c r="A14009" i="1"/>
  <c r="C14009" i="1"/>
  <c r="N14009" i="1"/>
  <c r="A14010" i="1"/>
  <c r="C14010" i="1"/>
  <c r="N14010" i="1"/>
  <c r="A14011" i="1"/>
  <c r="C14011" i="1"/>
  <c r="N14011" i="1"/>
  <c r="A14012" i="1"/>
  <c r="C14012" i="1"/>
  <c r="N14012" i="1"/>
  <c r="A14013" i="1"/>
  <c r="C14013" i="1"/>
  <c r="N14013" i="1"/>
  <c r="A14014" i="1"/>
  <c r="C14014" i="1"/>
  <c r="N14014" i="1"/>
  <c r="A14015" i="1"/>
  <c r="C14015" i="1"/>
  <c r="N14015" i="1"/>
  <c r="A14016" i="1"/>
  <c r="C14016" i="1"/>
  <c r="N14016" i="1"/>
  <c r="A14017" i="1"/>
  <c r="C14017" i="1"/>
  <c r="K14017" i="1"/>
  <c r="N14017" i="1"/>
  <c r="A14018" i="1"/>
  <c r="C14018" i="1"/>
  <c r="K14018" i="1"/>
  <c r="N14018" i="1"/>
  <c r="A14019" i="1"/>
  <c r="C14019" i="1"/>
  <c r="N14019" i="1"/>
  <c r="A14020" i="1"/>
  <c r="C14020" i="1"/>
  <c r="N14020" i="1"/>
  <c r="A14021" i="1"/>
  <c r="C14021" i="1"/>
  <c r="K14021" i="1"/>
  <c r="N14021" i="1"/>
  <c r="A14022" i="1"/>
  <c r="C14022" i="1"/>
  <c r="N14022" i="1"/>
  <c r="A14023" i="1"/>
  <c r="C14023" i="1"/>
  <c r="N14023" i="1"/>
  <c r="A14024" i="1"/>
  <c r="C14024" i="1"/>
  <c r="N14024" i="1"/>
  <c r="A14025" i="1"/>
  <c r="C14025" i="1"/>
  <c r="N14025" i="1"/>
  <c r="A14026" i="1"/>
  <c r="C14026" i="1"/>
  <c r="N14026" i="1"/>
  <c r="A14027" i="1"/>
  <c r="C14027" i="1"/>
  <c r="N14027" i="1"/>
  <c r="A14028" i="1"/>
  <c r="C14028" i="1"/>
  <c r="N14028" i="1"/>
  <c r="A14029" i="1"/>
  <c r="C14029" i="1"/>
  <c r="N14029" i="1"/>
  <c r="A14030" i="1"/>
  <c r="C14030" i="1"/>
  <c r="N14030" i="1"/>
  <c r="A14031" i="1"/>
  <c r="C14031" i="1"/>
  <c r="N14031" i="1"/>
  <c r="A14032" i="1"/>
  <c r="C14032" i="1"/>
  <c r="N14032" i="1"/>
  <c r="A14033" i="1"/>
  <c r="C14033" i="1"/>
  <c r="N14033" i="1"/>
  <c r="A14034" i="1"/>
  <c r="C14034" i="1"/>
  <c r="N14034" i="1"/>
  <c r="A14035" i="1"/>
  <c r="C14035" i="1"/>
  <c r="N14035" i="1"/>
  <c r="A14036" i="1"/>
  <c r="C14036" i="1"/>
  <c r="N14036" i="1"/>
  <c r="A14037" i="1"/>
  <c r="C14037" i="1"/>
  <c r="N14037" i="1"/>
  <c r="A14038" i="1"/>
  <c r="C14038" i="1"/>
  <c r="N14038" i="1"/>
  <c r="A14039" i="1"/>
  <c r="C14039" i="1"/>
  <c r="K14039" i="1"/>
  <c r="N14039" i="1"/>
  <c r="A14040" i="1"/>
  <c r="C14040" i="1"/>
  <c r="N14040" i="1"/>
  <c r="A14041" i="1"/>
  <c r="C14041" i="1"/>
  <c r="N14041" i="1"/>
  <c r="A14042" i="1"/>
  <c r="C14042" i="1"/>
  <c r="D14042" i="1"/>
  <c r="N14042" i="1"/>
  <c r="O14042" i="1"/>
  <c r="A14043" i="1"/>
  <c r="C14043" i="1"/>
  <c r="N14043" i="1"/>
  <c r="A14044" i="1"/>
  <c r="C14044" i="1"/>
  <c r="N14044" i="1"/>
  <c r="A14045" i="1"/>
  <c r="C14045" i="1"/>
  <c r="N14045" i="1"/>
  <c r="A14046" i="1"/>
  <c r="C14046" i="1"/>
  <c r="N14046" i="1"/>
  <c r="A14047" i="1"/>
  <c r="C14047" i="1"/>
  <c r="N14047" i="1"/>
  <c r="A14048" i="1"/>
  <c r="C14048" i="1"/>
  <c r="N14048" i="1"/>
  <c r="A14049" i="1"/>
  <c r="C14049" i="1"/>
  <c r="N14049" i="1"/>
  <c r="A14050" i="1"/>
  <c r="C14050" i="1"/>
  <c r="N14050" i="1"/>
  <c r="A14051" i="1"/>
  <c r="C14051" i="1"/>
  <c r="N14051" i="1"/>
  <c r="A14052" i="1"/>
  <c r="C14052" i="1"/>
  <c r="N14052" i="1"/>
  <c r="A14053" i="1"/>
  <c r="C14053" i="1"/>
  <c r="N14053" i="1"/>
  <c r="A14054" i="1"/>
  <c r="C14054" i="1"/>
  <c r="N14054" i="1"/>
  <c r="A14055" i="1"/>
  <c r="C14055" i="1"/>
  <c r="N14055" i="1"/>
  <c r="A14056" i="1"/>
  <c r="C14056" i="1"/>
  <c r="N14056" i="1"/>
  <c r="A14057" i="1"/>
  <c r="C14057" i="1"/>
  <c r="N14057" i="1"/>
  <c r="A14058" i="1"/>
  <c r="C14058" i="1"/>
  <c r="K14058" i="1"/>
  <c r="N14058" i="1"/>
  <c r="A14059" i="1"/>
  <c r="C14059" i="1"/>
  <c r="N14059" i="1"/>
  <c r="A14060" i="1"/>
  <c r="C14060" i="1"/>
  <c r="N14060" i="1"/>
  <c r="A14061" i="1"/>
  <c r="C14061" i="1"/>
  <c r="N14061" i="1"/>
  <c r="A14062" i="1"/>
  <c r="C14062" i="1"/>
  <c r="D14062" i="1"/>
  <c r="N14062" i="1"/>
  <c r="O14062" i="1"/>
  <c r="A14063" i="1"/>
  <c r="C14063" i="1"/>
  <c r="D14063" i="1"/>
  <c r="N14063" i="1"/>
  <c r="O14063" i="1"/>
  <c r="A14064" i="1"/>
  <c r="C14064" i="1"/>
  <c r="D14064" i="1"/>
  <c r="N14064" i="1"/>
  <c r="O14064" i="1"/>
  <c r="A14065" i="1"/>
  <c r="C14065" i="1"/>
  <c r="D14065" i="1"/>
  <c r="N14065" i="1"/>
  <c r="O14065" i="1"/>
  <c r="A14066" i="1"/>
  <c r="C14066" i="1"/>
  <c r="N14066" i="1"/>
  <c r="A14067" i="1"/>
  <c r="C14067" i="1"/>
  <c r="N14067" i="1"/>
  <c r="A14068" i="1"/>
  <c r="C14068" i="1"/>
  <c r="N14068" i="1"/>
  <c r="A14069" i="1"/>
  <c r="C14069" i="1"/>
  <c r="N14069" i="1"/>
  <c r="A14070" i="1"/>
  <c r="C14070" i="1"/>
  <c r="N14070" i="1"/>
  <c r="A14071" i="1"/>
  <c r="C14071" i="1"/>
  <c r="K14071" i="1"/>
  <c r="N14071" i="1"/>
  <c r="A14072" i="1"/>
  <c r="C14072" i="1"/>
  <c r="E14072" i="1"/>
  <c r="N14072" i="1"/>
  <c r="T14072" i="1"/>
  <c r="A14073" i="1"/>
  <c r="C14073" i="1"/>
  <c r="K14073" i="1"/>
  <c r="N14073" i="1"/>
  <c r="A14074" i="1"/>
  <c r="C14074" i="1"/>
  <c r="N14074" i="1"/>
  <c r="A14075" i="1"/>
  <c r="C14075" i="1"/>
  <c r="N14075" i="1"/>
  <c r="A14076" i="1"/>
  <c r="C14076" i="1"/>
  <c r="F14076" i="1"/>
  <c r="N14076" i="1"/>
  <c r="A14077" i="1"/>
  <c r="C14077" i="1"/>
  <c r="F14077" i="1"/>
  <c r="N14077" i="1"/>
  <c r="A14078" i="1"/>
  <c r="C14078" i="1"/>
  <c r="F14078" i="1"/>
  <c r="N14078" i="1"/>
  <c r="A14079" i="1"/>
  <c r="C14079" i="1"/>
  <c r="F14079" i="1"/>
  <c r="N14079" i="1"/>
  <c r="A14080" i="1"/>
  <c r="C14080" i="1"/>
  <c r="F14080" i="1"/>
  <c r="N14080" i="1"/>
  <c r="A14081" i="1"/>
  <c r="C14081" i="1"/>
  <c r="F14081" i="1"/>
  <c r="N14081" i="1"/>
  <c r="A14082" i="1"/>
  <c r="C14082" i="1"/>
  <c r="F14082" i="1"/>
  <c r="N14082" i="1"/>
  <c r="A14083" i="1"/>
  <c r="C14083" i="1"/>
  <c r="F14083" i="1"/>
  <c r="N14083" i="1"/>
  <c r="A14084" i="1"/>
  <c r="C14084" i="1"/>
  <c r="F14084" i="1"/>
  <c r="N14084" i="1"/>
  <c r="A14085" i="1"/>
  <c r="C14085" i="1"/>
  <c r="F14085" i="1"/>
  <c r="N14085" i="1"/>
  <c r="A14086" i="1"/>
  <c r="C14086" i="1"/>
  <c r="F14086" i="1"/>
  <c r="N14086" i="1"/>
  <c r="A14087" i="1"/>
  <c r="C14087" i="1"/>
  <c r="F14087" i="1"/>
  <c r="N14087" i="1"/>
  <c r="A14088" i="1"/>
  <c r="C14088" i="1"/>
  <c r="F14088" i="1"/>
  <c r="N14088" i="1"/>
  <c r="A14089" i="1"/>
  <c r="C14089" i="1"/>
  <c r="F14089" i="1"/>
  <c r="N14089" i="1"/>
  <c r="A14090" i="1"/>
  <c r="C14090" i="1"/>
  <c r="F14090" i="1"/>
  <c r="N14090" i="1"/>
  <c r="A14091" i="1"/>
  <c r="C14091" i="1"/>
  <c r="F14091" i="1"/>
  <c r="N14091" i="1"/>
  <c r="A14092" i="1"/>
  <c r="C14092" i="1"/>
  <c r="F14092" i="1"/>
  <c r="N14092" i="1"/>
  <c r="A14093" i="1"/>
  <c r="C14093" i="1"/>
  <c r="F14093" i="1"/>
  <c r="N14093" i="1"/>
  <c r="A14094" i="1"/>
  <c r="C14094" i="1"/>
  <c r="F14094" i="1"/>
  <c r="N14094" i="1"/>
  <c r="A14095" i="1"/>
  <c r="C14095" i="1"/>
  <c r="F14095" i="1"/>
  <c r="N14095" i="1"/>
  <c r="A14096" i="1"/>
  <c r="C14096" i="1"/>
  <c r="F14096" i="1"/>
  <c r="N14096" i="1"/>
  <c r="A14097" i="1"/>
  <c r="C14097" i="1"/>
  <c r="F14097" i="1"/>
  <c r="N14097" i="1"/>
  <c r="A14098" i="1"/>
  <c r="C14098" i="1"/>
  <c r="F14098" i="1"/>
  <c r="N14098" i="1"/>
  <c r="A14099" i="1"/>
  <c r="C14099" i="1"/>
  <c r="K14099" i="1"/>
  <c r="N14099" i="1"/>
  <c r="A14100" i="1"/>
  <c r="C14100" i="1"/>
  <c r="N14100" i="1"/>
  <c r="A14101" i="1"/>
  <c r="C14101" i="1"/>
  <c r="N14101" i="1"/>
  <c r="A14102" i="1"/>
  <c r="C14102" i="1"/>
  <c r="N14102" i="1"/>
  <c r="A14103" i="1"/>
  <c r="C14103" i="1"/>
  <c r="N14103" i="1"/>
  <c r="A14104" i="1"/>
  <c r="C14104" i="1"/>
  <c r="K14104" i="1"/>
  <c r="N14104" i="1"/>
  <c r="A14105" i="1"/>
  <c r="C14105" i="1"/>
  <c r="N14105" i="1"/>
  <c r="A14106" i="1"/>
  <c r="C14106" i="1"/>
  <c r="K14106" i="1"/>
  <c r="N14106" i="1"/>
  <c r="A14107" i="1"/>
  <c r="C14107" i="1"/>
  <c r="N14107" i="1"/>
  <c r="A14108" i="1"/>
  <c r="C14108" i="1"/>
  <c r="N14108" i="1"/>
  <c r="A14109" i="1"/>
  <c r="C14109" i="1"/>
  <c r="N14109" i="1"/>
  <c r="A14110" i="1"/>
  <c r="C14110" i="1"/>
  <c r="N14110" i="1"/>
  <c r="A14111" i="1"/>
  <c r="C14111" i="1"/>
  <c r="N14111" i="1"/>
  <c r="A14112" i="1"/>
  <c r="C14112" i="1"/>
  <c r="N14112" i="1"/>
  <c r="A14113" i="1"/>
  <c r="C14113" i="1"/>
  <c r="N14113" i="1"/>
  <c r="A14114" i="1"/>
  <c r="C14114" i="1"/>
  <c r="K14114" i="1"/>
  <c r="N14114" i="1"/>
  <c r="A14115" i="1"/>
  <c r="C14115" i="1"/>
  <c r="N14115" i="1"/>
  <c r="A14116" i="1"/>
  <c r="C14116" i="1"/>
  <c r="N14116" i="1"/>
  <c r="A14117" i="1"/>
  <c r="C14117" i="1"/>
  <c r="N14117" i="1"/>
  <c r="A14118" i="1"/>
  <c r="C14118" i="1"/>
  <c r="N14118" i="1"/>
  <c r="A14119" i="1"/>
  <c r="C14119" i="1"/>
  <c r="K14119" i="1"/>
  <c r="N14119" i="1"/>
  <c r="A14120" i="1"/>
  <c r="C14120" i="1"/>
  <c r="N14120" i="1"/>
  <c r="A14121" i="1"/>
  <c r="C14121" i="1"/>
  <c r="N14121" i="1"/>
  <c r="A14122" i="1"/>
  <c r="C14122" i="1"/>
  <c r="K14122" i="1"/>
  <c r="N14122" i="1"/>
  <c r="A14123" i="1"/>
  <c r="C14123" i="1"/>
  <c r="K14123" i="1"/>
  <c r="N14123" i="1"/>
  <c r="A14124" i="1"/>
  <c r="C14124" i="1"/>
  <c r="K14124" i="1"/>
  <c r="N14124" i="1"/>
  <c r="A14125" i="1"/>
  <c r="C14125" i="1"/>
  <c r="N14125" i="1"/>
  <c r="A14126" i="1"/>
  <c r="C14126" i="1"/>
  <c r="N14126" i="1"/>
  <c r="A14127" i="1"/>
  <c r="C14127" i="1"/>
  <c r="N14127" i="1"/>
  <c r="A14128" i="1"/>
  <c r="C14128" i="1"/>
  <c r="N14128" i="1"/>
  <c r="A14129" i="1"/>
  <c r="C14129" i="1"/>
  <c r="N14129" i="1"/>
  <c r="A14130" i="1"/>
  <c r="C14130" i="1"/>
  <c r="N14130" i="1"/>
  <c r="A14131" i="1"/>
  <c r="C14131" i="1"/>
  <c r="K14131" i="1"/>
  <c r="N14131" i="1"/>
  <c r="A14132" i="1"/>
  <c r="C14132" i="1"/>
  <c r="K14132" i="1"/>
  <c r="N14132" i="1"/>
  <c r="A14133" i="1"/>
  <c r="C14133" i="1"/>
  <c r="N14133" i="1"/>
  <c r="A14134" i="1"/>
  <c r="C14134" i="1"/>
  <c r="N14134" i="1"/>
  <c r="A14135" i="1"/>
  <c r="C14135" i="1"/>
  <c r="N14135" i="1"/>
  <c r="A14136" i="1"/>
  <c r="C14136" i="1"/>
  <c r="N14136" i="1"/>
  <c r="A14137" i="1"/>
  <c r="C14137" i="1"/>
  <c r="N14137" i="1"/>
  <c r="A14138" i="1"/>
  <c r="C14138" i="1"/>
  <c r="N14138" i="1"/>
  <c r="A14139" i="1"/>
  <c r="C14139" i="1"/>
  <c r="N14139" i="1"/>
  <c r="A14140" i="1"/>
  <c r="C14140" i="1"/>
  <c r="F14140" i="1"/>
  <c r="N14140" i="1"/>
  <c r="A14141" i="1"/>
  <c r="C14141" i="1"/>
  <c r="N14141" i="1"/>
  <c r="A14142" i="1"/>
  <c r="C14142" i="1"/>
  <c r="N14142" i="1"/>
  <c r="A14143" i="1"/>
  <c r="C14143" i="1"/>
  <c r="N14143" i="1"/>
  <c r="A14144" i="1"/>
  <c r="C14144" i="1"/>
  <c r="N14144" i="1"/>
  <c r="A14145" i="1"/>
  <c r="C14145" i="1"/>
  <c r="N14145" i="1"/>
  <c r="A14146" i="1"/>
  <c r="C14146" i="1"/>
  <c r="N14146" i="1"/>
  <c r="A14147" i="1"/>
  <c r="C14147" i="1"/>
  <c r="N14147" i="1"/>
  <c r="A14148" i="1"/>
  <c r="C14148" i="1"/>
  <c r="N14148" i="1"/>
  <c r="A14149" i="1"/>
  <c r="C14149" i="1"/>
  <c r="N14149" i="1"/>
  <c r="A14150" i="1"/>
  <c r="C14150" i="1"/>
  <c r="N14150" i="1"/>
  <c r="A14151" i="1"/>
  <c r="C14151" i="1"/>
  <c r="N14151" i="1"/>
  <c r="A14152" i="1"/>
  <c r="C14152" i="1"/>
  <c r="K14152" i="1"/>
  <c r="N14152" i="1"/>
  <c r="A14153" i="1"/>
  <c r="C14153" i="1"/>
  <c r="N14153" i="1"/>
  <c r="A14154" i="1"/>
  <c r="C14154" i="1"/>
  <c r="K14154" i="1"/>
  <c r="N14154" i="1"/>
  <c r="A14155" i="1"/>
  <c r="C14155" i="1"/>
  <c r="K14155" i="1"/>
  <c r="N14155" i="1"/>
  <c r="A14156" i="1"/>
  <c r="C14156" i="1"/>
  <c r="K14156" i="1"/>
  <c r="N14156" i="1"/>
  <c r="A14157" i="1"/>
  <c r="C14157" i="1"/>
  <c r="N14157" i="1"/>
  <c r="A14158" i="1"/>
  <c r="C14158" i="1"/>
  <c r="K14158" i="1"/>
  <c r="N14158" i="1"/>
  <c r="A14159" i="1"/>
  <c r="C14159" i="1"/>
  <c r="N14159" i="1"/>
  <c r="A14160" i="1"/>
  <c r="C14160" i="1"/>
  <c r="N14160" i="1"/>
  <c r="A14161" i="1"/>
  <c r="C14161" i="1"/>
  <c r="N14161" i="1"/>
  <c r="A14162" i="1"/>
  <c r="C14162" i="1"/>
  <c r="N14162" i="1"/>
  <c r="A14163" i="1"/>
  <c r="C14163" i="1"/>
  <c r="N14163" i="1"/>
  <c r="A14164" i="1"/>
  <c r="C14164" i="1"/>
  <c r="N14164" i="1"/>
  <c r="A14165" i="1"/>
  <c r="C14165" i="1"/>
  <c r="N14165" i="1"/>
  <c r="A14166" i="1"/>
  <c r="C14166" i="1"/>
  <c r="N14166" i="1"/>
  <c r="A14167" i="1"/>
  <c r="C14167" i="1"/>
  <c r="N14167" i="1"/>
  <c r="A14168" i="1"/>
  <c r="C14168" i="1"/>
  <c r="N14168" i="1"/>
  <c r="A14169" i="1"/>
  <c r="C14169" i="1"/>
  <c r="N14169" i="1"/>
  <c r="A14170" i="1"/>
  <c r="C14170" i="1"/>
  <c r="N14170" i="1"/>
  <c r="A14171" i="1"/>
  <c r="C14171" i="1"/>
  <c r="N14171" i="1"/>
  <c r="A14172" i="1"/>
  <c r="C14172" i="1"/>
  <c r="N14172" i="1"/>
  <c r="A14173" i="1"/>
  <c r="C14173" i="1"/>
  <c r="N14173" i="1"/>
  <c r="A14174" i="1"/>
  <c r="C14174" i="1"/>
  <c r="N14174" i="1"/>
  <c r="A14175" i="1"/>
  <c r="C14175" i="1"/>
  <c r="K14175" i="1"/>
  <c r="N14175" i="1"/>
  <c r="A14176" i="1"/>
  <c r="C14176" i="1"/>
  <c r="N14176" i="1"/>
  <c r="A14177" i="1"/>
  <c r="C14177" i="1"/>
  <c r="K14177" i="1"/>
  <c r="N14177" i="1"/>
  <c r="A14178" i="1"/>
  <c r="C14178" i="1"/>
  <c r="N14178" i="1"/>
  <c r="A14179" i="1"/>
  <c r="C14179" i="1"/>
  <c r="N14179" i="1"/>
  <c r="A14180" i="1"/>
  <c r="C14180" i="1"/>
  <c r="N14180" i="1"/>
  <c r="A14181" i="1"/>
  <c r="C14181" i="1"/>
  <c r="K14181" i="1"/>
  <c r="N14181" i="1"/>
  <c r="A14182" i="1"/>
  <c r="C14182" i="1"/>
  <c r="N14182" i="1"/>
  <c r="A14183" i="1"/>
  <c r="C14183" i="1"/>
  <c r="N14183" i="1"/>
  <c r="A14184" i="1"/>
  <c r="C14184" i="1"/>
  <c r="N14184" i="1"/>
  <c r="A14185" i="1"/>
  <c r="C14185" i="1"/>
  <c r="N14185" i="1"/>
  <c r="A14186" i="1"/>
  <c r="C14186" i="1"/>
  <c r="E14186" i="1"/>
  <c r="N14186" i="1"/>
  <c r="T14186" i="1"/>
  <c r="A14187" i="1"/>
  <c r="C14187" i="1"/>
  <c r="K14187" i="1"/>
  <c r="N14187" i="1"/>
  <c r="A14188" i="1"/>
  <c r="C14188" i="1"/>
  <c r="K14188" i="1"/>
  <c r="N14188" i="1"/>
  <c r="A14189" i="1"/>
  <c r="C14189" i="1"/>
  <c r="K14189" i="1"/>
  <c r="N14189" i="1"/>
  <c r="A14190" i="1"/>
  <c r="C14190" i="1"/>
  <c r="K14190" i="1"/>
  <c r="N14190" i="1"/>
  <c r="A14191" i="1"/>
  <c r="C14191" i="1"/>
  <c r="N14191" i="1"/>
  <c r="A14192" i="1"/>
  <c r="C14192" i="1"/>
  <c r="K14192" i="1"/>
  <c r="N14192" i="1"/>
  <c r="A14193" i="1"/>
  <c r="C14193" i="1"/>
  <c r="N14193" i="1"/>
  <c r="A14194" i="1"/>
  <c r="C14194" i="1"/>
  <c r="N14194" i="1"/>
  <c r="A14195" i="1"/>
  <c r="C14195" i="1"/>
  <c r="N14195" i="1"/>
  <c r="A14196" i="1"/>
  <c r="C14196" i="1"/>
  <c r="N14196" i="1"/>
  <c r="A14197" i="1"/>
  <c r="C14197" i="1"/>
  <c r="N14197" i="1"/>
  <c r="A14198" i="1"/>
  <c r="C14198" i="1"/>
  <c r="K14198" i="1"/>
  <c r="N14198" i="1"/>
  <c r="A14199" i="1"/>
  <c r="C14199" i="1"/>
  <c r="K14199" i="1"/>
  <c r="N14199" i="1"/>
  <c r="A14200" i="1"/>
  <c r="C14200" i="1"/>
  <c r="N14200" i="1"/>
  <c r="A14201" i="1"/>
  <c r="C14201" i="1"/>
  <c r="N14201" i="1"/>
  <c r="A14202" i="1"/>
  <c r="C14202" i="1"/>
  <c r="N14202" i="1"/>
  <c r="A14203" i="1"/>
  <c r="C14203" i="1"/>
  <c r="N14203" i="1"/>
  <c r="A14204" i="1"/>
  <c r="C14204" i="1"/>
  <c r="N14204" i="1"/>
  <c r="A14205" i="1"/>
  <c r="C14205" i="1"/>
  <c r="N14205" i="1"/>
  <c r="A14206" i="1"/>
  <c r="C14206" i="1"/>
  <c r="N14206" i="1"/>
  <c r="A14207" i="1"/>
  <c r="C14207" i="1"/>
  <c r="N14207" i="1"/>
  <c r="A14208" i="1"/>
  <c r="C14208" i="1"/>
  <c r="N14208" i="1"/>
  <c r="A14209" i="1"/>
  <c r="C14209" i="1"/>
  <c r="N14209" i="1"/>
  <c r="A14210" i="1"/>
  <c r="C14210" i="1"/>
  <c r="N14210" i="1"/>
  <c r="A14211" i="1"/>
  <c r="C14211" i="1"/>
  <c r="N14211" i="1"/>
  <c r="A14212" i="1"/>
  <c r="C14212" i="1"/>
  <c r="K14212" i="1"/>
  <c r="N14212" i="1"/>
  <c r="A14213" i="1"/>
  <c r="C14213" i="1"/>
  <c r="N14213" i="1"/>
  <c r="A14214" i="1"/>
  <c r="C14214" i="1"/>
  <c r="N14214" i="1"/>
  <c r="A14215" i="1"/>
  <c r="C14215" i="1"/>
  <c r="N14215" i="1"/>
  <c r="A14216" i="1"/>
  <c r="C14216" i="1"/>
  <c r="N14216" i="1"/>
  <c r="A14217" i="1"/>
  <c r="C14217" i="1"/>
  <c r="N14217" i="1"/>
  <c r="A14218" i="1"/>
  <c r="C14218" i="1"/>
  <c r="N14218" i="1"/>
  <c r="A14219" i="1"/>
  <c r="C14219" i="1"/>
  <c r="K14219" i="1"/>
  <c r="N14219" i="1"/>
  <c r="A14220" i="1"/>
  <c r="C14220" i="1"/>
  <c r="N14220" i="1"/>
  <c r="A14221" i="1"/>
  <c r="C14221" i="1"/>
  <c r="N14221" i="1"/>
  <c r="A14222" i="1"/>
  <c r="C14222" i="1"/>
  <c r="N14222" i="1"/>
  <c r="A14223" i="1"/>
  <c r="C14223" i="1"/>
  <c r="N14223" i="1"/>
  <c r="A14224" i="1"/>
  <c r="C14224" i="1"/>
  <c r="N14224" i="1"/>
  <c r="A14225" i="1"/>
  <c r="C14225" i="1"/>
  <c r="N14225" i="1"/>
  <c r="A14226" i="1"/>
  <c r="C14226" i="1"/>
  <c r="N14226" i="1"/>
  <c r="A14227" i="1"/>
  <c r="C14227" i="1"/>
  <c r="N14227" i="1"/>
  <c r="A14228" i="1"/>
  <c r="C14228" i="1"/>
  <c r="E14228" i="1"/>
  <c r="N14228" i="1"/>
  <c r="T14228" i="1"/>
  <c r="A14229" i="1"/>
  <c r="C14229" i="1"/>
  <c r="N14229" i="1"/>
  <c r="A14230" i="1"/>
  <c r="C14230" i="1"/>
  <c r="N14230" i="1"/>
  <c r="A14231" i="1"/>
  <c r="C14231" i="1"/>
  <c r="N14231" i="1"/>
  <c r="A14232" i="1"/>
  <c r="C14232" i="1"/>
  <c r="N14232" i="1"/>
  <c r="A14233" i="1"/>
  <c r="C14233" i="1"/>
  <c r="N14233" i="1"/>
  <c r="A14234" i="1"/>
  <c r="C14234" i="1"/>
  <c r="N14234" i="1"/>
  <c r="A14235" i="1"/>
  <c r="C14235" i="1"/>
  <c r="N14235" i="1"/>
  <c r="A14236" i="1"/>
  <c r="C14236" i="1"/>
  <c r="N14236" i="1"/>
  <c r="A14237" i="1"/>
  <c r="C14237" i="1"/>
  <c r="N14237" i="1"/>
  <c r="A14238" i="1"/>
  <c r="C14238" i="1"/>
  <c r="N14238" i="1"/>
  <c r="A14239" i="1"/>
  <c r="C14239" i="1"/>
  <c r="N14239" i="1"/>
  <c r="A14240" i="1"/>
  <c r="C14240" i="1"/>
  <c r="K14240" i="1"/>
  <c r="N14240" i="1"/>
  <c r="A14241" i="1"/>
  <c r="C14241" i="1"/>
  <c r="N14241" i="1"/>
  <c r="A14242" i="1"/>
  <c r="C14242" i="1"/>
  <c r="K14242" i="1"/>
  <c r="N14242" i="1"/>
  <c r="A14243" i="1"/>
  <c r="C14243" i="1"/>
  <c r="N14243" i="1"/>
  <c r="A14244" i="1"/>
  <c r="C14244" i="1"/>
  <c r="N14244" i="1"/>
  <c r="A14245" i="1"/>
  <c r="C14245" i="1"/>
  <c r="N14245" i="1"/>
  <c r="A14246" i="1"/>
  <c r="C14246" i="1"/>
  <c r="N14246" i="1"/>
  <c r="A14247" i="1"/>
  <c r="C14247" i="1"/>
  <c r="N14247" i="1"/>
  <c r="A14248" i="1"/>
  <c r="C14248" i="1"/>
  <c r="N14248" i="1"/>
  <c r="A14249" i="1"/>
  <c r="C14249" i="1"/>
  <c r="N14249" i="1"/>
  <c r="A14250" i="1"/>
  <c r="C14250" i="1"/>
  <c r="E14250" i="1"/>
  <c r="N14250" i="1"/>
  <c r="T14250" i="1"/>
  <c r="A14251" i="1"/>
  <c r="C14251" i="1"/>
  <c r="N14251" i="1"/>
  <c r="A14252" i="1"/>
  <c r="C14252" i="1"/>
  <c r="N14252" i="1"/>
  <c r="A14253" i="1"/>
  <c r="C14253" i="1"/>
  <c r="N14253" i="1"/>
  <c r="A14254" i="1"/>
  <c r="C14254" i="1"/>
  <c r="N14254" i="1"/>
  <c r="A14255" i="1"/>
  <c r="C14255" i="1"/>
  <c r="N14255" i="1"/>
  <c r="A14256" i="1"/>
  <c r="C14256" i="1"/>
  <c r="N14256" i="1"/>
  <c r="A14257" i="1"/>
  <c r="C14257" i="1"/>
  <c r="N14257" i="1"/>
  <c r="A14258" i="1"/>
  <c r="C14258" i="1"/>
  <c r="N14258" i="1"/>
  <c r="A14259" i="1"/>
  <c r="C14259" i="1"/>
  <c r="N14259" i="1"/>
  <c r="A14260" i="1"/>
  <c r="C14260" i="1"/>
  <c r="N14260" i="1"/>
  <c r="A14261" i="1"/>
  <c r="C14261" i="1"/>
  <c r="K14261" i="1"/>
  <c r="N14261" i="1"/>
  <c r="A14262" i="1"/>
  <c r="C14262" i="1"/>
  <c r="N14262" i="1"/>
  <c r="A14263" i="1"/>
  <c r="C14263" i="1"/>
  <c r="N14263" i="1"/>
  <c r="A14264" i="1"/>
  <c r="C14264" i="1"/>
  <c r="N14264" i="1"/>
  <c r="A14265" i="1"/>
  <c r="C14265" i="1"/>
  <c r="N14265" i="1"/>
  <c r="A14266" i="1"/>
  <c r="C14266" i="1"/>
  <c r="N14266" i="1"/>
  <c r="A14267" i="1"/>
  <c r="C14267" i="1"/>
  <c r="N14267" i="1"/>
  <c r="A14268" i="1"/>
  <c r="C14268" i="1"/>
  <c r="N14268" i="1"/>
  <c r="A14269" i="1"/>
  <c r="C14269" i="1"/>
  <c r="N14269" i="1"/>
  <c r="A14270" i="1"/>
  <c r="C14270" i="1"/>
  <c r="N14270" i="1"/>
  <c r="A14271" i="1"/>
  <c r="C14271" i="1"/>
  <c r="D14271" i="1"/>
  <c r="E14271" i="1"/>
  <c r="N14271" i="1"/>
  <c r="O14271" i="1"/>
  <c r="T14271" i="1"/>
  <c r="A14272" i="1"/>
  <c r="C14272" i="1"/>
  <c r="N14272" i="1"/>
  <c r="A14273" i="1"/>
  <c r="C14273" i="1"/>
  <c r="N14273" i="1"/>
  <c r="A14274" i="1"/>
  <c r="C14274" i="1"/>
  <c r="N14274" i="1"/>
  <c r="A14275" i="1"/>
  <c r="C14275" i="1"/>
  <c r="N14275" i="1"/>
  <c r="A14276" i="1"/>
  <c r="C14276" i="1"/>
  <c r="N14276" i="1"/>
  <c r="A14277" i="1"/>
  <c r="C14277" i="1"/>
  <c r="N14277" i="1"/>
  <c r="A14278" i="1"/>
  <c r="C14278" i="1"/>
  <c r="N14278" i="1"/>
  <c r="A14279" i="1"/>
  <c r="C14279" i="1"/>
  <c r="N14279" i="1"/>
  <c r="A14280" i="1"/>
  <c r="C14280" i="1"/>
  <c r="N14280" i="1"/>
  <c r="A14281" i="1"/>
  <c r="C14281" i="1"/>
  <c r="N14281" i="1"/>
  <c r="A14282" i="1"/>
  <c r="C14282" i="1"/>
  <c r="N14282" i="1"/>
  <c r="A14283" i="1"/>
  <c r="C14283" i="1"/>
  <c r="N14283" i="1"/>
  <c r="A14284" i="1"/>
  <c r="C14284" i="1"/>
  <c r="N14284" i="1"/>
  <c r="A14285" i="1"/>
  <c r="C14285" i="1"/>
  <c r="N14285" i="1"/>
  <c r="A14286" i="1"/>
  <c r="C14286" i="1"/>
  <c r="N14286" i="1"/>
  <c r="A14287" i="1"/>
  <c r="C14287" i="1"/>
  <c r="N14287" i="1"/>
  <c r="A14288" i="1"/>
  <c r="C14288" i="1"/>
  <c r="N14288" i="1"/>
  <c r="A14289" i="1"/>
  <c r="C14289" i="1"/>
  <c r="K14289" i="1"/>
  <c r="N14289" i="1"/>
  <c r="A14290" i="1"/>
  <c r="C14290" i="1"/>
  <c r="N14290" i="1"/>
  <c r="A14291" i="1"/>
  <c r="C14291" i="1"/>
  <c r="N14291" i="1"/>
  <c r="A14292" i="1"/>
  <c r="C14292" i="1"/>
  <c r="N14292" i="1"/>
  <c r="A14293" i="1"/>
  <c r="C14293" i="1"/>
  <c r="D14293" i="1"/>
  <c r="N14293" i="1"/>
  <c r="O14293" i="1"/>
  <c r="A14294" i="1"/>
  <c r="C14294" i="1"/>
  <c r="D14294" i="1"/>
  <c r="K14294" i="1"/>
  <c r="N14294" i="1"/>
  <c r="O14294" i="1"/>
  <c r="A14295" i="1"/>
  <c r="C14295" i="1"/>
  <c r="N14295" i="1"/>
  <c r="A14296" i="1"/>
  <c r="C14296" i="1"/>
  <c r="N14296" i="1"/>
  <c r="A14297" i="1"/>
  <c r="C14297" i="1"/>
  <c r="N14297" i="1"/>
  <c r="A14298" i="1"/>
  <c r="C14298" i="1"/>
  <c r="N14298" i="1"/>
  <c r="A14299" i="1"/>
  <c r="C14299" i="1"/>
  <c r="N14299" i="1"/>
  <c r="A14300" i="1"/>
  <c r="C14300" i="1"/>
  <c r="N14300" i="1"/>
  <c r="A14301" i="1"/>
  <c r="C14301" i="1"/>
  <c r="N14301" i="1"/>
  <c r="A14302" i="1"/>
  <c r="C14302" i="1"/>
  <c r="N14302" i="1"/>
  <c r="A14303" i="1"/>
  <c r="C14303" i="1"/>
  <c r="N14303" i="1"/>
  <c r="A14304" i="1"/>
  <c r="C14304" i="1"/>
  <c r="N14304" i="1"/>
  <c r="A14305" i="1"/>
  <c r="C14305" i="1"/>
  <c r="K14305" i="1"/>
  <c r="N14305" i="1"/>
  <c r="A14306" i="1"/>
  <c r="C14306" i="1"/>
  <c r="N14306" i="1"/>
  <c r="A14307" i="1"/>
  <c r="C14307" i="1"/>
  <c r="N14307" i="1"/>
  <c r="A14308" i="1"/>
  <c r="C14308" i="1"/>
  <c r="N14308" i="1"/>
  <c r="A14309" i="1"/>
  <c r="C14309" i="1"/>
  <c r="N14309" i="1"/>
  <c r="A14310" i="1"/>
  <c r="C14310" i="1"/>
  <c r="N14310" i="1"/>
  <c r="A14311" i="1"/>
  <c r="C14311" i="1"/>
  <c r="N14311" i="1"/>
  <c r="A14312" i="1"/>
  <c r="C14312" i="1"/>
  <c r="N14312" i="1"/>
  <c r="A14313" i="1"/>
  <c r="C14313" i="1"/>
  <c r="N14313" i="1"/>
  <c r="A14314" i="1"/>
  <c r="C14314" i="1"/>
  <c r="N14314" i="1"/>
  <c r="A14315" i="1"/>
  <c r="C14315" i="1"/>
  <c r="N14315" i="1"/>
  <c r="A14316" i="1"/>
  <c r="C14316" i="1"/>
  <c r="N14316" i="1"/>
  <c r="A14317" i="1"/>
  <c r="C14317" i="1"/>
  <c r="N14317" i="1"/>
  <c r="A14318" i="1"/>
  <c r="C14318" i="1"/>
  <c r="N14318" i="1"/>
  <c r="A14319" i="1"/>
  <c r="C14319" i="1"/>
  <c r="N14319" i="1"/>
  <c r="A14320" i="1"/>
  <c r="C14320" i="1"/>
  <c r="K14320" i="1"/>
  <c r="N14320" i="1"/>
  <c r="A14321" i="1"/>
  <c r="C14321" i="1"/>
  <c r="N14321" i="1"/>
  <c r="A14322" i="1"/>
  <c r="C14322" i="1"/>
  <c r="N14322" i="1"/>
  <c r="A14323" i="1"/>
  <c r="C14323" i="1"/>
  <c r="N14323" i="1"/>
  <c r="A14324" i="1"/>
  <c r="C14324" i="1"/>
  <c r="N14324" i="1"/>
  <c r="A14325" i="1"/>
  <c r="C14325" i="1"/>
  <c r="N14325" i="1"/>
  <c r="A14326" i="1"/>
  <c r="C14326" i="1"/>
  <c r="N14326" i="1"/>
  <c r="A14327" i="1"/>
  <c r="C14327" i="1"/>
  <c r="K14327" i="1"/>
  <c r="N14327" i="1"/>
  <c r="A14328" i="1"/>
  <c r="C14328" i="1"/>
  <c r="N14328" i="1"/>
  <c r="A14329" i="1"/>
  <c r="C14329" i="1"/>
  <c r="N14329" i="1"/>
  <c r="A14330" i="1"/>
  <c r="C14330" i="1"/>
  <c r="N14330" i="1"/>
  <c r="A14331" i="1"/>
  <c r="C14331" i="1"/>
  <c r="N14331" i="1"/>
  <c r="A14332" i="1"/>
  <c r="C14332" i="1"/>
  <c r="N14332" i="1"/>
  <c r="A14333" i="1"/>
  <c r="C14333" i="1"/>
  <c r="N14333" i="1"/>
  <c r="A14334" i="1"/>
  <c r="C14334" i="1"/>
  <c r="N14334" i="1"/>
  <c r="A14335" i="1"/>
  <c r="C14335" i="1"/>
  <c r="K14335" i="1"/>
  <c r="N14335" i="1"/>
  <c r="A14336" i="1"/>
  <c r="C14336" i="1"/>
  <c r="N14336" i="1"/>
  <c r="A14337" i="1"/>
  <c r="C14337" i="1"/>
  <c r="N14337" i="1"/>
  <c r="A14338" i="1"/>
  <c r="C14338" i="1"/>
  <c r="N14338" i="1"/>
  <c r="A14339" i="1"/>
  <c r="C14339" i="1"/>
  <c r="N14339" i="1"/>
  <c r="A14340" i="1"/>
  <c r="C14340" i="1"/>
  <c r="N14340" i="1"/>
  <c r="A14341" i="1"/>
  <c r="C14341" i="1"/>
  <c r="N14341" i="1"/>
  <c r="A14342" i="1"/>
  <c r="C14342" i="1"/>
  <c r="N14342" i="1"/>
  <c r="A14343" i="1"/>
  <c r="C14343" i="1"/>
  <c r="N14343" i="1"/>
  <c r="A14344" i="1"/>
  <c r="C14344" i="1"/>
  <c r="N14344" i="1"/>
  <c r="A14345" i="1"/>
  <c r="C14345" i="1"/>
  <c r="N14345" i="1"/>
  <c r="A14346" i="1"/>
  <c r="C14346" i="1"/>
  <c r="N14346" i="1"/>
  <c r="A14347" i="1"/>
  <c r="C14347" i="1"/>
  <c r="N14347" i="1"/>
  <c r="A14348" i="1"/>
  <c r="C14348" i="1"/>
  <c r="N14348" i="1"/>
  <c r="A14349" i="1"/>
  <c r="C14349" i="1"/>
  <c r="N14349" i="1"/>
  <c r="A14350" i="1"/>
  <c r="C14350" i="1"/>
  <c r="N14350" i="1"/>
  <c r="A14351" i="1"/>
  <c r="C14351" i="1"/>
  <c r="N14351" i="1"/>
  <c r="A14352" i="1"/>
  <c r="C14352" i="1"/>
  <c r="N14352" i="1"/>
  <c r="A14353" i="1"/>
  <c r="C14353" i="1"/>
  <c r="N14353" i="1"/>
  <c r="A14354" i="1"/>
  <c r="C14354" i="1"/>
  <c r="N14354" i="1"/>
  <c r="A14355" i="1"/>
  <c r="C14355" i="1"/>
  <c r="N14355" i="1"/>
  <c r="A14356" i="1"/>
  <c r="C14356" i="1"/>
  <c r="N14356" i="1"/>
  <c r="A14357" i="1"/>
  <c r="C14357" i="1"/>
  <c r="N14357" i="1"/>
  <c r="A14358" i="1"/>
  <c r="C14358" i="1"/>
  <c r="N14358" i="1"/>
  <c r="A14359" i="1"/>
  <c r="C14359" i="1"/>
  <c r="N14359" i="1"/>
  <c r="A14360" i="1"/>
  <c r="C14360" i="1"/>
  <c r="N14360" i="1"/>
  <c r="A14361" i="1"/>
  <c r="C14361" i="1"/>
  <c r="N14361" i="1"/>
  <c r="A14362" i="1"/>
  <c r="C14362" i="1"/>
  <c r="N14362" i="1"/>
  <c r="A14363" i="1"/>
  <c r="C14363" i="1"/>
  <c r="N14363" i="1"/>
  <c r="A14364" i="1"/>
  <c r="C14364" i="1"/>
  <c r="E14364" i="1"/>
  <c r="N14364" i="1"/>
  <c r="T14364" i="1"/>
  <c r="A14365" i="1"/>
  <c r="C14365" i="1"/>
  <c r="N14365" i="1"/>
  <c r="A14366" i="1"/>
  <c r="C14366" i="1"/>
  <c r="K14366" i="1"/>
  <c r="N14366" i="1"/>
  <c r="A14367" i="1"/>
  <c r="C14367" i="1"/>
  <c r="K14367" i="1"/>
  <c r="N14367" i="1"/>
  <c r="A14368" i="1"/>
  <c r="C14368" i="1"/>
  <c r="N14368" i="1"/>
  <c r="A14369" i="1"/>
  <c r="C14369" i="1"/>
  <c r="N14369" i="1"/>
  <c r="A14370" i="1"/>
  <c r="C14370" i="1"/>
  <c r="E14370" i="1"/>
  <c r="N14370" i="1"/>
  <c r="T14370" i="1"/>
  <c r="A14371" i="1"/>
  <c r="C14371" i="1"/>
  <c r="K14371" i="1"/>
  <c r="N14371" i="1"/>
  <c r="A14372" i="1"/>
  <c r="C14372" i="1"/>
  <c r="N14372" i="1"/>
  <c r="A14373" i="1"/>
  <c r="C14373" i="1"/>
  <c r="K14373" i="1"/>
  <c r="N14373" i="1"/>
  <c r="A14374" i="1"/>
  <c r="C14374" i="1"/>
  <c r="N14374" i="1"/>
  <c r="A14375" i="1"/>
  <c r="C14375" i="1"/>
  <c r="K14375" i="1"/>
  <c r="N14375" i="1"/>
  <c r="A14376" i="1"/>
  <c r="C14376" i="1"/>
  <c r="K14376" i="1"/>
  <c r="N14376" i="1"/>
  <c r="A14377" i="1"/>
  <c r="C14377" i="1"/>
  <c r="N14377" i="1"/>
  <c r="A14378" i="1"/>
  <c r="C14378" i="1"/>
  <c r="N14378" i="1"/>
  <c r="A14379" i="1"/>
  <c r="C14379" i="1"/>
  <c r="N14379" i="1"/>
  <c r="A14380" i="1"/>
  <c r="C14380" i="1"/>
  <c r="N14380" i="1"/>
  <c r="A14381" i="1"/>
  <c r="C14381" i="1"/>
  <c r="N14381" i="1"/>
  <c r="A14382" i="1"/>
  <c r="C14382" i="1"/>
  <c r="D14382" i="1"/>
  <c r="N14382" i="1"/>
  <c r="O14382" i="1"/>
  <c r="A14383" i="1"/>
  <c r="C14383" i="1"/>
  <c r="N14383" i="1"/>
  <c r="A14384" i="1"/>
  <c r="C14384" i="1"/>
  <c r="N14384" i="1"/>
  <c r="A14385" i="1"/>
  <c r="C14385" i="1"/>
  <c r="N14385" i="1"/>
  <c r="A14386" i="1"/>
  <c r="C14386" i="1"/>
  <c r="N14386" i="1"/>
  <c r="A14387" i="1"/>
  <c r="C14387" i="1"/>
  <c r="N14387" i="1"/>
  <c r="A14388" i="1"/>
  <c r="C14388" i="1"/>
  <c r="N14388" i="1"/>
  <c r="A14389" i="1"/>
  <c r="C14389" i="1"/>
  <c r="N14389" i="1"/>
  <c r="A14390" i="1"/>
  <c r="C14390" i="1"/>
  <c r="N14390" i="1"/>
  <c r="A14391" i="1"/>
  <c r="C14391" i="1"/>
  <c r="N14391" i="1"/>
  <c r="A14392" i="1"/>
  <c r="C14392" i="1"/>
  <c r="N14392" i="1"/>
  <c r="A14393" i="1"/>
  <c r="C14393" i="1"/>
  <c r="K14393" i="1"/>
  <c r="N14393" i="1"/>
  <c r="A14394" i="1"/>
  <c r="C14394" i="1"/>
  <c r="N14394" i="1"/>
  <c r="A14395" i="1"/>
  <c r="C14395" i="1"/>
  <c r="N14395" i="1"/>
  <c r="A14396" i="1"/>
  <c r="C14396" i="1"/>
  <c r="N14396" i="1"/>
  <c r="A14397" i="1"/>
  <c r="C14397" i="1"/>
  <c r="N14397" i="1"/>
  <c r="A14398" i="1"/>
  <c r="C14398" i="1"/>
  <c r="N14398" i="1"/>
  <c r="A14399" i="1"/>
  <c r="C14399" i="1"/>
  <c r="N14399" i="1"/>
  <c r="A14400" i="1"/>
  <c r="C14400" i="1"/>
  <c r="N14400" i="1"/>
  <c r="A14401" i="1"/>
  <c r="C14401" i="1"/>
  <c r="N14401" i="1"/>
  <c r="A14402" i="1"/>
  <c r="C14402" i="1"/>
  <c r="N14402" i="1"/>
  <c r="A14403" i="1"/>
  <c r="C14403" i="1"/>
  <c r="N14403" i="1"/>
  <c r="A14404" i="1"/>
  <c r="C14404" i="1"/>
  <c r="K14404" i="1"/>
  <c r="N14404" i="1"/>
  <c r="A14405" i="1"/>
  <c r="C14405" i="1"/>
  <c r="N14405" i="1"/>
  <c r="A14406" i="1"/>
  <c r="C14406" i="1"/>
  <c r="N14406" i="1"/>
  <c r="A14407" i="1"/>
  <c r="C14407" i="1"/>
  <c r="N14407" i="1"/>
  <c r="A14408" i="1"/>
  <c r="C14408" i="1"/>
  <c r="N14408" i="1"/>
  <c r="A14409" i="1"/>
  <c r="C14409" i="1"/>
  <c r="N14409" i="1"/>
  <c r="A14410" i="1"/>
  <c r="C14410" i="1"/>
  <c r="N14410" i="1"/>
  <c r="A14411" i="1"/>
  <c r="C14411" i="1"/>
  <c r="N14411" i="1"/>
  <c r="A14412" i="1"/>
  <c r="C14412" i="1"/>
  <c r="N14412" i="1"/>
  <c r="A14413" i="1"/>
  <c r="C14413" i="1"/>
  <c r="N14413" i="1"/>
  <c r="A14414" i="1"/>
  <c r="C14414" i="1"/>
  <c r="N14414" i="1"/>
  <c r="A14415" i="1"/>
  <c r="C14415" i="1"/>
  <c r="N14415" i="1"/>
  <c r="A14416" i="1"/>
  <c r="C14416" i="1"/>
  <c r="N14416" i="1"/>
  <c r="A14417" i="1"/>
  <c r="C14417" i="1"/>
  <c r="N14417" i="1"/>
  <c r="A14418" i="1"/>
  <c r="C14418" i="1"/>
  <c r="N14418" i="1"/>
  <c r="A14419" i="1"/>
  <c r="C14419" i="1"/>
  <c r="N14419" i="1"/>
  <c r="A14420" i="1"/>
  <c r="C14420" i="1"/>
  <c r="N14420" i="1"/>
  <c r="A14421" i="1"/>
  <c r="C14421" i="1"/>
  <c r="N14421" i="1"/>
  <c r="A14422" i="1"/>
  <c r="C14422" i="1"/>
  <c r="N14422" i="1"/>
  <c r="A14423" i="1"/>
  <c r="C14423" i="1"/>
  <c r="N14423" i="1"/>
  <c r="A14424" i="1"/>
  <c r="C14424" i="1"/>
  <c r="N14424" i="1"/>
  <c r="A14425" i="1"/>
  <c r="C14425" i="1"/>
  <c r="N14425" i="1"/>
  <c r="A14426" i="1"/>
  <c r="C14426" i="1"/>
  <c r="N14426" i="1"/>
  <c r="A14427" i="1"/>
  <c r="C14427" i="1"/>
  <c r="N14427" i="1"/>
  <c r="A14428" i="1"/>
  <c r="C14428" i="1"/>
  <c r="N14428" i="1"/>
  <c r="A14429" i="1"/>
  <c r="C14429" i="1"/>
  <c r="N14429" i="1"/>
  <c r="A14430" i="1"/>
  <c r="C14430" i="1"/>
  <c r="N14430" i="1"/>
  <c r="A14431" i="1"/>
  <c r="C14431" i="1"/>
  <c r="N14431" i="1"/>
  <c r="A14432" i="1"/>
  <c r="C14432" i="1"/>
  <c r="N14432" i="1"/>
  <c r="A14433" i="1"/>
  <c r="C14433" i="1"/>
  <c r="N14433" i="1"/>
  <c r="A14434" i="1"/>
  <c r="C14434" i="1"/>
  <c r="N14434" i="1"/>
  <c r="A14435" i="1"/>
  <c r="C14435" i="1"/>
  <c r="K14435" i="1"/>
  <c r="N14435" i="1"/>
  <c r="A14436" i="1"/>
  <c r="C14436" i="1"/>
  <c r="N14436" i="1"/>
  <c r="A14437" i="1"/>
  <c r="C14437" i="1"/>
  <c r="N14437" i="1"/>
  <c r="A14438" i="1"/>
  <c r="C14438" i="1"/>
  <c r="N14438" i="1"/>
  <c r="A14439" i="1"/>
  <c r="C14439" i="1"/>
  <c r="K14439" i="1"/>
  <c r="N14439" i="1"/>
  <c r="A14440" i="1"/>
  <c r="C14440" i="1"/>
  <c r="N14440" i="1"/>
  <c r="A14441" i="1"/>
  <c r="C14441" i="1"/>
  <c r="N14441" i="1"/>
  <c r="A14442" i="1"/>
  <c r="C14442" i="1"/>
  <c r="N14442" i="1"/>
  <c r="A14443" i="1"/>
  <c r="C14443" i="1"/>
  <c r="N14443" i="1"/>
  <c r="A14444" i="1"/>
  <c r="C14444" i="1"/>
  <c r="N14444" i="1"/>
  <c r="A14445" i="1"/>
  <c r="C14445" i="1"/>
  <c r="N14445" i="1"/>
  <c r="A14446" i="1"/>
  <c r="C14446" i="1"/>
  <c r="N14446" i="1"/>
  <c r="A14447" i="1"/>
  <c r="C14447" i="1"/>
  <c r="N14447" i="1"/>
  <c r="A14448" i="1"/>
  <c r="C14448" i="1"/>
  <c r="N14448" i="1"/>
  <c r="A14449" i="1"/>
  <c r="C14449" i="1"/>
  <c r="N14449" i="1"/>
  <c r="A14450" i="1"/>
  <c r="C14450" i="1"/>
  <c r="N14450" i="1"/>
  <c r="A14451" i="1"/>
  <c r="C14451" i="1"/>
  <c r="N14451" i="1"/>
  <c r="A14452" i="1"/>
  <c r="C14452" i="1"/>
  <c r="N14452" i="1"/>
  <c r="A14453" i="1"/>
  <c r="C14453" i="1"/>
  <c r="K14453" i="1"/>
  <c r="N14453" i="1"/>
  <c r="A14454" i="1"/>
  <c r="C14454" i="1"/>
  <c r="N14454" i="1"/>
  <c r="A14455" i="1"/>
  <c r="C14455" i="1"/>
  <c r="K14455" i="1"/>
  <c r="N14455" i="1"/>
  <c r="A14456" i="1"/>
  <c r="C14456" i="1"/>
  <c r="N14456" i="1"/>
  <c r="A14457" i="1"/>
  <c r="C14457" i="1"/>
  <c r="K14457" i="1"/>
  <c r="N14457" i="1"/>
  <c r="A14458" i="1"/>
  <c r="C14458" i="1"/>
  <c r="N14458" i="1"/>
  <c r="A14459" i="1"/>
  <c r="C14459" i="1"/>
  <c r="N14459" i="1"/>
  <c r="A14460" i="1"/>
  <c r="C14460" i="1"/>
  <c r="N14460" i="1"/>
  <c r="A14461" i="1"/>
  <c r="C14461" i="1"/>
  <c r="N14461" i="1"/>
  <c r="A14462" i="1"/>
  <c r="C14462" i="1"/>
  <c r="N14462" i="1"/>
  <c r="A14463" i="1"/>
  <c r="C14463" i="1"/>
  <c r="N14463" i="1"/>
  <c r="A14464" i="1"/>
  <c r="C14464" i="1"/>
  <c r="N14464" i="1"/>
  <c r="A14465" i="1"/>
  <c r="C14465" i="1"/>
  <c r="N14465" i="1"/>
  <c r="A14466" i="1"/>
  <c r="C14466" i="1"/>
  <c r="N14466" i="1"/>
  <c r="A14467" i="1"/>
  <c r="C14467" i="1"/>
  <c r="N14467" i="1"/>
  <c r="A14468" i="1"/>
  <c r="C14468" i="1"/>
  <c r="K14468" i="1"/>
  <c r="N14468" i="1"/>
  <c r="A14469" i="1"/>
  <c r="C14469" i="1"/>
  <c r="N14469" i="1"/>
  <c r="A14470" i="1"/>
  <c r="C14470" i="1"/>
  <c r="K14470" i="1"/>
  <c r="N14470" i="1"/>
  <c r="A14471" i="1"/>
  <c r="C14471" i="1"/>
  <c r="N14471" i="1"/>
  <c r="A14472" i="1"/>
  <c r="C14472" i="1"/>
  <c r="N14472" i="1"/>
  <c r="A14473" i="1"/>
  <c r="C14473" i="1"/>
  <c r="K14473" i="1"/>
  <c r="N14473" i="1"/>
  <c r="A14474" i="1"/>
  <c r="C14474" i="1"/>
  <c r="N14474" i="1"/>
  <c r="A14475" i="1"/>
  <c r="C14475" i="1"/>
  <c r="N14475" i="1"/>
  <c r="A14476" i="1"/>
  <c r="C14476" i="1"/>
  <c r="N14476" i="1"/>
  <c r="A14477" i="1"/>
  <c r="C14477" i="1"/>
  <c r="N14477" i="1"/>
  <c r="A14478" i="1"/>
  <c r="C14478" i="1"/>
  <c r="N14478" i="1"/>
  <c r="A14479" i="1"/>
  <c r="C14479" i="1"/>
  <c r="N14479" i="1"/>
  <c r="A14480" i="1"/>
  <c r="C14480" i="1"/>
  <c r="N14480" i="1"/>
  <c r="A14481" i="1"/>
  <c r="C14481" i="1"/>
  <c r="N14481" i="1"/>
  <c r="A14482" i="1"/>
  <c r="C14482" i="1"/>
  <c r="N14482" i="1"/>
  <c r="A14483" i="1"/>
  <c r="C14483" i="1"/>
  <c r="N14483" i="1"/>
  <c r="A14484" i="1"/>
  <c r="C14484" i="1"/>
  <c r="N14484" i="1"/>
  <c r="A14485" i="1"/>
  <c r="C14485" i="1"/>
  <c r="N14485" i="1"/>
  <c r="A14486" i="1"/>
  <c r="C14486" i="1"/>
  <c r="K14486" i="1"/>
  <c r="N14486" i="1"/>
  <c r="A14487" i="1"/>
  <c r="C14487" i="1"/>
  <c r="N14487" i="1"/>
  <c r="A14488" i="1"/>
  <c r="C14488" i="1"/>
  <c r="N14488" i="1"/>
  <c r="A14489" i="1"/>
  <c r="C14489" i="1"/>
  <c r="N14489" i="1"/>
  <c r="A14490" i="1"/>
  <c r="C14490" i="1"/>
  <c r="N14490" i="1"/>
  <c r="A14491" i="1"/>
  <c r="C14491" i="1"/>
  <c r="N14491" i="1"/>
  <c r="A14492" i="1"/>
  <c r="C14492" i="1"/>
  <c r="N14492" i="1"/>
  <c r="A14493" i="1"/>
  <c r="C14493" i="1"/>
  <c r="N14493" i="1"/>
  <c r="A14494" i="1"/>
  <c r="C14494" i="1"/>
  <c r="N14494" i="1"/>
  <c r="A14495" i="1"/>
  <c r="C14495" i="1"/>
  <c r="N14495" i="1"/>
  <c r="A14496" i="1"/>
  <c r="C14496" i="1"/>
  <c r="N14496" i="1"/>
  <c r="A14497" i="1"/>
  <c r="C14497" i="1"/>
  <c r="N14497" i="1"/>
  <c r="A14498" i="1"/>
  <c r="C14498" i="1"/>
  <c r="N14498" i="1"/>
  <c r="A14499" i="1"/>
  <c r="C14499" i="1"/>
  <c r="N14499" i="1"/>
  <c r="A14500" i="1"/>
  <c r="C14500" i="1"/>
  <c r="N14500" i="1"/>
  <c r="A14501" i="1"/>
  <c r="C14501" i="1"/>
  <c r="K14501" i="1"/>
  <c r="N14501" i="1"/>
  <c r="A14502" i="1"/>
  <c r="C14502" i="1"/>
  <c r="N14502" i="1"/>
  <c r="A14503" i="1"/>
  <c r="C14503" i="1"/>
  <c r="N14503" i="1"/>
  <c r="A14504" i="1"/>
  <c r="C14504" i="1"/>
  <c r="N14504" i="1"/>
  <c r="A14505" i="1"/>
  <c r="C14505" i="1"/>
  <c r="N14505" i="1"/>
  <c r="A14506" i="1"/>
  <c r="C14506" i="1"/>
  <c r="N14506" i="1"/>
  <c r="A14507" i="1"/>
  <c r="C14507" i="1"/>
  <c r="N14507" i="1"/>
  <c r="A14508" i="1"/>
  <c r="C14508" i="1"/>
  <c r="N14508" i="1"/>
  <c r="A14509" i="1"/>
  <c r="C14509" i="1"/>
  <c r="K14509" i="1"/>
  <c r="N14509" i="1"/>
  <c r="A14510" i="1"/>
  <c r="C14510" i="1"/>
  <c r="N14510" i="1"/>
  <c r="A14511" i="1"/>
  <c r="C14511" i="1"/>
  <c r="N14511" i="1"/>
  <c r="A14512" i="1"/>
  <c r="C14512" i="1"/>
  <c r="K14512" i="1"/>
  <c r="N14512" i="1"/>
  <c r="A14513" i="1"/>
  <c r="C14513" i="1"/>
  <c r="K14513" i="1"/>
  <c r="N14513" i="1"/>
  <c r="A14514" i="1"/>
  <c r="C14514" i="1"/>
  <c r="N14514" i="1"/>
  <c r="A14515" i="1"/>
  <c r="C14515" i="1"/>
  <c r="D14515" i="1"/>
  <c r="N14515" i="1"/>
  <c r="O14515" i="1"/>
  <c r="A14516" i="1"/>
  <c r="C14516" i="1"/>
  <c r="N14516" i="1"/>
  <c r="A14517" i="1"/>
  <c r="C14517" i="1"/>
  <c r="N14517" i="1"/>
  <c r="A14518" i="1"/>
  <c r="C14518" i="1"/>
  <c r="N14518" i="1"/>
  <c r="A14519" i="1"/>
  <c r="C14519" i="1"/>
  <c r="N14519" i="1"/>
  <c r="A14520" i="1"/>
  <c r="C14520" i="1"/>
  <c r="N14520" i="1"/>
  <c r="A14521" i="1"/>
  <c r="C14521" i="1"/>
  <c r="N14521" i="1"/>
  <c r="A14522" i="1"/>
  <c r="C14522" i="1"/>
  <c r="N14522" i="1"/>
  <c r="A14523" i="1"/>
  <c r="C14523" i="1"/>
  <c r="N14523" i="1"/>
  <c r="A14524" i="1"/>
  <c r="C14524" i="1"/>
  <c r="N14524" i="1"/>
  <c r="A14525" i="1"/>
  <c r="C14525" i="1"/>
  <c r="N14525" i="1"/>
  <c r="A14526" i="1"/>
  <c r="C14526" i="1"/>
  <c r="N14526" i="1"/>
  <c r="A14527" i="1"/>
  <c r="C14527" i="1"/>
  <c r="N14527" i="1"/>
  <c r="A14528" i="1"/>
  <c r="C14528" i="1"/>
  <c r="K14528" i="1"/>
  <c r="N14528" i="1"/>
  <c r="A14529" i="1"/>
  <c r="C14529" i="1"/>
  <c r="N14529" i="1"/>
  <c r="A14530" i="1"/>
  <c r="C14530" i="1"/>
  <c r="N14530" i="1"/>
  <c r="A14531" i="1"/>
  <c r="C14531" i="1"/>
  <c r="N14531" i="1"/>
  <c r="A14532" i="1"/>
  <c r="C14532" i="1"/>
  <c r="N14532" i="1"/>
  <c r="A14533" i="1"/>
  <c r="C14533" i="1"/>
  <c r="K14533" i="1"/>
  <c r="N14533" i="1"/>
  <c r="A14534" i="1"/>
  <c r="C14534" i="1"/>
  <c r="N14534" i="1"/>
  <c r="A14535" i="1"/>
  <c r="C14535" i="1"/>
  <c r="N14535" i="1"/>
  <c r="A14536" i="1"/>
  <c r="C14536" i="1"/>
  <c r="K14536" i="1"/>
  <c r="N14536" i="1"/>
  <c r="A14537" i="1"/>
  <c r="C14537" i="1"/>
  <c r="N14537" i="1"/>
  <c r="A14538" i="1"/>
  <c r="C14538" i="1"/>
  <c r="N14538" i="1"/>
  <c r="A14539" i="1"/>
  <c r="C14539" i="1"/>
  <c r="N14539" i="1"/>
  <c r="A14540" i="1"/>
  <c r="C14540" i="1"/>
  <c r="K14540" i="1"/>
  <c r="N14540" i="1"/>
  <c r="A14541" i="1"/>
  <c r="C14541" i="1"/>
  <c r="N14541" i="1"/>
  <c r="A14542" i="1"/>
  <c r="C14542" i="1"/>
  <c r="N14542" i="1"/>
  <c r="A14543" i="1"/>
  <c r="C14543" i="1"/>
  <c r="N14543" i="1"/>
  <c r="A14544" i="1"/>
  <c r="C14544" i="1"/>
  <c r="N14544" i="1"/>
  <c r="A14545" i="1"/>
  <c r="C14545" i="1"/>
  <c r="N14545" i="1"/>
  <c r="A14546" i="1"/>
  <c r="C14546" i="1"/>
  <c r="K14546" i="1"/>
  <c r="N14546" i="1"/>
  <c r="A14547" i="1"/>
  <c r="C14547" i="1"/>
  <c r="N14547" i="1"/>
  <c r="A14548" i="1"/>
  <c r="C14548" i="1"/>
  <c r="N14548" i="1"/>
  <c r="A14549" i="1"/>
  <c r="C14549" i="1"/>
  <c r="N14549" i="1"/>
  <c r="A14550" i="1"/>
  <c r="C14550" i="1"/>
  <c r="N14550" i="1"/>
  <c r="A14551" i="1"/>
  <c r="C14551" i="1"/>
  <c r="N14551" i="1"/>
  <c r="A14552" i="1"/>
  <c r="C14552" i="1"/>
  <c r="N14552" i="1"/>
  <c r="A14553" i="1"/>
  <c r="C14553" i="1"/>
  <c r="N14553" i="1"/>
  <c r="A14554" i="1"/>
  <c r="C14554" i="1"/>
  <c r="N14554" i="1"/>
  <c r="A14555" i="1"/>
  <c r="C14555" i="1"/>
  <c r="N14555" i="1"/>
  <c r="A14556" i="1"/>
  <c r="C14556" i="1"/>
  <c r="N14556" i="1"/>
  <c r="A14557" i="1"/>
  <c r="C14557" i="1"/>
  <c r="N14557" i="1"/>
  <c r="A14558" i="1"/>
  <c r="C14558" i="1"/>
  <c r="N14558" i="1"/>
  <c r="A14559" i="1"/>
  <c r="C14559" i="1"/>
  <c r="N14559" i="1"/>
  <c r="A14560" i="1"/>
  <c r="C14560" i="1"/>
  <c r="N14560" i="1"/>
  <c r="A14561" i="1"/>
  <c r="C14561" i="1"/>
  <c r="N14561" i="1"/>
  <c r="A14562" i="1"/>
  <c r="C14562" i="1"/>
  <c r="N14562" i="1"/>
  <c r="A14563" i="1"/>
  <c r="C14563" i="1"/>
  <c r="N14563" i="1"/>
  <c r="A14564" i="1"/>
  <c r="C14564" i="1"/>
  <c r="N14564" i="1"/>
  <c r="A14565" i="1"/>
  <c r="C14565" i="1"/>
  <c r="N14565" i="1"/>
  <c r="A14566" i="1"/>
  <c r="C14566" i="1"/>
  <c r="N14566" i="1"/>
  <c r="A14567" i="1"/>
  <c r="C14567" i="1"/>
  <c r="N14567" i="1"/>
  <c r="A14568" i="1"/>
  <c r="C14568" i="1"/>
  <c r="N14568" i="1"/>
  <c r="A14569" i="1"/>
  <c r="C14569" i="1"/>
  <c r="N14569" i="1"/>
  <c r="A14570" i="1"/>
  <c r="C14570" i="1"/>
  <c r="N14570" i="1"/>
  <c r="A14571" i="1"/>
  <c r="C14571" i="1"/>
  <c r="N14571" i="1"/>
  <c r="A14572" i="1"/>
  <c r="C14572" i="1"/>
  <c r="N14572" i="1"/>
  <c r="A14573" i="1"/>
  <c r="C14573" i="1"/>
  <c r="N14573" i="1"/>
  <c r="A14574" i="1"/>
  <c r="C14574" i="1"/>
  <c r="N14574" i="1"/>
  <c r="A14575" i="1"/>
  <c r="C14575" i="1"/>
  <c r="N14575" i="1"/>
  <c r="A14576" i="1"/>
  <c r="C14576" i="1"/>
  <c r="N14576" i="1"/>
  <c r="A14577" i="1"/>
  <c r="C14577" i="1"/>
  <c r="N14577" i="1"/>
  <c r="A14578" i="1"/>
  <c r="C14578" i="1"/>
  <c r="N14578" i="1"/>
  <c r="A14579" i="1"/>
  <c r="C14579" i="1"/>
  <c r="K14579" i="1"/>
  <c r="N14579" i="1"/>
  <c r="A14580" i="1"/>
  <c r="C14580" i="1"/>
  <c r="K14580" i="1"/>
  <c r="N14580" i="1"/>
  <c r="A14581" i="1"/>
  <c r="C14581" i="1"/>
  <c r="K14581" i="1"/>
  <c r="N14581" i="1"/>
  <c r="A14582" i="1"/>
  <c r="C14582" i="1"/>
  <c r="D14582" i="1"/>
  <c r="N14582" i="1"/>
  <c r="O14582" i="1"/>
  <c r="A14583" i="1"/>
  <c r="C14583" i="1"/>
  <c r="K14583" i="1"/>
  <c r="N14583" i="1"/>
  <c r="A14584" i="1"/>
  <c r="C14584" i="1"/>
  <c r="N14584" i="1"/>
  <c r="A14585" i="1"/>
  <c r="C14585" i="1"/>
  <c r="N14585" i="1"/>
  <c r="A14586" i="1"/>
  <c r="C14586" i="1"/>
  <c r="N14586" i="1"/>
  <c r="A14587" i="1"/>
  <c r="C14587" i="1"/>
  <c r="N14587" i="1"/>
  <c r="A14588" i="1"/>
  <c r="C14588" i="1"/>
  <c r="N14588" i="1"/>
  <c r="A14589" i="1"/>
  <c r="C14589" i="1"/>
  <c r="N14589" i="1"/>
  <c r="A14590" i="1"/>
  <c r="C14590" i="1"/>
  <c r="N14590" i="1"/>
  <c r="A14591" i="1"/>
  <c r="C14591" i="1"/>
  <c r="N14591" i="1"/>
  <c r="A14592" i="1"/>
  <c r="C14592" i="1"/>
  <c r="N14592" i="1"/>
  <c r="A14593" i="1"/>
  <c r="C14593" i="1"/>
  <c r="F14593" i="1"/>
  <c r="N14593" i="1"/>
  <c r="A14594" i="1"/>
  <c r="C14594" i="1"/>
  <c r="F14594" i="1"/>
  <c r="N14594" i="1"/>
  <c r="A14595" i="1"/>
  <c r="C14595" i="1"/>
  <c r="F14595" i="1"/>
  <c r="N14595" i="1"/>
  <c r="A14596" i="1"/>
  <c r="C14596" i="1"/>
  <c r="N14596" i="1"/>
  <c r="A14597" i="1"/>
  <c r="C14597" i="1"/>
  <c r="K14597" i="1"/>
  <c r="N14597" i="1"/>
  <c r="A14598" i="1"/>
  <c r="C14598" i="1"/>
  <c r="K14598" i="1"/>
  <c r="N14598" i="1"/>
  <c r="A14599" i="1"/>
  <c r="C14599" i="1"/>
  <c r="N14599" i="1"/>
  <c r="A14600" i="1"/>
  <c r="C14600" i="1"/>
  <c r="K14600" i="1"/>
  <c r="N14600" i="1"/>
  <c r="A14601" i="1"/>
  <c r="C14601" i="1"/>
  <c r="N14601" i="1"/>
  <c r="A14602" i="1"/>
  <c r="C14602" i="1"/>
  <c r="N14602" i="1"/>
  <c r="A14603" i="1"/>
  <c r="C14603" i="1"/>
  <c r="N14603" i="1"/>
  <c r="A14604" i="1"/>
  <c r="C14604" i="1"/>
  <c r="K14604" i="1"/>
  <c r="N14604" i="1"/>
  <c r="A14605" i="1"/>
  <c r="C14605" i="1"/>
  <c r="N14605" i="1"/>
  <c r="A14606" i="1"/>
  <c r="C14606" i="1"/>
  <c r="N14606" i="1"/>
  <c r="A14607" i="1"/>
  <c r="C14607" i="1"/>
  <c r="N14607" i="1"/>
  <c r="A14608" i="1"/>
  <c r="C14608" i="1"/>
  <c r="N14608" i="1"/>
  <c r="A14609" i="1"/>
  <c r="C14609" i="1"/>
  <c r="N14609" i="1"/>
  <c r="A14610" i="1"/>
  <c r="C14610" i="1"/>
  <c r="N14610" i="1"/>
  <c r="A14611" i="1"/>
  <c r="C14611" i="1"/>
  <c r="N14611" i="1"/>
  <c r="A14612" i="1"/>
  <c r="C14612" i="1"/>
  <c r="N14612" i="1"/>
  <c r="A14613" i="1"/>
  <c r="C14613" i="1"/>
  <c r="N14613" i="1"/>
  <c r="A14614" i="1"/>
  <c r="C14614" i="1"/>
  <c r="N14614" i="1"/>
  <c r="A14615" i="1"/>
  <c r="C14615" i="1"/>
  <c r="N14615" i="1"/>
  <c r="A14616" i="1"/>
  <c r="C14616" i="1"/>
  <c r="N14616" i="1"/>
  <c r="A14617" i="1"/>
  <c r="C14617" i="1"/>
  <c r="N14617" i="1"/>
  <c r="A14618" i="1"/>
  <c r="C14618" i="1"/>
  <c r="N14618" i="1"/>
  <c r="A14619" i="1"/>
  <c r="C14619" i="1"/>
  <c r="K14619" i="1"/>
  <c r="N14619" i="1"/>
  <c r="A14620" i="1"/>
  <c r="C14620" i="1"/>
  <c r="N14620" i="1"/>
  <c r="A14621" i="1"/>
  <c r="C14621" i="1"/>
  <c r="K14621" i="1"/>
  <c r="N14621" i="1"/>
  <c r="A14622" i="1"/>
  <c r="C14622" i="1"/>
  <c r="N14622" i="1"/>
  <c r="A14623" i="1"/>
  <c r="C14623" i="1"/>
  <c r="N14623" i="1"/>
  <c r="A14624" i="1"/>
  <c r="C14624" i="1"/>
  <c r="N14624" i="1"/>
  <c r="A14625" i="1"/>
  <c r="C14625" i="1"/>
  <c r="N14625" i="1"/>
  <c r="A14626" i="1"/>
  <c r="C14626" i="1"/>
  <c r="D14626" i="1"/>
  <c r="E14626" i="1"/>
  <c r="K14626" i="1"/>
  <c r="N14626" i="1"/>
  <c r="O14626" i="1"/>
  <c r="T14626" i="1"/>
  <c r="A14627" i="1"/>
  <c r="C14627" i="1"/>
  <c r="N14627" i="1"/>
  <c r="A14628" i="1"/>
  <c r="C14628" i="1"/>
  <c r="N14628" i="1"/>
  <c r="A14629" i="1"/>
  <c r="C14629" i="1"/>
  <c r="K14629" i="1"/>
  <c r="N14629" i="1"/>
  <c r="A14630" i="1"/>
  <c r="C14630" i="1"/>
  <c r="N14630" i="1"/>
  <c r="A14631" i="1"/>
  <c r="C14631" i="1"/>
  <c r="N14631" i="1"/>
  <c r="A14632" i="1"/>
  <c r="C14632" i="1"/>
  <c r="N14632" i="1"/>
  <c r="A14633" i="1"/>
  <c r="C14633" i="1"/>
  <c r="K14633" i="1"/>
  <c r="N14633" i="1"/>
  <c r="A14634" i="1"/>
  <c r="C14634" i="1"/>
  <c r="N14634" i="1"/>
  <c r="A14635" i="1"/>
  <c r="C14635" i="1"/>
  <c r="K14635" i="1"/>
  <c r="N14635" i="1"/>
  <c r="A14636" i="1"/>
  <c r="C14636" i="1"/>
  <c r="N14636" i="1"/>
  <c r="A14637" i="1"/>
  <c r="C14637" i="1"/>
  <c r="K14637" i="1"/>
  <c r="N14637" i="1"/>
  <c r="A14638" i="1"/>
  <c r="C14638" i="1"/>
  <c r="N14638" i="1"/>
  <c r="A14639" i="1"/>
  <c r="C14639" i="1"/>
  <c r="N14639" i="1"/>
  <c r="A14640" i="1"/>
  <c r="C14640" i="1"/>
  <c r="N14640" i="1"/>
  <c r="A14641" i="1"/>
  <c r="C14641" i="1"/>
  <c r="N14641" i="1"/>
  <c r="A14642" i="1"/>
  <c r="C14642" i="1"/>
  <c r="N14642" i="1"/>
  <c r="A14643" i="1"/>
  <c r="C14643" i="1"/>
  <c r="N14643" i="1"/>
  <c r="A14644" i="1"/>
  <c r="C14644" i="1"/>
  <c r="N14644" i="1"/>
  <c r="A14645" i="1"/>
  <c r="C14645" i="1"/>
  <c r="N14645" i="1"/>
  <c r="A14646" i="1"/>
  <c r="C14646" i="1"/>
  <c r="N14646" i="1"/>
  <c r="A14647" i="1"/>
  <c r="C14647" i="1"/>
  <c r="K14647" i="1"/>
  <c r="N14647" i="1"/>
  <c r="A14648" i="1"/>
  <c r="C14648" i="1"/>
  <c r="N14648" i="1"/>
  <c r="A14649" i="1"/>
  <c r="C14649" i="1"/>
  <c r="N14649" i="1"/>
  <c r="A14650" i="1"/>
  <c r="C14650" i="1"/>
  <c r="N14650" i="1"/>
  <c r="A14651" i="1"/>
  <c r="C14651" i="1"/>
  <c r="N14651" i="1"/>
  <c r="A14652" i="1"/>
  <c r="C14652" i="1"/>
  <c r="N14652" i="1"/>
  <c r="A14653" i="1"/>
  <c r="C14653" i="1"/>
  <c r="N14653" i="1"/>
  <c r="A14654" i="1"/>
  <c r="C14654" i="1"/>
  <c r="N14654" i="1"/>
  <c r="A14655" i="1"/>
  <c r="C14655" i="1"/>
  <c r="N14655" i="1"/>
  <c r="A14656" i="1"/>
  <c r="C14656" i="1"/>
  <c r="N14656" i="1"/>
  <c r="A14657" i="1"/>
  <c r="C14657" i="1"/>
  <c r="N14657" i="1"/>
  <c r="A14658" i="1"/>
  <c r="C14658" i="1"/>
  <c r="N14658" i="1"/>
  <c r="A14659" i="1"/>
  <c r="C14659" i="1"/>
  <c r="K14659" i="1"/>
  <c r="N14659" i="1"/>
  <c r="A14660" i="1"/>
  <c r="C14660" i="1"/>
  <c r="N14660" i="1"/>
  <c r="A14661" i="1"/>
  <c r="C14661" i="1"/>
  <c r="N14661" i="1"/>
  <c r="A14662" i="1"/>
  <c r="C14662" i="1"/>
  <c r="N14662" i="1"/>
  <c r="A14663" i="1"/>
  <c r="C14663" i="1"/>
  <c r="N14663" i="1"/>
  <c r="A14664" i="1"/>
  <c r="C14664" i="1"/>
  <c r="K14664" i="1"/>
  <c r="N14664" i="1"/>
  <c r="A14665" i="1"/>
  <c r="C14665" i="1"/>
  <c r="N14665" i="1"/>
  <c r="A14666" i="1"/>
  <c r="C14666" i="1"/>
  <c r="K14666" i="1"/>
  <c r="N14666" i="1"/>
  <c r="A14667" i="1"/>
  <c r="C14667" i="1"/>
  <c r="N14667" i="1"/>
  <c r="A14668" i="1"/>
  <c r="C14668" i="1"/>
  <c r="N14668" i="1"/>
  <c r="A14669" i="1"/>
  <c r="C14669" i="1"/>
  <c r="N14669" i="1"/>
  <c r="A14670" i="1"/>
  <c r="C14670" i="1"/>
  <c r="N14670" i="1"/>
  <c r="A14671" i="1"/>
  <c r="C14671" i="1"/>
  <c r="K14671" i="1"/>
  <c r="N14671" i="1"/>
  <c r="A14672" i="1"/>
  <c r="C14672" i="1"/>
  <c r="K14672" i="1"/>
  <c r="N14672" i="1"/>
  <c r="A14673" i="1"/>
  <c r="C14673" i="1"/>
  <c r="K14673" i="1"/>
  <c r="N14673" i="1"/>
  <c r="A14674" i="1"/>
  <c r="C14674" i="1"/>
  <c r="N14674" i="1"/>
  <c r="A14675" i="1"/>
  <c r="C14675" i="1"/>
  <c r="N14675" i="1"/>
  <c r="A14676" i="1"/>
  <c r="C14676" i="1"/>
  <c r="N14676" i="1"/>
  <c r="A14677" i="1"/>
  <c r="C14677" i="1"/>
  <c r="N14677" i="1"/>
  <c r="A14678" i="1"/>
  <c r="C14678" i="1"/>
  <c r="N14678" i="1"/>
  <c r="A14679" i="1"/>
  <c r="C14679" i="1"/>
  <c r="N14679" i="1"/>
  <c r="A14680" i="1"/>
  <c r="C14680" i="1"/>
  <c r="N14680" i="1"/>
  <c r="A14681" i="1"/>
  <c r="C14681" i="1"/>
  <c r="N14681" i="1"/>
  <c r="A14682" i="1"/>
  <c r="C14682" i="1"/>
  <c r="N14682" i="1"/>
  <c r="A14683" i="1"/>
  <c r="C14683" i="1"/>
  <c r="N14683" i="1"/>
  <c r="A14684" i="1"/>
  <c r="C14684" i="1"/>
  <c r="N14684" i="1"/>
  <c r="A14685" i="1"/>
  <c r="C14685" i="1"/>
  <c r="N14685" i="1"/>
  <c r="A14686" i="1"/>
  <c r="C14686" i="1"/>
  <c r="N14686" i="1"/>
  <c r="A14687" i="1"/>
  <c r="C14687" i="1"/>
  <c r="N14687" i="1"/>
  <c r="A14688" i="1"/>
  <c r="C14688" i="1"/>
  <c r="N14688" i="1"/>
  <c r="A14689" i="1"/>
  <c r="C14689" i="1"/>
  <c r="N14689" i="1"/>
  <c r="A14690" i="1"/>
  <c r="C14690" i="1"/>
  <c r="N14690" i="1"/>
  <c r="A14691" i="1"/>
  <c r="C14691" i="1"/>
  <c r="N14691" i="1"/>
  <c r="A14692" i="1"/>
  <c r="C14692" i="1"/>
  <c r="N14692" i="1"/>
  <c r="A14693" i="1"/>
  <c r="C14693" i="1"/>
  <c r="N14693" i="1"/>
  <c r="A14694" i="1"/>
  <c r="C14694" i="1"/>
  <c r="N14694" i="1"/>
  <c r="A14695" i="1"/>
  <c r="C14695" i="1"/>
  <c r="N14695" i="1"/>
  <c r="A14696" i="1"/>
  <c r="C14696" i="1"/>
  <c r="N14696" i="1"/>
  <c r="A14697" i="1"/>
  <c r="C14697" i="1"/>
  <c r="K14697" i="1"/>
  <c r="N14697" i="1"/>
  <c r="A14698" i="1"/>
  <c r="C14698" i="1"/>
  <c r="N14698" i="1"/>
  <c r="A14699" i="1"/>
  <c r="C14699" i="1"/>
  <c r="K14699" i="1"/>
  <c r="N14699" i="1"/>
  <c r="A14700" i="1"/>
  <c r="C14700" i="1"/>
  <c r="K14700" i="1"/>
  <c r="N14700" i="1"/>
  <c r="A14701" i="1"/>
  <c r="C14701" i="1"/>
  <c r="K14701" i="1"/>
  <c r="N14701" i="1"/>
  <c r="A14702" i="1"/>
  <c r="C14702" i="1"/>
  <c r="K14702" i="1"/>
  <c r="N14702" i="1"/>
  <c r="A14703" i="1"/>
  <c r="C14703" i="1"/>
  <c r="K14703" i="1"/>
  <c r="N14703" i="1"/>
  <c r="A14704" i="1"/>
  <c r="C14704" i="1"/>
  <c r="K14704" i="1"/>
  <c r="N14704" i="1"/>
  <c r="A14705" i="1"/>
  <c r="C14705" i="1"/>
  <c r="K14705" i="1"/>
  <c r="N14705" i="1"/>
  <c r="A14706" i="1"/>
  <c r="C14706" i="1"/>
  <c r="K14706" i="1"/>
  <c r="N14706" i="1"/>
  <c r="A14707" i="1"/>
  <c r="C14707" i="1"/>
  <c r="K14707" i="1"/>
  <c r="N14707" i="1"/>
  <c r="A14708" i="1"/>
  <c r="C14708" i="1"/>
  <c r="K14708" i="1"/>
  <c r="N14708" i="1"/>
  <c r="A14709" i="1"/>
  <c r="C14709" i="1"/>
  <c r="N14709" i="1"/>
  <c r="A14710" i="1"/>
  <c r="C14710" i="1"/>
  <c r="K14710" i="1"/>
  <c r="N14710" i="1"/>
  <c r="A14711" i="1"/>
  <c r="C14711" i="1"/>
  <c r="N14711" i="1"/>
  <c r="A14712" i="1"/>
  <c r="C14712" i="1"/>
  <c r="N14712" i="1"/>
  <c r="A14713" i="1"/>
  <c r="C14713" i="1"/>
  <c r="N14713" i="1"/>
  <c r="A14714" i="1"/>
  <c r="C14714" i="1"/>
  <c r="N14714" i="1"/>
  <c r="A14715" i="1"/>
  <c r="C14715" i="1"/>
  <c r="N14715" i="1"/>
  <c r="A14716" i="1"/>
  <c r="C14716" i="1"/>
  <c r="N14716" i="1"/>
  <c r="A14717" i="1"/>
  <c r="C14717" i="1"/>
  <c r="K14717" i="1"/>
  <c r="N14717" i="1"/>
  <c r="A14718" i="1"/>
  <c r="C14718" i="1"/>
  <c r="N14718" i="1"/>
  <c r="A14719" i="1"/>
  <c r="C14719" i="1"/>
  <c r="N14719" i="1"/>
  <c r="A14720" i="1"/>
  <c r="C14720" i="1"/>
  <c r="N14720" i="1"/>
  <c r="A14721" i="1"/>
  <c r="C14721" i="1"/>
  <c r="N14721" i="1"/>
  <c r="A14722" i="1"/>
  <c r="C14722" i="1"/>
  <c r="N14722" i="1"/>
  <c r="A14723" i="1"/>
  <c r="C14723" i="1"/>
  <c r="N14723" i="1"/>
  <c r="A14724" i="1"/>
  <c r="C14724" i="1"/>
  <c r="N14724" i="1"/>
  <c r="A14725" i="1"/>
  <c r="C14725" i="1"/>
  <c r="N14725" i="1"/>
  <c r="A14726" i="1"/>
  <c r="C14726" i="1"/>
  <c r="N14726" i="1"/>
  <c r="A14727" i="1"/>
  <c r="C14727" i="1"/>
  <c r="N14727" i="1"/>
  <c r="A14728" i="1"/>
  <c r="C14728" i="1"/>
  <c r="N14728" i="1"/>
  <c r="A14729" i="1"/>
  <c r="C14729" i="1"/>
  <c r="N14729" i="1"/>
  <c r="A14730" i="1"/>
  <c r="C14730" i="1"/>
  <c r="N14730" i="1"/>
  <c r="A14731" i="1"/>
  <c r="C14731" i="1"/>
  <c r="K14731" i="1"/>
  <c r="N14731" i="1"/>
  <c r="A14732" i="1"/>
  <c r="C14732" i="1"/>
  <c r="N14732" i="1"/>
  <c r="A14733" i="1"/>
  <c r="C14733" i="1"/>
  <c r="K14733" i="1"/>
  <c r="N14733" i="1"/>
  <c r="A14734" i="1"/>
  <c r="C14734" i="1"/>
  <c r="K14734" i="1"/>
  <c r="N14734" i="1"/>
  <c r="A14735" i="1"/>
  <c r="C14735" i="1"/>
  <c r="N14735" i="1"/>
  <c r="A14736" i="1"/>
  <c r="C14736" i="1"/>
  <c r="K14736" i="1"/>
  <c r="N14736" i="1"/>
  <c r="A14737" i="1"/>
  <c r="C14737" i="1"/>
  <c r="N14737" i="1"/>
  <c r="A14738" i="1"/>
  <c r="C14738" i="1"/>
  <c r="N14738" i="1"/>
  <c r="A14739" i="1"/>
  <c r="C14739" i="1"/>
  <c r="N14739" i="1"/>
  <c r="A14740" i="1"/>
  <c r="C14740" i="1"/>
  <c r="N14740" i="1"/>
  <c r="A14741" i="1"/>
  <c r="C14741" i="1"/>
  <c r="N14741" i="1"/>
  <c r="A14742" i="1"/>
  <c r="C14742" i="1"/>
  <c r="K14742" i="1"/>
  <c r="N14742" i="1"/>
  <c r="A14743" i="1"/>
  <c r="C14743" i="1"/>
  <c r="K14743" i="1"/>
  <c r="N14743" i="1"/>
  <c r="A14744" i="1"/>
  <c r="C14744" i="1"/>
  <c r="N14744" i="1"/>
  <c r="A14745" i="1"/>
  <c r="C14745" i="1"/>
  <c r="N14745" i="1"/>
  <c r="A14746" i="1"/>
  <c r="C14746" i="1"/>
  <c r="N14746" i="1"/>
  <c r="A14747" i="1"/>
  <c r="C14747" i="1"/>
  <c r="K14747" i="1"/>
  <c r="N14747" i="1"/>
  <c r="A14748" i="1"/>
  <c r="C14748" i="1"/>
  <c r="K14748" i="1"/>
  <c r="N14748" i="1"/>
  <c r="A14749" i="1"/>
  <c r="C14749" i="1"/>
  <c r="N14749" i="1"/>
  <c r="A14750" i="1"/>
  <c r="C14750" i="1"/>
  <c r="N14750" i="1"/>
  <c r="A14751" i="1"/>
  <c r="C14751" i="1"/>
  <c r="N14751" i="1"/>
  <c r="A14752" i="1"/>
  <c r="C14752" i="1"/>
  <c r="N14752" i="1"/>
  <c r="A14753" i="1"/>
  <c r="C14753" i="1"/>
  <c r="N14753" i="1"/>
  <c r="A14754" i="1"/>
  <c r="C14754" i="1"/>
  <c r="N14754" i="1"/>
  <c r="A14755" i="1"/>
  <c r="C14755" i="1"/>
  <c r="N14755" i="1"/>
  <c r="A14756" i="1"/>
  <c r="C14756" i="1"/>
  <c r="N14756" i="1"/>
  <c r="A14757" i="1"/>
  <c r="C14757" i="1"/>
  <c r="K14757" i="1"/>
  <c r="N14757" i="1"/>
  <c r="A14758" i="1"/>
  <c r="C14758" i="1"/>
  <c r="N14758" i="1"/>
  <c r="A14759" i="1"/>
  <c r="C14759" i="1"/>
  <c r="N14759" i="1"/>
  <c r="A14760" i="1"/>
  <c r="C14760" i="1"/>
  <c r="K14760" i="1"/>
  <c r="N14760" i="1"/>
  <c r="A14761" i="1"/>
  <c r="C14761" i="1"/>
  <c r="N14761" i="1"/>
  <c r="A14762" i="1"/>
  <c r="C14762" i="1"/>
  <c r="N14762" i="1"/>
  <c r="A14763" i="1"/>
  <c r="C14763" i="1"/>
  <c r="N14763" i="1"/>
  <c r="A14764" i="1"/>
  <c r="C14764" i="1"/>
  <c r="K14764" i="1"/>
  <c r="N14764" i="1"/>
  <c r="A14765" i="1"/>
  <c r="C14765" i="1"/>
  <c r="N14765" i="1"/>
  <c r="A14766" i="1"/>
  <c r="C14766" i="1"/>
  <c r="N14766" i="1"/>
  <c r="A14767" i="1"/>
  <c r="C14767" i="1"/>
  <c r="N14767" i="1"/>
  <c r="A14768" i="1"/>
  <c r="C14768" i="1"/>
  <c r="N14768" i="1"/>
  <c r="A14769" i="1"/>
  <c r="C14769" i="1"/>
  <c r="N14769" i="1"/>
  <c r="A14770" i="1"/>
  <c r="C14770" i="1"/>
  <c r="N14770" i="1"/>
  <c r="A14771" i="1"/>
  <c r="C14771" i="1"/>
  <c r="N14771" i="1"/>
  <c r="A14772" i="1"/>
  <c r="C14772" i="1"/>
  <c r="N14772" i="1"/>
  <c r="A14773" i="1"/>
  <c r="C14773" i="1"/>
  <c r="N14773" i="1"/>
  <c r="A14774" i="1"/>
  <c r="C14774" i="1"/>
  <c r="N14774" i="1"/>
  <c r="A14775" i="1"/>
  <c r="C14775" i="1"/>
  <c r="N14775" i="1"/>
  <c r="A14776" i="1"/>
  <c r="C14776" i="1"/>
  <c r="N14776" i="1"/>
  <c r="A14777" i="1"/>
  <c r="C14777" i="1"/>
  <c r="N14777" i="1"/>
  <c r="A14778" i="1"/>
  <c r="C14778" i="1"/>
  <c r="N14778" i="1"/>
  <c r="A14779" i="1"/>
  <c r="C14779" i="1"/>
  <c r="N14779" i="1"/>
  <c r="A14780" i="1"/>
  <c r="C14780" i="1"/>
  <c r="N14780" i="1"/>
  <c r="A14781" i="1"/>
  <c r="C14781" i="1"/>
  <c r="N14781" i="1"/>
  <c r="A14782" i="1"/>
  <c r="C14782" i="1"/>
  <c r="K14782" i="1"/>
  <c r="N14782" i="1"/>
  <c r="A14783" i="1"/>
  <c r="C14783" i="1"/>
  <c r="N14783" i="1"/>
  <c r="A14784" i="1"/>
  <c r="C14784" i="1"/>
  <c r="N14784" i="1"/>
  <c r="A14785" i="1"/>
  <c r="C14785" i="1"/>
  <c r="N14785" i="1"/>
  <c r="A14786" i="1"/>
  <c r="C14786" i="1"/>
  <c r="N14786" i="1"/>
  <c r="A14787" i="1"/>
  <c r="C14787" i="1"/>
  <c r="N14787" i="1"/>
  <c r="A14788" i="1"/>
  <c r="C14788" i="1"/>
  <c r="N14788" i="1"/>
  <c r="A14789" i="1"/>
  <c r="C14789" i="1"/>
  <c r="N14789" i="1"/>
  <c r="A14790" i="1"/>
  <c r="C14790" i="1"/>
  <c r="N14790" i="1"/>
  <c r="A14791" i="1"/>
  <c r="C14791" i="1"/>
  <c r="N14791" i="1"/>
  <c r="A14792" i="1"/>
  <c r="C14792" i="1"/>
  <c r="K14792" i="1"/>
  <c r="N14792" i="1"/>
  <c r="A14793" i="1"/>
  <c r="C14793" i="1"/>
  <c r="N14793" i="1"/>
  <c r="A14794" i="1"/>
  <c r="C14794" i="1"/>
  <c r="N14794" i="1"/>
  <c r="A14795" i="1"/>
  <c r="C14795" i="1"/>
  <c r="N14795" i="1"/>
  <c r="A14796" i="1"/>
  <c r="C14796" i="1"/>
  <c r="N14796" i="1"/>
  <c r="A14797" i="1"/>
  <c r="C14797" i="1"/>
  <c r="N14797" i="1"/>
  <c r="A14798" i="1"/>
  <c r="C14798" i="1"/>
  <c r="N14798" i="1"/>
  <c r="A14799" i="1"/>
  <c r="C14799" i="1"/>
  <c r="N14799" i="1"/>
  <c r="A14800" i="1"/>
  <c r="C14800" i="1"/>
  <c r="N14800" i="1"/>
  <c r="A14801" i="1"/>
  <c r="C14801" i="1"/>
  <c r="N14801" i="1"/>
  <c r="A14802" i="1"/>
  <c r="C14802" i="1"/>
  <c r="N14802" i="1"/>
  <c r="A14803" i="1"/>
  <c r="C14803" i="1"/>
  <c r="N14803" i="1"/>
  <c r="A14804" i="1"/>
  <c r="C14804" i="1"/>
  <c r="N14804" i="1"/>
  <c r="A14805" i="1"/>
  <c r="C14805" i="1"/>
  <c r="N14805" i="1"/>
  <c r="A14806" i="1"/>
  <c r="C14806" i="1"/>
  <c r="N14806" i="1"/>
  <c r="A14807" i="1"/>
  <c r="C14807" i="1"/>
  <c r="N14807" i="1"/>
  <c r="A14808" i="1"/>
  <c r="C14808" i="1"/>
  <c r="N14808" i="1"/>
  <c r="A14809" i="1"/>
  <c r="C14809" i="1"/>
  <c r="N14809" i="1"/>
  <c r="A14810" i="1"/>
  <c r="C14810" i="1"/>
  <c r="K14810" i="1"/>
  <c r="N14810" i="1"/>
  <c r="A14811" i="1"/>
  <c r="C14811" i="1"/>
  <c r="N14811" i="1"/>
  <c r="A14812" i="1"/>
  <c r="C14812" i="1"/>
  <c r="N14812" i="1"/>
  <c r="A14813" i="1"/>
  <c r="C14813" i="1"/>
  <c r="N14813" i="1"/>
  <c r="A14814" i="1"/>
  <c r="C14814" i="1"/>
  <c r="K14814" i="1"/>
  <c r="N14814" i="1"/>
  <c r="A14815" i="1"/>
  <c r="C14815" i="1"/>
  <c r="N14815" i="1"/>
  <c r="A14816" i="1"/>
  <c r="C14816" i="1"/>
  <c r="N14816" i="1"/>
  <c r="A14817" i="1"/>
  <c r="C14817" i="1"/>
  <c r="N14817" i="1"/>
  <c r="A14818" i="1"/>
  <c r="C14818" i="1"/>
  <c r="N14818" i="1"/>
  <c r="A14819" i="1"/>
  <c r="C14819" i="1"/>
  <c r="N14819" i="1"/>
  <c r="A14820" i="1"/>
  <c r="C14820" i="1"/>
  <c r="N14820" i="1"/>
  <c r="A14821" i="1"/>
  <c r="C14821" i="1"/>
  <c r="N14821" i="1"/>
  <c r="A14822" i="1"/>
  <c r="C14822" i="1"/>
  <c r="N14822" i="1"/>
  <c r="A14823" i="1"/>
  <c r="C14823" i="1"/>
  <c r="N14823" i="1"/>
  <c r="A14824" i="1"/>
  <c r="C14824" i="1"/>
  <c r="K14824" i="1"/>
  <c r="N14824" i="1"/>
  <c r="A14825" i="1"/>
  <c r="C14825" i="1"/>
  <c r="N14825" i="1"/>
  <c r="A14826" i="1"/>
  <c r="C14826" i="1"/>
  <c r="N14826" i="1"/>
  <c r="A14827" i="1"/>
  <c r="C14827" i="1"/>
  <c r="N14827" i="1"/>
  <c r="A14828" i="1"/>
  <c r="C14828" i="1"/>
  <c r="K14828" i="1"/>
  <c r="N14828" i="1"/>
  <c r="A14829" i="1"/>
  <c r="C14829" i="1"/>
  <c r="N14829" i="1"/>
  <c r="A14830" i="1"/>
  <c r="C14830" i="1"/>
  <c r="N14830" i="1"/>
  <c r="A14831" i="1"/>
  <c r="C14831" i="1"/>
  <c r="N14831" i="1"/>
  <c r="A14832" i="1"/>
  <c r="C14832" i="1"/>
  <c r="N14832" i="1"/>
  <c r="A14833" i="1"/>
  <c r="C14833" i="1"/>
  <c r="N14833" i="1"/>
  <c r="A14834" i="1"/>
  <c r="C14834" i="1"/>
  <c r="K14834" i="1"/>
  <c r="N14834" i="1"/>
  <c r="A14835" i="1"/>
  <c r="C14835" i="1"/>
  <c r="N14835" i="1"/>
  <c r="A14836" i="1"/>
  <c r="C14836" i="1"/>
  <c r="K14836" i="1"/>
  <c r="N14836" i="1"/>
  <c r="A14837" i="1"/>
  <c r="C14837" i="1"/>
  <c r="N14837" i="1"/>
  <c r="A14838" i="1"/>
  <c r="C14838" i="1"/>
  <c r="N14838" i="1"/>
  <c r="A14839" i="1"/>
  <c r="C14839" i="1"/>
  <c r="N14839" i="1"/>
  <c r="A14840" i="1"/>
  <c r="C14840" i="1"/>
  <c r="N14840" i="1"/>
  <c r="A14841" i="1"/>
  <c r="C14841" i="1"/>
  <c r="N14841" i="1"/>
  <c r="A14842" i="1"/>
  <c r="C14842" i="1"/>
  <c r="K14842" i="1"/>
  <c r="N14842" i="1"/>
  <c r="A14843" i="1"/>
  <c r="C14843" i="1"/>
  <c r="N14843" i="1"/>
  <c r="A14844" i="1"/>
  <c r="C14844" i="1"/>
  <c r="N14844" i="1"/>
  <c r="A14845" i="1"/>
  <c r="C14845" i="1"/>
  <c r="N14845" i="1"/>
  <c r="A14846" i="1"/>
  <c r="C14846" i="1"/>
  <c r="N14846" i="1"/>
  <c r="A14847" i="1"/>
  <c r="C14847" i="1"/>
  <c r="N14847" i="1"/>
  <c r="A14848" i="1"/>
  <c r="C14848" i="1"/>
  <c r="N14848" i="1"/>
  <c r="A14849" i="1"/>
  <c r="C14849" i="1"/>
  <c r="K14849" i="1"/>
  <c r="N14849" i="1"/>
  <c r="A14850" i="1"/>
  <c r="C14850" i="1"/>
  <c r="N14850" i="1"/>
  <c r="A14851" i="1"/>
  <c r="C14851" i="1"/>
  <c r="N14851" i="1"/>
  <c r="A14852" i="1"/>
  <c r="C14852" i="1"/>
  <c r="N14852" i="1"/>
  <c r="A14853" i="1"/>
  <c r="C14853" i="1"/>
  <c r="N14853" i="1"/>
  <c r="A14854" i="1"/>
  <c r="C14854" i="1"/>
  <c r="N14854" i="1"/>
  <c r="A14855" i="1"/>
  <c r="C14855" i="1"/>
  <c r="N14855" i="1"/>
  <c r="A14856" i="1"/>
  <c r="C14856" i="1"/>
  <c r="K14856" i="1"/>
  <c r="N14856" i="1"/>
  <c r="A14857" i="1"/>
  <c r="C14857" i="1"/>
  <c r="N14857" i="1"/>
  <c r="A14858" i="1"/>
  <c r="C14858" i="1"/>
  <c r="N14858" i="1"/>
  <c r="A14859" i="1"/>
  <c r="C14859" i="1"/>
  <c r="N14859" i="1"/>
  <c r="A14860" i="1"/>
  <c r="C14860" i="1"/>
  <c r="N14860" i="1"/>
  <c r="A14861" i="1"/>
  <c r="C14861" i="1"/>
  <c r="N14861" i="1"/>
  <c r="A14862" i="1"/>
  <c r="C14862" i="1"/>
  <c r="N14862" i="1"/>
  <c r="A14863" i="1"/>
  <c r="C14863" i="1"/>
  <c r="N14863" i="1"/>
  <c r="A14864" i="1"/>
  <c r="C14864" i="1"/>
  <c r="N14864" i="1"/>
  <c r="A14865" i="1"/>
  <c r="C14865" i="1"/>
  <c r="N14865" i="1"/>
  <c r="A14866" i="1"/>
  <c r="C14866" i="1"/>
  <c r="E14866" i="1"/>
  <c r="N14866" i="1"/>
  <c r="T14866" i="1"/>
  <c r="A14867" i="1"/>
  <c r="C14867" i="1"/>
  <c r="N14867" i="1"/>
  <c r="A14868" i="1"/>
  <c r="C14868" i="1"/>
  <c r="N14868" i="1"/>
  <c r="A14869" i="1"/>
  <c r="C14869" i="1"/>
  <c r="N14869" i="1"/>
  <c r="A14870" i="1"/>
  <c r="C14870" i="1"/>
  <c r="K14870" i="1"/>
  <c r="N14870" i="1"/>
  <c r="A14871" i="1"/>
  <c r="C14871" i="1"/>
  <c r="K14871" i="1"/>
  <c r="N14871" i="1"/>
  <c r="A14872" i="1"/>
  <c r="C14872" i="1"/>
  <c r="N14872" i="1"/>
  <c r="A14873" i="1"/>
  <c r="C14873" i="1"/>
  <c r="N14873" i="1"/>
  <c r="A14874" i="1"/>
  <c r="C14874" i="1"/>
  <c r="N14874" i="1"/>
  <c r="A14875" i="1"/>
  <c r="C14875" i="1"/>
  <c r="K14875" i="1"/>
  <c r="N14875" i="1"/>
  <c r="A14876" i="1"/>
  <c r="C14876" i="1"/>
  <c r="N14876" i="1"/>
  <c r="A14877" i="1"/>
  <c r="C14877" i="1"/>
  <c r="N14877" i="1"/>
  <c r="A14878" i="1"/>
  <c r="C14878" i="1"/>
  <c r="N14878" i="1"/>
  <c r="A14879" i="1"/>
  <c r="C14879" i="1"/>
  <c r="N14879" i="1"/>
  <c r="A14880" i="1"/>
  <c r="C14880" i="1"/>
  <c r="N14880" i="1"/>
  <c r="A14881" i="1"/>
  <c r="C14881" i="1"/>
  <c r="N14881" i="1"/>
  <c r="A14882" i="1"/>
  <c r="C14882" i="1"/>
  <c r="N14882" i="1"/>
  <c r="A14883" i="1"/>
  <c r="C14883" i="1"/>
  <c r="N14883" i="1"/>
  <c r="A14884" i="1"/>
  <c r="C14884" i="1"/>
  <c r="N14884" i="1"/>
  <c r="A14885" i="1"/>
  <c r="C14885" i="1"/>
  <c r="N14885" i="1"/>
  <c r="A14886" i="1"/>
  <c r="C14886" i="1"/>
  <c r="N14886" i="1"/>
  <c r="A14887" i="1"/>
  <c r="C14887" i="1"/>
  <c r="N14887" i="1"/>
  <c r="A14888" i="1"/>
  <c r="C14888" i="1"/>
  <c r="N14888" i="1"/>
  <c r="A14889" i="1"/>
  <c r="C14889" i="1"/>
  <c r="N14889" i="1"/>
  <c r="A14890" i="1"/>
  <c r="C14890" i="1"/>
  <c r="N14890" i="1"/>
  <c r="A14891" i="1"/>
  <c r="C14891" i="1"/>
  <c r="N14891" i="1"/>
  <c r="A14892" i="1"/>
  <c r="C14892" i="1"/>
  <c r="N14892" i="1"/>
  <c r="A14893" i="1"/>
  <c r="C14893" i="1"/>
  <c r="N14893" i="1"/>
  <c r="A14894" i="1"/>
  <c r="C14894" i="1"/>
  <c r="N14894" i="1"/>
  <c r="A14895" i="1"/>
  <c r="C14895" i="1"/>
  <c r="N14895" i="1"/>
  <c r="A14896" i="1"/>
  <c r="C14896" i="1"/>
  <c r="N14896" i="1"/>
  <c r="A14897" i="1"/>
  <c r="C14897" i="1"/>
  <c r="N14897" i="1"/>
  <c r="A14898" i="1"/>
  <c r="C14898" i="1"/>
  <c r="N14898" i="1"/>
  <c r="A14899" i="1"/>
  <c r="C14899" i="1"/>
  <c r="K14899" i="1"/>
  <c r="N14899" i="1"/>
  <c r="A14900" i="1"/>
  <c r="C14900" i="1"/>
  <c r="N14900" i="1"/>
  <c r="A14901" i="1"/>
  <c r="C14901" i="1"/>
  <c r="N14901" i="1"/>
  <c r="A14902" i="1"/>
  <c r="C14902" i="1"/>
  <c r="N14902" i="1"/>
  <c r="A14903" i="1"/>
  <c r="C14903" i="1"/>
  <c r="N14903" i="1"/>
  <c r="A14904" i="1"/>
  <c r="C14904" i="1"/>
  <c r="K14904" i="1"/>
  <c r="N14904" i="1"/>
  <c r="A14905" i="1"/>
  <c r="C14905" i="1"/>
  <c r="K14905" i="1"/>
  <c r="N14905" i="1"/>
  <c r="A14906" i="1"/>
  <c r="C14906" i="1"/>
  <c r="K14906" i="1"/>
  <c r="N14906" i="1"/>
  <c r="A14907" i="1"/>
  <c r="C14907" i="1"/>
  <c r="N14907" i="1"/>
  <c r="A14908" i="1"/>
  <c r="C14908" i="1"/>
  <c r="N14908" i="1"/>
  <c r="A14909" i="1"/>
  <c r="C14909" i="1"/>
  <c r="N14909" i="1"/>
  <c r="A14910" i="1"/>
  <c r="C14910" i="1"/>
  <c r="N14910" i="1"/>
  <c r="A14911" i="1"/>
  <c r="C14911" i="1"/>
  <c r="N14911" i="1"/>
  <c r="A14912" i="1"/>
  <c r="C14912" i="1"/>
  <c r="E14912" i="1"/>
  <c r="N14912" i="1"/>
  <c r="T14912" i="1"/>
  <c r="A14913" i="1"/>
  <c r="C14913" i="1"/>
  <c r="K14913" i="1"/>
  <c r="N14913" i="1"/>
  <c r="A14914" i="1"/>
  <c r="C14914" i="1"/>
  <c r="K14914" i="1"/>
  <c r="N14914" i="1"/>
  <c r="A14915" i="1"/>
  <c r="C14915" i="1"/>
  <c r="N14915" i="1"/>
  <c r="A14916" i="1"/>
  <c r="C14916" i="1"/>
  <c r="N14916" i="1"/>
  <c r="A14917" i="1"/>
  <c r="C14917" i="1"/>
  <c r="E14917" i="1"/>
  <c r="N14917" i="1"/>
  <c r="T14917" i="1"/>
  <c r="A14918" i="1"/>
  <c r="C14918" i="1"/>
  <c r="N14918" i="1"/>
  <c r="A14919" i="1"/>
  <c r="C14919" i="1"/>
  <c r="N14919" i="1"/>
  <c r="A14920" i="1"/>
  <c r="C14920" i="1"/>
  <c r="N14920" i="1"/>
  <c r="A14921" i="1"/>
  <c r="C14921" i="1"/>
  <c r="N14921" i="1"/>
  <c r="A14922" i="1"/>
  <c r="C14922" i="1"/>
  <c r="N14922" i="1"/>
  <c r="A14923" i="1"/>
  <c r="C14923" i="1"/>
  <c r="N14923" i="1"/>
  <c r="A14924" i="1"/>
  <c r="C14924" i="1"/>
  <c r="N14924" i="1"/>
  <c r="A14925" i="1"/>
  <c r="C14925" i="1"/>
  <c r="N14925" i="1"/>
  <c r="A14926" i="1"/>
  <c r="C14926" i="1"/>
  <c r="N14926" i="1"/>
  <c r="A14927" i="1"/>
  <c r="C14927" i="1"/>
  <c r="N14927" i="1"/>
  <c r="A14928" i="1"/>
  <c r="C14928" i="1"/>
  <c r="N14928" i="1"/>
  <c r="A14929" i="1"/>
  <c r="C14929" i="1"/>
  <c r="N14929" i="1"/>
  <c r="A14930" i="1"/>
  <c r="C14930" i="1"/>
  <c r="K14930" i="1"/>
  <c r="N14930" i="1"/>
  <c r="A14931" i="1"/>
  <c r="C14931" i="1"/>
  <c r="K14931" i="1"/>
  <c r="N14931" i="1"/>
  <c r="A14932" i="1"/>
  <c r="C14932" i="1"/>
  <c r="N14932" i="1"/>
  <c r="A14933" i="1"/>
  <c r="C14933" i="1"/>
  <c r="N14933" i="1"/>
  <c r="A14934" i="1"/>
  <c r="C14934" i="1"/>
  <c r="K14934" i="1"/>
  <c r="N14934" i="1"/>
  <c r="A14935" i="1"/>
  <c r="C14935" i="1"/>
  <c r="K14935" i="1"/>
  <c r="N14935" i="1"/>
  <c r="A14936" i="1"/>
  <c r="C14936" i="1"/>
  <c r="N14936" i="1"/>
  <c r="A14937" i="1"/>
  <c r="C14937" i="1"/>
  <c r="K14937" i="1"/>
  <c r="N14937" i="1"/>
  <c r="A14938" i="1"/>
  <c r="C14938" i="1"/>
  <c r="N14938" i="1"/>
  <c r="A14939" i="1"/>
  <c r="C14939" i="1"/>
  <c r="N14939" i="1"/>
  <c r="A14940" i="1"/>
  <c r="C14940" i="1"/>
  <c r="N14940" i="1"/>
  <c r="A14941" i="1"/>
  <c r="C14941" i="1"/>
  <c r="K14941" i="1"/>
  <c r="N14941" i="1"/>
  <c r="A14942" i="1"/>
  <c r="C14942" i="1"/>
  <c r="N14942" i="1"/>
  <c r="A14943" i="1"/>
  <c r="C14943" i="1"/>
  <c r="N14943" i="1"/>
  <c r="A14944" i="1"/>
  <c r="C14944" i="1"/>
  <c r="N14944" i="1"/>
  <c r="A14945" i="1"/>
  <c r="C14945" i="1"/>
  <c r="N14945" i="1"/>
  <c r="A14946" i="1"/>
  <c r="C14946" i="1"/>
  <c r="N14946" i="1"/>
  <c r="A14947" i="1"/>
  <c r="C14947" i="1"/>
  <c r="N14947" i="1"/>
  <c r="A14948" i="1"/>
  <c r="C14948" i="1"/>
  <c r="N14948" i="1"/>
  <c r="A14949" i="1"/>
  <c r="C14949" i="1"/>
  <c r="N14949" i="1"/>
  <c r="A14950" i="1"/>
  <c r="C14950" i="1"/>
  <c r="N14950" i="1"/>
  <c r="A14951" i="1"/>
  <c r="C14951" i="1"/>
  <c r="N14951" i="1"/>
  <c r="A14952" i="1"/>
  <c r="C14952" i="1"/>
  <c r="K14952" i="1"/>
  <c r="N14952" i="1"/>
  <c r="A14953" i="1"/>
  <c r="C14953" i="1"/>
  <c r="K14953" i="1"/>
  <c r="N14953" i="1"/>
  <c r="A14954" i="1"/>
  <c r="C14954" i="1"/>
  <c r="N14954" i="1"/>
  <c r="A14955" i="1"/>
  <c r="C14955" i="1"/>
  <c r="N14955" i="1"/>
  <c r="A14956" i="1"/>
  <c r="C14956" i="1"/>
  <c r="N14956" i="1"/>
  <c r="A14957" i="1"/>
  <c r="C14957" i="1"/>
  <c r="N14957" i="1"/>
  <c r="A14958" i="1"/>
  <c r="C14958" i="1"/>
  <c r="N14958" i="1"/>
  <c r="A14959" i="1"/>
  <c r="C14959" i="1"/>
  <c r="N14959" i="1"/>
  <c r="A14960" i="1"/>
  <c r="C14960" i="1"/>
  <c r="N14960" i="1"/>
  <c r="A14961" i="1"/>
  <c r="C14961" i="1"/>
  <c r="N14961" i="1"/>
  <c r="A14962" i="1"/>
  <c r="C14962" i="1"/>
  <c r="N14962" i="1"/>
  <c r="A14963" i="1"/>
  <c r="C14963" i="1"/>
  <c r="N14963" i="1"/>
  <c r="A14964" i="1"/>
  <c r="C14964" i="1"/>
  <c r="N14964" i="1"/>
  <c r="A14965" i="1"/>
  <c r="C14965" i="1"/>
  <c r="K14965" i="1"/>
  <c r="N14965" i="1"/>
  <c r="A14966" i="1"/>
  <c r="C14966" i="1"/>
  <c r="N14966" i="1"/>
  <c r="A14967" i="1"/>
  <c r="C14967" i="1"/>
  <c r="K14967" i="1"/>
  <c r="N14967" i="1"/>
  <c r="A14968" i="1"/>
  <c r="C14968" i="1"/>
  <c r="N14968" i="1"/>
  <c r="A14969" i="1"/>
  <c r="C14969" i="1"/>
  <c r="K14969" i="1"/>
  <c r="N14969" i="1"/>
  <c r="A14970" i="1"/>
  <c r="C14970" i="1"/>
  <c r="N14970" i="1"/>
  <c r="A14971" i="1"/>
  <c r="C14971" i="1"/>
  <c r="D14971" i="1"/>
  <c r="N14971" i="1"/>
  <c r="O14971" i="1"/>
  <c r="A14972" i="1"/>
  <c r="C14972" i="1"/>
  <c r="N14972" i="1"/>
  <c r="A14973" i="1"/>
  <c r="C14973" i="1"/>
  <c r="N14973" i="1"/>
  <c r="A14974" i="1"/>
  <c r="C14974" i="1"/>
  <c r="N14974" i="1"/>
  <c r="A14975" i="1"/>
  <c r="C14975" i="1"/>
  <c r="N14975" i="1"/>
  <c r="A14976" i="1"/>
  <c r="C14976" i="1"/>
  <c r="N14976" i="1"/>
  <c r="A14977" i="1"/>
  <c r="C14977" i="1"/>
  <c r="N14977" i="1"/>
  <c r="A14978" i="1"/>
  <c r="C14978" i="1"/>
  <c r="N14978" i="1"/>
  <c r="A14979" i="1"/>
  <c r="C14979" i="1"/>
  <c r="N14979" i="1"/>
  <c r="A14980" i="1"/>
  <c r="C14980" i="1"/>
  <c r="N14980" i="1"/>
  <c r="A14981" i="1"/>
  <c r="C14981" i="1"/>
  <c r="N14981" i="1"/>
  <c r="A14982" i="1"/>
  <c r="C14982" i="1"/>
  <c r="N14982" i="1"/>
  <c r="A14983" i="1"/>
  <c r="C14983" i="1"/>
  <c r="N14983" i="1"/>
  <c r="A14984" i="1"/>
  <c r="C14984" i="1"/>
  <c r="K14984" i="1"/>
  <c r="N14984" i="1"/>
  <c r="A14985" i="1"/>
  <c r="C14985" i="1"/>
  <c r="N14985" i="1"/>
  <c r="A14986" i="1"/>
  <c r="C14986" i="1"/>
  <c r="N14986" i="1"/>
  <c r="A14987" i="1"/>
  <c r="C14987" i="1"/>
  <c r="N14987" i="1"/>
  <c r="A14988" i="1"/>
  <c r="C14988" i="1"/>
  <c r="N14988" i="1"/>
  <c r="A14989" i="1"/>
  <c r="C14989" i="1"/>
  <c r="N14989" i="1"/>
  <c r="A14990" i="1"/>
  <c r="C14990" i="1"/>
  <c r="K14990" i="1"/>
  <c r="N14990" i="1"/>
  <c r="A14991" i="1"/>
  <c r="C14991" i="1"/>
  <c r="N14991" i="1"/>
  <c r="A14992" i="1"/>
  <c r="C14992" i="1"/>
  <c r="N14992" i="1"/>
  <c r="A14993" i="1"/>
  <c r="C14993" i="1"/>
  <c r="N14993" i="1"/>
  <c r="A14994" i="1"/>
  <c r="C14994" i="1"/>
  <c r="K14994" i="1"/>
  <c r="N14994" i="1"/>
  <c r="A14995" i="1"/>
  <c r="C14995" i="1"/>
  <c r="K14995" i="1"/>
  <c r="N14995" i="1"/>
  <c r="A14996" i="1"/>
  <c r="C14996" i="1"/>
  <c r="K14996" i="1"/>
  <c r="N14996" i="1"/>
  <c r="A14997" i="1"/>
  <c r="C14997" i="1"/>
  <c r="N14997" i="1"/>
  <c r="A14998" i="1"/>
  <c r="C14998" i="1"/>
  <c r="N14998" i="1"/>
  <c r="A14999" i="1"/>
  <c r="C14999" i="1"/>
  <c r="N14999" i="1"/>
  <c r="A15000" i="1"/>
  <c r="C15000" i="1"/>
  <c r="K15000" i="1"/>
  <c r="N15000" i="1"/>
  <c r="A15001" i="1"/>
  <c r="C15001" i="1"/>
  <c r="N15001" i="1"/>
  <c r="A15002" i="1"/>
  <c r="C15002" i="1"/>
  <c r="N15002" i="1"/>
  <c r="A15003" i="1"/>
  <c r="C15003" i="1"/>
  <c r="N15003" i="1"/>
  <c r="A15004" i="1"/>
  <c r="C15004" i="1"/>
  <c r="N15004" i="1"/>
  <c r="A15005" i="1"/>
  <c r="C15005" i="1"/>
  <c r="N15005" i="1"/>
  <c r="A15006" i="1"/>
  <c r="C15006" i="1"/>
  <c r="N15006" i="1"/>
  <c r="A15007" i="1"/>
  <c r="C15007" i="1"/>
  <c r="K15007" i="1"/>
  <c r="N15007" i="1"/>
  <c r="A15008" i="1"/>
  <c r="C15008" i="1"/>
  <c r="N15008" i="1"/>
  <c r="A15009" i="1"/>
  <c r="C15009" i="1"/>
  <c r="K15009" i="1"/>
  <c r="N15009" i="1"/>
  <c r="A15010" i="1"/>
  <c r="C15010" i="1"/>
  <c r="N15010" i="1"/>
  <c r="A15011" i="1"/>
  <c r="C15011" i="1"/>
  <c r="N15011" i="1"/>
  <c r="A15012" i="1"/>
  <c r="C15012" i="1"/>
  <c r="K15012" i="1"/>
  <c r="N15012" i="1"/>
  <c r="A15013" i="1"/>
  <c r="C15013" i="1"/>
  <c r="E15013" i="1"/>
  <c r="N15013" i="1"/>
  <c r="T15013" i="1"/>
  <c r="A15014" i="1"/>
  <c r="C15014" i="1"/>
  <c r="K15014" i="1"/>
  <c r="N15014" i="1"/>
  <c r="A15015" i="1"/>
  <c r="C15015" i="1"/>
  <c r="N15015" i="1"/>
  <c r="A15016" i="1"/>
  <c r="C15016" i="1"/>
  <c r="N15016" i="1"/>
  <c r="A15017" i="1"/>
  <c r="C15017" i="1"/>
  <c r="N15017" i="1"/>
  <c r="A15018" i="1"/>
  <c r="C15018" i="1"/>
  <c r="N15018" i="1"/>
  <c r="A15019" i="1"/>
  <c r="C15019" i="1"/>
  <c r="N15019" i="1"/>
  <c r="A15020" i="1"/>
  <c r="C15020" i="1"/>
  <c r="N15020" i="1"/>
  <c r="A15021" i="1"/>
  <c r="C15021" i="1"/>
  <c r="N15021" i="1"/>
  <c r="A15022" i="1"/>
  <c r="C15022" i="1"/>
  <c r="N15022" i="1"/>
  <c r="A15023" i="1"/>
  <c r="C15023" i="1"/>
  <c r="N15023" i="1"/>
  <c r="A15024" i="1"/>
  <c r="C15024" i="1"/>
  <c r="N15024" i="1"/>
  <c r="A15025" i="1"/>
  <c r="C15025" i="1"/>
  <c r="N15025" i="1"/>
  <c r="A15026" i="1"/>
  <c r="C15026" i="1"/>
  <c r="N15026" i="1"/>
  <c r="A15027" i="1"/>
  <c r="C15027" i="1"/>
  <c r="N15027" i="1"/>
  <c r="A15028" i="1"/>
  <c r="C15028" i="1"/>
  <c r="N15028" i="1"/>
  <c r="A15029" i="1"/>
  <c r="C15029" i="1"/>
  <c r="K15029" i="1"/>
  <c r="N15029" i="1"/>
  <c r="A15030" i="1"/>
  <c r="C15030" i="1"/>
  <c r="N15030" i="1"/>
  <c r="A15031" i="1"/>
  <c r="C15031" i="1"/>
  <c r="N15031" i="1"/>
  <c r="A15032" i="1"/>
  <c r="C15032" i="1"/>
  <c r="N15032" i="1"/>
  <c r="A15033" i="1"/>
  <c r="C15033" i="1"/>
  <c r="N15033" i="1"/>
  <c r="A15034" i="1"/>
  <c r="C15034" i="1"/>
  <c r="N15034" i="1"/>
  <c r="A15035" i="1"/>
  <c r="C15035" i="1"/>
  <c r="N15035" i="1"/>
  <c r="A15036" i="1"/>
  <c r="C15036" i="1"/>
  <c r="N15036" i="1"/>
  <c r="A15037" i="1"/>
  <c r="C15037" i="1"/>
  <c r="N15037" i="1"/>
  <c r="A15038" i="1"/>
  <c r="C15038" i="1"/>
  <c r="N15038" i="1"/>
  <c r="A15039" i="1"/>
  <c r="C15039" i="1"/>
  <c r="N15039" i="1"/>
  <c r="A15040" i="1"/>
  <c r="C15040" i="1"/>
  <c r="N15040" i="1"/>
  <c r="A15041" i="1"/>
  <c r="C15041" i="1"/>
  <c r="N15041" i="1"/>
  <c r="A15042" i="1"/>
  <c r="C15042" i="1"/>
  <c r="N15042" i="1"/>
  <c r="A15043" i="1"/>
  <c r="C15043" i="1"/>
  <c r="N15043" i="1"/>
  <c r="A15044" i="1"/>
  <c r="C15044" i="1"/>
  <c r="N15044" i="1"/>
  <c r="A15045" i="1"/>
  <c r="C15045" i="1"/>
  <c r="K15045" i="1"/>
  <c r="N15045" i="1"/>
  <c r="A15046" i="1"/>
  <c r="C15046" i="1"/>
  <c r="K15046" i="1"/>
  <c r="N15046" i="1"/>
  <c r="A15047" i="1"/>
  <c r="C15047" i="1"/>
  <c r="N15047" i="1"/>
  <c r="A15048" i="1"/>
  <c r="C15048" i="1"/>
  <c r="K15048" i="1"/>
  <c r="N15048" i="1"/>
  <c r="A15049" i="1"/>
  <c r="C15049" i="1"/>
  <c r="N15049" i="1"/>
  <c r="A15050" i="1"/>
  <c r="C15050" i="1"/>
  <c r="N15050" i="1"/>
  <c r="A15051" i="1"/>
  <c r="C15051" i="1"/>
  <c r="N15051" i="1"/>
  <c r="A15052" i="1"/>
  <c r="C15052" i="1"/>
  <c r="N15052" i="1"/>
  <c r="A15053" i="1"/>
  <c r="C15053" i="1"/>
  <c r="N15053" i="1"/>
  <c r="A15054" i="1"/>
  <c r="C15054" i="1"/>
  <c r="N15054" i="1"/>
  <c r="A15055" i="1"/>
  <c r="C15055" i="1"/>
  <c r="N15055" i="1"/>
  <c r="A15056" i="1"/>
  <c r="C15056" i="1"/>
  <c r="N15056" i="1"/>
  <c r="A15057" i="1"/>
  <c r="C15057" i="1"/>
  <c r="N15057" i="1"/>
  <c r="A15058" i="1"/>
  <c r="C15058" i="1"/>
  <c r="N15058" i="1"/>
  <c r="A15059" i="1"/>
  <c r="C15059" i="1"/>
  <c r="N15059" i="1"/>
  <c r="A15060" i="1"/>
  <c r="C15060" i="1"/>
  <c r="N15060" i="1"/>
  <c r="A15061" i="1"/>
  <c r="C15061" i="1"/>
  <c r="N15061" i="1"/>
  <c r="A15062" i="1"/>
  <c r="C15062" i="1"/>
  <c r="N15062" i="1"/>
  <c r="A15063" i="1"/>
  <c r="C15063" i="1"/>
  <c r="N15063" i="1"/>
  <c r="A15064" i="1"/>
  <c r="C15064" i="1"/>
  <c r="N15064" i="1"/>
  <c r="A15065" i="1"/>
  <c r="C15065" i="1"/>
  <c r="N15065" i="1"/>
  <c r="A15066" i="1"/>
  <c r="C15066" i="1"/>
  <c r="N15066" i="1"/>
  <c r="A15067" i="1"/>
  <c r="C15067" i="1"/>
  <c r="D15067" i="1"/>
  <c r="E15067" i="1"/>
  <c r="K15067" i="1"/>
  <c r="N15067" i="1"/>
  <c r="O15067" i="1"/>
  <c r="T15067" i="1"/>
  <c r="A15068" i="1"/>
  <c r="C15068" i="1"/>
  <c r="K15068" i="1"/>
  <c r="N15068" i="1"/>
  <c r="A15069" i="1"/>
  <c r="C15069" i="1"/>
  <c r="N15069" i="1"/>
  <c r="A15070" i="1"/>
  <c r="C15070" i="1"/>
  <c r="N15070" i="1"/>
  <c r="A15071" i="1"/>
  <c r="C15071" i="1"/>
  <c r="N15071" i="1"/>
  <c r="A15072" i="1"/>
  <c r="C15072" i="1"/>
  <c r="N15072" i="1"/>
  <c r="A15073" i="1"/>
  <c r="C15073" i="1"/>
  <c r="N15073" i="1"/>
  <c r="A15074" i="1"/>
  <c r="C15074" i="1"/>
  <c r="K15074" i="1"/>
  <c r="N15074" i="1"/>
  <c r="A15075" i="1"/>
  <c r="C15075" i="1"/>
  <c r="N15075" i="1"/>
  <c r="A15076" i="1"/>
  <c r="C15076" i="1"/>
  <c r="N15076" i="1"/>
  <c r="A15077" i="1"/>
  <c r="C15077" i="1"/>
  <c r="K15077" i="1"/>
  <c r="N15077" i="1"/>
  <c r="A15078" i="1"/>
  <c r="C15078" i="1"/>
  <c r="N15078" i="1"/>
  <c r="A15079" i="1"/>
  <c r="C15079" i="1"/>
  <c r="N15079" i="1"/>
  <c r="A15080" i="1"/>
  <c r="C15080" i="1"/>
  <c r="K15080" i="1"/>
  <c r="N15080" i="1"/>
  <c r="A15081" i="1"/>
  <c r="C15081" i="1"/>
  <c r="K15081" i="1"/>
  <c r="N15081" i="1"/>
  <c r="A15082" i="1"/>
  <c r="C15082" i="1"/>
  <c r="D15082" i="1"/>
  <c r="K15082" i="1"/>
  <c r="N15082" i="1"/>
  <c r="O15082" i="1"/>
  <c r="A15083" i="1"/>
  <c r="C15083" i="1"/>
  <c r="N15083" i="1"/>
  <c r="A15084" i="1"/>
  <c r="C15084" i="1"/>
  <c r="K15084" i="1"/>
  <c r="N15084" i="1"/>
  <c r="A15085" i="1"/>
  <c r="C15085" i="1"/>
  <c r="N15085" i="1"/>
  <c r="A15086" i="1"/>
  <c r="C15086" i="1"/>
  <c r="N15086" i="1"/>
  <c r="A15087" i="1"/>
  <c r="C15087" i="1"/>
  <c r="N15087" i="1"/>
  <c r="A15088" i="1"/>
  <c r="C15088" i="1"/>
  <c r="N15088" i="1"/>
  <c r="A15089" i="1"/>
  <c r="C15089" i="1"/>
  <c r="N15089" i="1"/>
  <c r="A15090" i="1"/>
  <c r="C15090" i="1"/>
  <c r="N15090" i="1"/>
  <c r="A15091" i="1"/>
  <c r="C15091" i="1"/>
  <c r="K15091" i="1"/>
  <c r="N15091" i="1"/>
  <c r="A15092" i="1"/>
  <c r="C15092" i="1"/>
  <c r="K15092" i="1"/>
  <c r="N15092" i="1"/>
  <c r="A15093" i="1"/>
  <c r="C15093" i="1"/>
  <c r="N15093" i="1"/>
  <c r="A15094" i="1"/>
  <c r="C15094" i="1"/>
  <c r="N15094" i="1"/>
  <c r="A15095" i="1"/>
  <c r="C15095" i="1"/>
  <c r="N15095" i="1"/>
  <c r="A15096" i="1"/>
  <c r="C15096" i="1"/>
  <c r="N15096" i="1"/>
  <c r="A15097" i="1"/>
  <c r="C15097" i="1"/>
  <c r="N15097" i="1"/>
  <c r="A15098" i="1"/>
  <c r="C15098" i="1"/>
  <c r="N15098" i="1"/>
  <c r="A15099" i="1"/>
  <c r="C15099" i="1"/>
  <c r="N15099" i="1"/>
  <c r="A15100" i="1"/>
  <c r="C15100" i="1"/>
  <c r="N15100" i="1"/>
  <c r="A15101" i="1"/>
  <c r="C15101" i="1"/>
  <c r="N15101" i="1"/>
  <c r="A15102" i="1"/>
  <c r="C15102" i="1"/>
  <c r="K15102" i="1"/>
  <c r="N15102" i="1"/>
  <c r="A15103" i="1"/>
  <c r="C15103" i="1"/>
  <c r="K15103" i="1"/>
  <c r="N15103" i="1"/>
  <c r="A15104" i="1"/>
  <c r="C15104" i="1"/>
  <c r="K15104" i="1"/>
  <c r="N15104" i="1"/>
  <c r="A15105" i="1"/>
  <c r="C15105" i="1"/>
  <c r="K15105" i="1"/>
  <c r="N15105" i="1"/>
  <c r="A15106" i="1"/>
  <c r="C15106" i="1"/>
  <c r="N15106" i="1"/>
  <c r="A15107" i="1"/>
  <c r="C15107" i="1"/>
  <c r="N15107" i="1"/>
  <c r="A15108" i="1"/>
  <c r="C15108" i="1"/>
  <c r="K15108" i="1"/>
  <c r="N15108" i="1"/>
  <c r="A15109" i="1"/>
  <c r="C15109" i="1"/>
  <c r="N15109" i="1"/>
  <c r="A15110" i="1"/>
  <c r="C15110" i="1"/>
  <c r="N15110" i="1"/>
  <c r="A15111" i="1"/>
  <c r="C15111" i="1"/>
  <c r="K15111" i="1"/>
  <c r="N15111" i="1"/>
  <c r="A15112" i="1"/>
  <c r="C15112" i="1"/>
  <c r="K15112" i="1"/>
  <c r="N15112" i="1"/>
  <c r="A15113" i="1"/>
  <c r="C15113" i="1"/>
  <c r="K15113" i="1"/>
  <c r="N15113" i="1"/>
  <c r="A15114" i="1"/>
  <c r="C15114" i="1"/>
  <c r="N15114" i="1"/>
  <c r="A15115" i="1"/>
  <c r="C15115" i="1"/>
  <c r="K15115" i="1"/>
  <c r="N15115" i="1"/>
  <c r="A15116" i="1"/>
  <c r="C15116" i="1"/>
  <c r="N15116" i="1"/>
  <c r="A15117" i="1"/>
  <c r="C15117" i="1"/>
  <c r="N15117" i="1"/>
  <c r="A15118" i="1"/>
  <c r="C15118" i="1"/>
  <c r="N15118" i="1"/>
  <c r="A15119" i="1"/>
  <c r="C15119" i="1"/>
  <c r="D15119" i="1"/>
  <c r="N15119" i="1"/>
  <c r="O15119" i="1"/>
  <c r="A15120" i="1"/>
  <c r="C15120" i="1"/>
  <c r="D15120" i="1"/>
  <c r="K15120" i="1"/>
  <c r="N15120" i="1"/>
  <c r="O15120" i="1"/>
  <c r="A15121" i="1"/>
  <c r="C15121" i="1"/>
  <c r="N15121" i="1"/>
  <c r="A15122" i="1"/>
  <c r="C15122" i="1"/>
  <c r="N15122" i="1"/>
  <c r="A15123" i="1"/>
  <c r="C15123" i="1"/>
  <c r="N15123" i="1"/>
  <c r="A15124" i="1"/>
  <c r="C15124" i="1"/>
  <c r="N15124" i="1"/>
  <c r="A15125" i="1"/>
  <c r="C15125" i="1"/>
  <c r="N15125" i="1"/>
  <c r="A15126" i="1"/>
  <c r="C15126" i="1"/>
  <c r="N15126" i="1"/>
  <c r="A15127" i="1"/>
  <c r="C15127" i="1"/>
  <c r="N15127" i="1"/>
  <c r="A15128" i="1"/>
  <c r="C15128" i="1"/>
  <c r="K15128" i="1"/>
  <c r="N15128" i="1"/>
  <c r="A15129" i="1"/>
  <c r="C15129" i="1"/>
  <c r="N15129" i="1"/>
  <c r="A15130" i="1"/>
  <c r="C15130" i="1"/>
  <c r="K15130" i="1"/>
  <c r="N15130" i="1"/>
  <c r="A15131" i="1"/>
  <c r="C15131" i="1"/>
  <c r="N15131" i="1"/>
  <c r="A15132" i="1"/>
  <c r="C15132" i="1"/>
  <c r="N15132" i="1"/>
  <c r="A15133" i="1"/>
  <c r="C15133" i="1"/>
  <c r="N15133" i="1"/>
  <c r="A15134" i="1"/>
  <c r="C15134" i="1"/>
  <c r="N15134" i="1"/>
  <c r="A15135" i="1"/>
  <c r="C15135" i="1"/>
  <c r="N15135" i="1"/>
  <c r="A15136" i="1"/>
  <c r="C15136" i="1"/>
  <c r="N15136" i="1"/>
  <c r="A15137" i="1"/>
  <c r="C15137" i="1"/>
  <c r="F15137" i="1"/>
  <c r="N15137" i="1"/>
  <c r="A15138" i="1"/>
  <c r="C15138" i="1"/>
  <c r="N15138" i="1"/>
  <c r="A15139" i="1"/>
  <c r="C15139" i="1"/>
  <c r="N15139" i="1"/>
  <c r="A15140" i="1"/>
  <c r="C15140" i="1"/>
  <c r="N15140" i="1"/>
  <c r="A15141" i="1"/>
  <c r="C15141" i="1"/>
  <c r="K15141" i="1"/>
  <c r="N15141" i="1"/>
  <c r="A15142" i="1"/>
  <c r="C15142" i="1"/>
  <c r="N15142" i="1"/>
  <c r="A15143" i="1"/>
  <c r="C15143" i="1"/>
  <c r="N15143" i="1"/>
  <c r="A15144" i="1"/>
  <c r="C15144" i="1"/>
  <c r="K15144" i="1"/>
  <c r="N15144" i="1"/>
  <c r="A15145" i="1"/>
  <c r="C15145" i="1"/>
  <c r="N15145" i="1"/>
  <c r="A15146" i="1"/>
  <c r="C15146" i="1"/>
  <c r="N15146" i="1"/>
  <c r="A15147" i="1"/>
  <c r="C15147" i="1"/>
  <c r="N15147" i="1"/>
  <c r="A15148" i="1"/>
  <c r="C15148" i="1"/>
  <c r="N15148" i="1"/>
  <c r="A15149" i="1"/>
  <c r="C15149" i="1"/>
  <c r="N15149" i="1"/>
  <c r="A15150" i="1"/>
  <c r="C15150" i="1"/>
  <c r="N15150" i="1"/>
  <c r="A15151" i="1"/>
  <c r="C15151" i="1"/>
  <c r="N15151" i="1"/>
  <c r="A15152" i="1"/>
  <c r="C15152" i="1"/>
  <c r="N15152" i="1"/>
  <c r="A15153" i="1"/>
  <c r="C15153" i="1"/>
  <c r="N15153" i="1"/>
  <c r="A15154" i="1"/>
  <c r="C15154" i="1"/>
  <c r="N15154" i="1"/>
  <c r="A15155" i="1"/>
  <c r="C15155" i="1"/>
  <c r="F15155" i="1"/>
  <c r="N15155" i="1"/>
  <c r="A15156" i="1"/>
  <c r="C15156" i="1"/>
  <c r="N15156" i="1"/>
  <c r="A15157" i="1"/>
  <c r="C15157" i="1"/>
  <c r="K15157" i="1"/>
  <c r="N15157" i="1"/>
  <c r="A15158" i="1"/>
  <c r="C15158" i="1"/>
  <c r="N15158" i="1"/>
  <c r="A15159" i="1"/>
  <c r="C15159" i="1"/>
  <c r="N15159" i="1"/>
  <c r="A15160" i="1"/>
  <c r="C15160" i="1"/>
  <c r="N15160" i="1"/>
  <c r="A15161" i="1"/>
  <c r="C15161" i="1"/>
  <c r="N15161" i="1"/>
  <c r="A15162" i="1"/>
  <c r="C15162" i="1"/>
  <c r="N15162" i="1"/>
  <c r="A15163" i="1"/>
  <c r="C15163" i="1"/>
  <c r="N15163" i="1"/>
  <c r="A15164" i="1"/>
  <c r="C15164" i="1"/>
  <c r="N15164" i="1"/>
  <c r="A15165" i="1"/>
  <c r="C15165" i="1"/>
  <c r="N15165" i="1"/>
  <c r="A15166" i="1"/>
  <c r="C15166" i="1"/>
  <c r="N15166" i="1"/>
  <c r="A15167" i="1"/>
  <c r="C15167" i="1"/>
  <c r="N15167" i="1"/>
  <c r="A15168" i="1"/>
  <c r="C15168" i="1"/>
  <c r="N15168" i="1"/>
  <c r="A15169" i="1"/>
  <c r="C15169" i="1"/>
  <c r="N15169" i="1"/>
  <c r="A15170" i="1"/>
  <c r="C15170" i="1"/>
  <c r="N15170" i="1"/>
  <c r="A15171" i="1"/>
  <c r="C15171" i="1"/>
  <c r="N15171" i="1"/>
  <c r="A15172" i="1"/>
  <c r="C15172" i="1"/>
  <c r="N15172" i="1"/>
  <c r="A15173" i="1"/>
  <c r="C15173" i="1"/>
  <c r="N15173" i="1"/>
  <c r="A15174" i="1"/>
  <c r="C15174" i="1"/>
  <c r="N15174" i="1"/>
  <c r="A15175" i="1"/>
  <c r="C15175" i="1"/>
  <c r="N15175" i="1"/>
  <c r="A15176" i="1"/>
  <c r="C15176" i="1"/>
  <c r="N15176" i="1"/>
  <c r="A15177" i="1"/>
  <c r="C15177" i="1"/>
  <c r="N15177" i="1"/>
  <c r="A15178" i="1"/>
  <c r="C15178" i="1"/>
  <c r="N15178" i="1"/>
  <c r="A15179" i="1"/>
  <c r="C15179" i="1"/>
  <c r="N15179" i="1"/>
  <c r="A15180" i="1"/>
  <c r="C15180" i="1"/>
  <c r="N15180" i="1"/>
  <c r="A15181" i="1"/>
  <c r="C15181" i="1"/>
  <c r="N15181" i="1"/>
  <c r="A15182" i="1"/>
  <c r="C15182" i="1"/>
  <c r="N15182" i="1"/>
  <c r="A15183" i="1"/>
  <c r="C15183" i="1"/>
  <c r="N15183" i="1"/>
  <c r="A15184" i="1"/>
  <c r="C15184" i="1"/>
  <c r="K15184" i="1"/>
  <c r="N15184" i="1"/>
  <c r="A15185" i="1"/>
  <c r="C15185" i="1"/>
  <c r="N15185" i="1"/>
  <c r="A15186" i="1"/>
  <c r="C15186" i="1"/>
  <c r="N15186" i="1"/>
  <c r="A15187" i="1"/>
  <c r="C15187" i="1"/>
  <c r="N15187" i="1"/>
  <c r="A15188" i="1"/>
  <c r="C15188" i="1"/>
  <c r="N15188" i="1"/>
  <c r="A15189" i="1"/>
  <c r="C15189" i="1"/>
  <c r="N15189" i="1"/>
  <c r="A15190" i="1"/>
  <c r="C15190" i="1"/>
  <c r="N15190" i="1"/>
  <c r="A15191" i="1"/>
  <c r="C15191" i="1"/>
  <c r="N15191" i="1"/>
  <c r="A15192" i="1"/>
  <c r="C15192" i="1"/>
  <c r="N15192" i="1"/>
  <c r="A15193" i="1"/>
  <c r="C15193" i="1"/>
  <c r="N15193" i="1"/>
  <c r="A15194" i="1"/>
  <c r="C15194" i="1"/>
  <c r="N15194" i="1"/>
  <c r="A15195" i="1"/>
  <c r="C15195" i="1"/>
  <c r="N15195" i="1"/>
  <c r="A15196" i="1"/>
  <c r="C15196" i="1"/>
  <c r="N15196" i="1"/>
  <c r="A15197" i="1"/>
  <c r="C15197" i="1"/>
  <c r="K15197" i="1"/>
  <c r="N15197" i="1"/>
  <c r="A15198" i="1"/>
  <c r="C15198" i="1"/>
  <c r="N15198" i="1"/>
  <c r="A15199" i="1"/>
  <c r="C15199" i="1"/>
  <c r="N15199" i="1"/>
  <c r="A15200" i="1"/>
  <c r="C15200" i="1"/>
  <c r="D15200" i="1"/>
  <c r="N15200" i="1"/>
  <c r="O15200" i="1"/>
  <c r="A15201" i="1"/>
  <c r="C15201" i="1"/>
  <c r="D15201" i="1"/>
  <c r="N15201" i="1"/>
  <c r="O15201" i="1"/>
  <c r="A15202" i="1"/>
  <c r="C15202" i="1"/>
  <c r="N15202" i="1"/>
  <c r="A15203" i="1"/>
  <c r="C15203" i="1"/>
  <c r="K15203" i="1"/>
  <c r="N15203" i="1"/>
  <c r="A15204" i="1"/>
  <c r="C15204" i="1"/>
  <c r="N15204" i="1"/>
  <c r="A15205" i="1"/>
  <c r="C15205" i="1"/>
  <c r="N15205" i="1"/>
  <c r="A15206" i="1"/>
  <c r="C15206" i="1"/>
  <c r="N15206" i="1"/>
  <c r="A15207" i="1"/>
  <c r="C15207" i="1"/>
  <c r="N15207" i="1"/>
  <c r="A15208" i="1"/>
  <c r="C15208" i="1"/>
  <c r="N15208" i="1"/>
  <c r="A15209" i="1"/>
  <c r="C15209" i="1"/>
  <c r="N15209" i="1"/>
  <c r="A15210" i="1"/>
  <c r="C15210" i="1"/>
  <c r="K15210" i="1"/>
  <c r="N15210" i="1"/>
  <c r="A15211" i="1"/>
  <c r="C15211" i="1"/>
  <c r="N15211" i="1"/>
  <c r="A15212" i="1"/>
  <c r="C15212" i="1"/>
  <c r="N15212" i="1"/>
  <c r="A15213" i="1"/>
  <c r="C15213" i="1"/>
  <c r="N15213" i="1"/>
  <c r="A15214" i="1"/>
  <c r="C15214" i="1"/>
  <c r="N15214" i="1"/>
  <c r="A15215" i="1"/>
  <c r="C15215" i="1"/>
  <c r="N15215" i="1"/>
  <c r="A15216" i="1"/>
  <c r="C15216" i="1"/>
  <c r="N15216" i="1"/>
  <c r="A15217" i="1"/>
  <c r="C15217" i="1"/>
  <c r="N15217" i="1"/>
  <c r="A15218" i="1"/>
  <c r="C15218" i="1"/>
  <c r="N15218" i="1"/>
  <c r="A15219" i="1"/>
  <c r="C15219" i="1"/>
  <c r="N15219" i="1"/>
  <c r="A15220" i="1"/>
  <c r="C15220" i="1"/>
  <c r="N15220" i="1"/>
  <c r="A15221" i="1"/>
  <c r="C15221" i="1"/>
  <c r="N15221" i="1"/>
  <c r="A15222" i="1"/>
  <c r="C15222" i="1"/>
  <c r="N15222" i="1"/>
  <c r="A15223" i="1"/>
  <c r="C15223" i="1"/>
  <c r="N15223" i="1"/>
  <c r="A15224" i="1"/>
  <c r="C15224" i="1"/>
  <c r="N15224" i="1"/>
  <c r="A15225" i="1"/>
  <c r="C15225" i="1"/>
  <c r="N15225" i="1"/>
  <c r="A15226" i="1"/>
  <c r="C15226" i="1"/>
  <c r="N15226" i="1"/>
  <c r="A15227" i="1"/>
  <c r="C15227" i="1"/>
  <c r="N15227" i="1"/>
  <c r="A15228" i="1"/>
  <c r="C15228" i="1"/>
  <c r="N15228" i="1"/>
  <c r="A15229" i="1"/>
  <c r="C15229" i="1"/>
  <c r="N15229" i="1"/>
  <c r="A15230" i="1"/>
  <c r="C15230" i="1"/>
  <c r="N15230" i="1"/>
  <c r="A15231" i="1"/>
  <c r="C15231" i="1"/>
  <c r="N15231" i="1"/>
  <c r="A15232" i="1"/>
  <c r="C15232" i="1"/>
  <c r="N15232" i="1"/>
  <c r="A15233" i="1"/>
  <c r="C15233" i="1"/>
  <c r="N15233" i="1"/>
  <c r="A15234" i="1"/>
  <c r="C15234" i="1"/>
  <c r="N15234" i="1"/>
  <c r="A15235" i="1"/>
  <c r="C15235" i="1"/>
  <c r="N15235" i="1"/>
  <c r="A15236" i="1"/>
  <c r="C15236" i="1"/>
  <c r="N15236" i="1"/>
  <c r="A15237" i="1"/>
  <c r="C15237" i="1"/>
  <c r="F15237" i="1"/>
  <c r="N15237" i="1"/>
  <c r="A15238" i="1"/>
  <c r="C15238" i="1"/>
  <c r="N15238" i="1"/>
  <c r="A15239" i="1"/>
  <c r="C15239" i="1"/>
  <c r="N15239" i="1"/>
  <c r="A15240" i="1"/>
  <c r="C15240" i="1"/>
  <c r="N15240" i="1"/>
  <c r="A15241" i="1"/>
  <c r="C15241" i="1"/>
  <c r="N15241" i="1"/>
  <c r="A15242" i="1"/>
  <c r="C15242" i="1"/>
  <c r="N15242" i="1"/>
  <c r="A15243" i="1"/>
  <c r="C15243" i="1"/>
  <c r="N15243" i="1"/>
  <c r="A15244" i="1"/>
  <c r="C15244" i="1"/>
  <c r="N15244" i="1"/>
  <c r="A15245" i="1"/>
  <c r="C15245" i="1"/>
  <c r="N15245" i="1"/>
  <c r="A15246" i="1"/>
  <c r="C15246" i="1"/>
  <c r="N15246" i="1"/>
  <c r="A15247" i="1"/>
  <c r="C15247" i="1"/>
  <c r="N15247" i="1"/>
  <c r="A15248" i="1"/>
  <c r="C15248" i="1"/>
  <c r="N15248" i="1"/>
  <c r="A15249" i="1"/>
  <c r="C15249" i="1"/>
  <c r="N15249" i="1"/>
  <c r="A15250" i="1"/>
  <c r="C15250" i="1"/>
  <c r="N15250" i="1"/>
  <c r="A15251" i="1"/>
  <c r="C15251" i="1"/>
  <c r="K15251" i="1"/>
  <c r="N15251" i="1"/>
  <c r="A15252" i="1"/>
  <c r="C15252" i="1"/>
  <c r="N15252" i="1"/>
  <c r="A15253" i="1"/>
  <c r="C15253" i="1"/>
  <c r="N15253" i="1"/>
  <c r="A15254" i="1"/>
  <c r="C15254" i="1"/>
  <c r="N15254" i="1"/>
  <c r="A15255" i="1"/>
  <c r="C15255" i="1"/>
  <c r="N15255" i="1"/>
  <c r="A15256" i="1"/>
  <c r="C15256" i="1"/>
  <c r="N15256" i="1"/>
  <c r="A15257" i="1"/>
  <c r="C15257" i="1"/>
  <c r="N15257" i="1"/>
  <c r="A15258" i="1"/>
  <c r="C15258" i="1"/>
  <c r="N15258" i="1"/>
  <c r="A15259" i="1"/>
  <c r="C15259" i="1"/>
  <c r="N15259" i="1"/>
  <c r="A15260" i="1"/>
  <c r="C15260" i="1"/>
  <c r="N15260" i="1"/>
  <c r="A15261" i="1"/>
  <c r="C15261" i="1"/>
  <c r="N15261" i="1"/>
  <c r="A15262" i="1"/>
  <c r="C15262" i="1"/>
  <c r="N15262" i="1"/>
  <c r="A15263" i="1"/>
  <c r="C15263" i="1"/>
  <c r="N15263" i="1"/>
  <c r="A15264" i="1"/>
  <c r="C15264" i="1"/>
  <c r="N15264" i="1"/>
  <c r="A15265" i="1"/>
  <c r="C15265" i="1"/>
  <c r="N15265" i="1"/>
  <c r="A15266" i="1"/>
  <c r="C15266" i="1"/>
  <c r="K15266" i="1"/>
  <c r="N15266" i="1"/>
  <c r="A15267" i="1"/>
  <c r="C15267" i="1"/>
  <c r="K15267" i="1"/>
  <c r="N15267" i="1"/>
  <c r="A15268" i="1"/>
  <c r="C15268" i="1"/>
  <c r="N15268" i="1"/>
  <c r="A15269" i="1"/>
  <c r="C15269" i="1"/>
  <c r="N15269" i="1"/>
  <c r="A15270" i="1"/>
  <c r="C15270" i="1"/>
  <c r="N15270" i="1"/>
  <c r="A15271" i="1"/>
  <c r="C15271" i="1"/>
  <c r="N15271" i="1"/>
  <c r="A15272" i="1"/>
  <c r="C15272" i="1"/>
  <c r="N15272" i="1"/>
  <c r="A15273" i="1"/>
  <c r="C15273" i="1"/>
  <c r="N15273" i="1"/>
  <c r="A15274" i="1"/>
  <c r="C15274" i="1"/>
  <c r="N15274" i="1"/>
  <c r="A15275" i="1"/>
  <c r="C15275" i="1"/>
  <c r="N15275" i="1"/>
  <c r="A15276" i="1"/>
  <c r="C15276" i="1"/>
  <c r="N15276" i="1"/>
  <c r="A15277" i="1"/>
  <c r="C15277" i="1"/>
  <c r="N15277" i="1"/>
  <c r="A15278" i="1"/>
  <c r="C15278" i="1"/>
  <c r="N15278" i="1"/>
  <c r="A15279" i="1"/>
  <c r="C15279" i="1"/>
  <c r="N15279" i="1"/>
  <c r="A15280" i="1"/>
  <c r="C15280" i="1"/>
  <c r="N15280" i="1"/>
  <c r="A15281" i="1"/>
  <c r="C15281" i="1"/>
  <c r="K15281" i="1"/>
  <c r="N15281" i="1"/>
  <c r="A15282" i="1"/>
  <c r="C15282" i="1"/>
  <c r="N15282" i="1"/>
  <c r="A15283" i="1"/>
  <c r="C15283" i="1"/>
  <c r="N15283" i="1"/>
  <c r="A15284" i="1"/>
  <c r="C15284" i="1"/>
  <c r="N15284" i="1"/>
  <c r="A15285" i="1"/>
  <c r="C15285" i="1"/>
  <c r="N15285" i="1"/>
  <c r="A15286" i="1"/>
  <c r="C15286" i="1"/>
  <c r="N15286" i="1"/>
  <c r="A15287" i="1"/>
  <c r="C15287" i="1"/>
  <c r="N15287" i="1"/>
  <c r="A15288" i="1"/>
  <c r="C15288" i="1"/>
  <c r="N15288" i="1"/>
  <c r="A15289" i="1"/>
  <c r="C15289" i="1"/>
  <c r="N15289" i="1"/>
  <c r="A15290" i="1"/>
  <c r="C15290" i="1"/>
  <c r="N15290" i="1"/>
  <c r="A15291" i="1"/>
  <c r="C15291" i="1"/>
  <c r="N15291" i="1"/>
  <c r="A15292" i="1"/>
  <c r="C15292" i="1"/>
  <c r="N15292" i="1"/>
  <c r="A15293" i="1"/>
  <c r="C15293" i="1"/>
  <c r="N15293" i="1"/>
  <c r="A15294" i="1"/>
  <c r="C15294" i="1"/>
  <c r="N15294" i="1"/>
  <c r="A15295" i="1"/>
  <c r="C15295" i="1"/>
  <c r="N15295" i="1"/>
  <c r="A15296" i="1"/>
  <c r="C15296" i="1"/>
  <c r="N15296" i="1"/>
  <c r="A15297" i="1"/>
  <c r="C15297" i="1"/>
  <c r="N15297" i="1"/>
  <c r="A15298" i="1"/>
  <c r="C15298" i="1"/>
  <c r="N15298" i="1"/>
  <c r="A15299" i="1"/>
  <c r="C15299" i="1"/>
  <c r="N15299" i="1"/>
  <c r="A15300" i="1"/>
  <c r="C15300" i="1"/>
  <c r="N15300" i="1"/>
  <c r="A15301" i="1"/>
  <c r="C15301" i="1"/>
  <c r="N15301" i="1"/>
  <c r="A15302" i="1"/>
  <c r="C15302" i="1"/>
  <c r="N15302" i="1"/>
  <c r="A15303" i="1"/>
  <c r="C15303" i="1"/>
  <c r="N15303" i="1"/>
  <c r="A15304" i="1"/>
  <c r="C15304" i="1"/>
  <c r="N15304" i="1"/>
  <c r="A15305" i="1"/>
  <c r="C15305" i="1"/>
  <c r="N15305" i="1"/>
  <c r="A15306" i="1"/>
  <c r="C15306" i="1"/>
  <c r="N15306" i="1"/>
  <c r="A15307" i="1"/>
  <c r="C15307" i="1"/>
  <c r="N15307" i="1"/>
  <c r="A15308" i="1"/>
  <c r="C15308" i="1"/>
  <c r="N15308" i="1"/>
  <c r="A15309" i="1"/>
  <c r="C15309" i="1"/>
  <c r="K15309" i="1"/>
  <c r="N15309" i="1"/>
  <c r="A15310" i="1"/>
  <c r="C15310" i="1"/>
  <c r="N15310" i="1"/>
  <c r="A15311" i="1"/>
  <c r="C15311" i="1"/>
  <c r="N15311" i="1"/>
  <c r="A15312" i="1"/>
  <c r="C15312" i="1"/>
  <c r="N15312" i="1"/>
  <c r="A15313" i="1"/>
  <c r="C15313" i="1"/>
  <c r="N15313" i="1"/>
  <c r="A15314" i="1"/>
  <c r="C15314" i="1"/>
  <c r="N15314" i="1"/>
  <c r="A15315" i="1"/>
  <c r="C15315" i="1"/>
  <c r="K15315" i="1"/>
  <c r="N15315" i="1"/>
  <c r="A15316" i="1"/>
  <c r="C15316" i="1"/>
  <c r="K15316" i="1"/>
  <c r="N15316" i="1"/>
  <c r="A15317" i="1"/>
  <c r="C15317" i="1"/>
  <c r="K15317" i="1"/>
  <c r="N15317" i="1"/>
  <c r="A15318" i="1"/>
  <c r="C15318" i="1"/>
  <c r="N15318" i="1"/>
  <c r="A15319" i="1"/>
  <c r="C15319" i="1"/>
  <c r="N15319" i="1"/>
  <c r="A15320" i="1"/>
  <c r="C15320" i="1"/>
  <c r="N15320" i="1"/>
  <c r="A15321" i="1"/>
  <c r="C15321" i="1"/>
  <c r="N15321" i="1"/>
  <c r="A15322" i="1"/>
  <c r="C15322" i="1"/>
  <c r="N15322" i="1"/>
  <c r="A15323" i="1"/>
  <c r="C15323" i="1"/>
  <c r="N15323" i="1"/>
  <c r="A15324" i="1"/>
  <c r="C15324" i="1"/>
  <c r="K15324" i="1"/>
  <c r="N15324" i="1"/>
  <c r="A15325" i="1"/>
  <c r="C15325" i="1"/>
  <c r="K15325" i="1"/>
  <c r="N15325" i="1"/>
  <c r="A15326" i="1"/>
  <c r="C15326" i="1"/>
  <c r="N15326" i="1"/>
  <c r="A15327" i="1"/>
  <c r="C15327" i="1"/>
  <c r="N15327" i="1"/>
  <c r="A15328" i="1"/>
  <c r="C15328" i="1"/>
  <c r="N15328" i="1"/>
  <c r="A15329" i="1"/>
  <c r="C15329" i="1"/>
  <c r="N15329" i="1"/>
  <c r="A15330" i="1"/>
  <c r="C15330" i="1"/>
  <c r="N15330" i="1"/>
  <c r="A15331" i="1"/>
  <c r="C15331" i="1"/>
  <c r="K15331" i="1"/>
  <c r="N15331" i="1"/>
  <c r="A15332" i="1"/>
  <c r="C15332" i="1"/>
  <c r="N15332" i="1"/>
  <c r="A15333" i="1"/>
  <c r="C15333" i="1"/>
  <c r="K15333" i="1"/>
  <c r="N15333" i="1"/>
  <c r="A15334" i="1"/>
  <c r="C15334" i="1"/>
  <c r="N15334" i="1"/>
  <c r="A15335" i="1"/>
  <c r="C15335" i="1"/>
  <c r="K15335" i="1"/>
  <c r="N15335" i="1"/>
  <c r="A15336" i="1"/>
  <c r="C15336" i="1"/>
  <c r="K15336" i="1"/>
  <c r="N15336" i="1"/>
  <c r="A15337" i="1"/>
  <c r="C15337" i="1"/>
  <c r="N15337" i="1"/>
  <c r="A15338" i="1"/>
  <c r="C15338" i="1"/>
  <c r="N15338" i="1"/>
  <c r="A15339" i="1"/>
  <c r="C15339" i="1"/>
  <c r="N15339" i="1"/>
  <c r="A15340" i="1"/>
  <c r="C15340" i="1"/>
  <c r="N15340" i="1"/>
  <c r="A15341" i="1"/>
  <c r="C15341" i="1"/>
  <c r="K15341" i="1"/>
  <c r="N15341" i="1"/>
  <c r="A15342" i="1"/>
  <c r="C15342" i="1"/>
  <c r="N15342" i="1"/>
  <c r="A15343" i="1"/>
  <c r="C15343" i="1"/>
  <c r="K15343" i="1"/>
  <c r="N15343" i="1"/>
  <c r="A15344" i="1"/>
  <c r="C15344" i="1"/>
  <c r="N15344" i="1"/>
  <c r="A15345" i="1"/>
  <c r="C15345" i="1"/>
  <c r="N15345" i="1"/>
  <c r="A15346" i="1"/>
  <c r="C15346" i="1"/>
  <c r="N15346" i="1"/>
  <c r="A15347" i="1"/>
  <c r="C15347" i="1"/>
  <c r="N15347" i="1"/>
  <c r="A15348" i="1"/>
  <c r="C15348" i="1"/>
  <c r="F15348" i="1"/>
  <c r="N15348" i="1"/>
  <c r="A15349" i="1"/>
  <c r="C15349" i="1"/>
  <c r="N15349" i="1"/>
  <c r="A15350" i="1"/>
  <c r="C15350" i="1"/>
  <c r="N15350" i="1"/>
  <c r="A15351" i="1"/>
  <c r="C15351" i="1"/>
  <c r="N15351" i="1"/>
  <c r="A15352" i="1"/>
  <c r="C15352" i="1"/>
  <c r="N15352" i="1"/>
  <c r="A15353" i="1"/>
  <c r="C15353" i="1"/>
  <c r="N15353" i="1"/>
  <c r="A15354" i="1"/>
  <c r="C15354" i="1"/>
  <c r="N15354" i="1"/>
  <c r="A15355" i="1"/>
  <c r="C15355" i="1"/>
  <c r="N15355" i="1"/>
  <c r="A15356" i="1"/>
  <c r="C15356" i="1"/>
  <c r="N15356" i="1"/>
  <c r="A15357" i="1"/>
  <c r="C15357" i="1"/>
  <c r="N15357" i="1"/>
  <c r="A15358" i="1"/>
  <c r="C15358" i="1"/>
  <c r="N15358" i="1"/>
  <c r="A15359" i="1"/>
  <c r="C15359" i="1"/>
  <c r="N15359" i="1"/>
  <c r="A15360" i="1"/>
  <c r="C15360" i="1"/>
  <c r="N15360" i="1"/>
  <c r="A15361" i="1"/>
  <c r="C15361" i="1"/>
  <c r="K15361" i="1"/>
  <c r="N15361" i="1"/>
  <c r="A15362" i="1"/>
  <c r="C15362" i="1"/>
  <c r="N15362" i="1"/>
  <c r="A15363" i="1"/>
  <c r="C15363" i="1"/>
  <c r="N15363" i="1"/>
  <c r="A15364" i="1"/>
  <c r="C15364" i="1"/>
  <c r="N15364" i="1"/>
  <c r="A15365" i="1"/>
  <c r="C15365" i="1"/>
  <c r="N15365" i="1"/>
  <c r="A15366" i="1"/>
  <c r="C15366" i="1"/>
  <c r="N15366" i="1"/>
  <c r="A15367" i="1"/>
  <c r="C15367" i="1"/>
  <c r="N15367" i="1"/>
  <c r="A15368" i="1"/>
  <c r="C15368" i="1"/>
  <c r="N15368" i="1"/>
  <c r="A15369" i="1"/>
  <c r="C15369" i="1"/>
  <c r="N15369" i="1"/>
  <c r="A15370" i="1"/>
  <c r="C15370" i="1"/>
  <c r="N15370" i="1"/>
  <c r="A15371" i="1"/>
  <c r="C15371" i="1"/>
  <c r="D15371" i="1"/>
  <c r="E15371" i="1"/>
  <c r="K15371" i="1"/>
  <c r="N15371" i="1"/>
  <c r="O15371" i="1"/>
  <c r="T15371" i="1"/>
  <c r="A15372" i="1"/>
  <c r="C15372" i="1"/>
  <c r="N15372" i="1"/>
  <c r="A15373" i="1"/>
  <c r="C15373" i="1"/>
  <c r="N15373" i="1"/>
  <c r="A15374" i="1"/>
  <c r="C15374" i="1"/>
  <c r="N15374" i="1"/>
  <c r="A15375" i="1"/>
  <c r="C15375" i="1"/>
  <c r="N15375" i="1"/>
  <c r="A15376" i="1"/>
  <c r="C15376" i="1"/>
  <c r="N15376" i="1"/>
  <c r="A15377" i="1"/>
  <c r="C15377" i="1"/>
  <c r="N15377" i="1"/>
  <c r="A15378" i="1"/>
  <c r="C15378" i="1"/>
  <c r="N15378" i="1"/>
  <c r="A15379" i="1"/>
  <c r="C15379" i="1"/>
  <c r="N15379" i="1"/>
  <c r="A15380" i="1"/>
  <c r="C15380" i="1"/>
  <c r="N15380" i="1"/>
  <c r="A15381" i="1"/>
  <c r="C15381" i="1"/>
  <c r="N15381" i="1"/>
  <c r="A15382" i="1"/>
  <c r="C15382" i="1"/>
  <c r="N15382" i="1"/>
  <c r="A15383" i="1"/>
  <c r="C15383" i="1"/>
  <c r="N15383" i="1"/>
  <c r="A15384" i="1"/>
  <c r="C15384" i="1"/>
  <c r="N15384" i="1"/>
  <c r="A15385" i="1"/>
  <c r="C15385" i="1"/>
  <c r="N15385" i="1"/>
  <c r="A15386" i="1"/>
  <c r="C15386" i="1"/>
  <c r="N15386" i="1"/>
  <c r="A15387" i="1"/>
  <c r="C15387" i="1"/>
  <c r="N15387" i="1"/>
  <c r="A15388" i="1"/>
  <c r="C15388" i="1"/>
  <c r="N15388" i="1"/>
  <c r="A15389" i="1"/>
  <c r="C15389" i="1"/>
  <c r="N15389" i="1"/>
  <c r="A15390" i="1"/>
  <c r="C15390" i="1"/>
  <c r="N15390" i="1"/>
  <c r="A15391" i="1"/>
  <c r="C15391" i="1"/>
  <c r="N15391" i="1"/>
  <c r="A15392" i="1"/>
  <c r="C15392" i="1"/>
  <c r="N15392" i="1"/>
  <c r="A15393" i="1"/>
  <c r="C15393" i="1"/>
  <c r="N15393" i="1"/>
  <c r="A15394" i="1"/>
  <c r="C15394" i="1"/>
  <c r="N15394" i="1"/>
  <c r="A15395" i="1"/>
  <c r="C15395" i="1"/>
  <c r="N15395" i="1"/>
  <c r="A15396" i="1"/>
  <c r="C15396" i="1"/>
  <c r="N15396" i="1"/>
  <c r="A15397" i="1"/>
  <c r="C15397" i="1"/>
  <c r="N15397" i="1"/>
  <c r="A15398" i="1"/>
  <c r="C15398" i="1"/>
  <c r="K15398" i="1"/>
  <c r="N15398" i="1"/>
  <c r="A15399" i="1"/>
  <c r="C15399" i="1"/>
  <c r="N15399" i="1"/>
  <c r="A15400" i="1"/>
  <c r="C15400" i="1"/>
  <c r="N15400" i="1"/>
  <c r="A15401" i="1"/>
  <c r="C15401" i="1"/>
  <c r="K15401" i="1"/>
  <c r="N15401" i="1"/>
  <c r="A15402" i="1"/>
  <c r="C15402" i="1"/>
  <c r="N15402" i="1"/>
  <c r="A15403" i="1"/>
  <c r="C15403" i="1"/>
  <c r="N15403" i="1"/>
  <c r="A15404" i="1"/>
  <c r="C15404" i="1"/>
  <c r="K15404" i="1"/>
  <c r="N15404" i="1"/>
  <c r="A15405" i="1"/>
  <c r="C15405" i="1"/>
  <c r="N15405" i="1"/>
  <c r="A15406" i="1"/>
  <c r="C15406" i="1"/>
  <c r="N15406" i="1"/>
  <c r="A15407" i="1"/>
  <c r="C15407" i="1"/>
  <c r="N15407" i="1"/>
  <c r="A15408" i="1"/>
  <c r="C15408" i="1"/>
  <c r="K15408" i="1"/>
  <c r="N15408" i="1"/>
  <c r="A15409" i="1"/>
  <c r="C15409" i="1"/>
  <c r="N15409" i="1"/>
  <c r="A15410" i="1"/>
  <c r="C15410" i="1"/>
  <c r="N15410" i="1"/>
  <c r="A15411" i="1"/>
  <c r="C15411" i="1"/>
  <c r="N15411" i="1"/>
  <c r="A15412" i="1"/>
  <c r="C15412" i="1"/>
  <c r="N15412" i="1"/>
  <c r="A15413" i="1"/>
  <c r="C15413" i="1"/>
  <c r="N15413" i="1"/>
  <c r="A15414" i="1"/>
  <c r="C15414" i="1"/>
  <c r="N15414" i="1"/>
  <c r="A15415" i="1"/>
  <c r="C15415" i="1"/>
  <c r="K15415" i="1"/>
  <c r="N15415" i="1"/>
  <c r="A15416" i="1"/>
  <c r="C15416" i="1"/>
  <c r="N15416" i="1"/>
  <c r="A15417" i="1"/>
  <c r="C15417" i="1"/>
  <c r="N15417" i="1"/>
  <c r="A15418" i="1"/>
  <c r="C15418" i="1"/>
  <c r="N15418" i="1"/>
  <c r="A15419" i="1"/>
  <c r="C15419" i="1"/>
  <c r="N15419" i="1"/>
  <c r="A15420" i="1"/>
  <c r="C15420" i="1"/>
  <c r="N15420" i="1"/>
  <c r="A15421" i="1"/>
  <c r="C15421" i="1"/>
  <c r="N15421" i="1"/>
  <c r="A15422" i="1"/>
  <c r="C15422" i="1"/>
  <c r="N15422" i="1"/>
  <c r="A15423" i="1"/>
  <c r="C15423" i="1"/>
  <c r="N15423" i="1"/>
  <c r="A15424" i="1"/>
  <c r="C15424" i="1"/>
  <c r="N15424" i="1"/>
  <c r="A15425" i="1"/>
  <c r="C15425" i="1"/>
  <c r="N15425" i="1"/>
  <c r="A15426" i="1"/>
  <c r="C15426" i="1"/>
  <c r="N15426" i="1"/>
  <c r="A15427" i="1"/>
  <c r="C15427" i="1"/>
  <c r="N15427" i="1"/>
  <c r="A15428" i="1"/>
  <c r="C15428" i="1"/>
  <c r="N15428" i="1"/>
  <c r="A15429" i="1"/>
  <c r="C15429" i="1"/>
  <c r="K15429" i="1"/>
  <c r="N15429" i="1"/>
  <c r="A15430" i="1"/>
  <c r="C15430" i="1"/>
  <c r="N15430" i="1"/>
  <c r="A15431" i="1"/>
  <c r="C15431" i="1"/>
  <c r="N15431" i="1"/>
  <c r="A15432" i="1"/>
  <c r="C15432" i="1"/>
  <c r="N15432" i="1"/>
  <c r="A15433" i="1"/>
  <c r="C15433" i="1"/>
  <c r="N15433" i="1"/>
  <c r="A15434" i="1"/>
  <c r="C15434" i="1"/>
  <c r="N15434" i="1"/>
  <c r="A15435" i="1"/>
  <c r="C15435" i="1"/>
  <c r="N15435" i="1"/>
  <c r="A15436" i="1"/>
  <c r="C15436" i="1"/>
  <c r="K15436" i="1"/>
  <c r="N15436" i="1"/>
  <c r="A15437" i="1"/>
  <c r="C15437" i="1"/>
  <c r="N15437" i="1"/>
  <c r="A15438" i="1"/>
  <c r="C15438" i="1"/>
  <c r="N15438" i="1"/>
  <c r="A15439" i="1"/>
  <c r="C15439" i="1"/>
  <c r="N15439" i="1"/>
  <c r="A15440" i="1"/>
  <c r="C15440" i="1"/>
  <c r="N15440" i="1"/>
  <c r="A15441" i="1"/>
  <c r="C15441" i="1"/>
  <c r="N15441" i="1"/>
  <c r="A15442" i="1"/>
  <c r="C15442" i="1"/>
  <c r="N15442" i="1"/>
  <c r="A15443" i="1"/>
  <c r="C15443" i="1"/>
  <c r="N15443" i="1"/>
  <c r="A15444" i="1"/>
  <c r="C15444" i="1"/>
  <c r="K15444" i="1"/>
  <c r="N15444" i="1"/>
  <c r="A15445" i="1"/>
  <c r="C15445" i="1"/>
  <c r="N15445" i="1"/>
  <c r="A15446" i="1"/>
  <c r="C15446" i="1"/>
  <c r="N15446" i="1"/>
  <c r="A15447" i="1"/>
  <c r="C15447" i="1"/>
  <c r="N15447" i="1"/>
  <c r="A15448" i="1"/>
  <c r="C15448" i="1"/>
  <c r="D15448" i="1"/>
  <c r="N15448" i="1"/>
  <c r="O15448" i="1"/>
  <c r="A15449" i="1"/>
  <c r="C15449" i="1"/>
  <c r="F15449" i="1"/>
  <c r="N15449" i="1"/>
  <c r="A15450" i="1"/>
  <c r="C15450" i="1"/>
  <c r="F15450" i="1"/>
  <c r="N15450" i="1"/>
  <c r="A15451" i="1"/>
  <c r="C15451" i="1"/>
  <c r="F15451" i="1"/>
  <c r="N15451" i="1"/>
  <c r="A15452" i="1"/>
  <c r="C15452" i="1"/>
  <c r="F15452" i="1"/>
  <c r="N15452" i="1"/>
  <c r="A15453" i="1"/>
  <c r="C15453" i="1"/>
  <c r="N15453" i="1"/>
  <c r="A15454" i="1"/>
  <c r="C15454" i="1"/>
  <c r="N15454" i="1"/>
  <c r="A15455" i="1"/>
  <c r="C15455" i="1"/>
  <c r="N15455" i="1"/>
  <c r="A15456" i="1"/>
  <c r="C15456" i="1"/>
  <c r="N15456" i="1"/>
  <c r="A15457" i="1"/>
  <c r="C15457" i="1"/>
  <c r="N15457" i="1"/>
  <c r="A15458" i="1"/>
  <c r="C15458" i="1"/>
  <c r="N15458" i="1"/>
  <c r="A15459" i="1"/>
  <c r="C15459" i="1"/>
  <c r="N15459" i="1"/>
  <c r="A15460" i="1"/>
  <c r="C15460" i="1"/>
  <c r="N15460" i="1"/>
  <c r="A15461" i="1"/>
  <c r="C15461" i="1"/>
  <c r="N15461" i="1"/>
  <c r="A15462" i="1"/>
  <c r="C15462" i="1"/>
  <c r="N15462" i="1"/>
  <c r="A15463" i="1"/>
  <c r="C15463" i="1"/>
  <c r="N15463" i="1"/>
  <c r="A15464" i="1"/>
  <c r="C15464" i="1"/>
  <c r="N15464" i="1"/>
  <c r="A15465" i="1"/>
  <c r="C15465" i="1"/>
  <c r="N15465" i="1"/>
  <c r="A15466" i="1"/>
  <c r="C15466" i="1"/>
  <c r="N15466" i="1"/>
  <c r="A15467" i="1"/>
  <c r="C15467" i="1"/>
  <c r="N15467" i="1"/>
  <c r="A15468" i="1"/>
  <c r="C15468" i="1"/>
  <c r="N15468" i="1"/>
  <c r="A15469" i="1"/>
  <c r="C15469" i="1"/>
  <c r="N15469" i="1"/>
  <c r="A15470" i="1"/>
  <c r="C15470" i="1"/>
  <c r="N15470" i="1"/>
  <c r="A15471" i="1"/>
  <c r="C15471" i="1"/>
  <c r="N15471" i="1"/>
  <c r="A15472" i="1"/>
  <c r="C15472" i="1"/>
  <c r="N15472" i="1"/>
  <c r="A15473" i="1"/>
  <c r="C15473" i="1"/>
  <c r="N15473" i="1"/>
  <c r="A15474" i="1"/>
  <c r="C15474" i="1"/>
  <c r="N15474" i="1"/>
  <c r="A15475" i="1"/>
  <c r="C15475" i="1"/>
  <c r="N15475" i="1"/>
  <c r="A15476" i="1"/>
  <c r="C15476" i="1"/>
  <c r="N15476" i="1"/>
  <c r="A15477" i="1"/>
  <c r="C15477" i="1"/>
  <c r="N15477" i="1"/>
  <c r="A15478" i="1"/>
  <c r="C15478" i="1"/>
  <c r="N15478" i="1"/>
  <c r="A15479" i="1"/>
  <c r="C15479" i="1"/>
  <c r="N15479" i="1"/>
  <c r="A15480" i="1"/>
  <c r="C15480" i="1"/>
  <c r="N15480" i="1"/>
  <c r="A15481" i="1"/>
  <c r="C15481" i="1"/>
  <c r="N15481" i="1"/>
  <c r="A15482" i="1"/>
  <c r="C15482" i="1"/>
  <c r="N15482" i="1"/>
  <c r="A15483" i="1"/>
  <c r="C15483" i="1"/>
  <c r="N15483" i="1"/>
  <c r="A15484" i="1"/>
  <c r="C15484" i="1"/>
  <c r="N15484" i="1"/>
  <c r="A15485" i="1"/>
  <c r="C15485" i="1"/>
  <c r="N15485" i="1"/>
  <c r="A15486" i="1"/>
  <c r="C15486" i="1"/>
  <c r="N15486" i="1"/>
  <c r="A15487" i="1"/>
  <c r="C15487" i="1"/>
  <c r="N15487" i="1"/>
  <c r="A15488" i="1"/>
  <c r="C15488" i="1"/>
  <c r="N15488" i="1"/>
  <c r="A15489" i="1"/>
  <c r="C15489" i="1"/>
  <c r="N15489" i="1"/>
  <c r="A15490" i="1"/>
  <c r="C15490" i="1"/>
  <c r="N15490" i="1"/>
  <c r="A15491" i="1"/>
  <c r="C15491" i="1"/>
  <c r="N15491" i="1"/>
  <c r="A15492" i="1"/>
  <c r="C15492" i="1"/>
  <c r="N15492" i="1"/>
  <c r="A15493" i="1"/>
  <c r="C15493" i="1"/>
  <c r="D15493" i="1"/>
  <c r="N15493" i="1"/>
  <c r="O15493" i="1"/>
  <c r="A15494" i="1"/>
  <c r="C15494" i="1"/>
  <c r="N15494" i="1"/>
  <c r="A15495" i="1"/>
  <c r="C15495" i="1"/>
  <c r="N15495" i="1"/>
  <c r="A15496" i="1"/>
  <c r="C15496" i="1"/>
  <c r="N15496" i="1"/>
  <c r="A15497" i="1"/>
  <c r="C15497" i="1"/>
  <c r="N15497" i="1"/>
  <c r="A15498" i="1"/>
  <c r="C15498" i="1"/>
  <c r="N15498" i="1"/>
  <c r="A15499" i="1"/>
  <c r="C15499" i="1"/>
  <c r="N15499" i="1"/>
  <c r="A15500" i="1"/>
  <c r="C15500" i="1"/>
  <c r="N15500" i="1"/>
  <c r="A15501" i="1"/>
  <c r="C15501" i="1"/>
  <c r="N15501" i="1"/>
  <c r="A15502" i="1"/>
  <c r="C15502" i="1"/>
  <c r="N15502" i="1"/>
  <c r="A15503" i="1"/>
  <c r="C15503" i="1"/>
  <c r="N15503" i="1"/>
  <c r="A15504" i="1"/>
  <c r="C15504" i="1"/>
  <c r="N15504" i="1"/>
  <c r="A15505" i="1"/>
  <c r="C15505" i="1"/>
  <c r="N15505" i="1"/>
  <c r="A15506" i="1"/>
  <c r="C15506" i="1"/>
  <c r="N15506" i="1"/>
  <c r="A15507" i="1"/>
  <c r="C15507" i="1"/>
  <c r="N15507" i="1"/>
  <c r="A15508" i="1"/>
  <c r="C15508" i="1"/>
  <c r="N15508" i="1"/>
  <c r="A15509" i="1"/>
  <c r="C15509" i="1"/>
  <c r="N15509" i="1"/>
  <c r="A15510" i="1"/>
  <c r="C15510" i="1"/>
  <c r="N15510" i="1"/>
  <c r="A15511" i="1"/>
  <c r="C15511" i="1"/>
  <c r="N15511" i="1"/>
  <c r="A15512" i="1"/>
  <c r="C15512" i="1"/>
  <c r="N15512" i="1"/>
  <c r="A15513" i="1"/>
  <c r="C15513" i="1"/>
  <c r="K15513" i="1"/>
  <c r="N15513" i="1"/>
  <c r="A15514" i="1"/>
  <c r="C15514" i="1"/>
  <c r="N15514" i="1"/>
  <c r="A15515" i="1"/>
  <c r="C15515" i="1"/>
  <c r="N15515" i="1"/>
  <c r="A15516" i="1"/>
  <c r="C15516" i="1"/>
  <c r="N15516" i="1"/>
  <c r="A15517" i="1"/>
  <c r="C15517" i="1"/>
  <c r="N15517" i="1"/>
  <c r="A15518" i="1"/>
  <c r="C15518" i="1"/>
  <c r="N15518" i="1"/>
  <c r="A15519" i="1"/>
  <c r="C15519" i="1"/>
  <c r="K15519" i="1"/>
  <c r="N15519" i="1"/>
  <c r="A15520" i="1"/>
  <c r="C15520" i="1"/>
  <c r="N15520" i="1"/>
  <c r="A15521" i="1"/>
  <c r="C15521" i="1"/>
  <c r="N15521" i="1"/>
  <c r="A15522" i="1"/>
  <c r="C15522" i="1"/>
  <c r="N15522" i="1"/>
  <c r="A15523" i="1"/>
  <c r="C15523" i="1"/>
  <c r="N15523" i="1"/>
  <c r="A15524" i="1"/>
  <c r="C15524" i="1"/>
  <c r="N15524" i="1"/>
  <c r="A15525" i="1"/>
  <c r="C15525" i="1"/>
  <c r="E15525" i="1"/>
  <c r="N15525" i="1"/>
  <c r="T15525" i="1"/>
  <c r="A15526" i="1"/>
  <c r="C15526" i="1"/>
  <c r="N15526" i="1"/>
  <c r="A15527" i="1"/>
  <c r="C15527" i="1"/>
  <c r="N15527" i="1"/>
  <c r="A15528" i="1"/>
  <c r="C15528" i="1"/>
  <c r="N15528" i="1"/>
  <c r="A15529" i="1"/>
  <c r="C15529" i="1"/>
  <c r="N15529" i="1"/>
  <c r="A15530" i="1"/>
  <c r="C15530" i="1"/>
  <c r="N15530" i="1"/>
  <c r="A15531" i="1"/>
  <c r="C15531" i="1"/>
  <c r="N15531" i="1"/>
  <c r="A15532" i="1"/>
  <c r="C15532" i="1"/>
  <c r="N15532" i="1"/>
  <c r="A15533" i="1"/>
  <c r="C15533" i="1"/>
  <c r="N15533" i="1"/>
  <c r="A15534" i="1"/>
  <c r="C15534" i="1"/>
  <c r="N15534" i="1"/>
  <c r="A15535" i="1"/>
  <c r="C15535" i="1"/>
  <c r="D15535" i="1"/>
  <c r="K15535" i="1"/>
  <c r="N15535" i="1"/>
  <c r="O15535" i="1"/>
  <c r="A15536" i="1"/>
  <c r="C15536" i="1"/>
  <c r="N15536" i="1"/>
  <c r="A15537" i="1"/>
  <c r="C15537" i="1"/>
  <c r="N15537" i="1"/>
  <c r="A15538" i="1"/>
  <c r="C15538" i="1"/>
  <c r="N15538" i="1"/>
  <c r="A15539" i="1"/>
  <c r="C15539" i="1"/>
  <c r="N15539" i="1"/>
  <c r="A15540" i="1"/>
  <c r="C15540" i="1"/>
  <c r="N15540" i="1"/>
  <c r="A15541" i="1"/>
  <c r="C15541" i="1"/>
  <c r="N15541" i="1"/>
  <c r="A15542" i="1"/>
  <c r="C15542" i="1"/>
  <c r="N15542" i="1"/>
  <c r="A15543" i="1"/>
  <c r="C15543" i="1"/>
  <c r="N15543" i="1"/>
  <c r="A15544" i="1"/>
  <c r="C15544" i="1"/>
  <c r="N15544" i="1"/>
  <c r="A15545" i="1"/>
  <c r="C15545" i="1"/>
  <c r="N15545" i="1"/>
  <c r="A15546" i="1"/>
  <c r="C15546" i="1"/>
  <c r="N15546" i="1"/>
  <c r="A15547" i="1"/>
  <c r="C15547" i="1"/>
  <c r="K15547" i="1"/>
  <c r="N15547" i="1"/>
  <c r="A15548" i="1"/>
  <c r="C15548" i="1"/>
  <c r="N15548" i="1"/>
  <c r="A15549" i="1"/>
  <c r="C15549" i="1"/>
  <c r="N15549" i="1"/>
  <c r="A15550" i="1"/>
  <c r="C15550" i="1"/>
  <c r="N15550" i="1"/>
  <c r="A15551" i="1"/>
  <c r="C15551" i="1"/>
  <c r="N15551" i="1"/>
  <c r="A15552" i="1"/>
  <c r="C15552" i="1"/>
  <c r="N15552" i="1"/>
  <c r="A15553" i="1"/>
  <c r="C15553" i="1"/>
  <c r="N15553" i="1"/>
  <c r="A15554" i="1"/>
  <c r="C15554" i="1"/>
  <c r="N15554" i="1"/>
  <c r="A15555" i="1"/>
  <c r="C15555" i="1"/>
  <c r="K15555" i="1"/>
  <c r="N15555" i="1"/>
  <c r="A15556" i="1"/>
  <c r="C15556" i="1"/>
  <c r="N15556" i="1"/>
  <c r="A15557" i="1"/>
  <c r="C15557" i="1"/>
  <c r="N15557" i="1"/>
  <c r="A15558" i="1"/>
  <c r="C15558" i="1"/>
  <c r="N15558" i="1"/>
  <c r="A15559" i="1"/>
  <c r="C15559" i="1"/>
  <c r="N15559" i="1"/>
  <c r="A15560" i="1"/>
  <c r="C15560" i="1"/>
  <c r="N15560" i="1"/>
  <c r="A15561" i="1"/>
  <c r="C15561" i="1"/>
  <c r="N15561" i="1"/>
  <c r="A15562" i="1"/>
  <c r="C15562" i="1"/>
  <c r="K15562" i="1"/>
  <c r="N15562" i="1"/>
  <c r="A15563" i="1"/>
  <c r="C15563" i="1"/>
  <c r="K15563" i="1"/>
  <c r="N15563" i="1"/>
  <c r="A15564" i="1"/>
  <c r="C15564" i="1"/>
  <c r="K15564" i="1"/>
  <c r="N15564" i="1"/>
  <c r="A15565" i="1"/>
  <c r="C15565" i="1"/>
  <c r="K15565" i="1"/>
  <c r="N15565" i="1"/>
  <c r="A15566" i="1"/>
  <c r="C15566" i="1"/>
  <c r="K15566" i="1"/>
  <c r="N15566" i="1"/>
  <c r="A15567" i="1"/>
  <c r="C15567" i="1"/>
  <c r="N15567" i="1"/>
  <c r="A15568" i="1"/>
  <c r="C15568" i="1"/>
  <c r="N15568" i="1"/>
  <c r="A15569" i="1"/>
  <c r="C15569" i="1"/>
  <c r="K15569" i="1"/>
  <c r="N15569" i="1"/>
  <c r="A15570" i="1"/>
  <c r="C15570" i="1"/>
  <c r="N15570" i="1"/>
  <c r="A15571" i="1"/>
  <c r="C15571" i="1"/>
  <c r="N15571" i="1"/>
  <c r="A15572" i="1"/>
  <c r="C15572" i="1"/>
  <c r="N15572" i="1"/>
  <c r="A15573" i="1"/>
  <c r="C15573" i="1"/>
  <c r="N15573" i="1"/>
  <c r="A15574" i="1"/>
  <c r="C15574" i="1"/>
  <c r="N15574" i="1"/>
  <c r="A15575" i="1"/>
  <c r="C15575" i="1"/>
  <c r="N15575" i="1"/>
  <c r="A15576" i="1"/>
  <c r="C15576" i="1"/>
  <c r="N15576" i="1"/>
  <c r="A15577" i="1"/>
  <c r="C15577" i="1"/>
  <c r="N15577" i="1"/>
  <c r="A15578" i="1"/>
  <c r="C15578" i="1"/>
  <c r="K15578" i="1"/>
  <c r="N15578" i="1"/>
  <c r="A15579" i="1"/>
  <c r="C15579" i="1"/>
  <c r="K15579" i="1"/>
  <c r="N15579" i="1"/>
  <c r="A15580" i="1"/>
  <c r="C15580" i="1"/>
  <c r="N15580" i="1"/>
  <c r="A15581" i="1"/>
  <c r="C15581" i="1"/>
  <c r="N15581" i="1"/>
  <c r="A15582" i="1"/>
  <c r="C15582" i="1"/>
  <c r="N15582" i="1"/>
  <c r="A15583" i="1"/>
  <c r="C15583" i="1"/>
  <c r="N15583" i="1"/>
  <c r="A15584" i="1"/>
  <c r="C15584" i="1"/>
  <c r="N15584" i="1"/>
  <c r="A15585" i="1"/>
  <c r="C15585" i="1"/>
  <c r="D15585" i="1"/>
  <c r="N15585" i="1"/>
  <c r="O15585" i="1"/>
  <c r="A15586" i="1"/>
  <c r="C15586" i="1"/>
  <c r="N15586" i="1"/>
  <c r="A15587" i="1"/>
  <c r="C15587" i="1"/>
  <c r="N15587" i="1"/>
  <c r="A15588" i="1"/>
  <c r="C15588" i="1"/>
  <c r="N15588" i="1"/>
  <c r="A15589" i="1"/>
  <c r="C15589" i="1"/>
  <c r="N15589" i="1"/>
  <c r="A15590" i="1"/>
  <c r="C15590" i="1"/>
  <c r="N15590" i="1"/>
  <c r="A15591" i="1"/>
  <c r="C15591" i="1"/>
  <c r="N15591" i="1"/>
  <c r="A15592" i="1"/>
  <c r="C15592" i="1"/>
  <c r="N15592" i="1"/>
  <c r="A15593" i="1"/>
  <c r="C15593" i="1"/>
  <c r="N15593" i="1"/>
  <c r="A15594" i="1"/>
  <c r="C15594" i="1"/>
  <c r="N15594" i="1"/>
  <c r="A15595" i="1"/>
  <c r="C15595" i="1"/>
  <c r="N15595" i="1"/>
  <c r="A15596" i="1"/>
  <c r="C15596" i="1"/>
  <c r="N15596" i="1"/>
  <c r="A15597" i="1"/>
  <c r="C15597" i="1"/>
  <c r="N15597" i="1"/>
  <c r="A15598" i="1"/>
  <c r="C15598" i="1"/>
  <c r="N15598" i="1"/>
  <c r="A15599" i="1"/>
  <c r="C15599" i="1"/>
  <c r="N15599" i="1"/>
  <c r="A15600" i="1"/>
  <c r="C15600" i="1"/>
  <c r="N15600" i="1"/>
  <c r="A15601" i="1"/>
  <c r="C15601" i="1"/>
  <c r="N15601" i="1"/>
  <c r="A15602" i="1"/>
  <c r="C15602" i="1"/>
  <c r="N15602" i="1"/>
  <c r="A15603" i="1"/>
  <c r="C15603" i="1"/>
  <c r="N15603" i="1"/>
  <c r="A15604" i="1"/>
  <c r="C15604" i="1"/>
  <c r="N15604" i="1"/>
  <c r="A15605" i="1"/>
  <c r="C15605" i="1"/>
  <c r="N15605" i="1"/>
  <c r="A15606" i="1"/>
  <c r="C15606" i="1"/>
  <c r="N15606" i="1"/>
  <c r="A15607" i="1"/>
  <c r="C15607" i="1"/>
  <c r="N15607" i="1"/>
  <c r="A15608" i="1"/>
  <c r="C15608" i="1"/>
  <c r="N15608" i="1"/>
  <c r="A15609" i="1"/>
  <c r="C15609" i="1"/>
  <c r="N15609" i="1"/>
  <c r="A15610" i="1"/>
  <c r="C15610" i="1"/>
  <c r="K15610" i="1"/>
  <c r="N15610" i="1"/>
  <c r="A15611" i="1"/>
  <c r="C15611" i="1"/>
  <c r="K15611" i="1"/>
  <c r="N15611" i="1"/>
  <c r="A15612" i="1"/>
  <c r="C15612" i="1"/>
  <c r="N15612" i="1"/>
  <c r="A15613" i="1"/>
  <c r="C15613" i="1"/>
  <c r="N15613" i="1"/>
  <c r="A15614" i="1"/>
  <c r="C15614" i="1"/>
  <c r="D15614" i="1"/>
  <c r="N15614" i="1"/>
  <c r="O15614" i="1"/>
  <c r="A15615" i="1"/>
  <c r="C15615" i="1"/>
  <c r="E15615" i="1"/>
  <c r="N15615" i="1"/>
  <c r="T15615" i="1"/>
  <c r="A15616" i="1"/>
  <c r="C15616" i="1"/>
  <c r="N15616" i="1"/>
  <c r="A15617" i="1"/>
  <c r="C15617" i="1"/>
  <c r="K15617" i="1"/>
  <c r="N15617" i="1"/>
  <c r="A15618" i="1"/>
  <c r="C15618" i="1"/>
  <c r="N15618" i="1"/>
  <c r="A15619" i="1"/>
  <c r="C15619" i="1"/>
  <c r="K15619" i="1"/>
  <c r="N15619" i="1"/>
  <c r="A15620" i="1"/>
  <c r="C15620" i="1"/>
  <c r="K15620" i="1"/>
  <c r="N15620" i="1"/>
  <c r="A15621" i="1"/>
  <c r="C15621" i="1"/>
  <c r="N15621" i="1"/>
  <c r="A15622" i="1"/>
  <c r="C15622" i="1"/>
  <c r="N15622" i="1"/>
  <c r="A15623" i="1"/>
  <c r="C15623" i="1"/>
  <c r="N15623" i="1"/>
  <c r="A15624" i="1"/>
  <c r="C15624" i="1"/>
  <c r="N15624" i="1"/>
  <c r="A15625" i="1"/>
  <c r="C15625" i="1"/>
  <c r="N15625" i="1"/>
  <c r="A15626" i="1"/>
  <c r="C15626" i="1"/>
  <c r="N15626" i="1"/>
  <c r="A15627" i="1"/>
  <c r="C15627" i="1"/>
  <c r="N15627" i="1"/>
  <c r="A15628" i="1"/>
  <c r="C15628" i="1"/>
  <c r="N15628" i="1"/>
  <c r="A15629" i="1"/>
  <c r="C15629" i="1"/>
  <c r="N15629" i="1"/>
  <c r="A15630" i="1"/>
  <c r="C15630" i="1"/>
  <c r="N15630" i="1"/>
  <c r="A15631" i="1"/>
  <c r="C15631" i="1"/>
  <c r="N15631" i="1"/>
  <c r="A15632" i="1"/>
  <c r="C15632" i="1"/>
  <c r="N15632" i="1"/>
  <c r="A15633" i="1"/>
  <c r="C15633" i="1"/>
  <c r="N15633" i="1"/>
  <c r="A15634" i="1"/>
  <c r="C15634" i="1"/>
  <c r="N15634" i="1"/>
  <c r="A15635" i="1"/>
  <c r="C15635" i="1"/>
  <c r="N15635" i="1"/>
  <c r="A15636" i="1"/>
  <c r="C15636" i="1"/>
  <c r="N15636" i="1"/>
  <c r="A15637" i="1"/>
  <c r="C15637" i="1"/>
  <c r="N15637" i="1"/>
  <c r="A15638" i="1"/>
  <c r="C15638" i="1"/>
  <c r="N15638" i="1"/>
  <c r="A15639" i="1"/>
  <c r="C15639" i="1"/>
  <c r="N15639" i="1"/>
  <c r="A15640" i="1"/>
  <c r="C15640" i="1"/>
  <c r="N15640" i="1"/>
  <c r="A15641" i="1"/>
  <c r="C15641" i="1"/>
  <c r="N15641" i="1"/>
  <c r="A15642" i="1"/>
  <c r="C15642" i="1"/>
  <c r="N15642" i="1"/>
  <c r="A15643" i="1"/>
  <c r="C15643" i="1"/>
  <c r="N15643" i="1"/>
  <c r="A15644" i="1"/>
  <c r="C15644" i="1"/>
  <c r="K15644" i="1"/>
  <c r="N15644" i="1"/>
  <c r="A15645" i="1"/>
  <c r="C15645" i="1"/>
  <c r="N15645" i="1"/>
  <c r="A15646" i="1"/>
  <c r="C15646" i="1"/>
  <c r="N15646" i="1"/>
  <c r="A15647" i="1"/>
  <c r="C15647" i="1"/>
  <c r="N15647" i="1"/>
  <c r="A15648" i="1"/>
  <c r="C15648" i="1"/>
  <c r="N15648" i="1"/>
  <c r="A15649" i="1"/>
  <c r="C15649" i="1"/>
  <c r="N15649" i="1"/>
  <c r="A15650" i="1"/>
  <c r="C15650" i="1"/>
  <c r="N15650" i="1"/>
  <c r="A15651" i="1"/>
  <c r="C15651" i="1"/>
  <c r="N15651" i="1"/>
  <c r="A15652" i="1"/>
  <c r="C15652" i="1"/>
  <c r="F15652" i="1"/>
  <c r="N15652" i="1"/>
  <c r="A15653" i="1"/>
  <c r="C15653" i="1"/>
  <c r="N15653" i="1"/>
  <c r="A15654" i="1"/>
  <c r="C15654" i="1"/>
  <c r="N15654" i="1"/>
  <c r="A15655" i="1"/>
  <c r="C15655" i="1"/>
  <c r="N15655" i="1"/>
  <c r="A15656" i="1"/>
  <c r="C15656" i="1"/>
  <c r="N15656" i="1"/>
  <c r="A15657" i="1"/>
  <c r="C15657" i="1"/>
  <c r="N15657" i="1"/>
  <c r="A15658" i="1"/>
  <c r="C15658" i="1"/>
  <c r="N15658" i="1"/>
  <c r="A15659" i="1"/>
  <c r="C15659" i="1"/>
  <c r="N15659" i="1"/>
  <c r="A15660" i="1"/>
  <c r="C15660" i="1"/>
  <c r="K15660" i="1"/>
  <c r="N15660" i="1"/>
  <c r="A15661" i="1"/>
  <c r="C15661" i="1"/>
  <c r="K15661" i="1"/>
  <c r="N15661" i="1"/>
  <c r="A15662" i="1"/>
  <c r="C15662" i="1"/>
  <c r="N15662" i="1"/>
  <c r="A15663" i="1"/>
  <c r="C15663" i="1"/>
  <c r="N15663" i="1"/>
  <c r="A15664" i="1"/>
  <c r="C15664" i="1"/>
  <c r="N15664" i="1"/>
  <c r="A15665" i="1"/>
  <c r="C15665" i="1"/>
  <c r="N15665" i="1"/>
  <c r="A15666" i="1"/>
  <c r="C15666" i="1"/>
  <c r="K15666" i="1"/>
  <c r="N15666" i="1"/>
  <c r="A15667" i="1"/>
  <c r="C15667" i="1"/>
  <c r="N15667" i="1"/>
  <c r="A15668" i="1"/>
  <c r="C15668" i="1"/>
  <c r="N15668" i="1"/>
  <c r="A15669" i="1"/>
  <c r="C15669" i="1"/>
  <c r="N15669" i="1"/>
  <c r="A15670" i="1"/>
  <c r="C15670" i="1"/>
  <c r="N15670" i="1"/>
  <c r="A15671" i="1"/>
  <c r="C15671" i="1"/>
  <c r="K15671" i="1"/>
  <c r="N15671" i="1"/>
  <c r="A15672" i="1"/>
  <c r="C15672" i="1"/>
  <c r="N15672" i="1"/>
  <c r="A15673" i="1"/>
  <c r="C15673" i="1"/>
  <c r="N15673" i="1"/>
  <c r="A15674" i="1"/>
  <c r="C15674" i="1"/>
  <c r="N15674" i="1"/>
  <c r="A15675" i="1"/>
  <c r="C15675" i="1"/>
  <c r="N15675" i="1"/>
  <c r="A15676" i="1"/>
  <c r="C15676" i="1"/>
  <c r="N15676" i="1"/>
  <c r="A15677" i="1"/>
  <c r="C15677" i="1"/>
  <c r="N15677" i="1"/>
  <c r="A15678" i="1"/>
  <c r="C15678" i="1"/>
  <c r="N15678" i="1"/>
  <c r="A15679" i="1"/>
  <c r="C15679" i="1"/>
  <c r="N15679" i="1"/>
  <c r="A15680" i="1"/>
  <c r="C15680" i="1"/>
  <c r="D15680" i="1"/>
  <c r="E15680" i="1"/>
  <c r="N15680" i="1"/>
  <c r="O15680" i="1"/>
  <c r="T15680" i="1"/>
  <c r="A15681" i="1"/>
  <c r="C15681" i="1"/>
  <c r="K15681" i="1"/>
  <c r="N15681" i="1"/>
  <c r="A15682" i="1"/>
  <c r="C15682" i="1"/>
  <c r="N15682" i="1"/>
  <c r="A15683" i="1"/>
  <c r="C15683" i="1"/>
  <c r="N15683" i="1"/>
  <c r="A15684" i="1"/>
  <c r="C15684" i="1"/>
  <c r="N15684" i="1"/>
  <c r="A15685" i="1"/>
  <c r="C15685" i="1"/>
  <c r="N15685" i="1"/>
  <c r="A15686" i="1"/>
  <c r="C15686" i="1"/>
  <c r="N15686" i="1"/>
  <c r="A15687" i="1"/>
  <c r="C15687" i="1"/>
  <c r="N15687" i="1"/>
  <c r="A15688" i="1"/>
  <c r="C15688" i="1"/>
  <c r="N15688" i="1"/>
  <c r="A15689" i="1"/>
  <c r="C15689" i="1"/>
  <c r="N15689" i="1"/>
  <c r="A15690" i="1"/>
  <c r="C15690" i="1"/>
  <c r="N15690" i="1"/>
  <c r="A15691" i="1"/>
  <c r="C15691" i="1"/>
  <c r="K15691" i="1"/>
  <c r="N15691" i="1"/>
  <c r="A15692" i="1"/>
  <c r="C15692" i="1"/>
  <c r="K15692" i="1"/>
  <c r="N15692" i="1"/>
  <c r="A15693" i="1"/>
  <c r="C15693" i="1"/>
  <c r="E15693" i="1"/>
  <c r="K15693" i="1"/>
  <c r="N15693" i="1"/>
  <c r="T15693" i="1"/>
  <c r="A15694" i="1"/>
  <c r="C15694" i="1"/>
  <c r="N15694" i="1"/>
  <c r="A15695" i="1"/>
  <c r="C15695" i="1"/>
  <c r="N15695" i="1"/>
  <c r="A15696" i="1"/>
  <c r="C15696" i="1"/>
  <c r="N15696" i="1"/>
  <c r="A15697" i="1"/>
  <c r="C15697" i="1"/>
  <c r="N15697" i="1"/>
  <c r="A15698" i="1"/>
  <c r="C15698" i="1"/>
  <c r="N15698" i="1"/>
  <c r="A15699" i="1"/>
  <c r="C15699" i="1"/>
  <c r="N15699" i="1"/>
  <c r="A15700" i="1"/>
  <c r="C15700" i="1"/>
  <c r="N15700" i="1"/>
  <c r="A15701" i="1"/>
  <c r="C15701" i="1"/>
  <c r="N15701" i="1"/>
  <c r="A15702" i="1"/>
  <c r="C15702" i="1"/>
  <c r="N15702" i="1"/>
  <c r="A15703" i="1"/>
  <c r="C15703" i="1"/>
  <c r="N15703" i="1"/>
  <c r="A15704" i="1"/>
  <c r="C15704" i="1"/>
  <c r="N15704" i="1"/>
  <c r="A15705" i="1"/>
  <c r="C15705" i="1"/>
  <c r="N15705" i="1"/>
  <c r="A15706" i="1"/>
  <c r="C15706" i="1"/>
  <c r="N15706" i="1"/>
  <c r="A15707" i="1"/>
  <c r="C15707" i="1"/>
  <c r="K15707" i="1"/>
  <c r="N15707" i="1"/>
  <c r="A15708" i="1"/>
  <c r="C15708" i="1"/>
  <c r="N15708" i="1"/>
  <c r="A15709" i="1"/>
  <c r="C15709" i="1"/>
  <c r="N15709" i="1"/>
  <c r="A15710" i="1"/>
  <c r="C15710" i="1"/>
  <c r="N15710" i="1"/>
  <c r="A15711" i="1"/>
  <c r="C15711" i="1"/>
  <c r="N15711" i="1"/>
  <c r="A15712" i="1"/>
  <c r="C15712" i="1"/>
  <c r="N15712" i="1"/>
  <c r="A15713" i="1"/>
  <c r="C15713" i="1"/>
  <c r="N15713" i="1"/>
  <c r="A15714" i="1"/>
  <c r="C15714" i="1"/>
  <c r="K15714" i="1"/>
  <c r="N15714" i="1"/>
  <c r="A15715" i="1"/>
  <c r="C15715" i="1"/>
  <c r="N15715" i="1"/>
  <c r="A15716" i="1"/>
  <c r="C15716" i="1"/>
  <c r="N15716" i="1"/>
  <c r="A15717" i="1"/>
  <c r="C15717" i="1"/>
  <c r="N15717" i="1"/>
  <c r="A15718" i="1"/>
  <c r="C15718" i="1"/>
  <c r="N15718" i="1"/>
  <c r="A15719" i="1"/>
  <c r="C15719" i="1"/>
  <c r="N15719" i="1"/>
  <c r="A15720" i="1"/>
  <c r="C15720" i="1"/>
  <c r="N15720" i="1"/>
  <c r="A15721" i="1"/>
  <c r="C15721" i="1"/>
  <c r="N15721" i="1"/>
  <c r="A15722" i="1"/>
  <c r="C15722" i="1"/>
  <c r="K15722" i="1"/>
  <c r="N15722" i="1"/>
  <c r="A15723" i="1"/>
  <c r="C15723" i="1"/>
  <c r="K15723" i="1"/>
  <c r="N15723" i="1"/>
  <c r="A15724" i="1"/>
  <c r="C15724" i="1"/>
  <c r="K15724" i="1"/>
  <c r="N15724" i="1"/>
  <c r="A15725" i="1"/>
  <c r="C15725" i="1"/>
  <c r="K15725" i="1"/>
  <c r="N15725" i="1"/>
  <c r="A15726" i="1"/>
  <c r="C15726" i="1"/>
  <c r="K15726" i="1"/>
  <c r="N15726" i="1"/>
  <c r="A15727" i="1"/>
  <c r="C15727" i="1"/>
  <c r="N15727" i="1"/>
  <c r="A15728" i="1"/>
  <c r="C15728" i="1"/>
  <c r="N15728" i="1"/>
  <c r="A15729" i="1"/>
  <c r="C15729" i="1"/>
  <c r="N15729" i="1"/>
  <c r="A15730" i="1"/>
  <c r="C15730" i="1"/>
  <c r="N15730" i="1"/>
  <c r="A15731" i="1"/>
  <c r="C15731" i="1"/>
  <c r="N15731" i="1"/>
  <c r="A15732" i="1"/>
  <c r="C15732" i="1"/>
  <c r="N15732" i="1"/>
  <c r="A15733" i="1"/>
  <c r="C15733" i="1"/>
  <c r="N15733" i="1"/>
  <c r="A15734" i="1"/>
  <c r="C15734" i="1"/>
  <c r="N15734" i="1"/>
  <c r="A15735" i="1"/>
  <c r="C15735" i="1"/>
  <c r="N15735" i="1"/>
  <c r="A15736" i="1"/>
  <c r="C15736" i="1"/>
  <c r="N15736" i="1"/>
  <c r="A15737" i="1"/>
  <c r="C15737" i="1"/>
  <c r="N15737" i="1"/>
  <c r="A15738" i="1"/>
  <c r="C15738" i="1"/>
  <c r="N15738" i="1"/>
  <c r="A15739" i="1"/>
  <c r="C15739" i="1"/>
  <c r="N15739" i="1"/>
  <c r="A15740" i="1"/>
  <c r="C15740" i="1"/>
  <c r="N15740" i="1"/>
  <c r="A15741" i="1"/>
  <c r="C15741" i="1"/>
  <c r="N15741" i="1"/>
  <c r="A15742" i="1"/>
  <c r="C15742" i="1"/>
  <c r="N15742" i="1"/>
  <c r="A15743" i="1"/>
  <c r="C15743" i="1"/>
  <c r="N15743" i="1"/>
  <c r="A15744" i="1"/>
  <c r="C15744" i="1"/>
  <c r="N15744" i="1"/>
  <c r="A15745" i="1"/>
  <c r="C15745" i="1"/>
  <c r="N15745" i="1"/>
  <c r="A15746" i="1"/>
  <c r="C15746" i="1"/>
  <c r="N15746" i="1"/>
  <c r="A15747" i="1"/>
  <c r="C15747" i="1"/>
  <c r="N15747" i="1"/>
  <c r="A15748" i="1"/>
  <c r="C15748" i="1"/>
  <c r="N15748" i="1"/>
  <c r="A15749" i="1"/>
  <c r="C15749" i="1"/>
  <c r="N15749" i="1"/>
  <c r="A15750" i="1"/>
  <c r="C15750" i="1"/>
  <c r="F15750" i="1"/>
  <c r="N15750" i="1"/>
  <c r="A15751" i="1"/>
  <c r="C15751" i="1"/>
  <c r="K15751" i="1"/>
  <c r="N15751" i="1"/>
  <c r="A15752" i="1"/>
  <c r="C15752" i="1"/>
  <c r="N15752" i="1"/>
  <c r="A15753" i="1"/>
  <c r="C15753" i="1"/>
  <c r="N15753" i="1"/>
  <c r="A15754" i="1"/>
  <c r="C15754" i="1"/>
  <c r="F15754" i="1"/>
  <c r="N15754" i="1"/>
  <c r="A15755" i="1"/>
  <c r="C15755" i="1"/>
  <c r="N15755" i="1"/>
  <c r="A15756" i="1"/>
  <c r="C15756" i="1"/>
  <c r="N15756" i="1"/>
  <c r="A15757" i="1"/>
  <c r="C15757" i="1"/>
  <c r="N15757" i="1"/>
  <c r="A15758" i="1"/>
  <c r="C15758" i="1"/>
  <c r="K15758" i="1"/>
  <c r="N15758" i="1"/>
  <c r="A15759" i="1"/>
  <c r="C15759" i="1"/>
  <c r="N15759" i="1"/>
  <c r="A15760" i="1"/>
  <c r="C15760" i="1"/>
  <c r="N15760" i="1"/>
  <c r="A15761" i="1"/>
  <c r="C15761" i="1"/>
  <c r="N15761" i="1"/>
  <c r="A15762" i="1"/>
  <c r="C15762" i="1"/>
  <c r="K15762" i="1"/>
  <c r="N15762" i="1"/>
  <c r="A15763" i="1"/>
  <c r="C15763" i="1"/>
  <c r="K15763" i="1"/>
  <c r="N15763" i="1"/>
  <c r="A15764" i="1"/>
  <c r="C15764" i="1"/>
  <c r="N15764" i="1"/>
  <c r="A15765" i="1"/>
  <c r="C15765" i="1"/>
  <c r="N15765" i="1"/>
  <c r="A15766" i="1"/>
  <c r="C15766" i="1"/>
  <c r="N15766" i="1"/>
  <c r="A15767" i="1"/>
  <c r="C15767" i="1"/>
  <c r="N15767" i="1"/>
  <c r="A15768" i="1"/>
  <c r="C15768" i="1"/>
  <c r="N15768" i="1"/>
  <c r="A15769" i="1"/>
  <c r="C15769" i="1"/>
  <c r="E15769" i="1"/>
  <c r="N15769" i="1"/>
  <c r="T15769" i="1"/>
  <c r="A15770" i="1"/>
  <c r="C15770" i="1"/>
  <c r="N15770" i="1"/>
  <c r="A15771" i="1"/>
  <c r="C15771" i="1"/>
  <c r="N15771" i="1"/>
  <c r="A15772" i="1"/>
  <c r="C15772" i="1"/>
  <c r="N15772" i="1"/>
  <c r="A15773" i="1"/>
  <c r="C15773" i="1"/>
  <c r="K15773" i="1"/>
  <c r="N15773" i="1"/>
  <c r="A15774" i="1"/>
  <c r="C15774" i="1"/>
  <c r="K15774" i="1"/>
  <c r="N15774" i="1"/>
  <c r="A15775" i="1"/>
  <c r="C15775" i="1"/>
  <c r="K15775" i="1"/>
  <c r="N15775" i="1"/>
  <c r="A15776" i="1"/>
  <c r="C15776" i="1"/>
  <c r="N15776" i="1"/>
  <c r="A15777" i="1"/>
  <c r="C15777" i="1"/>
  <c r="N15777" i="1"/>
  <c r="A15778" i="1"/>
  <c r="C15778" i="1"/>
  <c r="N15778" i="1"/>
  <c r="A15779" i="1"/>
  <c r="C15779" i="1"/>
  <c r="N15779" i="1"/>
  <c r="A15780" i="1"/>
  <c r="C15780" i="1"/>
  <c r="N15780" i="1"/>
  <c r="A15781" i="1"/>
  <c r="C15781" i="1"/>
  <c r="N15781" i="1"/>
  <c r="A15782" i="1"/>
  <c r="C15782" i="1"/>
  <c r="N15782" i="1"/>
  <c r="A15783" i="1"/>
  <c r="C15783" i="1"/>
  <c r="N15783" i="1"/>
  <c r="A15784" i="1"/>
  <c r="C15784" i="1"/>
  <c r="N15784" i="1"/>
  <c r="A15785" i="1"/>
  <c r="C15785" i="1"/>
  <c r="N15785" i="1"/>
  <c r="A15786" i="1"/>
  <c r="C15786" i="1"/>
  <c r="N15786" i="1"/>
  <c r="A15787" i="1"/>
  <c r="C15787" i="1"/>
  <c r="D15787" i="1"/>
  <c r="N15787" i="1"/>
  <c r="O15787" i="1"/>
  <c r="A15788" i="1"/>
  <c r="C15788" i="1"/>
  <c r="D15788" i="1"/>
  <c r="N15788" i="1"/>
  <c r="O15788" i="1"/>
  <c r="A15789" i="1"/>
  <c r="C15789" i="1"/>
  <c r="D15789" i="1"/>
  <c r="N15789" i="1"/>
  <c r="O15789" i="1"/>
  <c r="A15790" i="1"/>
  <c r="C15790" i="1"/>
  <c r="D15790" i="1"/>
  <c r="N15790" i="1"/>
  <c r="O15790" i="1"/>
  <c r="A15791" i="1"/>
  <c r="C15791" i="1"/>
  <c r="N15791" i="1"/>
  <c r="A15792" i="1"/>
  <c r="C15792" i="1"/>
  <c r="N15792" i="1"/>
  <c r="A15793" i="1"/>
  <c r="C15793" i="1"/>
  <c r="N15793" i="1"/>
  <c r="A15794" i="1"/>
  <c r="C15794" i="1"/>
  <c r="N15794" i="1"/>
  <c r="A15795" i="1"/>
  <c r="C15795" i="1"/>
  <c r="N15795" i="1"/>
  <c r="A15796" i="1"/>
  <c r="C15796" i="1"/>
  <c r="N15796" i="1"/>
  <c r="A15797" i="1"/>
  <c r="C15797" i="1"/>
  <c r="N15797" i="1"/>
  <c r="A15798" i="1"/>
  <c r="C15798" i="1"/>
  <c r="N15798" i="1"/>
  <c r="A15799" i="1"/>
  <c r="C15799" i="1"/>
  <c r="N15799" i="1"/>
  <c r="A15800" i="1"/>
  <c r="C15800" i="1"/>
  <c r="N15800" i="1"/>
  <c r="A15801" i="1"/>
  <c r="C15801" i="1"/>
  <c r="N15801" i="1"/>
  <c r="A15802" i="1"/>
  <c r="C15802" i="1"/>
  <c r="K15802" i="1"/>
  <c r="N15802" i="1"/>
  <c r="A15803" i="1"/>
  <c r="C15803" i="1"/>
  <c r="N15803" i="1"/>
  <c r="A15804" i="1"/>
  <c r="C15804" i="1"/>
  <c r="N15804" i="1"/>
  <c r="A15805" i="1"/>
  <c r="C15805" i="1"/>
  <c r="N15805" i="1"/>
  <c r="A15806" i="1"/>
  <c r="C15806" i="1"/>
  <c r="N15806" i="1"/>
  <c r="A15807" i="1"/>
  <c r="C15807" i="1"/>
  <c r="N15807" i="1"/>
  <c r="A15808" i="1"/>
  <c r="C15808" i="1"/>
  <c r="N15808" i="1"/>
  <c r="A15809" i="1"/>
  <c r="C15809" i="1"/>
  <c r="N15809" i="1"/>
  <c r="A15810" i="1"/>
  <c r="C15810" i="1"/>
  <c r="N15810" i="1"/>
  <c r="A15811" i="1"/>
  <c r="C15811" i="1"/>
  <c r="N15811" i="1"/>
  <c r="A15812" i="1"/>
  <c r="C15812" i="1"/>
  <c r="N15812" i="1"/>
  <c r="A15813" i="1"/>
  <c r="C15813" i="1"/>
  <c r="N15813" i="1"/>
  <c r="A15814" i="1"/>
  <c r="C15814" i="1"/>
  <c r="N15814" i="1"/>
  <c r="A15815" i="1"/>
  <c r="C15815" i="1"/>
  <c r="N15815" i="1"/>
  <c r="A15816" i="1"/>
  <c r="C15816" i="1"/>
  <c r="N15816" i="1"/>
  <c r="A15817" i="1"/>
  <c r="C15817" i="1"/>
  <c r="N15817" i="1"/>
  <c r="A15818" i="1"/>
  <c r="C15818" i="1"/>
  <c r="N15818" i="1"/>
  <c r="A15819" i="1"/>
  <c r="C15819" i="1"/>
  <c r="N15819" i="1"/>
  <c r="A15820" i="1"/>
  <c r="C15820" i="1"/>
  <c r="N15820" i="1"/>
  <c r="A15821" i="1"/>
  <c r="C15821" i="1"/>
  <c r="D15821" i="1"/>
  <c r="K15821" i="1"/>
  <c r="N15821" i="1"/>
  <c r="O15821" i="1"/>
  <c r="A15822" i="1"/>
  <c r="C15822" i="1"/>
  <c r="N15822" i="1"/>
  <c r="A15823" i="1"/>
  <c r="C15823" i="1"/>
  <c r="N15823" i="1"/>
  <c r="A15824" i="1"/>
  <c r="C15824" i="1"/>
  <c r="N15824" i="1"/>
  <c r="A15825" i="1"/>
  <c r="C15825" i="1"/>
  <c r="N15825" i="1"/>
  <c r="A15826" i="1"/>
  <c r="C15826" i="1"/>
  <c r="K15826" i="1"/>
  <c r="N15826" i="1"/>
  <c r="A15827" i="1"/>
  <c r="C15827" i="1"/>
  <c r="K15827" i="1"/>
  <c r="N15827" i="1"/>
  <c r="A15828" i="1"/>
  <c r="C15828" i="1"/>
  <c r="K15828" i="1"/>
  <c r="N15828" i="1"/>
  <c r="A15829" i="1"/>
  <c r="C15829" i="1"/>
  <c r="K15829" i="1"/>
  <c r="N15829" i="1"/>
  <c r="A15830" i="1"/>
  <c r="C15830" i="1"/>
  <c r="K15830" i="1"/>
  <c r="N15830" i="1"/>
  <c r="A15831" i="1"/>
  <c r="C15831" i="1"/>
  <c r="N15831" i="1"/>
  <c r="A15832" i="1"/>
  <c r="C15832" i="1"/>
  <c r="N15832" i="1"/>
  <c r="A15833" i="1"/>
  <c r="C15833" i="1"/>
  <c r="N15833" i="1"/>
  <c r="A15834" i="1"/>
  <c r="C15834" i="1"/>
  <c r="K15834" i="1"/>
  <c r="N15834" i="1"/>
  <c r="A15835" i="1"/>
  <c r="C15835" i="1"/>
  <c r="N15835" i="1"/>
  <c r="A15836" i="1"/>
  <c r="C15836" i="1"/>
  <c r="N15836" i="1"/>
  <c r="A15837" i="1"/>
  <c r="C15837" i="1"/>
  <c r="K15837" i="1"/>
  <c r="N15837" i="1"/>
  <c r="A15838" i="1"/>
  <c r="C15838" i="1"/>
  <c r="N15838" i="1"/>
  <c r="A15839" i="1"/>
  <c r="C15839" i="1"/>
  <c r="N15839" i="1"/>
  <c r="A15840" i="1"/>
  <c r="C15840" i="1"/>
  <c r="N15840" i="1"/>
  <c r="A15841" i="1"/>
  <c r="C15841" i="1"/>
  <c r="N15841" i="1"/>
  <c r="A15842" i="1"/>
  <c r="C15842" i="1"/>
  <c r="E15842" i="1"/>
  <c r="N15842" i="1"/>
  <c r="T15842" i="1"/>
  <c r="A15843" i="1"/>
  <c r="C15843" i="1"/>
  <c r="N15843" i="1"/>
  <c r="A15844" i="1"/>
  <c r="C15844" i="1"/>
  <c r="N15844" i="1"/>
  <c r="A15845" i="1"/>
  <c r="C15845" i="1"/>
  <c r="N15845" i="1"/>
  <c r="A15846" i="1"/>
  <c r="C15846" i="1"/>
  <c r="N15846" i="1"/>
  <c r="A15847" i="1"/>
  <c r="C15847" i="1"/>
  <c r="N15847" i="1"/>
  <c r="A15848" i="1"/>
  <c r="C15848" i="1"/>
  <c r="N15848" i="1"/>
  <c r="A15849" i="1"/>
  <c r="C15849" i="1"/>
  <c r="N15849" i="1"/>
  <c r="A15850" i="1"/>
  <c r="C15850" i="1"/>
  <c r="N15850" i="1"/>
  <c r="A15851" i="1"/>
  <c r="C15851" i="1"/>
  <c r="N15851" i="1"/>
  <c r="A15852" i="1"/>
  <c r="C15852" i="1"/>
  <c r="N15852" i="1"/>
  <c r="A15853" i="1"/>
  <c r="C15853" i="1"/>
  <c r="N15853" i="1"/>
  <c r="A15854" i="1"/>
  <c r="C15854" i="1"/>
  <c r="N15854" i="1"/>
  <c r="A15855" i="1"/>
  <c r="C15855" i="1"/>
  <c r="N15855" i="1"/>
  <c r="A15856" i="1"/>
  <c r="C15856" i="1"/>
  <c r="N15856" i="1"/>
  <c r="A15857" i="1"/>
  <c r="C15857" i="1"/>
  <c r="N15857" i="1"/>
  <c r="A15858" i="1"/>
  <c r="C15858" i="1"/>
  <c r="N15858" i="1"/>
  <c r="A15859" i="1"/>
  <c r="C15859" i="1"/>
  <c r="D15859" i="1"/>
  <c r="K15859" i="1"/>
  <c r="N15859" i="1"/>
  <c r="O15859" i="1"/>
  <c r="A15860" i="1"/>
  <c r="C15860" i="1"/>
  <c r="N15860" i="1"/>
  <c r="A15861" i="1"/>
  <c r="C15861" i="1"/>
  <c r="K15861" i="1"/>
  <c r="N15861" i="1"/>
  <c r="A15862" i="1"/>
  <c r="C15862" i="1"/>
  <c r="N15862" i="1"/>
  <c r="A15863" i="1"/>
  <c r="C15863" i="1"/>
  <c r="K15863" i="1"/>
  <c r="N15863" i="1"/>
  <c r="A15864" i="1"/>
  <c r="C15864" i="1"/>
  <c r="N15864" i="1"/>
  <c r="A15865" i="1"/>
  <c r="C15865" i="1"/>
  <c r="N15865" i="1"/>
  <c r="A15866" i="1"/>
  <c r="C15866" i="1"/>
  <c r="N15866" i="1"/>
  <c r="A15867" i="1"/>
  <c r="C15867" i="1"/>
  <c r="N15867" i="1"/>
  <c r="A15868" i="1"/>
  <c r="C15868" i="1"/>
  <c r="D15868" i="1"/>
  <c r="N15868" i="1"/>
  <c r="O15868" i="1"/>
  <c r="A15869" i="1"/>
  <c r="C15869" i="1"/>
  <c r="N15869" i="1"/>
  <c r="A15870" i="1"/>
  <c r="C15870" i="1"/>
  <c r="N15870" i="1"/>
  <c r="A15871" i="1"/>
  <c r="C15871" i="1"/>
  <c r="N15871" i="1"/>
  <c r="A15872" i="1"/>
  <c r="C15872" i="1"/>
  <c r="N15872" i="1"/>
  <c r="A15873" i="1"/>
  <c r="C15873" i="1"/>
  <c r="N15873" i="1"/>
  <c r="A15874" i="1"/>
  <c r="C15874" i="1"/>
  <c r="N15874" i="1"/>
  <c r="A15875" i="1"/>
  <c r="C15875" i="1"/>
  <c r="N15875" i="1"/>
  <c r="A15876" i="1"/>
  <c r="C15876" i="1"/>
  <c r="N15876" i="1"/>
  <c r="A15877" i="1"/>
  <c r="C15877" i="1"/>
  <c r="N15877" i="1"/>
  <c r="A15878" i="1"/>
  <c r="C15878" i="1"/>
  <c r="N15878" i="1"/>
  <c r="A15879" i="1"/>
  <c r="C15879" i="1"/>
  <c r="N15879" i="1"/>
  <c r="A15880" i="1"/>
  <c r="C15880" i="1"/>
  <c r="N15880" i="1"/>
  <c r="A15881" i="1"/>
  <c r="C15881" i="1"/>
  <c r="N15881" i="1"/>
  <c r="A15882" i="1"/>
  <c r="C15882" i="1"/>
  <c r="K15882" i="1"/>
  <c r="N15882" i="1"/>
  <c r="A15883" i="1"/>
  <c r="C15883" i="1"/>
  <c r="N15883" i="1"/>
  <c r="A15884" i="1"/>
  <c r="C15884" i="1"/>
  <c r="N15884" i="1"/>
  <c r="A15885" i="1"/>
  <c r="C15885" i="1"/>
  <c r="N15885" i="1"/>
  <c r="A15886" i="1"/>
  <c r="C15886" i="1"/>
  <c r="N15886" i="1"/>
  <c r="A15887" i="1"/>
  <c r="C15887" i="1"/>
  <c r="N15887" i="1"/>
  <c r="A15888" i="1"/>
  <c r="C15888" i="1"/>
  <c r="N15888" i="1"/>
  <c r="A15889" i="1"/>
  <c r="C15889" i="1"/>
  <c r="K15889" i="1"/>
  <c r="N15889" i="1"/>
  <c r="A15890" i="1"/>
  <c r="C15890" i="1"/>
  <c r="N15890" i="1"/>
  <c r="A15891" i="1"/>
  <c r="C15891" i="1"/>
  <c r="N15891" i="1"/>
  <c r="A15892" i="1"/>
  <c r="C15892" i="1"/>
  <c r="N15892" i="1"/>
  <c r="A15893" i="1"/>
  <c r="C15893" i="1"/>
  <c r="N15893" i="1"/>
  <c r="A15894" i="1"/>
  <c r="C15894" i="1"/>
  <c r="N15894" i="1"/>
  <c r="A15895" i="1"/>
  <c r="C15895" i="1"/>
  <c r="K15895" i="1"/>
  <c r="N15895" i="1"/>
  <c r="A15896" i="1"/>
  <c r="C15896" i="1"/>
  <c r="N15896" i="1"/>
  <c r="A15897" i="1"/>
  <c r="C15897" i="1"/>
  <c r="N15897" i="1"/>
  <c r="A15898" i="1"/>
  <c r="C15898" i="1"/>
  <c r="N15898" i="1"/>
  <c r="A15899" i="1"/>
  <c r="C15899" i="1"/>
  <c r="N15899" i="1"/>
  <c r="A15900" i="1"/>
  <c r="C15900" i="1"/>
  <c r="N15900" i="1"/>
  <c r="A15901" i="1"/>
  <c r="C15901" i="1"/>
  <c r="N15901" i="1"/>
  <c r="A15902" i="1"/>
  <c r="C15902" i="1"/>
  <c r="N15902" i="1"/>
  <c r="A15903" i="1"/>
  <c r="C15903" i="1"/>
  <c r="N15903" i="1"/>
  <c r="A15904" i="1"/>
  <c r="C15904" i="1"/>
  <c r="N15904" i="1"/>
  <c r="A15905" i="1"/>
  <c r="C15905" i="1"/>
  <c r="N15905" i="1"/>
  <c r="A15906" i="1"/>
  <c r="C15906" i="1"/>
  <c r="N15906" i="1"/>
  <c r="A15907" i="1"/>
  <c r="C15907" i="1"/>
  <c r="N15907" i="1"/>
  <c r="A15908" i="1"/>
  <c r="C15908" i="1"/>
  <c r="N15908" i="1"/>
  <c r="A15909" i="1"/>
  <c r="C15909" i="1"/>
  <c r="N15909" i="1"/>
  <c r="A15910" i="1"/>
  <c r="C15910" i="1"/>
  <c r="N15910" i="1"/>
  <c r="A15911" i="1"/>
  <c r="C15911" i="1"/>
  <c r="N15911" i="1"/>
  <c r="A15912" i="1"/>
  <c r="C15912" i="1"/>
  <c r="N15912" i="1"/>
  <c r="A15913" i="1"/>
  <c r="C15913" i="1"/>
  <c r="N15913" i="1"/>
  <c r="A15914" i="1"/>
  <c r="C15914" i="1"/>
  <c r="N15914" i="1"/>
  <c r="A15915" i="1"/>
  <c r="C15915" i="1"/>
  <c r="N15915" i="1"/>
  <c r="A15916" i="1"/>
  <c r="C15916" i="1"/>
  <c r="N15916" i="1"/>
  <c r="A15917" i="1"/>
  <c r="C15917" i="1"/>
  <c r="N15917" i="1"/>
  <c r="A15918" i="1"/>
  <c r="C15918" i="1"/>
  <c r="N15918" i="1"/>
  <c r="A15919" i="1"/>
  <c r="C15919" i="1"/>
  <c r="N15919" i="1"/>
  <c r="A15920" i="1"/>
  <c r="C15920" i="1"/>
  <c r="K15920" i="1"/>
  <c r="N15920" i="1"/>
  <c r="A15921" i="1"/>
  <c r="C15921" i="1"/>
  <c r="N15921" i="1"/>
  <c r="A15922" i="1"/>
  <c r="C15922" i="1"/>
  <c r="N15922" i="1"/>
  <c r="A15923" i="1"/>
  <c r="C15923" i="1"/>
  <c r="N15923" i="1"/>
  <c r="A15924" i="1"/>
  <c r="C15924" i="1"/>
  <c r="N15924" i="1"/>
  <c r="A15925" i="1"/>
  <c r="C15925" i="1"/>
  <c r="K15925" i="1"/>
  <c r="N15925" i="1"/>
  <c r="A15926" i="1"/>
  <c r="C15926" i="1"/>
  <c r="N15926" i="1"/>
  <c r="A15927" i="1"/>
  <c r="C15927" i="1"/>
  <c r="K15927" i="1"/>
  <c r="N15927" i="1"/>
  <c r="A15928" i="1"/>
  <c r="C15928" i="1"/>
  <c r="K15928" i="1"/>
  <c r="N15928" i="1"/>
  <c r="A15929" i="1"/>
  <c r="C15929" i="1"/>
  <c r="N15929" i="1"/>
  <c r="A15930" i="1"/>
  <c r="C15930" i="1"/>
  <c r="N15930" i="1"/>
  <c r="A15931" i="1"/>
  <c r="C15931" i="1"/>
  <c r="N15931" i="1"/>
  <c r="A15932" i="1"/>
  <c r="C15932" i="1"/>
  <c r="N15932" i="1"/>
  <c r="A15933" i="1"/>
  <c r="C15933" i="1"/>
  <c r="K15933" i="1"/>
  <c r="N15933" i="1"/>
  <c r="A15934" i="1"/>
  <c r="C15934" i="1"/>
  <c r="N15934" i="1"/>
  <c r="A15935" i="1"/>
  <c r="C15935" i="1"/>
  <c r="N15935" i="1"/>
  <c r="A15936" i="1"/>
  <c r="C15936" i="1"/>
  <c r="N15936" i="1"/>
  <c r="A15937" i="1"/>
  <c r="C15937" i="1"/>
  <c r="N15937" i="1"/>
  <c r="A15938" i="1"/>
  <c r="C15938" i="1"/>
  <c r="N15938" i="1"/>
  <c r="A15939" i="1"/>
  <c r="C15939" i="1"/>
  <c r="N15939" i="1"/>
  <c r="A15940" i="1"/>
  <c r="C15940" i="1"/>
  <c r="N15940" i="1"/>
  <c r="A15941" i="1"/>
  <c r="C15941" i="1"/>
  <c r="N15941" i="1"/>
  <c r="A15942" i="1"/>
  <c r="C15942" i="1"/>
  <c r="N15942" i="1"/>
  <c r="A15943" i="1"/>
  <c r="C15943" i="1"/>
  <c r="N15943" i="1"/>
  <c r="A15944" i="1"/>
  <c r="C15944" i="1"/>
  <c r="N15944" i="1"/>
  <c r="A15945" i="1"/>
  <c r="C15945" i="1"/>
  <c r="N15945" i="1"/>
  <c r="A15946" i="1"/>
  <c r="C15946" i="1"/>
  <c r="N15946" i="1"/>
  <c r="A15947" i="1"/>
  <c r="C15947" i="1"/>
  <c r="N15947" i="1"/>
  <c r="A15948" i="1"/>
  <c r="C15948" i="1"/>
  <c r="N15948" i="1"/>
  <c r="A15949" i="1"/>
  <c r="C15949" i="1"/>
  <c r="N15949" i="1"/>
  <c r="A15950" i="1"/>
  <c r="C15950" i="1"/>
  <c r="N15950" i="1"/>
  <c r="A15951" i="1"/>
  <c r="C15951" i="1"/>
  <c r="N15951" i="1"/>
  <c r="A15952" i="1"/>
  <c r="C15952" i="1"/>
  <c r="N15952" i="1"/>
  <c r="A15953" i="1"/>
  <c r="C15953" i="1"/>
  <c r="N15953" i="1"/>
  <c r="A15954" i="1"/>
  <c r="C15954" i="1"/>
  <c r="N15954" i="1"/>
  <c r="A15955" i="1"/>
  <c r="C15955" i="1"/>
  <c r="N15955" i="1"/>
  <c r="A15956" i="1"/>
  <c r="C15956" i="1"/>
  <c r="N15956" i="1"/>
  <c r="A15957" i="1"/>
  <c r="C15957" i="1"/>
  <c r="N15957" i="1"/>
  <c r="A15958" i="1"/>
  <c r="C15958" i="1"/>
  <c r="N15958" i="1"/>
  <c r="A15959" i="1"/>
  <c r="C15959" i="1"/>
  <c r="N15959" i="1"/>
  <c r="A15960" i="1"/>
  <c r="C15960" i="1"/>
  <c r="N15960" i="1"/>
  <c r="A15961" i="1"/>
  <c r="C15961" i="1"/>
  <c r="N15961" i="1"/>
  <c r="A15962" i="1"/>
  <c r="C15962" i="1"/>
  <c r="N15962" i="1"/>
  <c r="A15963" i="1"/>
  <c r="C15963" i="1"/>
  <c r="N15963" i="1"/>
  <c r="A15964" i="1"/>
  <c r="C15964" i="1"/>
  <c r="N15964" i="1"/>
  <c r="A15965" i="1"/>
  <c r="C15965" i="1"/>
  <c r="N15965" i="1"/>
  <c r="A15966" i="1"/>
  <c r="C15966" i="1"/>
  <c r="N15966" i="1"/>
  <c r="A15967" i="1"/>
  <c r="C15967" i="1"/>
  <c r="N15967" i="1"/>
  <c r="A15968" i="1"/>
  <c r="C15968" i="1"/>
  <c r="N15968" i="1"/>
  <c r="A15969" i="1"/>
  <c r="C15969" i="1"/>
  <c r="N15969" i="1"/>
  <c r="A15970" i="1"/>
  <c r="C15970" i="1"/>
  <c r="N15970" i="1"/>
  <c r="A15971" i="1"/>
  <c r="C15971" i="1"/>
  <c r="N15971" i="1"/>
  <c r="A15972" i="1"/>
  <c r="C15972" i="1"/>
  <c r="N15972" i="1"/>
  <c r="A15973" i="1"/>
  <c r="C15973" i="1"/>
  <c r="N15973" i="1"/>
  <c r="A15974" i="1"/>
  <c r="C15974" i="1"/>
  <c r="N15974" i="1"/>
  <c r="A15975" i="1"/>
  <c r="C15975" i="1"/>
  <c r="N15975" i="1"/>
  <c r="A15976" i="1"/>
  <c r="C15976" i="1"/>
  <c r="N15976" i="1"/>
  <c r="A15977" i="1"/>
  <c r="C15977" i="1"/>
  <c r="N15977" i="1"/>
  <c r="A15978" i="1"/>
  <c r="C15978" i="1"/>
  <c r="N15978" i="1"/>
  <c r="A15979" i="1"/>
  <c r="C15979" i="1"/>
  <c r="N15979" i="1"/>
  <c r="A15980" i="1"/>
  <c r="C15980" i="1"/>
  <c r="N15980" i="1"/>
  <c r="A15981" i="1"/>
  <c r="C15981" i="1"/>
  <c r="N15981" i="1"/>
  <c r="A15982" i="1"/>
  <c r="C15982" i="1"/>
  <c r="E15982" i="1"/>
  <c r="N15982" i="1"/>
  <c r="T15982" i="1"/>
  <c r="A15983" i="1"/>
  <c r="C15983" i="1"/>
  <c r="N15983" i="1"/>
  <c r="A15984" i="1"/>
  <c r="C15984" i="1"/>
  <c r="N15984" i="1"/>
  <c r="A15985" i="1"/>
  <c r="C15985" i="1"/>
  <c r="N15985" i="1"/>
  <c r="A15986" i="1"/>
  <c r="C15986" i="1"/>
  <c r="N15986" i="1"/>
  <c r="A15987" i="1"/>
  <c r="C15987" i="1"/>
  <c r="N15987" i="1"/>
  <c r="A15988" i="1"/>
  <c r="C15988" i="1"/>
  <c r="N15988" i="1"/>
  <c r="A15989" i="1"/>
  <c r="C15989" i="1"/>
  <c r="N15989" i="1"/>
  <c r="A15990" i="1"/>
  <c r="C15990" i="1"/>
  <c r="K15990" i="1"/>
  <c r="N15990" i="1"/>
  <c r="A15991" i="1"/>
  <c r="C15991" i="1"/>
  <c r="N15991" i="1"/>
  <c r="A15992" i="1"/>
  <c r="C15992" i="1"/>
  <c r="N15992" i="1"/>
  <c r="A15993" i="1"/>
  <c r="C15993" i="1"/>
  <c r="N15993" i="1"/>
  <c r="A15994" i="1"/>
  <c r="C15994" i="1"/>
  <c r="N15994" i="1"/>
  <c r="A15995" i="1"/>
  <c r="C15995" i="1"/>
  <c r="N15995" i="1"/>
  <c r="A15996" i="1"/>
  <c r="C15996" i="1"/>
  <c r="N15996" i="1"/>
  <c r="A15997" i="1"/>
  <c r="C15997" i="1"/>
  <c r="N15997" i="1"/>
  <c r="A15998" i="1"/>
  <c r="C15998" i="1"/>
  <c r="N15998" i="1"/>
  <c r="A15999" i="1"/>
  <c r="C15999" i="1"/>
  <c r="N15999" i="1"/>
  <c r="A16000" i="1"/>
  <c r="C16000" i="1"/>
  <c r="N16000" i="1"/>
  <c r="A16001" i="1"/>
  <c r="C16001" i="1"/>
  <c r="N16001" i="1"/>
  <c r="A16002" i="1"/>
  <c r="C16002" i="1"/>
  <c r="N16002" i="1"/>
  <c r="A16003" i="1"/>
  <c r="C16003" i="1"/>
  <c r="N16003" i="1"/>
  <c r="A16004" i="1"/>
  <c r="C16004" i="1"/>
  <c r="N16004" i="1"/>
  <c r="A16005" i="1"/>
  <c r="C16005" i="1"/>
  <c r="N16005" i="1"/>
  <c r="A16006" i="1"/>
  <c r="C16006" i="1"/>
  <c r="N16006" i="1"/>
  <c r="A16007" i="1"/>
  <c r="C16007" i="1"/>
  <c r="N16007" i="1"/>
  <c r="A16008" i="1"/>
  <c r="C16008" i="1"/>
  <c r="N16008" i="1"/>
  <c r="A16009" i="1"/>
  <c r="C16009" i="1"/>
  <c r="N16009" i="1"/>
  <c r="A16010" i="1"/>
  <c r="C16010" i="1"/>
  <c r="N16010" i="1"/>
  <c r="A16011" i="1"/>
  <c r="C16011" i="1"/>
  <c r="N16011" i="1"/>
  <c r="A16012" i="1"/>
  <c r="C16012" i="1"/>
  <c r="N16012" i="1"/>
  <c r="A16013" i="1"/>
  <c r="C16013" i="1"/>
  <c r="N16013" i="1"/>
  <c r="A16014" i="1"/>
  <c r="C16014" i="1"/>
  <c r="N16014" i="1"/>
  <c r="A16015" i="1"/>
  <c r="C16015" i="1"/>
  <c r="N16015" i="1"/>
  <c r="A16016" i="1"/>
  <c r="C16016" i="1"/>
  <c r="N16016" i="1"/>
  <c r="A16017" i="1"/>
  <c r="C16017" i="1"/>
  <c r="N16017" i="1"/>
  <c r="A16018" i="1"/>
  <c r="C16018" i="1"/>
  <c r="N16018" i="1"/>
  <c r="A16019" i="1"/>
  <c r="C16019" i="1"/>
  <c r="N16019" i="1"/>
  <c r="A16020" i="1"/>
  <c r="C16020" i="1"/>
  <c r="N16020" i="1"/>
  <c r="A16021" i="1"/>
  <c r="C16021" i="1"/>
  <c r="N16021" i="1"/>
  <c r="A16022" i="1"/>
  <c r="C16022" i="1"/>
  <c r="N16022" i="1"/>
  <c r="A16023" i="1"/>
  <c r="C16023" i="1"/>
  <c r="N16023" i="1"/>
  <c r="A16024" i="1"/>
  <c r="C16024" i="1"/>
  <c r="K16024" i="1"/>
  <c r="N16024" i="1"/>
  <c r="A16025" i="1"/>
  <c r="C16025" i="1"/>
  <c r="N16025" i="1"/>
  <c r="A16026" i="1"/>
  <c r="C16026" i="1"/>
  <c r="N16026" i="1"/>
  <c r="A16027" i="1"/>
  <c r="C16027" i="1"/>
  <c r="N16027" i="1"/>
  <c r="A16028" i="1"/>
  <c r="C16028" i="1"/>
  <c r="K16028" i="1"/>
  <c r="N16028" i="1"/>
  <c r="A16029" i="1"/>
  <c r="C16029" i="1"/>
  <c r="N16029" i="1"/>
  <c r="A16030" i="1"/>
  <c r="C16030" i="1"/>
  <c r="N16030" i="1"/>
  <c r="A16031" i="1"/>
  <c r="C16031" i="1"/>
  <c r="N16031" i="1"/>
  <c r="A16032" i="1"/>
  <c r="C16032" i="1"/>
  <c r="N16032" i="1"/>
  <c r="A16033" i="1"/>
  <c r="C16033" i="1"/>
  <c r="N16033" i="1"/>
  <c r="A16034" i="1"/>
  <c r="C16034" i="1"/>
  <c r="N16034" i="1"/>
  <c r="A16035" i="1"/>
  <c r="C16035" i="1"/>
  <c r="N16035" i="1"/>
  <c r="A16036" i="1"/>
  <c r="C16036" i="1"/>
  <c r="N16036" i="1"/>
  <c r="A16037" i="1"/>
  <c r="C16037" i="1"/>
  <c r="N16037" i="1"/>
  <c r="A16038" i="1"/>
  <c r="C16038" i="1"/>
  <c r="N16038" i="1"/>
  <c r="A16039" i="1"/>
  <c r="C16039" i="1"/>
  <c r="N16039" i="1"/>
  <c r="A16040" i="1"/>
  <c r="C16040" i="1"/>
  <c r="N16040" i="1"/>
  <c r="A16041" i="1"/>
  <c r="C16041" i="1"/>
  <c r="N16041" i="1"/>
  <c r="A16042" i="1"/>
  <c r="C16042" i="1"/>
  <c r="N16042" i="1"/>
  <c r="A16043" i="1"/>
  <c r="C16043" i="1"/>
  <c r="N16043" i="1"/>
  <c r="A16044" i="1"/>
  <c r="C16044" i="1"/>
  <c r="N16044" i="1"/>
  <c r="A16045" i="1"/>
  <c r="C16045" i="1"/>
  <c r="N16045" i="1"/>
  <c r="A16046" i="1"/>
  <c r="C16046" i="1"/>
  <c r="N16046" i="1"/>
  <c r="A16047" i="1"/>
  <c r="C16047" i="1"/>
  <c r="D16047" i="1"/>
  <c r="E16047" i="1"/>
  <c r="N16047" i="1"/>
  <c r="O16047" i="1"/>
  <c r="T16047" i="1"/>
  <c r="A16048" i="1"/>
  <c r="C16048" i="1"/>
  <c r="N16048" i="1"/>
  <c r="A16049" i="1"/>
  <c r="C16049" i="1"/>
  <c r="N16049" i="1"/>
  <c r="A16050" i="1"/>
  <c r="C16050" i="1"/>
  <c r="N16050" i="1"/>
  <c r="A16051" i="1"/>
  <c r="C16051" i="1"/>
  <c r="D16051" i="1"/>
  <c r="E16051" i="1"/>
  <c r="N16051" i="1"/>
  <c r="O16051" i="1"/>
  <c r="T16051" i="1"/>
  <c r="A16052" i="1"/>
  <c r="C16052" i="1"/>
  <c r="N16052" i="1"/>
  <c r="A16053" i="1"/>
  <c r="C16053" i="1"/>
  <c r="N16053" i="1"/>
  <c r="A16054" i="1"/>
  <c r="C16054" i="1"/>
  <c r="N16054" i="1"/>
  <c r="A16055" i="1"/>
  <c r="C16055" i="1"/>
  <c r="N16055" i="1"/>
  <c r="A16056" i="1"/>
  <c r="C16056" i="1"/>
  <c r="N16056" i="1"/>
  <c r="A16057" i="1"/>
  <c r="C16057" i="1"/>
  <c r="N16057" i="1"/>
  <c r="A16058" i="1"/>
  <c r="C16058" i="1"/>
  <c r="K16058" i="1"/>
  <c r="N16058" i="1"/>
  <c r="A16059" i="1"/>
  <c r="C16059" i="1"/>
  <c r="N16059" i="1"/>
  <c r="A16060" i="1"/>
  <c r="C16060" i="1"/>
  <c r="N16060" i="1"/>
  <c r="A16061" i="1"/>
  <c r="C16061" i="1"/>
  <c r="N16061" i="1"/>
  <c r="A16062" i="1"/>
  <c r="C16062" i="1"/>
  <c r="N16062" i="1"/>
  <c r="A16063" i="1"/>
  <c r="C16063" i="1"/>
  <c r="K16063" i="1"/>
  <c r="N16063" i="1"/>
  <c r="A16064" i="1"/>
  <c r="C16064" i="1"/>
  <c r="K16064" i="1"/>
  <c r="N16064" i="1"/>
  <c r="A16065" i="1"/>
  <c r="C16065" i="1"/>
  <c r="K16065" i="1"/>
  <c r="N16065" i="1"/>
  <c r="A16066" i="1"/>
  <c r="C16066" i="1"/>
  <c r="K16066" i="1"/>
  <c r="N16066" i="1"/>
  <c r="A16067" i="1"/>
  <c r="C16067" i="1"/>
  <c r="K16067" i="1"/>
  <c r="N16067" i="1"/>
  <c r="A16068" i="1"/>
  <c r="C16068" i="1"/>
  <c r="K16068" i="1"/>
  <c r="N16068" i="1"/>
  <c r="A16069" i="1"/>
  <c r="C16069" i="1"/>
  <c r="K16069" i="1"/>
  <c r="N16069" i="1"/>
  <c r="A16070" i="1"/>
  <c r="C16070" i="1"/>
  <c r="D16070" i="1"/>
  <c r="N16070" i="1"/>
  <c r="O16070" i="1"/>
  <c r="A16071" i="1"/>
  <c r="C16071" i="1"/>
  <c r="N16071" i="1"/>
  <c r="A16072" i="1"/>
  <c r="C16072" i="1"/>
  <c r="N16072" i="1"/>
  <c r="A16073" i="1"/>
  <c r="C16073" i="1"/>
  <c r="N16073" i="1"/>
  <c r="A16074" i="1"/>
  <c r="C16074" i="1"/>
  <c r="N16074" i="1"/>
  <c r="A16075" i="1"/>
  <c r="C16075" i="1"/>
  <c r="N16075" i="1"/>
  <c r="A16076" i="1"/>
  <c r="C16076" i="1"/>
  <c r="N16076" i="1"/>
  <c r="A16077" i="1"/>
  <c r="C16077" i="1"/>
  <c r="N16077" i="1"/>
  <c r="A16078" i="1"/>
  <c r="C16078" i="1"/>
  <c r="N16078" i="1"/>
  <c r="A16079" i="1"/>
  <c r="C16079" i="1"/>
  <c r="N16079" i="1"/>
  <c r="A16080" i="1"/>
  <c r="C16080" i="1"/>
  <c r="N16080" i="1"/>
  <c r="A16081" i="1"/>
  <c r="C16081" i="1"/>
  <c r="N16081" i="1"/>
  <c r="A16082" i="1"/>
  <c r="C16082" i="1"/>
  <c r="N16082" i="1"/>
  <c r="A16083" i="1"/>
  <c r="C16083" i="1"/>
  <c r="N16083" i="1"/>
  <c r="A16084" i="1"/>
  <c r="C16084" i="1"/>
  <c r="N16084" i="1"/>
  <c r="A16085" i="1"/>
  <c r="C16085" i="1"/>
  <c r="N16085" i="1"/>
  <c r="A16086" i="1"/>
  <c r="C16086" i="1"/>
  <c r="N16086" i="1"/>
  <c r="A16087" i="1"/>
  <c r="C16087" i="1"/>
  <c r="N16087" i="1"/>
  <c r="A16088" i="1"/>
  <c r="C16088" i="1"/>
  <c r="K16088" i="1"/>
  <c r="N16088" i="1"/>
  <c r="A16089" i="1"/>
  <c r="C16089" i="1"/>
  <c r="N16089" i="1"/>
  <c r="A16090" i="1"/>
  <c r="C16090" i="1"/>
  <c r="K16090" i="1"/>
  <c r="N16090" i="1"/>
  <c r="A16091" i="1"/>
  <c r="C16091" i="1"/>
  <c r="N16091" i="1"/>
  <c r="A16092" i="1"/>
  <c r="C16092" i="1"/>
  <c r="N16092" i="1"/>
  <c r="A16093" i="1"/>
  <c r="C16093" i="1"/>
  <c r="N16093" i="1"/>
  <c r="A16094" i="1"/>
  <c r="C16094" i="1"/>
  <c r="N16094" i="1"/>
  <c r="A16095" i="1"/>
  <c r="C16095" i="1"/>
  <c r="N16095" i="1"/>
  <c r="A16096" i="1"/>
  <c r="C16096" i="1"/>
  <c r="N16096" i="1"/>
  <c r="A16097" i="1"/>
  <c r="C16097" i="1"/>
  <c r="N16097" i="1"/>
  <c r="A16098" i="1"/>
  <c r="C16098" i="1"/>
  <c r="N16098" i="1"/>
  <c r="A16099" i="1"/>
  <c r="C16099" i="1"/>
  <c r="N16099" i="1"/>
  <c r="A16100" i="1"/>
  <c r="C16100" i="1"/>
  <c r="N16100" i="1"/>
  <c r="A16101" i="1"/>
  <c r="C16101" i="1"/>
  <c r="N16101" i="1"/>
  <c r="A16102" i="1"/>
  <c r="C16102" i="1"/>
  <c r="N16102" i="1"/>
  <c r="A16103" i="1"/>
  <c r="C16103" i="1"/>
  <c r="N16103" i="1"/>
  <c r="A16104" i="1"/>
  <c r="C16104" i="1"/>
  <c r="N16104" i="1"/>
  <c r="A16105" i="1"/>
  <c r="C16105" i="1"/>
  <c r="N16105" i="1"/>
  <c r="A16106" i="1"/>
  <c r="C16106" i="1"/>
  <c r="N16106" i="1"/>
  <c r="A16107" i="1"/>
  <c r="C16107" i="1"/>
  <c r="N16107" i="1"/>
  <c r="A16108" i="1"/>
  <c r="C16108" i="1"/>
  <c r="N16108" i="1"/>
  <c r="A16109" i="1"/>
  <c r="C16109" i="1"/>
  <c r="N16109" i="1"/>
  <c r="A16110" i="1"/>
  <c r="C16110" i="1"/>
  <c r="N16110" i="1"/>
  <c r="A16111" i="1"/>
  <c r="C16111" i="1"/>
  <c r="N16111" i="1"/>
  <c r="A16112" i="1"/>
  <c r="C16112" i="1"/>
  <c r="N16112" i="1"/>
  <c r="A16113" i="1"/>
  <c r="C16113" i="1"/>
  <c r="N16113" i="1"/>
  <c r="A16114" i="1"/>
  <c r="C16114" i="1"/>
  <c r="N16114" i="1"/>
  <c r="A16115" i="1"/>
  <c r="C16115" i="1"/>
  <c r="N16115" i="1"/>
  <c r="A16116" i="1"/>
  <c r="C16116" i="1"/>
  <c r="N16116" i="1"/>
  <c r="A16117" i="1"/>
  <c r="C16117" i="1"/>
  <c r="N16117" i="1"/>
  <c r="A16118" i="1"/>
  <c r="C16118" i="1"/>
  <c r="N16118" i="1"/>
  <c r="A16119" i="1"/>
  <c r="C16119" i="1"/>
  <c r="N16119" i="1"/>
  <c r="A16120" i="1"/>
  <c r="C16120" i="1"/>
  <c r="N16120" i="1"/>
  <c r="A16121" i="1"/>
  <c r="C16121" i="1"/>
  <c r="N16121" i="1"/>
  <c r="A16122" i="1"/>
  <c r="C16122" i="1"/>
  <c r="D16122" i="1"/>
  <c r="N16122" i="1"/>
  <c r="O16122" i="1"/>
  <c r="A16123" i="1"/>
  <c r="C16123" i="1"/>
  <c r="N16123" i="1"/>
  <c r="A16124" i="1"/>
  <c r="C16124" i="1"/>
  <c r="N16124" i="1"/>
  <c r="A16125" i="1"/>
  <c r="C16125" i="1"/>
  <c r="N16125" i="1"/>
  <c r="A16126" i="1"/>
  <c r="C16126" i="1"/>
  <c r="N16126" i="1"/>
  <c r="A16127" i="1"/>
  <c r="C16127" i="1"/>
  <c r="N16127" i="1"/>
  <c r="A16128" i="1"/>
  <c r="C16128" i="1"/>
  <c r="N16128" i="1"/>
  <c r="A16129" i="1"/>
  <c r="C16129" i="1"/>
  <c r="N16129" i="1"/>
  <c r="A16130" i="1"/>
  <c r="C16130" i="1"/>
  <c r="N16130" i="1"/>
  <c r="A16131" i="1"/>
  <c r="C16131" i="1"/>
  <c r="N16131" i="1"/>
  <c r="A16132" i="1"/>
  <c r="C16132" i="1"/>
  <c r="N16132" i="1"/>
  <c r="A16133" i="1"/>
  <c r="C16133" i="1"/>
  <c r="N16133" i="1"/>
  <c r="A16134" i="1"/>
  <c r="C16134" i="1"/>
  <c r="N16134" i="1"/>
  <c r="A16135" i="1"/>
  <c r="C16135" i="1"/>
  <c r="N16135" i="1"/>
  <c r="A16136" i="1"/>
  <c r="C16136" i="1"/>
  <c r="N16136" i="1"/>
  <c r="A16137" i="1"/>
  <c r="C16137" i="1"/>
  <c r="N16137" i="1"/>
  <c r="A16138" i="1"/>
  <c r="C16138" i="1"/>
  <c r="N16138" i="1"/>
  <c r="A16139" i="1"/>
  <c r="C16139" i="1"/>
  <c r="K16139" i="1"/>
  <c r="N16139" i="1"/>
  <c r="A16140" i="1"/>
  <c r="C16140" i="1"/>
  <c r="N16140" i="1"/>
  <c r="A16141" i="1"/>
  <c r="C16141" i="1"/>
  <c r="N16141" i="1"/>
  <c r="A16142" i="1"/>
  <c r="C16142" i="1"/>
  <c r="N16142" i="1"/>
  <c r="A16143" i="1"/>
  <c r="C16143" i="1"/>
  <c r="N16143" i="1"/>
  <c r="A16144" i="1"/>
  <c r="C16144" i="1"/>
  <c r="N16144" i="1"/>
  <c r="A16145" i="1"/>
  <c r="C16145" i="1"/>
  <c r="N16145" i="1"/>
  <c r="A16146" i="1"/>
  <c r="C16146" i="1"/>
  <c r="K16146" i="1"/>
  <c r="N16146" i="1"/>
  <c r="A16147" i="1"/>
  <c r="C16147" i="1"/>
  <c r="K16147" i="1"/>
  <c r="N16147" i="1"/>
  <c r="A16148" i="1"/>
  <c r="C16148" i="1"/>
  <c r="K16148" i="1"/>
  <c r="N16148" i="1"/>
  <c r="A16149" i="1"/>
  <c r="C16149" i="1"/>
  <c r="N16149" i="1"/>
  <c r="A16150" i="1"/>
  <c r="C16150" i="1"/>
  <c r="N16150" i="1"/>
  <c r="A16151" i="1"/>
  <c r="C16151" i="1"/>
  <c r="N16151" i="1"/>
  <c r="A16152" i="1"/>
  <c r="C16152" i="1"/>
  <c r="N16152" i="1"/>
  <c r="A16153" i="1"/>
  <c r="C16153" i="1"/>
  <c r="N16153" i="1"/>
  <c r="A16154" i="1"/>
  <c r="C16154" i="1"/>
  <c r="N16154" i="1"/>
  <c r="A16155" i="1"/>
  <c r="C16155" i="1"/>
  <c r="N16155" i="1"/>
  <c r="A16156" i="1"/>
  <c r="C16156" i="1"/>
  <c r="N16156" i="1"/>
  <c r="A16157" i="1"/>
  <c r="C16157" i="1"/>
  <c r="N16157" i="1"/>
  <c r="A16158" i="1"/>
  <c r="C16158" i="1"/>
  <c r="N16158" i="1"/>
  <c r="A16159" i="1"/>
  <c r="C16159" i="1"/>
  <c r="N16159" i="1"/>
  <c r="A16160" i="1"/>
  <c r="C16160" i="1"/>
  <c r="N16160" i="1"/>
  <c r="A16161" i="1"/>
  <c r="C16161" i="1"/>
  <c r="N16161" i="1"/>
  <c r="A16162" i="1"/>
  <c r="C16162" i="1"/>
  <c r="N16162" i="1"/>
  <c r="A16163" i="1"/>
  <c r="C16163" i="1"/>
  <c r="N16163" i="1"/>
  <c r="A16164" i="1"/>
  <c r="C16164" i="1"/>
  <c r="N16164" i="1"/>
  <c r="A16165" i="1"/>
  <c r="C16165" i="1"/>
  <c r="N16165" i="1"/>
  <c r="A16166" i="1"/>
  <c r="C16166" i="1"/>
  <c r="N16166" i="1"/>
  <c r="A16167" i="1"/>
  <c r="C16167" i="1"/>
  <c r="N16167" i="1"/>
  <c r="A16168" i="1"/>
  <c r="C16168" i="1"/>
  <c r="N16168" i="1"/>
  <c r="A16169" i="1"/>
  <c r="C16169" i="1"/>
  <c r="N16169" i="1"/>
  <c r="A16170" i="1"/>
  <c r="C16170" i="1"/>
  <c r="N16170" i="1"/>
  <c r="A16171" i="1"/>
  <c r="C16171" i="1"/>
  <c r="K16171" i="1"/>
  <c r="N16171" i="1"/>
  <c r="A16172" i="1"/>
  <c r="C16172" i="1"/>
  <c r="N16172" i="1"/>
  <c r="A16173" i="1"/>
  <c r="C16173" i="1"/>
  <c r="N16173" i="1"/>
  <c r="A16174" i="1"/>
  <c r="C16174" i="1"/>
  <c r="N16174" i="1"/>
  <c r="A16175" i="1"/>
  <c r="C16175" i="1"/>
  <c r="N16175" i="1"/>
  <c r="A16176" i="1"/>
  <c r="C16176" i="1"/>
  <c r="N16176" i="1"/>
  <c r="A16177" i="1"/>
  <c r="C16177" i="1"/>
  <c r="N16177" i="1"/>
  <c r="A16178" i="1"/>
  <c r="C16178" i="1"/>
  <c r="N16178" i="1"/>
  <c r="A16179" i="1"/>
  <c r="C16179" i="1"/>
  <c r="N16179" i="1"/>
  <c r="A16180" i="1"/>
  <c r="C16180" i="1"/>
  <c r="N16180" i="1"/>
  <c r="A16181" i="1"/>
  <c r="C16181" i="1"/>
  <c r="N16181" i="1"/>
  <c r="A16182" i="1"/>
  <c r="C16182" i="1"/>
  <c r="N16182" i="1"/>
  <c r="A16183" i="1"/>
  <c r="C16183" i="1"/>
  <c r="N16183" i="1"/>
  <c r="A16184" i="1"/>
  <c r="C16184" i="1"/>
  <c r="N16184" i="1"/>
  <c r="A16185" i="1"/>
  <c r="C16185" i="1"/>
  <c r="K16185" i="1"/>
  <c r="N16185" i="1"/>
  <c r="A16186" i="1"/>
  <c r="C16186" i="1"/>
  <c r="N16186" i="1"/>
  <c r="A16187" i="1"/>
  <c r="C16187" i="1"/>
  <c r="N16187" i="1"/>
  <c r="A16188" i="1"/>
  <c r="C16188" i="1"/>
  <c r="N16188" i="1"/>
  <c r="A16189" i="1"/>
  <c r="C16189" i="1"/>
  <c r="N16189" i="1"/>
  <c r="A16190" i="1"/>
  <c r="C16190" i="1"/>
  <c r="N16190" i="1"/>
  <c r="A16191" i="1"/>
  <c r="C16191" i="1"/>
  <c r="N16191" i="1"/>
  <c r="A16192" i="1"/>
  <c r="C16192" i="1"/>
  <c r="N16192" i="1"/>
  <c r="A16193" i="1"/>
  <c r="C16193" i="1"/>
  <c r="N16193" i="1"/>
  <c r="A16194" i="1"/>
  <c r="C16194" i="1"/>
  <c r="K16194" i="1"/>
  <c r="N16194" i="1"/>
  <c r="A16195" i="1"/>
  <c r="C16195" i="1"/>
  <c r="N16195" i="1"/>
  <c r="A16196" i="1"/>
  <c r="C16196" i="1"/>
  <c r="N16196" i="1"/>
  <c r="A16197" i="1"/>
  <c r="C16197" i="1"/>
  <c r="K16197" i="1"/>
  <c r="N16197" i="1"/>
  <c r="A16198" i="1"/>
  <c r="C16198" i="1"/>
  <c r="D16198" i="1"/>
  <c r="N16198" i="1"/>
  <c r="O16198" i="1"/>
  <c r="A16199" i="1"/>
  <c r="C16199" i="1"/>
  <c r="D16199" i="1"/>
  <c r="N16199" i="1"/>
  <c r="O16199" i="1"/>
  <c r="A16200" i="1"/>
  <c r="C16200" i="1"/>
  <c r="N16200" i="1"/>
  <c r="A16201" i="1"/>
  <c r="C16201" i="1"/>
  <c r="N16201" i="1"/>
  <c r="A16202" i="1"/>
  <c r="C16202" i="1"/>
  <c r="N16202" i="1"/>
  <c r="A16203" i="1"/>
  <c r="C16203" i="1"/>
  <c r="N16203" i="1"/>
  <c r="A16204" i="1"/>
  <c r="C16204" i="1"/>
  <c r="N16204" i="1"/>
  <c r="A16205" i="1"/>
  <c r="C16205" i="1"/>
  <c r="N16205" i="1"/>
  <c r="A16206" i="1"/>
  <c r="C16206" i="1"/>
  <c r="N16206" i="1"/>
  <c r="A16207" i="1"/>
  <c r="C16207" i="1"/>
  <c r="D16207" i="1"/>
  <c r="N16207" i="1"/>
  <c r="O16207" i="1"/>
  <c r="A16208" i="1"/>
  <c r="C16208" i="1"/>
  <c r="N16208" i="1"/>
  <c r="A16209" i="1"/>
  <c r="C16209" i="1"/>
  <c r="N16209" i="1"/>
  <c r="A16210" i="1"/>
  <c r="C16210" i="1"/>
  <c r="K16210" i="1"/>
  <c r="N16210" i="1"/>
  <c r="A16211" i="1"/>
  <c r="C16211" i="1"/>
  <c r="N16211" i="1"/>
  <c r="A16212" i="1"/>
  <c r="C16212" i="1"/>
  <c r="N16212" i="1"/>
  <c r="A16213" i="1"/>
  <c r="C16213" i="1"/>
  <c r="N16213" i="1"/>
  <c r="A16214" i="1"/>
  <c r="C16214" i="1"/>
  <c r="N16214" i="1"/>
  <c r="A16215" i="1"/>
  <c r="C16215" i="1"/>
  <c r="N16215" i="1"/>
  <c r="A16216" i="1"/>
  <c r="C16216" i="1"/>
  <c r="N16216" i="1"/>
  <c r="A16217" i="1"/>
  <c r="C16217" i="1"/>
  <c r="N16217" i="1"/>
  <c r="A16218" i="1"/>
  <c r="C16218" i="1"/>
  <c r="N16218" i="1"/>
  <c r="A16219" i="1"/>
  <c r="C16219" i="1"/>
  <c r="N16219" i="1"/>
  <c r="A16220" i="1"/>
  <c r="C16220" i="1"/>
  <c r="N16220" i="1"/>
  <c r="A16221" i="1"/>
  <c r="C16221" i="1"/>
  <c r="N16221" i="1"/>
  <c r="A16222" i="1"/>
  <c r="C16222" i="1"/>
  <c r="N16222" i="1"/>
  <c r="A16223" i="1"/>
  <c r="C16223" i="1"/>
  <c r="N16223" i="1"/>
  <c r="A16224" i="1"/>
  <c r="C16224" i="1"/>
  <c r="N16224" i="1"/>
  <c r="A16225" i="1"/>
  <c r="C16225" i="1"/>
  <c r="N16225" i="1"/>
  <c r="A16226" i="1"/>
  <c r="C16226" i="1"/>
  <c r="N16226" i="1"/>
  <c r="A16227" i="1"/>
  <c r="C16227" i="1"/>
  <c r="N16227" i="1"/>
  <c r="A16228" i="1"/>
  <c r="C16228" i="1"/>
  <c r="D16228" i="1"/>
  <c r="N16228" i="1"/>
  <c r="O16228" i="1"/>
  <c r="A16229" i="1"/>
  <c r="C16229" i="1"/>
  <c r="N16229" i="1"/>
  <c r="A16230" i="1"/>
  <c r="C16230" i="1"/>
  <c r="N16230" i="1"/>
  <c r="A16231" i="1"/>
  <c r="C16231" i="1"/>
  <c r="N16231" i="1"/>
  <c r="A16232" i="1"/>
  <c r="C16232" i="1"/>
  <c r="N16232" i="1"/>
  <c r="A16233" i="1"/>
  <c r="C16233" i="1"/>
  <c r="K16233" i="1"/>
  <c r="N16233" i="1"/>
  <c r="A16234" i="1"/>
  <c r="C16234" i="1"/>
  <c r="N16234" i="1"/>
  <c r="A16235" i="1"/>
  <c r="C16235" i="1"/>
  <c r="N16235" i="1"/>
  <c r="A16236" i="1"/>
  <c r="C16236" i="1"/>
  <c r="N16236" i="1"/>
  <c r="A16237" i="1"/>
  <c r="C16237" i="1"/>
  <c r="N16237" i="1"/>
  <c r="A16238" i="1"/>
  <c r="C16238" i="1"/>
  <c r="N16238" i="1"/>
  <c r="A16239" i="1"/>
  <c r="C16239" i="1"/>
  <c r="N16239" i="1"/>
  <c r="A16240" i="1"/>
  <c r="C16240" i="1"/>
  <c r="K16240" i="1"/>
  <c r="N16240" i="1"/>
  <c r="A16241" i="1"/>
  <c r="C16241" i="1"/>
  <c r="N16241" i="1"/>
  <c r="A16242" i="1"/>
  <c r="C16242" i="1"/>
  <c r="N16242" i="1"/>
  <c r="A16243" i="1"/>
  <c r="C16243" i="1"/>
  <c r="N16243" i="1"/>
  <c r="A16244" i="1"/>
  <c r="C16244" i="1"/>
  <c r="N16244" i="1"/>
  <c r="A16245" i="1"/>
  <c r="C16245" i="1"/>
  <c r="N16245" i="1"/>
  <c r="A16246" i="1"/>
  <c r="C16246" i="1"/>
  <c r="N16246" i="1"/>
  <c r="A16247" i="1"/>
  <c r="C16247" i="1"/>
  <c r="K16247" i="1"/>
  <c r="N16247" i="1"/>
  <c r="A16248" i="1"/>
  <c r="C16248" i="1"/>
  <c r="N16248" i="1"/>
  <c r="A16249" i="1"/>
  <c r="C16249" i="1"/>
  <c r="N16249" i="1"/>
  <c r="A16250" i="1"/>
  <c r="C16250" i="1"/>
  <c r="N16250" i="1"/>
  <c r="A16251" i="1"/>
  <c r="C16251" i="1"/>
  <c r="N16251" i="1"/>
  <c r="A16252" i="1"/>
  <c r="C16252" i="1"/>
  <c r="K16252" i="1"/>
  <c r="N16252" i="1"/>
  <c r="A16253" i="1"/>
  <c r="C16253" i="1"/>
  <c r="N16253" i="1"/>
  <c r="A16254" i="1"/>
  <c r="C16254" i="1"/>
  <c r="N16254" i="1"/>
  <c r="A16255" i="1"/>
  <c r="C16255" i="1"/>
  <c r="N16255" i="1"/>
  <c r="A16256" i="1"/>
  <c r="C16256" i="1"/>
  <c r="N16256" i="1"/>
  <c r="A16257" i="1"/>
  <c r="C16257" i="1"/>
  <c r="D16257" i="1"/>
  <c r="N16257" i="1"/>
  <c r="O16257" i="1"/>
  <c r="A16258" i="1"/>
  <c r="C16258" i="1"/>
  <c r="N16258" i="1"/>
  <c r="A16259" i="1"/>
  <c r="C16259" i="1"/>
  <c r="N16259" i="1"/>
  <c r="A16260" i="1"/>
  <c r="C16260" i="1"/>
  <c r="N16260" i="1"/>
  <c r="A16261" i="1"/>
  <c r="C16261" i="1"/>
  <c r="K16261" i="1"/>
  <c r="N16261" i="1"/>
  <c r="A16262" i="1"/>
  <c r="C16262" i="1"/>
  <c r="N16262" i="1"/>
  <c r="A16263" i="1"/>
  <c r="C16263" i="1"/>
  <c r="N16263" i="1"/>
  <c r="A16264" i="1"/>
  <c r="C16264" i="1"/>
  <c r="N16264" i="1"/>
  <c r="A16265" i="1"/>
  <c r="C16265" i="1"/>
  <c r="N16265" i="1"/>
  <c r="A16266" i="1"/>
  <c r="C16266" i="1"/>
  <c r="K16266" i="1"/>
  <c r="N16266" i="1"/>
  <c r="A16267" i="1"/>
  <c r="C16267" i="1"/>
  <c r="K16267" i="1"/>
  <c r="N16267" i="1"/>
  <c r="A16268" i="1"/>
  <c r="C16268" i="1"/>
  <c r="N16268" i="1"/>
  <c r="A16269" i="1"/>
  <c r="C16269" i="1"/>
  <c r="N16269" i="1"/>
  <c r="A16270" i="1"/>
  <c r="C16270" i="1"/>
  <c r="N16270" i="1"/>
  <c r="A16271" i="1"/>
  <c r="C16271" i="1"/>
  <c r="N16271" i="1"/>
  <c r="A16272" i="1"/>
  <c r="C16272" i="1"/>
  <c r="N16272" i="1"/>
  <c r="A16273" i="1"/>
  <c r="C16273" i="1"/>
  <c r="N16273" i="1"/>
  <c r="A16274" i="1"/>
  <c r="C16274" i="1"/>
  <c r="N16274" i="1"/>
  <c r="A16275" i="1"/>
  <c r="C16275" i="1"/>
  <c r="K16275" i="1"/>
  <c r="N16275" i="1"/>
  <c r="A16276" i="1"/>
  <c r="C16276" i="1"/>
  <c r="N16276" i="1"/>
  <c r="A16277" i="1"/>
  <c r="C16277" i="1"/>
  <c r="N16277" i="1"/>
  <c r="A16278" i="1"/>
  <c r="C16278" i="1"/>
  <c r="N16278" i="1"/>
  <c r="A16279" i="1"/>
  <c r="C16279" i="1"/>
  <c r="K16279" i="1"/>
  <c r="N16279" i="1"/>
  <c r="A16280" i="1"/>
  <c r="C16280" i="1"/>
  <c r="K16280" i="1"/>
  <c r="N16280" i="1"/>
  <c r="A16281" i="1"/>
  <c r="C16281" i="1"/>
  <c r="K16281" i="1"/>
  <c r="N16281" i="1"/>
  <c r="A16282" i="1"/>
  <c r="C16282" i="1"/>
  <c r="K16282" i="1"/>
  <c r="N16282" i="1"/>
  <c r="A16283" i="1"/>
  <c r="C16283" i="1"/>
  <c r="N16283" i="1"/>
  <c r="A16284" i="1"/>
  <c r="C16284" i="1"/>
  <c r="N16284" i="1"/>
  <c r="A16285" i="1"/>
  <c r="C16285" i="1"/>
  <c r="N16285" i="1"/>
  <c r="A16286" i="1"/>
  <c r="C16286" i="1"/>
  <c r="N16286" i="1"/>
  <c r="A16287" i="1"/>
  <c r="C16287" i="1"/>
  <c r="K16287" i="1"/>
  <c r="N16287" i="1"/>
  <c r="A16288" i="1"/>
  <c r="C16288" i="1"/>
  <c r="N16288" i="1"/>
  <c r="A16289" i="1"/>
  <c r="C16289" i="1"/>
  <c r="N16289" i="1"/>
  <c r="A16290" i="1"/>
  <c r="C16290" i="1"/>
  <c r="N16290" i="1"/>
  <c r="A16291" i="1"/>
  <c r="C16291" i="1"/>
  <c r="N16291" i="1"/>
  <c r="A16292" i="1"/>
  <c r="C16292" i="1"/>
  <c r="N16292" i="1"/>
  <c r="A16293" i="1"/>
  <c r="C16293" i="1"/>
  <c r="N16293" i="1"/>
  <c r="A16294" i="1"/>
  <c r="C16294" i="1"/>
  <c r="N16294" i="1"/>
  <c r="A16295" i="1"/>
  <c r="C16295" i="1"/>
  <c r="N16295" i="1"/>
  <c r="A16296" i="1"/>
  <c r="C16296" i="1"/>
  <c r="N16296" i="1"/>
  <c r="A16297" i="1"/>
  <c r="C16297" i="1"/>
  <c r="N16297" i="1"/>
  <c r="A16298" i="1"/>
  <c r="C16298" i="1"/>
  <c r="N16298" i="1"/>
  <c r="A16299" i="1"/>
  <c r="C16299" i="1"/>
  <c r="N16299" i="1"/>
  <c r="A16300" i="1"/>
  <c r="C16300" i="1"/>
  <c r="N16300" i="1"/>
  <c r="A16301" i="1"/>
  <c r="C16301" i="1"/>
  <c r="N16301" i="1"/>
  <c r="A16302" i="1"/>
  <c r="C16302" i="1"/>
  <c r="N16302" i="1"/>
  <c r="A16303" i="1"/>
  <c r="C16303" i="1"/>
  <c r="N16303" i="1"/>
  <c r="A16304" i="1"/>
  <c r="C16304" i="1"/>
  <c r="N16304" i="1"/>
  <c r="A16305" i="1"/>
  <c r="C16305" i="1"/>
  <c r="N16305" i="1"/>
  <c r="A16306" i="1"/>
  <c r="C16306" i="1"/>
  <c r="N16306" i="1"/>
  <c r="A16307" i="1"/>
  <c r="C16307" i="1"/>
  <c r="N16307" i="1"/>
  <c r="A16308" i="1"/>
  <c r="C16308" i="1"/>
  <c r="N16308" i="1"/>
  <c r="A16309" i="1"/>
  <c r="C16309" i="1"/>
  <c r="K16309" i="1"/>
  <c r="N16309" i="1"/>
  <c r="A16310" i="1"/>
  <c r="C16310" i="1"/>
  <c r="N16310" i="1"/>
  <c r="A16311" i="1"/>
  <c r="C16311" i="1"/>
  <c r="N16311" i="1"/>
  <c r="A16312" i="1"/>
  <c r="C16312" i="1"/>
  <c r="N16312" i="1"/>
  <c r="A16313" i="1"/>
  <c r="C16313" i="1"/>
  <c r="D16313" i="1"/>
  <c r="E16313" i="1"/>
  <c r="N16313" i="1"/>
  <c r="O16313" i="1"/>
  <c r="T16313" i="1"/>
  <c r="A16314" i="1"/>
  <c r="C16314" i="1"/>
  <c r="E16314" i="1"/>
  <c r="N16314" i="1"/>
  <c r="T16314" i="1"/>
  <c r="A16315" i="1"/>
  <c r="C16315" i="1"/>
  <c r="N16315" i="1"/>
  <c r="A16316" i="1"/>
  <c r="C16316" i="1"/>
  <c r="N16316" i="1"/>
  <c r="A16317" i="1"/>
  <c r="C16317" i="1"/>
  <c r="N16317" i="1"/>
  <c r="A16318" i="1"/>
  <c r="C16318" i="1"/>
  <c r="N16318" i="1"/>
  <c r="A16319" i="1"/>
  <c r="C16319" i="1"/>
  <c r="N16319" i="1"/>
  <c r="A16320" i="1"/>
  <c r="C16320" i="1"/>
  <c r="N16320" i="1"/>
  <c r="A16321" i="1"/>
  <c r="C16321" i="1"/>
  <c r="K16321" i="1"/>
  <c r="N16321" i="1"/>
  <c r="A16322" i="1"/>
  <c r="C16322" i="1"/>
  <c r="D16322" i="1"/>
  <c r="N16322" i="1"/>
  <c r="O16322" i="1"/>
  <c r="A16323" i="1"/>
  <c r="C16323" i="1"/>
  <c r="D16323" i="1"/>
  <c r="N16323" i="1"/>
  <c r="O16323" i="1"/>
  <c r="A16324" i="1"/>
  <c r="C16324" i="1"/>
  <c r="D16324" i="1"/>
  <c r="N16324" i="1"/>
  <c r="O16324" i="1"/>
  <c r="A16325" i="1"/>
  <c r="C16325" i="1"/>
  <c r="D16325" i="1"/>
  <c r="N16325" i="1"/>
  <c r="O16325" i="1"/>
  <c r="A16326" i="1"/>
  <c r="C16326" i="1"/>
  <c r="D16326" i="1"/>
  <c r="N16326" i="1"/>
  <c r="O16326" i="1"/>
  <c r="A16327" i="1"/>
  <c r="C16327" i="1"/>
  <c r="N16327" i="1"/>
  <c r="A16328" i="1"/>
  <c r="C16328" i="1"/>
  <c r="N16328" i="1"/>
  <c r="A16329" i="1"/>
  <c r="C16329" i="1"/>
  <c r="N16329" i="1"/>
  <c r="A16330" i="1"/>
  <c r="C16330" i="1"/>
  <c r="N16330" i="1"/>
  <c r="A16331" i="1"/>
  <c r="C16331" i="1"/>
  <c r="K16331" i="1"/>
  <c r="N16331" i="1"/>
  <c r="A16332" i="1"/>
  <c r="C16332" i="1"/>
  <c r="N16332" i="1"/>
  <c r="A16333" i="1"/>
  <c r="C16333" i="1"/>
  <c r="N16333" i="1"/>
  <c r="A16334" i="1"/>
  <c r="C16334" i="1"/>
  <c r="N16334" i="1"/>
  <c r="A16335" i="1"/>
  <c r="C16335" i="1"/>
  <c r="N16335" i="1"/>
  <c r="A16336" i="1"/>
  <c r="C16336" i="1"/>
  <c r="N16336" i="1"/>
  <c r="A16337" i="1"/>
  <c r="C16337" i="1"/>
  <c r="K16337" i="1"/>
  <c r="N16337" i="1"/>
  <c r="A16338" i="1"/>
  <c r="C16338" i="1"/>
  <c r="N16338" i="1"/>
  <c r="A16339" i="1"/>
  <c r="C16339" i="1"/>
  <c r="N16339" i="1"/>
  <c r="A16340" i="1"/>
  <c r="C16340" i="1"/>
  <c r="E16340" i="1"/>
  <c r="K16340" i="1"/>
  <c r="N16340" i="1"/>
  <c r="T16340" i="1"/>
  <c r="A16341" i="1"/>
  <c r="C16341" i="1"/>
  <c r="N16341" i="1"/>
  <c r="A16342" i="1"/>
  <c r="C16342" i="1"/>
  <c r="N16342" i="1"/>
  <c r="A16343" i="1"/>
  <c r="C16343" i="1"/>
  <c r="N16343" i="1"/>
  <c r="A16344" i="1"/>
  <c r="C16344" i="1"/>
  <c r="N16344" i="1"/>
  <c r="A16345" i="1"/>
  <c r="C16345" i="1"/>
  <c r="N16345" i="1"/>
  <c r="A16346" i="1"/>
  <c r="C16346" i="1"/>
  <c r="N16346" i="1"/>
  <c r="A16347" i="1"/>
  <c r="C16347" i="1"/>
  <c r="N16347" i="1"/>
  <c r="A16348" i="1"/>
  <c r="C16348" i="1"/>
  <c r="K16348" i="1"/>
  <c r="N16348" i="1"/>
  <c r="A16349" i="1"/>
  <c r="C16349" i="1"/>
  <c r="N16349" i="1"/>
  <c r="A16350" i="1"/>
  <c r="C16350" i="1"/>
  <c r="N16350" i="1"/>
  <c r="A16351" i="1"/>
  <c r="C16351" i="1"/>
  <c r="N16351" i="1"/>
  <c r="A16352" i="1"/>
  <c r="C16352" i="1"/>
  <c r="N16352" i="1"/>
  <c r="A16353" i="1"/>
  <c r="C16353" i="1"/>
  <c r="N16353" i="1"/>
  <c r="A16354" i="1"/>
  <c r="C16354" i="1"/>
  <c r="N16354" i="1"/>
  <c r="A16355" i="1"/>
  <c r="C16355" i="1"/>
  <c r="N16355" i="1"/>
  <c r="A16356" i="1"/>
  <c r="C16356" i="1"/>
  <c r="N16356" i="1"/>
  <c r="A16357" i="1"/>
  <c r="C16357" i="1"/>
  <c r="D16357" i="1"/>
  <c r="N16357" i="1"/>
  <c r="O16357" i="1"/>
  <c r="A16358" i="1"/>
  <c r="C16358" i="1"/>
  <c r="N16358" i="1"/>
  <c r="A16359" i="1"/>
  <c r="C16359" i="1"/>
  <c r="K16359" i="1"/>
  <c r="N16359" i="1"/>
  <c r="A16360" i="1"/>
  <c r="C16360" i="1"/>
  <c r="N16360" i="1"/>
  <c r="A16361" i="1"/>
  <c r="C16361" i="1"/>
  <c r="N16361" i="1"/>
  <c r="A16362" i="1"/>
  <c r="C16362" i="1"/>
  <c r="N16362" i="1"/>
  <c r="A16363" i="1"/>
  <c r="C16363" i="1"/>
  <c r="N16363" i="1"/>
  <c r="A16364" i="1"/>
  <c r="C16364" i="1"/>
  <c r="N16364" i="1"/>
  <c r="A16365" i="1"/>
  <c r="C16365" i="1"/>
  <c r="N16365" i="1"/>
  <c r="A16366" i="1"/>
  <c r="C16366" i="1"/>
  <c r="N16366" i="1"/>
  <c r="A16367" i="1"/>
  <c r="C16367" i="1"/>
  <c r="N16367" i="1"/>
  <c r="A16368" i="1"/>
  <c r="C16368" i="1"/>
  <c r="N16368" i="1"/>
  <c r="A16369" i="1"/>
  <c r="C16369" i="1"/>
  <c r="N16369" i="1"/>
  <c r="A16370" i="1"/>
  <c r="C16370" i="1"/>
  <c r="N16370" i="1"/>
  <c r="A16371" i="1"/>
  <c r="C16371" i="1"/>
  <c r="N16371" i="1"/>
  <c r="A16372" i="1"/>
  <c r="C16372" i="1"/>
  <c r="N16372" i="1"/>
  <c r="A16373" i="1"/>
  <c r="C16373" i="1"/>
  <c r="N16373" i="1"/>
  <c r="A16374" i="1"/>
  <c r="C16374" i="1"/>
  <c r="N16374" i="1"/>
  <c r="A16375" i="1"/>
  <c r="C16375" i="1"/>
  <c r="N16375" i="1"/>
  <c r="A16376" i="1"/>
  <c r="C16376" i="1"/>
  <c r="N16376" i="1"/>
  <c r="A16377" i="1"/>
  <c r="C16377" i="1"/>
  <c r="N16377" i="1"/>
  <c r="A16378" i="1"/>
  <c r="C16378" i="1"/>
  <c r="N16378" i="1"/>
  <c r="A16379" i="1"/>
  <c r="C16379" i="1"/>
  <c r="N16379" i="1"/>
  <c r="A16380" i="1"/>
  <c r="C16380" i="1"/>
  <c r="N16380" i="1"/>
  <c r="A16381" i="1"/>
  <c r="C16381" i="1"/>
  <c r="N16381" i="1"/>
  <c r="A16382" i="1"/>
  <c r="C16382" i="1"/>
  <c r="N16382" i="1"/>
  <c r="A16383" i="1"/>
  <c r="C16383" i="1"/>
  <c r="N16383" i="1"/>
  <c r="A16384" i="1"/>
  <c r="C16384" i="1"/>
  <c r="N16384" i="1"/>
  <c r="A16385" i="1"/>
  <c r="C16385" i="1"/>
  <c r="N16385" i="1"/>
  <c r="A16386" i="1"/>
  <c r="C16386" i="1"/>
  <c r="N16386" i="1"/>
  <c r="A16387" i="1"/>
  <c r="C16387" i="1"/>
  <c r="N16387" i="1"/>
  <c r="A16388" i="1"/>
  <c r="C16388" i="1"/>
  <c r="N16388" i="1"/>
  <c r="A16389" i="1"/>
  <c r="C16389" i="1"/>
  <c r="N16389" i="1"/>
  <c r="A16390" i="1"/>
  <c r="C16390" i="1"/>
  <c r="D16390" i="1"/>
  <c r="N16390" i="1"/>
  <c r="O16390" i="1"/>
  <c r="A16391" i="1"/>
  <c r="C16391" i="1"/>
  <c r="N16391" i="1"/>
  <c r="A16392" i="1"/>
  <c r="C16392" i="1"/>
  <c r="N16392" i="1"/>
  <c r="A16393" i="1"/>
  <c r="C16393" i="1"/>
  <c r="N16393" i="1"/>
  <c r="A16394" i="1"/>
  <c r="C16394" i="1"/>
  <c r="N16394" i="1"/>
  <c r="A16395" i="1"/>
  <c r="C16395" i="1"/>
  <c r="N16395" i="1"/>
  <c r="A16396" i="1"/>
  <c r="C16396" i="1"/>
  <c r="N16396" i="1"/>
  <c r="A16397" i="1"/>
  <c r="C16397" i="1"/>
  <c r="N16397" i="1"/>
  <c r="A16398" i="1"/>
  <c r="C16398" i="1"/>
  <c r="N16398" i="1"/>
  <c r="A16399" i="1"/>
  <c r="C16399" i="1"/>
  <c r="N16399" i="1"/>
  <c r="A16400" i="1"/>
  <c r="C16400" i="1"/>
  <c r="N16400" i="1"/>
  <c r="A16401" i="1"/>
  <c r="C16401" i="1"/>
  <c r="N16401" i="1"/>
  <c r="A16402" i="1"/>
  <c r="C16402" i="1"/>
  <c r="N16402" i="1"/>
  <c r="A16403" i="1"/>
  <c r="C16403" i="1"/>
  <c r="N16403" i="1"/>
  <c r="A16404" i="1"/>
  <c r="C16404" i="1"/>
  <c r="K16404" i="1"/>
  <c r="N16404" i="1"/>
  <c r="A16405" i="1"/>
  <c r="C16405" i="1"/>
  <c r="N16405" i="1"/>
  <c r="A16406" i="1"/>
  <c r="C16406" i="1"/>
  <c r="K16406" i="1"/>
  <c r="N16406" i="1"/>
  <c r="A16407" i="1"/>
  <c r="C16407" i="1"/>
  <c r="N16407" i="1"/>
  <c r="A16408" i="1"/>
  <c r="C16408" i="1"/>
  <c r="N16408" i="1"/>
  <c r="A16409" i="1"/>
  <c r="C16409" i="1"/>
  <c r="N16409" i="1"/>
  <c r="A16410" i="1"/>
  <c r="C16410" i="1"/>
  <c r="N16410" i="1"/>
  <c r="A16411" i="1"/>
  <c r="C16411" i="1"/>
  <c r="N16411" i="1"/>
  <c r="A16412" i="1"/>
  <c r="C16412" i="1"/>
  <c r="N16412" i="1"/>
  <c r="A16413" i="1"/>
  <c r="C16413" i="1"/>
  <c r="N16413" i="1"/>
  <c r="A16414" i="1"/>
  <c r="C16414" i="1"/>
  <c r="N16414" i="1"/>
  <c r="A16415" i="1"/>
  <c r="C16415" i="1"/>
  <c r="N16415" i="1"/>
  <c r="A16416" i="1"/>
  <c r="C16416" i="1"/>
  <c r="N16416" i="1"/>
  <c r="A16417" i="1"/>
  <c r="C16417" i="1"/>
  <c r="N16417" i="1"/>
  <c r="A16418" i="1"/>
  <c r="C16418" i="1"/>
  <c r="N16418" i="1"/>
  <c r="A16419" i="1"/>
  <c r="C16419" i="1"/>
  <c r="N16419" i="1"/>
  <c r="A16420" i="1"/>
  <c r="C16420" i="1"/>
  <c r="N16420" i="1"/>
  <c r="A16421" i="1"/>
  <c r="C16421" i="1"/>
  <c r="N16421" i="1"/>
  <c r="A16422" i="1"/>
  <c r="C16422" i="1"/>
  <c r="N16422" i="1"/>
  <c r="A16423" i="1"/>
  <c r="C16423" i="1"/>
  <c r="N16423" i="1"/>
  <c r="A16424" i="1"/>
  <c r="C16424" i="1"/>
  <c r="N16424" i="1"/>
  <c r="A16425" i="1"/>
  <c r="C16425" i="1"/>
  <c r="N16425" i="1"/>
  <c r="A16426" i="1"/>
  <c r="C16426" i="1"/>
  <c r="N16426" i="1"/>
  <c r="A16427" i="1"/>
  <c r="C16427" i="1"/>
  <c r="N16427" i="1"/>
  <c r="A16428" i="1"/>
  <c r="C16428" i="1"/>
  <c r="N16428" i="1"/>
  <c r="A16429" i="1"/>
  <c r="C16429" i="1"/>
  <c r="K16429" i="1"/>
  <c r="N16429" i="1"/>
  <c r="A16430" i="1"/>
  <c r="C16430" i="1"/>
  <c r="N16430" i="1"/>
  <c r="A16431" i="1"/>
  <c r="C16431" i="1"/>
  <c r="N16431" i="1"/>
  <c r="A16432" i="1"/>
  <c r="C16432" i="1"/>
  <c r="N16432" i="1"/>
  <c r="A16433" i="1"/>
  <c r="C16433" i="1"/>
  <c r="N16433" i="1"/>
  <c r="A16434" i="1"/>
  <c r="C16434" i="1"/>
  <c r="N16434" i="1"/>
  <c r="A16435" i="1"/>
  <c r="C16435" i="1"/>
  <c r="N16435" i="1"/>
  <c r="A16436" i="1"/>
  <c r="C16436" i="1"/>
  <c r="N16436" i="1"/>
  <c r="A16437" i="1"/>
  <c r="C16437" i="1"/>
  <c r="N16437" i="1"/>
  <c r="A16438" i="1"/>
  <c r="C16438" i="1"/>
  <c r="D16438" i="1"/>
  <c r="K16438" i="1"/>
  <c r="N16438" i="1"/>
  <c r="O16438" i="1"/>
  <c r="A16439" i="1"/>
  <c r="C16439" i="1"/>
  <c r="K16439" i="1"/>
  <c r="N16439" i="1"/>
  <c r="A16440" i="1"/>
  <c r="C16440" i="1"/>
  <c r="N16440" i="1"/>
  <c r="A16441" i="1"/>
  <c r="C16441" i="1"/>
  <c r="K16441" i="1"/>
  <c r="N16441" i="1"/>
  <c r="A16442" i="1"/>
  <c r="C16442" i="1"/>
  <c r="N16442" i="1"/>
  <c r="A16443" i="1"/>
  <c r="C16443" i="1"/>
  <c r="N16443" i="1"/>
  <c r="A16444" i="1"/>
  <c r="C16444" i="1"/>
  <c r="N16444" i="1"/>
  <c r="A16445" i="1"/>
  <c r="C16445" i="1"/>
  <c r="N16445" i="1"/>
  <c r="A16446" i="1"/>
  <c r="C16446" i="1"/>
  <c r="N16446" i="1"/>
  <c r="A16447" i="1"/>
  <c r="C16447" i="1"/>
  <c r="N16447" i="1"/>
  <c r="A16448" i="1"/>
  <c r="C16448" i="1"/>
  <c r="N16448" i="1"/>
  <c r="A16449" i="1"/>
  <c r="C16449" i="1"/>
  <c r="N16449" i="1"/>
  <c r="A16450" i="1"/>
  <c r="C16450" i="1"/>
  <c r="N16450" i="1"/>
  <c r="A16451" i="1"/>
  <c r="C16451" i="1"/>
  <c r="K16451" i="1"/>
  <c r="N16451" i="1"/>
  <c r="A16452" i="1"/>
  <c r="C16452" i="1"/>
  <c r="N16452" i="1"/>
  <c r="A16453" i="1"/>
  <c r="C16453" i="1"/>
  <c r="N16453" i="1"/>
  <c r="A16454" i="1"/>
  <c r="C16454" i="1"/>
  <c r="N16454" i="1"/>
  <c r="A16455" i="1"/>
  <c r="C16455" i="1"/>
  <c r="N16455" i="1"/>
  <c r="A16456" i="1"/>
  <c r="C16456" i="1"/>
  <c r="N16456" i="1"/>
  <c r="A16457" i="1"/>
  <c r="C16457" i="1"/>
  <c r="N16457" i="1"/>
  <c r="A16458" i="1"/>
  <c r="C16458" i="1"/>
  <c r="N16458" i="1"/>
  <c r="A16459" i="1"/>
  <c r="C16459" i="1"/>
  <c r="N16459" i="1"/>
  <c r="A16460" i="1"/>
  <c r="C16460" i="1"/>
  <c r="N16460" i="1"/>
  <c r="A16461" i="1"/>
  <c r="C16461" i="1"/>
  <c r="N16461" i="1"/>
  <c r="A16462" i="1"/>
  <c r="C16462" i="1"/>
  <c r="N16462" i="1"/>
  <c r="A16463" i="1"/>
  <c r="C16463" i="1"/>
  <c r="K16463" i="1"/>
  <c r="N16463" i="1"/>
  <c r="A16464" i="1"/>
  <c r="C16464" i="1"/>
  <c r="N16464" i="1"/>
  <c r="A16465" i="1"/>
  <c r="C16465" i="1"/>
  <c r="N16465" i="1"/>
  <c r="A16466" i="1"/>
  <c r="C16466" i="1"/>
  <c r="N16466" i="1"/>
  <c r="A16467" i="1"/>
  <c r="C16467" i="1"/>
  <c r="N16467" i="1"/>
  <c r="A16468" i="1"/>
  <c r="C16468" i="1"/>
  <c r="N16468" i="1"/>
  <c r="A16469" i="1"/>
  <c r="C16469" i="1"/>
  <c r="N16469" i="1"/>
  <c r="A16470" i="1"/>
  <c r="C16470" i="1"/>
  <c r="N16470" i="1"/>
  <c r="A16471" i="1"/>
  <c r="C16471" i="1"/>
  <c r="N16471" i="1"/>
  <c r="A16472" i="1"/>
  <c r="C16472" i="1"/>
  <c r="N16472" i="1"/>
  <c r="A16473" i="1"/>
  <c r="C16473" i="1"/>
  <c r="N16473" i="1"/>
  <c r="A16474" i="1"/>
  <c r="C16474" i="1"/>
  <c r="N16474" i="1"/>
  <c r="A16475" i="1"/>
  <c r="C16475" i="1"/>
  <c r="N16475" i="1"/>
  <c r="A16476" i="1"/>
  <c r="C16476" i="1"/>
  <c r="N16476" i="1"/>
  <c r="A16477" i="1"/>
  <c r="C16477" i="1"/>
  <c r="N16477" i="1"/>
  <c r="A16478" i="1"/>
  <c r="C16478" i="1"/>
  <c r="N16478" i="1"/>
  <c r="A16479" i="1"/>
  <c r="C16479" i="1"/>
  <c r="N16479" i="1"/>
  <c r="A16480" i="1"/>
  <c r="C16480" i="1"/>
  <c r="N16480" i="1"/>
  <c r="A16481" i="1"/>
  <c r="C16481" i="1"/>
  <c r="K16481" i="1"/>
  <c r="N16481" i="1"/>
  <c r="A16482" i="1"/>
  <c r="C16482" i="1"/>
  <c r="K16482" i="1"/>
  <c r="N16482" i="1"/>
  <c r="A16483" i="1"/>
  <c r="C16483" i="1"/>
  <c r="N16483" i="1"/>
  <c r="A16484" i="1"/>
  <c r="C16484" i="1"/>
  <c r="N16484" i="1"/>
  <c r="A16485" i="1"/>
  <c r="C16485" i="1"/>
  <c r="N16485" i="1"/>
  <c r="A16486" i="1"/>
  <c r="C16486" i="1"/>
  <c r="N16486" i="1"/>
  <c r="A16487" i="1"/>
  <c r="C16487" i="1"/>
  <c r="N16487" i="1"/>
  <c r="A16488" i="1"/>
  <c r="C16488" i="1"/>
  <c r="N16488" i="1"/>
  <c r="A16489" i="1"/>
  <c r="C16489" i="1"/>
  <c r="N16489" i="1"/>
  <c r="A16490" i="1"/>
  <c r="C16490" i="1"/>
  <c r="K16490" i="1"/>
  <c r="N16490" i="1"/>
  <c r="A16491" i="1"/>
  <c r="C16491" i="1"/>
  <c r="E16491" i="1"/>
  <c r="N16491" i="1"/>
  <c r="T16491" i="1"/>
  <c r="A16492" i="1"/>
  <c r="C16492" i="1"/>
  <c r="N16492" i="1"/>
  <c r="A16493" i="1"/>
  <c r="C16493" i="1"/>
  <c r="N16493" i="1"/>
  <c r="A16494" i="1"/>
  <c r="C16494" i="1"/>
  <c r="K16494" i="1"/>
  <c r="N16494" i="1"/>
  <c r="A16495" i="1"/>
  <c r="C16495" i="1"/>
  <c r="N16495" i="1"/>
  <c r="A16496" i="1"/>
  <c r="C16496" i="1"/>
  <c r="N16496" i="1"/>
  <c r="A16497" i="1"/>
  <c r="C16497" i="1"/>
  <c r="N16497" i="1"/>
  <c r="A16498" i="1"/>
  <c r="C16498" i="1"/>
  <c r="N16498" i="1"/>
  <c r="A16499" i="1"/>
  <c r="C16499" i="1"/>
  <c r="N16499" i="1"/>
  <c r="A16500" i="1"/>
  <c r="C16500" i="1"/>
  <c r="N16500" i="1"/>
  <c r="A16501" i="1"/>
  <c r="C16501" i="1"/>
  <c r="N16501" i="1"/>
  <c r="A16502" i="1"/>
  <c r="C16502" i="1"/>
  <c r="N16502" i="1"/>
  <c r="A16503" i="1"/>
  <c r="C16503" i="1"/>
  <c r="N16503" i="1"/>
  <c r="A16504" i="1"/>
  <c r="C16504" i="1"/>
  <c r="N16504" i="1"/>
  <c r="A16505" i="1"/>
  <c r="C16505" i="1"/>
  <c r="N16505" i="1"/>
  <c r="A16506" i="1"/>
  <c r="C16506" i="1"/>
  <c r="N16506" i="1"/>
  <c r="A16507" i="1"/>
  <c r="C16507" i="1"/>
  <c r="N16507" i="1"/>
  <c r="A16508" i="1"/>
  <c r="C16508" i="1"/>
  <c r="N16508" i="1"/>
  <c r="A16509" i="1"/>
  <c r="C16509" i="1"/>
  <c r="N16509" i="1"/>
  <c r="A16510" i="1"/>
  <c r="C16510" i="1"/>
  <c r="N16510" i="1"/>
  <c r="A16511" i="1"/>
  <c r="C16511" i="1"/>
  <c r="N16511" i="1"/>
  <c r="A16512" i="1"/>
  <c r="C16512" i="1"/>
  <c r="N16512" i="1"/>
  <c r="A16513" i="1"/>
  <c r="C16513" i="1"/>
  <c r="N16513" i="1"/>
  <c r="A16514" i="1"/>
  <c r="C16514" i="1"/>
  <c r="N16514" i="1"/>
  <c r="A16515" i="1"/>
  <c r="C16515" i="1"/>
  <c r="F16515" i="1"/>
  <c r="K16515" i="1"/>
  <c r="N16515" i="1"/>
  <c r="A16516" i="1"/>
  <c r="C16516" i="1"/>
  <c r="N16516" i="1"/>
  <c r="A16517" i="1"/>
  <c r="C16517" i="1"/>
  <c r="N16517" i="1"/>
  <c r="A16518" i="1"/>
  <c r="C16518" i="1"/>
  <c r="N16518" i="1"/>
  <c r="A16519" i="1"/>
  <c r="C16519" i="1"/>
  <c r="N16519" i="1"/>
  <c r="A16520" i="1"/>
  <c r="C16520" i="1"/>
  <c r="N16520" i="1"/>
  <c r="A16521" i="1"/>
  <c r="C16521" i="1"/>
  <c r="N16521" i="1"/>
  <c r="A16522" i="1"/>
  <c r="C16522" i="1"/>
  <c r="N16522" i="1"/>
  <c r="A16523" i="1"/>
  <c r="C16523" i="1"/>
  <c r="N16523" i="1"/>
  <c r="A16524" i="1"/>
  <c r="C16524" i="1"/>
  <c r="N16524" i="1"/>
  <c r="A16525" i="1"/>
  <c r="C16525" i="1"/>
  <c r="N16525" i="1"/>
  <c r="A16526" i="1"/>
  <c r="C16526" i="1"/>
  <c r="N16526" i="1"/>
  <c r="A16527" i="1"/>
  <c r="C16527" i="1"/>
  <c r="N16527" i="1"/>
  <c r="A16528" i="1"/>
  <c r="C16528" i="1"/>
  <c r="N16528" i="1"/>
  <c r="A16529" i="1"/>
  <c r="C16529" i="1"/>
  <c r="N16529" i="1"/>
  <c r="A16530" i="1"/>
  <c r="C16530" i="1"/>
  <c r="N16530" i="1"/>
  <c r="A16531" i="1"/>
  <c r="C16531" i="1"/>
  <c r="N16531" i="1"/>
  <c r="A16532" i="1"/>
  <c r="C16532" i="1"/>
  <c r="N16532" i="1"/>
  <c r="A16533" i="1"/>
  <c r="C16533" i="1"/>
  <c r="N16533" i="1"/>
  <c r="A16534" i="1"/>
  <c r="C16534" i="1"/>
  <c r="N16534" i="1"/>
  <c r="A16535" i="1"/>
  <c r="C16535" i="1"/>
  <c r="N16535" i="1"/>
  <c r="A16536" i="1"/>
  <c r="C16536" i="1"/>
  <c r="N16536" i="1"/>
  <c r="A16537" i="1"/>
  <c r="C16537" i="1"/>
  <c r="N16537" i="1"/>
  <c r="A16538" i="1"/>
  <c r="C16538" i="1"/>
  <c r="N16538" i="1"/>
  <c r="A16539" i="1"/>
  <c r="C16539" i="1"/>
  <c r="N16539" i="1"/>
  <c r="A16540" i="1"/>
  <c r="C16540" i="1"/>
  <c r="N16540" i="1"/>
  <c r="A16541" i="1"/>
  <c r="C16541" i="1"/>
  <c r="N16541" i="1"/>
  <c r="A16542" i="1"/>
  <c r="C16542" i="1"/>
  <c r="D16542" i="1"/>
  <c r="E16542" i="1"/>
  <c r="N16542" i="1"/>
  <c r="O16542" i="1"/>
  <c r="T16542" i="1"/>
  <c r="A16543" i="1"/>
  <c r="C16543" i="1"/>
  <c r="D16543" i="1"/>
  <c r="E16543" i="1"/>
  <c r="N16543" i="1"/>
  <c r="O16543" i="1"/>
  <c r="T16543" i="1"/>
  <c r="A16544" i="1"/>
  <c r="C16544" i="1"/>
  <c r="N16544" i="1"/>
  <c r="A16545" i="1"/>
  <c r="C16545" i="1"/>
  <c r="N16545" i="1"/>
  <c r="A16546" i="1"/>
  <c r="C16546" i="1"/>
  <c r="N16546" i="1"/>
  <c r="A16547" i="1"/>
  <c r="C16547" i="1"/>
  <c r="N16547" i="1"/>
  <c r="A16548" i="1"/>
  <c r="C16548" i="1"/>
  <c r="N16548" i="1"/>
  <c r="A16549" i="1"/>
  <c r="C16549" i="1"/>
  <c r="N16549" i="1"/>
  <c r="A16550" i="1"/>
  <c r="C16550" i="1"/>
  <c r="K16550" i="1"/>
  <c r="N16550" i="1"/>
  <c r="A16551" i="1"/>
  <c r="C16551" i="1"/>
  <c r="N16551" i="1"/>
  <c r="A16552" i="1"/>
  <c r="C16552" i="1"/>
  <c r="E16552" i="1"/>
  <c r="N16552" i="1"/>
  <c r="T16552" i="1"/>
  <c r="A16553" i="1"/>
  <c r="C16553" i="1"/>
  <c r="N16553" i="1"/>
  <c r="A16554" i="1"/>
  <c r="C16554" i="1"/>
  <c r="N16554" i="1"/>
  <c r="A16555" i="1"/>
  <c r="C16555" i="1"/>
  <c r="N16555" i="1"/>
  <c r="A16556" i="1"/>
  <c r="C16556" i="1"/>
  <c r="N16556" i="1"/>
  <c r="A16557" i="1"/>
  <c r="C16557" i="1"/>
  <c r="N16557" i="1"/>
  <c r="A16558" i="1"/>
  <c r="C16558" i="1"/>
  <c r="N16558" i="1"/>
  <c r="A16559" i="1"/>
  <c r="C16559" i="1"/>
  <c r="N16559" i="1"/>
  <c r="A16560" i="1"/>
  <c r="C16560" i="1"/>
  <c r="N16560" i="1"/>
  <c r="A16561" i="1"/>
  <c r="C16561" i="1"/>
  <c r="N16561" i="1"/>
  <c r="A16562" i="1"/>
  <c r="C16562" i="1"/>
  <c r="N16562" i="1"/>
  <c r="A16563" i="1"/>
  <c r="C16563" i="1"/>
  <c r="N16563" i="1"/>
  <c r="A16564" i="1"/>
  <c r="C16564" i="1"/>
  <c r="N16564" i="1"/>
  <c r="A16565" i="1"/>
  <c r="C16565" i="1"/>
  <c r="N16565" i="1"/>
  <c r="A16566" i="1"/>
  <c r="C16566" i="1"/>
  <c r="N16566" i="1"/>
  <c r="A16567" i="1"/>
  <c r="C16567" i="1"/>
  <c r="N16567" i="1"/>
  <c r="A16568" i="1"/>
  <c r="C16568" i="1"/>
  <c r="N16568" i="1"/>
  <c r="A16569" i="1"/>
  <c r="C16569" i="1"/>
  <c r="N16569" i="1"/>
  <c r="A16570" i="1"/>
  <c r="C16570" i="1"/>
  <c r="N16570" i="1"/>
  <c r="A16571" i="1"/>
  <c r="C16571" i="1"/>
  <c r="N16571" i="1"/>
  <c r="A16572" i="1"/>
  <c r="C16572" i="1"/>
  <c r="K16572" i="1"/>
  <c r="N16572" i="1"/>
  <c r="A16573" i="1"/>
  <c r="C16573" i="1"/>
  <c r="N16573" i="1"/>
  <c r="A16574" i="1"/>
  <c r="C16574" i="1"/>
  <c r="N16574" i="1"/>
  <c r="A16575" i="1"/>
  <c r="C16575" i="1"/>
  <c r="K16575" i="1"/>
  <c r="N16575" i="1"/>
  <c r="A16576" i="1"/>
  <c r="C16576" i="1"/>
  <c r="N16576" i="1"/>
  <c r="A16577" i="1"/>
  <c r="C16577" i="1"/>
  <c r="K16577" i="1"/>
  <c r="N16577" i="1"/>
  <c r="A16578" i="1"/>
  <c r="C16578" i="1"/>
  <c r="N16578" i="1"/>
  <c r="A16579" i="1"/>
  <c r="C16579" i="1"/>
  <c r="N16579" i="1"/>
  <c r="A16580" i="1"/>
  <c r="C16580" i="1"/>
  <c r="N16580" i="1"/>
  <c r="A16581" i="1"/>
  <c r="C16581" i="1"/>
  <c r="N16581" i="1"/>
  <c r="A16582" i="1"/>
  <c r="C16582" i="1"/>
  <c r="K16582" i="1"/>
  <c r="N16582" i="1"/>
  <c r="A16583" i="1"/>
  <c r="C16583" i="1"/>
  <c r="N16583" i="1"/>
  <c r="A16584" i="1"/>
  <c r="C16584" i="1"/>
  <c r="N16584" i="1"/>
  <c r="A16585" i="1"/>
  <c r="C16585" i="1"/>
  <c r="N16585" i="1"/>
  <c r="A16586" i="1"/>
  <c r="C16586" i="1"/>
  <c r="N16586" i="1"/>
  <c r="A16587" i="1"/>
  <c r="C16587" i="1"/>
  <c r="D16587" i="1"/>
  <c r="N16587" i="1"/>
  <c r="O16587" i="1"/>
  <c r="A16588" i="1"/>
  <c r="C16588" i="1"/>
  <c r="N16588" i="1"/>
  <c r="A16589" i="1"/>
  <c r="C16589" i="1"/>
  <c r="K16589" i="1"/>
  <c r="N16589" i="1"/>
  <c r="A16590" i="1"/>
  <c r="C16590" i="1"/>
  <c r="N16590" i="1"/>
  <c r="A16591" i="1"/>
  <c r="C16591" i="1"/>
  <c r="N16591" i="1"/>
  <c r="A16592" i="1"/>
  <c r="C16592" i="1"/>
  <c r="N16592" i="1"/>
  <c r="A16593" i="1"/>
  <c r="C16593" i="1"/>
  <c r="N16593" i="1"/>
  <c r="A16594" i="1"/>
  <c r="C16594" i="1"/>
  <c r="K16594" i="1"/>
  <c r="N16594" i="1"/>
  <c r="A16595" i="1"/>
  <c r="C16595" i="1"/>
  <c r="N16595" i="1"/>
  <c r="A16596" i="1"/>
  <c r="C16596" i="1"/>
  <c r="N16596" i="1"/>
  <c r="A16597" i="1"/>
  <c r="C16597" i="1"/>
  <c r="N16597" i="1"/>
  <c r="A16598" i="1"/>
  <c r="C16598" i="1"/>
  <c r="N16598" i="1"/>
  <c r="A16599" i="1"/>
  <c r="C16599" i="1"/>
  <c r="N16599" i="1"/>
  <c r="A16600" i="1"/>
  <c r="C16600" i="1"/>
  <c r="K16600" i="1"/>
  <c r="N16600" i="1"/>
  <c r="A16601" i="1"/>
  <c r="C16601" i="1"/>
  <c r="N16601" i="1"/>
  <c r="A16602" i="1"/>
  <c r="C16602" i="1"/>
  <c r="N16602" i="1"/>
  <c r="A16603" i="1"/>
  <c r="C16603" i="1"/>
  <c r="N16603" i="1"/>
  <c r="A16604" i="1"/>
  <c r="C16604" i="1"/>
  <c r="N16604" i="1"/>
  <c r="A16605" i="1"/>
  <c r="C16605" i="1"/>
  <c r="K16605" i="1"/>
  <c r="N16605" i="1"/>
  <c r="A16606" i="1"/>
  <c r="C16606" i="1"/>
  <c r="N16606" i="1"/>
  <c r="A16607" i="1"/>
  <c r="C16607" i="1"/>
  <c r="N16607" i="1"/>
  <c r="A16608" i="1"/>
  <c r="C16608" i="1"/>
  <c r="N16608" i="1"/>
  <c r="A16609" i="1"/>
  <c r="C16609" i="1"/>
  <c r="N16609" i="1"/>
  <c r="A16610" i="1"/>
  <c r="C16610" i="1"/>
  <c r="K16610" i="1"/>
  <c r="N16610" i="1"/>
  <c r="A16611" i="1"/>
  <c r="C16611" i="1"/>
  <c r="N16611" i="1"/>
  <c r="A16612" i="1"/>
  <c r="C16612" i="1"/>
  <c r="N16612" i="1"/>
  <c r="A16613" i="1"/>
  <c r="C16613" i="1"/>
  <c r="N16613" i="1"/>
  <c r="A16614" i="1"/>
  <c r="C16614" i="1"/>
  <c r="N16614" i="1"/>
  <c r="A16615" i="1"/>
  <c r="C16615" i="1"/>
  <c r="N16615" i="1"/>
  <c r="A16616" i="1"/>
  <c r="C16616" i="1"/>
  <c r="N16616" i="1"/>
  <c r="A16617" i="1"/>
  <c r="C16617" i="1"/>
  <c r="N16617" i="1"/>
  <c r="A16618" i="1"/>
  <c r="C16618" i="1"/>
  <c r="N16618" i="1"/>
  <c r="A16619" i="1"/>
  <c r="C16619" i="1"/>
  <c r="N16619" i="1"/>
  <c r="A16620" i="1"/>
  <c r="C16620" i="1"/>
  <c r="N16620" i="1"/>
  <c r="A16621" i="1"/>
  <c r="C16621" i="1"/>
  <c r="N16621" i="1"/>
  <c r="A16622" i="1"/>
  <c r="C16622" i="1"/>
  <c r="K16622" i="1"/>
  <c r="N16622" i="1"/>
  <c r="A16623" i="1"/>
  <c r="C16623" i="1"/>
  <c r="N16623" i="1"/>
  <c r="A16624" i="1"/>
  <c r="C16624" i="1"/>
  <c r="N16624" i="1"/>
  <c r="A16625" i="1"/>
  <c r="C16625" i="1"/>
  <c r="N16625" i="1"/>
  <c r="A16626" i="1"/>
  <c r="C16626" i="1"/>
  <c r="N16626" i="1"/>
  <c r="A16627" i="1"/>
  <c r="C16627" i="1"/>
  <c r="N16627" i="1"/>
  <c r="A16628" i="1"/>
  <c r="C16628" i="1"/>
  <c r="N16628" i="1"/>
  <c r="A16629" i="1"/>
  <c r="C16629" i="1"/>
  <c r="N16629" i="1"/>
  <c r="A16630" i="1"/>
  <c r="C16630" i="1"/>
  <c r="N16630" i="1"/>
  <c r="A16631" i="1"/>
  <c r="C16631" i="1"/>
  <c r="N16631" i="1"/>
  <c r="A16632" i="1"/>
  <c r="C16632" i="1"/>
  <c r="N16632" i="1"/>
  <c r="A16633" i="1"/>
  <c r="C16633" i="1"/>
  <c r="N16633" i="1"/>
  <c r="A16634" i="1"/>
  <c r="C16634" i="1"/>
  <c r="N16634" i="1"/>
  <c r="A16635" i="1"/>
  <c r="C16635" i="1"/>
  <c r="N16635" i="1"/>
  <c r="A16636" i="1"/>
  <c r="C16636" i="1"/>
  <c r="K16636" i="1"/>
  <c r="N16636" i="1"/>
  <c r="A16637" i="1"/>
  <c r="C16637" i="1"/>
  <c r="K16637" i="1"/>
  <c r="N16637" i="1"/>
  <c r="A16638" i="1"/>
  <c r="C16638" i="1"/>
  <c r="N16638" i="1"/>
  <c r="A16639" i="1"/>
  <c r="C16639" i="1"/>
  <c r="N16639" i="1"/>
  <c r="A16640" i="1"/>
  <c r="C16640" i="1"/>
  <c r="K16640" i="1"/>
  <c r="N16640" i="1"/>
  <c r="A16641" i="1"/>
  <c r="C16641" i="1"/>
  <c r="N16641" i="1"/>
  <c r="A16642" i="1"/>
  <c r="C16642" i="1"/>
  <c r="N16642" i="1"/>
  <c r="A16643" i="1"/>
  <c r="C16643" i="1"/>
  <c r="N16643" i="1"/>
  <c r="A16644" i="1"/>
  <c r="C16644" i="1"/>
  <c r="N16644" i="1"/>
  <c r="A16645" i="1"/>
  <c r="C16645" i="1"/>
  <c r="N16645" i="1"/>
  <c r="A16646" i="1"/>
  <c r="C16646" i="1"/>
  <c r="N16646" i="1"/>
  <c r="A16647" i="1"/>
  <c r="C16647" i="1"/>
  <c r="N16647" i="1"/>
  <c r="A16648" i="1"/>
  <c r="C16648" i="1"/>
  <c r="N16648" i="1"/>
  <c r="A16649" i="1"/>
  <c r="C16649" i="1"/>
  <c r="K16649" i="1"/>
  <c r="N16649" i="1"/>
  <c r="A16650" i="1"/>
  <c r="C16650" i="1"/>
  <c r="N16650" i="1"/>
  <c r="A16651" i="1"/>
  <c r="C16651" i="1"/>
  <c r="N16651" i="1"/>
  <c r="A16652" i="1"/>
  <c r="C16652" i="1"/>
  <c r="N16652" i="1"/>
  <c r="A16653" i="1"/>
  <c r="C16653" i="1"/>
  <c r="K16653" i="1"/>
  <c r="N16653" i="1"/>
  <c r="A16654" i="1"/>
  <c r="C16654" i="1"/>
  <c r="K16654" i="1"/>
  <c r="N16654" i="1"/>
  <c r="A16655" i="1"/>
  <c r="C16655" i="1"/>
  <c r="N16655" i="1"/>
  <c r="A16656" i="1"/>
  <c r="C16656" i="1"/>
  <c r="N16656" i="1"/>
  <c r="A16657" i="1"/>
  <c r="C16657" i="1"/>
  <c r="N16657" i="1"/>
  <c r="A16658" i="1"/>
  <c r="C16658" i="1"/>
  <c r="N16658" i="1"/>
  <c r="A16659" i="1"/>
  <c r="C16659" i="1"/>
  <c r="N16659" i="1"/>
  <c r="A16660" i="1"/>
  <c r="C16660" i="1"/>
  <c r="N16660" i="1"/>
  <c r="A16661" i="1"/>
  <c r="C16661" i="1"/>
  <c r="N16661" i="1"/>
  <c r="A16662" i="1"/>
  <c r="C16662" i="1"/>
  <c r="N16662" i="1"/>
  <c r="A16663" i="1"/>
  <c r="C16663" i="1"/>
  <c r="N16663" i="1"/>
  <c r="A16664" i="1"/>
  <c r="C16664" i="1"/>
  <c r="N16664" i="1"/>
  <c r="A16665" i="1"/>
  <c r="C16665" i="1"/>
  <c r="N16665" i="1"/>
  <c r="A16666" i="1"/>
  <c r="C16666" i="1"/>
  <c r="N16666" i="1"/>
  <c r="A16667" i="1"/>
  <c r="C16667" i="1"/>
  <c r="N16667" i="1"/>
  <c r="A16668" i="1"/>
  <c r="C16668" i="1"/>
  <c r="N16668" i="1"/>
  <c r="A16669" i="1"/>
  <c r="C16669" i="1"/>
  <c r="N16669" i="1"/>
  <c r="A16670" i="1"/>
  <c r="C16670" i="1"/>
  <c r="N16670" i="1"/>
  <c r="A16671" i="1"/>
  <c r="C16671" i="1"/>
  <c r="N16671" i="1"/>
  <c r="A16672" i="1"/>
  <c r="C16672" i="1"/>
  <c r="K16672" i="1"/>
  <c r="N16672" i="1"/>
  <c r="A16673" i="1"/>
  <c r="C16673" i="1"/>
  <c r="N16673" i="1"/>
  <c r="A16674" i="1"/>
  <c r="C16674" i="1"/>
  <c r="N16674" i="1"/>
  <c r="A16675" i="1"/>
  <c r="C16675" i="1"/>
  <c r="N16675" i="1"/>
  <c r="A16676" i="1"/>
  <c r="C16676" i="1"/>
  <c r="N16676" i="1"/>
  <c r="A16677" i="1"/>
  <c r="C16677" i="1"/>
  <c r="N16677" i="1"/>
  <c r="A16678" i="1"/>
  <c r="C16678" i="1"/>
  <c r="N16678" i="1"/>
  <c r="A16679" i="1"/>
  <c r="C16679" i="1"/>
  <c r="N16679" i="1"/>
  <c r="A16680" i="1"/>
  <c r="C16680" i="1"/>
  <c r="N16680" i="1"/>
  <c r="A16681" i="1"/>
  <c r="C16681" i="1"/>
  <c r="N16681" i="1"/>
  <c r="A16682" i="1"/>
  <c r="C16682" i="1"/>
  <c r="N16682" i="1"/>
  <c r="A16683" i="1"/>
  <c r="C16683" i="1"/>
  <c r="N16683" i="1"/>
  <c r="A16684" i="1"/>
  <c r="C16684" i="1"/>
  <c r="N16684" i="1"/>
  <c r="A16685" i="1"/>
  <c r="C16685" i="1"/>
  <c r="N16685" i="1"/>
  <c r="A16686" i="1"/>
  <c r="C16686" i="1"/>
  <c r="N16686" i="1"/>
  <c r="A16687" i="1"/>
  <c r="C16687" i="1"/>
  <c r="N16687" i="1"/>
  <c r="A16688" i="1"/>
  <c r="C16688" i="1"/>
  <c r="N16688" i="1"/>
  <c r="A16689" i="1"/>
  <c r="C16689" i="1"/>
  <c r="N16689" i="1"/>
  <c r="A16690" i="1"/>
  <c r="C16690" i="1"/>
  <c r="N16690" i="1"/>
  <c r="A16691" i="1"/>
  <c r="C16691" i="1"/>
  <c r="N16691" i="1"/>
  <c r="A16692" i="1"/>
  <c r="C16692" i="1"/>
  <c r="N16692" i="1"/>
  <c r="A16693" i="1"/>
  <c r="C16693" i="1"/>
  <c r="N16693" i="1"/>
  <c r="A16694" i="1"/>
  <c r="C16694" i="1"/>
  <c r="N16694" i="1"/>
  <c r="A16695" i="1"/>
  <c r="C16695" i="1"/>
  <c r="N16695" i="1"/>
  <c r="A16696" i="1"/>
  <c r="C16696" i="1"/>
  <c r="N16696" i="1"/>
  <c r="A16697" i="1"/>
  <c r="C16697" i="1"/>
  <c r="N16697" i="1"/>
  <c r="A16698" i="1"/>
  <c r="C16698" i="1"/>
  <c r="N16698" i="1"/>
  <c r="A16699" i="1"/>
  <c r="C16699" i="1"/>
  <c r="N16699" i="1"/>
  <c r="A16700" i="1"/>
  <c r="C16700" i="1"/>
  <c r="N16700" i="1"/>
  <c r="A16701" i="1"/>
  <c r="C16701" i="1"/>
  <c r="E16701" i="1"/>
  <c r="N16701" i="1"/>
  <c r="T16701" i="1"/>
  <c r="A16702" i="1"/>
  <c r="C16702" i="1"/>
  <c r="N16702" i="1"/>
  <c r="A16703" i="1"/>
  <c r="C16703" i="1"/>
  <c r="N16703" i="1"/>
  <c r="A16704" i="1"/>
  <c r="C16704" i="1"/>
  <c r="N16704" i="1"/>
  <c r="A16705" i="1"/>
  <c r="C16705" i="1"/>
  <c r="N16705" i="1"/>
  <c r="A16706" i="1"/>
  <c r="C16706" i="1"/>
  <c r="N16706" i="1"/>
  <c r="A16707" i="1"/>
  <c r="C16707" i="1"/>
  <c r="N16707" i="1"/>
  <c r="A16708" i="1"/>
  <c r="C16708" i="1"/>
  <c r="N16708" i="1"/>
  <c r="A16709" i="1"/>
  <c r="C16709" i="1"/>
  <c r="N16709" i="1"/>
  <c r="A16710" i="1"/>
  <c r="C16710" i="1"/>
  <c r="N16710" i="1"/>
  <c r="A16711" i="1"/>
  <c r="C16711" i="1"/>
  <c r="N16711" i="1"/>
  <c r="A16712" i="1"/>
  <c r="C16712" i="1"/>
  <c r="N16712" i="1"/>
  <c r="A16713" i="1"/>
  <c r="C16713" i="1"/>
  <c r="N16713" i="1"/>
  <c r="A16714" i="1"/>
  <c r="C16714" i="1"/>
  <c r="N16714" i="1"/>
  <c r="A16715" i="1"/>
  <c r="C16715" i="1"/>
  <c r="N16715" i="1"/>
  <c r="A16716" i="1"/>
  <c r="C16716" i="1"/>
  <c r="N16716" i="1"/>
  <c r="A16717" i="1"/>
  <c r="C16717" i="1"/>
  <c r="N16717" i="1"/>
  <c r="A16718" i="1"/>
  <c r="C16718" i="1"/>
  <c r="N16718" i="1"/>
  <c r="A16719" i="1"/>
  <c r="C16719" i="1"/>
  <c r="N16719" i="1"/>
  <c r="A16720" i="1"/>
  <c r="C16720" i="1"/>
  <c r="N16720" i="1"/>
  <c r="A16721" i="1"/>
  <c r="C16721" i="1"/>
  <c r="N16721" i="1"/>
  <c r="A16722" i="1"/>
  <c r="C16722" i="1"/>
  <c r="N16722" i="1"/>
  <c r="A16723" i="1"/>
  <c r="C16723" i="1"/>
  <c r="N16723" i="1"/>
  <c r="A16724" i="1"/>
  <c r="C16724" i="1"/>
  <c r="N16724" i="1"/>
  <c r="A16725" i="1"/>
  <c r="C16725" i="1"/>
  <c r="N16725" i="1"/>
  <c r="A16726" i="1"/>
  <c r="C16726" i="1"/>
  <c r="N16726" i="1"/>
  <c r="A16727" i="1"/>
  <c r="C16727" i="1"/>
  <c r="N16727" i="1"/>
  <c r="A16728" i="1"/>
  <c r="C16728" i="1"/>
  <c r="N16728" i="1"/>
  <c r="A16729" i="1"/>
  <c r="C16729" i="1"/>
  <c r="N16729" i="1"/>
  <c r="A16730" i="1"/>
  <c r="C16730" i="1"/>
  <c r="N16730" i="1"/>
  <c r="A16731" i="1"/>
  <c r="C16731" i="1"/>
  <c r="N16731" i="1"/>
  <c r="A16732" i="1"/>
  <c r="C16732" i="1"/>
  <c r="N16732" i="1"/>
  <c r="A16733" i="1"/>
  <c r="C16733" i="1"/>
  <c r="N16733" i="1"/>
  <c r="A16734" i="1"/>
  <c r="C16734" i="1"/>
  <c r="N16734" i="1"/>
  <c r="A16735" i="1"/>
  <c r="C16735" i="1"/>
  <c r="K16735" i="1"/>
  <c r="N16735" i="1"/>
  <c r="A16736" i="1"/>
  <c r="C16736" i="1"/>
  <c r="N16736" i="1"/>
  <c r="A16737" i="1"/>
  <c r="C16737" i="1"/>
  <c r="N16737" i="1"/>
  <c r="A16738" i="1"/>
  <c r="C16738" i="1"/>
  <c r="N16738" i="1"/>
  <c r="A16739" i="1"/>
  <c r="C16739" i="1"/>
  <c r="N16739" i="1"/>
  <c r="A16740" i="1"/>
  <c r="C16740" i="1"/>
  <c r="N16740" i="1"/>
  <c r="A16741" i="1"/>
  <c r="C16741" i="1"/>
  <c r="N16741" i="1"/>
  <c r="A16742" i="1"/>
  <c r="C16742" i="1"/>
  <c r="N16742" i="1"/>
  <c r="A16743" i="1"/>
  <c r="C16743" i="1"/>
  <c r="N16743" i="1"/>
  <c r="A16744" i="1"/>
  <c r="C16744" i="1"/>
  <c r="N16744" i="1"/>
  <c r="A16745" i="1"/>
  <c r="C16745" i="1"/>
  <c r="K16745" i="1"/>
  <c r="N16745" i="1"/>
  <c r="A16746" i="1"/>
  <c r="C16746" i="1"/>
  <c r="K16746" i="1"/>
  <c r="N16746" i="1"/>
  <c r="A16747" i="1"/>
  <c r="C16747" i="1"/>
  <c r="K16747" i="1"/>
  <c r="N16747" i="1"/>
  <c r="A16748" i="1"/>
  <c r="C16748" i="1"/>
  <c r="K16748" i="1"/>
  <c r="N16748" i="1"/>
  <c r="A16749" i="1"/>
  <c r="C16749" i="1"/>
  <c r="N16749" i="1"/>
  <c r="A16750" i="1"/>
  <c r="C16750" i="1"/>
  <c r="K16750" i="1"/>
  <c r="N16750" i="1"/>
  <c r="A16751" i="1"/>
  <c r="C16751" i="1"/>
  <c r="N16751" i="1"/>
  <c r="A16752" i="1"/>
  <c r="C16752" i="1"/>
  <c r="N16752" i="1"/>
  <c r="A16753" i="1"/>
  <c r="C16753" i="1"/>
  <c r="N16753" i="1"/>
  <c r="A16754" i="1"/>
  <c r="C16754" i="1"/>
  <c r="N16754" i="1"/>
  <c r="A16755" i="1"/>
  <c r="C16755" i="1"/>
  <c r="N16755" i="1"/>
  <c r="A16756" i="1"/>
  <c r="C16756" i="1"/>
  <c r="N16756" i="1"/>
  <c r="A16757" i="1"/>
  <c r="C16757" i="1"/>
  <c r="N16757" i="1"/>
  <c r="A16758" i="1"/>
  <c r="C16758" i="1"/>
  <c r="N16758" i="1"/>
  <c r="A16759" i="1"/>
  <c r="C16759" i="1"/>
  <c r="N16759" i="1"/>
  <c r="A16760" i="1"/>
  <c r="C16760" i="1"/>
  <c r="N16760" i="1"/>
  <c r="A16761" i="1"/>
  <c r="C16761" i="1"/>
  <c r="N16761" i="1"/>
  <c r="A16762" i="1"/>
  <c r="C16762" i="1"/>
  <c r="N16762" i="1"/>
  <c r="A16763" i="1"/>
  <c r="C16763" i="1"/>
  <c r="N16763" i="1"/>
  <c r="A16764" i="1"/>
  <c r="C16764" i="1"/>
  <c r="K16764" i="1"/>
  <c r="N16764" i="1"/>
  <c r="A16765" i="1"/>
  <c r="C16765" i="1"/>
  <c r="N16765" i="1"/>
  <c r="A16766" i="1"/>
  <c r="C16766" i="1"/>
  <c r="N16766" i="1"/>
  <c r="A16767" i="1"/>
  <c r="C16767" i="1"/>
  <c r="N16767" i="1"/>
  <c r="A16768" i="1"/>
  <c r="C16768" i="1"/>
  <c r="N16768" i="1"/>
  <c r="A16769" i="1"/>
  <c r="C16769" i="1"/>
  <c r="N16769" i="1"/>
  <c r="A16770" i="1"/>
  <c r="C16770" i="1"/>
  <c r="N16770" i="1"/>
  <c r="A16771" i="1"/>
  <c r="C16771" i="1"/>
  <c r="K16771" i="1"/>
  <c r="N16771" i="1"/>
  <c r="A16772" i="1"/>
  <c r="C16772" i="1"/>
  <c r="K16772" i="1"/>
  <c r="N16772" i="1"/>
  <c r="A16773" i="1"/>
  <c r="C16773" i="1"/>
  <c r="N16773" i="1"/>
  <c r="A16774" i="1"/>
  <c r="C16774" i="1"/>
  <c r="N16774" i="1"/>
  <c r="A16775" i="1"/>
  <c r="C16775" i="1"/>
  <c r="N16775" i="1"/>
  <c r="A16776" i="1"/>
  <c r="C16776" i="1"/>
  <c r="N16776" i="1"/>
  <c r="A16777" i="1"/>
  <c r="C16777" i="1"/>
  <c r="N16777" i="1"/>
  <c r="A16778" i="1"/>
  <c r="C16778" i="1"/>
  <c r="N16778" i="1"/>
  <c r="A16779" i="1"/>
  <c r="C16779" i="1"/>
  <c r="N16779" i="1"/>
  <c r="A16780" i="1"/>
  <c r="C16780" i="1"/>
  <c r="N16780" i="1"/>
  <c r="A16781" i="1"/>
  <c r="C16781" i="1"/>
  <c r="N16781" i="1"/>
  <c r="A16782" i="1"/>
  <c r="C16782" i="1"/>
  <c r="N16782" i="1"/>
  <c r="A16783" i="1"/>
  <c r="C16783" i="1"/>
  <c r="N16783" i="1"/>
  <c r="A16784" i="1"/>
  <c r="C16784" i="1"/>
  <c r="N16784" i="1"/>
  <c r="A16785" i="1"/>
  <c r="C16785" i="1"/>
  <c r="N16785" i="1"/>
  <c r="A16786" i="1"/>
  <c r="C16786" i="1"/>
  <c r="N16786" i="1"/>
  <c r="A16787" i="1"/>
  <c r="C16787" i="1"/>
  <c r="N16787" i="1"/>
  <c r="A16788" i="1"/>
  <c r="C16788" i="1"/>
  <c r="N16788" i="1"/>
  <c r="A16789" i="1"/>
  <c r="C16789" i="1"/>
  <c r="N16789" i="1"/>
  <c r="A16790" i="1"/>
  <c r="C16790" i="1"/>
  <c r="N16790" i="1"/>
  <c r="A16791" i="1"/>
  <c r="C16791" i="1"/>
  <c r="N16791" i="1"/>
  <c r="A16792" i="1"/>
  <c r="C16792" i="1"/>
  <c r="N16792" i="1"/>
  <c r="A16793" i="1"/>
  <c r="C16793" i="1"/>
  <c r="N16793" i="1"/>
  <c r="A16794" i="1"/>
  <c r="C16794" i="1"/>
  <c r="N16794" i="1"/>
  <c r="A16795" i="1"/>
  <c r="C16795" i="1"/>
  <c r="N16795" i="1"/>
  <c r="A16796" i="1"/>
  <c r="C16796" i="1"/>
  <c r="N16796" i="1"/>
  <c r="A16797" i="1"/>
  <c r="C16797" i="1"/>
  <c r="N16797" i="1"/>
  <c r="A16798" i="1"/>
  <c r="C16798" i="1"/>
  <c r="N16798" i="1"/>
  <c r="A16799" i="1"/>
  <c r="C16799" i="1"/>
  <c r="N16799" i="1"/>
  <c r="A16800" i="1"/>
  <c r="C16800" i="1"/>
  <c r="N16800" i="1"/>
  <c r="A16801" i="1"/>
  <c r="C16801" i="1"/>
  <c r="N16801" i="1"/>
  <c r="A16802" i="1"/>
  <c r="C16802" i="1"/>
  <c r="N16802" i="1"/>
  <c r="A16803" i="1"/>
  <c r="C16803" i="1"/>
  <c r="N16803" i="1"/>
  <c r="A16804" i="1"/>
  <c r="C16804" i="1"/>
  <c r="N16804" i="1"/>
  <c r="A16805" i="1"/>
  <c r="C16805" i="1"/>
  <c r="N16805" i="1"/>
  <c r="A16806" i="1"/>
  <c r="C16806" i="1"/>
  <c r="N16806" i="1"/>
  <c r="A16807" i="1"/>
  <c r="C16807" i="1"/>
  <c r="N16807" i="1"/>
  <c r="A16808" i="1"/>
  <c r="C16808" i="1"/>
  <c r="N16808" i="1"/>
  <c r="A16809" i="1"/>
  <c r="C16809" i="1"/>
  <c r="N16809" i="1"/>
  <c r="A16810" i="1"/>
  <c r="C16810" i="1"/>
  <c r="N16810" i="1"/>
  <c r="A16811" i="1"/>
  <c r="C16811" i="1"/>
  <c r="N16811" i="1"/>
  <c r="A16812" i="1"/>
  <c r="C16812" i="1"/>
  <c r="K16812" i="1"/>
  <c r="N16812" i="1"/>
  <c r="A16813" i="1"/>
  <c r="C16813" i="1"/>
  <c r="N16813" i="1"/>
  <c r="A16814" i="1"/>
  <c r="C16814" i="1"/>
  <c r="N16814" i="1"/>
  <c r="A16815" i="1"/>
  <c r="C16815" i="1"/>
  <c r="N16815" i="1"/>
  <c r="A16816" i="1"/>
  <c r="C16816" i="1"/>
  <c r="N16816" i="1"/>
  <c r="A16817" i="1"/>
  <c r="C16817" i="1"/>
  <c r="N16817" i="1"/>
  <c r="A16818" i="1"/>
  <c r="C16818" i="1"/>
  <c r="N16818" i="1"/>
  <c r="A16819" i="1"/>
  <c r="C16819" i="1"/>
  <c r="N16819" i="1"/>
  <c r="A16820" i="1"/>
  <c r="C16820" i="1"/>
  <c r="N16820" i="1"/>
  <c r="A16821" i="1"/>
  <c r="C16821" i="1"/>
  <c r="N16821" i="1"/>
  <c r="A16822" i="1"/>
  <c r="C16822" i="1"/>
  <c r="N16822" i="1"/>
  <c r="A16823" i="1"/>
  <c r="C16823" i="1"/>
  <c r="N16823" i="1"/>
  <c r="A16824" i="1"/>
  <c r="C16824" i="1"/>
  <c r="N16824" i="1"/>
  <c r="A16825" i="1"/>
  <c r="C16825" i="1"/>
  <c r="N16825" i="1"/>
  <c r="A16826" i="1"/>
  <c r="C16826" i="1"/>
  <c r="N16826" i="1"/>
  <c r="A16827" i="1"/>
  <c r="C16827" i="1"/>
  <c r="N16827" i="1"/>
  <c r="A16828" i="1"/>
  <c r="C16828" i="1"/>
  <c r="N16828" i="1"/>
  <c r="A16829" i="1"/>
  <c r="C16829" i="1"/>
  <c r="N16829" i="1"/>
  <c r="A16830" i="1"/>
  <c r="C16830" i="1"/>
  <c r="N16830" i="1"/>
  <c r="A16831" i="1"/>
  <c r="C16831" i="1"/>
  <c r="K16831" i="1"/>
  <c r="N16831" i="1"/>
  <c r="A16832" i="1"/>
  <c r="C16832" i="1"/>
  <c r="N16832" i="1"/>
  <c r="A16833" i="1"/>
  <c r="C16833" i="1"/>
  <c r="K16833" i="1"/>
  <c r="N16833" i="1"/>
  <c r="A16834" i="1"/>
  <c r="C16834" i="1"/>
  <c r="K16834" i="1"/>
  <c r="N16834" i="1"/>
  <c r="A16835" i="1"/>
  <c r="C16835" i="1"/>
  <c r="N16835" i="1"/>
  <c r="A16836" i="1"/>
  <c r="C16836" i="1"/>
  <c r="N16836" i="1"/>
  <c r="A16837" i="1"/>
  <c r="C16837" i="1"/>
  <c r="N16837" i="1"/>
  <c r="A16838" i="1"/>
  <c r="C16838" i="1"/>
  <c r="N16838" i="1"/>
  <c r="A16839" i="1"/>
  <c r="C16839" i="1"/>
  <c r="N16839" i="1"/>
  <c r="A16840" i="1"/>
  <c r="C16840" i="1"/>
  <c r="N16840" i="1"/>
  <c r="A16841" i="1"/>
  <c r="C16841" i="1"/>
  <c r="N16841" i="1"/>
  <c r="A16842" i="1"/>
  <c r="C16842" i="1"/>
  <c r="N16842" i="1"/>
  <c r="A16843" i="1"/>
  <c r="C16843" i="1"/>
  <c r="N16843" i="1"/>
  <c r="A16844" i="1"/>
  <c r="C16844" i="1"/>
  <c r="N16844" i="1"/>
  <c r="A16845" i="1"/>
  <c r="C16845" i="1"/>
  <c r="N16845" i="1"/>
  <c r="A16846" i="1"/>
  <c r="C16846" i="1"/>
  <c r="N16846" i="1"/>
  <c r="A16847" i="1"/>
  <c r="C16847" i="1"/>
  <c r="N16847" i="1"/>
  <c r="A16848" i="1"/>
  <c r="C16848" i="1"/>
  <c r="N16848" i="1"/>
  <c r="A16849" i="1"/>
  <c r="C16849" i="1"/>
  <c r="N16849" i="1"/>
  <c r="A16850" i="1"/>
  <c r="C16850" i="1"/>
  <c r="N16850" i="1"/>
  <c r="A16851" i="1"/>
  <c r="C16851" i="1"/>
  <c r="N16851" i="1"/>
  <c r="A16852" i="1"/>
  <c r="C16852" i="1"/>
  <c r="N16852" i="1"/>
  <c r="A16853" i="1"/>
  <c r="C16853" i="1"/>
  <c r="N16853" i="1"/>
  <c r="A16854" i="1"/>
  <c r="C16854" i="1"/>
  <c r="N16854" i="1"/>
  <c r="A16855" i="1"/>
  <c r="C16855" i="1"/>
  <c r="N16855" i="1"/>
  <c r="A16856" i="1"/>
  <c r="C16856" i="1"/>
  <c r="N16856" i="1"/>
  <c r="A16857" i="1"/>
  <c r="C16857" i="1"/>
  <c r="N16857" i="1"/>
  <c r="A16858" i="1"/>
  <c r="C16858" i="1"/>
  <c r="K16858" i="1"/>
  <c r="N16858" i="1"/>
  <c r="A16859" i="1"/>
  <c r="C16859" i="1"/>
  <c r="K16859" i="1"/>
  <c r="N16859" i="1"/>
  <c r="A16860" i="1"/>
  <c r="C16860" i="1"/>
  <c r="N16860" i="1"/>
  <c r="A16861" i="1"/>
  <c r="C16861" i="1"/>
  <c r="N16861" i="1"/>
  <c r="A16862" i="1"/>
  <c r="C16862" i="1"/>
  <c r="N16862" i="1"/>
  <c r="A16863" i="1"/>
  <c r="C16863" i="1"/>
  <c r="N16863" i="1"/>
  <c r="A16864" i="1"/>
  <c r="C16864" i="1"/>
  <c r="N16864" i="1"/>
  <c r="A16865" i="1"/>
  <c r="C16865" i="1"/>
  <c r="N16865" i="1"/>
  <c r="A16866" i="1"/>
  <c r="C16866" i="1"/>
  <c r="N16866" i="1"/>
  <c r="A16867" i="1"/>
  <c r="C16867" i="1"/>
  <c r="N16867" i="1"/>
  <c r="A16868" i="1"/>
  <c r="C16868" i="1"/>
  <c r="N16868" i="1"/>
  <c r="A16869" i="1"/>
  <c r="C16869" i="1"/>
  <c r="N16869" i="1"/>
  <c r="A16870" i="1"/>
  <c r="C16870" i="1"/>
  <c r="K16870" i="1"/>
  <c r="N16870" i="1"/>
  <c r="A16871" i="1"/>
  <c r="C16871" i="1"/>
  <c r="N16871" i="1"/>
  <c r="A16872" i="1"/>
  <c r="C16872" i="1"/>
  <c r="N16872" i="1"/>
  <c r="A16873" i="1"/>
  <c r="C16873" i="1"/>
  <c r="N16873" i="1"/>
  <c r="A16874" i="1"/>
  <c r="C16874" i="1"/>
  <c r="N16874" i="1"/>
  <c r="A16875" i="1"/>
  <c r="C16875" i="1"/>
  <c r="N16875" i="1"/>
  <c r="A16876" i="1"/>
  <c r="C16876" i="1"/>
  <c r="N16876" i="1"/>
  <c r="A16877" i="1"/>
  <c r="C16877" i="1"/>
  <c r="N16877" i="1"/>
  <c r="A16878" i="1"/>
  <c r="C16878" i="1"/>
  <c r="N16878" i="1"/>
  <c r="A16879" i="1"/>
  <c r="C16879" i="1"/>
  <c r="N16879" i="1"/>
  <c r="A16880" i="1"/>
  <c r="C16880" i="1"/>
  <c r="N16880" i="1"/>
  <c r="A16881" i="1"/>
  <c r="C16881" i="1"/>
  <c r="N16881" i="1"/>
  <c r="A16882" i="1"/>
  <c r="C16882" i="1"/>
  <c r="K16882" i="1"/>
  <c r="N16882" i="1"/>
  <c r="A16883" i="1"/>
  <c r="C16883" i="1"/>
  <c r="N16883" i="1"/>
  <c r="A16884" i="1"/>
  <c r="C16884" i="1"/>
  <c r="K16884" i="1"/>
  <c r="N16884" i="1"/>
  <c r="A16885" i="1"/>
  <c r="C16885" i="1"/>
  <c r="F16885" i="1"/>
  <c r="N16885" i="1"/>
  <c r="A16886" i="1"/>
  <c r="C16886" i="1"/>
  <c r="F16886" i="1"/>
  <c r="N16886" i="1"/>
  <c r="A16887" i="1"/>
  <c r="C16887" i="1"/>
  <c r="F16887" i="1"/>
  <c r="N16887" i="1"/>
  <c r="A16888" i="1"/>
  <c r="C16888" i="1"/>
  <c r="F16888" i="1"/>
  <c r="N16888" i="1"/>
  <c r="A16889" i="1"/>
  <c r="C16889" i="1"/>
  <c r="F16889" i="1"/>
  <c r="N16889" i="1"/>
  <c r="A16890" i="1"/>
  <c r="C16890" i="1"/>
  <c r="F16890" i="1"/>
  <c r="N16890" i="1"/>
  <c r="A16891" i="1"/>
  <c r="C16891" i="1"/>
  <c r="F16891" i="1"/>
  <c r="N16891" i="1"/>
  <c r="A16892" i="1"/>
  <c r="C16892" i="1"/>
  <c r="F16892" i="1"/>
  <c r="N16892" i="1"/>
  <c r="A16893" i="1"/>
  <c r="C16893" i="1"/>
  <c r="F16893" i="1"/>
  <c r="N16893" i="1"/>
  <c r="A16894" i="1"/>
  <c r="C16894" i="1"/>
  <c r="F16894" i="1"/>
  <c r="N16894" i="1"/>
  <c r="A16895" i="1"/>
  <c r="C16895" i="1"/>
  <c r="N16895" i="1"/>
  <c r="A16896" i="1"/>
  <c r="C16896" i="1"/>
  <c r="N16896" i="1"/>
  <c r="A16897" i="1"/>
  <c r="C16897" i="1"/>
  <c r="N16897" i="1"/>
  <c r="A16898" i="1"/>
  <c r="C16898" i="1"/>
  <c r="K16898" i="1"/>
  <c r="N16898" i="1"/>
  <c r="A16899" i="1"/>
  <c r="C16899" i="1"/>
  <c r="N16899" i="1"/>
  <c r="A16900" i="1"/>
  <c r="C16900" i="1"/>
  <c r="N16900" i="1"/>
  <c r="A16901" i="1"/>
  <c r="C16901" i="1"/>
  <c r="N16901" i="1"/>
  <c r="A16902" i="1"/>
  <c r="C16902" i="1"/>
  <c r="N16902" i="1"/>
  <c r="A16903" i="1"/>
  <c r="C16903" i="1"/>
  <c r="N16903" i="1"/>
  <c r="A16904" i="1"/>
  <c r="C16904" i="1"/>
  <c r="N16904" i="1"/>
  <c r="A16905" i="1"/>
  <c r="C16905" i="1"/>
  <c r="N16905" i="1"/>
  <c r="A16906" i="1"/>
  <c r="C16906" i="1"/>
  <c r="N16906" i="1"/>
  <c r="A16907" i="1"/>
  <c r="C16907" i="1"/>
  <c r="N16907" i="1"/>
  <c r="A16908" i="1"/>
  <c r="C16908" i="1"/>
  <c r="N16908" i="1"/>
  <c r="A16909" i="1"/>
  <c r="C16909" i="1"/>
  <c r="N16909" i="1"/>
  <c r="A16910" i="1"/>
  <c r="C16910" i="1"/>
  <c r="N16910" i="1"/>
  <c r="A16911" i="1"/>
  <c r="C16911" i="1"/>
  <c r="N16911" i="1"/>
  <c r="A16912" i="1"/>
  <c r="C16912" i="1"/>
  <c r="N16912" i="1"/>
  <c r="A16913" i="1"/>
  <c r="C16913" i="1"/>
  <c r="N16913" i="1"/>
  <c r="A16914" i="1"/>
  <c r="C16914" i="1"/>
  <c r="N16914" i="1"/>
  <c r="A16915" i="1"/>
  <c r="C16915" i="1"/>
  <c r="N16915" i="1"/>
  <c r="A16916" i="1"/>
  <c r="C16916" i="1"/>
  <c r="N16916" i="1"/>
  <c r="A16917" i="1"/>
  <c r="C16917" i="1"/>
  <c r="N16917" i="1"/>
  <c r="A16918" i="1"/>
  <c r="C16918" i="1"/>
  <c r="K16918" i="1"/>
  <c r="N16918" i="1"/>
  <c r="A16919" i="1"/>
  <c r="C16919" i="1"/>
  <c r="N16919" i="1"/>
  <c r="A16920" i="1"/>
  <c r="C16920" i="1"/>
  <c r="N16920" i="1"/>
  <c r="A16921" i="1"/>
  <c r="C16921" i="1"/>
  <c r="N16921" i="1"/>
  <c r="A16922" i="1"/>
  <c r="C16922" i="1"/>
  <c r="N16922" i="1"/>
  <c r="A16923" i="1"/>
  <c r="C16923" i="1"/>
  <c r="N16923" i="1"/>
  <c r="A16924" i="1"/>
  <c r="C16924" i="1"/>
  <c r="N16924" i="1"/>
  <c r="A16925" i="1"/>
  <c r="C16925" i="1"/>
  <c r="N16925" i="1"/>
  <c r="A16926" i="1"/>
  <c r="C16926" i="1"/>
  <c r="N16926" i="1"/>
  <c r="A16927" i="1"/>
  <c r="C16927" i="1"/>
  <c r="N16927" i="1"/>
  <c r="A16928" i="1"/>
  <c r="C16928" i="1"/>
  <c r="N16928" i="1"/>
  <c r="A16929" i="1"/>
  <c r="C16929" i="1"/>
  <c r="N16929" i="1"/>
  <c r="A16930" i="1"/>
  <c r="C16930" i="1"/>
  <c r="K16930" i="1"/>
  <c r="N16930" i="1"/>
  <c r="A16931" i="1"/>
  <c r="C16931" i="1"/>
  <c r="N16931" i="1"/>
  <c r="A16932" i="1"/>
  <c r="C16932" i="1"/>
  <c r="N16932" i="1"/>
  <c r="A16933" i="1"/>
  <c r="C16933" i="1"/>
  <c r="K16933" i="1"/>
  <c r="N16933" i="1"/>
  <c r="A16934" i="1"/>
  <c r="C16934" i="1"/>
  <c r="N16934" i="1"/>
  <c r="A16935" i="1"/>
  <c r="C16935" i="1"/>
  <c r="N16935" i="1"/>
  <c r="A16936" i="1"/>
  <c r="C16936" i="1"/>
  <c r="N16936" i="1"/>
  <c r="A16937" i="1"/>
  <c r="C16937" i="1"/>
  <c r="E16937" i="1"/>
  <c r="N16937" i="1"/>
  <c r="T16937" i="1"/>
  <c r="A16938" i="1"/>
  <c r="C16938" i="1"/>
  <c r="N16938" i="1"/>
  <c r="A16939" i="1"/>
  <c r="C16939" i="1"/>
  <c r="N16939" i="1"/>
  <c r="A16940" i="1"/>
  <c r="C16940" i="1"/>
  <c r="N16940" i="1"/>
  <c r="A16941" i="1"/>
  <c r="C16941" i="1"/>
  <c r="N16941" i="1"/>
  <c r="A16942" i="1"/>
  <c r="C16942" i="1"/>
  <c r="N16942" i="1"/>
  <c r="A16943" i="1"/>
  <c r="C16943" i="1"/>
  <c r="N16943" i="1"/>
  <c r="A16944" i="1"/>
  <c r="C16944" i="1"/>
  <c r="N16944" i="1"/>
  <c r="A16945" i="1"/>
  <c r="C16945" i="1"/>
  <c r="K16945" i="1"/>
  <c r="N16945" i="1"/>
  <c r="A16946" i="1"/>
  <c r="C16946" i="1"/>
  <c r="N16946" i="1"/>
  <c r="A16947" i="1"/>
  <c r="C16947" i="1"/>
  <c r="N16947" i="1"/>
  <c r="A16948" i="1"/>
  <c r="C16948" i="1"/>
  <c r="N16948" i="1"/>
  <c r="A16949" i="1"/>
  <c r="C16949" i="1"/>
  <c r="N16949" i="1"/>
  <c r="A16950" i="1"/>
  <c r="C16950" i="1"/>
  <c r="N16950" i="1"/>
  <c r="A16951" i="1"/>
  <c r="C16951" i="1"/>
  <c r="N16951" i="1"/>
  <c r="A16952" i="1"/>
  <c r="C16952" i="1"/>
  <c r="N16952" i="1"/>
  <c r="A16953" i="1"/>
  <c r="C16953" i="1"/>
  <c r="K16953" i="1"/>
  <c r="N16953" i="1"/>
  <c r="A16954" i="1"/>
  <c r="C16954" i="1"/>
  <c r="N16954" i="1"/>
  <c r="A16955" i="1"/>
  <c r="C16955" i="1"/>
  <c r="N16955" i="1"/>
  <c r="A16956" i="1"/>
  <c r="C16956" i="1"/>
  <c r="N16956" i="1"/>
  <c r="A16957" i="1"/>
  <c r="C16957" i="1"/>
  <c r="N16957" i="1"/>
  <c r="A16958" i="1"/>
  <c r="C16958" i="1"/>
  <c r="N16958" i="1"/>
  <c r="A16959" i="1"/>
  <c r="C16959" i="1"/>
  <c r="N16959" i="1"/>
  <c r="A16960" i="1"/>
  <c r="C16960" i="1"/>
  <c r="N16960" i="1"/>
  <c r="A16961" i="1"/>
  <c r="C16961" i="1"/>
  <c r="N16961" i="1"/>
  <c r="A16962" i="1"/>
  <c r="C16962" i="1"/>
  <c r="N16962" i="1"/>
  <c r="A16963" i="1"/>
  <c r="C16963" i="1"/>
  <c r="N16963" i="1"/>
  <c r="A16964" i="1"/>
  <c r="C16964" i="1"/>
  <c r="N16964" i="1"/>
  <c r="A16965" i="1"/>
  <c r="C16965" i="1"/>
  <c r="N16965" i="1"/>
  <c r="A16966" i="1"/>
  <c r="C16966" i="1"/>
  <c r="N16966" i="1"/>
  <c r="A16967" i="1"/>
  <c r="C16967" i="1"/>
  <c r="N16967" i="1"/>
  <c r="A16968" i="1"/>
  <c r="C16968" i="1"/>
  <c r="N16968" i="1"/>
  <c r="A16969" i="1"/>
  <c r="C16969" i="1"/>
  <c r="N16969" i="1"/>
  <c r="A16970" i="1"/>
  <c r="C16970" i="1"/>
  <c r="N16970" i="1"/>
  <c r="A16971" i="1"/>
  <c r="C16971" i="1"/>
  <c r="N16971" i="1"/>
  <c r="A16972" i="1"/>
  <c r="C16972" i="1"/>
  <c r="N16972" i="1"/>
  <c r="A16973" i="1"/>
  <c r="C16973" i="1"/>
  <c r="N16973" i="1"/>
  <c r="A16974" i="1"/>
  <c r="C16974" i="1"/>
  <c r="K16974" i="1"/>
  <c r="N16974" i="1"/>
  <c r="A16975" i="1"/>
  <c r="C16975" i="1"/>
  <c r="N16975" i="1"/>
  <c r="A16976" i="1"/>
  <c r="C16976" i="1"/>
  <c r="N16976" i="1"/>
  <c r="A16977" i="1"/>
  <c r="C16977" i="1"/>
  <c r="N16977" i="1"/>
  <c r="A16978" i="1"/>
  <c r="C16978" i="1"/>
  <c r="N16978" i="1"/>
  <c r="A16979" i="1"/>
  <c r="C16979" i="1"/>
  <c r="N16979" i="1"/>
  <c r="A16980" i="1"/>
  <c r="C16980" i="1"/>
  <c r="N16980" i="1"/>
  <c r="A16981" i="1"/>
  <c r="C16981" i="1"/>
  <c r="N16981" i="1"/>
  <c r="A16982" i="1"/>
  <c r="C16982" i="1"/>
  <c r="N16982" i="1"/>
  <c r="A16983" i="1"/>
  <c r="C16983" i="1"/>
  <c r="N16983" i="1"/>
  <c r="A16984" i="1"/>
  <c r="C16984" i="1"/>
  <c r="D16984" i="1"/>
  <c r="N16984" i="1"/>
  <c r="O16984" i="1"/>
  <c r="A16985" i="1"/>
  <c r="C16985" i="1"/>
  <c r="N16985" i="1"/>
  <c r="A16986" i="1"/>
  <c r="C16986" i="1"/>
  <c r="K16986" i="1"/>
  <c r="N16986" i="1"/>
  <c r="A16987" i="1"/>
  <c r="C16987" i="1"/>
  <c r="N16987" i="1"/>
  <c r="A16988" i="1"/>
  <c r="C16988" i="1"/>
  <c r="N16988" i="1"/>
  <c r="A16989" i="1"/>
  <c r="C16989" i="1"/>
  <c r="N16989" i="1"/>
  <c r="A16990" i="1"/>
  <c r="C16990" i="1"/>
  <c r="K16990" i="1"/>
  <c r="N16990" i="1"/>
  <c r="A16991" i="1"/>
  <c r="C16991" i="1"/>
  <c r="N16991" i="1"/>
  <c r="A16992" i="1"/>
  <c r="C16992" i="1"/>
  <c r="N16992" i="1"/>
  <c r="A16993" i="1"/>
  <c r="C16993" i="1"/>
  <c r="N16993" i="1"/>
  <c r="A16994" i="1"/>
  <c r="C16994" i="1"/>
  <c r="N16994" i="1"/>
  <c r="A16995" i="1"/>
  <c r="C16995" i="1"/>
  <c r="N16995" i="1"/>
  <c r="A16996" i="1"/>
  <c r="C16996" i="1"/>
  <c r="K16996" i="1"/>
  <c r="N16996" i="1"/>
  <c r="A16997" i="1"/>
  <c r="C16997" i="1"/>
  <c r="K16997" i="1"/>
  <c r="N16997" i="1"/>
  <c r="A16998" i="1"/>
  <c r="C16998" i="1"/>
  <c r="N16998" i="1"/>
  <c r="A16999" i="1"/>
  <c r="C16999" i="1"/>
  <c r="K16999" i="1"/>
  <c r="N16999" i="1"/>
  <c r="A17000" i="1"/>
  <c r="C17000" i="1"/>
  <c r="N17000" i="1"/>
  <c r="A17001" i="1"/>
  <c r="C17001" i="1"/>
  <c r="N17001" i="1"/>
  <c r="A17002" i="1"/>
  <c r="C17002" i="1"/>
  <c r="E17002" i="1"/>
  <c r="N17002" i="1"/>
  <c r="T17002" i="1"/>
  <c r="A17003" i="1"/>
  <c r="C17003" i="1"/>
  <c r="D17003" i="1"/>
  <c r="N17003" i="1"/>
  <c r="O17003" i="1"/>
  <c r="A17004" i="1"/>
  <c r="C17004" i="1"/>
  <c r="N17004" i="1"/>
  <c r="A17005" i="1"/>
  <c r="C17005" i="1"/>
  <c r="N17005" i="1"/>
  <c r="A17006" i="1"/>
  <c r="C17006" i="1"/>
  <c r="N17006" i="1"/>
  <c r="A17007" i="1"/>
  <c r="C17007" i="1"/>
  <c r="N17007" i="1"/>
  <c r="A17008" i="1"/>
  <c r="C17008" i="1"/>
  <c r="N17008" i="1"/>
  <c r="A17009" i="1"/>
  <c r="C17009" i="1"/>
  <c r="N17009" i="1"/>
  <c r="A17010" i="1"/>
  <c r="C17010" i="1"/>
  <c r="N17010" i="1"/>
  <c r="A17011" i="1"/>
  <c r="C17011" i="1"/>
  <c r="N17011" i="1"/>
  <c r="A17012" i="1"/>
  <c r="C17012" i="1"/>
  <c r="N17012" i="1"/>
  <c r="A17013" i="1"/>
  <c r="C17013" i="1"/>
  <c r="N17013" i="1"/>
  <c r="A17014" i="1"/>
  <c r="C17014" i="1"/>
  <c r="K17014" i="1"/>
  <c r="N17014" i="1"/>
  <c r="A17015" i="1"/>
  <c r="C17015" i="1"/>
  <c r="N17015" i="1"/>
  <c r="A17016" i="1"/>
  <c r="C17016" i="1"/>
  <c r="N17016" i="1"/>
  <c r="A17017" i="1"/>
  <c r="C17017" i="1"/>
  <c r="N17017" i="1"/>
  <c r="A17018" i="1"/>
  <c r="C17018" i="1"/>
  <c r="N17018" i="1"/>
  <c r="A17019" i="1"/>
  <c r="C17019" i="1"/>
  <c r="D17019" i="1"/>
  <c r="N17019" i="1"/>
  <c r="O17019" i="1"/>
  <c r="A17020" i="1"/>
  <c r="C17020" i="1"/>
  <c r="N17020" i="1"/>
  <c r="A17021" i="1"/>
  <c r="C17021" i="1"/>
  <c r="N17021" i="1"/>
  <c r="A17022" i="1"/>
  <c r="C17022" i="1"/>
  <c r="N17022" i="1"/>
  <c r="A17023" i="1"/>
  <c r="C17023" i="1"/>
  <c r="N17023" i="1"/>
  <c r="A17024" i="1"/>
  <c r="C17024" i="1"/>
  <c r="N17024" i="1"/>
  <c r="A17025" i="1"/>
  <c r="C17025" i="1"/>
  <c r="N17025" i="1"/>
  <c r="A17026" i="1"/>
  <c r="C17026" i="1"/>
  <c r="N17026" i="1"/>
  <c r="A17027" i="1"/>
  <c r="C17027" i="1"/>
  <c r="N17027" i="1"/>
  <c r="A17028" i="1"/>
  <c r="C17028" i="1"/>
  <c r="N17028" i="1"/>
  <c r="A17029" i="1"/>
  <c r="C17029" i="1"/>
  <c r="N17029" i="1"/>
  <c r="A17030" i="1"/>
  <c r="C17030" i="1"/>
  <c r="N17030" i="1"/>
  <c r="A17031" i="1"/>
  <c r="C17031" i="1"/>
  <c r="N17031" i="1"/>
  <c r="A17032" i="1"/>
  <c r="C17032" i="1"/>
  <c r="K17032" i="1"/>
  <c r="N17032" i="1"/>
  <c r="A17033" i="1"/>
  <c r="C17033" i="1"/>
  <c r="N17033" i="1"/>
  <c r="A17034" i="1"/>
  <c r="C17034" i="1"/>
  <c r="N17034" i="1"/>
  <c r="A17035" i="1"/>
  <c r="C17035" i="1"/>
  <c r="N17035" i="1"/>
  <c r="A17036" i="1"/>
  <c r="C17036" i="1"/>
  <c r="N17036" i="1"/>
  <c r="A17037" i="1"/>
  <c r="C17037" i="1"/>
  <c r="N17037" i="1"/>
  <c r="A17038" i="1"/>
  <c r="C17038" i="1"/>
  <c r="N17038" i="1"/>
  <c r="A17039" i="1"/>
  <c r="C17039" i="1"/>
  <c r="N17039" i="1"/>
  <c r="A17040" i="1"/>
  <c r="C17040" i="1"/>
  <c r="K17040" i="1"/>
  <c r="N17040" i="1"/>
  <c r="A17041" i="1"/>
  <c r="C17041" i="1"/>
  <c r="K17041" i="1"/>
  <c r="N17041" i="1"/>
  <c r="A17042" i="1"/>
  <c r="C17042" i="1"/>
  <c r="K17042" i="1"/>
  <c r="N17042" i="1"/>
  <c r="A17043" i="1"/>
  <c r="C17043" i="1"/>
  <c r="N17043" i="1"/>
  <c r="A17044" i="1"/>
  <c r="C17044" i="1"/>
  <c r="N17044" i="1"/>
  <c r="A17045" i="1"/>
  <c r="C17045" i="1"/>
  <c r="N17045" i="1"/>
  <c r="A17046" i="1"/>
  <c r="C17046" i="1"/>
  <c r="N17046" i="1"/>
  <c r="A17047" i="1"/>
  <c r="C17047" i="1"/>
  <c r="N17047" i="1"/>
  <c r="A17048" i="1"/>
  <c r="C17048" i="1"/>
  <c r="N17048" i="1"/>
  <c r="A17049" i="1"/>
  <c r="C17049" i="1"/>
  <c r="N17049" i="1"/>
  <c r="A17050" i="1"/>
  <c r="C17050" i="1"/>
  <c r="N17050" i="1"/>
  <c r="A17051" i="1"/>
  <c r="C17051" i="1"/>
  <c r="F17051" i="1"/>
  <c r="N17051" i="1"/>
  <c r="A17052" i="1"/>
  <c r="C17052" i="1"/>
  <c r="N17052" i="1"/>
  <c r="A17053" i="1"/>
  <c r="C17053" i="1"/>
  <c r="N17053" i="1"/>
  <c r="A17054" i="1"/>
  <c r="C17054" i="1"/>
  <c r="N17054" i="1"/>
  <c r="A17055" i="1"/>
  <c r="C17055" i="1"/>
  <c r="N17055" i="1"/>
  <c r="A17056" i="1"/>
  <c r="C17056" i="1"/>
  <c r="N17056" i="1"/>
  <c r="A17057" i="1"/>
  <c r="C17057" i="1"/>
  <c r="N17057" i="1"/>
  <c r="A17058" i="1"/>
  <c r="C17058" i="1"/>
  <c r="N17058" i="1"/>
  <c r="A17059" i="1"/>
  <c r="C17059" i="1"/>
  <c r="N17059" i="1"/>
  <c r="A17060" i="1"/>
  <c r="C17060" i="1"/>
  <c r="N17060" i="1"/>
  <c r="A17061" i="1"/>
  <c r="C17061" i="1"/>
  <c r="N17061" i="1"/>
  <c r="A17062" i="1"/>
  <c r="C17062" i="1"/>
  <c r="N17062" i="1"/>
  <c r="A17063" i="1"/>
  <c r="C17063" i="1"/>
  <c r="N17063" i="1"/>
  <c r="A17064" i="1"/>
  <c r="C17064" i="1"/>
  <c r="N17064" i="1"/>
  <c r="A17065" i="1"/>
  <c r="C17065" i="1"/>
  <c r="N17065" i="1"/>
  <c r="A17066" i="1"/>
  <c r="C17066" i="1"/>
  <c r="N17066" i="1"/>
  <c r="A17067" i="1"/>
  <c r="C17067" i="1"/>
  <c r="N17067" i="1"/>
  <c r="A17068" i="1"/>
  <c r="C17068" i="1"/>
  <c r="N17068" i="1"/>
  <c r="A17069" i="1"/>
  <c r="C17069" i="1"/>
  <c r="K17069" i="1"/>
  <c r="N17069" i="1"/>
  <c r="A17070" i="1"/>
  <c r="C17070" i="1"/>
  <c r="N17070" i="1"/>
  <c r="A17071" i="1"/>
  <c r="C17071" i="1"/>
  <c r="N17071" i="1"/>
  <c r="A17072" i="1"/>
  <c r="C17072" i="1"/>
  <c r="N17072" i="1"/>
  <c r="A17073" i="1"/>
  <c r="C17073" i="1"/>
  <c r="N17073" i="1"/>
  <c r="A17074" i="1"/>
  <c r="C17074" i="1"/>
  <c r="N17074" i="1"/>
  <c r="A17075" i="1"/>
  <c r="C17075" i="1"/>
  <c r="N17075" i="1"/>
  <c r="A17076" i="1"/>
  <c r="C17076" i="1"/>
  <c r="N17076" i="1"/>
  <c r="A17077" i="1"/>
  <c r="C17077" i="1"/>
  <c r="N17077" i="1"/>
  <c r="A17078" i="1"/>
  <c r="C17078" i="1"/>
  <c r="N17078" i="1"/>
  <c r="A17079" i="1"/>
  <c r="C17079" i="1"/>
  <c r="N17079" i="1"/>
  <c r="A17080" i="1"/>
  <c r="C17080" i="1"/>
  <c r="N17080" i="1"/>
  <c r="A17081" i="1"/>
  <c r="C17081" i="1"/>
  <c r="N17081" i="1"/>
  <c r="A17082" i="1"/>
  <c r="C17082" i="1"/>
  <c r="N17082" i="1"/>
  <c r="A17083" i="1"/>
  <c r="C17083" i="1"/>
  <c r="N17083" i="1"/>
  <c r="A17084" i="1"/>
  <c r="C17084" i="1"/>
  <c r="D17084" i="1"/>
  <c r="N17084" i="1"/>
  <c r="O17084" i="1"/>
  <c r="A17085" i="1"/>
  <c r="C17085" i="1"/>
  <c r="N17085" i="1"/>
  <c r="A17086" i="1"/>
  <c r="C17086" i="1"/>
  <c r="K17086" i="1"/>
  <c r="N17086" i="1"/>
  <c r="A17087" i="1"/>
  <c r="C17087" i="1"/>
  <c r="N17087" i="1"/>
  <c r="A17088" i="1"/>
  <c r="C17088" i="1"/>
  <c r="N17088" i="1"/>
  <c r="A17089" i="1"/>
  <c r="C17089" i="1"/>
  <c r="N17089" i="1"/>
  <c r="A17090" i="1"/>
  <c r="C17090" i="1"/>
  <c r="K17090" i="1"/>
  <c r="N17090" i="1"/>
  <c r="A17091" i="1"/>
  <c r="C17091" i="1"/>
  <c r="N17091" i="1"/>
  <c r="A17092" i="1"/>
  <c r="C17092" i="1"/>
  <c r="N17092" i="1"/>
  <c r="A17093" i="1"/>
  <c r="C17093" i="1"/>
  <c r="N17093" i="1"/>
  <c r="A17094" i="1"/>
  <c r="C17094" i="1"/>
  <c r="N17094" i="1"/>
  <c r="A17095" i="1"/>
  <c r="C17095" i="1"/>
  <c r="N17095" i="1"/>
  <c r="A17096" i="1"/>
  <c r="C17096" i="1"/>
  <c r="N17096" i="1"/>
  <c r="A17097" i="1"/>
  <c r="C17097" i="1"/>
  <c r="N17097" i="1"/>
  <c r="A17098" i="1"/>
  <c r="C17098" i="1"/>
  <c r="N17098" i="1"/>
  <c r="A17099" i="1"/>
  <c r="C17099" i="1"/>
  <c r="N17099" i="1"/>
  <c r="A17100" i="1"/>
  <c r="C17100" i="1"/>
  <c r="N17100" i="1"/>
  <c r="A17101" i="1"/>
  <c r="C17101" i="1"/>
  <c r="K17101" i="1"/>
  <c r="N17101" i="1"/>
  <c r="A17102" i="1"/>
  <c r="C17102" i="1"/>
  <c r="N17102" i="1"/>
  <c r="A17103" i="1"/>
  <c r="C17103" i="1"/>
  <c r="N17103" i="1"/>
  <c r="A17104" i="1"/>
  <c r="C17104" i="1"/>
  <c r="N17104" i="1"/>
  <c r="A17105" i="1"/>
  <c r="C17105" i="1"/>
  <c r="K17105" i="1"/>
  <c r="N17105" i="1"/>
  <c r="A17106" i="1"/>
  <c r="C17106" i="1"/>
  <c r="K17106" i="1"/>
  <c r="N17106" i="1"/>
  <c r="A17107" i="1"/>
  <c r="C17107" i="1"/>
  <c r="K17107" i="1"/>
  <c r="N17107" i="1"/>
  <c r="A17108" i="1"/>
  <c r="C17108" i="1"/>
  <c r="N17108" i="1"/>
  <c r="A17109" i="1"/>
  <c r="C17109" i="1"/>
  <c r="N17109" i="1"/>
  <c r="A17110" i="1"/>
  <c r="C17110" i="1"/>
  <c r="N17110" i="1"/>
  <c r="A17111" i="1"/>
  <c r="C17111" i="1"/>
  <c r="N17111" i="1"/>
  <c r="A17112" i="1"/>
  <c r="C17112" i="1"/>
  <c r="N17112" i="1"/>
  <c r="A17113" i="1"/>
  <c r="C17113" i="1"/>
  <c r="N17113" i="1"/>
  <c r="A17114" i="1"/>
  <c r="C17114" i="1"/>
  <c r="N17114" i="1"/>
  <c r="A17115" i="1"/>
  <c r="C17115" i="1"/>
  <c r="N17115" i="1"/>
  <c r="A17116" i="1"/>
  <c r="C17116" i="1"/>
  <c r="N17116" i="1"/>
  <c r="A17117" i="1"/>
  <c r="C17117" i="1"/>
  <c r="N17117" i="1"/>
  <c r="A17118" i="1"/>
  <c r="C17118" i="1"/>
  <c r="N17118" i="1"/>
  <c r="A17119" i="1"/>
  <c r="C17119" i="1"/>
  <c r="N17119" i="1"/>
  <c r="A17120" i="1"/>
  <c r="C17120" i="1"/>
  <c r="N17120" i="1"/>
  <c r="A17121" i="1"/>
  <c r="C17121" i="1"/>
  <c r="N17121" i="1"/>
  <c r="A17122" i="1"/>
  <c r="C17122" i="1"/>
  <c r="N17122" i="1"/>
  <c r="A17123" i="1"/>
  <c r="C17123" i="1"/>
  <c r="K17123" i="1"/>
  <c r="N17123" i="1"/>
  <c r="A17124" i="1"/>
  <c r="C17124" i="1"/>
  <c r="N17124" i="1"/>
  <c r="A17125" i="1"/>
  <c r="C17125" i="1"/>
  <c r="N17125" i="1"/>
  <c r="A17126" i="1"/>
  <c r="C17126" i="1"/>
  <c r="K17126" i="1"/>
  <c r="N17126" i="1"/>
  <c r="A17127" i="1"/>
  <c r="C17127" i="1"/>
  <c r="N17127" i="1"/>
  <c r="A17128" i="1"/>
  <c r="C17128" i="1"/>
  <c r="N17128" i="1"/>
  <c r="A17129" i="1"/>
  <c r="C17129" i="1"/>
  <c r="N17129" i="1"/>
  <c r="A17130" i="1"/>
  <c r="C17130" i="1"/>
  <c r="N17130" i="1"/>
  <c r="A17131" i="1"/>
  <c r="C17131" i="1"/>
  <c r="N17131" i="1"/>
  <c r="A17132" i="1"/>
  <c r="C17132" i="1"/>
  <c r="N17132" i="1"/>
  <c r="A17133" i="1"/>
  <c r="C17133" i="1"/>
  <c r="N17133" i="1"/>
  <c r="A17134" i="1"/>
  <c r="C17134" i="1"/>
  <c r="K17134" i="1"/>
  <c r="N17134" i="1"/>
  <c r="A17135" i="1"/>
  <c r="C17135" i="1"/>
  <c r="N17135" i="1"/>
  <c r="A17136" i="1"/>
  <c r="C17136" i="1"/>
  <c r="N17136" i="1"/>
  <c r="A17137" i="1"/>
  <c r="C17137" i="1"/>
  <c r="N17137" i="1"/>
  <c r="A17138" i="1"/>
  <c r="C17138" i="1"/>
  <c r="N17138" i="1"/>
  <c r="A17139" i="1"/>
  <c r="C17139" i="1"/>
  <c r="N17139" i="1"/>
  <c r="A17140" i="1"/>
  <c r="C17140" i="1"/>
  <c r="N17140" i="1"/>
  <c r="A17141" i="1"/>
  <c r="C17141" i="1"/>
  <c r="N17141" i="1"/>
  <c r="A17142" i="1"/>
  <c r="C17142" i="1"/>
  <c r="N17142" i="1"/>
  <c r="A17143" i="1"/>
  <c r="C17143" i="1"/>
  <c r="N17143" i="1"/>
  <c r="A17144" i="1"/>
  <c r="C17144" i="1"/>
  <c r="N17144" i="1"/>
  <c r="A17145" i="1"/>
  <c r="C17145" i="1"/>
  <c r="N17145" i="1"/>
  <c r="A17146" i="1"/>
  <c r="C17146" i="1"/>
  <c r="N17146" i="1"/>
  <c r="A17147" i="1"/>
  <c r="C17147" i="1"/>
  <c r="N17147" i="1"/>
  <c r="A17148" i="1"/>
  <c r="C17148" i="1"/>
  <c r="N17148" i="1"/>
  <c r="A17149" i="1"/>
  <c r="C17149" i="1"/>
  <c r="N17149" i="1"/>
  <c r="A17150" i="1"/>
  <c r="C17150" i="1"/>
  <c r="N17150" i="1"/>
  <c r="A17151" i="1"/>
  <c r="C17151" i="1"/>
  <c r="N17151" i="1"/>
  <c r="A17152" i="1"/>
  <c r="C17152" i="1"/>
  <c r="K17152" i="1"/>
  <c r="N17152" i="1"/>
  <c r="A17153" i="1"/>
  <c r="C17153" i="1"/>
  <c r="N17153" i="1"/>
  <c r="A17154" i="1"/>
  <c r="C17154" i="1"/>
  <c r="N17154" i="1"/>
  <c r="A17155" i="1"/>
  <c r="C17155" i="1"/>
  <c r="N17155" i="1"/>
  <c r="A17156" i="1"/>
  <c r="C17156" i="1"/>
  <c r="N17156" i="1"/>
  <c r="A17157" i="1"/>
  <c r="C17157" i="1"/>
  <c r="N17157" i="1"/>
  <c r="A17158" i="1"/>
  <c r="C17158" i="1"/>
  <c r="N17158" i="1"/>
  <c r="A17159" i="1"/>
  <c r="C17159" i="1"/>
  <c r="N17159" i="1"/>
  <c r="A17160" i="1"/>
  <c r="C17160" i="1"/>
  <c r="N17160" i="1"/>
  <c r="A17161" i="1"/>
  <c r="C17161" i="1"/>
  <c r="N17161" i="1"/>
  <c r="A17162" i="1"/>
  <c r="C17162" i="1"/>
  <c r="N17162" i="1"/>
  <c r="A17163" i="1"/>
  <c r="C17163" i="1"/>
  <c r="N17163" i="1"/>
  <c r="A17164" i="1"/>
  <c r="C17164" i="1"/>
  <c r="N17164" i="1"/>
  <c r="A17165" i="1"/>
  <c r="C17165" i="1"/>
  <c r="N17165" i="1"/>
  <c r="A17166" i="1"/>
  <c r="C17166" i="1"/>
  <c r="N17166" i="1"/>
  <c r="A17167" i="1"/>
  <c r="C17167" i="1"/>
  <c r="N17167" i="1"/>
  <c r="A17168" i="1"/>
  <c r="C17168" i="1"/>
  <c r="N17168" i="1"/>
  <c r="A17169" i="1"/>
  <c r="C17169" i="1"/>
  <c r="N17169" i="1"/>
  <c r="A17170" i="1"/>
  <c r="C17170" i="1"/>
  <c r="N17170" i="1"/>
  <c r="A17171" i="1"/>
  <c r="C17171" i="1"/>
  <c r="K17171" i="1"/>
  <c r="N17171" i="1"/>
  <c r="A17172" i="1"/>
  <c r="C17172" i="1"/>
  <c r="N17172" i="1"/>
  <c r="A17173" i="1"/>
  <c r="C17173" i="1"/>
  <c r="N17173" i="1"/>
  <c r="A17174" i="1"/>
  <c r="C17174" i="1"/>
  <c r="N17174" i="1"/>
  <c r="A17175" i="1"/>
  <c r="C17175" i="1"/>
  <c r="N17175" i="1"/>
  <c r="A17176" i="1"/>
  <c r="C17176" i="1"/>
  <c r="N17176" i="1"/>
  <c r="A17177" i="1"/>
  <c r="C17177" i="1"/>
  <c r="K17177" i="1"/>
  <c r="N17177" i="1"/>
  <c r="A17178" i="1"/>
  <c r="C17178" i="1"/>
  <c r="N17178" i="1"/>
  <c r="A17179" i="1"/>
  <c r="C17179" i="1"/>
  <c r="N17179" i="1"/>
  <c r="A17180" i="1"/>
  <c r="C17180" i="1"/>
  <c r="N17180" i="1"/>
  <c r="A17181" i="1"/>
  <c r="C17181" i="1"/>
  <c r="N17181" i="1"/>
  <c r="A17182" i="1"/>
  <c r="C17182" i="1"/>
  <c r="N17182" i="1"/>
  <c r="A17183" i="1"/>
  <c r="C17183" i="1"/>
  <c r="N17183" i="1"/>
  <c r="A17184" i="1"/>
  <c r="C17184" i="1"/>
  <c r="N17184" i="1"/>
  <c r="A17185" i="1"/>
  <c r="C17185" i="1"/>
  <c r="N17185" i="1"/>
  <c r="A17186" i="1"/>
  <c r="C17186" i="1"/>
  <c r="D17186" i="1"/>
  <c r="N17186" i="1"/>
  <c r="O17186" i="1"/>
  <c r="A17187" i="1"/>
  <c r="C17187" i="1"/>
  <c r="N17187" i="1"/>
  <c r="A17188" i="1"/>
  <c r="C17188" i="1"/>
  <c r="D17188" i="1"/>
  <c r="N17188" i="1"/>
  <c r="O17188" i="1"/>
  <c r="A17189" i="1"/>
  <c r="C17189" i="1"/>
  <c r="D17189" i="1"/>
  <c r="N17189" i="1"/>
  <c r="O17189" i="1"/>
  <c r="A17190" i="1"/>
  <c r="C17190" i="1"/>
  <c r="N17190" i="1"/>
  <c r="A17191" i="1"/>
  <c r="C17191" i="1"/>
  <c r="N17191" i="1"/>
  <c r="A17192" i="1"/>
  <c r="C17192" i="1"/>
  <c r="N17192" i="1"/>
  <c r="A17193" i="1"/>
  <c r="C17193" i="1"/>
  <c r="N17193" i="1"/>
  <c r="A17194" i="1"/>
  <c r="C17194" i="1"/>
  <c r="N17194" i="1"/>
  <c r="A17195" i="1"/>
  <c r="C17195" i="1"/>
  <c r="N17195" i="1"/>
  <c r="A17196" i="1"/>
  <c r="C17196" i="1"/>
  <c r="N17196" i="1"/>
  <c r="A17197" i="1"/>
  <c r="C17197" i="1"/>
  <c r="N17197" i="1"/>
  <c r="A17198" i="1"/>
  <c r="C17198" i="1"/>
  <c r="N17198" i="1"/>
  <c r="A17199" i="1"/>
  <c r="C17199" i="1"/>
  <c r="K17199" i="1"/>
  <c r="N17199" i="1"/>
  <c r="A17200" i="1"/>
  <c r="C17200" i="1"/>
  <c r="N17200" i="1"/>
  <c r="A17201" i="1"/>
  <c r="C17201" i="1"/>
  <c r="N17201" i="1"/>
  <c r="A17202" i="1"/>
  <c r="C17202" i="1"/>
  <c r="N17202" i="1"/>
  <c r="A17203" i="1"/>
  <c r="C17203" i="1"/>
  <c r="N17203" i="1"/>
  <c r="A17204" i="1"/>
  <c r="C17204" i="1"/>
  <c r="N17204" i="1"/>
  <c r="A17205" i="1"/>
  <c r="C17205" i="1"/>
  <c r="K17205" i="1"/>
  <c r="N17205" i="1"/>
  <c r="A17206" i="1"/>
  <c r="C17206" i="1"/>
  <c r="N17206" i="1"/>
  <c r="A17207" i="1"/>
  <c r="C17207" i="1"/>
  <c r="K17207" i="1"/>
  <c r="N17207" i="1"/>
  <c r="A17208" i="1"/>
  <c r="C17208" i="1"/>
  <c r="N17208" i="1"/>
  <c r="A17209" i="1"/>
  <c r="C17209" i="1"/>
  <c r="N17209" i="1"/>
  <c r="A17210" i="1"/>
  <c r="C17210" i="1"/>
  <c r="N17210" i="1"/>
  <c r="A17211" i="1"/>
  <c r="C17211" i="1"/>
  <c r="N17211" i="1"/>
  <c r="A17212" i="1"/>
  <c r="C17212" i="1"/>
  <c r="N17212" i="1"/>
  <c r="A17213" i="1"/>
  <c r="C17213" i="1"/>
  <c r="N17213" i="1"/>
  <c r="A17214" i="1"/>
  <c r="C17214" i="1"/>
  <c r="N17214" i="1"/>
  <c r="A17215" i="1"/>
  <c r="C17215" i="1"/>
  <c r="N17215" i="1"/>
  <c r="A17216" i="1"/>
  <c r="C17216" i="1"/>
  <c r="N17216" i="1"/>
  <c r="A17217" i="1"/>
  <c r="C17217" i="1"/>
  <c r="N17217" i="1"/>
  <c r="A17218" i="1"/>
  <c r="C17218" i="1"/>
  <c r="N17218" i="1"/>
  <c r="A17219" i="1"/>
  <c r="C17219" i="1"/>
  <c r="F17219" i="1"/>
  <c r="K17219" i="1"/>
  <c r="N17219" i="1"/>
  <c r="A17220" i="1"/>
  <c r="C17220" i="1"/>
  <c r="N17220" i="1"/>
  <c r="A17221" i="1"/>
  <c r="C17221" i="1"/>
  <c r="N17221" i="1"/>
  <c r="A17222" i="1"/>
  <c r="C17222" i="1"/>
  <c r="N17222" i="1"/>
  <c r="A17223" i="1"/>
  <c r="C17223" i="1"/>
  <c r="N17223" i="1"/>
  <c r="A17224" i="1"/>
  <c r="C17224" i="1"/>
  <c r="N17224" i="1"/>
  <c r="A17225" i="1"/>
  <c r="C17225" i="1"/>
  <c r="N17225" i="1"/>
  <c r="A17226" i="1"/>
  <c r="C17226" i="1"/>
  <c r="N17226" i="1"/>
  <c r="A17227" i="1"/>
  <c r="C17227" i="1"/>
  <c r="N17227" i="1"/>
  <c r="A17228" i="1"/>
  <c r="C17228" i="1"/>
  <c r="N17228" i="1"/>
  <c r="A17229" i="1"/>
  <c r="C17229" i="1"/>
  <c r="K17229" i="1"/>
  <c r="N17229" i="1"/>
  <c r="A17230" i="1"/>
  <c r="C17230" i="1"/>
  <c r="N17230" i="1"/>
  <c r="A17231" i="1"/>
  <c r="C17231" i="1"/>
  <c r="N17231" i="1"/>
  <c r="A17232" i="1"/>
  <c r="C17232" i="1"/>
  <c r="N17232" i="1"/>
  <c r="A17233" i="1"/>
  <c r="C17233" i="1"/>
  <c r="N17233" i="1"/>
  <c r="A17234" i="1"/>
  <c r="C17234" i="1"/>
  <c r="N17234" i="1"/>
  <c r="A17235" i="1"/>
  <c r="C17235" i="1"/>
  <c r="N17235" i="1"/>
  <c r="A17236" i="1"/>
  <c r="C17236" i="1"/>
  <c r="N17236" i="1"/>
  <c r="A17237" i="1"/>
  <c r="C17237" i="1"/>
  <c r="N17237" i="1"/>
  <c r="A17238" i="1"/>
  <c r="C17238" i="1"/>
  <c r="N17238" i="1"/>
  <c r="A17239" i="1"/>
  <c r="C17239" i="1"/>
  <c r="N17239" i="1"/>
  <c r="A17240" i="1"/>
  <c r="C17240" i="1"/>
  <c r="N17240" i="1"/>
  <c r="A17241" i="1"/>
  <c r="C17241" i="1"/>
  <c r="N17241" i="1"/>
  <c r="A17242" i="1"/>
  <c r="C17242" i="1"/>
  <c r="N17242" i="1"/>
  <c r="A17243" i="1"/>
  <c r="C17243" i="1"/>
  <c r="N17243" i="1"/>
  <c r="A17244" i="1"/>
  <c r="C17244" i="1"/>
  <c r="N17244" i="1"/>
  <c r="A17245" i="1"/>
  <c r="C17245" i="1"/>
  <c r="N17245" i="1"/>
  <c r="A17246" i="1"/>
  <c r="C17246" i="1"/>
  <c r="N17246" i="1"/>
  <c r="A17247" i="1"/>
  <c r="C17247" i="1"/>
  <c r="N17247" i="1"/>
  <c r="A17248" i="1"/>
  <c r="C17248" i="1"/>
  <c r="N17248" i="1"/>
  <c r="A17249" i="1"/>
  <c r="C17249" i="1"/>
  <c r="D17249" i="1"/>
  <c r="E17249" i="1"/>
  <c r="N17249" i="1"/>
  <c r="O17249" i="1"/>
  <c r="T17249" i="1"/>
  <c r="A17250" i="1"/>
  <c r="C17250" i="1"/>
  <c r="N17250" i="1"/>
  <c r="A17251" i="1"/>
  <c r="C17251" i="1"/>
  <c r="N17251" i="1"/>
  <c r="A17252" i="1"/>
  <c r="C17252" i="1"/>
  <c r="N17252" i="1"/>
  <c r="A17253" i="1"/>
  <c r="C17253" i="1"/>
  <c r="N17253" i="1"/>
  <c r="A17254" i="1"/>
  <c r="C17254" i="1"/>
  <c r="N17254" i="1"/>
  <c r="A17255" i="1"/>
  <c r="C17255" i="1"/>
  <c r="K17255" i="1"/>
  <c r="N17255" i="1"/>
  <c r="A17256" i="1"/>
  <c r="C17256" i="1"/>
  <c r="N17256" i="1"/>
  <c r="A17257" i="1"/>
  <c r="C17257" i="1"/>
  <c r="K17257" i="1"/>
  <c r="N17257" i="1"/>
  <c r="A17258" i="1"/>
  <c r="C17258" i="1"/>
  <c r="N17258" i="1"/>
  <c r="A17259" i="1"/>
  <c r="C17259" i="1"/>
  <c r="N17259" i="1"/>
  <c r="A17260" i="1"/>
  <c r="C17260" i="1"/>
  <c r="N17260" i="1"/>
  <c r="A17261" i="1"/>
  <c r="C17261" i="1"/>
  <c r="N17261" i="1"/>
  <c r="A17262" i="1"/>
  <c r="C17262" i="1"/>
  <c r="N17262" i="1"/>
  <c r="A17263" i="1"/>
  <c r="C17263" i="1"/>
  <c r="K17263" i="1"/>
  <c r="N17263" i="1"/>
  <c r="A17264" i="1"/>
  <c r="C17264" i="1"/>
  <c r="N17264" i="1"/>
  <c r="A17265" i="1"/>
  <c r="C17265" i="1"/>
  <c r="N17265" i="1"/>
  <c r="A17266" i="1"/>
  <c r="C17266" i="1"/>
  <c r="N17266" i="1"/>
  <c r="A17267" i="1"/>
  <c r="C17267" i="1"/>
  <c r="N17267" i="1"/>
  <c r="A17268" i="1"/>
  <c r="C17268" i="1"/>
  <c r="N17268" i="1"/>
  <c r="A17269" i="1"/>
  <c r="C17269" i="1"/>
  <c r="N17269" i="1"/>
  <c r="A17270" i="1"/>
  <c r="C17270" i="1"/>
  <c r="N17270" i="1"/>
  <c r="A17271" i="1"/>
  <c r="C17271" i="1"/>
  <c r="N17271" i="1"/>
  <c r="A17272" i="1"/>
  <c r="C17272" i="1"/>
  <c r="D17272" i="1"/>
  <c r="E17272" i="1"/>
  <c r="N17272" i="1"/>
  <c r="O17272" i="1"/>
  <c r="T17272" i="1"/>
  <c r="A17273" i="1"/>
  <c r="C17273" i="1"/>
  <c r="N17273" i="1"/>
  <c r="A17274" i="1"/>
  <c r="C17274" i="1"/>
  <c r="N17274" i="1"/>
  <c r="A17275" i="1"/>
  <c r="C17275" i="1"/>
  <c r="N17275" i="1"/>
  <c r="A17276" i="1"/>
  <c r="C17276" i="1"/>
  <c r="N17276" i="1"/>
  <c r="A17277" i="1"/>
  <c r="C17277" i="1"/>
  <c r="N17277" i="1"/>
  <c r="A17278" i="1"/>
  <c r="C17278" i="1"/>
  <c r="N17278" i="1"/>
  <c r="A17279" i="1"/>
  <c r="C17279" i="1"/>
  <c r="N17279" i="1"/>
  <c r="A17280" i="1"/>
  <c r="C17280" i="1"/>
  <c r="N17280" i="1"/>
  <c r="A17281" i="1"/>
  <c r="C17281" i="1"/>
  <c r="N17281" i="1"/>
  <c r="A17282" i="1"/>
  <c r="C17282" i="1"/>
  <c r="N17282" i="1"/>
  <c r="A17283" i="1"/>
  <c r="C17283" i="1"/>
  <c r="N17283" i="1"/>
  <c r="A17284" i="1"/>
  <c r="C17284" i="1"/>
  <c r="N17284" i="1"/>
  <c r="A17285" i="1"/>
  <c r="C17285" i="1"/>
  <c r="N17285" i="1"/>
  <c r="A17286" i="1"/>
  <c r="C17286" i="1"/>
  <c r="N17286" i="1"/>
  <c r="A17287" i="1"/>
  <c r="C17287" i="1"/>
  <c r="N17287" i="1"/>
  <c r="A17288" i="1"/>
  <c r="C17288" i="1"/>
  <c r="N17288" i="1"/>
  <c r="A17289" i="1"/>
  <c r="C17289" i="1"/>
  <c r="N17289" i="1"/>
  <c r="A17290" i="1"/>
  <c r="C17290" i="1"/>
  <c r="N17290" i="1"/>
  <c r="A17291" i="1"/>
  <c r="C17291" i="1"/>
  <c r="N17291" i="1"/>
  <c r="A17292" i="1"/>
  <c r="C17292" i="1"/>
  <c r="D17292" i="1"/>
  <c r="N17292" i="1"/>
  <c r="O17292" i="1"/>
  <c r="A17293" i="1"/>
  <c r="C17293" i="1"/>
  <c r="N17293" i="1"/>
  <c r="A17294" i="1"/>
  <c r="C17294" i="1"/>
  <c r="K17294" i="1"/>
  <c r="N17294" i="1"/>
  <c r="A17295" i="1"/>
  <c r="C17295" i="1"/>
  <c r="N17295" i="1"/>
  <c r="A17296" i="1"/>
  <c r="C17296" i="1"/>
  <c r="N17296" i="1"/>
  <c r="A17297" i="1"/>
  <c r="C17297" i="1"/>
  <c r="N17297" i="1"/>
  <c r="A17298" i="1"/>
  <c r="C17298" i="1"/>
  <c r="N17298" i="1"/>
  <c r="A17299" i="1"/>
  <c r="C17299" i="1"/>
  <c r="N17299" i="1"/>
  <c r="A17300" i="1"/>
  <c r="C17300" i="1"/>
  <c r="K17300" i="1"/>
  <c r="N17300" i="1"/>
  <c r="A17301" i="1"/>
  <c r="C17301" i="1"/>
  <c r="K17301" i="1"/>
  <c r="N17301" i="1"/>
  <c r="A17302" i="1"/>
  <c r="C17302" i="1"/>
  <c r="N17302" i="1"/>
  <c r="A17303" i="1"/>
  <c r="C17303" i="1"/>
  <c r="N17303" i="1"/>
  <c r="A17304" i="1"/>
  <c r="C17304" i="1"/>
  <c r="N17304" i="1"/>
  <c r="A17305" i="1"/>
  <c r="C17305" i="1"/>
  <c r="D17305" i="1"/>
  <c r="N17305" i="1"/>
  <c r="O17305" i="1"/>
  <c r="A17306" i="1"/>
  <c r="C17306" i="1"/>
  <c r="N17306" i="1"/>
  <c r="A17307" i="1"/>
  <c r="C17307" i="1"/>
  <c r="N17307" i="1"/>
  <c r="A17308" i="1"/>
  <c r="C17308" i="1"/>
  <c r="N17308" i="1"/>
  <c r="A17309" i="1"/>
  <c r="C17309" i="1"/>
  <c r="N17309" i="1"/>
  <c r="A17310" i="1"/>
  <c r="C17310" i="1"/>
  <c r="N17310" i="1"/>
  <c r="A17311" i="1"/>
  <c r="C17311" i="1"/>
  <c r="N17311" i="1"/>
  <c r="A17312" i="1"/>
  <c r="C17312" i="1"/>
  <c r="N17312" i="1"/>
  <c r="A17313" i="1"/>
  <c r="C17313" i="1"/>
  <c r="N17313" i="1"/>
  <c r="A17314" i="1"/>
  <c r="C17314" i="1"/>
  <c r="N17314" i="1"/>
  <c r="A17315" i="1"/>
  <c r="C17315" i="1"/>
  <c r="N17315" i="1"/>
  <c r="A17316" i="1"/>
  <c r="C17316" i="1"/>
  <c r="N17316" i="1"/>
  <c r="A17317" i="1"/>
  <c r="C17317" i="1"/>
  <c r="K17317" i="1"/>
  <c r="N17317" i="1"/>
  <c r="A17318" i="1"/>
  <c r="C17318" i="1"/>
  <c r="N17318" i="1"/>
  <c r="A17319" i="1"/>
  <c r="C17319" i="1"/>
  <c r="N17319" i="1"/>
  <c r="A17320" i="1"/>
  <c r="C17320" i="1"/>
  <c r="N17320" i="1"/>
  <c r="A17321" i="1"/>
  <c r="C17321" i="1"/>
  <c r="N17321" i="1"/>
  <c r="A17322" i="1"/>
  <c r="C17322" i="1"/>
  <c r="N17322" i="1"/>
  <c r="A17323" i="1"/>
  <c r="C17323" i="1"/>
  <c r="N17323" i="1"/>
  <c r="A17324" i="1"/>
  <c r="C17324" i="1"/>
  <c r="N17324" i="1"/>
  <c r="A17325" i="1"/>
  <c r="C17325" i="1"/>
  <c r="N17325" i="1"/>
  <c r="A17326" i="1"/>
  <c r="C17326" i="1"/>
  <c r="N17326" i="1"/>
  <c r="A17327" i="1"/>
  <c r="C17327" i="1"/>
  <c r="N17327" i="1"/>
  <c r="A17328" i="1"/>
  <c r="C17328" i="1"/>
  <c r="K17328" i="1"/>
  <c r="N17328" i="1"/>
  <c r="A17329" i="1"/>
  <c r="C17329" i="1"/>
  <c r="K17329" i="1"/>
  <c r="N17329" i="1"/>
  <c r="A17330" i="1"/>
  <c r="C17330" i="1"/>
  <c r="K17330" i="1"/>
  <c r="N17330" i="1"/>
  <c r="A17331" i="1"/>
  <c r="C17331" i="1"/>
  <c r="K17331" i="1"/>
  <c r="N17331" i="1"/>
  <c r="A17332" i="1"/>
  <c r="C17332" i="1"/>
  <c r="N17332" i="1"/>
  <c r="A17333" i="1"/>
  <c r="C17333" i="1"/>
  <c r="N17333" i="1"/>
  <c r="A17334" i="1"/>
  <c r="C17334" i="1"/>
  <c r="N17334" i="1"/>
  <c r="A17335" i="1"/>
  <c r="C17335" i="1"/>
  <c r="N17335" i="1"/>
  <c r="A17336" i="1"/>
  <c r="C17336" i="1"/>
  <c r="N17336" i="1"/>
  <c r="A17337" i="1"/>
  <c r="C17337" i="1"/>
  <c r="N17337" i="1"/>
  <c r="A17338" i="1"/>
  <c r="C17338" i="1"/>
  <c r="N17338" i="1"/>
  <c r="A17339" i="1"/>
  <c r="C17339" i="1"/>
  <c r="N17339" i="1"/>
  <c r="A17340" i="1"/>
  <c r="C17340" i="1"/>
  <c r="N17340" i="1"/>
  <c r="A17341" i="1"/>
  <c r="C17341" i="1"/>
  <c r="K17341" i="1"/>
  <c r="N17341" i="1"/>
  <c r="A17342" i="1"/>
  <c r="C17342" i="1"/>
  <c r="N17342" i="1"/>
  <c r="A17343" i="1"/>
  <c r="C17343" i="1"/>
  <c r="K17343" i="1"/>
  <c r="N17343" i="1"/>
  <c r="A17344" i="1"/>
  <c r="C17344" i="1"/>
  <c r="N17344" i="1"/>
  <c r="A17345" i="1"/>
  <c r="C17345" i="1"/>
  <c r="N17345" i="1"/>
  <c r="A17346" i="1"/>
  <c r="C17346" i="1"/>
  <c r="E17346" i="1"/>
  <c r="N17346" i="1"/>
  <c r="T17346" i="1"/>
  <c r="A17347" i="1"/>
  <c r="C17347" i="1"/>
  <c r="E17347" i="1"/>
  <c r="N17347" i="1"/>
  <c r="T17347" i="1"/>
  <c r="A17348" i="1"/>
  <c r="C17348" i="1"/>
  <c r="N17348" i="1"/>
  <c r="A17349" i="1"/>
  <c r="C17349" i="1"/>
  <c r="N17349" i="1"/>
  <c r="A17350" i="1"/>
  <c r="C17350" i="1"/>
  <c r="K17350" i="1"/>
  <c r="N17350" i="1"/>
  <c r="A17351" i="1"/>
  <c r="C17351" i="1"/>
  <c r="N17351" i="1"/>
  <c r="A17352" i="1"/>
  <c r="C17352" i="1"/>
  <c r="N17352" i="1"/>
  <c r="A17353" i="1"/>
  <c r="C17353" i="1"/>
  <c r="K17353" i="1"/>
  <c r="N17353" i="1"/>
  <c r="A17354" i="1"/>
  <c r="C17354" i="1"/>
  <c r="N17354" i="1"/>
  <c r="A17355" i="1"/>
  <c r="C17355" i="1"/>
  <c r="K17355" i="1"/>
  <c r="N17355" i="1"/>
  <c r="A17356" i="1"/>
  <c r="C17356" i="1"/>
  <c r="K17356" i="1"/>
  <c r="N17356" i="1"/>
  <c r="A17357" i="1"/>
  <c r="C17357" i="1"/>
  <c r="D17357" i="1"/>
  <c r="E17357" i="1"/>
  <c r="N17357" i="1"/>
  <c r="O17357" i="1"/>
  <c r="T17357" i="1"/>
  <c r="A17358" i="1"/>
  <c r="C17358" i="1"/>
  <c r="N17358" i="1"/>
  <c r="A17359" i="1"/>
  <c r="C17359" i="1"/>
  <c r="K17359" i="1"/>
  <c r="N17359" i="1"/>
  <c r="A17360" i="1"/>
  <c r="C17360" i="1"/>
  <c r="N17360" i="1"/>
  <c r="A17361" i="1"/>
  <c r="C17361" i="1"/>
  <c r="N17361" i="1"/>
  <c r="A17362" i="1"/>
  <c r="C17362" i="1"/>
  <c r="N17362" i="1"/>
  <c r="A17363" i="1"/>
  <c r="C17363" i="1"/>
  <c r="N17363" i="1"/>
  <c r="A17364" i="1"/>
  <c r="C17364" i="1"/>
  <c r="N17364" i="1"/>
  <c r="A17365" i="1"/>
  <c r="C17365" i="1"/>
  <c r="N17365" i="1"/>
  <c r="A17366" i="1"/>
  <c r="C17366" i="1"/>
  <c r="N17366" i="1"/>
  <c r="A17367" i="1"/>
  <c r="C17367" i="1"/>
  <c r="N17367" i="1"/>
  <c r="A17368" i="1"/>
  <c r="C17368" i="1"/>
  <c r="K17368" i="1"/>
  <c r="N17368" i="1"/>
  <c r="A17369" i="1"/>
  <c r="C17369" i="1"/>
  <c r="N17369" i="1"/>
  <c r="A17370" i="1"/>
  <c r="C17370" i="1"/>
  <c r="N17370" i="1"/>
  <c r="A17371" i="1"/>
  <c r="C17371" i="1"/>
  <c r="N17371" i="1"/>
  <c r="A17372" i="1"/>
  <c r="C17372" i="1"/>
  <c r="N17372" i="1"/>
  <c r="A17373" i="1"/>
  <c r="C17373" i="1"/>
  <c r="N17373" i="1"/>
  <c r="A17374" i="1"/>
  <c r="C17374" i="1"/>
  <c r="N17374" i="1"/>
  <c r="A17375" i="1"/>
  <c r="C17375" i="1"/>
  <c r="N17375" i="1"/>
  <c r="A17376" i="1"/>
  <c r="C17376" i="1"/>
  <c r="N17376" i="1"/>
  <c r="A17377" i="1"/>
  <c r="C17377" i="1"/>
  <c r="N17377" i="1"/>
  <c r="A17378" i="1"/>
  <c r="C17378" i="1"/>
  <c r="N17378" i="1"/>
  <c r="A17379" i="1"/>
  <c r="C17379" i="1"/>
  <c r="N17379" i="1"/>
  <c r="A17380" i="1"/>
  <c r="C17380" i="1"/>
  <c r="N17380" i="1"/>
  <c r="A17381" i="1"/>
  <c r="C17381" i="1"/>
  <c r="N17381" i="1"/>
  <c r="A17382" i="1"/>
  <c r="C17382" i="1"/>
  <c r="N17382" i="1"/>
  <c r="A17383" i="1"/>
  <c r="C17383" i="1"/>
  <c r="N17383" i="1"/>
  <c r="A17384" i="1"/>
  <c r="C17384" i="1"/>
  <c r="N17384" i="1"/>
  <c r="A17385" i="1"/>
  <c r="C17385" i="1"/>
  <c r="N17385" i="1"/>
  <c r="A17386" i="1"/>
  <c r="C17386" i="1"/>
  <c r="N17386" i="1"/>
  <c r="A17387" i="1"/>
  <c r="C17387" i="1"/>
  <c r="K17387" i="1"/>
  <c r="N17387" i="1"/>
  <c r="A17388" i="1"/>
  <c r="C17388" i="1"/>
  <c r="N17388" i="1"/>
  <c r="A17389" i="1"/>
  <c r="C17389" i="1"/>
  <c r="N17389" i="1"/>
  <c r="A17390" i="1"/>
  <c r="C17390" i="1"/>
  <c r="K17390" i="1"/>
  <c r="N17390" i="1"/>
  <c r="A17391" i="1"/>
  <c r="C17391" i="1"/>
  <c r="K17391" i="1"/>
  <c r="N17391" i="1"/>
  <c r="A17392" i="1"/>
  <c r="C17392" i="1"/>
  <c r="D17392" i="1"/>
  <c r="E17392" i="1"/>
  <c r="N17392" i="1"/>
  <c r="O17392" i="1"/>
  <c r="T17392" i="1"/>
  <c r="A17393" i="1"/>
  <c r="C17393" i="1"/>
  <c r="N17393" i="1"/>
  <c r="A17394" i="1"/>
  <c r="C17394" i="1"/>
  <c r="N17394" i="1"/>
  <c r="A17395" i="1"/>
  <c r="C17395" i="1"/>
  <c r="K17395" i="1"/>
  <c r="N17395" i="1"/>
  <c r="A17396" i="1"/>
  <c r="C17396" i="1"/>
  <c r="K17396" i="1"/>
  <c r="N17396" i="1"/>
  <c r="A17397" i="1"/>
  <c r="C17397" i="1"/>
  <c r="K17397" i="1"/>
  <c r="N17397" i="1"/>
  <c r="A17398" i="1"/>
  <c r="C17398" i="1"/>
  <c r="K17398" i="1"/>
  <c r="N17398" i="1"/>
  <c r="A17399" i="1"/>
  <c r="C17399" i="1"/>
  <c r="K17399" i="1"/>
  <c r="N17399" i="1"/>
  <c r="A17400" i="1"/>
  <c r="C17400" i="1"/>
  <c r="K17400" i="1"/>
  <c r="N17400" i="1"/>
  <c r="A17401" i="1"/>
  <c r="C17401" i="1"/>
  <c r="K17401" i="1"/>
  <c r="N17401" i="1"/>
  <c r="A17402" i="1"/>
  <c r="C17402" i="1"/>
  <c r="N17402" i="1"/>
  <c r="A17403" i="1"/>
  <c r="C17403" i="1"/>
  <c r="K17403" i="1"/>
  <c r="N17403" i="1"/>
  <c r="A17404" i="1"/>
  <c r="C17404" i="1"/>
  <c r="N17404" i="1"/>
  <c r="A17405" i="1"/>
  <c r="C17405" i="1"/>
  <c r="N17405" i="1"/>
  <c r="A17406" i="1"/>
  <c r="C17406" i="1"/>
  <c r="K17406" i="1"/>
  <c r="N17406" i="1"/>
  <c r="A17407" i="1"/>
  <c r="C17407" i="1"/>
  <c r="N17407" i="1"/>
  <c r="A17408" i="1"/>
  <c r="C17408" i="1"/>
  <c r="N17408" i="1"/>
  <c r="A17409" i="1"/>
  <c r="C17409" i="1"/>
  <c r="N17409" i="1"/>
  <c r="A17410" i="1"/>
  <c r="C17410" i="1"/>
  <c r="K17410" i="1"/>
  <c r="N17410" i="1"/>
  <c r="A17411" i="1"/>
  <c r="C17411" i="1"/>
  <c r="K17411" i="1"/>
  <c r="N17411" i="1"/>
  <c r="A17412" i="1"/>
  <c r="C17412" i="1"/>
  <c r="N17412" i="1"/>
  <c r="A17413" i="1"/>
  <c r="C17413" i="1"/>
  <c r="K17413" i="1"/>
  <c r="N17413" i="1"/>
  <c r="A17414" i="1"/>
  <c r="C17414" i="1"/>
  <c r="N17414" i="1"/>
  <c r="A17415" i="1"/>
  <c r="C17415" i="1"/>
  <c r="K17415" i="1"/>
  <c r="N17415" i="1"/>
  <c r="A17416" i="1"/>
  <c r="C17416" i="1"/>
  <c r="K17416" i="1"/>
  <c r="N17416" i="1"/>
  <c r="A17417" i="1"/>
  <c r="C17417" i="1"/>
  <c r="K17417" i="1"/>
  <c r="N17417" i="1"/>
  <c r="A17418" i="1"/>
  <c r="C17418" i="1"/>
  <c r="K17418" i="1"/>
  <c r="N17418" i="1"/>
  <c r="A17419" i="1"/>
  <c r="C17419" i="1"/>
  <c r="K17419" i="1"/>
  <c r="N17419" i="1"/>
  <c r="A17420" i="1"/>
  <c r="C17420" i="1"/>
  <c r="K17420" i="1"/>
  <c r="N17420" i="1"/>
  <c r="A17421" i="1"/>
  <c r="C17421" i="1"/>
  <c r="N17421" i="1"/>
  <c r="A17422" i="1"/>
  <c r="C17422" i="1"/>
  <c r="K17422" i="1"/>
  <c r="N17422" i="1"/>
  <c r="A17423" i="1"/>
  <c r="C17423" i="1"/>
  <c r="K17423" i="1"/>
  <c r="N17423" i="1"/>
  <c r="A17424" i="1"/>
  <c r="C17424" i="1"/>
  <c r="K17424" i="1"/>
  <c r="N17424" i="1"/>
  <c r="A17425" i="1"/>
  <c r="C17425" i="1"/>
  <c r="N17425" i="1"/>
  <c r="A17426" i="1"/>
  <c r="C17426" i="1"/>
  <c r="N17426" i="1"/>
  <c r="A17427" i="1"/>
  <c r="C17427" i="1"/>
  <c r="K17427" i="1"/>
  <c r="N17427" i="1"/>
  <c r="A17428" i="1"/>
  <c r="C17428" i="1"/>
  <c r="K17428" i="1"/>
  <c r="N17428" i="1"/>
  <c r="A17429" i="1"/>
  <c r="C17429" i="1"/>
  <c r="K17429" i="1"/>
  <c r="N17429" i="1"/>
  <c r="A17430" i="1"/>
  <c r="C17430" i="1"/>
  <c r="K17430" i="1"/>
  <c r="N17430" i="1"/>
  <c r="A17431" i="1"/>
  <c r="C17431" i="1"/>
  <c r="K17431" i="1"/>
  <c r="N17431" i="1"/>
  <c r="A17432" i="1"/>
  <c r="C17432" i="1"/>
  <c r="N17432" i="1"/>
  <c r="A17433" i="1"/>
  <c r="C17433" i="1"/>
  <c r="N17433" i="1"/>
  <c r="A17434" i="1"/>
  <c r="C17434" i="1"/>
  <c r="N17434" i="1"/>
  <c r="A17435" i="1"/>
  <c r="C17435" i="1"/>
  <c r="N17435" i="1"/>
  <c r="A17436" i="1"/>
  <c r="C17436" i="1"/>
  <c r="N17436" i="1"/>
  <c r="A17437" i="1"/>
  <c r="C17437" i="1"/>
  <c r="N17437" i="1"/>
  <c r="A17438" i="1"/>
  <c r="C17438" i="1"/>
  <c r="N17438" i="1"/>
  <c r="A17439" i="1"/>
  <c r="C17439" i="1"/>
  <c r="N17439" i="1"/>
  <c r="A17440" i="1"/>
  <c r="C17440" i="1"/>
  <c r="N17440" i="1"/>
  <c r="A17441" i="1"/>
  <c r="C17441" i="1"/>
  <c r="N17441" i="1"/>
  <c r="A17442" i="1"/>
  <c r="C17442" i="1"/>
  <c r="N17442" i="1"/>
  <c r="A17443" i="1"/>
  <c r="C17443" i="1"/>
  <c r="K17443" i="1"/>
  <c r="N17443" i="1"/>
  <c r="A17444" i="1"/>
  <c r="C17444" i="1"/>
  <c r="K17444" i="1"/>
  <c r="N17444" i="1"/>
  <c r="A17445" i="1"/>
  <c r="C17445" i="1"/>
  <c r="K17445" i="1"/>
  <c r="N17445" i="1"/>
  <c r="A17446" i="1"/>
  <c r="C17446" i="1"/>
  <c r="N17446" i="1"/>
  <c r="A17447" i="1"/>
  <c r="C17447" i="1"/>
  <c r="N17447" i="1"/>
  <c r="A17448" i="1"/>
  <c r="C17448" i="1"/>
  <c r="N17448" i="1"/>
  <c r="A17449" i="1"/>
  <c r="C17449" i="1"/>
  <c r="N17449" i="1"/>
  <c r="A17450" i="1"/>
  <c r="C17450" i="1"/>
  <c r="N17450" i="1"/>
  <c r="A17451" i="1"/>
  <c r="C17451" i="1"/>
  <c r="K17451" i="1"/>
  <c r="N17451" i="1"/>
  <c r="A17452" i="1"/>
  <c r="C17452" i="1"/>
  <c r="K17452" i="1"/>
  <c r="N17452" i="1"/>
  <c r="A17453" i="1"/>
  <c r="C17453" i="1"/>
  <c r="K17453" i="1"/>
  <c r="N17453" i="1"/>
  <c r="A17454" i="1"/>
  <c r="C17454" i="1"/>
  <c r="K17454" i="1"/>
  <c r="N17454" i="1"/>
  <c r="A17455" i="1"/>
  <c r="C17455" i="1"/>
  <c r="F17455" i="1"/>
  <c r="N17455" i="1"/>
  <c r="A17456" i="1"/>
  <c r="C17456" i="1"/>
  <c r="N17456" i="1"/>
  <c r="A17457" i="1"/>
  <c r="C17457" i="1"/>
  <c r="N17457" i="1"/>
  <c r="A17458" i="1"/>
  <c r="C17458" i="1"/>
  <c r="N17458" i="1"/>
  <c r="A17459" i="1"/>
  <c r="C17459" i="1"/>
  <c r="K17459" i="1"/>
  <c r="N17459" i="1"/>
  <c r="A17460" i="1"/>
  <c r="C17460" i="1"/>
  <c r="K17460" i="1"/>
  <c r="N17460" i="1"/>
  <c r="A17461" i="1"/>
  <c r="C17461" i="1"/>
  <c r="K17461" i="1"/>
  <c r="N17461" i="1"/>
  <c r="A17462" i="1"/>
  <c r="C17462" i="1"/>
  <c r="K17462" i="1"/>
  <c r="N17462" i="1"/>
  <c r="A17463" i="1"/>
  <c r="C17463" i="1"/>
  <c r="K17463" i="1"/>
  <c r="N17463" i="1"/>
  <c r="A17464" i="1"/>
  <c r="C17464" i="1"/>
  <c r="N17464" i="1"/>
  <c r="A17465" i="1"/>
  <c r="C17465" i="1"/>
  <c r="N17465" i="1"/>
  <c r="A17466" i="1"/>
  <c r="C17466" i="1"/>
  <c r="N17466" i="1"/>
  <c r="A17467" i="1"/>
  <c r="C17467" i="1"/>
  <c r="N17467" i="1"/>
  <c r="A17468" i="1"/>
  <c r="C17468" i="1"/>
  <c r="N17468" i="1"/>
  <c r="A17469" i="1"/>
  <c r="C17469" i="1"/>
  <c r="K17469" i="1"/>
  <c r="N17469" i="1"/>
  <c r="A17470" i="1"/>
  <c r="C17470" i="1"/>
  <c r="K17470" i="1"/>
  <c r="N17470" i="1"/>
  <c r="A17471" i="1"/>
  <c r="C17471" i="1"/>
  <c r="N17471" i="1"/>
  <c r="A17472" i="1"/>
  <c r="C17472" i="1"/>
  <c r="K17472" i="1"/>
  <c r="N17472" i="1"/>
  <c r="A17473" i="1"/>
  <c r="C17473" i="1"/>
  <c r="N17473" i="1"/>
  <c r="A17474" i="1"/>
  <c r="C17474" i="1"/>
  <c r="K17474" i="1"/>
  <c r="N17474" i="1"/>
  <c r="A17475" i="1"/>
  <c r="C17475" i="1"/>
  <c r="K17475" i="1"/>
  <c r="N17475" i="1"/>
  <c r="A17476" i="1"/>
  <c r="C17476" i="1"/>
  <c r="N17476" i="1"/>
  <c r="A17477" i="1"/>
  <c r="C17477" i="1"/>
  <c r="K17477" i="1"/>
  <c r="N17477" i="1"/>
  <c r="A17478" i="1"/>
  <c r="C17478" i="1"/>
  <c r="N17478" i="1"/>
  <c r="A17479" i="1"/>
  <c r="C17479" i="1"/>
  <c r="N17479" i="1"/>
  <c r="A17480" i="1"/>
  <c r="C17480" i="1"/>
  <c r="N17480" i="1"/>
  <c r="A17481" i="1"/>
  <c r="C17481" i="1"/>
  <c r="K17481" i="1"/>
  <c r="N17481" i="1"/>
  <c r="A17482" i="1"/>
  <c r="C17482" i="1"/>
  <c r="K17482" i="1"/>
  <c r="N17482" i="1"/>
  <c r="A17483" i="1"/>
  <c r="C17483" i="1"/>
  <c r="K17483" i="1"/>
  <c r="N17483" i="1"/>
  <c r="A17484" i="1"/>
  <c r="C17484" i="1"/>
  <c r="N17484" i="1"/>
  <c r="A17485" i="1"/>
  <c r="C17485" i="1"/>
  <c r="N17485" i="1"/>
  <c r="A17486" i="1"/>
  <c r="C17486" i="1"/>
  <c r="K17486" i="1"/>
  <c r="N17486" i="1"/>
  <c r="A17487" i="1"/>
  <c r="C17487" i="1"/>
  <c r="N17487" i="1"/>
  <c r="A17488" i="1"/>
  <c r="C17488" i="1"/>
  <c r="N17488" i="1"/>
  <c r="A17489" i="1"/>
  <c r="C17489" i="1"/>
  <c r="N17489" i="1"/>
  <c r="A17490" i="1"/>
  <c r="C17490" i="1"/>
  <c r="K17490" i="1"/>
  <c r="N17490" i="1"/>
  <c r="A17491" i="1"/>
  <c r="C17491" i="1"/>
  <c r="K17491" i="1"/>
  <c r="N17491" i="1"/>
  <c r="A17492" i="1"/>
  <c r="C17492" i="1"/>
  <c r="N17492" i="1"/>
  <c r="A17493" i="1"/>
  <c r="C17493" i="1"/>
  <c r="N17493" i="1"/>
  <c r="A17494" i="1"/>
  <c r="C17494" i="1"/>
  <c r="N17494" i="1"/>
  <c r="A17495" i="1"/>
  <c r="C17495" i="1"/>
  <c r="N17495" i="1"/>
  <c r="A17496" i="1"/>
  <c r="C17496" i="1"/>
  <c r="N17496" i="1"/>
  <c r="A17497" i="1"/>
  <c r="C17497" i="1"/>
  <c r="N17497" i="1"/>
  <c r="A17498" i="1"/>
  <c r="C17498" i="1"/>
  <c r="N17498" i="1"/>
  <c r="A17499" i="1"/>
  <c r="C17499" i="1"/>
  <c r="N17499" i="1"/>
  <c r="A17500" i="1"/>
  <c r="C17500" i="1"/>
  <c r="K17500" i="1"/>
  <c r="N17500" i="1"/>
  <c r="A17501" i="1"/>
  <c r="C17501" i="1"/>
  <c r="K17501" i="1"/>
  <c r="N17501" i="1"/>
  <c r="A17502" i="1"/>
  <c r="C17502" i="1"/>
  <c r="K17502" i="1"/>
  <c r="N17502" i="1"/>
  <c r="A17503" i="1"/>
  <c r="C17503" i="1"/>
  <c r="N17503" i="1"/>
  <c r="A17504" i="1"/>
  <c r="C17504" i="1"/>
  <c r="K17504" i="1"/>
  <c r="N17504" i="1"/>
  <c r="A17505" i="1"/>
  <c r="C17505" i="1"/>
  <c r="N17505" i="1"/>
  <c r="A17506" i="1"/>
  <c r="C17506" i="1"/>
  <c r="N17506" i="1"/>
  <c r="A17507" i="1"/>
  <c r="C17507" i="1"/>
  <c r="K17507" i="1"/>
  <c r="N17507" i="1"/>
  <c r="A17508" i="1"/>
  <c r="C17508" i="1"/>
  <c r="N17508" i="1"/>
  <c r="A17509" i="1"/>
  <c r="C17509" i="1"/>
  <c r="K17509" i="1"/>
  <c r="N17509" i="1"/>
  <c r="A17510" i="1"/>
  <c r="C17510" i="1"/>
  <c r="K17510" i="1"/>
  <c r="N17510" i="1"/>
  <c r="A17511" i="1"/>
  <c r="C17511" i="1"/>
  <c r="K17511" i="1"/>
  <c r="N17511" i="1"/>
  <c r="A17512" i="1"/>
  <c r="C17512" i="1"/>
  <c r="K17512" i="1"/>
  <c r="N17512" i="1"/>
  <c r="A17513" i="1"/>
  <c r="C17513" i="1"/>
  <c r="K17513" i="1"/>
  <c r="N17513" i="1"/>
  <c r="A17514" i="1"/>
  <c r="C17514" i="1"/>
  <c r="E17514" i="1"/>
  <c r="N17514" i="1"/>
  <c r="T17514" i="1"/>
  <c r="A17515" i="1"/>
  <c r="C17515" i="1"/>
  <c r="N17515" i="1"/>
  <c r="A17516" i="1"/>
  <c r="C17516" i="1"/>
  <c r="N17516" i="1"/>
  <c r="A17517" i="1"/>
  <c r="C17517" i="1"/>
  <c r="N17517" i="1"/>
  <c r="A17518" i="1"/>
  <c r="C17518" i="1"/>
  <c r="K17518" i="1"/>
  <c r="N17518" i="1"/>
  <c r="A17519" i="1"/>
  <c r="C17519" i="1"/>
  <c r="N17519" i="1"/>
  <c r="A17520" i="1"/>
  <c r="C17520" i="1"/>
  <c r="N17520" i="1"/>
  <c r="A17521" i="1"/>
  <c r="C17521" i="1"/>
  <c r="N17521" i="1"/>
  <c r="A17522" i="1"/>
  <c r="C17522" i="1"/>
  <c r="N17522" i="1"/>
  <c r="A17523" i="1"/>
  <c r="C17523" i="1"/>
  <c r="N17523" i="1"/>
  <c r="A17524" i="1"/>
  <c r="C17524" i="1"/>
  <c r="N17524" i="1"/>
  <c r="A17525" i="1"/>
  <c r="C17525" i="1"/>
  <c r="N17525" i="1"/>
  <c r="A17526" i="1"/>
  <c r="C17526" i="1"/>
  <c r="N17526" i="1"/>
  <c r="A17527" i="1"/>
  <c r="C17527" i="1"/>
  <c r="N17527" i="1"/>
  <c r="A17528" i="1"/>
  <c r="C17528" i="1"/>
  <c r="N17528" i="1"/>
  <c r="A17529" i="1"/>
  <c r="C17529" i="1"/>
  <c r="N17529" i="1"/>
  <c r="A17530" i="1"/>
  <c r="C17530" i="1"/>
  <c r="N17530" i="1"/>
  <c r="A17531" i="1"/>
  <c r="C17531" i="1"/>
  <c r="N17531" i="1"/>
  <c r="A17532" i="1"/>
  <c r="C17532" i="1"/>
  <c r="K17532" i="1"/>
  <c r="N17532" i="1"/>
  <c r="A17533" i="1"/>
  <c r="C17533" i="1"/>
  <c r="N17533" i="1"/>
  <c r="A17534" i="1"/>
  <c r="C17534" i="1"/>
  <c r="N17534" i="1"/>
  <c r="A17535" i="1"/>
  <c r="C17535" i="1"/>
  <c r="N17535" i="1"/>
  <c r="A17536" i="1"/>
  <c r="C17536" i="1"/>
  <c r="N17536" i="1"/>
  <c r="A17537" i="1"/>
  <c r="C17537" i="1"/>
  <c r="N17537" i="1"/>
  <c r="A17538" i="1"/>
  <c r="C17538" i="1"/>
  <c r="K17538" i="1"/>
  <c r="N17538" i="1"/>
  <c r="A17539" i="1"/>
  <c r="C17539" i="1"/>
  <c r="N17539" i="1"/>
  <c r="A17540" i="1"/>
  <c r="C17540" i="1"/>
  <c r="N17540" i="1"/>
  <c r="A17541" i="1"/>
  <c r="C17541" i="1"/>
  <c r="N17541" i="1"/>
  <c r="A17542" i="1"/>
  <c r="C17542" i="1"/>
  <c r="N17542" i="1"/>
  <c r="A17543" i="1"/>
  <c r="C17543" i="1"/>
  <c r="K17543" i="1"/>
  <c r="N17543" i="1"/>
  <c r="A17544" i="1"/>
  <c r="C17544" i="1"/>
  <c r="K17544" i="1"/>
  <c r="N17544" i="1"/>
  <c r="A17545" i="1"/>
  <c r="C17545" i="1"/>
  <c r="N17545" i="1"/>
  <c r="A17546" i="1"/>
  <c r="C17546" i="1"/>
  <c r="N17546" i="1"/>
  <c r="A17547" i="1"/>
  <c r="C17547" i="1"/>
  <c r="N17547" i="1"/>
  <c r="A17548" i="1"/>
  <c r="C17548" i="1"/>
  <c r="E17548" i="1"/>
  <c r="K17548" i="1"/>
  <c r="N17548" i="1"/>
  <c r="T17548" i="1"/>
  <c r="A17549" i="1"/>
  <c r="C17549" i="1"/>
  <c r="N17549" i="1"/>
  <c r="A17550" i="1"/>
  <c r="C17550" i="1"/>
  <c r="N17550" i="1"/>
  <c r="A17551" i="1"/>
  <c r="C17551" i="1"/>
  <c r="N17551" i="1"/>
  <c r="A17552" i="1"/>
  <c r="C17552" i="1"/>
  <c r="N17552" i="1"/>
  <c r="A17553" i="1"/>
  <c r="C17553" i="1"/>
  <c r="N17553" i="1"/>
  <c r="A17554" i="1"/>
  <c r="C17554" i="1"/>
  <c r="D17554" i="1"/>
  <c r="E17554" i="1"/>
  <c r="K17554" i="1"/>
  <c r="N17554" i="1"/>
  <c r="O17554" i="1"/>
  <c r="T17554" i="1"/>
  <c r="A17555" i="1"/>
  <c r="C17555" i="1"/>
  <c r="N17555" i="1"/>
  <c r="A17556" i="1"/>
  <c r="C17556" i="1"/>
  <c r="K17556" i="1"/>
  <c r="N17556" i="1"/>
  <c r="A17557" i="1"/>
  <c r="C17557" i="1"/>
  <c r="N17557" i="1"/>
  <c r="A17558" i="1"/>
  <c r="C17558" i="1"/>
  <c r="N17558" i="1"/>
  <c r="A17559" i="1"/>
  <c r="C17559" i="1"/>
  <c r="N17559" i="1"/>
  <c r="A17560" i="1"/>
  <c r="C17560" i="1"/>
  <c r="N17560" i="1"/>
  <c r="A17561" i="1"/>
  <c r="C17561" i="1"/>
  <c r="N17561" i="1"/>
  <c r="A17562" i="1"/>
  <c r="C17562" i="1"/>
  <c r="N17562" i="1"/>
  <c r="A17563" i="1"/>
  <c r="C17563" i="1"/>
  <c r="N17563" i="1"/>
  <c r="A17564" i="1"/>
  <c r="C17564" i="1"/>
  <c r="K17564" i="1"/>
  <c r="N17564" i="1"/>
  <c r="A17565" i="1"/>
  <c r="C17565" i="1"/>
  <c r="N17565" i="1"/>
  <c r="A17566" i="1"/>
  <c r="C17566" i="1"/>
  <c r="K17566" i="1"/>
  <c r="N17566" i="1"/>
  <c r="A17567" i="1"/>
  <c r="C17567" i="1"/>
  <c r="K17567" i="1"/>
  <c r="N17567" i="1"/>
  <c r="A17568" i="1"/>
  <c r="C17568" i="1"/>
  <c r="K17568" i="1"/>
  <c r="N17568" i="1"/>
  <c r="A17569" i="1"/>
  <c r="C17569" i="1"/>
  <c r="K17569" i="1"/>
  <c r="N17569" i="1"/>
  <c r="A17570" i="1"/>
  <c r="C17570" i="1"/>
  <c r="K17570" i="1"/>
  <c r="N17570" i="1"/>
  <c r="A17571" i="1"/>
  <c r="C17571" i="1"/>
  <c r="K17571" i="1"/>
  <c r="N17571" i="1"/>
  <c r="A17572" i="1"/>
  <c r="C17572" i="1"/>
  <c r="N17572" i="1"/>
  <c r="A17573" i="1"/>
  <c r="C17573" i="1"/>
  <c r="N17573" i="1"/>
  <c r="A17574" i="1"/>
  <c r="C17574" i="1"/>
  <c r="D17574" i="1"/>
  <c r="E17574" i="1"/>
  <c r="N17574" i="1"/>
  <c r="O17574" i="1"/>
  <c r="T17574" i="1"/>
  <c r="A17575" i="1"/>
  <c r="C17575" i="1"/>
  <c r="N17575" i="1"/>
  <c r="A17576" i="1"/>
  <c r="C17576" i="1"/>
  <c r="N17576" i="1"/>
  <c r="A17577" i="1"/>
  <c r="C17577" i="1"/>
  <c r="N17577" i="1"/>
  <c r="A17578" i="1"/>
  <c r="C17578" i="1"/>
  <c r="N17578" i="1"/>
  <c r="A17579" i="1"/>
  <c r="C17579" i="1"/>
  <c r="N17579" i="1"/>
  <c r="A17580" i="1"/>
  <c r="C17580" i="1"/>
  <c r="N17580" i="1"/>
  <c r="A17581" i="1"/>
  <c r="C17581" i="1"/>
  <c r="N17581" i="1"/>
  <c r="A17582" i="1"/>
  <c r="C17582" i="1"/>
  <c r="N17582" i="1"/>
  <c r="A17583" i="1"/>
  <c r="C17583" i="1"/>
  <c r="N17583" i="1"/>
  <c r="A17584" i="1"/>
  <c r="C17584" i="1"/>
  <c r="N17584" i="1"/>
  <c r="A17585" i="1"/>
  <c r="C17585" i="1"/>
  <c r="N17585" i="1"/>
  <c r="A17586" i="1"/>
  <c r="C17586" i="1"/>
  <c r="N17586" i="1"/>
  <c r="A17587" i="1"/>
  <c r="C17587" i="1"/>
  <c r="N17587" i="1"/>
  <c r="A17588" i="1"/>
  <c r="C17588" i="1"/>
  <c r="N17588" i="1"/>
  <c r="A17589" i="1"/>
  <c r="C17589" i="1"/>
  <c r="N17589" i="1"/>
  <c r="A17590" i="1"/>
  <c r="C17590" i="1"/>
  <c r="N17590" i="1"/>
  <c r="A17591" i="1"/>
  <c r="C17591" i="1"/>
  <c r="N17591" i="1"/>
  <c r="A17592" i="1"/>
  <c r="C17592" i="1"/>
  <c r="N17592" i="1"/>
  <c r="A17593" i="1"/>
  <c r="C17593" i="1"/>
  <c r="E17593" i="1"/>
  <c r="N17593" i="1"/>
  <c r="T17593" i="1"/>
  <c r="A17594" i="1"/>
  <c r="C17594" i="1"/>
  <c r="E17594" i="1"/>
  <c r="N17594" i="1"/>
  <c r="T17594" i="1"/>
  <c r="A17595" i="1"/>
  <c r="C17595" i="1"/>
  <c r="E17595" i="1"/>
  <c r="N17595" i="1"/>
  <c r="T17595" i="1"/>
  <c r="A17596" i="1"/>
  <c r="C17596" i="1"/>
  <c r="N17596" i="1"/>
  <c r="A17597" i="1"/>
  <c r="C17597" i="1"/>
  <c r="N17597" i="1"/>
  <c r="A17598" i="1"/>
  <c r="C17598" i="1"/>
  <c r="N17598" i="1"/>
  <c r="A17599" i="1"/>
  <c r="C17599" i="1"/>
  <c r="N17599" i="1"/>
  <c r="A17600" i="1"/>
  <c r="C17600" i="1"/>
  <c r="N17600" i="1"/>
  <c r="A17601" i="1"/>
  <c r="C17601" i="1"/>
  <c r="N17601" i="1"/>
  <c r="A17602" i="1"/>
  <c r="C17602" i="1"/>
  <c r="N17602" i="1"/>
  <c r="A17603" i="1"/>
  <c r="C17603" i="1"/>
  <c r="D17603" i="1"/>
  <c r="E17603" i="1"/>
  <c r="N17603" i="1"/>
  <c r="O17603" i="1"/>
  <c r="T17603" i="1"/>
  <c r="A17604" i="1"/>
  <c r="C17604" i="1"/>
  <c r="D17604" i="1"/>
  <c r="E17604" i="1"/>
  <c r="N17604" i="1"/>
  <c r="O17604" i="1"/>
  <c r="T17604" i="1"/>
  <c r="A17605" i="1"/>
  <c r="C17605" i="1"/>
  <c r="D17605" i="1"/>
  <c r="E17605" i="1"/>
  <c r="N17605" i="1"/>
  <c r="O17605" i="1"/>
  <c r="T17605" i="1"/>
  <c r="A17606" i="1"/>
  <c r="C17606" i="1"/>
  <c r="D17606" i="1"/>
  <c r="E17606" i="1"/>
  <c r="N17606" i="1"/>
  <c r="O17606" i="1"/>
  <c r="T17606" i="1"/>
  <c r="A17607" i="1"/>
  <c r="C17607" i="1"/>
  <c r="N17607" i="1"/>
  <c r="A17608" i="1"/>
  <c r="C17608" i="1"/>
  <c r="N17608" i="1"/>
  <c r="A17609" i="1"/>
  <c r="C17609" i="1"/>
  <c r="D17609" i="1"/>
  <c r="E17609" i="1"/>
  <c r="N17609" i="1"/>
  <c r="O17609" i="1"/>
  <c r="T17609" i="1"/>
  <c r="A17610" i="1"/>
  <c r="C17610" i="1"/>
  <c r="K17610" i="1"/>
  <c r="N17610" i="1"/>
  <c r="A17611" i="1"/>
  <c r="C17611" i="1"/>
  <c r="K17611" i="1"/>
  <c r="N17611" i="1"/>
  <c r="A17612" i="1"/>
  <c r="C17612" i="1"/>
  <c r="D17612" i="1"/>
  <c r="E17612" i="1"/>
  <c r="N17612" i="1"/>
  <c r="O17612" i="1"/>
  <c r="T17612" i="1"/>
  <c r="A17613" i="1"/>
  <c r="C17613" i="1"/>
  <c r="N17613" i="1"/>
  <c r="A17614" i="1"/>
  <c r="C17614" i="1"/>
  <c r="N17614" i="1"/>
  <c r="A17615" i="1"/>
  <c r="C17615" i="1"/>
  <c r="N17615" i="1"/>
  <c r="A17616" i="1"/>
  <c r="C17616" i="1"/>
  <c r="N17616" i="1"/>
  <c r="A17617" i="1"/>
  <c r="C17617" i="1"/>
  <c r="N17617" i="1"/>
  <c r="A17618" i="1"/>
  <c r="C17618" i="1"/>
  <c r="N17618" i="1"/>
  <c r="A17619" i="1"/>
  <c r="C17619" i="1"/>
  <c r="N17619" i="1"/>
  <c r="A17620" i="1"/>
  <c r="C17620" i="1"/>
  <c r="N17620" i="1"/>
  <c r="A17621" i="1"/>
  <c r="C17621" i="1"/>
  <c r="N17621" i="1"/>
  <c r="A17622" i="1"/>
  <c r="C17622" i="1"/>
  <c r="N17622" i="1"/>
  <c r="A17623" i="1"/>
  <c r="C17623" i="1"/>
  <c r="N17623" i="1"/>
  <c r="A17624" i="1"/>
  <c r="C17624" i="1"/>
  <c r="N17624" i="1"/>
  <c r="A17625" i="1"/>
  <c r="C17625" i="1"/>
  <c r="N17625" i="1"/>
  <c r="A17626" i="1"/>
  <c r="C17626" i="1"/>
  <c r="N17626" i="1"/>
  <c r="A17627" i="1"/>
  <c r="C17627" i="1"/>
  <c r="N17627" i="1"/>
  <c r="A17628" i="1"/>
  <c r="C17628" i="1"/>
  <c r="N17628" i="1"/>
  <c r="A17629" i="1"/>
  <c r="C17629" i="1"/>
  <c r="N17629" i="1"/>
  <c r="A17630" i="1"/>
  <c r="C17630" i="1"/>
  <c r="N17630" i="1"/>
  <c r="A17631" i="1"/>
  <c r="C17631" i="1"/>
  <c r="N17631" i="1"/>
  <c r="A17632" i="1"/>
  <c r="C17632" i="1"/>
  <c r="N17632" i="1"/>
  <c r="A17633" i="1"/>
  <c r="C17633" i="1"/>
  <c r="N17633" i="1"/>
  <c r="A17634" i="1"/>
  <c r="C17634" i="1"/>
  <c r="N17634" i="1"/>
  <c r="A17635" i="1"/>
  <c r="C17635" i="1"/>
  <c r="N17635" i="1"/>
  <c r="A17636" i="1"/>
  <c r="C17636" i="1"/>
  <c r="N17636" i="1"/>
  <c r="A17637" i="1"/>
  <c r="C17637" i="1"/>
  <c r="N17637" i="1"/>
  <c r="A17638" i="1"/>
  <c r="C17638" i="1"/>
  <c r="N17638" i="1"/>
  <c r="A17639" i="1"/>
  <c r="C17639" i="1"/>
  <c r="N17639" i="1"/>
  <c r="A17640" i="1"/>
  <c r="C17640" i="1"/>
  <c r="N17640" i="1"/>
  <c r="A17641" i="1"/>
  <c r="C17641" i="1"/>
  <c r="N17641" i="1"/>
  <c r="A17642" i="1"/>
  <c r="C17642" i="1"/>
  <c r="N17642" i="1"/>
  <c r="A17643" i="1"/>
  <c r="C17643" i="1"/>
  <c r="N17643" i="1"/>
  <c r="A17644" i="1"/>
  <c r="C17644" i="1"/>
  <c r="N17644" i="1"/>
  <c r="A17645" i="1"/>
  <c r="C17645" i="1"/>
  <c r="N17645" i="1"/>
  <c r="A17646" i="1"/>
  <c r="C17646" i="1"/>
  <c r="N17646" i="1"/>
  <c r="A17647" i="1"/>
  <c r="C17647" i="1"/>
  <c r="N17647" i="1"/>
  <c r="A17648" i="1"/>
  <c r="C17648" i="1"/>
  <c r="N17648" i="1"/>
  <c r="A17649" i="1"/>
  <c r="C17649" i="1"/>
  <c r="K17649" i="1"/>
  <c r="N17649" i="1"/>
  <c r="A17650" i="1"/>
  <c r="C17650" i="1"/>
  <c r="N17650" i="1"/>
  <c r="A17651" i="1"/>
  <c r="C17651" i="1"/>
  <c r="K17651" i="1"/>
  <c r="N17651" i="1"/>
  <c r="A17652" i="1"/>
  <c r="C17652" i="1"/>
  <c r="N17652" i="1"/>
  <c r="A17653" i="1"/>
  <c r="C17653" i="1"/>
  <c r="N17653" i="1"/>
  <c r="A17654" i="1"/>
  <c r="C17654" i="1"/>
  <c r="N17654" i="1"/>
  <c r="A17655" i="1"/>
  <c r="C17655" i="1"/>
  <c r="N17655" i="1"/>
  <c r="A17656" i="1"/>
  <c r="C17656" i="1"/>
  <c r="K17656" i="1"/>
  <c r="N17656" i="1"/>
  <c r="A17657" i="1"/>
  <c r="C17657" i="1"/>
  <c r="K17657" i="1"/>
  <c r="N17657" i="1"/>
  <c r="A17658" i="1"/>
  <c r="C17658" i="1"/>
  <c r="N17658" i="1"/>
  <c r="A17659" i="1"/>
  <c r="C17659" i="1"/>
  <c r="N17659" i="1"/>
  <c r="A17660" i="1"/>
  <c r="C17660" i="1"/>
  <c r="N17660" i="1"/>
  <c r="A17661" i="1"/>
  <c r="C17661" i="1"/>
  <c r="N17661" i="1"/>
  <c r="A17662" i="1"/>
  <c r="C17662" i="1"/>
  <c r="N17662" i="1"/>
  <c r="A17663" i="1"/>
  <c r="C17663" i="1"/>
  <c r="F17663" i="1"/>
  <c r="K17663" i="1"/>
  <c r="N17663" i="1"/>
  <c r="A17664" i="1"/>
  <c r="C17664" i="1"/>
  <c r="N17664" i="1"/>
  <c r="A17665" i="1"/>
  <c r="C17665" i="1"/>
  <c r="K17665" i="1"/>
  <c r="N17665" i="1"/>
  <c r="A17666" i="1"/>
  <c r="C17666" i="1"/>
  <c r="N17666" i="1"/>
  <c r="A17667" i="1"/>
  <c r="C17667" i="1"/>
  <c r="D17667" i="1"/>
  <c r="E17667" i="1"/>
  <c r="N17667" i="1"/>
  <c r="O17667" i="1"/>
  <c r="T17667" i="1"/>
  <c r="A17668" i="1"/>
  <c r="C17668" i="1"/>
  <c r="D17668" i="1"/>
  <c r="E17668" i="1"/>
  <c r="N17668" i="1"/>
  <c r="O17668" i="1"/>
  <c r="T17668" i="1"/>
  <c r="A17669" i="1"/>
  <c r="C17669" i="1"/>
  <c r="D17669" i="1"/>
  <c r="E17669" i="1"/>
  <c r="N17669" i="1"/>
  <c r="O17669" i="1"/>
  <c r="T17669" i="1"/>
  <c r="A17670" i="1"/>
  <c r="C17670" i="1"/>
  <c r="D17670" i="1"/>
  <c r="E17670" i="1"/>
  <c r="N17670" i="1"/>
  <c r="O17670" i="1"/>
  <c r="T17670" i="1"/>
  <c r="A17671" i="1"/>
  <c r="C17671" i="1"/>
  <c r="N17671" i="1"/>
  <c r="A17672" i="1"/>
  <c r="C17672" i="1"/>
  <c r="N17672" i="1"/>
  <c r="A17673" i="1"/>
  <c r="C17673" i="1"/>
  <c r="N17673" i="1"/>
  <c r="A17674" i="1"/>
  <c r="C17674" i="1"/>
  <c r="K17674" i="1"/>
  <c r="N17674" i="1"/>
  <c r="A17675" i="1"/>
  <c r="C17675" i="1"/>
  <c r="N17675" i="1"/>
  <c r="A17676" i="1"/>
  <c r="C17676" i="1"/>
  <c r="N17676" i="1"/>
  <c r="A17677" i="1"/>
  <c r="C17677" i="1"/>
  <c r="K17677" i="1"/>
  <c r="N17677" i="1"/>
  <c r="A17678" i="1"/>
  <c r="C17678" i="1"/>
  <c r="N17678" i="1"/>
  <c r="A17679" i="1"/>
  <c r="C17679" i="1"/>
  <c r="N17679" i="1"/>
  <c r="A17680" i="1"/>
  <c r="C17680" i="1"/>
  <c r="E17680" i="1"/>
  <c r="N17680" i="1"/>
  <c r="T17680" i="1"/>
  <c r="A17681" i="1"/>
  <c r="C17681" i="1"/>
  <c r="N17681" i="1"/>
  <c r="A17682" i="1"/>
  <c r="C17682" i="1"/>
  <c r="N17682" i="1"/>
  <c r="A17683" i="1"/>
  <c r="C17683" i="1"/>
  <c r="N17683" i="1"/>
  <c r="A17684" i="1"/>
  <c r="C17684" i="1"/>
  <c r="N17684" i="1"/>
  <c r="A17685" i="1"/>
  <c r="C17685" i="1"/>
  <c r="N17685" i="1"/>
  <c r="A17686" i="1"/>
  <c r="C17686" i="1"/>
  <c r="N17686" i="1"/>
  <c r="A17687" i="1"/>
  <c r="C17687" i="1"/>
  <c r="N17687" i="1"/>
  <c r="A17688" i="1"/>
  <c r="C17688" i="1"/>
  <c r="N17688" i="1"/>
  <c r="A17689" i="1"/>
  <c r="C17689" i="1"/>
  <c r="N17689" i="1"/>
  <c r="A17690" i="1"/>
  <c r="C17690" i="1"/>
  <c r="N17690" i="1"/>
  <c r="A17691" i="1"/>
  <c r="C17691" i="1"/>
  <c r="N17691" i="1"/>
  <c r="A17692" i="1"/>
  <c r="C17692" i="1"/>
  <c r="N17692" i="1"/>
  <c r="A17693" i="1"/>
  <c r="C17693" i="1"/>
  <c r="N17693" i="1"/>
  <c r="A17694" i="1"/>
  <c r="C17694" i="1"/>
  <c r="N17694" i="1"/>
  <c r="A17695" i="1"/>
  <c r="C17695" i="1"/>
  <c r="N17695" i="1"/>
  <c r="A17696" i="1"/>
  <c r="C17696" i="1"/>
  <c r="N17696" i="1"/>
  <c r="A17697" i="1"/>
  <c r="C17697" i="1"/>
  <c r="N17697" i="1"/>
  <c r="A17698" i="1"/>
  <c r="C17698" i="1"/>
  <c r="D17698" i="1"/>
  <c r="N17698" i="1"/>
  <c r="O17698" i="1"/>
  <c r="A17699" i="1"/>
  <c r="C17699" i="1"/>
  <c r="N17699" i="1"/>
  <c r="A17700" i="1"/>
  <c r="C17700" i="1"/>
  <c r="N17700" i="1"/>
  <c r="A17701" i="1"/>
  <c r="C17701" i="1"/>
  <c r="N17701" i="1"/>
  <c r="A17702" i="1"/>
  <c r="C17702" i="1"/>
  <c r="N17702" i="1"/>
  <c r="A17703" i="1"/>
  <c r="C17703" i="1"/>
  <c r="N17703" i="1"/>
  <c r="A17704" i="1"/>
  <c r="C17704" i="1"/>
  <c r="K17704" i="1"/>
  <c r="N17704" i="1"/>
  <c r="A17705" i="1"/>
  <c r="C17705" i="1"/>
  <c r="K17705" i="1"/>
  <c r="N17705" i="1"/>
  <c r="A17706" i="1"/>
  <c r="C17706" i="1"/>
  <c r="K17706" i="1"/>
  <c r="N17706" i="1"/>
  <c r="A17707" i="1"/>
  <c r="C17707" i="1"/>
  <c r="N17707" i="1"/>
  <c r="A17708" i="1"/>
  <c r="C17708" i="1"/>
  <c r="K17708" i="1"/>
  <c r="N17708" i="1"/>
  <c r="A17709" i="1"/>
  <c r="C17709" i="1"/>
  <c r="K17709" i="1"/>
  <c r="N17709" i="1"/>
  <c r="A17710" i="1"/>
  <c r="C17710" i="1"/>
  <c r="N17710" i="1"/>
  <c r="A17711" i="1"/>
  <c r="C17711" i="1"/>
  <c r="N17711" i="1"/>
  <c r="A17712" i="1"/>
  <c r="C17712" i="1"/>
  <c r="N17712" i="1"/>
  <c r="A17713" i="1"/>
  <c r="C17713" i="1"/>
  <c r="N17713" i="1"/>
  <c r="A17714" i="1"/>
  <c r="C17714" i="1"/>
  <c r="N17714" i="1"/>
  <c r="A17715" i="1"/>
  <c r="C17715" i="1"/>
  <c r="N17715" i="1"/>
  <c r="A17716" i="1"/>
  <c r="C17716" i="1"/>
  <c r="N17716" i="1"/>
  <c r="A17717" i="1"/>
  <c r="C17717" i="1"/>
  <c r="N17717" i="1"/>
  <c r="A17718" i="1"/>
  <c r="C17718" i="1"/>
  <c r="N17718" i="1"/>
  <c r="A17719" i="1"/>
  <c r="C17719" i="1"/>
  <c r="N17719" i="1"/>
  <c r="A17720" i="1"/>
  <c r="C17720" i="1"/>
  <c r="N17720" i="1"/>
  <c r="A17721" i="1"/>
  <c r="C17721" i="1"/>
  <c r="F17721" i="1"/>
  <c r="N17721" i="1"/>
  <c r="A17722" i="1"/>
  <c r="C17722" i="1"/>
  <c r="N17722" i="1"/>
  <c r="A17723" i="1"/>
  <c r="C17723" i="1"/>
  <c r="N17723" i="1"/>
  <c r="A17724" i="1"/>
  <c r="C17724" i="1"/>
  <c r="N17724" i="1"/>
  <c r="A17725" i="1"/>
  <c r="C17725" i="1"/>
  <c r="N17725" i="1"/>
  <c r="A17726" i="1"/>
  <c r="C17726" i="1"/>
  <c r="N17726" i="1"/>
  <c r="A17727" i="1"/>
  <c r="C17727" i="1"/>
  <c r="N17727" i="1"/>
  <c r="A17728" i="1"/>
  <c r="C17728" i="1"/>
  <c r="N17728" i="1"/>
  <c r="A17729" i="1"/>
  <c r="C17729" i="1"/>
  <c r="N17729" i="1"/>
  <c r="A17730" i="1"/>
  <c r="C17730" i="1"/>
  <c r="K17730" i="1"/>
  <c r="N17730" i="1"/>
  <c r="A17731" i="1"/>
  <c r="C17731" i="1"/>
  <c r="D17731" i="1"/>
  <c r="E17731" i="1"/>
  <c r="N17731" i="1"/>
  <c r="O17731" i="1"/>
  <c r="T17731" i="1"/>
  <c r="A17732" i="1"/>
  <c r="C17732" i="1"/>
  <c r="K17732" i="1"/>
  <c r="N17732" i="1"/>
  <c r="A17733" i="1"/>
  <c r="C17733" i="1"/>
  <c r="N17733" i="1"/>
  <c r="A17734" i="1"/>
  <c r="C17734" i="1"/>
  <c r="N17734" i="1"/>
  <c r="A17735" i="1"/>
  <c r="C17735" i="1"/>
  <c r="N17735" i="1"/>
  <c r="A17736" i="1"/>
  <c r="C17736" i="1"/>
  <c r="N17736" i="1"/>
  <c r="A17737" i="1"/>
  <c r="C17737" i="1"/>
  <c r="N17737" i="1"/>
  <c r="A17738" i="1"/>
  <c r="C17738" i="1"/>
  <c r="N17738" i="1"/>
  <c r="A17739" i="1"/>
  <c r="C17739" i="1"/>
  <c r="N17739" i="1"/>
  <c r="A17740" i="1"/>
  <c r="C17740" i="1"/>
  <c r="N17740" i="1"/>
  <c r="A17741" i="1"/>
  <c r="C17741" i="1"/>
  <c r="N17741" i="1"/>
  <c r="A17742" i="1"/>
  <c r="C17742" i="1"/>
  <c r="N17742" i="1"/>
  <c r="A17743" i="1"/>
  <c r="C17743" i="1"/>
  <c r="K17743" i="1"/>
  <c r="N17743" i="1"/>
  <c r="A17744" i="1"/>
  <c r="C17744" i="1"/>
  <c r="N17744" i="1"/>
  <c r="A17745" i="1"/>
  <c r="C17745" i="1"/>
  <c r="N17745" i="1"/>
  <c r="A17746" i="1"/>
  <c r="C17746" i="1"/>
  <c r="N17746" i="1"/>
  <c r="A17747" i="1"/>
  <c r="C17747" i="1"/>
  <c r="N17747" i="1"/>
  <c r="A17748" i="1"/>
  <c r="C17748" i="1"/>
  <c r="N17748" i="1"/>
  <c r="A17749" i="1"/>
  <c r="C17749" i="1"/>
  <c r="N17749" i="1"/>
  <c r="A17750" i="1"/>
  <c r="C17750" i="1"/>
  <c r="N17750" i="1"/>
  <c r="A17751" i="1"/>
  <c r="C17751" i="1"/>
  <c r="N17751" i="1"/>
  <c r="A17752" i="1"/>
  <c r="C17752" i="1"/>
  <c r="N17752" i="1"/>
  <c r="A17753" i="1"/>
  <c r="C17753" i="1"/>
  <c r="N17753" i="1"/>
  <c r="A17754" i="1"/>
  <c r="C17754" i="1"/>
  <c r="N17754" i="1"/>
  <c r="A17755" i="1"/>
  <c r="C17755" i="1"/>
  <c r="N17755" i="1"/>
  <c r="A17756" i="1"/>
  <c r="C17756" i="1"/>
  <c r="N17756" i="1"/>
  <c r="A17757" i="1"/>
  <c r="C17757" i="1"/>
  <c r="N17757" i="1"/>
  <c r="A17758" i="1"/>
  <c r="C17758" i="1"/>
  <c r="N17758" i="1"/>
  <c r="A17759" i="1"/>
  <c r="C17759" i="1"/>
  <c r="N17759" i="1"/>
  <c r="A17760" i="1"/>
  <c r="C17760" i="1"/>
  <c r="D17760" i="1"/>
  <c r="E17760" i="1"/>
  <c r="N17760" i="1"/>
  <c r="O17760" i="1"/>
  <c r="T17760" i="1"/>
  <c r="A17761" i="1"/>
  <c r="C17761" i="1"/>
  <c r="N17761" i="1"/>
  <c r="A17762" i="1"/>
  <c r="C17762" i="1"/>
  <c r="N17762" i="1"/>
  <c r="A17763" i="1"/>
  <c r="C17763" i="1"/>
  <c r="N17763" i="1"/>
  <c r="A17764" i="1"/>
  <c r="C17764" i="1"/>
  <c r="K17764" i="1"/>
  <c r="N17764" i="1"/>
  <c r="A17765" i="1"/>
  <c r="C17765" i="1"/>
  <c r="N17765" i="1"/>
  <c r="A17766" i="1"/>
  <c r="C17766" i="1"/>
  <c r="N17766" i="1"/>
  <c r="A17767" i="1"/>
  <c r="C17767" i="1"/>
  <c r="N17767" i="1"/>
  <c r="A17768" i="1"/>
  <c r="C17768" i="1"/>
  <c r="N17768" i="1"/>
  <c r="A17769" i="1"/>
  <c r="C17769" i="1"/>
  <c r="N17769" i="1"/>
  <c r="A17770" i="1"/>
  <c r="C17770" i="1"/>
  <c r="N17770" i="1"/>
  <c r="A17771" i="1"/>
  <c r="C17771" i="1"/>
  <c r="N17771" i="1"/>
  <c r="A17772" i="1"/>
  <c r="C17772" i="1"/>
  <c r="N17772" i="1"/>
  <c r="A17773" i="1"/>
  <c r="C17773" i="1"/>
  <c r="N17773" i="1"/>
  <c r="A17774" i="1"/>
  <c r="C17774" i="1"/>
  <c r="K17774" i="1"/>
  <c r="N17774" i="1"/>
  <c r="A17775" i="1"/>
  <c r="C17775" i="1"/>
  <c r="N17775" i="1"/>
  <c r="A17776" i="1"/>
  <c r="C17776" i="1"/>
  <c r="N17776" i="1"/>
  <c r="A17777" i="1"/>
  <c r="C17777" i="1"/>
  <c r="N17777" i="1"/>
  <c r="A17778" i="1"/>
  <c r="C17778" i="1"/>
  <c r="N17778" i="1"/>
  <c r="A17779" i="1"/>
  <c r="C17779" i="1"/>
  <c r="N17779" i="1"/>
  <c r="A17780" i="1"/>
  <c r="C17780" i="1"/>
  <c r="N17780" i="1"/>
  <c r="A17781" i="1"/>
  <c r="C17781" i="1"/>
  <c r="N17781" i="1"/>
  <c r="A17782" i="1"/>
  <c r="C17782" i="1"/>
  <c r="N17782" i="1"/>
  <c r="A17783" i="1"/>
  <c r="C17783" i="1"/>
  <c r="N17783" i="1"/>
  <c r="A17784" i="1"/>
  <c r="C17784" i="1"/>
  <c r="N17784" i="1"/>
  <c r="A17785" i="1"/>
  <c r="C17785" i="1"/>
  <c r="N17785" i="1"/>
  <c r="A17786" i="1"/>
  <c r="C17786" i="1"/>
  <c r="N17786" i="1"/>
  <c r="A17787" i="1"/>
  <c r="C17787" i="1"/>
  <c r="N17787" i="1"/>
  <c r="A17788" i="1"/>
  <c r="C17788" i="1"/>
  <c r="N17788" i="1"/>
  <c r="A17789" i="1"/>
  <c r="C17789" i="1"/>
  <c r="N17789" i="1"/>
  <c r="A17790" i="1"/>
  <c r="C17790" i="1"/>
  <c r="N17790" i="1"/>
  <c r="A17791" i="1"/>
  <c r="C17791" i="1"/>
  <c r="N17791" i="1"/>
  <c r="A17792" i="1"/>
  <c r="C17792" i="1"/>
  <c r="N17792" i="1"/>
  <c r="A17793" i="1"/>
  <c r="C17793" i="1"/>
  <c r="N17793" i="1"/>
  <c r="A17794" i="1"/>
  <c r="C17794" i="1"/>
  <c r="N17794" i="1"/>
  <c r="A17795" i="1"/>
  <c r="C17795" i="1"/>
  <c r="N17795" i="1"/>
  <c r="A17796" i="1"/>
  <c r="C17796" i="1"/>
  <c r="N17796" i="1"/>
  <c r="A17797" i="1"/>
  <c r="C17797" i="1"/>
  <c r="N17797" i="1"/>
  <c r="A17798" i="1"/>
  <c r="C17798" i="1"/>
  <c r="N17798" i="1"/>
  <c r="A17799" i="1"/>
  <c r="C17799" i="1"/>
  <c r="N17799" i="1"/>
  <c r="A17800" i="1"/>
  <c r="C17800" i="1"/>
  <c r="N17800" i="1"/>
  <c r="A17801" i="1"/>
  <c r="C17801" i="1"/>
  <c r="N17801" i="1"/>
  <c r="A17802" i="1"/>
  <c r="C17802" i="1"/>
  <c r="N17802" i="1"/>
  <c r="A17803" i="1"/>
  <c r="C17803" i="1"/>
  <c r="N17803" i="1"/>
  <c r="A17804" i="1"/>
  <c r="C17804" i="1"/>
  <c r="N17804" i="1"/>
  <c r="A17805" i="1"/>
  <c r="C17805" i="1"/>
  <c r="N17805" i="1"/>
  <c r="A17806" i="1"/>
  <c r="C17806" i="1"/>
  <c r="K17806" i="1"/>
  <c r="N17806" i="1"/>
  <c r="A17807" i="1"/>
  <c r="C17807" i="1"/>
  <c r="N17807" i="1"/>
  <c r="A17808" i="1"/>
  <c r="C17808" i="1"/>
  <c r="K17808" i="1"/>
  <c r="N17808" i="1"/>
  <c r="A17809" i="1"/>
  <c r="C17809" i="1"/>
  <c r="F17809" i="1"/>
  <c r="N17809" i="1"/>
  <c r="A17810" i="1"/>
  <c r="C17810" i="1"/>
  <c r="N17810" i="1"/>
  <c r="A17811" i="1"/>
  <c r="C17811" i="1"/>
  <c r="N17811" i="1"/>
  <c r="A17812" i="1"/>
  <c r="C17812" i="1"/>
  <c r="N17812" i="1"/>
  <c r="A17813" i="1"/>
  <c r="C17813" i="1"/>
  <c r="N17813" i="1"/>
  <c r="A17814" i="1"/>
  <c r="C17814" i="1"/>
  <c r="N17814" i="1"/>
  <c r="A17815" i="1"/>
  <c r="C17815" i="1"/>
  <c r="N17815" i="1"/>
  <c r="A17816" i="1"/>
  <c r="C17816" i="1"/>
  <c r="N17816" i="1"/>
  <c r="A17817" i="1"/>
  <c r="C17817" i="1"/>
  <c r="N17817" i="1"/>
  <c r="A17818" i="1"/>
  <c r="C17818" i="1"/>
  <c r="N17818" i="1"/>
  <c r="A17819" i="1"/>
  <c r="C17819" i="1"/>
  <c r="N17819" i="1"/>
  <c r="A17820" i="1"/>
  <c r="C17820" i="1"/>
  <c r="N17820" i="1"/>
  <c r="A17821" i="1"/>
  <c r="C17821" i="1"/>
  <c r="N17821" i="1"/>
  <c r="A17822" i="1"/>
  <c r="C17822" i="1"/>
  <c r="N17822" i="1"/>
  <c r="A17823" i="1"/>
  <c r="C17823" i="1"/>
  <c r="N17823" i="1"/>
  <c r="A17824" i="1"/>
  <c r="C17824" i="1"/>
  <c r="N17824" i="1"/>
  <c r="A17825" i="1"/>
  <c r="C17825" i="1"/>
  <c r="N17825" i="1"/>
  <c r="A17826" i="1"/>
  <c r="C17826" i="1"/>
  <c r="N17826" i="1"/>
  <c r="A17827" i="1"/>
  <c r="C17827" i="1"/>
  <c r="N17827" i="1"/>
  <c r="A17828" i="1"/>
  <c r="C17828" i="1"/>
  <c r="N17828" i="1"/>
  <c r="A17829" i="1"/>
  <c r="C17829" i="1"/>
  <c r="N17829" i="1"/>
  <c r="A17830" i="1"/>
  <c r="C17830" i="1"/>
  <c r="N17830" i="1"/>
  <c r="A17831" i="1"/>
  <c r="C17831" i="1"/>
  <c r="N17831" i="1"/>
  <c r="A17832" i="1"/>
  <c r="C17832" i="1"/>
  <c r="N17832" i="1"/>
  <c r="A17833" i="1"/>
  <c r="C17833" i="1"/>
  <c r="N17833" i="1"/>
  <c r="A17834" i="1"/>
  <c r="C17834" i="1"/>
  <c r="D17834" i="1"/>
  <c r="N17834" i="1"/>
  <c r="O17834" i="1"/>
  <c r="A17835" i="1"/>
  <c r="C17835" i="1"/>
  <c r="N17835" i="1"/>
  <c r="A17836" i="1"/>
  <c r="C17836" i="1"/>
  <c r="N17836" i="1"/>
  <c r="A17837" i="1"/>
  <c r="C17837" i="1"/>
  <c r="N17837" i="1"/>
  <c r="A17838" i="1"/>
  <c r="C17838" i="1"/>
  <c r="N17838" i="1"/>
  <c r="A17839" i="1"/>
  <c r="C17839" i="1"/>
  <c r="N17839" i="1"/>
  <c r="A17840" i="1"/>
  <c r="C17840" i="1"/>
  <c r="N17840" i="1"/>
  <c r="A17841" i="1"/>
  <c r="C17841" i="1"/>
  <c r="N17841" i="1"/>
  <c r="A17842" i="1"/>
  <c r="C17842" i="1"/>
  <c r="K17842" i="1"/>
  <c r="N17842" i="1"/>
  <c r="A17843" i="1"/>
  <c r="C17843" i="1"/>
  <c r="N17843" i="1"/>
  <c r="A17844" i="1"/>
  <c r="C17844" i="1"/>
  <c r="N17844" i="1"/>
  <c r="A17845" i="1"/>
  <c r="C17845" i="1"/>
  <c r="N17845" i="1"/>
  <c r="A17846" i="1"/>
  <c r="C17846" i="1"/>
  <c r="N17846" i="1"/>
  <c r="A17847" i="1"/>
  <c r="C17847" i="1"/>
  <c r="N17847" i="1"/>
  <c r="A17848" i="1"/>
  <c r="C17848" i="1"/>
  <c r="N17848" i="1"/>
  <c r="A17849" i="1"/>
  <c r="C17849" i="1"/>
  <c r="N17849" i="1"/>
  <c r="A17850" i="1"/>
  <c r="C17850" i="1"/>
  <c r="N17850" i="1"/>
  <c r="A17851" i="1"/>
  <c r="C17851" i="1"/>
  <c r="N17851" i="1"/>
  <c r="A17852" i="1"/>
  <c r="C17852" i="1"/>
  <c r="N17852" i="1"/>
  <c r="A17853" i="1"/>
  <c r="C17853" i="1"/>
  <c r="N17853" i="1"/>
  <c r="A17854" i="1"/>
  <c r="C17854" i="1"/>
  <c r="N17854" i="1"/>
  <c r="A17855" i="1"/>
  <c r="C17855" i="1"/>
  <c r="N17855" i="1"/>
  <c r="A17856" i="1"/>
  <c r="C17856" i="1"/>
  <c r="N17856" i="1"/>
  <c r="A17857" i="1"/>
  <c r="C17857" i="1"/>
  <c r="N17857" i="1"/>
  <c r="A17858" i="1"/>
  <c r="C17858" i="1"/>
  <c r="N17858" i="1"/>
  <c r="A17859" i="1"/>
  <c r="C17859" i="1"/>
  <c r="N17859" i="1"/>
  <c r="A17860" i="1"/>
  <c r="C17860" i="1"/>
  <c r="N17860" i="1"/>
  <c r="A17861" i="1"/>
  <c r="C17861" i="1"/>
  <c r="K17861" i="1"/>
  <c r="N17861" i="1"/>
  <c r="A17862" i="1"/>
  <c r="C17862" i="1"/>
  <c r="N17862" i="1"/>
  <c r="A17863" i="1"/>
  <c r="C17863" i="1"/>
  <c r="N17863" i="1"/>
  <c r="A17864" i="1"/>
  <c r="C17864" i="1"/>
  <c r="N17864" i="1"/>
  <c r="A17865" i="1"/>
  <c r="C17865" i="1"/>
  <c r="N17865" i="1"/>
  <c r="A17866" i="1"/>
  <c r="C17866" i="1"/>
  <c r="N17866" i="1"/>
  <c r="A17867" i="1"/>
  <c r="C17867" i="1"/>
  <c r="N17867" i="1"/>
  <c r="A17868" i="1"/>
  <c r="C17868" i="1"/>
  <c r="K17868" i="1"/>
  <c r="N17868" i="1"/>
  <c r="A17869" i="1"/>
  <c r="C17869" i="1"/>
  <c r="D17869" i="1"/>
  <c r="N17869" i="1"/>
  <c r="O17869" i="1"/>
  <c r="A17870" i="1"/>
  <c r="C17870" i="1"/>
  <c r="N17870" i="1"/>
  <c r="A17871" i="1"/>
  <c r="C17871" i="1"/>
  <c r="N17871" i="1"/>
  <c r="A17872" i="1"/>
  <c r="C17872" i="1"/>
  <c r="N17872" i="1"/>
  <c r="A17873" i="1"/>
  <c r="C17873" i="1"/>
  <c r="N17873" i="1"/>
  <c r="A17874" i="1"/>
  <c r="C17874" i="1"/>
  <c r="K17874" i="1"/>
  <c r="N17874" i="1"/>
  <c r="A17875" i="1"/>
  <c r="C17875" i="1"/>
  <c r="K17875" i="1"/>
  <c r="N17875" i="1"/>
  <c r="A17876" i="1"/>
  <c r="C17876" i="1"/>
  <c r="N17876" i="1"/>
  <c r="A17877" i="1"/>
  <c r="C17877" i="1"/>
  <c r="N17877" i="1"/>
  <c r="A17878" i="1"/>
  <c r="C17878" i="1"/>
  <c r="N17878" i="1"/>
  <c r="A17879" i="1"/>
  <c r="C17879" i="1"/>
  <c r="N17879" i="1"/>
  <c r="A17880" i="1"/>
  <c r="C17880" i="1"/>
  <c r="N17880" i="1"/>
  <c r="A17881" i="1"/>
  <c r="C17881" i="1"/>
  <c r="N17881" i="1"/>
  <c r="A17882" i="1"/>
  <c r="C17882" i="1"/>
  <c r="K17882" i="1"/>
  <c r="N17882" i="1"/>
  <c r="A17883" i="1"/>
  <c r="C17883" i="1"/>
  <c r="N17883" i="1"/>
  <c r="A17884" i="1"/>
  <c r="C17884" i="1"/>
  <c r="N17884" i="1"/>
  <c r="A17885" i="1"/>
  <c r="C17885" i="1"/>
  <c r="N17885" i="1"/>
  <c r="A17886" i="1"/>
  <c r="C17886" i="1"/>
  <c r="N17886" i="1"/>
  <c r="A17887" i="1"/>
  <c r="C17887" i="1"/>
  <c r="N17887" i="1"/>
  <c r="A17888" i="1"/>
  <c r="C17888" i="1"/>
  <c r="N17888" i="1"/>
  <c r="A17889" i="1"/>
  <c r="C17889" i="1"/>
  <c r="N17889" i="1"/>
  <c r="A17890" i="1"/>
  <c r="C17890" i="1"/>
  <c r="N17890" i="1"/>
  <c r="A17891" i="1"/>
  <c r="C17891" i="1"/>
  <c r="N17891" i="1"/>
  <c r="A17892" i="1"/>
  <c r="C17892" i="1"/>
  <c r="N17892" i="1"/>
  <c r="A17893" i="1"/>
  <c r="C17893" i="1"/>
  <c r="K17893" i="1"/>
  <c r="N17893" i="1"/>
  <c r="A17894" i="1"/>
  <c r="C17894" i="1"/>
  <c r="N17894" i="1"/>
  <c r="A17895" i="1"/>
  <c r="C17895" i="1"/>
  <c r="N17895" i="1"/>
  <c r="A17896" i="1"/>
  <c r="C17896" i="1"/>
  <c r="N17896" i="1"/>
  <c r="A17897" i="1"/>
  <c r="C17897" i="1"/>
  <c r="N17897" i="1"/>
  <c r="A17898" i="1"/>
  <c r="C17898" i="1"/>
  <c r="N17898" i="1"/>
  <c r="A17899" i="1"/>
  <c r="C17899" i="1"/>
  <c r="N17899" i="1"/>
  <c r="A17900" i="1"/>
  <c r="C17900" i="1"/>
  <c r="F17900" i="1"/>
  <c r="N17900" i="1"/>
  <c r="A17901" i="1"/>
  <c r="C17901" i="1"/>
  <c r="N17901" i="1"/>
  <c r="A17902" i="1"/>
  <c r="C17902" i="1"/>
  <c r="K17902" i="1"/>
  <c r="N17902" i="1"/>
  <c r="A17903" i="1"/>
  <c r="C17903" i="1"/>
  <c r="K17903" i="1"/>
  <c r="N17903" i="1"/>
  <c r="A17904" i="1"/>
  <c r="C17904" i="1"/>
  <c r="N17904" i="1"/>
  <c r="A17905" i="1"/>
  <c r="C17905" i="1"/>
  <c r="N17905" i="1"/>
  <c r="A17906" i="1"/>
  <c r="C17906" i="1"/>
  <c r="N17906" i="1"/>
  <c r="A17907" i="1"/>
  <c r="C17907" i="1"/>
  <c r="N17907" i="1"/>
  <c r="A17908" i="1"/>
  <c r="C17908" i="1"/>
  <c r="D17908" i="1"/>
  <c r="E17908" i="1"/>
  <c r="N17908" i="1"/>
  <c r="O17908" i="1"/>
  <c r="T17908" i="1"/>
  <c r="A17909" i="1"/>
  <c r="C17909" i="1"/>
  <c r="N17909" i="1"/>
  <c r="A17910" i="1"/>
  <c r="C17910" i="1"/>
  <c r="N17910" i="1"/>
  <c r="A17911" i="1"/>
  <c r="C17911" i="1"/>
  <c r="N17911" i="1"/>
  <c r="A17912" i="1"/>
  <c r="C17912" i="1"/>
  <c r="N17912" i="1"/>
  <c r="A17913" i="1"/>
  <c r="C17913" i="1"/>
  <c r="K17913" i="1"/>
  <c r="N17913" i="1"/>
  <c r="A17914" i="1"/>
  <c r="C17914" i="1"/>
  <c r="N17914" i="1"/>
  <c r="A17915" i="1"/>
  <c r="C17915" i="1"/>
  <c r="N17915" i="1"/>
  <c r="A17916" i="1"/>
  <c r="C17916" i="1"/>
  <c r="N17916" i="1"/>
  <c r="A17917" i="1"/>
  <c r="C17917" i="1"/>
  <c r="N17917" i="1"/>
  <c r="A17918" i="1"/>
  <c r="C17918" i="1"/>
  <c r="N17918" i="1"/>
  <c r="A17919" i="1"/>
  <c r="C17919" i="1"/>
  <c r="N17919" i="1"/>
  <c r="A17920" i="1"/>
  <c r="C17920" i="1"/>
  <c r="N17920" i="1"/>
  <c r="A17921" i="1"/>
  <c r="C17921" i="1"/>
  <c r="N17921" i="1"/>
  <c r="A17922" i="1"/>
  <c r="C17922" i="1"/>
  <c r="N17922" i="1"/>
  <c r="A17923" i="1"/>
  <c r="C17923" i="1"/>
  <c r="N17923" i="1"/>
  <c r="A17924" i="1"/>
  <c r="C17924" i="1"/>
  <c r="N17924" i="1"/>
  <c r="A17925" i="1"/>
  <c r="C17925" i="1"/>
  <c r="N17925" i="1"/>
  <c r="A17926" i="1"/>
  <c r="C17926" i="1"/>
  <c r="N17926" i="1"/>
  <c r="A17927" i="1"/>
  <c r="C17927" i="1"/>
  <c r="N17927" i="1"/>
  <c r="A17928" i="1"/>
  <c r="C17928" i="1"/>
  <c r="N17928" i="1"/>
  <c r="A17929" i="1"/>
  <c r="C17929" i="1"/>
  <c r="N17929" i="1"/>
  <c r="A17930" i="1"/>
  <c r="C17930" i="1"/>
  <c r="N17930" i="1"/>
  <c r="A17931" i="1"/>
  <c r="C17931" i="1"/>
  <c r="D17931" i="1"/>
  <c r="N17931" i="1"/>
  <c r="O17931" i="1"/>
  <c r="A17932" i="1"/>
  <c r="C17932" i="1"/>
  <c r="N17932" i="1"/>
  <c r="A17933" i="1"/>
  <c r="C17933" i="1"/>
  <c r="N17933" i="1"/>
  <c r="A17934" i="1"/>
  <c r="C17934" i="1"/>
  <c r="N17934" i="1"/>
  <c r="A17935" i="1"/>
  <c r="C17935" i="1"/>
  <c r="N17935" i="1"/>
  <c r="A17936" i="1"/>
  <c r="C17936" i="1"/>
  <c r="N17936" i="1"/>
  <c r="A17937" i="1"/>
  <c r="C17937" i="1"/>
  <c r="N17937" i="1"/>
  <c r="A17938" i="1"/>
  <c r="C17938" i="1"/>
  <c r="N17938" i="1"/>
  <c r="A17939" i="1"/>
  <c r="C17939" i="1"/>
  <c r="N17939" i="1"/>
  <c r="A17940" i="1"/>
  <c r="C17940" i="1"/>
  <c r="N17940" i="1"/>
  <c r="A17941" i="1"/>
  <c r="C17941" i="1"/>
  <c r="N17941" i="1"/>
  <c r="A17942" i="1"/>
  <c r="C17942" i="1"/>
  <c r="N17942" i="1"/>
  <c r="A17943" i="1"/>
  <c r="C17943" i="1"/>
  <c r="K17943" i="1"/>
  <c r="N17943" i="1"/>
  <c r="A17944" i="1"/>
  <c r="C17944" i="1"/>
  <c r="N17944" i="1"/>
  <c r="A17945" i="1"/>
  <c r="C17945" i="1"/>
  <c r="N17945" i="1"/>
  <c r="A17946" i="1"/>
  <c r="C17946" i="1"/>
  <c r="N17946" i="1"/>
  <c r="A17947" i="1"/>
  <c r="C17947" i="1"/>
  <c r="N17947" i="1"/>
  <c r="A17948" i="1"/>
  <c r="C17948" i="1"/>
  <c r="N17948" i="1"/>
  <c r="A17949" i="1"/>
  <c r="C17949" i="1"/>
  <c r="N17949" i="1"/>
  <c r="A17950" i="1"/>
  <c r="C17950" i="1"/>
  <c r="N17950" i="1"/>
  <c r="A17951" i="1"/>
  <c r="C17951" i="1"/>
  <c r="N17951" i="1"/>
  <c r="A17952" i="1"/>
  <c r="C17952" i="1"/>
  <c r="N17952" i="1"/>
  <c r="A17953" i="1"/>
  <c r="C17953" i="1"/>
  <c r="N17953" i="1"/>
  <c r="A17954" i="1"/>
  <c r="C17954" i="1"/>
  <c r="N17954" i="1"/>
  <c r="A17955" i="1"/>
  <c r="C17955" i="1"/>
  <c r="N17955" i="1"/>
  <c r="A17956" i="1"/>
  <c r="C17956" i="1"/>
  <c r="N17956" i="1"/>
  <c r="A17957" i="1"/>
  <c r="C17957" i="1"/>
  <c r="N17957" i="1"/>
  <c r="A17958" i="1"/>
  <c r="C17958" i="1"/>
  <c r="N17958" i="1"/>
  <c r="A17959" i="1"/>
  <c r="C17959" i="1"/>
  <c r="N17959" i="1"/>
  <c r="A17960" i="1"/>
  <c r="C17960" i="1"/>
  <c r="N17960" i="1"/>
  <c r="A17961" i="1"/>
  <c r="C17961" i="1"/>
  <c r="K17961" i="1"/>
  <c r="N17961" i="1"/>
  <c r="A17962" i="1"/>
  <c r="C17962" i="1"/>
  <c r="N17962" i="1"/>
  <c r="A17963" i="1"/>
  <c r="C17963" i="1"/>
  <c r="N17963" i="1"/>
  <c r="A17964" i="1"/>
  <c r="C17964" i="1"/>
  <c r="N17964" i="1"/>
  <c r="A17965" i="1"/>
  <c r="C17965" i="1"/>
  <c r="N17965" i="1"/>
  <c r="A17966" i="1"/>
  <c r="C17966" i="1"/>
  <c r="F17966" i="1"/>
  <c r="N17966" i="1"/>
  <c r="A17967" i="1"/>
  <c r="C17967" i="1"/>
  <c r="N17967" i="1"/>
  <c r="A17968" i="1"/>
  <c r="C17968" i="1"/>
  <c r="N17968" i="1"/>
  <c r="A17969" i="1"/>
  <c r="C17969" i="1"/>
  <c r="N17969" i="1"/>
  <c r="A17970" i="1"/>
  <c r="C17970" i="1"/>
  <c r="N17970" i="1"/>
  <c r="A17971" i="1"/>
  <c r="C17971" i="1"/>
  <c r="N17971" i="1"/>
  <c r="A17972" i="1"/>
  <c r="C17972" i="1"/>
  <c r="N17972" i="1"/>
  <c r="A17973" i="1"/>
  <c r="C17973" i="1"/>
  <c r="N17973" i="1"/>
  <c r="A17974" i="1"/>
  <c r="C17974" i="1"/>
  <c r="K17974" i="1"/>
  <c r="N17974" i="1"/>
  <c r="A17975" i="1"/>
  <c r="C17975" i="1"/>
  <c r="K17975" i="1"/>
  <c r="N17975" i="1"/>
  <c r="A17976" i="1"/>
  <c r="C17976" i="1"/>
  <c r="N17976" i="1"/>
  <c r="A17977" i="1"/>
  <c r="C17977" i="1"/>
  <c r="N17977" i="1"/>
  <c r="A17978" i="1"/>
  <c r="C17978" i="1"/>
  <c r="N17978" i="1"/>
  <c r="A17979" i="1"/>
  <c r="C17979" i="1"/>
  <c r="N17979" i="1"/>
  <c r="A17980" i="1"/>
  <c r="C17980" i="1"/>
  <c r="N17980" i="1"/>
  <c r="A17981" i="1"/>
  <c r="C17981" i="1"/>
  <c r="N17981" i="1"/>
  <c r="A17982" i="1"/>
  <c r="C17982" i="1"/>
  <c r="N17982" i="1"/>
  <c r="A17983" i="1"/>
  <c r="C17983" i="1"/>
  <c r="N17983" i="1"/>
  <c r="A17984" i="1"/>
  <c r="C17984" i="1"/>
  <c r="N17984" i="1"/>
  <c r="A17985" i="1"/>
  <c r="C17985" i="1"/>
  <c r="D17985" i="1"/>
  <c r="E17985" i="1"/>
  <c r="N17985" i="1"/>
  <c r="O17985" i="1"/>
  <c r="T17985" i="1"/>
  <c r="A17986" i="1"/>
  <c r="C17986" i="1"/>
  <c r="N17986" i="1"/>
  <c r="A17987" i="1"/>
  <c r="C17987" i="1"/>
  <c r="N17987" i="1"/>
  <c r="A17988" i="1"/>
  <c r="C17988" i="1"/>
  <c r="N17988" i="1"/>
  <c r="A17989" i="1"/>
  <c r="C17989" i="1"/>
  <c r="N17989" i="1"/>
  <c r="A17990" i="1"/>
  <c r="C17990" i="1"/>
  <c r="N17990" i="1"/>
  <c r="A17991" i="1"/>
  <c r="C17991" i="1"/>
  <c r="N17991" i="1"/>
  <c r="A17992" i="1"/>
  <c r="C17992" i="1"/>
  <c r="N17992" i="1"/>
  <c r="A17993" i="1"/>
  <c r="C17993" i="1"/>
  <c r="N17993" i="1"/>
  <c r="A17994" i="1"/>
  <c r="C17994" i="1"/>
  <c r="N17994" i="1"/>
  <c r="A17995" i="1"/>
  <c r="C17995" i="1"/>
  <c r="K17995" i="1"/>
  <c r="N17995" i="1"/>
  <c r="A17996" i="1"/>
  <c r="C17996" i="1"/>
  <c r="N17996" i="1"/>
  <c r="A17997" i="1"/>
  <c r="C17997" i="1"/>
  <c r="N17997" i="1"/>
  <c r="A17998" i="1"/>
  <c r="C17998" i="1"/>
  <c r="N17998" i="1"/>
  <c r="A17999" i="1"/>
  <c r="C17999" i="1"/>
  <c r="N17999" i="1"/>
  <c r="A18000" i="1"/>
  <c r="C18000" i="1"/>
  <c r="N18000" i="1"/>
  <c r="A18001" i="1"/>
  <c r="C18001" i="1"/>
  <c r="N18001" i="1"/>
  <c r="A18002" i="1"/>
  <c r="C18002" i="1"/>
  <c r="N18002" i="1"/>
  <c r="A18003" i="1"/>
  <c r="C18003" i="1"/>
  <c r="N18003" i="1"/>
  <c r="A18004" i="1"/>
  <c r="C18004" i="1"/>
  <c r="N18004" i="1"/>
  <c r="A18005" i="1"/>
  <c r="C18005" i="1"/>
  <c r="N18005" i="1"/>
  <c r="A18006" i="1"/>
  <c r="C18006" i="1"/>
  <c r="N18006" i="1"/>
  <c r="A18007" i="1"/>
  <c r="C18007" i="1"/>
  <c r="N18007" i="1"/>
  <c r="A18008" i="1"/>
  <c r="C18008" i="1"/>
  <c r="N18008" i="1"/>
  <c r="A18009" i="1"/>
  <c r="C18009" i="1"/>
  <c r="N18009" i="1"/>
  <c r="A18010" i="1"/>
  <c r="C18010" i="1"/>
  <c r="N18010" i="1"/>
  <c r="A18011" i="1"/>
  <c r="C18011" i="1"/>
  <c r="N18011" i="1"/>
  <c r="A18012" i="1"/>
  <c r="C18012" i="1"/>
  <c r="N18012" i="1"/>
  <c r="A18013" i="1"/>
  <c r="C18013" i="1"/>
  <c r="N18013" i="1"/>
  <c r="A18014" i="1"/>
  <c r="C18014" i="1"/>
  <c r="N18014" i="1"/>
  <c r="A18015" i="1"/>
  <c r="C18015" i="1"/>
  <c r="N18015" i="1"/>
  <c r="A18016" i="1"/>
  <c r="C18016" i="1"/>
  <c r="N18016" i="1"/>
  <c r="A18017" i="1"/>
  <c r="C18017" i="1"/>
  <c r="N18017" i="1"/>
  <c r="A18018" i="1"/>
  <c r="C18018" i="1"/>
  <c r="N18018" i="1"/>
  <c r="A18019" i="1"/>
  <c r="C18019" i="1"/>
  <c r="N18019" i="1"/>
  <c r="A18020" i="1"/>
  <c r="C18020" i="1"/>
  <c r="N18020" i="1"/>
  <c r="A18021" i="1"/>
  <c r="C18021" i="1"/>
  <c r="N18021" i="1"/>
  <c r="A18022" i="1"/>
  <c r="C18022" i="1"/>
  <c r="N18022" i="1"/>
  <c r="A18023" i="1"/>
  <c r="C18023" i="1"/>
  <c r="N18023" i="1"/>
  <c r="A18024" i="1"/>
  <c r="C18024" i="1"/>
  <c r="N18024" i="1"/>
  <c r="A18025" i="1"/>
  <c r="C18025" i="1"/>
  <c r="N18025" i="1"/>
  <c r="A18026" i="1"/>
  <c r="C18026" i="1"/>
  <c r="F18026" i="1"/>
  <c r="N18026" i="1"/>
  <c r="A18027" i="1"/>
  <c r="C18027" i="1"/>
  <c r="N18027" i="1"/>
  <c r="A18028" i="1"/>
  <c r="C18028" i="1"/>
  <c r="K18028" i="1"/>
  <c r="N18028" i="1"/>
  <c r="A18029" i="1"/>
  <c r="C18029" i="1"/>
  <c r="K18029" i="1"/>
  <c r="N18029" i="1"/>
  <c r="A18030" i="1"/>
  <c r="C18030" i="1"/>
  <c r="N18030" i="1"/>
  <c r="A18031" i="1"/>
  <c r="C18031" i="1"/>
  <c r="N18031" i="1"/>
  <c r="A18032" i="1"/>
  <c r="C18032" i="1"/>
  <c r="N18032" i="1"/>
  <c r="A18033" i="1"/>
  <c r="C18033" i="1"/>
  <c r="N18033" i="1"/>
  <c r="A18034" i="1"/>
  <c r="C18034" i="1"/>
  <c r="N18034" i="1"/>
  <c r="A18035" i="1"/>
  <c r="C18035" i="1"/>
  <c r="N18035" i="1"/>
  <c r="A18036" i="1"/>
  <c r="C18036" i="1"/>
  <c r="N18036" i="1"/>
  <c r="A18037" i="1"/>
  <c r="C18037" i="1"/>
  <c r="N18037" i="1"/>
  <c r="A18038" i="1"/>
  <c r="C18038" i="1"/>
  <c r="N18038" i="1"/>
  <c r="A18039" i="1"/>
  <c r="C18039" i="1"/>
  <c r="K18039" i="1"/>
  <c r="N18039" i="1"/>
  <c r="A18040" i="1"/>
  <c r="C18040" i="1"/>
  <c r="N18040" i="1"/>
  <c r="A18041" i="1"/>
  <c r="C18041" i="1"/>
  <c r="N18041" i="1"/>
  <c r="A18042" i="1"/>
  <c r="C18042" i="1"/>
  <c r="N18042" i="1"/>
  <c r="A18043" i="1"/>
  <c r="C18043" i="1"/>
  <c r="K18043" i="1"/>
  <c r="N18043" i="1"/>
  <c r="A18044" i="1"/>
  <c r="C18044" i="1"/>
  <c r="N18044" i="1"/>
  <c r="A18045" i="1"/>
  <c r="C18045" i="1"/>
  <c r="F18045" i="1"/>
  <c r="N18045" i="1"/>
  <c r="A18046" i="1"/>
  <c r="C18046" i="1"/>
  <c r="N18046" i="1"/>
  <c r="A18047" i="1"/>
  <c r="C18047" i="1"/>
  <c r="N18047" i="1"/>
  <c r="A18048" i="1"/>
  <c r="C18048" i="1"/>
  <c r="N18048" i="1"/>
  <c r="A18049" i="1"/>
  <c r="C18049" i="1"/>
  <c r="N18049" i="1"/>
  <c r="A18050" i="1"/>
  <c r="C18050" i="1"/>
  <c r="N18050" i="1"/>
  <c r="A18051" i="1"/>
  <c r="C18051" i="1"/>
  <c r="N18051" i="1"/>
  <c r="A18052" i="1"/>
  <c r="C18052" i="1"/>
  <c r="N18052" i="1"/>
  <c r="A18053" i="1"/>
  <c r="C18053" i="1"/>
  <c r="N18053" i="1"/>
  <c r="A18054" i="1"/>
  <c r="C18054" i="1"/>
  <c r="N18054" i="1"/>
  <c r="A18055" i="1"/>
  <c r="C18055" i="1"/>
  <c r="N18055" i="1"/>
  <c r="A18056" i="1"/>
  <c r="C18056" i="1"/>
  <c r="N18056" i="1"/>
  <c r="A18057" i="1"/>
  <c r="C18057" i="1"/>
  <c r="N18057" i="1"/>
  <c r="A18058" i="1"/>
  <c r="C18058" i="1"/>
  <c r="N18058" i="1"/>
  <c r="A18059" i="1"/>
  <c r="C18059" i="1"/>
  <c r="N18059" i="1"/>
  <c r="A18060" i="1"/>
  <c r="C18060" i="1"/>
  <c r="N18060" i="1"/>
  <c r="A18061" i="1"/>
  <c r="C18061" i="1"/>
  <c r="F18061" i="1"/>
  <c r="N18061" i="1"/>
  <c r="A18062" i="1"/>
  <c r="C18062" i="1"/>
  <c r="D18062" i="1"/>
  <c r="E18062" i="1"/>
  <c r="N18062" i="1"/>
  <c r="O18062" i="1"/>
  <c r="T18062" i="1"/>
  <c r="A18063" i="1"/>
  <c r="C18063" i="1"/>
  <c r="N18063" i="1"/>
  <c r="A18064" i="1"/>
  <c r="C18064" i="1"/>
  <c r="N18064" i="1"/>
  <c r="A18065" i="1"/>
  <c r="C18065" i="1"/>
  <c r="N18065" i="1"/>
  <c r="A18066" i="1"/>
  <c r="C18066" i="1"/>
  <c r="N18066" i="1"/>
  <c r="A18067" i="1"/>
  <c r="C18067" i="1"/>
  <c r="N18067" i="1"/>
  <c r="A18068" i="1"/>
  <c r="C18068" i="1"/>
  <c r="N18068" i="1"/>
  <c r="A18069" i="1"/>
  <c r="C18069" i="1"/>
  <c r="N18069" i="1"/>
  <c r="A18070" i="1"/>
  <c r="C18070" i="1"/>
  <c r="N18070" i="1"/>
  <c r="A18071" i="1"/>
  <c r="C18071" i="1"/>
  <c r="K18071" i="1"/>
  <c r="N18071" i="1"/>
  <c r="A18072" i="1"/>
  <c r="C18072" i="1"/>
  <c r="N18072" i="1"/>
  <c r="A18073" i="1"/>
  <c r="C18073" i="1"/>
  <c r="N18073" i="1"/>
  <c r="A18074" i="1"/>
  <c r="C18074" i="1"/>
  <c r="N18074" i="1"/>
  <c r="A18075" i="1"/>
  <c r="C18075" i="1"/>
  <c r="K18075" i="1"/>
  <c r="N18075" i="1"/>
  <c r="A18076" i="1"/>
  <c r="C18076" i="1"/>
  <c r="D18076" i="1"/>
  <c r="N18076" i="1"/>
  <c r="O18076" i="1"/>
  <c r="A18077" i="1"/>
  <c r="C18077" i="1"/>
  <c r="N18077" i="1"/>
  <c r="A18078" i="1"/>
  <c r="C18078" i="1"/>
  <c r="N18078" i="1"/>
  <c r="A18079" i="1"/>
  <c r="C18079" i="1"/>
  <c r="N18079" i="1"/>
  <c r="A18080" i="1"/>
  <c r="C18080" i="1"/>
  <c r="N18080" i="1"/>
  <c r="A18081" i="1"/>
  <c r="C18081" i="1"/>
  <c r="N18081" i="1"/>
  <c r="A18082" i="1"/>
  <c r="C18082" i="1"/>
  <c r="K18082" i="1"/>
  <c r="N18082" i="1"/>
  <c r="A18083" i="1"/>
  <c r="C18083" i="1"/>
  <c r="K18083" i="1"/>
  <c r="N18083" i="1"/>
  <c r="A18084" i="1"/>
  <c r="C18084" i="1"/>
  <c r="K18084" i="1"/>
  <c r="N18084" i="1"/>
  <c r="A18085" i="1"/>
  <c r="C18085" i="1"/>
  <c r="N18085" i="1"/>
  <c r="A18086" i="1"/>
  <c r="C18086" i="1"/>
  <c r="N18086" i="1"/>
  <c r="A18087" i="1"/>
  <c r="C18087" i="1"/>
  <c r="N18087" i="1"/>
  <c r="A18088" i="1"/>
  <c r="C18088" i="1"/>
  <c r="N18088" i="1"/>
  <c r="A18089" i="1"/>
  <c r="C18089" i="1"/>
  <c r="N18089" i="1"/>
  <c r="A18090" i="1"/>
  <c r="C18090" i="1"/>
  <c r="N18090" i="1"/>
  <c r="A18091" i="1"/>
  <c r="C18091" i="1"/>
  <c r="N18091" i="1"/>
  <c r="A18092" i="1"/>
  <c r="C18092" i="1"/>
  <c r="N18092" i="1"/>
  <c r="A18093" i="1"/>
  <c r="C18093" i="1"/>
  <c r="N18093" i="1"/>
  <c r="A18094" i="1"/>
  <c r="C18094" i="1"/>
  <c r="N18094" i="1"/>
  <c r="A18095" i="1"/>
  <c r="C18095" i="1"/>
  <c r="K18095" i="1"/>
  <c r="N18095" i="1"/>
  <c r="A18096" i="1"/>
  <c r="C18096" i="1"/>
  <c r="K18096" i="1"/>
  <c r="N18096" i="1"/>
  <c r="A18097" i="1"/>
  <c r="C18097" i="1"/>
  <c r="K18097" i="1"/>
  <c r="N18097" i="1"/>
  <c r="A18098" i="1"/>
  <c r="C18098" i="1"/>
  <c r="K18098" i="1"/>
  <c r="N18098" i="1"/>
  <c r="A18099" i="1"/>
  <c r="C18099" i="1"/>
  <c r="K18099" i="1"/>
  <c r="N18099" i="1"/>
  <c r="A18100" i="1"/>
  <c r="C18100" i="1"/>
  <c r="K18100" i="1"/>
  <c r="N18100" i="1"/>
  <c r="A18101" i="1"/>
  <c r="C18101" i="1"/>
  <c r="K18101" i="1"/>
  <c r="N18101" i="1"/>
  <c r="A18102" i="1"/>
  <c r="C18102" i="1"/>
  <c r="N18102" i="1"/>
  <c r="A18103" i="1"/>
  <c r="C18103" i="1"/>
  <c r="N18103" i="1"/>
  <c r="A18104" i="1"/>
  <c r="C18104" i="1"/>
  <c r="N18104" i="1"/>
  <c r="A18105" i="1"/>
  <c r="C18105" i="1"/>
  <c r="K18105" i="1"/>
  <c r="N18105" i="1"/>
  <c r="A18106" i="1"/>
  <c r="C18106" i="1"/>
  <c r="N18106" i="1"/>
  <c r="A18107" i="1"/>
  <c r="C18107" i="1"/>
  <c r="N18107" i="1"/>
  <c r="A18108" i="1"/>
  <c r="C18108" i="1"/>
  <c r="N18108" i="1"/>
  <c r="A18109" i="1"/>
  <c r="C18109" i="1"/>
  <c r="N18109" i="1"/>
  <c r="A18110" i="1"/>
  <c r="C18110" i="1"/>
  <c r="N18110" i="1"/>
  <c r="A18111" i="1"/>
  <c r="C18111" i="1"/>
  <c r="N18111" i="1"/>
  <c r="A18112" i="1"/>
  <c r="C18112" i="1"/>
  <c r="N18112" i="1"/>
  <c r="A18113" i="1"/>
  <c r="C18113" i="1"/>
  <c r="N18113" i="1"/>
  <c r="A18114" i="1"/>
  <c r="C18114" i="1"/>
  <c r="N18114" i="1"/>
  <c r="A18115" i="1"/>
  <c r="C18115" i="1"/>
  <c r="N18115" i="1"/>
  <c r="A18116" i="1"/>
  <c r="C18116" i="1"/>
  <c r="N18116" i="1"/>
  <c r="A18117" i="1"/>
  <c r="C18117" i="1"/>
  <c r="N18117" i="1"/>
  <c r="A18118" i="1"/>
  <c r="C18118" i="1"/>
  <c r="N18118" i="1"/>
  <c r="A18119" i="1"/>
  <c r="C18119" i="1"/>
  <c r="N18119" i="1"/>
  <c r="A18120" i="1"/>
  <c r="C18120" i="1"/>
  <c r="N18120" i="1"/>
  <c r="A18121" i="1"/>
  <c r="C18121" i="1"/>
  <c r="N18121" i="1"/>
  <c r="A18122" i="1"/>
  <c r="C18122" i="1"/>
  <c r="N18122" i="1"/>
  <c r="A18123" i="1"/>
  <c r="C18123" i="1"/>
  <c r="N18123" i="1"/>
  <c r="A18124" i="1"/>
  <c r="C18124" i="1"/>
  <c r="N18124" i="1"/>
  <c r="A18125" i="1"/>
  <c r="C18125" i="1"/>
  <c r="N18125" i="1"/>
  <c r="A18126" i="1"/>
  <c r="C18126" i="1"/>
  <c r="N18126" i="1"/>
  <c r="A18127" i="1"/>
  <c r="C18127" i="1"/>
  <c r="N18127" i="1"/>
  <c r="A18128" i="1"/>
  <c r="C18128" i="1"/>
  <c r="N18128" i="1"/>
  <c r="A18129" i="1"/>
  <c r="C18129" i="1"/>
  <c r="N18129" i="1"/>
  <c r="A18130" i="1"/>
  <c r="C18130" i="1"/>
  <c r="N18130" i="1"/>
  <c r="A18131" i="1"/>
  <c r="C18131" i="1"/>
  <c r="N18131" i="1"/>
  <c r="A18132" i="1"/>
  <c r="C18132" i="1"/>
  <c r="N18132" i="1"/>
  <c r="A18133" i="1"/>
  <c r="C18133" i="1"/>
  <c r="N18133" i="1"/>
  <c r="A18134" i="1"/>
  <c r="C18134" i="1"/>
  <c r="N18134" i="1"/>
  <c r="A18135" i="1"/>
  <c r="C18135" i="1"/>
  <c r="K18135" i="1"/>
  <c r="N18135" i="1"/>
  <c r="A18136" i="1"/>
  <c r="C18136" i="1"/>
  <c r="N18136" i="1"/>
  <c r="A18137" i="1"/>
  <c r="C18137" i="1"/>
  <c r="N18137" i="1"/>
  <c r="A18138" i="1"/>
  <c r="C18138" i="1"/>
  <c r="K18138" i="1"/>
  <c r="N18138" i="1"/>
  <c r="A18139" i="1"/>
  <c r="C18139" i="1"/>
  <c r="N18139" i="1"/>
  <c r="A18140" i="1"/>
  <c r="C18140" i="1"/>
  <c r="N18140" i="1"/>
  <c r="A18141" i="1"/>
  <c r="C18141" i="1"/>
  <c r="N18141" i="1"/>
  <c r="A18142" i="1"/>
  <c r="C18142" i="1"/>
  <c r="N18142" i="1"/>
  <c r="A18143" i="1"/>
  <c r="C18143" i="1"/>
  <c r="N18143" i="1"/>
  <c r="A18144" i="1"/>
  <c r="C18144" i="1"/>
  <c r="D18144" i="1"/>
  <c r="N18144" i="1"/>
  <c r="O18144" i="1"/>
  <c r="A18145" i="1"/>
  <c r="C18145" i="1"/>
  <c r="D18145" i="1"/>
  <c r="N18145" i="1"/>
  <c r="O18145" i="1"/>
  <c r="A18146" i="1"/>
  <c r="C18146" i="1"/>
  <c r="N18146" i="1"/>
  <c r="A18147" i="1"/>
  <c r="C18147" i="1"/>
  <c r="N18147" i="1"/>
  <c r="A18148" i="1"/>
  <c r="C18148" i="1"/>
  <c r="N18148" i="1"/>
  <c r="A18149" i="1"/>
  <c r="C18149" i="1"/>
  <c r="N18149" i="1"/>
  <c r="A18150" i="1"/>
  <c r="C18150" i="1"/>
  <c r="N18150" i="1"/>
  <c r="A18151" i="1"/>
  <c r="C18151" i="1"/>
  <c r="N18151" i="1"/>
  <c r="A18152" i="1"/>
  <c r="C18152" i="1"/>
  <c r="N18152" i="1"/>
  <c r="A18153" i="1"/>
  <c r="C18153" i="1"/>
  <c r="N18153" i="1"/>
  <c r="A18154" i="1"/>
  <c r="C18154" i="1"/>
  <c r="N18154" i="1"/>
  <c r="A18155" i="1"/>
  <c r="C18155" i="1"/>
  <c r="K18155" i="1"/>
  <c r="N18155" i="1"/>
  <c r="A18156" i="1"/>
  <c r="C18156" i="1"/>
  <c r="N18156" i="1"/>
  <c r="A18157" i="1"/>
  <c r="C18157" i="1"/>
  <c r="N18157" i="1"/>
  <c r="A18158" i="1"/>
  <c r="C18158" i="1"/>
  <c r="N18158" i="1"/>
  <c r="A18159" i="1"/>
  <c r="C18159" i="1"/>
  <c r="N18159" i="1"/>
  <c r="A18160" i="1"/>
  <c r="C18160" i="1"/>
  <c r="N18160" i="1"/>
  <c r="A18161" i="1"/>
  <c r="C18161" i="1"/>
  <c r="K18161" i="1"/>
  <c r="N18161" i="1"/>
  <c r="A18162" i="1"/>
  <c r="C18162" i="1"/>
  <c r="F18162" i="1"/>
  <c r="N18162" i="1"/>
  <c r="A18163" i="1"/>
  <c r="C18163" i="1"/>
  <c r="N18163" i="1"/>
  <c r="A18164" i="1"/>
  <c r="C18164" i="1"/>
  <c r="N18164" i="1"/>
  <c r="A18165" i="1"/>
  <c r="C18165" i="1"/>
  <c r="N18165" i="1"/>
  <c r="A18166" i="1"/>
  <c r="C18166" i="1"/>
  <c r="N18166" i="1"/>
  <c r="A18167" i="1"/>
  <c r="C18167" i="1"/>
  <c r="N18167" i="1"/>
  <c r="A18168" i="1"/>
  <c r="C18168" i="1"/>
  <c r="N18168" i="1"/>
  <c r="A18169" i="1"/>
  <c r="C18169" i="1"/>
  <c r="K18169" i="1"/>
  <c r="N18169" i="1"/>
  <c r="A18170" i="1"/>
  <c r="C18170" i="1"/>
  <c r="E18170" i="1"/>
  <c r="K18170" i="1"/>
  <c r="N18170" i="1"/>
  <c r="T18170" i="1"/>
  <c r="A18171" i="1"/>
  <c r="C18171" i="1"/>
  <c r="N18171" i="1"/>
  <c r="A18172" i="1"/>
  <c r="C18172" i="1"/>
  <c r="N18172" i="1"/>
  <c r="A18173" i="1"/>
  <c r="C18173" i="1"/>
  <c r="N18173" i="1"/>
  <c r="A18174" i="1"/>
  <c r="C18174" i="1"/>
  <c r="N18174" i="1"/>
  <c r="A18175" i="1"/>
  <c r="C18175" i="1"/>
  <c r="N18175" i="1"/>
  <c r="A18176" i="1"/>
  <c r="C18176" i="1"/>
  <c r="N18176" i="1"/>
  <c r="A18177" i="1"/>
  <c r="C18177" i="1"/>
  <c r="N18177" i="1"/>
  <c r="A18178" i="1"/>
  <c r="C18178" i="1"/>
  <c r="N18178" i="1"/>
  <c r="A18179" i="1"/>
  <c r="C18179" i="1"/>
  <c r="K18179" i="1"/>
  <c r="N18179" i="1"/>
  <c r="A18180" i="1"/>
  <c r="C18180" i="1"/>
  <c r="N18180" i="1"/>
  <c r="A18181" i="1"/>
  <c r="C18181" i="1"/>
  <c r="F18181" i="1"/>
  <c r="N18181" i="1"/>
  <c r="A18182" i="1"/>
  <c r="C18182" i="1"/>
  <c r="N18182" i="1"/>
  <c r="A18183" i="1"/>
  <c r="C18183" i="1"/>
  <c r="N18183" i="1"/>
  <c r="A18184" i="1"/>
  <c r="C18184" i="1"/>
  <c r="N18184" i="1"/>
  <c r="A18185" i="1"/>
  <c r="C18185" i="1"/>
  <c r="N18185" i="1"/>
  <c r="A18186" i="1"/>
  <c r="C18186" i="1"/>
  <c r="N18186" i="1"/>
  <c r="A18187" i="1"/>
  <c r="C18187" i="1"/>
  <c r="N18187" i="1"/>
  <c r="A18188" i="1"/>
  <c r="C18188" i="1"/>
  <c r="N18188" i="1"/>
  <c r="A18189" i="1"/>
  <c r="C18189" i="1"/>
  <c r="N18189" i="1"/>
  <c r="A18190" i="1"/>
  <c r="C18190" i="1"/>
  <c r="N18190" i="1"/>
  <c r="A18191" i="1"/>
  <c r="C18191" i="1"/>
  <c r="N18191" i="1"/>
  <c r="A18192" i="1"/>
  <c r="C18192" i="1"/>
  <c r="N18192" i="1"/>
  <c r="A18193" i="1"/>
  <c r="C18193" i="1"/>
  <c r="N18193" i="1"/>
  <c r="A18194" i="1"/>
  <c r="C18194" i="1"/>
  <c r="N18194" i="1"/>
  <c r="A18195" i="1"/>
  <c r="C18195" i="1"/>
  <c r="N18195" i="1"/>
  <c r="A18196" i="1"/>
  <c r="C18196" i="1"/>
  <c r="N18196" i="1"/>
  <c r="A18197" i="1"/>
  <c r="C18197" i="1"/>
  <c r="N18197" i="1"/>
  <c r="A18198" i="1"/>
  <c r="C18198" i="1"/>
  <c r="N18198" i="1"/>
  <c r="A18199" i="1"/>
  <c r="C18199" i="1"/>
  <c r="N18199" i="1"/>
  <c r="A18200" i="1"/>
  <c r="C18200" i="1"/>
  <c r="N18200" i="1"/>
  <c r="A18201" i="1"/>
  <c r="C18201" i="1"/>
  <c r="N18201" i="1"/>
  <c r="A18202" i="1"/>
  <c r="C18202" i="1"/>
  <c r="N18202" i="1"/>
  <c r="A18203" i="1"/>
  <c r="C18203" i="1"/>
  <c r="N18203" i="1"/>
  <c r="A18204" i="1"/>
  <c r="C18204" i="1"/>
  <c r="N18204" i="1"/>
  <c r="A18205" i="1"/>
  <c r="C18205" i="1"/>
  <c r="N18205" i="1"/>
  <c r="A18206" i="1"/>
  <c r="C18206" i="1"/>
  <c r="N18206" i="1"/>
  <c r="A18207" i="1"/>
  <c r="C18207" i="1"/>
  <c r="N18207" i="1"/>
  <c r="A18208" i="1"/>
  <c r="C18208" i="1"/>
  <c r="N18208" i="1"/>
  <c r="A18209" i="1"/>
  <c r="C18209" i="1"/>
  <c r="N18209" i="1"/>
  <c r="A18210" i="1"/>
  <c r="C18210" i="1"/>
  <c r="K18210" i="1"/>
  <c r="N18210" i="1"/>
  <c r="A18211" i="1"/>
  <c r="C18211" i="1"/>
  <c r="K18211" i="1"/>
  <c r="N18211" i="1"/>
  <c r="A18212" i="1"/>
  <c r="C18212" i="1"/>
  <c r="K18212" i="1"/>
  <c r="N18212" i="1"/>
  <c r="A18213" i="1"/>
  <c r="C18213" i="1"/>
  <c r="N18213" i="1"/>
  <c r="A18214" i="1"/>
  <c r="C18214" i="1"/>
  <c r="N18214" i="1"/>
  <c r="A18215" i="1"/>
  <c r="C18215" i="1"/>
  <c r="K18215" i="1"/>
  <c r="N18215" i="1"/>
  <c r="A18216" i="1"/>
  <c r="C18216" i="1"/>
  <c r="N18216" i="1"/>
  <c r="A18217" i="1"/>
  <c r="C18217" i="1"/>
  <c r="K18217" i="1"/>
  <c r="N18217" i="1"/>
  <c r="A18218" i="1"/>
  <c r="C18218" i="1"/>
  <c r="N18218" i="1"/>
  <c r="A18219" i="1"/>
  <c r="C18219" i="1"/>
  <c r="N18219" i="1"/>
  <c r="A18220" i="1"/>
  <c r="C18220" i="1"/>
  <c r="K18220" i="1"/>
  <c r="N18220" i="1"/>
  <c r="A18221" i="1"/>
  <c r="C18221" i="1"/>
  <c r="N18221" i="1"/>
  <c r="A18222" i="1"/>
  <c r="C18222" i="1"/>
  <c r="N18222" i="1"/>
  <c r="A18223" i="1"/>
  <c r="C18223" i="1"/>
  <c r="N18223" i="1"/>
  <c r="A18224" i="1"/>
  <c r="C18224" i="1"/>
  <c r="N18224" i="1"/>
  <c r="A18225" i="1"/>
  <c r="C18225" i="1"/>
  <c r="N18225" i="1"/>
  <c r="A18226" i="1"/>
  <c r="C18226" i="1"/>
  <c r="N18226" i="1"/>
  <c r="A18227" i="1"/>
  <c r="C18227" i="1"/>
  <c r="N18227" i="1"/>
  <c r="A18228" i="1"/>
  <c r="C18228" i="1"/>
  <c r="N18228" i="1"/>
  <c r="A18229" i="1"/>
  <c r="C18229" i="1"/>
  <c r="N18229" i="1"/>
  <c r="A18230" i="1"/>
  <c r="C18230" i="1"/>
  <c r="N18230" i="1"/>
  <c r="A18231" i="1"/>
  <c r="C18231" i="1"/>
  <c r="N18231" i="1"/>
  <c r="A18232" i="1"/>
  <c r="C18232" i="1"/>
  <c r="N18232" i="1"/>
  <c r="A18233" i="1"/>
  <c r="C18233" i="1"/>
  <c r="N18233" i="1"/>
  <c r="A18234" i="1"/>
  <c r="C18234" i="1"/>
  <c r="N18234" i="1"/>
  <c r="A18235" i="1"/>
  <c r="C18235" i="1"/>
  <c r="N18235" i="1"/>
  <c r="A18236" i="1"/>
  <c r="C18236" i="1"/>
  <c r="N18236" i="1"/>
  <c r="A18237" i="1"/>
  <c r="C18237" i="1"/>
  <c r="N18237" i="1"/>
  <c r="A18238" i="1"/>
  <c r="C18238" i="1"/>
  <c r="N18238" i="1"/>
  <c r="A18239" i="1"/>
  <c r="C18239" i="1"/>
  <c r="N18239" i="1"/>
  <c r="A18240" i="1"/>
  <c r="C18240" i="1"/>
  <c r="F18240" i="1"/>
  <c r="N18240" i="1"/>
  <c r="A18241" i="1"/>
  <c r="C18241" i="1"/>
  <c r="F18241" i="1"/>
  <c r="N18241" i="1"/>
  <c r="A18242" i="1"/>
  <c r="C18242" i="1"/>
  <c r="K18242" i="1"/>
  <c r="N18242" i="1"/>
  <c r="A18243" i="1"/>
  <c r="C18243" i="1"/>
  <c r="N18243" i="1"/>
  <c r="A18244" i="1"/>
  <c r="C18244" i="1"/>
  <c r="N18244" i="1"/>
  <c r="A18245" i="1"/>
  <c r="C18245" i="1"/>
  <c r="K18245" i="1"/>
  <c r="N18245" i="1"/>
  <c r="A18246" i="1"/>
  <c r="C18246" i="1"/>
  <c r="K18246" i="1"/>
  <c r="N18246" i="1"/>
  <c r="A18247" i="1"/>
  <c r="C18247" i="1"/>
  <c r="E18247" i="1"/>
  <c r="N18247" i="1"/>
  <c r="T18247" i="1"/>
  <c r="A18248" i="1"/>
  <c r="C18248" i="1"/>
  <c r="N18248" i="1"/>
  <c r="A18249" i="1"/>
  <c r="C18249" i="1"/>
  <c r="K18249" i="1"/>
  <c r="N18249" i="1"/>
  <c r="A18250" i="1"/>
  <c r="C18250" i="1"/>
  <c r="N18250" i="1"/>
  <c r="A18251" i="1"/>
  <c r="C18251" i="1"/>
  <c r="K18251" i="1"/>
  <c r="N18251" i="1"/>
  <c r="A18252" i="1"/>
  <c r="C18252" i="1"/>
  <c r="N18252" i="1"/>
  <c r="A18253" i="1"/>
  <c r="C18253" i="1"/>
  <c r="N18253" i="1"/>
  <c r="A18254" i="1"/>
  <c r="C18254" i="1"/>
  <c r="N18254" i="1"/>
  <c r="A18255" i="1"/>
  <c r="C18255" i="1"/>
  <c r="N18255" i="1"/>
  <c r="A18256" i="1"/>
  <c r="C18256" i="1"/>
  <c r="K18256" i="1"/>
  <c r="N18256" i="1"/>
  <c r="A18257" i="1"/>
  <c r="C18257" i="1"/>
  <c r="N18257" i="1"/>
  <c r="A18258" i="1"/>
  <c r="C18258" i="1"/>
  <c r="N18258" i="1"/>
  <c r="A18259" i="1"/>
  <c r="C18259" i="1"/>
  <c r="E18259" i="1"/>
  <c r="N18259" i="1"/>
  <c r="T18259" i="1"/>
  <c r="A18260" i="1"/>
  <c r="C18260" i="1"/>
  <c r="E18260" i="1"/>
  <c r="N18260" i="1"/>
  <c r="T18260" i="1"/>
  <c r="A18261" i="1"/>
  <c r="C18261" i="1"/>
  <c r="E18261" i="1"/>
  <c r="N18261" i="1"/>
  <c r="T18261" i="1"/>
  <c r="A18262" i="1"/>
  <c r="C18262" i="1"/>
  <c r="E18262" i="1"/>
  <c r="N18262" i="1"/>
  <c r="T18262" i="1"/>
  <c r="A18263" i="1"/>
  <c r="C18263" i="1"/>
  <c r="E18263" i="1"/>
  <c r="N18263" i="1"/>
  <c r="T18263" i="1"/>
  <c r="A18264" i="1"/>
  <c r="C18264" i="1"/>
  <c r="E18264" i="1"/>
  <c r="N18264" i="1"/>
  <c r="T18264" i="1"/>
  <c r="A18265" i="1"/>
  <c r="C18265" i="1"/>
  <c r="N18265" i="1"/>
  <c r="A18266" i="1"/>
  <c r="C18266" i="1"/>
  <c r="N18266" i="1"/>
  <c r="A18267" i="1"/>
  <c r="C18267" i="1"/>
  <c r="N18267" i="1"/>
  <c r="A18268" i="1"/>
  <c r="C18268" i="1"/>
  <c r="N18268" i="1"/>
  <c r="A18269" i="1"/>
  <c r="C18269" i="1"/>
  <c r="K18269" i="1"/>
  <c r="N18269" i="1"/>
  <c r="A18270" i="1"/>
  <c r="C18270" i="1"/>
  <c r="K18270" i="1"/>
  <c r="N18270" i="1"/>
  <c r="A18271" i="1"/>
  <c r="C18271" i="1"/>
  <c r="N18271" i="1"/>
  <c r="A18272" i="1"/>
  <c r="C18272" i="1"/>
  <c r="N18272" i="1"/>
  <c r="A18273" i="1"/>
  <c r="C18273" i="1"/>
  <c r="N18273" i="1"/>
  <c r="A18274" i="1"/>
  <c r="C18274" i="1"/>
  <c r="N18274" i="1"/>
  <c r="A18275" i="1"/>
  <c r="C18275" i="1"/>
  <c r="N18275" i="1"/>
  <c r="A18276" i="1"/>
  <c r="C18276" i="1"/>
  <c r="N18276" i="1"/>
  <c r="A18277" i="1"/>
  <c r="C18277" i="1"/>
  <c r="N18277" i="1"/>
  <c r="A18278" i="1"/>
  <c r="C18278" i="1"/>
  <c r="N18278" i="1"/>
  <c r="A18279" i="1"/>
  <c r="C18279" i="1"/>
  <c r="N18279" i="1"/>
  <c r="A18280" i="1"/>
  <c r="C18280" i="1"/>
  <c r="N18280" i="1"/>
  <c r="A18281" i="1"/>
  <c r="C18281" i="1"/>
  <c r="E18281" i="1"/>
  <c r="N18281" i="1"/>
  <c r="T18281" i="1"/>
  <c r="A18282" i="1"/>
  <c r="C18282" i="1"/>
  <c r="N18282" i="1"/>
  <c r="A18283" i="1"/>
  <c r="C18283" i="1"/>
  <c r="N18283" i="1"/>
  <c r="A18284" i="1"/>
  <c r="C18284" i="1"/>
  <c r="N18284" i="1"/>
  <c r="A18285" i="1"/>
  <c r="C18285" i="1"/>
  <c r="N18285" i="1"/>
  <c r="A18286" i="1"/>
  <c r="C18286" i="1"/>
  <c r="N18286" i="1"/>
  <c r="A18287" i="1"/>
  <c r="C18287" i="1"/>
  <c r="N18287" i="1"/>
  <c r="A18288" i="1"/>
  <c r="C18288" i="1"/>
  <c r="N18288" i="1"/>
  <c r="A18289" i="1"/>
  <c r="C18289" i="1"/>
  <c r="N18289" i="1"/>
  <c r="A18290" i="1"/>
  <c r="C18290" i="1"/>
  <c r="N18290" i="1"/>
  <c r="A18291" i="1"/>
  <c r="C18291" i="1"/>
  <c r="N18291" i="1"/>
  <c r="A18292" i="1"/>
  <c r="C18292" i="1"/>
  <c r="N18292" i="1"/>
  <c r="A18293" i="1"/>
  <c r="C18293" i="1"/>
  <c r="N18293" i="1"/>
  <c r="A18294" i="1"/>
  <c r="C18294" i="1"/>
  <c r="K18294" i="1"/>
  <c r="N18294" i="1"/>
  <c r="A18295" i="1"/>
  <c r="C18295" i="1"/>
  <c r="K18295" i="1"/>
  <c r="N18295" i="1"/>
  <c r="A18296" i="1"/>
  <c r="C18296" i="1"/>
  <c r="N18296" i="1"/>
  <c r="A18297" i="1"/>
  <c r="C18297" i="1"/>
  <c r="N18297" i="1"/>
  <c r="A18298" i="1"/>
  <c r="C18298" i="1"/>
  <c r="N18298" i="1"/>
  <c r="A18299" i="1"/>
  <c r="C18299" i="1"/>
  <c r="N18299" i="1"/>
  <c r="A18300" i="1"/>
  <c r="C18300" i="1"/>
  <c r="N18300" i="1"/>
  <c r="A18301" i="1"/>
  <c r="C18301" i="1"/>
  <c r="N18301" i="1"/>
  <c r="A18302" i="1"/>
  <c r="C18302" i="1"/>
  <c r="N18302" i="1"/>
  <c r="A18303" i="1"/>
  <c r="C18303" i="1"/>
  <c r="N18303" i="1"/>
  <c r="A18304" i="1"/>
  <c r="C18304" i="1"/>
  <c r="N18304" i="1"/>
  <c r="A18305" i="1"/>
  <c r="C18305" i="1"/>
  <c r="N18305" i="1"/>
  <c r="A18306" i="1"/>
  <c r="C18306" i="1"/>
  <c r="N18306" i="1"/>
  <c r="A18307" i="1"/>
  <c r="C18307" i="1"/>
  <c r="N18307" i="1"/>
  <c r="A18308" i="1"/>
  <c r="C18308" i="1"/>
  <c r="N18308" i="1"/>
  <c r="A18309" i="1"/>
  <c r="C18309" i="1"/>
  <c r="N18309" i="1"/>
  <c r="A18310" i="1"/>
  <c r="C18310" i="1"/>
  <c r="N18310" i="1"/>
  <c r="A18311" i="1"/>
  <c r="C18311" i="1"/>
  <c r="N18311" i="1"/>
  <c r="A18312" i="1"/>
  <c r="C18312" i="1"/>
  <c r="N18312" i="1"/>
  <c r="A18313" i="1"/>
  <c r="C18313" i="1"/>
  <c r="N18313" i="1"/>
  <c r="A18314" i="1"/>
  <c r="C18314" i="1"/>
  <c r="N18314" i="1"/>
  <c r="A18315" i="1"/>
  <c r="C18315" i="1"/>
  <c r="N18315" i="1"/>
  <c r="A18316" i="1"/>
  <c r="C18316" i="1"/>
  <c r="N18316" i="1"/>
  <c r="A18317" i="1"/>
  <c r="C18317" i="1"/>
  <c r="N18317" i="1"/>
  <c r="A18318" i="1"/>
  <c r="C18318" i="1"/>
  <c r="N18318" i="1"/>
  <c r="A18319" i="1"/>
  <c r="C18319" i="1"/>
  <c r="N18319" i="1"/>
  <c r="A18320" i="1"/>
  <c r="C18320" i="1"/>
  <c r="N18320" i="1"/>
  <c r="A18321" i="1"/>
  <c r="C18321" i="1"/>
  <c r="E18321" i="1"/>
  <c r="N18321" i="1"/>
  <c r="T18321" i="1"/>
  <c r="A18322" i="1"/>
  <c r="C18322" i="1"/>
  <c r="N18322" i="1"/>
  <c r="A18323" i="1"/>
  <c r="C18323" i="1"/>
  <c r="N18323" i="1"/>
  <c r="A18324" i="1"/>
  <c r="C18324" i="1"/>
  <c r="N18324" i="1"/>
  <c r="A18325" i="1"/>
  <c r="C18325" i="1"/>
  <c r="N18325" i="1"/>
  <c r="A18326" i="1"/>
  <c r="C18326" i="1"/>
  <c r="N18326" i="1"/>
  <c r="A18327" i="1"/>
  <c r="C18327" i="1"/>
  <c r="N18327" i="1"/>
  <c r="A18328" i="1"/>
  <c r="C18328" i="1"/>
  <c r="N18328" i="1"/>
  <c r="A18329" i="1"/>
  <c r="C18329" i="1"/>
  <c r="N18329" i="1"/>
  <c r="A18330" i="1"/>
  <c r="C18330" i="1"/>
  <c r="N18330" i="1"/>
  <c r="A18331" i="1"/>
  <c r="C18331" i="1"/>
  <c r="K18331" i="1"/>
  <c r="N18331" i="1"/>
  <c r="A18332" i="1"/>
  <c r="C18332" i="1"/>
  <c r="N18332" i="1"/>
  <c r="A18333" i="1"/>
  <c r="C18333" i="1"/>
  <c r="N18333" i="1"/>
  <c r="A18334" i="1"/>
  <c r="C18334" i="1"/>
  <c r="N18334" i="1"/>
  <c r="A18335" i="1"/>
  <c r="C18335" i="1"/>
  <c r="K18335" i="1"/>
  <c r="N18335" i="1"/>
  <c r="A18336" i="1"/>
  <c r="C18336" i="1"/>
  <c r="N18336" i="1"/>
  <c r="A18337" i="1"/>
  <c r="C18337" i="1"/>
  <c r="N18337" i="1"/>
  <c r="A18338" i="1"/>
  <c r="C18338" i="1"/>
  <c r="N18338" i="1"/>
  <c r="A18339" i="1"/>
  <c r="C18339" i="1"/>
  <c r="N18339" i="1"/>
  <c r="A18340" i="1"/>
  <c r="C18340" i="1"/>
  <c r="N18340" i="1"/>
  <c r="A18341" i="1"/>
  <c r="C18341" i="1"/>
  <c r="N18341" i="1"/>
  <c r="A18342" i="1"/>
  <c r="C18342" i="1"/>
  <c r="K18342" i="1"/>
  <c r="N18342" i="1"/>
  <c r="A18343" i="1"/>
  <c r="C18343" i="1"/>
  <c r="K18343" i="1"/>
  <c r="N18343" i="1"/>
  <c r="A18344" i="1"/>
  <c r="C18344" i="1"/>
  <c r="N18344" i="1"/>
  <c r="A18345" i="1"/>
  <c r="C18345" i="1"/>
  <c r="N18345" i="1"/>
  <c r="A18346" i="1"/>
  <c r="C18346" i="1"/>
  <c r="K18346" i="1"/>
  <c r="N18346" i="1"/>
  <c r="A18347" i="1"/>
  <c r="C18347" i="1"/>
  <c r="N18347" i="1"/>
  <c r="A18348" i="1"/>
  <c r="C18348" i="1"/>
  <c r="N18348" i="1"/>
  <c r="A18349" i="1"/>
  <c r="C18349" i="1"/>
  <c r="N18349" i="1"/>
  <c r="A18350" i="1"/>
  <c r="C18350" i="1"/>
  <c r="N18350" i="1"/>
  <c r="A18351" i="1"/>
  <c r="C18351" i="1"/>
  <c r="N18351" i="1"/>
  <c r="A18352" i="1"/>
  <c r="C18352" i="1"/>
  <c r="N18352" i="1"/>
  <c r="A18353" i="1"/>
  <c r="C18353" i="1"/>
  <c r="N18353" i="1"/>
  <c r="A18354" i="1"/>
  <c r="C18354" i="1"/>
  <c r="N18354" i="1"/>
  <c r="A18355" i="1"/>
  <c r="C18355" i="1"/>
  <c r="N18355" i="1"/>
  <c r="A18356" i="1"/>
  <c r="C18356" i="1"/>
  <c r="K18356" i="1"/>
  <c r="N18356" i="1"/>
  <c r="A18357" i="1"/>
  <c r="C18357" i="1"/>
  <c r="N18357" i="1"/>
  <c r="A18358" i="1"/>
  <c r="C18358" i="1"/>
  <c r="N18358" i="1"/>
  <c r="A18359" i="1"/>
  <c r="C18359" i="1"/>
  <c r="N18359" i="1"/>
  <c r="A18360" i="1"/>
  <c r="C18360" i="1"/>
  <c r="N18360" i="1"/>
  <c r="A18361" i="1"/>
  <c r="C18361" i="1"/>
  <c r="K18361" i="1"/>
  <c r="N18361" i="1"/>
  <c r="A18362" i="1"/>
  <c r="C18362" i="1"/>
  <c r="N18362" i="1"/>
  <c r="A18363" i="1"/>
  <c r="C18363" i="1"/>
  <c r="K18363" i="1"/>
  <c r="N18363" i="1"/>
  <c r="A18364" i="1"/>
  <c r="C18364" i="1"/>
  <c r="K18364" i="1"/>
  <c r="N18364" i="1"/>
  <c r="A18365" i="1"/>
  <c r="C18365" i="1"/>
  <c r="N18365" i="1"/>
  <c r="A18366" i="1"/>
  <c r="C18366" i="1"/>
  <c r="N18366" i="1"/>
  <c r="A18367" i="1"/>
  <c r="C18367" i="1"/>
  <c r="N18367" i="1"/>
  <c r="A18368" i="1"/>
  <c r="C18368" i="1"/>
  <c r="N18368" i="1"/>
  <c r="A18369" i="1"/>
  <c r="C18369" i="1"/>
  <c r="N18369" i="1"/>
  <c r="A18370" i="1"/>
  <c r="C18370" i="1"/>
  <c r="K18370" i="1"/>
  <c r="N18370" i="1"/>
  <c r="A18371" i="1"/>
  <c r="C18371" i="1"/>
  <c r="N18371" i="1"/>
  <c r="A18372" i="1"/>
  <c r="C18372" i="1"/>
  <c r="N18372" i="1"/>
  <c r="A18373" i="1"/>
  <c r="C18373" i="1"/>
  <c r="K18373" i="1"/>
  <c r="N18373" i="1"/>
  <c r="A18374" i="1"/>
  <c r="C18374" i="1"/>
  <c r="K18374" i="1"/>
  <c r="N18374" i="1"/>
  <c r="A18375" i="1"/>
  <c r="C18375" i="1"/>
  <c r="N18375" i="1"/>
  <c r="A18376" i="1"/>
  <c r="C18376" i="1"/>
  <c r="K18376" i="1"/>
  <c r="N18376" i="1"/>
  <c r="A18377" i="1"/>
  <c r="C18377" i="1"/>
  <c r="K18377" i="1"/>
  <c r="N18377" i="1"/>
  <c r="A18378" i="1"/>
  <c r="C18378" i="1"/>
  <c r="N18378" i="1"/>
  <c r="A18379" i="1"/>
  <c r="C18379" i="1"/>
  <c r="N18379" i="1"/>
  <c r="A18380" i="1"/>
  <c r="C18380" i="1"/>
  <c r="N18380" i="1"/>
  <c r="A18381" i="1"/>
  <c r="C18381" i="1"/>
  <c r="N18381" i="1"/>
  <c r="A18382" i="1"/>
  <c r="C18382" i="1"/>
  <c r="N18382" i="1"/>
  <c r="A18383" i="1"/>
  <c r="C18383" i="1"/>
  <c r="N18383" i="1"/>
  <c r="A18384" i="1"/>
  <c r="C18384" i="1"/>
  <c r="N18384" i="1"/>
  <c r="A18385" i="1"/>
  <c r="C18385" i="1"/>
  <c r="N18385" i="1"/>
  <c r="A18386" i="1"/>
  <c r="C18386" i="1"/>
  <c r="N18386" i="1"/>
  <c r="A18387" i="1"/>
  <c r="C18387" i="1"/>
  <c r="N18387" i="1"/>
  <c r="A18388" i="1"/>
  <c r="C18388" i="1"/>
  <c r="N18388" i="1"/>
  <c r="A18389" i="1"/>
  <c r="C18389" i="1"/>
  <c r="N18389" i="1"/>
  <c r="A18390" i="1"/>
  <c r="C18390" i="1"/>
  <c r="N18390" i="1"/>
  <c r="A18391" i="1"/>
  <c r="C18391" i="1"/>
  <c r="N18391" i="1"/>
  <c r="A18392" i="1"/>
  <c r="C18392" i="1"/>
  <c r="N18392" i="1"/>
  <c r="A18393" i="1"/>
  <c r="C18393" i="1"/>
  <c r="N18393" i="1"/>
  <c r="A18394" i="1"/>
  <c r="C18394" i="1"/>
  <c r="N18394" i="1"/>
  <c r="A18395" i="1"/>
  <c r="C18395" i="1"/>
  <c r="N18395" i="1"/>
  <c r="A18396" i="1"/>
  <c r="C18396" i="1"/>
  <c r="N18396" i="1"/>
  <c r="A18397" i="1"/>
  <c r="C18397" i="1"/>
  <c r="N18397" i="1"/>
  <c r="A18398" i="1"/>
  <c r="C18398" i="1"/>
  <c r="N18398" i="1"/>
  <c r="A18399" i="1"/>
  <c r="C18399" i="1"/>
  <c r="N18399" i="1"/>
  <c r="A18400" i="1"/>
  <c r="C18400" i="1"/>
  <c r="N18400" i="1"/>
  <c r="A18401" i="1"/>
  <c r="C18401" i="1"/>
  <c r="N18401" i="1"/>
  <c r="A18402" i="1"/>
  <c r="C18402" i="1"/>
  <c r="N18402" i="1"/>
  <c r="A18403" i="1"/>
  <c r="C18403" i="1"/>
  <c r="N18403" i="1"/>
  <c r="A18404" i="1"/>
  <c r="C18404" i="1"/>
  <c r="N18404" i="1"/>
  <c r="A18405" i="1"/>
  <c r="C18405" i="1"/>
  <c r="K18405" i="1"/>
  <c r="N18405" i="1"/>
  <c r="A18406" i="1"/>
  <c r="C18406" i="1"/>
  <c r="N18406" i="1"/>
  <c r="A18407" i="1"/>
  <c r="C18407" i="1"/>
  <c r="N18407" i="1"/>
  <c r="A18408" i="1"/>
  <c r="C18408" i="1"/>
  <c r="N18408" i="1"/>
  <c r="A18409" i="1"/>
  <c r="C18409" i="1"/>
  <c r="N18409" i="1"/>
  <c r="A18410" i="1"/>
  <c r="C18410" i="1"/>
  <c r="N18410" i="1"/>
  <c r="A18411" i="1"/>
  <c r="C18411" i="1"/>
  <c r="N18411" i="1"/>
  <c r="A18412" i="1"/>
  <c r="C18412" i="1"/>
  <c r="N18412" i="1"/>
  <c r="A18413" i="1"/>
  <c r="C18413" i="1"/>
  <c r="N18413" i="1"/>
  <c r="A18414" i="1"/>
  <c r="C18414" i="1"/>
  <c r="N18414" i="1"/>
  <c r="A18415" i="1"/>
  <c r="C18415" i="1"/>
  <c r="K18415" i="1"/>
  <c r="N18415" i="1"/>
  <c r="A18416" i="1"/>
  <c r="C18416" i="1"/>
  <c r="K18416" i="1"/>
  <c r="N18416" i="1"/>
  <c r="A18417" i="1"/>
  <c r="C18417" i="1"/>
  <c r="N18417" i="1"/>
  <c r="A18418" i="1"/>
  <c r="C18418" i="1"/>
  <c r="N18418" i="1"/>
  <c r="A18419" i="1"/>
  <c r="C18419" i="1"/>
  <c r="K18419" i="1"/>
  <c r="N18419" i="1"/>
  <c r="A18420" i="1"/>
  <c r="C18420" i="1"/>
  <c r="N18420" i="1"/>
  <c r="A18421" i="1"/>
  <c r="C18421" i="1"/>
  <c r="K18421" i="1"/>
  <c r="N18421" i="1"/>
  <c r="A18422" i="1"/>
  <c r="C18422" i="1"/>
  <c r="K18422" i="1"/>
  <c r="N18422" i="1"/>
  <c r="A18423" i="1"/>
  <c r="C18423" i="1"/>
  <c r="K18423" i="1"/>
  <c r="N18423" i="1"/>
  <c r="A18424" i="1"/>
  <c r="C18424" i="1"/>
  <c r="N18424" i="1"/>
  <c r="A18425" i="1"/>
  <c r="C18425" i="1"/>
  <c r="N18425" i="1"/>
  <c r="A18426" i="1"/>
  <c r="C18426" i="1"/>
  <c r="N18426" i="1"/>
  <c r="A18427" i="1"/>
  <c r="C18427" i="1"/>
  <c r="N18427" i="1"/>
  <c r="A18428" i="1"/>
  <c r="C18428" i="1"/>
  <c r="N18428" i="1"/>
  <c r="A18429" i="1"/>
  <c r="C18429" i="1"/>
  <c r="K18429" i="1"/>
  <c r="N18429" i="1"/>
  <c r="A18430" i="1"/>
  <c r="C18430" i="1"/>
  <c r="N18430" i="1"/>
  <c r="A18431" i="1"/>
  <c r="C18431" i="1"/>
  <c r="N18431" i="1"/>
  <c r="A18432" i="1"/>
  <c r="C18432" i="1"/>
  <c r="N18432" i="1"/>
  <c r="A18433" i="1"/>
  <c r="C18433" i="1"/>
  <c r="N18433" i="1"/>
  <c r="A18434" i="1"/>
  <c r="C18434" i="1"/>
  <c r="N18434" i="1"/>
  <c r="A18435" i="1"/>
  <c r="C18435" i="1"/>
  <c r="N18435" i="1"/>
  <c r="A18436" i="1"/>
  <c r="C18436" i="1"/>
  <c r="N18436" i="1"/>
  <c r="A18437" i="1"/>
  <c r="C18437" i="1"/>
  <c r="N18437" i="1"/>
  <c r="A18438" i="1"/>
  <c r="C18438" i="1"/>
  <c r="K18438" i="1"/>
  <c r="N18438" i="1"/>
  <c r="A18439" i="1"/>
  <c r="C18439" i="1"/>
  <c r="N18439" i="1"/>
  <c r="A18440" i="1"/>
  <c r="C18440" i="1"/>
  <c r="N18440" i="1"/>
  <c r="A18441" i="1"/>
  <c r="C18441" i="1"/>
  <c r="N18441" i="1"/>
  <c r="A18442" i="1"/>
  <c r="C18442" i="1"/>
  <c r="N18442" i="1"/>
  <c r="A18443" i="1"/>
  <c r="C18443" i="1"/>
  <c r="N18443" i="1"/>
  <c r="A18444" i="1"/>
  <c r="C18444" i="1"/>
  <c r="N18444" i="1"/>
  <c r="A18445" i="1"/>
  <c r="C18445" i="1"/>
  <c r="N18445" i="1"/>
  <c r="A18446" i="1"/>
  <c r="C18446" i="1"/>
  <c r="N18446" i="1"/>
  <c r="A18447" i="1"/>
  <c r="C18447" i="1"/>
  <c r="N18447" i="1"/>
  <c r="A18448" i="1"/>
  <c r="C18448" i="1"/>
  <c r="N18448" i="1"/>
  <c r="A18449" i="1"/>
  <c r="C18449" i="1"/>
  <c r="N18449" i="1"/>
  <c r="A18450" i="1"/>
  <c r="C18450" i="1"/>
  <c r="N18450" i="1"/>
  <c r="A18451" i="1"/>
  <c r="C18451" i="1"/>
  <c r="N18451" i="1"/>
  <c r="A18452" i="1"/>
  <c r="C18452" i="1"/>
  <c r="K18452" i="1"/>
  <c r="N18452" i="1"/>
  <c r="A18453" i="1"/>
  <c r="C18453" i="1"/>
  <c r="K18453" i="1"/>
  <c r="N18453" i="1"/>
  <c r="A18454" i="1"/>
  <c r="C18454" i="1"/>
  <c r="N18454" i="1"/>
  <c r="A18455" i="1"/>
  <c r="C18455" i="1"/>
  <c r="N18455" i="1"/>
  <c r="A18456" i="1"/>
  <c r="C18456" i="1"/>
  <c r="N18456" i="1"/>
  <c r="A18457" i="1"/>
  <c r="C18457" i="1"/>
  <c r="F18457" i="1"/>
  <c r="N18457" i="1"/>
  <c r="A18458" i="1"/>
  <c r="C18458" i="1"/>
  <c r="F18458" i="1"/>
  <c r="N18458" i="1"/>
  <c r="A18459" i="1"/>
  <c r="C18459" i="1"/>
  <c r="N18459" i="1"/>
  <c r="A18460" i="1"/>
  <c r="C18460" i="1"/>
  <c r="N18460" i="1"/>
  <c r="A18461" i="1"/>
  <c r="C18461" i="1"/>
  <c r="N18461" i="1"/>
  <c r="A18462" i="1"/>
  <c r="C18462" i="1"/>
  <c r="D18462" i="1"/>
  <c r="K18462" i="1"/>
  <c r="N18462" i="1"/>
  <c r="O18462" i="1"/>
  <c r="A18463" i="1"/>
  <c r="C18463" i="1"/>
  <c r="N18463" i="1"/>
  <c r="A18464" i="1"/>
  <c r="C18464" i="1"/>
  <c r="N18464" i="1"/>
  <c r="A18465" i="1"/>
  <c r="C18465" i="1"/>
  <c r="N18465" i="1"/>
  <c r="A18466" i="1"/>
  <c r="C18466" i="1"/>
  <c r="N18466" i="1"/>
  <c r="A18467" i="1"/>
  <c r="C18467" i="1"/>
  <c r="N18467" i="1"/>
  <c r="A18468" i="1"/>
  <c r="C18468" i="1"/>
  <c r="N18468" i="1"/>
  <c r="A18469" i="1"/>
  <c r="C18469" i="1"/>
  <c r="N18469" i="1"/>
  <c r="A18470" i="1"/>
  <c r="C18470" i="1"/>
  <c r="N18470" i="1"/>
  <c r="A18471" i="1"/>
  <c r="C18471" i="1"/>
  <c r="N18471" i="1"/>
  <c r="A18472" i="1"/>
  <c r="C18472" i="1"/>
  <c r="F18472" i="1"/>
  <c r="N18472" i="1"/>
  <c r="A18473" i="1"/>
  <c r="C18473" i="1"/>
  <c r="N18473" i="1"/>
  <c r="A18474" i="1"/>
  <c r="C18474" i="1"/>
  <c r="N18474" i="1"/>
  <c r="A18475" i="1"/>
  <c r="C18475" i="1"/>
  <c r="K18475" i="1"/>
  <c r="N18475" i="1"/>
  <c r="A18476" i="1"/>
  <c r="C18476" i="1"/>
  <c r="N18476" i="1"/>
  <c r="A18477" i="1"/>
  <c r="C18477" i="1"/>
  <c r="N18477" i="1"/>
  <c r="A18478" i="1"/>
  <c r="C18478" i="1"/>
  <c r="N18478" i="1"/>
  <c r="A18479" i="1"/>
  <c r="C18479" i="1"/>
  <c r="K18479" i="1"/>
  <c r="N18479" i="1"/>
  <c r="A18480" i="1"/>
  <c r="C18480" i="1"/>
  <c r="N18480" i="1"/>
  <c r="A18481" i="1"/>
  <c r="C18481" i="1"/>
  <c r="N18481" i="1"/>
  <c r="A18482" i="1"/>
  <c r="C18482" i="1"/>
  <c r="N18482" i="1"/>
  <c r="A18483" i="1"/>
  <c r="C18483" i="1"/>
  <c r="K18483" i="1"/>
  <c r="N18483" i="1"/>
  <c r="A18484" i="1"/>
  <c r="C18484" i="1"/>
  <c r="N18484" i="1"/>
  <c r="A18485" i="1"/>
  <c r="C18485" i="1"/>
  <c r="N18485" i="1"/>
  <c r="A18486" i="1"/>
  <c r="C18486" i="1"/>
  <c r="K18486" i="1"/>
  <c r="N18486" i="1"/>
  <c r="A18487" i="1"/>
  <c r="C18487" i="1"/>
  <c r="N18487" i="1"/>
  <c r="A18488" i="1"/>
  <c r="C18488" i="1"/>
  <c r="N18488" i="1"/>
  <c r="A18489" i="1"/>
  <c r="C18489" i="1"/>
  <c r="E18489" i="1"/>
  <c r="N18489" i="1"/>
  <c r="T18489" i="1"/>
  <c r="A18490" i="1"/>
  <c r="C18490" i="1"/>
  <c r="N18490" i="1"/>
  <c r="A18491" i="1"/>
  <c r="C18491" i="1"/>
  <c r="N18491" i="1"/>
  <c r="A18492" i="1"/>
  <c r="C18492" i="1"/>
  <c r="K18492" i="1"/>
  <c r="N18492" i="1"/>
  <c r="A18493" i="1"/>
  <c r="C18493" i="1"/>
  <c r="N18493" i="1"/>
  <c r="A18494" i="1"/>
  <c r="C18494" i="1"/>
  <c r="N18494" i="1"/>
  <c r="A18495" i="1"/>
  <c r="C18495" i="1"/>
  <c r="N18495" i="1"/>
  <c r="A18496" i="1"/>
  <c r="C18496" i="1"/>
  <c r="N18496" i="1"/>
  <c r="A18497" i="1"/>
  <c r="C18497" i="1"/>
  <c r="N18497" i="1"/>
  <c r="A18498" i="1"/>
  <c r="C18498" i="1"/>
  <c r="N18498" i="1"/>
  <c r="A18499" i="1"/>
  <c r="C18499" i="1"/>
  <c r="N18499" i="1"/>
  <c r="A18500" i="1"/>
  <c r="C18500" i="1"/>
  <c r="N18500" i="1"/>
  <c r="A18501" i="1"/>
  <c r="C18501" i="1"/>
  <c r="N18501" i="1"/>
  <c r="A18502" i="1"/>
  <c r="C18502" i="1"/>
  <c r="N18502" i="1"/>
  <c r="A18503" i="1"/>
  <c r="C18503" i="1"/>
  <c r="N18503" i="1"/>
  <c r="A18504" i="1"/>
  <c r="C18504" i="1"/>
  <c r="N18504" i="1"/>
  <c r="A18505" i="1"/>
  <c r="C18505" i="1"/>
  <c r="K18505" i="1"/>
  <c r="N18505" i="1"/>
  <c r="A18506" i="1"/>
  <c r="C18506" i="1"/>
  <c r="N18506" i="1"/>
  <c r="A18507" i="1"/>
  <c r="C18507" i="1"/>
  <c r="K18507" i="1"/>
  <c r="N18507" i="1"/>
  <c r="A18508" i="1"/>
  <c r="C18508" i="1"/>
  <c r="N18508" i="1"/>
  <c r="A18509" i="1"/>
  <c r="C18509" i="1"/>
  <c r="N18509" i="1"/>
  <c r="A18510" i="1"/>
  <c r="C18510" i="1"/>
  <c r="N18510" i="1"/>
  <c r="A18511" i="1"/>
  <c r="C18511" i="1"/>
  <c r="K18511" i="1"/>
  <c r="N18511" i="1"/>
  <c r="A18512" i="1"/>
  <c r="C18512" i="1"/>
  <c r="K18512" i="1"/>
  <c r="N18512" i="1"/>
  <c r="A18513" i="1"/>
  <c r="C18513" i="1"/>
  <c r="N18513" i="1"/>
  <c r="A18514" i="1"/>
  <c r="C18514" i="1"/>
  <c r="N18514" i="1"/>
  <c r="A18515" i="1"/>
  <c r="C18515" i="1"/>
  <c r="N18515" i="1"/>
  <c r="A18516" i="1"/>
  <c r="C18516" i="1"/>
  <c r="N18516" i="1"/>
  <c r="A18517" i="1"/>
  <c r="C18517" i="1"/>
  <c r="N18517" i="1"/>
  <c r="A18518" i="1"/>
  <c r="C18518" i="1"/>
  <c r="N18518" i="1"/>
  <c r="A18519" i="1"/>
  <c r="C18519" i="1"/>
  <c r="N18519" i="1"/>
  <c r="A18520" i="1"/>
  <c r="C18520" i="1"/>
  <c r="N18520" i="1"/>
  <c r="A18521" i="1"/>
  <c r="C18521" i="1"/>
  <c r="N18521" i="1"/>
  <c r="A18522" i="1"/>
  <c r="C18522" i="1"/>
  <c r="N18522" i="1"/>
  <c r="A18523" i="1"/>
  <c r="C18523" i="1"/>
  <c r="K18523" i="1"/>
  <c r="N18523" i="1"/>
  <c r="A18524" i="1"/>
  <c r="C18524" i="1"/>
  <c r="K18524" i="1"/>
  <c r="N18524" i="1"/>
  <c r="A18525" i="1"/>
  <c r="C18525" i="1"/>
  <c r="K18525" i="1"/>
  <c r="N18525" i="1"/>
  <c r="A18526" i="1"/>
  <c r="C18526" i="1"/>
  <c r="K18526" i="1"/>
  <c r="N18526" i="1"/>
  <c r="A18527" i="1"/>
  <c r="C18527" i="1"/>
  <c r="K18527" i="1"/>
  <c r="N18527" i="1"/>
  <c r="A18528" i="1"/>
  <c r="C18528" i="1"/>
  <c r="K18528" i="1"/>
  <c r="N18528" i="1"/>
  <c r="A18529" i="1"/>
  <c r="C18529" i="1"/>
  <c r="N18529" i="1"/>
  <c r="A18530" i="1"/>
  <c r="C18530" i="1"/>
  <c r="N18530" i="1"/>
  <c r="A18531" i="1"/>
  <c r="C18531" i="1"/>
  <c r="N18531" i="1"/>
  <c r="A18532" i="1"/>
  <c r="C18532" i="1"/>
  <c r="N18532" i="1"/>
  <c r="A18533" i="1"/>
  <c r="C18533" i="1"/>
  <c r="N18533" i="1"/>
  <c r="A18534" i="1"/>
  <c r="C18534" i="1"/>
  <c r="N18534" i="1"/>
  <c r="A18535" i="1"/>
  <c r="C18535" i="1"/>
  <c r="N18535" i="1"/>
  <c r="A18536" i="1"/>
  <c r="C18536" i="1"/>
  <c r="K18536" i="1"/>
  <c r="N18536" i="1"/>
  <c r="A18537" i="1"/>
  <c r="C18537" i="1"/>
  <c r="N18537" i="1"/>
  <c r="A18538" i="1"/>
  <c r="C18538" i="1"/>
  <c r="N18538" i="1"/>
  <c r="A18539" i="1"/>
  <c r="C18539" i="1"/>
  <c r="N18539" i="1"/>
  <c r="A18540" i="1"/>
  <c r="C18540" i="1"/>
  <c r="N18540" i="1"/>
  <c r="A18541" i="1"/>
  <c r="C18541" i="1"/>
  <c r="N18541" i="1"/>
  <c r="A18542" i="1"/>
  <c r="C18542" i="1"/>
  <c r="N18542" i="1"/>
  <c r="A18543" i="1"/>
  <c r="C18543" i="1"/>
  <c r="N18543" i="1"/>
  <c r="A18544" i="1"/>
  <c r="C18544" i="1"/>
  <c r="N18544" i="1"/>
  <c r="A18545" i="1"/>
  <c r="C18545" i="1"/>
  <c r="N18545" i="1"/>
  <c r="A18546" i="1"/>
  <c r="C18546" i="1"/>
  <c r="N18546" i="1"/>
  <c r="A18547" i="1"/>
  <c r="C18547" i="1"/>
  <c r="K18547" i="1"/>
  <c r="N18547" i="1"/>
  <c r="A18548" i="1"/>
  <c r="C18548" i="1"/>
  <c r="N18548" i="1"/>
  <c r="A18549" i="1"/>
  <c r="C18549" i="1"/>
  <c r="N18549" i="1"/>
  <c r="A18550" i="1"/>
  <c r="C18550" i="1"/>
  <c r="N18550" i="1"/>
  <c r="A18551" i="1"/>
  <c r="C18551" i="1"/>
  <c r="N18551" i="1"/>
  <c r="A18552" i="1"/>
  <c r="C18552" i="1"/>
  <c r="N18552" i="1"/>
  <c r="A18553" i="1"/>
  <c r="C18553" i="1"/>
  <c r="N18553" i="1"/>
  <c r="A18554" i="1"/>
  <c r="C18554" i="1"/>
  <c r="K18554" i="1"/>
  <c r="N18554" i="1"/>
  <c r="A18555" i="1"/>
  <c r="C18555" i="1"/>
  <c r="N18555" i="1"/>
  <c r="A18556" i="1"/>
  <c r="C18556" i="1"/>
  <c r="N18556" i="1"/>
  <c r="A18557" i="1"/>
  <c r="C18557" i="1"/>
  <c r="N18557" i="1"/>
  <c r="A18558" i="1"/>
  <c r="C18558" i="1"/>
  <c r="N18558" i="1"/>
  <c r="A18559" i="1"/>
  <c r="C18559" i="1"/>
  <c r="D18559" i="1"/>
  <c r="E18559" i="1"/>
  <c r="N18559" i="1"/>
  <c r="O18559" i="1"/>
  <c r="T18559" i="1"/>
  <c r="A18560" i="1"/>
  <c r="C18560" i="1"/>
  <c r="D18560" i="1"/>
  <c r="E18560" i="1"/>
  <c r="N18560" i="1"/>
  <c r="O18560" i="1"/>
  <c r="T18560" i="1"/>
  <c r="A18561" i="1"/>
  <c r="C18561" i="1"/>
  <c r="N18561" i="1"/>
  <c r="A18562" i="1"/>
  <c r="C18562" i="1"/>
  <c r="N18562" i="1"/>
  <c r="A18563" i="1"/>
  <c r="C18563" i="1"/>
  <c r="N18563" i="1"/>
  <c r="A18564" i="1"/>
  <c r="C18564" i="1"/>
  <c r="K18564" i="1"/>
  <c r="N18564" i="1"/>
  <c r="A18565" i="1"/>
  <c r="C18565" i="1"/>
  <c r="N18565" i="1"/>
  <c r="A18566" i="1"/>
  <c r="C18566" i="1"/>
  <c r="N18566" i="1"/>
  <c r="A18567" i="1"/>
  <c r="C18567" i="1"/>
  <c r="N18567" i="1"/>
  <c r="A18568" i="1"/>
  <c r="C18568" i="1"/>
  <c r="N18568" i="1"/>
  <c r="A18569" i="1"/>
  <c r="C18569" i="1"/>
  <c r="N18569" i="1"/>
  <c r="A18570" i="1"/>
  <c r="C18570" i="1"/>
  <c r="K18570" i="1"/>
  <c r="N18570" i="1"/>
  <c r="A18571" i="1"/>
  <c r="C18571" i="1"/>
  <c r="N18571" i="1"/>
  <c r="A18572" i="1"/>
  <c r="C18572" i="1"/>
  <c r="N18572" i="1"/>
  <c r="A18573" i="1"/>
  <c r="C18573" i="1"/>
  <c r="N18573" i="1"/>
  <c r="A18574" i="1"/>
  <c r="C18574" i="1"/>
  <c r="N18574" i="1"/>
  <c r="A18575" i="1"/>
  <c r="C18575" i="1"/>
  <c r="N18575" i="1"/>
  <c r="A18576" i="1"/>
  <c r="C18576" i="1"/>
  <c r="N18576" i="1"/>
  <c r="A18577" i="1"/>
  <c r="C18577" i="1"/>
  <c r="N18577" i="1"/>
  <c r="A18578" i="1"/>
  <c r="C18578" i="1"/>
  <c r="N18578" i="1"/>
  <c r="A18579" i="1"/>
  <c r="C18579" i="1"/>
  <c r="N18579" i="1"/>
  <c r="A18580" i="1"/>
  <c r="C18580" i="1"/>
  <c r="N18580" i="1"/>
  <c r="A18581" i="1"/>
  <c r="C18581" i="1"/>
  <c r="K18581" i="1"/>
  <c r="N18581" i="1"/>
  <c r="A18582" i="1"/>
  <c r="C18582" i="1"/>
  <c r="N18582" i="1"/>
  <c r="A18583" i="1"/>
  <c r="C18583" i="1"/>
  <c r="D18583" i="1"/>
  <c r="N18583" i="1"/>
  <c r="O18583" i="1"/>
  <c r="A18584" i="1"/>
  <c r="C18584" i="1"/>
  <c r="N18584" i="1"/>
  <c r="A18585" i="1"/>
  <c r="C18585" i="1"/>
  <c r="N18585" i="1"/>
  <c r="A18586" i="1"/>
  <c r="C18586" i="1"/>
  <c r="N18586" i="1"/>
  <c r="A18587" i="1"/>
  <c r="C18587" i="1"/>
  <c r="N18587" i="1"/>
  <c r="A18588" i="1"/>
  <c r="C18588" i="1"/>
  <c r="N18588" i="1"/>
  <c r="A18589" i="1"/>
  <c r="C18589" i="1"/>
  <c r="N18589" i="1"/>
  <c r="A18590" i="1"/>
  <c r="C18590" i="1"/>
  <c r="N18590" i="1"/>
  <c r="A18591" i="1"/>
  <c r="C18591" i="1"/>
  <c r="N18591" i="1"/>
  <c r="A18592" i="1"/>
  <c r="C18592" i="1"/>
  <c r="F18592" i="1"/>
  <c r="N18592" i="1"/>
  <c r="A18593" i="1"/>
  <c r="C18593" i="1"/>
  <c r="N18593" i="1"/>
  <c r="A18594" i="1"/>
  <c r="C18594" i="1"/>
  <c r="K18594" i="1"/>
  <c r="N18594" i="1"/>
  <c r="A18595" i="1"/>
  <c r="C18595" i="1"/>
  <c r="N18595" i="1"/>
  <c r="A18596" i="1"/>
  <c r="C18596" i="1"/>
  <c r="N18596" i="1"/>
  <c r="A18597" i="1"/>
  <c r="C18597" i="1"/>
  <c r="K18597" i="1"/>
  <c r="N18597" i="1"/>
  <c r="A18598" i="1"/>
  <c r="C18598" i="1"/>
  <c r="K18598" i="1"/>
  <c r="N18598" i="1"/>
  <c r="A18599" i="1"/>
  <c r="C18599" i="1"/>
  <c r="N18599" i="1"/>
  <c r="A18600" i="1"/>
  <c r="C18600" i="1"/>
  <c r="N18600" i="1"/>
  <c r="A18601" i="1"/>
  <c r="C18601" i="1"/>
  <c r="N18601" i="1"/>
  <c r="A18602" i="1"/>
  <c r="C18602" i="1"/>
  <c r="N18602" i="1"/>
  <c r="A18603" i="1"/>
  <c r="C18603" i="1"/>
  <c r="N18603" i="1"/>
  <c r="A18604" i="1"/>
  <c r="C18604" i="1"/>
  <c r="K18604" i="1"/>
  <c r="N18604" i="1"/>
  <c r="A18605" i="1"/>
  <c r="C18605" i="1"/>
  <c r="N18605" i="1"/>
  <c r="A18606" i="1"/>
  <c r="C18606" i="1"/>
  <c r="N18606" i="1"/>
  <c r="A18607" i="1"/>
  <c r="C18607" i="1"/>
  <c r="N18607" i="1"/>
  <c r="A18608" i="1"/>
  <c r="C18608" i="1"/>
  <c r="K18608" i="1"/>
  <c r="N18608" i="1"/>
  <c r="A18609" i="1"/>
  <c r="C18609" i="1"/>
  <c r="K18609" i="1"/>
  <c r="N18609" i="1"/>
  <c r="A18610" i="1"/>
  <c r="C18610" i="1"/>
  <c r="N18610" i="1"/>
  <c r="A18611" i="1"/>
  <c r="C18611" i="1"/>
  <c r="K18611" i="1"/>
  <c r="N18611" i="1"/>
  <c r="A18612" i="1"/>
  <c r="C18612" i="1"/>
  <c r="N18612" i="1"/>
  <c r="A18613" i="1"/>
  <c r="C18613" i="1"/>
  <c r="N18613" i="1"/>
  <c r="A18614" i="1"/>
  <c r="C18614" i="1"/>
  <c r="N18614" i="1"/>
  <c r="A18615" i="1"/>
  <c r="C18615" i="1"/>
  <c r="N18615" i="1"/>
  <c r="A18616" i="1"/>
  <c r="C18616" i="1"/>
  <c r="N18616" i="1"/>
  <c r="A18617" i="1"/>
  <c r="C18617" i="1"/>
  <c r="N18617" i="1"/>
  <c r="A18618" i="1"/>
  <c r="C18618" i="1"/>
  <c r="N18618" i="1"/>
  <c r="A18619" i="1"/>
  <c r="C18619" i="1"/>
  <c r="N18619" i="1"/>
  <c r="A18620" i="1"/>
  <c r="C18620" i="1"/>
  <c r="N18620" i="1"/>
  <c r="A18621" i="1"/>
  <c r="C18621" i="1"/>
  <c r="N18621" i="1"/>
  <c r="A18622" i="1"/>
  <c r="C18622" i="1"/>
  <c r="N18622" i="1"/>
  <c r="A18623" i="1"/>
  <c r="C18623" i="1"/>
  <c r="N18623" i="1"/>
  <c r="A18624" i="1"/>
  <c r="C18624" i="1"/>
  <c r="E18624" i="1"/>
  <c r="N18624" i="1"/>
  <c r="T18624" i="1"/>
  <c r="A18625" i="1"/>
  <c r="C18625" i="1"/>
  <c r="N18625" i="1"/>
  <c r="A18626" i="1"/>
  <c r="C18626" i="1"/>
  <c r="N18626" i="1"/>
  <c r="A18627" i="1"/>
  <c r="C18627" i="1"/>
  <c r="K18627" i="1"/>
  <c r="N18627" i="1"/>
  <c r="A18628" i="1"/>
  <c r="C18628" i="1"/>
  <c r="K18628" i="1"/>
  <c r="N18628" i="1"/>
  <c r="A18629" i="1"/>
  <c r="C18629" i="1"/>
  <c r="N18629" i="1"/>
  <c r="A18630" i="1"/>
  <c r="C18630" i="1"/>
  <c r="N18630" i="1"/>
  <c r="A18631" i="1"/>
  <c r="C18631" i="1"/>
  <c r="N18631" i="1"/>
  <c r="A18632" i="1"/>
  <c r="C18632" i="1"/>
  <c r="N18632" i="1"/>
  <c r="A18633" i="1"/>
  <c r="C18633" i="1"/>
  <c r="N18633" i="1"/>
  <c r="A18634" i="1"/>
  <c r="C18634" i="1"/>
  <c r="N18634" i="1"/>
  <c r="A18635" i="1"/>
  <c r="C18635" i="1"/>
  <c r="N18635" i="1"/>
  <c r="A18636" i="1"/>
  <c r="C18636" i="1"/>
  <c r="N18636" i="1"/>
  <c r="A18637" i="1"/>
  <c r="C18637" i="1"/>
  <c r="N18637" i="1"/>
  <c r="A18638" i="1"/>
  <c r="C18638" i="1"/>
  <c r="N18638" i="1"/>
  <c r="A18639" i="1"/>
  <c r="C18639" i="1"/>
  <c r="N18639" i="1"/>
  <c r="A18640" i="1"/>
  <c r="C18640" i="1"/>
  <c r="N18640" i="1"/>
  <c r="A18641" i="1"/>
  <c r="C18641" i="1"/>
  <c r="N18641" i="1"/>
  <c r="A18642" i="1"/>
  <c r="C18642" i="1"/>
  <c r="N18642" i="1"/>
  <c r="A18643" i="1"/>
  <c r="C18643" i="1"/>
  <c r="N18643" i="1"/>
  <c r="A18644" i="1"/>
  <c r="C18644" i="1"/>
  <c r="N18644" i="1"/>
  <c r="A18645" i="1"/>
  <c r="C18645" i="1"/>
  <c r="N18645" i="1"/>
  <c r="A18646" i="1"/>
  <c r="C18646" i="1"/>
  <c r="N18646" i="1"/>
  <c r="A18647" i="1"/>
  <c r="C18647" i="1"/>
  <c r="N18647" i="1"/>
  <c r="A18648" i="1"/>
  <c r="C18648" i="1"/>
  <c r="N18648" i="1"/>
  <c r="A18649" i="1"/>
  <c r="C18649" i="1"/>
  <c r="N18649" i="1"/>
  <c r="A18650" i="1"/>
  <c r="C18650" i="1"/>
  <c r="N18650" i="1"/>
  <c r="A18651" i="1"/>
  <c r="C18651" i="1"/>
  <c r="N18651" i="1"/>
  <c r="A18652" i="1"/>
  <c r="C18652" i="1"/>
  <c r="N18652" i="1"/>
  <c r="A18653" i="1"/>
  <c r="C18653" i="1"/>
  <c r="N18653" i="1"/>
  <c r="A18654" i="1"/>
  <c r="C18654" i="1"/>
  <c r="N18654" i="1"/>
  <c r="A18655" i="1"/>
  <c r="C18655" i="1"/>
  <c r="N18655" i="1"/>
  <c r="A18656" i="1"/>
  <c r="C18656" i="1"/>
  <c r="N18656" i="1"/>
  <c r="A18657" i="1"/>
  <c r="C18657" i="1"/>
  <c r="K18657" i="1"/>
  <c r="N18657" i="1"/>
  <c r="A18658" i="1"/>
  <c r="C18658" i="1"/>
  <c r="K18658" i="1"/>
  <c r="N18658" i="1"/>
  <c r="A18659" i="1"/>
  <c r="C18659" i="1"/>
  <c r="K18659" i="1"/>
  <c r="N18659" i="1"/>
  <c r="A18660" i="1"/>
  <c r="C18660" i="1"/>
  <c r="N18660" i="1"/>
  <c r="A18661" i="1"/>
  <c r="C18661" i="1"/>
  <c r="F18661" i="1"/>
  <c r="N18661" i="1"/>
  <c r="A18662" i="1"/>
  <c r="C18662" i="1"/>
  <c r="N18662" i="1"/>
  <c r="A18663" i="1"/>
  <c r="C18663" i="1"/>
  <c r="N18663" i="1"/>
  <c r="A18664" i="1"/>
  <c r="C18664" i="1"/>
  <c r="N18664" i="1"/>
  <c r="A18665" i="1"/>
  <c r="C18665" i="1"/>
  <c r="N18665" i="1"/>
  <c r="A18666" i="1"/>
  <c r="C18666" i="1"/>
  <c r="N18666" i="1"/>
  <c r="A18667" i="1"/>
  <c r="C18667" i="1"/>
  <c r="N18667" i="1"/>
  <c r="A18668" i="1"/>
  <c r="C18668" i="1"/>
  <c r="N18668" i="1"/>
  <c r="A18669" i="1"/>
  <c r="C18669" i="1"/>
  <c r="K18669" i="1"/>
  <c r="N18669" i="1"/>
  <c r="A18670" i="1"/>
  <c r="C18670" i="1"/>
  <c r="K18670" i="1"/>
  <c r="N18670" i="1"/>
  <c r="A18671" i="1"/>
  <c r="C18671" i="1"/>
  <c r="K18671" i="1"/>
  <c r="N18671" i="1"/>
  <c r="A18672" i="1"/>
  <c r="C18672" i="1"/>
  <c r="K18672" i="1"/>
  <c r="N18672" i="1"/>
  <c r="A18673" i="1"/>
  <c r="C18673" i="1"/>
  <c r="K18673" i="1"/>
  <c r="N18673" i="1"/>
  <c r="A18674" i="1"/>
  <c r="C18674" i="1"/>
  <c r="K18674" i="1"/>
  <c r="N18674" i="1"/>
  <c r="A18675" i="1"/>
  <c r="C18675" i="1"/>
  <c r="K18675" i="1"/>
  <c r="N18675" i="1"/>
  <c r="A18676" i="1"/>
  <c r="C18676" i="1"/>
  <c r="K18676" i="1"/>
  <c r="N18676" i="1"/>
  <c r="A18677" i="1"/>
  <c r="C18677" i="1"/>
  <c r="K18677" i="1"/>
  <c r="N18677" i="1"/>
  <c r="A18678" i="1"/>
  <c r="C18678" i="1"/>
  <c r="K18678" i="1"/>
  <c r="N18678" i="1"/>
  <c r="A18679" i="1"/>
  <c r="C18679" i="1"/>
  <c r="K18679" i="1"/>
  <c r="N18679" i="1"/>
  <c r="A18680" i="1"/>
  <c r="C18680" i="1"/>
  <c r="K18680" i="1"/>
  <c r="N18680" i="1"/>
  <c r="A18681" i="1"/>
  <c r="C18681" i="1"/>
  <c r="N18681" i="1"/>
  <c r="A18682" i="1"/>
  <c r="C18682" i="1"/>
  <c r="N18682" i="1"/>
  <c r="A18683" i="1"/>
  <c r="C18683" i="1"/>
  <c r="N18683" i="1"/>
  <c r="A18684" i="1"/>
  <c r="C18684" i="1"/>
  <c r="N18684" i="1"/>
  <c r="A18685" i="1"/>
  <c r="C18685" i="1"/>
  <c r="N18685" i="1"/>
  <c r="A18686" i="1"/>
  <c r="C18686" i="1"/>
  <c r="E18686" i="1"/>
  <c r="N18686" i="1"/>
  <c r="T18686" i="1"/>
  <c r="A18687" i="1"/>
  <c r="C18687" i="1"/>
  <c r="N18687" i="1"/>
  <c r="A18688" i="1"/>
  <c r="C18688" i="1"/>
  <c r="N18688" i="1"/>
  <c r="A18689" i="1"/>
  <c r="C18689" i="1"/>
  <c r="N18689" i="1"/>
  <c r="A18690" i="1"/>
  <c r="C18690" i="1"/>
  <c r="N18690" i="1"/>
  <c r="A18691" i="1"/>
  <c r="C18691" i="1"/>
  <c r="N18691" i="1"/>
  <c r="A18692" i="1"/>
  <c r="C18692" i="1"/>
  <c r="N18692" i="1"/>
  <c r="A18693" i="1"/>
  <c r="C18693" i="1"/>
  <c r="N18693" i="1"/>
  <c r="A18694" i="1"/>
  <c r="C18694" i="1"/>
  <c r="N18694" i="1"/>
  <c r="A18695" i="1"/>
  <c r="C18695" i="1"/>
  <c r="N18695" i="1"/>
  <c r="A18696" i="1"/>
  <c r="C18696" i="1"/>
  <c r="N18696" i="1"/>
  <c r="A18697" i="1"/>
  <c r="C18697" i="1"/>
  <c r="N18697" i="1"/>
  <c r="A18698" i="1"/>
  <c r="C18698" i="1"/>
  <c r="N18698" i="1"/>
  <c r="A18699" i="1"/>
  <c r="C18699" i="1"/>
  <c r="N18699" i="1"/>
  <c r="A18700" i="1"/>
  <c r="C18700" i="1"/>
  <c r="N18700" i="1"/>
  <c r="A18701" i="1"/>
  <c r="C18701" i="1"/>
  <c r="N18701" i="1"/>
  <c r="A18702" i="1"/>
  <c r="C18702" i="1"/>
  <c r="N18702" i="1"/>
  <c r="A18703" i="1"/>
  <c r="C18703" i="1"/>
  <c r="N18703" i="1"/>
  <c r="A18704" i="1"/>
  <c r="C18704" i="1"/>
  <c r="N18704" i="1"/>
  <c r="A18705" i="1"/>
  <c r="C18705" i="1"/>
  <c r="N18705" i="1"/>
  <c r="A18706" i="1"/>
  <c r="C18706" i="1"/>
  <c r="N18706" i="1"/>
  <c r="A18707" i="1"/>
  <c r="C18707" i="1"/>
  <c r="K18707" i="1"/>
  <c r="N18707" i="1"/>
  <c r="A18708" i="1"/>
  <c r="C18708" i="1"/>
  <c r="K18708" i="1"/>
  <c r="N18708" i="1"/>
  <c r="A18709" i="1"/>
  <c r="C18709" i="1"/>
  <c r="K18709" i="1"/>
  <c r="N18709" i="1"/>
  <c r="A18710" i="1"/>
  <c r="C18710" i="1"/>
  <c r="N18710" i="1"/>
  <c r="A18711" i="1"/>
  <c r="C18711" i="1"/>
  <c r="N18711" i="1"/>
  <c r="A18712" i="1"/>
  <c r="C18712" i="1"/>
  <c r="N18712" i="1"/>
  <c r="A18713" i="1"/>
  <c r="C18713" i="1"/>
  <c r="N18713" i="1"/>
  <c r="A18714" i="1"/>
  <c r="C18714" i="1"/>
  <c r="N18714" i="1"/>
  <c r="A18715" i="1"/>
  <c r="C18715" i="1"/>
  <c r="E18715" i="1"/>
  <c r="N18715" i="1"/>
  <c r="T18715" i="1"/>
  <c r="A18716" i="1"/>
  <c r="C18716" i="1"/>
  <c r="E18716" i="1"/>
  <c r="N18716" i="1"/>
  <c r="T18716" i="1"/>
  <c r="A18717" i="1"/>
  <c r="C18717" i="1"/>
  <c r="N18717" i="1"/>
  <c r="A18718" i="1"/>
  <c r="C18718" i="1"/>
  <c r="N18718" i="1"/>
  <c r="A18719" i="1"/>
  <c r="C18719" i="1"/>
  <c r="K18719" i="1"/>
  <c r="N18719" i="1"/>
  <c r="A18720" i="1"/>
  <c r="C18720" i="1"/>
  <c r="N18720" i="1"/>
  <c r="A18721" i="1"/>
  <c r="C18721" i="1"/>
  <c r="F18721" i="1"/>
  <c r="N18721" i="1"/>
  <c r="A18722" i="1"/>
  <c r="C18722" i="1"/>
  <c r="N18722" i="1"/>
  <c r="A18723" i="1"/>
  <c r="C18723" i="1"/>
  <c r="K18723" i="1"/>
  <c r="N18723" i="1"/>
  <c r="A18724" i="1"/>
  <c r="C18724" i="1"/>
  <c r="N18724" i="1"/>
  <c r="A18725" i="1"/>
  <c r="C18725" i="1"/>
  <c r="N18725" i="1"/>
  <c r="A18726" i="1"/>
  <c r="C18726" i="1"/>
  <c r="N18726" i="1"/>
  <c r="A18727" i="1"/>
  <c r="C18727" i="1"/>
  <c r="N18727" i="1"/>
  <c r="A18728" i="1"/>
  <c r="C18728" i="1"/>
  <c r="N18728" i="1"/>
  <c r="A18729" i="1"/>
  <c r="C18729" i="1"/>
  <c r="N18729" i="1"/>
  <c r="A18730" i="1"/>
  <c r="C18730" i="1"/>
  <c r="N18730" i="1"/>
  <c r="A18731" i="1"/>
  <c r="C18731" i="1"/>
  <c r="N18731" i="1"/>
  <c r="A18732" i="1"/>
  <c r="C18732" i="1"/>
  <c r="N18732" i="1"/>
  <c r="A18733" i="1"/>
  <c r="C18733" i="1"/>
  <c r="N18733" i="1"/>
  <c r="A18734" i="1"/>
  <c r="C18734" i="1"/>
  <c r="N18734" i="1"/>
  <c r="A18735" i="1"/>
  <c r="C18735" i="1"/>
  <c r="E18735" i="1"/>
  <c r="N18735" i="1"/>
  <c r="T18735" i="1"/>
  <c r="A18736" i="1"/>
  <c r="C18736" i="1"/>
  <c r="K18736" i="1"/>
  <c r="N18736" i="1"/>
  <c r="A18737" i="1"/>
  <c r="C18737" i="1"/>
  <c r="N18737" i="1"/>
  <c r="A18738" i="1"/>
  <c r="C18738" i="1"/>
  <c r="N18738" i="1"/>
  <c r="A18739" i="1"/>
  <c r="C18739" i="1"/>
  <c r="N18739" i="1"/>
  <c r="A18740" i="1"/>
  <c r="C18740" i="1"/>
  <c r="K18740" i="1"/>
  <c r="N18740" i="1"/>
  <c r="A18741" i="1"/>
  <c r="C18741" i="1"/>
  <c r="N18741" i="1"/>
  <c r="A18742" i="1"/>
  <c r="C18742" i="1"/>
  <c r="N18742" i="1"/>
  <c r="A18743" i="1"/>
  <c r="C18743" i="1"/>
  <c r="N18743" i="1"/>
  <c r="A18744" i="1"/>
  <c r="C18744" i="1"/>
  <c r="N18744" i="1"/>
  <c r="A18745" i="1"/>
  <c r="C18745" i="1"/>
  <c r="K18745" i="1"/>
  <c r="N18745" i="1"/>
  <c r="A18746" i="1"/>
  <c r="C18746" i="1"/>
  <c r="F18746" i="1"/>
  <c r="N18746" i="1"/>
  <c r="A18747" i="1"/>
  <c r="C18747" i="1"/>
  <c r="F18747" i="1"/>
  <c r="N18747" i="1"/>
  <c r="A18748" i="1"/>
  <c r="C18748" i="1"/>
  <c r="F18748" i="1"/>
  <c r="N18748" i="1"/>
  <c r="A18749" i="1"/>
  <c r="C18749" i="1"/>
  <c r="N18749" i="1"/>
  <c r="A18750" i="1"/>
  <c r="C18750" i="1"/>
  <c r="N18750" i="1"/>
  <c r="A18751" i="1"/>
  <c r="C18751" i="1"/>
  <c r="K18751" i="1"/>
  <c r="N18751" i="1"/>
  <c r="A18752" i="1"/>
  <c r="C18752" i="1"/>
  <c r="N18752" i="1"/>
  <c r="A18753" i="1"/>
  <c r="C18753" i="1"/>
  <c r="E18753" i="1"/>
  <c r="N18753" i="1"/>
  <c r="T18753" i="1"/>
  <c r="A18754" i="1"/>
  <c r="C18754" i="1"/>
  <c r="K18754" i="1"/>
  <c r="N18754" i="1"/>
  <c r="A18755" i="1"/>
  <c r="C18755" i="1"/>
  <c r="N18755" i="1"/>
  <c r="A18756" i="1"/>
  <c r="C18756" i="1"/>
  <c r="N18756" i="1"/>
  <c r="A18757" i="1"/>
  <c r="C18757" i="1"/>
  <c r="N18757" i="1"/>
  <c r="A18758" i="1"/>
  <c r="C18758" i="1"/>
  <c r="N18758" i="1"/>
  <c r="A18759" i="1"/>
  <c r="C18759" i="1"/>
  <c r="N18759" i="1"/>
  <c r="A18760" i="1"/>
  <c r="C18760" i="1"/>
  <c r="N18760" i="1"/>
  <c r="A18761" i="1"/>
  <c r="C18761" i="1"/>
  <c r="N18761" i="1"/>
  <c r="A18762" i="1"/>
  <c r="C18762" i="1"/>
  <c r="N18762" i="1"/>
  <c r="A18763" i="1"/>
  <c r="C18763" i="1"/>
  <c r="N18763" i="1"/>
  <c r="A18764" i="1"/>
  <c r="C18764" i="1"/>
  <c r="N18764" i="1"/>
  <c r="A18765" i="1"/>
  <c r="C18765" i="1"/>
  <c r="N18765" i="1"/>
  <c r="A18766" i="1"/>
  <c r="C18766" i="1"/>
  <c r="N18766" i="1"/>
  <c r="A18767" i="1"/>
  <c r="C18767" i="1"/>
  <c r="N18767" i="1"/>
  <c r="A18768" i="1"/>
  <c r="C18768" i="1"/>
  <c r="K18768" i="1"/>
  <c r="N18768" i="1"/>
  <c r="A18769" i="1"/>
  <c r="C18769" i="1"/>
  <c r="K18769" i="1"/>
  <c r="N18769" i="1"/>
  <c r="A18770" i="1"/>
  <c r="C18770" i="1"/>
  <c r="K18770" i="1"/>
  <c r="N18770" i="1"/>
  <c r="A18771" i="1"/>
  <c r="C18771" i="1"/>
  <c r="N18771" i="1"/>
  <c r="A18772" i="1"/>
  <c r="C18772" i="1"/>
  <c r="K18772" i="1"/>
  <c r="N18772" i="1"/>
  <c r="A18773" i="1"/>
  <c r="C18773" i="1"/>
  <c r="N18773" i="1"/>
  <c r="A18774" i="1"/>
  <c r="C18774" i="1"/>
  <c r="N18774" i="1"/>
  <c r="A18775" i="1"/>
  <c r="C18775" i="1"/>
  <c r="N18775" i="1"/>
  <c r="A18776" i="1"/>
  <c r="C18776" i="1"/>
  <c r="K18776" i="1"/>
  <c r="N18776" i="1"/>
  <c r="A18777" i="1"/>
  <c r="C18777" i="1"/>
  <c r="K18777" i="1"/>
  <c r="N18777" i="1"/>
  <c r="A18778" i="1"/>
  <c r="C18778" i="1"/>
  <c r="N18778" i="1"/>
  <c r="A18779" i="1"/>
  <c r="C18779" i="1"/>
  <c r="N18779" i="1"/>
  <c r="A18780" i="1"/>
  <c r="C18780" i="1"/>
  <c r="F18780" i="1"/>
  <c r="N18780" i="1"/>
  <c r="A18781" i="1"/>
  <c r="C18781" i="1"/>
  <c r="F18781" i="1"/>
  <c r="N18781" i="1"/>
  <c r="A18782" i="1"/>
  <c r="C18782" i="1"/>
  <c r="N18782" i="1"/>
  <c r="A18783" i="1"/>
  <c r="C18783" i="1"/>
  <c r="N18783" i="1"/>
  <c r="A18784" i="1"/>
  <c r="C18784" i="1"/>
  <c r="K18784" i="1"/>
  <c r="N18784" i="1"/>
  <c r="A18785" i="1"/>
  <c r="C18785" i="1"/>
  <c r="N18785" i="1"/>
  <c r="A18786" i="1"/>
  <c r="C18786" i="1"/>
  <c r="N18786" i="1"/>
  <c r="A18787" i="1"/>
  <c r="C18787" i="1"/>
  <c r="N18787" i="1"/>
  <c r="A18788" i="1"/>
  <c r="C18788" i="1"/>
  <c r="N18788" i="1"/>
  <c r="A18789" i="1"/>
  <c r="C18789" i="1"/>
  <c r="N18789" i="1"/>
  <c r="A18790" i="1"/>
  <c r="C18790" i="1"/>
  <c r="N18790" i="1"/>
  <c r="A18791" i="1"/>
  <c r="C18791" i="1"/>
  <c r="N18791" i="1"/>
  <c r="A18792" i="1"/>
  <c r="C18792" i="1"/>
  <c r="N18792" i="1"/>
  <c r="A18793" i="1"/>
  <c r="C18793" i="1"/>
  <c r="N18793" i="1"/>
  <c r="A18794" i="1"/>
  <c r="C18794" i="1"/>
  <c r="N18794" i="1"/>
  <c r="A18795" i="1"/>
  <c r="C18795" i="1"/>
  <c r="D18795" i="1"/>
  <c r="N18795" i="1"/>
  <c r="O18795" i="1"/>
  <c r="A18796" i="1"/>
  <c r="C18796" i="1"/>
  <c r="N18796" i="1"/>
  <c r="A18797" i="1"/>
  <c r="C18797" i="1"/>
  <c r="N18797" i="1"/>
  <c r="A18798" i="1"/>
  <c r="C18798" i="1"/>
  <c r="N18798" i="1"/>
  <c r="A18799" i="1"/>
  <c r="C18799" i="1"/>
  <c r="N18799" i="1"/>
  <c r="A18800" i="1"/>
  <c r="C18800" i="1"/>
  <c r="N18800" i="1"/>
  <c r="A18801" i="1"/>
  <c r="C18801" i="1"/>
  <c r="K18801" i="1"/>
  <c r="N18801" i="1"/>
  <c r="A18802" i="1"/>
  <c r="C18802" i="1"/>
  <c r="N18802" i="1"/>
  <c r="A18803" i="1"/>
  <c r="C18803" i="1"/>
  <c r="N18803" i="1"/>
  <c r="A18804" i="1"/>
  <c r="C18804" i="1"/>
  <c r="K18804" i="1"/>
  <c r="N18804" i="1"/>
  <c r="A18805" i="1"/>
  <c r="C18805" i="1"/>
  <c r="K18805" i="1"/>
  <c r="N18805" i="1"/>
  <c r="A18806" i="1"/>
  <c r="C18806" i="1"/>
  <c r="K18806" i="1"/>
  <c r="N18806" i="1"/>
  <c r="A18807" i="1"/>
  <c r="C18807" i="1"/>
  <c r="K18807" i="1"/>
  <c r="N18807" i="1"/>
  <c r="A18808" i="1"/>
  <c r="C18808" i="1"/>
  <c r="K18808" i="1"/>
  <c r="N18808" i="1"/>
  <c r="A18809" i="1"/>
  <c r="C18809" i="1"/>
  <c r="N18809" i="1"/>
  <c r="A18810" i="1"/>
  <c r="C18810" i="1"/>
  <c r="N18810" i="1"/>
  <c r="A18811" i="1"/>
  <c r="C18811" i="1"/>
  <c r="N18811" i="1"/>
  <c r="A18812" i="1"/>
  <c r="C18812" i="1"/>
  <c r="N18812" i="1"/>
  <c r="A18813" i="1"/>
  <c r="C18813" i="1"/>
  <c r="N18813" i="1"/>
  <c r="A18814" i="1"/>
  <c r="C18814" i="1"/>
  <c r="N18814" i="1"/>
  <c r="A18815" i="1"/>
  <c r="C18815" i="1"/>
  <c r="K18815" i="1"/>
  <c r="N18815" i="1"/>
  <c r="A18816" i="1"/>
  <c r="C18816" i="1"/>
  <c r="N18816" i="1"/>
  <c r="A18817" i="1"/>
  <c r="C18817" i="1"/>
  <c r="N18817" i="1"/>
  <c r="A18818" i="1"/>
  <c r="C18818" i="1"/>
  <c r="K18818" i="1"/>
  <c r="N18818" i="1"/>
  <c r="A18819" i="1"/>
  <c r="C18819" i="1"/>
  <c r="N18819" i="1"/>
  <c r="A18820" i="1"/>
  <c r="C18820" i="1"/>
  <c r="D18820" i="1"/>
  <c r="E18820" i="1"/>
  <c r="K18820" i="1"/>
  <c r="N18820" i="1"/>
  <c r="O18820" i="1"/>
  <c r="T18820" i="1"/>
  <c r="A18821" i="1"/>
  <c r="C18821" i="1"/>
  <c r="N18821" i="1"/>
  <c r="A18822" i="1"/>
  <c r="C18822" i="1"/>
  <c r="N18822" i="1"/>
  <c r="A18823" i="1"/>
  <c r="C18823" i="1"/>
  <c r="K18823" i="1"/>
  <c r="N18823" i="1"/>
  <c r="A18824" i="1"/>
  <c r="C18824" i="1"/>
  <c r="N18824" i="1"/>
  <c r="A18825" i="1"/>
  <c r="C18825" i="1"/>
  <c r="N18825" i="1"/>
  <c r="A18826" i="1"/>
  <c r="C18826" i="1"/>
  <c r="N18826" i="1"/>
  <c r="A18827" i="1"/>
  <c r="C18827" i="1"/>
  <c r="K18827" i="1"/>
  <c r="N18827" i="1"/>
  <c r="A18828" i="1"/>
  <c r="C18828" i="1"/>
  <c r="N18828" i="1"/>
  <c r="A18829" i="1"/>
  <c r="C18829" i="1"/>
  <c r="N18829" i="1"/>
  <c r="A18830" i="1"/>
  <c r="C18830" i="1"/>
  <c r="K18830" i="1"/>
  <c r="N18830" i="1"/>
  <c r="A18831" i="1"/>
  <c r="C18831" i="1"/>
  <c r="E18831" i="1"/>
  <c r="N18831" i="1"/>
  <c r="T18831" i="1"/>
  <c r="A18832" i="1"/>
  <c r="C18832" i="1"/>
  <c r="N18832" i="1"/>
  <c r="A18833" i="1"/>
  <c r="C18833" i="1"/>
  <c r="N18833" i="1"/>
  <c r="A18834" i="1"/>
  <c r="C18834" i="1"/>
  <c r="K18834" i="1"/>
  <c r="N18834" i="1"/>
  <c r="A18835" i="1"/>
  <c r="C18835" i="1"/>
  <c r="N18835" i="1"/>
  <c r="A18836" i="1"/>
  <c r="C18836" i="1"/>
  <c r="K18836" i="1"/>
  <c r="N18836" i="1"/>
  <c r="A18837" i="1"/>
  <c r="C18837" i="1"/>
  <c r="N18837" i="1"/>
  <c r="A18838" i="1"/>
  <c r="C18838" i="1"/>
  <c r="N18838" i="1"/>
  <c r="A18839" i="1"/>
  <c r="C18839" i="1"/>
  <c r="N18839" i="1"/>
  <c r="A18840" i="1"/>
  <c r="C18840" i="1"/>
  <c r="N18840" i="1"/>
  <c r="A18841" i="1"/>
  <c r="C18841" i="1"/>
  <c r="N18841" i="1"/>
  <c r="A18842" i="1"/>
  <c r="C18842" i="1"/>
  <c r="N18842" i="1"/>
  <c r="A18843" i="1"/>
  <c r="C18843" i="1"/>
  <c r="N18843" i="1"/>
  <c r="A18844" i="1"/>
  <c r="C18844" i="1"/>
  <c r="N18844" i="1"/>
  <c r="A18845" i="1"/>
  <c r="C18845" i="1"/>
  <c r="N18845" i="1"/>
  <c r="A18846" i="1"/>
  <c r="C18846" i="1"/>
  <c r="N18846" i="1"/>
  <c r="A18847" i="1"/>
  <c r="C18847" i="1"/>
  <c r="N18847" i="1"/>
  <c r="A18848" i="1"/>
  <c r="C18848" i="1"/>
  <c r="N18848" i="1"/>
  <c r="A18849" i="1"/>
  <c r="C18849" i="1"/>
  <c r="K18849" i="1"/>
  <c r="N18849" i="1"/>
  <c r="A18850" i="1"/>
  <c r="C18850" i="1"/>
  <c r="N18850" i="1"/>
  <c r="A18851" i="1"/>
  <c r="C18851" i="1"/>
  <c r="K18851" i="1"/>
  <c r="N18851" i="1"/>
  <c r="A18852" i="1"/>
  <c r="C18852" i="1"/>
  <c r="N18852" i="1"/>
  <c r="A18853" i="1"/>
  <c r="C18853" i="1"/>
  <c r="K18853" i="1"/>
  <c r="N18853" i="1"/>
  <c r="A18854" i="1"/>
  <c r="C18854" i="1"/>
  <c r="N18854" i="1"/>
  <c r="A18855" i="1"/>
  <c r="C18855" i="1"/>
  <c r="N18855" i="1"/>
  <c r="A18856" i="1"/>
  <c r="C18856" i="1"/>
  <c r="N18856" i="1"/>
  <c r="A18857" i="1"/>
  <c r="C18857" i="1"/>
  <c r="F18857" i="1"/>
  <c r="N18857" i="1"/>
  <c r="A18858" i="1"/>
  <c r="C18858" i="1"/>
  <c r="N18858" i="1"/>
  <c r="A18859" i="1"/>
  <c r="C18859" i="1"/>
  <c r="N18859" i="1"/>
  <c r="A18860" i="1"/>
  <c r="C18860" i="1"/>
  <c r="N18860" i="1"/>
  <c r="A18861" i="1"/>
  <c r="C18861" i="1"/>
  <c r="K18861" i="1"/>
  <c r="N18861" i="1"/>
  <c r="A18862" i="1"/>
  <c r="C18862" i="1"/>
  <c r="N18862" i="1"/>
  <c r="A18863" i="1"/>
  <c r="C18863" i="1"/>
  <c r="N18863" i="1"/>
  <c r="A18864" i="1"/>
  <c r="C18864" i="1"/>
  <c r="N18864" i="1"/>
  <c r="A18865" i="1"/>
  <c r="C18865" i="1"/>
  <c r="N18865" i="1"/>
  <c r="A18866" i="1"/>
  <c r="C18866" i="1"/>
  <c r="K18866" i="1"/>
  <c r="N18866" i="1"/>
  <c r="A18867" i="1"/>
  <c r="C18867" i="1"/>
  <c r="N18867" i="1"/>
  <c r="A18868" i="1"/>
  <c r="C18868" i="1"/>
  <c r="N18868" i="1"/>
  <c r="A18869" i="1"/>
  <c r="C18869" i="1"/>
  <c r="N18869" i="1"/>
  <c r="A18870" i="1"/>
  <c r="C18870" i="1"/>
  <c r="N18870" i="1"/>
  <c r="A18871" i="1"/>
  <c r="C18871" i="1"/>
  <c r="N18871" i="1"/>
  <c r="A18872" i="1"/>
  <c r="C18872" i="1"/>
  <c r="N18872" i="1"/>
  <c r="A18873" i="1"/>
  <c r="C18873" i="1"/>
  <c r="N18873" i="1"/>
  <c r="A18874" i="1"/>
  <c r="C18874" i="1"/>
  <c r="K18874" i="1"/>
  <c r="N18874" i="1"/>
  <c r="A18875" i="1"/>
  <c r="C18875" i="1"/>
  <c r="K18875" i="1"/>
  <c r="N18875" i="1"/>
  <c r="A18876" i="1"/>
  <c r="C18876" i="1"/>
  <c r="N18876" i="1"/>
  <c r="A18877" i="1"/>
  <c r="C18877" i="1"/>
  <c r="N18877" i="1"/>
  <c r="A18878" i="1"/>
  <c r="C18878" i="1"/>
  <c r="N18878" i="1"/>
  <c r="A18879" i="1"/>
  <c r="C18879" i="1"/>
  <c r="N18879" i="1"/>
  <c r="A18880" i="1"/>
  <c r="C18880" i="1"/>
  <c r="N18880" i="1"/>
  <c r="A18881" i="1"/>
  <c r="C18881" i="1"/>
  <c r="N18881" i="1"/>
  <c r="A18882" i="1"/>
  <c r="C18882" i="1"/>
  <c r="N18882" i="1"/>
  <c r="A18883" i="1"/>
  <c r="C18883" i="1"/>
  <c r="N18883" i="1"/>
  <c r="A18884" i="1"/>
  <c r="C18884" i="1"/>
  <c r="N18884" i="1"/>
  <c r="A18885" i="1"/>
  <c r="C18885" i="1"/>
  <c r="N18885" i="1"/>
  <c r="A18886" i="1"/>
  <c r="C18886" i="1"/>
  <c r="N18886" i="1"/>
  <c r="A18887" i="1"/>
  <c r="C18887" i="1"/>
  <c r="N18887" i="1"/>
  <c r="A18888" i="1"/>
  <c r="C18888" i="1"/>
  <c r="F18888" i="1"/>
  <c r="N18888" i="1"/>
  <c r="A18889" i="1"/>
  <c r="C18889" i="1"/>
  <c r="N18889" i="1"/>
  <c r="A18890" i="1"/>
  <c r="C18890" i="1"/>
  <c r="N18890" i="1"/>
  <c r="A18891" i="1"/>
  <c r="C18891" i="1"/>
  <c r="N18891" i="1"/>
  <c r="A18892" i="1"/>
  <c r="C18892" i="1"/>
  <c r="K18892" i="1"/>
  <c r="N18892" i="1"/>
  <c r="A18893" i="1"/>
  <c r="C18893" i="1"/>
  <c r="N18893" i="1"/>
  <c r="A18894" i="1"/>
  <c r="C18894" i="1"/>
  <c r="N18894" i="1"/>
  <c r="A18895" i="1"/>
  <c r="C18895" i="1"/>
  <c r="N18895" i="1"/>
  <c r="A18896" i="1"/>
  <c r="C18896" i="1"/>
  <c r="E18896" i="1"/>
  <c r="N18896" i="1"/>
  <c r="T18896" i="1"/>
  <c r="A18897" i="1"/>
  <c r="C18897" i="1"/>
  <c r="E18897" i="1"/>
  <c r="N18897" i="1"/>
  <c r="T18897" i="1"/>
  <c r="A18898" i="1"/>
  <c r="C18898" i="1"/>
  <c r="N18898" i="1"/>
  <c r="A18899" i="1"/>
  <c r="C18899" i="1"/>
  <c r="N18899" i="1"/>
  <c r="A18900" i="1"/>
  <c r="C18900" i="1"/>
  <c r="N18900" i="1"/>
  <c r="A18901" i="1"/>
  <c r="C18901" i="1"/>
  <c r="N18901" i="1"/>
  <c r="A18902" i="1"/>
  <c r="C18902" i="1"/>
  <c r="N18902" i="1"/>
  <c r="A18903" i="1"/>
  <c r="C18903" i="1"/>
  <c r="N18903" i="1"/>
  <c r="A18904" i="1"/>
  <c r="C18904" i="1"/>
  <c r="N18904" i="1"/>
  <c r="A18905" i="1"/>
  <c r="C18905" i="1"/>
  <c r="N18905" i="1"/>
  <c r="A18906" i="1"/>
  <c r="C18906" i="1"/>
  <c r="N18906" i="1"/>
  <c r="A18907" i="1"/>
  <c r="C18907" i="1"/>
  <c r="N18907" i="1"/>
  <c r="A18908" i="1"/>
  <c r="C18908" i="1"/>
  <c r="N18908" i="1"/>
  <c r="A18909" i="1"/>
  <c r="C18909" i="1"/>
  <c r="N18909" i="1"/>
  <c r="A18910" i="1"/>
  <c r="C18910" i="1"/>
  <c r="N18910" i="1"/>
  <c r="A18911" i="1"/>
  <c r="C18911" i="1"/>
  <c r="F18911" i="1"/>
  <c r="N18911" i="1"/>
  <c r="A18912" i="1"/>
  <c r="C18912" i="1"/>
  <c r="N18912" i="1"/>
  <c r="A18913" i="1"/>
  <c r="C18913" i="1"/>
  <c r="K18913" i="1"/>
  <c r="N18913" i="1"/>
  <c r="A18914" i="1"/>
  <c r="C18914" i="1"/>
  <c r="N18914" i="1"/>
  <c r="A18915" i="1"/>
  <c r="C18915" i="1"/>
  <c r="K18915" i="1"/>
  <c r="N18915" i="1"/>
  <c r="A18916" i="1"/>
  <c r="C18916" i="1"/>
  <c r="N18916" i="1"/>
  <c r="A18917" i="1"/>
  <c r="C18917" i="1"/>
  <c r="N18917" i="1"/>
  <c r="A18918" i="1"/>
  <c r="C18918" i="1"/>
  <c r="N18918" i="1"/>
  <c r="A18919" i="1"/>
  <c r="C18919" i="1"/>
  <c r="N18919" i="1"/>
  <c r="A18920" i="1"/>
  <c r="C18920" i="1"/>
  <c r="K18920" i="1"/>
  <c r="N18920" i="1"/>
  <c r="A18921" i="1"/>
  <c r="C18921" i="1"/>
  <c r="N18921" i="1"/>
  <c r="A18922" i="1"/>
  <c r="C18922" i="1"/>
  <c r="N18922" i="1"/>
  <c r="A18923" i="1"/>
  <c r="C18923" i="1"/>
  <c r="N18923" i="1"/>
  <c r="A18924" i="1"/>
  <c r="C18924" i="1"/>
  <c r="N18924" i="1"/>
  <c r="A18925" i="1"/>
  <c r="C18925" i="1"/>
  <c r="N18925" i="1"/>
  <c r="A18926" i="1"/>
  <c r="C18926" i="1"/>
  <c r="F18926" i="1"/>
  <c r="N18926" i="1"/>
  <c r="A18927" i="1"/>
  <c r="C18927" i="1"/>
  <c r="F18927" i="1"/>
  <c r="N18927" i="1"/>
  <c r="A18928" i="1"/>
  <c r="C18928" i="1"/>
  <c r="K18928" i="1"/>
  <c r="N18928" i="1"/>
  <c r="A18929" i="1"/>
  <c r="C18929" i="1"/>
  <c r="D18929" i="1"/>
  <c r="E18929" i="1"/>
  <c r="N18929" i="1"/>
  <c r="O18929" i="1"/>
  <c r="T18929" i="1"/>
  <c r="A18930" i="1"/>
  <c r="C18930" i="1"/>
  <c r="N18930" i="1"/>
  <c r="A18931" i="1"/>
  <c r="C18931" i="1"/>
  <c r="N18931" i="1"/>
  <c r="A18932" i="1"/>
  <c r="C18932" i="1"/>
  <c r="N18932" i="1"/>
  <c r="A18933" i="1"/>
  <c r="C18933" i="1"/>
  <c r="N18933" i="1"/>
  <c r="A18934" i="1"/>
  <c r="C18934" i="1"/>
  <c r="N18934" i="1"/>
  <c r="A18935" i="1"/>
  <c r="C18935" i="1"/>
  <c r="N18935" i="1"/>
  <c r="A18936" i="1"/>
  <c r="C18936" i="1"/>
  <c r="N18936" i="1"/>
  <c r="A18937" i="1"/>
  <c r="C18937" i="1"/>
  <c r="N18937" i="1"/>
  <c r="A18938" i="1"/>
  <c r="C18938" i="1"/>
  <c r="N18938" i="1"/>
  <c r="A18939" i="1"/>
  <c r="C18939" i="1"/>
  <c r="N18939" i="1"/>
  <c r="A18940" i="1"/>
  <c r="C18940" i="1"/>
  <c r="N18940" i="1"/>
  <c r="A18941" i="1"/>
  <c r="C18941" i="1"/>
  <c r="N18941" i="1"/>
  <c r="A18942" i="1"/>
  <c r="C18942" i="1"/>
  <c r="N18942" i="1"/>
  <c r="A18943" i="1"/>
  <c r="C18943" i="1"/>
  <c r="K18943" i="1"/>
  <c r="N18943" i="1"/>
  <c r="A18944" i="1"/>
  <c r="C18944" i="1"/>
  <c r="N18944" i="1"/>
  <c r="A18945" i="1"/>
  <c r="C18945" i="1"/>
  <c r="K18945" i="1"/>
  <c r="N18945" i="1"/>
  <c r="A18946" i="1"/>
  <c r="C18946" i="1"/>
  <c r="N18946" i="1"/>
  <c r="A18947" i="1"/>
  <c r="C18947" i="1"/>
  <c r="N18947" i="1"/>
  <c r="A18948" i="1"/>
  <c r="C18948" i="1"/>
  <c r="N18948" i="1"/>
  <c r="A18949" i="1"/>
  <c r="C18949" i="1"/>
  <c r="N18949" i="1"/>
  <c r="A18950" i="1"/>
  <c r="C18950" i="1"/>
  <c r="N18950" i="1"/>
  <c r="A18951" i="1"/>
  <c r="C18951" i="1"/>
  <c r="N18951" i="1"/>
  <c r="A18952" i="1"/>
  <c r="C18952" i="1"/>
  <c r="N18952" i="1"/>
  <c r="A18953" i="1"/>
  <c r="C18953" i="1"/>
  <c r="N18953" i="1"/>
  <c r="A18954" i="1"/>
  <c r="C18954" i="1"/>
  <c r="N18954" i="1"/>
  <c r="A18955" i="1"/>
  <c r="C18955" i="1"/>
  <c r="N18955" i="1"/>
  <c r="A18956" i="1"/>
  <c r="C18956" i="1"/>
  <c r="N18956" i="1"/>
  <c r="A18957" i="1"/>
  <c r="C18957" i="1"/>
  <c r="N18957" i="1"/>
  <c r="A18958" i="1"/>
  <c r="C18958" i="1"/>
  <c r="N18958" i="1"/>
  <c r="A18959" i="1"/>
  <c r="C18959" i="1"/>
  <c r="N18959" i="1"/>
  <c r="A18960" i="1"/>
  <c r="C18960" i="1"/>
  <c r="N18960" i="1"/>
  <c r="A18961" i="1"/>
  <c r="C18961" i="1"/>
  <c r="N18961" i="1"/>
  <c r="A18962" i="1"/>
  <c r="C18962" i="1"/>
  <c r="N18962" i="1"/>
  <c r="A18963" i="1"/>
  <c r="C18963" i="1"/>
  <c r="D18963" i="1"/>
  <c r="E18963" i="1"/>
  <c r="N18963" i="1"/>
  <c r="O18963" i="1"/>
  <c r="T18963" i="1"/>
  <c r="A18964" i="1"/>
  <c r="C18964" i="1"/>
  <c r="D18964" i="1"/>
  <c r="E18964" i="1"/>
  <c r="N18964" i="1"/>
  <c r="O18964" i="1"/>
  <c r="T18964" i="1"/>
  <c r="A18965" i="1"/>
  <c r="C18965" i="1"/>
  <c r="N18965" i="1"/>
  <c r="A18966" i="1"/>
  <c r="C18966" i="1"/>
  <c r="N18966" i="1"/>
  <c r="A18967" i="1"/>
  <c r="C18967" i="1"/>
  <c r="N18967" i="1"/>
  <c r="A18968" i="1"/>
  <c r="C18968" i="1"/>
  <c r="N18968" i="1"/>
  <c r="A18969" i="1"/>
  <c r="C18969" i="1"/>
  <c r="N18969" i="1"/>
  <c r="A18970" i="1"/>
  <c r="C18970" i="1"/>
  <c r="N18970" i="1"/>
  <c r="A18971" i="1"/>
  <c r="C18971" i="1"/>
  <c r="N18971" i="1"/>
  <c r="A18972" i="1"/>
  <c r="C18972" i="1"/>
  <c r="N18972" i="1"/>
  <c r="A18973" i="1"/>
  <c r="C18973" i="1"/>
  <c r="N18973" i="1"/>
  <c r="A18974" i="1"/>
  <c r="C18974" i="1"/>
  <c r="N18974" i="1"/>
  <c r="A18975" i="1"/>
  <c r="C18975" i="1"/>
  <c r="K18975" i="1"/>
  <c r="N18975" i="1"/>
  <c r="A18976" i="1"/>
  <c r="C18976" i="1"/>
  <c r="K18976" i="1"/>
  <c r="N18976" i="1"/>
  <c r="A18977" i="1"/>
  <c r="C18977" i="1"/>
  <c r="N18977" i="1"/>
  <c r="A18978" i="1"/>
  <c r="C18978" i="1"/>
  <c r="N18978" i="1"/>
  <c r="A18979" i="1"/>
  <c r="C18979" i="1"/>
  <c r="K18979" i="1"/>
  <c r="N18979" i="1"/>
  <c r="A18980" i="1"/>
  <c r="C18980" i="1"/>
  <c r="K18980" i="1"/>
  <c r="N18980" i="1"/>
  <c r="A18981" i="1"/>
  <c r="C18981" i="1"/>
  <c r="N18981" i="1"/>
  <c r="A18982" i="1"/>
  <c r="C18982" i="1"/>
  <c r="N18982" i="1"/>
  <c r="A18983" i="1"/>
  <c r="C18983" i="1"/>
  <c r="N18983" i="1"/>
  <c r="A18984" i="1"/>
  <c r="C18984" i="1"/>
  <c r="N18984" i="1"/>
  <c r="A18985" i="1"/>
  <c r="C18985" i="1"/>
  <c r="N18985" i="1"/>
  <c r="A18986" i="1"/>
  <c r="C18986" i="1"/>
  <c r="N18986" i="1"/>
  <c r="A18987" i="1"/>
  <c r="C18987" i="1"/>
  <c r="N18987" i="1"/>
  <c r="A18988" i="1"/>
  <c r="C18988" i="1"/>
  <c r="N18988" i="1"/>
  <c r="A18989" i="1"/>
  <c r="C18989" i="1"/>
  <c r="N18989" i="1"/>
  <c r="A18990" i="1"/>
  <c r="C18990" i="1"/>
  <c r="N18990" i="1"/>
  <c r="A18991" i="1"/>
  <c r="C18991" i="1"/>
  <c r="N18991" i="1"/>
  <c r="A18992" i="1"/>
  <c r="C18992" i="1"/>
  <c r="N18992" i="1"/>
  <c r="A18993" i="1"/>
  <c r="C18993" i="1"/>
  <c r="N18993" i="1"/>
  <c r="A18994" i="1"/>
  <c r="C18994" i="1"/>
  <c r="N18994" i="1"/>
  <c r="A18995" i="1"/>
  <c r="C18995" i="1"/>
  <c r="N18995" i="1"/>
  <c r="A18996" i="1"/>
  <c r="C18996" i="1"/>
  <c r="N18996" i="1"/>
  <c r="A18997" i="1"/>
  <c r="C18997" i="1"/>
  <c r="N18997" i="1"/>
  <c r="A18998" i="1"/>
  <c r="C18998" i="1"/>
  <c r="N18998" i="1"/>
  <c r="A18999" i="1"/>
  <c r="C18999" i="1"/>
  <c r="N18999" i="1"/>
  <c r="A19000" i="1"/>
  <c r="C19000" i="1"/>
  <c r="N19000" i="1"/>
  <c r="A19001" i="1"/>
  <c r="C19001" i="1"/>
  <c r="K19001" i="1"/>
  <c r="N19001" i="1"/>
  <c r="A19002" i="1"/>
  <c r="C19002" i="1"/>
  <c r="N19002" i="1"/>
  <c r="A19003" i="1"/>
  <c r="C19003" i="1"/>
  <c r="N19003" i="1"/>
  <c r="A19004" i="1"/>
  <c r="C19004" i="1"/>
  <c r="N19004" i="1"/>
  <c r="A19005" i="1"/>
  <c r="C19005" i="1"/>
  <c r="N19005" i="1"/>
  <c r="A19006" i="1"/>
  <c r="C19006" i="1"/>
  <c r="K19006" i="1"/>
  <c r="N19006" i="1"/>
  <c r="A19007" i="1"/>
  <c r="C19007" i="1"/>
  <c r="N19007" i="1"/>
  <c r="A19008" i="1"/>
  <c r="C19008" i="1"/>
  <c r="N19008" i="1"/>
  <c r="A19009" i="1"/>
  <c r="C19009" i="1"/>
  <c r="E19009" i="1"/>
  <c r="N19009" i="1"/>
  <c r="T19009" i="1"/>
  <c r="A19010" i="1"/>
  <c r="C19010" i="1"/>
  <c r="N19010" i="1"/>
  <c r="A19011" i="1"/>
  <c r="C19011" i="1"/>
  <c r="N19011" i="1"/>
  <c r="A19012" i="1"/>
  <c r="C19012" i="1"/>
  <c r="N19012" i="1"/>
  <c r="A19013" i="1"/>
  <c r="C19013" i="1"/>
  <c r="N19013" i="1"/>
  <c r="A19014" i="1"/>
  <c r="C19014" i="1"/>
  <c r="N19014" i="1"/>
  <c r="A19015" i="1"/>
  <c r="C19015" i="1"/>
  <c r="N19015" i="1"/>
  <c r="A19016" i="1"/>
  <c r="C19016" i="1"/>
  <c r="N19016" i="1"/>
  <c r="A19017" i="1"/>
  <c r="C19017" i="1"/>
  <c r="N19017" i="1"/>
  <c r="A19018" i="1"/>
  <c r="C19018" i="1"/>
  <c r="N19018" i="1"/>
  <c r="A19019" i="1"/>
  <c r="C19019" i="1"/>
  <c r="N19019" i="1"/>
  <c r="A19020" i="1"/>
  <c r="C19020" i="1"/>
  <c r="N19020" i="1"/>
  <c r="A19021" i="1"/>
  <c r="C19021" i="1"/>
  <c r="N19021" i="1"/>
  <c r="A19022" i="1"/>
  <c r="C19022" i="1"/>
  <c r="N19022" i="1"/>
  <c r="A19023" i="1"/>
  <c r="C19023" i="1"/>
  <c r="N19023" i="1"/>
  <c r="A19024" i="1"/>
  <c r="C19024" i="1"/>
  <c r="E19024" i="1"/>
  <c r="N19024" i="1"/>
  <c r="T19024" i="1"/>
  <c r="A19025" i="1"/>
  <c r="C19025" i="1"/>
  <c r="N19025" i="1"/>
  <c r="A19026" i="1"/>
  <c r="C19026" i="1"/>
  <c r="N19026" i="1"/>
  <c r="A19027" i="1"/>
  <c r="C19027" i="1"/>
  <c r="K19027" i="1"/>
  <c r="N19027" i="1"/>
  <c r="A19028" i="1"/>
  <c r="C19028" i="1"/>
  <c r="N19028" i="1"/>
  <c r="A19029" i="1"/>
  <c r="C19029" i="1"/>
  <c r="N19029" i="1"/>
  <c r="A19030" i="1"/>
  <c r="C19030" i="1"/>
  <c r="N19030" i="1"/>
  <c r="A19031" i="1"/>
  <c r="C19031" i="1"/>
  <c r="K19031" i="1"/>
  <c r="N19031" i="1"/>
  <c r="A19032" i="1"/>
  <c r="C19032" i="1"/>
  <c r="N19032" i="1"/>
  <c r="A19033" i="1"/>
  <c r="C19033" i="1"/>
  <c r="N19033" i="1"/>
  <c r="A19034" i="1"/>
  <c r="C19034" i="1"/>
  <c r="N19034" i="1"/>
  <c r="A19035" i="1"/>
  <c r="C19035" i="1"/>
  <c r="E19035" i="1"/>
  <c r="N19035" i="1"/>
  <c r="T19035" i="1"/>
  <c r="A19036" i="1"/>
  <c r="C19036" i="1"/>
  <c r="E19036" i="1"/>
  <c r="N19036" i="1"/>
  <c r="T19036" i="1"/>
  <c r="A19037" i="1"/>
  <c r="C19037" i="1"/>
  <c r="N19037" i="1"/>
  <c r="A19038" i="1"/>
  <c r="C19038" i="1"/>
  <c r="N19038" i="1"/>
  <c r="A19039" i="1"/>
  <c r="C19039" i="1"/>
  <c r="N19039" i="1"/>
  <c r="A19040" i="1"/>
  <c r="C19040" i="1"/>
  <c r="N19040" i="1"/>
  <c r="A19041" i="1"/>
  <c r="C19041" i="1"/>
  <c r="K19041" i="1"/>
  <c r="N19041" i="1"/>
  <c r="A19042" i="1"/>
  <c r="C19042" i="1"/>
  <c r="N19042" i="1"/>
  <c r="A19043" i="1"/>
  <c r="C19043" i="1"/>
  <c r="K19043" i="1"/>
  <c r="N19043" i="1"/>
  <c r="A19044" i="1"/>
  <c r="C19044" i="1"/>
  <c r="N19044" i="1"/>
  <c r="A19045" i="1"/>
  <c r="C19045" i="1"/>
  <c r="N19045" i="1"/>
  <c r="A19046" i="1"/>
  <c r="C19046" i="1"/>
  <c r="N19046" i="1"/>
  <c r="A19047" i="1"/>
  <c r="C19047" i="1"/>
  <c r="N19047" i="1"/>
  <c r="A19048" i="1"/>
  <c r="C19048" i="1"/>
  <c r="N19048" i="1"/>
  <c r="A19049" i="1"/>
  <c r="C19049" i="1"/>
  <c r="N19049" i="1"/>
  <c r="A19050" i="1"/>
  <c r="C19050" i="1"/>
  <c r="N19050" i="1"/>
  <c r="A19051" i="1"/>
  <c r="C19051" i="1"/>
  <c r="N19051" i="1"/>
  <c r="A19052" i="1"/>
  <c r="C19052" i="1"/>
  <c r="N19052" i="1"/>
  <c r="A19053" i="1"/>
  <c r="C19053" i="1"/>
  <c r="N19053" i="1"/>
  <c r="A19054" i="1"/>
  <c r="C19054" i="1"/>
  <c r="N19054" i="1"/>
  <c r="A19055" i="1"/>
  <c r="C19055" i="1"/>
  <c r="E19055" i="1"/>
  <c r="N19055" i="1"/>
  <c r="T19055" i="1"/>
  <c r="A19056" i="1"/>
  <c r="C19056" i="1"/>
  <c r="N19056" i="1"/>
  <c r="A19057" i="1"/>
  <c r="C19057" i="1"/>
  <c r="N19057" i="1"/>
  <c r="A19058" i="1"/>
  <c r="C19058" i="1"/>
  <c r="N19058" i="1"/>
  <c r="A19059" i="1"/>
  <c r="C19059" i="1"/>
  <c r="N19059" i="1"/>
  <c r="A19060" i="1"/>
  <c r="C19060" i="1"/>
  <c r="N19060" i="1"/>
  <c r="A19061" i="1"/>
  <c r="C19061" i="1"/>
  <c r="N19061" i="1"/>
  <c r="A19062" i="1"/>
  <c r="C19062" i="1"/>
  <c r="N19062" i="1"/>
  <c r="A19063" i="1"/>
  <c r="C19063" i="1"/>
  <c r="N19063" i="1"/>
  <c r="A19064" i="1"/>
  <c r="C19064" i="1"/>
  <c r="N19064" i="1"/>
  <c r="A19065" i="1"/>
  <c r="C19065" i="1"/>
  <c r="N19065" i="1"/>
  <c r="A19066" i="1"/>
  <c r="C19066" i="1"/>
  <c r="N19066" i="1"/>
  <c r="A19067" i="1"/>
  <c r="C19067" i="1"/>
  <c r="N19067" i="1"/>
  <c r="A19068" i="1"/>
  <c r="C19068" i="1"/>
  <c r="K19068" i="1"/>
  <c r="N19068" i="1"/>
  <c r="A19069" i="1"/>
  <c r="C19069" i="1"/>
  <c r="N19069" i="1"/>
  <c r="A19070" i="1"/>
  <c r="C19070" i="1"/>
  <c r="N19070" i="1"/>
  <c r="A19071" i="1"/>
  <c r="C19071" i="1"/>
  <c r="N19071" i="1"/>
  <c r="A19072" i="1"/>
  <c r="C19072" i="1"/>
  <c r="N19072" i="1"/>
  <c r="A19073" i="1"/>
  <c r="C19073" i="1"/>
  <c r="K19073" i="1"/>
  <c r="N19073" i="1"/>
  <c r="A19074" i="1"/>
  <c r="C19074" i="1"/>
  <c r="N19074" i="1"/>
  <c r="A19075" i="1"/>
  <c r="C19075" i="1"/>
  <c r="N19075" i="1"/>
  <c r="A19076" i="1"/>
  <c r="C19076" i="1"/>
  <c r="N19076" i="1"/>
  <c r="A19077" i="1"/>
  <c r="C19077" i="1"/>
  <c r="N19077" i="1"/>
  <c r="A19078" i="1"/>
  <c r="C19078" i="1"/>
  <c r="N19078" i="1"/>
  <c r="A19079" i="1"/>
  <c r="C19079" i="1"/>
  <c r="N19079" i="1"/>
  <c r="A19080" i="1"/>
  <c r="C19080" i="1"/>
  <c r="N19080" i="1"/>
  <c r="A19081" i="1"/>
  <c r="C19081" i="1"/>
  <c r="N19081" i="1"/>
  <c r="A19082" i="1"/>
  <c r="C19082" i="1"/>
  <c r="N19082" i="1"/>
  <c r="A19083" i="1"/>
  <c r="C19083" i="1"/>
  <c r="N19083" i="1"/>
  <c r="A19084" i="1"/>
  <c r="C19084" i="1"/>
  <c r="K19084" i="1"/>
  <c r="N19084" i="1"/>
  <c r="A19085" i="1"/>
  <c r="C19085" i="1"/>
  <c r="N19085" i="1"/>
  <c r="A19086" i="1"/>
  <c r="C19086" i="1"/>
  <c r="N19086" i="1"/>
  <c r="A19087" i="1"/>
  <c r="C19087" i="1"/>
  <c r="N19087" i="1"/>
  <c r="A19088" i="1"/>
  <c r="C19088" i="1"/>
  <c r="N19088" i="1"/>
  <c r="A19089" i="1"/>
  <c r="C19089" i="1"/>
  <c r="N19089" i="1"/>
  <c r="A19090" i="1"/>
  <c r="C19090" i="1"/>
  <c r="N19090" i="1"/>
  <c r="A19091" i="1"/>
  <c r="C19091" i="1"/>
  <c r="N19091" i="1"/>
  <c r="A19092" i="1"/>
  <c r="C19092" i="1"/>
  <c r="N19092" i="1"/>
  <c r="A19093" i="1"/>
  <c r="C19093" i="1"/>
  <c r="N19093" i="1"/>
  <c r="A19094" i="1"/>
  <c r="C19094" i="1"/>
  <c r="N19094" i="1"/>
  <c r="A19095" i="1"/>
  <c r="C19095" i="1"/>
  <c r="N19095" i="1"/>
  <c r="A19096" i="1"/>
  <c r="C19096" i="1"/>
  <c r="N19096" i="1"/>
  <c r="A19097" i="1"/>
  <c r="C19097" i="1"/>
  <c r="N19097" i="1"/>
  <c r="A19098" i="1"/>
  <c r="C19098" i="1"/>
  <c r="N19098" i="1"/>
  <c r="A19099" i="1"/>
  <c r="C19099" i="1"/>
  <c r="N19099" i="1"/>
  <c r="A19100" i="1"/>
  <c r="C19100" i="1"/>
  <c r="N19100" i="1"/>
  <c r="A19101" i="1"/>
  <c r="C19101" i="1"/>
  <c r="N19101" i="1"/>
  <c r="A19102" i="1"/>
  <c r="C19102" i="1"/>
  <c r="N19102" i="1"/>
  <c r="A19103" i="1"/>
  <c r="C19103" i="1"/>
  <c r="N19103" i="1"/>
  <c r="A19104" i="1"/>
  <c r="C19104" i="1"/>
  <c r="N19104" i="1"/>
  <c r="A19105" i="1"/>
  <c r="C19105" i="1"/>
  <c r="K19105" i="1"/>
  <c r="N19105" i="1"/>
  <c r="A19106" i="1"/>
  <c r="C19106" i="1"/>
  <c r="N19106" i="1"/>
  <c r="A19107" i="1"/>
  <c r="C19107" i="1"/>
  <c r="N19107" i="1"/>
  <c r="A19108" i="1"/>
  <c r="C19108" i="1"/>
  <c r="N19108" i="1"/>
  <c r="A19109" i="1"/>
  <c r="C19109" i="1"/>
  <c r="N19109" i="1"/>
  <c r="A19110" i="1"/>
  <c r="C19110" i="1"/>
  <c r="N19110" i="1"/>
  <c r="A19111" i="1"/>
  <c r="C19111" i="1"/>
  <c r="K19111" i="1"/>
  <c r="N19111" i="1"/>
  <c r="A19112" i="1"/>
  <c r="C19112" i="1"/>
  <c r="K19112" i="1"/>
  <c r="N19112" i="1"/>
  <c r="A19113" i="1"/>
  <c r="C19113" i="1"/>
  <c r="N19113" i="1"/>
  <c r="A19114" i="1"/>
  <c r="C19114" i="1"/>
  <c r="N19114" i="1"/>
  <c r="A19115" i="1"/>
  <c r="C19115" i="1"/>
  <c r="N19115" i="1"/>
  <c r="A19116" i="1"/>
  <c r="C19116" i="1"/>
  <c r="N19116" i="1"/>
  <c r="A19117" i="1"/>
  <c r="C19117" i="1"/>
  <c r="N19117" i="1"/>
  <c r="A19118" i="1"/>
  <c r="C19118" i="1"/>
  <c r="N19118" i="1"/>
  <c r="A19119" i="1"/>
  <c r="C19119" i="1"/>
  <c r="N19119" i="1"/>
  <c r="A19120" i="1"/>
  <c r="C19120" i="1"/>
  <c r="N19120" i="1"/>
  <c r="A19121" i="1"/>
  <c r="C19121" i="1"/>
  <c r="K19121" i="1"/>
  <c r="N19121" i="1"/>
  <c r="A19122" i="1"/>
  <c r="C19122" i="1"/>
  <c r="N19122" i="1"/>
  <c r="A19123" i="1"/>
  <c r="C19123" i="1"/>
  <c r="N19123" i="1"/>
  <c r="A19124" i="1"/>
  <c r="C19124" i="1"/>
  <c r="N19124" i="1"/>
  <c r="A19125" i="1"/>
  <c r="C19125" i="1"/>
  <c r="N19125" i="1"/>
  <c r="A19126" i="1"/>
  <c r="C19126" i="1"/>
  <c r="N19126" i="1"/>
  <c r="A19127" i="1"/>
  <c r="C19127" i="1"/>
  <c r="N19127" i="1"/>
  <c r="A19128" i="1"/>
  <c r="C19128" i="1"/>
  <c r="N19128" i="1"/>
  <c r="A19129" i="1"/>
  <c r="C19129" i="1"/>
  <c r="N19129" i="1"/>
  <c r="A19130" i="1"/>
  <c r="C19130" i="1"/>
  <c r="N19130" i="1"/>
  <c r="A19131" i="1"/>
  <c r="C19131" i="1"/>
  <c r="N19131" i="1"/>
  <c r="A19132" i="1"/>
  <c r="C19132" i="1"/>
  <c r="N19132" i="1"/>
  <c r="A19133" i="1"/>
  <c r="C19133" i="1"/>
  <c r="N19133" i="1"/>
  <c r="A19134" i="1"/>
  <c r="C19134" i="1"/>
  <c r="N19134" i="1"/>
  <c r="A19135" i="1"/>
  <c r="C19135" i="1"/>
  <c r="N19135" i="1"/>
  <c r="A19136" i="1"/>
  <c r="C19136" i="1"/>
  <c r="N19136" i="1"/>
  <c r="A19137" i="1"/>
  <c r="C19137" i="1"/>
  <c r="N19137" i="1"/>
  <c r="A19138" i="1"/>
  <c r="C19138" i="1"/>
  <c r="N19138" i="1"/>
  <c r="A19139" i="1"/>
  <c r="C19139" i="1"/>
  <c r="N19139" i="1"/>
  <c r="A19140" i="1"/>
  <c r="C19140" i="1"/>
  <c r="N19140" i="1"/>
  <c r="A19141" i="1"/>
  <c r="C19141" i="1"/>
  <c r="N19141" i="1"/>
  <c r="A19142" i="1"/>
  <c r="C19142" i="1"/>
  <c r="N19142" i="1"/>
  <c r="A19143" i="1"/>
  <c r="C19143" i="1"/>
  <c r="N19143" i="1"/>
  <c r="A19144" i="1"/>
  <c r="C19144" i="1"/>
  <c r="N19144" i="1"/>
  <c r="A19145" i="1"/>
  <c r="C19145" i="1"/>
  <c r="K19145" i="1"/>
  <c r="N19145" i="1"/>
  <c r="A19146" i="1"/>
  <c r="C19146" i="1"/>
  <c r="N19146" i="1"/>
  <c r="A19147" i="1"/>
  <c r="C19147" i="1"/>
  <c r="N19147" i="1"/>
  <c r="A19148" i="1"/>
  <c r="C19148" i="1"/>
  <c r="D19148" i="1"/>
  <c r="K19148" i="1"/>
  <c r="N19148" i="1"/>
  <c r="O19148" i="1"/>
  <c r="A19149" i="1"/>
  <c r="C19149" i="1"/>
  <c r="N19149" i="1"/>
  <c r="A19150" i="1"/>
  <c r="C19150" i="1"/>
  <c r="N19150" i="1"/>
  <c r="A19151" i="1"/>
  <c r="C19151" i="1"/>
  <c r="N19151" i="1"/>
  <c r="A19152" i="1"/>
  <c r="C19152" i="1"/>
  <c r="N19152" i="1"/>
  <c r="A19153" i="1"/>
  <c r="C19153" i="1"/>
  <c r="N19153" i="1"/>
  <c r="A19154" i="1"/>
  <c r="C19154" i="1"/>
  <c r="N19154" i="1"/>
  <c r="A19155" i="1"/>
  <c r="C19155" i="1"/>
  <c r="N19155" i="1"/>
  <c r="A19156" i="1"/>
  <c r="C19156" i="1"/>
  <c r="F19156" i="1"/>
  <c r="N19156" i="1"/>
  <c r="A19157" i="1"/>
  <c r="C19157" i="1"/>
  <c r="K19157" i="1"/>
  <c r="N19157" i="1"/>
  <c r="A19158" i="1"/>
  <c r="C19158" i="1"/>
  <c r="K19158" i="1"/>
  <c r="N19158" i="1"/>
  <c r="A19159" i="1"/>
  <c r="C19159" i="1"/>
  <c r="N19159" i="1"/>
  <c r="A19160" i="1"/>
  <c r="C19160" i="1"/>
  <c r="N19160" i="1"/>
  <c r="A19161" i="1"/>
  <c r="C19161" i="1"/>
  <c r="N19161" i="1"/>
  <c r="A19162" i="1"/>
  <c r="C19162" i="1"/>
  <c r="N19162" i="1"/>
  <c r="A19163" i="1"/>
  <c r="C19163" i="1"/>
  <c r="N19163" i="1"/>
  <c r="A19164" i="1"/>
  <c r="C19164" i="1"/>
  <c r="N19164" i="1"/>
  <c r="A19165" i="1"/>
  <c r="C19165" i="1"/>
  <c r="N19165" i="1"/>
  <c r="A19166" i="1"/>
  <c r="C19166" i="1"/>
  <c r="N19166" i="1"/>
  <c r="A19167" i="1"/>
  <c r="C19167" i="1"/>
  <c r="N19167" i="1"/>
  <c r="A19168" i="1"/>
  <c r="C19168" i="1"/>
  <c r="N19168" i="1"/>
  <c r="A19169" i="1"/>
  <c r="C19169" i="1"/>
  <c r="K19169" i="1"/>
  <c r="N19169" i="1"/>
  <c r="A19170" i="1"/>
  <c r="C19170" i="1"/>
  <c r="N19170" i="1"/>
  <c r="A19171" i="1"/>
  <c r="C19171" i="1"/>
  <c r="N19171" i="1"/>
  <c r="A19172" i="1"/>
  <c r="C19172" i="1"/>
  <c r="N19172" i="1"/>
  <c r="A19173" i="1"/>
  <c r="C19173" i="1"/>
  <c r="N19173" i="1"/>
  <c r="A19174" i="1"/>
  <c r="C19174" i="1"/>
  <c r="N19174" i="1"/>
  <c r="A19175" i="1"/>
  <c r="C19175" i="1"/>
  <c r="N19175" i="1"/>
  <c r="A19176" i="1"/>
  <c r="C19176" i="1"/>
  <c r="D19176" i="1"/>
  <c r="N19176" i="1"/>
  <c r="O19176" i="1"/>
  <c r="A19177" i="1"/>
  <c r="C19177" i="1"/>
  <c r="N19177" i="1"/>
  <c r="A19178" i="1"/>
  <c r="C19178" i="1"/>
  <c r="N19178" i="1"/>
  <c r="A19179" i="1"/>
  <c r="C19179" i="1"/>
  <c r="N19179" i="1"/>
  <c r="A19180" i="1"/>
  <c r="C19180" i="1"/>
  <c r="N19180" i="1"/>
  <c r="A19181" i="1"/>
  <c r="C19181" i="1"/>
  <c r="N19181" i="1"/>
  <c r="A19182" i="1"/>
  <c r="C19182" i="1"/>
  <c r="N19182" i="1"/>
  <c r="A19183" i="1"/>
  <c r="C19183" i="1"/>
  <c r="N19183" i="1"/>
  <c r="A19184" i="1"/>
  <c r="C19184" i="1"/>
  <c r="N19184" i="1"/>
  <c r="A19185" i="1"/>
  <c r="C19185" i="1"/>
  <c r="N19185" i="1"/>
  <c r="A19186" i="1"/>
  <c r="C19186" i="1"/>
  <c r="N19186" i="1"/>
  <c r="A19187" i="1"/>
  <c r="C19187" i="1"/>
  <c r="K19187" i="1"/>
  <c r="N19187" i="1"/>
  <c r="A19188" i="1"/>
  <c r="C19188" i="1"/>
  <c r="N19188" i="1"/>
  <c r="A19189" i="1"/>
  <c r="C19189" i="1"/>
  <c r="N19189" i="1"/>
  <c r="A19190" i="1"/>
  <c r="C19190" i="1"/>
  <c r="N19190" i="1"/>
  <c r="A19191" i="1"/>
  <c r="C19191" i="1"/>
  <c r="N19191" i="1"/>
  <c r="A19192" i="1"/>
  <c r="C19192" i="1"/>
  <c r="N19192" i="1"/>
  <c r="A19193" i="1"/>
  <c r="C19193" i="1"/>
  <c r="N19193" i="1"/>
  <c r="A19194" i="1"/>
  <c r="C19194" i="1"/>
  <c r="N19194" i="1"/>
  <c r="A19195" i="1"/>
  <c r="C19195" i="1"/>
  <c r="N19195" i="1"/>
  <c r="A19196" i="1"/>
  <c r="C19196" i="1"/>
  <c r="K19196" i="1"/>
  <c r="N19196" i="1"/>
  <c r="A19197" i="1"/>
  <c r="C19197" i="1"/>
  <c r="N19197" i="1"/>
  <c r="A19198" i="1"/>
  <c r="C19198" i="1"/>
  <c r="N19198" i="1"/>
  <c r="A19199" i="1"/>
  <c r="C19199" i="1"/>
  <c r="N19199" i="1"/>
  <c r="A19200" i="1"/>
  <c r="C19200" i="1"/>
  <c r="N19200" i="1"/>
  <c r="A19201" i="1"/>
  <c r="C19201" i="1"/>
  <c r="N19201" i="1"/>
  <c r="A19202" i="1"/>
  <c r="C19202" i="1"/>
  <c r="N19202" i="1"/>
  <c r="A19203" i="1"/>
  <c r="C19203" i="1"/>
  <c r="N19203" i="1"/>
  <c r="A19204" i="1"/>
  <c r="C19204" i="1"/>
  <c r="N19204" i="1"/>
  <c r="A19205" i="1"/>
  <c r="C19205" i="1"/>
  <c r="N19205" i="1"/>
  <c r="A19206" i="1"/>
  <c r="C19206" i="1"/>
  <c r="N19206" i="1"/>
  <c r="A19207" i="1"/>
  <c r="C19207" i="1"/>
  <c r="N19207" i="1"/>
  <c r="A19208" i="1"/>
  <c r="C19208" i="1"/>
  <c r="N19208" i="1"/>
  <c r="A19209" i="1"/>
  <c r="C19209" i="1"/>
  <c r="N19209" i="1"/>
  <c r="A19210" i="1"/>
  <c r="C19210" i="1"/>
  <c r="N19210" i="1"/>
  <c r="A19211" i="1"/>
  <c r="C19211" i="1"/>
  <c r="N19211" i="1"/>
  <c r="A19212" i="1"/>
  <c r="C19212" i="1"/>
  <c r="N19212" i="1"/>
  <c r="A19213" i="1"/>
  <c r="C19213" i="1"/>
  <c r="N19213" i="1"/>
  <c r="A19214" i="1"/>
  <c r="C19214" i="1"/>
  <c r="N19214" i="1"/>
  <c r="A19215" i="1"/>
  <c r="C19215" i="1"/>
  <c r="N19215" i="1"/>
  <c r="A19216" i="1"/>
  <c r="C19216" i="1"/>
  <c r="N19216" i="1"/>
  <c r="A19217" i="1"/>
  <c r="C19217" i="1"/>
  <c r="N19217" i="1"/>
  <c r="A19218" i="1"/>
  <c r="C19218" i="1"/>
  <c r="N19218" i="1"/>
  <c r="A19219" i="1"/>
  <c r="C19219" i="1"/>
  <c r="N19219" i="1"/>
  <c r="A19220" i="1"/>
  <c r="C19220" i="1"/>
  <c r="N19220" i="1"/>
  <c r="A19221" i="1"/>
  <c r="C19221" i="1"/>
  <c r="N19221" i="1"/>
  <c r="A19222" i="1"/>
  <c r="C19222" i="1"/>
  <c r="N19222" i="1"/>
  <c r="A19223" i="1"/>
  <c r="C19223" i="1"/>
  <c r="N19223" i="1"/>
  <c r="A19224" i="1"/>
  <c r="C19224" i="1"/>
  <c r="N19224" i="1"/>
  <c r="A19225" i="1"/>
  <c r="C19225" i="1"/>
  <c r="N19225" i="1"/>
  <c r="A19226" i="1"/>
  <c r="C19226" i="1"/>
  <c r="D19226" i="1"/>
  <c r="E19226" i="1"/>
  <c r="N19226" i="1"/>
  <c r="O19226" i="1"/>
  <c r="T19226" i="1"/>
  <c r="A19227" i="1"/>
  <c r="C19227" i="1"/>
  <c r="N19227" i="1"/>
  <c r="A19228" i="1"/>
  <c r="C19228" i="1"/>
  <c r="N19228" i="1"/>
  <c r="A19229" i="1"/>
  <c r="C19229" i="1"/>
  <c r="N19229" i="1"/>
  <c r="A19230" i="1"/>
  <c r="C19230" i="1"/>
  <c r="N19230" i="1"/>
  <c r="A19231" i="1"/>
  <c r="C19231" i="1"/>
  <c r="N19231" i="1"/>
  <c r="A19232" i="1"/>
  <c r="C19232" i="1"/>
  <c r="N19232" i="1"/>
  <c r="A19233" i="1"/>
  <c r="C19233" i="1"/>
  <c r="K19233" i="1"/>
  <c r="N19233" i="1"/>
  <c r="A19234" i="1"/>
  <c r="C19234" i="1"/>
  <c r="N19234" i="1"/>
  <c r="A19235" i="1"/>
  <c r="C19235" i="1"/>
  <c r="N19235" i="1"/>
  <c r="A19236" i="1"/>
  <c r="C19236" i="1"/>
  <c r="N19236" i="1"/>
  <c r="A19237" i="1"/>
  <c r="C19237" i="1"/>
  <c r="K19237" i="1"/>
  <c r="N19237" i="1"/>
  <c r="A19238" i="1"/>
  <c r="C19238" i="1"/>
  <c r="N19238" i="1"/>
  <c r="A19239" i="1"/>
  <c r="C19239" i="1"/>
  <c r="N19239" i="1"/>
  <c r="A19240" i="1"/>
  <c r="C19240" i="1"/>
  <c r="N19240" i="1"/>
  <c r="A19241" i="1"/>
  <c r="C19241" i="1"/>
  <c r="N19241" i="1"/>
  <c r="A19242" i="1"/>
  <c r="C19242" i="1"/>
  <c r="N19242" i="1"/>
  <c r="A19243" i="1"/>
  <c r="C19243" i="1"/>
  <c r="N19243" i="1"/>
  <c r="A19244" i="1"/>
  <c r="C19244" i="1"/>
  <c r="N19244" i="1"/>
  <c r="A19245" i="1"/>
  <c r="C19245" i="1"/>
  <c r="N19245" i="1"/>
  <c r="A19246" i="1"/>
  <c r="C19246" i="1"/>
  <c r="K19246" i="1"/>
  <c r="N19246" i="1"/>
  <c r="A19247" i="1"/>
  <c r="C19247" i="1"/>
  <c r="N19247" i="1"/>
  <c r="A19248" i="1"/>
  <c r="C19248" i="1"/>
  <c r="N19248" i="1"/>
  <c r="A19249" i="1"/>
  <c r="C19249" i="1"/>
  <c r="N19249" i="1"/>
  <c r="A19250" i="1"/>
  <c r="C19250" i="1"/>
  <c r="K19250" i="1"/>
  <c r="N19250" i="1"/>
  <c r="A19251" i="1"/>
  <c r="C19251" i="1"/>
  <c r="N19251" i="1"/>
  <c r="A19252" i="1"/>
  <c r="C19252" i="1"/>
  <c r="N19252" i="1"/>
  <c r="A19253" i="1"/>
  <c r="C19253" i="1"/>
  <c r="N19253" i="1"/>
  <c r="A19254" i="1"/>
  <c r="C19254" i="1"/>
  <c r="N19254" i="1"/>
  <c r="A19255" i="1"/>
  <c r="C19255" i="1"/>
  <c r="E19255" i="1"/>
  <c r="N19255" i="1"/>
  <c r="T19255" i="1"/>
  <c r="A19256" i="1"/>
  <c r="C19256" i="1"/>
  <c r="N19256" i="1"/>
  <c r="A19257" i="1"/>
  <c r="C19257" i="1"/>
  <c r="N19257" i="1"/>
  <c r="A19258" i="1"/>
  <c r="C19258" i="1"/>
  <c r="N19258" i="1"/>
  <c r="A19259" i="1"/>
  <c r="C19259" i="1"/>
  <c r="N19259" i="1"/>
  <c r="A19260" i="1"/>
  <c r="C19260" i="1"/>
  <c r="N19260" i="1"/>
  <c r="A19261" i="1"/>
  <c r="C19261" i="1"/>
  <c r="N19261" i="1"/>
  <c r="A19262" i="1"/>
  <c r="C19262" i="1"/>
  <c r="N19262" i="1"/>
  <c r="A19263" i="1"/>
  <c r="C19263" i="1"/>
  <c r="N19263" i="1"/>
  <c r="A19264" i="1"/>
  <c r="C19264" i="1"/>
  <c r="K19264" i="1"/>
  <c r="N19264" i="1"/>
  <c r="A19265" i="1"/>
  <c r="C19265" i="1"/>
  <c r="N19265" i="1"/>
  <c r="A19266" i="1"/>
  <c r="C19266" i="1"/>
  <c r="N19266" i="1"/>
  <c r="A19267" i="1"/>
  <c r="C19267" i="1"/>
  <c r="N19267" i="1"/>
  <c r="A19268" i="1"/>
  <c r="C19268" i="1"/>
  <c r="N19268" i="1"/>
  <c r="A19269" i="1"/>
  <c r="C19269" i="1"/>
  <c r="N19269" i="1"/>
  <c r="A19270" i="1"/>
  <c r="C19270" i="1"/>
  <c r="N19270" i="1"/>
  <c r="A19271" i="1"/>
  <c r="C19271" i="1"/>
  <c r="N19271" i="1"/>
  <c r="A19272" i="1"/>
  <c r="C19272" i="1"/>
  <c r="N19272" i="1"/>
  <c r="A19273" i="1"/>
  <c r="C19273" i="1"/>
  <c r="N19273" i="1"/>
  <c r="A19274" i="1"/>
  <c r="C19274" i="1"/>
  <c r="N19274" i="1"/>
  <c r="A19275" i="1"/>
  <c r="C19275" i="1"/>
  <c r="N19275" i="1"/>
  <c r="A19276" i="1"/>
  <c r="C19276" i="1"/>
  <c r="K19276" i="1"/>
  <c r="N19276" i="1"/>
  <c r="A19277" i="1"/>
  <c r="C19277" i="1"/>
  <c r="N19277" i="1"/>
  <c r="A19278" i="1"/>
  <c r="C19278" i="1"/>
  <c r="N19278" i="1"/>
  <c r="A19279" i="1"/>
  <c r="C19279" i="1"/>
  <c r="N19279" i="1"/>
  <c r="A19280" i="1"/>
  <c r="C19280" i="1"/>
  <c r="N19280" i="1"/>
  <c r="A19281" i="1"/>
  <c r="C19281" i="1"/>
  <c r="N19281" i="1"/>
  <c r="A19282" i="1"/>
  <c r="C19282" i="1"/>
  <c r="N19282" i="1"/>
  <c r="A19283" i="1"/>
  <c r="C19283" i="1"/>
  <c r="N19283" i="1"/>
  <c r="A19284" i="1"/>
  <c r="C19284" i="1"/>
  <c r="N19284" i="1"/>
  <c r="A19285" i="1"/>
  <c r="C19285" i="1"/>
  <c r="N19285" i="1"/>
  <c r="A19286" i="1"/>
  <c r="C19286" i="1"/>
  <c r="N19286" i="1"/>
  <c r="A19287" i="1"/>
  <c r="C19287" i="1"/>
  <c r="N19287" i="1"/>
  <c r="A19288" i="1"/>
  <c r="C19288" i="1"/>
  <c r="K19288" i="1"/>
  <c r="N19288" i="1"/>
  <c r="A19289" i="1"/>
  <c r="C19289" i="1"/>
  <c r="N19289" i="1"/>
  <c r="A19290" i="1"/>
  <c r="C19290" i="1"/>
  <c r="N19290" i="1"/>
  <c r="A19291" i="1"/>
  <c r="C19291" i="1"/>
  <c r="N19291" i="1"/>
  <c r="A19292" i="1"/>
  <c r="C19292" i="1"/>
  <c r="N19292" i="1"/>
  <c r="A19293" i="1"/>
  <c r="C19293" i="1"/>
  <c r="N19293" i="1"/>
  <c r="A19294" i="1"/>
  <c r="C19294" i="1"/>
  <c r="N19294" i="1"/>
  <c r="A19295" i="1"/>
  <c r="C19295" i="1"/>
  <c r="N19295" i="1"/>
  <c r="A19296" i="1"/>
  <c r="C19296" i="1"/>
  <c r="N19296" i="1"/>
  <c r="A19297" i="1"/>
  <c r="C19297" i="1"/>
  <c r="N19297" i="1"/>
  <c r="A19298" i="1"/>
  <c r="C19298" i="1"/>
  <c r="D19298" i="1"/>
  <c r="E19298" i="1"/>
  <c r="N19298" i="1"/>
  <c r="O19298" i="1"/>
  <c r="T19298" i="1"/>
  <c r="A19299" i="1"/>
  <c r="C19299" i="1"/>
  <c r="N19299" i="1"/>
  <c r="A19300" i="1"/>
  <c r="C19300" i="1"/>
  <c r="N19300" i="1"/>
  <c r="A19301" i="1"/>
  <c r="C19301" i="1"/>
  <c r="N19301" i="1"/>
  <c r="A19302" i="1"/>
  <c r="C19302" i="1"/>
  <c r="N19302" i="1"/>
  <c r="A19303" i="1"/>
  <c r="C19303" i="1"/>
  <c r="N19303" i="1"/>
  <c r="A19304" i="1"/>
  <c r="C19304" i="1"/>
  <c r="N19304" i="1"/>
  <c r="A19305" i="1"/>
  <c r="C19305" i="1"/>
  <c r="N19305" i="1"/>
  <c r="A19306" i="1"/>
  <c r="C19306" i="1"/>
  <c r="N19306" i="1"/>
  <c r="A19307" i="1"/>
  <c r="C19307" i="1"/>
  <c r="N19307" i="1"/>
  <c r="A19308" i="1"/>
  <c r="C19308" i="1"/>
  <c r="N19308" i="1"/>
  <c r="A19309" i="1"/>
  <c r="C19309" i="1"/>
  <c r="K19309" i="1"/>
  <c r="N19309" i="1"/>
  <c r="A19310" i="1"/>
  <c r="C19310" i="1"/>
  <c r="N19310" i="1"/>
  <c r="A19311" i="1"/>
  <c r="C19311" i="1"/>
  <c r="N19311" i="1"/>
  <c r="A19312" i="1"/>
  <c r="C19312" i="1"/>
  <c r="N19312" i="1"/>
  <c r="A19313" i="1"/>
  <c r="C19313" i="1"/>
  <c r="N19313" i="1"/>
  <c r="A19314" i="1"/>
  <c r="C19314" i="1"/>
  <c r="N19314" i="1"/>
  <c r="A19315" i="1"/>
  <c r="C19315" i="1"/>
  <c r="N19315" i="1"/>
  <c r="A19316" i="1"/>
  <c r="C19316" i="1"/>
  <c r="K19316" i="1"/>
  <c r="N19316" i="1"/>
  <c r="A19317" i="1"/>
  <c r="C19317" i="1"/>
  <c r="N19317" i="1"/>
  <c r="A19318" i="1"/>
  <c r="C19318" i="1"/>
  <c r="N19318" i="1"/>
  <c r="A19319" i="1"/>
  <c r="C19319" i="1"/>
  <c r="N19319" i="1"/>
  <c r="A19320" i="1"/>
  <c r="C19320" i="1"/>
  <c r="N19320" i="1"/>
  <c r="A19321" i="1"/>
  <c r="C19321" i="1"/>
  <c r="K19321" i="1"/>
  <c r="N19321" i="1"/>
  <c r="A19322" i="1"/>
  <c r="C19322" i="1"/>
  <c r="N19322" i="1"/>
  <c r="A19323" i="1"/>
  <c r="C19323" i="1"/>
  <c r="N19323" i="1"/>
  <c r="A19324" i="1"/>
  <c r="C19324" i="1"/>
  <c r="K19324" i="1"/>
  <c r="N19324" i="1"/>
  <c r="A19325" i="1"/>
  <c r="C19325" i="1"/>
  <c r="N19325" i="1"/>
  <c r="A19326" i="1"/>
  <c r="C19326" i="1"/>
  <c r="N19326" i="1"/>
  <c r="A19327" i="1"/>
  <c r="C19327" i="1"/>
  <c r="N19327" i="1"/>
  <c r="A19328" i="1"/>
  <c r="C19328" i="1"/>
  <c r="N19328" i="1"/>
  <c r="A19329" i="1"/>
  <c r="C19329" i="1"/>
  <c r="N19329" i="1"/>
  <c r="A19330" i="1"/>
  <c r="C19330" i="1"/>
  <c r="N19330" i="1"/>
  <c r="A19331" i="1"/>
  <c r="C19331" i="1"/>
  <c r="N19331" i="1"/>
  <c r="A19332" i="1"/>
  <c r="C19332" i="1"/>
  <c r="N19332" i="1"/>
  <c r="A19333" i="1"/>
  <c r="C19333" i="1"/>
  <c r="N19333" i="1"/>
  <c r="A19334" i="1"/>
  <c r="C19334" i="1"/>
  <c r="N19334" i="1"/>
  <c r="A19335" i="1"/>
  <c r="C19335" i="1"/>
  <c r="N19335" i="1"/>
  <c r="A19336" i="1"/>
  <c r="C19336" i="1"/>
  <c r="N19336" i="1"/>
  <c r="A19337" i="1"/>
  <c r="C19337" i="1"/>
  <c r="N19337" i="1"/>
  <c r="A19338" i="1"/>
  <c r="C19338" i="1"/>
  <c r="N19338" i="1"/>
  <c r="A19339" i="1"/>
  <c r="C19339" i="1"/>
  <c r="N19339" i="1"/>
  <c r="A19340" i="1"/>
  <c r="C19340" i="1"/>
  <c r="N19340" i="1"/>
  <c r="A19341" i="1"/>
  <c r="C19341" i="1"/>
  <c r="N19341" i="1"/>
  <c r="A19342" i="1"/>
  <c r="C19342" i="1"/>
  <c r="E19342" i="1"/>
  <c r="N19342" i="1"/>
  <c r="T19342" i="1"/>
  <c r="A19343" i="1"/>
  <c r="C19343" i="1"/>
  <c r="N19343" i="1"/>
  <c r="A19344" i="1"/>
  <c r="C19344" i="1"/>
  <c r="N19344" i="1"/>
  <c r="A19345" i="1"/>
  <c r="C19345" i="1"/>
  <c r="N19345" i="1"/>
  <c r="A19346" i="1"/>
  <c r="C19346" i="1"/>
  <c r="N19346" i="1"/>
  <c r="A19347" i="1"/>
  <c r="C19347" i="1"/>
  <c r="N19347" i="1"/>
  <c r="A19348" i="1"/>
  <c r="C19348" i="1"/>
  <c r="N19348" i="1"/>
  <c r="A19349" i="1"/>
  <c r="C19349" i="1"/>
  <c r="N19349" i="1"/>
  <c r="A19350" i="1"/>
  <c r="C19350" i="1"/>
  <c r="N19350" i="1"/>
  <c r="A19351" i="1"/>
  <c r="C19351" i="1"/>
  <c r="N19351" i="1"/>
  <c r="A19352" i="1"/>
  <c r="C19352" i="1"/>
  <c r="N19352" i="1"/>
  <c r="A19353" i="1"/>
  <c r="C19353" i="1"/>
  <c r="N19353" i="1"/>
  <c r="A19354" i="1"/>
  <c r="C19354" i="1"/>
  <c r="N19354" i="1"/>
  <c r="A19355" i="1"/>
  <c r="C19355" i="1"/>
  <c r="N19355" i="1"/>
  <c r="A19356" i="1"/>
  <c r="C19356" i="1"/>
  <c r="N19356" i="1"/>
  <c r="A19357" i="1"/>
  <c r="C19357" i="1"/>
  <c r="N19357" i="1"/>
  <c r="A19358" i="1"/>
  <c r="C19358" i="1"/>
  <c r="K19358" i="1"/>
  <c r="N19358" i="1"/>
  <c r="A19359" i="1"/>
  <c r="C19359" i="1"/>
  <c r="E19359" i="1"/>
  <c r="N19359" i="1"/>
  <c r="T19359" i="1"/>
  <c r="A19360" i="1"/>
  <c r="C19360" i="1"/>
  <c r="N19360" i="1"/>
  <c r="A19361" i="1"/>
  <c r="C19361" i="1"/>
  <c r="N19361" i="1"/>
  <c r="A19362" i="1"/>
  <c r="C19362" i="1"/>
  <c r="N19362" i="1"/>
  <c r="A19363" i="1"/>
  <c r="C19363" i="1"/>
  <c r="N19363" i="1"/>
  <c r="A19364" i="1"/>
  <c r="C19364" i="1"/>
  <c r="N19364" i="1"/>
  <c r="A19365" i="1"/>
  <c r="C19365" i="1"/>
  <c r="N19365" i="1"/>
  <c r="A19366" i="1"/>
  <c r="C19366" i="1"/>
  <c r="D19366" i="1"/>
  <c r="E19366" i="1"/>
  <c r="N19366" i="1"/>
  <c r="O19366" i="1"/>
  <c r="T19366" i="1"/>
  <c r="A19367" i="1"/>
  <c r="C19367" i="1"/>
  <c r="N19367" i="1"/>
  <c r="A19368" i="1"/>
  <c r="C19368" i="1"/>
  <c r="N19368" i="1"/>
  <c r="A19369" i="1"/>
  <c r="C19369" i="1"/>
  <c r="N19369" i="1"/>
  <c r="A19370" i="1"/>
  <c r="C19370" i="1"/>
  <c r="N19370" i="1"/>
  <c r="A19371" i="1"/>
  <c r="C19371" i="1"/>
  <c r="N19371" i="1"/>
  <c r="A19372" i="1"/>
  <c r="C19372" i="1"/>
  <c r="K19372" i="1"/>
  <c r="N19372" i="1"/>
  <c r="A19373" i="1"/>
  <c r="C19373" i="1"/>
  <c r="N19373" i="1"/>
  <c r="A19374" i="1"/>
  <c r="C19374" i="1"/>
  <c r="N19374" i="1"/>
  <c r="A19375" i="1"/>
  <c r="C19375" i="1"/>
  <c r="N19375" i="1"/>
  <c r="A19376" i="1"/>
  <c r="C19376" i="1"/>
  <c r="N19376" i="1"/>
  <c r="A19377" i="1"/>
  <c r="C19377" i="1"/>
  <c r="N19377" i="1"/>
  <c r="A19378" i="1"/>
  <c r="C19378" i="1"/>
  <c r="N19378" i="1"/>
  <c r="A19379" i="1"/>
  <c r="C19379" i="1"/>
  <c r="N19379" i="1"/>
  <c r="A19380" i="1"/>
  <c r="C19380" i="1"/>
  <c r="N19380" i="1"/>
  <c r="A19381" i="1"/>
  <c r="C19381" i="1"/>
  <c r="N19381" i="1"/>
  <c r="A19382" i="1"/>
  <c r="C19382" i="1"/>
  <c r="N19382" i="1"/>
  <c r="A19383" i="1"/>
  <c r="C19383" i="1"/>
  <c r="N19383" i="1"/>
  <c r="A19384" i="1"/>
  <c r="C19384" i="1"/>
  <c r="N19384" i="1"/>
  <c r="A19385" i="1"/>
  <c r="C19385" i="1"/>
  <c r="N19385" i="1"/>
  <c r="A19386" i="1"/>
  <c r="C19386" i="1"/>
  <c r="N19386" i="1"/>
  <c r="A19387" i="1"/>
  <c r="C19387" i="1"/>
  <c r="N19387" i="1"/>
  <c r="A19388" i="1"/>
  <c r="C19388" i="1"/>
  <c r="N19388" i="1"/>
  <c r="A19389" i="1"/>
  <c r="C19389" i="1"/>
  <c r="N19389" i="1"/>
  <c r="A19390" i="1"/>
  <c r="C19390" i="1"/>
  <c r="N19390" i="1"/>
  <c r="A19391" i="1"/>
  <c r="C19391" i="1"/>
  <c r="N19391" i="1"/>
  <c r="A19392" i="1"/>
  <c r="C19392" i="1"/>
  <c r="D19392" i="1"/>
  <c r="N19392" i="1"/>
  <c r="O19392" i="1"/>
  <c r="A19393" i="1"/>
  <c r="C19393" i="1"/>
  <c r="D19393" i="1"/>
  <c r="N19393" i="1"/>
  <c r="O19393" i="1"/>
  <c r="A19394" i="1"/>
  <c r="C19394" i="1"/>
  <c r="N19394" i="1"/>
  <c r="A19395" i="1"/>
  <c r="C19395" i="1"/>
  <c r="N19395" i="1"/>
  <c r="A19396" i="1"/>
  <c r="C19396" i="1"/>
  <c r="N19396" i="1"/>
  <c r="A19397" i="1"/>
  <c r="C19397" i="1"/>
  <c r="N19397" i="1"/>
  <c r="A19398" i="1"/>
  <c r="C19398" i="1"/>
  <c r="N19398" i="1"/>
  <c r="A19399" i="1"/>
  <c r="C19399" i="1"/>
  <c r="N19399" i="1"/>
  <c r="A19400" i="1"/>
  <c r="C19400" i="1"/>
  <c r="N19400" i="1"/>
  <c r="A19401" i="1"/>
  <c r="C19401" i="1"/>
  <c r="K19401" i="1"/>
  <c r="N19401" i="1"/>
  <c r="A19402" i="1"/>
  <c r="C19402" i="1"/>
  <c r="N19402" i="1"/>
  <c r="A19403" i="1"/>
  <c r="C19403" i="1"/>
  <c r="D19403" i="1"/>
  <c r="E19403" i="1"/>
  <c r="N19403" i="1"/>
  <c r="O19403" i="1"/>
  <c r="T19403" i="1"/>
  <c r="A19404" i="1"/>
  <c r="C19404" i="1"/>
  <c r="D19404" i="1"/>
  <c r="E19404" i="1"/>
  <c r="N19404" i="1"/>
  <c r="O19404" i="1"/>
  <c r="T19404" i="1"/>
  <c r="A19405" i="1"/>
  <c r="C19405" i="1"/>
  <c r="D19405" i="1"/>
  <c r="E19405" i="1"/>
  <c r="N19405" i="1"/>
  <c r="O19405" i="1"/>
  <c r="T19405" i="1"/>
  <c r="A19406" i="1"/>
  <c r="C19406" i="1"/>
  <c r="D19406" i="1"/>
  <c r="E19406" i="1"/>
  <c r="N19406" i="1"/>
  <c r="O19406" i="1"/>
  <c r="T19406" i="1"/>
  <c r="A19407" i="1"/>
  <c r="C19407" i="1"/>
  <c r="N19407" i="1"/>
  <c r="A19408" i="1"/>
  <c r="C19408" i="1"/>
  <c r="N19408" i="1"/>
  <c r="A19409" i="1"/>
  <c r="C19409" i="1"/>
  <c r="N19409" i="1"/>
  <c r="A19410" i="1"/>
  <c r="C19410" i="1"/>
  <c r="N19410" i="1"/>
  <c r="A19411" i="1"/>
  <c r="C19411" i="1"/>
  <c r="N19411" i="1"/>
  <c r="A19412" i="1"/>
  <c r="C19412" i="1"/>
  <c r="E19412" i="1"/>
  <c r="K19412" i="1"/>
  <c r="N19412" i="1"/>
  <c r="T19412" i="1"/>
  <c r="A19413" i="1"/>
  <c r="C19413" i="1"/>
  <c r="N19413" i="1"/>
  <c r="A19414" i="1"/>
  <c r="C19414" i="1"/>
  <c r="N19414" i="1"/>
  <c r="A19415" i="1"/>
  <c r="C19415" i="1"/>
  <c r="N19415" i="1"/>
  <c r="A19416" i="1"/>
  <c r="C19416" i="1"/>
  <c r="N19416" i="1"/>
  <c r="A19417" i="1"/>
  <c r="C19417" i="1"/>
  <c r="N19417" i="1"/>
  <c r="A19418" i="1"/>
  <c r="C19418" i="1"/>
  <c r="N19418" i="1"/>
  <c r="A19419" i="1"/>
  <c r="C19419" i="1"/>
  <c r="N19419" i="1"/>
  <c r="A19420" i="1"/>
  <c r="C19420" i="1"/>
  <c r="N19420" i="1"/>
  <c r="A19421" i="1"/>
  <c r="C19421" i="1"/>
  <c r="N19421" i="1"/>
  <c r="A19422" i="1"/>
  <c r="C19422" i="1"/>
  <c r="N19422" i="1"/>
  <c r="A19423" i="1"/>
  <c r="C19423" i="1"/>
  <c r="N19423" i="1"/>
  <c r="A19424" i="1"/>
  <c r="C19424" i="1"/>
  <c r="K19424" i="1"/>
  <c r="N19424" i="1"/>
  <c r="A19425" i="1"/>
  <c r="C19425" i="1"/>
  <c r="N19425" i="1"/>
  <c r="A19426" i="1"/>
  <c r="C19426" i="1"/>
  <c r="N19426" i="1"/>
  <c r="A19427" i="1"/>
  <c r="C19427" i="1"/>
  <c r="N19427" i="1"/>
  <c r="A19428" i="1"/>
  <c r="C19428" i="1"/>
  <c r="N19428" i="1"/>
  <c r="A19429" i="1"/>
  <c r="C19429" i="1"/>
  <c r="N19429" i="1"/>
  <c r="A19430" i="1"/>
  <c r="C19430" i="1"/>
  <c r="N19430" i="1"/>
  <c r="A19431" i="1"/>
  <c r="C19431" i="1"/>
  <c r="K19431" i="1"/>
  <c r="N19431" i="1"/>
  <c r="A19432" i="1"/>
  <c r="C19432" i="1"/>
  <c r="N19432" i="1"/>
  <c r="A19433" i="1"/>
  <c r="C19433" i="1"/>
  <c r="N19433" i="1"/>
  <c r="A19434" i="1"/>
  <c r="C19434" i="1"/>
  <c r="N19434" i="1"/>
  <c r="A19435" i="1"/>
  <c r="C19435" i="1"/>
  <c r="N19435" i="1"/>
  <c r="A19436" i="1"/>
  <c r="C19436" i="1"/>
  <c r="N19436" i="1"/>
  <c r="A19437" i="1"/>
  <c r="C19437" i="1"/>
  <c r="K19437" i="1"/>
  <c r="N19437" i="1"/>
  <c r="A19438" i="1"/>
  <c r="C19438" i="1"/>
  <c r="K19438" i="1"/>
  <c r="N19438" i="1"/>
  <c r="A19439" i="1"/>
  <c r="C19439" i="1"/>
  <c r="K19439" i="1"/>
  <c r="N19439" i="1"/>
  <c r="A19440" i="1"/>
  <c r="C19440" i="1"/>
  <c r="K19440" i="1"/>
  <c r="N19440" i="1"/>
  <c r="A19441" i="1"/>
  <c r="C19441" i="1"/>
  <c r="K19441" i="1"/>
  <c r="N19441" i="1"/>
  <c r="A19442" i="1"/>
  <c r="C19442" i="1"/>
  <c r="K19442" i="1"/>
  <c r="N19442" i="1"/>
  <c r="A19443" i="1"/>
  <c r="C19443" i="1"/>
  <c r="K19443" i="1"/>
  <c r="N19443" i="1"/>
  <c r="A19444" i="1"/>
  <c r="C19444" i="1"/>
  <c r="K19444" i="1"/>
  <c r="N19444" i="1"/>
  <c r="A19445" i="1"/>
  <c r="C19445" i="1"/>
  <c r="N19445" i="1"/>
  <c r="A19446" i="1"/>
  <c r="C19446" i="1"/>
  <c r="N19446" i="1"/>
  <c r="A19447" i="1"/>
  <c r="C19447" i="1"/>
  <c r="K19447" i="1"/>
  <c r="N19447" i="1"/>
  <c r="A19448" i="1"/>
  <c r="C19448" i="1"/>
  <c r="E19448" i="1"/>
  <c r="K19448" i="1"/>
  <c r="N19448" i="1"/>
  <c r="T19448" i="1"/>
  <c r="A19449" i="1"/>
  <c r="C19449" i="1"/>
  <c r="N19449" i="1"/>
  <c r="A19450" i="1"/>
  <c r="C19450" i="1"/>
  <c r="N19450" i="1"/>
  <c r="A19451" i="1"/>
  <c r="C19451" i="1"/>
  <c r="N19451" i="1"/>
  <c r="A19452" i="1"/>
  <c r="C19452" i="1"/>
  <c r="N19452" i="1"/>
  <c r="A19453" i="1"/>
  <c r="C19453" i="1"/>
  <c r="N19453" i="1"/>
  <c r="A19454" i="1"/>
  <c r="C19454" i="1"/>
  <c r="N19454" i="1"/>
  <c r="A19455" i="1"/>
  <c r="C19455" i="1"/>
  <c r="N19455" i="1"/>
  <c r="A19456" i="1"/>
  <c r="C19456" i="1"/>
  <c r="N19456" i="1"/>
  <c r="A19457" i="1"/>
  <c r="C19457" i="1"/>
  <c r="N19457" i="1"/>
  <c r="A19458" i="1"/>
  <c r="C19458" i="1"/>
  <c r="N19458" i="1"/>
  <c r="A19459" i="1"/>
  <c r="C19459" i="1"/>
  <c r="N19459" i="1"/>
  <c r="A19460" i="1"/>
  <c r="C19460" i="1"/>
  <c r="N19460" i="1"/>
  <c r="A19461" i="1"/>
  <c r="C19461" i="1"/>
  <c r="N19461" i="1"/>
  <c r="A19462" i="1"/>
  <c r="C19462" i="1"/>
  <c r="N19462" i="1"/>
  <c r="A19463" i="1"/>
  <c r="C19463" i="1"/>
  <c r="K19463" i="1"/>
  <c r="N19463" i="1"/>
  <c r="A19464" i="1"/>
  <c r="C19464" i="1"/>
  <c r="N19464" i="1"/>
  <c r="A19465" i="1"/>
  <c r="C19465" i="1"/>
  <c r="N19465" i="1"/>
  <c r="A19466" i="1"/>
  <c r="C19466" i="1"/>
  <c r="N19466" i="1"/>
  <c r="A19467" i="1"/>
  <c r="C19467" i="1"/>
  <c r="N19467" i="1"/>
  <c r="A19468" i="1"/>
  <c r="C19468" i="1"/>
  <c r="N19468" i="1"/>
  <c r="A19469" i="1"/>
  <c r="C19469" i="1"/>
  <c r="N19469" i="1"/>
  <c r="A19470" i="1"/>
  <c r="C19470" i="1"/>
  <c r="N19470" i="1"/>
  <c r="A19471" i="1"/>
  <c r="C19471" i="1"/>
  <c r="N19471" i="1"/>
  <c r="A19472" i="1"/>
  <c r="C19472" i="1"/>
  <c r="N19472" i="1"/>
  <c r="A19473" i="1"/>
  <c r="C19473" i="1"/>
  <c r="N19473" i="1"/>
  <c r="A19474" i="1"/>
  <c r="C19474" i="1"/>
  <c r="N19474" i="1"/>
  <c r="A19475" i="1"/>
  <c r="C19475" i="1"/>
  <c r="N19475" i="1"/>
  <c r="A19476" i="1"/>
  <c r="C19476" i="1"/>
  <c r="N19476" i="1"/>
  <c r="A19477" i="1"/>
  <c r="C19477" i="1"/>
  <c r="N19477" i="1"/>
  <c r="A19478" i="1"/>
  <c r="C19478" i="1"/>
  <c r="N19478" i="1"/>
  <c r="A19479" i="1"/>
  <c r="C19479" i="1"/>
  <c r="K19479" i="1"/>
  <c r="N19479" i="1"/>
  <c r="A19480" i="1"/>
  <c r="C19480" i="1"/>
  <c r="N19480" i="1"/>
  <c r="A19481" i="1"/>
  <c r="C19481" i="1"/>
  <c r="N19481" i="1"/>
  <c r="A19482" i="1"/>
  <c r="C19482" i="1"/>
  <c r="K19482" i="1"/>
  <c r="N19482" i="1"/>
  <c r="A19483" i="1"/>
  <c r="C19483" i="1"/>
  <c r="K19483" i="1"/>
  <c r="N19483" i="1"/>
  <c r="A19484" i="1"/>
  <c r="C19484" i="1"/>
  <c r="N19484" i="1"/>
  <c r="A19485" i="1"/>
  <c r="C19485" i="1"/>
  <c r="N19485" i="1"/>
  <c r="A19486" i="1"/>
  <c r="C19486" i="1"/>
  <c r="N19486" i="1"/>
  <c r="A19487" i="1"/>
  <c r="C19487" i="1"/>
  <c r="N19487" i="1"/>
  <c r="A19488" i="1"/>
  <c r="C19488" i="1"/>
  <c r="N19488" i="1"/>
  <c r="A19489" i="1"/>
  <c r="C19489" i="1"/>
  <c r="N19489" i="1"/>
  <c r="A19490" i="1"/>
  <c r="C19490" i="1"/>
  <c r="K19490" i="1"/>
  <c r="N19490" i="1"/>
  <c r="A19491" i="1"/>
  <c r="C19491" i="1"/>
  <c r="N19491" i="1"/>
  <c r="A19492" i="1"/>
  <c r="C19492" i="1"/>
  <c r="N19492" i="1"/>
  <c r="A19493" i="1"/>
  <c r="C19493" i="1"/>
  <c r="N19493" i="1"/>
  <c r="A19494" i="1"/>
  <c r="C19494" i="1"/>
  <c r="N19494" i="1"/>
  <c r="A19495" i="1"/>
  <c r="C19495" i="1"/>
  <c r="E19495" i="1"/>
  <c r="K19495" i="1"/>
  <c r="N19495" i="1"/>
  <c r="T19495" i="1"/>
  <c r="A19496" i="1"/>
  <c r="C19496" i="1"/>
  <c r="N19496" i="1"/>
  <c r="A19497" i="1"/>
  <c r="C19497" i="1"/>
  <c r="N19497" i="1"/>
  <c r="A19498" i="1"/>
  <c r="C19498" i="1"/>
  <c r="N19498" i="1"/>
  <c r="A19499" i="1"/>
  <c r="C19499" i="1"/>
  <c r="N19499" i="1"/>
  <c r="A19500" i="1"/>
  <c r="C19500" i="1"/>
  <c r="N19500" i="1"/>
  <c r="A19501" i="1"/>
  <c r="C19501" i="1"/>
  <c r="N19501" i="1"/>
  <c r="A19502" i="1"/>
  <c r="C19502" i="1"/>
  <c r="N19502" i="1"/>
  <c r="A19503" i="1"/>
  <c r="C19503" i="1"/>
  <c r="N19503" i="1"/>
  <c r="A19504" i="1"/>
  <c r="C19504" i="1"/>
  <c r="N19504" i="1"/>
  <c r="A19505" i="1"/>
  <c r="C19505" i="1"/>
  <c r="N19505" i="1"/>
  <c r="A19506" i="1"/>
  <c r="C19506" i="1"/>
  <c r="N19506" i="1"/>
  <c r="A19507" i="1"/>
  <c r="C19507" i="1"/>
  <c r="N19507" i="1"/>
  <c r="A19508" i="1"/>
  <c r="C19508" i="1"/>
  <c r="N19508" i="1"/>
  <c r="A19509" i="1"/>
  <c r="C19509" i="1"/>
  <c r="N19509" i="1"/>
  <c r="A19510" i="1"/>
  <c r="C19510" i="1"/>
  <c r="N19510" i="1"/>
  <c r="A19511" i="1"/>
  <c r="C19511" i="1"/>
  <c r="K19511" i="1"/>
  <c r="N19511" i="1"/>
  <c r="A19512" i="1"/>
  <c r="C19512" i="1"/>
  <c r="N19512" i="1"/>
  <c r="A19513" i="1"/>
  <c r="C19513" i="1"/>
  <c r="N19513" i="1"/>
  <c r="A19514" i="1"/>
  <c r="C19514" i="1"/>
  <c r="N19514" i="1"/>
  <c r="A19515" i="1"/>
  <c r="C19515" i="1"/>
  <c r="N19515" i="1"/>
  <c r="A19516" i="1"/>
  <c r="C19516" i="1"/>
  <c r="F19516" i="1"/>
  <c r="N19516" i="1"/>
  <c r="A19517" i="1"/>
  <c r="C19517" i="1"/>
  <c r="N19517" i="1"/>
  <c r="A19518" i="1"/>
  <c r="C19518" i="1"/>
  <c r="N19518" i="1"/>
  <c r="A19519" i="1"/>
  <c r="C19519" i="1"/>
  <c r="N19519" i="1"/>
  <c r="A19520" i="1"/>
  <c r="C19520" i="1"/>
  <c r="N19520" i="1"/>
  <c r="A19521" i="1"/>
  <c r="C19521" i="1"/>
  <c r="N19521" i="1"/>
  <c r="A19522" i="1"/>
  <c r="C19522" i="1"/>
  <c r="K19522" i="1"/>
  <c r="N19522" i="1"/>
  <c r="A19523" i="1"/>
  <c r="C19523" i="1"/>
  <c r="K19523" i="1"/>
  <c r="N19523" i="1"/>
  <c r="A19524" i="1"/>
  <c r="C19524" i="1"/>
  <c r="N19524" i="1"/>
  <c r="A19525" i="1"/>
  <c r="C19525" i="1"/>
  <c r="K19525" i="1"/>
  <c r="N19525" i="1"/>
  <c r="A19526" i="1"/>
  <c r="C19526" i="1"/>
  <c r="N19526" i="1"/>
  <c r="A19527" i="1"/>
  <c r="C19527" i="1"/>
  <c r="N19527" i="1"/>
  <c r="A19528" i="1"/>
  <c r="C19528" i="1"/>
  <c r="N19528" i="1"/>
  <c r="A19529" i="1"/>
  <c r="C19529" i="1"/>
  <c r="N19529" i="1"/>
  <c r="A19530" i="1"/>
  <c r="C19530" i="1"/>
  <c r="N19530" i="1"/>
  <c r="A19531" i="1"/>
  <c r="C19531" i="1"/>
  <c r="N19531" i="1"/>
  <c r="A19532" i="1"/>
  <c r="C19532" i="1"/>
  <c r="K19532" i="1"/>
  <c r="N19532" i="1"/>
  <c r="A19533" i="1"/>
  <c r="C19533" i="1"/>
  <c r="N19533" i="1"/>
  <c r="A19534" i="1"/>
  <c r="C19534" i="1"/>
  <c r="N19534" i="1"/>
  <c r="A19535" i="1"/>
  <c r="C19535" i="1"/>
  <c r="N19535" i="1"/>
  <c r="A19536" i="1"/>
  <c r="C19536" i="1"/>
  <c r="K19536" i="1"/>
  <c r="N19536" i="1"/>
  <c r="A19537" i="1"/>
  <c r="C19537" i="1"/>
  <c r="N19537" i="1"/>
  <c r="A19538" i="1"/>
  <c r="C19538" i="1"/>
  <c r="N19538" i="1"/>
  <c r="A19539" i="1"/>
  <c r="C19539" i="1"/>
  <c r="K19539" i="1"/>
  <c r="N19539" i="1"/>
  <c r="A19540" i="1"/>
  <c r="C19540" i="1"/>
  <c r="N19540" i="1"/>
  <c r="A19541" i="1"/>
  <c r="C19541" i="1"/>
  <c r="N19541" i="1"/>
  <c r="A19542" i="1"/>
  <c r="C19542" i="1"/>
  <c r="N19542" i="1"/>
  <c r="A19543" i="1"/>
  <c r="C19543" i="1"/>
  <c r="N19543" i="1"/>
  <c r="A19544" i="1"/>
  <c r="C19544" i="1"/>
  <c r="N19544" i="1"/>
  <c r="A19545" i="1"/>
  <c r="C19545" i="1"/>
  <c r="K19545" i="1"/>
  <c r="N19545" i="1"/>
  <c r="A19546" i="1"/>
  <c r="C19546" i="1"/>
  <c r="K19546" i="1"/>
  <c r="N19546" i="1"/>
  <c r="A19547" i="1"/>
  <c r="C19547" i="1"/>
  <c r="N19547" i="1"/>
  <c r="A19548" i="1"/>
  <c r="C19548" i="1"/>
  <c r="D19548" i="1"/>
  <c r="N19548" i="1"/>
  <c r="O19548" i="1"/>
  <c r="A19549" i="1"/>
  <c r="C19549" i="1"/>
  <c r="D19549" i="1"/>
  <c r="N19549" i="1"/>
  <c r="O19549" i="1"/>
  <c r="A19550" i="1"/>
  <c r="C19550" i="1"/>
  <c r="N19550" i="1"/>
  <c r="A19551" i="1"/>
  <c r="C19551" i="1"/>
  <c r="N19551" i="1"/>
  <c r="A19552" i="1"/>
  <c r="C19552" i="1"/>
  <c r="N19552" i="1"/>
  <c r="A19553" i="1"/>
  <c r="C19553" i="1"/>
  <c r="N19553" i="1"/>
  <c r="A19554" i="1"/>
  <c r="C19554" i="1"/>
  <c r="N19554" i="1"/>
  <c r="A19555" i="1"/>
  <c r="C19555" i="1"/>
  <c r="N19555" i="1"/>
  <c r="A19556" i="1"/>
  <c r="C19556" i="1"/>
  <c r="N19556" i="1"/>
  <c r="A19557" i="1"/>
  <c r="C19557" i="1"/>
  <c r="N19557" i="1"/>
  <c r="A19558" i="1"/>
  <c r="C19558" i="1"/>
  <c r="N19558" i="1"/>
  <c r="A19559" i="1"/>
  <c r="C19559" i="1"/>
  <c r="K19559" i="1"/>
  <c r="N19559" i="1"/>
  <c r="A19560" i="1"/>
  <c r="C19560" i="1"/>
  <c r="N19560" i="1"/>
  <c r="A19561" i="1"/>
  <c r="C19561" i="1"/>
  <c r="N19561" i="1"/>
  <c r="A19562" i="1"/>
  <c r="C19562" i="1"/>
  <c r="N19562" i="1"/>
  <c r="A19563" i="1"/>
  <c r="C19563" i="1"/>
  <c r="N19563" i="1"/>
  <c r="A19564" i="1"/>
  <c r="C19564" i="1"/>
  <c r="N19564" i="1"/>
  <c r="A19565" i="1"/>
  <c r="C19565" i="1"/>
  <c r="N19565" i="1"/>
  <c r="A19566" i="1"/>
  <c r="C19566" i="1"/>
  <c r="N19566" i="1"/>
  <c r="A19567" i="1"/>
  <c r="C19567" i="1"/>
  <c r="N19567" i="1"/>
  <c r="A19568" i="1"/>
  <c r="C19568" i="1"/>
  <c r="N19568" i="1"/>
  <c r="A19569" i="1"/>
  <c r="C19569" i="1"/>
  <c r="N19569" i="1"/>
  <c r="A19570" i="1"/>
  <c r="C19570" i="1"/>
  <c r="K19570" i="1"/>
  <c r="N19570" i="1"/>
  <c r="A19571" i="1"/>
  <c r="C19571" i="1"/>
  <c r="N19571" i="1"/>
  <c r="A19572" i="1"/>
  <c r="C19572" i="1"/>
  <c r="N19572" i="1"/>
  <c r="A19573" i="1"/>
  <c r="C19573" i="1"/>
  <c r="N19573" i="1"/>
  <c r="A19574" i="1"/>
  <c r="C19574" i="1"/>
  <c r="N19574" i="1"/>
  <c r="A19575" i="1"/>
  <c r="C19575" i="1"/>
  <c r="N19575" i="1"/>
  <c r="A19576" i="1"/>
  <c r="C19576" i="1"/>
  <c r="N19576" i="1"/>
  <c r="A19577" i="1"/>
  <c r="C19577" i="1"/>
  <c r="N19577" i="1"/>
  <c r="A19578" i="1"/>
  <c r="C19578" i="1"/>
  <c r="N19578" i="1"/>
  <c r="A19579" i="1"/>
  <c r="C19579" i="1"/>
  <c r="K19579" i="1"/>
  <c r="N19579" i="1"/>
  <c r="A19580" i="1"/>
  <c r="C19580" i="1"/>
  <c r="D19580" i="1"/>
  <c r="N19580" i="1"/>
  <c r="O19580" i="1"/>
  <c r="A19581" i="1"/>
  <c r="C19581" i="1"/>
  <c r="N19581" i="1"/>
  <c r="A19582" i="1"/>
  <c r="C19582" i="1"/>
  <c r="N19582" i="1"/>
  <c r="A19583" i="1"/>
  <c r="C19583" i="1"/>
  <c r="N19583" i="1"/>
  <c r="A19584" i="1"/>
  <c r="C19584" i="1"/>
  <c r="N19584" i="1"/>
  <c r="A19585" i="1"/>
  <c r="C19585" i="1"/>
  <c r="N19585" i="1"/>
  <c r="A19586" i="1"/>
  <c r="C19586" i="1"/>
  <c r="N19586" i="1"/>
  <c r="A19587" i="1"/>
  <c r="C19587" i="1"/>
  <c r="N19587" i="1"/>
  <c r="A19588" i="1"/>
  <c r="C19588" i="1"/>
  <c r="N19588" i="1"/>
  <c r="A19589" i="1"/>
  <c r="C19589" i="1"/>
  <c r="N19589" i="1"/>
  <c r="A19590" i="1"/>
  <c r="C19590" i="1"/>
  <c r="K19590" i="1"/>
  <c r="N19590" i="1"/>
  <c r="A19591" i="1"/>
  <c r="C19591" i="1"/>
  <c r="N19591" i="1"/>
  <c r="A19592" i="1"/>
  <c r="C19592" i="1"/>
  <c r="N19592" i="1"/>
  <c r="A19593" i="1"/>
  <c r="C19593" i="1"/>
  <c r="N19593" i="1"/>
  <c r="A19594" i="1"/>
  <c r="C19594" i="1"/>
  <c r="N19594" i="1"/>
  <c r="A19595" i="1"/>
  <c r="C19595" i="1"/>
  <c r="N19595" i="1"/>
  <c r="A19596" i="1"/>
  <c r="C19596" i="1"/>
  <c r="N19596" i="1"/>
  <c r="A19597" i="1"/>
  <c r="C19597" i="1"/>
  <c r="N19597" i="1"/>
  <c r="A19598" i="1"/>
  <c r="C19598" i="1"/>
  <c r="N19598" i="1"/>
  <c r="A19599" i="1"/>
  <c r="C19599" i="1"/>
  <c r="N19599" i="1"/>
  <c r="A19600" i="1"/>
  <c r="C19600" i="1"/>
  <c r="N19600" i="1"/>
  <c r="A19601" i="1"/>
  <c r="C19601" i="1"/>
  <c r="N19601" i="1"/>
  <c r="A19602" i="1"/>
  <c r="C19602" i="1"/>
  <c r="N19602" i="1"/>
  <c r="A19603" i="1"/>
  <c r="C19603" i="1"/>
  <c r="N19603" i="1"/>
  <c r="A19604" i="1"/>
  <c r="C19604" i="1"/>
  <c r="N19604" i="1"/>
  <c r="A19605" i="1"/>
  <c r="C19605" i="1"/>
  <c r="N19605" i="1"/>
  <c r="A19606" i="1"/>
  <c r="C19606" i="1"/>
  <c r="N19606" i="1"/>
  <c r="A19607" i="1"/>
  <c r="C19607" i="1"/>
  <c r="E19607" i="1"/>
  <c r="N19607" i="1"/>
  <c r="T19607" i="1"/>
  <c r="A19608" i="1"/>
  <c r="C19608" i="1"/>
  <c r="N19608" i="1"/>
  <c r="A19609" i="1"/>
  <c r="C19609" i="1"/>
  <c r="N19609" i="1"/>
  <c r="A19610" i="1"/>
  <c r="C19610" i="1"/>
  <c r="N19610" i="1"/>
  <c r="A19611" i="1"/>
  <c r="C19611" i="1"/>
  <c r="N19611" i="1"/>
  <c r="A19612" i="1"/>
  <c r="C19612" i="1"/>
  <c r="N19612" i="1"/>
  <c r="A19613" i="1"/>
  <c r="C19613" i="1"/>
  <c r="N19613" i="1"/>
  <c r="A19614" i="1"/>
  <c r="C19614" i="1"/>
  <c r="K19614" i="1"/>
  <c r="N19614" i="1"/>
  <c r="A19615" i="1"/>
  <c r="C19615" i="1"/>
  <c r="N19615" i="1"/>
  <c r="A19616" i="1"/>
  <c r="C19616" i="1"/>
  <c r="N19616" i="1"/>
  <c r="A19617" i="1"/>
  <c r="C19617" i="1"/>
  <c r="N19617" i="1"/>
  <c r="A19618" i="1"/>
  <c r="C19618" i="1"/>
  <c r="N19618" i="1"/>
  <c r="A19619" i="1"/>
  <c r="C19619" i="1"/>
  <c r="N19619" i="1"/>
  <c r="A19620" i="1"/>
  <c r="C19620" i="1"/>
  <c r="N19620" i="1"/>
  <c r="A19621" i="1"/>
  <c r="C19621" i="1"/>
  <c r="N19621" i="1"/>
  <c r="A19622" i="1"/>
  <c r="C19622" i="1"/>
  <c r="N19622" i="1"/>
  <c r="A19623" i="1"/>
  <c r="C19623" i="1"/>
  <c r="N19623" i="1"/>
  <c r="A19624" i="1"/>
  <c r="C19624" i="1"/>
  <c r="N19624" i="1"/>
  <c r="A19625" i="1"/>
  <c r="C19625" i="1"/>
  <c r="N19625" i="1"/>
  <c r="A19626" i="1"/>
  <c r="C19626" i="1"/>
  <c r="N19626" i="1"/>
  <c r="A19627" i="1"/>
  <c r="C19627" i="1"/>
  <c r="N19627" i="1"/>
  <c r="A19628" i="1"/>
  <c r="C19628" i="1"/>
  <c r="N19628" i="1"/>
  <c r="A19629" i="1"/>
  <c r="C19629" i="1"/>
  <c r="N19629" i="1"/>
  <c r="A19630" i="1"/>
  <c r="C19630" i="1"/>
  <c r="N19630" i="1"/>
  <c r="A19631" i="1"/>
  <c r="C19631" i="1"/>
  <c r="N19631" i="1"/>
  <c r="A19632" i="1"/>
  <c r="C19632" i="1"/>
  <c r="N19632" i="1"/>
  <c r="A19633" i="1"/>
  <c r="C19633" i="1"/>
  <c r="N19633" i="1"/>
  <c r="A19634" i="1"/>
  <c r="C19634" i="1"/>
  <c r="N19634" i="1"/>
  <c r="A19635" i="1"/>
  <c r="C19635" i="1"/>
  <c r="N19635" i="1"/>
  <c r="A19636" i="1"/>
  <c r="C19636" i="1"/>
  <c r="N19636" i="1"/>
  <c r="A19637" i="1"/>
  <c r="C19637" i="1"/>
  <c r="N19637" i="1"/>
  <c r="A19638" i="1"/>
  <c r="C19638" i="1"/>
  <c r="N19638" i="1"/>
  <c r="A19639" i="1"/>
  <c r="C19639" i="1"/>
  <c r="N19639" i="1"/>
  <c r="A19640" i="1"/>
  <c r="C19640" i="1"/>
  <c r="N19640" i="1"/>
  <c r="A19641" i="1"/>
  <c r="C19641" i="1"/>
  <c r="N19641" i="1"/>
  <c r="A19642" i="1"/>
  <c r="C19642" i="1"/>
  <c r="N19642" i="1"/>
  <c r="A19643" i="1"/>
  <c r="C19643" i="1"/>
  <c r="N19643" i="1"/>
  <c r="A19644" i="1"/>
  <c r="C19644" i="1"/>
  <c r="N19644" i="1"/>
  <c r="A19645" i="1"/>
  <c r="C19645" i="1"/>
  <c r="N19645" i="1"/>
  <c r="A19646" i="1"/>
  <c r="C19646" i="1"/>
  <c r="N19646" i="1"/>
  <c r="A19647" i="1"/>
  <c r="C19647" i="1"/>
  <c r="N19647" i="1"/>
  <c r="A19648" i="1"/>
  <c r="C19648" i="1"/>
  <c r="K19648" i="1"/>
  <c r="N19648" i="1"/>
  <c r="A19649" i="1"/>
  <c r="C19649" i="1"/>
  <c r="K19649" i="1"/>
  <c r="N19649" i="1"/>
  <c r="A19650" i="1"/>
  <c r="C19650" i="1"/>
  <c r="K19650" i="1"/>
  <c r="N19650" i="1"/>
  <c r="A19651" i="1"/>
  <c r="C19651" i="1"/>
  <c r="N19651" i="1"/>
  <c r="A19652" i="1"/>
  <c r="C19652" i="1"/>
  <c r="N19652" i="1"/>
  <c r="A19653" i="1"/>
  <c r="C19653" i="1"/>
  <c r="N19653" i="1"/>
  <c r="A19654" i="1"/>
  <c r="C19654" i="1"/>
  <c r="K19654" i="1"/>
  <c r="N19654" i="1"/>
  <c r="A19655" i="1"/>
  <c r="C19655" i="1"/>
  <c r="N19655" i="1"/>
  <c r="A19656" i="1"/>
  <c r="C19656" i="1"/>
  <c r="N19656" i="1"/>
  <c r="A19657" i="1"/>
  <c r="C19657" i="1"/>
  <c r="N19657" i="1"/>
  <c r="A19658" i="1"/>
  <c r="C19658" i="1"/>
  <c r="N19658" i="1"/>
  <c r="A19659" i="1"/>
  <c r="C19659" i="1"/>
  <c r="N19659" i="1"/>
  <c r="A19660" i="1"/>
  <c r="C19660" i="1"/>
  <c r="N19660" i="1"/>
  <c r="A19661" i="1"/>
  <c r="C19661" i="1"/>
  <c r="N19661" i="1"/>
  <c r="A19662" i="1"/>
  <c r="C19662" i="1"/>
  <c r="N19662" i="1"/>
  <c r="A19663" i="1"/>
  <c r="C19663" i="1"/>
  <c r="N19663" i="1"/>
  <c r="A19664" i="1"/>
  <c r="C19664" i="1"/>
  <c r="N19664" i="1"/>
  <c r="A19665" i="1"/>
  <c r="C19665" i="1"/>
  <c r="F19665" i="1"/>
  <c r="N19665" i="1"/>
  <c r="A19666" i="1"/>
  <c r="C19666" i="1"/>
  <c r="N19666" i="1"/>
  <c r="A19667" i="1"/>
  <c r="C19667" i="1"/>
  <c r="K19667" i="1"/>
  <c r="N19667" i="1"/>
  <c r="A19668" i="1"/>
  <c r="C19668" i="1"/>
  <c r="N19668" i="1"/>
  <c r="A19669" i="1"/>
  <c r="C19669" i="1"/>
  <c r="K19669" i="1"/>
  <c r="N19669" i="1"/>
  <c r="A19670" i="1"/>
  <c r="C19670" i="1"/>
  <c r="N19670" i="1"/>
  <c r="A19671" i="1"/>
  <c r="C19671" i="1"/>
  <c r="N19671" i="1"/>
  <c r="A19672" i="1"/>
  <c r="C19672" i="1"/>
  <c r="N19672" i="1"/>
  <c r="A19673" i="1"/>
  <c r="C19673" i="1"/>
  <c r="N19673" i="1"/>
  <c r="A19674" i="1"/>
  <c r="C19674" i="1"/>
  <c r="N19674" i="1"/>
  <c r="A19675" i="1"/>
  <c r="C19675" i="1"/>
  <c r="K19675" i="1"/>
  <c r="N19675" i="1"/>
  <c r="A19676" i="1"/>
  <c r="C19676" i="1"/>
  <c r="K19676" i="1"/>
  <c r="N19676" i="1"/>
  <c r="A19677" i="1"/>
  <c r="C19677" i="1"/>
  <c r="K19677" i="1"/>
  <c r="N19677" i="1"/>
  <c r="A19678" i="1"/>
  <c r="C19678" i="1"/>
  <c r="N19678" i="1"/>
  <c r="A19679" i="1"/>
  <c r="C19679" i="1"/>
  <c r="N19679" i="1"/>
  <c r="A19680" i="1"/>
  <c r="C19680" i="1"/>
  <c r="N19680" i="1"/>
  <c r="A19681" i="1"/>
  <c r="C19681" i="1"/>
  <c r="N19681" i="1"/>
  <c r="A19682" i="1"/>
  <c r="C19682" i="1"/>
  <c r="N19682" i="1"/>
  <c r="A19683" i="1"/>
  <c r="C19683" i="1"/>
  <c r="N19683" i="1"/>
  <c r="A19684" i="1"/>
  <c r="C19684" i="1"/>
  <c r="N19684" i="1"/>
  <c r="A19685" i="1"/>
  <c r="C19685" i="1"/>
  <c r="N19685" i="1"/>
  <c r="A19686" i="1"/>
  <c r="C19686" i="1"/>
  <c r="N19686" i="1"/>
  <c r="A19687" i="1"/>
  <c r="C19687" i="1"/>
  <c r="N19687" i="1"/>
  <c r="A19688" i="1"/>
  <c r="C19688" i="1"/>
  <c r="N19688" i="1"/>
  <c r="A19689" i="1"/>
  <c r="C19689" i="1"/>
  <c r="K19689" i="1"/>
  <c r="N19689" i="1"/>
  <c r="A19690" i="1"/>
  <c r="C19690" i="1"/>
  <c r="N19690" i="1"/>
  <c r="A19691" i="1"/>
  <c r="C19691" i="1"/>
  <c r="N19691" i="1"/>
  <c r="A19692" i="1"/>
  <c r="C19692" i="1"/>
  <c r="N19692" i="1"/>
  <c r="A19693" i="1"/>
  <c r="C19693" i="1"/>
  <c r="N19693" i="1"/>
  <c r="A19694" i="1"/>
  <c r="C19694" i="1"/>
  <c r="N19694" i="1"/>
  <c r="A19695" i="1"/>
  <c r="C19695" i="1"/>
  <c r="N19695" i="1"/>
  <c r="A19696" i="1"/>
  <c r="C19696" i="1"/>
  <c r="N19696" i="1"/>
  <c r="A19697" i="1"/>
  <c r="C19697" i="1"/>
  <c r="N19697" i="1"/>
  <c r="A19698" i="1"/>
  <c r="C19698" i="1"/>
  <c r="N19698" i="1"/>
  <c r="A19699" i="1"/>
  <c r="C19699" i="1"/>
  <c r="N19699" i="1"/>
  <c r="A19700" i="1"/>
  <c r="C19700" i="1"/>
  <c r="N19700" i="1"/>
  <c r="A19701" i="1"/>
  <c r="C19701" i="1"/>
  <c r="N19701" i="1"/>
  <c r="A19702" i="1"/>
  <c r="C19702" i="1"/>
  <c r="N19702" i="1"/>
  <c r="A19703" i="1"/>
  <c r="C19703" i="1"/>
  <c r="N19703" i="1"/>
  <c r="A19704" i="1"/>
  <c r="C19704" i="1"/>
  <c r="N19704" i="1"/>
  <c r="A19705" i="1"/>
  <c r="C19705" i="1"/>
  <c r="N19705" i="1"/>
  <c r="A19706" i="1"/>
  <c r="C19706" i="1"/>
  <c r="K19706" i="1"/>
  <c r="N19706" i="1"/>
  <c r="A19707" i="1"/>
  <c r="C19707" i="1"/>
  <c r="N19707" i="1"/>
  <c r="A19708" i="1"/>
  <c r="C19708" i="1"/>
  <c r="N19708" i="1"/>
  <c r="A19709" i="1"/>
  <c r="C19709" i="1"/>
  <c r="N19709" i="1"/>
  <c r="A19710" i="1"/>
  <c r="C19710" i="1"/>
  <c r="N19710" i="1"/>
  <c r="A19711" i="1"/>
  <c r="C19711" i="1"/>
  <c r="N19711" i="1"/>
  <c r="A19712" i="1"/>
  <c r="C19712" i="1"/>
  <c r="K19712" i="1"/>
  <c r="N19712" i="1"/>
  <c r="A19713" i="1"/>
  <c r="C19713" i="1"/>
  <c r="N19713" i="1"/>
  <c r="A19714" i="1"/>
  <c r="C19714" i="1"/>
  <c r="N19714" i="1"/>
  <c r="A19715" i="1"/>
  <c r="C19715" i="1"/>
  <c r="K19715" i="1"/>
  <c r="N19715" i="1"/>
  <c r="A19716" i="1"/>
  <c r="C19716" i="1"/>
  <c r="D19716" i="1"/>
  <c r="N19716" i="1"/>
  <c r="O19716" i="1"/>
  <c r="A19717" i="1"/>
  <c r="C19717" i="1"/>
  <c r="N19717" i="1"/>
  <c r="A19718" i="1"/>
  <c r="C19718" i="1"/>
  <c r="N19718" i="1"/>
  <c r="A19719" i="1"/>
  <c r="C19719" i="1"/>
  <c r="N19719" i="1"/>
  <c r="A19720" i="1"/>
  <c r="C19720" i="1"/>
  <c r="N19720" i="1"/>
  <c r="A19721" i="1"/>
  <c r="C19721" i="1"/>
  <c r="N19721" i="1"/>
  <c r="A19722" i="1"/>
  <c r="C19722" i="1"/>
  <c r="N19722" i="1"/>
  <c r="A19723" i="1"/>
  <c r="C19723" i="1"/>
  <c r="N19723" i="1"/>
  <c r="A19724" i="1"/>
  <c r="C19724" i="1"/>
  <c r="N19724" i="1"/>
  <c r="A19725" i="1"/>
  <c r="C19725" i="1"/>
  <c r="N19725" i="1"/>
  <c r="A19726" i="1"/>
  <c r="C19726" i="1"/>
  <c r="N19726" i="1"/>
  <c r="A19727" i="1"/>
  <c r="C19727" i="1"/>
  <c r="N19727" i="1"/>
  <c r="A19728" i="1"/>
  <c r="C19728" i="1"/>
  <c r="N19728" i="1"/>
  <c r="A19729" i="1"/>
  <c r="C19729" i="1"/>
  <c r="N19729" i="1"/>
  <c r="A19730" i="1"/>
  <c r="C19730" i="1"/>
  <c r="N19730" i="1"/>
  <c r="A19731" i="1"/>
  <c r="C19731" i="1"/>
  <c r="N19731" i="1"/>
  <c r="A19732" i="1"/>
  <c r="C19732" i="1"/>
  <c r="N19732" i="1"/>
  <c r="A19733" i="1"/>
  <c r="C19733" i="1"/>
  <c r="N19733" i="1"/>
  <c r="A19734" i="1"/>
  <c r="C19734" i="1"/>
  <c r="N19734" i="1"/>
  <c r="A19735" i="1"/>
  <c r="C19735" i="1"/>
  <c r="N19735" i="1"/>
  <c r="A19736" i="1"/>
  <c r="C19736" i="1"/>
  <c r="N19736" i="1"/>
  <c r="A19737" i="1"/>
  <c r="C19737" i="1"/>
  <c r="N19737" i="1"/>
  <c r="A19738" i="1"/>
  <c r="C19738" i="1"/>
  <c r="N19738" i="1"/>
  <c r="A19739" i="1"/>
  <c r="C19739" i="1"/>
  <c r="N19739" i="1"/>
  <c r="A19740" i="1"/>
  <c r="C19740" i="1"/>
  <c r="N19740" i="1"/>
  <c r="A19741" i="1"/>
  <c r="C19741" i="1"/>
  <c r="N19741" i="1"/>
  <c r="A19742" i="1"/>
  <c r="C19742" i="1"/>
  <c r="F19742" i="1"/>
  <c r="N19742" i="1"/>
  <c r="A19743" i="1"/>
  <c r="C19743" i="1"/>
  <c r="N19743" i="1"/>
  <c r="A19744" i="1"/>
  <c r="C19744" i="1"/>
  <c r="N19744" i="1"/>
  <c r="A19745" i="1"/>
  <c r="C19745" i="1"/>
  <c r="N19745" i="1"/>
  <c r="A19746" i="1"/>
  <c r="C19746" i="1"/>
  <c r="N19746" i="1"/>
  <c r="A19747" i="1"/>
  <c r="C19747" i="1"/>
  <c r="N19747" i="1"/>
  <c r="A19748" i="1"/>
  <c r="C19748" i="1"/>
  <c r="N19748" i="1"/>
  <c r="A19749" i="1"/>
  <c r="C19749" i="1"/>
  <c r="N19749" i="1"/>
  <c r="A19750" i="1"/>
  <c r="C19750" i="1"/>
  <c r="N19750" i="1"/>
  <c r="A19751" i="1"/>
  <c r="C19751" i="1"/>
  <c r="N19751" i="1"/>
  <c r="A19752" i="1"/>
  <c r="C19752" i="1"/>
  <c r="N19752" i="1"/>
  <c r="A19753" i="1"/>
  <c r="C19753" i="1"/>
  <c r="N19753" i="1"/>
  <c r="A19754" i="1"/>
  <c r="C19754" i="1"/>
  <c r="N19754" i="1"/>
  <c r="A19755" i="1"/>
  <c r="C19755" i="1"/>
  <c r="N19755" i="1"/>
  <c r="A19756" i="1"/>
  <c r="C19756" i="1"/>
  <c r="N19756" i="1"/>
  <c r="A19757" i="1"/>
  <c r="C19757" i="1"/>
  <c r="N19757" i="1"/>
  <c r="A19758" i="1"/>
  <c r="C19758" i="1"/>
  <c r="N19758" i="1"/>
  <c r="A19759" i="1"/>
  <c r="C19759" i="1"/>
  <c r="N19759" i="1"/>
  <c r="A19760" i="1"/>
  <c r="C19760" i="1"/>
  <c r="N19760" i="1"/>
  <c r="A19761" i="1"/>
  <c r="C19761" i="1"/>
  <c r="N19761" i="1"/>
  <c r="A19762" i="1"/>
  <c r="C19762" i="1"/>
  <c r="N19762" i="1"/>
  <c r="A19763" i="1"/>
  <c r="C19763" i="1"/>
  <c r="N19763" i="1"/>
  <c r="A19764" i="1"/>
  <c r="C19764" i="1"/>
  <c r="N19764" i="1"/>
  <c r="A19765" i="1"/>
  <c r="C19765" i="1"/>
  <c r="N19765" i="1"/>
  <c r="A19766" i="1"/>
  <c r="C19766" i="1"/>
  <c r="N19766" i="1"/>
  <c r="A19767" i="1"/>
  <c r="C19767" i="1"/>
  <c r="N19767" i="1"/>
  <c r="A19768" i="1"/>
  <c r="C19768" i="1"/>
  <c r="N19768" i="1"/>
  <c r="A19769" i="1"/>
  <c r="C19769" i="1"/>
  <c r="N19769" i="1"/>
  <c r="A19770" i="1"/>
  <c r="C19770" i="1"/>
  <c r="N19770" i="1"/>
  <c r="A19771" i="1"/>
  <c r="C19771" i="1"/>
  <c r="N19771" i="1"/>
  <c r="A19772" i="1"/>
  <c r="C19772" i="1"/>
  <c r="F19772" i="1"/>
  <c r="N19772" i="1"/>
  <c r="A19773" i="1"/>
  <c r="C19773" i="1"/>
  <c r="F19773" i="1"/>
  <c r="N19773" i="1"/>
  <c r="A19774" i="1"/>
  <c r="C19774" i="1"/>
  <c r="F19774" i="1"/>
  <c r="N19774" i="1"/>
  <c r="A19775" i="1"/>
  <c r="C19775" i="1"/>
  <c r="F19775" i="1"/>
  <c r="N19775" i="1"/>
  <c r="A19776" i="1"/>
  <c r="C19776" i="1"/>
  <c r="N19776" i="1"/>
  <c r="A19777" i="1"/>
  <c r="C19777" i="1"/>
  <c r="N19777" i="1"/>
  <c r="A19778" i="1"/>
  <c r="C19778" i="1"/>
  <c r="N19778" i="1"/>
  <c r="A19779" i="1"/>
  <c r="C19779" i="1"/>
  <c r="N19779" i="1"/>
  <c r="A19780" i="1"/>
  <c r="C19780" i="1"/>
  <c r="N19780" i="1"/>
  <c r="A19781" i="1"/>
  <c r="C19781" i="1"/>
  <c r="N19781" i="1"/>
  <c r="A19782" i="1"/>
  <c r="C19782" i="1"/>
  <c r="N19782" i="1"/>
  <c r="A19783" i="1"/>
  <c r="C19783" i="1"/>
  <c r="N19783" i="1"/>
  <c r="A19784" i="1"/>
  <c r="C19784" i="1"/>
  <c r="N19784" i="1"/>
  <c r="A19785" i="1"/>
  <c r="C19785" i="1"/>
  <c r="N19785" i="1"/>
  <c r="A19786" i="1"/>
  <c r="C19786" i="1"/>
  <c r="N19786" i="1"/>
  <c r="A19787" i="1"/>
  <c r="C19787" i="1"/>
  <c r="N19787" i="1"/>
  <c r="A19788" i="1"/>
  <c r="C19788" i="1"/>
  <c r="N19788" i="1"/>
  <c r="A19789" i="1"/>
  <c r="C19789" i="1"/>
  <c r="N19789" i="1"/>
  <c r="A19790" i="1"/>
  <c r="C19790" i="1"/>
  <c r="N19790" i="1"/>
  <c r="A19791" i="1"/>
  <c r="C19791" i="1"/>
  <c r="N19791" i="1"/>
  <c r="A19792" i="1"/>
  <c r="C19792" i="1"/>
  <c r="N19792" i="1"/>
  <c r="A19793" i="1"/>
  <c r="C19793" i="1"/>
  <c r="N19793" i="1"/>
  <c r="A19794" i="1"/>
  <c r="C19794" i="1"/>
  <c r="N19794" i="1"/>
  <c r="A19795" i="1"/>
  <c r="C19795" i="1"/>
  <c r="N19795" i="1"/>
  <c r="A19796" i="1"/>
  <c r="C19796" i="1"/>
  <c r="N19796" i="1"/>
  <c r="A19797" i="1"/>
  <c r="C19797" i="1"/>
  <c r="N19797" i="1"/>
  <c r="A19798" i="1"/>
  <c r="C19798" i="1"/>
  <c r="N19798" i="1"/>
  <c r="A19799" i="1"/>
  <c r="C19799" i="1"/>
  <c r="N19799" i="1"/>
  <c r="A19800" i="1"/>
  <c r="C19800" i="1"/>
  <c r="N19800" i="1"/>
  <c r="A19801" i="1"/>
  <c r="C19801" i="1"/>
  <c r="N19801" i="1"/>
  <c r="A19802" i="1"/>
  <c r="C19802" i="1"/>
  <c r="N19802" i="1"/>
  <c r="A19803" i="1"/>
  <c r="C19803" i="1"/>
  <c r="N19803" i="1"/>
  <c r="A19804" i="1"/>
  <c r="C19804" i="1"/>
  <c r="F19804" i="1"/>
  <c r="N19804" i="1"/>
  <c r="A19805" i="1"/>
  <c r="C19805" i="1"/>
  <c r="N19805" i="1"/>
  <c r="A19806" i="1"/>
  <c r="C19806" i="1"/>
  <c r="N19806" i="1"/>
  <c r="A19807" i="1"/>
  <c r="C19807" i="1"/>
  <c r="N19807" i="1"/>
  <c r="A19808" i="1"/>
  <c r="C19808" i="1"/>
  <c r="N19808" i="1"/>
  <c r="A19809" i="1"/>
  <c r="C19809" i="1"/>
  <c r="N19809" i="1"/>
  <c r="A19810" i="1"/>
  <c r="C19810" i="1"/>
  <c r="N19810" i="1"/>
  <c r="A19811" i="1"/>
  <c r="C19811" i="1"/>
  <c r="N19811" i="1"/>
  <c r="A19812" i="1"/>
  <c r="C19812" i="1"/>
  <c r="N19812" i="1"/>
  <c r="A19813" i="1"/>
  <c r="C19813" i="1"/>
  <c r="N19813" i="1"/>
  <c r="A19814" i="1"/>
  <c r="C19814" i="1"/>
  <c r="N19814" i="1"/>
  <c r="A19815" i="1"/>
  <c r="C19815" i="1"/>
  <c r="N19815" i="1"/>
  <c r="A19816" i="1"/>
  <c r="C19816" i="1"/>
  <c r="N19816" i="1"/>
  <c r="A19817" i="1"/>
  <c r="C19817" i="1"/>
  <c r="N19817" i="1"/>
  <c r="A19818" i="1"/>
  <c r="C19818" i="1"/>
  <c r="N19818" i="1"/>
  <c r="A19819" i="1"/>
  <c r="C19819" i="1"/>
  <c r="N19819" i="1"/>
  <c r="A19820" i="1"/>
  <c r="C19820" i="1"/>
  <c r="N19820" i="1"/>
  <c r="A19821" i="1"/>
  <c r="C19821" i="1"/>
  <c r="N19821" i="1"/>
  <c r="A19822" i="1"/>
  <c r="C19822" i="1"/>
  <c r="N19822" i="1"/>
  <c r="A19823" i="1"/>
  <c r="C19823" i="1"/>
  <c r="N19823" i="1"/>
  <c r="A19824" i="1"/>
  <c r="C19824" i="1"/>
  <c r="N19824" i="1"/>
  <c r="A19825" i="1"/>
  <c r="C19825" i="1"/>
  <c r="N19825" i="1"/>
  <c r="A19826" i="1"/>
  <c r="C19826" i="1"/>
  <c r="N19826" i="1"/>
  <c r="A19827" i="1"/>
  <c r="C19827" i="1"/>
  <c r="N19827" i="1"/>
  <c r="A19828" i="1"/>
  <c r="C19828" i="1"/>
  <c r="N19828" i="1"/>
  <c r="A19829" i="1"/>
  <c r="C19829" i="1"/>
  <c r="K19829" i="1"/>
  <c r="N19829" i="1"/>
  <c r="A19830" i="1"/>
  <c r="C19830" i="1"/>
  <c r="K19830" i="1"/>
  <c r="N19830" i="1"/>
  <c r="A19831" i="1"/>
  <c r="C19831" i="1"/>
  <c r="N19831" i="1"/>
  <c r="A19832" i="1"/>
  <c r="C19832" i="1"/>
  <c r="N19832" i="1"/>
  <c r="A19833" i="1"/>
  <c r="C19833" i="1"/>
  <c r="N19833" i="1"/>
  <c r="A19834" i="1"/>
  <c r="C19834" i="1"/>
  <c r="N19834" i="1"/>
  <c r="A19835" i="1"/>
  <c r="C19835" i="1"/>
  <c r="N19835" i="1"/>
  <c r="A19836" i="1"/>
  <c r="C19836" i="1"/>
  <c r="N19836" i="1"/>
  <c r="A19837" i="1"/>
  <c r="C19837" i="1"/>
  <c r="N19837" i="1"/>
  <c r="A19838" i="1"/>
  <c r="C19838" i="1"/>
  <c r="N19838" i="1"/>
  <c r="A19839" i="1"/>
  <c r="C19839" i="1"/>
  <c r="N19839" i="1"/>
  <c r="A19840" i="1"/>
  <c r="C19840" i="1"/>
  <c r="N19840" i="1"/>
  <c r="A19841" i="1"/>
  <c r="C19841" i="1"/>
  <c r="N19841" i="1"/>
  <c r="A19842" i="1"/>
  <c r="C19842" i="1"/>
  <c r="N19842" i="1"/>
  <c r="A19843" i="1"/>
  <c r="C19843" i="1"/>
  <c r="N19843" i="1"/>
  <c r="A19844" i="1"/>
  <c r="C19844" i="1"/>
  <c r="E19844" i="1"/>
  <c r="N19844" i="1"/>
  <c r="T19844" i="1"/>
  <c r="A19845" i="1"/>
  <c r="C19845" i="1"/>
  <c r="E19845" i="1"/>
  <c r="N19845" i="1"/>
  <c r="T19845" i="1"/>
  <c r="A19846" i="1"/>
  <c r="C19846" i="1"/>
  <c r="N19846" i="1"/>
  <c r="A19847" i="1"/>
  <c r="C19847" i="1"/>
  <c r="N19847" i="1"/>
  <c r="A19848" i="1"/>
  <c r="C19848" i="1"/>
  <c r="N19848" i="1"/>
  <c r="A19849" i="1"/>
  <c r="C19849" i="1"/>
  <c r="N19849" i="1"/>
  <c r="A19850" i="1"/>
  <c r="C19850" i="1"/>
  <c r="N19850" i="1"/>
  <c r="A19851" i="1"/>
  <c r="C19851" i="1"/>
  <c r="K19851" i="1"/>
  <c r="N19851" i="1"/>
  <c r="A19852" i="1"/>
  <c r="C19852" i="1"/>
  <c r="K19852" i="1"/>
  <c r="N19852" i="1"/>
  <c r="A19853" i="1"/>
  <c r="C19853" i="1"/>
  <c r="K19853" i="1"/>
  <c r="N19853" i="1"/>
  <c r="A19854" i="1"/>
  <c r="C19854" i="1"/>
  <c r="N19854" i="1"/>
  <c r="A19855" i="1"/>
  <c r="C19855" i="1"/>
  <c r="N19855" i="1"/>
  <c r="A19856" i="1"/>
  <c r="C19856" i="1"/>
  <c r="N19856" i="1"/>
  <c r="A19857" i="1"/>
  <c r="C19857" i="1"/>
  <c r="N19857" i="1"/>
  <c r="A19858" i="1"/>
  <c r="C19858" i="1"/>
  <c r="N19858" i="1"/>
  <c r="A19859" i="1"/>
  <c r="C19859" i="1"/>
  <c r="N19859" i="1"/>
  <c r="A19860" i="1"/>
  <c r="C19860" i="1"/>
  <c r="N19860" i="1"/>
  <c r="A19861" i="1"/>
  <c r="C19861" i="1"/>
  <c r="N19861" i="1"/>
  <c r="A19862" i="1"/>
  <c r="C19862" i="1"/>
  <c r="N19862" i="1"/>
  <c r="A19863" i="1"/>
  <c r="C19863" i="1"/>
  <c r="N19863" i="1"/>
  <c r="A19864" i="1"/>
  <c r="C19864" i="1"/>
  <c r="N19864" i="1"/>
  <c r="A19865" i="1"/>
  <c r="C19865" i="1"/>
  <c r="N19865" i="1"/>
  <c r="A19866" i="1"/>
  <c r="C19866" i="1"/>
  <c r="N19866" i="1"/>
  <c r="A19867" i="1"/>
  <c r="C19867" i="1"/>
  <c r="N19867" i="1"/>
  <c r="A19868" i="1"/>
  <c r="C19868" i="1"/>
  <c r="K19868" i="1"/>
  <c r="N19868" i="1"/>
  <c r="A19869" i="1"/>
  <c r="C19869" i="1"/>
  <c r="N19869" i="1"/>
  <c r="A19870" i="1"/>
  <c r="C19870" i="1"/>
  <c r="N19870" i="1"/>
  <c r="A19871" i="1"/>
  <c r="C19871" i="1"/>
  <c r="N19871" i="1"/>
  <c r="A19872" i="1"/>
  <c r="C19872" i="1"/>
  <c r="N19872" i="1"/>
  <c r="A19873" i="1"/>
  <c r="C19873" i="1"/>
  <c r="N19873" i="1"/>
  <c r="A19874" i="1"/>
  <c r="C19874" i="1"/>
  <c r="N19874" i="1"/>
  <c r="A19875" i="1"/>
  <c r="C19875" i="1"/>
  <c r="N19875" i="1"/>
  <c r="A19876" i="1"/>
  <c r="C19876" i="1"/>
  <c r="N19876" i="1"/>
  <c r="A19877" i="1"/>
  <c r="C19877" i="1"/>
  <c r="N19877" i="1"/>
  <c r="A19878" i="1"/>
  <c r="C19878" i="1"/>
  <c r="N19878" i="1"/>
  <c r="A19879" i="1"/>
  <c r="C19879" i="1"/>
  <c r="D19879" i="1"/>
  <c r="N19879" i="1"/>
  <c r="O19879" i="1"/>
  <c r="A19880" i="1"/>
  <c r="C19880" i="1"/>
  <c r="D19880" i="1"/>
  <c r="N19880" i="1"/>
  <c r="O19880" i="1"/>
  <c r="A19881" i="1"/>
  <c r="C19881" i="1"/>
  <c r="D19881" i="1"/>
  <c r="N19881" i="1"/>
  <c r="O19881" i="1"/>
  <c r="A19882" i="1"/>
  <c r="C19882" i="1"/>
  <c r="D19882" i="1"/>
  <c r="N19882" i="1"/>
  <c r="O19882" i="1"/>
  <c r="A19883" i="1"/>
  <c r="C19883" i="1"/>
  <c r="D19883" i="1"/>
  <c r="N19883" i="1"/>
  <c r="O19883" i="1"/>
  <c r="A19884" i="1"/>
  <c r="C19884" i="1"/>
  <c r="N19884" i="1"/>
  <c r="A19885" i="1"/>
  <c r="C19885" i="1"/>
  <c r="N19885" i="1"/>
  <c r="A19886" i="1"/>
  <c r="C19886" i="1"/>
  <c r="N19886" i="1"/>
  <c r="A19887" i="1"/>
  <c r="C19887" i="1"/>
  <c r="N19887" i="1"/>
  <c r="A19888" i="1"/>
  <c r="C19888" i="1"/>
  <c r="N19888" i="1"/>
  <c r="A19889" i="1"/>
  <c r="C19889" i="1"/>
  <c r="N19889" i="1"/>
  <c r="A19890" i="1"/>
  <c r="C19890" i="1"/>
  <c r="N19890" i="1"/>
  <c r="A19891" i="1"/>
  <c r="C19891" i="1"/>
  <c r="N19891" i="1"/>
  <c r="A19892" i="1"/>
  <c r="C19892" i="1"/>
  <c r="N19892" i="1"/>
  <c r="A19893" i="1"/>
  <c r="C19893" i="1"/>
  <c r="K19893" i="1"/>
  <c r="N19893" i="1"/>
  <c r="A19894" i="1"/>
  <c r="C19894" i="1"/>
  <c r="K19894" i="1"/>
  <c r="N19894" i="1"/>
  <c r="A19895" i="1"/>
  <c r="C19895" i="1"/>
  <c r="K19895" i="1"/>
  <c r="N19895" i="1"/>
  <c r="A19896" i="1"/>
  <c r="C19896" i="1"/>
  <c r="K19896" i="1"/>
  <c r="N19896" i="1"/>
  <c r="A19897" i="1"/>
  <c r="C19897" i="1"/>
  <c r="K19897" i="1"/>
  <c r="N19897" i="1"/>
  <c r="A19898" i="1"/>
  <c r="C19898" i="1"/>
  <c r="K19898" i="1"/>
  <c r="N19898" i="1"/>
  <c r="A19899" i="1"/>
  <c r="C19899" i="1"/>
  <c r="K19899" i="1"/>
  <c r="N19899" i="1"/>
  <c r="A19900" i="1"/>
  <c r="C19900" i="1"/>
  <c r="N19900" i="1"/>
  <c r="A19901" i="1"/>
  <c r="C19901" i="1"/>
  <c r="N19901" i="1"/>
  <c r="A19902" i="1"/>
  <c r="C19902" i="1"/>
  <c r="N19902" i="1"/>
  <c r="A19903" i="1"/>
  <c r="C19903" i="1"/>
  <c r="E19903" i="1"/>
  <c r="N19903" i="1"/>
  <c r="T19903" i="1"/>
  <c r="A19904" i="1"/>
  <c r="C19904" i="1"/>
  <c r="N19904" i="1"/>
  <c r="A19905" i="1"/>
  <c r="C19905" i="1"/>
  <c r="N19905" i="1"/>
  <c r="A19906" i="1"/>
  <c r="C19906" i="1"/>
  <c r="K19906" i="1"/>
  <c r="N19906" i="1"/>
  <c r="A19907" i="1"/>
  <c r="C19907" i="1"/>
  <c r="N19907" i="1"/>
  <c r="A19908" i="1"/>
  <c r="C19908" i="1"/>
  <c r="N19908" i="1"/>
  <c r="A19909" i="1"/>
  <c r="C19909" i="1"/>
  <c r="N19909" i="1"/>
  <c r="A19910" i="1"/>
  <c r="C19910" i="1"/>
  <c r="N19910" i="1"/>
  <c r="A19911" i="1"/>
  <c r="C19911" i="1"/>
  <c r="N19911" i="1"/>
  <c r="A19912" i="1"/>
  <c r="C19912" i="1"/>
  <c r="F19912" i="1"/>
  <c r="N19912" i="1"/>
  <c r="A19913" i="1"/>
  <c r="C19913" i="1"/>
  <c r="N19913" i="1"/>
  <c r="A19914" i="1"/>
  <c r="C19914" i="1"/>
  <c r="N19914" i="1"/>
  <c r="A19915" i="1"/>
  <c r="C19915" i="1"/>
  <c r="N19915" i="1"/>
  <c r="A19916" i="1"/>
  <c r="C19916" i="1"/>
  <c r="N19916" i="1"/>
  <c r="A19917" i="1"/>
  <c r="C19917" i="1"/>
  <c r="N19917" i="1"/>
  <c r="A19918" i="1"/>
  <c r="C19918" i="1"/>
  <c r="N19918" i="1"/>
  <c r="A19919" i="1"/>
  <c r="C19919" i="1"/>
  <c r="N19919" i="1"/>
  <c r="A19920" i="1"/>
  <c r="C19920" i="1"/>
  <c r="N19920" i="1"/>
  <c r="A19921" i="1"/>
  <c r="C19921" i="1"/>
  <c r="N19921" i="1"/>
  <c r="A19922" i="1"/>
  <c r="C19922" i="1"/>
  <c r="N19922" i="1"/>
  <c r="A19923" i="1"/>
  <c r="C19923" i="1"/>
  <c r="N19923" i="1"/>
  <c r="A19924" i="1"/>
  <c r="C19924" i="1"/>
  <c r="N19924" i="1"/>
  <c r="A19925" i="1"/>
  <c r="C19925" i="1"/>
  <c r="N19925" i="1"/>
  <c r="A19926" i="1"/>
  <c r="C19926" i="1"/>
  <c r="N19926" i="1"/>
  <c r="A19927" i="1"/>
  <c r="C19927" i="1"/>
  <c r="N19927" i="1"/>
  <c r="A19928" i="1"/>
  <c r="C19928" i="1"/>
  <c r="N19928" i="1"/>
  <c r="A19929" i="1"/>
  <c r="C19929" i="1"/>
  <c r="N19929" i="1"/>
  <c r="A19930" i="1"/>
  <c r="C19930" i="1"/>
  <c r="N19930" i="1"/>
  <c r="A19931" i="1"/>
  <c r="C19931" i="1"/>
  <c r="N19931" i="1"/>
  <c r="A19932" i="1"/>
  <c r="C19932" i="1"/>
  <c r="N19932" i="1"/>
  <c r="A19933" i="1"/>
  <c r="C19933" i="1"/>
  <c r="N19933" i="1"/>
  <c r="A19934" i="1"/>
  <c r="C19934" i="1"/>
  <c r="N19934" i="1"/>
  <c r="A19935" i="1"/>
  <c r="C19935" i="1"/>
  <c r="N19935" i="1"/>
  <c r="A19936" i="1"/>
  <c r="C19936" i="1"/>
  <c r="N19936" i="1"/>
  <c r="A19937" i="1"/>
  <c r="C19937" i="1"/>
  <c r="N19937" i="1"/>
  <c r="A19938" i="1"/>
  <c r="C19938" i="1"/>
  <c r="N19938" i="1"/>
  <c r="A19939" i="1"/>
  <c r="C19939" i="1"/>
  <c r="K19939" i="1"/>
  <c r="N19939" i="1"/>
  <c r="A19940" i="1"/>
  <c r="C19940" i="1"/>
  <c r="E19940" i="1"/>
  <c r="N19940" i="1"/>
  <c r="T19940" i="1"/>
  <c r="A19941" i="1"/>
  <c r="C19941" i="1"/>
  <c r="K19941" i="1"/>
  <c r="N19941" i="1"/>
  <c r="A19942" i="1"/>
  <c r="C19942" i="1"/>
  <c r="N19942" i="1"/>
  <c r="A19943" i="1"/>
  <c r="C19943" i="1"/>
  <c r="N19943" i="1"/>
  <c r="A19944" i="1"/>
  <c r="C19944" i="1"/>
  <c r="N19944" i="1"/>
  <c r="A19945" i="1"/>
  <c r="C19945" i="1"/>
  <c r="N19945" i="1"/>
  <c r="A19946" i="1"/>
  <c r="C19946" i="1"/>
  <c r="N19946" i="1"/>
  <c r="A19947" i="1"/>
  <c r="C19947" i="1"/>
  <c r="N19947" i="1"/>
  <c r="A19948" i="1"/>
  <c r="C19948" i="1"/>
  <c r="N19948" i="1"/>
  <c r="A19949" i="1"/>
  <c r="C19949" i="1"/>
  <c r="N19949" i="1"/>
  <c r="A19950" i="1"/>
  <c r="C19950" i="1"/>
  <c r="N19950" i="1"/>
  <c r="A19951" i="1"/>
  <c r="C19951" i="1"/>
  <c r="N19951" i="1"/>
  <c r="A19952" i="1"/>
  <c r="C19952" i="1"/>
  <c r="N19952" i="1"/>
  <c r="A19953" i="1"/>
  <c r="C19953" i="1"/>
  <c r="N19953" i="1"/>
  <c r="A19954" i="1"/>
  <c r="C19954" i="1"/>
  <c r="N19954" i="1"/>
  <c r="A19955" i="1"/>
  <c r="C19955" i="1"/>
  <c r="N19955" i="1"/>
  <c r="A19956" i="1"/>
  <c r="C19956" i="1"/>
  <c r="N19956" i="1"/>
  <c r="A19957" i="1"/>
  <c r="C19957" i="1"/>
  <c r="N19957" i="1"/>
  <c r="A19958" i="1"/>
  <c r="C19958" i="1"/>
  <c r="N19958" i="1"/>
  <c r="A19959" i="1"/>
  <c r="C19959" i="1"/>
  <c r="N19959" i="1"/>
  <c r="A19960" i="1"/>
  <c r="C19960" i="1"/>
  <c r="N19960" i="1"/>
  <c r="A19961" i="1"/>
  <c r="C19961" i="1"/>
  <c r="N19961" i="1"/>
  <c r="A19962" i="1"/>
  <c r="C19962" i="1"/>
  <c r="N19962" i="1"/>
  <c r="A19963" i="1"/>
  <c r="C19963" i="1"/>
  <c r="N19963" i="1"/>
  <c r="A19964" i="1"/>
  <c r="C19964" i="1"/>
  <c r="N19964" i="1"/>
  <c r="A19965" i="1"/>
  <c r="C19965" i="1"/>
  <c r="N19965" i="1"/>
  <c r="A19966" i="1"/>
  <c r="C19966" i="1"/>
  <c r="N19966" i="1"/>
  <c r="A19967" i="1"/>
  <c r="C19967" i="1"/>
  <c r="N19967" i="1"/>
  <c r="A19968" i="1"/>
  <c r="C19968" i="1"/>
  <c r="N19968" i="1"/>
  <c r="A19969" i="1"/>
  <c r="C19969" i="1"/>
  <c r="N19969" i="1"/>
  <c r="A19970" i="1"/>
  <c r="C19970" i="1"/>
  <c r="N19970" i="1"/>
  <c r="A19971" i="1"/>
  <c r="C19971" i="1"/>
  <c r="N19971" i="1"/>
  <c r="A19972" i="1"/>
  <c r="C19972" i="1"/>
  <c r="N19972" i="1"/>
  <c r="A19973" i="1"/>
  <c r="C19973" i="1"/>
  <c r="N19973" i="1"/>
  <c r="A19974" i="1"/>
  <c r="C19974" i="1"/>
  <c r="N19974" i="1"/>
  <c r="A19975" i="1"/>
  <c r="C19975" i="1"/>
  <c r="N19975" i="1"/>
  <c r="A19976" i="1"/>
  <c r="C19976" i="1"/>
  <c r="N19976" i="1"/>
  <c r="A19977" i="1"/>
  <c r="C19977" i="1"/>
  <c r="N19977" i="1"/>
  <c r="A19978" i="1"/>
  <c r="C19978" i="1"/>
  <c r="N19978" i="1"/>
  <c r="A19979" i="1"/>
  <c r="C19979" i="1"/>
  <c r="N19979" i="1"/>
  <c r="A19980" i="1"/>
  <c r="C19980" i="1"/>
  <c r="F19980" i="1"/>
  <c r="N19980" i="1"/>
  <c r="A19981" i="1"/>
  <c r="C19981" i="1"/>
  <c r="N19981" i="1"/>
  <c r="A19982" i="1"/>
  <c r="C19982" i="1"/>
  <c r="N19982" i="1"/>
  <c r="A19983" i="1"/>
  <c r="C19983" i="1"/>
  <c r="N19983" i="1"/>
  <c r="A19984" i="1"/>
  <c r="C19984" i="1"/>
  <c r="N19984" i="1"/>
  <c r="A19985" i="1"/>
  <c r="C19985" i="1"/>
  <c r="K19985" i="1"/>
  <c r="N19985" i="1"/>
  <c r="A19986" i="1"/>
  <c r="C19986" i="1"/>
  <c r="K19986" i="1"/>
  <c r="N19986" i="1"/>
  <c r="A19987" i="1"/>
  <c r="C19987" i="1"/>
  <c r="N19987" i="1"/>
  <c r="A19988" i="1"/>
  <c r="C19988" i="1"/>
  <c r="N19988" i="1"/>
  <c r="A19989" i="1"/>
  <c r="C19989" i="1"/>
  <c r="N19989" i="1"/>
  <c r="A19990" i="1"/>
  <c r="C19990" i="1"/>
  <c r="N19990" i="1"/>
  <c r="A19991" i="1"/>
  <c r="C19991" i="1"/>
  <c r="N19991" i="1"/>
  <c r="A19992" i="1"/>
  <c r="C19992" i="1"/>
  <c r="N19992" i="1"/>
  <c r="A19993" i="1"/>
  <c r="C19993" i="1"/>
  <c r="N19993" i="1"/>
  <c r="A19994" i="1"/>
  <c r="C19994" i="1"/>
  <c r="N19994" i="1"/>
  <c r="A19995" i="1"/>
  <c r="C19995" i="1"/>
  <c r="N19995" i="1"/>
  <c r="A19996" i="1"/>
  <c r="C19996" i="1"/>
  <c r="N19996" i="1"/>
  <c r="A19997" i="1"/>
  <c r="C19997" i="1"/>
  <c r="N19997" i="1"/>
  <c r="A19998" i="1"/>
  <c r="C19998" i="1"/>
  <c r="N19998" i="1"/>
  <c r="A19999" i="1"/>
  <c r="C19999" i="1"/>
  <c r="N19999" i="1"/>
  <c r="A20000" i="1"/>
  <c r="C20000" i="1"/>
  <c r="N20000" i="1"/>
  <c r="A20001" i="1"/>
  <c r="C20001" i="1"/>
  <c r="N20001" i="1"/>
  <c r="A20002" i="1"/>
  <c r="C20002" i="1"/>
  <c r="N20002" i="1"/>
  <c r="A20003" i="1"/>
  <c r="C20003" i="1"/>
  <c r="N20003" i="1"/>
  <c r="A20004" i="1"/>
  <c r="C20004" i="1"/>
  <c r="N20004" i="1"/>
  <c r="A20005" i="1"/>
  <c r="C20005" i="1"/>
  <c r="N20005" i="1"/>
  <c r="A20006" i="1"/>
  <c r="C20006" i="1"/>
  <c r="N20006" i="1"/>
  <c r="A20007" i="1"/>
  <c r="C20007" i="1"/>
  <c r="K20007" i="1"/>
  <c r="N20007" i="1"/>
  <c r="A20008" i="1"/>
  <c r="C20008" i="1"/>
  <c r="N20008" i="1"/>
  <c r="A20009" i="1"/>
  <c r="C20009" i="1"/>
  <c r="N20009" i="1"/>
  <c r="A20010" i="1"/>
  <c r="C20010" i="1"/>
  <c r="N20010" i="1"/>
  <c r="A20011" i="1"/>
  <c r="C20011" i="1"/>
  <c r="N20011" i="1"/>
  <c r="A20012" i="1"/>
  <c r="C20012" i="1"/>
  <c r="N20012" i="1"/>
  <c r="A20013" i="1"/>
  <c r="C20013" i="1"/>
  <c r="N20013" i="1"/>
  <c r="A20014" i="1"/>
  <c r="C20014" i="1"/>
  <c r="N20014" i="1"/>
  <c r="A20015" i="1"/>
  <c r="C20015" i="1"/>
  <c r="N20015" i="1"/>
  <c r="A20016" i="1"/>
  <c r="C20016" i="1"/>
  <c r="N20016" i="1"/>
  <c r="A20017" i="1"/>
  <c r="C20017" i="1"/>
  <c r="N20017" i="1"/>
  <c r="A20018" i="1"/>
  <c r="C20018" i="1"/>
  <c r="N20018" i="1"/>
  <c r="A20019" i="1"/>
  <c r="C20019" i="1"/>
  <c r="N20019" i="1"/>
  <c r="A20020" i="1"/>
  <c r="C20020" i="1"/>
  <c r="N20020" i="1"/>
  <c r="A20021" i="1"/>
  <c r="C20021" i="1"/>
  <c r="N20021" i="1"/>
  <c r="A20022" i="1"/>
  <c r="C20022" i="1"/>
  <c r="N20022" i="1"/>
  <c r="A20023" i="1"/>
  <c r="C20023" i="1"/>
  <c r="N20023" i="1"/>
  <c r="A20024" i="1"/>
  <c r="C20024" i="1"/>
  <c r="N20024" i="1"/>
  <c r="A20025" i="1"/>
  <c r="C20025" i="1"/>
  <c r="N20025" i="1"/>
  <c r="A20026" i="1"/>
  <c r="C20026" i="1"/>
  <c r="N20026" i="1"/>
  <c r="A20027" i="1"/>
  <c r="C20027" i="1"/>
  <c r="N20027" i="1"/>
  <c r="A20028" i="1"/>
  <c r="C20028" i="1"/>
  <c r="N20028" i="1"/>
  <c r="A20029" i="1"/>
  <c r="C20029" i="1"/>
  <c r="N20029" i="1"/>
  <c r="A20030" i="1"/>
  <c r="C20030" i="1"/>
  <c r="N20030" i="1"/>
  <c r="A20031" i="1"/>
  <c r="C20031" i="1"/>
  <c r="N20031" i="1"/>
  <c r="A20032" i="1"/>
  <c r="C20032" i="1"/>
  <c r="N20032" i="1"/>
  <c r="A20033" i="1"/>
  <c r="C20033" i="1"/>
  <c r="N20033" i="1"/>
  <c r="A20034" i="1"/>
  <c r="C20034" i="1"/>
  <c r="N20034" i="1"/>
  <c r="A20035" i="1"/>
  <c r="C20035" i="1"/>
  <c r="N20035" i="1"/>
  <c r="A20036" i="1"/>
  <c r="C20036" i="1"/>
  <c r="N20036" i="1"/>
  <c r="A20037" i="1"/>
  <c r="C20037" i="1"/>
  <c r="N20037" i="1"/>
  <c r="A20038" i="1"/>
  <c r="C20038" i="1"/>
  <c r="N20038" i="1"/>
  <c r="A20039" i="1"/>
  <c r="C20039" i="1"/>
  <c r="N20039" i="1"/>
  <c r="A20040" i="1"/>
  <c r="C20040" i="1"/>
  <c r="N20040" i="1"/>
  <c r="A20041" i="1"/>
  <c r="C20041" i="1"/>
  <c r="E20041" i="1"/>
  <c r="N20041" i="1"/>
  <c r="T20041" i="1"/>
  <c r="A20042" i="1"/>
  <c r="C20042" i="1"/>
  <c r="N20042" i="1"/>
  <c r="A20043" i="1"/>
  <c r="C20043" i="1"/>
  <c r="N20043" i="1"/>
  <c r="A20044" i="1"/>
  <c r="C20044" i="1"/>
  <c r="N20044" i="1"/>
  <c r="A20045" i="1"/>
  <c r="C20045" i="1"/>
  <c r="K20045" i="1"/>
  <c r="N20045" i="1"/>
  <c r="A20046" i="1"/>
  <c r="C20046" i="1"/>
  <c r="K20046" i="1"/>
  <c r="N20046" i="1"/>
  <c r="A20047" i="1"/>
  <c r="C20047" i="1"/>
  <c r="N20047" i="1"/>
  <c r="A20048" i="1"/>
  <c r="C20048" i="1"/>
  <c r="N20048" i="1"/>
  <c r="A20049" i="1"/>
  <c r="C20049" i="1"/>
  <c r="N20049" i="1"/>
  <c r="A20050" i="1"/>
  <c r="C20050" i="1"/>
  <c r="K20050" i="1"/>
  <c r="N20050" i="1"/>
  <c r="A20051" i="1"/>
  <c r="C20051" i="1"/>
  <c r="N20051" i="1"/>
  <c r="A20052" i="1"/>
  <c r="C20052" i="1"/>
  <c r="N20052" i="1"/>
  <c r="A20053" i="1"/>
  <c r="C20053" i="1"/>
  <c r="K20053" i="1"/>
  <c r="N20053" i="1"/>
  <c r="A20054" i="1"/>
  <c r="C20054" i="1"/>
  <c r="N20054" i="1"/>
  <c r="A20055" i="1"/>
  <c r="C20055" i="1"/>
  <c r="N20055" i="1"/>
  <c r="A20056" i="1"/>
  <c r="C20056" i="1"/>
  <c r="N20056" i="1"/>
  <c r="A20057" i="1"/>
  <c r="C20057" i="1"/>
  <c r="N20057" i="1"/>
  <c r="A20058" i="1"/>
  <c r="C20058" i="1"/>
  <c r="N20058" i="1"/>
  <c r="A20059" i="1"/>
  <c r="C20059" i="1"/>
  <c r="N20059" i="1"/>
  <c r="A20060" i="1"/>
  <c r="C20060" i="1"/>
  <c r="N20060" i="1"/>
  <c r="A20061" i="1"/>
  <c r="C20061" i="1"/>
  <c r="K20061" i="1"/>
  <c r="N20061" i="1"/>
  <c r="A20062" i="1"/>
  <c r="C20062" i="1"/>
  <c r="N20062" i="1"/>
  <c r="A20063" i="1"/>
  <c r="C20063" i="1"/>
  <c r="N20063" i="1"/>
  <c r="A20064" i="1"/>
  <c r="C20064" i="1"/>
  <c r="K20064" i="1"/>
  <c r="N20064" i="1"/>
  <c r="A20065" i="1"/>
  <c r="C20065" i="1"/>
  <c r="K20065" i="1"/>
  <c r="N20065" i="1"/>
  <c r="A20066" i="1"/>
  <c r="C20066" i="1"/>
  <c r="K20066" i="1"/>
  <c r="N20066" i="1"/>
  <c r="A20067" i="1"/>
  <c r="C20067" i="1"/>
  <c r="N20067" i="1"/>
  <c r="A20068" i="1"/>
  <c r="C20068" i="1"/>
  <c r="N20068" i="1"/>
  <c r="A20069" i="1"/>
  <c r="C20069" i="1"/>
  <c r="N20069" i="1"/>
  <c r="A20070" i="1"/>
  <c r="C20070" i="1"/>
  <c r="N20070" i="1"/>
  <c r="A20071" i="1"/>
  <c r="C20071" i="1"/>
  <c r="K20071" i="1"/>
  <c r="N20071" i="1"/>
  <c r="A20072" i="1"/>
  <c r="C20072" i="1"/>
  <c r="N20072" i="1"/>
  <c r="A20073" i="1"/>
  <c r="C20073" i="1"/>
  <c r="N20073" i="1"/>
  <c r="A20074" i="1"/>
  <c r="C20074" i="1"/>
  <c r="N20074" i="1"/>
  <c r="A20075" i="1"/>
  <c r="C20075" i="1"/>
  <c r="N20075" i="1"/>
  <c r="A20076" i="1"/>
  <c r="C20076" i="1"/>
  <c r="N20076" i="1"/>
  <c r="A20077" i="1"/>
  <c r="C20077" i="1"/>
  <c r="K20077" i="1"/>
  <c r="N20077" i="1"/>
  <c r="A20078" i="1"/>
  <c r="C20078" i="1"/>
  <c r="K20078" i="1"/>
  <c r="N20078" i="1"/>
  <c r="A20079" i="1"/>
  <c r="C20079" i="1"/>
  <c r="N20079" i="1"/>
  <c r="A20080" i="1"/>
  <c r="C20080" i="1"/>
  <c r="N20080" i="1"/>
  <c r="A20081" i="1"/>
  <c r="C20081" i="1"/>
  <c r="N20081" i="1"/>
  <c r="A20082" i="1"/>
  <c r="C20082" i="1"/>
  <c r="N20082" i="1"/>
  <c r="A20083" i="1"/>
  <c r="C20083" i="1"/>
  <c r="N20083" i="1"/>
  <c r="A20084" i="1"/>
  <c r="C20084" i="1"/>
  <c r="N20084" i="1"/>
  <c r="A20085" i="1"/>
  <c r="C20085" i="1"/>
  <c r="N20085" i="1"/>
  <c r="A20086" i="1"/>
  <c r="C20086" i="1"/>
  <c r="N20086" i="1"/>
  <c r="A20087" i="1"/>
  <c r="C20087" i="1"/>
  <c r="N20087" i="1"/>
  <c r="A20088" i="1"/>
  <c r="C20088" i="1"/>
  <c r="N20088" i="1"/>
  <c r="A20089" i="1"/>
  <c r="C20089" i="1"/>
  <c r="N20089" i="1"/>
  <c r="A20090" i="1"/>
  <c r="C20090" i="1"/>
  <c r="N20090" i="1"/>
  <c r="A20091" i="1"/>
  <c r="C20091" i="1"/>
  <c r="N20091" i="1"/>
  <c r="A20092" i="1"/>
  <c r="C20092" i="1"/>
  <c r="N20092" i="1"/>
  <c r="A20093" i="1"/>
  <c r="C20093" i="1"/>
  <c r="N20093" i="1"/>
  <c r="A20094" i="1"/>
  <c r="C20094" i="1"/>
  <c r="N20094" i="1"/>
  <c r="A20095" i="1"/>
  <c r="C20095" i="1"/>
  <c r="N20095" i="1"/>
  <c r="A20096" i="1"/>
  <c r="C20096" i="1"/>
  <c r="N20096" i="1"/>
  <c r="A20097" i="1"/>
  <c r="C20097" i="1"/>
  <c r="N20097" i="1"/>
  <c r="A20098" i="1"/>
  <c r="C20098" i="1"/>
  <c r="N20098" i="1"/>
  <c r="A20099" i="1"/>
  <c r="C20099" i="1"/>
  <c r="N20099" i="1"/>
  <c r="A20100" i="1"/>
  <c r="C20100" i="1"/>
  <c r="N20100" i="1"/>
  <c r="A20101" i="1"/>
  <c r="C20101" i="1"/>
  <c r="N20101" i="1"/>
  <c r="A20102" i="1"/>
  <c r="C20102" i="1"/>
  <c r="N20102" i="1"/>
  <c r="A20103" i="1"/>
  <c r="C20103" i="1"/>
  <c r="N20103" i="1"/>
  <c r="A20104" i="1"/>
  <c r="C20104" i="1"/>
  <c r="K20104" i="1"/>
  <c r="N20104" i="1"/>
  <c r="A20105" i="1"/>
  <c r="C20105" i="1"/>
  <c r="N20105" i="1"/>
  <c r="A20106" i="1"/>
  <c r="C20106" i="1"/>
  <c r="N20106" i="1"/>
  <c r="A20107" i="1"/>
  <c r="C20107" i="1"/>
  <c r="K20107" i="1"/>
  <c r="N20107" i="1"/>
  <c r="A20108" i="1"/>
  <c r="C20108" i="1"/>
  <c r="N20108" i="1"/>
  <c r="A20109" i="1"/>
  <c r="C20109" i="1"/>
  <c r="N20109" i="1"/>
  <c r="A20110" i="1"/>
  <c r="C20110" i="1"/>
  <c r="N20110" i="1"/>
  <c r="A20111" i="1"/>
  <c r="C20111" i="1"/>
  <c r="N20111" i="1"/>
  <c r="A20112" i="1"/>
  <c r="C20112" i="1"/>
  <c r="N20112" i="1"/>
  <c r="A20113" i="1"/>
  <c r="C20113" i="1"/>
  <c r="N20113" i="1"/>
  <c r="A20114" i="1"/>
  <c r="C20114" i="1"/>
  <c r="N20114" i="1"/>
  <c r="A20115" i="1"/>
  <c r="C20115" i="1"/>
  <c r="N20115" i="1"/>
  <c r="A20116" i="1"/>
  <c r="C20116" i="1"/>
  <c r="N20116" i="1"/>
  <c r="A20117" i="1"/>
  <c r="C20117" i="1"/>
  <c r="N20117" i="1"/>
  <c r="A20118" i="1"/>
  <c r="C20118" i="1"/>
  <c r="N20118" i="1"/>
  <c r="A20119" i="1"/>
  <c r="C20119" i="1"/>
  <c r="N20119" i="1"/>
  <c r="A20120" i="1"/>
  <c r="C20120" i="1"/>
  <c r="N20120" i="1"/>
  <c r="A20121" i="1"/>
  <c r="C20121" i="1"/>
  <c r="N20121" i="1"/>
  <c r="A20122" i="1"/>
  <c r="C20122" i="1"/>
  <c r="N20122" i="1"/>
  <c r="A20123" i="1"/>
  <c r="C20123" i="1"/>
  <c r="N20123" i="1"/>
  <c r="A20124" i="1"/>
  <c r="C20124" i="1"/>
  <c r="K20124" i="1"/>
  <c r="N20124" i="1"/>
  <c r="A20125" i="1"/>
  <c r="C20125" i="1"/>
  <c r="K20125" i="1"/>
  <c r="N20125" i="1"/>
  <c r="A20126" i="1"/>
  <c r="C20126" i="1"/>
  <c r="N20126" i="1"/>
  <c r="A20127" i="1"/>
  <c r="C20127" i="1"/>
  <c r="K20127" i="1"/>
  <c r="N20127" i="1"/>
  <c r="A20128" i="1"/>
  <c r="C20128" i="1"/>
  <c r="N20128" i="1"/>
  <c r="A20129" i="1"/>
  <c r="C20129" i="1"/>
  <c r="K20129" i="1"/>
  <c r="N20129" i="1"/>
  <c r="A20130" i="1"/>
  <c r="C20130" i="1"/>
  <c r="K20130" i="1"/>
  <c r="N20130" i="1"/>
  <c r="A20131" i="1"/>
  <c r="C20131" i="1"/>
  <c r="N20131" i="1"/>
  <c r="A20132" i="1"/>
  <c r="C20132" i="1"/>
  <c r="N20132" i="1"/>
  <c r="A20133" i="1"/>
  <c r="C20133" i="1"/>
  <c r="N20133" i="1"/>
  <c r="A20134" i="1"/>
  <c r="C20134" i="1"/>
  <c r="N20134" i="1"/>
  <c r="A20135" i="1"/>
  <c r="C20135" i="1"/>
  <c r="N20135" i="1"/>
  <c r="A20136" i="1"/>
  <c r="C20136" i="1"/>
  <c r="K20136" i="1"/>
  <c r="N20136" i="1"/>
  <c r="A20137" i="1"/>
  <c r="C20137" i="1"/>
  <c r="N20137" i="1"/>
  <c r="A20138" i="1"/>
  <c r="C20138" i="1"/>
  <c r="N20138" i="1"/>
  <c r="A20139" i="1"/>
  <c r="C20139" i="1"/>
  <c r="K20139" i="1"/>
  <c r="N20139" i="1"/>
  <c r="A20140" i="1"/>
  <c r="C20140" i="1"/>
  <c r="N20140" i="1"/>
  <c r="A20141" i="1"/>
  <c r="C20141" i="1"/>
  <c r="N20141" i="1"/>
  <c r="A20142" i="1"/>
  <c r="C20142" i="1"/>
  <c r="N20142" i="1"/>
  <c r="A20143" i="1"/>
  <c r="C20143" i="1"/>
  <c r="K20143" i="1"/>
  <c r="N20143" i="1"/>
  <c r="A20144" i="1"/>
  <c r="C20144" i="1"/>
  <c r="N20144" i="1"/>
  <c r="A20145" i="1"/>
  <c r="C20145" i="1"/>
  <c r="N20145" i="1"/>
  <c r="A20146" i="1"/>
  <c r="C20146" i="1"/>
  <c r="N20146" i="1"/>
  <c r="A20147" i="1"/>
  <c r="C20147" i="1"/>
  <c r="N20147" i="1"/>
  <c r="A20148" i="1"/>
  <c r="C20148" i="1"/>
  <c r="N20148" i="1"/>
  <c r="A20149" i="1"/>
  <c r="C20149" i="1"/>
  <c r="N20149" i="1"/>
  <c r="A20150" i="1"/>
  <c r="C20150" i="1"/>
  <c r="N20150" i="1"/>
  <c r="A20151" i="1"/>
  <c r="C20151" i="1"/>
  <c r="N20151" i="1"/>
  <c r="A20152" i="1"/>
  <c r="C20152" i="1"/>
  <c r="N20152" i="1"/>
  <c r="A20153" i="1"/>
  <c r="C20153" i="1"/>
  <c r="N20153" i="1"/>
  <c r="A20154" i="1"/>
  <c r="C20154" i="1"/>
  <c r="N20154" i="1"/>
  <c r="A20155" i="1"/>
  <c r="C20155" i="1"/>
  <c r="N20155" i="1"/>
  <c r="A20156" i="1"/>
  <c r="C20156" i="1"/>
  <c r="N20156" i="1"/>
  <c r="A20157" i="1"/>
  <c r="C20157" i="1"/>
  <c r="N20157" i="1"/>
  <c r="A20158" i="1"/>
  <c r="C20158" i="1"/>
  <c r="E20158" i="1"/>
  <c r="N20158" i="1"/>
  <c r="T20158" i="1"/>
  <c r="A20159" i="1"/>
  <c r="C20159" i="1"/>
  <c r="K20159" i="1"/>
  <c r="N20159" i="1"/>
  <c r="A20160" i="1"/>
  <c r="C20160" i="1"/>
  <c r="N20160" i="1"/>
  <c r="A20161" i="1"/>
  <c r="C20161" i="1"/>
  <c r="N20161" i="1"/>
  <c r="A20162" i="1"/>
  <c r="C20162" i="1"/>
  <c r="N20162" i="1"/>
  <c r="A20163" i="1"/>
  <c r="C20163" i="1"/>
  <c r="N20163" i="1"/>
  <c r="A20164" i="1"/>
  <c r="C20164" i="1"/>
  <c r="K20164" i="1"/>
  <c r="N20164" i="1"/>
  <c r="A20165" i="1"/>
  <c r="C20165" i="1"/>
  <c r="N20165" i="1"/>
  <c r="A20166" i="1"/>
  <c r="C20166" i="1"/>
  <c r="N20166" i="1"/>
  <c r="A20167" i="1"/>
  <c r="C20167" i="1"/>
  <c r="N20167" i="1"/>
  <c r="A20168" i="1"/>
  <c r="C20168" i="1"/>
  <c r="N20168" i="1"/>
  <c r="A20169" i="1"/>
  <c r="C20169" i="1"/>
  <c r="N20169" i="1"/>
  <c r="A20170" i="1"/>
  <c r="C20170" i="1"/>
  <c r="N20170" i="1"/>
  <c r="A20171" i="1"/>
  <c r="C20171" i="1"/>
  <c r="N20171" i="1"/>
  <c r="A20172" i="1"/>
  <c r="C20172" i="1"/>
  <c r="N20172" i="1"/>
  <c r="A20173" i="1"/>
  <c r="C20173" i="1"/>
  <c r="N20173" i="1"/>
  <c r="A20174" i="1"/>
  <c r="C20174" i="1"/>
  <c r="N20174" i="1"/>
  <c r="A20175" i="1"/>
  <c r="C20175" i="1"/>
  <c r="N20175" i="1"/>
  <c r="A20176" i="1"/>
  <c r="C20176" i="1"/>
  <c r="N20176" i="1"/>
  <c r="A20177" i="1"/>
  <c r="C20177" i="1"/>
  <c r="N20177" i="1"/>
  <c r="A20178" i="1"/>
  <c r="C20178" i="1"/>
  <c r="N20178" i="1"/>
  <c r="A20179" i="1"/>
  <c r="C20179" i="1"/>
  <c r="N20179" i="1"/>
  <c r="A20180" i="1"/>
  <c r="C20180" i="1"/>
  <c r="N20180" i="1"/>
  <c r="A20181" i="1"/>
  <c r="C20181" i="1"/>
  <c r="N20181" i="1"/>
  <c r="A20182" i="1"/>
  <c r="C20182" i="1"/>
  <c r="K20182" i="1"/>
  <c r="N20182" i="1"/>
  <c r="A20183" i="1"/>
  <c r="C20183" i="1"/>
  <c r="K20183" i="1"/>
  <c r="N20183" i="1"/>
  <c r="A20184" i="1"/>
  <c r="C20184" i="1"/>
  <c r="N20184" i="1"/>
  <c r="A20185" i="1"/>
  <c r="C20185" i="1"/>
  <c r="N20185" i="1"/>
  <c r="A20186" i="1"/>
  <c r="C20186" i="1"/>
  <c r="F20186" i="1"/>
  <c r="N20186" i="1"/>
  <c r="A20187" i="1"/>
  <c r="C20187" i="1"/>
  <c r="N20187" i="1"/>
  <c r="A20188" i="1"/>
  <c r="C20188" i="1"/>
  <c r="N20188" i="1"/>
  <c r="A20189" i="1"/>
  <c r="C20189" i="1"/>
  <c r="N20189" i="1"/>
  <c r="A20190" i="1"/>
  <c r="C20190" i="1"/>
  <c r="N20190" i="1"/>
  <c r="A20191" i="1"/>
  <c r="C20191" i="1"/>
  <c r="N20191" i="1"/>
  <c r="A20192" i="1"/>
  <c r="C20192" i="1"/>
  <c r="N20192" i="1"/>
  <c r="A20193" i="1"/>
  <c r="C20193" i="1"/>
  <c r="K20193" i="1"/>
  <c r="N20193" i="1"/>
  <c r="A20194" i="1"/>
  <c r="C20194" i="1"/>
  <c r="N20194" i="1"/>
  <c r="A20195" i="1"/>
  <c r="C20195" i="1"/>
  <c r="F20195" i="1"/>
  <c r="N20195" i="1"/>
  <c r="A20196" i="1"/>
  <c r="C20196" i="1"/>
  <c r="D20196" i="1"/>
  <c r="E20196" i="1"/>
  <c r="N20196" i="1"/>
  <c r="O20196" i="1"/>
  <c r="T20196" i="1"/>
  <c r="A20197" i="1"/>
  <c r="C20197" i="1"/>
  <c r="N20197" i="1"/>
  <c r="A20198" i="1"/>
  <c r="C20198" i="1"/>
  <c r="N20198" i="1"/>
  <c r="A20199" i="1"/>
  <c r="C20199" i="1"/>
  <c r="N20199" i="1"/>
  <c r="A20200" i="1"/>
  <c r="C20200" i="1"/>
  <c r="N20200" i="1"/>
  <c r="A20201" i="1"/>
  <c r="C20201" i="1"/>
  <c r="E20201" i="1"/>
  <c r="N20201" i="1"/>
  <c r="T20201" i="1"/>
  <c r="A20202" i="1"/>
  <c r="C20202" i="1"/>
  <c r="N20202" i="1"/>
  <c r="A20203" i="1"/>
  <c r="C20203" i="1"/>
  <c r="N20203" i="1"/>
  <c r="A20204" i="1"/>
  <c r="C20204" i="1"/>
  <c r="N20204" i="1"/>
  <c r="A20205" i="1"/>
  <c r="C20205" i="1"/>
  <c r="N20205" i="1"/>
  <c r="A20206" i="1"/>
  <c r="C20206" i="1"/>
  <c r="N20206" i="1"/>
  <c r="A20207" i="1"/>
  <c r="C20207" i="1"/>
  <c r="N20207" i="1"/>
  <c r="A20208" i="1"/>
  <c r="C20208" i="1"/>
  <c r="N20208" i="1"/>
  <c r="A20209" i="1"/>
  <c r="C20209" i="1"/>
  <c r="N20209" i="1"/>
  <c r="A20210" i="1"/>
  <c r="C20210" i="1"/>
  <c r="N20210" i="1"/>
  <c r="A20211" i="1"/>
  <c r="C20211" i="1"/>
  <c r="N20211" i="1"/>
  <c r="A20212" i="1"/>
  <c r="C20212" i="1"/>
  <c r="N20212" i="1"/>
  <c r="A20213" i="1"/>
  <c r="C20213" i="1"/>
  <c r="N20213" i="1"/>
  <c r="A20214" i="1"/>
  <c r="C20214" i="1"/>
  <c r="N20214" i="1"/>
  <c r="A20215" i="1"/>
  <c r="C20215" i="1"/>
  <c r="N20215" i="1"/>
  <c r="A20216" i="1"/>
  <c r="C20216" i="1"/>
  <c r="N20216" i="1"/>
  <c r="A20217" i="1"/>
  <c r="C20217" i="1"/>
  <c r="N20217" i="1"/>
  <c r="A20218" i="1"/>
  <c r="C20218" i="1"/>
  <c r="N20218" i="1"/>
  <c r="A20219" i="1"/>
  <c r="C20219" i="1"/>
  <c r="N20219" i="1"/>
  <c r="A20220" i="1"/>
  <c r="C20220" i="1"/>
  <c r="N20220" i="1"/>
  <c r="A20221" i="1"/>
  <c r="C20221" i="1"/>
  <c r="N20221" i="1"/>
  <c r="A20222" i="1"/>
  <c r="C20222" i="1"/>
  <c r="N20222" i="1"/>
  <c r="A20223" i="1"/>
  <c r="C20223" i="1"/>
  <c r="N20223" i="1"/>
  <c r="A20224" i="1"/>
  <c r="C20224" i="1"/>
  <c r="N20224" i="1"/>
  <c r="A20225" i="1"/>
  <c r="C20225" i="1"/>
  <c r="N20225" i="1"/>
  <c r="A20226" i="1"/>
  <c r="C20226" i="1"/>
  <c r="N20226" i="1"/>
  <c r="A20227" i="1"/>
  <c r="C20227" i="1"/>
  <c r="N20227" i="1"/>
  <c r="A20228" i="1"/>
  <c r="C20228" i="1"/>
  <c r="N20228" i="1"/>
  <c r="A20229" i="1"/>
  <c r="C20229" i="1"/>
  <c r="N20229" i="1"/>
  <c r="A20230" i="1"/>
  <c r="C20230" i="1"/>
  <c r="N20230" i="1"/>
  <c r="A20231" i="1"/>
  <c r="C20231" i="1"/>
  <c r="N20231" i="1"/>
  <c r="A20232" i="1"/>
  <c r="C20232" i="1"/>
  <c r="N20232" i="1"/>
  <c r="A20233" i="1"/>
  <c r="C20233" i="1"/>
  <c r="N20233" i="1"/>
  <c r="A20234" i="1"/>
  <c r="C20234" i="1"/>
  <c r="N20234" i="1"/>
  <c r="A20235" i="1"/>
  <c r="C20235" i="1"/>
  <c r="N20235" i="1"/>
  <c r="A20236" i="1"/>
  <c r="C20236" i="1"/>
  <c r="N20236" i="1"/>
  <c r="A20237" i="1"/>
  <c r="C20237" i="1"/>
  <c r="N20237" i="1"/>
  <c r="A20238" i="1"/>
  <c r="C20238" i="1"/>
  <c r="N20238" i="1"/>
  <c r="A20239" i="1"/>
  <c r="C20239" i="1"/>
  <c r="N20239" i="1"/>
  <c r="A20240" i="1"/>
  <c r="C20240" i="1"/>
  <c r="N20240" i="1"/>
  <c r="A20241" i="1"/>
  <c r="C20241" i="1"/>
  <c r="N20241" i="1"/>
  <c r="A20242" i="1"/>
  <c r="C20242" i="1"/>
  <c r="N20242" i="1"/>
  <c r="A20243" i="1"/>
  <c r="C20243" i="1"/>
  <c r="K20243" i="1"/>
  <c r="N20243" i="1"/>
  <c r="A20244" i="1"/>
  <c r="C20244" i="1"/>
  <c r="N20244" i="1"/>
  <c r="A20245" i="1"/>
  <c r="C20245" i="1"/>
  <c r="N20245" i="1"/>
  <c r="A20246" i="1"/>
  <c r="C20246" i="1"/>
  <c r="N20246" i="1"/>
  <c r="A20247" i="1"/>
  <c r="C20247" i="1"/>
  <c r="N20247" i="1"/>
  <c r="A20248" i="1"/>
  <c r="C20248" i="1"/>
  <c r="N20248" i="1"/>
  <c r="A20249" i="1"/>
  <c r="C20249" i="1"/>
  <c r="N20249" i="1"/>
  <c r="A20250" i="1"/>
  <c r="C20250" i="1"/>
  <c r="N20250" i="1"/>
  <c r="A20251" i="1"/>
  <c r="C20251" i="1"/>
  <c r="N20251" i="1"/>
  <c r="A20252" i="1"/>
  <c r="C20252" i="1"/>
  <c r="N20252" i="1"/>
  <c r="A20253" i="1"/>
  <c r="C20253" i="1"/>
  <c r="N20253" i="1"/>
  <c r="A20254" i="1"/>
  <c r="C20254" i="1"/>
  <c r="N20254" i="1"/>
  <c r="A20255" i="1"/>
  <c r="C20255" i="1"/>
  <c r="N20255" i="1"/>
  <c r="A20256" i="1"/>
  <c r="C20256" i="1"/>
  <c r="D20256" i="1"/>
  <c r="E20256" i="1"/>
  <c r="N20256" i="1"/>
  <c r="O20256" i="1"/>
  <c r="T20256" i="1"/>
  <c r="A20257" i="1"/>
  <c r="C20257" i="1"/>
  <c r="N20257" i="1"/>
  <c r="A20258" i="1"/>
  <c r="C20258" i="1"/>
  <c r="N20258" i="1"/>
  <c r="A20259" i="1"/>
  <c r="C20259" i="1"/>
  <c r="N20259" i="1"/>
  <c r="A20260" i="1"/>
  <c r="C20260" i="1"/>
  <c r="N20260" i="1"/>
  <c r="A20261" i="1"/>
  <c r="C20261" i="1"/>
  <c r="N20261" i="1"/>
  <c r="A20262" i="1"/>
  <c r="C20262" i="1"/>
  <c r="N20262" i="1"/>
  <c r="A20263" i="1"/>
  <c r="C20263" i="1"/>
  <c r="N20263" i="1"/>
  <c r="A20264" i="1"/>
  <c r="C20264" i="1"/>
  <c r="D20264" i="1"/>
  <c r="N20264" i="1"/>
  <c r="O20264" i="1"/>
  <c r="A20265" i="1"/>
  <c r="C20265" i="1"/>
  <c r="D20265" i="1"/>
  <c r="N20265" i="1"/>
  <c r="O20265" i="1"/>
  <c r="A20266" i="1"/>
  <c r="C20266" i="1"/>
  <c r="D20266" i="1"/>
  <c r="N20266" i="1"/>
  <c r="O20266" i="1"/>
  <c r="A20267" i="1"/>
  <c r="C20267" i="1"/>
  <c r="N20267" i="1"/>
  <c r="A20268" i="1"/>
  <c r="C20268" i="1"/>
  <c r="K20268" i="1"/>
  <c r="N20268" i="1"/>
  <c r="A20269" i="1"/>
  <c r="C20269" i="1"/>
  <c r="N20269" i="1"/>
  <c r="A20270" i="1"/>
  <c r="C20270" i="1"/>
  <c r="N20270" i="1"/>
  <c r="A20271" i="1"/>
  <c r="C20271" i="1"/>
  <c r="N20271" i="1"/>
  <c r="A20272" i="1"/>
  <c r="C20272" i="1"/>
  <c r="N20272" i="1"/>
  <c r="A20273" i="1"/>
  <c r="C20273" i="1"/>
  <c r="N20273" i="1"/>
  <c r="A20274" i="1"/>
  <c r="C20274" i="1"/>
  <c r="N20274" i="1"/>
  <c r="A20275" i="1"/>
  <c r="C20275" i="1"/>
  <c r="D20275" i="1"/>
  <c r="E20275" i="1"/>
  <c r="N20275" i="1"/>
  <c r="O20275" i="1"/>
  <c r="T20275" i="1"/>
  <c r="A20276" i="1"/>
  <c r="C20276" i="1"/>
  <c r="N20276" i="1"/>
  <c r="A20277" i="1"/>
  <c r="C20277" i="1"/>
  <c r="D20277" i="1"/>
  <c r="N20277" i="1"/>
  <c r="O20277" i="1"/>
  <c r="A20278" i="1"/>
  <c r="C20278" i="1"/>
  <c r="N20278" i="1"/>
  <c r="A20279" i="1"/>
  <c r="C20279" i="1"/>
  <c r="N20279" i="1"/>
  <c r="A20280" i="1"/>
  <c r="C20280" i="1"/>
  <c r="N20280" i="1"/>
  <c r="A20281" i="1"/>
  <c r="C20281" i="1"/>
  <c r="N20281" i="1"/>
  <c r="A20282" i="1"/>
  <c r="C20282" i="1"/>
  <c r="N20282" i="1"/>
  <c r="A20283" i="1"/>
  <c r="C20283" i="1"/>
  <c r="N20283" i="1"/>
  <c r="A20284" i="1"/>
  <c r="C20284" i="1"/>
  <c r="N20284" i="1"/>
  <c r="A20285" i="1"/>
  <c r="C20285" i="1"/>
  <c r="N20285" i="1"/>
  <c r="A20286" i="1"/>
  <c r="C20286" i="1"/>
  <c r="N20286" i="1"/>
  <c r="A20287" i="1"/>
  <c r="C20287" i="1"/>
  <c r="N20287" i="1"/>
  <c r="A20288" i="1"/>
  <c r="C20288" i="1"/>
  <c r="D20288" i="1"/>
  <c r="E20288" i="1"/>
  <c r="N20288" i="1"/>
  <c r="O20288" i="1"/>
  <c r="T20288" i="1"/>
  <c r="A20289" i="1"/>
  <c r="C20289" i="1"/>
  <c r="D20289" i="1"/>
  <c r="E20289" i="1"/>
  <c r="N20289" i="1"/>
  <c r="O20289" i="1"/>
  <c r="T20289" i="1"/>
  <c r="A20290" i="1"/>
  <c r="C20290" i="1"/>
  <c r="N20290" i="1"/>
  <c r="A20291" i="1"/>
  <c r="C20291" i="1"/>
  <c r="N20291" i="1"/>
  <c r="A20292" i="1"/>
  <c r="C20292" i="1"/>
  <c r="N20292" i="1"/>
  <c r="A20293" i="1"/>
  <c r="C20293" i="1"/>
  <c r="N20293" i="1"/>
  <c r="A20294" i="1"/>
  <c r="C20294" i="1"/>
  <c r="N20294" i="1"/>
  <c r="A20295" i="1"/>
  <c r="C20295" i="1"/>
  <c r="N20295" i="1"/>
  <c r="A20296" i="1"/>
  <c r="C20296" i="1"/>
  <c r="N20296" i="1"/>
  <c r="A20297" i="1"/>
  <c r="C20297" i="1"/>
  <c r="N20297" i="1"/>
  <c r="A20298" i="1"/>
  <c r="C20298" i="1"/>
  <c r="N20298" i="1"/>
  <c r="A20299" i="1"/>
  <c r="C20299" i="1"/>
  <c r="N20299" i="1"/>
  <c r="A20300" i="1"/>
  <c r="C20300" i="1"/>
  <c r="N20300" i="1"/>
  <c r="A20301" i="1"/>
  <c r="C20301" i="1"/>
  <c r="N20301" i="1"/>
  <c r="A20302" i="1"/>
  <c r="C20302" i="1"/>
  <c r="N20302" i="1"/>
  <c r="A20303" i="1"/>
  <c r="C20303" i="1"/>
  <c r="K20303" i="1"/>
  <c r="N20303" i="1"/>
  <c r="A20304" i="1"/>
  <c r="C20304" i="1"/>
  <c r="F20304" i="1"/>
  <c r="N20304" i="1"/>
  <c r="A20305" i="1"/>
  <c r="C20305" i="1"/>
  <c r="N20305" i="1"/>
  <c r="A20306" i="1"/>
  <c r="C20306" i="1"/>
  <c r="N20306" i="1"/>
  <c r="A20307" i="1"/>
  <c r="C20307" i="1"/>
  <c r="N20307" i="1"/>
  <c r="A20308" i="1"/>
  <c r="C20308" i="1"/>
  <c r="N20308" i="1"/>
  <c r="A20309" i="1"/>
  <c r="C20309" i="1"/>
  <c r="N20309" i="1"/>
  <c r="A20310" i="1"/>
  <c r="C20310" i="1"/>
  <c r="N20310" i="1"/>
  <c r="A20311" i="1"/>
  <c r="C20311" i="1"/>
  <c r="N20311" i="1"/>
  <c r="A20312" i="1"/>
  <c r="C20312" i="1"/>
  <c r="N20312" i="1"/>
  <c r="A20313" i="1"/>
  <c r="C20313" i="1"/>
  <c r="N20313" i="1"/>
  <c r="A20314" i="1"/>
  <c r="C20314" i="1"/>
  <c r="N20314" i="1"/>
  <c r="A20315" i="1"/>
  <c r="C20315" i="1"/>
  <c r="N20315" i="1"/>
  <c r="A20316" i="1"/>
  <c r="C20316" i="1"/>
  <c r="N20316" i="1"/>
  <c r="A20317" i="1"/>
  <c r="C20317" i="1"/>
  <c r="N20317" i="1"/>
  <c r="A20318" i="1"/>
  <c r="C20318" i="1"/>
  <c r="N20318" i="1"/>
  <c r="A20319" i="1"/>
  <c r="C20319" i="1"/>
  <c r="N20319" i="1"/>
  <c r="A20320" i="1"/>
  <c r="C20320" i="1"/>
  <c r="N20320" i="1"/>
  <c r="A20321" i="1"/>
  <c r="C20321" i="1"/>
  <c r="N20321" i="1"/>
  <c r="A20322" i="1"/>
  <c r="C20322" i="1"/>
  <c r="N20322" i="1"/>
  <c r="A20323" i="1"/>
  <c r="C20323" i="1"/>
  <c r="E20323" i="1"/>
  <c r="N20323" i="1"/>
  <c r="T20323" i="1"/>
  <c r="A20324" i="1"/>
  <c r="C20324" i="1"/>
  <c r="E20324" i="1"/>
  <c r="N20324" i="1"/>
  <c r="T20324" i="1"/>
  <c r="A20325" i="1"/>
  <c r="C20325" i="1"/>
  <c r="N20325" i="1"/>
  <c r="A20326" i="1"/>
  <c r="C20326" i="1"/>
  <c r="N20326" i="1"/>
  <c r="A20327" i="1"/>
  <c r="C20327" i="1"/>
  <c r="N20327" i="1"/>
  <c r="A20328" i="1"/>
  <c r="C20328" i="1"/>
  <c r="N20328" i="1"/>
  <c r="A20329" i="1"/>
  <c r="C20329" i="1"/>
  <c r="D20329" i="1"/>
  <c r="E20329" i="1"/>
  <c r="N20329" i="1"/>
  <c r="O20329" i="1"/>
  <c r="T20329" i="1"/>
  <c r="A20330" i="1"/>
  <c r="C20330" i="1"/>
  <c r="N20330" i="1"/>
  <c r="A20331" i="1"/>
  <c r="C20331" i="1"/>
  <c r="N20331" i="1"/>
  <c r="A20332" i="1"/>
  <c r="C20332" i="1"/>
  <c r="N20332" i="1"/>
  <c r="A20333" i="1"/>
  <c r="C20333" i="1"/>
  <c r="N20333" i="1"/>
  <c r="A20334" i="1"/>
  <c r="C20334" i="1"/>
  <c r="N20334" i="1"/>
  <c r="A20335" i="1"/>
  <c r="C20335" i="1"/>
  <c r="N20335" i="1"/>
  <c r="A20336" i="1"/>
  <c r="C20336" i="1"/>
  <c r="N20336" i="1"/>
  <c r="A20337" i="1"/>
  <c r="C20337" i="1"/>
  <c r="N20337" i="1"/>
  <c r="A20338" i="1"/>
  <c r="C20338" i="1"/>
  <c r="E20338" i="1"/>
  <c r="N20338" i="1"/>
  <c r="T20338" i="1"/>
  <c r="A20339" i="1"/>
  <c r="C20339" i="1"/>
  <c r="F20339" i="1"/>
  <c r="N20339" i="1"/>
  <c r="A20340" i="1"/>
  <c r="C20340" i="1"/>
  <c r="F20340" i="1"/>
  <c r="K20340" i="1"/>
  <c r="N20340" i="1"/>
  <c r="A20341" i="1"/>
  <c r="C20341" i="1"/>
  <c r="N20341" i="1"/>
  <c r="A20342" i="1"/>
  <c r="C20342" i="1"/>
  <c r="N20342" i="1"/>
  <c r="A20343" i="1"/>
  <c r="C20343" i="1"/>
  <c r="N20343" i="1"/>
  <c r="A20344" i="1"/>
  <c r="C20344" i="1"/>
  <c r="N20344" i="1"/>
  <c r="A20345" i="1"/>
  <c r="C20345" i="1"/>
  <c r="D20345" i="1"/>
  <c r="N20345" i="1"/>
  <c r="O20345" i="1"/>
  <c r="A20346" i="1"/>
  <c r="C20346" i="1"/>
  <c r="N20346" i="1"/>
  <c r="A20347" i="1"/>
  <c r="C20347" i="1"/>
  <c r="N20347" i="1"/>
  <c r="A20348" i="1"/>
  <c r="C20348" i="1"/>
  <c r="N20348" i="1"/>
  <c r="A20349" i="1"/>
  <c r="C20349" i="1"/>
  <c r="N20349" i="1"/>
  <c r="A20350" i="1"/>
  <c r="C20350" i="1"/>
  <c r="N20350" i="1"/>
  <c r="A20351" i="1"/>
  <c r="C20351" i="1"/>
  <c r="N20351" i="1"/>
  <c r="A20352" i="1"/>
  <c r="C20352" i="1"/>
  <c r="N20352" i="1"/>
  <c r="A20353" i="1"/>
  <c r="C20353" i="1"/>
  <c r="N20353" i="1"/>
  <c r="A20354" i="1"/>
  <c r="C20354" i="1"/>
  <c r="N20354" i="1"/>
  <c r="A20355" i="1"/>
  <c r="C20355" i="1"/>
  <c r="N20355" i="1"/>
  <c r="A20356" i="1"/>
  <c r="C20356" i="1"/>
  <c r="N20356" i="1"/>
  <c r="A20357" i="1"/>
  <c r="C20357" i="1"/>
  <c r="N20357" i="1"/>
  <c r="A20358" i="1"/>
  <c r="C20358" i="1"/>
  <c r="N20358" i="1"/>
  <c r="A20359" i="1"/>
  <c r="C20359" i="1"/>
  <c r="N20359" i="1"/>
  <c r="A20360" i="1"/>
  <c r="C20360" i="1"/>
  <c r="E20360" i="1"/>
  <c r="N20360" i="1"/>
  <c r="T20360" i="1"/>
  <c r="A20361" i="1"/>
  <c r="C20361" i="1"/>
  <c r="N20361" i="1"/>
  <c r="A20362" i="1"/>
  <c r="C20362" i="1"/>
  <c r="N20362" i="1"/>
  <c r="A20363" i="1"/>
  <c r="C20363" i="1"/>
  <c r="N20363" i="1"/>
  <c r="A20364" i="1"/>
  <c r="C20364" i="1"/>
  <c r="N20364" i="1"/>
  <c r="A20365" i="1"/>
  <c r="C20365" i="1"/>
  <c r="N20365" i="1"/>
  <c r="A20366" i="1"/>
  <c r="C20366" i="1"/>
  <c r="N20366" i="1"/>
  <c r="A20367" i="1"/>
  <c r="C20367" i="1"/>
  <c r="N20367" i="1"/>
  <c r="A20368" i="1"/>
  <c r="C20368" i="1"/>
  <c r="N20368" i="1"/>
  <c r="A20369" i="1"/>
  <c r="C20369" i="1"/>
  <c r="N20369" i="1"/>
  <c r="A20370" i="1"/>
  <c r="C20370" i="1"/>
  <c r="N20370" i="1"/>
  <c r="A20371" i="1"/>
  <c r="C20371" i="1"/>
  <c r="N20371" i="1"/>
  <c r="A20372" i="1"/>
  <c r="C20372" i="1"/>
  <c r="N20372" i="1"/>
  <c r="A20373" i="1"/>
  <c r="C20373" i="1"/>
  <c r="N20373" i="1"/>
  <c r="A20374" i="1"/>
  <c r="C20374" i="1"/>
  <c r="N20374" i="1"/>
  <c r="A20375" i="1"/>
  <c r="C20375" i="1"/>
  <c r="N20375" i="1"/>
  <c r="A20376" i="1"/>
  <c r="C20376" i="1"/>
  <c r="N20376" i="1"/>
  <c r="A20377" i="1"/>
  <c r="C20377" i="1"/>
  <c r="N20377" i="1"/>
  <c r="A20378" i="1"/>
  <c r="C20378" i="1"/>
  <c r="N20378" i="1"/>
  <c r="A20379" i="1"/>
  <c r="C20379" i="1"/>
  <c r="N20379" i="1"/>
  <c r="A20380" i="1"/>
  <c r="C20380" i="1"/>
  <c r="N20380" i="1"/>
  <c r="A20381" i="1"/>
  <c r="C20381" i="1"/>
  <c r="N20381" i="1"/>
  <c r="A20382" i="1"/>
  <c r="C20382" i="1"/>
  <c r="N20382" i="1"/>
  <c r="A20383" i="1"/>
  <c r="C20383" i="1"/>
  <c r="N20383" i="1"/>
  <c r="A20384" i="1"/>
  <c r="C20384" i="1"/>
  <c r="N20384" i="1"/>
  <c r="A20385" i="1"/>
  <c r="C20385" i="1"/>
  <c r="N20385" i="1"/>
  <c r="A20386" i="1"/>
  <c r="C20386" i="1"/>
  <c r="N20386" i="1"/>
  <c r="A20387" i="1"/>
  <c r="C20387" i="1"/>
  <c r="N20387" i="1"/>
  <c r="A20388" i="1"/>
  <c r="C20388" i="1"/>
  <c r="N20388" i="1"/>
  <c r="A20389" i="1"/>
  <c r="C20389" i="1"/>
  <c r="N20389" i="1"/>
  <c r="A20390" i="1"/>
  <c r="C20390" i="1"/>
  <c r="N20390" i="1"/>
  <c r="A20391" i="1"/>
  <c r="C20391" i="1"/>
  <c r="N20391" i="1"/>
  <c r="A20392" i="1"/>
  <c r="C20392" i="1"/>
  <c r="N20392" i="1"/>
  <c r="A20393" i="1"/>
  <c r="C20393" i="1"/>
  <c r="N20393" i="1"/>
  <c r="A20394" i="1"/>
  <c r="C20394" i="1"/>
  <c r="N20394" i="1"/>
  <c r="A20395" i="1"/>
  <c r="C20395" i="1"/>
  <c r="N20395" i="1"/>
  <c r="A20396" i="1"/>
  <c r="C20396" i="1"/>
  <c r="N20396" i="1"/>
  <c r="A20397" i="1"/>
  <c r="C20397" i="1"/>
  <c r="N20397" i="1"/>
  <c r="A20398" i="1"/>
  <c r="C20398" i="1"/>
  <c r="N20398" i="1"/>
  <c r="A20399" i="1"/>
  <c r="C20399" i="1"/>
  <c r="N20399" i="1"/>
  <c r="A20400" i="1"/>
  <c r="C20400" i="1"/>
  <c r="N20400" i="1"/>
  <c r="A20401" i="1"/>
  <c r="C20401" i="1"/>
  <c r="N20401" i="1"/>
  <c r="A20402" i="1"/>
  <c r="C20402" i="1"/>
  <c r="K20402" i="1"/>
  <c r="N20402" i="1"/>
  <c r="A20403" i="1"/>
  <c r="C20403" i="1"/>
  <c r="N20403" i="1"/>
  <c r="A20404" i="1"/>
  <c r="C20404" i="1"/>
  <c r="K20404" i="1"/>
  <c r="N20404" i="1"/>
  <c r="A20405" i="1"/>
  <c r="C20405" i="1"/>
  <c r="N20405" i="1"/>
  <c r="A20406" i="1"/>
  <c r="C20406" i="1"/>
  <c r="N20406" i="1"/>
  <c r="A20407" i="1"/>
  <c r="C20407" i="1"/>
  <c r="N20407" i="1"/>
  <c r="A20408" i="1"/>
  <c r="C20408" i="1"/>
  <c r="N20408" i="1"/>
  <c r="A20409" i="1"/>
  <c r="C20409" i="1"/>
  <c r="N20409" i="1"/>
  <c r="A20410" i="1"/>
  <c r="C20410" i="1"/>
  <c r="N20410" i="1"/>
  <c r="A20411" i="1"/>
  <c r="C20411" i="1"/>
  <c r="N20411" i="1"/>
  <c r="A20412" i="1"/>
  <c r="C20412" i="1"/>
  <c r="N20412" i="1"/>
  <c r="A20413" i="1"/>
  <c r="C20413" i="1"/>
  <c r="N20413" i="1"/>
  <c r="A20414" i="1"/>
  <c r="C20414" i="1"/>
  <c r="N20414" i="1"/>
  <c r="A20415" i="1"/>
  <c r="C20415" i="1"/>
  <c r="N20415" i="1"/>
  <c r="A20416" i="1"/>
  <c r="C20416" i="1"/>
  <c r="N20416" i="1"/>
  <c r="A20417" i="1"/>
  <c r="C20417" i="1"/>
  <c r="N20417" i="1"/>
  <c r="A20418" i="1"/>
  <c r="C20418" i="1"/>
  <c r="N20418" i="1"/>
  <c r="A20419" i="1"/>
  <c r="C20419" i="1"/>
  <c r="N20419" i="1"/>
  <c r="A20420" i="1"/>
  <c r="C20420" i="1"/>
  <c r="N20420" i="1"/>
  <c r="A20421" i="1"/>
  <c r="C20421" i="1"/>
  <c r="N20421" i="1"/>
  <c r="A20422" i="1"/>
  <c r="C20422" i="1"/>
  <c r="N20422" i="1"/>
  <c r="A20423" i="1"/>
  <c r="C20423" i="1"/>
  <c r="N20423" i="1"/>
  <c r="A20424" i="1"/>
  <c r="C20424" i="1"/>
  <c r="K20424" i="1"/>
  <c r="N20424" i="1"/>
  <c r="A20425" i="1"/>
  <c r="C20425" i="1"/>
  <c r="N20425" i="1"/>
  <c r="A20426" i="1"/>
  <c r="C20426" i="1"/>
  <c r="N20426" i="1"/>
  <c r="A20427" i="1"/>
  <c r="C20427" i="1"/>
  <c r="N20427" i="1"/>
  <c r="A20428" i="1"/>
  <c r="C20428" i="1"/>
  <c r="N20428" i="1"/>
  <c r="A20429" i="1"/>
  <c r="C20429" i="1"/>
  <c r="N20429" i="1"/>
  <c r="A20430" i="1"/>
  <c r="C20430" i="1"/>
  <c r="K20430" i="1"/>
  <c r="N20430" i="1"/>
  <c r="A20431" i="1"/>
  <c r="C20431" i="1"/>
  <c r="N20431" i="1"/>
  <c r="A20432" i="1"/>
  <c r="C20432" i="1"/>
  <c r="N20432" i="1"/>
  <c r="A20433" i="1"/>
  <c r="C20433" i="1"/>
  <c r="N20433" i="1"/>
  <c r="A20434" i="1"/>
  <c r="C20434" i="1"/>
  <c r="N20434" i="1"/>
  <c r="A20435" i="1"/>
  <c r="C20435" i="1"/>
  <c r="N20435" i="1"/>
  <c r="A20436" i="1"/>
  <c r="C20436" i="1"/>
  <c r="N20436" i="1"/>
  <c r="A20437" i="1"/>
  <c r="C20437" i="1"/>
  <c r="N20437" i="1"/>
  <c r="A20438" i="1"/>
  <c r="C20438" i="1"/>
  <c r="N20438" i="1"/>
  <c r="A20439" i="1"/>
  <c r="C20439" i="1"/>
  <c r="N20439" i="1"/>
  <c r="A20440" i="1"/>
  <c r="C20440" i="1"/>
  <c r="N20440" i="1"/>
  <c r="A20441" i="1"/>
  <c r="C20441" i="1"/>
  <c r="N20441" i="1"/>
  <c r="A20442" i="1"/>
  <c r="C20442" i="1"/>
  <c r="N20442" i="1"/>
  <c r="A20443" i="1"/>
  <c r="C20443" i="1"/>
  <c r="N20443" i="1"/>
  <c r="A20444" i="1"/>
  <c r="C20444" i="1"/>
  <c r="K20444" i="1"/>
  <c r="N20444" i="1"/>
  <c r="A20445" i="1"/>
  <c r="C20445" i="1"/>
  <c r="N20445" i="1"/>
  <c r="A20446" i="1"/>
  <c r="C20446" i="1"/>
  <c r="N20446" i="1"/>
  <c r="A20447" i="1"/>
  <c r="C20447" i="1"/>
  <c r="N20447" i="1"/>
  <c r="A20448" i="1"/>
  <c r="C20448" i="1"/>
  <c r="N20448" i="1"/>
  <c r="A20449" i="1"/>
  <c r="C20449" i="1"/>
  <c r="K20449" i="1"/>
  <c r="N20449" i="1"/>
  <c r="A20450" i="1"/>
  <c r="C20450" i="1"/>
  <c r="N20450" i="1"/>
  <c r="A20451" i="1"/>
  <c r="C20451" i="1"/>
  <c r="D20451" i="1"/>
  <c r="N20451" i="1"/>
  <c r="O20451" i="1"/>
  <c r="A20452" i="1"/>
  <c r="C20452" i="1"/>
  <c r="D20452" i="1"/>
  <c r="N20452" i="1"/>
  <c r="O20452" i="1"/>
  <c r="A20453" i="1"/>
  <c r="C20453" i="1"/>
  <c r="D20453" i="1"/>
  <c r="N20453" i="1"/>
  <c r="O20453" i="1"/>
  <c r="A20454" i="1"/>
  <c r="C20454" i="1"/>
  <c r="K20454" i="1"/>
  <c r="N20454" i="1"/>
  <c r="A20455" i="1"/>
  <c r="C20455" i="1"/>
  <c r="N20455" i="1"/>
  <c r="A20456" i="1"/>
  <c r="C20456" i="1"/>
  <c r="N20456" i="1"/>
  <c r="A20457" i="1"/>
  <c r="C20457" i="1"/>
  <c r="N20457" i="1"/>
  <c r="A20458" i="1"/>
  <c r="C20458" i="1"/>
  <c r="N20458" i="1"/>
  <c r="A20459" i="1"/>
  <c r="C20459" i="1"/>
  <c r="N20459" i="1"/>
  <c r="A20460" i="1"/>
  <c r="C20460" i="1"/>
  <c r="N20460" i="1"/>
  <c r="A20461" i="1"/>
  <c r="C20461" i="1"/>
  <c r="N20461" i="1"/>
  <c r="A20462" i="1"/>
  <c r="C20462" i="1"/>
  <c r="N20462" i="1"/>
  <c r="A20463" i="1"/>
  <c r="C20463" i="1"/>
  <c r="N20463" i="1"/>
  <c r="A20464" i="1"/>
  <c r="C20464" i="1"/>
  <c r="N20464" i="1"/>
  <c r="A20465" i="1"/>
  <c r="C20465" i="1"/>
  <c r="N20465" i="1"/>
  <c r="A20466" i="1"/>
  <c r="C20466" i="1"/>
  <c r="N20466" i="1"/>
  <c r="A20467" i="1"/>
  <c r="C20467" i="1"/>
  <c r="N20467" i="1"/>
  <c r="A20468" i="1"/>
  <c r="C20468" i="1"/>
  <c r="N20468" i="1"/>
  <c r="A20469" i="1"/>
  <c r="C20469" i="1"/>
  <c r="N20469" i="1"/>
  <c r="A20470" i="1"/>
  <c r="C20470" i="1"/>
  <c r="N20470" i="1"/>
  <c r="A20471" i="1"/>
  <c r="C20471" i="1"/>
  <c r="N20471" i="1"/>
  <c r="A20472" i="1"/>
  <c r="C20472" i="1"/>
  <c r="N20472" i="1"/>
  <c r="A20473" i="1"/>
  <c r="C20473" i="1"/>
  <c r="N20473" i="1"/>
  <c r="A20474" i="1"/>
  <c r="C20474" i="1"/>
  <c r="N20474" i="1"/>
  <c r="A20475" i="1"/>
  <c r="C20475" i="1"/>
  <c r="N20475" i="1"/>
  <c r="A20476" i="1"/>
  <c r="C20476" i="1"/>
  <c r="N20476" i="1"/>
  <c r="A20477" i="1"/>
  <c r="C20477" i="1"/>
  <c r="N20477" i="1"/>
  <c r="A20478" i="1"/>
  <c r="C20478" i="1"/>
  <c r="N20478" i="1"/>
  <c r="A20479" i="1"/>
  <c r="C20479" i="1"/>
  <c r="N20479" i="1"/>
  <c r="A20480" i="1"/>
  <c r="C20480" i="1"/>
  <c r="N20480" i="1"/>
  <c r="A20481" i="1"/>
  <c r="C20481" i="1"/>
  <c r="N20481" i="1"/>
  <c r="A20482" i="1"/>
  <c r="C20482" i="1"/>
  <c r="N20482" i="1"/>
  <c r="A20483" i="1"/>
  <c r="C20483" i="1"/>
  <c r="N20483" i="1"/>
  <c r="A20484" i="1"/>
  <c r="C20484" i="1"/>
  <c r="N20484" i="1"/>
  <c r="A20485" i="1"/>
  <c r="C20485" i="1"/>
  <c r="N20485" i="1"/>
  <c r="A20486" i="1"/>
  <c r="C20486" i="1"/>
  <c r="N20486" i="1"/>
  <c r="A20487" i="1"/>
  <c r="C20487" i="1"/>
  <c r="N20487" i="1"/>
  <c r="A20488" i="1"/>
  <c r="C20488" i="1"/>
  <c r="N20488" i="1"/>
  <c r="A20489" i="1"/>
  <c r="C20489" i="1"/>
  <c r="N20489" i="1"/>
  <c r="A20490" i="1"/>
  <c r="C20490" i="1"/>
  <c r="N20490" i="1"/>
  <c r="A20491" i="1"/>
  <c r="C20491" i="1"/>
  <c r="N20491" i="1"/>
  <c r="A20492" i="1"/>
  <c r="C20492" i="1"/>
  <c r="N20492" i="1"/>
  <c r="A20493" i="1"/>
  <c r="C20493" i="1"/>
  <c r="N20493" i="1"/>
  <c r="A20494" i="1"/>
  <c r="C20494" i="1"/>
  <c r="N20494" i="1"/>
  <c r="A20495" i="1"/>
  <c r="C20495" i="1"/>
  <c r="E20495" i="1"/>
  <c r="N20495" i="1"/>
  <c r="T20495" i="1"/>
  <c r="A20496" i="1"/>
  <c r="C20496" i="1"/>
  <c r="N20496" i="1"/>
  <c r="A20497" i="1"/>
  <c r="C20497" i="1"/>
  <c r="N20497" i="1"/>
  <c r="A20498" i="1"/>
  <c r="C20498" i="1"/>
  <c r="N20498" i="1"/>
  <c r="A20499" i="1"/>
  <c r="C20499" i="1"/>
  <c r="N20499" i="1"/>
  <c r="A20500" i="1"/>
  <c r="C20500" i="1"/>
  <c r="N20500" i="1"/>
  <c r="A20501" i="1"/>
  <c r="C20501" i="1"/>
  <c r="N20501" i="1"/>
  <c r="A20502" i="1"/>
  <c r="C20502" i="1"/>
  <c r="N20502" i="1"/>
  <c r="A20503" i="1"/>
  <c r="C20503" i="1"/>
  <c r="N20503" i="1"/>
  <c r="A20504" i="1"/>
  <c r="C20504" i="1"/>
  <c r="N20504" i="1"/>
  <c r="A20505" i="1"/>
  <c r="C20505" i="1"/>
  <c r="N20505" i="1"/>
  <c r="A20506" i="1"/>
  <c r="C20506" i="1"/>
  <c r="N20506" i="1"/>
  <c r="A20507" i="1"/>
  <c r="C20507" i="1"/>
  <c r="N20507" i="1"/>
  <c r="A20508" i="1"/>
  <c r="C20508" i="1"/>
  <c r="D20508" i="1"/>
  <c r="E20508" i="1"/>
  <c r="N20508" i="1"/>
  <c r="O20508" i="1"/>
  <c r="T20508" i="1"/>
  <c r="A20509" i="1"/>
  <c r="C20509" i="1"/>
  <c r="N20509" i="1"/>
  <c r="A20510" i="1"/>
  <c r="C20510" i="1"/>
  <c r="N20510" i="1"/>
  <c r="A20511" i="1"/>
  <c r="C20511" i="1"/>
  <c r="K20511" i="1"/>
  <c r="N20511" i="1"/>
  <c r="A20512" i="1"/>
  <c r="C20512" i="1"/>
  <c r="N20512" i="1"/>
  <c r="A20513" i="1"/>
  <c r="C20513" i="1"/>
  <c r="N20513" i="1"/>
  <c r="A20514" i="1"/>
  <c r="C20514" i="1"/>
  <c r="N20514" i="1"/>
  <c r="A20515" i="1"/>
  <c r="C20515" i="1"/>
  <c r="N20515" i="1"/>
  <c r="A20516" i="1"/>
  <c r="C20516" i="1"/>
  <c r="K20516" i="1"/>
  <c r="N20516" i="1"/>
  <c r="A20517" i="1"/>
  <c r="C20517" i="1"/>
  <c r="N20517" i="1"/>
  <c r="A20518" i="1"/>
  <c r="C20518" i="1"/>
  <c r="N20518" i="1"/>
  <c r="A20519" i="1"/>
  <c r="C20519" i="1"/>
  <c r="N20519" i="1"/>
  <c r="A20520" i="1"/>
  <c r="C20520" i="1"/>
  <c r="N20520" i="1"/>
  <c r="A20521" i="1"/>
  <c r="C20521" i="1"/>
  <c r="N20521" i="1"/>
  <c r="A20522" i="1"/>
  <c r="C20522" i="1"/>
  <c r="N20522" i="1"/>
  <c r="A20523" i="1"/>
  <c r="C20523" i="1"/>
  <c r="N20523" i="1"/>
  <c r="A20524" i="1"/>
  <c r="C20524" i="1"/>
  <c r="N20524" i="1"/>
  <c r="A20525" i="1"/>
  <c r="C20525" i="1"/>
  <c r="N20525" i="1"/>
  <c r="A20526" i="1"/>
  <c r="C20526" i="1"/>
  <c r="N20526" i="1"/>
  <c r="A20527" i="1"/>
  <c r="C20527" i="1"/>
  <c r="N20527" i="1"/>
  <c r="A20528" i="1"/>
  <c r="C20528" i="1"/>
  <c r="N20528" i="1"/>
  <c r="A20529" i="1"/>
  <c r="C20529" i="1"/>
  <c r="N20529" i="1"/>
  <c r="A20530" i="1"/>
  <c r="C20530" i="1"/>
  <c r="N20530" i="1"/>
  <c r="A20531" i="1"/>
  <c r="C20531" i="1"/>
  <c r="N20531" i="1"/>
  <c r="A20532" i="1"/>
  <c r="C20532" i="1"/>
  <c r="N20532" i="1"/>
  <c r="A20533" i="1"/>
  <c r="C20533" i="1"/>
  <c r="N20533" i="1"/>
  <c r="A20534" i="1"/>
  <c r="C20534" i="1"/>
  <c r="N20534" i="1"/>
  <c r="A20535" i="1"/>
  <c r="C20535" i="1"/>
  <c r="N20535" i="1"/>
  <c r="A20536" i="1"/>
  <c r="C20536" i="1"/>
  <c r="N20536" i="1"/>
  <c r="A20537" i="1"/>
  <c r="C20537" i="1"/>
  <c r="N20537" i="1"/>
  <c r="A20538" i="1"/>
  <c r="C20538" i="1"/>
  <c r="N20538" i="1"/>
  <c r="A20539" i="1"/>
  <c r="C20539" i="1"/>
  <c r="N20539" i="1"/>
  <c r="A20540" i="1"/>
  <c r="C20540" i="1"/>
  <c r="N20540" i="1"/>
  <c r="A20541" i="1"/>
  <c r="C20541" i="1"/>
  <c r="N20541" i="1"/>
  <c r="A20542" i="1"/>
  <c r="C20542" i="1"/>
  <c r="N20542" i="1"/>
  <c r="A20543" i="1"/>
  <c r="C20543" i="1"/>
  <c r="N20543" i="1"/>
  <c r="A20544" i="1"/>
  <c r="C20544" i="1"/>
  <c r="K20544" i="1"/>
  <c r="N20544" i="1"/>
  <c r="A20545" i="1"/>
  <c r="C20545" i="1"/>
  <c r="N20545" i="1"/>
  <c r="A20546" i="1"/>
  <c r="C20546" i="1"/>
  <c r="N20546" i="1"/>
  <c r="A20547" i="1"/>
  <c r="C20547" i="1"/>
  <c r="N20547" i="1"/>
  <c r="A20548" i="1"/>
  <c r="C20548" i="1"/>
  <c r="N20548" i="1"/>
  <c r="A20549" i="1"/>
  <c r="C20549" i="1"/>
  <c r="N20549" i="1"/>
  <c r="A20550" i="1"/>
  <c r="C20550" i="1"/>
  <c r="N20550" i="1"/>
  <c r="A20551" i="1"/>
  <c r="C20551" i="1"/>
  <c r="N20551" i="1"/>
  <c r="A20552" i="1"/>
  <c r="C20552" i="1"/>
  <c r="N20552" i="1"/>
  <c r="A20553" i="1"/>
  <c r="C20553" i="1"/>
  <c r="K20553" i="1"/>
  <c r="N20553" i="1"/>
  <c r="A20554" i="1"/>
  <c r="C20554" i="1"/>
  <c r="N20554" i="1"/>
  <c r="A20555" i="1"/>
  <c r="C20555" i="1"/>
  <c r="N20555" i="1"/>
  <c r="A20556" i="1"/>
  <c r="C20556" i="1"/>
  <c r="N20556" i="1"/>
  <c r="A20557" i="1"/>
  <c r="C20557" i="1"/>
  <c r="N20557" i="1"/>
  <c r="A20558" i="1"/>
  <c r="C20558" i="1"/>
  <c r="N20558" i="1"/>
  <c r="A20559" i="1"/>
  <c r="C20559" i="1"/>
  <c r="F20559" i="1"/>
  <c r="N20559" i="1"/>
  <c r="A20560" i="1"/>
  <c r="C20560" i="1"/>
  <c r="N20560" i="1"/>
  <c r="A20561" i="1"/>
  <c r="C20561" i="1"/>
  <c r="E20561" i="1"/>
  <c r="N20561" i="1"/>
  <c r="T20561" i="1"/>
  <c r="A20562" i="1"/>
  <c r="C20562" i="1"/>
  <c r="N20562" i="1"/>
  <c r="A20563" i="1"/>
  <c r="C20563" i="1"/>
  <c r="N20563" i="1"/>
  <c r="A20564" i="1"/>
  <c r="C20564" i="1"/>
  <c r="N20564" i="1"/>
  <c r="A20565" i="1"/>
  <c r="C20565" i="1"/>
  <c r="N20565" i="1"/>
  <c r="A20566" i="1"/>
  <c r="C20566" i="1"/>
  <c r="N20566" i="1"/>
  <c r="A20567" i="1"/>
  <c r="C20567" i="1"/>
  <c r="N20567" i="1"/>
  <c r="A20568" i="1"/>
  <c r="C20568" i="1"/>
  <c r="N20568" i="1"/>
  <c r="A20569" i="1"/>
  <c r="C20569" i="1"/>
  <c r="E20569" i="1"/>
  <c r="N20569" i="1"/>
  <c r="T20569" i="1"/>
  <c r="A20570" i="1"/>
  <c r="C20570" i="1"/>
  <c r="E20570" i="1"/>
  <c r="N20570" i="1"/>
  <c r="T20570" i="1"/>
  <c r="A20571" i="1"/>
  <c r="C20571" i="1"/>
  <c r="E20571" i="1"/>
  <c r="N20571" i="1"/>
  <c r="T20571" i="1"/>
  <c r="A20572" i="1"/>
  <c r="C20572" i="1"/>
  <c r="E20572" i="1"/>
  <c r="N20572" i="1"/>
  <c r="T20572" i="1"/>
  <c r="A20573" i="1"/>
  <c r="C20573" i="1"/>
  <c r="E20573" i="1"/>
  <c r="N20573" i="1"/>
  <c r="T20573" i="1"/>
  <c r="A20574" i="1"/>
  <c r="C20574" i="1"/>
  <c r="E20574" i="1"/>
  <c r="N20574" i="1"/>
  <c r="T20574" i="1"/>
  <c r="A20575" i="1"/>
  <c r="C20575" i="1"/>
  <c r="E20575" i="1"/>
  <c r="N20575" i="1"/>
  <c r="T20575" i="1"/>
  <c r="A20576" i="1"/>
  <c r="C20576" i="1"/>
  <c r="E20576" i="1"/>
  <c r="N20576" i="1"/>
  <c r="T20576" i="1"/>
  <c r="A20577" i="1"/>
  <c r="C20577" i="1"/>
  <c r="E20577" i="1"/>
  <c r="N20577" i="1"/>
  <c r="T20577" i="1"/>
  <c r="A20578" i="1"/>
  <c r="C20578" i="1"/>
  <c r="N20578" i="1"/>
  <c r="A20579" i="1"/>
  <c r="C20579" i="1"/>
  <c r="N20579" i="1"/>
  <c r="A20580" i="1"/>
  <c r="C20580" i="1"/>
  <c r="D20580" i="1"/>
  <c r="E20580" i="1"/>
  <c r="N20580" i="1"/>
  <c r="O20580" i="1"/>
  <c r="T20580" i="1"/>
  <c r="A20581" i="1"/>
  <c r="C20581" i="1"/>
  <c r="N20581" i="1"/>
  <c r="A20582" i="1"/>
  <c r="C20582" i="1"/>
  <c r="N20582" i="1"/>
  <c r="A20583" i="1"/>
  <c r="C20583" i="1"/>
  <c r="N20583" i="1"/>
  <c r="A20584" i="1"/>
  <c r="C20584" i="1"/>
  <c r="N20584" i="1"/>
  <c r="A20585" i="1"/>
  <c r="C20585" i="1"/>
  <c r="N20585" i="1"/>
  <c r="A20586" i="1"/>
  <c r="C20586" i="1"/>
  <c r="N20586" i="1"/>
  <c r="A20587" i="1"/>
  <c r="C20587" i="1"/>
  <c r="N20587" i="1"/>
  <c r="A20588" i="1"/>
  <c r="C20588" i="1"/>
  <c r="N20588" i="1"/>
  <c r="A20589" i="1"/>
  <c r="C20589" i="1"/>
  <c r="N20589" i="1"/>
  <c r="A20590" i="1"/>
  <c r="C20590" i="1"/>
  <c r="N20590" i="1"/>
  <c r="A20591" i="1"/>
  <c r="C20591" i="1"/>
  <c r="N20591" i="1"/>
  <c r="A20592" i="1"/>
  <c r="C20592" i="1"/>
  <c r="N20592" i="1"/>
  <c r="A20593" i="1"/>
  <c r="C20593" i="1"/>
  <c r="N20593" i="1"/>
  <c r="A20594" i="1"/>
  <c r="C20594" i="1"/>
  <c r="N20594" i="1"/>
  <c r="A20595" i="1"/>
  <c r="C20595" i="1"/>
  <c r="N20595" i="1"/>
  <c r="A20596" i="1"/>
  <c r="C20596" i="1"/>
  <c r="N20596" i="1"/>
  <c r="A20597" i="1"/>
  <c r="C20597" i="1"/>
  <c r="N20597" i="1"/>
  <c r="A20598" i="1"/>
  <c r="C20598" i="1"/>
  <c r="N20598" i="1"/>
  <c r="A20599" i="1"/>
  <c r="C20599" i="1"/>
  <c r="N20599" i="1"/>
  <c r="A20600" i="1"/>
  <c r="C20600" i="1"/>
  <c r="N20600" i="1"/>
  <c r="A20601" i="1"/>
  <c r="C20601" i="1"/>
  <c r="N20601" i="1"/>
  <c r="A20602" i="1"/>
  <c r="C20602" i="1"/>
  <c r="N20602" i="1"/>
  <c r="A20603" i="1"/>
  <c r="C20603" i="1"/>
  <c r="N20603" i="1"/>
  <c r="A20604" i="1"/>
  <c r="C20604" i="1"/>
  <c r="N20604" i="1"/>
  <c r="A20605" i="1"/>
  <c r="C20605" i="1"/>
  <c r="N20605" i="1"/>
  <c r="A20606" i="1"/>
  <c r="C20606" i="1"/>
  <c r="N20606" i="1"/>
  <c r="A20607" i="1"/>
  <c r="C20607" i="1"/>
  <c r="N20607" i="1"/>
  <c r="A20608" i="1"/>
  <c r="C20608" i="1"/>
  <c r="N20608" i="1"/>
  <c r="A20609" i="1"/>
  <c r="C20609" i="1"/>
  <c r="N20609" i="1"/>
  <c r="A20610" i="1"/>
  <c r="C20610" i="1"/>
  <c r="N20610" i="1"/>
  <c r="A20611" i="1"/>
  <c r="C20611" i="1"/>
  <c r="N20611" i="1"/>
  <c r="A20612" i="1"/>
  <c r="C20612" i="1"/>
  <c r="N20612" i="1"/>
  <c r="A20613" i="1"/>
  <c r="C20613" i="1"/>
  <c r="N20613" i="1"/>
  <c r="A20614" i="1"/>
  <c r="C20614" i="1"/>
  <c r="N20614" i="1"/>
  <c r="A20615" i="1"/>
  <c r="C20615" i="1"/>
  <c r="N20615" i="1"/>
  <c r="A20616" i="1"/>
  <c r="C20616" i="1"/>
  <c r="N20616" i="1"/>
  <c r="A20617" i="1"/>
  <c r="C20617" i="1"/>
  <c r="N20617" i="1"/>
  <c r="A20618" i="1"/>
  <c r="C20618" i="1"/>
  <c r="N20618" i="1"/>
  <c r="A20619" i="1"/>
  <c r="C20619" i="1"/>
  <c r="N20619" i="1"/>
  <c r="A20620" i="1"/>
  <c r="C20620" i="1"/>
  <c r="N20620" i="1"/>
  <c r="A20621" i="1"/>
  <c r="C20621" i="1"/>
  <c r="N20621" i="1"/>
  <c r="A20622" i="1"/>
  <c r="C20622" i="1"/>
  <c r="N20622" i="1"/>
  <c r="A20623" i="1"/>
  <c r="C20623" i="1"/>
  <c r="N20623" i="1"/>
  <c r="A20624" i="1"/>
  <c r="C20624" i="1"/>
  <c r="N20624" i="1"/>
  <c r="A20625" i="1"/>
  <c r="C20625" i="1"/>
  <c r="N20625" i="1"/>
  <c r="A20626" i="1"/>
  <c r="C20626" i="1"/>
  <c r="N20626" i="1"/>
  <c r="A20627" i="1"/>
  <c r="C20627" i="1"/>
  <c r="E20627" i="1"/>
  <c r="N20627" i="1"/>
  <c r="T20627" i="1"/>
  <c r="A20628" i="1"/>
  <c r="C20628" i="1"/>
  <c r="N20628" i="1"/>
  <c r="A20629" i="1"/>
  <c r="C20629" i="1"/>
  <c r="N20629" i="1"/>
  <c r="A20630" i="1"/>
  <c r="C20630" i="1"/>
  <c r="N20630" i="1"/>
  <c r="A20631" i="1"/>
  <c r="C20631" i="1"/>
  <c r="N20631" i="1"/>
  <c r="A20632" i="1"/>
  <c r="C20632" i="1"/>
  <c r="N20632" i="1"/>
  <c r="A20633" i="1"/>
  <c r="C20633" i="1"/>
  <c r="N20633" i="1"/>
  <c r="A20634" i="1"/>
  <c r="C20634" i="1"/>
  <c r="N20634" i="1"/>
  <c r="A20635" i="1"/>
  <c r="C20635" i="1"/>
  <c r="N20635" i="1"/>
  <c r="A20636" i="1"/>
  <c r="C20636" i="1"/>
  <c r="N20636" i="1"/>
  <c r="A20637" i="1"/>
  <c r="C20637" i="1"/>
  <c r="N20637" i="1"/>
  <c r="A20638" i="1"/>
  <c r="C20638" i="1"/>
  <c r="K20638" i="1"/>
  <c r="N20638" i="1"/>
  <c r="A20639" i="1"/>
  <c r="C20639" i="1"/>
  <c r="N20639" i="1"/>
  <c r="A20640" i="1"/>
  <c r="C20640" i="1"/>
  <c r="N20640" i="1"/>
  <c r="A20641" i="1"/>
  <c r="C20641" i="1"/>
  <c r="N20641" i="1"/>
  <c r="A20642" i="1"/>
  <c r="C20642" i="1"/>
  <c r="N20642" i="1"/>
  <c r="A20643" i="1"/>
  <c r="C20643" i="1"/>
  <c r="N20643" i="1"/>
  <c r="A20644" i="1"/>
  <c r="C20644" i="1"/>
  <c r="N20644" i="1"/>
  <c r="A20645" i="1"/>
  <c r="C20645" i="1"/>
  <c r="K20645" i="1"/>
  <c r="N20645" i="1"/>
  <c r="A20646" i="1"/>
  <c r="C20646" i="1"/>
  <c r="N20646" i="1"/>
  <c r="A20647" i="1"/>
  <c r="C20647" i="1"/>
  <c r="N20647" i="1"/>
  <c r="A20648" i="1"/>
  <c r="C20648" i="1"/>
  <c r="N20648" i="1"/>
  <c r="A20649" i="1"/>
  <c r="C20649" i="1"/>
  <c r="N20649" i="1"/>
  <c r="A20650" i="1"/>
  <c r="C20650" i="1"/>
  <c r="N20650" i="1"/>
  <c r="A20651" i="1"/>
  <c r="C20651" i="1"/>
  <c r="N20651" i="1"/>
  <c r="A20652" i="1"/>
  <c r="C20652" i="1"/>
  <c r="N20652" i="1"/>
  <c r="A20653" i="1"/>
  <c r="C20653" i="1"/>
  <c r="N20653" i="1"/>
  <c r="A20654" i="1"/>
  <c r="C20654" i="1"/>
  <c r="N20654" i="1"/>
  <c r="A20655" i="1"/>
  <c r="C20655" i="1"/>
  <c r="N20655" i="1"/>
  <c r="A20656" i="1"/>
  <c r="C20656" i="1"/>
  <c r="N20656" i="1"/>
  <c r="A20657" i="1"/>
  <c r="C20657" i="1"/>
  <c r="N20657" i="1"/>
  <c r="A20658" i="1"/>
  <c r="C20658" i="1"/>
  <c r="N20658" i="1"/>
  <c r="A20659" i="1"/>
  <c r="C20659" i="1"/>
  <c r="K20659" i="1"/>
  <c r="N20659" i="1"/>
  <c r="A20660" i="1"/>
  <c r="C20660" i="1"/>
  <c r="N20660" i="1"/>
  <c r="A20661" i="1"/>
  <c r="C20661" i="1"/>
  <c r="E20661" i="1"/>
  <c r="N20661" i="1"/>
  <c r="T20661" i="1"/>
  <c r="A20662" i="1"/>
  <c r="C20662" i="1"/>
  <c r="K20662" i="1"/>
  <c r="N20662" i="1"/>
  <c r="A20663" i="1"/>
  <c r="C20663" i="1"/>
  <c r="N20663" i="1"/>
  <c r="A20664" i="1"/>
  <c r="C20664" i="1"/>
  <c r="N20664" i="1"/>
  <c r="A20665" i="1"/>
  <c r="C20665" i="1"/>
  <c r="N20665" i="1"/>
  <c r="A20666" i="1"/>
  <c r="C20666" i="1"/>
  <c r="N20666" i="1"/>
  <c r="A20667" i="1"/>
  <c r="C20667" i="1"/>
  <c r="N20667" i="1"/>
  <c r="A20668" i="1"/>
  <c r="C20668" i="1"/>
  <c r="N20668" i="1"/>
  <c r="A20669" i="1"/>
  <c r="C20669" i="1"/>
  <c r="N20669" i="1"/>
  <c r="A20670" i="1"/>
  <c r="C20670" i="1"/>
  <c r="N20670" i="1"/>
  <c r="A20671" i="1"/>
  <c r="C20671" i="1"/>
  <c r="K20671" i="1"/>
  <c r="N20671" i="1"/>
  <c r="A20672" i="1"/>
  <c r="C20672" i="1"/>
  <c r="N20672" i="1"/>
  <c r="A20673" i="1"/>
  <c r="C20673" i="1"/>
  <c r="N20673" i="1"/>
  <c r="A20674" i="1"/>
  <c r="C20674" i="1"/>
  <c r="N20674" i="1"/>
  <c r="A20675" i="1"/>
  <c r="C20675" i="1"/>
  <c r="N20675" i="1"/>
  <c r="A20676" i="1"/>
  <c r="C20676" i="1"/>
  <c r="N20676" i="1"/>
  <c r="A20677" i="1"/>
  <c r="C20677" i="1"/>
  <c r="N20677" i="1"/>
  <c r="A20678" i="1"/>
  <c r="C20678" i="1"/>
  <c r="N20678" i="1"/>
  <c r="A20679" i="1"/>
  <c r="C20679" i="1"/>
  <c r="N20679" i="1"/>
  <c r="A20680" i="1"/>
  <c r="C20680" i="1"/>
  <c r="N20680" i="1"/>
  <c r="A20681" i="1"/>
  <c r="C20681" i="1"/>
  <c r="N20681" i="1"/>
  <c r="A20682" i="1"/>
  <c r="C20682" i="1"/>
  <c r="N20682" i="1"/>
  <c r="A20683" i="1"/>
  <c r="C20683" i="1"/>
  <c r="N20683" i="1"/>
  <c r="A20684" i="1"/>
  <c r="C20684" i="1"/>
  <c r="N20684" i="1"/>
  <c r="A20685" i="1"/>
  <c r="C20685" i="1"/>
  <c r="N20685" i="1"/>
  <c r="A20686" i="1"/>
  <c r="C20686" i="1"/>
  <c r="N20686" i="1"/>
  <c r="A20687" i="1"/>
  <c r="C20687" i="1"/>
  <c r="N20687" i="1"/>
  <c r="A20688" i="1"/>
  <c r="C20688" i="1"/>
  <c r="N20688" i="1"/>
  <c r="A20689" i="1"/>
  <c r="C20689" i="1"/>
  <c r="N20689" i="1"/>
  <c r="A20690" i="1"/>
  <c r="C20690" i="1"/>
  <c r="N20690" i="1"/>
  <c r="A20691" i="1"/>
  <c r="C20691" i="1"/>
  <c r="N20691" i="1"/>
  <c r="A20692" i="1"/>
  <c r="C20692" i="1"/>
  <c r="N20692" i="1"/>
  <c r="A20693" i="1"/>
  <c r="C20693" i="1"/>
  <c r="N20693" i="1"/>
  <c r="A20694" i="1"/>
  <c r="C20694" i="1"/>
  <c r="N20694" i="1"/>
  <c r="A20695" i="1"/>
  <c r="C20695" i="1"/>
  <c r="N20695" i="1"/>
  <c r="A20696" i="1"/>
  <c r="C20696" i="1"/>
  <c r="N20696" i="1"/>
  <c r="A20697" i="1"/>
  <c r="C20697" i="1"/>
  <c r="N20697" i="1"/>
  <c r="A20698" i="1"/>
  <c r="C20698" i="1"/>
  <c r="N20698" i="1"/>
  <c r="A20699" i="1"/>
  <c r="C20699" i="1"/>
  <c r="N20699" i="1"/>
  <c r="A20700" i="1"/>
  <c r="C20700" i="1"/>
  <c r="N20700" i="1"/>
  <c r="A20701" i="1"/>
  <c r="C20701" i="1"/>
  <c r="N20701" i="1"/>
  <c r="A20702" i="1"/>
  <c r="C20702" i="1"/>
  <c r="N20702" i="1"/>
  <c r="A20703" i="1"/>
  <c r="C20703" i="1"/>
  <c r="N20703" i="1"/>
  <c r="A20704" i="1"/>
  <c r="C20704" i="1"/>
  <c r="N20704" i="1"/>
  <c r="A20705" i="1"/>
  <c r="C20705" i="1"/>
  <c r="N20705" i="1"/>
  <c r="A20706" i="1"/>
  <c r="C20706" i="1"/>
  <c r="N20706" i="1"/>
  <c r="A20707" i="1"/>
  <c r="C20707" i="1"/>
  <c r="N20707" i="1"/>
  <c r="A20708" i="1"/>
  <c r="C20708" i="1"/>
  <c r="N20708" i="1"/>
  <c r="A20709" i="1"/>
  <c r="C20709" i="1"/>
  <c r="N20709" i="1"/>
  <c r="A20710" i="1"/>
  <c r="C20710" i="1"/>
  <c r="N20710" i="1"/>
  <c r="A20711" i="1"/>
  <c r="C20711" i="1"/>
  <c r="N20711" i="1"/>
  <c r="A20712" i="1"/>
  <c r="C20712" i="1"/>
  <c r="N20712" i="1"/>
  <c r="A20713" i="1"/>
  <c r="C20713" i="1"/>
  <c r="N20713" i="1"/>
  <c r="A20714" i="1"/>
  <c r="C20714" i="1"/>
  <c r="N20714" i="1"/>
  <c r="A20715" i="1"/>
  <c r="C20715" i="1"/>
  <c r="N20715" i="1"/>
  <c r="A20716" i="1"/>
  <c r="C20716" i="1"/>
  <c r="N20716" i="1"/>
  <c r="A20717" i="1"/>
  <c r="C20717" i="1"/>
  <c r="N20717" i="1"/>
  <c r="A20718" i="1"/>
  <c r="C20718" i="1"/>
  <c r="N20718" i="1"/>
  <c r="A20719" i="1"/>
  <c r="C20719" i="1"/>
  <c r="N20719" i="1"/>
  <c r="A20720" i="1"/>
  <c r="C20720" i="1"/>
  <c r="N20720" i="1"/>
  <c r="A20721" i="1"/>
  <c r="C20721" i="1"/>
  <c r="N20721" i="1"/>
  <c r="A20722" i="1"/>
  <c r="C20722" i="1"/>
  <c r="N20722" i="1"/>
  <c r="A20723" i="1"/>
  <c r="C20723" i="1"/>
  <c r="N20723" i="1"/>
  <c r="A20724" i="1"/>
  <c r="C20724" i="1"/>
  <c r="N20724" i="1"/>
  <c r="A20725" i="1"/>
  <c r="C20725" i="1"/>
  <c r="N20725" i="1"/>
  <c r="A20726" i="1"/>
  <c r="C20726" i="1"/>
  <c r="N20726" i="1"/>
  <c r="A20727" i="1"/>
  <c r="C20727" i="1"/>
  <c r="N20727" i="1"/>
  <c r="A20728" i="1"/>
  <c r="C20728" i="1"/>
  <c r="N20728" i="1"/>
  <c r="A20729" i="1"/>
  <c r="C20729" i="1"/>
  <c r="N20729" i="1"/>
  <c r="A20730" i="1"/>
  <c r="C20730" i="1"/>
  <c r="N20730" i="1"/>
  <c r="A20731" i="1"/>
  <c r="C20731" i="1"/>
  <c r="N20731" i="1"/>
  <c r="A20732" i="1"/>
  <c r="C20732" i="1"/>
  <c r="N20732" i="1"/>
  <c r="A20733" i="1"/>
  <c r="C20733" i="1"/>
  <c r="N20733" i="1"/>
  <c r="A20734" i="1"/>
  <c r="C20734" i="1"/>
  <c r="N20734" i="1"/>
  <c r="A20735" i="1"/>
  <c r="C20735" i="1"/>
  <c r="N20735" i="1"/>
  <c r="A20736" i="1"/>
  <c r="C20736" i="1"/>
  <c r="N20736" i="1"/>
  <c r="A20737" i="1"/>
  <c r="C20737" i="1"/>
  <c r="N20737" i="1"/>
  <c r="A20738" i="1"/>
  <c r="C20738" i="1"/>
  <c r="N20738" i="1"/>
  <c r="A20739" i="1"/>
  <c r="C20739" i="1"/>
  <c r="D20739" i="1"/>
  <c r="N20739" i="1"/>
  <c r="O20739" i="1"/>
  <c r="A20740" i="1"/>
  <c r="C20740" i="1"/>
  <c r="D20740" i="1"/>
  <c r="N20740" i="1"/>
  <c r="O20740" i="1"/>
  <c r="A20741" i="1"/>
  <c r="C20741" i="1"/>
  <c r="N20741" i="1"/>
  <c r="A20742" i="1"/>
  <c r="C20742" i="1"/>
  <c r="N20742" i="1"/>
  <c r="A20743" i="1"/>
  <c r="C20743" i="1"/>
  <c r="N20743" i="1"/>
  <c r="A20744" i="1"/>
  <c r="C20744" i="1"/>
  <c r="N20744" i="1"/>
  <c r="A20745" i="1"/>
  <c r="C20745" i="1"/>
  <c r="N20745" i="1"/>
  <c r="A20746" i="1"/>
  <c r="C20746" i="1"/>
  <c r="N20746" i="1"/>
  <c r="A20747" i="1"/>
  <c r="C20747" i="1"/>
  <c r="N20747" i="1"/>
  <c r="A20748" i="1"/>
  <c r="C20748" i="1"/>
  <c r="N20748" i="1"/>
  <c r="A20749" i="1"/>
  <c r="C20749" i="1"/>
  <c r="N20749" i="1"/>
  <c r="A20750" i="1"/>
  <c r="C20750" i="1"/>
  <c r="N20750" i="1"/>
  <c r="A20751" i="1"/>
  <c r="C20751" i="1"/>
  <c r="N20751" i="1"/>
  <c r="A20752" i="1"/>
  <c r="C20752" i="1"/>
  <c r="N20752" i="1"/>
  <c r="A20753" i="1"/>
  <c r="C20753" i="1"/>
  <c r="N20753" i="1"/>
  <c r="A20754" i="1"/>
  <c r="C20754" i="1"/>
  <c r="N20754" i="1"/>
  <c r="A20755" i="1"/>
  <c r="C20755" i="1"/>
  <c r="N20755" i="1"/>
  <c r="A20756" i="1"/>
  <c r="C20756" i="1"/>
  <c r="N20756" i="1"/>
  <c r="A20757" i="1"/>
  <c r="C20757" i="1"/>
  <c r="N20757" i="1"/>
  <c r="A20758" i="1"/>
  <c r="C20758" i="1"/>
  <c r="N20758" i="1"/>
  <c r="A20759" i="1"/>
  <c r="C20759" i="1"/>
  <c r="N20759" i="1"/>
  <c r="A20760" i="1"/>
  <c r="C20760" i="1"/>
  <c r="N20760" i="1"/>
  <c r="A20761" i="1"/>
  <c r="C20761" i="1"/>
  <c r="N20761" i="1"/>
  <c r="A20762" i="1"/>
  <c r="C20762" i="1"/>
  <c r="N20762" i="1"/>
  <c r="A20763" i="1"/>
  <c r="C20763" i="1"/>
  <c r="N20763" i="1"/>
  <c r="A20764" i="1"/>
  <c r="C20764" i="1"/>
  <c r="N20764" i="1"/>
  <c r="A20765" i="1"/>
  <c r="C20765" i="1"/>
  <c r="N20765" i="1"/>
  <c r="A20766" i="1"/>
  <c r="C20766" i="1"/>
  <c r="N20766" i="1"/>
  <c r="A20767" i="1"/>
  <c r="C20767" i="1"/>
  <c r="N20767" i="1"/>
  <c r="A20768" i="1"/>
  <c r="C20768" i="1"/>
  <c r="N20768" i="1"/>
  <c r="A20769" i="1"/>
  <c r="C20769" i="1"/>
  <c r="N20769" i="1"/>
  <c r="A20770" i="1"/>
  <c r="C20770" i="1"/>
  <c r="N20770" i="1"/>
  <c r="A20771" i="1"/>
  <c r="C20771" i="1"/>
  <c r="N20771" i="1"/>
  <c r="A20772" i="1"/>
  <c r="C20772" i="1"/>
  <c r="N20772" i="1"/>
  <c r="A20773" i="1"/>
  <c r="C20773" i="1"/>
  <c r="N20773" i="1"/>
  <c r="A20774" i="1"/>
  <c r="C20774" i="1"/>
  <c r="N20774" i="1"/>
  <c r="A20775" i="1"/>
  <c r="C20775" i="1"/>
  <c r="N20775" i="1"/>
  <c r="A20776" i="1"/>
  <c r="C20776" i="1"/>
  <c r="N20776" i="1"/>
  <c r="A20777" i="1"/>
  <c r="C20777" i="1"/>
  <c r="N20777" i="1"/>
  <c r="A20778" i="1"/>
  <c r="C20778" i="1"/>
  <c r="N20778" i="1"/>
  <c r="A20779" i="1"/>
  <c r="C20779" i="1"/>
  <c r="N20779" i="1"/>
  <c r="A20780" i="1"/>
  <c r="C20780" i="1"/>
  <c r="N20780" i="1"/>
  <c r="A20781" i="1"/>
  <c r="C20781" i="1"/>
  <c r="N20781" i="1"/>
  <c r="A20782" i="1"/>
  <c r="C20782" i="1"/>
  <c r="N20782" i="1"/>
  <c r="A20783" i="1"/>
  <c r="C20783" i="1"/>
  <c r="N20783" i="1"/>
  <c r="A20784" i="1"/>
  <c r="C20784" i="1"/>
  <c r="N20784" i="1"/>
  <c r="A20785" i="1"/>
  <c r="C20785" i="1"/>
  <c r="N20785" i="1"/>
  <c r="A20786" i="1"/>
  <c r="C20786" i="1"/>
  <c r="N20786" i="1"/>
  <c r="A20787" i="1"/>
  <c r="C20787" i="1"/>
  <c r="N20787" i="1"/>
  <c r="A20788" i="1"/>
  <c r="C20788" i="1"/>
  <c r="N20788" i="1"/>
  <c r="A20789" i="1"/>
  <c r="C20789" i="1"/>
  <c r="N20789" i="1"/>
  <c r="A20790" i="1"/>
  <c r="C20790" i="1"/>
  <c r="N20790" i="1"/>
  <c r="A20791" i="1"/>
  <c r="C20791" i="1"/>
  <c r="N20791" i="1"/>
  <c r="A20792" i="1"/>
  <c r="C20792" i="1"/>
  <c r="N20792" i="1"/>
  <c r="A20793" i="1"/>
  <c r="C20793" i="1"/>
  <c r="N20793" i="1"/>
  <c r="A20794" i="1"/>
  <c r="C20794" i="1"/>
  <c r="N20794" i="1"/>
  <c r="A20795" i="1"/>
  <c r="C20795" i="1"/>
  <c r="N20795" i="1"/>
  <c r="A20796" i="1"/>
  <c r="C20796" i="1"/>
  <c r="N20796" i="1"/>
  <c r="A20797" i="1"/>
  <c r="C20797" i="1"/>
  <c r="N20797" i="1"/>
  <c r="A20798" i="1"/>
  <c r="C20798" i="1"/>
  <c r="D20798" i="1"/>
  <c r="N20798" i="1"/>
  <c r="O20798" i="1"/>
  <c r="A20799" i="1"/>
  <c r="C20799" i="1"/>
  <c r="N20799" i="1"/>
  <c r="A20800" i="1"/>
  <c r="C20800" i="1"/>
  <c r="K20800" i="1"/>
  <c r="N20800" i="1"/>
  <c r="A20801" i="1"/>
  <c r="C20801" i="1"/>
  <c r="N20801" i="1"/>
  <c r="A20802" i="1"/>
  <c r="C20802" i="1"/>
  <c r="N20802" i="1"/>
  <c r="A20803" i="1"/>
  <c r="C20803" i="1"/>
  <c r="N20803" i="1"/>
  <c r="A20804" i="1"/>
  <c r="C20804" i="1"/>
  <c r="N20804" i="1"/>
  <c r="A20805" i="1"/>
  <c r="C20805" i="1"/>
  <c r="N20805" i="1"/>
  <c r="A20806" i="1"/>
  <c r="C20806" i="1"/>
  <c r="N20806" i="1"/>
  <c r="A20807" i="1"/>
  <c r="C20807" i="1"/>
  <c r="N20807" i="1"/>
  <c r="A20808" i="1"/>
  <c r="C20808" i="1"/>
  <c r="N20808" i="1"/>
  <c r="A20809" i="1"/>
  <c r="C20809" i="1"/>
  <c r="N20809" i="1"/>
  <c r="A20810" i="1"/>
  <c r="C20810" i="1"/>
  <c r="N20810" i="1"/>
  <c r="A20811" i="1"/>
  <c r="C20811" i="1"/>
  <c r="N20811" i="1"/>
  <c r="A20812" i="1"/>
  <c r="C20812" i="1"/>
  <c r="N20812" i="1"/>
  <c r="A20813" i="1"/>
  <c r="C20813" i="1"/>
  <c r="N20813" i="1"/>
  <c r="A20814" i="1"/>
  <c r="C20814" i="1"/>
  <c r="N20814" i="1"/>
  <c r="A20815" i="1"/>
  <c r="C20815" i="1"/>
  <c r="N20815" i="1"/>
  <c r="A20816" i="1"/>
  <c r="C20816" i="1"/>
  <c r="N20816" i="1"/>
  <c r="A20817" i="1"/>
  <c r="C20817" i="1"/>
  <c r="N20817" i="1"/>
  <c r="A20818" i="1"/>
  <c r="C20818" i="1"/>
  <c r="N20818" i="1"/>
  <c r="A20819" i="1"/>
  <c r="C20819" i="1"/>
  <c r="N20819" i="1"/>
  <c r="A20820" i="1"/>
  <c r="C20820" i="1"/>
  <c r="N20820" i="1"/>
  <c r="A20821" i="1"/>
  <c r="C20821" i="1"/>
  <c r="N20821" i="1"/>
  <c r="A20822" i="1"/>
  <c r="C20822" i="1"/>
  <c r="N20822" i="1"/>
  <c r="A20823" i="1"/>
  <c r="C20823" i="1"/>
  <c r="N20823" i="1"/>
  <c r="A20824" i="1"/>
  <c r="C20824" i="1"/>
  <c r="N20824" i="1"/>
  <c r="A20825" i="1"/>
  <c r="C20825" i="1"/>
  <c r="N20825" i="1"/>
  <c r="A20826" i="1"/>
  <c r="C20826" i="1"/>
  <c r="N20826" i="1"/>
  <c r="A20827" i="1"/>
  <c r="C20827" i="1"/>
  <c r="N20827" i="1"/>
  <c r="A20828" i="1"/>
  <c r="C20828" i="1"/>
  <c r="N20828" i="1"/>
  <c r="A20829" i="1"/>
  <c r="C20829" i="1"/>
  <c r="N20829" i="1"/>
  <c r="A20830" i="1"/>
  <c r="C20830" i="1"/>
  <c r="N20830" i="1"/>
  <c r="A20831" i="1"/>
  <c r="C20831" i="1"/>
  <c r="N20831" i="1"/>
  <c r="A20832" i="1"/>
  <c r="C20832" i="1"/>
  <c r="N20832" i="1"/>
  <c r="A20833" i="1"/>
  <c r="C20833" i="1"/>
  <c r="N20833" i="1"/>
  <c r="A20834" i="1"/>
  <c r="C20834" i="1"/>
  <c r="D20834" i="1"/>
  <c r="N20834" i="1"/>
  <c r="O20834" i="1"/>
  <c r="A20835" i="1"/>
  <c r="C20835" i="1"/>
  <c r="N20835" i="1"/>
  <c r="A20836" i="1"/>
  <c r="C20836" i="1"/>
  <c r="N20836" i="1"/>
  <c r="A20837" i="1"/>
  <c r="C20837" i="1"/>
  <c r="N20837" i="1"/>
  <c r="A20838" i="1"/>
  <c r="C20838" i="1"/>
  <c r="N20838" i="1"/>
  <c r="A20839" i="1"/>
  <c r="C20839" i="1"/>
  <c r="N20839" i="1"/>
  <c r="A20840" i="1"/>
  <c r="C20840" i="1"/>
  <c r="N20840" i="1"/>
  <c r="A20841" i="1"/>
  <c r="C20841" i="1"/>
  <c r="N20841" i="1"/>
  <c r="A20842" i="1"/>
  <c r="C20842" i="1"/>
  <c r="N20842" i="1"/>
  <c r="A20843" i="1"/>
  <c r="C20843" i="1"/>
  <c r="N20843" i="1"/>
  <c r="A20844" i="1"/>
  <c r="C20844" i="1"/>
  <c r="N20844" i="1"/>
  <c r="A20845" i="1"/>
  <c r="C20845" i="1"/>
  <c r="N20845" i="1"/>
  <c r="A20846" i="1"/>
  <c r="C20846" i="1"/>
  <c r="N20846" i="1"/>
  <c r="A20847" i="1"/>
  <c r="C20847" i="1"/>
  <c r="N20847" i="1"/>
  <c r="A20848" i="1"/>
  <c r="C20848" i="1"/>
  <c r="N20848" i="1"/>
  <c r="A20849" i="1"/>
  <c r="C20849" i="1"/>
  <c r="N20849" i="1"/>
  <c r="A20850" i="1"/>
  <c r="C20850" i="1"/>
  <c r="N20850" i="1"/>
  <c r="A20851" i="1"/>
  <c r="C20851" i="1"/>
  <c r="N20851" i="1"/>
  <c r="A20852" i="1"/>
  <c r="C20852" i="1"/>
  <c r="D20852" i="1"/>
  <c r="N20852" i="1"/>
  <c r="O20852" i="1"/>
  <c r="A20853" i="1"/>
  <c r="C20853" i="1"/>
  <c r="D20853" i="1"/>
  <c r="N20853" i="1"/>
  <c r="O20853" i="1"/>
  <c r="A20854" i="1"/>
  <c r="C20854" i="1"/>
  <c r="N20854" i="1"/>
  <c r="A20855" i="1"/>
  <c r="C20855" i="1"/>
  <c r="E20855" i="1"/>
  <c r="N20855" i="1"/>
  <c r="T20855" i="1"/>
  <c r="A20856" i="1"/>
  <c r="C20856" i="1"/>
  <c r="N20856" i="1"/>
  <c r="A20857" i="1"/>
  <c r="C20857" i="1"/>
  <c r="F20857" i="1"/>
  <c r="N20857" i="1"/>
  <c r="A20858" i="1"/>
  <c r="C20858" i="1"/>
  <c r="F20858" i="1"/>
  <c r="N20858" i="1"/>
  <c r="A20859" i="1"/>
  <c r="C20859" i="1"/>
  <c r="N20859" i="1"/>
  <c r="A20860" i="1"/>
  <c r="C20860" i="1"/>
  <c r="N20860" i="1"/>
  <c r="A20861" i="1"/>
  <c r="C20861" i="1"/>
  <c r="N20861" i="1"/>
  <c r="A20862" i="1"/>
  <c r="C20862" i="1"/>
  <c r="N20862" i="1"/>
  <c r="A20863" i="1"/>
  <c r="C20863" i="1"/>
  <c r="K20863" i="1"/>
  <c r="N20863" i="1"/>
  <c r="A20864" i="1"/>
  <c r="C20864" i="1"/>
  <c r="N20864" i="1"/>
  <c r="A20865" i="1"/>
  <c r="C20865" i="1"/>
  <c r="N20865" i="1"/>
  <c r="A20866" i="1"/>
  <c r="C20866" i="1"/>
  <c r="N20866" i="1"/>
  <c r="A20867" i="1"/>
  <c r="C20867" i="1"/>
  <c r="N20867" i="1"/>
  <c r="A20868" i="1"/>
  <c r="C20868" i="1"/>
  <c r="N20868" i="1"/>
  <c r="A20869" i="1"/>
  <c r="C20869" i="1"/>
  <c r="N20869" i="1"/>
  <c r="A20870" i="1"/>
  <c r="C20870" i="1"/>
  <c r="N20870" i="1"/>
  <c r="A20871" i="1"/>
  <c r="C20871" i="1"/>
  <c r="F20871" i="1"/>
  <c r="N20871" i="1"/>
  <c r="A20872" i="1"/>
  <c r="C20872" i="1"/>
  <c r="F20872" i="1"/>
  <c r="N20872" i="1"/>
  <c r="A20873" i="1"/>
  <c r="C20873" i="1"/>
  <c r="K20873" i="1"/>
  <c r="N20873" i="1"/>
  <c r="A20874" i="1"/>
  <c r="C20874" i="1"/>
  <c r="N20874" i="1"/>
  <c r="A20875" i="1"/>
  <c r="C20875" i="1"/>
  <c r="N20875" i="1"/>
  <c r="A20876" i="1"/>
  <c r="C20876" i="1"/>
  <c r="N20876" i="1"/>
  <c r="A20877" i="1"/>
  <c r="C20877" i="1"/>
  <c r="N20877" i="1"/>
  <c r="A20878" i="1"/>
  <c r="C20878" i="1"/>
  <c r="N20878" i="1"/>
  <c r="A20879" i="1"/>
  <c r="C20879" i="1"/>
  <c r="N20879" i="1"/>
  <c r="A20880" i="1"/>
  <c r="C20880" i="1"/>
  <c r="N20880" i="1"/>
  <c r="A20881" i="1"/>
  <c r="C20881" i="1"/>
  <c r="N20881" i="1"/>
  <c r="A20882" i="1"/>
  <c r="C20882" i="1"/>
  <c r="N20882" i="1"/>
  <c r="A20883" i="1"/>
  <c r="C20883" i="1"/>
  <c r="N20883" i="1"/>
  <c r="A20884" i="1"/>
  <c r="C20884" i="1"/>
  <c r="N20884" i="1"/>
  <c r="A20885" i="1"/>
  <c r="C20885" i="1"/>
  <c r="N20885" i="1"/>
  <c r="A20886" i="1"/>
  <c r="C20886" i="1"/>
  <c r="N20886" i="1"/>
  <c r="A20887" i="1"/>
  <c r="C20887" i="1"/>
  <c r="N20887" i="1"/>
  <c r="A20888" i="1"/>
  <c r="C20888" i="1"/>
  <c r="N20888" i="1"/>
  <c r="A20889" i="1"/>
  <c r="C20889" i="1"/>
  <c r="K20889" i="1"/>
  <c r="N20889" i="1"/>
  <c r="A20890" i="1"/>
  <c r="C20890" i="1"/>
  <c r="N20890" i="1"/>
  <c r="A20891" i="1"/>
  <c r="C20891" i="1"/>
  <c r="N20891" i="1"/>
  <c r="A20892" i="1"/>
  <c r="C20892" i="1"/>
  <c r="N20892" i="1"/>
  <c r="A20893" i="1"/>
  <c r="C20893" i="1"/>
  <c r="K20893" i="1"/>
  <c r="N20893" i="1"/>
  <c r="A20894" i="1"/>
  <c r="C20894" i="1"/>
  <c r="D20894" i="1"/>
  <c r="N20894" i="1"/>
  <c r="O20894" i="1"/>
  <c r="A20895" i="1"/>
  <c r="C20895" i="1"/>
  <c r="N20895" i="1"/>
  <c r="A20896" i="1"/>
  <c r="C20896" i="1"/>
  <c r="N20896" i="1"/>
  <c r="A20897" i="1"/>
  <c r="C20897" i="1"/>
  <c r="K20897" i="1"/>
  <c r="N20897" i="1"/>
  <c r="A20898" i="1"/>
  <c r="C20898" i="1"/>
  <c r="N20898" i="1"/>
  <c r="A20899" i="1"/>
  <c r="C20899" i="1"/>
  <c r="N20899" i="1"/>
  <c r="A20900" i="1"/>
  <c r="C20900" i="1"/>
  <c r="N20900" i="1"/>
  <c r="A20901" i="1"/>
  <c r="C20901" i="1"/>
  <c r="N20901" i="1"/>
  <c r="A20902" i="1"/>
  <c r="C20902" i="1"/>
  <c r="N20902" i="1"/>
  <c r="A20903" i="1"/>
  <c r="C20903" i="1"/>
  <c r="N20903" i="1"/>
  <c r="A20904" i="1"/>
  <c r="C20904" i="1"/>
  <c r="N20904" i="1"/>
  <c r="A20905" i="1"/>
  <c r="C20905" i="1"/>
  <c r="N20905" i="1"/>
  <c r="A20906" i="1"/>
  <c r="C20906" i="1"/>
  <c r="N20906" i="1"/>
  <c r="A20907" i="1"/>
  <c r="C20907" i="1"/>
  <c r="N20907" i="1"/>
  <c r="A20908" i="1"/>
  <c r="C20908" i="1"/>
  <c r="N20908" i="1"/>
  <c r="A20909" i="1"/>
  <c r="C20909" i="1"/>
  <c r="N20909" i="1"/>
  <c r="A20910" i="1"/>
  <c r="C20910" i="1"/>
  <c r="F20910" i="1"/>
  <c r="N20910" i="1"/>
  <c r="A20911" i="1"/>
  <c r="C20911" i="1"/>
  <c r="N20911" i="1"/>
  <c r="A20912" i="1"/>
  <c r="C20912" i="1"/>
  <c r="N20912" i="1"/>
  <c r="A20913" i="1"/>
  <c r="C20913" i="1"/>
  <c r="N20913" i="1"/>
  <c r="A20914" i="1"/>
  <c r="C20914" i="1"/>
  <c r="N20914" i="1"/>
  <c r="A20915" i="1"/>
  <c r="C20915" i="1"/>
  <c r="N20915" i="1"/>
  <c r="A20916" i="1"/>
  <c r="C20916" i="1"/>
  <c r="N20916" i="1"/>
  <c r="A20917" i="1"/>
  <c r="C20917" i="1"/>
  <c r="N20917" i="1"/>
  <c r="A20918" i="1"/>
  <c r="C20918" i="1"/>
  <c r="N20918" i="1"/>
  <c r="A20919" i="1"/>
  <c r="C20919" i="1"/>
  <c r="N20919" i="1"/>
  <c r="A20920" i="1"/>
  <c r="C20920" i="1"/>
  <c r="N20920" i="1"/>
  <c r="A20921" i="1"/>
  <c r="C20921" i="1"/>
  <c r="N20921" i="1"/>
  <c r="A20922" i="1"/>
  <c r="C20922" i="1"/>
  <c r="N20922" i="1"/>
  <c r="A20923" i="1"/>
  <c r="C20923" i="1"/>
  <c r="N20923" i="1"/>
  <c r="A20924" i="1"/>
  <c r="C20924" i="1"/>
  <c r="N20924" i="1"/>
  <c r="A20925" i="1"/>
  <c r="C20925" i="1"/>
  <c r="N20925" i="1"/>
  <c r="A20926" i="1"/>
  <c r="C20926" i="1"/>
  <c r="N20926" i="1"/>
  <c r="A20927" i="1"/>
  <c r="C20927" i="1"/>
  <c r="N20927" i="1"/>
  <c r="A20928" i="1"/>
  <c r="C20928" i="1"/>
  <c r="N20928" i="1"/>
  <c r="A20929" i="1"/>
  <c r="C20929" i="1"/>
  <c r="E20929" i="1"/>
  <c r="N20929" i="1"/>
  <c r="T20929" i="1"/>
  <c r="A20930" i="1"/>
  <c r="C20930" i="1"/>
  <c r="N20930" i="1"/>
  <c r="A20931" i="1"/>
  <c r="C20931" i="1"/>
  <c r="N20931" i="1"/>
  <c r="A20932" i="1"/>
  <c r="C20932" i="1"/>
  <c r="N20932" i="1"/>
  <c r="A20933" i="1"/>
  <c r="C20933" i="1"/>
  <c r="N20933" i="1"/>
  <c r="A20934" i="1"/>
  <c r="C20934" i="1"/>
  <c r="N20934" i="1"/>
  <c r="A20935" i="1"/>
  <c r="C20935" i="1"/>
  <c r="N20935" i="1"/>
  <c r="A20936" i="1"/>
  <c r="C20936" i="1"/>
  <c r="N20936" i="1"/>
  <c r="A20937" i="1"/>
  <c r="C20937" i="1"/>
  <c r="N20937" i="1"/>
  <c r="A20938" i="1"/>
  <c r="C20938" i="1"/>
  <c r="N20938" i="1"/>
  <c r="A20939" i="1"/>
  <c r="C20939" i="1"/>
  <c r="N20939" i="1"/>
  <c r="A20940" i="1"/>
  <c r="C20940" i="1"/>
  <c r="N20940" i="1"/>
  <c r="A20941" i="1"/>
  <c r="C20941" i="1"/>
  <c r="N20941" i="1"/>
  <c r="A20942" i="1"/>
  <c r="C20942" i="1"/>
  <c r="N20942" i="1"/>
  <c r="A20943" i="1"/>
  <c r="C20943" i="1"/>
  <c r="N20943" i="1"/>
  <c r="A20944" i="1"/>
  <c r="C20944" i="1"/>
  <c r="N20944" i="1"/>
  <c r="A20945" i="1"/>
  <c r="C20945" i="1"/>
  <c r="N20945" i="1"/>
  <c r="A20946" i="1"/>
  <c r="C20946" i="1"/>
  <c r="N20946" i="1"/>
  <c r="A20947" i="1"/>
  <c r="C20947" i="1"/>
  <c r="N20947" i="1"/>
  <c r="A20948" i="1"/>
  <c r="C20948" i="1"/>
  <c r="N20948" i="1"/>
  <c r="A20949" i="1"/>
  <c r="C20949" i="1"/>
  <c r="N20949" i="1"/>
  <c r="A20950" i="1"/>
  <c r="C20950" i="1"/>
  <c r="N20950" i="1"/>
  <c r="A20951" i="1"/>
  <c r="C20951" i="1"/>
  <c r="N20951" i="1"/>
  <c r="A20952" i="1"/>
  <c r="C20952" i="1"/>
  <c r="N20952" i="1"/>
  <c r="A20953" i="1"/>
  <c r="C20953" i="1"/>
  <c r="N20953" i="1"/>
  <c r="A20954" i="1"/>
  <c r="C20954" i="1"/>
  <c r="N20954" i="1"/>
  <c r="A20955" i="1"/>
  <c r="C20955" i="1"/>
  <c r="K20955" i="1"/>
  <c r="N20955" i="1"/>
  <c r="A20956" i="1"/>
  <c r="C20956" i="1"/>
  <c r="N20956" i="1"/>
  <c r="A20957" i="1"/>
  <c r="C20957" i="1"/>
  <c r="N20957" i="1"/>
  <c r="A20958" i="1"/>
  <c r="C20958" i="1"/>
  <c r="N20958" i="1"/>
  <c r="A20959" i="1"/>
  <c r="C20959" i="1"/>
  <c r="N20959" i="1"/>
  <c r="A20960" i="1"/>
  <c r="C20960" i="1"/>
  <c r="N20960" i="1"/>
  <c r="A20961" i="1"/>
  <c r="C20961" i="1"/>
  <c r="D20961" i="1"/>
  <c r="N20961" i="1"/>
  <c r="O20961" i="1"/>
  <c r="A20962" i="1"/>
  <c r="C20962" i="1"/>
  <c r="N20962" i="1"/>
  <c r="A20963" i="1"/>
  <c r="C20963" i="1"/>
  <c r="K20963" i="1"/>
  <c r="N20963" i="1"/>
  <c r="A20964" i="1"/>
  <c r="C20964" i="1"/>
  <c r="N20964" i="1"/>
  <c r="A20965" i="1"/>
  <c r="C20965" i="1"/>
  <c r="N20965" i="1"/>
  <c r="A20966" i="1"/>
  <c r="C20966" i="1"/>
  <c r="N20966" i="1"/>
  <c r="A20967" i="1"/>
  <c r="C20967" i="1"/>
  <c r="N20967" i="1"/>
  <c r="A20968" i="1"/>
  <c r="C20968" i="1"/>
  <c r="N20968" i="1"/>
  <c r="A20969" i="1"/>
  <c r="C20969" i="1"/>
  <c r="F20969" i="1"/>
  <c r="N20969" i="1"/>
  <c r="A20970" i="1"/>
  <c r="C20970" i="1"/>
  <c r="N20970" i="1"/>
  <c r="A20971" i="1"/>
  <c r="C20971" i="1"/>
  <c r="E20971" i="1"/>
  <c r="N20971" i="1"/>
  <c r="T20971" i="1"/>
  <c r="A20972" i="1"/>
  <c r="C20972" i="1"/>
  <c r="N20972" i="1"/>
  <c r="A20973" i="1"/>
  <c r="C20973" i="1"/>
  <c r="N20973" i="1"/>
  <c r="A20974" i="1"/>
  <c r="C20974" i="1"/>
  <c r="N20974" i="1"/>
  <c r="A20975" i="1"/>
  <c r="C20975" i="1"/>
  <c r="N20975" i="1"/>
  <c r="A20976" i="1"/>
  <c r="C20976" i="1"/>
  <c r="N20976" i="1"/>
  <c r="A20977" i="1"/>
  <c r="C20977" i="1"/>
  <c r="N20977" i="1"/>
  <c r="A20978" i="1"/>
  <c r="C20978" i="1"/>
  <c r="N20978" i="1"/>
  <c r="A20979" i="1"/>
  <c r="C20979" i="1"/>
  <c r="N20979" i="1"/>
  <c r="A20980" i="1"/>
  <c r="C20980" i="1"/>
  <c r="N20980" i="1"/>
  <c r="A20981" i="1"/>
  <c r="C20981" i="1"/>
  <c r="N20981" i="1"/>
  <c r="A20982" i="1"/>
  <c r="C20982" i="1"/>
  <c r="K20982" i="1"/>
  <c r="N20982" i="1"/>
  <c r="A20983" i="1"/>
  <c r="C20983" i="1"/>
  <c r="N20983" i="1"/>
  <c r="A20984" i="1"/>
  <c r="C20984" i="1"/>
  <c r="N20984" i="1"/>
  <c r="A20985" i="1"/>
  <c r="C20985" i="1"/>
  <c r="N20985" i="1"/>
  <c r="A20986" i="1"/>
  <c r="C20986" i="1"/>
  <c r="N20986" i="1"/>
  <c r="A20987" i="1"/>
  <c r="C20987" i="1"/>
  <c r="K20987" i="1"/>
  <c r="N20987" i="1"/>
  <c r="A20988" i="1"/>
  <c r="C20988" i="1"/>
  <c r="N20988" i="1"/>
  <c r="A20989" i="1"/>
  <c r="C20989" i="1"/>
  <c r="N20989" i="1"/>
  <c r="A20990" i="1"/>
  <c r="C20990" i="1"/>
  <c r="K20990" i="1"/>
  <c r="N20990" i="1"/>
  <c r="A20991" i="1"/>
  <c r="C20991" i="1"/>
  <c r="K20991" i="1"/>
  <c r="N20991" i="1"/>
  <c r="A20992" i="1"/>
  <c r="C20992" i="1"/>
  <c r="N20992" i="1"/>
  <c r="A20993" i="1"/>
  <c r="C20993" i="1"/>
  <c r="N20993" i="1"/>
  <c r="A20994" i="1"/>
  <c r="C20994" i="1"/>
  <c r="N20994" i="1"/>
  <c r="A20995" i="1"/>
  <c r="C20995" i="1"/>
  <c r="N20995" i="1"/>
  <c r="A20996" i="1"/>
  <c r="C20996" i="1"/>
  <c r="N20996" i="1"/>
  <c r="A20997" i="1"/>
  <c r="C20997" i="1"/>
  <c r="N20997" i="1"/>
  <c r="A20998" i="1"/>
  <c r="C20998" i="1"/>
  <c r="E20998" i="1"/>
  <c r="N20998" i="1"/>
  <c r="T20998" i="1"/>
  <c r="A20999" i="1"/>
  <c r="C20999" i="1"/>
  <c r="N20999" i="1"/>
  <c r="A21000" i="1"/>
  <c r="C21000" i="1"/>
  <c r="N21000" i="1"/>
  <c r="A21001" i="1"/>
  <c r="C21001" i="1"/>
  <c r="N21001" i="1"/>
  <c r="A21002" i="1"/>
  <c r="C21002" i="1"/>
  <c r="N21002" i="1"/>
  <c r="A21003" i="1"/>
  <c r="C21003" i="1"/>
  <c r="N21003" i="1"/>
  <c r="A21004" i="1"/>
  <c r="C21004" i="1"/>
  <c r="N21004" i="1"/>
  <c r="A21005" i="1"/>
  <c r="C21005" i="1"/>
  <c r="N21005" i="1"/>
  <c r="A21006" i="1"/>
  <c r="C21006" i="1"/>
  <c r="N21006" i="1"/>
  <c r="A21007" i="1"/>
  <c r="C21007" i="1"/>
  <c r="N21007" i="1"/>
  <c r="A21008" i="1"/>
  <c r="C21008" i="1"/>
  <c r="K21008" i="1"/>
  <c r="N21008" i="1"/>
  <c r="A21009" i="1"/>
  <c r="C21009" i="1"/>
  <c r="N21009" i="1"/>
  <c r="A21010" i="1"/>
  <c r="C21010" i="1"/>
  <c r="N21010" i="1"/>
  <c r="A21011" i="1"/>
  <c r="C21011" i="1"/>
  <c r="N21011" i="1"/>
  <c r="A21012" i="1"/>
  <c r="C21012" i="1"/>
  <c r="K21012" i="1"/>
  <c r="N21012" i="1"/>
  <c r="A21013" i="1"/>
  <c r="C21013" i="1"/>
  <c r="K21013" i="1"/>
  <c r="N21013" i="1"/>
  <c r="A21014" i="1"/>
  <c r="C21014" i="1"/>
  <c r="K21014" i="1"/>
  <c r="N21014" i="1"/>
  <c r="A21015" i="1"/>
  <c r="C21015" i="1"/>
  <c r="K21015" i="1"/>
  <c r="N21015" i="1"/>
  <c r="A21016" i="1"/>
  <c r="C21016" i="1"/>
  <c r="N21016" i="1"/>
  <c r="A21017" i="1"/>
  <c r="C21017" i="1"/>
  <c r="N21017" i="1"/>
  <c r="A21018" i="1"/>
  <c r="C21018" i="1"/>
  <c r="N21018" i="1"/>
  <c r="A21019" i="1"/>
  <c r="C21019" i="1"/>
  <c r="N21019" i="1"/>
  <c r="A21020" i="1"/>
  <c r="C21020" i="1"/>
  <c r="K21020" i="1"/>
  <c r="N21020" i="1"/>
  <c r="A21021" i="1"/>
  <c r="C21021" i="1"/>
  <c r="N21021" i="1"/>
  <c r="A21022" i="1"/>
  <c r="C21022" i="1"/>
  <c r="N21022" i="1"/>
  <c r="A21023" i="1"/>
  <c r="C21023" i="1"/>
  <c r="N21023" i="1"/>
  <c r="A21024" i="1"/>
  <c r="C21024" i="1"/>
  <c r="N21024" i="1"/>
  <c r="A21025" i="1"/>
  <c r="C21025" i="1"/>
  <c r="N21025" i="1"/>
  <c r="A21026" i="1"/>
  <c r="C21026" i="1"/>
  <c r="N21026" i="1"/>
  <c r="A21027" i="1"/>
  <c r="C21027" i="1"/>
  <c r="N21027" i="1"/>
  <c r="A21028" i="1"/>
  <c r="C21028" i="1"/>
  <c r="N21028" i="1"/>
  <c r="A21029" i="1"/>
  <c r="C21029" i="1"/>
  <c r="N21029" i="1"/>
  <c r="A21030" i="1"/>
  <c r="C21030" i="1"/>
  <c r="N21030" i="1"/>
  <c r="A21031" i="1"/>
  <c r="C21031" i="1"/>
  <c r="N21031" i="1"/>
  <c r="A21032" i="1"/>
  <c r="C21032" i="1"/>
  <c r="N21032" i="1"/>
  <c r="A21033" i="1"/>
  <c r="C21033" i="1"/>
  <c r="N21033" i="1"/>
  <c r="A21034" i="1"/>
  <c r="C21034" i="1"/>
  <c r="N21034" i="1"/>
  <c r="A21035" i="1"/>
  <c r="C21035" i="1"/>
  <c r="D21035" i="1"/>
  <c r="N21035" i="1"/>
  <c r="O21035" i="1"/>
  <c r="A21036" i="1"/>
  <c r="C21036" i="1"/>
  <c r="N21036" i="1"/>
  <c r="A21037" i="1"/>
  <c r="C21037" i="1"/>
  <c r="N21037" i="1"/>
  <c r="A21038" i="1"/>
  <c r="C21038" i="1"/>
  <c r="N21038" i="1"/>
  <c r="A21039" i="1"/>
  <c r="C21039" i="1"/>
  <c r="N21039" i="1"/>
  <c r="A21040" i="1"/>
  <c r="C21040" i="1"/>
  <c r="N21040" i="1"/>
  <c r="A21041" i="1"/>
  <c r="C21041" i="1"/>
  <c r="N21041" i="1"/>
  <c r="A21042" i="1"/>
  <c r="C21042" i="1"/>
  <c r="N21042" i="1"/>
  <c r="A21043" i="1"/>
  <c r="C21043" i="1"/>
  <c r="N21043" i="1"/>
  <c r="A21044" i="1"/>
  <c r="C21044" i="1"/>
  <c r="K21044" i="1"/>
  <c r="N21044" i="1"/>
  <c r="A21045" i="1"/>
  <c r="C21045" i="1"/>
  <c r="N21045" i="1"/>
  <c r="A21046" i="1"/>
  <c r="C21046" i="1"/>
  <c r="K21046" i="1"/>
  <c r="N21046" i="1"/>
  <c r="A21047" i="1"/>
  <c r="C21047" i="1"/>
  <c r="N21047" i="1"/>
  <c r="A21048" i="1"/>
  <c r="C21048" i="1"/>
  <c r="K21048" i="1"/>
  <c r="N21048" i="1"/>
  <c r="A21049" i="1"/>
  <c r="C21049" i="1"/>
  <c r="K21049" i="1"/>
  <c r="N21049" i="1"/>
  <c r="A21050" i="1"/>
  <c r="C21050" i="1"/>
  <c r="K21050" i="1"/>
  <c r="N21050" i="1"/>
  <c r="A21051" i="1"/>
  <c r="C21051" i="1"/>
  <c r="N21051" i="1"/>
  <c r="A21052" i="1"/>
  <c r="C21052" i="1"/>
  <c r="N21052" i="1"/>
  <c r="A21053" i="1"/>
  <c r="C21053" i="1"/>
  <c r="N21053" i="1"/>
  <c r="A21054" i="1"/>
  <c r="C21054" i="1"/>
  <c r="N21054" i="1"/>
  <c r="A21055" i="1"/>
  <c r="C21055" i="1"/>
  <c r="N21055" i="1"/>
  <c r="A21056" i="1"/>
  <c r="C21056" i="1"/>
  <c r="N21056" i="1"/>
  <c r="A21057" i="1"/>
  <c r="C21057" i="1"/>
  <c r="K21057" i="1"/>
  <c r="N21057" i="1"/>
  <c r="A21058" i="1"/>
  <c r="C21058" i="1"/>
  <c r="N21058" i="1"/>
  <c r="A21059" i="1"/>
  <c r="C21059" i="1"/>
  <c r="N21059" i="1"/>
  <c r="A21060" i="1"/>
  <c r="C21060" i="1"/>
  <c r="D21060" i="1"/>
  <c r="N21060" i="1"/>
  <c r="O21060" i="1"/>
  <c r="A21061" i="1"/>
  <c r="C21061" i="1"/>
  <c r="N21061" i="1"/>
  <c r="A21062" i="1"/>
  <c r="C21062" i="1"/>
  <c r="N21062" i="1"/>
  <c r="A21063" i="1"/>
  <c r="C21063" i="1"/>
  <c r="N21063" i="1"/>
  <c r="A21064" i="1"/>
  <c r="C21064" i="1"/>
  <c r="N21064" i="1"/>
  <c r="A21065" i="1"/>
  <c r="C21065" i="1"/>
  <c r="N21065" i="1"/>
  <c r="A21066" i="1"/>
  <c r="C21066" i="1"/>
  <c r="N21066" i="1"/>
  <c r="A21067" i="1"/>
  <c r="C21067" i="1"/>
  <c r="N21067" i="1"/>
  <c r="A21068" i="1"/>
  <c r="C21068" i="1"/>
  <c r="N21068" i="1"/>
  <c r="A21069" i="1"/>
  <c r="C21069" i="1"/>
  <c r="N21069" i="1"/>
  <c r="A21070" i="1"/>
  <c r="C21070" i="1"/>
  <c r="N21070" i="1"/>
  <c r="A21071" i="1"/>
  <c r="C21071" i="1"/>
  <c r="N21071" i="1"/>
  <c r="A21072" i="1"/>
  <c r="C21072" i="1"/>
  <c r="N21072" i="1"/>
  <c r="A21073" i="1"/>
  <c r="C21073" i="1"/>
  <c r="N21073" i="1"/>
  <c r="A21074" i="1"/>
  <c r="C21074" i="1"/>
  <c r="N21074" i="1"/>
  <c r="A21075" i="1"/>
  <c r="C21075" i="1"/>
  <c r="N21075" i="1"/>
  <c r="A21076" i="1"/>
  <c r="C21076" i="1"/>
  <c r="N21076" i="1"/>
  <c r="A21077" i="1"/>
  <c r="C21077" i="1"/>
  <c r="N21077" i="1"/>
  <c r="A21078" i="1"/>
  <c r="C21078" i="1"/>
  <c r="N21078" i="1"/>
  <c r="A21079" i="1"/>
  <c r="C21079" i="1"/>
  <c r="N21079" i="1"/>
  <c r="A21080" i="1"/>
  <c r="C21080" i="1"/>
  <c r="N21080" i="1"/>
  <c r="A21081" i="1"/>
  <c r="C21081" i="1"/>
  <c r="N21081" i="1"/>
  <c r="A21082" i="1"/>
  <c r="C21082" i="1"/>
  <c r="N21082" i="1"/>
  <c r="A21083" i="1"/>
  <c r="C21083" i="1"/>
  <c r="N21083" i="1"/>
  <c r="A21084" i="1"/>
  <c r="C21084" i="1"/>
  <c r="N21084" i="1"/>
  <c r="A21085" i="1"/>
  <c r="C21085" i="1"/>
  <c r="N21085" i="1"/>
  <c r="A21086" i="1"/>
  <c r="C21086" i="1"/>
  <c r="N21086" i="1"/>
  <c r="A21087" i="1"/>
  <c r="C21087" i="1"/>
  <c r="N21087" i="1"/>
  <c r="A21088" i="1"/>
  <c r="C21088" i="1"/>
  <c r="N21088" i="1"/>
  <c r="A21089" i="1"/>
  <c r="C21089" i="1"/>
  <c r="K21089" i="1"/>
  <c r="N21089" i="1"/>
  <c r="A21090" i="1"/>
  <c r="C21090" i="1"/>
  <c r="N21090" i="1"/>
  <c r="A21091" i="1"/>
  <c r="C21091" i="1"/>
  <c r="N21091" i="1"/>
  <c r="A21092" i="1"/>
  <c r="C21092" i="1"/>
  <c r="N21092" i="1"/>
  <c r="A21093" i="1"/>
  <c r="C21093" i="1"/>
  <c r="N21093" i="1"/>
  <c r="A21094" i="1"/>
  <c r="C21094" i="1"/>
  <c r="N21094" i="1"/>
  <c r="A21095" i="1"/>
  <c r="C21095" i="1"/>
  <c r="N21095" i="1"/>
  <c r="A21096" i="1"/>
  <c r="C21096" i="1"/>
  <c r="N21096" i="1"/>
  <c r="A21097" i="1"/>
  <c r="C21097" i="1"/>
  <c r="K21097" i="1"/>
  <c r="N21097" i="1"/>
  <c r="A21098" i="1"/>
  <c r="C21098" i="1"/>
  <c r="F21098" i="1"/>
  <c r="N21098" i="1"/>
  <c r="A21099" i="1"/>
  <c r="C21099" i="1"/>
  <c r="F21099" i="1"/>
  <c r="N21099" i="1"/>
  <c r="A21100" i="1"/>
  <c r="C21100" i="1"/>
  <c r="N21100" i="1"/>
  <c r="A21101" i="1"/>
  <c r="C21101" i="1"/>
  <c r="N21101" i="1"/>
  <c r="A21102" i="1"/>
  <c r="C21102" i="1"/>
  <c r="N21102" i="1"/>
  <c r="A21103" i="1"/>
  <c r="C21103" i="1"/>
  <c r="N21103" i="1"/>
  <c r="A21104" i="1"/>
  <c r="C21104" i="1"/>
  <c r="N21104" i="1"/>
  <c r="A21105" i="1"/>
  <c r="C21105" i="1"/>
  <c r="N21105" i="1"/>
  <c r="A21106" i="1"/>
  <c r="C21106" i="1"/>
  <c r="N21106" i="1"/>
  <c r="A21107" i="1"/>
  <c r="C21107" i="1"/>
  <c r="N21107" i="1"/>
  <c r="A21108" i="1"/>
  <c r="C21108" i="1"/>
  <c r="N21108" i="1"/>
  <c r="A21109" i="1"/>
  <c r="C21109" i="1"/>
  <c r="N21109" i="1"/>
  <c r="A21110" i="1"/>
  <c r="C21110" i="1"/>
  <c r="N21110" i="1"/>
  <c r="A21111" i="1"/>
  <c r="C21111" i="1"/>
  <c r="N21111" i="1"/>
  <c r="A21112" i="1"/>
  <c r="C21112" i="1"/>
  <c r="N21112" i="1"/>
  <c r="A21113" i="1"/>
  <c r="C21113" i="1"/>
  <c r="N21113" i="1"/>
  <c r="A21114" i="1"/>
  <c r="C21114" i="1"/>
  <c r="N21114" i="1"/>
  <c r="A21115" i="1"/>
  <c r="C21115" i="1"/>
  <c r="N21115" i="1"/>
  <c r="A21116" i="1"/>
  <c r="C21116" i="1"/>
  <c r="N21116" i="1"/>
  <c r="A21117" i="1"/>
  <c r="C21117" i="1"/>
  <c r="N21117" i="1"/>
  <c r="A21118" i="1"/>
  <c r="C21118" i="1"/>
  <c r="N21118" i="1"/>
  <c r="A21119" i="1"/>
  <c r="C21119" i="1"/>
  <c r="N21119" i="1"/>
  <c r="A21120" i="1"/>
  <c r="C21120" i="1"/>
  <c r="E21120" i="1"/>
  <c r="N21120" i="1"/>
  <c r="T21120" i="1"/>
  <c r="A21121" i="1"/>
  <c r="C21121" i="1"/>
  <c r="K21121" i="1"/>
  <c r="N21121" i="1"/>
  <c r="A21122" i="1"/>
  <c r="C21122" i="1"/>
  <c r="N21122" i="1"/>
  <c r="A21123" i="1"/>
  <c r="C21123" i="1"/>
  <c r="N21123" i="1"/>
  <c r="A21124" i="1"/>
  <c r="C21124" i="1"/>
  <c r="D21124" i="1"/>
  <c r="N21124" i="1"/>
  <c r="O21124" i="1"/>
  <c r="A21125" i="1"/>
  <c r="C21125" i="1"/>
  <c r="N21125" i="1"/>
  <c r="A21126" i="1"/>
  <c r="C21126" i="1"/>
  <c r="N21126" i="1"/>
  <c r="A21127" i="1"/>
  <c r="C21127" i="1"/>
  <c r="N21127" i="1"/>
  <c r="A21128" i="1"/>
  <c r="C21128" i="1"/>
  <c r="N21128" i="1"/>
  <c r="A21129" i="1"/>
  <c r="C21129" i="1"/>
  <c r="N21129" i="1"/>
  <c r="A21130" i="1"/>
  <c r="C21130" i="1"/>
  <c r="D21130" i="1"/>
  <c r="N21130" i="1"/>
  <c r="O21130" i="1"/>
  <c r="A21131" i="1"/>
  <c r="C21131" i="1"/>
  <c r="D21131" i="1"/>
  <c r="E21131" i="1"/>
  <c r="N21131" i="1"/>
  <c r="O21131" i="1"/>
  <c r="T21131" i="1"/>
  <c r="A21132" i="1"/>
  <c r="C21132" i="1"/>
  <c r="N21132" i="1"/>
  <c r="A21133" i="1"/>
  <c r="C21133" i="1"/>
  <c r="N21133" i="1"/>
  <c r="A21134" i="1"/>
  <c r="C21134" i="1"/>
  <c r="N21134" i="1"/>
  <c r="A21135" i="1"/>
  <c r="C21135" i="1"/>
  <c r="N21135" i="1"/>
  <c r="A21136" i="1"/>
  <c r="C21136" i="1"/>
  <c r="K21136" i="1"/>
  <c r="N21136" i="1"/>
  <c r="A21137" i="1"/>
  <c r="C21137" i="1"/>
  <c r="N21137" i="1"/>
  <c r="A21138" i="1"/>
  <c r="C21138" i="1"/>
  <c r="N21138" i="1"/>
  <c r="A21139" i="1"/>
  <c r="C21139" i="1"/>
  <c r="N21139" i="1"/>
  <c r="A21140" i="1"/>
  <c r="C21140" i="1"/>
  <c r="N21140" i="1"/>
  <c r="A21141" i="1"/>
  <c r="C21141" i="1"/>
  <c r="F21141" i="1"/>
  <c r="K21141" i="1"/>
  <c r="N21141" i="1"/>
  <c r="A21142" i="1"/>
  <c r="C21142" i="1"/>
  <c r="K21142" i="1"/>
  <c r="N21142" i="1"/>
  <c r="A21143" i="1"/>
  <c r="C21143" i="1"/>
  <c r="K21143" i="1"/>
  <c r="N21143" i="1"/>
  <c r="A21144" i="1"/>
  <c r="C21144" i="1"/>
  <c r="N21144" i="1"/>
  <c r="A21145" i="1"/>
  <c r="C21145" i="1"/>
  <c r="N21145" i="1"/>
  <c r="A21146" i="1"/>
  <c r="C21146" i="1"/>
  <c r="K21146" i="1"/>
  <c r="N21146" i="1"/>
  <c r="A21147" i="1"/>
  <c r="C21147" i="1"/>
  <c r="N21147" i="1"/>
  <c r="A21148" i="1"/>
  <c r="C21148" i="1"/>
  <c r="N21148" i="1"/>
  <c r="A21149" i="1"/>
  <c r="C21149" i="1"/>
  <c r="N21149" i="1"/>
  <c r="A21150" i="1"/>
  <c r="C21150" i="1"/>
  <c r="K21150" i="1"/>
  <c r="N21150" i="1"/>
  <c r="A21151" i="1"/>
  <c r="C21151" i="1"/>
  <c r="N21151" i="1"/>
  <c r="A21152" i="1"/>
  <c r="C21152" i="1"/>
  <c r="N21152" i="1"/>
  <c r="A21153" i="1"/>
  <c r="C21153" i="1"/>
  <c r="N21153" i="1"/>
  <c r="A21154" i="1"/>
  <c r="C21154" i="1"/>
  <c r="N21154" i="1"/>
  <c r="A21155" i="1"/>
  <c r="C21155" i="1"/>
  <c r="N21155" i="1"/>
  <c r="A21156" i="1"/>
  <c r="C21156" i="1"/>
  <c r="N21156" i="1"/>
  <c r="A21157" i="1"/>
  <c r="C21157" i="1"/>
  <c r="N21157" i="1"/>
  <c r="A21158" i="1"/>
  <c r="C21158" i="1"/>
  <c r="N21158" i="1"/>
  <c r="A21159" i="1"/>
  <c r="C21159" i="1"/>
  <c r="N21159" i="1"/>
  <c r="A21160" i="1"/>
  <c r="C21160" i="1"/>
  <c r="N21160" i="1"/>
  <c r="A21161" i="1"/>
  <c r="C21161" i="1"/>
  <c r="N21161" i="1"/>
  <c r="A21162" i="1"/>
  <c r="C21162" i="1"/>
  <c r="N21162" i="1"/>
  <c r="A21163" i="1"/>
  <c r="C21163" i="1"/>
  <c r="N21163" i="1"/>
  <c r="A21164" i="1"/>
  <c r="C21164" i="1"/>
  <c r="N21164" i="1"/>
  <c r="A21165" i="1"/>
  <c r="C21165" i="1"/>
  <c r="N21165" i="1"/>
  <c r="A21166" i="1"/>
  <c r="C21166" i="1"/>
  <c r="K21166" i="1"/>
  <c r="N21166" i="1"/>
  <c r="A21167" i="1"/>
  <c r="C21167" i="1"/>
  <c r="N21167" i="1"/>
  <c r="A21168" i="1"/>
  <c r="C21168" i="1"/>
  <c r="N21168" i="1"/>
  <c r="A21169" i="1"/>
  <c r="C21169" i="1"/>
  <c r="N21169" i="1"/>
  <c r="A21170" i="1"/>
  <c r="C21170" i="1"/>
  <c r="N21170" i="1"/>
  <c r="A21171" i="1"/>
  <c r="C21171" i="1"/>
  <c r="N21171" i="1"/>
  <c r="A21172" i="1"/>
  <c r="C21172" i="1"/>
  <c r="N21172" i="1"/>
  <c r="A21173" i="1"/>
  <c r="C21173" i="1"/>
  <c r="N21173" i="1"/>
  <c r="A21174" i="1"/>
  <c r="C21174" i="1"/>
  <c r="N21174" i="1"/>
  <c r="A21175" i="1"/>
  <c r="C21175" i="1"/>
  <c r="N21175" i="1"/>
  <c r="A21176" i="1"/>
  <c r="C21176" i="1"/>
  <c r="N21176" i="1"/>
  <c r="A21177" i="1"/>
  <c r="C21177" i="1"/>
  <c r="N21177" i="1"/>
  <c r="A21178" i="1"/>
  <c r="C21178" i="1"/>
  <c r="N21178" i="1"/>
  <c r="A21179" i="1"/>
  <c r="C21179" i="1"/>
  <c r="N21179" i="1"/>
  <c r="A21180" i="1"/>
  <c r="C21180" i="1"/>
  <c r="N21180" i="1"/>
  <c r="A21181" i="1"/>
  <c r="C21181" i="1"/>
  <c r="N21181" i="1"/>
  <c r="A21182" i="1"/>
  <c r="C21182" i="1"/>
  <c r="N21182" i="1"/>
  <c r="A21183" i="1"/>
  <c r="C21183" i="1"/>
  <c r="N21183" i="1"/>
  <c r="A21184" i="1"/>
  <c r="C21184" i="1"/>
  <c r="N21184" i="1"/>
  <c r="A21185" i="1"/>
  <c r="C21185" i="1"/>
  <c r="K21185" i="1"/>
  <c r="N21185" i="1"/>
  <c r="A21186" i="1"/>
  <c r="C21186" i="1"/>
  <c r="N21186" i="1"/>
  <c r="A21187" i="1"/>
  <c r="C21187" i="1"/>
  <c r="K21187" i="1"/>
  <c r="N21187" i="1"/>
  <c r="A21188" i="1"/>
  <c r="C21188" i="1"/>
  <c r="N21188" i="1"/>
  <c r="A21189" i="1"/>
  <c r="C21189" i="1"/>
  <c r="N21189" i="1"/>
  <c r="A21190" i="1"/>
  <c r="C21190" i="1"/>
  <c r="N21190" i="1"/>
  <c r="A21191" i="1"/>
  <c r="C21191" i="1"/>
  <c r="N21191" i="1"/>
  <c r="A21192" i="1"/>
  <c r="C21192" i="1"/>
  <c r="N21192" i="1"/>
  <c r="A21193" i="1"/>
  <c r="C21193" i="1"/>
  <c r="N21193" i="1"/>
  <c r="A21194" i="1"/>
  <c r="C21194" i="1"/>
  <c r="N21194" i="1"/>
  <c r="A21195" i="1"/>
  <c r="C21195" i="1"/>
  <c r="N21195" i="1"/>
  <c r="A21196" i="1"/>
  <c r="C21196" i="1"/>
  <c r="F21196" i="1"/>
  <c r="N21196" i="1"/>
  <c r="A21197" i="1"/>
  <c r="C21197" i="1"/>
  <c r="K21197" i="1"/>
  <c r="N21197" i="1"/>
  <c r="A21198" i="1"/>
  <c r="C21198" i="1"/>
  <c r="K21198" i="1"/>
  <c r="N21198" i="1"/>
  <c r="A21199" i="1"/>
  <c r="C21199" i="1"/>
  <c r="N21199" i="1"/>
  <c r="A21200" i="1"/>
  <c r="C21200" i="1"/>
  <c r="N21200" i="1"/>
  <c r="A21201" i="1"/>
  <c r="C21201" i="1"/>
  <c r="N21201" i="1"/>
  <c r="A21202" i="1"/>
  <c r="C21202" i="1"/>
  <c r="N21202" i="1"/>
  <c r="A21203" i="1"/>
  <c r="C21203" i="1"/>
  <c r="K21203" i="1"/>
  <c r="N21203" i="1"/>
  <c r="A21204" i="1"/>
  <c r="C21204" i="1"/>
  <c r="N21204" i="1"/>
  <c r="A21205" i="1"/>
  <c r="C21205" i="1"/>
  <c r="N21205" i="1"/>
  <c r="A21206" i="1"/>
  <c r="C21206" i="1"/>
  <c r="N21206" i="1"/>
  <c r="A21207" i="1"/>
  <c r="C21207" i="1"/>
  <c r="N21207" i="1"/>
  <c r="A21208" i="1"/>
  <c r="C21208" i="1"/>
  <c r="N21208" i="1"/>
  <c r="A21209" i="1"/>
  <c r="C21209" i="1"/>
  <c r="N21209" i="1"/>
  <c r="A21210" i="1"/>
  <c r="C21210" i="1"/>
  <c r="N21210" i="1"/>
  <c r="A21211" i="1"/>
  <c r="C21211" i="1"/>
  <c r="N21211" i="1"/>
  <c r="A21212" i="1"/>
  <c r="C21212" i="1"/>
  <c r="N21212" i="1"/>
  <c r="A21213" i="1"/>
  <c r="C21213" i="1"/>
  <c r="N21213" i="1"/>
  <c r="A21214" i="1"/>
  <c r="C21214" i="1"/>
  <c r="N21214" i="1"/>
  <c r="A21215" i="1"/>
  <c r="C21215" i="1"/>
  <c r="N21215" i="1"/>
  <c r="A21216" i="1"/>
  <c r="C21216" i="1"/>
  <c r="K21216" i="1"/>
  <c r="N21216" i="1"/>
  <c r="A21217" i="1"/>
  <c r="C21217" i="1"/>
  <c r="K21217" i="1"/>
  <c r="N21217" i="1"/>
  <c r="A21218" i="1"/>
  <c r="C21218" i="1"/>
  <c r="N21218" i="1"/>
  <c r="A21219" i="1"/>
  <c r="C21219" i="1"/>
  <c r="N21219" i="1"/>
  <c r="A21220" i="1"/>
  <c r="C21220" i="1"/>
  <c r="N21220" i="1"/>
  <c r="A21221" i="1"/>
  <c r="C21221" i="1"/>
  <c r="N21221" i="1"/>
  <c r="A21222" i="1"/>
  <c r="C21222" i="1"/>
  <c r="N21222" i="1"/>
  <c r="A21223" i="1"/>
  <c r="C21223" i="1"/>
  <c r="N21223" i="1"/>
  <c r="A21224" i="1"/>
  <c r="C21224" i="1"/>
  <c r="N21224" i="1"/>
  <c r="A21225" i="1"/>
  <c r="C21225" i="1"/>
  <c r="N21225" i="1"/>
  <c r="A21226" i="1"/>
  <c r="C21226" i="1"/>
  <c r="N21226" i="1"/>
  <c r="A21227" i="1"/>
  <c r="C21227" i="1"/>
  <c r="N21227" i="1"/>
  <c r="A21228" i="1"/>
  <c r="C21228" i="1"/>
  <c r="N21228" i="1"/>
  <c r="A21229" i="1"/>
  <c r="C21229" i="1"/>
  <c r="N21229" i="1"/>
  <c r="A21230" i="1"/>
  <c r="C21230" i="1"/>
  <c r="N21230" i="1"/>
  <c r="A21231" i="1"/>
  <c r="C21231" i="1"/>
  <c r="N21231" i="1"/>
  <c r="A21232" i="1"/>
  <c r="C21232" i="1"/>
  <c r="N21232" i="1"/>
  <c r="A21233" i="1"/>
  <c r="C21233" i="1"/>
  <c r="N21233" i="1"/>
  <c r="A21234" i="1"/>
  <c r="C21234" i="1"/>
  <c r="N21234" i="1"/>
  <c r="A21235" i="1"/>
  <c r="C21235" i="1"/>
  <c r="F21235" i="1"/>
  <c r="N21235" i="1"/>
  <c r="A21236" i="1"/>
  <c r="C21236" i="1"/>
  <c r="N21236" i="1"/>
  <c r="A21237" i="1"/>
  <c r="C21237" i="1"/>
  <c r="N21237" i="1"/>
  <c r="A21238" i="1"/>
  <c r="C21238" i="1"/>
  <c r="K21238" i="1"/>
  <c r="N21238" i="1"/>
  <c r="A21239" i="1"/>
  <c r="C21239" i="1"/>
  <c r="N21239" i="1"/>
  <c r="A21240" i="1"/>
  <c r="C21240" i="1"/>
  <c r="N21240" i="1"/>
  <c r="A21241" i="1"/>
  <c r="C21241" i="1"/>
  <c r="K21241" i="1"/>
  <c r="N21241" i="1"/>
  <c r="A21242" i="1"/>
  <c r="C21242" i="1"/>
  <c r="N21242" i="1"/>
  <c r="A21243" i="1"/>
  <c r="C21243" i="1"/>
  <c r="K21243" i="1"/>
  <c r="N21243" i="1"/>
  <c r="A21244" i="1"/>
  <c r="C21244" i="1"/>
  <c r="N21244" i="1"/>
  <c r="A21245" i="1"/>
  <c r="C21245" i="1"/>
  <c r="N21245" i="1"/>
  <c r="A21246" i="1"/>
  <c r="C21246" i="1"/>
  <c r="N21246" i="1"/>
  <c r="A21247" i="1"/>
  <c r="C21247" i="1"/>
  <c r="N21247" i="1"/>
  <c r="A21248" i="1"/>
  <c r="C21248" i="1"/>
  <c r="N21248" i="1"/>
  <c r="A21249" i="1"/>
  <c r="C21249" i="1"/>
  <c r="N21249" i="1"/>
  <c r="A21250" i="1"/>
  <c r="C21250" i="1"/>
  <c r="N21250" i="1"/>
  <c r="A21251" i="1"/>
  <c r="C21251" i="1"/>
  <c r="K21251" i="1"/>
  <c r="N21251" i="1"/>
  <c r="A21252" i="1"/>
  <c r="C21252" i="1"/>
  <c r="N21252" i="1"/>
  <c r="A21253" i="1"/>
  <c r="C21253" i="1"/>
  <c r="N21253" i="1"/>
  <c r="A21254" i="1"/>
  <c r="C21254" i="1"/>
  <c r="N21254" i="1"/>
  <c r="A21255" i="1"/>
  <c r="C21255" i="1"/>
  <c r="N21255" i="1"/>
  <c r="A21256" i="1"/>
  <c r="C21256" i="1"/>
  <c r="N21256" i="1"/>
  <c r="A21257" i="1"/>
  <c r="C21257" i="1"/>
  <c r="K21257" i="1"/>
  <c r="N21257" i="1"/>
  <c r="A21258" i="1"/>
  <c r="C21258" i="1"/>
  <c r="N21258" i="1"/>
  <c r="A21259" i="1"/>
  <c r="C21259" i="1"/>
  <c r="N21259" i="1"/>
  <c r="A21260" i="1"/>
  <c r="C21260" i="1"/>
  <c r="N21260" i="1"/>
  <c r="A21261" i="1"/>
  <c r="C21261" i="1"/>
  <c r="N21261" i="1"/>
  <c r="A21262" i="1"/>
  <c r="C21262" i="1"/>
  <c r="N21262" i="1"/>
  <c r="A21263" i="1"/>
  <c r="C21263" i="1"/>
  <c r="N21263" i="1"/>
  <c r="A21264" i="1"/>
  <c r="C21264" i="1"/>
  <c r="N21264" i="1"/>
  <c r="A21265" i="1"/>
  <c r="C21265" i="1"/>
  <c r="N21265" i="1"/>
  <c r="A21266" i="1"/>
  <c r="C21266" i="1"/>
  <c r="N21266" i="1"/>
  <c r="A21267" i="1"/>
  <c r="C21267" i="1"/>
  <c r="K21267" i="1"/>
  <c r="N21267" i="1"/>
  <c r="A21268" i="1"/>
  <c r="C21268" i="1"/>
  <c r="E21268" i="1"/>
  <c r="N21268" i="1"/>
  <c r="T21268" i="1"/>
  <c r="A21269" i="1"/>
  <c r="C21269" i="1"/>
  <c r="N21269" i="1"/>
  <c r="A21270" i="1"/>
  <c r="C21270" i="1"/>
  <c r="N21270" i="1"/>
  <c r="A21271" i="1"/>
  <c r="C21271" i="1"/>
  <c r="N21271" i="1"/>
  <c r="A21272" i="1"/>
  <c r="C21272" i="1"/>
  <c r="K21272" i="1"/>
  <c r="N21272" i="1"/>
  <c r="A21273" i="1"/>
  <c r="C21273" i="1"/>
  <c r="K21273" i="1"/>
  <c r="N21273" i="1"/>
  <c r="A21274" i="1"/>
  <c r="C21274" i="1"/>
  <c r="N21274" i="1"/>
  <c r="A21275" i="1"/>
  <c r="C21275" i="1"/>
  <c r="N21275" i="1"/>
  <c r="A21276" i="1"/>
  <c r="C21276" i="1"/>
  <c r="N21276" i="1"/>
  <c r="A21277" i="1"/>
  <c r="C21277" i="1"/>
  <c r="N21277" i="1"/>
  <c r="A21278" i="1"/>
  <c r="C21278" i="1"/>
  <c r="N21278" i="1"/>
  <c r="A21279" i="1"/>
  <c r="C21279" i="1"/>
  <c r="N21279" i="1"/>
  <c r="A21280" i="1"/>
  <c r="C21280" i="1"/>
  <c r="N21280" i="1"/>
  <c r="A21281" i="1"/>
  <c r="C21281" i="1"/>
  <c r="N21281" i="1"/>
  <c r="A21282" i="1"/>
  <c r="C21282" i="1"/>
  <c r="N21282" i="1"/>
  <c r="A21283" i="1"/>
  <c r="C21283" i="1"/>
  <c r="N21283" i="1"/>
  <c r="A21284" i="1"/>
  <c r="C21284" i="1"/>
  <c r="N21284" i="1"/>
  <c r="A21285" i="1"/>
  <c r="C21285" i="1"/>
  <c r="N21285" i="1"/>
  <c r="A21286" i="1"/>
  <c r="C21286" i="1"/>
  <c r="N21286" i="1"/>
  <c r="A21287" i="1"/>
  <c r="C21287" i="1"/>
  <c r="N21287" i="1"/>
  <c r="A21288" i="1"/>
  <c r="C21288" i="1"/>
  <c r="N21288" i="1"/>
  <c r="A21289" i="1"/>
  <c r="C21289" i="1"/>
  <c r="N21289" i="1"/>
  <c r="A21290" i="1"/>
  <c r="C21290" i="1"/>
  <c r="N21290" i="1"/>
  <c r="A21291" i="1"/>
  <c r="C21291" i="1"/>
  <c r="N21291" i="1"/>
  <c r="A21292" i="1"/>
  <c r="C21292" i="1"/>
  <c r="N21292" i="1"/>
  <c r="A21293" i="1"/>
  <c r="C21293" i="1"/>
  <c r="N21293" i="1"/>
  <c r="A21294" i="1"/>
  <c r="C21294" i="1"/>
  <c r="N21294" i="1"/>
  <c r="A21295" i="1"/>
  <c r="C21295" i="1"/>
  <c r="N21295" i="1"/>
  <c r="A21296" i="1"/>
  <c r="C21296" i="1"/>
  <c r="N21296" i="1"/>
  <c r="A21297" i="1"/>
  <c r="C21297" i="1"/>
  <c r="N21297" i="1"/>
  <c r="A21298" i="1"/>
  <c r="C21298" i="1"/>
  <c r="N21298" i="1"/>
  <c r="A21299" i="1"/>
  <c r="C21299" i="1"/>
  <c r="N21299" i="1"/>
  <c r="A21300" i="1"/>
  <c r="C21300" i="1"/>
  <c r="D21300" i="1"/>
  <c r="K21300" i="1"/>
  <c r="N21300" i="1"/>
  <c r="O21300" i="1"/>
  <c r="A21301" i="1"/>
  <c r="C21301" i="1"/>
  <c r="N21301" i="1"/>
  <c r="A21302" i="1"/>
  <c r="C21302" i="1"/>
  <c r="N21302" i="1"/>
  <c r="A21303" i="1"/>
  <c r="C21303" i="1"/>
  <c r="N21303" i="1"/>
  <c r="A21304" i="1"/>
  <c r="C21304" i="1"/>
  <c r="K21304" i="1"/>
  <c r="N21304" i="1"/>
  <c r="A21305" i="1"/>
  <c r="C21305" i="1"/>
  <c r="N21305" i="1"/>
  <c r="A21306" i="1"/>
  <c r="C21306" i="1"/>
  <c r="N21306" i="1"/>
  <c r="A21307" i="1"/>
  <c r="C21307" i="1"/>
  <c r="N21307" i="1"/>
  <c r="A21308" i="1"/>
  <c r="C21308" i="1"/>
  <c r="N21308" i="1"/>
  <c r="A21309" i="1"/>
  <c r="C21309" i="1"/>
  <c r="N21309" i="1"/>
  <c r="A21310" i="1"/>
  <c r="C21310" i="1"/>
  <c r="K21310" i="1"/>
  <c r="N21310" i="1"/>
  <c r="A21311" i="1"/>
  <c r="C21311" i="1"/>
  <c r="N21311" i="1"/>
  <c r="A21312" i="1"/>
  <c r="C21312" i="1"/>
  <c r="N21312" i="1"/>
  <c r="A21313" i="1"/>
  <c r="C21313" i="1"/>
  <c r="N21313" i="1"/>
  <c r="A21314" i="1"/>
  <c r="C21314" i="1"/>
  <c r="N21314" i="1"/>
  <c r="A21315" i="1"/>
  <c r="C21315" i="1"/>
  <c r="N21315" i="1"/>
  <c r="A21316" i="1"/>
  <c r="C21316" i="1"/>
  <c r="N21316" i="1"/>
  <c r="A21317" i="1"/>
  <c r="C21317" i="1"/>
  <c r="N21317" i="1"/>
  <c r="A21318" i="1"/>
  <c r="C21318" i="1"/>
  <c r="N21318" i="1"/>
  <c r="A21319" i="1"/>
  <c r="C21319" i="1"/>
  <c r="N21319" i="1"/>
  <c r="A21320" i="1"/>
  <c r="C21320" i="1"/>
  <c r="K21320" i="1"/>
  <c r="N21320" i="1"/>
  <c r="A21321" i="1"/>
  <c r="C21321" i="1"/>
  <c r="K21321" i="1"/>
  <c r="N21321" i="1"/>
  <c r="A21322" i="1"/>
  <c r="C21322" i="1"/>
  <c r="N21322" i="1"/>
  <c r="A21323" i="1"/>
  <c r="C21323" i="1"/>
  <c r="N21323" i="1"/>
  <c r="A21324" i="1"/>
  <c r="C21324" i="1"/>
  <c r="N21324" i="1"/>
  <c r="A21325" i="1"/>
  <c r="C21325" i="1"/>
  <c r="N21325" i="1"/>
  <c r="A21326" i="1"/>
  <c r="C21326" i="1"/>
  <c r="N21326" i="1"/>
  <c r="A21327" i="1"/>
  <c r="C21327" i="1"/>
  <c r="N21327" i="1"/>
  <c r="A21328" i="1"/>
  <c r="C21328" i="1"/>
  <c r="N21328" i="1"/>
  <c r="A21329" i="1"/>
  <c r="C21329" i="1"/>
  <c r="N21329" i="1"/>
  <c r="A21330" i="1"/>
  <c r="C21330" i="1"/>
  <c r="N21330" i="1"/>
  <c r="A21331" i="1"/>
  <c r="C21331" i="1"/>
  <c r="N21331" i="1"/>
  <c r="A21332" i="1"/>
  <c r="C21332" i="1"/>
  <c r="N21332" i="1"/>
  <c r="A21333" i="1"/>
  <c r="C21333" i="1"/>
  <c r="N21333" i="1"/>
  <c r="A21334" i="1"/>
  <c r="C21334" i="1"/>
  <c r="N21334" i="1"/>
  <c r="A21335" i="1"/>
  <c r="C21335" i="1"/>
  <c r="N21335" i="1"/>
  <c r="A21336" i="1"/>
  <c r="C21336" i="1"/>
  <c r="N21336" i="1"/>
  <c r="A21337" i="1"/>
  <c r="C21337" i="1"/>
  <c r="N21337" i="1"/>
  <c r="A21338" i="1"/>
  <c r="C21338" i="1"/>
  <c r="N21338" i="1"/>
  <c r="A21339" i="1"/>
  <c r="C21339" i="1"/>
  <c r="N21339" i="1"/>
  <c r="A21340" i="1"/>
  <c r="C21340" i="1"/>
  <c r="K21340" i="1"/>
  <c r="N21340" i="1"/>
  <c r="A21341" i="1"/>
  <c r="C21341" i="1"/>
  <c r="K21341" i="1"/>
  <c r="N21341" i="1"/>
  <c r="A21342" i="1"/>
  <c r="C21342" i="1"/>
  <c r="K21342" i="1"/>
  <c r="N21342" i="1"/>
  <c r="A21343" i="1"/>
  <c r="C21343" i="1"/>
  <c r="N21343" i="1"/>
  <c r="A21344" i="1"/>
  <c r="C21344" i="1"/>
  <c r="N21344" i="1"/>
  <c r="A21345" i="1"/>
  <c r="C21345" i="1"/>
  <c r="N21345" i="1"/>
  <c r="A21346" i="1"/>
  <c r="C21346" i="1"/>
  <c r="N21346" i="1"/>
  <c r="A21347" i="1"/>
  <c r="C21347" i="1"/>
  <c r="N21347" i="1"/>
  <c r="A21348" i="1"/>
  <c r="C21348" i="1"/>
  <c r="N21348" i="1"/>
  <c r="A21349" i="1"/>
  <c r="C21349" i="1"/>
  <c r="N21349" i="1"/>
  <c r="A21350" i="1"/>
  <c r="C21350" i="1"/>
  <c r="N21350" i="1"/>
  <c r="A21351" i="1"/>
  <c r="C21351" i="1"/>
  <c r="N21351" i="1"/>
  <c r="A21352" i="1"/>
  <c r="C21352" i="1"/>
  <c r="N21352" i="1"/>
  <c r="A21353" i="1"/>
  <c r="C21353" i="1"/>
  <c r="K21353" i="1"/>
  <c r="N21353" i="1"/>
  <c r="A21354" i="1"/>
  <c r="C21354" i="1"/>
  <c r="N21354" i="1"/>
  <c r="A21355" i="1"/>
  <c r="C21355" i="1"/>
  <c r="N21355" i="1"/>
  <c r="A21356" i="1"/>
  <c r="C21356" i="1"/>
  <c r="N21356" i="1"/>
  <c r="A21357" i="1"/>
  <c r="C21357" i="1"/>
  <c r="F21357" i="1"/>
  <c r="N21357" i="1"/>
  <c r="A21358" i="1"/>
  <c r="C21358" i="1"/>
  <c r="N21358" i="1"/>
  <c r="A21359" i="1"/>
  <c r="C21359" i="1"/>
  <c r="N21359" i="1"/>
  <c r="A21360" i="1"/>
  <c r="C21360" i="1"/>
  <c r="N21360" i="1"/>
  <c r="A21361" i="1"/>
  <c r="C21361" i="1"/>
  <c r="N21361" i="1"/>
  <c r="A21362" i="1"/>
  <c r="C21362" i="1"/>
  <c r="N21362" i="1"/>
  <c r="A21363" i="1"/>
  <c r="C21363" i="1"/>
  <c r="N21363" i="1"/>
  <c r="A21364" i="1"/>
  <c r="C21364" i="1"/>
  <c r="N21364" i="1"/>
  <c r="A21365" i="1"/>
  <c r="C21365" i="1"/>
  <c r="K21365" i="1"/>
  <c r="N21365" i="1"/>
  <c r="A21366" i="1"/>
  <c r="C21366" i="1"/>
  <c r="N21366" i="1"/>
  <c r="A21367" i="1"/>
  <c r="C21367" i="1"/>
  <c r="N21367" i="1"/>
  <c r="A21368" i="1"/>
  <c r="C21368" i="1"/>
  <c r="N21368" i="1"/>
  <c r="A21369" i="1"/>
  <c r="C21369" i="1"/>
  <c r="N21369" i="1"/>
  <c r="A21370" i="1"/>
  <c r="C21370" i="1"/>
  <c r="N21370" i="1"/>
  <c r="A21371" i="1"/>
  <c r="C21371" i="1"/>
  <c r="N21371" i="1"/>
  <c r="A21372" i="1"/>
  <c r="C21372" i="1"/>
  <c r="N21372" i="1"/>
  <c r="A21373" i="1"/>
  <c r="C21373" i="1"/>
  <c r="N21373" i="1"/>
  <c r="A21374" i="1"/>
  <c r="C21374" i="1"/>
  <c r="N21374" i="1"/>
  <c r="A21375" i="1"/>
  <c r="C21375" i="1"/>
  <c r="K21375" i="1"/>
  <c r="N21375" i="1"/>
  <c r="A21376" i="1"/>
  <c r="C21376" i="1"/>
  <c r="N21376" i="1"/>
  <c r="A21377" i="1"/>
  <c r="C21377" i="1"/>
  <c r="K21377" i="1"/>
  <c r="N21377" i="1"/>
  <c r="A21378" i="1"/>
  <c r="C21378" i="1"/>
  <c r="N21378" i="1"/>
  <c r="A21379" i="1"/>
  <c r="C21379" i="1"/>
  <c r="N21379" i="1"/>
  <c r="A21380" i="1"/>
  <c r="C21380" i="1"/>
  <c r="K21380" i="1"/>
  <c r="N21380" i="1"/>
  <c r="A21381" i="1"/>
  <c r="C21381" i="1"/>
  <c r="N21381" i="1"/>
  <c r="A21382" i="1"/>
  <c r="C21382" i="1"/>
  <c r="N21382" i="1"/>
  <c r="A21383" i="1"/>
  <c r="C21383" i="1"/>
  <c r="N21383" i="1"/>
  <c r="A21384" i="1"/>
  <c r="C21384" i="1"/>
  <c r="N21384" i="1"/>
  <c r="A21385" i="1"/>
  <c r="C21385" i="1"/>
  <c r="N21385" i="1"/>
  <c r="A21386" i="1"/>
  <c r="C21386" i="1"/>
  <c r="N21386" i="1"/>
  <c r="A21387" i="1"/>
  <c r="C21387" i="1"/>
  <c r="N21387" i="1"/>
  <c r="A21388" i="1"/>
  <c r="C21388" i="1"/>
  <c r="N21388" i="1"/>
  <c r="A21389" i="1"/>
  <c r="C21389" i="1"/>
  <c r="N21389" i="1"/>
  <c r="A21390" i="1"/>
  <c r="C21390" i="1"/>
  <c r="K21390" i="1"/>
  <c r="N21390" i="1"/>
  <c r="A21391" i="1"/>
  <c r="C21391" i="1"/>
  <c r="N21391" i="1"/>
  <c r="A21392" i="1"/>
  <c r="C21392" i="1"/>
  <c r="N21392" i="1"/>
  <c r="A21393" i="1"/>
  <c r="C21393" i="1"/>
  <c r="N21393" i="1"/>
  <c r="A21394" i="1"/>
  <c r="C21394" i="1"/>
  <c r="N21394" i="1"/>
  <c r="A21395" i="1"/>
  <c r="C21395" i="1"/>
  <c r="N21395" i="1"/>
  <c r="A21396" i="1"/>
  <c r="C21396" i="1"/>
  <c r="N21396" i="1"/>
  <c r="A21397" i="1"/>
  <c r="C21397" i="1"/>
  <c r="N21397" i="1"/>
  <c r="A21398" i="1"/>
  <c r="C21398" i="1"/>
  <c r="N21398" i="1"/>
  <c r="A21399" i="1"/>
  <c r="C21399" i="1"/>
  <c r="K21399" i="1"/>
  <c r="N21399" i="1"/>
  <c r="A21400" i="1"/>
  <c r="C21400" i="1"/>
  <c r="N21400" i="1"/>
  <c r="A21401" i="1"/>
  <c r="C21401" i="1"/>
  <c r="N21401" i="1"/>
  <c r="A21402" i="1"/>
  <c r="C21402" i="1"/>
  <c r="N21402" i="1"/>
  <c r="A21403" i="1"/>
  <c r="C21403" i="1"/>
  <c r="K21403" i="1"/>
  <c r="N21403" i="1"/>
  <c r="A21404" i="1"/>
  <c r="C21404" i="1"/>
  <c r="N21404" i="1"/>
  <c r="A21405" i="1"/>
  <c r="C21405" i="1"/>
  <c r="N21405" i="1"/>
  <c r="A21406" i="1"/>
  <c r="C21406" i="1"/>
  <c r="N21406" i="1"/>
  <c r="A21407" i="1"/>
  <c r="C21407" i="1"/>
  <c r="N21407" i="1"/>
  <c r="A21408" i="1"/>
  <c r="C21408" i="1"/>
  <c r="N21408" i="1"/>
  <c r="A21409" i="1"/>
  <c r="C21409" i="1"/>
  <c r="K21409" i="1"/>
  <c r="N21409" i="1"/>
  <c r="A21410" i="1"/>
  <c r="C21410" i="1"/>
  <c r="N21410" i="1"/>
  <c r="A21411" i="1"/>
  <c r="C21411" i="1"/>
  <c r="N21411" i="1"/>
  <c r="A21412" i="1"/>
  <c r="C21412" i="1"/>
  <c r="N21412" i="1"/>
  <c r="A21413" i="1"/>
  <c r="C21413" i="1"/>
  <c r="N21413" i="1"/>
  <c r="A21414" i="1"/>
  <c r="C21414" i="1"/>
  <c r="N21414" i="1"/>
  <c r="A21415" i="1"/>
  <c r="C21415" i="1"/>
  <c r="N21415" i="1"/>
  <c r="A21416" i="1"/>
  <c r="C21416" i="1"/>
  <c r="N21416" i="1"/>
  <c r="A21417" i="1"/>
  <c r="C21417" i="1"/>
  <c r="N21417" i="1"/>
  <c r="A21418" i="1"/>
  <c r="C21418" i="1"/>
  <c r="N21418" i="1"/>
  <c r="A21419" i="1"/>
  <c r="C21419" i="1"/>
  <c r="N21419" i="1"/>
  <c r="A21420" i="1"/>
  <c r="C21420" i="1"/>
  <c r="N21420" i="1"/>
  <c r="A21421" i="1"/>
  <c r="C21421" i="1"/>
  <c r="N21421" i="1"/>
  <c r="A21422" i="1"/>
  <c r="C21422" i="1"/>
  <c r="N21422" i="1"/>
  <c r="A21423" i="1"/>
  <c r="C21423" i="1"/>
  <c r="N21423" i="1"/>
  <c r="A21424" i="1"/>
  <c r="C21424" i="1"/>
  <c r="N21424" i="1"/>
  <c r="A21425" i="1"/>
  <c r="C21425" i="1"/>
  <c r="N21425" i="1"/>
  <c r="A21426" i="1"/>
  <c r="C21426" i="1"/>
  <c r="F21426" i="1"/>
  <c r="N21426" i="1"/>
  <c r="A21427" i="1"/>
  <c r="C21427" i="1"/>
  <c r="N21427" i="1"/>
  <c r="A21428" i="1"/>
  <c r="C21428" i="1"/>
  <c r="N21428" i="1"/>
  <c r="A21429" i="1"/>
  <c r="C21429" i="1"/>
  <c r="N21429" i="1"/>
  <c r="A21430" i="1"/>
  <c r="C21430" i="1"/>
  <c r="F21430" i="1"/>
  <c r="N21430" i="1"/>
  <c r="A21431" i="1"/>
  <c r="C21431" i="1"/>
  <c r="K21431" i="1"/>
  <c r="N21431" i="1"/>
  <c r="A21432" i="1"/>
  <c r="C21432" i="1"/>
  <c r="N21432" i="1"/>
  <c r="A21433" i="1"/>
  <c r="C21433" i="1"/>
  <c r="N21433" i="1"/>
  <c r="A21434" i="1"/>
  <c r="C21434" i="1"/>
  <c r="N21434" i="1"/>
  <c r="A21435" i="1"/>
  <c r="C21435" i="1"/>
  <c r="N21435" i="1"/>
  <c r="A21436" i="1"/>
  <c r="C21436" i="1"/>
  <c r="N21436" i="1"/>
  <c r="A21437" i="1"/>
  <c r="C21437" i="1"/>
  <c r="N21437" i="1"/>
  <c r="A21438" i="1"/>
  <c r="C21438" i="1"/>
  <c r="N21438" i="1"/>
  <c r="A21439" i="1"/>
  <c r="C21439" i="1"/>
  <c r="N21439" i="1"/>
  <c r="A21440" i="1"/>
  <c r="C21440" i="1"/>
  <c r="N21440" i="1"/>
  <c r="A21441" i="1"/>
  <c r="C21441" i="1"/>
  <c r="N21441" i="1"/>
  <c r="A21442" i="1"/>
  <c r="C21442" i="1"/>
  <c r="N21442" i="1"/>
  <c r="A21443" i="1"/>
  <c r="C21443" i="1"/>
  <c r="N21443" i="1"/>
  <c r="A21444" i="1"/>
  <c r="C21444" i="1"/>
  <c r="N21444" i="1"/>
  <c r="A21445" i="1"/>
  <c r="C21445" i="1"/>
  <c r="N21445" i="1"/>
  <c r="A21446" i="1"/>
  <c r="C21446" i="1"/>
  <c r="N21446" i="1"/>
  <c r="A21447" i="1"/>
  <c r="C21447" i="1"/>
  <c r="N21447" i="1"/>
  <c r="A21448" i="1"/>
  <c r="C21448" i="1"/>
  <c r="N21448" i="1"/>
  <c r="A21449" i="1"/>
  <c r="C21449" i="1"/>
  <c r="N21449" i="1"/>
  <c r="A21450" i="1"/>
  <c r="C21450" i="1"/>
  <c r="N21450" i="1"/>
  <c r="A21451" i="1"/>
  <c r="C21451" i="1"/>
  <c r="N21451" i="1"/>
  <c r="A21452" i="1"/>
  <c r="C21452" i="1"/>
  <c r="N21452" i="1"/>
  <c r="A21453" i="1"/>
  <c r="C21453" i="1"/>
  <c r="N21453" i="1"/>
  <c r="A21454" i="1"/>
  <c r="C21454" i="1"/>
  <c r="N21454" i="1"/>
  <c r="A21455" i="1"/>
  <c r="C21455" i="1"/>
  <c r="N21455" i="1"/>
  <c r="A21456" i="1"/>
  <c r="C21456" i="1"/>
  <c r="N21456" i="1"/>
  <c r="A21457" i="1"/>
  <c r="C21457" i="1"/>
  <c r="N21457" i="1"/>
  <c r="A21458" i="1"/>
  <c r="C21458" i="1"/>
  <c r="N21458" i="1"/>
  <c r="A21459" i="1"/>
  <c r="C21459" i="1"/>
  <c r="K21459" i="1"/>
  <c r="N21459" i="1"/>
  <c r="A21460" i="1"/>
  <c r="C21460" i="1"/>
  <c r="N21460" i="1"/>
  <c r="A21461" i="1"/>
  <c r="C21461" i="1"/>
  <c r="N21461" i="1"/>
  <c r="A21462" i="1"/>
  <c r="C21462" i="1"/>
  <c r="N21462" i="1"/>
  <c r="A21463" i="1"/>
  <c r="C21463" i="1"/>
  <c r="N21463" i="1"/>
  <c r="A21464" i="1"/>
  <c r="C21464" i="1"/>
  <c r="K21464" i="1"/>
  <c r="N21464" i="1"/>
  <c r="A21465" i="1"/>
  <c r="C21465" i="1"/>
  <c r="N21465" i="1"/>
  <c r="A21466" i="1"/>
  <c r="C21466" i="1"/>
  <c r="N21466" i="1"/>
  <c r="A21467" i="1"/>
  <c r="C21467" i="1"/>
  <c r="K21467" i="1"/>
  <c r="N21467" i="1"/>
  <c r="A21468" i="1"/>
  <c r="C21468" i="1"/>
  <c r="K21468" i="1"/>
  <c r="N21468" i="1"/>
  <c r="A21469" i="1"/>
  <c r="C21469" i="1"/>
  <c r="N21469" i="1"/>
  <c r="A21470" i="1"/>
  <c r="C21470" i="1"/>
  <c r="N21470" i="1"/>
  <c r="A21471" i="1"/>
  <c r="C21471" i="1"/>
  <c r="N21471" i="1"/>
  <c r="A21472" i="1"/>
  <c r="C21472" i="1"/>
  <c r="E21472" i="1"/>
  <c r="N21472" i="1"/>
  <c r="T21472" i="1"/>
  <c r="A21473" i="1"/>
  <c r="C21473" i="1"/>
  <c r="K21473" i="1"/>
  <c r="N21473" i="1"/>
  <c r="A21474" i="1"/>
  <c r="C21474" i="1"/>
  <c r="N21474" i="1"/>
  <c r="A21475" i="1"/>
  <c r="C21475" i="1"/>
  <c r="N21475" i="1"/>
  <c r="A21476" i="1"/>
  <c r="C21476" i="1"/>
  <c r="N21476" i="1"/>
  <c r="A21477" i="1"/>
  <c r="C21477" i="1"/>
  <c r="N21477" i="1"/>
  <c r="A21478" i="1"/>
  <c r="C21478" i="1"/>
  <c r="N21478" i="1"/>
  <c r="A21479" i="1"/>
  <c r="C21479" i="1"/>
  <c r="N21479" i="1"/>
  <c r="A21480" i="1"/>
  <c r="C21480" i="1"/>
  <c r="N21480" i="1"/>
  <c r="A21481" i="1"/>
  <c r="C21481" i="1"/>
  <c r="N21481" i="1"/>
  <c r="A21482" i="1"/>
  <c r="C21482" i="1"/>
  <c r="N21482" i="1"/>
  <c r="A21483" i="1"/>
  <c r="C21483" i="1"/>
  <c r="K21483" i="1"/>
  <c r="N21483" i="1"/>
  <c r="A21484" i="1"/>
  <c r="C21484" i="1"/>
  <c r="K21484" i="1"/>
  <c r="N21484" i="1"/>
  <c r="A21485" i="1"/>
  <c r="C21485" i="1"/>
  <c r="N21485" i="1"/>
  <c r="A21486" i="1"/>
  <c r="C21486" i="1"/>
  <c r="E21486" i="1"/>
  <c r="N21486" i="1"/>
  <c r="T21486" i="1"/>
  <c r="A21487" i="1"/>
  <c r="C21487" i="1"/>
  <c r="N21487" i="1"/>
  <c r="A21488" i="1"/>
  <c r="C21488" i="1"/>
  <c r="N21488" i="1"/>
  <c r="A21489" i="1"/>
  <c r="C21489" i="1"/>
  <c r="N21489" i="1"/>
  <c r="A21490" i="1"/>
  <c r="C21490" i="1"/>
  <c r="N21490" i="1"/>
  <c r="A21491" i="1"/>
  <c r="C21491" i="1"/>
  <c r="N21491" i="1"/>
  <c r="A21492" i="1"/>
  <c r="C21492" i="1"/>
  <c r="N21492" i="1"/>
  <c r="A21493" i="1"/>
  <c r="C21493" i="1"/>
  <c r="N21493" i="1"/>
  <c r="A21494" i="1"/>
  <c r="C21494" i="1"/>
  <c r="N21494" i="1"/>
  <c r="A21495" i="1"/>
  <c r="C21495" i="1"/>
  <c r="N21495" i="1"/>
  <c r="A21496" i="1"/>
  <c r="C21496" i="1"/>
  <c r="N21496" i="1"/>
  <c r="A21497" i="1"/>
  <c r="C21497" i="1"/>
  <c r="N21497" i="1"/>
  <c r="A21498" i="1"/>
  <c r="C21498" i="1"/>
  <c r="N21498" i="1"/>
  <c r="A21499" i="1"/>
  <c r="C21499" i="1"/>
  <c r="N21499" i="1"/>
  <c r="A21500" i="1"/>
  <c r="C21500" i="1"/>
  <c r="N21500" i="1"/>
  <c r="A21501" i="1"/>
  <c r="C21501" i="1"/>
  <c r="N21501" i="1"/>
  <c r="A21502" i="1"/>
  <c r="C21502" i="1"/>
  <c r="K21502" i="1"/>
  <c r="N21502" i="1"/>
  <c r="A21503" i="1"/>
  <c r="C21503" i="1"/>
  <c r="E21503" i="1"/>
  <c r="N21503" i="1"/>
  <c r="T21503" i="1"/>
  <c r="A21504" i="1"/>
  <c r="C21504" i="1"/>
  <c r="N21504" i="1"/>
  <c r="A21505" i="1"/>
  <c r="C21505" i="1"/>
  <c r="N21505" i="1"/>
  <c r="A21506" i="1"/>
  <c r="C21506" i="1"/>
  <c r="N21506" i="1"/>
  <c r="A21507" i="1"/>
  <c r="C21507" i="1"/>
  <c r="N21507" i="1"/>
  <c r="A21508" i="1"/>
  <c r="C21508" i="1"/>
  <c r="N21508" i="1"/>
  <c r="A21509" i="1"/>
  <c r="C21509" i="1"/>
  <c r="K21509" i="1"/>
  <c r="N21509" i="1"/>
  <c r="A21510" i="1"/>
  <c r="C21510" i="1"/>
  <c r="K21510" i="1"/>
  <c r="N21510" i="1"/>
  <c r="A21511" i="1"/>
  <c r="C21511" i="1"/>
  <c r="N21511" i="1"/>
  <c r="A21512" i="1"/>
  <c r="C21512" i="1"/>
  <c r="N21512" i="1"/>
  <c r="A21513" i="1"/>
  <c r="C21513" i="1"/>
  <c r="K21513" i="1"/>
  <c r="N21513" i="1"/>
  <c r="A21514" i="1"/>
  <c r="C21514" i="1"/>
  <c r="N21514" i="1"/>
  <c r="A21515" i="1"/>
  <c r="C21515" i="1"/>
  <c r="N21515" i="1"/>
  <c r="A21516" i="1"/>
  <c r="C21516" i="1"/>
  <c r="N21516" i="1"/>
  <c r="A21517" i="1"/>
  <c r="C21517" i="1"/>
  <c r="K21517" i="1"/>
  <c r="N21517" i="1"/>
  <c r="A21518" i="1"/>
  <c r="C21518" i="1"/>
  <c r="N21518" i="1"/>
  <c r="A21519" i="1"/>
  <c r="C21519" i="1"/>
  <c r="N21519" i="1"/>
  <c r="A21520" i="1"/>
  <c r="C21520" i="1"/>
  <c r="N21520" i="1"/>
  <c r="A21521" i="1"/>
  <c r="C21521" i="1"/>
  <c r="N21521" i="1"/>
  <c r="A21522" i="1"/>
  <c r="C21522" i="1"/>
  <c r="N21522" i="1"/>
  <c r="A21523" i="1"/>
  <c r="C21523" i="1"/>
  <c r="N21523" i="1"/>
  <c r="A21524" i="1"/>
  <c r="C21524" i="1"/>
  <c r="N21524" i="1"/>
  <c r="A21525" i="1"/>
  <c r="C21525" i="1"/>
  <c r="N21525" i="1"/>
  <c r="A21526" i="1"/>
  <c r="C21526" i="1"/>
  <c r="N21526" i="1"/>
  <c r="A21527" i="1"/>
  <c r="C21527" i="1"/>
  <c r="N21527" i="1"/>
  <c r="A21528" i="1"/>
  <c r="C21528" i="1"/>
  <c r="N21528" i="1"/>
  <c r="A21529" i="1"/>
  <c r="C21529" i="1"/>
  <c r="K21529" i="1"/>
  <c r="N21529" i="1"/>
  <c r="A21530" i="1"/>
  <c r="C21530" i="1"/>
  <c r="K21530" i="1"/>
  <c r="N21530" i="1"/>
  <c r="A21531" i="1"/>
  <c r="C21531" i="1"/>
  <c r="K21531" i="1"/>
  <c r="N21531" i="1"/>
  <c r="A21532" i="1"/>
  <c r="C21532" i="1"/>
  <c r="N21532" i="1"/>
  <c r="A21533" i="1"/>
  <c r="C21533" i="1"/>
  <c r="K21533" i="1"/>
  <c r="N21533" i="1"/>
  <c r="A21534" i="1"/>
  <c r="C21534" i="1"/>
  <c r="F21534" i="1"/>
  <c r="N21534" i="1"/>
  <c r="A21535" i="1"/>
  <c r="C21535" i="1"/>
  <c r="N21535" i="1"/>
  <c r="A21536" i="1"/>
  <c r="C21536" i="1"/>
  <c r="N21536" i="1"/>
  <c r="A21537" i="1"/>
  <c r="C21537" i="1"/>
  <c r="N21537" i="1"/>
  <c r="A21538" i="1"/>
  <c r="C21538" i="1"/>
  <c r="N21538" i="1"/>
  <c r="A21539" i="1"/>
  <c r="C21539" i="1"/>
  <c r="N21539" i="1"/>
  <c r="A21540" i="1"/>
  <c r="C21540" i="1"/>
  <c r="N21540" i="1"/>
  <c r="A21541" i="1"/>
  <c r="C21541" i="1"/>
  <c r="N21541" i="1"/>
  <c r="A21542" i="1"/>
  <c r="C21542" i="1"/>
  <c r="K21542" i="1"/>
  <c r="N21542" i="1"/>
  <c r="A21543" i="1"/>
  <c r="C21543" i="1"/>
  <c r="N21543" i="1"/>
  <c r="A21544" i="1"/>
  <c r="C21544" i="1"/>
  <c r="N21544" i="1"/>
  <c r="A21545" i="1"/>
  <c r="C21545" i="1"/>
  <c r="K21545" i="1"/>
  <c r="N21545" i="1"/>
  <c r="A21546" i="1"/>
  <c r="C21546" i="1"/>
  <c r="N21546" i="1"/>
  <c r="A21547" i="1"/>
  <c r="C21547" i="1"/>
  <c r="N21547" i="1"/>
  <c r="A21548" i="1"/>
  <c r="C21548" i="1"/>
  <c r="K21548" i="1"/>
  <c r="N21548" i="1"/>
  <c r="A21549" i="1"/>
  <c r="C21549" i="1"/>
  <c r="N21549" i="1"/>
  <c r="A21550" i="1"/>
  <c r="C21550" i="1"/>
  <c r="N21550" i="1"/>
  <c r="A21551" i="1"/>
  <c r="C21551" i="1"/>
  <c r="N21551" i="1"/>
  <c r="A21552" i="1"/>
  <c r="C21552" i="1"/>
  <c r="N21552" i="1"/>
  <c r="A21553" i="1"/>
  <c r="C21553" i="1"/>
  <c r="N21553" i="1"/>
  <c r="A21554" i="1"/>
  <c r="C21554" i="1"/>
  <c r="K21554" i="1"/>
  <c r="N21554" i="1"/>
  <c r="A21555" i="1"/>
  <c r="C21555" i="1"/>
  <c r="N21555" i="1"/>
  <c r="A21556" i="1"/>
  <c r="C21556" i="1"/>
  <c r="N21556" i="1"/>
  <c r="A21557" i="1"/>
  <c r="C21557" i="1"/>
  <c r="N21557" i="1"/>
  <c r="A21558" i="1"/>
  <c r="C21558" i="1"/>
  <c r="N21558" i="1"/>
  <c r="A21559" i="1"/>
  <c r="C21559" i="1"/>
  <c r="N21559" i="1"/>
  <c r="A21560" i="1"/>
  <c r="C21560" i="1"/>
  <c r="N21560" i="1"/>
  <c r="A21561" i="1"/>
  <c r="C21561" i="1"/>
  <c r="K21561" i="1"/>
  <c r="N21561" i="1"/>
  <c r="A21562" i="1"/>
  <c r="C21562" i="1"/>
  <c r="N21562" i="1"/>
  <c r="A21563" i="1"/>
  <c r="C21563" i="1"/>
  <c r="N21563" i="1"/>
  <c r="A21564" i="1"/>
  <c r="C21564" i="1"/>
  <c r="K21564" i="1"/>
  <c r="N21564" i="1"/>
  <c r="A21565" i="1"/>
  <c r="C21565" i="1"/>
  <c r="N21565" i="1"/>
  <c r="A21566" i="1"/>
  <c r="C21566" i="1"/>
  <c r="N21566" i="1"/>
  <c r="A21567" i="1"/>
  <c r="C21567" i="1"/>
  <c r="N21567" i="1"/>
  <c r="A21568" i="1"/>
  <c r="C21568" i="1"/>
  <c r="K21568" i="1"/>
  <c r="N21568" i="1"/>
  <c r="A21569" i="1"/>
  <c r="C21569" i="1"/>
  <c r="K21569" i="1"/>
  <c r="N21569" i="1"/>
  <c r="A21570" i="1"/>
  <c r="C21570" i="1"/>
  <c r="K21570" i="1"/>
  <c r="N21570" i="1"/>
  <c r="A21571" i="1"/>
  <c r="C21571" i="1"/>
  <c r="K21571" i="1"/>
  <c r="N21571" i="1"/>
  <c r="A21572" i="1"/>
  <c r="C21572" i="1"/>
  <c r="K21572" i="1"/>
  <c r="N21572" i="1"/>
  <c r="A21573" i="1"/>
  <c r="C21573" i="1"/>
  <c r="K21573" i="1"/>
  <c r="N21573" i="1"/>
  <c r="A21574" i="1"/>
  <c r="C21574" i="1"/>
  <c r="N21574" i="1"/>
  <c r="A21575" i="1"/>
  <c r="C21575" i="1"/>
  <c r="K21575" i="1"/>
  <c r="N21575" i="1"/>
  <c r="A21576" i="1"/>
  <c r="C21576" i="1"/>
  <c r="N21576" i="1"/>
  <c r="A21577" i="1"/>
  <c r="C21577" i="1"/>
  <c r="N21577" i="1"/>
  <c r="A21578" i="1"/>
  <c r="C21578" i="1"/>
  <c r="N21578" i="1"/>
  <c r="A21579" i="1"/>
  <c r="C21579" i="1"/>
  <c r="F21579" i="1"/>
  <c r="N21579" i="1"/>
  <c r="A21580" i="1"/>
  <c r="C21580" i="1"/>
  <c r="K21580" i="1"/>
  <c r="N21580" i="1"/>
  <c r="A21581" i="1"/>
  <c r="C21581" i="1"/>
  <c r="N21581" i="1"/>
  <c r="A21582" i="1"/>
  <c r="C21582" i="1"/>
  <c r="N21582" i="1"/>
  <c r="A21583" i="1"/>
  <c r="C21583" i="1"/>
  <c r="N21583" i="1"/>
  <c r="A21584" i="1"/>
  <c r="C21584" i="1"/>
  <c r="N21584" i="1"/>
  <c r="A21585" i="1"/>
  <c r="C21585" i="1"/>
  <c r="N21585" i="1"/>
  <c r="A21586" i="1"/>
  <c r="C21586" i="1"/>
  <c r="N21586" i="1"/>
  <c r="A21587" i="1"/>
  <c r="C21587" i="1"/>
  <c r="N21587" i="1"/>
  <c r="A21588" i="1"/>
  <c r="C21588" i="1"/>
  <c r="N21588" i="1"/>
  <c r="A21589" i="1"/>
  <c r="C21589" i="1"/>
  <c r="N21589" i="1"/>
  <c r="A21590" i="1"/>
  <c r="C21590" i="1"/>
  <c r="N21590" i="1"/>
  <c r="A21591" i="1"/>
  <c r="C21591" i="1"/>
  <c r="N21591" i="1"/>
  <c r="A21592" i="1"/>
  <c r="C21592" i="1"/>
  <c r="N21592" i="1"/>
  <c r="A21593" i="1"/>
  <c r="C21593" i="1"/>
  <c r="N21593" i="1"/>
  <c r="A21594" i="1"/>
  <c r="C21594" i="1"/>
  <c r="K21594" i="1"/>
  <c r="N21594" i="1"/>
  <c r="A21595" i="1"/>
  <c r="C21595" i="1"/>
  <c r="N21595" i="1"/>
  <c r="A21596" i="1"/>
  <c r="C21596" i="1"/>
  <c r="N21596" i="1"/>
  <c r="A21597" i="1"/>
  <c r="C21597" i="1"/>
  <c r="N21597" i="1"/>
  <c r="A21598" i="1"/>
  <c r="C21598" i="1"/>
  <c r="N21598" i="1"/>
  <c r="A21599" i="1"/>
  <c r="C21599" i="1"/>
  <c r="N21599" i="1"/>
  <c r="A21600" i="1"/>
  <c r="C21600" i="1"/>
  <c r="N21600" i="1"/>
  <c r="A21601" i="1"/>
  <c r="C21601" i="1"/>
  <c r="N21601" i="1"/>
  <c r="A21602" i="1"/>
  <c r="C21602" i="1"/>
  <c r="N21602" i="1"/>
  <c r="A21603" i="1"/>
  <c r="C21603" i="1"/>
  <c r="N21603" i="1"/>
  <c r="A21604" i="1"/>
  <c r="C21604" i="1"/>
  <c r="N21604" i="1"/>
  <c r="A21605" i="1"/>
  <c r="C21605" i="1"/>
  <c r="F21605" i="1"/>
  <c r="N21605" i="1"/>
  <c r="A21606" i="1"/>
  <c r="C21606" i="1"/>
  <c r="N21606" i="1"/>
  <c r="A21607" i="1"/>
  <c r="C21607" i="1"/>
  <c r="N21607" i="1"/>
  <c r="A21608" i="1"/>
  <c r="C21608" i="1"/>
  <c r="N21608" i="1"/>
  <c r="A21609" i="1"/>
  <c r="C21609" i="1"/>
  <c r="N21609" i="1"/>
  <c r="A21610" i="1"/>
  <c r="C21610" i="1"/>
  <c r="N21610" i="1"/>
  <c r="A21611" i="1"/>
  <c r="C21611" i="1"/>
  <c r="N21611" i="1"/>
  <c r="A21612" i="1"/>
  <c r="C21612" i="1"/>
  <c r="K21612" i="1"/>
  <c r="N21612" i="1"/>
  <c r="A21613" i="1"/>
  <c r="C21613" i="1"/>
  <c r="N21613" i="1"/>
  <c r="A21614" i="1"/>
  <c r="C21614" i="1"/>
  <c r="N21614" i="1"/>
  <c r="A21615" i="1"/>
  <c r="C21615" i="1"/>
  <c r="N21615" i="1"/>
  <c r="A21616" i="1"/>
  <c r="C21616" i="1"/>
  <c r="N21616" i="1"/>
  <c r="A21617" i="1"/>
  <c r="C21617" i="1"/>
  <c r="N21617" i="1"/>
  <c r="A21618" i="1"/>
  <c r="C21618" i="1"/>
  <c r="K21618" i="1"/>
  <c r="N21618" i="1"/>
  <c r="A21619" i="1"/>
  <c r="C21619" i="1"/>
  <c r="N21619" i="1"/>
  <c r="A21620" i="1"/>
  <c r="C21620" i="1"/>
  <c r="N21620" i="1"/>
  <c r="A21621" i="1"/>
  <c r="C21621" i="1"/>
  <c r="N21621" i="1"/>
  <c r="A21622" i="1"/>
  <c r="C21622" i="1"/>
  <c r="N21622" i="1"/>
  <c r="A21623" i="1"/>
  <c r="C21623" i="1"/>
  <c r="N21623" i="1"/>
  <c r="A21624" i="1"/>
  <c r="C21624" i="1"/>
  <c r="N21624" i="1"/>
  <c r="A21625" i="1"/>
  <c r="C21625" i="1"/>
  <c r="N21625" i="1"/>
  <c r="A21626" i="1"/>
  <c r="C21626" i="1"/>
  <c r="N21626" i="1"/>
  <c r="A21627" i="1"/>
  <c r="C21627" i="1"/>
  <c r="K21627" i="1"/>
  <c r="N21627" i="1"/>
  <c r="A21628" i="1"/>
  <c r="C21628" i="1"/>
  <c r="N21628" i="1"/>
  <c r="A21629" i="1"/>
  <c r="C21629" i="1"/>
  <c r="N21629" i="1"/>
  <c r="A21630" i="1"/>
  <c r="C21630" i="1"/>
  <c r="K21630" i="1"/>
  <c r="N21630" i="1"/>
  <c r="A21631" i="1"/>
  <c r="C21631" i="1"/>
  <c r="N21631" i="1"/>
  <c r="A21632" i="1"/>
  <c r="C21632" i="1"/>
  <c r="N21632" i="1"/>
  <c r="A21633" i="1"/>
  <c r="C21633" i="1"/>
  <c r="N21633" i="1"/>
  <c r="A21634" i="1"/>
  <c r="C21634" i="1"/>
  <c r="N21634" i="1"/>
  <c r="A21635" i="1"/>
  <c r="C21635" i="1"/>
  <c r="N21635" i="1"/>
  <c r="A21636" i="1"/>
  <c r="C21636" i="1"/>
  <c r="K21636" i="1"/>
  <c r="N21636" i="1"/>
  <c r="A21637" i="1"/>
  <c r="C21637" i="1"/>
  <c r="N21637" i="1"/>
  <c r="A21638" i="1"/>
  <c r="C21638" i="1"/>
  <c r="N21638" i="1"/>
  <c r="A21639" i="1"/>
  <c r="C21639" i="1"/>
  <c r="N21639" i="1"/>
  <c r="A21640" i="1"/>
  <c r="C21640" i="1"/>
  <c r="N21640" i="1"/>
  <c r="A21641" i="1"/>
  <c r="C21641" i="1"/>
  <c r="N21641" i="1"/>
  <c r="A21642" i="1"/>
  <c r="C21642" i="1"/>
  <c r="N21642" i="1"/>
  <c r="A21643" i="1"/>
  <c r="C21643" i="1"/>
  <c r="N21643" i="1"/>
  <c r="A21644" i="1"/>
  <c r="C21644" i="1"/>
  <c r="N21644" i="1"/>
  <c r="A21645" i="1"/>
  <c r="C21645" i="1"/>
  <c r="N21645" i="1"/>
  <c r="A21646" i="1"/>
  <c r="C21646" i="1"/>
  <c r="N21646" i="1"/>
  <c r="A21647" i="1"/>
  <c r="C21647" i="1"/>
  <c r="K21647" i="1"/>
  <c r="N21647" i="1"/>
  <c r="A21648" i="1"/>
  <c r="C21648" i="1"/>
  <c r="N21648" i="1"/>
  <c r="A21649" i="1"/>
  <c r="C21649" i="1"/>
  <c r="N21649" i="1"/>
  <c r="A21650" i="1"/>
  <c r="C21650" i="1"/>
  <c r="F21650" i="1"/>
  <c r="N21650" i="1"/>
  <c r="A21651" i="1"/>
  <c r="C21651" i="1"/>
  <c r="N21651" i="1"/>
  <c r="A21652" i="1"/>
  <c r="C21652" i="1"/>
  <c r="N21652" i="1"/>
  <c r="A21653" i="1"/>
  <c r="C21653" i="1"/>
  <c r="N21653" i="1"/>
  <c r="A21654" i="1"/>
  <c r="C21654" i="1"/>
  <c r="N21654" i="1"/>
  <c r="A21655" i="1"/>
  <c r="C21655" i="1"/>
  <c r="N21655" i="1"/>
  <c r="A21656" i="1"/>
  <c r="C21656" i="1"/>
  <c r="N21656" i="1"/>
  <c r="A21657" i="1"/>
  <c r="C21657" i="1"/>
  <c r="N21657" i="1"/>
  <c r="A21658" i="1"/>
  <c r="C21658" i="1"/>
  <c r="N21658" i="1"/>
  <c r="A21659" i="1"/>
  <c r="C21659" i="1"/>
  <c r="N21659" i="1"/>
  <c r="A21660" i="1"/>
  <c r="C21660" i="1"/>
  <c r="N21660" i="1"/>
  <c r="A21661" i="1"/>
  <c r="C21661" i="1"/>
  <c r="N21661" i="1"/>
  <c r="A21662" i="1"/>
  <c r="C21662" i="1"/>
  <c r="N21662" i="1"/>
  <c r="A21663" i="1"/>
  <c r="C21663" i="1"/>
  <c r="N21663" i="1"/>
  <c r="A21664" i="1"/>
  <c r="C21664" i="1"/>
  <c r="N21664" i="1"/>
  <c r="A21665" i="1"/>
  <c r="C21665" i="1"/>
  <c r="N21665" i="1"/>
  <c r="A21666" i="1"/>
  <c r="C21666" i="1"/>
  <c r="N21666" i="1"/>
  <c r="A21667" i="1"/>
  <c r="C21667" i="1"/>
  <c r="N21667" i="1"/>
  <c r="A21668" i="1"/>
  <c r="C21668" i="1"/>
  <c r="N21668" i="1"/>
  <c r="A21669" i="1"/>
  <c r="C21669" i="1"/>
  <c r="N21669" i="1"/>
  <c r="A21670" i="1"/>
  <c r="C21670" i="1"/>
  <c r="N21670" i="1"/>
  <c r="A21671" i="1"/>
  <c r="C21671" i="1"/>
  <c r="N21671" i="1"/>
  <c r="A21672" i="1"/>
  <c r="C21672" i="1"/>
  <c r="K21672" i="1"/>
  <c r="N21672" i="1"/>
  <c r="A21673" i="1"/>
  <c r="C21673" i="1"/>
  <c r="K21673" i="1"/>
  <c r="N21673" i="1"/>
  <c r="A21674" i="1"/>
  <c r="C21674" i="1"/>
  <c r="N21674" i="1"/>
  <c r="A21675" i="1"/>
  <c r="C21675" i="1"/>
  <c r="N21675" i="1"/>
  <c r="A21676" i="1"/>
  <c r="C21676" i="1"/>
  <c r="N21676" i="1"/>
  <c r="A21677" i="1"/>
  <c r="C21677" i="1"/>
  <c r="N21677" i="1"/>
  <c r="A21678" i="1"/>
  <c r="C21678" i="1"/>
  <c r="K21678" i="1"/>
  <c r="N21678" i="1"/>
  <c r="A21679" i="1"/>
  <c r="C21679" i="1"/>
  <c r="N21679" i="1"/>
  <c r="A21680" i="1"/>
  <c r="C21680" i="1"/>
  <c r="N21680" i="1"/>
  <c r="A21681" i="1"/>
  <c r="C21681" i="1"/>
  <c r="N21681" i="1"/>
  <c r="A21682" i="1"/>
  <c r="C21682" i="1"/>
  <c r="N21682" i="1"/>
  <c r="A21683" i="1"/>
  <c r="C21683" i="1"/>
  <c r="E21683" i="1"/>
  <c r="N21683" i="1"/>
  <c r="T21683" i="1"/>
  <c r="A21684" i="1"/>
  <c r="C21684" i="1"/>
  <c r="K21684" i="1"/>
  <c r="N21684" i="1"/>
  <c r="A21685" i="1"/>
  <c r="C21685" i="1"/>
  <c r="N21685" i="1"/>
  <c r="A21686" i="1"/>
  <c r="C21686" i="1"/>
  <c r="N21686" i="1"/>
  <c r="A21687" i="1"/>
  <c r="C21687" i="1"/>
  <c r="N21687" i="1"/>
  <c r="A21688" i="1"/>
  <c r="C21688" i="1"/>
  <c r="N21688" i="1"/>
  <c r="A21689" i="1"/>
  <c r="C21689" i="1"/>
  <c r="N21689" i="1"/>
  <c r="A21690" i="1"/>
  <c r="C21690" i="1"/>
  <c r="N21690" i="1"/>
  <c r="A21691" i="1"/>
  <c r="C21691" i="1"/>
  <c r="N21691" i="1"/>
  <c r="A21692" i="1"/>
  <c r="C21692" i="1"/>
  <c r="N21692" i="1"/>
  <c r="A21693" i="1"/>
  <c r="C21693" i="1"/>
  <c r="N21693" i="1"/>
  <c r="A21694" i="1"/>
  <c r="C21694" i="1"/>
  <c r="N21694" i="1"/>
  <c r="A21695" i="1"/>
  <c r="C21695" i="1"/>
  <c r="N21695" i="1"/>
  <c r="A21696" i="1"/>
  <c r="C21696" i="1"/>
  <c r="N21696" i="1"/>
  <c r="A21697" i="1"/>
  <c r="C21697" i="1"/>
  <c r="N21697" i="1"/>
  <c r="A21698" i="1"/>
  <c r="C21698" i="1"/>
  <c r="N21698" i="1"/>
  <c r="A21699" i="1"/>
  <c r="C21699" i="1"/>
  <c r="N21699" i="1"/>
  <c r="A21700" i="1"/>
  <c r="C21700" i="1"/>
  <c r="N21700" i="1"/>
  <c r="A21701" i="1"/>
  <c r="C21701" i="1"/>
  <c r="N21701" i="1"/>
  <c r="A21702" i="1"/>
  <c r="C21702" i="1"/>
  <c r="N21702" i="1"/>
  <c r="A21703" i="1"/>
  <c r="C21703" i="1"/>
  <c r="N21703" i="1"/>
  <c r="A21704" i="1"/>
  <c r="C21704" i="1"/>
  <c r="N21704" i="1"/>
  <c r="A21705" i="1"/>
  <c r="C21705" i="1"/>
  <c r="N21705" i="1"/>
  <c r="A21706" i="1"/>
  <c r="C21706" i="1"/>
  <c r="N21706" i="1"/>
  <c r="A21707" i="1"/>
  <c r="C21707" i="1"/>
  <c r="N21707" i="1"/>
  <c r="A21708" i="1"/>
  <c r="C21708" i="1"/>
  <c r="N21708" i="1"/>
  <c r="A21709" i="1"/>
  <c r="C21709" i="1"/>
  <c r="N21709" i="1"/>
  <c r="A21710" i="1"/>
  <c r="C21710" i="1"/>
  <c r="N21710" i="1"/>
  <c r="A21711" i="1"/>
  <c r="C21711" i="1"/>
  <c r="N21711" i="1"/>
  <c r="A21712" i="1"/>
  <c r="C21712" i="1"/>
  <c r="N21712" i="1"/>
  <c r="A21713" i="1"/>
  <c r="C21713" i="1"/>
  <c r="N21713" i="1"/>
  <c r="A21714" i="1"/>
  <c r="C21714" i="1"/>
  <c r="N21714" i="1"/>
  <c r="A21715" i="1"/>
  <c r="C21715" i="1"/>
  <c r="N21715" i="1"/>
  <c r="A21716" i="1"/>
  <c r="C21716" i="1"/>
  <c r="N21716" i="1"/>
  <c r="A21717" i="1"/>
  <c r="C21717" i="1"/>
  <c r="N21717" i="1"/>
  <c r="A21718" i="1"/>
  <c r="C21718" i="1"/>
  <c r="N21718" i="1"/>
  <c r="A21719" i="1"/>
  <c r="C21719" i="1"/>
  <c r="N21719" i="1"/>
  <c r="A21720" i="1"/>
  <c r="C21720" i="1"/>
  <c r="K21720" i="1"/>
  <c r="N21720" i="1"/>
  <c r="A21721" i="1"/>
  <c r="C21721" i="1"/>
  <c r="F21721" i="1"/>
  <c r="N21721" i="1"/>
  <c r="A21722" i="1"/>
  <c r="C21722" i="1"/>
  <c r="F21722" i="1"/>
  <c r="N21722" i="1"/>
  <c r="A21723" i="1"/>
  <c r="C21723" i="1"/>
  <c r="N21723" i="1"/>
  <c r="A21724" i="1"/>
  <c r="C21724" i="1"/>
  <c r="K21724" i="1"/>
  <c r="N21724" i="1"/>
  <c r="A21725" i="1"/>
  <c r="C21725" i="1"/>
  <c r="N21725" i="1"/>
  <c r="A21726" i="1"/>
  <c r="C21726" i="1"/>
  <c r="N21726" i="1"/>
  <c r="A21727" i="1"/>
  <c r="C21727" i="1"/>
  <c r="N21727" i="1"/>
  <c r="A21728" i="1"/>
  <c r="C21728" i="1"/>
  <c r="N21728" i="1"/>
  <c r="A21729" i="1"/>
  <c r="C21729" i="1"/>
  <c r="N21729" i="1"/>
  <c r="A21730" i="1"/>
  <c r="C21730" i="1"/>
  <c r="N21730" i="1"/>
  <c r="A21731" i="1"/>
  <c r="C21731" i="1"/>
  <c r="N21731" i="1"/>
  <c r="A21732" i="1"/>
  <c r="C21732" i="1"/>
  <c r="N21732" i="1"/>
  <c r="A21733" i="1"/>
  <c r="C21733" i="1"/>
  <c r="F21733" i="1"/>
  <c r="N21733" i="1"/>
  <c r="A21734" i="1"/>
  <c r="C21734" i="1"/>
  <c r="N21734" i="1"/>
  <c r="A21735" i="1"/>
  <c r="C21735" i="1"/>
  <c r="N21735" i="1"/>
  <c r="A21736" i="1"/>
  <c r="C21736" i="1"/>
  <c r="N21736" i="1"/>
  <c r="A21737" i="1"/>
  <c r="C21737" i="1"/>
  <c r="N21737" i="1"/>
  <c r="A21738" i="1"/>
  <c r="C21738" i="1"/>
  <c r="K21738" i="1"/>
  <c r="N21738" i="1"/>
  <c r="A21739" i="1"/>
  <c r="C21739" i="1"/>
  <c r="K21739" i="1"/>
  <c r="N21739" i="1"/>
  <c r="A21740" i="1"/>
  <c r="C21740" i="1"/>
  <c r="N21740" i="1"/>
  <c r="A21741" i="1"/>
  <c r="C21741" i="1"/>
  <c r="N21741" i="1"/>
  <c r="A21742" i="1"/>
  <c r="C21742" i="1"/>
  <c r="N21742" i="1"/>
  <c r="A21743" i="1"/>
  <c r="C21743" i="1"/>
  <c r="N21743" i="1"/>
  <c r="A21744" i="1"/>
  <c r="C21744" i="1"/>
  <c r="N21744" i="1"/>
  <c r="A21745" i="1"/>
  <c r="C21745" i="1"/>
  <c r="N21745" i="1"/>
  <c r="A21746" i="1"/>
  <c r="C21746" i="1"/>
  <c r="N21746" i="1"/>
  <c r="A21747" i="1"/>
  <c r="C21747" i="1"/>
  <c r="N21747" i="1"/>
  <c r="A21748" i="1"/>
  <c r="C21748" i="1"/>
  <c r="N21748" i="1"/>
  <c r="A21749" i="1"/>
  <c r="C21749" i="1"/>
  <c r="N21749" i="1"/>
  <c r="A21750" i="1"/>
  <c r="C21750" i="1"/>
  <c r="N21750" i="1"/>
  <c r="A21751" i="1"/>
  <c r="C21751" i="1"/>
  <c r="N21751" i="1"/>
  <c r="A21752" i="1"/>
  <c r="C21752" i="1"/>
  <c r="N21752" i="1"/>
  <c r="A21753" i="1"/>
  <c r="C21753" i="1"/>
  <c r="N21753" i="1"/>
  <c r="A21754" i="1"/>
  <c r="C21754" i="1"/>
  <c r="K21754" i="1"/>
  <c r="N21754" i="1"/>
  <c r="A21755" i="1"/>
  <c r="C21755" i="1"/>
  <c r="N21755" i="1"/>
  <c r="A21756" i="1"/>
  <c r="C21756" i="1"/>
  <c r="N21756" i="1"/>
  <c r="A21757" i="1"/>
  <c r="C21757" i="1"/>
  <c r="N21757" i="1"/>
  <c r="A21758" i="1"/>
  <c r="C21758" i="1"/>
  <c r="N21758" i="1"/>
  <c r="A21759" i="1"/>
  <c r="C21759" i="1"/>
  <c r="N21759" i="1"/>
  <c r="A21760" i="1"/>
  <c r="C21760" i="1"/>
  <c r="N21760" i="1"/>
  <c r="A21761" i="1"/>
  <c r="C21761" i="1"/>
  <c r="N21761" i="1"/>
  <c r="A21762" i="1"/>
  <c r="C21762" i="1"/>
  <c r="N21762" i="1"/>
  <c r="A21763" i="1"/>
  <c r="C21763" i="1"/>
  <c r="N21763" i="1"/>
  <c r="A21764" i="1"/>
  <c r="C21764" i="1"/>
  <c r="N21764" i="1"/>
  <c r="A21765" i="1"/>
  <c r="C21765" i="1"/>
  <c r="N21765" i="1"/>
  <c r="A21766" i="1"/>
  <c r="C21766" i="1"/>
  <c r="N21766" i="1"/>
  <c r="A21767" i="1"/>
  <c r="C21767" i="1"/>
  <c r="N21767" i="1"/>
  <c r="A21768" i="1"/>
  <c r="C21768" i="1"/>
  <c r="N21768" i="1"/>
  <c r="A21769" i="1"/>
  <c r="C21769" i="1"/>
  <c r="N21769" i="1"/>
  <c r="A21770" i="1"/>
  <c r="C21770" i="1"/>
  <c r="N21770" i="1"/>
  <c r="A21771" i="1"/>
  <c r="C21771" i="1"/>
  <c r="N21771" i="1"/>
  <c r="A21772" i="1"/>
  <c r="C21772" i="1"/>
  <c r="N21772" i="1"/>
  <c r="A21773" i="1"/>
  <c r="C21773" i="1"/>
  <c r="N21773" i="1"/>
  <c r="A21774" i="1"/>
  <c r="C21774" i="1"/>
  <c r="N21774" i="1"/>
  <c r="A21775" i="1"/>
  <c r="C21775" i="1"/>
  <c r="N21775" i="1"/>
  <c r="A21776" i="1"/>
  <c r="C21776" i="1"/>
  <c r="N21776" i="1"/>
  <c r="A21777" i="1"/>
  <c r="C21777" i="1"/>
  <c r="N21777" i="1"/>
  <c r="A21778" i="1"/>
  <c r="C21778" i="1"/>
  <c r="N21778" i="1"/>
  <c r="A21779" i="1"/>
  <c r="C21779" i="1"/>
  <c r="N21779" i="1"/>
  <c r="A21780" i="1"/>
  <c r="C21780" i="1"/>
  <c r="N21780" i="1"/>
  <c r="A21781" i="1"/>
  <c r="C21781" i="1"/>
  <c r="N21781" i="1"/>
  <c r="A21782" i="1"/>
  <c r="C21782" i="1"/>
  <c r="N21782" i="1"/>
  <c r="A21783" i="1"/>
  <c r="C21783" i="1"/>
  <c r="N21783" i="1"/>
  <c r="A21784" i="1"/>
  <c r="C21784" i="1"/>
  <c r="N21784" i="1"/>
  <c r="A21785" i="1"/>
  <c r="C21785" i="1"/>
  <c r="N21785" i="1"/>
  <c r="A21786" i="1"/>
  <c r="C21786" i="1"/>
  <c r="N21786" i="1"/>
  <c r="A21787" i="1"/>
  <c r="C21787" i="1"/>
  <c r="K21787" i="1"/>
  <c r="N21787" i="1"/>
  <c r="A21788" i="1"/>
  <c r="C21788" i="1"/>
  <c r="N21788" i="1"/>
  <c r="A21789" i="1"/>
  <c r="C21789" i="1"/>
  <c r="N21789" i="1"/>
  <c r="A21790" i="1"/>
  <c r="C21790" i="1"/>
  <c r="N21790" i="1"/>
  <c r="A21791" i="1"/>
  <c r="C21791" i="1"/>
  <c r="N21791" i="1"/>
  <c r="A21792" i="1"/>
  <c r="C21792" i="1"/>
  <c r="N21792" i="1"/>
  <c r="A21793" i="1"/>
  <c r="C21793" i="1"/>
  <c r="K21793" i="1"/>
  <c r="N21793" i="1"/>
  <c r="A21794" i="1"/>
  <c r="C21794" i="1"/>
  <c r="N21794" i="1"/>
  <c r="A21795" i="1"/>
  <c r="C21795" i="1"/>
  <c r="N21795" i="1"/>
  <c r="A21796" i="1"/>
  <c r="C21796" i="1"/>
  <c r="K21796" i="1"/>
  <c r="N21796" i="1"/>
  <c r="A21797" i="1"/>
  <c r="C21797" i="1"/>
  <c r="N21797" i="1"/>
  <c r="A21798" i="1"/>
  <c r="C21798" i="1"/>
  <c r="N21798" i="1"/>
  <c r="A21799" i="1"/>
  <c r="C21799" i="1"/>
  <c r="N21799" i="1"/>
  <c r="A21800" i="1"/>
  <c r="C21800" i="1"/>
  <c r="K21800" i="1"/>
  <c r="N21800" i="1"/>
  <c r="A21801" i="1"/>
  <c r="C21801" i="1"/>
  <c r="K21801" i="1"/>
  <c r="N21801" i="1"/>
  <c r="A21802" i="1"/>
  <c r="C21802" i="1"/>
  <c r="N21802" i="1"/>
  <c r="A21803" i="1"/>
  <c r="C21803" i="1"/>
  <c r="N21803" i="1"/>
  <c r="A21804" i="1"/>
  <c r="C21804" i="1"/>
  <c r="N21804" i="1"/>
  <c r="A21805" i="1"/>
  <c r="C21805" i="1"/>
  <c r="N21805" i="1"/>
  <c r="A21806" i="1"/>
  <c r="C21806" i="1"/>
  <c r="N21806" i="1"/>
  <c r="A21807" i="1"/>
  <c r="C21807" i="1"/>
  <c r="N21807" i="1"/>
  <c r="A21808" i="1"/>
  <c r="C21808" i="1"/>
  <c r="N21808" i="1"/>
  <c r="A21809" i="1"/>
  <c r="C21809" i="1"/>
  <c r="N21809" i="1"/>
  <c r="A21810" i="1"/>
  <c r="C21810" i="1"/>
  <c r="N21810" i="1"/>
  <c r="A21811" i="1"/>
  <c r="C21811" i="1"/>
  <c r="N21811" i="1"/>
  <c r="A21812" i="1"/>
  <c r="C21812" i="1"/>
  <c r="N21812" i="1"/>
  <c r="A21813" i="1"/>
  <c r="C21813" i="1"/>
  <c r="N21813" i="1"/>
  <c r="A21814" i="1"/>
  <c r="C21814" i="1"/>
  <c r="N21814" i="1"/>
  <c r="A21815" i="1"/>
  <c r="C21815" i="1"/>
  <c r="N21815" i="1"/>
  <c r="A21816" i="1"/>
  <c r="C21816" i="1"/>
  <c r="N21816" i="1"/>
  <c r="A21817" i="1"/>
  <c r="C21817" i="1"/>
  <c r="N21817" i="1"/>
  <c r="A21818" i="1"/>
  <c r="C21818" i="1"/>
  <c r="N21818" i="1"/>
  <c r="A21819" i="1"/>
  <c r="C21819" i="1"/>
  <c r="N21819" i="1"/>
  <c r="A21820" i="1"/>
  <c r="C21820" i="1"/>
  <c r="N21820" i="1"/>
  <c r="A21821" i="1"/>
  <c r="C21821" i="1"/>
  <c r="N21821" i="1"/>
  <c r="A21822" i="1"/>
  <c r="C21822" i="1"/>
  <c r="N21822" i="1"/>
  <c r="A21823" i="1"/>
  <c r="C21823" i="1"/>
  <c r="N21823" i="1"/>
  <c r="A21824" i="1"/>
  <c r="C21824" i="1"/>
  <c r="N21824" i="1"/>
  <c r="A21825" i="1"/>
  <c r="C21825" i="1"/>
  <c r="N21825" i="1"/>
  <c r="A21826" i="1"/>
  <c r="C21826" i="1"/>
  <c r="N21826" i="1"/>
  <c r="A21827" i="1"/>
  <c r="C21827" i="1"/>
  <c r="N21827" i="1"/>
  <c r="A21828" i="1"/>
  <c r="C21828" i="1"/>
  <c r="N21828" i="1"/>
  <c r="A21829" i="1"/>
  <c r="C21829" i="1"/>
  <c r="K21829" i="1"/>
  <c r="N21829" i="1"/>
  <c r="A21830" i="1"/>
  <c r="C21830" i="1"/>
  <c r="N21830" i="1"/>
  <c r="A21831" i="1"/>
  <c r="C21831" i="1"/>
  <c r="N21831" i="1"/>
  <c r="A21832" i="1"/>
  <c r="C21832" i="1"/>
  <c r="D21832" i="1"/>
  <c r="K21832" i="1"/>
  <c r="N21832" i="1"/>
  <c r="O21832" i="1"/>
  <c r="A21833" i="1"/>
  <c r="C21833" i="1"/>
  <c r="F21833" i="1"/>
  <c r="N21833" i="1"/>
  <c r="A21834" i="1"/>
  <c r="C21834" i="1"/>
  <c r="N21834" i="1"/>
  <c r="A21835" i="1"/>
  <c r="C21835" i="1"/>
  <c r="N21835" i="1"/>
  <c r="A21836" i="1"/>
  <c r="C21836" i="1"/>
  <c r="N21836" i="1"/>
  <c r="A21837" i="1"/>
  <c r="C21837" i="1"/>
  <c r="N21837" i="1"/>
  <c r="A21838" i="1"/>
  <c r="C21838" i="1"/>
  <c r="N21838" i="1"/>
  <c r="A21839" i="1"/>
  <c r="C21839" i="1"/>
  <c r="N21839" i="1"/>
  <c r="A21840" i="1"/>
  <c r="C21840" i="1"/>
  <c r="N21840" i="1"/>
  <c r="A21841" i="1"/>
  <c r="C21841" i="1"/>
  <c r="N21841" i="1"/>
  <c r="A21842" i="1"/>
  <c r="C21842" i="1"/>
  <c r="N21842" i="1"/>
  <c r="A21843" i="1"/>
  <c r="C21843" i="1"/>
  <c r="N21843" i="1"/>
  <c r="A21844" i="1"/>
  <c r="C21844" i="1"/>
  <c r="N21844" i="1"/>
  <c r="A21845" i="1"/>
  <c r="C21845" i="1"/>
  <c r="N21845" i="1"/>
  <c r="A21846" i="1"/>
  <c r="C21846" i="1"/>
  <c r="N21846" i="1"/>
  <c r="A21847" i="1"/>
  <c r="C21847" i="1"/>
  <c r="N21847" i="1"/>
  <c r="A21848" i="1"/>
  <c r="C21848" i="1"/>
  <c r="N21848" i="1"/>
  <c r="A21849" i="1"/>
  <c r="C21849" i="1"/>
  <c r="N21849" i="1"/>
  <c r="A21850" i="1"/>
  <c r="C21850" i="1"/>
  <c r="N21850" i="1"/>
  <c r="A21851" i="1"/>
  <c r="C21851" i="1"/>
  <c r="N21851" i="1"/>
  <c r="A21852" i="1"/>
  <c r="C21852" i="1"/>
  <c r="N21852" i="1"/>
  <c r="A21853" i="1"/>
  <c r="C21853" i="1"/>
  <c r="N21853" i="1"/>
  <c r="A21854" i="1"/>
  <c r="C21854" i="1"/>
  <c r="N21854" i="1"/>
  <c r="A21855" i="1"/>
  <c r="C21855" i="1"/>
  <c r="N21855" i="1"/>
  <c r="A21856" i="1"/>
  <c r="C21856" i="1"/>
  <c r="N21856" i="1"/>
  <c r="A21857" i="1"/>
  <c r="C21857" i="1"/>
  <c r="N21857" i="1"/>
  <c r="A21858" i="1"/>
  <c r="C21858" i="1"/>
  <c r="N21858" i="1"/>
  <c r="A21859" i="1"/>
  <c r="C21859" i="1"/>
  <c r="N21859" i="1"/>
  <c r="A21860" i="1"/>
  <c r="C21860" i="1"/>
  <c r="N21860" i="1"/>
  <c r="A21861" i="1"/>
  <c r="C21861" i="1"/>
  <c r="N21861" i="1"/>
  <c r="A21862" i="1"/>
  <c r="C21862" i="1"/>
  <c r="N21862" i="1"/>
  <c r="A21863" i="1"/>
  <c r="C21863" i="1"/>
  <c r="N21863" i="1"/>
  <c r="A21864" i="1"/>
  <c r="C21864" i="1"/>
  <c r="N21864" i="1"/>
  <c r="A21865" i="1"/>
  <c r="C21865" i="1"/>
  <c r="N21865" i="1"/>
  <c r="A21866" i="1"/>
  <c r="C21866" i="1"/>
  <c r="N21866" i="1"/>
  <c r="A21867" i="1"/>
  <c r="C21867" i="1"/>
  <c r="N21867" i="1"/>
  <c r="A21868" i="1"/>
  <c r="C21868" i="1"/>
  <c r="N21868" i="1"/>
  <c r="A21869" i="1"/>
  <c r="C21869" i="1"/>
  <c r="N21869" i="1"/>
  <c r="A21870" i="1"/>
  <c r="C21870" i="1"/>
  <c r="N21870" i="1"/>
  <c r="A21871" i="1"/>
  <c r="C21871" i="1"/>
  <c r="N21871" i="1"/>
  <c r="A21872" i="1"/>
  <c r="C21872" i="1"/>
  <c r="N21872" i="1"/>
  <c r="A21873" i="1"/>
  <c r="C21873" i="1"/>
  <c r="N21873" i="1"/>
  <c r="A21874" i="1"/>
  <c r="C21874" i="1"/>
  <c r="N21874" i="1"/>
  <c r="A21875" i="1"/>
  <c r="C21875" i="1"/>
  <c r="N21875" i="1"/>
  <c r="A21876" i="1"/>
  <c r="C21876" i="1"/>
  <c r="N21876" i="1"/>
  <c r="A21877" i="1"/>
  <c r="C21877" i="1"/>
  <c r="N21877" i="1"/>
  <c r="A21878" i="1"/>
  <c r="C21878" i="1"/>
  <c r="N21878" i="1"/>
  <c r="A21879" i="1"/>
  <c r="C21879" i="1"/>
  <c r="K21879" i="1"/>
  <c r="N21879" i="1"/>
  <c r="A21880" i="1"/>
  <c r="C21880" i="1"/>
  <c r="N21880" i="1"/>
  <c r="A21881" i="1"/>
  <c r="C21881" i="1"/>
  <c r="N21881" i="1"/>
  <c r="A21882" i="1"/>
  <c r="C21882" i="1"/>
  <c r="K21882" i="1"/>
  <c r="N21882" i="1"/>
  <c r="A21883" i="1"/>
  <c r="C21883" i="1"/>
  <c r="N21883" i="1"/>
  <c r="A21884" i="1"/>
  <c r="C21884" i="1"/>
  <c r="N21884" i="1"/>
  <c r="A21885" i="1"/>
  <c r="C21885" i="1"/>
  <c r="N21885" i="1"/>
  <c r="A21886" i="1"/>
  <c r="C21886" i="1"/>
  <c r="N21886" i="1"/>
  <c r="A21887" i="1"/>
  <c r="C21887" i="1"/>
  <c r="N21887" i="1"/>
  <c r="A21888" i="1"/>
  <c r="C21888" i="1"/>
  <c r="N21888" i="1"/>
  <c r="A21889" i="1"/>
  <c r="C21889" i="1"/>
  <c r="N21889" i="1"/>
  <c r="A21890" i="1"/>
  <c r="C21890" i="1"/>
  <c r="K21890" i="1"/>
  <c r="N21890" i="1"/>
  <c r="A21891" i="1"/>
  <c r="C21891" i="1"/>
  <c r="N21891" i="1"/>
  <c r="A21892" i="1"/>
  <c r="C21892" i="1"/>
  <c r="N21892" i="1"/>
  <c r="A21893" i="1"/>
  <c r="C21893" i="1"/>
  <c r="K21893" i="1"/>
  <c r="N21893" i="1"/>
  <c r="A21894" i="1"/>
  <c r="C21894" i="1"/>
  <c r="N21894" i="1"/>
  <c r="A21895" i="1"/>
  <c r="C21895" i="1"/>
  <c r="N21895" i="1"/>
  <c r="A21896" i="1"/>
  <c r="C21896" i="1"/>
  <c r="N21896" i="1"/>
  <c r="A21897" i="1"/>
  <c r="C21897" i="1"/>
  <c r="N21897" i="1"/>
  <c r="A21898" i="1"/>
  <c r="C21898" i="1"/>
  <c r="N21898" i="1"/>
  <c r="A21899" i="1"/>
  <c r="C21899" i="1"/>
  <c r="N21899" i="1"/>
  <c r="A21900" i="1"/>
  <c r="C21900" i="1"/>
  <c r="N21900" i="1"/>
  <c r="A21901" i="1"/>
  <c r="C21901" i="1"/>
  <c r="N21901" i="1"/>
  <c r="A21902" i="1"/>
  <c r="C21902" i="1"/>
  <c r="K21902" i="1"/>
  <c r="N21902" i="1"/>
  <c r="A21903" i="1"/>
  <c r="C21903" i="1"/>
  <c r="N21903" i="1"/>
  <c r="A21904" i="1"/>
  <c r="C21904" i="1"/>
  <c r="N21904" i="1"/>
  <c r="A21905" i="1"/>
  <c r="C21905" i="1"/>
  <c r="N21905" i="1"/>
  <c r="A21906" i="1"/>
  <c r="C21906" i="1"/>
  <c r="N21906" i="1"/>
  <c r="A21907" i="1"/>
  <c r="C21907" i="1"/>
  <c r="N21907" i="1"/>
  <c r="A21908" i="1"/>
  <c r="C21908" i="1"/>
  <c r="N21908" i="1"/>
  <c r="A21909" i="1"/>
  <c r="C21909" i="1"/>
  <c r="N21909" i="1"/>
  <c r="A21910" i="1"/>
  <c r="C21910" i="1"/>
  <c r="N21910" i="1"/>
  <c r="A21911" i="1"/>
  <c r="C21911" i="1"/>
  <c r="N21911" i="1"/>
  <c r="A21912" i="1"/>
  <c r="C21912" i="1"/>
  <c r="N21912" i="1"/>
  <c r="A21913" i="1"/>
  <c r="C21913" i="1"/>
  <c r="N21913" i="1"/>
  <c r="A21914" i="1"/>
  <c r="C21914" i="1"/>
  <c r="N21914" i="1"/>
  <c r="A21915" i="1"/>
  <c r="C21915" i="1"/>
  <c r="N21915" i="1"/>
  <c r="A21916" i="1"/>
  <c r="C21916" i="1"/>
  <c r="N21916" i="1"/>
  <c r="A21917" i="1"/>
  <c r="C21917" i="1"/>
  <c r="N21917" i="1"/>
  <c r="A21918" i="1"/>
  <c r="C21918" i="1"/>
  <c r="N21918" i="1"/>
  <c r="A21919" i="1"/>
  <c r="C21919" i="1"/>
  <c r="K21919" i="1"/>
  <c r="N21919" i="1"/>
  <c r="A21920" i="1"/>
  <c r="C21920" i="1"/>
  <c r="N21920" i="1"/>
  <c r="A21921" i="1"/>
  <c r="C21921" i="1"/>
  <c r="N21921" i="1"/>
  <c r="A21922" i="1"/>
  <c r="C21922" i="1"/>
  <c r="N21922" i="1"/>
  <c r="A21923" i="1"/>
  <c r="C21923" i="1"/>
  <c r="N21923" i="1"/>
  <c r="A21924" i="1"/>
  <c r="C21924" i="1"/>
  <c r="F21924" i="1"/>
  <c r="N21924" i="1"/>
  <c r="A21925" i="1"/>
  <c r="C21925" i="1"/>
  <c r="N21925" i="1"/>
  <c r="A21926" i="1"/>
  <c r="C21926" i="1"/>
  <c r="N21926" i="1"/>
  <c r="A21927" i="1"/>
  <c r="C21927" i="1"/>
  <c r="N21927" i="1"/>
  <c r="A21928" i="1"/>
  <c r="C21928" i="1"/>
  <c r="K21928" i="1"/>
  <c r="N21928" i="1"/>
  <c r="A21929" i="1"/>
  <c r="C21929" i="1"/>
  <c r="N21929" i="1"/>
  <c r="A21930" i="1"/>
  <c r="C21930" i="1"/>
  <c r="N21930" i="1"/>
  <c r="A21931" i="1"/>
  <c r="C21931" i="1"/>
  <c r="N21931" i="1"/>
  <c r="A21932" i="1"/>
  <c r="C21932" i="1"/>
  <c r="N21932" i="1"/>
  <c r="A21933" i="1"/>
  <c r="C21933" i="1"/>
  <c r="K21933" i="1"/>
  <c r="N21933" i="1"/>
  <c r="A21934" i="1"/>
  <c r="C21934" i="1"/>
  <c r="N21934" i="1"/>
  <c r="A21935" i="1"/>
  <c r="C21935" i="1"/>
  <c r="N21935" i="1"/>
  <c r="A21936" i="1"/>
  <c r="C21936" i="1"/>
  <c r="N21936" i="1"/>
  <c r="A21937" i="1"/>
  <c r="C21937" i="1"/>
  <c r="K21937" i="1"/>
  <c r="N21937" i="1"/>
  <c r="A21938" i="1"/>
  <c r="C21938" i="1"/>
  <c r="N21938" i="1"/>
  <c r="A21939" i="1"/>
  <c r="C21939" i="1"/>
  <c r="N21939" i="1"/>
  <c r="A21940" i="1"/>
  <c r="C21940" i="1"/>
  <c r="N21940" i="1"/>
  <c r="A21941" i="1"/>
  <c r="C21941" i="1"/>
  <c r="N21941" i="1"/>
  <c r="A21942" i="1"/>
  <c r="C21942" i="1"/>
  <c r="N21942" i="1"/>
  <c r="A21943" i="1"/>
  <c r="C21943" i="1"/>
  <c r="N21943" i="1"/>
  <c r="A21944" i="1"/>
  <c r="C21944" i="1"/>
  <c r="N21944" i="1"/>
  <c r="A21945" i="1"/>
  <c r="C21945" i="1"/>
  <c r="N21945" i="1"/>
  <c r="A21946" i="1"/>
  <c r="C21946" i="1"/>
  <c r="N21946" i="1"/>
  <c r="A21947" i="1"/>
  <c r="C21947" i="1"/>
  <c r="N21947" i="1"/>
  <c r="A21948" i="1"/>
  <c r="C21948" i="1"/>
  <c r="N21948" i="1"/>
  <c r="A21949" i="1"/>
  <c r="C21949" i="1"/>
  <c r="N21949" i="1"/>
  <c r="A21950" i="1"/>
  <c r="C21950" i="1"/>
  <c r="K21950" i="1"/>
  <c r="N21950" i="1"/>
  <c r="A21951" i="1"/>
  <c r="C21951" i="1"/>
  <c r="N21951" i="1"/>
  <c r="A21952" i="1"/>
  <c r="C21952" i="1"/>
  <c r="N21952" i="1"/>
  <c r="A21953" i="1"/>
  <c r="C21953" i="1"/>
  <c r="N21953" i="1"/>
  <c r="A21954" i="1"/>
  <c r="C21954" i="1"/>
  <c r="N21954" i="1"/>
  <c r="A21955" i="1"/>
  <c r="C21955" i="1"/>
  <c r="K21955" i="1"/>
  <c r="N21955" i="1"/>
  <c r="A21956" i="1"/>
  <c r="C21956" i="1"/>
  <c r="N21956" i="1"/>
  <c r="A21957" i="1"/>
  <c r="C21957" i="1"/>
  <c r="N21957" i="1"/>
  <c r="A21958" i="1"/>
  <c r="C21958" i="1"/>
  <c r="N21958" i="1"/>
  <c r="A21959" i="1"/>
  <c r="C21959" i="1"/>
  <c r="N21959" i="1"/>
  <c r="A21960" i="1"/>
  <c r="C21960" i="1"/>
  <c r="N21960" i="1"/>
  <c r="A21961" i="1"/>
  <c r="C21961" i="1"/>
  <c r="K21961" i="1"/>
  <c r="N21961" i="1"/>
  <c r="A21962" i="1"/>
  <c r="C21962" i="1"/>
  <c r="N21962" i="1"/>
  <c r="A21963" i="1"/>
  <c r="C21963" i="1"/>
  <c r="K21963" i="1"/>
  <c r="N21963" i="1"/>
  <c r="A21964" i="1"/>
  <c r="C21964" i="1"/>
  <c r="N21964" i="1"/>
  <c r="A21965" i="1"/>
  <c r="C21965" i="1"/>
  <c r="N21965" i="1"/>
  <c r="A21966" i="1"/>
  <c r="C21966" i="1"/>
  <c r="N21966" i="1"/>
  <c r="A21967" i="1"/>
  <c r="C21967" i="1"/>
  <c r="N21967" i="1"/>
  <c r="A21968" i="1"/>
  <c r="C21968" i="1"/>
  <c r="N21968" i="1"/>
  <c r="A21969" i="1"/>
  <c r="C21969" i="1"/>
  <c r="N21969" i="1"/>
  <c r="A21970" i="1"/>
  <c r="C21970" i="1"/>
  <c r="N21970" i="1"/>
  <c r="A21971" i="1"/>
  <c r="C21971" i="1"/>
  <c r="N21971" i="1"/>
  <c r="A21972" i="1"/>
  <c r="C21972" i="1"/>
  <c r="N21972" i="1"/>
  <c r="A21973" i="1"/>
  <c r="C21973" i="1"/>
  <c r="N21973" i="1"/>
  <c r="A21974" i="1"/>
  <c r="C21974" i="1"/>
  <c r="N21974" i="1"/>
  <c r="A21975" i="1"/>
  <c r="C21975" i="1"/>
  <c r="N21975" i="1"/>
  <c r="A21976" i="1"/>
  <c r="C21976" i="1"/>
  <c r="N21976" i="1"/>
  <c r="A21977" i="1"/>
  <c r="C21977" i="1"/>
  <c r="N21977" i="1"/>
  <c r="A21978" i="1"/>
  <c r="C21978" i="1"/>
  <c r="N21978" i="1"/>
  <c r="A21979" i="1"/>
  <c r="C21979" i="1"/>
  <c r="N21979" i="1"/>
  <c r="A21980" i="1"/>
  <c r="C21980" i="1"/>
  <c r="N21980" i="1"/>
  <c r="A21981" i="1"/>
  <c r="C21981" i="1"/>
  <c r="N21981" i="1"/>
  <c r="A21982" i="1"/>
  <c r="C21982" i="1"/>
  <c r="N21982" i="1"/>
  <c r="A21983" i="1"/>
  <c r="C21983" i="1"/>
  <c r="N21983" i="1"/>
  <c r="A21984" i="1"/>
  <c r="C21984" i="1"/>
  <c r="N21984" i="1"/>
  <c r="A21985" i="1"/>
  <c r="C21985" i="1"/>
  <c r="N21985" i="1"/>
  <c r="A21986" i="1"/>
  <c r="C21986" i="1"/>
  <c r="N21986" i="1"/>
  <c r="A21987" i="1"/>
  <c r="C21987" i="1"/>
  <c r="N21987" i="1"/>
  <c r="A21988" i="1"/>
  <c r="C21988" i="1"/>
  <c r="N21988" i="1"/>
  <c r="A21989" i="1"/>
  <c r="C21989" i="1"/>
  <c r="N21989" i="1"/>
  <c r="A21990" i="1"/>
  <c r="C21990" i="1"/>
  <c r="N21990" i="1"/>
  <c r="A21991" i="1"/>
  <c r="C21991" i="1"/>
  <c r="N21991" i="1"/>
  <c r="A21992" i="1"/>
  <c r="C21992" i="1"/>
  <c r="K21992" i="1"/>
  <c r="N21992" i="1"/>
  <c r="A21993" i="1"/>
  <c r="C21993" i="1"/>
  <c r="N21993" i="1"/>
  <c r="A21994" i="1"/>
  <c r="C21994" i="1"/>
  <c r="N21994" i="1"/>
  <c r="A21995" i="1"/>
  <c r="C21995" i="1"/>
  <c r="N21995" i="1"/>
  <c r="A21996" i="1"/>
  <c r="C21996" i="1"/>
  <c r="N21996" i="1"/>
  <c r="A21997" i="1"/>
  <c r="C21997" i="1"/>
  <c r="N21997" i="1"/>
  <c r="A21998" i="1"/>
  <c r="C21998" i="1"/>
  <c r="N21998" i="1"/>
  <c r="A21999" i="1"/>
  <c r="C21999" i="1"/>
  <c r="N21999" i="1"/>
  <c r="A22000" i="1"/>
  <c r="C22000" i="1"/>
  <c r="N22000" i="1"/>
  <c r="A22001" i="1"/>
  <c r="C22001" i="1"/>
  <c r="N22001" i="1"/>
  <c r="A22002" i="1"/>
  <c r="C22002" i="1"/>
  <c r="N22002" i="1"/>
  <c r="A22003" i="1"/>
  <c r="C22003" i="1"/>
  <c r="N22003" i="1"/>
  <c r="A22004" i="1"/>
  <c r="C22004" i="1"/>
  <c r="N22004" i="1"/>
  <c r="A22005" i="1"/>
  <c r="C22005" i="1"/>
  <c r="N22005" i="1"/>
  <c r="A22006" i="1"/>
  <c r="C22006" i="1"/>
  <c r="N22006" i="1"/>
  <c r="A22007" i="1"/>
  <c r="C22007" i="1"/>
  <c r="K22007" i="1"/>
  <c r="N22007" i="1"/>
  <c r="A22008" i="1"/>
  <c r="C22008" i="1"/>
  <c r="N22008" i="1"/>
  <c r="A22009" i="1"/>
  <c r="C22009" i="1"/>
  <c r="N22009" i="1"/>
  <c r="A22010" i="1"/>
  <c r="C22010" i="1"/>
  <c r="N22010" i="1"/>
  <c r="A22011" i="1"/>
  <c r="C22011" i="1"/>
  <c r="N22011" i="1"/>
  <c r="A22012" i="1"/>
  <c r="C22012" i="1"/>
  <c r="K22012" i="1"/>
  <c r="N22012" i="1"/>
  <c r="A22013" i="1"/>
  <c r="C22013" i="1"/>
  <c r="N22013" i="1"/>
  <c r="A22014" i="1"/>
  <c r="C22014" i="1"/>
  <c r="N22014" i="1"/>
  <c r="A22015" i="1"/>
  <c r="C22015" i="1"/>
  <c r="K22015" i="1"/>
  <c r="N22015" i="1"/>
  <c r="A22016" i="1"/>
  <c r="C22016" i="1"/>
  <c r="N22016" i="1"/>
  <c r="A22017" i="1"/>
  <c r="C22017" i="1"/>
  <c r="N22017" i="1"/>
  <c r="A22018" i="1"/>
  <c r="C22018" i="1"/>
  <c r="N22018" i="1"/>
  <c r="A22019" i="1"/>
  <c r="C22019" i="1"/>
  <c r="N22019" i="1"/>
  <c r="A22020" i="1"/>
  <c r="C22020" i="1"/>
  <c r="N22020" i="1"/>
  <c r="A22021" i="1"/>
  <c r="C22021" i="1"/>
  <c r="N22021" i="1"/>
  <c r="A22022" i="1"/>
  <c r="C22022" i="1"/>
  <c r="N22022" i="1"/>
  <c r="A22023" i="1"/>
  <c r="C22023" i="1"/>
  <c r="N22023" i="1"/>
  <c r="A22024" i="1"/>
  <c r="C22024" i="1"/>
  <c r="N22024" i="1"/>
  <c r="A22025" i="1"/>
  <c r="C22025" i="1"/>
  <c r="N22025" i="1"/>
  <c r="A22026" i="1"/>
  <c r="C22026" i="1"/>
  <c r="N22026" i="1"/>
  <c r="A22027" i="1"/>
  <c r="C22027" i="1"/>
  <c r="N22027" i="1"/>
  <c r="A22028" i="1"/>
  <c r="C22028" i="1"/>
  <c r="N22028" i="1"/>
  <c r="A22029" i="1"/>
  <c r="C22029" i="1"/>
  <c r="N22029" i="1"/>
  <c r="A22030" i="1"/>
  <c r="C22030" i="1"/>
  <c r="N22030" i="1"/>
  <c r="A22031" i="1"/>
  <c r="C22031" i="1"/>
  <c r="N22031" i="1"/>
  <c r="A22032" i="1"/>
  <c r="C22032" i="1"/>
  <c r="K22032" i="1"/>
  <c r="N22032" i="1"/>
  <c r="A22033" i="1"/>
  <c r="C22033" i="1"/>
  <c r="N22033" i="1"/>
  <c r="A22034" i="1"/>
  <c r="C22034" i="1"/>
  <c r="N22034" i="1"/>
  <c r="A22035" i="1"/>
  <c r="C22035" i="1"/>
  <c r="N22035" i="1"/>
  <c r="A22036" i="1"/>
  <c r="C22036" i="1"/>
  <c r="N22036" i="1"/>
  <c r="A22037" i="1"/>
  <c r="C22037" i="1"/>
  <c r="N22037" i="1"/>
  <c r="A22038" i="1"/>
  <c r="C22038" i="1"/>
  <c r="N22038" i="1"/>
  <c r="A22039" i="1"/>
  <c r="C22039" i="1"/>
  <c r="N22039" i="1"/>
  <c r="A22040" i="1"/>
  <c r="C22040" i="1"/>
  <c r="N22040" i="1"/>
  <c r="A22041" i="1"/>
  <c r="C22041" i="1"/>
  <c r="N22041" i="1"/>
  <c r="A22042" i="1"/>
  <c r="C22042" i="1"/>
  <c r="N22042" i="1"/>
  <c r="A22043" i="1"/>
  <c r="C22043" i="1"/>
  <c r="N22043" i="1"/>
  <c r="A22044" i="1"/>
  <c r="C22044" i="1"/>
  <c r="K22044" i="1"/>
  <c r="N22044" i="1"/>
  <c r="A22045" i="1"/>
  <c r="C22045" i="1"/>
  <c r="K22045" i="1"/>
  <c r="N22045" i="1"/>
  <c r="A22046" i="1"/>
  <c r="C22046" i="1"/>
  <c r="K22046" i="1"/>
  <c r="N22046" i="1"/>
  <c r="A22047" i="1"/>
  <c r="C22047" i="1"/>
  <c r="K22047" i="1"/>
  <c r="N22047" i="1"/>
  <c r="A22048" i="1"/>
  <c r="C22048" i="1"/>
  <c r="N22048" i="1"/>
  <c r="A22049" i="1"/>
  <c r="C22049" i="1"/>
  <c r="N22049" i="1"/>
  <c r="A22050" i="1"/>
  <c r="C22050" i="1"/>
  <c r="N22050" i="1"/>
  <c r="A22051" i="1"/>
  <c r="C22051" i="1"/>
  <c r="K22051" i="1"/>
  <c r="N22051" i="1"/>
  <c r="A22052" i="1"/>
  <c r="C22052" i="1"/>
  <c r="K22052" i="1"/>
  <c r="N22052" i="1"/>
  <c r="A22053" i="1"/>
  <c r="C22053" i="1"/>
  <c r="N22053" i="1"/>
  <c r="A22054" i="1"/>
  <c r="C22054" i="1"/>
  <c r="N22054" i="1"/>
  <c r="A22055" i="1"/>
  <c r="C22055" i="1"/>
  <c r="K22055" i="1"/>
  <c r="N22055" i="1"/>
  <c r="A22056" i="1"/>
  <c r="C22056" i="1"/>
  <c r="N22056" i="1"/>
  <c r="A22057" i="1"/>
  <c r="C22057" i="1"/>
  <c r="N22057" i="1"/>
  <c r="A22058" i="1"/>
  <c r="C22058" i="1"/>
  <c r="K22058" i="1"/>
  <c r="N22058" i="1"/>
  <c r="A22059" i="1"/>
  <c r="C22059" i="1"/>
  <c r="N22059" i="1"/>
  <c r="A22060" i="1"/>
  <c r="C22060" i="1"/>
  <c r="N22060" i="1"/>
  <c r="A22061" i="1"/>
  <c r="C22061" i="1"/>
  <c r="N22061" i="1"/>
  <c r="A22062" i="1"/>
  <c r="C22062" i="1"/>
  <c r="N22062" i="1"/>
  <c r="A22063" i="1"/>
  <c r="C22063" i="1"/>
  <c r="N22063" i="1"/>
  <c r="A22064" i="1"/>
  <c r="C22064" i="1"/>
  <c r="N22064" i="1"/>
  <c r="A22065" i="1"/>
  <c r="C22065" i="1"/>
  <c r="N22065" i="1"/>
  <c r="A22066" i="1"/>
  <c r="C22066" i="1"/>
  <c r="N22066" i="1"/>
  <c r="A22067" i="1"/>
  <c r="C22067" i="1"/>
  <c r="N22067" i="1"/>
  <c r="A22068" i="1"/>
  <c r="C22068" i="1"/>
  <c r="N22068" i="1"/>
  <c r="A22069" i="1"/>
  <c r="C22069" i="1"/>
  <c r="N22069" i="1"/>
  <c r="A22070" i="1"/>
  <c r="C22070" i="1"/>
  <c r="N22070" i="1"/>
  <c r="A22071" i="1"/>
  <c r="C22071" i="1"/>
  <c r="N22071" i="1"/>
  <c r="A22072" i="1"/>
  <c r="C22072" i="1"/>
  <c r="N22072" i="1"/>
  <c r="A22073" i="1"/>
  <c r="C22073" i="1"/>
  <c r="N22073" i="1"/>
  <c r="A22074" i="1"/>
  <c r="C22074" i="1"/>
  <c r="N22074" i="1"/>
  <c r="A22075" i="1"/>
  <c r="C22075" i="1"/>
  <c r="N22075" i="1"/>
  <c r="A22076" i="1"/>
  <c r="C22076" i="1"/>
  <c r="N22076" i="1"/>
  <c r="A22077" i="1"/>
  <c r="C22077" i="1"/>
  <c r="F22077" i="1"/>
  <c r="N22077" i="1"/>
  <c r="A22078" i="1"/>
  <c r="C22078" i="1"/>
  <c r="K22078" i="1"/>
  <c r="N22078" i="1"/>
  <c r="A22079" i="1"/>
  <c r="C22079" i="1"/>
  <c r="N22079" i="1"/>
  <c r="A22080" i="1"/>
  <c r="C22080" i="1"/>
  <c r="N22080" i="1"/>
  <c r="A22081" i="1"/>
  <c r="C22081" i="1"/>
  <c r="N22081" i="1"/>
  <c r="A22082" i="1"/>
  <c r="C22082" i="1"/>
  <c r="N22082" i="1"/>
  <c r="A22083" i="1"/>
  <c r="C22083" i="1"/>
  <c r="D22083" i="1"/>
  <c r="N22083" i="1"/>
  <c r="O22083" i="1"/>
  <c r="A22084" i="1"/>
  <c r="C22084" i="1"/>
  <c r="N22084" i="1"/>
  <c r="A22085" i="1"/>
  <c r="C22085" i="1"/>
  <c r="N22085" i="1"/>
  <c r="A22086" i="1"/>
  <c r="C22086" i="1"/>
  <c r="N22086" i="1"/>
  <c r="A22087" i="1"/>
  <c r="C22087" i="1"/>
  <c r="N22087" i="1"/>
  <c r="A22088" i="1"/>
  <c r="C22088" i="1"/>
  <c r="N22088" i="1"/>
  <c r="A22089" i="1"/>
  <c r="C22089" i="1"/>
  <c r="N22089" i="1"/>
  <c r="A22090" i="1"/>
  <c r="C22090" i="1"/>
  <c r="K22090" i="1"/>
  <c r="N22090" i="1"/>
  <c r="A22091" i="1"/>
  <c r="C22091" i="1"/>
  <c r="N22091" i="1"/>
  <c r="A22092" i="1"/>
  <c r="C22092" i="1"/>
  <c r="N22092" i="1"/>
  <c r="A22093" i="1"/>
  <c r="C22093" i="1"/>
  <c r="K22093" i="1"/>
  <c r="N22093" i="1"/>
  <c r="A22094" i="1"/>
  <c r="C22094" i="1"/>
  <c r="K22094" i="1"/>
  <c r="N22094" i="1"/>
  <c r="A22095" i="1"/>
  <c r="C22095" i="1"/>
  <c r="N22095" i="1"/>
  <c r="A22096" i="1"/>
  <c r="C22096" i="1"/>
  <c r="N22096" i="1"/>
  <c r="A22097" i="1"/>
  <c r="C22097" i="1"/>
  <c r="E22097" i="1"/>
  <c r="N22097" i="1"/>
  <c r="T22097" i="1"/>
  <c r="A22098" i="1"/>
  <c r="C22098" i="1"/>
  <c r="N22098" i="1"/>
  <c r="A22099" i="1"/>
  <c r="C22099" i="1"/>
  <c r="N22099" i="1"/>
  <c r="A22100" i="1"/>
  <c r="C22100" i="1"/>
  <c r="N22100" i="1"/>
  <c r="A22101" i="1"/>
  <c r="C22101" i="1"/>
  <c r="N22101" i="1"/>
  <c r="A22102" i="1"/>
  <c r="C22102" i="1"/>
  <c r="N22102" i="1"/>
  <c r="A22103" i="1"/>
  <c r="C22103" i="1"/>
  <c r="N22103" i="1"/>
  <c r="A22104" i="1"/>
  <c r="C22104" i="1"/>
  <c r="N22104" i="1"/>
  <c r="A22105" i="1"/>
  <c r="C22105" i="1"/>
  <c r="N22105" i="1"/>
  <c r="A22106" i="1"/>
  <c r="C22106" i="1"/>
  <c r="N22106" i="1"/>
  <c r="A22107" i="1"/>
  <c r="C22107" i="1"/>
  <c r="N22107" i="1"/>
  <c r="A22108" i="1"/>
  <c r="C22108" i="1"/>
  <c r="N22108" i="1"/>
  <c r="A22109" i="1"/>
  <c r="C22109" i="1"/>
  <c r="N22109" i="1"/>
  <c r="A22110" i="1"/>
  <c r="C22110" i="1"/>
  <c r="N22110" i="1"/>
  <c r="A22111" i="1"/>
  <c r="C22111" i="1"/>
  <c r="N22111" i="1"/>
  <c r="A22112" i="1"/>
  <c r="C22112" i="1"/>
  <c r="N22112" i="1"/>
  <c r="A22113" i="1"/>
  <c r="C22113" i="1"/>
  <c r="N22113" i="1"/>
  <c r="A22114" i="1"/>
  <c r="C22114" i="1"/>
  <c r="N22114" i="1"/>
  <c r="A22115" i="1"/>
  <c r="C22115" i="1"/>
  <c r="N22115" i="1"/>
  <c r="A22116" i="1"/>
  <c r="C22116" i="1"/>
  <c r="N22116" i="1"/>
  <c r="A22117" i="1"/>
  <c r="C22117" i="1"/>
  <c r="N22117" i="1"/>
  <c r="A22118" i="1"/>
  <c r="C22118" i="1"/>
  <c r="N22118" i="1"/>
  <c r="A22119" i="1"/>
  <c r="C22119" i="1"/>
  <c r="N22119" i="1"/>
  <c r="A22120" i="1"/>
  <c r="C22120" i="1"/>
  <c r="N22120" i="1"/>
  <c r="A22121" i="1"/>
  <c r="C22121" i="1"/>
  <c r="N22121" i="1"/>
  <c r="A22122" i="1"/>
  <c r="C22122" i="1"/>
  <c r="K22122" i="1"/>
  <c r="N22122" i="1"/>
  <c r="A22123" i="1"/>
  <c r="C22123" i="1"/>
  <c r="N22123" i="1"/>
  <c r="A22124" i="1"/>
  <c r="C22124" i="1"/>
  <c r="N22124" i="1"/>
  <c r="A22125" i="1"/>
  <c r="C22125" i="1"/>
  <c r="N22125" i="1"/>
  <c r="A22126" i="1"/>
  <c r="C22126" i="1"/>
  <c r="N22126" i="1"/>
  <c r="A22127" i="1"/>
  <c r="C22127" i="1"/>
  <c r="N22127" i="1"/>
  <c r="A22128" i="1"/>
  <c r="C22128" i="1"/>
  <c r="N22128" i="1"/>
  <c r="A22129" i="1"/>
  <c r="C22129" i="1"/>
  <c r="N22129" i="1"/>
  <c r="A22130" i="1"/>
  <c r="C22130" i="1"/>
  <c r="K22130" i="1"/>
  <c r="N22130" i="1"/>
  <c r="A22131" i="1"/>
  <c r="C22131" i="1"/>
  <c r="N22131" i="1"/>
  <c r="A22132" i="1"/>
  <c r="C22132" i="1"/>
  <c r="N22132" i="1"/>
  <c r="A22133" i="1"/>
  <c r="C22133" i="1"/>
  <c r="K22133" i="1"/>
  <c r="N22133" i="1"/>
  <c r="A22134" i="1"/>
  <c r="C22134" i="1"/>
  <c r="N22134" i="1"/>
  <c r="A22135" i="1"/>
  <c r="C22135" i="1"/>
  <c r="N22135" i="1"/>
  <c r="A22136" i="1"/>
  <c r="C22136" i="1"/>
  <c r="N22136" i="1"/>
  <c r="A22137" i="1"/>
  <c r="C22137" i="1"/>
  <c r="N22137" i="1"/>
  <c r="A22138" i="1"/>
  <c r="C22138" i="1"/>
  <c r="N22138" i="1"/>
  <c r="A22139" i="1"/>
  <c r="C22139" i="1"/>
  <c r="N22139" i="1"/>
  <c r="A22140" i="1"/>
  <c r="C22140" i="1"/>
  <c r="N22140" i="1"/>
  <c r="A22141" i="1"/>
  <c r="C22141" i="1"/>
  <c r="N22141" i="1"/>
  <c r="A22142" i="1"/>
  <c r="C22142" i="1"/>
  <c r="N22142" i="1"/>
  <c r="A22143" i="1"/>
  <c r="C22143" i="1"/>
  <c r="K22143" i="1"/>
  <c r="N22143" i="1"/>
  <c r="A22144" i="1"/>
  <c r="C22144" i="1"/>
  <c r="N22144" i="1"/>
  <c r="A22145" i="1"/>
  <c r="C22145" i="1"/>
  <c r="N22145" i="1"/>
  <c r="A22146" i="1"/>
  <c r="C22146" i="1"/>
  <c r="K22146" i="1"/>
  <c r="N22146" i="1"/>
  <c r="A22147" i="1"/>
  <c r="C22147" i="1"/>
  <c r="N22147" i="1"/>
  <c r="A22148" i="1"/>
  <c r="C22148" i="1"/>
  <c r="N22148" i="1"/>
  <c r="A22149" i="1"/>
  <c r="C22149" i="1"/>
  <c r="N22149" i="1"/>
  <c r="A22150" i="1"/>
  <c r="C22150" i="1"/>
  <c r="N22150" i="1"/>
  <c r="A22151" i="1"/>
  <c r="C22151" i="1"/>
  <c r="N22151" i="1"/>
  <c r="A22152" i="1"/>
  <c r="C22152" i="1"/>
  <c r="N22152" i="1"/>
  <c r="A22153" i="1"/>
  <c r="C22153" i="1"/>
  <c r="N22153" i="1"/>
  <c r="A22154" i="1"/>
  <c r="C22154" i="1"/>
  <c r="N22154" i="1"/>
  <c r="A22155" i="1"/>
  <c r="C22155" i="1"/>
  <c r="K22155" i="1"/>
  <c r="N22155" i="1"/>
  <c r="A22156" i="1"/>
  <c r="C22156" i="1"/>
  <c r="N22156" i="1"/>
  <c r="A22157" i="1"/>
  <c r="C22157" i="1"/>
  <c r="N22157" i="1"/>
  <c r="A22158" i="1"/>
  <c r="C22158" i="1"/>
  <c r="N22158" i="1"/>
  <c r="A22159" i="1"/>
  <c r="C22159" i="1"/>
  <c r="N22159" i="1"/>
  <c r="A22160" i="1"/>
  <c r="C22160" i="1"/>
  <c r="N22160" i="1"/>
  <c r="A22161" i="1"/>
  <c r="C22161" i="1"/>
  <c r="K22161" i="1"/>
  <c r="N22161" i="1"/>
  <c r="A22162" i="1"/>
  <c r="C22162" i="1"/>
  <c r="N22162" i="1"/>
  <c r="A22163" i="1"/>
  <c r="C22163" i="1"/>
  <c r="K22163" i="1"/>
  <c r="N22163" i="1"/>
  <c r="A22164" i="1"/>
  <c r="C22164" i="1"/>
  <c r="N22164" i="1"/>
  <c r="A22165" i="1"/>
  <c r="C22165" i="1"/>
  <c r="N22165" i="1"/>
  <c r="A22166" i="1"/>
  <c r="C22166" i="1"/>
  <c r="N22166" i="1"/>
  <c r="A22167" i="1"/>
  <c r="C22167" i="1"/>
  <c r="N22167" i="1"/>
  <c r="A22168" i="1"/>
  <c r="C22168" i="1"/>
  <c r="K22168" i="1"/>
  <c r="N22168" i="1"/>
  <c r="A22169" i="1"/>
  <c r="C22169" i="1"/>
  <c r="N22169" i="1"/>
  <c r="A22170" i="1"/>
  <c r="C22170" i="1"/>
  <c r="N22170" i="1"/>
  <c r="A22171" i="1"/>
  <c r="C22171" i="1"/>
  <c r="N22171" i="1"/>
  <c r="A22172" i="1"/>
  <c r="C22172" i="1"/>
  <c r="N22172" i="1"/>
  <c r="A22173" i="1"/>
  <c r="C22173" i="1"/>
  <c r="K22173" i="1"/>
  <c r="N22173" i="1"/>
  <c r="A22174" i="1"/>
  <c r="C22174" i="1"/>
  <c r="K22174" i="1"/>
  <c r="N22174" i="1"/>
  <c r="A22175" i="1"/>
  <c r="C22175" i="1"/>
  <c r="K22175" i="1"/>
  <c r="N22175" i="1"/>
  <c r="A22176" i="1"/>
  <c r="C22176" i="1"/>
  <c r="N22176" i="1"/>
  <c r="A22177" i="1"/>
  <c r="C22177" i="1"/>
  <c r="N22177" i="1"/>
  <c r="A22178" i="1"/>
  <c r="C22178" i="1"/>
  <c r="N22178" i="1"/>
  <c r="A22179" i="1"/>
  <c r="C22179" i="1"/>
  <c r="N22179" i="1"/>
  <c r="A22180" i="1"/>
  <c r="C22180" i="1"/>
  <c r="N22180" i="1"/>
  <c r="A22181" i="1"/>
  <c r="C22181" i="1"/>
  <c r="N22181" i="1"/>
  <c r="A22182" i="1"/>
  <c r="C22182" i="1"/>
  <c r="N22182" i="1"/>
  <c r="A22183" i="1"/>
  <c r="C22183" i="1"/>
  <c r="N22183" i="1"/>
  <c r="A22184" i="1"/>
  <c r="C22184" i="1"/>
  <c r="K22184" i="1"/>
  <c r="N22184" i="1"/>
  <c r="A22185" i="1"/>
  <c r="C22185" i="1"/>
  <c r="N22185" i="1"/>
  <c r="A22186" i="1"/>
  <c r="C22186" i="1"/>
  <c r="K22186" i="1"/>
  <c r="N22186" i="1"/>
  <c r="A22187" i="1"/>
  <c r="C22187" i="1"/>
  <c r="K22187" i="1"/>
  <c r="N22187" i="1"/>
  <c r="A22188" i="1"/>
  <c r="C22188" i="1"/>
  <c r="N22188" i="1"/>
  <c r="A22189" i="1"/>
  <c r="C22189" i="1"/>
  <c r="N22189" i="1"/>
  <c r="A22190" i="1"/>
  <c r="C22190" i="1"/>
  <c r="N22190" i="1"/>
  <c r="A22191" i="1"/>
  <c r="C22191" i="1"/>
  <c r="N22191" i="1"/>
  <c r="A22192" i="1"/>
  <c r="C22192" i="1"/>
  <c r="N22192" i="1"/>
  <c r="A22193" i="1"/>
  <c r="C22193" i="1"/>
  <c r="N22193" i="1"/>
  <c r="A22194" i="1"/>
  <c r="C22194" i="1"/>
  <c r="N22194" i="1"/>
  <c r="A22195" i="1"/>
  <c r="C22195" i="1"/>
  <c r="N22195" i="1"/>
  <c r="A22196" i="1"/>
  <c r="C22196" i="1"/>
  <c r="F22196" i="1"/>
  <c r="N22196" i="1"/>
  <c r="A22197" i="1"/>
  <c r="C22197" i="1"/>
  <c r="K22197" i="1"/>
  <c r="N22197" i="1"/>
  <c r="A22198" i="1"/>
  <c r="C22198" i="1"/>
  <c r="N22198" i="1"/>
  <c r="A22199" i="1"/>
  <c r="C22199" i="1"/>
  <c r="N22199" i="1"/>
  <c r="A22200" i="1"/>
  <c r="C22200" i="1"/>
  <c r="N22200" i="1"/>
  <c r="A22201" i="1"/>
  <c r="C22201" i="1"/>
  <c r="N22201" i="1"/>
  <c r="A22202" i="1"/>
  <c r="C22202" i="1"/>
  <c r="N22202" i="1"/>
  <c r="A22203" i="1"/>
  <c r="C22203" i="1"/>
  <c r="N22203" i="1"/>
  <c r="A22204" i="1"/>
  <c r="C22204" i="1"/>
  <c r="N22204" i="1"/>
  <c r="A22205" i="1"/>
  <c r="C22205" i="1"/>
  <c r="N22205" i="1"/>
  <c r="A22206" i="1"/>
  <c r="C22206" i="1"/>
  <c r="N22206" i="1"/>
  <c r="A22207" i="1"/>
  <c r="C22207" i="1"/>
  <c r="N22207" i="1"/>
  <c r="A22208" i="1"/>
  <c r="C22208" i="1"/>
  <c r="N22208" i="1"/>
  <c r="A22209" i="1"/>
  <c r="C22209" i="1"/>
  <c r="N22209" i="1"/>
  <c r="A22210" i="1"/>
  <c r="C22210" i="1"/>
  <c r="N22210" i="1"/>
  <c r="A22211" i="1"/>
  <c r="C22211" i="1"/>
  <c r="N22211" i="1"/>
  <c r="A22212" i="1"/>
  <c r="C22212" i="1"/>
  <c r="N22212" i="1"/>
  <c r="A22213" i="1"/>
  <c r="C22213" i="1"/>
  <c r="F22213" i="1"/>
  <c r="N22213" i="1"/>
  <c r="A22214" i="1"/>
  <c r="C22214" i="1"/>
  <c r="F22214" i="1"/>
  <c r="N22214" i="1"/>
  <c r="A22215" i="1"/>
  <c r="C22215" i="1"/>
  <c r="N22215" i="1"/>
  <c r="A22216" i="1"/>
  <c r="C22216" i="1"/>
  <c r="N22216" i="1"/>
  <c r="A22217" i="1"/>
  <c r="C22217" i="1"/>
  <c r="N22217" i="1"/>
  <c r="A22218" i="1"/>
  <c r="C22218" i="1"/>
  <c r="N22218" i="1"/>
  <c r="A22219" i="1"/>
  <c r="C22219" i="1"/>
  <c r="N22219" i="1"/>
  <c r="A22220" i="1"/>
  <c r="C22220" i="1"/>
  <c r="N22220" i="1"/>
  <c r="A22221" i="1"/>
  <c r="C22221" i="1"/>
  <c r="N22221" i="1"/>
  <c r="A22222" i="1"/>
  <c r="C22222" i="1"/>
  <c r="N22222" i="1"/>
  <c r="A22223" i="1"/>
  <c r="C22223" i="1"/>
  <c r="N22223" i="1"/>
  <c r="A22224" i="1"/>
  <c r="C22224" i="1"/>
  <c r="N22224" i="1"/>
  <c r="A22225" i="1"/>
  <c r="C22225" i="1"/>
  <c r="N22225" i="1"/>
  <c r="A22226" i="1"/>
  <c r="C22226" i="1"/>
  <c r="K22226" i="1"/>
  <c r="N22226" i="1"/>
  <c r="A22227" i="1"/>
  <c r="C22227" i="1"/>
  <c r="N22227" i="1"/>
  <c r="A22228" i="1"/>
  <c r="C22228" i="1"/>
  <c r="N22228" i="1"/>
  <c r="A22229" i="1"/>
  <c r="C22229" i="1"/>
  <c r="N22229" i="1"/>
  <c r="A22230" i="1"/>
  <c r="C22230" i="1"/>
  <c r="N22230" i="1"/>
  <c r="A22231" i="1"/>
  <c r="C22231" i="1"/>
  <c r="N22231" i="1"/>
  <c r="A22232" i="1"/>
  <c r="C22232" i="1"/>
  <c r="N22232" i="1"/>
  <c r="A22233" i="1"/>
  <c r="C22233" i="1"/>
  <c r="N22233" i="1"/>
  <c r="A22234" i="1"/>
  <c r="C22234" i="1"/>
  <c r="N22234" i="1"/>
  <c r="A22235" i="1"/>
  <c r="C22235" i="1"/>
  <c r="N22235" i="1"/>
  <c r="A22236" i="1"/>
  <c r="C22236" i="1"/>
  <c r="N22236" i="1"/>
  <c r="A22237" i="1"/>
  <c r="C22237" i="1"/>
  <c r="F22237" i="1"/>
  <c r="N22237" i="1"/>
  <c r="A22238" i="1"/>
  <c r="C22238" i="1"/>
  <c r="N22238" i="1"/>
  <c r="A22239" i="1"/>
  <c r="C22239" i="1"/>
  <c r="N22239" i="1"/>
  <c r="A22240" i="1"/>
  <c r="C22240" i="1"/>
  <c r="N22240" i="1"/>
  <c r="A22241" i="1"/>
  <c r="C22241" i="1"/>
  <c r="N22241" i="1"/>
  <c r="A22242" i="1"/>
  <c r="C22242" i="1"/>
  <c r="K22242" i="1"/>
  <c r="N22242" i="1"/>
  <c r="A22243" i="1"/>
  <c r="C22243" i="1"/>
  <c r="N22243" i="1"/>
  <c r="A22244" i="1"/>
  <c r="C22244" i="1"/>
  <c r="N22244" i="1"/>
  <c r="A22245" i="1"/>
  <c r="C22245" i="1"/>
  <c r="F22245" i="1"/>
  <c r="N22245" i="1"/>
  <c r="A22246" i="1"/>
  <c r="C22246" i="1"/>
  <c r="N22246" i="1"/>
  <c r="A22247" i="1"/>
  <c r="C22247" i="1"/>
  <c r="N22247" i="1"/>
  <c r="A22248" i="1"/>
  <c r="C22248" i="1"/>
  <c r="N22248" i="1"/>
  <c r="A22249" i="1"/>
  <c r="C22249" i="1"/>
  <c r="N22249" i="1"/>
  <c r="A22250" i="1"/>
  <c r="C22250" i="1"/>
  <c r="N22250" i="1"/>
  <c r="A22251" i="1"/>
  <c r="C22251" i="1"/>
  <c r="N22251" i="1"/>
  <c r="A22252" i="1"/>
  <c r="C22252" i="1"/>
  <c r="N22252" i="1"/>
  <c r="A22253" i="1"/>
  <c r="C22253" i="1"/>
  <c r="N22253" i="1"/>
  <c r="A22254" i="1"/>
  <c r="C22254" i="1"/>
  <c r="K22254" i="1"/>
  <c r="N22254" i="1"/>
  <c r="A22255" i="1"/>
  <c r="C22255" i="1"/>
  <c r="N22255" i="1"/>
  <c r="A22256" i="1"/>
  <c r="C22256" i="1"/>
  <c r="N22256" i="1"/>
  <c r="A22257" i="1"/>
  <c r="C22257" i="1"/>
  <c r="N22257" i="1"/>
  <c r="A22258" i="1"/>
  <c r="C22258" i="1"/>
  <c r="N22258" i="1"/>
  <c r="A22259" i="1"/>
  <c r="C22259" i="1"/>
  <c r="N22259" i="1"/>
  <c r="A22260" i="1"/>
  <c r="C22260" i="1"/>
  <c r="N22260" i="1"/>
  <c r="A22261" i="1"/>
  <c r="C22261" i="1"/>
  <c r="N22261" i="1"/>
  <c r="A22262" i="1"/>
  <c r="C22262" i="1"/>
  <c r="N22262" i="1"/>
  <c r="A22263" i="1"/>
  <c r="C22263" i="1"/>
  <c r="N22263" i="1"/>
  <c r="A22264" i="1"/>
  <c r="C22264" i="1"/>
  <c r="N22264" i="1"/>
  <c r="A22265" i="1"/>
  <c r="C22265" i="1"/>
  <c r="N22265" i="1"/>
  <c r="A22266" i="1"/>
  <c r="C22266" i="1"/>
  <c r="N22266" i="1"/>
  <c r="A22267" i="1"/>
  <c r="C22267" i="1"/>
  <c r="N22267" i="1"/>
  <c r="A22268" i="1"/>
  <c r="C22268" i="1"/>
  <c r="N22268" i="1"/>
  <c r="A22269" i="1"/>
  <c r="C22269" i="1"/>
  <c r="F22269" i="1"/>
  <c r="N22269" i="1"/>
  <c r="A22270" i="1"/>
  <c r="C22270" i="1"/>
  <c r="N22270" i="1"/>
  <c r="A22271" i="1"/>
  <c r="C22271" i="1"/>
  <c r="N22271" i="1"/>
  <c r="A22272" i="1"/>
  <c r="C22272" i="1"/>
  <c r="F22272" i="1"/>
  <c r="K22272" i="1"/>
  <c r="N22272" i="1"/>
  <c r="A22273" i="1"/>
  <c r="C22273" i="1"/>
  <c r="N22273" i="1"/>
  <c r="A22274" i="1"/>
  <c r="C22274" i="1"/>
  <c r="N22274" i="1"/>
  <c r="A22275" i="1"/>
  <c r="C22275" i="1"/>
  <c r="N22275" i="1"/>
  <c r="A22276" i="1"/>
  <c r="C22276" i="1"/>
  <c r="K22276" i="1"/>
  <c r="N22276" i="1"/>
  <c r="A22277" i="1"/>
  <c r="C22277" i="1"/>
  <c r="N22277" i="1"/>
  <c r="A22278" i="1"/>
  <c r="C22278" i="1"/>
  <c r="N22278" i="1"/>
  <c r="A22279" i="1"/>
  <c r="C22279" i="1"/>
  <c r="N22279" i="1"/>
  <c r="A22280" i="1"/>
  <c r="C22280" i="1"/>
  <c r="N22280" i="1"/>
  <c r="A22281" i="1"/>
  <c r="C22281" i="1"/>
  <c r="K22281" i="1"/>
  <c r="N22281" i="1"/>
  <c r="A22282" i="1"/>
  <c r="C22282" i="1"/>
  <c r="K22282" i="1"/>
  <c r="N22282" i="1"/>
  <c r="A22283" i="1"/>
  <c r="C22283" i="1"/>
  <c r="N22283" i="1"/>
  <c r="A22284" i="1"/>
  <c r="C22284" i="1"/>
  <c r="D22284" i="1"/>
  <c r="E22284" i="1"/>
  <c r="N22284" i="1"/>
  <c r="O22284" i="1"/>
  <c r="T22284" i="1"/>
  <c r="A22285" i="1"/>
  <c r="C22285" i="1"/>
  <c r="N22285" i="1"/>
  <c r="A22286" i="1"/>
  <c r="C22286" i="1"/>
  <c r="N22286" i="1"/>
  <c r="A22287" i="1"/>
  <c r="C22287" i="1"/>
  <c r="N22287" i="1"/>
  <c r="A22288" i="1"/>
  <c r="C22288" i="1"/>
  <c r="N22288" i="1"/>
  <c r="A22289" i="1"/>
  <c r="C22289" i="1"/>
  <c r="N22289" i="1"/>
  <c r="A22290" i="1"/>
  <c r="C22290" i="1"/>
  <c r="N22290" i="1"/>
  <c r="A22291" i="1"/>
  <c r="C22291" i="1"/>
  <c r="N22291" i="1"/>
  <c r="A22292" i="1"/>
  <c r="C22292" i="1"/>
  <c r="N22292" i="1"/>
  <c r="A22293" i="1"/>
  <c r="C22293" i="1"/>
  <c r="N22293" i="1"/>
  <c r="A22294" i="1"/>
  <c r="C22294" i="1"/>
  <c r="N22294" i="1"/>
  <c r="A22295" i="1"/>
  <c r="C22295" i="1"/>
  <c r="D22295" i="1"/>
  <c r="N22295" i="1"/>
  <c r="O22295" i="1"/>
  <c r="A22296" i="1"/>
  <c r="C22296" i="1"/>
  <c r="N22296" i="1"/>
  <c r="A22297" i="1"/>
  <c r="C22297" i="1"/>
  <c r="N22297" i="1"/>
  <c r="A22298" i="1"/>
  <c r="C22298" i="1"/>
  <c r="N22298" i="1"/>
  <c r="A22299" i="1"/>
  <c r="C22299" i="1"/>
  <c r="N22299" i="1"/>
  <c r="A22300" i="1"/>
  <c r="C22300" i="1"/>
  <c r="N22300" i="1"/>
  <c r="A22301" i="1"/>
  <c r="C22301" i="1"/>
  <c r="K22301" i="1"/>
  <c r="N22301" i="1"/>
  <c r="A22302" i="1"/>
  <c r="C22302" i="1"/>
  <c r="K22302" i="1"/>
  <c r="N22302" i="1"/>
  <c r="A22303" i="1"/>
  <c r="C22303" i="1"/>
  <c r="D22303" i="1"/>
  <c r="N22303" i="1"/>
  <c r="O22303" i="1"/>
  <c r="A22304" i="1"/>
  <c r="C22304" i="1"/>
  <c r="N22304" i="1"/>
  <c r="A22305" i="1"/>
  <c r="C22305" i="1"/>
  <c r="K22305" i="1"/>
  <c r="N22305" i="1"/>
  <c r="A22306" i="1"/>
  <c r="C22306" i="1"/>
  <c r="K22306" i="1"/>
  <c r="N22306" i="1"/>
  <c r="A22307" i="1"/>
  <c r="C22307" i="1"/>
  <c r="N22307" i="1"/>
  <c r="A22308" i="1"/>
  <c r="C22308" i="1"/>
  <c r="N22308" i="1"/>
  <c r="A22309" i="1"/>
  <c r="C22309" i="1"/>
  <c r="N22309" i="1"/>
  <c r="A22310" i="1"/>
  <c r="C22310" i="1"/>
  <c r="K22310" i="1"/>
  <c r="N22310" i="1"/>
  <c r="A22311" i="1"/>
  <c r="C22311" i="1"/>
  <c r="K22311" i="1"/>
  <c r="N22311" i="1"/>
  <c r="A22312" i="1"/>
  <c r="C22312" i="1"/>
  <c r="N22312" i="1"/>
  <c r="A22313" i="1"/>
  <c r="C22313" i="1"/>
  <c r="N22313" i="1"/>
  <c r="A22314" i="1"/>
  <c r="C22314" i="1"/>
  <c r="K22314" i="1"/>
  <c r="N22314" i="1"/>
  <c r="A22315" i="1"/>
  <c r="C22315" i="1"/>
  <c r="N22315" i="1"/>
  <c r="A22316" i="1"/>
  <c r="C22316" i="1"/>
  <c r="N22316" i="1"/>
  <c r="A22317" i="1"/>
  <c r="C22317" i="1"/>
  <c r="N22317" i="1"/>
  <c r="A22318" i="1"/>
  <c r="C22318" i="1"/>
  <c r="N22318" i="1"/>
  <c r="A22319" i="1"/>
  <c r="C22319" i="1"/>
  <c r="K22319" i="1"/>
  <c r="N22319" i="1"/>
  <c r="A22320" i="1"/>
  <c r="C22320" i="1"/>
  <c r="N22320" i="1"/>
  <c r="A22321" i="1"/>
  <c r="C22321" i="1"/>
  <c r="N22321" i="1"/>
  <c r="A22322" i="1"/>
  <c r="C22322" i="1"/>
  <c r="N22322" i="1"/>
  <c r="A22323" i="1"/>
  <c r="C22323" i="1"/>
  <c r="N22323" i="1"/>
  <c r="A22324" i="1"/>
  <c r="C22324" i="1"/>
  <c r="N22324" i="1"/>
  <c r="A22325" i="1"/>
  <c r="C22325" i="1"/>
  <c r="F22325" i="1"/>
  <c r="N22325" i="1"/>
  <c r="A22326" i="1"/>
  <c r="C22326" i="1"/>
  <c r="F22326" i="1"/>
  <c r="N22326" i="1"/>
  <c r="A22327" i="1"/>
  <c r="C22327" i="1"/>
  <c r="D22327" i="1"/>
  <c r="E22327" i="1"/>
  <c r="N22327" i="1"/>
  <c r="O22327" i="1"/>
  <c r="T22327" i="1"/>
  <c r="A22328" i="1"/>
  <c r="C22328" i="1"/>
  <c r="D22328" i="1"/>
  <c r="E22328" i="1"/>
  <c r="N22328" i="1"/>
  <c r="O22328" i="1"/>
  <c r="T22328" i="1"/>
  <c r="A22329" i="1"/>
  <c r="C22329" i="1"/>
  <c r="N22329" i="1"/>
  <c r="A22330" i="1"/>
  <c r="C22330" i="1"/>
  <c r="N22330" i="1"/>
  <c r="A22331" i="1"/>
  <c r="C22331" i="1"/>
  <c r="K22331" i="1"/>
  <c r="N22331" i="1"/>
  <c r="A22332" i="1"/>
  <c r="C22332" i="1"/>
  <c r="N22332" i="1"/>
  <c r="A22333" i="1"/>
  <c r="C22333" i="1"/>
  <c r="N22333" i="1"/>
  <c r="A22334" i="1"/>
  <c r="C22334" i="1"/>
  <c r="N22334" i="1"/>
  <c r="A22335" i="1"/>
  <c r="C22335" i="1"/>
  <c r="N22335" i="1"/>
  <c r="A22336" i="1"/>
  <c r="C22336" i="1"/>
  <c r="N22336" i="1"/>
  <c r="A22337" i="1"/>
  <c r="C22337" i="1"/>
  <c r="K22337" i="1"/>
  <c r="N22337" i="1"/>
  <c r="A22338" i="1"/>
  <c r="C22338" i="1"/>
  <c r="N22338" i="1"/>
  <c r="A22339" i="1"/>
  <c r="C22339" i="1"/>
  <c r="N22339" i="1"/>
  <c r="A22340" i="1"/>
  <c r="C22340" i="1"/>
  <c r="N22340" i="1"/>
  <c r="A22341" i="1"/>
  <c r="C22341" i="1"/>
  <c r="N22341" i="1"/>
  <c r="A22342" i="1"/>
  <c r="C22342" i="1"/>
  <c r="N22342" i="1"/>
  <c r="A22343" i="1"/>
  <c r="C22343" i="1"/>
  <c r="K22343" i="1"/>
  <c r="N22343" i="1"/>
  <c r="A22344" i="1"/>
  <c r="C22344" i="1"/>
  <c r="N22344" i="1"/>
  <c r="A22345" i="1"/>
  <c r="C22345" i="1"/>
  <c r="N22345" i="1"/>
  <c r="A22346" i="1"/>
  <c r="C22346" i="1"/>
  <c r="K22346" i="1"/>
  <c r="N22346" i="1"/>
  <c r="A22347" i="1"/>
  <c r="C22347" i="1"/>
  <c r="K22347" i="1"/>
  <c r="N22347" i="1"/>
  <c r="A22348" i="1"/>
  <c r="C22348" i="1"/>
  <c r="N22348" i="1"/>
  <c r="A22349" i="1"/>
  <c r="C22349" i="1"/>
  <c r="N22349" i="1"/>
  <c r="A22350" i="1"/>
  <c r="C22350" i="1"/>
  <c r="N22350" i="1"/>
  <c r="A22351" i="1"/>
  <c r="C22351" i="1"/>
  <c r="N22351" i="1"/>
  <c r="A22352" i="1"/>
  <c r="C22352" i="1"/>
  <c r="N22352" i="1"/>
  <c r="A22353" i="1"/>
  <c r="C22353" i="1"/>
  <c r="K22353" i="1"/>
  <c r="N22353" i="1"/>
  <c r="A22354" i="1"/>
  <c r="C22354" i="1"/>
  <c r="K22354" i="1"/>
  <c r="N22354" i="1"/>
  <c r="A22355" i="1"/>
  <c r="C22355" i="1"/>
  <c r="N22355" i="1"/>
  <c r="A22356" i="1"/>
  <c r="C22356" i="1"/>
  <c r="N22356" i="1"/>
  <c r="A22357" i="1"/>
  <c r="C22357" i="1"/>
  <c r="K22357" i="1"/>
  <c r="N22357" i="1"/>
  <c r="A22358" i="1"/>
  <c r="C22358" i="1"/>
  <c r="N22358" i="1"/>
  <c r="A22359" i="1"/>
  <c r="C22359" i="1"/>
  <c r="N22359" i="1"/>
  <c r="A22360" i="1"/>
  <c r="C22360" i="1"/>
  <c r="N22360" i="1"/>
  <c r="A22361" i="1"/>
  <c r="C22361" i="1"/>
  <c r="N22361" i="1"/>
  <c r="A22362" i="1"/>
  <c r="C22362" i="1"/>
  <c r="N22362" i="1"/>
  <c r="A22363" i="1"/>
  <c r="C22363" i="1"/>
  <c r="N22363" i="1"/>
  <c r="A22364" i="1"/>
  <c r="C22364" i="1"/>
  <c r="N22364" i="1"/>
  <c r="A22365" i="1"/>
  <c r="C22365" i="1"/>
  <c r="N22365" i="1"/>
  <c r="A22366" i="1"/>
  <c r="C22366" i="1"/>
  <c r="N22366" i="1"/>
  <c r="A22367" i="1"/>
  <c r="C22367" i="1"/>
  <c r="N22367" i="1"/>
  <c r="A22368" i="1"/>
  <c r="C22368" i="1"/>
  <c r="N22368" i="1"/>
  <c r="A22369" i="1"/>
  <c r="C22369" i="1"/>
  <c r="N22369" i="1"/>
  <c r="A22370" i="1"/>
  <c r="C22370" i="1"/>
  <c r="N22370" i="1"/>
  <c r="A22371" i="1"/>
  <c r="C22371" i="1"/>
  <c r="N22371" i="1"/>
  <c r="A22372" i="1"/>
  <c r="C22372" i="1"/>
  <c r="N22372" i="1"/>
  <c r="A22373" i="1"/>
  <c r="C22373" i="1"/>
  <c r="N22373" i="1"/>
  <c r="A22374" i="1"/>
  <c r="C22374" i="1"/>
  <c r="N22374" i="1"/>
  <c r="A22375" i="1"/>
  <c r="C22375" i="1"/>
  <c r="N22375" i="1"/>
  <c r="A22376" i="1"/>
  <c r="C22376" i="1"/>
  <c r="N22376" i="1"/>
  <c r="A22377" i="1"/>
  <c r="C22377" i="1"/>
  <c r="N22377" i="1"/>
  <c r="A22378" i="1"/>
  <c r="C22378" i="1"/>
  <c r="N22378" i="1"/>
  <c r="A22379" i="1"/>
  <c r="C22379" i="1"/>
  <c r="N22379" i="1"/>
  <c r="A22380" i="1"/>
  <c r="C22380" i="1"/>
  <c r="N22380" i="1"/>
  <c r="A22381" i="1"/>
  <c r="C22381" i="1"/>
  <c r="N22381" i="1"/>
  <c r="A22382" i="1"/>
  <c r="C22382" i="1"/>
  <c r="N22382" i="1"/>
  <c r="A22383" i="1"/>
  <c r="C22383" i="1"/>
  <c r="N22383" i="1"/>
  <c r="A22384" i="1"/>
  <c r="C22384" i="1"/>
  <c r="N22384" i="1"/>
  <c r="A22385" i="1"/>
  <c r="C22385" i="1"/>
  <c r="N22385" i="1"/>
  <c r="A22386" i="1"/>
  <c r="C22386" i="1"/>
  <c r="N22386" i="1"/>
  <c r="A22387" i="1"/>
  <c r="C22387" i="1"/>
  <c r="N22387" i="1"/>
  <c r="A22388" i="1"/>
  <c r="C22388" i="1"/>
  <c r="N22388" i="1"/>
  <c r="A22389" i="1"/>
  <c r="C22389" i="1"/>
  <c r="N22389" i="1"/>
  <c r="A22390" i="1"/>
  <c r="C22390" i="1"/>
  <c r="N22390" i="1"/>
  <c r="A22391" i="1"/>
  <c r="C22391" i="1"/>
  <c r="N22391" i="1"/>
  <c r="A22392" i="1"/>
  <c r="C22392" i="1"/>
  <c r="N22392" i="1"/>
  <c r="A22393" i="1"/>
  <c r="C22393" i="1"/>
  <c r="N22393" i="1"/>
  <c r="A22394" i="1"/>
  <c r="C22394" i="1"/>
  <c r="N22394" i="1"/>
  <c r="A22395" i="1"/>
  <c r="C22395" i="1"/>
  <c r="N22395" i="1"/>
  <c r="A22396" i="1"/>
  <c r="C22396" i="1"/>
  <c r="N22396" i="1"/>
  <c r="A22397" i="1"/>
  <c r="C22397" i="1"/>
  <c r="N22397" i="1"/>
  <c r="A22398" i="1"/>
  <c r="C22398" i="1"/>
  <c r="N22398" i="1"/>
  <c r="A22399" i="1"/>
  <c r="C22399" i="1"/>
  <c r="N22399" i="1"/>
  <c r="A22400" i="1"/>
  <c r="C22400" i="1"/>
  <c r="N22400" i="1"/>
  <c r="A22401" i="1"/>
  <c r="C22401" i="1"/>
  <c r="N22401" i="1"/>
  <c r="A22402" i="1"/>
  <c r="C22402" i="1"/>
  <c r="N22402" i="1"/>
  <c r="A22403" i="1"/>
  <c r="C22403" i="1"/>
  <c r="N22403" i="1"/>
  <c r="A22404" i="1"/>
  <c r="C22404" i="1"/>
  <c r="N22404" i="1"/>
  <c r="A22405" i="1"/>
  <c r="C22405" i="1"/>
  <c r="N22405" i="1"/>
  <c r="A22406" i="1"/>
  <c r="C22406" i="1"/>
  <c r="N22406" i="1"/>
  <c r="A22407" i="1"/>
  <c r="C22407" i="1"/>
  <c r="N22407" i="1"/>
  <c r="A22408" i="1"/>
  <c r="C22408" i="1"/>
  <c r="N22408" i="1"/>
  <c r="A22409" i="1"/>
  <c r="C22409" i="1"/>
  <c r="N22409" i="1"/>
  <c r="A22410" i="1"/>
  <c r="C22410" i="1"/>
  <c r="N22410" i="1"/>
  <c r="A22411" i="1"/>
  <c r="C22411" i="1"/>
  <c r="N22411" i="1"/>
  <c r="A22412" i="1"/>
  <c r="C22412" i="1"/>
  <c r="N22412" i="1"/>
  <c r="A22413" i="1"/>
  <c r="C22413" i="1"/>
  <c r="N22413" i="1"/>
  <c r="A22414" i="1"/>
  <c r="C22414" i="1"/>
  <c r="N22414" i="1"/>
  <c r="A22415" i="1"/>
  <c r="C22415" i="1"/>
  <c r="N22415" i="1"/>
  <c r="A22416" i="1"/>
  <c r="C22416" i="1"/>
  <c r="N22416" i="1"/>
  <c r="A22417" i="1"/>
  <c r="C22417" i="1"/>
  <c r="N22417" i="1"/>
  <c r="A22418" i="1"/>
  <c r="C22418" i="1"/>
  <c r="N22418" i="1"/>
  <c r="A22419" i="1"/>
  <c r="C22419" i="1"/>
  <c r="N22419" i="1"/>
  <c r="A22420" i="1"/>
  <c r="C22420" i="1"/>
  <c r="N22420" i="1"/>
  <c r="A22421" i="1"/>
  <c r="C22421" i="1"/>
  <c r="N22421" i="1"/>
  <c r="A22422" i="1"/>
  <c r="C22422" i="1"/>
  <c r="N22422" i="1"/>
  <c r="A22423" i="1"/>
  <c r="C22423" i="1"/>
  <c r="N22423" i="1"/>
  <c r="A22424" i="1"/>
  <c r="C22424" i="1"/>
  <c r="N22424" i="1"/>
  <c r="A22425" i="1"/>
  <c r="C22425" i="1"/>
  <c r="N22425" i="1"/>
  <c r="A22426" i="1"/>
  <c r="C22426" i="1"/>
  <c r="N22426" i="1"/>
  <c r="A22427" i="1"/>
  <c r="C22427" i="1"/>
  <c r="K22427" i="1"/>
  <c r="N22427" i="1"/>
  <c r="A22428" i="1"/>
  <c r="C22428" i="1"/>
  <c r="N22428" i="1"/>
  <c r="A22429" i="1"/>
  <c r="C22429" i="1"/>
  <c r="D22429" i="1"/>
  <c r="N22429" i="1"/>
  <c r="O22429" i="1"/>
  <c r="A22430" i="1"/>
  <c r="C22430" i="1"/>
  <c r="D22430" i="1"/>
  <c r="N22430" i="1"/>
  <c r="O22430" i="1"/>
  <c r="A22431" i="1"/>
  <c r="C22431" i="1"/>
  <c r="N22431" i="1"/>
  <c r="A22432" i="1"/>
  <c r="C22432" i="1"/>
  <c r="N22432" i="1"/>
  <c r="A22433" i="1"/>
  <c r="C22433" i="1"/>
  <c r="N22433" i="1"/>
  <c r="A22434" i="1"/>
  <c r="C22434" i="1"/>
  <c r="N22434" i="1"/>
  <c r="A22435" i="1"/>
  <c r="C22435" i="1"/>
  <c r="N22435" i="1"/>
  <c r="A22436" i="1"/>
  <c r="C22436" i="1"/>
  <c r="N22436" i="1"/>
  <c r="A22437" i="1"/>
  <c r="C22437" i="1"/>
  <c r="K22437" i="1"/>
  <c r="N22437" i="1"/>
  <c r="A22438" i="1"/>
  <c r="C22438" i="1"/>
  <c r="N22438" i="1"/>
  <c r="A22439" i="1"/>
  <c r="C22439" i="1"/>
  <c r="N22439" i="1"/>
  <c r="A22440" i="1"/>
  <c r="C22440" i="1"/>
  <c r="N22440" i="1"/>
  <c r="A22441" i="1"/>
  <c r="C22441" i="1"/>
  <c r="N22441" i="1"/>
  <c r="A22442" i="1"/>
  <c r="C22442" i="1"/>
  <c r="N22442" i="1"/>
  <c r="A22443" i="1"/>
  <c r="C22443" i="1"/>
  <c r="N22443" i="1"/>
  <c r="A22444" i="1"/>
  <c r="C22444" i="1"/>
  <c r="N22444" i="1"/>
  <c r="A22445" i="1"/>
  <c r="C22445" i="1"/>
  <c r="N22445" i="1"/>
  <c r="A22446" i="1"/>
  <c r="C22446" i="1"/>
  <c r="N22446" i="1"/>
  <c r="A22447" i="1"/>
  <c r="C22447" i="1"/>
  <c r="N22447" i="1"/>
  <c r="A22448" i="1"/>
  <c r="C22448" i="1"/>
  <c r="N22448" i="1"/>
  <c r="A22449" i="1"/>
  <c r="C22449" i="1"/>
  <c r="N22449" i="1"/>
  <c r="A22450" i="1"/>
  <c r="C22450" i="1"/>
  <c r="E22450" i="1"/>
  <c r="N22450" i="1"/>
  <c r="T22450" i="1"/>
  <c r="A22451" i="1"/>
  <c r="C22451" i="1"/>
  <c r="E22451" i="1"/>
  <c r="N22451" i="1"/>
  <c r="T22451" i="1"/>
  <c r="A22452" i="1"/>
  <c r="C22452" i="1"/>
  <c r="N22452" i="1"/>
  <c r="A22453" i="1"/>
  <c r="C22453" i="1"/>
  <c r="D22453" i="1"/>
  <c r="N22453" i="1"/>
  <c r="O22453" i="1"/>
  <c r="A22454" i="1"/>
  <c r="C22454" i="1"/>
  <c r="K22454" i="1"/>
  <c r="N22454" i="1"/>
  <c r="A22455" i="1"/>
  <c r="C22455" i="1"/>
  <c r="N22455" i="1"/>
  <c r="A22456" i="1"/>
  <c r="C22456" i="1"/>
  <c r="N22456" i="1"/>
  <c r="A22457" i="1"/>
  <c r="C22457" i="1"/>
  <c r="N22457" i="1"/>
  <c r="A22458" i="1"/>
  <c r="C22458" i="1"/>
  <c r="N22458" i="1"/>
  <c r="A22459" i="1"/>
  <c r="C22459" i="1"/>
  <c r="N22459" i="1"/>
  <c r="A22460" i="1"/>
  <c r="C22460" i="1"/>
  <c r="N22460" i="1"/>
  <c r="A22461" i="1"/>
  <c r="C22461" i="1"/>
  <c r="N22461" i="1"/>
  <c r="A22462" i="1"/>
  <c r="C22462" i="1"/>
  <c r="N22462" i="1"/>
  <c r="A22463" i="1"/>
  <c r="C22463" i="1"/>
  <c r="N22463" i="1"/>
  <c r="A22464" i="1"/>
  <c r="C22464" i="1"/>
  <c r="N22464" i="1"/>
  <c r="A22465" i="1"/>
  <c r="C22465" i="1"/>
  <c r="N22465" i="1"/>
  <c r="A22466" i="1"/>
  <c r="C22466" i="1"/>
  <c r="N22466" i="1"/>
  <c r="A22467" i="1"/>
  <c r="C22467" i="1"/>
  <c r="N22467" i="1"/>
  <c r="A22468" i="1"/>
  <c r="C22468" i="1"/>
  <c r="N22468" i="1"/>
  <c r="A22469" i="1"/>
  <c r="C22469" i="1"/>
  <c r="N22469" i="1"/>
  <c r="A22470" i="1"/>
  <c r="C22470" i="1"/>
  <c r="N22470" i="1"/>
  <c r="A22471" i="1"/>
  <c r="C22471" i="1"/>
  <c r="N22471" i="1"/>
  <c r="A22472" i="1"/>
  <c r="C22472" i="1"/>
  <c r="N22472" i="1"/>
  <c r="A22473" i="1"/>
  <c r="C22473" i="1"/>
  <c r="N22473" i="1"/>
  <c r="A22474" i="1"/>
  <c r="C22474" i="1"/>
  <c r="N22474" i="1"/>
  <c r="A22475" i="1"/>
  <c r="C22475" i="1"/>
  <c r="N22475" i="1"/>
  <c r="A22476" i="1"/>
  <c r="C22476" i="1"/>
  <c r="N22476" i="1"/>
  <c r="A22477" i="1"/>
  <c r="C22477" i="1"/>
  <c r="N22477" i="1"/>
  <c r="A22478" i="1"/>
  <c r="C22478" i="1"/>
  <c r="N22478" i="1"/>
  <c r="A22479" i="1"/>
  <c r="C22479" i="1"/>
  <c r="N22479" i="1"/>
  <c r="A22480" i="1"/>
  <c r="C22480" i="1"/>
  <c r="N22480" i="1"/>
  <c r="A22481" i="1"/>
  <c r="C22481" i="1"/>
  <c r="N22481" i="1"/>
  <c r="A22482" i="1"/>
  <c r="C22482" i="1"/>
  <c r="N22482" i="1"/>
  <c r="A22483" i="1"/>
  <c r="C22483" i="1"/>
  <c r="N22483" i="1"/>
  <c r="A22484" i="1"/>
  <c r="C22484" i="1"/>
  <c r="N22484" i="1"/>
  <c r="A22485" i="1"/>
  <c r="C22485" i="1"/>
  <c r="N22485" i="1"/>
  <c r="A22486" i="1"/>
  <c r="C22486" i="1"/>
  <c r="N22486" i="1"/>
  <c r="A22487" i="1"/>
  <c r="C22487" i="1"/>
  <c r="N22487" i="1"/>
  <c r="A22488" i="1"/>
  <c r="C22488" i="1"/>
  <c r="N22488" i="1"/>
  <c r="A22489" i="1"/>
  <c r="C22489" i="1"/>
  <c r="N22489" i="1"/>
  <c r="A22490" i="1"/>
  <c r="C22490" i="1"/>
  <c r="N22490" i="1"/>
  <c r="A22491" i="1"/>
  <c r="C22491" i="1"/>
  <c r="N22491" i="1"/>
  <c r="A22492" i="1"/>
  <c r="C22492" i="1"/>
  <c r="N22492" i="1"/>
  <c r="A22493" i="1"/>
  <c r="C22493" i="1"/>
  <c r="D22493" i="1"/>
  <c r="N22493" i="1"/>
  <c r="O22493" i="1"/>
  <c r="A22494" i="1"/>
  <c r="C22494" i="1"/>
  <c r="D22494" i="1"/>
  <c r="N22494" i="1"/>
  <c r="O22494" i="1"/>
  <c r="A22495" i="1"/>
  <c r="C22495" i="1"/>
  <c r="D22495" i="1"/>
  <c r="N22495" i="1"/>
  <c r="O22495" i="1"/>
  <c r="A22496" i="1"/>
  <c r="C22496" i="1"/>
  <c r="N22496" i="1"/>
  <c r="A22497" i="1"/>
  <c r="C22497" i="1"/>
  <c r="N22497" i="1"/>
  <c r="A22498" i="1"/>
  <c r="C22498" i="1"/>
  <c r="N22498" i="1"/>
  <c r="A22499" i="1"/>
  <c r="C22499" i="1"/>
  <c r="N22499" i="1"/>
  <c r="A22500" i="1"/>
  <c r="C22500" i="1"/>
  <c r="N22500" i="1"/>
  <c r="A22501" i="1"/>
  <c r="C22501" i="1"/>
  <c r="N22501" i="1"/>
  <c r="A22502" i="1"/>
  <c r="C22502" i="1"/>
  <c r="N22502" i="1"/>
  <c r="A22503" i="1"/>
  <c r="C22503" i="1"/>
  <c r="N22503" i="1"/>
  <c r="A22504" i="1"/>
  <c r="C22504" i="1"/>
  <c r="N22504" i="1"/>
  <c r="A22505" i="1"/>
  <c r="C22505" i="1"/>
  <c r="N22505" i="1"/>
  <c r="A22506" i="1"/>
  <c r="C22506" i="1"/>
  <c r="N22506" i="1"/>
  <c r="A22507" i="1"/>
  <c r="C22507" i="1"/>
  <c r="N22507" i="1"/>
  <c r="A22508" i="1"/>
  <c r="C22508" i="1"/>
  <c r="N22508" i="1"/>
  <c r="A22509" i="1"/>
  <c r="C22509" i="1"/>
  <c r="N22509" i="1"/>
  <c r="A22510" i="1"/>
  <c r="C22510" i="1"/>
  <c r="N22510" i="1"/>
  <c r="A22511" i="1"/>
  <c r="C22511" i="1"/>
  <c r="N22511" i="1"/>
  <c r="A22512" i="1"/>
  <c r="C22512" i="1"/>
  <c r="N22512" i="1"/>
  <c r="A22513" i="1"/>
  <c r="C22513" i="1"/>
  <c r="N22513" i="1"/>
  <c r="A22514" i="1"/>
  <c r="C22514" i="1"/>
  <c r="N22514" i="1"/>
  <c r="A22515" i="1"/>
  <c r="C22515" i="1"/>
  <c r="N22515" i="1"/>
  <c r="A22516" i="1"/>
  <c r="C22516" i="1"/>
  <c r="N22516" i="1"/>
  <c r="A22517" i="1"/>
  <c r="C22517" i="1"/>
  <c r="N22517" i="1"/>
  <c r="A22518" i="1"/>
  <c r="C22518" i="1"/>
  <c r="N22518" i="1"/>
  <c r="A22519" i="1"/>
  <c r="C22519" i="1"/>
  <c r="N22519" i="1"/>
  <c r="A22520" i="1"/>
  <c r="C22520" i="1"/>
  <c r="N22520" i="1"/>
  <c r="A22521" i="1"/>
  <c r="C22521" i="1"/>
  <c r="N22521" i="1"/>
  <c r="A22522" i="1"/>
  <c r="C22522" i="1"/>
  <c r="N22522" i="1"/>
  <c r="A22523" i="1"/>
  <c r="C22523" i="1"/>
  <c r="N22523" i="1"/>
  <c r="A22524" i="1"/>
  <c r="C22524" i="1"/>
  <c r="N22524" i="1"/>
  <c r="A22525" i="1"/>
  <c r="C22525" i="1"/>
  <c r="N22525" i="1"/>
  <c r="A22526" i="1"/>
  <c r="C22526" i="1"/>
  <c r="N22526" i="1"/>
  <c r="A22527" i="1"/>
  <c r="C22527" i="1"/>
  <c r="N22527" i="1"/>
  <c r="A22528" i="1"/>
  <c r="C22528" i="1"/>
  <c r="N22528" i="1"/>
  <c r="A22529" i="1"/>
  <c r="C22529" i="1"/>
  <c r="N22529" i="1"/>
  <c r="A22530" i="1"/>
  <c r="C22530" i="1"/>
  <c r="N22530" i="1"/>
  <c r="A22531" i="1"/>
  <c r="C22531" i="1"/>
  <c r="N22531" i="1"/>
  <c r="A22532" i="1"/>
  <c r="C22532" i="1"/>
  <c r="N22532" i="1"/>
  <c r="A22533" i="1"/>
  <c r="C22533" i="1"/>
  <c r="N22533" i="1"/>
  <c r="A22534" i="1"/>
  <c r="C22534" i="1"/>
  <c r="N22534" i="1"/>
  <c r="A22535" i="1"/>
  <c r="C22535" i="1"/>
  <c r="N22535" i="1"/>
  <c r="A22536" i="1"/>
  <c r="C22536" i="1"/>
  <c r="N22536" i="1"/>
  <c r="A22537" i="1"/>
  <c r="C22537" i="1"/>
  <c r="N22537" i="1"/>
  <c r="A22538" i="1"/>
  <c r="C22538" i="1"/>
  <c r="N22538" i="1"/>
  <c r="A22539" i="1"/>
  <c r="C22539" i="1"/>
  <c r="N22539" i="1"/>
  <c r="A22540" i="1"/>
  <c r="C22540" i="1"/>
  <c r="N22540" i="1"/>
  <c r="A22541" i="1"/>
  <c r="C22541" i="1"/>
  <c r="N22541" i="1"/>
  <c r="A22542" i="1"/>
  <c r="C22542" i="1"/>
  <c r="N22542" i="1"/>
  <c r="A22543" i="1"/>
  <c r="C22543" i="1"/>
  <c r="N22543" i="1"/>
  <c r="A22544" i="1"/>
  <c r="C22544" i="1"/>
  <c r="N22544" i="1"/>
  <c r="A22545" i="1"/>
  <c r="C22545" i="1"/>
  <c r="N22545" i="1"/>
  <c r="A22546" i="1"/>
  <c r="C22546" i="1"/>
  <c r="N22546" i="1"/>
  <c r="A22547" i="1"/>
  <c r="C22547" i="1"/>
  <c r="N22547" i="1"/>
  <c r="A22548" i="1"/>
  <c r="C22548" i="1"/>
  <c r="N22548" i="1"/>
  <c r="A22549" i="1"/>
  <c r="C22549" i="1"/>
  <c r="N22549" i="1"/>
  <c r="A22550" i="1"/>
  <c r="C22550" i="1"/>
  <c r="N22550" i="1"/>
  <c r="A22551" i="1"/>
  <c r="C22551" i="1"/>
  <c r="N22551" i="1"/>
  <c r="A22552" i="1"/>
  <c r="C22552" i="1"/>
  <c r="N22552" i="1"/>
  <c r="A22553" i="1"/>
  <c r="C22553" i="1"/>
  <c r="N22553" i="1"/>
  <c r="A22554" i="1"/>
  <c r="C22554" i="1"/>
  <c r="N22554" i="1"/>
  <c r="A22555" i="1"/>
  <c r="C22555" i="1"/>
  <c r="N22555" i="1"/>
  <c r="A22556" i="1"/>
  <c r="C22556" i="1"/>
  <c r="N22556" i="1"/>
  <c r="A22557" i="1"/>
  <c r="C22557" i="1"/>
  <c r="N22557" i="1"/>
  <c r="A22558" i="1"/>
  <c r="C22558" i="1"/>
  <c r="N22558" i="1"/>
  <c r="A22559" i="1"/>
  <c r="C22559" i="1"/>
  <c r="N22559" i="1"/>
  <c r="A22560" i="1"/>
  <c r="C22560" i="1"/>
  <c r="N22560" i="1"/>
  <c r="A22561" i="1"/>
  <c r="C22561" i="1"/>
  <c r="N22561" i="1"/>
  <c r="A22562" i="1"/>
  <c r="C22562" i="1"/>
  <c r="N22562" i="1"/>
  <c r="A22563" i="1"/>
  <c r="C22563" i="1"/>
  <c r="N22563" i="1"/>
  <c r="A22564" i="1"/>
  <c r="C22564" i="1"/>
  <c r="N22564" i="1"/>
  <c r="A22565" i="1"/>
  <c r="C22565" i="1"/>
  <c r="D22565" i="1"/>
  <c r="E22565" i="1"/>
  <c r="K22565" i="1"/>
  <c r="N22565" i="1"/>
  <c r="O22565" i="1"/>
  <c r="T22565" i="1"/>
  <c r="A22566" i="1"/>
  <c r="C22566" i="1"/>
  <c r="D22566" i="1"/>
  <c r="E22566" i="1"/>
  <c r="K22566" i="1"/>
  <c r="N22566" i="1"/>
  <c r="O22566" i="1"/>
  <c r="T22566" i="1"/>
  <c r="A22567" i="1"/>
  <c r="C22567" i="1"/>
  <c r="K22567" i="1"/>
  <c r="N22567" i="1"/>
  <c r="A22568" i="1"/>
  <c r="C22568" i="1"/>
  <c r="N22568" i="1"/>
  <c r="A22569" i="1"/>
  <c r="C22569" i="1"/>
  <c r="N22569" i="1"/>
  <c r="A22570" i="1"/>
  <c r="C22570" i="1"/>
  <c r="K22570" i="1"/>
  <c r="N22570" i="1"/>
  <c r="A22571" i="1"/>
  <c r="C22571" i="1"/>
  <c r="N22571" i="1"/>
  <c r="A22572" i="1"/>
  <c r="C22572" i="1"/>
  <c r="N22572" i="1"/>
  <c r="A22573" i="1"/>
  <c r="C22573" i="1"/>
  <c r="N22573" i="1"/>
  <c r="A22574" i="1"/>
  <c r="C22574" i="1"/>
  <c r="N22574" i="1"/>
  <c r="A22575" i="1"/>
  <c r="C22575" i="1"/>
  <c r="N22575" i="1"/>
  <c r="A22576" i="1"/>
  <c r="C22576" i="1"/>
  <c r="N22576" i="1"/>
  <c r="A22577" i="1"/>
  <c r="C22577" i="1"/>
  <c r="N22577" i="1"/>
  <c r="A22578" i="1"/>
  <c r="C22578" i="1"/>
  <c r="N22578" i="1"/>
  <c r="A22579" i="1"/>
  <c r="C22579" i="1"/>
  <c r="N22579" i="1"/>
  <c r="A22580" i="1"/>
  <c r="C22580" i="1"/>
  <c r="N22580" i="1"/>
  <c r="A22581" i="1"/>
  <c r="C22581" i="1"/>
  <c r="N22581" i="1"/>
  <c r="A22582" i="1"/>
  <c r="C22582" i="1"/>
  <c r="N22582" i="1"/>
  <c r="A22583" i="1"/>
  <c r="C22583" i="1"/>
  <c r="N22583" i="1"/>
  <c r="A22584" i="1"/>
  <c r="C22584" i="1"/>
  <c r="D22584" i="1"/>
  <c r="N22584" i="1"/>
  <c r="O22584" i="1"/>
  <c r="A22585" i="1"/>
  <c r="C22585" i="1"/>
  <c r="N22585" i="1"/>
  <c r="A22586" i="1"/>
  <c r="C22586" i="1"/>
  <c r="N22586" i="1"/>
  <c r="A22587" i="1"/>
  <c r="C22587" i="1"/>
  <c r="N22587" i="1"/>
  <c r="A22588" i="1"/>
  <c r="C22588" i="1"/>
  <c r="N22588" i="1"/>
  <c r="A22589" i="1"/>
  <c r="C22589" i="1"/>
  <c r="N22589" i="1"/>
  <c r="A22590" i="1"/>
  <c r="C22590" i="1"/>
  <c r="N22590" i="1"/>
  <c r="A22591" i="1"/>
  <c r="C22591" i="1"/>
  <c r="N22591" i="1"/>
  <c r="A22592" i="1"/>
  <c r="C22592" i="1"/>
  <c r="N22592" i="1"/>
  <c r="A22593" i="1"/>
  <c r="C22593" i="1"/>
  <c r="N22593" i="1"/>
  <c r="A22594" i="1"/>
  <c r="C22594" i="1"/>
  <c r="N22594" i="1"/>
  <c r="A22595" i="1"/>
  <c r="C22595" i="1"/>
  <c r="N22595" i="1"/>
  <c r="A22596" i="1"/>
  <c r="C22596" i="1"/>
  <c r="N22596" i="1"/>
  <c r="A22597" i="1"/>
  <c r="C22597" i="1"/>
  <c r="N22597" i="1"/>
  <c r="A22598" i="1"/>
  <c r="C22598" i="1"/>
  <c r="N22598" i="1"/>
  <c r="A22599" i="1"/>
  <c r="C22599" i="1"/>
  <c r="N22599" i="1"/>
  <c r="A22600" i="1"/>
  <c r="C22600" i="1"/>
  <c r="N22600" i="1"/>
  <c r="A22601" i="1"/>
  <c r="C22601" i="1"/>
  <c r="K22601" i="1"/>
  <c r="N22601" i="1"/>
  <c r="A22602" i="1"/>
  <c r="C22602" i="1"/>
  <c r="N22602" i="1"/>
  <c r="A22603" i="1"/>
  <c r="C22603" i="1"/>
  <c r="N22603" i="1"/>
  <c r="A22604" i="1"/>
  <c r="C22604" i="1"/>
  <c r="N22604" i="1"/>
  <c r="A22605" i="1"/>
  <c r="C22605" i="1"/>
  <c r="K22605" i="1"/>
  <c r="N22605" i="1"/>
  <c r="A22606" i="1"/>
  <c r="C22606" i="1"/>
  <c r="N22606" i="1"/>
  <c r="A22607" i="1"/>
  <c r="C22607" i="1"/>
  <c r="N22607" i="1"/>
  <c r="A22608" i="1"/>
  <c r="C22608" i="1"/>
  <c r="K22608" i="1"/>
  <c r="N22608" i="1"/>
  <c r="A22609" i="1"/>
  <c r="C22609" i="1"/>
  <c r="N22609" i="1"/>
  <c r="A22610" i="1"/>
  <c r="C22610" i="1"/>
  <c r="K22610" i="1"/>
  <c r="N22610" i="1"/>
  <c r="A22611" i="1"/>
  <c r="C22611" i="1"/>
  <c r="N22611" i="1"/>
  <c r="A22612" i="1"/>
  <c r="C22612" i="1"/>
  <c r="N22612" i="1"/>
  <c r="A22613" i="1"/>
  <c r="C22613" i="1"/>
  <c r="N22613" i="1"/>
  <c r="A22614" i="1"/>
  <c r="C22614" i="1"/>
  <c r="N22614" i="1"/>
  <c r="A22615" i="1"/>
  <c r="C22615" i="1"/>
  <c r="N22615" i="1"/>
  <c r="A22616" i="1"/>
  <c r="C22616" i="1"/>
  <c r="N22616" i="1"/>
  <c r="A22617" i="1"/>
  <c r="C22617" i="1"/>
  <c r="N22617" i="1"/>
  <c r="A22618" i="1"/>
  <c r="C22618" i="1"/>
  <c r="N22618" i="1"/>
  <c r="A22619" i="1"/>
  <c r="C22619" i="1"/>
  <c r="N22619" i="1"/>
  <c r="A22620" i="1"/>
  <c r="C22620" i="1"/>
  <c r="N22620" i="1"/>
  <c r="A22621" i="1"/>
  <c r="C22621" i="1"/>
  <c r="N22621" i="1"/>
  <c r="A22622" i="1"/>
  <c r="C22622" i="1"/>
  <c r="N22622" i="1"/>
  <c r="A22623" i="1"/>
  <c r="C22623" i="1"/>
  <c r="N22623" i="1"/>
  <c r="A22624" i="1"/>
  <c r="C22624" i="1"/>
  <c r="N22624" i="1"/>
  <c r="A22625" i="1"/>
  <c r="C22625" i="1"/>
  <c r="N22625" i="1"/>
  <c r="A22626" i="1"/>
  <c r="C22626" i="1"/>
  <c r="N22626" i="1"/>
  <c r="A22627" i="1"/>
  <c r="C22627" i="1"/>
  <c r="N22627" i="1"/>
  <c r="A22628" i="1"/>
  <c r="C22628" i="1"/>
  <c r="N22628" i="1"/>
  <c r="A22629" i="1"/>
  <c r="C22629" i="1"/>
  <c r="N22629" i="1"/>
  <c r="A22630" i="1"/>
  <c r="C22630" i="1"/>
  <c r="D22630" i="1"/>
  <c r="N22630" i="1"/>
  <c r="O22630" i="1"/>
  <c r="A22631" i="1"/>
  <c r="C22631" i="1"/>
  <c r="N22631" i="1"/>
  <c r="A22632" i="1"/>
  <c r="C22632" i="1"/>
  <c r="K22632" i="1"/>
  <c r="N22632" i="1"/>
  <c r="A22633" i="1"/>
  <c r="C22633" i="1"/>
  <c r="K22633" i="1"/>
  <c r="N22633" i="1"/>
  <c r="A22634" i="1"/>
  <c r="C22634" i="1"/>
  <c r="N22634" i="1"/>
  <c r="A22635" i="1"/>
  <c r="C22635" i="1"/>
  <c r="N22635" i="1"/>
  <c r="A22636" i="1"/>
  <c r="C22636" i="1"/>
  <c r="N22636" i="1"/>
  <c r="A22637" i="1"/>
  <c r="C22637" i="1"/>
  <c r="N22637" i="1"/>
  <c r="A22638" i="1"/>
  <c r="C22638" i="1"/>
  <c r="N22638" i="1"/>
  <c r="A22639" i="1"/>
  <c r="C22639" i="1"/>
  <c r="N22639" i="1"/>
  <c r="A22640" i="1"/>
  <c r="C22640" i="1"/>
  <c r="N22640" i="1"/>
  <c r="A22641" i="1"/>
  <c r="C22641" i="1"/>
  <c r="N22641" i="1"/>
  <c r="A22642" i="1"/>
  <c r="C22642" i="1"/>
  <c r="N22642" i="1"/>
  <c r="A22643" i="1"/>
  <c r="C22643" i="1"/>
  <c r="N22643" i="1"/>
  <c r="A22644" i="1"/>
  <c r="C22644" i="1"/>
  <c r="N22644" i="1"/>
  <c r="A22645" i="1"/>
  <c r="C22645" i="1"/>
  <c r="N22645" i="1"/>
  <c r="A22646" i="1"/>
  <c r="C22646" i="1"/>
  <c r="N22646" i="1"/>
  <c r="A22647" i="1"/>
  <c r="C22647" i="1"/>
  <c r="N22647" i="1"/>
  <c r="A22648" i="1"/>
  <c r="C22648" i="1"/>
  <c r="N22648" i="1"/>
  <c r="A22649" i="1"/>
  <c r="C22649" i="1"/>
  <c r="N22649" i="1"/>
  <c r="A22650" i="1"/>
  <c r="C22650" i="1"/>
  <c r="N22650" i="1"/>
  <c r="A22651" i="1"/>
  <c r="C22651" i="1"/>
  <c r="N22651" i="1"/>
  <c r="A22652" i="1"/>
  <c r="C22652" i="1"/>
  <c r="N22652" i="1"/>
  <c r="A22653" i="1"/>
  <c r="C22653" i="1"/>
  <c r="N22653" i="1"/>
  <c r="A22654" i="1"/>
  <c r="C22654" i="1"/>
  <c r="N22654" i="1"/>
  <c r="A22655" i="1"/>
  <c r="C22655" i="1"/>
  <c r="K22655" i="1"/>
  <c r="N22655" i="1"/>
  <c r="A22656" i="1"/>
  <c r="C22656" i="1"/>
  <c r="N22656" i="1"/>
  <c r="A22657" i="1"/>
  <c r="C22657" i="1"/>
  <c r="N22657" i="1"/>
  <c r="A22658" i="1"/>
  <c r="C22658" i="1"/>
  <c r="N22658" i="1"/>
  <c r="A22659" i="1"/>
  <c r="C22659" i="1"/>
  <c r="N22659" i="1"/>
  <c r="A22660" i="1"/>
  <c r="C22660" i="1"/>
  <c r="N22660" i="1"/>
  <c r="A22661" i="1"/>
  <c r="C22661" i="1"/>
  <c r="N22661" i="1"/>
  <c r="A22662" i="1"/>
  <c r="C22662" i="1"/>
  <c r="N22662" i="1"/>
  <c r="A22663" i="1"/>
  <c r="C22663" i="1"/>
  <c r="K22663" i="1"/>
  <c r="N22663" i="1"/>
  <c r="A22664" i="1"/>
  <c r="C22664" i="1"/>
  <c r="N22664" i="1"/>
  <c r="A22665" i="1"/>
  <c r="C22665" i="1"/>
  <c r="N22665" i="1"/>
  <c r="A22666" i="1"/>
  <c r="C22666" i="1"/>
  <c r="K22666" i="1"/>
  <c r="N22666" i="1"/>
  <c r="A22667" i="1"/>
  <c r="C22667" i="1"/>
  <c r="K22667" i="1"/>
  <c r="N22667" i="1"/>
  <c r="A22668" i="1"/>
  <c r="C22668" i="1"/>
  <c r="N22668" i="1"/>
  <c r="A22669" i="1"/>
  <c r="C22669" i="1"/>
  <c r="N22669" i="1"/>
  <c r="A22670" i="1"/>
  <c r="C22670" i="1"/>
  <c r="K22670" i="1"/>
  <c r="N22670" i="1"/>
  <c r="A22671" i="1"/>
  <c r="C22671" i="1"/>
  <c r="N22671" i="1"/>
  <c r="A22672" i="1"/>
  <c r="C22672" i="1"/>
  <c r="N22672" i="1"/>
  <c r="A22673" i="1"/>
  <c r="C22673" i="1"/>
  <c r="N22673" i="1"/>
  <c r="A22674" i="1"/>
  <c r="C22674" i="1"/>
  <c r="N22674" i="1"/>
  <c r="A22675" i="1"/>
  <c r="C22675" i="1"/>
  <c r="N22675" i="1"/>
  <c r="A22676" i="1"/>
  <c r="C22676" i="1"/>
  <c r="N22676" i="1"/>
  <c r="A22677" i="1"/>
  <c r="C22677" i="1"/>
  <c r="N22677" i="1"/>
  <c r="A22678" i="1"/>
  <c r="C22678" i="1"/>
  <c r="N22678" i="1"/>
  <c r="A22679" i="1"/>
  <c r="C22679" i="1"/>
  <c r="N22679" i="1"/>
  <c r="A22680" i="1"/>
  <c r="C22680" i="1"/>
  <c r="K22680" i="1"/>
  <c r="N22680" i="1"/>
  <c r="A22681" i="1"/>
  <c r="C22681" i="1"/>
  <c r="N22681" i="1"/>
  <c r="A22682" i="1"/>
  <c r="C22682" i="1"/>
  <c r="N22682" i="1"/>
  <c r="A22683" i="1"/>
  <c r="C22683" i="1"/>
  <c r="N22683" i="1"/>
  <c r="A22684" i="1"/>
  <c r="C22684" i="1"/>
  <c r="N22684" i="1"/>
  <c r="A22685" i="1"/>
  <c r="C22685" i="1"/>
  <c r="N22685" i="1"/>
  <c r="A22686" i="1"/>
  <c r="C22686" i="1"/>
  <c r="N22686" i="1"/>
  <c r="A22687" i="1"/>
  <c r="C22687" i="1"/>
  <c r="N22687" i="1"/>
  <c r="A22688" i="1"/>
  <c r="C22688" i="1"/>
  <c r="N22688" i="1"/>
  <c r="A22689" i="1"/>
  <c r="C22689" i="1"/>
  <c r="N22689" i="1"/>
  <c r="A22690" i="1"/>
  <c r="C22690" i="1"/>
  <c r="K22690" i="1"/>
  <c r="N22690" i="1"/>
  <c r="A22691" i="1"/>
  <c r="C22691" i="1"/>
  <c r="N22691" i="1"/>
  <c r="A22692" i="1"/>
  <c r="C22692" i="1"/>
  <c r="N22692" i="1"/>
  <c r="A22693" i="1"/>
  <c r="C22693" i="1"/>
  <c r="N22693" i="1"/>
  <c r="A22694" i="1"/>
  <c r="C22694" i="1"/>
  <c r="N22694" i="1"/>
  <c r="A22695" i="1"/>
  <c r="C22695" i="1"/>
  <c r="N22695" i="1"/>
  <c r="A22696" i="1"/>
  <c r="C22696" i="1"/>
  <c r="N22696" i="1"/>
  <c r="A22697" i="1"/>
  <c r="C22697" i="1"/>
  <c r="N22697" i="1"/>
  <c r="A22698" i="1"/>
  <c r="C22698" i="1"/>
  <c r="N22698" i="1"/>
  <c r="A22699" i="1"/>
  <c r="C22699" i="1"/>
  <c r="N22699" i="1"/>
  <c r="A22700" i="1"/>
  <c r="C22700" i="1"/>
  <c r="N22700" i="1"/>
  <c r="A22701" i="1"/>
  <c r="C22701" i="1"/>
  <c r="N22701" i="1"/>
  <c r="A22702" i="1"/>
  <c r="C22702" i="1"/>
  <c r="N22702" i="1"/>
  <c r="A22703" i="1"/>
  <c r="C22703" i="1"/>
  <c r="N22703" i="1"/>
  <c r="A22704" i="1"/>
  <c r="C22704" i="1"/>
  <c r="N22704" i="1"/>
  <c r="A22705" i="1"/>
  <c r="C22705" i="1"/>
  <c r="N22705" i="1"/>
  <c r="A22706" i="1"/>
  <c r="C22706" i="1"/>
  <c r="N22706" i="1"/>
  <c r="A22707" i="1"/>
  <c r="C22707" i="1"/>
  <c r="N22707" i="1"/>
  <c r="A22708" i="1"/>
  <c r="C22708" i="1"/>
  <c r="N22708" i="1"/>
  <c r="A22709" i="1"/>
  <c r="C22709" i="1"/>
  <c r="N22709" i="1"/>
  <c r="A22710" i="1"/>
  <c r="C22710" i="1"/>
  <c r="N22710" i="1"/>
  <c r="A22711" i="1"/>
  <c r="C22711" i="1"/>
  <c r="N22711" i="1"/>
  <c r="A22712" i="1"/>
  <c r="C22712" i="1"/>
  <c r="N22712" i="1"/>
  <c r="A22713" i="1"/>
  <c r="C22713" i="1"/>
  <c r="N22713" i="1"/>
  <c r="A22714" i="1"/>
  <c r="C22714" i="1"/>
  <c r="N22714" i="1"/>
  <c r="A22715" i="1"/>
  <c r="C22715" i="1"/>
  <c r="N22715" i="1"/>
  <c r="A22716" i="1"/>
  <c r="C22716" i="1"/>
  <c r="N22716" i="1"/>
  <c r="A22717" i="1"/>
  <c r="C22717" i="1"/>
  <c r="N22717" i="1"/>
  <c r="A22718" i="1"/>
  <c r="C22718" i="1"/>
  <c r="N22718" i="1"/>
  <c r="A22719" i="1"/>
  <c r="C22719" i="1"/>
  <c r="N22719" i="1"/>
  <c r="A22720" i="1"/>
  <c r="C22720" i="1"/>
  <c r="N22720" i="1"/>
  <c r="A22721" i="1"/>
  <c r="C22721" i="1"/>
  <c r="N22721" i="1"/>
  <c r="A22722" i="1"/>
  <c r="C22722" i="1"/>
  <c r="K22722" i="1"/>
  <c r="N22722" i="1"/>
  <c r="A22723" i="1"/>
  <c r="C22723" i="1"/>
  <c r="N22723" i="1"/>
  <c r="A22724" i="1"/>
  <c r="C22724" i="1"/>
  <c r="N22724" i="1"/>
  <c r="A22725" i="1"/>
  <c r="C22725" i="1"/>
  <c r="N22725" i="1"/>
  <c r="A22726" i="1"/>
  <c r="C22726" i="1"/>
  <c r="N22726" i="1"/>
  <c r="A22727" i="1"/>
  <c r="C22727" i="1"/>
  <c r="N22727" i="1"/>
  <c r="A22728" i="1"/>
  <c r="C22728" i="1"/>
  <c r="N22728" i="1"/>
  <c r="A22729" i="1"/>
  <c r="C22729" i="1"/>
  <c r="N22729" i="1"/>
  <c r="A22730" i="1"/>
  <c r="C22730" i="1"/>
  <c r="N22730" i="1"/>
  <c r="A22731" i="1"/>
  <c r="C22731" i="1"/>
  <c r="N22731" i="1"/>
  <c r="A22732" i="1"/>
  <c r="C22732" i="1"/>
  <c r="N22732" i="1"/>
  <c r="A22733" i="1"/>
  <c r="C22733" i="1"/>
  <c r="K22733" i="1"/>
  <c r="N22733" i="1"/>
  <c r="A22734" i="1"/>
  <c r="C22734" i="1"/>
  <c r="N22734" i="1"/>
  <c r="A22735" i="1"/>
  <c r="C22735" i="1"/>
  <c r="N22735" i="1"/>
  <c r="A22736" i="1"/>
  <c r="C22736" i="1"/>
  <c r="N22736" i="1"/>
  <c r="A22737" i="1"/>
  <c r="C22737" i="1"/>
  <c r="N22737" i="1"/>
  <c r="A22738" i="1"/>
  <c r="C22738" i="1"/>
  <c r="N22738" i="1"/>
  <c r="A22739" i="1"/>
  <c r="C22739" i="1"/>
  <c r="N22739" i="1"/>
  <c r="A22740" i="1"/>
  <c r="C22740" i="1"/>
  <c r="N22740" i="1"/>
  <c r="A22741" i="1"/>
  <c r="C22741" i="1"/>
  <c r="N22741" i="1"/>
  <c r="A22742" i="1"/>
  <c r="C22742" i="1"/>
  <c r="K22742" i="1"/>
  <c r="N22742" i="1"/>
  <c r="A22743" i="1"/>
  <c r="C22743" i="1"/>
  <c r="N22743" i="1"/>
  <c r="A22744" i="1"/>
  <c r="C22744" i="1"/>
  <c r="N22744" i="1"/>
  <c r="A22745" i="1"/>
  <c r="C22745" i="1"/>
  <c r="N22745" i="1"/>
  <c r="A22746" i="1"/>
  <c r="C22746" i="1"/>
  <c r="N22746" i="1"/>
  <c r="A22747" i="1"/>
  <c r="C22747" i="1"/>
  <c r="N22747" i="1"/>
  <c r="A22748" i="1"/>
  <c r="C22748" i="1"/>
  <c r="N22748" i="1"/>
  <c r="A22749" i="1"/>
  <c r="C22749" i="1"/>
  <c r="N22749" i="1"/>
  <c r="A22750" i="1"/>
  <c r="C22750" i="1"/>
  <c r="N22750" i="1"/>
  <c r="A22751" i="1"/>
  <c r="C22751" i="1"/>
  <c r="K22751" i="1"/>
  <c r="N22751" i="1"/>
  <c r="A22752" i="1"/>
  <c r="C22752" i="1"/>
  <c r="N22752" i="1"/>
  <c r="A22753" i="1"/>
  <c r="C22753" i="1"/>
  <c r="N22753" i="1"/>
  <c r="A22754" i="1"/>
  <c r="C22754" i="1"/>
  <c r="N22754" i="1"/>
  <c r="A22755" i="1"/>
  <c r="C22755" i="1"/>
  <c r="N22755" i="1"/>
  <c r="A22756" i="1"/>
  <c r="C22756" i="1"/>
  <c r="N22756" i="1"/>
  <c r="A22757" i="1"/>
  <c r="C22757" i="1"/>
  <c r="N22757" i="1"/>
  <c r="A22758" i="1"/>
  <c r="C22758" i="1"/>
  <c r="N22758" i="1"/>
  <c r="A22759" i="1"/>
  <c r="C22759" i="1"/>
  <c r="N22759" i="1"/>
  <c r="A22760" i="1"/>
  <c r="C22760" i="1"/>
  <c r="N22760" i="1"/>
  <c r="A22761" i="1"/>
  <c r="C22761" i="1"/>
  <c r="N22761" i="1"/>
  <c r="A22762" i="1"/>
  <c r="C22762" i="1"/>
  <c r="N22762" i="1"/>
  <c r="A22763" i="1"/>
  <c r="C22763" i="1"/>
  <c r="N22763" i="1"/>
  <c r="A22764" i="1"/>
  <c r="C22764" i="1"/>
  <c r="N22764" i="1"/>
  <c r="A22765" i="1"/>
  <c r="C22765" i="1"/>
  <c r="N22765" i="1"/>
  <c r="A22766" i="1"/>
  <c r="C22766" i="1"/>
  <c r="N22766" i="1"/>
  <c r="A22767" i="1"/>
  <c r="C22767" i="1"/>
  <c r="N22767" i="1"/>
  <c r="A22768" i="1"/>
  <c r="C22768" i="1"/>
  <c r="N22768" i="1"/>
  <c r="A22769" i="1"/>
  <c r="C22769" i="1"/>
  <c r="N22769" i="1"/>
  <c r="A22770" i="1"/>
  <c r="C22770" i="1"/>
  <c r="N22770" i="1"/>
  <c r="A22771" i="1"/>
  <c r="C22771" i="1"/>
  <c r="E22771" i="1"/>
  <c r="N22771" i="1"/>
  <c r="T22771" i="1"/>
  <c r="A22772" i="1"/>
  <c r="C22772" i="1"/>
  <c r="N22772" i="1"/>
  <c r="A22773" i="1"/>
  <c r="C22773" i="1"/>
  <c r="N22773" i="1"/>
  <c r="A22774" i="1"/>
  <c r="C22774" i="1"/>
  <c r="N22774" i="1"/>
  <c r="A22775" i="1"/>
  <c r="C22775" i="1"/>
  <c r="E22775" i="1"/>
  <c r="N22775" i="1"/>
  <c r="T22775" i="1"/>
  <c r="A22776" i="1"/>
  <c r="C22776" i="1"/>
  <c r="N22776" i="1"/>
  <c r="A22777" i="1"/>
  <c r="C22777" i="1"/>
  <c r="N22777" i="1"/>
  <c r="A22778" i="1"/>
  <c r="C22778" i="1"/>
  <c r="N22778" i="1"/>
  <c r="A22779" i="1"/>
  <c r="C22779" i="1"/>
  <c r="N22779" i="1"/>
  <c r="A22780" i="1"/>
  <c r="C22780" i="1"/>
  <c r="N22780" i="1"/>
  <c r="A22781" i="1"/>
  <c r="C22781" i="1"/>
  <c r="N22781" i="1"/>
  <c r="A22782" i="1"/>
  <c r="C22782" i="1"/>
  <c r="N22782" i="1"/>
  <c r="A22783" i="1"/>
  <c r="C22783" i="1"/>
  <c r="K22783" i="1"/>
  <c r="N22783" i="1"/>
  <c r="A22784" i="1"/>
  <c r="C22784" i="1"/>
  <c r="K22784" i="1"/>
  <c r="N22784" i="1"/>
  <c r="A22785" i="1"/>
  <c r="C22785" i="1"/>
  <c r="N22785" i="1"/>
  <c r="A22786" i="1"/>
  <c r="C22786" i="1"/>
  <c r="N22786" i="1"/>
  <c r="A22787" i="1"/>
  <c r="C22787" i="1"/>
  <c r="N22787" i="1"/>
  <c r="A22788" i="1"/>
  <c r="C22788" i="1"/>
  <c r="N22788" i="1"/>
  <c r="A22789" i="1"/>
  <c r="C22789" i="1"/>
  <c r="N22789" i="1"/>
  <c r="A22790" i="1"/>
  <c r="C22790" i="1"/>
  <c r="N22790" i="1"/>
  <c r="A22791" i="1"/>
  <c r="C22791" i="1"/>
  <c r="N22791" i="1"/>
  <c r="A22792" i="1"/>
  <c r="C22792" i="1"/>
  <c r="K22792" i="1"/>
  <c r="N22792" i="1"/>
  <c r="A22793" i="1"/>
  <c r="C22793" i="1"/>
  <c r="N22793" i="1"/>
  <c r="A22794" i="1"/>
  <c r="C22794" i="1"/>
  <c r="N22794" i="1"/>
  <c r="A22795" i="1"/>
  <c r="C22795" i="1"/>
  <c r="N22795" i="1"/>
  <c r="A22796" i="1"/>
  <c r="C22796" i="1"/>
  <c r="N22796" i="1"/>
  <c r="A22797" i="1"/>
  <c r="C22797" i="1"/>
  <c r="N22797" i="1"/>
  <c r="A22798" i="1"/>
  <c r="C22798" i="1"/>
  <c r="N22798" i="1"/>
  <c r="A22799" i="1"/>
  <c r="C22799" i="1"/>
  <c r="K22799" i="1"/>
  <c r="N22799" i="1"/>
  <c r="A22800" i="1"/>
  <c r="C22800" i="1"/>
  <c r="N22800" i="1"/>
  <c r="A22801" i="1"/>
  <c r="C22801" i="1"/>
  <c r="N22801" i="1"/>
  <c r="A22802" i="1"/>
  <c r="C22802" i="1"/>
  <c r="K22802" i="1"/>
  <c r="N22802" i="1"/>
  <c r="A22803" i="1"/>
  <c r="C22803" i="1"/>
  <c r="K22803" i="1"/>
  <c r="N22803" i="1"/>
  <c r="A22804" i="1"/>
  <c r="C22804" i="1"/>
  <c r="N22804" i="1"/>
  <c r="A22805" i="1"/>
  <c r="C22805" i="1"/>
  <c r="N22805" i="1"/>
  <c r="A22806" i="1"/>
  <c r="C22806" i="1"/>
  <c r="K22806" i="1"/>
  <c r="N22806" i="1"/>
  <c r="A22807" i="1"/>
  <c r="C22807" i="1"/>
  <c r="N22807" i="1"/>
  <c r="A22808" i="1"/>
  <c r="C22808" i="1"/>
  <c r="N22808" i="1"/>
  <c r="A22809" i="1"/>
  <c r="C22809" i="1"/>
  <c r="N22809" i="1"/>
  <c r="A22810" i="1"/>
  <c r="C22810" i="1"/>
  <c r="N22810" i="1"/>
  <c r="A22811" i="1"/>
  <c r="C22811" i="1"/>
  <c r="N22811" i="1"/>
  <c r="A22812" i="1"/>
  <c r="C22812" i="1"/>
  <c r="N22812" i="1"/>
  <c r="A22813" i="1"/>
  <c r="C22813" i="1"/>
  <c r="N22813" i="1"/>
  <c r="A22814" i="1"/>
  <c r="C22814" i="1"/>
  <c r="N22814" i="1"/>
  <c r="A22815" i="1"/>
  <c r="C22815" i="1"/>
  <c r="N22815" i="1"/>
  <c r="A22816" i="1"/>
  <c r="C22816" i="1"/>
  <c r="N22816" i="1"/>
  <c r="A22817" i="1"/>
  <c r="C22817" i="1"/>
  <c r="N22817" i="1"/>
  <c r="A22818" i="1"/>
  <c r="C22818" i="1"/>
  <c r="N22818" i="1"/>
  <c r="A22819" i="1"/>
  <c r="C22819" i="1"/>
  <c r="N22819" i="1"/>
  <c r="A22820" i="1"/>
  <c r="C22820" i="1"/>
  <c r="N22820" i="1"/>
  <c r="A22821" i="1"/>
  <c r="C22821" i="1"/>
  <c r="N22821" i="1"/>
  <c r="A22822" i="1"/>
  <c r="C22822" i="1"/>
  <c r="N22822" i="1"/>
  <c r="A22823" i="1"/>
  <c r="C22823" i="1"/>
  <c r="N22823" i="1"/>
  <c r="A22824" i="1"/>
  <c r="C22824" i="1"/>
  <c r="K22824" i="1"/>
  <c r="N22824" i="1"/>
  <c r="A22825" i="1"/>
  <c r="C22825" i="1"/>
  <c r="N22825" i="1"/>
  <c r="A22826" i="1"/>
  <c r="C22826" i="1"/>
  <c r="N22826" i="1"/>
  <c r="A22827" i="1"/>
  <c r="C22827" i="1"/>
  <c r="N22827" i="1"/>
  <c r="A22828" i="1"/>
  <c r="C22828" i="1"/>
  <c r="N22828" i="1"/>
  <c r="A22829" i="1"/>
  <c r="C22829" i="1"/>
  <c r="N22829" i="1"/>
  <c r="A22830" i="1"/>
  <c r="C22830" i="1"/>
  <c r="K22830" i="1"/>
  <c r="N22830" i="1"/>
  <c r="A22831" i="1"/>
  <c r="C22831" i="1"/>
  <c r="N22831" i="1"/>
  <c r="A22832" i="1"/>
  <c r="C22832" i="1"/>
  <c r="N22832" i="1"/>
  <c r="A22833" i="1"/>
  <c r="C22833" i="1"/>
  <c r="N22833" i="1"/>
  <c r="A22834" i="1"/>
  <c r="C22834" i="1"/>
  <c r="N22834" i="1"/>
  <c r="A22835" i="1"/>
  <c r="C22835" i="1"/>
  <c r="N22835" i="1"/>
  <c r="A22836" i="1"/>
  <c r="C22836" i="1"/>
  <c r="K22836" i="1"/>
  <c r="N22836" i="1"/>
  <c r="A22837" i="1"/>
  <c r="C22837" i="1"/>
  <c r="N22837" i="1"/>
  <c r="A22838" i="1"/>
  <c r="C22838" i="1"/>
  <c r="N22838" i="1"/>
  <c r="A22839" i="1"/>
  <c r="C22839" i="1"/>
  <c r="N22839" i="1"/>
  <c r="A22840" i="1"/>
  <c r="C22840" i="1"/>
  <c r="N22840" i="1"/>
  <c r="A22841" i="1"/>
  <c r="C22841" i="1"/>
  <c r="K22841" i="1"/>
  <c r="N22841" i="1"/>
  <c r="A22842" i="1"/>
  <c r="C22842" i="1"/>
  <c r="N22842" i="1"/>
  <c r="A22843" i="1"/>
  <c r="C22843" i="1"/>
  <c r="N22843" i="1"/>
  <c r="A22844" i="1"/>
  <c r="C22844" i="1"/>
  <c r="N22844" i="1"/>
  <c r="A22845" i="1"/>
  <c r="C22845" i="1"/>
  <c r="N22845" i="1"/>
  <c r="A22846" i="1"/>
  <c r="C22846" i="1"/>
  <c r="N22846" i="1"/>
  <c r="A22847" i="1"/>
  <c r="C22847" i="1"/>
  <c r="N22847" i="1"/>
  <c r="A22848" i="1"/>
  <c r="C22848" i="1"/>
  <c r="N22848" i="1"/>
  <c r="A22849" i="1"/>
  <c r="C22849" i="1"/>
  <c r="N22849" i="1"/>
  <c r="A22850" i="1"/>
  <c r="C22850" i="1"/>
  <c r="N22850" i="1"/>
  <c r="A22851" i="1"/>
  <c r="C22851" i="1"/>
  <c r="N22851" i="1"/>
  <c r="A22852" i="1"/>
  <c r="C22852" i="1"/>
  <c r="N22852" i="1"/>
  <c r="A22853" i="1"/>
  <c r="C22853" i="1"/>
  <c r="N22853" i="1"/>
  <c r="A22854" i="1"/>
  <c r="C22854" i="1"/>
  <c r="N22854" i="1"/>
  <c r="A22855" i="1"/>
  <c r="C22855" i="1"/>
  <c r="N22855" i="1"/>
  <c r="A22856" i="1"/>
  <c r="C22856" i="1"/>
  <c r="N22856" i="1"/>
  <c r="A22857" i="1"/>
  <c r="C22857" i="1"/>
  <c r="N22857" i="1"/>
  <c r="A22858" i="1"/>
  <c r="C22858" i="1"/>
  <c r="N22858" i="1"/>
  <c r="A22859" i="1"/>
  <c r="C22859" i="1"/>
  <c r="N22859" i="1"/>
  <c r="A22860" i="1"/>
  <c r="C22860" i="1"/>
  <c r="N22860" i="1"/>
  <c r="A22861" i="1"/>
  <c r="C22861" i="1"/>
  <c r="N22861" i="1"/>
  <c r="A22862" i="1"/>
  <c r="C22862" i="1"/>
  <c r="N22862" i="1"/>
  <c r="A22863" i="1"/>
  <c r="C22863" i="1"/>
  <c r="N22863" i="1"/>
  <c r="A22864" i="1"/>
  <c r="C22864" i="1"/>
  <c r="N22864" i="1"/>
  <c r="A22865" i="1"/>
  <c r="C22865" i="1"/>
  <c r="N22865" i="1"/>
  <c r="A22866" i="1"/>
  <c r="C22866" i="1"/>
  <c r="N22866" i="1"/>
  <c r="A22867" i="1"/>
  <c r="C22867" i="1"/>
  <c r="N22867" i="1"/>
  <c r="A22868" i="1"/>
  <c r="C22868" i="1"/>
  <c r="N22868" i="1"/>
  <c r="A22869" i="1"/>
  <c r="C22869" i="1"/>
  <c r="N22869" i="1"/>
  <c r="A22870" i="1"/>
  <c r="C22870" i="1"/>
  <c r="N22870" i="1"/>
  <c r="A22871" i="1"/>
  <c r="C22871" i="1"/>
  <c r="N22871" i="1"/>
  <c r="A22872" i="1"/>
  <c r="C22872" i="1"/>
  <c r="N22872" i="1"/>
  <c r="A22873" i="1"/>
  <c r="C22873" i="1"/>
  <c r="N22873" i="1"/>
  <c r="A22874" i="1"/>
  <c r="C22874" i="1"/>
  <c r="N22874" i="1"/>
  <c r="A22875" i="1"/>
  <c r="C22875" i="1"/>
  <c r="N22875" i="1"/>
  <c r="A22876" i="1"/>
  <c r="C22876" i="1"/>
  <c r="N22876" i="1"/>
  <c r="A22877" i="1"/>
  <c r="C22877" i="1"/>
  <c r="N22877" i="1"/>
  <c r="A22878" i="1"/>
  <c r="C22878" i="1"/>
  <c r="N22878" i="1"/>
  <c r="A22879" i="1"/>
  <c r="C22879" i="1"/>
  <c r="N22879" i="1"/>
  <c r="A22880" i="1"/>
  <c r="C22880" i="1"/>
  <c r="K22880" i="1"/>
  <c r="N22880" i="1"/>
  <c r="A22881" i="1"/>
  <c r="C22881" i="1"/>
  <c r="N22881" i="1"/>
  <c r="A22882" i="1"/>
  <c r="C22882" i="1"/>
  <c r="N22882" i="1"/>
  <c r="A22883" i="1"/>
  <c r="C22883" i="1"/>
  <c r="N22883" i="1"/>
  <c r="A22884" i="1"/>
  <c r="C22884" i="1"/>
  <c r="K22884" i="1"/>
  <c r="N22884" i="1"/>
  <c r="A22885" i="1"/>
  <c r="C22885" i="1"/>
  <c r="N22885" i="1"/>
  <c r="A22886" i="1"/>
  <c r="C22886" i="1"/>
  <c r="N22886" i="1"/>
  <c r="A22887" i="1"/>
  <c r="C22887" i="1"/>
  <c r="N22887" i="1"/>
  <c r="A22888" i="1"/>
  <c r="C22888" i="1"/>
  <c r="N22888" i="1"/>
  <c r="A22889" i="1"/>
  <c r="C22889" i="1"/>
  <c r="K22889" i="1"/>
  <c r="N22889" i="1"/>
  <c r="A22890" i="1"/>
  <c r="C22890" i="1"/>
  <c r="N22890" i="1"/>
  <c r="A22891" i="1"/>
  <c r="C22891" i="1"/>
  <c r="N22891" i="1"/>
  <c r="A22892" i="1"/>
  <c r="C22892" i="1"/>
  <c r="N22892" i="1"/>
  <c r="A22893" i="1"/>
  <c r="C22893" i="1"/>
  <c r="N22893" i="1"/>
  <c r="A22894" i="1"/>
  <c r="C22894" i="1"/>
  <c r="N22894" i="1"/>
  <c r="A22895" i="1"/>
  <c r="C22895" i="1"/>
  <c r="N22895" i="1"/>
  <c r="A22896" i="1"/>
  <c r="C22896" i="1"/>
  <c r="N22896" i="1"/>
  <c r="A22897" i="1"/>
  <c r="C22897" i="1"/>
  <c r="N22897" i="1"/>
  <c r="A22898" i="1"/>
  <c r="C22898" i="1"/>
  <c r="N22898" i="1"/>
  <c r="A22899" i="1"/>
  <c r="C22899" i="1"/>
  <c r="N22899" i="1"/>
  <c r="A22900" i="1"/>
  <c r="C22900" i="1"/>
  <c r="N22900" i="1"/>
  <c r="A22901" i="1"/>
  <c r="C22901" i="1"/>
  <c r="N22901" i="1"/>
  <c r="A22902" i="1"/>
  <c r="C22902" i="1"/>
  <c r="N22902" i="1"/>
  <c r="A22903" i="1"/>
  <c r="C22903" i="1"/>
  <c r="N22903" i="1"/>
  <c r="A22904" i="1"/>
  <c r="C22904" i="1"/>
  <c r="N22904" i="1"/>
  <c r="A22905" i="1"/>
  <c r="C22905" i="1"/>
  <c r="N22905" i="1"/>
  <c r="A22906" i="1"/>
  <c r="C22906" i="1"/>
  <c r="N22906" i="1"/>
  <c r="A22907" i="1"/>
  <c r="C22907" i="1"/>
  <c r="N22907" i="1"/>
  <c r="A22908" i="1"/>
  <c r="C22908" i="1"/>
  <c r="N22908" i="1"/>
  <c r="A22909" i="1"/>
  <c r="C22909" i="1"/>
  <c r="N22909" i="1"/>
  <c r="A22910" i="1"/>
  <c r="C22910" i="1"/>
  <c r="K22910" i="1"/>
  <c r="N22910" i="1"/>
  <c r="A22911" i="1"/>
  <c r="C22911" i="1"/>
  <c r="N22911" i="1"/>
  <c r="A22912" i="1"/>
  <c r="C22912" i="1"/>
  <c r="N22912" i="1"/>
  <c r="A22913" i="1"/>
  <c r="C22913" i="1"/>
  <c r="N22913" i="1"/>
  <c r="A22914" i="1"/>
  <c r="C22914" i="1"/>
  <c r="N22914" i="1"/>
  <c r="A22915" i="1"/>
  <c r="C22915" i="1"/>
  <c r="N22915" i="1"/>
  <c r="A22916" i="1"/>
  <c r="C22916" i="1"/>
  <c r="N22916" i="1"/>
  <c r="A22917" i="1"/>
  <c r="C22917" i="1"/>
  <c r="N22917" i="1"/>
  <c r="A22918" i="1"/>
  <c r="C22918" i="1"/>
  <c r="N22918" i="1"/>
  <c r="A22919" i="1"/>
  <c r="C22919" i="1"/>
  <c r="N22919" i="1"/>
  <c r="A22920" i="1"/>
  <c r="C22920" i="1"/>
  <c r="N22920" i="1"/>
  <c r="A22921" i="1"/>
  <c r="C22921" i="1"/>
  <c r="N22921" i="1"/>
  <c r="A22922" i="1"/>
  <c r="C22922" i="1"/>
  <c r="N22922" i="1"/>
  <c r="A22923" i="1"/>
  <c r="C22923" i="1"/>
  <c r="N22923" i="1"/>
  <c r="A22924" i="1"/>
  <c r="C22924" i="1"/>
  <c r="N22924" i="1"/>
  <c r="A22925" i="1"/>
  <c r="C22925" i="1"/>
  <c r="N22925" i="1"/>
  <c r="A22926" i="1"/>
  <c r="C22926" i="1"/>
  <c r="N22926" i="1"/>
  <c r="A22927" i="1"/>
  <c r="C22927" i="1"/>
  <c r="N22927" i="1"/>
  <c r="A22928" i="1"/>
  <c r="C22928" i="1"/>
  <c r="N22928" i="1"/>
  <c r="A22929" i="1"/>
  <c r="C22929" i="1"/>
  <c r="N22929" i="1"/>
  <c r="A22930" i="1"/>
  <c r="C22930" i="1"/>
  <c r="N22930" i="1"/>
  <c r="A22931" i="1"/>
  <c r="C22931" i="1"/>
  <c r="N22931" i="1"/>
  <c r="A22932" i="1"/>
  <c r="C22932" i="1"/>
  <c r="N22932" i="1"/>
  <c r="A22933" i="1"/>
  <c r="C22933" i="1"/>
  <c r="K22933" i="1"/>
  <c r="N22933" i="1"/>
  <c r="A22934" i="1"/>
  <c r="C22934" i="1"/>
  <c r="N22934" i="1"/>
  <c r="A22935" i="1"/>
  <c r="C22935" i="1"/>
  <c r="N22935" i="1"/>
  <c r="A22936" i="1"/>
  <c r="C22936" i="1"/>
  <c r="F22936" i="1"/>
  <c r="G22936" i="1"/>
  <c r="N22936" i="1"/>
  <c r="A22937" i="1"/>
  <c r="C22937" i="1"/>
  <c r="N22937" i="1"/>
  <c r="A22938" i="1"/>
  <c r="C22938" i="1"/>
  <c r="N22938" i="1"/>
  <c r="A22939" i="1"/>
  <c r="C22939" i="1"/>
  <c r="N22939" i="1"/>
  <c r="A22940" i="1"/>
  <c r="C22940" i="1"/>
  <c r="N22940" i="1"/>
  <c r="A22941" i="1"/>
  <c r="C22941" i="1"/>
  <c r="N22941" i="1"/>
  <c r="A22942" i="1"/>
  <c r="C22942" i="1"/>
  <c r="K22942" i="1"/>
  <c r="N22942" i="1"/>
  <c r="A22943" i="1"/>
  <c r="C22943" i="1"/>
  <c r="N22943" i="1"/>
  <c r="A22944" i="1"/>
  <c r="C22944" i="1"/>
  <c r="N22944" i="1"/>
  <c r="A22945" i="1"/>
  <c r="C22945" i="1"/>
  <c r="N22945" i="1"/>
  <c r="A22946" i="1"/>
  <c r="C22946" i="1"/>
  <c r="K22946" i="1"/>
  <c r="N22946" i="1"/>
  <c r="A22947" i="1"/>
  <c r="C22947" i="1"/>
  <c r="N22947" i="1"/>
  <c r="A22948" i="1"/>
  <c r="C22948" i="1"/>
  <c r="N22948" i="1"/>
  <c r="A22949" i="1"/>
  <c r="C22949" i="1"/>
  <c r="N22949" i="1"/>
  <c r="A22950" i="1"/>
  <c r="C22950" i="1"/>
  <c r="N22950" i="1"/>
  <c r="A22951" i="1"/>
  <c r="C22951" i="1"/>
  <c r="N22951" i="1"/>
  <c r="A22952" i="1"/>
  <c r="C22952" i="1"/>
  <c r="N22952" i="1"/>
  <c r="A22953" i="1"/>
  <c r="C22953" i="1"/>
  <c r="N22953" i="1"/>
  <c r="A22954" i="1"/>
  <c r="C22954" i="1"/>
  <c r="N22954" i="1"/>
  <c r="A22955" i="1"/>
  <c r="C22955" i="1"/>
  <c r="N22955" i="1"/>
  <c r="A22956" i="1"/>
  <c r="C22956" i="1"/>
  <c r="N22956" i="1"/>
  <c r="A22957" i="1"/>
  <c r="C22957" i="1"/>
  <c r="K22957" i="1"/>
  <c r="N22957" i="1"/>
  <c r="A22958" i="1"/>
  <c r="C22958" i="1"/>
  <c r="N22958" i="1"/>
  <c r="A22959" i="1"/>
  <c r="C22959" i="1"/>
  <c r="N22959" i="1"/>
  <c r="A22960" i="1"/>
  <c r="C22960" i="1"/>
  <c r="F22960" i="1"/>
  <c r="N22960" i="1"/>
  <c r="A22961" i="1"/>
  <c r="C22961" i="1"/>
  <c r="N22961" i="1"/>
  <c r="A22962" i="1"/>
  <c r="C22962" i="1"/>
  <c r="N22962" i="1"/>
  <c r="A22963" i="1"/>
  <c r="C22963" i="1"/>
  <c r="N22963" i="1"/>
  <c r="A22964" i="1"/>
  <c r="C22964" i="1"/>
  <c r="N22964" i="1"/>
  <c r="A22965" i="1"/>
  <c r="C22965" i="1"/>
  <c r="N22965" i="1"/>
  <c r="A22966" i="1"/>
  <c r="C22966" i="1"/>
  <c r="N22966" i="1"/>
  <c r="A22967" i="1"/>
  <c r="C22967" i="1"/>
  <c r="N22967" i="1"/>
  <c r="A22968" i="1"/>
  <c r="C22968" i="1"/>
  <c r="N22968" i="1"/>
  <c r="A22969" i="1"/>
  <c r="C22969" i="1"/>
  <c r="N22969" i="1"/>
  <c r="A22970" i="1"/>
  <c r="C22970" i="1"/>
  <c r="N22970" i="1"/>
  <c r="A22971" i="1"/>
  <c r="C22971" i="1"/>
  <c r="N22971" i="1"/>
  <c r="A22972" i="1"/>
  <c r="C22972" i="1"/>
  <c r="N22972" i="1"/>
  <c r="A22973" i="1"/>
  <c r="C22973" i="1"/>
  <c r="N22973" i="1"/>
  <c r="A22974" i="1"/>
  <c r="C22974" i="1"/>
  <c r="N22974" i="1"/>
  <c r="A22975" i="1"/>
  <c r="C22975" i="1"/>
  <c r="N22975" i="1"/>
  <c r="A22976" i="1"/>
  <c r="C22976" i="1"/>
  <c r="N22976" i="1"/>
  <c r="A22977" i="1"/>
  <c r="C22977" i="1"/>
  <c r="N22977" i="1"/>
  <c r="A22978" i="1"/>
  <c r="C22978" i="1"/>
  <c r="N22978" i="1"/>
  <c r="A22979" i="1"/>
  <c r="C22979" i="1"/>
  <c r="N22979" i="1"/>
  <c r="A22980" i="1"/>
  <c r="C22980" i="1"/>
  <c r="N22980" i="1"/>
  <c r="A22981" i="1"/>
  <c r="C22981" i="1"/>
  <c r="N22981" i="1"/>
  <c r="A22982" i="1"/>
  <c r="C22982" i="1"/>
  <c r="N22982" i="1"/>
  <c r="A22983" i="1"/>
  <c r="C22983" i="1"/>
  <c r="N22983" i="1"/>
  <c r="A22984" i="1"/>
  <c r="C22984" i="1"/>
  <c r="N22984" i="1"/>
  <c r="A22985" i="1"/>
  <c r="C22985" i="1"/>
  <c r="N22985" i="1"/>
  <c r="A22986" i="1"/>
  <c r="C22986" i="1"/>
  <c r="N22986" i="1"/>
  <c r="A22987" i="1"/>
  <c r="C22987" i="1"/>
  <c r="N22987" i="1"/>
  <c r="A22988" i="1"/>
  <c r="C22988" i="1"/>
  <c r="N22988" i="1"/>
  <c r="A22989" i="1"/>
  <c r="C22989" i="1"/>
  <c r="N22989" i="1"/>
  <c r="A22990" i="1"/>
  <c r="C22990" i="1"/>
  <c r="N22990" i="1"/>
  <c r="A22991" i="1"/>
  <c r="C22991" i="1"/>
  <c r="N22991" i="1"/>
  <c r="A22992" i="1"/>
  <c r="C22992" i="1"/>
  <c r="N22992" i="1"/>
  <c r="A22993" i="1"/>
  <c r="C22993" i="1"/>
  <c r="N22993" i="1"/>
  <c r="A22994" i="1"/>
  <c r="C22994" i="1"/>
  <c r="N22994" i="1"/>
  <c r="A22995" i="1"/>
  <c r="C22995" i="1"/>
  <c r="N22995" i="1"/>
  <c r="A22996" i="1"/>
  <c r="C22996" i="1"/>
  <c r="N22996" i="1"/>
  <c r="A22997" i="1"/>
  <c r="C22997" i="1"/>
  <c r="N22997" i="1"/>
  <c r="A22998" i="1"/>
  <c r="C22998" i="1"/>
  <c r="N22998" i="1"/>
  <c r="A22999" i="1"/>
  <c r="C22999" i="1"/>
  <c r="N22999" i="1"/>
  <c r="A23000" i="1"/>
  <c r="C23000" i="1"/>
  <c r="N23000" i="1"/>
  <c r="A23001" i="1"/>
  <c r="C23001" i="1"/>
  <c r="N23001" i="1"/>
  <c r="A23002" i="1"/>
  <c r="C23002" i="1"/>
  <c r="N23002" i="1"/>
  <c r="A23003" i="1"/>
  <c r="C23003" i="1"/>
  <c r="N23003" i="1"/>
  <c r="A23004" i="1"/>
  <c r="C23004" i="1"/>
  <c r="N23004" i="1"/>
  <c r="A23005" i="1"/>
  <c r="C23005" i="1"/>
  <c r="N23005" i="1"/>
  <c r="A23006" i="1"/>
  <c r="C23006" i="1"/>
  <c r="N23006" i="1"/>
  <c r="A23007" i="1"/>
  <c r="C23007" i="1"/>
  <c r="N23007" i="1"/>
  <c r="A23008" i="1"/>
  <c r="C23008" i="1"/>
  <c r="N23008" i="1"/>
  <c r="A23009" i="1"/>
  <c r="C23009" i="1"/>
  <c r="N23009" i="1"/>
  <c r="A23010" i="1"/>
  <c r="C23010" i="1"/>
  <c r="N23010" i="1"/>
  <c r="A23011" i="1"/>
  <c r="C23011" i="1"/>
  <c r="N23011" i="1"/>
  <c r="A23012" i="1"/>
  <c r="C23012" i="1"/>
  <c r="N23012" i="1"/>
  <c r="A23013" i="1"/>
  <c r="C23013" i="1"/>
  <c r="N23013" i="1"/>
  <c r="A23014" i="1"/>
  <c r="C23014" i="1"/>
  <c r="N23014" i="1"/>
  <c r="A23015" i="1"/>
  <c r="C23015" i="1"/>
  <c r="N23015" i="1"/>
  <c r="A23016" i="1"/>
  <c r="C23016" i="1"/>
  <c r="N23016" i="1"/>
  <c r="A23017" i="1"/>
  <c r="C23017" i="1"/>
  <c r="N23017" i="1"/>
  <c r="A23018" i="1"/>
  <c r="C23018" i="1"/>
  <c r="N23018" i="1"/>
  <c r="A23019" i="1"/>
  <c r="C23019" i="1"/>
  <c r="N23019" i="1"/>
  <c r="A23020" i="1"/>
  <c r="C23020" i="1"/>
  <c r="N23020" i="1"/>
  <c r="A23021" i="1"/>
  <c r="C23021" i="1"/>
  <c r="N23021" i="1"/>
  <c r="A23022" i="1"/>
  <c r="C23022" i="1"/>
  <c r="N23022" i="1"/>
  <c r="A23023" i="1"/>
  <c r="C23023" i="1"/>
  <c r="N23023" i="1"/>
  <c r="A23024" i="1"/>
  <c r="C23024" i="1"/>
  <c r="N23024" i="1"/>
  <c r="A23025" i="1"/>
  <c r="C23025" i="1"/>
  <c r="N23025" i="1"/>
  <c r="A23026" i="1"/>
  <c r="C23026" i="1"/>
  <c r="N23026" i="1"/>
  <c r="A23027" i="1"/>
  <c r="C23027" i="1"/>
  <c r="N23027" i="1"/>
  <c r="A23028" i="1"/>
  <c r="C23028" i="1"/>
  <c r="N23028" i="1"/>
  <c r="A23029" i="1"/>
  <c r="C23029" i="1"/>
  <c r="N23029" i="1"/>
  <c r="A23030" i="1"/>
  <c r="C23030" i="1"/>
  <c r="N23030" i="1"/>
  <c r="A23031" i="1"/>
  <c r="C23031" i="1"/>
  <c r="N23031" i="1"/>
  <c r="A23032" i="1"/>
  <c r="C23032" i="1"/>
  <c r="N23032" i="1"/>
  <c r="A23033" i="1"/>
  <c r="C23033" i="1"/>
  <c r="N23033" i="1"/>
  <c r="A23034" i="1"/>
  <c r="C23034" i="1"/>
  <c r="N23034" i="1"/>
  <c r="A23035" i="1"/>
  <c r="C23035" i="1"/>
  <c r="N23035" i="1"/>
  <c r="A23036" i="1"/>
  <c r="C23036" i="1"/>
  <c r="N23036" i="1"/>
  <c r="A23037" i="1"/>
  <c r="C23037" i="1"/>
  <c r="N23037" i="1"/>
  <c r="A23038" i="1"/>
  <c r="C23038" i="1"/>
  <c r="N23038" i="1"/>
  <c r="A23039" i="1"/>
  <c r="C23039" i="1"/>
  <c r="N23039" i="1"/>
  <c r="A23040" i="1"/>
  <c r="C23040" i="1"/>
  <c r="N23040" i="1"/>
  <c r="A23041" i="1"/>
  <c r="C23041" i="1"/>
  <c r="N23041" i="1"/>
  <c r="A23042" i="1"/>
  <c r="C23042" i="1"/>
  <c r="N23042" i="1"/>
  <c r="A23043" i="1"/>
  <c r="C23043" i="1"/>
  <c r="N23043" i="1"/>
  <c r="A23044" i="1"/>
  <c r="C23044" i="1"/>
  <c r="F23044" i="1"/>
  <c r="N23044" i="1"/>
  <c r="A23045" i="1"/>
  <c r="C23045" i="1"/>
  <c r="F23045" i="1"/>
  <c r="N23045" i="1"/>
  <c r="A23046" i="1"/>
  <c r="C23046" i="1"/>
  <c r="N23046" i="1"/>
  <c r="A23047" i="1"/>
  <c r="C23047" i="1"/>
  <c r="N23047" i="1"/>
  <c r="A23048" i="1"/>
  <c r="C23048" i="1"/>
  <c r="K23048" i="1"/>
  <c r="N23048" i="1"/>
  <c r="A23049" i="1"/>
  <c r="C23049" i="1"/>
  <c r="N23049" i="1"/>
  <c r="A23050" i="1"/>
  <c r="C23050" i="1"/>
  <c r="N23050" i="1"/>
  <c r="A23051" i="1"/>
  <c r="C23051" i="1"/>
  <c r="N23051" i="1"/>
  <c r="A23052" i="1"/>
  <c r="C23052" i="1"/>
  <c r="N23052" i="1"/>
  <c r="A23053" i="1"/>
  <c r="C23053" i="1"/>
  <c r="N23053" i="1"/>
  <c r="A23054" i="1"/>
  <c r="C23054" i="1"/>
  <c r="N23054" i="1"/>
  <c r="A23055" i="1"/>
  <c r="C23055" i="1"/>
  <c r="N23055" i="1"/>
  <c r="A23056" i="1"/>
  <c r="C23056" i="1"/>
  <c r="N23056" i="1"/>
  <c r="A23057" i="1"/>
  <c r="C23057" i="1"/>
  <c r="N23057" i="1"/>
  <c r="A23058" i="1"/>
  <c r="C23058" i="1"/>
  <c r="N23058" i="1"/>
  <c r="A23059" i="1"/>
  <c r="C23059" i="1"/>
  <c r="N23059" i="1"/>
  <c r="A23060" i="1"/>
  <c r="C23060" i="1"/>
  <c r="N23060" i="1"/>
  <c r="A23061" i="1"/>
  <c r="C23061" i="1"/>
  <c r="F23061" i="1"/>
  <c r="N23061" i="1"/>
  <c r="A23062" i="1"/>
  <c r="C23062" i="1"/>
  <c r="N23062" i="1"/>
  <c r="A23063" i="1"/>
  <c r="C23063" i="1"/>
  <c r="N23063" i="1"/>
  <c r="A23064" i="1"/>
  <c r="C23064" i="1"/>
  <c r="N23064" i="1"/>
  <c r="A23065" i="1"/>
  <c r="C23065" i="1"/>
  <c r="N23065" i="1"/>
  <c r="A23066" i="1"/>
  <c r="C23066" i="1"/>
  <c r="N23066" i="1"/>
  <c r="A23067" i="1"/>
  <c r="C23067" i="1"/>
  <c r="N23067" i="1"/>
  <c r="A23068" i="1"/>
  <c r="C23068" i="1"/>
  <c r="N23068" i="1"/>
  <c r="A23069" i="1"/>
  <c r="C23069" i="1"/>
  <c r="N23069" i="1"/>
  <c r="A23070" i="1"/>
  <c r="C23070" i="1"/>
  <c r="N23070" i="1"/>
  <c r="A23071" i="1"/>
  <c r="C23071" i="1"/>
  <c r="N23071" i="1"/>
  <c r="A23072" i="1"/>
  <c r="C23072" i="1"/>
  <c r="N23072" i="1"/>
  <c r="A23073" i="1"/>
  <c r="C23073" i="1"/>
  <c r="N23073" i="1"/>
  <c r="A23074" i="1"/>
  <c r="C23074" i="1"/>
  <c r="N23074" i="1"/>
  <c r="A23075" i="1"/>
  <c r="C23075" i="1"/>
  <c r="N23075" i="1"/>
  <c r="A23076" i="1"/>
  <c r="C23076" i="1"/>
  <c r="N23076" i="1"/>
  <c r="A23077" i="1"/>
  <c r="C23077" i="1"/>
  <c r="N23077" i="1"/>
  <c r="A23078" i="1"/>
  <c r="C23078" i="1"/>
  <c r="N23078" i="1"/>
  <c r="A23079" i="1"/>
  <c r="C23079" i="1"/>
  <c r="N23079" i="1"/>
  <c r="A23080" i="1"/>
  <c r="C23080" i="1"/>
  <c r="N23080" i="1"/>
  <c r="A23081" i="1"/>
  <c r="C23081" i="1"/>
  <c r="N23081" i="1"/>
  <c r="A23082" i="1"/>
  <c r="C23082" i="1"/>
  <c r="N23082" i="1"/>
  <c r="A23083" i="1"/>
  <c r="C23083" i="1"/>
  <c r="N23083" i="1"/>
  <c r="A23084" i="1"/>
  <c r="C23084" i="1"/>
  <c r="N23084" i="1"/>
  <c r="A23085" i="1"/>
  <c r="C23085" i="1"/>
  <c r="N23085" i="1"/>
  <c r="A23086" i="1"/>
  <c r="C23086" i="1"/>
  <c r="N23086" i="1"/>
  <c r="A23087" i="1"/>
  <c r="C23087" i="1"/>
  <c r="N23087" i="1"/>
  <c r="A23088" i="1"/>
  <c r="C23088" i="1"/>
  <c r="N23088" i="1"/>
  <c r="A23089" i="1"/>
  <c r="C23089" i="1"/>
  <c r="N23089" i="1"/>
  <c r="A23090" i="1"/>
  <c r="C23090" i="1"/>
  <c r="N23090" i="1"/>
  <c r="A23091" i="1"/>
  <c r="C23091" i="1"/>
  <c r="N23091" i="1"/>
  <c r="A23092" i="1"/>
  <c r="C23092" i="1"/>
  <c r="N23092" i="1"/>
  <c r="A23093" i="1"/>
  <c r="C23093" i="1"/>
  <c r="N23093" i="1"/>
  <c r="A23094" i="1"/>
  <c r="C23094" i="1"/>
  <c r="N23094" i="1"/>
  <c r="A23095" i="1"/>
  <c r="C23095" i="1"/>
  <c r="N23095" i="1"/>
  <c r="A23096" i="1"/>
  <c r="C23096" i="1"/>
  <c r="N23096" i="1"/>
  <c r="A23097" i="1"/>
  <c r="C23097" i="1"/>
  <c r="N23097" i="1"/>
  <c r="A23098" i="1"/>
  <c r="C23098" i="1"/>
  <c r="N23098" i="1"/>
  <c r="A23099" i="1"/>
  <c r="C23099" i="1"/>
  <c r="N23099" i="1"/>
  <c r="A23100" i="1"/>
  <c r="C23100" i="1"/>
  <c r="N23100" i="1"/>
  <c r="A23101" i="1"/>
  <c r="C23101" i="1"/>
  <c r="N23101" i="1"/>
  <c r="A23102" i="1"/>
  <c r="C23102" i="1"/>
  <c r="N23102" i="1"/>
  <c r="A23103" i="1"/>
  <c r="C23103" i="1"/>
  <c r="N23103" i="1"/>
  <c r="A23104" i="1"/>
  <c r="C23104" i="1"/>
  <c r="N23104" i="1"/>
  <c r="A23105" i="1"/>
  <c r="C23105" i="1"/>
  <c r="N23105" i="1"/>
  <c r="A23106" i="1"/>
  <c r="C23106" i="1"/>
  <c r="N23106" i="1"/>
  <c r="A23107" i="1"/>
  <c r="C23107" i="1"/>
  <c r="N23107" i="1"/>
  <c r="A23108" i="1"/>
  <c r="C23108" i="1"/>
  <c r="F23108" i="1"/>
  <c r="N23108" i="1"/>
  <c r="A23109" i="1"/>
  <c r="C23109" i="1"/>
  <c r="N23109" i="1"/>
  <c r="A23110" i="1"/>
  <c r="C23110" i="1"/>
  <c r="N23110" i="1"/>
  <c r="A23111" i="1"/>
  <c r="C23111" i="1"/>
  <c r="N23111" i="1"/>
  <c r="A23112" i="1"/>
  <c r="C23112" i="1"/>
  <c r="N23112" i="1"/>
  <c r="A23113" i="1"/>
  <c r="C23113" i="1"/>
  <c r="N23113" i="1"/>
  <c r="A23114" i="1"/>
  <c r="C23114" i="1"/>
  <c r="N23114" i="1"/>
  <c r="A23115" i="1"/>
  <c r="C23115" i="1"/>
  <c r="N23115" i="1"/>
  <c r="A23116" i="1"/>
  <c r="C23116" i="1"/>
  <c r="K23116" i="1"/>
  <c r="N23116" i="1"/>
  <c r="A23117" i="1"/>
  <c r="C23117" i="1"/>
  <c r="N23117" i="1"/>
  <c r="A23118" i="1"/>
  <c r="C23118" i="1"/>
  <c r="N23118" i="1"/>
  <c r="A23119" i="1"/>
  <c r="C23119" i="1"/>
  <c r="N23119" i="1"/>
  <c r="A23120" i="1"/>
  <c r="C23120" i="1"/>
  <c r="N23120" i="1"/>
  <c r="A23121" i="1"/>
  <c r="C23121" i="1"/>
  <c r="N23121" i="1"/>
  <c r="A23122" i="1"/>
  <c r="C23122" i="1"/>
  <c r="N23122" i="1"/>
  <c r="A23123" i="1"/>
  <c r="C23123" i="1"/>
  <c r="N23123" i="1"/>
  <c r="A23124" i="1"/>
  <c r="C23124" i="1"/>
  <c r="N23124" i="1"/>
  <c r="A23125" i="1"/>
  <c r="C23125" i="1"/>
  <c r="N23125" i="1"/>
  <c r="A23126" i="1"/>
  <c r="C23126" i="1"/>
  <c r="N23126" i="1"/>
  <c r="A23127" i="1"/>
  <c r="C23127" i="1"/>
  <c r="N23127" i="1"/>
  <c r="A23128" i="1"/>
  <c r="C23128" i="1"/>
  <c r="N23128" i="1"/>
  <c r="A23129" i="1"/>
  <c r="C23129" i="1"/>
  <c r="N23129" i="1"/>
  <c r="A23130" i="1"/>
  <c r="C23130" i="1"/>
  <c r="N23130" i="1"/>
  <c r="A23131" i="1"/>
  <c r="C23131" i="1"/>
  <c r="N23131" i="1"/>
  <c r="A23132" i="1"/>
  <c r="C23132" i="1"/>
  <c r="N23132" i="1"/>
  <c r="A23133" i="1"/>
  <c r="C23133" i="1"/>
  <c r="N23133" i="1"/>
  <c r="A23134" i="1"/>
  <c r="C23134" i="1"/>
  <c r="N23134" i="1"/>
  <c r="A23135" i="1"/>
  <c r="C23135" i="1"/>
  <c r="N23135" i="1"/>
  <c r="A23136" i="1"/>
  <c r="C23136" i="1"/>
  <c r="N23136" i="1"/>
  <c r="A23137" i="1"/>
  <c r="C23137" i="1"/>
  <c r="N23137" i="1"/>
  <c r="A23138" i="1"/>
  <c r="C23138" i="1"/>
  <c r="N23138" i="1"/>
  <c r="A23139" i="1"/>
  <c r="C23139" i="1"/>
  <c r="N23139" i="1"/>
  <c r="A23140" i="1"/>
  <c r="C23140" i="1"/>
  <c r="K23140" i="1"/>
  <c r="N23140" i="1"/>
  <c r="A23141" i="1"/>
  <c r="C23141" i="1"/>
  <c r="N23141" i="1"/>
  <c r="A23142" i="1"/>
  <c r="C23142" i="1"/>
  <c r="N23142" i="1"/>
  <c r="A23143" i="1"/>
  <c r="C23143" i="1"/>
  <c r="N23143" i="1"/>
  <c r="A23144" i="1"/>
  <c r="C23144" i="1"/>
  <c r="N23144" i="1"/>
  <c r="A23145" i="1"/>
  <c r="C23145" i="1"/>
  <c r="N23145" i="1"/>
  <c r="A23146" i="1"/>
  <c r="C23146" i="1"/>
  <c r="N23146" i="1"/>
  <c r="A23147" i="1"/>
  <c r="C23147" i="1"/>
  <c r="N23147" i="1"/>
  <c r="A23148" i="1"/>
  <c r="C23148" i="1"/>
  <c r="N23148" i="1"/>
  <c r="A23149" i="1"/>
  <c r="C23149" i="1"/>
  <c r="N23149" i="1"/>
  <c r="A23150" i="1"/>
  <c r="C23150" i="1"/>
  <c r="N23150" i="1"/>
  <c r="A23151" i="1"/>
  <c r="C23151" i="1"/>
  <c r="N23151" i="1"/>
  <c r="A23152" i="1"/>
  <c r="C23152" i="1"/>
  <c r="N23152" i="1"/>
  <c r="A23153" i="1"/>
  <c r="C23153" i="1"/>
  <c r="N23153" i="1"/>
  <c r="A23154" i="1"/>
  <c r="C23154" i="1"/>
  <c r="K23154" i="1"/>
  <c r="N23154" i="1"/>
  <c r="A23155" i="1"/>
  <c r="C23155" i="1"/>
  <c r="N23155" i="1"/>
  <c r="A23156" i="1"/>
  <c r="C23156" i="1"/>
  <c r="N23156" i="1"/>
  <c r="A23157" i="1"/>
  <c r="C23157" i="1"/>
  <c r="N23157" i="1"/>
  <c r="A23158" i="1"/>
  <c r="C23158" i="1"/>
  <c r="N23158" i="1"/>
  <c r="A23159" i="1"/>
  <c r="C23159" i="1"/>
  <c r="N23159" i="1"/>
  <c r="A23160" i="1"/>
  <c r="C23160" i="1"/>
  <c r="N23160" i="1"/>
  <c r="A23161" i="1"/>
  <c r="C23161" i="1"/>
  <c r="N23161" i="1"/>
  <c r="A23162" i="1"/>
  <c r="C23162" i="1"/>
  <c r="N23162" i="1"/>
  <c r="A23163" i="1"/>
  <c r="C23163" i="1"/>
  <c r="N23163" i="1"/>
  <c r="A23164" i="1"/>
  <c r="C23164" i="1"/>
  <c r="N23164" i="1"/>
  <c r="A23165" i="1"/>
  <c r="C23165" i="1"/>
  <c r="N23165" i="1"/>
  <c r="A23166" i="1"/>
  <c r="C23166" i="1"/>
  <c r="N23166" i="1"/>
  <c r="A23167" i="1"/>
  <c r="C23167" i="1"/>
  <c r="N23167" i="1"/>
  <c r="A23168" i="1"/>
  <c r="C23168" i="1"/>
  <c r="N23168" i="1"/>
  <c r="A23169" i="1"/>
  <c r="C23169" i="1"/>
  <c r="N23169" i="1"/>
  <c r="A23170" i="1"/>
  <c r="C23170" i="1"/>
  <c r="N23170" i="1"/>
  <c r="A23171" i="1"/>
  <c r="C23171" i="1"/>
  <c r="N23171" i="1"/>
  <c r="A23172" i="1"/>
  <c r="C23172" i="1"/>
  <c r="N23172" i="1"/>
  <c r="A23173" i="1"/>
  <c r="C23173" i="1"/>
  <c r="N23173" i="1"/>
  <c r="A23174" i="1"/>
  <c r="C23174" i="1"/>
  <c r="N23174" i="1"/>
  <c r="A23175" i="1"/>
  <c r="C23175" i="1"/>
  <c r="N23175" i="1"/>
  <c r="A23176" i="1"/>
  <c r="C23176" i="1"/>
  <c r="N23176" i="1"/>
  <c r="A23177" i="1"/>
  <c r="C23177" i="1"/>
  <c r="N23177" i="1"/>
  <c r="A23178" i="1"/>
  <c r="C23178" i="1"/>
  <c r="N23178" i="1"/>
  <c r="A23179" i="1"/>
  <c r="C23179" i="1"/>
  <c r="N23179" i="1"/>
  <c r="A23180" i="1"/>
  <c r="C23180" i="1"/>
  <c r="N23180" i="1"/>
  <c r="A23181" i="1"/>
  <c r="C23181" i="1"/>
  <c r="N23181" i="1"/>
  <c r="A23182" i="1"/>
  <c r="C23182" i="1"/>
  <c r="N23182" i="1"/>
  <c r="A23183" i="1"/>
  <c r="C23183" i="1"/>
  <c r="N23183" i="1"/>
  <c r="A23184" i="1"/>
  <c r="C23184" i="1"/>
  <c r="N23184" i="1"/>
  <c r="A23185" i="1"/>
  <c r="C23185" i="1"/>
  <c r="N23185" i="1"/>
  <c r="A23186" i="1"/>
  <c r="C23186" i="1"/>
  <c r="N23186" i="1"/>
  <c r="A23187" i="1"/>
  <c r="C23187" i="1"/>
  <c r="N23187" i="1"/>
  <c r="A23188" i="1"/>
  <c r="C23188" i="1"/>
  <c r="N23188" i="1"/>
  <c r="A23189" i="1"/>
  <c r="C23189" i="1"/>
  <c r="N23189" i="1"/>
  <c r="A23190" i="1"/>
  <c r="C23190" i="1"/>
  <c r="N23190" i="1"/>
  <c r="A23191" i="1"/>
  <c r="C23191" i="1"/>
  <c r="N23191" i="1"/>
  <c r="A23192" i="1"/>
  <c r="C23192" i="1"/>
  <c r="N23192" i="1"/>
  <c r="A23193" i="1"/>
  <c r="C23193" i="1"/>
  <c r="N23193" i="1"/>
  <c r="A23194" i="1"/>
  <c r="C23194" i="1"/>
  <c r="N23194" i="1"/>
  <c r="A23195" i="1"/>
  <c r="C23195" i="1"/>
  <c r="N23195" i="1"/>
  <c r="A23196" i="1"/>
  <c r="C23196" i="1"/>
  <c r="N23196" i="1"/>
  <c r="A23197" i="1"/>
  <c r="C23197" i="1"/>
  <c r="N23197" i="1"/>
  <c r="A23198" i="1"/>
  <c r="C23198" i="1"/>
  <c r="N23198" i="1"/>
  <c r="A23199" i="1"/>
  <c r="C23199" i="1"/>
  <c r="N23199" i="1"/>
  <c r="A23200" i="1"/>
  <c r="C23200" i="1"/>
  <c r="N23200" i="1"/>
  <c r="A23201" i="1"/>
  <c r="C23201" i="1"/>
  <c r="F23201" i="1"/>
  <c r="N23201" i="1"/>
  <c r="A23202" i="1"/>
  <c r="C23202" i="1"/>
  <c r="N23202" i="1"/>
  <c r="A23203" i="1"/>
  <c r="C23203" i="1"/>
  <c r="N23203" i="1"/>
  <c r="A23204" i="1"/>
  <c r="C23204" i="1"/>
  <c r="N23204" i="1"/>
  <c r="A23205" i="1"/>
  <c r="C23205" i="1"/>
  <c r="K23205" i="1"/>
  <c r="N23205" i="1"/>
  <c r="A23206" i="1"/>
  <c r="C23206" i="1"/>
  <c r="K23206" i="1"/>
  <c r="N23206" i="1"/>
  <c r="A23207" i="1"/>
  <c r="C23207" i="1"/>
  <c r="K23207" i="1"/>
  <c r="N23207" i="1"/>
  <c r="A23208" i="1"/>
  <c r="C23208" i="1"/>
  <c r="K23208" i="1"/>
  <c r="N23208" i="1"/>
  <c r="A23209" i="1"/>
  <c r="C23209" i="1"/>
  <c r="K23209" i="1"/>
  <c r="N23209" i="1"/>
  <c r="A23210" i="1"/>
  <c r="C23210" i="1"/>
  <c r="N23210" i="1"/>
  <c r="A23211" i="1"/>
  <c r="C23211" i="1"/>
  <c r="N23211" i="1"/>
  <c r="A23212" i="1"/>
  <c r="C23212" i="1"/>
  <c r="N23212" i="1"/>
  <c r="A23213" i="1"/>
  <c r="C23213" i="1"/>
  <c r="N23213" i="1"/>
  <c r="A23214" i="1"/>
  <c r="C23214" i="1"/>
  <c r="N23214" i="1"/>
  <c r="A23215" i="1"/>
  <c r="C23215" i="1"/>
  <c r="N23215" i="1"/>
  <c r="A23216" i="1"/>
  <c r="C23216" i="1"/>
  <c r="N23216" i="1"/>
  <c r="A23217" i="1"/>
  <c r="C23217" i="1"/>
  <c r="N23217" i="1"/>
  <c r="A23218" i="1"/>
  <c r="C23218" i="1"/>
  <c r="N23218" i="1"/>
  <c r="A23219" i="1"/>
  <c r="C23219" i="1"/>
  <c r="N23219" i="1"/>
  <c r="A23220" i="1"/>
  <c r="C23220" i="1"/>
  <c r="K23220" i="1"/>
  <c r="N23220" i="1"/>
  <c r="A23221" i="1"/>
  <c r="C23221" i="1"/>
  <c r="N23221" i="1"/>
  <c r="A23222" i="1"/>
  <c r="C23222" i="1"/>
  <c r="N23222" i="1"/>
  <c r="A23223" i="1"/>
  <c r="C23223" i="1"/>
  <c r="N23223" i="1"/>
  <c r="A23224" i="1"/>
  <c r="C23224" i="1"/>
  <c r="N23224" i="1"/>
  <c r="A23225" i="1"/>
  <c r="C23225" i="1"/>
  <c r="N23225" i="1"/>
  <c r="A23226" i="1"/>
  <c r="C23226" i="1"/>
  <c r="O23226" i="1"/>
  <c r="A23227" i="1"/>
  <c r="C23227" i="1"/>
  <c r="N23227" i="1"/>
  <c r="A23228" i="1"/>
  <c r="C23228" i="1"/>
  <c r="N23228" i="1"/>
  <c r="A23229" i="1"/>
  <c r="C23229" i="1"/>
  <c r="N23229" i="1"/>
  <c r="A23230" i="1"/>
  <c r="C23230" i="1"/>
  <c r="K23230" i="1"/>
  <c r="N23230" i="1"/>
  <c r="A23231" i="1"/>
  <c r="C23231" i="1"/>
  <c r="N23231" i="1"/>
  <c r="A23232" i="1"/>
  <c r="C23232" i="1"/>
  <c r="N23232" i="1"/>
  <c r="A23233" i="1"/>
  <c r="C23233" i="1"/>
  <c r="N23233" i="1"/>
  <c r="A23234" i="1"/>
  <c r="C23234" i="1"/>
  <c r="N23234" i="1"/>
  <c r="A23235" i="1"/>
  <c r="C23235" i="1"/>
  <c r="N23235" i="1"/>
  <c r="A23236" i="1"/>
  <c r="C23236" i="1"/>
  <c r="N23236" i="1"/>
  <c r="A23237" i="1"/>
  <c r="C23237" i="1"/>
  <c r="N23237" i="1"/>
  <c r="A23238" i="1"/>
  <c r="C23238" i="1"/>
  <c r="N23238" i="1"/>
  <c r="A23239" i="1"/>
  <c r="C23239" i="1"/>
  <c r="N23239" i="1"/>
  <c r="A23240" i="1"/>
  <c r="C23240" i="1"/>
  <c r="N23240" i="1"/>
  <c r="A23241" i="1"/>
  <c r="C23241" i="1"/>
  <c r="N23241" i="1"/>
  <c r="A23242" i="1"/>
  <c r="C23242" i="1"/>
  <c r="N23242" i="1"/>
  <c r="A23243" i="1"/>
  <c r="C23243" i="1"/>
  <c r="N23243" i="1"/>
  <c r="A23244" i="1"/>
  <c r="C23244" i="1"/>
  <c r="N23244" i="1"/>
  <c r="A23245" i="1"/>
  <c r="C23245" i="1"/>
  <c r="N23245" i="1"/>
  <c r="A23246" i="1"/>
  <c r="C23246" i="1"/>
  <c r="N23246" i="1"/>
  <c r="A23247" i="1"/>
  <c r="C23247" i="1"/>
  <c r="N23247" i="1"/>
  <c r="A23248" i="1"/>
  <c r="C23248" i="1"/>
  <c r="N23248" i="1"/>
  <c r="A23249" i="1"/>
  <c r="C23249" i="1"/>
  <c r="N23249" i="1"/>
  <c r="A23250" i="1"/>
  <c r="C23250" i="1"/>
  <c r="N23250" i="1"/>
  <c r="A23251" i="1"/>
  <c r="C23251" i="1"/>
  <c r="N23251" i="1"/>
  <c r="A23252" i="1"/>
  <c r="C23252" i="1"/>
  <c r="K23252" i="1"/>
  <c r="N23252" i="1"/>
  <c r="A23253" i="1"/>
  <c r="C23253" i="1"/>
  <c r="N23253" i="1"/>
  <c r="A23254" i="1"/>
  <c r="C23254" i="1"/>
  <c r="K23254" i="1"/>
  <c r="N23254" i="1"/>
  <c r="A23255" i="1"/>
  <c r="C23255" i="1"/>
  <c r="N23255" i="1"/>
  <c r="A23256" i="1"/>
  <c r="C23256" i="1"/>
  <c r="N23256" i="1"/>
  <c r="A23257" i="1"/>
  <c r="C23257" i="1"/>
  <c r="N23257" i="1"/>
  <c r="A23258" i="1"/>
  <c r="C23258" i="1"/>
  <c r="N23258" i="1"/>
  <c r="A23259" i="1"/>
  <c r="C23259" i="1"/>
  <c r="N23259" i="1"/>
  <c r="A23260" i="1"/>
  <c r="C23260" i="1"/>
  <c r="N23260" i="1"/>
  <c r="A23261" i="1"/>
  <c r="C23261" i="1"/>
  <c r="N23261" i="1"/>
  <c r="A23262" i="1"/>
  <c r="C23262" i="1"/>
  <c r="N23262" i="1"/>
  <c r="A23263" i="1"/>
  <c r="C23263" i="1"/>
  <c r="N23263" i="1"/>
  <c r="A23264" i="1"/>
  <c r="C23264" i="1"/>
  <c r="N23264" i="1"/>
  <c r="A23265" i="1"/>
  <c r="C23265" i="1"/>
  <c r="N23265" i="1"/>
  <c r="A23266" i="1"/>
  <c r="C23266" i="1"/>
  <c r="N23266" i="1"/>
  <c r="A23267" i="1"/>
  <c r="C23267" i="1"/>
  <c r="N23267" i="1"/>
  <c r="A23268" i="1"/>
  <c r="C23268" i="1"/>
  <c r="N23268" i="1"/>
  <c r="A23269" i="1"/>
  <c r="C23269" i="1"/>
  <c r="N23269" i="1"/>
  <c r="A23270" i="1"/>
  <c r="C23270" i="1"/>
  <c r="N23270" i="1"/>
  <c r="A23271" i="1"/>
  <c r="C23271" i="1"/>
  <c r="N23271" i="1"/>
  <c r="A23272" i="1"/>
  <c r="C23272" i="1"/>
  <c r="N23272" i="1"/>
  <c r="A23273" i="1"/>
  <c r="C23273" i="1"/>
  <c r="N23273" i="1"/>
  <c r="A23274" i="1"/>
  <c r="C23274" i="1"/>
  <c r="N23274" i="1"/>
  <c r="A23275" i="1"/>
  <c r="C23275" i="1"/>
  <c r="N23275" i="1"/>
  <c r="A23276" i="1"/>
  <c r="C23276" i="1"/>
  <c r="E23276" i="1"/>
  <c r="N23276" i="1"/>
  <c r="T23276" i="1"/>
  <c r="A23277" i="1"/>
  <c r="C23277" i="1"/>
  <c r="N23277" i="1"/>
  <c r="A23278" i="1"/>
  <c r="C23278" i="1"/>
  <c r="N23278" i="1"/>
  <c r="A23279" i="1"/>
  <c r="C23279" i="1"/>
  <c r="N23279" i="1"/>
  <c r="A23280" i="1"/>
  <c r="C23280" i="1"/>
  <c r="N23280" i="1"/>
  <c r="A23281" i="1"/>
  <c r="C23281" i="1"/>
  <c r="N23281" i="1"/>
  <c r="A23282" i="1"/>
  <c r="C23282" i="1"/>
  <c r="N23282" i="1"/>
  <c r="A23283" i="1"/>
  <c r="C23283" i="1"/>
  <c r="N23283" i="1"/>
  <c r="A23284" i="1"/>
  <c r="C23284" i="1"/>
  <c r="D23284" i="1"/>
  <c r="N23284" i="1"/>
  <c r="O23284" i="1"/>
  <c r="A23285" i="1"/>
  <c r="C23285" i="1"/>
  <c r="N23285" i="1"/>
  <c r="A23286" i="1"/>
  <c r="C23286" i="1"/>
  <c r="N23286" i="1"/>
  <c r="A23287" i="1"/>
  <c r="C23287" i="1"/>
  <c r="N23287" i="1"/>
  <c r="A23288" i="1"/>
  <c r="C23288" i="1"/>
  <c r="N23288" i="1"/>
  <c r="A23289" i="1"/>
  <c r="C23289" i="1"/>
  <c r="N23289" i="1"/>
  <c r="A23290" i="1"/>
  <c r="C23290" i="1"/>
  <c r="N23290" i="1"/>
  <c r="A23291" i="1"/>
  <c r="C23291" i="1"/>
  <c r="N23291" i="1"/>
  <c r="A23292" i="1"/>
  <c r="C23292" i="1"/>
  <c r="N23292" i="1"/>
  <c r="A23293" i="1"/>
  <c r="C23293" i="1"/>
  <c r="N23293" i="1"/>
  <c r="A23294" i="1"/>
  <c r="C23294" i="1"/>
  <c r="N23294" i="1"/>
  <c r="A23295" i="1"/>
  <c r="C23295" i="1"/>
  <c r="N23295" i="1"/>
  <c r="A23296" i="1"/>
  <c r="C23296" i="1"/>
  <c r="N23296" i="1"/>
  <c r="A23297" i="1"/>
  <c r="C23297" i="1"/>
  <c r="N23297" i="1"/>
  <c r="A23298" i="1"/>
  <c r="C23298" i="1"/>
  <c r="N23298" i="1"/>
  <c r="A23299" i="1"/>
  <c r="C23299" i="1"/>
  <c r="N23299" i="1"/>
  <c r="A23300" i="1"/>
  <c r="C23300" i="1"/>
  <c r="N23300" i="1"/>
  <c r="A23301" i="1"/>
  <c r="C23301" i="1"/>
  <c r="N23301" i="1"/>
  <c r="A23302" i="1"/>
  <c r="C23302" i="1"/>
  <c r="N23302" i="1"/>
  <c r="A23303" i="1"/>
  <c r="C23303" i="1"/>
  <c r="N23303" i="1"/>
  <c r="A23304" i="1"/>
  <c r="C23304" i="1"/>
  <c r="N23304" i="1"/>
  <c r="A23305" i="1"/>
  <c r="C23305" i="1"/>
  <c r="N23305" i="1"/>
  <c r="A23306" i="1"/>
  <c r="C23306" i="1"/>
  <c r="N23306" i="1"/>
  <c r="A23307" i="1"/>
  <c r="C23307" i="1"/>
  <c r="N23307" i="1"/>
  <c r="A23308" i="1"/>
  <c r="C23308" i="1"/>
  <c r="N23308" i="1"/>
  <c r="A23309" i="1"/>
  <c r="C23309" i="1"/>
  <c r="N23309" i="1"/>
  <c r="A23310" i="1"/>
  <c r="C23310" i="1"/>
  <c r="N23310" i="1"/>
  <c r="A23311" i="1"/>
  <c r="C23311" i="1"/>
  <c r="N23311" i="1"/>
  <c r="A23312" i="1"/>
  <c r="C23312" i="1"/>
  <c r="N23312" i="1"/>
  <c r="A23313" i="1"/>
  <c r="C23313" i="1"/>
  <c r="N23313" i="1"/>
  <c r="A23314" i="1"/>
  <c r="C23314" i="1"/>
  <c r="N23314" i="1"/>
  <c r="A23315" i="1"/>
  <c r="C23315" i="1"/>
  <c r="N23315" i="1"/>
  <c r="A23316" i="1"/>
  <c r="C23316" i="1"/>
  <c r="N23316" i="1"/>
  <c r="A23317" i="1"/>
  <c r="C23317" i="1"/>
  <c r="N23317" i="1"/>
  <c r="A23318" i="1"/>
  <c r="C23318" i="1"/>
  <c r="N23318" i="1"/>
  <c r="A23319" i="1"/>
  <c r="C23319" i="1"/>
  <c r="N23319" i="1"/>
  <c r="A23320" i="1"/>
  <c r="C23320" i="1"/>
  <c r="N23320" i="1"/>
  <c r="A23321" i="1"/>
  <c r="C23321" i="1"/>
  <c r="N23321" i="1"/>
  <c r="A23322" i="1"/>
  <c r="C23322" i="1"/>
  <c r="N23322" i="1"/>
  <c r="A23323" i="1"/>
  <c r="C23323" i="1"/>
  <c r="N23323" i="1"/>
  <c r="A23324" i="1"/>
  <c r="C23324" i="1"/>
  <c r="N23324" i="1"/>
  <c r="A23325" i="1"/>
  <c r="C23325" i="1"/>
  <c r="N23325" i="1"/>
  <c r="A23326" i="1"/>
  <c r="C23326" i="1"/>
  <c r="N23326" i="1"/>
  <c r="A23327" i="1"/>
  <c r="C23327" i="1"/>
  <c r="N23327" i="1"/>
  <c r="A23328" i="1"/>
  <c r="C23328" i="1"/>
  <c r="N23328" i="1"/>
  <c r="A23329" i="1"/>
  <c r="C23329" i="1"/>
  <c r="K23329" i="1"/>
  <c r="N23329" i="1"/>
  <c r="A23330" i="1"/>
  <c r="C23330" i="1"/>
  <c r="K23330" i="1"/>
  <c r="N23330" i="1"/>
  <c r="A23331" i="1"/>
  <c r="C23331" i="1"/>
  <c r="K23331" i="1"/>
  <c r="N23331" i="1"/>
  <c r="A23332" i="1"/>
  <c r="C23332" i="1"/>
  <c r="N23332" i="1"/>
  <c r="A23333" i="1"/>
  <c r="C23333" i="1"/>
  <c r="N23333" i="1"/>
  <c r="A23334" i="1"/>
  <c r="C23334" i="1"/>
  <c r="N23334" i="1"/>
  <c r="A23335" i="1"/>
  <c r="C23335" i="1"/>
  <c r="N23335" i="1"/>
  <c r="A23336" i="1"/>
  <c r="C23336" i="1"/>
  <c r="N23336" i="1"/>
  <c r="A23337" i="1"/>
  <c r="C23337" i="1"/>
  <c r="E23337" i="1"/>
  <c r="K23337" i="1"/>
  <c r="N23337" i="1"/>
  <c r="T23337" i="1"/>
  <c r="A23338" i="1"/>
  <c r="C23338" i="1"/>
  <c r="N23338" i="1"/>
  <c r="A23339" i="1"/>
  <c r="C23339" i="1"/>
  <c r="N23339" i="1"/>
  <c r="A23340" i="1"/>
  <c r="C23340" i="1"/>
  <c r="N23340" i="1"/>
  <c r="A23341" i="1"/>
  <c r="C23341" i="1"/>
  <c r="N23341" i="1"/>
  <c r="A23342" i="1"/>
  <c r="C23342" i="1"/>
  <c r="N23342" i="1"/>
  <c r="A23343" i="1"/>
  <c r="C23343" i="1"/>
  <c r="N23343" i="1"/>
  <c r="A23344" i="1"/>
  <c r="C23344" i="1"/>
  <c r="N23344" i="1"/>
  <c r="A23345" i="1"/>
  <c r="C23345" i="1"/>
  <c r="N23345" i="1"/>
  <c r="A23346" i="1"/>
  <c r="C23346" i="1"/>
  <c r="N23346" i="1"/>
  <c r="A23347" i="1"/>
  <c r="C23347" i="1"/>
  <c r="N23347" i="1"/>
  <c r="A23348" i="1"/>
  <c r="C23348" i="1"/>
  <c r="N23348" i="1"/>
  <c r="A23349" i="1"/>
  <c r="C23349" i="1"/>
  <c r="N23349" i="1"/>
  <c r="A23350" i="1"/>
  <c r="C23350" i="1"/>
  <c r="N23350" i="1"/>
  <c r="A23351" i="1"/>
  <c r="C23351" i="1"/>
  <c r="N23351" i="1"/>
  <c r="A23352" i="1"/>
  <c r="C23352" i="1"/>
  <c r="N23352" i="1"/>
  <c r="A23353" i="1"/>
  <c r="C23353" i="1"/>
  <c r="N23353" i="1"/>
  <c r="A23354" i="1"/>
  <c r="C23354" i="1"/>
  <c r="N23354" i="1"/>
  <c r="A23355" i="1"/>
  <c r="C23355" i="1"/>
  <c r="N23355" i="1"/>
  <c r="A23356" i="1"/>
  <c r="C23356" i="1"/>
  <c r="N23356" i="1"/>
  <c r="A23357" i="1"/>
  <c r="C23357" i="1"/>
  <c r="N23357" i="1"/>
  <c r="A23358" i="1"/>
  <c r="C23358" i="1"/>
  <c r="N23358" i="1"/>
  <c r="A23359" i="1"/>
  <c r="C23359" i="1"/>
  <c r="N23359" i="1"/>
  <c r="A23360" i="1"/>
  <c r="C23360" i="1"/>
  <c r="N23360" i="1"/>
  <c r="A23361" i="1"/>
  <c r="C23361" i="1"/>
  <c r="N23361" i="1"/>
  <c r="A23362" i="1"/>
  <c r="C23362" i="1"/>
  <c r="N23362" i="1"/>
  <c r="A23363" i="1"/>
  <c r="C23363" i="1"/>
  <c r="N23363" i="1"/>
  <c r="A23364" i="1"/>
  <c r="C23364" i="1"/>
  <c r="N23364" i="1"/>
  <c r="A23365" i="1"/>
  <c r="C23365" i="1"/>
  <c r="N23365" i="1"/>
  <c r="A23366" i="1"/>
  <c r="C23366" i="1"/>
  <c r="N23366" i="1"/>
  <c r="A23367" i="1"/>
  <c r="C23367" i="1"/>
  <c r="N23367" i="1"/>
  <c r="A23368" i="1"/>
  <c r="C23368" i="1"/>
  <c r="N23368" i="1"/>
  <c r="A23369" i="1"/>
  <c r="C23369" i="1"/>
  <c r="N23369" i="1"/>
  <c r="A23370" i="1"/>
  <c r="C23370" i="1"/>
  <c r="N23370" i="1"/>
  <c r="A23371" i="1"/>
  <c r="C23371" i="1"/>
  <c r="N23371" i="1"/>
  <c r="A23372" i="1"/>
  <c r="C23372" i="1"/>
  <c r="N23372" i="1"/>
  <c r="A23373" i="1"/>
  <c r="C23373" i="1"/>
  <c r="K23373" i="1"/>
  <c r="N23373" i="1"/>
  <c r="A23374" i="1"/>
  <c r="C23374" i="1"/>
  <c r="N23374" i="1"/>
  <c r="A23375" i="1"/>
  <c r="C23375" i="1"/>
  <c r="N23375" i="1"/>
  <c r="A23376" i="1"/>
  <c r="C23376" i="1"/>
  <c r="N23376" i="1"/>
  <c r="A23377" i="1"/>
  <c r="C23377" i="1"/>
  <c r="N23377" i="1"/>
  <c r="A23378" i="1"/>
  <c r="C23378" i="1"/>
  <c r="N23378" i="1"/>
  <c r="A23379" i="1"/>
  <c r="C23379" i="1"/>
  <c r="K23379" i="1"/>
  <c r="N23379" i="1"/>
  <c r="A23380" i="1"/>
  <c r="C23380" i="1"/>
  <c r="K23380" i="1"/>
  <c r="N23380" i="1"/>
  <c r="A23381" i="1"/>
  <c r="C23381" i="1"/>
  <c r="N23381" i="1"/>
  <c r="A23382" i="1"/>
  <c r="C23382" i="1"/>
  <c r="N23382" i="1"/>
  <c r="A23383" i="1"/>
  <c r="C23383" i="1"/>
  <c r="N23383" i="1"/>
  <c r="A23384" i="1"/>
  <c r="C23384" i="1"/>
  <c r="N23384" i="1"/>
  <c r="A23385" i="1"/>
  <c r="C23385" i="1"/>
  <c r="K23385" i="1"/>
  <c r="N23385" i="1"/>
  <c r="A23386" i="1"/>
  <c r="C23386" i="1"/>
  <c r="N23386" i="1"/>
  <c r="A23387" i="1"/>
  <c r="C23387" i="1"/>
  <c r="N23387" i="1"/>
  <c r="A23388" i="1"/>
  <c r="C23388" i="1"/>
  <c r="N23388" i="1"/>
  <c r="A23389" i="1"/>
  <c r="C23389" i="1"/>
  <c r="N23389" i="1"/>
  <c r="A23390" i="1"/>
  <c r="C23390" i="1"/>
  <c r="N23390" i="1"/>
  <c r="A23391" i="1"/>
  <c r="C23391" i="1"/>
  <c r="N23391" i="1"/>
  <c r="A23392" i="1"/>
  <c r="C23392" i="1"/>
  <c r="K23392" i="1"/>
  <c r="N23392" i="1"/>
  <c r="A23393" i="1"/>
  <c r="C23393" i="1"/>
  <c r="N23393" i="1"/>
  <c r="A23394" i="1"/>
  <c r="C23394" i="1"/>
  <c r="N23394" i="1"/>
  <c r="A23395" i="1"/>
  <c r="C23395" i="1"/>
  <c r="N23395" i="1"/>
  <c r="A23396" i="1"/>
  <c r="C23396" i="1"/>
  <c r="N23396" i="1"/>
  <c r="A23397" i="1"/>
  <c r="C23397" i="1"/>
  <c r="N23397" i="1"/>
  <c r="A23398" i="1"/>
  <c r="C23398" i="1"/>
  <c r="N23398" i="1"/>
  <c r="A23399" i="1"/>
  <c r="C23399" i="1"/>
  <c r="N23399" i="1"/>
  <c r="A23400" i="1"/>
  <c r="C23400" i="1"/>
  <c r="N23400" i="1"/>
  <c r="A23401" i="1"/>
  <c r="C23401" i="1"/>
  <c r="N23401" i="1"/>
  <c r="A23402" i="1"/>
  <c r="C23402" i="1"/>
  <c r="N23402" i="1"/>
  <c r="A23403" i="1"/>
  <c r="C23403" i="1"/>
  <c r="N23403" i="1"/>
  <c r="A23404" i="1"/>
  <c r="C23404" i="1"/>
  <c r="N23404" i="1"/>
  <c r="A23405" i="1"/>
  <c r="C23405" i="1"/>
  <c r="N23405" i="1"/>
  <c r="A23406" i="1"/>
  <c r="C23406" i="1"/>
  <c r="N23406" i="1"/>
  <c r="A23407" i="1"/>
  <c r="C23407" i="1"/>
  <c r="N23407" i="1"/>
  <c r="A23408" i="1"/>
  <c r="C23408" i="1"/>
  <c r="N23408" i="1"/>
  <c r="A23409" i="1"/>
  <c r="C23409" i="1"/>
  <c r="N23409" i="1"/>
  <c r="A23410" i="1"/>
  <c r="C23410" i="1"/>
  <c r="K23410" i="1"/>
  <c r="N23410" i="1"/>
  <c r="A23411" i="1"/>
  <c r="C23411" i="1"/>
  <c r="N23411" i="1"/>
  <c r="A23412" i="1"/>
  <c r="C23412" i="1"/>
  <c r="N23412" i="1"/>
  <c r="A23413" i="1"/>
  <c r="C23413" i="1"/>
  <c r="N23413" i="1"/>
  <c r="A23414" i="1"/>
  <c r="C23414" i="1"/>
  <c r="N23414" i="1"/>
  <c r="A23415" i="1"/>
  <c r="C23415" i="1"/>
  <c r="N23415" i="1"/>
  <c r="A23416" i="1"/>
  <c r="C23416" i="1"/>
  <c r="N23416" i="1"/>
  <c r="A23417" i="1"/>
  <c r="C23417" i="1"/>
  <c r="N23417" i="1"/>
  <c r="A23418" i="1"/>
  <c r="C23418" i="1"/>
  <c r="N23418" i="1"/>
  <c r="A23419" i="1"/>
  <c r="C23419" i="1"/>
  <c r="N23419" i="1"/>
  <c r="A23420" i="1"/>
  <c r="C23420" i="1"/>
  <c r="K23420" i="1"/>
  <c r="N23420" i="1"/>
  <c r="A23421" i="1"/>
  <c r="C23421" i="1"/>
  <c r="N23421" i="1"/>
  <c r="A23422" i="1"/>
  <c r="C23422" i="1"/>
  <c r="N23422" i="1"/>
  <c r="A23423" i="1"/>
  <c r="C23423" i="1"/>
  <c r="K23423" i="1"/>
  <c r="N23423" i="1"/>
  <c r="A23424" i="1"/>
  <c r="C23424" i="1"/>
  <c r="N23424" i="1"/>
  <c r="A23425" i="1"/>
  <c r="C23425" i="1"/>
  <c r="N23425" i="1"/>
  <c r="A23426" i="1"/>
  <c r="C23426" i="1"/>
  <c r="F23426" i="1"/>
  <c r="N23426" i="1"/>
  <c r="A23427" i="1"/>
  <c r="C23427" i="1"/>
  <c r="N23427" i="1"/>
  <c r="A23428" i="1"/>
  <c r="C23428" i="1"/>
  <c r="N23428" i="1"/>
  <c r="A23429" i="1"/>
  <c r="C23429" i="1"/>
  <c r="N23429" i="1"/>
  <c r="A23430" i="1"/>
  <c r="C23430" i="1"/>
  <c r="N23430" i="1"/>
  <c r="A23431" i="1"/>
  <c r="C23431" i="1"/>
  <c r="N23431" i="1"/>
  <c r="A23432" i="1"/>
  <c r="C23432" i="1"/>
  <c r="N23432" i="1"/>
  <c r="A23433" i="1"/>
  <c r="C23433" i="1"/>
  <c r="N23433" i="1"/>
  <c r="A23434" i="1"/>
  <c r="C23434" i="1"/>
  <c r="N23434" i="1"/>
  <c r="A23435" i="1"/>
  <c r="C23435" i="1"/>
  <c r="N23435" i="1"/>
  <c r="A23436" i="1"/>
  <c r="C23436" i="1"/>
  <c r="N23436" i="1"/>
  <c r="A23437" i="1"/>
  <c r="C23437" i="1"/>
  <c r="N23437" i="1"/>
  <c r="A23438" i="1"/>
  <c r="C23438" i="1"/>
  <c r="N23438" i="1"/>
  <c r="A23439" i="1"/>
  <c r="C23439" i="1"/>
  <c r="N23439" i="1"/>
  <c r="A23440" i="1"/>
  <c r="C23440" i="1"/>
  <c r="N23440" i="1"/>
  <c r="A23441" i="1"/>
  <c r="C23441" i="1"/>
  <c r="N23441" i="1"/>
  <c r="A23442" i="1"/>
  <c r="C23442" i="1"/>
  <c r="N23442" i="1"/>
  <c r="A23443" i="1"/>
  <c r="C23443" i="1"/>
  <c r="N23443" i="1"/>
  <c r="A23444" i="1"/>
  <c r="C23444" i="1"/>
  <c r="N23444" i="1"/>
  <c r="A23445" i="1"/>
  <c r="C23445" i="1"/>
  <c r="N23445" i="1"/>
  <c r="A23446" i="1"/>
  <c r="C23446" i="1"/>
  <c r="N23446" i="1"/>
  <c r="A23447" i="1"/>
  <c r="C23447" i="1"/>
  <c r="N23447" i="1"/>
  <c r="A23448" i="1"/>
  <c r="C23448" i="1"/>
  <c r="N23448" i="1"/>
  <c r="A23449" i="1"/>
  <c r="C23449" i="1"/>
  <c r="N23449" i="1"/>
  <c r="A23450" i="1"/>
  <c r="C23450" i="1"/>
  <c r="N23450" i="1"/>
  <c r="A23451" i="1"/>
  <c r="C23451" i="1"/>
  <c r="N23451" i="1"/>
  <c r="A23452" i="1"/>
  <c r="C23452" i="1"/>
  <c r="N23452" i="1"/>
  <c r="A23453" i="1"/>
  <c r="C23453" i="1"/>
  <c r="N23453" i="1"/>
  <c r="A23454" i="1"/>
  <c r="C23454" i="1"/>
  <c r="N23454" i="1"/>
  <c r="A23455" i="1"/>
  <c r="C23455" i="1"/>
  <c r="N23455" i="1"/>
  <c r="A23456" i="1"/>
  <c r="C23456" i="1"/>
  <c r="N23456" i="1"/>
  <c r="A23457" i="1"/>
  <c r="C23457" i="1"/>
  <c r="N23457" i="1"/>
  <c r="A23458" i="1"/>
  <c r="C23458" i="1"/>
  <c r="N23458" i="1"/>
  <c r="A23459" i="1"/>
  <c r="C23459" i="1"/>
  <c r="N23459" i="1"/>
  <c r="A23460" i="1"/>
  <c r="C23460" i="1"/>
  <c r="N23460" i="1"/>
  <c r="A23461" i="1"/>
  <c r="C23461" i="1"/>
  <c r="N23461" i="1"/>
  <c r="A23462" i="1"/>
  <c r="C23462" i="1"/>
  <c r="N23462" i="1"/>
  <c r="A23463" i="1"/>
  <c r="C23463" i="1"/>
  <c r="N23463" i="1"/>
  <c r="A23464" i="1"/>
  <c r="C23464" i="1"/>
  <c r="N23464" i="1"/>
  <c r="A23465" i="1"/>
  <c r="C23465" i="1"/>
  <c r="N23465" i="1"/>
  <c r="A23466" i="1"/>
  <c r="C23466" i="1"/>
  <c r="N23466" i="1"/>
  <c r="A23467" i="1"/>
  <c r="C23467" i="1"/>
  <c r="N23467" i="1"/>
  <c r="A23468" i="1"/>
  <c r="C23468" i="1"/>
  <c r="N23468" i="1"/>
  <c r="A23469" i="1"/>
  <c r="C23469" i="1"/>
  <c r="N23469" i="1"/>
  <c r="A23470" i="1"/>
  <c r="C23470" i="1"/>
  <c r="N23470" i="1"/>
  <c r="A23471" i="1"/>
  <c r="C23471" i="1"/>
  <c r="N23471" i="1"/>
  <c r="A23472" i="1"/>
  <c r="C23472" i="1"/>
  <c r="N23472" i="1"/>
  <c r="A23473" i="1"/>
  <c r="C23473" i="1"/>
  <c r="K23473" i="1"/>
  <c r="N23473" i="1"/>
  <c r="A23474" i="1"/>
  <c r="C23474" i="1"/>
  <c r="N23474" i="1"/>
  <c r="A23475" i="1"/>
  <c r="C23475" i="1"/>
  <c r="N23475" i="1"/>
  <c r="A23476" i="1"/>
  <c r="C23476" i="1"/>
  <c r="N23476" i="1"/>
  <c r="A23477" i="1"/>
  <c r="C23477" i="1"/>
  <c r="N23477" i="1"/>
  <c r="A23478" i="1"/>
  <c r="C23478" i="1"/>
  <c r="N23478" i="1"/>
  <c r="A23479" i="1"/>
  <c r="C23479" i="1"/>
  <c r="D23479" i="1"/>
  <c r="N23479" i="1"/>
  <c r="O23479" i="1"/>
  <c r="A23480" i="1"/>
  <c r="C23480" i="1"/>
  <c r="N23480" i="1"/>
  <c r="A23481" i="1"/>
  <c r="C23481" i="1"/>
  <c r="N23481" i="1"/>
  <c r="A23482" i="1"/>
  <c r="C23482" i="1"/>
  <c r="N23482" i="1"/>
  <c r="A23483" i="1"/>
  <c r="C23483" i="1"/>
  <c r="N23483" i="1"/>
  <c r="A23484" i="1"/>
  <c r="C23484" i="1"/>
  <c r="N23484" i="1"/>
  <c r="A23485" i="1"/>
  <c r="C23485" i="1"/>
  <c r="N23485" i="1"/>
  <c r="A23486" i="1"/>
  <c r="C23486" i="1"/>
  <c r="N23486" i="1"/>
  <c r="A23487" i="1"/>
  <c r="C23487" i="1"/>
  <c r="N23487" i="1"/>
  <c r="A23488" i="1"/>
  <c r="C23488" i="1"/>
  <c r="N23488" i="1"/>
  <c r="A23489" i="1"/>
  <c r="C23489" i="1"/>
  <c r="N23489" i="1"/>
  <c r="A23490" i="1"/>
  <c r="C23490" i="1"/>
  <c r="N23490" i="1"/>
  <c r="A23491" i="1"/>
  <c r="C23491" i="1"/>
  <c r="N23491" i="1"/>
  <c r="A23492" i="1"/>
  <c r="C23492" i="1"/>
  <c r="N23492" i="1"/>
  <c r="A23493" i="1"/>
  <c r="C23493" i="1"/>
  <c r="N23493" i="1"/>
  <c r="A23494" i="1"/>
  <c r="C23494" i="1"/>
  <c r="N23494" i="1"/>
  <c r="A23495" i="1"/>
  <c r="C23495" i="1"/>
  <c r="N23495" i="1"/>
  <c r="A23496" i="1"/>
  <c r="C23496" i="1"/>
  <c r="N23496" i="1"/>
  <c r="A23497" i="1"/>
  <c r="C23497" i="1"/>
  <c r="N23497" i="1"/>
  <c r="A23498" i="1"/>
  <c r="C23498" i="1"/>
  <c r="N23498" i="1"/>
  <c r="A23499" i="1"/>
  <c r="C23499" i="1"/>
  <c r="N23499" i="1"/>
  <c r="A23500" i="1"/>
  <c r="C23500" i="1"/>
  <c r="N23500" i="1"/>
  <c r="A23501" i="1"/>
  <c r="C23501" i="1"/>
  <c r="N23501" i="1"/>
  <c r="A23502" i="1"/>
  <c r="C23502" i="1"/>
  <c r="N23502" i="1"/>
  <c r="A23503" i="1"/>
  <c r="C23503" i="1"/>
  <c r="N23503" i="1"/>
  <c r="A23504" i="1"/>
  <c r="C23504" i="1"/>
  <c r="N23504" i="1"/>
  <c r="A23505" i="1"/>
  <c r="C23505" i="1"/>
  <c r="N23505" i="1"/>
  <c r="A23506" i="1"/>
  <c r="C23506" i="1"/>
  <c r="N23506" i="1"/>
  <c r="A23507" i="1"/>
  <c r="C23507" i="1"/>
  <c r="N23507" i="1"/>
  <c r="A23508" i="1"/>
  <c r="C23508" i="1"/>
  <c r="N23508" i="1"/>
  <c r="A23509" i="1"/>
  <c r="C23509" i="1"/>
  <c r="N23509" i="1"/>
  <c r="A23510" i="1"/>
  <c r="C23510" i="1"/>
  <c r="N23510" i="1"/>
  <c r="A23511" i="1"/>
  <c r="C23511" i="1"/>
  <c r="N23511" i="1"/>
  <c r="A23512" i="1"/>
  <c r="C23512" i="1"/>
  <c r="N23512" i="1"/>
  <c r="A23513" i="1"/>
  <c r="C23513" i="1"/>
  <c r="N23513" i="1"/>
  <c r="A23514" i="1"/>
  <c r="C23514" i="1"/>
  <c r="N23514" i="1"/>
  <c r="A23515" i="1"/>
  <c r="C23515" i="1"/>
  <c r="N23515" i="1"/>
  <c r="A23516" i="1"/>
  <c r="C23516" i="1"/>
  <c r="K23516" i="1"/>
  <c r="N23516" i="1"/>
  <c r="A23517" i="1"/>
  <c r="C23517" i="1"/>
  <c r="K23517" i="1"/>
  <c r="N23517" i="1"/>
  <c r="A23518" i="1"/>
  <c r="C23518" i="1"/>
  <c r="K23518" i="1"/>
  <c r="N23518" i="1"/>
  <c r="A23519" i="1"/>
  <c r="C23519" i="1"/>
  <c r="K23519" i="1"/>
  <c r="N23519" i="1"/>
  <c r="A23520" i="1"/>
  <c r="C23520" i="1"/>
  <c r="K23520" i="1"/>
  <c r="N23520" i="1"/>
  <c r="A23521" i="1"/>
  <c r="C23521" i="1"/>
  <c r="K23521" i="1"/>
  <c r="N23521" i="1"/>
  <c r="A23522" i="1"/>
  <c r="C23522" i="1"/>
  <c r="K23522" i="1"/>
  <c r="N23522" i="1"/>
  <c r="A23523" i="1"/>
  <c r="C23523" i="1"/>
  <c r="K23523" i="1"/>
  <c r="N23523" i="1"/>
  <c r="A23524" i="1"/>
  <c r="C23524" i="1"/>
  <c r="K23524" i="1"/>
  <c r="N23524" i="1"/>
  <c r="A23525" i="1"/>
  <c r="C23525" i="1"/>
  <c r="K23525" i="1"/>
  <c r="N23525" i="1"/>
  <c r="A23526" i="1"/>
  <c r="C23526" i="1"/>
  <c r="K23526" i="1"/>
  <c r="N23526" i="1"/>
  <c r="A23527" i="1"/>
  <c r="C23527" i="1"/>
  <c r="K23527" i="1"/>
  <c r="N23527" i="1"/>
  <c r="A23528" i="1"/>
  <c r="C23528" i="1"/>
  <c r="K23528" i="1"/>
  <c r="N23528" i="1"/>
  <c r="A23529" i="1"/>
  <c r="C23529" i="1"/>
  <c r="K23529" i="1"/>
  <c r="N23529" i="1"/>
  <c r="A23530" i="1"/>
  <c r="C23530" i="1"/>
  <c r="K23530" i="1"/>
  <c r="N23530" i="1"/>
  <c r="A23531" i="1"/>
  <c r="C23531" i="1"/>
  <c r="K23531" i="1"/>
  <c r="N23531" i="1"/>
  <c r="A23532" i="1"/>
  <c r="C23532" i="1"/>
  <c r="K23532" i="1"/>
  <c r="N23532" i="1"/>
  <c r="A23533" i="1"/>
  <c r="C23533" i="1"/>
  <c r="K23533" i="1"/>
  <c r="N23533" i="1"/>
  <c r="A23534" i="1"/>
  <c r="C23534" i="1"/>
  <c r="K23534" i="1"/>
  <c r="N23534" i="1"/>
  <c r="A23535" i="1"/>
  <c r="C23535" i="1"/>
  <c r="K23535" i="1"/>
  <c r="N23535" i="1"/>
  <c r="A23536" i="1"/>
  <c r="C23536" i="1"/>
  <c r="K23536" i="1"/>
  <c r="N23536" i="1"/>
  <c r="A23537" i="1"/>
  <c r="C23537" i="1"/>
  <c r="K23537" i="1"/>
  <c r="N23537" i="1"/>
  <c r="A23538" i="1"/>
  <c r="C23538" i="1"/>
  <c r="K23538" i="1"/>
  <c r="N23538" i="1"/>
  <c r="A23539" i="1"/>
  <c r="C23539" i="1"/>
  <c r="K23539" i="1"/>
  <c r="N23539" i="1"/>
  <c r="A23540" i="1"/>
  <c r="C23540" i="1"/>
  <c r="K23540" i="1"/>
  <c r="N23540" i="1"/>
  <c r="A23541" i="1"/>
  <c r="C23541" i="1"/>
  <c r="K23541" i="1"/>
  <c r="N23541" i="1"/>
  <c r="A23542" i="1"/>
  <c r="C23542" i="1"/>
  <c r="K23542" i="1"/>
  <c r="N23542" i="1"/>
  <c r="A23543" i="1"/>
  <c r="C23543" i="1"/>
  <c r="K23543" i="1"/>
  <c r="N23543" i="1"/>
  <c r="A23544" i="1"/>
  <c r="C23544" i="1"/>
  <c r="K23544" i="1"/>
  <c r="N23544" i="1"/>
  <c r="A23545" i="1"/>
  <c r="C23545" i="1"/>
  <c r="K23545" i="1"/>
  <c r="N23545" i="1"/>
  <c r="A23546" i="1"/>
  <c r="C23546" i="1"/>
  <c r="N23546" i="1"/>
  <c r="A23547" i="1"/>
  <c r="C23547" i="1"/>
  <c r="N23547" i="1"/>
  <c r="A23548" i="1"/>
  <c r="C23548" i="1"/>
  <c r="N23548" i="1"/>
  <c r="A23549" i="1"/>
  <c r="C23549" i="1"/>
  <c r="N23549" i="1"/>
  <c r="A23550" i="1"/>
  <c r="C23550" i="1"/>
  <c r="N23550" i="1"/>
  <c r="A23551" i="1"/>
  <c r="C23551" i="1"/>
  <c r="N23551" i="1"/>
  <c r="A23552" i="1"/>
  <c r="C23552" i="1"/>
  <c r="N23552" i="1"/>
  <c r="A23553" i="1"/>
  <c r="C23553" i="1"/>
  <c r="N23553" i="1"/>
  <c r="A23554" i="1"/>
  <c r="C23554" i="1"/>
  <c r="N23554" i="1"/>
  <c r="A23555" i="1"/>
  <c r="C23555" i="1"/>
  <c r="N23555" i="1"/>
  <c r="A23556" i="1"/>
  <c r="C23556" i="1"/>
  <c r="N23556" i="1"/>
  <c r="A23557" i="1"/>
  <c r="C23557" i="1"/>
  <c r="K23557" i="1"/>
  <c r="N23557" i="1"/>
  <c r="A23558" i="1"/>
  <c r="C23558" i="1"/>
  <c r="N23558" i="1"/>
  <c r="A23559" i="1"/>
  <c r="C23559" i="1"/>
  <c r="N23559" i="1"/>
  <c r="A23560" i="1"/>
  <c r="C23560" i="1"/>
  <c r="N23560" i="1"/>
  <c r="A23561" i="1"/>
  <c r="C23561" i="1"/>
  <c r="N23561" i="1"/>
  <c r="A23562" i="1"/>
  <c r="C23562" i="1"/>
  <c r="N23562" i="1"/>
  <c r="A23563" i="1"/>
  <c r="C23563" i="1"/>
  <c r="N23563" i="1"/>
  <c r="A23564" i="1"/>
  <c r="C23564" i="1"/>
  <c r="N23564" i="1"/>
  <c r="A23565" i="1"/>
  <c r="C23565" i="1"/>
  <c r="K23565" i="1"/>
  <c r="N23565" i="1"/>
  <c r="A23566" i="1"/>
  <c r="C23566" i="1"/>
  <c r="N23566" i="1"/>
  <c r="A23567" i="1"/>
  <c r="C23567" i="1"/>
  <c r="K23567" i="1"/>
  <c r="N23567" i="1"/>
  <c r="A23568" i="1"/>
  <c r="C23568" i="1"/>
  <c r="K23568" i="1"/>
  <c r="N23568" i="1"/>
  <c r="A23569" i="1"/>
  <c r="C23569" i="1"/>
  <c r="K23569" i="1"/>
  <c r="N23569" i="1"/>
  <c r="A23570" i="1"/>
  <c r="C23570" i="1"/>
  <c r="N23570" i="1"/>
  <c r="A23571" i="1"/>
  <c r="C23571" i="1"/>
  <c r="N23571" i="1"/>
  <c r="A23572" i="1"/>
  <c r="C23572" i="1"/>
  <c r="N23572" i="1"/>
  <c r="A23573" i="1"/>
  <c r="C23573" i="1"/>
  <c r="N23573" i="1"/>
  <c r="A23574" i="1"/>
  <c r="C23574" i="1"/>
  <c r="N23574" i="1"/>
  <c r="A23575" i="1"/>
  <c r="C23575" i="1"/>
  <c r="N23575" i="1"/>
  <c r="A23576" i="1"/>
  <c r="C23576" i="1"/>
  <c r="F23576" i="1"/>
  <c r="N23576" i="1"/>
  <c r="A23577" i="1"/>
  <c r="C23577" i="1"/>
  <c r="N23577" i="1"/>
  <c r="A23578" i="1"/>
  <c r="C23578" i="1"/>
  <c r="N23578" i="1"/>
  <c r="A23579" i="1"/>
  <c r="C23579" i="1"/>
  <c r="N23579" i="1"/>
  <c r="A23580" i="1"/>
  <c r="C23580" i="1"/>
  <c r="N23580" i="1"/>
  <c r="A23581" i="1"/>
  <c r="C23581" i="1"/>
  <c r="N23581" i="1"/>
  <c r="A23582" i="1"/>
  <c r="C23582" i="1"/>
  <c r="N23582" i="1"/>
  <c r="A23583" i="1"/>
  <c r="C23583" i="1"/>
  <c r="N23583" i="1"/>
  <c r="A23584" i="1"/>
  <c r="C23584" i="1"/>
  <c r="N23584" i="1"/>
  <c r="A23585" i="1"/>
  <c r="C23585" i="1"/>
  <c r="N23585" i="1"/>
  <c r="A23586" i="1"/>
  <c r="C23586" i="1"/>
  <c r="N23586" i="1"/>
  <c r="A23587" i="1"/>
  <c r="C23587" i="1"/>
  <c r="N23587" i="1"/>
  <c r="A23588" i="1"/>
  <c r="C23588" i="1"/>
  <c r="N23588" i="1"/>
  <c r="A23589" i="1"/>
  <c r="C23589" i="1"/>
  <c r="N23589" i="1"/>
  <c r="A23590" i="1"/>
  <c r="C23590" i="1"/>
  <c r="N23590" i="1"/>
  <c r="A23591" i="1"/>
  <c r="C23591" i="1"/>
  <c r="N23591" i="1"/>
  <c r="A23592" i="1"/>
  <c r="C23592" i="1"/>
  <c r="N23592" i="1"/>
  <c r="A23593" i="1"/>
  <c r="C23593" i="1"/>
  <c r="N23593" i="1"/>
  <c r="A23594" i="1"/>
  <c r="C23594" i="1"/>
  <c r="N23594" i="1"/>
  <c r="A23595" i="1"/>
  <c r="C23595" i="1"/>
  <c r="N23595" i="1"/>
  <c r="A23596" i="1"/>
  <c r="C23596" i="1"/>
  <c r="N23596" i="1"/>
  <c r="A23597" i="1"/>
  <c r="C23597" i="1"/>
  <c r="N23597" i="1"/>
  <c r="A23598" i="1"/>
  <c r="C23598" i="1"/>
  <c r="N23598" i="1"/>
  <c r="A23599" i="1"/>
  <c r="C23599" i="1"/>
  <c r="N23599" i="1"/>
  <c r="A23600" i="1"/>
  <c r="C23600" i="1"/>
  <c r="N23600" i="1"/>
  <c r="A23601" i="1"/>
  <c r="C23601" i="1"/>
  <c r="N23601" i="1"/>
  <c r="A23602" i="1"/>
  <c r="C23602" i="1"/>
  <c r="N23602" i="1"/>
  <c r="A23603" i="1"/>
  <c r="C23603" i="1"/>
  <c r="N23603" i="1"/>
  <c r="A23604" i="1"/>
  <c r="C23604" i="1"/>
  <c r="N23604" i="1"/>
  <c r="A23605" i="1"/>
  <c r="C23605" i="1"/>
  <c r="N23605" i="1"/>
  <c r="A23606" i="1"/>
  <c r="C23606" i="1"/>
  <c r="N23606" i="1"/>
  <c r="A23607" i="1"/>
  <c r="C23607" i="1"/>
  <c r="N23607" i="1"/>
  <c r="A23608" i="1"/>
  <c r="C23608" i="1"/>
  <c r="N23608" i="1"/>
  <c r="A23609" i="1"/>
  <c r="C23609" i="1"/>
  <c r="N23609" i="1"/>
  <c r="A23610" i="1"/>
  <c r="C23610" i="1"/>
  <c r="N23610" i="1"/>
  <c r="A23611" i="1"/>
  <c r="C23611" i="1"/>
  <c r="N23611" i="1"/>
  <c r="A23612" i="1"/>
  <c r="C23612" i="1"/>
  <c r="N23612" i="1"/>
  <c r="A23613" i="1"/>
  <c r="C23613" i="1"/>
  <c r="N23613" i="1"/>
  <c r="A23614" i="1"/>
  <c r="C23614" i="1"/>
  <c r="N23614" i="1"/>
  <c r="A23615" i="1"/>
  <c r="C23615" i="1"/>
  <c r="N23615" i="1"/>
  <c r="A23616" i="1"/>
  <c r="C23616" i="1"/>
  <c r="N23616" i="1"/>
  <c r="A23617" i="1"/>
  <c r="C23617" i="1"/>
  <c r="N23617" i="1"/>
  <c r="A23618" i="1"/>
  <c r="C23618" i="1"/>
  <c r="N23618" i="1"/>
  <c r="A23619" i="1"/>
  <c r="C23619" i="1"/>
  <c r="N23619" i="1"/>
  <c r="A23620" i="1"/>
  <c r="C23620" i="1"/>
  <c r="N23620" i="1"/>
  <c r="A23621" i="1"/>
  <c r="C23621" i="1"/>
  <c r="N23621" i="1"/>
  <c r="A23622" i="1"/>
  <c r="C23622" i="1"/>
  <c r="N23622" i="1"/>
  <c r="A23623" i="1"/>
  <c r="C23623" i="1"/>
  <c r="N23623" i="1"/>
  <c r="A23624" i="1"/>
  <c r="C23624" i="1"/>
  <c r="N23624" i="1"/>
  <c r="A23625" i="1"/>
  <c r="C23625" i="1"/>
  <c r="N23625" i="1"/>
  <c r="A23626" i="1"/>
  <c r="C23626" i="1"/>
  <c r="N23626" i="1"/>
  <c r="A23627" i="1"/>
  <c r="C23627" i="1"/>
  <c r="K23627" i="1"/>
  <c r="N23627" i="1"/>
  <c r="A23628" i="1"/>
  <c r="C23628" i="1"/>
  <c r="N23628" i="1"/>
  <c r="A23629" i="1"/>
  <c r="C23629" i="1"/>
  <c r="N23629" i="1"/>
  <c r="A23630" i="1"/>
  <c r="C23630" i="1"/>
  <c r="N23630" i="1"/>
  <c r="A23631" i="1"/>
  <c r="C23631" i="1"/>
  <c r="N23631" i="1"/>
  <c r="A23632" i="1"/>
  <c r="C23632" i="1"/>
  <c r="N23632" i="1"/>
  <c r="A23633" i="1"/>
  <c r="C23633" i="1"/>
  <c r="N23633" i="1"/>
  <c r="A23634" i="1"/>
  <c r="C23634" i="1"/>
  <c r="N23634" i="1"/>
  <c r="A23635" i="1"/>
  <c r="C23635" i="1"/>
  <c r="N23635" i="1"/>
  <c r="A23636" i="1"/>
  <c r="C23636" i="1"/>
  <c r="N23636" i="1"/>
  <c r="A23637" i="1"/>
  <c r="C23637" i="1"/>
  <c r="N23637" i="1"/>
  <c r="A23638" i="1"/>
  <c r="C23638" i="1"/>
  <c r="N23638" i="1"/>
  <c r="A23639" i="1"/>
  <c r="C23639" i="1"/>
  <c r="N23639" i="1"/>
  <c r="A23640" i="1"/>
  <c r="C23640" i="1"/>
  <c r="N23640" i="1"/>
  <c r="A23641" i="1"/>
  <c r="C23641" i="1"/>
  <c r="N23641" i="1"/>
  <c r="A23642" i="1"/>
  <c r="C23642" i="1"/>
  <c r="N23642" i="1"/>
  <c r="A23643" i="1"/>
  <c r="C23643" i="1"/>
  <c r="N23643" i="1"/>
  <c r="A23644" i="1"/>
  <c r="C23644" i="1"/>
  <c r="N23644" i="1"/>
  <c r="A23645" i="1"/>
  <c r="C23645" i="1"/>
  <c r="N23645" i="1"/>
  <c r="A23646" i="1"/>
  <c r="C23646" i="1"/>
  <c r="N23646" i="1"/>
  <c r="A23647" i="1"/>
  <c r="C23647" i="1"/>
  <c r="N23647" i="1"/>
  <c r="A23648" i="1"/>
  <c r="C23648" i="1"/>
  <c r="N23648" i="1"/>
  <c r="A23649" i="1"/>
  <c r="C23649" i="1"/>
  <c r="N23649" i="1"/>
  <c r="A23650" i="1"/>
  <c r="C23650" i="1"/>
  <c r="N23650" i="1"/>
  <c r="A23651" i="1"/>
  <c r="C23651" i="1"/>
  <c r="N23651" i="1"/>
  <c r="A23652" i="1"/>
  <c r="C23652" i="1"/>
  <c r="K23652" i="1"/>
  <c r="N23652" i="1"/>
  <c r="A23653" i="1"/>
  <c r="C23653" i="1"/>
  <c r="N23653" i="1"/>
  <c r="A23654" i="1"/>
  <c r="C23654" i="1"/>
  <c r="N23654" i="1"/>
  <c r="A23655" i="1"/>
  <c r="C23655" i="1"/>
  <c r="N23655" i="1"/>
  <c r="A23656" i="1"/>
  <c r="C23656" i="1"/>
  <c r="N23656" i="1"/>
  <c r="A23657" i="1"/>
  <c r="C23657" i="1"/>
  <c r="N23657" i="1"/>
  <c r="A23658" i="1"/>
  <c r="C23658" i="1"/>
  <c r="N23658" i="1"/>
  <c r="A23659" i="1"/>
  <c r="C23659" i="1"/>
  <c r="N23659" i="1"/>
  <c r="A23660" i="1"/>
  <c r="C23660" i="1"/>
  <c r="N23660" i="1"/>
  <c r="A23661" i="1"/>
  <c r="C23661" i="1"/>
  <c r="N23661" i="1"/>
  <c r="A23662" i="1"/>
  <c r="C23662" i="1"/>
  <c r="N23662" i="1"/>
  <c r="A23663" i="1"/>
  <c r="C23663" i="1"/>
  <c r="N23663" i="1"/>
  <c r="A23664" i="1"/>
  <c r="C23664" i="1"/>
  <c r="N23664" i="1"/>
  <c r="A23665" i="1"/>
  <c r="C23665" i="1"/>
  <c r="N23665" i="1"/>
  <c r="A23666" i="1"/>
  <c r="C23666" i="1"/>
  <c r="N23666" i="1"/>
  <c r="A23667" i="1"/>
  <c r="C23667" i="1"/>
  <c r="N23667" i="1"/>
  <c r="A23668" i="1"/>
  <c r="C23668" i="1"/>
  <c r="N23668" i="1"/>
  <c r="A23669" i="1"/>
  <c r="C23669" i="1"/>
  <c r="K23669" i="1"/>
  <c r="N23669" i="1"/>
  <c r="A23670" i="1"/>
  <c r="C23670" i="1"/>
  <c r="N23670" i="1"/>
  <c r="A23671" i="1"/>
  <c r="C23671" i="1"/>
  <c r="N23671" i="1"/>
  <c r="A23672" i="1"/>
  <c r="C23672" i="1"/>
  <c r="N23672" i="1"/>
  <c r="A23673" i="1"/>
  <c r="C23673" i="1"/>
  <c r="N23673" i="1"/>
  <c r="A23674" i="1"/>
  <c r="C23674" i="1"/>
  <c r="N23674" i="1"/>
  <c r="A23675" i="1"/>
  <c r="C23675" i="1"/>
  <c r="N23675" i="1"/>
  <c r="A23676" i="1"/>
  <c r="C23676" i="1"/>
  <c r="N23676" i="1"/>
  <c r="A23677" i="1"/>
  <c r="C23677" i="1"/>
  <c r="N23677" i="1"/>
  <c r="A23678" i="1"/>
  <c r="C23678" i="1"/>
  <c r="N23678" i="1"/>
  <c r="A23679" i="1"/>
  <c r="C23679" i="1"/>
  <c r="N23679" i="1"/>
  <c r="A23680" i="1"/>
  <c r="C23680" i="1"/>
  <c r="N23680" i="1"/>
  <c r="A23681" i="1"/>
  <c r="C23681" i="1"/>
  <c r="N23681" i="1"/>
  <c r="A23682" i="1"/>
  <c r="C23682" i="1"/>
  <c r="N23682" i="1"/>
  <c r="A23683" i="1"/>
  <c r="C23683" i="1"/>
  <c r="N23683" i="1"/>
  <c r="A23684" i="1"/>
  <c r="C23684" i="1"/>
  <c r="N23684" i="1"/>
  <c r="A23685" i="1"/>
  <c r="C23685" i="1"/>
  <c r="N23685" i="1"/>
  <c r="A23686" i="1"/>
  <c r="C23686" i="1"/>
  <c r="N23686" i="1"/>
  <c r="A23687" i="1"/>
  <c r="C23687" i="1"/>
  <c r="N23687" i="1"/>
  <c r="A23688" i="1"/>
  <c r="C23688" i="1"/>
  <c r="N23688" i="1"/>
  <c r="A23689" i="1"/>
  <c r="C23689" i="1"/>
  <c r="N23689" i="1"/>
  <c r="A23690" i="1"/>
  <c r="C23690" i="1"/>
  <c r="N23690" i="1"/>
  <c r="A23691" i="1"/>
  <c r="C23691" i="1"/>
  <c r="N23691" i="1"/>
  <c r="A23692" i="1"/>
  <c r="C23692" i="1"/>
  <c r="N23692" i="1"/>
  <c r="A23693" i="1"/>
  <c r="C23693" i="1"/>
  <c r="N23693" i="1"/>
  <c r="A23694" i="1"/>
  <c r="C23694" i="1"/>
  <c r="N23694" i="1"/>
  <c r="A23695" i="1"/>
  <c r="C23695" i="1"/>
  <c r="N23695" i="1"/>
  <c r="A23696" i="1"/>
  <c r="C23696" i="1"/>
  <c r="N23696" i="1"/>
  <c r="A23697" i="1"/>
  <c r="C23697" i="1"/>
  <c r="N23697" i="1"/>
  <c r="A23698" i="1"/>
  <c r="C23698" i="1"/>
  <c r="N23698" i="1"/>
  <c r="A23699" i="1"/>
  <c r="C23699" i="1"/>
  <c r="N23699" i="1"/>
  <c r="A23700" i="1"/>
  <c r="C23700" i="1"/>
  <c r="N23700" i="1"/>
  <c r="A23701" i="1"/>
  <c r="C23701" i="1"/>
  <c r="N23701" i="1"/>
  <c r="A23702" i="1"/>
  <c r="C23702" i="1"/>
  <c r="N23702" i="1"/>
  <c r="A23703" i="1"/>
  <c r="C23703" i="1"/>
  <c r="N23703" i="1"/>
  <c r="A23704" i="1"/>
  <c r="C23704" i="1"/>
  <c r="N23704" i="1"/>
  <c r="A23705" i="1"/>
  <c r="C23705" i="1"/>
  <c r="N23705" i="1"/>
  <c r="A23706" i="1"/>
  <c r="C23706" i="1"/>
  <c r="N23706" i="1"/>
  <c r="A23707" i="1"/>
  <c r="C23707" i="1"/>
  <c r="N23707" i="1"/>
  <c r="A23708" i="1"/>
  <c r="C23708" i="1"/>
  <c r="N23708" i="1"/>
  <c r="A23709" i="1"/>
  <c r="C23709" i="1"/>
  <c r="N23709" i="1"/>
  <c r="A23710" i="1"/>
  <c r="C23710" i="1"/>
  <c r="N23710" i="1"/>
  <c r="A23711" i="1"/>
  <c r="C23711" i="1"/>
  <c r="N23711" i="1"/>
  <c r="A23712" i="1"/>
  <c r="C23712" i="1"/>
  <c r="N23712" i="1"/>
  <c r="A23713" i="1"/>
  <c r="C23713" i="1"/>
  <c r="N23713" i="1"/>
  <c r="A23714" i="1"/>
  <c r="C23714" i="1"/>
  <c r="N23714" i="1"/>
  <c r="A23715" i="1"/>
  <c r="C23715" i="1"/>
  <c r="N23715" i="1"/>
  <c r="A23716" i="1"/>
  <c r="C23716" i="1"/>
  <c r="N23716" i="1"/>
  <c r="A23717" i="1"/>
  <c r="C23717" i="1"/>
  <c r="N23717" i="1"/>
  <c r="A23718" i="1"/>
  <c r="C23718" i="1"/>
  <c r="N23718" i="1"/>
  <c r="A23719" i="1"/>
  <c r="C23719" i="1"/>
  <c r="N23719" i="1"/>
  <c r="A23720" i="1"/>
  <c r="C23720" i="1"/>
  <c r="N23720" i="1"/>
  <c r="A23721" i="1"/>
  <c r="C23721" i="1"/>
  <c r="N23721" i="1"/>
  <c r="A23722" i="1"/>
  <c r="C23722" i="1"/>
  <c r="N23722" i="1"/>
  <c r="A23723" i="1"/>
  <c r="C23723" i="1"/>
  <c r="N23723" i="1"/>
  <c r="A23724" i="1"/>
  <c r="C23724" i="1"/>
  <c r="N23724" i="1"/>
  <c r="A23725" i="1"/>
  <c r="C23725" i="1"/>
  <c r="N23725" i="1"/>
  <c r="A23726" i="1"/>
  <c r="C23726" i="1"/>
  <c r="N23726" i="1"/>
  <c r="A23727" i="1"/>
  <c r="C23727" i="1"/>
  <c r="N23727" i="1"/>
  <c r="A23728" i="1"/>
  <c r="C23728" i="1"/>
  <c r="N23728" i="1"/>
  <c r="A23729" i="1"/>
  <c r="C23729" i="1"/>
  <c r="N23729" i="1"/>
  <c r="A23730" i="1"/>
  <c r="C23730" i="1"/>
  <c r="N23730" i="1"/>
  <c r="A23731" i="1"/>
  <c r="C23731" i="1"/>
  <c r="N23731" i="1"/>
  <c r="A23732" i="1"/>
  <c r="C23732" i="1"/>
  <c r="N23732" i="1"/>
  <c r="A23733" i="1"/>
  <c r="C23733" i="1"/>
  <c r="N23733" i="1"/>
  <c r="A23734" i="1"/>
  <c r="C23734" i="1"/>
  <c r="N23734" i="1"/>
  <c r="A23735" i="1"/>
  <c r="C23735" i="1"/>
  <c r="N23735" i="1"/>
  <c r="A23736" i="1"/>
  <c r="C23736" i="1"/>
  <c r="N23736" i="1"/>
  <c r="A23737" i="1"/>
  <c r="C23737" i="1"/>
  <c r="N23737" i="1"/>
  <c r="A23738" i="1"/>
  <c r="C23738" i="1"/>
  <c r="N23738" i="1"/>
  <c r="A23739" i="1"/>
  <c r="C23739" i="1"/>
  <c r="N23739" i="1"/>
  <c r="A23740" i="1"/>
  <c r="C23740" i="1"/>
  <c r="N23740" i="1"/>
  <c r="A23741" i="1"/>
  <c r="C23741" i="1"/>
  <c r="N23741" i="1"/>
  <c r="A23742" i="1"/>
  <c r="C23742" i="1"/>
  <c r="N23742" i="1"/>
  <c r="A23743" i="1"/>
  <c r="C23743" i="1"/>
  <c r="N23743" i="1"/>
  <c r="A23744" i="1"/>
  <c r="C23744" i="1"/>
  <c r="N23744" i="1"/>
  <c r="A23745" i="1"/>
  <c r="C23745" i="1"/>
  <c r="N23745" i="1"/>
  <c r="A23746" i="1"/>
  <c r="C23746" i="1"/>
  <c r="N23746" i="1"/>
  <c r="A23747" i="1"/>
  <c r="C23747" i="1"/>
  <c r="N23747" i="1"/>
  <c r="A23748" i="1"/>
  <c r="C23748" i="1"/>
  <c r="N23748" i="1"/>
  <c r="A23749" i="1"/>
  <c r="C23749" i="1"/>
  <c r="N23749" i="1"/>
  <c r="A23750" i="1"/>
  <c r="C23750" i="1"/>
  <c r="N23750" i="1"/>
  <c r="A23751" i="1"/>
  <c r="C23751" i="1"/>
  <c r="N23751" i="1"/>
  <c r="A23752" i="1"/>
  <c r="C23752" i="1"/>
  <c r="N23752" i="1"/>
  <c r="A23753" i="1"/>
  <c r="C23753" i="1"/>
  <c r="N23753" i="1"/>
  <c r="A23754" i="1"/>
  <c r="C23754" i="1"/>
  <c r="N23754" i="1"/>
  <c r="A23755" i="1"/>
  <c r="C23755" i="1"/>
  <c r="N23755" i="1"/>
  <c r="A23756" i="1"/>
  <c r="C23756" i="1"/>
  <c r="N23756" i="1"/>
  <c r="A23757" i="1"/>
  <c r="C23757" i="1"/>
  <c r="N23757" i="1"/>
  <c r="A23758" i="1"/>
  <c r="C23758" i="1"/>
  <c r="N23758" i="1"/>
  <c r="A23759" i="1"/>
  <c r="C23759" i="1"/>
  <c r="N23759" i="1"/>
  <c r="A23760" i="1"/>
  <c r="C23760" i="1"/>
  <c r="N23760" i="1"/>
  <c r="A23761" i="1"/>
  <c r="C23761" i="1"/>
  <c r="N23761" i="1"/>
  <c r="A23762" i="1"/>
  <c r="C23762" i="1"/>
  <c r="N23762" i="1"/>
  <c r="A23763" i="1"/>
  <c r="C23763" i="1"/>
  <c r="N23763" i="1"/>
  <c r="A23764" i="1"/>
  <c r="C23764" i="1"/>
  <c r="N23764" i="1"/>
  <c r="A23765" i="1"/>
  <c r="C23765" i="1"/>
  <c r="N23765" i="1"/>
  <c r="A23766" i="1"/>
  <c r="C23766" i="1"/>
  <c r="N23766" i="1"/>
  <c r="A23767" i="1"/>
  <c r="C23767" i="1"/>
  <c r="N23767" i="1"/>
  <c r="A23768" i="1"/>
  <c r="C23768" i="1"/>
  <c r="N23768" i="1"/>
  <c r="A23769" i="1"/>
  <c r="C23769" i="1"/>
  <c r="N23769" i="1"/>
  <c r="A23770" i="1"/>
  <c r="C23770" i="1"/>
  <c r="N23770" i="1"/>
  <c r="A23771" i="1"/>
  <c r="C23771" i="1"/>
  <c r="N23771" i="1"/>
  <c r="A23772" i="1"/>
  <c r="C23772" i="1"/>
  <c r="N23772" i="1"/>
  <c r="A23773" i="1"/>
  <c r="C23773" i="1"/>
  <c r="N23773" i="1"/>
  <c r="A23774" i="1"/>
  <c r="C23774" i="1"/>
  <c r="N23774" i="1"/>
  <c r="A23775" i="1"/>
  <c r="C23775" i="1"/>
  <c r="N23775" i="1"/>
  <c r="A23776" i="1"/>
  <c r="C23776" i="1"/>
  <c r="N23776" i="1"/>
  <c r="A23777" i="1"/>
  <c r="C23777" i="1"/>
  <c r="N23777" i="1"/>
  <c r="A23778" i="1"/>
  <c r="C23778" i="1"/>
  <c r="N23778" i="1"/>
  <c r="A23779" i="1"/>
  <c r="C23779" i="1"/>
  <c r="N23779" i="1"/>
  <c r="A23780" i="1"/>
  <c r="C23780" i="1"/>
  <c r="N23780" i="1"/>
  <c r="A23781" i="1"/>
  <c r="C23781" i="1"/>
  <c r="N23781" i="1"/>
  <c r="A23782" i="1"/>
  <c r="C23782" i="1"/>
  <c r="N23782" i="1"/>
  <c r="A23783" i="1"/>
  <c r="C23783" i="1"/>
  <c r="N23783" i="1"/>
  <c r="A23784" i="1"/>
  <c r="C23784" i="1"/>
  <c r="N23784" i="1"/>
  <c r="A23785" i="1"/>
  <c r="C23785" i="1"/>
  <c r="N23785" i="1"/>
  <c r="A23786" i="1"/>
  <c r="C23786" i="1"/>
  <c r="N23786" i="1"/>
  <c r="A23787" i="1"/>
  <c r="C23787" i="1"/>
  <c r="N23787" i="1"/>
  <c r="A23788" i="1"/>
  <c r="C23788" i="1"/>
  <c r="N23788" i="1"/>
  <c r="A23789" i="1"/>
  <c r="C23789" i="1"/>
  <c r="N23789" i="1"/>
  <c r="A23790" i="1"/>
  <c r="C23790" i="1"/>
  <c r="N23790" i="1"/>
  <c r="A23791" i="1"/>
  <c r="C23791" i="1"/>
  <c r="N23791" i="1"/>
  <c r="A23792" i="1"/>
  <c r="C23792" i="1"/>
  <c r="N23792" i="1"/>
  <c r="A23793" i="1"/>
  <c r="C23793" i="1"/>
  <c r="N23793" i="1"/>
  <c r="A23794" i="1"/>
  <c r="C23794" i="1"/>
  <c r="N23794" i="1"/>
  <c r="A23795" i="1"/>
  <c r="C23795" i="1"/>
  <c r="N23795" i="1"/>
  <c r="A23796" i="1"/>
  <c r="C23796" i="1"/>
  <c r="N23796" i="1"/>
  <c r="A23797" i="1"/>
  <c r="C23797" i="1"/>
  <c r="N23797" i="1"/>
  <c r="A23798" i="1"/>
  <c r="C23798" i="1"/>
  <c r="N23798" i="1"/>
  <c r="A23799" i="1"/>
  <c r="C23799" i="1"/>
  <c r="N23799" i="1"/>
  <c r="A23800" i="1"/>
  <c r="C23800" i="1"/>
  <c r="N23800" i="1"/>
  <c r="A23801" i="1"/>
  <c r="C23801" i="1"/>
  <c r="N23801" i="1"/>
  <c r="A23802" i="1"/>
  <c r="C23802" i="1"/>
  <c r="N23802" i="1"/>
  <c r="A23803" i="1"/>
  <c r="C23803" i="1"/>
  <c r="N23803" i="1"/>
  <c r="A23804" i="1"/>
  <c r="C23804" i="1"/>
  <c r="N23804" i="1"/>
  <c r="A23805" i="1"/>
  <c r="C23805" i="1"/>
  <c r="N23805" i="1"/>
  <c r="A23806" i="1"/>
  <c r="C23806" i="1"/>
  <c r="N23806" i="1"/>
  <c r="A23807" i="1"/>
  <c r="C23807" i="1"/>
  <c r="N23807" i="1"/>
  <c r="A23808" i="1"/>
  <c r="C23808" i="1"/>
  <c r="N23808" i="1"/>
  <c r="A23809" i="1"/>
  <c r="C23809" i="1"/>
  <c r="N23809" i="1"/>
  <c r="A23810" i="1"/>
  <c r="C23810" i="1"/>
  <c r="N23810" i="1"/>
  <c r="A23811" i="1"/>
  <c r="C23811" i="1"/>
  <c r="N23811" i="1"/>
  <c r="A23812" i="1"/>
  <c r="C23812" i="1"/>
  <c r="N23812" i="1"/>
  <c r="A23813" i="1"/>
  <c r="C23813" i="1"/>
  <c r="N23813" i="1"/>
  <c r="A23814" i="1"/>
  <c r="C23814" i="1"/>
  <c r="N23814" i="1"/>
  <c r="A23815" i="1"/>
  <c r="C23815" i="1"/>
  <c r="N23815" i="1"/>
  <c r="A23816" i="1"/>
  <c r="C23816" i="1"/>
  <c r="N23816" i="1"/>
  <c r="A23817" i="1"/>
  <c r="C23817" i="1"/>
  <c r="N23817" i="1"/>
  <c r="A23818" i="1"/>
  <c r="C23818" i="1"/>
  <c r="N23818" i="1"/>
  <c r="A23819" i="1"/>
  <c r="C23819" i="1"/>
  <c r="N23819" i="1"/>
  <c r="A23820" i="1"/>
  <c r="C23820" i="1"/>
  <c r="N23820" i="1"/>
  <c r="A23821" i="1"/>
  <c r="C23821" i="1"/>
  <c r="N23821" i="1"/>
  <c r="A23822" i="1"/>
  <c r="C23822" i="1"/>
  <c r="N23822" i="1"/>
  <c r="A23823" i="1"/>
  <c r="C23823" i="1"/>
  <c r="N23823" i="1"/>
  <c r="A23824" i="1"/>
  <c r="C23824" i="1"/>
  <c r="N23824" i="1"/>
  <c r="A23825" i="1"/>
  <c r="C23825" i="1"/>
  <c r="F23825" i="1"/>
  <c r="K23825" i="1"/>
  <c r="N23825" i="1"/>
  <c r="A23826" i="1"/>
  <c r="C23826" i="1"/>
  <c r="N23826" i="1"/>
  <c r="A23827" i="1"/>
  <c r="C23827" i="1"/>
  <c r="N23827" i="1"/>
  <c r="A23828" i="1"/>
  <c r="C23828" i="1"/>
  <c r="N23828" i="1"/>
  <c r="A23829" i="1"/>
  <c r="C23829" i="1"/>
  <c r="N23829" i="1"/>
  <c r="A23830" i="1"/>
  <c r="C23830" i="1"/>
  <c r="N23830" i="1"/>
  <c r="A23831" i="1"/>
  <c r="C23831" i="1"/>
  <c r="N23831" i="1"/>
  <c r="A23832" i="1"/>
  <c r="C23832" i="1"/>
  <c r="N23832" i="1"/>
  <c r="A23833" i="1"/>
  <c r="C23833" i="1"/>
  <c r="N23833" i="1"/>
  <c r="A23834" i="1"/>
  <c r="C23834" i="1"/>
  <c r="N23834" i="1"/>
  <c r="A23835" i="1"/>
  <c r="C23835" i="1"/>
  <c r="N23835" i="1"/>
  <c r="A23836" i="1"/>
  <c r="C23836" i="1"/>
  <c r="N23836" i="1"/>
  <c r="A23837" i="1"/>
  <c r="C23837" i="1"/>
  <c r="N23837" i="1"/>
  <c r="A23838" i="1"/>
  <c r="C23838" i="1"/>
  <c r="N23838" i="1"/>
  <c r="A23839" i="1"/>
  <c r="C23839" i="1"/>
  <c r="N23839" i="1"/>
  <c r="A23840" i="1"/>
  <c r="C23840" i="1"/>
  <c r="N23840" i="1"/>
  <c r="A23841" i="1"/>
  <c r="C23841" i="1"/>
  <c r="N23841" i="1"/>
  <c r="A23842" i="1"/>
  <c r="C23842" i="1"/>
  <c r="N23842" i="1"/>
  <c r="A23843" i="1"/>
  <c r="C23843" i="1"/>
  <c r="N23843" i="1"/>
  <c r="A23844" i="1"/>
  <c r="C23844" i="1"/>
  <c r="N23844" i="1"/>
  <c r="A23845" i="1"/>
  <c r="C23845" i="1"/>
  <c r="N23845" i="1"/>
  <c r="A23846" i="1"/>
  <c r="C23846" i="1"/>
  <c r="N23846" i="1"/>
  <c r="A23847" i="1"/>
  <c r="C23847" i="1"/>
  <c r="N23847" i="1"/>
  <c r="A23848" i="1"/>
  <c r="C23848" i="1"/>
  <c r="N23848" i="1"/>
  <c r="A23849" i="1"/>
  <c r="C23849" i="1"/>
  <c r="N23849" i="1"/>
  <c r="A23850" i="1"/>
  <c r="C23850" i="1"/>
  <c r="N23850" i="1"/>
  <c r="A23851" i="1"/>
  <c r="C23851" i="1"/>
  <c r="N23851" i="1"/>
  <c r="A23852" i="1"/>
  <c r="C23852" i="1"/>
  <c r="N23852" i="1"/>
  <c r="A23853" i="1"/>
  <c r="C23853" i="1"/>
  <c r="N23853" i="1"/>
  <c r="A23854" i="1"/>
  <c r="C23854" i="1"/>
  <c r="N23854" i="1"/>
  <c r="A23855" i="1"/>
  <c r="C23855" i="1"/>
  <c r="N23855" i="1"/>
  <c r="A23856" i="1"/>
  <c r="C23856" i="1"/>
  <c r="N23856" i="1"/>
  <c r="A23857" i="1"/>
  <c r="C23857" i="1"/>
  <c r="N23857" i="1"/>
  <c r="A23858" i="1"/>
  <c r="C23858" i="1"/>
  <c r="N23858" i="1"/>
  <c r="A23859" i="1"/>
  <c r="C23859" i="1"/>
  <c r="N23859" i="1"/>
  <c r="A23860" i="1"/>
  <c r="C23860" i="1"/>
  <c r="N23860" i="1"/>
  <c r="A23861" i="1"/>
  <c r="C23861" i="1"/>
  <c r="N23861" i="1"/>
  <c r="A23862" i="1"/>
  <c r="C23862" i="1"/>
  <c r="N23862" i="1"/>
  <c r="A23863" i="1"/>
  <c r="C23863" i="1"/>
  <c r="N23863" i="1"/>
  <c r="A23864" i="1"/>
  <c r="C23864" i="1"/>
  <c r="N23864" i="1"/>
  <c r="A23865" i="1"/>
  <c r="C23865" i="1"/>
  <c r="N23865" i="1"/>
  <c r="A23866" i="1"/>
  <c r="C23866" i="1"/>
  <c r="N23866" i="1"/>
  <c r="A23867" i="1"/>
  <c r="C23867" i="1"/>
  <c r="N23867" i="1"/>
  <c r="A23868" i="1"/>
  <c r="C23868" i="1"/>
  <c r="N23868" i="1"/>
  <c r="A23869" i="1"/>
  <c r="C23869" i="1"/>
  <c r="N23869" i="1"/>
  <c r="A23870" i="1"/>
  <c r="C23870" i="1"/>
  <c r="F23870" i="1"/>
  <c r="N23870" i="1"/>
  <c r="A23871" i="1"/>
  <c r="C23871" i="1"/>
  <c r="F23871" i="1"/>
  <c r="N23871" i="1"/>
  <c r="A23872" i="1"/>
  <c r="C23872" i="1"/>
  <c r="N23872" i="1"/>
  <c r="A23873" i="1"/>
  <c r="C23873" i="1"/>
  <c r="N23873" i="1"/>
  <c r="A23874" i="1"/>
  <c r="C23874" i="1"/>
  <c r="N23874" i="1"/>
  <c r="A23875" i="1"/>
  <c r="C23875" i="1"/>
  <c r="N23875" i="1"/>
  <c r="A23876" i="1"/>
  <c r="C23876" i="1"/>
  <c r="N23876" i="1"/>
  <c r="A23877" i="1"/>
  <c r="C23877" i="1"/>
  <c r="N23877" i="1"/>
  <c r="A23878" i="1"/>
  <c r="C23878" i="1"/>
  <c r="F23878" i="1"/>
  <c r="N23878" i="1"/>
  <c r="A23879" i="1"/>
  <c r="C23879" i="1"/>
  <c r="N23879" i="1"/>
  <c r="A23880" i="1"/>
  <c r="C23880" i="1"/>
  <c r="K23880" i="1"/>
  <c r="N23880" i="1"/>
  <c r="A23881" i="1"/>
  <c r="C23881" i="1"/>
  <c r="N23881" i="1"/>
  <c r="A23882" i="1"/>
  <c r="C23882" i="1"/>
  <c r="N23882" i="1"/>
  <c r="A23883" i="1"/>
  <c r="C23883" i="1"/>
  <c r="N23883" i="1"/>
  <c r="A23884" i="1"/>
  <c r="C23884" i="1"/>
  <c r="N23884" i="1"/>
  <c r="A23885" i="1"/>
  <c r="C23885" i="1"/>
  <c r="K23885" i="1"/>
  <c r="N23885" i="1"/>
  <c r="A23886" i="1"/>
  <c r="C23886" i="1"/>
  <c r="N23886" i="1"/>
  <c r="A23887" i="1"/>
  <c r="C23887" i="1"/>
  <c r="N23887" i="1"/>
  <c r="A23888" i="1"/>
  <c r="C23888" i="1"/>
  <c r="N23888" i="1"/>
  <c r="A23889" i="1"/>
  <c r="C23889" i="1"/>
  <c r="N23889" i="1"/>
  <c r="A23890" i="1"/>
  <c r="C23890" i="1"/>
  <c r="N23890" i="1"/>
  <c r="A23891" i="1"/>
  <c r="C23891" i="1"/>
  <c r="N23891" i="1"/>
  <c r="A23892" i="1"/>
  <c r="C23892" i="1"/>
  <c r="N23892" i="1"/>
  <c r="A23893" i="1"/>
  <c r="C23893" i="1"/>
  <c r="N23893" i="1"/>
  <c r="A23894" i="1"/>
  <c r="C23894" i="1"/>
  <c r="N23894" i="1"/>
  <c r="A23895" i="1"/>
  <c r="C23895" i="1"/>
  <c r="N23895" i="1"/>
  <c r="A23896" i="1"/>
  <c r="C23896" i="1"/>
  <c r="N23896" i="1"/>
  <c r="A23897" i="1"/>
  <c r="C23897" i="1"/>
  <c r="N23897" i="1"/>
  <c r="A23898" i="1"/>
  <c r="C23898" i="1"/>
  <c r="N23898" i="1"/>
  <c r="A23899" i="1"/>
  <c r="C23899" i="1"/>
  <c r="N23899" i="1"/>
  <c r="A23900" i="1"/>
  <c r="C23900" i="1"/>
  <c r="N23900" i="1"/>
  <c r="A23901" i="1"/>
  <c r="C23901" i="1"/>
  <c r="N23901" i="1"/>
  <c r="A23902" i="1"/>
  <c r="C23902" i="1"/>
  <c r="N23902" i="1"/>
  <c r="A23903" i="1"/>
  <c r="C23903" i="1"/>
  <c r="N23903" i="1"/>
  <c r="A23904" i="1"/>
  <c r="C23904" i="1"/>
  <c r="N23904" i="1"/>
  <c r="A23905" i="1"/>
  <c r="C23905" i="1"/>
  <c r="N23905" i="1"/>
  <c r="A23906" i="1"/>
  <c r="C23906" i="1"/>
  <c r="N23906" i="1"/>
  <c r="A23907" i="1"/>
  <c r="C23907" i="1"/>
  <c r="N23907" i="1"/>
  <c r="A23908" i="1"/>
  <c r="C23908" i="1"/>
  <c r="N23908" i="1"/>
  <c r="A23909" i="1"/>
  <c r="C23909" i="1"/>
  <c r="N23909" i="1"/>
  <c r="A23910" i="1"/>
  <c r="C23910" i="1"/>
  <c r="N23910" i="1"/>
  <c r="A23911" i="1"/>
  <c r="C23911" i="1"/>
  <c r="N23911" i="1"/>
  <c r="A23912" i="1"/>
  <c r="C23912" i="1"/>
  <c r="N23912" i="1"/>
  <c r="A23913" i="1"/>
  <c r="C23913" i="1"/>
  <c r="N23913" i="1"/>
  <c r="A23914" i="1"/>
  <c r="C23914" i="1"/>
  <c r="N23914" i="1"/>
  <c r="A23915" i="1"/>
  <c r="C23915" i="1"/>
  <c r="N23915" i="1"/>
  <c r="A23916" i="1"/>
  <c r="C23916" i="1"/>
  <c r="N23916" i="1"/>
  <c r="A23917" i="1"/>
  <c r="C23917" i="1"/>
  <c r="N23917" i="1"/>
  <c r="A23918" i="1"/>
  <c r="C23918" i="1"/>
  <c r="N23918" i="1"/>
  <c r="A23919" i="1"/>
  <c r="C23919" i="1"/>
  <c r="N23919" i="1"/>
  <c r="A23920" i="1"/>
  <c r="C23920" i="1"/>
  <c r="N23920" i="1"/>
  <c r="A23921" i="1"/>
  <c r="C23921" i="1"/>
  <c r="N23921" i="1"/>
  <c r="A23922" i="1"/>
  <c r="C23922" i="1"/>
  <c r="K23922" i="1"/>
  <c r="N23922" i="1"/>
  <c r="A23923" i="1"/>
  <c r="C23923" i="1"/>
  <c r="N23923" i="1"/>
  <c r="A23924" i="1"/>
  <c r="C23924" i="1"/>
  <c r="N23924" i="1"/>
  <c r="A23925" i="1"/>
  <c r="C23925" i="1"/>
  <c r="N23925" i="1"/>
  <c r="A23926" i="1"/>
  <c r="C23926" i="1"/>
  <c r="N23926" i="1"/>
  <c r="A23927" i="1"/>
  <c r="C23927" i="1"/>
  <c r="N23927" i="1"/>
  <c r="A23928" i="1"/>
  <c r="C23928" i="1"/>
  <c r="N23928" i="1"/>
  <c r="A23929" i="1"/>
  <c r="C23929" i="1"/>
  <c r="N23929" i="1"/>
  <c r="A23930" i="1"/>
  <c r="C23930" i="1"/>
  <c r="N23930" i="1"/>
  <c r="A23931" i="1"/>
  <c r="C23931" i="1"/>
  <c r="N23931" i="1"/>
  <c r="A23932" i="1"/>
  <c r="C23932" i="1"/>
  <c r="N23932" i="1"/>
  <c r="A23933" i="1"/>
  <c r="C23933" i="1"/>
  <c r="N23933" i="1"/>
  <c r="A23934" i="1"/>
  <c r="C23934" i="1"/>
  <c r="N23934" i="1"/>
  <c r="A23935" i="1"/>
  <c r="C23935" i="1"/>
  <c r="N23935" i="1"/>
  <c r="A23936" i="1"/>
  <c r="C23936" i="1"/>
  <c r="N23936" i="1"/>
  <c r="A23937" i="1"/>
  <c r="C23937" i="1"/>
  <c r="N23937" i="1"/>
  <c r="A23938" i="1"/>
  <c r="C23938" i="1"/>
  <c r="N23938" i="1"/>
  <c r="A23939" i="1"/>
  <c r="C23939" i="1"/>
  <c r="N23939" i="1"/>
  <c r="A23940" i="1"/>
  <c r="C23940" i="1"/>
  <c r="N23940" i="1"/>
  <c r="A23941" i="1"/>
  <c r="C23941" i="1"/>
  <c r="N23941" i="1"/>
  <c r="A23942" i="1"/>
  <c r="C23942" i="1"/>
  <c r="N23942" i="1"/>
  <c r="A23943" i="1"/>
  <c r="C23943" i="1"/>
  <c r="K23943" i="1"/>
  <c r="N23943" i="1"/>
  <c r="A23944" i="1"/>
  <c r="C23944" i="1"/>
  <c r="N23944" i="1"/>
  <c r="A23945" i="1"/>
  <c r="C23945" i="1"/>
  <c r="N23945" i="1"/>
  <c r="A23946" i="1"/>
  <c r="C23946" i="1"/>
  <c r="N23946" i="1"/>
  <c r="A23947" i="1"/>
  <c r="C23947" i="1"/>
  <c r="N23947" i="1"/>
  <c r="A23948" i="1"/>
  <c r="C23948" i="1"/>
  <c r="N23948" i="1"/>
  <c r="A23949" i="1"/>
  <c r="C23949" i="1"/>
  <c r="N23949" i="1"/>
  <c r="A23950" i="1"/>
  <c r="C23950" i="1"/>
  <c r="N23950" i="1"/>
  <c r="A23951" i="1"/>
  <c r="C23951" i="1"/>
  <c r="N23951" i="1"/>
  <c r="A23952" i="1"/>
  <c r="C23952" i="1"/>
  <c r="N23952" i="1"/>
  <c r="A23953" i="1"/>
  <c r="C23953" i="1"/>
  <c r="N23953" i="1"/>
  <c r="A23954" i="1"/>
  <c r="C23954" i="1"/>
  <c r="N23954" i="1"/>
  <c r="A23955" i="1"/>
  <c r="C23955" i="1"/>
  <c r="N23955" i="1"/>
  <c r="A23956" i="1"/>
  <c r="C23956" i="1"/>
  <c r="N23956" i="1"/>
  <c r="A23957" i="1"/>
  <c r="C23957" i="1"/>
  <c r="N23957" i="1"/>
  <c r="A23958" i="1"/>
  <c r="C23958" i="1"/>
  <c r="N23958" i="1"/>
  <c r="A23959" i="1"/>
  <c r="C23959" i="1"/>
  <c r="N23959" i="1"/>
  <c r="A23960" i="1"/>
  <c r="C23960" i="1"/>
  <c r="N23960" i="1"/>
  <c r="A23961" i="1"/>
  <c r="C23961" i="1"/>
  <c r="N23961" i="1"/>
  <c r="A23962" i="1"/>
  <c r="C23962" i="1"/>
  <c r="N23962" i="1"/>
  <c r="A23963" i="1"/>
  <c r="C23963" i="1"/>
  <c r="N23963" i="1"/>
  <c r="A23964" i="1"/>
  <c r="C23964" i="1"/>
  <c r="N23964" i="1"/>
  <c r="A23965" i="1"/>
  <c r="C23965" i="1"/>
  <c r="N23965" i="1"/>
  <c r="A23966" i="1"/>
  <c r="C23966" i="1"/>
  <c r="N23966" i="1"/>
  <c r="A23967" i="1"/>
  <c r="C23967" i="1"/>
  <c r="N23967" i="1"/>
  <c r="A23968" i="1"/>
  <c r="C23968" i="1"/>
  <c r="N23968" i="1"/>
  <c r="A23969" i="1"/>
  <c r="C23969" i="1"/>
  <c r="N23969" i="1"/>
  <c r="A23970" i="1"/>
  <c r="C23970" i="1"/>
  <c r="N23970" i="1"/>
  <c r="A23971" i="1"/>
  <c r="C23971" i="1"/>
  <c r="N23971" i="1"/>
  <c r="A23972" i="1"/>
  <c r="C23972" i="1"/>
  <c r="N23972" i="1"/>
  <c r="A23973" i="1"/>
  <c r="C23973" i="1"/>
  <c r="N23973" i="1"/>
  <c r="A23974" i="1"/>
  <c r="C23974" i="1"/>
  <c r="N23974" i="1"/>
  <c r="A23975" i="1"/>
  <c r="C23975" i="1"/>
  <c r="N23975" i="1"/>
  <c r="A23976" i="1"/>
  <c r="C23976" i="1"/>
  <c r="N23976" i="1"/>
  <c r="A23977" i="1"/>
  <c r="C23977" i="1"/>
  <c r="N23977" i="1"/>
  <c r="A23978" i="1"/>
  <c r="C23978" i="1"/>
  <c r="N23978" i="1"/>
  <c r="A23979" i="1"/>
  <c r="C23979" i="1"/>
  <c r="N23979" i="1"/>
  <c r="A23980" i="1"/>
  <c r="C23980" i="1"/>
  <c r="N23980" i="1"/>
  <c r="A23981" i="1"/>
  <c r="C23981" i="1"/>
  <c r="N23981" i="1"/>
  <c r="A23982" i="1"/>
  <c r="C23982" i="1"/>
  <c r="N23982" i="1"/>
  <c r="A23983" i="1"/>
  <c r="C23983" i="1"/>
  <c r="N23983" i="1"/>
  <c r="A23984" i="1"/>
  <c r="C23984" i="1"/>
  <c r="N23984" i="1"/>
  <c r="A23985" i="1"/>
  <c r="C23985" i="1"/>
  <c r="N23985" i="1"/>
  <c r="A23986" i="1"/>
  <c r="C23986" i="1"/>
  <c r="N23986" i="1"/>
  <c r="A23987" i="1"/>
  <c r="C23987" i="1"/>
  <c r="N23987" i="1"/>
  <c r="A23988" i="1"/>
  <c r="C23988" i="1"/>
  <c r="N23988" i="1"/>
  <c r="A23989" i="1"/>
  <c r="C23989" i="1"/>
  <c r="N23989" i="1"/>
  <c r="A23990" i="1"/>
  <c r="C23990" i="1"/>
  <c r="N23990" i="1"/>
  <c r="A23991" i="1"/>
  <c r="C23991" i="1"/>
  <c r="N23991" i="1"/>
  <c r="A23992" i="1"/>
  <c r="C23992" i="1"/>
  <c r="N23992" i="1"/>
  <c r="A23993" i="1"/>
  <c r="C23993" i="1"/>
  <c r="N23993" i="1"/>
  <c r="A23994" i="1"/>
  <c r="C23994" i="1"/>
  <c r="N23994" i="1"/>
  <c r="A23995" i="1"/>
  <c r="C23995" i="1"/>
  <c r="N23995" i="1"/>
  <c r="A23996" i="1"/>
  <c r="C23996" i="1"/>
  <c r="N23996" i="1"/>
  <c r="A23997" i="1"/>
  <c r="C23997" i="1"/>
  <c r="N23997" i="1"/>
  <c r="A23998" i="1"/>
  <c r="C23998" i="1"/>
  <c r="N23998" i="1"/>
  <c r="A23999" i="1"/>
  <c r="C23999" i="1"/>
  <c r="N23999" i="1"/>
  <c r="A24000" i="1"/>
  <c r="C24000" i="1"/>
  <c r="N24000" i="1"/>
  <c r="A24001" i="1"/>
  <c r="C24001" i="1"/>
  <c r="N24001" i="1"/>
  <c r="A24002" i="1"/>
  <c r="C24002" i="1"/>
  <c r="N24002" i="1"/>
  <c r="A24003" i="1"/>
  <c r="C24003" i="1"/>
  <c r="N24003" i="1"/>
  <c r="A24004" i="1"/>
  <c r="C24004" i="1"/>
  <c r="N24004" i="1"/>
  <c r="A24005" i="1"/>
  <c r="C24005" i="1"/>
  <c r="N24005" i="1"/>
  <c r="A24006" i="1"/>
  <c r="C24006" i="1"/>
  <c r="N24006" i="1"/>
  <c r="A24007" i="1"/>
  <c r="C24007" i="1"/>
  <c r="N24007" i="1"/>
  <c r="A24008" i="1"/>
  <c r="C24008" i="1"/>
  <c r="N24008" i="1"/>
  <c r="A24009" i="1"/>
  <c r="C24009" i="1"/>
  <c r="N24009" i="1"/>
  <c r="A24010" i="1"/>
  <c r="C24010" i="1"/>
  <c r="F24010" i="1"/>
  <c r="N24010" i="1"/>
  <c r="A24011" i="1"/>
  <c r="C24011" i="1"/>
  <c r="N24011" i="1"/>
  <c r="A24012" i="1"/>
  <c r="C24012" i="1"/>
  <c r="N24012" i="1"/>
  <c r="A24013" i="1"/>
  <c r="C24013" i="1"/>
  <c r="F24013" i="1"/>
  <c r="N24013" i="1"/>
  <c r="A24014" i="1"/>
  <c r="C24014" i="1"/>
  <c r="N24014" i="1"/>
  <c r="A24015" i="1"/>
  <c r="C24015" i="1"/>
  <c r="N24015" i="1"/>
  <c r="A24016" i="1"/>
  <c r="C24016" i="1"/>
  <c r="N24016" i="1"/>
  <c r="A24017" i="1"/>
  <c r="C24017" i="1"/>
  <c r="N24017" i="1"/>
  <c r="A24018" i="1"/>
  <c r="C24018" i="1"/>
  <c r="N24018" i="1"/>
  <c r="A24019" i="1"/>
  <c r="C24019" i="1"/>
  <c r="N24019" i="1"/>
  <c r="A24020" i="1"/>
  <c r="C24020" i="1"/>
  <c r="N24020" i="1"/>
  <c r="A24021" i="1"/>
  <c r="C24021" i="1"/>
  <c r="N24021" i="1"/>
  <c r="A24022" i="1"/>
  <c r="C24022" i="1"/>
  <c r="N24022" i="1"/>
  <c r="A24023" i="1"/>
  <c r="C24023" i="1"/>
  <c r="N24023" i="1"/>
  <c r="A24024" i="1"/>
  <c r="C24024" i="1"/>
  <c r="N24024" i="1"/>
  <c r="A24025" i="1"/>
  <c r="C24025" i="1"/>
  <c r="N24025" i="1"/>
  <c r="A24026" i="1"/>
  <c r="C24026" i="1"/>
  <c r="N24026" i="1"/>
  <c r="A24027" i="1"/>
  <c r="C24027" i="1"/>
  <c r="N24027" i="1"/>
  <c r="A24028" i="1"/>
  <c r="C24028" i="1"/>
  <c r="N24028" i="1"/>
  <c r="A24029" i="1"/>
  <c r="C24029" i="1"/>
  <c r="K24029" i="1"/>
  <c r="N24029" i="1"/>
  <c r="A24030" i="1"/>
  <c r="C24030" i="1"/>
  <c r="N24030" i="1"/>
  <c r="A24031" i="1"/>
  <c r="C24031" i="1"/>
  <c r="N24031" i="1"/>
  <c r="A24032" i="1"/>
  <c r="C24032" i="1"/>
  <c r="N24032" i="1"/>
  <c r="A24033" i="1"/>
  <c r="C24033" i="1"/>
  <c r="N24033" i="1"/>
  <c r="A24034" i="1"/>
  <c r="C24034" i="1"/>
  <c r="N24034" i="1"/>
  <c r="A24035" i="1"/>
  <c r="C24035" i="1"/>
  <c r="N24035" i="1"/>
  <c r="A24036" i="1"/>
  <c r="C24036" i="1"/>
  <c r="N24036" i="1"/>
  <c r="A24037" i="1"/>
  <c r="C24037" i="1"/>
  <c r="N24037" i="1"/>
  <c r="A24038" i="1"/>
  <c r="C24038" i="1"/>
  <c r="N24038" i="1"/>
  <c r="A24039" i="1"/>
  <c r="C24039" i="1"/>
  <c r="N24039" i="1"/>
  <c r="A24040" i="1"/>
  <c r="C24040" i="1"/>
  <c r="N24040" i="1"/>
  <c r="A24041" i="1"/>
  <c r="C24041" i="1"/>
  <c r="N24041" i="1"/>
  <c r="A24042" i="1"/>
  <c r="C24042" i="1"/>
  <c r="N24042" i="1"/>
  <c r="A24043" i="1"/>
  <c r="C24043" i="1"/>
  <c r="N24043" i="1"/>
  <c r="A24044" i="1"/>
  <c r="C24044" i="1"/>
  <c r="N24044" i="1"/>
  <c r="A24045" i="1"/>
  <c r="C24045" i="1"/>
  <c r="N24045" i="1"/>
  <c r="A24046" i="1"/>
  <c r="C24046" i="1"/>
  <c r="N24046" i="1"/>
  <c r="A24047" i="1"/>
  <c r="C24047" i="1"/>
  <c r="N24047" i="1"/>
  <c r="A24048" i="1"/>
  <c r="C24048" i="1"/>
  <c r="K24048" i="1"/>
  <c r="N24048" i="1"/>
  <c r="A24049" i="1"/>
  <c r="C24049" i="1"/>
  <c r="N24049" i="1"/>
  <c r="A24050" i="1"/>
  <c r="C24050" i="1"/>
  <c r="N24050" i="1"/>
  <c r="A24051" i="1"/>
  <c r="C24051" i="1"/>
  <c r="N24051" i="1"/>
  <c r="A24052" i="1"/>
  <c r="C24052" i="1"/>
  <c r="N24052" i="1"/>
  <c r="A24053" i="1"/>
  <c r="C24053" i="1"/>
  <c r="K24053" i="1"/>
  <c r="N24053" i="1"/>
  <c r="A24054" i="1"/>
  <c r="C24054" i="1"/>
  <c r="N24054" i="1"/>
  <c r="A24055" i="1"/>
  <c r="C24055" i="1"/>
  <c r="N24055" i="1"/>
  <c r="A24056" i="1"/>
  <c r="C24056" i="1"/>
  <c r="K24056" i="1"/>
  <c r="N24056" i="1"/>
  <c r="A24057" i="1"/>
  <c r="C24057" i="1"/>
  <c r="N24057" i="1"/>
  <c r="A24058" i="1"/>
  <c r="C24058" i="1"/>
  <c r="N24058" i="1"/>
  <c r="A24059" i="1"/>
  <c r="C24059" i="1"/>
  <c r="N24059" i="1"/>
  <c r="A24060" i="1"/>
  <c r="C24060" i="1"/>
  <c r="N24060" i="1"/>
  <c r="A24061" i="1"/>
  <c r="C24061" i="1"/>
  <c r="N24061" i="1"/>
  <c r="A24062" i="1"/>
  <c r="C24062" i="1"/>
  <c r="K24062" i="1"/>
  <c r="N24062" i="1"/>
  <c r="A24063" i="1"/>
  <c r="C24063" i="1"/>
  <c r="N24063" i="1"/>
  <c r="A24064" i="1"/>
  <c r="C24064" i="1"/>
  <c r="N24064" i="1"/>
  <c r="A24065" i="1"/>
  <c r="C24065" i="1"/>
  <c r="N24065" i="1"/>
  <c r="A24066" i="1"/>
  <c r="C24066" i="1"/>
  <c r="N24066" i="1"/>
  <c r="A24067" i="1"/>
  <c r="C24067" i="1"/>
  <c r="N24067" i="1"/>
  <c r="A24068" i="1"/>
  <c r="C24068" i="1"/>
  <c r="N24068" i="1"/>
  <c r="A24069" i="1"/>
  <c r="C24069" i="1"/>
  <c r="N24069" i="1"/>
  <c r="A24070" i="1"/>
  <c r="C24070" i="1"/>
  <c r="N24070" i="1"/>
  <c r="A24071" i="1"/>
  <c r="C24071" i="1"/>
  <c r="N24071" i="1"/>
  <c r="A24072" i="1"/>
  <c r="C24072" i="1"/>
  <c r="N24072" i="1"/>
  <c r="A24073" i="1"/>
  <c r="C24073" i="1"/>
  <c r="N24073" i="1"/>
  <c r="A24074" i="1"/>
  <c r="C24074" i="1"/>
  <c r="N24074" i="1"/>
  <c r="A24075" i="1"/>
  <c r="C24075" i="1"/>
  <c r="N24075" i="1"/>
  <c r="A24076" i="1"/>
  <c r="C24076" i="1"/>
  <c r="N24076" i="1"/>
  <c r="A24077" i="1"/>
  <c r="C24077" i="1"/>
  <c r="N24077" i="1"/>
  <c r="A24078" i="1"/>
  <c r="C24078" i="1"/>
  <c r="N24078" i="1"/>
  <c r="A24079" i="1"/>
  <c r="C24079" i="1"/>
  <c r="N24079" i="1"/>
  <c r="A24080" i="1"/>
  <c r="C24080" i="1"/>
  <c r="N24080" i="1"/>
  <c r="A24081" i="1"/>
  <c r="C24081" i="1"/>
  <c r="N24081" i="1"/>
  <c r="A24082" i="1"/>
  <c r="C24082" i="1"/>
  <c r="N24082" i="1"/>
  <c r="A24083" i="1"/>
  <c r="C24083" i="1"/>
  <c r="N24083" i="1"/>
  <c r="A24084" i="1"/>
  <c r="C24084" i="1"/>
  <c r="N24084" i="1"/>
  <c r="A24085" i="1"/>
  <c r="C24085" i="1"/>
  <c r="E24085" i="1"/>
  <c r="N24085" i="1"/>
  <c r="T24085" i="1"/>
  <c r="A24086" i="1"/>
  <c r="C24086" i="1"/>
  <c r="N24086" i="1"/>
  <c r="A24087" i="1"/>
  <c r="C24087" i="1"/>
  <c r="N24087" i="1"/>
  <c r="A24088" i="1"/>
  <c r="C24088" i="1"/>
  <c r="N24088" i="1"/>
  <c r="A24089" i="1"/>
  <c r="C24089" i="1"/>
  <c r="N24089" i="1"/>
  <c r="A24090" i="1"/>
  <c r="C24090" i="1"/>
  <c r="N24090" i="1"/>
  <c r="A24091" i="1"/>
  <c r="C24091" i="1"/>
  <c r="N24091" i="1"/>
  <c r="A24092" i="1"/>
  <c r="C24092" i="1"/>
  <c r="N24092" i="1"/>
  <c r="A24093" i="1"/>
  <c r="C24093" i="1"/>
  <c r="N24093" i="1"/>
  <c r="A24094" i="1"/>
  <c r="C24094" i="1"/>
  <c r="N24094" i="1"/>
  <c r="A24095" i="1"/>
  <c r="C24095" i="1"/>
  <c r="N24095" i="1"/>
  <c r="A24096" i="1"/>
  <c r="C24096" i="1"/>
  <c r="N24096" i="1"/>
  <c r="A24097" i="1"/>
  <c r="C24097" i="1"/>
  <c r="N24097" i="1"/>
  <c r="A24098" i="1"/>
  <c r="C24098" i="1"/>
  <c r="N24098" i="1"/>
  <c r="A24099" i="1"/>
  <c r="C24099" i="1"/>
  <c r="N24099" i="1"/>
  <c r="A24100" i="1"/>
  <c r="C24100" i="1"/>
  <c r="N24100" i="1"/>
  <c r="A24101" i="1"/>
  <c r="C24101" i="1"/>
  <c r="N24101" i="1"/>
  <c r="A24102" i="1"/>
  <c r="C24102" i="1"/>
  <c r="N24102" i="1"/>
  <c r="A24103" i="1"/>
  <c r="C24103" i="1"/>
  <c r="N24103" i="1"/>
  <c r="A24104" i="1"/>
  <c r="C24104" i="1"/>
  <c r="N24104" i="1"/>
  <c r="A24105" i="1"/>
  <c r="C24105" i="1"/>
  <c r="N24105" i="1"/>
  <c r="A24106" i="1"/>
  <c r="C24106" i="1"/>
  <c r="N24106" i="1"/>
  <c r="A24107" i="1"/>
  <c r="C24107" i="1"/>
  <c r="N24107" i="1"/>
  <c r="A24108" i="1"/>
  <c r="C24108" i="1"/>
  <c r="N24108" i="1"/>
  <c r="A24109" i="1"/>
  <c r="C24109" i="1"/>
  <c r="N24109" i="1"/>
  <c r="A24110" i="1"/>
  <c r="C24110" i="1"/>
  <c r="N24110" i="1"/>
  <c r="A24111" i="1"/>
  <c r="C24111" i="1"/>
  <c r="N24111" i="1"/>
  <c r="A24112" i="1"/>
  <c r="C24112" i="1"/>
  <c r="N24112" i="1"/>
  <c r="A24113" i="1"/>
  <c r="C24113" i="1"/>
  <c r="N24113" i="1"/>
  <c r="A24114" i="1"/>
  <c r="C24114" i="1"/>
  <c r="N24114" i="1"/>
  <c r="A24115" i="1"/>
  <c r="C24115" i="1"/>
  <c r="N24115" i="1"/>
  <c r="A24116" i="1"/>
  <c r="C24116" i="1"/>
  <c r="N24116" i="1"/>
  <c r="A24117" i="1"/>
  <c r="C24117" i="1"/>
  <c r="K24117" i="1"/>
  <c r="N24117" i="1"/>
  <c r="A24118" i="1"/>
  <c r="C24118" i="1"/>
  <c r="K24118" i="1"/>
  <c r="N24118" i="1"/>
  <c r="A24119" i="1"/>
  <c r="C24119" i="1"/>
  <c r="K24119" i="1"/>
  <c r="N24119" i="1"/>
  <c r="A24120" i="1"/>
  <c r="C24120" i="1"/>
  <c r="N24120" i="1"/>
  <c r="A24121" i="1"/>
  <c r="C24121" i="1"/>
  <c r="N24121" i="1"/>
  <c r="A24122" i="1"/>
  <c r="C24122" i="1"/>
  <c r="N24122" i="1"/>
  <c r="A24123" i="1"/>
  <c r="C24123" i="1"/>
  <c r="N24123" i="1"/>
  <c r="A24124" i="1"/>
  <c r="C24124" i="1"/>
  <c r="N24124" i="1"/>
  <c r="A24125" i="1"/>
  <c r="C24125" i="1"/>
  <c r="N24125" i="1"/>
  <c r="A24126" i="1"/>
  <c r="C24126" i="1"/>
  <c r="N24126" i="1"/>
  <c r="A24127" i="1"/>
  <c r="C24127" i="1"/>
  <c r="N24127" i="1"/>
  <c r="A24128" i="1"/>
  <c r="C24128" i="1"/>
  <c r="N24128" i="1"/>
  <c r="A24129" i="1"/>
  <c r="C24129" i="1"/>
  <c r="N24129" i="1"/>
  <c r="A24130" i="1"/>
  <c r="C24130" i="1"/>
  <c r="N24130" i="1"/>
  <c r="A24131" i="1"/>
  <c r="C24131" i="1"/>
  <c r="N24131" i="1"/>
  <c r="A24132" i="1"/>
  <c r="C24132" i="1"/>
  <c r="N24132" i="1"/>
  <c r="A24133" i="1"/>
  <c r="C24133" i="1"/>
  <c r="N24133" i="1"/>
  <c r="A24134" i="1"/>
  <c r="C24134" i="1"/>
  <c r="N24134" i="1"/>
  <c r="A24135" i="1"/>
  <c r="C24135" i="1"/>
  <c r="N24135" i="1"/>
  <c r="A24136" i="1"/>
  <c r="C24136" i="1"/>
  <c r="N24136" i="1"/>
  <c r="A24137" i="1"/>
  <c r="C24137" i="1"/>
  <c r="N24137" i="1"/>
  <c r="A24138" i="1"/>
  <c r="C24138" i="1"/>
  <c r="N24138" i="1"/>
  <c r="A24139" i="1"/>
  <c r="C24139" i="1"/>
  <c r="N24139" i="1"/>
  <c r="A24140" i="1"/>
  <c r="C24140" i="1"/>
  <c r="N24140" i="1"/>
  <c r="A24141" i="1"/>
  <c r="C24141" i="1"/>
  <c r="N24141" i="1"/>
  <c r="A24142" i="1"/>
  <c r="C24142" i="1"/>
  <c r="N24142" i="1"/>
  <c r="A24143" i="1"/>
  <c r="C24143" i="1"/>
  <c r="N24143" i="1"/>
  <c r="A24144" i="1"/>
  <c r="C24144" i="1"/>
  <c r="N24144" i="1"/>
  <c r="A24145" i="1"/>
  <c r="C24145" i="1"/>
  <c r="N24145" i="1"/>
  <c r="A24146" i="1"/>
  <c r="C24146" i="1"/>
  <c r="N24146" i="1"/>
  <c r="A24147" i="1"/>
  <c r="C24147" i="1"/>
  <c r="N24147" i="1"/>
  <c r="A24148" i="1"/>
  <c r="C24148" i="1"/>
  <c r="N24148" i="1"/>
  <c r="A24149" i="1"/>
  <c r="C24149" i="1"/>
  <c r="N24149" i="1"/>
  <c r="A24150" i="1"/>
  <c r="C24150" i="1"/>
  <c r="N24150" i="1"/>
  <c r="A24151" i="1"/>
  <c r="C24151" i="1"/>
  <c r="N24151" i="1"/>
  <c r="A24152" i="1"/>
  <c r="C24152" i="1"/>
  <c r="N24152" i="1"/>
  <c r="A24153" i="1"/>
  <c r="C24153" i="1"/>
  <c r="N24153" i="1"/>
  <c r="A24154" i="1"/>
  <c r="C24154" i="1"/>
  <c r="N24154" i="1"/>
  <c r="A24155" i="1"/>
  <c r="C24155" i="1"/>
  <c r="N24155" i="1"/>
  <c r="A24156" i="1"/>
  <c r="C24156" i="1"/>
  <c r="N24156" i="1"/>
  <c r="A24157" i="1"/>
  <c r="C24157" i="1"/>
  <c r="N24157" i="1"/>
  <c r="A24158" i="1"/>
  <c r="C24158" i="1"/>
  <c r="N24158" i="1"/>
  <c r="A24159" i="1"/>
  <c r="C24159" i="1"/>
  <c r="K24159" i="1"/>
  <c r="N24159" i="1"/>
  <c r="A24160" i="1"/>
  <c r="C24160" i="1"/>
  <c r="N24160" i="1"/>
  <c r="A24161" i="1"/>
  <c r="C24161" i="1"/>
  <c r="N24161" i="1"/>
  <c r="A24162" i="1"/>
  <c r="C24162" i="1"/>
  <c r="N24162" i="1"/>
  <c r="A24163" i="1"/>
  <c r="C24163" i="1"/>
  <c r="N24163" i="1"/>
  <c r="A24164" i="1"/>
  <c r="C24164" i="1"/>
  <c r="N24164" i="1"/>
  <c r="A24165" i="1"/>
  <c r="C24165" i="1"/>
  <c r="N24165" i="1"/>
  <c r="A24166" i="1"/>
  <c r="C24166" i="1"/>
  <c r="N24166" i="1"/>
  <c r="A24167" i="1"/>
  <c r="C24167" i="1"/>
  <c r="N24167" i="1"/>
  <c r="A24168" i="1"/>
  <c r="C24168" i="1"/>
  <c r="N24168" i="1"/>
  <c r="A24169" i="1"/>
  <c r="C24169" i="1"/>
  <c r="N24169" i="1"/>
  <c r="A24170" i="1"/>
  <c r="C24170" i="1"/>
  <c r="N24170" i="1"/>
  <c r="A24171" i="1"/>
  <c r="C24171" i="1"/>
  <c r="N24171" i="1"/>
  <c r="A24172" i="1"/>
  <c r="C24172" i="1"/>
  <c r="N24172" i="1"/>
  <c r="A24173" i="1"/>
  <c r="C24173" i="1"/>
  <c r="N24173" i="1"/>
  <c r="A24174" i="1"/>
  <c r="C24174" i="1"/>
  <c r="N24174" i="1"/>
  <c r="A24175" i="1"/>
  <c r="C24175" i="1"/>
  <c r="N24175" i="1"/>
  <c r="A24176" i="1"/>
  <c r="C24176" i="1"/>
  <c r="N24176" i="1"/>
  <c r="A24177" i="1"/>
  <c r="C24177" i="1"/>
  <c r="N24177" i="1"/>
  <c r="A24178" i="1"/>
  <c r="C24178" i="1"/>
  <c r="N24178" i="1"/>
  <c r="A24179" i="1"/>
  <c r="C24179" i="1"/>
  <c r="N24179" i="1"/>
  <c r="A24180" i="1"/>
  <c r="C24180" i="1"/>
  <c r="N24180" i="1"/>
  <c r="A24181" i="1"/>
  <c r="C24181" i="1"/>
  <c r="N24181" i="1"/>
  <c r="A24182" i="1"/>
  <c r="C24182" i="1"/>
  <c r="N24182" i="1"/>
  <c r="A24183" i="1"/>
  <c r="C24183" i="1"/>
  <c r="N24183" i="1"/>
  <c r="A24184" i="1"/>
  <c r="C24184" i="1"/>
  <c r="N24184" i="1"/>
  <c r="A24185" i="1"/>
  <c r="C24185" i="1"/>
  <c r="K24185" i="1"/>
  <c r="N24185" i="1"/>
  <c r="A24186" i="1"/>
  <c r="C24186" i="1"/>
  <c r="N24186" i="1"/>
  <c r="A24187" i="1"/>
  <c r="C24187" i="1"/>
  <c r="N24187" i="1"/>
  <c r="A24188" i="1"/>
  <c r="C24188" i="1"/>
  <c r="N24188" i="1"/>
  <c r="A24189" i="1"/>
  <c r="C24189" i="1"/>
  <c r="N24189" i="1"/>
  <c r="A24190" i="1"/>
  <c r="C24190" i="1"/>
  <c r="N24190" i="1"/>
  <c r="A24191" i="1"/>
  <c r="C24191" i="1"/>
  <c r="N24191" i="1"/>
  <c r="A24192" i="1"/>
  <c r="C24192" i="1"/>
  <c r="N24192" i="1"/>
  <c r="A24193" i="1"/>
  <c r="C24193" i="1"/>
  <c r="N24193" i="1"/>
  <c r="A24194" i="1"/>
  <c r="C24194" i="1"/>
  <c r="N24194" i="1"/>
  <c r="A24195" i="1"/>
  <c r="C24195" i="1"/>
  <c r="N24195" i="1"/>
  <c r="A24196" i="1"/>
  <c r="C24196" i="1"/>
  <c r="N24196" i="1"/>
  <c r="A24197" i="1"/>
  <c r="C24197" i="1"/>
  <c r="N24197" i="1"/>
  <c r="A24198" i="1"/>
  <c r="C24198" i="1"/>
  <c r="N24198" i="1"/>
  <c r="A24199" i="1"/>
  <c r="C24199" i="1"/>
  <c r="N24199" i="1"/>
  <c r="A24200" i="1"/>
  <c r="C24200" i="1"/>
  <c r="N24200" i="1"/>
  <c r="A24201" i="1"/>
  <c r="C24201" i="1"/>
  <c r="N24201" i="1"/>
  <c r="A24202" i="1"/>
  <c r="C24202" i="1"/>
  <c r="N24202" i="1"/>
  <c r="A24203" i="1"/>
  <c r="C24203" i="1"/>
  <c r="N24203" i="1"/>
  <c r="A24204" i="1"/>
  <c r="C24204" i="1"/>
  <c r="N24204" i="1"/>
  <c r="A24205" i="1"/>
  <c r="C24205" i="1"/>
  <c r="N24205" i="1"/>
  <c r="A24206" i="1"/>
  <c r="C24206" i="1"/>
  <c r="N24206" i="1"/>
  <c r="A24207" i="1"/>
  <c r="C24207" i="1"/>
  <c r="N24207" i="1"/>
  <c r="A24208" i="1"/>
  <c r="C24208" i="1"/>
  <c r="N24208" i="1"/>
  <c r="A24209" i="1"/>
  <c r="C24209" i="1"/>
  <c r="N24209" i="1"/>
  <c r="A24210" i="1"/>
  <c r="C24210" i="1"/>
  <c r="N24210" i="1"/>
  <c r="A24211" i="1"/>
  <c r="C24211" i="1"/>
  <c r="N24211" i="1"/>
  <c r="A24212" i="1"/>
  <c r="C24212" i="1"/>
  <c r="N24212" i="1"/>
  <c r="A24213" i="1"/>
  <c r="C24213" i="1"/>
  <c r="N24213" i="1"/>
  <c r="A24214" i="1"/>
  <c r="C24214" i="1"/>
  <c r="N24214" i="1"/>
  <c r="A24215" i="1"/>
  <c r="C24215" i="1"/>
  <c r="N24215" i="1"/>
  <c r="A24216" i="1"/>
  <c r="C24216" i="1"/>
  <c r="N24216" i="1"/>
  <c r="A24217" i="1"/>
  <c r="C24217" i="1"/>
  <c r="N24217" i="1"/>
  <c r="A24218" i="1"/>
  <c r="C24218" i="1"/>
  <c r="K24218" i="1"/>
  <c r="N24218" i="1"/>
  <c r="A24219" i="1"/>
  <c r="C24219" i="1"/>
  <c r="N24219" i="1"/>
  <c r="A24220" i="1"/>
  <c r="C24220" i="1"/>
  <c r="K24220" i="1"/>
  <c r="N24220" i="1"/>
  <c r="A24221" i="1"/>
  <c r="C24221" i="1"/>
  <c r="N24221" i="1"/>
  <c r="A24222" i="1"/>
  <c r="C24222" i="1"/>
  <c r="N24222" i="1"/>
  <c r="A24223" i="1"/>
  <c r="C24223" i="1"/>
  <c r="N24223" i="1"/>
  <c r="A24224" i="1"/>
  <c r="C24224" i="1"/>
  <c r="N24224" i="1"/>
  <c r="A24225" i="1"/>
  <c r="C24225" i="1"/>
  <c r="N24225" i="1"/>
  <c r="A24226" i="1"/>
  <c r="C24226" i="1"/>
  <c r="N24226" i="1"/>
  <c r="A24227" i="1"/>
  <c r="C24227" i="1"/>
  <c r="N24227" i="1"/>
  <c r="A24228" i="1"/>
  <c r="C24228" i="1"/>
  <c r="N24228" i="1"/>
  <c r="A24229" i="1"/>
  <c r="C24229" i="1"/>
  <c r="N24229" i="1"/>
  <c r="A24230" i="1"/>
  <c r="C24230" i="1"/>
  <c r="N24230" i="1"/>
  <c r="A24231" i="1"/>
  <c r="C24231" i="1"/>
  <c r="N24231" i="1"/>
  <c r="A24232" i="1"/>
  <c r="C24232" i="1"/>
  <c r="N24232" i="1"/>
  <c r="A24233" i="1"/>
  <c r="C24233" i="1"/>
  <c r="N24233" i="1"/>
  <c r="A24234" i="1"/>
  <c r="C24234" i="1"/>
  <c r="N24234" i="1"/>
  <c r="A24235" i="1"/>
  <c r="C24235" i="1"/>
  <c r="N24235" i="1"/>
  <c r="A24236" i="1"/>
  <c r="C24236" i="1"/>
  <c r="N24236" i="1"/>
  <c r="A24237" i="1"/>
  <c r="C24237" i="1"/>
  <c r="N24237" i="1"/>
  <c r="A24238" i="1"/>
  <c r="C24238" i="1"/>
  <c r="N24238" i="1"/>
  <c r="A24239" i="1"/>
  <c r="C24239" i="1"/>
  <c r="N24239" i="1"/>
  <c r="A24240" i="1"/>
  <c r="C24240" i="1"/>
  <c r="N24240" i="1"/>
  <c r="A24241" i="1"/>
  <c r="C24241" i="1"/>
  <c r="N24241" i="1"/>
  <c r="A24242" i="1"/>
  <c r="C24242" i="1"/>
  <c r="N24242" i="1"/>
  <c r="A24243" i="1"/>
  <c r="C24243" i="1"/>
  <c r="N24243" i="1"/>
  <c r="A24244" i="1"/>
  <c r="C24244" i="1"/>
  <c r="N24244" i="1"/>
  <c r="A24245" i="1"/>
  <c r="C24245" i="1"/>
  <c r="N24245" i="1"/>
  <c r="A24246" i="1"/>
  <c r="C24246" i="1"/>
  <c r="N24246" i="1"/>
  <c r="A24247" i="1"/>
  <c r="C24247" i="1"/>
  <c r="N24247" i="1"/>
  <c r="A24248" i="1"/>
  <c r="C24248" i="1"/>
  <c r="N24248" i="1"/>
  <c r="A24249" i="1"/>
  <c r="C24249" i="1"/>
  <c r="N24249" i="1"/>
  <c r="A24250" i="1"/>
  <c r="C24250" i="1"/>
  <c r="N24250" i="1"/>
  <c r="A24251" i="1"/>
  <c r="C24251" i="1"/>
  <c r="N24251" i="1"/>
  <c r="A24252" i="1"/>
  <c r="C24252" i="1"/>
  <c r="N24252" i="1"/>
  <c r="A24253" i="1"/>
  <c r="C24253" i="1"/>
  <c r="D24253" i="1"/>
  <c r="N24253" i="1"/>
  <c r="O24253" i="1"/>
  <c r="A24254" i="1"/>
  <c r="C24254" i="1"/>
  <c r="K24254" i="1"/>
  <c r="N24254" i="1"/>
  <c r="A24255" i="1"/>
  <c r="C24255" i="1"/>
  <c r="K24255" i="1"/>
  <c r="N24255" i="1"/>
  <c r="A24256" i="1"/>
  <c r="C24256" i="1"/>
  <c r="K24256" i="1"/>
  <c r="N24256" i="1"/>
  <c r="A24257" i="1"/>
  <c r="C24257" i="1"/>
  <c r="N24257" i="1"/>
  <c r="A24258" i="1"/>
  <c r="C24258" i="1"/>
  <c r="N24258" i="1"/>
  <c r="A24259" i="1"/>
  <c r="C24259" i="1"/>
  <c r="N24259" i="1"/>
  <c r="A24260" i="1"/>
  <c r="C24260" i="1"/>
  <c r="N24260" i="1"/>
  <c r="A24261" i="1"/>
  <c r="C24261" i="1"/>
  <c r="N24261" i="1"/>
  <c r="A24262" i="1"/>
  <c r="C24262" i="1"/>
  <c r="N24262" i="1"/>
  <c r="A24263" i="1"/>
  <c r="C24263" i="1"/>
  <c r="N24263" i="1"/>
  <c r="A24264" i="1"/>
  <c r="C24264" i="1"/>
  <c r="N24264" i="1"/>
  <c r="A24265" i="1"/>
  <c r="C24265" i="1"/>
  <c r="N24265" i="1"/>
  <c r="A24266" i="1"/>
  <c r="C24266" i="1"/>
  <c r="N24266" i="1"/>
  <c r="A24267" i="1"/>
  <c r="C24267" i="1"/>
  <c r="N24267" i="1"/>
  <c r="A24268" i="1"/>
  <c r="C24268" i="1"/>
  <c r="N24268" i="1"/>
  <c r="A24269" i="1"/>
  <c r="C24269" i="1"/>
  <c r="N24269" i="1"/>
  <c r="A24270" i="1"/>
  <c r="C24270" i="1"/>
  <c r="N24270" i="1"/>
  <c r="A24271" i="1"/>
  <c r="C24271" i="1"/>
  <c r="N24271" i="1"/>
  <c r="A24272" i="1"/>
  <c r="C24272" i="1"/>
  <c r="N24272" i="1"/>
  <c r="A24273" i="1"/>
  <c r="C24273" i="1"/>
  <c r="N24273" i="1"/>
  <c r="A24274" i="1"/>
  <c r="C24274" i="1"/>
  <c r="N24274" i="1"/>
  <c r="A24275" i="1"/>
  <c r="C24275" i="1"/>
  <c r="N24275" i="1"/>
  <c r="A24276" i="1"/>
  <c r="C24276" i="1"/>
  <c r="N24276" i="1"/>
  <c r="A24277" i="1"/>
  <c r="C24277" i="1"/>
  <c r="D24277" i="1"/>
  <c r="N24277" i="1"/>
  <c r="O24277" i="1"/>
  <c r="A24278" i="1"/>
  <c r="C24278" i="1"/>
  <c r="N24278" i="1"/>
  <c r="A24279" i="1"/>
  <c r="C24279" i="1"/>
  <c r="N24279" i="1"/>
  <c r="A24280" i="1"/>
  <c r="C24280" i="1"/>
  <c r="N24280" i="1"/>
  <c r="A24281" i="1"/>
  <c r="C24281" i="1"/>
  <c r="N24281" i="1"/>
  <c r="A24282" i="1"/>
  <c r="C24282" i="1"/>
  <c r="N24282" i="1"/>
  <c r="A24283" i="1"/>
  <c r="C24283" i="1"/>
  <c r="N24283" i="1"/>
  <c r="A24284" i="1"/>
  <c r="C24284" i="1"/>
  <c r="N24284" i="1"/>
  <c r="A24285" i="1"/>
  <c r="C24285" i="1"/>
  <c r="K24285" i="1"/>
  <c r="N24285" i="1"/>
  <c r="A24286" i="1"/>
  <c r="C24286" i="1"/>
  <c r="N24286" i="1"/>
  <c r="A24287" i="1"/>
  <c r="C24287" i="1"/>
  <c r="N24287" i="1"/>
  <c r="A24288" i="1"/>
  <c r="C24288" i="1"/>
  <c r="N24288" i="1"/>
  <c r="A24289" i="1"/>
  <c r="C24289" i="1"/>
  <c r="N24289" i="1"/>
  <c r="A24290" i="1"/>
  <c r="C24290" i="1"/>
  <c r="N24290" i="1"/>
  <c r="A24291" i="1"/>
  <c r="C24291" i="1"/>
  <c r="N24291" i="1"/>
  <c r="A24292" i="1"/>
  <c r="C24292" i="1"/>
  <c r="N24292" i="1"/>
  <c r="A24293" i="1"/>
  <c r="C24293" i="1"/>
  <c r="N24293" i="1"/>
  <c r="A24294" i="1"/>
  <c r="C24294" i="1"/>
  <c r="N24294" i="1"/>
  <c r="A24295" i="1"/>
  <c r="C24295" i="1"/>
  <c r="K24295" i="1"/>
  <c r="N24295" i="1"/>
  <c r="A24296" i="1"/>
  <c r="C24296" i="1"/>
  <c r="N24296" i="1"/>
  <c r="A24297" i="1"/>
  <c r="C24297" i="1"/>
  <c r="N24297" i="1"/>
  <c r="A24298" i="1"/>
  <c r="C24298" i="1"/>
  <c r="N24298" i="1"/>
  <c r="A24299" i="1"/>
  <c r="C24299" i="1"/>
  <c r="N24299" i="1"/>
  <c r="A24300" i="1"/>
  <c r="C24300" i="1"/>
  <c r="N24300" i="1"/>
  <c r="A24301" i="1"/>
  <c r="C24301" i="1"/>
  <c r="N24301" i="1"/>
  <c r="A24302" i="1"/>
  <c r="C24302" i="1"/>
  <c r="N24302" i="1"/>
  <c r="A24303" i="1"/>
  <c r="C24303" i="1"/>
  <c r="N24303" i="1"/>
  <c r="A24304" i="1"/>
  <c r="C24304" i="1"/>
  <c r="N24304" i="1"/>
  <c r="A24305" i="1"/>
  <c r="C24305" i="1"/>
  <c r="N24305" i="1"/>
  <c r="A24306" i="1"/>
  <c r="C24306" i="1"/>
  <c r="N24306" i="1"/>
  <c r="A24307" i="1"/>
  <c r="C24307" i="1"/>
  <c r="N24307" i="1"/>
  <c r="A24308" i="1"/>
  <c r="C24308" i="1"/>
  <c r="N24308" i="1"/>
  <c r="A24309" i="1"/>
  <c r="C24309" i="1"/>
  <c r="N24309" i="1"/>
  <c r="A24310" i="1"/>
  <c r="C24310" i="1"/>
  <c r="N24310" i="1"/>
  <c r="A24311" i="1"/>
  <c r="C24311" i="1"/>
  <c r="N24311" i="1"/>
  <c r="A24312" i="1"/>
  <c r="C24312" i="1"/>
  <c r="K24312" i="1"/>
  <c r="N24312" i="1"/>
  <c r="A24313" i="1"/>
  <c r="C24313" i="1"/>
  <c r="K24313" i="1"/>
  <c r="N24313" i="1"/>
  <c r="A24314" i="1"/>
  <c r="C24314" i="1"/>
  <c r="K24314" i="1"/>
  <c r="N24314" i="1"/>
  <c r="A24315" i="1"/>
  <c r="C24315" i="1"/>
  <c r="N24315" i="1"/>
  <c r="A24316" i="1"/>
  <c r="C24316" i="1"/>
  <c r="N24316" i="1"/>
  <c r="A24317" i="1"/>
  <c r="C24317" i="1"/>
  <c r="N24317" i="1"/>
  <c r="A24318" i="1"/>
  <c r="C24318" i="1"/>
  <c r="N24318" i="1"/>
  <c r="A24319" i="1"/>
  <c r="C24319" i="1"/>
  <c r="N24319" i="1"/>
  <c r="A24320" i="1"/>
  <c r="C24320" i="1"/>
  <c r="N24320" i="1"/>
  <c r="A24321" i="1"/>
  <c r="C24321" i="1"/>
  <c r="N24321" i="1"/>
  <c r="A24322" i="1"/>
  <c r="C24322" i="1"/>
  <c r="N24322" i="1"/>
  <c r="A24323" i="1"/>
  <c r="C24323" i="1"/>
  <c r="N24323" i="1"/>
  <c r="A24324" i="1"/>
  <c r="C24324" i="1"/>
  <c r="N24324" i="1"/>
  <c r="A24325" i="1"/>
  <c r="C24325" i="1"/>
  <c r="N24325" i="1"/>
  <c r="A24326" i="1"/>
  <c r="C24326" i="1"/>
  <c r="K24326" i="1"/>
  <c r="N24326" i="1"/>
  <c r="A24327" i="1"/>
  <c r="C24327" i="1"/>
  <c r="N24327" i="1"/>
  <c r="A24328" i="1"/>
  <c r="C24328" i="1"/>
  <c r="N24328" i="1"/>
  <c r="A24329" i="1"/>
  <c r="C24329" i="1"/>
  <c r="N24329" i="1"/>
  <c r="A24330" i="1"/>
  <c r="C24330" i="1"/>
  <c r="N24330" i="1"/>
  <c r="A24331" i="1"/>
  <c r="C24331" i="1"/>
  <c r="N24331" i="1"/>
  <c r="A24332" i="1"/>
  <c r="C24332" i="1"/>
  <c r="N24332" i="1"/>
  <c r="A24333" i="1"/>
  <c r="C24333" i="1"/>
  <c r="N24333" i="1"/>
  <c r="A24334" i="1"/>
  <c r="C24334" i="1"/>
  <c r="N24334" i="1"/>
  <c r="A24335" i="1"/>
  <c r="C24335" i="1"/>
  <c r="N24335" i="1"/>
  <c r="A24336" i="1"/>
  <c r="C24336" i="1"/>
  <c r="N24336" i="1"/>
  <c r="A24337" i="1"/>
  <c r="C24337" i="1"/>
  <c r="N24337" i="1"/>
  <c r="A24338" i="1"/>
  <c r="C24338" i="1"/>
  <c r="N24338" i="1"/>
  <c r="A24339" i="1"/>
  <c r="C24339" i="1"/>
  <c r="N24339" i="1"/>
  <c r="A24340" i="1"/>
  <c r="C24340" i="1"/>
  <c r="N24340" i="1"/>
  <c r="A24341" i="1"/>
  <c r="C24341" i="1"/>
  <c r="N24341" i="1"/>
  <c r="A24342" i="1"/>
  <c r="C24342" i="1"/>
  <c r="N24342" i="1"/>
  <c r="A24343" i="1"/>
  <c r="C24343" i="1"/>
  <c r="N24343" i="1"/>
  <c r="A24344" i="1"/>
  <c r="C24344" i="1"/>
  <c r="N24344" i="1"/>
  <c r="A24345" i="1"/>
  <c r="C24345" i="1"/>
  <c r="N24345" i="1"/>
  <c r="A24346" i="1"/>
  <c r="C24346" i="1"/>
  <c r="N24346" i="1"/>
  <c r="A24347" i="1"/>
  <c r="C24347" i="1"/>
  <c r="N24347" i="1"/>
  <c r="A24348" i="1"/>
  <c r="C24348" i="1"/>
  <c r="N24348" i="1"/>
  <c r="A24349" i="1"/>
  <c r="C24349" i="1"/>
  <c r="N24349" i="1"/>
  <c r="A24350" i="1"/>
  <c r="C24350" i="1"/>
  <c r="N24350" i="1"/>
  <c r="A24351" i="1"/>
  <c r="C24351" i="1"/>
  <c r="N24351" i="1"/>
  <c r="A24352" i="1"/>
  <c r="C24352" i="1"/>
  <c r="N24352" i="1"/>
  <c r="A24353" i="1"/>
  <c r="C24353" i="1"/>
  <c r="N24353" i="1"/>
  <c r="A24354" i="1"/>
  <c r="C24354" i="1"/>
  <c r="N24354" i="1"/>
  <c r="A24355" i="1"/>
  <c r="C24355" i="1"/>
  <c r="N24355" i="1"/>
  <c r="A24356" i="1"/>
  <c r="C24356" i="1"/>
  <c r="N24356" i="1"/>
  <c r="A24357" i="1"/>
  <c r="C24357" i="1"/>
  <c r="N24357" i="1"/>
  <c r="A24358" i="1"/>
  <c r="C24358" i="1"/>
  <c r="N24358" i="1"/>
  <c r="A24359" i="1"/>
  <c r="C24359" i="1"/>
  <c r="N24359" i="1"/>
  <c r="A24360" i="1"/>
  <c r="C24360" i="1"/>
  <c r="N24360" i="1"/>
  <c r="A24361" i="1"/>
  <c r="C24361" i="1"/>
  <c r="N24361" i="1"/>
  <c r="A24362" i="1"/>
  <c r="C24362" i="1"/>
  <c r="N24362" i="1"/>
  <c r="A24363" i="1"/>
  <c r="C24363" i="1"/>
  <c r="N24363" i="1"/>
  <c r="A24364" i="1"/>
  <c r="C24364" i="1"/>
  <c r="N24364" i="1"/>
  <c r="A24365" i="1"/>
  <c r="C24365" i="1"/>
  <c r="N24365" i="1"/>
  <c r="A24366" i="1"/>
  <c r="C24366" i="1"/>
  <c r="N24366" i="1"/>
  <c r="A24367" i="1"/>
  <c r="C24367" i="1"/>
  <c r="N24367" i="1"/>
  <c r="A24368" i="1"/>
  <c r="C24368" i="1"/>
  <c r="N24368" i="1"/>
  <c r="A24369" i="1"/>
  <c r="C24369" i="1"/>
  <c r="N24369" i="1"/>
  <c r="A24370" i="1"/>
  <c r="C24370" i="1"/>
  <c r="N24370" i="1"/>
  <c r="A24371" i="1"/>
  <c r="C24371" i="1"/>
  <c r="N24371" i="1"/>
  <c r="A24372" i="1"/>
  <c r="C24372" i="1"/>
  <c r="N24372" i="1"/>
  <c r="A24373" i="1"/>
  <c r="C24373" i="1"/>
  <c r="N24373" i="1"/>
  <c r="A24374" i="1"/>
  <c r="C24374" i="1"/>
  <c r="N24374" i="1"/>
  <c r="A24375" i="1"/>
  <c r="C24375" i="1"/>
  <c r="N24375" i="1"/>
  <c r="A24376" i="1"/>
  <c r="C24376" i="1"/>
  <c r="N24376" i="1"/>
  <c r="A24377" i="1"/>
  <c r="C24377" i="1"/>
  <c r="N24377" i="1"/>
  <c r="A24378" i="1"/>
  <c r="C24378" i="1"/>
  <c r="N24378" i="1"/>
  <c r="A24379" i="1"/>
  <c r="C24379" i="1"/>
  <c r="N24379" i="1"/>
  <c r="A24380" i="1"/>
  <c r="C24380" i="1"/>
  <c r="N24380" i="1"/>
  <c r="A24381" i="1"/>
  <c r="C24381" i="1"/>
  <c r="N24381" i="1"/>
  <c r="A24382" i="1"/>
  <c r="C24382" i="1"/>
  <c r="N24382" i="1"/>
  <c r="A24383" i="1"/>
  <c r="C24383" i="1"/>
  <c r="N24383" i="1"/>
  <c r="A24384" i="1"/>
  <c r="C24384" i="1"/>
  <c r="E24384" i="1"/>
  <c r="N24384" i="1"/>
  <c r="T24384" i="1"/>
  <c r="A24385" i="1"/>
  <c r="C24385" i="1"/>
  <c r="E24385" i="1"/>
  <c r="N24385" i="1"/>
  <c r="T24385" i="1"/>
  <c r="A24386" i="1"/>
  <c r="C24386" i="1"/>
  <c r="N24386" i="1"/>
  <c r="A24387" i="1"/>
  <c r="C24387" i="1"/>
  <c r="N24387" i="1"/>
  <c r="A24388" i="1"/>
  <c r="C24388" i="1"/>
  <c r="K24388" i="1"/>
  <c r="N24388" i="1"/>
  <c r="A24389" i="1"/>
  <c r="C24389" i="1"/>
  <c r="K24389" i="1"/>
  <c r="N24389" i="1"/>
  <c r="A24390" i="1"/>
  <c r="C24390" i="1"/>
  <c r="N24390" i="1"/>
  <c r="A24391" i="1"/>
  <c r="C24391" i="1"/>
  <c r="N24391" i="1"/>
  <c r="A24392" i="1"/>
  <c r="C24392" i="1"/>
  <c r="N24392" i="1"/>
  <c r="A24393" i="1"/>
  <c r="C24393" i="1"/>
  <c r="N24393" i="1"/>
  <c r="A24394" i="1"/>
  <c r="C24394" i="1"/>
  <c r="N24394" i="1"/>
  <c r="A24395" i="1"/>
  <c r="C24395" i="1"/>
  <c r="N24395" i="1"/>
  <c r="A24396" i="1"/>
  <c r="C24396" i="1"/>
  <c r="N24396" i="1"/>
  <c r="A24397" i="1"/>
  <c r="C24397" i="1"/>
  <c r="N24397" i="1"/>
  <c r="A24398" i="1"/>
  <c r="C24398" i="1"/>
  <c r="N24398" i="1"/>
  <c r="A24399" i="1"/>
  <c r="C24399" i="1"/>
  <c r="N24399" i="1"/>
  <c r="A24400" i="1"/>
  <c r="C24400" i="1"/>
  <c r="N24400" i="1"/>
  <c r="A24401" i="1"/>
  <c r="C24401" i="1"/>
  <c r="N24401" i="1"/>
  <c r="A24402" i="1"/>
  <c r="C24402" i="1"/>
  <c r="N24402" i="1"/>
  <c r="A24403" i="1"/>
  <c r="C24403" i="1"/>
  <c r="N24403" i="1"/>
  <c r="A24404" i="1"/>
  <c r="C24404" i="1"/>
  <c r="N24404" i="1"/>
  <c r="A24405" i="1"/>
  <c r="C24405" i="1"/>
  <c r="N24405" i="1"/>
  <c r="A24406" i="1"/>
  <c r="C24406" i="1"/>
  <c r="N24406" i="1"/>
  <c r="A24407" i="1"/>
  <c r="C24407" i="1"/>
  <c r="N24407" i="1"/>
  <c r="A24408" i="1"/>
  <c r="C24408" i="1"/>
  <c r="N24408" i="1"/>
  <c r="A24409" i="1"/>
  <c r="C24409" i="1"/>
  <c r="N24409" i="1"/>
  <c r="A24410" i="1"/>
  <c r="C24410" i="1"/>
  <c r="N24410" i="1"/>
  <c r="A24411" i="1"/>
  <c r="C24411" i="1"/>
  <c r="N24411" i="1"/>
  <c r="A24412" i="1"/>
  <c r="C24412" i="1"/>
  <c r="N24412" i="1"/>
  <c r="A24413" i="1"/>
  <c r="C24413" i="1"/>
  <c r="N24413" i="1"/>
  <c r="A24414" i="1"/>
  <c r="C24414" i="1"/>
  <c r="N24414" i="1"/>
  <c r="A24415" i="1"/>
  <c r="C24415" i="1"/>
  <c r="N24415" i="1"/>
  <c r="A24416" i="1"/>
  <c r="C24416" i="1"/>
  <c r="N24416" i="1"/>
  <c r="A24417" i="1"/>
  <c r="C24417" i="1"/>
  <c r="N24417" i="1"/>
  <c r="A24418" i="1"/>
  <c r="C24418" i="1"/>
  <c r="N24418" i="1"/>
  <c r="A24419" i="1"/>
  <c r="C24419" i="1"/>
  <c r="N24419" i="1"/>
  <c r="A24420" i="1"/>
  <c r="C24420" i="1"/>
  <c r="N24420" i="1"/>
  <c r="A24421" i="1"/>
  <c r="C24421" i="1"/>
  <c r="N24421" i="1"/>
  <c r="A24422" i="1"/>
  <c r="C24422" i="1"/>
  <c r="K24422" i="1"/>
  <c r="N24422" i="1"/>
  <c r="A24423" i="1"/>
  <c r="C24423" i="1"/>
  <c r="N24423" i="1"/>
  <c r="A24424" i="1"/>
  <c r="C24424" i="1"/>
  <c r="N24424" i="1"/>
  <c r="A24425" i="1"/>
  <c r="C24425" i="1"/>
  <c r="N24425" i="1"/>
  <c r="A24426" i="1"/>
  <c r="C24426" i="1"/>
  <c r="N24426" i="1"/>
  <c r="A24427" i="1"/>
  <c r="C24427" i="1"/>
  <c r="N24427" i="1"/>
  <c r="A24428" i="1"/>
  <c r="C24428" i="1"/>
  <c r="N24428" i="1"/>
  <c r="A24429" i="1"/>
  <c r="C24429" i="1"/>
  <c r="N24429" i="1"/>
  <c r="A24430" i="1"/>
  <c r="C24430" i="1"/>
  <c r="N24430" i="1"/>
  <c r="A24431" i="1"/>
  <c r="C24431" i="1"/>
  <c r="N24431" i="1"/>
  <c r="A24432" i="1"/>
  <c r="C24432" i="1"/>
  <c r="N24432" i="1"/>
  <c r="A24433" i="1"/>
  <c r="C24433" i="1"/>
  <c r="N24433" i="1"/>
  <c r="A24434" i="1"/>
  <c r="C24434" i="1"/>
  <c r="E24434" i="1"/>
  <c r="N24434" i="1"/>
  <c r="T24434" i="1"/>
  <c r="A24435" i="1"/>
  <c r="C24435" i="1"/>
  <c r="N24435" i="1"/>
  <c r="A24436" i="1"/>
  <c r="C24436" i="1"/>
  <c r="N24436" i="1"/>
  <c r="A24437" i="1"/>
  <c r="C24437" i="1"/>
  <c r="N24437" i="1"/>
  <c r="A24438" i="1"/>
  <c r="C24438" i="1"/>
  <c r="N24438" i="1"/>
  <c r="A24439" i="1"/>
  <c r="C24439" i="1"/>
  <c r="N24439" i="1"/>
  <c r="A24440" i="1"/>
  <c r="C24440" i="1"/>
  <c r="N24440" i="1"/>
  <c r="A24441" i="1"/>
  <c r="C24441" i="1"/>
  <c r="N24441" i="1"/>
  <c r="A24442" i="1"/>
  <c r="C24442" i="1"/>
  <c r="N24442" i="1"/>
  <c r="A24443" i="1"/>
  <c r="C24443" i="1"/>
  <c r="N24443" i="1"/>
  <c r="A24444" i="1"/>
  <c r="C24444" i="1"/>
  <c r="N24444" i="1"/>
  <c r="A24445" i="1"/>
  <c r="C24445" i="1"/>
  <c r="N24445" i="1"/>
  <c r="A24446" i="1"/>
  <c r="C24446" i="1"/>
  <c r="K24446" i="1"/>
  <c r="N24446" i="1"/>
  <c r="A24447" i="1"/>
  <c r="C24447" i="1"/>
  <c r="N24447" i="1"/>
  <c r="A24448" i="1"/>
  <c r="C24448" i="1"/>
  <c r="N24448" i="1"/>
  <c r="A24449" i="1"/>
  <c r="C24449" i="1"/>
  <c r="N24449" i="1"/>
  <c r="A24450" i="1"/>
  <c r="C24450" i="1"/>
  <c r="N24450" i="1"/>
  <c r="A24451" i="1"/>
  <c r="C24451" i="1"/>
  <c r="N24451" i="1"/>
  <c r="A24452" i="1"/>
  <c r="C24452" i="1"/>
  <c r="K24452" i="1"/>
  <c r="N24452" i="1"/>
  <c r="A24453" i="1"/>
  <c r="C24453" i="1"/>
  <c r="N24453" i="1"/>
  <c r="A24454" i="1"/>
  <c r="C24454" i="1"/>
  <c r="N24454" i="1"/>
  <c r="A24455" i="1"/>
  <c r="C24455" i="1"/>
  <c r="N24455" i="1"/>
  <c r="A24456" i="1"/>
  <c r="C24456" i="1"/>
  <c r="K24456" i="1"/>
  <c r="N24456" i="1"/>
  <c r="A24457" i="1"/>
  <c r="C24457" i="1"/>
  <c r="K24457" i="1"/>
  <c r="N24457" i="1"/>
  <c r="A24458" i="1"/>
  <c r="C24458" i="1"/>
  <c r="K24458" i="1"/>
  <c r="N24458" i="1"/>
  <c r="A24459" i="1"/>
  <c r="C24459" i="1"/>
  <c r="N24459" i="1"/>
  <c r="A24460" i="1"/>
  <c r="C24460" i="1"/>
  <c r="N24460" i="1"/>
  <c r="A24461" i="1"/>
  <c r="C24461" i="1"/>
  <c r="N24461" i="1"/>
  <c r="A24462" i="1"/>
  <c r="C24462" i="1"/>
  <c r="N24462" i="1"/>
  <c r="A24463" i="1"/>
  <c r="C24463" i="1"/>
  <c r="N24463" i="1"/>
  <c r="A24464" i="1"/>
  <c r="C24464" i="1"/>
  <c r="N24464" i="1"/>
  <c r="A24465" i="1"/>
  <c r="C24465" i="1"/>
  <c r="N24465" i="1"/>
  <c r="A24466" i="1"/>
  <c r="C24466" i="1"/>
  <c r="K24466" i="1"/>
  <c r="N24466" i="1"/>
  <c r="A24467" i="1"/>
  <c r="C24467" i="1"/>
  <c r="K24467" i="1"/>
  <c r="N24467" i="1"/>
  <c r="A24468" i="1"/>
  <c r="C24468" i="1"/>
  <c r="K24468" i="1"/>
  <c r="N24468" i="1"/>
  <c r="A24469" i="1"/>
  <c r="C24469" i="1"/>
  <c r="K24469" i="1"/>
  <c r="N24469" i="1"/>
  <c r="A24470" i="1"/>
  <c r="C24470" i="1"/>
  <c r="K24470" i="1"/>
  <c r="N24470" i="1"/>
  <c r="A24471" i="1"/>
  <c r="C24471" i="1"/>
  <c r="K24471" i="1"/>
  <c r="N24471" i="1"/>
  <c r="A24472" i="1"/>
  <c r="C24472" i="1"/>
  <c r="K24472" i="1"/>
  <c r="N24472" i="1"/>
  <c r="A24473" i="1"/>
  <c r="C24473" i="1"/>
  <c r="K24473" i="1"/>
  <c r="N24473" i="1"/>
  <c r="A24474" i="1"/>
  <c r="C24474" i="1"/>
  <c r="K24474" i="1"/>
  <c r="N24474" i="1"/>
  <c r="A24475" i="1"/>
  <c r="C24475" i="1"/>
  <c r="K24475" i="1"/>
  <c r="N24475" i="1"/>
  <c r="A24476" i="1"/>
  <c r="C24476" i="1"/>
  <c r="K24476" i="1"/>
  <c r="N24476" i="1"/>
  <c r="A24477" i="1"/>
  <c r="C24477" i="1"/>
  <c r="K24477" i="1"/>
  <c r="N24477" i="1"/>
  <c r="A24478" i="1"/>
  <c r="C24478" i="1"/>
  <c r="N24478" i="1"/>
  <c r="A24479" i="1"/>
  <c r="C24479" i="1"/>
  <c r="N24479" i="1"/>
  <c r="A24480" i="1"/>
  <c r="C24480" i="1"/>
  <c r="N24480" i="1"/>
  <c r="A24481" i="1"/>
  <c r="C24481" i="1"/>
  <c r="N24481" i="1"/>
  <c r="A24482" i="1"/>
  <c r="C24482" i="1"/>
  <c r="N24482" i="1"/>
  <c r="A24483" i="1"/>
  <c r="C24483" i="1"/>
  <c r="N24483" i="1"/>
  <c r="A24484" i="1"/>
  <c r="C24484" i="1"/>
  <c r="N24484" i="1"/>
  <c r="A24485" i="1"/>
  <c r="C24485" i="1"/>
  <c r="N24485" i="1"/>
  <c r="A24486" i="1"/>
  <c r="C24486" i="1"/>
  <c r="N24486" i="1"/>
  <c r="A24487" i="1"/>
  <c r="C24487" i="1"/>
  <c r="N24487" i="1"/>
  <c r="A24488" i="1"/>
  <c r="C24488" i="1"/>
  <c r="N24488" i="1"/>
  <c r="A24489" i="1"/>
  <c r="C24489" i="1"/>
  <c r="N24489" i="1"/>
  <c r="A24490" i="1"/>
  <c r="C24490" i="1"/>
  <c r="N24490" i="1"/>
  <c r="A24491" i="1"/>
  <c r="C24491" i="1"/>
  <c r="N24491" i="1"/>
  <c r="A24492" i="1"/>
  <c r="C24492" i="1"/>
  <c r="N24492" i="1"/>
  <c r="A24493" i="1"/>
  <c r="C24493" i="1"/>
  <c r="N24493" i="1"/>
  <c r="A24494" i="1"/>
  <c r="C24494" i="1"/>
  <c r="N24494" i="1"/>
  <c r="A24495" i="1"/>
  <c r="C24495" i="1"/>
  <c r="N24495" i="1"/>
  <c r="A24496" i="1"/>
  <c r="C24496" i="1"/>
  <c r="N24496" i="1"/>
  <c r="A24497" i="1"/>
  <c r="C24497" i="1"/>
  <c r="N24497" i="1"/>
  <c r="A24498" i="1"/>
  <c r="C24498" i="1"/>
  <c r="N24498" i="1"/>
  <c r="A24499" i="1"/>
  <c r="C24499" i="1"/>
  <c r="N24499" i="1"/>
  <c r="A24500" i="1"/>
  <c r="C24500" i="1"/>
  <c r="N24500" i="1"/>
  <c r="A24501" i="1"/>
  <c r="C24501" i="1"/>
  <c r="N24501" i="1"/>
  <c r="A24502" i="1"/>
  <c r="C24502" i="1"/>
  <c r="N24502" i="1"/>
  <c r="A24503" i="1"/>
  <c r="C24503" i="1"/>
  <c r="N24503" i="1"/>
  <c r="A24504" i="1"/>
  <c r="C24504" i="1"/>
  <c r="N24504" i="1"/>
  <c r="A24505" i="1"/>
  <c r="C24505" i="1"/>
  <c r="N24505" i="1"/>
  <c r="A24506" i="1"/>
  <c r="C24506" i="1"/>
  <c r="N24506" i="1"/>
  <c r="A24507" i="1"/>
  <c r="C24507" i="1"/>
  <c r="N24507" i="1"/>
  <c r="A24508" i="1"/>
  <c r="C24508" i="1"/>
  <c r="N24508" i="1"/>
  <c r="A24509" i="1"/>
  <c r="C24509" i="1"/>
  <c r="N24509" i="1"/>
  <c r="A24510" i="1"/>
  <c r="C24510" i="1"/>
  <c r="N24510" i="1"/>
  <c r="A24511" i="1"/>
  <c r="C24511" i="1"/>
  <c r="N24511" i="1"/>
  <c r="A24512" i="1"/>
  <c r="C24512" i="1"/>
  <c r="N24512" i="1"/>
  <c r="A24513" i="1"/>
  <c r="C24513" i="1"/>
  <c r="N24513" i="1"/>
  <c r="A24514" i="1"/>
  <c r="C24514" i="1"/>
  <c r="N24514" i="1"/>
  <c r="A24515" i="1"/>
  <c r="C24515" i="1"/>
  <c r="N24515" i="1"/>
  <c r="A24516" i="1"/>
  <c r="C24516" i="1"/>
  <c r="N24516" i="1"/>
  <c r="A24517" i="1"/>
  <c r="C24517" i="1"/>
  <c r="N24517" i="1"/>
  <c r="A24518" i="1"/>
  <c r="C24518" i="1"/>
  <c r="N24518" i="1"/>
  <c r="A24519" i="1"/>
  <c r="C24519" i="1"/>
  <c r="N24519" i="1"/>
  <c r="A24520" i="1"/>
  <c r="C24520" i="1"/>
  <c r="N24520" i="1"/>
  <c r="A24521" i="1"/>
  <c r="C24521" i="1"/>
  <c r="N24521" i="1"/>
  <c r="A24522" i="1"/>
  <c r="C24522" i="1"/>
  <c r="N24522" i="1"/>
  <c r="A24523" i="1"/>
  <c r="C24523" i="1"/>
  <c r="N24523" i="1"/>
  <c r="A24524" i="1"/>
  <c r="C24524" i="1"/>
  <c r="N24524" i="1"/>
  <c r="A24525" i="1"/>
  <c r="C24525" i="1"/>
  <c r="N24525" i="1"/>
  <c r="A24526" i="1"/>
  <c r="C24526" i="1"/>
  <c r="N24526" i="1"/>
  <c r="A24527" i="1"/>
  <c r="C24527" i="1"/>
  <c r="N24527" i="1"/>
  <c r="A24528" i="1"/>
  <c r="C24528" i="1"/>
  <c r="N24528" i="1"/>
  <c r="A24529" i="1"/>
  <c r="C24529" i="1"/>
  <c r="N24529" i="1"/>
  <c r="A24530" i="1"/>
  <c r="C24530" i="1"/>
  <c r="N24530" i="1"/>
  <c r="A24531" i="1"/>
  <c r="C24531" i="1"/>
  <c r="N24531" i="1"/>
  <c r="A24532" i="1"/>
  <c r="C24532" i="1"/>
  <c r="N24532" i="1"/>
  <c r="A24533" i="1"/>
  <c r="C24533" i="1"/>
  <c r="N24533" i="1"/>
  <c r="A24534" i="1"/>
  <c r="C24534" i="1"/>
  <c r="N24534" i="1"/>
  <c r="A24535" i="1"/>
  <c r="C24535" i="1"/>
  <c r="N24535" i="1"/>
  <c r="A24536" i="1"/>
  <c r="C24536" i="1"/>
  <c r="N24536" i="1"/>
  <c r="A24537" i="1"/>
  <c r="C24537" i="1"/>
  <c r="N24537" i="1"/>
  <c r="A24538" i="1"/>
  <c r="C24538" i="1"/>
  <c r="N24538" i="1"/>
  <c r="A24539" i="1"/>
  <c r="C24539" i="1"/>
  <c r="N24539" i="1"/>
  <c r="A24540" i="1"/>
  <c r="C24540" i="1"/>
  <c r="N24540" i="1"/>
  <c r="A24541" i="1"/>
  <c r="C24541" i="1"/>
  <c r="N24541" i="1"/>
  <c r="A24542" i="1"/>
  <c r="C24542" i="1"/>
  <c r="N24542" i="1"/>
  <c r="A24543" i="1"/>
  <c r="C24543" i="1"/>
  <c r="N24543" i="1"/>
  <c r="A24544" i="1"/>
  <c r="C24544" i="1"/>
  <c r="N24544" i="1"/>
  <c r="A24545" i="1"/>
  <c r="C24545" i="1"/>
  <c r="N24545" i="1"/>
  <c r="A24546" i="1"/>
  <c r="C24546" i="1"/>
  <c r="N24546" i="1"/>
  <c r="A24547" i="1"/>
  <c r="C24547" i="1"/>
  <c r="N24547" i="1"/>
  <c r="A24548" i="1"/>
  <c r="C24548" i="1"/>
  <c r="N24548" i="1"/>
  <c r="A24549" i="1"/>
  <c r="C24549" i="1"/>
  <c r="N24549" i="1"/>
  <c r="A24550" i="1"/>
  <c r="C24550" i="1"/>
  <c r="K24550" i="1"/>
  <c r="N24550" i="1"/>
  <c r="A24551" i="1"/>
  <c r="C24551" i="1"/>
  <c r="K24551" i="1"/>
  <c r="N24551" i="1"/>
  <c r="A24552" i="1"/>
  <c r="C24552" i="1"/>
  <c r="K24552" i="1"/>
  <c r="N24552" i="1"/>
  <c r="A24553" i="1"/>
  <c r="C24553" i="1"/>
  <c r="K24553" i="1"/>
  <c r="N24553" i="1"/>
  <c r="A24554" i="1"/>
  <c r="C24554" i="1"/>
  <c r="K24554" i="1"/>
  <c r="N24554" i="1"/>
  <c r="A24555" i="1"/>
  <c r="C24555" i="1"/>
  <c r="K24555" i="1"/>
  <c r="N24555" i="1"/>
  <c r="A24556" i="1"/>
  <c r="C24556" i="1"/>
  <c r="K24556" i="1"/>
  <c r="N24556" i="1"/>
  <c r="A24557" i="1"/>
  <c r="C24557" i="1"/>
  <c r="K24557" i="1"/>
  <c r="N24557" i="1"/>
  <c r="A24558" i="1"/>
  <c r="C24558" i="1"/>
  <c r="K24558" i="1"/>
  <c r="N24558" i="1"/>
  <c r="A24559" i="1"/>
  <c r="C24559" i="1"/>
  <c r="K24559" i="1"/>
  <c r="N24559" i="1"/>
  <c r="A24560" i="1"/>
  <c r="C24560" i="1"/>
  <c r="K24560" i="1"/>
  <c r="N24560" i="1"/>
  <c r="A24561" i="1"/>
  <c r="C24561" i="1"/>
  <c r="K24561" i="1"/>
  <c r="N24561" i="1"/>
  <c r="A24562" i="1"/>
  <c r="C24562" i="1"/>
  <c r="K24562" i="1"/>
  <c r="N24562" i="1"/>
  <c r="A24563" i="1"/>
  <c r="C24563" i="1"/>
  <c r="N24563" i="1"/>
  <c r="A24564" i="1"/>
  <c r="C24564" i="1"/>
  <c r="N24564" i="1"/>
  <c r="A24565" i="1"/>
  <c r="C24565" i="1"/>
  <c r="N24565" i="1"/>
  <c r="A24566" i="1"/>
  <c r="C24566" i="1"/>
  <c r="N24566" i="1"/>
  <c r="A24567" i="1"/>
  <c r="C24567" i="1"/>
  <c r="N24567" i="1"/>
  <c r="A24568" i="1"/>
  <c r="C24568" i="1"/>
  <c r="K24568" i="1"/>
  <c r="N24568" i="1"/>
  <c r="A24569" i="1"/>
  <c r="C24569" i="1"/>
  <c r="N24569" i="1"/>
  <c r="A24570" i="1"/>
  <c r="C24570" i="1"/>
  <c r="N24570" i="1"/>
  <c r="A24571" i="1"/>
  <c r="C24571" i="1"/>
  <c r="N24571" i="1"/>
  <c r="A24572" i="1"/>
  <c r="C24572" i="1"/>
  <c r="N24572" i="1"/>
  <c r="A24573" i="1"/>
  <c r="C24573" i="1"/>
  <c r="N24573" i="1"/>
  <c r="A24574" i="1"/>
  <c r="C24574" i="1"/>
  <c r="N24574" i="1"/>
  <c r="A24575" i="1"/>
  <c r="C24575" i="1"/>
  <c r="N24575" i="1"/>
  <c r="A24576" i="1"/>
  <c r="C24576" i="1"/>
  <c r="N24576" i="1"/>
  <c r="A24577" i="1"/>
  <c r="C24577" i="1"/>
  <c r="N24577" i="1"/>
  <c r="A24578" i="1"/>
  <c r="C24578" i="1"/>
  <c r="E24578" i="1"/>
  <c r="N24578" i="1"/>
  <c r="T24578" i="1"/>
  <c r="A24579" i="1"/>
  <c r="C24579" i="1"/>
  <c r="N24579" i="1"/>
  <c r="A24580" i="1"/>
  <c r="C24580" i="1"/>
  <c r="N24580" i="1"/>
  <c r="A24581" i="1"/>
  <c r="C24581" i="1"/>
  <c r="N24581" i="1"/>
  <c r="A24582" i="1"/>
  <c r="C24582" i="1"/>
  <c r="N24582" i="1"/>
  <c r="A24583" i="1"/>
  <c r="C24583" i="1"/>
  <c r="N24583" i="1"/>
  <c r="A24584" i="1"/>
  <c r="C24584" i="1"/>
  <c r="N24584" i="1"/>
  <c r="A24585" i="1"/>
  <c r="C24585" i="1"/>
  <c r="N24585" i="1"/>
  <c r="A24586" i="1"/>
  <c r="C24586" i="1"/>
  <c r="N24586" i="1"/>
  <c r="A24587" i="1"/>
  <c r="C24587" i="1"/>
  <c r="N24587" i="1"/>
  <c r="A24588" i="1"/>
  <c r="C24588" i="1"/>
  <c r="N24588" i="1"/>
  <c r="A24589" i="1"/>
  <c r="C24589" i="1"/>
  <c r="N24589" i="1"/>
  <c r="A24590" i="1"/>
  <c r="C24590" i="1"/>
  <c r="N24590" i="1"/>
  <c r="A24591" i="1"/>
  <c r="C24591" i="1"/>
  <c r="N24591" i="1"/>
  <c r="A24592" i="1"/>
  <c r="C24592" i="1"/>
  <c r="N24592" i="1"/>
  <c r="A24593" i="1"/>
  <c r="C24593" i="1"/>
  <c r="N24593" i="1"/>
  <c r="A24594" i="1"/>
  <c r="C24594" i="1"/>
  <c r="K24594" i="1"/>
  <c r="N24594" i="1"/>
  <c r="A24595" i="1"/>
  <c r="C24595" i="1"/>
  <c r="K24595" i="1"/>
  <c r="N24595" i="1"/>
  <c r="A24596" i="1"/>
  <c r="C24596" i="1"/>
  <c r="K24596" i="1"/>
  <c r="N24596" i="1"/>
  <c r="A24597" i="1"/>
  <c r="C24597" i="1"/>
  <c r="K24597" i="1"/>
  <c r="N24597" i="1"/>
  <c r="A24598" i="1"/>
  <c r="C24598" i="1"/>
  <c r="K24598" i="1"/>
  <c r="N24598" i="1"/>
  <c r="A24599" i="1"/>
  <c r="C24599" i="1"/>
  <c r="K24599" i="1"/>
  <c r="N24599" i="1"/>
  <c r="A24600" i="1"/>
  <c r="C24600" i="1"/>
  <c r="N24600" i="1"/>
  <c r="A24601" i="1"/>
  <c r="C24601" i="1"/>
  <c r="K24601" i="1"/>
  <c r="N24601" i="1"/>
  <c r="A24602" i="1"/>
  <c r="C24602" i="1"/>
  <c r="N24602" i="1"/>
  <c r="A24603" i="1"/>
  <c r="C24603" i="1"/>
  <c r="N24603" i="1"/>
  <c r="A24604" i="1"/>
  <c r="C24604" i="1"/>
  <c r="N24604" i="1"/>
  <c r="A24605" i="1"/>
  <c r="C24605" i="1"/>
  <c r="N24605" i="1"/>
  <c r="A24606" i="1"/>
  <c r="C24606" i="1"/>
  <c r="N24606" i="1"/>
  <c r="A24607" i="1"/>
  <c r="C24607" i="1"/>
  <c r="N24607" i="1"/>
  <c r="A24608" i="1"/>
  <c r="C24608" i="1"/>
  <c r="N24608" i="1"/>
  <c r="A24609" i="1"/>
  <c r="C24609" i="1"/>
  <c r="N24609" i="1"/>
  <c r="A24610" i="1"/>
  <c r="C24610" i="1"/>
  <c r="N24610" i="1"/>
  <c r="A24611" i="1"/>
  <c r="C24611" i="1"/>
  <c r="N24611" i="1"/>
  <c r="A24612" i="1"/>
  <c r="C24612" i="1"/>
  <c r="N24612" i="1"/>
  <c r="A24613" i="1"/>
  <c r="C24613" i="1"/>
  <c r="N24613" i="1"/>
  <c r="A24614" i="1"/>
  <c r="C24614" i="1"/>
  <c r="N24614" i="1"/>
  <c r="A24615" i="1"/>
  <c r="C24615" i="1"/>
  <c r="N24615" i="1"/>
  <c r="A24616" i="1"/>
  <c r="C24616" i="1"/>
  <c r="N24616" i="1"/>
  <c r="A24617" i="1"/>
  <c r="C24617" i="1"/>
  <c r="N24617" i="1"/>
  <c r="A24618" i="1"/>
  <c r="C24618" i="1"/>
  <c r="E24618" i="1"/>
  <c r="N24618" i="1"/>
  <c r="T24618" i="1"/>
  <c r="A24619" i="1"/>
  <c r="C24619" i="1"/>
  <c r="K24619" i="1"/>
  <c r="N24619" i="1"/>
  <c r="A24620" i="1"/>
  <c r="C24620" i="1"/>
  <c r="N24620" i="1"/>
  <c r="A24621" i="1"/>
  <c r="C24621" i="1"/>
  <c r="K24621" i="1"/>
  <c r="N24621" i="1"/>
  <c r="A24622" i="1"/>
  <c r="C24622" i="1"/>
  <c r="K24622" i="1"/>
  <c r="N24622" i="1"/>
  <c r="A24623" i="1"/>
  <c r="C24623" i="1"/>
  <c r="K24623" i="1"/>
  <c r="N24623" i="1"/>
  <c r="A24624" i="1"/>
  <c r="C24624" i="1"/>
  <c r="K24624" i="1"/>
  <c r="N24624" i="1"/>
  <c r="A24625" i="1"/>
  <c r="C24625" i="1"/>
  <c r="N24625" i="1"/>
  <c r="A24626" i="1"/>
  <c r="C24626" i="1"/>
  <c r="N24626" i="1"/>
  <c r="A24627" i="1"/>
  <c r="C24627" i="1"/>
  <c r="N24627" i="1"/>
  <c r="A24628" i="1"/>
  <c r="C24628" i="1"/>
  <c r="N24628" i="1"/>
  <c r="A24629" i="1"/>
  <c r="C24629" i="1"/>
  <c r="N24629" i="1"/>
  <c r="A24630" i="1"/>
  <c r="C24630" i="1"/>
  <c r="N24630" i="1"/>
  <c r="A24631" i="1"/>
  <c r="C24631" i="1"/>
  <c r="N24631" i="1"/>
  <c r="A24632" i="1"/>
  <c r="C24632" i="1"/>
  <c r="N24632" i="1"/>
  <c r="A24633" i="1"/>
  <c r="C24633" i="1"/>
  <c r="K24633" i="1"/>
  <c r="N24633" i="1"/>
  <c r="A24634" i="1"/>
  <c r="C24634" i="1"/>
  <c r="K24634" i="1"/>
  <c r="N24634" i="1"/>
  <c r="A24635" i="1"/>
  <c r="C24635" i="1"/>
  <c r="K24635" i="1"/>
  <c r="N24635" i="1"/>
  <c r="A24636" i="1"/>
  <c r="C24636" i="1"/>
  <c r="K24636" i="1"/>
  <c r="N24636" i="1"/>
  <c r="A24637" i="1"/>
  <c r="C24637" i="1"/>
  <c r="N24637" i="1"/>
  <c r="A24638" i="1"/>
  <c r="C24638" i="1"/>
  <c r="K24638" i="1"/>
  <c r="N24638" i="1"/>
  <c r="A24639" i="1"/>
  <c r="C24639" i="1"/>
  <c r="N24639" i="1"/>
  <c r="A24640" i="1"/>
  <c r="C24640" i="1"/>
  <c r="N24640" i="1"/>
  <c r="A24641" i="1"/>
  <c r="C24641" i="1"/>
  <c r="N24641" i="1"/>
  <c r="A24642" i="1"/>
  <c r="C24642" i="1"/>
  <c r="N24642" i="1"/>
  <c r="A24643" i="1"/>
  <c r="C24643" i="1"/>
  <c r="N24643" i="1"/>
  <c r="A24644" i="1"/>
  <c r="C24644" i="1"/>
  <c r="N24644" i="1"/>
  <c r="A24645" i="1"/>
  <c r="C24645" i="1"/>
  <c r="N24645" i="1"/>
  <c r="A24646" i="1"/>
  <c r="C24646" i="1"/>
  <c r="N24646" i="1"/>
  <c r="A24647" i="1"/>
  <c r="C24647" i="1"/>
  <c r="N24647" i="1"/>
  <c r="A24648" i="1"/>
  <c r="C24648" i="1"/>
  <c r="N24648" i="1"/>
  <c r="A24649" i="1"/>
  <c r="C24649" i="1"/>
  <c r="N24649" i="1"/>
  <c r="A24650" i="1"/>
  <c r="C24650" i="1"/>
  <c r="N24650" i="1"/>
  <c r="A24651" i="1"/>
  <c r="C24651" i="1"/>
  <c r="N24651" i="1"/>
  <c r="A24652" i="1"/>
  <c r="C24652" i="1"/>
  <c r="N24652" i="1"/>
  <c r="A24653" i="1"/>
  <c r="C24653" i="1"/>
  <c r="F24653" i="1"/>
  <c r="N24653" i="1"/>
  <c r="A24654" i="1"/>
  <c r="C24654" i="1"/>
  <c r="N24654" i="1"/>
  <c r="A24655" i="1"/>
  <c r="C24655" i="1"/>
  <c r="N24655" i="1"/>
  <c r="A24656" i="1"/>
  <c r="C24656" i="1"/>
  <c r="N24656" i="1"/>
  <c r="A24657" i="1"/>
  <c r="C24657" i="1"/>
  <c r="N24657" i="1"/>
  <c r="A24658" i="1"/>
  <c r="C24658" i="1"/>
  <c r="N24658" i="1"/>
  <c r="A24659" i="1"/>
  <c r="C24659" i="1"/>
  <c r="K24659" i="1"/>
  <c r="N24659" i="1"/>
  <c r="A24660" i="1"/>
  <c r="C24660" i="1"/>
  <c r="N24660" i="1"/>
  <c r="A24661" i="1"/>
  <c r="C24661" i="1"/>
  <c r="N24661" i="1"/>
  <c r="A24662" i="1"/>
  <c r="C24662" i="1"/>
  <c r="E24662" i="1"/>
  <c r="K24662" i="1"/>
  <c r="N24662" i="1"/>
  <c r="T24662" i="1"/>
  <c r="A24663" i="1"/>
  <c r="C24663" i="1"/>
  <c r="N24663" i="1"/>
  <c r="A24664" i="1"/>
  <c r="C24664" i="1"/>
  <c r="N24664" i="1"/>
  <c r="A24665" i="1"/>
  <c r="C24665" i="1"/>
  <c r="N24665" i="1"/>
  <c r="A24666" i="1"/>
  <c r="C24666" i="1"/>
  <c r="N24666" i="1"/>
  <c r="A24667" i="1"/>
  <c r="C24667" i="1"/>
  <c r="N24667" i="1"/>
  <c r="A24668" i="1"/>
  <c r="C24668" i="1"/>
  <c r="D24668" i="1"/>
  <c r="E24668" i="1"/>
  <c r="N24668" i="1"/>
  <c r="O24668" i="1"/>
  <c r="T24668" i="1"/>
  <c r="A24669" i="1"/>
  <c r="C24669" i="1"/>
  <c r="N24669" i="1"/>
  <c r="A24670" i="1"/>
  <c r="C24670" i="1"/>
  <c r="K24670" i="1"/>
  <c r="N24670" i="1"/>
  <c r="A24671" i="1"/>
  <c r="C24671" i="1"/>
  <c r="N24671" i="1"/>
  <c r="A24672" i="1"/>
  <c r="C24672" i="1"/>
  <c r="N24672" i="1"/>
  <c r="A24673" i="1"/>
  <c r="C24673" i="1"/>
  <c r="N24673" i="1"/>
  <c r="A24674" i="1"/>
  <c r="C24674" i="1"/>
  <c r="N24674" i="1"/>
  <c r="A24675" i="1"/>
  <c r="C24675" i="1"/>
  <c r="N24675" i="1"/>
  <c r="A24676" i="1"/>
  <c r="C24676" i="1"/>
  <c r="N24676" i="1"/>
  <c r="A24677" i="1"/>
  <c r="C24677" i="1"/>
  <c r="N24677" i="1"/>
  <c r="A24678" i="1"/>
  <c r="C24678" i="1"/>
  <c r="N24678" i="1"/>
  <c r="A24679" i="1"/>
  <c r="C24679" i="1"/>
  <c r="N24679" i="1"/>
  <c r="A24680" i="1"/>
  <c r="C24680" i="1"/>
  <c r="N24680" i="1"/>
  <c r="A24681" i="1"/>
  <c r="C24681" i="1"/>
  <c r="N24681" i="1"/>
  <c r="A24682" i="1"/>
  <c r="C24682" i="1"/>
  <c r="N24682" i="1"/>
  <c r="A24683" i="1"/>
  <c r="C24683" i="1"/>
  <c r="N24683" i="1"/>
  <c r="A24684" i="1"/>
  <c r="C24684" i="1"/>
  <c r="N24684" i="1"/>
  <c r="A24685" i="1"/>
  <c r="C24685" i="1"/>
  <c r="N24685" i="1"/>
  <c r="A24686" i="1"/>
  <c r="C24686" i="1"/>
  <c r="N24686" i="1"/>
  <c r="A24687" i="1"/>
  <c r="C24687" i="1"/>
  <c r="N24687" i="1"/>
  <c r="A24688" i="1"/>
  <c r="C24688" i="1"/>
  <c r="N24688" i="1"/>
  <c r="A24689" i="1"/>
  <c r="C24689" i="1"/>
  <c r="N24689" i="1"/>
  <c r="A24690" i="1"/>
  <c r="C24690" i="1"/>
  <c r="N24690" i="1"/>
  <c r="A24691" i="1"/>
  <c r="C24691" i="1"/>
  <c r="N24691" i="1"/>
  <c r="A24692" i="1"/>
  <c r="C24692" i="1"/>
  <c r="N24692" i="1"/>
  <c r="A24693" i="1"/>
  <c r="C24693" i="1"/>
  <c r="N24693" i="1"/>
  <c r="A24694" i="1"/>
  <c r="C24694" i="1"/>
  <c r="N24694" i="1"/>
  <c r="A24695" i="1"/>
  <c r="C24695" i="1"/>
  <c r="N24695" i="1"/>
  <c r="A24696" i="1"/>
  <c r="C24696" i="1"/>
  <c r="N24696" i="1"/>
  <c r="A24697" i="1"/>
  <c r="C24697" i="1"/>
  <c r="N24697" i="1"/>
  <c r="A24698" i="1"/>
  <c r="C24698" i="1"/>
  <c r="K24698" i="1"/>
  <c r="N24698" i="1"/>
  <c r="A24699" i="1"/>
  <c r="C24699" i="1"/>
  <c r="N24699" i="1"/>
  <c r="A24700" i="1"/>
  <c r="C24700" i="1"/>
  <c r="N24700" i="1"/>
  <c r="A24701" i="1"/>
  <c r="C24701" i="1"/>
  <c r="N24701" i="1"/>
  <c r="A24702" i="1"/>
  <c r="C24702" i="1"/>
  <c r="K24702" i="1"/>
  <c r="N24702" i="1"/>
  <c r="A24703" i="1"/>
  <c r="C24703" i="1"/>
  <c r="K24703" i="1"/>
  <c r="N24703" i="1"/>
  <c r="A24704" i="1"/>
  <c r="C24704" i="1"/>
  <c r="N24704" i="1"/>
  <c r="A24705" i="1"/>
  <c r="C24705" i="1"/>
  <c r="N24705" i="1"/>
  <c r="A24706" i="1"/>
  <c r="C24706" i="1"/>
  <c r="N24706" i="1"/>
  <c r="A24707" i="1"/>
  <c r="C24707" i="1"/>
  <c r="N24707" i="1"/>
  <c r="A24708" i="1"/>
  <c r="C24708" i="1"/>
  <c r="N24708" i="1"/>
  <c r="A24709" i="1"/>
  <c r="C24709" i="1"/>
  <c r="N24709" i="1"/>
  <c r="A24710" i="1"/>
  <c r="C24710" i="1"/>
  <c r="N24710" i="1"/>
  <c r="A24711" i="1"/>
  <c r="C24711" i="1"/>
  <c r="N24711" i="1"/>
  <c r="A24712" i="1"/>
  <c r="C24712" i="1"/>
  <c r="K24712" i="1"/>
  <c r="N24712" i="1"/>
  <c r="A24713" i="1"/>
  <c r="C24713" i="1"/>
  <c r="K24713" i="1"/>
  <c r="N24713" i="1"/>
  <c r="A24714" i="1"/>
  <c r="C24714" i="1"/>
  <c r="N24714" i="1"/>
  <c r="A24715" i="1"/>
  <c r="C24715" i="1"/>
  <c r="K24715" i="1"/>
  <c r="N24715" i="1"/>
  <c r="A24716" i="1"/>
  <c r="C24716" i="1"/>
  <c r="N24716" i="1"/>
  <c r="A24717" i="1"/>
  <c r="C24717" i="1"/>
  <c r="N24717" i="1"/>
  <c r="A24718" i="1"/>
  <c r="C24718" i="1"/>
  <c r="N24718" i="1"/>
  <c r="A24719" i="1"/>
  <c r="C24719" i="1"/>
  <c r="N24719" i="1"/>
  <c r="A24720" i="1"/>
  <c r="C24720" i="1"/>
  <c r="N24720" i="1"/>
  <c r="A24721" i="1"/>
  <c r="C24721" i="1"/>
  <c r="N24721" i="1"/>
  <c r="A24722" i="1"/>
  <c r="C24722" i="1"/>
  <c r="N24722" i="1"/>
  <c r="A24723" i="1"/>
  <c r="C24723" i="1"/>
  <c r="N24723" i="1"/>
  <c r="A24724" i="1"/>
  <c r="C24724" i="1"/>
  <c r="F24724" i="1"/>
  <c r="K24724" i="1"/>
  <c r="N24724" i="1"/>
  <c r="A24725" i="1"/>
  <c r="C24725" i="1"/>
  <c r="N24725" i="1"/>
  <c r="A24726" i="1"/>
  <c r="C24726" i="1"/>
  <c r="N24726" i="1"/>
  <c r="A24727" i="1"/>
  <c r="C24727" i="1"/>
  <c r="N24727" i="1"/>
  <c r="A24728" i="1"/>
  <c r="C24728" i="1"/>
  <c r="N24728" i="1"/>
  <c r="A24729" i="1"/>
  <c r="C24729" i="1"/>
  <c r="N24729" i="1"/>
  <c r="A24730" i="1"/>
  <c r="C24730" i="1"/>
  <c r="N24730" i="1"/>
  <c r="A24731" i="1"/>
  <c r="C24731" i="1"/>
  <c r="N24731" i="1"/>
  <c r="A24732" i="1"/>
  <c r="C24732" i="1"/>
  <c r="N24732" i="1"/>
  <c r="A24733" i="1"/>
  <c r="C24733" i="1"/>
  <c r="K24733" i="1"/>
  <c r="N24733" i="1"/>
  <c r="A24734" i="1"/>
  <c r="C24734" i="1"/>
  <c r="K24734" i="1"/>
  <c r="N24734" i="1"/>
  <c r="A24735" i="1"/>
  <c r="C24735" i="1"/>
  <c r="N24735" i="1"/>
  <c r="A24736" i="1"/>
  <c r="C24736" i="1"/>
  <c r="N24736" i="1"/>
  <c r="A24737" i="1"/>
  <c r="C24737" i="1"/>
  <c r="N24737" i="1"/>
  <c r="A24738" i="1"/>
  <c r="C24738" i="1"/>
  <c r="N24738" i="1"/>
  <c r="A24739" i="1"/>
  <c r="C24739" i="1"/>
  <c r="N24739" i="1"/>
  <c r="A24740" i="1"/>
  <c r="C24740" i="1"/>
  <c r="E24740" i="1"/>
  <c r="N24740" i="1"/>
  <c r="T24740" i="1"/>
  <c r="A24741" i="1"/>
  <c r="C24741" i="1"/>
  <c r="E24741" i="1"/>
  <c r="N24741" i="1"/>
  <c r="T24741" i="1"/>
  <c r="A24742" i="1"/>
  <c r="C24742" i="1"/>
  <c r="E24742" i="1"/>
  <c r="N24742" i="1"/>
  <c r="T24742" i="1"/>
  <c r="A24743" i="1"/>
  <c r="C24743" i="1"/>
  <c r="N24743" i="1"/>
  <c r="A24744" i="1"/>
  <c r="C24744" i="1"/>
  <c r="N24744" i="1"/>
  <c r="A24745" i="1"/>
  <c r="C24745" i="1"/>
  <c r="N24745" i="1"/>
  <c r="A24746" i="1"/>
  <c r="C24746" i="1"/>
  <c r="N24746" i="1"/>
  <c r="A24747" i="1"/>
  <c r="C24747" i="1"/>
  <c r="N24747" i="1"/>
  <c r="A24748" i="1"/>
  <c r="C24748" i="1"/>
  <c r="N24748" i="1"/>
  <c r="A24749" i="1"/>
  <c r="C24749" i="1"/>
  <c r="N24749" i="1"/>
  <c r="A24750" i="1"/>
  <c r="C24750" i="1"/>
  <c r="N24750" i="1"/>
  <c r="A24751" i="1"/>
  <c r="C24751" i="1"/>
  <c r="N24751" i="1"/>
  <c r="A24752" i="1"/>
  <c r="C24752" i="1"/>
  <c r="N24752" i="1"/>
  <c r="A24753" i="1"/>
  <c r="C24753" i="1"/>
  <c r="N24753" i="1"/>
  <c r="A24754" i="1"/>
  <c r="C24754" i="1"/>
  <c r="N24754" i="1"/>
  <c r="A24755" i="1"/>
  <c r="C24755" i="1"/>
  <c r="N24755" i="1"/>
  <c r="A24756" i="1"/>
  <c r="C24756" i="1"/>
  <c r="N24756" i="1"/>
  <c r="A24757" i="1"/>
  <c r="C24757" i="1"/>
  <c r="N24757" i="1"/>
  <c r="A24758" i="1"/>
  <c r="C24758" i="1"/>
  <c r="K24758" i="1"/>
  <c r="N24758" i="1"/>
  <c r="A24759" i="1"/>
  <c r="C24759" i="1"/>
  <c r="N24759" i="1"/>
  <c r="A24760" i="1"/>
  <c r="C24760" i="1"/>
  <c r="N24760" i="1"/>
  <c r="A24761" i="1"/>
  <c r="C24761" i="1"/>
  <c r="N24761" i="1"/>
  <c r="A24762" i="1"/>
  <c r="C24762" i="1"/>
  <c r="N24762" i="1"/>
  <c r="A24763" i="1"/>
  <c r="C24763" i="1"/>
  <c r="E24763" i="1"/>
  <c r="N24763" i="1"/>
  <c r="T24763" i="1"/>
  <c r="A24764" i="1"/>
  <c r="C24764" i="1"/>
  <c r="N24764" i="1"/>
  <c r="A24765" i="1"/>
  <c r="C24765" i="1"/>
  <c r="N24765" i="1"/>
  <c r="A24766" i="1"/>
  <c r="C24766" i="1"/>
  <c r="N24766" i="1"/>
  <c r="A24767" i="1"/>
  <c r="C24767" i="1"/>
  <c r="N24767" i="1"/>
  <c r="A24768" i="1"/>
  <c r="C24768" i="1"/>
  <c r="N24768" i="1"/>
  <c r="A24769" i="1"/>
  <c r="C24769" i="1"/>
  <c r="N24769" i="1"/>
  <c r="A24770" i="1"/>
  <c r="C24770" i="1"/>
  <c r="N24770" i="1"/>
  <c r="A24771" i="1"/>
  <c r="C24771" i="1"/>
  <c r="N24771" i="1"/>
  <c r="A24772" i="1"/>
  <c r="C24772" i="1"/>
  <c r="N24772" i="1"/>
  <c r="A24773" i="1"/>
  <c r="C24773" i="1"/>
  <c r="N24773" i="1"/>
  <c r="A24774" i="1"/>
  <c r="C24774" i="1"/>
  <c r="N24774" i="1"/>
  <c r="A24775" i="1"/>
  <c r="C24775" i="1"/>
  <c r="N24775" i="1"/>
  <c r="A24776" i="1"/>
  <c r="C24776" i="1"/>
  <c r="N24776" i="1"/>
  <c r="A24777" i="1"/>
  <c r="C24777" i="1"/>
  <c r="N24777" i="1"/>
  <c r="A24778" i="1"/>
  <c r="C24778" i="1"/>
  <c r="N24778" i="1"/>
  <c r="A24779" i="1"/>
  <c r="C24779" i="1"/>
  <c r="N24779" i="1"/>
  <c r="A24780" i="1"/>
  <c r="C24780" i="1"/>
  <c r="N24780" i="1"/>
  <c r="A24781" i="1"/>
  <c r="C24781" i="1"/>
  <c r="N24781" i="1"/>
  <c r="A24782" i="1"/>
  <c r="C24782" i="1"/>
  <c r="N24782" i="1"/>
  <c r="A24783" i="1"/>
  <c r="C24783" i="1"/>
  <c r="N24783" i="1"/>
  <c r="A24784" i="1"/>
  <c r="C24784" i="1"/>
  <c r="K24784" i="1"/>
  <c r="N24784" i="1"/>
  <c r="A24785" i="1"/>
  <c r="C24785" i="1"/>
  <c r="N24785" i="1"/>
  <c r="A24786" i="1"/>
  <c r="C24786" i="1"/>
  <c r="N24786" i="1"/>
  <c r="A24787" i="1"/>
  <c r="C24787" i="1"/>
  <c r="N24787" i="1"/>
  <c r="A24788" i="1"/>
  <c r="C24788" i="1"/>
  <c r="N24788" i="1"/>
  <c r="A24789" i="1"/>
  <c r="C24789" i="1"/>
  <c r="N24789" i="1"/>
  <c r="A24790" i="1"/>
  <c r="C24790" i="1"/>
  <c r="K24790" i="1"/>
  <c r="N24790" i="1"/>
  <c r="A24791" i="1"/>
  <c r="C24791" i="1"/>
  <c r="N24791" i="1"/>
  <c r="A24792" i="1"/>
  <c r="C24792" i="1"/>
  <c r="F24792" i="1"/>
  <c r="N24792" i="1"/>
  <c r="A24793" i="1"/>
  <c r="C24793" i="1"/>
  <c r="N24793" i="1"/>
  <c r="A24794" i="1"/>
  <c r="C24794" i="1"/>
  <c r="N24794" i="1"/>
  <c r="A24795" i="1"/>
  <c r="C24795" i="1"/>
  <c r="K24795" i="1"/>
  <c r="N24795" i="1"/>
  <c r="A24796" i="1"/>
  <c r="C24796" i="1"/>
  <c r="K24796" i="1"/>
  <c r="N24796" i="1"/>
  <c r="A24797" i="1"/>
  <c r="C24797" i="1"/>
  <c r="F24797" i="1"/>
  <c r="G24797" i="1"/>
  <c r="N24797" i="1"/>
  <c r="A24798" i="1"/>
  <c r="C24798" i="1"/>
  <c r="N24798" i="1"/>
  <c r="A24799" i="1"/>
  <c r="C24799" i="1"/>
  <c r="N24799" i="1"/>
  <c r="A24800" i="1"/>
  <c r="C24800" i="1"/>
  <c r="N24800" i="1"/>
  <c r="A24801" i="1"/>
  <c r="C24801" i="1"/>
  <c r="N24801" i="1"/>
  <c r="A24802" i="1"/>
  <c r="C24802" i="1"/>
  <c r="N24802" i="1"/>
  <c r="A24803" i="1"/>
  <c r="C24803" i="1"/>
  <c r="N24803" i="1"/>
  <c r="A24804" i="1"/>
  <c r="C24804" i="1"/>
  <c r="N24804" i="1"/>
  <c r="A24805" i="1"/>
  <c r="C24805" i="1"/>
  <c r="N24805" i="1"/>
  <c r="A24806" i="1"/>
  <c r="C24806" i="1"/>
  <c r="N24806" i="1"/>
  <c r="A24807" i="1"/>
  <c r="C24807" i="1"/>
  <c r="N24807" i="1"/>
  <c r="A24808" i="1"/>
  <c r="C24808" i="1"/>
  <c r="N24808" i="1"/>
  <c r="A24809" i="1"/>
  <c r="C24809" i="1"/>
  <c r="K24809" i="1"/>
  <c r="N24809" i="1"/>
  <c r="A24810" i="1"/>
  <c r="C24810" i="1"/>
  <c r="K24810" i="1"/>
  <c r="N24810" i="1"/>
  <c r="A24811" i="1"/>
  <c r="C24811" i="1"/>
  <c r="N24811" i="1"/>
  <c r="A24812" i="1"/>
  <c r="C24812" i="1"/>
  <c r="N24812" i="1"/>
  <c r="A24813" i="1"/>
  <c r="C24813" i="1"/>
  <c r="N24813" i="1"/>
  <c r="A24814" i="1"/>
  <c r="C24814" i="1"/>
  <c r="N24814" i="1"/>
  <c r="A24815" i="1"/>
  <c r="C24815" i="1"/>
  <c r="N24815" i="1"/>
  <c r="A24816" i="1"/>
  <c r="C24816" i="1"/>
  <c r="N24816" i="1"/>
  <c r="A24817" i="1"/>
  <c r="C24817" i="1"/>
  <c r="N24817" i="1"/>
  <c r="A24818" i="1"/>
  <c r="C24818" i="1"/>
  <c r="N24818" i="1"/>
  <c r="A24819" i="1"/>
  <c r="C24819" i="1"/>
  <c r="K24819" i="1"/>
  <c r="N24819" i="1"/>
  <c r="A24820" i="1"/>
  <c r="C24820" i="1"/>
  <c r="K24820" i="1"/>
  <c r="N24820" i="1"/>
  <c r="A24821" i="1"/>
  <c r="C24821" i="1"/>
  <c r="N24821" i="1"/>
  <c r="A24822" i="1"/>
  <c r="C24822" i="1"/>
  <c r="K24822" i="1"/>
  <c r="N24822" i="1"/>
  <c r="A24823" i="1"/>
  <c r="C24823" i="1"/>
  <c r="D24823" i="1"/>
  <c r="E24823" i="1"/>
  <c r="N24823" i="1"/>
  <c r="O24823" i="1"/>
  <c r="T24823" i="1"/>
  <c r="A24824" i="1"/>
  <c r="C24824" i="1"/>
  <c r="N24824" i="1"/>
  <c r="A24825" i="1"/>
  <c r="C24825" i="1"/>
  <c r="N24825" i="1"/>
  <c r="A24826" i="1"/>
  <c r="C24826" i="1"/>
  <c r="N24826" i="1"/>
  <c r="A24827" i="1"/>
  <c r="C24827" i="1"/>
  <c r="N24827" i="1"/>
  <c r="A24828" i="1"/>
  <c r="C24828" i="1"/>
  <c r="N24828" i="1"/>
  <c r="A24829" i="1"/>
  <c r="C24829" i="1"/>
  <c r="N24829" i="1"/>
  <c r="A24830" i="1"/>
  <c r="C24830" i="1"/>
  <c r="N24830" i="1"/>
  <c r="A24831" i="1"/>
  <c r="C24831" i="1"/>
  <c r="N24831" i="1"/>
  <c r="A24832" i="1"/>
  <c r="C24832" i="1"/>
  <c r="N24832" i="1"/>
  <c r="A24833" i="1"/>
  <c r="C24833" i="1"/>
  <c r="N24833" i="1"/>
  <c r="A24834" i="1"/>
  <c r="C24834" i="1"/>
  <c r="N24834" i="1"/>
  <c r="A24835" i="1"/>
  <c r="C24835" i="1"/>
  <c r="N24835" i="1"/>
  <c r="A24836" i="1"/>
  <c r="C24836" i="1"/>
  <c r="N24836" i="1"/>
  <c r="A24837" i="1"/>
  <c r="C24837" i="1"/>
  <c r="N24837" i="1"/>
  <c r="A24838" i="1"/>
  <c r="C24838" i="1"/>
  <c r="N24838" i="1"/>
  <c r="A24839" i="1"/>
  <c r="C24839" i="1"/>
  <c r="N24839" i="1"/>
  <c r="A24840" i="1"/>
  <c r="C24840" i="1"/>
  <c r="N24840" i="1"/>
  <c r="A24841" i="1"/>
  <c r="C24841" i="1"/>
  <c r="N24841" i="1"/>
  <c r="A24842" i="1"/>
  <c r="C24842" i="1"/>
  <c r="N24842" i="1"/>
  <c r="A24843" i="1"/>
  <c r="C24843" i="1"/>
  <c r="N24843" i="1"/>
  <c r="A24844" i="1"/>
  <c r="C24844" i="1"/>
  <c r="N24844" i="1"/>
  <c r="A24845" i="1"/>
  <c r="C24845" i="1"/>
  <c r="N24845" i="1"/>
  <c r="A24846" i="1"/>
  <c r="C24846" i="1"/>
  <c r="N24846" i="1"/>
  <c r="A24847" i="1"/>
  <c r="C24847" i="1"/>
  <c r="K24847" i="1"/>
  <c r="N24847" i="1"/>
  <c r="A24848" i="1"/>
  <c r="C24848" i="1"/>
  <c r="N24848" i="1"/>
  <c r="A24849" i="1"/>
  <c r="C24849" i="1"/>
  <c r="K24849" i="1"/>
  <c r="N24849" i="1"/>
  <c r="A24850" i="1"/>
  <c r="C24850" i="1"/>
  <c r="N24850" i="1"/>
  <c r="A24851" i="1"/>
  <c r="C24851" i="1"/>
  <c r="F24851" i="1"/>
  <c r="N24851" i="1"/>
  <c r="A24852" i="1"/>
  <c r="C24852" i="1"/>
  <c r="N24852" i="1"/>
  <c r="A24853" i="1"/>
  <c r="C24853" i="1"/>
  <c r="N24853" i="1"/>
  <c r="A24854" i="1"/>
  <c r="C24854" i="1"/>
  <c r="N24854" i="1"/>
  <c r="A24855" i="1"/>
  <c r="C24855" i="1"/>
  <c r="K24855" i="1"/>
  <c r="N24855" i="1"/>
  <c r="A24856" i="1"/>
  <c r="C24856" i="1"/>
  <c r="N24856" i="1"/>
  <c r="A24857" i="1"/>
  <c r="C24857" i="1"/>
  <c r="N24857" i="1"/>
  <c r="A24858" i="1"/>
  <c r="C24858" i="1"/>
  <c r="N24858" i="1"/>
  <c r="A24859" i="1"/>
  <c r="C24859" i="1"/>
  <c r="N24859" i="1"/>
  <c r="A24860" i="1"/>
  <c r="C24860" i="1"/>
  <c r="N24860" i="1"/>
  <c r="A24861" i="1"/>
  <c r="C24861" i="1"/>
  <c r="N24861" i="1"/>
  <c r="A24862" i="1"/>
  <c r="C24862" i="1"/>
  <c r="N24862" i="1"/>
  <c r="A24863" i="1"/>
  <c r="C24863" i="1"/>
  <c r="N24863" i="1"/>
  <c r="A24864" i="1"/>
  <c r="C24864" i="1"/>
  <c r="N24864" i="1"/>
  <c r="A24865" i="1"/>
  <c r="C24865" i="1"/>
  <c r="N24865" i="1"/>
  <c r="A24866" i="1"/>
  <c r="C24866" i="1"/>
  <c r="N24866" i="1"/>
  <c r="A24867" i="1"/>
  <c r="C24867" i="1"/>
  <c r="N24867" i="1"/>
  <c r="A24868" i="1"/>
  <c r="C24868" i="1"/>
  <c r="K24868" i="1"/>
  <c r="N24868" i="1"/>
  <c r="A24869" i="1"/>
  <c r="C24869" i="1"/>
  <c r="N24869" i="1"/>
  <c r="A24870" i="1"/>
  <c r="C24870" i="1"/>
  <c r="E24870" i="1"/>
  <c r="K24870" i="1"/>
  <c r="N24870" i="1"/>
  <c r="T24870" i="1"/>
  <c r="A24871" i="1"/>
  <c r="C24871" i="1"/>
  <c r="N24871" i="1"/>
  <c r="A24872" i="1"/>
  <c r="C24872" i="1"/>
  <c r="N24872" i="1"/>
  <c r="A24873" i="1"/>
  <c r="C24873" i="1"/>
  <c r="N24873" i="1"/>
  <c r="A24874" i="1"/>
  <c r="C24874" i="1"/>
  <c r="N24874" i="1"/>
  <c r="A24875" i="1"/>
  <c r="C24875" i="1"/>
  <c r="N24875" i="1"/>
  <c r="A24876" i="1"/>
  <c r="C24876" i="1"/>
  <c r="N24876" i="1"/>
  <c r="A24877" i="1"/>
  <c r="C24877" i="1"/>
  <c r="K24877" i="1"/>
  <c r="N24877" i="1"/>
  <c r="A24878" i="1"/>
  <c r="C24878" i="1"/>
  <c r="N24878" i="1"/>
  <c r="A24879" i="1"/>
  <c r="C24879" i="1"/>
  <c r="N24879" i="1"/>
  <c r="A24880" i="1"/>
  <c r="C24880" i="1"/>
  <c r="N24880" i="1"/>
  <c r="A24881" i="1"/>
  <c r="C24881" i="1"/>
  <c r="N24881" i="1"/>
  <c r="A24882" i="1"/>
  <c r="C24882" i="1"/>
  <c r="K24882" i="1"/>
  <c r="N24882" i="1"/>
  <c r="A24883" i="1"/>
  <c r="C24883" i="1"/>
  <c r="K24883" i="1"/>
  <c r="N24883" i="1"/>
  <c r="A24884" i="1"/>
  <c r="C24884" i="1"/>
  <c r="N24884" i="1"/>
  <c r="A24885" i="1"/>
  <c r="C24885" i="1"/>
  <c r="K24885" i="1"/>
  <c r="N24885" i="1"/>
  <c r="A24886" i="1"/>
  <c r="C24886" i="1"/>
  <c r="N24886" i="1"/>
  <c r="A24887" i="1"/>
  <c r="C24887" i="1"/>
  <c r="K24887" i="1"/>
  <c r="N24887" i="1"/>
  <c r="A24888" i="1"/>
  <c r="C24888" i="1"/>
  <c r="N24888" i="1"/>
  <c r="A24889" i="1"/>
  <c r="C24889" i="1"/>
  <c r="N24889" i="1"/>
  <c r="A24890" i="1"/>
  <c r="C24890" i="1"/>
  <c r="N24890" i="1"/>
  <c r="A24891" i="1"/>
  <c r="C24891" i="1"/>
  <c r="K24891" i="1"/>
  <c r="N24891" i="1"/>
  <c r="A24892" i="1"/>
  <c r="C24892" i="1"/>
  <c r="N24892" i="1"/>
  <c r="A24893" i="1"/>
  <c r="C24893" i="1"/>
  <c r="N24893" i="1"/>
  <c r="A24894" i="1"/>
  <c r="C24894" i="1"/>
  <c r="K24894" i="1"/>
  <c r="N24894" i="1"/>
  <c r="A24895" i="1"/>
  <c r="C24895" i="1"/>
  <c r="N24895" i="1"/>
  <c r="A24896" i="1"/>
  <c r="C24896" i="1"/>
  <c r="N24896" i="1"/>
  <c r="A24897" i="1"/>
  <c r="C24897" i="1"/>
  <c r="N24897" i="1"/>
  <c r="A24898" i="1"/>
  <c r="C24898" i="1"/>
  <c r="N24898" i="1"/>
  <c r="A24899" i="1"/>
  <c r="C24899" i="1"/>
  <c r="N24899" i="1"/>
  <c r="A24900" i="1"/>
  <c r="C24900" i="1"/>
  <c r="N24900" i="1"/>
  <c r="A24901" i="1"/>
  <c r="C24901" i="1"/>
  <c r="K24901" i="1"/>
  <c r="N24901" i="1"/>
  <c r="A24902" i="1"/>
  <c r="C24902" i="1"/>
  <c r="N24902" i="1"/>
  <c r="A24903" i="1"/>
  <c r="C24903" i="1"/>
  <c r="N24903" i="1"/>
  <c r="A24904" i="1"/>
  <c r="C24904" i="1"/>
  <c r="N24904" i="1"/>
  <c r="A24905" i="1"/>
  <c r="C24905" i="1"/>
  <c r="N24905" i="1"/>
  <c r="A24906" i="1"/>
  <c r="C24906" i="1"/>
  <c r="N24906" i="1"/>
  <c r="A24907" i="1"/>
  <c r="C24907" i="1"/>
  <c r="N24907" i="1"/>
  <c r="A24908" i="1"/>
  <c r="C24908" i="1"/>
  <c r="N24908" i="1"/>
  <c r="A24909" i="1"/>
  <c r="C24909" i="1"/>
  <c r="N24909" i="1"/>
  <c r="A24910" i="1"/>
  <c r="C24910" i="1"/>
  <c r="N24910" i="1"/>
  <c r="A24911" i="1"/>
  <c r="C24911" i="1"/>
  <c r="N24911" i="1"/>
  <c r="A24912" i="1"/>
  <c r="C24912" i="1"/>
  <c r="N24912" i="1"/>
  <c r="A24913" i="1"/>
  <c r="C24913" i="1"/>
  <c r="N24913" i="1"/>
  <c r="A24914" i="1"/>
  <c r="C24914" i="1"/>
  <c r="N24914" i="1"/>
  <c r="A24915" i="1"/>
  <c r="C24915" i="1"/>
  <c r="N24915" i="1"/>
  <c r="A24916" i="1"/>
  <c r="C24916" i="1"/>
  <c r="N24916" i="1"/>
  <c r="A24917" i="1"/>
  <c r="C24917" i="1"/>
  <c r="N24917" i="1"/>
  <c r="A24918" i="1"/>
  <c r="C24918" i="1"/>
  <c r="K24918" i="1"/>
  <c r="N24918" i="1"/>
  <c r="A24919" i="1"/>
  <c r="C24919" i="1"/>
  <c r="N24919" i="1"/>
  <c r="A24920" i="1"/>
  <c r="C24920" i="1"/>
  <c r="N24920" i="1"/>
  <c r="A24921" i="1"/>
  <c r="C24921" i="1"/>
  <c r="N24921" i="1"/>
  <c r="A24922" i="1"/>
  <c r="C24922" i="1"/>
  <c r="N24922" i="1"/>
  <c r="A24923" i="1"/>
  <c r="C24923" i="1"/>
  <c r="N24923" i="1"/>
  <c r="A24924" i="1"/>
  <c r="C24924" i="1"/>
  <c r="N24924" i="1"/>
  <c r="A24925" i="1"/>
  <c r="C24925" i="1"/>
  <c r="N24925" i="1"/>
  <c r="A24926" i="1"/>
  <c r="C24926" i="1"/>
  <c r="N24926" i="1"/>
  <c r="A24927" i="1"/>
  <c r="C24927" i="1"/>
  <c r="N24927" i="1"/>
  <c r="A24928" i="1"/>
  <c r="C24928" i="1"/>
  <c r="N24928" i="1"/>
  <c r="A24929" i="1"/>
  <c r="C24929" i="1"/>
  <c r="N24929" i="1"/>
  <c r="A24930" i="1"/>
  <c r="C24930" i="1"/>
  <c r="N24930" i="1"/>
  <c r="A24931" i="1"/>
  <c r="C24931" i="1"/>
  <c r="N24931" i="1"/>
  <c r="A24932" i="1"/>
  <c r="C24932" i="1"/>
  <c r="N24932" i="1"/>
  <c r="A24933" i="1"/>
  <c r="C24933" i="1"/>
  <c r="N24933" i="1"/>
  <c r="A24934" i="1"/>
  <c r="C24934" i="1"/>
  <c r="N24934" i="1"/>
  <c r="A24935" i="1"/>
  <c r="C24935" i="1"/>
  <c r="N24935" i="1"/>
  <c r="A24936" i="1"/>
  <c r="C24936" i="1"/>
  <c r="N24936" i="1"/>
  <c r="A24937" i="1"/>
  <c r="C24937" i="1"/>
  <c r="N24937" i="1"/>
  <c r="A24938" i="1"/>
  <c r="C24938" i="1"/>
  <c r="N24938" i="1"/>
  <c r="A24939" i="1"/>
  <c r="C24939" i="1"/>
  <c r="N24939" i="1"/>
  <c r="A24940" i="1"/>
  <c r="C24940" i="1"/>
  <c r="N24940" i="1"/>
  <c r="A24941" i="1"/>
  <c r="C24941" i="1"/>
  <c r="N24941" i="1"/>
  <c r="A24942" i="1"/>
  <c r="C24942" i="1"/>
  <c r="N24942" i="1"/>
  <c r="A24943" i="1"/>
  <c r="C24943" i="1"/>
  <c r="N24943" i="1"/>
  <c r="A24944" i="1"/>
  <c r="C24944" i="1"/>
  <c r="N24944" i="1"/>
  <c r="A24945" i="1"/>
  <c r="C24945" i="1"/>
  <c r="N24945" i="1"/>
  <c r="A24946" i="1"/>
  <c r="C24946" i="1"/>
  <c r="N24946" i="1"/>
  <c r="A24947" i="1"/>
  <c r="C24947" i="1"/>
  <c r="N24947" i="1"/>
  <c r="A24948" i="1"/>
  <c r="C24948" i="1"/>
  <c r="N24948" i="1"/>
  <c r="A24949" i="1"/>
  <c r="C24949" i="1"/>
  <c r="N24949" i="1"/>
  <c r="A24950" i="1"/>
  <c r="C24950" i="1"/>
  <c r="F24950" i="1"/>
  <c r="N24950" i="1"/>
  <c r="A24951" i="1"/>
  <c r="C24951" i="1"/>
  <c r="F24951" i="1"/>
  <c r="K24951" i="1"/>
  <c r="N24951" i="1"/>
  <c r="A24952" i="1"/>
  <c r="C24952" i="1"/>
  <c r="F24952" i="1"/>
  <c r="K24952" i="1"/>
  <c r="N24952" i="1"/>
  <c r="A24953" i="1"/>
  <c r="C24953" i="1"/>
  <c r="N24953" i="1"/>
  <c r="A24954" i="1"/>
  <c r="C24954" i="1"/>
  <c r="N24954" i="1"/>
  <c r="A24955" i="1"/>
  <c r="C24955" i="1"/>
  <c r="N24955" i="1"/>
  <c r="A24956" i="1"/>
  <c r="C24956" i="1"/>
  <c r="K24956" i="1"/>
  <c r="N24956" i="1"/>
  <c r="A24957" i="1"/>
  <c r="C24957" i="1"/>
  <c r="N24957" i="1"/>
  <c r="A24958" i="1"/>
  <c r="C24958" i="1"/>
  <c r="N24958" i="1"/>
  <c r="A24959" i="1"/>
  <c r="C24959" i="1"/>
  <c r="N24959" i="1"/>
  <c r="A24960" i="1"/>
  <c r="C24960" i="1"/>
  <c r="N24960" i="1"/>
  <c r="A24961" i="1"/>
  <c r="C24961" i="1"/>
  <c r="N24961" i="1"/>
  <c r="A24962" i="1"/>
  <c r="C24962" i="1"/>
  <c r="N24962" i="1"/>
  <c r="A24963" i="1"/>
  <c r="C24963" i="1"/>
  <c r="N24963" i="1"/>
  <c r="A24964" i="1"/>
  <c r="C24964" i="1"/>
  <c r="N24964" i="1"/>
  <c r="A24965" i="1"/>
  <c r="C24965" i="1"/>
  <c r="N24965" i="1"/>
  <c r="A24966" i="1"/>
  <c r="C24966" i="1"/>
  <c r="N24966" i="1"/>
  <c r="A24967" i="1"/>
  <c r="C24967" i="1"/>
  <c r="N24967" i="1"/>
  <c r="A24968" i="1"/>
  <c r="C24968" i="1"/>
  <c r="K24968" i="1"/>
  <c r="N24968" i="1"/>
  <c r="A24969" i="1"/>
  <c r="C24969" i="1"/>
  <c r="N24969" i="1"/>
  <c r="A24970" i="1"/>
  <c r="C24970" i="1"/>
  <c r="N24970" i="1"/>
  <c r="A24971" i="1"/>
  <c r="C24971" i="1"/>
  <c r="N24971" i="1"/>
  <c r="A24972" i="1"/>
  <c r="C24972" i="1"/>
  <c r="K24972" i="1"/>
  <c r="N24972" i="1"/>
  <c r="A24973" i="1"/>
  <c r="C24973" i="1"/>
  <c r="E24973" i="1"/>
  <c r="K24973" i="1"/>
  <c r="N24973" i="1"/>
  <c r="T24973" i="1"/>
  <c r="A24974" i="1"/>
  <c r="C24974" i="1"/>
  <c r="N24974" i="1"/>
  <c r="A24975" i="1"/>
  <c r="C24975" i="1"/>
  <c r="N24975" i="1"/>
  <c r="A24976" i="1"/>
  <c r="C24976" i="1"/>
  <c r="N24976" i="1"/>
  <c r="A24977" i="1"/>
  <c r="C24977" i="1"/>
  <c r="E24977" i="1"/>
  <c r="N24977" i="1"/>
  <c r="T24977" i="1"/>
  <c r="A24978" i="1"/>
  <c r="C24978" i="1"/>
  <c r="N24978" i="1"/>
  <c r="A24979" i="1"/>
  <c r="C24979" i="1"/>
  <c r="N24979" i="1"/>
  <c r="A24980" i="1"/>
  <c r="C24980" i="1"/>
  <c r="N24980" i="1"/>
  <c r="A24981" i="1"/>
  <c r="C24981" i="1"/>
  <c r="N24981" i="1"/>
  <c r="A24982" i="1"/>
  <c r="C24982" i="1"/>
  <c r="N24982" i="1"/>
  <c r="A24983" i="1"/>
  <c r="C24983" i="1"/>
  <c r="N24983" i="1"/>
  <c r="A24984" i="1"/>
  <c r="C24984" i="1"/>
  <c r="N24984" i="1"/>
  <c r="A24985" i="1"/>
  <c r="C24985" i="1"/>
  <c r="N24985" i="1"/>
  <c r="A24986" i="1"/>
  <c r="C24986" i="1"/>
  <c r="N24986" i="1"/>
  <c r="A24987" i="1"/>
  <c r="C24987" i="1"/>
  <c r="N24987" i="1"/>
  <c r="A24988" i="1"/>
  <c r="C24988" i="1"/>
  <c r="E24988" i="1"/>
  <c r="N24988" i="1"/>
  <c r="T24988" i="1"/>
  <c r="A24989" i="1"/>
  <c r="C24989" i="1"/>
  <c r="N24989" i="1"/>
  <c r="A24990" i="1"/>
  <c r="C24990" i="1"/>
  <c r="N24990" i="1"/>
  <c r="A24991" i="1"/>
  <c r="C24991" i="1"/>
  <c r="N24991" i="1"/>
  <c r="A24992" i="1"/>
  <c r="C24992" i="1"/>
  <c r="K24992" i="1"/>
  <c r="N24992" i="1"/>
  <c r="A24993" i="1"/>
  <c r="C24993" i="1"/>
  <c r="N24993" i="1"/>
  <c r="A24994" i="1"/>
  <c r="C24994" i="1"/>
  <c r="N24994" i="1"/>
  <c r="A24995" i="1"/>
  <c r="C24995" i="1"/>
  <c r="N24995" i="1"/>
  <c r="A24996" i="1"/>
  <c r="C24996" i="1"/>
  <c r="N24996" i="1"/>
  <c r="A24997" i="1"/>
  <c r="C24997" i="1"/>
  <c r="N24997" i="1"/>
  <c r="A24998" i="1"/>
  <c r="C24998" i="1"/>
  <c r="K24998" i="1"/>
  <c r="N24998" i="1"/>
  <c r="A24999" i="1"/>
  <c r="C24999" i="1"/>
  <c r="N24999" i="1"/>
  <c r="A25000" i="1"/>
  <c r="C25000" i="1"/>
  <c r="N25000" i="1"/>
  <c r="A25001" i="1"/>
  <c r="C25001" i="1"/>
  <c r="N25001" i="1"/>
  <c r="A25002" i="1"/>
  <c r="C25002" i="1"/>
  <c r="N25002" i="1"/>
  <c r="A25003" i="1"/>
  <c r="C25003" i="1"/>
  <c r="N25003" i="1"/>
  <c r="A25004" i="1"/>
  <c r="C25004" i="1"/>
  <c r="N25004" i="1"/>
  <c r="A25005" i="1"/>
  <c r="C25005" i="1"/>
  <c r="N25005" i="1"/>
  <c r="A25006" i="1"/>
  <c r="C25006" i="1"/>
  <c r="N25006" i="1"/>
  <c r="A25007" i="1"/>
  <c r="C25007" i="1"/>
  <c r="N25007" i="1"/>
  <c r="A25008" i="1"/>
  <c r="C25008" i="1"/>
  <c r="K25008" i="1"/>
  <c r="N25008" i="1"/>
  <c r="A25009" i="1"/>
  <c r="C25009" i="1"/>
  <c r="K25009" i="1"/>
  <c r="N25009" i="1"/>
  <c r="A25010" i="1"/>
  <c r="C25010" i="1"/>
  <c r="N25010" i="1"/>
  <c r="A25011" i="1"/>
  <c r="C25011" i="1"/>
  <c r="N25011" i="1"/>
  <c r="A25012" i="1"/>
  <c r="C25012" i="1"/>
  <c r="N25012" i="1"/>
  <c r="A25013" i="1"/>
  <c r="C25013" i="1"/>
  <c r="N25013" i="1"/>
  <c r="A25014" i="1"/>
  <c r="C25014" i="1"/>
  <c r="K25014" i="1"/>
  <c r="N25014" i="1"/>
  <c r="A25015" i="1"/>
  <c r="C25015" i="1"/>
  <c r="N25015" i="1"/>
  <c r="A25016" i="1"/>
  <c r="C25016" i="1"/>
  <c r="K25016" i="1"/>
  <c r="N25016" i="1"/>
  <c r="A25017" i="1"/>
  <c r="C25017" i="1"/>
  <c r="K25017" i="1"/>
  <c r="N25017" i="1"/>
  <c r="A25018" i="1"/>
  <c r="C25018" i="1"/>
  <c r="N25018" i="1"/>
  <c r="A25019" i="1"/>
  <c r="C25019" i="1"/>
  <c r="N25019" i="1"/>
  <c r="A25020" i="1"/>
  <c r="C25020" i="1"/>
  <c r="N25020" i="1"/>
  <c r="A25021" i="1"/>
  <c r="C25021" i="1"/>
  <c r="N25021" i="1"/>
  <c r="A25022" i="1"/>
  <c r="C25022" i="1"/>
  <c r="N25022" i="1"/>
  <c r="A25023" i="1"/>
  <c r="C25023" i="1"/>
  <c r="N25023" i="1"/>
  <c r="A25024" i="1"/>
  <c r="C25024" i="1"/>
  <c r="N25024" i="1"/>
  <c r="A25025" i="1"/>
  <c r="C25025" i="1"/>
  <c r="N25025" i="1"/>
  <c r="A25026" i="1"/>
  <c r="C25026" i="1"/>
  <c r="N25026" i="1"/>
  <c r="A25027" i="1"/>
  <c r="C25027" i="1"/>
  <c r="N25027" i="1"/>
  <c r="A25028" i="1"/>
  <c r="C25028" i="1"/>
  <c r="K25028" i="1"/>
  <c r="N25028" i="1"/>
  <c r="A25029" i="1"/>
  <c r="C25029" i="1"/>
  <c r="N25029" i="1"/>
  <c r="A25030" i="1"/>
  <c r="C25030" i="1"/>
  <c r="K25030" i="1"/>
  <c r="N25030" i="1"/>
  <c r="A25031" i="1"/>
  <c r="C25031" i="1"/>
  <c r="N25031" i="1"/>
  <c r="A25032" i="1"/>
  <c r="C25032" i="1"/>
  <c r="N25032" i="1"/>
  <c r="A25033" i="1"/>
  <c r="C25033" i="1"/>
  <c r="N25033" i="1"/>
  <c r="A25034" i="1"/>
  <c r="C25034" i="1"/>
  <c r="N25034" i="1"/>
  <c r="A25035" i="1"/>
  <c r="C25035" i="1"/>
  <c r="N25035" i="1"/>
  <c r="A25036" i="1"/>
  <c r="C25036" i="1"/>
  <c r="K25036" i="1"/>
  <c r="N25036" i="1"/>
  <c r="A25037" i="1"/>
  <c r="C25037" i="1"/>
  <c r="K25037" i="1"/>
  <c r="N25037" i="1"/>
  <c r="A25038" i="1"/>
  <c r="C25038" i="1"/>
  <c r="N25038" i="1"/>
  <c r="A25039" i="1"/>
  <c r="C25039" i="1"/>
  <c r="N25039" i="1"/>
  <c r="A25040" i="1"/>
  <c r="C25040" i="1"/>
  <c r="N25040" i="1"/>
  <c r="A25041" i="1"/>
  <c r="C25041" i="1"/>
  <c r="N25041" i="1"/>
  <c r="A25042" i="1"/>
  <c r="C25042" i="1"/>
  <c r="N25042" i="1"/>
  <c r="A25043" i="1"/>
  <c r="C25043" i="1"/>
  <c r="N25043" i="1"/>
  <c r="A25044" i="1"/>
  <c r="C25044" i="1"/>
  <c r="K25044" i="1"/>
  <c r="N25044" i="1"/>
  <c r="A25045" i="1"/>
  <c r="C25045" i="1"/>
  <c r="N25045" i="1"/>
  <c r="A25046" i="1"/>
  <c r="C25046" i="1"/>
  <c r="N25046" i="1"/>
  <c r="A25047" i="1"/>
  <c r="C25047" i="1"/>
  <c r="N25047" i="1"/>
  <c r="A25048" i="1"/>
  <c r="C25048" i="1"/>
  <c r="N25048" i="1"/>
  <c r="A25049" i="1"/>
  <c r="C25049" i="1"/>
  <c r="N25049" i="1"/>
  <c r="A25050" i="1"/>
  <c r="C25050" i="1"/>
  <c r="K25050" i="1"/>
  <c r="N25050" i="1"/>
  <c r="A25051" i="1"/>
  <c r="C25051" i="1"/>
  <c r="N25051" i="1"/>
  <c r="A25052" i="1"/>
  <c r="C25052" i="1"/>
  <c r="N25052" i="1"/>
  <c r="A25053" i="1"/>
  <c r="C25053" i="1"/>
  <c r="N25053" i="1"/>
  <c r="A25054" i="1"/>
  <c r="C25054" i="1"/>
  <c r="N25054" i="1"/>
  <c r="A25055" i="1"/>
  <c r="C25055" i="1"/>
  <c r="K25055" i="1"/>
  <c r="N25055" i="1"/>
  <c r="A25056" i="1"/>
  <c r="C25056" i="1"/>
  <c r="F25056" i="1"/>
  <c r="N25056" i="1"/>
  <c r="A25057" i="1"/>
  <c r="C25057" i="1"/>
  <c r="N25057" i="1"/>
  <c r="A25058" i="1"/>
  <c r="C25058" i="1"/>
  <c r="N25058" i="1"/>
  <c r="A25059" i="1"/>
  <c r="C25059" i="1"/>
  <c r="N25059" i="1"/>
  <c r="A25060" i="1"/>
  <c r="C25060" i="1"/>
  <c r="N25060" i="1"/>
  <c r="A25061" i="1"/>
  <c r="C25061" i="1"/>
  <c r="N25061" i="1"/>
  <c r="A25062" i="1"/>
  <c r="C25062" i="1"/>
  <c r="N25062" i="1"/>
  <c r="A25063" i="1"/>
  <c r="C25063" i="1"/>
  <c r="N25063" i="1"/>
  <c r="A25064" i="1"/>
  <c r="C25064" i="1"/>
  <c r="N25064" i="1"/>
  <c r="A25065" i="1"/>
  <c r="C25065" i="1"/>
  <c r="N25065" i="1"/>
  <c r="A25066" i="1"/>
  <c r="C25066" i="1"/>
  <c r="N25066" i="1"/>
  <c r="A25067" i="1"/>
  <c r="C25067" i="1"/>
  <c r="N25067" i="1"/>
  <c r="A25068" i="1"/>
  <c r="C25068" i="1"/>
  <c r="N25068" i="1"/>
  <c r="A25069" i="1"/>
  <c r="C25069" i="1"/>
  <c r="N25069" i="1"/>
  <c r="A25070" i="1"/>
  <c r="C25070" i="1"/>
  <c r="N25070" i="1"/>
  <c r="A25071" i="1"/>
  <c r="C25071" i="1"/>
  <c r="N25071" i="1"/>
  <c r="A25072" i="1"/>
  <c r="C25072" i="1"/>
  <c r="N25072" i="1"/>
  <c r="A25073" i="1"/>
  <c r="C25073" i="1"/>
  <c r="N25073" i="1"/>
  <c r="A25074" i="1"/>
  <c r="C25074" i="1"/>
  <c r="K25074" i="1"/>
  <c r="N25074" i="1"/>
  <c r="A25075" i="1"/>
  <c r="C25075" i="1"/>
  <c r="K25075" i="1"/>
  <c r="N25075" i="1"/>
  <c r="A25076" i="1"/>
  <c r="C25076" i="1"/>
  <c r="N25076" i="1"/>
  <c r="A25077" i="1"/>
  <c r="C25077" i="1"/>
  <c r="N25077" i="1"/>
  <c r="A25078" i="1"/>
  <c r="C25078" i="1"/>
  <c r="N25078" i="1"/>
  <c r="A25079" i="1"/>
  <c r="C25079" i="1"/>
  <c r="N25079" i="1"/>
  <c r="A25080" i="1"/>
  <c r="C25080" i="1"/>
  <c r="N25080" i="1"/>
  <c r="A25081" i="1"/>
  <c r="C25081" i="1"/>
  <c r="N25081" i="1"/>
  <c r="A25082" i="1"/>
  <c r="C25082" i="1"/>
  <c r="N25082" i="1"/>
  <c r="A25083" i="1"/>
  <c r="C25083" i="1"/>
  <c r="K25083" i="1"/>
  <c r="N25083" i="1"/>
  <c r="A25084" i="1"/>
  <c r="C25084" i="1"/>
  <c r="N25084" i="1"/>
  <c r="A25085" i="1"/>
  <c r="C25085" i="1"/>
  <c r="N25085" i="1"/>
  <c r="A25086" i="1"/>
  <c r="C25086" i="1"/>
  <c r="K25086" i="1"/>
  <c r="N25086" i="1"/>
  <c r="A25087" i="1"/>
  <c r="C25087" i="1"/>
  <c r="F25087" i="1"/>
  <c r="N25087" i="1"/>
  <c r="A25088" i="1"/>
  <c r="C25088" i="1"/>
  <c r="N25088" i="1"/>
  <c r="A25089" i="1"/>
  <c r="C25089" i="1"/>
  <c r="N25089" i="1"/>
  <c r="A25090" i="1"/>
  <c r="C25090" i="1"/>
  <c r="N25090" i="1"/>
  <c r="A25091" i="1"/>
  <c r="C25091" i="1"/>
  <c r="N25091" i="1"/>
  <c r="A25092" i="1"/>
  <c r="C25092" i="1"/>
  <c r="N25092" i="1"/>
  <c r="A25093" i="1"/>
  <c r="C25093" i="1"/>
  <c r="N25093" i="1"/>
  <c r="A25094" i="1"/>
  <c r="C25094" i="1"/>
  <c r="N25094" i="1"/>
  <c r="A25095" i="1"/>
  <c r="C25095" i="1"/>
  <c r="N25095" i="1"/>
  <c r="A25096" i="1"/>
  <c r="C25096" i="1"/>
  <c r="N25096" i="1"/>
  <c r="A25097" i="1"/>
  <c r="C25097" i="1"/>
  <c r="N25097" i="1"/>
  <c r="A25098" i="1"/>
  <c r="C25098" i="1"/>
  <c r="N25098" i="1"/>
  <c r="A25099" i="1"/>
  <c r="C25099" i="1"/>
  <c r="N25099" i="1"/>
  <c r="A25100" i="1"/>
  <c r="C25100" i="1"/>
  <c r="N25100" i="1"/>
  <c r="A25101" i="1"/>
  <c r="C25101" i="1"/>
  <c r="N25101" i="1"/>
  <c r="A25102" i="1"/>
  <c r="C25102" i="1"/>
  <c r="N25102" i="1"/>
  <c r="A25103" i="1"/>
  <c r="C25103" i="1"/>
  <c r="N25103" i="1"/>
  <c r="A25104" i="1"/>
  <c r="C25104" i="1"/>
  <c r="N25104" i="1"/>
  <c r="A25105" i="1"/>
  <c r="C25105" i="1"/>
  <c r="E25105" i="1"/>
  <c r="N25105" i="1"/>
  <c r="T25105" i="1"/>
  <c r="A25106" i="1"/>
  <c r="C25106" i="1"/>
  <c r="N25106" i="1"/>
  <c r="A25107" i="1"/>
  <c r="C25107" i="1"/>
  <c r="N25107" i="1"/>
  <c r="A25108" i="1"/>
  <c r="C25108" i="1"/>
  <c r="N25108" i="1"/>
  <c r="A25109" i="1"/>
  <c r="C25109" i="1"/>
  <c r="N25109" i="1"/>
  <c r="A25110" i="1"/>
  <c r="C25110" i="1"/>
  <c r="K25110" i="1"/>
  <c r="N25110" i="1"/>
  <c r="A25111" i="1"/>
  <c r="C25111" i="1"/>
  <c r="N25111" i="1"/>
  <c r="A25112" i="1"/>
  <c r="C25112" i="1"/>
  <c r="N25112" i="1"/>
  <c r="A25113" i="1"/>
  <c r="C25113" i="1"/>
  <c r="K25113" i="1"/>
  <c r="N25113" i="1"/>
  <c r="A25114" i="1"/>
  <c r="C25114" i="1"/>
  <c r="N25114" i="1"/>
  <c r="A25115" i="1"/>
  <c r="C25115" i="1"/>
  <c r="N25115" i="1"/>
  <c r="A25116" i="1"/>
  <c r="C25116" i="1"/>
  <c r="N25116" i="1"/>
  <c r="A25117" i="1"/>
  <c r="C25117" i="1"/>
  <c r="N25117" i="1"/>
  <c r="A25118" i="1"/>
  <c r="C25118" i="1"/>
  <c r="N25118" i="1"/>
  <c r="A25119" i="1"/>
  <c r="C25119" i="1"/>
  <c r="N25119" i="1"/>
  <c r="A25120" i="1"/>
  <c r="C25120" i="1"/>
  <c r="N25120" i="1"/>
  <c r="A25121" i="1"/>
  <c r="C25121" i="1"/>
  <c r="N25121" i="1"/>
  <c r="A25122" i="1"/>
  <c r="C25122" i="1"/>
  <c r="N25122" i="1"/>
  <c r="A25123" i="1"/>
  <c r="C25123" i="1"/>
  <c r="N25123" i="1"/>
  <c r="A25124" i="1"/>
  <c r="C25124" i="1"/>
  <c r="K25124" i="1"/>
  <c r="N25124" i="1"/>
  <c r="A25125" i="1"/>
  <c r="C25125" i="1"/>
  <c r="N25125" i="1"/>
  <c r="A25126" i="1"/>
  <c r="C25126" i="1"/>
  <c r="K25126" i="1"/>
  <c r="N25126" i="1"/>
  <c r="A25127" i="1"/>
  <c r="C25127" i="1"/>
  <c r="F25127" i="1"/>
  <c r="N25127" i="1"/>
  <c r="A25128" i="1"/>
  <c r="C25128" i="1"/>
  <c r="N25128" i="1"/>
  <c r="A25129" i="1"/>
  <c r="C25129" i="1"/>
  <c r="K25129" i="1"/>
  <c r="N25129" i="1"/>
  <c r="A25130" i="1"/>
  <c r="C25130" i="1"/>
  <c r="N25130" i="1"/>
  <c r="A25131" i="1"/>
  <c r="C25131" i="1"/>
  <c r="N25131" i="1"/>
  <c r="A25132" i="1"/>
  <c r="C25132" i="1"/>
  <c r="N25132" i="1"/>
  <c r="A25133" i="1"/>
  <c r="C25133" i="1"/>
  <c r="N25133" i="1"/>
  <c r="A25134" i="1"/>
  <c r="C25134" i="1"/>
  <c r="K25134" i="1"/>
  <c r="N25134" i="1"/>
  <c r="A25135" i="1"/>
  <c r="C25135" i="1"/>
  <c r="N25135" i="1"/>
  <c r="A25136" i="1"/>
  <c r="C25136" i="1"/>
  <c r="N25136" i="1"/>
  <c r="A25137" i="1"/>
  <c r="C25137" i="1"/>
  <c r="N25137" i="1"/>
  <c r="A25138" i="1"/>
  <c r="C25138" i="1"/>
  <c r="N25138" i="1"/>
  <c r="A25139" i="1"/>
  <c r="C25139" i="1"/>
  <c r="N25139" i="1"/>
  <c r="A25140" i="1"/>
  <c r="C25140" i="1"/>
  <c r="N25140" i="1"/>
  <c r="A25141" i="1"/>
  <c r="C25141" i="1"/>
  <c r="N25141" i="1"/>
  <c r="A25142" i="1"/>
  <c r="C25142" i="1"/>
  <c r="N25142" i="1"/>
  <c r="A25143" i="1"/>
  <c r="C25143" i="1"/>
  <c r="N25143" i="1"/>
  <c r="A25144" i="1"/>
  <c r="C25144" i="1"/>
  <c r="N25144" i="1"/>
  <c r="A25145" i="1"/>
  <c r="C25145" i="1"/>
  <c r="N25145" i="1"/>
  <c r="A25146" i="1"/>
  <c r="C25146" i="1"/>
  <c r="N25146" i="1"/>
  <c r="A25147" i="1"/>
  <c r="C25147" i="1"/>
  <c r="N25147" i="1"/>
  <c r="A25148" i="1"/>
  <c r="C25148" i="1"/>
  <c r="N25148" i="1"/>
  <c r="A25149" i="1"/>
  <c r="C25149" i="1"/>
  <c r="N25149" i="1"/>
  <c r="A25150" i="1"/>
  <c r="C25150" i="1"/>
  <c r="N25150" i="1"/>
  <c r="A25151" i="1"/>
  <c r="C25151" i="1"/>
  <c r="K25151" i="1"/>
  <c r="N25151" i="1"/>
  <c r="A25152" i="1"/>
  <c r="C25152" i="1"/>
  <c r="N25152" i="1"/>
  <c r="A25153" i="1"/>
  <c r="C25153" i="1"/>
  <c r="N25153" i="1"/>
  <c r="A25154" i="1"/>
  <c r="C25154" i="1"/>
  <c r="K25154" i="1"/>
  <c r="N25154" i="1"/>
  <c r="A25155" i="1"/>
  <c r="C25155" i="1"/>
  <c r="N25155" i="1"/>
  <c r="A25156" i="1"/>
  <c r="C25156" i="1"/>
  <c r="N25156" i="1"/>
  <c r="A25157" i="1"/>
  <c r="C25157" i="1"/>
  <c r="N25157" i="1"/>
  <c r="A25158" i="1"/>
  <c r="C25158" i="1"/>
  <c r="N25158" i="1"/>
  <c r="A25159" i="1"/>
  <c r="C25159" i="1"/>
  <c r="N25159" i="1"/>
  <c r="A25160" i="1"/>
  <c r="C25160" i="1"/>
  <c r="N25160" i="1"/>
  <c r="A25161" i="1"/>
  <c r="C25161" i="1"/>
  <c r="N25161" i="1"/>
  <c r="A25162" i="1"/>
  <c r="C25162" i="1"/>
  <c r="N25162" i="1"/>
  <c r="A25163" i="1"/>
  <c r="C25163" i="1"/>
  <c r="N25163" i="1"/>
  <c r="A25164" i="1"/>
  <c r="C25164" i="1"/>
  <c r="N25164" i="1"/>
  <c r="A25165" i="1"/>
  <c r="C25165" i="1"/>
  <c r="N25165" i="1"/>
  <c r="A25166" i="1"/>
  <c r="C25166" i="1"/>
  <c r="N25166" i="1"/>
  <c r="A25167" i="1"/>
  <c r="C25167" i="1"/>
  <c r="N25167" i="1"/>
  <c r="A25168" i="1"/>
  <c r="C25168" i="1"/>
  <c r="N25168" i="1"/>
  <c r="A25169" i="1"/>
  <c r="C25169" i="1"/>
  <c r="K25169" i="1"/>
  <c r="N25169" i="1"/>
  <c r="A25170" i="1"/>
  <c r="C25170" i="1"/>
  <c r="N25170" i="1"/>
  <c r="A25171" i="1"/>
  <c r="C25171" i="1"/>
  <c r="N25171" i="1"/>
  <c r="A25172" i="1"/>
  <c r="C25172" i="1"/>
  <c r="N25172" i="1"/>
  <c r="A25173" i="1"/>
  <c r="C25173" i="1"/>
  <c r="N25173" i="1"/>
  <c r="A25174" i="1"/>
  <c r="C25174" i="1"/>
  <c r="K25174" i="1"/>
  <c r="N25174" i="1"/>
  <c r="A25175" i="1"/>
  <c r="C25175" i="1"/>
  <c r="K25175" i="1"/>
  <c r="N25175" i="1"/>
  <c r="A25176" i="1"/>
  <c r="C25176" i="1"/>
  <c r="N25176" i="1"/>
  <c r="A25177" i="1"/>
  <c r="C25177" i="1"/>
  <c r="N25177" i="1"/>
  <c r="A25178" i="1"/>
  <c r="C25178" i="1"/>
  <c r="N25178" i="1"/>
  <c r="A25179" i="1"/>
  <c r="C25179" i="1"/>
  <c r="N25179" i="1"/>
  <c r="A25180" i="1"/>
  <c r="C25180" i="1"/>
  <c r="N25180" i="1"/>
  <c r="A25181" i="1"/>
  <c r="C25181" i="1"/>
  <c r="N25181" i="1"/>
  <c r="A25182" i="1"/>
  <c r="C25182" i="1"/>
  <c r="K25182" i="1"/>
  <c r="N25182" i="1"/>
  <c r="A25183" i="1"/>
  <c r="C25183" i="1"/>
  <c r="N25183" i="1"/>
  <c r="A25184" i="1"/>
  <c r="C25184" i="1"/>
  <c r="K25184" i="1"/>
  <c r="N25184" i="1"/>
  <c r="A25185" i="1"/>
  <c r="C25185" i="1"/>
  <c r="K25185" i="1"/>
  <c r="N25185" i="1"/>
  <c r="A25186" i="1"/>
  <c r="C25186" i="1"/>
  <c r="N25186" i="1"/>
  <c r="A25187" i="1"/>
  <c r="C25187" i="1"/>
  <c r="N25187" i="1"/>
  <c r="A25188" i="1"/>
  <c r="C25188" i="1"/>
  <c r="N25188" i="1"/>
  <c r="A25189" i="1"/>
  <c r="C25189" i="1"/>
  <c r="K25189" i="1"/>
  <c r="N25189" i="1"/>
  <c r="A25190" i="1"/>
  <c r="C25190" i="1"/>
  <c r="N25190" i="1"/>
  <c r="A25191" i="1"/>
  <c r="C25191" i="1"/>
  <c r="N25191" i="1"/>
  <c r="A25192" i="1"/>
  <c r="C25192" i="1"/>
  <c r="N25192" i="1"/>
  <c r="A25193" i="1"/>
  <c r="C25193" i="1"/>
  <c r="K25193" i="1"/>
  <c r="N25193" i="1"/>
  <c r="A25194" i="1"/>
  <c r="C25194" i="1"/>
  <c r="N25194" i="1"/>
  <c r="A25195" i="1"/>
  <c r="C25195" i="1"/>
  <c r="N25195" i="1"/>
  <c r="A25196" i="1"/>
  <c r="C25196" i="1"/>
  <c r="N25196" i="1"/>
  <c r="A25197" i="1"/>
  <c r="C25197" i="1"/>
  <c r="N25197" i="1"/>
  <c r="A25198" i="1"/>
  <c r="C25198" i="1"/>
  <c r="K25198" i="1"/>
  <c r="N25198" i="1"/>
  <c r="A25199" i="1"/>
  <c r="C25199" i="1"/>
  <c r="N25199" i="1"/>
  <c r="A25200" i="1"/>
  <c r="C25200" i="1"/>
  <c r="N25200" i="1"/>
  <c r="A25201" i="1"/>
  <c r="C25201" i="1"/>
  <c r="N25201" i="1"/>
  <c r="A25202" i="1"/>
  <c r="C25202" i="1"/>
  <c r="N25202" i="1"/>
  <c r="A25203" i="1"/>
  <c r="C25203" i="1"/>
  <c r="N25203" i="1"/>
  <c r="A25204" i="1"/>
  <c r="C25204" i="1"/>
  <c r="K25204" i="1"/>
  <c r="N25204" i="1"/>
  <c r="A25205" i="1"/>
  <c r="C25205" i="1"/>
  <c r="K25205" i="1"/>
  <c r="N25205" i="1"/>
  <c r="A25206" i="1"/>
  <c r="C25206" i="1"/>
  <c r="N25206" i="1"/>
  <c r="A25207" i="1"/>
  <c r="C25207" i="1"/>
  <c r="D25207" i="1"/>
  <c r="F25207" i="1"/>
  <c r="K25207" i="1"/>
  <c r="N25207" i="1"/>
  <c r="O25207" i="1"/>
  <c r="A25208" i="1"/>
  <c r="C25208" i="1"/>
  <c r="E25208" i="1"/>
  <c r="N25208" i="1"/>
  <c r="T25208" i="1"/>
  <c r="A25209" i="1"/>
  <c r="C25209" i="1"/>
  <c r="N25209" i="1"/>
  <c r="A25210" i="1"/>
  <c r="C25210" i="1"/>
  <c r="K25210" i="1"/>
  <c r="N25210" i="1"/>
  <c r="A25211" i="1"/>
  <c r="C25211" i="1"/>
  <c r="K25211" i="1"/>
  <c r="N25211" i="1"/>
  <c r="A25212" i="1"/>
  <c r="C25212" i="1"/>
  <c r="N25212" i="1"/>
  <c r="A25213" i="1"/>
  <c r="C25213" i="1"/>
  <c r="N25213" i="1"/>
  <c r="A25214" i="1"/>
  <c r="C25214" i="1"/>
  <c r="N25214" i="1"/>
  <c r="A25215" i="1"/>
  <c r="C25215" i="1"/>
  <c r="K25215" i="1"/>
  <c r="N25215" i="1"/>
  <c r="A25216" i="1"/>
  <c r="C25216" i="1"/>
  <c r="N25216" i="1"/>
  <c r="A25217" i="1"/>
  <c r="C25217" i="1"/>
  <c r="N25217" i="1"/>
  <c r="A25218" i="1"/>
  <c r="C25218" i="1"/>
  <c r="N25218" i="1"/>
  <c r="A25219" i="1"/>
  <c r="C25219" i="1"/>
  <c r="N25219" i="1"/>
  <c r="A25220" i="1"/>
  <c r="C25220" i="1"/>
  <c r="N25220" i="1"/>
  <c r="A25221" i="1"/>
  <c r="C25221" i="1"/>
  <c r="N25221" i="1"/>
  <c r="A25222" i="1"/>
  <c r="C25222" i="1"/>
  <c r="N25222" i="1"/>
  <c r="A25223" i="1"/>
  <c r="C25223" i="1"/>
  <c r="N25223" i="1"/>
  <c r="A25224" i="1"/>
  <c r="C25224" i="1"/>
  <c r="N25224" i="1"/>
  <c r="A25225" i="1"/>
  <c r="C25225" i="1"/>
  <c r="N25225" i="1"/>
  <c r="A25226" i="1"/>
  <c r="C25226" i="1"/>
  <c r="K25226" i="1"/>
  <c r="N25226" i="1"/>
  <c r="A25227" i="1"/>
  <c r="C25227" i="1"/>
  <c r="K25227" i="1"/>
  <c r="N25227" i="1"/>
  <c r="A25228" i="1"/>
  <c r="C25228" i="1"/>
  <c r="N25228" i="1"/>
  <c r="A25229" i="1"/>
  <c r="C25229" i="1"/>
  <c r="E25229" i="1"/>
  <c r="N25229" i="1"/>
  <c r="T25229" i="1"/>
  <c r="A25230" i="1"/>
  <c r="C25230" i="1"/>
  <c r="N25230" i="1"/>
  <c r="A25231" i="1"/>
  <c r="C25231" i="1"/>
  <c r="N25231" i="1"/>
  <c r="A25232" i="1"/>
  <c r="C25232" i="1"/>
  <c r="N25232" i="1"/>
  <c r="A25233" i="1"/>
  <c r="C25233" i="1"/>
  <c r="N25233" i="1"/>
  <c r="A25234" i="1"/>
  <c r="C25234" i="1"/>
  <c r="N25234" i="1"/>
  <c r="A25235" i="1"/>
  <c r="C25235" i="1"/>
  <c r="N25235" i="1"/>
  <c r="A25236" i="1"/>
  <c r="C25236" i="1"/>
  <c r="N25236" i="1"/>
  <c r="A25237" i="1"/>
  <c r="C25237" i="1"/>
  <c r="N25237" i="1"/>
  <c r="A25238" i="1"/>
  <c r="C25238" i="1"/>
  <c r="N25238" i="1"/>
  <c r="A25239" i="1"/>
  <c r="C25239" i="1"/>
  <c r="N25239" i="1"/>
  <c r="A25240" i="1"/>
  <c r="C25240" i="1"/>
  <c r="N25240" i="1"/>
  <c r="A25241" i="1"/>
  <c r="C25241" i="1"/>
  <c r="N25241" i="1"/>
  <c r="A25242" i="1"/>
  <c r="C25242" i="1"/>
  <c r="N25242" i="1"/>
  <c r="A25243" i="1"/>
  <c r="C25243" i="1"/>
  <c r="N25243" i="1"/>
  <c r="A25244" i="1"/>
  <c r="C25244" i="1"/>
  <c r="F25244" i="1"/>
  <c r="N25244" i="1"/>
  <c r="A25245" i="1"/>
  <c r="C25245" i="1"/>
  <c r="N25245" i="1"/>
  <c r="A25246" i="1"/>
  <c r="C25246" i="1"/>
  <c r="N25246" i="1"/>
  <c r="A25247" i="1"/>
  <c r="C25247" i="1"/>
  <c r="N25247" i="1"/>
  <c r="A25248" i="1"/>
  <c r="C25248" i="1"/>
  <c r="N25248" i="1"/>
  <c r="A25249" i="1"/>
  <c r="C25249" i="1"/>
  <c r="N25249" i="1"/>
  <c r="A25250" i="1"/>
  <c r="C25250" i="1"/>
  <c r="N25250" i="1"/>
  <c r="A25251" i="1"/>
  <c r="C25251" i="1"/>
  <c r="N25251" i="1"/>
  <c r="A25252" i="1"/>
  <c r="C25252" i="1"/>
  <c r="N25252" i="1"/>
  <c r="A25253" i="1"/>
  <c r="C25253" i="1"/>
  <c r="N25253" i="1"/>
  <c r="A25254" i="1"/>
  <c r="C25254" i="1"/>
  <c r="N25254" i="1"/>
  <c r="A25255" i="1"/>
  <c r="C25255" i="1"/>
  <c r="N25255" i="1"/>
  <c r="A25256" i="1"/>
  <c r="C25256" i="1"/>
  <c r="N25256" i="1"/>
  <c r="A25257" i="1"/>
  <c r="C25257" i="1"/>
  <c r="K25257" i="1"/>
  <c r="N25257" i="1"/>
  <c r="A25258" i="1"/>
  <c r="C25258" i="1"/>
  <c r="N25258" i="1"/>
  <c r="A25259" i="1"/>
  <c r="C25259" i="1"/>
  <c r="N25259" i="1"/>
  <c r="A25260" i="1"/>
  <c r="C25260" i="1"/>
  <c r="N25260" i="1"/>
  <c r="A25261" i="1"/>
  <c r="C25261" i="1"/>
  <c r="N25261" i="1"/>
  <c r="A25262" i="1"/>
  <c r="C25262" i="1"/>
  <c r="N25262" i="1"/>
  <c r="A25263" i="1"/>
  <c r="C25263" i="1"/>
  <c r="N25263" i="1"/>
  <c r="A25264" i="1"/>
  <c r="C25264" i="1"/>
  <c r="N25264" i="1"/>
  <c r="A25265" i="1"/>
  <c r="C25265" i="1"/>
  <c r="N25265" i="1"/>
  <c r="A25266" i="1"/>
  <c r="C25266" i="1"/>
  <c r="N25266" i="1"/>
  <c r="A25267" i="1"/>
  <c r="C25267" i="1"/>
  <c r="N25267" i="1"/>
  <c r="A25268" i="1"/>
  <c r="C25268" i="1"/>
  <c r="N25268" i="1"/>
  <c r="A25269" i="1"/>
  <c r="C25269" i="1"/>
  <c r="N25269" i="1"/>
  <c r="A25270" i="1"/>
  <c r="C25270" i="1"/>
  <c r="N25270" i="1"/>
  <c r="A25271" i="1"/>
  <c r="C25271" i="1"/>
  <c r="N25271" i="1"/>
  <c r="A25272" i="1"/>
  <c r="C25272" i="1"/>
  <c r="N25272" i="1"/>
  <c r="A25273" i="1"/>
  <c r="C25273" i="1"/>
  <c r="N25273" i="1"/>
  <c r="A25274" i="1"/>
  <c r="C25274" i="1"/>
  <c r="N25274" i="1"/>
  <c r="A25275" i="1"/>
  <c r="C25275" i="1"/>
  <c r="N25275" i="1"/>
  <c r="A25276" i="1"/>
  <c r="C25276" i="1"/>
  <c r="N25276" i="1"/>
  <c r="A25277" i="1"/>
  <c r="C25277" i="1"/>
  <c r="N25277" i="1"/>
  <c r="A25278" i="1"/>
  <c r="C25278" i="1"/>
  <c r="N25278" i="1"/>
  <c r="A25279" i="1"/>
  <c r="C25279" i="1"/>
  <c r="N25279" i="1"/>
  <c r="A25280" i="1"/>
  <c r="C25280" i="1"/>
  <c r="N25280" i="1"/>
  <c r="A25281" i="1"/>
  <c r="C25281" i="1"/>
  <c r="N25281" i="1"/>
  <c r="A25282" i="1"/>
  <c r="C25282" i="1"/>
  <c r="N25282" i="1"/>
  <c r="A25283" i="1"/>
  <c r="C25283" i="1"/>
  <c r="K25283" i="1"/>
  <c r="N25283" i="1"/>
  <c r="A25284" i="1"/>
  <c r="C25284" i="1"/>
  <c r="N25284" i="1"/>
  <c r="A25285" i="1"/>
  <c r="C25285" i="1"/>
  <c r="N25285" i="1"/>
  <c r="A25286" i="1"/>
  <c r="C25286" i="1"/>
  <c r="N25286" i="1"/>
  <c r="A25287" i="1"/>
  <c r="C25287" i="1"/>
  <c r="N25287" i="1"/>
  <c r="A25288" i="1"/>
  <c r="C25288" i="1"/>
  <c r="N25288" i="1"/>
  <c r="A25289" i="1"/>
  <c r="C25289" i="1"/>
  <c r="N25289" i="1"/>
  <c r="A25290" i="1"/>
  <c r="C25290" i="1"/>
  <c r="N25290" i="1"/>
  <c r="A25291" i="1"/>
  <c r="C25291" i="1"/>
  <c r="N25291" i="1"/>
  <c r="A25292" i="1"/>
  <c r="C25292" i="1"/>
  <c r="N25292" i="1"/>
  <c r="A25293" i="1"/>
  <c r="C25293" i="1"/>
  <c r="N25293" i="1"/>
  <c r="A25294" i="1"/>
  <c r="C25294" i="1"/>
  <c r="K25294" i="1"/>
  <c r="N25294" i="1"/>
  <c r="A25295" i="1"/>
  <c r="C25295" i="1"/>
  <c r="N25295" i="1"/>
  <c r="A25296" i="1"/>
  <c r="C25296" i="1"/>
  <c r="N25296" i="1"/>
  <c r="A25297" i="1"/>
  <c r="C25297" i="1"/>
  <c r="N25297" i="1"/>
  <c r="A25298" i="1"/>
  <c r="C25298" i="1"/>
  <c r="N25298" i="1"/>
  <c r="A25299" i="1"/>
  <c r="C25299" i="1"/>
  <c r="N25299" i="1"/>
  <c r="A25300" i="1"/>
  <c r="C25300" i="1"/>
  <c r="N25300" i="1"/>
  <c r="A25301" i="1"/>
  <c r="C25301" i="1"/>
  <c r="N25301" i="1"/>
  <c r="A25302" i="1"/>
  <c r="C25302" i="1"/>
  <c r="N25302" i="1"/>
  <c r="A25303" i="1"/>
  <c r="C25303" i="1"/>
  <c r="K25303" i="1"/>
  <c r="N25303" i="1"/>
  <c r="A25304" i="1"/>
  <c r="C25304" i="1"/>
  <c r="N25304" i="1"/>
  <c r="A25305" i="1"/>
  <c r="C25305" i="1"/>
  <c r="K25305" i="1"/>
  <c r="N25305" i="1"/>
  <c r="A25306" i="1"/>
  <c r="C25306" i="1"/>
  <c r="K25306" i="1"/>
  <c r="N25306" i="1"/>
  <c r="A25307" i="1"/>
  <c r="C25307" i="1"/>
  <c r="N25307" i="1"/>
  <c r="A25308" i="1"/>
  <c r="C25308" i="1"/>
  <c r="N25308" i="1"/>
  <c r="A25309" i="1"/>
  <c r="C25309" i="1"/>
  <c r="N25309" i="1"/>
  <c r="A25310" i="1"/>
  <c r="C25310" i="1"/>
  <c r="N25310" i="1"/>
  <c r="A25311" i="1"/>
  <c r="C25311" i="1"/>
  <c r="N25311" i="1"/>
  <c r="A25312" i="1"/>
  <c r="C25312" i="1"/>
  <c r="N25312" i="1"/>
  <c r="A25313" i="1"/>
  <c r="C25313" i="1"/>
  <c r="N25313" i="1"/>
  <c r="A25314" i="1"/>
  <c r="C25314" i="1"/>
  <c r="N25314" i="1"/>
  <c r="A25315" i="1"/>
  <c r="C25315" i="1"/>
  <c r="N25315" i="1"/>
  <c r="A25316" i="1"/>
  <c r="C25316" i="1"/>
  <c r="N25316" i="1"/>
  <c r="A25317" i="1"/>
  <c r="C25317" i="1"/>
  <c r="N25317" i="1"/>
  <c r="A25318" i="1"/>
  <c r="C25318" i="1"/>
  <c r="N25318" i="1"/>
  <c r="A25319" i="1"/>
  <c r="C25319" i="1"/>
  <c r="K25319" i="1"/>
  <c r="N25319" i="1"/>
  <c r="A25320" i="1"/>
  <c r="C25320" i="1"/>
  <c r="N25320" i="1"/>
  <c r="A25321" i="1"/>
  <c r="C25321" i="1"/>
  <c r="N25321" i="1"/>
  <c r="A25322" i="1"/>
  <c r="C25322" i="1"/>
  <c r="N25322" i="1"/>
  <c r="A25323" i="1"/>
  <c r="C25323" i="1"/>
  <c r="N25323" i="1"/>
  <c r="A25324" i="1"/>
  <c r="C25324" i="1"/>
  <c r="N25324" i="1"/>
  <c r="A25325" i="1"/>
  <c r="C25325" i="1"/>
  <c r="N25325" i="1"/>
  <c r="A25326" i="1"/>
  <c r="C25326" i="1"/>
  <c r="N25326" i="1"/>
  <c r="A25327" i="1"/>
  <c r="C25327" i="1"/>
  <c r="N25327" i="1"/>
  <c r="A25328" i="1"/>
  <c r="C25328" i="1"/>
  <c r="N25328" i="1"/>
  <c r="A25329" i="1"/>
  <c r="C25329" i="1"/>
  <c r="N25329" i="1"/>
  <c r="A25330" i="1"/>
  <c r="C25330" i="1"/>
  <c r="N25330" i="1"/>
  <c r="A25331" i="1"/>
  <c r="C25331" i="1"/>
  <c r="N25331" i="1"/>
  <c r="A25332" i="1"/>
  <c r="C25332" i="1"/>
  <c r="N25332" i="1"/>
  <c r="A25333" i="1"/>
  <c r="C25333" i="1"/>
  <c r="N25333" i="1"/>
  <c r="A25334" i="1"/>
  <c r="C25334" i="1"/>
  <c r="N25334" i="1"/>
  <c r="A25335" i="1"/>
  <c r="C25335" i="1"/>
  <c r="N25335" i="1"/>
  <c r="A25336" i="1"/>
  <c r="C25336" i="1"/>
  <c r="N25336" i="1"/>
  <c r="A25337" i="1"/>
  <c r="C25337" i="1"/>
  <c r="N25337" i="1"/>
  <c r="A25338" i="1"/>
  <c r="C25338" i="1"/>
  <c r="N25338" i="1"/>
  <c r="A25339" i="1"/>
  <c r="C25339" i="1"/>
  <c r="N25339" i="1"/>
  <c r="A25340" i="1"/>
  <c r="C25340" i="1"/>
  <c r="N25340" i="1"/>
  <c r="A25341" i="1"/>
  <c r="C25341" i="1"/>
  <c r="N25341" i="1"/>
  <c r="A25342" i="1"/>
  <c r="C25342" i="1"/>
  <c r="N25342" i="1"/>
  <c r="A25343" i="1"/>
  <c r="C25343" i="1"/>
  <c r="K25343" i="1"/>
  <c r="N25343" i="1"/>
  <c r="A25344" i="1"/>
  <c r="C25344" i="1"/>
  <c r="N25344" i="1"/>
  <c r="A25345" i="1"/>
  <c r="C25345" i="1"/>
  <c r="N25345" i="1"/>
  <c r="A25346" i="1"/>
  <c r="C25346" i="1"/>
  <c r="N25346" i="1"/>
  <c r="A25347" i="1"/>
  <c r="C25347" i="1"/>
  <c r="N25347" i="1"/>
  <c r="A25348" i="1"/>
  <c r="C25348" i="1"/>
  <c r="N25348" i="1"/>
  <c r="A25349" i="1"/>
  <c r="C25349" i="1"/>
  <c r="K25349" i="1"/>
  <c r="N25349" i="1"/>
  <c r="A25350" i="1"/>
  <c r="C25350" i="1"/>
  <c r="N25350" i="1"/>
  <c r="A25351" i="1"/>
  <c r="C25351" i="1"/>
  <c r="N25351" i="1"/>
  <c r="A25352" i="1"/>
  <c r="C25352" i="1"/>
  <c r="N25352" i="1"/>
  <c r="A25353" i="1"/>
  <c r="C25353" i="1"/>
  <c r="N25353" i="1"/>
  <c r="A25354" i="1"/>
  <c r="C25354" i="1"/>
  <c r="K25354" i="1"/>
  <c r="N25354" i="1"/>
  <c r="A25355" i="1"/>
  <c r="C25355" i="1"/>
  <c r="K25355" i="1"/>
  <c r="N25355" i="1"/>
  <c r="A25356" i="1"/>
  <c r="C25356" i="1"/>
  <c r="F25356" i="1"/>
  <c r="N25356" i="1"/>
  <c r="A25357" i="1"/>
  <c r="C25357" i="1"/>
  <c r="N25357" i="1"/>
  <c r="A25358" i="1"/>
  <c r="C25358" i="1"/>
  <c r="N25358" i="1"/>
  <c r="A25359" i="1"/>
  <c r="C25359" i="1"/>
  <c r="K25359" i="1"/>
  <c r="N25359" i="1"/>
  <c r="A25360" i="1"/>
  <c r="C25360" i="1"/>
  <c r="N25360" i="1"/>
  <c r="A25361" i="1"/>
  <c r="C25361" i="1"/>
  <c r="N25361" i="1"/>
  <c r="A25362" i="1"/>
  <c r="C25362" i="1"/>
  <c r="N25362" i="1"/>
  <c r="A25363" i="1"/>
  <c r="C25363" i="1"/>
  <c r="N25363" i="1"/>
  <c r="A25364" i="1"/>
  <c r="C25364" i="1"/>
  <c r="K25364" i="1"/>
  <c r="N25364" i="1"/>
  <c r="A25365" i="1"/>
  <c r="C25365" i="1"/>
  <c r="K25365" i="1"/>
  <c r="N25365" i="1"/>
  <c r="A25366" i="1"/>
  <c r="C25366" i="1"/>
  <c r="N25366" i="1"/>
  <c r="A25367" i="1"/>
  <c r="C25367" i="1"/>
  <c r="N25367" i="1"/>
  <c r="A25368" i="1"/>
  <c r="C25368" i="1"/>
  <c r="N25368" i="1"/>
  <c r="A25369" i="1"/>
  <c r="C25369" i="1"/>
  <c r="N25369" i="1"/>
  <c r="A25370" i="1"/>
  <c r="C25370" i="1"/>
  <c r="E25370" i="1"/>
  <c r="K25370" i="1"/>
  <c r="N25370" i="1"/>
  <c r="T25370" i="1"/>
  <c r="A25371" i="1"/>
  <c r="C25371" i="1"/>
  <c r="N25371" i="1"/>
  <c r="A25372" i="1"/>
  <c r="C25372" i="1"/>
  <c r="N25372" i="1"/>
  <c r="A25373" i="1"/>
  <c r="C25373" i="1"/>
  <c r="K25373" i="1"/>
  <c r="N25373" i="1"/>
  <c r="A25374" i="1"/>
  <c r="C25374" i="1"/>
  <c r="N25374" i="1"/>
  <c r="A25375" i="1"/>
  <c r="C25375" i="1"/>
  <c r="N25375" i="1"/>
  <c r="A25376" i="1"/>
  <c r="C25376" i="1"/>
  <c r="N25376" i="1"/>
  <c r="A25377" i="1"/>
  <c r="C25377" i="1"/>
  <c r="N25377" i="1"/>
  <c r="A25378" i="1"/>
  <c r="C25378" i="1"/>
  <c r="N25378" i="1"/>
  <c r="A25379" i="1"/>
  <c r="C25379" i="1"/>
  <c r="N25379" i="1"/>
  <c r="A25380" i="1"/>
  <c r="C25380" i="1"/>
  <c r="N25380" i="1"/>
  <c r="A25381" i="1"/>
  <c r="C25381" i="1"/>
  <c r="N25381" i="1"/>
  <c r="A25382" i="1"/>
  <c r="C25382" i="1"/>
  <c r="K25382" i="1"/>
  <c r="N25382" i="1"/>
  <c r="A25383" i="1"/>
  <c r="C25383" i="1"/>
  <c r="N25383" i="1"/>
  <c r="A25384" i="1"/>
  <c r="C25384" i="1"/>
  <c r="N25384" i="1"/>
  <c r="A25385" i="1"/>
  <c r="C25385" i="1"/>
  <c r="N25385" i="1"/>
  <c r="A25386" i="1"/>
  <c r="C25386" i="1"/>
  <c r="K25386" i="1"/>
  <c r="N25386" i="1"/>
  <c r="A25387" i="1"/>
  <c r="C25387" i="1"/>
  <c r="N25387" i="1"/>
  <c r="A25388" i="1"/>
  <c r="C25388" i="1"/>
  <c r="N25388" i="1"/>
  <c r="A25389" i="1"/>
  <c r="C25389" i="1"/>
  <c r="N25389" i="1"/>
  <c r="A25390" i="1"/>
  <c r="C25390" i="1"/>
  <c r="N25390" i="1"/>
  <c r="A25391" i="1"/>
  <c r="C25391" i="1"/>
  <c r="N25391" i="1"/>
  <c r="A25392" i="1"/>
  <c r="C25392" i="1"/>
  <c r="K25392" i="1"/>
  <c r="N25392" i="1"/>
  <c r="A25393" i="1"/>
  <c r="C25393" i="1"/>
  <c r="N25393" i="1"/>
  <c r="A25394" i="1"/>
  <c r="C25394" i="1"/>
  <c r="N25394" i="1"/>
  <c r="A25395" i="1"/>
  <c r="C25395" i="1"/>
  <c r="N25395" i="1"/>
  <c r="A25396" i="1"/>
  <c r="C25396" i="1"/>
  <c r="N25396" i="1"/>
  <c r="A25397" i="1"/>
  <c r="C25397" i="1"/>
  <c r="N25397" i="1"/>
  <c r="A25398" i="1"/>
  <c r="C25398" i="1"/>
  <c r="K25398" i="1"/>
  <c r="N25398" i="1"/>
  <c r="A25399" i="1"/>
  <c r="C25399" i="1"/>
  <c r="N25399" i="1"/>
  <c r="A25400" i="1"/>
  <c r="C25400" i="1"/>
  <c r="N25400" i="1"/>
  <c r="A25401" i="1"/>
  <c r="C25401" i="1"/>
  <c r="N25401" i="1"/>
  <c r="A25402" i="1"/>
  <c r="C25402" i="1"/>
  <c r="N25402" i="1"/>
  <c r="A25403" i="1"/>
  <c r="C25403" i="1"/>
  <c r="N25403" i="1"/>
  <c r="A25404" i="1"/>
  <c r="C25404" i="1"/>
  <c r="N25404" i="1"/>
  <c r="A25405" i="1"/>
  <c r="C25405" i="1"/>
  <c r="N25405" i="1"/>
  <c r="A25406" i="1"/>
  <c r="C25406" i="1"/>
  <c r="N25406" i="1"/>
  <c r="A25407" i="1"/>
  <c r="C25407" i="1"/>
  <c r="N25407" i="1"/>
  <c r="A25408" i="1"/>
  <c r="C25408" i="1"/>
  <c r="K25408" i="1"/>
  <c r="N25408" i="1"/>
  <c r="A25409" i="1"/>
  <c r="C25409" i="1"/>
  <c r="K25409" i="1"/>
  <c r="N25409" i="1"/>
  <c r="A25410" i="1"/>
  <c r="C25410" i="1"/>
  <c r="N25410" i="1"/>
  <c r="A25411" i="1"/>
  <c r="C25411" i="1"/>
  <c r="N25411" i="1"/>
  <c r="A25412" i="1"/>
  <c r="C25412" i="1"/>
  <c r="N25412" i="1"/>
  <c r="A25413" i="1"/>
  <c r="C25413" i="1"/>
  <c r="N25413" i="1"/>
  <c r="A25414" i="1"/>
  <c r="C25414" i="1"/>
  <c r="N25414" i="1"/>
  <c r="A25415" i="1"/>
  <c r="C25415" i="1"/>
  <c r="E25415" i="1"/>
  <c r="N25415" i="1"/>
  <c r="T25415" i="1"/>
  <c r="A25416" i="1"/>
  <c r="C25416" i="1"/>
  <c r="N25416" i="1"/>
  <c r="A25417" i="1"/>
  <c r="C25417" i="1"/>
  <c r="N25417" i="1"/>
  <c r="A25418" i="1"/>
  <c r="C25418" i="1"/>
  <c r="N25418" i="1"/>
  <c r="A25419" i="1"/>
  <c r="C25419" i="1"/>
  <c r="N25419" i="1"/>
  <c r="A25420" i="1"/>
  <c r="C25420" i="1"/>
  <c r="F25420" i="1"/>
  <c r="N25420" i="1"/>
  <c r="A25421" i="1"/>
  <c r="C25421" i="1"/>
  <c r="N25421" i="1"/>
  <c r="A25422" i="1"/>
  <c r="C25422" i="1"/>
  <c r="N25422" i="1"/>
  <c r="A25423" i="1"/>
  <c r="C25423" i="1"/>
  <c r="N25423" i="1"/>
  <c r="A25424" i="1"/>
  <c r="C25424" i="1"/>
  <c r="N25424" i="1"/>
  <c r="A25425" i="1"/>
  <c r="C25425" i="1"/>
  <c r="N25425" i="1"/>
  <c r="A25426" i="1"/>
  <c r="C25426" i="1"/>
  <c r="N25426" i="1"/>
  <c r="A25427" i="1"/>
  <c r="C25427" i="1"/>
  <c r="N25427" i="1"/>
  <c r="A25428" i="1"/>
  <c r="C25428" i="1"/>
  <c r="K25428" i="1"/>
  <c r="N25428" i="1"/>
  <c r="A25429" i="1"/>
  <c r="C25429" i="1"/>
  <c r="K25429" i="1"/>
  <c r="N25429" i="1"/>
  <c r="A25430" i="1"/>
  <c r="C25430" i="1"/>
  <c r="N25430" i="1"/>
  <c r="A25431" i="1"/>
  <c r="C25431" i="1"/>
  <c r="N25431" i="1"/>
  <c r="A25432" i="1"/>
  <c r="C25432" i="1"/>
  <c r="N25432" i="1"/>
  <c r="A25433" i="1"/>
  <c r="C25433" i="1"/>
  <c r="N25433" i="1"/>
  <c r="A25434" i="1"/>
  <c r="C25434" i="1"/>
  <c r="N25434" i="1"/>
  <c r="A25435" i="1"/>
  <c r="C25435" i="1"/>
  <c r="N25435" i="1"/>
  <c r="A25436" i="1"/>
  <c r="C25436" i="1"/>
  <c r="N25436" i="1"/>
  <c r="A25437" i="1"/>
  <c r="C25437" i="1"/>
  <c r="N25437" i="1"/>
  <c r="A25438" i="1"/>
  <c r="C25438" i="1"/>
  <c r="N25438" i="1"/>
  <c r="A25439" i="1"/>
  <c r="C25439" i="1"/>
  <c r="N25439" i="1"/>
  <c r="A25440" i="1"/>
  <c r="C25440" i="1"/>
  <c r="K25440" i="1"/>
  <c r="N25440" i="1"/>
  <c r="A25441" i="1"/>
  <c r="C25441" i="1"/>
  <c r="N25441" i="1"/>
  <c r="A25442" i="1"/>
  <c r="C25442" i="1"/>
  <c r="N25442" i="1"/>
  <c r="A25443" i="1"/>
  <c r="C25443" i="1"/>
  <c r="N25443" i="1"/>
  <c r="A25444" i="1"/>
  <c r="C25444" i="1"/>
  <c r="N25444" i="1"/>
  <c r="A25445" i="1"/>
  <c r="C25445" i="1"/>
  <c r="N25445" i="1"/>
  <c r="A25446" i="1"/>
  <c r="C25446" i="1"/>
  <c r="N25446" i="1"/>
  <c r="A25447" i="1"/>
  <c r="C25447" i="1"/>
  <c r="N25447" i="1"/>
  <c r="A25448" i="1"/>
  <c r="C25448" i="1"/>
  <c r="K25448" i="1"/>
  <c r="N25448" i="1"/>
  <c r="A25449" i="1"/>
  <c r="C25449" i="1"/>
  <c r="N25449" i="1"/>
  <c r="A25450" i="1"/>
  <c r="C25450" i="1"/>
  <c r="N25450" i="1"/>
  <c r="A25451" i="1"/>
  <c r="C25451" i="1"/>
  <c r="N25451" i="1"/>
  <c r="A25452" i="1"/>
  <c r="C25452" i="1"/>
  <c r="N25452" i="1"/>
  <c r="A25453" i="1"/>
  <c r="C25453" i="1"/>
  <c r="E25453" i="1"/>
  <c r="N25453" i="1"/>
  <c r="T25453" i="1"/>
  <c r="A25454" i="1"/>
  <c r="C25454" i="1"/>
  <c r="N25454" i="1"/>
  <c r="A25455" i="1"/>
  <c r="C25455" i="1"/>
  <c r="N25455" i="1"/>
  <c r="A25456" i="1"/>
  <c r="C25456" i="1"/>
  <c r="N25456" i="1"/>
  <c r="A25457" i="1"/>
  <c r="C25457" i="1"/>
  <c r="N25457" i="1"/>
  <c r="A25458" i="1"/>
  <c r="C25458" i="1"/>
  <c r="N25458" i="1"/>
  <c r="A25459" i="1"/>
  <c r="C25459" i="1"/>
  <c r="N25459" i="1"/>
  <c r="A25460" i="1"/>
  <c r="C25460" i="1"/>
  <c r="N25460" i="1"/>
  <c r="A25461" i="1"/>
  <c r="C25461" i="1"/>
  <c r="N25461" i="1"/>
  <c r="A25462" i="1"/>
  <c r="C25462" i="1"/>
  <c r="K25462" i="1"/>
  <c r="N25462" i="1"/>
  <c r="A25463" i="1"/>
  <c r="C25463" i="1"/>
  <c r="N25463" i="1"/>
  <c r="A25464" i="1"/>
  <c r="C25464" i="1"/>
  <c r="N25464" i="1"/>
  <c r="A25465" i="1"/>
  <c r="C25465" i="1"/>
  <c r="N25465" i="1"/>
  <c r="A25466" i="1"/>
  <c r="C25466" i="1"/>
  <c r="N25466" i="1"/>
  <c r="A25467" i="1"/>
  <c r="C25467" i="1"/>
  <c r="N25467" i="1"/>
  <c r="A25468" i="1"/>
  <c r="C25468" i="1"/>
  <c r="N25468" i="1"/>
  <c r="A25469" i="1"/>
  <c r="C25469" i="1"/>
  <c r="N25469" i="1"/>
  <c r="A25470" i="1"/>
  <c r="C25470" i="1"/>
  <c r="K25470" i="1"/>
  <c r="N25470" i="1"/>
  <c r="A25471" i="1"/>
  <c r="C25471" i="1"/>
  <c r="N25471" i="1"/>
  <c r="A25472" i="1"/>
  <c r="C25472" i="1"/>
  <c r="N25472" i="1"/>
  <c r="A25473" i="1"/>
  <c r="C25473" i="1"/>
  <c r="N25473" i="1"/>
  <c r="A25474" i="1"/>
  <c r="C25474" i="1"/>
  <c r="N25474" i="1"/>
  <c r="A25475" i="1"/>
  <c r="C25475" i="1"/>
  <c r="N25475" i="1"/>
  <c r="A25476" i="1"/>
  <c r="C25476" i="1"/>
  <c r="N25476" i="1"/>
  <c r="A25477" i="1"/>
  <c r="C25477" i="1"/>
  <c r="N25477" i="1"/>
  <c r="A25478" i="1"/>
  <c r="C25478" i="1"/>
  <c r="K25478" i="1"/>
  <c r="N25478" i="1"/>
  <c r="A25479" i="1"/>
  <c r="C25479" i="1"/>
  <c r="N25479" i="1"/>
  <c r="A25480" i="1"/>
  <c r="C25480" i="1"/>
  <c r="N25480" i="1"/>
  <c r="A25481" i="1"/>
  <c r="C25481" i="1"/>
  <c r="N25481" i="1"/>
  <c r="A25482" i="1"/>
  <c r="C25482" i="1"/>
  <c r="N25482" i="1"/>
  <c r="A25483" i="1"/>
  <c r="C25483" i="1"/>
  <c r="N25483" i="1"/>
  <c r="A25484" i="1"/>
  <c r="C25484" i="1"/>
  <c r="N25484" i="1"/>
  <c r="A25485" i="1"/>
  <c r="C25485" i="1"/>
  <c r="N25485" i="1"/>
  <c r="A25486" i="1"/>
  <c r="C25486" i="1"/>
  <c r="N25486" i="1"/>
  <c r="A25487" i="1"/>
  <c r="C25487" i="1"/>
  <c r="N25487" i="1"/>
  <c r="A25488" i="1"/>
  <c r="C25488" i="1"/>
  <c r="N25488" i="1"/>
  <c r="A25489" i="1"/>
  <c r="C25489" i="1"/>
  <c r="N25489" i="1"/>
  <c r="A25490" i="1"/>
  <c r="C25490" i="1"/>
  <c r="N25490" i="1"/>
  <c r="A25491" i="1"/>
  <c r="C25491" i="1"/>
  <c r="N25491" i="1"/>
  <c r="A25492" i="1"/>
  <c r="C25492" i="1"/>
  <c r="N25492" i="1"/>
  <c r="A25493" i="1"/>
  <c r="C25493" i="1"/>
  <c r="N25493" i="1"/>
  <c r="A25494" i="1"/>
  <c r="C25494" i="1"/>
  <c r="N25494" i="1"/>
  <c r="A25495" i="1"/>
  <c r="C25495" i="1"/>
  <c r="N25495" i="1"/>
  <c r="A25496" i="1"/>
  <c r="C25496" i="1"/>
  <c r="N25496" i="1"/>
  <c r="A25497" i="1"/>
  <c r="C25497" i="1"/>
  <c r="N25497" i="1"/>
  <c r="A25498" i="1"/>
  <c r="C25498" i="1"/>
  <c r="N25498" i="1"/>
  <c r="A25499" i="1"/>
  <c r="C25499" i="1"/>
  <c r="N25499" i="1"/>
  <c r="A25500" i="1"/>
  <c r="C25500" i="1"/>
  <c r="N25500" i="1"/>
  <c r="A25501" i="1"/>
  <c r="C25501" i="1"/>
  <c r="N25501" i="1"/>
  <c r="A25502" i="1"/>
  <c r="C25502" i="1"/>
  <c r="N25502" i="1"/>
  <c r="A25503" i="1"/>
  <c r="C25503" i="1"/>
  <c r="N25503" i="1"/>
  <c r="A25504" i="1"/>
  <c r="C25504" i="1"/>
  <c r="N25504" i="1"/>
  <c r="A25505" i="1"/>
  <c r="C25505" i="1"/>
  <c r="N25505" i="1"/>
  <c r="A25506" i="1"/>
  <c r="C25506" i="1"/>
  <c r="N25506" i="1"/>
  <c r="A25507" i="1"/>
  <c r="C25507" i="1"/>
  <c r="N25507" i="1"/>
  <c r="A25508" i="1"/>
  <c r="C25508" i="1"/>
  <c r="N25508" i="1"/>
  <c r="A25509" i="1"/>
  <c r="C25509" i="1"/>
  <c r="N25509" i="1"/>
  <c r="A25510" i="1"/>
  <c r="C25510" i="1"/>
  <c r="N25510" i="1"/>
  <c r="A25511" i="1"/>
  <c r="C25511" i="1"/>
  <c r="N25511" i="1"/>
  <c r="A25512" i="1"/>
  <c r="C25512" i="1"/>
  <c r="N25512" i="1"/>
  <c r="A25513" i="1"/>
  <c r="C25513" i="1"/>
  <c r="N25513" i="1"/>
  <c r="A25514" i="1"/>
  <c r="C25514" i="1"/>
  <c r="N25514" i="1"/>
  <c r="A25515" i="1"/>
  <c r="C25515" i="1"/>
  <c r="N25515" i="1"/>
  <c r="A25516" i="1"/>
  <c r="C25516" i="1"/>
  <c r="N25516" i="1"/>
  <c r="A25517" i="1"/>
  <c r="C25517" i="1"/>
  <c r="N25517" i="1"/>
  <c r="A25518" i="1"/>
  <c r="C25518" i="1"/>
  <c r="N25518" i="1"/>
  <c r="A25519" i="1"/>
  <c r="C25519" i="1"/>
  <c r="N25519" i="1"/>
  <c r="A25520" i="1"/>
  <c r="C25520" i="1"/>
  <c r="N25520" i="1"/>
  <c r="A25521" i="1"/>
  <c r="C25521" i="1"/>
  <c r="N25521" i="1"/>
  <c r="A25522" i="1"/>
  <c r="C25522" i="1"/>
  <c r="N25522" i="1"/>
  <c r="A25523" i="1"/>
  <c r="C25523" i="1"/>
  <c r="N25523" i="1"/>
  <c r="A25524" i="1"/>
  <c r="C25524" i="1"/>
  <c r="N25524" i="1"/>
  <c r="A25525" i="1"/>
  <c r="C25525" i="1"/>
  <c r="N25525" i="1"/>
  <c r="A25526" i="1"/>
  <c r="C25526" i="1"/>
  <c r="N25526" i="1"/>
  <c r="A25527" i="1"/>
  <c r="C25527" i="1"/>
  <c r="N25527" i="1"/>
  <c r="A25528" i="1"/>
  <c r="C25528" i="1"/>
  <c r="N25528" i="1"/>
  <c r="A25529" i="1"/>
  <c r="C25529" i="1"/>
  <c r="N25529" i="1"/>
  <c r="A25530" i="1"/>
  <c r="C25530" i="1"/>
  <c r="N25530" i="1"/>
  <c r="A25531" i="1"/>
  <c r="C25531" i="1"/>
  <c r="N25531" i="1"/>
  <c r="A25532" i="1"/>
  <c r="C25532" i="1"/>
  <c r="N25532" i="1"/>
  <c r="A25533" i="1"/>
  <c r="C25533" i="1"/>
  <c r="N25533" i="1"/>
  <c r="A25534" i="1"/>
  <c r="C25534" i="1"/>
  <c r="N25534" i="1"/>
  <c r="A25535" i="1"/>
  <c r="C25535" i="1"/>
  <c r="N25535" i="1"/>
  <c r="A25536" i="1"/>
  <c r="C25536" i="1"/>
  <c r="N25536" i="1"/>
  <c r="A25537" i="1"/>
  <c r="C25537" i="1"/>
  <c r="N25537" i="1"/>
  <c r="A25538" i="1"/>
  <c r="C25538" i="1"/>
  <c r="N25538" i="1"/>
  <c r="A25539" i="1"/>
  <c r="C25539" i="1"/>
  <c r="N25539" i="1"/>
  <c r="A25540" i="1"/>
  <c r="C25540" i="1"/>
  <c r="N25540" i="1"/>
  <c r="A25541" i="1"/>
  <c r="C25541" i="1"/>
  <c r="N25541" i="1"/>
  <c r="A25542" i="1"/>
  <c r="C25542" i="1"/>
  <c r="N25542" i="1"/>
  <c r="A25543" i="1"/>
  <c r="C25543" i="1"/>
  <c r="N25543" i="1"/>
  <c r="A25544" i="1"/>
  <c r="C25544" i="1"/>
  <c r="N25544" i="1"/>
  <c r="A25545" i="1"/>
  <c r="C25545" i="1"/>
  <c r="N25545" i="1"/>
  <c r="A25546" i="1"/>
  <c r="C25546" i="1"/>
  <c r="N25546" i="1"/>
  <c r="A25547" i="1"/>
  <c r="C25547" i="1"/>
  <c r="N25547" i="1"/>
  <c r="A25548" i="1"/>
  <c r="C25548" i="1"/>
  <c r="N25548" i="1"/>
  <c r="A25549" i="1"/>
  <c r="C25549" i="1"/>
  <c r="N25549" i="1"/>
  <c r="A25550" i="1"/>
  <c r="C25550" i="1"/>
  <c r="N25550" i="1"/>
  <c r="A25551" i="1"/>
  <c r="C25551" i="1"/>
  <c r="N25551" i="1"/>
  <c r="A25552" i="1"/>
  <c r="C25552" i="1"/>
  <c r="N25552" i="1"/>
  <c r="A25553" i="1"/>
  <c r="C25553" i="1"/>
  <c r="N25553" i="1"/>
  <c r="A25554" i="1"/>
  <c r="C25554" i="1"/>
  <c r="N25554" i="1"/>
  <c r="A25555" i="1"/>
  <c r="C25555" i="1"/>
  <c r="N25555" i="1"/>
  <c r="A25556" i="1"/>
  <c r="C25556" i="1"/>
  <c r="N25556" i="1"/>
  <c r="A25557" i="1"/>
  <c r="C25557" i="1"/>
  <c r="N25557" i="1"/>
  <c r="A25558" i="1"/>
  <c r="C25558" i="1"/>
  <c r="K25558" i="1"/>
  <c r="N25558" i="1"/>
  <c r="A25559" i="1"/>
  <c r="C25559" i="1"/>
  <c r="K25559" i="1"/>
  <c r="N25559" i="1"/>
  <c r="A25560" i="1"/>
  <c r="C25560" i="1"/>
  <c r="N25560" i="1"/>
  <c r="A25561" i="1"/>
  <c r="C25561" i="1"/>
  <c r="K25561" i="1"/>
  <c r="N25561" i="1"/>
  <c r="A25562" i="1"/>
  <c r="C25562" i="1"/>
  <c r="K25562" i="1"/>
  <c r="N25562" i="1"/>
  <c r="A25563" i="1"/>
  <c r="C25563" i="1"/>
  <c r="K25563" i="1"/>
  <c r="N25563" i="1"/>
  <c r="A25564" i="1"/>
  <c r="C25564" i="1"/>
  <c r="N25564" i="1"/>
  <c r="A25565" i="1"/>
  <c r="C25565" i="1"/>
  <c r="N25565" i="1"/>
  <c r="A25566" i="1"/>
  <c r="C25566" i="1"/>
  <c r="N25566" i="1"/>
  <c r="A25567" i="1"/>
  <c r="C25567" i="1"/>
  <c r="N25567" i="1"/>
  <c r="A25568" i="1"/>
  <c r="C25568" i="1"/>
  <c r="N25568" i="1"/>
  <c r="A25569" i="1"/>
  <c r="C25569" i="1"/>
  <c r="N25569" i="1"/>
  <c r="A25570" i="1"/>
  <c r="C25570" i="1"/>
  <c r="N25570" i="1"/>
  <c r="A25571" i="1"/>
  <c r="C25571" i="1"/>
  <c r="N25571" i="1"/>
  <c r="A25572" i="1"/>
  <c r="C25572" i="1"/>
  <c r="N25572" i="1"/>
  <c r="A25573" i="1"/>
  <c r="C25573" i="1"/>
  <c r="N25573" i="1"/>
  <c r="A25574" i="1"/>
  <c r="C25574" i="1"/>
  <c r="N25574" i="1"/>
  <c r="A25575" i="1"/>
  <c r="C25575" i="1"/>
  <c r="N25575" i="1"/>
  <c r="A25576" i="1"/>
  <c r="C25576" i="1"/>
  <c r="N25576" i="1"/>
  <c r="A25577" i="1"/>
  <c r="C25577" i="1"/>
  <c r="N25577" i="1"/>
  <c r="A25578" i="1"/>
  <c r="C25578" i="1"/>
  <c r="N25578" i="1"/>
  <c r="A25579" i="1"/>
  <c r="C25579" i="1"/>
  <c r="N25579" i="1"/>
  <c r="A25580" i="1"/>
  <c r="C25580" i="1"/>
  <c r="N25580" i="1"/>
  <c r="A25581" i="1"/>
  <c r="C25581" i="1"/>
  <c r="N25581" i="1"/>
  <c r="A25582" i="1"/>
  <c r="C25582" i="1"/>
  <c r="N25582" i="1"/>
  <c r="A25583" i="1"/>
  <c r="C25583" i="1"/>
  <c r="N25583" i="1"/>
  <c r="A25584" i="1"/>
  <c r="C25584" i="1"/>
  <c r="N25584" i="1"/>
  <c r="A25585" i="1"/>
  <c r="C25585" i="1"/>
  <c r="N25585" i="1"/>
  <c r="A25586" i="1"/>
  <c r="C25586" i="1"/>
  <c r="N25586" i="1"/>
  <c r="A25587" i="1"/>
  <c r="C25587" i="1"/>
  <c r="N25587" i="1"/>
  <c r="A25588" i="1"/>
  <c r="C25588" i="1"/>
  <c r="K25588" i="1"/>
  <c r="N25588" i="1"/>
  <c r="A25589" i="1"/>
  <c r="C25589" i="1"/>
  <c r="N25589" i="1"/>
  <c r="A25590" i="1"/>
  <c r="C25590" i="1"/>
  <c r="N25590" i="1"/>
  <c r="A25591" i="1"/>
  <c r="C25591" i="1"/>
  <c r="N25591" i="1"/>
  <c r="A25592" i="1"/>
  <c r="C25592" i="1"/>
  <c r="N25592" i="1"/>
  <c r="A25593" i="1"/>
  <c r="C25593" i="1"/>
  <c r="N25593" i="1"/>
  <c r="A25594" i="1"/>
  <c r="C25594" i="1"/>
  <c r="N25594" i="1"/>
  <c r="A25595" i="1"/>
  <c r="C25595" i="1"/>
  <c r="N25595" i="1"/>
  <c r="A25596" i="1"/>
  <c r="C25596" i="1"/>
  <c r="N25596" i="1"/>
  <c r="A25597" i="1"/>
  <c r="C25597" i="1"/>
  <c r="N25597" i="1"/>
  <c r="A25598" i="1"/>
  <c r="C25598" i="1"/>
  <c r="N25598" i="1"/>
  <c r="A25599" i="1"/>
  <c r="C25599" i="1"/>
  <c r="N25599" i="1"/>
  <c r="A25600" i="1"/>
  <c r="C25600" i="1"/>
  <c r="N25600" i="1"/>
  <c r="A25601" i="1"/>
  <c r="C25601" i="1"/>
  <c r="N25601" i="1"/>
  <c r="A25602" i="1"/>
  <c r="C25602" i="1"/>
  <c r="N25602" i="1"/>
  <c r="A25603" i="1"/>
  <c r="C25603" i="1"/>
  <c r="N25603" i="1"/>
  <c r="A25604" i="1"/>
  <c r="C25604" i="1"/>
  <c r="N25604" i="1"/>
  <c r="A25605" i="1"/>
  <c r="C25605" i="1"/>
  <c r="N25605" i="1"/>
  <c r="A25606" i="1"/>
  <c r="C25606" i="1"/>
  <c r="N25606" i="1"/>
  <c r="A25607" i="1"/>
  <c r="C25607" i="1"/>
  <c r="N25607" i="1"/>
  <c r="A25608" i="1"/>
  <c r="C25608" i="1"/>
  <c r="N25608" i="1"/>
  <c r="A25609" i="1"/>
  <c r="C25609" i="1"/>
  <c r="N25609" i="1"/>
  <c r="A25610" i="1"/>
  <c r="C25610" i="1"/>
  <c r="N25610" i="1"/>
  <c r="A25611" i="1"/>
  <c r="C25611" i="1"/>
  <c r="N25611" i="1"/>
  <c r="A25612" i="1"/>
  <c r="C25612" i="1"/>
  <c r="N25612" i="1"/>
  <c r="A25613" i="1"/>
  <c r="C25613" i="1"/>
  <c r="N25613" i="1"/>
  <c r="A25614" i="1"/>
  <c r="C25614" i="1"/>
  <c r="N25614" i="1"/>
  <c r="A25615" i="1"/>
  <c r="C25615" i="1"/>
  <c r="N25615" i="1"/>
  <c r="A25616" i="1"/>
  <c r="C25616" i="1"/>
  <c r="K25616" i="1"/>
  <c r="N25616" i="1"/>
  <c r="A25617" i="1"/>
  <c r="C25617" i="1"/>
  <c r="K25617" i="1"/>
  <c r="N25617" i="1"/>
  <c r="A25618" i="1"/>
  <c r="C25618" i="1"/>
  <c r="N25618" i="1"/>
  <c r="A25619" i="1"/>
  <c r="C25619" i="1"/>
  <c r="N25619" i="1"/>
  <c r="A25620" i="1"/>
  <c r="C25620" i="1"/>
  <c r="K25620" i="1"/>
  <c r="N25620" i="1"/>
  <c r="A25621" i="1"/>
  <c r="C25621" i="1"/>
  <c r="N25621" i="1"/>
  <c r="A25622" i="1"/>
  <c r="C25622" i="1"/>
  <c r="N25622" i="1"/>
  <c r="A25623" i="1"/>
  <c r="C25623" i="1"/>
  <c r="N25623" i="1"/>
  <c r="A25624" i="1"/>
  <c r="C25624" i="1"/>
  <c r="N25624" i="1"/>
  <c r="A25625" i="1"/>
  <c r="C25625" i="1"/>
  <c r="N25625" i="1"/>
  <c r="A25626" i="1"/>
  <c r="C25626" i="1"/>
  <c r="N25626" i="1"/>
  <c r="A25627" i="1"/>
  <c r="C25627" i="1"/>
  <c r="N25627" i="1"/>
  <c r="A25628" i="1"/>
  <c r="C25628" i="1"/>
  <c r="K25628" i="1"/>
  <c r="N25628" i="1"/>
  <c r="A25629" i="1"/>
  <c r="C25629" i="1"/>
  <c r="N25629" i="1"/>
  <c r="A25630" i="1"/>
  <c r="C25630" i="1"/>
  <c r="N25630" i="1"/>
  <c r="A25631" i="1"/>
  <c r="C25631" i="1"/>
  <c r="N25631" i="1"/>
  <c r="A25632" i="1"/>
  <c r="C25632" i="1"/>
  <c r="N25632" i="1"/>
  <c r="A25633" i="1"/>
  <c r="C25633" i="1"/>
  <c r="N25633" i="1"/>
  <c r="A25634" i="1"/>
  <c r="C25634" i="1"/>
  <c r="N25634" i="1"/>
  <c r="A25635" i="1"/>
  <c r="C25635" i="1"/>
  <c r="N25635" i="1"/>
  <c r="A25636" i="1"/>
  <c r="C25636" i="1"/>
  <c r="K25636" i="1"/>
  <c r="N25636" i="1"/>
  <c r="A25637" i="1"/>
  <c r="C25637" i="1"/>
  <c r="N25637" i="1"/>
  <c r="A25638" i="1"/>
  <c r="C25638" i="1"/>
  <c r="N25638" i="1"/>
  <c r="A25639" i="1"/>
  <c r="C25639" i="1"/>
  <c r="N25639" i="1"/>
  <c r="A25640" i="1"/>
  <c r="C25640" i="1"/>
  <c r="N25640" i="1"/>
  <c r="A25641" i="1"/>
  <c r="C25641" i="1"/>
  <c r="N25641" i="1"/>
  <c r="A25642" i="1"/>
  <c r="C25642" i="1"/>
  <c r="N25642" i="1"/>
  <c r="A25643" i="1"/>
  <c r="C25643" i="1"/>
  <c r="N25643" i="1"/>
  <c r="A25644" i="1"/>
  <c r="C25644" i="1"/>
  <c r="N25644" i="1"/>
  <c r="A25645" i="1"/>
  <c r="C25645" i="1"/>
  <c r="N25645" i="1"/>
  <c r="A25646" i="1"/>
  <c r="C25646" i="1"/>
  <c r="N25646" i="1"/>
  <c r="A25647" i="1"/>
  <c r="C25647" i="1"/>
  <c r="N25647" i="1"/>
  <c r="A25648" i="1"/>
  <c r="C25648" i="1"/>
  <c r="N25648" i="1"/>
  <c r="A25649" i="1"/>
  <c r="C25649" i="1"/>
  <c r="N25649" i="1"/>
  <c r="A25650" i="1"/>
  <c r="C25650" i="1"/>
  <c r="N25650" i="1"/>
  <c r="A25651" i="1"/>
  <c r="C25651" i="1"/>
  <c r="N25651" i="1"/>
  <c r="A25652" i="1"/>
  <c r="C25652" i="1"/>
  <c r="N25652" i="1"/>
  <c r="A25653" i="1"/>
  <c r="C25653" i="1"/>
  <c r="N25653" i="1"/>
  <c r="A25654" i="1"/>
  <c r="C25654" i="1"/>
  <c r="N25654" i="1"/>
  <c r="A25655" i="1"/>
  <c r="C25655" i="1"/>
  <c r="N25655" i="1"/>
  <c r="A25656" i="1"/>
  <c r="C25656" i="1"/>
  <c r="N25656" i="1"/>
  <c r="A25657" i="1"/>
  <c r="C25657" i="1"/>
  <c r="N25657" i="1"/>
  <c r="A25658" i="1"/>
  <c r="C25658" i="1"/>
  <c r="N25658" i="1"/>
  <c r="A25659" i="1"/>
  <c r="C25659" i="1"/>
  <c r="N25659" i="1"/>
  <c r="A25660" i="1"/>
  <c r="C25660" i="1"/>
  <c r="N25660" i="1"/>
  <c r="A25661" i="1"/>
  <c r="C25661" i="1"/>
  <c r="N25661" i="1"/>
  <c r="A25662" i="1"/>
  <c r="C25662" i="1"/>
  <c r="N25662" i="1"/>
  <c r="A25663" i="1"/>
  <c r="C25663" i="1"/>
  <c r="K25663" i="1"/>
  <c r="N25663" i="1"/>
  <c r="A25664" i="1"/>
  <c r="C25664" i="1"/>
  <c r="N25664" i="1"/>
  <c r="A25665" i="1"/>
  <c r="C25665" i="1"/>
  <c r="N25665" i="1"/>
  <c r="A25666" i="1"/>
  <c r="C25666" i="1"/>
  <c r="N25666" i="1"/>
  <c r="A25667" i="1"/>
  <c r="C25667" i="1"/>
  <c r="N25667" i="1"/>
  <c r="A25668" i="1"/>
  <c r="C25668" i="1"/>
  <c r="N25668" i="1"/>
  <c r="A25669" i="1"/>
  <c r="C25669" i="1"/>
  <c r="N25669" i="1"/>
  <c r="A25670" i="1"/>
  <c r="C25670" i="1"/>
  <c r="N25670" i="1"/>
  <c r="A25671" i="1"/>
  <c r="C25671" i="1"/>
  <c r="N25671" i="1"/>
  <c r="A25672" i="1"/>
  <c r="C25672" i="1"/>
  <c r="N25672" i="1"/>
  <c r="A25673" i="1"/>
  <c r="C25673" i="1"/>
  <c r="N25673" i="1"/>
  <c r="A25674" i="1"/>
  <c r="C25674" i="1"/>
  <c r="N25674" i="1"/>
  <c r="A25675" i="1"/>
  <c r="C25675" i="1"/>
  <c r="N25675" i="1"/>
  <c r="A25676" i="1"/>
  <c r="C25676" i="1"/>
  <c r="N25676" i="1"/>
  <c r="A25677" i="1"/>
  <c r="C25677" i="1"/>
  <c r="N25677" i="1"/>
  <c r="A25678" i="1"/>
  <c r="C25678" i="1"/>
  <c r="N25678" i="1"/>
  <c r="A25679" i="1"/>
  <c r="C25679" i="1"/>
  <c r="N25679" i="1"/>
  <c r="A25680" i="1"/>
  <c r="C25680" i="1"/>
  <c r="K25680" i="1"/>
  <c r="N25680" i="1"/>
  <c r="A25681" i="1"/>
  <c r="C25681" i="1"/>
  <c r="N25681" i="1"/>
  <c r="A25682" i="1"/>
  <c r="C25682" i="1"/>
  <c r="N25682" i="1"/>
  <c r="A25683" i="1"/>
  <c r="C25683" i="1"/>
  <c r="K25683" i="1"/>
  <c r="N25683" i="1"/>
  <c r="A25684" i="1"/>
  <c r="C25684" i="1"/>
  <c r="N25684" i="1"/>
  <c r="A25685" i="1"/>
  <c r="C25685" i="1"/>
  <c r="N25685" i="1"/>
  <c r="A25686" i="1"/>
  <c r="C25686" i="1"/>
  <c r="E25686" i="1"/>
  <c r="N25686" i="1"/>
  <c r="T25686" i="1"/>
  <c r="A25687" i="1"/>
  <c r="C25687" i="1"/>
  <c r="N25687" i="1"/>
  <c r="A25688" i="1"/>
  <c r="C25688" i="1"/>
  <c r="K25688" i="1"/>
  <c r="N25688" i="1"/>
  <c r="A25689" i="1"/>
  <c r="C25689" i="1"/>
  <c r="N25689" i="1"/>
  <c r="A25690" i="1"/>
  <c r="C25690" i="1"/>
  <c r="N25690" i="1"/>
  <c r="A25691" i="1"/>
  <c r="C25691" i="1"/>
  <c r="K25691" i="1"/>
  <c r="N25691" i="1"/>
  <c r="A25692" i="1"/>
  <c r="C25692" i="1"/>
  <c r="K25692" i="1"/>
  <c r="N25692" i="1"/>
  <c r="A25693" i="1"/>
  <c r="C25693" i="1"/>
  <c r="K25693" i="1"/>
  <c r="N25693" i="1"/>
  <c r="A25694" i="1"/>
  <c r="C25694" i="1"/>
  <c r="N25694" i="1"/>
  <c r="A25695" i="1"/>
  <c r="C25695" i="1"/>
  <c r="N25695" i="1"/>
  <c r="A25696" i="1"/>
  <c r="C25696" i="1"/>
  <c r="N25696" i="1"/>
  <c r="A25697" i="1"/>
  <c r="C25697" i="1"/>
  <c r="N25697" i="1"/>
  <c r="A25698" i="1"/>
  <c r="C25698" i="1"/>
  <c r="N25698" i="1"/>
  <c r="A25699" i="1"/>
  <c r="C25699" i="1"/>
  <c r="N25699" i="1"/>
  <c r="A25700" i="1"/>
  <c r="C25700" i="1"/>
  <c r="N25700" i="1"/>
  <c r="A25701" i="1"/>
  <c r="C25701" i="1"/>
  <c r="N25701" i="1"/>
  <c r="A25702" i="1"/>
  <c r="C25702" i="1"/>
  <c r="N25702" i="1"/>
  <c r="A25703" i="1"/>
  <c r="C25703" i="1"/>
  <c r="N25703" i="1"/>
  <c r="A25704" i="1"/>
  <c r="C25704" i="1"/>
  <c r="N25704" i="1"/>
  <c r="A25705" i="1"/>
  <c r="C25705" i="1"/>
  <c r="N25705" i="1"/>
  <c r="A25706" i="1"/>
  <c r="C25706" i="1"/>
  <c r="N25706" i="1"/>
  <c r="A25707" i="1"/>
  <c r="C25707" i="1"/>
  <c r="N25707" i="1"/>
  <c r="A25708" i="1"/>
  <c r="C25708" i="1"/>
  <c r="N25708" i="1"/>
  <c r="A25709" i="1"/>
  <c r="C25709" i="1"/>
  <c r="K25709" i="1"/>
  <c r="N25709" i="1"/>
  <c r="A25710" i="1"/>
  <c r="C25710" i="1"/>
  <c r="F25710" i="1"/>
  <c r="N25710" i="1"/>
  <c r="A25711" i="1"/>
  <c r="C25711" i="1"/>
  <c r="K25711" i="1"/>
  <c r="N25711" i="1"/>
  <c r="A25712" i="1"/>
  <c r="C25712" i="1"/>
  <c r="N25712" i="1"/>
  <c r="A25713" i="1"/>
  <c r="C25713" i="1"/>
  <c r="N25713" i="1"/>
  <c r="A25714" i="1"/>
  <c r="C25714" i="1"/>
  <c r="N25714" i="1"/>
  <c r="A25715" i="1"/>
  <c r="C25715" i="1"/>
  <c r="N25715" i="1"/>
  <c r="A25716" i="1"/>
  <c r="C25716" i="1"/>
  <c r="K25716" i="1"/>
  <c r="N25716" i="1"/>
  <c r="A25717" i="1"/>
  <c r="C25717" i="1"/>
  <c r="N25717" i="1"/>
  <c r="A25718" i="1"/>
  <c r="C25718" i="1"/>
  <c r="N25718" i="1"/>
  <c r="A25719" i="1"/>
  <c r="C25719" i="1"/>
  <c r="N25719" i="1"/>
  <c r="A25720" i="1"/>
  <c r="C25720" i="1"/>
  <c r="N25720" i="1"/>
  <c r="A25721" i="1"/>
  <c r="C25721" i="1"/>
  <c r="K25721" i="1"/>
  <c r="N25721" i="1"/>
  <c r="A25722" i="1"/>
  <c r="C25722" i="1"/>
  <c r="N25722" i="1"/>
  <c r="A25723" i="1"/>
  <c r="C25723" i="1"/>
  <c r="N25723" i="1"/>
  <c r="A25724" i="1"/>
  <c r="C25724" i="1"/>
  <c r="N25724" i="1"/>
  <c r="A25725" i="1"/>
  <c r="C25725" i="1"/>
  <c r="N25725" i="1"/>
  <c r="A25726" i="1"/>
  <c r="C25726" i="1"/>
  <c r="N25726" i="1"/>
  <c r="A25727" i="1"/>
  <c r="C25727" i="1"/>
  <c r="N25727" i="1"/>
  <c r="A25728" i="1"/>
  <c r="C25728" i="1"/>
  <c r="N25728" i="1"/>
  <c r="A25729" i="1"/>
  <c r="C25729" i="1"/>
  <c r="N25729" i="1"/>
  <c r="A25730" i="1"/>
  <c r="C25730" i="1"/>
  <c r="N25730" i="1"/>
  <c r="A25731" i="1"/>
  <c r="C25731" i="1"/>
  <c r="K25731" i="1"/>
  <c r="N25731" i="1"/>
  <c r="A25732" i="1"/>
  <c r="C25732" i="1"/>
  <c r="N25732" i="1"/>
  <c r="A25733" i="1"/>
  <c r="C25733" i="1"/>
  <c r="N25733" i="1"/>
  <c r="A25734" i="1"/>
  <c r="C25734" i="1"/>
  <c r="K25734" i="1"/>
  <c r="N25734" i="1"/>
  <c r="A25735" i="1"/>
  <c r="C25735" i="1"/>
  <c r="K25735" i="1"/>
  <c r="N25735" i="1"/>
  <c r="A25736" i="1"/>
  <c r="C25736" i="1"/>
  <c r="N25736" i="1"/>
  <c r="A25737" i="1"/>
  <c r="C25737" i="1"/>
  <c r="N25737" i="1"/>
  <c r="A25738" i="1"/>
  <c r="C25738" i="1"/>
  <c r="N25738" i="1"/>
  <c r="A25739" i="1"/>
  <c r="C25739" i="1"/>
  <c r="E25739" i="1"/>
  <c r="N25739" i="1"/>
  <c r="T25739" i="1"/>
  <c r="A25740" i="1"/>
  <c r="C25740" i="1"/>
  <c r="N25740" i="1"/>
  <c r="A25741" i="1"/>
  <c r="C25741" i="1"/>
  <c r="N25741" i="1"/>
  <c r="A25742" i="1"/>
  <c r="C25742" i="1"/>
  <c r="N25742" i="1"/>
  <c r="A25743" i="1"/>
  <c r="C25743" i="1"/>
  <c r="N25743" i="1"/>
  <c r="A25744" i="1"/>
  <c r="C25744" i="1"/>
  <c r="N25744" i="1"/>
  <c r="A25745" i="1"/>
  <c r="C25745" i="1"/>
  <c r="N25745" i="1"/>
  <c r="A25746" i="1"/>
  <c r="C25746" i="1"/>
  <c r="N25746" i="1"/>
  <c r="A25747" i="1"/>
  <c r="C25747" i="1"/>
  <c r="N25747" i="1"/>
  <c r="A25748" i="1"/>
  <c r="C25748" i="1"/>
  <c r="N25748" i="1"/>
  <c r="A25749" i="1"/>
  <c r="C25749" i="1"/>
  <c r="K25749" i="1"/>
  <c r="N25749" i="1"/>
  <c r="A25750" i="1"/>
  <c r="C25750" i="1"/>
  <c r="K25750" i="1"/>
  <c r="N25750" i="1"/>
  <c r="A25751" i="1"/>
  <c r="C25751" i="1"/>
  <c r="N25751" i="1"/>
  <c r="A25752" i="1"/>
  <c r="C25752" i="1"/>
  <c r="N25752" i="1"/>
  <c r="A25753" i="1"/>
  <c r="C25753" i="1"/>
  <c r="N25753" i="1"/>
  <c r="A25754" i="1"/>
  <c r="C25754" i="1"/>
  <c r="N25754" i="1"/>
  <c r="A25755" i="1"/>
  <c r="C25755" i="1"/>
  <c r="K25755" i="1"/>
  <c r="N25755" i="1"/>
  <c r="A25756" i="1"/>
  <c r="C25756" i="1"/>
  <c r="K25756" i="1"/>
  <c r="N25756" i="1"/>
  <c r="A25757" i="1"/>
  <c r="C25757" i="1"/>
  <c r="K25757" i="1"/>
  <c r="N25757" i="1"/>
  <c r="A25758" i="1"/>
  <c r="C25758" i="1"/>
  <c r="K25758" i="1"/>
  <c r="N25758" i="1"/>
  <c r="A25759" i="1"/>
  <c r="C25759" i="1"/>
  <c r="N25759" i="1"/>
  <c r="A25760" i="1"/>
  <c r="C25760" i="1"/>
  <c r="N25760" i="1"/>
  <c r="A25761" i="1"/>
  <c r="C25761" i="1"/>
  <c r="N25761" i="1"/>
  <c r="A25762" i="1"/>
  <c r="C25762" i="1"/>
  <c r="N25762" i="1"/>
  <c r="A25763" i="1"/>
  <c r="C25763" i="1"/>
  <c r="N25763" i="1"/>
  <c r="A25764" i="1"/>
  <c r="C25764" i="1"/>
  <c r="N25764" i="1"/>
  <c r="A25765" i="1"/>
  <c r="C25765" i="1"/>
  <c r="N25765" i="1"/>
  <c r="A25766" i="1"/>
  <c r="C25766" i="1"/>
  <c r="N25766" i="1"/>
  <c r="A25767" i="1"/>
  <c r="C25767" i="1"/>
  <c r="N25767" i="1"/>
  <c r="A25768" i="1"/>
  <c r="C25768" i="1"/>
  <c r="N25768" i="1"/>
  <c r="A25769" i="1"/>
  <c r="C25769" i="1"/>
  <c r="N25769" i="1"/>
  <c r="A25770" i="1"/>
  <c r="C25770" i="1"/>
  <c r="N25770" i="1"/>
  <c r="A25771" i="1"/>
  <c r="C25771" i="1"/>
  <c r="N25771" i="1"/>
  <c r="A25772" i="1"/>
  <c r="C25772" i="1"/>
  <c r="E25772" i="1"/>
  <c r="N25772" i="1"/>
  <c r="T25772" i="1"/>
  <c r="A25773" i="1"/>
  <c r="C25773" i="1"/>
  <c r="E25773" i="1"/>
  <c r="N25773" i="1"/>
  <c r="T25773" i="1"/>
  <c r="A25774" i="1"/>
  <c r="C25774" i="1"/>
  <c r="E25774" i="1"/>
  <c r="N25774" i="1"/>
  <c r="T25774" i="1"/>
  <c r="A25775" i="1"/>
  <c r="C25775" i="1"/>
  <c r="N25775" i="1"/>
  <c r="A25776" i="1"/>
  <c r="C25776" i="1"/>
  <c r="N25776" i="1"/>
  <c r="A25777" i="1"/>
  <c r="C25777" i="1"/>
  <c r="K25777" i="1"/>
  <c r="N25777" i="1"/>
  <c r="A25778" i="1"/>
  <c r="C25778" i="1"/>
  <c r="N25778" i="1"/>
  <c r="A25779" i="1"/>
  <c r="C25779" i="1"/>
  <c r="N25779" i="1"/>
  <c r="A25780" i="1"/>
  <c r="C25780" i="1"/>
  <c r="N25780" i="1"/>
  <c r="A25781" i="1"/>
  <c r="C25781" i="1"/>
  <c r="N25781" i="1"/>
  <c r="A25782" i="1"/>
  <c r="C25782" i="1"/>
  <c r="N25782" i="1"/>
  <c r="A25783" i="1"/>
  <c r="C25783" i="1"/>
  <c r="N25783" i="1"/>
  <c r="A25784" i="1"/>
  <c r="C25784" i="1"/>
  <c r="N25784" i="1"/>
  <c r="A25785" i="1"/>
  <c r="C25785" i="1"/>
  <c r="N25785" i="1"/>
  <c r="A25786" i="1"/>
  <c r="C25786" i="1"/>
  <c r="N25786" i="1"/>
  <c r="A25787" i="1"/>
  <c r="C25787" i="1"/>
  <c r="N25787" i="1"/>
  <c r="A25788" i="1"/>
  <c r="C25788" i="1"/>
  <c r="N25788" i="1"/>
  <c r="A25789" i="1"/>
  <c r="C25789" i="1"/>
  <c r="N25789" i="1"/>
  <c r="A25790" i="1"/>
  <c r="C25790" i="1"/>
  <c r="N25790" i="1"/>
  <c r="A25791" i="1"/>
  <c r="C25791" i="1"/>
  <c r="N25791" i="1"/>
  <c r="A25792" i="1"/>
  <c r="C25792" i="1"/>
  <c r="N25792" i="1"/>
  <c r="A25793" i="1"/>
  <c r="C25793" i="1"/>
  <c r="K25793" i="1"/>
  <c r="N25793" i="1"/>
  <c r="A25794" i="1"/>
  <c r="C25794" i="1"/>
  <c r="N25794" i="1"/>
  <c r="A25795" i="1"/>
  <c r="C25795" i="1"/>
  <c r="N25795" i="1"/>
  <c r="A25796" i="1"/>
  <c r="C25796" i="1"/>
  <c r="K25796" i="1"/>
  <c r="N25796" i="1"/>
  <c r="A25797" i="1"/>
  <c r="C25797" i="1"/>
  <c r="K25797" i="1"/>
  <c r="N25797" i="1"/>
  <c r="A25798" i="1"/>
  <c r="C25798" i="1"/>
  <c r="N25798" i="1"/>
  <c r="A25799" i="1"/>
  <c r="C25799" i="1"/>
  <c r="N25799" i="1"/>
  <c r="A25800" i="1"/>
  <c r="C25800" i="1"/>
  <c r="N25800" i="1"/>
  <c r="A25801" i="1"/>
  <c r="C25801" i="1"/>
  <c r="K25801" i="1"/>
  <c r="N25801" i="1"/>
  <c r="A25802" i="1"/>
  <c r="C25802" i="1"/>
  <c r="K25802" i="1"/>
  <c r="N25802" i="1"/>
  <c r="A25803" i="1"/>
  <c r="C25803" i="1"/>
  <c r="N25803" i="1"/>
  <c r="A25804" i="1"/>
  <c r="C25804" i="1"/>
  <c r="K25804" i="1"/>
  <c r="N25804" i="1"/>
  <c r="A25805" i="1"/>
  <c r="C25805" i="1"/>
  <c r="N25805" i="1"/>
  <c r="A25806" i="1"/>
  <c r="C25806" i="1"/>
  <c r="N25806" i="1"/>
  <c r="A25807" i="1"/>
  <c r="C25807" i="1"/>
  <c r="N25807" i="1"/>
  <c r="A25808" i="1"/>
  <c r="C25808" i="1"/>
  <c r="N25808" i="1"/>
  <c r="A25809" i="1"/>
  <c r="C25809" i="1"/>
  <c r="N25809" i="1"/>
  <c r="A25810" i="1"/>
  <c r="C25810" i="1"/>
  <c r="N25810" i="1"/>
  <c r="A25811" i="1"/>
  <c r="C25811" i="1"/>
  <c r="N25811" i="1"/>
  <c r="A25812" i="1"/>
  <c r="C25812" i="1"/>
  <c r="N25812" i="1"/>
  <c r="A25813" i="1"/>
  <c r="C25813" i="1"/>
  <c r="K25813" i="1"/>
  <c r="N25813" i="1"/>
  <c r="A25814" i="1"/>
  <c r="C25814" i="1"/>
  <c r="N25814" i="1"/>
  <c r="A25815" i="1"/>
  <c r="C25815" i="1"/>
  <c r="N25815" i="1"/>
  <c r="A25816" i="1"/>
  <c r="C25816" i="1"/>
  <c r="N25816" i="1"/>
  <c r="A25817" i="1"/>
  <c r="C25817" i="1"/>
  <c r="K25817" i="1"/>
  <c r="N25817" i="1"/>
  <c r="A25818" i="1"/>
  <c r="C25818" i="1"/>
  <c r="N25818" i="1"/>
  <c r="A25819" i="1"/>
  <c r="C25819" i="1"/>
  <c r="N25819" i="1"/>
  <c r="A25820" i="1"/>
  <c r="C25820" i="1"/>
  <c r="N25820" i="1"/>
  <c r="A25821" i="1"/>
  <c r="C25821" i="1"/>
  <c r="N25821" i="1"/>
  <c r="A25822" i="1"/>
  <c r="C25822" i="1"/>
  <c r="N25822" i="1"/>
  <c r="A25823" i="1"/>
  <c r="C25823" i="1"/>
  <c r="N25823" i="1"/>
  <c r="A25824" i="1"/>
  <c r="C25824" i="1"/>
  <c r="N25824" i="1"/>
  <c r="A25825" i="1"/>
  <c r="C25825" i="1"/>
  <c r="N25825" i="1"/>
  <c r="A25826" i="1"/>
  <c r="C25826" i="1"/>
  <c r="N25826" i="1"/>
  <c r="A25827" i="1"/>
  <c r="C25827" i="1"/>
  <c r="N25827" i="1"/>
  <c r="A25828" i="1"/>
  <c r="C25828" i="1"/>
  <c r="N25828" i="1"/>
  <c r="A25829" i="1"/>
  <c r="C25829" i="1"/>
  <c r="N25829" i="1"/>
  <c r="A25830" i="1"/>
  <c r="C25830" i="1"/>
  <c r="K25830" i="1"/>
  <c r="N25830" i="1"/>
  <c r="A25831" i="1"/>
  <c r="C25831" i="1"/>
  <c r="K25831" i="1"/>
  <c r="N25831" i="1"/>
  <c r="A25832" i="1"/>
  <c r="C25832" i="1"/>
  <c r="N25832" i="1"/>
  <c r="A25833" i="1"/>
  <c r="C25833" i="1"/>
  <c r="N25833" i="1"/>
  <c r="A25834" i="1"/>
  <c r="C25834" i="1"/>
  <c r="N25834" i="1"/>
  <c r="A25835" i="1"/>
  <c r="C25835" i="1"/>
  <c r="E25835" i="1"/>
  <c r="N25835" i="1"/>
  <c r="T25835" i="1"/>
  <c r="A25836" i="1"/>
  <c r="C25836" i="1"/>
  <c r="N25836" i="1"/>
  <c r="A25837" i="1"/>
  <c r="C25837" i="1"/>
  <c r="N25837" i="1"/>
  <c r="A25838" i="1"/>
  <c r="C25838" i="1"/>
  <c r="N25838" i="1"/>
  <c r="A25839" i="1"/>
  <c r="C25839" i="1"/>
  <c r="N25839" i="1"/>
  <c r="A25840" i="1"/>
  <c r="C25840" i="1"/>
  <c r="K25840" i="1"/>
  <c r="N25840" i="1"/>
  <c r="A25841" i="1"/>
  <c r="C25841" i="1"/>
  <c r="N25841" i="1"/>
  <c r="A25842" i="1"/>
  <c r="C25842" i="1"/>
  <c r="E25842" i="1"/>
  <c r="N25842" i="1"/>
  <c r="T25842" i="1"/>
  <c r="A25843" i="1"/>
  <c r="C25843" i="1"/>
  <c r="N25843" i="1"/>
  <c r="A25844" i="1"/>
  <c r="C25844" i="1"/>
  <c r="N25844" i="1"/>
  <c r="A25845" i="1"/>
  <c r="C25845" i="1"/>
  <c r="K25845" i="1"/>
  <c r="N25845" i="1"/>
  <c r="A25846" i="1"/>
  <c r="C25846" i="1"/>
  <c r="N25846" i="1"/>
  <c r="A25847" i="1"/>
  <c r="C25847" i="1"/>
  <c r="N25847" i="1"/>
  <c r="A25848" i="1"/>
  <c r="C25848" i="1"/>
  <c r="N25848" i="1"/>
  <c r="A25849" i="1"/>
  <c r="C25849" i="1"/>
  <c r="N25849" i="1"/>
  <c r="A25850" i="1"/>
  <c r="C25850" i="1"/>
  <c r="N25850" i="1"/>
  <c r="A25851" i="1"/>
  <c r="C25851" i="1"/>
  <c r="N25851" i="1"/>
  <c r="A25852" i="1"/>
  <c r="C25852" i="1"/>
  <c r="N25852" i="1"/>
  <c r="A25853" i="1"/>
  <c r="C25853" i="1"/>
  <c r="K25853" i="1"/>
  <c r="N25853" i="1"/>
  <c r="A25854" i="1"/>
  <c r="C25854" i="1"/>
  <c r="K25854" i="1"/>
  <c r="N25854" i="1"/>
  <c r="A25855" i="1"/>
  <c r="C25855" i="1"/>
  <c r="K25855" i="1"/>
  <c r="N25855" i="1"/>
  <c r="A25856" i="1"/>
  <c r="C25856" i="1"/>
  <c r="N25856" i="1"/>
  <c r="A25857" i="1"/>
  <c r="C25857" i="1"/>
  <c r="N25857" i="1"/>
  <c r="A25858" i="1"/>
  <c r="C25858" i="1"/>
  <c r="N25858" i="1"/>
  <c r="A25859" i="1"/>
  <c r="C25859" i="1"/>
  <c r="N25859" i="1"/>
  <c r="A25860" i="1"/>
  <c r="C25860" i="1"/>
  <c r="N25860" i="1"/>
  <c r="A25861" i="1"/>
  <c r="C25861" i="1"/>
  <c r="N25861" i="1"/>
  <c r="A25862" i="1"/>
  <c r="C25862" i="1"/>
  <c r="K25862" i="1"/>
  <c r="N25862" i="1"/>
  <c r="A25863" i="1"/>
  <c r="C25863" i="1"/>
  <c r="K25863" i="1"/>
  <c r="N25863" i="1"/>
  <c r="A25864" i="1"/>
  <c r="C25864" i="1"/>
  <c r="E25864" i="1"/>
  <c r="N25864" i="1"/>
  <c r="T25864" i="1"/>
  <c r="A25865" i="1"/>
  <c r="C25865" i="1"/>
  <c r="K25865" i="1"/>
  <c r="N25865" i="1"/>
  <c r="A25866" i="1"/>
  <c r="C25866" i="1"/>
  <c r="N25866" i="1"/>
  <c r="A25867" i="1"/>
  <c r="C25867" i="1"/>
  <c r="N25867" i="1"/>
  <c r="A25868" i="1"/>
  <c r="C25868" i="1"/>
  <c r="K25868" i="1"/>
  <c r="N25868" i="1"/>
  <c r="A25869" i="1"/>
  <c r="C25869" i="1"/>
  <c r="N25869" i="1"/>
  <c r="A25870" i="1"/>
  <c r="C25870" i="1"/>
  <c r="N25870" i="1"/>
  <c r="A25871" i="1"/>
  <c r="C25871" i="1"/>
  <c r="N25871" i="1"/>
  <c r="A25872" i="1"/>
  <c r="C25872" i="1"/>
  <c r="N25872" i="1"/>
  <c r="A25873" i="1"/>
  <c r="C25873" i="1"/>
  <c r="K25873" i="1"/>
  <c r="N25873" i="1"/>
  <c r="A25874" i="1"/>
  <c r="C25874" i="1"/>
  <c r="N25874" i="1"/>
  <c r="A25875" i="1"/>
  <c r="C25875" i="1"/>
  <c r="N25875" i="1"/>
  <c r="A25876" i="1"/>
  <c r="C25876" i="1"/>
  <c r="N25876" i="1"/>
  <c r="A25877" i="1"/>
  <c r="C25877" i="1"/>
  <c r="N25877" i="1"/>
  <c r="A25878" i="1"/>
  <c r="C25878" i="1"/>
  <c r="E25878" i="1"/>
  <c r="N25878" i="1"/>
  <c r="T25878" i="1"/>
  <c r="A25879" i="1"/>
  <c r="C25879" i="1"/>
  <c r="N25879" i="1"/>
  <c r="A25880" i="1"/>
  <c r="C25880" i="1"/>
  <c r="N25880" i="1"/>
  <c r="A25881" i="1"/>
  <c r="C25881" i="1"/>
  <c r="N25881" i="1"/>
  <c r="A25882" i="1"/>
  <c r="C25882" i="1"/>
  <c r="N25882" i="1"/>
  <c r="A25883" i="1"/>
  <c r="C25883" i="1"/>
  <c r="N25883" i="1"/>
  <c r="A25884" i="1"/>
  <c r="C25884" i="1"/>
  <c r="N25884" i="1"/>
  <c r="A25885" i="1"/>
  <c r="C25885" i="1"/>
  <c r="N25885" i="1"/>
  <c r="A25886" i="1"/>
  <c r="C25886" i="1"/>
  <c r="N25886" i="1"/>
  <c r="A25887" i="1"/>
  <c r="C25887" i="1"/>
  <c r="N25887" i="1"/>
  <c r="A25888" i="1"/>
  <c r="C25888" i="1"/>
  <c r="N25888" i="1"/>
  <c r="A25889" i="1"/>
  <c r="C25889" i="1"/>
  <c r="N25889" i="1"/>
  <c r="A25890" i="1"/>
  <c r="C25890" i="1"/>
  <c r="N25890" i="1"/>
  <c r="A25891" i="1"/>
  <c r="C25891" i="1"/>
  <c r="N25891" i="1"/>
  <c r="A25892" i="1"/>
  <c r="C25892" i="1"/>
  <c r="N25892" i="1"/>
  <c r="A25893" i="1"/>
  <c r="C25893" i="1"/>
  <c r="N25893" i="1"/>
  <c r="A25894" i="1"/>
  <c r="C25894" i="1"/>
  <c r="N25894" i="1"/>
  <c r="A25895" i="1"/>
  <c r="C25895" i="1"/>
  <c r="N25895" i="1"/>
  <c r="A25896" i="1"/>
  <c r="C25896" i="1"/>
  <c r="N25896" i="1"/>
  <c r="A25897" i="1"/>
  <c r="C25897" i="1"/>
  <c r="N25897" i="1"/>
  <c r="A25898" i="1"/>
  <c r="C25898" i="1"/>
  <c r="N25898" i="1"/>
</calcChain>
</file>

<file path=xl/sharedStrings.xml><?xml version="1.0" encoding="utf-8"?>
<sst xmlns="http://schemas.openxmlformats.org/spreadsheetml/2006/main" count="229791" uniqueCount="77859">
  <si>
    <t>ParcelID</t>
  </si>
  <si>
    <t>ParcelNumber</t>
  </si>
  <si>
    <t>AccountNumber</t>
  </si>
  <si>
    <t>Name1</t>
  </si>
  <si>
    <t>Name2</t>
  </si>
  <si>
    <t>Address1</t>
  </si>
  <si>
    <t>Address2</t>
  </si>
  <si>
    <t>Address3</t>
  </si>
  <si>
    <t>City</t>
  </si>
  <si>
    <t>State</t>
  </si>
  <si>
    <t>ZipCode</t>
  </si>
  <si>
    <t>AccountType</t>
  </si>
  <si>
    <t>UserLastModified</t>
  </si>
  <si>
    <t>DateLastModified</t>
  </si>
  <si>
    <t>Name1LastName</t>
  </si>
  <si>
    <t>Name1FirstName</t>
  </si>
  <si>
    <t>Name1MiddleName</t>
  </si>
  <si>
    <t>Name1Suffix</t>
  </si>
  <si>
    <t>Name1Extension</t>
  </si>
  <si>
    <t>Name2LastName</t>
  </si>
  <si>
    <t>Name2FirstName</t>
  </si>
  <si>
    <t>Name2MiddleName</t>
  </si>
  <si>
    <t>Name2Suffix</t>
  </si>
  <si>
    <t>Name2Extension</t>
  </si>
  <si>
    <t>OwnershipType</t>
  </si>
  <si>
    <t>B20000001202</t>
  </si>
  <si>
    <t>NICHOLS HANSFORD LINNIE</t>
  </si>
  <si>
    <t>NICHOLS SHARON H</t>
  </si>
  <si>
    <t>2397 LIBERTY CHURCH ROAD</t>
  </si>
  <si>
    <t>MOCKSVILLE</t>
  </si>
  <si>
    <t>NC</t>
  </si>
  <si>
    <t>27028-0000</t>
  </si>
  <si>
    <t>SYSTEM</t>
  </si>
  <si>
    <t>B200000048</t>
  </si>
  <si>
    <t>NICHOLS HANSFORD L</t>
  </si>
  <si>
    <t>B200000013</t>
  </si>
  <si>
    <t>HALL LESSIE GENTLE</t>
  </si>
  <si>
    <t>2388 LIBERTY CHURCH ROAD</t>
  </si>
  <si>
    <t>27028-4857</t>
  </si>
  <si>
    <t>B300000029</t>
  </si>
  <si>
    <t>GENTLE FRED WILLIAM TRUSTEE</t>
  </si>
  <si>
    <t>GENTLE BETTY ADAMS TRUSTEE</t>
  </si>
  <si>
    <t>FRED &amp; BETTY REV LIVING TRUST</t>
  </si>
  <si>
    <t>172 CHINQUAPIN ROAD</t>
  </si>
  <si>
    <t>27028-4707</t>
  </si>
  <si>
    <t>B20000001306</t>
  </si>
  <si>
    <t>HODGE MELODEE SUE RASH</t>
  </si>
  <si>
    <t>HODGE LOUIS</t>
  </si>
  <si>
    <t>2468 LIBERTY CHURCH ROAD</t>
  </si>
  <si>
    <t>YADKINVILLE</t>
  </si>
  <si>
    <t>27055-0000</t>
  </si>
  <si>
    <t>B200000012</t>
  </si>
  <si>
    <t>B200000011</t>
  </si>
  <si>
    <t>LIBERTY BAPTIST CHURCH</t>
  </si>
  <si>
    <t>2433 LIBERTY CHURCH ROAD</t>
  </si>
  <si>
    <t>B20000001703</t>
  </si>
  <si>
    <t>PERDUE CHARLES R</t>
  </si>
  <si>
    <t>2622 LIBERTY CHURCH ROAD</t>
  </si>
  <si>
    <t>27055-6381</t>
  </si>
  <si>
    <t>B20000001901</t>
  </si>
  <si>
    <t>ELMORE ANDREA MICHELE</t>
  </si>
  <si>
    <t>SAMSAM TRACEY ELMORE</t>
  </si>
  <si>
    <t>2187 LIBERTY CHURCH ROAD</t>
  </si>
  <si>
    <t>B200000019</t>
  </si>
  <si>
    <t>B20000001902</t>
  </si>
  <si>
    <t>B200000020</t>
  </si>
  <si>
    <t>2187 LIBERTY CHURCH RD</t>
  </si>
  <si>
    <t>B20000002401</t>
  </si>
  <si>
    <t>WEATHERMAN PAULA GAYE</t>
  </si>
  <si>
    <t>275 BELL BRANCH ROAD</t>
  </si>
  <si>
    <t>27028-4615</t>
  </si>
  <si>
    <t>B200000021</t>
  </si>
  <si>
    <t>B20000000407</t>
  </si>
  <si>
    <t>B20000000301</t>
  </si>
  <si>
    <t>MILLER JAMES TRAVIS</t>
  </si>
  <si>
    <t>MILLER JAMES NICHOLAS</t>
  </si>
  <si>
    <t>2528 LIBERTY CHURCH ROAD</t>
  </si>
  <si>
    <t>27055-6380</t>
  </si>
  <si>
    <t>B20000003201</t>
  </si>
  <si>
    <t>PILCHER ARNOLD GRAY</t>
  </si>
  <si>
    <t>810 CHINQUAPIN ROAD</t>
  </si>
  <si>
    <t>B200000003  A</t>
  </si>
  <si>
    <t>B200000001</t>
  </si>
  <si>
    <t>DICKENS ROBERT LEE</t>
  </si>
  <si>
    <t>DICKENS EVELYN DIANE EVERIDGE</t>
  </si>
  <si>
    <t>2601 LIBERTY CHURCH ROAD</t>
  </si>
  <si>
    <t>B20000004501</t>
  </si>
  <si>
    <t>MCEWEN MARTY KIM</t>
  </si>
  <si>
    <t>570 CHIQUAPIN ROAD</t>
  </si>
  <si>
    <t>B20000004503</t>
  </si>
  <si>
    <t>MULLIS FRANKLIN L</t>
  </si>
  <si>
    <t>534 CHINQUAPIN ROAD</t>
  </si>
  <si>
    <t>27028-4711</t>
  </si>
  <si>
    <t>B20000004504</t>
  </si>
  <si>
    <t>MCEWEN GREGORY S</t>
  </si>
  <si>
    <t>MCEWEN STEPHANIE</t>
  </si>
  <si>
    <t>554 CHINQUAPIN ROAD</t>
  </si>
  <si>
    <t>B100000010</t>
  </si>
  <si>
    <t>DOBY LINDA REAVIS</t>
  </si>
  <si>
    <t>229 DOBY ROAD</t>
  </si>
  <si>
    <t>28028-0000</t>
  </si>
  <si>
    <t>B300000005</t>
  </si>
  <si>
    <t>BUELIN RANDY A</t>
  </si>
  <si>
    <t>BUELIN CHRISTIE G</t>
  </si>
  <si>
    <t>5347 US HIGHWAY 601 NORTH</t>
  </si>
  <si>
    <t>B300000006</t>
  </si>
  <si>
    <t>JOHNSON QUENTIN M</t>
  </si>
  <si>
    <t>219 PRATT FARM LANE</t>
  </si>
  <si>
    <t>B30000000619</t>
  </si>
  <si>
    <t>HINKLE ALAN SCOTT</t>
  </si>
  <si>
    <t>HINKLE PATRICIA DAWN</t>
  </si>
  <si>
    <t>230 PRATT FARM LANE</t>
  </si>
  <si>
    <t>27028-4877</t>
  </si>
  <si>
    <t>B30000000605</t>
  </si>
  <si>
    <t>GENTRY JAMES HENRY</t>
  </si>
  <si>
    <t>GENTRY BARBARA STEWART</t>
  </si>
  <si>
    <t>189 BOWMAN ROAD</t>
  </si>
  <si>
    <t>B30000000607</t>
  </si>
  <si>
    <t>WHISONANT JAMES M III</t>
  </si>
  <si>
    <t>WHISONANT MARIA L</t>
  </si>
  <si>
    <t>173 BOWMAN ROAD</t>
  </si>
  <si>
    <t>B30000000608</t>
  </si>
  <si>
    <t>SCHERER DEREK P</t>
  </si>
  <si>
    <t>SCHERER VIRGINIA L</t>
  </si>
  <si>
    <t>5273 US HIGHWAY 601 NORTH</t>
  </si>
  <si>
    <t>B300000008</t>
  </si>
  <si>
    <t>REVELS RALPH</t>
  </si>
  <si>
    <t>179 LEISURE LANE</t>
  </si>
  <si>
    <t>B10000000901</t>
  </si>
  <si>
    <t>BAGSHAW GREGORY ALAN</t>
  </si>
  <si>
    <t>BAGSHAW ALYCE H</t>
  </si>
  <si>
    <t>2625 LIBERTY CHURCH ROAD</t>
  </si>
  <si>
    <t>E30000000201</t>
  </si>
  <si>
    <t>DUNN SHERMAN LEE</t>
  </si>
  <si>
    <t>DUNN LINDA H</t>
  </si>
  <si>
    <t>180 BUENA VISTA LANE</t>
  </si>
  <si>
    <t>27028-5659</t>
  </si>
  <si>
    <t>B30000001802</t>
  </si>
  <si>
    <t>MCEWEN REVOCABLE LIVING TRUST</t>
  </si>
  <si>
    <t>MCEWEN JOHN C TRUSTEE</t>
  </si>
  <si>
    <t>329 CHINQUAPIN ROAD</t>
  </si>
  <si>
    <t>B300000027</t>
  </si>
  <si>
    <t>B300000026</t>
  </si>
  <si>
    <t>B30000001901</t>
  </si>
  <si>
    <t>CHILDRESS BOBBY GRAY</t>
  </si>
  <si>
    <t>163 WINDY TRAIL</t>
  </si>
  <si>
    <t>B300000019</t>
  </si>
  <si>
    <t>B100000008</t>
  </si>
  <si>
    <t>B10000000704</t>
  </si>
  <si>
    <t>SHORE MICHAEL R</t>
  </si>
  <si>
    <t>SHORE MELANIE R</t>
  </si>
  <si>
    <t>186 SHORE LN</t>
  </si>
  <si>
    <t>B100000007</t>
  </si>
  <si>
    <t>SHORE LEE M</t>
  </si>
  <si>
    <t>SHORE SHIRLEY G</t>
  </si>
  <si>
    <t>2691 LIBERTY CHURCH ROAD</t>
  </si>
  <si>
    <t>B30000003104</t>
  </si>
  <si>
    <t>CARBAJAL FELIX L</t>
  </si>
  <si>
    <t>CARBAJAL ANTONIA MAYA</t>
  </si>
  <si>
    <t>271 CHILDRENS HOME ROAD</t>
  </si>
  <si>
    <t>I500000050</t>
  </si>
  <si>
    <t>C F ALLEN ENTERPRISES INC</t>
  </si>
  <si>
    <t>5679 REGENTS PARK ROAD</t>
  </si>
  <si>
    <t>KERNERSVILLE</t>
  </si>
  <si>
    <t>27284-8331</t>
  </si>
  <si>
    <t>B30000003401</t>
  </si>
  <si>
    <t>WILKINS BETTY JO</t>
  </si>
  <si>
    <t>5002 US HIGHWAY 601 NORTH</t>
  </si>
  <si>
    <t>27028-6284</t>
  </si>
  <si>
    <t>B30000003702</t>
  </si>
  <si>
    <t>LEAZER GREGORY KEITH</t>
  </si>
  <si>
    <t>LEAZER TRISH CRANFILL</t>
  </si>
  <si>
    <t>PO BOX 633</t>
  </si>
  <si>
    <t>27028-0633</t>
  </si>
  <si>
    <t>B30000004707</t>
  </si>
  <si>
    <t>B300000043  A</t>
  </si>
  <si>
    <t>FOSTER CAROLYN B</t>
  </si>
  <si>
    <t>195 MORTGAGE HILL WAY</t>
  </si>
  <si>
    <t>27028-6229</t>
  </si>
  <si>
    <t>B100000001</t>
  </si>
  <si>
    <t>E500000001</t>
  </si>
  <si>
    <t>WALKER LEWIS</t>
  </si>
  <si>
    <t>WALKER RUBY</t>
  </si>
  <si>
    <t>243 LEWIS LN</t>
  </si>
  <si>
    <t>ADVANCE</t>
  </si>
  <si>
    <t>27006-0000</t>
  </si>
  <si>
    <t>B30000004710</t>
  </si>
  <si>
    <t>KITCHENE SARA B</t>
  </si>
  <si>
    <t>107 MORTGAGE HILL WAY</t>
  </si>
  <si>
    <t>B30000004801</t>
  </si>
  <si>
    <t>LAWRENCE GAY B</t>
  </si>
  <si>
    <t>LAWRENCE W CLAY</t>
  </si>
  <si>
    <t>305 FOUR CORNERS ROAD</t>
  </si>
  <si>
    <t>C30000007208</t>
  </si>
  <si>
    <t>B300000058</t>
  </si>
  <si>
    <t>MARKLAND GAITHER E</t>
  </si>
  <si>
    <t>MARKLAND ANN B</t>
  </si>
  <si>
    <t>264 FOUR CORNERS ROAD</t>
  </si>
  <si>
    <t>27028-6214</t>
  </si>
  <si>
    <t>B300000054</t>
  </si>
  <si>
    <t>B300000060</t>
  </si>
  <si>
    <t>B30000004804</t>
  </si>
  <si>
    <t>B30000005401</t>
  </si>
  <si>
    <t>I80000005101</t>
  </si>
  <si>
    <t>B30000004806</t>
  </si>
  <si>
    <t>CLARKSON KEVIN MARK</t>
  </si>
  <si>
    <t>CLARKSON LORIE L</t>
  </si>
  <si>
    <t>303 FOUR CORNERS ROAD</t>
  </si>
  <si>
    <t>27028-6215</t>
  </si>
  <si>
    <t>C700000136</t>
  </si>
  <si>
    <t>F50000000206</t>
  </si>
  <si>
    <t>F50000000207</t>
  </si>
  <si>
    <t>E500000007</t>
  </si>
  <si>
    <t>B700000068</t>
  </si>
  <si>
    <t>A70000000203</t>
  </si>
  <si>
    <t>A70000000206</t>
  </si>
  <si>
    <t>C700000135</t>
  </si>
  <si>
    <t>A70000000205</t>
  </si>
  <si>
    <t>B700000071</t>
  </si>
  <si>
    <t>B20000001507</t>
  </si>
  <si>
    <t>MCCANN JAN</t>
  </si>
  <si>
    <t>2100 LIBERTY CHURCH ROAD</t>
  </si>
  <si>
    <t>B200000017</t>
  </si>
  <si>
    <t>B200000029</t>
  </si>
  <si>
    <t>WALL CAROL H</t>
  </si>
  <si>
    <t>3309 CHINQUAPIN ROAD</t>
  </si>
  <si>
    <t>C300000077</t>
  </si>
  <si>
    <t>WHITE JOSEPH MARK</t>
  </si>
  <si>
    <t>4242 NC HIGHWAY 801 NORTH</t>
  </si>
  <si>
    <t>B30000006902</t>
  </si>
  <si>
    <t>ELMORE WILLIAM CLARENCE</t>
  </si>
  <si>
    <t>4279 NC HIGHWAY 801 NORTH</t>
  </si>
  <si>
    <t>27028-6235</t>
  </si>
  <si>
    <t>B300000070</t>
  </si>
  <si>
    <t>ELMORE CLARENCE G TRUSTEE</t>
  </si>
  <si>
    <t>CLARENCE G ELMORE TRUST</t>
  </si>
  <si>
    <t>B30000006903</t>
  </si>
  <si>
    <t>C50000003202</t>
  </si>
  <si>
    <t>YADKIN VALLEY TELEPHONE MEMB</t>
  </si>
  <si>
    <t>PO BOX 368</t>
  </si>
  <si>
    <t>B30000006904</t>
  </si>
  <si>
    <t>E500000016</t>
  </si>
  <si>
    <t>C70000010701</t>
  </si>
  <si>
    <t>C70000003401</t>
  </si>
  <si>
    <t>C20000003803</t>
  </si>
  <si>
    <t>D70000023001</t>
  </si>
  <si>
    <t>D8010A0008</t>
  </si>
  <si>
    <t>E40000003501</t>
  </si>
  <si>
    <t>F60000005102</t>
  </si>
  <si>
    <t>E90000034601</t>
  </si>
  <si>
    <t>E90000010801</t>
  </si>
  <si>
    <t>G200000057</t>
  </si>
  <si>
    <t>G700000061</t>
  </si>
  <si>
    <t>J60000005412</t>
  </si>
  <si>
    <t>G700000059</t>
  </si>
  <si>
    <t>G8120B000303</t>
  </si>
  <si>
    <t>H80000001902</t>
  </si>
  <si>
    <t>J70000010101</t>
  </si>
  <si>
    <t>J20000006308</t>
  </si>
  <si>
    <t>I10000002702</t>
  </si>
  <si>
    <t>J30000001103</t>
  </si>
  <si>
    <t>M5160D0003</t>
  </si>
  <si>
    <t>N60000001201</t>
  </si>
  <si>
    <t>B20000003901</t>
  </si>
  <si>
    <t>PRIM JOEY DARREN</t>
  </si>
  <si>
    <t>PRIM SHANNON HUTCHINS</t>
  </si>
  <si>
    <t>661 CHINQUAPIN ROAD</t>
  </si>
  <si>
    <t>B30000007702</t>
  </si>
  <si>
    <t>MUMFORD ERVIN HECTOR</t>
  </si>
  <si>
    <t>4166 HIGHWAY 801 NORTH</t>
  </si>
  <si>
    <t>C60000007301</t>
  </si>
  <si>
    <t>DAVIE COUNTY OF</t>
  </si>
  <si>
    <t>123 SOUTH MAIN STREET</t>
  </si>
  <si>
    <t>ADMINISTRATIVE BUILDING</t>
  </si>
  <si>
    <t>B60000002501</t>
  </si>
  <si>
    <t>C70000002403</t>
  </si>
  <si>
    <t>F50000004102</t>
  </si>
  <si>
    <t>B300000080</t>
  </si>
  <si>
    <t>E10000002401</t>
  </si>
  <si>
    <t>E300000029</t>
  </si>
  <si>
    <t>D70000019901</t>
  </si>
  <si>
    <t>B600000030</t>
  </si>
  <si>
    <t>E60000006005</t>
  </si>
  <si>
    <t>E700000029</t>
  </si>
  <si>
    <t>G50000004803</t>
  </si>
  <si>
    <t>G700000139</t>
  </si>
  <si>
    <t>N4040A002705</t>
  </si>
  <si>
    <t>N4040A002706</t>
  </si>
  <si>
    <t>N4040A002707</t>
  </si>
  <si>
    <t>N4040A0025</t>
  </si>
  <si>
    <t>N4040A002501</t>
  </si>
  <si>
    <t>N4040A0026</t>
  </si>
  <si>
    <t>M50000005001</t>
  </si>
  <si>
    <t>B500000019</t>
  </si>
  <si>
    <t>C500000116</t>
  </si>
  <si>
    <t>I4130F0005</t>
  </si>
  <si>
    <t>J30000002301</t>
  </si>
  <si>
    <t>I4120D002101</t>
  </si>
  <si>
    <t>I4130F0009</t>
  </si>
  <si>
    <t>I4130F0011</t>
  </si>
  <si>
    <t>J600000032</t>
  </si>
  <si>
    <t>J500000041</t>
  </si>
  <si>
    <t>J50000006001</t>
  </si>
  <si>
    <t>I4130E0004</t>
  </si>
  <si>
    <t>B20000004201</t>
  </si>
  <si>
    <t>WELBORN DAVID</t>
  </si>
  <si>
    <t>PO BOX 1368</t>
  </si>
  <si>
    <t>B300000003</t>
  </si>
  <si>
    <t>CLINE ROBERT DWAYNE</t>
  </si>
  <si>
    <t>CLINE CINDY E</t>
  </si>
  <si>
    <t>5363 US HIGHWAY 601 NORTH</t>
  </si>
  <si>
    <t>B300000011</t>
  </si>
  <si>
    <t>REYNOLDS MCCURDY FERN LOUISE</t>
  </si>
  <si>
    <t>161 LEISURE LANE</t>
  </si>
  <si>
    <t>27028-4846</t>
  </si>
  <si>
    <t>B30000001701</t>
  </si>
  <si>
    <t>CHILDRESS DONNA</t>
  </si>
  <si>
    <t>B30000002901</t>
  </si>
  <si>
    <t>GENTLE JIMMY DALE REV TRUST</t>
  </si>
  <si>
    <t>GENTLE MELINDA MCCOY REV TRUST</t>
  </si>
  <si>
    <t>186 CHINQUAPIN ROAD</t>
  </si>
  <si>
    <t>B30000002902</t>
  </si>
  <si>
    <t>JAMES DAVID A</t>
  </si>
  <si>
    <t>JAMES ELAINE G</t>
  </si>
  <si>
    <t>5051 US HIGHWAY 601 NORTH</t>
  </si>
  <si>
    <t>B30000002904</t>
  </si>
  <si>
    <t>B30000003404</t>
  </si>
  <si>
    <t>COBLE GREGORY</t>
  </si>
  <si>
    <t>COBLE KRISTY</t>
  </si>
  <si>
    <t>5032 US HIGHWAY 601 NORTH</t>
  </si>
  <si>
    <t>B30000004403</t>
  </si>
  <si>
    <t>SPILLMAN TROY LEE</t>
  </si>
  <si>
    <t>SPILLMAN BETTY JEAN A</t>
  </si>
  <si>
    <t>3520 COURTNEY CHURCH ROAD</t>
  </si>
  <si>
    <t>27055-8701</t>
  </si>
  <si>
    <t>B30000004402</t>
  </si>
  <si>
    <t>B30000006401</t>
  </si>
  <si>
    <t>B30000006403</t>
  </si>
  <si>
    <t>B30000007504</t>
  </si>
  <si>
    <t>MITCHELL TIMOTHY W</t>
  </si>
  <si>
    <t>MITCHELL LISA A</t>
  </si>
  <si>
    <t>157 PONDEROSA ROAD</t>
  </si>
  <si>
    <t>B300000051</t>
  </si>
  <si>
    <t>CLEARY JUNE WAYNE</t>
  </si>
  <si>
    <t>CLEARY RUBY KAY</t>
  </si>
  <si>
    <t>3205 BOWMAN ROAD</t>
  </si>
  <si>
    <t>B30000005201</t>
  </si>
  <si>
    <t>B3010A0013</t>
  </si>
  <si>
    <t>B3010A0014</t>
  </si>
  <si>
    <t>B30000005203</t>
  </si>
  <si>
    <t>SCARLETT TIMOTHY W</t>
  </si>
  <si>
    <t>5242 US HWY 601 NORTH</t>
  </si>
  <si>
    <t>B30000005302</t>
  </si>
  <si>
    <t>PEELE EDWARD F</t>
  </si>
  <si>
    <t>PEELE VIRGINIA B</t>
  </si>
  <si>
    <t>3453 WILD ROSE TRAIL</t>
  </si>
  <si>
    <t>27055-8754</t>
  </si>
  <si>
    <t>B300000056</t>
  </si>
  <si>
    <t>BRICKEY DAVID EUGENE</t>
  </si>
  <si>
    <t>BRICKEY JEAN M</t>
  </si>
  <si>
    <t>328 FOUR CORNERS ROAD</t>
  </si>
  <si>
    <t>B30000007507</t>
  </si>
  <si>
    <t>B300000064</t>
  </si>
  <si>
    <t>B300000066</t>
  </si>
  <si>
    <t>B30000006404</t>
  </si>
  <si>
    <t>I4130E0003</t>
  </si>
  <si>
    <t>J4040D0003</t>
  </si>
  <si>
    <t>J4040D0004</t>
  </si>
  <si>
    <t>K500000044</t>
  </si>
  <si>
    <t>J500000059</t>
  </si>
  <si>
    <t>J500000015</t>
  </si>
  <si>
    <t>K50000000301</t>
  </si>
  <si>
    <t>J50000001701</t>
  </si>
  <si>
    <t>J500000048</t>
  </si>
  <si>
    <t>B300000082</t>
  </si>
  <si>
    <t>WHITE WILLIAM ALLEN</t>
  </si>
  <si>
    <t>BYRN GINDY LYNN</t>
  </si>
  <si>
    <t>4138 NC HIGHWAY 801 NORTH</t>
  </si>
  <si>
    <t>27028-6234</t>
  </si>
  <si>
    <t>B300000096</t>
  </si>
  <si>
    <t>FREEMAN KATHY E</t>
  </si>
  <si>
    <t>FREEMAN LARRY M</t>
  </si>
  <si>
    <t>4110 NC HIGHWAY 801 NORTH</t>
  </si>
  <si>
    <t>I5010B0009</t>
  </si>
  <si>
    <t>CARTER RICHARD DONALD</t>
  </si>
  <si>
    <t>CARTER FAYE C</t>
  </si>
  <si>
    <t>115 CAP CAIN TRAIL</t>
  </si>
  <si>
    <t>27028-6163</t>
  </si>
  <si>
    <t>I5010B0008</t>
  </si>
  <si>
    <t>B30000008801</t>
  </si>
  <si>
    <t>B3010A0006</t>
  </si>
  <si>
    <t>JOHNSON L C SR</t>
  </si>
  <si>
    <t>JOHNSON CALLIE</t>
  </si>
  <si>
    <t>166 BOWMAN ROAD</t>
  </si>
  <si>
    <t>B3020A0001</t>
  </si>
  <si>
    <t>MAYO-ALEMAN ENOCH</t>
  </si>
  <si>
    <t>127 CHILDRENS HOME ROAD</t>
  </si>
  <si>
    <t>27028-4700</t>
  </si>
  <si>
    <t>B3020A0014</t>
  </si>
  <si>
    <t>DUFFIELD MICHAEL K</t>
  </si>
  <si>
    <t>DUFFIELD DELANA J</t>
  </si>
  <si>
    <t>4770 COUNTRY BOY LANE</t>
  </si>
  <si>
    <t>CLEMMONS</t>
  </si>
  <si>
    <t>27012-0000</t>
  </si>
  <si>
    <t>B3020A0015</t>
  </si>
  <si>
    <t>B3020A0004</t>
  </si>
  <si>
    <t>B400000010</t>
  </si>
  <si>
    <t>SLOAN JAMES C</t>
  </si>
  <si>
    <t>SLOAN SHELBY J</t>
  </si>
  <si>
    <t>195 RYANS WAY</t>
  </si>
  <si>
    <t>27028-6256</t>
  </si>
  <si>
    <t>B400000011</t>
  </si>
  <si>
    <t>B400000004</t>
  </si>
  <si>
    <t>B400000009</t>
  </si>
  <si>
    <t>FELDE LIZETTE RENEE</t>
  </si>
  <si>
    <t>159 RYANS WAY</t>
  </si>
  <si>
    <t>B40000001001</t>
  </si>
  <si>
    <t>CARTER THOMAS DOUGLAS</t>
  </si>
  <si>
    <t>CARTER REBECCA SLOAN</t>
  </si>
  <si>
    <t>165 RYANS WAY</t>
  </si>
  <si>
    <t>K70000006201</t>
  </si>
  <si>
    <t>B400000014</t>
  </si>
  <si>
    <t>DOSS TOMMY L</t>
  </si>
  <si>
    <t>DOSS SYLVIA T</t>
  </si>
  <si>
    <t>3985 NC HIGHWAY 801 NORTH</t>
  </si>
  <si>
    <t>B40000001408</t>
  </si>
  <si>
    <t>HARRIS DANIEL K</t>
  </si>
  <si>
    <t>1103 HOWELL ROAD</t>
  </si>
  <si>
    <t>B40000001405</t>
  </si>
  <si>
    <t>B40000001406</t>
  </si>
  <si>
    <t>JAMES JANICE L</t>
  </si>
  <si>
    <t>118 BONKIN LAKE ROAD</t>
  </si>
  <si>
    <t>B40000001602</t>
  </si>
  <si>
    <t>WILLIAMS JAMES D</t>
  </si>
  <si>
    <t>WILLIAMS ERIN B</t>
  </si>
  <si>
    <t>236 BONKIN LAKE ROAD</t>
  </si>
  <si>
    <t>27028-6113</t>
  </si>
  <si>
    <t>B40000001603</t>
  </si>
  <si>
    <t>FAUST GEORGE W</t>
  </si>
  <si>
    <t>FAUST ALETHEA H</t>
  </si>
  <si>
    <t>248 BONKIN LAKE ROAD</t>
  </si>
  <si>
    <t>B400000017</t>
  </si>
  <si>
    <t>BARNES GLORIA REEVES</t>
  </si>
  <si>
    <t>1514 BEECH CIRCLE</t>
  </si>
  <si>
    <t>WILKSBORO</t>
  </si>
  <si>
    <t>28697-0000</t>
  </si>
  <si>
    <t>B40000002101</t>
  </si>
  <si>
    <t>HILL DARLENE</t>
  </si>
  <si>
    <t>454 BONKIN LAKE ROAD</t>
  </si>
  <si>
    <t>B40000002102</t>
  </si>
  <si>
    <t>FENDER AARON SCOTT</t>
  </si>
  <si>
    <t>FENDER ALLISON MARIE</t>
  </si>
  <si>
    <t>470 BONKIN LAKE ROAD</t>
  </si>
  <si>
    <t>27028-6115</t>
  </si>
  <si>
    <t>B40000004503</t>
  </si>
  <si>
    <t>SINK JAMES W</t>
  </si>
  <si>
    <t>SINK KIMBERLY S</t>
  </si>
  <si>
    <t>3249 REDMAN ROAD</t>
  </si>
  <si>
    <t>27055-8608</t>
  </si>
  <si>
    <t>B500000004</t>
  </si>
  <si>
    <t>RIVERS PAUL E</t>
  </si>
  <si>
    <t>RIVERS KATHY SMITH</t>
  </si>
  <si>
    <t>972 WYO ROAD</t>
  </si>
  <si>
    <t>D7060A0013</t>
  </si>
  <si>
    <t>SMITH LINDA W TRUSTEE</t>
  </si>
  <si>
    <t>RONALD H &amp; LINDA W SMITH TRUST</t>
  </si>
  <si>
    <t>627 GORDON DRIVE</t>
  </si>
  <si>
    <t>B500000005</t>
  </si>
  <si>
    <t>B50000001303</t>
  </si>
  <si>
    <t>ALLEN EDDIE D</t>
  </si>
  <si>
    <t>5445 BETHANIA ROAD</t>
  </si>
  <si>
    <t>WINSTON SALEM</t>
  </si>
  <si>
    <t>27106-0000</t>
  </si>
  <si>
    <t>B50000001311</t>
  </si>
  <si>
    <t>HUTCHENS LUGINA PAULETTE P</t>
  </si>
  <si>
    <t>HUTCHENS JAY A</t>
  </si>
  <si>
    <t>648 PINEVILLE ROAD</t>
  </si>
  <si>
    <t>27028-6244</t>
  </si>
  <si>
    <t>B500000014</t>
  </si>
  <si>
    <t>WISHON WESLEY</t>
  </si>
  <si>
    <t>RT 5</t>
  </si>
  <si>
    <t>B500000028</t>
  </si>
  <si>
    <t>JOHNSON JOE EDWARD</t>
  </si>
  <si>
    <t>2466 FARMINGTON ROAD</t>
  </si>
  <si>
    <t>B50000008401</t>
  </si>
  <si>
    <t>JOHNSON THOMAS A</t>
  </si>
  <si>
    <t>JOHNSON TERRI N</t>
  </si>
  <si>
    <t>2492 FARMINGTON RD.</t>
  </si>
  <si>
    <t>27028-6207</t>
  </si>
  <si>
    <t>B500000035</t>
  </si>
  <si>
    <t>FROST JOHN WAYNE</t>
  </si>
  <si>
    <t>483 PINEVILLE ROAD</t>
  </si>
  <si>
    <t>B500000037</t>
  </si>
  <si>
    <t>WRIGHT TONI</t>
  </si>
  <si>
    <t>468 PINEVILLE ROAD</t>
  </si>
  <si>
    <t>B50000003901</t>
  </si>
  <si>
    <t>YOUNG CRAWFORD</t>
  </si>
  <si>
    <t>438 PINEVILLE ROAD</t>
  </si>
  <si>
    <t>B500000061</t>
  </si>
  <si>
    <t>POTTS REAL ESTATE INC</t>
  </si>
  <si>
    <t>PO BOX 498</t>
  </si>
  <si>
    <t>27006-0498</t>
  </si>
  <si>
    <t>D700000168</t>
  </si>
  <si>
    <t>D700000194</t>
  </si>
  <si>
    <t>D70000010701</t>
  </si>
  <si>
    <t>D70000010801</t>
  </si>
  <si>
    <t>D600000045</t>
  </si>
  <si>
    <t>G700000142</t>
  </si>
  <si>
    <t>G70000014207</t>
  </si>
  <si>
    <t>G80000000504</t>
  </si>
  <si>
    <t>H50000002406</t>
  </si>
  <si>
    <t>H900000021</t>
  </si>
  <si>
    <t>G7040A0012</t>
  </si>
  <si>
    <t>G7040A0006</t>
  </si>
  <si>
    <t>G7040A0007</t>
  </si>
  <si>
    <t>G7040A0002</t>
  </si>
  <si>
    <t>G7040A0009</t>
  </si>
  <si>
    <t>G7040A0010</t>
  </si>
  <si>
    <t>G7040A0011</t>
  </si>
  <si>
    <t>G7040A0003</t>
  </si>
  <si>
    <t>G7040A0004</t>
  </si>
  <si>
    <t>G7040A0013</t>
  </si>
  <si>
    <t>G7040A0014</t>
  </si>
  <si>
    <t>G7040A0015</t>
  </si>
  <si>
    <t>G7040A0016</t>
  </si>
  <si>
    <t>G7040A0001</t>
  </si>
  <si>
    <t>G7040A0018</t>
  </si>
  <si>
    <t>G7040A0019</t>
  </si>
  <si>
    <t>G7040A0017</t>
  </si>
  <si>
    <t>G7040A0029</t>
  </si>
  <si>
    <t>G7040A0031</t>
  </si>
  <si>
    <t>G7040A0056</t>
  </si>
  <si>
    <t>G7040A0061</t>
  </si>
  <si>
    <t>G7040A006103</t>
  </si>
  <si>
    <t>G7040A0060</t>
  </si>
  <si>
    <t>G7040A0028</t>
  </si>
  <si>
    <t>G7040A0021</t>
  </si>
  <si>
    <t>G7040A0026</t>
  </si>
  <si>
    <t>G7040B0016</t>
  </si>
  <si>
    <t>G7040B0020</t>
  </si>
  <si>
    <t>G8010A0008</t>
  </si>
  <si>
    <t>G8010A0007</t>
  </si>
  <si>
    <t>G7040B0024</t>
  </si>
  <si>
    <t>G7040B0025</t>
  </si>
  <si>
    <t>G7040B0026</t>
  </si>
  <si>
    <t>G7040B001501A</t>
  </si>
  <si>
    <t>G7040A0043</t>
  </si>
  <si>
    <t>G7040A0044</t>
  </si>
  <si>
    <t>G7040A0041</t>
  </si>
  <si>
    <t>B500000062  A</t>
  </si>
  <si>
    <t>BOHANNON JOHN WESLEY</t>
  </si>
  <si>
    <t>3409 FARMINGTON ROAD</t>
  </si>
  <si>
    <t>B500000071</t>
  </si>
  <si>
    <t>BUTNER PAULA MOORE</t>
  </si>
  <si>
    <t>179 PINEVILLLE ROAD</t>
  </si>
  <si>
    <t>B500000075</t>
  </si>
  <si>
    <t>HENDRIX GEORGE RAYFORD</t>
  </si>
  <si>
    <t>HENDRIX PEGGY KEATON</t>
  </si>
  <si>
    <t>129 HEPLER ROAD</t>
  </si>
  <si>
    <t>27028-7225</t>
  </si>
  <si>
    <t>G60000011301</t>
  </si>
  <si>
    <t>B500000077</t>
  </si>
  <si>
    <t>G600000113</t>
  </si>
  <si>
    <t>B50000008104</t>
  </si>
  <si>
    <t>WILSON PAUL DALE</t>
  </si>
  <si>
    <t>WILSON PAMELA S</t>
  </si>
  <si>
    <t>955 SPILLMAN ROAD</t>
  </si>
  <si>
    <t>27028-4964</t>
  </si>
  <si>
    <t>B50000008101</t>
  </si>
  <si>
    <t>HOLCOMB ADAM LEE</t>
  </si>
  <si>
    <t>HOLCOMB MERRY ANA</t>
  </si>
  <si>
    <t>929 SPILLMAN ROAD</t>
  </si>
  <si>
    <t>27028-7821</t>
  </si>
  <si>
    <t>B500000084</t>
  </si>
  <si>
    <t>JOHNSON CAROLYN C</t>
  </si>
  <si>
    <t>B500000085</t>
  </si>
  <si>
    <t>WILLIAMS BERNIE RAY</t>
  </si>
  <si>
    <t>2505 FARMINGTON ROAD</t>
  </si>
  <si>
    <t>B500000088</t>
  </si>
  <si>
    <t>BROWN MARION W LIVING TRUST</t>
  </si>
  <si>
    <t>1624 W WELLINGTON WAY</t>
  </si>
  <si>
    <t>MUSTANG</t>
  </si>
  <si>
    <t>OK</t>
  </si>
  <si>
    <t>73064-1532</t>
  </si>
  <si>
    <t>B500000095</t>
  </si>
  <si>
    <t>CALVARY CHURCH CEMETARY</t>
  </si>
  <si>
    <t>00000-0000</t>
  </si>
  <si>
    <t>B50000009601</t>
  </si>
  <si>
    <t>PILCHER CHARLES PHILLIP</t>
  </si>
  <si>
    <t>2728 FARMINGTON ROAD</t>
  </si>
  <si>
    <t>B500000106</t>
  </si>
  <si>
    <t>SPILLMAN WILLIAM MATTHEWS ETAL</t>
  </si>
  <si>
    <t>SPILLMAN KRISTOPHER P</t>
  </si>
  <si>
    <t>1163 SPILLMAN ROAD</t>
  </si>
  <si>
    <t>27028-7823</t>
  </si>
  <si>
    <t>B50000010601</t>
  </si>
  <si>
    <t>WALKER WILLIAM KEITH</t>
  </si>
  <si>
    <t>1156 SPILLMAN ROAD</t>
  </si>
  <si>
    <t>B60000000304</t>
  </si>
  <si>
    <t>MILLER NANCY SPARKS</t>
  </si>
  <si>
    <t>903 SPILLMAN ROAD</t>
  </si>
  <si>
    <t>B600000010</t>
  </si>
  <si>
    <t>SPILLMAN PAUL M</t>
  </si>
  <si>
    <t>SPILLMAN CONNIE S</t>
  </si>
  <si>
    <t>173 ARROWHEAD ROAD</t>
  </si>
  <si>
    <t>27028-7601</t>
  </si>
  <si>
    <t>B60000001105</t>
  </si>
  <si>
    <t>POE MICHAEL LEE</t>
  </si>
  <si>
    <t>POE LESLIE MICHELE</t>
  </si>
  <si>
    <t>165 REDFIELD ROAD</t>
  </si>
  <si>
    <t>27028-7760</t>
  </si>
  <si>
    <t>B60000001302</t>
  </si>
  <si>
    <t>DAVIS W C JR</t>
  </si>
  <si>
    <t>DAVIS ANN A</t>
  </si>
  <si>
    <t>127 HAUSER CREEK LANE</t>
  </si>
  <si>
    <t>B60000001304</t>
  </si>
  <si>
    <t>B60000001308</t>
  </si>
  <si>
    <t>LOWE EDWARD TRUSTEE</t>
  </si>
  <si>
    <t>LOWE NANCY A TRUSTEE</t>
  </si>
  <si>
    <t>EDWARD &amp; NANCY A LOWE TRUST</t>
  </si>
  <si>
    <t>335 REDFIELD ROAD</t>
  </si>
  <si>
    <t>27028-7763</t>
  </si>
  <si>
    <t>B600000017</t>
  </si>
  <si>
    <t>GITTER CLAY JONES</t>
  </si>
  <si>
    <t>1409 PLEASANT FORK CHRUCH ROAD</t>
  </si>
  <si>
    <t>27127-0000</t>
  </si>
  <si>
    <t>B60000001801</t>
  </si>
  <si>
    <t>FRANK EDWARD G</t>
  </si>
  <si>
    <t>208 DEERFIELD DRIVE</t>
  </si>
  <si>
    <t>B60000001807</t>
  </si>
  <si>
    <t>ALLEN ELMER G</t>
  </si>
  <si>
    <t>ALLEN GERALDINE N</t>
  </si>
  <si>
    <t>204 DEERFIELD DRIVE</t>
  </si>
  <si>
    <t>B60000001806</t>
  </si>
  <si>
    <t>B60000001810</t>
  </si>
  <si>
    <t>C60000002101</t>
  </si>
  <si>
    <t>SPARKS DWIGHT</t>
  </si>
  <si>
    <t>231 HIDDEN CREEK DRIVE</t>
  </si>
  <si>
    <t>B60000002104</t>
  </si>
  <si>
    <t>B600000022</t>
  </si>
  <si>
    <t>FENWICK ELIZABETH LINDSAY</t>
  </si>
  <si>
    <t>2126 FOREST DRIVE</t>
  </si>
  <si>
    <t>27104-2022</t>
  </si>
  <si>
    <t>B600000024</t>
  </si>
  <si>
    <t>MCKNIGHT JUNE P</t>
  </si>
  <si>
    <t>333 MCKNIGHT ROAD</t>
  </si>
  <si>
    <t>27006-6640</t>
  </si>
  <si>
    <t>C60000009101</t>
  </si>
  <si>
    <t>B60000002602</t>
  </si>
  <si>
    <t>THARPE FRANK M JR</t>
  </si>
  <si>
    <t>PO BOX 11845</t>
  </si>
  <si>
    <t>27116-1845</t>
  </si>
  <si>
    <t>B60000002701</t>
  </si>
  <si>
    <t>WILSON GEORGE E</t>
  </si>
  <si>
    <t>WILSON ELEANOR F</t>
  </si>
  <si>
    <t>245 SPARKS ROAD</t>
  </si>
  <si>
    <t>C700000072</t>
  </si>
  <si>
    <t>ANDERSON CYNTHIA ANN ELLIS</t>
  </si>
  <si>
    <t>1631 YADKIN VALLEY ROAD</t>
  </si>
  <si>
    <t>B700000001</t>
  </si>
  <si>
    <t>DAVIS LAWRENCE R</t>
  </si>
  <si>
    <t>DAVIS BILLIE J</t>
  </si>
  <si>
    <t>1526 YADKIN VALLEY RD</t>
  </si>
  <si>
    <t>27006-8714</t>
  </si>
  <si>
    <t>B700000002</t>
  </si>
  <si>
    <t>LONG THOMAS G</t>
  </si>
  <si>
    <t>LONG EMMA R</t>
  </si>
  <si>
    <t>1513 YADKIN VALLEY ROAD</t>
  </si>
  <si>
    <t>C700000077</t>
  </si>
  <si>
    <t>SMITH WILLIE GRAY</t>
  </si>
  <si>
    <t>SMITH PEGGY F</t>
  </si>
  <si>
    <t>820 NC HIGHWAY 801 NORTH</t>
  </si>
  <si>
    <t>27006-7952</t>
  </si>
  <si>
    <t>B70000000401</t>
  </si>
  <si>
    <t>C70000006701</t>
  </si>
  <si>
    <t>C70000006704</t>
  </si>
  <si>
    <t>B70000000402</t>
  </si>
  <si>
    <t>VITAL LINDA SMITH</t>
  </si>
  <si>
    <t>141 NATALIES WAY</t>
  </si>
  <si>
    <t>B70000000804</t>
  </si>
  <si>
    <t>MINER MARK A</t>
  </si>
  <si>
    <t>MINER AMY H</t>
  </si>
  <si>
    <t>138 SPARKS ROAD</t>
  </si>
  <si>
    <t>B70000000805</t>
  </si>
  <si>
    <t>B70000000903</t>
  </si>
  <si>
    <t>RIDDLE JERRY W JR</t>
  </si>
  <si>
    <t>RIDDLE MELINDA P</t>
  </si>
  <si>
    <t>1400 YADKIN VALLEY ROAD</t>
  </si>
  <si>
    <t>B70000001001</t>
  </si>
  <si>
    <t>WILLIAMS REBECCA J</t>
  </si>
  <si>
    <t>1357 YADKIN VALLEY ROAD</t>
  </si>
  <si>
    <t>C700000075</t>
  </si>
  <si>
    <t>HOWELL JUDY ANN</t>
  </si>
  <si>
    <t>1325 YADKIN VALLEY ROAD</t>
  </si>
  <si>
    <t>27006-8712</t>
  </si>
  <si>
    <t>C70000006702</t>
  </si>
  <si>
    <t>C70000007101</t>
  </si>
  <si>
    <t>B600000028</t>
  </si>
  <si>
    <t>C700000162</t>
  </si>
  <si>
    <t>B700000012</t>
  </si>
  <si>
    <t>B70000001201</t>
  </si>
  <si>
    <t>HOWELL CHARLES V JR</t>
  </si>
  <si>
    <t>1349 YADKIN VALLEY ROAD</t>
  </si>
  <si>
    <t>B700000027</t>
  </si>
  <si>
    <t>B70000001301</t>
  </si>
  <si>
    <t>POTTS REALTY INC</t>
  </si>
  <si>
    <t>D700000041</t>
  </si>
  <si>
    <t>G8010A0004</t>
  </si>
  <si>
    <t>G7040A0069</t>
  </si>
  <si>
    <t>H7020A0007</t>
  </si>
  <si>
    <t>H7030A0033</t>
  </si>
  <si>
    <t>H7030A0034</t>
  </si>
  <si>
    <t>B700000017</t>
  </si>
  <si>
    <t>ATKINS WANDA MILLER</t>
  </si>
  <si>
    <t>123 PEACEFUL VALLEY RD</t>
  </si>
  <si>
    <t>27006-8728</t>
  </si>
  <si>
    <t>B70000001701</t>
  </si>
  <si>
    <t>MILLER EDWARD E</t>
  </si>
  <si>
    <t>135 PEACEFULL VALLEY ROAD</t>
  </si>
  <si>
    <t>B700000022</t>
  </si>
  <si>
    <t>HUTCHINS LAURIE KATSAMAS</t>
  </si>
  <si>
    <t>227 PEACEFUL VALLEY ROAD</t>
  </si>
  <si>
    <t>B700000038</t>
  </si>
  <si>
    <t>BUTNER ANTHONY B</t>
  </si>
  <si>
    <t>293 JESSE KING ROAD</t>
  </si>
  <si>
    <t>B700000032</t>
  </si>
  <si>
    <t>B700000069</t>
  </si>
  <si>
    <t>BUTNER REAL ESTATE INVESTMENTS</t>
  </si>
  <si>
    <t>27006-8727</t>
  </si>
  <si>
    <t>B70000007001</t>
  </si>
  <si>
    <t>B700000067</t>
  </si>
  <si>
    <t>HEPLER LONNIE GRAY</t>
  </si>
  <si>
    <t>HEPLER ANNIE SHELTON</t>
  </si>
  <si>
    <t>1195 YADKIN VALLEY ROAD</t>
  </si>
  <si>
    <t>27006-8710</t>
  </si>
  <si>
    <t>B700000044</t>
  </si>
  <si>
    <t>B700000066</t>
  </si>
  <si>
    <t>B700000064</t>
  </si>
  <si>
    <t>F700000015</t>
  </si>
  <si>
    <t>B70000004502</t>
  </si>
  <si>
    <t>ROGERS ROBIN C</t>
  </si>
  <si>
    <t>ROGERS BRADLEY R</t>
  </si>
  <si>
    <t>125 GRIFFITH ROAD</t>
  </si>
  <si>
    <t>27006-8758</t>
  </si>
  <si>
    <t>B70000004501</t>
  </si>
  <si>
    <t>B700000102</t>
  </si>
  <si>
    <t>D8080A0001</t>
  </si>
  <si>
    <t>SHELTON GERTIE ESTATE</t>
  </si>
  <si>
    <t>B700000045</t>
  </si>
  <si>
    <t>CARTER GLENDA S</t>
  </si>
  <si>
    <t>1282 YADKIN VALLEY ROAD</t>
  </si>
  <si>
    <t>B70000004403</t>
  </si>
  <si>
    <t>SMITH RUTH SHELTON</t>
  </si>
  <si>
    <t>1267 YADKIN VALLEY ROAD</t>
  </si>
  <si>
    <t>27006-8711</t>
  </si>
  <si>
    <t>B700000046</t>
  </si>
  <si>
    <t>C700000014</t>
  </si>
  <si>
    <t>B70000004904</t>
  </si>
  <si>
    <t>RIVER BEND HILLS HOMEOWNERS</t>
  </si>
  <si>
    <t>119 RIVER RIDGE TRAIL</t>
  </si>
  <si>
    <t>27006-7970</t>
  </si>
  <si>
    <t>B70000005103</t>
  </si>
  <si>
    <t>GRIFFITH MARY CARTER</t>
  </si>
  <si>
    <t>353 GRIFFITH ROAD</t>
  </si>
  <si>
    <t>B700000051</t>
  </si>
  <si>
    <t>B70000005102</t>
  </si>
  <si>
    <t>GRIFFITH WILLIAM R</t>
  </si>
  <si>
    <t>349 GRIFFITH ROAD</t>
  </si>
  <si>
    <t>B70000005104</t>
  </si>
  <si>
    <t>B70000005303</t>
  </si>
  <si>
    <t>BUDD FARM LLC</t>
  </si>
  <si>
    <t>PO BOX 25124</t>
  </si>
  <si>
    <t>27114-0000</t>
  </si>
  <si>
    <t>B70000005301</t>
  </si>
  <si>
    <t>B70000006001</t>
  </si>
  <si>
    <t>CARTER DOUGLAS REX</t>
  </si>
  <si>
    <t>CARTER MARY ANN</t>
  </si>
  <si>
    <t>159 REX LANE</t>
  </si>
  <si>
    <t>27006-8735</t>
  </si>
  <si>
    <t>B70000006003</t>
  </si>
  <si>
    <t>HANES BRENDA CARTER</t>
  </si>
  <si>
    <t>HANES KENNETH D</t>
  </si>
  <si>
    <t>320 GRIFFITH ROAD</t>
  </si>
  <si>
    <t>27006-8732</t>
  </si>
  <si>
    <t>B70000007201</t>
  </si>
  <si>
    <t>MARSHALL ANGELA D</t>
  </si>
  <si>
    <t>1134 YADKIN VALLEY ROAD</t>
  </si>
  <si>
    <t>C700000132</t>
  </si>
  <si>
    <t>ALLEN GILMER RAY</t>
  </si>
  <si>
    <t>ALLEN WANDA LEE</t>
  </si>
  <si>
    <t>281 DOUBLE A TRAIL</t>
  </si>
  <si>
    <t>C700000130</t>
  </si>
  <si>
    <t>C700000118</t>
  </si>
  <si>
    <t>B700000081</t>
  </si>
  <si>
    <t>C700000131</t>
  </si>
  <si>
    <t>B700000082</t>
  </si>
  <si>
    <t>B700000084</t>
  </si>
  <si>
    <t>B700000075</t>
  </si>
  <si>
    <t>B700000085</t>
  </si>
  <si>
    <t>CARTER STANDFER D</t>
  </si>
  <si>
    <t>CARTER CHRISTINE N PASCHALL</t>
  </si>
  <si>
    <t>1005 YADKIN VALLEY ROAD</t>
  </si>
  <si>
    <t>B700000077</t>
  </si>
  <si>
    <t>B70000007902</t>
  </si>
  <si>
    <t>GREGORY DONALD WAYNE</t>
  </si>
  <si>
    <t>GREGORY DEBRA M</t>
  </si>
  <si>
    <t>165 RALTON EUGENE TRAIL</t>
  </si>
  <si>
    <t>B700000083</t>
  </si>
  <si>
    <t>PARKS LESLEY M</t>
  </si>
  <si>
    <t>180 ASPEN LANE</t>
  </si>
  <si>
    <t>B700000097</t>
  </si>
  <si>
    <t>B700000090</t>
  </si>
  <si>
    <t>MILLER LEWIS J JR</t>
  </si>
  <si>
    <t>230 BRENTWOOD DR</t>
  </si>
  <si>
    <t>B700000089</t>
  </si>
  <si>
    <t>B70000008901</t>
  </si>
  <si>
    <t>BROWN LEWIS DAVID</t>
  </si>
  <si>
    <t>BROWN MARY CAROLYN L</t>
  </si>
  <si>
    <t>152 VALLEY OAKS DRIVE</t>
  </si>
  <si>
    <t>27006-8743</t>
  </si>
  <si>
    <t>B70000009201</t>
  </si>
  <si>
    <t>JOHNSON CECIL RAY JR</t>
  </si>
  <si>
    <t>JOHNSON KAYE V</t>
  </si>
  <si>
    <t>930 YADKIN VALLEY ROAD</t>
  </si>
  <si>
    <t>B70000009203</t>
  </si>
  <si>
    <t>RIDDLE RANDY LEE</t>
  </si>
  <si>
    <t>RIDDLE PATRICIA R</t>
  </si>
  <si>
    <t>952 YADKIN VALLEY ROAD</t>
  </si>
  <si>
    <t>B700000093</t>
  </si>
  <si>
    <t>MARSHALL GRAY</t>
  </si>
  <si>
    <t>898 YADKIN VALLEY ROAD</t>
  </si>
  <si>
    <t>27006-8707</t>
  </si>
  <si>
    <t>B700000099</t>
  </si>
  <si>
    <t>FOSTER CLAYTON LEE</t>
  </si>
  <si>
    <t>300 CLAYTON FOSTER LANE</t>
  </si>
  <si>
    <t>27006-8779</t>
  </si>
  <si>
    <t>C8020A0016</t>
  </si>
  <si>
    <t>BARABE DAVID J</t>
  </si>
  <si>
    <t>BARABE ELIZABETH G</t>
  </si>
  <si>
    <t>247 GRIFFITH ROAD</t>
  </si>
  <si>
    <t>27006-8731</t>
  </si>
  <si>
    <t>C8020A0017</t>
  </si>
  <si>
    <t>B7010A0020</t>
  </si>
  <si>
    <t>B7010A0026</t>
  </si>
  <si>
    <t>MELTON BOYDEN DEAN</t>
  </si>
  <si>
    <t>SHOEMAKER-MELTON LEIGH</t>
  </si>
  <si>
    <t>157 SANDPIT ROAD</t>
  </si>
  <si>
    <t>B7010A0028</t>
  </si>
  <si>
    <t>QUEEN EUGENE R</t>
  </si>
  <si>
    <t>QUEEN SUSAN S</t>
  </si>
  <si>
    <t>187 SANDPIT ROAD</t>
  </si>
  <si>
    <t>27006-8762</t>
  </si>
  <si>
    <t>B7010B000401</t>
  </si>
  <si>
    <t>BLANKENSHIP ERIC</t>
  </si>
  <si>
    <t>BLANKENSHIP CAROL</t>
  </si>
  <si>
    <t>PO BOX 1514</t>
  </si>
  <si>
    <t>27028-1514</t>
  </si>
  <si>
    <t>B7140A0001</t>
  </si>
  <si>
    <t>WALKER KENNETH E REV TRUST</t>
  </si>
  <si>
    <t>WALKER SALLY L REV TRUST</t>
  </si>
  <si>
    <t>115 VALLEY OAKS DRIVE</t>
  </si>
  <si>
    <t>B7140A0003</t>
  </si>
  <si>
    <t>ALLEN RICKY D</t>
  </si>
  <si>
    <t>ALLEN KATHY B</t>
  </si>
  <si>
    <t>133 VALLEY OAKS DRIVE</t>
  </si>
  <si>
    <t>G800000210</t>
  </si>
  <si>
    <t>DIXON DARYL A</t>
  </si>
  <si>
    <t>DIXON ELIZABETH C</t>
  </si>
  <si>
    <t>480 RABBIT FARM TRAIL</t>
  </si>
  <si>
    <t>B7140A0009</t>
  </si>
  <si>
    <t>KUHNS MAX L</t>
  </si>
  <si>
    <t>KUHNS SONDRA</t>
  </si>
  <si>
    <t>183 VALLEY OAKS DRIVE</t>
  </si>
  <si>
    <t>B7140A0012</t>
  </si>
  <si>
    <t>BOLES LARRY S</t>
  </si>
  <si>
    <t>BOLES LINDA S</t>
  </si>
  <si>
    <t>190 VALLEY OAKS DRIVE</t>
  </si>
  <si>
    <t>B7140A0016</t>
  </si>
  <si>
    <t>BAILEY THOMAS G</t>
  </si>
  <si>
    <t>BAILEY LINDA J</t>
  </si>
  <si>
    <t>166 VALLEY OAKS DRIVE</t>
  </si>
  <si>
    <t>B7140A0021</t>
  </si>
  <si>
    <t>SMITH KENDRA ELIZABETH POTTS</t>
  </si>
  <si>
    <t>120 VALLEY OAKS DRIVE</t>
  </si>
  <si>
    <t>G80000007603</t>
  </si>
  <si>
    <t>G80000007601</t>
  </si>
  <si>
    <t>B7140A0022</t>
  </si>
  <si>
    <t>PHILLIPS VIRGINIA J F</t>
  </si>
  <si>
    <t>112 VALLEY OAK DRIVE</t>
  </si>
  <si>
    <t>C10000000401</t>
  </si>
  <si>
    <t>STEELMAN J W ESTATE</t>
  </si>
  <si>
    <t>796 OLLIE HARKEY ROAD</t>
  </si>
  <si>
    <t>H40000008701</t>
  </si>
  <si>
    <t>WOOD H DONALD SR</t>
  </si>
  <si>
    <t>WOOD SARAH H</t>
  </si>
  <si>
    <t>196 WANDERING LANE</t>
  </si>
  <si>
    <t>I4050B0001</t>
  </si>
  <si>
    <t>C10000001101</t>
  </si>
  <si>
    <t>JORDAN RONNIE FELPS</t>
  </si>
  <si>
    <t>JORDAN JUDY B</t>
  </si>
  <si>
    <t>1094 BEN ANDERSON ROAD</t>
  </si>
  <si>
    <t>27028-5645</t>
  </si>
  <si>
    <t>C10000001402</t>
  </si>
  <si>
    <t>IVESTER DONNA R</t>
  </si>
  <si>
    <t>349 BLACKWELDER ROAD</t>
  </si>
  <si>
    <t>27028-5650</t>
  </si>
  <si>
    <t>C10000001401</t>
  </si>
  <si>
    <t>ANDERSON TERRY LEE</t>
  </si>
  <si>
    <t>1001 BEN ANDERSON ROAD</t>
  </si>
  <si>
    <t>C100000015</t>
  </si>
  <si>
    <t>C100000016</t>
  </si>
  <si>
    <t>ANDERSON JOHNNY DALE</t>
  </si>
  <si>
    <t>992 BEN ANDERSON ROAD</t>
  </si>
  <si>
    <t>C10000001703</t>
  </si>
  <si>
    <t>PITTS RICHARD R</t>
  </si>
  <si>
    <t>PITTS PATRICIA M</t>
  </si>
  <si>
    <t>987 BEN ANDERSON ROAD</t>
  </si>
  <si>
    <t>27028-5644</t>
  </si>
  <si>
    <t>C10000001704</t>
  </si>
  <si>
    <t>C10000001701</t>
  </si>
  <si>
    <t>CLINE JOEY M</t>
  </si>
  <si>
    <t>CLINE HOPE</t>
  </si>
  <si>
    <t>854 BEAR CREEK CHURCH ROAD</t>
  </si>
  <si>
    <t>C10000002101</t>
  </si>
  <si>
    <t>ROSENSTEEL MARK A</t>
  </si>
  <si>
    <t>ROSENSTEEL PAMELA J</t>
  </si>
  <si>
    <t>541 BEN ANDERSON ROAD</t>
  </si>
  <si>
    <t>C20000000301</t>
  </si>
  <si>
    <t>WILLIARD JOHN F</t>
  </si>
  <si>
    <t>WILLIARD LUANE S</t>
  </si>
  <si>
    <t>880 BEN ANDERSON ROAD</t>
  </si>
  <si>
    <t>27028-5643</t>
  </si>
  <si>
    <t>C20000000102</t>
  </si>
  <si>
    <t>C200000002</t>
  </si>
  <si>
    <t>MOORE JOSEPH KENT</t>
  </si>
  <si>
    <t>MOORE MARJORIE S</t>
  </si>
  <si>
    <t>920 BEN ANDERSON ROAD</t>
  </si>
  <si>
    <t>C20000000501</t>
  </si>
  <si>
    <t>ANDERSON C M</t>
  </si>
  <si>
    <t>ANDERSON MARY</t>
  </si>
  <si>
    <t>278 MAPLE AVENUE</t>
  </si>
  <si>
    <t>J4040G0014</t>
  </si>
  <si>
    <t>C20000000801</t>
  </si>
  <si>
    <t>SHOFFNER TROY F</t>
  </si>
  <si>
    <t>SHOFFNER JUDY M</t>
  </si>
  <si>
    <t>487 BEN ANDERSON ROAD</t>
  </si>
  <si>
    <t>C20000001103A</t>
  </si>
  <si>
    <t>BINKLEY JEFFREY B</t>
  </si>
  <si>
    <t>BINKLEY ANDREA M</t>
  </si>
  <si>
    <t>136 BRIARCLIFF LANE</t>
  </si>
  <si>
    <t>C20000001105</t>
  </si>
  <si>
    <t>C20000001104</t>
  </si>
  <si>
    <t>C200000013</t>
  </si>
  <si>
    <t>SHOFFNER MICHAEL</t>
  </si>
  <si>
    <t>171 SHOFFNER LANE</t>
  </si>
  <si>
    <t>27028-5944</t>
  </si>
  <si>
    <t>C200000021</t>
  </si>
  <si>
    <t>WHITAKER JOHNNY FLETCHER</t>
  </si>
  <si>
    <t>105 LAT WHITAKER ROAD</t>
  </si>
  <si>
    <t>C20000002106</t>
  </si>
  <si>
    <t>C20000002104</t>
  </si>
  <si>
    <t>C20000002203</t>
  </si>
  <si>
    <t>HONEYCUTT MARGARET A</t>
  </si>
  <si>
    <t>220 CHOATE ROAD</t>
  </si>
  <si>
    <t>SALISBURY</t>
  </si>
  <si>
    <t>28146-0000</t>
  </si>
  <si>
    <t>C200000023</t>
  </si>
  <si>
    <t>C20000002204</t>
  </si>
  <si>
    <t>JOHNSON GARY LANDON</t>
  </si>
  <si>
    <t>JOHNSON SHIRLEY ADAMS</t>
  </si>
  <si>
    <t>234 CAIN REAVIS ROAD</t>
  </si>
  <si>
    <t>27028-4637</t>
  </si>
  <si>
    <t>C200000026</t>
  </si>
  <si>
    <t>C200000027</t>
  </si>
  <si>
    <t>PIERCE MARILYN HARRIS</t>
  </si>
  <si>
    <t>PIERCE RICHARD E</t>
  </si>
  <si>
    <t>3911 US HWY 601 NORTH</t>
  </si>
  <si>
    <t>C20000002701</t>
  </si>
  <si>
    <t>HARRIS DAVID J</t>
  </si>
  <si>
    <t>3956 US HIGHWAY 601 NORTH</t>
  </si>
  <si>
    <t>27028-6273</t>
  </si>
  <si>
    <t>C20000002704</t>
  </si>
  <si>
    <t>D30000006003</t>
  </si>
  <si>
    <t>D300000028</t>
  </si>
  <si>
    <t>D30000002803</t>
  </si>
  <si>
    <t>HARRIS FREDRICK ALAN</t>
  </si>
  <si>
    <t>3912 US HIGHWAY 601 NORTH</t>
  </si>
  <si>
    <t>D30000002903</t>
  </si>
  <si>
    <t>C20000002703</t>
  </si>
  <si>
    <t>D30000006002</t>
  </si>
  <si>
    <t>C20000002801</t>
  </si>
  <si>
    <t>BEAUCHAMP JEFFREY G</t>
  </si>
  <si>
    <t>BEAUCHAMP SUSANNAH S</t>
  </si>
  <si>
    <t>318 CAIN REAVIS ROAD</t>
  </si>
  <si>
    <t>27028-4638</t>
  </si>
  <si>
    <t>C200000028</t>
  </si>
  <si>
    <t>C20000002901</t>
  </si>
  <si>
    <t>RENEGAR GARY KENNETH</t>
  </si>
  <si>
    <t>167 HALF MILE LANE</t>
  </si>
  <si>
    <t>C200000030</t>
  </si>
  <si>
    <t>EDWARDS LINDA ANDERSON</t>
  </si>
  <si>
    <t>299 HALF MILE LANE</t>
  </si>
  <si>
    <t>C20000003001</t>
  </si>
  <si>
    <t>C20000003301</t>
  </si>
  <si>
    <t>RENEGAR JIMMY DALE</t>
  </si>
  <si>
    <t>1624 LIBERTY CHURCH ROAD</t>
  </si>
  <si>
    <t>27028-4850</t>
  </si>
  <si>
    <t>C20000003809</t>
  </si>
  <si>
    <t>GAMMONS RANDALL J</t>
  </si>
  <si>
    <t>1388 LIBERTY CHURCH ROAD</t>
  </si>
  <si>
    <t>27028-5838</t>
  </si>
  <si>
    <t>C200000045</t>
  </si>
  <si>
    <t>BUCHANAN TAMMY J</t>
  </si>
  <si>
    <t>446 JACK BOOE ROAD</t>
  </si>
  <si>
    <t>27028-4834</t>
  </si>
  <si>
    <t>C200000043</t>
  </si>
  <si>
    <t>C200000044</t>
  </si>
  <si>
    <t>C30000000204</t>
  </si>
  <si>
    <t>REVELS MARK A</t>
  </si>
  <si>
    <t>574 CHILDRENS HOME RD.</t>
  </si>
  <si>
    <t>C30000000202</t>
  </si>
  <si>
    <t>REVELS TONYA</t>
  </si>
  <si>
    <t>547 CHILDRENS HOME ROAD</t>
  </si>
  <si>
    <t>27028-4704</t>
  </si>
  <si>
    <t>C30000000206</t>
  </si>
  <si>
    <t>C300000003</t>
  </si>
  <si>
    <t>BROWN EARL J</t>
  </si>
  <si>
    <t>BROWN CATHY T</t>
  </si>
  <si>
    <t>630 CHILDRENS HOME ROAD</t>
  </si>
  <si>
    <t>27028-4705</t>
  </si>
  <si>
    <t>C300000032</t>
  </si>
  <si>
    <t>PARKS JUANITA B</t>
  </si>
  <si>
    <t>128 PARKS LANE</t>
  </si>
  <si>
    <t>C300000012</t>
  </si>
  <si>
    <t>C300000009</t>
  </si>
  <si>
    <t>I5160D0011</t>
  </si>
  <si>
    <t>I5160D0015</t>
  </si>
  <si>
    <t>I5160D0014</t>
  </si>
  <si>
    <t>I5160B0005</t>
  </si>
  <si>
    <t>I4130E0001</t>
  </si>
  <si>
    <t>J5010C0030</t>
  </si>
  <si>
    <t>J5010C0021</t>
  </si>
  <si>
    <t>C300000015</t>
  </si>
  <si>
    <t>PARKS SHIRLEY J</t>
  </si>
  <si>
    <t>3328C NORTHCREST ROAD</t>
  </si>
  <si>
    <t>ATLANTA</t>
  </si>
  <si>
    <t>GA</t>
  </si>
  <si>
    <t>30340-0000</t>
  </si>
  <si>
    <t>C30000001902</t>
  </si>
  <si>
    <t>NAYLOR ANGELA CECELIA</t>
  </si>
  <si>
    <t>108 BRAMBLEWOOD LANE</t>
  </si>
  <si>
    <t>27028-6120</t>
  </si>
  <si>
    <t>C30000004106</t>
  </si>
  <si>
    <t>OAKES LUWONNA WINN</t>
  </si>
  <si>
    <t>OAKES GLENN CARROLL JR</t>
  </si>
  <si>
    <t>4681 US HIGHWAY 601 NORTH</t>
  </si>
  <si>
    <t>27028-6280</t>
  </si>
  <si>
    <t>C30000004103</t>
  </si>
  <si>
    <t>C70000008901</t>
  </si>
  <si>
    <t>ELLIS KENNY GRAY SR</t>
  </si>
  <si>
    <t>4667 US HIGHWAY 601 NORTH</t>
  </si>
  <si>
    <t>C30000004301</t>
  </si>
  <si>
    <t>ELLIS STEVEN G</t>
  </si>
  <si>
    <t>4676 US HIGHWAY 601 NORTH</t>
  </si>
  <si>
    <t>C30000003901</t>
  </si>
  <si>
    <t>C300000060</t>
  </si>
  <si>
    <t>PHILLIPS LESTER CARL</t>
  </si>
  <si>
    <t>PHILLIPS FLORA</t>
  </si>
  <si>
    <t>121 R SHORE DRIVE</t>
  </si>
  <si>
    <t>C300000061</t>
  </si>
  <si>
    <t>PHILLIPS FLORA S</t>
  </si>
  <si>
    <t>C300000063</t>
  </si>
  <si>
    <t>GRIFFIN CHARLES P</t>
  </si>
  <si>
    <t>GRIFFIN KATHY D</t>
  </si>
  <si>
    <t>116 R SHORE ROAD</t>
  </si>
  <si>
    <t>27028-4921</t>
  </si>
  <si>
    <t>J4140A0034</t>
  </si>
  <si>
    <t>SMITH CHARLES WHERLI</t>
  </si>
  <si>
    <t>SMITH EILEEN JOAN</t>
  </si>
  <si>
    <t>119 NEW HAMPSHIRE CT</t>
  </si>
  <si>
    <t>C300000075</t>
  </si>
  <si>
    <t>BAITY KENNETH WAYNE</t>
  </si>
  <si>
    <t>BAITY MAVIS EMMAJEAN HARRIS</t>
  </si>
  <si>
    <t>315 BAITY ROAD</t>
  </si>
  <si>
    <t>C30000007101</t>
  </si>
  <si>
    <t>BAITY WILLIAM RAY JR</t>
  </si>
  <si>
    <t>210 BAITY ROAD</t>
  </si>
  <si>
    <t>27028-4612</t>
  </si>
  <si>
    <t>C30000007207</t>
  </si>
  <si>
    <t>BAITY BONNIE W</t>
  </si>
  <si>
    <t>C30000013801</t>
  </si>
  <si>
    <t>C30000007213</t>
  </si>
  <si>
    <t>WHITAKER DAVID M</t>
  </si>
  <si>
    <t>WHITAKER KIM Y</t>
  </si>
  <si>
    <t>171 BAITY ROAD</t>
  </si>
  <si>
    <t>C300000076</t>
  </si>
  <si>
    <t>KEATON JASON EDWARD</t>
  </si>
  <si>
    <t>KEATON AMANDA SIGMON</t>
  </si>
  <si>
    <t>339 BAITY ROAD</t>
  </si>
  <si>
    <t>C300000078</t>
  </si>
  <si>
    <t>PHILLIPS BOBBY L TRUST</t>
  </si>
  <si>
    <t>PHILLIPS REBA A TRUST</t>
  </si>
  <si>
    <t>4551 US HIGHWAY 601 NORTH</t>
  </si>
  <si>
    <t>27028-6279</t>
  </si>
  <si>
    <t>E500000011</t>
  </si>
  <si>
    <t>CRESCENT ELECTRIC MEMB CORP</t>
  </si>
  <si>
    <t>PO BOX 1831</t>
  </si>
  <si>
    <t>STATESVILLE</t>
  </si>
  <si>
    <t>28687-0000</t>
  </si>
  <si>
    <t>C300000083</t>
  </si>
  <si>
    <t>G300000035</t>
  </si>
  <si>
    <t>K5100A0014</t>
  </si>
  <si>
    <t>J50000003501</t>
  </si>
  <si>
    <t>J5020A0018</t>
  </si>
  <si>
    <t>J40000005104</t>
  </si>
  <si>
    <t>J40000005102</t>
  </si>
  <si>
    <t>C300000087</t>
  </si>
  <si>
    <t>ANGELL MARY HOLLIS</t>
  </si>
  <si>
    <t>167 QUAIL RIDGE LANE</t>
  </si>
  <si>
    <t>27028-8672</t>
  </si>
  <si>
    <t>H4140B0006</t>
  </si>
  <si>
    <t>C30000009301</t>
  </si>
  <si>
    <t>FINGER THOMAS ALEXANDER</t>
  </si>
  <si>
    <t>141 FOSTALL DRIVE</t>
  </si>
  <si>
    <t>27028-4749</t>
  </si>
  <si>
    <t>C300000091</t>
  </si>
  <si>
    <t>C300000095</t>
  </si>
  <si>
    <t>SHOAF DEFOY</t>
  </si>
  <si>
    <t>SHOAF WONGDUEN</t>
  </si>
  <si>
    <t>174 FOSTALL DRIVE</t>
  </si>
  <si>
    <t>C300000097</t>
  </si>
  <si>
    <t>PURYEAR MITCHELL LEE</t>
  </si>
  <si>
    <t>PURYEAR PAULA ALLISON</t>
  </si>
  <si>
    <t>179 FOSTALL DRIVE</t>
  </si>
  <si>
    <t>C300000100</t>
  </si>
  <si>
    <t>BECK RONALD G</t>
  </si>
  <si>
    <t>BECK MELISSA C</t>
  </si>
  <si>
    <t>7031 KENBRIDGE DRIVE</t>
  </si>
  <si>
    <t>C300000102</t>
  </si>
  <si>
    <t>SMOOT JOHN A</t>
  </si>
  <si>
    <t>SMOOT EUNICE B</t>
  </si>
  <si>
    <t>201 JACK BOOE ROAD</t>
  </si>
  <si>
    <t>G4080A0014</t>
  </si>
  <si>
    <t>KIGER LOUVELLA B</t>
  </si>
  <si>
    <t>285 CANA ROAD</t>
  </si>
  <si>
    <t>G4080A0013</t>
  </si>
  <si>
    <t>C300000106</t>
  </si>
  <si>
    <t>HANES MICHAEL ANTHONY</t>
  </si>
  <si>
    <t>111 TURKEY HILL LANE</t>
  </si>
  <si>
    <t>HARMONY</t>
  </si>
  <si>
    <t>28634-0000</t>
  </si>
  <si>
    <t>C30000010701</t>
  </si>
  <si>
    <t>KINDER ALFRED LEE</t>
  </si>
  <si>
    <t>KINDER BONNIE L</t>
  </si>
  <si>
    <t>495 JACK BOOE ROAD</t>
  </si>
  <si>
    <t>C30000010705</t>
  </si>
  <si>
    <t>C30000011001</t>
  </si>
  <si>
    <t>WHITE BILLY F</t>
  </si>
  <si>
    <t>WHITE DIANE D</t>
  </si>
  <si>
    <t>PO BOX 176</t>
  </si>
  <si>
    <t>C30000011006</t>
  </si>
  <si>
    <t>BOOE EDDIE L</t>
  </si>
  <si>
    <t>156 COTTON LANE</t>
  </si>
  <si>
    <t>C30000011008</t>
  </si>
  <si>
    <t>WHITAKER JULIE BUELIN</t>
  </si>
  <si>
    <t>246 JACK BOOE ROAD</t>
  </si>
  <si>
    <t>27028-4832</t>
  </si>
  <si>
    <t>C30000011009</t>
  </si>
  <si>
    <t>MILLER TIMOTHY GENE</t>
  </si>
  <si>
    <t>MILLER JOYEL BUELIN</t>
  </si>
  <si>
    <t>139 COTTON LANE</t>
  </si>
  <si>
    <t>27028-4716</t>
  </si>
  <si>
    <t>C30000011012</t>
  </si>
  <si>
    <t>CARTNER JAMES HUGH JR</t>
  </si>
  <si>
    <t>CARTNER VICTORIA Y</t>
  </si>
  <si>
    <t>1485 POWELL ROAD</t>
  </si>
  <si>
    <t>WOODLEAF</t>
  </si>
  <si>
    <t>27054-0000</t>
  </si>
  <si>
    <t>G5100A0002</t>
  </si>
  <si>
    <t>I5090C0015</t>
  </si>
  <si>
    <t>I5080E0014</t>
  </si>
  <si>
    <t>I4130D001301</t>
  </si>
  <si>
    <t>L700000008</t>
  </si>
  <si>
    <t>I4110A0029</t>
  </si>
  <si>
    <t>J4050F0007</t>
  </si>
  <si>
    <t>J4050F0008</t>
  </si>
  <si>
    <t>C300000118</t>
  </si>
  <si>
    <t>ZIMMERMAN WEETA DENISE</t>
  </si>
  <si>
    <t>625 HOWELL ROAD</t>
  </si>
  <si>
    <t>27028-4815</t>
  </si>
  <si>
    <t>C300000124</t>
  </si>
  <si>
    <t>MARTIN WILLIAM P</t>
  </si>
  <si>
    <t>801 HOWELL ROAD</t>
  </si>
  <si>
    <t>C30000012406</t>
  </si>
  <si>
    <t>LATHAM HEATH L</t>
  </si>
  <si>
    <t>LATHAM STACEY R</t>
  </si>
  <si>
    <t>876 HOWELL ROAD</t>
  </si>
  <si>
    <t>C40000000702</t>
  </si>
  <si>
    <t>WRIGHT ZACHARY H</t>
  </si>
  <si>
    <t>WRIGHT MELODY B</t>
  </si>
  <si>
    <t>PO BOX 26691</t>
  </si>
  <si>
    <t>27114-6691</t>
  </si>
  <si>
    <t>C30000012601</t>
  </si>
  <si>
    <t>C4160A0006</t>
  </si>
  <si>
    <t>C4160A0031</t>
  </si>
  <si>
    <t>C30000012901</t>
  </si>
  <si>
    <t>C300000129</t>
  </si>
  <si>
    <t>TSATSARONIS GUS</t>
  </si>
  <si>
    <t>TSATSARONIS LITSA</t>
  </si>
  <si>
    <t>2935 SPRINGHAVEN DRIVE</t>
  </si>
  <si>
    <t>27103-0000</t>
  </si>
  <si>
    <t>C300000133</t>
  </si>
  <si>
    <t>COPEN ROY ARTHUR</t>
  </si>
  <si>
    <t>COPEN DONNA NORMAN</t>
  </si>
  <si>
    <t>848 HOWELL ROAD</t>
  </si>
  <si>
    <t>27028-4817</t>
  </si>
  <si>
    <t>C400000001</t>
  </si>
  <si>
    <t>DIONNE FREDERICK J</t>
  </si>
  <si>
    <t>DIONNE BETH L</t>
  </si>
  <si>
    <t>1077 HOWELL ROAD</t>
  </si>
  <si>
    <t>27028-4819</t>
  </si>
  <si>
    <t>C40000000202</t>
  </si>
  <si>
    <t>CALCUTT TIMOTHY M</t>
  </si>
  <si>
    <t>CALCUTT GLENDA W</t>
  </si>
  <si>
    <t>762 HOWELL ROAD</t>
  </si>
  <si>
    <t>C40000000203</t>
  </si>
  <si>
    <t>C40000000901</t>
  </si>
  <si>
    <t>DIXON DONNA KAY</t>
  </si>
  <si>
    <t>163 PINO ROAD</t>
  </si>
  <si>
    <t>C400000010</t>
  </si>
  <si>
    <t>WEST LUTHER W JR</t>
  </si>
  <si>
    <t>WEST BOYD NELSON</t>
  </si>
  <si>
    <t>140 PINO ROAD</t>
  </si>
  <si>
    <t>C400000012</t>
  </si>
  <si>
    <t>WEST ROLAND H</t>
  </si>
  <si>
    <t>WEST BETTY ETCHISON</t>
  </si>
  <si>
    <t>3532 NC HIGHWAY 801 NORTH</t>
  </si>
  <si>
    <t>C400000013</t>
  </si>
  <si>
    <t>WILLIAMS PHENEIOUS CLARK III</t>
  </si>
  <si>
    <t>WILLIAMS MARCHETA D</t>
  </si>
  <si>
    <t>PO BOX 1325</t>
  </si>
  <si>
    <t>27028-1325</t>
  </si>
  <si>
    <t>C400000072</t>
  </si>
  <si>
    <t>C400000071</t>
  </si>
  <si>
    <t>C400000014</t>
  </si>
  <si>
    <t>WILLIAMS MARCHETA DULL</t>
  </si>
  <si>
    <t>C400000019</t>
  </si>
  <si>
    <t>C40000001801</t>
  </si>
  <si>
    <t>DULL JIMMY LEE</t>
  </si>
  <si>
    <t>DULL ELIZABETH H</t>
  </si>
  <si>
    <t>6080 TUMBLEWEED TRAIL</t>
  </si>
  <si>
    <t>C40000001804</t>
  </si>
  <si>
    <t>6080 TUMBLEWOOD TRAIL</t>
  </si>
  <si>
    <t>C400000021</t>
  </si>
  <si>
    <t>BROWN BOBBY G</t>
  </si>
  <si>
    <t>BROWN ALLISON</t>
  </si>
  <si>
    <t>3763 HIGHWAY 801 NORTH</t>
  </si>
  <si>
    <t>27028-6332</t>
  </si>
  <si>
    <t>C400000028</t>
  </si>
  <si>
    <t>WHITE TONY LEE</t>
  </si>
  <si>
    <t>WHITE DORIS S</t>
  </si>
  <si>
    <t>228 NORDWIN DRIVE</t>
  </si>
  <si>
    <t>27104-0000</t>
  </si>
  <si>
    <t>C400000039</t>
  </si>
  <si>
    <t>ALLEN JIMMY RAY</t>
  </si>
  <si>
    <t>ALLEN SARAH MAGDALINE M</t>
  </si>
  <si>
    <t>306 NORTH PINO ROAD</t>
  </si>
  <si>
    <t>C40000003901</t>
  </si>
  <si>
    <t>ALLEN MICHAEL RAY</t>
  </si>
  <si>
    <t>141 KAYLA TRAIL</t>
  </si>
  <si>
    <t>C400000040</t>
  </si>
  <si>
    <t>NEWSOM EDWIN R</t>
  </si>
  <si>
    <t>NEWSOM DIANE M</t>
  </si>
  <si>
    <t>215 KAYLA TRAIL</t>
  </si>
  <si>
    <t>27028-4868</t>
  </si>
  <si>
    <t>C400000060</t>
  </si>
  <si>
    <t>MILLER PATRICK C</t>
  </si>
  <si>
    <t>3279 NC HIGHWAY 801 NORTH</t>
  </si>
  <si>
    <t>C40000005302</t>
  </si>
  <si>
    <t>C40000005303</t>
  </si>
  <si>
    <t>C40000005304</t>
  </si>
  <si>
    <t>C40000006301</t>
  </si>
  <si>
    <t>SPACH EDWIN LEE</t>
  </si>
  <si>
    <t>1016 CEDAR CREEK ROAD</t>
  </si>
  <si>
    <t>C40000006403</t>
  </si>
  <si>
    <t>COOK JAMES A JR</t>
  </si>
  <si>
    <t>COOK VALERIE A</t>
  </si>
  <si>
    <t>193 DANCE HALL ROAD</t>
  </si>
  <si>
    <t>C4160A0003</t>
  </si>
  <si>
    <t>ARTHUR CORWIN MORGAN</t>
  </si>
  <si>
    <t>ARTHUR JENNIFER LYNNE ANSORGE</t>
  </si>
  <si>
    <t>156 EQUESTRIAN LANE</t>
  </si>
  <si>
    <t>C4160A0004</t>
  </si>
  <si>
    <t>POTTS G RAY</t>
  </si>
  <si>
    <t>POTTS SHEILA C</t>
  </si>
  <si>
    <t>132 EQUESTRIAN LANE</t>
  </si>
  <si>
    <t>C4160A0011</t>
  </si>
  <si>
    <t>WALLACE MICHELLE LUNSFORD</t>
  </si>
  <si>
    <t>209 HEATHCLIFF PLACE</t>
  </si>
  <si>
    <t>C4160A0012</t>
  </si>
  <si>
    <t>TOTH CYNTHIA ANN</t>
  </si>
  <si>
    <t>205 STEEPLECHASE LANE</t>
  </si>
  <si>
    <t>C4160A0013</t>
  </si>
  <si>
    <t>CHESNEE STEVEN G</t>
  </si>
  <si>
    <t>CHESNEE BRIGETTE K</t>
  </si>
  <si>
    <t>157 STEEPLECHASE LANE</t>
  </si>
  <si>
    <t>C4160A0015</t>
  </si>
  <si>
    <t>WILSON ROY R JR</t>
  </si>
  <si>
    <t>WILSON MARTHA W</t>
  </si>
  <si>
    <t>125 MEADOWLARK LANE</t>
  </si>
  <si>
    <t>C4160A0016</t>
  </si>
  <si>
    <t>WILLIFORD SCOTT</t>
  </si>
  <si>
    <t>WILLIFORD KIRSTEN JACOBS</t>
  </si>
  <si>
    <t>165 MEADOWLARK LANE</t>
  </si>
  <si>
    <t>C4160A0017</t>
  </si>
  <si>
    <t>SHONE THOMAS JAMES</t>
  </si>
  <si>
    <t>SHONE ANDREA JOHNSON</t>
  </si>
  <si>
    <t>2255 LEWISVILLE CLEMMONS ROAD</t>
  </si>
  <si>
    <t>SUITE B</t>
  </si>
  <si>
    <t>27012-7460</t>
  </si>
  <si>
    <t>C4160A0021</t>
  </si>
  <si>
    <t>DONOHOE ROBERT</t>
  </si>
  <si>
    <t>DONOHOE BARBARA</t>
  </si>
  <si>
    <t>157 THOROUGHBRED LANE</t>
  </si>
  <si>
    <t>27028-8364</t>
  </si>
  <si>
    <t>M600000019</t>
  </si>
  <si>
    <t>JOHNSON WILLIAM G JR</t>
  </si>
  <si>
    <t>JOHNSON JUNE H</t>
  </si>
  <si>
    <t>117 BECKTOWN ROAD</t>
  </si>
  <si>
    <t>27028-6604</t>
  </si>
  <si>
    <t>M600000010</t>
  </si>
  <si>
    <t>C4160A0027</t>
  </si>
  <si>
    <t>WEBSTER ROBERT W</t>
  </si>
  <si>
    <t>WEBSTER CHRISTIANE L</t>
  </si>
  <si>
    <t>275 BRANGUS WAY</t>
  </si>
  <si>
    <t>27028-4626</t>
  </si>
  <si>
    <t>C50000000402</t>
  </si>
  <si>
    <t>CRATER BRENDA</t>
  </si>
  <si>
    <t>CRATER RICHARD GRAY</t>
  </si>
  <si>
    <t>136 CRATER SEATS LANE</t>
  </si>
  <si>
    <t>27028-6265</t>
  </si>
  <si>
    <t>C500000001</t>
  </si>
  <si>
    <t>C50000000101</t>
  </si>
  <si>
    <t>SEATS DONNIE G</t>
  </si>
  <si>
    <t>SEATS TAMMY C</t>
  </si>
  <si>
    <t>152 CRATER SEATS LANE</t>
  </si>
  <si>
    <t>C50000000401</t>
  </si>
  <si>
    <t>SEATS DONNIE</t>
  </si>
  <si>
    <t>C500000008</t>
  </si>
  <si>
    <t>VEACH AARON EUGENE</t>
  </si>
  <si>
    <t>VEACH CATHY MOORE</t>
  </si>
  <si>
    <t>459 WYO RD</t>
  </si>
  <si>
    <t>27028-6303</t>
  </si>
  <si>
    <t>C500000015</t>
  </si>
  <si>
    <t>WHITE WILLIAM J</t>
  </si>
  <si>
    <t>WHITE TREVOR WILLIAM</t>
  </si>
  <si>
    <t>5205 COURTNEY HUNTSVILLE ROAD</t>
  </si>
  <si>
    <t>C500000023</t>
  </si>
  <si>
    <t>HARDING JOSEPH HENRY</t>
  </si>
  <si>
    <t>2930 NC HIGHWAY 801 NORTH</t>
  </si>
  <si>
    <t>27028-6315</t>
  </si>
  <si>
    <t>C50000002802</t>
  </si>
  <si>
    <t>BENGE KENNETH R</t>
  </si>
  <si>
    <t>BENGE KATHY S</t>
  </si>
  <si>
    <t>2621 NC HIGHWAY 801 NORTH</t>
  </si>
  <si>
    <t>27028-6312</t>
  </si>
  <si>
    <t>C50000002804</t>
  </si>
  <si>
    <t>C50000002801</t>
  </si>
  <si>
    <t>WILSON MATTHEW B</t>
  </si>
  <si>
    <t>WILSON KELLY R</t>
  </si>
  <si>
    <t>2616 NC HIGHWAY 801 NORTH</t>
  </si>
  <si>
    <t>C500000030</t>
  </si>
  <si>
    <t>RING AMY B</t>
  </si>
  <si>
    <t>2431 NC HIGHWAY 801 NORTH</t>
  </si>
  <si>
    <t>27028-7738</t>
  </si>
  <si>
    <t>C50000003002</t>
  </si>
  <si>
    <t>YORK DENNIS</t>
  </si>
  <si>
    <t>YORK ANGIE</t>
  </si>
  <si>
    <t>2511 NC HIGHWAY 801 NORTH</t>
  </si>
  <si>
    <t>C500000035</t>
  </si>
  <si>
    <t>FARMINGTON MASONIC LODGE #265</t>
  </si>
  <si>
    <t>RTOUE 1 BOX 515</t>
  </si>
  <si>
    <t>C500000036</t>
  </si>
  <si>
    <t>FARMINGTON CEMETARY COMPANY</t>
  </si>
  <si>
    <t>MRS NAOMIE GREEN</t>
  </si>
  <si>
    <t>RT 5 BOX 158</t>
  </si>
  <si>
    <t>C500000037</t>
  </si>
  <si>
    <t>TAYLOR REX J</t>
  </si>
  <si>
    <t>TAYLOR JEAN K</t>
  </si>
  <si>
    <t>162 CEMETERY ROAD</t>
  </si>
  <si>
    <t>27028-7623</t>
  </si>
  <si>
    <t>C500000038</t>
  </si>
  <si>
    <t>FARISS GREGORY D</t>
  </si>
  <si>
    <t>FARISS SUSAN H</t>
  </si>
  <si>
    <t>142 CEMETERY ROAD</t>
  </si>
  <si>
    <t>C500000041</t>
  </si>
  <si>
    <t>NEWSOME MARIA LEIGH</t>
  </si>
  <si>
    <t>BOST CHRISTOPHER D</t>
  </si>
  <si>
    <t>1951 FARMINGTON ROAD</t>
  </si>
  <si>
    <t>C50000004601</t>
  </si>
  <si>
    <t>HARTMAN HARRY BENNY</t>
  </si>
  <si>
    <t>HARTMAN SARAH T</t>
  </si>
  <si>
    <t>142 HARTMAN LANE</t>
  </si>
  <si>
    <t>C500000049</t>
  </si>
  <si>
    <t>WHITE DAVID JR</t>
  </si>
  <si>
    <t>5209 COURTNEY HUNTSVILLE ROAD</t>
  </si>
  <si>
    <t>C50000004903</t>
  </si>
  <si>
    <t>WHITE WILLIAM A</t>
  </si>
  <si>
    <t>2049 FARMINGTON ROAD</t>
  </si>
  <si>
    <t>C500000050</t>
  </si>
  <si>
    <t>BROCK WILLIAM L</t>
  </si>
  <si>
    <t>BROCK JANE Y</t>
  </si>
  <si>
    <t>2125 FARMINGTON ROAD</t>
  </si>
  <si>
    <t>27028-7655</t>
  </si>
  <si>
    <t>C500000053</t>
  </si>
  <si>
    <t>BROCK MARGARET H</t>
  </si>
  <si>
    <t>2207 FARMINGTON ROAD</t>
  </si>
  <si>
    <t>C50000005705</t>
  </si>
  <si>
    <t>DILLARD GILBERT D</t>
  </si>
  <si>
    <t>DILLARD BARBARA S</t>
  </si>
  <si>
    <t>234 POTTER'S RIDGE DRIVE</t>
  </si>
  <si>
    <t>C50000005708</t>
  </si>
  <si>
    <t>WOODY ROBERT J</t>
  </si>
  <si>
    <t>123 POTTERS RIDGE DRIVE</t>
  </si>
  <si>
    <t>C50000005801</t>
  </si>
  <si>
    <t>MULLIES REX ALLEN</t>
  </si>
  <si>
    <t>MULLIES BARBARA SURFACE</t>
  </si>
  <si>
    <t>120 SPRINGWOOD TRAIL</t>
  </si>
  <si>
    <t>C500000058</t>
  </si>
  <si>
    <t>D60000007302</t>
  </si>
  <si>
    <t>HOWARD JAMES C</t>
  </si>
  <si>
    <t>HOWARD PAULINE J</t>
  </si>
  <si>
    <t>430 HILTON ROAD</t>
  </si>
  <si>
    <t>D600000074</t>
  </si>
  <si>
    <t>D600000073</t>
  </si>
  <si>
    <t>C500000072</t>
  </si>
  <si>
    <t>GRAHAM JAMES L</t>
  </si>
  <si>
    <t>GRAHAM PHILLIP R</t>
  </si>
  <si>
    <t>PO BOX 625</t>
  </si>
  <si>
    <t>C500000075</t>
  </si>
  <si>
    <t>DAVIS FAMILY TRUST</t>
  </si>
  <si>
    <t>JOHN &amp; DONNA DAVIS - TRUSTEES</t>
  </si>
  <si>
    <t>PO BOX 1244</t>
  </si>
  <si>
    <t>D7030B0023</t>
  </si>
  <si>
    <t>C7100B0011</t>
  </si>
  <si>
    <t>C500000077</t>
  </si>
  <si>
    <t>KEETON LYNN</t>
  </si>
  <si>
    <t>KEETON BETTY</t>
  </si>
  <si>
    <t>2222 NC HIGHWAY 801 NORTH</t>
  </si>
  <si>
    <t>27028-7736</t>
  </si>
  <si>
    <t>C500000085</t>
  </si>
  <si>
    <t>ALLEN SUE B REVOCABLE TRUST</t>
  </si>
  <si>
    <t>2164 NC HIGHWAY 801 NORTH</t>
  </si>
  <si>
    <t>C500000083</t>
  </si>
  <si>
    <t>C500000084</t>
  </si>
  <si>
    <t>C500000097</t>
  </si>
  <si>
    <t>C60000002205</t>
  </si>
  <si>
    <t>C60000002204</t>
  </si>
  <si>
    <t>C500000093</t>
  </si>
  <si>
    <t>LEVAN RONALD R</t>
  </si>
  <si>
    <t>145 CEDAR FOREST LANE</t>
  </si>
  <si>
    <t>27028-7621</t>
  </si>
  <si>
    <t>C5130A0010</t>
  </si>
  <si>
    <t>GORDON NEAL STONE JR</t>
  </si>
  <si>
    <t>GORDON SHANA LEONARD</t>
  </si>
  <si>
    <t>199 CEDAR FOREST LANE</t>
  </si>
  <si>
    <t>C5130B0005</t>
  </si>
  <si>
    <t>C50000010501</t>
  </si>
  <si>
    <t>FARMINGTON BAPTIST CHURCH</t>
  </si>
  <si>
    <t>1835 FARMINGTON ROAD</t>
  </si>
  <si>
    <t>C500000106</t>
  </si>
  <si>
    <t>MATHIS KENNETH</t>
  </si>
  <si>
    <t>MATHIS LAURA</t>
  </si>
  <si>
    <t>1842 FARMINGTON ROAD</t>
  </si>
  <si>
    <t>27028-7652</t>
  </si>
  <si>
    <t>C500000114</t>
  </si>
  <si>
    <t>FREEMAN ROBERT M</t>
  </si>
  <si>
    <t>FREEMAN CAROLYN R</t>
  </si>
  <si>
    <t>1798 FARMINGTON ROAD</t>
  </si>
  <si>
    <t>27028-7651</t>
  </si>
  <si>
    <t>C5130A0009</t>
  </si>
  <si>
    <t>MOORE LINDA M</t>
  </si>
  <si>
    <t>177 CEDAR FOREST LANE</t>
  </si>
  <si>
    <t>C5130B0001</t>
  </si>
  <si>
    <t>LAWRENCE PEARL GOODBAR</t>
  </si>
  <si>
    <t>222 DROKE CIRCLE</t>
  </si>
  <si>
    <t>C5130B0006</t>
  </si>
  <si>
    <t>HARBIN KAREN D</t>
  </si>
  <si>
    <t>162 CEDAR FOREST LANE</t>
  </si>
  <si>
    <t>C5130B0027</t>
  </si>
  <si>
    <t>LYNDE JERRY JOSEPH</t>
  </si>
  <si>
    <t>LYNDE JENNIFER LOUISE</t>
  </si>
  <si>
    <t>110 DROKE CIR</t>
  </si>
  <si>
    <t>C5130B0007</t>
  </si>
  <si>
    <t>C5130B0008</t>
  </si>
  <si>
    <t>C5130B0026</t>
  </si>
  <si>
    <t>C5130B0028</t>
  </si>
  <si>
    <t>C5130B0010</t>
  </si>
  <si>
    <t>SLOAN TIMOTHY D</t>
  </si>
  <si>
    <t>SLOAN CECILIA H</t>
  </si>
  <si>
    <t>155 DROKE CIRCLE</t>
  </si>
  <si>
    <t>C5130B0017</t>
  </si>
  <si>
    <t>GRAHAM DONALD E</t>
  </si>
  <si>
    <t>GRAHAM CAROLYN R</t>
  </si>
  <si>
    <t>198 DROKE CIRCLE</t>
  </si>
  <si>
    <t>27028-7632</t>
  </si>
  <si>
    <t>C5130B0015</t>
  </si>
  <si>
    <t>C5130B0018</t>
  </si>
  <si>
    <t>C5130B0031</t>
  </si>
  <si>
    <t>HOLBROOK LARRY ODELL</t>
  </si>
  <si>
    <t>2157 NC HIGHWAY 801 NORTH</t>
  </si>
  <si>
    <t>27028-7735</t>
  </si>
  <si>
    <t>C60000000204</t>
  </si>
  <si>
    <t>PHIPPS JAMES W SR</t>
  </si>
  <si>
    <t>PHIPPS SONIA POTTS</t>
  </si>
  <si>
    <t>1893 NC HWY 801 NORTH</t>
  </si>
  <si>
    <t>C60000000201</t>
  </si>
  <si>
    <t>C60000000203</t>
  </si>
  <si>
    <t>C600000086  A</t>
  </si>
  <si>
    <t>WEBB WAYNE</t>
  </si>
  <si>
    <t>WEBB JENNIFER</t>
  </si>
  <si>
    <t>1848 NC HIGHWAY 801 NORTH</t>
  </si>
  <si>
    <t>C600000003</t>
  </si>
  <si>
    <t>C600000005</t>
  </si>
  <si>
    <t>CAUDLE J C</t>
  </si>
  <si>
    <t>1847 NC HIGHWAY 801 NORTH</t>
  </si>
  <si>
    <t>C60000000802</t>
  </si>
  <si>
    <t>SNYDER TIMOTHY M</t>
  </si>
  <si>
    <t>SNYDER DONNA S</t>
  </si>
  <si>
    <t>2335 ALMOND STREET</t>
  </si>
  <si>
    <t>C60000001101</t>
  </si>
  <si>
    <t>RHYNEHARDT ODELL LEWIS JR</t>
  </si>
  <si>
    <t>RHYNEHARDT GWENDOLYN G</t>
  </si>
  <si>
    <t>4323 US HIGHWAY 158</t>
  </si>
  <si>
    <t>C60000001102</t>
  </si>
  <si>
    <t>E700000032</t>
  </si>
  <si>
    <t>C600000017</t>
  </si>
  <si>
    <t>VOGLER GREGORY M</t>
  </si>
  <si>
    <t>2959 RUPARD LANE</t>
  </si>
  <si>
    <t>C60000002202</t>
  </si>
  <si>
    <t>BROCK JOHN HUGH</t>
  </si>
  <si>
    <t>341 GETTYSBURG PIKE</t>
  </si>
  <si>
    <t>ELYSBURG</t>
  </si>
  <si>
    <t>PA</t>
  </si>
  <si>
    <t>17055-0000</t>
  </si>
  <si>
    <t>C60000002203</t>
  </si>
  <si>
    <t>ALLEN WILLIAM R</t>
  </si>
  <si>
    <t>179 MEADOW RIDGE DRIVE</t>
  </si>
  <si>
    <t>C600000023</t>
  </si>
  <si>
    <t>CORNERSTONE CHRISTIAN CHURCH</t>
  </si>
  <si>
    <t>1585 NC HWY 801 N</t>
  </si>
  <si>
    <t>C60000002301</t>
  </si>
  <si>
    <t>C60000002302</t>
  </si>
  <si>
    <t>C600000025</t>
  </si>
  <si>
    <t>ROMINGER BRYAN E</t>
  </si>
  <si>
    <t>253 SPILLMAN ROAD</t>
  </si>
  <si>
    <t>C60000003001</t>
  </si>
  <si>
    <t>MASON JOSEPH W</t>
  </si>
  <si>
    <t>MASON KATHERINE WILLIARD</t>
  </si>
  <si>
    <t>245 SLEEPY HOLLOW ROAD</t>
  </si>
  <si>
    <t>C60000003301</t>
  </si>
  <si>
    <t>HARPER BETTY JEAN</t>
  </si>
  <si>
    <t>HARPER JAMIE C</t>
  </si>
  <si>
    <t>119 TRIPLE H TRAIL</t>
  </si>
  <si>
    <t>C60000004301</t>
  </si>
  <si>
    <t>WHALEY JOAN C</t>
  </si>
  <si>
    <t>223 MYERS ROAD</t>
  </si>
  <si>
    <t>27028-7727</t>
  </si>
  <si>
    <t>C600000051</t>
  </si>
  <si>
    <t>DOBY TIMOTHY LEE</t>
  </si>
  <si>
    <t>261 MYERS ROAD</t>
  </si>
  <si>
    <t>C600000045</t>
  </si>
  <si>
    <t>C600000046</t>
  </si>
  <si>
    <t>C600000050</t>
  </si>
  <si>
    <t>DOBY EARL LEE</t>
  </si>
  <si>
    <t>260 MYERS ROAD</t>
  </si>
  <si>
    <t>C600000049</t>
  </si>
  <si>
    <t>C7100B0022</t>
  </si>
  <si>
    <t>ELLIS JAMES MONDELL</t>
  </si>
  <si>
    <t>ELLIS MARILYN R</t>
  </si>
  <si>
    <t>140 EAST ROBIN DRIVE</t>
  </si>
  <si>
    <t>C600000064</t>
  </si>
  <si>
    <t>MILLER POLLY J</t>
  </si>
  <si>
    <t>MILLER HARVEY A</t>
  </si>
  <si>
    <t>1463 NC HIGHWAY 801 NORTH</t>
  </si>
  <si>
    <t>C600000067</t>
  </si>
  <si>
    <t>D8080A0016</t>
  </si>
  <si>
    <t>BAILEY ALLEN TODD</t>
  </si>
  <si>
    <t>1091 BAILEYS CHAPEL ROAD</t>
  </si>
  <si>
    <t>C60000006401</t>
  </si>
  <si>
    <t>C600000071</t>
  </si>
  <si>
    <t>HILL EDWARD O'HANLON</t>
  </si>
  <si>
    <t>HILL YULONDA</t>
  </si>
  <si>
    <t>224 KEEPA WAY</t>
  </si>
  <si>
    <t>C600000138</t>
  </si>
  <si>
    <t>SIGMON MICHAEL A</t>
  </si>
  <si>
    <t>SIGMON MICHELLE S</t>
  </si>
  <si>
    <t>226 HERONS LANE</t>
  </si>
  <si>
    <t>C60000008502</t>
  </si>
  <si>
    <t>MCKNIGHT VIVIAN ANN</t>
  </si>
  <si>
    <t>201 WILLOW OAK LANE</t>
  </si>
  <si>
    <t>C600000081</t>
  </si>
  <si>
    <t>C600000075</t>
  </si>
  <si>
    <t>C600000083</t>
  </si>
  <si>
    <t>C600000078</t>
  </si>
  <si>
    <t>WILKERSON RICKY T</t>
  </si>
  <si>
    <t>WILKERSON CINDI B</t>
  </si>
  <si>
    <t>1325 NC HIGHWAY 801 NORTH</t>
  </si>
  <si>
    <t>C600000079</t>
  </si>
  <si>
    <t>FOSTER MITZI G</t>
  </si>
  <si>
    <t>211 HILTON ROAD</t>
  </si>
  <si>
    <t>C600000082</t>
  </si>
  <si>
    <t>TESH BILL T</t>
  </si>
  <si>
    <t>TESH EMMA D</t>
  </si>
  <si>
    <t>3305 HARPER ROAD</t>
  </si>
  <si>
    <t>C60000008401</t>
  </si>
  <si>
    <t>MYERS SCOTT EUGENE</t>
  </si>
  <si>
    <t>MYERS CRYSTAL LAWS</t>
  </si>
  <si>
    <t>135 MCKNIGHT ROAD</t>
  </si>
  <si>
    <t>C60000008503</t>
  </si>
  <si>
    <t>BOGER LINDA L</t>
  </si>
  <si>
    <t>143 MCKNIGHT ROAD</t>
  </si>
  <si>
    <t>27006-6638</t>
  </si>
  <si>
    <t>C600000134</t>
  </si>
  <si>
    <t>DOOLEY RYAN P ETAL</t>
  </si>
  <si>
    <t>DOOLEY R CHASE</t>
  </si>
  <si>
    <t>1848 HWY 801 N</t>
  </si>
  <si>
    <t>C600000135</t>
  </si>
  <si>
    <t>MCMILLIAN MENDY</t>
  </si>
  <si>
    <t>WEBB GEORGE</t>
  </si>
  <si>
    <t>C600000090</t>
  </si>
  <si>
    <t>ANDERS LAWRENCE DALE</t>
  </si>
  <si>
    <t>ANDERS PONG CHA</t>
  </si>
  <si>
    <t>267 MCKNIGHT ROAD</t>
  </si>
  <si>
    <t>C600000091</t>
  </si>
  <si>
    <t>HILLEBRAND ELIZABETH ANN</t>
  </si>
  <si>
    <t>659 SPARKS ROAD</t>
  </si>
  <si>
    <t>27028-7852</t>
  </si>
  <si>
    <t>C60000009102</t>
  </si>
  <si>
    <t>C60000009103</t>
  </si>
  <si>
    <t>MONTGOMERY ASHLYN HILLEBRAND</t>
  </si>
  <si>
    <t>MONTGOMERY RICHARD A</t>
  </si>
  <si>
    <t>283 MCKNIGHT ROAD</t>
  </si>
  <si>
    <t>C60000009301</t>
  </si>
  <si>
    <t>SHORE JEFFERY LEE</t>
  </si>
  <si>
    <t>SHORE LEENETTE YVETTE</t>
  </si>
  <si>
    <t>234 MCKNIGHT ROAD</t>
  </si>
  <si>
    <t>C600000102</t>
  </si>
  <si>
    <t>MAREADY BRAXTON MILO</t>
  </si>
  <si>
    <t>MAREADY MARGARET A</t>
  </si>
  <si>
    <t>155 FAIRWAY ROAD</t>
  </si>
  <si>
    <t>C60000010203</t>
  </si>
  <si>
    <t>D70000008301</t>
  </si>
  <si>
    <t>D700000102</t>
  </si>
  <si>
    <t>D700000071</t>
  </si>
  <si>
    <t>D700000086</t>
  </si>
  <si>
    <t>C600000106</t>
  </si>
  <si>
    <t>NIFONG ALFRED J</t>
  </si>
  <si>
    <t>NIFONG PEGGY L</t>
  </si>
  <si>
    <t>1886 YADKIN VALLEY ROAD</t>
  </si>
  <si>
    <t>C600000107</t>
  </si>
  <si>
    <t>NICHOLS EVERETT J</t>
  </si>
  <si>
    <t>NICHOLS MARY LEE</t>
  </si>
  <si>
    <t>1876 YADKIN VALLEY ROAD</t>
  </si>
  <si>
    <t>27006-8717</t>
  </si>
  <si>
    <t>C600000108</t>
  </si>
  <si>
    <t>BLAKLEY JAMES EVERETTE</t>
  </si>
  <si>
    <t>BLAKLEY JUANITA L</t>
  </si>
  <si>
    <t>1844 YADKIN VALLEY ROAD</t>
  </si>
  <si>
    <t>C600000111</t>
  </si>
  <si>
    <t>SHUTT JONATHAN C</t>
  </si>
  <si>
    <t>1800 YADKIN VALLEY ROAD</t>
  </si>
  <si>
    <t>C600000115</t>
  </si>
  <si>
    <t>BOWLES KENNETH G</t>
  </si>
  <si>
    <t>BOWLES ELAINE RANDALL</t>
  </si>
  <si>
    <t>1760 YADKIN VALLEY ROAD</t>
  </si>
  <si>
    <t>27006-8716</t>
  </si>
  <si>
    <t>C600000116</t>
  </si>
  <si>
    <t>C60000011705</t>
  </si>
  <si>
    <t>E400000004</t>
  </si>
  <si>
    <t>C60000011702</t>
  </si>
  <si>
    <t>RIDDLE LARRY F</t>
  </si>
  <si>
    <t>RIDDLE SUE B</t>
  </si>
  <si>
    <t>1704 YADKIN VALLEY ROAD</t>
  </si>
  <si>
    <t>C60000011703</t>
  </si>
  <si>
    <t>RICHARDSON SARAH DOWELL</t>
  </si>
  <si>
    <t>RICHARDSON DAVID R</t>
  </si>
  <si>
    <t>1678 YADKIN VALLEY ROAD</t>
  </si>
  <si>
    <t>C60000011704</t>
  </si>
  <si>
    <t>BOWLES PENNY R</t>
  </si>
  <si>
    <t>BOWLES JAMES C III</t>
  </si>
  <si>
    <t>1664 YADKIN VALLEY ROAD</t>
  </si>
  <si>
    <t>C600000118</t>
  </si>
  <si>
    <t>RIDDLE P S</t>
  </si>
  <si>
    <t>C60000011801</t>
  </si>
  <si>
    <t>BOWLES TIMOTHY E</t>
  </si>
  <si>
    <t>BOWLES TANYA C</t>
  </si>
  <si>
    <t>1654 YADKIN VALLEY ROAD</t>
  </si>
  <si>
    <t>27006-8715</t>
  </si>
  <si>
    <t>C600000122</t>
  </si>
  <si>
    <t>MCCUISTON LAURA JACQUELINE</t>
  </si>
  <si>
    <t>1590 YADKIN VALLEY ROAD</t>
  </si>
  <si>
    <t>C600000127</t>
  </si>
  <si>
    <t>ELLIS JOHN W</t>
  </si>
  <si>
    <t>ELLIS TERESA F</t>
  </si>
  <si>
    <t>1540 YADKIN VALLEY ROAD</t>
  </si>
  <si>
    <t>C6120A0001</t>
  </si>
  <si>
    <t>MATTHEWS STEPHEN J</t>
  </si>
  <si>
    <t>MATTHEWS BARBARA L</t>
  </si>
  <si>
    <t>115 JUSTIN COURT</t>
  </si>
  <si>
    <t>C6120A0002</t>
  </si>
  <si>
    <t>C6120A0009</t>
  </si>
  <si>
    <t>LYONS ROBERT STEVEN</t>
  </si>
  <si>
    <t>132 JUSTIN COURT</t>
  </si>
  <si>
    <t>C6120A0012</t>
  </si>
  <si>
    <t>CORNELISON DIANE BURGESS</t>
  </si>
  <si>
    <t>1157 NC HIGHWAY 801 NORTH</t>
  </si>
  <si>
    <t>C700000007</t>
  </si>
  <si>
    <t>PARKER EDWIN LARRY</t>
  </si>
  <si>
    <t>1695 YADKIN VALLEY ROAD</t>
  </si>
  <si>
    <t>C70000000701A</t>
  </si>
  <si>
    <t>C700000009</t>
  </si>
  <si>
    <t>WEATHERMAN EDWARD R</t>
  </si>
  <si>
    <t>WEATHERMAN BONNIE W</t>
  </si>
  <si>
    <t>182 COTTONTAIL LANE</t>
  </si>
  <si>
    <t>C700000010  A</t>
  </si>
  <si>
    <t>C700000011</t>
  </si>
  <si>
    <t>C70000001002</t>
  </si>
  <si>
    <t>MELTON JIMMY</t>
  </si>
  <si>
    <t>MELTON LINDA WEATHERMAN</t>
  </si>
  <si>
    <t>164 COTTONTAIL LANE</t>
  </si>
  <si>
    <t>C70000001101</t>
  </si>
  <si>
    <t>C70000001001</t>
  </si>
  <si>
    <t>C70000001003</t>
  </si>
  <si>
    <t>WEATHERMAN EDWARD &amp; BONNIE W</t>
  </si>
  <si>
    <t>MELTON JIMMY R &amp; LINDA W</t>
  </si>
  <si>
    <t>C700000012</t>
  </si>
  <si>
    <t>KING THOMAS M</t>
  </si>
  <si>
    <t>KING SUSAN L</t>
  </si>
  <si>
    <t>132 COTTONTAIL LANE</t>
  </si>
  <si>
    <t>C70000001201</t>
  </si>
  <si>
    <t>C70000001202</t>
  </si>
  <si>
    <t>C70000001601</t>
  </si>
  <si>
    <t>WEBB DANIEL B</t>
  </si>
  <si>
    <t>WEBB BARBARA JEAN</t>
  </si>
  <si>
    <t>1859 YADKIN VALLEY ROAD</t>
  </si>
  <si>
    <t>C700000023</t>
  </si>
  <si>
    <t>BAILEY ALAN M</t>
  </si>
  <si>
    <t>HARTMAN RICHARD S</t>
  </si>
  <si>
    <t>135 OLD COURSE DR</t>
  </si>
  <si>
    <t>C700000029</t>
  </si>
  <si>
    <t>QUALITY OIL COMPANY LLC</t>
  </si>
  <si>
    <t>PO BOX 2736</t>
  </si>
  <si>
    <t>27127-2736</t>
  </si>
  <si>
    <t>D8080B0003</t>
  </si>
  <si>
    <t>G700000020</t>
  </si>
  <si>
    <t>F500000031</t>
  </si>
  <si>
    <t>I5090C0010</t>
  </si>
  <si>
    <t>H40000009602</t>
  </si>
  <si>
    <t>G700000084</t>
  </si>
  <si>
    <t>C70000002901</t>
  </si>
  <si>
    <t>FLYNN JOHN MICHAEL</t>
  </si>
  <si>
    <t>FLYNN ELIZABETH BROWN</t>
  </si>
  <si>
    <t>1005 NC HIGHWAY 801 NORTH</t>
  </si>
  <si>
    <t>27006-7912</t>
  </si>
  <si>
    <t>C700000032</t>
  </si>
  <si>
    <t>SMITH PATSY H</t>
  </si>
  <si>
    <t>768 REDLAND ROAD</t>
  </si>
  <si>
    <t>C700000033</t>
  </si>
  <si>
    <t>C700000034</t>
  </si>
  <si>
    <t>TUCKER DONALD JOE</t>
  </si>
  <si>
    <t>TUCKER JUDY HALL</t>
  </si>
  <si>
    <t>789 REDLAND ROAD</t>
  </si>
  <si>
    <t>C70000003502</t>
  </si>
  <si>
    <t>SMITH SANDRA LYNN</t>
  </si>
  <si>
    <t>155 PARTRIDGE LANE</t>
  </si>
  <si>
    <t>D700000003</t>
  </si>
  <si>
    <t>FOSTER NEAL C</t>
  </si>
  <si>
    <t>FOSTER KIMBERLY L</t>
  </si>
  <si>
    <t>SUITE H-2</t>
  </si>
  <si>
    <t>1365 WESTGATE CENTER DRIVE</t>
  </si>
  <si>
    <t>D70000000306</t>
  </si>
  <si>
    <t>C70000003602</t>
  </si>
  <si>
    <t>C70000003701</t>
  </si>
  <si>
    <t>LAWS TOMMY R</t>
  </si>
  <si>
    <t>LAWS CAROL J</t>
  </si>
  <si>
    <t>833 REDLAND ROAD</t>
  </si>
  <si>
    <t>C700000039</t>
  </si>
  <si>
    <t>BOGER RONALD LEE</t>
  </si>
  <si>
    <t>BOGER ROBBIN D</t>
  </si>
  <si>
    <t>1030 NC HIGHWAY 801 NORTH</t>
  </si>
  <si>
    <t>C70000003902</t>
  </si>
  <si>
    <t>C70000003901</t>
  </si>
  <si>
    <t>C70000004101</t>
  </si>
  <si>
    <t>FOLDS MICHAEL D</t>
  </si>
  <si>
    <t>FOLDS MARTHA Z</t>
  </si>
  <si>
    <t>988 NC HIGHWAY 801 NORTH</t>
  </si>
  <si>
    <t>C700000053</t>
  </si>
  <si>
    <t>PRATER C WAYNE</t>
  </si>
  <si>
    <t>PRATER LUCY H</t>
  </si>
  <si>
    <t>942 HWY 801 N</t>
  </si>
  <si>
    <t>C70000005301</t>
  </si>
  <si>
    <t>C700000052</t>
  </si>
  <si>
    <t>C70000004401</t>
  </si>
  <si>
    <t>C700000045</t>
  </si>
  <si>
    <t>WOOD TERRY</t>
  </si>
  <si>
    <t>WOOD KATHRYN S</t>
  </si>
  <si>
    <t>953 NC HIGHWAY 801 NORTH</t>
  </si>
  <si>
    <t>27006-7911</t>
  </si>
  <si>
    <t>C700000046</t>
  </si>
  <si>
    <t>C700000047</t>
  </si>
  <si>
    <t>WOOD WILLIAM TERRY</t>
  </si>
  <si>
    <t>953 NC HWY 801 NORTH</t>
  </si>
  <si>
    <t>C700000049</t>
  </si>
  <si>
    <t>HOUGHTON KATHY L</t>
  </si>
  <si>
    <t>HOUGHTON JASON C</t>
  </si>
  <si>
    <t>171 WOOD LANE</t>
  </si>
  <si>
    <t>C70000004903</t>
  </si>
  <si>
    <t>CAMPBELL FRANCES D</t>
  </si>
  <si>
    <t>149 WOOD LANE</t>
  </si>
  <si>
    <t>C70000004904</t>
  </si>
  <si>
    <t>KIMEL SHANNON Q</t>
  </si>
  <si>
    <t>143 WOOD LANE</t>
  </si>
  <si>
    <t>C700000055</t>
  </si>
  <si>
    <t>PLOUGHBOY INVESTMENT LLC</t>
  </si>
  <si>
    <t>920 HWY 801 NORTH</t>
  </si>
  <si>
    <t>C700000059</t>
  </si>
  <si>
    <t>ELLIS RICHARD D</t>
  </si>
  <si>
    <t>ELLIS KIMBERLY L</t>
  </si>
  <si>
    <t>905 HIGHWAY 801 NORTH</t>
  </si>
  <si>
    <t>C70000005901</t>
  </si>
  <si>
    <t>C700000063</t>
  </si>
  <si>
    <t>ELLIS CHARLIE VAN</t>
  </si>
  <si>
    <t>ELLIS ALICE L</t>
  </si>
  <si>
    <t>869 NC HIGHWAY 801 NORTH</t>
  </si>
  <si>
    <t>27006-7910</t>
  </si>
  <si>
    <t>C70000006501</t>
  </si>
  <si>
    <t>STEPHENS JOHN HENRY JR</t>
  </si>
  <si>
    <t>STEPHENS DIANNA SMITH</t>
  </si>
  <si>
    <t>145 ELLIS LANE</t>
  </si>
  <si>
    <t>C700000065</t>
  </si>
  <si>
    <t>ELLIS JOHN WESLEY</t>
  </si>
  <si>
    <t>C70000006503</t>
  </si>
  <si>
    <t>C70000006502</t>
  </si>
  <si>
    <t>C70000006302</t>
  </si>
  <si>
    <t>C700000066</t>
  </si>
  <si>
    <t>VESTAL DONNIE E</t>
  </si>
  <si>
    <t>VESTAL DIANA N</t>
  </si>
  <si>
    <t>847 NC HIGHWAY 801 NORTH</t>
  </si>
  <si>
    <t>C70000006601</t>
  </si>
  <si>
    <t>HUTCHENS DEBORAH Y</t>
  </si>
  <si>
    <t>139 ELLIS LANE</t>
  </si>
  <si>
    <t>C700000079</t>
  </si>
  <si>
    <t>COPE LOUIS KENT</t>
  </si>
  <si>
    <t>104 COPE ROAD</t>
  </si>
  <si>
    <t>C700000080</t>
  </si>
  <si>
    <t>COPE ROGER B</t>
  </si>
  <si>
    <t>COPE WANDA C</t>
  </si>
  <si>
    <t>111 COPE ROAD</t>
  </si>
  <si>
    <t>C700000095</t>
  </si>
  <si>
    <t>DAVIS JOSEPHINE MILLER</t>
  </si>
  <si>
    <t>407 SALISBURY STREET</t>
  </si>
  <si>
    <t>C70000008203</t>
  </si>
  <si>
    <t>C700000084</t>
  </si>
  <si>
    <t>D700000025</t>
  </si>
  <si>
    <t>I5020B0017</t>
  </si>
  <si>
    <t>C70000008104</t>
  </si>
  <si>
    <t>BOWLES ANNETTE MELISSA</t>
  </si>
  <si>
    <t>757 NC HIGHWAY 801 NORTH</t>
  </si>
  <si>
    <t>C700000086</t>
  </si>
  <si>
    <t>C700000169</t>
  </si>
  <si>
    <t>PHIBBS JERRY LEE</t>
  </si>
  <si>
    <t>PHIBBS DARLENE COPE</t>
  </si>
  <si>
    <t>369 WOODLEE DRIVE</t>
  </si>
  <si>
    <t>C700000096</t>
  </si>
  <si>
    <t>MACEDONIA MORAVIAN CHURCH</t>
  </si>
  <si>
    <t>700 NC HIGHWAY 801 NORTH</t>
  </si>
  <si>
    <t>C700000099</t>
  </si>
  <si>
    <t>ATKINS CALVIN</t>
  </si>
  <si>
    <t>ATKINS TERESA D</t>
  </si>
  <si>
    <t>661 NC HIGHWAY 801 NORTH</t>
  </si>
  <si>
    <t>C70000010001</t>
  </si>
  <si>
    <t>NEWSOME JOEL M</t>
  </si>
  <si>
    <t>NEWSOME BRENDA D</t>
  </si>
  <si>
    <t>637 NC HIGHWAY 801 NORTH</t>
  </si>
  <si>
    <t>27006-7908</t>
  </si>
  <si>
    <t>C700000101</t>
  </si>
  <si>
    <t>GARWOOD BOBBY LEE</t>
  </si>
  <si>
    <t>GARWOOD BETTE M</t>
  </si>
  <si>
    <t>127 ASHBURTON DRIVE</t>
  </si>
  <si>
    <t>C700000106  A</t>
  </si>
  <si>
    <t>HUBBARD LEWIS E JR</t>
  </si>
  <si>
    <t>HUBBARD DIANE S</t>
  </si>
  <si>
    <t>152 ANDREW ROAD</t>
  </si>
  <si>
    <t>C700000102</t>
  </si>
  <si>
    <t>C70000010603</t>
  </si>
  <si>
    <t>E700000014</t>
  </si>
  <si>
    <t>WARDEN INC</t>
  </si>
  <si>
    <t>401 SOUTH WESTVIEW DRIVE</t>
  </si>
  <si>
    <t>27104-4046</t>
  </si>
  <si>
    <t>C700000116</t>
  </si>
  <si>
    <t>FINE MICHAEL PERNELL</t>
  </si>
  <si>
    <t>297 HALL WALKER ROAD</t>
  </si>
  <si>
    <t>27006-7902</t>
  </si>
  <si>
    <t>C70000011603</t>
  </si>
  <si>
    <t>MYERS PANSY HOWARD</t>
  </si>
  <si>
    <t>355 HALL WALKER LANE</t>
  </si>
  <si>
    <t>27006-7903</t>
  </si>
  <si>
    <t>C70000011605</t>
  </si>
  <si>
    <t>WOODRUFF DONNA M</t>
  </si>
  <si>
    <t>383 HALL WALKER LANE</t>
  </si>
  <si>
    <t>C700000119</t>
  </si>
  <si>
    <t>KEY CHARLES A JR</t>
  </si>
  <si>
    <t>KEY KAREN D</t>
  </si>
  <si>
    <t>197 HAYWOOD DRIVE</t>
  </si>
  <si>
    <t>27006-8752</t>
  </si>
  <si>
    <t>C70000011903</t>
  </si>
  <si>
    <t>SMITH MARK E</t>
  </si>
  <si>
    <t>SMITH MELISSA A</t>
  </si>
  <si>
    <t>397 YADKIN VALLEY ROAD</t>
  </si>
  <si>
    <t>C70000011904</t>
  </si>
  <si>
    <t>AGEJEW MIRELLA</t>
  </si>
  <si>
    <t>415 YADKIN VALLEY ROAD</t>
  </si>
  <si>
    <t>C70000011905</t>
  </si>
  <si>
    <t>CARTER MARTIN C</t>
  </si>
  <si>
    <t>CARTER RENEE M</t>
  </si>
  <si>
    <t>459 YADKIN VALLEY ROAD</t>
  </si>
  <si>
    <t>27006-8703</t>
  </si>
  <si>
    <t>D700000079</t>
  </si>
  <si>
    <t>C70000011908</t>
  </si>
  <si>
    <t>MOORE DWIGHT</t>
  </si>
  <si>
    <t>MOORE JUDY</t>
  </si>
  <si>
    <t>501 YADKIN VALLEY ROAD</t>
  </si>
  <si>
    <t>C70000011909</t>
  </si>
  <si>
    <t>WEEKS JANICE REAVIS</t>
  </si>
  <si>
    <t>232 HAYWOOD DRIVE</t>
  </si>
  <si>
    <t>27006-8753</t>
  </si>
  <si>
    <t>C70000011910</t>
  </si>
  <si>
    <t>RORER JAMES W</t>
  </si>
  <si>
    <t>RORER MARY HARPE</t>
  </si>
  <si>
    <t>212 HAYWOOD DRIVE</t>
  </si>
  <si>
    <t>C70000011914</t>
  </si>
  <si>
    <t>WILLIAMSON JEFF D</t>
  </si>
  <si>
    <t>WILLIAMSON VERA M</t>
  </si>
  <si>
    <t>229 HAYWOOD DRIVE</t>
  </si>
  <si>
    <t>C700000137</t>
  </si>
  <si>
    <t>HAGNER HENRY F</t>
  </si>
  <si>
    <t>HAGNER MELODY D</t>
  </si>
  <si>
    <t>164 WILLS ROAD</t>
  </si>
  <si>
    <t>C700000141</t>
  </si>
  <si>
    <t>PURYEAR JOHNNY O</t>
  </si>
  <si>
    <t>PURYEAR EVELYN C</t>
  </si>
  <si>
    <t>130 WILLS ROAD</t>
  </si>
  <si>
    <t>C700000144</t>
  </si>
  <si>
    <t>HILL JOHNNY TYRONE</t>
  </si>
  <si>
    <t>HILL CHARLA DOSS</t>
  </si>
  <si>
    <t>108 WILLS ROAD</t>
  </si>
  <si>
    <t>C700000146</t>
  </si>
  <si>
    <t>ALEXANDER VERNICE</t>
  </si>
  <si>
    <t>ALEXANDER DENNIS N</t>
  </si>
  <si>
    <t>115 WILLS ROAD</t>
  </si>
  <si>
    <t>C700000158</t>
  </si>
  <si>
    <t>KINNEY ROGER J</t>
  </si>
  <si>
    <t>KINNEY CHERYL L</t>
  </si>
  <si>
    <t>104 MATTS PLACE</t>
  </si>
  <si>
    <t>C7050A0007</t>
  </si>
  <si>
    <t>SNIDER JAMES C</t>
  </si>
  <si>
    <t>SNIDER TERESA D</t>
  </si>
  <si>
    <t>325 YADKIN VALLEY ROAD</t>
  </si>
  <si>
    <t>C7050A0008</t>
  </si>
  <si>
    <t>WOMBLE T DANIEL</t>
  </si>
  <si>
    <t>WOMBLE JAN G</t>
  </si>
  <si>
    <t>PO BOX 1698</t>
  </si>
  <si>
    <t>C7070A000501</t>
  </si>
  <si>
    <t>FEARRINGTON ALEC W</t>
  </si>
  <si>
    <t>FEARRINGTON CAMERON STACY</t>
  </si>
  <si>
    <t>188 NORMA LANE</t>
  </si>
  <si>
    <t>C7100A0001</t>
  </si>
  <si>
    <t>ALLEN DONALD W</t>
  </si>
  <si>
    <t>ALLEN MARY A</t>
  </si>
  <si>
    <t>107 WEST ROBIN DRIVE</t>
  </si>
  <si>
    <t>C7100A0004</t>
  </si>
  <si>
    <t>MILLS GALE R</t>
  </si>
  <si>
    <t>126 WEST ROBIN DRIVE</t>
  </si>
  <si>
    <t>27006-7926</t>
  </si>
  <si>
    <t>C7100A0007</t>
  </si>
  <si>
    <t>COOPER JIMMY WILSON</t>
  </si>
  <si>
    <t>159 WOODLEE DRIVE</t>
  </si>
  <si>
    <t>C7100A0010</t>
  </si>
  <si>
    <t>LITTLE WILLIAM J</t>
  </si>
  <si>
    <t>129 WEST RENEE DRIVE</t>
  </si>
  <si>
    <t>C7100A0012</t>
  </si>
  <si>
    <t>BARNEY STEPHEN K</t>
  </si>
  <si>
    <t>147 WEST RENEE DRIVE</t>
  </si>
  <si>
    <t>27006-7958</t>
  </si>
  <si>
    <t>C7100A0013</t>
  </si>
  <si>
    <t>L5100A0009</t>
  </si>
  <si>
    <t>SWAIN DAVID H JR</t>
  </si>
  <si>
    <t>135 NORMA LANE</t>
  </si>
  <si>
    <t>L5100A0010</t>
  </si>
  <si>
    <t>J600000037</t>
  </si>
  <si>
    <t>F500000024</t>
  </si>
  <si>
    <t>C7100A0017</t>
  </si>
  <si>
    <t>C7100A0018</t>
  </si>
  <si>
    <t>LYONS SHERMAN LEVI</t>
  </si>
  <si>
    <t>141 NORMA LANE</t>
  </si>
  <si>
    <t>C7100A0019</t>
  </si>
  <si>
    <t>CARTER NINA F</t>
  </si>
  <si>
    <t>8 EAST DEVONSHIRE STREET</t>
  </si>
  <si>
    <t>C7100A0022</t>
  </si>
  <si>
    <t>MCPHERSON DAVID MATTHEW</t>
  </si>
  <si>
    <t>MCPHERSON JENNIFER ELIZABETH</t>
  </si>
  <si>
    <t>142 NORMA LANE</t>
  </si>
  <si>
    <t>27006-7923</t>
  </si>
  <si>
    <t>C7100A0024</t>
  </si>
  <si>
    <t>DAY ANDREW S</t>
  </si>
  <si>
    <t>DAY SUSAN B</t>
  </si>
  <si>
    <t>122 NORMA LANE</t>
  </si>
  <si>
    <t>C7100A0033</t>
  </si>
  <si>
    <t>COOK NORMAN EUGENE JR</t>
  </si>
  <si>
    <t>COOK GAYLENE D</t>
  </si>
  <si>
    <t>110 BROOKHILL COURT</t>
  </si>
  <si>
    <t>D700000163</t>
  </si>
  <si>
    <t>D70000016103</t>
  </si>
  <si>
    <t>C7140C0019</t>
  </si>
  <si>
    <t>KELLER LAWRENCE HERMAN</t>
  </si>
  <si>
    <t>KELLER IMA JEAN VESTAL</t>
  </si>
  <si>
    <t>141 FOREST DRIVE</t>
  </si>
  <si>
    <t>C7140C0023</t>
  </si>
  <si>
    <t>MERLAU JON DAVID</t>
  </si>
  <si>
    <t>MERLAU AUGUSTINA MAYBEL</t>
  </si>
  <si>
    <t>571 NC HIGHWAY 801 NORTH</t>
  </si>
  <si>
    <t>C7140C0026</t>
  </si>
  <si>
    <t>EMORY MARK A</t>
  </si>
  <si>
    <t>EMORY RUTH A</t>
  </si>
  <si>
    <t>599 NC HIGHWAY 801 NORTH</t>
  </si>
  <si>
    <t>C7140C0027</t>
  </si>
  <si>
    <t>SNYDER RONALD K</t>
  </si>
  <si>
    <t>SNYDER HILDA B</t>
  </si>
  <si>
    <t>607 NC HIGHWAY 801 NORTH</t>
  </si>
  <si>
    <t>C7150A0002</t>
  </si>
  <si>
    <t>STEWART JAMES H</t>
  </si>
  <si>
    <t>STEWART BRENDA F</t>
  </si>
  <si>
    <t>165 WOODBURN PLACE</t>
  </si>
  <si>
    <t>C7150A0005</t>
  </si>
  <si>
    <t>KERR KEVIN S</t>
  </si>
  <si>
    <t>KERR TONYA E</t>
  </si>
  <si>
    <t>187 WOODBURN PLACE</t>
  </si>
  <si>
    <t>C7140C0016</t>
  </si>
  <si>
    <t>ARNOLD WILLIAM O</t>
  </si>
  <si>
    <t>ARNOLD PATTIE E</t>
  </si>
  <si>
    <t>117 FOREST DRIVE</t>
  </si>
  <si>
    <t>C7150A0019</t>
  </si>
  <si>
    <t>PITTS JOSEPH L</t>
  </si>
  <si>
    <t>PITTS BARBARA C</t>
  </si>
  <si>
    <t>182 WOODBURN PLACE</t>
  </si>
  <si>
    <t>C7140C0015</t>
  </si>
  <si>
    <t>YORK JEFFREY G</t>
  </si>
  <si>
    <t>107 FOREST DRIVE</t>
  </si>
  <si>
    <t>C7140C0014</t>
  </si>
  <si>
    <t>DARNELL LESTER FRANKLIN</t>
  </si>
  <si>
    <t>DARNELL RHONDA G</t>
  </si>
  <si>
    <t>627 NC HIGHWAY 801 NORTH</t>
  </si>
  <si>
    <t>C800000183</t>
  </si>
  <si>
    <t>STRAND BLEEKER B</t>
  </si>
  <si>
    <t>475 FRED BAHNSON DRIVE</t>
  </si>
  <si>
    <t>27006-8750</t>
  </si>
  <si>
    <t>C80000000109</t>
  </si>
  <si>
    <t>C8010A0056</t>
  </si>
  <si>
    <t>COCKERHAM MARIE REYNOLDS</t>
  </si>
  <si>
    <t>178 BRIDGEWATER DRIVE</t>
  </si>
  <si>
    <t>BERMUDA RUN</t>
  </si>
  <si>
    <t>C8010A0075</t>
  </si>
  <si>
    <t>BARNES KAREN R</t>
  </si>
  <si>
    <t>HEINEMANN CRYSTAL S</t>
  </si>
  <si>
    <t>131 PARKVIEW LANE</t>
  </si>
  <si>
    <t>27006-8777</t>
  </si>
  <si>
    <t>C7140C0010</t>
  </si>
  <si>
    <t>SOLOMON BRIAN W</t>
  </si>
  <si>
    <t>SOLOMON ANNA MARIA B</t>
  </si>
  <si>
    <t>158 WOODBURN PLACE</t>
  </si>
  <si>
    <t>C7140C0005</t>
  </si>
  <si>
    <t>KNIGHT PEGGY LYNN</t>
  </si>
  <si>
    <t>128 FOREST DRIVE</t>
  </si>
  <si>
    <t>C7140C0001</t>
  </si>
  <si>
    <t>LANDY SCOTT</t>
  </si>
  <si>
    <t>LANDY ANGELA</t>
  </si>
  <si>
    <t>160 FOREST DRIVE</t>
  </si>
  <si>
    <t>27006-9451</t>
  </si>
  <si>
    <t>C7140B0006</t>
  </si>
  <si>
    <t>HALL ROGER DALE</t>
  </si>
  <si>
    <t>HALL BRENDA LONDON</t>
  </si>
  <si>
    <t>128 SOUTH CLAYBON DRIVE</t>
  </si>
  <si>
    <t>C7140B0004</t>
  </si>
  <si>
    <t>MURRAY RAYMOND READE JR</t>
  </si>
  <si>
    <t>MURRAY DONNA CROOKSHANK</t>
  </si>
  <si>
    <t>113 JANLIN LANE</t>
  </si>
  <si>
    <t>27006-7935</t>
  </si>
  <si>
    <t>C7140A0015</t>
  </si>
  <si>
    <t>SMITH RICHARD LEE</t>
  </si>
  <si>
    <t>SMITH GLORIA S</t>
  </si>
  <si>
    <t>120 NORTH CLAYBON DRIVE</t>
  </si>
  <si>
    <t>C7140A0014</t>
  </si>
  <si>
    <t>HAYES NANEARLE DAVIS</t>
  </si>
  <si>
    <t>502 NC HIGHWAY 801 NORTH</t>
  </si>
  <si>
    <t>C7140A0010</t>
  </si>
  <si>
    <t>CLAY KARL</t>
  </si>
  <si>
    <t>960 EASOME ROAD</t>
  </si>
  <si>
    <t>HURT</t>
  </si>
  <si>
    <t>VA</t>
  </si>
  <si>
    <t>24563-0000</t>
  </si>
  <si>
    <t>C8010A0290</t>
  </si>
  <si>
    <t>MARTINEZ OSCAR NOE</t>
  </si>
  <si>
    <t>MARTINEZ JISELA</t>
  </si>
  <si>
    <t>135 NORTH FORKE DRIVE</t>
  </si>
  <si>
    <t>C8010A0292</t>
  </si>
  <si>
    <t>BLEDSOE PAUL R</t>
  </si>
  <si>
    <t>BLEDSOE NANCY</t>
  </si>
  <si>
    <t>127 NORTH FORKE DRIVE</t>
  </si>
  <si>
    <t>C8010A0212</t>
  </si>
  <si>
    <t>CLINE RODNEY G</t>
  </si>
  <si>
    <t>CLINE MARLENE MICHELLE</t>
  </si>
  <si>
    <t>162 NORTH FORKE DRIVE</t>
  </si>
  <si>
    <t>C7140A0009</t>
  </si>
  <si>
    <t>F30000000505</t>
  </si>
  <si>
    <t>JAMES JOHN B JR</t>
  </si>
  <si>
    <t>JAMES LINDA M</t>
  </si>
  <si>
    <t>PO BOX 545</t>
  </si>
  <si>
    <t>C8010A0271</t>
  </si>
  <si>
    <t>DE LA CRUZ SARA B</t>
  </si>
  <si>
    <t>DE LA CRUZ RICHARD L</t>
  </si>
  <si>
    <t>151 ROSEWALK LANE</t>
  </si>
  <si>
    <t>C8010A0243</t>
  </si>
  <si>
    <t>KAPLAN STEVEN EUGENE</t>
  </si>
  <si>
    <t>KAPLAN LISA MARGUERITE</t>
  </si>
  <si>
    <t>144 MILLSTONE LANE</t>
  </si>
  <si>
    <t>27006-8603</t>
  </si>
  <si>
    <t>C7140A0001</t>
  </si>
  <si>
    <t>CAMPBELL HARVEY L</t>
  </si>
  <si>
    <t>CAMPBELL CREOLA J</t>
  </si>
  <si>
    <t>534 NC HIGHWAY 801 NORTH</t>
  </si>
  <si>
    <t>C8010A0273</t>
  </si>
  <si>
    <t>ROSCIOS DAPHNIE Q</t>
  </si>
  <si>
    <t>ROSCIOS RAMIL A</t>
  </si>
  <si>
    <t>141 ROSEWALK LANE</t>
  </si>
  <si>
    <t>C8010A0234</t>
  </si>
  <si>
    <t>FOLLETTE RUFUS JOHN JR</t>
  </si>
  <si>
    <t>FOLLETTE NANCY CAROL</t>
  </si>
  <si>
    <t>129 MILLSTONE LANE</t>
  </si>
  <si>
    <t>C7130A0011</t>
  </si>
  <si>
    <t>BURRISS TEDDY L</t>
  </si>
  <si>
    <t>BURRISS REBECCA L</t>
  </si>
  <si>
    <t>120 MCGEE COURT</t>
  </si>
  <si>
    <t>27028-7913</t>
  </si>
  <si>
    <t>C8010A0239</t>
  </si>
  <si>
    <t>BRUTON BONITA CROSBY</t>
  </si>
  <si>
    <t>122 MILLSTONE LANE</t>
  </si>
  <si>
    <t>C7130A0010</t>
  </si>
  <si>
    <t>ALLEN LARRY SCOTT</t>
  </si>
  <si>
    <t>128 MCGEE COURT</t>
  </si>
  <si>
    <t>C8010A0160</t>
  </si>
  <si>
    <t>KENNEDY JUSTIN G</t>
  </si>
  <si>
    <t>KENNEDY JESSICA J</t>
  </si>
  <si>
    <t>105 TOWNPARK DRIVE</t>
  </si>
  <si>
    <t>C8010A0410</t>
  </si>
  <si>
    <t>SANTOS ELMER RAMON M</t>
  </si>
  <si>
    <t>203 PARKVIEW LANE</t>
  </si>
  <si>
    <t>C8030C0006</t>
  </si>
  <si>
    <t>NELSON CHRISTIE M</t>
  </si>
  <si>
    <t>107 OAKWIND DRIVE #302</t>
  </si>
  <si>
    <t>C7130A0002</t>
  </si>
  <si>
    <t>ELLIS CHRISTOPHER L</t>
  </si>
  <si>
    <t>ELLIS KIMBERLY M</t>
  </si>
  <si>
    <t>121 MCGEE COURT</t>
  </si>
  <si>
    <t>27006-7913</t>
  </si>
  <si>
    <t>C7100B0025</t>
  </si>
  <si>
    <t>CAMPBELL ROBERT J</t>
  </si>
  <si>
    <t>114 EAST ROBIN DRIVE</t>
  </si>
  <si>
    <t>C8010A0087</t>
  </si>
  <si>
    <t>BALLINGER CHRISTOPHER N</t>
  </si>
  <si>
    <t>BALLINGER NERMIN J</t>
  </si>
  <si>
    <t>124 LAKEPOINT DRIVE</t>
  </si>
  <si>
    <t>C8010A0089</t>
  </si>
  <si>
    <t>SUN CHAO-HSIN</t>
  </si>
  <si>
    <t>114 LAKE POINT DRIVE</t>
  </si>
  <si>
    <t>C8010A0095</t>
  </si>
  <si>
    <t>LAIL DONALD R</t>
  </si>
  <si>
    <t>LAIL VICKIE R</t>
  </si>
  <si>
    <t>142 BROOKSTONE DRIVE</t>
  </si>
  <si>
    <t>C8010A0096</t>
  </si>
  <si>
    <t>SCHMIDT HERBERT L</t>
  </si>
  <si>
    <t>136 BROOKSTONE DRIVE</t>
  </si>
  <si>
    <t>C7100B0024</t>
  </si>
  <si>
    <t>PEOPLES RODGERS D</t>
  </si>
  <si>
    <t>PEOPLES SHIRLEY B</t>
  </si>
  <si>
    <t>124 EAST ROBIN DRIVE</t>
  </si>
  <si>
    <t>C8010A0134</t>
  </si>
  <si>
    <t>PRICE GLENN F</t>
  </si>
  <si>
    <t>PRICE MELISSA H</t>
  </si>
  <si>
    <t>188 TOWNPARK DRIVE</t>
  </si>
  <si>
    <t>27006-8605</t>
  </si>
  <si>
    <t>C8010A0136</t>
  </si>
  <si>
    <t>SWAIM ROBERT A</t>
  </si>
  <si>
    <t>BURRUEL ERICA A</t>
  </si>
  <si>
    <t>235 OLD TOWN DRIVE</t>
  </si>
  <si>
    <t>C8010A0143</t>
  </si>
  <si>
    <t>WOODWARD STEPHEN E</t>
  </si>
  <si>
    <t>WOODWARD GINGER D</t>
  </si>
  <si>
    <t>108 WAVERLY STREET</t>
  </si>
  <si>
    <t>27006-8600</t>
  </si>
  <si>
    <t>C8010A0144</t>
  </si>
  <si>
    <t>CULBERTSON SUSAN C</t>
  </si>
  <si>
    <t>104 WAVERLY STREET</t>
  </si>
  <si>
    <t>C8020A0006</t>
  </si>
  <si>
    <t>ANDRIKO LLC</t>
  </si>
  <si>
    <t>218 NC HIGHWAY 801 NORTH</t>
  </si>
  <si>
    <t>C7100B0023</t>
  </si>
  <si>
    <t>DONNELLY MICHAEL</t>
  </si>
  <si>
    <t>132 EAST ROBIN DRIVE</t>
  </si>
  <si>
    <t>C7100B001901</t>
  </si>
  <si>
    <t>BENNETT RICHARD A</t>
  </si>
  <si>
    <t>BENNETT JACQUELYN D</t>
  </si>
  <si>
    <t>155 EAST ROBIN DRIVE</t>
  </si>
  <si>
    <t>C8030A000203</t>
  </si>
  <si>
    <t>KUHN DONNA S</t>
  </si>
  <si>
    <t>140 PINEWOOD LANE UNIT 103</t>
  </si>
  <si>
    <t>C8030A000302</t>
  </si>
  <si>
    <t>MYERS MICHAEL L</t>
  </si>
  <si>
    <t>MYERS AMY K</t>
  </si>
  <si>
    <t>148 PINEWOOD LANE</t>
  </si>
  <si>
    <t>C8030A000304</t>
  </si>
  <si>
    <t>CREWS DAVID RAY</t>
  </si>
  <si>
    <t>148 PINEWOOD LANE UNIT 104</t>
  </si>
  <si>
    <t>27006-8637</t>
  </si>
  <si>
    <t>C7100B0019</t>
  </si>
  <si>
    <t>TOMKINSON RICHARD ALLEN</t>
  </si>
  <si>
    <t>TOMKINSON LINDA SUSAN</t>
  </si>
  <si>
    <t>149 EAST ROBIN DRIVE</t>
  </si>
  <si>
    <t>27006-7918</t>
  </si>
  <si>
    <t>C8030A000601</t>
  </si>
  <si>
    <t>LITTLE REBECCA J</t>
  </si>
  <si>
    <t>172 PINEWOOD LANE #101</t>
  </si>
  <si>
    <t>C8030A000702</t>
  </si>
  <si>
    <t>SNYDER JOHN H JR</t>
  </si>
  <si>
    <t>178 PINEWOOD LANE UNIT 102</t>
  </si>
  <si>
    <t>C8030A000704</t>
  </si>
  <si>
    <t>HALL TAMMY S</t>
  </si>
  <si>
    <t>178 PINEWOOD LANE</t>
  </si>
  <si>
    <t>UNIT 104</t>
  </si>
  <si>
    <t>C8030A001202</t>
  </si>
  <si>
    <t>HOWARD CHRISTIN</t>
  </si>
  <si>
    <t>157 PINEWOOD LANE #102</t>
  </si>
  <si>
    <t>C8030A001203</t>
  </si>
  <si>
    <t>WEDDLE EMORY L</t>
  </si>
  <si>
    <t>WEDDLE DIANNE R</t>
  </si>
  <si>
    <t>157 PINEWOOD LANE #103</t>
  </si>
  <si>
    <t>C8030A001302</t>
  </si>
  <si>
    <t>MASSENGILL CAMILLA DAWN</t>
  </si>
  <si>
    <t>149 PINEWOOD LANE # 102</t>
  </si>
  <si>
    <t>C7100B0016</t>
  </si>
  <si>
    <t>MILLER JAMES LEE</t>
  </si>
  <si>
    <t>113 ROBIN DRIVE</t>
  </si>
  <si>
    <t>C7100B0005</t>
  </si>
  <si>
    <t>BAILEY ROBERT</t>
  </si>
  <si>
    <t>BAILEY DOROTHY</t>
  </si>
  <si>
    <t>141 EAST RENEE DRIVE</t>
  </si>
  <si>
    <t>C7150A0009</t>
  </si>
  <si>
    <t>ANDERS BOBBY C</t>
  </si>
  <si>
    <t>ANDERS GAIL P</t>
  </si>
  <si>
    <t>217 WOODBURN PLACE</t>
  </si>
  <si>
    <t>C800000002</t>
  </si>
  <si>
    <t>STRAND GREGORY L</t>
  </si>
  <si>
    <t>C90000000301</t>
  </si>
  <si>
    <t>EQUANIMITY PROPERTIES LLC</t>
  </si>
  <si>
    <t>4105 WINDING OAKS TRAIL</t>
  </si>
  <si>
    <t>LEWISVILLE</t>
  </si>
  <si>
    <t>27023-0000</t>
  </si>
  <si>
    <t>C90000000303</t>
  </si>
  <si>
    <t>DAVIDSON CO COMM COLL FNDATION</t>
  </si>
  <si>
    <t>P O BOX 1287</t>
  </si>
  <si>
    <t>LEXINGTON</t>
  </si>
  <si>
    <t>27293-1287</t>
  </si>
  <si>
    <t>D8010A0009</t>
  </si>
  <si>
    <t>H &amp; B PROPERTIES OF NC</t>
  </si>
  <si>
    <t>108 DORNACH WAY</t>
  </si>
  <si>
    <t>C900000009</t>
  </si>
  <si>
    <t>FOUNDATION GROUP LLC</t>
  </si>
  <si>
    <t>117 KINDERTON BLVD</t>
  </si>
  <si>
    <t>D100000035</t>
  </si>
  <si>
    <t>WYATT PATRICIA C</t>
  </si>
  <si>
    <t>6747 ELDRED ROAD</t>
  </si>
  <si>
    <t>WALKERTOWN</t>
  </si>
  <si>
    <t>27051-0000</t>
  </si>
  <si>
    <t>D100000029</t>
  </si>
  <si>
    <t>C80000000125</t>
  </si>
  <si>
    <t>C8010A0077</t>
  </si>
  <si>
    <t>RUSSELL F PATRICK</t>
  </si>
  <si>
    <t>RUSSELL BONNIE D</t>
  </si>
  <si>
    <t>117 PARKVIEW LANE</t>
  </si>
  <si>
    <t>C8010A0170</t>
  </si>
  <si>
    <t>MECHAM BRENDA B</t>
  </si>
  <si>
    <t>135 TOWNPARK DRIVE</t>
  </si>
  <si>
    <t>D10000000103</t>
  </si>
  <si>
    <t>MASENCUP JOY E</t>
  </si>
  <si>
    <t>MASENCUP MITCHELL BRUCE</t>
  </si>
  <si>
    <t>1111 BEAR CREEK CHURCH ROAD</t>
  </si>
  <si>
    <t>D10000000105</t>
  </si>
  <si>
    <t>D10000000104</t>
  </si>
  <si>
    <t>D10000000601</t>
  </si>
  <si>
    <t>STACK LIVING TRUST</t>
  </si>
  <si>
    <t>2104 SANDY SPRINGS ROAD</t>
  </si>
  <si>
    <t>D100000013</t>
  </si>
  <si>
    <t>WHALEY CHARLIE A</t>
  </si>
  <si>
    <t>WHALEY SUDIE SMOOT</t>
  </si>
  <si>
    <t>1492 BEAR CREEK CHURCH ROAD</t>
  </si>
  <si>
    <t>27028-5631</t>
  </si>
  <si>
    <t>E10000000301</t>
  </si>
  <si>
    <t>LIGON RUTH ELLEN C</t>
  </si>
  <si>
    <t>1446 BEAR CREEK CHURCH ROAD</t>
  </si>
  <si>
    <t>D100000015</t>
  </si>
  <si>
    <t>D100000014</t>
  </si>
  <si>
    <t>D10000001802</t>
  </si>
  <si>
    <t>ANDERSON JERRY WAYNE</t>
  </si>
  <si>
    <t>ANDERSON DIANNE S</t>
  </si>
  <si>
    <t>1347 BEAR CREEK CHURCH ROAD</t>
  </si>
  <si>
    <t>D100000042</t>
  </si>
  <si>
    <t>TOMEL CHRISTOPHER J</t>
  </si>
  <si>
    <t>BALLOU-TOMEL LAYNIE</t>
  </si>
  <si>
    <t>1316 BEAR CREEK CHURCH ROAD</t>
  </si>
  <si>
    <t>D100000024</t>
  </si>
  <si>
    <t>COLE ROGER E</t>
  </si>
  <si>
    <t>COLE JOELLA WALL</t>
  </si>
  <si>
    <t>190 ARABIAN TRAIL</t>
  </si>
  <si>
    <t>27028-5604</t>
  </si>
  <si>
    <t>E30000005603</t>
  </si>
  <si>
    <t>C8010A0185</t>
  </si>
  <si>
    <t>ROSEBORO LEISHA D</t>
  </si>
  <si>
    <t>160 TOWNPARK DRIVE</t>
  </si>
  <si>
    <t>C8010A0183</t>
  </si>
  <si>
    <t>WELCH DONALD B</t>
  </si>
  <si>
    <t>WELCH SHIRLEY J</t>
  </si>
  <si>
    <t>199 OLD TOWNE DRIVE</t>
  </si>
  <si>
    <t>27006-8609</t>
  </si>
  <si>
    <t>D20000000105</t>
  </si>
  <si>
    <t>BRANNON WILLIAM</t>
  </si>
  <si>
    <t>BRANNON DONNA</t>
  </si>
  <si>
    <t>365 BEN ANDERSON ROAD</t>
  </si>
  <si>
    <t>27028-5638</t>
  </si>
  <si>
    <t>D20000000202A</t>
  </si>
  <si>
    <t>CHAMBERS MARTHA DARLENE BOGER</t>
  </si>
  <si>
    <t>BOGER THOMAS LEE</t>
  </si>
  <si>
    <t>376 BEN ANDERSON ROAD</t>
  </si>
  <si>
    <t>C800000173</t>
  </si>
  <si>
    <t>CONDOMINIUMS AT KINDERTON VILL</t>
  </si>
  <si>
    <t>OWNERS ASSOCIATION</t>
  </si>
  <si>
    <t>118 S. CHERRY ST</t>
  </si>
  <si>
    <t>27284-0000</t>
  </si>
  <si>
    <t>C8010A0065</t>
  </si>
  <si>
    <t>STONE KENNETH RAY</t>
  </si>
  <si>
    <t>STONE MARGIE LEIGH</t>
  </si>
  <si>
    <t>114 BRIDGEWATER DRIVE</t>
  </si>
  <si>
    <t>27006-7975</t>
  </si>
  <si>
    <t>C8010A0284</t>
  </si>
  <si>
    <t>MOORE TONY MELVIN</t>
  </si>
  <si>
    <t>MOORE DEBRA COWAN</t>
  </si>
  <si>
    <t>173 NORTH FORKE DRIVE</t>
  </si>
  <si>
    <t>C8010A0204</t>
  </si>
  <si>
    <t>JONES JOHN W</t>
  </si>
  <si>
    <t>JONES OLIFF L</t>
  </si>
  <si>
    <t>118 NORTH FORKE DRIVE</t>
  </si>
  <si>
    <t>D200000024</t>
  </si>
  <si>
    <t>BOLES LARRY E</t>
  </si>
  <si>
    <t>BOLES EVELYN T</t>
  </si>
  <si>
    <t>440 BEAR CREEK CHURCH ROAD</t>
  </si>
  <si>
    <t>27028-5621</t>
  </si>
  <si>
    <t>D200000022</t>
  </si>
  <si>
    <t>D200000023</t>
  </si>
  <si>
    <t>D20000002505</t>
  </si>
  <si>
    <t>BRACKEN JOHN STEPHEN JR</t>
  </si>
  <si>
    <t>BRACKEN MICHELLE MILLSAPS</t>
  </si>
  <si>
    <t>315 DUARD REAVIS ROAD</t>
  </si>
  <si>
    <t>27028-5736</t>
  </si>
  <si>
    <t>C8010A0256</t>
  </si>
  <si>
    <t>CESORO BRIAN J</t>
  </si>
  <si>
    <t>CESORO EILEEN A</t>
  </si>
  <si>
    <t>157 NORTH FIELD DRIVE</t>
  </si>
  <si>
    <t>D200000032</t>
  </si>
  <si>
    <t>ANDERSON WILLA M</t>
  </si>
  <si>
    <t>225 WING HAVEN LANE</t>
  </si>
  <si>
    <t>27028-4948</t>
  </si>
  <si>
    <t>D20000003201</t>
  </si>
  <si>
    <t>TURNER KIRK ALLAN</t>
  </si>
  <si>
    <t>PO BOX 706</t>
  </si>
  <si>
    <t>D20000003202</t>
  </si>
  <si>
    <t>ANDERSON MICHAEL J</t>
  </si>
  <si>
    <t>ANDERSON JULIANNE F</t>
  </si>
  <si>
    <t>125 WING HAVEN LANE</t>
  </si>
  <si>
    <t>D200000034</t>
  </si>
  <si>
    <t>PREVETTE DANIEL A</t>
  </si>
  <si>
    <t>PREVETTE PATSY SUE</t>
  </si>
  <si>
    <t>1348 LIBERTY CHRUCH ROAD</t>
  </si>
  <si>
    <t>D200000038</t>
  </si>
  <si>
    <t>CARDEN JOHN K</t>
  </si>
  <si>
    <t>CARDEN LORI A</t>
  </si>
  <si>
    <t>233 MEADOW GLEN LANE</t>
  </si>
  <si>
    <t>C8010A0254</t>
  </si>
  <si>
    <t>REDINGTON EDWARD A</t>
  </si>
  <si>
    <t>238 BRIDGEWATER DRIVE</t>
  </si>
  <si>
    <t>C8010A0227</t>
  </si>
  <si>
    <t>YANEZ MANUEL</t>
  </si>
  <si>
    <t>YANEZ MARIANA</t>
  </si>
  <si>
    <t>130 ROSEWALK LANE</t>
  </si>
  <si>
    <t>C8010A0220</t>
  </si>
  <si>
    <t>DAVIS JEREMY</t>
  </si>
  <si>
    <t>DAVIS KENDRA</t>
  </si>
  <si>
    <t>216 NORTH FORKE DRIVE</t>
  </si>
  <si>
    <t>D200000042</t>
  </si>
  <si>
    <t>EASLING WILLIAM K</t>
  </si>
  <si>
    <t>EASLING SHIRLEY A</t>
  </si>
  <si>
    <t>1096 LIBERTY CHURCH ROAD</t>
  </si>
  <si>
    <t>C8030C0015</t>
  </si>
  <si>
    <t>HAYES S DARRYL</t>
  </si>
  <si>
    <t>140 ALLEN ROAD</t>
  </si>
  <si>
    <t>C8010A0082</t>
  </si>
  <si>
    <t>SHELL DOUGLAS W</t>
  </si>
  <si>
    <t>SHELL SHARON D</t>
  </si>
  <si>
    <t>202 BROOKSTONE DRIVE</t>
  </si>
  <si>
    <t>D200000054</t>
  </si>
  <si>
    <t>KUHN JEAN M</t>
  </si>
  <si>
    <t>444 BEAR CREEK CHURCH ROAD</t>
  </si>
  <si>
    <t>D2010A0001</t>
  </si>
  <si>
    <t>WILSON MATTHEW L</t>
  </si>
  <si>
    <t>WILSON SHERRY L</t>
  </si>
  <si>
    <t>123 TIMBER TRAILS</t>
  </si>
  <si>
    <t>D2010A0003</t>
  </si>
  <si>
    <t>OLINGER PAUL ANTHONY</t>
  </si>
  <si>
    <t>OLINGER WENDY LYNN</t>
  </si>
  <si>
    <t>185 TIMBER TRAIL</t>
  </si>
  <si>
    <t>D2010A000601</t>
  </si>
  <si>
    <t>RUSSELL MIKE</t>
  </si>
  <si>
    <t>RUSSELL LORI</t>
  </si>
  <si>
    <t>275 TIMBER TRAILS</t>
  </si>
  <si>
    <t>D2010A0009</t>
  </si>
  <si>
    <t>MONTAGUE JAMES H</t>
  </si>
  <si>
    <t>MONTAGUE MARTHA A</t>
  </si>
  <si>
    <t>302 TIMBER TRL</t>
  </si>
  <si>
    <t>27028-5671</t>
  </si>
  <si>
    <t>C8010A0132</t>
  </si>
  <si>
    <t>ALLEN SUSAN ELAINE</t>
  </si>
  <si>
    <t>180 TOWNPARK DRIVE</t>
  </si>
  <si>
    <t>D300000002</t>
  </si>
  <si>
    <t>PREVETTE DOUGLAS E</t>
  </si>
  <si>
    <t>382 SPEER ROAD</t>
  </si>
  <si>
    <t>27028-4942</t>
  </si>
  <si>
    <t>D30000000603</t>
  </si>
  <si>
    <t>D300000003</t>
  </si>
  <si>
    <t>SPEER MINNIE</t>
  </si>
  <si>
    <t>449 SPEER ROAD</t>
  </si>
  <si>
    <t>D30000000602</t>
  </si>
  <si>
    <t>LANNING DAVID</t>
  </si>
  <si>
    <t>575 RICHIE ROAD</t>
  </si>
  <si>
    <t>D30000000701</t>
  </si>
  <si>
    <t>TRIVETTE CHADWICK</t>
  </si>
  <si>
    <t>TRIVETTE CARRIE</t>
  </si>
  <si>
    <t>330 SPEER ROAD</t>
  </si>
  <si>
    <t>D300000009</t>
  </si>
  <si>
    <t>SMITH WILLIS K</t>
  </si>
  <si>
    <t>SMITH LINDA M</t>
  </si>
  <si>
    <t>320 SPEER ROAD</t>
  </si>
  <si>
    <t>C8020A0007</t>
  </si>
  <si>
    <t>NOVANT HEALTH INC</t>
  </si>
  <si>
    <t>2085 FRONTIS PLAZA BOULEVARD</t>
  </si>
  <si>
    <t>D30000001201</t>
  </si>
  <si>
    <t>BECK ROGER DALE</t>
  </si>
  <si>
    <t>BECK CAROLINE T</t>
  </si>
  <si>
    <t>222 SPEER ROAD</t>
  </si>
  <si>
    <t>D300000012</t>
  </si>
  <si>
    <t>G50000003501</t>
  </si>
  <si>
    <t>G500000035</t>
  </si>
  <si>
    <t>D300000020</t>
  </si>
  <si>
    <t>HARPE KENNETH</t>
  </si>
  <si>
    <t>HARPE LINDA B</t>
  </si>
  <si>
    <t>470 ELMORE ROAD</t>
  </si>
  <si>
    <t>D300000016</t>
  </si>
  <si>
    <t>D30000001801</t>
  </si>
  <si>
    <t>HENDRIX JAMES TIMOTHY</t>
  </si>
  <si>
    <t>HENDRIX DENISE C</t>
  </si>
  <si>
    <t>419 ELMORE ROAD</t>
  </si>
  <si>
    <t>27028-4746</t>
  </si>
  <si>
    <t>D30000001803</t>
  </si>
  <si>
    <t>D300000024</t>
  </si>
  <si>
    <t>CRANFILL DWIGHT E</t>
  </si>
  <si>
    <t>226 CRABTREE ROAD</t>
  </si>
  <si>
    <t>27028-4731</t>
  </si>
  <si>
    <t>C8020A0008</t>
  </si>
  <si>
    <t>NOVANT HEALTH</t>
  </si>
  <si>
    <t>2085 FRONTIS PLAZA BLVD</t>
  </si>
  <si>
    <t>B</t>
  </si>
  <si>
    <t>D300000060</t>
  </si>
  <si>
    <t>SPILLMAN JUDY HARRIS</t>
  </si>
  <si>
    <t>SPILLMAN ARTHUR C</t>
  </si>
  <si>
    <t>3516 COURTNEY CHURCH ROAD</t>
  </si>
  <si>
    <t>D30000003201</t>
  </si>
  <si>
    <t>BROWN CHARLES S</t>
  </si>
  <si>
    <t>BROWN NANNETTE</t>
  </si>
  <si>
    <t>4222 US HWY 601 N</t>
  </si>
  <si>
    <t>D30000003204</t>
  </si>
  <si>
    <t>DAVIS RANDY A</t>
  </si>
  <si>
    <t>4204 US HIGHWAY 601 NORTH</t>
  </si>
  <si>
    <t>D300000034</t>
  </si>
  <si>
    <t>CARTER PERRY</t>
  </si>
  <si>
    <t>4253 US HIGHWAY 601 NORTH</t>
  </si>
  <si>
    <t>D30000003401</t>
  </si>
  <si>
    <t>FREEMAN CONNIE S</t>
  </si>
  <si>
    <t>4255 NORTH HIGHWAY 601</t>
  </si>
  <si>
    <t>D30000003601</t>
  </si>
  <si>
    <t>WILSON RICHARD KEITH</t>
  </si>
  <si>
    <t>WILSON JUDY LOONEY</t>
  </si>
  <si>
    <t>161 MACY LANGSTON LANE</t>
  </si>
  <si>
    <t>C8030A000504</t>
  </si>
  <si>
    <t>SHIN SEUNG AE</t>
  </si>
  <si>
    <t>164 PINEWOOD LANE #104</t>
  </si>
  <si>
    <t>C900000999</t>
  </si>
  <si>
    <t>WINDSOR COMMERCIAL DEVELOPMENT</t>
  </si>
  <si>
    <t>5603 GARDEN VILLAGE WAY</t>
  </si>
  <si>
    <t>GREENSBORO</t>
  </si>
  <si>
    <t>27410-0000</t>
  </si>
  <si>
    <t>D300000041</t>
  </si>
  <si>
    <t>JORDAN LANCE HARDING ETAL</t>
  </si>
  <si>
    <t>JORDAN LINDA PAULINE</t>
  </si>
  <si>
    <t>1166 EATONS CHURCH ROAD</t>
  </si>
  <si>
    <t>27028-4742</t>
  </si>
  <si>
    <t>D30000004101</t>
  </si>
  <si>
    <t>D30000004502</t>
  </si>
  <si>
    <t>HART OLIVER J JR</t>
  </si>
  <si>
    <t>HART LYNNE C</t>
  </si>
  <si>
    <t>179 HOWELL ROAD</t>
  </si>
  <si>
    <t>D30000004503</t>
  </si>
  <si>
    <t>MAYBERRY COLENE TRIVETTE</t>
  </si>
  <si>
    <t>MAYBERRY RAY E</t>
  </si>
  <si>
    <t>332 HOWELL ROAD</t>
  </si>
  <si>
    <t>27028-4812</t>
  </si>
  <si>
    <t>D30000004504</t>
  </si>
  <si>
    <t>D100000003</t>
  </si>
  <si>
    <t>FOSTER DENNIS G</t>
  </si>
  <si>
    <t>FOSTER PATSY B</t>
  </si>
  <si>
    <t>983 TURKEY FOOT ROAD</t>
  </si>
  <si>
    <t>27028-5938</t>
  </si>
  <si>
    <t>D30000005105</t>
  </si>
  <si>
    <t>SIMS SUE W</t>
  </si>
  <si>
    <t>1092 EATONS CHURCH ROAD</t>
  </si>
  <si>
    <t>27028-4741</t>
  </si>
  <si>
    <t>D300000053</t>
  </si>
  <si>
    <t>MILLER MARTHA PERKINS TRUST</t>
  </si>
  <si>
    <t>PO BOX 787</t>
  </si>
  <si>
    <t>27028-0787</t>
  </si>
  <si>
    <t>D30000005401</t>
  </si>
  <si>
    <t>EATON JAMES</t>
  </si>
  <si>
    <t>EATON BRENDA S</t>
  </si>
  <si>
    <t>940 EATONS CHURCH ROAD</t>
  </si>
  <si>
    <t>D30000005402</t>
  </si>
  <si>
    <t>CUSTER RODNEY BRYAN</t>
  </si>
  <si>
    <t>CUSTER JENNIFER EATON</t>
  </si>
  <si>
    <t>925 EATONS CHURCH ROAD</t>
  </si>
  <si>
    <t>27028-4740</t>
  </si>
  <si>
    <t>D30000005403</t>
  </si>
  <si>
    <t>SUMMERS KIM E</t>
  </si>
  <si>
    <t>SUMMERS JAMES W III</t>
  </si>
  <si>
    <t>835 EATONS CHURCH ROAD</t>
  </si>
  <si>
    <t>27028-4739</t>
  </si>
  <si>
    <t>D100000004</t>
  </si>
  <si>
    <t>D10000000101</t>
  </si>
  <si>
    <t>WILES JAMES RONALD</t>
  </si>
  <si>
    <t>999 TURKEY FOOT ROAD</t>
  </si>
  <si>
    <t>D30000005508</t>
  </si>
  <si>
    <t>EATON JAMES ALEXANDER</t>
  </si>
  <si>
    <t>CUSTER R BRYAN</t>
  </si>
  <si>
    <t>D400000004</t>
  </si>
  <si>
    <t>D30000005506</t>
  </si>
  <si>
    <t>OVERTON WILLIE ODELL</t>
  </si>
  <si>
    <t>PO BOX 511</t>
  </si>
  <si>
    <t>27028-0511</t>
  </si>
  <si>
    <t>D300000057</t>
  </si>
  <si>
    <t>BODENHAMER DEWEY C</t>
  </si>
  <si>
    <t>BODENHAMER PATSY W</t>
  </si>
  <si>
    <t>1321 JONESTOWN ROAD</t>
  </si>
  <si>
    <t>D300000058</t>
  </si>
  <si>
    <t>DOWNEY LEWIS H</t>
  </si>
  <si>
    <t>2622 CHERRY CIRCLE</t>
  </si>
  <si>
    <t>RALEIGH</t>
  </si>
  <si>
    <t>27603-0000</t>
  </si>
  <si>
    <t>D300000059</t>
  </si>
  <si>
    <t>GREEN FARM LLC</t>
  </si>
  <si>
    <t>665 QUARTERSTAFF ROAD</t>
  </si>
  <si>
    <t>27104-1638</t>
  </si>
  <si>
    <t>D30000006008</t>
  </si>
  <si>
    <t>HARRIS DUSTIN JOSEPH</t>
  </si>
  <si>
    <t>HARRIS PATRICK DAVID</t>
  </si>
  <si>
    <t>3956 US HWY 601 NORTH</t>
  </si>
  <si>
    <t>D30000006001</t>
  </si>
  <si>
    <t>LAWRENCE SHERRY DEONA SPILLMAN</t>
  </si>
  <si>
    <t>3941 US HIGHWAY 601 NORTH</t>
  </si>
  <si>
    <t>D30000006005</t>
  </si>
  <si>
    <t>SPILLMAN MICHAEL ARTHUR</t>
  </si>
  <si>
    <t>3943 US HIGHWAY 601 NORTH</t>
  </si>
  <si>
    <t>D300000061</t>
  </si>
  <si>
    <t>PIERCE CAROLE</t>
  </si>
  <si>
    <t>3911 US HIGHWAY 601 NORTH</t>
  </si>
  <si>
    <t>D10000002401</t>
  </si>
  <si>
    <t>MUNDY CHERYL SPRINKLE</t>
  </si>
  <si>
    <t>PO BOX 791</t>
  </si>
  <si>
    <t>27028-0791</t>
  </si>
  <si>
    <t>D300000064</t>
  </si>
  <si>
    <t>G3050A0001</t>
  </si>
  <si>
    <t>I5080E0022</t>
  </si>
  <si>
    <t>I4130D001302</t>
  </si>
  <si>
    <t>D30000006501</t>
  </si>
  <si>
    <t>FEREBEE KENNETH LEE</t>
  </si>
  <si>
    <t>FEREBEE KATHERINE M</t>
  </si>
  <si>
    <t>3810 US HIGHWAY 601 NORTH</t>
  </si>
  <si>
    <t>D3010A0001</t>
  </si>
  <si>
    <t>LEDBETTER P ANTHONY</t>
  </si>
  <si>
    <t>LEDBETTER JAMIE J</t>
  </si>
  <si>
    <t>218 GREENFIELD ROAD</t>
  </si>
  <si>
    <t>27028-4771</t>
  </si>
  <si>
    <t>D3010A0004</t>
  </si>
  <si>
    <t>JONES JAMES S</t>
  </si>
  <si>
    <t>JONES MELANIE</t>
  </si>
  <si>
    <t>126 PEN COURT</t>
  </si>
  <si>
    <t>D100000040</t>
  </si>
  <si>
    <t>MILLER MICHAEL L</t>
  </si>
  <si>
    <t>1079 BEAR CREEK CHURCH ROAD</t>
  </si>
  <si>
    <t>D3010A0013</t>
  </si>
  <si>
    <t>BROOKS BRANDON M</t>
  </si>
  <si>
    <t>BROOKS AMANDA SHELTON</t>
  </si>
  <si>
    <t>108 GREENFIELD ROAD</t>
  </si>
  <si>
    <t>D3010A0015</t>
  </si>
  <si>
    <t>ROBERTS STEVEN LLOYD</t>
  </si>
  <si>
    <t>ROBERTS SUSAN LEIGH</t>
  </si>
  <si>
    <t>113 ROD COURT</t>
  </si>
  <si>
    <t>D3010A0016</t>
  </si>
  <si>
    <t>STARRE CHRISTOPHER JOHN</t>
  </si>
  <si>
    <t>STARRE SUSAN MARIE</t>
  </si>
  <si>
    <t>121 ROD COURT</t>
  </si>
  <si>
    <t>D3010A0019</t>
  </si>
  <si>
    <t>STEPHENS NATHAN</t>
  </si>
  <si>
    <t>STEPHENS KAREN</t>
  </si>
  <si>
    <t>132 HIGHLAND ROAD</t>
  </si>
  <si>
    <t>27028-4766</t>
  </si>
  <si>
    <t>D3010A0023</t>
  </si>
  <si>
    <t>JAMES THEODORE</t>
  </si>
  <si>
    <t>JAMES DOREEN</t>
  </si>
  <si>
    <t>117 HIGHLAND ROAD</t>
  </si>
  <si>
    <t>D3010A0024</t>
  </si>
  <si>
    <t>WAGONER DEBORAH S</t>
  </si>
  <si>
    <t>131 HIGHLAND ROAD</t>
  </si>
  <si>
    <t>D100000038</t>
  </si>
  <si>
    <t>D200000005</t>
  </si>
  <si>
    <t>HOHMANN JOHN A</t>
  </si>
  <si>
    <t>HOHMANN SUE W</t>
  </si>
  <si>
    <t>325 BEN ANDERSON ROAD</t>
  </si>
  <si>
    <t>D20000001303</t>
  </si>
  <si>
    <t>TRUDGEON TIMOTHY C</t>
  </si>
  <si>
    <t>TRUDGEON LINDA D</t>
  </si>
  <si>
    <t>116 DUARD REAVIS ROAD</t>
  </si>
  <si>
    <t>27028-5734</t>
  </si>
  <si>
    <t>D3120A0007</t>
  </si>
  <si>
    <t>SHORE SHAWN KELLY</t>
  </si>
  <si>
    <t>1011 EATONS CHURCH ROAD</t>
  </si>
  <si>
    <t>E300000047</t>
  </si>
  <si>
    <t>ATTERBERRY HELEN ELIZABETH</t>
  </si>
  <si>
    <t>403 NORTH MAIN STREET</t>
  </si>
  <si>
    <t>BELMONT</t>
  </si>
  <si>
    <t>28012-0000</t>
  </si>
  <si>
    <t>D20000001501</t>
  </si>
  <si>
    <t>BARNEYCASTLE TERRY DOUGLAS</t>
  </si>
  <si>
    <t>751 BEAR CREEK CHURCH ROAD</t>
  </si>
  <si>
    <t>27028-5624</t>
  </si>
  <si>
    <t>D400000008</t>
  </si>
  <si>
    <t>ALEXANDER JULIA R</t>
  </si>
  <si>
    <t>10075 HICKORY RIDGE ROAD</t>
  </si>
  <si>
    <t>HARRISBURG</t>
  </si>
  <si>
    <t>28075-0000</t>
  </si>
  <si>
    <t>D40000002104</t>
  </si>
  <si>
    <t>LATHAM ALAN DALE</t>
  </si>
  <si>
    <t>1965 CANA ROAD</t>
  </si>
  <si>
    <t>D40000002105</t>
  </si>
  <si>
    <t>D400000024</t>
  </si>
  <si>
    <t>D40000002402</t>
  </si>
  <si>
    <t>D200000017</t>
  </si>
  <si>
    <t>CARNEY SAUNDRA K</t>
  </si>
  <si>
    <t>681 BEAR CREEK CHURCH ROAD</t>
  </si>
  <si>
    <t>D20000003006</t>
  </si>
  <si>
    <t>IRELAND ROBERT PHILLIP</t>
  </si>
  <si>
    <t>IRELAND WENDY M</t>
  </si>
  <si>
    <t>518 DUARD REAVIS ROAD</t>
  </si>
  <si>
    <t>27028-5738</t>
  </si>
  <si>
    <t>D500000003</t>
  </si>
  <si>
    <t>SAWYER PATRICIA VEST</t>
  </si>
  <si>
    <t>841 CEDAR CREEK ROAD</t>
  </si>
  <si>
    <t>27028-6138</t>
  </si>
  <si>
    <t>D50000000302</t>
  </si>
  <si>
    <t>DOBBINS CHRISTINA V</t>
  </si>
  <si>
    <t>805 CEDAR CREEK ROAD</t>
  </si>
  <si>
    <t>D500000004</t>
  </si>
  <si>
    <t>TEAGUE NANCY LOU</t>
  </si>
  <si>
    <t>812 CEDAR CREEK ROAD</t>
  </si>
  <si>
    <t>D20000003812</t>
  </si>
  <si>
    <t>ALEXANDER RICKY W</t>
  </si>
  <si>
    <t>ALEXANDER TERESA B</t>
  </si>
  <si>
    <t>235 MEADOW GLEN LANE</t>
  </si>
  <si>
    <t>D500000020</t>
  </si>
  <si>
    <t>CEDAR CREEK BAPTIST CHURCH</t>
  </si>
  <si>
    <t>473 CEDAR CREEK ROAD</t>
  </si>
  <si>
    <t>D50000001702</t>
  </si>
  <si>
    <t>MARTHINUSS GEORGE L JR</t>
  </si>
  <si>
    <t>MARTHINUSS SHARON H</t>
  </si>
  <si>
    <t>P O BOX 219</t>
  </si>
  <si>
    <t>D50000001703</t>
  </si>
  <si>
    <t>SHORE MICHAEL W</t>
  </si>
  <si>
    <t>SHORE KERETHA C</t>
  </si>
  <si>
    <t>200 NIKKIS WAY</t>
  </si>
  <si>
    <t>D50000002501</t>
  </si>
  <si>
    <t>SCOTT LILLIE MAE</t>
  </si>
  <si>
    <t>370 CEDAR CREEK ROAD</t>
  </si>
  <si>
    <t>D50000002303</t>
  </si>
  <si>
    <t>D500000024</t>
  </si>
  <si>
    <t>D500000042</t>
  </si>
  <si>
    <t>D50000002306</t>
  </si>
  <si>
    <t>SCOTT HENRY L</t>
  </si>
  <si>
    <t>SCOTT KATRINA P</t>
  </si>
  <si>
    <t>1008 RIVER FOREST PT</t>
  </si>
  <si>
    <t>LAWRENCEVILLE</t>
  </si>
  <si>
    <t>30045-2600</t>
  </si>
  <si>
    <t>D500000026</t>
  </si>
  <si>
    <t>EATON MARGARET HEIRS</t>
  </si>
  <si>
    <t>3511 BARNES AVENUE APT 9A</t>
  </si>
  <si>
    <t>BRONX</t>
  </si>
  <si>
    <t>NY</t>
  </si>
  <si>
    <t>10467-0000</t>
  </si>
  <si>
    <t>D200000041</t>
  </si>
  <si>
    <t>RENEGAR BRISTOL CHAD</t>
  </si>
  <si>
    <t>1164 LIBERTY CHURCH ROAD</t>
  </si>
  <si>
    <t>D500000128</t>
  </si>
  <si>
    <t>PILCHER JONATHAN E</t>
  </si>
  <si>
    <t>PILCHER JONI P</t>
  </si>
  <si>
    <t>447 CEDAR CREEK ROAD</t>
  </si>
  <si>
    <t>27028-6134</t>
  </si>
  <si>
    <t>D50000003001</t>
  </si>
  <si>
    <t>D500000036</t>
  </si>
  <si>
    <t>HANES NORRIS H JR</t>
  </si>
  <si>
    <t>13104 SOUTH 38TH STREET</t>
  </si>
  <si>
    <t>OMAHA</t>
  </si>
  <si>
    <t>NE</t>
  </si>
  <si>
    <t>68123-0000</t>
  </si>
  <si>
    <t>D500000045</t>
  </si>
  <si>
    <t>HANES RUFUS HEIRS</t>
  </si>
  <si>
    <t>4940 MILTON DRIVE</t>
  </si>
  <si>
    <t>27105-0000</t>
  </si>
  <si>
    <t>D200000045</t>
  </si>
  <si>
    <t>D200000048</t>
  </si>
  <si>
    <t>TURNER NANCY S JOHNSON</t>
  </si>
  <si>
    <t>858 LIBERTY CHURCH ROAD</t>
  </si>
  <si>
    <t>D200000052</t>
  </si>
  <si>
    <t>SPEER CHRISTINE R</t>
  </si>
  <si>
    <t>837 LIBERTY CHURCH ROAD</t>
  </si>
  <si>
    <t>D300000001</t>
  </si>
  <si>
    <t>MOSER MARK ALAN</t>
  </si>
  <si>
    <t>MOSER KERRY SAFLEY</t>
  </si>
  <si>
    <t>5410 NESTLE WAY DRIVE</t>
  </si>
  <si>
    <t>D300000011</t>
  </si>
  <si>
    <t>MCBRIDE DONALD W</t>
  </si>
  <si>
    <t>MCBRIDE NINA S</t>
  </si>
  <si>
    <t>146 MCBRIDE LANE</t>
  </si>
  <si>
    <t>27028-4904</t>
  </si>
  <si>
    <t>D50000005103</t>
  </si>
  <si>
    <t>THOMPSON DALLAS W</t>
  </si>
  <si>
    <t>THOMPSON BRENDA</t>
  </si>
  <si>
    <t>222 CEDAR CREEK ROAD</t>
  </si>
  <si>
    <t>27028-6132</t>
  </si>
  <si>
    <t>D50000005101</t>
  </si>
  <si>
    <t>VANHOY JOHNNIE C JR</t>
  </si>
  <si>
    <t>VANHOY DARLENE E</t>
  </si>
  <si>
    <t>210 CEDAR CREEK ROAD</t>
  </si>
  <si>
    <t>D500000054</t>
  </si>
  <si>
    <t>DUNN JERYL K</t>
  </si>
  <si>
    <t>DUNN JOAN B</t>
  </si>
  <si>
    <t>344 PUDDING RIDGE ROAD</t>
  </si>
  <si>
    <t>D500000055</t>
  </si>
  <si>
    <t>PATELLA JOSEPH J</t>
  </si>
  <si>
    <t>PATELLA JANICE K DAVIS</t>
  </si>
  <si>
    <t>300 PUDDING RIDGE ROAD</t>
  </si>
  <si>
    <t>D500000056</t>
  </si>
  <si>
    <t>UMBERGER LARRY J</t>
  </si>
  <si>
    <t>UMBERGER KAREN E</t>
  </si>
  <si>
    <t>288 PUDDING RIDGE ROAD</t>
  </si>
  <si>
    <t>27028-7757</t>
  </si>
  <si>
    <t>D500000063</t>
  </si>
  <si>
    <t>WILLIAMS GREGORY EUGENE</t>
  </si>
  <si>
    <t>1207 FARMINGTON ROAD</t>
  </si>
  <si>
    <t>D50000006402</t>
  </si>
  <si>
    <t>REAVIS TAMMY A</t>
  </si>
  <si>
    <t>132 PUDDING RIDGE ROAD</t>
  </si>
  <si>
    <t>27028-7756</t>
  </si>
  <si>
    <t>D50000006403</t>
  </si>
  <si>
    <t>EVANS MARY H</t>
  </si>
  <si>
    <t>150 PUDDING RIDGE ROAD</t>
  </si>
  <si>
    <t>D30000003103</t>
  </si>
  <si>
    <t>D500000087</t>
  </si>
  <si>
    <t>WHITLEY BARRY W</t>
  </si>
  <si>
    <t>WHITLEY MYRNA</t>
  </si>
  <si>
    <t>1696 FARMINGTON ROAD</t>
  </si>
  <si>
    <t>D50000007101</t>
  </si>
  <si>
    <t>SELLS WILLIAM RICKY</t>
  </si>
  <si>
    <t>SELLS MARY ELIZABETH</t>
  </si>
  <si>
    <t>1420 FARMINGTON ROAD</t>
  </si>
  <si>
    <t>E40000000401</t>
  </si>
  <si>
    <t>WILLIAMS RONALD J</t>
  </si>
  <si>
    <t>WILLIAMS NANCY RANDALL</t>
  </si>
  <si>
    <t>145 MALLARD ROAD</t>
  </si>
  <si>
    <t>D500000078</t>
  </si>
  <si>
    <t>D500000080</t>
  </si>
  <si>
    <t>FRYE DEBRA W</t>
  </si>
  <si>
    <t>142 MALLARD ROAD</t>
  </si>
  <si>
    <t>D500000082</t>
  </si>
  <si>
    <t>BENNETT SANDRA GAIL</t>
  </si>
  <si>
    <t>1629 FARMINGTON ROAD</t>
  </si>
  <si>
    <t>C8040A0729</t>
  </si>
  <si>
    <t>WHITE ANDREW T</t>
  </si>
  <si>
    <t>174 OLD TOWNE DRIVE</t>
  </si>
  <si>
    <t>E70000000103</t>
  </si>
  <si>
    <t>FLEMING M ALTON</t>
  </si>
  <si>
    <t>FLEMING TAMMY</t>
  </si>
  <si>
    <t>164 EMILY DRIVE</t>
  </si>
  <si>
    <t>27006-6611</t>
  </si>
  <si>
    <t>E6040B0016</t>
  </si>
  <si>
    <t>E6040B0015</t>
  </si>
  <si>
    <t>E6040B0017</t>
  </si>
  <si>
    <t>D50000009201</t>
  </si>
  <si>
    <t>HOLMES MARK A</t>
  </si>
  <si>
    <t>HOLMES NANCY E</t>
  </si>
  <si>
    <t>106 KENNEN KREST ROAD</t>
  </si>
  <si>
    <t>D50000009202</t>
  </si>
  <si>
    <t>D50000009701</t>
  </si>
  <si>
    <t>MOYER WAYNE</t>
  </si>
  <si>
    <t>MOYER LYNN</t>
  </si>
  <si>
    <t>1780 FARMINGTON ROAD</t>
  </si>
  <si>
    <t>D500000101</t>
  </si>
  <si>
    <t>ATHEY ROBERT C JR</t>
  </si>
  <si>
    <t>ATHEY JO PATTON</t>
  </si>
  <si>
    <t>133 KENNEN KREST ROAD</t>
  </si>
  <si>
    <t>D50000010402</t>
  </si>
  <si>
    <t>BREWER DANIEL L</t>
  </si>
  <si>
    <t>BREWER BARBARA H</t>
  </si>
  <si>
    <t>209 KENNEN KREST ROAD</t>
  </si>
  <si>
    <t>D50000010701</t>
  </si>
  <si>
    <t>D500000108</t>
  </si>
  <si>
    <t>I4130D0017</t>
  </si>
  <si>
    <t>I4130H0009</t>
  </si>
  <si>
    <t>D500000105</t>
  </si>
  <si>
    <t>MORRISON JOSEPH MICHAEL</t>
  </si>
  <si>
    <t>187 KENNEN KREST ROAD</t>
  </si>
  <si>
    <t>27028-7716</t>
  </si>
  <si>
    <t>C8040A0732</t>
  </si>
  <si>
    <t>HEAD FRANCES L</t>
  </si>
  <si>
    <t>HEAD LAURA A</t>
  </si>
  <si>
    <t>180 OLD TOWNE DRIVE</t>
  </si>
  <si>
    <t>D300000046  A</t>
  </si>
  <si>
    <t>TRIVETTE WILLIS A</t>
  </si>
  <si>
    <t>TRIVETTE JUDY</t>
  </si>
  <si>
    <t>PO BOX 396</t>
  </si>
  <si>
    <t>27028-0396</t>
  </si>
  <si>
    <t>D500000123</t>
  </si>
  <si>
    <t>CAUDLE ROBERT L</t>
  </si>
  <si>
    <t>CAUDLE KAY B</t>
  </si>
  <si>
    <t>160 KENNEN KREST ROAD</t>
  </si>
  <si>
    <t>D500000124</t>
  </si>
  <si>
    <t>SMITH JAMES WILLIS</t>
  </si>
  <si>
    <t>SMITH SHIRLEY H</t>
  </si>
  <si>
    <t>915 BOBBIT ROAD</t>
  </si>
  <si>
    <t>27028-7617</t>
  </si>
  <si>
    <t>D500000132</t>
  </si>
  <si>
    <t>POPE STEPHEN EUGENE</t>
  </si>
  <si>
    <t>POPE ERIKA</t>
  </si>
  <si>
    <t>241 CEDAR CREEK ROAD</t>
  </si>
  <si>
    <t>D60000000202</t>
  </si>
  <si>
    <t>BLAKE WILLIAM NORMAN</t>
  </si>
  <si>
    <t>526 BOBBIT ROAD</t>
  </si>
  <si>
    <t>D60000000203</t>
  </si>
  <si>
    <t>D600000002</t>
  </si>
  <si>
    <t>D60000000201</t>
  </si>
  <si>
    <t>D30000005504</t>
  </si>
  <si>
    <t>D30000005507</t>
  </si>
  <si>
    <t>D300000063</t>
  </si>
  <si>
    <t>CALL KAYE DRIVER</t>
  </si>
  <si>
    <t>3867 US HIGHWAY 601 NORTH</t>
  </si>
  <si>
    <t>27028-6272</t>
  </si>
  <si>
    <t>D600000011</t>
  </si>
  <si>
    <t>HANES DON MARVIN</t>
  </si>
  <si>
    <t>971 RAINBOW ROAD</t>
  </si>
  <si>
    <t>27006-6715</t>
  </si>
  <si>
    <t>D600000013</t>
  </si>
  <si>
    <t>D60000000802</t>
  </si>
  <si>
    <t>D600000016</t>
  </si>
  <si>
    <t>SMITH NANNIE HEIRS</t>
  </si>
  <si>
    <t>D600000018</t>
  </si>
  <si>
    <t>HOLDEN WILLIAM H JR</t>
  </si>
  <si>
    <t>HOLDEN ANNA S</t>
  </si>
  <si>
    <t>473 RAINBOW ROAD</t>
  </si>
  <si>
    <t>D60000001805</t>
  </si>
  <si>
    <t>HALLMAN THOMAS H</t>
  </si>
  <si>
    <t>HALLMAN KAREN L</t>
  </si>
  <si>
    <t>507 RAINBOW ROAD</t>
  </si>
  <si>
    <t>D3010A0010</t>
  </si>
  <si>
    <t>BURCHAM TRAVIS</t>
  </si>
  <si>
    <t>WALKER TRACIE</t>
  </si>
  <si>
    <t>164 GREENFIELD ROAD</t>
  </si>
  <si>
    <t>27028-4769</t>
  </si>
  <si>
    <t>D3010A0031</t>
  </si>
  <si>
    <t>WEST JAY</t>
  </si>
  <si>
    <t>WEST TONYA</t>
  </si>
  <si>
    <t>147 LANDIS COURT</t>
  </si>
  <si>
    <t>D3010A0037</t>
  </si>
  <si>
    <t>HUNTER JULIE O</t>
  </si>
  <si>
    <t>145 GREENFIELD ROAD</t>
  </si>
  <si>
    <t>D60000002401</t>
  </si>
  <si>
    <t>CARPENTER RICHARD C</t>
  </si>
  <si>
    <t>CARPENTER CYNTHIA G</t>
  </si>
  <si>
    <t>265 CARPENTER LANE</t>
  </si>
  <si>
    <t>D3010A0041</t>
  </si>
  <si>
    <t>MALLOY ROBERT H</t>
  </si>
  <si>
    <t>MALLOY LINDA A</t>
  </si>
  <si>
    <t>193 GREENFIELD ROAD</t>
  </si>
  <si>
    <t>J5010B0014</t>
  </si>
  <si>
    <t>SMITH JERRY WAYNE</t>
  </si>
  <si>
    <t>653 LEXINGTON ROAD</t>
  </si>
  <si>
    <t>D600000030</t>
  </si>
  <si>
    <t>GRIFFEY JAMES E</t>
  </si>
  <si>
    <t>GRIFFEY ANGELA E</t>
  </si>
  <si>
    <t>828 RAINBOW ROAD</t>
  </si>
  <si>
    <t>D600000037</t>
  </si>
  <si>
    <t>SMITH BENJAMIN Y</t>
  </si>
  <si>
    <t>1005 RAINBOW ROAD</t>
  </si>
  <si>
    <t>27006-6716</t>
  </si>
  <si>
    <t>D600000044</t>
  </si>
  <si>
    <t>PARRISH LYNN RAY</t>
  </si>
  <si>
    <t>PARRISH JANET F</t>
  </si>
  <si>
    <t>1093 RAINBOW ROAD</t>
  </si>
  <si>
    <t>D600000047</t>
  </si>
  <si>
    <t>POTEET JOSEPHINE B</t>
  </si>
  <si>
    <t>POTEET LORETTA GAY</t>
  </si>
  <si>
    <t>1130 RAINBOW ROAD</t>
  </si>
  <si>
    <t>E400000038</t>
  </si>
  <si>
    <t>D40000002701</t>
  </si>
  <si>
    <t>WALKER MARTHA B</t>
  </si>
  <si>
    <t>WALKER ZANE E</t>
  </si>
  <si>
    <t>2524 BETHEL CHURCH ROAD</t>
  </si>
  <si>
    <t>D60000005501</t>
  </si>
  <si>
    <t>HMIELESKI ROBERT R J</t>
  </si>
  <si>
    <t>1163 RAINBOW ROAD</t>
  </si>
  <si>
    <t>D600000057</t>
  </si>
  <si>
    <t>CLONTZ WILLIAM BROADUS</t>
  </si>
  <si>
    <t>CLONTZ ALICE FAYE</t>
  </si>
  <si>
    <t>171 TUCKER ROAD</t>
  </si>
  <si>
    <t>D60000006201</t>
  </si>
  <si>
    <t>D600000060</t>
  </si>
  <si>
    <t>SIMS CHARLES R</t>
  </si>
  <si>
    <t>SIMS DONNA B</t>
  </si>
  <si>
    <t>374 HARPER ROAD</t>
  </si>
  <si>
    <t>27006-6669</t>
  </si>
  <si>
    <t>D50000000102</t>
  </si>
  <si>
    <t>SPACH ANGELA S</t>
  </si>
  <si>
    <t>27028-6140</t>
  </si>
  <si>
    <t>F70000000301</t>
  </si>
  <si>
    <t>FOSTER GARRY ROY</t>
  </si>
  <si>
    <t>FOSTER ANNE MARIE F</t>
  </si>
  <si>
    <t>221 HILTON ROAD</t>
  </si>
  <si>
    <t>27006-6627</t>
  </si>
  <si>
    <t>D600000068</t>
  </si>
  <si>
    <t>SHERMER JASON GLENN</t>
  </si>
  <si>
    <t>315 HILTON ROAD</t>
  </si>
  <si>
    <t>D60000007001</t>
  </si>
  <si>
    <t>DUNN W A JR</t>
  </si>
  <si>
    <t>329 HILTON ROAD</t>
  </si>
  <si>
    <t>27006-6628</t>
  </si>
  <si>
    <t>D600000070</t>
  </si>
  <si>
    <t>D60000007301</t>
  </si>
  <si>
    <t>HOWARD WILLIAM C</t>
  </si>
  <si>
    <t>HOWARD IMOGENE L</t>
  </si>
  <si>
    <t>2501 FARMBROOK ROAD</t>
  </si>
  <si>
    <t>D600000078</t>
  </si>
  <si>
    <t>CREWS WILLIAM L</t>
  </si>
  <si>
    <t>CREWS ELAINE S</t>
  </si>
  <si>
    <t>348 HILTON ROAD</t>
  </si>
  <si>
    <t>D500000015</t>
  </si>
  <si>
    <t>D500000030</t>
  </si>
  <si>
    <t>LITTRELL JOEL R</t>
  </si>
  <si>
    <t>LITTRELL CATHERINE L</t>
  </si>
  <si>
    <t>477 CEDAR CREEK RD</t>
  </si>
  <si>
    <t>MOCKSVILLEE</t>
  </si>
  <si>
    <t>D700000011</t>
  </si>
  <si>
    <t>JEFFRIES JEAN</t>
  </si>
  <si>
    <t>119 GORDON DRIVE</t>
  </si>
  <si>
    <t>27006-6615</t>
  </si>
  <si>
    <t>D700000012</t>
  </si>
  <si>
    <t>REDMAN WAYNE R</t>
  </si>
  <si>
    <t>REDMAN JANE S</t>
  </si>
  <si>
    <t>109 GORDON DRIVE</t>
  </si>
  <si>
    <t>D500000049</t>
  </si>
  <si>
    <t>LAKEY KAREN VIRGINIA</t>
  </si>
  <si>
    <t>273 CEDAR CREEK ROAD</t>
  </si>
  <si>
    <t>D70000002002</t>
  </si>
  <si>
    <t>ATWOOD JAMES G III</t>
  </si>
  <si>
    <t>ATWOOD KITTY D</t>
  </si>
  <si>
    <t>356 GORDON DRIVE</t>
  </si>
  <si>
    <t>D70000002401</t>
  </si>
  <si>
    <t>RIDDLE KENNETH L JR</t>
  </si>
  <si>
    <t>RIDDLE DONNAMARIE M</t>
  </si>
  <si>
    <t>594 GORDON DRIVE</t>
  </si>
  <si>
    <t>27006-6619</t>
  </si>
  <si>
    <t>D700000023  A</t>
  </si>
  <si>
    <t>D700000026</t>
  </si>
  <si>
    <t>BANKS SARAH W</t>
  </si>
  <si>
    <t>117 BANKS ROAD</t>
  </si>
  <si>
    <t>D700000028</t>
  </si>
  <si>
    <t>ELLIS WILLIAM A</t>
  </si>
  <si>
    <t>ELLIS ANNE G</t>
  </si>
  <si>
    <t>183 RIDDLE CIRCLE</t>
  </si>
  <si>
    <t>D50000004901</t>
  </si>
  <si>
    <t>POPE PATRICIA SUE</t>
  </si>
  <si>
    <t>POPE EUGENE L</t>
  </si>
  <si>
    <t>259 CEDAR CREEK ROAD</t>
  </si>
  <si>
    <t>D700000046</t>
  </si>
  <si>
    <t>MYERS JIMMY L</t>
  </si>
  <si>
    <t>PO BOX 2071</t>
  </si>
  <si>
    <t>D700000045</t>
  </si>
  <si>
    <t>D500000131</t>
  </si>
  <si>
    <t>D500000057</t>
  </si>
  <si>
    <t>D500000051</t>
  </si>
  <si>
    <t>D50000006406</t>
  </si>
  <si>
    <t>KIRK SUSAN G</t>
  </si>
  <si>
    <t>1221 FARMINGTON ROAD</t>
  </si>
  <si>
    <t>D500000071</t>
  </si>
  <si>
    <t>BOGER JEFFREY O</t>
  </si>
  <si>
    <t>BOGER KIM MARIE</t>
  </si>
  <si>
    <t>146 ATLANTIC LANE</t>
  </si>
  <si>
    <t>D700000058</t>
  </si>
  <si>
    <t>MYERS JIMMY LAIRD</t>
  </si>
  <si>
    <t>566 REDLAND ROAD</t>
  </si>
  <si>
    <t>D700000060</t>
  </si>
  <si>
    <t>D70000006301</t>
  </si>
  <si>
    <t>HOWARD THOMAS KELLY</t>
  </si>
  <si>
    <t>1239 RAINBOW ROAD</t>
  </si>
  <si>
    <t>D700000073</t>
  </si>
  <si>
    <t>WARD SARAH E</t>
  </si>
  <si>
    <t>1252 RAINBOW ROAD</t>
  </si>
  <si>
    <t>27006-6718</t>
  </si>
  <si>
    <t>D700000074</t>
  </si>
  <si>
    <t>BOGER EDWARD L</t>
  </si>
  <si>
    <t>BOGER DONNA B</t>
  </si>
  <si>
    <t>1226 RAINBOW ROAD</t>
  </si>
  <si>
    <t>D40000001203</t>
  </si>
  <si>
    <t>GONZALEZ EUNICE G</t>
  </si>
  <si>
    <t>1294 EATONS CHURCH ROAD</t>
  </si>
  <si>
    <t>27028-4743</t>
  </si>
  <si>
    <t>D300000040</t>
  </si>
  <si>
    <t>TIFFT DAVID E JR</t>
  </si>
  <si>
    <t>TIFFT TAMMY J L</t>
  </si>
  <si>
    <t>1248 EATONS CHURCH ROAD</t>
  </si>
  <si>
    <t>D500000090</t>
  </si>
  <si>
    <t>D600000036</t>
  </si>
  <si>
    <t>D600000012</t>
  </si>
  <si>
    <t>D600000005</t>
  </si>
  <si>
    <t>D60000001807</t>
  </si>
  <si>
    <t>EHNES KAI T</t>
  </si>
  <si>
    <t>EHNES TIFFANY A</t>
  </si>
  <si>
    <t>429 RAINBOW ROAD</t>
  </si>
  <si>
    <t>D700000094</t>
  </si>
  <si>
    <t>SMITH STEVE W JR</t>
  </si>
  <si>
    <t>SMITH CHRISTEL D</t>
  </si>
  <si>
    <t>130 LITTLE ROBER ROAD</t>
  </si>
  <si>
    <t>27006-6744</t>
  </si>
  <si>
    <t>D700000095</t>
  </si>
  <si>
    <t>PATTERSON PATSY N TRUSTEE</t>
  </si>
  <si>
    <t>PATTERSON PATSY N REV TRUST</t>
  </si>
  <si>
    <t>132 FAIRWAY ROAD</t>
  </si>
  <si>
    <t>D700000097</t>
  </si>
  <si>
    <t>HOWELL DWIGHT DAVID</t>
  </si>
  <si>
    <t>447 REDLAND ROAD</t>
  </si>
  <si>
    <t>D700000099</t>
  </si>
  <si>
    <t>SMITH JENNIFER U</t>
  </si>
  <si>
    <t>437 REDLAND ROAD</t>
  </si>
  <si>
    <t>27006-6722</t>
  </si>
  <si>
    <t>H4180A0010</t>
  </si>
  <si>
    <t>D600000025</t>
  </si>
  <si>
    <t>WELCH EDGAR B</t>
  </si>
  <si>
    <t>WELCH BRENDA H</t>
  </si>
  <si>
    <t>206 SPEAKS ROAD</t>
  </si>
  <si>
    <t>27006-6736</t>
  </si>
  <si>
    <t>D60000002903</t>
  </si>
  <si>
    <t>D600000048  A</t>
  </si>
  <si>
    <t>FOSTER BRUCE A</t>
  </si>
  <si>
    <t>1155 RAINBOW ROAD</t>
  </si>
  <si>
    <t>D60000004801</t>
  </si>
  <si>
    <t>D60000006501</t>
  </si>
  <si>
    <t>D70000000402</t>
  </si>
  <si>
    <t>KLUGE CHRISTINE A</t>
  </si>
  <si>
    <t>135 PONDVIEW LANE</t>
  </si>
  <si>
    <t>27006-6648</t>
  </si>
  <si>
    <t>D70000000901</t>
  </si>
  <si>
    <t>WEST LARRY GENE</t>
  </si>
  <si>
    <t>1533 ST ANDREWS COURT</t>
  </si>
  <si>
    <t>D70000002006</t>
  </si>
  <si>
    <t>D700000038</t>
  </si>
  <si>
    <t>VENTURI JENNIFER E</t>
  </si>
  <si>
    <t>VENTURI ROBERT J</t>
  </si>
  <si>
    <t>190 RIDDLE CIRCLE</t>
  </si>
  <si>
    <t>27006-6658</t>
  </si>
  <si>
    <t>E700000038</t>
  </si>
  <si>
    <t>LINKOUS THOMAS EDWARD</t>
  </si>
  <si>
    <t>LINKOUS BETHANY ANN</t>
  </si>
  <si>
    <t>169 KING ARTHUR LANE</t>
  </si>
  <si>
    <t>D700000135</t>
  </si>
  <si>
    <t>SMITH OSCAR A JR</t>
  </si>
  <si>
    <t>132 PARSONAGE DRIVE</t>
  </si>
  <si>
    <t>27006-6655</t>
  </si>
  <si>
    <t>E70000009401</t>
  </si>
  <si>
    <t>D700000137</t>
  </si>
  <si>
    <t>COOK GAYNELL</t>
  </si>
  <si>
    <t>COOK MARY LULA</t>
  </si>
  <si>
    <t>144 WILLIE COOK DRIVE</t>
  </si>
  <si>
    <t>27006-6745</t>
  </si>
  <si>
    <t>D700000138</t>
  </si>
  <si>
    <t>MILLER CHRISTINE CARTER</t>
  </si>
  <si>
    <t>117 WILLIE COOK DRIVE</t>
  </si>
  <si>
    <t>D700000140</t>
  </si>
  <si>
    <t>MCCULLOH DENNIS C</t>
  </si>
  <si>
    <t>151 SOURWOOD LANE</t>
  </si>
  <si>
    <t>27006-6733</t>
  </si>
  <si>
    <t>D70000014001</t>
  </si>
  <si>
    <t>D70000014002</t>
  </si>
  <si>
    <t>J5150D0001</t>
  </si>
  <si>
    <t>PRIM VESTAL GEORGE JR</t>
  </si>
  <si>
    <t>304 SOUTHWOOD DRIVE</t>
  </si>
  <si>
    <t>27028-4338</t>
  </si>
  <si>
    <t>D70000014101</t>
  </si>
  <si>
    <t>SCHWARTE RUSSELL C</t>
  </si>
  <si>
    <t>SCHWARTE MICHELE R</t>
  </si>
  <si>
    <t>1902 DURMONT DR</t>
  </si>
  <si>
    <t>MARION</t>
  </si>
  <si>
    <t>IN</t>
  </si>
  <si>
    <t>46952-0000</t>
  </si>
  <si>
    <t>D700000148</t>
  </si>
  <si>
    <t>HIRE TERESA BUCKNER</t>
  </si>
  <si>
    <t>1871 LEWISVILLE CLEMMONS ROAD</t>
  </si>
  <si>
    <t>D700000157</t>
  </si>
  <si>
    <t>PETROS JULIE W</t>
  </si>
  <si>
    <t>822 N PINE VALLEY ROAD</t>
  </si>
  <si>
    <t>D700000155</t>
  </si>
  <si>
    <t>D700000052</t>
  </si>
  <si>
    <t>BROWN LORETTA D</t>
  </si>
  <si>
    <t>608 REDLAND ROAD</t>
  </si>
  <si>
    <t>D70000005303</t>
  </si>
  <si>
    <t>SMITH LANE RAY</t>
  </si>
  <si>
    <t>137 POPLAR HILL LANE</t>
  </si>
  <si>
    <t>D700000172</t>
  </si>
  <si>
    <t>POTTS WILBURN AVALON</t>
  </si>
  <si>
    <t>POTTS MARILYN</t>
  </si>
  <si>
    <t>3201 CENTRE PARK BLVD</t>
  </si>
  <si>
    <t>27107-0000</t>
  </si>
  <si>
    <t>D700000173</t>
  </si>
  <si>
    <t>D700000175</t>
  </si>
  <si>
    <t>MCHAN FRED</t>
  </si>
  <si>
    <t>MCHAN NANCY T</t>
  </si>
  <si>
    <t>153 SHADY LANE</t>
  </si>
  <si>
    <t>D700000174</t>
  </si>
  <si>
    <t>D700000178</t>
  </si>
  <si>
    <t>D700000177</t>
  </si>
  <si>
    <t>HOWARD WAYNE E</t>
  </si>
  <si>
    <t>MUNDAY DENISE R</t>
  </si>
  <si>
    <t>180 SHADY LANE</t>
  </si>
  <si>
    <t>D70000016104</t>
  </si>
  <si>
    <t>D70000017902</t>
  </si>
  <si>
    <t>HOLT GARY K</t>
  </si>
  <si>
    <t>HOLT THERESA B</t>
  </si>
  <si>
    <t>152 SHADY LANE</t>
  </si>
  <si>
    <t>27006-6660</t>
  </si>
  <si>
    <t>D70000017901</t>
  </si>
  <si>
    <t>D70000005302</t>
  </si>
  <si>
    <t>D70000005304</t>
  </si>
  <si>
    <t>D700000055</t>
  </si>
  <si>
    <t>HILL NORMAN M II</t>
  </si>
  <si>
    <t>591 REDLAND ROAD</t>
  </si>
  <si>
    <t>D700000198</t>
  </si>
  <si>
    <t>NAHORY SARAH CALL</t>
  </si>
  <si>
    <t>5308 GUILDBROOK ROAD</t>
  </si>
  <si>
    <t>CHARLOTTE</t>
  </si>
  <si>
    <t>28226-0000</t>
  </si>
  <si>
    <t>D70000020402</t>
  </si>
  <si>
    <t>CLA REAL ESTATE INVESTMENTS</t>
  </si>
  <si>
    <t>149 COVINGTON DRIVE</t>
  </si>
  <si>
    <t>27006-7866</t>
  </si>
  <si>
    <t>D70000021104</t>
  </si>
  <si>
    <t>ROBERSON ENTERPRISES OF DAVIE</t>
  </si>
  <si>
    <t>133 LIVE OAKS ROAD</t>
  </si>
  <si>
    <t>27006-7983</t>
  </si>
  <si>
    <t>D70000021103</t>
  </si>
  <si>
    <t>D700000215</t>
  </si>
  <si>
    <t>MAYERS AL JR</t>
  </si>
  <si>
    <t>MAYERS PAULA MILLER</t>
  </si>
  <si>
    <t>136 MOORING LANE</t>
  </si>
  <si>
    <t>D500000118</t>
  </si>
  <si>
    <t>WOOD JOHN ROBERT</t>
  </si>
  <si>
    <t>WOOD LINDA ROGERS</t>
  </si>
  <si>
    <t>316 KENNEN KREST ROAD</t>
  </si>
  <si>
    <t>27028-7718</t>
  </si>
  <si>
    <t>D700000227</t>
  </si>
  <si>
    <t>WAKE FOREST UNIV BAPTIST MED</t>
  </si>
  <si>
    <t>CTR COMMUNITY PHYSICIANS</t>
  </si>
  <si>
    <t>ATTN:  DOUGLAS E NELSON</t>
  </si>
  <si>
    <t>MEDICAL CENTER BLVD</t>
  </si>
  <si>
    <t>27157-0000</t>
  </si>
  <si>
    <t>D70000022701</t>
  </si>
  <si>
    <t>D700000228</t>
  </si>
  <si>
    <t>D700000229</t>
  </si>
  <si>
    <t>C700000112</t>
  </si>
  <si>
    <t>D700000236</t>
  </si>
  <si>
    <t>WEBB INVESTMENTS LLC</t>
  </si>
  <si>
    <t>170 WEBB WY</t>
  </si>
  <si>
    <t>D500000120</t>
  </si>
  <si>
    <t>ARRINGTON JEFFREY T</t>
  </si>
  <si>
    <t>ARRINGTON STEPHANIE T</t>
  </si>
  <si>
    <t>260 KENNEN KREST ROAD</t>
  </si>
  <si>
    <t>D7010A0007</t>
  </si>
  <si>
    <t>SHOUSE TAMI G</t>
  </si>
  <si>
    <t>175 LITTLE JOHN DRIVE</t>
  </si>
  <si>
    <t>27006-6635</t>
  </si>
  <si>
    <t>D7010A0014</t>
  </si>
  <si>
    <t>DRANE PAUL TIFFAN JR</t>
  </si>
  <si>
    <t>DRANE FAYE R</t>
  </si>
  <si>
    <t>225 LITTLE JOHN DRIVE</t>
  </si>
  <si>
    <t>D7010A0013</t>
  </si>
  <si>
    <t>D7010A0018</t>
  </si>
  <si>
    <t>DAY JUSTIN W</t>
  </si>
  <si>
    <t>192 LITTLE JOHN DRIVE</t>
  </si>
  <si>
    <t>D7010A0020</t>
  </si>
  <si>
    <t>LONG ALICE M</t>
  </si>
  <si>
    <t>176 LITTLE JOHN DRIVE</t>
  </si>
  <si>
    <t>D7010A0021</t>
  </si>
  <si>
    <t>TURNER JACK F</t>
  </si>
  <si>
    <t>TURNER NELL B</t>
  </si>
  <si>
    <t>168 LITTLE JOHN DRIVE</t>
  </si>
  <si>
    <t>D7010A0023</t>
  </si>
  <si>
    <t>HOWARD JAMES C II</t>
  </si>
  <si>
    <t>HOWARD LEIGH S</t>
  </si>
  <si>
    <t>154 LITTLE JOHN DRIVE</t>
  </si>
  <si>
    <t>D7010B0001</t>
  </si>
  <si>
    <t>HOLLAND BOBBY JOE</t>
  </si>
  <si>
    <t>237 GORDON DRIVE</t>
  </si>
  <si>
    <t>D7010B0003</t>
  </si>
  <si>
    <t>REECE JAMES BART</t>
  </si>
  <si>
    <t>251 GORDON DRIVE</t>
  </si>
  <si>
    <t>D700000091</t>
  </si>
  <si>
    <t>SMITH STEVE W</t>
  </si>
  <si>
    <t>SMITH GEORGIA R</t>
  </si>
  <si>
    <t>148 FAIRWAY ROAD</t>
  </si>
  <si>
    <t>D7020A0002</t>
  </si>
  <si>
    <t>SAWREY WILLIAM ROBERT JR</t>
  </si>
  <si>
    <t>SAWREY MEGAN HICKS</t>
  </si>
  <si>
    <t>449 GORDON DRIVE</t>
  </si>
  <si>
    <t>D7020A0003</t>
  </si>
  <si>
    <t>BEAMAN CHARLES F JR</t>
  </si>
  <si>
    <t>BEAMAN SHEILA T</t>
  </si>
  <si>
    <t>457 GORDON DRIVE</t>
  </si>
  <si>
    <t>D7020A0006</t>
  </si>
  <si>
    <t>HALL PAUL E</t>
  </si>
  <si>
    <t>HALL DOROTHY F</t>
  </si>
  <si>
    <t>479 GORDON DRIVE</t>
  </si>
  <si>
    <t>D7020A0007</t>
  </si>
  <si>
    <t>WHALEN MICHAEL A</t>
  </si>
  <si>
    <t>487 GORDON DRIVE</t>
  </si>
  <si>
    <t>27006-6618</t>
  </si>
  <si>
    <t>D7020A0008</t>
  </si>
  <si>
    <t>SAYLOR MAX J</t>
  </si>
  <si>
    <t>SAYLOR PATRICIA G</t>
  </si>
  <si>
    <t>127 CHARLOTTE PLACE</t>
  </si>
  <si>
    <t>D700000092</t>
  </si>
  <si>
    <t>D700000093</t>
  </si>
  <si>
    <t>SMITH ELDRIDGE H</t>
  </si>
  <si>
    <t>SMITH BETTY S</t>
  </si>
  <si>
    <t>129 LITTLE ROBER ROAD</t>
  </si>
  <si>
    <t>D700000115</t>
  </si>
  <si>
    <t>SMITH PAULA MICHELE</t>
  </si>
  <si>
    <t>113 BETHLEHEM DRIVE</t>
  </si>
  <si>
    <t>D7020B0013</t>
  </si>
  <si>
    <t>HOOKS JAMES RANDALL</t>
  </si>
  <si>
    <t>HOOKS PATTIE LYNN</t>
  </si>
  <si>
    <t>137 LESLIE COURT</t>
  </si>
  <si>
    <t>D7030A0004</t>
  </si>
  <si>
    <t>AGEE JOHN I</t>
  </si>
  <si>
    <t>AGEE LISEBETH L</t>
  </si>
  <si>
    <t>136 LESLIE COURT</t>
  </si>
  <si>
    <t>D7030A0007</t>
  </si>
  <si>
    <t>HEMMING BRUCE A</t>
  </si>
  <si>
    <t>HEMMING CAROLYN J</t>
  </si>
  <si>
    <t>180 BRENTWOOD DRIVE</t>
  </si>
  <si>
    <t>D700000119</t>
  </si>
  <si>
    <t>SMITH GARY P</t>
  </si>
  <si>
    <t>SMITH IVY JO</t>
  </si>
  <si>
    <t>147 BETHLEHEM ROAD</t>
  </si>
  <si>
    <t>D7030A0022</t>
  </si>
  <si>
    <t>SLIGH ELTON C JR</t>
  </si>
  <si>
    <t>130 BRENTWOOD DRIVE</t>
  </si>
  <si>
    <t>27006-9447</t>
  </si>
  <si>
    <t>D7030A0033</t>
  </si>
  <si>
    <t>WAUGH JANETTE C</t>
  </si>
  <si>
    <t>123 FOREST COURT</t>
  </si>
  <si>
    <t>27006-9452</t>
  </si>
  <si>
    <t>E60000005304</t>
  </si>
  <si>
    <t>D700000122</t>
  </si>
  <si>
    <t>BEAUCHAMP DOUGLAS L</t>
  </si>
  <si>
    <t>BEAUCHAMP BETTY A</t>
  </si>
  <si>
    <t>172 BETHLEHEM DRIVE</t>
  </si>
  <si>
    <t>27006-6602</t>
  </si>
  <si>
    <t>D7030B0013</t>
  </si>
  <si>
    <t>CUTHRELL ELSER RUFUS</t>
  </si>
  <si>
    <t>CUTHRELL ALBERTA H</t>
  </si>
  <si>
    <t>267 CREEKWOOD DRIVE</t>
  </si>
  <si>
    <t>D7030B001301</t>
  </si>
  <si>
    <t>DAVIS CHARLES D</t>
  </si>
  <si>
    <t>DAVIS GERTRUDE E</t>
  </si>
  <si>
    <t>123 WESTVIEW COURT</t>
  </si>
  <si>
    <t>27006-6755</t>
  </si>
  <si>
    <t>D7030B0019</t>
  </si>
  <si>
    <t>MICK DEBRA M</t>
  </si>
  <si>
    <t>147 BRENTWOOD DRIVE</t>
  </si>
  <si>
    <t>D7030B0020</t>
  </si>
  <si>
    <t>HAUSER DAVID JOHN</t>
  </si>
  <si>
    <t>HAUSER MARY BETTE WALL</t>
  </si>
  <si>
    <t>112 CHARLOTTE PLACE</t>
  </si>
  <si>
    <t>D7030B0022</t>
  </si>
  <si>
    <t>ADOLF PETER JOSEPH</t>
  </si>
  <si>
    <t>ADOLF MARY LILLIAN SIMONE</t>
  </si>
  <si>
    <t>1647 LINDAN DRIVE</t>
  </si>
  <si>
    <t>ALDEN</t>
  </si>
  <si>
    <t>14004-0000</t>
  </si>
  <si>
    <t>D700000123</t>
  </si>
  <si>
    <t>BERTINI JANICE CLEO</t>
  </si>
  <si>
    <t>160 BETHLEHEM DRIVE</t>
  </si>
  <si>
    <t>D7030C0003</t>
  </si>
  <si>
    <t>TUCKER LORETTA G</t>
  </si>
  <si>
    <t>108 JANLIN LANE</t>
  </si>
  <si>
    <t>D7030C0007</t>
  </si>
  <si>
    <t>GRAHAM LARRY</t>
  </si>
  <si>
    <t>GRAHAM ANN</t>
  </si>
  <si>
    <t>173 RAINTREE ROAD</t>
  </si>
  <si>
    <t>D7030C0022</t>
  </si>
  <si>
    <t>BARE DONALD C</t>
  </si>
  <si>
    <t>BARE AGNES T</t>
  </si>
  <si>
    <t>190 SOUTH CLAYBON DRIVE</t>
  </si>
  <si>
    <t>27006-7928</t>
  </si>
  <si>
    <t>D700000124</t>
  </si>
  <si>
    <t>SOFLEY JAMES R</t>
  </si>
  <si>
    <t>SOFLEY SANDRA M</t>
  </si>
  <si>
    <t>142 BETHLEHEM DRIVE</t>
  </si>
  <si>
    <t>D7030C0025</t>
  </si>
  <si>
    <t>STAMPER TERRY JAMES</t>
  </si>
  <si>
    <t>STAMPER ANN MABE</t>
  </si>
  <si>
    <t>168 SOUTH CLAYBON DRIVE</t>
  </si>
  <si>
    <t>D7030C0028</t>
  </si>
  <si>
    <t>BARE TIMOHY D</t>
  </si>
  <si>
    <t>BARE CRYSTAL H</t>
  </si>
  <si>
    <t>190 CLAYBON DR</t>
  </si>
  <si>
    <t>J5010D0064</t>
  </si>
  <si>
    <t>D7030C0029</t>
  </si>
  <si>
    <t>SPADE JOSHUA H</t>
  </si>
  <si>
    <t>SPADE AMY L</t>
  </si>
  <si>
    <t>136 CLAYBON DRIVE</t>
  </si>
  <si>
    <t>D7060A0005</t>
  </si>
  <si>
    <t>SCHERLE FRED E</t>
  </si>
  <si>
    <t>SCHERLE SANDRA H</t>
  </si>
  <si>
    <t>301 CREEKWOOD DRIVE</t>
  </si>
  <si>
    <t>D7060A0009</t>
  </si>
  <si>
    <t>TUCKER MICHAEL T</t>
  </si>
  <si>
    <t>286 CREEKWOOD DRIVE</t>
  </si>
  <si>
    <t>D7060A0014</t>
  </si>
  <si>
    <t>SHERMER GLENN C JR</t>
  </si>
  <si>
    <t>SHERMER KATHRYN G</t>
  </si>
  <si>
    <t>119 WESTVIEW COURT</t>
  </si>
  <si>
    <t>D7060A0016</t>
  </si>
  <si>
    <t>D7070A0004</t>
  </si>
  <si>
    <t>LAWSON BRADLEY N</t>
  </si>
  <si>
    <t>139 GINNY LANE</t>
  </si>
  <si>
    <t>D700000126</t>
  </si>
  <si>
    <t>VERNON DAVID W</t>
  </si>
  <si>
    <t>VERNON STEPHANIE</t>
  </si>
  <si>
    <t>232 REDLAND ROAD</t>
  </si>
  <si>
    <t>D7070A0013</t>
  </si>
  <si>
    <t>MYERS ANTHONY TODD</t>
  </si>
  <si>
    <t>MYERS NIKKI</t>
  </si>
  <si>
    <t>206 GINNY LANE</t>
  </si>
  <si>
    <t>D7070A0018</t>
  </si>
  <si>
    <t>FEVOLA JOSEPH F</t>
  </si>
  <si>
    <t>FEVOLA MARGARET I</t>
  </si>
  <si>
    <t>154 GINNY LANE</t>
  </si>
  <si>
    <t>D7070A0020</t>
  </si>
  <si>
    <t>BEANE GEOFFREY</t>
  </si>
  <si>
    <t>BEANE SARAH</t>
  </si>
  <si>
    <t>127 ADA LANE</t>
  </si>
  <si>
    <t>D7070A0022</t>
  </si>
  <si>
    <t>LOW AGNES F</t>
  </si>
  <si>
    <t>118 ADA LANE</t>
  </si>
  <si>
    <t>27006-6661</t>
  </si>
  <si>
    <t>D7080A0002</t>
  </si>
  <si>
    <t>CAMPBELL WARREN W</t>
  </si>
  <si>
    <t>CAMPBELL MENCIE A</t>
  </si>
  <si>
    <t>194 BETHLEHEM DRIVE</t>
  </si>
  <si>
    <t>D7080A0003</t>
  </si>
  <si>
    <t>KOTY PATRICK P</t>
  </si>
  <si>
    <t>KOTY TARI L</t>
  </si>
  <si>
    <t>202 BETHLEMHEM DRIVE</t>
  </si>
  <si>
    <t>D700000131</t>
  </si>
  <si>
    <t>ARMSWORTHY MARK E</t>
  </si>
  <si>
    <t>ARMSWORTHY LISA R MAREADY</t>
  </si>
  <si>
    <t>131 PARSONAGE DRIVE</t>
  </si>
  <si>
    <t>D7080A0019</t>
  </si>
  <si>
    <t>REESE JAMES M</t>
  </si>
  <si>
    <t>REESE CHRISTY MCMAHAN</t>
  </si>
  <si>
    <t>148 LONGWOOD DRIVE</t>
  </si>
  <si>
    <t>D7080A0021</t>
  </si>
  <si>
    <t>HARDIN CHRIS MICHAEL</t>
  </si>
  <si>
    <t>HARDIN DAWN M</t>
  </si>
  <si>
    <t>164 LONGWOOD DRIVE</t>
  </si>
  <si>
    <t>27006-6784</t>
  </si>
  <si>
    <t>D700000133</t>
  </si>
  <si>
    <t>WILLARD KAREN COOK</t>
  </si>
  <si>
    <t>154 PARSONAGE DRIVE</t>
  </si>
  <si>
    <t>D70000013302</t>
  </si>
  <si>
    <t>D70000016801</t>
  </si>
  <si>
    <t>CHAMBERLAIN DONALD G</t>
  </si>
  <si>
    <t>185 SHADY LANE</t>
  </si>
  <si>
    <t>D7080A003501</t>
  </si>
  <si>
    <t>HOOKS RANDALL W III</t>
  </si>
  <si>
    <t>HOOKS BEVERLY G</t>
  </si>
  <si>
    <t>320 LONGWOOD DRIVE</t>
  </si>
  <si>
    <t>27006-6790</t>
  </si>
  <si>
    <t>D7080A0045</t>
  </si>
  <si>
    <t>WATSON DAVID CHARLES</t>
  </si>
  <si>
    <t>WATSON ANGELA TOLLEY</t>
  </si>
  <si>
    <t>305 LONGWOOD DRIVE</t>
  </si>
  <si>
    <t>D7080A0047</t>
  </si>
  <si>
    <t>MOORE WILLIAM ARCHIE</t>
  </si>
  <si>
    <t>279 LONGWOOD DRIVE</t>
  </si>
  <si>
    <t>D7080A0048</t>
  </si>
  <si>
    <t>BREEDEN BENJAMIN</t>
  </si>
  <si>
    <t>BREEDEN ELIZABETH</t>
  </si>
  <si>
    <t>227 LONGWOOD DRIVE</t>
  </si>
  <si>
    <t>27006-6785</t>
  </si>
  <si>
    <t>D700000171</t>
  </si>
  <si>
    <t>FOSTER LARRY D</t>
  </si>
  <si>
    <t>FOSTER ELAINE E</t>
  </si>
  <si>
    <t>4853 US HIGHWAY 158</t>
  </si>
  <si>
    <t>D700000142</t>
  </si>
  <si>
    <t>COOK ELIZABETH ANN</t>
  </si>
  <si>
    <t>187 LONGWOOD DRIVE</t>
  </si>
  <si>
    <t>D7030C0026</t>
  </si>
  <si>
    <t>D7090A0009</t>
  </si>
  <si>
    <t>SCHOLL CHARLES H</t>
  </si>
  <si>
    <t>SCHOLL SANDRA L</t>
  </si>
  <si>
    <t>146 IDLEWILD ROAD</t>
  </si>
  <si>
    <t>D7090A0012</t>
  </si>
  <si>
    <t>RUSSELL JOE</t>
  </si>
  <si>
    <t>RUSSELL BETSY</t>
  </si>
  <si>
    <t>111 IDLEWILD ROAD</t>
  </si>
  <si>
    <t>D7090A0013</t>
  </si>
  <si>
    <t>LATESSA MELISSA</t>
  </si>
  <si>
    <t>107 IDLEWILD ROAD</t>
  </si>
  <si>
    <t>D80000000601</t>
  </si>
  <si>
    <t>CALVARY BAPTIST CHURCH OF W-S</t>
  </si>
  <si>
    <t>5000 COUNTRY CLUB ROAD</t>
  </si>
  <si>
    <t>G800000010</t>
  </si>
  <si>
    <t>SESSIONS SPECIALTY COMPANY</t>
  </si>
  <si>
    <t>5090 STYERS FERRY ROAD</t>
  </si>
  <si>
    <t>27023-9634</t>
  </si>
  <si>
    <t>G80000001001</t>
  </si>
  <si>
    <t>D700000184  A</t>
  </si>
  <si>
    <t>WILSON ERVIN</t>
  </si>
  <si>
    <t>WILSON EVA</t>
  </si>
  <si>
    <t>PO BOX 1147</t>
  </si>
  <si>
    <t>27012-1147</t>
  </si>
  <si>
    <t>D80000002201</t>
  </si>
  <si>
    <t>LIBERTY HEALTHCARE PROP OF DAV</t>
  </si>
  <si>
    <t>2334 SOUTH 41ST STREET</t>
  </si>
  <si>
    <t>WILMINGTON</t>
  </si>
  <si>
    <t>28403-0000</t>
  </si>
  <si>
    <t>D700000195</t>
  </si>
  <si>
    <t>D700000196</t>
  </si>
  <si>
    <t>D700000221</t>
  </si>
  <si>
    <t>REICH EMERSON J &amp; HELEN M</t>
  </si>
  <si>
    <t>SLATER FRANK S &amp; BETTIE P</t>
  </si>
  <si>
    <t>5330 SHALLOWFORD ROAD</t>
  </si>
  <si>
    <t>D700000078</t>
  </si>
  <si>
    <t>SMILEY MICHAEL D</t>
  </si>
  <si>
    <t>SMILEY JOY S</t>
  </si>
  <si>
    <t>465 REDLAND ROAD</t>
  </si>
  <si>
    <t>D70000008701</t>
  </si>
  <si>
    <t>ADAMS MARK T</t>
  </si>
  <si>
    <t>ADAMS SHARON B</t>
  </si>
  <si>
    <t>177 FAIRWAY ROAD</t>
  </si>
  <si>
    <t>D80000002311B</t>
  </si>
  <si>
    <t>SUMMIT CABLE SERVICES</t>
  </si>
  <si>
    <t>% TIME WARNER TAX DEPT</t>
  </si>
  <si>
    <t>PO BOX 7467</t>
  </si>
  <si>
    <t>28241-7467</t>
  </si>
  <si>
    <t>D700000089</t>
  </si>
  <si>
    <t>LANIER HELEN L</t>
  </si>
  <si>
    <t>195 FAIRWAY ROAD</t>
  </si>
  <si>
    <t>27006-6612</t>
  </si>
  <si>
    <t>D800000026</t>
  </si>
  <si>
    <t>BV WEST LLC</t>
  </si>
  <si>
    <t>% DAVIE CONSTRUCTION</t>
  </si>
  <si>
    <t>PO BOX 1670</t>
  </si>
  <si>
    <t>D800000030</t>
  </si>
  <si>
    <t>BERMUDA VILLAGE HOMEOWNER ASSC</t>
  </si>
  <si>
    <t>142 BERMUDA VILLAGE DRIVE</t>
  </si>
  <si>
    <t>D9090E0013</t>
  </si>
  <si>
    <t>WAUTERS HARRY M</t>
  </si>
  <si>
    <t>WAUTERS SHIRLEY S</t>
  </si>
  <si>
    <t>109 OLEANDER DRIVE</t>
  </si>
  <si>
    <t>D700000090</t>
  </si>
  <si>
    <t>D7010A0006</t>
  </si>
  <si>
    <t>BEAVER GARY WAYNE</t>
  </si>
  <si>
    <t>BEAVER CHERRY S</t>
  </si>
  <si>
    <t>167 LITTLE JOHN DRIVE</t>
  </si>
  <si>
    <t>D8020A0007</t>
  </si>
  <si>
    <t>MATAMOROS RONALD A</t>
  </si>
  <si>
    <t>MATAMOROS REBECCA P</t>
  </si>
  <si>
    <t>271 IVY CIRCLE</t>
  </si>
  <si>
    <t>D8020A0019</t>
  </si>
  <si>
    <t>BOST S FRALEY</t>
  </si>
  <si>
    <t>BOST MARILYN MARSH</t>
  </si>
  <si>
    <t>147 IVY CIRCLE</t>
  </si>
  <si>
    <t>27006-9595</t>
  </si>
  <si>
    <t>D7020B0001</t>
  </si>
  <si>
    <t>TESH K WAYNE</t>
  </si>
  <si>
    <t>TESH LINDA M</t>
  </si>
  <si>
    <t>262 BRENTWOOD DRIVE</t>
  </si>
  <si>
    <t>D7020B0005</t>
  </si>
  <si>
    <t>MILLER DREAMA K</t>
  </si>
  <si>
    <t>230 BRENTWOOD DRIVE</t>
  </si>
  <si>
    <t>27006-9440</t>
  </si>
  <si>
    <t>D7020B0007</t>
  </si>
  <si>
    <t>HARVEY SETH A</t>
  </si>
  <si>
    <t>HARVEY KIMBERLEY H</t>
  </si>
  <si>
    <t>214 BRENTWOOD DRIVE</t>
  </si>
  <si>
    <t>D7030A0012</t>
  </si>
  <si>
    <t>MAYNARD RICHARD L</t>
  </si>
  <si>
    <t>MAYNARD CRYSTAL L</t>
  </si>
  <si>
    <t>165 CHARLOTTE PLACE</t>
  </si>
  <si>
    <t>27006-9438</t>
  </si>
  <si>
    <t>D8030A0026</t>
  </si>
  <si>
    <t>SCHAFER ALEXANDER C III</t>
  </si>
  <si>
    <t>SCHAFER CHRISTIANNE</t>
  </si>
  <si>
    <t>132 TIFTON STREET</t>
  </si>
  <si>
    <t>D7030B0002</t>
  </si>
  <si>
    <t>STEWART JULIAN E</t>
  </si>
  <si>
    <t>STEWART VALERA W</t>
  </si>
  <si>
    <t>155 CREEKWOOD DRIVE</t>
  </si>
  <si>
    <t>D8060A0002</t>
  </si>
  <si>
    <t>KETELS ROBERT HERMAN</t>
  </si>
  <si>
    <t>KETELS KATHY KRAMER</t>
  </si>
  <si>
    <t>289 RIVERBEND DRIVE</t>
  </si>
  <si>
    <t>D8060A0007</t>
  </si>
  <si>
    <t>TOBIN JOSEPH R</t>
  </si>
  <si>
    <t>TOBIN MARY LOU VOYTKO</t>
  </si>
  <si>
    <t>331 RIVERBEND DRIVE</t>
  </si>
  <si>
    <t>D8060A000902</t>
  </si>
  <si>
    <t>CASTELLANO VINCENT P</t>
  </si>
  <si>
    <t>CASTELLANO CYNTHIA G</t>
  </si>
  <si>
    <t>5452 BROOKBERRY FARM RD</t>
  </si>
  <si>
    <t>WINSTON-SALEM</t>
  </si>
  <si>
    <t>D8060A0010</t>
  </si>
  <si>
    <t>D8060A0012</t>
  </si>
  <si>
    <t>DEW JIMMY A</t>
  </si>
  <si>
    <t>DEW TONI H</t>
  </si>
  <si>
    <t>407 RIVERBEND DRIVE</t>
  </si>
  <si>
    <t>D7030B0004</t>
  </si>
  <si>
    <t>LUM PHILLIP B</t>
  </si>
  <si>
    <t>LUM MARY CHRISTINE</t>
  </si>
  <si>
    <t>171 CREEKWOOD DRIVE</t>
  </si>
  <si>
    <t>D7030C0001</t>
  </si>
  <si>
    <t>LATHAM CAROLYN MCBRIDE</t>
  </si>
  <si>
    <t>126 JANLIN LANE</t>
  </si>
  <si>
    <t>D8060A0019</t>
  </si>
  <si>
    <t>WHITTAKER ROBERT L</t>
  </si>
  <si>
    <t>WHITTAKER SUE C</t>
  </si>
  <si>
    <t>262 RIVERBEND DRIVE</t>
  </si>
  <si>
    <t>27006-8501</t>
  </si>
  <si>
    <t>D8060A0020</t>
  </si>
  <si>
    <t>WELCH ALAN</t>
  </si>
  <si>
    <t>WELCH DONNA</t>
  </si>
  <si>
    <t>133 TIFTON STREET</t>
  </si>
  <si>
    <t>D8060A0029</t>
  </si>
  <si>
    <t>COBB FAYE MARLENE TRUST</t>
  </si>
  <si>
    <t>388 RIVERBEND DRIVE</t>
  </si>
  <si>
    <t>27006-8523</t>
  </si>
  <si>
    <t>D8060B0005</t>
  </si>
  <si>
    <t>MESSICK KEVIN D</t>
  </si>
  <si>
    <t>MESSICK LAURA ELIZABETH GAUSS</t>
  </si>
  <si>
    <t>111 BENT STREET</t>
  </si>
  <si>
    <t>D7030C0023</t>
  </si>
  <si>
    <t>SMITH HENRY CARL</t>
  </si>
  <si>
    <t>SMITH ANNETTE MILLER</t>
  </si>
  <si>
    <t>180 SOUTH CLAYBON DRIVE</t>
  </si>
  <si>
    <t>D8060B0017</t>
  </si>
  <si>
    <t>ROYSTER JOHN D</t>
  </si>
  <si>
    <t>ROYSTER SUSAN P</t>
  </si>
  <si>
    <t>182 TIFTON STREET</t>
  </si>
  <si>
    <t>D8060B0018</t>
  </si>
  <si>
    <t>WEBB TEDDY R</t>
  </si>
  <si>
    <t>WEBB SHELBY M</t>
  </si>
  <si>
    <t>174 TIFTON STREET</t>
  </si>
  <si>
    <t>D8060B0024</t>
  </si>
  <si>
    <t>BEATTIE WILLIAM R JR</t>
  </si>
  <si>
    <t>BEATTIE BARBARA S</t>
  </si>
  <si>
    <t>113 NORTH BERMUDA RUN DRIVE</t>
  </si>
  <si>
    <t>D8060B0025</t>
  </si>
  <si>
    <t>SHEEK BETTY KIGER</t>
  </si>
  <si>
    <t>125 NORTH BERMUDA RUN DRIVE</t>
  </si>
  <si>
    <t>D7070A0005</t>
  </si>
  <si>
    <t>LINHART BARRY L</t>
  </si>
  <si>
    <t>LINHART TINA M</t>
  </si>
  <si>
    <t>157 GINNY LANE</t>
  </si>
  <si>
    <t>D8060B0051</t>
  </si>
  <si>
    <t>BERMUDA RUN VILLAGE</t>
  </si>
  <si>
    <t>MAISONNETTES HOMEOWNERS ASSO.</t>
  </si>
  <si>
    <t>101 BERMUDA RUN</t>
  </si>
  <si>
    <t>D8070A0002</t>
  </si>
  <si>
    <t>STRADER JAMES W JR</t>
  </si>
  <si>
    <t>STRADER BOBBIE R</t>
  </si>
  <si>
    <t>278 BERMUDA RUN DRIVE</t>
  </si>
  <si>
    <t>27006-9585</t>
  </si>
  <si>
    <t>D7080A0011</t>
  </si>
  <si>
    <t>MCLEAN RICKY RAY</t>
  </si>
  <si>
    <t>MCLEAN JACQUELINE CORINA</t>
  </si>
  <si>
    <t>127 CONIFER COURT</t>
  </si>
  <si>
    <t>D7080A0031</t>
  </si>
  <si>
    <t>GLENN TRACY M</t>
  </si>
  <si>
    <t>GLENN DENISE WAGNER</t>
  </si>
  <si>
    <t>232 LONGWOOD DRIVE</t>
  </si>
  <si>
    <t>D8070A0006</t>
  </si>
  <si>
    <t>KING CHARLES P</t>
  </si>
  <si>
    <t>KING GILDA S LYNCH</t>
  </si>
  <si>
    <t>1132 RIVERBEND DRIVE</t>
  </si>
  <si>
    <t>D8070A0007</t>
  </si>
  <si>
    <t>BACKMAN CRAIG D</t>
  </si>
  <si>
    <t>BACKMAN KIM</t>
  </si>
  <si>
    <t>119 AZALEA CIRCLE</t>
  </si>
  <si>
    <t>D8070A0009</t>
  </si>
  <si>
    <t>MILLER BEN M JR</t>
  </si>
  <si>
    <t>MILLER SUZANNE M</t>
  </si>
  <si>
    <t>122 AZALEA CIRCLE</t>
  </si>
  <si>
    <t>D8070A0011</t>
  </si>
  <si>
    <t>WATSON ROBERT LEON JR</t>
  </si>
  <si>
    <t>WATSON KATHERINE P</t>
  </si>
  <si>
    <t>1116 RIVERBEND DRIVE</t>
  </si>
  <si>
    <t>27006-8531</t>
  </si>
  <si>
    <t>D8070A0016</t>
  </si>
  <si>
    <t>LINER DAVID V</t>
  </si>
  <si>
    <t>LINER SALLYE A</t>
  </si>
  <si>
    <t>1078 RIVERBEND DRIVE</t>
  </si>
  <si>
    <t>D8070A0020</t>
  </si>
  <si>
    <t>WHITEHEART SIDNEY CLAY</t>
  </si>
  <si>
    <t>PO BOX 826</t>
  </si>
  <si>
    <t>D8070A0022</t>
  </si>
  <si>
    <t>WILLINGHAM JOHN W</t>
  </si>
  <si>
    <t>WILLINGHAM DONNA H</t>
  </si>
  <si>
    <t>164 FESCUE DRIVE</t>
  </si>
  <si>
    <t>D8070A0029</t>
  </si>
  <si>
    <t>ISLEY SHARON L</t>
  </si>
  <si>
    <t>644 RIVERBEND DRIVE</t>
  </si>
  <si>
    <t>D7080A0032</t>
  </si>
  <si>
    <t>GODDARD SCOTT LAWRENCE</t>
  </si>
  <si>
    <t>GODDARD STEPHANIE M</t>
  </si>
  <si>
    <t>240 LONGWOOD DR</t>
  </si>
  <si>
    <t>27028-6785</t>
  </si>
  <si>
    <t>D7080A003401</t>
  </si>
  <si>
    <t>RIDDLE DANNY R</t>
  </si>
  <si>
    <t>RIDDLE CHRISTINE V</t>
  </si>
  <si>
    <t>296 LONGWOOD DRIVE</t>
  </si>
  <si>
    <t>D7080A0052</t>
  </si>
  <si>
    <t>C70000011606</t>
  </si>
  <si>
    <t>CARTER BARRY H</t>
  </si>
  <si>
    <t>2003 ROUSE ROAD</t>
  </si>
  <si>
    <t>KINSTON</t>
  </si>
  <si>
    <t>28501-0000</t>
  </si>
  <si>
    <t>D80000002302</t>
  </si>
  <si>
    <t>HAMILTON COURT OWNERS ASSOC</t>
  </si>
  <si>
    <t>100 HAMILTON COURT</t>
  </si>
  <si>
    <t>D80000002303</t>
  </si>
  <si>
    <t>PEMBROOKE RIDGE OWNERS ASSOC</t>
  </si>
  <si>
    <t>PO BOX 2072</t>
  </si>
  <si>
    <t>D9090D0032</t>
  </si>
  <si>
    <t>HENRICHS W DEAN</t>
  </si>
  <si>
    <t>HENRICHS BARBARA B</t>
  </si>
  <si>
    <t>104 MULBERRY PLACE</t>
  </si>
  <si>
    <t>D8070C0002</t>
  </si>
  <si>
    <t>TEETER STUART L</t>
  </si>
  <si>
    <t>TEETER KIMBERLY</t>
  </si>
  <si>
    <t>967 RIVERBEND DRIVE</t>
  </si>
  <si>
    <t>D8070C0012</t>
  </si>
  <si>
    <t>STROUPE CHRISTOPHER R III</t>
  </si>
  <si>
    <t>STROUPE CAROL MILLER</t>
  </si>
  <si>
    <t>1107 RIVERBEND DRIVE</t>
  </si>
  <si>
    <t>D8070C0015</t>
  </si>
  <si>
    <t>REVELLE WILLIAM D</t>
  </si>
  <si>
    <t>REVELLE PATRICIA M</t>
  </si>
  <si>
    <t>351 IVY CIRCLE</t>
  </si>
  <si>
    <t>D8070D0001</t>
  </si>
  <si>
    <t>STOVALL CHARLES S</t>
  </si>
  <si>
    <t>STOVALL REBECCA J</t>
  </si>
  <si>
    <t>107 FAIRWAY DRIVE</t>
  </si>
  <si>
    <t>D80000002312</t>
  </si>
  <si>
    <t>WARWICKE PLACE OWNERS ASSOC</t>
  </si>
  <si>
    <t>PO BOX 870</t>
  </si>
  <si>
    <t>D8070D001502</t>
  </si>
  <si>
    <t>FAIRWAY VILLAS HOMEOWNERS</t>
  </si>
  <si>
    <t>100 FAIRWAY DRIVE</t>
  </si>
  <si>
    <t>27006-9588</t>
  </si>
  <si>
    <t>D8070D0018</t>
  </si>
  <si>
    <t>VANDERKLOK RONALD ROY</t>
  </si>
  <si>
    <t>169 FAIRWAY DRIVE</t>
  </si>
  <si>
    <t>D80000002311A</t>
  </si>
  <si>
    <t>D800000024</t>
  </si>
  <si>
    <t>GRAGG PEGGY P</t>
  </si>
  <si>
    <t>704 MORNINGSIDE DRIVE</t>
  </si>
  <si>
    <t>SAN ANTONIO</t>
  </si>
  <si>
    <t>TX</t>
  </si>
  <si>
    <t>78209-5524</t>
  </si>
  <si>
    <t>D8010A0005</t>
  </si>
  <si>
    <t>FRAZIER &amp; BEESON INVESTMENTS</t>
  </si>
  <si>
    <t>134 MEDICAL DRIVE</t>
  </si>
  <si>
    <t>D8020A0002</t>
  </si>
  <si>
    <t>DEAL DENNIS W</t>
  </si>
  <si>
    <t>DEAL WANDA H</t>
  </si>
  <si>
    <t>325 IVY CIRCLE</t>
  </si>
  <si>
    <t>D7020A0001</t>
  </si>
  <si>
    <t>TATE VIVIAN DENISE</t>
  </si>
  <si>
    <t>439 GORDON DRIVE</t>
  </si>
  <si>
    <t>D8080A001402</t>
  </si>
  <si>
    <t>BAILEY &amp; BAILEY PROPERTIES LLC</t>
  </si>
  <si>
    <t>27006-7603</t>
  </si>
  <si>
    <t>D8080A0014</t>
  </si>
  <si>
    <t>H800000042</t>
  </si>
  <si>
    <t>H800000006</t>
  </si>
  <si>
    <t>D8020A0025</t>
  </si>
  <si>
    <t>BEROTH WESLEY H</t>
  </si>
  <si>
    <t>BEROTH DIXIE F</t>
  </si>
  <si>
    <t>186 BERMUDA RUN DRIVE</t>
  </si>
  <si>
    <t>27006-9584</t>
  </si>
  <si>
    <t>D8030A0005</t>
  </si>
  <si>
    <t>CHAFFIN KENDALL S</t>
  </si>
  <si>
    <t>CHAFFIN MELISSA M</t>
  </si>
  <si>
    <t>125 BOXWOOD CIRCLE</t>
  </si>
  <si>
    <t>27006-9587</t>
  </si>
  <si>
    <t>D8080D0003</t>
  </si>
  <si>
    <t>FOSTER VERNON G</t>
  </si>
  <si>
    <t>FOSTER JANICE B</t>
  </si>
  <si>
    <t>405 IVY CIRCLE</t>
  </si>
  <si>
    <t>D8080D0004</t>
  </si>
  <si>
    <t>RUSSELL JOHN A</t>
  </si>
  <si>
    <t>RUSSELL JUDITH A</t>
  </si>
  <si>
    <t>413 IVY CIRCLE</t>
  </si>
  <si>
    <t>D9010D0014</t>
  </si>
  <si>
    <t>D8080D0007</t>
  </si>
  <si>
    <t>SPARKS MILDRED</t>
  </si>
  <si>
    <t>SPARKS GORDON A</t>
  </si>
  <si>
    <t>431 IVY CIRCLE</t>
  </si>
  <si>
    <t>27006-2506</t>
  </si>
  <si>
    <t>D8080D0037</t>
  </si>
  <si>
    <t>BROWDER HOLDINGS LLC</t>
  </si>
  <si>
    <t>5380 US HWY 158</t>
  </si>
  <si>
    <t>SUITE 200</t>
  </si>
  <si>
    <t>27006-7984</t>
  </si>
  <si>
    <t>D8080D003702</t>
  </si>
  <si>
    <t>D8080D0019</t>
  </si>
  <si>
    <t>GUIDE ROBERT B</t>
  </si>
  <si>
    <t>GUIDE MARILYN D</t>
  </si>
  <si>
    <t>951 RIVERBEND DRIVE</t>
  </si>
  <si>
    <t>27006-8529</t>
  </si>
  <si>
    <t>D8080D0021</t>
  </si>
  <si>
    <t>HOWELL RICKY D</t>
  </si>
  <si>
    <t>HOWELL BRENDA H</t>
  </si>
  <si>
    <t>931 RIVERBEND DR</t>
  </si>
  <si>
    <t>K30000003203</t>
  </si>
  <si>
    <t>K30000003202</t>
  </si>
  <si>
    <t>D8030A0024</t>
  </si>
  <si>
    <t>JOYCE LOUISE ZIGLER</t>
  </si>
  <si>
    <t>115 TIFTON STREET</t>
  </si>
  <si>
    <t>D8030A0030</t>
  </si>
  <si>
    <t>PFAU FRANK P TRUSTEE</t>
  </si>
  <si>
    <t>PFAU BARBARA L TRUSTEE</t>
  </si>
  <si>
    <t>PFAU FAMILY TRUST</t>
  </si>
  <si>
    <t>174 RIVERBEND DRIVE</t>
  </si>
  <si>
    <t>D8060A0016</t>
  </si>
  <si>
    <t>NOAKES JEANNE M</t>
  </si>
  <si>
    <t>306 RIVERBEND DRIVE</t>
  </si>
  <si>
    <t>D8060A0018</t>
  </si>
  <si>
    <t>STONESTREET KURT</t>
  </si>
  <si>
    <t>STONESTREET JANICE</t>
  </si>
  <si>
    <t>280 RIVERBEND DRIVE</t>
  </si>
  <si>
    <t>D8090A0002</t>
  </si>
  <si>
    <t>JONES PATRICIA M</t>
  </si>
  <si>
    <t>989 NC HIGHWAY 801 SOUTH</t>
  </si>
  <si>
    <t>D8060B0014</t>
  </si>
  <si>
    <t>FEATHERNGILL LANCE</t>
  </si>
  <si>
    <t>FEATHERNGILL LISA</t>
  </si>
  <si>
    <t>210 TIFTON STREET</t>
  </si>
  <si>
    <t>D8060B0032</t>
  </si>
  <si>
    <t>BURNS GALE R</t>
  </si>
  <si>
    <t>151 N BERMUDA RUN DRIVE</t>
  </si>
  <si>
    <t>D8070A0004</t>
  </si>
  <si>
    <t>FARAHNAKIAN ALI</t>
  </si>
  <si>
    <t>FARAHNAKIAN AZAME N</t>
  </si>
  <si>
    <t>1152 RIVERBEND DRIVE</t>
  </si>
  <si>
    <t>D8070A0005</t>
  </si>
  <si>
    <t>SEHGAL KARAMCHEND</t>
  </si>
  <si>
    <t>SEHGAL RITA</t>
  </si>
  <si>
    <t>1144 RIVERBEND DRIVE</t>
  </si>
  <si>
    <t>D8070A0044</t>
  </si>
  <si>
    <t>LEAMON MICHAEL RAY</t>
  </si>
  <si>
    <t>LEAMON CAROL B</t>
  </si>
  <si>
    <t>173 GOLFVIEW DRIVE</t>
  </si>
  <si>
    <t>D8100A0020</t>
  </si>
  <si>
    <t>GRIFFITH DAVID WORTH</t>
  </si>
  <si>
    <t>GRIFFITH BETTY BOONE</t>
  </si>
  <si>
    <t>165 JUNIPER CIRCLE</t>
  </si>
  <si>
    <t>27006-9596</t>
  </si>
  <si>
    <t>D8070A0054</t>
  </si>
  <si>
    <t>JOHNSON ROCKY W</t>
  </si>
  <si>
    <t>JOHNSON SUSAN H</t>
  </si>
  <si>
    <t>177 JAMES WAY</t>
  </si>
  <si>
    <t>D8100B0008</t>
  </si>
  <si>
    <t>SCARDINA ALAN JOHN</t>
  </si>
  <si>
    <t>SCARDINA PHYLLIS GAMBLE</t>
  </si>
  <si>
    <t>614 RIVERBEND DRIVE</t>
  </si>
  <si>
    <t>27028-8526</t>
  </si>
  <si>
    <t>D8100B0010</t>
  </si>
  <si>
    <t>GARRAGHTY DELORES O</t>
  </si>
  <si>
    <t>608 RIVERBEND DRIVE</t>
  </si>
  <si>
    <t>D9030A0039</t>
  </si>
  <si>
    <t>D8070A0066</t>
  </si>
  <si>
    <t>KIRIK JOHN W</t>
  </si>
  <si>
    <t>KIRIK LINDA M</t>
  </si>
  <si>
    <t>124 GOLFVIEW DRIVE</t>
  </si>
  <si>
    <t>D8100D000103</t>
  </si>
  <si>
    <t>SPYGLASS HILL BER RUN G&amp;CC</t>
  </si>
  <si>
    <t>HOMEOWNERS ASSOCIATION</t>
  </si>
  <si>
    <t>165 SPYGLASS DRIVE</t>
  </si>
  <si>
    <t>D8100D000104</t>
  </si>
  <si>
    <t>D8100C0005</t>
  </si>
  <si>
    <t>FRAZIER MILLIE J TRUSTEE</t>
  </si>
  <si>
    <t>FRAZIER MILLIE J REV TRUST</t>
  </si>
  <si>
    <t>260 SPYGLASS DRIVE</t>
  </si>
  <si>
    <t>D8100C0007</t>
  </si>
  <si>
    <t>GUGLIELMI JOHN</t>
  </si>
  <si>
    <t>GUGLIELMI CHIQUITA M</t>
  </si>
  <si>
    <t>236 SPYGLASS HILL</t>
  </si>
  <si>
    <t>D8100C0008</t>
  </si>
  <si>
    <t>BROWN LARRY TALMADGE</t>
  </si>
  <si>
    <t>BROWN VIRGINIA YEAGER</t>
  </si>
  <si>
    <t>232 SPYGLASS DRIVE</t>
  </si>
  <si>
    <t>27006-8533</t>
  </si>
  <si>
    <t>D8100C0009</t>
  </si>
  <si>
    <t>MARSHALL PAUL A SR</t>
  </si>
  <si>
    <t>MARSHALL MARY E</t>
  </si>
  <si>
    <t>224 SPYGLASS DRIVE</t>
  </si>
  <si>
    <t>D8100C001003</t>
  </si>
  <si>
    <t>LONG WILLIAM A</t>
  </si>
  <si>
    <t>LONG SUSAN C</t>
  </si>
  <si>
    <t>204 SPYGLASS DRIVE</t>
  </si>
  <si>
    <t>D8100C001005</t>
  </si>
  <si>
    <t>WEIR HUBERT PERRY</t>
  </si>
  <si>
    <t>WEIR NANCY WHITAKER</t>
  </si>
  <si>
    <t>194 SPYGLASS DRIVE</t>
  </si>
  <si>
    <t>27006-8503</t>
  </si>
  <si>
    <t>D8070B0001</t>
  </si>
  <si>
    <t>OLEJARCZYK MARIUSZ W</t>
  </si>
  <si>
    <t>OLEJARCZYK DANUTA B</t>
  </si>
  <si>
    <t>134 HELLERI CIRCLE</t>
  </si>
  <si>
    <t>27006-9593</t>
  </si>
  <si>
    <t>D9030A0011</t>
  </si>
  <si>
    <t>THOMPSON BRYAN C</t>
  </si>
  <si>
    <t>THOMPSON SHARON K</t>
  </si>
  <si>
    <t>218 JAMES WAY</t>
  </si>
  <si>
    <t>D8100D0020</t>
  </si>
  <si>
    <t>F90000003902</t>
  </si>
  <si>
    <t>F80000012604</t>
  </si>
  <si>
    <t>I4130G0003</t>
  </si>
  <si>
    <t>I4130G0002</t>
  </si>
  <si>
    <t>F900000034</t>
  </si>
  <si>
    <t>D8100D0003</t>
  </si>
  <si>
    <t>HEWITT CAMILLA A</t>
  </si>
  <si>
    <t>183 SPYGLASS DRIVE</t>
  </si>
  <si>
    <t>D8100D0004</t>
  </si>
  <si>
    <t>CULBERSON DOROTHY ANN</t>
  </si>
  <si>
    <t>187 SPYGLASS DRIVE</t>
  </si>
  <si>
    <t>D8100D0007</t>
  </si>
  <si>
    <t>WATERS DOROTHY G</t>
  </si>
  <si>
    <t>227 SPYGLASS DRIVE</t>
  </si>
  <si>
    <t>D8070B0007</t>
  </si>
  <si>
    <t>WESTMORELAND AMOS E</t>
  </si>
  <si>
    <t>175 FESCUE DRIVE</t>
  </si>
  <si>
    <t>D8070B0009</t>
  </si>
  <si>
    <t>BARR CHRISTOPHER TODD</t>
  </si>
  <si>
    <t>BARR LORI STOAKLEY</t>
  </si>
  <si>
    <t>1004 RIVERBEND DRIVE</t>
  </si>
  <si>
    <t>27006-8530</t>
  </si>
  <si>
    <t>D8070D0004</t>
  </si>
  <si>
    <t>SOLOMON DAVID A</t>
  </si>
  <si>
    <t>SOLOMON GAIL J</t>
  </si>
  <si>
    <t>127 FAIRWAY DRIVE</t>
  </si>
  <si>
    <t>D8070D0036</t>
  </si>
  <si>
    <t>DYER DONNA M</t>
  </si>
  <si>
    <t>156 FAIRWAY DRIVE</t>
  </si>
  <si>
    <t>D8100D0032</t>
  </si>
  <si>
    <t>KAPER CATHY C</t>
  </si>
  <si>
    <t>145 SPYGLASS DRIVE</t>
  </si>
  <si>
    <t>D8100D0034</t>
  </si>
  <si>
    <t>STEELMAN DEBORAH LYNN</t>
  </si>
  <si>
    <t>151 SPYGLASS DRIVE</t>
  </si>
  <si>
    <t>D8070D0039</t>
  </si>
  <si>
    <t>BAXTER PHYLLIS F</t>
  </si>
  <si>
    <t>20 PREAKNESS DRIVE</t>
  </si>
  <si>
    <t>DURHAM</t>
  </si>
  <si>
    <t>27713-9144</t>
  </si>
  <si>
    <t>D8080A0002</t>
  </si>
  <si>
    <t>FERGUSON EARLENE D</t>
  </si>
  <si>
    <t>915 RIVERBEND DRIVE</t>
  </si>
  <si>
    <t>D8150A0004</t>
  </si>
  <si>
    <t>LIVENGOOD WESLEY A</t>
  </si>
  <si>
    <t>216 JUNIPER CIRCLE</t>
  </si>
  <si>
    <t>27006-8540</t>
  </si>
  <si>
    <t>D8080A0015</t>
  </si>
  <si>
    <t>D8080A001403</t>
  </si>
  <si>
    <t>D8020A0023</t>
  </si>
  <si>
    <t>HAIGLER KARL O</t>
  </si>
  <si>
    <t>HAIGLER RAE K NELSON</t>
  </si>
  <si>
    <t>168 BERMUDA DRIVE</t>
  </si>
  <si>
    <t>D8080D0002</t>
  </si>
  <si>
    <t>BAKER BRODIE B JR</t>
  </si>
  <si>
    <t>BAKER CAROLINE P</t>
  </si>
  <si>
    <t>393 IVY CIRCLE</t>
  </si>
  <si>
    <t>D8080D0029</t>
  </si>
  <si>
    <t>YOUNG BERNICE H</t>
  </si>
  <si>
    <t>858 RIVERBEND DRIVE</t>
  </si>
  <si>
    <t>D9010B0025</t>
  </si>
  <si>
    <t>BRADY TOM</t>
  </si>
  <si>
    <t>BRADY KAY</t>
  </si>
  <si>
    <t>147 WARWICKE PLACE</t>
  </si>
  <si>
    <t>27006-8506</t>
  </si>
  <si>
    <t>D9010B0029</t>
  </si>
  <si>
    <t>ROBINETTE FRED T JR</t>
  </si>
  <si>
    <t>ROBINETTE PRISCILLA S</t>
  </si>
  <si>
    <t>163 WARWICKE PLACE</t>
  </si>
  <si>
    <t>D9010C0003</t>
  </si>
  <si>
    <t>FURBERG CURT D</t>
  </si>
  <si>
    <t>FURGERG A BIRGITTA</t>
  </si>
  <si>
    <t>103 ST GEORGE PLACE</t>
  </si>
  <si>
    <t>D8080D0030</t>
  </si>
  <si>
    <t>SINEATH BYTHEL J</t>
  </si>
  <si>
    <t>SINEATH ALICE B</t>
  </si>
  <si>
    <t>868 RIVERBEND DRIVE</t>
  </si>
  <si>
    <t>27006-8528</t>
  </si>
  <si>
    <t>E8150A0008</t>
  </si>
  <si>
    <t>D8090A0001</t>
  </si>
  <si>
    <t>D8100A0002</t>
  </si>
  <si>
    <t>FRESHWATER THEODORE W</t>
  </si>
  <si>
    <t>FRESHWATER KATHLEEN K</t>
  </si>
  <si>
    <t>106 FESCUE DRIVE</t>
  </si>
  <si>
    <t>D9010E0005</t>
  </si>
  <si>
    <t>HILTON RICHARD B</t>
  </si>
  <si>
    <t>150 RIVER HILL DRIVE</t>
  </si>
  <si>
    <t>D9010E0013</t>
  </si>
  <si>
    <t>LABAROWSKI MARIE G REV TRUST</t>
  </si>
  <si>
    <t>MARIE G &amp; JOHN V LABAROWSKI</t>
  </si>
  <si>
    <t>161 RIVER HILL DRIVE</t>
  </si>
  <si>
    <t>D8100A0006  B</t>
  </si>
  <si>
    <t>TIME WARNER ENTERTAINMENT</t>
  </si>
  <si>
    <t>ADVANCE NEW HOUSE PARTNERSHIP</t>
  </si>
  <si>
    <t>CO</t>
  </si>
  <si>
    <t>D9010E0022</t>
  </si>
  <si>
    <t>O'HAGAN JERRY P</t>
  </si>
  <si>
    <t>O'HAGAN CINDY C</t>
  </si>
  <si>
    <t>103 RIVER HILL DRIVE</t>
  </si>
  <si>
    <t>D9010E0031</t>
  </si>
  <si>
    <t>PILCHER GLENN A</t>
  </si>
  <si>
    <t>PILCHER JANICE M</t>
  </si>
  <si>
    <t>106 RIVER HILL DRIVE</t>
  </si>
  <si>
    <t>D9010E0032</t>
  </si>
  <si>
    <t>LITTLE GEORGE F JR</t>
  </si>
  <si>
    <t>LITTLE MARY C</t>
  </si>
  <si>
    <t>124 RIVER HILL DRIVE</t>
  </si>
  <si>
    <t>D8100A0009</t>
  </si>
  <si>
    <t>POWELL BUNA JOHN</t>
  </si>
  <si>
    <t>706 RIVERBEND DRIVE</t>
  </si>
  <si>
    <t>D8100A0013</t>
  </si>
  <si>
    <t>HARRIS MILTON DEAN</t>
  </si>
  <si>
    <t>HARRIS DONNA VICTORIA</t>
  </si>
  <si>
    <t>675 RIVERBEND DRIVE</t>
  </si>
  <si>
    <t>27006-8526</t>
  </si>
  <si>
    <t>D8100A0019</t>
  </si>
  <si>
    <t>ROHRER ROBERT L</t>
  </si>
  <si>
    <t>ROHRER JONNIE W</t>
  </si>
  <si>
    <t>125 JUNIPER CIRCLE</t>
  </si>
  <si>
    <t>D8100B0005</t>
  </si>
  <si>
    <t>BLANTON JEAN S</t>
  </si>
  <si>
    <t>624 RIVERBEND DRIVE</t>
  </si>
  <si>
    <t>D8100C0001</t>
  </si>
  <si>
    <t>D8100D000101</t>
  </si>
  <si>
    <t>D8100C0014</t>
  </si>
  <si>
    <t>POWELL HARRELL JR</t>
  </si>
  <si>
    <t>POWELL GRACE P</t>
  </si>
  <si>
    <t>124 SPYGLASS DRIVE</t>
  </si>
  <si>
    <t>D8100D0014</t>
  </si>
  <si>
    <t>CRUTCHFIELD TERRY R</t>
  </si>
  <si>
    <t>CRUTCHFIELD JEANNE H</t>
  </si>
  <si>
    <t>1773 PLOUGHBOY LANE</t>
  </si>
  <si>
    <t>D9030A0038</t>
  </si>
  <si>
    <t>SANCRANT JAMES R</t>
  </si>
  <si>
    <t>SANCRANT ABBIE G</t>
  </si>
  <si>
    <t>187 JAMES WAY</t>
  </si>
  <si>
    <t>D8100D0019</t>
  </si>
  <si>
    <t>SMITH BOBBY L</t>
  </si>
  <si>
    <t>SMITH MARY T</t>
  </si>
  <si>
    <t>273 SPYGLASS DRIVE</t>
  </si>
  <si>
    <t>D8100D0021</t>
  </si>
  <si>
    <t>INMAN JAMES ROGER</t>
  </si>
  <si>
    <t>573 RIVERBEND DRIVE</t>
  </si>
  <si>
    <t>D8100D0031</t>
  </si>
  <si>
    <t>LAMBERT CHERYL S</t>
  </si>
  <si>
    <t>139 SPYGLASS DRIVE</t>
  </si>
  <si>
    <t>D8110A0007</t>
  </si>
  <si>
    <t>RUSH HOWARD</t>
  </si>
  <si>
    <t>RUSH JUDY</t>
  </si>
  <si>
    <t>477 RIVERBEND DRIVE</t>
  </si>
  <si>
    <t>E100000004</t>
  </si>
  <si>
    <t>TROUTMAN EDGAR C</t>
  </si>
  <si>
    <t>TROUTMAN SHARON S</t>
  </si>
  <si>
    <t>753 TURKEYFOOT ROAD</t>
  </si>
  <si>
    <t>27028-5936</t>
  </si>
  <si>
    <t>E100000031</t>
  </si>
  <si>
    <t>PRICE JARRELL</t>
  </si>
  <si>
    <t>PRICE CAROLYN</t>
  </si>
  <si>
    <t>164 LOG CABIN ROAD</t>
  </si>
  <si>
    <t>27028-5839</t>
  </si>
  <si>
    <t>E200000001</t>
  </si>
  <si>
    <t>DRUM KATHY RATLEDGE</t>
  </si>
  <si>
    <t>DRUM JAMES BRADLEY</t>
  </si>
  <si>
    <t>PO BOX 12</t>
  </si>
  <si>
    <t>E10000001407</t>
  </si>
  <si>
    <t>E10000001203</t>
  </si>
  <si>
    <t>E10000001403</t>
  </si>
  <si>
    <t>E10000001402</t>
  </si>
  <si>
    <t>E10000001502</t>
  </si>
  <si>
    <t>IJAMES EDGAR DENNIS</t>
  </si>
  <si>
    <t>IJAMES YVONNE ANNETA GAITHER</t>
  </si>
  <si>
    <t>327 SHEFFIELD ROAD</t>
  </si>
  <si>
    <t>27028-4934</t>
  </si>
  <si>
    <t>H200000034</t>
  </si>
  <si>
    <t>D8150A0002</t>
  </si>
  <si>
    <t>MCKEE REBECCA C</t>
  </si>
  <si>
    <t>213 JUNIPER CIRCLE</t>
  </si>
  <si>
    <t>E20000000602</t>
  </si>
  <si>
    <t>SHEFFIELD-CALAHAN VOL FIRE DPT</t>
  </si>
  <si>
    <t>435 DYSON ROAD</t>
  </si>
  <si>
    <t>F100000022</t>
  </si>
  <si>
    <t>D9010A0033</t>
  </si>
  <si>
    <t>DELL ANNO JOSEPH ROBERT</t>
  </si>
  <si>
    <t>197 PEMBROOKE RIDGE COURT</t>
  </si>
  <si>
    <t>D9010A0035</t>
  </si>
  <si>
    <t>ALLEN CAROL L</t>
  </si>
  <si>
    <t>P O BOX 672</t>
  </si>
  <si>
    <t>E20000000809</t>
  </si>
  <si>
    <t>DYSON STEVEN MARLOWE</t>
  </si>
  <si>
    <t>DYSON MICHELE</t>
  </si>
  <si>
    <t>584 DUKE WHITTAKER ROAD</t>
  </si>
  <si>
    <t>27028-5744</t>
  </si>
  <si>
    <t>E200000012</t>
  </si>
  <si>
    <t>MARTIRSANTAMARIA JOSE</t>
  </si>
  <si>
    <t>QUINTANILLA MARILUZ LOPEZ</t>
  </si>
  <si>
    <t>646 DUKE WHITAKER ROAD</t>
  </si>
  <si>
    <t>E200000013</t>
  </si>
  <si>
    <t>KEENAN CHRISTINA HEDRICK</t>
  </si>
  <si>
    <t>701 DUKE WHITTAKER ROAD</t>
  </si>
  <si>
    <t>D9010B0011</t>
  </si>
  <si>
    <t>RUDD BRODIE W</t>
  </si>
  <si>
    <t>RUDD GWENDOLYN FITCH</t>
  </si>
  <si>
    <t>138 WARWICKE PLACE</t>
  </si>
  <si>
    <t>D8080C000501</t>
  </si>
  <si>
    <t>CARTER TODD HAYSE DDS</t>
  </si>
  <si>
    <t>CARTER ANGELA HALL</t>
  </si>
  <si>
    <t>123 NC HIGHWAY 801 SOUTH</t>
  </si>
  <si>
    <t>27006-7645</t>
  </si>
  <si>
    <t>D9010B0019</t>
  </si>
  <si>
    <t>LEBLANC GARY</t>
  </si>
  <si>
    <t>LEBLANC CHERYL</t>
  </si>
  <si>
    <t>168 WARWICKE PLACE</t>
  </si>
  <si>
    <t>D9010C0012</t>
  </si>
  <si>
    <t>DEMUTH HARRY M</t>
  </si>
  <si>
    <t>DEMUTH JOYCE E</t>
  </si>
  <si>
    <t>137 ST GEORGE PLACE</t>
  </si>
  <si>
    <t>J60000006904</t>
  </si>
  <si>
    <t>WAGONER KAREN HAUSER</t>
  </si>
  <si>
    <t>2392 US HIGHWAY 64 EAST</t>
  </si>
  <si>
    <t>J60000006903</t>
  </si>
  <si>
    <t>D9010C0018</t>
  </si>
  <si>
    <t>GORDON KEITH A</t>
  </si>
  <si>
    <t>GORDON PANDORA S</t>
  </si>
  <si>
    <t>155 ST GEORGE PLACE</t>
  </si>
  <si>
    <t>D9010D0017</t>
  </si>
  <si>
    <t>DRIGGARS S B</t>
  </si>
  <si>
    <t>DRIGGARS SHIRLEY H</t>
  </si>
  <si>
    <t>104 HAMILTON COURT</t>
  </si>
  <si>
    <t>27006-9560</t>
  </si>
  <si>
    <t>E20000003801</t>
  </si>
  <si>
    <t>ELLER CHADWICK W</t>
  </si>
  <si>
    <t>P O BOX 1848</t>
  </si>
  <si>
    <t>E200000040</t>
  </si>
  <si>
    <t>CODY FLORENCE B</t>
  </si>
  <si>
    <t>36 DRAYSON CIRCLE</t>
  </si>
  <si>
    <t>BLUFFTON</t>
  </si>
  <si>
    <t>SC</t>
  </si>
  <si>
    <t>29910-0000</t>
  </si>
  <si>
    <t>D9010E0003</t>
  </si>
  <si>
    <t>SISK ROBERT V JR</t>
  </si>
  <si>
    <t>SISK JESSIE S</t>
  </si>
  <si>
    <t>118 SOUTH RIVER HILL DRIVE</t>
  </si>
  <si>
    <t>D9010E0016</t>
  </si>
  <si>
    <t>JOLLY THOMAS L</t>
  </si>
  <si>
    <t>JOLLY VIRGINIA L</t>
  </si>
  <si>
    <t>141 RIVER HILL DRIVE</t>
  </si>
  <si>
    <t>27006-9599</t>
  </si>
  <si>
    <t>D9020A0009</t>
  </si>
  <si>
    <t>TRITICO ROCCO J</t>
  </si>
  <si>
    <t>TRITICO FLORENCE E DAVIS</t>
  </si>
  <si>
    <t>PO BOX 803</t>
  </si>
  <si>
    <t>28677-0000</t>
  </si>
  <si>
    <t>E30000001301</t>
  </si>
  <si>
    <t>DULL GARY WAYNE</t>
  </si>
  <si>
    <t>DULL DEBORAH EURE</t>
  </si>
  <si>
    <t>258 EDWARD BECK ROAD</t>
  </si>
  <si>
    <t>27028-5759</t>
  </si>
  <si>
    <t>E300000127</t>
  </si>
  <si>
    <t>I5110B0021</t>
  </si>
  <si>
    <t>E30000002102</t>
  </si>
  <si>
    <t>LAMBE MICKEY LEE</t>
  </si>
  <si>
    <t>LAMBE MARSHA BECK</t>
  </si>
  <si>
    <t>414 LIBERTY CHURCH ROAD</t>
  </si>
  <si>
    <t>27028-5829</t>
  </si>
  <si>
    <t>E30000001604</t>
  </si>
  <si>
    <t>E30000001602</t>
  </si>
  <si>
    <t>E300000132</t>
  </si>
  <si>
    <t>LAMBE MANDY LEIGH</t>
  </si>
  <si>
    <t>BLEDSOE BRANDON LEE</t>
  </si>
  <si>
    <t>E300000026</t>
  </si>
  <si>
    <t>ATWOOD JAMES G JR</t>
  </si>
  <si>
    <t>ATWOOD CAROL BECK</t>
  </si>
  <si>
    <t>294 LIBERTY CHURCH ROAD</t>
  </si>
  <si>
    <t>27028-5827</t>
  </si>
  <si>
    <t>E30000001902</t>
  </si>
  <si>
    <t>E300000027</t>
  </si>
  <si>
    <t>E300000019</t>
  </si>
  <si>
    <t>E30000001901</t>
  </si>
  <si>
    <t>ATWOOD MARK D</t>
  </si>
  <si>
    <t>141 EARL ROAD</t>
  </si>
  <si>
    <t>E30000002101</t>
  </si>
  <si>
    <t>KEATON MICHAEL LANCE</t>
  </si>
  <si>
    <t>411 LIBERTY CHURCH ROAD</t>
  </si>
  <si>
    <t>D9020A0010</t>
  </si>
  <si>
    <t>SMITH ALVA DENNIS</t>
  </si>
  <si>
    <t>SMITH JANET WIKE</t>
  </si>
  <si>
    <t>493 BING CROSBY BOULEVARD</t>
  </si>
  <si>
    <t>27006-8511</t>
  </si>
  <si>
    <t>F600000005</t>
  </si>
  <si>
    <t>STALEY LARRY JAMES</t>
  </si>
  <si>
    <t>STALEY PATSY R</t>
  </si>
  <si>
    <t>154 CHAL SMITH ROAD</t>
  </si>
  <si>
    <t>F600000004</t>
  </si>
  <si>
    <t>F600000008</t>
  </si>
  <si>
    <t>E300000023</t>
  </si>
  <si>
    <t>BONARDI PAUL J</t>
  </si>
  <si>
    <t>BONARDI ROBERTA T</t>
  </si>
  <si>
    <t>219 EARL ROAD</t>
  </si>
  <si>
    <t>F300000038</t>
  </si>
  <si>
    <t>RICHIE LARRY W</t>
  </si>
  <si>
    <t>2941 US HIGHWAY 601 NORTH</t>
  </si>
  <si>
    <t>E300000024</t>
  </si>
  <si>
    <t>E30000002701</t>
  </si>
  <si>
    <t>BECK WILLIAM A</t>
  </si>
  <si>
    <t>BECK BRENDA S</t>
  </si>
  <si>
    <t>248 LIBERTY CHURCH ROAD</t>
  </si>
  <si>
    <t>E300000030</t>
  </si>
  <si>
    <t>WILLIAM R DAVIE VOL FIRE DEPT</t>
  </si>
  <si>
    <t>PO BOX 934</t>
  </si>
  <si>
    <t>E300000031</t>
  </si>
  <si>
    <t>WILLIAM R DAVIE VOLUNTEER FIRE</t>
  </si>
  <si>
    <t>% CHARLIE WHALEY</t>
  </si>
  <si>
    <t>RT 6 BOX 182-A</t>
  </si>
  <si>
    <t>E300000034</t>
  </si>
  <si>
    <t>MAYO PETE G</t>
  </si>
  <si>
    <t>MAYO ELIZABETH H</t>
  </si>
  <si>
    <t>3653 HIGHWAY 601 NORTH</t>
  </si>
  <si>
    <t>27028-6270</t>
  </si>
  <si>
    <t>E300000035</t>
  </si>
  <si>
    <t>HOFFNER MONICA H</t>
  </si>
  <si>
    <t>3724 US HWY 601 N</t>
  </si>
  <si>
    <t>E30000003501</t>
  </si>
  <si>
    <t>3724 US HIGHWAY 601 NORTH</t>
  </si>
  <si>
    <t>E300000051</t>
  </si>
  <si>
    <t>RICHIE ROGER LEE</t>
  </si>
  <si>
    <t>351 RICHIE ROAD</t>
  </si>
  <si>
    <t>E300000053</t>
  </si>
  <si>
    <t>E300000037</t>
  </si>
  <si>
    <t>E300000038</t>
  </si>
  <si>
    <t>MAULDIN REBECCA GUNTER</t>
  </si>
  <si>
    <t>MAULDIN JOHN W</t>
  </si>
  <si>
    <t>3600 US HIGHWAY 601 NORTH</t>
  </si>
  <si>
    <t>D9020A0014</t>
  </si>
  <si>
    <t>MCNEILL DREW</t>
  </si>
  <si>
    <t>506 BING CROSBY BOULEVARD</t>
  </si>
  <si>
    <t>27006-8512</t>
  </si>
  <si>
    <t>E300000063</t>
  </si>
  <si>
    <t>BROWN SHEILA DIANNE</t>
  </si>
  <si>
    <t>691 RICHIE ROAD</t>
  </si>
  <si>
    <t>G300000055</t>
  </si>
  <si>
    <t>F300000049</t>
  </si>
  <si>
    <t>E30000006202</t>
  </si>
  <si>
    <t>F300000035</t>
  </si>
  <si>
    <t>E300000062</t>
  </si>
  <si>
    <t>HAWKS MARIE C</t>
  </si>
  <si>
    <t>HAWKS DONALD G</t>
  </si>
  <si>
    <t>2521 WYO ROAD</t>
  </si>
  <si>
    <t>27055-6842</t>
  </si>
  <si>
    <t>E30000006203</t>
  </si>
  <si>
    <t>FEIMSTER BRECK C</t>
  </si>
  <si>
    <t>725 RICHIE ROAD</t>
  </si>
  <si>
    <t>27028-4928</t>
  </si>
  <si>
    <t>F50000000101</t>
  </si>
  <si>
    <t>ANDREWS BETTY R</t>
  </si>
  <si>
    <t>ANDREWS DAVID M</t>
  </si>
  <si>
    <t>201 SWEET CREEK TRAIL</t>
  </si>
  <si>
    <t>D9020A0020</t>
  </si>
  <si>
    <t>PATEL ROMANLAL K &amp; KUSUMBEN R</t>
  </si>
  <si>
    <t>PATEL JAYANT R &amp; RAKHIBEN J</t>
  </si>
  <si>
    <t>440 BING CROSBY BLVD</t>
  </si>
  <si>
    <t>D9020A0021</t>
  </si>
  <si>
    <t>HIGHLANDS AT B R HOMEOWNERS</t>
  </si>
  <si>
    <t>% THOMAS R SMITH</t>
  </si>
  <si>
    <t>PO BOX 1974</t>
  </si>
  <si>
    <t>27293-0000</t>
  </si>
  <si>
    <t>D9030A0005</t>
  </si>
  <si>
    <t>MANGUAL JESUS A</t>
  </si>
  <si>
    <t>MANGUAL PATRICIA K</t>
  </si>
  <si>
    <t>172 JAMES WAY</t>
  </si>
  <si>
    <t>D9030A0018</t>
  </si>
  <si>
    <t>JOHNSON CHARLES D</t>
  </si>
  <si>
    <t>JOHNSON JAMEY H</t>
  </si>
  <si>
    <t>264 JAMES WAY</t>
  </si>
  <si>
    <t>27006-8517</t>
  </si>
  <si>
    <t>D9030A0020</t>
  </si>
  <si>
    <t>GUERRA JORGE R JR</t>
  </si>
  <si>
    <t>GUERRA PATRICIA J</t>
  </si>
  <si>
    <t>274 JAMES WAY</t>
  </si>
  <si>
    <t>D9050A0046</t>
  </si>
  <si>
    <t>KING KATHERINE C</t>
  </si>
  <si>
    <t>LI LOUIS H</t>
  </si>
  <si>
    <t>3206 BERMUDA VILLAGE DRIVE</t>
  </si>
  <si>
    <t>E300000072</t>
  </si>
  <si>
    <t>FOX TED WILLIAM</t>
  </si>
  <si>
    <t>2294 ANGELL ROAD</t>
  </si>
  <si>
    <t>E300000078</t>
  </si>
  <si>
    <t>LATHAM JAMES W</t>
  </si>
  <si>
    <t>132 LATHAM FARM ROAD</t>
  </si>
  <si>
    <t>27028-4862</t>
  </si>
  <si>
    <t>F300000059</t>
  </si>
  <si>
    <t>E30000008803</t>
  </si>
  <si>
    <t>E30000007801</t>
  </si>
  <si>
    <t>HAMMER EARL J</t>
  </si>
  <si>
    <t>HAMMER OMA FREDRIKA</t>
  </si>
  <si>
    <t>120 HOBBY HORSE LANE</t>
  </si>
  <si>
    <t>E30000007802</t>
  </si>
  <si>
    <t>GAMEZ-GARCIA JAVIER</t>
  </si>
  <si>
    <t>GAMEZ ANGELICA</t>
  </si>
  <si>
    <t>116 HOBBY HORSE LANE</t>
  </si>
  <si>
    <t>E30000007902</t>
  </si>
  <si>
    <t>CREWS CHARLES ODELL</t>
  </si>
  <si>
    <t>CREWS SHIRLEY HOLLIS</t>
  </si>
  <si>
    <t>2052 ANGELL ROAD</t>
  </si>
  <si>
    <t>E30000007901</t>
  </si>
  <si>
    <t>KIMBRELL RICHARD E</t>
  </si>
  <si>
    <t>KIMBRELL ELAINE E</t>
  </si>
  <si>
    <t>2034 ANGEL ROAD</t>
  </si>
  <si>
    <t>27028-4606</t>
  </si>
  <si>
    <t>D9090C0012</t>
  </si>
  <si>
    <t>KUPSKY CHARLES H</t>
  </si>
  <si>
    <t>KUPSKY BEVERLY J</t>
  </si>
  <si>
    <t>126 LINDEN PLACE</t>
  </si>
  <si>
    <t>27006-8406</t>
  </si>
  <si>
    <t>E30000008008</t>
  </si>
  <si>
    <t>WALLER JAMES E</t>
  </si>
  <si>
    <t>WALLER HELEN L</t>
  </si>
  <si>
    <t>2000 ANGELL ROAD</t>
  </si>
  <si>
    <t>E30000008006</t>
  </si>
  <si>
    <t>LANIER MICHAEL JASON</t>
  </si>
  <si>
    <t>146 BALTIMORE RD</t>
  </si>
  <si>
    <t>E300000086</t>
  </si>
  <si>
    <t>ANGELL SHERRY ANN LATHAM</t>
  </si>
  <si>
    <t>E300000087</t>
  </si>
  <si>
    <t>LATHAM JUDY E</t>
  </si>
  <si>
    <t>E300000088</t>
  </si>
  <si>
    <t>E30000008802</t>
  </si>
  <si>
    <t>SCALF KENNETH</t>
  </si>
  <si>
    <t>SCALF WANDA</t>
  </si>
  <si>
    <t>176 LATHAM FARM ROAD</t>
  </si>
  <si>
    <t>E300000089</t>
  </si>
  <si>
    <t>WINEBARGER DAVID A</t>
  </si>
  <si>
    <t>WINEBARGER JUDY A</t>
  </si>
  <si>
    <t>2203 ANGELL ROAD</t>
  </si>
  <si>
    <t>E10000000501</t>
  </si>
  <si>
    <t>BURGESS DAVID H</t>
  </si>
  <si>
    <t>598 ROCK SPRINGS ROAD</t>
  </si>
  <si>
    <t>E300000102</t>
  </si>
  <si>
    <t>FOSTER GEORGE RANDALL</t>
  </si>
  <si>
    <t>FOSTER DANA JONES</t>
  </si>
  <si>
    <t>3240 US HIGHWAY 601 NORTH</t>
  </si>
  <si>
    <t>E30000010301</t>
  </si>
  <si>
    <t>E300000100</t>
  </si>
  <si>
    <t>H600000033</t>
  </si>
  <si>
    <t>E300000103</t>
  </si>
  <si>
    <t>JONES BOBBY RAY</t>
  </si>
  <si>
    <t>JONES PANSY M</t>
  </si>
  <si>
    <t>3218 US HIGHWAY 601 NORTH</t>
  </si>
  <si>
    <t>27028-5957</t>
  </si>
  <si>
    <t>E300000104</t>
  </si>
  <si>
    <t>ROLLINS HAROLD L SR</t>
  </si>
  <si>
    <t>ROLLINS SHIRLEY J</t>
  </si>
  <si>
    <t>3206 US HIGHWAY 601 NORTH</t>
  </si>
  <si>
    <t>E300000105</t>
  </si>
  <si>
    <t>SHELTON BILLY R</t>
  </si>
  <si>
    <t>3190 US HIGHWAY 601 NORTH</t>
  </si>
  <si>
    <t>E300000112</t>
  </si>
  <si>
    <t>MUIRHEAD MICHAEL J</t>
  </si>
  <si>
    <t>1119 WAGNER ROAD</t>
  </si>
  <si>
    <t>27028-4962</t>
  </si>
  <si>
    <t>E300000114</t>
  </si>
  <si>
    <t>WHITE SAMUEL LEON</t>
  </si>
  <si>
    <t>WHITE NANCY C</t>
  </si>
  <si>
    <t>1163 WAGNER ROAD</t>
  </si>
  <si>
    <t>E300000116</t>
  </si>
  <si>
    <t>ROLLINS DENNY B</t>
  </si>
  <si>
    <t>ROLLINS DOROTHY B</t>
  </si>
  <si>
    <t>249 LIBERTY CHURCH ROAD</t>
  </si>
  <si>
    <t>E300000120</t>
  </si>
  <si>
    <t>PILCHER GEORGE E</t>
  </si>
  <si>
    <t>PILCHER LISA M</t>
  </si>
  <si>
    <t>437 LIBERTY CHURCH ROAD</t>
  </si>
  <si>
    <t>E100000009</t>
  </si>
  <si>
    <t>E100000021</t>
  </si>
  <si>
    <t>SHOFFNER RONALD L</t>
  </si>
  <si>
    <t>SHOFFNER LIBBY H</t>
  </si>
  <si>
    <t>419 TURKEYFOOT ROAD</t>
  </si>
  <si>
    <t>E200000007</t>
  </si>
  <si>
    <t>FEIMSTER RODGER W</t>
  </si>
  <si>
    <t>FEIMSTER MELBA D</t>
  </si>
  <si>
    <t>304 DYSON ROAD</t>
  </si>
  <si>
    <t>27028-5754</t>
  </si>
  <si>
    <t>E20000000808</t>
  </si>
  <si>
    <t>DYSON WAYNE</t>
  </si>
  <si>
    <t>1273 CALAHALN ROAD</t>
  </si>
  <si>
    <t>E40000000402</t>
  </si>
  <si>
    <t>IJAMES RICHARD L</t>
  </si>
  <si>
    <t>IJAMES BETTY RANDALL</t>
  </si>
  <si>
    <t>583 EATONS CHURCH ROAD</t>
  </si>
  <si>
    <t>27028-4736</t>
  </si>
  <si>
    <t>E40000000403</t>
  </si>
  <si>
    <t>E400000005</t>
  </si>
  <si>
    <t>DRIVER ANGELA JILL</t>
  </si>
  <si>
    <t>5009 SUNSET FAIRWAYS DRIVE</t>
  </si>
  <si>
    <t>HOLLY SPRINGS</t>
  </si>
  <si>
    <t>27540-0000</t>
  </si>
  <si>
    <t>E400000007</t>
  </si>
  <si>
    <t>EATONS BAPTIST CHURCH</t>
  </si>
  <si>
    <t>430 EATONS CHURCH ROAD</t>
  </si>
  <si>
    <t>F300000004</t>
  </si>
  <si>
    <t>E40000000801</t>
  </si>
  <si>
    <t>MOORE LARRY E</t>
  </si>
  <si>
    <t>MOORE LINDA R</t>
  </si>
  <si>
    <t>139 AMBERHILL ROAD</t>
  </si>
  <si>
    <t>27055-6277</t>
  </si>
  <si>
    <t>D9010B0013</t>
  </si>
  <si>
    <t>BARBER JOHN T</t>
  </si>
  <si>
    <t>BARBER HAZELANNE A</t>
  </si>
  <si>
    <t>144 WARWICKE PLACE</t>
  </si>
  <si>
    <t>E20000002803</t>
  </si>
  <si>
    <t>PRIVAT DALE M</t>
  </si>
  <si>
    <t>PRIVAT TERRIEJO D</t>
  </si>
  <si>
    <t>264 BEAR CREEK CHURCH ROAD</t>
  </si>
  <si>
    <t>E200000029</t>
  </si>
  <si>
    <t>WILLIARD LARRY REDMON</t>
  </si>
  <si>
    <t>WILLIARD ELIZABETH KING</t>
  </si>
  <si>
    <t>3700 CANTERBURY LANE</t>
  </si>
  <si>
    <t>E40000001002</t>
  </si>
  <si>
    <t>EATON GREGORY CHARLES</t>
  </si>
  <si>
    <t>405 EATONS CHURCH ROAD</t>
  </si>
  <si>
    <t>E40000001603</t>
  </si>
  <si>
    <t>GAMEZ ARMANDO</t>
  </si>
  <si>
    <t>GAMEZ MARCIELA</t>
  </si>
  <si>
    <t>1757 ANGELL ROAD</t>
  </si>
  <si>
    <t>E20000002901</t>
  </si>
  <si>
    <t>JONES DEBORAH K</t>
  </si>
  <si>
    <t>164 BEAR CREEK CHURCH ROAD</t>
  </si>
  <si>
    <t>27028-5618</t>
  </si>
  <si>
    <t>E40000004201</t>
  </si>
  <si>
    <t>FREEMAN DONNA</t>
  </si>
  <si>
    <t>110 CECIL LANE</t>
  </si>
  <si>
    <t>E300000006</t>
  </si>
  <si>
    <t>ALEXANDER WILBURN RAY</t>
  </si>
  <si>
    <t>ALEXANDER SUSAN S</t>
  </si>
  <si>
    <t>540 LIBERTY CHURCH ROAD</t>
  </si>
  <si>
    <t>27028-5830</t>
  </si>
  <si>
    <t>E40000004406</t>
  </si>
  <si>
    <t>CAMPBELL HENRY LEE JR</t>
  </si>
  <si>
    <t>CAMPBELL ELIZABETH BOYLES</t>
  </si>
  <si>
    <t>248 CLAYTON DRIVE</t>
  </si>
  <si>
    <t>E400000045</t>
  </si>
  <si>
    <t>PRUITTE CHARLES A</t>
  </si>
  <si>
    <t>HITES KATHRYN H</t>
  </si>
  <si>
    <t>294 CLAYTON DRIVE</t>
  </si>
  <si>
    <t>E40000004501</t>
  </si>
  <si>
    <t>CARRICO MARCIA LOUISE</t>
  </si>
  <si>
    <t>305 CLAYTON DRIVE</t>
  </si>
  <si>
    <t>E40000004503</t>
  </si>
  <si>
    <t>MARTINEZ GUADALUPE G</t>
  </si>
  <si>
    <t>256 CLAYTON DRIVE</t>
  </si>
  <si>
    <t>E40000004609</t>
  </si>
  <si>
    <t>LOGAN AARON A</t>
  </si>
  <si>
    <t>LOGAN KAREN D</t>
  </si>
  <si>
    <t>752 PUDDING RIDGE ROAD</t>
  </si>
  <si>
    <t>E40000004615</t>
  </si>
  <si>
    <t>STILING GREGORY C</t>
  </si>
  <si>
    <t>STILING CHRISTINE S</t>
  </si>
  <si>
    <t>212 BUCKEYE TRAIL</t>
  </si>
  <si>
    <t>27028-6171</t>
  </si>
  <si>
    <t>E300000010</t>
  </si>
  <si>
    <t>CARTER JIMMY R</t>
  </si>
  <si>
    <t>476 LIBERTY CHURCH ROAD</t>
  </si>
  <si>
    <t>E50000000501</t>
  </si>
  <si>
    <t>MCBRIDE VIRGINIA CAROLYN</t>
  </si>
  <si>
    <t>477 PUDDING RIDGE ROAD</t>
  </si>
  <si>
    <t>27028-7759</t>
  </si>
  <si>
    <t>E500000006</t>
  </si>
  <si>
    <t>MCBRIDE WILLIAM F</t>
  </si>
  <si>
    <t>MCBRIDE SANDRA</t>
  </si>
  <si>
    <t>405 PUDDING RIDGE ROAD</t>
  </si>
  <si>
    <t>E50000001401</t>
  </si>
  <si>
    <t>SMITH JOSEPH B JR</t>
  </si>
  <si>
    <t>SMITH ELIZABETH F</t>
  </si>
  <si>
    <t>332 PINEBROOK DRIVE</t>
  </si>
  <si>
    <t>E300000011</t>
  </si>
  <si>
    <t>CARTER TOM STEPHEN</t>
  </si>
  <si>
    <t>462 LIBERTY CHURCH ROAD</t>
  </si>
  <si>
    <t>E50000001410</t>
  </si>
  <si>
    <t>MORAN ALAN T</t>
  </si>
  <si>
    <t>MORAN SANDRA F</t>
  </si>
  <si>
    <t>311 PINEBROOK DRIVE</t>
  </si>
  <si>
    <t>27028-7744</t>
  </si>
  <si>
    <t>E50000001411</t>
  </si>
  <si>
    <t>RYLE JULIAN H</t>
  </si>
  <si>
    <t>RYLE PEGGY M</t>
  </si>
  <si>
    <t>341 PINEBROOK DRIVE</t>
  </si>
  <si>
    <t>E50000001416</t>
  </si>
  <si>
    <t>STEWART TIMOTHY W</t>
  </si>
  <si>
    <t>STEWART KATHRYN G</t>
  </si>
  <si>
    <t>389 PINEBROOK DRIVE</t>
  </si>
  <si>
    <t>E50000001418</t>
  </si>
  <si>
    <t>EATON PAUL</t>
  </si>
  <si>
    <t>EATON SHARON</t>
  </si>
  <si>
    <t>407 PINEBROOK DRIVE</t>
  </si>
  <si>
    <t>E50000001426</t>
  </si>
  <si>
    <t>LITTLE GREGORY III</t>
  </si>
  <si>
    <t>LITTLE ELIZABETH A</t>
  </si>
  <si>
    <t>268 PINEBROOK DRIVE</t>
  </si>
  <si>
    <t>E30000002104</t>
  </si>
  <si>
    <t>KEATON DUSTIN MICHAEL</t>
  </si>
  <si>
    <t>E50000001801</t>
  </si>
  <si>
    <t>ALLEN REBECCA S</t>
  </si>
  <si>
    <t>ALLEN JAMES A JR</t>
  </si>
  <si>
    <t>917 FARMINGTON ROAD</t>
  </si>
  <si>
    <t>E60000007004</t>
  </si>
  <si>
    <t>SMITHERMAN BESSIE S</t>
  </si>
  <si>
    <t>3453 MOUNT BETHEL CHURCH ROAD</t>
  </si>
  <si>
    <t>EAST BEND</t>
  </si>
  <si>
    <t>27018-0000</t>
  </si>
  <si>
    <t>E60000007003</t>
  </si>
  <si>
    <t>E500000045</t>
  </si>
  <si>
    <t>KINDER KIRBY G</t>
  </si>
  <si>
    <t>892 FARMINGTON ROAD</t>
  </si>
  <si>
    <t>E30000004501</t>
  </si>
  <si>
    <t>NAYLOR STEPHEN GUY</t>
  </si>
  <si>
    <t>612 RICHIE ROAD</t>
  </si>
  <si>
    <t>E300000128</t>
  </si>
  <si>
    <t>SINYARD ANTHONY R</t>
  </si>
  <si>
    <t>SINYARD DIANE</t>
  </si>
  <si>
    <t>3579 US HIGHWAY 601 NORTH</t>
  </si>
  <si>
    <t>27028-6262</t>
  </si>
  <si>
    <t>E30000006502</t>
  </si>
  <si>
    <t>E30000006503</t>
  </si>
  <si>
    <t>STEWART EMILY GAIL SMITH</t>
  </si>
  <si>
    <t>139 BUGLE LANE</t>
  </si>
  <si>
    <t>27028-4631</t>
  </si>
  <si>
    <t>E30000006505</t>
  </si>
  <si>
    <t>LUCKEY LOUIS E</t>
  </si>
  <si>
    <t>LUCKEY NANCY J</t>
  </si>
  <si>
    <t>150 BUGLE LANE</t>
  </si>
  <si>
    <t>E5020A0007</t>
  </si>
  <si>
    <t>HARRELL CHARLIE GENE JR</t>
  </si>
  <si>
    <t>HARRELL PATRICIA H</t>
  </si>
  <si>
    <t>138 GREENE COURT</t>
  </si>
  <si>
    <t>E5020A0014</t>
  </si>
  <si>
    <t>GOODSON BENJAMIN H</t>
  </si>
  <si>
    <t>GOODSON DENISE L</t>
  </si>
  <si>
    <t>384 CORNWALLIS DRIVE</t>
  </si>
  <si>
    <t>E5020A001501</t>
  </si>
  <si>
    <t>E5020A0021</t>
  </si>
  <si>
    <t>ROCKETT JOHN D</t>
  </si>
  <si>
    <t>ROCKETT SANDRA H</t>
  </si>
  <si>
    <t>343 CORNWALLIS DRIVE</t>
  </si>
  <si>
    <t>27028-6144</t>
  </si>
  <si>
    <t>E5020A0022</t>
  </si>
  <si>
    <t>SAWTELLE PATRICK J</t>
  </si>
  <si>
    <t>SAWTELLE ALLYSON H</t>
  </si>
  <si>
    <t>331 CORNWALLIS DRIVE</t>
  </si>
  <si>
    <t>E300000069</t>
  </si>
  <si>
    <t>WAGNER SANDRA LYNN</t>
  </si>
  <si>
    <t>5828 RENA ROAD</t>
  </si>
  <si>
    <t>HAMPTONVILLE</t>
  </si>
  <si>
    <t>27020-0000</t>
  </si>
  <si>
    <t>E600000001</t>
  </si>
  <si>
    <t>RHYNE JOHN P</t>
  </si>
  <si>
    <t>RHYNE SARA M</t>
  </si>
  <si>
    <t>170 SUGAR CREEK ROAD</t>
  </si>
  <si>
    <t>E300000071</t>
  </si>
  <si>
    <t>WALKER EDWIN L</t>
  </si>
  <si>
    <t>WALKER SUE N</t>
  </si>
  <si>
    <t>2340 ANGELL ROAD</t>
  </si>
  <si>
    <t>E60000001003</t>
  </si>
  <si>
    <t>BOGGS CLINT GREGORY</t>
  </si>
  <si>
    <t>270 BOGER ROAD</t>
  </si>
  <si>
    <t>E60000001005</t>
  </si>
  <si>
    <t>COURTEMANCHE DAVID R</t>
  </si>
  <si>
    <t>COURTEMANCHE MARY K</t>
  </si>
  <si>
    <t>103 HIDDEN PASSAGE WAY</t>
  </si>
  <si>
    <t>E60000001201</t>
  </si>
  <si>
    <t>WILLIAMS CHARLES DOUGLAS</t>
  </si>
  <si>
    <t>WILLIAMS TINA S</t>
  </si>
  <si>
    <t>266 LEE-JACKSON DRIVE</t>
  </si>
  <si>
    <t>E600000012</t>
  </si>
  <si>
    <t>E70000009001</t>
  </si>
  <si>
    <t>E600000014</t>
  </si>
  <si>
    <t>SMITH GROVE A M E ZION CHURCH</t>
  </si>
  <si>
    <t>3707 US HWY 158</t>
  </si>
  <si>
    <t>E300000126</t>
  </si>
  <si>
    <t>E300000101</t>
  </si>
  <si>
    <t>E300000122  A</t>
  </si>
  <si>
    <t>MILLER RANDALL A</t>
  </si>
  <si>
    <t>MILLER LINDA KAY</t>
  </si>
  <si>
    <t>469 LIBERTY CHURCH ROAD</t>
  </si>
  <si>
    <t>E30000012301</t>
  </si>
  <si>
    <t>DUGGINS WAYNE O</t>
  </si>
  <si>
    <t>MATTHEWS SALLIE R</t>
  </si>
  <si>
    <t>190 TITTLE TRAIL</t>
  </si>
  <si>
    <t>E400000003</t>
  </si>
  <si>
    <t>E400000002</t>
  </si>
  <si>
    <t>E20000002001</t>
  </si>
  <si>
    <t>LOCKHART JAY DEAN</t>
  </si>
  <si>
    <t>849 DUKE WHITTAKER ROAD</t>
  </si>
  <si>
    <t>E20000002505</t>
  </si>
  <si>
    <t>SUSHEREBA KATHY SMOOT</t>
  </si>
  <si>
    <t>204 CV SMOOT LANE</t>
  </si>
  <si>
    <t>E600000050</t>
  </si>
  <si>
    <t>LEE JUDITH</t>
  </si>
  <si>
    <t>LEE LEON SR</t>
  </si>
  <si>
    <t>P O BOX 231</t>
  </si>
  <si>
    <t>YOUNG HARRIS</t>
  </si>
  <si>
    <t>30582-0000</t>
  </si>
  <si>
    <t>E60000005001</t>
  </si>
  <si>
    <t>WARD EMILY</t>
  </si>
  <si>
    <t>2010 KNIGHT ROAD</t>
  </si>
  <si>
    <t>I80000004101</t>
  </si>
  <si>
    <t>E200000046</t>
  </si>
  <si>
    <t>COLEY JOHN HILL JR ETAL</t>
  </si>
  <si>
    <t>COLEY MARY LOU SMOOT</t>
  </si>
  <si>
    <t>256 C V SMOOT LANE</t>
  </si>
  <si>
    <t>E600000054</t>
  </si>
  <si>
    <t>SMITH BARBARA O</t>
  </si>
  <si>
    <t>411 RAINBOW ROAD</t>
  </si>
  <si>
    <t>E60000005305</t>
  </si>
  <si>
    <t>WEST LORI L</t>
  </si>
  <si>
    <t>180 DARE LANE</t>
  </si>
  <si>
    <t>E60000005306</t>
  </si>
  <si>
    <t>BARNHARDT STEVE LEWIS</t>
  </si>
  <si>
    <t>BARNHARDT TERESA SMITH</t>
  </si>
  <si>
    <t>152 DARE LANE</t>
  </si>
  <si>
    <t>27006-6789</t>
  </si>
  <si>
    <t>E600000058</t>
  </si>
  <si>
    <t>STANSBERRY SAMUEL J</t>
  </si>
  <si>
    <t>STANSBERRY LINDA K</t>
  </si>
  <si>
    <t>474 SPEAKS ROAD</t>
  </si>
  <si>
    <t>E60000006003</t>
  </si>
  <si>
    <t>REISSING MICAH KENNEY</t>
  </si>
  <si>
    <t>412 RAINBOW ROAD</t>
  </si>
  <si>
    <t>E60000006202</t>
  </si>
  <si>
    <t>BLACKWELL STELLA LOUISE</t>
  </si>
  <si>
    <t>236 HOWARDTOWN CIRCLE</t>
  </si>
  <si>
    <t>E600000068</t>
  </si>
  <si>
    <t>E600000071</t>
  </si>
  <si>
    <t>E70000000402</t>
  </si>
  <si>
    <t>E600000080</t>
  </si>
  <si>
    <t>E300000046</t>
  </si>
  <si>
    <t>E400000033</t>
  </si>
  <si>
    <t>UPDEGRAFF DAHLGREN E</t>
  </si>
  <si>
    <t>1196 CANA ROAD</t>
  </si>
  <si>
    <t>E60000008101</t>
  </si>
  <si>
    <t>FLEMING TAMMY W ETAL</t>
  </si>
  <si>
    <t>E60000008103</t>
  </si>
  <si>
    <t>MCDANIEL L KENNETH II</t>
  </si>
  <si>
    <t>386 HOWARDTOWN CIRCLE</t>
  </si>
  <si>
    <t>27028-7702</t>
  </si>
  <si>
    <t>F60000011204</t>
  </si>
  <si>
    <t>E40000004405</t>
  </si>
  <si>
    <t>LOGAN ANN ELIZABETH NORMAN</t>
  </si>
  <si>
    <t>116 CLAYTON DRIVE</t>
  </si>
  <si>
    <t>27028-6142</t>
  </si>
  <si>
    <t>C300000048</t>
  </si>
  <si>
    <t>LAWRENCE DANIEL LEE</t>
  </si>
  <si>
    <t>149 SHALLOWBROOK DRIVE</t>
  </si>
  <si>
    <t>E60000008602</t>
  </si>
  <si>
    <t>DRUGAN BEATRICE POWERS</t>
  </si>
  <si>
    <t>135 BROOKHAVEN LANE</t>
  </si>
  <si>
    <t>E600000089</t>
  </si>
  <si>
    <t>BATES MELVIN W</t>
  </si>
  <si>
    <t>BATES JANET C</t>
  </si>
  <si>
    <t>124 ROEHOE LANE</t>
  </si>
  <si>
    <t>27006-6746</t>
  </si>
  <si>
    <t>E600000090</t>
  </si>
  <si>
    <t>SMITH GROVE VOLUNTEER FIRE</t>
  </si>
  <si>
    <t>4155 US HIGHWAY 158</t>
  </si>
  <si>
    <t>E600000092</t>
  </si>
  <si>
    <t>YUSON CARLO P</t>
  </si>
  <si>
    <t>4176 US HIGHWAY 158</t>
  </si>
  <si>
    <t>E600000094</t>
  </si>
  <si>
    <t>CLEARY DWIGHT H</t>
  </si>
  <si>
    <t>CLEARY SALLY R</t>
  </si>
  <si>
    <t>4193 US HIGHWAY 158</t>
  </si>
  <si>
    <t>E500000002</t>
  </si>
  <si>
    <t>JONES HOMER ALDENE</t>
  </si>
  <si>
    <t>JONES ELIZABETH H</t>
  </si>
  <si>
    <t>579 PUDDING RIDGE ROAD</t>
  </si>
  <si>
    <t>E6040B0001</t>
  </si>
  <si>
    <t>SULECKI RAYMOND</t>
  </si>
  <si>
    <t>SULECKI BEVERLY R</t>
  </si>
  <si>
    <t>170 TIMBER LANE</t>
  </si>
  <si>
    <t>27006-6740</t>
  </si>
  <si>
    <t>E6040B000101</t>
  </si>
  <si>
    <t>HEMMINGS RICK FRANKLIN</t>
  </si>
  <si>
    <t>HEMMINGS PAMELA MARKLAND</t>
  </si>
  <si>
    <t>192 TIMBER LANE</t>
  </si>
  <si>
    <t>E6040B0003</t>
  </si>
  <si>
    <t>PENA YESENIA</t>
  </si>
  <si>
    <t>2864 REYNOLDA RD</t>
  </si>
  <si>
    <t>27106-3102</t>
  </si>
  <si>
    <t>E6040B0004</t>
  </si>
  <si>
    <t>COHEN SUSAN MYERS</t>
  </si>
  <si>
    <t>148 TIMBER LANE</t>
  </si>
  <si>
    <t>E6040B0012</t>
  </si>
  <si>
    <t>SCHROEDER TED D</t>
  </si>
  <si>
    <t>SCHROEDER LINDA A</t>
  </si>
  <si>
    <t>PO BOX 2420</t>
  </si>
  <si>
    <t>27006-2420</t>
  </si>
  <si>
    <t>E6040B0005</t>
  </si>
  <si>
    <t>E6040B0011</t>
  </si>
  <si>
    <t>E6040B0006</t>
  </si>
  <si>
    <t>E6040B0007</t>
  </si>
  <si>
    <t>E6040B0008</t>
  </si>
  <si>
    <t>PAGE CLAUDIA E</t>
  </si>
  <si>
    <t>236 SHALLOWBROOK DR</t>
  </si>
  <si>
    <t>27006-6732</t>
  </si>
  <si>
    <t>E6040B0014</t>
  </si>
  <si>
    <t>MCCULLOH W JANE</t>
  </si>
  <si>
    <t>151 EMILY DRIVE</t>
  </si>
  <si>
    <t>E6040B0013</t>
  </si>
  <si>
    <t>E6040B0020</t>
  </si>
  <si>
    <t>ELLISON JILL HAYES</t>
  </si>
  <si>
    <t>152 EMILY DRIVE</t>
  </si>
  <si>
    <t>E6040B0019</t>
  </si>
  <si>
    <t>E6040B0022</t>
  </si>
  <si>
    <t>WOOD JOHN A</t>
  </si>
  <si>
    <t>WOOD ANGELIA J</t>
  </si>
  <si>
    <t>120 EMILY DRIVE</t>
  </si>
  <si>
    <t>E6040B0023</t>
  </si>
  <si>
    <t>E6040B0024</t>
  </si>
  <si>
    <t>E6050A0003</t>
  </si>
  <si>
    <t>LAWRENCE LORI ANNE PHILLIPS</t>
  </si>
  <si>
    <t>E6050A0004</t>
  </si>
  <si>
    <t>E50000001404</t>
  </si>
  <si>
    <t>SCOTT GLENN</t>
  </si>
  <si>
    <t>SCOTT KATHLEEN S</t>
  </si>
  <si>
    <t>289 PINEBROOK DRIVE</t>
  </si>
  <si>
    <t>E6050A0014</t>
  </si>
  <si>
    <t>SECHREST ERIN T</t>
  </si>
  <si>
    <t>CONNOR MISTY L</t>
  </si>
  <si>
    <t>160 SHALLOWBROOK DRIVE</t>
  </si>
  <si>
    <t>E6050A0015</t>
  </si>
  <si>
    <t>SMITH SALLY W</t>
  </si>
  <si>
    <t>152 SHALLOWBROOK DRIVE</t>
  </si>
  <si>
    <t>E6110A0003</t>
  </si>
  <si>
    <t>MAYHALL SAMUEL M</t>
  </si>
  <si>
    <t>MAYHALL CHARLOTT</t>
  </si>
  <si>
    <t>120 FOX RUN DRIVE</t>
  </si>
  <si>
    <t>E6110A0007</t>
  </si>
  <si>
    <t>SLOGICK NICHOLAS D</t>
  </si>
  <si>
    <t>SLOGICK JENNIFER C</t>
  </si>
  <si>
    <t>172 FOX RUN DRIVE</t>
  </si>
  <si>
    <t>E6110A0011</t>
  </si>
  <si>
    <t>DUNN LUCY CRAWFORD</t>
  </si>
  <si>
    <t>200 FOX RUN DRIVE</t>
  </si>
  <si>
    <t>E50000001803</t>
  </si>
  <si>
    <t>E50000002802</t>
  </si>
  <si>
    <t>KINDER KIMBERLY S</t>
  </si>
  <si>
    <t>E500000032</t>
  </si>
  <si>
    <t>TUCKER J W JR</t>
  </si>
  <si>
    <t>TUCKER DEBORAH B</t>
  </si>
  <si>
    <t>221 CEDAR BROOK LANE</t>
  </si>
  <si>
    <t>E6110A0022</t>
  </si>
  <si>
    <t>MARSHALL GREGORY V</t>
  </si>
  <si>
    <t>MARSHALL SUSAN W</t>
  </si>
  <si>
    <t>165 FOX RUN DRIVE</t>
  </si>
  <si>
    <t>27028-9501</t>
  </si>
  <si>
    <t>J700000081</t>
  </si>
  <si>
    <t>MCDANIEL BRIAN J</t>
  </si>
  <si>
    <t>MCDANIEL KATIE RIDDLE</t>
  </si>
  <si>
    <t>360 HOWARDTOWN CIRCLE</t>
  </si>
  <si>
    <t>E60000007001</t>
  </si>
  <si>
    <t>E60000007010</t>
  </si>
  <si>
    <t>E700000002</t>
  </si>
  <si>
    <t>E70000000503</t>
  </si>
  <si>
    <t>MALLORY PAUL J SR</t>
  </si>
  <si>
    <t>MALLORY SHELLIE M</t>
  </si>
  <si>
    <t>282 LAKEVIEW ROAD</t>
  </si>
  <si>
    <t>27028-7313</t>
  </si>
  <si>
    <t>I6140A0028</t>
  </si>
  <si>
    <t>E50000003202</t>
  </si>
  <si>
    <t>HORNER WILLIAM PAUL</t>
  </si>
  <si>
    <t>P O BOX 1871</t>
  </si>
  <si>
    <t>E700000009</t>
  </si>
  <si>
    <t>STUDEVENT PERRY JAMES</t>
  </si>
  <si>
    <t>STUDEVENT MAXILENE S</t>
  </si>
  <si>
    <t>4244 US HIGHWAY 158</t>
  </si>
  <si>
    <t>E700000008</t>
  </si>
  <si>
    <t>E70000002401</t>
  </si>
  <si>
    <t>DURHAM ROGER LEE</t>
  </si>
  <si>
    <t>148 LAIRD ROAD</t>
  </si>
  <si>
    <t>27006-7836</t>
  </si>
  <si>
    <t>E500000039</t>
  </si>
  <si>
    <t>WHITE CAROL C</t>
  </si>
  <si>
    <t>6133 OLD PLANK ROAD</t>
  </si>
  <si>
    <t>E5020A0003</t>
  </si>
  <si>
    <t>POPLIN DAVID R</t>
  </si>
  <si>
    <t>POPLIN CANDACE</t>
  </si>
  <si>
    <t>286 CORNWALLIS DRIVE</t>
  </si>
  <si>
    <t>E7140A0012</t>
  </si>
  <si>
    <t>WILKINS WILLIAM E</t>
  </si>
  <si>
    <t>WILKINS LISA R</t>
  </si>
  <si>
    <t>168 GRAYWOOD COURT</t>
  </si>
  <si>
    <t>E7140A0017</t>
  </si>
  <si>
    <t>BAKER BRIAN KEITH</t>
  </si>
  <si>
    <t>BAKER MARCIA AGUALLO</t>
  </si>
  <si>
    <t>185 GRAYWOOD COURT</t>
  </si>
  <si>
    <t>27006-7980</t>
  </si>
  <si>
    <t>E5020A0030</t>
  </si>
  <si>
    <t>TIERNEY TIMOTHY X</t>
  </si>
  <si>
    <t>TIERNEY PATRICIA A</t>
  </si>
  <si>
    <t>185 CORNWALLIS DRIVE</t>
  </si>
  <si>
    <t>E60000000701</t>
  </si>
  <si>
    <t>SETTLE SHARON D</t>
  </si>
  <si>
    <t>191 BOGER ROAD</t>
  </si>
  <si>
    <t>E7140A0030</t>
  </si>
  <si>
    <t>ROBERTS MELISSA MORRISON</t>
  </si>
  <si>
    <t>165 RED MEADOW DRIVE</t>
  </si>
  <si>
    <t>E7140A0031</t>
  </si>
  <si>
    <t>VEAL ROBERT G</t>
  </si>
  <si>
    <t>VEAL MARY ANNE</t>
  </si>
  <si>
    <t>153 REDMEADOW DRIVE</t>
  </si>
  <si>
    <t>E7140A0032</t>
  </si>
  <si>
    <t>HILL DONALD G JR</t>
  </si>
  <si>
    <t>HILL KRISTEN B</t>
  </si>
  <si>
    <t>145 REDMEADOW DRIVE</t>
  </si>
  <si>
    <t>27006-7979</t>
  </si>
  <si>
    <t>E7140A0033</t>
  </si>
  <si>
    <t>BROOKS KIMBERLY A</t>
  </si>
  <si>
    <t>BROOKS JEREMY A</t>
  </si>
  <si>
    <t>135 REDMEADOW DRIVE</t>
  </si>
  <si>
    <t>E600000021</t>
  </si>
  <si>
    <t>WARD FARM ASSOCIATES</t>
  </si>
  <si>
    <t>809 AMANDA DRIVE</t>
  </si>
  <si>
    <t>MATTHEWS</t>
  </si>
  <si>
    <t>28104-0000</t>
  </si>
  <si>
    <t>E70000005101</t>
  </si>
  <si>
    <t>CASHWELL JOHN JR</t>
  </si>
  <si>
    <t>CASHWELL CAROL E</t>
  </si>
  <si>
    <t>509 JUNEY BEAUCHAMP ROAD</t>
  </si>
  <si>
    <t>E70000005201</t>
  </si>
  <si>
    <t>BAILEY JEFFREY PAUL</t>
  </si>
  <si>
    <t>BAILEY LORI H</t>
  </si>
  <si>
    <t>520 JUNEY BEAUCHAMP ROAD</t>
  </si>
  <si>
    <t>E70000005203</t>
  </si>
  <si>
    <t>BYERLY ROY KEVIN</t>
  </si>
  <si>
    <t>BYERLY CYNTHIA BREWER</t>
  </si>
  <si>
    <t>522 JUNEY BEAUCHAMP ROAD</t>
  </si>
  <si>
    <t>E60000002402</t>
  </si>
  <si>
    <t>ROMERO CESAR H</t>
  </si>
  <si>
    <t>ROMERO AMY K</t>
  </si>
  <si>
    <t>119 FERN HAVEN LANE</t>
  </si>
  <si>
    <t>27028-7862</t>
  </si>
  <si>
    <t>E70000005702</t>
  </si>
  <si>
    <t>BLANKENSHIP PERRY</t>
  </si>
  <si>
    <t>BLANKENSHIP BETTY J</t>
  </si>
  <si>
    <t>602 JUNEY BEAUCHAMP ROAD</t>
  </si>
  <si>
    <t>E70000005704</t>
  </si>
  <si>
    <t>HOOKER MICHAEL LEE</t>
  </si>
  <si>
    <t>HOOKER DONNA MARTIN</t>
  </si>
  <si>
    <t>564 JUNEY BEAUCHAMP ROAD</t>
  </si>
  <si>
    <t>27006-7831</t>
  </si>
  <si>
    <t>E700000062</t>
  </si>
  <si>
    <t>BINKLEY ANNICE M</t>
  </si>
  <si>
    <t>326 JUNEY BEAUCHAMP ROAD</t>
  </si>
  <si>
    <t>E700000182</t>
  </si>
  <si>
    <t>WILLARD BRADLEY EUGENE</t>
  </si>
  <si>
    <t>330 JUNEY BEAUCHAMP ROAD</t>
  </si>
  <si>
    <t>E70000006201</t>
  </si>
  <si>
    <t>E70000006601</t>
  </si>
  <si>
    <t>GRAY RONALD R</t>
  </si>
  <si>
    <t>GRAY SHARON D</t>
  </si>
  <si>
    <t>244 JUNIE BEAUCHAMP ROAD</t>
  </si>
  <si>
    <t>E60000002403</t>
  </si>
  <si>
    <t>KHAN YAHSSAIN</t>
  </si>
  <si>
    <t>KHAN WANDA</t>
  </si>
  <si>
    <t>125 FERNHAVEN LANE</t>
  </si>
  <si>
    <t>E60000002702</t>
  </si>
  <si>
    <t>MARSHALL JOYCE B</t>
  </si>
  <si>
    <t>102 HIDDEN PASSAGE WAY</t>
  </si>
  <si>
    <t>E70000008801</t>
  </si>
  <si>
    <t>MCCULLOH TIM PAUL</t>
  </si>
  <si>
    <t>MCCULLOH PATRICIA RUTH BROWN</t>
  </si>
  <si>
    <t>145 ARMSWORTHY ROAD</t>
  </si>
  <si>
    <t>27006-7851</t>
  </si>
  <si>
    <t>E70000009101</t>
  </si>
  <si>
    <t>HARPE SLAYTON R</t>
  </si>
  <si>
    <t>HARPE EMILY</t>
  </si>
  <si>
    <t>288 ARMSWORTHY ROAD</t>
  </si>
  <si>
    <t>27006-7852</t>
  </si>
  <si>
    <t>E70000009102</t>
  </si>
  <si>
    <t>G700000125</t>
  </si>
  <si>
    <t>WILSON MICHAEL NEAL</t>
  </si>
  <si>
    <t>WILSON HILARY C</t>
  </si>
  <si>
    <t>1169 BALTIMORE ROAD</t>
  </si>
  <si>
    <t>M600000008</t>
  </si>
  <si>
    <t>E700000092</t>
  </si>
  <si>
    <t>E60000002703A</t>
  </si>
  <si>
    <t>ROY MARK E</t>
  </si>
  <si>
    <t>ROY TAMMY A</t>
  </si>
  <si>
    <t>138 HIDDEN PASSAGE WAY</t>
  </si>
  <si>
    <t>E700000095</t>
  </si>
  <si>
    <t>REDLAND PENTECOSTAL HOLINESS</t>
  </si>
  <si>
    <t>137 BALTIMORE ROAD</t>
  </si>
  <si>
    <t>E70000016301</t>
  </si>
  <si>
    <t>E70000009902</t>
  </si>
  <si>
    <t>E700000099</t>
  </si>
  <si>
    <t>MCBRAYER DENNIS</t>
  </si>
  <si>
    <t>MCBRAYER PATRICIA P</t>
  </si>
  <si>
    <t>149 BALTIMORE ROAD</t>
  </si>
  <si>
    <t>27006-7811</t>
  </si>
  <si>
    <t>E700000101</t>
  </si>
  <si>
    <t>BROWN STREET PROPERTIES INC</t>
  </si>
  <si>
    <t>PO BOX 294</t>
  </si>
  <si>
    <t>WALLBURG</t>
  </si>
  <si>
    <t>27373-0000</t>
  </si>
  <si>
    <t>E70000010106</t>
  </si>
  <si>
    <t>E70000010107</t>
  </si>
  <si>
    <t>E600000100</t>
  </si>
  <si>
    <t>WILLIAMS MICHAEL LEE</t>
  </si>
  <si>
    <t>135 LIVINGSTON ROAD</t>
  </si>
  <si>
    <t>27028-7721</t>
  </si>
  <si>
    <t>F500000018</t>
  </si>
  <si>
    <t>ARMSWORTHY RICKY GORDON</t>
  </si>
  <si>
    <t>ARMSWORTHY DORIS W</t>
  </si>
  <si>
    <t>382 BALTIMORE ROAD</t>
  </si>
  <si>
    <t>E70000011101</t>
  </si>
  <si>
    <t>SHIPLEY WILLIAM L</t>
  </si>
  <si>
    <t>SHIPLEY JEAN</t>
  </si>
  <si>
    <t>110 LAURENS COURT</t>
  </si>
  <si>
    <t>E70000011102</t>
  </si>
  <si>
    <t>WHITE KAREN</t>
  </si>
  <si>
    <t>109 LAURENS COURT</t>
  </si>
  <si>
    <t>E70000011108</t>
  </si>
  <si>
    <t>BENNETT PATTY</t>
  </si>
  <si>
    <t>140 LAURENS COURT</t>
  </si>
  <si>
    <t>27006-7899</t>
  </si>
  <si>
    <t>E70000011109</t>
  </si>
  <si>
    <t>BLEDSOE DONALD F</t>
  </si>
  <si>
    <t>BLEDSOE LINDA I</t>
  </si>
  <si>
    <t>126 LAURENS COURT</t>
  </si>
  <si>
    <t>E700000114</t>
  </si>
  <si>
    <t>MYERS LESTER</t>
  </si>
  <si>
    <t>MYERS VELDA SUE</t>
  </si>
  <si>
    <t>529 BALTIMORE ROAD</t>
  </si>
  <si>
    <t>E600000036</t>
  </si>
  <si>
    <t>PLOWMAN WILLIAM HAMILTON</t>
  </si>
  <si>
    <t>3902 US HIGHWAY 158</t>
  </si>
  <si>
    <t>E40000000901</t>
  </si>
  <si>
    <t>LATHAM EVERETTE WAYNE</t>
  </si>
  <si>
    <t>LATHAM LUCILLE</t>
  </si>
  <si>
    <t>166 RICHIE ROAD</t>
  </si>
  <si>
    <t>E70000012602</t>
  </si>
  <si>
    <t>FOSTER FRANK A</t>
  </si>
  <si>
    <t>FOSTER REBECCA S</t>
  </si>
  <si>
    <t>478 BALTIMORE ROAD</t>
  </si>
  <si>
    <t>E700000172</t>
  </si>
  <si>
    <t>IRELAND LEA KENDRA</t>
  </si>
  <si>
    <t>448 BALTIMORE ROAD</t>
  </si>
  <si>
    <t>E70000014402</t>
  </si>
  <si>
    <t>BEAUCHAMP KIM RILEY</t>
  </si>
  <si>
    <t>BEAUCHAMP KIMBERLY ROBERTSON</t>
  </si>
  <si>
    <t>1317 BEAUCHAMP ROAD</t>
  </si>
  <si>
    <t>E70000017103</t>
  </si>
  <si>
    <t>E70000017104</t>
  </si>
  <si>
    <t>E70000012705</t>
  </si>
  <si>
    <t>E700000171</t>
  </si>
  <si>
    <t>E70000012702</t>
  </si>
  <si>
    <t>DOUGHERTY JOSEPH WAYNE</t>
  </si>
  <si>
    <t>DOUGHERTY NANCY CAROLENE</t>
  </si>
  <si>
    <t>1336 BEAUCHAMP ROAD</t>
  </si>
  <si>
    <t>E70000012706</t>
  </si>
  <si>
    <t>POLAND JOHN K</t>
  </si>
  <si>
    <t>POLAND SHIRLEY J</t>
  </si>
  <si>
    <t>544 GUN CLUB ROAD</t>
  </si>
  <si>
    <t>27006-7850</t>
  </si>
  <si>
    <t>E700000181</t>
  </si>
  <si>
    <t>E700000132</t>
  </si>
  <si>
    <t>KASSEL ROBERT JOHN</t>
  </si>
  <si>
    <t>KASSEL TRACY ANN</t>
  </si>
  <si>
    <t>PO BOX 2347</t>
  </si>
  <si>
    <t>E700000135</t>
  </si>
  <si>
    <t>WHITEHEAD SUE O TRUSTEE</t>
  </si>
  <si>
    <t>WHITEHEAD SUE O REV TRUST</t>
  </si>
  <si>
    <t>4057 BEAVERBROOK DRIVE</t>
  </si>
  <si>
    <t>27012-8462</t>
  </si>
  <si>
    <t>E600000039</t>
  </si>
  <si>
    <t>LONGWORTH DONALD G</t>
  </si>
  <si>
    <t>LONGWORTH BONNIE D</t>
  </si>
  <si>
    <t>113 RAINBOW ROAD</t>
  </si>
  <si>
    <t>E70000013910</t>
  </si>
  <si>
    <t>BAKER KEVIN MICHAEL</t>
  </si>
  <si>
    <t>BAKER MELISSA FRITZ</t>
  </si>
  <si>
    <t>G600000065</t>
  </si>
  <si>
    <t>BARNEY TOMMY NELSON</t>
  </si>
  <si>
    <t>BARNEY VERONICA J</t>
  </si>
  <si>
    <t>201 MAJOR ROAD</t>
  </si>
  <si>
    <t>27006-7615</t>
  </si>
  <si>
    <t>G60000006502</t>
  </si>
  <si>
    <t>E700000146</t>
  </si>
  <si>
    <t>F70000000701</t>
  </si>
  <si>
    <t>F70000000702</t>
  </si>
  <si>
    <t>F70000000703</t>
  </si>
  <si>
    <t>E70000014401</t>
  </si>
  <si>
    <t>E700000145</t>
  </si>
  <si>
    <t>E70000014403</t>
  </si>
  <si>
    <t>COUCH TERRY M</t>
  </si>
  <si>
    <t>COUCH PAMELA B</t>
  </si>
  <si>
    <t>182 MAJOR ROAD</t>
  </si>
  <si>
    <t>E600000052</t>
  </si>
  <si>
    <t>BOGER JEFFREY BARTH</t>
  </si>
  <si>
    <t>BOGER LORETTA P</t>
  </si>
  <si>
    <t>391 RAINBOW ROAD</t>
  </si>
  <si>
    <t>E800000019</t>
  </si>
  <si>
    <t>CRANFILL TIMOTHY WAYNE</t>
  </si>
  <si>
    <t>CRANFILL DONNA W</t>
  </si>
  <si>
    <t>788 BEAUCHAMP ROAD</t>
  </si>
  <si>
    <t>27006-7411</t>
  </si>
  <si>
    <t>L5100B0020</t>
  </si>
  <si>
    <t>L5100B0014</t>
  </si>
  <si>
    <t>L5100B0019</t>
  </si>
  <si>
    <t>E700000161</t>
  </si>
  <si>
    <t>E70000015102</t>
  </si>
  <si>
    <t>CHILDS LILLIE K</t>
  </si>
  <si>
    <t>402 GUN CLUB ROAD</t>
  </si>
  <si>
    <t>E700000162</t>
  </si>
  <si>
    <t>CORNATZER DEBORAH P</t>
  </si>
  <si>
    <t>203 GUN CLUB ROAD</t>
  </si>
  <si>
    <t>27006-7847</t>
  </si>
  <si>
    <t>E700000159</t>
  </si>
  <si>
    <t>E400000019</t>
  </si>
  <si>
    <t>ATTERBERRY HELEN E ETAL</t>
  </si>
  <si>
    <t>EATON JAMES A</t>
  </si>
  <si>
    <t>E600000081</t>
  </si>
  <si>
    <t>MCDANIEL BRIAN JAMES</t>
  </si>
  <si>
    <t>RIDDLE MARY KATE</t>
  </si>
  <si>
    <t>E60000008601</t>
  </si>
  <si>
    <t>E6040A0012</t>
  </si>
  <si>
    <t>BOWMAN KIM H</t>
  </si>
  <si>
    <t>143 TIMBER LANE</t>
  </si>
  <si>
    <t>E7060A0015</t>
  </si>
  <si>
    <t>PHILLIPS MICHAEL S</t>
  </si>
  <si>
    <t>PHILLIPS SHELLEN L</t>
  </si>
  <si>
    <t>106 WINCHESTER ROAD</t>
  </si>
  <si>
    <t>27006-7882</t>
  </si>
  <si>
    <t>E7060B0001</t>
  </si>
  <si>
    <t>GENTRY CHRISTINA LEBEAU</t>
  </si>
  <si>
    <t>111 TIMBER CREEK ROAD</t>
  </si>
  <si>
    <t>E7060B0005</t>
  </si>
  <si>
    <t>BARNEY TENA L</t>
  </si>
  <si>
    <t>141 TIMBER CREEK ROAD</t>
  </si>
  <si>
    <t>E7060B0006</t>
  </si>
  <si>
    <t>STRICKLAND MARK D</t>
  </si>
  <si>
    <t>STRICKLAND SHERRY B</t>
  </si>
  <si>
    <t>143 TIMBER CREEK ROAD</t>
  </si>
  <si>
    <t>E7130A0002</t>
  </si>
  <si>
    <t>FUNDERBURK TERRY L</t>
  </si>
  <si>
    <t>FUNDERBURK BEVERLY J</t>
  </si>
  <si>
    <t>119 SOMERSET COURT</t>
  </si>
  <si>
    <t>27006-7471</t>
  </si>
  <si>
    <t>E6050A0012</t>
  </si>
  <si>
    <t>HUTTON PATRICK N</t>
  </si>
  <si>
    <t>HUTTON ANGIE R</t>
  </si>
  <si>
    <t>178 SHALLOWBROOK DRIVE</t>
  </si>
  <si>
    <t>E7130A0012</t>
  </si>
  <si>
    <t>HASKIN BRIAN W</t>
  </si>
  <si>
    <t>HASKIN WENDY J</t>
  </si>
  <si>
    <t>129 SAVANNAH COURT</t>
  </si>
  <si>
    <t>E7130A0016</t>
  </si>
  <si>
    <t>DUNN DONNA A</t>
  </si>
  <si>
    <t>142 SAVANNAH COURT</t>
  </si>
  <si>
    <t>E7130A0018</t>
  </si>
  <si>
    <t>NORMAN JANSON BAYNE</t>
  </si>
  <si>
    <t>NORMAN AMY BETH</t>
  </si>
  <si>
    <t>128 SAVANNAH COURT</t>
  </si>
  <si>
    <t>27006-7513</t>
  </si>
  <si>
    <t>E7130A0019</t>
  </si>
  <si>
    <t>STILES ALAN D</t>
  </si>
  <si>
    <t>STILES BARBARA</t>
  </si>
  <si>
    <t>114 SAVANNAH COURT</t>
  </si>
  <si>
    <t>E7150A0004</t>
  </si>
  <si>
    <t>FRYE BENJAMIN W</t>
  </si>
  <si>
    <t>FRYE LORI</t>
  </si>
  <si>
    <t>152 LIVE OAKS RD</t>
  </si>
  <si>
    <t>E7150A0005</t>
  </si>
  <si>
    <t>RATLEDGE L MARSHALL</t>
  </si>
  <si>
    <t>RATLEDGE KIMBERLY W</t>
  </si>
  <si>
    <t>150 LIVE OAKS ROAD</t>
  </si>
  <si>
    <t>E7150A0006</t>
  </si>
  <si>
    <t>BROWDER BENJAMIN T JR</t>
  </si>
  <si>
    <t>BROWDER ANN O</t>
  </si>
  <si>
    <t>138 LIVE OAKS RD</t>
  </si>
  <si>
    <t>E6110A0015</t>
  </si>
  <si>
    <t>BEATTY JOHN E</t>
  </si>
  <si>
    <t>BEATTY BETH J</t>
  </si>
  <si>
    <t>207 FOX RUN DRIVE</t>
  </si>
  <si>
    <t>27028-9502</t>
  </si>
  <si>
    <t>E6110A0018</t>
  </si>
  <si>
    <t>LESZCZUK ANNA</t>
  </si>
  <si>
    <t>LESZCZUK SLAWOMIR</t>
  </si>
  <si>
    <t>195 FOX RUN DRIVE</t>
  </si>
  <si>
    <t>E80000000201</t>
  </si>
  <si>
    <t>MYERS EARL F</t>
  </si>
  <si>
    <t>965 BEAUCHAMP ROAD</t>
  </si>
  <si>
    <t>E8160A0003</t>
  </si>
  <si>
    <t>RAYBURN DAVID LEE</t>
  </si>
  <si>
    <t>RAYBURN DARLENE YVONNNE</t>
  </si>
  <si>
    <t>123 MEADOWS EDGE DRIVE</t>
  </si>
  <si>
    <t>E8160A0004</t>
  </si>
  <si>
    <t>GENTRY ALLEN G</t>
  </si>
  <si>
    <t>BOYLE PAMELA J</t>
  </si>
  <si>
    <t>133 MEADOWS EDGE DRIVE</t>
  </si>
  <si>
    <t>E8160A0005</t>
  </si>
  <si>
    <t>KELLY PAUL EDWARD JR</t>
  </si>
  <si>
    <t>KELLY LAURA BROCK</t>
  </si>
  <si>
    <t>145 MEADOWS EDGE DRIVE</t>
  </si>
  <si>
    <t>E8160A0008</t>
  </si>
  <si>
    <t>ESTBY CHRISTOPHER J</t>
  </si>
  <si>
    <t>ESTBY DEBRA B</t>
  </si>
  <si>
    <t>167 MEADOWS EDGE DRIVE</t>
  </si>
  <si>
    <t>E8160A0021</t>
  </si>
  <si>
    <t>RARESHIDE STEPHEN W</t>
  </si>
  <si>
    <t>RARESHIDE MELISSA A</t>
  </si>
  <si>
    <t>152 MEADOWS EDGE DRIVE</t>
  </si>
  <si>
    <t>E8160A0017</t>
  </si>
  <si>
    <t>MORTON DAVID BRACK</t>
  </si>
  <si>
    <t>MORTON BETH BURTON</t>
  </si>
  <si>
    <t>127 BROOKMEAD COURT</t>
  </si>
  <si>
    <t>E6110A0019</t>
  </si>
  <si>
    <t>HUMPHRIES RANDALL D</t>
  </si>
  <si>
    <t>HUMPHRIES DEBRA J</t>
  </si>
  <si>
    <t>193 FOX RUN DRIVE</t>
  </si>
  <si>
    <t>E90000002101</t>
  </si>
  <si>
    <t>OAK VALLEY HOME OWNERS ASSOC</t>
  </si>
  <si>
    <t>% ASSOC MGMT GRP OF FORSYTH</t>
  </si>
  <si>
    <t>PO BOX 10265-ATTN LUANNE WHITE</t>
  </si>
  <si>
    <t>27404-0000</t>
  </si>
  <si>
    <t>E90000045901</t>
  </si>
  <si>
    <t>E90000013501</t>
  </si>
  <si>
    <t>E90000000101</t>
  </si>
  <si>
    <t>E80000001209</t>
  </si>
  <si>
    <t>E80000001210</t>
  </si>
  <si>
    <t>ST ANDREWS AT OAK VALLEY ASSOC</t>
  </si>
  <si>
    <t>424 UTILITY DR</t>
  </si>
  <si>
    <t>27012-8397</t>
  </si>
  <si>
    <t>E900000592</t>
  </si>
  <si>
    <t>PATEL SHAILESH B</t>
  </si>
  <si>
    <t>106 CHURCH STEEPLE DRIVE</t>
  </si>
  <si>
    <t>E70000000903</t>
  </si>
  <si>
    <t>E7140A0009</t>
  </si>
  <si>
    <t>ROGERS ROBERT C</t>
  </si>
  <si>
    <t>ROGERS MARGARET S</t>
  </si>
  <si>
    <t>144 GRAYWOOD COURT</t>
  </si>
  <si>
    <t>E7140A0011</t>
  </si>
  <si>
    <t>CASEY DAVID D</t>
  </si>
  <si>
    <t>CASEY SHANNON B</t>
  </si>
  <si>
    <t>160 GRAYWOOD COURT</t>
  </si>
  <si>
    <t>E7140A0023</t>
  </si>
  <si>
    <t>MUA JOHN PAUL</t>
  </si>
  <si>
    <t>MUA JOYCE JACOB</t>
  </si>
  <si>
    <t>152 REDMEADOW DRIVE</t>
  </si>
  <si>
    <t>27006-7978</t>
  </si>
  <si>
    <t>E7140A0025</t>
  </si>
  <si>
    <t>CARTER CHAD BRADY</t>
  </si>
  <si>
    <t>CARTER MONNETTE FRYE</t>
  </si>
  <si>
    <t>172 REDMEADOW DRIVE</t>
  </si>
  <si>
    <t>E900000612</t>
  </si>
  <si>
    <t>STEWART CHRISTOPHER S</t>
  </si>
  <si>
    <t>STEWART SANDRA T</t>
  </si>
  <si>
    <t>106 EAST EDEN COURSE DRIVE</t>
  </si>
  <si>
    <t>E900000613</t>
  </si>
  <si>
    <t>KOKOSKI ROBERT A</t>
  </si>
  <si>
    <t>KOKOSKI KRISTINE K</t>
  </si>
  <si>
    <t>110 EAST EDEN COURSE DRIVE</t>
  </si>
  <si>
    <t>E900000614</t>
  </si>
  <si>
    <t>DELLINGER ROGER C</t>
  </si>
  <si>
    <t>DELLINGER DOROTHY F</t>
  </si>
  <si>
    <t>114 EAST EDEN COURSE DRIVE</t>
  </si>
  <si>
    <t>27006-7569</t>
  </si>
  <si>
    <t>E900000615</t>
  </si>
  <si>
    <t>TUTTLE HORACE GAIL</t>
  </si>
  <si>
    <t>TUTTLE NANCY OWEN</t>
  </si>
  <si>
    <t>115 EAST EDEN COURSE DRIVE</t>
  </si>
  <si>
    <t>E700000043</t>
  </si>
  <si>
    <t>CARPENTER THELMA H</t>
  </si>
  <si>
    <t>1124 THURMOND STREET</t>
  </si>
  <si>
    <t>E70000005701</t>
  </si>
  <si>
    <t>DUNCAN KENNETH P</t>
  </si>
  <si>
    <t>DUNCAN JOY R</t>
  </si>
  <si>
    <t>540 JUNEY BEAUCHAMP ROAD</t>
  </si>
  <si>
    <t>E900000619</t>
  </si>
  <si>
    <t>JONES RICHARD W</t>
  </si>
  <si>
    <t>JONES MARY FAYE</t>
  </si>
  <si>
    <t>107 CHURCH STEEPLE DRIVE</t>
  </si>
  <si>
    <t>27006-7568</t>
  </si>
  <si>
    <t>I80000004604</t>
  </si>
  <si>
    <t>SEAFORD KIM H</t>
  </si>
  <si>
    <t>SEAFORD PAULA L</t>
  </si>
  <si>
    <t>589 NC HIGHWAY 801 SOUTH</t>
  </si>
  <si>
    <t>27006-7632</t>
  </si>
  <si>
    <t>E80000001307</t>
  </si>
  <si>
    <t>E80000001401</t>
  </si>
  <si>
    <t>CORNATZER STACY LEE</t>
  </si>
  <si>
    <t>1820 UNDERPASS ROAD</t>
  </si>
  <si>
    <t>E800000015</t>
  </si>
  <si>
    <t>E80000001706</t>
  </si>
  <si>
    <t>FREEMAN JOSEPH A</t>
  </si>
  <si>
    <t>FREEMAN SUSAN H</t>
  </si>
  <si>
    <t>1346 UNDERPASS ROAD</t>
  </si>
  <si>
    <t>27006-7532</t>
  </si>
  <si>
    <t>E80000001708</t>
  </si>
  <si>
    <t>SEATS RICHARD S</t>
  </si>
  <si>
    <t>SEATS BRENDA D</t>
  </si>
  <si>
    <t>1404 UNDERPASS ROAD</t>
  </si>
  <si>
    <t>E800000096</t>
  </si>
  <si>
    <t>BINGHAM KEN CARTER</t>
  </si>
  <si>
    <t>BINGHAM ELIZABETH CROWELL</t>
  </si>
  <si>
    <t>600 NC HIGHWAY 801 SOUTH</t>
  </si>
  <si>
    <t>27006-7633</t>
  </si>
  <si>
    <t>K80000000109</t>
  </si>
  <si>
    <t>K900000001</t>
  </si>
  <si>
    <t>E700000083</t>
  </si>
  <si>
    <t>ARMSWORTHY JERRY E</t>
  </si>
  <si>
    <t>ARMSWORTHY BARBARA J</t>
  </si>
  <si>
    <t>4512 US HIGHWAY 158</t>
  </si>
  <si>
    <t>E8020A0010</t>
  </si>
  <si>
    <t>MATTHEWS FRANKIE R</t>
  </si>
  <si>
    <t>MATTHEWS BRENDA D</t>
  </si>
  <si>
    <t>181 RAINTREE ROAD</t>
  </si>
  <si>
    <t>E8020A0011</t>
  </si>
  <si>
    <t>CLARK CHESTER FRANK JR</t>
  </si>
  <si>
    <t>191 RAINTREE ROAD</t>
  </si>
  <si>
    <t>27006-7627</t>
  </si>
  <si>
    <t>E8020A0019</t>
  </si>
  <si>
    <t>REYNOLDS GLENN M</t>
  </si>
  <si>
    <t>REYNOLDS ALICE M</t>
  </si>
  <si>
    <t>111 RAINTREE COURT</t>
  </si>
  <si>
    <t>E8020A0021</t>
  </si>
  <si>
    <t>MARTIN JAN B</t>
  </si>
  <si>
    <t>119 RAINTREE COURT</t>
  </si>
  <si>
    <t>E8020A0020</t>
  </si>
  <si>
    <t>E8020A0024</t>
  </si>
  <si>
    <t>DAVIS JOHN J JR</t>
  </si>
  <si>
    <t>DAVIS MELISSA W</t>
  </si>
  <si>
    <t>158 RAINTREE DRIVE</t>
  </si>
  <si>
    <t>E8020A0025</t>
  </si>
  <si>
    <t>SWADE TERRY A</t>
  </si>
  <si>
    <t>SWADE JUDY L</t>
  </si>
  <si>
    <t>150 RAINTREE ROAD</t>
  </si>
  <si>
    <t>E70000008802</t>
  </si>
  <si>
    <t>MCCULLOUGH JERRY C</t>
  </si>
  <si>
    <t>MCCULLOUGH JOYCE J</t>
  </si>
  <si>
    <t>585 STATE ROAD</t>
  </si>
  <si>
    <t>CHINA GROVE</t>
  </si>
  <si>
    <t>28023-6666</t>
  </si>
  <si>
    <t>E8020A0031</t>
  </si>
  <si>
    <t>REYNOLDS WAYNE E</t>
  </si>
  <si>
    <t>REYNOLDS PAM S</t>
  </si>
  <si>
    <t>645 NC HIGHWAY 801 SOUTH</t>
  </si>
  <si>
    <t>E8020A0032</t>
  </si>
  <si>
    <t>F600000021</t>
  </si>
  <si>
    <t>B30000002503</t>
  </si>
  <si>
    <t>E8020B0001</t>
  </si>
  <si>
    <t>HOLLAND FREDERIC A J</t>
  </si>
  <si>
    <t>HOLLAND ANNE S</t>
  </si>
  <si>
    <t>PO BOX 123</t>
  </si>
  <si>
    <t>E8060A000301</t>
  </si>
  <si>
    <t>BOOTH JOHN M</t>
  </si>
  <si>
    <t>155 RIVER ROAD</t>
  </si>
  <si>
    <t>E8060A0004</t>
  </si>
  <si>
    <t>KUELL EDWARD G</t>
  </si>
  <si>
    <t>KUELL MARGARET JULIA MOE</t>
  </si>
  <si>
    <t>171 RIVER ROAD</t>
  </si>
  <si>
    <t>E8060A0007</t>
  </si>
  <si>
    <t>THOMPSON ARLENE EDWARDS</t>
  </si>
  <si>
    <t>209 RIVER ROAD</t>
  </si>
  <si>
    <t>E8060A0008</t>
  </si>
  <si>
    <t>WILKERSON JACK E JR</t>
  </si>
  <si>
    <t>WILKERSON SALLY P</t>
  </si>
  <si>
    <t>225 RIVER ROAD</t>
  </si>
  <si>
    <t>E8060A000901</t>
  </si>
  <si>
    <t>BOWMAN THOMAS M</t>
  </si>
  <si>
    <t>BOWMAN BONNIE F</t>
  </si>
  <si>
    <t>247 RIVER ROAD</t>
  </si>
  <si>
    <t>27006-7602</t>
  </si>
  <si>
    <t>E700000096</t>
  </si>
  <si>
    <t>E700000110</t>
  </si>
  <si>
    <t>E70000012301</t>
  </si>
  <si>
    <t>GOHEEN PAULA BOGER</t>
  </si>
  <si>
    <t>532 BALTIMORE ROAD</t>
  </si>
  <si>
    <t>E700000125</t>
  </si>
  <si>
    <t>E700000138</t>
  </si>
  <si>
    <t>KARLSON KARL H</t>
  </si>
  <si>
    <t>KARLSON MARILYN N</t>
  </si>
  <si>
    <t>1087 BEAUCHAMP ROAD</t>
  </si>
  <si>
    <t>E800000002</t>
  </si>
  <si>
    <t>E60000007201</t>
  </si>
  <si>
    <t>SPRINKLE JAMES P</t>
  </si>
  <si>
    <t>4023 US HIGHWAY 158</t>
  </si>
  <si>
    <t>27028-7847</t>
  </si>
  <si>
    <t>E7060A0008</t>
  </si>
  <si>
    <t>LOHR RICHARD BURTON</t>
  </si>
  <si>
    <t>156 WINCHESTER ROAD</t>
  </si>
  <si>
    <t>E8070A0027</t>
  </si>
  <si>
    <t>TILLEY PATRICIA A SIMMONS</t>
  </si>
  <si>
    <t>1797 UNDERPASS ROAD</t>
  </si>
  <si>
    <t>E8070A0028</t>
  </si>
  <si>
    <t>GREENWOOD ROBBIN W</t>
  </si>
  <si>
    <t>GREENWOOD DAWN S</t>
  </si>
  <si>
    <t>1829 UNDERPASS ROAD</t>
  </si>
  <si>
    <t>27006-7560</t>
  </si>
  <si>
    <t>E8070A002801</t>
  </si>
  <si>
    <t>BRADLEY MELINDA K</t>
  </si>
  <si>
    <t>1849 UNDERPASS ROAD</t>
  </si>
  <si>
    <t>E8070A0030</t>
  </si>
  <si>
    <t>DALTON EDNA KEATON</t>
  </si>
  <si>
    <t>1901 UNDERPASS ROAD</t>
  </si>
  <si>
    <t>27006-7561</t>
  </si>
  <si>
    <t>E8070A003001</t>
  </si>
  <si>
    <t>MILLER JERRY W</t>
  </si>
  <si>
    <t>MILLER SUE C</t>
  </si>
  <si>
    <t>1889 UNDERPASS ROAD</t>
  </si>
  <si>
    <t>E8070B0001</t>
  </si>
  <si>
    <t>HUNTER WILLIAM ALFRED III</t>
  </si>
  <si>
    <t>HUNTER KAREN SUE K</t>
  </si>
  <si>
    <t>1710 UNDERPASS ROAD</t>
  </si>
  <si>
    <t>E8070B0004</t>
  </si>
  <si>
    <t>MEACHAM GARY M</t>
  </si>
  <si>
    <t>MEACHAM SHERRY W</t>
  </si>
  <si>
    <t>159 ASHBURTON DRIVE</t>
  </si>
  <si>
    <t>27006-7401</t>
  </si>
  <si>
    <t>E8070B0005</t>
  </si>
  <si>
    <t>SANTOYO JOSE G</t>
  </si>
  <si>
    <t>CARDENAS MARIA A</t>
  </si>
  <si>
    <t>111 WEST VALLEY VIEW ROAD</t>
  </si>
  <si>
    <t>E8070B0007</t>
  </si>
  <si>
    <t>KELLOGG TED G</t>
  </si>
  <si>
    <t>KELLOGG CHATTIE D</t>
  </si>
  <si>
    <t>109 EAST VALLEY VIEW ROAD</t>
  </si>
  <si>
    <t>27006-7620</t>
  </si>
  <si>
    <t>E7060A0011</t>
  </si>
  <si>
    <t>WEBER BONNIE L</t>
  </si>
  <si>
    <t>132 WINCHESTER ROAD</t>
  </si>
  <si>
    <t>E8100A0004</t>
  </si>
  <si>
    <t>RANDLEMAN LARRY WAYNE</t>
  </si>
  <si>
    <t>RANDLEMAN RACHEL GARRISON</t>
  </si>
  <si>
    <t>839 NC HIGHWAY 801 SOUTH</t>
  </si>
  <si>
    <t>27006-9473</t>
  </si>
  <si>
    <t>E8100A0005</t>
  </si>
  <si>
    <t>CRANFILL LARRY W</t>
  </si>
  <si>
    <t>CRANFILL PATRICIA M</t>
  </si>
  <si>
    <t>857 NC HIGHWAY 801 SOUTH</t>
  </si>
  <si>
    <t>27006-7804</t>
  </si>
  <si>
    <t>E8100A0009</t>
  </si>
  <si>
    <t>CLINE GERALD J</t>
  </si>
  <si>
    <t>CLINE BRENDA S</t>
  </si>
  <si>
    <t>248 OVERLOOK DRIVE</t>
  </si>
  <si>
    <t>27006-7625</t>
  </si>
  <si>
    <t>E8100A0007</t>
  </si>
  <si>
    <t>E8100A0010</t>
  </si>
  <si>
    <t>CLINE STEVEN J</t>
  </si>
  <si>
    <t>CLINE MARY S</t>
  </si>
  <si>
    <t>232 OVERLOOK DRIVE</t>
  </si>
  <si>
    <t>E8100A0014</t>
  </si>
  <si>
    <t>CASTROVINCI JOHN J</t>
  </si>
  <si>
    <t>CASTROVINCI KARLA O</t>
  </si>
  <si>
    <t>172 OVERLOOK DRIVE</t>
  </si>
  <si>
    <t>27006-7624</t>
  </si>
  <si>
    <t>E8100B0001</t>
  </si>
  <si>
    <t>BARNES RICHARD W</t>
  </si>
  <si>
    <t>BARNES CAROL K</t>
  </si>
  <si>
    <t>1733 UNDERPASS RD</t>
  </si>
  <si>
    <t>E8100B0003</t>
  </si>
  <si>
    <t>BROWN ROBERT FRANKLIN</t>
  </si>
  <si>
    <t>BROWN RUTH ANN</t>
  </si>
  <si>
    <t>167 OVERLOOK DRIVE</t>
  </si>
  <si>
    <t>E7130A0010</t>
  </si>
  <si>
    <t>WHEELER JOHN ETAL</t>
  </si>
  <si>
    <t>WHEELER BARBARA</t>
  </si>
  <si>
    <t>109 SAVANNAH COURT</t>
  </si>
  <si>
    <t>F800000001</t>
  </si>
  <si>
    <t>E800000001</t>
  </si>
  <si>
    <t>E80000000202</t>
  </si>
  <si>
    <t>E900000600</t>
  </si>
  <si>
    <t>BARNEY GARY</t>
  </si>
  <si>
    <t>BARNEY DORIS</t>
  </si>
  <si>
    <t>134 WEST EDEN COURSE DRIVE</t>
  </si>
  <si>
    <t>27006-7570</t>
  </si>
  <si>
    <t>E900000606</t>
  </si>
  <si>
    <t>DAVID LISA R</t>
  </si>
  <si>
    <t>MATTINGLY KERRY PATRICK</t>
  </si>
  <si>
    <t>180 ARNOLD PALMER DRIVE</t>
  </si>
  <si>
    <t>E900000561</t>
  </si>
  <si>
    <t>E900000608</t>
  </si>
  <si>
    <t>HALES TERRY L</t>
  </si>
  <si>
    <t>HALES MARY H</t>
  </si>
  <si>
    <t>115 WEST EDEN COURSE DRIVE</t>
  </si>
  <si>
    <t>E900000610</t>
  </si>
  <si>
    <t>BURCIN JOHN M</t>
  </si>
  <si>
    <t>105 WEST EDEN COURSE DRIVE</t>
  </si>
  <si>
    <t>E8110A0006</t>
  </si>
  <si>
    <t>NEELEY DONNA G</t>
  </si>
  <si>
    <t>173 WESTRIDGE ROAD</t>
  </si>
  <si>
    <t>E8110A0007</t>
  </si>
  <si>
    <t>HASHEM MOHI</t>
  </si>
  <si>
    <t>179 WESTRIDGE ROAD</t>
  </si>
  <si>
    <t>E8110A0009</t>
  </si>
  <si>
    <t>FULFORD RAYMOND JOSEPH</t>
  </si>
  <si>
    <t>FULFORD SUSAN LUREEN</t>
  </si>
  <si>
    <t>1553 UNDERPASS ROAD</t>
  </si>
  <si>
    <t>E8110A0011</t>
  </si>
  <si>
    <t>SNIDER DAVID C</t>
  </si>
  <si>
    <t>SNIDER PEGGY H</t>
  </si>
  <si>
    <t>1579 UNDERPASS ROAD</t>
  </si>
  <si>
    <t>E900000617</t>
  </si>
  <si>
    <t>LOESER GARY L</t>
  </si>
  <si>
    <t>LOESER AUDREY L</t>
  </si>
  <si>
    <t>119 CHURCH STEEPLE DRIVE</t>
  </si>
  <si>
    <t>E900000618</t>
  </si>
  <si>
    <t>BIBBINS LAURENCE MARK</t>
  </si>
  <si>
    <t>BIBBINS JOHNNI STROUP</t>
  </si>
  <si>
    <t>113 CHURCH STEEPLE DRIVE</t>
  </si>
  <si>
    <t>E8110B0004</t>
  </si>
  <si>
    <t>SWARTZ SANDRA JEAN</t>
  </si>
  <si>
    <t>SWARTZ LARRY J</t>
  </si>
  <si>
    <t>1602 UNDERPASS ROAD</t>
  </si>
  <si>
    <t>27006-7535</t>
  </si>
  <si>
    <t>E8110B0005</t>
  </si>
  <si>
    <t>MOSER CARL W</t>
  </si>
  <si>
    <t>MOSER SHARON B</t>
  </si>
  <si>
    <t>109 LAKESIDE DRIVE</t>
  </si>
  <si>
    <t>27006-7604</t>
  </si>
  <si>
    <t>E8110B0008</t>
  </si>
  <si>
    <t>HUNTER ERIC A</t>
  </si>
  <si>
    <t>HUNTER SANDRA M</t>
  </si>
  <si>
    <t>131 JORDAN LANE</t>
  </si>
  <si>
    <t>E8110B0009</t>
  </si>
  <si>
    <t>SIZEMORE MARK A</t>
  </si>
  <si>
    <t>SIZEMORE MARY S</t>
  </si>
  <si>
    <t>130 JORDAN LANE</t>
  </si>
  <si>
    <t>E8020A0009</t>
  </si>
  <si>
    <t>GRAHAM LARRY D</t>
  </si>
  <si>
    <t>GRAHAM SYLVIA A</t>
  </si>
  <si>
    <t>E8020A0030</t>
  </si>
  <si>
    <t>TEDDER MARK A</t>
  </si>
  <si>
    <t>TEDDER JO ANN</t>
  </si>
  <si>
    <t>639 NC HIGHWAY 801 SOUTH</t>
  </si>
  <si>
    <t>E8060B0006</t>
  </si>
  <si>
    <t>ANGE MARILYN LOUISE</t>
  </si>
  <si>
    <t>158 RIVER ROAD</t>
  </si>
  <si>
    <t>27006-7640</t>
  </si>
  <si>
    <t>E900000453</t>
  </si>
  <si>
    <t>WININGER JOHN DAVID</t>
  </si>
  <si>
    <t>WININGER SANDRA S</t>
  </si>
  <si>
    <t>116 S HIDDENBROOK DR</t>
  </si>
  <si>
    <t>E8110C0012</t>
  </si>
  <si>
    <t>CAIN JONATHAN RAY</t>
  </si>
  <si>
    <t>CAIN SUSAN CECIL</t>
  </si>
  <si>
    <t>225 WESTRIDGE ROAD</t>
  </si>
  <si>
    <t>E8110C0013</t>
  </si>
  <si>
    <t>LUSK STEPHEN M</t>
  </si>
  <si>
    <t>LUSK TINA L</t>
  </si>
  <si>
    <t>235 WESTRIDGE ROAD</t>
  </si>
  <si>
    <t>E8060B0007</t>
  </si>
  <si>
    <t>CLAPHAM BARBARA B</t>
  </si>
  <si>
    <t>140 RIVER ROAD</t>
  </si>
  <si>
    <t>E8110C0029</t>
  </si>
  <si>
    <t>IJAMES WALTER L JR</t>
  </si>
  <si>
    <t>138 WESTRIDGE ROAD</t>
  </si>
  <si>
    <t>E8110D0001</t>
  </si>
  <si>
    <t>UTT MICHAEL JEROME</t>
  </si>
  <si>
    <t>UTT JUDITH DARLENE</t>
  </si>
  <si>
    <t>118 EASTRIDGE COURT</t>
  </si>
  <si>
    <t>E8110D0003</t>
  </si>
  <si>
    <t>ROGERS JEFFREY BRIAN</t>
  </si>
  <si>
    <t>ROGERS MALYSA WATSON</t>
  </si>
  <si>
    <t>109 EAST RIDGE CIRCLE</t>
  </si>
  <si>
    <t>E8110D0004</t>
  </si>
  <si>
    <t>WOOD KEVIN LEE</t>
  </si>
  <si>
    <t>WOOD KIMBERLY NELSON</t>
  </si>
  <si>
    <t>117 EASTRIDGE COURT</t>
  </si>
  <si>
    <t>E8110D0005</t>
  </si>
  <si>
    <t>PETERSON CHARLES STEVEN</t>
  </si>
  <si>
    <t>PETERSON SIDNEY LEE</t>
  </si>
  <si>
    <t>131 EASTRIDGE COURT</t>
  </si>
  <si>
    <t>C8010A0165</t>
  </si>
  <si>
    <t>E8070A0001</t>
  </si>
  <si>
    <t>FRYE DOUGLAS ALAN</t>
  </si>
  <si>
    <t>1911 UNDERPASS ROAD</t>
  </si>
  <si>
    <t>I4130G0009</t>
  </si>
  <si>
    <t>ZAKAMAREK KAZIMIERZ</t>
  </si>
  <si>
    <t>ZAKAMAREK MARIA</t>
  </si>
  <si>
    <t>142 SPRINGFIELD DRIVE</t>
  </si>
  <si>
    <t>E8140A0008</t>
  </si>
  <si>
    <t>ADAMS JEFFRIE A</t>
  </si>
  <si>
    <t>ADAMS CYNTHIA F</t>
  </si>
  <si>
    <t>139 SPRINGFIELD DRIVE</t>
  </si>
  <si>
    <t>C7150A0001</t>
  </si>
  <si>
    <t>CIBELLI JOHN T</t>
  </si>
  <si>
    <t>CIBELLI TERESA R</t>
  </si>
  <si>
    <t>157 WOODBURN PLACE</t>
  </si>
  <si>
    <t>E8140A0015</t>
  </si>
  <si>
    <t>SIMMONS DAVID E</t>
  </si>
  <si>
    <t>SIMMONS SANDRA D</t>
  </si>
  <si>
    <t>187 COUNTRY CIRCLE</t>
  </si>
  <si>
    <t>E8140A0018</t>
  </si>
  <si>
    <t>BEAM AARON EAKER</t>
  </si>
  <si>
    <t>BEAM LORETTA LUTES</t>
  </si>
  <si>
    <t>155 COUNTRY CIRCLE</t>
  </si>
  <si>
    <t>27006-7456</t>
  </si>
  <si>
    <t>E8140A0020</t>
  </si>
  <si>
    <t>WOLVERTON CHRISTOPHER N</t>
  </si>
  <si>
    <t>WOLVERTON KATHY M</t>
  </si>
  <si>
    <t>111 COUNTRY CIRCLE</t>
  </si>
  <si>
    <t>E8070A0012</t>
  </si>
  <si>
    <t>CHILTON GARY W</t>
  </si>
  <si>
    <t>CHILTON NANCY D</t>
  </si>
  <si>
    <t>179 WHITEHEAD DRIVE</t>
  </si>
  <si>
    <t>E8140A0025</t>
  </si>
  <si>
    <t>FLETCHER R LAWRENCE</t>
  </si>
  <si>
    <t>FLETCHER ROBIN B</t>
  </si>
  <si>
    <t>138 COUNTRY CIRCLE</t>
  </si>
  <si>
    <t>E8150A0006</t>
  </si>
  <si>
    <t>LAYELL JOHN B</t>
  </si>
  <si>
    <t>990 NC HIGHWAY 801 SOUTH</t>
  </si>
  <si>
    <t>27006-7805</t>
  </si>
  <si>
    <t>E8150A0015</t>
  </si>
  <si>
    <t>BRYANT SHERRY G</t>
  </si>
  <si>
    <t>381 HILLCREST DRIVE</t>
  </si>
  <si>
    <t>E8070A0018</t>
  </si>
  <si>
    <t>ALLEN MICHAEL J</t>
  </si>
  <si>
    <t>ALLEN REGINA S</t>
  </si>
  <si>
    <t>158 JACKSON DRIVE</t>
  </si>
  <si>
    <t>27006-7556</t>
  </si>
  <si>
    <t>E8150A0020</t>
  </si>
  <si>
    <t>HOLDER LUTHER FRANK</t>
  </si>
  <si>
    <t>HOLDER ELIZABETH JANE</t>
  </si>
  <si>
    <t>449 HILLCREST DRIVE</t>
  </si>
  <si>
    <t>27028-7609</t>
  </si>
  <si>
    <t>E8150A0021</t>
  </si>
  <si>
    <t>E8150A0022</t>
  </si>
  <si>
    <t>E8160A0032</t>
  </si>
  <si>
    <t>BUCHANAN CAROLE</t>
  </si>
  <si>
    <t>LYBROOK WILLIAM</t>
  </si>
  <si>
    <t>123 MEADOW CREEK COURT</t>
  </si>
  <si>
    <t>E900000004</t>
  </si>
  <si>
    <t>BROCKMAN ERIC J</t>
  </si>
  <si>
    <t>BROCKMAN TONI L</t>
  </si>
  <si>
    <t>106 MONARCH COURT</t>
  </si>
  <si>
    <t>27006-8535</t>
  </si>
  <si>
    <t>E900000007</t>
  </si>
  <si>
    <t>STANLEY RICKY A</t>
  </si>
  <si>
    <t>STANLEY JANET M</t>
  </si>
  <si>
    <t>120 MONARCH COURT</t>
  </si>
  <si>
    <t>E900000006</t>
  </si>
  <si>
    <t>E900000008</t>
  </si>
  <si>
    <t>HYACK RANDALL G</t>
  </si>
  <si>
    <t>HYACK JEAN M</t>
  </si>
  <si>
    <t>121 MONARCH COURT</t>
  </si>
  <si>
    <t>E900000010</t>
  </si>
  <si>
    <t>CHASE DOUGLAS B</t>
  </si>
  <si>
    <t>CHASE VIRGINIA M</t>
  </si>
  <si>
    <t>158 OAKMONT DRIVE</t>
  </si>
  <si>
    <t>E70000016801</t>
  </si>
  <si>
    <t>CULBRETH DAVID K</t>
  </si>
  <si>
    <t>CULBRETH JUNE L</t>
  </si>
  <si>
    <t>4718 US HIGHWAY 158</t>
  </si>
  <si>
    <t>E900000012</t>
  </si>
  <si>
    <t>CASSEL MICHAEL D</t>
  </si>
  <si>
    <t>CASSEL CHERYL C</t>
  </si>
  <si>
    <t>182 OAKMONT DRIVE</t>
  </si>
  <si>
    <t>E900000014</t>
  </si>
  <si>
    <t>SEQUEIRA DR ANNA J</t>
  </si>
  <si>
    <t>SEQUEIRA PETER D</t>
  </si>
  <si>
    <t>196 OAKMONT DRIVE</t>
  </si>
  <si>
    <t>27006-7098</t>
  </si>
  <si>
    <t>E900000016</t>
  </si>
  <si>
    <t>WALTON JOSEPH F JR</t>
  </si>
  <si>
    <t>WALTON DONNA M</t>
  </si>
  <si>
    <t>208 OAKMONT DRIVE</t>
  </si>
  <si>
    <t>E900000018</t>
  </si>
  <si>
    <t>KROUSTALIS CHRISTOPHER S</t>
  </si>
  <si>
    <t>KROUSTALIS KIA P</t>
  </si>
  <si>
    <t>218 OAKMONT DRIVE</t>
  </si>
  <si>
    <t>E900000020</t>
  </si>
  <si>
    <t>KINGMAN GIL</t>
  </si>
  <si>
    <t>KINGMAN CHERYL</t>
  </si>
  <si>
    <t>223 OAKMONT DRIVE</t>
  </si>
  <si>
    <t>E900000030</t>
  </si>
  <si>
    <t>ESSIC ANNA M</t>
  </si>
  <si>
    <t>111 OAKMONT COURT</t>
  </si>
  <si>
    <t>E700000170</t>
  </si>
  <si>
    <t>SMITH TRAVIS C JR</t>
  </si>
  <si>
    <t>4728 US HIGHWAY 158</t>
  </si>
  <si>
    <t>E900000036</t>
  </si>
  <si>
    <t>TAYLOR E CARL</t>
  </si>
  <si>
    <t>TAYLOR GERALDEAN</t>
  </si>
  <si>
    <t>119 OAKMONT DRIVE</t>
  </si>
  <si>
    <t>E900000037</t>
  </si>
  <si>
    <t>MERRIFIELD BILLIE DAVID</t>
  </si>
  <si>
    <t>MERRIFIELD CHRISTINE HITE</t>
  </si>
  <si>
    <t>108 SUNTREE DRIVE</t>
  </si>
  <si>
    <t>E900000051</t>
  </si>
  <si>
    <t>GUNTNER JOSEPH URBAN</t>
  </si>
  <si>
    <t>GUNTNER ELAINE KULIFAY</t>
  </si>
  <si>
    <t>106 SUNTREE COURT</t>
  </si>
  <si>
    <t>E900000053</t>
  </si>
  <si>
    <t>CHEEK WALTER A</t>
  </si>
  <si>
    <t>CHEEK BETH W</t>
  </si>
  <si>
    <t>114 SUNTREE COURT</t>
  </si>
  <si>
    <t>E900000055</t>
  </si>
  <si>
    <t>LOOS WILLIAM O</t>
  </si>
  <si>
    <t>LOOS MAUREEN KANE</t>
  </si>
  <si>
    <t>107 SUNTREE COURT</t>
  </si>
  <si>
    <t>E8070B0015</t>
  </si>
  <si>
    <t>BARBER THOMAS W</t>
  </si>
  <si>
    <t>BARBER BETH M</t>
  </si>
  <si>
    <t>129 RIVER ROAD</t>
  </si>
  <si>
    <t>E900000061</t>
  </si>
  <si>
    <t>KABEALO DAVID</t>
  </si>
  <si>
    <t>KABEALO LINDA</t>
  </si>
  <si>
    <t>115 SUNTREE ROAD</t>
  </si>
  <si>
    <t>E900000064</t>
  </si>
  <si>
    <t>HOLLODICK GEORGE E</t>
  </si>
  <si>
    <t>HOLLODICK PAMELA</t>
  </si>
  <si>
    <t>111 BAY HILL DRIVE</t>
  </si>
  <si>
    <t>27006-7183</t>
  </si>
  <si>
    <t>E900000070</t>
  </si>
  <si>
    <t>MOSER DONALD J</t>
  </si>
  <si>
    <t>MOSER PAMELA C</t>
  </si>
  <si>
    <t>146 BAY HILL DRIVE</t>
  </si>
  <si>
    <t>E900000080</t>
  </si>
  <si>
    <t>PHILLIPS STEPHEN J</t>
  </si>
  <si>
    <t>PHILLIPS NANCY K</t>
  </si>
  <si>
    <t>139 AVIARA DRIVE</t>
  </si>
  <si>
    <t>E8100B0010</t>
  </si>
  <si>
    <t>GRYDER DOUGLAS L</t>
  </si>
  <si>
    <t>GRYDER PATTI M</t>
  </si>
  <si>
    <t>1691 UNDERPASS ROAD</t>
  </si>
  <si>
    <t>E900000088</t>
  </si>
  <si>
    <t>CHAPMAN KENNETH ETHERIDGE</t>
  </si>
  <si>
    <t>CHAMPMAN TERRI HANESWORTH</t>
  </si>
  <si>
    <t>134 AVIARA DRIVE</t>
  </si>
  <si>
    <t>E900000090</t>
  </si>
  <si>
    <t>JONES DONALD ROBER</t>
  </si>
  <si>
    <t>JONES BONNIE GOODE</t>
  </si>
  <si>
    <t>117 KESWICK DRIVE</t>
  </si>
  <si>
    <t>27006-7271</t>
  </si>
  <si>
    <t>E900000093</t>
  </si>
  <si>
    <t>OBRIEN THOMAS J</t>
  </si>
  <si>
    <t>OBRIEN BEATRIZ A</t>
  </si>
  <si>
    <t>151 KESWICK DRIVE</t>
  </si>
  <si>
    <t>E900000096</t>
  </si>
  <si>
    <t>BLEVINS ANNETTE LYVONNE</t>
  </si>
  <si>
    <t>171 KESWICK DRIVE</t>
  </si>
  <si>
    <t>E900000098</t>
  </si>
  <si>
    <t>PETTORINI RICHARD A</t>
  </si>
  <si>
    <t>PETTORINI ANN E</t>
  </si>
  <si>
    <t>172 KESWICK DRIVE</t>
  </si>
  <si>
    <t>E900000102</t>
  </si>
  <si>
    <t>BOEHM JOHN DORSEY</t>
  </si>
  <si>
    <t>BOEHM PATRICIA ANN</t>
  </si>
  <si>
    <t>146 KESWICK DRIVE</t>
  </si>
  <si>
    <t>E900000104</t>
  </si>
  <si>
    <t>KLEIN JOHANNES W</t>
  </si>
  <si>
    <t>KLEIN ANITA R</t>
  </si>
  <si>
    <t>130 KESWICK DRIVE</t>
  </si>
  <si>
    <t>E900000105</t>
  </si>
  <si>
    <t>DENT JOSEPH B JR</t>
  </si>
  <si>
    <t>122 KESWICK DRIVE</t>
  </si>
  <si>
    <t>E8100B0025</t>
  </si>
  <si>
    <t>MARION DOUGLAS P</t>
  </si>
  <si>
    <t>MARION REBECCA H</t>
  </si>
  <si>
    <t>1647 UNDERPASS ROAD</t>
  </si>
  <si>
    <t>E8100B0028</t>
  </si>
  <si>
    <t>MCKEE JOHN RANKIN</t>
  </si>
  <si>
    <t>MCKEE JANE TALBERT</t>
  </si>
  <si>
    <t>122 WESTRIDGE DRIVE</t>
  </si>
  <si>
    <t>E8100C0001</t>
  </si>
  <si>
    <t>MARCOTULLIO RICHARD J</t>
  </si>
  <si>
    <t>MARCOTULLIO ELISABETH</t>
  </si>
  <si>
    <t>162 BROOKDALE DRIVE</t>
  </si>
  <si>
    <t>27006-7612</t>
  </si>
  <si>
    <t>H90000003801</t>
  </si>
  <si>
    <t>SMITH FRANKLIN BRENT</t>
  </si>
  <si>
    <t>SMITH GINA M</t>
  </si>
  <si>
    <t>110 KESWICK COURT</t>
  </si>
  <si>
    <t>E80000001001</t>
  </si>
  <si>
    <t>E900000113</t>
  </si>
  <si>
    <t>BUTLER STEPHEN R</t>
  </si>
  <si>
    <t>BUTLER RAQUEL</t>
  </si>
  <si>
    <t>201 KINGSMILL DRIVE</t>
  </si>
  <si>
    <t>E900000114</t>
  </si>
  <si>
    <t>WALTON MICHAEL D</t>
  </si>
  <si>
    <t>WALTON DIANE J</t>
  </si>
  <si>
    <t>207 KINGSMILL DRIVE</t>
  </si>
  <si>
    <t>E900000115</t>
  </si>
  <si>
    <t>PARRIS RICHARD L II</t>
  </si>
  <si>
    <t>PARRIS ELIZABETH F</t>
  </si>
  <si>
    <t>213 KINGSMILL DRIVE</t>
  </si>
  <si>
    <t>27006-7284</t>
  </si>
  <si>
    <t>E900000116</t>
  </si>
  <si>
    <t>ADAMS KENNETH J</t>
  </si>
  <si>
    <t>ADAMS PATRICIA A</t>
  </si>
  <si>
    <t>219 KINGSMILL DRIVE</t>
  </si>
  <si>
    <t>E900000117</t>
  </si>
  <si>
    <t>ENGSTROM WILLIAM GARY</t>
  </si>
  <si>
    <t>ENGSTROM LORAINE GRACE</t>
  </si>
  <si>
    <t>225 KINGSMILL DRIVE</t>
  </si>
  <si>
    <t>E900000124</t>
  </si>
  <si>
    <t>DUNCAN WILLIAM M</t>
  </si>
  <si>
    <t>DUNCAN SHAWN R</t>
  </si>
  <si>
    <t>114 KINGSMILL COURT</t>
  </si>
  <si>
    <t>E900000125</t>
  </si>
  <si>
    <t>ORTIZ FRANK</t>
  </si>
  <si>
    <t>ORTIZ JEANNIE</t>
  </si>
  <si>
    <t>108 KINGSMILL COURT</t>
  </si>
  <si>
    <t>E8100C0011</t>
  </si>
  <si>
    <t>CHEEK LOU ANNE B</t>
  </si>
  <si>
    <t>CHEEK KENNETH R</t>
  </si>
  <si>
    <t>241 OVERLOOK DRIVE</t>
  </si>
  <si>
    <t>E900000135</t>
  </si>
  <si>
    <t>BYRD JERRY A</t>
  </si>
  <si>
    <t>BYRD DEBBIE J</t>
  </si>
  <si>
    <t>307 KINGSMILL DRIVE</t>
  </si>
  <si>
    <t>27006-7285</t>
  </si>
  <si>
    <t>E900000140</t>
  </si>
  <si>
    <t>SULLIVAN TIMOTHY J JR</t>
  </si>
  <si>
    <t>SULLIVAN MARY P</t>
  </si>
  <si>
    <t>387 KINGSMILL DRIVE</t>
  </si>
  <si>
    <t>E900000144</t>
  </si>
  <si>
    <t>SCHIMPF LISA HOLDER</t>
  </si>
  <si>
    <t>126 WHITE EAGLE COURT</t>
  </si>
  <si>
    <t>27006-7276</t>
  </si>
  <si>
    <t>E900000146</t>
  </si>
  <si>
    <t>MACEY WADE T JR</t>
  </si>
  <si>
    <t>MACEY BETH T</t>
  </si>
  <si>
    <t>120 WHITE EAGLE COURT</t>
  </si>
  <si>
    <t>E900000149</t>
  </si>
  <si>
    <t>PISCIOTTA JAMES T</t>
  </si>
  <si>
    <t>PISCIOTTA ERIN L</t>
  </si>
  <si>
    <t>403 KINGSMILL DRIVE</t>
  </si>
  <si>
    <t>27006-7286</t>
  </si>
  <si>
    <t>E8100C0012</t>
  </si>
  <si>
    <t>NEWSOM KIM A SR</t>
  </si>
  <si>
    <t>NEWSOM CHERRY S</t>
  </si>
  <si>
    <t>249 OVERLOOK DRIVE</t>
  </si>
  <si>
    <t>E900000155</t>
  </si>
  <si>
    <t>JOYNER PAMELA G</t>
  </si>
  <si>
    <t>143 LONETREE DRIVE</t>
  </si>
  <si>
    <t>E900000156</t>
  </si>
  <si>
    <t>PACK RICHIE L</t>
  </si>
  <si>
    <t>PACK YOLANDA L</t>
  </si>
  <si>
    <t>151 LONETREE DRIVE</t>
  </si>
  <si>
    <t>E900000164</t>
  </si>
  <si>
    <t>GANTT RONALD B</t>
  </si>
  <si>
    <t>144 LONETREE DRIVE</t>
  </si>
  <si>
    <t>E900000165</t>
  </si>
  <si>
    <t>CLAYBROOK SCOTT D</t>
  </si>
  <si>
    <t>CLAYBROOK JANICE W</t>
  </si>
  <si>
    <t>138 LONETREE DRIVE</t>
  </si>
  <si>
    <t>E900000168</t>
  </si>
  <si>
    <t>HORNADAY CHARLES STEPHEN</t>
  </si>
  <si>
    <t>115 LONETREE COURT</t>
  </si>
  <si>
    <t>E900000170</t>
  </si>
  <si>
    <t>COLBOURNE LAWRENCE C</t>
  </si>
  <si>
    <t>COLBOURNE BEVERLY B</t>
  </si>
  <si>
    <t>110 LONETREE COURT</t>
  </si>
  <si>
    <t>E8100C0015</t>
  </si>
  <si>
    <t>HART GARY L</t>
  </si>
  <si>
    <t>925 NC HIGHWAY 801 SOUTH</t>
  </si>
  <si>
    <t>E900000180</t>
  </si>
  <si>
    <t>WENDEL JOHN M</t>
  </si>
  <si>
    <t>WENDEL CATHERINE A</t>
  </si>
  <si>
    <t>469 KINGSMILL DRIVE</t>
  </si>
  <si>
    <t>E900000183</t>
  </si>
  <si>
    <t>COFFIELD JEFFREY</t>
  </si>
  <si>
    <t>COFFIELD KATHERINE</t>
  </si>
  <si>
    <t>464 KINGSMILL DRIVE</t>
  </si>
  <si>
    <t>E900000187</t>
  </si>
  <si>
    <t>SMITH THOMAS TRAVIS</t>
  </si>
  <si>
    <t>SMITH HEATHER N</t>
  </si>
  <si>
    <t>444 KINGSMILL DRIVE</t>
  </si>
  <si>
    <t>E8100C0016</t>
  </si>
  <si>
    <t>E8110A0003</t>
  </si>
  <si>
    <t>WATSON MICHAEL E</t>
  </si>
  <si>
    <t>WATSON BELINDA J</t>
  </si>
  <si>
    <t>143 WESTRIDGE ROAD</t>
  </si>
  <si>
    <t>E8110A0017</t>
  </si>
  <si>
    <t>MICKELS PHILIP D</t>
  </si>
  <si>
    <t>1629 UNDERPASS ROAD</t>
  </si>
  <si>
    <t>E900000208</t>
  </si>
  <si>
    <t>HENNINGS RUSSELL M</t>
  </si>
  <si>
    <t>HENNINGS MARGARET O</t>
  </si>
  <si>
    <t>370 KINGSMILL DRIVE</t>
  </si>
  <si>
    <t>E900000209</t>
  </si>
  <si>
    <t>GOULD OLIN J</t>
  </si>
  <si>
    <t>GOULD AMY M</t>
  </si>
  <si>
    <t>364 KINGSMILL DRIVE</t>
  </si>
  <si>
    <t>E900000211</t>
  </si>
  <si>
    <t>MONAGHAN DENNIS M</t>
  </si>
  <si>
    <t>MONAGHAN DOROTHY ELIZABETH</t>
  </si>
  <si>
    <t>348 KINGSMILL DRIVE</t>
  </si>
  <si>
    <t>E900000215</t>
  </si>
  <si>
    <t>BRANDON LARRY M</t>
  </si>
  <si>
    <t>322 KINGSMILL DRIVE</t>
  </si>
  <si>
    <t>E8110B0002</t>
  </si>
  <si>
    <t>VOGLER DIANE BARNEY</t>
  </si>
  <si>
    <t>1626 UNDERPASS ROAD</t>
  </si>
  <si>
    <t>E8110B0019</t>
  </si>
  <si>
    <t>PETERSON PAMELA GENTRY</t>
  </si>
  <si>
    <t>EDWARDS CLYDE ROBERT</t>
  </si>
  <si>
    <t>333 RIVER ROAD</t>
  </si>
  <si>
    <t>E900000222</t>
  </si>
  <si>
    <t>HENSON PHILIP WAYNE</t>
  </si>
  <si>
    <t>HENSON AMY BURDEN</t>
  </si>
  <si>
    <t>280 KINGSMILL DRIVE</t>
  </si>
  <si>
    <t>E900000225</t>
  </si>
  <si>
    <t>EATON D MARK</t>
  </si>
  <si>
    <t>EATON ANNETTE M</t>
  </si>
  <si>
    <t>262 KINGSMILL DRIVE</t>
  </si>
  <si>
    <t>E900000226</t>
  </si>
  <si>
    <t>LANTOR SAMUEL ARTHUR</t>
  </si>
  <si>
    <t>LANTOR MARY JANE</t>
  </si>
  <si>
    <t>252 KINGSMILL DRIVE</t>
  </si>
  <si>
    <t>E900000231</t>
  </si>
  <si>
    <t>MOTE PAUL A</t>
  </si>
  <si>
    <t>MOTE TRICIA A</t>
  </si>
  <si>
    <t>123 KINGSMILL PLACE</t>
  </si>
  <si>
    <t>27006-7047</t>
  </si>
  <si>
    <t>E900000232</t>
  </si>
  <si>
    <t>MCCARTHY EDWARD F JR</t>
  </si>
  <si>
    <t>MCCARTHY DIANA W</t>
  </si>
  <si>
    <t>127 KINGSMILL PLACE</t>
  </si>
  <si>
    <t>E900000233</t>
  </si>
  <si>
    <t>MILLER JOHN C</t>
  </si>
  <si>
    <t>MILLER JACKIE W</t>
  </si>
  <si>
    <t>131 KINGSMILL PLACE</t>
  </si>
  <si>
    <t>E900000234</t>
  </si>
  <si>
    <t>SEVERT JAMES F</t>
  </si>
  <si>
    <t>SEVERT ELLEN M</t>
  </si>
  <si>
    <t>128 KINGSMILL PLACE</t>
  </si>
  <si>
    <t>E900000235</t>
  </si>
  <si>
    <t>CAUDLE DORMAN H</t>
  </si>
  <si>
    <t>CAUDLE SARA ANNE C PELL</t>
  </si>
  <si>
    <t>126 KINGSMILL PLACE</t>
  </si>
  <si>
    <t>E900000236</t>
  </si>
  <si>
    <t>ORSBAN LAURA M</t>
  </si>
  <si>
    <t>ORSBAN JOHN M</t>
  </si>
  <si>
    <t>122 KINGSMILL PLACE</t>
  </si>
  <si>
    <t>E8110C0006</t>
  </si>
  <si>
    <t>CLARK CLARENCE</t>
  </si>
  <si>
    <t>CLARK SADIE T</t>
  </si>
  <si>
    <t>1529 UNDERPASS ROAD</t>
  </si>
  <si>
    <t>E900000247</t>
  </si>
  <si>
    <t>SCHLOTTMAN JEFFREY R</t>
  </si>
  <si>
    <t>SCHLOTTMAN JEANNIE R</t>
  </si>
  <si>
    <t>183 ISLEWORTH DRIVE</t>
  </si>
  <si>
    <t>27006-7269</t>
  </si>
  <si>
    <t>E900000248</t>
  </si>
  <si>
    <t>WILLIAMS RONALD DEAN</t>
  </si>
  <si>
    <t>WILLIAMS MARY LOU</t>
  </si>
  <si>
    <t>187 ISLEWORTH DRIVE</t>
  </si>
  <si>
    <t>E900000252</t>
  </si>
  <si>
    <t>SEALEY GEORGE A</t>
  </si>
  <si>
    <t>SEALEY TERESA S</t>
  </si>
  <si>
    <t>172 ISLEWORTH DRIVE</t>
  </si>
  <si>
    <t>E900000253</t>
  </si>
  <si>
    <t>SLOANE MICHAEL D</t>
  </si>
  <si>
    <t>SLOANE STACY T</t>
  </si>
  <si>
    <t>109 ISLEWORTH COURT</t>
  </si>
  <si>
    <t>E900000254</t>
  </si>
  <si>
    <t>ARON JACKY</t>
  </si>
  <si>
    <t>ARON LAURA</t>
  </si>
  <si>
    <t>119 ISLEWORTH COURT</t>
  </si>
  <si>
    <t>E900000258</t>
  </si>
  <si>
    <t>DOSEK J RICHARD</t>
  </si>
  <si>
    <t>132 ISLEWORTH COURT</t>
  </si>
  <si>
    <t>E900000261</t>
  </si>
  <si>
    <t>MCCUISTON JAMES C</t>
  </si>
  <si>
    <t>MCCUISTON GLENDA H</t>
  </si>
  <si>
    <t>118 ISLEWORTH COURT</t>
  </si>
  <si>
    <t>O60000005903</t>
  </si>
  <si>
    <t>E8110C0022</t>
  </si>
  <si>
    <t>HALL BOBBY DEAN</t>
  </si>
  <si>
    <t>HALL MICHELE S</t>
  </si>
  <si>
    <t>202 WESTRIDGE ROAD</t>
  </si>
  <si>
    <t>E900000309</t>
  </si>
  <si>
    <t>JOHNDROW JACK R</t>
  </si>
  <si>
    <t>JOHNDROW KIM P</t>
  </si>
  <si>
    <t>115 EAGLE WATCH COURT</t>
  </si>
  <si>
    <t>E900000312</t>
  </si>
  <si>
    <t>BURGESS DONALD J</t>
  </si>
  <si>
    <t>BURGESS MARY A</t>
  </si>
  <si>
    <t>678 OAK VALLEY BOULEVARD</t>
  </si>
  <si>
    <t>E900000311</t>
  </si>
  <si>
    <t>E8140A0001</t>
  </si>
  <si>
    <t>JOBERT WILLIAM A</t>
  </si>
  <si>
    <t>JOBERT JILL W</t>
  </si>
  <si>
    <t>108 SPRINGFIELD DRIVE</t>
  </si>
  <si>
    <t>E900000522</t>
  </si>
  <si>
    <t>CRANFILL OLIN C</t>
  </si>
  <si>
    <t>CRANFILL DIANE B</t>
  </si>
  <si>
    <t>363 NORTH HIDDENBROOKE DRIVE</t>
  </si>
  <si>
    <t>27006-7320</t>
  </si>
  <si>
    <t>E900000329</t>
  </si>
  <si>
    <t>TARNOK SHERRY A</t>
  </si>
  <si>
    <t>651 OAK VALLEY BLVD</t>
  </si>
  <si>
    <t>E900000331</t>
  </si>
  <si>
    <t>GIDDENS SHARON F</t>
  </si>
  <si>
    <t>635 OAK VALLEY BOULEVARD</t>
  </si>
  <si>
    <t>E900000337</t>
  </si>
  <si>
    <t>MOLLOY ROBERT E</t>
  </si>
  <si>
    <t>MOLLOY LAURIE</t>
  </si>
  <si>
    <t>569 OAK VALLEY BOULEVARD</t>
  </si>
  <si>
    <t>E900000340</t>
  </si>
  <si>
    <t>WAYNE MICHAEL D</t>
  </si>
  <si>
    <t>WAYNE JULIE H</t>
  </si>
  <si>
    <t>547 OAK VALLEY BOULEVARD</t>
  </si>
  <si>
    <t>E900000341</t>
  </si>
  <si>
    <t>ARMSTRONG ROGER WAYNE</t>
  </si>
  <si>
    <t>ARMSTRONG AMY JO</t>
  </si>
  <si>
    <t>539 OAK VALLEY BOULEVARD</t>
  </si>
  <si>
    <t>E8140A0002</t>
  </si>
  <si>
    <t>FLOWERS WILLIAM M</t>
  </si>
  <si>
    <t>FLOWERS KATHY I</t>
  </si>
  <si>
    <t>124 SPRINGFIELD DRIVE</t>
  </si>
  <si>
    <t>27006-8301</t>
  </si>
  <si>
    <t>E900000347</t>
  </si>
  <si>
    <t>WARISE KENNETH A JR</t>
  </si>
  <si>
    <t>WARISE CHRISTA H</t>
  </si>
  <si>
    <t>149 SCOTTSDALE DRIVE</t>
  </si>
  <si>
    <t>E900000349</t>
  </si>
  <si>
    <t>MCGURN SCOTT T</t>
  </si>
  <si>
    <t>MCGURN FAYE H</t>
  </si>
  <si>
    <t>163 SCOTTSDALE DRIVE</t>
  </si>
  <si>
    <t>E900000354</t>
  </si>
  <si>
    <t>BARNES TIMOTHY W</t>
  </si>
  <si>
    <t>154 SCOTTSDALE DRIVE</t>
  </si>
  <si>
    <t>E900000355</t>
  </si>
  <si>
    <t>BLISS MICHAEL SCOTT</t>
  </si>
  <si>
    <t>BLISS LEIGH G</t>
  </si>
  <si>
    <t>148 SCOTTSDALE DRIVE</t>
  </si>
  <si>
    <t>E900000364</t>
  </si>
  <si>
    <t>WILES KENNETH E</t>
  </si>
  <si>
    <t>WILES KAREN H</t>
  </si>
  <si>
    <t>122 BROADMOOR DRIVE</t>
  </si>
  <si>
    <t>27006-6934</t>
  </si>
  <si>
    <t>E8140A0023</t>
  </si>
  <si>
    <t>CLOER CHARLES C</t>
  </si>
  <si>
    <t>208 COUNTRY CIRCLE</t>
  </si>
  <si>
    <t>27006-7457</t>
  </si>
  <si>
    <t>E900000366</t>
  </si>
  <si>
    <t>MATTOX CHRISTOPHER L</t>
  </si>
  <si>
    <t>MATTOX ANDREA G</t>
  </si>
  <si>
    <t>134 BROADMOOR DRIVE</t>
  </si>
  <si>
    <t>E900000369</t>
  </si>
  <si>
    <t>FRAZIER GENEVIEVE J</t>
  </si>
  <si>
    <t>154 BROADMOOR DRIVE</t>
  </si>
  <si>
    <t>E900000370</t>
  </si>
  <si>
    <t>DAVIS ALNEY JAMES</t>
  </si>
  <si>
    <t>DAVIS SUSAN MCELROY</t>
  </si>
  <si>
    <t>162 BROADMOOR DRIVE</t>
  </si>
  <si>
    <t>E900000371</t>
  </si>
  <si>
    <t>PESAVENTO PATRICK E</t>
  </si>
  <si>
    <t>PESAVENTO JACQUALYNE M</t>
  </si>
  <si>
    <t>170 BROADMOOR DRIVE</t>
  </si>
  <si>
    <t>E900000376</t>
  </si>
  <si>
    <t>SINGLETARY CHARLES LARRY</t>
  </si>
  <si>
    <t>SINGLETARY PRISCILLA D</t>
  </si>
  <si>
    <t>210 BROADMOOR DRIVE</t>
  </si>
  <si>
    <t>E900000380</t>
  </si>
  <si>
    <t>DOVE JACOB JR</t>
  </si>
  <si>
    <t>DOVE MARSHA HAIRSTON</t>
  </si>
  <si>
    <t>128 NORTH WILDCAT RUN COURT</t>
  </si>
  <si>
    <t>E900000382</t>
  </si>
  <si>
    <t>HART RONALD R</t>
  </si>
  <si>
    <t>HART CAROLEEN J</t>
  </si>
  <si>
    <t>121 WILDCAT RUN COURT</t>
  </si>
  <si>
    <t>E900000384</t>
  </si>
  <si>
    <t>BECKER REYNOLDS H</t>
  </si>
  <si>
    <t>BECKER BEVERLY B</t>
  </si>
  <si>
    <t>232 BROADMOOR DRIVE</t>
  </si>
  <si>
    <t>E8150A0017</t>
  </si>
  <si>
    <t>WALKER SUSAN C</t>
  </si>
  <si>
    <t>399 HILLCREST DRIVE</t>
  </si>
  <si>
    <t>E900000392</t>
  </si>
  <si>
    <t>DUFFNER MORRIS</t>
  </si>
  <si>
    <t>DUFFNER DOROTHY</t>
  </si>
  <si>
    <t>253 BROADMOOR DRIVE</t>
  </si>
  <si>
    <t>E900000396</t>
  </si>
  <si>
    <t>TRIMARCHI JOSEPH G</t>
  </si>
  <si>
    <t>TRIMARCHI LINDA A</t>
  </si>
  <si>
    <t>231 BROADMOOR DRIVE</t>
  </si>
  <si>
    <t>27006-6957</t>
  </si>
  <si>
    <t>E900000397</t>
  </si>
  <si>
    <t>RUSS LORI A</t>
  </si>
  <si>
    <t>RUSS ANDREW J</t>
  </si>
  <si>
    <t>225 BROADMOOR DRIVE</t>
  </si>
  <si>
    <t>E900000011</t>
  </si>
  <si>
    <t>BULLINS R ROGER</t>
  </si>
  <si>
    <t>BULLINS GLORIA JANE</t>
  </si>
  <si>
    <t>174 OAKMONT DRIVE</t>
  </si>
  <si>
    <t>E900000414</t>
  </si>
  <si>
    <t>WILLIAMS DAVID A III</t>
  </si>
  <si>
    <t>WILLIAMS STACEY ANN</t>
  </si>
  <si>
    <t>209 BROADMOOR DRIVE</t>
  </si>
  <si>
    <t>E900000417</t>
  </si>
  <si>
    <t>BOMAR CHAD</t>
  </si>
  <si>
    <t>BOMAR CASEY</t>
  </si>
  <si>
    <t>187 BROADMOOR DRIVE</t>
  </si>
  <si>
    <t>E900000420</t>
  </si>
  <si>
    <t>JONES JESSE MICHAEL</t>
  </si>
  <si>
    <t>JONES BROOKE ANN</t>
  </si>
  <si>
    <t>165 BORADMOOR DRIVE</t>
  </si>
  <si>
    <t>E900000421</t>
  </si>
  <si>
    <t>CRANFILL JEFFERY S</t>
  </si>
  <si>
    <t>CRANFILL LISA E</t>
  </si>
  <si>
    <t>153 BROADMOOR DRIVE</t>
  </si>
  <si>
    <t>E900000425</t>
  </si>
  <si>
    <t>DOARES WILLIAM H III</t>
  </si>
  <si>
    <t>DOARES CORINNE S</t>
  </si>
  <si>
    <t>123 BROADMOOR DRIVE</t>
  </si>
  <si>
    <t>E900000426</t>
  </si>
  <si>
    <t>BATES GREGORY K</t>
  </si>
  <si>
    <t>BATES ALICIA D</t>
  </si>
  <si>
    <t>115 BROADMOOR DRIVE</t>
  </si>
  <si>
    <t>E900000429</t>
  </si>
  <si>
    <t>GILLELAND ALLISON A</t>
  </si>
  <si>
    <t>120 FOXMOOR COURT</t>
  </si>
  <si>
    <t>E8070A0020</t>
  </si>
  <si>
    <t>WILLIAMS ROBERT G</t>
  </si>
  <si>
    <t>WILLIAMS CHERYL A</t>
  </si>
  <si>
    <t>112 WHITEHEAD DRIVE</t>
  </si>
  <si>
    <t>E900000034</t>
  </si>
  <si>
    <t>RADATOVICH J BRIAN</t>
  </si>
  <si>
    <t>RADATOVICH ELISA R</t>
  </si>
  <si>
    <t>143 OAKMONT DRIVE</t>
  </si>
  <si>
    <t>E900000438</t>
  </si>
  <si>
    <t>WHITENER MITCHELL W</t>
  </si>
  <si>
    <t>WHITENER SUSAN D DAVIS</t>
  </si>
  <si>
    <t>236 SCOTTSDALE DRIVE</t>
  </si>
  <si>
    <t>E900000439</t>
  </si>
  <si>
    <t>JAMES MARK A</t>
  </si>
  <si>
    <t>JAMES HEATHER M</t>
  </si>
  <si>
    <t>242 SCOTTSDALE DRIVE</t>
  </si>
  <si>
    <t>E900000444</t>
  </si>
  <si>
    <t>NESTOR CLYDE LESLEY</t>
  </si>
  <si>
    <t>NESTOR ALMA ESTELLA</t>
  </si>
  <si>
    <t>237 SCOTTSDALE DRIVE</t>
  </si>
  <si>
    <t>E900000446</t>
  </si>
  <si>
    <t>HILL RODNEY E</t>
  </si>
  <si>
    <t>HILL DEBORAH F</t>
  </si>
  <si>
    <t>219 SCOTTSDALE DRIVE</t>
  </si>
  <si>
    <t>27006-6959</t>
  </si>
  <si>
    <t>E70000015101</t>
  </si>
  <si>
    <t>E900000448</t>
  </si>
  <si>
    <t>WILLIAMS MATTHEW A</t>
  </si>
  <si>
    <t>WILLIAMS ANDREA H</t>
  </si>
  <si>
    <t>207 SCOTTSDALE DRIVE</t>
  </si>
  <si>
    <t>E900000450</t>
  </si>
  <si>
    <t>LOGAN DENNIS L</t>
  </si>
  <si>
    <t>LOGAN SHARON K</t>
  </si>
  <si>
    <t>140 TWIN CREEKS DRIVE</t>
  </si>
  <si>
    <t>27006-7064</t>
  </si>
  <si>
    <t>E900000456</t>
  </si>
  <si>
    <t>ENGELS WOLFGANG</t>
  </si>
  <si>
    <t>WATTS LAURA L</t>
  </si>
  <si>
    <t>132 SOUTH HIDDENBROOKE DRIVE</t>
  </si>
  <si>
    <t>E900000457</t>
  </si>
  <si>
    <t>COCHRAN THOMAS CECIL JR</t>
  </si>
  <si>
    <t>COCHRAN BARBARA TABLER</t>
  </si>
  <si>
    <t>142 HIDDENBROOKE DRIVE</t>
  </si>
  <si>
    <t>E8070A0024</t>
  </si>
  <si>
    <t>SANGUILIANO LINDA M</t>
  </si>
  <si>
    <t>GAUGHAN PHILIP JOSEPH</t>
  </si>
  <si>
    <t>1739 UNDERPASS ROAD</t>
  </si>
  <si>
    <t>27006-7536</t>
  </si>
  <si>
    <t>E900000465</t>
  </si>
  <si>
    <t>SHELTON BRADFORD T</t>
  </si>
  <si>
    <t>SHELTON SARAH D</t>
  </si>
  <si>
    <t>112 NORTH HIDDENBROOKE DRIVE</t>
  </si>
  <si>
    <t>H90000004209</t>
  </si>
  <si>
    <t>E900000467</t>
  </si>
  <si>
    <t>SNOW TERRY V</t>
  </si>
  <si>
    <t>SNOW JOAN M</t>
  </si>
  <si>
    <t>124 N HIDDENBROOKE DRIVE</t>
  </si>
  <si>
    <t>E900000468</t>
  </si>
  <si>
    <t>TILLEY BRADLEY STEWART</t>
  </si>
  <si>
    <t>TILLEY MICHELE LYNN</t>
  </si>
  <si>
    <t>130 NORTH HIDDENBROOK DRIVE</t>
  </si>
  <si>
    <t>E900000470</t>
  </si>
  <si>
    <t>CHAMPNEY ARTHUR THOMAS</t>
  </si>
  <si>
    <t>CHAMPNEY TERRI FORREST</t>
  </si>
  <si>
    <t>142 NORTH HIDDENBROOKE DRIVE</t>
  </si>
  <si>
    <t>27006-7299</t>
  </si>
  <si>
    <t>E900000472</t>
  </si>
  <si>
    <t>MOSER SAM</t>
  </si>
  <si>
    <t>MOSER MARY LYNETTE</t>
  </si>
  <si>
    <t>162 NORTH HIDDENBROOKE DRIVE</t>
  </si>
  <si>
    <t>E900000473</t>
  </si>
  <si>
    <t>BERMUDEZ DAVID T</t>
  </si>
  <si>
    <t>BURKS-BERMUDEZ SUANNE L</t>
  </si>
  <si>
    <t>172 NORTH HIDDENBROOKE DRIVE</t>
  </si>
  <si>
    <t>E900000474</t>
  </si>
  <si>
    <t>BARTELT PERRY</t>
  </si>
  <si>
    <t>BARTELT GLORIA</t>
  </si>
  <si>
    <t>178 NORTH HIDDENBROOKE DRIVE</t>
  </si>
  <si>
    <t>E90000047801</t>
  </si>
  <si>
    <t>GULLEDGE TODD</t>
  </si>
  <si>
    <t>GULLEDGE TIFFANY F</t>
  </si>
  <si>
    <t>220 NORTH HIDDENBROOKE DRIVE</t>
  </si>
  <si>
    <t>27028-7318</t>
  </si>
  <si>
    <t>E900000480</t>
  </si>
  <si>
    <t>JESTER RONALD DAVIE JR</t>
  </si>
  <si>
    <t>JESTER MONICA T JESTER</t>
  </si>
  <si>
    <t>106 SOUTH MILLBROOKE COURT</t>
  </si>
  <si>
    <t>E900000087</t>
  </si>
  <si>
    <t>MOORE CECIL TERRY</t>
  </si>
  <si>
    <t>MOORE CARMEN ANN</t>
  </si>
  <si>
    <t>142 AVIARA DRIVE</t>
  </si>
  <si>
    <t>27006-7181</t>
  </si>
  <si>
    <t>E900000107</t>
  </si>
  <si>
    <t>BOOHER JON</t>
  </si>
  <si>
    <t>BOOHER LINDA GAI</t>
  </si>
  <si>
    <t>115 KESWICK COURT</t>
  </si>
  <si>
    <t>E900000486</t>
  </si>
  <si>
    <t>GAMBLE GLORIA EUGENIA</t>
  </si>
  <si>
    <t>106 NORTH MILLBROOKE COURT</t>
  </si>
  <si>
    <t>27006-8547</t>
  </si>
  <si>
    <t>E900000487</t>
  </si>
  <si>
    <t>SEAGLE SCOTT SHELDON</t>
  </si>
  <si>
    <t>CHAMPE-SEAGLE MELISSA</t>
  </si>
  <si>
    <t>116 NORTH MILLBROOKE COURT</t>
  </si>
  <si>
    <t>E900000489</t>
  </si>
  <si>
    <t>HANINGTON ERNEST GEORGE</t>
  </si>
  <si>
    <t>HANINGTON SHANNON L</t>
  </si>
  <si>
    <t>113 NORTH MILLBROOKE COURT</t>
  </si>
  <si>
    <t>E900000492</t>
  </si>
  <si>
    <t>KISER ROBERT W</t>
  </si>
  <si>
    <t>KISER CANDY E</t>
  </si>
  <si>
    <t>250 NORTH HIDDENBROOKE DRIVE</t>
  </si>
  <si>
    <t>F800000133</t>
  </si>
  <si>
    <t>E900000109</t>
  </si>
  <si>
    <t>E900000128</t>
  </si>
  <si>
    <t>MESSICK SYLVIA L</t>
  </si>
  <si>
    <t>261 KINGSMILL DRIVE</t>
  </si>
  <si>
    <t>E900000153</t>
  </si>
  <si>
    <t>PERRY FRANK SR</t>
  </si>
  <si>
    <t>125 LONETREE DRIVE</t>
  </si>
  <si>
    <t>E900000533</t>
  </si>
  <si>
    <t>MANN JOHN W F</t>
  </si>
  <si>
    <t>MANN SUZANNE STOVALL</t>
  </si>
  <si>
    <t>261 NORTH HIDDENBROOKE DRIVE</t>
  </si>
  <si>
    <t>27006-7318</t>
  </si>
  <si>
    <t>E900000538</t>
  </si>
  <si>
    <t>SMITH WILLIAM L</t>
  </si>
  <si>
    <t>SMITH CYNTHIA M</t>
  </si>
  <si>
    <t>211 N HIDDENBROOKE DRIVE</t>
  </si>
  <si>
    <t>E900000176</t>
  </si>
  <si>
    <t>WINCHELL CEDRIC R</t>
  </si>
  <si>
    <t>WINCHELL TERRI L</t>
  </si>
  <si>
    <t>447 KINGSMILL DRIVE</t>
  </si>
  <si>
    <t>E900000553</t>
  </si>
  <si>
    <t>SCHERER BRIAN P</t>
  </si>
  <si>
    <t>SCHERER KERRI R</t>
  </si>
  <si>
    <t>151 ARNOLD PALMER DRIVE</t>
  </si>
  <si>
    <t>27006-7310</t>
  </si>
  <si>
    <t>E900000556</t>
  </si>
  <si>
    <t>KUHLMAN JEFFREY R</t>
  </si>
  <si>
    <t>KUHLMAN AMY F</t>
  </si>
  <si>
    <t>179 ARNOLD PALMER DRIVE</t>
  </si>
  <si>
    <t>E900000557</t>
  </si>
  <si>
    <t>E900000558</t>
  </si>
  <si>
    <t>STRAUCH JACK M</t>
  </si>
  <si>
    <t>STRAUCH DANA</t>
  </si>
  <si>
    <t>195 ARNOLD PALMER DRIVE</t>
  </si>
  <si>
    <t>E900000560</t>
  </si>
  <si>
    <t>BOULOS KAMIL</t>
  </si>
  <si>
    <t>BOULOS JOELLE</t>
  </si>
  <si>
    <t>190 ARNOLD PALMER DRIVE</t>
  </si>
  <si>
    <t>E900000191</t>
  </si>
  <si>
    <t>NELSON RAYMOND SNOW</t>
  </si>
  <si>
    <t>NELSON SIVIVANH K</t>
  </si>
  <si>
    <t>422 KINGSMILL DRIVE</t>
  </si>
  <si>
    <t>E900000193</t>
  </si>
  <si>
    <t>COOK GREGORY BROWN</t>
  </si>
  <si>
    <t>COOK TONYA CARTER</t>
  </si>
  <si>
    <t>123 LONETREE CIRCLE</t>
  </si>
  <si>
    <t>E900000199</t>
  </si>
  <si>
    <t>FROST JOHN BRENT</t>
  </si>
  <si>
    <t>FROST CAROLYN M</t>
  </si>
  <si>
    <t>132 LONETREE CIRCLE</t>
  </si>
  <si>
    <t>E900000577</t>
  </si>
  <si>
    <t>DAVIS RICHARD L</t>
  </si>
  <si>
    <t>DAVIS DIANE W</t>
  </si>
  <si>
    <t>127 CARTGATE COURT</t>
  </si>
  <si>
    <t>E900000578</t>
  </si>
  <si>
    <t>SELF GEORGE S</t>
  </si>
  <si>
    <t>SELF FAYE H</t>
  </si>
  <si>
    <t>123 CARTGATE COURT</t>
  </si>
  <si>
    <t>E900000218</t>
  </si>
  <si>
    <t>KISER JONATHAN A</t>
  </si>
  <si>
    <t>KISER VALERIE K</t>
  </si>
  <si>
    <t>304 KINGSMILL DRIVE</t>
  </si>
  <si>
    <t>E900000623</t>
  </si>
  <si>
    <t>HUNTER DAVID RAY</t>
  </si>
  <si>
    <t>HUNTER CLAUDIA LOUISE</t>
  </si>
  <si>
    <t>118 SOUTH NIBLICK COURT</t>
  </si>
  <si>
    <t>E900000629</t>
  </si>
  <si>
    <t>NEWTON T LAWSON</t>
  </si>
  <si>
    <t>NEWTON LISA C</t>
  </si>
  <si>
    <t>107 SOUTH NIBLICK COURT</t>
  </si>
  <si>
    <t>E900000630</t>
  </si>
  <si>
    <t>BOGER SAMUEL P</t>
  </si>
  <si>
    <t>BOGER PATRICIA A</t>
  </si>
  <si>
    <t>102 NORTH NIBLICK COURT</t>
  </si>
  <si>
    <t>E900000633</t>
  </si>
  <si>
    <t>TIMPF DENNIS</t>
  </si>
  <si>
    <t>TIMPF DONNA</t>
  </si>
  <si>
    <t>130 NORTH NIBLICK COURT</t>
  </si>
  <si>
    <t>27006-6953</t>
  </si>
  <si>
    <t>E900000221</t>
  </si>
  <si>
    <t>GAITHER JAMES H JR</t>
  </si>
  <si>
    <t>GAITHER ELIZABETH ANN</t>
  </si>
  <si>
    <t>286 KINGSMILL DRIVE</t>
  </si>
  <si>
    <t>E900000645</t>
  </si>
  <si>
    <t>FAIRCHILD TAMARA T</t>
  </si>
  <si>
    <t>112 ST ANDREWS DRIVE</t>
  </si>
  <si>
    <t>E900000647</t>
  </si>
  <si>
    <t>DICKENS THOMAS A</t>
  </si>
  <si>
    <t>DICKENS CAROLYN M</t>
  </si>
  <si>
    <t>124 ST ANDREWS DRIVE</t>
  </si>
  <si>
    <t>E900000648</t>
  </si>
  <si>
    <t>JOHNSON VIRGINIA ADAMS</t>
  </si>
  <si>
    <t>JOHNSON ROBERT C</t>
  </si>
  <si>
    <t>130 ST ANDREWS DRIVE</t>
  </si>
  <si>
    <t>E900000659</t>
  </si>
  <si>
    <t>LIMA NANCY C</t>
  </si>
  <si>
    <t>LIMA WITOLD FREDERICO</t>
  </si>
  <si>
    <t>157 ST ANDREWS DRIVE</t>
  </si>
  <si>
    <t>E90000024001</t>
  </si>
  <si>
    <t>LINDEBAUER JOHN W</t>
  </si>
  <si>
    <t>188 KINGSMILL DRIVE</t>
  </si>
  <si>
    <t>E900000663</t>
  </si>
  <si>
    <t>FORTESQUE WILLIAM W</t>
  </si>
  <si>
    <t>133 SAINT ANDREWS DRIVE</t>
  </si>
  <si>
    <t>E900000667</t>
  </si>
  <si>
    <t>ROLLAND PETER J</t>
  </si>
  <si>
    <t>ROLLAND LARISSA R</t>
  </si>
  <si>
    <t>141 LIGONIER DRIVE</t>
  </si>
  <si>
    <t>E900000671</t>
  </si>
  <si>
    <t>WRIGHT RAYMOND P</t>
  </si>
  <si>
    <t>WRIGHT MELISSA E</t>
  </si>
  <si>
    <t>516 N HIDDENBROOKE DRIVE</t>
  </si>
  <si>
    <t>E900000672</t>
  </si>
  <si>
    <t>ZULEGER CHADWICK</t>
  </si>
  <si>
    <t>ZULEGER COURTNEY DANIELS</t>
  </si>
  <si>
    <t>508 NORTH HIDDENBROOKE DRIVE</t>
  </si>
  <si>
    <t>27006-7322</t>
  </si>
  <si>
    <t>E900000262</t>
  </si>
  <si>
    <t>HICKS GARY W</t>
  </si>
  <si>
    <t>112 ISLEWORTH COURT</t>
  </si>
  <si>
    <t>E900000263</t>
  </si>
  <si>
    <t>ROWELL MARSHELL E</t>
  </si>
  <si>
    <t>ROWELL DEBORAH M</t>
  </si>
  <si>
    <t>142 ISLEWORTH DRIVE</t>
  </si>
  <si>
    <t>G80000003302</t>
  </si>
  <si>
    <t>KERNSTINE JEFFREY DEAN</t>
  </si>
  <si>
    <t>KERNSTINE MELISSA G</t>
  </si>
  <si>
    <t>110 HIDDEN CREEK DRIVE</t>
  </si>
  <si>
    <t>E9150A0001</t>
  </si>
  <si>
    <t>E9150A0003</t>
  </si>
  <si>
    <t>BURKE MARJORIE LYNN</t>
  </si>
  <si>
    <t>130 HIDDEN CREEK DRIVE</t>
  </si>
  <si>
    <t>G7070A0002</t>
  </si>
  <si>
    <t>E9150A0005</t>
  </si>
  <si>
    <t>BOWLING FORREST W</t>
  </si>
  <si>
    <t>BOWLING KIMBERLY STEWART</t>
  </si>
  <si>
    <t>150 HIDDEN CREEK DRIVE</t>
  </si>
  <si>
    <t>E9150A0006</t>
  </si>
  <si>
    <t>GIRARD THELMA RAYE BLAYLOCK</t>
  </si>
  <si>
    <t>166 HIDDEN CREEK DRIVE</t>
  </si>
  <si>
    <t>E9150A0009</t>
  </si>
  <si>
    <t>JUHASZ STEVEN K</t>
  </si>
  <si>
    <t>JUHASZ AMANDA B</t>
  </si>
  <si>
    <t>206 HIDDEN CREEK DRIVE</t>
  </si>
  <si>
    <t>E900000324</t>
  </si>
  <si>
    <t>E900000345</t>
  </si>
  <si>
    <t>HICKS EDWARD L TRUSTEE</t>
  </si>
  <si>
    <t>HICKS BETTY B TRUSTEE</t>
  </si>
  <si>
    <t>509 OAK VALLEY BOULEVARD</t>
  </si>
  <si>
    <t>27006-6928</t>
  </si>
  <si>
    <t>F50000003601</t>
  </si>
  <si>
    <t>CRAWFORD GILMER ALLEN</t>
  </si>
  <si>
    <t>265 HIDDEN CREEK DRIVE</t>
  </si>
  <si>
    <t>E9150A0020</t>
  </si>
  <si>
    <t>ERLANDSSON KRISTER W</t>
  </si>
  <si>
    <t>ERLANDSSON GARD E</t>
  </si>
  <si>
    <t>239 HIDDEN CREEK DRIVE</t>
  </si>
  <si>
    <t>E9150A0021</t>
  </si>
  <si>
    <t>SPARKS DWIGHT ALAN</t>
  </si>
  <si>
    <t>SPARKS ELIZABETH H</t>
  </si>
  <si>
    <t>27006-8755</t>
  </si>
  <si>
    <t>E9150A0027</t>
  </si>
  <si>
    <t>LESTER ROBERT H</t>
  </si>
  <si>
    <t>LESTER MARSHA R</t>
  </si>
  <si>
    <t>177 HIDDEN CREEK DRIVE</t>
  </si>
  <si>
    <t>E9150A0031</t>
  </si>
  <si>
    <t>WHICKER DONALD W JR</t>
  </si>
  <si>
    <t>WHICKER SISSIE AMY</t>
  </si>
  <si>
    <t>P O BOX 2102</t>
  </si>
  <si>
    <t>E9150A0034</t>
  </si>
  <si>
    <t>WRIGHT MICHAEL ALAN</t>
  </si>
  <si>
    <t>124 TALWOOD DRIVE</t>
  </si>
  <si>
    <t>27006-8756</t>
  </si>
  <si>
    <t>E900000365</t>
  </si>
  <si>
    <t>ANDERSON STEVEN</t>
  </si>
  <si>
    <t>ANDERSON BARBARA</t>
  </si>
  <si>
    <t>128 BROADMOOR DRIVE</t>
  </si>
  <si>
    <t>E9150A0042</t>
  </si>
  <si>
    <t>MCFARLIN BRIAN J</t>
  </si>
  <si>
    <t>MCFARLIN ROULA R</t>
  </si>
  <si>
    <t>204 TALWOOD DRIVE</t>
  </si>
  <si>
    <t>E9150A0048</t>
  </si>
  <si>
    <t>KISSELBACH PAUL C</t>
  </si>
  <si>
    <t>KISSELBACH SUSAN M</t>
  </si>
  <si>
    <t>209 TALWOOD DRIVE</t>
  </si>
  <si>
    <t>E9150A0050</t>
  </si>
  <si>
    <t>KOEVAL ROGER G</t>
  </si>
  <si>
    <t>KOEVAL DIANE E</t>
  </si>
  <si>
    <t>191 TALWOOD DR</t>
  </si>
  <si>
    <t>E9150A0053</t>
  </si>
  <si>
    <t>SHELTON KENNETH VON</t>
  </si>
  <si>
    <t>SHELTON LOYE H</t>
  </si>
  <si>
    <t>126 FIELDWOOD DRIVE</t>
  </si>
  <si>
    <t>E9150A0054</t>
  </si>
  <si>
    <t>HICKS DARRELL D</t>
  </si>
  <si>
    <t>HICKS TAMRA C</t>
  </si>
  <si>
    <t>144 FIELDWOOD DRIVE</t>
  </si>
  <si>
    <t>E9150A0058</t>
  </si>
  <si>
    <t>GREGORY PAUL MELVIN</t>
  </si>
  <si>
    <t>GREGORY WILMA RILEY</t>
  </si>
  <si>
    <t>127 TALWOOD DRIVE</t>
  </si>
  <si>
    <t>G8130B0010</t>
  </si>
  <si>
    <t>E900000388</t>
  </si>
  <si>
    <t>PARIS HARRY AUTRY</t>
  </si>
  <si>
    <t>PARIS JO ANN G</t>
  </si>
  <si>
    <t>258 BROADMOOR DRIVE</t>
  </si>
  <si>
    <t>E900000412</t>
  </si>
  <si>
    <t>TAYLOR CAROL LEE</t>
  </si>
  <si>
    <t>537 NORTH HIDDENBROOKE DRIVE</t>
  </si>
  <si>
    <t>E9150B0002</t>
  </si>
  <si>
    <t>CASPESCHA ERWIN</t>
  </si>
  <si>
    <t>CASPESCHA RUBY ANNETTE</t>
  </si>
  <si>
    <t>149 CEDAR LANE</t>
  </si>
  <si>
    <t>E9150B0005</t>
  </si>
  <si>
    <t>ESSIC CHARLES MICHAEL</t>
  </si>
  <si>
    <t>ESSIC DEBBIE ROCKETT</t>
  </si>
  <si>
    <t>133 CEDAR LANE</t>
  </si>
  <si>
    <t>27006-7311</t>
  </si>
  <si>
    <t>E9150B0006</t>
  </si>
  <si>
    <t>ALFORD BARBARA R</t>
  </si>
  <si>
    <t>127 CEDAR LANE</t>
  </si>
  <si>
    <t>E9150B0016</t>
  </si>
  <si>
    <t>MARTIN C KEITH</t>
  </si>
  <si>
    <t>MARTIN BARBARA S</t>
  </si>
  <si>
    <t>155 ORCHARD PARK DRIVE</t>
  </si>
  <si>
    <t>27006-7474</t>
  </si>
  <si>
    <t>E9150B0018</t>
  </si>
  <si>
    <t>BRENNER FRANCES</t>
  </si>
  <si>
    <t>145 ORCHARD PARK DRIVE</t>
  </si>
  <si>
    <t>E9150B0022</t>
  </si>
  <si>
    <t>ORDON RICHARD</t>
  </si>
  <si>
    <t>ORDON KATHLEEN</t>
  </si>
  <si>
    <t>134 ORCHARD PARK DRIVE</t>
  </si>
  <si>
    <t>E900000436</t>
  </si>
  <si>
    <t>LANE JOHN F</t>
  </si>
  <si>
    <t>LANE JACQUELINE S</t>
  </si>
  <si>
    <t>222 SCOTTSDALE DRIVE</t>
  </si>
  <si>
    <t>E9150B0034</t>
  </si>
  <si>
    <t>NICKS LOUIE G</t>
  </si>
  <si>
    <t>NICKS GERALDINE M</t>
  </si>
  <si>
    <t>116 SYCAMORE RIDGE DRIVE</t>
  </si>
  <si>
    <t>E9150B0036</t>
  </si>
  <si>
    <t>RINN RONALD A</t>
  </si>
  <si>
    <t>RINN CINDE H</t>
  </si>
  <si>
    <t>128 SYCAMORE RIDGE DRIVE</t>
  </si>
  <si>
    <t>E9150B0037</t>
  </si>
  <si>
    <t>BROWN RONALD T</t>
  </si>
  <si>
    <t>BROWN DIANNE</t>
  </si>
  <si>
    <t>134 SYCAMORE RIDGE DRIVE</t>
  </si>
  <si>
    <t>27006-7476</t>
  </si>
  <si>
    <t>E9150B0042</t>
  </si>
  <si>
    <t>MESSICK DALE C</t>
  </si>
  <si>
    <t>MESSICK DIANE W</t>
  </si>
  <si>
    <t>164 SYCAMORE RIDGE DRIVE</t>
  </si>
  <si>
    <t>E9150B0043</t>
  </si>
  <si>
    <t>CANADY F CLAYBORNE</t>
  </si>
  <si>
    <t>166 SYCAMORE RIDGE DRIVE</t>
  </si>
  <si>
    <t>E900000437</t>
  </si>
  <si>
    <t>OVERSTREET GREGORY R</t>
  </si>
  <si>
    <t>OVERSTREET TORY E</t>
  </si>
  <si>
    <t>230 SCOTTSDALE DRIVE</t>
  </si>
  <si>
    <t>E9150B0052</t>
  </si>
  <si>
    <t>BARGOIL PHILLIP M</t>
  </si>
  <si>
    <t>BARGOIL JACQUELYN H</t>
  </si>
  <si>
    <t>210 SYCAMORE RIDGE DRIVE</t>
  </si>
  <si>
    <t>27006-7477</t>
  </si>
  <si>
    <t>E9150B0054</t>
  </si>
  <si>
    <t>MARTIN KAY BALLARD</t>
  </si>
  <si>
    <t>222 SYCAMORE RIDGE DRIVE</t>
  </si>
  <si>
    <t>E9150B0057</t>
  </si>
  <si>
    <t>NORRIS KEITH M</t>
  </si>
  <si>
    <t>NORRIS ELIZABETH S</t>
  </si>
  <si>
    <t>234 SYCAMORE RIDGE DRIVE</t>
  </si>
  <si>
    <t>E9150B0059</t>
  </si>
  <si>
    <t>CHADWICK LIVING TRUST</t>
  </si>
  <si>
    <t>THOMAS A &amp; JUDITH K CHADWICK</t>
  </si>
  <si>
    <t>246 SYCAMORE RIDGE DRIVE</t>
  </si>
  <si>
    <t>E9150B0065</t>
  </si>
  <si>
    <t>WEST EDWIN A JR</t>
  </si>
  <si>
    <t>WEST CAROL B</t>
  </si>
  <si>
    <t>212 ORCHARD PARK DRIVE</t>
  </si>
  <si>
    <t>E9150B0067</t>
  </si>
  <si>
    <t>BREVARD GEORGE P</t>
  </si>
  <si>
    <t>BREVARD BETTY B</t>
  </si>
  <si>
    <t>103 SYCAMORE PARK LANE</t>
  </si>
  <si>
    <t>27006-7478</t>
  </si>
  <si>
    <t>E9150B0068</t>
  </si>
  <si>
    <t>DELUGAS FREDRICK GEORGE</t>
  </si>
  <si>
    <t>DELUGAS JUNE GORDON</t>
  </si>
  <si>
    <t>109 SYCAMORE PARK LANE</t>
  </si>
  <si>
    <t>E900000464</t>
  </si>
  <si>
    <t>MUCHUKOT CHARLES DAVID</t>
  </si>
  <si>
    <t>MUCHUKOT MARY JANE</t>
  </si>
  <si>
    <t>101 S HIDDENBROOKE DRIVE</t>
  </si>
  <si>
    <t>E9150B0085</t>
  </si>
  <si>
    <t>PERALDO LEO L</t>
  </si>
  <si>
    <t>PERALDO MELVA W</t>
  </si>
  <si>
    <t>242 ORCHARD PARK DRIVE</t>
  </si>
  <si>
    <t>E9150B0087</t>
  </si>
  <si>
    <t>SPRINGER WILLIAM O</t>
  </si>
  <si>
    <t>SPRINGER CAROL S</t>
  </si>
  <si>
    <t>248 ORCHARD PARK DRIVE</t>
  </si>
  <si>
    <t>27006-7481</t>
  </si>
  <si>
    <t>E9150B0088</t>
  </si>
  <si>
    <t>BURKE JOHN MICHAEL</t>
  </si>
  <si>
    <t>BURKE DIANE JOSEPH</t>
  </si>
  <si>
    <t>253 ORCHARD PARK DRIVE</t>
  </si>
  <si>
    <t>E9150B0089</t>
  </si>
  <si>
    <t>THORNTON KENNETH J</t>
  </si>
  <si>
    <t>THORNTON JEANNINE A</t>
  </si>
  <si>
    <t>259 ORCHARD PARK DRIVE</t>
  </si>
  <si>
    <t>E9150B0090</t>
  </si>
  <si>
    <t>REDD OLIVER D</t>
  </si>
  <si>
    <t>REDD JUDY R</t>
  </si>
  <si>
    <t>265 ORCHARD PARK DRIVE</t>
  </si>
  <si>
    <t>E900000057</t>
  </si>
  <si>
    <t>KIM CHONG HYOK</t>
  </si>
  <si>
    <t>143 SUNTREE ROAD</t>
  </si>
  <si>
    <t>E900000485</t>
  </si>
  <si>
    <t>SHOWALTER STEPHEN N</t>
  </si>
  <si>
    <t>SHOWALTER CYNTHIA S</t>
  </si>
  <si>
    <t>103 SOUTH MILLBROOK COURT</t>
  </si>
  <si>
    <t>E900000515</t>
  </si>
  <si>
    <t>RABORN JAMES JEFFERY</t>
  </si>
  <si>
    <t>RABORN ASHLEY T</t>
  </si>
  <si>
    <t>123 LATROBE COURT</t>
  </si>
  <si>
    <t>E9150B0112</t>
  </si>
  <si>
    <t>TUOHY JOSEPH F</t>
  </si>
  <si>
    <t>TUOHY MARY ELLEN</t>
  </si>
  <si>
    <t>367 ORCHARD PARK DRIVE</t>
  </si>
  <si>
    <t>E9150B0115</t>
  </si>
  <si>
    <t>MARINO VINCENT E</t>
  </si>
  <si>
    <t>MARINO DEBRA P</t>
  </si>
  <si>
    <t>385 ORCHARD PARK DRIVE</t>
  </si>
  <si>
    <t>27006-7482</t>
  </si>
  <si>
    <t>E9150B0117</t>
  </si>
  <si>
    <t>GUTHRIE RODNEY A</t>
  </si>
  <si>
    <t>GUTHRIE DIANE U</t>
  </si>
  <si>
    <t>397 ORCHARD PARK DRIVE</t>
  </si>
  <si>
    <t>E900000525</t>
  </si>
  <si>
    <t>SMITH ALAN J</t>
  </si>
  <si>
    <t>SMITH LORI S</t>
  </si>
  <si>
    <t>339 NORTH HIDDENBROOKE DRIVE</t>
  </si>
  <si>
    <t>E9150B0119</t>
  </si>
  <si>
    <t>BEARD SANFORD L</t>
  </si>
  <si>
    <t>BEARD YVONNE A</t>
  </si>
  <si>
    <t>409 ORCHARD PARK DRIVE</t>
  </si>
  <si>
    <t>E9150B0121</t>
  </si>
  <si>
    <t>RAYLE RONALD J</t>
  </si>
  <si>
    <t>RAYLE KATHY H</t>
  </si>
  <si>
    <t>413 ORCHARD PARK DRIVE</t>
  </si>
  <si>
    <t>E9150B0125</t>
  </si>
  <si>
    <t>CROSS RICHARD E</t>
  </si>
  <si>
    <t>CROSS SUSAN A</t>
  </si>
  <si>
    <t>433 ORCHARD PARK DRIVE</t>
  </si>
  <si>
    <t>E9150B0128</t>
  </si>
  <si>
    <t>HAYWORTH TERRY M</t>
  </si>
  <si>
    <t>HAYWORTH SUSAN L</t>
  </si>
  <si>
    <t>420 ORCHARD PARK DRIVE</t>
  </si>
  <si>
    <t>27006-7483</t>
  </si>
  <si>
    <t>E9150B0135</t>
  </si>
  <si>
    <t>KELLER WILLIAM E</t>
  </si>
  <si>
    <t>KELLER SHARON J</t>
  </si>
  <si>
    <t>109 KNICKER LANE</t>
  </si>
  <si>
    <t>27006-7487</t>
  </si>
  <si>
    <t>E9150B0138</t>
  </si>
  <si>
    <t>POWELL DAVID W II</t>
  </si>
  <si>
    <t>POWELL DONNA B</t>
  </si>
  <si>
    <t>125 KNICKER LANE</t>
  </si>
  <si>
    <t>E9150B0139</t>
  </si>
  <si>
    <t>MORRISON JOHN C</t>
  </si>
  <si>
    <t>MORRISON ILENE A</t>
  </si>
  <si>
    <t>126 BRIDGEWOOD LANE</t>
  </si>
  <si>
    <t>E900000526</t>
  </si>
  <si>
    <t>RECCHIUTI FRANK D</t>
  </si>
  <si>
    <t>RECCHIUTI ANTOINETTE</t>
  </si>
  <si>
    <t>331 NORTH HIDDENBROOKE DRIVE</t>
  </si>
  <si>
    <t>E900000529</t>
  </si>
  <si>
    <t>CUCCIA STEVEN A</t>
  </si>
  <si>
    <t>303 NORTH HIDDENBROOKE DRIVE</t>
  </si>
  <si>
    <t>E900000548</t>
  </si>
  <si>
    <t>CLARK KENNETH BRYAN</t>
  </si>
  <si>
    <t>CLARK MOLLY SHELTON</t>
  </si>
  <si>
    <t>123 N HIDDENBROOKE DRIVE</t>
  </si>
  <si>
    <t>E900000572</t>
  </si>
  <si>
    <t>WITTE DONALD W</t>
  </si>
  <si>
    <t>WITTE CAROLE M</t>
  </si>
  <si>
    <t>128 CARTGATE COURT</t>
  </si>
  <si>
    <t>27006-6960</t>
  </si>
  <si>
    <t>E900000575</t>
  </si>
  <si>
    <t>VASQUEZ IGNACIO</t>
  </si>
  <si>
    <t>VASQUEZ NANCY E</t>
  </si>
  <si>
    <t>131 CARTGATE COURT</t>
  </si>
  <si>
    <t>E900000576</t>
  </si>
  <si>
    <t>JESTER RONALD D</t>
  </si>
  <si>
    <t>JESTER DEANNA S</t>
  </si>
  <si>
    <t>129 CARTGATE COURT</t>
  </si>
  <si>
    <t>E900000590</t>
  </si>
  <si>
    <t>LONG SHIRLEY M</t>
  </si>
  <si>
    <t>109 OLD COURSE DRIVE</t>
  </si>
  <si>
    <t>F10000001208</t>
  </si>
  <si>
    <t>MCCLAMROCH J BRYANT</t>
  </si>
  <si>
    <t>MCCLAMROCH MARY P</t>
  </si>
  <si>
    <t>1948 SHEFFIELD ROAD</t>
  </si>
  <si>
    <t>F10000001213</t>
  </si>
  <si>
    <t>COGGINS JAMES R</t>
  </si>
  <si>
    <t>COGGINS JOANNE M</t>
  </si>
  <si>
    <t>222 ROCKING CHAIR LN</t>
  </si>
  <si>
    <t>F100000067</t>
  </si>
  <si>
    <t>HOLT ROGER L</t>
  </si>
  <si>
    <t>HURLEY ROBIN A</t>
  </si>
  <si>
    <t>311 GETTA WAY LN</t>
  </si>
  <si>
    <t>F10000001216</t>
  </si>
  <si>
    <t>SWISHER JASON SCOTT</t>
  </si>
  <si>
    <t>138 CHARLIE REEVES ROAD</t>
  </si>
  <si>
    <t>F10000001219</t>
  </si>
  <si>
    <t>LESTER RODNEY L</t>
  </si>
  <si>
    <t>LESTER JUDY A</t>
  </si>
  <si>
    <t>144 SHEFFIELD FARMS TRAIL</t>
  </si>
  <si>
    <t>E900000644</t>
  </si>
  <si>
    <t>MITCHELL GEORGE R</t>
  </si>
  <si>
    <t>MITCHELL NANCY S</t>
  </si>
  <si>
    <t>106 ST ANDREWS DRIVE</t>
  </si>
  <si>
    <t>E900000662</t>
  </si>
  <si>
    <t>FINK JAMES THOMAS SR</t>
  </si>
  <si>
    <t>FINK MARJORIE L</t>
  </si>
  <si>
    <t>139 ST ANDREWS DRIVE</t>
  </si>
  <si>
    <t>F10000002601</t>
  </si>
  <si>
    <t>SWISHER JOHN WAYNE</t>
  </si>
  <si>
    <t>189 CHARLIE REEVES ROAD</t>
  </si>
  <si>
    <t>28634-8900</t>
  </si>
  <si>
    <t>F100000037</t>
  </si>
  <si>
    <t>GAITHER DOROTHY W</t>
  </si>
  <si>
    <t>1808 COUNTY LINE ROAD</t>
  </si>
  <si>
    <t>28634-8910</t>
  </si>
  <si>
    <t>E900000687</t>
  </si>
  <si>
    <t>SEKELSKY MICHAEL P</t>
  </si>
  <si>
    <t>SEKELSKY LAURA P</t>
  </si>
  <si>
    <t>473 NORTH HIDDENBROOKE DRIVE</t>
  </si>
  <si>
    <t>F10000004201</t>
  </si>
  <si>
    <t>LAGLE WILLIAM HUGH JR</t>
  </si>
  <si>
    <t>LAGEL E AURELIA WILSON</t>
  </si>
  <si>
    <t>152 GUY GAITHER ROAD</t>
  </si>
  <si>
    <t>28634-8916</t>
  </si>
  <si>
    <t>F100000046</t>
  </si>
  <si>
    <t>SPRY NORMAN S</t>
  </si>
  <si>
    <t>SPRY LOUISE B</t>
  </si>
  <si>
    <t>1691 COUNTY LINE ROAD</t>
  </si>
  <si>
    <t>F100000047</t>
  </si>
  <si>
    <t>SPRY ROBERT L</t>
  </si>
  <si>
    <t>SPRY JANIE B</t>
  </si>
  <si>
    <t>1673 COUNTY LINE ROAD</t>
  </si>
  <si>
    <t>28634-8909</t>
  </si>
  <si>
    <t>F10000004810</t>
  </si>
  <si>
    <t>HENDRIX LYNN B</t>
  </si>
  <si>
    <t>118 EDWARDS ROAD</t>
  </si>
  <si>
    <t>F10000004801</t>
  </si>
  <si>
    <t>SPRY JEFFREY T</t>
  </si>
  <si>
    <t>1676 COUNTY LINE ROAD</t>
  </si>
  <si>
    <t>F10000004802</t>
  </si>
  <si>
    <t>KELLER TIMOTHY LEE</t>
  </si>
  <si>
    <t>KELLER TONDA RENEE</t>
  </si>
  <si>
    <t>1640 COUNTY LINE ROAD</t>
  </si>
  <si>
    <t>F10000004805</t>
  </si>
  <si>
    <t>RAMSEY DELBERT D</t>
  </si>
  <si>
    <t>RAMSEY WENDY A</t>
  </si>
  <si>
    <t>1661 COUNTY LINE ROAD</t>
  </si>
  <si>
    <t>F10000004803</t>
  </si>
  <si>
    <t>F10000004804</t>
  </si>
  <si>
    <t>SPRY SONYA DIANE</t>
  </si>
  <si>
    <t>1688 COUNTY LINE ROAD</t>
  </si>
  <si>
    <t>F100000062</t>
  </si>
  <si>
    <t>PREVETTE TONY E</t>
  </si>
  <si>
    <t>PREVETTE TINA D</t>
  </si>
  <si>
    <t>226 EDWARDS RD</t>
  </si>
  <si>
    <t>F100000053</t>
  </si>
  <si>
    <t>G10000000502</t>
  </si>
  <si>
    <t>E900000689</t>
  </si>
  <si>
    <t>BENNETT TIMOTHY L</t>
  </si>
  <si>
    <t>BENNETT JULIA G</t>
  </si>
  <si>
    <t>495 N. HIDDENBROOKE DRIVE</t>
  </si>
  <si>
    <t>27006-7321</t>
  </si>
  <si>
    <t>E9150A0012</t>
  </si>
  <si>
    <t>EVANS RICKY W</t>
  </si>
  <si>
    <t>EVANS NANCY</t>
  </si>
  <si>
    <t>252 HIDDEN CREEK DRIVE</t>
  </si>
  <si>
    <t>E9150A0017</t>
  </si>
  <si>
    <t>E9150A0039</t>
  </si>
  <si>
    <t>PAGE MICHAEL L</t>
  </si>
  <si>
    <t>PAGE SHARON M</t>
  </si>
  <si>
    <t>174 TALWOOD DRIVE</t>
  </si>
  <si>
    <t>F1020A0006</t>
  </si>
  <si>
    <t>ROBERTS GUY DAVID</t>
  </si>
  <si>
    <t>ROBERTS CARLA JEAN</t>
  </si>
  <si>
    <t>373 SHEFFIELD FARMS TRAIL</t>
  </si>
  <si>
    <t>F1020A0008</t>
  </si>
  <si>
    <t>ROUSE MARK ANTHONY</t>
  </si>
  <si>
    <t>ROUSE BETSY JEAN</t>
  </si>
  <si>
    <t>416 SHEFFIELD FARMS TRAIL</t>
  </si>
  <si>
    <t>F1020A0010</t>
  </si>
  <si>
    <t>MARSHALL JAMES DAVID</t>
  </si>
  <si>
    <t>316 SHEFFIELD FARMS TRAIL</t>
  </si>
  <si>
    <t>E9150A0064</t>
  </si>
  <si>
    <t>LANE GEORGE RENE</t>
  </si>
  <si>
    <t>LANE KIMBERLY RHEA SMITH</t>
  </si>
  <si>
    <t>135 FIELDWOOD DRIVE</t>
  </si>
  <si>
    <t>27006-9322</t>
  </si>
  <si>
    <t>F200000015</t>
  </si>
  <si>
    <t>LYPKA GILBERT</t>
  </si>
  <si>
    <t>257 DUKE WHITTAKER ROAD</t>
  </si>
  <si>
    <t>F20000001501</t>
  </si>
  <si>
    <t>E9150A006401</t>
  </si>
  <si>
    <t>HIDDEN CREEK HOME OWNERS ASSOC</t>
  </si>
  <si>
    <t>PO BOX 2048</t>
  </si>
  <si>
    <t>F200000022</t>
  </si>
  <si>
    <t>AUSTIN C MICHAEL</t>
  </si>
  <si>
    <t>304 GEORGIA ROAD</t>
  </si>
  <si>
    <t>27028-5802</t>
  </si>
  <si>
    <t>F20000002312</t>
  </si>
  <si>
    <t>GOLDING JOSEPH ANTHONY</t>
  </si>
  <si>
    <t>326 GEORGIA ROAD</t>
  </si>
  <si>
    <t>F20000002306</t>
  </si>
  <si>
    <t>BARBER ADAM</t>
  </si>
  <si>
    <t>375 GEORGIA ROAD</t>
  </si>
  <si>
    <t>F20000002308</t>
  </si>
  <si>
    <t>DAVENPORT THOMAS J</t>
  </si>
  <si>
    <t>DAVENPORT JENNIFER L</t>
  </si>
  <si>
    <t>359 GEORGIA ROAD</t>
  </si>
  <si>
    <t>E9150B0024</t>
  </si>
  <si>
    <t>PECK WILLIAM ARTHUR</t>
  </si>
  <si>
    <t>PECK PATRIC CLARK</t>
  </si>
  <si>
    <t>150 ORCHARD PARK DRIVE</t>
  </si>
  <si>
    <t>E9150B0049</t>
  </si>
  <si>
    <t>PHILLIPS MICHAEL W</t>
  </si>
  <si>
    <t>PHILLIPS KATHRYN P</t>
  </si>
  <si>
    <t>196 SYCAMORE RIDGE DRIVE</t>
  </si>
  <si>
    <t>E9150B0080</t>
  </si>
  <si>
    <t>MONTGOMERY DAVID P JR</t>
  </si>
  <si>
    <t>MONTGOMERY MOLLY D</t>
  </si>
  <si>
    <t>133 SYCAMORE COMMONS LN</t>
  </si>
  <si>
    <t>F200000038</t>
  </si>
  <si>
    <t>ROGERS PAUL</t>
  </si>
  <si>
    <t>ROGERS KATHY M</t>
  </si>
  <si>
    <t>1339 SHEFFIELD ROAD</t>
  </si>
  <si>
    <t>F200000040</t>
  </si>
  <si>
    <t>VANCE ANDREW A JR</t>
  </si>
  <si>
    <t>509 MAUPIN AVENUE</t>
  </si>
  <si>
    <t>28144-6323</t>
  </si>
  <si>
    <t>F200000039  A</t>
  </si>
  <si>
    <t>F20000004203</t>
  </si>
  <si>
    <t>BLACKWELDER ROBERT ALLAN</t>
  </si>
  <si>
    <t>124 NC HIGHWAY 901</t>
  </si>
  <si>
    <t>I100000021</t>
  </si>
  <si>
    <t>I100000023</t>
  </si>
  <si>
    <t>F200000044</t>
  </si>
  <si>
    <t>BUMGARNER GARY JR</t>
  </si>
  <si>
    <t>898 RALPH RATLEDGE ROAD</t>
  </si>
  <si>
    <t>F200000045</t>
  </si>
  <si>
    <t>WHITE GLENN M</t>
  </si>
  <si>
    <t>WHITE WANDA G</t>
  </si>
  <si>
    <t>1003 SHEFFIELD ROAD</t>
  </si>
  <si>
    <t>27028-8411</t>
  </si>
  <si>
    <t>F20000004409</t>
  </si>
  <si>
    <t>F20000004410</t>
  </si>
  <si>
    <t>WHITE MICHAEL LEE</t>
  </si>
  <si>
    <t>998 SHEFFIELD ROAD</t>
  </si>
  <si>
    <t>F200000050</t>
  </si>
  <si>
    <t>WHITE JAMIE RICHARD</t>
  </si>
  <si>
    <t>WHITE WENDI JONES</t>
  </si>
  <si>
    <t>840 RALPH RATLEDGE ROAD</t>
  </si>
  <si>
    <t>F200000048</t>
  </si>
  <si>
    <t>F20000004603</t>
  </si>
  <si>
    <t>F200000049</t>
  </si>
  <si>
    <t>F20000004901</t>
  </si>
  <si>
    <t>G300000001</t>
  </si>
  <si>
    <t>CHAFFIN GERALD W</t>
  </si>
  <si>
    <t>775 RALPH RATLEDGE ROAD</t>
  </si>
  <si>
    <t>G200000021</t>
  </si>
  <si>
    <t>G20000002102</t>
  </si>
  <si>
    <t>F200000051</t>
  </si>
  <si>
    <t>ALLEN EVERETTE GRAY</t>
  </si>
  <si>
    <t>7613 HUMIE OLIVE ROAD</t>
  </si>
  <si>
    <t>APEX</t>
  </si>
  <si>
    <t>27502-9670</t>
  </si>
  <si>
    <t>F200000052</t>
  </si>
  <si>
    <t>GOBBLE DONALD G</t>
  </si>
  <si>
    <t>GOBBLE PATRICIA J</t>
  </si>
  <si>
    <t>523 RALPH RATLEDGE ROAD</t>
  </si>
  <si>
    <t>E900000481</t>
  </si>
  <si>
    <t>SMITH RICHARD A</t>
  </si>
  <si>
    <t>SMITH LYNNE B</t>
  </si>
  <si>
    <t>116 SOUTH MILLBROOKE COURT</t>
  </si>
  <si>
    <t>F200000055</t>
  </si>
  <si>
    <t>ROUSE JOHN STEVEN</t>
  </si>
  <si>
    <t>ROUSE DONNA TRIVETTE</t>
  </si>
  <si>
    <t>396 RALPH RATLEDGE ROAD</t>
  </si>
  <si>
    <t>F30000000501</t>
  </si>
  <si>
    <t>BARNEYCASTLE JEFFERY E</t>
  </si>
  <si>
    <t>BARNEYCASTLE KARLA D</t>
  </si>
  <si>
    <t>3203 US HIGHWAY 601 NORTH</t>
  </si>
  <si>
    <t>J5150A0010</t>
  </si>
  <si>
    <t>ANDERSON JAMES S</t>
  </si>
  <si>
    <t>ANDERSON KAREN S</t>
  </si>
  <si>
    <t>177 HICKORY DRIVE</t>
  </si>
  <si>
    <t>27028-4211</t>
  </si>
  <si>
    <t>E9150B0108</t>
  </si>
  <si>
    <t>WHITE LELAND ALLEN</t>
  </si>
  <si>
    <t>WHITE SHARON MORRIS</t>
  </si>
  <si>
    <t>349 ORCHARD PARK DRIVE</t>
  </si>
  <si>
    <t>F300000008</t>
  </si>
  <si>
    <t>HORNE LUTHER S JR</t>
  </si>
  <si>
    <t>204 CALIFORNIA LANE</t>
  </si>
  <si>
    <t>27028-4662</t>
  </si>
  <si>
    <t>F300000016</t>
  </si>
  <si>
    <t>KISER JILL B</t>
  </si>
  <si>
    <t>241 RALPH RATLEDGE ROAD</t>
  </si>
  <si>
    <t>F300000018</t>
  </si>
  <si>
    <t>F300000017</t>
  </si>
  <si>
    <t>F30000002202</t>
  </si>
  <si>
    <t>CRANFILL KATHY TRIVETTE</t>
  </si>
  <si>
    <t>834 WAGNER ROAD</t>
  </si>
  <si>
    <t>F30000002201</t>
  </si>
  <si>
    <t>F30000002209</t>
  </si>
  <si>
    <t>CRANFILL BRYAN HEATH</t>
  </si>
  <si>
    <t>863 WAGNER ROAD</t>
  </si>
  <si>
    <t>27028-4959</t>
  </si>
  <si>
    <t>F30000002203</t>
  </si>
  <si>
    <t>F30000002204</t>
  </si>
  <si>
    <t>CRANFILL PAUL H</t>
  </si>
  <si>
    <t>CRANFILL DELAINE K</t>
  </si>
  <si>
    <t>844 WAGNER ROAD</t>
  </si>
  <si>
    <t>E9150B0118</t>
  </si>
  <si>
    <t>NICHOLS SAM G</t>
  </si>
  <si>
    <t>NICHOLS SHELBY F</t>
  </si>
  <si>
    <t>403 ORCHARD PARK DRIVE</t>
  </si>
  <si>
    <t>E9150B0144</t>
  </si>
  <si>
    <t>COBBS JOSEPH BAILEY</t>
  </si>
  <si>
    <t>COBBS BONNIE SUE H</t>
  </si>
  <si>
    <t>109 BRIDGEWOOD LANE</t>
  </si>
  <si>
    <t>F300000039</t>
  </si>
  <si>
    <t>LUCERO LUIS</t>
  </si>
  <si>
    <t>SAUCEDO MACRINO</t>
  </si>
  <si>
    <t>2967 US HIGHWAY 601 NORTH</t>
  </si>
  <si>
    <t>F300000042</t>
  </si>
  <si>
    <t>KINYOUN LEE</t>
  </si>
  <si>
    <t>KINYOUN KIM</t>
  </si>
  <si>
    <t>2999 NORTH US HIGHWAY 601</t>
  </si>
  <si>
    <t>E9150B0147</t>
  </si>
  <si>
    <t>NEWMAN JACK L</t>
  </si>
  <si>
    <t>NEWMAN PATSY R</t>
  </si>
  <si>
    <t>125 BRIDGEWOOD LANE</t>
  </si>
  <si>
    <t>27006-7312</t>
  </si>
  <si>
    <t>E9150B0148</t>
  </si>
  <si>
    <t>WALKER DOUGLAS D</t>
  </si>
  <si>
    <t>WALKER CAROLYN WILLIFORD</t>
  </si>
  <si>
    <t>346 ORCHARD PARK DR</t>
  </si>
  <si>
    <t>E9150B0151</t>
  </si>
  <si>
    <t>MURPHY JOSEPH L JR</t>
  </si>
  <si>
    <t>MURPHY SHARON K</t>
  </si>
  <si>
    <t>167 SYCAMORE RIDGE DR</t>
  </si>
  <si>
    <t>F10000000307</t>
  </si>
  <si>
    <t>ATKINS CHRISTOPHER BRITT</t>
  </si>
  <si>
    <t>ATKINS JECCA L</t>
  </si>
  <si>
    <t>116 HARDY ROAD</t>
  </si>
  <si>
    <t>F10000001206</t>
  </si>
  <si>
    <t>MARROQUIN LOUIS M</t>
  </si>
  <si>
    <t>MARROQUIN BOBBIE J</t>
  </si>
  <si>
    <t>345 SHEFFIELD FARMS TRAIL</t>
  </si>
  <si>
    <t>F100000015</t>
  </si>
  <si>
    <t>F100000020</t>
  </si>
  <si>
    <t>DYSON JUSTIN W</t>
  </si>
  <si>
    <t>DYSON HEATHER</t>
  </si>
  <si>
    <t>468 DYSON ROAD</t>
  </si>
  <si>
    <t>F100000023</t>
  </si>
  <si>
    <t>SHEFFIELD CALAHALN COMM CTR</t>
  </si>
  <si>
    <t>1325 MONTLIEU DRIVE</t>
  </si>
  <si>
    <t>RURAL HALL</t>
  </si>
  <si>
    <t>27045-0000</t>
  </si>
  <si>
    <t>F300000070</t>
  </si>
  <si>
    <t>VOGT KENNETH L</t>
  </si>
  <si>
    <t>VOGT BRENDA J</t>
  </si>
  <si>
    <t>337 BRACKEN ROAD</t>
  </si>
  <si>
    <t>F30000006901</t>
  </si>
  <si>
    <t>CONTOS JOHN NICHOLAS III</t>
  </si>
  <si>
    <t>CONTOS LORINDA</t>
  </si>
  <si>
    <t>325 BRACKEN ROAD</t>
  </si>
  <si>
    <t>F30000007301</t>
  </si>
  <si>
    <t>KELLY TODD A</t>
  </si>
  <si>
    <t>KELLY APRIL</t>
  </si>
  <si>
    <t>254 BRACKEN ROAD</t>
  </si>
  <si>
    <t>F300000074</t>
  </si>
  <si>
    <t>HERNANDEZ AGUSTIN MOJICA</t>
  </si>
  <si>
    <t>HERNANDEZ MARIA ZAMORA</t>
  </si>
  <si>
    <t>229 CANDLEWICK LANE</t>
  </si>
  <si>
    <t>F30000007801</t>
  </si>
  <si>
    <t>BEATY GREGORY A</t>
  </si>
  <si>
    <t>2934 US HIGHWAY 601 NORTH</t>
  </si>
  <si>
    <t>F30000007805A</t>
  </si>
  <si>
    <t>NORMAN MARY B</t>
  </si>
  <si>
    <t>NORMAN JERRY</t>
  </si>
  <si>
    <t>2884 US HIGHWAY 601 NORTH</t>
  </si>
  <si>
    <t>F300000113</t>
  </si>
  <si>
    <t>DAVIDSON KIMBERLY STORIE</t>
  </si>
  <si>
    <t>DAVIDSON KEITH</t>
  </si>
  <si>
    <t>132 HAPPY TRAIL</t>
  </si>
  <si>
    <t>F100000040</t>
  </si>
  <si>
    <t>VAUGHN CHRISTOPHER DANIEL</t>
  </si>
  <si>
    <t>VAUGHN CANDACE FAY</t>
  </si>
  <si>
    <t>158 GUY GAITHER ROAD</t>
  </si>
  <si>
    <t>F300000086</t>
  </si>
  <si>
    <t>ROSE RENAE L</t>
  </si>
  <si>
    <t>ROSE MATTHEW J</t>
  </si>
  <si>
    <t>1541 OLD COACH ROAD</t>
  </si>
  <si>
    <t>F300000094  A</t>
  </si>
  <si>
    <t>MITCHELL GAYLE JOHNSON</t>
  </si>
  <si>
    <t>734 OLIN LOOP</t>
  </si>
  <si>
    <t>OLIN</t>
  </si>
  <si>
    <t>28660-9450</t>
  </si>
  <si>
    <t>F300000095</t>
  </si>
  <si>
    <t>GHOLSON AMY</t>
  </si>
  <si>
    <t>GHOLSON BRUCE</t>
  </si>
  <si>
    <t>191 CAMELLIA LANE</t>
  </si>
  <si>
    <t>E100000001</t>
  </si>
  <si>
    <t>POPLIN BRIAN LEIGH</t>
  </si>
  <si>
    <t>POPLIN LISA S</t>
  </si>
  <si>
    <t>431 SHEFFIELD FARMS TRAIL</t>
  </si>
  <si>
    <t>28634-9195</t>
  </si>
  <si>
    <t>F100000054</t>
  </si>
  <si>
    <t>F1020A0022</t>
  </si>
  <si>
    <t>F1020A0003</t>
  </si>
  <si>
    <t>LEWIS ROBERT S</t>
  </si>
  <si>
    <t>LEWIS ETTERWA F</t>
  </si>
  <si>
    <t>267 SHEFFIELD FARMS TRAIL</t>
  </si>
  <si>
    <t>F200000014</t>
  </si>
  <si>
    <t>LEE AMY MICHELE</t>
  </si>
  <si>
    <t>2058 LAKE FOUNTAIN DRIVE</t>
  </si>
  <si>
    <t>KATY</t>
  </si>
  <si>
    <t>77494-0000</t>
  </si>
  <si>
    <t>F20000002101</t>
  </si>
  <si>
    <t>JOYNER CLEVELAND HAL</t>
  </si>
  <si>
    <t>JOYNER IVY M</t>
  </si>
  <si>
    <t>384 DUKE WHITTAKER ROAD</t>
  </si>
  <si>
    <t>27028-5742</t>
  </si>
  <si>
    <t>F30000010401</t>
  </si>
  <si>
    <t>MURPHY BILLY G</t>
  </si>
  <si>
    <t>MURPHY VICTORIA M</t>
  </si>
  <si>
    <t>181 BLACKWELDER ROAD</t>
  </si>
  <si>
    <t>F300000106</t>
  </si>
  <si>
    <t>PALMETTO CHURCH CEMETERY ASSOC</t>
  </si>
  <si>
    <t>ROUTE 6 BOX 296</t>
  </si>
  <si>
    <t>F300000111</t>
  </si>
  <si>
    <t>RAMSUE NELLIE RUTH</t>
  </si>
  <si>
    <t>HOLLIS EDMONIA H</t>
  </si>
  <si>
    <t>2651 US HIGHWAY 601 NORTH</t>
  </si>
  <si>
    <t>F3010A0004</t>
  </si>
  <si>
    <t>DODD RICHARD W</t>
  </si>
  <si>
    <t>DODD DIANNA L</t>
  </si>
  <si>
    <t>128 SUMTER ROAD</t>
  </si>
  <si>
    <t>27028-4980</t>
  </si>
  <si>
    <t>F3010A0003</t>
  </si>
  <si>
    <t>F200000024</t>
  </si>
  <si>
    <t>HUTCHENS WILLIAM GARY</t>
  </si>
  <si>
    <t>505 GEORGIA ROAD</t>
  </si>
  <si>
    <t>F20000002602</t>
  </si>
  <si>
    <t>LEWIS DORIS M</t>
  </si>
  <si>
    <t>150 LORRIANE DRIVE</t>
  </si>
  <si>
    <t>F3010A0010</t>
  </si>
  <si>
    <t>HENNE KENNETH</t>
  </si>
  <si>
    <t>HENNE FREEDA</t>
  </si>
  <si>
    <t>168 CITADEL RD</t>
  </si>
  <si>
    <t>27028-4979</t>
  </si>
  <si>
    <t>F3010A0013</t>
  </si>
  <si>
    <t>NEWMAN GEORGE ANDRE</t>
  </si>
  <si>
    <t>NEWMAN ANNA MARIA</t>
  </si>
  <si>
    <t>134 CITADEL ROAD</t>
  </si>
  <si>
    <t>F200000035</t>
  </si>
  <si>
    <t>CLEARY CHARLIE M</t>
  </si>
  <si>
    <t>CLEARY PATRICIA S</t>
  </si>
  <si>
    <t>PO BOX 95</t>
  </si>
  <si>
    <t>F200000054</t>
  </si>
  <si>
    <t>GOBBLE JOHN ODELL</t>
  </si>
  <si>
    <t>443 RALPH RATLEDGE ROAD</t>
  </si>
  <si>
    <t>27028-8329</t>
  </si>
  <si>
    <t>E9150B0100</t>
  </si>
  <si>
    <t>BLIXT LESLIE J</t>
  </si>
  <si>
    <t>317 ORCHARD PARK DRIVE</t>
  </si>
  <si>
    <t>F3130A0038</t>
  </si>
  <si>
    <t>WOODARD HUGH W</t>
  </si>
  <si>
    <t>WOODARD BARBARA P</t>
  </si>
  <si>
    <t>149 PEPPERSTONE DRIVE</t>
  </si>
  <si>
    <t>F3130A0046</t>
  </si>
  <si>
    <t>LEMUS JOSE OMAR ROMERO</t>
  </si>
  <si>
    <t>246 DANNER ROAD</t>
  </si>
  <si>
    <t>E9150B0101</t>
  </si>
  <si>
    <t>LUPER JAMES F</t>
  </si>
  <si>
    <t>LUPER ANNE A</t>
  </si>
  <si>
    <t>323 ORCHARD PARK DRIVE</t>
  </si>
  <si>
    <t>F300000034</t>
  </si>
  <si>
    <t>BLACKWELDER BERTHA LOUISE</t>
  </si>
  <si>
    <t>240 GUERNSEY LANE</t>
  </si>
  <si>
    <t>F30000003801</t>
  </si>
  <si>
    <t>RICHIE LINDA Y</t>
  </si>
  <si>
    <t>27028-5954</t>
  </si>
  <si>
    <t>F400000059</t>
  </si>
  <si>
    <t>BARNEY DOUGLAS B</t>
  </si>
  <si>
    <t>BARNEY FAYE ALLEN</t>
  </si>
  <si>
    <t>524 CANA ROAD</t>
  </si>
  <si>
    <t>27028-5703</t>
  </si>
  <si>
    <t>F400000020</t>
  </si>
  <si>
    <t>BARNEY LINDA FAYE</t>
  </si>
  <si>
    <t>F400000042</t>
  </si>
  <si>
    <t>F40000002802A</t>
  </si>
  <si>
    <t>JORDAN JAMES C</t>
  </si>
  <si>
    <t>JORDAN FRIEDA W</t>
  </si>
  <si>
    <t>711 CANA ROAD</t>
  </si>
  <si>
    <t>F40000002805</t>
  </si>
  <si>
    <t>F40000002804</t>
  </si>
  <si>
    <t>F40000003002</t>
  </si>
  <si>
    <t>IRELAND CLYDE WAYNE</t>
  </si>
  <si>
    <t>IRELAND BETTY S</t>
  </si>
  <si>
    <t>695 CANA ROAD</t>
  </si>
  <si>
    <t>F300000044</t>
  </si>
  <si>
    <t>BROWN L J HEIRS</t>
  </si>
  <si>
    <t>BROWN BERTHA HEIRS</t>
  </si>
  <si>
    <t>3029 US HIGHWAY 601 NORTH</t>
  </si>
  <si>
    <t>F300000048</t>
  </si>
  <si>
    <t>F300000052</t>
  </si>
  <si>
    <t>F30000005703</t>
  </si>
  <si>
    <t>BRACKEN GEORGE KEITH</t>
  </si>
  <si>
    <t>BRACKEN TRACY S</t>
  </si>
  <si>
    <t>PO BOX 514</t>
  </si>
  <si>
    <t>27028-0514</t>
  </si>
  <si>
    <t>F30000006201</t>
  </si>
  <si>
    <t>RUMPLE DWIGHT FRANKLIN</t>
  </si>
  <si>
    <t>3174 US HIGHWAY 601 NORTH</t>
  </si>
  <si>
    <t>F300000066</t>
  </si>
  <si>
    <t>COOK ANTHONY B</t>
  </si>
  <si>
    <t>10 TILDEN COURT</t>
  </si>
  <si>
    <t>SIMPSONVILLE</t>
  </si>
  <si>
    <t>29680-0000</t>
  </si>
  <si>
    <t>F40000004801</t>
  </si>
  <si>
    <t>HAYMAKER JAMES ROBERT</t>
  </si>
  <si>
    <t>1001 ANGEL ROAD</t>
  </si>
  <si>
    <t>F40000005101</t>
  </si>
  <si>
    <t>BOWERS PATRICIA L HOWARD</t>
  </si>
  <si>
    <t>1105 ANGELL ROAD</t>
  </si>
  <si>
    <t>F300000067</t>
  </si>
  <si>
    <t>NAYLOR TERRY F</t>
  </si>
  <si>
    <t>NAYLOR MARTHA B</t>
  </si>
  <si>
    <t>199 BRACKEN ROAD</t>
  </si>
  <si>
    <t>F40000005102</t>
  </si>
  <si>
    <t>POPE CHARLES M</t>
  </si>
  <si>
    <t>POPE CYNTHIA A</t>
  </si>
  <si>
    <t>1135 ANGELL ROAD</t>
  </si>
  <si>
    <t>27028-5615</t>
  </si>
  <si>
    <t>F500000001</t>
  </si>
  <si>
    <t>ANDREWS DAVID BRIAN</t>
  </si>
  <si>
    <t>ANDREWS HEIDI KLUGE</t>
  </si>
  <si>
    <t>157 SWEET CREEK TRAIL</t>
  </si>
  <si>
    <t>27028-5667</t>
  </si>
  <si>
    <t>F500000006</t>
  </si>
  <si>
    <t>CORNELISON JERRY</t>
  </si>
  <si>
    <t>707 ANGELL ROAD</t>
  </si>
  <si>
    <t>27028-5611</t>
  </si>
  <si>
    <t>F500000005</t>
  </si>
  <si>
    <t>F30000006805</t>
  </si>
  <si>
    <t>NAYLOR AARON A</t>
  </si>
  <si>
    <t>NAYLOR LINDSEY E</t>
  </si>
  <si>
    <t>241 BRACKEN ROAD</t>
  </si>
  <si>
    <t>F50000001102</t>
  </si>
  <si>
    <t>GOINS ROBERT KEVIN</t>
  </si>
  <si>
    <t>GOINS EVALEE</t>
  </si>
  <si>
    <t>541 ANGEL ROAD</t>
  </si>
  <si>
    <t>27040-5609</t>
  </si>
  <si>
    <t>F50000001106</t>
  </si>
  <si>
    <t>RICH FREDERICK A</t>
  </si>
  <si>
    <t>RICH KIMBERLY GOINS</t>
  </si>
  <si>
    <t>2001 BLANCHARD STREET</t>
  </si>
  <si>
    <t>27502-0000</t>
  </si>
  <si>
    <t>F500000014</t>
  </si>
  <si>
    <t>HUNT JANICE HILLHOUSE</t>
  </si>
  <si>
    <t>399 ANGELL ROAD</t>
  </si>
  <si>
    <t>27028-5607</t>
  </si>
  <si>
    <t>G3140A0003</t>
  </si>
  <si>
    <t>F50000001601</t>
  </si>
  <si>
    <t>WHITE LUTHER F</t>
  </si>
  <si>
    <t>WHITE LOLA P</t>
  </si>
  <si>
    <t>414 ANGELL ROAD</t>
  </si>
  <si>
    <t>F500000016</t>
  </si>
  <si>
    <t>F500000022</t>
  </si>
  <si>
    <t>MILLER ELVA G</t>
  </si>
  <si>
    <t>G500000080</t>
  </si>
  <si>
    <t>J4040G0011</t>
  </si>
  <si>
    <t>F50000003001</t>
  </si>
  <si>
    <t>F300000080</t>
  </si>
  <si>
    <t>CHESTNUT GROVE UNITED METHOD</t>
  </si>
  <si>
    <t>2812 US HIGHWAY 601 NORTH</t>
  </si>
  <si>
    <t>F300000101</t>
  </si>
  <si>
    <t>CREASON TERRY RAY</t>
  </si>
  <si>
    <t>CREASON KAREN DIANE SHORE</t>
  </si>
  <si>
    <t>2578 US HIGHWAY 601 NORTH</t>
  </si>
  <si>
    <t>27028-5950</t>
  </si>
  <si>
    <t>F30000010101</t>
  </si>
  <si>
    <t>F40000003805</t>
  </si>
  <si>
    <t>F30000010103</t>
  </si>
  <si>
    <t>I4060A0016</t>
  </si>
  <si>
    <t>G30000005401</t>
  </si>
  <si>
    <t>F3010A0009</t>
  </si>
  <si>
    <t>F3010A0011</t>
  </si>
  <si>
    <t>F3130A0015</t>
  </si>
  <si>
    <t>MCDANIEL JOHN NELSON JR</t>
  </si>
  <si>
    <t>MCDANIEL LINDA S</t>
  </si>
  <si>
    <t>226 PEPPERSTONE DRIVE</t>
  </si>
  <si>
    <t>I5080B0030</t>
  </si>
  <si>
    <t>BOARD OF EDUCATION</t>
  </si>
  <si>
    <t>220 CHERRY STREET</t>
  </si>
  <si>
    <t>I5010C0023</t>
  </si>
  <si>
    <t>J40000000101</t>
  </si>
  <si>
    <t>I500000004</t>
  </si>
  <si>
    <t>J50000004101</t>
  </si>
  <si>
    <t>J5160A0005</t>
  </si>
  <si>
    <t>I5160B0001</t>
  </si>
  <si>
    <t>J5160A000905</t>
  </si>
  <si>
    <t>M5160D0001</t>
  </si>
  <si>
    <t>F50000004101A</t>
  </si>
  <si>
    <t>HOUCK JAMES HAROLD</t>
  </si>
  <si>
    <t>PO BOX 1565</t>
  </si>
  <si>
    <t>F500000045</t>
  </si>
  <si>
    <t>VULCAN LANDS INC</t>
  </si>
  <si>
    <t>1200 URBAN CENTER DRIVE</t>
  </si>
  <si>
    <t>FIXED ASSETS 1401-843</t>
  </si>
  <si>
    <t>BIRMINGHAM</t>
  </si>
  <si>
    <t>AL</t>
  </si>
  <si>
    <t>35242-0000</t>
  </si>
  <si>
    <t>E50000002402</t>
  </si>
  <si>
    <t>F500000044</t>
  </si>
  <si>
    <t>E50000002401</t>
  </si>
  <si>
    <t>F500000042</t>
  </si>
  <si>
    <t>F50000004302</t>
  </si>
  <si>
    <t>F50000004301</t>
  </si>
  <si>
    <t>F50000004305</t>
  </si>
  <si>
    <t>DAVIS WILMA SMITH TRUST</t>
  </si>
  <si>
    <t>SINGLETON JOHN A TRUSTEE</t>
  </si>
  <si>
    <t>602 SINGLETON ROAD</t>
  </si>
  <si>
    <t>27028-6839</t>
  </si>
  <si>
    <t>F50000004304</t>
  </si>
  <si>
    <t>F500000043</t>
  </si>
  <si>
    <t>F50000004901</t>
  </si>
  <si>
    <t>FARMSTEAD LANE LMTD PARTNERSHI</t>
  </si>
  <si>
    <t>120 FARMSTEAD LANE</t>
  </si>
  <si>
    <t>F500000050</t>
  </si>
  <si>
    <t>F500000034</t>
  </si>
  <si>
    <t>F50000003204</t>
  </si>
  <si>
    <t>F50000005301</t>
  </si>
  <si>
    <t>F500000049</t>
  </si>
  <si>
    <t>G500000069</t>
  </si>
  <si>
    <t>SEATS CLYDE</t>
  </si>
  <si>
    <t>2764 US HIGHWAY 158</t>
  </si>
  <si>
    <t>G500000072</t>
  </si>
  <si>
    <t>F500000055</t>
  </si>
  <si>
    <t>F60000000201</t>
  </si>
  <si>
    <t>HUNGERFORD STEVEN WILLIAM</t>
  </si>
  <si>
    <t>HUNGERFORD LORENA L</t>
  </si>
  <si>
    <t>3125 US HWY 158</t>
  </si>
  <si>
    <t>27028-7838</t>
  </si>
  <si>
    <t>F60000000205</t>
  </si>
  <si>
    <t>F3130A0029</t>
  </si>
  <si>
    <t>GRIFFIN JOHN D</t>
  </si>
  <si>
    <t>GRIFFIN TAMELA C</t>
  </si>
  <si>
    <t>116 PEPPERSTONE PLACE</t>
  </si>
  <si>
    <t>F600000015</t>
  </si>
  <si>
    <t>HENDRIX CHARLES DONALD</t>
  </si>
  <si>
    <t>HENDRIX ALICE M</t>
  </si>
  <si>
    <t>110 DULIN ROAD</t>
  </si>
  <si>
    <t>G600000100</t>
  </si>
  <si>
    <t>G60000009401</t>
  </si>
  <si>
    <t>F600000014</t>
  </si>
  <si>
    <t>MULLIS TERRY DEAN II</t>
  </si>
  <si>
    <t>106 EAST RENEE DRIVE</t>
  </si>
  <si>
    <t>F600000020</t>
  </si>
  <si>
    <t>GOMEZ JOSE</t>
  </si>
  <si>
    <t>GOMEZ SANDRA</t>
  </si>
  <si>
    <t>3297 US HIGHWAY 158</t>
  </si>
  <si>
    <t>F600000024</t>
  </si>
  <si>
    <t>FESPERMAN MARTHA</t>
  </si>
  <si>
    <t>3339 US HWY 158</t>
  </si>
  <si>
    <t>F600000026</t>
  </si>
  <si>
    <t>PAIGE JEFFREY CECIL</t>
  </si>
  <si>
    <t>3365 US HIGHWAY 158</t>
  </si>
  <si>
    <t>27028-7840</t>
  </si>
  <si>
    <t>F60000002601</t>
  </si>
  <si>
    <t>F3130A0037</t>
  </si>
  <si>
    <t>FLEMING CRYSTAL D</t>
  </si>
  <si>
    <t>FLEMING MARY C</t>
  </si>
  <si>
    <t>159 PEPPERSTONE DRIVE</t>
  </si>
  <si>
    <t>27028-5946</t>
  </si>
  <si>
    <t>F600000033</t>
  </si>
  <si>
    <t>OAKLEY LONNIE DAVID JR</t>
  </si>
  <si>
    <t>207 PINEBROOK SCHOOL ROAD</t>
  </si>
  <si>
    <t>27028-7747</t>
  </si>
  <si>
    <t>F600000034</t>
  </si>
  <si>
    <t>CRATER ROBERT H</t>
  </si>
  <si>
    <t>217 PINEBROOK SCHOOL ROAD</t>
  </si>
  <si>
    <t>F600000035</t>
  </si>
  <si>
    <t>JAMES STEPHEN D SR</t>
  </si>
  <si>
    <t>JAMES SANDRA L</t>
  </si>
  <si>
    <t>221 PINEBROOK SCHOOL ROAD</t>
  </si>
  <si>
    <t>F600000037  B</t>
  </si>
  <si>
    <t>BARNHARDT LARRY JAMES</t>
  </si>
  <si>
    <t>447 PINEBROOK SCHOOL ROAD</t>
  </si>
  <si>
    <t>27028-7749</t>
  </si>
  <si>
    <t>F60000003701</t>
  </si>
  <si>
    <t>F600000041</t>
  </si>
  <si>
    <t>HOLDER MICHAEL FIELDS</t>
  </si>
  <si>
    <t>HOLDER PATSY BEEDING</t>
  </si>
  <si>
    <t>230 PINEBROOK SCHOOL RD</t>
  </si>
  <si>
    <t>F60000004205</t>
  </si>
  <si>
    <t>F600000042</t>
  </si>
  <si>
    <t>F60000004204</t>
  </si>
  <si>
    <t>MILLER CATHY R</t>
  </si>
  <si>
    <t>378 PINEBROOK SCHOOL ROAD</t>
  </si>
  <si>
    <t>27028-7748</t>
  </si>
  <si>
    <t>F600000046</t>
  </si>
  <si>
    <t>CHRISCOE LACY WAYNE</t>
  </si>
  <si>
    <t>CHRISCOE SARAH S</t>
  </si>
  <si>
    <t>3425 US HIGHWAY 158</t>
  </si>
  <si>
    <t>F60000005204</t>
  </si>
  <si>
    <t>JARVIS RICHARD</t>
  </si>
  <si>
    <t>CICIULLA JOSEPHINE</t>
  </si>
  <si>
    <t>3614 HIGHWAY 158</t>
  </si>
  <si>
    <t>27028-7843</t>
  </si>
  <si>
    <t>F600000052</t>
  </si>
  <si>
    <t>F300000009  A</t>
  </si>
  <si>
    <t>F40000004201</t>
  </si>
  <si>
    <t>F40000003001</t>
  </si>
  <si>
    <t>IRELAND ANDREA DIANE</t>
  </si>
  <si>
    <t>F600000113</t>
  </si>
  <si>
    <t>SPRINKLE RALPH E II</t>
  </si>
  <si>
    <t>SPRINKLE FREDDIE ANN</t>
  </si>
  <si>
    <t>349 BIG OAK LANE</t>
  </si>
  <si>
    <t>F60000005311</t>
  </si>
  <si>
    <t>F60000005301</t>
  </si>
  <si>
    <t>JUDD STEVEN J</t>
  </si>
  <si>
    <t>JUDD HEIDI F</t>
  </si>
  <si>
    <t>3570 US HIGHWAY 158</t>
  </si>
  <si>
    <t>27028-7842</t>
  </si>
  <si>
    <t>F60000005801</t>
  </si>
  <si>
    <t>JOHNSON GILBERT A</t>
  </si>
  <si>
    <t>JOHNSON EVELYN C</t>
  </si>
  <si>
    <t>4644 NORTHVIEW STREET</t>
  </si>
  <si>
    <t>F40000003201</t>
  </si>
  <si>
    <t>BOGER ALAN BRENT</t>
  </si>
  <si>
    <t>493 CANA ROAD</t>
  </si>
  <si>
    <t>27028-5702</t>
  </si>
  <si>
    <t>F600000073</t>
  </si>
  <si>
    <t>BIAS TERRY RALPH</t>
  </si>
  <si>
    <t>127 GRIFFEY TRAIL</t>
  </si>
  <si>
    <t>F600000077</t>
  </si>
  <si>
    <t>F600000078</t>
  </si>
  <si>
    <t>JACOBS CARL EDWARD</t>
  </si>
  <si>
    <t>JACOBS DORIS W</t>
  </si>
  <si>
    <t>130 DULIN ROAD</t>
  </si>
  <si>
    <t>F600000079</t>
  </si>
  <si>
    <t>HENDRIX W G</t>
  </si>
  <si>
    <t>HENDRIX LEAR B</t>
  </si>
  <si>
    <t>144 DULIN ROAD</t>
  </si>
  <si>
    <t>F600000011</t>
  </si>
  <si>
    <t>F40000003804</t>
  </si>
  <si>
    <t>F40000004702</t>
  </si>
  <si>
    <t>SPAINHOUR THOMAS ANTHONY</t>
  </si>
  <si>
    <t>SPAINHOUR TAMMY HALL</t>
  </si>
  <si>
    <t>956 ANGELL ROAD</t>
  </si>
  <si>
    <t>F40000004701</t>
  </si>
  <si>
    <t>MCCULLOH HAL THOMAS JR</t>
  </si>
  <si>
    <t>MCCULLOH PHYLLIS B</t>
  </si>
  <si>
    <t>942 ANGELL ROAD</t>
  </si>
  <si>
    <t>F600000094</t>
  </si>
  <si>
    <t>HASTINGS WANDA KAYE JAMES</t>
  </si>
  <si>
    <t>414 WITHROW ROAD</t>
  </si>
  <si>
    <t>FOREST CITY</t>
  </si>
  <si>
    <t>28043-9693</t>
  </si>
  <si>
    <t>F60000009501</t>
  </si>
  <si>
    <t>HATLEY LAURA R</t>
  </si>
  <si>
    <t>20146-A NC 73 HIGHWAY</t>
  </si>
  <si>
    <t>ALBEMARLE</t>
  </si>
  <si>
    <t>28001-0000</t>
  </si>
  <si>
    <t>F600000102</t>
  </si>
  <si>
    <t>F600000096</t>
  </si>
  <si>
    <t>ANDERSON SUSAN B</t>
  </si>
  <si>
    <t>SPEIGHT JANITA B</t>
  </si>
  <si>
    <t>1200 HOWARDTOWN CIRCLE</t>
  </si>
  <si>
    <t>F600000089</t>
  </si>
  <si>
    <t>F60000008901</t>
  </si>
  <si>
    <t>F600000111</t>
  </si>
  <si>
    <t>F60000009604</t>
  </si>
  <si>
    <t>ANDERSON DANIEL R</t>
  </si>
  <si>
    <t>27028-7711</t>
  </si>
  <si>
    <t>F60000009605</t>
  </si>
  <si>
    <t>F60000009602</t>
  </si>
  <si>
    <t>F60000009603</t>
  </si>
  <si>
    <t>HOWARD GEORGE WESLEY JR</t>
  </si>
  <si>
    <t>HOWARD LINDA</t>
  </si>
  <si>
    <t>114 HOWARDTOWN RD</t>
  </si>
  <si>
    <t>F400000048</t>
  </si>
  <si>
    <t>JACKSON W LOGAN ETAL</t>
  </si>
  <si>
    <t>PARRISH EMMY LOU HART</t>
  </si>
  <si>
    <t>14 KENT PARK CIRCLE</t>
  </si>
  <si>
    <t>27106-5202</t>
  </si>
  <si>
    <t>F40000005701</t>
  </si>
  <si>
    <t>F50000001002</t>
  </si>
  <si>
    <t>DIXON DARRELL R</t>
  </si>
  <si>
    <t>DIXON GAIL D</t>
  </si>
  <si>
    <t>109 DUSTY HILL ROAD</t>
  </si>
  <si>
    <t>F50000003202</t>
  </si>
  <si>
    <t>HAIRE GEORGE EDGAR</t>
  </si>
  <si>
    <t>119 ROCK HOUSE ROAD</t>
  </si>
  <si>
    <t>F60000009806</t>
  </si>
  <si>
    <t>MARSHALL JOHN CARR</t>
  </si>
  <si>
    <t>MARSHALL ADNA FRANCES</t>
  </si>
  <si>
    <t>149 LERA LANE</t>
  </si>
  <si>
    <t>27028-7854</t>
  </si>
  <si>
    <t>F600000120</t>
  </si>
  <si>
    <t>F60000009807</t>
  </si>
  <si>
    <t>MARSHALL DAVID MARK</t>
  </si>
  <si>
    <t>779 HOWARDTOWN CIRCLE</t>
  </si>
  <si>
    <t>F60000010001</t>
  </si>
  <si>
    <t>POLLARD MARK R</t>
  </si>
  <si>
    <t>194 POLLARD LANE</t>
  </si>
  <si>
    <t>27028-7754</t>
  </si>
  <si>
    <t>F600000103</t>
  </si>
  <si>
    <t>HOWARD NORMA EUGENIA</t>
  </si>
  <si>
    <t>FAULK KARLA LEIGH ETAL</t>
  </si>
  <si>
    <t>1513 KENWALT DRIVE</t>
  </si>
  <si>
    <t>F60000010301</t>
  </si>
  <si>
    <t>JAMES RANDALL L</t>
  </si>
  <si>
    <t>JAMES ELLEN B</t>
  </si>
  <si>
    <t>681 HOWARDTOWN CIRCLE</t>
  </si>
  <si>
    <t>27028-7705</t>
  </si>
  <si>
    <t>F600000119</t>
  </si>
  <si>
    <t>F600000105</t>
  </si>
  <si>
    <t>ALLEN ROGER LEE</t>
  </si>
  <si>
    <t>ALLEN MARTHA ANN</t>
  </si>
  <si>
    <t>623 HOWARDTOWN CIRCLE</t>
  </si>
  <si>
    <t>F60000010601</t>
  </si>
  <si>
    <t>F600000104</t>
  </si>
  <si>
    <t>F600000125</t>
  </si>
  <si>
    <t>PURKEY DAVID</t>
  </si>
  <si>
    <t>PURKEY CONSTANCE M</t>
  </si>
  <si>
    <t>139 SHAGGY BARK LANE</t>
  </si>
  <si>
    <t>F600000124</t>
  </si>
  <si>
    <t>F60000010602</t>
  </si>
  <si>
    <t>F60000010603</t>
  </si>
  <si>
    <t>BENSON RONALD PATRICK</t>
  </si>
  <si>
    <t>612 HOWARDTOWN CIRCLE</t>
  </si>
  <si>
    <t>F60000010609</t>
  </si>
  <si>
    <t>F60000010605</t>
  </si>
  <si>
    <t>DARNELL CYNTHIA H</t>
  </si>
  <si>
    <t>566 HOWARDTOWN CIRCLE</t>
  </si>
  <si>
    <t>F60000010606</t>
  </si>
  <si>
    <t>STRICKLAND NICKEY DEAN</t>
  </si>
  <si>
    <t>584 HOWARDTOWN CIRCLE</t>
  </si>
  <si>
    <t>27028-7704</t>
  </si>
  <si>
    <t>F500000036</t>
  </si>
  <si>
    <t>BEECHTREE'S TRIO LLC</t>
  </si>
  <si>
    <t>371 FARMINGTON ROAD</t>
  </si>
  <si>
    <t>27028-7638</t>
  </si>
  <si>
    <t>F50000003603</t>
  </si>
  <si>
    <t>CRAWFORD J EMORY</t>
  </si>
  <si>
    <t>CRAWFORD MARTHA CARPENTER</t>
  </si>
  <si>
    <t>F60000010903</t>
  </si>
  <si>
    <t>MCCARN STELLA M</t>
  </si>
  <si>
    <t>135 LITTLE JOHN DRIVE</t>
  </si>
  <si>
    <t>F60000011205</t>
  </si>
  <si>
    <t>MCDANIEL LAURA S</t>
  </si>
  <si>
    <t>F600000112</t>
  </si>
  <si>
    <t>F60000011202</t>
  </si>
  <si>
    <t>CUSTER RODNEY ALVIN</t>
  </si>
  <si>
    <t>422 HOWARDTOWN CIRCLE</t>
  </si>
  <si>
    <t>27028-7703</t>
  </si>
  <si>
    <t>F50000003608</t>
  </si>
  <si>
    <t>G800000018</t>
  </si>
  <si>
    <t>F50000004105</t>
  </si>
  <si>
    <t>F50000004103</t>
  </si>
  <si>
    <t>F500000041</t>
  </si>
  <si>
    <t>F600000038</t>
  </si>
  <si>
    <t>I5010C0024</t>
  </si>
  <si>
    <t>F600000013</t>
  </si>
  <si>
    <t>F600000031</t>
  </si>
  <si>
    <t>MILLER LOUISE</t>
  </si>
  <si>
    <t>BEEMAN WENDY M</t>
  </si>
  <si>
    <t>185 PINEBROOK SCHOOL ROAD</t>
  </si>
  <si>
    <t>F400000015</t>
  </si>
  <si>
    <t>TAYLOR MARY FRANCINE</t>
  </si>
  <si>
    <t>930 CANA ROAD</t>
  </si>
  <si>
    <t>F400000016</t>
  </si>
  <si>
    <t>COUCH SUE B</t>
  </si>
  <si>
    <t>115 POTTERS LANE</t>
  </si>
  <si>
    <t>F7120B0002</t>
  </si>
  <si>
    <t>BROWN CLIFFORD</t>
  </si>
  <si>
    <t>BROWN HARRIETT</t>
  </si>
  <si>
    <t>221 MONTCLAIR DRIVE</t>
  </si>
  <si>
    <t>27006-7879</t>
  </si>
  <si>
    <t>F700000023</t>
  </si>
  <si>
    <t>WILSON HILARY CORNATZER</t>
  </si>
  <si>
    <t>F70000002308</t>
  </si>
  <si>
    <t>F700000029</t>
  </si>
  <si>
    <t>MILLER A SCOTT</t>
  </si>
  <si>
    <t>322 BRUSHY MOUNTAIN TRL</t>
  </si>
  <si>
    <t>27006-7870</t>
  </si>
  <si>
    <t>F70000002306</t>
  </si>
  <si>
    <t>TUCKER BETTY SUE CORNATZER</t>
  </si>
  <si>
    <t>1205 BALTIMORE ROAD #D</t>
  </si>
  <si>
    <t>F800000036</t>
  </si>
  <si>
    <t>CARTER CHARLES ANDERSON</t>
  </si>
  <si>
    <t>CARTER PATRICIA LYON</t>
  </si>
  <si>
    <t>149 MOCKS CHURCH ROAD</t>
  </si>
  <si>
    <t>F70000002403</t>
  </si>
  <si>
    <t>F70000002406</t>
  </si>
  <si>
    <t>ROLDAN RUBEN DARIO</t>
  </si>
  <si>
    <t>166 GALADRIM WAY</t>
  </si>
  <si>
    <t>F60000005313</t>
  </si>
  <si>
    <t>F600000072</t>
  </si>
  <si>
    <t>SHINAULT LYNN COMER</t>
  </si>
  <si>
    <t>3296 US HWY 158</t>
  </si>
  <si>
    <t>27028-7839</t>
  </si>
  <si>
    <t>F600000083</t>
  </si>
  <si>
    <t>HIRE JASON PROCTOR</t>
  </si>
  <si>
    <t>196 DULIN ROAD</t>
  </si>
  <si>
    <t>G600000042</t>
  </si>
  <si>
    <t>LAIRD BOBBY</t>
  </si>
  <si>
    <t>136 HOWARDTOWN ROAD</t>
  </si>
  <si>
    <t>27028-7236</t>
  </si>
  <si>
    <t>F600000099</t>
  </si>
  <si>
    <t>F600000118</t>
  </si>
  <si>
    <t>MARSHALL CHRISTOPHER T</t>
  </si>
  <si>
    <t>MARSHALL PAULA S</t>
  </si>
  <si>
    <t>136 LERA LANE</t>
  </si>
  <si>
    <t>F60000009804</t>
  </si>
  <si>
    <t>LUPER JENNIFER LEIGH</t>
  </si>
  <si>
    <t>908 DANBROOK CIRCLE</t>
  </si>
  <si>
    <t>LINCOLNTON</t>
  </si>
  <si>
    <t>28092-0000</t>
  </si>
  <si>
    <t>F7110A0008</t>
  </si>
  <si>
    <t>SHORTT JERRY MICHAEL</t>
  </si>
  <si>
    <t>SHORTT SUSAN H</t>
  </si>
  <si>
    <t>220 LONG LEAF PINE DRIVE</t>
  </si>
  <si>
    <t>F7110A0011</t>
  </si>
  <si>
    <t>CANUPP BARBARA G</t>
  </si>
  <si>
    <t>139 LONGLEAF PINE DRIVE</t>
  </si>
  <si>
    <t>F7120A0003</t>
  </si>
  <si>
    <t>WHITAKER HENRY L</t>
  </si>
  <si>
    <t>WHITAKER DENISE L</t>
  </si>
  <si>
    <t>147 MONTCLAIR DRIVE</t>
  </si>
  <si>
    <t>F7120A0005</t>
  </si>
  <si>
    <t>NEWSOM ALLAN</t>
  </si>
  <si>
    <t>NEWSOM SILVANA N</t>
  </si>
  <si>
    <t>203 MONTCLAIR DRIVE</t>
  </si>
  <si>
    <t>F7120A0010</t>
  </si>
  <si>
    <t>KITTLE GERALD E</t>
  </si>
  <si>
    <t>KITTLE CHARLINE L</t>
  </si>
  <si>
    <t>160 MONTCLAIR DRIVE</t>
  </si>
  <si>
    <t>F7120A0011</t>
  </si>
  <si>
    <t>DOWNEN RICHARD R</t>
  </si>
  <si>
    <t>DOWNEN SUSAN Y</t>
  </si>
  <si>
    <t>170 MONTCLAIR DRIVE</t>
  </si>
  <si>
    <t>F7120A0014</t>
  </si>
  <si>
    <t>BARNEY GALE M</t>
  </si>
  <si>
    <t>216 MONTCLAIR DRIVE</t>
  </si>
  <si>
    <t>F7120B0004</t>
  </si>
  <si>
    <t>LAPOINTE RONALD EDWARD</t>
  </si>
  <si>
    <t>LAPOINTE DEBORAH ANN</t>
  </si>
  <si>
    <t>240 MONTCLAIR DRIVE</t>
  </si>
  <si>
    <t>F60000009803</t>
  </si>
  <si>
    <t>F60000009805</t>
  </si>
  <si>
    <t>MARSHALL JOHN C</t>
  </si>
  <si>
    <t>F70000000304</t>
  </si>
  <si>
    <t>THORNETT KATHLEEN D</t>
  </si>
  <si>
    <t>THORNETT TERRY LEE</t>
  </si>
  <si>
    <t>509 HOWARDTOWN CIRCLE</t>
  </si>
  <si>
    <t>F700000002</t>
  </si>
  <si>
    <t>F70000000313</t>
  </si>
  <si>
    <t>HOWARD KENDALL W</t>
  </si>
  <si>
    <t>HOWARD MARCI H</t>
  </si>
  <si>
    <t>204 BLUE BIRD LANE</t>
  </si>
  <si>
    <t>27028-7764</t>
  </si>
  <si>
    <t>F80000000701</t>
  </si>
  <si>
    <t>TULLOCK CARL DANIEL</t>
  </si>
  <si>
    <t>TULLOCK CHARLOTTE E</t>
  </si>
  <si>
    <t>663 BEAUCHAMP ROAD</t>
  </si>
  <si>
    <t>F80000000802</t>
  </si>
  <si>
    <t>PHELPS TIMOTHY CARR</t>
  </si>
  <si>
    <t>566 BEAUCHAMP ROAD</t>
  </si>
  <si>
    <t>27006-7409</t>
  </si>
  <si>
    <t>F80000000804</t>
  </si>
  <si>
    <t>PULLEN THOMAS G IV</t>
  </si>
  <si>
    <t>PULLEN DEBORAH B</t>
  </si>
  <si>
    <t>644 BEAUCHAMP ROAD</t>
  </si>
  <si>
    <t>F70000000305</t>
  </si>
  <si>
    <t>F70000000307</t>
  </si>
  <si>
    <t>SPRINKLE RALPH E III</t>
  </si>
  <si>
    <t>SPRINKLE DEBORAH E</t>
  </si>
  <si>
    <t>216 BLUE BIRD LANE</t>
  </si>
  <si>
    <t>F800000015</t>
  </si>
  <si>
    <t>HYMAN STAFFORD MOCK</t>
  </si>
  <si>
    <t>160 MOCKINGBIRD LANE</t>
  </si>
  <si>
    <t>F80000001701</t>
  </si>
  <si>
    <t>MOCK CHAD B</t>
  </si>
  <si>
    <t>MOCK TABATHA T</t>
  </si>
  <si>
    <t>448 BEAUCHAMP ROAD</t>
  </si>
  <si>
    <t>27006-7408</t>
  </si>
  <si>
    <t>F800000019</t>
  </si>
  <si>
    <t>EDWARDS KAY</t>
  </si>
  <si>
    <t>390 BEAUCHAMP ROAD</t>
  </si>
  <si>
    <t>27006-7407</t>
  </si>
  <si>
    <t>F70000000403</t>
  </si>
  <si>
    <t>GADDY RANDY W</t>
  </si>
  <si>
    <t>153 GLENN ALLEN ROAD</t>
  </si>
  <si>
    <t>27028-7661</t>
  </si>
  <si>
    <t>F70000002310</t>
  </si>
  <si>
    <t>CORNATZER GUY J JR</t>
  </si>
  <si>
    <t>CORNATZER MARCELLE B</t>
  </si>
  <si>
    <t>305 MONTCLAIR DRIVE</t>
  </si>
  <si>
    <t>F800000119</t>
  </si>
  <si>
    <t>CORNATZER DONALD GRAY</t>
  </si>
  <si>
    <t>1690 NC HIGHWAY 801 SOUTH</t>
  </si>
  <si>
    <t>G800000027</t>
  </si>
  <si>
    <t>G800000030</t>
  </si>
  <si>
    <t>F800000103</t>
  </si>
  <si>
    <t>F800000024</t>
  </si>
  <si>
    <t>F80000002803</t>
  </si>
  <si>
    <t>CARTER DENNIS LEE</t>
  </si>
  <si>
    <t>F700000022</t>
  </si>
  <si>
    <t>F70000001802</t>
  </si>
  <si>
    <t>F70000002302</t>
  </si>
  <si>
    <t>F70000001812</t>
  </si>
  <si>
    <t>F70000001809</t>
  </si>
  <si>
    <t>F60000005203</t>
  </si>
  <si>
    <t>HENDRIX CRAIG D</t>
  </si>
  <si>
    <t>HENDRIX ANITA H</t>
  </si>
  <si>
    <t>3652 US HIGHWAY 158</t>
  </si>
  <si>
    <t>F80000004901</t>
  </si>
  <si>
    <t>WYATT RUSSELL LYNN</t>
  </si>
  <si>
    <t>WYATT LERISA CARTER</t>
  </si>
  <si>
    <t>147 HILLCREST DRIVE</t>
  </si>
  <si>
    <t>F800000050</t>
  </si>
  <si>
    <t>CARTER KAY LANIER</t>
  </si>
  <si>
    <t>165 HILLCREST DRIVE</t>
  </si>
  <si>
    <t>F7120B0001</t>
  </si>
  <si>
    <t>F60000005304</t>
  </si>
  <si>
    <t>F7060A0009</t>
  </si>
  <si>
    <t>HOLLAR BRANDI L</t>
  </si>
  <si>
    <t>118 QUAIL HOLLOW ROAD</t>
  </si>
  <si>
    <t>27006-7940</t>
  </si>
  <si>
    <t>F800000086</t>
  </si>
  <si>
    <t>HANES JAMES H</t>
  </si>
  <si>
    <t>HANES PATSY B</t>
  </si>
  <si>
    <t>1551 NC HIGHWAY 801 SOUTH</t>
  </si>
  <si>
    <t>F800000087</t>
  </si>
  <si>
    <t>EATON DONALD T</t>
  </si>
  <si>
    <t>EATON EMILY MOCK</t>
  </si>
  <si>
    <t>1574 NC HIGHWAY 801 SOUTH</t>
  </si>
  <si>
    <t>F800000088</t>
  </si>
  <si>
    <t>G8050B0012</t>
  </si>
  <si>
    <t>CARTER JACK DAVID</t>
  </si>
  <si>
    <t>P O BOX 2324</t>
  </si>
  <si>
    <t>G800000019</t>
  </si>
  <si>
    <t>POTTS LOUISE S</t>
  </si>
  <si>
    <t>3168 CORNATZER ROAD</t>
  </si>
  <si>
    <t>F800000144</t>
  </si>
  <si>
    <t>BEVERLY MARK A</t>
  </si>
  <si>
    <t>BEVERLY LINDA N</t>
  </si>
  <si>
    <t>421 POTTS ROAD</t>
  </si>
  <si>
    <t>27006-7873</t>
  </si>
  <si>
    <t>F800000145</t>
  </si>
  <si>
    <t>F800000102</t>
  </si>
  <si>
    <t>F800000105</t>
  </si>
  <si>
    <t>CREWS WILLIAM S</t>
  </si>
  <si>
    <t>CREWS HAROLD E</t>
  </si>
  <si>
    <t>3615 WILLOW RIDGE LANE</t>
  </si>
  <si>
    <t>F800000107</t>
  </si>
  <si>
    <t>H90000004001</t>
  </si>
  <si>
    <t>G800000083</t>
  </si>
  <si>
    <t>F7060A0010</t>
  </si>
  <si>
    <t>NEWMAN JAMES R</t>
  </si>
  <si>
    <t>NEWMAN JUDITH A</t>
  </si>
  <si>
    <t>108 QUAIL HOLLOW ROAD</t>
  </si>
  <si>
    <t>F80000011004</t>
  </si>
  <si>
    <t>GAMBILL RAY</t>
  </si>
  <si>
    <t>383 POTTS ROAD</t>
  </si>
  <si>
    <t>27006-7874</t>
  </si>
  <si>
    <t>F80000011101</t>
  </si>
  <si>
    <t>OSCAR JUDITH S</t>
  </si>
  <si>
    <t>OSCAR WILSON B</t>
  </si>
  <si>
    <t>413 NORTHEAST POTTS ROAD</t>
  </si>
  <si>
    <t>F800000112</t>
  </si>
  <si>
    <t>WILLIAMS LISA T</t>
  </si>
  <si>
    <t>219 JAMES ROAD</t>
  </si>
  <si>
    <t>F80000011202</t>
  </si>
  <si>
    <t>F7060A0015</t>
  </si>
  <si>
    <t>CASON GARY W</t>
  </si>
  <si>
    <t>147 CANTON ROAD</t>
  </si>
  <si>
    <t>H800000012</t>
  </si>
  <si>
    <t>POTTS ROBERT L SPECIAL TRUST</t>
  </si>
  <si>
    <t>POTTS MONA F SPECIAL TRUST</t>
  </si>
  <si>
    <t>LEESA CHURCH TRUSTEE</t>
  </si>
  <si>
    <t>1003 MARKLAND ROAD</t>
  </si>
  <si>
    <t>27006-7028</t>
  </si>
  <si>
    <t>F800000117</t>
  </si>
  <si>
    <t>G700000093</t>
  </si>
  <si>
    <t>G80000007801</t>
  </si>
  <si>
    <t>G800000079</t>
  </si>
  <si>
    <t>H700000055</t>
  </si>
  <si>
    <t>H800000002</t>
  </si>
  <si>
    <t>CORNATZER QUINCY WAYNE</t>
  </si>
  <si>
    <t>CORNATZER FAYE H</t>
  </si>
  <si>
    <t>725 MARKLAND ROAD</t>
  </si>
  <si>
    <t>F800000121</t>
  </si>
  <si>
    <t>F80000012101</t>
  </si>
  <si>
    <t>CORNATZER ALLEN WAYNE TRUST</t>
  </si>
  <si>
    <t>CORNATZER QUINCY W TRUSTEE</t>
  </si>
  <si>
    <t>F800000122</t>
  </si>
  <si>
    <t>WALLS SHIRLEY P</t>
  </si>
  <si>
    <t>PO BOX 325</t>
  </si>
  <si>
    <t>F80000012204</t>
  </si>
  <si>
    <t>MICOZZI SANDRA C</t>
  </si>
  <si>
    <t>PO BOX 32</t>
  </si>
  <si>
    <t>27006-0032</t>
  </si>
  <si>
    <t>F80000012202</t>
  </si>
  <si>
    <t>LANE GLENDA C</t>
  </si>
  <si>
    <t>LANE ALLEN R</t>
  </si>
  <si>
    <t>194 POTTS ROAD</t>
  </si>
  <si>
    <t>PO BOX 319</t>
  </si>
  <si>
    <t>F80000012401</t>
  </si>
  <si>
    <t>EBRIGHT MICHAEL LYNN</t>
  </si>
  <si>
    <t>EBRIGHT DIANNA LYN HARRIS</t>
  </si>
  <si>
    <t>142 EBRIGHT LANE</t>
  </si>
  <si>
    <t>27006-7460</t>
  </si>
  <si>
    <t>F7060A0018</t>
  </si>
  <si>
    <t>HOWELL ANNA I</t>
  </si>
  <si>
    <t>HOWELL BRYAN D</t>
  </si>
  <si>
    <t>124 CANTON ROAD</t>
  </si>
  <si>
    <t>F7110A0005</t>
  </si>
  <si>
    <t>CORNATZER GID</t>
  </si>
  <si>
    <t>CORNATZER SANDRA</t>
  </si>
  <si>
    <t>138 LONG LEAF PINE DRIVE</t>
  </si>
  <si>
    <t>F80000013913</t>
  </si>
  <si>
    <t>POTTS INVESTMENT INC</t>
  </si>
  <si>
    <t>PO BOX 2010</t>
  </si>
  <si>
    <t>F80000013914</t>
  </si>
  <si>
    <t>DORSEY SUZANNE SANDIFER</t>
  </si>
  <si>
    <t>PO BOX 305</t>
  </si>
  <si>
    <t>F80000013916</t>
  </si>
  <si>
    <t>COMER BOBBY KEITH</t>
  </si>
  <si>
    <t>1018 UNDERPASS ROAD</t>
  </si>
  <si>
    <t>F80000013917</t>
  </si>
  <si>
    <t>BEAUCHAMP PAUL CHRISTIAN</t>
  </si>
  <si>
    <t>BEAUCHAMP MELINDA S</t>
  </si>
  <si>
    <t>173 OUTATHA WAY</t>
  </si>
  <si>
    <t>F7110A0006</t>
  </si>
  <si>
    <t>MYERS LESTER DEAN JR</t>
  </si>
  <si>
    <t>170 LONGLEAF PINE DRIVE</t>
  </si>
  <si>
    <t>F80000000201</t>
  </si>
  <si>
    <t>MOCK LAWRENCE LEE JR</t>
  </si>
  <si>
    <t>MOCK IDA KAYLOR</t>
  </si>
  <si>
    <t>1145 OLD US 221 SOUTH</t>
  </si>
  <si>
    <t>28752-0000</t>
  </si>
  <si>
    <t>F800000146</t>
  </si>
  <si>
    <t>BEVERLY MATTHEW ADAM</t>
  </si>
  <si>
    <t>BEVERLY VIRGINIA BROOKE</t>
  </si>
  <si>
    <t>425 POTTS ROAD</t>
  </si>
  <si>
    <t>F8020A0007</t>
  </si>
  <si>
    <t>MCCOY MICHAEL PACKARD</t>
  </si>
  <si>
    <t>MCCOY JENNY GARDNER</t>
  </si>
  <si>
    <t>161 WINDEMERE DRIVE</t>
  </si>
  <si>
    <t>F8020A0010</t>
  </si>
  <si>
    <t>SUMMERS DAVID LEE</t>
  </si>
  <si>
    <t>SUMMERS AMY O</t>
  </si>
  <si>
    <t>154 WINDEMERE DRIVE</t>
  </si>
  <si>
    <t>27006-7887</t>
  </si>
  <si>
    <t>F8020A0013</t>
  </si>
  <si>
    <t>VAN ETTEN TERRY L</t>
  </si>
  <si>
    <t>VAN ETTEN GAIL D</t>
  </si>
  <si>
    <t>106 WINDEMERE DRIVE</t>
  </si>
  <si>
    <t>F8020A0014</t>
  </si>
  <si>
    <t>RUBLE RICHARD T</t>
  </si>
  <si>
    <t>RUBLE LEONA A</t>
  </si>
  <si>
    <t>112 WINDEMERE DRIVE</t>
  </si>
  <si>
    <t>F80000000301</t>
  </si>
  <si>
    <t>JOHNSON SERISA LONG</t>
  </si>
  <si>
    <t>730 BEAUCHAMP ROAD</t>
  </si>
  <si>
    <t>F800000006</t>
  </si>
  <si>
    <t>CARTER MICHAEL S</t>
  </si>
  <si>
    <t>CARTER MITZI B</t>
  </si>
  <si>
    <t>704 BEAUCHAMP ROAD</t>
  </si>
  <si>
    <t>F800000005</t>
  </si>
  <si>
    <t>F800000007</t>
  </si>
  <si>
    <t>WINDEMERE FARMS HOA INC</t>
  </si>
  <si>
    <t>2631 REYNOLDA ROAD</t>
  </si>
  <si>
    <t>H5150B0011</t>
  </si>
  <si>
    <t>HYMAN MICHAEL R</t>
  </si>
  <si>
    <t>HYMAN STAFFORD M</t>
  </si>
  <si>
    <t>F900000001</t>
  </si>
  <si>
    <t>JONES CLYDE LEONARD</t>
  </si>
  <si>
    <t>JONES MARY NELL SHUTT</t>
  </si>
  <si>
    <t>889 UNDERPASS ROAD</t>
  </si>
  <si>
    <t>G8120A0001</t>
  </si>
  <si>
    <t>K700000055</t>
  </si>
  <si>
    <t>I70000006501</t>
  </si>
  <si>
    <t>F90000000202</t>
  </si>
  <si>
    <t>SOLOMON JOHN L</t>
  </si>
  <si>
    <t>SOLOMON JANICE B</t>
  </si>
  <si>
    <t>876 UNDERPASS ROAD</t>
  </si>
  <si>
    <t>F80000001301</t>
  </si>
  <si>
    <t>F800000034</t>
  </si>
  <si>
    <t>PHELPS JOHN CARR</t>
  </si>
  <si>
    <t>PHELPS NANCY R</t>
  </si>
  <si>
    <t>123 MOCKS CHURCH ROAD</t>
  </si>
  <si>
    <t>F90000001002</t>
  </si>
  <si>
    <t>LYNCH GINGER FAYE</t>
  </si>
  <si>
    <t>273 VOGLER ROAD</t>
  </si>
  <si>
    <t>27006-7544</t>
  </si>
  <si>
    <t>F900000017</t>
  </si>
  <si>
    <t>HARTMAN LARRY WAYNE</t>
  </si>
  <si>
    <t>401 VOGLER ROAD</t>
  </si>
  <si>
    <t>F90000001101</t>
  </si>
  <si>
    <t>F800000023</t>
  </si>
  <si>
    <t>F800000039</t>
  </si>
  <si>
    <t>CARTER WILLIAM R</t>
  </si>
  <si>
    <t>354 FORK BIXBY ROAD</t>
  </si>
  <si>
    <t>F900000022</t>
  </si>
  <si>
    <t>JONES JAMES VOGLER ETAL</t>
  </si>
  <si>
    <t>PO BOX 65</t>
  </si>
  <si>
    <t>F900000024</t>
  </si>
  <si>
    <t>KIMBALL SUSAN VOGLER</t>
  </si>
  <si>
    <t>VOGLER REBECCA</t>
  </si>
  <si>
    <t>324 VOGLER ROAD</t>
  </si>
  <si>
    <t>F90000000802</t>
  </si>
  <si>
    <t>GRUBBS JOHNNIE M</t>
  </si>
  <si>
    <t>GRUBBS AMANDA H</t>
  </si>
  <si>
    <t>136 VOGLER ROAD</t>
  </si>
  <si>
    <t>27006-7543</t>
  </si>
  <si>
    <t>F900000031</t>
  </si>
  <si>
    <t>F90000002802</t>
  </si>
  <si>
    <t>ELLIS JULIA</t>
  </si>
  <si>
    <t>164 VOGLER ROAD</t>
  </si>
  <si>
    <t>F900000038</t>
  </si>
  <si>
    <t>CHANDLER EDWARD SCOTT</t>
  </si>
  <si>
    <t>CHANDLER MARYBRUCE ROLLINS</t>
  </si>
  <si>
    <t>460 UNDERPASS ROAD</t>
  </si>
  <si>
    <t>F900000035</t>
  </si>
  <si>
    <t>F90000003901</t>
  </si>
  <si>
    <t>F90000004101</t>
  </si>
  <si>
    <t>TERRY CALLIE B</t>
  </si>
  <si>
    <t>543 BAILEY ROAD</t>
  </si>
  <si>
    <t>27006-7406</t>
  </si>
  <si>
    <t>F90000004107</t>
  </si>
  <si>
    <t>F800000041</t>
  </si>
  <si>
    <t>MARTIN NICOLE C</t>
  </si>
  <si>
    <t>257 MOCKS CHURCH ROAD</t>
  </si>
  <si>
    <t>G10000000701</t>
  </si>
  <si>
    <t>EDWARDS ROBERT E</t>
  </si>
  <si>
    <t>EDWARDS AMANDA</t>
  </si>
  <si>
    <t>1493 COUNTY LINE ROAD</t>
  </si>
  <si>
    <t>28634-8908</t>
  </si>
  <si>
    <t>G10000000702</t>
  </si>
  <si>
    <t>G10000000703</t>
  </si>
  <si>
    <t>EDWARDS ROBERT LESTER</t>
  </si>
  <si>
    <t>EDWARDS MAXINE K</t>
  </si>
  <si>
    <t>1503 COUNTY LINE ROAD</t>
  </si>
  <si>
    <t>G100000012</t>
  </si>
  <si>
    <t>G100000011</t>
  </si>
  <si>
    <t>WARD BENNIE G</t>
  </si>
  <si>
    <t>WARD SARA K</t>
  </si>
  <si>
    <t>1511 COUNTY LINE ROAD</t>
  </si>
  <si>
    <t>G100000016</t>
  </si>
  <si>
    <t>CAMPBELL NANCY KELLER</t>
  </si>
  <si>
    <t>1447 COUNTY LINE ROAD</t>
  </si>
  <si>
    <t>G10000001605</t>
  </si>
  <si>
    <t>G10000001603</t>
  </si>
  <si>
    <t>G100000017</t>
  </si>
  <si>
    <t>F80000004102</t>
  </si>
  <si>
    <t>BRYANT ANNA M</t>
  </si>
  <si>
    <t>702 MANER PLACE COURT</t>
  </si>
  <si>
    <t>27103-5027</t>
  </si>
  <si>
    <t>G100000047</t>
  </si>
  <si>
    <t>POWELL JASON D</t>
  </si>
  <si>
    <t>1343 COUNTY LINE ROAD</t>
  </si>
  <si>
    <t>G100000029</t>
  </si>
  <si>
    <t>NORTH CAROLINA STATE OF</t>
  </si>
  <si>
    <t>116 WEST JONES STREET</t>
  </si>
  <si>
    <t>G10000002902</t>
  </si>
  <si>
    <t>DEPT OF JUSTICE</t>
  </si>
  <si>
    <t>PO BOX 629</t>
  </si>
  <si>
    <t>27602-0629</t>
  </si>
  <si>
    <t>G100000035</t>
  </si>
  <si>
    <t>F800000047</t>
  </si>
  <si>
    <t>MARTIN THOMAS CHRISTIAN</t>
  </si>
  <si>
    <t>138 HILLCREST DRIVE</t>
  </si>
  <si>
    <t>F800000049</t>
  </si>
  <si>
    <t>F80000004904</t>
  </si>
  <si>
    <t>F7060A0008</t>
  </si>
  <si>
    <t>TESH JAMES SCOTT</t>
  </si>
  <si>
    <t>TESH SHARON B</t>
  </si>
  <si>
    <t>134 QUAIL HOLLOW ROAD</t>
  </si>
  <si>
    <t>27996-0000</t>
  </si>
  <si>
    <t>G200000003</t>
  </si>
  <si>
    <t>DYSON THOMAS LEROY JR</t>
  </si>
  <si>
    <t>989 CALAHAN ROAD</t>
  </si>
  <si>
    <t>G20000000301</t>
  </si>
  <si>
    <t>E200000005</t>
  </si>
  <si>
    <t>E20000000605</t>
  </si>
  <si>
    <t>E20000000606</t>
  </si>
  <si>
    <t>F10000003701</t>
  </si>
  <si>
    <t>G200000004</t>
  </si>
  <si>
    <t>BELTON LARRY D</t>
  </si>
  <si>
    <t>BELTON BRENDA L</t>
  </si>
  <si>
    <t>947 CALAHALN ROAD</t>
  </si>
  <si>
    <t>G20000000501</t>
  </si>
  <si>
    <t>DRAUGHN RANDY GENE</t>
  </si>
  <si>
    <t>907 CALAHALN ROAD</t>
  </si>
  <si>
    <t>G200000077</t>
  </si>
  <si>
    <t>KNIGHT JASON DARRYL</t>
  </si>
  <si>
    <t>KNIGHT KAREN RENEE</t>
  </si>
  <si>
    <t>482 CALAHALN ROAD</t>
  </si>
  <si>
    <t>G20000001101</t>
  </si>
  <si>
    <t>MCDANIEL SHARON T</t>
  </si>
  <si>
    <t>MCDANIEL CHARLES TODD</t>
  </si>
  <si>
    <t>131 BEAVER BRANCH TRAIL</t>
  </si>
  <si>
    <t>27028-8101</t>
  </si>
  <si>
    <t>G20000001103</t>
  </si>
  <si>
    <t>TUTTEROW LARRY MILTON</t>
  </si>
  <si>
    <t>130 BEAVER BRANCH TRAIL</t>
  </si>
  <si>
    <t>H200000007</t>
  </si>
  <si>
    <t>KOONTZ WILLIAM D &amp; DAVID H</t>
  </si>
  <si>
    <t>KOONTZ ELIZABETH A</t>
  </si>
  <si>
    <t>277 CALLAHAN ROAD</t>
  </si>
  <si>
    <t>G200000014</t>
  </si>
  <si>
    <t>F80000011001</t>
  </si>
  <si>
    <t>WHICKER REGINALD K</t>
  </si>
  <si>
    <t>PO BOX 2097</t>
  </si>
  <si>
    <t>27006-2097</t>
  </si>
  <si>
    <t>H700000074</t>
  </si>
  <si>
    <t>F80000013919</t>
  </si>
  <si>
    <t>WOOD CURTIS E</t>
  </si>
  <si>
    <t>WOOD TAMRA D</t>
  </si>
  <si>
    <t>106 HEAVENLY LANE</t>
  </si>
  <si>
    <t>G200000019</t>
  </si>
  <si>
    <t>CLARK RAYMOND A</t>
  </si>
  <si>
    <t>1168 CALAHALN ROAD</t>
  </si>
  <si>
    <t>G20000001705</t>
  </si>
  <si>
    <t>G20000002002</t>
  </si>
  <si>
    <t>GOBBLE THOMAS RONALD</t>
  </si>
  <si>
    <t>GOBBLE BARBARA</t>
  </si>
  <si>
    <t>1037 SHEFFIELD ROAD</t>
  </si>
  <si>
    <t>G20000002003</t>
  </si>
  <si>
    <t>PATTI VICTOR S</t>
  </si>
  <si>
    <t>945 SHEFFIELD ROAD</t>
  </si>
  <si>
    <t>G20000002006</t>
  </si>
  <si>
    <t>G20000002004</t>
  </si>
  <si>
    <t>G20000002005</t>
  </si>
  <si>
    <t>GOBBLE DONALD GRAY</t>
  </si>
  <si>
    <t>G20000002007</t>
  </si>
  <si>
    <t>MCBRIDE WANDA G</t>
  </si>
  <si>
    <t>1838 NC HIGHWAY 801 NORTH</t>
  </si>
  <si>
    <t>G20000002101</t>
  </si>
  <si>
    <t>CHAFFIN GERALD WAYNE</t>
  </si>
  <si>
    <t>CHAFFIN JEROTHA RAYFIELD</t>
  </si>
  <si>
    <t>27028-8332</t>
  </si>
  <si>
    <t>G200000023</t>
  </si>
  <si>
    <t>KELLY JAMES EDWARD JR</t>
  </si>
  <si>
    <t>133 WANDERING LANE</t>
  </si>
  <si>
    <t>D20000004705</t>
  </si>
  <si>
    <t>KELLY DOUGLAS W</t>
  </si>
  <si>
    <t>KELLY CRYSTAL W</t>
  </si>
  <si>
    <t>780 SHEFFIELD ROAD</t>
  </si>
  <si>
    <t>27028-8408</t>
  </si>
  <si>
    <t>D20000004704</t>
  </si>
  <si>
    <t>D20000004706</t>
  </si>
  <si>
    <t>G200000028</t>
  </si>
  <si>
    <t>G20000002807</t>
  </si>
  <si>
    <t>G20000002806</t>
  </si>
  <si>
    <t>G20000002301</t>
  </si>
  <si>
    <t>F80000013902</t>
  </si>
  <si>
    <t>F80000014004</t>
  </si>
  <si>
    <t>154 RICHMONT LANE</t>
  </si>
  <si>
    <t>G200000027</t>
  </si>
  <si>
    <t>GOBBLE LARRY D</t>
  </si>
  <si>
    <t>GOBBLE ROBERTA SUE</t>
  </si>
  <si>
    <t>815 SHEFFIELD ROAD</t>
  </si>
  <si>
    <t>27028-8409</t>
  </si>
  <si>
    <t>I4050A0017</t>
  </si>
  <si>
    <t>KELLY JAMES E JR</t>
  </si>
  <si>
    <t>KELLY GAIL W</t>
  </si>
  <si>
    <t>G20000002901</t>
  </si>
  <si>
    <t>G200000029</t>
  </si>
  <si>
    <t>I5080A0011</t>
  </si>
  <si>
    <t>MCDANIEL BRUCE EDISON</t>
  </si>
  <si>
    <t>MCDANIEL PAMELA P</t>
  </si>
  <si>
    <t>137 HALANDER DRIVE</t>
  </si>
  <si>
    <t>27028-2111</t>
  </si>
  <si>
    <t>G20000003002</t>
  </si>
  <si>
    <t>GOBBLE C SCOTT</t>
  </si>
  <si>
    <t>177 GOBBLE LANE</t>
  </si>
  <si>
    <t>G20000003801</t>
  </si>
  <si>
    <t>ALEXANDER MARSHA G</t>
  </si>
  <si>
    <t>ALEXANDER JAMES HENRY</t>
  </si>
  <si>
    <t>728 SHEFFIELD ROAD</t>
  </si>
  <si>
    <t>G20000004501</t>
  </si>
  <si>
    <t>STROUD MYRTLE G</t>
  </si>
  <si>
    <t>1277 CALAHALN ROAD</t>
  </si>
  <si>
    <t>F800000143</t>
  </si>
  <si>
    <t>WILSON JEFFERY ALLEN</t>
  </si>
  <si>
    <t>WILSON JESSICA RHEA</t>
  </si>
  <si>
    <t>132 PEBBLE VALLEY WAY</t>
  </si>
  <si>
    <t>27006-6743</t>
  </si>
  <si>
    <t>F8020A0016</t>
  </si>
  <si>
    <t>RUSSELL KERRY G</t>
  </si>
  <si>
    <t>136 HIGH MEADOWS ROAD</t>
  </si>
  <si>
    <t>F8020B0023</t>
  </si>
  <si>
    <t>MCALPINE G ANN</t>
  </si>
  <si>
    <t>175 HIGH MEADOWS ROAD</t>
  </si>
  <si>
    <t>F8020B0025</t>
  </si>
  <si>
    <t>SIMPSON JAMES Y</t>
  </si>
  <si>
    <t>SIMPSON GAIL M</t>
  </si>
  <si>
    <t>170 HIGH MEADOWS ROAD</t>
  </si>
  <si>
    <t>27006-7890</t>
  </si>
  <si>
    <t>G20000006702</t>
  </si>
  <si>
    <t>SWAIM JENNY LANIER</t>
  </si>
  <si>
    <t>501 FRED LANIER ROAD</t>
  </si>
  <si>
    <t>H200000026</t>
  </si>
  <si>
    <t>BECK DAVID PAUL</t>
  </si>
  <si>
    <t>BECK BETTY S</t>
  </si>
  <si>
    <t>433 FRED LANIER ROAD</t>
  </si>
  <si>
    <t>27028-8229</t>
  </si>
  <si>
    <t>G200000070</t>
  </si>
  <si>
    <t>H200000025</t>
  </si>
  <si>
    <t>G300000006</t>
  </si>
  <si>
    <t>ELLIS VAUDA G &amp; ROBERT L</t>
  </si>
  <si>
    <t>COLLINS MICHAEL D &amp; ANDREIA E</t>
  </si>
  <si>
    <t>618 IJAMES CHURCH ROAD</t>
  </si>
  <si>
    <t>27028-4826</t>
  </si>
  <si>
    <t>F8020B0030</t>
  </si>
  <si>
    <t>JUSTICE ADOLPH ALEXANDER III</t>
  </si>
  <si>
    <t>JUSTICE SONIA BYRD</t>
  </si>
  <si>
    <t>109 SOUTH HIGH FIELD DRIVE</t>
  </si>
  <si>
    <t>F8020B0049</t>
  </si>
  <si>
    <t>GREENE RICHARD KEITH</t>
  </si>
  <si>
    <t>GREENE PATRICIA H</t>
  </si>
  <si>
    <t>118 HAGEN ROAD</t>
  </si>
  <si>
    <t>G30000000801</t>
  </si>
  <si>
    <t>ELLIS ROBERT LEE</t>
  </si>
  <si>
    <t>ELLIS VAUDA GOBBLE</t>
  </si>
  <si>
    <t>660 IJAMES CHURCH ROAD</t>
  </si>
  <si>
    <t>G300000007</t>
  </si>
  <si>
    <t>G30000000401</t>
  </si>
  <si>
    <t>G30000001602</t>
  </si>
  <si>
    <t>GRANNAMAN TIMOTHY EUGENE</t>
  </si>
  <si>
    <t>250 GRANNAMAN DRIVE</t>
  </si>
  <si>
    <t>27028-4753</t>
  </si>
  <si>
    <t>G300000021</t>
  </si>
  <si>
    <t>SIDES HOMER T</t>
  </si>
  <si>
    <t>SIDES BRUNER L</t>
  </si>
  <si>
    <t>938 GRANDVIEW DRIVE</t>
  </si>
  <si>
    <t>SPARTA</t>
  </si>
  <si>
    <t>28675-0000</t>
  </si>
  <si>
    <t>G30000000803</t>
  </si>
  <si>
    <t>KOONTZ WILLIAM DAVID</t>
  </si>
  <si>
    <t>555 IJAMES CHURCH ROAD</t>
  </si>
  <si>
    <t>G30000000404</t>
  </si>
  <si>
    <t>G300000022</t>
  </si>
  <si>
    <t>G30000002201</t>
  </si>
  <si>
    <t>G30000002402</t>
  </si>
  <si>
    <t>CARR GARLAND</t>
  </si>
  <si>
    <t>CARR CONNIE</t>
  </si>
  <si>
    <t>136 BROOKWOOD TRAIL</t>
  </si>
  <si>
    <t>27028-4870</t>
  </si>
  <si>
    <t>F90000000302</t>
  </si>
  <si>
    <t>SMITH EDWARD A</t>
  </si>
  <si>
    <t>SMITH MARGARET E</t>
  </si>
  <si>
    <t>732 UNDERPASS ROAD</t>
  </si>
  <si>
    <t>27006-7526</t>
  </si>
  <si>
    <t>F900000007</t>
  </si>
  <si>
    <t>HARTMAN ROBBIE LEWIS</t>
  </si>
  <si>
    <t>434 VOGLER ROAD</t>
  </si>
  <si>
    <t>J4140A0040</t>
  </si>
  <si>
    <t>NEW ERA BUILDERS LLC</t>
  </si>
  <si>
    <t>I5050A0009</t>
  </si>
  <si>
    <t>I5050A0011</t>
  </si>
  <si>
    <t>G300000025</t>
  </si>
  <si>
    <t>WISHON RONALD DEAN</t>
  </si>
  <si>
    <t>WISHON TERESA H</t>
  </si>
  <si>
    <t>210 WESTMORLAND ROAD</t>
  </si>
  <si>
    <t>MOORESVILLE</t>
  </si>
  <si>
    <t>28115-0000</t>
  </si>
  <si>
    <t>G300000030</t>
  </si>
  <si>
    <t>ONEAL PAUL F</t>
  </si>
  <si>
    <t>ONEAL BRENDA H</t>
  </si>
  <si>
    <t>165 IJAMES CHURCH ROAD</t>
  </si>
  <si>
    <t>G300000039</t>
  </si>
  <si>
    <t>MUNDY WILLIAM D</t>
  </si>
  <si>
    <t>MUNDY CHERYL S</t>
  </si>
  <si>
    <t>G30000003403</t>
  </si>
  <si>
    <t>G30000003401</t>
  </si>
  <si>
    <t>G30000003404</t>
  </si>
  <si>
    <t>BARTOLO PEDROS</t>
  </si>
  <si>
    <t>BARTOLO MERCEDES</t>
  </si>
  <si>
    <t>163 DAKOTA LANE</t>
  </si>
  <si>
    <t>F90000001806</t>
  </si>
  <si>
    <t>MAYHEW KEVIN WAYNE</t>
  </si>
  <si>
    <t>404 VOGLER ROAD</t>
  </si>
  <si>
    <t>G300000041</t>
  </si>
  <si>
    <t>WISHON ANNIE BELLE D</t>
  </si>
  <si>
    <t>2369 US HIGHWAY 601 NORTH</t>
  </si>
  <si>
    <t>G300000074</t>
  </si>
  <si>
    <t>MCBRYDE BRUCE G</t>
  </si>
  <si>
    <t>MCBRYDE BRENDA R</t>
  </si>
  <si>
    <t>2410 US HIGHWAY 601 NORTH</t>
  </si>
  <si>
    <t>G30000007401</t>
  </si>
  <si>
    <t>STAPLETON ANNE</t>
  </si>
  <si>
    <t>224 WHITE DOVE WAY</t>
  </si>
  <si>
    <t>F900000020</t>
  </si>
  <si>
    <t>G10000000303</t>
  </si>
  <si>
    <t>WALL LELA VIRGINIA</t>
  </si>
  <si>
    <t>WALL HAL MARVIN</t>
  </si>
  <si>
    <t>287 EDWARDS ROAD</t>
  </si>
  <si>
    <t>G10000001602</t>
  </si>
  <si>
    <t>BAILEY WANDA K</t>
  </si>
  <si>
    <t>1491 COUNTY LINE ROAD</t>
  </si>
  <si>
    <t>G3020A0013</t>
  </si>
  <si>
    <t>CHOATE MARLON M</t>
  </si>
  <si>
    <t>CHOATE BETTY B</t>
  </si>
  <si>
    <t>160 WHITE DOVE WAY</t>
  </si>
  <si>
    <t>G3030A0052</t>
  </si>
  <si>
    <t>TARLETON JAMES R</t>
  </si>
  <si>
    <t>TARLETON LINDA S</t>
  </si>
  <si>
    <t>2573 US HIGHWAY 601 NORTH</t>
  </si>
  <si>
    <t>G3030A0056</t>
  </si>
  <si>
    <t>ROMERO FERNANDEZ JOSE</t>
  </si>
  <si>
    <t>ROMERO ARANIVA ELENA</t>
  </si>
  <si>
    <t>206 MURPHY ROAD</t>
  </si>
  <si>
    <t>G3030A0060</t>
  </si>
  <si>
    <t>MARSHALL GARY R</t>
  </si>
  <si>
    <t>168 MURPHY ROAD</t>
  </si>
  <si>
    <t>G100000042</t>
  </si>
  <si>
    <t>BRACKEN TERRY</t>
  </si>
  <si>
    <t>BRACKEN PAMELA</t>
  </si>
  <si>
    <t>227 CLAUDE RATLEDGE ROAD</t>
  </si>
  <si>
    <t>27028-8129</t>
  </si>
  <si>
    <t>G200000002</t>
  </si>
  <si>
    <t>HOWARD WILLIAM N</t>
  </si>
  <si>
    <t>HOWARD MARY R</t>
  </si>
  <si>
    <t>1107 CALAHAN ROAD</t>
  </si>
  <si>
    <t>G20000000201</t>
  </si>
  <si>
    <t>F100000035</t>
  </si>
  <si>
    <t>F800000072</t>
  </si>
  <si>
    <t>ANDERSON TERRY M</t>
  </si>
  <si>
    <t>1304 NC HIGHWAY 801 SOUTH</t>
  </si>
  <si>
    <t>F800000073</t>
  </si>
  <si>
    <t>MARTIN ANNA JONES</t>
  </si>
  <si>
    <t>G3060A0003</t>
  </si>
  <si>
    <t>HASTINGS KATHY A</t>
  </si>
  <si>
    <t>114 NORTHBROOK DRIVE</t>
  </si>
  <si>
    <t>G3060A0006</t>
  </si>
  <si>
    <t>TOSCO GARY LEE</t>
  </si>
  <si>
    <t>TOSCO PAMELA J</t>
  </si>
  <si>
    <t>252 IJAMES CHURCH ROAD</t>
  </si>
  <si>
    <t>G3060A0010</t>
  </si>
  <si>
    <t>VANDIVER ROBERT ALLEN III</t>
  </si>
  <si>
    <t>VANDIVER RAE P</t>
  </si>
  <si>
    <t>228 IJAMES CHURCH ROAD</t>
  </si>
  <si>
    <t>27028-4822</t>
  </si>
  <si>
    <t>G3060A0013</t>
  </si>
  <si>
    <t>STEVENS RAYMOND</t>
  </si>
  <si>
    <t>STEVENS LISA</t>
  </si>
  <si>
    <t>151 NORTHBROOK DRIVE</t>
  </si>
  <si>
    <t>G3060A0016</t>
  </si>
  <si>
    <t>SINK DONALD L</t>
  </si>
  <si>
    <t>SINK SHEILA A</t>
  </si>
  <si>
    <t>179 NORTHBROOK DRIVE</t>
  </si>
  <si>
    <t>27028-4875</t>
  </si>
  <si>
    <t>G3060A0015</t>
  </si>
  <si>
    <t>G3060A0018</t>
  </si>
  <si>
    <t>COCKERHAM KELVEN D</t>
  </si>
  <si>
    <t>COCKERHAM NATALIE S</t>
  </si>
  <si>
    <t>191 NORTHBROOK DRIVE</t>
  </si>
  <si>
    <t>G3060A0020</t>
  </si>
  <si>
    <t>STEVENS RICHARD C</t>
  </si>
  <si>
    <t>STEVENS DIANNA L</t>
  </si>
  <si>
    <t>188 NORTHBROOK DRIVE</t>
  </si>
  <si>
    <t>F80000008303</t>
  </si>
  <si>
    <t>TRIPLETT RONALD J</t>
  </si>
  <si>
    <t>1523 NC HIGHWAY 801 S</t>
  </si>
  <si>
    <t>27006-6705</t>
  </si>
  <si>
    <t>F200000034</t>
  </si>
  <si>
    <t>DRAUGHN LARRY THOMAS</t>
  </si>
  <si>
    <t>DRAUGHN TONYA WHITAKER</t>
  </si>
  <si>
    <t>1038 CALAHALN ROAD</t>
  </si>
  <si>
    <t>G20000001701</t>
  </si>
  <si>
    <t>CLARK THOMAS EUGENE</t>
  </si>
  <si>
    <t>CLARK CHRISTY</t>
  </si>
  <si>
    <t>1078 CALAHALN ROAD</t>
  </si>
  <si>
    <t>27028-8115</t>
  </si>
  <si>
    <t>G3060A0035</t>
  </si>
  <si>
    <t>BAREFOOT RICHARD R</t>
  </si>
  <si>
    <t>BAREFOOT SHERRY L</t>
  </si>
  <si>
    <t>169 STONY BROOK TRAIL</t>
  </si>
  <si>
    <t>27028-4902</t>
  </si>
  <si>
    <t>G3060B0007</t>
  </si>
  <si>
    <t>WILSON TAMALA B</t>
  </si>
  <si>
    <t>295 IJAMES CHURCH ROAD</t>
  </si>
  <si>
    <t>G20000003001</t>
  </si>
  <si>
    <t>G200000030</t>
  </si>
  <si>
    <t>G20000004503</t>
  </si>
  <si>
    <t>STROUD WADE</t>
  </si>
  <si>
    <t>1277 CALAHAN ROAD</t>
  </si>
  <si>
    <t>G3060B0013</t>
  </si>
  <si>
    <t>MAXIE MICHAEL</t>
  </si>
  <si>
    <t>MAXIE LINDA</t>
  </si>
  <si>
    <t>339 IJAMES CHURCH ROAD</t>
  </si>
  <si>
    <t>27028-4823</t>
  </si>
  <si>
    <t>G3060B0018</t>
  </si>
  <si>
    <t>STILES DIANNE H</t>
  </si>
  <si>
    <t>423 IJAMES CHURCH ROAD</t>
  </si>
  <si>
    <t>G3060C0002</t>
  </si>
  <si>
    <t>STONE BRIAN N</t>
  </si>
  <si>
    <t>120 NEBBS TRAIL</t>
  </si>
  <si>
    <t>G3060C0001</t>
  </si>
  <si>
    <t>G3060D0001</t>
  </si>
  <si>
    <t>BRUCE HENRY M</t>
  </si>
  <si>
    <t>BRUCE JOYCE M</t>
  </si>
  <si>
    <t>147 NEBBS TRAIL</t>
  </si>
  <si>
    <t>G3060D0003</t>
  </si>
  <si>
    <t>BUSS DENNIS</t>
  </si>
  <si>
    <t>BUSS LINDA A</t>
  </si>
  <si>
    <t>167 NEBBS TRAIL</t>
  </si>
  <si>
    <t>G200000049</t>
  </si>
  <si>
    <t>ANDERSON DANNY FRANKLIN</t>
  </si>
  <si>
    <t>613 SHEFFIELD ROAD</t>
  </si>
  <si>
    <t>G3140A0009</t>
  </si>
  <si>
    <t>MCCLEAREN KENNETH W</t>
  </si>
  <si>
    <t>MCCLEAREN TINA H</t>
  </si>
  <si>
    <t>241 HIDDEN VALLEY LANE</t>
  </si>
  <si>
    <t>27028-5665</t>
  </si>
  <si>
    <t>G400000002</t>
  </si>
  <si>
    <t>DOSS SHARON TUTTEROW</t>
  </si>
  <si>
    <t>457 MADISON ROAD</t>
  </si>
  <si>
    <t>G400000003</t>
  </si>
  <si>
    <t>UNION CHAPEL UNITED METHODIST</t>
  </si>
  <si>
    <t>1813 US HWY 601 NORTH</t>
  </si>
  <si>
    <t>G400000052</t>
  </si>
  <si>
    <t>H3040A0003</t>
  </si>
  <si>
    <t>G20000005003</t>
  </si>
  <si>
    <t>G200000064</t>
  </si>
  <si>
    <t>BOGER GEORGE M</t>
  </si>
  <si>
    <t>BOGER DOROTHY FAYE</t>
  </si>
  <si>
    <t>571 FRED LANIER ROAD</t>
  </si>
  <si>
    <t>27028-8230</t>
  </si>
  <si>
    <t>G30000000802</t>
  </si>
  <si>
    <t>G30000002203</t>
  </si>
  <si>
    <t>G30000002403</t>
  </si>
  <si>
    <t>WILLIAMS MARC L</t>
  </si>
  <si>
    <t>RICHARDSON KAREN L</t>
  </si>
  <si>
    <t>140 DREAM HAVEN LANE</t>
  </si>
  <si>
    <t>J5010C0026</t>
  </si>
  <si>
    <t>SCOTT CLYDE ERVIN SR</t>
  </si>
  <si>
    <t>PO BOX 34</t>
  </si>
  <si>
    <t>J5010C0009</t>
  </si>
  <si>
    <t>G400000028</t>
  </si>
  <si>
    <t>MYERS STEPHEN G</t>
  </si>
  <si>
    <t>MYERS JANIE L</t>
  </si>
  <si>
    <t>528 MAIN CHURCH ROAD</t>
  </si>
  <si>
    <t>27028-5848</t>
  </si>
  <si>
    <t>G30000002404</t>
  </si>
  <si>
    <t>LEAGANS STEPHEN G</t>
  </si>
  <si>
    <t>LEAGANS WANDA K</t>
  </si>
  <si>
    <t>129 BROOKWOOD TRAIL</t>
  </si>
  <si>
    <t>G300000040</t>
  </si>
  <si>
    <t>G300000079</t>
  </si>
  <si>
    <t>HAIRE F PIERCE</t>
  </si>
  <si>
    <t>HAIRE LINDA P</t>
  </si>
  <si>
    <t>1146 PIERCE'S PLACE WAY</t>
  </si>
  <si>
    <t>G30000008301</t>
  </si>
  <si>
    <t>TESH RUSSELL L</t>
  </si>
  <si>
    <t>TESH BARBARA M</t>
  </si>
  <si>
    <t>257 HIDDEN VALLEY LANE</t>
  </si>
  <si>
    <t>G400000046  A</t>
  </si>
  <si>
    <t>OWENS WADE GLENN JR</t>
  </si>
  <si>
    <t>OWENS RACHEL P</t>
  </si>
  <si>
    <t>139 SHIRLEYS WAY</t>
  </si>
  <si>
    <t>27028-5885</t>
  </si>
  <si>
    <t>G400000049</t>
  </si>
  <si>
    <t>DURHAM RANDALL L</t>
  </si>
  <si>
    <t>DURHAM PAMELA B</t>
  </si>
  <si>
    <t>247 WILLOW CREEK LANE</t>
  </si>
  <si>
    <t>27028-5880</t>
  </si>
  <si>
    <t>G40000004903</t>
  </si>
  <si>
    <t>GALE ALBERT D</t>
  </si>
  <si>
    <t>GALE BEVERLY C</t>
  </si>
  <si>
    <t>293 WILLOW CREEK LANE</t>
  </si>
  <si>
    <t>M300000007</t>
  </si>
  <si>
    <t>G500000144</t>
  </si>
  <si>
    <t>HARBIN THOMAS C</t>
  </si>
  <si>
    <t>HARBIN VICKIE H</t>
  </si>
  <si>
    <t>349 FARMLAND ROAD</t>
  </si>
  <si>
    <t>H200000051</t>
  </si>
  <si>
    <t>G40000004905</t>
  </si>
  <si>
    <t>G500000145</t>
  </si>
  <si>
    <t>G40000004909</t>
  </si>
  <si>
    <t>CONLEY DANIEL O</t>
  </si>
  <si>
    <t>256 WILLOW CREEK LANE</t>
  </si>
  <si>
    <t>G40000004910</t>
  </si>
  <si>
    <t>GALLUZZO JEAN ANN</t>
  </si>
  <si>
    <t>306 WILLOW CREEK LANE</t>
  </si>
  <si>
    <t>27028-5881</t>
  </si>
  <si>
    <t>G3020A0007</t>
  </si>
  <si>
    <t>BALL PHILIP BRADLEY</t>
  </si>
  <si>
    <t>BALL JANET H</t>
  </si>
  <si>
    <t>199 WHITE DOVE WAY</t>
  </si>
  <si>
    <t>27028-5962</t>
  </si>
  <si>
    <t>G3030A0063</t>
  </si>
  <si>
    <t>TURNER BRIAN T</t>
  </si>
  <si>
    <t>TURNER KARRTERISA</t>
  </si>
  <si>
    <t>157 MURPHY ROAD</t>
  </si>
  <si>
    <t>G3030A0071</t>
  </si>
  <si>
    <t>FIEBELKORN CRAIG E</t>
  </si>
  <si>
    <t>FIEBELKORN JAMIE E</t>
  </si>
  <si>
    <t>170 CANDI LANE</t>
  </si>
  <si>
    <t>G4080A0021</t>
  </si>
  <si>
    <t>BOGER MARLENE MILLER</t>
  </si>
  <si>
    <t>1455 MAIN CHURCH ROAD</t>
  </si>
  <si>
    <t>G40000004904</t>
  </si>
  <si>
    <t>LAYMON GRAY A</t>
  </si>
  <si>
    <t>LAYMON BETTY JO PHILLIPS</t>
  </si>
  <si>
    <t>1241 MAIN CHURCH ROAD</t>
  </si>
  <si>
    <t>27028-5873</t>
  </si>
  <si>
    <t>G4080A0034</t>
  </si>
  <si>
    <t>SMITH SYLVIA H</t>
  </si>
  <si>
    <t>1476 MAIN CHURCH ROAD</t>
  </si>
  <si>
    <t>G500000002</t>
  </si>
  <si>
    <t>WILSON HAROLD</t>
  </si>
  <si>
    <t>WILSON ETHEL</t>
  </si>
  <si>
    <t>559 WOODWARD ROAD</t>
  </si>
  <si>
    <t>H400000024</t>
  </si>
  <si>
    <t>ANGELL JAMES MARCUS</t>
  </si>
  <si>
    <t>ANGELL BRENDA HARRIS</t>
  </si>
  <si>
    <t>991 COUNTRY LANE</t>
  </si>
  <si>
    <t>27028-4720</t>
  </si>
  <si>
    <t>G3050B0007</t>
  </si>
  <si>
    <t>G3050A0004</t>
  </si>
  <si>
    <t>GOSPEL BAPTIST CHURCH</t>
  </si>
  <si>
    <t>1540 MAIN CHURCH ROAD</t>
  </si>
  <si>
    <t>G3060A0002</t>
  </si>
  <si>
    <t>G200000016</t>
  </si>
  <si>
    <t>G3060A0029</t>
  </si>
  <si>
    <t>BLOCK PETER J</t>
  </si>
  <si>
    <t>BLOCK DIANA M</t>
  </si>
  <si>
    <t>112 PARKWAY COURT</t>
  </si>
  <si>
    <t>G3060B0008</t>
  </si>
  <si>
    <t>CORNATZER JAMES DAVID</t>
  </si>
  <si>
    <t>CORNATZER CHRISTY NAYLOR</t>
  </si>
  <si>
    <t>301 IJAMES CHURCH ROAD</t>
  </si>
  <si>
    <t>G3060B0010</t>
  </si>
  <si>
    <t>SMITH RICHARD</t>
  </si>
  <si>
    <t>317 IJAMES CHURCH ROAD</t>
  </si>
  <si>
    <t>G3060B0011</t>
  </si>
  <si>
    <t>SMITH ELIZABETH LATHAM</t>
  </si>
  <si>
    <t>G50000000904</t>
  </si>
  <si>
    <t>LATHAM JOHN RAY</t>
  </si>
  <si>
    <t>LATHAM DARNELL D</t>
  </si>
  <si>
    <t>235 S ANGEL RDAD</t>
  </si>
  <si>
    <t>H300000049</t>
  </si>
  <si>
    <t>SCOTT DWIGHT A</t>
  </si>
  <si>
    <t>147 HAMPTON LANE</t>
  </si>
  <si>
    <t>H300000047</t>
  </si>
  <si>
    <t>G500000010</t>
  </si>
  <si>
    <t>G3140A0005</t>
  </si>
  <si>
    <t>BONILLA CARLOS</t>
  </si>
  <si>
    <t>BONILLA DORIS MEIJA</t>
  </si>
  <si>
    <t>137 HIDDEN VALLEY LANE</t>
  </si>
  <si>
    <t>G50000001603</t>
  </si>
  <si>
    <t>THURMOND MELISSA COHEN</t>
  </si>
  <si>
    <t>255 MAIN CHURCH ROAD</t>
  </si>
  <si>
    <t>G500000022</t>
  </si>
  <si>
    <t>MAINVILLE AME ZION CHURCH</t>
  </si>
  <si>
    <t>210 MAIN CHURCH ROAD</t>
  </si>
  <si>
    <t>G50000002401</t>
  </si>
  <si>
    <t>FOSTER GARY ANTHONY</t>
  </si>
  <si>
    <t>149 MAIN CHURCH ROAD</t>
  </si>
  <si>
    <t>G50000002402</t>
  </si>
  <si>
    <t>H400000038</t>
  </si>
  <si>
    <t>WHITAKER THOMAS D</t>
  </si>
  <si>
    <t>857 COUNTRY LANE</t>
  </si>
  <si>
    <t>G500000026</t>
  </si>
  <si>
    <t>H400000029</t>
  </si>
  <si>
    <t>H400000036</t>
  </si>
  <si>
    <t>G50000002602</t>
  </si>
  <si>
    <t>WHITAKER KENNETH RAY</t>
  </si>
  <si>
    <t>WHITAKER IRENE COFFEY</t>
  </si>
  <si>
    <t>2117 US HIGHWAY 158</t>
  </si>
  <si>
    <t>27028-4365</t>
  </si>
  <si>
    <t>G500000028</t>
  </si>
  <si>
    <t>J300000036</t>
  </si>
  <si>
    <t>G500000083</t>
  </si>
  <si>
    <t>BOWLES LARRY GILBERT</t>
  </si>
  <si>
    <t>115 DONREE LANE</t>
  </si>
  <si>
    <t>27028-4160</t>
  </si>
  <si>
    <t>G50000002901</t>
  </si>
  <si>
    <t>G40000000401</t>
  </si>
  <si>
    <t>FOSTER JIMMY D</t>
  </si>
  <si>
    <t>240 CHANCE LANE</t>
  </si>
  <si>
    <t>27028-4133</t>
  </si>
  <si>
    <t>G500000032</t>
  </si>
  <si>
    <t>PILCHER J T</t>
  </si>
  <si>
    <t>134 DONREE LANE</t>
  </si>
  <si>
    <t>G500000033</t>
  </si>
  <si>
    <t>JAMES LOU GRACE</t>
  </si>
  <si>
    <t>142 PINE STREET</t>
  </si>
  <si>
    <t>27028-2222</t>
  </si>
  <si>
    <t>I5160A0051</t>
  </si>
  <si>
    <t>G500000041</t>
  </si>
  <si>
    <t>POTTS DIANE H TRUSTEE</t>
  </si>
  <si>
    <t>POTTS GRAY A TRUSTEE</t>
  </si>
  <si>
    <t>POTS ROY L EXEMPT MARITAL TRS</t>
  </si>
  <si>
    <t>PO BOX 11</t>
  </si>
  <si>
    <t>I5050A0035</t>
  </si>
  <si>
    <t>G500000042</t>
  </si>
  <si>
    <t>HUMPHREY LOUIS E</t>
  </si>
  <si>
    <t>275 T E MILLER ROAD</t>
  </si>
  <si>
    <t>27012-6968</t>
  </si>
  <si>
    <t>G400000055</t>
  </si>
  <si>
    <t>461 CANA ROAD</t>
  </si>
  <si>
    <t>G400000012</t>
  </si>
  <si>
    <t>BOGER OLA MAE</t>
  </si>
  <si>
    <t>436 CANA ROAD</t>
  </si>
  <si>
    <t>G50000005602</t>
  </si>
  <si>
    <t>WARD FRANKLIN EUGENE</t>
  </si>
  <si>
    <t>374 FOSTER DAIRY ROAD</t>
  </si>
  <si>
    <t>G50000005606</t>
  </si>
  <si>
    <t>LEONARD JULIE AMANDA</t>
  </si>
  <si>
    <t>502 FOSTER DAIRY ROAD</t>
  </si>
  <si>
    <t>27028-4156</t>
  </si>
  <si>
    <t>G50000005603</t>
  </si>
  <si>
    <t>G50000005607</t>
  </si>
  <si>
    <t>CORRELL LEWIS B</t>
  </si>
  <si>
    <t>CORRELL SUSAN W</t>
  </si>
  <si>
    <t>442 FOSTER DAIRY ROAD</t>
  </si>
  <si>
    <t>G500000057</t>
  </si>
  <si>
    <t>WARD FRANKLIN E</t>
  </si>
  <si>
    <t>WARD NANCY R</t>
  </si>
  <si>
    <t>27028-4154</t>
  </si>
  <si>
    <t>G400000016</t>
  </si>
  <si>
    <t>WILSON HAROLD G</t>
  </si>
  <si>
    <t>G500000019</t>
  </si>
  <si>
    <t>G400000031</t>
  </si>
  <si>
    <t>STROUD JERRY W JR</t>
  </si>
  <si>
    <t>STROUD GINGER D</t>
  </si>
  <si>
    <t>677 MAIN CHURCH ROAD</t>
  </si>
  <si>
    <t>G400000037</t>
  </si>
  <si>
    <t>ASHBURN HARVEY L</t>
  </si>
  <si>
    <t>ASHBURN MARTHA S</t>
  </si>
  <si>
    <t>957 MAIN CHURCH ROAD</t>
  </si>
  <si>
    <t>G60000006406</t>
  </si>
  <si>
    <t>MCDANIEL TROY E JR</t>
  </si>
  <si>
    <t>MCDANIEL TAMARA T</t>
  </si>
  <si>
    <t>217 DE RON KEL LANE</t>
  </si>
  <si>
    <t>G60000006401</t>
  </si>
  <si>
    <t>G500000082</t>
  </si>
  <si>
    <t>SWEET ARTHUR</t>
  </si>
  <si>
    <t>SWEET ALMIE</t>
  </si>
  <si>
    <t>231 SWEET WOOD LANE</t>
  </si>
  <si>
    <t>27028-4343</t>
  </si>
  <si>
    <t>G50000008201</t>
  </si>
  <si>
    <t>HOBSON SHEILA</t>
  </si>
  <si>
    <t>232 SWEETWOOD LANE</t>
  </si>
  <si>
    <t>G400000043</t>
  </si>
  <si>
    <t>MILLER DONNA TODD</t>
  </si>
  <si>
    <t>145 MAYHEW LANE</t>
  </si>
  <si>
    <t>G400000047</t>
  </si>
  <si>
    <t>BAILEY GARY S</t>
  </si>
  <si>
    <t>1162 MAIN CHURCH ROAD</t>
  </si>
  <si>
    <t>27028-5872</t>
  </si>
  <si>
    <t>G4080A0003</t>
  </si>
  <si>
    <t>CALL JEFFREY WAYNE</t>
  </si>
  <si>
    <t>CALL RAE M</t>
  </si>
  <si>
    <t>197 CANA ROAD</t>
  </si>
  <si>
    <t>G500000106</t>
  </si>
  <si>
    <t>CASSIDY JAMES HAROLD</t>
  </si>
  <si>
    <t>CASSIDY HELEN J</t>
  </si>
  <si>
    <t>270 MCCLAMROCK ROAD</t>
  </si>
  <si>
    <t>G500000109</t>
  </si>
  <si>
    <t>WEST MICHAEL W</t>
  </si>
  <si>
    <t>222 MCCLAMROCK ROAD</t>
  </si>
  <si>
    <t>27028-4256</t>
  </si>
  <si>
    <t>G500000112</t>
  </si>
  <si>
    <t>BOWLES WILLIAM MARTIN</t>
  </si>
  <si>
    <t>186 MCCLAMROCK ROAD</t>
  </si>
  <si>
    <t>27028-0038</t>
  </si>
  <si>
    <t>G500000111</t>
  </si>
  <si>
    <t>G4080A0020</t>
  </si>
  <si>
    <t>CALLAHAN MICHELLE BARNEYCASTLE</t>
  </si>
  <si>
    <t>1435 MAIN CHURCH ROAD</t>
  </si>
  <si>
    <t>H5150B0015</t>
  </si>
  <si>
    <t>BOGER GARY B</t>
  </si>
  <si>
    <t>BOGER JOAN K</t>
  </si>
  <si>
    <t>229 DOGWOOD LANE</t>
  </si>
  <si>
    <t>G500000127</t>
  </si>
  <si>
    <t>MCCLAMROCK EVERETTE GRAY JR</t>
  </si>
  <si>
    <t>241 WHITTAKER ROAD</t>
  </si>
  <si>
    <t>27028-4412</t>
  </si>
  <si>
    <t>G50000012701</t>
  </si>
  <si>
    <t>G500000128</t>
  </si>
  <si>
    <t>MYERS KENNY L</t>
  </si>
  <si>
    <t>222 WHITAKER ROAD</t>
  </si>
  <si>
    <t>G50000013302</t>
  </si>
  <si>
    <t>BEEDING SARAH W</t>
  </si>
  <si>
    <t>BEEDING BOBBY GRAY</t>
  </si>
  <si>
    <t>143 OAK GROVE CHURCH ROAD</t>
  </si>
  <si>
    <t>27028-4310</t>
  </si>
  <si>
    <t>G4080A0022</t>
  </si>
  <si>
    <t>G4080A0035</t>
  </si>
  <si>
    <t>G3060A0025</t>
  </si>
  <si>
    <t>YATES WELDON A</t>
  </si>
  <si>
    <t>YATES ELIZABETH N</t>
  </si>
  <si>
    <t>PO BOX 85</t>
  </si>
  <si>
    <t>G500000152</t>
  </si>
  <si>
    <t>AUSTIN DAVID WALTER</t>
  </si>
  <si>
    <t>AUSTIN PRISCILLA I</t>
  </si>
  <si>
    <t>350 FARMLAND ROAD</t>
  </si>
  <si>
    <t>27028-4147</t>
  </si>
  <si>
    <t>G500000153</t>
  </si>
  <si>
    <t>STEWART ELMER WADE</t>
  </si>
  <si>
    <t>STEWART KIMBERLY FOSTER</t>
  </si>
  <si>
    <t>306 FARMLAND ROAD</t>
  </si>
  <si>
    <t>G500000155</t>
  </si>
  <si>
    <t>BOWDEN JEFFERSON L</t>
  </si>
  <si>
    <t>BOWDEN ELIZABETH H</t>
  </si>
  <si>
    <t>319 FARMLAND ROAD</t>
  </si>
  <si>
    <t>27028-4164</t>
  </si>
  <si>
    <t>G500000156</t>
  </si>
  <si>
    <t>CLARY CRAIG M</t>
  </si>
  <si>
    <t>134 SON SHINE WAY</t>
  </si>
  <si>
    <t>G3060A0027</t>
  </si>
  <si>
    <t>LEE RONNIE R</t>
  </si>
  <si>
    <t>LEE KIMBERLY M</t>
  </si>
  <si>
    <t>126 PARKWAY COURT</t>
  </si>
  <si>
    <t>G600000005</t>
  </si>
  <si>
    <t>IMMANUEL BAPTIST CHURCH</t>
  </si>
  <si>
    <t>1505 LEWISVILLE-CLEMMONS ROAD</t>
  </si>
  <si>
    <t>G600000118</t>
  </si>
  <si>
    <t>MULLIS TONY</t>
  </si>
  <si>
    <t>MULLIS BOBBIE</t>
  </si>
  <si>
    <t>121 FOSTER DAIRY ROAD</t>
  </si>
  <si>
    <t>27028-4173</t>
  </si>
  <si>
    <t>G50000000803</t>
  </si>
  <si>
    <t>YOKLEY HELEN LYNN HOOVER</t>
  </si>
  <si>
    <t>PO BOX 1015</t>
  </si>
  <si>
    <t>G600000022</t>
  </si>
  <si>
    <t>SMITH RONNIE LEE</t>
  </si>
  <si>
    <t>SMITH NANCY JEANETTE</t>
  </si>
  <si>
    <t>144 HARTFORD LANE</t>
  </si>
  <si>
    <t>H400000109</t>
  </si>
  <si>
    <t>G600000026</t>
  </si>
  <si>
    <t>WOOD BRENDA P</t>
  </si>
  <si>
    <t>480 DULIN ROAD</t>
  </si>
  <si>
    <t>G60000002603</t>
  </si>
  <si>
    <t>BEAUCHAMP TAMI W</t>
  </si>
  <si>
    <t>BEAUCHAMP JEREMY</t>
  </si>
  <si>
    <t>496 DULIN ROAD</t>
  </si>
  <si>
    <t>G600000028</t>
  </si>
  <si>
    <t>BENNETT DELBERT E</t>
  </si>
  <si>
    <t>BENNETT MARTHA LEE</t>
  </si>
  <si>
    <t>508 DULIN ROAD</t>
  </si>
  <si>
    <t>G600000031</t>
  </si>
  <si>
    <t>BLAKLEY ALLEN</t>
  </si>
  <si>
    <t>BLAKLEY ANN</t>
  </si>
  <si>
    <t>722 DULIN ROAD</t>
  </si>
  <si>
    <t>27028-7206</t>
  </si>
  <si>
    <t>G600000033</t>
  </si>
  <si>
    <t>STEELMAN DAVID L</t>
  </si>
  <si>
    <t>STEELMAN DONNA ROSE</t>
  </si>
  <si>
    <t>1226 HOWARDTOWN CIRCLE</t>
  </si>
  <si>
    <t>G600000035</t>
  </si>
  <si>
    <t>KEATON RONALD D</t>
  </si>
  <si>
    <t>KEATON JUDY H</t>
  </si>
  <si>
    <t>1203 HOWARDTOWN CIRCLE</t>
  </si>
  <si>
    <t>G600000036</t>
  </si>
  <si>
    <t>KEATON JANA R</t>
  </si>
  <si>
    <t>5009 CRAUN LANE</t>
  </si>
  <si>
    <t>ROANOKE</t>
  </si>
  <si>
    <t>24019-0000</t>
  </si>
  <si>
    <t>G50000000804</t>
  </si>
  <si>
    <t>YOKLEY DALE ROBERT</t>
  </si>
  <si>
    <t>YOKLEY HELEN HOOVER</t>
  </si>
  <si>
    <t>27028-1015</t>
  </si>
  <si>
    <t>G600000050</t>
  </si>
  <si>
    <t>NAIL JAMES WOODROW</t>
  </si>
  <si>
    <t>NAIL CAROLYN</t>
  </si>
  <si>
    <t>247 HOWARDTOWN ROAD</t>
  </si>
  <si>
    <t>G60000004001</t>
  </si>
  <si>
    <t>HOWARD LYNN J</t>
  </si>
  <si>
    <t>203 HOWARDTOWN ROAD</t>
  </si>
  <si>
    <t>G600000045</t>
  </si>
  <si>
    <t>JARVIS VIRGINIA MEADOWS</t>
  </si>
  <si>
    <t>JARVIS RONALD LYNN</t>
  </si>
  <si>
    <t>185 HOWARDTOWN ROAD</t>
  </si>
  <si>
    <t>G600000047</t>
  </si>
  <si>
    <t>G600000051</t>
  </si>
  <si>
    <t>ROBERTSON TED J</t>
  </si>
  <si>
    <t>ROBERTSON JANICE</t>
  </si>
  <si>
    <t>252 HOWARDTOWN ROAD</t>
  </si>
  <si>
    <t>G600000052</t>
  </si>
  <si>
    <t>ROBERTSON TED JOHNSON</t>
  </si>
  <si>
    <t>H600000008</t>
  </si>
  <si>
    <t>G500000009</t>
  </si>
  <si>
    <t>G50000001602</t>
  </si>
  <si>
    <t>COHEN JUDITH LEE BOWLES</t>
  </si>
  <si>
    <t>5206 US HWY 158</t>
  </si>
  <si>
    <t>G60000006801</t>
  </si>
  <si>
    <t>BARNEY DENNY HAROLD</t>
  </si>
  <si>
    <t>2185 MILLING ROAD</t>
  </si>
  <si>
    <t>27028-7332</t>
  </si>
  <si>
    <t>G600000068</t>
  </si>
  <si>
    <t>G600000069</t>
  </si>
  <si>
    <t>G600000074</t>
  </si>
  <si>
    <t>LUFFMAN DONALD R</t>
  </si>
  <si>
    <t>LUFFMAN MARTHA F</t>
  </si>
  <si>
    <t>2137 MILLING ROAD</t>
  </si>
  <si>
    <t>G600000075</t>
  </si>
  <si>
    <t>POTTS DAVID BENNETT</t>
  </si>
  <si>
    <t>2127 MILLING ROAD</t>
  </si>
  <si>
    <t>G600000079</t>
  </si>
  <si>
    <t>POTTS DANNY R</t>
  </si>
  <si>
    <t>POTTS BRENDA JOYCE</t>
  </si>
  <si>
    <t>991 DULIN ROAD</t>
  </si>
  <si>
    <t>G500000031</t>
  </si>
  <si>
    <t>PILCHER JAMES T JR</t>
  </si>
  <si>
    <t>PILCHER BEVERLY B</t>
  </si>
  <si>
    <t>K80000000102</t>
  </si>
  <si>
    <t>FOSTER SPURGEON H JR</t>
  </si>
  <si>
    <t>FOSTER SHERRY M</t>
  </si>
  <si>
    <t>918 DULIN ROAD</t>
  </si>
  <si>
    <t>27028-7208</t>
  </si>
  <si>
    <t>K60000004502</t>
  </si>
  <si>
    <t>K600000046</t>
  </si>
  <si>
    <t>K80000000105</t>
  </si>
  <si>
    <t>G600000084</t>
  </si>
  <si>
    <t>HEPLER FRANCES E</t>
  </si>
  <si>
    <t>835 DULIN ROAD</t>
  </si>
  <si>
    <t>G600000094</t>
  </si>
  <si>
    <t>MCDANIEL DONNIE BERT</t>
  </si>
  <si>
    <t>683 DULIN ROAD</t>
  </si>
  <si>
    <t>G600000088</t>
  </si>
  <si>
    <t>G600000090</t>
  </si>
  <si>
    <t>BLAKLEY WILLIAM ALLEN</t>
  </si>
  <si>
    <t>BLAKELY BETTY ANN</t>
  </si>
  <si>
    <t>G500000051</t>
  </si>
  <si>
    <t>BOYD SANDRA CASSIDY</t>
  </si>
  <si>
    <t>2553 US HIGHWAY 158</t>
  </si>
  <si>
    <t>G70000000204</t>
  </si>
  <si>
    <t>CEMETERY SITE</t>
  </si>
  <si>
    <t>DAVIE COUNTY TAX SUPERVISOR</t>
  </si>
  <si>
    <t>J60000007301</t>
  </si>
  <si>
    <t>G800000102</t>
  </si>
  <si>
    <t>G700000003</t>
  </si>
  <si>
    <t>FOSTER LINDA ANN</t>
  </si>
  <si>
    <t>126 PAMELA LANE</t>
  </si>
  <si>
    <t>G70000000401</t>
  </si>
  <si>
    <t>COFFEY JEFFERY W</t>
  </si>
  <si>
    <t>COFFEY KRISTI A</t>
  </si>
  <si>
    <t>139 WOODBERRY TRAIL</t>
  </si>
  <si>
    <t>27028-7370</t>
  </si>
  <si>
    <t>G70000000402</t>
  </si>
  <si>
    <t>TALLEY GERALD A</t>
  </si>
  <si>
    <t>TALLEY MARY CAROLE MATHEWS</t>
  </si>
  <si>
    <t>167 WOODBERRY TRAIL</t>
  </si>
  <si>
    <t>G70000000405</t>
  </si>
  <si>
    <t>SIMPSON IRA WAYNE</t>
  </si>
  <si>
    <t>SIMPSON PAMELA HOLCOMB</t>
  </si>
  <si>
    <t>120 WOODBERRY TR</t>
  </si>
  <si>
    <t>G700000147</t>
  </si>
  <si>
    <t>SIMPSON GARY PAIGE</t>
  </si>
  <si>
    <t>SIMPSON JERAN GAIL</t>
  </si>
  <si>
    <t>118 WOODBERRY TRAIL</t>
  </si>
  <si>
    <t>G70000000403</t>
  </si>
  <si>
    <t>G50000005101</t>
  </si>
  <si>
    <t>BOYD CECIL FRANK</t>
  </si>
  <si>
    <t>27028-4369</t>
  </si>
  <si>
    <t>G60000006301</t>
  </si>
  <si>
    <t>G500000075</t>
  </si>
  <si>
    <t>H60000003301</t>
  </si>
  <si>
    <t>G600000064</t>
  </si>
  <si>
    <t>H500000062</t>
  </si>
  <si>
    <t>MCDANIEL GEORGE D REVOC TRUST</t>
  </si>
  <si>
    <t>MCDANIEL SUSAN B REVOC TRUST</t>
  </si>
  <si>
    <t>4751 CLOVERHURST ROAD</t>
  </si>
  <si>
    <t>G700000031</t>
  </si>
  <si>
    <t>EDDINGER RICHARD M</t>
  </si>
  <si>
    <t>165 OUR PL</t>
  </si>
  <si>
    <t>27028-7270</t>
  </si>
  <si>
    <t>G70000003904</t>
  </si>
  <si>
    <t>STRICKLAND VESTER B</t>
  </si>
  <si>
    <t>STRICKLAND CAROL C</t>
  </si>
  <si>
    <t>1945 CORNATZER ROAD</t>
  </si>
  <si>
    <t>27028-7143</t>
  </si>
  <si>
    <t>G700000037</t>
  </si>
  <si>
    <t>G700000038</t>
  </si>
  <si>
    <t>G70000003903</t>
  </si>
  <si>
    <t>G700000152</t>
  </si>
  <si>
    <t>HENDRIX JACKY G</t>
  </si>
  <si>
    <t>HENDRIX TAMARA</t>
  </si>
  <si>
    <t>1015 HUTTON LANE STE 103</t>
  </si>
  <si>
    <t>HIGH POINT</t>
  </si>
  <si>
    <t>27262-0000</t>
  </si>
  <si>
    <t>G70000004004</t>
  </si>
  <si>
    <t>MILLER TAMMY S</t>
  </si>
  <si>
    <t>MILLER RODNEY R</t>
  </si>
  <si>
    <t>208 BUDDY TRAIL</t>
  </si>
  <si>
    <t>G70000003901</t>
  </si>
  <si>
    <t>SPILLMAN RICHARD T JR</t>
  </si>
  <si>
    <t>SPILLMAN MICHELE S</t>
  </si>
  <si>
    <t>1893 CORNATZER ROAD</t>
  </si>
  <si>
    <t>G70000004101</t>
  </si>
  <si>
    <t>G700000043</t>
  </si>
  <si>
    <t>QUINN AUDRA D HOLDER</t>
  </si>
  <si>
    <t>QUINN BRIAN G</t>
  </si>
  <si>
    <t>1847 CORNATZER ROAD</t>
  </si>
  <si>
    <t>G70000004501</t>
  </si>
  <si>
    <t>SWAN GARY A JR</t>
  </si>
  <si>
    <t>SWAN APRIL L</t>
  </si>
  <si>
    <t>1821 CORNATZER ROAD</t>
  </si>
  <si>
    <t>G500000092</t>
  </si>
  <si>
    <t>G500000093</t>
  </si>
  <si>
    <t>BOWERS HAYDEN</t>
  </si>
  <si>
    <t>BOWERS JANE M</t>
  </si>
  <si>
    <t>253 McCLAMMROCK ROAD</t>
  </si>
  <si>
    <t>G700000055</t>
  </si>
  <si>
    <t>BIXBY CHURCH OF THE LIVING GOD</t>
  </si>
  <si>
    <t>RT 2 BOX 66</t>
  </si>
  <si>
    <t>G70000006801</t>
  </si>
  <si>
    <t>CONCO</t>
  </si>
  <si>
    <t>1257 US HIGHWAY 64 WEST</t>
  </si>
  <si>
    <t>G70000006804</t>
  </si>
  <si>
    <t>SINK TRAVIS J</t>
  </si>
  <si>
    <t>SINK KATHERINE S</t>
  </si>
  <si>
    <t>1292 BALTIMORE ROAD</t>
  </si>
  <si>
    <t>H9080A0038</t>
  </si>
  <si>
    <t>JOHNSON CHRISTOPHER K</t>
  </si>
  <si>
    <t>JOHNSON MELISSA R</t>
  </si>
  <si>
    <t>233 FALLINGCREEK DRIVE</t>
  </si>
  <si>
    <t>27006-7659</t>
  </si>
  <si>
    <t>G50000012501</t>
  </si>
  <si>
    <t>G50000014101</t>
  </si>
  <si>
    <t>HILTON GRACE M</t>
  </si>
  <si>
    <t>HILTON ROBERT A</t>
  </si>
  <si>
    <t>249 OAK GROVE CHURCH ROAD</t>
  </si>
  <si>
    <t>G700000075</t>
  </si>
  <si>
    <t>MARTINEZ JOSE</t>
  </si>
  <si>
    <t>SALAMANCA MARTINEZ MIRNA L</t>
  </si>
  <si>
    <t>1323 BALTIMORE ROAD</t>
  </si>
  <si>
    <t>27006-7823</t>
  </si>
  <si>
    <t>G700000078</t>
  </si>
  <si>
    <t>SMITH GRADY E JR</t>
  </si>
  <si>
    <t>KEATON DIANE</t>
  </si>
  <si>
    <t>1413 BALTIMORE ROAD</t>
  </si>
  <si>
    <t>G700000110</t>
  </si>
  <si>
    <t>BIXBY PRESBYTERIAN CHURCH</t>
  </si>
  <si>
    <t>RT 2 BOX 126</t>
  </si>
  <si>
    <t>G700000085</t>
  </si>
  <si>
    <t>G700000087</t>
  </si>
  <si>
    <t>ELLIOT MARK T</t>
  </si>
  <si>
    <t>ELLIOT PAMELA C</t>
  </si>
  <si>
    <t>229 MARKLAND ROAD</t>
  </si>
  <si>
    <t>G70000009003</t>
  </si>
  <si>
    <t>CLINARD GEORGE I</t>
  </si>
  <si>
    <t>CLINARD CHARLIE R</t>
  </si>
  <si>
    <t>530 MARKLAND ROAD</t>
  </si>
  <si>
    <t>G700000121</t>
  </si>
  <si>
    <t>G700000090</t>
  </si>
  <si>
    <t>G70000009001</t>
  </si>
  <si>
    <t>POPLAR GROVE CHURCH</t>
  </si>
  <si>
    <t>G70000009002</t>
  </si>
  <si>
    <t>ROBERTSON CHARLES RONALD</t>
  </si>
  <si>
    <t>PO BOX 162</t>
  </si>
  <si>
    <t>27006-0162</t>
  </si>
  <si>
    <t>G700000062</t>
  </si>
  <si>
    <t>H700000092</t>
  </si>
  <si>
    <t>N600000037</t>
  </si>
  <si>
    <t>NORMAN JIMMY L</t>
  </si>
  <si>
    <t>NORMAN BRENDA K</t>
  </si>
  <si>
    <t>264 MARKLAND ROAD</t>
  </si>
  <si>
    <t>G700000096</t>
  </si>
  <si>
    <t>G700000098</t>
  </si>
  <si>
    <t>G700000099</t>
  </si>
  <si>
    <t>G700000097</t>
  </si>
  <si>
    <t>G700000100</t>
  </si>
  <si>
    <t>GILBERT LENA B HEIRS</t>
  </si>
  <si>
    <t>3811 NORTH MAIN STREET</t>
  </si>
  <si>
    <t>27265-0000</t>
  </si>
  <si>
    <t>G500000147</t>
  </si>
  <si>
    <t>HOWELL KENNETH WAYNE JR</t>
  </si>
  <si>
    <t>HOWELL KRISTIE GREENE</t>
  </si>
  <si>
    <t>439 FARMLAND ROAD</t>
  </si>
  <si>
    <t>G500000150</t>
  </si>
  <si>
    <t>APPELT WILLIAM DAVID</t>
  </si>
  <si>
    <t>APPELT MARCIE LYNN</t>
  </si>
  <si>
    <t>428 FARMLAND ROAD</t>
  </si>
  <si>
    <t>27028-4148</t>
  </si>
  <si>
    <t>G70000010502</t>
  </si>
  <si>
    <t>CORNATZER EDDIE CHARLES</t>
  </si>
  <si>
    <t>CORNATZER CARRIE REDMOND</t>
  </si>
  <si>
    <t>145 IRIS LANE</t>
  </si>
  <si>
    <t>G700000107</t>
  </si>
  <si>
    <t>SANDERS MELISSA S</t>
  </si>
  <si>
    <t>1693 FORK BIXBY ROAD</t>
  </si>
  <si>
    <t>G700000109</t>
  </si>
  <si>
    <t>CORNATZER STEVEN C</t>
  </si>
  <si>
    <t>CORNATZER SARAH D</t>
  </si>
  <si>
    <t>1731 FORK BIXBY ROAD</t>
  </si>
  <si>
    <t>G700000111</t>
  </si>
  <si>
    <t>SHOAF MEDFORD L</t>
  </si>
  <si>
    <t>SHOAF NANCY V</t>
  </si>
  <si>
    <t>1757 FORK BIXBY ROAD</t>
  </si>
  <si>
    <t>27006-7264</t>
  </si>
  <si>
    <t>G700000112</t>
  </si>
  <si>
    <t>SHOAF NANCY</t>
  </si>
  <si>
    <t>G700000122</t>
  </si>
  <si>
    <t>BARNEY MAGGIE LOU</t>
  </si>
  <si>
    <t>BARNEY W H BARNEY</t>
  </si>
  <si>
    <t>177 BARNEY ROAD</t>
  </si>
  <si>
    <t>27006-7190</t>
  </si>
  <si>
    <t>G50000000705</t>
  </si>
  <si>
    <t>BOSTIC ROBERT EDWARD</t>
  </si>
  <si>
    <t>BOSTIC FREIDA C</t>
  </si>
  <si>
    <t>387 SOUTH ANGELL ROAD</t>
  </si>
  <si>
    <t>27028-4334</t>
  </si>
  <si>
    <t>G70000013911</t>
  </si>
  <si>
    <t>VANARSDALE DARRELL L</t>
  </si>
  <si>
    <t>VANARSDALE KAREN A</t>
  </si>
  <si>
    <t>327 BRIDLE LANE</t>
  </si>
  <si>
    <t>G70000013912</t>
  </si>
  <si>
    <t>G70000013913</t>
  </si>
  <si>
    <t>GREBELDINGER SUSAN K</t>
  </si>
  <si>
    <t>295 BRIDLE LANE</t>
  </si>
  <si>
    <t>27006-7130</t>
  </si>
  <si>
    <t>G70000013914</t>
  </si>
  <si>
    <t>FREDETTE CHRISTOPHER STEPHEN</t>
  </si>
  <si>
    <t>FREDETTE CAROLYN COBURN</t>
  </si>
  <si>
    <t>285 BRIDLE LANE</t>
  </si>
  <si>
    <t>G70000013915</t>
  </si>
  <si>
    <t>CLAMPITT JOEL R</t>
  </si>
  <si>
    <t>231 BRIDLE LANE</t>
  </si>
  <si>
    <t>G70000014102</t>
  </si>
  <si>
    <t>YANKEE WAYNE D</t>
  </si>
  <si>
    <t>195 SNOOPY TRAIL</t>
  </si>
  <si>
    <t>G7060A0001</t>
  </si>
  <si>
    <t>CAMPBELL ROBIN</t>
  </si>
  <si>
    <t>CAMPBELL KELLY</t>
  </si>
  <si>
    <t>208 MCDANIEL ROAD</t>
  </si>
  <si>
    <t>G7060A0003</t>
  </si>
  <si>
    <t>CAMPBELL MICHAEL GERARD</t>
  </si>
  <si>
    <t>CAMPBELL HEATHER RAY</t>
  </si>
  <si>
    <t>222 MCDANIEL ROAD</t>
  </si>
  <si>
    <t>27006-7069</t>
  </si>
  <si>
    <t>G7060A0006</t>
  </si>
  <si>
    <t>BROWN KATHY JOHNSON</t>
  </si>
  <si>
    <t>341B IVY PLACE NE</t>
  </si>
  <si>
    <t>30307-0000</t>
  </si>
  <si>
    <t>G500000006  A</t>
  </si>
  <si>
    <t>G50000000707</t>
  </si>
  <si>
    <t>H50000002405</t>
  </si>
  <si>
    <t>G60000000301</t>
  </si>
  <si>
    <t>MECHAM ELDEN L</t>
  </si>
  <si>
    <t>MECHAM PHYLLIS R</t>
  </si>
  <si>
    <t>401 FOSTER DAIRY ROAD</t>
  </si>
  <si>
    <t>27028-4176</t>
  </si>
  <si>
    <t>G7010A0001</t>
  </si>
  <si>
    <t>WATTS DAVID P</t>
  </si>
  <si>
    <t>WATTS HOLLY H</t>
  </si>
  <si>
    <t>110 BALTIMORE DOWNS ROAD</t>
  </si>
  <si>
    <t>G50000013306</t>
  </si>
  <si>
    <t>G60000003701</t>
  </si>
  <si>
    <t>ALLEN GLEN D</t>
  </si>
  <si>
    <t>134 TERRACE NORTH</t>
  </si>
  <si>
    <t>27028-7832</t>
  </si>
  <si>
    <t>G7030A0001</t>
  </si>
  <si>
    <t>SHAW BARRY D</t>
  </si>
  <si>
    <t>SHAW BARBARA D</t>
  </si>
  <si>
    <t>109 CAMDEN COURT</t>
  </si>
  <si>
    <t>G7030A0003</t>
  </si>
  <si>
    <t>HEDRICK MATTHEW EDWARD</t>
  </si>
  <si>
    <t>HEDRICK DEBRA ALBERTY</t>
  </si>
  <si>
    <t>132 CAMDEN COURT</t>
  </si>
  <si>
    <t>G7030A0008</t>
  </si>
  <si>
    <t>HEDRICK MATTHEW E</t>
  </si>
  <si>
    <t>HEDRICK DEBRA L</t>
  </si>
  <si>
    <t>G7040A0035</t>
  </si>
  <si>
    <t>RAWLINGS TERESA</t>
  </si>
  <si>
    <t>119 CASA BELLA DRIVE</t>
  </si>
  <si>
    <t>G600000082</t>
  </si>
  <si>
    <t>FOSTER JERRY KENNETH</t>
  </si>
  <si>
    <t>951 DULIN ROAD</t>
  </si>
  <si>
    <t>G7040A0074</t>
  </si>
  <si>
    <t>NEWTON BRADLEY J</t>
  </si>
  <si>
    <t>512 HOWARD STREET</t>
  </si>
  <si>
    <t>COLUMBIA</t>
  </si>
  <si>
    <t>29205-0000</t>
  </si>
  <si>
    <t>G600000080</t>
  </si>
  <si>
    <t>G60000008201</t>
  </si>
  <si>
    <t>G70000000202</t>
  </si>
  <si>
    <t>REAVIS JAMES P JR</t>
  </si>
  <si>
    <t>REAVIS IONA L</t>
  </si>
  <si>
    <t>527 HOWARDTOWN ROAD</t>
  </si>
  <si>
    <t>G7050A0002</t>
  </si>
  <si>
    <t>CALKINS GLEN EDWARD</t>
  </si>
  <si>
    <t>CALKINS MARTHA R</t>
  </si>
  <si>
    <t>115 PRINCETON COURT</t>
  </si>
  <si>
    <t>G7050A0009</t>
  </si>
  <si>
    <t>FOLK WILLIAM H JR</t>
  </si>
  <si>
    <t>FOLK JOANNE C</t>
  </si>
  <si>
    <t>183 PRINCETON COURT</t>
  </si>
  <si>
    <t>27006-7898</t>
  </si>
  <si>
    <t>G7050A0010</t>
  </si>
  <si>
    <t>HICKS WILLIAM R</t>
  </si>
  <si>
    <t>HICKS DAWN R</t>
  </si>
  <si>
    <t>PO BOX 1686</t>
  </si>
  <si>
    <t>G70000000502A</t>
  </si>
  <si>
    <t>WORKMAN RONNIE W</t>
  </si>
  <si>
    <t>WORKMAN CAROL</t>
  </si>
  <si>
    <t>PO BOX 318</t>
  </si>
  <si>
    <t>27006-0318</t>
  </si>
  <si>
    <t>G7050A0016</t>
  </si>
  <si>
    <t>TORBUSH GAIL S</t>
  </si>
  <si>
    <t>118 PRINCETON COURT</t>
  </si>
  <si>
    <t>G7070A0009</t>
  </si>
  <si>
    <t>ORTEGA NICOLE P</t>
  </si>
  <si>
    <t>ORTEGA MAURICIO</t>
  </si>
  <si>
    <t>200 BROWDER LANE</t>
  </si>
  <si>
    <t>G7070A0010</t>
  </si>
  <si>
    <t>COOK MICHAEL E</t>
  </si>
  <si>
    <t>COOK MALLORY E</t>
  </si>
  <si>
    <t>197 BROWDER LANE</t>
  </si>
  <si>
    <t>G7070A0999</t>
  </si>
  <si>
    <t>BALTIMORE TRAILS HOMEOWNERS</t>
  </si>
  <si>
    <t>P O BOX 98</t>
  </si>
  <si>
    <t>G70000006807</t>
  </si>
  <si>
    <t>G80000000102</t>
  </si>
  <si>
    <t>KIMEL JOHN LEWIS JR</t>
  </si>
  <si>
    <t>2846 CORNATZER ROAD</t>
  </si>
  <si>
    <t>27006-7209</t>
  </si>
  <si>
    <t>G700000012</t>
  </si>
  <si>
    <t>M &amp; P PROPERTIES</t>
  </si>
  <si>
    <t>841 HOWARDTOWN RD</t>
  </si>
  <si>
    <t>G800000005</t>
  </si>
  <si>
    <t>SUTTON RICHARD D &amp; SANDRA J</t>
  </si>
  <si>
    <t>MARTIN DAVID J &amp; JOANNA M</t>
  </si>
  <si>
    <t>159 FINN HOLLOW LANE</t>
  </si>
  <si>
    <t>G80000000905</t>
  </si>
  <si>
    <t>OWENS LYNN O</t>
  </si>
  <si>
    <t>PO BOX 2218</t>
  </si>
  <si>
    <t>G80000000903</t>
  </si>
  <si>
    <t>G80000000902</t>
  </si>
  <si>
    <t>G80000001002</t>
  </si>
  <si>
    <t>SESSIONS STEVEN R</t>
  </si>
  <si>
    <t>SESSIONS ANNIE W</t>
  </si>
  <si>
    <t>G80000001003</t>
  </si>
  <si>
    <t>G800000012</t>
  </si>
  <si>
    <t>MILLS DAVID LYNN</t>
  </si>
  <si>
    <t>3093 CORNATZER ROAD</t>
  </si>
  <si>
    <t>G70000002201</t>
  </si>
  <si>
    <t>HILL CLARANCE C JR</t>
  </si>
  <si>
    <t>HILL LORI E</t>
  </si>
  <si>
    <t>115 SPRY LANE</t>
  </si>
  <si>
    <t>G8060A0009</t>
  </si>
  <si>
    <t>LE BLEU CORPORATION</t>
  </si>
  <si>
    <t>PO BOX 2093</t>
  </si>
  <si>
    <t>G8060A0013</t>
  </si>
  <si>
    <t>G8060A0010</t>
  </si>
  <si>
    <t>G8060A0011</t>
  </si>
  <si>
    <t>G800000016</t>
  </si>
  <si>
    <t>G80000001701</t>
  </si>
  <si>
    <t>PEACOCK KELLY W</t>
  </si>
  <si>
    <t>PO BOX 295</t>
  </si>
  <si>
    <t>27006-0295</t>
  </si>
  <si>
    <t>G800000025</t>
  </si>
  <si>
    <t>VOGLER NORMA FIELDS</t>
  </si>
  <si>
    <t>P O BOX 102</t>
  </si>
  <si>
    <t>27006-0102</t>
  </si>
  <si>
    <t>I4130H0036</t>
  </si>
  <si>
    <t>G800000026</t>
  </si>
  <si>
    <t>POTTS ROBERT M</t>
  </si>
  <si>
    <t>POTTS BETTY BYERLY</t>
  </si>
  <si>
    <t>PO BOX 74</t>
  </si>
  <si>
    <t>G800000086</t>
  </si>
  <si>
    <t>G800000028</t>
  </si>
  <si>
    <t>POTTS JERRY</t>
  </si>
  <si>
    <t>PO BOX 37</t>
  </si>
  <si>
    <t>G800000033</t>
  </si>
  <si>
    <t>BEAUCHAMP EARLIE R JR</t>
  </si>
  <si>
    <t>BEAUCHAMP LORNA M</t>
  </si>
  <si>
    <t>135 POTTS ROAD</t>
  </si>
  <si>
    <t>G80000003301</t>
  </si>
  <si>
    <t>ADVANCE UNITED METHODIST CHURC</t>
  </si>
  <si>
    <t>1675 NC HIGHWAY 801 SOUTH</t>
  </si>
  <si>
    <t>G800000040</t>
  </si>
  <si>
    <t>G8050A0004</t>
  </si>
  <si>
    <t>G800000035</t>
  </si>
  <si>
    <t>VOGLER RICHMOND S REVOC TRUST</t>
  </si>
  <si>
    <t>VOGLER RICHMOND S TRUSTEE</t>
  </si>
  <si>
    <t>1833 NC HIGHWAY 801 SOUTH</t>
  </si>
  <si>
    <t>G800000036</t>
  </si>
  <si>
    <t>G700000025</t>
  </si>
  <si>
    <t>ALLEN CHARLES PATRICK</t>
  </si>
  <si>
    <t>ALLEN MICHELLE A</t>
  </si>
  <si>
    <t>151 SPRY LANE</t>
  </si>
  <si>
    <t>G700000029</t>
  </si>
  <si>
    <t>WILMOTH JAMES RICKY</t>
  </si>
  <si>
    <t>WILMOTH MELISSA LAMBE</t>
  </si>
  <si>
    <t>191 SPRY LN</t>
  </si>
  <si>
    <t>27028-7409</t>
  </si>
  <si>
    <t>G800000051</t>
  </si>
  <si>
    <t>ROBERTSON STANLEY DARNELL</t>
  </si>
  <si>
    <t>ROBERTSON JOYCE HOWARD</t>
  </si>
  <si>
    <t>182 FEED MILL ROAD</t>
  </si>
  <si>
    <t>27006-7426</t>
  </si>
  <si>
    <t>G80000004204</t>
  </si>
  <si>
    <t>G800000042</t>
  </si>
  <si>
    <t>G8060A000502</t>
  </si>
  <si>
    <t>G80000004201</t>
  </si>
  <si>
    <t>ADVANCE MEMORIAL POST NO 8719</t>
  </si>
  <si>
    <t>PO BOX 73</t>
  </si>
  <si>
    <t>G800000049</t>
  </si>
  <si>
    <t>FOSTER CLARENCE W</t>
  </si>
  <si>
    <t>265 FEED MILL ROAD</t>
  </si>
  <si>
    <t>G80000004902</t>
  </si>
  <si>
    <t>SMITH KAREN AMANDA FOSTER</t>
  </si>
  <si>
    <t>927 RAINBOW ROAD</t>
  </si>
  <si>
    <t>G80000004903</t>
  </si>
  <si>
    <t>FOSTER RICHARD K</t>
  </si>
  <si>
    <t>FOSTER KIMBERLY</t>
  </si>
  <si>
    <t>311 FEED MILL ROAD</t>
  </si>
  <si>
    <t>G80000005203</t>
  </si>
  <si>
    <t>SMITH JACKIE WAYNE</t>
  </si>
  <si>
    <t>SMITH SANDRA POLLARD</t>
  </si>
  <si>
    <t>PO BOX 105</t>
  </si>
  <si>
    <t>G80000005201</t>
  </si>
  <si>
    <t>G80000005202</t>
  </si>
  <si>
    <t>G700000030</t>
  </si>
  <si>
    <t>CARTER JAMES E</t>
  </si>
  <si>
    <t>CARTER BARBARA B</t>
  </si>
  <si>
    <t>261 SPRY LANE</t>
  </si>
  <si>
    <t>G70000005002</t>
  </si>
  <si>
    <t>MYERS BAILEY L</t>
  </si>
  <si>
    <t>170 JOE MYERS ROAD</t>
  </si>
  <si>
    <t>27006-7002</t>
  </si>
  <si>
    <t>G80000006505</t>
  </si>
  <si>
    <t>MARKLAND CHARLES E</t>
  </si>
  <si>
    <t>MARKLAND LORENE P</t>
  </si>
  <si>
    <t>170 TAYLOR ROAD</t>
  </si>
  <si>
    <t>27006-7540</t>
  </si>
  <si>
    <t>G700000052  B</t>
  </si>
  <si>
    <t>U S SPRINT COMMUNICATIONS CO</t>
  </si>
  <si>
    <t>ATTN: PROPERTY TAX DEPT</t>
  </si>
  <si>
    <t>PO BOX 12913</t>
  </si>
  <si>
    <t>SHAWNEE MISSION</t>
  </si>
  <si>
    <t>KS</t>
  </si>
  <si>
    <t>66212-0000</t>
  </si>
  <si>
    <t>G700000074</t>
  </si>
  <si>
    <t>JONES DAVID W</t>
  </si>
  <si>
    <t>JONES GARY P</t>
  </si>
  <si>
    <t>1339 BALTIMORE ROAD</t>
  </si>
  <si>
    <t>G70000007403</t>
  </si>
  <si>
    <t>G70000010103</t>
  </si>
  <si>
    <t>HARRIS MARTHA R</t>
  </si>
  <si>
    <t>244 MARKLAND ROAD</t>
  </si>
  <si>
    <t>G800000203</t>
  </si>
  <si>
    <t>AREY MARK J</t>
  </si>
  <si>
    <t>AREY TINA C</t>
  </si>
  <si>
    <t>352 RABBIT FARM TRAIL</t>
  </si>
  <si>
    <t>G800000204</t>
  </si>
  <si>
    <t>BEATY BRENNAN M</t>
  </si>
  <si>
    <t>370 RABBIT FARM ROAD</t>
  </si>
  <si>
    <t>27006-7295</t>
  </si>
  <si>
    <t>K50000005704</t>
  </si>
  <si>
    <t>G800000206</t>
  </si>
  <si>
    <t>WARWICK GEORGE BRITON</t>
  </si>
  <si>
    <t>WARWICK SANDRA TALBERT</t>
  </si>
  <si>
    <t>406 RABBIT FARM TRAIL</t>
  </si>
  <si>
    <t>G70000010101</t>
  </si>
  <si>
    <t>ROSS DWIGHT G JR</t>
  </si>
  <si>
    <t>ROSS HEATHER C</t>
  </si>
  <si>
    <t>205 MARKLAND ROAD</t>
  </si>
  <si>
    <t>G800000219</t>
  </si>
  <si>
    <t>LANGTON LAURA G</t>
  </si>
  <si>
    <t>405 RABBIT FARM TRAIL</t>
  </si>
  <si>
    <t>G800000220</t>
  </si>
  <si>
    <t>ALLEN JEFFREY C</t>
  </si>
  <si>
    <t>ALLEN TARA H</t>
  </si>
  <si>
    <t>389 RABBIT FARM TRAIL</t>
  </si>
  <si>
    <t>G800000223</t>
  </si>
  <si>
    <t>MATHES ARTHUR N</t>
  </si>
  <si>
    <t>MATHES KIMBERLY S</t>
  </si>
  <si>
    <t>331 RABBIT FARM ROAD</t>
  </si>
  <si>
    <t>G800000229</t>
  </si>
  <si>
    <t>BEATTY DOUGLAS STEWART</t>
  </si>
  <si>
    <t>BEATTY AMIE BETH SHANK</t>
  </si>
  <si>
    <t>PO BOX 346</t>
  </si>
  <si>
    <t>G70000013908</t>
  </si>
  <si>
    <t>GIFF TIMOTHY GERALD</t>
  </si>
  <si>
    <t>370 BRIDLE LANE</t>
  </si>
  <si>
    <t>G8010B0010</t>
  </si>
  <si>
    <t>JONES MARY F</t>
  </si>
  <si>
    <t>2475 CORNATZER ROAD</t>
  </si>
  <si>
    <t>G8010B0011</t>
  </si>
  <si>
    <t>CHILDRESS AMANDA M</t>
  </si>
  <si>
    <t>2465 CORNATZER ROAD</t>
  </si>
  <si>
    <t>G70000014204</t>
  </si>
  <si>
    <t>MCANALLY DEAN S</t>
  </si>
  <si>
    <t>MCANALLY KAREN W</t>
  </si>
  <si>
    <t>196 MCDANIEL ROAD</t>
  </si>
  <si>
    <t>27006-7029</t>
  </si>
  <si>
    <t>G8010C0006</t>
  </si>
  <si>
    <t>LEWIS GREGORY A</t>
  </si>
  <si>
    <t>LEWIS TINA R</t>
  </si>
  <si>
    <t>144 MCDANIEL ROAD</t>
  </si>
  <si>
    <t>G8010C0008</t>
  </si>
  <si>
    <t>BOWMAN AUBREY W</t>
  </si>
  <si>
    <t>BOWMAN DONNA S</t>
  </si>
  <si>
    <t>168 MCDANIEL ROAD</t>
  </si>
  <si>
    <t>G8050A0005</t>
  </si>
  <si>
    <t>SIDES DAVID LEWIS</t>
  </si>
  <si>
    <t>1939 NC HIGHWAY 801 SOUTH</t>
  </si>
  <si>
    <t>PO BOX 193</t>
  </si>
  <si>
    <t>G8050A0011</t>
  </si>
  <si>
    <t>MAYHEW WILLA DEAN</t>
  </si>
  <si>
    <t>27006-7546</t>
  </si>
  <si>
    <t>G8050A0014</t>
  </si>
  <si>
    <t>ADVANCE VOLUNTEER FIRE DEPT</t>
  </si>
  <si>
    <t>% RONNIE ROBERTSON</t>
  </si>
  <si>
    <t>947 PEOPLES CREEK ROAD</t>
  </si>
  <si>
    <t>G70000014205</t>
  </si>
  <si>
    <t>YANKEE ROXANNE</t>
  </si>
  <si>
    <t>G700000143</t>
  </si>
  <si>
    <t>DANCY KENNY</t>
  </si>
  <si>
    <t>DANCY DEBRA</t>
  </si>
  <si>
    <t>230 GRANADA DRIVE</t>
  </si>
  <si>
    <t>27006-7239</t>
  </si>
  <si>
    <t>G700000149</t>
  </si>
  <si>
    <t>SMITH CHARLES M</t>
  </si>
  <si>
    <t>SMITH TINA</t>
  </si>
  <si>
    <t>1318 BALTIMORE RD</t>
  </si>
  <si>
    <t>G8050B0025</t>
  </si>
  <si>
    <t>GASPARRINI ALICE JANE</t>
  </si>
  <si>
    <t>178 UNDERPASS ROAD</t>
  </si>
  <si>
    <t>G8050B0026</t>
  </si>
  <si>
    <t>BURTON KENNETH</t>
  </si>
  <si>
    <t>162 UNDERPASS ROAD</t>
  </si>
  <si>
    <t>G8050B002901</t>
  </si>
  <si>
    <t>BARBOUR ELEISA B</t>
  </si>
  <si>
    <t>158 UNDERPASS ROAD</t>
  </si>
  <si>
    <t>G8060A0003</t>
  </si>
  <si>
    <t>GERHARD WILLIAM J</t>
  </si>
  <si>
    <t>GERHARD LINDA M</t>
  </si>
  <si>
    <t>149 BENTBROOK DRIVE</t>
  </si>
  <si>
    <t>27006-7287</t>
  </si>
  <si>
    <t>G8060A0004</t>
  </si>
  <si>
    <t>MITCHELL A PATRICK</t>
  </si>
  <si>
    <t>MITCHELL R MICHELLE</t>
  </si>
  <si>
    <t>163 BENTBROOK DRIVE</t>
  </si>
  <si>
    <t>G8060A0005</t>
  </si>
  <si>
    <t>GONNELLA STEPHEN</t>
  </si>
  <si>
    <t>GONNELLA LORI ANN</t>
  </si>
  <si>
    <t>123 SPRINGDALE COURT</t>
  </si>
  <si>
    <t>G600000016</t>
  </si>
  <si>
    <t>HEPLER NORMA PULLIAM</t>
  </si>
  <si>
    <t>HEPLER EDWARD L JR</t>
  </si>
  <si>
    <t>405 DULIN ROAD</t>
  </si>
  <si>
    <t>G7040A0039</t>
  </si>
  <si>
    <t>JONES TAMMY JO</t>
  </si>
  <si>
    <t>149 CASA BELLA DRIVE</t>
  </si>
  <si>
    <t>27006-7178</t>
  </si>
  <si>
    <t>G8060A0014</t>
  </si>
  <si>
    <t>LONDON THOMAS MARK</t>
  </si>
  <si>
    <t>LONDON SHERRY W</t>
  </si>
  <si>
    <t>205 BENTBROOK DRIVE</t>
  </si>
  <si>
    <t>27006-7294</t>
  </si>
  <si>
    <t>G8060A0016</t>
  </si>
  <si>
    <t>PACE JOHN W</t>
  </si>
  <si>
    <t>PACE ANITA W</t>
  </si>
  <si>
    <t>206 BENTBROOK DRIVE</t>
  </si>
  <si>
    <t>G8060A0017</t>
  </si>
  <si>
    <t>WILLIAMS PAUL WAYNE</t>
  </si>
  <si>
    <t>WILLIAMS DIANE DRESSLER</t>
  </si>
  <si>
    <t>204 BENTBROOK DRIVE</t>
  </si>
  <si>
    <t>G8120A0007</t>
  </si>
  <si>
    <t>ADVANCE MASONIC LODGE #710</t>
  </si>
  <si>
    <t>PO BOX 257</t>
  </si>
  <si>
    <t>G8120A0008</t>
  </si>
  <si>
    <t>BACON JOHN I JR</t>
  </si>
  <si>
    <t>119 FEED MILL ROAD</t>
  </si>
  <si>
    <t>G8120B0007</t>
  </si>
  <si>
    <t>FISHEL ROBERT D</t>
  </si>
  <si>
    <t>2063 US HIGHWAY 801 SOUTH</t>
  </si>
  <si>
    <t>G7040B0017</t>
  </si>
  <si>
    <t>BEAMON ELVERT EUGENE</t>
  </si>
  <si>
    <t>257 GRANADA DRIVE</t>
  </si>
  <si>
    <t>G8120B001502</t>
  </si>
  <si>
    <t>SPANN CHARLES A</t>
  </si>
  <si>
    <t>SPANN JANET P</t>
  </si>
  <si>
    <t>2271 NC HIGHWAY 801 SOUTH</t>
  </si>
  <si>
    <t>27006-7463</t>
  </si>
  <si>
    <t>G8120B001602</t>
  </si>
  <si>
    <t>ROBERTSON DONNA D</t>
  </si>
  <si>
    <t>G8130A0010</t>
  </si>
  <si>
    <t>JUDD HELEN W</t>
  </si>
  <si>
    <t>2148 HIGHWAY 801 SOUTH</t>
  </si>
  <si>
    <t>G8130B0003</t>
  </si>
  <si>
    <t>COLLETTE ROBERT M</t>
  </si>
  <si>
    <t>1803 LAKE POINT DRIVE</t>
  </si>
  <si>
    <t>27103-6749</t>
  </si>
  <si>
    <t>G8130B0005</t>
  </si>
  <si>
    <t>COOPER GARY L</t>
  </si>
  <si>
    <t>COOPER TERESA L</t>
  </si>
  <si>
    <t>2207 NC HIGHWAY 801 SOUTH</t>
  </si>
  <si>
    <t>G8130B000501</t>
  </si>
  <si>
    <t>CORNATZER CLINTON BERRYMAN</t>
  </si>
  <si>
    <t>CORNATZER BONITA IRENE MEWBORN</t>
  </si>
  <si>
    <t>2217 NC HIGHWAY 801 SOUTH</t>
  </si>
  <si>
    <t>G8130B0006</t>
  </si>
  <si>
    <t>CORNATZER CONNIE</t>
  </si>
  <si>
    <t>CORNATZER ARLENE B</t>
  </si>
  <si>
    <t>139 SAM COPE ROAD</t>
  </si>
  <si>
    <t>27006-7042</t>
  </si>
  <si>
    <t>G7040B0018</t>
  </si>
  <si>
    <t>G7040B0019</t>
  </si>
  <si>
    <t>G7050A0014</t>
  </si>
  <si>
    <t>DINGLER WILLIAM LYNN</t>
  </si>
  <si>
    <t>DINGLER BETH LYNN</t>
  </si>
  <si>
    <t>136 PRINCETON COURT</t>
  </si>
  <si>
    <t>G90000000404</t>
  </si>
  <si>
    <t>MILLER JAMES R</t>
  </si>
  <si>
    <t>MILLER DEBBIE B</t>
  </si>
  <si>
    <t>204 BAILEY ROAD</t>
  </si>
  <si>
    <t>G900000005</t>
  </si>
  <si>
    <t>LINKER J DODD III</t>
  </si>
  <si>
    <t>1676 PEOPLES CREEK ROAD</t>
  </si>
  <si>
    <t>27006-7452</t>
  </si>
  <si>
    <t>G9100A0013</t>
  </si>
  <si>
    <t>HEIN TIMOTHY C</t>
  </si>
  <si>
    <t>HEIN LAURIE A</t>
  </si>
  <si>
    <t>113 SUMMER SWEET DRIVE</t>
  </si>
  <si>
    <t>G800000003</t>
  </si>
  <si>
    <t>STROUD KENNETH WADE</t>
  </si>
  <si>
    <t>2653 CORNATZER ROAD</t>
  </si>
  <si>
    <t>G9100A0019</t>
  </si>
  <si>
    <t>FOLTZ MICHAEL SCOTT</t>
  </si>
  <si>
    <t>FOLTZ PATRICIA ANN</t>
  </si>
  <si>
    <t>133 TULIP MAGNOLIA DRIVE</t>
  </si>
  <si>
    <t>27006-7491</t>
  </si>
  <si>
    <t>G90000000808</t>
  </si>
  <si>
    <t>CRUTCHFIELD R PERRY</t>
  </si>
  <si>
    <t>CRUTCHFIELD DEBORAH F</t>
  </si>
  <si>
    <t>1355 PEOPLES CREEK ROAD</t>
  </si>
  <si>
    <t>27006-7449</t>
  </si>
  <si>
    <t>G80000001601A</t>
  </si>
  <si>
    <t>G80000003801</t>
  </si>
  <si>
    <t>ADVANCE FIRE DEPARTMENT INC</t>
  </si>
  <si>
    <t>1861 HIGHWAY 801 SOUTH</t>
  </si>
  <si>
    <t>G800000041</t>
  </si>
  <si>
    <t>ADVANCE FIRST BAPTIST CHURCH</t>
  </si>
  <si>
    <t>PO BOX 153</t>
  </si>
  <si>
    <t>G800000064</t>
  </si>
  <si>
    <t>LINKER DODD III</t>
  </si>
  <si>
    <t>LINKER TONI BAUGUSS</t>
  </si>
  <si>
    <t>G900000035</t>
  </si>
  <si>
    <t>HARPER RONALD M</t>
  </si>
  <si>
    <t>HARPER CYNTHIA S</t>
  </si>
  <si>
    <t>251 MARCHMONT DRIVE</t>
  </si>
  <si>
    <t>PO BOX 70</t>
  </si>
  <si>
    <t>G80000006403</t>
  </si>
  <si>
    <t>WINTERS ANDREA SMITH</t>
  </si>
  <si>
    <t>WINTERS JASON SCOTT</t>
  </si>
  <si>
    <t>1750 PEOPLES CREEK ROAD</t>
  </si>
  <si>
    <t>G800000029</t>
  </si>
  <si>
    <t>LEDFORD RONNIE</t>
  </si>
  <si>
    <t>PO BOX 23</t>
  </si>
  <si>
    <t>27006-0023</t>
  </si>
  <si>
    <t>G9090A0001</t>
  </si>
  <si>
    <t>COLLINS JAMES DOYLE</t>
  </si>
  <si>
    <t>COLLINS TERRILYNN BELL</t>
  </si>
  <si>
    <t>1733 PEOPLES CREEK ROAD</t>
  </si>
  <si>
    <t>G9090A0009</t>
  </si>
  <si>
    <t>WALTERS KEITH M</t>
  </si>
  <si>
    <t>WALTERS JOANNE J</t>
  </si>
  <si>
    <t>1495 PEOPLES CREEK ROAD</t>
  </si>
  <si>
    <t>G9090B0003</t>
  </si>
  <si>
    <t>OLSON ERIC W</t>
  </si>
  <si>
    <t>OLSON TARA K</t>
  </si>
  <si>
    <t>134 OLD MARCH ROAD</t>
  </si>
  <si>
    <t>27006-7516</t>
  </si>
  <si>
    <t>G800000080</t>
  </si>
  <si>
    <t>PINEY GROVE METHODIST CHURCH</t>
  </si>
  <si>
    <t>218 BOOKER STREET</t>
  </si>
  <si>
    <t>27292-0000</t>
  </si>
  <si>
    <t>G80000008402</t>
  </si>
  <si>
    <t>BARNHARDT DAVID G</t>
  </si>
  <si>
    <t>BARNHARDT SUSAN P</t>
  </si>
  <si>
    <t>170 BAILEY ROAD</t>
  </si>
  <si>
    <t>27006-7402</t>
  </si>
  <si>
    <t>G9090B0016</t>
  </si>
  <si>
    <t>BELL MICHAEL ASHLEY</t>
  </si>
  <si>
    <t>BELL ANGELA S</t>
  </si>
  <si>
    <t>179 OLD MARCH ROAD</t>
  </si>
  <si>
    <t>G9090B0019</t>
  </si>
  <si>
    <t>WHITLEY DAVID E</t>
  </si>
  <si>
    <t>WHITLEY JACOLYN A</t>
  </si>
  <si>
    <t>129 HOLLY HILL COURT</t>
  </si>
  <si>
    <t>27006-7515</t>
  </si>
  <si>
    <t>G9090B0027</t>
  </si>
  <si>
    <t>ROBERTS DAVID JOSEPH</t>
  </si>
  <si>
    <t>ROBERTS MARY H</t>
  </si>
  <si>
    <t>151 MARCH FERRY ROAD</t>
  </si>
  <si>
    <t>G800000202</t>
  </si>
  <si>
    <t>FITZPATRICK WILLIAM</t>
  </si>
  <si>
    <t>FITZPATRICK SHEILA</t>
  </si>
  <si>
    <t>316 RABBIT FARM TRAIL</t>
  </si>
  <si>
    <t>G800000212</t>
  </si>
  <si>
    <t>GRAY STEVEN P</t>
  </si>
  <si>
    <t>GRAY PAMELA M</t>
  </si>
  <si>
    <t>540 RABBIT FARM TRAIL</t>
  </si>
  <si>
    <t>G9090B0032</t>
  </si>
  <si>
    <t>HANCOCK JEFFREY</t>
  </si>
  <si>
    <t>HANCOCK FELICIA</t>
  </si>
  <si>
    <t>197 MARCH FERRY ROAD</t>
  </si>
  <si>
    <t>27006-7514</t>
  </si>
  <si>
    <t>G9090B0033</t>
  </si>
  <si>
    <t>COPE WILLIAM D</t>
  </si>
  <si>
    <t>COPE PAMELA A</t>
  </si>
  <si>
    <t>207 MARCH FERRY ROAD</t>
  </si>
  <si>
    <t>G9090B0034</t>
  </si>
  <si>
    <t>RUNGE SPENCER R</t>
  </si>
  <si>
    <t>RUNGE MARILEE F</t>
  </si>
  <si>
    <t>219 MARCH FERRY ROAD</t>
  </si>
  <si>
    <t>G9090B0035</t>
  </si>
  <si>
    <t>RUSSELL JAMES R</t>
  </si>
  <si>
    <t>RUSSELL RENEE C</t>
  </si>
  <si>
    <t>229 MARCH FERRY ROAD</t>
  </si>
  <si>
    <t>27006-7563</t>
  </si>
  <si>
    <t>G9090B0036</t>
  </si>
  <si>
    <t>BRISTOW CLYDE A</t>
  </si>
  <si>
    <t>BRISTOW DARLENE P</t>
  </si>
  <si>
    <t>235 MARCH FERRY ROAD</t>
  </si>
  <si>
    <t>G9090B0039</t>
  </si>
  <si>
    <t>WANDS WILLIAM ROSS III</t>
  </si>
  <si>
    <t>WANDS ERICA ANNE</t>
  </si>
  <si>
    <t>234 MARCH FERRY ROAD</t>
  </si>
  <si>
    <t>G9090B0041</t>
  </si>
  <si>
    <t>SESSOMS JEFFREY W</t>
  </si>
  <si>
    <t>SESSOMS AMY L</t>
  </si>
  <si>
    <t>216 MARCH FERRY ROAD</t>
  </si>
  <si>
    <t>G9090B0044</t>
  </si>
  <si>
    <t>CRANFORD WILLIAM C</t>
  </si>
  <si>
    <t>CRANFORD ALISON B</t>
  </si>
  <si>
    <t>190 MARCH FERRY ROAD</t>
  </si>
  <si>
    <t>G9090B0047</t>
  </si>
  <si>
    <t>SMITH HELEN T</t>
  </si>
  <si>
    <t>SMITH DARRYL J</t>
  </si>
  <si>
    <t>164 MARCH FERRY ROAD</t>
  </si>
  <si>
    <t>G9090B0050</t>
  </si>
  <si>
    <t>JAMES MICHAEL E</t>
  </si>
  <si>
    <t>JAMES DEBRA A</t>
  </si>
  <si>
    <t>235 OLD MARCH ROAD</t>
  </si>
  <si>
    <t>G9090B0052</t>
  </si>
  <si>
    <t>AGEJEW MICHAEL J</t>
  </si>
  <si>
    <t>AGEJEW BETH S</t>
  </si>
  <si>
    <t>255 OLD MARCH ROAD</t>
  </si>
  <si>
    <t>27006-7566</t>
  </si>
  <si>
    <t>G8010B0006</t>
  </si>
  <si>
    <t>WELCH ANTHONY E</t>
  </si>
  <si>
    <t>WELCH DEBRA C</t>
  </si>
  <si>
    <t>131 MCDANIEL ROAD</t>
  </si>
  <si>
    <t>27006-7191</t>
  </si>
  <si>
    <t>G9090B0056</t>
  </si>
  <si>
    <t>O'HARE JOHN E</t>
  </si>
  <si>
    <t>O'HARE DIANE L</t>
  </si>
  <si>
    <t>299 OLD MARCH ROAD</t>
  </si>
  <si>
    <t>G9090B0062</t>
  </si>
  <si>
    <t>MCCORMACK PAUL C</t>
  </si>
  <si>
    <t>MCCORMACK FIONA</t>
  </si>
  <si>
    <t>248 OLD MARCH ROAD</t>
  </si>
  <si>
    <t>G9090B0069</t>
  </si>
  <si>
    <t>SOLOMONIC ROBERT</t>
  </si>
  <si>
    <t>SOLOMONIC TAMMY H</t>
  </si>
  <si>
    <t>133 OAK HILL ROAD</t>
  </si>
  <si>
    <t>27006-6300</t>
  </si>
  <si>
    <t>G9090D0003</t>
  </si>
  <si>
    <t>RISSEW STEPHEN F</t>
  </si>
  <si>
    <t>RISSEW KATHERINE L</t>
  </si>
  <si>
    <t>141 PRIMROSE ROAD</t>
  </si>
  <si>
    <t>G8010B0013</t>
  </si>
  <si>
    <t>ALLEN TERRY LYNN</t>
  </si>
  <si>
    <t>ALLEN BARBARA BRACKEN</t>
  </si>
  <si>
    <t>2489 CORNATZER ROAD</t>
  </si>
  <si>
    <t>G9090D0005</t>
  </si>
  <si>
    <t>MATHOSIAN MARK</t>
  </si>
  <si>
    <t>MATHOSIAN KATHLEEN</t>
  </si>
  <si>
    <t>157 PRIMROSE ROAD</t>
  </si>
  <si>
    <t>G9090D0016</t>
  </si>
  <si>
    <t>PLEVRITIS MARY JANE</t>
  </si>
  <si>
    <t>PLEVRITIS EPAMINONTAS P</t>
  </si>
  <si>
    <t>143 MAPLE VALLEY ROAD</t>
  </si>
  <si>
    <t>G9090D0025</t>
  </si>
  <si>
    <t>GAY LOIS W TRUST</t>
  </si>
  <si>
    <t>118 MAPLE VALLEY ROAD</t>
  </si>
  <si>
    <t>G8050B0001</t>
  </si>
  <si>
    <t>JAMES ROBERT E</t>
  </si>
  <si>
    <t>JAMES CAROL B</t>
  </si>
  <si>
    <t>PO BOX 297</t>
  </si>
  <si>
    <t>H10000000403</t>
  </si>
  <si>
    <t>PARSONS RHON DEAN</t>
  </si>
  <si>
    <t>PARSONS NANCY LORRAINE</t>
  </si>
  <si>
    <t>399 GUILFORD ROAD</t>
  </si>
  <si>
    <t>H200000002</t>
  </si>
  <si>
    <t>DRAUGHN MATTHEW</t>
  </si>
  <si>
    <t>466 CALAHALN ROAD</t>
  </si>
  <si>
    <t>G8050B0003</t>
  </si>
  <si>
    <t>MARKLAND CHARLES ERNEST JR</t>
  </si>
  <si>
    <t>G8050B0004</t>
  </si>
  <si>
    <t>MARKLAND CHARLES</t>
  </si>
  <si>
    <t>MARKLAND DOUGLAS</t>
  </si>
  <si>
    <t>H20000000501</t>
  </si>
  <si>
    <t>CALL DAVID LEE</t>
  </si>
  <si>
    <t>181 CONCORD LANE</t>
  </si>
  <si>
    <t>H200000009</t>
  </si>
  <si>
    <t>ANDERSON JOEL W</t>
  </si>
  <si>
    <t>ANDERSON JUDY O</t>
  </si>
  <si>
    <t>186 CALAHAN ROAD</t>
  </si>
  <si>
    <t>H20000001201</t>
  </si>
  <si>
    <t>HEATON SAMUEL A III</t>
  </si>
  <si>
    <t>FOX-HEATON PAMELA S</t>
  </si>
  <si>
    <t>3180 US HIGHWAY 64 WEST</t>
  </si>
  <si>
    <t>H200000012</t>
  </si>
  <si>
    <t>H20000001202</t>
  </si>
  <si>
    <t>J6100A0009</t>
  </si>
  <si>
    <t>PLANT TOMMY G</t>
  </si>
  <si>
    <t>PLANT PATSY A</t>
  </si>
  <si>
    <t>153 BALTIMORE DOWNS RD</t>
  </si>
  <si>
    <t>27006-7989</t>
  </si>
  <si>
    <t>G7010A0011</t>
  </si>
  <si>
    <t>G8130B0013</t>
  </si>
  <si>
    <t>G90000000201</t>
  </si>
  <si>
    <t>RUSSELL ALBERT B</t>
  </si>
  <si>
    <t>RUSSELL MELINDA M</t>
  </si>
  <si>
    <t>PO BOX 97</t>
  </si>
  <si>
    <t>27006-0097</t>
  </si>
  <si>
    <t>G90000000801</t>
  </si>
  <si>
    <t>G90000000402</t>
  </si>
  <si>
    <t>H20000002203</t>
  </si>
  <si>
    <t>STUDEVENT WILLIE R</t>
  </si>
  <si>
    <t>STUDEVENT RANDLE M</t>
  </si>
  <si>
    <t>339 FRED LANIER ROAD</t>
  </si>
  <si>
    <t>H20000002202</t>
  </si>
  <si>
    <t>LEWIS KENNETH</t>
  </si>
  <si>
    <t>LEWIS PAULA W</t>
  </si>
  <si>
    <t>345 FRED LANIER ROAD</t>
  </si>
  <si>
    <t>H20000002401</t>
  </si>
  <si>
    <t>STROUD EUNICE D</t>
  </si>
  <si>
    <t>PO BOX 353</t>
  </si>
  <si>
    <t>H20000003301</t>
  </si>
  <si>
    <t>CANTRELL FRANCES MYERS</t>
  </si>
  <si>
    <t>BARBOUR MARY MYERS</t>
  </si>
  <si>
    <t>294 SUNNYDALE DRIVE</t>
  </si>
  <si>
    <t>MILLERS CREEK</t>
  </si>
  <si>
    <t>28651-0000</t>
  </si>
  <si>
    <t>G9100A0018</t>
  </si>
  <si>
    <t>BASKIN WILLIAM THORNWELL</t>
  </si>
  <si>
    <t>BASKIN LISA NESMITH</t>
  </si>
  <si>
    <t>141 TULIP MAGNOLIA DRIVE</t>
  </si>
  <si>
    <t>G900000013</t>
  </si>
  <si>
    <t>HOOTS MARCH FARM LTD PARTNERS</t>
  </si>
  <si>
    <t>306 SHERWOOD FOREST ROAD</t>
  </si>
  <si>
    <t>27104-1847</t>
  </si>
  <si>
    <t>H200000040</t>
  </si>
  <si>
    <t>MASTIN JOHN D</t>
  </si>
  <si>
    <t>MASTIN LINDA SUE</t>
  </si>
  <si>
    <t>105 VANZANT ROAD</t>
  </si>
  <si>
    <t>27028-8466</t>
  </si>
  <si>
    <t>H20000004601</t>
  </si>
  <si>
    <t>HAMMILL LOUIS G</t>
  </si>
  <si>
    <t>PO BOX 418</t>
  </si>
  <si>
    <t>G90000001307</t>
  </si>
  <si>
    <t>WAGONER MICHAEL W</t>
  </si>
  <si>
    <t>1238 PEOPLES CREEK ROAD</t>
  </si>
  <si>
    <t>H2050A0002</t>
  </si>
  <si>
    <t>SHOAF GERALD LEROY</t>
  </si>
  <si>
    <t>SHOAF LINDA F</t>
  </si>
  <si>
    <t>180 CENTER CIRCLE</t>
  </si>
  <si>
    <t>H2050B0002</t>
  </si>
  <si>
    <t>YOUNG ANITA F</t>
  </si>
  <si>
    <t>135 CENTER CIRCLE</t>
  </si>
  <si>
    <t>G900000024</t>
  </si>
  <si>
    <t>DUNN JAMES M</t>
  </si>
  <si>
    <t>DUNN DALE W</t>
  </si>
  <si>
    <t>PO BOX 2222</t>
  </si>
  <si>
    <t>G900000025</t>
  </si>
  <si>
    <t>MACFARLANE HUNTER B</t>
  </si>
  <si>
    <t>MACFARLANE NANCY A</t>
  </si>
  <si>
    <t>PO BOX 2400</t>
  </si>
  <si>
    <t>27006-2400</t>
  </si>
  <si>
    <t>G900000044</t>
  </si>
  <si>
    <t>DUDLEY NICHOLAS L</t>
  </si>
  <si>
    <t>DUDLEY FRANCES W</t>
  </si>
  <si>
    <t>PO BOX 172</t>
  </si>
  <si>
    <t>27006-0172</t>
  </si>
  <si>
    <t>H2050B001401</t>
  </si>
  <si>
    <t>RUTHERFORD ROBERT T</t>
  </si>
  <si>
    <t>RUTHERFORD BRENDA S</t>
  </si>
  <si>
    <t>119 SHEFFIELD ROAD</t>
  </si>
  <si>
    <t>H2050B0020</t>
  </si>
  <si>
    <t>HEATER UTILITIES INC</t>
  </si>
  <si>
    <t>PO DRAWER 4889</t>
  </si>
  <si>
    <t>CARY</t>
  </si>
  <si>
    <t>27519-0000</t>
  </si>
  <si>
    <t>I200000026</t>
  </si>
  <si>
    <t>LEE CHARLES RICHARD JR</t>
  </si>
  <si>
    <t>LEE LYNNE YARBOROUGH</t>
  </si>
  <si>
    <t>413 VANZANT ROAD</t>
  </si>
  <si>
    <t>27028-8469</t>
  </si>
  <si>
    <t>H2060A0001</t>
  </si>
  <si>
    <t>G90000004401</t>
  </si>
  <si>
    <t>WOXOF LLC</t>
  </si>
  <si>
    <t>P O BOX 172</t>
  </si>
  <si>
    <t>G9090B0008</t>
  </si>
  <si>
    <t>HEAFNER ANTHONY V</t>
  </si>
  <si>
    <t>HEAFNER ROBIN S</t>
  </si>
  <si>
    <t>184 OLD MARCH ROAD</t>
  </si>
  <si>
    <t>I200000010</t>
  </si>
  <si>
    <t>WALKER HENRY L</t>
  </si>
  <si>
    <t>WALKER SANDRA T</t>
  </si>
  <si>
    <t>1493 GODBEY ROAD</t>
  </si>
  <si>
    <t>27028-8248</t>
  </si>
  <si>
    <t>J200000008</t>
  </si>
  <si>
    <t>I20000000402</t>
  </si>
  <si>
    <t>J200000006</t>
  </si>
  <si>
    <t>I200000001</t>
  </si>
  <si>
    <t>I10000003801</t>
  </si>
  <si>
    <t>I200000021</t>
  </si>
  <si>
    <t>I200000022</t>
  </si>
  <si>
    <t>H30000000701</t>
  </si>
  <si>
    <t>BLACKWELL PHILLIP B</t>
  </si>
  <si>
    <t>BLACKWELL NADINE E</t>
  </si>
  <si>
    <t>330 PARKER ROAD</t>
  </si>
  <si>
    <t>H30000000901</t>
  </si>
  <si>
    <t>TUTTEROW RICHARD CLAUDE</t>
  </si>
  <si>
    <t>TUTTEROW PATRICIA H</t>
  </si>
  <si>
    <t>233 PARKER ROAD</t>
  </si>
  <si>
    <t>H300000015</t>
  </si>
  <si>
    <t>HEAVEN BOUND FULL GOSPEL CHR</t>
  </si>
  <si>
    <t>181 HARTLEY ROAD</t>
  </si>
  <si>
    <t>H300000018</t>
  </si>
  <si>
    <t>CENTER VOLUNTEER FIRE DEPT</t>
  </si>
  <si>
    <t>2265 US HIGHWAY 64 WEST</t>
  </si>
  <si>
    <t>G9090B0015</t>
  </si>
  <si>
    <t>BROWN TERRI LYNN</t>
  </si>
  <si>
    <t>169 OLD MARCH ROAD</t>
  </si>
  <si>
    <t>H30000003201</t>
  </si>
  <si>
    <t>BURNS DANIEL LEE</t>
  </si>
  <si>
    <t>BURNS MELINDA N</t>
  </si>
  <si>
    <t>216 POWELL ROAD</t>
  </si>
  <si>
    <t>H30000003204</t>
  </si>
  <si>
    <t>ROYAL DORIS L</t>
  </si>
  <si>
    <t>194 POWELL ROAD</t>
  </si>
  <si>
    <t>27028-8319</t>
  </si>
  <si>
    <t>H30000003205</t>
  </si>
  <si>
    <t>MILLER TODD E</t>
  </si>
  <si>
    <t>MILLER REBECCA H</t>
  </si>
  <si>
    <t>133 HILTON LANE</t>
  </si>
  <si>
    <t>27028-8257</t>
  </si>
  <si>
    <t>J20000003905</t>
  </si>
  <si>
    <t>H30000003209</t>
  </si>
  <si>
    <t>ATKINSON JANINE W</t>
  </si>
  <si>
    <t>160 POWELL ROAD</t>
  </si>
  <si>
    <t>H30000003211</t>
  </si>
  <si>
    <t>BROWN BENNY F</t>
  </si>
  <si>
    <t>BROWN DAPHNE C</t>
  </si>
  <si>
    <t>142 POWELL ROAD</t>
  </si>
  <si>
    <t>H30000003501</t>
  </si>
  <si>
    <t>SHELTON SHEENA MARIE</t>
  </si>
  <si>
    <t>305 POWELL ROAD</t>
  </si>
  <si>
    <t>H30000003214</t>
  </si>
  <si>
    <t>G9090B0030</t>
  </si>
  <si>
    <t>FENNELL THOMAS C</t>
  </si>
  <si>
    <t>FENNELL CARMELLA ANN</t>
  </si>
  <si>
    <t>179 MARCH FERRY ROAD</t>
  </si>
  <si>
    <t>G9090B0031</t>
  </si>
  <si>
    <t>PHILLIPS WILLIAM VAN DYKE</t>
  </si>
  <si>
    <t>PHILLIPS JOANN OWEN</t>
  </si>
  <si>
    <t>189 MARCH FERRY ROAD</t>
  </si>
  <si>
    <t>G9090B0053</t>
  </si>
  <si>
    <t>PIPER WILLIAM D</t>
  </si>
  <si>
    <t>PIPER CAROLYN D</t>
  </si>
  <si>
    <t>265 OLD MARCH ROAD</t>
  </si>
  <si>
    <t>G9090D0004</t>
  </si>
  <si>
    <t>GREENWOOD KYLE</t>
  </si>
  <si>
    <t>GREENWOOD MARGARET</t>
  </si>
  <si>
    <t>149 PRIMROSE ROAD</t>
  </si>
  <si>
    <t>H300000034</t>
  </si>
  <si>
    <t>ANDERSON JERRY W ETAL</t>
  </si>
  <si>
    <t>27028-5630</t>
  </si>
  <si>
    <t>H30000003401</t>
  </si>
  <si>
    <t>H30000003502</t>
  </si>
  <si>
    <t>ALLISON JAMES E</t>
  </si>
  <si>
    <t>173 ALLISON LANE</t>
  </si>
  <si>
    <t>27028-8100</t>
  </si>
  <si>
    <t>H10000000308</t>
  </si>
  <si>
    <t>DOBSON JASON H</t>
  </si>
  <si>
    <t>189 DOBY ROAD</t>
  </si>
  <si>
    <t>28634-8911</t>
  </si>
  <si>
    <t>H20000000401</t>
  </si>
  <si>
    <t>CALAHALN FRIENDSHIP BAPTIST</t>
  </si>
  <si>
    <t>CALVIN PREVETTE TRUSTEE</t>
  </si>
  <si>
    <t>583 FRED LANIER ROAD</t>
  </si>
  <si>
    <t>H30000005002</t>
  </si>
  <si>
    <t>LACKEY KATHY S</t>
  </si>
  <si>
    <t>130 HAMPTON LANE</t>
  </si>
  <si>
    <t>H30000005201</t>
  </si>
  <si>
    <t>PEOPLES RONNIE D</t>
  </si>
  <si>
    <t>PEOPLES PATRICIA M</t>
  </si>
  <si>
    <t>PO BOX 681</t>
  </si>
  <si>
    <t>H300000053</t>
  </si>
  <si>
    <t>H300000055</t>
  </si>
  <si>
    <t>IJAMES WILLIAM E JR</t>
  </si>
  <si>
    <t>5913 KING CHARELS COURT</t>
  </si>
  <si>
    <t>H200000005</t>
  </si>
  <si>
    <t>CALL LINDA GAIL</t>
  </si>
  <si>
    <t>H30000006102</t>
  </si>
  <si>
    <t>GROOMS HEATH DOUGLAS</t>
  </si>
  <si>
    <t>2010 US HWY 64 WEST</t>
  </si>
  <si>
    <t>27028-8438</t>
  </si>
  <si>
    <t>H300000078</t>
  </si>
  <si>
    <t>DOSS LYNNE T</t>
  </si>
  <si>
    <t>TUTTEROW LAURA G &amp; SUSAN L</t>
  </si>
  <si>
    <t>G8060A000501</t>
  </si>
  <si>
    <t>R P ASSOCIATES INC</t>
  </si>
  <si>
    <t>PO BOX 168</t>
  </si>
  <si>
    <t>H300000094</t>
  </si>
  <si>
    <t>MCCLAMROCH JOHN BRYANT</t>
  </si>
  <si>
    <t>293 BRANTLEY FARM ROAD</t>
  </si>
  <si>
    <t>H300000103</t>
  </si>
  <si>
    <t>ANGELL JAMES RUSSELL</t>
  </si>
  <si>
    <t>ANGELL GWENDOLYN J</t>
  </si>
  <si>
    <t>302 BRANTLEY FARM ROAD</t>
  </si>
  <si>
    <t>27028-4114</t>
  </si>
  <si>
    <t>H300000097</t>
  </si>
  <si>
    <t>H30000010103</t>
  </si>
  <si>
    <t>H30000009602</t>
  </si>
  <si>
    <t>G8060A0008</t>
  </si>
  <si>
    <t>CONNOR FRED E</t>
  </si>
  <si>
    <t>CONNOR DRUCILLA D</t>
  </si>
  <si>
    <t>128 SPRINGDALE COURT</t>
  </si>
  <si>
    <t>27006-7319</t>
  </si>
  <si>
    <t>H3010A0001</t>
  </si>
  <si>
    <t>IJAMES RICHARD STEVEN</t>
  </si>
  <si>
    <t>IJAMES RAQUEL</t>
  </si>
  <si>
    <t>371 PARKER ROAD</t>
  </si>
  <si>
    <t>27028-4969</t>
  </si>
  <si>
    <t>H3010A0002</t>
  </si>
  <si>
    <t>H3010A0008</t>
  </si>
  <si>
    <t>SCOTT WILLIE E</t>
  </si>
  <si>
    <t>SCOTT SHIRLEY I</t>
  </si>
  <si>
    <t>104 GOODWILL HEIGHTS PLACE</t>
  </si>
  <si>
    <t>27028-4751</t>
  </si>
  <si>
    <t>H3010B0003</t>
  </si>
  <si>
    <t>REICHARDT JOHN ANDREW</t>
  </si>
  <si>
    <t>2232 US HIGHWAY 64 WEST</t>
  </si>
  <si>
    <t>H3010B0004</t>
  </si>
  <si>
    <t>WEBB JERRY E</t>
  </si>
  <si>
    <t>WEBB SHIRLEY R</t>
  </si>
  <si>
    <t>129 PARKER ROAD</t>
  </si>
  <si>
    <t>H3010B0006</t>
  </si>
  <si>
    <t>SHAW BELINDA</t>
  </si>
  <si>
    <t>SHAW BENNY</t>
  </si>
  <si>
    <t>145 PARKER ROAD</t>
  </si>
  <si>
    <t>H3040A0005</t>
  </si>
  <si>
    <t>SMITH HELEN BALL</t>
  </si>
  <si>
    <t>127 HILLSIDE DRIVE</t>
  </si>
  <si>
    <t>H200000020</t>
  </si>
  <si>
    <t>STUDEVANT ASBURY HEIRS</t>
  </si>
  <si>
    <t>H3090A0003</t>
  </si>
  <si>
    <t>KRUELSKI KENT A</t>
  </si>
  <si>
    <t>107 POWELL ROAD</t>
  </si>
  <si>
    <t>H200000021</t>
  </si>
  <si>
    <t>LEWIS MARCELLA S</t>
  </si>
  <si>
    <t>309 FRED LANIER ROAD</t>
  </si>
  <si>
    <t>27028-8227</t>
  </si>
  <si>
    <t>H400000028</t>
  </si>
  <si>
    <t>ANGELL DAVID MITCHEL</t>
  </si>
  <si>
    <t>ANGELL GERALDINE STEPHENS</t>
  </si>
  <si>
    <t>906 COUNTRY LANE</t>
  </si>
  <si>
    <t>H400000025</t>
  </si>
  <si>
    <t>H40000003603</t>
  </si>
  <si>
    <t>WHITAKER SARAH L</t>
  </si>
  <si>
    <t>690 ANGUS STREET</t>
  </si>
  <si>
    <t>27045-9553</t>
  </si>
  <si>
    <t>H400000027</t>
  </si>
  <si>
    <t>JONES SHIRLEY WHITAKER</t>
  </si>
  <si>
    <t>154 HOBSON DRIVE</t>
  </si>
  <si>
    <t>H40000003901</t>
  </si>
  <si>
    <t>WHITAKER FRED W</t>
  </si>
  <si>
    <t>830 COUNTRY LANE</t>
  </si>
  <si>
    <t>H40000003703</t>
  </si>
  <si>
    <t>H40000003602</t>
  </si>
  <si>
    <t>H200000022</t>
  </si>
  <si>
    <t>STUDEVENT WILLIE RICHARD</t>
  </si>
  <si>
    <t>27028-8228</t>
  </si>
  <si>
    <t>H40000004501</t>
  </si>
  <si>
    <t>MASHORE YVETTE I</t>
  </si>
  <si>
    <t>584 CAMPBELL ROAD</t>
  </si>
  <si>
    <t>27028-4642</t>
  </si>
  <si>
    <t>H400000132</t>
  </si>
  <si>
    <t>KOONTZ JACK GAITHER</t>
  </si>
  <si>
    <t>KOONTZ KAY FRANCES N</t>
  </si>
  <si>
    <t>1444 DAVIE ACADEMY ROAD</t>
  </si>
  <si>
    <t>H400000124</t>
  </si>
  <si>
    <t>H400000131</t>
  </si>
  <si>
    <t>H400000134</t>
  </si>
  <si>
    <t>J200000056</t>
  </si>
  <si>
    <t>H400000062</t>
  </si>
  <si>
    <t>GROTHEN CORY A</t>
  </si>
  <si>
    <t>337 COUNTRY LANE</t>
  </si>
  <si>
    <t>H20000003801</t>
  </si>
  <si>
    <t>SINK DONNA E</t>
  </si>
  <si>
    <t>2469 US HIGHWAY 64 WEST</t>
  </si>
  <si>
    <t>27028-8442</t>
  </si>
  <si>
    <t>L5100A0031</t>
  </si>
  <si>
    <t>WHITAKER MICHAEL R</t>
  </si>
  <si>
    <t>WHITAKER JOYCE A</t>
  </si>
  <si>
    <t>162 COUNTRY LANE</t>
  </si>
  <si>
    <t>H400000080</t>
  </si>
  <si>
    <t>H400000087</t>
  </si>
  <si>
    <t>NATOUR &amp; NATOUR INC</t>
  </si>
  <si>
    <t>6917 AUGUST DRIVE</t>
  </si>
  <si>
    <t>H400000139</t>
  </si>
  <si>
    <t>STERLING PLACE HOMEOWNERS ASSO</t>
  </si>
  <si>
    <t>135 STERLING DRIVE</t>
  </si>
  <si>
    <t>H200000041</t>
  </si>
  <si>
    <t>H200000049</t>
  </si>
  <si>
    <t>LEWIS ANGELA R</t>
  </si>
  <si>
    <t>LEWIS DAMIAN T</t>
  </si>
  <si>
    <t>580 VANZANT RD</t>
  </si>
  <si>
    <t>I5010A0006</t>
  </si>
  <si>
    <t>ELLIS DEBORAH G</t>
  </si>
  <si>
    <t>1210 N MAIN ST</t>
  </si>
  <si>
    <t>I30000001903</t>
  </si>
  <si>
    <t>601N &amp; I-40W LP</t>
  </si>
  <si>
    <t>PO BOX 738</t>
  </si>
  <si>
    <t>COOLEEMEE</t>
  </si>
  <si>
    <t>27014-0000</t>
  </si>
  <si>
    <t>I30000001401</t>
  </si>
  <si>
    <t>I300000015</t>
  </si>
  <si>
    <t>I300000016</t>
  </si>
  <si>
    <t>M5160C0021</t>
  </si>
  <si>
    <t>H300000086</t>
  </si>
  <si>
    <t>I300000014</t>
  </si>
  <si>
    <t>H2050B0011</t>
  </si>
  <si>
    <t>REDMON LAWRENCE D</t>
  </si>
  <si>
    <t>2372 US HIGHWAY 64 WEST</t>
  </si>
  <si>
    <t>H400000104</t>
  </si>
  <si>
    <t>HENNELLY PATRICK</t>
  </si>
  <si>
    <t>HENNELLY SABRINA</t>
  </si>
  <si>
    <t>124 EAST MAPLE AVENUE</t>
  </si>
  <si>
    <t>27028-2618</t>
  </si>
  <si>
    <t>H400000158</t>
  </si>
  <si>
    <t>DIAZ ENRIQUE</t>
  </si>
  <si>
    <t>DIAZ MAUREEN HENNELLY</t>
  </si>
  <si>
    <t>4212 MONTIBELLO DRIVE</t>
  </si>
  <si>
    <t>H400000105</t>
  </si>
  <si>
    <t>FOSTER CEMETARY</t>
  </si>
  <si>
    <t>H40000010605</t>
  </si>
  <si>
    <t>GOODWILL IND OF NW NC INC</t>
  </si>
  <si>
    <t>2701 UNIVERSITY PARKWAY</t>
  </si>
  <si>
    <t>H40000010606</t>
  </si>
  <si>
    <t>D8080D0008</t>
  </si>
  <si>
    <t>H400000160</t>
  </si>
  <si>
    <t>STATE EMPLOYEES CREDIT UNION</t>
  </si>
  <si>
    <t>P O BOX 26807</t>
  </si>
  <si>
    <t>27611-0000</t>
  </si>
  <si>
    <t>C80000000122</t>
  </si>
  <si>
    <t>H2050B0014</t>
  </si>
  <si>
    <t>H30000000402</t>
  </si>
  <si>
    <t>H300000003</t>
  </si>
  <si>
    <t>L5070A001802</t>
  </si>
  <si>
    <t>GARCIA RONALD NEIL</t>
  </si>
  <si>
    <t>GARCIA MARY JACKLYNN</t>
  </si>
  <si>
    <t>179 FAIRFIELD RD</t>
  </si>
  <si>
    <t>H4180A0004</t>
  </si>
  <si>
    <t>THOMPSON ANTOINETTE L</t>
  </si>
  <si>
    <t>124 STERLING DRIVE</t>
  </si>
  <si>
    <t>H30000003295</t>
  </si>
  <si>
    <t>ALLISON KENNETH L</t>
  </si>
  <si>
    <t>ALLISON JANE T</t>
  </si>
  <si>
    <t>294 POWELL ROAD</t>
  </si>
  <si>
    <t>27028-8320</t>
  </si>
  <si>
    <t>H4100A0004</t>
  </si>
  <si>
    <t>LAYMON STEVEN G</t>
  </si>
  <si>
    <t>LAYMON BARBARA S</t>
  </si>
  <si>
    <t>160 CARDINAL STREET</t>
  </si>
  <si>
    <t>H4130A0006</t>
  </si>
  <si>
    <t>SHAW MICHAEL D</t>
  </si>
  <si>
    <t>SHAW WENDY DIETRICH</t>
  </si>
  <si>
    <t>132 SUMMIT DRIVE</t>
  </si>
  <si>
    <t>H4130A0010</t>
  </si>
  <si>
    <t>FRANKLIN RANDALL</t>
  </si>
  <si>
    <t>FRANKLIN CATHY</t>
  </si>
  <si>
    <t>137 SUMMIT DRIVE</t>
  </si>
  <si>
    <t>H4130A0015</t>
  </si>
  <si>
    <t>TEMPLETON LAURA S</t>
  </si>
  <si>
    <t>139 ELMWOOD STREET</t>
  </si>
  <si>
    <t>I300000039</t>
  </si>
  <si>
    <t>WILLIAMS DORIS C</t>
  </si>
  <si>
    <t>242 GREENHILL ROAD</t>
  </si>
  <si>
    <t>27028-4201</t>
  </si>
  <si>
    <t>H30000003297</t>
  </si>
  <si>
    <t>H30000003298</t>
  </si>
  <si>
    <t>H4130A0037</t>
  </si>
  <si>
    <t>POLK MICHELLE N</t>
  </si>
  <si>
    <t>151 ASH DRIVE</t>
  </si>
  <si>
    <t>H4130A0039</t>
  </si>
  <si>
    <t>BOHANNON SHAVON L</t>
  </si>
  <si>
    <t>165 ASH DRIVE</t>
  </si>
  <si>
    <t>H4130A0042</t>
  </si>
  <si>
    <t>KEEN JAMES C</t>
  </si>
  <si>
    <t>KEEN LEEANN L</t>
  </si>
  <si>
    <t>160 ASH DRIVE</t>
  </si>
  <si>
    <t>H300000045</t>
  </si>
  <si>
    <t>JAMES DENNIS MORGAN</t>
  </si>
  <si>
    <t>1971 US HIGHWAY 64 WEST</t>
  </si>
  <si>
    <t>H4130A0049</t>
  </si>
  <si>
    <t>PEEBLES ERICK W</t>
  </si>
  <si>
    <t>PEEBLES JENNIFER D</t>
  </si>
  <si>
    <t>112 ASH DRIVE</t>
  </si>
  <si>
    <t>H4130A0051</t>
  </si>
  <si>
    <t>TAYLOR CHARLES A</t>
  </si>
  <si>
    <t>TAYLOR KELLEY J</t>
  </si>
  <si>
    <t>143 SUMMIT DRIVE</t>
  </si>
  <si>
    <t>H4130A0054</t>
  </si>
  <si>
    <t>JIMENEZ CESAR</t>
  </si>
  <si>
    <t>163 SUMMIT DRIVE</t>
  </si>
  <si>
    <t>J5160B0004</t>
  </si>
  <si>
    <t>J5160B0006</t>
  </si>
  <si>
    <t>H4130A0064</t>
  </si>
  <si>
    <t>HALL MATTHEW CHARLES</t>
  </si>
  <si>
    <t>HALL LARISSA RAE</t>
  </si>
  <si>
    <t>172 SUMMIT DRIVE</t>
  </si>
  <si>
    <t>27028-7261</t>
  </si>
  <si>
    <t>H4130A0067</t>
  </si>
  <si>
    <t>HUDSPETH JEREMY</t>
  </si>
  <si>
    <t>190 SUMMIT DRIVE</t>
  </si>
  <si>
    <t>H300000048</t>
  </si>
  <si>
    <t>SCOTT FRANK FITZGERALD</t>
  </si>
  <si>
    <t>2043 US HWY 64 WEST</t>
  </si>
  <si>
    <t>H300000060</t>
  </si>
  <si>
    <t>ROBERTSON PRESS S</t>
  </si>
  <si>
    <t>ROBERTSON NORMA S</t>
  </si>
  <si>
    <t>2048 US HIGHWAY 64 WEST</t>
  </si>
  <si>
    <t>H4130A0083</t>
  </si>
  <si>
    <t>MCDOWELL MARIAH C</t>
  </si>
  <si>
    <t>116 SWEETGUM DRIVE</t>
  </si>
  <si>
    <t>H4130A0092</t>
  </si>
  <si>
    <t>DRY ARCHIE J</t>
  </si>
  <si>
    <t>DRY WANDA F</t>
  </si>
  <si>
    <t>209 ASH DRIVE</t>
  </si>
  <si>
    <t>H300000105</t>
  </si>
  <si>
    <t>AMARR COMPANY</t>
  </si>
  <si>
    <t>165 CARRIAGE COURT</t>
  </si>
  <si>
    <t>J4050D0014</t>
  </si>
  <si>
    <t>BARNETTE MICKEL H</t>
  </si>
  <si>
    <t>BARNETTE ALICE A</t>
  </si>
  <si>
    <t>2966 US HIGHWAY 64 WEST</t>
  </si>
  <si>
    <t>H4130A0097</t>
  </si>
  <si>
    <t>CRUZ JORGE</t>
  </si>
  <si>
    <t>190 ASH DRIVE</t>
  </si>
  <si>
    <t>27028-7269</t>
  </si>
  <si>
    <t>H4130A0111</t>
  </si>
  <si>
    <t>MOORE MICHAEL LEE</t>
  </si>
  <si>
    <t>235 SUMMIT DRIVE</t>
  </si>
  <si>
    <t>27028-7273</t>
  </si>
  <si>
    <t>H4130A0113</t>
  </si>
  <si>
    <t>MUSSEN JUAN JOSE</t>
  </si>
  <si>
    <t>MUSSEN CAROLYN YOUNG</t>
  </si>
  <si>
    <t>223 SUMMIT DRIVE</t>
  </si>
  <si>
    <t>H4130A0114</t>
  </si>
  <si>
    <t>ELLIS ROBERT L</t>
  </si>
  <si>
    <t>217 SUMMIT DRIVE</t>
  </si>
  <si>
    <t>H300000100</t>
  </si>
  <si>
    <t>RANNEY IDA BELLE</t>
  </si>
  <si>
    <t>10906 CEDAR ELM</t>
  </si>
  <si>
    <t>78230-0000</t>
  </si>
  <si>
    <t>H200000018</t>
  </si>
  <si>
    <t>J5160A0009</t>
  </si>
  <si>
    <t>H400000012</t>
  </si>
  <si>
    <t>RUSHER BOBBY LEE</t>
  </si>
  <si>
    <t>1040 CONFEDERATE AVENUE</t>
  </si>
  <si>
    <t>28144-2829</t>
  </si>
  <si>
    <t>H4140A000201</t>
  </si>
  <si>
    <t>TURNER TOMMY CLYDE</t>
  </si>
  <si>
    <t>TURNER VIRGINIA C</t>
  </si>
  <si>
    <t>445 COUNTRY LANE</t>
  </si>
  <si>
    <t>27028-8660</t>
  </si>
  <si>
    <t>H4140A000601</t>
  </si>
  <si>
    <t>HINSHAW MICHAEL ANTHONY</t>
  </si>
  <si>
    <t>HINSHAW JEAN</t>
  </si>
  <si>
    <t>415 COUNTRY LANE</t>
  </si>
  <si>
    <t>H4140A0005</t>
  </si>
  <si>
    <t>H4140A0007</t>
  </si>
  <si>
    <t>COZART LESTER D</t>
  </si>
  <si>
    <t>COZART GERALDINE</t>
  </si>
  <si>
    <t>150 FERNWOOD LANE</t>
  </si>
  <si>
    <t>H4140A000602</t>
  </si>
  <si>
    <t>H4140A0010</t>
  </si>
  <si>
    <t>GLEDHILL DAVID</t>
  </si>
  <si>
    <t>GLEDHILL KATHRYN</t>
  </si>
  <si>
    <t>151 FERNWOOD LANE</t>
  </si>
  <si>
    <t>H5190A0038</t>
  </si>
  <si>
    <t>ALLEN TIMOTHY H</t>
  </si>
  <si>
    <t>ALLEN BRENDA S</t>
  </si>
  <si>
    <t>377 COUNTRY LANE</t>
  </si>
  <si>
    <t>H40000003702</t>
  </si>
  <si>
    <t>PSC DEVELOPMENT CL LLC</t>
  </si>
  <si>
    <t>P O BOX 340</t>
  </si>
  <si>
    <t>I4060B0010</t>
  </si>
  <si>
    <t>STEELE ROBERT VANN</t>
  </si>
  <si>
    <t>STEELE JUNE DRAUGHN</t>
  </si>
  <si>
    <t>222 IVY LANE</t>
  </si>
  <si>
    <t>I4060B0011</t>
  </si>
  <si>
    <t>H4140A0018</t>
  </si>
  <si>
    <t>SHULER DAVID EUGENE</t>
  </si>
  <si>
    <t>SHULER JAN SINK</t>
  </si>
  <si>
    <t>197 IVY LANE</t>
  </si>
  <si>
    <t>H4140A0019</t>
  </si>
  <si>
    <t>ABEE TERRY A</t>
  </si>
  <si>
    <t>ABEE LYNN S</t>
  </si>
  <si>
    <t>173 IVY LANE</t>
  </si>
  <si>
    <t>27028-8665</t>
  </si>
  <si>
    <t>H4140A0020</t>
  </si>
  <si>
    <t>FELTS HOMER A</t>
  </si>
  <si>
    <t>FELTS LOIS D</t>
  </si>
  <si>
    <t>149 IVY LANE</t>
  </si>
  <si>
    <t>H4140A002101</t>
  </si>
  <si>
    <t>HENDRIX RICK L</t>
  </si>
  <si>
    <t>HENDRIX MELANIE N</t>
  </si>
  <si>
    <t>127 IVY LANE</t>
  </si>
  <si>
    <t>H4160A0004</t>
  </si>
  <si>
    <t>LOWERY RILEY B III</t>
  </si>
  <si>
    <t>LOWERY TARA L</t>
  </si>
  <si>
    <t>401 MADISON ROAD</t>
  </si>
  <si>
    <t>27028-4249</t>
  </si>
  <si>
    <t>H4160A0007</t>
  </si>
  <si>
    <t>WAUGH GARFIELD V JR</t>
  </si>
  <si>
    <t>WAUGH DEBORAH W</t>
  </si>
  <si>
    <t>441 MADISON ROAD</t>
  </si>
  <si>
    <t>H4160A0008</t>
  </si>
  <si>
    <t>ELMORE TIMMY G</t>
  </si>
  <si>
    <t>ELMORE KAREN E</t>
  </si>
  <si>
    <t>449 MADISON ROAD</t>
  </si>
  <si>
    <t>H4160A0009</t>
  </si>
  <si>
    <t>H400000069</t>
  </si>
  <si>
    <t>BURGIO FRANK G</t>
  </si>
  <si>
    <t>BURGIO SHERRY A</t>
  </si>
  <si>
    <t>277 COUNTRY LANE</t>
  </si>
  <si>
    <t>27028-1903</t>
  </si>
  <si>
    <t>H4180A0014</t>
  </si>
  <si>
    <t>HOYLE RUTH A</t>
  </si>
  <si>
    <t>135 STERLING PLACE</t>
  </si>
  <si>
    <t>J60000009701</t>
  </si>
  <si>
    <t>BROCK LELLIAN COCKERHAM</t>
  </si>
  <si>
    <t>202 GROVER ROAD</t>
  </si>
  <si>
    <t>J60000009702</t>
  </si>
  <si>
    <t>J4050C0004</t>
  </si>
  <si>
    <t>MARKLIN WILLIAM JOHNSON JR</t>
  </si>
  <si>
    <t>MARKLIN BETTY W</t>
  </si>
  <si>
    <t>848 SOUTH MAIN STREET</t>
  </si>
  <si>
    <t>27028-2650</t>
  </si>
  <si>
    <t>H500000011</t>
  </si>
  <si>
    <t>SCHOOLER RICHARD DEAN</t>
  </si>
  <si>
    <t>1697 US HIGHWAY 158</t>
  </si>
  <si>
    <t>H50000001301</t>
  </si>
  <si>
    <t>YORK DENNIS JAMES</t>
  </si>
  <si>
    <t>1035 COUNTRY LANE</t>
  </si>
  <si>
    <t>H500000014</t>
  </si>
  <si>
    <t>MCCLAMROCK KATHERINE</t>
  </si>
  <si>
    <t>PO BOX 401</t>
  </si>
  <si>
    <t>H500000016</t>
  </si>
  <si>
    <t>CARTER KATHERINE P</t>
  </si>
  <si>
    <t>H400000159</t>
  </si>
  <si>
    <t>DAVIE HOSPITALITY INC</t>
  </si>
  <si>
    <t>1500 YADKINVILLE ROAD</t>
  </si>
  <si>
    <t>H40000009605</t>
  </si>
  <si>
    <t>R B NORTHCROSS LLC</t>
  </si>
  <si>
    <t>PO BOX 1029</t>
  </si>
  <si>
    <t>CONOVER</t>
  </si>
  <si>
    <t>28613-0000</t>
  </si>
  <si>
    <t>H500000028</t>
  </si>
  <si>
    <t>MCCULLOH GREGORY R</t>
  </si>
  <si>
    <t>MCCULLOH KAREN M</t>
  </si>
  <si>
    <t>1930 US HIGHWAY 158</t>
  </si>
  <si>
    <t>H50000002901</t>
  </si>
  <si>
    <t>TRAN BE</t>
  </si>
  <si>
    <t>LE HONG T</t>
  </si>
  <si>
    <t>123 SAIN ROAD</t>
  </si>
  <si>
    <t>J4040E0012</t>
  </si>
  <si>
    <t>I5070B0012</t>
  </si>
  <si>
    <t>GREEN MICHAEL H</t>
  </si>
  <si>
    <t>GREEN DEBORAH S</t>
  </si>
  <si>
    <t>317 MILLING ROAD</t>
  </si>
  <si>
    <t>H500000052</t>
  </si>
  <si>
    <t>NEW SOUTH DEVELOPMENT CO</t>
  </si>
  <si>
    <t>131 BEACON RIDGE DR</t>
  </si>
  <si>
    <t>STONY POINT</t>
  </si>
  <si>
    <t>28678-0000</t>
  </si>
  <si>
    <t>H5170A0005</t>
  </si>
  <si>
    <t>EVERHARDT ANDREW B</t>
  </si>
  <si>
    <t>EVERHARDT TRACIE S</t>
  </si>
  <si>
    <t>124 BLOSSOM HILL COURT</t>
  </si>
  <si>
    <t>27028-4349</t>
  </si>
  <si>
    <t>H5170A0007</t>
  </si>
  <si>
    <t>STONE TIM</t>
  </si>
  <si>
    <t>STONE CAMMIE</t>
  </si>
  <si>
    <t>121 BLOSSOM HILL COURT</t>
  </si>
  <si>
    <t>H5170A0008</t>
  </si>
  <si>
    <t>STONE TIMOTHY</t>
  </si>
  <si>
    <t>H5170A0019</t>
  </si>
  <si>
    <t>SHARPE MARVIN F</t>
  </si>
  <si>
    <t>SHARPE LILLIAN S</t>
  </si>
  <si>
    <t>129 FOX HORN COURT</t>
  </si>
  <si>
    <t>I5070B0011</t>
  </si>
  <si>
    <t>I5070A0007</t>
  </si>
  <si>
    <t>MURPHY JOE ERVIN REVOC TRUST</t>
  </si>
  <si>
    <t>157 GREENWOOD AVENUE</t>
  </si>
  <si>
    <t>H5170A0035</t>
  </si>
  <si>
    <t>MCMANAMY KENNETH J</t>
  </si>
  <si>
    <t>MCMANAMY CAROLYN L</t>
  </si>
  <si>
    <t>289 CANYON ROAD</t>
  </si>
  <si>
    <t>H5170A0048</t>
  </si>
  <si>
    <t>ROSENBAUM DARYL</t>
  </si>
  <si>
    <t>ROSENBAUM ELIZABETH</t>
  </si>
  <si>
    <t>135 CANYON RD</t>
  </si>
  <si>
    <t>27028-4352</t>
  </si>
  <si>
    <t>H400000116</t>
  </si>
  <si>
    <t>H400000156</t>
  </si>
  <si>
    <t>BANVILLE LLC</t>
  </si>
  <si>
    <t>222 GRAND AVENUE</t>
  </si>
  <si>
    <t>ENGLEWOOD</t>
  </si>
  <si>
    <t>NJ</t>
  </si>
  <si>
    <t>07631-0000</t>
  </si>
  <si>
    <t>H4130A0026</t>
  </si>
  <si>
    <t>DUNDON MICHAEL EDWARD</t>
  </si>
  <si>
    <t>195 ELMWOOD STREET</t>
  </si>
  <si>
    <t>H4130A0027</t>
  </si>
  <si>
    <t>RANDOLPH MICHAEL A</t>
  </si>
  <si>
    <t>192 ELMWOOD</t>
  </si>
  <si>
    <t>H4130A0036</t>
  </si>
  <si>
    <t>WELLS DANIEL E</t>
  </si>
  <si>
    <t>WELLS KAREN A</t>
  </si>
  <si>
    <t>139 ASH DRIVE</t>
  </si>
  <si>
    <t>H4130A0047</t>
  </si>
  <si>
    <t>PINKOS STEVEN L</t>
  </si>
  <si>
    <t>PINKOS TONI M</t>
  </si>
  <si>
    <t>126 ASH DRIVE</t>
  </si>
  <si>
    <t>H50000006201</t>
  </si>
  <si>
    <t>MCDANIEL SCOTT D REVOC TRUST</t>
  </si>
  <si>
    <t>MCDANIEL SCOTT D TRUSTEE</t>
  </si>
  <si>
    <t>349 GROVE PARK LANE</t>
  </si>
  <si>
    <t>27295-0000</t>
  </si>
  <si>
    <t>H50000006202</t>
  </si>
  <si>
    <t>MORK ANGELA M</t>
  </si>
  <si>
    <t>4617 FAIRRISTA DR</t>
  </si>
  <si>
    <t>28269-0000</t>
  </si>
  <si>
    <t>H4130A0073</t>
  </si>
  <si>
    <t>CRICKARD JOHN P</t>
  </si>
  <si>
    <t>236 SUMMIT DRIVE</t>
  </si>
  <si>
    <t>27028-7272</t>
  </si>
  <si>
    <t>H4130A0080</t>
  </si>
  <si>
    <t>LOMELI RAMON VALENTIN</t>
  </si>
  <si>
    <t>100 SWEETGUM DRIVE</t>
  </si>
  <si>
    <t>H4130A0095</t>
  </si>
  <si>
    <t>PISERCHIA BEVERLY</t>
  </si>
  <si>
    <t>185 ASH DRIVE</t>
  </si>
  <si>
    <t>H500000200</t>
  </si>
  <si>
    <t>ALLEN LARRY DEAN</t>
  </si>
  <si>
    <t>ALLEN PAULA ANN SHEW</t>
  </si>
  <si>
    <t>150 FARMLAND ROAD</t>
  </si>
  <si>
    <t>H500000201</t>
  </si>
  <si>
    <t>H500000202</t>
  </si>
  <si>
    <t>BROWN JENNIFER W</t>
  </si>
  <si>
    <t>214 FARMLAND ROAD</t>
  </si>
  <si>
    <t>H500000207</t>
  </si>
  <si>
    <t>BEAVER PAUL R</t>
  </si>
  <si>
    <t>BEAVER JANE C</t>
  </si>
  <si>
    <t>280 FARMLAND ROAD</t>
  </si>
  <si>
    <t>H500000212</t>
  </si>
  <si>
    <t>ABENDROTH HERBERT K</t>
  </si>
  <si>
    <t>ABENDROTH MARY T</t>
  </si>
  <si>
    <t>285 FARMLAND ROAD</t>
  </si>
  <si>
    <t>27028-4163</t>
  </si>
  <si>
    <t>H500000213</t>
  </si>
  <si>
    <t>HARRIS JAMES WALTER</t>
  </si>
  <si>
    <t>HARRIS LINDA LEE ELLEN</t>
  </si>
  <si>
    <t>301 FARMLAND DRIVE</t>
  </si>
  <si>
    <t>H500000216</t>
  </si>
  <si>
    <t>MCKENZIE JOLENE H</t>
  </si>
  <si>
    <t>294 FARMLAND ROAD</t>
  </si>
  <si>
    <t>27028-4146</t>
  </si>
  <si>
    <t>H5010A0035</t>
  </si>
  <si>
    <t>MIGHION PAUL D</t>
  </si>
  <si>
    <t>MIGHION JANET S</t>
  </si>
  <si>
    <t>154 LONG MEADOW ROAD</t>
  </si>
  <si>
    <t>H4130A0096</t>
  </si>
  <si>
    <t>KENDALL WILLIAM J</t>
  </si>
  <si>
    <t>KENDALL MARY MARGARET</t>
  </si>
  <si>
    <t>184 ASH DRIVE</t>
  </si>
  <si>
    <t>H5010A0037</t>
  </si>
  <si>
    <t>RAISBECK ROBERT H JR</t>
  </si>
  <si>
    <t>RAISBECK TERESA B</t>
  </si>
  <si>
    <t>204 LONG MEADOW ROAD</t>
  </si>
  <si>
    <t>H5010A0038</t>
  </si>
  <si>
    <t>MORELAND ROBERT J III</t>
  </si>
  <si>
    <t>MORELAND BEATRICE D</t>
  </si>
  <si>
    <t>206 LONG MEADOW ROAD</t>
  </si>
  <si>
    <t>H5010A0039</t>
  </si>
  <si>
    <t>ROBINSON SHAWN Z</t>
  </si>
  <si>
    <t>207 LONG MEADOW ROAD</t>
  </si>
  <si>
    <t>H5010A0043</t>
  </si>
  <si>
    <t>HOLLAND ROBERT S</t>
  </si>
  <si>
    <t>HOLLAND MELINDA B</t>
  </si>
  <si>
    <t>115 LONGMEADOW ROAD</t>
  </si>
  <si>
    <t>27028-4260</t>
  </si>
  <si>
    <t>H5060A0007</t>
  </si>
  <si>
    <t>PAWLIK SCOTT W</t>
  </si>
  <si>
    <t>PAWLIK GAIL B</t>
  </si>
  <si>
    <t>126 BRADFORD PLACE</t>
  </si>
  <si>
    <t>H5060A0008</t>
  </si>
  <si>
    <t>CUMMINGS ROBERT WAYNE</t>
  </si>
  <si>
    <t>STALLINGS CRYSTAL DAWN</t>
  </si>
  <si>
    <t>116 BRADFORD PLACE</t>
  </si>
  <si>
    <t>H5060A0009</t>
  </si>
  <si>
    <t>MAYFIELD WILTON LEE</t>
  </si>
  <si>
    <t>MAYFIELD KIMBERLY A</t>
  </si>
  <si>
    <t>106 BRADFORD PLACE</t>
  </si>
  <si>
    <t>H5150A000301</t>
  </si>
  <si>
    <t>SUMMERS CYNTHIA B</t>
  </si>
  <si>
    <t>159 ROSEWOOD LANE</t>
  </si>
  <si>
    <t>H5150A0004</t>
  </si>
  <si>
    <t>WILLIAMS WILLIAM C</t>
  </si>
  <si>
    <t>WILLIAMS LAURA G</t>
  </si>
  <si>
    <t>147 ROSEWOOD LANE</t>
  </si>
  <si>
    <t>H3090A0002</t>
  </si>
  <si>
    <t>PHILLIPS EDFORD DALLAS JR</t>
  </si>
  <si>
    <t>PHILLIPS PATRICIA ANNE</t>
  </si>
  <si>
    <t>119 POWELL ROAD</t>
  </si>
  <si>
    <t>H5150A0016</t>
  </si>
  <si>
    <t>MARRS WILLIAM J</t>
  </si>
  <si>
    <t>MARRS LYNN C</t>
  </si>
  <si>
    <t>138 DOGWOOD LANE</t>
  </si>
  <si>
    <t>H5150B0001</t>
  </si>
  <si>
    <t>MCDANIEL RALPH C</t>
  </si>
  <si>
    <t>MCDANIEL ELLA M</t>
  </si>
  <si>
    <t>206 ELM STREET</t>
  </si>
  <si>
    <t>H5150B0003</t>
  </si>
  <si>
    <t>WICKER CARL DEWEY</t>
  </si>
  <si>
    <t>WICKER SHIRLEY W</t>
  </si>
  <si>
    <t>242 DOGWOOD LANE</t>
  </si>
  <si>
    <t>H5150B0005</t>
  </si>
  <si>
    <t>BOSWELL WILLIAM L</t>
  </si>
  <si>
    <t>BOSWELL MELISSA D</t>
  </si>
  <si>
    <t>288 DOGWOOD LANE</t>
  </si>
  <si>
    <t>H5150B0010</t>
  </si>
  <si>
    <t>WEIR D M JR</t>
  </si>
  <si>
    <t>WEIR MONA M</t>
  </si>
  <si>
    <t>138 MOCKINGBIRD LANE</t>
  </si>
  <si>
    <t>27028-2700</t>
  </si>
  <si>
    <t>H4140A0017</t>
  </si>
  <si>
    <t>H4160A0013</t>
  </si>
  <si>
    <t>RIFFE CARL R</t>
  </si>
  <si>
    <t>RIFFE LILLIAN F</t>
  </si>
  <si>
    <t>421 MADISON ROAD</t>
  </si>
  <si>
    <t>H50000000801</t>
  </si>
  <si>
    <t>H500000017</t>
  </si>
  <si>
    <t>CLONTZ J C</t>
  </si>
  <si>
    <t>CLONTZ BARBARA P</t>
  </si>
  <si>
    <t>1141 COUNTRY LANE</t>
  </si>
  <si>
    <t>H5160A0005</t>
  </si>
  <si>
    <t>ALLEN MARY LOUISA</t>
  </si>
  <si>
    <t>27028-4184</t>
  </si>
  <si>
    <t>H5160A0009</t>
  </si>
  <si>
    <t>PRICE RICHARD A</t>
  </si>
  <si>
    <t>PRICE CAROLYN P</t>
  </si>
  <si>
    <t>148 EAST KNOLL BROOK DRIVE</t>
  </si>
  <si>
    <t>H5160A0021</t>
  </si>
  <si>
    <t>DAWSON KEITH D</t>
  </si>
  <si>
    <t>DAWSON JANICE S</t>
  </si>
  <si>
    <t>148 MEADOW RIDGE DRIVE</t>
  </si>
  <si>
    <t>H5160A0027</t>
  </si>
  <si>
    <t>WILLIAMS MICHAEL P</t>
  </si>
  <si>
    <t>WILLIAMS DANIELA B</t>
  </si>
  <si>
    <t>197 FOREST VIEW DRIVE</t>
  </si>
  <si>
    <t>H500000025</t>
  </si>
  <si>
    <t>OAK GROVE UNITED METHODIST</t>
  </si>
  <si>
    <t>1994 US HIGHWAY 158</t>
  </si>
  <si>
    <t>H5160A0030</t>
  </si>
  <si>
    <t>ROBERSON CARL F II</t>
  </si>
  <si>
    <t>ROBERSON MELISSA S</t>
  </si>
  <si>
    <t>188 FOREST VIEW DRIVE</t>
  </si>
  <si>
    <t>27028-4316</t>
  </si>
  <si>
    <t>H5180A0003</t>
  </si>
  <si>
    <t>LITTLE JAMES HEATH</t>
  </si>
  <si>
    <t>LITTLE NEVA K</t>
  </si>
  <si>
    <t>136 MAPLE KNOLL DRIVE</t>
  </si>
  <si>
    <t>27028-4351</t>
  </si>
  <si>
    <t>H5190A0010</t>
  </si>
  <si>
    <t>CAUDILL PAUL W</t>
  </si>
  <si>
    <t>CAUDILL SUSAN B</t>
  </si>
  <si>
    <t>150 S MADERA DRIVE</t>
  </si>
  <si>
    <t>H500000039</t>
  </si>
  <si>
    <t>JENKINS MICHAEL</t>
  </si>
  <si>
    <t>JENKINS ANNA</t>
  </si>
  <si>
    <t>435 SAIN ROAD</t>
  </si>
  <si>
    <t>H5160A0034</t>
  </si>
  <si>
    <t>FALK PETER J</t>
  </si>
  <si>
    <t>FALK GERALDINE</t>
  </si>
  <si>
    <t>194 WEST KNOLLBROOK DR</t>
  </si>
  <si>
    <t>H5190A0022</t>
  </si>
  <si>
    <t>PATTERSON RICKY L</t>
  </si>
  <si>
    <t>PATTERSON TAMECA R</t>
  </si>
  <si>
    <t>185 S MADERA DRIVE</t>
  </si>
  <si>
    <t>27028-4189</t>
  </si>
  <si>
    <t>H5190A0039</t>
  </si>
  <si>
    <t>DUCOTE TRACY E</t>
  </si>
  <si>
    <t>117 CHANDLER DRIVE</t>
  </si>
  <si>
    <t>H600000001</t>
  </si>
  <si>
    <t>GUGLIELMI FAMILY LIMITED PART</t>
  </si>
  <si>
    <t>236 SPYGLASS DRIVE</t>
  </si>
  <si>
    <t>H60000000202</t>
  </si>
  <si>
    <t>FORST MARY BETH</t>
  </si>
  <si>
    <t>1440 MILLING ROAD</t>
  </si>
  <si>
    <t>H5170A0023</t>
  </si>
  <si>
    <t>WILLIAMS OWEN N</t>
  </si>
  <si>
    <t>WILLIAMS DIANNE H</t>
  </si>
  <si>
    <t>200 CANYON ROAD</t>
  </si>
  <si>
    <t>H600000017</t>
  </si>
  <si>
    <t>BAILEY WILLIAM S</t>
  </si>
  <si>
    <t>BAILEY KAY M</t>
  </si>
  <si>
    <t>1543 MILLING ROAD</t>
  </si>
  <si>
    <t>27028-7326</t>
  </si>
  <si>
    <t>J5150A0002</t>
  </si>
  <si>
    <t>CALL PERRY ALFRED</t>
  </si>
  <si>
    <t>CALL LINDA CALDWELL</t>
  </si>
  <si>
    <t>260 RANDOM ROAD</t>
  </si>
  <si>
    <t>27028-4319</t>
  </si>
  <si>
    <t>H600000019</t>
  </si>
  <si>
    <t>WOODRUFF CHARLES W JR</t>
  </si>
  <si>
    <t>478 WILKESBORO STREET</t>
  </si>
  <si>
    <t>27028-2030</t>
  </si>
  <si>
    <t>H5170A0026</t>
  </si>
  <si>
    <t>HOLCOMB ANTHONY STEWART</t>
  </si>
  <si>
    <t>HOLCOMB AMY WALL</t>
  </si>
  <si>
    <t>262 CANYON ROAD</t>
  </si>
  <si>
    <t>H5170A0057</t>
  </si>
  <si>
    <t>KISTNER JACOB C</t>
  </si>
  <si>
    <t>KISTNER MELISSA</t>
  </si>
  <si>
    <t>141 ARBOR HILL</t>
  </si>
  <si>
    <t>H5170A0060</t>
  </si>
  <si>
    <t>FRANK DEAN H</t>
  </si>
  <si>
    <t>FRANK GINA W</t>
  </si>
  <si>
    <t>119 ARBOR HILL AVENUE</t>
  </si>
  <si>
    <t>H5170A0061</t>
  </si>
  <si>
    <t>BOGER JOHN</t>
  </si>
  <si>
    <t>BOGER WHITNEY</t>
  </si>
  <si>
    <t>113 ARBOR HILL AVENUE</t>
  </si>
  <si>
    <t>H600000046</t>
  </si>
  <si>
    <t>MORASCO BRUCE E</t>
  </si>
  <si>
    <t>MORASCO EILEEN H</t>
  </si>
  <si>
    <t>2372 MILLING ROAD</t>
  </si>
  <si>
    <t>27028-7334</t>
  </si>
  <si>
    <t>H600000049</t>
  </si>
  <si>
    <t>BENITEZ-APARICIO REFUGIO</t>
  </si>
  <si>
    <t>ROMERO SELFA BENITEZ</t>
  </si>
  <si>
    <t>2404 MILLING ROAD</t>
  </si>
  <si>
    <t>H60000005001</t>
  </si>
  <si>
    <t>ALBERTY RAYMOND F</t>
  </si>
  <si>
    <t>2410 MILLING ROAD</t>
  </si>
  <si>
    <t>H60000005403</t>
  </si>
  <si>
    <t>MCKNIGHT MARCUS LEON</t>
  </si>
  <si>
    <t>MCKNIGHT MARSHA ELLIS</t>
  </si>
  <si>
    <t>2466 MILLING ROAD</t>
  </si>
  <si>
    <t>27028-7335</t>
  </si>
  <si>
    <t>I600000004</t>
  </si>
  <si>
    <t>HOWELL STEWART WILSON</t>
  </si>
  <si>
    <t>HOWELL LUVADA BOWENS</t>
  </si>
  <si>
    <t>1032 CORNATZER ROAD</t>
  </si>
  <si>
    <t>27028-7134</t>
  </si>
  <si>
    <t>H600000056</t>
  </si>
  <si>
    <t>I600000007</t>
  </si>
  <si>
    <t>H600000058</t>
  </si>
  <si>
    <t>I60000000901</t>
  </si>
  <si>
    <t>I600000006</t>
  </si>
  <si>
    <t>I60000000501</t>
  </si>
  <si>
    <t>J500000028</t>
  </si>
  <si>
    <t>H60000009201</t>
  </si>
  <si>
    <t>H60000005704</t>
  </si>
  <si>
    <t>KURFEES STUART GRAY</t>
  </si>
  <si>
    <t>KURFEES GARLENE BOWENS</t>
  </si>
  <si>
    <t>137 HERITAGE TRAIL</t>
  </si>
  <si>
    <t>27028-7371</t>
  </si>
  <si>
    <t>H60000005707</t>
  </si>
  <si>
    <t>BRADFORD CHARLES</t>
  </si>
  <si>
    <t>BRADFORD LINDA</t>
  </si>
  <si>
    <t>180 SNOW HILL DRIVE</t>
  </si>
  <si>
    <t>H60000005701</t>
  </si>
  <si>
    <t>BOWENS BETTY JEAN</t>
  </si>
  <si>
    <t>2508 MILLING ROAD</t>
  </si>
  <si>
    <t>H600000059</t>
  </si>
  <si>
    <t>DWIGGINS MARGARET B</t>
  </si>
  <si>
    <t>2524 MILLING ROAD</t>
  </si>
  <si>
    <t>H50000005308</t>
  </si>
  <si>
    <t>OWENS ANTHONY MICHAEL</t>
  </si>
  <si>
    <t>OWENS TRICIA P</t>
  </si>
  <si>
    <t>137 RED BUD LANE</t>
  </si>
  <si>
    <t>27028-4360</t>
  </si>
  <si>
    <t>H50000005309</t>
  </si>
  <si>
    <t>BOYETTE JOSEPH B</t>
  </si>
  <si>
    <t>BOYETTE SANDRA B</t>
  </si>
  <si>
    <t>516 SAIN ROAD</t>
  </si>
  <si>
    <t>H50000006101</t>
  </si>
  <si>
    <t>HUNT RAY NORTON</t>
  </si>
  <si>
    <t>2762 HICKORY HWY</t>
  </si>
  <si>
    <t>H500000070</t>
  </si>
  <si>
    <t>GARDNER JAMES BLAIR</t>
  </si>
  <si>
    <t>GARDNER GLORIA WELSH</t>
  </si>
  <si>
    <t>301 DOGWOOD LANE</t>
  </si>
  <si>
    <t>H600000081</t>
  </si>
  <si>
    <t>CAUDILL JOHN P</t>
  </si>
  <si>
    <t>CAUDILL VENITA B</t>
  </si>
  <si>
    <t>295 HEARTHSIDE LANE</t>
  </si>
  <si>
    <t>27028-7223</t>
  </si>
  <si>
    <t>H60000008201</t>
  </si>
  <si>
    <t>SULIER JAMES J</t>
  </si>
  <si>
    <t>5221 YADKINVILLE ROAD</t>
  </si>
  <si>
    <t>PFAFFTOWN</t>
  </si>
  <si>
    <t>27040-0000</t>
  </si>
  <si>
    <t>H60000008203</t>
  </si>
  <si>
    <t>FLYNN GARY L</t>
  </si>
  <si>
    <t>FLYNN MARY E</t>
  </si>
  <si>
    <t>298 JAMESTOWN ROAD</t>
  </si>
  <si>
    <t>H60000008206</t>
  </si>
  <si>
    <t>SHAVER RONALD W</t>
  </si>
  <si>
    <t>337 JAMESTOWNE DRIVE</t>
  </si>
  <si>
    <t>27028-7247</t>
  </si>
  <si>
    <t>H60000008211</t>
  </si>
  <si>
    <t>H60000008209</t>
  </si>
  <si>
    <t>PROVEAUX PALMER LEVI</t>
  </si>
  <si>
    <t>216 JAMESTOWN DRIVE</t>
  </si>
  <si>
    <t>27028-7246</t>
  </si>
  <si>
    <t>I60000001006</t>
  </si>
  <si>
    <t>H600000084</t>
  </si>
  <si>
    <t>H600000085</t>
  </si>
  <si>
    <t>MAYHEW GRACE YVONNE</t>
  </si>
  <si>
    <t>155 POOL DRIVE</t>
  </si>
  <si>
    <t>H500000071</t>
  </si>
  <si>
    <t>H20000005001</t>
  </si>
  <si>
    <t>H5010A0036</t>
  </si>
  <si>
    <t>HOWELL LOUIE A JR</t>
  </si>
  <si>
    <t>HOWELL CYNTHIA D</t>
  </si>
  <si>
    <t>190 LONGMEADOW ROAD</t>
  </si>
  <si>
    <t>27028-4242</t>
  </si>
  <si>
    <t>H600000093</t>
  </si>
  <si>
    <t>POTTS LUTHER B</t>
  </si>
  <si>
    <t>POTTS HILDA H</t>
  </si>
  <si>
    <t>PO BOX 262</t>
  </si>
  <si>
    <t>I300000049</t>
  </si>
  <si>
    <t>I600000049</t>
  </si>
  <si>
    <t>J300000012</t>
  </si>
  <si>
    <t>I600000032</t>
  </si>
  <si>
    <t>H6070A0001</t>
  </si>
  <si>
    <t>WILLIS MELANIE P</t>
  </si>
  <si>
    <t>793 SAIN ROAD</t>
  </si>
  <si>
    <t>H6080A000101</t>
  </si>
  <si>
    <t>TESH RICKY WAYNE</t>
  </si>
  <si>
    <t>762 SAIN ROAD</t>
  </si>
  <si>
    <t>27028-4332</t>
  </si>
  <si>
    <t>H6080A0010</t>
  </si>
  <si>
    <t>VANNOY SHARON DENISE</t>
  </si>
  <si>
    <t>123 PENNINGTON DOWELL LANE</t>
  </si>
  <si>
    <t>H5150A0014</t>
  </si>
  <si>
    <t>CRANFILL LUCILLE LEDFORD</t>
  </si>
  <si>
    <t>141 ELM STREET</t>
  </si>
  <si>
    <t>H6080A0006</t>
  </si>
  <si>
    <t>SPARKS RICKY D</t>
  </si>
  <si>
    <t>SPARKS LORA B</t>
  </si>
  <si>
    <t>750 SAIN ROAD</t>
  </si>
  <si>
    <t>H700000007</t>
  </si>
  <si>
    <t>CORNATZER BAPTIST CHURCH</t>
  </si>
  <si>
    <t>1372 CORNATZER ROAD</t>
  </si>
  <si>
    <t>H700000017</t>
  </si>
  <si>
    <t>H70000000907</t>
  </si>
  <si>
    <t>MEADOWS THOMAS CLARK JR</t>
  </si>
  <si>
    <t>258 RALPH RD</t>
  </si>
  <si>
    <t>27028-7359</t>
  </si>
  <si>
    <t>H700000121</t>
  </si>
  <si>
    <t>MARTINICHIO PATRICK J SR</t>
  </si>
  <si>
    <t>224 RALPH ROAD</t>
  </si>
  <si>
    <t>H4130A0116</t>
  </si>
  <si>
    <t>CALDERON MARCO T</t>
  </si>
  <si>
    <t>CORNEJO ANABEL</t>
  </si>
  <si>
    <t>203 SUMMIT DRIVE</t>
  </si>
  <si>
    <t>H4140A0001</t>
  </si>
  <si>
    <t>DULIN CHARLIE STEVIE</t>
  </si>
  <si>
    <t>DULIN ELIZABETH ANN</t>
  </si>
  <si>
    <t>508 COUNTRY LANE</t>
  </si>
  <si>
    <t>I40000007713</t>
  </si>
  <si>
    <t>H4140A0004</t>
  </si>
  <si>
    <t>H5150B001802</t>
  </si>
  <si>
    <t>READLING RANDY D</t>
  </si>
  <si>
    <t>149 DOGWOOD LANE</t>
  </si>
  <si>
    <t>H5160A0003</t>
  </si>
  <si>
    <t>HOWARD NELSON ORLANDA</t>
  </si>
  <si>
    <t>HOWARD MELISSA HODGES</t>
  </si>
  <si>
    <t>131 RIDGEHAVEN PLACE</t>
  </si>
  <si>
    <t>27028-4186</t>
  </si>
  <si>
    <t>H70000002001</t>
  </si>
  <si>
    <t>ALLGOOD KIMBERLY P</t>
  </si>
  <si>
    <t>1474 CORNATZER ROAD</t>
  </si>
  <si>
    <t>H5160A0004</t>
  </si>
  <si>
    <t>YOUNG SHANE</t>
  </si>
  <si>
    <t>YOUNG AMY VOGLER</t>
  </si>
  <si>
    <t>130 RIDGEHAVEN PLACE</t>
  </si>
  <si>
    <t>H5160A0028</t>
  </si>
  <si>
    <t>JONES BRADLEY TODD</t>
  </si>
  <si>
    <t>JONES MELANIE MALEY</t>
  </si>
  <si>
    <t>196 FOREST VIEW DRIVE</t>
  </si>
  <si>
    <t>H5190A0019</t>
  </si>
  <si>
    <t>WANUCHA DAVID J</t>
  </si>
  <si>
    <t>WANUCHA DONNA MAE</t>
  </si>
  <si>
    <t>207 S MADERA DR</t>
  </si>
  <si>
    <t>27028-4190</t>
  </si>
  <si>
    <t>H5190A0020</t>
  </si>
  <si>
    <t>BURRIS MARTIN</t>
  </si>
  <si>
    <t>BURRIS ANNE</t>
  </si>
  <si>
    <t>201 S MADERA DR</t>
  </si>
  <si>
    <t>H700000038</t>
  </si>
  <si>
    <t>LYNCH DAWN MONTGOMERY</t>
  </si>
  <si>
    <t>175 LEATHERWOOD TRAIL</t>
  </si>
  <si>
    <t>H70000004201</t>
  </si>
  <si>
    <t>H70000003803</t>
  </si>
  <si>
    <t>FLOYD BRIAN</t>
  </si>
  <si>
    <t>FLOYD VALARIE</t>
  </si>
  <si>
    <t>159 LEATHERWOOD TRAIL</t>
  </si>
  <si>
    <t>H700000119</t>
  </si>
  <si>
    <t>HOLBROOK JENNIFER TRUST</t>
  </si>
  <si>
    <t>301 LEATHERWOOD TRAIL</t>
  </si>
  <si>
    <t>H70000003805</t>
  </si>
  <si>
    <t>MOORE DEBORA A</t>
  </si>
  <si>
    <t>285 LEATHERWOOD TRAIL</t>
  </si>
  <si>
    <t>H70000005001</t>
  </si>
  <si>
    <t>CHAPMAN GARNETTE NANCE</t>
  </si>
  <si>
    <t>1568 CORNATZER ROAD</t>
  </si>
  <si>
    <t>H700000042</t>
  </si>
  <si>
    <t>H70000004604</t>
  </si>
  <si>
    <t>SWAIN IVA NELL C</t>
  </si>
  <si>
    <t>1875 US HIGHWAY 601 SOUTH</t>
  </si>
  <si>
    <t>H60000000801</t>
  </si>
  <si>
    <t>HALL JULIE A</t>
  </si>
  <si>
    <t>1505 MILLING ROAD</t>
  </si>
  <si>
    <t>H60000002802</t>
  </si>
  <si>
    <t>PATTERSON ROBERT D</t>
  </si>
  <si>
    <t>PATTERSON TARA F</t>
  </si>
  <si>
    <t>2039 MILLING ROAD</t>
  </si>
  <si>
    <t>27208-0000</t>
  </si>
  <si>
    <t>H600000032</t>
  </si>
  <si>
    <t>GIORDANO CHRISTOPHER SCOTT</t>
  </si>
  <si>
    <t>GIORDANO DAWN MARIE</t>
  </si>
  <si>
    <t>2182 MILLING ROAD</t>
  </si>
  <si>
    <t>H70000005801</t>
  </si>
  <si>
    <t>ALBARRAN WILFREDO</t>
  </si>
  <si>
    <t>ALBARRAN YVONNE</t>
  </si>
  <si>
    <t>374 BRIER CREEK ROAD</t>
  </si>
  <si>
    <t>H70000006101</t>
  </si>
  <si>
    <t>WILLIAMS TIMOTHY R</t>
  </si>
  <si>
    <t>27006-7062</t>
  </si>
  <si>
    <t>H7020A0035</t>
  </si>
  <si>
    <t>H700000063</t>
  </si>
  <si>
    <t>TATE WILLIAM HENRY II</t>
  </si>
  <si>
    <t>TATE TRACEY MARIE</t>
  </si>
  <si>
    <t>114 JAMES ROAD</t>
  </si>
  <si>
    <t>27006-7000</t>
  </si>
  <si>
    <t>H70000006303</t>
  </si>
  <si>
    <t>SMITH TODD C</t>
  </si>
  <si>
    <t>SMITH SHEILA F</t>
  </si>
  <si>
    <t>122 JAMES ROAD</t>
  </si>
  <si>
    <t>H60000004001</t>
  </si>
  <si>
    <t>MYERS DOUGLAS</t>
  </si>
  <si>
    <t>MYERS MISTI</t>
  </si>
  <si>
    <t>2349 MILLING ROAD</t>
  </si>
  <si>
    <t>H600000045</t>
  </si>
  <si>
    <t>CARTER MILDRED</t>
  </si>
  <si>
    <t>2360 MILLING ROAD</t>
  </si>
  <si>
    <t>H70000007008</t>
  </si>
  <si>
    <t>YARBROUGH GARY F</t>
  </si>
  <si>
    <t>YARBROUGH CHERIE</t>
  </si>
  <si>
    <t>274 BAILEYS CHAPEL ROAD</t>
  </si>
  <si>
    <t>H700000113</t>
  </si>
  <si>
    <t>LANNING DENNIS R</t>
  </si>
  <si>
    <t>LANNING JOHNNA M</t>
  </si>
  <si>
    <t>1351 FORK BIXBY ROAD</t>
  </si>
  <si>
    <t>27006-7229</t>
  </si>
  <si>
    <t>H700000117</t>
  </si>
  <si>
    <t>H600000060</t>
  </si>
  <si>
    <t>JONES DEBRA D</t>
  </si>
  <si>
    <t>2547 MILLING ROAD</t>
  </si>
  <si>
    <t>H700000004</t>
  </si>
  <si>
    <t>HUNDLEY MICHAEL S</t>
  </si>
  <si>
    <t>HUNDLEY DEANA H</t>
  </si>
  <si>
    <t>1330 CORNATZER ROAD</t>
  </si>
  <si>
    <t>27028-7137</t>
  </si>
  <si>
    <t>H70000008801</t>
  </si>
  <si>
    <t>BARNEY JAMES C</t>
  </si>
  <si>
    <t>BARNEY DOROTHY B</t>
  </si>
  <si>
    <t>PO BOX 2015</t>
  </si>
  <si>
    <t>27006-2015</t>
  </si>
  <si>
    <t>H700000090</t>
  </si>
  <si>
    <t>MILLER BONNIE M</t>
  </si>
  <si>
    <t>1438 FORK BIXBY ROAD</t>
  </si>
  <si>
    <t>G600000102</t>
  </si>
  <si>
    <t>H70000009401</t>
  </si>
  <si>
    <t>WALLS DONNY RAY</t>
  </si>
  <si>
    <t>WALLS SHIRLEY POTTS</t>
  </si>
  <si>
    <t>27006-0325</t>
  </si>
  <si>
    <t>H700000096</t>
  </si>
  <si>
    <t>WENSLEY ROBERT E</t>
  </si>
  <si>
    <t>WENSLEY ANDREA DEAN</t>
  </si>
  <si>
    <t>136 PAPOOSE TRAIL</t>
  </si>
  <si>
    <t>H60000007201</t>
  </si>
  <si>
    <t>CAUDLE STEPHANIE BETH</t>
  </si>
  <si>
    <t>1140 CORNATZER ROAD</t>
  </si>
  <si>
    <t>H60000008101</t>
  </si>
  <si>
    <t>H600000089</t>
  </si>
  <si>
    <t>LAU BRUCE EDWARD</t>
  </si>
  <si>
    <t>LAU GAYLA</t>
  </si>
  <si>
    <t>1069 CORNATZER ROAD</t>
  </si>
  <si>
    <t>H700000114</t>
  </si>
  <si>
    <t>LONG DOUGLAS RAY</t>
  </si>
  <si>
    <t>LONG MARTHA GAIL WILLIAMS</t>
  </si>
  <si>
    <t>1315 FORK BIXBY ROAD</t>
  </si>
  <si>
    <t>H70000011401</t>
  </si>
  <si>
    <t>H7020A0002</t>
  </si>
  <si>
    <t>STOUT JAMES R</t>
  </si>
  <si>
    <t>STOUT ALMA D</t>
  </si>
  <si>
    <t>167 BROCKLAND DRIVE</t>
  </si>
  <si>
    <t>H7020A0005</t>
  </si>
  <si>
    <t>VERMEULEN JOANN</t>
  </si>
  <si>
    <t>409 BRIER CREEK ROAD</t>
  </si>
  <si>
    <t>H600000090</t>
  </si>
  <si>
    <t>POTTS DOUGLAS LANDON</t>
  </si>
  <si>
    <t>POTTS JILL</t>
  </si>
  <si>
    <t>1055 CORNATZER ROAD</t>
  </si>
  <si>
    <t>H7020A0032</t>
  </si>
  <si>
    <t>HASS LEVENA M</t>
  </si>
  <si>
    <t>529 BRIER CREEK ROAD</t>
  </si>
  <si>
    <t>H7030A0012</t>
  </si>
  <si>
    <t>BLACK BENNETT</t>
  </si>
  <si>
    <t>BLACK ELSIE</t>
  </si>
  <si>
    <t>640 LEWISVILLE CLEMMONS ROAD</t>
  </si>
  <si>
    <t>H7030A0016</t>
  </si>
  <si>
    <t>CORNATZER JERRY WAYNE</t>
  </si>
  <si>
    <t>150 AUSTINE LANE</t>
  </si>
  <si>
    <t>27006-7138</t>
  </si>
  <si>
    <t>K50000009306</t>
  </si>
  <si>
    <t>H7030A0017</t>
  </si>
  <si>
    <t>SPACH DAVID</t>
  </si>
  <si>
    <t>SPACH SUSIE R</t>
  </si>
  <si>
    <t>PO  BOX 126</t>
  </si>
  <si>
    <t>I600000075</t>
  </si>
  <si>
    <t>H6080A0005</t>
  </si>
  <si>
    <t>H5150B001801</t>
  </si>
  <si>
    <t>COLLETT LANNY R</t>
  </si>
  <si>
    <t>COLLETT MARY K</t>
  </si>
  <si>
    <t>167 DOGWOOD LANE</t>
  </si>
  <si>
    <t>H800000010</t>
  </si>
  <si>
    <t>POTTS MARY ELIZABETH HEIRS</t>
  </si>
  <si>
    <t>H8070A0004</t>
  </si>
  <si>
    <t>MILLER JOHN SCOTT JR</t>
  </si>
  <si>
    <t>MILLER SONDRA SUZETTE</t>
  </si>
  <si>
    <t>870 MARKLAND RD</t>
  </si>
  <si>
    <t>27028-7026</t>
  </si>
  <si>
    <t>H8070A0005</t>
  </si>
  <si>
    <t>H8070A0007</t>
  </si>
  <si>
    <t>H8070A0006</t>
  </si>
  <si>
    <t>H8070A0009</t>
  </si>
  <si>
    <t>CUSACK JAMES D</t>
  </si>
  <si>
    <t>CUSACK MARY JO</t>
  </si>
  <si>
    <t>796 MARKLAND ROAD</t>
  </si>
  <si>
    <t>27006-7025</t>
  </si>
  <si>
    <t>H800000011</t>
  </si>
  <si>
    <t>ROBERTSON KAREN CORNATZER</t>
  </si>
  <si>
    <t>PO BOX 43</t>
  </si>
  <si>
    <t>27006-0043</t>
  </si>
  <si>
    <t>H700000018</t>
  </si>
  <si>
    <t>TILLEY FAYE S</t>
  </si>
  <si>
    <t>1400 CORNATZER ROAD</t>
  </si>
  <si>
    <t>H80000002101</t>
  </si>
  <si>
    <t>CHAMBERLAIN DOUGLAS K</t>
  </si>
  <si>
    <t>CHAMBERLAIN GINA H</t>
  </si>
  <si>
    <t>H800000028</t>
  </si>
  <si>
    <t>MYERS TOMMY LEE</t>
  </si>
  <si>
    <t>MYERS LORI DENISE</t>
  </si>
  <si>
    <t>PO BOX 314</t>
  </si>
  <si>
    <t>H80000003701</t>
  </si>
  <si>
    <t>HARMON DAVID W</t>
  </si>
  <si>
    <t>HARMON CARLA J</t>
  </si>
  <si>
    <t>150 PEOPLES CREEK ROAD</t>
  </si>
  <si>
    <t>H800000063</t>
  </si>
  <si>
    <t>HARMON LINDA A</t>
  </si>
  <si>
    <t>PO BOX 2124</t>
  </si>
  <si>
    <t>H700000029</t>
  </si>
  <si>
    <t>CORNATZER-DULIN VOLUNTARY FIRE</t>
  </si>
  <si>
    <t>% DOUGLAS POTTS</t>
  </si>
  <si>
    <t>1522 CORNATZER ROAD</t>
  </si>
  <si>
    <t>H800000043</t>
  </si>
  <si>
    <t>PATTON ALFRED RAY</t>
  </si>
  <si>
    <t>PATTON DONA L</t>
  </si>
  <si>
    <t>761 BAILEYS CHAPEL ROAD</t>
  </si>
  <si>
    <t>27006-7144</t>
  </si>
  <si>
    <t>H800000045</t>
  </si>
  <si>
    <t>SPRY DONALD RAY</t>
  </si>
  <si>
    <t>135 CRUMP TRAIL</t>
  </si>
  <si>
    <t>27006-7257</t>
  </si>
  <si>
    <t>H80000004701</t>
  </si>
  <si>
    <t>WALLER JOHN WILLIAM JR</t>
  </si>
  <si>
    <t>WALLER DEBRA H</t>
  </si>
  <si>
    <t>202 SEAWALL TRAIL</t>
  </si>
  <si>
    <t>27006-7348</t>
  </si>
  <si>
    <t>I800000070</t>
  </si>
  <si>
    <t>H800000049</t>
  </si>
  <si>
    <t>BAILEY'S CHAPEL CHURCH</t>
  </si>
  <si>
    <t>772 BAILEYS CHAPEL ROAD</t>
  </si>
  <si>
    <t>H80000004901</t>
  </si>
  <si>
    <t>H80000004303</t>
  </si>
  <si>
    <t>H80000005104</t>
  </si>
  <si>
    <t>BOGER RICKY W</t>
  </si>
  <si>
    <t>BOGER KATHY B</t>
  </si>
  <si>
    <t>109 HUNTERS TRAIL</t>
  </si>
  <si>
    <t>H700000030</t>
  </si>
  <si>
    <t>MCKNIGHT VON L</t>
  </si>
  <si>
    <t>MCKNIGHT GLENDA S</t>
  </si>
  <si>
    <t>1538 CORNATZER ROAD</t>
  </si>
  <si>
    <t>H80000005202</t>
  </si>
  <si>
    <t>BENTLEY GREGORY SCOTT</t>
  </si>
  <si>
    <t>220 BENTLEY DRIVE</t>
  </si>
  <si>
    <t>27295-0332</t>
  </si>
  <si>
    <t>H80000005302</t>
  </si>
  <si>
    <t>CLINARD CHARLIE ROSCOE</t>
  </si>
  <si>
    <t>CLINARD PATRICIA WOOTEN</t>
  </si>
  <si>
    <t>H80000005303</t>
  </si>
  <si>
    <t>GOSS ROBERT</t>
  </si>
  <si>
    <t>GOSS JEANNE</t>
  </si>
  <si>
    <t>564 MARKLAND ROAD</t>
  </si>
  <si>
    <t>H80000005305</t>
  </si>
  <si>
    <t>MAYES AARON GRAY &amp; EDITH W</t>
  </si>
  <si>
    <t>ROBINSON KAREN M</t>
  </si>
  <si>
    <t>576 MARKLAND ROAD</t>
  </si>
  <si>
    <t>27006-7023</t>
  </si>
  <si>
    <t>H800000065</t>
  </si>
  <si>
    <t>584 MARKLAND ROAD</t>
  </si>
  <si>
    <t>H80000005401</t>
  </si>
  <si>
    <t>CLARK ANDREA W</t>
  </si>
  <si>
    <t>CLARK TODD M</t>
  </si>
  <si>
    <t>157 WALSER WAY</t>
  </si>
  <si>
    <t>H800000055</t>
  </si>
  <si>
    <t>POTTS W AVALON</t>
  </si>
  <si>
    <t>J800000007</t>
  </si>
  <si>
    <t>H800000057</t>
  </si>
  <si>
    <t>CAUDLE GLORIA CLAY</t>
  </si>
  <si>
    <t>417 BAILEY'S CHAPEL ROAD</t>
  </si>
  <si>
    <t>H80000005801</t>
  </si>
  <si>
    <t>AYERS DOUGLAS</t>
  </si>
  <si>
    <t>AYERS DENISE</t>
  </si>
  <si>
    <t>418 BAILEYS CHAPEL ROAD</t>
  </si>
  <si>
    <t>27006-7141</t>
  </si>
  <si>
    <t>H800000061</t>
  </si>
  <si>
    <t>HUNTER RICKY EUGENE</t>
  </si>
  <si>
    <t>345 BAILEYS CHAPEL ROAD</t>
  </si>
  <si>
    <t>H80000006101</t>
  </si>
  <si>
    <t>ATKINS MICHAEL W SR</t>
  </si>
  <si>
    <t>ATKINS DAWN M</t>
  </si>
  <si>
    <t>331 BAILEYS CHAPEL ROAD</t>
  </si>
  <si>
    <t>H700000031</t>
  </si>
  <si>
    <t>NANCE GARNETTE L</t>
  </si>
  <si>
    <t>27028-7139</t>
  </si>
  <si>
    <t>H8050A0018</t>
  </si>
  <si>
    <t>WARREN MIKE</t>
  </si>
  <si>
    <t>WARREN SHEILA</t>
  </si>
  <si>
    <t>151 SHADY GROVE LANE</t>
  </si>
  <si>
    <t>H8050A0019</t>
  </si>
  <si>
    <t>TATUM KERRY D</t>
  </si>
  <si>
    <t>TATUM TAMELA I</t>
  </si>
  <si>
    <t>131 SHADY GROVE LANE</t>
  </si>
  <si>
    <t>27006-7424</t>
  </si>
  <si>
    <t>H8050A0021</t>
  </si>
  <si>
    <t>ATCHLEY BENNY R</t>
  </si>
  <si>
    <t>ATCHLEY SUSAN M</t>
  </si>
  <si>
    <t>2491 NC HIGHWAY 801 SOUTH</t>
  </si>
  <si>
    <t>H8050A0022</t>
  </si>
  <si>
    <t>PRICE VICTORIA</t>
  </si>
  <si>
    <t>2477 NC HIGHWAY 801 SOUTH</t>
  </si>
  <si>
    <t>H700000036</t>
  </si>
  <si>
    <t>H70000005401</t>
  </si>
  <si>
    <t>MCKNIGHT TIMOTHY DALE</t>
  </si>
  <si>
    <t>MCKNIGHT SHERRY B</t>
  </si>
  <si>
    <t>1624 FORK BIXBY ROAD</t>
  </si>
  <si>
    <t>H8060A0009</t>
  </si>
  <si>
    <t>SPAINHOUR LIZABETH JONES</t>
  </si>
  <si>
    <t>140 ALEXANDRIA COURT</t>
  </si>
  <si>
    <t>H8060A0012</t>
  </si>
  <si>
    <t>IRWIN JOE DARRYL</t>
  </si>
  <si>
    <t>IRWIN AMY KATHERINE</t>
  </si>
  <si>
    <t>129 ALEXANDRIA COURT</t>
  </si>
  <si>
    <t>27006-7315</t>
  </si>
  <si>
    <t>H8060A0014</t>
  </si>
  <si>
    <t>FAKER RICHARD L</t>
  </si>
  <si>
    <t>FAKER CHARLOTTE M</t>
  </si>
  <si>
    <t>244 COVINGTON DRIVE</t>
  </si>
  <si>
    <t>27006-7876</t>
  </si>
  <si>
    <t>H8060A0017</t>
  </si>
  <si>
    <t>HARPER WENDELL J JR</t>
  </si>
  <si>
    <t>HARPER DANA E</t>
  </si>
  <si>
    <t>290 COVINGTON DRIVE</t>
  </si>
  <si>
    <t>H8060A0019</t>
  </si>
  <si>
    <t>BATES CHARLES G</t>
  </si>
  <si>
    <t>BATES DORENE T</t>
  </si>
  <si>
    <t>306 COVINGTON CREEK DRIVE</t>
  </si>
  <si>
    <t>H8060A0020</t>
  </si>
  <si>
    <t>KULIS MATTHEW R</t>
  </si>
  <si>
    <t>KULIS ANGELA B</t>
  </si>
  <si>
    <t>312 COVINGTON DRIVE</t>
  </si>
  <si>
    <t>27006-7892</t>
  </si>
  <si>
    <t>H8060A0026</t>
  </si>
  <si>
    <t>WALSH DAVID</t>
  </si>
  <si>
    <t>WALSH PAULA</t>
  </si>
  <si>
    <t>122 SOUTH HEMINGWAY COURT</t>
  </si>
  <si>
    <t>H700000057</t>
  </si>
  <si>
    <t>FISHEL JAMES L</t>
  </si>
  <si>
    <t>133 JAMES ROAD</t>
  </si>
  <si>
    <t>H8060A0034</t>
  </si>
  <si>
    <t>WILSON WALTER H JR</t>
  </si>
  <si>
    <t>WILSON LOU E</t>
  </si>
  <si>
    <t>153 SOUTH HEMINGWAY COURT</t>
  </si>
  <si>
    <t>H8060A0036</t>
  </si>
  <si>
    <t>SOUTHERN CLYDE WARD JR</t>
  </si>
  <si>
    <t>SOUTHERN KATHLEEN MARTEL</t>
  </si>
  <si>
    <t>137 SOUTH HEMINGWAY COURT</t>
  </si>
  <si>
    <t>27006-7049</t>
  </si>
  <si>
    <t>H8060A0039</t>
  </si>
  <si>
    <t>HOUGH KATHRYN J</t>
  </si>
  <si>
    <t>113 SOUTH HEMINGWAY COURT</t>
  </si>
  <si>
    <t>H8060A0045</t>
  </si>
  <si>
    <t>YOUNG REBECCA PARKER</t>
  </si>
  <si>
    <t>108 ROXBURY COURT</t>
  </si>
  <si>
    <t>H8060A0047</t>
  </si>
  <si>
    <t>TISCHLER MATTHEW JASON</t>
  </si>
  <si>
    <t>TISCHLER BARBARA NORTON</t>
  </si>
  <si>
    <t>120 ROXBURY COURT</t>
  </si>
  <si>
    <t>27006-7877</t>
  </si>
  <si>
    <t>H700000058</t>
  </si>
  <si>
    <t>JAMES CHRISTOPHER EDMUND</t>
  </si>
  <si>
    <t>318 BRIERCREEK ROAD</t>
  </si>
  <si>
    <t>27006-7153</t>
  </si>
  <si>
    <t>H700000065</t>
  </si>
  <si>
    <t>SHOAF HARVEY LEEROY</t>
  </si>
  <si>
    <t>786 MOUNT CARMEL ROAD</t>
  </si>
  <si>
    <t>27295-5297</t>
  </si>
  <si>
    <t>H700000116</t>
  </si>
  <si>
    <t>GREGORY DONALD E</t>
  </si>
  <si>
    <t>GREGORY SONYA E</t>
  </si>
  <si>
    <t>222 BAILEY'S CHAPEL ROAD</t>
  </si>
  <si>
    <t>27006-7139</t>
  </si>
  <si>
    <t>H8060A0057</t>
  </si>
  <si>
    <t>MCCLELLAN JAMES JR</t>
  </si>
  <si>
    <t>MCCLELLAN AMY</t>
  </si>
  <si>
    <t>157 COVINGTON DRIVE</t>
  </si>
  <si>
    <t>H8060A0058</t>
  </si>
  <si>
    <t>BANDY DARRYL LEE JR</t>
  </si>
  <si>
    <t>BANDY GINA O</t>
  </si>
  <si>
    <t>H8060A0060</t>
  </si>
  <si>
    <t>HILL T MAYNE</t>
  </si>
  <si>
    <t>BEALE ELIZABETH CARRELL</t>
  </si>
  <si>
    <t>139 COVINGTON DRIVE</t>
  </si>
  <si>
    <t>H8060A0067</t>
  </si>
  <si>
    <t>DEAL MICHAEL R</t>
  </si>
  <si>
    <t>DEAL TERESA RHODES</t>
  </si>
  <si>
    <t>360 COVINGTON DRIVE</t>
  </si>
  <si>
    <t>H8060A0068</t>
  </si>
  <si>
    <t>PIPER JAMES</t>
  </si>
  <si>
    <t>PIPER TERESA</t>
  </si>
  <si>
    <t>370 COVINGTON DRIVE</t>
  </si>
  <si>
    <t>H8060A0071</t>
  </si>
  <si>
    <t>YEAGER DON G</t>
  </si>
  <si>
    <t>YEAGER LESLIE K</t>
  </si>
  <si>
    <t>396 COVINGTON DRIVE</t>
  </si>
  <si>
    <t>H700000077</t>
  </si>
  <si>
    <t>DAVIE BAPTIST TABERNACLE</t>
  </si>
  <si>
    <t>1489 FORK BIXBY ROAD</t>
  </si>
  <si>
    <t>H90000000103</t>
  </si>
  <si>
    <t>BRILL MICHAEL J</t>
  </si>
  <si>
    <t>BRILL SALLY A</t>
  </si>
  <si>
    <t>1000 PEOPLES CREEK ROAD</t>
  </si>
  <si>
    <t>27006-7446</t>
  </si>
  <si>
    <t>H90000000104</t>
  </si>
  <si>
    <t>BRACEWELL JIMMIE GAIL</t>
  </si>
  <si>
    <t>DAY JENNIFER BETH</t>
  </si>
  <si>
    <t>200 JIM FRYE ROAD</t>
  </si>
  <si>
    <t>H900000002</t>
  </si>
  <si>
    <t>MORGAN BARBARA K</t>
  </si>
  <si>
    <t>PO BOX 2080</t>
  </si>
  <si>
    <t>H90000000201</t>
  </si>
  <si>
    <t>GOSHORN MARCIA MYERS</t>
  </si>
  <si>
    <t>1011 PEOPLES CREEK ROAD</t>
  </si>
  <si>
    <t>H90000000701</t>
  </si>
  <si>
    <t>ROBERTSON DAVID DEAN</t>
  </si>
  <si>
    <t>252 FORK BIXBY ROAD</t>
  </si>
  <si>
    <t>H90000000703</t>
  </si>
  <si>
    <t>KITE LOUISE MYERS</t>
  </si>
  <si>
    <t>KITE DAYTON V</t>
  </si>
  <si>
    <t>4159 EISENHOUR ROAD</t>
  </si>
  <si>
    <t>H700000088</t>
  </si>
  <si>
    <t>H700000105</t>
  </si>
  <si>
    <t>LOWE GLADYS S</t>
  </si>
  <si>
    <t>234 INDIAN HILLS ROAD</t>
  </si>
  <si>
    <t>27006-7245</t>
  </si>
  <si>
    <t>H900000013</t>
  </si>
  <si>
    <t>MYERS MARCUS</t>
  </si>
  <si>
    <t>792 PEOPLES CREEK ROAD</t>
  </si>
  <si>
    <t>27006-7443</t>
  </si>
  <si>
    <t>H700000071</t>
  </si>
  <si>
    <t>H900000043</t>
  </si>
  <si>
    <t>BAILEY LARRY GENE</t>
  </si>
  <si>
    <t>BAILEY ANGELA MARKLAND</t>
  </si>
  <si>
    <t>586 PEOPLES CREEK ROAD</t>
  </si>
  <si>
    <t>H900000026</t>
  </si>
  <si>
    <t>J7120A0022</t>
  </si>
  <si>
    <t>H900000020</t>
  </si>
  <si>
    <t>H90000004202</t>
  </si>
  <si>
    <t>H900000024</t>
  </si>
  <si>
    <t>MCINTYRE GERALD M</t>
  </si>
  <si>
    <t>MCINTYRE SANDY B</t>
  </si>
  <si>
    <t>647 PEOPLES CREEK ROAD</t>
  </si>
  <si>
    <t>H700000108</t>
  </si>
  <si>
    <t>BEAUCHAMP WILLIAM LARRY</t>
  </si>
  <si>
    <t>334 CLEARWATER LANE</t>
  </si>
  <si>
    <t>H70000010802</t>
  </si>
  <si>
    <t>BEAUCHAMP DOROTHY ANN</t>
  </si>
  <si>
    <t>BARNEY JAMES CLAY</t>
  </si>
  <si>
    <t>P O BOX 2015</t>
  </si>
  <si>
    <t>H90000003701</t>
  </si>
  <si>
    <t>DECKER LARRY C</t>
  </si>
  <si>
    <t>DECKER LINDA E</t>
  </si>
  <si>
    <t>201 BURTON ROAD</t>
  </si>
  <si>
    <t>H900000040</t>
  </si>
  <si>
    <t>ALBY IDA CREWS</t>
  </si>
  <si>
    <t>PO BOX 27</t>
  </si>
  <si>
    <t>H90000004201</t>
  </si>
  <si>
    <t>BELL RICHARD W</t>
  </si>
  <si>
    <t>BELL CATHERINE L</t>
  </si>
  <si>
    <t>311 ODELL MYERS ROAD</t>
  </si>
  <si>
    <t>I5020B0015</t>
  </si>
  <si>
    <t>H7020A0012</t>
  </si>
  <si>
    <t>WHITE TERESA D</t>
  </si>
  <si>
    <t>5989 NORTH NC HIGHWAY 109</t>
  </si>
  <si>
    <t>27265-7227</t>
  </si>
  <si>
    <t>H90000004301</t>
  </si>
  <si>
    <t>COPE PATRICIA M</t>
  </si>
  <si>
    <t>226 PEOPLES CREEK ROAD</t>
  </si>
  <si>
    <t>27006-7438</t>
  </si>
  <si>
    <t>H900000044</t>
  </si>
  <si>
    <t>TALBERT RICHARD MARTIN</t>
  </si>
  <si>
    <t>TALBERT TERESA M</t>
  </si>
  <si>
    <t>231 PEOPLES CREEK ROAD</t>
  </si>
  <si>
    <t>H90000004401</t>
  </si>
  <si>
    <t>CAROLIVIA CAROLINA TRUST</t>
  </si>
  <si>
    <t>DALE A ALLISON JR - TRUSTEE</t>
  </si>
  <si>
    <t>241 PEOPLES CREEK ROAD</t>
  </si>
  <si>
    <t>H900000052</t>
  </si>
  <si>
    <t>ADAMS RODNEY D</t>
  </si>
  <si>
    <t>163 PEOPLES CREEK ROAD</t>
  </si>
  <si>
    <t>H9070A0002</t>
  </si>
  <si>
    <t>BRANTLEY TERRI H</t>
  </si>
  <si>
    <t>BRANTLEY EUGENE F</t>
  </si>
  <si>
    <t>123 DUBLIN ROAD</t>
  </si>
  <si>
    <t>27006-7468</t>
  </si>
  <si>
    <t>H9070A0004</t>
  </si>
  <si>
    <t>CAMPBELL MARK A</t>
  </si>
  <si>
    <t>CAMPBELL WANDA B</t>
  </si>
  <si>
    <t>149 DUBLIN ROAD</t>
  </si>
  <si>
    <t>H9070A0008</t>
  </si>
  <si>
    <t>HITCHCOCK ALAN J</t>
  </si>
  <si>
    <t>HITCHCOCK PAMELA K</t>
  </si>
  <si>
    <t>207 DUBLIN ROAD</t>
  </si>
  <si>
    <t>H7030A001801</t>
  </si>
  <si>
    <t>BREWER CLARICE T</t>
  </si>
  <si>
    <t>120 AUSTINE LANE</t>
  </si>
  <si>
    <t>H9070A0023</t>
  </si>
  <si>
    <t>THORP LEWIS S III</t>
  </si>
  <si>
    <t>THORP CINDY M</t>
  </si>
  <si>
    <t>165 IRISHMAN PLACE</t>
  </si>
  <si>
    <t>27006-7657</t>
  </si>
  <si>
    <t>H80000000501</t>
  </si>
  <si>
    <t>MINOR WILLIAM THOMAS</t>
  </si>
  <si>
    <t>MINOR NOVELLA S</t>
  </si>
  <si>
    <t>753 MARKLAND ROAD</t>
  </si>
  <si>
    <t>H800000005  A</t>
  </si>
  <si>
    <t>I600000018</t>
  </si>
  <si>
    <t>WINTERS BOBBY G</t>
  </si>
  <si>
    <t>WINTERS JACQUELINE L</t>
  </si>
  <si>
    <t>821 CORNATZER ROAD</t>
  </si>
  <si>
    <t>27028-7132</t>
  </si>
  <si>
    <t>H700000011</t>
  </si>
  <si>
    <t>I60000003402</t>
  </si>
  <si>
    <t>I600000034</t>
  </si>
  <si>
    <t>H70000001301</t>
  </si>
  <si>
    <t>GOBBLE TONY ALLEN</t>
  </si>
  <si>
    <t>1655 NC HIGHWAY 801 NORTH</t>
  </si>
  <si>
    <t>27028-7730</t>
  </si>
  <si>
    <t>H9080A0027</t>
  </si>
  <si>
    <t>SIMMONS MICHAEL KEITH</t>
  </si>
  <si>
    <t>SIMMONS LINDA CHAMELIN</t>
  </si>
  <si>
    <t>128 EAST ROLLINGMEADOW ROAD</t>
  </si>
  <si>
    <t>H9080A0030</t>
  </si>
  <si>
    <t>HODGES JERRY L JR</t>
  </si>
  <si>
    <t>HODGES LAURA B</t>
  </si>
  <si>
    <t>132 FALLINGCREEK DRIVE</t>
  </si>
  <si>
    <t>H9080A0031</t>
  </si>
  <si>
    <t>HUBBARD JOHN R</t>
  </si>
  <si>
    <t>HUBBARD TONYA P</t>
  </si>
  <si>
    <t>122 FALLINGCREEK DRIVE</t>
  </si>
  <si>
    <t>27006-7655</t>
  </si>
  <si>
    <t>H9080A0033</t>
  </si>
  <si>
    <t>TAYLOR JOHN R JR</t>
  </si>
  <si>
    <t>TAYLOR TAMARA K</t>
  </si>
  <si>
    <t>106 FALLINGCREEK DRIVE</t>
  </si>
  <si>
    <t>H9080A0035</t>
  </si>
  <si>
    <t>ACKERSON KRIS G</t>
  </si>
  <si>
    <t>ACKERSON TRACY L</t>
  </si>
  <si>
    <t>228 FALLING CREEK DRIVE</t>
  </si>
  <si>
    <t>H9080A0036</t>
  </si>
  <si>
    <t>ALLEN JEFFREY</t>
  </si>
  <si>
    <t>ALLEN MAUREEN</t>
  </si>
  <si>
    <t>232 FALLINGCREEK DRIVE</t>
  </si>
  <si>
    <t>H9080A0037</t>
  </si>
  <si>
    <t>TIMIDAISKI JOSEPH H</t>
  </si>
  <si>
    <t>TANNER KATHLEEN M</t>
  </si>
  <si>
    <t>235 FALLINGCREEK DR.</t>
  </si>
  <si>
    <t>H9080A0039</t>
  </si>
  <si>
    <t>JOHNSON ROBERT W</t>
  </si>
  <si>
    <t>JOHNSON MILLICENT W</t>
  </si>
  <si>
    <t>231 FALLINGCREEK DRIVE</t>
  </si>
  <si>
    <t>H9080A0040</t>
  </si>
  <si>
    <t>MONROE JAMES</t>
  </si>
  <si>
    <t>MONROE LYNN</t>
  </si>
  <si>
    <t>211 FALLINGCREEK DRIVE</t>
  </si>
  <si>
    <t>I100000052</t>
  </si>
  <si>
    <t>STROUD JAMES M</t>
  </si>
  <si>
    <t>1495 EAST MEMORIAL HIGHWAY</t>
  </si>
  <si>
    <t>28634-9297</t>
  </si>
  <si>
    <t>L300000021</t>
  </si>
  <si>
    <t>I100000002</t>
  </si>
  <si>
    <t>I100000003</t>
  </si>
  <si>
    <t>H80000004201</t>
  </si>
  <si>
    <t>BAILEY CINDY W</t>
  </si>
  <si>
    <t>27009-0000</t>
  </si>
  <si>
    <t>H800000052</t>
  </si>
  <si>
    <t>COX MELVIN L</t>
  </si>
  <si>
    <t>592 BAILEYS CHAPEL ROAD</t>
  </si>
  <si>
    <t>H8050A0004</t>
  </si>
  <si>
    <t>FULK JOHN</t>
  </si>
  <si>
    <t>FULK DANA</t>
  </si>
  <si>
    <t>148 SHADY GROVE LANE</t>
  </si>
  <si>
    <t>H8060A0005</t>
  </si>
  <si>
    <t>HARVEL DWIGHT D</t>
  </si>
  <si>
    <t>HARVEL KAREN D</t>
  </si>
  <si>
    <t>112 ALEXANDRIA COURT</t>
  </si>
  <si>
    <t>H8060A0006</t>
  </si>
  <si>
    <t>COX JEFFREY D</t>
  </si>
  <si>
    <t>COX AIMEE F</t>
  </si>
  <si>
    <t>128 ALEXANDRIA COURT</t>
  </si>
  <si>
    <t>I10000002902</t>
  </si>
  <si>
    <t>LOOPER KEITH GRAY</t>
  </si>
  <si>
    <t>LOOPER REGENI L</t>
  </si>
  <si>
    <t>1716 GODBEY ROAD</t>
  </si>
  <si>
    <t>27028-8251</t>
  </si>
  <si>
    <t>I100000032</t>
  </si>
  <si>
    <t>RESSA PAUL K</t>
  </si>
  <si>
    <t>RESSA SHARON C</t>
  </si>
  <si>
    <t>2268 DAVIE ACADEMY ROAD</t>
  </si>
  <si>
    <t>27028-8210</t>
  </si>
  <si>
    <t>I100000033</t>
  </si>
  <si>
    <t>I10000003701</t>
  </si>
  <si>
    <t>MCCLAMROCK RANDY DALE</t>
  </si>
  <si>
    <t>2385 DAVIE ACADEMY ROAD</t>
  </si>
  <si>
    <t>I10000004203</t>
  </si>
  <si>
    <t>WEST DAVIE POWER EQUIPMENT INC</t>
  </si>
  <si>
    <t>160 NC HWY 901</t>
  </si>
  <si>
    <t>I10000004201</t>
  </si>
  <si>
    <t>STROUD RICHARD JERRY</t>
  </si>
  <si>
    <t>3880 US HIGHWAY 64 WEST</t>
  </si>
  <si>
    <t>H8060A0028</t>
  </si>
  <si>
    <t>DORSETT ADAM THOMAS</t>
  </si>
  <si>
    <t>DORSETT SUSAN LEWIS</t>
  </si>
  <si>
    <t>140 SOUTH HEMINGWAY COURT</t>
  </si>
  <si>
    <t>I100000049</t>
  </si>
  <si>
    <t>PRATHER MARIE</t>
  </si>
  <si>
    <t>276 STROUD MILL ROAD</t>
  </si>
  <si>
    <t>28634-8926</t>
  </si>
  <si>
    <t>I10000005001</t>
  </si>
  <si>
    <t>STROUD IMOGENE</t>
  </si>
  <si>
    <t>J10000003501</t>
  </si>
  <si>
    <t>CARTNER JAMES PAUL</t>
  </si>
  <si>
    <t>1362 RIDGE ROAD</t>
  </si>
  <si>
    <t>J10000003503</t>
  </si>
  <si>
    <t>I100000051</t>
  </si>
  <si>
    <t>I1110A0031</t>
  </si>
  <si>
    <t>HAGER JERRY L</t>
  </si>
  <si>
    <t>HAGER PHYLLIS S</t>
  </si>
  <si>
    <t>PO BOX 216</t>
  </si>
  <si>
    <t>I1110A0002</t>
  </si>
  <si>
    <t>I1110A0007</t>
  </si>
  <si>
    <t>STEVENSON JOSEPH BRENT</t>
  </si>
  <si>
    <t>3817 US HIGHWAY 64 WEST</t>
  </si>
  <si>
    <t>I1110A0006</t>
  </si>
  <si>
    <t>I1110A0019</t>
  </si>
  <si>
    <t>REAVIS RICHARD L</t>
  </si>
  <si>
    <t>REAVIS CHRISTA RUCKER</t>
  </si>
  <si>
    <t>212 OAKLAND AVENUE</t>
  </si>
  <si>
    <t>I1110A0017</t>
  </si>
  <si>
    <t>I1110A0018</t>
  </si>
  <si>
    <t>H8060A0050</t>
  </si>
  <si>
    <t>MCKAIN JAMES</t>
  </si>
  <si>
    <t>MCKAIN LINDA</t>
  </si>
  <si>
    <t>119 ROXBURY COURT</t>
  </si>
  <si>
    <t>H8060A0052</t>
  </si>
  <si>
    <t>CAMPBELL JOHN TIMOTHY</t>
  </si>
  <si>
    <t>CAMPBELL BETH S</t>
  </si>
  <si>
    <t>207 COVINGTON DRIVE</t>
  </si>
  <si>
    <t>F8030A0025</t>
  </si>
  <si>
    <t>SMITH DOUGLAS SCOTT</t>
  </si>
  <si>
    <t>SMITH LORI DILLARD</t>
  </si>
  <si>
    <t>234 ESSEX FARM ROAD</t>
  </si>
  <si>
    <t>H8060A0082</t>
  </si>
  <si>
    <t>BOST JONAS BLAKE</t>
  </si>
  <si>
    <t>BOST ERICA TRIPLETT</t>
  </si>
  <si>
    <t>357 COVINGTON DR</t>
  </si>
  <si>
    <t>I1110D0005</t>
  </si>
  <si>
    <t>WALTERMAN TREVOR A</t>
  </si>
  <si>
    <t>WALTERMAN GRETCHEN M</t>
  </si>
  <si>
    <t>142 OAK RIDGE LANE</t>
  </si>
  <si>
    <t>I1110D0001</t>
  </si>
  <si>
    <t>I1110D0004</t>
  </si>
  <si>
    <t>H900000011</t>
  </si>
  <si>
    <t>WILSON JAMIE H</t>
  </si>
  <si>
    <t>WILSON ANN K</t>
  </si>
  <si>
    <t>846 PEOPLES CREEK ROAD</t>
  </si>
  <si>
    <t>I1110D0008</t>
  </si>
  <si>
    <t>RIVERS JAMES T</t>
  </si>
  <si>
    <t>114 OAKRIDGE LANE</t>
  </si>
  <si>
    <t>I1110D0009</t>
  </si>
  <si>
    <t>ROBBINS ROBIN MINTON</t>
  </si>
  <si>
    <t>108 OAK RIDGE LANE</t>
  </si>
  <si>
    <t>I1110D0018</t>
  </si>
  <si>
    <t>DELATORRE YVETTE D</t>
  </si>
  <si>
    <t>149 CANTER CIRCLE</t>
  </si>
  <si>
    <t>I1110D0021</t>
  </si>
  <si>
    <t>BARNHARDT MICHAEL P</t>
  </si>
  <si>
    <t>BARNHARDT POLLY G</t>
  </si>
  <si>
    <t>187 OAKLAND AVENUE</t>
  </si>
  <si>
    <t>I1110D0019</t>
  </si>
  <si>
    <t>I1110D0020</t>
  </si>
  <si>
    <t>HARDING MARTHA MATHIS</t>
  </si>
  <si>
    <t>181 OAKLAND AVENUE</t>
  </si>
  <si>
    <t>27028-8313</t>
  </si>
  <si>
    <t>I1110D0025</t>
  </si>
  <si>
    <t>ABBOTT JOSEPH G</t>
  </si>
  <si>
    <t>ABBOTT FAITH A</t>
  </si>
  <si>
    <t>194 OAK TREE DR</t>
  </si>
  <si>
    <t>27028-8311</t>
  </si>
  <si>
    <t>I1110D0024</t>
  </si>
  <si>
    <t>I1110D0026</t>
  </si>
  <si>
    <t>DAVIDSON DARRY WAYNE</t>
  </si>
  <si>
    <t>BALLENGER MICHELLE ANNE</t>
  </si>
  <si>
    <t>162 OAK TREE DRIVE</t>
  </si>
  <si>
    <t>I1110E0002</t>
  </si>
  <si>
    <t>CUADRA RAMON</t>
  </si>
  <si>
    <t>GUEVARA SANDRA CECILIA</t>
  </si>
  <si>
    <t>2553 DAVIE ACADEMY ROAD</t>
  </si>
  <si>
    <t>I1110E0003</t>
  </si>
  <si>
    <t>MICHALSKI ROBERT F</t>
  </si>
  <si>
    <t>MICHALSKI AMY M</t>
  </si>
  <si>
    <t>P O BOX 936</t>
  </si>
  <si>
    <t>27028-0936</t>
  </si>
  <si>
    <t>H900000022</t>
  </si>
  <si>
    <t>H90000002901</t>
  </si>
  <si>
    <t>MOUNT SINAI AME ZION CHURCH</t>
  </si>
  <si>
    <t>482 PEOPLES CREEK ROAD</t>
  </si>
  <si>
    <t>I1110F0006</t>
  </si>
  <si>
    <t>LYERLY JAMIE ANNETTE</t>
  </si>
  <si>
    <t>430 OAKLAND AVENUE</t>
  </si>
  <si>
    <t>I1110F0007</t>
  </si>
  <si>
    <t>I1120A0002</t>
  </si>
  <si>
    <t>COLLIER TERRY E</t>
  </si>
  <si>
    <t>COLLIER DELORSE S</t>
  </si>
  <si>
    <t>408 OAKLAND AVENUE</t>
  </si>
  <si>
    <t>27028-8316</t>
  </si>
  <si>
    <t>I1120A0001</t>
  </si>
  <si>
    <t>I1120A0004</t>
  </si>
  <si>
    <t>HERNANDEZ RUBEN</t>
  </si>
  <si>
    <t>388 OAKLAND AVENUE</t>
  </si>
  <si>
    <t>I1120A0018</t>
  </si>
  <si>
    <t>APPLEBY JERRY DOUGLAS</t>
  </si>
  <si>
    <t>284 OAKLAND AVENUE</t>
  </si>
  <si>
    <t>I1120A0027</t>
  </si>
  <si>
    <t>REED CHARLOTTE S</t>
  </si>
  <si>
    <t>349 OAKLAND AVENUE</t>
  </si>
  <si>
    <t>H90000002902</t>
  </si>
  <si>
    <t>H90000004207</t>
  </si>
  <si>
    <t>GRENIER JOHN E JR</t>
  </si>
  <si>
    <t>GRENIER LINDA C</t>
  </si>
  <si>
    <t>PO BOX 2298</t>
  </si>
  <si>
    <t>27006-2298</t>
  </si>
  <si>
    <t>H9070A0017</t>
  </si>
  <si>
    <t>BROWN CHARLES A</t>
  </si>
  <si>
    <t>BROWN ANGELA W</t>
  </si>
  <si>
    <t>244 DUBLIN ROAD</t>
  </si>
  <si>
    <t>H9080A0005</t>
  </si>
  <si>
    <t>HENDRIX RONALD DAVID</t>
  </si>
  <si>
    <t>HENDRIX SANDRA CALLOWAY</t>
  </si>
  <si>
    <t>131 FALLINGCREEK DRIVE</t>
  </si>
  <si>
    <t>H9080A0006</t>
  </si>
  <si>
    <t>EBERHEART FRANK C</t>
  </si>
  <si>
    <t>EBERHEART LINDA K</t>
  </si>
  <si>
    <t>141 FALLINGCREEK DRIVE</t>
  </si>
  <si>
    <t>H9080A0011</t>
  </si>
  <si>
    <t>STIMSON GARY M</t>
  </si>
  <si>
    <t>STIMSON FELICIA B</t>
  </si>
  <si>
    <t>118 WEST ROLLINGMEADOW ROAD</t>
  </si>
  <si>
    <t>H9080A0012</t>
  </si>
  <si>
    <t>H9080A0015</t>
  </si>
  <si>
    <t>HORNE JASON SCOTT</t>
  </si>
  <si>
    <t>HORNE WENDY HOOTS</t>
  </si>
  <si>
    <t>191 FALLINGCREEK DRIVE</t>
  </si>
  <si>
    <t>I20000000104</t>
  </si>
  <si>
    <t>WALKER HENRY MAURICE</t>
  </si>
  <si>
    <t>WALKER SANDRA HICKS</t>
  </si>
  <si>
    <t>1518 GODBEY ROAD</t>
  </si>
  <si>
    <t>27028-8249</t>
  </si>
  <si>
    <t>I20000000401</t>
  </si>
  <si>
    <t>I20000000607</t>
  </si>
  <si>
    <t>BATHKE DAVID A</t>
  </si>
  <si>
    <t>WEBB TINA A</t>
  </si>
  <si>
    <t>282 COOKSON LANE</t>
  </si>
  <si>
    <t>27028-8267</t>
  </si>
  <si>
    <t>I20000000609</t>
  </si>
  <si>
    <t>COLVIN JAY B</t>
  </si>
  <si>
    <t>COLVIN MARILYN E</t>
  </si>
  <si>
    <t>107 DAVIE FARMS TRAIL</t>
  </si>
  <si>
    <t>I200000008</t>
  </si>
  <si>
    <t>ALLEN LOUISE G</t>
  </si>
  <si>
    <t>2804 CYRUS ROAD</t>
  </si>
  <si>
    <t>27406-0000</t>
  </si>
  <si>
    <t>H9080A0018</t>
  </si>
  <si>
    <t>LESSER TIMOTHY</t>
  </si>
  <si>
    <t>LESSER KIMBERLY</t>
  </si>
  <si>
    <t>188 FALLINGCREEK DRIVE</t>
  </si>
  <si>
    <t>H9080A0026</t>
  </si>
  <si>
    <t>TILLEY STEVEN W</t>
  </si>
  <si>
    <t>TILLEY MOLLIE J</t>
  </si>
  <si>
    <t>PO BOX 2023</t>
  </si>
  <si>
    <t>H800000021</t>
  </si>
  <si>
    <t>CHAMBERLAIN GINA HARTMAN</t>
  </si>
  <si>
    <t>P O BOX 176</t>
  </si>
  <si>
    <t>I200000035</t>
  </si>
  <si>
    <t>POTTS FRANK ESTATE</t>
  </si>
  <si>
    <t>318 AUBURNDALE STREET</t>
  </si>
  <si>
    <t>I200000030</t>
  </si>
  <si>
    <t>I100000008</t>
  </si>
  <si>
    <t>NICHOLS ANDREA GRACE</t>
  </si>
  <si>
    <t>173 COUNTY LINE ROAD</t>
  </si>
  <si>
    <t>I300000031</t>
  </si>
  <si>
    <t>MCDANIEL VELMA JEAN B</t>
  </si>
  <si>
    <t>1914 NC HIGHWAY 601 SOUTH</t>
  </si>
  <si>
    <t>L5010B0009</t>
  </si>
  <si>
    <t>I300000012</t>
  </si>
  <si>
    <t>CLEMENT CEMETARY</t>
  </si>
  <si>
    <t>I10000001802</t>
  </si>
  <si>
    <t>BROWN CHARLOTTE RAY DRUM</t>
  </si>
  <si>
    <t>232 NC HIGHWAY 901</t>
  </si>
  <si>
    <t>I100000022</t>
  </si>
  <si>
    <t>BLACKWELDER ROBERT A</t>
  </si>
  <si>
    <t>BLACKWELDER JULIA R</t>
  </si>
  <si>
    <t>124 NC HWY 901</t>
  </si>
  <si>
    <t>I10000002701</t>
  </si>
  <si>
    <t>HERNANDEZ IMELDA</t>
  </si>
  <si>
    <t>27028-8315</t>
  </si>
  <si>
    <t>I30000004501</t>
  </si>
  <si>
    <t>MCMILLAN MICHAEL C JR</t>
  </si>
  <si>
    <t>230 MCALLISTER ROAD</t>
  </si>
  <si>
    <t>I300000047</t>
  </si>
  <si>
    <t>WILLIAMS DOROTHY M</t>
  </si>
  <si>
    <t>190 DOTS LANE</t>
  </si>
  <si>
    <t>I30000004702</t>
  </si>
  <si>
    <t>DUCHEMIN REGINA W</t>
  </si>
  <si>
    <t>150 DOTS LANE</t>
  </si>
  <si>
    <t>I30000004712</t>
  </si>
  <si>
    <t>I30000004709</t>
  </si>
  <si>
    <t>I30000004705</t>
  </si>
  <si>
    <t>I30000004706</t>
  </si>
  <si>
    <t>WILLIAMS JOHN ALBERT</t>
  </si>
  <si>
    <t>164 DOT'S LANE</t>
  </si>
  <si>
    <t>I30000004703</t>
  </si>
  <si>
    <t>I30000004704</t>
  </si>
  <si>
    <t>WILLIAMS MARK E</t>
  </si>
  <si>
    <t>WILLIAMS KIM E</t>
  </si>
  <si>
    <t>340 MCALLISTER ROAD</t>
  </si>
  <si>
    <t>I30000004711</t>
  </si>
  <si>
    <t>I300000033</t>
  </si>
  <si>
    <t>I30000003402</t>
  </si>
  <si>
    <t>27028-4253</t>
  </si>
  <si>
    <t>I30000004707</t>
  </si>
  <si>
    <t>I10000004502A</t>
  </si>
  <si>
    <t>BARKLEY JOE J</t>
  </si>
  <si>
    <t>BARKLEY SHELIA</t>
  </si>
  <si>
    <t>312 STROUD MILL ROAD</t>
  </si>
  <si>
    <t>I1110A0023</t>
  </si>
  <si>
    <t>LAIL DONALD E</t>
  </si>
  <si>
    <t>LAIL VICKIE JO</t>
  </si>
  <si>
    <t>178 OAKLAND AVENUE</t>
  </si>
  <si>
    <t>I1110A0025</t>
  </si>
  <si>
    <t>THURSTON ASA S</t>
  </si>
  <si>
    <t>164 OAKLAND AVENUE</t>
  </si>
  <si>
    <t>I1110B0006</t>
  </si>
  <si>
    <t>SMITH DANIEL P</t>
  </si>
  <si>
    <t>SMITH JOYCE H</t>
  </si>
  <si>
    <t>3949 US HIGHWAY 64 WEST</t>
  </si>
  <si>
    <t>27028-8457</t>
  </si>
  <si>
    <t>I30000005802</t>
  </si>
  <si>
    <t>HARPE LARRY PAUL</t>
  </si>
  <si>
    <t>HARPE KATHY S</t>
  </si>
  <si>
    <t>447 GREENHILL ROAD</t>
  </si>
  <si>
    <t>27028-4203</t>
  </si>
  <si>
    <t>I300000055</t>
  </si>
  <si>
    <t>HARPE MARY JEANETTE</t>
  </si>
  <si>
    <t>397 GREENHILL ROAD</t>
  </si>
  <si>
    <t>27028-4202</t>
  </si>
  <si>
    <t>I30000005502</t>
  </si>
  <si>
    <t>HARPE PAUL RUSTIN</t>
  </si>
  <si>
    <t>381 GREEN HILL ROAD</t>
  </si>
  <si>
    <t>I300000057</t>
  </si>
  <si>
    <t>BOGER KENNETH D</t>
  </si>
  <si>
    <t>BOGER SHARON C</t>
  </si>
  <si>
    <t>136 WANDERING LANE</t>
  </si>
  <si>
    <t>I30000005601</t>
  </si>
  <si>
    <t>I4050B0006</t>
  </si>
  <si>
    <t>I300000079</t>
  </si>
  <si>
    <t>EARNHARDT TODD STEVEN</t>
  </si>
  <si>
    <t>EARNHARDT HOLLY HARPE</t>
  </si>
  <si>
    <t>337 GREEN HILL ROAD</t>
  </si>
  <si>
    <t>I300000062</t>
  </si>
  <si>
    <t>OLD NORTH STATE LAND CO INC</t>
  </si>
  <si>
    <t>1662 JERICHO CHURCH ROAD</t>
  </si>
  <si>
    <t>I1110B0011</t>
  </si>
  <si>
    <t>BAYARD WAYLON</t>
  </si>
  <si>
    <t>BAYARD KIMBERLY JANE</t>
  </si>
  <si>
    <t>270 OAKLAND AVENUE</t>
  </si>
  <si>
    <t>I30000007002</t>
  </si>
  <si>
    <t>SCHWEIT DANIEL</t>
  </si>
  <si>
    <t>SCHWEIT KIMBERLY D</t>
  </si>
  <si>
    <t>118 DARTMOUTH LANE</t>
  </si>
  <si>
    <t>I30000006902</t>
  </si>
  <si>
    <t>I30000006901</t>
  </si>
  <si>
    <t>I40000000301</t>
  </si>
  <si>
    <t>BREWER FREDDIE A</t>
  </si>
  <si>
    <t>BREWER PATRICIA D</t>
  </si>
  <si>
    <t>143 VALE ROAD</t>
  </si>
  <si>
    <t>27028-4408</t>
  </si>
  <si>
    <t>I400000007</t>
  </si>
  <si>
    <t>I400000092</t>
  </si>
  <si>
    <t>BREWER BELINDA ELLEN</t>
  </si>
  <si>
    <t>I1110D0007</t>
  </si>
  <si>
    <t>HICKS LARRY D</t>
  </si>
  <si>
    <t>HICKS TERESA A</t>
  </si>
  <si>
    <t>122 OAKRIDGE LANE</t>
  </si>
  <si>
    <t>27028-5663</t>
  </si>
  <si>
    <t>I400000006</t>
  </si>
  <si>
    <t>MILLO MIHAL S</t>
  </si>
  <si>
    <t>MILLO LULJETA</t>
  </si>
  <si>
    <t>129 VALE ROAD</t>
  </si>
  <si>
    <t>I400000010</t>
  </si>
  <si>
    <t>PATRICK JOHN J</t>
  </si>
  <si>
    <t>PATRICK JUANITA G</t>
  </si>
  <si>
    <t>154 VALE ROAD</t>
  </si>
  <si>
    <t>I400000014</t>
  </si>
  <si>
    <t>BREWER BOBBY LEE</t>
  </si>
  <si>
    <t>BREWER VICKIE DRAUGHN</t>
  </si>
  <si>
    <t>129 BROOK DRIVE</t>
  </si>
  <si>
    <t>I40000001002</t>
  </si>
  <si>
    <t>I400000011</t>
  </si>
  <si>
    <t>I400000017</t>
  </si>
  <si>
    <t>SUTTON FREDERICK CLARK</t>
  </si>
  <si>
    <t>JOYNER BARBARA LEONARD</t>
  </si>
  <si>
    <t>433 OLD MILLER ROAD</t>
  </si>
  <si>
    <t>I400000022</t>
  </si>
  <si>
    <t>PRIES JEAN CAROL</t>
  </si>
  <si>
    <t>219 BROOK DRIVE</t>
  </si>
  <si>
    <t>I400000024</t>
  </si>
  <si>
    <t>SHERRILL LARRY ELWOOD</t>
  </si>
  <si>
    <t>BAILEY JUDY</t>
  </si>
  <si>
    <t>216 BROOK DRIVE</t>
  </si>
  <si>
    <t>I400000028</t>
  </si>
  <si>
    <t>DULL CHARLIE ROGER</t>
  </si>
  <si>
    <t>DULL JUDY</t>
  </si>
  <si>
    <t>172 BROOK DRIVE</t>
  </si>
  <si>
    <t>27028-4115</t>
  </si>
  <si>
    <t>I1110F0002</t>
  </si>
  <si>
    <t>CLARK DANNY RAY</t>
  </si>
  <si>
    <t>462 OAKLAND AVENUE</t>
  </si>
  <si>
    <t>I40000004304</t>
  </si>
  <si>
    <t>LAKEY DOUGLAS HIRAM</t>
  </si>
  <si>
    <t>LAKEY CHARLES MATTHEWS</t>
  </si>
  <si>
    <t>166 HORSESHOE TRAIL</t>
  </si>
  <si>
    <t>27028-8300</t>
  </si>
  <si>
    <t>I400000049</t>
  </si>
  <si>
    <t>GALE HEIDI ELIZABETH</t>
  </si>
  <si>
    <t>482 POWELL ROAD</t>
  </si>
  <si>
    <t>27028-8322</t>
  </si>
  <si>
    <t>I400000051</t>
  </si>
  <si>
    <t>GUERRERO NOE SOLIS</t>
  </si>
  <si>
    <t>DE GUERRERO DORA ALICIA ARDON</t>
  </si>
  <si>
    <t>1066 US HWY 64 WEST</t>
  </si>
  <si>
    <t>I1110F0004</t>
  </si>
  <si>
    <t>HOWELL TODD D</t>
  </si>
  <si>
    <t>450 OAKLAND AVENUE</t>
  </si>
  <si>
    <t>I40000006003</t>
  </si>
  <si>
    <t>WOOTEN GREGG SCOTT</t>
  </si>
  <si>
    <t>WOOTEN MARTHA B</t>
  </si>
  <si>
    <t>146 ROBERSON DRIVE</t>
  </si>
  <si>
    <t>27028-8354</t>
  </si>
  <si>
    <t>I40000006402</t>
  </si>
  <si>
    <t>BOXWOOD ENTERPRISES LLC</t>
  </si>
  <si>
    <t>127 MARKETPLACE DRIVE</t>
  </si>
  <si>
    <t>27028-2084</t>
  </si>
  <si>
    <t>I40000006412</t>
  </si>
  <si>
    <t>I40000006409</t>
  </si>
  <si>
    <t>WELBORN PROPERTY HOLDINGS LLC</t>
  </si>
  <si>
    <t>844 VALLEY ROAD</t>
  </si>
  <si>
    <t>I40000006411</t>
  </si>
  <si>
    <t>I400000068</t>
  </si>
  <si>
    <t>REDMOND DEWEY CARTER ETAL</t>
  </si>
  <si>
    <t>REDMOND WILLA JOHNSON</t>
  </si>
  <si>
    <t>154 IVEY LANE</t>
  </si>
  <si>
    <t>I400000067</t>
  </si>
  <si>
    <t>I4110A0014</t>
  </si>
  <si>
    <t>I1120B0005</t>
  </si>
  <si>
    <t>SEGOVIA JOSE GERMAN</t>
  </si>
  <si>
    <t>CANALES OLGA L HERNANDEZ</t>
  </si>
  <si>
    <t>114 AUTUMN COURT</t>
  </si>
  <si>
    <t>J70000004001</t>
  </si>
  <si>
    <t>JONES ROBERT NELSON</t>
  </si>
  <si>
    <t>JONES JANE S</t>
  </si>
  <si>
    <t>477 JOE ROAD</t>
  </si>
  <si>
    <t>27028-7252</t>
  </si>
  <si>
    <t>K700000002</t>
  </si>
  <si>
    <t>J400000031</t>
  </si>
  <si>
    <t>J60000005415</t>
  </si>
  <si>
    <t>K700000004</t>
  </si>
  <si>
    <t>K700000053</t>
  </si>
  <si>
    <t>I40000007702</t>
  </si>
  <si>
    <t>HILLER KEITH W</t>
  </si>
  <si>
    <t>HILLER CAROLE C</t>
  </si>
  <si>
    <t>132 GOLDEN BEAR LANE</t>
  </si>
  <si>
    <t>I400000078</t>
  </si>
  <si>
    <t>JOPPA CEMETARY INC</t>
  </si>
  <si>
    <t>% HUGH LAREW</t>
  </si>
  <si>
    <t>PO BOX 663</t>
  </si>
  <si>
    <t>I400000087</t>
  </si>
  <si>
    <t>PO BOX 398</t>
  </si>
  <si>
    <t>WELCOME</t>
  </si>
  <si>
    <t>27374-0000</t>
  </si>
  <si>
    <t>I40000008902</t>
  </si>
  <si>
    <t>RIDENHOUR STEVEN F</t>
  </si>
  <si>
    <t>RIDENHOUR SHERRIE S</t>
  </si>
  <si>
    <t>3213 NC HIGHWAY 801 SOUTH</t>
  </si>
  <si>
    <t>I80000004601</t>
  </si>
  <si>
    <t>I80000004603</t>
  </si>
  <si>
    <t>J6050F0005</t>
  </si>
  <si>
    <t>LEDFORD JAMES LARRY</t>
  </si>
  <si>
    <t>LEDFORD JENNY K</t>
  </si>
  <si>
    <t>149 HAWTHORNE ROAD</t>
  </si>
  <si>
    <t>27028-7221</t>
  </si>
  <si>
    <t>I40000008903</t>
  </si>
  <si>
    <t>J6050F0006</t>
  </si>
  <si>
    <t>I1120B0011</t>
  </si>
  <si>
    <t>HALL PHILLIP M</t>
  </si>
  <si>
    <t>HALL CRYSTAL L</t>
  </si>
  <si>
    <t>111 AUTUMN COURT</t>
  </si>
  <si>
    <t>I4010A0043</t>
  </si>
  <si>
    <t>O'NEAL HAROLD DEAN</t>
  </si>
  <si>
    <t>O'NEAL CANDY KEYS</t>
  </si>
  <si>
    <t>108 SOUTH WENTWORTH DRIVE</t>
  </si>
  <si>
    <t>I1120B0012</t>
  </si>
  <si>
    <t>DOBBINS JESSE FRANKLIN JR</t>
  </si>
  <si>
    <t>110 OAKLEAF COURT</t>
  </si>
  <si>
    <t>27028-5438</t>
  </si>
  <si>
    <t>I1120B0013</t>
  </si>
  <si>
    <t>MISCHLER JOSEPH L</t>
  </si>
  <si>
    <t>MISCHLER JENNIFER C</t>
  </si>
  <si>
    <t>122 OAK LEAF COURT</t>
  </si>
  <si>
    <t>I1120B0014</t>
  </si>
  <si>
    <t>CALIX VICTOR MANUEL</t>
  </si>
  <si>
    <t>CALIX ROSA ARMITA</t>
  </si>
  <si>
    <t>124 OAK LEAF COURT</t>
  </si>
  <si>
    <t>I1120B0019</t>
  </si>
  <si>
    <t>SAFRIT CARROLL S</t>
  </si>
  <si>
    <t>SAFRIT BARBARA B</t>
  </si>
  <si>
    <t>109 OAK LEAF COURT</t>
  </si>
  <si>
    <t>I5090E0017</t>
  </si>
  <si>
    <t>FIRST BAPTIST CH MOCKSVILLE</t>
  </si>
  <si>
    <t>412 NORTH MAIN STREET</t>
  </si>
  <si>
    <t>27028-2116</t>
  </si>
  <si>
    <t>I4050A0013</t>
  </si>
  <si>
    <t>HEYNE PHIL J</t>
  </si>
  <si>
    <t>HEYNE TERESA A</t>
  </si>
  <si>
    <t>236 WANDERING LANE</t>
  </si>
  <si>
    <t>I4050A0014</t>
  </si>
  <si>
    <t>CALLAWAY VICTOR W H</t>
  </si>
  <si>
    <t>CALLAWAY SHAWNA G</t>
  </si>
  <si>
    <t>252 WANDERING LANE</t>
  </si>
  <si>
    <t>I4050A0018</t>
  </si>
  <si>
    <t>IACOPI LUCIO</t>
  </si>
  <si>
    <t>IACOPI KAREN</t>
  </si>
  <si>
    <t>149 WANDERING LANE</t>
  </si>
  <si>
    <t>I200000003</t>
  </si>
  <si>
    <t>WHISENHUNT JAMES RAY</t>
  </si>
  <si>
    <t>1553 GODBEY ROAD</t>
  </si>
  <si>
    <t>I200000004</t>
  </si>
  <si>
    <t>I200000019</t>
  </si>
  <si>
    <t>GEORGOULIAS MIKE C</t>
  </si>
  <si>
    <t>620 BRENT STREET</t>
  </si>
  <si>
    <t>I4050B0011</t>
  </si>
  <si>
    <t>TAGNANI PATRICK ANTHONY</t>
  </si>
  <si>
    <t>160 WOODPARK DRIVE</t>
  </si>
  <si>
    <t>I4050B0012</t>
  </si>
  <si>
    <t>CRENSHAW CHARLES ROBERT JR</t>
  </si>
  <si>
    <t>CRENSHAW PATRICIA DAVIS</t>
  </si>
  <si>
    <t>421 PARK AVENUE</t>
  </si>
  <si>
    <t>I4050B0013</t>
  </si>
  <si>
    <t>WILLIAMS BRIAN F</t>
  </si>
  <si>
    <t>WILLIAMS SHANNON C</t>
  </si>
  <si>
    <t>449 PARK AVENUE</t>
  </si>
  <si>
    <t>I4050C0007</t>
  </si>
  <si>
    <t>COLLETTE JUDY L</t>
  </si>
  <si>
    <t>391 PARK AVENUE</t>
  </si>
  <si>
    <t>I4060A0002</t>
  </si>
  <si>
    <t>COLEY ANN OWINGS</t>
  </si>
  <si>
    <t>728 WILKESBORO STREET</t>
  </si>
  <si>
    <t>I4060A0003</t>
  </si>
  <si>
    <t>COLEY ANN O</t>
  </si>
  <si>
    <t>OWINGS LINDA J</t>
  </si>
  <si>
    <t>I4110A0004</t>
  </si>
  <si>
    <t>I4110A0005</t>
  </si>
  <si>
    <t>I4120D0021</t>
  </si>
  <si>
    <t>BEST DIANA</t>
  </si>
  <si>
    <t>BEST NOAH EUGENE</t>
  </si>
  <si>
    <t>361 NORTH MAIN STREET</t>
  </si>
  <si>
    <t>27028-2115</t>
  </si>
  <si>
    <t>I4120D0019</t>
  </si>
  <si>
    <t>I4120D0020</t>
  </si>
  <si>
    <t>I20000002801</t>
  </si>
  <si>
    <t>HODGES ROBERT NEWTON</t>
  </si>
  <si>
    <t>HODGES LYNN SAWYER</t>
  </si>
  <si>
    <t>200 HODGES DRIVE</t>
  </si>
  <si>
    <t>27028-8260</t>
  </si>
  <si>
    <t>I4060A0014</t>
  </si>
  <si>
    <t>HOWARD RACHEL L</t>
  </si>
  <si>
    <t>175 CIRCLE DRIVE</t>
  </si>
  <si>
    <t>I4060A0018</t>
  </si>
  <si>
    <t>IRELAND M RENA HARGROVE</t>
  </si>
  <si>
    <t>800 YADKINVILLE ROAD</t>
  </si>
  <si>
    <t>I4060A0021</t>
  </si>
  <si>
    <t>ROMAN CATHOLIC DIOCESE OF CHAR</t>
  </si>
  <si>
    <t>1123 SOUTH CHURCH STREET</t>
  </si>
  <si>
    <t>28203-4003</t>
  </si>
  <si>
    <t>I4060A0022</t>
  </si>
  <si>
    <t>SAINT FRANCIS CATHOLIC MISSION</t>
  </si>
  <si>
    <t>862 YADKINVILLE ROAD</t>
  </si>
  <si>
    <t>PO BOX 642</t>
  </si>
  <si>
    <t>I20000002804</t>
  </si>
  <si>
    <t>I10000000403</t>
  </si>
  <si>
    <t>STROUD TERRY W</t>
  </si>
  <si>
    <t>370 HIGHWAY 901</t>
  </si>
  <si>
    <t>I300000032</t>
  </si>
  <si>
    <t>MATTHEWS JOHNNY R</t>
  </si>
  <si>
    <t>3705 SMITHTOWN ROAD</t>
  </si>
  <si>
    <t>I4150A000102</t>
  </si>
  <si>
    <t>PHC OF MOCKSVILLE LLC</t>
  </si>
  <si>
    <t>I4110A0027</t>
  </si>
  <si>
    <t>BURNETTE LARRY WAYNE</t>
  </si>
  <si>
    <t>BURNETTE MINNIE LOU</t>
  </si>
  <si>
    <t>150 MARKLIN AVENUE</t>
  </si>
  <si>
    <t>I4110A0031</t>
  </si>
  <si>
    <t>IJAMES MICHAEL T</t>
  </si>
  <si>
    <t>440 HOSPITAL STREET EXT</t>
  </si>
  <si>
    <t>I4110B0001</t>
  </si>
  <si>
    <t>AUTOZONE INC # 2483</t>
  </si>
  <si>
    <t>PO BOX 2198 DEPT 8088</t>
  </si>
  <si>
    <t>123 SOUTH FRONT STREET</t>
  </si>
  <si>
    <t>MEMPHIS</t>
  </si>
  <si>
    <t>TN</t>
  </si>
  <si>
    <t>38101-2198</t>
  </si>
  <si>
    <t>I300000041</t>
  </si>
  <si>
    <t>BOWEN JAMES L</t>
  </si>
  <si>
    <t>BOWEN SUZANNE M</t>
  </si>
  <si>
    <t>256 GREENHILL ROAD</t>
  </si>
  <si>
    <t>I300000040</t>
  </si>
  <si>
    <t>I30000005501</t>
  </si>
  <si>
    <t>I300000053</t>
  </si>
  <si>
    <t>I5090E0008</t>
  </si>
  <si>
    <t>I30000005603</t>
  </si>
  <si>
    <t>I30000007003</t>
  </si>
  <si>
    <t>I400000093</t>
  </si>
  <si>
    <t>BREWER BRENT ARNOLD</t>
  </si>
  <si>
    <t>1282 HWY 64 W</t>
  </si>
  <si>
    <t>I40000003401</t>
  </si>
  <si>
    <t>CALL JAMES RANDALL</t>
  </si>
  <si>
    <t>CALL JUDY S</t>
  </si>
  <si>
    <t>229 BROOK DRIVE</t>
  </si>
  <si>
    <t>I5090D0010</t>
  </si>
  <si>
    <t>MOCKSVILLE MASONIC LODGE # 134</t>
  </si>
  <si>
    <t>% EUGENE SMITH</t>
  </si>
  <si>
    <t>PO BOX 273</t>
  </si>
  <si>
    <t>I5090D0007</t>
  </si>
  <si>
    <t>I5090D0008</t>
  </si>
  <si>
    <t>I5090D000901</t>
  </si>
  <si>
    <t>I4110C0028</t>
  </si>
  <si>
    <t>REYNOLDS JOSEPH JONES</t>
  </si>
  <si>
    <t>REYNOLDS  JERRI MICHELLE</t>
  </si>
  <si>
    <t>160 RIDGEVIEW DRIVE</t>
  </si>
  <si>
    <t>I4120B0029</t>
  </si>
  <si>
    <t>I40000006002</t>
  </si>
  <si>
    <t>I400000074</t>
  </si>
  <si>
    <t>BUNCE INVESTMENTS</t>
  </si>
  <si>
    <t>2100 SOUTH MAIN STREET</t>
  </si>
  <si>
    <t>I4010A0001</t>
  </si>
  <si>
    <t>MYERS NANCY B</t>
  </si>
  <si>
    <t>201 STAFFORDSHIRE ROAD</t>
  </si>
  <si>
    <t>I4120A0022</t>
  </si>
  <si>
    <t>NAYLOR NAN BOWDEN</t>
  </si>
  <si>
    <t>142 MERONEY STREET</t>
  </si>
  <si>
    <t>I4110B0017</t>
  </si>
  <si>
    <t>I4120A0023</t>
  </si>
  <si>
    <t>I4130A0004</t>
  </si>
  <si>
    <t>I4010A0084</t>
  </si>
  <si>
    <t>GANTZER KATHLEEN M</t>
  </si>
  <si>
    <t>102 NORTH WENTWORTH DRIVE</t>
  </si>
  <si>
    <t>J5010C000501</t>
  </si>
  <si>
    <t>MARKLIN WILLIAM J JR</t>
  </si>
  <si>
    <t>NAYLOR RALPH D</t>
  </si>
  <si>
    <t>J5010C0004</t>
  </si>
  <si>
    <t>J5010C0005</t>
  </si>
  <si>
    <t>G700000035</t>
  </si>
  <si>
    <t>CRANFILL LARRY WAYNE</t>
  </si>
  <si>
    <t>I4120B0026</t>
  </si>
  <si>
    <t>STINE HUBERT F</t>
  </si>
  <si>
    <t>STINE HAZEL PATRICIA W</t>
  </si>
  <si>
    <t>133 SOFLEY AVENUE</t>
  </si>
  <si>
    <t>PO BOX 101</t>
  </si>
  <si>
    <t>I4120C0001</t>
  </si>
  <si>
    <t>WESLEYAN METHODIST CHURCH</t>
  </si>
  <si>
    <t>826 GARNER STREET</t>
  </si>
  <si>
    <t>I4120C0003</t>
  </si>
  <si>
    <t>PHILLIPS JEREMIAH CHRISTOPHER</t>
  </si>
  <si>
    <t>812 GARNER STREET</t>
  </si>
  <si>
    <t>27028-2006</t>
  </si>
  <si>
    <t>I70000001803</t>
  </si>
  <si>
    <t>ARNOLD JAMES D</t>
  </si>
  <si>
    <t>ARNOLD MARILYN V</t>
  </si>
  <si>
    <t>449 NO CREEK ROAD</t>
  </si>
  <si>
    <t>27028-7343</t>
  </si>
  <si>
    <t>I70000001805</t>
  </si>
  <si>
    <t>I4120C0010</t>
  </si>
  <si>
    <t>BURTON JANICE K</t>
  </si>
  <si>
    <t>610 GARNER STREET</t>
  </si>
  <si>
    <t>27028-2149</t>
  </si>
  <si>
    <t>I4050A0002</t>
  </si>
  <si>
    <t>WILLIAMS NEIL D</t>
  </si>
  <si>
    <t>WILLIAMS VICKI L</t>
  </si>
  <si>
    <t>390 WEST CHURCH STREET</t>
  </si>
  <si>
    <t>27028-2140</t>
  </si>
  <si>
    <t>I4120C0020</t>
  </si>
  <si>
    <t>DYSON ANN CARTER</t>
  </si>
  <si>
    <t>DYSON DENNIS CLINE</t>
  </si>
  <si>
    <t>205 FRANK SHORT ROAD</t>
  </si>
  <si>
    <t>K60000000508</t>
  </si>
  <si>
    <t>K600000021</t>
  </si>
  <si>
    <t>I4120C0022</t>
  </si>
  <si>
    <t>HANES JAMES CHRISTOPHER</t>
  </si>
  <si>
    <t>HANES ALICE SMITH</t>
  </si>
  <si>
    <t>118 WEST CHURCH STREET</t>
  </si>
  <si>
    <t>I4120C0023</t>
  </si>
  <si>
    <t>LEONARD WADE H JR</t>
  </si>
  <si>
    <t>LEONARD LINDA P</t>
  </si>
  <si>
    <t>34 TOWN SQUARE</t>
  </si>
  <si>
    <t>K700000036</t>
  </si>
  <si>
    <t>I5160B0003</t>
  </si>
  <si>
    <t>I4130D0013</t>
  </si>
  <si>
    <t>I4120C0026</t>
  </si>
  <si>
    <t>CHAPPELL KAREN ANN</t>
  </si>
  <si>
    <t>166 WEST CHURCH STREET</t>
  </si>
  <si>
    <t>I4120C002601</t>
  </si>
  <si>
    <t>BARNETTE LINDA H</t>
  </si>
  <si>
    <t>170 WEST CHURCH STREET</t>
  </si>
  <si>
    <t>27028-2106</t>
  </si>
  <si>
    <t>I4120C0030</t>
  </si>
  <si>
    <t>HARRIS LEMUEL REX</t>
  </si>
  <si>
    <t>234 WEST CHURCH STREET</t>
  </si>
  <si>
    <t>I4120C0035</t>
  </si>
  <si>
    <t>RANDALL BENNETT M</t>
  </si>
  <si>
    <t>RANDALL SUSAN W</t>
  </si>
  <si>
    <t>302 WEST CHURCH STREET</t>
  </si>
  <si>
    <t>I4050A0005</t>
  </si>
  <si>
    <t>CARLSON CHRISTOPHER N</t>
  </si>
  <si>
    <t>CARLSON CAROL A</t>
  </si>
  <si>
    <t>273 WANDERING LANE</t>
  </si>
  <si>
    <t>I4050A0006</t>
  </si>
  <si>
    <t>FERRELL MICHAEL G</t>
  </si>
  <si>
    <t>FERRELL KAREN P</t>
  </si>
  <si>
    <t>257 WANDERING LANE</t>
  </si>
  <si>
    <t>I4050B0005</t>
  </si>
  <si>
    <t>BOWDEN ASHLEY ELIZABETH</t>
  </si>
  <si>
    <t>144 WANDERING LANE</t>
  </si>
  <si>
    <t>I4050B0007</t>
  </si>
  <si>
    <t>CRAVEN C C</t>
  </si>
  <si>
    <t>CRAVEN MELZA</t>
  </si>
  <si>
    <t>112 WANDERING LANE</t>
  </si>
  <si>
    <t>I4120E0005</t>
  </si>
  <si>
    <t>HECHT L MARK</t>
  </si>
  <si>
    <t>HECHT SUZANNE N</t>
  </si>
  <si>
    <t>323 PARK AVENUE</t>
  </si>
  <si>
    <t>I4130A000101</t>
  </si>
  <si>
    <t>CHAFFIN THOMAS A</t>
  </si>
  <si>
    <t>CHAFFIN DEBORAH L</t>
  </si>
  <si>
    <t>171 FEEZOR ROAD</t>
  </si>
  <si>
    <t>K400000009</t>
  </si>
  <si>
    <t>K400000008</t>
  </si>
  <si>
    <t>I4130A000205</t>
  </si>
  <si>
    <t>RICHARDSON ROSE</t>
  </si>
  <si>
    <t>AKERS DONALD RAY</t>
  </si>
  <si>
    <t>264 GWYN STREET</t>
  </si>
  <si>
    <t>I4130A001403</t>
  </si>
  <si>
    <t>MCCLAMROCK CHRISTOPHER M</t>
  </si>
  <si>
    <t>MCCLAMROCK MIRIAM B</t>
  </si>
  <si>
    <t>112 RAYMOND STREET</t>
  </si>
  <si>
    <t>I4050B0009</t>
  </si>
  <si>
    <t>ALLEN NELLIE SNIDER</t>
  </si>
  <si>
    <t>PO BOX 1</t>
  </si>
  <si>
    <t>27028-0001</t>
  </si>
  <si>
    <t>I4130C000901</t>
  </si>
  <si>
    <t>KELLY GAIL WALKER</t>
  </si>
  <si>
    <t>I4130C000902</t>
  </si>
  <si>
    <t>FIRST UNITED METHODIST CHURCH</t>
  </si>
  <si>
    <t>310 NORTH MAIN STREET</t>
  </si>
  <si>
    <t>I4130C0010</t>
  </si>
  <si>
    <t>I4130C0012</t>
  </si>
  <si>
    <t>I5080A0008</t>
  </si>
  <si>
    <t>I4130C0014</t>
  </si>
  <si>
    <t>CREWS DAVID O</t>
  </si>
  <si>
    <t>CREWS CELIA G</t>
  </si>
  <si>
    <t>110 WEST CHURCH STREET</t>
  </si>
  <si>
    <t>I5070A0004</t>
  </si>
  <si>
    <t>HUNCKLER ROGER V</t>
  </si>
  <si>
    <t>HUNCKLER CLAIRE A</t>
  </si>
  <si>
    <t>162 GREENWOOD AVENUE</t>
  </si>
  <si>
    <t>I20000003602</t>
  </si>
  <si>
    <t>CUTHRELL ROBERT CHEVIS</t>
  </si>
  <si>
    <t>CUTHRELL LIANNA M</t>
  </si>
  <si>
    <t>647 GODBEY ROAD</t>
  </si>
  <si>
    <t>I4130E0005</t>
  </si>
  <si>
    <t>ACORN SQUARE LLC</t>
  </si>
  <si>
    <t>10 COURT SQUARE</t>
  </si>
  <si>
    <t>I4130E0011</t>
  </si>
  <si>
    <t>LINK JUDY TAYLOR</t>
  </si>
  <si>
    <t>7160 OLD MOCKSVILLE ROAD</t>
  </si>
  <si>
    <t>28144-0000</t>
  </si>
  <si>
    <t>I4130E0013</t>
  </si>
  <si>
    <t>MEBANE CHARITABLE FOUNDATION</t>
  </si>
  <si>
    <t>232 SOUTH MAIN STREET</t>
  </si>
  <si>
    <t>I4130F0013  A</t>
  </si>
  <si>
    <t>FIRST PRESBYTERIAN CHURCH</t>
  </si>
  <si>
    <t>261 SOUTH MAIN STREET</t>
  </si>
  <si>
    <t>J4040C0013</t>
  </si>
  <si>
    <t>J4040C0014</t>
  </si>
  <si>
    <t>I4130F001301</t>
  </si>
  <si>
    <t>N500000008</t>
  </si>
  <si>
    <t>JAMIS MARY</t>
  </si>
  <si>
    <t>203 ADMIL WAY</t>
  </si>
  <si>
    <t>I4130G0011</t>
  </si>
  <si>
    <t>FOSTER JAMES ALLEN</t>
  </si>
  <si>
    <t>500 DANIEL ROAD</t>
  </si>
  <si>
    <t>I4110B0011</t>
  </si>
  <si>
    <t>DAYTON MARSHA L</t>
  </si>
  <si>
    <t>185 HORSESHOE TRAIL</t>
  </si>
  <si>
    <t>I4130H0003</t>
  </si>
  <si>
    <t>WHITAKER STEPHANIE L</t>
  </si>
  <si>
    <t>439 SANFORD AVENUE</t>
  </si>
  <si>
    <t>I4130H0004</t>
  </si>
  <si>
    <t>I4130H0006</t>
  </si>
  <si>
    <t>REEP PHYLLIS L</t>
  </si>
  <si>
    <t>419 SANFORD AVENUE</t>
  </si>
  <si>
    <t>I4130H0007</t>
  </si>
  <si>
    <t>I4130H0008</t>
  </si>
  <si>
    <t>I4130H0017</t>
  </si>
  <si>
    <t>DAVIE COUNTY CHAMBER OF COMM</t>
  </si>
  <si>
    <t>135 SOUTH SALISBURY STREET</t>
  </si>
  <si>
    <t>I4130H0028</t>
  </si>
  <si>
    <t>COWDEN DAVID ALAN</t>
  </si>
  <si>
    <t>170 AVON STREET</t>
  </si>
  <si>
    <t>J4040C0008</t>
  </si>
  <si>
    <t>HOWARD JULIA C</t>
  </si>
  <si>
    <t>203 MAGNOLIA AVENUE</t>
  </si>
  <si>
    <t>J4040C0002</t>
  </si>
  <si>
    <t>I500000019</t>
  </si>
  <si>
    <t>J4030C0007</t>
  </si>
  <si>
    <t>I4130H0033</t>
  </si>
  <si>
    <t>I400000043</t>
  </si>
  <si>
    <t>I4110B0015</t>
  </si>
  <si>
    <t>SICKLES RICHARD W SR</t>
  </si>
  <si>
    <t>PO BOX 685</t>
  </si>
  <si>
    <t>I4140B0019</t>
  </si>
  <si>
    <t>MORALES DORIS J</t>
  </si>
  <si>
    <t>MEJIA LIDIA V</t>
  </si>
  <si>
    <t>356 TOT STREET</t>
  </si>
  <si>
    <t>I4140B0021</t>
  </si>
  <si>
    <t>ONWURAH ONYII O</t>
  </si>
  <si>
    <t>388 TOT STREET</t>
  </si>
  <si>
    <t>I4140B0024</t>
  </si>
  <si>
    <t>RENEGAR ANTHONY KENT</t>
  </si>
  <si>
    <t>410 TOT STREET</t>
  </si>
  <si>
    <t>27028-2340</t>
  </si>
  <si>
    <t>I4140B0025</t>
  </si>
  <si>
    <t>FORD CHASSIDY</t>
  </si>
  <si>
    <t>420 TOT STREET</t>
  </si>
  <si>
    <t>I4110C0005</t>
  </si>
  <si>
    <t>BOWMAN WOODROW DANIEL</t>
  </si>
  <si>
    <t>BOWMAN DINA</t>
  </si>
  <si>
    <t>380 GWYN STREET</t>
  </si>
  <si>
    <t>27028-2316</t>
  </si>
  <si>
    <t>I4110C0006</t>
  </si>
  <si>
    <t>FALLS PHILLIP D</t>
  </si>
  <si>
    <t>390 GWYN STREET</t>
  </si>
  <si>
    <t>I500000014</t>
  </si>
  <si>
    <t>LANGDON BRUCE</t>
  </si>
  <si>
    <t>LANGDON TAMI GARWOOD</t>
  </si>
  <si>
    <t>365 MILLING ROAD</t>
  </si>
  <si>
    <t>I500000016</t>
  </si>
  <si>
    <t>SEVENTH DAY ADVENTISTS INC</t>
  </si>
  <si>
    <t>% F W SLATE</t>
  </si>
  <si>
    <t>1100 NORTH MAIN STREET</t>
  </si>
  <si>
    <t>I500000017</t>
  </si>
  <si>
    <t>LATHAM IRIS M</t>
  </si>
  <si>
    <t>107 MAYFAIR ROAD</t>
  </si>
  <si>
    <t>J4060B0010</t>
  </si>
  <si>
    <t>PRILLAMAN JOYCE J</t>
  </si>
  <si>
    <t>298 HOLLY LANE</t>
  </si>
  <si>
    <t>27028-2907</t>
  </si>
  <si>
    <t>I4110C0015</t>
  </si>
  <si>
    <t>LAMBERT SAMUEL</t>
  </si>
  <si>
    <t>LAMBERT BONNIE</t>
  </si>
  <si>
    <t>399 RAYMOND ST</t>
  </si>
  <si>
    <t>I4110C0021</t>
  </si>
  <si>
    <t>NICOLLS THOMAS L</t>
  </si>
  <si>
    <t>WEIBEL CONNIE NICOLLS</t>
  </si>
  <si>
    <t>478 AVON STREET</t>
  </si>
  <si>
    <t>I4110C0027</t>
  </si>
  <si>
    <t>I4120A0013</t>
  </si>
  <si>
    <t>LYNCH DENNIS J</t>
  </si>
  <si>
    <t>LYNCH MELISSA R</t>
  </si>
  <si>
    <t>300 WILKESBORO STREET</t>
  </si>
  <si>
    <t>I50000004801A</t>
  </si>
  <si>
    <t>BOST GUY R</t>
  </si>
  <si>
    <t>BOST SANDRA W</t>
  </si>
  <si>
    <t>139 PETE FOSTER ROAD</t>
  </si>
  <si>
    <t>I50000005101</t>
  </si>
  <si>
    <t>ANGUS RONALD FRANKLIN</t>
  </si>
  <si>
    <t>ANGUS JANICE KAY</t>
  </si>
  <si>
    <t>263 PETE FOSTER ROAD</t>
  </si>
  <si>
    <t>I4120A0017</t>
  </si>
  <si>
    <t>JORDAN ANGELA H</t>
  </si>
  <si>
    <t>372 WILKESBORO STREET</t>
  </si>
  <si>
    <t>27028-2326</t>
  </si>
  <si>
    <t>I500000056</t>
  </si>
  <si>
    <t>MILLING WAY GARDEN VILLAS COND</t>
  </si>
  <si>
    <t>HOMEOWNERS ASSOCIATION INC</t>
  </si>
  <si>
    <t>P O BOX 2325</t>
  </si>
  <si>
    <t>I500000061</t>
  </si>
  <si>
    <t>I5170A0999</t>
  </si>
  <si>
    <t>I5170A0116</t>
  </si>
  <si>
    <t>VENDITTI LORETTA L</t>
  </si>
  <si>
    <t>116 MILL RUN DRIVE</t>
  </si>
  <si>
    <t>27028-2792</t>
  </si>
  <si>
    <t>I5170A0118</t>
  </si>
  <si>
    <t>DRAUGHN BEVERLY KAREN</t>
  </si>
  <si>
    <t>118 MILL RUN</t>
  </si>
  <si>
    <t>I5170B0120</t>
  </si>
  <si>
    <t>CLARK ATHA M</t>
  </si>
  <si>
    <t>120 BRICKWALK COURT</t>
  </si>
  <si>
    <t>27028-2796</t>
  </si>
  <si>
    <t>I4110C0004</t>
  </si>
  <si>
    <t>I4120B0020</t>
  </si>
  <si>
    <t>JAMES SARAH S</t>
  </si>
  <si>
    <t>609 GARNER STREET</t>
  </si>
  <si>
    <t>27028-2150</t>
  </si>
  <si>
    <t>I4120C0019</t>
  </si>
  <si>
    <t>I4120D0006</t>
  </si>
  <si>
    <t>STAPF PAUL R</t>
  </si>
  <si>
    <t>STAPF CAROL L</t>
  </si>
  <si>
    <t>201 WEST CHURCH STREET</t>
  </si>
  <si>
    <t>I500000060</t>
  </si>
  <si>
    <t>HINKLEY KENNETH W</t>
  </si>
  <si>
    <t>HINKLEY JUDITH A</t>
  </si>
  <si>
    <t>207 OAK STREET</t>
  </si>
  <si>
    <t>27028-2240</t>
  </si>
  <si>
    <t>I4120D0012</t>
  </si>
  <si>
    <t>STROUSE KENNETH L</t>
  </si>
  <si>
    <t>STROUSE DIANE M</t>
  </si>
  <si>
    <t>157 WEST CHURCH STREET</t>
  </si>
  <si>
    <t>I5010B0013</t>
  </si>
  <si>
    <t>NEW JERUSALEM APOSTOLIC</t>
  </si>
  <si>
    <t>PO BOX 597</t>
  </si>
  <si>
    <t>M5030A0007</t>
  </si>
  <si>
    <t>SAWS LIMITED PARTNERSHIP</t>
  </si>
  <si>
    <t>L40000004804</t>
  </si>
  <si>
    <t>N5010D000403</t>
  </si>
  <si>
    <t>H300000058</t>
  </si>
  <si>
    <t>I5010C0006</t>
  </si>
  <si>
    <t>NEW LIFE APOSTOLIC CHURCH INC</t>
  </si>
  <si>
    <t>411 MORSE STREET</t>
  </si>
  <si>
    <t>I4120D0024</t>
  </si>
  <si>
    <t>MOCK PLACE INC</t>
  </si>
  <si>
    <t>401 NORTH MAIN STREET</t>
  </si>
  <si>
    <t>I5010C0031</t>
  </si>
  <si>
    <t>FOUST STEPHEN E</t>
  </si>
  <si>
    <t>FOUST CAROL S</t>
  </si>
  <si>
    <t>1307 NORTH MAIN STREET</t>
  </si>
  <si>
    <t>I4120E0003</t>
  </si>
  <si>
    <t>JAKOB STEPHEN W</t>
  </si>
  <si>
    <t>JAKOB DONNA R</t>
  </si>
  <si>
    <t>331 PARK AVENUE</t>
  </si>
  <si>
    <t>27028-2143</t>
  </si>
  <si>
    <t>I4130A0015</t>
  </si>
  <si>
    <t>BARRERA EDUARDO</t>
  </si>
  <si>
    <t>101 RAYMOND STREET</t>
  </si>
  <si>
    <t>I5020B0009</t>
  </si>
  <si>
    <t>HENDRIX KEVIN D</t>
  </si>
  <si>
    <t>122 SUNSET DRIVE</t>
  </si>
  <si>
    <t>I5020B000901</t>
  </si>
  <si>
    <t>AZOREAN PROPERTIES LLC</t>
  </si>
  <si>
    <t>P O BOX 119</t>
  </si>
  <si>
    <t>TULARE</t>
  </si>
  <si>
    <t>CA</t>
  </si>
  <si>
    <t>93275-0000</t>
  </si>
  <si>
    <t>I5020B0012</t>
  </si>
  <si>
    <t>MADRID ANTONIA GARCIA</t>
  </si>
  <si>
    <t>RODRIQUEZ JUANA MARTINEZ</t>
  </si>
  <si>
    <t>104 SUNSET DRIVE</t>
  </si>
  <si>
    <t>27028-2711</t>
  </si>
  <si>
    <t>I4130D0012</t>
  </si>
  <si>
    <t>FULLER PROPERTIES LLC</t>
  </si>
  <si>
    <t>68 COURT SQUARE SUITE 200</t>
  </si>
  <si>
    <t>I4130D0023</t>
  </si>
  <si>
    <t>C &amp; S MACHINE WORKS INC</t>
  </si>
  <si>
    <t>157 DEPOT STREET</t>
  </si>
  <si>
    <t>I5020B0022</t>
  </si>
  <si>
    <t>CENTURY INVESTMENTS CORP</t>
  </si>
  <si>
    <t>209 WANDERING LANE</t>
  </si>
  <si>
    <t>I5030A0013</t>
  </si>
  <si>
    <t>SIMMONS CAMERON BARTON</t>
  </si>
  <si>
    <t>106 CYPRUS COVE DRIVE</t>
  </si>
  <si>
    <t>I4060C0002</t>
  </si>
  <si>
    <t>HURSEY DONALD GRAY</t>
  </si>
  <si>
    <t>HURSEY KATHERINE</t>
  </si>
  <si>
    <t>260 MUMFORD DRIVE</t>
  </si>
  <si>
    <t>I4060C000801</t>
  </si>
  <si>
    <t>WOLF TIMOTHY M</t>
  </si>
  <si>
    <t>WOLF MARIE ANZENETTA</t>
  </si>
  <si>
    <t>341 WANDERING LANE</t>
  </si>
  <si>
    <t>I5030A0046</t>
  </si>
  <si>
    <t>CALKINS CURTIS</t>
  </si>
  <si>
    <t>CALKINS DIANE</t>
  </si>
  <si>
    <t>112 COVENANT COVE DRIVE</t>
  </si>
  <si>
    <t>I5030A0048</t>
  </si>
  <si>
    <t>MCDUFFIE REGAN</t>
  </si>
  <si>
    <t>202 ELISHA CREEK DRIVE</t>
  </si>
  <si>
    <t>27028-2790</t>
  </si>
  <si>
    <t>I5030A0050</t>
  </si>
  <si>
    <t>CARTER CALVIN B</t>
  </si>
  <si>
    <t>CARTER LAURA A</t>
  </si>
  <si>
    <t>190 ELISHA CREEK DRIVE</t>
  </si>
  <si>
    <t>I5040A0008</t>
  </si>
  <si>
    <t>HOWARD ERIC K</t>
  </si>
  <si>
    <t>HOWARD MILDRED E</t>
  </si>
  <si>
    <t>170 ROLLING HILLS LANE</t>
  </si>
  <si>
    <t>I5040A0010</t>
  </si>
  <si>
    <t>I5040A0013</t>
  </si>
  <si>
    <t>CRANFILL JERRY LEE</t>
  </si>
  <si>
    <t>CRANFILL BEVERLY S</t>
  </si>
  <si>
    <t>250 ROLLING HILLS LANE</t>
  </si>
  <si>
    <t>N50000007001</t>
  </si>
  <si>
    <t>LEWIS MICHAEL E</t>
  </si>
  <si>
    <t>LEWIS PATRICIA V</t>
  </si>
  <si>
    <t>166 GREEN GRASS ROAD</t>
  </si>
  <si>
    <t>27028-6647</t>
  </si>
  <si>
    <t>I4110A0018</t>
  </si>
  <si>
    <t>NORTH CAROLINA WESLEYAN METH</t>
  </si>
  <si>
    <t>I5040A0019</t>
  </si>
  <si>
    <t>HASS TIMOTHY</t>
  </si>
  <si>
    <t>HASS MICHELLE</t>
  </si>
  <si>
    <t>120 HILLCREST CT.</t>
  </si>
  <si>
    <t>I5050A0005</t>
  </si>
  <si>
    <t>BEDDARD GREGORY LEE</t>
  </si>
  <si>
    <t>BEDDARD CYNTHIA W</t>
  </si>
  <si>
    <t>109 META BREEZE LANE</t>
  </si>
  <si>
    <t>I5050A0006</t>
  </si>
  <si>
    <t>SUMMERS CHRISTIAN E</t>
  </si>
  <si>
    <t>111 META BREEZE LANE</t>
  </si>
  <si>
    <t>I5050A0008</t>
  </si>
  <si>
    <t>FRYE GEORGE H JR</t>
  </si>
  <si>
    <t>115 META BREEZE LANE</t>
  </si>
  <si>
    <t>I5050A0016</t>
  </si>
  <si>
    <t>PEARCY JERRY L</t>
  </si>
  <si>
    <t>WATKINS CATHERINE A</t>
  </si>
  <si>
    <t>324 CREEKSIDE DRIVE</t>
  </si>
  <si>
    <t>I5050A0017</t>
  </si>
  <si>
    <t>SAUNDERS RUTH ANN</t>
  </si>
  <si>
    <t>300 CREEKSIDE DRIVE</t>
  </si>
  <si>
    <t>I5050A0022</t>
  </si>
  <si>
    <t>LYERLY VICKI V</t>
  </si>
  <si>
    <t>212 CREEKSIDE DRIVE</t>
  </si>
  <si>
    <t>I4140A0018</t>
  </si>
  <si>
    <t>SHOAF CRAIG S</t>
  </si>
  <si>
    <t>SHOAF SUZANNE M</t>
  </si>
  <si>
    <t>5117 WYNNEFORD WAY</t>
  </si>
  <si>
    <t>27614-0000</t>
  </si>
  <si>
    <t>I5050A0032</t>
  </si>
  <si>
    <t>ALLEN DONALD JEROME</t>
  </si>
  <si>
    <t>ALLEN LORI</t>
  </si>
  <si>
    <t>100 CREEKSIDE DRIVE</t>
  </si>
  <si>
    <t>I5050A0033</t>
  </si>
  <si>
    <t>MORENO LEONEL BARRON</t>
  </si>
  <si>
    <t>TERRERO GUADALUPE MANZANAREZ</t>
  </si>
  <si>
    <t>105 CREEKSIDE DRIVE</t>
  </si>
  <si>
    <t>I5050A0034</t>
  </si>
  <si>
    <t>GREGORY KEVIN C</t>
  </si>
  <si>
    <t>115 CREEKSIDE DRIVE</t>
  </si>
  <si>
    <t>I5050A0036</t>
  </si>
  <si>
    <t>CONNER CECIL B</t>
  </si>
  <si>
    <t>CONNER PATRICIA M</t>
  </si>
  <si>
    <t>155 CREEKSIDE DRIVE</t>
  </si>
  <si>
    <t>I5050A0040</t>
  </si>
  <si>
    <t>OVERBY ELIZABETH</t>
  </si>
  <si>
    <t>OVERBY DUSTIN</t>
  </si>
  <si>
    <t>120 METABREEZE LANE</t>
  </si>
  <si>
    <t>27028-2848</t>
  </si>
  <si>
    <t>I5050A0043</t>
  </si>
  <si>
    <t>JOHNSON JAMES HENRY</t>
  </si>
  <si>
    <t>114 META BREEZE LANE</t>
  </si>
  <si>
    <t>I5050A0049</t>
  </si>
  <si>
    <t>PEEBLES PAMELA F</t>
  </si>
  <si>
    <t>102 META BREEZE LANE</t>
  </si>
  <si>
    <t>I4140B0009</t>
  </si>
  <si>
    <t>GRUBB MEGAN F</t>
  </si>
  <si>
    <t>448 AVON STREET</t>
  </si>
  <si>
    <t>I5050B0004</t>
  </si>
  <si>
    <t>ARNOLD LESTER L</t>
  </si>
  <si>
    <t>ARNOLD KATIE P</t>
  </si>
  <si>
    <t>397 WHITNEY ROAD</t>
  </si>
  <si>
    <t>I5050B0005</t>
  </si>
  <si>
    <t>BROWN DEBRA L</t>
  </si>
  <si>
    <t>403 WHITNEY ROAD</t>
  </si>
  <si>
    <t>I5050B0011</t>
  </si>
  <si>
    <t>DENDY DONALD LEE</t>
  </si>
  <si>
    <t>DENDY TWANA LYNN</t>
  </si>
  <si>
    <t>473 WHITNEY ROAD</t>
  </si>
  <si>
    <t>I5050B0015</t>
  </si>
  <si>
    <t>HOWELL KENDRA S</t>
  </si>
  <si>
    <t>533 WHITNEY ROAD</t>
  </si>
  <si>
    <t>27028-2892</t>
  </si>
  <si>
    <t>I500000010</t>
  </si>
  <si>
    <t>A M E ZION CHURCH</t>
  </si>
  <si>
    <t>% HUGH CARTER</t>
  </si>
  <si>
    <t>ROUTE 8 BOX 8</t>
  </si>
  <si>
    <t>I5050B0028</t>
  </si>
  <si>
    <t>HOWARD JOY L</t>
  </si>
  <si>
    <t>127 HEATHER COURT</t>
  </si>
  <si>
    <t>I5050B0041</t>
  </si>
  <si>
    <t>THOMAS DARYL</t>
  </si>
  <si>
    <t>THOMAS KAREN</t>
  </si>
  <si>
    <t>611 WHITNEY RD</t>
  </si>
  <si>
    <t>27028-2952</t>
  </si>
  <si>
    <t>I5050C0020</t>
  </si>
  <si>
    <t>MONK ALICE S</t>
  </si>
  <si>
    <t>598 WHITNEY ROAD</t>
  </si>
  <si>
    <t>I5050C0025</t>
  </si>
  <si>
    <t>BILLENSTEIN WILLIAM F</t>
  </si>
  <si>
    <t>BILLENSTEIN NANCY M</t>
  </si>
  <si>
    <t>118 FOXDALE COURT</t>
  </si>
  <si>
    <t>27028-2948</t>
  </si>
  <si>
    <t>I5050C0030</t>
  </si>
  <si>
    <t>STEVENSON JENNIFER</t>
  </si>
  <si>
    <t>544 WHITNEY ROAD</t>
  </si>
  <si>
    <t>J100000052</t>
  </si>
  <si>
    <t>I500000025</t>
  </si>
  <si>
    <t>FRYE SANFORD W</t>
  </si>
  <si>
    <t>1119 MILLING ROAD</t>
  </si>
  <si>
    <t>I50000002602</t>
  </si>
  <si>
    <t>I50000002801</t>
  </si>
  <si>
    <t>NICHOLS JACK G</t>
  </si>
  <si>
    <t>NICHOLS PHYLLIS B</t>
  </si>
  <si>
    <t>1090 MILLING ROAD</t>
  </si>
  <si>
    <t>I5050D0009</t>
  </si>
  <si>
    <t>FLORES BARTOLO ENRIQUEZ</t>
  </si>
  <si>
    <t>JIMENEZ MARGARITA</t>
  </si>
  <si>
    <t>487 MOUNTVIEW DRIVE</t>
  </si>
  <si>
    <t>I500000030</t>
  </si>
  <si>
    <t>TIGERT CHAD W</t>
  </si>
  <si>
    <t>TIGERT TIFFANY N</t>
  </si>
  <si>
    <t>1047 MILLING ROAD</t>
  </si>
  <si>
    <t>27028-2867</t>
  </si>
  <si>
    <t>I500000037</t>
  </si>
  <si>
    <t>LATHAM IRIS M ETAL</t>
  </si>
  <si>
    <t>I50000005601</t>
  </si>
  <si>
    <t>K50000008902</t>
  </si>
  <si>
    <t>CARTER NORMAN</t>
  </si>
  <si>
    <t>CARTER JAMIE</t>
  </si>
  <si>
    <t>448 DEADMON RD</t>
  </si>
  <si>
    <t>27028-5142</t>
  </si>
  <si>
    <t>I5060C0036</t>
  </si>
  <si>
    <t>BOWLES LARRY G</t>
  </si>
  <si>
    <t>BOWLES ANN D</t>
  </si>
  <si>
    <t>J5020A0008</t>
  </si>
  <si>
    <t>J4120C0006</t>
  </si>
  <si>
    <t>J4120C0005</t>
  </si>
  <si>
    <t>I5060A0020</t>
  </si>
  <si>
    <t>FERNANDEZ MARGAIRTO R</t>
  </si>
  <si>
    <t>238 MORSE STREET</t>
  </si>
  <si>
    <t>I5060B0003</t>
  </si>
  <si>
    <t>BALDICK MARTHA Y</t>
  </si>
  <si>
    <t>399 MORSE STREET</t>
  </si>
  <si>
    <t>27028-2827</t>
  </si>
  <si>
    <t>I5060B0010</t>
  </si>
  <si>
    <t>MARCELINO NOHEMI</t>
  </si>
  <si>
    <t>114 WHITNEY ROAD</t>
  </si>
  <si>
    <t>27028-2819</t>
  </si>
  <si>
    <t>I5060B0011</t>
  </si>
  <si>
    <t>KEY CHARLES</t>
  </si>
  <si>
    <t>KEY MOZELLE J</t>
  </si>
  <si>
    <t>115 WHITNEY ROAD</t>
  </si>
  <si>
    <t>I5060B0015</t>
  </si>
  <si>
    <t>SELF DORA O</t>
  </si>
  <si>
    <t>PO BOX 782</t>
  </si>
  <si>
    <t>27028-0782</t>
  </si>
  <si>
    <t>K500000080</t>
  </si>
  <si>
    <t>I5170C0014</t>
  </si>
  <si>
    <t>MILLER RALPH EDWARD JR</t>
  </si>
  <si>
    <t>118 EAST BRICK WALK COURT</t>
  </si>
  <si>
    <t>I5060C0016</t>
  </si>
  <si>
    <t>NEELY KAREN ANN</t>
  </si>
  <si>
    <t>61 MARCONI STREET</t>
  </si>
  <si>
    <t>I5060C0017</t>
  </si>
  <si>
    <t>JORDAN MELISSA ANN</t>
  </si>
  <si>
    <t>PO BOX 684</t>
  </si>
  <si>
    <t>I5170D0003</t>
  </si>
  <si>
    <t>SHORT KATHY T</t>
  </si>
  <si>
    <t>116 MILLWRIGHT CT</t>
  </si>
  <si>
    <t>27028-2798</t>
  </si>
  <si>
    <t>I5010B0012</t>
  </si>
  <si>
    <t>I5010C0027</t>
  </si>
  <si>
    <t>WEST JAMES B</t>
  </si>
  <si>
    <t>WEST TERESA H</t>
  </si>
  <si>
    <t>1251 NORTH MAIN STREET</t>
  </si>
  <si>
    <t>I5060C0032</t>
  </si>
  <si>
    <t>HOWELL GINA M</t>
  </si>
  <si>
    <t>61 WHITNEY ROAD</t>
  </si>
  <si>
    <t>I5070A0006</t>
  </si>
  <si>
    <t>ELLIS DEBORAH GAITHER</t>
  </si>
  <si>
    <t>1210 NORTH MAIN STREET</t>
  </si>
  <si>
    <t>I5020A0004</t>
  </si>
  <si>
    <t>KEEBLE GARY JAMES</t>
  </si>
  <si>
    <t>176 CROWE STREET</t>
  </si>
  <si>
    <t>27028-2709</t>
  </si>
  <si>
    <t>I5070B000102</t>
  </si>
  <si>
    <t>FOSTER PAUL JR</t>
  </si>
  <si>
    <t>116 CAROLINA STREET</t>
  </si>
  <si>
    <t>I5070B0002</t>
  </si>
  <si>
    <t>FOSTER PAUL E JR</t>
  </si>
  <si>
    <t>FOSTER ELAINE H</t>
  </si>
  <si>
    <t>27028-2729</t>
  </si>
  <si>
    <t>I5070B000104</t>
  </si>
  <si>
    <t>I5070B0004</t>
  </si>
  <si>
    <t>PO BOX 29594</t>
  </si>
  <si>
    <t>27429-0000</t>
  </si>
  <si>
    <t>I5070B0009</t>
  </si>
  <si>
    <t>DEAL KIRK</t>
  </si>
  <si>
    <t>DEAL ANTONIA</t>
  </si>
  <si>
    <t>184 LAKEVIEW DRIVE</t>
  </si>
  <si>
    <t>I5070C0008</t>
  </si>
  <si>
    <t>BURTON DAVID L</t>
  </si>
  <si>
    <t>BURTON GINA B</t>
  </si>
  <si>
    <t>134 SAYTOE LANE</t>
  </si>
  <si>
    <t>27028-2776</t>
  </si>
  <si>
    <t>J600000006</t>
  </si>
  <si>
    <t>HARDY JEFFREY</t>
  </si>
  <si>
    <t>HARDY PATRICIA ANN</t>
  </si>
  <si>
    <t>547 JOHN CROTTS ROAD</t>
  </si>
  <si>
    <t>I5070C000902</t>
  </si>
  <si>
    <t>I5070D0002</t>
  </si>
  <si>
    <t>ARROYO MOISES</t>
  </si>
  <si>
    <t>VELIZENCIZO-ARROYO ANA</t>
  </si>
  <si>
    <t>228 MILLING ROAD</t>
  </si>
  <si>
    <t>I5020B0006</t>
  </si>
  <si>
    <t>RICHARDSON WILLIAM L SR</t>
  </si>
  <si>
    <t>RICHARDSON PEARLIE M</t>
  </si>
  <si>
    <t>165 SUNSET DRIVE</t>
  </si>
  <si>
    <t>I5020B0019</t>
  </si>
  <si>
    <t>HUPP C T JR</t>
  </si>
  <si>
    <t>1424 NORTH MAIN STREET</t>
  </si>
  <si>
    <t>27028-2717</t>
  </si>
  <si>
    <t>J5010A0022</t>
  </si>
  <si>
    <t>SHILOH BAPTIST CHURCH</t>
  </si>
  <si>
    <t>544 EAST DEPOT STREET</t>
  </si>
  <si>
    <t>J5010A0021</t>
  </si>
  <si>
    <t>J5010A0015</t>
  </si>
  <si>
    <t>J5010A0023</t>
  </si>
  <si>
    <t>I5070D0011</t>
  </si>
  <si>
    <t>NEW JERUSALEM HOLINESS CHURCH</t>
  </si>
  <si>
    <t>I5080A0003</t>
  </si>
  <si>
    <t>ISENBERG EDWARD K</t>
  </si>
  <si>
    <t>ISENBERG LINDA B</t>
  </si>
  <si>
    <t>174 HALANDER DRIVE</t>
  </si>
  <si>
    <t>I5080A0010</t>
  </si>
  <si>
    <t>ADKINS ROGER LEE</t>
  </si>
  <si>
    <t>ADKINS PATRICIA</t>
  </si>
  <si>
    <t>153 HALANDER DRIVE</t>
  </si>
  <si>
    <t>J5010B001101</t>
  </si>
  <si>
    <t>MEARS TODD J</t>
  </si>
  <si>
    <t>PO BOX 35</t>
  </si>
  <si>
    <t>I5080A0017</t>
  </si>
  <si>
    <t>I5020B0021</t>
  </si>
  <si>
    <t>FORBES GARY D</t>
  </si>
  <si>
    <t>FORBES JOAN H</t>
  </si>
  <si>
    <t>125 CROWE STREET</t>
  </si>
  <si>
    <t>I5080B001101</t>
  </si>
  <si>
    <t>PAYNE PHILLIS TRUSTEE FOR</t>
  </si>
  <si>
    <t>CONNERTON ADRIAN LEE</t>
  </si>
  <si>
    <t>511 BOSTON AVENUE</t>
  </si>
  <si>
    <t>TAKOMA PARK</t>
  </si>
  <si>
    <t>MD</t>
  </si>
  <si>
    <t>20912-0000</t>
  </si>
  <si>
    <t>I5080B0025</t>
  </si>
  <si>
    <t>ST JOHNS AME ZION CHURCH</t>
  </si>
  <si>
    <t>% JULIUS SUITER</t>
  </si>
  <si>
    <t>PO BOX 552</t>
  </si>
  <si>
    <t>I5080B0023</t>
  </si>
  <si>
    <t>I5080B0032</t>
  </si>
  <si>
    <t>STECKLEY TONYA L</t>
  </si>
  <si>
    <t>381 OLD MOCKSVILLE ROAD</t>
  </si>
  <si>
    <t>28625-1939</t>
  </si>
  <si>
    <t>I5030A0039</t>
  </si>
  <si>
    <t>HENDRIX DOLORES G</t>
  </si>
  <si>
    <t>105 COVENANT COVE DRIVE</t>
  </si>
  <si>
    <t>27028-2943</t>
  </si>
  <si>
    <t>I5080D0001</t>
  </si>
  <si>
    <t>LENTZ CHERYL S</t>
  </si>
  <si>
    <t>LENTZ R THOMAS</t>
  </si>
  <si>
    <t>1032 NORTH MAIN STREET</t>
  </si>
  <si>
    <t>I5080D0002</t>
  </si>
  <si>
    <t>DAVIS BILLY R</t>
  </si>
  <si>
    <t>DAVIS SANDRA BOATRIGHT</t>
  </si>
  <si>
    <t>1016 NORTH MAIN STREET</t>
  </si>
  <si>
    <t>27028-2214</t>
  </si>
  <si>
    <t>I5080D0003</t>
  </si>
  <si>
    <t>SWAB TIMOTHY D</t>
  </si>
  <si>
    <t>980 NORTH MAIN STREET</t>
  </si>
  <si>
    <t>I5080D0010</t>
  </si>
  <si>
    <t>FRYE JOHN L</t>
  </si>
  <si>
    <t>181 OAK STREET</t>
  </si>
  <si>
    <t>I5070D000601</t>
  </si>
  <si>
    <t>I5080D001102</t>
  </si>
  <si>
    <t>I5080D0011</t>
  </si>
  <si>
    <t>I5080D001101</t>
  </si>
  <si>
    <t>I5090C0028</t>
  </si>
  <si>
    <t>SLYE W TAYLOR</t>
  </si>
  <si>
    <t>SLYE KATHY H</t>
  </si>
  <si>
    <t>740 NORTH MAIN STREET</t>
  </si>
  <si>
    <t>I5030A0045</t>
  </si>
  <si>
    <t>LOKEY CHRISTINA B</t>
  </si>
  <si>
    <t>118 COVANENT DRIVE</t>
  </si>
  <si>
    <t>I5090A0001</t>
  </si>
  <si>
    <t>CARTER JUSTIN M</t>
  </si>
  <si>
    <t>CARTER BETH W</t>
  </si>
  <si>
    <t>481 N MAIN STREET</t>
  </si>
  <si>
    <t>I5090A0004</t>
  </si>
  <si>
    <t>COZART DAVID H</t>
  </si>
  <si>
    <t>COZART ROSEMARY G</t>
  </si>
  <si>
    <t>533 NORTH MAIN STREET</t>
  </si>
  <si>
    <t>27028-2119</t>
  </si>
  <si>
    <t>I5080E0011</t>
  </si>
  <si>
    <t>I5090A0010</t>
  </si>
  <si>
    <t>YOUNT DAVID PAUL</t>
  </si>
  <si>
    <t>YOUNT JANELL P</t>
  </si>
  <si>
    <t>241 PARK AVE</t>
  </si>
  <si>
    <t>I5090B0002</t>
  </si>
  <si>
    <t>VANHOY HENRY PRICE III</t>
  </si>
  <si>
    <t>VANHOY POLLY A</t>
  </si>
  <si>
    <t>621 NORTH MAIN STREET</t>
  </si>
  <si>
    <t>I5090B0003</t>
  </si>
  <si>
    <t>ROONEY MAURICE EARL JR</t>
  </si>
  <si>
    <t>ROONEY MARTHA PENNINGTON</t>
  </si>
  <si>
    <t>631 NORTH MAIN STREET</t>
  </si>
  <si>
    <t>27028-2121</t>
  </si>
  <si>
    <t>I5090B000401</t>
  </si>
  <si>
    <t>I5040A0016</t>
  </si>
  <si>
    <t>BROWN DEBBIE D</t>
  </si>
  <si>
    <t>BROWN DANIEL</t>
  </si>
  <si>
    <t>175 HILLCREST COURT</t>
  </si>
  <si>
    <t>I5090C0005</t>
  </si>
  <si>
    <t>HARRIS JAMES L</t>
  </si>
  <si>
    <t>HARRIS DOROTHY</t>
  </si>
  <si>
    <t>318 SPRING STREET</t>
  </si>
  <si>
    <t>I5090C0006</t>
  </si>
  <si>
    <t>PERKINS JESSE WAYNE</t>
  </si>
  <si>
    <t>PERKINS BEVERLY P</t>
  </si>
  <si>
    <t>300 SPRING STREET</t>
  </si>
  <si>
    <t>27028-2235</t>
  </si>
  <si>
    <t>I60000001004</t>
  </si>
  <si>
    <t>KING CHARLES S JR</t>
  </si>
  <si>
    <t>KING CHANTAL C</t>
  </si>
  <si>
    <t>143 JAMESTOWN DRIVE</t>
  </si>
  <si>
    <t>J4040E0020</t>
  </si>
  <si>
    <t>SLYE WILLIAM TAYLOR</t>
  </si>
  <si>
    <t>I5090C0025</t>
  </si>
  <si>
    <t>I5090C0026</t>
  </si>
  <si>
    <t>OSBORNE RYAN R</t>
  </si>
  <si>
    <t>OSBORNE TONYA M</t>
  </si>
  <si>
    <t>756 NORTH MAIN STREET</t>
  </si>
  <si>
    <t>27028-2124</t>
  </si>
  <si>
    <t>I5090C0032</t>
  </si>
  <si>
    <t>SHORT SHARON W</t>
  </si>
  <si>
    <t>125 HEMLOCK STREET</t>
  </si>
  <si>
    <t>I5050A0055</t>
  </si>
  <si>
    <t>HAUSER DORIS T</t>
  </si>
  <si>
    <t>315 ROLLNG HILLS LANE</t>
  </si>
  <si>
    <t>I5050B0025</t>
  </si>
  <si>
    <t>GREER TONY CURTIS</t>
  </si>
  <si>
    <t>GREER DONTRESSICA HOWELL</t>
  </si>
  <si>
    <t>595 WHITNEY ROAD</t>
  </si>
  <si>
    <t>I5090E0004</t>
  </si>
  <si>
    <t>JOHNSON STEVEN M JR</t>
  </si>
  <si>
    <t>JOHNSON MARY BETH</t>
  </si>
  <si>
    <t>598 NORTH MAIN STREET</t>
  </si>
  <si>
    <t>I5090E0007</t>
  </si>
  <si>
    <t>HOLLAR HENRY LEE</t>
  </si>
  <si>
    <t>HOLLAR GAYNELL PRATT</t>
  </si>
  <si>
    <t>129 CHERRY STREET</t>
  </si>
  <si>
    <t>I5050C0031</t>
  </si>
  <si>
    <t>OLIVE MICHAEL C</t>
  </si>
  <si>
    <t>OLIVE SANDRA D</t>
  </si>
  <si>
    <t>121 LELIA COURT</t>
  </si>
  <si>
    <t>I5050C0033</t>
  </si>
  <si>
    <t>PFEIFER ROBIN LEANN</t>
  </si>
  <si>
    <t>125 LEILA COURT</t>
  </si>
  <si>
    <t>L600000017</t>
  </si>
  <si>
    <t>KELLER MICHAEL</t>
  </si>
  <si>
    <t>KELLER LINDA</t>
  </si>
  <si>
    <t>296 CHERRY HILL ROAD</t>
  </si>
  <si>
    <t>27028-6620</t>
  </si>
  <si>
    <t>I5110B0019</t>
  </si>
  <si>
    <t>ALMAZAN ISABEL</t>
  </si>
  <si>
    <t>113 WINWARD CIRCLE</t>
  </si>
  <si>
    <t>I5050C0035</t>
  </si>
  <si>
    <t>LEWIS PAMELA ANN</t>
  </si>
  <si>
    <t>120 LELIA COURT</t>
  </si>
  <si>
    <t>I5050C0036</t>
  </si>
  <si>
    <t>LOPEZ MARCOS</t>
  </si>
  <si>
    <t>LOPEZ YESENIA</t>
  </si>
  <si>
    <t>534 WHITNEY ROAD</t>
  </si>
  <si>
    <t>I5060A0009</t>
  </si>
  <si>
    <t>GOOLSBY JOHN H JR</t>
  </si>
  <si>
    <t>827 MILLING ROAD</t>
  </si>
  <si>
    <t>I5110C0011</t>
  </si>
  <si>
    <t>OSBORNE JOHN E</t>
  </si>
  <si>
    <t>OSBORNE DEBORAH B</t>
  </si>
  <si>
    <t>136 CHERRY HILL ROAD</t>
  </si>
  <si>
    <t>27028-6619</t>
  </si>
  <si>
    <t>L600000019</t>
  </si>
  <si>
    <t>I5060A0017</t>
  </si>
  <si>
    <t>SHORT JAMES ROBERT</t>
  </si>
  <si>
    <t>SHORT VERNA RENE</t>
  </si>
  <si>
    <t>290 WHITNEY ROAD</t>
  </si>
  <si>
    <t>I5060A0018</t>
  </si>
  <si>
    <t>BOGER RANDALL D</t>
  </si>
  <si>
    <t>BOGER KELLY F</t>
  </si>
  <si>
    <t>256 WHITNEY STREET</t>
  </si>
  <si>
    <t>I5120A0005</t>
  </si>
  <si>
    <t>MORENO IVAN</t>
  </si>
  <si>
    <t>125 BLUE BONNETT COURT</t>
  </si>
  <si>
    <t>27028-2883</t>
  </si>
  <si>
    <t>I5120A0007</t>
  </si>
  <si>
    <t>KELLY DAVID BERNARD</t>
  </si>
  <si>
    <t>KELLY SHEILA J</t>
  </si>
  <si>
    <t>143 BLUE BONNETT COURT</t>
  </si>
  <si>
    <t>I5120A0008</t>
  </si>
  <si>
    <t>DAVIS WILLIAM BERNARD</t>
  </si>
  <si>
    <t>DAVIS ELISA</t>
  </si>
  <si>
    <t>151 BLUE BONNETT COURT</t>
  </si>
  <si>
    <t>I5120A0011</t>
  </si>
  <si>
    <t>NAYLOR DONALD K</t>
  </si>
  <si>
    <t>170 BLUE BONNETT COURT</t>
  </si>
  <si>
    <t>I5120A0014</t>
  </si>
  <si>
    <t>NUNEZ ELDUVINA RAMOS</t>
  </si>
  <si>
    <t>146 BLUE BONNETT COURT</t>
  </si>
  <si>
    <t>I5120A0015</t>
  </si>
  <si>
    <t>EVANS RUSSELL W</t>
  </si>
  <si>
    <t>EVANS LORETTA A</t>
  </si>
  <si>
    <t>138 BLUE BONNETT COURT</t>
  </si>
  <si>
    <t>I5120A0019</t>
  </si>
  <si>
    <t>LEAKE CRAIG</t>
  </si>
  <si>
    <t>428 MOUNTVIEW DRIVE</t>
  </si>
  <si>
    <t>I5060A0019</t>
  </si>
  <si>
    <t>I5060C0004</t>
  </si>
  <si>
    <t>JONES LEON W</t>
  </si>
  <si>
    <t>JONES JANET M</t>
  </si>
  <si>
    <t>80 MARCONI STREET</t>
  </si>
  <si>
    <t>I5120A0033</t>
  </si>
  <si>
    <t>RILEY ALICE B</t>
  </si>
  <si>
    <t>289 WINDWARD CIRCLE</t>
  </si>
  <si>
    <t>I5120A0037</t>
  </si>
  <si>
    <t>BANNER LETA DANIELLE</t>
  </si>
  <si>
    <t>345 WINDWARD CIRCLE</t>
  </si>
  <si>
    <t>L5020A0004</t>
  </si>
  <si>
    <t>PASION PEDRO MARCELINO</t>
  </si>
  <si>
    <t>DE MARCELINO ANGELITA RUEDA</t>
  </si>
  <si>
    <t>361 WINDWARD CIRCLE</t>
  </si>
  <si>
    <t>I5120A0040</t>
  </si>
  <si>
    <t>CALDERSON CARLOS</t>
  </si>
  <si>
    <t>FLORES-CALDERON CARLOS A</t>
  </si>
  <si>
    <t>389 WINDWARD CIRCLE</t>
  </si>
  <si>
    <t>I5060C0009</t>
  </si>
  <si>
    <t>WATKINS MAMIE S</t>
  </si>
  <si>
    <t>180 MARCONI STREET</t>
  </si>
  <si>
    <t>I5120B0013</t>
  </si>
  <si>
    <t>HENDRIX BRANDI RENE</t>
  </si>
  <si>
    <t>290 WINDWARD CIRCLE</t>
  </si>
  <si>
    <t>I5120B0015</t>
  </si>
  <si>
    <t>SWEAT JUSTINE</t>
  </si>
  <si>
    <t>272 WINDWARD CIRCLE</t>
  </si>
  <si>
    <t>I5120B0016</t>
  </si>
  <si>
    <t>TORRES ANA A</t>
  </si>
  <si>
    <t>264 WINDWARD CIRCLE</t>
  </si>
  <si>
    <t>I5120B0020</t>
  </si>
  <si>
    <t>SALGADO RICARDO</t>
  </si>
  <si>
    <t>224 WINWARD CIRCLE</t>
  </si>
  <si>
    <t>I5160A0011</t>
  </si>
  <si>
    <t>CORINTHIAN LODGE #17</t>
  </si>
  <si>
    <t>393A EAST DEPOT STREET</t>
  </si>
  <si>
    <t>I5160A0014</t>
  </si>
  <si>
    <t>MOCKSVILLE SECOND PRESBYTERIAN</t>
  </si>
  <si>
    <t>400 PINE STREET</t>
  </si>
  <si>
    <t>I5160A0012</t>
  </si>
  <si>
    <t>I5060C0019</t>
  </si>
  <si>
    <t>JEFFERSON LISA</t>
  </si>
  <si>
    <t>20 WRIGHT LANE</t>
  </si>
  <si>
    <t>I5160A0018</t>
  </si>
  <si>
    <t>TYSON FARMS INC</t>
  </si>
  <si>
    <t>ATTN:  TAX DEPT</t>
  </si>
  <si>
    <t>PO BOX 2020</t>
  </si>
  <si>
    <t>SPRINGDALE</t>
  </si>
  <si>
    <t>AR</t>
  </si>
  <si>
    <t>72765-0000</t>
  </si>
  <si>
    <t>I5160A0020</t>
  </si>
  <si>
    <t>448 DEADMON ROAD</t>
  </si>
  <si>
    <t>I5160A0031</t>
  </si>
  <si>
    <t>CLEMENT JAMES P SR</t>
  </si>
  <si>
    <t>CLEMENT RHONDA Y</t>
  </si>
  <si>
    <t>214 NEELY STREET</t>
  </si>
  <si>
    <t>I5060C0022</t>
  </si>
  <si>
    <t>BUTERO JOHN E JR</t>
  </si>
  <si>
    <t>BUTERO PAULA R</t>
  </si>
  <si>
    <t>80 WRIGHT STREET</t>
  </si>
  <si>
    <t>I5160B0002</t>
  </si>
  <si>
    <t>GREENE SHELBY H</t>
  </si>
  <si>
    <t>PO BOX 501</t>
  </si>
  <si>
    <t>27028-0501</t>
  </si>
  <si>
    <t>I5160B0004</t>
  </si>
  <si>
    <t>CAMPBELL THOMAS O</t>
  </si>
  <si>
    <t>201 PINE STREET</t>
  </si>
  <si>
    <t>27028-2223</t>
  </si>
  <si>
    <t>I5160B0007</t>
  </si>
  <si>
    <t>HOLLIS JAMES EFREM</t>
  </si>
  <si>
    <t>51 TALARICO ROAD</t>
  </si>
  <si>
    <t>HORSE HEADS</t>
  </si>
  <si>
    <t>14845-0000</t>
  </si>
  <si>
    <t>I5160B0020</t>
  </si>
  <si>
    <t>I5060C0023</t>
  </si>
  <si>
    <t>NAVARRO PETRA P</t>
  </si>
  <si>
    <t>81 WRIGHT LANE</t>
  </si>
  <si>
    <t>I5070B000101</t>
  </si>
  <si>
    <t>FOSTER THOMAS L</t>
  </si>
  <si>
    <t>130 CAROLINA STREET</t>
  </si>
  <si>
    <t>I600000082</t>
  </si>
  <si>
    <t>PERRELL JANET ANN</t>
  </si>
  <si>
    <t>132 GEORGE JONES ROAD</t>
  </si>
  <si>
    <t>27028-7216</t>
  </si>
  <si>
    <t>I600000014</t>
  </si>
  <si>
    <t>BASS THOMAS G</t>
  </si>
  <si>
    <t>BASS TANYA E</t>
  </si>
  <si>
    <t>373 GEORGE JONES ROAD</t>
  </si>
  <si>
    <t>27028-7218</t>
  </si>
  <si>
    <t>I60000001401</t>
  </si>
  <si>
    <t>I600000017</t>
  </si>
  <si>
    <t>CARTER VANESSA REMON SMITH ETA</t>
  </si>
  <si>
    <t>CARTER BRENNAN ELIZABETH</t>
  </si>
  <si>
    <t>813 CORNATZER ROAD</t>
  </si>
  <si>
    <t>I60000002001</t>
  </si>
  <si>
    <t>ROBINSON E LLOYD JR</t>
  </si>
  <si>
    <t>ROBINSON SHERRI S</t>
  </si>
  <si>
    <t>175 WILLIAMS ROAD</t>
  </si>
  <si>
    <t>I70000001705</t>
  </si>
  <si>
    <t>I600000021</t>
  </si>
  <si>
    <t>MAY GERALD K</t>
  </si>
  <si>
    <t>MAY KIMBERLY A</t>
  </si>
  <si>
    <t>195 WILLIAMS ROAD</t>
  </si>
  <si>
    <t>27028-7447</t>
  </si>
  <si>
    <t>I5070D001001</t>
  </si>
  <si>
    <t>I5070D0010</t>
  </si>
  <si>
    <t>I5080B0002</t>
  </si>
  <si>
    <t>RAMSBOTHAM FRANCES ELIZABETH P</t>
  </si>
  <si>
    <t>801 NORTH MAIN STREET</t>
  </si>
  <si>
    <t>27028-2125</t>
  </si>
  <si>
    <t>I5080B0034</t>
  </si>
  <si>
    <t>LYONS SCOTTIE A</t>
  </si>
  <si>
    <t>LYONS TINA MARIE</t>
  </si>
  <si>
    <t>121 SPRUCE STREET</t>
  </si>
  <si>
    <t>27028-2133</t>
  </si>
  <si>
    <t>L600000031</t>
  </si>
  <si>
    <t>POTTS VIOLA CROTTS</t>
  </si>
  <si>
    <t>174 WILLIAMS ROAD</t>
  </si>
  <si>
    <t>I60000003401</t>
  </si>
  <si>
    <t>WINTERS RONALD BRENT</t>
  </si>
  <si>
    <t>WINTERS MELISSA ANN</t>
  </si>
  <si>
    <t>134 WILLIAMS ROAD</t>
  </si>
  <si>
    <t>I60000003606</t>
  </si>
  <si>
    <t>SMITH LOWELL DWAYNE</t>
  </si>
  <si>
    <t>204 GEORGE JONES ROAD</t>
  </si>
  <si>
    <t>I5080E0012</t>
  </si>
  <si>
    <t>HARTLE ANTHONY L</t>
  </si>
  <si>
    <t>HARTLE LINDA T</t>
  </si>
  <si>
    <t>169 SPRING STREET</t>
  </si>
  <si>
    <t>27028-2233</t>
  </si>
  <si>
    <t>I600000042</t>
  </si>
  <si>
    <t>BAILEY SAMUEL G</t>
  </si>
  <si>
    <t>BAILEY LINDA F</t>
  </si>
  <si>
    <t>708 CORNATZER ROAD</t>
  </si>
  <si>
    <t>I60000004202</t>
  </si>
  <si>
    <t>I600000050</t>
  </si>
  <si>
    <t>KRAUSE DAVID L</t>
  </si>
  <si>
    <t>KRAUSE JACQUELINE H</t>
  </si>
  <si>
    <t>305 CHESTNUT TRAIL</t>
  </si>
  <si>
    <t>I600000051</t>
  </si>
  <si>
    <t>I600000054</t>
  </si>
  <si>
    <t>GOUGHNOUR ROBERT A JR</t>
  </si>
  <si>
    <t>GOUGHNOUR ROXANNA D</t>
  </si>
  <si>
    <t>272 CHESTNUT TRAIL</t>
  </si>
  <si>
    <t>27028-7122</t>
  </si>
  <si>
    <t>I600000056</t>
  </si>
  <si>
    <t>OWENS DAVID WAYNE SR</t>
  </si>
  <si>
    <t>OWENS SHEILA R</t>
  </si>
  <si>
    <t>214 CHESTNUT TRAIL</t>
  </si>
  <si>
    <t>C700000040</t>
  </si>
  <si>
    <t>I600000057</t>
  </si>
  <si>
    <t>HIEKEL RODNEY W</t>
  </si>
  <si>
    <t>HIEKEL DARLENE W</t>
  </si>
  <si>
    <t>204 CHESTNUT TRAIL</t>
  </si>
  <si>
    <t>I600000058</t>
  </si>
  <si>
    <t>BROWNLOW KEN</t>
  </si>
  <si>
    <t>BROWNLOW KAREN</t>
  </si>
  <si>
    <t>196 CHESTNUT TRAIL</t>
  </si>
  <si>
    <t>I5090B0005</t>
  </si>
  <si>
    <t>MCCLAMROCK MARILYN C</t>
  </si>
  <si>
    <t>651 NORTH MAIN STREET</t>
  </si>
  <si>
    <t>MOCKSVILLLE</t>
  </si>
  <si>
    <t>I60000006708</t>
  </si>
  <si>
    <t>WEST KAY POTTS</t>
  </si>
  <si>
    <t>127 HOMER POTTS ROAD</t>
  </si>
  <si>
    <t>I60000007510</t>
  </si>
  <si>
    <t>FULTON MICHAEL K</t>
  </si>
  <si>
    <t>FULTON TRACEY A</t>
  </si>
  <si>
    <t>521 CORNATZER ROAD</t>
  </si>
  <si>
    <t>27028-7129</t>
  </si>
  <si>
    <t>I600000076</t>
  </si>
  <si>
    <t>MARSHALL PEGGY CALL</t>
  </si>
  <si>
    <t>P O BOX 422</t>
  </si>
  <si>
    <t>DENTON</t>
  </si>
  <si>
    <t>27239-0000</t>
  </si>
  <si>
    <t>I600000078</t>
  </si>
  <si>
    <t>ESSEX JAMES W</t>
  </si>
  <si>
    <t>193 CALL ROAD</t>
  </si>
  <si>
    <t>I5090C0020</t>
  </si>
  <si>
    <t>ECKHART BOB</t>
  </si>
  <si>
    <t>ECKHART LINDA</t>
  </si>
  <si>
    <t>218 SPRING STREET</t>
  </si>
  <si>
    <t>I6140A0004</t>
  </si>
  <si>
    <t>BULLINS JOHN</t>
  </si>
  <si>
    <t>BULLINS MARY LYNN</t>
  </si>
  <si>
    <t>193 LAKEVIEW ROAD</t>
  </si>
  <si>
    <t>I6140A0009</t>
  </si>
  <si>
    <t>SCHAFHAUSER PAUL</t>
  </si>
  <si>
    <t>275 LAKEVIEW ROAD</t>
  </si>
  <si>
    <t>I6140A0013</t>
  </si>
  <si>
    <t>FREEMAN JAN LEWIS</t>
  </si>
  <si>
    <t>311 LAKEVIEW DRIVE</t>
  </si>
  <si>
    <t>I6140A0016</t>
  </si>
  <si>
    <t>FOSTER PEGGY C</t>
  </si>
  <si>
    <t>413 LAKEVIEW ROAD</t>
  </si>
  <si>
    <t>27028-7369</t>
  </si>
  <si>
    <t>I6140A0024</t>
  </si>
  <si>
    <t>CRANFILL CECIL L</t>
  </si>
  <si>
    <t>CRANFILL LISA R</t>
  </si>
  <si>
    <t>378 LAKEVIEW ROAD</t>
  </si>
  <si>
    <t>I6140A0029</t>
  </si>
  <si>
    <t>DAVIDSON CARL B</t>
  </si>
  <si>
    <t>DAVIDSON DEBORAH W</t>
  </si>
  <si>
    <t>274 LAKEVIEW ROAD</t>
  </si>
  <si>
    <t>I6140A0030</t>
  </si>
  <si>
    <t>FETTERS DENISE S</t>
  </si>
  <si>
    <t>266 LAKEVIEW ROAD</t>
  </si>
  <si>
    <t>I5050A0031</t>
  </si>
  <si>
    <t>HALSTEAD KATHY L</t>
  </si>
  <si>
    <t>STANGER KATONIA R</t>
  </si>
  <si>
    <t>104 CREEKSIDE DRIVE</t>
  </si>
  <si>
    <t>I5090D0005</t>
  </si>
  <si>
    <t>EDWARDS NORMA M</t>
  </si>
  <si>
    <t>668 NORTH MAIN STREET</t>
  </si>
  <si>
    <t>I6140A0050</t>
  </si>
  <si>
    <t>WARD JEFFREY A</t>
  </si>
  <si>
    <t>WARD DEBORAH</t>
  </si>
  <si>
    <t>135 LAKEVIEW ROAD</t>
  </si>
  <si>
    <t>I6140A0054</t>
  </si>
  <si>
    <t>I6150A0003</t>
  </si>
  <si>
    <t>BROWN PATRICIA ANN</t>
  </si>
  <si>
    <t>417 CORNATZER ROAD</t>
  </si>
  <si>
    <t>I6150A0005</t>
  </si>
  <si>
    <t>BLACKWELDER JOHNNY D</t>
  </si>
  <si>
    <t>397 CORNATZER ROAD</t>
  </si>
  <si>
    <t>27028-7127</t>
  </si>
  <si>
    <t>I5110A0009</t>
  </si>
  <si>
    <t>MCMAHAN ALFRED L</t>
  </si>
  <si>
    <t>227 MOUNTVIEW DRIVE</t>
  </si>
  <si>
    <t>I5110A0014</t>
  </si>
  <si>
    <t>DIAS VARGAS SANTOS</t>
  </si>
  <si>
    <t>275 MOUNTVIEW DRIVE</t>
  </si>
  <si>
    <t>I5110B0020</t>
  </si>
  <si>
    <t>CLEMENT CHARLES M JR</t>
  </si>
  <si>
    <t>127 WINWARD CIRCLE</t>
  </si>
  <si>
    <t>I70000001901</t>
  </si>
  <si>
    <t>BLACKWELDER THOMAS L JR</t>
  </si>
  <si>
    <t>BLACKWELDER BRENDA C</t>
  </si>
  <si>
    <t>561 NO CREEK ROAD</t>
  </si>
  <si>
    <t>I70000000301</t>
  </si>
  <si>
    <t>J700000066</t>
  </si>
  <si>
    <t>MANNINO JAMES V</t>
  </si>
  <si>
    <t>MANNINO KATHLEEN A</t>
  </si>
  <si>
    <t>2767 US HIGHWAY 64 EAST</t>
  </si>
  <si>
    <t>27028-7422</t>
  </si>
  <si>
    <t>I700000005</t>
  </si>
  <si>
    <t>I70000000702</t>
  </si>
  <si>
    <t>BROOKS SHANA B</t>
  </si>
  <si>
    <t>BROOKS SHAWN S</t>
  </si>
  <si>
    <t>516 MERRELLS LAKE ROAD</t>
  </si>
  <si>
    <t>27028-7324</t>
  </si>
  <si>
    <t>I5110C0002</t>
  </si>
  <si>
    <t>WILSON-IJAMES ANTIONETTE C</t>
  </si>
  <si>
    <t>162 WINDWARD CIRCLE</t>
  </si>
  <si>
    <t>I700000012</t>
  </si>
  <si>
    <t>ROBERSON CARL FRED</t>
  </si>
  <si>
    <t>ROBERSON BRENDA BURTON</t>
  </si>
  <si>
    <t>395 MERRELL LAKE ROAD</t>
  </si>
  <si>
    <t>27028-7322</t>
  </si>
  <si>
    <t>I700000015</t>
  </si>
  <si>
    <t>PRESNELL CAROL W</t>
  </si>
  <si>
    <t>541 MERRELL LAKE ROAD</t>
  </si>
  <si>
    <t>I70000001902</t>
  </si>
  <si>
    <t>FREEMAN JEFFERY TODD</t>
  </si>
  <si>
    <t>FREEMAN CYNTHIA A</t>
  </si>
  <si>
    <t>593 NO CREEK ROAD</t>
  </si>
  <si>
    <t>27028-7344</t>
  </si>
  <si>
    <t>I5110C0007</t>
  </si>
  <si>
    <t>RODRIGUEZ ENRIQUE BARRAZA</t>
  </si>
  <si>
    <t>LOPEZ ADRIANA LUQUE</t>
  </si>
  <si>
    <t>114 WINWARD CIRCLE</t>
  </si>
  <si>
    <t>I70000004304</t>
  </si>
  <si>
    <t>TRIVETTE CANDY WILLIAMS</t>
  </si>
  <si>
    <t>174 SPRING VALLEY LN</t>
  </si>
  <si>
    <t>27006-7054</t>
  </si>
  <si>
    <t>I70000004306</t>
  </si>
  <si>
    <t>I70000004305</t>
  </si>
  <si>
    <t>I700000037</t>
  </si>
  <si>
    <t>KEETON MARTIN E</t>
  </si>
  <si>
    <t>KEETON JEAN H</t>
  </si>
  <si>
    <t>135 DELL WOOD LANE</t>
  </si>
  <si>
    <t>I700000040</t>
  </si>
  <si>
    <t>LONG CHARLES L</t>
  </si>
  <si>
    <t>LONG CAROL B</t>
  </si>
  <si>
    <t>921 WILLIAMS ROAD</t>
  </si>
  <si>
    <t>I70000004202</t>
  </si>
  <si>
    <t>EDWARDS JERRY WADE</t>
  </si>
  <si>
    <t>EDWARDS SHARON F</t>
  </si>
  <si>
    <t>3399 FRATERNITY CHURCH ROAD</t>
  </si>
  <si>
    <t>I5120A0001</t>
  </si>
  <si>
    <t>DEVINE SEAN FRANCIS</t>
  </si>
  <si>
    <t>DEVINE PATRICIA LYNN</t>
  </si>
  <si>
    <t>486 MONTVIEW DRIVE</t>
  </si>
  <si>
    <t>I70000004309</t>
  </si>
  <si>
    <t>WILLIAMS RICHARD W JR</t>
  </si>
  <si>
    <t>765 FORK BIXBY RD</t>
  </si>
  <si>
    <t>27006-7223</t>
  </si>
  <si>
    <t>I700000094</t>
  </si>
  <si>
    <t>I70000004310</t>
  </si>
  <si>
    <t>PHELPS GARY</t>
  </si>
  <si>
    <t>317 AUBREY MERRELL ROAD</t>
  </si>
  <si>
    <t>I70000004311</t>
  </si>
  <si>
    <t>GAMBLE DONNA H</t>
  </si>
  <si>
    <t>1086 WILLIAMS ROAD</t>
  </si>
  <si>
    <t>27006-7132</t>
  </si>
  <si>
    <t>I70000004314</t>
  </si>
  <si>
    <t>SHULTZ JAMES PAUL</t>
  </si>
  <si>
    <t>SHULTZ BETTY MAY</t>
  </si>
  <si>
    <t>1126 WILLIAMS ROAD</t>
  </si>
  <si>
    <t>27006-7133</t>
  </si>
  <si>
    <t>I700000044</t>
  </si>
  <si>
    <t>I700000045  A</t>
  </si>
  <si>
    <t>LONG MAX D</t>
  </si>
  <si>
    <t>1067 WILLIAMS ROAD</t>
  </si>
  <si>
    <t>I70000004903</t>
  </si>
  <si>
    <t>DAVIS LOU H</t>
  </si>
  <si>
    <t>1167 WILLIAMS ROAD</t>
  </si>
  <si>
    <t>I5120A0004</t>
  </si>
  <si>
    <t>MAYO MARCO ANTONIA DIAZ</t>
  </si>
  <si>
    <t>PEREZ EMME VIOLETA BOTELLO</t>
  </si>
  <si>
    <t>115 BLUE BONNET COURT</t>
  </si>
  <si>
    <t>I5120A0029</t>
  </si>
  <si>
    <t>GIRON ABEL DE JESUS</t>
  </si>
  <si>
    <t>225 WINDWARD CIRCLE</t>
  </si>
  <si>
    <t>I70000006001</t>
  </si>
  <si>
    <t>WALSER JOSHUA KENT</t>
  </si>
  <si>
    <t>165 MOHAWK LANE</t>
  </si>
  <si>
    <t>H70000010302</t>
  </si>
  <si>
    <t>WALSER DANNY B</t>
  </si>
  <si>
    <t>WALSER LAURA J</t>
  </si>
  <si>
    <t>286 COMANCHE DRIVE</t>
  </si>
  <si>
    <t>I700000062</t>
  </si>
  <si>
    <t>I700000063</t>
  </si>
  <si>
    <t>I70000005502</t>
  </si>
  <si>
    <t>I5120A0032</t>
  </si>
  <si>
    <t>CADENAS NOE RAFAEL T</t>
  </si>
  <si>
    <t>CRUZ BESSY J</t>
  </si>
  <si>
    <t>267 WINDWARD CIRCLE</t>
  </si>
  <si>
    <t>I5120B0008</t>
  </si>
  <si>
    <t>MCCALLIE THOMAS C</t>
  </si>
  <si>
    <t>340 WINDWARD CIRCLE</t>
  </si>
  <si>
    <t>I5160A0015</t>
  </si>
  <si>
    <t>SECOND PRESBYTERIAN CHURCH</t>
  </si>
  <si>
    <t>458 PINE STREET</t>
  </si>
  <si>
    <t>J4140B0057</t>
  </si>
  <si>
    <t>STAYER THOMAS DAVID</t>
  </si>
  <si>
    <t>STAYER WILLIE ANN TEETER</t>
  </si>
  <si>
    <t>PO BOX 333</t>
  </si>
  <si>
    <t>I700000072</t>
  </si>
  <si>
    <t>SOOTS CARLTON A</t>
  </si>
  <si>
    <t>SOOTS JULIE B</t>
  </si>
  <si>
    <t>109 APACHE ROAD</t>
  </si>
  <si>
    <t>I700000075</t>
  </si>
  <si>
    <t>CUTRIGHT DAN D JR</t>
  </si>
  <si>
    <t>TUTTEROW SUSAN L</t>
  </si>
  <si>
    <t>165 PAPOOSE TRAIL</t>
  </si>
  <si>
    <t>I700000074</t>
  </si>
  <si>
    <t>I700000086</t>
  </si>
  <si>
    <t>BERMUDA ACRES INC</t>
  </si>
  <si>
    <t>P O BOX 184</t>
  </si>
  <si>
    <t>I700000085</t>
  </si>
  <si>
    <t>I5160C0001</t>
  </si>
  <si>
    <t>PANELS SERVICES &amp; COMPONENTS</t>
  </si>
  <si>
    <t>PO BOX 340</t>
  </si>
  <si>
    <t>I700000088</t>
  </si>
  <si>
    <t>LUPER FRANK E</t>
  </si>
  <si>
    <t>547 FORK BIXBY ROAD</t>
  </si>
  <si>
    <t>I60000001003</t>
  </si>
  <si>
    <t>CHRISTIANSEN SUSAN L</t>
  </si>
  <si>
    <t>CALHOUN DEMPSY R</t>
  </si>
  <si>
    <t>163 JAMESTOWNE DRIVE</t>
  </si>
  <si>
    <t>27028-7245</t>
  </si>
  <si>
    <t>I70000010002</t>
  </si>
  <si>
    <t>CARTER KAREN RUTH</t>
  </si>
  <si>
    <t>130 GRAY CARTER LANE</t>
  </si>
  <si>
    <t>I70000010003</t>
  </si>
  <si>
    <t>TATE REBECCA N &amp; THOMAS LEE</t>
  </si>
  <si>
    <t>MOCK DAVID O</t>
  </si>
  <si>
    <t>111 GRAY CARTER LANE</t>
  </si>
  <si>
    <t>I80000000101</t>
  </si>
  <si>
    <t>POINDEXTER GENE A</t>
  </si>
  <si>
    <t>POINDEXTER GLENNA E</t>
  </si>
  <si>
    <t>255 LIVENGOOD ROAD</t>
  </si>
  <si>
    <t>I800000005</t>
  </si>
  <si>
    <t>I80000000604</t>
  </si>
  <si>
    <t>MARKLAND WENDY CHERIE</t>
  </si>
  <si>
    <t>148 MYERS FARM TRAIL</t>
  </si>
  <si>
    <t>I80000000804</t>
  </si>
  <si>
    <t>202 SEAWALL TR</t>
  </si>
  <si>
    <t>I800000014</t>
  </si>
  <si>
    <t>LIVENGOOD DENNIS W</t>
  </si>
  <si>
    <t>LIVENGOOD DEBORAH M</t>
  </si>
  <si>
    <t>354 LIVENGOOD ROAD</t>
  </si>
  <si>
    <t>27006-7011</t>
  </si>
  <si>
    <t>I800000012</t>
  </si>
  <si>
    <t>I800000013</t>
  </si>
  <si>
    <t>I800000011</t>
  </si>
  <si>
    <t>I600000026</t>
  </si>
  <si>
    <t>CLONTZ ALLEN RAY</t>
  </si>
  <si>
    <t>CLONTZ DELORES L</t>
  </si>
  <si>
    <t>345 WILLIAMS ROAD</t>
  </si>
  <si>
    <t>I60000002602</t>
  </si>
  <si>
    <t>TIBBS RICHARD GREGORY</t>
  </si>
  <si>
    <t>TIBBS LISA DARLENE</t>
  </si>
  <si>
    <t>277 WILLIAMS ROAD</t>
  </si>
  <si>
    <t>I80000001604</t>
  </si>
  <si>
    <t>BARNEY HEATHER RENEE ETAL</t>
  </si>
  <si>
    <t>BARNEY STEPHANIE LYNN</t>
  </si>
  <si>
    <t>266 LIVENGOOD ROAD</t>
  </si>
  <si>
    <t>I80000001607</t>
  </si>
  <si>
    <t>BARNEY HEATHER RENEE</t>
  </si>
  <si>
    <t>I80000001609</t>
  </si>
  <si>
    <t>JARVIS AMY BARNEY</t>
  </si>
  <si>
    <t>136 WORKHORSE LANE</t>
  </si>
  <si>
    <t>I80000001801</t>
  </si>
  <si>
    <t>WEBB RONALD JASON</t>
  </si>
  <si>
    <t>WEBB DEANNA LIVENGOOD</t>
  </si>
  <si>
    <t>204 LIVENGOOD ROAD</t>
  </si>
  <si>
    <t>27006-7010</t>
  </si>
  <si>
    <t>I800000017</t>
  </si>
  <si>
    <t>LIVENGOOD GERRY D</t>
  </si>
  <si>
    <t>LIVENGOOD DONNA</t>
  </si>
  <si>
    <t>194 LIVENGOOD ROAD</t>
  </si>
  <si>
    <t>27006-7009</t>
  </si>
  <si>
    <t>I800000019</t>
  </si>
  <si>
    <t>I80000002101</t>
  </si>
  <si>
    <t>DUNN CINDY S</t>
  </si>
  <si>
    <t>528 FORK BIXBY ROAD</t>
  </si>
  <si>
    <t>27006-7221</t>
  </si>
  <si>
    <t>I800000023</t>
  </si>
  <si>
    <t>PACK STANLEY G</t>
  </si>
  <si>
    <t>PACK BETTY H</t>
  </si>
  <si>
    <t>3455 NC HIGHWAY 801 SOUTH</t>
  </si>
  <si>
    <t>27006-7111</t>
  </si>
  <si>
    <t>L60000004803</t>
  </si>
  <si>
    <t>I600000033</t>
  </si>
  <si>
    <t>I60000007002</t>
  </si>
  <si>
    <t>I60000006701</t>
  </si>
  <si>
    <t>I6140A0003</t>
  </si>
  <si>
    <t>SUTHERS HOWARD C JR</t>
  </si>
  <si>
    <t>SUTHERS SANDRA J</t>
  </si>
  <si>
    <t>185 LAKEVIEW ROAD</t>
  </si>
  <si>
    <t>I5090D0002</t>
  </si>
  <si>
    <t>JAMES WANDA G</t>
  </si>
  <si>
    <t>148 HEMLOCK STREET</t>
  </si>
  <si>
    <t>27028-2208</t>
  </si>
  <si>
    <t>I6160A0004</t>
  </si>
  <si>
    <t>FIRMAN BARTON</t>
  </si>
  <si>
    <t>132 LINDA LANE</t>
  </si>
  <si>
    <t>27028-9400</t>
  </si>
  <si>
    <t>I6160A0006</t>
  </si>
  <si>
    <t>WILCOX DAVID WILLIAM</t>
  </si>
  <si>
    <t>WILCOX SUSAN ELIZABETH</t>
  </si>
  <si>
    <t>156 LINDA LANE</t>
  </si>
  <si>
    <t>I80000006202</t>
  </si>
  <si>
    <t>TUTTLE JASON N</t>
  </si>
  <si>
    <t>116 VILLAGE MILL PLACE</t>
  </si>
  <si>
    <t>27608-0000</t>
  </si>
  <si>
    <t>I80000006203</t>
  </si>
  <si>
    <t>TUTTLE JENNIFER DIANNA</t>
  </si>
  <si>
    <t>4686 SIERRA VIEW DRIVE</t>
  </si>
  <si>
    <t>DENVER</t>
  </si>
  <si>
    <t>28037-7304</t>
  </si>
  <si>
    <t>I70000000101</t>
  </si>
  <si>
    <t>WILLIAMS LISA DAWN</t>
  </si>
  <si>
    <t>485 WILLIAMS ROAD</t>
  </si>
  <si>
    <t>27028-7450</t>
  </si>
  <si>
    <t>I700000008</t>
  </si>
  <si>
    <t>395 MERRELLS LAKE ROAD</t>
  </si>
  <si>
    <t>I700000030</t>
  </si>
  <si>
    <t>WILLIAMS RICHARD WAYNE</t>
  </si>
  <si>
    <t>WILLIAMS DOROTHY ELAINE W</t>
  </si>
  <si>
    <t>706 WILLIAMS ROAD</t>
  </si>
  <si>
    <t>I800000064</t>
  </si>
  <si>
    <t>BRADLEY KEVIN R</t>
  </si>
  <si>
    <t>3015 NC HIGHWAY 801 SOUTH</t>
  </si>
  <si>
    <t>27006-7107</t>
  </si>
  <si>
    <t>I80000006402</t>
  </si>
  <si>
    <t>LEONARD BARRY JUNIOR</t>
  </si>
  <si>
    <t>3007 NC HIGHWAY 801 SOUTH</t>
  </si>
  <si>
    <t>I80000006503</t>
  </si>
  <si>
    <t>SINGLETON MICHAEL L ETAL</t>
  </si>
  <si>
    <t>SINGLETON THOMAS</t>
  </si>
  <si>
    <t>2871 NC HWY 801 SOUTH</t>
  </si>
  <si>
    <t>I80000006803</t>
  </si>
  <si>
    <t>MEIER BETH W FORDHAM</t>
  </si>
  <si>
    <t>MEIER MARK W</t>
  </si>
  <si>
    <t>978 BAILEYS CHAPEL ROAD</t>
  </si>
  <si>
    <t>I800000068</t>
  </si>
  <si>
    <t>I80000006802</t>
  </si>
  <si>
    <t>COTTEN STAN M</t>
  </si>
  <si>
    <t>COTTEN PATTI T</t>
  </si>
  <si>
    <t>988 BAILEY CHAPEL ROAD</t>
  </si>
  <si>
    <t>I8110A0002</t>
  </si>
  <si>
    <t>LAMEY STEVEN C</t>
  </si>
  <si>
    <t>LAMEY CHARLOTTE I</t>
  </si>
  <si>
    <t>209 MERRY LANE</t>
  </si>
  <si>
    <t>I8110A0008</t>
  </si>
  <si>
    <t>DOBY DAVID L</t>
  </si>
  <si>
    <t>DOBY LINDA H</t>
  </si>
  <si>
    <t>250 MERRY LANE</t>
  </si>
  <si>
    <t>I8110A0009</t>
  </si>
  <si>
    <t>MIELOWSKI KAREN</t>
  </si>
  <si>
    <t>226 MERRY LANE</t>
  </si>
  <si>
    <t>I8110A0010</t>
  </si>
  <si>
    <t>WOOD GARY</t>
  </si>
  <si>
    <t>WOOD PATRICIA</t>
  </si>
  <si>
    <t>204 MERRY LANE</t>
  </si>
  <si>
    <t>I70000009201</t>
  </si>
  <si>
    <t>I700000056</t>
  </si>
  <si>
    <t>JONES RONALD GRAY ETAL</t>
  </si>
  <si>
    <t>SEAFORD DONNA JONES</t>
  </si>
  <si>
    <t>168 CEDAR HILL LANE</t>
  </si>
  <si>
    <t>I900000009</t>
  </si>
  <si>
    <t>BARNES GEORGE RAD</t>
  </si>
  <si>
    <t>303 FANTASIA LANE</t>
  </si>
  <si>
    <t>I90000000903</t>
  </si>
  <si>
    <t>I90000000205</t>
  </si>
  <si>
    <t>BURTON JAMES E</t>
  </si>
  <si>
    <t>548 TODD ROAD</t>
  </si>
  <si>
    <t>I90000000202</t>
  </si>
  <si>
    <t>I900000003</t>
  </si>
  <si>
    <t>CHAS AND CHAS  LLC</t>
  </si>
  <si>
    <t>% DR CHARLES BRANCH</t>
  </si>
  <si>
    <t>PO BOX 32O</t>
  </si>
  <si>
    <t>I90000000401</t>
  </si>
  <si>
    <t>MCDANIEL STEVEN F</t>
  </si>
  <si>
    <t>226 BURTON ROAD</t>
  </si>
  <si>
    <t>27006-7502</t>
  </si>
  <si>
    <t>I90000000403</t>
  </si>
  <si>
    <t>DAVIS DALE RAY</t>
  </si>
  <si>
    <t>DAVIS JOYCE J</t>
  </si>
  <si>
    <t>245 BURTON ROAD</t>
  </si>
  <si>
    <t>I900000007</t>
  </si>
  <si>
    <t>PAN PETER H</t>
  </si>
  <si>
    <t>PAN KAREN B</t>
  </si>
  <si>
    <t>PO BOX 307</t>
  </si>
  <si>
    <t>I70000005805</t>
  </si>
  <si>
    <t>PENLAND ANGELA V</t>
  </si>
  <si>
    <t>PENLAND DAVID W</t>
  </si>
  <si>
    <t>245 INDIAN HILLS</t>
  </si>
  <si>
    <t>I70000006601</t>
  </si>
  <si>
    <t>CHESSMAN GEORGE MICHAEL</t>
  </si>
  <si>
    <t>CHESSMAN JANENE L</t>
  </si>
  <si>
    <t>375 COMMANCHE DRIVE</t>
  </si>
  <si>
    <t>27006-7162</t>
  </si>
  <si>
    <t>I90000001904</t>
  </si>
  <si>
    <t>MINOR FARMS INC</t>
  </si>
  <si>
    <t>619 BURTON ROAD</t>
  </si>
  <si>
    <t>I90000001905</t>
  </si>
  <si>
    <t>MINOR WALTER A</t>
  </si>
  <si>
    <t>MINOR ANNETTE F</t>
  </si>
  <si>
    <t>735 BURTON ROAD</t>
  </si>
  <si>
    <t>I70000006603</t>
  </si>
  <si>
    <t>KONOPNICKI DAVID H</t>
  </si>
  <si>
    <t>KONOPNICKI JUDITH A</t>
  </si>
  <si>
    <t>4633 DARCIN DRIVE</t>
  </si>
  <si>
    <t>LAKELAND</t>
  </si>
  <si>
    <t>FL</t>
  </si>
  <si>
    <t>33813-0000</t>
  </si>
  <si>
    <t>I700000068</t>
  </si>
  <si>
    <t>DOTSON ROBERT E</t>
  </si>
  <si>
    <t>DOTSON ROBIN B</t>
  </si>
  <si>
    <t>415 COMMANCHE ROAD</t>
  </si>
  <si>
    <t>I700000070</t>
  </si>
  <si>
    <t>OXENDINE JEREMY</t>
  </si>
  <si>
    <t>OXENDINE STACEY</t>
  </si>
  <si>
    <t>455 COMANCHE DRIVE</t>
  </si>
  <si>
    <t>I700000089</t>
  </si>
  <si>
    <t>I700000100</t>
  </si>
  <si>
    <t>I80000001601</t>
  </si>
  <si>
    <t>BROWN DENEEN A</t>
  </si>
  <si>
    <t>178 WEST BOLIN LANE</t>
  </si>
  <si>
    <t>27006-7058</t>
  </si>
  <si>
    <t>I80000001603A</t>
  </si>
  <si>
    <t>ROSE JOHN C</t>
  </si>
  <si>
    <t>306 LIVENGOOD RD</t>
  </si>
  <si>
    <t>J10000001202</t>
  </si>
  <si>
    <t>ROGERS JAMES BRYAN</t>
  </si>
  <si>
    <t>KILLMEYER SAMANTHA</t>
  </si>
  <si>
    <t>4517 HWY 64 WEST</t>
  </si>
  <si>
    <t>J100000016</t>
  </si>
  <si>
    <t>MARTINEZ MARIO M</t>
  </si>
  <si>
    <t>DE MARTINEZ CONSUELO MAYO</t>
  </si>
  <si>
    <t>4422 US HIGHWAY 64 WEST</t>
  </si>
  <si>
    <t>I800000025</t>
  </si>
  <si>
    <t>JOYNER GLENN DAVID</t>
  </si>
  <si>
    <t>3400 NC HIGHWAY 801 SOUTH</t>
  </si>
  <si>
    <t>I80000002501</t>
  </si>
  <si>
    <t>JOYNER MICHAEL DEAN</t>
  </si>
  <si>
    <t>K70000005201</t>
  </si>
  <si>
    <t>BARNHARDT MARY ANN</t>
  </si>
  <si>
    <t>4468 NC HIGHWAY 801 SOUTH</t>
  </si>
  <si>
    <t>J10000001901</t>
  </si>
  <si>
    <t>STROUD DAVID B</t>
  </si>
  <si>
    <t>4357 US HIGHWAY 64 WEST</t>
  </si>
  <si>
    <t>J100000022</t>
  </si>
  <si>
    <t>COUNTY LINE VOLUNTEER FIRE DPT</t>
  </si>
  <si>
    <t>1819 RIDGE ROAD</t>
  </si>
  <si>
    <t>J100000020</t>
  </si>
  <si>
    <t>J10000002001</t>
  </si>
  <si>
    <t>J10000002801</t>
  </si>
  <si>
    <t>BROWN PAUL C</t>
  </si>
  <si>
    <t>LAROCHE ASHLY D</t>
  </si>
  <si>
    <t>1663 RIDGE ROAD</t>
  </si>
  <si>
    <t>J10000002904</t>
  </si>
  <si>
    <t>BARNEYCASTLE PAMELA</t>
  </si>
  <si>
    <t>657 CRESCENT ROAD</t>
  </si>
  <si>
    <t>J10000002909</t>
  </si>
  <si>
    <t>JOHNSON DAVID LEE</t>
  </si>
  <si>
    <t>3875 SOUTH RIVER CHURCH RD</t>
  </si>
  <si>
    <t>J10000002902</t>
  </si>
  <si>
    <t>CLENDENIN JOHANAN</t>
  </si>
  <si>
    <t>1790 RIDGE ROAD</t>
  </si>
  <si>
    <t>I80000003001</t>
  </si>
  <si>
    <t>SAMMONS ROBIN S</t>
  </si>
  <si>
    <t>SAMMONS TERRY DEANE</t>
  </si>
  <si>
    <t>3307 NC HIGHWAY 801 SOUTH</t>
  </si>
  <si>
    <t>27006-7110</t>
  </si>
  <si>
    <t>I80000004102</t>
  </si>
  <si>
    <t>LEE JUDITH WARD</t>
  </si>
  <si>
    <t>PO BOX 231</t>
  </si>
  <si>
    <t>J10000003502</t>
  </si>
  <si>
    <t>CARTNER P BRADLEY</t>
  </si>
  <si>
    <t>J10000003504</t>
  </si>
  <si>
    <t>CARTNER JULIA L</t>
  </si>
  <si>
    <t>27028-8347</t>
  </si>
  <si>
    <t>J100000038</t>
  </si>
  <si>
    <t>J100000036</t>
  </si>
  <si>
    <t>THORNE GERALD BRUCE</t>
  </si>
  <si>
    <t>1525 RIDGE ROAD</t>
  </si>
  <si>
    <t>J100000035  A</t>
  </si>
  <si>
    <t>J100000067</t>
  </si>
  <si>
    <t>PLAGEMANN DAVID JOHN</t>
  </si>
  <si>
    <t>PLAGEMANN GERALDINE E</t>
  </si>
  <si>
    <t>1341 RIDGE RD</t>
  </si>
  <si>
    <t>J200000027</t>
  </si>
  <si>
    <t>DAYWALT RICHARD LYNN</t>
  </si>
  <si>
    <t>147 GRIFFITH RIDGE LANE</t>
  </si>
  <si>
    <t>27028-8203</t>
  </si>
  <si>
    <t>J100000045</t>
  </si>
  <si>
    <t>I6140A0033</t>
  </si>
  <si>
    <t>LOFFREDO JOHN MICHAEL</t>
  </si>
  <si>
    <t>LOFFREDO ELIZABETH ANN M</t>
  </si>
  <si>
    <t>250 LAKEVIEW ROAD</t>
  </si>
  <si>
    <t>I6140A0040</t>
  </si>
  <si>
    <t>MILLER JOHNNY I</t>
  </si>
  <si>
    <t>MILLER CHARLOTTE C</t>
  </si>
  <si>
    <t>178 LAKEVIEW ROAD</t>
  </si>
  <si>
    <t>J10000005301</t>
  </si>
  <si>
    <t>CALVARY BAPTIST CHURCH</t>
  </si>
  <si>
    <t>2273 DAVIE ACADEMY ROAD</t>
  </si>
  <si>
    <t>J100000055</t>
  </si>
  <si>
    <t>J100000065</t>
  </si>
  <si>
    <t>C&amp;B FARMS</t>
  </si>
  <si>
    <t>1545 DAVIE ACADEMY ROAD</t>
  </si>
  <si>
    <t>J100000066</t>
  </si>
  <si>
    <t>J20000000201</t>
  </si>
  <si>
    <t>SMOOT JAMES C JR</t>
  </si>
  <si>
    <t>SMOOT TERESA R</t>
  </si>
  <si>
    <t>2146 DAVIE ACADEMY ROAD</t>
  </si>
  <si>
    <t>27028-8209</t>
  </si>
  <si>
    <t>J200000002</t>
  </si>
  <si>
    <t>J20000000202</t>
  </si>
  <si>
    <t>J200000003</t>
  </si>
  <si>
    <t>WALKER ROBERT ALLEN</t>
  </si>
  <si>
    <t>WALKER BERNICE S</t>
  </si>
  <si>
    <t>2064 DAVIE ACADEMY ROAD</t>
  </si>
  <si>
    <t>J200000004</t>
  </si>
  <si>
    <t>BOWLES WILLIAM ANDREW</t>
  </si>
  <si>
    <t>BOWLES MELISSA S</t>
  </si>
  <si>
    <t>2057 DAVIE ACADEMY ROAD</t>
  </si>
  <si>
    <t>27028-8208</t>
  </si>
  <si>
    <t>I80000006201</t>
  </si>
  <si>
    <t>WHITE DIANNE S TUTTLE</t>
  </si>
  <si>
    <t>28037-0000</t>
  </si>
  <si>
    <t>I80000006205</t>
  </si>
  <si>
    <t>STOCKTON JERRY ALEXANDER</t>
  </si>
  <si>
    <t>3020 HIGHWAY 801 SOUTH</t>
  </si>
  <si>
    <t>I80000006206</t>
  </si>
  <si>
    <t>STOCKTON KAY S</t>
  </si>
  <si>
    <t>WHITE DIANE TUTTLE</t>
  </si>
  <si>
    <t>J20000001503</t>
  </si>
  <si>
    <t>SNOW JAMES A</t>
  </si>
  <si>
    <t>SNOW ELAINE K</t>
  </si>
  <si>
    <t>169 DORSE ROAD</t>
  </si>
  <si>
    <t>J200000019</t>
  </si>
  <si>
    <t>HENDREN ELMER</t>
  </si>
  <si>
    <t>HENDREN ELIZABETH F</t>
  </si>
  <si>
    <t>162 FELKER ROAD</t>
  </si>
  <si>
    <t>J20000002002</t>
  </si>
  <si>
    <t>SMITH LAWRENCE PATRICK</t>
  </si>
  <si>
    <t>SMITH CARLA JEAN NUNN</t>
  </si>
  <si>
    <t>310 STAGE COACH ROAD</t>
  </si>
  <si>
    <t>J200000021</t>
  </si>
  <si>
    <t>WITHERSPOON BETTY J</t>
  </si>
  <si>
    <t>316 STAGE COACH RD</t>
  </si>
  <si>
    <t>27028-8423</t>
  </si>
  <si>
    <t>J20000002102</t>
  </si>
  <si>
    <t>HENDRICKS JAMES GLENN</t>
  </si>
  <si>
    <t>154 CANE MILL DRIVE</t>
  </si>
  <si>
    <t>I80000006401</t>
  </si>
  <si>
    <t>I8110A0015</t>
  </si>
  <si>
    <t>ALLEN DWAYNE R</t>
  </si>
  <si>
    <t>ALLEN SUZANNE M</t>
  </si>
  <si>
    <t>PO BOX 134</t>
  </si>
  <si>
    <t>I90000000203</t>
  </si>
  <si>
    <t>I900000019</t>
  </si>
  <si>
    <t>MOONEY PETER JOSEPH JR</t>
  </si>
  <si>
    <t>MOONEY DANIELLE KAY</t>
  </si>
  <si>
    <t>695 BURTON ROAD</t>
  </si>
  <si>
    <t>J20000002902</t>
  </si>
  <si>
    <t>CARTNER JOHN CLIFFORD</t>
  </si>
  <si>
    <t>CARTNER SUSAN JORDAN</t>
  </si>
  <si>
    <t>1707 DAVIE ACADEMY ROAD</t>
  </si>
  <si>
    <t>27028-8205</t>
  </si>
  <si>
    <t>J20000003101</t>
  </si>
  <si>
    <t>MILLER RONNIE L</t>
  </si>
  <si>
    <t>MILLER SUSAN D</t>
  </si>
  <si>
    <t>298 SAINT MATTHEWS ROAD</t>
  </si>
  <si>
    <t>J200000032</t>
  </si>
  <si>
    <t>CARTNER CLIFFORD</t>
  </si>
  <si>
    <t>I900000025</t>
  </si>
  <si>
    <t>I90000002101</t>
  </si>
  <si>
    <t>PITTS MARION</t>
  </si>
  <si>
    <t>PITTS DENE</t>
  </si>
  <si>
    <t>185 ZIMMERMAN ROAD</t>
  </si>
  <si>
    <t>27006-7509</t>
  </si>
  <si>
    <t>J20000003902</t>
  </si>
  <si>
    <t>NAIL W EUGENE</t>
  </si>
  <si>
    <t>NAIL NORMA V</t>
  </si>
  <si>
    <t>2500 HUNTINGTON WOODS DRIVE</t>
  </si>
  <si>
    <t>J200000043</t>
  </si>
  <si>
    <t>BEAVER PAUL R ETAL</t>
  </si>
  <si>
    <t>WHITAKER BOB E</t>
  </si>
  <si>
    <t>J200000050</t>
  </si>
  <si>
    <t>SEAMON JERRY C</t>
  </si>
  <si>
    <t>SEAMON JANE C</t>
  </si>
  <si>
    <t>292 SHADY KNOLL LANE</t>
  </si>
  <si>
    <t>J20000005002</t>
  </si>
  <si>
    <t>CARTNER THOMAS LEAMAN</t>
  </si>
  <si>
    <t>254 SHADY KNOLL LANE</t>
  </si>
  <si>
    <t>27028-8401</t>
  </si>
  <si>
    <t>J20000005101</t>
  </si>
  <si>
    <t>FULLER PHILLIP E JR</t>
  </si>
  <si>
    <t>FULLER DARLENE S</t>
  </si>
  <si>
    <t>292 BUCK SEAFORD ROAD</t>
  </si>
  <si>
    <t>J200000052</t>
  </si>
  <si>
    <t>J200000051</t>
  </si>
  <si>
    <t>J5090A0013</t>
  </si>
  <si>
    <t>I4130D0005</t>
  </si>
  <si>
    <t>J5160B0002</t>
  </si>
  <si>
    <t>J5090A0012</t>
  </si>
  <si>
    <t>J5090A0007</t>
  </si>
  <si>
    <t>J5090A0009</t>
  </si>
  <si>
    <t>J5090A0006</t>
  </si>
  <si>
    <t>K40000003503</t>
  </si>
  <si>
    <t>J30000006101</t>
  </si>
  <si>
    <t>K400000040</t>
  </si>
  <si>
    <t>K40000003506</t>
  </si>
  <si>
    <t>J300000052</t>
  </si>
  <si>
    <t>J5090A0010</t>
  </si>
  <si>
    <t>J5160B0001</t>
  </si>
  <si>
    <t>K400000033</t>
  </si>
  <si>
    <t>K40000004006</t>
  </si>
  <si>
    <t>J4140A0015</t>
  </si>
  <si>
    <t>J200000053</t>
  </si>
  <si>
    <t>FIFE WILLIAM</t>
  </si>
  <si>
    <t>FIFE ELIZABETH</t>
  </si>
  <si>
    <t>1568 DAVIE ACADEMY ROAD</t>
  </si>
  <si>
    <t>I900000023</t>
  </si>
  <si>
    <t>STROUD SIDNEY B</t>
  </si>
  <si>
    <t>STROUD CYNTHIA</t>
  </si>
  <si>
    <t>PO BOX 68</t>
  </si>
  <si>
    <t>27006-0068</t>
  </si>
  <si>
    <t>I90000002301</t>
  </si>
  <si>
    <t>I90000002501</t>
  </si>
  <si>
    <t>MINOR MICHAEL W</t>
  </si>
  <si>
    <t>MINOR ANITA</t>
  </si>
  <si>
    <t>767 BURTON ROAD</t>
  </si>
  <si>
    <t>I90000002701</t>
  </si>
  <si>
    <t>LOMAX MARY MARGARET</t>
  </si>
  <si>
    <t>366 BURTON RD</t>
  </si>
  <si>
    <t>J20000005601</t>
  </si>
  <si>
    <t>KOONTZ BRIAN GAITHER</t>
  </si>
  <si>
    <t>KOONTZ DONNA WILSON</t>
  </si>
  <si>
    <t>1458 DAVIE ACADEMY ROAD</t>
  </si>
  <si>
    <t>27028-8202</t>
  </si>
  <si>
    <t>J200000057</t>
  </si>
  <si>
    <t>KOONTZ SAMUEL ARTHUR</t>
  </si>
  <si>
    <t>1364 DAVIE ACADEMY ROAD</t>
  </si>
  <si>
    <t>K200000069</t>
  </si>
  <si>
    <t>J200000062</t>
  </si>
  <si>
    <t>CAVE JACK R</t>
  </si>
  <si>
    <t>CAVE SUE H</t>
  </si>
  <si>
    <t>1336 DAVIE ACADEMY ROAD</t>
  </si>
  <si>
    <t>J20000006201</t>
  </si>
  <si>
    <t>REN JOHN D</t>
  </si>
  <si>
    <t>REN KARIN C</t>
  </si>
  <si>
    <t>1216 DAVIE ACADEMY ROAD</t>
  </si>
  <si>
    <t>J20000004801</t>
  </si>
  <si>
    <t>J20000006311</t>
  </si>
  <si>
    <t>MELTON RICHARD GREGORY</t>
  </si>
  <si>
    <t>MELTON GAIL T</t>
  </si>
  <si>
    <t>271 JONES ROAD</t>
  </si>
  <si>
    <t>J100000012</t>
  </si>
  <si>
    <t>ROGERS JAMES MICHAEL</t>
  </si>
  <si>
    <t>ROGERS BETTY GAIL</t>
  </si>
  <si>
    <t>4529 US HIGHWAY 64 WEST</t>
  </si>
  <si>
    <t>27028-8463</t>
  </si>
  <si>
    <t>K20000006402</t>
  </si>
  <si>
    <t>GROTBERG GERALD</t>
  </si>
  <si>
    <t>GROTBERG PEGGY</t>
  </si>
  <si>
    <t>196 JONES ROAD</t>
  </si>
  <si>
    <t>K400000018</t>
  </si>
  <si>
    <t>CARTNER WILLIAM JOE</t>
  </si>
  <si>
    <t>133 BROWN DRIVE</t>
  </si>
  <si>
    <t>J300000002</t>
  </si>
  <si>
    <t>J30000000202</t>
  </si>
  <si>
    <t>SEAFORD SCOTTY ALAN</t>
  </si>
  <si>
    <t>860 DAVIE ACADEMY ROAD</t>
  </si>
  <si>
    <t>J300000061</t>
  </si>
  <si>
    <t>LAKEY PHOEBE</t>
  </si>
  <si>
    <t>108 FRIENDSHIP COURT</t>
  </si>
  <si>
    <t>27028-8232</t>
  </si>
  <si>
    <t>J10000001201</t>
  </si>
  <si>
    <t>COONE MICHELLE ROGERS</t>
  </si>
  <si>
    <t>COONE JONATHAN LEE</t>
  </si>
  <si>
    <t>4523 US HIGHWAY 64 W</t>
  </si>
  <si>
    <t>28028-8463</t>
  </si>
  <si>
    <t>J10000001902</t>
  </si>
  <si>
    <t>STROUD BILLY R</t>
  </si>
  <si>
    <t>STROUD BEVERLY J</t>
  </si>
  <si>
    <t>4361 US HIGHWAY 64 WEST</t>
  </si>
  <si>
    <t>J30000001601</t>
  </si>
  <si>
    <t>LAKEY ERIC FRANCIS</t>
  </si>
  <si>
    <t>957 GREENHILL ROAD</t>
  </si>
  <si>
    <t>J30000001705</t>
  </si>
  <si>
    <t>BERRYHILL KIMBERLY JONES*</t>
  </si>
  <si>
    <t>BERRYHILL RICHARD WAYNE JR</t>
  </si>
  <si>
    <t>936 GREENHILL ROAD</t>
  </si>
  <si>
    <t>J300000020</t>
  </si>
  <si>
    <t>KELLER BOBBY LEE</t>
  </si>
  <si>
    <t>867 GREENHILL ROAD</t>
  </si>
  <si>
    <t>J30000002002</t>
  </si>
  <si>
    <t>GINTHER TANYA K</t>
  </si>
  <si>
    <t>GINTHER CHARLES E</t>
  </si>
  <si>
    <t>880 GREENHILL ROAD</t>
  </si>
  <si>
    <t>J30000002501</t>
  </si>
  <si>
    <t>SEAMON RANDY B</t>
  </si>
  <si>
    <t>SEAMON KAREN G</t>
  </si>
  <si>
    <t>782 GREEN HILL ROAD</t>
  </si>
  <si>
    <t>J30000002003</t>
  </si>
  <si>
    <t>J100000018</t>
  </si>
  <si>
    <t>J10000001903</t>
  </si>
  <si>
    <t>J100000030</t>
  </si>
  <si>
    <t>NANTZ JOHN F</t>
  </si>
  <si>
    <t>NANTZ MARY T</t>
  </si>
  <si>
    <t>112 ST ANDREWS ROAD</t>
  </si>
  <si>
    <t>28625-0000</t>
  </si>
  <si>
    <t>J300000047</t>
  </si>
  <si>
    <t>GREEN TONY SANFORD</t>
  </si>
  <si>
    <t>1558 COUNTY HOME ROAD</t>
  </si>
  <si>
    <t>27028-8139</t>
  </si>
  <si>
    <t>J100000035  C</t>
  </si>
  <si>
    <t>CARTNER ANGUS FARM</t>
  </si>
  <si>
    <t>J4050B0001</t>
  </si>
  <si>
    <t>ROLLINS MELISSA MARKLIN</t>
  </si>
  <si>
    <t>567 SALISBURY STREET</t>
  </si>
  <si>
    <t>J4040G0001</t>
  </si>
  <si>
    <t>J400000004</t>
  </si>
  <si>
    <t>MYERS KENNETH LEE</t>
  </si>
  <si>
    <t>MYERS TAMMY LASHMIT</t>
  </si>
  <si>
    <t>1445 COUNTY HOME ROAD</t>
  </si>
  <si>
    <t>27028-8138</t>
  </si>
  <si>
    <t>J400000005</t>
  </si>
  <si>
    <t>J400000006</t>
  </si>
  <si>
    <t>FORREST PHILIP R JR</t>
  </si>
  <si>
    <t>FORREST GRACE S</t>
  </si>
  <si>
    <t>1443 COUNTY HOME ROAD</t>
  </si>
  <si>
    <t>J400000016</t>
  </si>
  <si>
    <t>J400000008</t>
  </si>
  <si>
    <t>BROWN CHUCK R</t>
  </si>
  <si>
    <t>BROWN BONNIE H</t>
  </si>
  <si>
    <t>123 SCENIC DRIVE</t>
  </si>
  <si>
    <t>27028-8356</t>
  </si>
  <si>
    <t>J10000004701</t>
  </si>
  <si>
    <t>WRYE RUSSELL R</t>
  </si>
  <si>
    <t>WRYE LINDA</t>
  </si>
  <si>
    <t>646 CRESCENT DRIVE</t>
  </si>
  <si>
    <t>I800000054</t>
  </si>
  <si>
    <t>HEGE BETTY R</t>
  </si>
  <si>
    <t>3099 NC HIGHWAY 801 SOUTH</t>
  </si>
  <si>
    <t>J10000004703</t>
  </si>
  <si>
    <t>I800000062</t>
  </si>
  <si>
    <t>STOCKTON BRENDA KAY S</t>
  </si>
  <si>
    <t>J200000015</t>
  </si>
  <si>
    <t>KOONTZ JAMES DORSE</t>
  </si>
  <si>
    <t>KOONTZ CAROLYN S</t>
  </si>
  <si>
    <t>160 STAGECOACH ROAD</t>
  </si>
  <si>
    <t>27028-8421</t>
  </si>
  <si>
    <t>J500000030</t>
  </si>
  <si>
    <t>27702-0000</t>
  </si>
  <si>
    <t>M400000013</t>
  </si>
  <si>
    <t>J40000002401</t>
  </si>
  <si>
    <t>DAVIE COUNTY HOME CEMETARY</t>
  </si>
  <si>
    <t>J400000026</t>
  </si>
  <si>
    <t>DAVIE RESCUE SQUAD INC</t>
  </si>
  <si>
    <t>ROUTE 7 BOX 434</t>
  </si>
  <si>
    <t>J40000002802</t>
  </si>
  <si>
    <t>HARP R WAYNE</t>
  </si>
  <si>
    <t>142 OAK ALLEY WAY</t>
  </si>
  <si>
    <t>J20000002001</t>
  </si>
  <si>
    <t>J200000026</t>
  </si>
  <si>
    <t>SAINT MATTHEWS CHURCH</t>
  </si>
  <si>
    <t>1735 DAVIE ACADEMY ROAD</t>
  </si>
  <si>
    <t>J200000028</t>
  </si>
  <si>
    <t>DAYWALT GEORGE HARVEY</t>
  </si>
  <si>
    <t>1702 DAVIE ACADEMY ROAD</t>
  </si>
  <si>
    <t>J200000029</t>
  </si>
  <si>
    <t>CARTNER DENNIS C</t>
  </si>
  <si>
    <t>BAYSINGER FRANCES B</t>
  </si>
  <si>
    <t>139 ST MATTHEWS ROAD</t>
  </si>
  <si>
    <t>J20000002901</t>
  </si>
  <si>
    <t>J200000039</t>
  </si>
  <si>
    <t>HILTON STEVEN R</t>
  </si>
  <si>
    <t>HILTON KITTY S</t>
  </si>
  <si>
    <t>273 HILTON LANE</t>
  </si>
  <si>
    <t>27028-8258</t>
  </si>
  <si>
    <t>J400000060</t>
  </si>
  <si>
    <t>ROMERO ARTURO MORALES</t>
  </si>
  <si>
    <t>1336 COUNTY HOME ROAD</t>
  </si>
  <si>
    <t>27028-8137</t>
  </si>
  <si>
    <t>J4030A0003</t>
  </si>
  <si>
    <t>BRAKE COLLEEN S %</t>
  </si>
  <si>
    <t>PITTS COLLEEN</t>
  </si>
  <si>
    <t>681 SANFORD AVENUE</t>
  </si>
  <si>
    <t>J200000045</t>
  </si>
  <si>
    <t>J200000055</t>
  </si>
  <si>
    <t>CARTNER RICHARD H</t>
  </si>
  <si>
    <t>CARTNER MARGARET F</t>
  </si>
  <si>
    <t>1526 DAVIE ACADEMY ROAD</t>
  </si>
  <si>
    <t>J20000005502</t>
  </si>
  <si>
    <t>CARTNER KATHLEEN B</t>
  </si>
  <si>
    <t>209 MAGNOLIA AVENUE</t>
  </si>
  <si>
    <t>J4030C0009</t>
  </si>
  <si>
    <t>STEIN JOSEPH P</t>
  </si>
  <si>
    <t>STEIN MARIANNE S</t>
  </si>
  <si>
    <t>181 MAGNOLIA AVENUE</t>
  </si>
  <si>
    <t>27028-2909</t>
  </si>
  <si>
    <t>J4030C0006</t>
  </si>
  <si>
    <t>J20000005503</t>
  </si>
  <si>
    <t>CARTNER PHILIP R</t>
  </si>
  <si>
    <t>J20000006312</t>
  </si>
  <si>
    <t>J30000001602</t>
  </si>
  <si>
    <t>J300000016</t>
  </si>
  <si>
    <t>J300000034</t>
  </si>
  <si>
    <t>FOUST WILLIAM L</t>
  </si>
  <si>
    <t>FOUST REBECCA B</t>
  </si>
  <si>
    <t>520 GREENHILL ROAD</t>
  </si>
  <si>
    <t>J4040E0001</t>
  </si>
  <si>
    <t>OSBORNE KARL LEE</t>
  </si>
  <si>
    <t>OSBORNE JOANNE J</t>
  </si>
  <si>
    <t>230 EAST MAPLE AVENUE</t>
  </si>
  <si>
    <t>27028-2620</t>
  </si>
  <si>
    <t>J4040E0004</t>
  </si>
  <si>
    <t>BUTERO LELA MARIE JONES</t>
  </si>
  <si>
    <t>200 EAST MAPLE AVENUE</t>
  </si>
  <si>
    <t>J4040E0007</t>
  </si>
  <si>
    <t>MCBRIDE JAMES RUSSELL</t>
  </si>
  <si>
    <t>442 SOUTH MAIN STREET</t>
  </si>
  <si>
    <t>J4040E0006</t>
  </si>
  <si>
    <t>J4040E0008</t>
  </si>
  <si>
    <t>J4040E0022</t>
  </si>
  <si>
    <t>BOYTER JESSIE BILL</t>
  </si>
  <si>
    <t>BOYTER CLARA W</t>
  </si>
  <si>
    <t>148 CHARLESTON RIDGE DRIVE</t>
  </si>
  <si>
    <t>J5010D0006</t>
  </si>
  <si>
    <t>J4040F0001</t>
  </si>
  <si>
    <t>ROLLINS HERMAN R JR</t>
  </si>
  <si>
    <t>ROLLINS ANNE MANN</t>
  </si>
  <si>
    <t>515B SOUTH MAIN STREET</t>
  </si>
  <si>
    <t>J300000048</t>
  </si>
  <si>
    <t>GREEN TONY S</t>
  </si>
  <si>
    <t>GREEN BARBARA G</t>
  </si>
  <si>
    <t>J4040G0015</t>
  </si>
  <si>
    <t>MCCLAMROCK JERRY WAYNE</t>
  </si>
  <si>
    <t>MCCLAMROCK JENNIFER</t>
  </si>
  <si>
    <t>449 SOUTH SALISBURY STREET</t>
  </si>
  <si>
    <t>27028-2527</t>
  </si>
  <si>
    <t>J4040G0009</t>
  </si>
  <si>
    <t>J300000046</t>
  </si>
  <si>
    <t>J40000000102</t>
  </si>
  <si>
    <t>J20000000601</t>
  </si>
  <si>
    <t>SWAIM CHANDRA</t>
  </si>
  <si>
    <t>163 LANDMARK DRIVE</t>
  </si>
  <si>
    <t>J400000035</t>
  </si>
  <si>
    <t>SANCHEZ JOSE A</t>
  </si>
  <si>
    <t>MORALES NORA L</t>
  </si>
  <si>
    <t>1174 JERICHO CHURCH ROAD</t>
  </si>
  <si>
    <t>J4050B0011</t>
  </si>
  <si>
    <t>MCCLAMROCK MOLLY JO</t>
  </si>
  <si>
    <t>698 SOUTH SALISBURY STREET</t>
  </si>
  <si>
    <t>27028-2532</t>
  </si>
  <si>
    <t>J4050C0016</t>
  </si>
  <si>
    <t>WARREN THOMAS F</t>
  </si>
  <si>
    <t>JONES RUBY J</t>
  </si>
  <si>
    <t>1853 SPEAR BRIDGE ROAD</t>
  </si>
  <si>
    <t>J4050C0020</t>
  </si>
  <si>
    <t>BOLDING TORI A</t>
  </si>
  <si>
    <t>143 HARDING STREET</t>
  </si>
  <si>
    <t>27028-2603</t>
  </si>
  <si>
    <t>J4050D0003</t>
  </si>
  <si>
    <t>JORDAN DONNA L</t>
  </si>
  <si>
    <t>775 SOUTH MAIN STREET</t>
  </si>
  <si>
    <t>J4050D0004</t>
  </si>
  <si>
    <t>MILLER JOSEPH W</t>
  </si>
  <si>
    <t>MILLER REBECCA</t>
  </si>
  <si>
    <t>763 SOUTH MAIN STREET</t>
  </si>
  <si>
    <t>J400000039</t>
  </si>
  <si>
    <t>SEAMON THOMAS J</t>
  </si>
  <si>
    <t>SEAMON ROBIN D</t>
  </si>
  <si>
    <t>1242 JERICHO CHURCH ROAD</t>
  </si>
  <si>
    <t>27028-4215</t>
  </si>
  <si>
    <t>J400000040</t>
  </si>
  <si>
    <t>GRAHAM DAVID C</t>
  </si>
  <si>
    <t>GRAHAM CHERIE L</t>
  </si>
  <si>
    <t>1260 JERICHO CHURCH ROAD</t>
  </si>
  <si>
    <t>J500000052</t>
  </si>
  <si>
    <t>JAMES CAROL DEAN</t>
  </si>
  <si>
    <t>176 PIPER LANE</t>
  </si>
  <si>
    <t>J4050E0001</t>
  </si>
  <si>
    <t>COOK CHERI GODBEY</t>
  </si>
  <si>
    <t>809 SALISBURY STREET</t>
  </si>
  <si>
    <t>J4050E0003</t>
  </si>
  <si>
    <t>LOOKABILL RONNIE</t>
  </si>
  <si>
    <t>LOOKABILL PATTY P</t>
  </si>
  <si>
    <t>771 SALISBURY STREET</t>
  </si>
  <si>
    <t>J4050E0016</t>
  </si>
  <si>
    <t>PHOMMVANH SYNONG</t>
  </si>
  <si>
    <t>PHOMMVANH OUDONE</t>
  </si>
  <si>
    <t>1010 HOWARD STREET</t>
  </si>
  <si>
    <t>J4050F0003</t>
  </si>
  <si>
    <t>DUNN LINDA HOWARD</t>
  </si>
  <si>
    <t>180 BUENA BISTA LANE</t>
  </si>
  <si>
    <t>J500000026</t>
  </si>
  <si>
    <t>J4050F0004</t>
  </si>
  <si>
    <t>HILL CURTIS L</t>
  </si>
  <si>
    <t>HILL MITZI T</t>
  </si>
  <si>
    <t>819 HARDISON STREET</t>
  </si>
  <si>
    <t>J40000005301</t>
  </si>
  <si>
    <t>TORRES FRANCISCO</t>
  </si>
  <si>
    <t>ADAME ROSARIO D</t>
  </si>
  <si>
    <t>206 FEEZOR ROAD</t>
  </si>
  <si>
    <t>J40000005502</t>
  </si>
  <si>
    <t>GODBEY EDWARD LEE</t>
  </si>
  <si>
    <t>GODBEY MALISSA W</t>
  </si>
  <si>
    <t>239 TOWERY ROAD</t>
  </si>
  <si>
    <t>J40000005501</t>
  </si>
  <si>
    <t>J4030C0001</t>
  </si>
  <si>
    <t>CLITHEROW RONALD H</t>
  </si>
  <si>
    <t>CLITHEROW PAMELA T</t>
  </si>
  <si>
    <t>157 AZALEA DRIVE</t>
  </si>
  <si>
    <t>27028-2903</t>
  </si>
  <si>
    <t>J4030C0002</t>
  </si>
  <si>
    <t>BASHAM GIFFORD</t>
  </si>
  <si>
    <t>BASHAM BARBARA C</t>
  </si>
  <si>
    <t>202 MAGNOLIA AVENUE</t>
  </si>
  <si>
    <t>27028-2910</t>
  </si>
  <si>
    <t>J4030C0003</t>
  </si>
  <si>
    <t>RAUCH ROBERT K</t>
  </si>
  <si>
    <t>RAUCH RUTH M</t>
  </si>
  <si>
    <t>PO BOX 147</t>
  </si>
  <si>
    <t>J4040A0015</t>
  </si>
  <si>
    <t>SINCLAIR ROBERT L</t>
  </si>
  <si>
    <t>SINCLAIR SUE H</t>
  </si>
  <si>
    <t>426 SANFORD AVE</t>
  </si>
  <si>
    <t>J4060C0002</t>
  </si>
  <si>
    <t>POTTS LESTER F</t>
  </si>
  <si>
    <t>POTTS PEGGY</t>
  </si>
  <si>
    <t>916 HARDISON STREET</t>
  </si>
  <si>
    <t>J4060D0002</t>
  </si>
  <si>
    <t>BROADWAY RICHARD W</t>
  </si>
  <si>
    <t>BROADWAY DEBRA B</t>
  </si>
  <si>
    <t>176 BEECHWOOD DRIVE</t>
  </si>
  <si>
    <t>J4040A0012</t>
  </si>
  <si>
    <t>J4040A0013</t>
  </si>
  <si>
    <t>ROBERTS JAMES L</t>
  </si>
  <si>
    <t>ROBERTS LETTY W</t>
  </si>
  <si>
    <t>444 SANFORD AVENUE</t>
  </si>
  <si>
    <t>J4040A0017</t>
  </si>
  <si>
    <t>J4040D0011</t>
  </si>
  <si>
    <t>DANG HOANG T</t>
  </si>
  <si>
    <t>DANG MICHELLE B</t>
  </si>
  <si>
    <t>159 MAPLE AVENUE</t>
  </si>
  <si>
    <t>J4060D0015</t>
  </si>
  <si>
    <t>BALSLEY JEFFREY H</t>
  </si>
  <si>
    <t>BALSLEY VICTORIA A</t>
  </si>
  <si>
    <t>232 BIRCHWOOD LANE</t>
  </si>
  <si>
    <t>J4060D0020</t>
  </si>
  <si>
    <t>OVERBEY JEFFREY JON</t>
  </si>
  <si>
    <t>OVERBEY JENNY KEIM</t>
  </si>
  <si>
    <t>298 BIRCHWOOD LANE</t>
  </si>
  <si>
    <t>27028-2928</t>
  </si>
  <si>
    <t>J4060D0022</t>
  </si>
  <si>
    <t>TAYLOR ROBERT</t>
  </si>
  <si>
    <t>TAYLOR EUGENIA</t>
  </si>
  <si>
    <t>289 BIRCHWOOD LANE</t>
  </si>
  <si>
    <t>J4060D0025</t>
  </si>
  <si>
    <t>HAUSER PAUL R</t>
  </si>
  <si>
    <t>HAUSER ELAINE A</t>
  </si>
  <si>
    <t>251 BIRCHWOOD LANE</t>
  </si>
  <si>
    <t>J4060D0026</t>
  </si>
  <si>
    <t>CROSLIN YYRON</t>
  </si>
  <si>
    <t>JOHNSON TERESA J</t>
  </si>
  <si>
    <t>237 BIRCHWOOD LANE</t>
  </si>
  <si>
    <t>J4060D0027</t>
  </si>
  <si>
    <t>WHITTAKER PEGGY B</t>
  </si>
  <si>
    <t>219 BIRCHWOOD LANE</t>
  </si>
  <si>
    <t>27028-0194</t>
  </si>
  <si>
    <t>J4060D0028</t>
  </si>
  <si>
    <t>MURPHY JAMES</t>
  </si>
  <si>
    <t>MURPHY PATRICIA A</t>
  </si>
  <si>
    <t>295 BEECHWOOD DRIVE</t>
  </si>
  <si>
    <t>J4060D0032</t>
  </si>
  <si>
    <t>CHEEK NEAL</t>
  </si>
  <si>
    <t>CHEEK SHARON</t>
  </si>
  <si>
    <t>231 BEECHWOOD DRIVE</t>
  </si>
  <si>
    <t>27028-2900</t>
  </si>
  <si>
    <t>J4060D0033</t>
  </si>
  <si>
    <t>J4060D0036</t>
  </si>
  <si>
    <t>TODD WILLIAM E</t>
  </si>
  <si>
    <t>TODD GAIL B</t>
  </si>
  <si>
    <t>185 BEECHWOOD DRIVE</t>
  </si>
  <si>
    <t>J4040D0014</t>
  </si>
  <si>
    <t>KENNEY TIMOTHY PATRICK</t>
  </si>
  <si>
    <t>KENNEY LISA ANN</t>
  </si>
  <si>
    <t>211 EAST MAPLE AVENUE</t>
  </si>
  <si>
    <t>L50000001409</t>
  </si>
  <si>
    <t>STEELE RICKY L</t>
  </si>
  <si>
    <t>STEELE ANNETTE W</t>
  </si>
  <si>
    <t>257 LOIS LANE</t>
  </si>
  <si>
    <t>J4120A0004</t>
  </si>
  <si>
    <t>UNION GROVE USED MACHINERY INC</t>
  </si>
  <si>
    <t>PO BOX 53</t>
  </si>
  <si>
    <t>UNION GROVE</t>
  </si>
  <si>
    <t>28689-0000</t>
  </si>
  <si>
    <t>J4120A0010</t>
  </si>
  <si>
    <t>MITCHELL TERRY L</t>
  </si>
  <si>
    <t>356 DUKE STREET</t>
  </si>
  <si>
    <t>J4040F0022</t>
  </si>
  <si>
    <t>CROWE CECIL P</t>
  </si>
  <si>
    <t>CROWE BRENDA G</t>
  </si>
  <si>
    <t>536 SALISBURY STREET</t>
  </si>
  <si>
    <t>J4120B0002</t>
  </si>
  <si>
    <t>REAVIS TAMMY LASHMIT</t>
  </si>
  <si>
    <t>J4120B0006</t>
  </si>
  <si>
    <t>MARKLIN WILLIAM JOHNSON III</t>
  </si>
  <si>
    <t>J4120C0014</t>
  </si>
  <si>
    <t>MARKLIN JEANIE L</t>
  </si>
  <si>
    <t>J4040G001701</t>
  </si>
  <si>
    <t>CHUNN YVONNE C</t>
  </si>
  <si>
    <t>334 WEST MAPLE AVENUE</t>
  </si>
  <si>
    <t>J4140A0016</t>
  </si>
  <si>
    <t>SMITH ELAINE G</t>
  </si>
  <si>
    <t>SMITH SHELBY O</t>
  </si>
  <si>
    <t>144 NEW HAPSHIRE CT</t>
  </si>
  <si>
    <t>J4040G0018</t>
  </si>
  <si>
    <t>RAMIREZ VICTOR MANUEL</t>
  </si>
  <si>
    <t>354 WEST MAPLE AVENUE</t>
  </si>
  <si>
    <t>J4140B0007</t>
  </si>
  <si>
    <t>MARKLIN WILLIAM J III</t>
  </si>
  <si>
    <t>MARKLIN JULIE L</t>
  </si>
  <si>
    <t>153 NORTH CAROLINA CIRCLE</t>
  </si>
  <si>
    <t>27028-5188</t>
  </si>
  <si>
    <t>J4140B0006</t>
  </si>
  <si>
    <t>J4140B0014</t>
  </si>
  <si>
    <t>MASHBURN CHARLES S</t>
  </si>
  <si>
    <t>MASHBURN KATHY B</t>
  </si>
  <si>
    <t>247 NORTH CAROLINA CIRCLE</t>
  </si>
  <si>
    <t>27028-5185</t>
  </si>
  <si>
    <t>J4140B0059</t>
  </si>
  <si>
    <t>PARSLEY BRADLEY DALE</t>
  </si>
  <si>
    <t>PARSLEY KATIE BEAVER</t>
  </si>
  <si>
    <t>236 NORTH CAROLINA CIRCLE</t>
  </si>
  <si>
    <t>J50000000401</t>
  </si>
  <si>
    <t>SPARKS TOMMY WAYNE</t>
  </si>
  <si>
    <t>SPARKS KATHY K</t>
  </si>
  <si>
    <t>PO BOX 1091</t>
  </si>
  <si>
    <t>27028-1091</t>
  </si>
  <si>
    <t>J50000000101</t>
  </si>
  <si>
    <t>J4050B0002</t>
  </si>
  <si>
    <t>MYERS LOUIE HAYDEN</t>
  </si>
  <si>
    <t>MYERS PATTIE TAYLOR</t>
  </si>
  <si>
    <t>590 SOUTH SALISBURY STREET</t>
  </si>
  <si>
    <t>K5090A0029</t>
  </si>
  <si>
    <t>DRAUGHN WILLIAM EARL</t>
  </si>
  <si>
    <t>DRAUGHN CAROL C</t>
  </si>
  <si>
    <t>184 LAKEWOOD DRIVE</t>
  </si>
  <si>
    <t>J50000001101</t>
  </si>
  <si>
    <t>WILLIAMS STEPHANIE W</t>
  </si>
  <si>
    <t>428 JOHN CROTTS ROAD</t>
  </si>
  <si>
    <t>J40000002204</t>
  </si>
  <si>
    <t>WALKER JOHN HUNTER</t>
  </si>
  <si>
    <t>WALKER MARY M WALLS</t>
  </si>
  <si>
    <t>1418 COUNTY HOME ROAD</t>
  </si>
  <si>
    <t>J40000002212</t>
  </si>
  <si>
    <t>WILLIS FRANKFORD DEAN</t>
  </si>
  <si>
    <t>WILLIS SHIRLEY ANN</t>
  </si>
  <si>
    <t>1162 COUNTY HOME ROAD</t>
  </si>
  <si>
    <t>27028-8135</t>
  </si>
  <si>
    <t>J500000022</t>
  </si>
  <si>
    <t>LIVENGOOD LONNIE FRANKLIN</t>
  </si>
  <si>
    <t>LIVENGOOD EDNA S</t>
  </si>
  <si>
    <t>219 PHIL LANE</t>
  </si>
  <si>
    <t>27028-5418</t>
  </si>
  <si>
    <t>J500000023</t>
  </si>
  <si>
    <t>DENNIS KIMBERLY S</t>
  </si>
  <si>
    <t>1160 US HIGHWAY 64 EAST</t>
  </si>
  <si>
    <t>27028-5459</t>
  </si>
  <si>
    <t>J40000002206</t>
  </si>
  <si>
    <t>NICHOLS J DERRICK</t>
  </si>
  <si>
    <t>NICHOLS TERESA L</t>
  </si>
  <si>
    <t>1360 COUNTY HOME ROAD</t>
  </si>
  <si>
    <t>J50000002501</t>
  </si>
  <si>
    <t>HATLEY JOHN J</t>
  </si>
  <si>
    <t>1131 US HIGHWAY 64 EAST</t>
  </si>
  <si>
    <t>J50000002702</t>
  </si>
  <si>
    <t>JUNKER WILLIAM FLOWERS JR</t>
  </si>
  <si>
    <t>137 TRIPLE J LANE</t>
  </si>
  <si>
    <t>J5010D0046</t>
  </si>
  <si>
    <t>WYRICK KEVIN BRAD</t>
  </si>
  <si>
    <t>WYRICK LORI SMITH</t>
  </si>
  <si>
    <t>221 CHARLESTON RIDGE DRIVE</t>
  </si>
  <si>
    <t>J5010D0049</t>
  </si>
  <si>
    <t>MYRICK JASON</t>
  </si>
  <si>
    <t>MYRICK RHONDA</t>
  </si>
  <si>
    <t>249 CHARLESTON RIDGE ROAD</t>
  </si>
  <si>
    <t>27028-2662</t>
  </si>
  <si>
    <t>J5010D0036</t>
  </si>
  <si>
    <t>BARONE JOSEPHINE G</t>
  </si>
  <si>
    <t>563 BUCK SEAFORD ROAD</t>
  </si>
  <si>
    <t>J5010D0054</t>
  </si>
  <si>
    <t>J5010D0055</t>
  </si>
  <si>
    <t>J5010D0080</t>
  </si>
  <si>
    <t>J5010D0081</t>
  </si>
  <si>
    <t>K40000004303</t>
  </si>
  <si>
    <t>K40000004305</t>
  </si>
  <si>
    <t>J400000024</t>
  </si>
  <si>
    <t>J400000023</t>
  </si>
  <si>
    <t>J4050D0011</t>
  </si>
  <si>
    <t>MILLER KENDRA L</t>
  </si>
  <si>
    <t>MILLER JOSHUA R</t>
  </si>
  <si>
    <t>723 BOGER STREET</t>
  </si>
  <si>
    <t>J4050D0012</t>
  </si>
  <si>
    <t>DENNISTON MATTHEW J</t>
  </si>
  <si>
    <t>DENNISTON TRACY R</t>
  </si>
  <si>
    <t>700 SALISBURY STREET</t>
  </si>
  <si>
    <t>J5010D0078</t>
  </si>
  <si>
    <t>PASCASIO ADELA</t>
  </si>
  <si>
    <t>PASCASIO JEREMIAS</t>
  </si>
  <si>
    <t>140 CHARLESTON RIDGE DR</t>
  </si>
  <si>
    <t>J5010D0079</t>
  </si>
  <si>
    <t>MOSS C SHANE</t>
  </si>
  <si>
    <t>MOSS JENEAN B</t>
  </si>
  <si>
    <t>121 WINDING CREEK ROAD</t>
  </si>
  <si>
    <t>J5010D0082</t>
  </si>
  <si>
    <t>GOMEZ MANUEL JIMENEZ</t>
  </si>
  <si>
    <t>JIMENEZ GUADALUPE RUEDA</t>
  </si>
  <si>
    <t>126 WINDING CREEK ROAD</t>
  </si>
  <si>
    <t>27028-2665</t>
  </si>
  <si>
    <t>J4060A0004</t>
  </si>
  <si>
    <t>FOSTER STEPHEN W</t>
  </si>
  <si>
    <t>FOSTER MONICA C</t>
  </si>
  <si>
    <t>368 MAGNOLIA AVENUE</t>
  </si>
  <si>
    <t>27028-2821</t>
  </si>
  <si>
    <t>J4060A0008</t>
  </si>
  <si>
    <t>THORNES KENNETH MACK</t>
  </si>
  <si>
    <t>THORNES ARSTON NEAL</t>
  </si>
  <si>
    <t>325 MAGNOLIA AVENUE</t>
  </si>
  <si>
    <t>J4060A0011</t>
  </si>
  <si>
    <t>WILSON KEITH</t>
  </si>
  <si>
    <t>291 MAGNOLIA AVENUE</t>
  </si>
  <si>
    <t>K600000044</t>
  </si>
  <si>
    <t>FOSTER FARMS INC</t>
  </si>
  <si>
    <t>J500000042</t>
  </si>
  <si>
    <t>LAGLE RICKIE F</t>
  </si>
  <si>
    <t>309 TURRENTINE CHURCH ROAD</t>
  </si>
  <si>
    <t>J500000043</t>
  </si>
  <si>
    <t>J50000004201</t>
  </si>
  <si>
    <t>COZART WILLIAM NICHOLAS</t>
  </si>
  <si>
    <t>276 TURRENTINE CHURCH ROAD</t>
  </si>
  <si>
    <t>J50000004202</t>
  </si>
  <si>
    <t>J500000045</t>
  </si>
  <si>
    <t>HELLARD JOHNNIE LEE</t>
  </si>
  <si>
    <t>HELLARD LOLA S</t>
  </si>
  <si>
    <t>351 TURRENTINE ROAD</t>
  </si>
  <si>
    <t>27028-5449</t>
  </si>
  <si>
    <t>J500000046</t>
  </si>
  <si>
    <t>JAMES BETTY O</t>
  </si>
  <si>
    <t>365 TURRENTINE CHURCH ROAD</t>
  </si>
  <si>
    <t>J50000005401</t>
  </si>
  <si>
    <t>COZART WILLIAM FLOYD</t>
  </si>
  <si>
    <t>COZART JOY J</t>
  </si>
  <si>
    <t>482 TURRENTINE CHURCH ROAD</t>
  </si>
  <si>
    <t>J50000005403</t>
  </si>
  <si>
    <t>J500000058</t>
  </si>
  <si>
    <t>DAVIE COUNTY LAW ENFORCEMENT</t>
  </si>
  <si>
    <t>P O BOX 1301</t>
  </si>
  <si>
    <t>J60000009101</t>
  </si>
  <si>
    <t>C B RUPARD &amp; SONS INC</t>
  </si>
  <si>
    <t>135 RUPARD TRAIL</t>
  </si>
  <si>
    <t>K500000037</t>
  </si>
  <si>
    <t>K500000050</t>
  </si>
  <si>
    <t>K50000003705</t>
  </si>
  <si>
    <t>K500000039</t>
  </si>
  <si>
    <t>J500000060</t>
  </si>
  <si>
    <t>J4060A0016</t>
  </si>
  <si>
    <t>THOMPSON RANDY LLOYD</t>
  </si>
  <si>
    <t>THOMPSON CHRISTY C</t>
  </si>
  <si>
    <t>239 MAGNOLIA AVENUE</t>
  </si>
  <si>
    <t>J5010A0016</t>
  </si>
  <si>
    <t>PRESBYTERIAN CHURCH</t>
  </si>
  <si>
    <t>J5010B0005</t>
  </si>
  <si>
    <t>TREIER JOHN JOSEPH JR</t>
  </si>
  <si>
    <t>ROBERTS BRADI COOPER</t>
  </si>
  <si>
    <t>571 DEPOT STREET</t>
  </si>
  <si>
    <t>J5010B0009</t>
  </si>
  <si>
    <t>VICKERS CAROLYN K</t>
  </si>
  <si>
    <t>413 VALHALLA DRIVE</t>
  </si>
  <si>
    <t>J5010B0010</t>
  </si>
  <si>
    <t>VICKERS HAROLD</t>
  </si>
  <si>
    <t>J5010B0011</t>
  </si>
  <si>
    <t>MEARS KHRISTEN L</t>
  </si>
  <si>
    <t>P O BOX 35</t>
  </si>
  <si>
    <t>27028-0035</t>
  </si>
  <si>
    <t>J5010B0013</t>
  </si>
  <si>
    <t>J5010B0012</t>
  </si>
  <si>
    <t>G100000044</t>
  </si>
  <si>
    <t>G10000004301</t>
  </si>
  <si>
    <t>J4060B0005</t>
  </si>
  <si>
    <t>HENDERSON JAMES R JR</t>
  </si>
  <si>
    <t>HENDERSON DONNA M</t>
  </si>
  <si>
    <t>250 HOLLY LANE</t>
  </si>
  <si>
    <t>J5010B001601</t>
  </si>
  <si>
    <t>FORSBERG JAMES AUGUST</t>
  </si>
  <si>
    <t>FORSBERG AMY LYNN</t>
  </si>
  <si>
    <t>121 EAST LAKE DRIVE</t>
  </si>
  <si>
    <t>27028-2674</t>
  </si>
  <si>
    <t>J5010C0023</t>
  </si>
  <si>
    <t>MAYFIELD SYANDRA</t>
  </si>
  <si>
    <t>228 MILL STREET</t>
  </si>
  <si>
    <t>J5010C0020</t>
  </si>
  <si>
    <t>J5010C0022</t>
  </si>
  <si>
    <t>J4060B0007</t>
  </si>
  <si>
    <t>EVANS JAMES H</t>
  </si>
  <si>
    <t>EVANS MELINDA I</t>
  </si>
  <si>
    <t>288 HOLLY LANE</t>
  </si>
  <si>
    <t>J4060C000101</t>
  </si>
  <si>
    <t>RODRIGUEZ SETURNINO D</t>
  </si>
  <si>
    <t>ROMERO GUADALUPE</t>
  </si>
  <si>
    <t>932 HARDISON STREET</t>
  </si>
  <si>
    <t>J4060D0008</t>
  </si>
  <si>
    <t>LATTA PATRICIA H</t>
  </si>
  <si>
    <t>P O BOX 251</t>
  </si>
  <si>
    <t>J5010C0042</t>
  </si>
  <si>
    <t>CEVASCO MICHAEL A</t>
  </si>
  <si>
    <t>CEVASCO MARGARET A</t>
  </si>
  <si>
    <t>290 EAST MAPLE</t>
  </si>
  <si>
    <t>J5010D0003</t>
  </si>
  <si>
    <t>HATCHER HARRY</t>
  </si>
  <si>
    <t>HATCHER JOANN</t>
  </si>
  <si>
    <t>1325 BESSENT ROAD</t>
  </si>
  <si>
    <t>STERKE</t>
  </si>
  <si>
    <t>32091-0000</t>
  </si>
  <si>
    <t>J5010D0009</t>
  </si>
  <si>
    <t>POTTS DEBORAH</t>
  </si>
  <si>
    <t>172 CHARLESTON RIDGE DRIVE</t>
  </si>
  <si>
    <t>J5010D0012</t>
  </si>
  <si>
    <t>CARTER JASON W</t>
  </si>
  <si>
    <t>WOODRUFF DEBRA A</t>
  </si>
  <si>
    <t>196 CHARLESTON RIDGE DRIVE</t>
  </si>
  <si>
    <t>J4060D0009</t>
  </si>
  <si>
    <t>J4060D0010</t>
  </si>
  <si>
    <t>ETTER BARRY L</t>
  </si>
  <si>
    <t>ETTER ANGELINA L</t>
  </si>
  <si>
    <t>170 BIRCHWOOD LANE</t>
  </si>
  <si>
    <t>J5010D0032</t>
  </si>
  <si>
    <t>JONES MICHAEL C</t>
  </si>
  <si>
    <t>JONES KARRY</t>
  </si>
  <si>
    <t>142 CLOISTER DRIVE</t>
  </si>
  <si>
    <t>K50000008901</t>
  </si>
  <si>
    <t>JAMES WAYNE MONROE</t>
  </si>
  <si>
    <t>JAMES JEAN S</t>
  </si>
  <si>
    <t>PO BOX 431</t>
  </si>
  <si>
    <t>27028-0431</t>
  </si>
  <si>
    <t>J4060D0011</t>
  </si>
  <si>
    <t>BRYAN JOHN C JR</t>
  </si>
  <si>
    <t>BRYAN KIM B</t>
  </si>
  <si>
    <t>188 BIRCHWOOD LANE</t>
  </si>
  <si>
    <t>27028-2924</t>
  </si>
  <si>
    <t>J4060D0039</t>
  </si>
  <si>
    <t>CROWE WAYMON E</t>
  </si>
  <si>
    <t>CROWE KAREN S</t>
  </si>
  <si>
    <t>202 BEECHWOOD DRIVE</t>
  </si>
  <si>
    <t>J5020A0013</t>
  </si>
  <si>
    <t>WALSH PAUL EUGENE</t>
  </si>
  <si>
    <t>WALSH LINDA R</t>
  </si>
  <si>
    <t>118 CRESTVIEW DRIVE</t>
  </si>
  <si>
    <t>27028-2644</t>
  </si>
  <si>
    <t>J5030A0007</t>
  </si>
  <si>
    <t>RILEY ROBERT B JR</t>
  </si>
  <si>
    <t>RILEY TIFFINY M</t>
  </si>
  <si>
    <t>188 CRESTVIEW DRIVE</t>
  </si>
  <si>
    <t>L70000001203</t>
  </si>
  <si>
    <t>WHITNEY RICHARD P</t>
  </si>
  <si>
    <t>WHITNEY MARTHA E</t>
  </si>
  <si>
    <t>144 DOGTROT ROAD</t>
  </si>
  <si>
    <t>J4120A0013</t>
  </si>
  <si>
    <t>SEAMON LORRAINE</t>
  </si>
  <si>
    <t>917 HARDISON STREET</t>
  </si>
  <si>
    <t>J5030A0016</t>
  </si>
  <si>
    <t>KEATON CARROLL H</t>
  </si>
  <si>
    <t>KEATON CAROL SUE</t>
  </si>
  <si>
    <t>186 SUNNYDELL LANE</t>
  </si>
  <si>
    <t>J5030A0024</t>
  </si>
  <si>
    <t>MCDANIEL GEORGE R</t>
  </si>
  <si>
    <t>MCDANIEL BARBARA G</t>
  </si>
  <si>
    <t>297 EAST LAKE DRIVE</t>
  </si>
  <si>
    <t>J5030A0027</t>
  </si>
  <si>
    <t>THOMPSON DAVID ALEXANDER</t>
  </si>
  <si>
    <t>THOMPSON BETH NAYLOR</t>
  </si>
  <si>
    <t>183 SUNNY DELL LANE</t>
  </si>
  <si>
    <t>27028-2678</t>
  </si>
  <si>
    <t>J5030A0030</t>
  </si>
  <si>
    <t>SANDERS HENRY M JR</t>
  </si>
  <si>
    <t>177 SUNNY DELL LANE</t>
  </si>
  <si>
    <t>J4140A0014</t>
  </si>
  <si>
    <t>HOLT JAMEY</t>
  </si>
  <si>
    <t>HOLT JULIE FULLER</t>
  </si>
  <si>
    <t>130 NEW HAMPSHIRE COURT</t>
  </si>
  <si>
    <t>27028-4265</t>
  </si>
  <si>
    <t>J5040A0012</t>
  </si>
  <si>
    <t>BAKER KEVIN R</t>
  </si>
  <si>
    <t>BAKER LISA D</t>
  </si>
  <si>
    <t>401 EAST LAKE DRIVE</t>
  </si>
  <si>
    <t>27028-2646</t>
  </si>
  <si>
    <t>J4140A0041</t>
  </si>
  <si>
    <t>ROBERTSON CATHERINE CLARKSON</t>
  </si>
  <si>
    <t>ROBERTSON MARK EDWARD</t>
  </si>
  <si>
    <t>190 NEW HAMPSHIRE COURT</t>
  </si>
  <si>
    <t>J50000000501</t>
  </si>
  <si>
    <t>CROTTS MARK ALAN</t>
  </si>
  <si>
    <t>1027 US HWY 64 EAST</t>
  </si>
  <si>
    <t>J5050A0015</t>
  </si>
  <si>
    <t>LONG JULIA</t>
  </si>
  <si>
    <t>138 POLARIS DRIVEVE</t>
  </si>
  <si>
    <t>27028-2657</t>
  </si>
  <si>
    <t>J5050A0017</t>
  </si>
  <si>
    <t>BUMGARNER TODD F</t>
  </si>
  <si>
    <t>BUMGARNER ANNA R</t>
  </si>
  <si>
    <t>122 POLARIS DRIVE</t>
  </si>
  <si>
    <t>J5050A0018</t>
  </si>
  <si>
    <t>PLOTT JEFFREY THOMAS</t>
  </si>
  <si>
    <t>PLOTT ANGELA PRICE</t>
  </si>
  <si>
    <t>112 POLARIS DRIVE</t>
  </si>
  <si>
    <t>N5010C0078</t>
  </si>
  <si>
    <t>J5170A0022</t>
  </si>
  <si>
    <t>SHELTON EDWARD E</t>
  </si>
  <si>
    <t>SHELTON LINDA T</t>
  </si>
  <si>
    <t>183 MARBROOK ROAD</t>
  </si>
  <si>
    <t>J5150A0007</t>
  </si>
  <si>
    <t>KENNEDY JOEY C</t>
  </si>
  <si>
    <t>KENNEDY VICKIE B</t>
  </si>
  <si>
    <t>147 HICKORY DRIVE</t>
  </si>
  <si>
    <t>J5150A0006</t>
  </si>
  <si>
    <t>J5150A0012</t>
  </si>
  <si>
    <t>J5150A0008</t>
  </si>
  <si>
    <t>J5150A0009</t>
  </si>
  <si>
    <t>WALL ROBERT L JR</t>
  </si>
  <si>
    <t>WALL SUSAN B</t>
  </si>
  <si>
    <t>157 HICKORY DRIVE</t>
  </si>
  <si>
    <t>J5150B0001</t>
  </si>
  <si>
    <t>MANZINI STEVEN</t>
  </si>
  <si>
    <t>MANZINI CHRISTINE</t>
  </si>
  <si>
    <t>307 SOUTHWOOD DRIVE</t>
  </si>
  <si>
    <t>J5170A0026</t>
  </si>
  <si>
    <t>MEYER JEFFERY J</t>
  </si>
  <si>
    <t>SOFTYE VEROXIE PAULA</t>
  </si>
  <si>
    <t>143 MARBROOK DRIVE</t>
  </si>
  <si>
    <t>J500000025</t>
  </si>
  <si>
    <t>HATLEY MARY J</t>
  </si>
  <si>
    <t>J5150E0001</t>
  </si>
  <si>
    <t>MORGAN RANDY DEAN</t>
  </si>
  <si>
    <t>MORGAN REMONA R</t>
  </si>
  <si>
    <t>346 ROLLINGWOOD DRIVE</t>
  </si>
  <si>
    <t>J4050B0012</t>
  </si>
  <si>
    <t>J5010D0074</t>
  </si>
  <si>
    <t>BUWALDA WILLIAM EDWARD III</t>
  </si>
  <si>
    <t>BUWALDA TAMMY</t>
  </si>
  <si>
    <t>161 WINDING CREEK ROAD</t>
  </si>
  <si>
    <t>J50000003206</t>
  </si>
  <si>
    <t>JUNKER CLINTON LLOYD</t>
  </si>
  <si>
    <t>JUNKER KATY H</t>
  </si>
  <si>
    <t>936 US HIGHWAY 64 EAST</t>
  </si>
  <si>
    <t>27028-5457</t>
  </si>
  <si>
    <t>J600000001</t>
  </si>
  <si>
    <t>SHEEK JOHN R</t>
  </si>
  <si>
    <t>SHEEK LYNNE F</t>
  </si>
  <si>
    <t>1420 US HIGHWAY 64 EAST</t>
  </si>
  <si>
    <t>J60000000201</t>
  </si>
  <si>
    <t>J60000000202</t>
  </si>
  <si>
    <t>CHAVEZ ANTHONY</t>
  </si>
  <si>
    <t>CHAVEZ CATHERINE JEAN</t>
  </si>
  <si>
    <t>1476 US HWY 64 EAST</t>
  </si>
  <si>
    <t>J600000005</t>
  </si>
  <si>
    <t>HUTCHENS CLYDE E</t>
  </si>
  <si>
    <t>HUTCHENS OFELIA O</t>
  </si>
  <si>
    <t>557 JOHN CROTTS ROAD</t>
  </si>
  <si>
    <t>J600000010</t>
  </si>
  <si>
    <t>CARTER JAMES H</t>
  </si>
  <si>
    <t>CARTER BARBARA</t>
  </si>
  <si>
    <t>196 CALL ROAD</t>
  </si>
  <si>
    <t>J60000001004</t>
  </si>
  <si>
    <t>CARTER FRANK B</t>
  </si>
  <si>
    <t>150 CALL ROAD</t>
  </si>
  <si>
    <t>J60000001001</t>
  </si>
  <si>
    <t>JAMES MILDRED W</t>
  </si>
  <si>
    <t>1613 HIGHWAY 64 EAST</t>
  </si>
  <si>
    <t>J500000039</t>
  </si>
  <si>
    <t>J500000040</t>
  </si>
  <si>
    <t>K50000008503</t>
  </si>
  <si>
    <t>FROST ROBERT LOUIS</t>
  </si>
  <si>
    <t>715 WILL BOONE ROAD</t>
  </si>
  <si>
    <t>27028-5487</t>
  </si>
  <si>
    <t>J5010B0018</t>
  </si>
  <si>
    <t>J5010C0040</t>
  </si>
  <si>
    <t>MOUNT ZION HOLINESS CHURCH</t>
  </si>
  <si>
    <t>111 HOLMAN STREET</t>
  </si>
  <si>
    <t>J600000027</t>
  </si>
  <si>
    <t>J5010C004101</t>
  </si>
  <si>
    <t>J5010D0029</t>
  </si>
  <si>
    <t>HARDY WAYMOTH</t>
  </si>
  <si>
    <t>HARDY DAISY H</t>
  </si>
  <si>
    <t>124 CLOISTER DRIVE</t>
  </si>
  <si>
    <t>27028-2672</t>
  </si>
  <si>
    <t>J5010D0030</t>
  </si>
  <si>
    <t>FURCHES ROBERT DAVIS</t>
  </si>
  <si>
    <t>130 CLOISTER DRIVE</t>
  </si>
  <si>
    <t>J5020A0009</t>
  </si>
  <si>
    <t>ROSE LOIS JEANE</t>
  </si>
  <si>
    <t>183 CRESTVIEW DRIVE</t>
  </si>
  <si>
    <t>J6050A0001</t>
  </si>
  <si>
    <t>SEAGER JERRY C</t>
  </si>
  <si>
    <t>SEAGER PAULINE</t>
  </si>
  <si>
    <t>248 PINE VALLEY ROAD</t>
  </si>
  <si>
    <t>J6100A0017</t>
  </si>
  <si>
    <t>RISNER CHARLES H</t>
  </si>
  <si>
    <t>RISNER SUSAN T</t>
  </si>
  <si>
    <t>167 N LAKE LOUISE DRIVE</t>
  </si>
  <si>
    <t>27028-7172</t>
  </si>
  <si>
    <t>J6100B0017</t>
  </si>
  <si>
    <t>STEVENS DONALD G</t>
  </si>
  <si>
    <t>STEVENS ROSEMARY A</t>
  </si>
  <si>
    <t>173 RESERVE DRIVE</t>
  </si>
  <si>
    <t>J60000005404</t>
  </si>
  <si>
    <t>MILLER CHARLES D JR</t>
  </si>
  <si>
    <t>MILLER LORETTA W</t>
  </si>
  <si>
    <t>328 CORNATZER ROAD</t>
  </si>
  <si>
    <t>J60000005403</t>
  </si>
  <si>
    <t>J60000005407</t>
  </si>
  <si>
    <t>NILAND JAY T</t>
  </si>
  <si>
    <t>NILAND DIANE L</t>
  </si>
  <si>
    <t>260 CORNATZER ROAD</t>
  </si>
  <si>
    <t>K70000002001</t>
  </si>
  <si>
    <t>JONES DALLAS WAYNE</t>
  </si>
  <si>
    <t>JONES CONNIE LEE HENDRIX</t>
  </si>
  <si>
    <t>2338 US HIGHWAY 64 EAST</t>
  </si>
  <si>
    <t>27028-7418</t>
  </si>
  <si>
    <t>J60000006901</t>
  </si>
  <si>
    <t>J600000071</t>
  </si>
  <si>
    <t>J500000020</t>
  </si>
  <si>
    <t>K700000005</t>
  </si>
  <si>
    <t>I500000040</t>
  </si>
  <si>
    <t>I500000031</t>
  </si>
  <si>
    <t>J5020A0017</t>
  </si>
  <si>
    <t>J60000005416</t>
  </si>
  <si>
    <t>I70000001808</t>
  </si>
  <si>
    <t>J70000004105</t>
  </si>
  <si>
    <t>J60000005603</t>
  </si>
  <si>
    <t>YOUNG TODD</t>
  </si>
  <si>
    <t>YOUNG OLIVIA MICHELLE</t>
  </si>
  <si>
    <t>7093 HIGHWAY 801 SOUTH</t>
  </si>
  <si>
    <t>J5030A0001</t>
  </si>
  <si>
    <t>J5030A0014</t>
  </si>
  <si>
    <t>VIDES YONI ALSIDES</t>
  </si>
  <si>
    <t>VIDES ELY V</t>
  </si>
  <si>
    <t>182 SUNNYDELL LANE</t>
  </si>
  <si>
    <t>J600000059</t>
  </si>
  <si>
    <t>TAYLOR MONTE LYNN</t>
  </si>
  <si>
    <t>242 JOE ROAD</t>
  </si>
  <si>
    <t>J60000005901</t>
  </si>
  <si>
    <t>J600000060</t>
  </si>
  <si>
    <t>JAMES LINDA FAYE</t>
  </si>
  <si>
    <t>198 JOE ROAD</t>
  </si>
  <si>
    <t>27028-7249</t>
  </si>
  <si>
    <t>J600000099</t>
  </si>
  <si>
    <t>FONSECA SARAH L</t>
  </si>
  <si>
    <t>136 JOE ROAD</t>
  </si>
  <si>
    <t>J5040A0010</t>
  </si>
  <si>
    <t>CHURCH KEVIN</t>
  </si>
  <si>
    <t>409 EAST LAKE</t>
  </si>
  <si>
    <t>J5050A0004</t>
  </si>
  <si>
    <t>BROWN ANDREW WAYMOND JR</t>
  </si>
  <si>
    <t>532 EAST LAKE DRIVE</t>
  </si>
  <si>
    <t>27028-2654</t>
  </si>
  <si>
    <t>J5050A0007</t>
  </si>
  <si>
    <t>SERIO ANTHONY JAMES</t>
  </si>
  <si>
    <t>SERIO DIANE A</t>
  </si>
  <si>
    <t>137 POLARIS DRIVE</t>
  </si>
  <si>
    <t>27028-2658</t>
  </si>
  <si>
    <t>J5150A0003</t>
  </si>
  <si>
    <t>BARKER CHARLIE N</t>
  </si>
  <si>
    <t>JARVIS VICTORIA B</t>
  </si>
  <si>
    <t>113 HICKORY DRIVE</t>
  </si>
  <si>
    <t>J60000009601</t>
  </si>
  <si>
    <t>COPE TRACY SCOTT</t>
  </si>
  <si>
    <t>COPE CHRISTY M</t>
  </si>
  <si>
    <t>139 GROVER ROAD</t>
  </si>
  <si>
    <t>J600000103</t>
  </si>
  <si>
    <t>WEAVER GREGORY SCHAEFFER</t>
  </si>
  <si>
    <t>137 SHERDEN LANE</t>
  </si>
  <si>
    <t>J600000104</t>
  </si>
  <si>
    <t>J600000102</t>
  </si>
  <si>
    <t>J6050A0008</t>
  </si>
  <si>
    <t>BAHNSON PAMELA B</t>
  </si>
  <si>
    <t>154 PINE VALLEY ROAD</t>
  </si>
  <si>
    <t>J5150D0004</t>
  </si>
  <si>
    <t>CARTER LAWRENCE R</t>
  </si>
  <si>
    <t>J5150D0006</t>
  </si>
  <si>
    <t>CARTER ALLEN W</t>
  </si>
  <si>
    <t>CARTER DIANE A</t>
  </si>
  <si>
    <t>287 ROLLINGWOOD DRIVE</t>
  </si>
  <si>
    <t>J6050B0004</t>
  </si>
  <si>
    <t>STAINBACK WILLIAM R</t>
  </si>
  <si>
    <t>STAINBACK VERLIENE T</t>
  </si>
  <si>
    <t>140 SHADY BROOK ROAD</t>
  </si>
  <si>
    <t>27028-7405</t>
  </si>
  <si>
    <t>J6050B0003</t>
  </si>
  <si>
    <t>J6050B0005</t>
  </si>
  <si>
    <t>HARRISON PAULA SINK</t>
  </si>
  <si>
    <t>HARRISON STEPHEN MICHAEL</t>
  </si>
  <si>
    <t>122 SHADY BROOK RD</t>
  </si>
  <si>
    <t>J6050B0006</t>
  </si>
  <si>
    <t>SEAMON JANET P</t>
  </si>
  <si>
    <t>157 PINE VALLEY ROAD</t>
  </si>
  <si>
    <t>L50000008501</t>
  </si>
  <si>
    <t>J6050C0002</t>
  </si>
  <si>
    <t>RENFROE WILLIAM O JR</t>
  </si>
  <si>
    <t>RENFROE MELANIE S</t>
  </si>
  <si>
    <t>187 HAWTHORNE ROAD</t>
  </si>
  <si>
    <t>J5010D0058</t>
  </si>
  <si>
    <t>BROWN KEITH B</t>
  </si>
  <si>
    <t>BROWN MARCELLA F</t>
  </si>
  <si>
    <t>294 CHARLESTON RIDGE DRIVE</t>
  </si>
  <si>
    <t>J5010D0060</t>
  </si>
  <si>
    <t>NAIL CATHY V</t>
  </si>
  <si>
    <t>265 WINDING CREEK ROAD</t>
  </si>
  <si>
    <t>27028-2689</t>
  </si>
  <si>
    <t>J6050C0007</t>
  </si>
  <si>
    <t>BEAVER JOHN THOMAS</t>
  </si>
  <si>
    <t>BEAVER CAROLYN C</t>
  </si>
  <si>
    <t>173 SHADY BROOK ROAD</t>
  </si>
  <si>
    <t>J6050C0015</t>
  </si>
  <si>
    <t>BIGENHO THEODORE M</t>
  </si>
  <si>
    <t>BIGENHO JENNIFER E</t>
  </si>
  <si>
    <t>181 SHADYBROOK ROAD</t>
  </si>
  <si>
    <t>J6050C0019</t>
  </si>
  <si>
    <t>HENDRICKS JERRY M</t>
  </si>
  <si>
    <t>HENDRICKS VICKI J</t>
  </si>
  <si>
    <t>261 PINE VALLEY ROAD</t>
  </si>
  <si>
    <t>J6050C0020</t>
  </si>
  <si>
    <t>WALL KEITH G</t>
  </si>
  <si>
    <t>WALL CYNTHIA F</t>
  </si>
  <si>
    <t>269 PINE VALLEY ROAD</t>
  </si>
  <si>
    <t>J6050C0021</t>
  </si>
  <si>
    <t>RANDALL STANLEY E</t>
  </si>
  <si>
    <t>RANDALL PAMELA B</t>
  </si>
  <si>
    <t>268 PINE VALLEY ROAD</t>
  </si>
  <si>
    <t>J6050D0003</t>
  </si>
  <si>
    <t>COX RONNIE L</t>
  </si>
  <si>
    <t>COX GENNIE R</t>
  </si>
  <si>
    <t>137 MEADOWVIEW ROAD</t>
  </si>
  <si>
    <t>27028-7319</t>
  </si>
  <si>
    <t>J6050D0008</t>
  </si>
  <si>
    <t>AUTRY FRANK M III</t>
  </si>
  <si>
    <t>AUTRY SANDRA L</t>
  </si>
  <si>
    <t>171 MEADOWVIEW ROAD</t>
  </si>
  <si>
    <t>J6050D0012</t>
  </si>
  <si>
    <t>JACOBS PAUL V</t>
  </si>
  <si>
    <t>JACOBS LINDA N</t>
  </si>
  <si>
    <t>127 SHADY BROOK ROAD</t>
  </si>
  <si>
    <t>J6050D0016</t>
  </si>
  <si>
    <t>COZART WILLIAM M JR</t>
  </si>
  <si>
    <t>COZART CAROL HASTE</t>
  </si>
  <si>
    <t>141 CEDAR RIDGE ROAD</t>
  </si>
  <si>
    <t>J6050D0015</t>
  </si>
  <si>
    <t>J5010D0066</t>
  </si>
  <si>
    <t>MORALES JANETTE</t>
  </si>
  <si>
    <t>135 APPLEGATE COURT</t>
  </si>
  <si>
    <t>J5160C0010</t>
  </si>
  <si>
    <t>HUNT DAVID ANDREW</t>
  </si>
  <si>
    <t>HUNT KATHERINE S</t>
  </si>
  <si>
    <t>283 RANDOM ROAD</t>
  </si>
  <si>
    <t>J6060A000901</t>
  </si>
  <si>
    <t>LEE DAVID E</t>
  </si>
  <si>
    <t>LEE MARSHA H</t>
  </si>
  <si>
    <t>175 CEDAR RIDGE ROAD</t>
  </si>
  <si>
    <t>J60000002013</t>
  </si>
  <si>
    <t>DALTON THOMAS E</t>
  </si>
  <si>
    <t>DALTON GLORIA D</t>
  </si>
  <si>
    <t>PO BOX 1152</t>
  </si>
  <si>
    <t>J70000000705</t>
  </si>
  <si>
    <t>MELTON BILLY E</t>
  </si>
  <si>
    <t>MELTON MARETHA MCBRIDE</t>
  </si>
  <si>
    <t>294 NO CREEK ROAD</t>
  </si>
  <si>
    <t>J70000005002</t>
  </si>
  <si>
    <t>ALLEN JOE STANLEY</t>
  </si>
  <si>
    <t>356 AUBREY MERRELL RD</t>
  </si>
  <si>
    <t>J700000050</t>
  </si>
  <si>
    <t>J70000005101</t>
  </si>
  <si>
    <t>J700000009</t>
  </si>
  <si>
    <t>J60000002014</t>
  </si>
  <si>
    <t>J60000002301</t>
  </si>
  <si>
    <t>WILKES GLENN L</t>
  </si>
  <si>
    <t>WILKES ROSALYN</t>
  </si>
  <si>
    <t>365 DALTON ROAD</t>
  </si>
  <si>
    <t>J700000012</t>
  </si>
  <si>
    <t>NO CREEK PRIMITIVE BAPTIST</t>
  </si>
  <si>
    <t>222 MERRILL AUBREY ROAD</t>
  </si>
  <si>
    <t>J700000021</t>
  </si>
  <si>
    <t>CLINE AMANDA DEANN</t>
  </si>
  <si>
    <t>121 EVERHART ROAD</t>
  </si>
  <si>
    <t>27028-7210</t>
  </si>
  <si>
    <t>J70000002102</t>
  </si>
  <si>
    <t>IJAMES TIMOTHY R</t>
  </si>
  <si>
    <t>235 JOE ROAD</t>
  </si>
  <si>
    <t>27028-7250</t>
  </si>
  <si>
    <t>J700000023</t>
  </si>
  <si>
    <t>CARR MATTIE L HEIRS</t>
  </si>
  <si>
    <t>50 HAWAII AVE NE APT 103</t>
  </si>
  <si>
    <t>WASHINGTON</t>
  </si>
  <si>
    <t>DC</t>
  </si>
  <si>
    <t>20011-0000</t>
  </si>
  <si>
    <t>J700000024</t>
  </si>
  <si>
    <t>HAIRSTON OLIVER HEIRS</t>
  </si>
  <si>
    <t>J600000034</t>
  </si>
  <si>
    <t>VOLPE HERMAN L</t>
  </si>
  <si>
    <t>VOLPE JANIE M</t>
  </si>
  <si>
    <t>2611 LANSDOWNE DRIVE</t>
  </si>
  <si>
    <t>J700000040</t>
  </si>
  <si>
    <t>KING ROBBIE GENE</t>
  </si>
  <si>
    <t>361 JOE ROAD</t>
  </si>
  <si>
    <t>27028-7251</t>
  </si>
  <si>
    <t>J70000003802</t>
  </si>
  <si>
    <t>J70000003801</t>
  </si>
  <si>
    <t>J700000039</t>
  </si>
  <si>
    <t>ELWOOD DAVID K</t>
  </si>
  <si>
    <t>ELWOOD GAIL N</t>
  </si>
  <si>
    <t>373 JOE ROAD</t>
  </si>
  <si>
    <t>J700000033</t>
  </si>
  <si>
    <t>JONES NELSON</t>
  </si>
  <si>
    <t>JONES JANE</t>
  </si>
  <si>
    <t>J600000040</t>
  </si>
  <si>
    <t>NASH SUSAN JO</t>
  </si>
  <si>
    <t>455 WILEY AVENUE</t>
  </si>
  <si>
    <t>J600000041</t>
  </si>
  <si>
    <t>J600000045</t>
  </si>
  <si>
    <t>HENDRIX DEAN P</t>
  </si>
  <si>
    <t>HENDRIX SHERRILYN A</t>
  </si>
  <si>
    <t>201 GARWOOD ROAD</t>
  </si>
  <si>
    <t>J70000004903</t>
  </si>
  <si>
    <t>PHELPS TAMRA M</t>
  </si>
  <si>
    <t>PHELPS GARY D</t>
  </si>
  <si>
    <t>27028-7102</t>
  </si>
  <si>
    <t>J70000005001</t>
  </si>
  <si>
    <t>ALLEN GLYNDA CRANFILL</t>
  </si>
  <si>
    <t>356 AUBREY MERRELL ROAD</t>
  </si>
  <si>
    <t>J70000005303</t>
  </si>
  <si>
    <t>HENDRIX STEPHANIE BARNES</t>
  </si>
  <si>
    <t>HENDRIX JERRY CLYDE JR</t>
  </si>
  <si>
    <t>207 MERRELLS LAKE ROAD</t>
  </si>
  <si>
    <t>27028-7321</t>
  </si>
  <si>
    <t>J700000056</t>
  </si>
  <si>
    <t>MERRELL WILSON F REV TRUST</t>
  </si>
  <si>
    <t>MERRELL ELIZABETH H REV TRUST</t>
  </si>
  <si>
    <t>341 MERRELL'S LAKE ROAD</t>
  </si>
  <si>
    <t>J600000043</t>
  </si>
  <si>
    <t>J60000004701</t>
  </si>
  <si>
    <t>TURNER CHARLES M</t>
  </si>
  <si>
    <t>TURNER PENNY W</t>
  </si>
  <si>
    <t>162 FAIRFAX LANE</t>
  </si>
  <si>
    <t>27028-5209</t>
  </si>
  <si>
    <t>J600000101</t>
  </si>
  <si>
    <t>J60000005801</t>
  </si>
  <si>
    <t>DYSON JODI MONIQUE</t>
  </si>
  <si>
    <t>236 MULLINS ROAD</t>
  </si>
  <si>
    <t>J700000076</t>
  </si>
  <si>
    <t>OSBORNE JOHN D</t>
  </si>
  <si>
    <t>OSBORNE JUDY H</t>
  </si>
  <si>
    <t>2873 US HIGHWAY 64 EAST</t>
  </si>
  <si>
    <t>27028-7423</t>
  </si>
  <si>
    <t>J60000005802</t>
  </si>
  <si>
    <t>J60000007302</t>
  </si>
  <si>
    <t>CORNATZER RUBY JEAN</t>
  </si>
  <si>
    <t>CORNATZER HAYDEN DANNY</t>
  </si>
  <si>
    <t>672 BALTIMORE ROAD</t>
  </si>
  <si>
    <t>27006-7816</t>
  </si>
  <si>
    <t>J600000076</t>
  </si>
  <si>
    <t>SOLOVTZOFF NICHOLAS</t>
  </si>
  <si>
    <t>SOLOVTZOFF TERESA G</t>
  </si>
  <si>
    <t>1989 US HIGHWAY 64 EAST</t>
  </si>
  <si>
    <t>27028-7414</t>
  </si>
  <si>
    <t>J70000010309</t>
  </si>
  <si>
    <t>TRIVETTE CHRISTOPHER BRIAN</t>
  </si>
  <si>
    <t>174 SPRING VALLEY LANE</t>
  </si>
  <si>
    <t>J700000109</t>
  </si>
  <si>
    <t>SMOOT PAMELA</t>
  </si>
  <si>
    <t>227 CEDAR GROVE CHURCH ROAD</t>
  </si>
  <si>
    <t>J70000010901</t>
  </si>
  <si>
    <t>SMOOT MARJORIE</t>
  </si>
  <si>
    <t>243 CEDAR GROVE CHURCH ROAD</t>
  </si>
  <si>
    <t>27028-7113</t>
  </si>
  <si>
    <t>J60000009401</t>
  </si>
  <si>
    <t>GRUBB ELLEN G</t>
  </si>
  <si>
    <t>130 KENT LANE</t>
  </si>
  <si>
    <t>J600000096</t>
  </si>
  <si>
    <t>J6050A0009</t>
  </si>
  <si>
    <t>BAHNSON FRANCIS H III</t>
  </si>
  <si>
    <t>J7010A0001</t>
  </si>
  <si>
    <t>GREENE DANIEL C</t>
  </si>
  <si>
    <t>GREENE SANDRA B</t>
  </si>
  <si>
    <t>109 HICKORY TREE ROAD</t>
  </si>
  <si>
    <t>J7010A0007</t>
  </si>
  <si>
    <t>SCHWENGEL KIRK C</t>
  </si>
  <si>
    <t>153 HICKORY TREE ROAD</t>
  </si>
  <si>
    <t>J6050A0010</t>
  </si>
  <si>
    <t>J6050C001101</t>
  </si>
  <si>
    <t>OVERCASH MARGARET A</t>
  </si>
  <si>
    <t>126 CEDAR RIDGE ROAD</t>
  </si>
  <si>
    <t>J5160A0011</t>
  </si>
  <si>
    <t>DANIEL JAMES JERRY ETAL</t>
  </si>
  <si>
    <t>BARBER RYAN</t>
  </si>
  <si>
    <t>216 MOHEGAN TRAIL</t>
  </si>
  <si>
    <t>27028-6942</t>
  </si>
  <si>
    <t>J7050A0002</t>
  </si>
  <si>
    <t>EPISCOPAL CHURCH OF ASSENTION</t>
  </si>
  <si>
    <t>183 FORK BIXBY ROAD</t>
  </si>
  <si>
    <t>J7050B0003</t>
  </si>
  <si>
    <t>ROBERTSON DAVID D</t>
  </si>
  <si>
    <t>ROBERTSON EMILY H</t>
  </si>
  <si>
    <t>27006-7218</t>
  </si>
  <si>
    <t>J7050B0002</t>
  </si>
  <si>
    <t>J6050C0014</t>
  </si>
  <si>
    <t>J5160C0002</t>
  </si>
  <si>
    <t>TRIPLETT RICKY LEE</t>
  </si>
  <si>
    <t>TRIPLETT DEBORAH B</t>
  </si>
  <si>
    <t>189 RANDOM ROAD</t>
  </si>
  <si>
    <t>J6100A0010</t>
  </si>
  <si>
    <t>BROMLEY ROBERT E</t>
  </si>
  <si>
    <t>BROMLEY DIANA F</t>
  </si>
  <si>
    <t>145 NORTH LAKE LOUISE DRIVE</t>
  </si>
  <si>
    <t>J7080A0008</t>
  </si>
  <si>
    <t>OSBORNE KAREN W</t>
  </si>
  <si>
    <t>157 AUBREY MERRELL ROAD</t>
  </si>
  <si>
    <t>J7080B0001</t>
  </si>
  <si>
    <t>FERGUSON DARIN E</t>
  </si>
  <si>
    <t>FERGUSON MELANIE B</t>
  </si>
  <si>
    <t>109 CEDARWOOD PLACE</t>
  </si>
  <si>
    <t>27028-7163</t>
  </si>
  <si>
    <t>J7080B0003</t>
  </si>
  <si>
    <t>HINDS WILLIAM J</t>
  </si>
  <si>
    <t>HINDS LEILA G</t>
  </si>
  <si>
    <t>137 CEDARWOOD PLACE</t>
  </si>
  <si>
    <t>J7080B0005</t>
  </si>
  <si>
    <t>LOVE BENJAMIN R</t>
  </si>
  <si>
    <t>HALL LOVE ELIZABETH L</t>
  </si>
  <si>
    <t>161 CEDARWOOD PLACE</t>
  </si>
  <si>
    <t>J700000010</t>
  </si>
  <si>
    <t>JORDAN DOUGLAS W</t>
  </si>
  <si>
    <t>JORDAN SHERRY G</t>
  </si>
  <si>
    <t>191 NO CREEK ROAD</t>
  </si>
  <si>
    <t>27028-7340</t>
  </si>
  <si>
    <t>J7080B0010</t>
  </si>
  <si>
    <t>COHEN EVAN D</t>
  </si>
  <si>
    <t>COHEN JEENIFER R</t>
  </si>
  <si>
    <t>131 NORTH HAZELWOOD DRIVE</t>
  </si>
  <si>
    <t>J7080B0011</t>
  </si>
  <si>
    <t>QUANCE JONATHAN D</t>
  </si>
  <si>
    <t>QUANCE EMILY C</t>
  </si>
  <si>
    <t>139 NORTH HAZELWOOD DRIVE</t>
  </si>
  <si>
    <t>J7080B0014</t>
  </si>
  <si>
    <t>RAINEY CHAD</t>
  </si>
  <si>
    <t>169 HAZELWOOD DRIVE</t>
  </si>
  <si>
    <t>J7080B0017</t>
  </si>
  <si>
    <t>SILVERSTEIN PAUL D</t>
  </si>
  <si>
    <t>186 NORTH HAZELWOOD DRIVE</t>
  </si>
  <si>
    <t>J7080B0018</t>
  </si>
  <si>
    <t>VIZCAINO RICHARD S</t>
  </si>
  <si>
    <t>VIZCAINO SHAYNE E</t>
  </si>
  <si>
    <t>174 NORTH HAZELWOOD DRIVE</t>
  </si>
  <si>
    <t>J7080B0020</t>
  </si>
  <si>
    <t>KIMBLE MELVIN L</t>
  </si>
  <si>
    <t>KIMBLE CATHY B</t>
  </si>
  <si>
    <t>150 N HAZELWOOD DRIVE</t>
  </si>
  <si>
    <t>J7080B0022</t>
  </si>
  <si>
    <t>SCOGGINS WILLIAM C IV</t>
  </si>
  <si>
    <t>SCOGGINS STEPHANIE MCDANIEL</t>
  </si>
  <si>
    <t>112 NORTH HAZELWOOD DRIVE</t>
  </si>
  <si>
    <t>27028-7164</t>
  </si>
  <si>
    <t>J700000011</t>
  </si>
  <si>
    <t>J700000122</t>
  </si>
  <si>
    <t>J70000004701</t>
  </si>
  <si>
    <t>MCCLANNON MARK RICE</t>
  </si>
  <si>
    <t>MCCLANNON ARLENE S</t>
  </si>
  <si>
    <t>298 AUBREY MERRELL ROAD</t>
  </si>
  <si>
    <t>27028-7101</t>
  </si>
  <si>
    <t>J700000048</t>
  </si>
  <si>
    <t>BOOE RONALD</t>
  </si>
  <si>
    <t>BOOE CINDY</t>
  </si>
  <si>
    <t>172 NO CREEK ROAD</t>
  </si>
  <si>
    <t>J70000004902</t>
  </si>
  <si>
    <t>QUEEN BRAD</t>
  </si>
  <si>
    <t>QUEEN SHERRIE</t>
  </si>
  <si>
    <t>335 AUBREY MERRELL ROAD</t>
  </si>
  <si>
    <t>J700000060</t>
  </si>
  <si>
    <t>GAITHER BRENDA ANN ETAL</t>
  </si>
  <si>
    <t>GAITHER KAANAH TAVERES</t>
  </si>
  <si>
    <t>8 SHARPSBURG LANE</t>
  </si>
  <si>
    <t>FREDERICKSBURG</t>
  </si>
  <si>
    <t>22405-0000</t>
  </si>
  <si>
    <t>J7120A0004</t>
  </si>
  <si>
    <t>HUFFMAN CARRIE A</t>
  </si>
  <si>
    <t>HUFFMAN GARRY KENT JR</t>
  </si>
  <si>
    <t>3089 US HIGHWAY 64 EAST</t>
  </si>
  <si>
    <t>27028-7425</t>
  </si>
  <si>
    <t>J7120A0005</t>
  </si>
  <si>
    <t>WARD PAUL KEITH</t>
  </si>
  <si>
    <t>WARD DONNA SUE</t>
  </si>
  <si>
    <t>3095 US HIGHWAY 64 EAST</t>
  </si>
  <si>
    <t>J7120A0012</t>
  </si>
  <si>
    <t>FORK VOLUNTEER FIRE DEPARTMENT</t>
  </si>
  <si>
    <t>3514 US HWY 64 EAST</t>
  </si>
  <si>
    <t>J7120A0018</t>
  </si>
  <si>
    <t>J7120A0019</t>
  </si>
  <si>
    <t>J7120A0013</t>
  </si>
  <si>
    <t>DENNY JOSEPH W JR</t>
  </si>
  <si>
    <t>143 FORK BIXBY ROAD</t>
  </si>
  <si>
    <t>J7120A0017</t>
  </si>
  <si>
    <t>GRIFFIN MARGUERITE DENA</t>
  </si>
  <si>
    <t>116 FORK BIXBY ROAD</t>
  </si>
  <si>
    <t>J7120A001601</t>
  </si>
  <si>
    <t>J70000006001</t>
  </si>
  <si>
    <t>J70000006501</t>
  </si>
  <si>
    <t>MOORE TONY K</t>
  </si>
  <si>
    <t>MOORE TONIA J</t>
  </si>
  <si>
    <t>2770 US HIGHWAY 64 EAST</t>
  </si>
  <si>
    <t>J70000007201</t>
  </si>
  <si>
    <t>ALLEN DAWN S</t>
  </si>
  <si>
    <t>156 HOMESTEAD LANE</t>
  </si>
  <si>
    <t>J700000094</t>
  </si>
  <si>
    <t>BAILEY JEAN B</t>
  </si>
  <si>
    <t>283 FORK BIXBY ROAD</t>
  </si>
  <si>
    <t>J700000088</t>
  </si>
  <si>
    <t>J700000096</t>
  </si>
  <si>
    <t>BLAND CECIL W JR</t>
  </si>
  <si>
    <t>BLAND VIRGINIA J</t>
  </si>
  <si>
    <t>2654 STADLER DRIVE</t>
  </si>
  <si>
    <t>ELON COLLEGE</t>
  </si>
  <si>
    <t>27244-0000</t>
  </si>
  <si>
    <t>J70000011101</t>
  </si>
  <si>
    <t>WESTON JAMES R</t>
  </si>
  <si>
    <t>WESTON LYNDA R</t>
  </si>
  <si>
    <t>4601 LINDSAY DRIVE</t>
  </si>
  <si>
    <t>27612-0000</t>
  </si>
  <si>
    <t>J700000115</t>
  </si>
  <si>
    <t>BROWN KENNETH OTHA</t>
  </si>
  <si>
    <t>BROWN LINDA FAYE</t>
  </si>
  <si>
    <t>296 CEDAR GROVE CHURCH ROAD</t>
  </si>
  <si>
    <t>J700000117</t>
  </si>
  <si>
    <t>SMOOT DARRYL BENJAMIN</t>
  </si>
  <si>
    <t>234 CEDAR GROVE CHURCH ROAD</t>
  </si>
  <si>
    <t>J7010A001301</t>
  </si>
  <si>
    <t>DEANE STEPHEN R</t>
  </si>
  <si>
    <t>DEANE ROBIN D</t>
  </si>
  <si>
    <t>190 HICKORY TREE ROAD</t>
  </si>
  <si>
    <t>J7010A0019</t>
  </si>
  <si>
    <t>RABON STEVEN G</t>
  </si>
  <si>
    <t>RABON CINDY A</t>
  </si>
  <si>
    <t>122 HICKORY TREE ROAD</t>
  </si>
  <si>
    <t>J80000001312</t>
  </si>
  <si>
    <t>HENDRIX WAYNE NATHAN</t>
  </si>
  <si>
    <t>4097 NC HIGHWAY 801 SOUTH</t>
  </si>
  <si>
    <t>27006-7117</t>
  </si>
  <si>
    <t>L80000000605</t>
  </si>
  <si>
    <t>L800000031</t>
  </si>
  <si>
    <t>L80000000603</t>
  </si>
  <si>
    <t>L800000032</t>
  </si>
  <si>
    <t>J80000001703</t>
  </si>
  <si>
    <t>LANIER SHIRLEY SMITH</t>
  </si>
  <si>
    <t>3707 NC HIGHWAY 801 SOUTH</t>
  </si>
  <si>
    <t>27006-7114</t>
  </si>
  <si>
    <t>J800000017</t>
  </si>
  <si>
    <t>J80000002211</t>
  </si>
  <si>
    <t>PACK BRADLEY S</t>
  </si>
  <si>
    <t>PACK ANGELINA M</t>
  </si>
  <si>
    <t>3484 NC HIGHWAY 801 SOUTH</t>
  </si>
  <si>
    <t>J7050A0001</t>
  </si>
  <si>
    <t>CHILDRESS LISA MARIE</t>
  </si>
  <si>
    <t>3107 HIGHWAY 64 EAST</t>
  </si>
  <si>
    <t>J6050E0010</t>
  </si>
  <si>
    <t>KELLER JACKIE RAY</t>
  </si>
  <si>
    <t>KELLER MILDRED C</t>
  </si>
  <si>
    <t>113 PINE VALLEY ROAD</t>
  </si>
  <si>
    <t>H700000066</t>
  </si>
  <si>
    <t>ROBERTSON KENNETH E</t>
  </si>
  <si>
    <t>3447 US HIGHWAY 64 EAST</t>
  </si>
  <si>
    <t>27006-7055</t>
  </si>
  <si>
    <t>J800000034</t>
  </si>
  <si>
    <t>ROBERTSON SHIELA P</t>
  </si>
  <si>
    <t>J800000036</t>
  </si>
  <si>
    <t>J800000039</t>
  </si>
  <si>
    <t>GORDON WAYNE F JR</t>
  </si>
  <si>
    <t>GORDON SUSAN K</t>
  </si>
  <si>
    <t>165 TADPOLE TRAIL</t>
  </si>
  <si>
    <t>K10000000201</t>
  </si>
  <si>
    <t>SMITH TERRY K</t>
  </si>
  <si>
    <t>SMITH CRYSTAL</t>
  </si>
  <si>
    <t>PO BOX 2210</t>
  </si>
  <si>
    <t>BOCA GRANDE</t>
  </si>
  <si>
    <t>33921-2210</t>
  </si>
  <si>
    <t>J6050F0001</t>
  </si>
  <si>
    <t>HARRIS JOHN ERIC</t>
  </si>
  <si>
    <t>HARRIS ANGELA B</t>
  </si>
  <si>
    <t>129 HAWTHORNE ROAD</t>
  </si>
  <si>
    <t>J7080B0009</t>
  </si>
  <si>
    <t>MOORE SHAWN M</t>
  </si>
  <si>
    <t>MOORE SHANNON C</t>
  </si>
  <si>
    <t>117 NORTH HAZELWOOD DRIVE</t>
  </si>
  <si>
    <t>J7080B0035</t>
  </si>
  <si>
    <t>LAUNZINGER DENNIS L</t>
  </si>
  <si>
    <t>LAUNZINGER THERESA A</t>
  </si>
  <si>
    <t>166 SOUTH HAZELWOOD DR</t>
  </si>
  <si>
    <t>J7080B0040</t>
  </si>
  <si>
    <t>STOKES ZACHARY ANDREW</t>
  </si>
  <si>
    <t>STOKES AMY MCCRAY</t>
  </si>
  <si>
    <t>143 OAKSHIRE COURT</t>
  </si>
  <si>
    <t>K10000001404</t>
  </si>
  <si>
    <t>HARROD JOE ANN TURNER</t>
  </si>
  <si>
    <t>HARROD ROBERT</t>
  </si>
  <si>
    <t>5213 FREDCREST ROAD</t>
  </si>
  <si>
    <t>BALTO</t>
  </si>
  <si>
    <t>21229-0000</t>
  </si>
  <si>
    <t>K10000001405</t>
  </si>
  <si>
    <t>K200000018</t>
  </si>
  <si>
    <t>WILLIAMS PERRY WALLACE</t>
  </si>
  <si>
    <t>1299 RIDGE ROAD</t>
  </si>
  <si>
    <t>27028-8346</t>
  </si>
  <si>
    <t>K100000016</t>
  </si>
  <si>
    <t>K100000020</t>
  </si>
  <si>
    <t>MILLER KIP M</t>
  </si>
  <si>
    <t>MILLER DENISE</t>
  </si>
  <si>
    <t>PO BOX 611</t>
  </si>
  <si>
    <t>K20000000101</t>
  </si>
  <si>
    <t>K100000017</t>
  </si>
  <si>
    <t>K10000002001</t>
  </si>
  <si>
    <t>COOK MARK H JR</t>
  </si>
  <si>
    <t>COOK SHERRI S</t>
  </si>
  <si>
    <t>190 SMITH ROAD</t>
  </si>
  <si>
    <t>27028-8375</t>
  </si>
  <si>
    <t>J7080B0042</t>
  </si>
  <si>
    <t>HOWELL KAREN KEY</t>
  </si>
  <si>
    <t>167 OAKSHIRE COURT</t>
  </si>
  <si>
    <t>27028-7171</t>
  </si>
  <si>
    <t>J7080B0048</t>
  </si>
  <si>
    <t>MACONOCHIE RICHARD J</t>
  </si>
  <si>
    <t>MACONOCHIE BRENDA L</t>
  </si>
  <si>
    <t>154 OAKSHIRE COURT</t>
  </si>
  <si>
    <t>K10000003301</t>
  </si>
  <si>
    <t>SMITH KATHLEEN W</t>
  </si>
  <si>
    <t>111 JOLLY ROAD</t>
  </si>
  <si>
    <t>27028-5820</t>
  </si>
  <si>
    <t>K10000003601</t>
  </si>
  <si>
    <t>SWISHER WILLIAM ROY</t>
  </si>
  <si>
    <t>SWISHER TERESA M</t>
  </si>
  <si>
    <t>190 CAMPGROUND ROAD</t>
  </si>
  <si>
    <t>K100000036</t>
  </si>
  <si>
    <t>J7080B0049</t>
  </si>
  <si>
    <t>RAYBOULD MARK E</t>
  </si>
  <si>
    <t>RAYBOULD ROBERTA</t>
  </si>
  <si>
    <t>142 OAKSHIRE COURT</t>
  </si>
  <si>
    <t>J7080B0057</t>
  </si>
  <si>
    <t>STEELE MATTHEW D</t>
  </si>
  <si>
    <t>STEELE STEPHANIE B</t>
  </si>
  <si>
    <t>134 CEDARWOOD PLACE</t>
  </si>
  <si>
    <t>K20000001701</t>
  </si>
  <si>
    <t>WEST TERRY LYNN</t>
  </si>
  <si>
    <t>WEST SHIRLEY K</t>
  </si>
  <si>
    <t>791 RIDGE ROAD</t>
  </si>
  <si>
    <t>K20000002002</t>
  </si>
  <si>
    <t>BROWN DON W</t>
  </si>
  <si>
    <t>BROWN LOIS B</t>
  </si>
  <si>
    <t>302 FOSTER ROAD</t>
  </si>
  <si>
    <t>27028-8223</t>
  </si>
  <si>
    <t>K200000020</t>
  </si>
  <si>
    <t>L200000001  B</t>
  </si>
  <si>
    <t>J7120A0026</t>
  </si>
  <si>
    <t>FORK BAPTIST CHURCH</t>
  </si>
  <si>
    <t>3140 US HIGHWAY 64 EAST</t>
  </si>
  <si>
    <t>J7120A002801</t>
  </si>
  <si>
    <t>J800000012</t>
  </si>
  <si>
    <t>DEESE KATHY C</t>
  </si>
  <si>
    <t>DEESE DAVID A</t>
  </si>
  <si>
    <t>124 STONEYBROOK TRAIL</t>
  </si>
  <si>
    <t>MAULDIN</t>
  </si>
  <si>
    <t>29662-0000</t>
  </si>
  <si>
    <t>J80000001305</t>
  </si>
  <si>
    <t>HENDRIX JAMES ROBERT</t>
  </si>
  <si>
    <t>HENDRIX TANYA MATTHEWS</t>
  </si>
  <si>
    <t>145 HENDRIX LANE</t>
  </si>
  <si>
    <t>27006-7247</t>
  </si>
  <si>
    <t>J80000001302</t>
  </si>
  <si>
    <t>J80000001301</t>
  </si>
  <si>
    <t>J80000001303</t>
  </si>
  <si>
    <t>J800000026</t>
  </si>
  <si>
    <t>EVERHART ROBERT C</t>
  </si>
  <si>
    <t>EVERHART ANNIE HENDRIX</t>
  </si>
  <si>
    <t>4096 NC HIGHWAY 801 SOUTH</t>
  </si>
  <si>
    <t>L20000000401</t>
  </si>
  <si>
    <t>OLIPHANT SHARON Z</t>
  </si>
  <si>
    <t>175 ROBERT DRIVE</t>
  </si>
  <si>
    <t>K200000040</t>
  </si>
  <si>
    <t>KOONTZ BOBBY D</t>
  </si>
  <si>
    <t>311 KETCHIE CREEK ROAD</t>
  </si>
  <si>
    <t>J80000001314</t>
  </si>
  <si>
    <t>J80000001313</t>
  </si>
  <si>
    <t>J80000001311</t>
  </si>
  <si>
    <t>J800000028</t>
  </si>
  <si>
    <t>BECK TOMMY L</t>
  </si>
  <si>
    <t>BECK BRENDA P</t>
  </si>
  <si>
    <t>4142 NC HIGHWAY 801 SOUTH</t>
  </si>
  <si>
    <t>J800000035</t>
  </si>
  <si>
    <t>J7050B0006</t>
  </si>
  <si>
    <t>POTTS FAMILY INVESTMENT CO LLC</t>
  </si>
  <si>
    <t>J7050B0007</t>
  </si>
  <si>
    <t>CRAVER JEFFREY F</t>
  </si>
  <si>
    <t>CRAVER BARBARA F</t>
  </si>
  <si>
    <t>172 FORK BIXBY ROAD</t>
  </si>
  <si>
    <t>J7050B0008</t>
  </si>
  <si>
    <t>POTTS SHERRI LYNN</t>
  </si>
  <si>
    <t>K200000064</t>
  </si>
  <si>
    <t>SELL ROBERTA JANE KOONTZ</t>
  </si>
  <si>
    <t>191 WHISTLING LN</t>
  </si>
  <si>
    <t>K200000058</t>
  </si>
  <si>
    <t>K200000066</t>
  </si>
  <si>
    <t>WOLAVER DEBORAH A</t>
  </si>
  <si>
    <t>MANGUS LOREN C</t>
  </si>
  <si>
    <t>1281 DAVIE ACADEMY ROAD</t>
  </si>
  <si>
    <t>K100000014</t>
  </si>
  <si>
    <t>K100000012</t>
  </si>
  <si>
    <t>K100000028</t>
  </si>
  <si>
    <t>HARTNESS JEFFERY F</t>
  </si>
  <si>
    <t>235 CAMPGROUND RD</t>
  </si>
  <si>
    <t>28625-1432</t>
  </si>
  <si>
    <t>K100000033  A</t>
  </si>
  <si>
    <t>K200000006</t>
  </si>
  <si>
    <t>ROTE ROBERT MARK</t>
  </si>
  <si>
    <t>ROTE LESLEY D</t>
  </si>
  <si>
    <t>1079 RIDGE ROAD</t>
  </si>
  <si>
    <t>27028-8344</t>
  </si>
  <si>
    <t>K20000000902</t>
  </si>
  <si>
    <t>POWERS THOMAS</t>
  </si>
  <si>
    <t>POWERS LAURA</t>
  </si>
  <si>
    <t>902 MR HENRY ROAD</t>
  </si>
  <si>
    <t>K30000000803</t>
  </si>
  <si>
    <t>HILTON MARY T</t>
  </si>
  <si>
    <t>209 PRIMROSE LANE</t>
  </si>
  <si>
    <t>K30000000806</t>
  </si>
  <si>
    <t>TURNER JAMES M</t>
  </si>
  <si>
    <t>4018 SNYDER DRIVE</t>
  </si>
  <si>
    <t>K20000002701</t>
  </si>
  <si>
    <t>LINK DENNIS R</t>
  </si>
  <si>
    <t>LINK MARTHA M</t>
  </si>
  <si>
    <t>585 RIDGE ROAD</t>
  </si>
  <si>
    <t>27028-8339</t>
  </si>
  <si>
    <t>K30000000901</t>
  </si>
  <si>
    <t>DWIGGINS CARLA MICHELLE</t>
  </si>
  <si>
    <t>991 DAVIE ACADEMY ROAD</t>
  </si>
  <si>
    <t>27028-5136</t>
  </si>
  <si>
    <t>K30000001101</t>
  </si>
  <si>
    <t>HAMM STEVEN PAUL</t>
  </si>
  <si>
    <t>229 DWIGGINS ROAD</t>
  </si>
  <si>
    <t>27028-5205</t>
  </si>
  <si>
    <t>K300000013</t>
  </si>
  <si>
    <t>FLEMING RICHARD DALE</t>
  </si>
  <si>
    <t>179 MR HENRY ROAD</t>
  </si>
  <si>
    <t>K2100A0002</t>
  </si>
  <si>
    <t>K20000003101</t>
  </si>
  <si>
    <t>KOONTZ JOHN WAYNE</t>
  </si>
  <si>
    <t>KOONTZ SHERRY S</t>
  </si>
  <si>
    <t>2740 PHIFER ROAD</t>
  </si>
  <si>
    <t>CLEVELAND</t>
  </si>
  <si>
    <t>K200000032</t>
  </si>
  <si>
    <t>BROWN JAMES CLAYTON</t>
  </si>
  <si>
    <t>498 RIDGE ROAD</t>
  </si>
  <si>
    <t>K300000036</t>
  </si>
  <si>
    <t>KURFEES ROBERT O JR</t>
  </si>
  <si>
    <t>KURFEES HILDA P</t>
  </si>
  <si>
    <t>232 DAVIE ACADEMY ROAD</t>
  </si>
  <si>
    <t>27028-5171</t>
  </si>
  <si>
    <t>K300000037</t>
  </si>
  <si>
    <t>K300000041</t>
  </si>
  <si>
    <t>K300000042</t>
  </si>
  <si>
    <t>KURFEES JOEL E</t>
  </si>
  <si>
    <t>209 DAVIE ACADEMY ROAD</t>
  </si>
  <si>
    <t>K300000040</t>
  </si>
  <si>
    <t>K300000039</t>
  </si>
  <si>
    <t>K200000034</t>
  </si>
  <si>
    <t>MATHIS DEBORAH ELIZABETH</t>
  </si>
  <si>
    <t>P O BOX 1468</t>
  </si>
  <si>
    <t>MT PLEASANT</t>
  </si>
  <si>
    <t>28124-0000</t>
  </si>
  <si>
    <t>J300000033</t>
  </si>
  <si>
    <t>JERICHO CHURCH OF CHRIST</t>
  </si>
  <si>
    <t>PO BOX 354</t>
  </si>
  <si>
    <t>K30000004801</t>
  </si>
  <si>
    <t>DURHAM ANGELIA MAYHEW</t>
  </si>
  <si>
    <t>1847 JERICHO CHURCH ROAD</t>
  </si>
  <si>
    <t>27028-4222</t>
  </si>
  <si>
    <t>K300000058</t>
  </si>
  <si>
    <t>SHORE JERRY L</t>
  </si>
  <si>
    <t>SHORE LINDA C</t>
  </si>
  <si>
    <t>253 RATLEDGE ROAD</t>
  </si>
  <si>
    <t>K30000005801</t>
  </si>
  <si>
    <t>K30000005901</t>
  </si>
  <si>
    <t>BERKELEY VICKI A</t>
  </si>
  <si>
    <t>269 RATLEDGE ROAD</t>
  </si>
  <si>
    <t>K300000061</t>
  </si>
  <si>
    <t>STEVENSON ANGELA P</t>
  </si>
  <si>
    <t>STEVENSON DANIEL E</t>
  </si>
  <si>
    <t>391 RATLEDGE ROAD</t>
  </si>
  <si>
    <t>K30000006401</t>
  </si>
  <si>
    <t>CAMPBELL SHARRIE SOUTHER</t>
  </si>
  <si>
    <t>280 RATLEDGE ROAD</t>
  </si>
  <si>
    <t>27028-5425</t>
  </si>
  <si>
    <t>K300000064</t>
  </si>
  <si>
    <t>K200000038</t>
  </si>
  <si>
    <t>K200000035</t>
  </si>
  <si>
    <t>ZOTSMAN JEFFREY M</t>
  </si>
  <si>
    <t>HINZ STEPHANIE L</t>
  </si>
  <si>
    <t>468 RIDGE ROAD</t>
  </si>
  <si>
    <t>K3050B0003</t>
  </si>
  <si>
    <t>DAVIS DONALD G</t>
  </si>
  <si>
    <t>DAVIS JOANNE C</t>
  </si>
  <si>
    <t>133 CAROLINA AVENUE</t>
  </si>
  <si>
    <t>K3050B0005</t>
  </si>
  <si>
    <t>K3050B0007</t>
  </si>
  <si>
    <t>PARCHMENT MARK EDWARD</t>
  </si>
  <si>
    <t>177 CAROLINA AVENUE</t>
  </si>
  <si>
    <t>K3050B0008</t>
  </si>
  <si>
    <t>K3050B0009</t>
  </si>
  <si>
    <t>PARCHMENT VELNA M</t>
  </si>
  <si>
    <t>27028-5107</t>
  </si>
  <si>
    <t>K3120A0001</t>
  </si>
  <si>
    <t>ALLEN JOHNNY R</t>
  </si>
  <si>
    <t>ALLEN AMBER BOST</t>
  </si>
  <si>
    <t>365 JUNCTION ROAD</t>
  </si>
  <si>
    <t>27028-5316</t>
  </si>
  <si>
    <t>K200000039</t>
  </si>
  <si>
    <t>K200000049</t>
  </si>
  <si>
    <t>BOOE JOHNNY</t>
  </si>
  <si>
    <t>BOOE JUDY C</t>
  </si>
  <si>
    <t>316 RIDGE ROAD</t>
  </si>
  <si>
    <t>K3130B0001</t>
  </si>
  <si>
    <t>COUCH TERESA M</t>
  </si>
  <si>
    <t>578 JUNCTION ROAD</t>
  </si>
  <si>
    <t>27028-5318</t>
  </si>
  <si>
    <t>K3130B0006</t>
  </si>
  <si>
    <t>DAVIDSON BRUCE F</t>
  </si>
  <si>
    <t>506 WEST COUNCIL STREET</t>
  </si>
  <si>
    <t>K400000041</t>
  </si>
  <si>
    <t>LAKEY DONALD C</t>
  </si>
  <si>
    <t>LAKEY TERESA W</t>
  </si>
  <si>
    <t>386 BUCK SEAFORD ROAD</t>
  </si>
  <si>
    <t>27028-4122</t>
  </si>
  <si>
    <t>K400000046</t>
  </si>
  <si>
    <t>K40000004302</t>
  </si>
  <si>
    <t>K40000003002</t>
  </si>
  <si>
    <t>I5090C0001</t>
  </si>
  <si>
    <t>K200000055</t>
  </si>
  <si>
    <t>SEAFORD JACK A</t>
  </si>
  <si>
    <t>SEAFORD SUE C</t>
  </si>
  <si>
    <t>163 RIDGE ROAD</t>
  </si>
  <si>
    <t>K10000002109</t>
  </si>
  <si>
    <t>K200000057</t>
  </si>
  <si>
    <t>K200000065</t>
  </si>
  <si>
    <t>K10000002108</t>
  </si>
  <si>
    <t>K200000056</t>
  </si>
  <si>
    <t>DAVIE ACADEMY COMMUNITY</t>
  </si>
  <si>
    <t>BUILDING</t>
  </si>
  <si>
    <t>% MARGARET SHEW</t>
  </si>
  <si>
    <t>RT 1 BOX 277</t>
  </si>
  <si>
    <t>K20000005801</t>
  </si>
  <si>
    <t>K100000010</t>
  </si>
  <si>
    <t>SMITH TERRY KEITH</t>
  </si>
  <si>
    <t>K10000001201</t>
  </si>
  <si>
    <t>K20000007502</t>
  </si>
  <si>
    <t>CARTNER DOUGLAS ERIC</t>
  </si>
  <si>
    <t>CARTNER JENNIFER PAGE</t>
  </si>
  <si>
    <t>748 RIDGE ROAD</t>
  </si>
  <si>
    <t>27028-8341</t>
  </si>
  <si>
    <t>K2100A0005</t>
  </si>
  <si>
    <t>GODBEY HEATHER R</t>
  </si>
  <si>
    <t>177 FOSTER ROAD</t>
  </si>
  <si>
    <t>K4010A0012</t>
  </si>
  <si>
    <t>SEAFORD GARY DEAN</t>
  </si>
  <si>
    <t>193 BYERLYS CHAPEL ROAD</t>
  </si>
  <si>
    <t>K4010A0003</t>
  </si>
  <si>
    <t>BOSTIC ROBERT E JR</t>
  </si>
  <si>
    <t>BOSTIC LAURA A</t>
  </si>
  <si>
    <t>224 SUNSET CIRCLE</t>
  </si>
  <si>
    <t>K4010A0008</t>
  </si>
  <si>
    <t>CREASON DWIGHT T</t>
  </si>
  <si>
    <t>132 SUNSET CIRCLE</t>
  </si>
  <si>
    <t>27028-4339</t>
  </si>
  <si>
    <t>I40000004001</t>
  </si>
  <si>
    <t>K4010A0006</t>
  </si>
  <si>
    <t>K4010A0007</t>
  </si>
  <si>
    <t>N5010C0061</t>
  </si>
  <si>
    <t>K4010A0009</t>
  </si>
  <si>
    <t>WOODWARD KAY SEAFORD</t>
  </si>
  <si>
    <t>118 SUNSET CIRCLE</t>
  </si>
  <si>
    <t>K4010A0014</t>
  </si>
  <si>
    <t>HICKS SUSAN B CUSTODIAN FOR</t>
  </si>
  <si>
    <t>HICKS MARCI LEIGH</t>
  </si>
  <si>
    <t>K4010A0018</t>
  </si>
  <si>
    <t>TURNER GRAVEYARD</t>
  </si>
  <si>
    <t>% JERRY SWICEGOOD</t>
  </si>
  <si>
    <t>PO BOX 1000</t>
  </si>
  <si>
    <t>K4010A0025</t>
  </si>
  <si>
    <t>HARPE ARNOLD C</t>
  </si>
  <si>
    <t>HARPE NANCY P</t>
  </si>
  <si>
    <t>1792 JERICHO CHURCH ROAD</t>
  </si>
  <si>
    <t>K4010A0026</t>
  </si>
  <si>
    <t>HARDY OLEN WAYNE</t>
  </si>
  <si>
    <t>HARDY MELISA HOWARD</t>
  </si>
  <si>
    <t>1770 JERICHO CHURCH ROAD</t>
  </si>
  <si>
    <t>27028-4220</t>
  </si>
  <si>
    <t>K4010A0027</t>
  </si>
  <si>
    <t>HICKS SUSAN B</t>
  </si>
  <si>
    <t>1758 JERICHO CHURCH ROAD</t>
  </si>
  <si>
    <t>K4010A0028</t>
  </si>
  <si>
    <t>K4010A0029</t>
  </si>
  <si>
    <t>GARNER CHARLES RICHARD</t>
  </si>
  <si>
    <t>GARNER BELINDA H</t>
  </si>
  <si>
    <t>1734 JERICHO CHURCH ROAD</t>
  </si>
  <si>
    <t>K30000000305</t>
  </si>
  <si>
    <t>WILSON BRIAN K</t>
  </si>
  <si>
    <t>WILSON SONYA</t>
  </si>
  <si>
    <t>425 MR HENRY RD</t>
  </si>
  <si>
    <t>27028-5358</t>
  </si>
  <si>
    <t>K30000000307</t>
  </si>
  <si>
    <t>BUMGARNER RYAN EARL</t>
  </si>
  <si>
    <t>166 BYERLYS CHAPEL ROAD</t>
  </si>
  <si>
    <t>K50000001001</t>
  </si>
  <si>
    <t>SPILLMAN KENNETH M</t>
  </si>
  <si>
    <t>SPILLMAN DEBBIE V</t>
  </si>
  <si>
    <t>199 LAKEWOOD DRIVE</t>
  </si>
  <si>
    <t>27028-2114</t>
  </si>
  <si>
    <t>K50000001201</t>
  </si>
  <si>
    <t>K30000000805</t>
  </si>
  <si>
    <t>FORREST CHAD</t>
  </si>
  <si>
    <t>FORREST BEN</t>
  </si>
  <si>
    <t>151 VETERANS DRIVE</t>
  </si>
  <si>
    <t>K500000019</t>
  </si>
  <si>
    <t>FELTS KEITH ALAN</t>
  </si>
  <si>
    <t>FELTS TINA C</t>
  </si>
  <si>
    <t>395 DEADMON ROAD</t>
  </si>
  <si>
    <t>K500000030</t>
  </si>
  <si>
    <t>JAMES STEVEN GRAY</t>
  </si>
  <si>
    <t>169 TURRENTINE CHURCH ROAD</t>
  </si>
  <si>
    <t>K50000003701</t>
  </si>
  <si>
    <t>RUPARD MELINDA DENISE</t>
  </si>
  <si>
    <t>K300000028</t>
  </si>
  <si>
    <t>GREENE JONATHAN G</t>
  </si>
  <si>
    <t>366 DAVIE ACADEMY ROAD</t>
  </si>
  <si>
    <t>K500000038</t>
  </si>
  <si>
    <t>RUPARD CLARENCE TRUSTEE</t>
  </si>
  <si>
    <t>NANCY J COVINGTON TRUST</t>
  </si>
  <si>
    <t>27028-7402</t>
  </si>
  <si>
    <t>K50000005703</t>
  </si>
  <si>
    <t>WHEELER MYRON L JR</t>
  </si>
  <si>
    <t>WHEELER LYNNETTE I</t>
  </si>
  <si>
    <t>678 DEADMOND ROAD</t>
  </si>
  <si>
    <t>K50000005705</t>
  </si>
  <si>
    <t>SMILEY JAMES E II</t>
  </si>
  <si>
    <t>684 DEADMON ROAD</t>
  </si>
  <si>
    <t>K500000059  A</t>
  </si>
  <si>
    <t>GRANT JOHN HENRY</t>
  </si>
  <si>
    <t>GRANT ERNESTINE C</t>
  </si>
  <si>
    <t>640 DEADMON ROAD</t>
  </si>
  <si>
    <t>K30000002903</t>
  </si>
  <si>
    <t>WEBB JAMES W &amp; VERNA S</t>
  </si>
  <si>
    <t>WEBB MATTHEW FORREST</t>
  </si>
  <si>
    <t>121 ADAMS ROAD</t>
  </si>
  <si>
    <t>K300000030</t>
  </si>
  <si>
    <t>WEBB JAMES W</t>
  </si>
  <si>
    <t>WEBB VERNA S</t>
  </si>
  <si>
    <t>150 ADAMS ROAD</t>
  </si>
  <si>
    <t>K50000007302</t>
  </si>
  <si>
    <t>CONNELL WYNNE A</t>
  </si>
  <si>
    <t>ROPER DONNA R</t>
  </si>
  <si>
    <t>359 WILL BOONE ROAD</t>
  </si>
  <si>
    <t>K50000007303</t>
  </si>
  <si>
    <t>HOWELL RANDY SCOTT</t>
  </si>
  <si>
    <t>JARVIS TINA RENEE</t>
  </si>
  <si>
    <t>333 WILLBOONE ROAD</t>
  </si>
  <si>
    <t>K50000007305</t>
  </si>
  <si>
    <t>COLLIS MARVIN</t>
  </si>
  <si>
    <t>COLLIS SANDRA E</t>
  </si>
  <si>
    <t>345 WILL BOONE RD</t>
  </si>
  <si>
    <t>K50000007307</t>
  </si>
  <si>
    <t>BENITEZ PEDRO</t>
  </si>
  <si>
    <t>331 WILL BOONE ROAD</t>
  </si>
  <si>
    <t>K50000008102</t>
  </si>
  <si>
    <t>MCCULLOCH CEMETARY</t>
  </si>
  <si>
    <t>% WAYNE MCCULLOUGH</t>
  </si>
  <si>
    <t>FAITH</t>
  </si>
  <si>
    <t>28041-0000</t>
  </si>
  <si>
    <t>K50000008305</t>
  </si>
  <si>
    <t>CARTER NORMAN GRAY</t>
  </si>
  <si>
    <t>K300000043</t>
  </si>
  <si>
    <t>K3050A0007</t>
  </si>
  <si>
    <t>LYTLE JAMES HERBERT JR</t>
  </si>
  <si>
    <t>LYTLE LOIS S</t>
  </si>
  <si>
    <t>173 JUNCTION ROAD</t>
  </si>
  <si>
    <t>K50000009304</t>
  </si>
  <si>
    <t>JAMES NORMAN DOUGLAS</t>
  </si>
  <si>
    <t>271 GOLDMAN LANE</t>
  </si>
  <si>
    <t>MOCKSVIILE</t>
  </si>
  <si>
    <t>27028-5367</t>
  </si>
  <si>
    <t>K50000008903</t>
  </si>
  <si>
    <t>K500000090</t>
  </si>
  <si>
    <t>HARE WALLACE JERRY</t>
  </si>
  <si>
    <t>HARE DONNA J</t>
  </si>
  <si>
    <t>374 DEADMON ROAD</t>
  </si>
  <si>
    <t>K50000009308</t>
  </si>
  <si>
    <t>BEAUCHAMP MATTHEW ANDERSON</t>
  </si>
  <si>
    <t>232 GOLDMAN LANE</t>
  </si>
  <si>
    <t>K50000009302</t>
  </si>
  <si>
    <t>ALLEN GARY L</t>
  </si>
  <si>
    <t>ALLEN PATRICIA C</t>
  </si>
  <si>
    <t>269 GOLDMAN LANE</t>
  </si>
  <si>
    <t>K50000009303</t>
  </si>
  <si>
    <t>WESTMORELAND LARRY R</t>
  </si>
  <si>
    <t>WESTMORELAND WANDA L</t>
  </si>
  <si>
    <t>4195 STEPNEY DRIVE</t>
  </si>
  <si>
    <t>GAINSVILLE</t>
  </si>
  <si>
    <t>22065-0000</t>
  </si>
  <si>
    <t>K3050B0004</t>
  </si>
  <si>
    <t>K3120A0009</t>
  </si>
  <si>
    <t>SANTIAGO GUSTAVO</t>
  </si>
  <si>
    <t>SANTIAGO ALMA</t>
  </si>
  <si>
    <t>372 JUNCTION ROAD</t>
  </si>
  <si>
    <t>K3120A0014</t>
  </si>
  <si>
    <t>DIEHL PHILIP C JR</t>
  </si>
  <si>
    <t>DIEHL RUTH ANN</t>
  </si>
  <si>
    <t>140 WILLOW LANE</t>
  </si>
  <si>
    <t>K50000010202</t>
  </si>
  <si>
    <t>GRANDY DORA HINKLE</t>
  </si>
  <si>
    <t>1028 STANDISH PLACE SOUTH</t>
  </si>
  <si>
    <t>OWENSBORO</t>
  </si>
  <si>
    <t>KY</t>
  </si>
  <si>
    <t>42301-0000</t>
  </si>
  <si>
    <t>K50000010209</t>
  </si>
  <si>
    <t>K5020A0001</t>
  </si>
  <si>
    <t>EANES WILLIAM T</t>
  </si>
  <si>
    <t>EANES PAULINE R</t>
  </si>
  <si>
    <t>232 SOUTHWOOD DRIVE</t>
  </si>
  <si>
    <t>K5020A0003</t>
  </si>
  <si>
    <t>WATSON JAMES C</t>
  </si>
  <si>
    <t>WATSON PEGGY J</t>
  </si>
  <si>
    <t>123 RANDOM ROAD</t>
  </si>
  <si>
    <t>K5020A0004</t>
  </si>
  <si>
    <t>ALEXANDER FREDRICK</t>
  </si>
  <si>
    <t>ALEXANDER KELLY M</t>
  </si>
  <si>
    <t>201 SOUTHWOOD DRIVE</t>
  </si>
  <si>
    <t>K200000073</t>
  </si>
  <si>
    <t>CARTNER DANNY WILLIAM</t>
  </si>
  <si>
    <t>CARTNER JULIE TERRY</t>
  </si>
  <si>
    <t>211 GRADY LANE</t>
  </si>
  <si>
    <t>27028-8262</t>
  </si>
  <si>
    <t>K40000004010</t>
  </si>
  <si>
    <t>RIFE RAY J</t>
  </si>
  <si>
    <t>RIFE GERALDINE S</t>
  </si>
  <si>
    <t>385 BUCK SEAFORD ROAD</t>
  </si>
  <si>
    <t>27028-4169</t>
  </si>
  <si>
    <t>K600000001</t>
  </si>
  <si>
    <t>TURRENTINE BAPTIST CHURCH</t>
  </si>
  <si>
    <t>613 TURRENTINE BAPTIST CHURCH</t>
  </si>
  <si>
    <t>K40000004502</t>
  </si>
  <si>
    <t>NEELY MICHAEL A</t>
  </si>
  <si>
    <t>CALL CONSTANCE B</t>
  </si>
  <si>
    <t>495 BUCK SEAFORD ROAD</t>
  </si>
  <si>
    <t>K5090A0019</t>
  </si>
  <si>
    <t>K50000001003</t>
  </si>
  <si>
    <t>K50000001702</t>
  </si>
  <si>
    <t>K50000003703</t>
  </si>
  <si>
    <t>RUPARD J HOWARD</t>
  </si>
  <si>
    <t>890 KINGDOM ROAD</t>
  </si>
  <si>
    <t>UNIONVILLE</t>
  </si>
  <si>
    <t>29412-4502</t>
  </si>
  <si>
    <t>K500000069</t>
  </si>
  <si>
    <t>HELLARD JACK G</t>
  </si>
  <si>
    <t>HELLARD MYRA S</t>
  </si>
  <si>
    <t>474 WILL BOONE ROAD</t>
  </si>
  <si>
    <t>K5090A001103</t>
  </si>
  <si>
    <t>BARAD VIJAY</t>
  </si>
  <si>
    <t>1642 US HIGHWAY 601 SOUTH</t>
  </si>
  <si>
    <t>L500000101</t>
  </si>
  <si>
    <t>MILLER CLETUS R</t>
  </si>
  <si>
    <t>MILLER MILDRED A</t>
  </si>
  <si>
    <t>258 FAIRFIELD RD</t>
  </si>
  <si>
    <t>27028-5211</t>
  </si>
  <si>
    <t>L4130A0011</t>
  </si>
  <si>
    <t>K5090A001102</t>
  </si>
  <si>
    <t>L5020A0005</t>
  </si>
  <si>
    <t>L70000000201</t>
  </si>
  <si>
    <t>K5090A0018</t>
  </si>
  <si>
    <t>L4130A0013</t>
  </si>
  <si>
    <t>L500000011</t>
  </si>
  <si>
    <t>L5070A0008</t>
  </si>
  <si>
    <t>L50000009501</t>
  </si>
  <si>
    <t>L5020A000501</t>
  </si>
  <si>
    <t>L500000098  A</t>
  </si>
  <si>
    <t>M4130A004701</t>
  </si>
  <si>
    <t>N5010C0018</t>
  </si>
  <si>
    <t>K5090A0013</t>
  </si>
  <si>
    <t>APPLE JODY M</t>
  </si>
  <si>
    <t>175 LAKEWOOD VILLAGE</t>
  </si>
  <si>
    <t>K5090A0014</t>
  </si>
  <si>
    <t>1663 US HIGHWAY 601 SOUTH</t>
  </si>
  <si>
    <t>K5100A0025</t>
  </si>
  <si>
    <t>K5090A0020</t>
  </si>
  <si>
    <t>YOUNG JAN MICHAEL</t>
  </si>
  <si>
    <t>171 LAKEWOOD DRIVE</t>
  </si>
  <si>
    <t>K5090A0021</t>
  </si>
  <si>
    <t>ISAAC BRUCE C SR</t>
  </si>
  <si>
    <t>177 LAKEWOOD DRIVE</t>
  </si>
  <si>
    <t>K5090A0024</t>
  </si>
  <si>
    <t>K5090A0025</t>
  </si>
  <si>
    <t>SPRIET JOHANNA M</t>
  </si>
  <si>
    <t>207 LAKEWOOD DRIVE</t>
  </si>
  <si>
    <t>27028-4414</t>
  </si>
  <si>
    <t>K50000007201</t>
  </si>
  <si>
    <t>SPRY JULIA MILLER</t>
  </si>
  <si>
    <t>424 WILL BOONE ROAD</t>
  </si>
  <si>
    <t>K5090A0026</t>
  </si>
  <si>
    <t>OBRIEN MIKEY WAYNE</t>
  </si>
  <si>
    <t>OBRIEN GINA H</t>
  </si>
  <si>
    <t>222 LAKEWOOD DRIVE</t>
  </si>
  <si>
    <t>K5090A002602</t>
  </si>
  <si>
    <t>K5090A0030</t>
  </si>
  <si>
    <t>NAYLOR MITZI ELISE</t>
  </si>
  <si>
    <t>144 LAKEWOOD DRIVE SOUTH</t>
  </si>
  <si>
    <t>K5090A0036</t>
  </si>
  <si>
    <t>TAYLOR DENNIS V</t>
  </si>
  <si>
    <t>TAYLOR BARBARA B</t>
  </si>
  <si>
    <t>159 LAKEWOOD CIRCLE</t>
  </si>
  <si>
    <t>K5090A0038</t>
  </si>
  <si>
    <t>DRAUGHN DANNY MARK</t>
  </si>
  <si>
    <t>128 LAKEWOOD DRIVE</t>
  </si>
  <si>
    <t>K5090A0042</t>
  </si>
  <si>
    <t>HELTON SADIE TUTTEROW</t>
  </si>
  <si>
    <t>199 LAKEWOOD VILLAGE ROAD</t>
  </si>
  <si>
    <t>27028-4239</t>
  </si>
  <si>
    <t>K500000085</t>
  </si>
  <si>
    <t>BODFORD JAMES E</t>
  </si>
  <si>
    <t>BODFORD DEBRA B</t>
  </si>
  <si>
    <t>711 WILLBOONE ROAD</t>
  </si>
  <si>
    <t>K5100A0005</t>
  </si>
  <si>
    <t>BEIZA JOSE S</t>
  </si>
  <si>
    <t>BEIZA MARIA E</t>
  </si>
  <si>
    <t>259 DEADMON ROAD</t>
  </si>
  <si>
    <t>K5100A0008</t>
  </si>
  <si>
    <t>HAYES ELLIS W</t>
  </si>
  <si>
    <t>HAYES KATHRYN A</t>
  </si>
  <si>
    <t>297 DEADMON ROAD</t>
  </si>
  <si>
    <t>27028-5140</t>
  </si>
  <si>
    <t>K50000008501</t>
  </si>
  <si>
    <t>BARNEY ROBERT W</t>
  </si>
  <si>
    <t>730 WILLBOONE ROAD</t>
  </si>
  <si>
    <t>K500000097</t>
  </si>
  <si>
    <t>HOLLAR LANE P</t>
  </si>
  <si>
    <t>HOLLAR WANDA M</t>
  </si>
  <si>
    <t>275 WALT WILSON ROAD</t>
  </si>
  <si>
    <t>K5120A0006</t>
  </si>
  <si>
    <t>CAPPS STEVE VERNON</t>
  </si>
  <si>
    <t>752 WILL BOONE ROAD</t>
  </si>
  <si>
    <t>K50000009801</t>
  </si>
  <si>
    <t>LOOKABILL JAMES PHIL</t>
  </si>
  <si>
    <t>LOOKABILL SHARON BARNES</t>
  </si>
  <si>
    <t>292 WALT WILSON ROAD</t>
  </si>
  <si>
    <t>27028-5471</t>
  </si>
  <si>
    <t>K5150A0015</t>
  </si>
  <si>
    <t>LAGLE JEFFREY A</t>
  </si>
  <si>
    <t>LAGLE ANITA L</t>
  </si>
  <si>
    <t>237 DEER HAVEN TRAIL</t>
  </si>
  <si>
    <t>27028-6682</t>
  </si>
  <si>
    <t>K5160A000501</t>
  </si>
  <si>
    <t>WALL WILLIAM BRENT</t>
  </si>
  <si>
    <t>WALL KERRI W</t>
  </si>
  <si>
    <t>275 MCCULLOUGH RD</t>
  </si>
  <si>
    <t>27028-6717</t>
  </si>
  <si>
    <t>K5160A0009</t>
  </si>
  <si>
    <t>ELLIS PAUL JR</t>
  </si>
  <si>
    <t>SHORT RUN SWISS INC</t>
  </si>
  <si>
    <t>714 EAST EDNA PLACE</t>
  </si>
  <si>
    <t>COVINA</t>
  </si>
  <si>
    <t>91723-0000</t>
  </si>
  <si>
    <t>L40000003802</t>
  </si>
  <si>
    <t>K5160A0014</t>
  </si>
  <si>
    <t>WARD WILLIAM RANDALL</t>
  </si>
  <si>
    <t>WARD VIVIAN M</t>
  </si>
  <si>
    <t>1800 US HIGHWAY 601 SOUTH</t>
  </si>
  <si>
    <t>K5160A0016</t>
  </si>
  <si>
    <t>SZABOCSAN ROBERT</t>
  </si>
  <si>
    <t>SZABOCSAN SUSAN</t>
  </si>
  <si>
    <t>1756 US HIGHWAY 601 SOUTH</t>
  </si>
  <si>
    <t>K600000003</t>
  </si>
  <si>
    <t>MCINVILLE EDWARD</t>
  </si>
  <si>
    <t>2 PATTON STREET</t>
  </si>
  <si>
    <t>BENNETTSVILLE</t>
  </si>
  <si>
    <t>29512-0000</t>
  </si>
  <si>
    <t>K50000010201</t>
  </si>
  <si>
    <t>EDWARDS CATHY HINKLE</t>
  </si>
  <si>
    <t>EDWARDS CLIFTON O JR</t>
  </si>
  <si>
    <t>122 FRIAR LANE</t>
  </si>
  <si>
    <t>K40000000105</t>
  </si>
  <si>
    <t>JORDAN BRIAN D</t>
  </si>
  <si>
    <t>155 SM WHITT DR</t>
  </si>
  <si>
    <t>K400000003</t>
  </si>
  <si>
    <t>BLACKWELDER CHAD DAVID</t>
  </si>
  <si>
    <t>BLACKWELDER KERRY RAE</t>
  </si>
  <si>
    <t>1723 JERICHO CHURCH ROAD</t>
  </si>
  <si>
    <t>K400000004</t>
  </si>
  <si>
    <t>SHORE SAM G</t>
  </si>
  <si>
    <t>SHORE BRENDA H</t>
  </si>
  <si>
    <t>1701 JERICHO CHURCH ROAD</t>
  </si>
  <si>
    <t>K60000000601</t>
  </si>
  <si>
    <t>HELLARD MARJORIE</t>
  </si>
  <si>
    <t>712 TURRENTINE CHURCH ROAD</t>
  </si>
  <si>
    <t>27028-5453</t>
  </si>
  <si>
    <t>K60000000703</t>
  </si>
  <si>
    <t>BEEKER BRIAN D</t>
  </si>
  <si>
    <t>BEEKER JENNIFER L</t>
  </si>
  <si>
    <t>668 TURRENTINE CHURCH ROAD</t>
  </si>
  <si>
    <t>27028-5452</t>
  </si>
  <si>
    <t>K60000000701</t>
  </si>
  <si>
    <t>K60000001102</t>
  </si>
  <si>
    <t>SMILEY JAMES E</t>
  </si>
  <si>
    <t>SMILEY THERESA L</t>
  </si>
  <si>
    <t>309 KNOLL CREST RD.</t>
  </si>
  <si>
    <t>K60000001104</t>
  </si>
  <si>
    <t>ENGELMANN ROBERT C</t>
  </si>
  <si>
    <t>ENGELMANN ANDREA D PIEDAD</t>
  </si>
  <si>
    <t>310 KNOLLCREST ROAD</t>
  </si>
  <si>
    <t>K60000001105</t>
  </si>
  <si>
    <t>M5030A0011</t>
  </si>
  <si>
    <t>GRAVES FRANKLIN H TRUSTEE</t>
  </si>
  <si>
    <t>GRAVES MARGARET N TRUSTEE</t>
  </si>
  <si>
    <t>8291 OLD SALISBURY ROAD</t>
  </si>
  <si>
    <t>LINWOOD</t>
  </si>
  <si>
    <t>27299-0000</t>
  </si>
  <si>
    <t>M5030A0010</t>
  </si>
  <si>
    <t>K600000012</t>
  </si>
  <si>
    <t>K60000002201</t>
  </si>
  <si>
    <t>M5030A001001</t>
  </si>
  <si>
    <t>K400000013</t>
  </si>
  <si>
    <t>WILLIAMS DAVID JOEFF</t>
  </si>
  <si>
    <t>WILLIAMS SHAWN SIBLEY</t>
  </si>
  <si>
    <t>150 FEEZOR ROAD</t>
  </si>
  <si>
    <t>K60000001910</t>
  </si>
  <si>
    <t>SHORT WHITNEY RAE FAMILY TRUST</t>
  </si>
  <si>
    <t>338 FRANK SHORT ROAD</t>
  </si>
  <si>
    <t>K60000001915</t>
  </si>
  <si>
    <t>PHELPS ADELINE SHORT</t>
  </si>
  <si>
    <t>13201 WILLOW BREEZE LANE</t>
  </si>
  <si>
    <t>HUNTERSVILLE</t>
  </si>
  <si>
    <t>28078-0000</t>
  </si>
  <si>
    <t>K60000001912</t>
  </si>
  <si>
    <t>K60000001904</t>
  </si>
  <si>
    <t>BARNETT JOHN C</t>
  </si>
  <si>
    <t>BARNETT MARGUERITE P</t>
  </si>
  <si>
    <t>400 FRANK SHORT ROAD</t>
  </si>
  <si>
    <t>K60000001905</t>
  </si>
  <si>
    <t>BARNETT DUANE</t>
  </si>
  <si>
    <t>BARNETT NINA</t>
  </si>
  <si>
    <t>296 FRANK SHORT ROAD</t>
  </si>
  <si>
    <t>K60000001907</t>
  </si>
  <si>
    <t>CROTTS MATTHEW KEVIN</t>
  </si>
  <si>
    <t>MCCLANNON CYNTHIA SUE</t>
  </si>
  <si>
    <t>310 FRANK SHORT ROAD</t>
  </si>
  <si>
    <t>K60000001913</t>
  </si>
  <si>
    <t>SMITH WILLIAM K</t>
  </si>
  <si>
    <t>SMITH CYLYNDIA J</t>
  </si>
  <si>
    <t>420 FRANK SHORT ROAD</t>
  </si>
  <si>
    <t>K600000020</t>
  </si>
  <si>
    <t>CARTER HELEN ANN</t>
  </si>
  <si>
    <t>K400000025</t>
  </si>
  <si>
    <t>WILSON LARRY C ETAL</t>
  </si>
  <si>
    <t>ALLEN LYNNE J</t>
  </si>
  <si>
    <t>1545 JERICHO CHURCH ROAD</t>
  </si>
  <si>
    <t>L600000049</t>
  </si>
  <si>
    <t>CROTTS BENJAMIN F</t>
  </si>
  <si>
    <t>CROTTS BONNIE C</t>
  </si>
  <si>
    <t>5793 NC HIGHWAY 801 SOUTH</t>
  </si>
  <si>
    <t>L600000047</t>
  </si>
  <si>
    <t>K600000024</t>
  </si>
  <si>
    <t>K60000003502</t>
  </si>
  <si>
    <t>K600000034</t>
  </si>
  <si>
    <t>K600000026</t>
  </si>
  <si>
    <t>TUTTEROW PEGGY D</t>
  </si>
  <si>
    <t>TUTTEROW JEFFREY DEE</t>
  </si>
  <si>
    <t>1239 DEADMON ROAD</t>
  </si>
  <si>
    <t>K600000027</t>
  </si>
  <si>
    <t>SHAMEL JOE F</t>
  </si>
  <si>
    <t>SHAMEL MARLENE B</t>
  </si>
  <si>
    <t>279 STONEGATE LANE</t>
  </si>
  <si>
    <t>27028-5440</t>
  </si>
  <si>
    <t>K600000030</t>
  </si>
  <si>
    <t>K600000028</t>
  </si>
  <si>
    <t>K600000033</t>
  </si>
  <si>
    <t>TUTTEROW SHEILA SHORE</t>
  </si>
  <si>
    <t>139 RED FERN ROAD</t>
  </si>
  <si>
    <t>27028-5491</t>
  </si>
  <si>
    <t>K60000003101</t>
  </si>
  <si>
    <t>K60000003304</t>
  </si>
  <si>
    <t>TUTTEROW PEGGY D TRUSTEE</t>
  </si>
  <si>
    <t>PEGGY D TUTTEROW LIVING TRUST</t>
  </si>
  <si>
    <t>K600000039</t>
  </si>
  <si>
    <t>CROTTS BOBBY GENE</t>
  </si>
  <si>
    <t>169 RAG ROAD</t>
  </si>
  <si>
    <t>K400000027</t>
  </si>
  <si>
    <t>SWICEGOOD ELLA F</t>
  </si>
  <si>
    <t>K400000032</t>
  </si>
  <si>
    <t>MILLER BRANDI S</t>
  </si>
  <si>
    <t>215 BUCK SEAFORD ROAD</t>
  </si>
  <si>
    <t>K40000003502</t>
  </si>
  <si>
    <t>SEAFORD WILLIAM DEAN</t>
  </si>
  <si>
    <t>SEAFORD CATHY STEELMAN</t>
  </si>
  <si>
    <t>285 BUCK SEAFORD ROAD</t>
  </si>
  <si>
    <t>K40000004004</t>
  </si>
  <si>
    <t>BROWNELL KEITH RICHARD</t>
  </si>
  <si>
    <t>BROWNELL LISA JEAN</t>
  </si>
  <si>
    <t>360 BUCK SEAFORD ROAD</t>
  </si>
  <si>
    <t>K40000004009</t>
  </si>
  <si>
    <t>WOOD HAROLD JR</t>
  </si>
  <si>
    <t>WOOD AMY B</t>
  </si>
  <si>
    <t>305 BUCK SEAFORD ROAD</t>
  </si>
  <si>
    <t>K5070A0002</t>
  </si>
  <si>
    <t>BOLES TAMMY LYNETTE</t>
  </si>
  <si>
    <t>129 REDWOOD DRIVE</t>
  </si>
  <si>
    <t>K5070B0002</t>
  </si>
  <si>
    <t>WOGATZKE WILLIAM C</t>
  </si>
  <si>
    <t>WOGATZKE LORETTA J</t>
  </si>
  <si>
    <t>128 REDWOOD DRIVE</t>
  </si>
  <si>
    <t>K700000026</t>
  </si>
  <si>
    <t>BISHOP GARTH</t>
  </si>
  <si>
    <t>BISHOP ANGELIA MICHELLE</t>
  </si>
  <si>
    <t>624 CEDAR GROVE CHURCH ROAD</t>
  </si>
  <si>
    <t>K700000028</t>
  </si>
  <si>
    <t>126 WEST CHURCH STREET</t>
  </si>
  <si>
    <t>K5160B0007</t>
  </si>
  <si>
    <t>BEEKER MELVIN M JR</t>
  </si>
  <si>
    <t>BEEKER JUDY W</t>
  </si>
  <si>
    <t>1726 US HIGHWAY 601 SOUTH</t>
  </si>
  <si>
    <t>K70000003903</t>
  </si>
  <si>
    <t>STONE GEORGE ROBERT</t>
  </si>
  <si>
    <t>STONE ANGEL S</t>
  </si>
  <si>
    <t>113 DRUM LANE</t>
  </si>
  <si>
    <t>27028-7159</t>
  </si>
  <si>
    <t>K70000003905</t>
  </si>
  <si>
    <t>ROSS DWIGHT G</t>
  </si>
  <si>
    <t>ROSS SANDRA B</t>
  </si>
  <si>
    <t>169 DRUM LANE</t>
  </si>
  <si>
    <t>K5160B0006</t>
  </si>
  <si>
    <t>K5090A0001</t>
  </si>
  <si>
    <t>K5090A0011</t>
  </si>
  <si>
    <t>K5090A002601</t>
  </si>
  <si>
    <t>K5100A0004</t>
  </si>
  <si>
    <t>TUTTEROW KATHY</t>
  </si>
  <si>
    <t>257 DEADMON ROAD</t>
  </si>
  <si>
    <t>K5110A0001</t>
  </si>
  <si>
    <t>GREGORY DONNA PATRICIA</t>
  </si>
  <si>
    <t>474 DEADMON ROAD</t>
  </si>
  <si>
    <t>K700000076</t>
  </si>
  <si>
    <t>WILLIAMS BARBARA A</t>
  </si>
  <si>
    <t>611 CEDAR GROVE CHURCH ROAD</t>
  </si>
  <si>
    <t>27028-7117</t>
  </si>
  <si>
    <t>K700000077</t>
  </si>
  <si>
    <t>GODWIN BETTY B</t>
  </si>
  <si>
    <t>359 CEDAR GROVE CHURCH ROAD</t>
  </si>
  <si>
    <t>27028-7114</t>
  </si>
  <si>
    <t>K5110A0004</t>
  </si>
  <si>
    <t>ARGUETA JULIO A</t>
  </si>
  <si>
    <t>ARGUETA REINA I</t>
  </si>
  <si>
    <t>504 DEADMON ROAD</t>
  </si>
  <si>
    <t>K5150A001501</t>
  </si>
  <si>
    <t>K60000000506</t>
  </si>
  <si>
    <t>GARWOOD FAMILY LP</t>
  </si>
  <si>
    <t>1826 FOXFIELD ROAD</t>
  </si>
  <si>
    <t>SOPHIA</t>
  </si>
  <si>
    <t>27350-0000</t>
  </si>
  <si>
    <t>J7120A0027</t>
  </si>
  <si>
    <t>WALKER CARMEN R</t>
  </si>
  <si>
    <t>3514 US HIGHWAY 64 EAST</t>
  </si>
  <si>
    <t>K800000004</t>
  </si>
  <si>
    <t>SIDDEN BOBBY G</t>
  </si>
  <si>
    <t>SIDDEN JUDITH E</t>
  </si>
  <si>
    <t>3494 US HIGHWAY 64 EAST</t>
  </si>
  <si>
    <t>J600000080</t>
  </si>
  <si>
    <t>BAILEY TIMOTHY L</t>
  </si>
  <si>
    <t>BAILEY DEBRA W</t>
  </si>
  <si>
    <t>3410 US HIGHWAY 64 EAST</t>
  </si>
  <si>
    <t>K800000008</t>
  </si>
  <si>
    <t>K800000009</t>
  </si>
  <si>
    <t>WARD SUE MILLER</t>
  </si>
  <si>
    <t>3400 US HIGHWAY 64 EAST</t>
  </si>
  <si>
    <t>K80000001104</t>
  </si>
  <si>
    <t>STEELE BENJAMIN L</t>
  </si>
  <si>
    <t>STEELE SHERYL E</t>
  </si>
  <si>
    <t>4365 NC HIGHWAY 801 SOUTH</t>
  </si>
  <si>
    <t>27006-7120</t>
  </si>
  <si>
    <t>K800000012</t>
  </si>
  <si>
    <t>CORSON ROBERT C</t>
  </si>
  <si>
    <t>CORSON LINDA S</t>
  </si>
  <si>
    <t>4467 NC HIGHWAY 801 SOUTH</t>
  </si>
  <si>
    <t>27006-7121</t>
  </si>
  <si>
    <t>K600000005</t>
  </si>
  <si>
    <t>K5020A0010</t>
  </si>
  <si>
    <t>HOLMES BRENDA H</t>
  </si>
  <si>
    <t>226 ROLLINGWOOD DRIVE</t>
  </si>
  <si>
    <t>27028-4324</t>
  </si>
  <si>
    <t>K8100A0018</t>
  </si>
  <si>
    <t>GENOVESE ANTHONY J</t>
  </si>
  <si>
    <t>GENOVESE TINA</t>
  </si>
  <si>
    <t>3491 CHICKASAW CIRCLE</t>
  </si>
  <si>
    <t>GREEN ACRES</t>
  </si>
  <si>
    <t>33467-0000</t>
  </si>
  <si>
    <t>K8100A0022</t>
  </si>
  <si>
    <t>WILLIAMS JOHN WESTON</t>
  </si>
  <si>
    <t>WILLIAMS LEANNE F</t>
  </si>
  <si>
    <t>137 GLORY COURT</t>
  </si>
  <si>
    <t>27006-7337</t>
  </si>
  <si>
    <t>K8100A0023</t>
  </si>
  <si>
    <t>CREW GEORGE PHILIP</t>
  </si>
  <si>
    <t>CREW FRANCES RUTH</t>
  </si>
  <si>
    <t>117 GLORY COURT</t>
  </si>
  <si>
    <t>K800000014</t>
  </si>
  <si>
    <t>OWENS PAUL HEIRS</t>
  </si>
  <si>
    <t>OWENS GOLDEN LOVE</t>
  </si>
  <si>
    <t>5600 BIRKDALE DRIVE</t>
  </si>
  <si>
    <t>K60000000505</t>
  </si>
  <si>
    <t>SETTLE TIMOTHY E</t>
  </si>
  <si>
    <t>SETTLE SANDRA B</t>
  </si>
  <si>
    <t>985 DEADMON ROAD</t>
  </si>
  <si>
    <t>27028-5147</t>
  </si>
  <si>
    <t>K600000006</t>
  </si>
  <si>
    <t>K60000001802</t>
  </si>
  <si>
    <t>POPLIN RALPH EUGENE</t>
  </si>
  <si>
    <t>530 FRANK SHORT ROAD</t>
  </si>
  <si>
    <t>K80000002002</t>
  </si>
  <si>
    <t>HOKE PAUL</t>
  </si>
  <si>
    <t>HOKE RENEE</t>
  </si>
  <si>
    <t>311 SEAFORD ROAD</t>
  </si>
  <si>
    <t>K80000002003</t>
  </si>
  <si>
    <t>ZAKAMAREK JOANNA M</t>
  </si>
  <si>
    <t>281 SEAFORD RD</t>
  </si>
  <si>
    <t>K80000002005</t>
  </si>
  <si>
    <t>ROMINGER MICHAEL L</t>
  </si>
  <si>
    <t>331 SEAFORD ROAD</t>
  </si>
  <si>
    <t>27006-7044</t>
  </si>
  <si>
    <t>L700000021</t>
  </si>
  <si>
    <t>ZAKAMAREK ANDREZEJ K</t>
  </si>
  <si>
    <t>5353 NC HIGHWAY 801 SOUTH</t>
  </si>
  <si>
    <t>27006-7196</t>
  </si>
  <si>
    <t>K80000002012</t>
  </si>
  <si>
    <t>K8090A0005</t>
  </si>
  <si>
    <t>WRIGHT STANLEY A</t>
  </si>
  <si>
    <t>WRIGHT SHIRLEY A</t>
  </si>
  <si>
    <t>157 CARTERS RIDGE ROAD</t>
  </si>
  <si>
    <t>L200000001  A</t>
  </si>
  <si>
    <t>BROWN J W</t>
  </si>
  <si>
    <t>BROWN ELSIE E</t>
  </si>
  <si>
    <t>338 FOSTER ROAD</t>
  </si>
  <si>
    <t>L200000002</t>
  </si>
  <si>
    <t>BROWN DENNIS R</t>
  </si>
  <si>
    <t>BROWN ELAINE F</t>
  </si>
  <si>
    <t>435 FOSTER ROAD</t>
  </si>
  <si>
    <t>27028-8224</t>
  </si>
  <si>
    <t>K60000002202</t>
  </si>
  <si>
    <t>THIES ELIZABETH JEAN</t>
  </si>
  <si>
    <t>1141 DEADMON ROAD</t>
  </si>
  <si>
    <t>L20000000402</t>
  </si>
  <si>
    <t>ZIMMERMAN OREN DANIEL JR</t>
  </si>
  <si>
    <t>1750 ENTERPRISE ROAD</t>
  </si>
  <si>
    <t>L20000000403</t>
  </si>
  <si>
    <t>L300000007</t>
  </si>
  <si>
    <t>ALLRED PAUL RICKY</t>
  </si>
  <si>
    <t>ALLRED GLORIA R</t>
  </si>
  <si>
    <t>888 RATLEDGE ROAD</t>
  </si>
  <si>
    <t>L30000000702</t>
  </si>
  <si>
    <t>KURFEES CHARLES M</t>
  </si>
  <si>
    <t>KURFEES KAY S</t>
  </si>
  <si>
    <t>817 MR HENRY ROAD</t>
  </si>
  <si>
    <t>L30000000703</t>
  </si>
  <si>
    <t>MILLER ANTHONY BRENT</t>
  </si>
  <si>
    <t>MILLER ANNETTE K</t>
  </si>
  <si>
    <t>926 RATLEDGE ROAD</t>
  </si>
  <si>
    <t>L300000010</t>
  </si>
  <si>
    <t>FERREE JANE</t>
  </si>
  <si>
    <t>116 LITTLE EGYPT ROAD</t>
  </si>
  <si>
    <t>L300000012</t>
  </si>
  <si>
    <t>COUCH GEORGE EDGAR JR</t>
  </si>
  <si>
    <t>154 PEE WEES WAY</t>
  </si>
  <si>
    <t>M300000009</t>
  </si>
  <si>
    <t>M300000010</t>
  </si>
  <si>
    <t>L30000002604</t>
  </si>
  <si>
    <t>K60000004701</t>
  </si>
  <si>
    <t>TKACH PAULA J</t>
  </si>
  <si>
    <t>TKACH DAVID A</t>
  </si>
  <si>
    <t>398 JOE ROAD</t>
  </si>
  <si>
    <t>L300000018</t>
  </si>
  <si>
    <t>SHOAF EARL FRANKLIN</t>
  </si>
  <si>
    <t>SHOAF CRAIG SCOTT</t>
  </si>
  <si>
    <t>5117 WYNEEFORD WAY</t>
  </si>
  <si>
    <t>L30000002001</t>
  </si>
  <si>
    <t>COULSTON JACQUELINE W</t>
  </si>
  <si>
    <t>PO BOX 1165</t>
  </si>
  <si>
    <t>27028-1165</t>
  </si>
  <si>
    <t>K60000004703</t>
  </si>
  <si>
    <t>2338 US HWY 64 EAST</t>
  </si>
  <si>
    <t>K700000014</t>
  </si>
  <si>
    <t>HULBURT DANIEL R</t>
  </si>
  <si>
    <t>HULBURT DIANE TEN BROECK</t>
  </si>
  <si>
    <t>154 RENTZ LANE</t>
  </si>
  <si>
    <t>K700000017</t>
  </si>
  <si>
    <t>GRUBBS JOHN S</t>
  </si>
  <si>
    <t>LANIER DONNA G</t>
  </si>
  <si>
    <t>176 GAWAIN WAY</t>
  </si>
  <si>
    <t>K70000001701</t>
  </si>
  <si>
    <t>LANIER GURNEY DALE</t>
  </si>
  <si>
    <t>1028 JOE ROAD</t>
  </si>
  <si>
    <t>K5030A0010</t>
  </si>
  <si>
    <t>PETTICORD CALVIN BLAINE</t>
  </si>
  <si>
    <t>PETTICORD JUDY Y</t>
  </si>
  <si>
    <t>262 DEACONS WAY</t>
  </si>
  <si>
    <t>27028-5182</t>
  </si>
  <si>
    <t>L3010A0003</t>
  </si>
  <si>
    <t>WISE MATTHEW M</t>
  </si>
  <si>
    <t>153 TARA COURT</t>
  </si>
  <si>
    <t>L3010A0006</t>
  </si>
  <si>
    <t>FISHER LINDA K</t>
  </si>
  <si>
    <t>183 TARA COURT</t>
  </si>
  <si>
    <t>L3010A0007</t>
  </si>
  <si>
    <t>MARTIN RHOBER P</t>
  </si>
  <si>
    <t>182 TARA COURT</t>
  </si>
  <si>
    <t>K70000002004</t>
  </si>
  <si>
    <t>YOST JENNY J</t>
  </si>
  <si>
    <t>785 CEDAR GROVE CHURCH ROAD</t>
  </si>
  <si>
    <t>K700000031  A</t>
  </si>
  <si>
    <t>PEEBLES JAMES JR</t>
  </si>
  <si>
    <t>273 MASON DRIVE</t>
  </si>
  <si>
    <t>K700000043  A</t>
  </si>
  <si>
    <t>BROWN JESSIE J III</t>
  </si>
  <si>
    <t>BROWN GERALDINE</t>
  </si>
  <si>
    <t>521 CEDAR GROVE CHURCH ROAD</t>
  </si>
  <si>
    <t>L400000001</t>
  </si>
  <si>
    <t>AMICK ROGER L</t>
  </si>
  <si>
    <t>779 JUNCTION ROAD</t>
  </si>
  <si>
    <t>L40000000101</t>
  </si>
  <si>
    <t>GREEN KENNETH RAY</t>
  </si>
  <si>
    <t>605 BUCK SEAFORD ROAD</t>
  </si>
  <si>
    <t>27028-4172</t>
  </si>
  <si>
    <t>L40000000104</t>
  </si>
  <si>
    <t>CLENDENNING KATRINA</t>
  </si>
  <si>
    <t>4710 VISTA GREEN COURT</t>
  </si>
  <si>
    <t>28412-5247</t>
  </si>
  <si>
    <t>K70000004902</t>
  </si>
  <si>
    <t>BRADSHAW VERNON DEXTER JR</t>
  </si>
  <si>
    <t>BRADSHAW RENEE LUFFMAN</t>
  </si>
  <si>
    <t>387 CEDAR GROVE CHURCH ROAD</t>
  </si>
  <si>
    <t>L400000008</t>
  </si>
  <si>
    <t>HEAD LARRY D</t>
  </si>
  <si>
    <t>749 JUNCTION RD.</t>
  </si>
  <si>
    <t>L400000009</t>
  </si>
  <si>
    <t>GREENE SHIRLEY H</t>
  </si>
  <si>
    <t>759 JUNCTION ROAD</t>
  </si>
  <si>
    <t>L40000000105A</t>
  </si>
  <si>
    <t>L400000013</t>
  </si>
  <si>
    <t>GREEN JOHN W</t>
  </si>
  <si>
    <t>820 JUNCTION ROAD</t>
  </si>
  <si>
    <t>L400000023</t>
  </si>
  <si>
    <t>COMMUNITY BAPTIST CHURCH</t>
  </si>
  <si>
    <t>% LARRY DANIELS</t>
  </si>
  <si>
    <t>PO BOX 765</t>
  </si>
  <si>
    <t>K700000050</t>
  </si>
  <si>
    <t>GODWIN CHARLES JR &amp; BETTY L</t>
  </si>
  <si>
    <t>GODWIN NATALIE</t>
  </si>
  <si>
    <t>K700000074</t>
  </si>
  <si>
    <t>BROWN KELLY G</t>
  </si>
  <si>
    <t>BROWN CHRISTINA</t>
  </si>
  <si>
    <t>327 CEDAR GROVE CHURCH ROAD</t>
  </si>
  <si>
    <t>L400000034</t>
  </si>
  <si>
    <t>SEAMON REVOCABLE LIVING TRUST</t>
  </si>
  <si>
    <t>SEAMON JOHN HAROLD TRUSTEE</t>
  </si>
  <si>
    <t>119 CABLE LANE</t>
  </si>
  <si>
    <t>L40000003406</t>
  </si>
  <si>
    <t>PHILLIPS STEVE A</t>
  </si>
  <si>
    <t>PHILLIPS CAROLYN M</t>
  </si>
  <si>
    <t>177 CABLE LANE</t>
  </si>
  <si>
    <t>27028-5105</t>
  </si>
  <si>
    <t>L4130A0029</t>
  </si>
  <si>
    <t>L4130A0027</t>
  </si>
  <si>
    <t>L40000003411</t>
  </si>
  <si>
    <t>K70000005602</t>
  </si>
  <si>
    <t>LATHAM TIMOTHY R</t>
  </si>
  <si>
    <t>LATHAM KIMBERLY J</t>
  </si>
  <si>
    <t>119 IMPERIAL LANE</t>
  </si>
  <si>
    <t>K700000072</t>
  </si>
  <si>
    <t>BROWN KENNETH D</t>
  </si>
  <si>
    <t>BROWN LINDA F</t>
  </si>
  <si>
    <t>L400000035</t>
  </si>
  <si>
    <t>BARKER SHIRLEY H</t>
  </si>
  <si>
    <t>BARKER CHRISTOPHER CHAD</t>
  </si>
  <si>
    <t>794 DANIEL ROAD</t>
  </si>
  <si>
    <t>L400000036</t>
  </si>
  <si>
    <t>ELLISON KENNETH E</t>
  </si>
  <si>
    <t>771 DANIEL ROAD</t>
  </si>
  <si>
    <t>27028-5125</t>
  </si>
  <si>
    <t>L40000004001</t>
  </si>
  <si>
    <t>DANIEL EVELYN B</t>
  </si>
  <si>
    <t>570 DANIEL ROAD</t>
  </si>
  <si>
    <t>L40000004106</t>
  </si>
  <si>
    <t>STRICKLAND EDWIN LEONARD</t>
  </si>
  <si>
    <t>STRICKLAND JEANNETTE DANIEL</t>
  </si>
  <si>
    <t>729 DANIEL ROAD</t>
  </si>
  <si>
    <t>L400000043</t>
  </si>
  <si>
    <t>DANIEL EVELYN BROWN ETAL</t>
  </si>
  <si>
    <t>27028-5123</t>
  </si>
  <si>
    <t>K80000000108</t>
  </si>
  <si>
    <t>EDWARDS CURTIS RAY III</t>
  </si>
  <si>
    <t>EDWARDS VICKIE P</t>
  </si>
  <si>
    <t>143 SHADOW LANE</t>
  </si>
  <si>
    <t>L40000004305</t>
  </si>
  <si>
    <t>FOSTER MARJORIE DANIEL</t>
  </si>
  <si>
    <t>L400000049  A</t>
  </si>
  <si>
    <t>MOORE CYNTHIA B</t>
  </si>
  <si>
    <t>620 GLADSTONE ROAD</t>
  </si>
  <si>
    <t>27028-5237</t>
  </si>
  <si>
    <t>K800000002</t>
  </si>
  <si>
    <t>BAILEY JAMES M</t>
  </si>
  <si>
    <t>BAILEY ELIZABETH M</t>
  </si>
  <si>
    <t>3534 US HIGWAY 64 EAST</t>
  </si>
  <si>
    <t>L4130A0025</t>
  </si>
  <si>
    <t>MCQUEEN DAVID</t>
  </si>
  <si>
    <t>MCQUEEN DUDRA S</t>
  </si>
  <si>
    <t>550 GLADSTONE ROAD</t>
  </si>
  <si>
    <t>27028-5236</t>
  </si>
  <si>
    <t>L4130A0031</t>
  </si>
  <si>
    <t>HENDRIX THOMAS E SR</t>
  </si>
  <si>
    <t>PO BOX 24</t>
  </si>
  <si>
    <t>L4130A0032</t>
  </si>
  <si>
    <t>BUMGARNER CAROLYN MCDANIEL</t>
  </si>
  <si>
    <t>L4130A0033</t>
  </si>
  <si>
    <t>K800000003</t>
  </si>
  <si>
    <t>K8100A0009</t>
  </si>
  <si>
    <t>BLACKBURN LARRY</t>
  </si>
  <si>
    <t>BLACKBURN ANNIE</t>
  </si>
  <si>
    <t>159 PEACE COURT</t>
  </si>
  <si>
    <t>27006-7334</t>
  </si>
  <si>
    <t>K8100A0013</t>
  </si>
  <si>
    <t>SECHRIST RONALD C</t>
  </si>
  <si>
    <t>SECHRIST DAWN</t>
  </si>
  <si>
    <t>119 PEACE COURT</t>
  </si>
  <si>
    <t>K80000001902</t>
  </si>
  <si>
    <t>PICKETT JOSEPH A</t>
  </si>
  <si>
    <t>PICKETT PATRICIA A</t>
  </si>
  <si>
    <t>268 SEAFORD ROAD</t>
  </si>
  <si>
    <t>K80000001907</t>
  </si>
  <si>
    <t>K80000002001</t>
  </si>
  <si>
    <t>STARBUCK JOE VAN</t>
  </si>
  <si>
    <t>STARBUCK PAMELA W</t>
  </si>
  <si>
    <t>339 SEAFORD ROAD</t>
  </si>
  <si>
    <t>L200000005</t>
  </si>
  <si>
    <t>DESNOYERS SALLY RIDDLE</t>
  </si>
  <si>
    <t>DESNOYERS JASON DANIEL</t>
  </si>
  <si>
    <t>336 KETCHIE ROAD</t>
  </si>
  <si>
    <t>M300000008</t>
  </si>
  <si>
    <t>L30000002607</t>
  </si>
  <si>
    <t>NELSON JOANNE D</t>
  </si>
  <si>
    <t>628 JUNCTION ROAD</t>
  </si>
  <si>
    <t>M5150A0023</t>
  </si>
  <si>
    <t>COPE LARRY H</t>
  </si>
  <si>
    <t>COPE PATRICIA B</t>
  </si>
  <si>
    <t>PO BOX 341</t>
  </si>
  <si>
    <t>M500000008</t>
  </si>
  <si>
    <t>L30000002610</t>
  </si>
  <si>
    <t>ECKELSON NANCY C</t>
  </si>
  <si>
    <t>151 SOFTAIL LANE</t>
  </si>
  <si>
    <t>L50000003401</t>
  </si>
  <si>
    <t>PENNINGTON MILDRED F</t>
  </si>
  <si>
    <t>2451 US HIGHWAY 601 SOUTH</t>
  </si>
  <si>
    <t>M5160C0012</t>
  </si>
  <si>
    <t>L5070A0019</t>
  </si>
  <si>
    <t>CORRELL JERRY R</t>
  </si>
  <si>
    <t>CORRELL LIBBY R</t>
  </si>
  <si>
    <t>259 FAIRFIELD ROAD</t>
  </si>
  <si>
    <t>L500000035</t>
  </si>
  <si>
    <t>L5140A0009</t>
  </si>
  <si>
    <t>ELLIS KEVIN BRUCE</t>
  </si>
  <si>
    <t>2505 US HIGHWAY 601 SOUTH</t>
  </si>
  <si>
    <t>27028-6909</t>
  </si>
  <si>
    <t>L500000036</t>
  </si>
  <si>
    <t>L5140A0008</t>
  </si>
  <si>
    <t>L5140A0007</t>
  </si>
  <si>
    <t>L50000003701</t>
  </si>
  <si>
    <t>MICHAEL D CRAIG</t>
  </si>
  <si>
    <t>MICHAEL KAREN T</t>
  </si>
  <si>
    <t>163 MICHAELS ROAD</t>
  </si>
  <si>
    <t>27028-6720</t>
  </si>
  <si>
    <t>L50000003801</t>
  </si>
  <si>
    <t>L500000006</t>
  </si>
  <si>
    <t>L5150A000301</t>
  </si>
  <si>
    <t>L500000037</t>
  </si>
  <si>
    <t>L500000038</t>
  </si>
  <si>
    <t>EVANS CHARLES EUBIE JR</t>
  </si>
  <si>
    <t>EVANS CAROL JEAN ALEXANDER</t>
  </si>
  <si>
    <t>262 MICHAELS ROAD</t>
  </si>
  <si>
    <t>L500000041</t>
  </si>
  <si>
    <t>L500000039</t>
  </si>
  <si>
    <t>EVANS CAROL JEAN A</t>
  </si>
  <si>
    <t>L500000040</t>
  </si>
  <si>
    <t>L500000042</t>
  </si>
  <si>
    <t>L5150A000101</t>
  </si>
  <si>
    <t>MILLER PERRY TUTTEROW</t>
  </si>
  <si>
    <t>MILLER BOBBIE STAFFORD</t>
  </si>
  <si>
    <t>6995 NC HIGHWAY 801 SOUTH</t>
  </si>
  <si>
    <t>L50000004406</t>
  </si>
  <si>
    <t>L500000044</t>
  </si>
  <si>
    <t>L50000004401</t>
  </si>
  <si>
    <t>KIRKPATRICK ANDREW B</t>
  </si>
  <si>
    <t>KIRKPATRICK MERIT M</t>
  </si>
  <si>
    <t>126 LEFLER LANE</t>
  </si>
  <si>
    <t>27028-6713</t>
  </si>
  <si>
    <t>L50000004403</t>
  </si>
  <si>
    <t>SPILLMAN JERRY DEAN</t>
  </si>
  <si>
    <t>SPILLMAN MICHELLE A</t>
  </si>
  <si>
    <t>PO BOX 702</t>
  </si>
  <si>
    <t>27014-0702</t>
  </si>
  <si>
    <t>L50000004405</t>
  </si>
  <si>
    <t>FOSTER MARY WEBB</t>
  </si>
  <si>
    <t>7037 NC HIGHWAY 801 SOUTH</t>
  </si>
  <si>
    <t>L500000108</t>
  </si>
  <si>
    <t>O60000007003</t>
  </si>
  <si>
    <t>WILLIAMS EDWIN RAY</t>
  </si>
  <si>
    <t>WILLIAMS PAULA S</t>
  </si>
  <si>
    <t>829 POINT ROAD</t>
  </si>
  <si>
    <t>27028-6813</t>
  </si>
  <si>
    <t>L30000002701</t>
  </si>
  <si>
    <t>WHITAKER ROBERT E</t>
  </si>
  <si>
    <t>WHITAKER ERNESTINE J</t>
  </si>
  <si>
    <t>674 JUNCTION ROAD</t>
  </si>
  <si>
    <t>L300000032</t>
  </si>
  <si>
    <t>BORDNER DOUGLAS E REVOC TRUST</t>
  </si>
  <si>
    <t>BORDNER MARGARET A REVOC TRUST</t>
  </si>
  <si>
    <t>210 OAK MEADOW LANE</t>
  </si>
  <si>
    <t>L3010A0001</t>
  </si>
  <si>
    <t>ROMERO ROGELIO</t>
  </si>
  <si>
    <t>ROMERO GUADALUPE LONGARES</t>
  </si>
  <si>
    <t>115 TARA COURT</t>
  </si>
  <si>
    <t>K70000001702</t>
  </si>
  <si>
    <t>GRUBBS JOHN STEPHEN</t>
  </si>
  <si>
    <t>GRUBBS WELDINA A</t>
  </si>
  <si>
    <t>L50000009201</t>
  </si>
  <si>
    <t>WILLIAMS ROGER D</t>
  </si>
  <si>
    <t>WILLIAMS DONNA S</t>
  </si>
  <si>
    <t>562 FAIRFIELD ROAD</t>
  </si>
  <si>
    <t>27028-5214</t>
  </si>
  <si>
    <t>L500000094</t>
  </si>
  <si>
    <t>TUCKER J W</t>
  </si>
  <si>
    <t>TUCKER TEXOLA M</t>
  </si>
  <si>
    <t>488 FAIRFIELD ROAD</t>
  </si>
  <si>
    <t>27028-5213</t>
  </si>
  <si>
    <t>L50000009402</t>
  </si>
  <si>
    <t>PRESNELL LARRY WAYNE</t>
  </si>
  <si>
    <t>PRESNELL PEGGY SUE</t>
  </si>
  <si>
    <t>PO BOX 1432</t>
  </si>
  <si>
    <t>L50000009403</t>
  </si>
  <si>
    <t>JONES WANDA GALE</t>
  </si>
  <si>
    <t>JONES HENRY LEE</t>
  </si>
  <si>
    <t>434 FAIRFIELD ROAD</t>
  </si>
  <si>
    <t>L50000009801</t>
  </si>
  <si>
    <t>MILLER EDDIE RAY</t>
  </si>
  <si>
    <t>372 FAIRFIELD ROAD</t>
  </si>
  <si>
    <t>L50000009802</t>
  </si>
  <si>
    <t>THOMPSON LONNIE</t>
  </si>
  <si>
    <t>THOMPSON CHRISTINE</t>
  </si>
  <si>
    <t>424 FAIRFIELD RD.</t>
  </si>
  <si>
    <t>L5070A0025</t>
  </si>
  <si>
    <t>L5100A0032</t>
  </si>
  <si>
    <t>L500000100</t>
  </si>
  <si>
    <t>L3080A0011</t>
  </si>
  <si>
    <t>MATLOCK JONATHAN M</t>
  </si>
  <si>
    <t>MATLOCK STACY H</t>
  </si>
  <si>
    <t>942 MR HENRY ROAD</t>
  </si>
  <si>
    <t>27028-5363</t>
  </si>
  <si>
    <t>L5010A0004</t>
  </si>
  <si>
    <t>DAVIS TERRY D</t>
  </si>
  <si>
    <t>DAVIS DANIEL E</t>
  </si>
  <si>
    <t>287 BREWER ROAD</t>
  </si>
  <si>
    <t>L5010A0006</t>
  </si>
  <si>
    <t>MCCOY D SCOTT</t>
  </si>
  <si>
    <t>446 MCCULLOUGH ROAD</t>
  </si>
  <si>
    <t>L5010A0012</t>
  </si>
  <si>
    <t>ALLEN DANIEL R</t>
  </si>
  <si>
    <t>ALLEN LISA M</t>
  </si>
  <si>
    <t>386 MCCULLOUGH ROAD</t>
  </si>
  <si>
    <t>L5010A0013</t>
  </si>
  <si>
    <t>CRANFILL ANDY SCOTT</t>
  </si>
  <si>
    <t>CRANFILL JENNIFER B</t>
  </si>
  <si>
    <t>378 MCCULLOUGH ROAD</t>
  </si>
  <si>
    <t>L5010B0003</t>
  </si>
  <si>
    <t>CORUM JERRY LEE</t>
  </si>
  <si>
    <t>CORUM RUBY B</t>
  </si>
  <si>
    <t>371 MCCULLOUGH ROAD</t>
  </si>
  <si>
    <t>27028-6718</t>
  </si>
  <si>
    <t>L5010B0008</t>
  </si>
  <si>
    <t>MABE CHARLES DAVID</t>
  </si>
  <si>
    <t>MABE RUTH W</t>
  </si>
  <si>
    <t>1922 US HIGHWAY 601 SOUTH</t>
  </si>
  <si>
    <t>M40000004302</t>
  </si>
  <si>
    <t>L5020A0002</t>
  </si>
  <si>
    <t>HOLY CROSS LUTHERAN CHURCH</t>
  </si>
  <si>
    <t>1913 US HIGHWAY 601 SOUTH</t>
  </si>
  <si>
    <t>L5020A0006</t>
  </si>
  <si>
    <t>DWIGGINS DAVID E</t>
  </si>
  <si>
    <t>6501 ORCHARD KNOLL DRIVE</t>
  </si>
  <si>
    <t>L3080A0010</t>
  </si>
  <si>
    <t>L40000000110</t>
  </si>
  <si>
    <t>GREEN MITCHELL B</t>
  </si>
  <si>
    <t>GREEN SUSAN B</t>
  </si>
  <si>
    <t>147 GREEN IRON LANE</t>
  </si>
  <si>
    <t>27028-4262</t>
  </si>
  <si>
    <t>L5020A001201</t>
  </si>
  <si>
    <t>MUFF STEPHANIE</t>
  </si>
  <si>
    <t>190 DEER HAVEN TRAIL</t>
  </si>
  <si>
    <t>L5020A0039</t>
  </si>
  <si>
    <t>L5020A001202</t>
  </si>
  <si>
    <t>TAYLOR MICHAEL D</t>
  </si>
  <si>
    <t>TAYLOR SHEILA L</t>
  </si>
  <si>
    <t>148 DEER HAVEN TRAIL</t>
  </si>
  <si>
    <t>L5020A0014</t>
  </si>
  <si>
    <t>WISECARVER BRIAN M</t>
  </si>
  <si>
    <t>WISECARVER LYNN A</t>
  </si>
  <si>
    <t>1999 US HIGHWAY 601 SOUTH</t>
  </si>
  <si>
    <t>L5020A001302</t>
  </si>
  <si>
    <t>L40000003206</t>
  </si>
  <si>
    <t>MACNULTY JAMES D</t>
  </si>
  <si>
    <t>MACNULTY KAREN A</t>
  </si>
  <si>
    <t>141 EDGE WAY</t>
  </si>
  <si>
    <t>27028-5206</t>
  </si>
  <si>
    <t>L400000033</t>
  </si>
  <si>
    <t>MARTIN RUSSELL N</t>
  </si>
  <si>
    <t>964 DANIEL ROAD</t>
  </si>
  <si>
    <t>L40000003412</t>
  </si>
  <si>
    <t>STEWART RONALD WADE JR</t>
  </si>
  <si>
    <t>PO BOX 1312</t>
  </si>
  <si>
    <t>L40000003413</t>
  </si>
  <si>
    <t>DANIEL LARRY G</t>
  </si>
  <si>
    <t>118 NANCY EASTER LOOP</t>
  </si>
  <si>
    <t>27028-5400</t>
  </si>
  <si>
    <t>L5020B0017</t>
  </si>
  <si>
    <t>PIFF DAVID J</t>
  </si>
  <si>
    <t>131 SOUTH BENSON LANE</t>
  </si>
  <si>
    <t>L40000004304</t>
  </si>
  <si>
    <t>POTTS JEFFREY D</t>
  </si>
  <si>
    <t>POTTS ANTOINETTE N</t>
  </si>
  <si>
    <t>667 DANIEL ROAD</t>
  </si>
  <si>
    <t>L4130A002501</t>
  </si>
  <si>
    <t>L5090A0015</t>
  </si>
  <si>
    <t>PATTERSON BETTY B</t>
  </si>
  <si>
    <t>216 GLADSTONE ROAD</t>
  </si>
  <si>
    <t>L5090A0005</t>
  </si>
  <si>
    <t>SPRY JAMES C</t>
  </si>
  <si>
    <t>SPRY DORIS JEAN</t>
  </si>
  <si>
    <t>334 GLADSTONE ROAD</t>
  </si>
  <si>
    <t>L5090A0010</t>
  </si>
  <si>
    <t>HERNANDEZ ANA M</t>
  </si>
  <si>
    <t>256 GLADSTONE ROAD</t>
  </si>
  <si>
    <t>L5090A0011</t>
  </si>
  <si>
    <t>HERNANDEZ DAVID E</t>
  </si>
  <si>
    <t>L50000001311</t>
  </si>
  <si>
    <t>L50000001303</t>
  </si>
  <si>
    <t>L50000001304A</t>
  </si>
  <si>
    <t>SPRY DONALD E</t>
  </si>
  <si>
    <t>SPRY CAROL</t>
  </si>
  <si>
    <t>500 CHERRY HILL ROAD</t>
  </si>
  <si>
    <t>L50000001307</t>
  </si>
  <si>
    <t>RENTERIA ANTHONY SR</t>
  </si>
  <si>
    <t>BLAKE KATHY F</t>
  </si>
  <si>
    <t>152 FLETCHER STREET</t>
  </si>
  <si>
    <t>L5100A000801</t>
  </si>
  <si>
    <t>VEACH JOHN JR</t>
  </si>
  <si>
    <t>119 VEACH LANE</t>
  </si>
  <si>
    <t>MOCSKVILLE</t>
  </si>
  <si>
    <t>L5100A0029</t>
  </si>
  <si>
    <t>DANIELS FAMILY CEMETARY</t>
  </si>
  <si>
    <t>L5100A0033</t>
  </si>
  <si>
    <t>JONES LARRY W</t>
  </si>
  <si>
    <t>JONES ANGELA K</t>
  </si>
  <si>
    <t>2162 US HIGHWAY 601 SOUTH</t>
  </si>
  <si>
    <t>L50000001308</t>
  </si>
  <si>
    <t>BOGER SYLVIA J</t>
  </si>
  <si>
    <t>200 GLADSTONE ROAD</t>
  </si>
  <si>
    <t>L50000001402</t>
  </si>
  <si>
    <t>STEELE RICKEY L</t>
  </si>
  <si>
    <t>L500000025</t>
  </si>
  <si>
    <t>BROWN MICHAEL A</t>
  </si>
  <si>
    <t>1164 DANIEL ROAD</t>
  </si>
  <si>
    <t>L5150A0011</t>
  </si>
  <si>
    <t>BROWN ROBERT G JR</t>
  </si>
  <si>
    <t>2336 US HIGHWAY 601 SOUTH</t>
  </si>
  <si>
    <t>27028-6907</t>
  </si>
  <si>
    <t>L5150A0010</t>
  </si>
  <si>
    <t>L5140A0002</t>
  </si>
  <si>
    <t>PENNINGTON THOMAS HOWARD</t>
  </si>
  <si>
    <t>PENNINGTON MILDRED FOSTER</t>
  </si>
  <si>
    <t>27028-6908</t>
  </si>
  <si>
    <t>L5140A0003</t>
  </si>
  <si>
    <t>FOSTER T G JR</t>
  </si>
  <si>
    <t>L5140A0006</t>
  </si>
  <si>
    <t>NICHOLS BRIAN S JR</t>
  </si>
  <si>
    <t>NICHOLS VICKIE L</t>
  </si>
  <si>
    <t>2483 US HWY 601 S</t>
  </si>
  <si>
    <t>L500000034</t>
  </si>
  <si>
    <t>L50000005101</t>
  </si>
  <si>
    <t>HILLIARD STEPHEN E</t>
  </si>
  <si>
    <t>HILLIARD SONYA FAY</t>
  </si>
  <si>
    <t>6802 NC HIGHWAY 801 SOUTH</t>
  </si>
  <si>
    <t>L5140A0022</t>
  </si>
  <si>
    <t>MCDANIEL DELMAR N</t>
  </si>
  <si>
    <t>144 WHETSTONE DRIVE</t>
  </si>
  <si>
    <t>27028-6932</t>
  </si>
  <si>
    <t>L5140A0018</t>
  </si>
  <si>
    <t>M5030A0006</t>
  </si>
  <si>
    <t>L5140A0020</t>
  </si>
  <si>
    <t>L5140A0021</t>
  </si>
  <si>
    <t>L600000005</t>
  </si>
  <si>
    <t>L5150A0008</t>
  </si>
  <si>
    <t>JAMES BRUCE MICHAEL</t>
  </si>
  <si>
    <t>JAMES PHYLLIS SPRY</t>
  </si>
  <si>
    <t>2364 US HIGHWAY 601 SOUTH</t>
  </si>
  <si>
    <t>L5150A0013</t>
  </si>
  <si>
    <t>EVANS JEAN ALEXANDER</t>
  </si>
  <si>
    <t>L500000058</t>
  </si>
  <si>
    <t>CREASON PERRY L</t>
  </si>
  <si>
    <t>CREASON DONNA W</t>
  </si>
  <si>
    <t>180 OAKDALE CIRCLE</t>
  </si>
  <si>
    <t>L60000000601</t>
  </si>
  <si>
    <t>BROGDON ROBERT KEITH</t>
  </si>
  <si>
    <t>BROGDON SHERYL B</t>
  </si>
  <si>
    <t>PO BOX 925</t>
  </si>
  <si>
    <t>L60000000605</t>
  </si>
  <si>
    <t>BROGDON DORCAS ALEXANDER</t>
  </si>
  <si>
    <t>6652 NC HIGHWAY 801 SOUTH</t>
  </si>
  <si>
    <t>L60000000802</t>
  </si>
  <si>
    <t>JEAN KEVIN W</t>
  </si>
  <si>
    <t>JEAN DEBRA L</t>
  </si>
  <si>
    <t>208 OAKDALE CIRCLE</t>
  </si>
  <si>
    <t>L500000084</t>
  </si>
  <si>
    <t>DANIEL GRAVEYARD</t>
  </si>
  <si>
    <t>L500000092  A</t>
  </si>
  <si>
    <t>WILLIAMS BROWNIE P FAMILY PART</t>
  </si>
  <si>
    <t>L60000000904</t>
  </si>
  <si>
    <t>PEELER JOHN T</t>
  </si>
  <si>
    <t>PEELER REBECCA L</t>
  </si>
  <si>
    <t>6096 NC HIGHWAY 801 SOUTH</t>
  </si>
  <si>
    <t>L60000000905</t>
  </si>
  <si>
    <t>JARDINE THOMAS J</t>
  </si>
  <si>
    <t>JARDINE BARBARA J</t>
  </si>
  <si>
    <t>6570 HWY 801 S</t>
  </si>
  <si>
    <t>L60000001202</t>
  </si>
  <si>
    <t>YOUNG ROGER</t>
  </si>
  <si>
    <t>YOUNG JEAN</t>
  </si>
  <si>
    <t>6338 NC HIGHWAY 801 SOUTH</t>
  </si>
  <si>
    <t>27028-6728</t>
  </si>
  <si>
    <t>N60000004107A</t>
  </si>
  <si>
    <t>BOSS FARM LLC</t>
  </si>
  <si>
    <t>229 BOXWOOD CHURCH ROAD</t>
  </si>
  <si>
    <t>N60000004106</t>
  </si>
  <si>
    <t>L600000014</t>
  </si>
  <si>
    <t>O60000003510</t>
  </si>
  <si>
    <t>N600000018</t>
  </si>
  <si>
    <t>O60000003511</t>
  </si>
  <si>
    <t>N60000004114</t>
  </si>
  <si>
    <t>M500000023</t>
  </si>
  <si>
    <t>L60000001401</t>
  </si>
  <si>
    <t>BOSS RENTALS INC</t>
  </si>
  <si>
    <t>BOSS REALTY LLC</t>
  </si>
  <si>
    <t>L600000016  A</t>
  </si>
  <si>
    <t>ALLEN ANN D &amp; JASON G</t>
  </si>
  <si>
    <t>MOSER TRACI</t>
  </si>
  <si>
    <t>295 CHERRY HILL ROAD</t>
  </si>
  <si>
    <t>L60000001901</t>
  </si>
  <si>
    <t>FULLER JOHN M</t>
  </si>
  <si>
    <t>FULLER ANIKE T</t>
  </si>
  <si>
    <t>154 CHERRY HILL ROAD</t>
  </si>
  <si>
    <t>L600000020</t>
  </si>
  <si>
    <t>CONCORD UNITED METHODIST CHR</t>
  </si>
  <si>
    <t>161 CHERRY HILL ROAD</t>
  </si>
  <si>
    <t>L60000002402</t>
  </si>
  <si>
    <t>L3080A0004</t>
  </si>
  <si>
    <t>MARRS JAMES O JR</t>
  </si>
  <si>
    <t>MARRS HEIDI S</t>
  </si>
  <si>
    <t>864 MR HENRY ROAD</t>
  </si>
  <si>
    <t>27028-5362</t>
  </si>
  <si>
    <t>L5020A0009</t>
  </si>
  <si>
    <t>BOGER JAMES M</t>
  </si>
  <si>
    <t>1947 US HIGHWAY 601 SOUTH</t>
  </si>
  <si>
    <t>L600000025</t>
  </si>
  <si>
    <t>GODBEY BRADLEY</t>
  </si>
  <si>
    <t>GODBEY SHARON</t>
  </si>
  <si>
    <t>6055 NC HWY 801 S</t>
  </si>
  <si>
    <t>27028-5407</t>
  </si>
  <si>
    <t>L60000002501</t>
  </si>
  <si>
    <t>L600000029</t>
  </si>
  <si>
    <t>CROTTS RONALD JOE</t>
  </si>
  <si>
    <t>CROTTS CHARLENE T</t>
  </si>
  <si>
    <t>123 TOM CROTTS LANE</t>
  </si>
  <si>
    <t>27028-5444</t>
  </si>
  <si>
    <t>L60000002901</t>
  </si>
  <si>
    <t>CROTTS BILLY ANGELL</t>
  </si>
  <si>
    <t>195 TOM CROTTS LN</t>
  </si>
  <si>
    <t>L60000004805</t>
  </si>
  <si>
    <t>L60000002902</t>
  </si>
  <si>
    <t>L600000033</t>
  </si>
  <si>
    <t>HOLLEMAN PAULA SECHREST</t>
  </si>
  <si>
    <t>1516 DEADMON ROAD</t>
  </si>
  <si>
    <t>L600000034</t>
  </si>
  <si>
    <t>WALL EARL DOUGLAS</t>
  </si>
  <si>
    <t>WALL DALE G</t>
  </si>
  <si>
    <t>1420 DEADMAN ROAD</t>
  </si>
  <si>
    <t>27028-5152</t>
  </si>
  <si>
    <t>L5020A0037</t>
  </si>
  <si>
    <t>N4040A0037</t>
  </si>
  <si>
    <t>DURHAM KENNETH D</t>
  </si>
  <si>
    <t>DURHAM CYNTHIA D</t>
  </si>
  <si>
    <t>PO BOX 402</t>
  </si>
  <si>
    <t>27014-0402</t>
  </si>
  <si>
    <t>L60000004807</t>
  </si>
  <si>
    <t>CROTTS BILLY A</t>
  </si>
  <si>
    <t>CROTTS FREDA L</t>
  </si>
  <si>
    <t>195 TOM C LANE</t>
  </si>
  <si>
    <t>L60000004802</t>
  </si>
  <si>
    <t>L60000005803</t>
  </si>
  <si>
    <t>SPRY WILLIAM R</t>
  </si>
  <si>
    <t>SPRY TINA D</t>
  </si>
  <si>
    <t>144 WILLIAMS WAY</t>
  </si>
  <si>
    <t>L5020B0008</t>
  </si>
  <si>
    <t>SANTUCCI RONALD P</t>
  </si>
  <si>
    <t>SANTUCCI JUDITH A</t>
  </si>
  <si>
    <t>162 SOUTH BENSON LANE</t>
  </si>
  <si>
    <t>L5020B0009</t>
  </si>
  <si>
    <t>L5020B0011</t>
  </si>
  <si>
    <t>SPENCE ROBERT C</t>
  </si>
  <si>
    <t>SPENCE NANCY H</t>
  </si>
  <si>
    <t>178 SOUTH BENSON LANE</t>
  </si>
  <si>
    <t>27028-5186</t>
  </si>
  <si>
    <t>L5070A001801</t>
  </si>
  <si>
    <t>CORRELL BILLY G</t>
  </si>
  <si>
    <t>CORRELL PEGGY P</t>
  </si>
  <si>
    <t>209 FAIRFIELD ROAD</t>
  </si>
  <si>
    <t>L700000005</t>
  </si>
  <si>
    <t>FERGUSON APRIL A SEAFORD</t>
  </si>
  <si>
    <t>4066 EASTSIDE COURT</t>
  </si>
  <si>
    <t>L5070A0027</t>
  </si>
  <si>
    <t>ELLIS W A JR</t>
  </si>
  <si>
    <t>PO BOX 1018</t>
  </si>
  <si>
    <t>L70000001204</t>
  </si>
  <si>
    <t>GREER REBECCA MCCRARY</t>
  </si>
  <si>
    <t>5549 NC HIGHWAY 801 SOUTH</t>
  </si>
  <si>
    <t>L700000018</t>
  </si>
  <si>
    <t>LOJ MIROSLAW</t>
  </si>
  <si>
    <t>LOJ WIOLETTA</t>
  </si>
  <si>
    <t>144 BARNHARDT LANE</t>
  </si>
  <si>
    <t>27006-7150</t>
  </si>
  <si>
    <t>L70000001902</t>
  </si>
  <si>
    <t>SNIDER BRUCE</t>
  </si>
  <si>
    <t>SNIDER HALINA</t>
  </si>
  <si>
    <t>168 BARNHARDT LANE</t>
  </si>
  <si>
    <t>L70000001909</t>
  </si>
  <si>
    <t>BARNHARDT MICHAEL ANDREW</t>
  </si>
  <si>
    <t>BARNHARDT GAIL W</t>
  </si>
  <si>
    <t>254 BARNHARDT LANE</t>
  </si>
  <si>
    <t>L5090A0001</t>
  </si>
  <si>
    <t>WEST JAMES WILLIAM</t>
  </si>
  <si>
    <t>WEST GLORIA POWELL</t>
  </si>
  <si>
    <t>402 GLADSTONE ROAD</t>
  </si>
  <si>
    <t>L5090A0007</t>
  </si>
  <si>
    <t>DICKENS JERRY W</t>
  </si>
  <si>
    <t>CRANFORD LISA E</t>
  </si>
  <si>
    <t>298 GLADSTONE ROAD</t>
  </si>
  <si>
    <t>L700000033</t>
  </si>
  <si>
    <t>SHOAF RONALD S</t>
  </si>
  <si>
    <t>SHOAF SUSAN H</t>
  </si>
  <si>
    <t>754 RIVERVIEW ROAD</t>
  </si>
  <si>
    <t>27006-7038</t>
  </si>
  <si>
    <t>L800000002</t>
  </si>
  <si>
    <t>MILLENNIUM III HOLDING LLC</t>
  </si>
  <si>
    <t>3631 LINKS DRIVE</t>
  </si>
  <si>
    <t>28613-9427</t>
  </si>
  <si>
    <t>L800000004</t>
  </si>
  <si>
    <t>FOSTER ROBERT NEIL SR</t>
  </si>
  <si>
    <t>244 LESTER FOSTER ROAD</t>
  </si>
  <si>
    <t>27006-7008</t>
  </si>
  <si>
    <t>L800000005</t>
  </si>
  <si>
    <t>FOSTER CHARLES DEAN</t>
  </si>
  <si>
    <t>FOSTER JEANNE GREEN</t>
  </si>
  <si>
    <t>272 LESTER FOSTER ROAD</t>
  </si>
  <si>
    <t>L80000000601</t>
  </si>
  <si>
    <t>WILKINSON EDWARD L</t>
  </si>
  <si>
    <t>WILKINSON VICKI H</t>
  </si>
  <si>
    <t>151 EASTABOGA LANE</t>
  </si>
  <si>
    <t>27006-7046</t>
  </si>
  <si>
    <t>L800000009</t>
  </si>
  <si>
    <t>YOUNTS RICHARD</t>
  </si>
  <si>
    <t>YOUNTS ELIZABETH ANN S</t>
  </si>
  <si>
    <t>189 LESTER FOSTER ROAD</t>
  </si>
  <si>
    <t>27006-7065</t>
  </si>
  <si>
    <t>L800000007</t>
  </si>
  <si>
    <t>L800000008</t>
  </si>
  <si>
    <t>L800000012</t>
  </si>
  <si>
    <t>LIVENGOOD CYNTHIA LUANNE</t>
  </si>
  <si>
    <t>515 RIVER VIEW ROAD</t>
  </si>
  <si>
    <t>L5090A0013</t>
  </si>
  <si>
    <t>CHAVEZ GERVACIO MARIN</t>
  </si>
  <si>
    <t>ANTONIO IGNACIA MORA</t>
  </si>
  <si>
    <t>228 GLADSTONE RD</t>
  </si>
  <si>
    <t>27028-5233</t>
  </si>
  <si>
    <t>L5100A0006</t>
  </si>
  <si>
    <t>HAYES LARRY C</t>
  </si>
  <si>
    <t>109 HAYES LANE</t>
  </si>
  <si>
    <t>27028-6661</t>
  </si>
  <si>
    <t>L5100A0007</t>
  </si>
  <si>
    <t>VEACH JOHN RAY</t>
  </si>
  <si>
    <t>VEACH PATRICIA W</t>
  </si>
  <si>
    <t>111 VEACH LANE</t>
  </si>
  <si>
    <t>L80000002303</t>
  </si>
  <si>
    <t>LAWSON DANIEL P JR</t>
  </si>
  <si>
    <t>377 SEAFORD ROAD</t>
  </si>
  <si>
    <t>L800000025</t>
  </si>
  <si>
    <t>L800000023  A</t>
  </si>
  <si>
    <t>M300000003</t>
  </si>
  <si>
    <t>O'NEAL LEON ANTHONY</t>
  </si>
  <si>
    <t>O'NEAL JAMES LEON</t>
  </si>
  <si>
    <t>P O BOX 907</t>
  </si>
  <si>
    <t>M300000004</t>
  </si>
  <si>
    <t>O'NEAL LEON ANTHONY ETAL</t>
  </si>
  <si>
    <t>O'NEAL TAMARA BEAN</t>
  </si>
  <si>
    <t>PO BOX 907</t>
  </si>
  <si>
    <t>M30000000801</t>
  </si>
  <si>
    <t>SHOAF EARL F</t>
  </si>
  <si>
    <t>L5100A0008  A</t>
  </si>
  <si>
    <t>VEACH JOHN RAY SR</t>
  </si>
  <si>
    <t>M40000000901</t>
  </si>
  <si>
    <t>HAMPTON CHARLES LEE</t>
  </si>
  <si>
    <t>1294 JUNCTION ROAD</t>
  </si>
  <si>
    <t>27028-5325</t>
  </si>
  <si>
    <t>M40000001101</t>
  </si>
  <si>
    <t>SHERRILL LOUISE A</t>
  </si>
  <si>
    <t>1407 JUNCTION ROAD</t>
  </si>
  <si>
    <t>27028-5327</t>
  </si>
  <si>
    <t>M40000001202</t>
  </si>
  <si>
    <t>FONSO FARM SERVICE INC</t>
  </si>
  <si>
    <t>1949 JUNCTION ROAD</t>
  </si>
  <si>
    <t>27028-5332</t>
  </si>
  <si>
    <t>M40000001203</t>
  </si>
  <si>
    <t>M40000001204</t>
  </si>
  <si>
    <t>M400000012</t>
  </si>
  <si>
    <t>M5070A0018</t>
  </si>
  <si>
    <t>M40000001201</t>
  </si>
  <si>
    <t>SEXTON PEARL ANNETTE</t>
  </si>
  <si>
    <t>130 TRESTLE LANE</t>
  </si>
  <si>
    <t>L5100B0002</t>
  </si>
  <si>
    <t>PHELPS GEORGE JR</t>
  </si>
  <si>
    <t>PHELPS BARBARA</t>
  </si>
  <si>
    <t>136 HONEY HILL LANE</t>
  </si>
  <si>
    <t>27028-6700</t>
  </si>
  <si>
    <t>M40000002411</t>
  </si>
  <si>
    <t>LISCIO ROBERT A</t>
  </si>
  <si>
    <t>LISCIO JANELL L</t>
  </si>
  <si>
    <t>209 SUNBURST LANE</t>
  </si>
  <si>
    <t>M400000028</t>
  </si>
  <si>
    <t>ALLEN MARSHA A</t>
  </si>
  <si>
    <t>1765 JUNCTION ROAD</t>
  </si>
  <si>
    <t>L5100B0010</t>
  </si>
  <si>
    <t>COUNTERMAN DONNA ROSE</t>
  </si>
  <si>
    <t>20575 BROADNAX PLACE</t>
  </si>
  <si>
    <t>ASHBURN</t>
  </si>
  <si>
    <t>20147-0000</t>
  </si>
  <si>
    <t>M40000003802</t>
  </si>
  <si>
    <t>HARRIS RANDALL S</t>
  </si>
  <si>
    <t>1942 JUNCTION ROAD</t>
  </si>
  <si>
    <t>M400000039</t>
  </si>
  <si>
    <t>HOLT REBA S</t>
  </si>
  <si>
    <t>1974 JUNCTION ROAD</t>
  </si>
  <si>
    <t>M40000004001</t>
  </si>
  <si>
    <t>MAGALLANES JASON P</t>
  </si>
  <si>
    <t>MAGALLANES PATSY R</t>
  </si>
  <si>
    <t>141 CLYDES TRAIL</t>
  </si>
  <si>
    <t>L5150A0012</t>
  </si>
  <si>
    <t>L5140A001201</t>
  </si>
  <si>
    <t>COOPER PHYLISS</t>
  </si>
  <si>
    <t>181 WHETSTONE DRIVE</t>
  </si>
  <si>
    <t>L5140A0016</t>
  </si>
  <si>
    <t>WILLIAMS JANET LYNN DENTON</t>
  </si>
  <si>
    <t>7044 NC HIGHWAY 801 SOUTH</t>
  </si>
  <si>
    <t>M400000044</t>
  </si>
  <si>
    <t>RUSSELL SYBIL O</t>
  </si>
  <si>
    <t>PO BOX 373</t>
  </si>
  <si>
    <t>27014-0373</t>
  </si>
  <si>
    <t>N600000101</t>
  </si>
  <si>
    <t>N600000100</t>
  </si>
  <si>
    <t>M400000053</t>
  </si>
  <si>
    <t>BLATT WILLIAM P</t>
  </si>
  <si>
    <t>BLATT NORMA F</t>
  </si>
  <si>
    <t>PO BOX 102</t>
  </si>
  <si>
    <t>L60000000401</t>
  </si>
  <si>
    <t>SHARPE BILLY LYNN</t>
  </si>
  <si>
    <t>SHARPE BRENDA JAMES</t>
  </si>
  <si>
    <t>PO BOX 122</t>
  </si>
  <si>
    <t>27028-0122</t>
  </si>
  <si>
    <t>M4130A0005</t>
  </si>
  <si>
    <t>SPILLMAN CLARENCE LEE</t>
  </si>
  <si>
    <t>N5010A0012</t>
  </si>
  <si>
    <t>M5150A0008</t>
  </si>
  <si>
    <t>AMERICAN LEGION POST 54</t>
  </si>
  <si>
    <t>% JAMES M THOMPSON</t>
  </si>
  <si>
    <t>PO BOX 546</t>
  </si>
  <si>
    <t>M400000060</t>
  </si>
  <si>
    <t>M400000063</t>
  </si>
  <si>
    <t>NOLLEY SARA LUDEAN ETAL</t>
  </si>
  <si>
    <t>NOLLEY RICHARD DEAN</t>
  </si>
  <si>
    <t>2925 SPINDLETOP DRIVE</t>
  </si>
  <si>
    <t>CUMMING</t>
  </si>
  <si>
    <t>30041-0000</t>
  </si>
  <si>
    <t>M400000071</t>
  </si>
  <si>
    <t>MCLEOD JAMES F</t>
  </si>
  <si>
    <t>291 NOLLEY ROAD</t>
  </si>
  <si>
    <t>27028-5412</t>
  </si>
  <si>
    <t>M40000007202</t>
  </si>
  <si>
    <t>AGRESTO-BOWLES PROPERTIES LLC</t>
  </si>
  <si>
    <t>854 VALLEY ROAD</t>
  </si>
  <si>
    <t>I5160B0009</t>
  </si>
  <si>
    <t>M5100A0001</t>
  </si>
  <si>
    <t>M40000007203</t>
  </si>
  <si>
    <t>LOFTIN PEGGY L</t>
  </si>
  <si>
    <t>PEACOCK STEPHANIE D</t>
  </si>
  <si>
    <t>PO BOX 972</t>
  </si>
  <si>
    <t>COOLEEMEEE</t>
  </si>
  <si>
    <t>L600000022</t>
  </si>
  <si>
    <t>L600000026</t>
  </si>
  <si>
    <t>L50000010101</t>
  </si>
  <si>
    <t>POWELL DENISE M</t>
  </si>
  <si>
    <t>POWELL WILLIAM L</t>
  </si>
  <si>
    <t>282 FAIRFIELD ROAD</t>
  </si>
  <si>
    <t>L600000040</t>
  </si>
  <si>
    <t>HARBOUR SHELBY L</t>
  </si>
  <si>
    <t>HARBOUR RUTH K</t>
  </si>
  <si>
    <t>1705 DEADMON ROAD</t>
  </si>
  <si>
    <t>27028-5155</t>
  </si>
  <si>
    <t>M4050B0001</t>
  </si>
  <si>
    <t>DAVIS MICHAEL L</t>
  </si>
  <si>
    <t>DAVIS JENNIFER M</t>
  </si>
  <si>
    <t>110 STONEWOOD DRIVE</t>
  </si>
  <si>
    <t>M4050B0002</t>
  </si>
  <si>
    <t>DONALDSON ROBERT PAUL</t>
  </si>
  <si>
    <t>111 STONEWOOD DRIVE</t>
  </si>
  <si>
    <t>27028-5503</t>
  </si>
  <si>
    <t>L60000004201</t>
  </si>
  <si>
    <t>PEELER THOMAS</t>
  </si>
  <si>
    <t>6096 US HWY 801 SOUTH</t>
  </si>
  <si>
    <t>L60000005805</t>
  </si>
  <si>
    <t>SPRY SAMUEL CROTTS</t>
  </si>
  <si>
    <t>SPRY LINDA G</t>
  </si>
  <si>
    <t>137 WILLIAMS WAY</t>
  </si>
  <si>
    <t>27028-5496</t>
  </si>
  <si>
    <t>M4120A0006</t>
  </si>
  <si>
    <t>DAVIS SHERRY L</t>
  </si>
  <si>
    <t>153 FLATROCK ROAD</t>
  </si>
  <si>
    <t>M4120A001202</t>
  </si>
  <si>
    <t>TENOR CHARLES THOMAS ETAL</t>
  </si>
  <si>
    <t>TENOR PERCY R</t>
  </si>
  <si>
    <t>PO BOX 1081</t>
  </si>
  <si>
    <t>L600000060</t>
  </si>
  <si>
    <t>CROTTS ROBERT L JR</t>
  </si>
  <si>
    <t>CROTTS SUSAN B</t>
  </si>
  <si>
    <t>116 WILCHESTER LANE</t>
  </si>
  <si>
    <t>M4120A001301</t>
  </si>
  <si>
    <t>CAMPBELL NANCY</t>
  </si>
  <si>
    <t>237 CLARK RD</t>
  </si>
  <si>
    <t>L60000006201</t>
  </si>
  <si>
    <t>L600000061</t>
  </si>
  <si>
    <t>MYERS BRYAN DALE</t>
  </si>
  <si>
    <t>5754 NC HIGHWAY 801 SOUTH</t>
  </si>
  <si>
    <t>M5160B0017</t>
  </si>
  <si>
    <t>COOLEEMEE TOWN OF</t>
  </si>
  <si>
    <t>PO BOX 1080</t>
  </si>
  <si>
    <t>N4040A0040</t>
  </si>
  <si>
    <t>N5010B0014</t>
  </si>
  <si>
    <t>M4130A0013</t>
  </si>
  <si>
    <t>WHITLEY WANDA</t>
  </si>
  <si>
    <t>WHITLEY DAVID</t>
  </si>
  <si>
    <t>172 WESTVIEW AVENUE</t>
  </si>
  <si>
    <t>M4130A001401</t>
  </si>
  <si>
    <t>L700000011</t>
  </si>
  <si>
    <t>CURRENT DONNA LANKFORD</t>
  </si>
  <si>
    <t>5568 NC HIGHWAY 801 SOUTH</t>
  </si>
  <si>
    <t>L700000026</t>
  </si>
  <si>
    <t>COLEMAN JULIE ANN</t>
  </si>
  <si>
    <t>PHELPS JASON HAROLD</t>
  </si>
  <si>
    <t>PO BOX 843</t>
  </si>
  <si>
    <t>L700000027</t>
  </si>
  <si>
    <t>BISHOP GRETA D</t>
  </si>
  <si>
    <t>5223 NC HIGHWAY 801 SOUTH</t>
  </si>
  <si>
    <t>L80000001903</t>
  </si>
  <si>
    <t>SEAFORD JACKY CRAIG</t>
  </si>
  <si>
    <t>230 CATLINA DRIVE</t>
  </si>
  <si>
    <t>M4130A0053</t>
  </si>
  <si>
    <t>LESTER EARL B JR</t>
  </si>
  <si>
    <t>LESTER JO ANN K</t>
  </si>
  <si>
    <t>PO BOX 638</t>
  </si>
  <si>
    <t>06384-0638</t>
  </si>
  <si>
    <t>M4130B0001</t>
  </si>
  <si>
    <t>KERLEY STEVEN CREN</t>
  </si>
  <si>
    <t>KERLEY SARAH BOGER</t>
  </si>
  <si>
    <t>PO BOX 1001</t>
  </si>
  <si>
    <t>M4130B0002</t>
  </si>
  <si>
    <t>RUTTER THOMAS J</t>
  </si>
  <si>
    <t>RUTTER MARIA S</t>
  </si>
  <si>
    <t>PO BOX 1089</t>
  </si>
  <si>
    <t>27014-0189</t>
  </si>
  <si>
    <t>M4130B0011</t>
  </si>
  <si>
    <t>OVERCASH JAMES A</t>
  </si>
  <si>
    <t>OVERCASH CAROLYN W</t>
  </si>
  <si>
    <t>PO BOX 220</t>
  </si>
  <si>
    <t>M4130B0012</t>
  </si>
  <si>
    <t>LAGLE STEVEN A</t>
  </si>
  <si>
    <t>GREEN CANDACE N</t>
  </si>
  <si>
    <t>PO BOX 1083</t>
  </si>
  <si>
    <t>27014-1083</t>
  </si>
  <si>
    <t>M4130B0013</t>
  </si>
  <si>
    <t>GARCIA CRUZ ARMANDO</t>
  </si>
  <si>
    <t>GARCIA CRUZ PEDRO</t>
  </si>
  <si>
    <t>PO BOX 83</t>
  </si>
  <si>
    <t>M4130B0020</t>
  </si>
  <si>
    <t>ALLMAN RALPH D</t>
  </si>
  <si>
    <t>ALLMAN MISTY D</t>
  </si>
  <si>
    <t>2096 JUNCTION ROAD</t>
  </si>
  <si>
    <t>M4130B0021</t>
  </si>
  <si>
    <t>M4130B0026</t>
  </si>
  <si>
    <t>MEADE SCOTT T</t>
  </si>
  <si>
    <t>MEADE KAREN A</t>
  </si>
  <si>
    <t>2052 JUNCTION ROAD</t>
  </si>
  <si>
    <t>L80000001904</t>
  </si>
  <si>
    <t>SAMMONS ROBIN SEAFORD</t>
  </si>
  <si>
    <t>M5060A0010</t>
  </si>
  <si>
    <t>RUSHER TERESA R</t>
  </si>
  <si>
    <t>L80000001907</t>
  </si>
  <si>
    <t>M400000009</t>
  </si>
  <si>
    <t>M40000002401</t>
  </si>
  <si>
    <t>PRICE ANGELA QUEEN</t>
  </si>
  <si>
    <t>141 SUNBURST LANE</t>
  </si>
  <si>
    <t>M50000001303</t>
  </si>
  <si>
    <t>LINK KENNETH LEVI</t>
  </si>
  <si>
    <t>129 LINK ROAD</t>
  </si>
  <si>
    <t>M5100A0003</t>
  </si>
  <si>
    <t>LINK RICKY ROBIN</t>
  </si>
  <si>
    <t>PO BOX 941</t>
  </si>
  <si>
    <t>M50000001301</t>
  </si>
  <si>
    <t>M5160D0016  A</t>
  </si>
  <si>
    <t>M50000001302A</t>
  </si>
  <si>
    <t>LINK KENNETH L</t>
  </si>
  <si>
    <t>27028-6761</t>
  </si>
  <si>
    <t>M50000001604</t>
  </si>
  <si>
    <t>LINK TIMOTHY ERVIN</t>
  </si>
  <si>
    <t>M50000001605</t>
  </si>
  <si>
    <t>M50000001606</t>
  </si>
  <si>
    <t>N5080B000201</t>
  </si>
  <si>
    <t>M50000001603</t>
  </si>
  <si>
    <t>M400000037</t>
  </si>
  <si>
    <t>HEAD STEPHEN W</t>
  </si>
  <si>
    <t>8230 LANSFORD ROAD</t>
  </si>
  <si>
    <t>28277-0000</t>
  </si>
  <si>
    <t>M50000003202</t>
  </si>
  <si>
    <t>CARDWELL CHARLES F</t>
  </si>
  <si>
    <t>CARDWELL JOYCE A</t>
  </si>
  <si>
    <t>316 PLEASANT ACRE DRIVE</t>
  </si>
  <si>
    <t>27028-6802</t>
  </si>
  <si>
    <t>M50000003305</t>
  </si>
  <si>
    <t>HUNT RONALD DOUGLAS</t>
  </si>
  <si>
    <t>HUNT CATHY HILL</t>
  </si>
  <si>
    <t>2993 US HIGHWAY 601 SOUTH</t>
  </si>
  <si>
    <t>M50000003501</t>
  </si>
  <si>
    <t>PARKER ALICIA L</t>
  </si>
  <si>
    <t>2943 US HIGHWAY 601 SOUTH</t>
  </si>
  <si>
    <t>M400000042</t>
  </si>
  <si>
    <t>CURTISS KENNETH J</t>
  </si>
  <si>
    <t>CURTISS PAMELA C</t>
  </si>
  <si>
    <t>929 GLADSTONE ROAD</t>
  </si>
  <si>
    <t>27028-5240</t>
  </si>
  <si>
    <t>M500000054</t>
  </si>
  <si>
    <t>MELOY THOMAS STUART</t>
  </si>
  <si>
    <t>MELOY BARBARA J</t>
  </si>
  <si>
    <t>2918 US HIGHWAY 601 SOUTH</t>
  </si>
  <si>
    <t>M500000050</t>
  </si>
  <si>
    <t>M50000005002</t>
  </si>
  <si>
    <t>TRINITY BAPTIST CHURCH</t>
  </si>
  <si>
    <t>RICKY HOWELL TRUSTEE</t>
  </si>
  <si>
    <t>2722 US HWY 601 SOUTH</t>
  </si>
  <si>
    <t>M500000051</t>
  </si>
  <si>
    <t>SPILLMAN CALVIN D JR</t>
  </si>
  <si>
    <t>SPILLMAN JAMES M</t>
  </si>
  <si>
    <t>366 HOBSON DRIVE</t>
  </si>
  <si>
    <t>M5110B0026</t>
  </si>
  <si>
    <t>M5110B0014</t>
  </si>
  <si>
    <t>M5110B0019</t>
  </si>
  <si>
    <t>M5110B0020</t>
  </si>
  <si>
    <t>M5110B0024</t>
  </si>
  <si>
    <t>M5110B0025</t>
  </si>
  <si>
    <t>M5110B0027</t>
  </si>
  <si>
    <t>M5110B0028</t>
  </si>
  <si>
    <t>M5110B0029</t>
  </si>
  <si>
    <t>M5110B0030</t>
  </si>
  <si>
    <t>M5110B0015</t>
  </si>
  <si>
    <t>M5110B0016</t>
  </si>
  <si>
    <t>M5110B0017</t>
  </si>
  <si>
    <t>M5110B0018</t>
  </si>
  <si>
    <t>M5110B0023</t>
  </si>
  <si>
    <t>M5110B0021</t>
  </si>
  <si>
    <t>M5110B0022</t>
  </si>
  <si>
    <t>M5110B0031</t>
  </si>
  <si>
    <t>M500000053</t>
  </si>
  <si>
    <t>MARTIN WILLIAM JOSEPH</t>
  </si>
  <si>
    <t>FALLER NANCY IRENE</t>
  </si>
  <si>
    <t>145 PARADOX LANE</t>
  </si>
  <si>
    <t>27028-6940</t>
  </si>
  <si>
    <t>M500000055</t>
  </si>
  <si>
    <t>JARVIS STEVEN J</t>
  </si>
  <si>
    <t>JARVIS CHARLOTTE LEE</t>
  </si>
  <si>
    <t>3122 US HIGHWAY 601 SOUTH</t>
  </si>
  <si>
    <t>27028-6915</t>
  </si>
  <si>
    <t>M5020A0006</t>
  </si>
  <si>
    <t>SPRY GLENDA C</t>
  </si>
  <si>
    <t>324 MICHAELS ROAD</t>
  </si>
  <si>
    <t>M400000043</t>
  </si>
  <si>
    <t>MCDANIEL BOBBY JAMES</t>
  </si>
  <si>
    <t>MCDANIEL KAREN DENISE</t>
  </si>
  <si>
    <t>926 GLADSTONE ROAD</t>
  </si>
  <si>
    <t>M5020A0031</t>
  </si>
  <si>
    <t>FLOWERS JOSEPH E</t>
  </si>
  <si>
    <t>PO BOX 2353</t>
  </si>
  <si>
    <t>BONITA SPRINGS</t>
  </si>
  <si>
    <t>34133-0000</t>
  </si>
  <si>
    <t>M5020A0033</t>
  </si>
  <si>
    <t>HALL LINDA L</t>
  </si>
  <si>
    <t>287 MICHAELS ROAD</t>
  </si>
  <si>
    <t>27028-6721</t>
  </si>
  <si>
    <t>I30000000703</t>
  </si>
  <si>
    <t>M4130A000501</t>
  </si>
  <si>
    <t>L600000024</t>
  </si>
  <si>
    <t>PEELER JOHN THOMAS</t>
  </si>
  <si>
    <t>L600000043</t>
  </si>
  <si>
    <t>M4050B0006</t>
  </si>
  <si>
    <t>HOWELL RANDY HUGH</t>
  </si>
  <si>
    <t>159 STONEWOOD ROAD</t>
  </si>
  <si>
    <t>M4120A0005</t>
  </si>
  <si>
    <t>M4120A0013</t>
  </si>
  <si>
    <t>M4130A000601</t>
  </si>
  <si>
    <t>M5160A001701</t>
  </si>
  <si>
    <t>M4130A0040</t>
  </si>
  <si>
    <t>COLLINS MARCY B</t>
  </si>
  <si>
    <t>COLLINS GARRY</t>
  </si>
  <si>
    <t>PO BOX 1227</t>
  </si>
  <si>
    <t>27014-1227</t>
  </si>
  <si>
    <t>M5070A0002</t>
  </si>
  <si>
    <t>SPILLMAN ROGER P &amp; DEBORAH A</t>
  </si>
  <si>
    <t>SPILLMAN STACEE D &amp; SHANNON D</t>
  </si>
  <si>
    <t>M5160A0017</t>
  </si>
  <si>
    <t>FIRST BAPTIST CHURCH COOLEEMEE</t>
  </si>
  <si>
    <t>PO BOX 518</t>
  </si>
  <si>
    <t>M5160A0018</t>
  </si>
  <si>
    <t>M4130A004601</t>
  </si>
  <si>
    <t>BURTON JANET WORRELL</t>
  </si>
  <si>
    <t>131 WESTVIEW AVENUE</t>
  </si>
  <si>
    <t>M50000001024</t>
  </si>
  <si>
    <t>M50000001104</t>
  </si>
  <si>
    <t>BISSONETTE ANNETTE L</t>
  </si>
  <si>
    <t>BISSONETTE WILLIAM J</t>
  </si>
  <si>
    <t>19 FAIRWAY ROAD</t>
  </si>
  <si>
    <t>JACKSONVILLE BCH</t>
  </si>
  <si>
    <t>32250-0000</t>
  </si>
  <si>
    <t>M5160D0017</t>
  </si>
  <si>
    <t>LINK KELLY L</t>
  </si>
  <si>
    <t>M500000012</t>
  </si>
  <si>
    <t>M500000031</t>
  </si>
  <si>
    <t>MCCOY TIMOTHY CRAIG</t>
  </si>
  <si>
    <t>264 PLEASANT ACRE DRIVE</t>
  </si>
  <si>
    <t>M500000052</t>
  </si>
  <si>
    <t>M5020A0019  A</t>
  </si>
  <si>
    <t>NICOSIA RAYMOND J</t>
  </si>
  <si>
    <t>430 MICHAELS ROAD</t>
  </si>
  <si>
    <t>M4050A0001</t>
  </si>
  <si>
    <t>887 GLADSTONE ROAD</t>
  </si>
  <si>
    <t>M4050A0002</t>
  </si>
  <si>
    <t>WILLIAMS LAURA B</t>
  </si>
  <si>
    <t>881 GLADSTONE ROAD</t>
  </si>
  <si>
    <t>M4050A0003</t>
  </si>
  <si>
    <t>TAYLOR JUSTIN</t>
  </si>
  <si>
    <t>869 GLADSTONE ROAD</t>
  </si>
  <si>
    <t>M4050A0007</t>
  </si>
  <si>
    <t>HELMSTETLER JAMES LEE</t>
  </si>
  <si>
    <t>843 GLADSTONE ROAD</t>
  </si>
  <si>
    <t>27028-5239</t>
  </si>
  <si>
    <t>M5060B0002</t>
  </si>
  <si>
    <t>2722 US HIGHWAY 601 SOUTH</t>
  </si>
  <si>
    <t>M5060B0005</t>
  </si>
  <si>
    <t>FENDER JACKIE G</t>
  </si>
  <si>
    <t>167 HOBSON DRIVE</t>
  </si>
  <si>
    <t>M5060B0008</t>
  </si>
  <si>
    <t>VERGASON MICHAEL T</t>
  </si>
  <si>
    <t>VERGASON BONNIE J</t>
  </si>
  <si>
    <t>192 HOBSON DRIVE</t>
  </si>
  <si>
    <t>M5150A0001</t>
  </si>
  <si>
    <t>BROGDON ELIZABETH C</t>
  </si>
  <si>
    <t>PO BOX 416</t>
  </si>
  <si>
    <t>M5150A0007</t>
  </si>
  <si>
    <t>GRIMES ROBERT L SR</t>
  </si>
  <si>
    <t>GRIMES SHIRLEY L</t>
  </si>
  <si>
    <t>PO BOX 424</t>
  </si>
  <si>
    <t>27014-0424</t>
  </si>
  <si>
    <t>C500000027</t>
  </si>
  <si>
    <t>SHORE MARK TIMOTHY</t>
  </si>
  <si>
    <t>2624 NC HWY 801 N</t>
  </si>
  <si>
    <t>M5150A0021</t>
  </si>
  <si>
    <t>M5150A0022</t>
  </si>
  <si>
    <t>M5160C0028</t>
  </si>
  <si>
    <t>M5060B0012</t>
  </si>
  <si>
    <t>JONES DONALD SHERMAN</t>
  </si>
  <si>
    <t>JONES SHIRLEY ANN WHITAKER</t>
  </si>
  <si>
    <t>27028-6664</t>
  </si>
  <si>
    <t>M5160A0005</t>
  </si>
  <si>
    <t>CHANDLER JOHN J</t>
  </si>
  <si>
    <t>CHANDLER REGINA R</t>
  </si>
  <si>
    <t>PO BOX 841</t>
  </si>
  <si>
    <t>M5160A0007</t>
  </si>
  <si>
    <t>DODD JAMES A</t>
  </si>
  <si>
    <t>DODD PEGGY C</t>
  </si>
  <si>
    <t>PO BOX 704</t>
  </si>
  <si>
    <t>27014-0704</t>
  </si>
  <si>
    <t>M5160B0002</t>
  </si>
  <si>
    <t>DODD JAMES KEVIN</t>
  </si>
  <si>
    <t>DODD LEANN ATHEY</t>
  </si>
  <si>
    <t>PO BOX 1035</t>
  </si>
  <si>
    <t>27014-1035</t>
  </si>
  <si>
    <t>M5160B0010</t>
  </si>
  <si>
    <t>PARKER GRIMES H JR</t>
  </si>
  <si>
    <t>PARKER FRANCES L</t>
  </si>
  <si>
    <t>PO BOX 183</t>
  </si>
  <si>
    <t>27014-0183</t>
  </si>
  <si>
    <t>M5160B0014</t>
  </si>
  <si>
    <t>ELDRED NICHOLAS J</t>
  </si>
  <si>
    <t>ELDRED DONNA T</t>
  </si>
  <si>
    <t>PO BOX 612</t>
  </si>
  <si>
    <t>M5060B0015</t>
  </si>
  <si>
    <t>M5070A0011</t>
  </si>
  <si>
    <t>FREEMAN JUDITH A</t>
  </si>
  <si>
    <t>FREEMAN WILLIAM ROBERT</t>
  </si>
  <si>
    <t>7405 NC HIGHWAY 801 SOUTH</t>
  </si>
  <si>
    <t>M5070A0015</t>
  </si>
  <si>
    <t>MUSGRAVE SHERRIE S</t>
  </si>
  <si>
    <t>PO BOX 1061</t>
  </si>
  <si>
    <t>M5070A0020</t>
  </si>
  <si>
    <t>HAM JAMES A JR</t>
  </si>
  <si>
    <t>HAM TRACEY L</t>
  </si>
  <si>
    <t>166 EDGEWOOD CIRCLE</t>
  </si>
  <si>
    <t>M5070A000201</t>
  </si>
  <si>
    <t>WYRICK WILLIAM DEAN</t>
  </si>
  <si>
    <t>509 MICHAELS ROAD</t>
  </si>
  <si>
    <t>M5160C0015</t>
  </si>
  <si>
    <t>GREGORY CASSANDRA Y</t>
  </si>
  <si>
    <t>PO BOX 1414</t>
  </si>
  <si>
    <t>27014-1414</t>
  </si>
  <si>
    <t>M5160C0016</t>
  </si>
  <si>
    <t>BAILEY WILEY CLOYD</t>
  </si>
  <si>
    <t>PO BOX 1452</t>
  </si>
  <si>
    <t>M5090A0021</t>
  </si>
  <si>
    <t>FLEMING WARREN KNOX</t>
  </si>
  <si>
    <t>9909 FOUNDERS WAY</t>
  </si>
  <si>
    <t>DAMASCUS</t>
  </si>
  <si>
    <t>20872-0000</t>
  </si>
  <si>
    <t>M5160D0004</t>
  </si>
  <si>
    <t>CHURCH OF GOD OF COOLEEMEE</t>
  </si>
  <si>
    <t>% JERRY KING</t>
  </si>
  <si>
    <t>BOX 477</t>
  </si>
  <si>
    <t>M5160D000901</t>
  </si>
  <si>
    <t>FRIENDSHIP BAPTIST CHURCH</t>
  </si>
  <si>
    <t>PO BOX 1142</t>
  </si>
  <si>
    <t>M600000002</t>
  </si>
  <si>
    <t>HARRIS C THOMAS</t>
  </si>
  <si>
    <t>HARRIS CYNTHIA F</t>
  </si>
  <si>
    <t>277 PLEASANT ACRE DRIVE</t>
  </si>
  <si>
    <t>M600000004</t>
  </si>
  <si>
    <t>CLICK CEMETARY</t>
  </si>
  <si>
    <t>M60000000503</t>
  </si>
  <si>
    <t>MARTIN KATHERINE T</t>
  </si>
  <si>
    <t>MARTIN GARY L</t>
  </si>
  <si>
    <t>383 PLEASANT ACRE DR</t>
  </si>
  <si>
    <t>M60000000501</t>
  </si>
  <si>
    <t>TENERY SAMUEL RYAN</t>
  </si>
  <si>
    <t>TENERY DEBRA COUCH</t>
  </si>
  <si>
    <t>166 MAGNOLIA FARM LANE</t>
  </si>
  <si>
    <t>27028-6843</t>
  </si>
  <si>
    <t>M5090A0013</t>
  </si>
  <si>
    <t>M5090A0014</t>
  </si>
  <si>
    <t>HUNT CHRISTOPHER BRADLEY</t>
  </si>
  <si>
    <t>3 WOODCREST DRIVE</t>
  </si>
  <si>
    <t>M5090A0023</t>
  </si>
  <si>
    <t>SALGADO LUIS A LAZARO</t>
  </si>
  <si>
    <t>P O BOX 218</t>
  </si>
  <si>
    <t>M5090A0024</t>
  </si>
  <si>
    <t>RODRIGUEZ CECILIO VARGAS ETAL</t>
  </si>
  <si>
    <t>VALENTIN FELIPA CHORA</t>
  </si>
  <si>
    <t>PO BOX 461</t>
  </si>
  <si>
    <t>27014-0461</t>
  </si>
  <si>
    <t>N60000000401</t>
  </si>
  <si>
    <t>RUSSELL TERRY E</t>
  </si>
  <si>
    <t>RUSSELL PHYLLIS T</t>
  </si>
  <si>
    <t>442 PLEASANT ACRE DRIVE</t>
  </si>
  <si>
    <t>27028-6803</t>
  </si>
  <si>
    <t>N500000062</t>
  </si>
  <si>
    <t>HAMILTON RICKY D</t>
  </si>
  <si>
    <t>462 PLEASANT ACRE DRIVE</t>
  </si>
  <si>
    <t>M60000001301</t>
  </si>
  <si>
    <t>M60000001504</t>
  </si>
  <si>
    <t>M600000016</t>
  </si>
  <si>
    <t>JERUSALEM BAPTIST CHURCH INC</t>
  </si>
  <si>
    <t>3203 US HIGHWAY 601 SOUTH</t>
  </si>
  <si>
    <t>M600000017</t>
  </si>
  <si>
    <t>M60000001702</t>
  </si>
  <si>
    <t>M5100B0001</t>
  </si>
  <si>
    <t>EDGEWOOD BAPTIST CHURCH</t>
  </si>
  <si>
    <t>PO BOX 57</t>
  </si>
  <si>
    <t>M60000002408</t>
  </si>
  <si>
    <t>GRUBB GARY R</t>
  </si>
  <si>
    <t>346 BECKTOWN ROAD</t>
  </si>
  <si>
    <t>M600000025</t>
  </si>
  <si>
    <t>M60000002601</t>
  </si>
  <si>
    <t>ANDERSON CARL E</t>
  </si>
  <si>
    <t>ANDERSON TERI IVEY</t>
  </si>
  <si>
    <t>349 BECKTOWN ROAD</t>
  </si>
  <si>
    <t>M600000057</t>
  </si>
  <si>
    <t>RICKETTS GREG</t>
  </si>
  <si>
    <t>RICKETTS PAULA M</t>
  </si>
  <si>
    <t>216 SADDLE UP TRAIL</t>
  </si>
  <si>
    <t>27028-6676</t>
  </si>
  <si>
    <t>M600000058</t>
  </si>
  <si>
    <t>SHULER JAMIE L</t>
  </si>
  <si>
    <t>SHULER GREG L</t>
  </si>
  <si>
    <t>196 SADDLE UP TRAIL</t>
  </si>
  <si>
    <t>27028-6675</t>
  </si>
  <si>
    <t>M60000002805</t>
  </si>
  <si>
    <t>GRUBB BUILDERS INC</t>
  </si>
  <si>
    <t>PO BOX 243</t>
  </si>
  <si>
    <t>M60000002808</t>
  </si>
  <si>
    <t>WERBECK WARREN R II</t>
  </si>
  <si>
    <t>WERBECK VALERIE</t>
  </si>
  <si>
    <t>226 HOUSTON ROAD</t>
  </si>
  <si>
    <t>M60000003102</t>
  </si>
  <si>
    <t>RABON DEBORAH ANN</t>
  </si>
  <si>
    <t>105 WOLF LANE</t>
  </si>
  <si>
    <t>M5100B0016</t>
  </si>
  <si>
    <t>M5030A000101</t>
  </si>
  <si>
    <t>WATKINS DEBRA J</t>
  </si>
  <si>
    <t>7239 NC HIGHWAY 801 SOUTH</t>
  </si>
  <si>
    <t>M5030A000102</t>
  </si>
  <si>
    <t>7231 NC HIGHWAY 801 SOUTH</t>
  </si>
  <si>
    <t>N700000004</t>
  </si>
  <si>
    <t>BEAVER GLADYS B</t>
  </si>
  <si>
    <t>654 CHERRY HILL ROAD</t>
  </si>
  <si>
    <t>27028-6624</t>
  </si>
  <si>
    <t>M60000003703</t>
  </si>
  <si>
    <t>M600000039</t>
  </si>
  <si>
    <t>WALSER RALPH LESTER</t>
  </si>
  <si>
    <t>WALSER DEBBIE</t>
  </si>
  <si>
    <t>612 BECKTOWN ROAD</t>
  </si>
  <si>
    <t>M5030A000103</t>
  </si>
  <si>
    <t>JOHNSON TANGEE YOUNG</t>
  </si>
  <si>
    <t>7247 NC HIGHWAY 801</t>
  </si>
  <si>
    <t>M60000004002</t>
  </si>
  <si>
    <t>DYSON MARTY ALLEN</t>
  </si>
  <si>
    <t>DYSON CATHY D</t>
  </si>
  <si>
    <t>655 BECKTOWN ROAD</t>
  </si>
  <si>
    <t>M60000004006</t>
  </si>
  <si>
    <t>SPRY ERIN E</t>
  </si>
  <si>
    <t>SPRY CATHY</t>
  </si>
  <si>
    <t>681 BECKTOWN ROAD</t>
  </si>
  <si>
    <t>27028-6609</t>
  </si>
  <si>
    <t>M600000055</t>
  </si>
  <si>
    <t>BURTON TERRY R JR</t>
  </si>
  <si>
    <t>BURTON CANDICE S</t>
  </si>
  <si>
    <t>369 CHERRY HILL ROAD</t>
  </si>
  <si>
    <t>M600000061</t>
  </si>
  <si>
    <t>LOWDER MATTHEW L</t>
  </si>
  <si>
    <t>LOWDER ELLABROOKE B</t>
  </si>
  <si>
    <t>371 CHERRY HILL ROAD</t>
  </si>
  <si>
    <t>27028-6621</t>
  </si>
  <si>
    <t>M5100B0008</t>
  </si>
  <si>
    <t>GRIFFIN DAVID P</t>
  </si>
  <si>
    <t>GRIFFIN MONA C</t>
  </si>
  <si>
    <t>201 SPRINGHILL DRIVE</t>
  </si>
  <si>
    <t>M5100B0015</t>
  </si>
  <si>
    <t>HARRIS JAMES LEWIS</t>
  </si>
  <si>
    <t>HARRIS MELANIE D</t>
  </si>
  <si>
    <t>257 EDGEWOOD CIRCLE</t>
  </si>
  <si>
    <t>M5060A000103</t>
  </si>
  <si>
    <t>FRANCO MIGUEL A JR</t>
  </si>
  <si>
    <t>3175 NC HIGHWAY 801</t>
  </si>
  <si>
    <t>N4040A0021</t>
  </si>
  <si>
    <t>DURHAM DENNIS GLENN</t>
  </si>
  <si>
    <t>DURHAM SUSIE SMITH</t>
  </si>
  <si>
    <t>178 MAIN STREET</t>
  </si>
  <si>
    <t>PO BOX 644</t>
  </si>
  <si>
    <t>M5060A0004</t>
  </si>
  <si>
    <t>JOHNSON JAMES MICHAEL</t>
  </si>
  <si>
    <t>JOHNSON GLENDA B</t>
  </si>
  <si>
    <t>7309 NC HWY. 801 SOUTH</t>
  </si>
  <si>
    <t>M5100C000602</t>
  </si>
  <si>
    <t>NAIL GEORGE SIDNEY</t>
  </si>
  <si>
    <t>M5120A0003</t>
  </si>
  <si>
    <t>HOWELL SARAH P</t>
  </si>
  <si>
    <t>2967 US HIGHWAY 601 SOUTH</t>
  </si>
  <si>
    <t>N50000002401</t>
  </si>
  <si>
    <t>MCDANIEL TONY R</t>
  </si>
  <si>
    <t>MCDANIEL BARBARA K</t>
  </si>
  <si>
    <t>710 PINE RIDGE ROAD</t>
  </si>
  <si>
    <t>M5160A0004</t>
  </si>
  <si>
    <t>SPRY JERRY L</t>
  </si>
  <si>
    <t>SPRY ANN R</t>
  </si>
  <si>
    <t>PO BOX 175</t>
  </si>
  <si>
    <t>M5160B0016</t>
  </si>
  <si>
    <t>EPISCOPAL CHURCH OF GOOD SHEP</t>
  </si>
  <si>
    <t>PO BOX 1047</t>
  </si>
  <si>
    <t>M5160B0021</t>
  </si>
  <si>
    <t>ENGLISH MARK ALAN</t>
  </si>
  <si>
    <t>ENGLISH CATHERINE E</t>
  </si>
  <si>
    <t>PO BOX 61</t>
  </si>
  <si>
    <t>N5110A0011</t>
  </si>
  <si>
    <t>LEDFORD HERBERT H</t>
  </si>
  <si>
    <t>LEDFORD FRIEDA M</t>
  </si>
  <si>
    <t>PO BOX 572</t>
  </si>
  <si>
    <t>N500000039  A</t>
  </si>
  <si>
    <t>N500000046</t>
  </si>
  <si>
    <t>DEDMON DELANO MAURICE</t>
  </si>
  <si>
    <t>352 PINE RIDGE ROAD</t>
  </si>
  <si>
    <t>N50000006201</t>
  </si>
  <si>
    <t>N500000051</t>
  </si>
  <si>
    <t>JACOBS DONALD E</t>
  </si>
  <si>
    <t>546 PINE RIDGE ROAD</t>
  </si>
  <si>
    <t>27028-6753</t>
  </si>
  <si>
    <t>N500000053</t>
  </si>
  <si>
    <t>ALLEN NORMAN G</t>
  </si>
  <si>
    <t>508 PINE RIDGE ROAD</t>
  </si>
  <si>
    <t>N500000056</t>
  </si>
  <si>
    <t>PARSLEY DALE EDWARD</t>
  </si>
  <si>
    <t>PARSLEY DONNA COPE</t>
  </si>
  <si>
    <t>480 PINE RIDGE ROAD</t>
  </si>
  <si>
    <t>M5160B0026</t>
  </si>
  <si>
    <t>DANIELS NANCY B</t>
  </si>
  <si>
    <t>PO  BOX 11</t>
  </si>
  <si>
    <t>N500000065</t>
  </si>
  <si>
    <t>FLETCHER SHARON L</t>
  </si>
  <si>
    <t>FLETCHER MICHAEL D</t>
  </si>
  <si>
    <t>122 GREEN GRASS ROAD</t>
  </si>
  <si>
    <t>N500000069</t>
  </si>
  <si>
    <t>CHISENHALL MARK</t>
  </si>
  <si>
    <t>CHISENHALL CINDY</t>
  </si>
  <si>
    <t>399 PINE RIDGE ROAD</t>
  </si>
  <si>
    <t>N500000068</t>
  </si>
  <si>
    <t>N50000007003</t>
  </si>
  <si>
    <t>N50000007706</t>
  </si>
  <si>
    <t>CREWS ROBERT WINSTON SR</t>
  </si>
  <si>
    <t>CREWS KATHY TATUM</t>
  </si>
  <si>
    <t>291 TATUM ROAD</t>
  </si>
  <si>
    <t>N500000072</t>
  </si>
  <si>
    <t>N50000007702</t>
  </si>
  <si>
    <t>N50000007401</t>
  </si>
  <si>
    <t>N600000055</t>
  </si>
  <si>
    <t>N500000074</t>
  </si>
  <si>
    <t>N500000075</t>
  </si>
  <si>
    <t>N500000077</t>
  </si>
  <si>
    <t>N50000007703</t>
  </si>
  <si>
    <t>N50000007704</t>
  </si>
  <si>
    <t>N50000007705</t>
  </si>
  <si>
    <t>K500000011</t>
  </si>
  <si>
    <t>O60000007601</t>
  </si>
  <si>
    <t>N60000005401</t>
  </si>
  <si>
    <t>M5160B0027</t>
  </si>
  <si>
    <t>ISSAC EDITH S</t>
  </si>
  <si>
    <t>PO BOX 862</t>
  </si>
  <si>
    <t>N500000089</t>
  </si>
  <si>
    <t>CARTER PHILLIP T</t>
  </si>
  <si>
    <t>CARTER KATHY P</t>
  </si>
  <si>
    <t>553 PINE RIDGE ROAD</t>
  </si>
  <si>
    <t>N50000008801</t>
  </si>
  <si>
    <t>M5160C0005</t>
  </si>
  <si>
    <t>THOMPSON JANET B</t>
  </si>
  <si>
    <t>27014-0546</t>
  </si>
  <si>
    <t>N5010A0010</t>
  </si>
  <si>
    <t>JORDAN JOHNNY LEE</t>
  </si>
  <si>
    <t>PO BOX 488</t>
  </si>
  <si>
    <t>27014-0488</t>
  </si>
  <si>
    <t>N5010A0022</t>
  </si>
  <si>
    <t>LEONARD WADE H JR ETAL</t>
  </si>
  <si>
    <t>M5160C0027</t>
  </si>
  <si>
    <t>COOLEEMEE CIVITAN CLUB</t>
  </si>
  <si>
    <t>PO BOX 517</t>
  </si>
  <si>
    <t>N5010B0023</t>
  </si>
  <si>
    <t>DAVIS ALICIA E</t>
  </si>
  <si>
    <t>162 KNOLL CREST ROAD</t>
  </si>
  <si>
    <t>27028-5336</t>
  </si>
  <si>
    <t>N5010B0024</t>
  </si>
  <si>
    <t>KING JERRY WILLIAM</t>
  </si>
  <si>
    <t>PO BOX 1158</t>
  </si>
  <si>
    <t>27014-1158</t>
  </si>
  <si>
    <t>M60000000706</t>
  </si>
  <si>
    <t>VERNON MILTON WADE II</t>
  </si>
  <si>
    <t>VERNON WENDY OLDHAM</t>
  </si>
  <si>
    <t>406 PLEASANT ACRE DRIVE</t>
  </si>
  <si>
    <t>M60000000703</t>
  </si>
  <si>
    <t>M600000012</t>
  </si>
  <si>
    <t>M600000009</t>
  </si>
  <si>
    <t>M60000002405</t>
  </si>
  <si>
    <t>GRUBB SANDRA M</t>
  </si>
  <si>
    <t>M60000003401</t>
  </si>
  <si>
    <t>HELLER WILLIAM E JR</t>
  </si>
  <si>
    <t>HELLER ANNA MARIE</t>
  </si>
  <si>
    <t>477 BECKTOWN ROAD</t>
  </si>
  <si>
    <t>N5010D000401</t>
  </si>
  <si>
    <t>VICTORY BAPTIST CHURCH</t>
  </si>
  <si>
    <t>PO BOX 686</t>
  </si>
  <si>
    <t>N5010D0013</t>
  </si>
  <si>
    <t>WILKINSON WILLIAM THOMAS</t>
  </si>
  <si>
    <t>PO BOX 473</t>
  </si>
  <si>
    <t>27014-0473</t>
  </si>
  <si>
    <t>N5010D0015</t>
  </si>
  <si>
    <t>M60000003701</t>
  </si>
  <si>
    <t>M60000004804</t>
  </si>
  <si>
    <t>M60000004001</t>
  </si>
  <si>
    <t>M600000053</t>
  </si>
  <si>
    <t>ALLEN RANDY G</t>
  </si>
  <si>
    <t>ALLEN REBECCA L</t>
  </si>
  <si>
    <t>799 CHERRY HILL ROAD</t>
  </si>
  <si>
    <t>27028-6625</t>
  </si>
  <si>
    <t>N5080A0029</t>
  </si>
  <si>
    <t>PANIAGUA CRESENCIA R</t>
  </si>
  <si>
    <t>PO BOX 556</t>
  </si>
  <si>
    <t>N5080A0035</t>
  </si>
  <si>
    <t>FERRELL CHARLES W</t>
  </si>
  <si>
    <t>FERRELL SANDRA TREXLER</t>
  </si>
  <si>
    <t>27014-0085</t>
  </si>
  <si>
    <t>N5080A0036</t>
  </si>
  <si>
    <t>TREXLER DONALD E</t>
  </si>
  <si>
    <t>TREXLER JANET I</t>
  </si>
  <si>
    <t>N5080B000102</t>
  </si>
  <si>
    <t>SPRY JAMES FLOYD JR</t>
  </si>
  <si>
    <t>SPRY BARBARA E</t>
  </si>
  <si>
    <t>PO  BOX 385</t>
  </si>
  <si>
    <t>27014-0385</t>
  </si>
  <si>
    <t>N500000009</t>
  </si>
  <si>
    <t>M700000004</t>
  </si>
  <si>
    <t>MCMAHAN STEVEN WAYNE</t>
  </si>
  <si>
    <t>299 APPLEWOOD ROAD</t>
  </si>
  <si>
    <t>N5080B0015</t>
  </si>
  <si>
    <t>IJAMES LYNNE LORETTA</t>
  </si>
  <si>
    <t>COOOLEEMEE</t>
  </si>
  <si>
    <t>N5080B0018</t>
  </si>
  <si>
    <t>BROWN ARTHUR RAY</t>
  </si>
  <si>
    <t>BROWN BONNIE L</t>
  </si>
  <si>
    <t>PO BOX 331</t>
  </si>
  <si>
    <t>N5110A0003</t>
  </si>
  <si>
    <t>BARNHARDT EDWARD B</t>
  </si>
  <si>
    <t>BARNHARDT GLYNN H</t>
  </si>
  <si>
    <t>613 PINERIDGE ROAD</t>
  </si>
  <si>
    <t>M5100C0006</t>
  </si>
  <si>
    <t>M5100C000601</t>
  </si>
  <si>
    <t>N50000002304</t>
  </si>
  <si>
    <t>BROADWAY GLEN D</t>
  </si>
  <si>
    <t>BROADWAY MARILEE M</t>
  </si>
  <si>
    <t>236 BROADWAY ROAD</t>
  </si>
  <si>
    <t>27028-6618</t>
  </si>
  <si>
    <t>N500000038</t>
  </si>
  <si>
    <t>LEDFORD HERBERT STEWART</t>
  </si>
  <si>
    <t>LEDFORD GLENN MARSHALL</t>
  </si>
  <si>
    <t>27014-0572</t>
  </si>
  <si>
    <t>N600000015</t>
  </si>
  <si>
    <t>BREWER CHARLES J</t>
  </si>
  <si>
    <t>BREWER BONNIE P</t>
  </si>
  <si>
    <t>3432 US HIGHWAY 601 SOUTH</t>
  </si>
  <si>
    <t>27028-6918</t>
  </si>
  <si>
    <t>N600000012</t>
  </si>
  <si>
    <t>N60000001401</t>
  </si>
  <si>
    <t>N600000017</t>
  </si>
  <si>
    <t>BRANCH PATSY R</t>
  </si>
  <si>
    <t>3496 US HIGHWAY 601 SOUTH</t>
  </si>
  <si>
    <t>N60000001701</t>
  </si>
  <si>
    <t>YONKER JAMES MARVIN JR</t>
  </si>
  <si>
    <t>3502 US HWY 601 SOUTH</t>
  </si>
  <si>
    <t>N60000001703</t>
  </si>
  <si>
    <t>GUY STEVE A</t>
  </si>
  <si>
    <t>GUY TAMMY R</t>
  </si>
  <si>
    <t>3480 US HIGHWAY 601 SOUTH</t>
  </si>
  <si>
    <t>N600000019</t>
  </si>
  <si>
    <t>PLUMMER JASON LYNN</t>
  </si>
  <si>
    <t>PLUMMER DINA SMITH</t>
  </si>
  <si>
    <t>135 PINE RIDGE ROAD</t>
  </si>
  <si>
    <t>N5110A0012</t>
  </si>
  <si>
    <t>N5110A001501</t>
  </si>
  <si>
    <t>N50000006206</t>
  </si>
  <si>
    <t>JONES TIMOTHY</t>
  </si>
  <si>
    <t>JONES RAMONA</t>
  </si>
  <si>
    <t>PO BOX 1218</t>
  </si>
  <si>
    <t>27014-1218</t>
  </si>
  <si>
    <t>N600000039</t>
  </si>
  <si>
    <t>PAGE ROBERT T</t>
  </si>
  <si>
    <t>PAGE DARLENE D</t>
  </si>
  <si>
    <t>146 PINE RIDGE ROAD</t>
  </si>
  <si>
    <t>27028-6749</t>
  </si>
  <si>
    <t>N50000007701</t>
  </si>
  <si>
    <t>GAUDET RICHARD B</t>
  </si>
  <si>
    <t>GAUDET ROBIN T</t>
  </si>
  <si>
    <t>152 TATUM ROAD</t>
  </si>
  <si>
    <t>N60000004101</t>
  </si>
  <si>
    <t>BURTON CARLTON LANE</t>
  </si>
  <si>
    <t>3371 US HIGHWAY 601 SOUTH</t>
  </si>
  <si>
    <t>27028-6917</t>
  </si>
  <si>
    <t>N600000105</t>
  </si>
  <si>
    <t>N600000104</t>
  </si>
  <si>
    <t>27028-6667</t>
  </si>
  <si>
    <t>N60000004109</t>
  </si>
  <si>
    <t>TANG CHI KWONG</t>
  </si>
  <si>
    <t>TANG PAMELA HAMBY</t>
  </si>
  <si>
    <t>164 BOXWOOD CHURCH ROAD</t>
  </si>
  <si>
    <t>27028-6611</t>
  </si>
  <si>
    <t>N600000107</t>
  </si>
  <si>
    <t>N600000106</t>
  </si>
  <si>
    <t>WILLIAMSON MASUKI M</t>
  </si>
  <si>
    <t>184 BOXWOOD CHURCH ROAD</t>
  </si>
  <si>
    <t>N600000042</t>
  </si>
  <si>
    <t>HONEYCUTT JOEL EDGAR</t>
  </si>
  <si>
    <t>269 BOXWOOD CHURCH ROAD</t>
  </si>
  <si>
    <t>N600000043</t>
  </si>
  <si>
    <t>BOXWOOD BAPTIST CHURCH</t>
  </si>
  <si>
    <t>% JOHN JACKSON</t>
  </si>
  <si>
    <t>RT 1 BOX 159-D</t>
  </si>
  <si>
    <t>N5010A0007</t>
  </si>
  <si>
    <t>OWENS EDWIN BARNETT</t>
  </si>
  <si>
    <t>836 PINERIDGE ROAD</t>
  </si>
  <si>
    <t>N60000004705</t>
  </si>
  <si>
    <t>HUTCHINS BRENDA D</t>
  </si>
  <si>
    <t>224 BOXWOOD CHURCH ROAD</t>
  </si>
  <si>
    <t>27028-6612</t>
  </si>
  <si>
    <t>N60000005303</t>
  </si>
  <si>
    <t>SANDERS MICHIO</t>
  </si>
  <si>
    <t>SANDERS RENEE</t>
  </si>
  <si>
    <t>144 RIVERDALE ROAD</t>
  </si>
  <si>
    <t>N60000005801</t>
  </si>
  <si>
    <t>LEONARD RALPH H</t>
  </si>
  <si>
    <t>LEONARD HOPE H</t>
  </si>
  <si>
    <t>274 RIVERDALE ROAD</t>
  </si>
  <si>
    <t>N600000058</t>
  </si>
  <si>
    <t>N5010B0008</t>
  </si>
  <si>
    <t>COVER DON</t>
  </si>
  <si>
    <t>COVER CATHY</t>
  </si>
  <si>
    <t>PO BOX 36</t>
  </si>
  <si>
    <t>N5010B0052</t>
  </si>
  <si>
    <t>ONEAL BRIAN S</t>
  </si>
  <si>
    <t>ONEAL DEBORAH S</t>
  </si>
  <si>
    <t>PO BOX 1023</t>
  </si>
  <si>
    <t>27014-1023</t>
  </si>
  <si>
    <t>N5010C0034</t>
  </si>
  <si>
    <t>SMITH LARRY S JR</t>
  </si>
  <si>
    <t>SMITH TAMMY L</t>
  </si>
  <si>
    <t>PO BOX 723</t>
  </si>
  <si>
    <t>N5010C0038</t>
  </si>
  <si>
    <t>WEBB JUDY HAMPTON</t>
  </si>
  <si>
    <t>N60000007502</t>
  </si>
  <si>
    <t>MILLER MATHIAS</t>
  </si>
  <si>
    <t>5104 DEER PATH LANE</t>
  </si>
  <si>
    <t>GAINESVILLE</t>
  </si>
  <si>
    <t>30507-0000</t>
  </si>
  <si>
    <t>N60000007717</t>
  </si>
  <si>
    <t>SINGLETON MICHAEL LEE</t>
  </si>
  <si>
    <t>SINGLETON THOMAS WAYNE</t>
  </si>
  <si>
    <t>2871 NC HIGHWAY 801 SOUTH</t>
  </si>
  <si>
    <t>N60000007719</t>
  </si>
  <si>
    <t>BATES WILLIAM TERRY</t>
  </si>
  <si>
    <t>BATES BONNIE J</t>
  </si>
  <si>
    <t>253 SINGLETON ROAD</t>
  </si>
  <si>
    <t>N60000007704</t>
  </si>
  <si>
    <t>N5010C0039</t>
  </si>
  <si>
    <t>MAYS JOHN THOMAS</t>
  </si>
  <si>
    <t>N5010C0069</t>
  </si>
  <si>
    <t>KING JERRY W</t>
  </si>
  <si>
    <t>KING MARTHA</t>
  </si>
  <si>
    <t>N5010D0017</t>
  </si>
  <si>
    <t>N5020A0007</t>
  </si>
  <si>
    <t>SCOTT JAMES MICHAEL</t>
  </si>
  <si>
    <t>PO BOX 221</t>
  </si>
  <si>
    <t>27014-0221</t>
  </si>
  <si>
    <t>N600000081</t>
  </si>
  <si>
    <t>CAGLE DANIEL F JR</t>
  </si>
  <si>
    <t>CAGLE JANET J</t>
  </si>
  <si>
    <t>1164 CHERRY HILL ROAD</t>
  </si>
  <si>
    <t>27028-6629</t>
  </si>
  <si>
    <t>N600000085</t>
  </si>
  <si>
    <t>BLUNKALL RAMONA M</t>
  </si>
  <si>
    <t>477 PLEASANT ACRE DRIVE</t>
  </si>
  <si>
    <t>N60000008601</t>
  </si>
  <si>
    <t>MAULDIN ALTON L</t>
  </si>
  <si>
    <t>MAULDIN GABRIELE M</t>
  </si>
  <si>
    <t>299 HOUSTON ROAD</t>
  </si>
  <si>
    <t>27028-6702</t>
  </si>
  <si>
    <t>N600000088</t>
  </si>
  <si>
    <t>MCCRAY DAVID WAYNE</t>
  </si>
  <si>
    <t>MCCRAY BETTY T</t>
  </si>
  <si>
    <t>3322 US HIGHWAY 601 SOUTH</t>
  </si>
  <si>
    <t>N600000090</t>
  </si>
  <si>
    <t>RIDENHOUR C F</t>
  </si>
  <si>
    <t>RIDENHOUR JEANETTE</t>
  </si>
  <si>
    <t>3348 US HIGHWAY 601 SOUTH</t>
  </si>
  <si>
    <t>N600000089</t>
  </si>
  <si>
    <t>N600000093</t>
  </si>
  <si>
    <t>MCDANIEL JOHN W</t>
  </si>
  <si>
    <t>MCDANIEL CINDY S</t>
  </si>
  <si>
    <t>176 BEAN ROAD</t>
  </si>
  <si>
    <t>N5020A0011</t>
  </si>
  <si>
    <t>PEACOCK GARY A</t>
  </si>
  <si>
    <t>PEACOCK MARY P</t>
  </si>
  <si>
    <t>1056 PINE RIDGE</t>
  </si>
  <si>
    <t>N600000097</t>
  </si>
  <si>
    <t>SERWAN ANNE M</t>
  </si>
  <si>
    <t>274 BEAN ROAD</t>
  </si>
  <si>
    <t>N600000102</t>
  </si>
  <si>
    <t>SHAVER SCOTT C</t>
  </si>
  <si>
    <t>SHAVER MICHELE S</t>
  </si>
  <si>
    <t>213 BEAN ROAD</t>
  </si>
  <si>
    <t>O600000003</t>
  </si>
  <si>
    <t>BISHOP ELLEN FRANCES FRYE</t>
  </si>
  <si>
    <t>481 RIVERDALE ROAD</t>
  </si>
  <si>
    <t>O60000000301</t>
  </si>
  <si>
    <t>BISHOP CARL</t>
  </si>
  <si>
    <t>O600000006</t>
  </si>
  <si>
    <t>FRYE HAROLD HARM</t>
  </si>
  <si>
    <t>148 PETES LANE</t>
  </si>
  <si>
    <t>N5080A0017</t>
  </si>
  <si>
    <t>SNIDER ROGER D</t>
  </si>
  <si>
    <t>SNIDER FREIDA A</t>
  </si>
  <si>
    <t>PO BOX 875</t>
  </si>
  <si>
    <t>O600000020</t>
  </si>
  <si>
    <t>LITAKER PEARLINE</t>
  </si>
  <si>
    <t>220 LITAKER ROAD</t>
  </si>
  <si>
    <t>28147-0000</t>
  </si>
  <si>
    <t>O60000002101</t>
  </si>
  <si>
    <t>TAGGERT KATHY RENEE</t>
  </si>
  <si>
    <t>TAGGERT RITA LAVERNE</t>
  </si>
  <si>
    <t>3539 CARINGTON LANE</t>
  </si>
  <si>
    <t>28625-9368</t>
  </si>
  <si>
    <t>O60000002102</t>
  </si>
  <si>
    <t>POLK BEAURENE</t>
  </si>
  <si>
    <t>POLK WILLIAM</t>
  </si>
  <si>
    <t>7855 WHISPERING WOOD DR</t>
  </si>
  <si>
    <t>N5080A0021</t>
  </si>
  <si>
    <t>JORDAN MARK E</t>
  </si>
  <si>
    <t>PO BOX 973</t>
  </si>
  <si>
    <t>O60000002901</t>
  </si>
  <si>
    <t>SANDERSON WILLIAM C REV TRUST</t>
  </si>
  <si>
    <t>SANDERSON FRANCES K REV TRUST</t>
  </si>
  <si>
    <t>4078 US HIGHWAY 601 SOUTH</t>
  </si>
  <si>
    <t>27028-6924</t>
  </si>
  <si>
    <t>O60000002903</t>
  </si>
  <si>
    <t>BREWER KENNETH</t>
  </si>
  <si>
    <t>BREWER SARAH</t>
  </si>
  <si>
    <t>4068 US HIGHWAY 601 SOUTH</t>
  </si>
  <si>
    <t>O60000003104</t>
  </si>
  <si>
    <t>DANIEL JAMES J</t>
  </si>
  <si>
    <t>SPILLMAN JOHN A</t>
  </si>
  <si>
    <t>215 MOHEGAN TRAIL</t>
  </si>
  <si>
    <t>N5080B0009</t>
  </si>
  <si>
    <t>MCCRAIN FRANKLIN E</t>
  </si>
  <si>
    <t>MCCRAIN BRENDA M</t>
  </si>
  <si>
    <t>PO BOX 388</t>
  </si>
  <si>
    <t>27014-0388</t>
  </si>
  <si>
    <t>N5080B0017</t>
  </si>
  <si>
    <t>REID NAOMI L</t>
  </si>
  <si>
    <t>PO BOX 1257</t>
  </si>
  <si>
    <t>N500000022</t>
  </si>
  <si>
    <t>SPRY RHONDA NICHOLS</t>
  </si>
  <si>
    <t>850 PINE RIDGE ROAD</t>
  </si>
  <si>
    <t>N50000002302</t>
  </si>
  <si>
    <t>BROADWAY RONALD G</t>
  </si>
  <si>
    <t>BROADWAY MARY H</t>
  </si>
  <si>
    <t>282 BROADWAY ROAD</t>
  </si>
  <si>
    <t>N600000010</t>
  </si>
  <si>
    <t>JOHNSON META</t>
  </si>
  <si>
    <t>135 BEAN ROAD</t>
  </si>
  <si>
    <t>O60000003406</t>
  </si>
  <si>
    <t>PATTERSON VALERIE CARSON</t>
  </si>
  <si>
    <t>8740 US HIGHWAY 601 SOUTH</t>
  </si>
  <si>
    <t>O60000003407</t>
  </si>
  <si>
    <t>ALLEN GARY</t>
  </si>
  <si>
    <t>ALLEN PEGGY S</t>
  </si>
  <si>
    <t>8975 US HIGHWAY 601 SOUTH</t>
  </si>
  <si>
    <t>28144-9729</t>
  </si>
  <si>
    <t>O60000003409</t>
  </si>
  <si>
    <t>OVERTON SAMUEL LEWIS</t>
  </si>
  <si>
    <t>OVERTON QUEEN COLLINS</t>
  </si>
  <si>
    <t>8943 US HIGHWAY 601 SOUTH</t>
  </si>
  <si>
    <t>O60000003508</t>
  </si>
  <si>
    <t>SMITH JAMIE DEE ETAL</t>
  </si>
  <si>
    <t>PLUMMER DINA S</t>
  </si>
  <si>
    <t>O600000077</t>
  </si>
  <si>
    <t>PHELPS MELISSA</t>
  </si>
  <si>
    <t>146 POOR BOYS TRAIL</t>
  </si>
  <si>
    <t>O600000040  A</t>
  </si>
  <si>
    <t>CHUNN NOTTIE ESTATE</t>
  </si>
  <si>
    <t>619 BOXWOOD CHURCH ROAD</t>
  </si>
  <si>
    <t>N600000028</t>
  </si>
  <si>
    <t>TUTTEROW JOHN PAUL JR</t>
  </si>
  <si>
    <t>TUTTEROW NANCY</t>
  </si>
  <si>
    <t>3464 LAKESHORE ROAD SOUTH</t>
  </si>
  <si>
    <t>O60000005905</t>
  </si>
  <si>
    <t>CLARK PRESTON</t>
  </si>
  <si>
    <t>CLARK BETTY</t>
  </si>
  <si>
    <t>109 HEMLOCK DRIVE</t>
  </si>
  <si>
    <t>O600000061</t>
  </si>
  <si>
    <t>MILLER CHARLES DAVID</t>
  </si>
  <si>
    <t>O600000062</t>
  </si>
  <si>
    <t>HENDRICKS GRAVEYARD</t>
  </si>
  <si>
    <t>O600000067</t>
  </si>
  <si>
    <t>STEINMAN PROPERTIES LLC</t>
  </si>
  <si>
    <t>BRANECKY ANTHONY J</t>
  </si>
  <si>
    <t>1500 EAST INNES STREET</t>
  </si>
  <si>
    <t>N600000029</t>
  </si>
  <si>
    <t>CARTER EDWARD</t>
  </si>
  <si>
    <t>277 PINE RIDGE ROAD</t>
  </si>
  <si>
    <t>O600000068</t>
  </si>
  <si>
    <t>O600000072</t>
  </si>
  <si>
    <t>GRYDER JIM</t>
  </si>
  <si>
    <t>424 RIVERDALE ROAD</t>
  </si>
  <si>
    <t>O600000073</t>
  </si>
  <si>
    <t>GOODMAN JOSHUA A</t>
  </si>
  <si>
    <t>GOODMAN VALERIE F</t>
  </si>
  <si>
    <t>432 RIVERDALE ROAD</t>
  </si>
  <si>
    <t>27028-6849</t>
  </si>
  <si>
    <t>N60000002801</t>
  </si>
  <si>
    <t>RITCHIE DONALD R</t>
  </si>
  <si>
    <t>RITCHIE MARY C</t>
  </si>
  <si>
    <t>195 OLD FARM LANE</t>
  </si>
  <si>
    <t>27028-6745</t>
  </si>
  <si>
    <t>N600000040</t>
  </si>
  <si>
    <t>PAGE DENNIS ALBERT</t>
  </si>
  <si>
    <t>PAGE VICKIE H</t>
  </si>
  <si>
    <t>132 PINE RIDGE ROAD</t>
  </si>
  <si>
    <t>L600000027</t>
  </si>
  <si>
    <t>CROTTS BENNY FRANKLIN</t>
  </si>
  <si>
    <t>27028-5404</t>
  </si>
  <si>
    <t>N60000004703</t>
  </si>
  <si>
    <t>WOOD JOHN ROSS</t>
  </si>
  <si>
    <t>3603 US HWY. 601 SOUTH</t>
  </si>
  <si>
    <t>N60000006001</t>
  </si>
  <si>
    <t>LEWALLEN JEFFREY L</t>
  </si>
  <si>
    <t>LEWALLEN TAMMY D</t>
  </si>
  <si>
    <t>303 RIVERDALE ROAD</t>
  </si>
  <si>
    <t>N600000061</t>
  </si>
  <si>
    <t>SMITH TONY R</t>
  </si>
  <si>
    <t>SMITH DIANE</t>
  </si>
  <si>
    <t>335 RIVERDALE ROAD</t>
  </si>
  <si>
    <t>N60000007108</t>
  </si>
  <si>
    <t>GONZALEZ-VARGAS JOSE EMETERIO</t>
  </si>
  <si>
    <t>1564 CHERRY HILL ROAD</t>
  </si>
  <si>
    <t>I1120A0016</t>
  </si>
  <si>
    <t>ROGERS RANDY B</t>
  </si>
  <si>
    <t>3973 US HIGHWAY 64 WEST</t>
  </si>
  <si>
    <t>I100000040</t>
  </si>
  <si>
    <t>N600000075</t>
  </si>
  <si>
    <t>OVERSTREET MARK D</t>
  </si>
  <si>
    <t>MACMILLAN DELIA A OVERSTREET</t>
  </si>
  <si>
    <t>1320 CHERRY HILL ROAD</t>
  </si>
  <si>
    <t>N60000007706</t>
  </si>
  <si>
    <t>FOIL F EDWARD</t>
  </si>
  <si>
    <t>FOIL ANN E</t>
  </si>
  <si>
    <t>357 SINGLETON ROAD</t>
  </si>
  <si>
    <t>N5010C0024</t>
  </si>
  <si>
    <t>HABITAT FOR HUMANITY</t>
  </si>
  <si>
    <t>PO BOX 1384</t>
  </si>
  <si>
    <t>27028-1384</t>
  </si>
  <si>
    <t>N5010C0048</t>
  </si>
  <si>
    <t>I5110C0020</t>
  </si>
  <si>
    <t>N60000007707</t>
  </si>
  <si>
    <t>N60000007709</t>
  </si>
  <si>
    <t>N600000079</t>
  </si>
  <si>
    <t>N600000096</t>
  </si>
  <si>
    <t>HEWITT ROBERT DONALD JR</t>
  </si>
  <si>
    <t>HEWITT JANE</t>
  </si>
  <si>
    <t>252 BEAN ROAD</t>
  </si>
  <si>
    <t>O60000001501</t>
  </si>
  <si>
    <t>PHILLIPS ZETTI CHUNN</t>
  </si>
  <si>
    <t>8035 HOLLY HILL ROAD</t>
  </si>
  <si>
    <t>28227-0000</t>
  </si>
  <si>
    <t>O60000002801</t>
  </si>
  <si>
    <t>HARRIS DANA B</t>
  </si>
  <si>
    <t>JOHNSON CATHERINE D</t>
  </si>
  <si>
    <t>9045 US HIGHWAY 601</t>
  </si>
  <si>
    <t>N600000009</t>
  </si>
  <si>
    <t>SMITH DAVID J</t>
  </si>
  <si>
    <t>SMITH CHESSIE S</t>
  </si>
  <si>
    <t>N60000004104</t>
  </si>
  <si>
    <t>O60000003520</t>
  </si>
  <si>
    <t>O60000005902</t>
  </si>
  <si>
    <t>CLARK CHARLES</t>
  </si>
  <si>
    <t>CLARK CORRIE</t>
  </si>
  <si>
    <t>440 DUNHAM AVENUE</t>
  </si>
  <si>
    <t>MT VERNON</t>
  </si>
  <si>
    <t>10553-0000</t>
  </si>
  <si>
    <t>O60000006801</t>
  </si>
  <si>
    <t>K600000035</t>
  </si>
  <si>
    <t>K60000003301</t>
  </si>
  <si>
    <t>C400000009</t>
  </si>
  <si>
    <t>DIXON KENNETH MITCHELL</t>
  </si>
  <si>
    <t>153 PINO ROAD</t>
  </si>
  <si>
    <t>27028-4918</t>
  </si>
  <si>
    <t>H600000055</t>
  </si>
  <si>
    <t>HEGE DAVID LYNN</t>
  </si>
  <si>
    <t>PO BOX 1223</t>
  </si>
  <si>
    <t>27028-1223</t>
  </si>
  <si>
    <t>L600000001</t>
  </si>
  <si>
    <t>MCABEE CHARLES L</t>
  </si>
  <si>
    <t>MCABEE JANICE C</t>
  </si>
  <si>
    <t>294 WILLBOONE ROAD</t>
  </si>
  <si>
    <t>27028-5482</t>
  </si>
  <si>
    <t>M4010A0013</t>
  </si>
  <si>
    <t>SPILLMAN CLARENCE</t>
  </si>
  <si>
    <t>M4010A0011</t>
  </si>
  <si>
    <t>M40000001018</t>
  </si>
  <si>
    <t>SPILLMAN CLARENCE L</t>
  </si>
  <si>
    <t>I1110B0009</t>
  </si>
  <si>
    <t>E20000001507</t>
  </si>
  <si>
    <t>SHOFFNER CONNIE DALE</t>
  </si>
  <si>
    <t>148 BUCKINGHAM LANE</t>
  </si>
  <si>
    <t>27028-5658</t>
  </si>
  <si>
    <t>I5060C0001</t>
  </si>
  <si>
    <t>D8080A000201A</t>
  </si>
  <si>
    <t>J AND B OF DAVIE LLC</t>
  </si>
  <si>
    <t>158 MCCASHIN LANE</t>
  </si>
  <si>
    <t>C400000042</t>
  </si>
  <si>
    <t>I5040A0020</t>
  </si>
  <si>
    <t>PHILLIPS PATRICIA E</t>
  </si>
  <si>
    <t>340 ROLLING HILLS LANE</t>
  </si>
  <si>
    <t>27028-2851</t>
  </si>
  <si>
    <t>H5200A0003</t>
  </si>
  <si>
    <t>WISHON &amp; CARTER BUILDERS INC</t>
  </si>
  <si>
    <t>PO BOX 1719</t>
  </si>
  <si>
    <t>27055-1719</t>
  </si>
  <si>
    <t>F4010A0020</t>
  </si>
  <si>
    <t>O60000003202</t>
  </si>
  <si>
    <t>HORTON JEREMY GENE</t>
  </si>
  <si>
    <t>HORTON NIKKI R</t>
  </si>
  <si>
    <t>4106 HWY 601 SOUTH</t>
  </si>
  <si>
    <t>C400000055</t>
  </si>
  <si>
    <t>E7150A0002</t>
  </si>
  <si>
    <t>ROBERSON LARRY C</t>
  </si>
  <si>
    <t>ROBERSON EMILY R</t>
  </si>
  <si>
    <t>133 LIVE OAK</t>
  </si>
  <si>
    <t>O60000003401</t>
  </si>
  <si>
    <t>SMITH WILLIAM MATTHEW</t>
  </si>
  <si>
    <t>249 MOHEGAN TRAIL</t>
  </si>
  <si>
    <t>O60000003403</t>
  </si>
  <si>
    <t>KINCAID WILMA J</t>
  </si>
  <si>
    <t>505 GOLD HILL DRIVE</t>
  </si>
  <si>
    <t>O60000003405</t>
  </si>
  <si>
    <t>BURGESS DENEIL ROBBINS</t>
  </si>
  <si>
    <t>4240 US HIGHWAY 601 SOUTH</t>
  </si>
  <si>
    <t>27028-6926</t>
  </si>
  <si>
    <t>O60000003512</t>
  </si>
  <si>
    <t>D8020A0026</t>
  </si>
  <si>
    <t>SEARS ROBIN LYNN</t>
  </si>
  <si>
    <t>200 BERMUDA RUN DRIVE</t>
  </si>
  <si>
    <t>E9150B0107</t>
  </si>
  <si>
    <t>ALLMAN C EDWIN III</t>
  </si>
  <si>
    <t>ALLMAN DEBRA CRAIG</t>
  </si>
  <si>
    <t>347 ORCHARD PARK DRIVE</t>
  </si>
  <si>
    <t>M50000001602</t>
  </si>
  <si>
    <t>SPILLMAN DEBORAH ANDERSON</t>
  </si>
  <si>
    <t>27014-0738</t>
  </si>
  <si>
    <t>F3130A0013</t>
  </si>
  <si>
    <t>BYERLY FRANKIE STEVEN</t>
  </si>
  <si>
    <t>208 PEPPERSTONE DRIVE</t>
  </si>
  <si>
    <t>E700000154</t>
  </si>
  <si>
    <t>WILLIAMS JAMES RAY</t>
  </si>
  <si>
    <t>274 GUN CLUB ROAD</t>
  </si>
  <si>
    <t>C700000042</t>
  </si>
  <si>
    <t>MELTON LINDA W</t>
  </si>
  <si>
    <t>MELTON JIMMY R</t>
  </si>
  <si>
    <t>D8100C0016</t>
  </si>
  <si>
    <t>PILCHER JONATHAN EDWARD</t>
  </si>
  <si>
    <t>M4010A0006</t>
  </si>
  <si>
    <t>I70000006002</t>
  </si>
  <si>
    <t>WALSER JONATHAN P</t>
  </si>
  <si>
    <t>164 MOHAWK LANE</t>
  </si>
  <si>
    <t>B700000010</t>
  </si>
  <si>
    <t>CARTER MARTIN CRAIG</t>
  </si>
  <si>
    <t>C400000051</t>
  </si>
  <si>
    <t>B400000031</t>
  </si>
  <si>
    <t>E8150A0019</t>
  </si>
  <si>
    <t>HOLDER LUTHER FRANKLIN</t>
  </si>
  <si>
    <t>HOLDER JANE C</t>
  </si>
  <si>
    <t>D9050C0044</t>
  </si>
  <si>
    <t>POPE RICHARD E</t>
  </si>
  <si>
    <t>POPE CAROLYN M</t>
  </si>
  <si>
    <t>2307 BERMUDA VILLAGE DRIVE</t>
  </si>
  <si>
    <t>E70000005705</t>
  </si>
  <si>
    <t>SHEETS CHARLES W</t>
  </si>
  <si>
    <t>632 JUNIE BEAUCHAMP ROAD</t>
  </si>
  <si>
    <t>C500000054</t>
  </si>
  <si>
    <t>BROCK B CARROLL</t>
  </si>
  <si>
    <t>2199 FARMINGTON ROAD</t>
  </si>
  <si>
    <t>K60000001703</t>
  </si>
  <si>
    <t>CARTER JAMES H JR</t>
  </si>
  <si>
    <t>E900000488</t>
  </si>
  <si>
    <t>COX JOAN P</t>
  </si>
  <si>
    <t>121 NORTH MILLBROOKE COURT</t>
  </si>
  <si>
    <t>C300000042</t>
  </si>
  <si>
    <t>ELLIS RACHEL ANN</t>
  </si>
  <si>
    <t>I4110A000201</t>
  </si>
  <si>
    <t>H4130A0115</t>
  </si>
  <si>
    <t>SOUSA JENNIFER</t>
  </si>
  <si>
    <t>211 SUMMIT DRIVE</t>
  </si>
  <si>
    <t>J5010C0031</t>
  </si>
  <si>
    <t>BLANCO LOUIS A</t>
  </si>
  <si>
    <t>176 MCDANIEL ROAD</t>
  </si>
  <si>
    <t>J5170A0027</t>
  </si>
  <si>
    <t>SOFTYE PAULA</t>
  </si>
  <si>
    <t>MEYER JEFFERY T</t>
  </si>
  <si>
    <t>I4110A0002</t>
  </si>
  <si>
    <t>C60000000205</t>
  </si>
  <si>
    <t>1893 NC HIGHWAY 801 NORTH</t>
  </si>
  <si>
    <t>27028-7732</t>
  </si>
  <si>
    <t>N5010B0036</t>
  </si>
  <si>
    <t>COOLEEMEE HISTORICAL ASSOCIATI</t>
  </si>
  <si>
    <t>P O BOX 667</t>
  </si>
  <si>
    <t>L40000004110</t>
  </si>
  <si>
    <t>WILLIS DENNIS M</t>
  </si>
  <si>
    <t>WILLIS JULIE R</t>
  </si>
  <si>
    <t>956 DANIEL RD</t>
  </si>
  <si>
    <t>F60000005309</t>
  </si>
  <si>
    <t>WEDDLE EWELL H</t>
  </si>
  <si>
    <t>WEDDLE PATRICIA R</t>
  </si>
  <si>
    <t>148 ROBERT AUSTIN TRAIL</t>
  </si>
  <si>
    <t>H800000038</t>
  </si>
  <si>
    <t>SINGLETON MICHAEL LEE ETAL</t>
  </si>
  <si>
    <t>2927 US HWY 801 S</t>
  </si>
  <si>
    <t>E8110A0004</t>
  </si>
  <si>
    <t>BOGGS HOWARD L</t>
  </si>
  <si>
    <t>BOGGS JANICE S</t>
  </si>
  <si>
    <t>155 WESTRIDGE ROAD</t>
  </si>
  <si>
    <t>L5090B0017</t>
  </si>
  <si>
    <t>FOSTER DERRICK E ETAL</t>
  </si>
  <si>
    <t>FOSTER JESSICA ANN</t>
  </si>
  <si>
    <t>411 GLADSTONE ROAD</t>
  </si>
  <si>
    <t>I5090C0002</t>
  </si>
  <si>
    <t>JEWELL PAMELA G</t>
  </si>
  <si>
    <t>BYERLY CATHY U</t>
  </si>
  <si>
    <t>354 SPRING STREET</t>
  </si>
  <si>
    <t>D8070C0013</t>
  </si>
  <si>
    <t>WOODY STEVE L</t>
  </si>
  <si>
    <t>WOODY HEATHER S</t>
  </si>
  <si>
    <t>1117 RIVERBEND DRIVE</t>
  </si>
  <si>
    <t>D8080D0024</t>
  </si>
  <si>
    <t>JONES STANLEY G</t>
  </si>
  <si>
    <t>RABORN-JONES DANA K</t>
  </si>
  <si>
    <t>899 RIVERBEND DRIVE</t>
  </si>
  <si>
    <t>E900000475</t>
  </si>
  <si>
    <t>DWIGGINS WILLIAM LEE JR</t>
  </si>
  <si>
    <t>DWIGGINS JENNIFER O'DONNELL</t>
  </si>
  <si>
    <t>184 N HIDDENBROOKE DR</t>
  </si>
  <si>
    <t>G8130B0007</t>
  </si>
  <si>
    <t>NELSON SEAN C</t>
  </si>
  <si>
    <t>NELSON STEPHANIE S</t>
  </si>
  <si>
    <t>151 SAM COPE ROAD</t>
  </si>
  <si>
    <t>K5150A000502</t>
  </si>
  <si>
    <t>CHATHAM RICHARD W</t>
  </si>
  <si>
    <t>CHATHAM PEGGY K</t>
  </si>
  <si>
    <t>3610 EDGEWOOD DRIVE</t>
  </si>
  <si>
    <t>C8010A0414</t>
  </si>
  <si>
    <t>RICHTER JON M</t>
  </si>
  <si>
    <t>RICHTER JANA KAISER</t>
  </si>
  <si>
    <t>212 PARKVIEW LANE</t>
  </si>
  <si>
    <t>H4130A0059</t>
  </si>
  <si>
    <t>MURPHY DAVID W</t>
  </si>
  <si>
    <t>MURPHY BRIDGET N</t>
  </si>
  <si>
    <t>140 SUMMIT DRIVE</t>
  </si>
  <si>
    <t>J4040A0008</t>
  </si>
  <si>
    <t>LEE ROGER BRIAN</t>
  </si>
  <si>
    <t>LEE JENNIFER ANNETTE</t>
  </si>
  <si>
    <t>355 PARK AVENUE</t>
  </si>
  <si>
    <t>I5160A0049</t>
  </si>
  <si>
    <t>MARKLIN JOHNNY</t>
  </si>
  <si>
    <t>848 SOUTH MAIN ST</t>
  </si>
  <si>
    <t>K5090A0028</t>
  </si>
  <si>
    <t>MORRISON JANICE RUTH</t>
  </si>
  <si>
    <t>190 LAKEWOOD DRIVE</t>
  </si>
  <si>
    <t>N5010C0019</t>
  </si>
  <si>
    <t>UNITED RESIDENTIAL PROP LLC</t>
  </si>
  <si>
    <t>P O BOX 368</t>
  </si>
  <si>
    <t>27013-0000</t>
  </si>
  <si>
    <t>I5120A0013</t>
  </si>
  <si>
    <t>ROCHA BRAULIO</t>
  </si>
  <si>
    <t>ROCHA GLORIA</t>
  </si>
  <si>
    <t>152 BLUE BONNET CT</t>
  </si>
  <si>
    <t>G200000043</t>
  </si>
  <si>
    <t>B200000005</t>
  </si>
  <si>
    <t>MOORE MARVIN J</t>
  </si>
  <si>
    <t>MOORE ELAINE M</t>
  </si>
  <si>
    <t>219 REAVIS ROAD</t>
  </si>
  <si>
    <t>E9150B0023</t>
  </si>
  <si>
    <t>HARLOW GRIFFITH E</t>
  </si>
  <si>
    <t>HARLOW MARY E</t>
  </si>
  <si>
    <t>142 ORCHARD PARK DRIVE</t>
  </si>
  <si>
    <t>E8160A0040</t>
  </si>
  <si>
    <t>ALLISON JESSE T</t>
  </si>
  <si>
    <t>ALLISON LISA W</t>
  </si>
  <si>
    <t>117 MEADOW BROOK CT</t>
  </si>
  <si>
    <t>I5060C0025</t>
  </si>
  <si>
    <t>MABE JASON M</t>
  </si>
  <si>
    <t>MABE ASHLEY N</t>
  </si>
  <si>
    <t>41 WRIGHT LANE</t>
  </si>
  <si>
    <t>J5170A0008</t>
  </si>
  <si>
    <t>MOORE CLYDE EARL JR</t>
  </si>
  <si>
    <t>MOORE NANETTE MURRAY</t>
  </si>
  <si>
    <t>165 ELBERON COURT</t>
  </si>
  <si>
    <t>G9100A0002</t>
  </si>
  <si>
    <t>PATTON MICHAEL T</t>
  </si>
  <si>
    <t>PATTON CATHERINE B</t>
  </si>
  <si>
    <t>127 SOUTHERN MAGNOLIA DR</t>
  </si>
  <si>
    <t>I5030A0047</t>
  </si>
  <si>
    <t>CLUBB HOPE H</t>
  </si>
  <si>
    <t>106 COVENANT COVE DRIVE</t>
  </si>
  <si>
    <t>I5090B0014</t>
  </si>
  <si>
    <t>HUDNOR MARTHA KATHERINE</t>
  </si>
  <si>
    <t>111 PARK PLACE CT</t>
  </si>
  <si>
    <t>D7020A0013</t>
  </si>
  <si>
    <t>WALKER JUSTIN</t>
  </si>
  <si>
    <t>WALKER HOLLY</t>
  </si>
  <si>
    <t>199 BRENTWOOD DRIVE</t>
  </si>
  <si>
    <t>C600000043</t>
  </si>
  <si>
    <t>CORRIHER RAYMOND LESTER ETAL</t>
  </si>
  <si>
    <t>REYNOLDS JUNE C TRUSTEE</t>
  </si>
  <si>
    <t>154 DENSMORE STREET</t>
  </si>
  <si>
    <t>I200000031</t>
  </si>
  <si>
    <t>REID STEVEN L</t>
  </si>
  <si>
    <t>318 AUBURNDALE ST</t>
  </si>
  <si>
    <t>C8010A0105</t>
  </si>
  <si>
    <t>THORNTON JENNIFER WARREN</t>
  </si>
  <si>
    <t>141 BROOKSTONE DRIVE</t>
  </si>
  <si>
    <t>D3010A0034</t>
  </si>
  <si>
    <t>DAVIS PHILLIP W</t>
  </si>
  <si>
    <t>DAVIS CHRISTINE SWEET</t>
  </si>
  <si>
    <t>132 LANDIS CT</t>
  </si>
  <si>
    <t>E900000132</t>
  </si>
  <si>
    <t>HORAN TIMOTHY JOSEPH</t>
  </si>
  <si>
    <t>HORAN VANESSA KATHLEEN</t>
  </si>
  <si>
    <t>285 KINGSMILL DRIVE</t>
  </si>
  <si>
    <t>G8130B000705</t>
  </si>
  <si>
    <t>E900000377</t>
  </si>
  <si>
    <t>MCAULEY PAUL A</t>
  </si>
  <si>
    <t>MCAULEY SYLVIA P</t>
  </si>
  <si>
    <t>116 N WILDCAT RUN COURT</t>
  </si>
  <si>
    <t>E20000002201</t>
  </si>
  <si>
    <t>BOVEE OWEN L JR</t>
  </si>
  <si>
    <t>BOVEE STACY A</t>
  </si>
  <si>
    <t>1061 DUKE WHITTAKER ROAD</t>
  </si>
  <si>
    <t>M5030A0017</t>
  </si>
  <si>
    <t>YADKIN VALLEY ECONOMIC DEV DIS</t>
  </si>
  <si>
    <t>P O BOX 309</t>
  </si>
  <si>
    <t>BOONVILLE</t>
  </si>
  <si>
    <t>27011-0000</t>
  </si>
  <si>
    <t>L400000059</t>
  </si>
  <si>
    <t>GRANADERO LUIS</t>
  </si>
  <si>
    <t>GRANADERO ANTONIA</t>
  </si>
  <si>
    <t>138 EMERALD LN</t>
  </si>
  <si>
    <t>I5120A0010</t>
  </si>
  <si>
    <t>VARGAS HIPOLITO</t>
  </si>
  <si>
    <t>171 BLUE BONNETT COURT</t>
  </si>
  <si>
    <t>G3050B0002</t>
  </si>
  <si>
    <t>HAAS JIM TRUSTEE</t>
  </si>
  <si>
    <t>K300000003</t>
  </si>
  <si>
    <t>SEAFORD PENNY D</t>
  </si>
  <si>
    <t>D7010A0005</t>
  </si>
  <si>
    <t>LYNCH TRACY D</t>
  </si>
  <si>
    <t>LYNCH TIFFANY M</t>
  </si>
  <si>
    <t>161 LITTLE JOHN DRIVE</t>
  </si>
  <si>
    <t>G800000221</t>
  </si>
  <si>
    <t>MUETZEL RICHARD M ETAL</t>
  </si>
  <si>
    <t>DURHAM BRIAN S</t>
  </si>
  <si>
    <t>369 RABBIT FARM TRAIL</t>
  </si>
  <si>
    <t>D3010A0020</t>
  </si>
  <si>
    <t>KING PATRICIA HARRIS</t>
  </si>
  <si>
    <t>118 HIGHLAND ROAD</t>
  </si>
  <si>
    <t>G3050B0004</t>
  </si>
  <si>
    <t>G3050B0003</t>
  </si>
  <si>
    <t>K5100A0006</t>
  </si>
  <si>
    <t>SMITH JOHNATHAN L</t>
  </si>
  <si>
    <t>273 DEADMON ROAD</t>
  </si>
  <si>
    <t>E200000047</t>
  </si>
  <si>
    <t>GROCE MONICA P</t>
  </si>
  <si>
    <t>GROCE BRIAN</t>
  </si>
  <si>
    <t>760 DUKE WHITAKER ROAD</t>
  </si>
  <si>
    <t>K5160A000502</t>
  </si>
  <si>
    <t>WARD VIVIAN MICHAEL</t>
  </si>
  <si>
    <t>K5160A000204</t>
  </si>
  <si>
    <t>K5160A0004</t>
  </si>
  <si>
    <t>I100000048</t>
  </si>
  <si>
    <t>LEWIS SHIRLEY P</t>
  </si>
  <si>
    <t>LEWIS BOBBY RAY</t>
  </si>
  <si>
    <t>294 STROUND MILL ROAD</t>
  </si>
  <si>
    <t>I80000006504</t>
  </si>
  <si>
    <t>T &amp; M FARMS</t>
  </si>
  <si>
    <t>2927 NC HWY 801 SOUTH</t>
  </si>
  <si>
    <t>H4130A0126</t>
  </si>
  <si>
    <t>GREEN JOSHUA LEE</t>
  </si>
  <si>
    <t>GREEN TONYA GROCE</t>
  </si>
  <si>
    <t>118 GUMTREE COURT</t>
  </si>
  <si>
    <t>27028-7275</t>
  </si>
  <si>
    <t>K600000017</t>
  </si>
  <si>
    <t>K60000001701</t>
  </si>
  <si>
    <t>L5090A0012  A</t>
  </si>
  <si>
    <t>DENTON LINDA SPRY</t>
  </si>
  <si>
    <t>246 GLADSTONE ROAD</t>
  </si>
  <si>
    <t>E900000504</t>
  </si>
  <si>
    <t>STARKEY H WARNER</t>
  </si>
  <si>
    <t>STARKEY LAUREN V</t>
  </si>
  <si>
    <t>126 AUGUSTA COURT</t>
  </si>
  <si>
    <t>D8080A0005</t>
  </si>
  <si>
    <t>FIRST CITIZENS BANK &amp; TRUST CO</t>
  </si>
  <si>
    <t>P O BOX 27131</t>
  </si>
  <si>
    <t>27131-0000</t>
  </si>
  <si>
    <t>H8050A0001</t>
  </si>
  <si>
    <t>GANTT THERESA M</t>
  </si>
  <si>
    <t>110 SHADY GROVE LANE</t>
  </si>
  <si>
    <t>D7080A0044</t>
  </si>
  <si>
    <t>NUCKOLS CHRISTOPHER WAYNE</t>
  </si>
  <si>
    <t>NUCKOLS MELANIE LYNN</t>
  </si>
  <si>
    <t>317 LONGWOOD DRIVE</t>
  </si>
  <si>
    <t>H700000052</t>
  </si>
  <si>
    <t>CHAPLIN FAMILY LLC</t>
  </si>
  <si>
    <t>1781 CORNATZER ROAD</t>
  </si>
  <si>
    <t>H700000032</t>
  </si>
  <si>
    <t>C8010A0138</t>
  </si>
  <si>
    <t>MORGAN WILLIAM R</t>
  </si>
  <si>
    <t>MORGAN FAYE MILLER</t>
  </si>
  <si>
    <t>229 OLD TOWNE DRIVE</t>
  </si>
  <si>
    <t>D50000005601</t>
  </si>
  <si>
    <t>PATTON SHANNON UMBERGER</t>
  </si>
  <si>
    <t>PATTON CHRISTOPHER DAVID</t>
  </si>
  <si>
    <t>286 PUDDING RIDGE ROAD</t>
  </si>
  <si>
    <t>D7030A0016</t>
  </si>
  <si>
    <t>CZIPA JUDIT</t>
  </si>
  <si>
    <t>174 CHARLOTTE PLACE</t>
  </si>
  <si>
    <t>H8060A0054</t>
  </si>
  <si>
    <t>HARRIS CHRISTOPHER NEAL</t>
  </si>
  <si>
    <t>HARRIS JENNIFER CORNATZER</t>
  </si>
  <si>
    <t>191 COVINGTON DRIVE</t>
  </si>
  <si>
    <t>E9150B0155</t>
  </si>
  <si>
    <t>MARZANO ARTHUR P</t>
  </si>
  <si>
    <t>MARZANO BETTY A</t>
  </si>
  <si>
    <t>104 LINKS COURSE LANE</t>
  </si>
  <si>
    <t>I5120A0006</t>
  </si>
  <si>
    <t>ARNOLD SHERMAN N</t>
  </si>
  <si>
    <t>131 BLUE BONNETT COURT</t>
  </si>
  <si>
    <t>E8140A0011</t>
  </si>
  <si>
    <t>OLIVERI IGNAZUS P</t>
  </si>
  <si>
    <t>OLIVERI KATHLEEN</t>
  </si>
  <si>
    <t>251 COUNTRY CIRCLE</t>
  </si>
  <si>
    <t>D40000002001</t>
  </si>
  <si>
    <t>MCCASHIN JAMES SEAN</t>
  </si>
  <si>
    <t>D400000028</t>
  </si>
  <si>
    <t>J7080B0041</t>
  </si>
  <si>
    <t>SCHNEIDER JOHN T</t>
  </si>
  <si>
    <t>SCHNEIDER KIMBERLY D</t>
  </si>
  <si>
    <t>151 OAKSHIRE DRIVE</t>
  </si>
  <si>
    <t>G20000002802A</t>
  </si>
  <si>
    <t>KALISH DINA RAE</t>
  </si>
  <si>
    <t>133 COUNTESS LANE</t>
  </si>
  <si>
    <t>I5170C0023</t>
  </si>
  <si>
    <t>TOYES REGINA</t>
  </si>
  <si>
    <t>134 MILLWRIGHT COURT</t>
  </si>
  <si>
    <t>F10000000310</t>
  </si>
  <si>
    <t>BOGER JERRY L REVOCABLE TRUST</t>
  </si>
  <si>
    <t>BOGER SANDRA T REVOCABLE TRUST</t>
  </si>
  <si>
    <t>127 HARDY ROAD</t>
  </si>
  <si>
    <t>H4140A0016</t>
  </si>
  <si>
    <t>BARNEY THOMAS L</t>
  </si>
  <si>
    <t>BARNEY JENNIFER</t>
  </si>
  <si>
    <t>178 IVY LANE</t>
  </si>
  <si>
    <t>K30000000311</t>
  </si>
  <si>
    <t>I4130G0010</t>
  </si>
  <si>
    <t>ADDISON RYAN B</t>
  </si>
  <si>
    <t>ADDISON THERESA J</t>
  </si>
  <si>
    <t>120 CANYON ROAD</t>
  </si>
  <si>
    <t>H5170A0012</t>
  </si>
  <si>
    <t>K5160A0006</t>
  </si>
  <si>
    <t>K5160A0005</t>
  </si>
  <si>
    <t>H700000056</t>
  </si>
  <si>
    <t>ROBERTSON ELLA M</t>
  </si>
  <si>
    <t>1566 FORK BIXBY ROAD</t>
  </si>
  <si>
    <t>M4130A000801</t>
  </si>
  <si>
    <t>LEONARD DEBRA A</t>
  </si>
  <si>
    <t>2031 JUNCTION ROAD</t>
  </si>
  <si>
    <t>H30000004901</t>
  </si>
  <si>
    <t>LINNEY GEORGE GIRARD</t>
  </si>
  <si>
    <t>LINNEY BETTY GENE</t>
  </si>
  <si>
    <t>1902 FINLEY STREET</t>
  </si>
  <si>
    <t>H9080A0017</t>
  </si>
  <si>
    <t>KANE RONALD A</t>
  </si>
  <si>
    <t>KANE LILLIAN M</t>
  </si>
  <si>
    <t>198 FALLINGCREEK DRIVE</t>
  </si>
  <si>
    <t>I5090A0009</t>
  </si>
  <si>
    <t>HARDY VICTORIA ANN</t>
  </si>
  <si>
    <t>252 PARK AVENUE</t>
  </si>
  <si>
    <t>J50000000901</t>
  </si>
  <si>
    <t>SHEPPARD JUSTIN</t>
  </si>
  <si>
    <t>158 JOHN CROTTS ROAD</t>
  </si>
  <si>
    <t>H700000008</t>
  </si>
  <si>
    <t>H70000004603</t>
  </si>
  <si>
    <t>D20000001901</t>
  </si>
  <si>
    <t>EDWARDS HUBERT BENJAMIN</t>
  </si>
  <si>
    <t>PARDUE TERESA CAUDLE</t>
  </si>
  <si>
    <t>656 BEAR CREEK CHURCH RD</t>
  </si>
  <si>
    <t>J7010A0017</t>
  </si>
  <si>
    <t>TROTTER IRIS NABORS</t>
  </si>
  <si>
    <t>136 HICKORY TREE ROAD</t>
  </si>
  <si>
    <t>E900000477</t>
  </si>
  <si>
    <t>HIRATA JENNIFER B</t>
  </si>
  <si>
    <t>HIRATA TAKASHI</t>
  </si>
  <si>
    <t>198 N HIDDENBROOKE DRIVE</t>
  </si>
  <si>
    <t>C30000000303</t>
  </si>
  <si>
    <t>HENDRIX JOSHUA RAY</t>
  </si>
  <si>
    <t>HENDRIX KAREN MARLOWE</t>
  </si>
  <si>
    <t>622 CHILDRENS HOME ROAD</t>
  </si>
  <si>
    <t>F3130A0023</t>
  </si>
  <si>
    <t>MILLER CLINTON M</t>
  </si>
  <si>
    <t>MILLER DEBORAH EDWARDS</t>
  </si>
  <si>
    <t>281 PEPPERSTONE DRIVE</t>
  </si>
  <si>
    <t>I5050B0035</t>
  </si>
  <si>
    <t>FLORES GLADIS M</t>
  </si>
  <si>
    <t>164 HEATHER COURT</t>
  </si>
  <si>
    <t>G70000004005</t>
  </si>
  <si>
    <t>HOLDER ELIZABETH JANE C</t>
  </si>
  <si>
    <t>G700000045</t>
  </si>
  <si>
    <t>F800000066</t>
  </si>
  <si>
    <t>K700000001</t>
  </si>
  <si>
    <t>TEAGUE JEFFREY ALLEN</t>
  </si>
  <si>
    <t>415 JOE ROAD</t>
  </si>
  <si>
    <t>B60000002505</t>
  </si>
  <si>
    <t>SMITH ACHAN WAYNE</t>
  </si>
  <si>
    <t>SMITH CANDIE MILLER</t>
  </si>
  <si>
    <t>626 SPARKS ROAD</t>
  </si>
  <si>
    <t>N500000086</t>
  </si>
  <si>
    <t>PARKMAN PETER K</t>
  </si>
  <si>
    <t>527 PINE RIDGE ROAD</t>
  </si>
  <si>
    <t>K3050A0006</t>
  </si>
  <si>
    <t>BUSSELL BRYAN M</t>
  </si>
  <si>
    <t>BUSSELL SUZANNE L</t>
  </si>
  <si>
    <t>161 JUNCTION ROAD</t>
  </si>
  <si>
    <t>J70000005906</t>
  </si>
  <si>
    <t>MARSHALL BRUCE EDWARD</t>
  </si>
  <si>
    <t>MARSHALL JAYNE LYNN</t>
  </si>
  <si>
    <t>354 MERRELLS LAKE ROAD</t>
  </si>
  <si>
    <t>E900000136</t>
  </si>
  <si>
    <t>CANOSA MARSHALL ANTHONY</t>
  </si>
  <si>
    <t>CANOSA KATI CREEL</t>
  </si>
  <si>
    <t>363 KINGSMILL ROAD</t>
  </si>
  <si>
    <t>J200000046</t>
  </si>
  <si>
    <t>HERNANDEZ ALICIA PENA ORTIZ</t>
  </si>
  <si>
    <t>MARTINEZ ADAN HERNANDEZ</t>
  </si>
  <si>
    <t>348 SHADY KNOLL ROAD</t>
  </si>
  <si>
    <t>F10000000308</t>
  </si>
  <si>
    <t>J5170A0029</t>
  </si>
  <si>
    <t>WINDSOR WILLIAM D</t>
  </si>
  <si>
    <t>WINDSOR CHERYL S</t>
  </si>
  <si>
    <t>109 MARBROOK DRIVE</t>
  </si>
  <si>
    <t>E7150A0001</t>
  </si>
  <si>
    <t>BURCHETTE JOSEPH P</t>
  </si>
  <si>
    <t>TUTTEROW ELIZABETH ASHLEY</t>
  </si>
  <si>
    <t>115 LIVE OAKS ROAD</t>
  </si>
  <si>
    <t>D30000001101</t>
  </si>
  <si>
    <t>MCBRIDE KIMBERLY D</t>
  </si>
  <si>
    <t>155 MCBRIDE LANE</t>
  </si>
  <si>
    <t>C8010A0405</t>
  </si>
  <si>
    <t>GREER SENDRA D</t>
  </si>
  <si>
    <t>181 PARKVIEW LANE</t>
  </si>
  <si>
    <t>H600000043</t>
  </si>
  <si>
    <t>CAMPBELL SALLY</t>
  </si>
  <si>
    <t>132 SNOW HILL DRIVE</t>
  </si>
  <si>
    <t>D30000000302</t>
  </si>
  <si>
    <t>SPEER ERVIN S</t>
  </si>
  <si>
    <t>SPEER DAWN B</t>
  </si>
  <si>
    <t>1957 SHANNON RD</t>
  </si>
  <si>
    <t>NAVARRE</t>
  </si>
  <si>
    <t>32566-0000</t>
  </si>
  <si>
    <t>C8010A0108</t>
  </si>
  <si>
    <t>WARREN MICHELLE A</t>
  </si>
  <si>
    <t>163 BROOKSTONE DRIVE</t>
  </si>
  <si>
    <t>D500000023</t>
  </si>
  <si>
    <t>BLAKE AMBER NICOLE</t>
  </si>
  <si>
    <t>F900000032</t>
  </si>
  <si>
    <t>CONLEY J MAUREEN</t>
  </si>
  <si>
    <t>118 VOGLER ROAD</t>
  </si>
  <si>
    <t>F60000011208</t>
  </si>
  <si>
    <t>IBRAHIM NORA M</t>
  </si>
  <si>
    <t>444 HOWARDTOWN CIRCLE</t>
  </si>
  <si>
    <t>G9090B0072</t>
  </si>
  <si>
    <t>FERGUSON JAMES S</t>
  </si>
  <si>
    <t>FERGUSON BOBBIE S</t>
  </si>
  <si>
    <t>122 OAK HILL ROAD</t>
  </si>
  <si>
    <t>E900000157</t>
  </si>
  <si>
    <t>BLEVINS RHONDA P</t>
  </si>
  <si>
    <t>157 LONETREE DRIVE</t>
  </si>
  <si>
    <t>I5050C0026</t>
  </si>
  <si>
    <t>MORALES IRIS</t>
  </si>
  <si>
    <t>PACHECO MORIS MORALES</t>
  </si>
  <si>
    <t>116 FOXDALE COURT</t>
  </si>
  <si>
    <t>E200000015</t>
  </si>
  <si>
    <t>SHOFFNER SCOTTY RM</t>
  </si>
  <si>
    <t>I5010B0002</t>
  </si>
  <si>
    <t>SUMMERS THOMAS H</t>
  </si>
  <si>
    <t>1439 PACIFIC STREET</t>
  </si>
  <si>
    <t>BROOKLYN</t>
  </si>
  <si>
    <t>11216-3204</t>
  </si>
  <si>
    <t>E20000001505</t>
  </si>
  <si>
    <t>H7030A0041</t>
  </si>
  <si>
    <t>PERRY CHRISTOPHER RYAN</t>
  </si>
  <si>
    <t>PERRY BRITTANY</t>
  </si>
  <si>
    <t>144 BRIER CREEK ROAD</t>
  </si>
  <si>
    <t>F600000044</t>
  </si>
  <si>
    <t>COUNCIL JASON O</t>
  </si>
  <si>
    <t>COUNCIL TANYA J</t>
  </si>
  <si>
    <t>148 PINEBROOK SCHOOL ROAD</t>
  </si>
  <si>
    <t>H700000049</t>
  </si>
  <si>
    <t>H70000004602</t>
  </si>
  <si>
    <t>B60000002506</t>
  </si>
  <si>
    <t>E50000001802</t>
  </si>
  <si>
    <t>THOMPSON DONNA M</t>
  </si>
  <si>
    <t>951 FARMINGTON ROAD</t>
  </si>
  <si>
    <t>J70000005905</t>
  </si>
  <si>
    <t>J20000004602</t>
  </si>
  <si>
    <t>J5170A0015</t>
  </si>
  <si>
    <t>TOLAR GALEN BROOKS</t>
  </si>
  <si>
    <t>TOLAR ASHLEY</t>
  </si>
  <si>
    <t>150 MARBROOK DRIVE</t>
  </si>
  <si>
    <t>D70000003903</t>
  </si>
  <si>
    <t>LONG FRANK JR</t>
  </si>
  <si>
    <t>LONG ANN K</t>
  </si>
  <si>
    <t>375 DOUB ROAD</t>
  </si>
  <si>
    <t>H5160A0033</t>
  </si>
  <si>
    <t>LIM ZEMBOWER MELINDA M</t>
  </si>
  <si>
    <t>ZEMBOWER DENNIS E</t>
  </si>
  <si>
    <t>195 W KNOLL BROOK DR</t>
  </si>
  <si>
    <t>E900000609</t>
  </si>
  <si>
    <t>TESH ROBERT W</t>
  </si>
  <si>
    <t>TESH MANCHEL L</t>
  </si>
  <si>
    <t>111 WEST EDEN COURSE DR</t>
  </si>
  <si>
    <t>E800000014</t>
  </si>
  <si>
    <t>CORNATZER BETTY H</t>
  </si>
  <si>
    <t>G20000002902</t>
  </si>
  <si>
    <t>GOBBLE CHRISTOPHER SCOTT</t>
  </si>
  <si>
    <t>I5020A0012</t>
  </si>
  <si>
    <t>BROWN DONIEL K</t>
  </si>
  <si>
    <t>BROWN MARC W</t>
  </si>
  <si>
    <t>136 CROWE ST</t>
  </si>
  <si>
    <t>E700000082</t>
  </si>
  <si>
    <t>ARMSWORTHY JERRY E TRUSTEE</t>
  </si>
  <si>
    <t>ARMSWORTHY BARBARA JOAN SPRY T</t>
  </si>
  <si>
    <t>4512 US HWY 158</t>
  </si>
  <si>
    <t>E700000084</t>
  </si>
  <si>
    <t>E700000081</t>
  </si>
  <si>
    <t>I5030A0004</t>
  </si>
  <si>
    <t>SMITH BRENDEN L</t>
  </si>
  <si>
    <t>111 CYPRUS COVE DRIVE</t>
  </si>
  <si>
    <t>E9150B0010</t>
  </si>
  <si>
    <t>MATHIS CHRISTA N</t>
  </si>
  <si>
    <t>103 CEDAR LANE</t>
  </si>
  <si>
    <t>M5020A0022</t>
  </si>
  <si>
    <t>STEPHENSON MARY NOBLE</t>
  </si>
  <si>
    <t>381 MICHAELS ROAD</t>
  </si>
  <si>
    <t>E50000000401</t>
  </si>
  <si>
    <t>GARDNER MICHAEL W</t>
  </si>
  <si>
    <t>GARDNER JOYCE M</t>
  </si>
  <si>
    <t>110 STONE MEADOWS LANE</t>
  </si>
  <si>
    <t>I500000048</t>
  </si>
  <si>
    <t>FLOYD KENNETH MARK</t>
  </si>
  <si>
    <t>143 PETE FOSTER ROAD</t>
  </si>
  <si>
    <t>F400000058</t>
  </si>
  <si>
    <t>LABELL MARY POPE</t>
  </si>
  <si>
    <t>LABELL JEFFREY A</t>
  </si>
  <si>
    <t>1284 ANGELL ROAD</t>
  </si>
  <si>
    <t>B400000022</t>
  </si>
  <si>
    <t>MILLER ALAN SCOTT</t>
  </si>
  <si>
    <t>322 BRUSHY MOUNTAIN TRAIL</t>
  </si>
  <si>
    <t>K5120A0001</t>
  </si>
  <si>
    <t>GORDY ANGELA W</t>
  </si>
  <si>
    <t>GORDY HARRY T</t>
  </si>
  <si>
    <t>772 WILL BOONE ROAD</t>
  </si>
  <si>
    <t>E500000038</t>
  </si>
  <si>
    <t>BOGER JOHN C</t>
  </si>
  <si>
    <t>BOGER PAMELA C</t>
  </si>
  <si>
    <t>113 ARBOR HILL AVE</t>
  </si>
  <si>
    <t>I5020B002201</t>
  </si>
  <si>
    <t>PURKEY CHRISTINE M</t>
  </si>
  <si>
    <t>PURKEY JOHNIE</t>
  </si>
  <si>
    <t>139 CROWE ST</t>
  </si>
  <si>
    <t>D30000003101</t>
  </si>
  <si>
    <t>WEAVER JANET HEDGECOCK</t>
  </si>
  <si>
    <t>HEDGECOCK JAMES DWIGHT</t>
  </si>
  <si>
    <t>5946 HEDGECOCK ROAD</t>
  </si>
  <si>
    <t>I5050A0042</t>
  </si>
  <si>
    <t>LEMUS MARINA</t>
  </si>
  <si>
    <t>116 META BREEZE LANE</t>
  </si>
  <si>
    <t>G80000000105</t>
  </si>
  <si>
    <t>COLLINS DOUGLAS A</t>
  </si>
  <si>
    <t>MILLS JENNIFER J</t>
  </si>
  <si>
    <t>P O BOX 2231</t>
  </si>
  <si>
    <t>L500000080</t>
  </si>
  <si>
    <t>PRICE RICHARD</t>
  </si>
  <si>
    <t>PRICE KENNITA</t>
  </si>
  <si>
    <t>6733 NC HWY 801 S</t>
  </si>
  <si>
    <t>C8010A0264</t>
  </si>
  <si>
    <t>RIVAS YONELI ANTONIO</t>
  </si>
  <si>
    <t>YAURIVILCA JUANA ROCIO</t>
  </si>
  <si>
    <t>123 NORTH FIELD DRIVE</t>
  </si>
  <si>
    <t>J20000003505</t>
  </si>
  <si>
    <t>HERNANDEZ ADAN</t>
  </si>
  <si>
    <t>HERNANDEZ ALICIA</t>
  </si>
  <si>
    <t>348 SHADY KNOLL LANE</t>
  </si>
  <si>
    <t>G20000004504</t>
  </si>
  <si>
    <t>LEWIS MELVIN</t>
  </si>
  <si>
    <t>591 SHEFFIELD ROAD</t>
  </si>
  <si>
    <t>I5160C0008</t>
  </si>
  <si>
    <t>CALLAWAY RAYMOND A</t>
  </si>
  <si>
    <t>154 CARTNER ST</t>
  </si>
  <si>
    <t>L5010B0006</t>
  </si>
  <si>
    <t>EHLERS MELISSA A</t>
  </si>
  <si>
    <t>1930 HWY 601 SOUTH</t>
  </si>
  <si>
    <t>L5010B0007</t>
  </si>
  <si>
    <t>G9090D0007</t>
  </si>
  <si>
    <t>KULA WILLIAM E REV TRUST</t>
  </si>
  <si>
    <t>KULA SUSAN M REV TRUST</t>
  </si>
  <si>
    <t>187 PRIMROSE ROAD</t>
  </si>
  <si>
    <t>J5010D0048</t>
  </si>
  <si>
    <t>DOSS LISA ANN</t>
  </si>
  <si>
    <t>239 CHARLESTON RIDGE RD</t>
  </si>
  <si>
    <t>J4040F0013</t>
  </si>
  <si>
    <t>SIEMERS MICHAEL D</t>
  </si>
  <si>
    <t>400 SOUTH SALISBURY STREET</t>
  </si>
  <si>
    <t>B30000004802</t>
  </si>
  <si>
    <t>JOHNSON CHRISTOPHER A</t>
  </si>
  <si>
    <t>327 FOUR CORNERS ROAD</t>
  </si>
  <si>
    <t>E70000006102</t>
  </si>
  <si>
    <t>LANKFORD CHARLES C</t>
  </si>
  <si>
    <t>LANKFORD BETTY J</t>
  </si>
  <si>
    <t>388 JUNEY BEAUCHAMP ROAD</t>
  </si>
  <si>
    <t>C30000010801</t>
  </si>
  <si>
    <t>CHANDLER LESLIE ANNE</t>
  </si>
  <si>
    <t>250 DUTCHMANVIEW LANE</t>
  </si>
  <si>
    <t>I8110A0017</t>
  </si>
  <si>
    <t>HERNANDEZ ANDREA</t>
  </si>
  <si>
    <t>3164 NC HWY 801 SOUTH</t>
  </si>
  <si>
    <t>G9090B0014</t>
  </si>
  <si>
    <t>DIXSON PHILIP M</t>
  </si>
  <si>
    <t>DIXSON MANDY W</t>
  </si>
  <si>
    <t>157 OLD MARCH ROAD</t>
  </si>
  <si>
    <t>E8170A0703</t>
  </si>
  <si>
    <t>YEAGER ROBERT A</t>
  </si>
  <si>
    <t>YEAGER NANCY C</t>
  </si>
  <si>
    <t>171 LEGACY VILLAGE DRIVE</t>
  </si>
  <si>
    <t>F200000030</t>
  </si>
  <si>
    <t>BAILEY JASON DAVID</t>
  </si>
  <si>
    <t>BAILEY ASHLEY CLARK</t>
  </si>
  <si>
    <t>190 TALL TIMBERS DRIVE</t>
  </si>
  <si>
    <t>C400000068</t>
  </si>
  <si>
    <t>JONES VICTORIA LYNN</t>
  </si>
  <si>
    <t>284 DANCE HALL ROAD</t>
  </si>
  <si>
    <t>C400000067</t>
  </si>
  <si>
    <t>I1120B0018</t>
  </si>
  <si>
    <t>FENSTERMAKER JACKSON D</t>
  </si>
  <si>
    <t>FENSTERMAKER CHARLIENE L</t>
  </si>
  <si>
    <t>121 OAK LEF COURT</t>
  </si>
  <si>
    <t>N500000035</t>
  </si>
  <si>
    <t>704 PINE RIDGE ROAD</t>
  </si>
  <si>
    <t>J400000050</t>
  </si>
  <si>
    <t>CALLISON CHRIS A</t>
  </si>
  <si>
    <t>CALLISON LORI C</t>
  </si>
  <si>
    <t>1210 JERICHO CHURCH ROAD</t>
  </si>
  <si>
    <t>D9050B0034</t>
  </si>
  <si>
    <t>REGISTER BARBARA LOIS</t>
  </si>
  <si>
    <t>2128 BERMUDA VILLAGE DRIVE</t>
  </si>
  <si>
    <t>I40000006410</t>
  </si>
  <si>
    <t>CIRCLE K STORES INC</t>
  </si>
  <si>
    <t>PROPERTY TAX DEPARTMENT DC17</t>
  </si>
  <si>
    <t>PO BOX 52085</t>
  </si>
  <si>
    <t>PHOENIX</t>
  </si>
  <si>
    <t>AZ</t>
  </si>
  <si>
    <t>85072-0000</t>
  </si>
  <si>
    <t>I4110A000602</t>
  </si>
  <si>
    <t>CLG PROPERTIES, LLC</t>
  </si>
  <si>
    <t>2912 ELMGATE WAY</t>
  </si>
  <si>
    <t>I4110A0999</t>
  </si>
  <si>
    <t>E7140A0029</t>
  </si>
  <si>
    <t>CAO HUY LINH</t>
  </si>
  <si>
    <t>LE THI</t>
  </si>
  <si>
    <t>173 REDMEADOW DR</t>
  </si>
  <si>
    <t>E20000000304</t>
  </si>
  <si>
    <t>JENKINS BART</t>
  </si>
  <si>
    <t>JENKINS ANNETTE</t>
  </si>
  <si>
    <t>214 SALMONS ROAD</t>
  </si>
  <si>
    <t>E9150B0007</t>
  </si>
  <si>
    <t>COMPTON GAYLE BULL</t>
  </si>
  <si>
    <t>121 CEDAR LANE</t>
  </si>
  <si>
    <t>H4180A0007</t>
  </si>
  <si>
    <t>BURGIO JENNIFER ANN</t>
  </si>
  <si>
    <t>111 STERLING DRIVE</t>
  </si>
  <si>
    <t>D7030A0008</t>
  </si>
  <si>
    <t>SCHWENK KEITH A REVOCABLE TRUS</t>
  </si>
  <si>
    <t>SCHWENK CLARA L REVOCABLE TRUS</t>
  </si>
  <si>
    <t>172 BRENTWOOD DRIVE</t>
  </si>
  <si>
    <t>K70000005101</t>
  </si>
  <si>
    <t>FRIDAY CYNTHIA</t>
  </si>
  <si>
    <t>307 CEDAR GROVE CHURCH ROAD</t>
  </si>
  <si>
    <t>H10000000405</t>
  </si>
  <si>
    <t>GAITHER EDDIE F</t>
  </si>
  <si>
    <t>P O BOX 34</t>
  </si>
  <si>
    <t>H2050B0010</t>
  </si>
  <si>
    <t>BOWLES-SWICEGOOD COMMERCIAL PR</t>
  </si>
  <si>
    <t>SUITE 300</t>
  </si>
  <si>
    <t>J4050B0015</t>
  </si>
  <si>
    <t>PARKER MARGARET SANFORD</t>
  </si>
  <si>
    <t>515 S MAIN STREET</t>
  </si>
  <si>
    <t>I400000023</t>
  </si>
  <si>
    <t>SERFASS LONNIE</t>
  </si>
  <si>
    <t>222 BROOK DRIVE</t>
  </si>
  <si>
    <t>F40000001301</t>
  </si>
  <si>
    <t>158 MCCASHIN LN</t>
  </si>
  <si>
    <t>H700000013</t>
  </si>
  <si>
    <t>FOSTER MATTHEW H</t>
  </si>
  <si>
    <t>FOSTER CLAUDIA</t>
  </si>
  <si>
    <t>P.O. BOX 1574</t>
  </si>
  <si>
    <t>E5020A0002</t>
  </si>
  <si>
    <t>ATKINSON CHARLES R REV LIV TR</t>
  </si>
  <si>
    <t>ATKINSON ELIZABETH J REV LIV T</t>
  </si>
  <si>
    <t>272 CORNWALLIS DRIVE</t>
  </si>
  <si>
    <t>L500000028</t>
  </si>
  <si>
    <t>HAYES INVESTMENT PROP,LLP</t>
  </si>
  <si>
    <t>223 LIBERTY ROAD</t>
  </si>
  <si>
    <t>L50000002802</t>
  </si>
  <si>
    <t>K5030A0005</t>
  </si>
  <si>
    <t>KOLBASH RONALD L</t>
  </si>
  <si>
    <t>KOLBASH MARY M</t>
  </si>
  <si>
    <t>194 DEACON WAY</t>
  </si>
  <si>
    <t>C8010A0072</t>
  </si>
  <si>
    <t>HARPE BRANDON DEREK</t>
  </si>
  <si>
    <t>781 BALTIMORE ROAD</t>
  </si>
  <si>
    <t>H40000010304</t>
  </si>
  <si>
    <t>DAVIE PREGNANCY CARE CTR INC</t>
  </si>
  <si>
    <t>PO BOX 296</t>
  </si>
  <si>
    <t>J6100A0004</t>
  </si>
  <si>
    <t>FILZEN BRADFORD M</t>
  </si>
  <si>
    <t>FILZEN ELLEN R</t>
  </si>
  <si>
    <t>123 N LAKE LOUISE DRIVE</t>
  </si>
  <si>
    <t>E900000524</t>
  </si>
  <si>
    <t>BAILEY J DENNIS</t>
  </si>
  <si>
    <t>BAILEY LAURIE NEWMAN</t>
  </si>
  <si>
    <t>345 N HIDDENBROOKE DRIVE</t>
  </si>
  <si>
    <t>J300000050</t>
  </si>
  <si>
    <t>FULLER CHAD EDWIN</t>
  </si>
  <si>
    <t>FULLER ELEANOR B</t>
  </si>
  <si>
    <t>980 SALISBURY ROAD</t>
  </si>
  <si>
    <t>K400000020</t>
  </si>
  <si>
    <t>J40000003901</t>
  </si>
  <si>
    <t>K400000017</t>
  </si>
  <si>
    <t>K5110A0006</t>
  </si>
  <si>
    <t>WILLIAMS ANYA L</t>
  </si>
  <si>
    <t>518 DEADMON ROAD</t>
  </si>
  <si>
    <t>H9070A0020</t>
  </si>
  <si>
    <t>HALL CHRISTINA D</t>
  </si>
  <si>
    <t>HALL DAVID M</t>
  </si>
  <si>
    <t>139 IRISHMAN PLACE</t>
  </si>
  <si>
    <t>H8060A0078</t>
  </si>
  <si>
    <t>SPAUGH JEFFREY W</t>
  </si>
  <si>
    <t>SPAUGH PAMELA MICHELLE</t>
  </si>
  <si>
    <t>389 COVINGTON DRIVE</t>
  </si>
  <si>
    <t>E7060A0006</t>
  </si>
  <si>
    <t>KLINE TODD A</t>
  </si>
  <si>
    <t>KLINE JANE C</t>
  </si>
  <si>
    <t>157 WINCHESTER ROAD</t>
  </si>
  <si>
    <t>G20000006203</t>
  </si>
  <si>
    <t>TRITT JEREMY LEE</t>
  </si>
  <si>
    <t>TRITT AMBER LEE</t>
  </si>
  <si>
    <t>588 FRED LANIER ROAD</t>
  </si>
  <si>
    <t>H9080A0022</t>
  </si>
  <si>
    <t>FINCHER ANTHONY B</t>
  </si>
  <si>
    <t>FINCHER DAWN M</t>
  </si>
  <si>
    <t>135 EAST ROLLINGMEADOW ROAD</t>
  </si>
  <si>
    <t>D8060B0048</t>
  </si>
  <si>
    <t>TRAVISON CLIFFORD ROY</t>
  </si>
  <si>
    <t>124 S BERMUDA RUN DRIVE</t>
  </si>
  <si>
    <t>C8010B0394</t>
  </si>
  <si>
    <t>KELLY HELEN W</t>
  </si>
  <si>
    <t>103 GLENMOOR AVENUE</t>
  </si>
  <si>
    <t>H4130A0016</t>
  </si>
  <si>
    <t>POINDEXTER LUMBER CO INC</t>
  </si>
  <si>
    <t>P O BOX 769</t>
  </si>
  <si>
    <t>D8070A0023</t>
  </si>
  <si>
    <t>LYONS DAVID J</t>
  </si>
  <si>
    <t>LYONS BEVERLY C</t>
  </si>
  <si>
    <t>154 FESCUE DRIVE</t>
  </si>
  <si>
    <t>H5170A0038</t>
  </si>
  <si>
    <t>TUCKER RUSSELL EDWARD SR</t>
  </si>
  <si>
    <t>TUCKER PAULA ROXANNE</t>
  </si>
  <si>
    <t>235 CANYON ROAD</t>
  </si>
  <si>
    <t>D8100D0035</t>
  </si>
  <si>
    <t>CRAWFORD ERNEST H</t>
  </si>
  <si>
    <t>CRAWFORD ANN S</t>
  </si>
  <si>
    <t>155 SPYGLASS DRIVE</t>
  </si>
  <si>
    <t>E900000330</t>
  </si>
  <si>
    <t>YARBROUGH KEVIN P</t>
  </si>
  <si>
    <t>YARBROUGH JENNIFER H</t>
  </si>
  <si>
    <t>643 OAK VALLEY BLVD</t>
  </si>
  <si>
    <t>H700000012</t>
  </si>
  <si>
    <t>J4120C0013</t>
  </si>
  <si>
    <t>HAYES WILLARD THEODORE JR</t>
  </si>
  <si>
    <t>884 SOUTH MAIN STREET</t>
  </si>
  <si>
    <t>I4110A0025</t>
  </si>
  <si>
    <t>K200000070</t>
  </si>
  <si>
    <t>D8100C0013</t>
  </si>
  <si>
    <t>LITTLEJOHN KAY G</t>
  </si>
  <si>
    <t>116 SPYGLASS DRIVE</t>
  </si>
  <si>
    <t>H5160A0018</t>
  </si>
  <si>
    <t>SHUPE THOMAS DAVID</t>
  </si>
  <si>
    <t>SHUPE CHRISTINE QUINN</t>
  </si>
  <si>
    <t>198 MEADOW RIDGE DRIVE</t>
  </si>
  <si>
    <t>E700000123</t>
  </si>
  <si>
    <t>BOGER PAUL EDWARD</t>
  </si>
  <si>
    <t>BOGER ELIZABETH BELL</t>
  </si>
  <si>
    <t>522 BALTIMORE ROAD</t>
  </si>
  <si>
    <t>C40000000701</t>
  </si>
  <si>
    <t>WRIGHT ZACHARY H.</t>
  </si>
  <si>
    <t>WRIGHT MELODY B.</t>
  </si>
  <si>
    <t>P.O. BOX 26691</t>
  </si>
  <si>
    <t>I4010A0073</t>
  </si>
  <si>
    <t>HENDRIX FRANCES S</t>
  </si>
  <si>
    <t>146 NORTH WENTWORTH DRIVE</t>
  </si>
  <si>
    <t>J7080B0028</t>
  </si>
  <si>
    <t>STEWART RICHARD G II</t>
  </si>
  <si>
    <t>STEWART COLLEEN R</t>
  </si>
  <si>
    <t>155 SOUTH HAZELWOOD DRIVE</t>
  </si>
  <si>
    <t>J20000000504</t>
  </si>
  <si>
    <t>MCDANIEL SYLVIA WALKER</t>
  </si>
  <si>
    <t>354 WEDGEWOOD DRIVE</t>
  </si>
  <si>
    <t>J20000000503</t>
  </si>
  <si>
    <t>J20000000901</t>
  </si>
  <si>
    <t>J200000009</t>
  </si>
  <si>
    <t>COLLINS SHEILA WALKER</t>
  </si>
  <si>
    <t>3190 LOWRY ROAD</t>
  </si>
  <si>
    <t>LEWISBURG</t>
  </si>
  <si>
    <t>37091-0000</t>
  </si>
  <si>
    <t>I200000041</t>
  </si>
  <si>
    <t>WALKER HENRY LEE</t>
  </si>
  <si>
    <t>J20000000501</t>
  </si>
  <si>
    <t>I200000005</t>
  </si>
  <si>
    <t>J20000000502</t>
  </si>
  <si>
    <t>J20000000505</t>
  </si>
  <si>
    <t>C7140C0025</t>
  </si>
  <si>
    <t>DUNCAN BERTHA C</t>
  </si>
  <si>
    <t>587 NC HIGHWAY 801 NORTH</t>
  </si>
  <si>
    <t>M5100C0029</t>
  </si>
  <si>
    <t>BROGDON ELIZABETH CASSIE</t>
  </si>
  <si>
    <t>M5100A0005</t>
  </si>
  <si>
    <t>D700000042</t>
  </si>
  <si>
    <t>WISHON DOROTHY FAY</t>
  </si>
  <si>
    <t>284 GORDON DRIVE</t>
  </si>
  <si>
    <t>C70000006504</t>
  </si>
  <si>
    <t>STEPHENS DIANNA S</t>
  </si>
  <si>
    <t>D8070B0008</t>
  </si>
  <si>
    <t>BOADA DONOSO MARIO DANILO</t>
  </si>
  <si>
    <t>CALDERIN SILVIA GUTIERREZ</t>
  </si>
  <si>
    <t>1018 RIVERBEND DRIVE</t>
  </si>
  <si>
    <t>B700000025</t>
  </si>
  <si>
    <t>E900000282</t>
  </si>
  <si>
    <t>BARNES DANIEL G</t>
  </si>
  <si>
    <t>BARNES HAYDEN D</t>
  </si>
  <si>
    <t>114 SAWGRASS DRIVE</t>
  </si>
  <si>
    <t>E8110B0007</t>
  </si>
  <si>
    <t>FOSTER ELLIE DUNN</t>
  </si>
  <si>
    <t>137 LAKESIDE DRIVE</t>
  </si>
  <si>
    <t>G30000002703</t>
  </si>
  <si>
    <t>REGISTER MAJOR WAYNE</t>
  </si>
  <si>
    <t>213 IJAMES CHURCH ROAD</t>
  </si>
  <si>
    <t>C8010B0408</t>
  </si>
  <si>
    <t>KIRLEY SHELLEY G</t>
  </si>
  <si>
    <t>104 GLENMOOR AVENUE</t>
  </si>
  <si>
    <t>E30000006101</t>
  </si>
  <si>
    <t>CUDD MICHAEL BRYAN</t>
  </si>
  <si>
    <t>619 RICHIE ROAD</t>
  </si>
  <si>
    <t>G4090A0010</t>
  </si>
  <si>
    <t>HUTCHENS THOMAS W</t>
  </si>
  <si>
    <t>HUTCHEN ELISHA</t>
  </si>
  <si>
    <t>763 MAIN CHURCH ROAD</t>
  </si>
  <si>
    <t>E8160A0039</t>
  </si>
  <si>
    <t>HARNSBERGER MATTHEW B</t>
  </si>
  <si>
    <t>HARNSBERGER CHRISTY R</t>
  </si>
  <si>
    <t>127 MEADOW BROOK COURT</t>
  </si>
  <si>
    <t>C8010A0137</t>
  </si>
  <si>
    <t>233 OLD TOWNE DRIVE</t>
  </si>
  <si>
    <t>H40000009902</t>
  </si>
  <si>
    <t>PRATER JERRY L JR</t>
  </si>
  <si>
    <t>PRATER LORA S</t>
  </si>
  <si>
    <t>241 REDLAND ROAD</t>
  </si>
  <si>
    <t>D700000128</t>
  </si>
  <si>
    <t>H8050A0003</t>
  </si>
  <si>
    <t>CARTER CYNTHIA R</t>
  </si>
  <si>
    <t>POUNDS JOHN H</t>
  </si>
  <si>
    <t>138 SHADY GROVE LANE</t>
  </si>
  <si>
    <t>M400000066</t>
  </si>
  <si>
    <t>ANDERSON PERRY BRUCE HEIRS</t>
  </si>
  <si>
    <t>M5020A0011  A</t>
  </si>
  <si>
    <t>M40000006603</t>
  </si>
  <si>
    <t>H200000024</t>
  </si>
  <si>
    <t>STROUD EUNICE</t>
  </si>
  <si>
    <t>SHEPERD SANDY STROUD</t>
  </si>
  <si>
    <t>27012-8323</t>
  </si>
  <si>
    <t>H200000028</t>
  </si>
  <si>
    <t>H20000002501</t>
  </si>
  <si>
    <t>G7030A0009</t>
  </si>
  <si>
    <t>VISSER JEAN G</t>
  </si>
  <si>
    <t>118 CAMDEN COURT</t>
  </si>
  <si>
    <t>G8010C0001</t>
  </si>
  <si>
    <t>CREWS DAVID M</t>
  </si>
  <si>
    <t>1052 NC HWY 801 SOUTH</t>
  </si>
  <si>
    <t>E8150A0002</t>
  </si>
  <si>
    <t>F800000004</t>
  </si>
  <si>
    <t>E8150A0003</t>
  </si>
  <si>
    <t>C7140C0003</t>
  </si>
  <si>
    <t>PAGE GAIL S</t>
  </si>
  <si>
    <t>140 FOREST DRIVE</t>
  </si>
  <si>
    <t>H700000070</t>
  </si>
  <si>
    <t>BEAUCHAMP LOUIE STEPHEN</t>
  </si>
  <si>
    <t>BEAUCHAMP SHIRLEY JEAN</t>
  </si>
  <si>
    <t>287 BAILEYS CHAPEL ROAD</t>
  </si>
  <si>
    <t>27006-7140</t>
  </si>
  <si>
    <t>H700000068</t>
  </si>
  <si>
    <t>I5060B0018</t>
  </si>
  <si>
    <t>RODRIGUEZ EDUARDO HERNANDEZ</t>
  </si>
  <si>
    <t>PACHECO YAMLET NATIVIDAD</t>
  </si>
  <si>
    <t>297 FULTON STREET</t>
  </si>
  <si>
    <t>D7080A0036</t>
  </si>
  <si>
    <t>COLE JOHN B</t>
  </si>
  <si>
    <t>COLE MELISSA W</t>
  </si>
  <si>
    <t>332 LONGWOOD DRIVE</t>
  </si>
  <si>
    <t>J5170A0028</t>
  </si>
  <si>
    <t>J10000001904</t>
  </si>
  <si>
    <t>STROUD REBEKAH C.</t>
  </si>
  <si>
    <t>4361 HIGHWAY 64 WEST</t>
  </si>
  <si>
    <t>L40000003901</t>
  </si>
  <si>
    <t>NORMAN BRENDA N</t>
  </si>
  <si>
    <t>192 KLUENIE ROAD</t>
  </si>
  <si>
    <t>K3050B001001</t>
  </si>
  <si>
    <t>CARTNER JAMES MICHAEL JR</t>
  </si>
  <si>
    <t>CARTNER KARIN LEE</t>
  </si>
  <si>
    <t>181 CAROLINA AVENUE</t>
  </si>
  <si>
    <t>K40000002203</t>
  </si>
  <si>
    <t>WILSON SUSAN ALLEN</t>
  </si>
  <si>
    <t>WILSON LARRY C.</t>
  </si>
  <si>
    <t>K40000002205</t>
  </si>
  <si>
    <t>K40000002202</t>
  </si>
  <si>
    <t>I4120B000602</t>
  </si>
  <si>
    <t>THOMPSON KARLEEN S.</t>
  </si>
  <si>
    <t>P.O. BOX 20366</t>
  </si>
  <si>
    <t>ST. SIMON'S ISLA</t>
  </si>
  <si>
    <t>31522-0000</t>
  </si>
  <si>
    <t>I4120B000603</t>
  </si>
  <si>
    <t>I4120B000601</t>
  </si>
  <si>
    <t>B30000002401</t>
  </si>
  <si>
    <t>REVELS WILLIAM JUNIOR</t>
  </si>
  <si>
    <t>REVELS EUNICE</t>
  </si>
  <si>
    <t>135 LEISURE LANE</t>
  </si>
  <si>
    <t>H70000006702</t>
  </si>
  <si>
    <t>MYERS SAMMY NELSON</t>
  </si>
  <si>
    <t>MCELROY DAYLA JEAN</t>
  </si>
  <si>
    <t>1513 60TH STREET SOUTH</t>
  </si>
  <si>
    <t>GULFPORT</t>
  </si>
  <si>
    <t>33707-4012</t>
  </si>
  <si>
    <t>I40000007712</t>
  </si>
  <si>
    <t>WALLACE JEFFERY D</t>
  </si>
  <si>
    <t>WALLACE KELLI B</t>
  </si>
  <si>
    <t>343 IVY LANE</t>
  </si>
  <si>
    <t>H4140A0022</t>
  </si>
  <si>
    <t>F7120B0006</t>
  </si>
  <si>
    <t>WASHBURN EDWARD R</t>
  </si>
  <si>
    <t>MOORHOUSE BARBARA ANN</t>
  </si>
  <si>
    <t>254 MONTCLAIR DRIVE</t>
  </si>
  <si>
    <t>C600000058</t>
  </si>
  <si>
    <t>BROWN JEFFREY DEAN</t>
  </si>
  <si>
    <t>BROWN ALICIA</t>
  </si>
  <si>
    <t>242 BRENTWOOD DRIVE</t>
  </si>
  <si>
    <t>D7030A0032</t>
  </si>
  <si>
    <t>BLACKWELL JAMES M JR</t>
  </si>
  <si>
    <t>BLACKWELL BRIDGETTE H</t>
  </si>
  <si>
    <t>121 FOREST COURT</t>
  </si>
  <si>
    <t>D7020B0004</t>
  </si>
  <si>
    <t>M4130A0049</t>
  </si>
  <si>
    <t>LAWHON WILLIAM E</t>
  </si>
  <si>
    <t>LAWHON JAMI C</t>
  </si>
  <si>
    <t>2091 JUNCTION ROAD</t>
  </si>
  <si>
    <t>E9150A0023</t>
  </si>
  <si>
    <t>BROWN JAMES ALLEN</t>
  </si>
  <si>
    <t>BROWN YOLANDA T</t>
  </si>
  <si>
    <t>211 HIDDEN CREEK DRIVE</t>
  </si>
  <si>
    <t>J4140A0028</t>
  </si>
  <si>
    <t>EDWARDS NEWTON F III</t>
  </si>
  <si>
    <t>173 NEW HAMPSHIRE COURT</t>
  </si>
  <si>
    <t>M40000006602A</t>
  </si>
  <si>
    <t>B7010A0025</t>
  </si>
  <si>
    <t>PIERCE JOHN S</t>
  </si>
  <si>
    <t>PIERCE ANITA G</t>
  </si>
  <si>
    <t>131 SANDPIT ROAD</t>
  </si>
  <si>
    <t>D50000001708</t>
  </si>
  <si>
    <t>STANBERY BRYAN TIMOTHY</t>
  </si>
  <si>
    <t>STANBERY KIMBERLY DEE</t>
  </si>
  <si>
    <t>230 STAYA WAY</t>
  </si>
  <si>
    <t>D50000001701</t>
  </si>
  <si>
    <t>F90000001812</t>
  </si>
  <si>
    <t>HARTMAN TOMMIE H</t>
  </si>
  <si>
    <t>477 VOGLER ROAD</t>
  </si>
  <si>
    <t>H700000069</t>
  </si>
  <si>
    <t>H70000010801</t>
  </si>
  <si>
    <t>J200000033</t>
  </si>
  <si>
    <t>DAYWALT RICHARD L</t>
  </si>
  <si>
    <t>DAYWALT JUSTIN</t>
  </si>
  <si>
    <t>E8160A0024</t>
  </si>
  <si>
    <t>SHARPE DAVID ZACHARY</t>
  </si>
  <si>
    <t>MCKENZIE ASHLEY JEANNE</t>
  </si>
  <si>
    <t>122 MEADOWS EDGE DRIVE</t>
  </si>
  <si>
    <t>J800000018</t>
  </si>
  <si>
    <t>LANIER RICKIE BURTON</t>
  </si>
  <si>
    <t>LANIER BRENDA B</t>
  </si>
  <si>
    <t>3746 NC HWY 801 SOUTH</t>
  </si>
  <si>
    <t>F500000011</t>
  </si>
  <si>
    <t>WHITAKER DAVID</t>
  </si>
  <si>
    <t>WHITAKER REGINA C</t>
  </si>
  <si>
    <t>477 ANGELL ROAD</t>
  </si>
  <si>
    <t>27028-5608</t>
  </si>
  <si>
    <t>rhursey</t>
  </si>
  <si>
    <t>I5170B0122</t>
  </si>
  <si>
    <t>MILLS SARAH DIANNE WILLIS</t>
  </si>
  <si>
    <t>122 WEST BRICK WALK COURT</t>
  </si>
  <si>
    <t>I5170B0111</t>
  </si>
  <si>
    <t>SHIPLEY WILLIAM &amp; JEAN</t>
  </si>
  <si>
    <t>LAMB SANDRA &amp; SEAN</t>
  </si>
  <si>
    <t>F3130A0018</t>
  </si>
  <si>
    <t>LANNING MICHAEL S</t>
  </si>
  <si>
    <t>LANNING ANDREA C</t>
  </si>
  <si>
    <t>252 PEPPERSTONE DRIVE</t>
  </si>
  <si>
    <t>J40000001801</t>
  </si>
  <si>
    <t>DALTON WANDA JUANITA</t>
  </si>
  <si>
    <t>1401 COUNTY HOME ROAD</t>
  </si>
  <si>
    <t>K700000052</t>
  </si>
  <si>
    <t>FOSTER WILSON B</t>
  </si>
  <si>
    <t>FOSTER RUTH E</t>
  </si>
  <si>
    <t>4494 HIGHWAY 801 SOUTH</t>
  </si>
  <si>
    <t>B500000022</t>
  </si>
  <si>
    <t>JONES WILLIAM EARL IV</t>
  </si>
  <si>
    <t>619 PINEVILLE ROAD</t>
  </si>
  <si>
    <t>B30000008702</t>
  </si>
  <si>
    <t>WHITE WILLIAM A.</t>
  </si>
  <si>
    <t>WHITE GINDY L.</t>
  </si>
  <si>
    <t>4138 HWY 801 N.</t>
  </si>
  <si>
    <t>N5010A0030</t>
  </si>
  <si>
    <t>HOLLEMAN ROBERT M</t>
  </si>
  <si>
    <t>P O BOX 143</t>
  </si>
  <si>
    <t>G30000008408</t>
  </si>
  <si>
    <t>HOLLINGSWORTH INVESTMENTS IV</t>
  </si>
  <si>
    <t>TWO CENTRE PLAZA</t>
  </si>
  <si>
    <t>CLINTON</t>
  </si>
  <si>
    <t>37716-0000</t>
  </si>
  <si>
    <t>C7130A0007</t>
  </si>
  <si>
    <t>WALKER MICHAEL D TRSTEE</t>
  </si>
  <si>
    <t>WALKER SANDRA T TRSTEE</t>
  </si>
  <si>
    <t>150 MCGEE COURT</t>
  </si>
  <si>
    <t>J7050A000401</t>
  </si>
  <si>
    <t>CURRY THE RT REV MICHAEL B ETA</t>
  </si>
  <si>
    <t>PROTESTANT EPISCOPAL CHURCH</t>
  </si>
  <si>
    <t>430 DAVIS DRIVE</t>
  </si>
  <si>
    <t>MORRISVILLE</t>
  </si>
  <si>
    <t>27560-6802</t>
  </si>
  <si>
    <t>I1110B0003</t>
  </si>
  <si>
    <t>FORT DOBBS ALLIANCE,INC</t>
  </si>
  <si>
    <t>DBA:FRIENDS OF FORT DOBBS</t>
  </si>
  <si>
    <t>PO BOX 241</t>
  </si>
  <si>
    <t>28677-0241</t>
  </si>
  <si>
    <t>I1110B0005</t>
  </si>
  <si>
    <t>F8020B0050</t>
  </si>
  <si>
    <t>RIEDELL RHONDA LOU</t>
  </si>
  <si>
    <t>110 HAGEN ROAD</t>
  </si>
  <si>
    <t>C8040A0999</t>
  </si>
  <si>
    <t>KINDERTON VILLAGE TOWNHOMES</t>
  </si>
  <si>
    <t>ON THE GREEN ASSO INC</t>
  </si>
  <si>
    <t>PO BOX 2325</t>
  </si>
  <si>
    <t>K40000004309</t>
  </si>
  <si>
    <t>REYNOLDS DANIEL JOSEPH</t>
  </si>
  <si>
    <t>REYNOLDS BETH ANN</t>
  </si>
  <si>
    <t>552 Buck Seaford Road</t>
  </si>
  <si>
    <t>Mocksville</t>
  </si>
  <si>
    <t>bmyers</t>
  </si>
  <si>
    <t>G3020A0009</t>
  </si>
  <si>
    <t>ROBINSON JANICE C</t>
  </si>
  <si>
    <t>CANSDALE STEVEN J</t>
  </si>
  <si>
    <t>286 WHITE DOVE WAY</t>
  </si>
  <si>
    <t>D7060A0004</t>
  </si>
  <si>
    <t>JENKINS DONALD L</t>
  </si>
  <si>
    <t>JENKINS DEBORAH D</t>
  </si>
  <si>
    <t>299 CREEKWOOD DRIVE</t>
  </si>
  <si>
    <t>K40000004304</t>
  </si>
  <si>
    <t>L30000002603</t>
  </si>
  <si>
    <t>H9080A0010</t>
  </si>
  <si>
    <t>STANLEY CHRISTOPHER N</t>
  </si>
  <si>
    <t>131 WEST ROLLINGMEADOW ROAD</t>
  </si>
  <si>
    <t>L30000000502</t>
  </si>
  <si>
    <t>SECHREST CHAD MATTHEW</t>
  </si>
  <si>
    <t>O'NEAL SABRINA LYNN</t>
  </si>
  <si>
    <t>606 MR HENRY ROAD</t>
  </si>
  <si>
    <t>D600000058</t>
  </si>
  <si>
    <t>RATHBONE DANNY R.</t>
  </si>
  <si>
    <t>244 HARPER ROAD</t>
  </si>
  <si>
    <t>C8010A0352</t>
  </si>
  <si>
    <t>HART SPRUCE R</t>
  </si>
  <si>
    <t>HART SHERRI S</t>
  </si>
  <si>
    <t>157 KILBOURNE DRIVE</t>
  </si>
  <si>
    <t>C8010A0371</t>
  </si>
  <si>
    <t>ROWELL CLARETHA</t>
  </si>
  <si>
    <t>136 KILBOURNE DRIVE</t>
  </si>
  <si>
    <t>D50000004803</t>
  </si>
  <si>
    <t>SMITH TIMOTHY G</t>
  </si>
  <si>
    <t>SMITH MELISSA R</t>
  </si>
  <si>
    <t>344 CEDAR CREEK ROAD</t>
  </si>
  <si>
    <t>D500000048</t>
  </si>
  <si>
    <t>D500000095</t>
  </si>
  <si>
    <t>WILLIAMS RONALD JOE</t>
  </si>
  <si>
    <t>D500000096</t>
  </si>
  <si>
    <t>E900000017</t>
  </si>
  <si>
    <t>MILLER DAVID B</t>
  </si>
  <si>
    <t>MILLER ELAINE</t>
  </si>
  <si>
    <t>216 OAKMONT DRIVE</t>
  </si>
  <si>
    <t>27006-7283</t>
  </si>
  <si>
    <t>C700000028</t>
  </si>
  <si>
    <t>ADAMS KAY MACKIE ETAL</t>
  </si>
  <si>
    <t>3539 BURNLEY DRIVE</t>
  </si>
  <si>
    <t>D300000037</t>
  </si>
  <si>
    <t>DRIVER TONY &amp; TAMMY</t>
  </si>
  <si>
    <t>DRIVER ELENOR J</t>
  </si>
  <si>
    <t>4250 HWY 601 NORTH</t>
  </si>
  <si>
    <t>E900000471</t>
  </si>
  <si>
    <t>GUTTENBERG IRA</t>
  </si>
  <si>
    <t>JOYCE PAULA A</t>
  </si>
  <si>
    <t>154 NORTH HIDDENBROOKE DRIVE</t>
  </si>
  <si>
    <t>E900000539</t>
  </si>
  <si>
    <t>BRECHKO DENNIS</t>
  </si>
  <si>
    <t>BRECHKO KRISTEN</t>
  </si>
  <si>
    <t>201 NORTH HIDDENBROOKE DRIVE</t>
  </si>
  <si>
    <t>F30000004303</t>
  </si>
  <si>
    <t>SMITH GEORGE MICHAEL</t>
  </si>
  <si>
    <t>K40000002201</t>
  </si>
  <si>
    <t>K50000008502</t>
  </si>
  <si>
    <t>RAY LISA O</t>
  </si>
  <si>
    <t>721 WILL BOONE ROAD</t>
  </si>
  <si>
    <t>H100000007</t>
  </si>
  <si>
    <t>BROWN DORMAN ERIC</t>
  </si>
  <si>
    <t>144 ASHLEY BROOK LANE</t>
  </si>
  <si>
    <t>J50000002701A</t>
  </si>
  <si>
    <t>TRIPLE J FAMILY LLC</t>
  </si>
  <si>
    <t>136 TRIPLE J LANE</t>
  </si>
  <si>
    <t>H40000000604</t>
  </si>
  <si>
    <t>H400000004</t>
  </si>
  <si>
    <t>H5170A0015</t>
  </si>
  <si>
    <t>URBOWICZ MICHAEL B</t>
  </si>
  <si>
    <t>URBOWICZ KATHY JACKSON</t>
  </si>
  <si>
    <t>128 FOX HORN COURT</t>
  </si>
  <si>
    <t>H700000118</t>
  </si>
  <si>
    <t>COLPAERT MICHELE</t>
  </si>
  <si>
    <t>COLPAERT SHAWN</t>
  </si>
  <si>
    <t>PO BOX 2144</t>
  </si>
  <si>
    <t>I1110D0017</t>
  </si>
  <si>
    <t>WATSON MICHAEL</t>
  </si>
  <si>
    <t>WATSON EVE DELATORRE</t>
  </si>
  <si>
    <t>I4140B0020</t>
  </si>
  <si>
    <t>VOGLER TRACY J</t>
  </si>
  <si>
    <t>372 TOT STREET</t>
  </si>
  <si>
    <t>27028-2342</t>
  </si>
  <si>
    <t>J70000004402</t>
  </si>
  <si>
    <t>HORNEY STEPHEN M</t>
  </si>
  <si>
    <t>HORNEY ROBIN S</t>
  </si>
  <si>
    <t>2620 US HIGHWAY 64 E</t>
  </si>
  <si>
    <t>H70000001101</t>
  </si>
  <si>
    <t>KISTLER RICHARD D</t>
  </si>
  <si>
    <t>KISTLER MARILYNN W</t>
  </si>
  <si>
    <t>232 WILDWOOD LANE</t>
  </si>
  <si>
    <t>27028-7445</t>
  </si>
  <si>
    <t>N60000002802</t>
  </si>
  <si>
    <t>PODUNAVAC REX A</t>
  </si>
  <si>
    <t>PODUNAVAC MONA R</t>
  </si>
  <si>
    <t>211 OLD FARM LANE</t>
  </si>
  <si>
    <t>N60000002803</t>
  </si>
  <si>
    <t>D10000002402</t>
  </si>
  <si>
    <t>DIPAOLA GUY A</t>
  </si>
  <si>
    <t>DIPAOLA DONNA L</t>
  </si>
  <si>
    <t>118 ARABAIN TRAIL</t>
  </si>
  <si>
    <t>D10000002403</t>
  </si>
  <si>
    <t>E30000009402</t>
  </si>
  <si>
    <t>STANLEY PAUL DOUGLAS</t>
  </si>
  <si>
    <t>STANLEY FREDA H</t>
  </si>
  <si>
    <t>178 STANLEY TRAIL</t>
  </si>
  <si>
    <t>27028-4608</t>
  </si>
  <si>
    <t>K70000004601</t>
  </si>
  <si>
    <t>MCILWAIN BRIAN D</t>
  </si>
  <si>
    <t>MCILWAIN DEANNA J</t>
  </si>
  <si>
    <t>450 CEDAR GROVE CHURCH ROAD</t>
  </si>
  <si>
    <t>K700000046</t>
  </si>
  <si>
    <t>E300000073</t>
  </si>
  <si>
    <t>L5100A0017</t>
  </si>
  <si>
    <t>LIBERTY UNITED METHODIST CHRCH</t>
  </si>
  <si>
    <t>141 LIBERTY CIRCLE</t>
  </si>
  <si>
    <t>L5100A0020</t>
  </si>
  <si>
    <t>K2100A0003</t>
  </si>
  <si>
    <t>CARD RICHARD E</t>
  </si>
  <si>
    <t>CARD DIANE W</t>
  </si>
  <si>
    <t>159 FOSTER ROAD</t>
  </si>
  <si>
    <t>G20000001201</t>
  </si>
  <si>
    <t>SWISHER MICHAEL WAYNE</t>
  </si>
  <si>
    <t>STREET-SWISHER GINA MARIE</t>
  </si>
  <si>
    <t>966 CALAHALN ROAD</t>
  </si>
  <si>
    <t>27028-8114</t>
  </si>
  <si>
    <t>C30000007210</t>
  </si>
  <si>
    <t>YORK EDBURN DOUGLAS</t>
  </si>
  <si>
    <t>3329 BLEVINS ROAD</t>
  </si>
  <si>
    <t>C30000007211</t>
  </si>
  <si>
    <t>G100000049</t>
  </si>
  <si>
    <t>E20000000801</t>
  </si>
  <si>
    <t>DYSON RICKY M</t>
  </si>
  <si>
    <t>246 TURKEYFOOT ROAD</t>
  </si>
  <si>
    <t>E20000000814</t>
  </si>
  <si>
    <t>E100000023</t>
  </si>
  <si>
    <t>M40000002302</t>
  </si>
  <si>
    <t>VANALSTINE CHRISTOPHER JAMES</t>
  </si>
  <si>
    <t>VANALSTINE LEON</t>
  </si>
  <si>
    <t>1574 JUNCTION ROAD</t>
  </si>
  <si>
    <t>B20000002901</t>
  </si>
  <si>
    <t>WALL DAVID W</t>
  </si>
  <si>
    <t>WALL JULIE P</t>
  </si>
  <si>
    <t>644 BELL BRANCH ROAD</t>
  </si>
  <si>
    <t>D3120A0004</t>
  </si>
  <si>
    <t>HULL HARRY</t>
  </si>
  <si>
    <t>1012 EATONS CHURCH ROAD</t>
  </si>
  <si>
    <t>D3120A0003</t>
  </si>
  <si>
    <t>F400000051</t>
  </si>
  <si>
    <t>SILER H KEITH</t>
  </si>
  <si>
    <t>1077 ANGELL ROAD</t>
  </si>
  <si>
    <t>B20000002201</t>
  </si>
  <si>
    <t>WEATHERMAN BILLY G</t>
  </si>
  <si>
    <t>WEATHERMAN BECKY H</t>
  </si>
  <si>
    <t>205 BELL BRANCH ROAD</t>
  </si>
  <si>
    <t>H600000063</t>
  </si>
  <si>
    <t>BENNETT R D HEIRS</t>
  </si>
  <si>
    <t>PO BOX 1574</t>
  </si>
  <si>
    <t>C700000004  A</t>
  </si>
  <si>
    <t>ANDERSON CYNTHIA E</t>
  </si>
  <si>
    <t>C70000000403</t>
  </si>
  <si>
    <t>D8100D0008</t>
  </si>
  <si>
    <t>TESH PROPERTIES LLC</t>
  </si>
  <si>
    <t>4510 WOODSMAN WAY</t>
  </si>
  <si>
    <t>E20000002805</t>
  </si>
  <si>
    <t>HERNANDEZ ROBERTO RAMOS</t>
  </si>
  <si>
    <t>215 BEAR CREEK CHURCH ROAD</t>
  </si>
  <si>
    <t>G80000007602</t>
  </si>
  <si>
    <t>POINDEXTER FAYE H TRUSTEE</t>
  </si>
  <si>
    <t>POINDEXTER NICKEY R TRUSTEE</t>
  </si>
  <si>
    <t>P.O Box 334</t>
  </si>
  <si>
    <t>N600000074</t>
  </si>
  <si>
    <t>CHERRY HILL CHURCH</t>
  </si>
  <si>
    <t>J500000036</t>
  </si>
  <si>
    <t>CLEMENT GRAVEYARD</t>
  </si>
  <si>
    <t>L400000002</t>
  </si>
  <si>
    <t>HAYDEN CEMETARY</t>
  </si>
  <si>
    <t>F600000056</t>
  </si>
  <si>
    <t>NAYLOR CEMETERY</t>
  </si>
  <si>
    <t>I60000006706</t>
  </si>
  <si>
    <t>OLD DUTCH CEMETARY</t>
  </si>
  <si>
    <t>I900000018</t>
  </si>
  <si>
    <t>PEEBLES CEMETERY</t>
  </si>
  <si>
    <t>E7060A0013</t>
  </si>
  <si>
    <t>COMBS PAUL A</t>
  </si>
  <si>
    <t>COMBS BECKY L</t>
  </si>
  <si>
    <t>116 WINCHESTER ROAD</t>
  </si>
  <si>
    <t>C8010A0361</t>
  </si>
  <si>
    <t>RING LENNIE N</t>
  </si>
  <si>
    <t>RING CATHY R</t>
  </si>
  <si>
    <t>125 KILBOURNE DRIVE</t>
  </si>
  <si>
    <t>I4130H002502</t>
  </si>
  <si>
    <t>BROWN GEORGE THOMAS</t>
  </si>
  <si>
    <t>BROWN KIMBERLY POTTS</t>
  </si>
  <si>
    <t>PO BOX 911</t>
  </si>
  <si>
    <t>J40000004401</t>
  </si>
  <si>
    <t>MOCKSVILLE TOWN OF</t>
  </si>
  <si>
    <t>171 S CLEMENT STREET</t>
  </si>
  <si>
    <t>K400000037</t>
  </si>
  <si>
    <t>K400000038</t>
  </si>
  <si>
    <t>H40000004702</t>
  </si>
  <si>
    <t>I4130H0012</t>
  </si>
  <si>
    <t>I4130H0011</t>
  </si>
  <si>
    <t>I400000081</t>
  </si>
  <si>
    <t>J4030A0001</t>
  </si>
  <si>
    <t>I4130H0010</t>
  </si>
  <si>
    <t>I4130F0012</t>
  </si>
  <si>
    <t>H4190A0015</t>
  </si>
  <si>
    <t>I5080A0019</t>
  </si>
  <si>
    <t>I5080A0013</t>
  </si>
  <si>
    <t>I5080C0001</t>
  </si>
  <si>
    <t>I5080A001201</t>
  </si>
  <si>
    <t>I5080A0018</t>
  </si>
  <si>
    <t>I40000007602</t>
  </si>
  <si>
    <t>H40000009606</t>
  </si>
  <si>
    <t>J500000033</t>
  </si>
  <si>
    <t>J60000004902</t>
  </si>
  <si>
    <t>J60000004901</t>
  </si>
  <si>
    <t>I5050B0026</t>
  </si>
  <si>
    <t>J5160A000302</t>
  </si>
  <si>
    <t>I5050B0043</t>
  </si>
  <si>
    <t>I5050C0005</t>
  </si>
  <si>
    <t>I5050B0008</t>
  </si>
  <si>
    <t>I5120B0001</t>
  </si>
  <si>
    <t>I5110A0008</t>
  </si>
  <si>
    <t>I5050D0014</t>
  </si>
  <si>
    <t>I5110A0001</t>
  </si>
  <si>
    <t>I6080A0012</t>
  </si>
  <si>
    <t>I5050A0014</t>
  </si>
  <si>
    <t>K20000006801</t>
  </si>
  <si>
    <t>SWEET MARC D</t>
  </si>
  <si>
    <t>SWEET TRACEY E</t>
  </si>
  <si>
    <t>169 BLUEGRASS TRAIL</t>
  </si>
  <si>
    <t>M5090C0004</t>
  </si>
  <si>
    <t>GADSON SHIRL R</t>
  </si>
  <si>
    <t>168 JERUSALEM AVENUE</t>
  </si>
  <si>
    <t>L600000002</t>
  </si>
  <si>
    <t>MCABEE CHARLES</t>
  </si>
  <si>
    <t>294 WILL BOONE ROAD</t>
  </si>
  <si>
    <t>G3030A0051</t>
  </si>
  <si>
    <t>MEADWELL CHRISTOPHER S</t>
  </si>
  <si>
    <t>2551 US HIGHWAY 601 NORTH</t>
  </si>
  <si>
    <t>M70000000501</t>
  </si>
  <si>
    <t>SMITH DUSTIN R</t>
  </si>
  <si>
    <t>303 APPLEWOOD DRIVE</t>
  </si>
  <si>
    <t>J4050B0005</t>
  </si>
  <si>
    <t>HARRIS MARY H</t>
  </si>
  <si>
    <t>630 SOUTH SALISBURY STREET</t>
  </si>
  <si>
    <t>N600000084</t>
  </si>
  <si>
    <t>MOON INEZ B</t>
  </si>
  <si>
    <t>294 HOUSTON ROAD</t>
  </si>
  <si>
    <t>E60000002801</t>
  </si>
  <si>
    <t>GOAD ANTHONY RAY</t>
  </si>
  <si>
    <t>WOLFE JULIE</t>
  </si>
  <si>
    <t>131 LIVINGSTON ROAD</t>
  </si>
  <si>
    <t>I20000000101</t>
  </si>
  <si>
    <t>SHORE PHILLIP DAVID ETAL</t>
  </si>
  <si>
    <t>SHORE BRANDON</t>
  </si>
  <si>
    <t>347 LITTLE EGYPT ROAD</t>
  </si>
  <si>
    <t>C30000007209</t>
  </si>
  <si>
    <t>E200000009</t>
  </si>
  <si>
    <t>DYSON LINDA LOU</t>
  </si>
  <si>
    <t>589 DUKE WHITTAKER ROAD</t>
  </si>
  <si>
    <t>D3120A0005</t>
  </si>
  <si>
    <t>J5010B0016</t>
  </si>
  <si>
    <t>SCOTT MARK</t>
  </si>
  <si>
    <t>SCOTT MICHELLE</t>
  </si>
  <si>
    <t>161 EAST LAKE DRIVE</t>
  </si>
  <si>
    <t>J5010B0017</t>
  </si>
  <si>
    <t>J700000103</t>
  </si>
  <si>
    <t>RICHARD AND ELAINE PROP LLC II</t>
  </si>
  <si>
    <t>1310 RICHARD STREET</t>
  </si>
  <si>
    <t>J800000029</t>
  </si>
  <si>
    <t>RICHARD &amp; ELAINE PROP LLC III</t>
  </si>
  <si>
    <t>1310 RICHARD ST</t>
  </si>
  <si>
    <t>J70000010302</t>
  </si>
  <si>
    <t>RICHARD &amp; ELAINE PROP LLC IV</t>
  </si>
  <si>
    <t>C8010A0267</t>
  </si>
  <si>
    <t>TRABELSI ABDELLA TIFBEN MOHAME</t>
  </si>
  <si>
    <t>109 NORTH FIELD DRIVE</t>
  </si>
  <si>
    <t>J40000003301</t>
  </si>
  <si>
    <t>CANNON BROWN CEMETARY INC</t>
  </si>
  <si>
    <t>J70000007805</t>
  </si>
  <si>
    <t>RANKER PETER</t>
  </si>
  <si>
    <t>RANKER REBEKAH</t>
  </si>
  <si>
    <t>2911 HIGHWAY 64 EAST</t>
  </si>
  <si>
    <t>H900000054</t>
  </si>
  <si>
    <t>BAKER WILLIAM SCOTT</t>
  </si>
  <si>
    <t>BAKER ELIZABETH V</t>
  </si>
  <si>
    <t>177 PLANTATION LANE</t>
  </si>
  <si>
    <t>H3040A0017</t>
  </si>
  <si>
    <t>H5190A0017</t>
  </si>
  <si>
    <t>WELBORN GERALD B</t>
  </si>
  <si>
    <t>WELBORN RENNA</t>
  </si>
  <si>
    <t>208 SOUTH MADERA DRIVE</t>
  </si>
  <si>
    <t>J400000029</t>
  </si>
  <si>
    <t>J600000050</t>
  </si>
  <si>
    <t>J500000031</t>
  </si>
  <si>
    <t>I5110C0021</t>
  </si>
  <si>
    <t>I4130D0006</t>
  </si>
  <si>
    <t>I4130D0014</t>
  </si>
  <si>
    <t>I4050C0003</t>
  </si>
  <si>
    <t>J4120A0005</t>
  </si>
  <si>
    <t>H500000019</t>
  </si>
  <si>
    <t>G70000013905</t>
  </si>
  <si>
    <t>COFFEY TAMURA O</t>
  </si>
  <si>
    <t>296 BRIDLE LANE</t>
  </si>
  <si>
    <t>E700000065</t>
  </si>
  <si>
    <t>WILSON MATTHEW NEAL</t>
  </si>
  <si>
    <t>291 JUNEY BEAUCHAMP ROAD</t>
  </si>
  <si>
    <t>F800000042</t>
  </si>
  <si>
    <t>TRUSZKOWSKI PIOTR</t>
  </si>
  <si>
    <t>TRUSZKOWSKI IWONA</t>
  </si>
  <si>
    <t>225 MOCKS CHURCH ROAD</t>
  </si>
  <si>
    <t>D7090A0001</t>
  </si>
  <si>
    <t>COE BRADLEY</t>
  </si>
  <si>
    <t>COE ANNA</t>
  </si>
  <si>
    <t>106 IDLEWILD ROAD</t>
  </si>
  <si>
    <t>I5070A0003</t>
  </si>
  <si>
    <t>BEASLEY BOB SR &amp;NANCY J</t>
  </si>
  <si>
    <t>BOWMAN KATHLEEN</t>
  </si>
  <si>
    <t>157 CAROLINA STREET</t>
  </si>
  <si>
    <t>I50000002401</t>
  </si>
  <si>
    <t>EDWARDS MARTIN THOMAS</t>
  </si>
  <si>
    <t>EDWARDS ASHLEE BURTON</t>
  </si>
  <si>
    <t>1067 MILLING ROAD</t>
  </si>
  <si>
    <t>E40000001103</t>
  </si>
  <si>
    <t>940 EATONS CHRUCH ROAD</t>
  </si>
  <si>
    <t>D300000054</t>
  </si>
  <si>
    <t>E300000049</t>
  </si>
  <si>
    <t>E400000001</t>
  </si>
  <si>
    <t>E900000060</t>
  </si>
  <si>
    <t>BUCHANAN MICHAEL S</t>
  </si>
  <si>
    <t>BUCHANAN SARA S</t>
  </si>
  <si>
    <t>125 SUNTREE ROAD</t>
  </si>
  <si>
    <t>J20000005401</t>
  </si>
  <si>
    <t>PITTS ELIZABETH SAIN</t>
  </si>
  <si>
    <t>1593 DAVIE ACADEMY ROAD</t>
  </si>
  <si>
    <t>G300000080</t>
  </si>
  <si>
    <t>CARTER JUSTIN</t>
  </si>
  <si>
    <t>481 NORTH MAIN STREET</t>
  </si>
  <si>
    <t>G300000084</t>
  </si>
  <si>
    <t>E900000516</t>
  </si>
  <si>
    <t>HAZLIP CHRISTOPHER D</t>
  </si>
  <si>
    <t>HAZLIP CHRISTINE</t>
  </si>
  <si>
    <t>117 LATROBE COURT</t>
  </si>
  <si>
    <t>F60000004201</t>
  </si>
  <si>
    <t>KILBY KAREN B</t>
  </si>
  <si>
    <t>342 PINEBROOK SCHOOL ROAD</t>
  </si>
  <si>
    <t>F60000004202</t>
  </si>
  <si>
    <t>D8030A0003</t>
  </si>
  <si>
    <t>TAYLOR SHANE P</t>
  </si>
  <si>
    <t>TAYLOR ELIZABETH J</t>
  </si>
  <si>
    <t>161 BERMUDA RUN DRIVE</t>
  </si>
  <si>
    <t>D8070A000101</t>
  </si>
  <si>
    <t>BERMUDA RUN TOWN OF</t>
  </si>
  <si>
    <t>120 KINDERTON BLVD</t>
  </si>
  <si>
    <t>C90000000801</t>
  </si>
  <si>
    <t>C90000000302</t>
  </si>
  <si>
    <t>D8070A000102</t>
  </si>
  <si>
    <t>D80000002603</t>
  </si>
  <si>
    <t>D80000002602</t>
  </si>
  <si>
    <t>D80000002604</t>
  </si>
  <si>
    <t>B10000000702</t>
  </si>
  <si>
    <t>SHORE JODY NEIL</t>
  </si>
  <si>
    <t>153 SHORE LANE</t>
  </si>
  <si>
    <t>B10000000703</t>
  </si>
  <si>
    <t>SHORE DANNY LEE</t>
  </si>
  <si>
    <t>SHORE SHARON D</t>
  </si>
  <si>
    <t>187 SHORE LANE</t>
  </si>
  <si>
    <t>G8050B0005</t>
  </si>
  <si>
    <t>PASQUALE MARTIN A</t>
  </si>
  <si>
    <t>FIERO GERALDINE A</t>
  </si>
  <si>
    <t>156 TAYLOR ROAD</t>
  </si>
  <si>
    <t>E9150B0045</t>
  </si>
  <si>
    <t>MACK DENNIS</t>
  </si>
  <si>
    <t>MACK JUDY ANN</t>
  </si>
  <si>
    <t>172 SYCAMORE RIDGE DRIVE</t>
  </si>
  <si>
    <t>G9090B0061</t>
  </si>
  <si>
    <t>FRANTZ CHRISTOPHER JAMES</t>
  </si>
  <si>
    <t>256 OLD MARCH ROAD</t>
  </si>
  <si>
    <t>L500000068</t>
  </si>
  <si>
    <t>BELL BETTY C</t>
  </si>
  <si>
    <t>133 OAK DALE CIRCLE</t>
  </si>
  <si>
    <t>L500000069</t>
  </si>
  <si>
    <t>L500000070</t>
  </si>
  <si>
    <t>D7070A0021</t>
  </si>
  <si>
    <t>PATERICK ELDA A</t>
  </si>
  <si>
    <t>237 RIDDLE CIRCLE</t>
  </si>
  <si>
    <t>H7020A0029</t>
  </si>
  <si>
    <t>KNIGHT MARTHA LOU TRUSTEE</t>
  </si>
  <si>
    <t>506 BRIER CREEK ROAD</t>
  </si>
  <si>
    <t>C90000000401</t>
  </si>
  <si>
    <t>SPF 30 LLC</t>
  </si>
  <si>
    <t>D800000028</t>
  </si>
  <si>
    <t>SPE GO HOLDINGS INC</t>
  </si>
  <si>
    <t>40 WESTMINISTER STREET</t>
  </si>
  <si>
    <t>PROVIDENCE</t>
  </si>
  <si>
    <t>RI</t>
  </si>
  <si>
    <t>02903-0000</t>
  </si>
  <si>
    <t>D8020A0022</t>
  </si>
  <si>
    <t>D8070A003101</t>
  </si>
  <si>
    <t>D80000002310</t>
  </si>
  <si>
    <t>E9150A005701</t>
  </si>
  <si>
    <t>L4050A0001</t>
  </si>
  <si>
    <t>GRANADERO ANTONIA DE MAQUEDA</t>
  </si>
  <si>
    <t>138 EMERALD LANE</t>
  </si>
  <si>
    <t>MOCKSVILE</t>
  </si>
  <si>
    <t>K3130B0012</t>
  </si>
  <si>
    <t>SECHREST BARRY LYNN</t>
  </si>
  <si>
    <t>SECHREST ALLISE ANN</t>
  </si>
  <si>
    <t>1440 NORTH MAIN STREET</t>
  </si>
  <si>
    <t>E9150A0045</t>
  </si>
  <si>
    <t>THURMOND CAROLYN K</t>
  </si>
  <si>
    <t>THURMOND JOSEPH A</t>
  </si>
  <si>
    <t>105 SELDOM FARM LANE</t>
  </si>
  <si>
    <t>K700000069</t>
  </si>
  <si>
    <t>SMITH ANGELA BROOKE SMALLEY</t>
  </si>
  <si>
    <t>564 CEDAR GROVE CHURCH ROAD</t>
  </si>
  <si>
    <t>F100000002</t>
  </si>
  <si>
    <t>WOOTEN NAOMI W TRUSTEE</t>
  </si>
  <si>
    <t>CLAUDE S &amp; NAOMI W REV TRUST</t>
  </si>
  <si>
    <t>% LINDA W HAMMOND</t>
  </si>
  <si>
    <t>3015 LAKELAND DRIVE</t>
  </si>
  <si>
    <t>ROCK HILL</t>
  </si>
  <si>
    <t>29730-0000</t>
  </si>
  <si>
    <t>D8100D0006</t>
  </si>
  <si>
    <t>CARHART QUAINTANCE</t>
  </si>
  <si>
    <t>195 SPYGLASS DRIVE</t>
  </si>
  <si>
    <t>H60000002001</t>
  </si>
  <si>
    <t>GRAHAM ELMENA AMANDA</t>
  </si>
  <si>
    <t>1607 MILLING ROAD</t>
  </si>
  <si>
    <t>M500000047</t>
  </si>
  <si>
    <t>SPILLMAN CALVIN DELANO JR</t>
  </si>
  <si>
    <t>SPILLMAN JAMES MICHAEL</t>
  </si>
  <si>
    <t>H600000013</t>
  </si>
  <si>
    <t>HUSTUS THOMAS JAMES</t>
  </si>
  <si>
    <t>HUSTUS KATHY E</t>
  </si>
  <si>
    <t>808 SAIN ROAD</t>
  </si>
  <si>
    <t>C300000036</t>
  </si>
  <si>
    <t>WALKER CLAYTON JOSEPH</t>
  </si>
  <si>
    <t>WALKER CAROLE P</t>
  </si>
  <si>
    <t>4587 NC HIGHWAY 801 NORTH</t>
  </si>
  <si>
    <t>D8110A0013</t>
  </si>
  <si>
    <t>GELLER BARRY</t>
  </si>
  <si>
    <t>SPALDING WILDA C</t>
  </si>
  <si>
    <t>168 BENT STREET</t>
  </si>
  <si>
    <t>I400000102</t>
  </si>
  <si>
    <t>WFBMC COMMUNITY PHYSICIANS</t>
  </si>
  <si>
    <t>MEDICAL CENTER BOULEVARD</t>
  </si>
  <si>
    <t>B50000005201</t>
  </si>
  <si>
    <t>IBARRA ELEAZAR B</t>
  </si>
  <si>
    <t>SALAZAR DIANA CHIQUITO</t>
  </si>
  <si>
    <t>330 PINEVILLE ROAD</t>
  </si>
  <si>
    <t>B50000005202</t>
  </si>
  <si>
    <t>B500000050</t>
  </si>
  <si>
    <t>E700000130</t>
  </si>
  <si>
    <t>WILLIAMS PHILIP G</t>
  </si>
  <si>
    <t>WILLIAMS WENDY M</t>
  </si>
  <si>
    <t>1210 BEAUCHAMP ROAD</t>
  </si>
  <si>
    <t>H7020A0033</t>
  </si>
  <si>
    <t>DIAZ ELSY</t>
  </si>
  <si>
    <t>499 BRIER CREEK ROAD</t>
  </si>
  <si>
    <t>I10000001801A</t>
  </si>
  <si>
    <t>DRUM PHILLIP TRENT</t>
  </si>
  <si>
    <t>PO BOX 64</t>
  </si>
  <si>
    <t>E900000112</t>
  </si>
  <si>
    <t>JAMES SANDRA F</t>
  </si>
  <si>
    <t>187 KINGSMILL DRIVE</t>
  </si>
  <si>
    <t>D40000001701</t>
  </si>
  <si>
    <t>LATHAM CHINERA M TRUSTEE</t>
  </si>
  <si>
    <t>LATHAM JAMES M TRUSTEE</t>
  </si>
  <si>
    <t>2111 CANA ROAD</t>
  </si>
  <si>
    <t>D400000017</t>
  </si>
  <si>
    <t>D40000002103</t>
  </si>
  <si>
    <t>D40000002102</t>
  </si>
  <si>
    <t>D40000001702</t>
  </si>
  <si>
    <t>B30000006407</t>
  </si>
  <si>
    <t>SMITH BETTIE S</t>
  </si>
  <si>
    <t>4258 NC HIGHWAY 801 NORTH</t>
  </si>
  <si>
    <t>B300000072</t>
  </si>
  <si>
    <t>H20000004603</t>
  </si>
  <si>
    <t>LOVETTE MICAH A</t>
  </si>
  <si>
    <t>LOVETTE JO AMBER</t>
  </si>
  <si>
    <t>278 VANZANT ROAD</t>
  </si>
  <si>
    <t>H200000055</t>
  </si>
  <si>
    <t>H200000053</t>
  </si>
  <si>
    <t>E900000314</t>
  </si>
  <si>
    <t>MOORE JASON T</t>
  </si>
  <si>
    <t>MOORE SUVALEE T</t>
  </si>
  <si>
    <t>692 OAK VALLEY BOULEVARD</t>
  </si>
  <si>
    <t>L50000008701</t>
  </si>
  <si>
    <t>POOLE MARY FRYE</t>
  </si>
  <si>
    <t>9025 HIGHWAY 601 SOUTH</t>
  </si>
  <si>
    <t>K60000000401</t>
  </si>
  <si>
    <t>O600000035</t>
  </si>
  <si>
    <t>L500000087</t>
  </si>
  <si>
    <t>L500000089</t>
  </si>
  <si>
    <t>J5150D0007</t>
  </si>
  <si>
    <t>ALBRECHT ELKE G</t>
  </si>
  <si>
    <t>307 ROLLINGWOOD DRIVE</t>
  </si>
  <si>
    <t>27028-4325</t>
  </si>
  <si>
    <t>J5150D0009</t>
  </si>
  <si>
    <t>J5150D0008</t>
  </si>
  <si>
    <t>M60000000502</t>
  </si>
  <si>
    <t>RATLEDGE CARRIE TENERY</t>
  </si>
  <si>
    <t>RATLEDGE JOHN BRADLEY</t>
  </si>
  <si>
    <t>210 MAGNOLIA FARM LANE</t>
  </si>
  <si>
    <t>CB</t>
  </si>
  <si>
    <t>D500000085</t>
  </si>
  <si>
    <t>YATES KATHRYN M</t>
  </si>
  <si>
    <t>1660 FARMINGTON ROAD</t>
  </si>
  <si>
    <t>G60000006501</t>
  </si>
  <si>
    <t>RAPP CHARLES WILLIAM</t>
  </si>
  <si>
    <t>RAPP SUE-CAROL</t>
  </si>
  <si>
    <t>2203 MILLING ROAD</t>
  </si>
  <si>
    <t>B200000044  A</t>
  </si>
  <si>
    <t>GUNTER TERRY R</t>
  </si>
  <si>
    <t>623 CHINQUAPIN ROAD</t>
  </si>
  <si>
    <t>L5090A0008</t>
  </si>
  <si>
    <t>WISE LISA L</t>
  </si>
  <si>
    <t>276 GLADSTONE ROAD</t>
  </si>
  <si>
    <t>E700000115</t>
  </si>
  <si>
    <t>MELTON BERNICE H</t>
  </si>
  <si>
    <t>541 BALTIMORE ROAD</t>
  </si>
  <si>
    <t>H400000010</t>
  </si>
  <si>
    <t>MY HOTEL,LLC</t>
  </si>
  <si>
    <t>629 MADISON ROAD</t>
  </si>
  <si>
    <t>C600000070</t>
  </si>
  <si>
    <t>HENDRIX ROY LEE</t>
  </si>
  <si>
    <t>1438 HIGHWAY 801 NORTH</t>
  </si>
  <si>
    <t>C60000007201</t>
  </si>
  <si>
    <t>B700000056</t>
  </si>
  <si>
    <t>GATEWOOD THERESA FERGUSON</t>
  </si>
  <si>
    <t>GATEWOOD TRENTON D</t>
  </si>
  <si>
    <t>400 GRIFFITH ROAD</t>
  </si>
  <si>
    <t>C20000002103</t>
  </si>
  <si>
    <t>LAT WHITAKER ROAD ASSO LLC</t>
  </si>
  <si>
    <t>1700 SOUTH HAWTHORNE STREET</t>
  </si>
  <si>
    <t>C20000002102</t>
  </si>
  <si>
    <t>C200000015</t>
  </si>
  <si>
    <t>H500000038</t>
  </si>
  <si>
    <t>SAIN EVERETTE G</t>
  </si>
  <si>
    <t>SAIN SARAH D</t>
  </si>
  <si>
    <t>191 CASPERS WAY</t>
  </si>
  <si>
    <t>27028-4129</t>
  </si>
  <si>
    <t>lpotts</t>
  </si>
  <si>
    <t>J70000000701</t>
  </si>
  <si>
    <t>STEWART KATHY VALLENE</t>
  </si>
  <si>
    <t>228 NO CREEK ROAD</t>
  </si>
  <si>
    <t>H500000036</t>
  </si>
  <si>
    <t>E60000007008</t>
  </si>
  <si>
    <t>BREWER JOSEPH R</t>
  </si>
  <si>
    <t>BREWER NANCY H</t>
  </si>
  <si>
    <t>241 HOWARDTOWN CIRCLE</t>
  </si>
  <si>
    <t>krafie</t>
  </si>
  <si>
    <t>E60000008201</t>
  </si>
  <si>
    <t>E700000003</t>
  </si>
  <si>
    <t>H500000050</t>
  </si>
  <si>
    <t>SAIN EVERETTE GRAY</t>
  </si>
  <si>
    <t>I5080E0001</t>
  </si>
  <si>
    <t>FRYE KAREN MURPHY</t>
  </si>
  <si>
    <t>196 OAK STREET</t>
  </si>
  <si>
    <t>G40000001501</t>
  </si>
  <si>
    <t>WILLOW SPRINGS FARM LLC</t>
  </si>
  <si>
    <t>869 WOODWARD ROAD</t>
  </si>
  <si>
    <t>J100000015</t>
  </si>
  <si>
    <t>STEGALL MATTHEW KENT</t>
  </si>
  <si>
    <t>STEGALL CANDIE TAYLOR</t>
  </si>
  <si>
    <t>4469 US HIGHWAY 64 WEST</t>
  </si>
  <si>
    <t>C5130B0022</t>
  </si>
  <si>
    <t>BOGER LARRY DEAN</t>
  </si>
  <si>
    <t>BOGER DONNA DUNN</t>
  </si>
  <si>
    <t>144 DROKE CIRCLE</t>
  </si>
  <si>
    <t>J10000001504</t>
  </si>
  <si>
    <t>D30000001805</t>
  </si>
  <si>
    <t>CREWS JERRY</t>
  </si>
  <si>
    <t>CREWS JANIE</t>
  </si>
  <si>
    <t>401 ELMORE RD</t>
  </si>
  <si>
    <t>F300000030</t>
  </si>
  <si>
    <t>BLACKWELDER CARROLL DOUGLAS</t>
  </si>
  <si>
    <t>BLACKWELDER LARRY DALE</t>
  </si>
  <si>
    <t>457 WAGNER ROAD</t>
  </si>
  <si>
    <t>G300000003</t>
  </si>
  <si>
    <t>D300000019</t>
  </si>
  <si>
    <t>B60000000301</t>
  </si>
  <si>
    <t>YOUNG HELEN SPARKS</t>
  </si>
  <si>
    <t>841 SPILLMAN ROAD</t>
  </si>
  <si>
    <t>27028-7816</t>
  </si>
  <si>
    <t>NWILL</t>
  </si>
  <si>
    <t>I1110D0012</t>
  </si>
  <si>
    <t>COBB ALBERT LLOYD III</t>
  </si>
  <si>
    <t>119 CANTER CIRCLE</t>
  </si>
  <si>
    <t>K4010A0024</t>
  </si>
  <si>
    <t>ALLEN LARRY P</t>
  </si>
  <si>
    <t>ALLEN JUDY H</t>
  </si>
  <si>
    <t>1800 JERICHO CHURCH ROAD</t>
  </si>
  <si>
    <t>27028-4221</t>
  </si>
  <si>
    <t>K4010A0023</t>
  </si>
  <si>
    <t>H9080A0028</t>
  </si>
  <si>
    <t>ANDERSON OLIN O</t>
  </si>
  <si>
    <t>ANDERSON CONNIE F</t>
  </si>
  <si>
    <t>152 FALLINGCREEK DRIVE</t>
  </si>
  <si>
    <t>B60000000305</t>
  </si>
  <si>
    <t>M60000005001</t>
  </si>
  <si>
    <t>COLLINS CHARLES EDWARD JR</t>
  </si>
  <si>
    <t>COLLINS IRIS YVETTE</t>
  </si>
  <si>
    <t>217 APPLEWOOD ROAD</t>
  </si>
  <si>
    <t>L50000001301</t>
  </si>
  <si>
    <t>GRTR MT MORIAH MISS. BAPT CH</t>
  </si>
  <si>
    <t>PO BOX 453</t>
  </si>
  <si>
    <t>J400000021</t>
  </si>
  <si>
    <t>DAVIE COUNTY RESCUE SQUAD,INC</t>
  </si>
  <si>
    <t>1718 HIGHWAY 64 EAST</t>
  </si>
  <si>
    <t>H20000001602</t>
  </si>
  <si>
    <t>STOWERS GARY LYNN</t>
  </si>
  <si>
    <t>STOWERS MICHELE DENSON</t>
  </si>
  <si>
    <t>2598 HIGHWAY 64 WEST</t>
  </si>
  <si>
    <t>F200000047</t>
  </si>
  <si>
    <t>HOOTS GRACE SMITH</t>
  </si>
  <si>
    <t>868 RALPH RATLEDGE ROAD</t>
  </si>
  <si>
    <t>E900000523</t>
  </si>
  <si>
    <t>THARPE DERRICK</t>
  </si>
  <si>
    <t>COATES KRISTINE</t>
  </si>
  <si>
    <t>355 NORTH HIDDENBROOKE DRIVE</t>
  </si>
  <si>
    <t>G50000014301</t>
  </si>
  <si>
    <t>BROOKS LOUIE B III</t>
  </si>
  <si>
    <t>317 OAK GROVE CHURCH ROAD</t>
  </si>
  <si>
    <t>F800000126</t>
  </si>
  <si>
    <t>THOMPSON LISA DAWN</t>
  </si>
  <si>
    <t>411 ORCHARD PARK DRIVE</t>
  </si>
  <si>
    <t>D2010A0010</t>
  </si>
  <si>
    <t>SNYDER GEORGE A</t>
  </si>
  <si>
    <t>SNYDER DORIS M</t>
  </si>
  <si>
    <t>244 TIMBER TRAILS LANE</t>
  </si>
  <si>
    <t>E700000087</t>
  </si>
  <si>
    <t>ARMSWORTHY WILLIAM CHARLES</t>
  </si>
  <si>
    <t>ARMSWORTHY PEGGY P</t>
  </si>
  <si>
    <t>4572 US HIGHWAY 158</t>
  </si>
  <si>
    <t>E700000085  A</t>
  </si>
  <si>
    <t>E70000008502</t>
  </si>
  <si>
    <t>N600000056  A</t>
  </si>
  <si>
    <t>NICHOLS NOVARO</t>
  </si>
  <si>
    <t>NICHOLS JAN</t>
  </si>
  <si>
    <t>1331 N HIGHWAY 78</t>
  </si>
  <si>
    <t>BONHAM</t>
  </si>
  <si>
    <t>75418-0000</t>
  </si>
  <si>
    <t>N500000058</t>
  </si>
  <si>
    <t>COBLE THOMAS R JR</t>
  </si>
  <si>
    <t>COBLE JENNIFER J</t>
  </si>
  <si>
    <t>460 PINE RIDGE ROAD</t>
  </si>
  <si>
    <t>C500000081</t>
  </si>
  <si>
    <t>HARPE DEREK SEATS</t>
  </si>
  <si>
    <t>sjacobs</t>
  </si>
  <si>
    <t>J4060D0018</t>
  </si>
  <si>
    <t>STEWART MARK TIMOTHY</t>
  </si>
  <si>
    <t>STEWART KRISTY BURTON</t>
  </si>
  <si>
    <t>282 BIRCHWOOD LANE</t>
  </si>
  <si>
    <t>G70000014202</t>
  </si>
  <si>
    <t>BLANCO LUIS ANTONIO</t>
  </si>
  <si>
    <t>BLANCO ANA V</t>
  </si>
  <si>
    <t>C600000124</t>
  </si>
  <si>
    <t>ALEXANDER CHARLES CLAYTON</t>
  </si>
  <si>
    <t>ALEXANDER LYNDA</t>
  </si>
  <si>
    <t>1580 YADKIN VALLEY ROAD</t>
  </si>
  <si>
    <t>G80000007103</t>
  </si>
  <si>
    <t>BROOKS JANEY POOLE</t>
  </si>
  <si>
    <t>PO BOX 365</t>
  </si>
  <si>
    <t>G8050B0014</t>
  </si>
  <si>
    <t>G8050B0015</t>
  </si>
  <si>
    <t>G8050B0007</t>
  </si>
  <si>
    <t>G8050B0006</t>
  </si>
  <si>
    <t>G8050B0008</t>
  </si>
  <si>
    <t>G8050B000501</t>
  </si>
  <si>
    <t>E900000285</t>
  </si>
  <si>
    <t>BEROTH TAMSEN F</t>
  </si>
  <si>
    <t>138 SAWGRASS DRIVE</t>
  </si>
  <si>
    <t>E700000004</t>
  </si>
  <si>
    <t>I4110C0017</t>
  </si>
  <si>
    <t>BOUDREAU LOUISE H</t>
  </si>
  <si>
    <t>400 RAYMOND STREET</t>
  </si>
  <si>
    <t>F80000011107</t>
  </si>
  <si>
    <t>BEVERLY MARK</t>
  </si>
  <si>
    <t>BEVERLY LUCY</t>
  </si>
  <si>
    <t>429 POTTS ROAD</t>
  </si>
  <si>
    <t>F80000011108</t>
  </si>
  <si>
    <t>K4010A0021</t>
  </si>
  <si>
    <t>BECK ANGELA D</t>
  </si>
  <si>
    <t>BECK JAMES SIDNEY</t>
  </si>
  <si>
    <t>1828 JERICHO CHURCH ROAD</t>
  </si>
  <si>
    <t>K4010A0020</t>
  </si>
  <si>
    <t>C5130B002101</t>
  </si>
  <si>
    <t>G30000000205</t>
  </si>
  <si>
    <t>F300000029</t>
  </si>
  <si>
    <t>I700000054</t>
  </si>
  <si>
    <t>BAILEY CHARLES WAYNE</t>
  </si>
  <si>
    <t>BAILEY JUDY WHITE</t>
  </si>
  <si>
    <t>1007 FORK BIXBY ROAD</t>
  </si>
  <si>
    <t>27006-7226</t>
  </si>
  <si>
    <t>I80000000201</t>
  </si>
  <si>
    <t>C700000098</t>
  </si>
  <si>
    <t>PACK STANLY</t>
  </si>
  <si>
    <t>3455 NC HWY 801 S</t>
  </si>
  <si>
    <t>K20000001702</t>
  </si>
  <si>
    <t>CARLTON MICHAEL DAVID</t>
  </si>
  <si>
    <t>CARLTON PEGGY KOONTZ</t>
  </si>
  <si>
    <t>884 RIDGE ROAD</t>
  </si>
  <si>
    <t>27028-8342</t>
  </si>
  <si>
    <t>J5030A0011</t>
  </si>
  <si>
    <t>CRUMP BRIAN D</t>
  </si>
  <si>
    <t>CRUMP TERESA W</t>
  </si>
  <si>
    <t>176 SUNNY DELL LANE</t>
  </si>
  <si>
    <t>I200000023</t>
  </si>
  <si>
    <t>BRISTER KEVIN WAYNE</t>
  </si>
  <si>
    <t>BRISTER JENNIFER KEPLEY</t>
  </si>
  <si>
    <t>220 WOODVALE DRIVE</t>
  </si>
  <si>
    <t>27028-8478</t>
  </si>
  <si>
    <t>B700000006</t>
  </si>
  <si>
    <t>COPE DAVID ALLEN</t>
  </si>
  <si>
    <t>COPE FREIDA H</t>
  </si>
  <si>
    <t>114 NATALIES WAY</t>
  </si>
  <si>
    <t>27006-8725</t>
  </si>
  <si>
    <t>I5110B0010</t>
  </si>
  <si>
    <t>JAMES PERRY M SR</t>
  </si>
  <si>
    <t>JAMES FRANCES W</t>
  </si>
  <si>
    <t>163 WINDSONG ROAD</t>
  </si>
  <si>
    <t>I200000015</t>
  </si>
  <si>
    <t>L5010B0005</t>
  </si>
  <si>
    <t>BRADY CAROL J</t>
  </si>
  <si>
    <t>1956 NC HIGHWAY 601 SOUTH</t>
  </si>
  <si>
    <t>D9010B0023</t>
  </si>
  <si>
    <t>CURRY JACQUELINE M</t>
  </si>
  <si>
    <t>141 WARWICKE PLACE</t>
  </si>
  <si>
    <t>D7030A0031</t>
  </si>
  <si>
    <t>FOSTER JUSTIN F</t>
  </si>
  <si>
    <t>152 CREEKWOOD DRIVE</t>
  </si>
  <si>
    <t>M600000007</t>
  </si>
  <si>
    <t>MILLER RUSTY</t>
  </si>
  <si>
    <t>MILLER TAMARA</t>
  </si>
  <si>
    <t>372 PLEASANT ACRE DRIVE</t>
  </si>
  <si>
    <t>C50000002204</t>
  </si>
  <si>
    <t>SHENBERGER LEIGH STIMPSON</t>
  </si>
  <si>
    <t>SHENBERGER JOHN EDWARD</t>
  </si>
  <si>
    <t>2888 NC HIGHWAY 801 NORTH</t>
  </si>
  <si>
    <t>E9150B0040</t>
  </si>
  <si>
    <t>BURTON WILLIAM E JR ETAL</t>
  </si>
  <si>
    <t>BURTON JUDITH BROWN</t>
  </si>
  <si>
    <t>PO BOX 743</t>
  </si>
  <si>
    <t>H900000027</t>
  </si>
  <si>
    <t>BRUCE JEANETTE B</t>
  </si>
  <si>
    <t>BOWERS DIANNA LYNN</t>
  </si>
  <si>
    <t>1760 PARAGON DRIVE</t>
  </si>
  <si>
    <t>D20000000501</t>
  </si>
  <si>
    <t>BROWN PAUL RICHARD</t>
  </si>
  <si>
    <t>BROWN CAROLYN E FELTS</t>
  </si>
  <si>
    <t>221 BEN ANDERSON ROAD</t>
  </si>
  <si>
    <t>27028-5637</t>
  </si>
  <si>
    <t>H200000032</t>
  </si>
  <si>
    <t>BOGER GEORGE MITCHELL JR</t>
  </si>
  <si>
    <t>526 FRED LANIER ROAD</t>
  </si>
  <si>
    <t>C7140A0012</t>
  </si>
  <si>
    <t>BARNES RHOYD EUGENE</t>
  </si>
  <si>
    <t>BARNES CHARLOTTE</t>
  </si>
  <si>
    <t>133 CAROL STREET</t>
  </si>
  <si>
    <t>D9030A0027</t>
  </si>
  <si>
    <t>COOPER JERRY DEE</t>
  </si>
  <si>
    <t>COOPER SUE</t>
  </si>
  <si>
    <t>328 JAMES WAY</t>
  </si>
  <si>
    <t>H2060A0002</t>
  </si>
  <si>
    <t>MYERS PHILLIP RANDOLPH</t>
  </si>
  <si>
    <t>MYERS DAWN DYSON</t>
  </si>
  <si>
    <t>477 VANZANT RD</t>
  </si>
  <si>
    <t>H2060A0003</t>
  </si>
  <si>
    <t>H2060A0004</t>
  </si>
  <si>
    <t>C7140A0013</t>
  </si>
  <si>
    <t>O600000052</t>
  </si>
  <si>
    <t>ALLEN WILLIAM ARTHUR</t>
  </si>
  <si>
    <t>ALLEN MARY YOUNG</t>
  </si>
  <si>
    <t>3923 US HIGHWAY 601 SOUTH</t>
  </si>
  <si>
    <t>B7140A0006</t>
  </si>
  <si>
    <t>ARRINGTON JERRY L</t>
  </si>
  <si>
    <t>ARRINGTON CLAUDIA B</t>
  </si>
  <si>
    <t>159 VALLEY OAKS DRIVE</t>
  </si>
  <si>
    <t>L30000002605</t>
  </si>
  <si>
    <t>COUCH BOBBY RONALD</t>
  </si>
  <si>
    <t>128 SOFTAIL LANE</t>
  </si>
  <si>
    <t>27028-5368</t>
  </si>
  <si>
    <t>E8150A0004</t>
  </si>
  <si>
    <t>BOYD ALLEN M</t>
  </si>
  <si>
    <t>BOYD JULIE M</t>
  </si>
  <si>
    <t>1036 HIGHWAY 801 SOUTH</t>
  </si>
  <si>
    <t>J4060D0034</t>
  </si>
  <si>
    <t>COHEN RICHARD DEAN</t>
  </si>
  <si>
    <t>COHEN TAMRA</t>
  </si>
  <si>
    <t>205 BEECHWOOD DRIVE</t>
  </si>
  <si>
    <t>F600000106</t>
  </si>
  <si>
    <t>ALLEN GARLAND</t>
  </si>
  <si>
    <t>589 HOWARDTOWN CIRCLE</t>
  </si>
  <si>
    <t>H60000008202</t>
  </si>
  <si>
    <t>CAUDILL WILLIAM</t>
  </si>
  <si>
    <t>CAUDILL ANITA J</t>
  </si>
  <si>
    <t>278 JAMESTOWNE DRIVE</t>
  </si>
  <si>
    <t>F800000111</t>
  </si>
  <si>
    <t>D8070B0011</t>
  </si>
  <si>
    <t>SCHILAGI FRANK J</t>
  </si>
  <si>
    <t>SCHILAGI JENNIE O</t>
  </si>
  <si>
    <t>982 RIVERBEND DRIVE</t>
  </si>
  <si>
    <t>C70000013402</t>
  </si>
  <si>
    <t>CARTER PAUL DAVID</t>
  </si>
  <si>
    <t>CARTER SHARON N</t>
  </si>
  <si>
    <t>147 KERR LANE</t>
  </si>
  <si>
    <t>27006-7920</t>
  </si>
  <si>
    <t>D700000015</t>
  </si>
  <si>
    <t>CORNELISON LARRY B</t>
  </si>
  <si>
    <t>CORNELISON FRANKIE B</t>
  </si>
  <si>
    <t>133 GORDON DRIVE</t>
  </si>
  <si>
    <t>H8060A0070</t>
  </si>
  <si>
    <t>CARBONE ANTHONY</t>
  </si>
  <si>
    <t>CARBONE SANDRA</t>
  </si>
  <si>
    <t>386 COVINGTON DRIVE</t>
  </si>
  <si>
    <t>F7120A0006</t>
  </si>
  <si>
    <t>AGNER JAMES III</t>
  </si>
  <si>
    <t>AGNER ANGELA</t>
  </si>
  <si>
    <t>217 MONTCLAIR DRIVE</t>
  </si>
  <si>
    <t>I300000081</t>
  </si>
  <si>
    <t>GALE PAUL H III</t>
  </si>
  <si>
    <t>GALE SUSAN J</t>
  </si>
  <si>
    <t>M40000003003</t>
  </si>
  <si>
    <t>BROADWAY KATHERINE ANN</t>
  </si>
  <si>
    <t>1790 JUNCTION RD</t>
  </si>
  <si>
    <t>M40000002414</t>
  </si>
  <si>
    <t>M4120A0014</t>
  </si>
  <si>
    <t>F80000000806</t>
  </si>
  <si>
    <t>MILLER ALAN MICHAEL</t>
  </si>
  <si>
    <t>MILLER JESSICA B</t>
  </si>
  <si>
    <t>156 OLD MARCH RD</t>
  </si>
  <si>
    <t>E800000004</t>
  </si>
  <si>
    <t>CARTER LARRY WAYNE</t>
  </si>
  <si>
    <t>CARTER LOIS D</t>
  </si>
  <si>
    <t>115 BARR LANE</t>
  </si>
  <si>
    <t>H500000074</t>
  </si>
  <si>
    <t>COCKMAN MISTIE CLONTZ</t>
  </si>
  <si>
    <t>COCKMAN JOHN CHARLES</t>
  </si>
  <si>
    <t>1053 COUNTRY LANE</t>
  </si>
  <si>
    <t>27028-4721</t>
  </si>
  <si>
    <t>N60000002806</t>
  </si>
  <si>
    <t>BOST AMY L</t>
  </si>
  <si>
    <t>KIMMER MATTHEW</t>
  </si>
  <si>
    <t>269 PINE RIDGE ROAD</t>
  </si>
  <si>
    <t>J10000001906</t>
  </si>
  <si>
    <t>CHRISCOE RACHEL SUZANNE STROUD</t>
  </si>
  <si>
    <t>8822 E OLD US HWY 64</t>
  </si>
  <si>
    <t>F500000023</t>
  </si>
  <si>
    <t>SAIN MATTHEW DAVID</t>
  </si>
  <si>
    <t>149 BUCK MILLER ROAD</t>
  </si>
  <si>
    <t>J400000059</t>
  </si>
  <si>
    <t>ALLEN JACQUELINE R</t>
  </si>
  <si>
    <t>1344 COUNTY HOME ROAD</t>
  </si>
  <si>
    <t>M60000002602</t>
  </si>
  <si>
    <t>ANDERSON MICHAEL ERVIN</t>
  </si>
  <si>
    <t>ANDERSON PAMELA PHIBBS</t>
  </si>
  <si>
    <t>377 BECKTOWN ROAD</t>
  </si>
  <si>
    <t>27028-6606</t>
  </si>
  <si>
    <t>L300000034</t>
  </si>
  <si>
    <t>SMITH WILLIAM H</t>
  </si>
  <si>
    <t>SMITH AMANDA</t>
  </si>
  <si>
    <t>794 MR HENRY ROAD</t>
  </si>
  <si>
    <t>G500000043</t>
  </si>
  <si>
    <t>BAKER JOSEPH W</t>
  </si>
  <si>
    <t>BAKER TEENA H</t>
  </si>
  <si>
    <t>134 BOWLES ROAD</t>
  </si>
  <si>
    <t>27028-4111</t>
  </si>
  <si>
    <t>D8060B0047</t>
  </si>
  <si>
    <t>WALL DEBRA C</t>
  </si>
  <si>
    <t>130 BERMUDA RUN DRIVE SOUTH</t>
  </si>
  <si>
    <t>E200000049</t>
  </si>
  <si>
    <t>DYSON TERRY WAYNE</t>
  </si>
  <si>
    <t>DYSON SANDRA EDWARDS</t>
  </si>
  <si>
    <t>595 DUKE WHITTAKER ROAD</t>
  </si>
  <si>
    <t>E200000016</t>
  </si>
  <si>
    <t>E20000001001</t>
  </si>
  <si>
    <t>E200000050</t>
  </si>
  <si>
    <t>E200000010</t>
  </si>
  <si>
    <t>E20000000810</t>
  </si>
  <si>
    <t>E20000000811</t>
  </si>
  <si>
    <t>E20000000802</t>
  </si>
  <si>
    <t>I5050C0021</t>
  </si>
  <si>
    <t>HENNESSEY MARK G</t>
  </si>
  <si>
    <t>HENNESSEY JESSICA L</t>
  </si>
  <si>
    <t>592 WHITNEY ROAD</t>
  </si>
  <si>
    <t>G200000006</t>
  </si>
  <si>
    <t>DRAUGHN PATRICIA MCCLAMROCK</t>
  </si>
  <si>
    <t>H20000000403</t>
  </si>
  <si>
    <t>C70000011912</t>
  </si>
  <si>
    <t>DINERO CHRISTOPHER F</t>
  </si>
  <si>
    <t>DINERO ERIN W</t>
  </si>
  <si>
    <t>147 HAYWOOD DRIVE</t>
  </si>
  <si>
    <t>J4060A0006</t>
  </si>
  <si>
    <t>DOMANSKI CHRISTOPHER J</t>
  </si>
  <si>
    <t>DOMANSKI SUSAN B</t>
  </si>
  <si>
    <t>357 MAGNOLIA AVENUE</t>
  </si>
  <si>
    <t>27028-2913</t>
  </si>
  <si>
    <t>J4060A0005</t>
  </si>
  <si>
    <t>J5030A0005</t>
  </si>
  <si>
    <t>DAILEY GARY L</t>
  </si>
  <si>
    <t>DAILEY AGNES H</t>
  </si>
  <si>
    <t>184 CRESTVIEW DRIVE</t>
  </si>
  <si>
    <t>I1120A0044</t>
  </si>
  <si>
    <t>162 OAKTREE DRIVE</t>
  </si>
  <si>
    <t>I1120A0045</t>
  </si>
  <si>
    <t>I1120A0046</t>
  </si>
  <si>
    <t>I1120A0042</t>
  </si>
  <si>
    <t>I1120A0043</t>
  </si>
  <si>
    <t>M5160B0009</t>
  </si>
  <si>
    <t>COLEMAN JAN JORDAN</t>
  </si>
  <si>
    <t>PO BOX 382</t>
  </si>
  <si>
    <t>27014-0382</t>
  </si>
  <si>
    <t>E9150B0017</t>
  </si>
  <si>
    <t>DECHERT SHERRY</t>
  </si>
  <si>
    <t>149 ORCHARD PARK DRIVE</t>
  </si>
  <si>
    <t>D60000007102</t>
  </si>
  <si>
    <t>DEAL MICHAEL DEWEY</t>
  </si>
  <si>
    <t>DEAL SARAH NOBLE</t>
  </si>
  <si>
    <t>188 BOBBITT ROAD</t>
  </si>
  <si>
    <t>K8100A0005</t>
  </si>
  <si>
    <t>DAVIDSON STEVEN E</t>
  </si>
  <si>
    <t>DAVIDSON SHARRONE G</t>
  </si>
  <si>
    <t>148 PEACE COURT</t>
  </si>
  <si>
    <t>D60000006403</t>
  </si>
  <si>
    <t>DUNN TRACY S</t>
  </si>
  <si>
    <t>DUNN CHARLENE M</t>
  </si>
  <si>
    <t>1197 RAINBOW ROAD</t>
  </si>
  <si>
    <t>E8160A0010</t>
  </si>
  <si>
    <t>ALTIERI MARK T</t>
  </si>
  <si>
    <t>ALTIERI REGINA S</t>
  </si>
  <si>
    <t>189 MEADOWS EDGE DRIVE</t>
  </si>
  <si>
    <t>H100000009</t>
  </si>
  <si>
    <t>CAMPBELL LARRY M</t>
  </si>
  <si>
    <t>CAMPBELL PATRICIA B</t>
  </si>
  <si>
    <t>125 DOBY ROAD</t>
  </si>
  <si>
    <t>E9150A0014</t>
  </si>
  <si>
    <t>CLEVENGER JERRY E</t>
  </si>
  <si>
    <t>CLEVENGER NANCY G</t>
  </si>
  <si>
    <t>268 HIDDEN CREEK DRIVE</t>
  </si>
  <si>
    <t>E900000307</t>
  </si>
  <si>
    <t>CURL STEPHEN C</t>
  </si>
  <si>
    <t>CURL SUSAN S</t>
  </si>
  <si>
    <t>108 EAGLE WATCH COURT</t>
  </si>
  <si>
    <t>E900000584</t>
  </si>
  <si>
    <t>135 OLD COURSE DRIVE</t>
  </si>
  <si>
    <t>E8110C0020</t>
  </si>
  <si>
    <t>ERVIN GARY DEAN</t>
  </si>
  <si>
    <t>ERVIN JANE ANN S</t>
  </si>
  <si>
    <t>218 WESTRIDGE ROAD</t>
  </si>
  <si>
    <t>27006-9543</t>
  </si>
  <si>
    <t>H60000002101</t>
  </si>
  <si>
    <t>ETHERIDGE CHARLES T</t>
  </si>
  <si>
    <t>ETHERIDGE KRISTI LYNN</t>
  </si>
  <si>
    <t>1833 MILLING ROAD</t>
  </si>
  <si>
    <t>27028-7329</t>
  </si>
  <si>
    <t>G80000005401</t>
  </si>
  <si>
    <t>EVERETT JOE M JR</t>
  </si>
  <si>
    <t>EVERETT ASHLEY W</t>
  </si>
  <si>
    <t>120 SUNTREE ROAD</t>
  </si>
  <si>
    <t>27006-7275</t>
  </si>
  <si>
    <t>E900000050</t>
  </si>
  <si>
    <t>D700000218</t>
  </si>
  <si>
    <t>COHEN JUAN WALLACE</t>
  </si>
  <si>
    <t>COHEN JUDITH BOWLES</t>
  </si>
  <si>
    <t>5206 US HIGHWAY 158</t>
  </si>
  <si>
    <t>27006-6947</t>
  </si>
  <si>
    <t>F700000001</t>
  </si>
  <si>
    <t>COOK JEANETTE A</t>
  </si>
  <si>
    <t>210 TOGGENBURG LANE</t>
  </si>
  <si>
    <t>27028-7835</t>
  </si>
  <si>
    <t>B400000001</t>
  </si>
  <si>
    <t>ESSIC JAMES EDWARD JR</t>
  </si>
  <si>
    <t>ESSIC RUTH FORREST</t>
  </si>
  <si>
    <t>295 ESSIC ROAD</t>
  </si>
  <si>
    <t>27028-6204</t>
  </si>
  <si>
    <t>B40000000101</t>
  </si>
  <si>
    <t>G50000006204</t>
  </si>
  <si>
    <t>ESSIC D NEAL</t>
  </si>
  <si>
    <t>ESSIC BRENDA FORREST</t>
  </si>
  <si>
    <t>284 ROCK HOUSE ROAD</t>
  </si>
  <si>
    <t>27028-4322</t>
  </si>
  <si>
    <t>K300000024</t>
  </si>
  <si>
    <t>D700000054</t>
  </si>
  <si>
    <t>EATON WILLIAM CLARENCE</t>
  </si>
  <si>
    <t>EATON EVA ATKINS</t>
  </si>
  <si>
    <t>602 REDLAND ROAD</t>
  </si>
  <si>
    <t>27006-6724</t>
  </si>
  <si>
    <t>H9080A0016</t>
  </si>
  <si>
    <t>COOKE BRUCE A</t>
  </si>
  <si>
    <t>COOKE SHARON L</t>
  </si>
  <si>
    <t>199 FALLINGCREEK DRIVE</t>
  </si>
  <si>
    <t>D400000001</t>
  </si>
  <si>
    <t>WALLACE WESTON G   REVOCABLE</t>
  </si>
  <si>
    <t>WALLACE MISTY D   LIVING TRUST</t>
  </si>
  <si>
    <t>710 EATONS CHURCH ROAD</t>
  </si>
  <si>
    <t>K400000006  A</t>
  </si>
  <si>
    <t>ERB ROBERT H</t>
  </si>
  <si>
    <t>ERB KATHY E</t>
  </si>
  <si>
    <t>1653 JERICHO CHURCH ROAD</t>
  </si>
  <si>
    <t>27028-4219</t>
  </si>
  <si>
    <t>J6050A0005</t>
  </si>
  <si>
    <t>CAIN VIOLET RUTH</t>
  </si>
  <si>
    <t>182 PINE VALLEY ROAD</t>
  </si>
  <si>
    <t>N5010A0031</t>
  </si>
  <si>
    <t>CORNATZER GLENN FRANKLIN</t>
  </si>
  <si>
    <t>CORNATZER KAMMY SUE</t>
  </si>
  <si>
    <t>PO BOX 652</t>
  </si>
  <si>
    <t>27014-0652</t>
  </si>
  <si>
    <t>J800000004</t>
  </si>
  <si>
    <t>CARTER PEGGY H</t>
  </si>
  <si>
    <t>27006-7219</t>
  </si>
  <si>
    <t>L5070A0014</t>
  </si>
  <si>
    <t>FULTON JUSTICE C TRSTEE</t>
  </si>
  <si>
    <t>FULTON MARGARET C TRSTEE</t>
  </si>
  <si>
    <t>127 FAIRFIELD ROAD</t>
  </si>
  <si>
    <t>I20000003702</t>
  </si>
  <si>
    <t>I20000003701</t>
  </si>
  <si>
    <t>I300000001</t>
  </si>
  <si>
    <t>I500000049</t>
  </si>
  <si>
    <t>CROTTS MATTHEW NEAL</t>
  </si>
  <si>
    <t>CROTTS ASHLEY BENNETT</t>
  </si>
  <si>
    <t>159 PETE FOSTER ROAD</t>
  </si>
  <si>
    <t>E900000520</t>
  </si>
  <si>
    <t>ASBURY MICHAEL ANGELO</t>
  </si>
  <si>
    <t>ASBURY KIM PAYNE</t>
  </si>
  <si>
    <t>381 HIDDENBROOKE DRIVE</t>
  </si>
  <si>
    <t>G600000029</t>
  </si>
  <si>
    <t>BOGGS GARY D CO-TRUSTEE</t>
  </si>
  <si>
    <t>BOGGS SUE M CO-TRUSTEE</t>
  </si>
  <si>
    <t>516 DULIN ROAD</t>
  </si>
  <si>
    <t>D70000005301</t>
  </si>
  <si>
    <t>SMITH HEATHER SUZANNE</t>
  </si>
  <si>
    <t>127 GENES WAY</t>
  </si>
  <si>
    <t>D70000005305</t>
  </si>
  <si>
    <t>C20000000802</t>
  </si>
  <si>
    <t>SHOFFNER PHILLIP SHANNON</t>
  </si>
  <si>
    <t>153 SHOFFNER ROAD</t>
  </si>
  <si>
    <t>I70000006402</t>
  </si>
  <si>
    <t>WARD DAVID</t>
  </si>
  <si>
    <t>WARD CHERYL S</t>
  </si>
  <si>
    <t>287 MOHAWK LANE</t>
  </si>
  <si>
    <t>B70000000701</t>
  </si>
  <si>
    <t>D7030A0015</t>
  </si>
  <si>
    <t>BOYLES R RANDALL</t>
  </si>
  <si>
    <t>BOYLES JOAN S</t>
  </si>
  <si>
    <t>176 CHARLOTTE PLACE</t>
  </si>
  <si>
    <t>27006-9439</t>
  </si>
  <si>
    <t>E20000001506</t>
  </si>
  <si>
    <t>SHOFFNER LEONARD LEE</t>
  </si>
  <si>
    <t>SHOFFNER STACIE ELLENANN</t>
  </si>
  <si>
    <t>122 BUCKINGHAM LANE</t>
  </si>
  <si>
    <t>G7040A0008</t>
  </si>
  <si>
    <t>MAYES KAREN DENISE</t>
  </si>
  <si>
    <t>156 SONORA DRIVE</t>
  </si>
  <si>
    <t>I6140A0043</t>
  </si>
  <si>
    <t>GROFF KEVIN</t>
  </si>
  <si>
    <t>MAGOTO-GROFF WENDOLYN</t>
  </si>
  <si>
    <t>146 LAKEVIEW ROAD</t>
  </si>
  <si>
    <t>K50000009305</t>
  </si>
  <si>
    <t>DRAUGHN MICHAEL R</t>
  </si>
  <si>
    <t>DRAUGHN TERESA A</t>
  </si>
  <si>
    <t>272 GOLDMAN LANE</t>
  </si>
  <si>
    <t>E20000000603</t>
  </si>
  <si>
    <t>DYSON CARLTON BRIAN</t>
  </si>
  <si>
    <t>168 DYSON ROAD</t>
  </si>
  <si>
    <t>27028-5752</t>
  </si>
  <si>
    <t>H200000003</t>
  </si>
  <si>
    <t>DRAUGHN RICKY L</t>
  </si>
  <si>
    <t>410 CALAHALN ROAD</t>
  </si>
  <si>
    <t>27028-8109</t>
  </si>
  <si>
    <t>H20000000402</t>
  </si>
  <si>
    <t>G100000014</t>
  </si>
  <si>
    <t>DYSON DORIS K</t>
  </si>
  <si>
    <t>DYSON LARRY E</t>
  </si>
  <si>
    <t>1469 COUNTY LINE ROAD</t>
  </si>
  <si>
    <t>D8070D0030</t>
  </si>
  <si>
    <t>DAVIS CAROLYN H</t>
  </si>
  <si>
    <t>180 FAIRWAY DRIVE</t>
  </si>
  <si>
    <t>C200000025</t>
  </si>
  <si>
    <t>GROSE JAMES DAVID</t>
  </si>
  <si>
    <t>128 OLLIE HARKEY ROAD</t>
  </si>
  <si>
    <t>27055-6383</t>
  </si>
  <si>
    <t>D7030A0014</t>
  </si>
  <si>
    <t>GREENE JOSHUA DAVID</t>
  </si>
  <si>
    <t>175 CHARLOTTE PLACE</t>
  </si>
  <si>
    <t>E700000131</t>
  </si>
  <si>
    <t>GREENWOOD JAMES K</t>
  </si>
  <si>
    <t>GREENWOOD MARGARET S</t>
  </si>
  <si>
    <t>149 PRIMROSE RD</t>
  </si>
  <si>
    <t>27006-7576</t>
  </si>
  <si>
    <t>H70000007011</t>
  </si>
  <si>
    <t>BURTON RONALD GRAY</t>
  </si>
  <si>
    <t>PO BOX 104</t>
  </si>
  <si>
    <t>H70000007012</t>
  </si>
  <si>
    <t>H70000007002</t>
  </si>
  <si>
    <t>D8070A0019</t>
  </si>
  <si>
    <t>GOLDING ERNEST GENE</t>
  </si>
  <si>
    <t>GOLDING VIOLET S</t>
  </si>
  <si>
    <t>1046 RIVERBEND DR</t>
  </si>
  <si>
    <t>E8160A0015</t>
  </si>
  <si>
    <t>EDWARDS ADAM M</t>
  </si>
  <si>
    <t>EDWARDS NANCY C</t>
  </si>
  <si>
    <t>186 MEADOWS EDGE DRIVE</t>
  </si>
  <si>
    <t>N60000007715</t>
  </si>
  <si>
    <t>LEWTAK TOMASZ</t>
  </si>
  <si>
    <t>LEWTAK JOLANTA</t>
  </si>
  <si>
    <t>211 PARSLEY LANE</t>
  </si>
  <si>
    <t>N60000007722</t>
  </si>
  <si>
    <t>D40000000101</t>
  </si>
  <si>
    <t>C5130B0030</t>
  </si>
  <si>
    <t>CREWS DAVID MILTON</t>
  </si>
  <si>
    <t>332 BURKEWOOD DRIVE</t>
  </si>
  <si>
    <t>O60000003105</t>
  </si>
  <si>
    <t>DEPUEW SANDRA D</t>
  </si>
  <si>
    <t>DEPUEW MICHAEL W</t>
  </si>
  <si>
    <t>143 MOHEGAN TRAIL</t>
  </si>
  <si>
    <t>27028-6939</t>
  </si>
  <si>
    <t>H5060A0003</t>
  </si>
  <si>
    <t>FANNING DEBORAH G</t>
  </si>
  <si>
    <t>129 BRADFORD PLACE</t>
  </si>
  <si>
    <t>F10000001214</t>
  </si>
  <si>
    <t>FRANKLIN RICKY A</t>
  </si>
  <si>
    <t>288 GETTA WAY</t>
  </si>
  <si>
    <t>27028-5961</t>
  </si>
  <si>
    <t>C8010A0354</t>
  </si>
  <si>
    <t>FOWLER GAITHER SCOTT</t>
  </si>
  <si>
    <t>FOWLER MARY</t>
  </si>
  <si>
    <t>151 KILBOURNE DRIVE</t>
  </si>
  <si>
    <t>B500000072</t>
  </si>
  <si>
    <t>FALLS MICHAEL D</t>
  </si>
  <si>
    <t>FALLS ALISON L</t>
  </si>
  <si>
    <t>176 PINEVILLE ROAD</t>
  </si>
  <si>
    <t>27028-6239</t>
  </si>
  <si>
    <t>L500000060</t>
  </si>
  <si>
    <t>HUFFMAN BERT ELMORE</t>
  </si>
  <si>
    <t>HUFFMAN JUDY MILLER</t>
  </si>
  <si>
    <t>172 OAKDALE CIRCLE</t>
  </si>
  <si>
    <t>27028-6743</t>
  </si>
  <si>
    <t>L500000059</t>
  </si>
  <si>
    <t>I4050C0002</t>
  </si>
  <si>
    <t>POTTS LINDA G</t>
  </si>
  <si>
    <t>2113 HOGAN POINT DRIVE</t>
  </si>
  <si>
    <t>J70000000101</t>
  </si>
  <si>
    <t>JOHNSON CHRISTOPHER L</t>
  </si>
  <si>
    <t>347 NO CREEK ROAD</t>
  </si>
  <si>
    <t>27028-7342</t>
  </si>
  <si>
    <t>D9010E0017</t>
  </si>
  <si>
    <t>GARCIA CHRISTOPHER</t>
  </si>
  <si>
    <t>GARCIA CELESTE</t>
  </si>
  <si>
    <t>137 RIVER HILL DRIVE</t>
  </si>
  <si>
    <t>G7040A0040</t>
  </si>
  <si>
    <t>G7040A0054</t>
  </si>
  <si>
    <t>G7040A0053</t>
  </si>
  <si>
    <t>K50000002901</t>
  </si>
  <si>
    <t>BROGDON DORCAS A JAMES</t>
  </si>
  <si>
    <t>J100000048</t>
  </si>
  <si>
    <t>HOCHSTEDLER DALE</t>
  </si>
  <si>
    <t>HOCHSTEDLER LUCINDA J</t>
  </si>
  <si>
    <t>187 SERENITY DRIVE</t>
  </si>
  <si>
    <t>G900000021</t>
  </si>
  <si>
    <t>HALVER TODD</t>
  </si>
  <si>
    <t>HALVER CHERYL</t>
  </si>
  <si>
    <t>PO BOX 116</t>
  </si>
  <si>
    <t>B700000041</t>
  </si>
  <si>
    <t>GOBBLE SANDRA MARTIN</t>
  </si>
  <si>
    <t>172 JESSE KING ROAD</t>
  </si>
  <si>
    <t>27006-8726</t>
  </si>
  <si>
    <t>C40000006401</t>
  </si>
  <si>
    <t>GLASSCOCK THOMAS F</t>
  </si>
  <si>
    <t>GLASSCOCK MARGARET B</t>
  </si>
  <si>
    <t>243 DANCE HALL ROAD</t>
  </si>
  <si>
    <t>27028-6266</t>
  </si>
  <si>
    <t>J30000002306</t>
  </si>
  <si>
    <t>MATLOCK JONATHAN</t>
  </si>
  <si>
    <t>MATLOCK STACY</t>
  </si>
  <si>
    <t>825 GREENHILL ROAD</t>
  </si>
  <si>
    <t>J7010A0005</t>
  </si>
  <si>
    <t>HARRIS TIMOTHY RAY</t>
  </si>
  <si>
    <t>137 HICKORY TREE ROAD</t>
  </si>
  <si>
    <t>27028-7228</t>
  </si>
  <si>
    <t>F80000013904</t>
  </si>
  <si>
    <t>HANES KENT A</t>
  </si>
  <si>
    <t>104 HEAVENLY LANE</t>
  </si>
  <si>
    <t>27006-7652</t>
  </si>
  <si>
    <t>G90000000301</t>
  </si>
  <si>
    <t>GREGORY CHRISTOPHER R</t>
  </si>
  <si>
    <t>GREGORY KIMBERLY R</t>
  </si>
  <si>
    <t>206 BAILEY ROAD</t>
  </si>
  <si>
    <t>27006-7403</t>
  </si>
  <si>
    <t>E8110B0018</t>
  </si>
  <si>
    <t>GENTRY JOHN DALLAS</t>
  </si>
  <si>
    <t>GENTRY SHIRLEY JANE</t>
  </si>
  <si>
    <t>328 WAUGH STREET</t>
  </si>
  <si>
    <t>JEFFERSON</t>
  </si>
  <si>
    <t>28640-0000</t>
  </si>
  <si>
    <t>B20000000201</t>
  </si>
  <si>
    <t>L800000011</t>
  </si>
  <si>
    <t>GODBEY DEAN</t>
  </si>
  <si>
    <t>GODBEY SHELIA</t>
  </si>
  <si>
    <t>535 RIVERVIEW ROAD</t>
  </si>
  <si>
    <t>L800000010  A</t>
  </si>
  <si>
    <t>E5020A0004</t>
  </si>
  <si>
    <t>GREER KEVIN W</t>
  </si>
  <si>
    <t>GREER ALISON B</t>
  </si>
  <si>
    <t>110 GREENE COURT</t>
  </si>
  <si>
    <t>E70000005901</t>
  </si>
  <si>
    <t>HARRIS DOLLEETA H</t>
  </si>
  <si>
    <t>514 JUNEY BEAUCHAMP ROAD</t>
  </si>
  <si>
    <t>E300000039</t>
  </si>
  <si>
    <t>HUDSON JIMMY LEE</t>
  </si>
  <si>
    <t>HUDSON CHARLENE R</t>
  </si>
  <si>
    <t>814 RICHIE ROAD</t>
  </si>
  <si>
    <t>27028-4929</t>
  </si>
  <si>
    <t>G600000018</t>
  </si>
  <si>
    <t>FRANK MICHAEL D</t>
  </si>
  <si>
    <t>P O BOX 524</t>
  </si>
  <si>
    <t>27023-0524</t>
  </si>
  <si>
    <t>E30000005901</t>
  </si>
  <si>
    <t>HILTON BRANDON CLARK</t>
  </si>
  <si>
    <t>565 RICHIE ROAD</t>
  </si>
  <si>
    <t>E900000679</t>
  </si>
  <si>
    <t>GILLIAM RYAN</t>
  </si>
  <si>
    <t>GILLIAM MARY</t>
  </si>
  <si>
    <t>454 NORTH HIDDENBROOKE DRIVE</t>
  </si>
  <si>
    <t>I4130D0024</t>
  </si>
  <si>
    <t>HORN CLAUDE R JR</t>
  </si>
  <si>
    <t>190 NORTH MAIN STREET</t>
  </si>
  <si>
    <t>27028-2423</t>
  </si>
  <si>
    <t>H4190A0014</t>
  </si>
  <si>
    <t>I4130D0008</t>
  </si>
  <si>
    <t>D60000001601</t>
  </si>
  <si>
    <t>HOWELL RONALD GENE</t>
  </si>
  <si>
    <t>926 RAINBOW ROAD</t>
  </si>
  <si>
    <t>I5020B000501</t>
  </si>
  <si>
    <t>HARPE BRENDA DAY</t>
  </si>
  <si>
    <t>PO BOX 502</t>
  </si>
  <si>
    <t>F90000001810</t>
  </si>
  <si>
    <t>HARTMAN ZACHARY L</t>
  </si>
  <si>
    <t>HARTMAN EMILY P</t>
  </si>
  <si>
    <t>449 VOGLER ROAD</t>
  </si>
  <si>
    <t>D7090A0010</t>
  </si>
  <si>
    <t>HUGAR MICHAEL LEROY</t>
  </si>
  <si>
    <t>145 IDLEWILD ROAD</t>
  </si>
  <si>
    <t>H7030A0043</t>
  </si>
  <si>
    <t>HAYES DONALD G</t>
  </si>
  <si>
    <t>128 BRIAR CREEK ROAD</t>
  </si>
  <si>
    <t>27006-7151</t>
  </si>
  <si>
    <t>J4060A0013</t>
  </si>
  <si>
    <t>MILLER GLENN EDWARD</t>
  </si>
  <si>
    <t>MILLER DORIS GREGSON</t>
  </si>
  <si>
    <t>269 MAGNOLIA AVENUE</t>
  </si>
  <si>
    <t>I700000018</t>
  </si>
  <si>
    <t>JONES DONALD RAY</t>
  </si>
  <si>
    <t>JONES DOROTHY CAUDLE</t>
  </si>
  <si>
    <t>495 NO CREEK ROAD</t>
  </si>
  <si>
    <t>I700000087</t>
  </si>
  <si>
    <t>I700000090</t>
  </si>
  <si>
    <t>D60000004002</t>
  </si>
  <si>
    <t>HUTCHENS BILLY SCOTT</t>
  </si>
  <si>
    <t>HUTCHENS JEANNE T</t>
  </si>
  <si>
    <t>116 BILLS WAY</t>
  </si>
  <si>
    <t>27006-6649</t>
  </si>
  <si>
    <t>K500000053</t>
  </si>
  <si>
    <t>JOHNSON HELGIA MAE DAVIS</t>
  </si>
  <si>
    <t>124 HOLIDAY LANE</t>
  </si>
  <si>
    <t>27028-5308</t>
  </si>
  <si>
    <t>M700000003</t>
  </si>
  <si>
    <t>JETER ROBERT RUSSELL TRUSTEE</t>
  </si>
  <si>
    <t>JETER ANDREW S</t>
  </si>
  <si>
    <t>291 HARTLEY ROAD</t>
  </si>
  <si>
    <t>27028-6652</t>
  </si>
  <si>
    <t>M600000049</t>
  </si>
  <si>
    <t>I600000055</t>
  </si>
  <si>
    <t>HICKERNELL JEFFERY A</t>
  </si>
  <si>
    <t>HICKERNELL NATALIE M</t>
  </si>
  <si>
    <t>244 CHESTNUT TRAIL</t>
  </si>
  <si>
    <t>D70000001501</t>
  </si>
  <si>
    <t>JOHNSON JACQUELINE H</t>
  </si>
  <si>
    <t>175 FAIRWAY DRIVE</t>
  </si>
  <si>
    <t>C200000031</t>
  </si>
  <si>
    <t>JARRETT CRAIG DARIUS</t>
  </si>
  <si>
    <t>934 OVERBROOK DRIVE</t>
  </si>
  <si>
    <t>THOMASVILLE</t>
  </si>
  <si>
    <t>27360-0000</t>
  </si>
  <si>
    <t>G9090B0048</t>
  </si>
  <si>
    <t>JONES WILLIAM D</t>
  </si>
  <si>
    <t>JONES CHARLENE</t>
  </si>
  <si>
    <t>215 OLD MARCH ROAD</t>
  </si>
  <si>
    <t>E70000005902</t>
  </si>
  <si>
    <t>J7010A0006</t>
  </si>
  <si>
    <t>I700000004</t>
  </si>
  <si>
    <t>MUSSELMAN KURT ANDREW</t>
  </si>
  <si>
    <t>MUSSELMAN TAMMY STROUP</t>
  </si>
  <si>
    <t>566 MERRELLS LAKE ROAD</t>
  </si>
  <si>
    <t>L5100A0003</t>
  </si>
  <si>
    <t>HAYES DANA LEE</t>
  </si>
  <si>
    <t>151 HAYES LANE</t>
  </si>
  <si>
    <t>H70000000901</t>
  </si>
  <si>
    <t>SHAVER JOHN J</t>
  </si>
  <si>
    <t>SHAVER KRISTLE R</t>
  </si>
  <si>
    <t>226 RALPH ROAD</t>
  </si>
  <si>
    <t>E50000000403</t>
  </si>
  <si>
    <t>GARDNER TIMOTHY O</t>
  </si>
  <si>
    <t>GARDNER SARA P</t>
  </si>
  <si>
    <t>136 STONE MEADOWS LANE</t>
  </si>
  <si>
    <t>27028-6296</t>
  </si>
  <si>
    <t>M5090C0018</t>
  </si>
  <si>
    <t>NEW SHEPHERD BAPTIST CHURCH OF</t>
  </si>
  <si>
    <t>COOLEEMEE NC, A NCNP CORP.</t>
  </si>
  <si>
    <t>PO BOX 548</t>
  </si>
  <si>
    <t>M5090C0011</t>
  </si>
  <si>
    <t>F600000016</t>
  </si>
  <si>
    <t>HICKS GREGORY SCOTT</t>
  </si>
  <si>
    <t>HICKS TAMMY LYNN</t>
  </si>
  <si>
    <t>3257 US HIGHWAY 158</t>
  </si>
  <si>
    <t>D3010A0040</t>
  </si>
  <si>
    <t>KISER LARRY D</t>
  </si>
  <si>
    <t>KISER CAROLYN</t>
  </si>
  <si>
    <t>181 GREENFIELD ROAD</t>
  </si>
  <si>
    <t>F80000002104</t>
  </si>
  <si>
    <t>HARRINGTON WILLIAM EUGENE III</t>
  </si>
  <si>
    <t>HARRINGTON JULIE MEYER</t>
  </si>
  <si>
    <t>232 BEAUCHAMP ROAD</t>
  </si>
  <si>
    <t>F80000002105</t>
  </si>
  <si>
    <t>K8100A0011</t>
  </si>
  <si>
    <t>GIURINTANO BARBARA M</t>
  </si>
  <si>
    <t>GIURINTANO PHIL</t>
  </si>
  <si>
    <t>135 PEACE COURT</t>
  </si>
  <si>
    <t>H5170A0033</t>
  </si>
  <si>
    <t>GILLILAND STEPHEN P</t>
  </si>
  <si>
    <t>GILLILAND DIANE S</t>
  </si>
  <si>
    <t>297 CANYON ROAD</t>
  </si>
  <si>
    <t>H70000007004</t>
  </si>
  <si>
    <t>HOOTS ROBIN D</t>
  </si>
  <si>
    <t>HOOTS VICKEY P</t>
  </si>
  <si>
    <t>230 BAILEY CHAPEL ROAD</t>
  </si>
  <si>
    <t>C8010A0369</t>
  </si>
  <si>
    <t>BOWMAN STEPHANIE A</t>
  </si>
  <si>
    <t>128 KILBOURNE DRIVE</t>
  </si>
  <si>
    <t>E900000342</t>
  </si>
  <si>
    <t>BOSWELL SCOTT C</t>
  </si>
  <si>
    <t>BOSWELL SANDRA C</t>
  </si>
  <si>
    <t>531 OAK VALLEY BOULEVARD</t>
  </si>
  <si>
    <t>G7010A0007</t>
  </si>
  <si>
    <t>BOWLES JOHN FRANK</t>
  </si>
  <si>
    <t>BOWLES LINDA T</t>
  </si>
  <si>
    <t>210 BALTIMORE DOWNS ROAD</t>
  </si>
  <si>
    <t>I4010A0079</t>
  </si>
  <si>
    <t>TURNER CHARLES M JR</t>
  </si>
  <si>
    <t>TURNER CONSTANCE LEE</t>
  </si>
  <si>
    <t>126 NORTH WENTWORTH DRIVE</t>
  </si>
  <si>
    <t>I5080E0010</t>
  </si>
  <si>
    <t>HUNTER ERNEST M</t>
  </si>
  <si>
    <t>HUNTER ELIZABETH J</t>
  </si>
  <si>
    <t>846 NORTH MAIN STREET</t>
  </si>
  <si>
    <t>27028-2126</t>
  </si>
  <si>
    <t>K700000065</t>
  </si>
  <si>
    <t>BROWN CHRISTOPHER</t>
  </si>
  <si>
    <t>BROWN JERRI</t>
  </si>
  <si>
    <t>531 CEDAR GROVE CHURCH ROAD</t>
  </si>
  <si>
    <t>C70000011917</t>
  </si>
  <si>
    <t>HUTCHERSON JAMES P</t>
  </si>
  <si>
    <t>HUTCHERSON ELIZABETH R</t>
  </si>
  <si>
    <t>166 HAYWOOD DRIVE</t>
  </si>
  <si>
    <t>C700000062</t>
  </si>
  <si>
    <t>HOCKADAY RICHARD DAVID</t>
  </si>
  <si>
    <t>HOCKADAY CATHY WHITAKER</t>
  </si>
  <si>
    <t>500 HILLCREST DRIVE</t>
  </si>
  <si>
    <t>27006-7610</t>
  </si>
  <si>
    <t>E80000000601</t>
  </si>
  <si>
    <t>H90000001601</t>
  </si>
  <si>
    <t>HOWERTON RUSSELL MARS</t>
  </si>
  <si>
    <t>HOWERTON PAMELA M</t>
  </si>
  <si>
    <t>768 PEOPLES CREEK ROAD</t>
  </si>
  <si>
    <t>D7010A0025</t>
  </si>
  <si>
    <t>HENDRIX DONALD WAYNE</t>
  </si>
  <si>
    <t>HENDRIX RHONDA B</t>
  </si>
  <si>
    <t>132 LITTLE JOHN DRIVE</t>
  </si>
  <si>
    <t>F3130A0002</t>
  </si>
  <si>
    <t>GRUBB JUDITH BATES</t>
  </si>
  <si>
    <t>GRUBB NORMAN JERROL</t>
  </si>
  <si>
    <t>114 PEPPERSTONE DRIVE</t>
  </si>
  <si>
    <t>K500000054</t>
  </si>
  <si>
    <t>D8070D0021</t>
  </si>
  <si>
    <t>B500000076</t>
  </si>
  <si>
    <t>JOYNER BONNIE TRIVETTE</t>
  </si>
  <si>
    <t>JOYNER JIMMY L</t>
  </si>
  <si>
    <t>155 PINEVILLE ROAD</t>
  </si>
  <si>
    <t>G20000005001</t>
  </si>
  <si>
    <t>LANIER KENNETH A JR</t>
  </si>
  <si>
    <t>LANIER KRISTI J</t>
  </si>
  <si>
    <t>531 FRED LANIER ROAD</t>
  </si>
  <si>
    <t>G50000013001</t>
  </si>
  <si>
    <t>EVANS JAMES A</t>
  </si>
  <si>
    <t>164 WHITAKER  ROAD</t>
  </si>
  <si>
    <t>L50000002801</t>
  </si>
  <si>
    <t>K700000075</t>
  </si>
  <si>
    <t>CLAYTON LAWRENCE</t>
  </si>
  <si>
    <t>CLAYTON LINDA M</t>
  </si>
  <si>
    <t>60 BALDWIN STREET  APT 2A</t>
  </si>
  <si>
    <t>BLOOMFIELD</t>
  </si>
  <si>
    <t>M5100A0012</t>
  </si>
  <si>
    <t>I5060B0021</t>
  </si>
  <si>
    <t>WASHINGTON OLIVER J</t>
  </si>
  <si>
    <t>WASHINGTON SABRINA A</t>
  </si>
  <si>
    <t>399 FULTON STREET</t>
  </si>
  <si>
    <t>27028-2807</t>
  </si>
  <si>
    <t>EXEC</t>
  </si>
  <si>
    <t>E8100C0003</t>
  </si>
  <si>
    <t>LARRABEE ROBERT A</t>
  </si>
  <si>
    <t>LARRABEE LINDA W</t>
  </si>
  <si>
    <t>154 BROOKDALE DRIVE</t>
  </si>
  <si>
    <t>G9090B0066</t>
  </si>
  <si>
    <t>KOEVAL PATRICIA S</t>
  </si>
  <si>
    <t>214 OLD MARCH ROAD</t>
  </si>
  <si>
    <t>E6050A0002</t>
  </si>
  <si>
    <t>LEONARD LAWRENCE J</t>
  </si>
  <si>
    <t>LEONARD JOYCE J</t>
  </si>
  <si>
    <t>4111 US HIGHWAY 158</t>
  </si>
  <si>
    <t>27006-6940</t>
  </si>
  <si>
    <t>E6050A0001</t>
  </si>
  <si>
    <t>G3060A0038</t>
  </si>
  <si>
    <t>LEONARD MARK A</t>
  </si>
  <si>
    <t>LEONARD PAULA A</t>
  </si>
  <si>
    <t>257 STONY BROOK TRAIL</t>
  </si>
  <si>
    <t>E300000002</t>
  </si>
  <si>
    <t>KELLER BOBBY JAMES JR</t>
  </si>
  <si>
    <t>KELLER JENNIFER BARNEY</t>
  </si>
  <si>
    <t>708 LIBERTY CHURCH ROAD</t>
  </si>
  <si>
    <t>G700000023</t>
  </si>
  <si>
    <t>KNAPP LETTY F</t>
  </si>
  <si>
    <t>125 SPRY LANE</t>
  </si>
  <si>
    <t>H30000007901</t>
  </si>
  <si>
    <t>ONEAL FRANKLIN L</t>
  </si>
  <si>
    <t>139 TUTTEROW ROAD</t>
  </si>
  <si>
    <t>N50000002301</t>
  </si>
  <si>
    <t>BROADWAY KENNETH DALE</t>
  </si>
  <si>
    <t>222 BROADWAY ROAD</t>
  </si>
  <si>
    <t>N50000002309</t>
  </si>
  <si>
    <t>H300000079</t>
  </si>
  <si>
    <t>G50000000903</t>
  </si>
  <si>
    <t>SIMMONS DONNIE RAY</t>
  </si>
  <si>
    <t>SIMMONS ANGELA K</t>
  </si>
  <si>
    <t>1121 BEAUCHAMP ROAD</t>
  </si>
  <si>
    <t>C8010A0181</t>
  </si>
  <si>
    <t>JESSEE REBECCA R</t>
  </si>
  <si>
    <t>189 OLD TOWNE DRIVE</t>
  </si>
  <si>
    <t>I70000000302</t>
  </si>
  <si>
    <t>MAGINNIS TRACI MCINTRYRE</t>
  </si>
  <si>
    <t>613 MERRELLS LAKE ROAD</t>
  </si>
  <si>
    <t>M50000001306</t>
  </si>
  <si>
    <t>LINK CHRISTOPHER</t>
  </si>
  <si>
    <t>129 GUINEVERE LANE</t>
  </si>
  <si>
    <t>E30000004502</t>
  </si>
  <si>
    <t>NAYLOR JAMES WATSON</t>
  </si>
  <si>
    <t>NAYLOR LYNN</t>
  </si>
  <si>
    <t>596 RICHIE ROAD</t>
  </si>
  <si>
    <t>E300000045</t>
  </si>
  <si>
    <t>H5170A0056</t>
  </si>
  <si>
    <t>REECE BRADLEY S</t>
  </si>
  <si>
    <t>REECE KARI C</t>
  </si>
  <si>
    <t>147 ARBOR HILL AVENUE</t>
  </si>
  <si>
    <t>D30000005301</t>
  </si>
  <si>
    <t>MASON PAUL HARRISON III</t>
  </si>
  <si>
    <t>MASON TAMA B</t>
  </si>
  <si>
    <t>173 LEANNE LANE</t>
  </si>
  <si>
    <t>27028-4843</t>
  </si>
  <si>
    <t>D30000005303</t>
  </si>
  <si>
    <t>D30000005302</t>
  </si>
  <si>
    <t>D30000005101</t>
  </si>
  <si>
    <t>D30000005102</t>
  </si>
  <si>
    <t>L700000025</t>
  </si>
  <si>
    <t>MASSEY THOMAS RICHARD</t>
  </si>
  <si>
    <t>MASSEY SUE A</t>
  </si>
  <si>
    <t>5251 NC HIGWAY 801 SOUTH</t>
  </si>
  <si>
    <t>F1030A0012</t>
  </si>
  <si>
    <t>MATHIS NATHANAEL J</t>
  </si>
  <si>
    <t>WITTKE KATHERINE M</t>
  </si>
  <si>
    <t>127 MOLLIE ROAD</t>
  </si>
  <si>
    <t>M60000005301</t>
  </si>
  <si>
    <t>STEPHENS LAWRENCE H</t>
  </si>
  <si>
    <t>714 CHERRY HILL ROAD</t>
  </si>
  <si>
    <t>M600000052</t>
  </si>
  <si>
    <t>C7150A0007</t>
  </si>
  <si>
    <t>THOMAS JAMES K</t>
  </si>
  <si>
    <t>THOMAS DOREEN L</t>
  </si>
  <si>
    <t>203 WOODBURN PLACE</t>
  </si>
  <si>
    <t>27006-9422</t>
  </si>
  <si>
    <t>E30000001302</t>
  </si>
  <si>
    <t>MAURER TERRI D</t>
  </si>
  <si>
    <t>MAURER MATTHEW FRED</t>
  </si>
  <si>
    <t>208 EDWARD BECK ROAD</t>
  </si>
  <si>
    <t>E70000011103</t>
  </si>
  <si>
    <t>MALCOM CHARLES E</t>
  </si>
  <si>
    <t>MALCOM MARJORIE C</t>
  </si>
  <si>
    <t>125 LAURENS COURT</t>
  </si>
  <si>
    <t>J5010D0065</t>
  </si>
  <si>
    <t>HENDRICKS ROBERT JACKSON</t>
  </si>
  <si>
    <t>HENDRICKS KATHERINE O</t>
  </si>
  <si>
    <t>134 APPLEGATE COURT</t>
  </si>
  <si>
    <t>E8150A0016</t>
  </si>
  <si>
    <t>JOYCE DONALD R</t>
  </si>
  <si>
    <t>JOYCE DIANE J</t>
  </si>
  <si>
    <t>391 HILLCREST DRIVE</t>
  </si>
  <si>
    <t>I5050A0052</t>
  </si>
  <si>
    <t>SMITH MATTHEW</t>
  </si>
  <si>
    <t>SMITH LISA</t>
  </si>
  <si>
    <t>103 META BREEZE LANE</t>
  </si>
  <si>
    <t>B10000000805</t>
  </si>
  <si>
    <t>CAUDLE JOE D</t>
  </si>
  <si>
    <t>CAUDLE ANGELA T</t>
  </si>
  <si>
    <t>2682 LIBERTY CHURCH ROAD</t>
  </si>
  <si>
    <t>H5150B0008</t>
  </si>
  <si>
    <t>LANE ALLEN</t>
  </si>
  <si>
    <t>LANE LORI</t>
  </si>
  <si>
    <t>277 DOGWOOD LANE</t>
  </si>
  <si>
    <t>L30000002002</t>
  </si>
  <si>
    <t>LANIER WILLIAM KEITH</t>
  </si>
  <si>
    <t>LANIER PATRICIA GAIL</t>
  </si>
  <si>
    <t>562 RATLEDGE ROAD</t>
  </si>
  <si>
    <t>E300000060</t>
  </si>
  <si>
    <t>LANNING HAROLD DAVID JR</t>
  </si>
  <si>
    <t>E300000041</t>
  </si>
  <si>
    <t>E30000006103</t>
  </si>
  <si>
    <t>D300000025</t>
  </si>
  <si>
    <t>F800000021</t>
  </si>
  <si>
    <t>LEAB BILLY MAX</t>
  </si>
  <si>
    <t>LEAB BOBBIE R</t>
  </si>
  <si>
    <t>154 BEAUCHAMP ROAD</t>
  </si>
  <si>
    <t>G600000089</t>
  </si>
  <si>
    <t>MCLAIN CLYDE DANA JR</t>
  </si>
  <si>
    <t>MCLAIN LYNN ETHERIDGE</t>
  </si>
  <si>
    <t>738 DULIN ROAD</t>
  </si>
  <si>
    <t>J4060B0009</t>
  </si>
  <si>
    <t>LITTLE HARRY M</t>
  </si>
  <si>
    <t>LITTLE AMELIA G</t>
  </si>
  <si>
    <t>294 HOLLY LANE</t>
  </si>
  <si>
    <t>K80000000106</t>
  </si>
  <si>
    <t>MCMILLAN GERALD THOMAS</t>
  </si>
  <si>
    <t>MCMILLAN ANITA L</t>
  </si>
  <si>
    <t>336 SHADOW LANE</t>
  </si>
  <si>
    <t>L4130A0009</t>
  </si>
  <si>
    <t>LONG STEWART ALAN</t>
  </si>
  <si>
    <t>LONG LYNN</t>
  </si>
  <si>
    <t>139 HANK LESSER ROAD</t>
  </si>
  <si>
    <t>H90000002504</t>
  </si>
  <si>
    <t>MCRAE DAVID BYRON</t>
  </si>
  <si>
    <t>MCRAE GINA O</t>
  </si>
  <si>
    <t>PO BOX 151</t>
  </si>
  <si>
    <t>27006-7519</t>
  </si>
  <si>
    <t>H90000002509</t>
  </si>
  <si>
    <t>M60000004003</t>
  </si>
  <si>
    <t>MEADOWS JAMES D</t>
  </si>
  <si>
    <t>478 CHERRY HILL ROAD</t>
  </si>
  <si>
    <t>27028-6622</t>
  </si>
  <si>
    <t>D9050B0001</t>
  </si>
  <si>
    <t>HUNGERFORD LARRY</t>
  </si>
  <si>
    <t>HUNGERFORD SUSAN</t>
  </si>
  <si>
    <t>3316 BERMUDA VILLAGE DRIVE</t>
  </si>
  <si>
    <t>C7100A0006</t>
  </si>
  <si>
    <t>MACBRYDE GORDON D</t>
  </si>
  <si>
    <t>MACBRYDE FRANCES JANIE P</t>
  </si>
  <si>
    <t>106 WEST ROBIN DRIVE</t>
  </si>
  <si>
    <t>K70000002401</t>
  </si>
  <si>
    <t>MEDLIN RONALD LEE</t>
  </si>
  <si>
    <t>MEDLIN PATRICIA P</t>
  </si>
  <si>
    <t>675 CEDAR GROVE CHURCH ROAD</t>
  </si>
  <si>
    <t>I4120D0005</t>
  </si>
  <si>
    <t>MERONEY GWYN</t>
  </si>
  <si>
    <t>211 WEST CHURCH STREET</t>
  </si>
  <si>
    <t>J700000055</t>
  </si>
  <si>
    <t>MERRELL KENNETH R</t>
  </si>
  <si>
    <t>MERRELL PATRICIA S</t>
  </si>
  <si>
    <t>329 MERRELL LAKE ROAD</t>
  </si>
  <si>
    <t>K30000000103</t>
  </si>
  <si>
    <t>MESSICK EDWARD JOE</t>
  </si>
  <si>
    <t>MESSICK MARGARET WEATHERS</t>
  </si>
  <si>
    <t>227 MR HENRY ROAD</t>
  </si>
  <si>
    <t>J20000005501</t>
  </si>
  <si>
    <t>MEYER JANICE CARTNER</t>
  </si>
  <si>
    <t>MEYER RALPH L</t>
  </si>
  <si>
    <t>1504 DAVIE ACADEMY ROAD</t>
  </si>
  <si>
    <t>M5100A0017</t>
  </si>
  <si>
    <t>MICKALOWSKI THEODORE</t>
  </si>
  <si>
    <t>MICKALOWSKI LISA</t>
  </si>
  <si>
    <t>7502 NC HIGHWAY 801 SOUTH</t>
  </si>
  <si>
    <t>M5100A0018</t>
  </si>
  <si>
    <t>J4040F0009</t>
  </si>
  <si>
    <t>MARION KEVIN S</t>
  </si>
  <si>
    <t>MARION SUSAN B</t>
  </si>
  <si>
    <t>100 WEST MAPLE AVENUE</t>
  </si>
  <si>
    <t>H5170A0024</t>
  </si>
  <si>
    <t>MARTIN MARK L</t>
  </si>
  <si>
    <t>ADAMS MIRA J</t>
  </si>
  <si>
    <t>226 CANYON ROAD</t>
  </si>
  <si>
    <t>E300000013</t>
  </si>
  <si>
    <t>D30000001102</t>
  </si>
  <si>
    <t>MCBRIDE STEVEN</t>
  </si>
  <si>
    <t>MCBRIDE TERESA B</t>
  </si>
  <si>
    <t>154 MCBRIDE LANE</t>
  </si>
  <si>
    <t>D7010A0003</t>
  </si>
  <si>
    <t>MCCARN ROBERT LEE</t>
  </si>
  <si>
    <t>MCCARN STELLA MCBRIDE</t>
  </si>
  <si>
    <t>C700000048</t>
  </si>
  <si>
    <t>MINOR MARK CRAIG</t>
  </si>
  <si>
    <t>MINOR NANCY KAY</t>
  </si>
  <si>
    <t>141 WOOD LANE</t>
  </si>
  <si>
    <t>D8080D0022</t>
  </si>
  <si>
    <t>HOPE RON F</t>
  </si>
  <si>
    <t>921 RIVERBEND DRIVE</t>
  </si>
  <si>
    <t>B400000033  A</t>
  </si>
  <si>
    <t>MCCLANNON RICKY GENE</t>
  </si>
  <si>
    <t>MCCLANNON SANDRA LEIGH</t>
  </si>
  <si>
    <t>445 NORTH PINO ROAD</t>
  </si>
  <si>
    <t>27028-4867</t>
  </si>
  <si>
    <t>C200000037</t>
  </si>
  <si>
    <t>MOCK CAREY WILLIAM JR</t>
  </si>
  <si>
    <t>2123 LIBERTY CHURCH ROAD</t>
  </si>
  <si>
    <t>27028-4855</t>
  </si>
  <si>
    <t>B200000018</t>
  </si>
  <si>
    <t>D2010A000901</t>
  </si>
  <si>
    <t>MONTEBELLO SAM</t>
  </si>
  <si>
    <t>MONTEBELLO NADINE</t>
  </si>
  <si>
    <t>268 TIMBER TRL</t>
  </si>
  <si>
    <t>27028-5669</t>
  </si>
  <si>
    <t>E500000041</t>
  </si>
  <si>
    <t>MONTGOMERY JAMES DEVITT SR</t>
  </si>
  <si>
    <t>MONTGOMERY KIM PHILLIPS</t>
  </si>
  <si>
    <t>141 ROCKY DALE LANE</t>
  </si>
  <si>
    <t>B40000003302</t>
  </si>
  <si>
    <t>K20000005802</t>
  </si>
  <si>
    <t>MCCOY JOHN R</t>
  </si>
  <si>
    <t>MCCOY ALLISON S</t>
  </si>
  <si>
    <t>356 MR HENRY ROAD</t>
  </si>
  <si>
    <t>27028-5357</t>
  </si>
  <si>
    <t>C30000011002</t>
  </si>
  <si>
    <t>BUELIN BETTY JEAN ETAL</t>
  </si>
  <si>
    <t>274 JACK BOOE ROAD</t>
  </si>
  <si>
    <t>D8080D0020</t>
  </si>
  <si>
    <t>MCCUISTON BRIAN</t>
  </si>
  <si>
    <t>MCCUISTON BARBARA</t>
  </si>
  <si>
    <t>941 RIVERBEND DRIVE</t>
  </si>
  <si>
    <t>F3130A0021</t>
  </si>
  <si>
    <t>MORRISON GARY F</t>
  </si>
  <si>
    <t>MORRISON JEAN W</t>
  </si>
  <si>
    <t>278 PEPPERSTONE DRIVE</t>
  </si>
  <si>
    <t>27028-5959</t>
  </si>
  <si>
    <t>F8020B0027</t>
  </si>
  <si>
    <t>MOSER JASON WAYNE</t>
  </si>
  <si>
    <t>221 HIGH MEADOWS ROAD</t>
  </si>
  <si>
    <t>J500000003</t>
  </si>
  <si>
    <t>MCDANIEL RANDY D</t>
  </si>
  <si>
    <t>MCDANIEL ROXANNE S</t>
  </si>
  <si>
    <t>474 BETHEL CHURCH ROAD</t>
  </si>
  <si>
    <t>27028-7234</t>
  </si>
  <si>
    <t>E9150B0097</t>
  </si>
  <si>
    <t>MYERS WALT</t>
  </si>
  <si>
    <t>MYERS KAREN</t>
  </si>
  <si>
    <t>301 ORCHARD PARK DRIVE</t>
  </si>
  <si>
    <t>D800000009</t>
  </si>
  <si>
    <t>MCDOWELL HASSEL STEVEN</t>
  </si>
  <si>
    <t>MCDOWELL JUDY PARKER</t>
  </si>
  <si>
    <t>146 RIVER DRIVE</t>
  </si>
  <si>
    <t>C100000006</t>
  </si>
  <si>
    <t>NAYLOR GARY D</t>
  </si>
  <si>
    <t>NAYLOR DELPHIA S</t>
  </si>
  <si>
    <t>664 OLLIE HARKEY ROAD</t>
  </si>
  <si>
    <t>E900000543</t>
  </si>
  <si>
    <t>NICHOLSON JOHN A</t>
  </si>
  <si>
    <t>165 NORTH HIDDENBROOKE DRIVE</t>
  </si>
  <si>
    <t>D800000010</t>
  </si>
  <si>
    <t>D80000002401</t>
  </si>
  <si>
    <t>MCKENZIE MARK EDNEY</t>
  </si>
  <si>
    <t>249 LYBROOK ROAD</t>
  </si>
  <si>
    <t>27006-7630</t>
  </si>
  <si>
    <t>I4140A0017</t>
  </si>
  <si>
    <t>NUNN KEVIN RANDOLPH</t>
  </si>
  <si>
    <t>NUNN JENNIFER DIANNE</t>
  </si>
  <si>
    <t>1448 LIBERTY CHURCH ROAD</t>
  </si>
  <si>
    <t>27028-4848</t>
  </si>
  <si>
    <t>G9090D0021</t>
  </si>
  <si>
    <t>O'CONNOR KRIS</t>
  </si>
  <si>
    <t>O'CONNOR BONNIE</t>
  </si>
  <si>
    <t>156 MAPLE VALLEY ROAD</t>
  </si>
  <si>
    <t>K30000002901</t>
  </si>
  <si>
    <t>ONEAL WILLIAM FRANKLIN</t>
  </si>
  <si>
    <t>ONEAL RUBY S</t>
  </si>
  <si>
    <t>401 DAVIE ACADEMY ROAD</t>
  </si>
  <si>
    <t>27028-5131</t>
  </si>
  <si>
    <t>G60000009701</t>
  </si>
  <si>
    <t>L20000000201</t>
  </si>
  <si>
    <t>MCLAUGHIN ANDY R</t>
  </si>
  <si>
    <t>MCLAUGHIN MELINDA B</t>
  </si>
  <si>
    <t>371 FOSTER ROAD</t>
  </si>
  <si>
    <t>D8070B0003</t>
  </si>
  <si>
    <t>MCNEILL FRANK P</t>
  </si>
  <si>
    <t>MCNEILL DONNA R</t>
  </si>
  <si>
    <t>121 FESCUE DRIVE</t>
  </si>
  <si>
    <t>27006-9590</t>
  </si>
  <si>
    <t>G300000042</t>
  </si>
  <si>
    <t>PANCOAST ROBERT L K</t>
  </si>
  <si>
    <t>PANCOAST KATHLEEN R</t>
  </si>
  <si>
    <t>2387 US HIGHWAY 601 NORTH</t>
  </si>
  <si>
    <t>27028-5948</t>
  </si>
  <si>
    <t>G300000043</t>
  </si>
  <si>
    <t>J5030A0021</t>
  </si>
  <si>
    <t>CASTREJON ISMAEL JAIMES</t>
  </si>
  <si>
    <t>MEDINA MARELY RAMOS</t>
  </si>
  <si>
    <t>239 EAST LAKE DRIVE</t>
  </si>
  <si>
    <t>K100000021</t>
  </si>
  <si>
    <t>DOSS JAMES MITCHELL</t>
  </si>
  <si>
    <t>DOSS KATHY T</t>
  </si>
  <si>
    <t>266 SMTIH ROAD</t>
  </si>
  <si>
    <t>H400000073</t>
  </si>
  <si>
    <t>PEACOCK DARRELL L</t>
  </si>
  <si>
    <t>PEACOCK PATRICIA D</t>
  </si>
  <si>
    <t>249 COUNTRY LANE ROAD</t>
  </si>
  <si>
    <t>L40000003414</t>
  </si>
  <si>
    <t>E40000004607</t>
  </si>
  <si>
    <t>PEELE JAMES CLAYTON</t>
  </si>
  <si>
    <t>PEELE MARY ANNE</t>
  </si>
  <si>
    <t>195 BUCKEYE TRAIL</t>
  </si>
  <si>
    <t>27028-6125</t>
  </si>
  <si>
    <t>F10000000303</t>
  </si>
  <si>
    <t>MCCLAMROCK RICKEY D</t>
  </si>
  <si>
    <t>2228 SHEFFIELD ROAD</t>
  </si>
  <si>
    <t>F10000000309</t>
  </si>
  <si>
    <t>G300000023</t>
  </si>
  <si>
    <t>MARTIN LESTER POINDEXTER III</t>
  </si>
  <si>
    <t>465 OCEAN DRIVE #816</t>
  </si>
  <si>
    <t>MIAMI BEACH</t>
  </si>
  <si>
    <t>C7150A0011</t>
  </si>
  <si>
    <t>PETROS MICHAEL J</t>
  </si>
  <si>
    <t>233 WOODBURN PLACE</t>
  </si>
  <si>
    <t>F7110A0004</t>
  </si>
  <si>
    <t>STROUD CATHY B</t>
  </si>
  <si>
    <t>997 BALTIMORE ROAD</t>
  </si>
  <si>
    <t>J40000005202</t>
  </si>
  <si>
    <t>YARBROUGH JOHN C</t>
  </si>
  <si>
    <t>292 FEEZOR ROAD</t>
  </si>
  <si>
    <t>O60000000501</t>
  </si>
  <si>
    <t>PHILLIPS ERIC P</t>
  </si>
  <si>
    <t>PHILLIPS MELINDA F</t>
  </si>
  <si>
    <t>145 PETE'S LANE</t>
  </si>
  <si>
    <t>27028-6763</t>
  </si>
  <si>
    <t>L40000003501</t>
  </si>
  <si>
    <t>MCBRIDE RICKY A</t>
  </si>
  <si>
    <t>MCBRIDE ROJETTA J</t>
  </si>
  <si>
    <t>774 DANIEL ROAD</t>
  </si>
  <si>
    <t>G200000054</t>
  </si>
  <si>
    <t>BECK DARBY LYN</t>
  </si>
  <si>
    <t>BECK SHARYL BARNETT</t>
  </si>
  <si>
    <t>942 IJAMES CHURCH ROAD</t>
  </si>
  <si>
    <t>27028-4829</t>
  </si>
  <si>
    <t>F80000013911</t>
  </si>
  <si>
    <t>PIAZZA GEORGE S</t>
  </si>
  <si>
    <t>PIAZZA M JILL</t>
  </si>
  <si>
    <t>129 HIDE A WAY LANE</t>
  </si>
  <si>
    <t>27006-7550</t>
  </si>
  <si>
    <t>D500000081</t>
  </si>
  <si>
    <t>PLOTT ROY JR</t>
  </si>
  <si>
    <t>PLOTT EDITH P</t>
  </si>
  <si>
    <t>130 MALLARD ROAD</t>
  </si>
  <si>
    <t>27028-7724</t>
  </si>
  <si>
    <t>D7080A0014</t>
  </si>
  <si>
    <t>POOLE WILLIAM TODD</t>
  </si>
  <si>
    <t>POOLE MARCELA CARDONA</t>
  </si>
  <si>
    <t>111 CONIFER COURT</t>
  </si>
  <si>
    <t>G10000000504</t>
  </si>
  <si>
    <t>TYLER CHRISTOPHER</t>
  </si>
  <si>
    <t>1552 LIBERTY CHURCH ROAD</t>
  </si>
  <si>
    <t>G100000005</t>
  </si>
  <si>
    <t>G100000004</t>
  </si>
  <si>
    <t>G10000000302</t>
  </si>
  <si>
    <t>C40000001701</t>
  </si>
  <si>
    <t>MILLER RAYMOND ERIC</t>
  </si>
  <si>
    <t>3686 NC HWY 801 N</t>
  </si>
  <si>
    <t>27028-6331</t>
  </si>
  <si>
    <t>E9150A0018</t>
  </si>
  <si>
    <t>MITCHELL H DAVIS III</t>
  </si>
  <si>
    <t>MITCHELL SUSAN T</t>
  </si>
  <si>
    <t>255 HIDDEN CREEK DRIVE</t>
  </si>
  <si>
    <t>E900000675</t>
  </si>
  <si>
    <t>MOORE MACK THOMAS</t>
  </si>
  <si>
    <t>MOORE WENDY S</t>
  </si>
  <si>
    <t>494 NORTH HIDDENBROOKE DRIVE</t>
  </si>
  <si>
    <t>I300000074</t>
  </si>
  <si>
    <t>VESTAL STEVEN R</t>
  </si>
  <si>
    <t>VESTAL SANDRA F</t>
  </si>
  <si>
    <t>1324 US HWY 64 WEST</t>
  </si>
  <si>
    <t>27028-8431</t>
  </si>
  <si>
    <t>I40000007405</t>
  </si>
  <si>
    <t>K100000004</t>
  </si>
  <si>
    <t>I4130A000207</t>
  </si>
  <si>
    <t>F8030A0014</t>
  </si>
  <si>
    <t>MOORE MICHAEL R</t>
  </si>
  <si>
    <t>MOORE MICHELLE M</t>
  </si>
  <si>
    <t>209 ESSEX FARM ROAD</t>
  </si>
  <si>
    <t>D8070D0035</t>
  </si>
  <si>
    <t>RATH DANIEL E</t>
  </si>
  <si>
    <t>RATH MARY KAY</t>
  </si>
  <si>
    <t>158 FAIRWAY DRIVE</t>
  </si>
  <si>
    <t>D8030A0034</t>
  </si>
  <si>
    <t>MORGAN JAMES B</t>
  </si>
  <si>
    <t>MORGAN DEBORAH P</t>
  </si>
  <si>
    <t>175 BERMUDA RUN DRIVE</t>
  </si>
  <si>
    <t>F50000001007</t>
  </si>
  <si>
    <t>REAVIS SHELIA M</t>
  </si>
  <si>
    <t>REAVIS DANNY L</t>
  </si>
  <si>
    <t>504 ANGELL ROAD</t>
  </si>
  <si>
    <t>27028-5609</t>
  </si>
  <si>
    <t>F50000001001</t>
  </si>
  <si>
    <t>D500000103</t>
  </si>
  <si>
    <t>REDD DANIEL EDWARD</t>
  </si>
  <si>
    <t>REDD NANCY WHITE</t>
  </si>
  <si>
    <t>175 KENNEN KREST ROAD</t>
  </si>
  <si>
    <t>C70000008903</t>
  </si>
  <si>
    <t>REECE TODD ADDISON</t>
  </si>
  <si>
    <t>REECE KAREN HARRIS</t>
  </si>
  <si>
    <t>228 NORMA LANE</t>
  </si>
  <si>
    <t>27006-7924</t>
  </si>
  <si>
    <t>D300000066</t>
  </si>
  <si>
    <t>BAKER MICHAEL S</t>
  </si>
  <si>
    <t>BAKER CHASITY V</t>
  </si>
  <si>
    <t>973 EATONS CHURCH ROAD</t>
  </si>
  <si>
    <t>H900000001</t>
  </si>
  <si>
    <t>MORGAN JOE F</t>
  </si>
  <si>
    <t>27006-2080</t>
  </si>
  <si>
    <t>L600000059</t>
  </si>
  <si>
    <t>MYERS GARLAND L</t>
  </si>
  <si>
    <t>MYERS MARGARET B</t>
  </si>
  <si>
    <t>5740 NC HIGHWAY 801 SOUTH</t>
  </si>
  <si>
    <t>C100000005</t>
  </si>
  <si>
    <t>J5170A0014</t>
  </si>
  <si>
    <t>NIXON ASHLEY SHANE</t>
  </si>
  <si>
    <t>NIXON ANISSA BLAISE</t>
  </si>
  <si>
    <t>111 ELBERON COURT</t>
  </si>
  <si>
    <t>D700000035</t>
  </si>
  <si>
    <t>RIDDLE RONNIE HALL</t>
  </si>
  <si>
    <t>RIDDLE SUSAN WALDROP</t>
  </si>
  <si>
    <t>330 KETCHIE CREEK ROAD</t>
  </si>
  <si>
    <t>27028-8305</t>
  </si>
  <si>
    <t>E700000063</t>
  </si>
  <si>
    <t>E700000015</t>
  </si>
  <si>
    <t>N600000011</t>
  </si>
  <si>
    <t>RISKO RUDOLPH P</t>
  </si>
  <si>
    <t>RISKO ARLENE M</t>
  </si>
  <si>
    <t>140 FREESTONE LANE</t>
  </si>
  <si>
    <t>27028-6646</t>
  </si>
  <si>
    <t>C20000003804</t>
  </si>
  <si>
    <t>H70000010303</t>
  </si>
  <si>
    <t>ONEYEAR STEPHEN J</t>
  </si>
  <si>
    <t>336 COMANCHE ROAD</t>
  </si>
  <si>
    <t>K100000019</t>
  </si>
  <si>
    <t>ORRELL JONATHAN</t>
  </si>
  <si>
    <t>ORRELL PAULA</t>
  </si>
  <si>
    <t>1243 RIDGE ROAD</t>
  </si>
  <si>
    <t>G7040A0023</t>
  </si>
  <si>
    <t>SCOGGINS KRISTINA R</t>
  </si>
  <si>
    <t>182 CASA BELLA DRIVE</t>
  </si>
  <si>
    <t>K5090A002501</t>
  </si>
  <si>
    <t>ROBERTSON GARY J</t>
  </si>
  <si>
    <t>219 LAKEWOOD DRIVE</t>
  </si>
  <si>
    <t>C20000003201</t>
  </si>
  <si>
    <t>PARSONS AMANDA W</t>
  </si>
  <si>
    <t>PARSONS JASON T</t>
  </si>
  <si>
    <t>1884 LIBERTY CHURCH ROAD</t>
  </si>
  <si>
    <t>C7100B0004</t>
  </si>
  <si>
    <t>MEADOWS WILLIAM L</t>
  </si>
  <si>
    <t>MEADOWS LINDA P</t>
  </si>
  <si>
    <t>133 EAST RENEE DRIVE</t>
  </si>
  <si>
    <t>27006-7955</t>
  </si>
  <si>
    <t>G80000002601</t>
  </si>
  <si>
    <t>PFEIFFER MICHAEL G</t>
  </si>
  <si>
    <t>PFEIFFER KATHY S</t>
  </si>
  <si>
    <t>1748 NC HIGHWAY 801 SOUTH</t>
  </si>
  <si>
    <t>27006-6758</t>
  </si>
  <si>
    <t>M600000042</t>
  </si>
  <si>
    <t>PHELPS JACKIE</t>
  </si>
  <si>
    <t>PHELPS TINA O</t>
  </si>
  <si>
    <t>486 CHERRY HILL ROAD</t>
  </si>
  <si>
    <t>F50000003606</t>
  </si>
  <si>
    <t>WHISENHUNT MANDI C</t>
  </si>
  <si>
    <t>WHISENHUNT DENNIS</t>
  </si>
  <si>
    <t>377 FARMINGTON ROAD</t>
  </si>
  <si>
    <t>F80000013909</t>
  </si>
  <si>
    <t>K700000022</t>
  </si>
  <si>
    <t>E8060A0001</t>
  </si>
  <si>
    <t>POWELL RALPH R III</t>
  </si>
  <si>
    <t>POWELL EMILY C</t>
  </si>
  <si>
    <t>125 EAST VALLEY VIEW ROAD</t>
  </si>
  <si>
    <t>E900000573</t>
  </si>
  <si>
    <t>POWERS JAMES E</t>
  </si>
  <si>
    <t>POWERS PAMELA RAE</t>
  </si>
  <si>
    <t>132 CARTGATE COURT</t>
  </si>
  <si>
    <t>L5140A000601</t>
  </si>
  <si>
    <t>SEAFORD PENNY DILLARD</t>
  </si>
  <si>
    <t>193 BYERLYS CHAPEL RD</t>
  </si>
  <si>
    <t>L700000029</t>
  </si>
  <si>
    <t>SEALEY AVERY D</t>
  </si>
  <si>
    <t>202 DUTCHMAN CREEK ROAD</t>
  </si>
  <si>
    <t>27006-7258</t>
  </si>
  <si>
    <t>J300000022</t>
  </si>
  <si>
    <t>SEAMON J R</t>
  </si>
  <si>
    <t>SEAMON LOUISE B</t>
  </si>
  <si>
    <t>845 GREENHILL ROAD</t>
  </si>
  <si>
    <t>27028-4207</t>
  </si>
  <si>
    <t>I8110A0004</t>
  </si>
  <si>
    <t>PRAGAR JOHN C</t>
  </si>
  <si>
    <t>PRAGAR LISA R</t>
  </si>
  <si>
    <t>159 SHANNON DRIVE</t>
  </si>
  <si>
    <t>N500000081</t>
  </si>
  <si>
    <t>SETTLE LARRY M</t>
  </si>
  <si>
    <t>SETTLE VIVIAN G</t>
  </si>
  <si>
    <t>495 PINE RIDGE ROAD</t>
  </si>
  <si>
    <t>27028-6752</t>
  </si>
  <si>
    <t>E900000574</t>
  </si>
  <si>
    <t>BUCKLER MICHAEL LEE</t>
  </si>
  <si>
    <t>BUCKLER LYNDA SUE</t>
  </si>
  <si>
    <t>134 CARTGATE COURT</t>
  </si>
  <si>
    <t>I4110C0003</t>
  </si>
  <si>
    <t>SORENSEN ERIK</t>
  </si>
  <si>
    <t>360 GWYN STREET</t>
  </si>
  <si>
    <t>G80000004501A</t>
  </si>
  <si>
    <t>PRIESTLEY JAMES LEE</t>
  </si>
  <si>
    <t>PRIESTLEY JEANETTE C</t>
  </si>
  <si>
    <t>215 FEED MILL ROAD</t>
  </si>
  <si>
    <t>E200000042</t>
  </si>
  <si>
    <t>MURPHY JACKIE D</t>
  </si>
  <si>
    <t>MURPHY MANDY C</t>
  </si>
  <si>
    <t>130 BEAR CREEK CHURCH ROAD</t>
  </si>
  <si>
    <t>E900000462</t>
  </si>
  <si>
    <t>QUEEN ALLEN BRYAN</t>
  </si>
  <si>
    <t>QUEEN TERESIA ANN</t>
  </si>
  <si>
    <t>113 SOUTH HIDDENBROOKE DRIVE</t>
  </si>
  <si>
    <t>H600000020</t>
  </si>
  <si>
    <t>SHEEK GILBERT M</t>
  </si>
  <si>
    <t>SHEEK SANDRA L</t>
  </si>
  <si>
    <t>501 NORTH MAIN STREET</t>
  </si>
  <si>
    <t>27208-2119</t>
  </si>
  <si>
    <t>E8110D0010</t>
  </si>
  <si>
    <t>VINES JOSEPH BYRON</t>
  </si>
  <si>
    <t>VINES LAURA HOOPER</t>
  </si>
  <si>
    <t>134 EASTRIDGE COURT</t>
  </si>
  <si>
    <t>27006-7430</t>
  </si>
  <si>
    <t>D20000002906</t>
  </si>
  <si>
    <t>E8140A0026</t>
  </si>
  <si>
    <t>REICHARD KEITH R</t>
  </si>
  <si>
    <t>REICHARD JENNIFER PIPER</t>
  </si>
  <si>
    <t>122 COUNTRY CIRCLE</t>
  </si>
  <si>
    <t>G8120B001101</t>
  </si>
  <si>
    <t>REINERT JARED DAVID</t>
  </si>
  <si>
    <t>2105 HIGHWAY 801 SOUTH</t>
  </si>
  <si>
    <t>H4130A0056</t>
  </si>
  <si>
    <t>REYNOLDS THOMAS</t>
  </si>
  <si>
    <t>REYNOLDS LEAH</t>
  </si>
  <si>
    <t>177 SUMMIT DRIVE</t>
  </si>
  <si>
    <t>L20000000301</t>
  </si>
  <si>
    <t>G10000004201</t>
  </si>
  <si>
    <t>RIVERS JOHN WILLIAM JR</t>
  </si>
  <si>
    <t>RIVERS KIMBERLY DAWN PRATT</t>
  </si>
  <si>
    <t>179 CLAUDE RATLEDGE ROAD</t>
  </si>
  <si>
    <t>27028-8128</t>
  </si>
  <si>
    <t>H5060A0005</t>
  </si>
  <si>
    <t>ROACHE W KERRY</t>
  </si>
  <si>
    <t>ROACHE CAROL B</t>
  </si>
  <si>
    <t>138 BRADFORD PLACE</t>
  </si>
  <si>
    <t>E600000051</t>
  </si>
  <si>
    <t>ENGLAND CHARLES M</t>
  </si>
  <si>
    <t>ENGLAND TAMMY R</t>
  </si>
  <si>
    <t>383 RAINBOW ROAD</t>
  </si>
  <si>
    <t>G8010B0012</t>
  </si>
  <si>
    <t>ROBERTSON DALE E</t>
  </si>
  <si>
    <t>ROBERTSON JOYCE C</t>
  </si>
  <si>
    <t>2481 CORNATZER ROAD</t>
  </si>
  <si>
    <t>27006-7205</t>
  </si>
  <si>
    <t>G700000014  A</t>
  </si>
  <si>
    <t>ROBERTSON-BROOKS DOROTHY M</t>
  </si>
  <si>
    <t>889 HOWARDTOWN ROAD</t>
  </si>
  <si>
    <t>27028-7243</t>
  </si>
  <si>
    <t>E70000013908</t>
  </si>
  <si>
    <t>SIMMONS DONNIE R</t>
  </si>
  <si>
    <t>SIMMONS ANGIE K</t>
  </si>
  <si>
    <t>I5060B0019</t>
  </si>
  <si>
    <t>BRANNON KAREN</t>
  </si>
  <si>
    <t>315 FULTON STREET</t>
  </si>
  <si>
    <t>C7100A0005</t>
  </si>
  <si>
    <t>ROTHROCK JONATHAN PAUL</t>
  </si>
  <si>
    <t>118 WEST ROBIN DRIVE</t>
  </si>
  <si>
    <t>M60000004403</t>
  </si>
  <si>
    <t>BURTON TERRY R</t>
  </si>
  <si>
    <t>373 CHERRY HILL ROAD</t>
  </si>
  <si>
    <t>M60000004404</t>
  </si>
  <si>
    <t>M60000004405</t>
  </si>
  <si>
    <t>M600000044</t>
  </si>
  <si>
    <t>E900000167</t>
  </si>
  <si>
    <t>ROWE MICHAEL C</t>
  </si>
  <si>
    <t>ROWE KATHY W</t>
  </si>
  <si>
    <t>111 LONETREE COURT</t>
  </si>
  <si>
    <t>27006-7060</t>
  </si>
  <si>
    <t>H400000081</t>
  </si>
  <si>
    <t>SMITH DAVID H</t>
  </si>
  <si>
    <t>SMITH PATSY D</t>
  </si>
  <si>
    <t>172 CHESTNUT TRAIL</t>
  </si>
  <si>
    <t>27028-7121</t>
  </si>
  <si>
    <t>I600000059</t>
  </si>
  <si>
    <t>F20000002201</t>
  </si>
  <si>
    <t>ROYE LOUIS W</t>
  </si>
  <si>
    <t>ROYE GWENDOLYN P</t>
  </si>
  <si>
    <t>177 GEORGIA ROAD</t>
  </si>
  <si>
    <t>27028-5800</t>
  </si>
  <si>
    <t>M5030A002101</t>
  </si>
  <si>
    <t>RUDDOCK JAMES</t>
  </si>
  <si>
    <t>1337 WESTCHESTER DRIVE</t>
  </si>
  <si>
    <t>I600000011</t>
  </si>
  <si>
    <t>SMITH LOWELL D</t>
  </si>
  <si>
    <t>SMITH LESA REAVIS</t>
  </si>
  <si>
    <t>27028-7217</t>
  </si>
  <si>
    <t>I600000015</t>
  </si>
  <si>
    <t>I60000001701</t>
  </si>
  <si>
    <t>M4120B0001  A</t>
  </si>
  <si>
    <t>DRAGON FREDRICK SCOTT</t>
  </si>
  <si>
    <t>DRAGON CARLA</t>
  </si>
  <si>
    <t>1606 JUNCTION ROAD</t>
  </si>
  <si>
    <t>C600000039</t>
  </si>
  <si>
    <t>SMITH NAAMAN U</t>
  </si>
  <si>
    <t>128 NAAMAN LANE</t>
  </si>
  <si>
    <t>C60000003901</t>
  </si>
  <si>
    <t>C600000040</t>
  </si>
  <si>
    <t>E700000094</t>
  </si>
  <si>
    <t>L5010B0011</t>
  </si>
  <si>
    <t>SMITH PAUL DAVID</t>
  </si>
  <si>
    <t>SMITH PAMELA T</t>
  </si>
  <si>
    <t>1898 US HIGHWAY 601 SOUTH</t>
  </si>
  <si>
    <t>L5010B0012</t>
  </si>
  <si>
    <t>H5200A0015</t>
  </si>
  <si>
    <t>POPLIN MATTHEW E</t>
  </si>
  <si>
    <t>BEERS JANET E</t>
  </si>
  <si>
    <t>122 MATTHIAS COURT</t>
  </si>
  <si>
    <t>E700000169</t>
  </si>
  <si>
    <t>C30000000101</t>
  </si>
  <si>
    <t>SCARLETT JESSICA</t>
  </si>
  <si>
    <t>200 SCARLETT LANE</t>
  </si>
  <si>
    <t>H600000087</t>
  </si>
  <si>
    <t>SNIDER LAMONT JAMES</t>
  </si>
  <si>
    <t>SNIDER BETTY HENDRIX</t>
  </si>
  <si>
    <t>1070 CORNATZER ROAD</t>
  </si>
  <si>
    <t>H600000088</t>
  </si>
  <si>
    <t>H600000073</t>
  </si>
  <si>
    <t>I800000038</t>
  </si>
  <si>
    <t>H600000024</t>
  </si>
  <si>
    <t>SNOW VON J</t>
  </si>
  <si>
    <t>1962 MILLING ROAD</t>
  </si>
  <si>
    <t>D9010C0014</t>
  </si>
  <si>
    <t>SORIANO CLINTON R</t>
  </si>
  <si>
    <t>SORIANO RITA</t>
  </si>
  <si>
    <t>147 ST GEORGE PLACE</t>
  </si>
  <si>
    <t>B60000002604</t>
  </si>
  <si>
    <t>SMITH JERRY W</t>
  </si>
  <si>
    <t>PO BOX 2354</t>
  </si>
  <si>
    <t>I1120A0034</t>
  </si>
  <si>
    <t>SEXTON LILLARD ROBERT</t>
  </si>
  <si>
    <t>4525 MONTEREY DRIVE</t>
  </si>
  <si>
    <t>TAMARAC</t>
  </si>
  <si>
    <t>33319-0000</t>
  </si>
  <si>
    <t>L5140A0013</t>
  </si>
  <si>
    <t>SEXTON NORMA JEAN</t>
  </si>
  <si>
    <t>4525 MONTEREY DR.</t>
  </si>
  <si>
    <t>33319-3205</t>
  </si>
  <si>
    <t>H40000000701</t>
  </si>
  <si>
    <t>THE PARC INVESTMENT CORP INC</t>
  </si>
  <si>
    <t>B400000041</t>
  </si>
  <si>
    <t>SHEEK HAROLD D</t>
  </si>
  <si>
    <t>SHEEK BRENDA H</t>
  </si>
  <si>
    <t>650 YADKIN VALLEY ROAD</t>
  </si>
  <si>
    <t>27006-8705</t>
  </si>
  <si>
    <t>C70000012001</t>
  </si>
  <si>
    <t>B500000008</t>
  </si>
  <si>
    <t>B50000000801</t>
  </si>
  <si>
    <t>H5160A0012</t>
  </si>
  <si>
    <t>SHELTON RICHARD C</t>
  </si>
  <si>
    <t>SHELTON ELAINE S</t>
  </si>
  <si>
    <t>107 WEST KNOLL BROOK DRIVE</t>
  </si>
  <si>
    <t>I700000007</t>
  </si>
  <si>
    <t>BREWER GREG</t>
  </si>
  <si>
    <t>181 SHADY GROVE LANE</t>
  </si>
  <si>
    <t>kendra</t>
  </si>
  <si>
    <t>C700000152</t>
  </si>
  <si>
    <t>SHOAF MICHEAL V</t>
  </si>
  <si>
    <t>SHOAF LISA G</t>
  </si>
  <si>
    <t>167 WILLS  ROAD</t>
  </si>
  <si>
    <t>B300000014</t>
  </si>
  <si>
    <t>SIECK WENDY</t>
  </si>
  <si>
    <t>TUCKER TORREY</t>
  </si>
  <si>
    <t>3504 COURTNEY CHURCH ROAD</t>
  </si>
  <si>
    <t>M600000036</t>
  </si>
  <si>
    <t>STEPHENS LARRY G SR</t>
  </si>
  <si>
    <t>STEPHENS REBA G</t>
  </si>
  <si>
    <t>575 BECKTOWN ROAD</t>
  </si>
  <si>
    <t>27028-6608</t>
  </si>
  <si>
    <t>C60000007202</t>
  </si>
  <si>
    <t>SIGMON NED A</t>
  </si>
  <si>
    <t>SIGMON LYNDA R</t>
  </si>
  <si>
    <t>231 HERONS LANE</t>
  </si>
  <si>
    <t>E70000013911</t>
  </si>
  <si>
    <t>E70000013906</t>
  </si>
  <si>
    <t>K2100A0001</t>
  </si>
  <si>
    <t>BYERLY MICHAEL G</t>
  </si>
  <si>
    <t>BYERLY SALLY R</t>
  </si>
  <si>
    <t>139 FOSTER ROAD</t>
  </si>
  <si>
    <t>27028-8221</t>
  </si>
  <si>
    <t>G40000004101</t>
  </si>
  <si>
    <t>SUMMERS JAMES WOODROW JR</t>
  </si>
  <si>
    <t>SUMMERS ANNE HOFFMAN</t>
  </si>
  <si>
    <t>1075 MAIN CHURCH ROAD</t>
  </si>
  <si>
    <t>G800000201</t>
  </si>
  <si>
    <t>SURRATT MAYNARD ALLEN</t>
  </si>
  <si>
    <t>SURRATT REBECCA BYRD</t>
  </si>
  <si>
    <t>288 RABBIT FARM TRAIL</t>
  </si>
  <si>
    <t>I600000060</t>
  </si>
  <si>
    <t>F800000048</t>
  </si>
  <si>
    <t>SMITH JAMES KENNETH</t>
  </si>
  <si>
    <t>SMITH REBECCA JANE</t>
  </si>
  <si>
    <t>162 HILLCREST DRIVE</t>
  </si>
  <si>
    <t>B500000102</t>
  </si>
  <si>
    <t>SWEAT BILLY RAY JR</t>
  </si>
  <si>
    <t>SWEAT KATHERINE WALKER</t>
  </si>
  <si>
    <t>1193 SPILLMAN ROAD</t>
  </si>
  <si>
    <t>H30000005804</t>
  </si>
  <si>
    <t>SWISHER HARDING DWAYNE</t>
  </si>
  <si>
    <t>SWISHER CYNTHIA S</t>
  </si>
  <si>
    <t>2166 US HIGHWAY 64 WEST</t>
  </si>
  <si>
    <t>I60000001002</t>
  </si>
  <si>
    <t>H3040A0018</t>
  </si>
  <si>
    <t>SMITH TONYA CROUSE OVERBY</t>
  </si>
  <si>
    <t>126 ASHLEY BROOK LANE</t>
  </si>
  <si>
    <t>C300000072</t>
  </si>
  <si>
    <t>TAYLOR DAVID E SR</t>
  </si>
  <si>
    <t>215 BAITY ROAD</t>
  </si>
  <si>
    <t>L3080A0003</t>
  </si>
  <si>
    <t>TAYLOR DAVID L</t>
  </si>
  <si>
    <t>TAYLOR SHERI</t>
  </si>
  <si>
    <t>838 MR HENRY ROAD</t>
  </si>
  <si>
    <t>27028-5360</t>
  </si>
  <si>
    <t>L3080A0002</t>
  </si>
  <si>
    <t>D9030A0002</t>
  </si>
  <si>
    <t>TAYLOR LEONARD W</t>
  </si>
  <si>
    <t>TAYLOR LUANNE T</t>
  </si>
  <si>
    <t>150 JAMES WAY</t>
  </si>
  <si>
    <t>27006-8516</t>
  </si>
  <si>
    <t>F40000000804</t>
  </si>
  <si>
    <t>MENDOZA ODILON</t>
  </si>
  <si>
    <t>SALAZAR MARIA DOLORES RAZO</t>
  </si>
  <si>
    <t>1790 ANGELL ROAD</t>
  </si>
  <si>
    <t>G500000068</t>
  </si>
  <si>
    <t>SAIN DAVID L</t>
  </si>
  <si>
    <t>SAIN BARBARA W</t>
  </si>
  <si>
    <t>137 BUCK MILLER ROAD</t>
  </si>
  <si>
    <t>E8100A0011</t>
  </si>
  <si>
    <t>TESTER MICHAEL L</t>
  </si>
  <si>
    <t>TESTER PAMELA J</t>
  </si>
  <si>
    <t>212 OVERLOOK DRIVE</t>
  </si>
  <si>
    <t>L5010A0003</t>
  </si>
  <si>
    <t>THOMASSON JULIE RENEE</t>
  </si>
  <si>
    <t>YOUNG KIM E &amp; SHEILA RENEE</t>
  </si>
  <si>
    <t>1996 US HIGHWAY 601 SOUTH</t>
  </si>
  <si>
    <t>F50000002301</t>
  </si>
  <si>
    <t>C300000121</t>
  </si>
  <si>
    <t>SANDS JOHN D</t>
  </si>
  <si>
    <t>SANDS HILDA T</t>
  </si>
  <si>
    <t>657 HOWELL ROAD</t>
  </si>
  <si>
    <t>N50000005901</t>
  </si>
  <si>
    <t>TREXLER CLYDE EUGENE</t>
  </si>
  <si>
    <t>PO BOX 721</t>
  </si>
  <si>
    <t>27014-0721</t>
  </si>
  <si>
    <t>D9010B0004</t>
  </si>
  <si>
    <t>SPAGNOLA DOLORES A</t>
  </si>
  <si>
    <t>127 WARWICKE PLACE</t>
  </si>
  <si>
    <t>E900000493</t>
  </si>
  <si>
    <t>TURNER PATRICK JASON</t>
  </si>
  <si>
    <t>TURNER LYNN M</t>
  </si>
  <si>
    <t>258 HIDDENBROOKE DRIVE</t>
  </si>
  <si>
    <t>I5120B0004</t>
  </si>
  <si>
    <t>TURPIN CHARLES KENNETH</t>
  </si>
  <si>
    <t>384 WINDWARD CIRCLE</t>
  </si>
  <si>
    <t>G300000012</t>
  </si>
  <si>
    <t>TUTTEROW MARSHA PLOTT</t>
  </si>
  <si>
    <t>G30000001101</t>
  </si>
  <si>
    <t>G200000010</t>
  </si>
  <si>
    <t>E900000482</t>
  </si>
  <si>
    <t>TYSINGER PATRICK W</t>
  </si>
  <si>
    <t>TYSINGER ELIZABETH L</t>
  </si>
  <si>
    <t>118 SOUTH MILLBROOKE COURT</t>
  </si>
  <si>
    <t>E20000002817</t>
  </si>
  <si>
    <t>SPARK I LLC</t>
  </si>
  <si>
    <t>D7030A0023</t>
  </si>
  <si>
    <t>KARNS SHERRI L</t>
  </si>
  <si>
    <t>KARNS LORNE D</t>
  </si>
  <si>
    <t>260 CREEKWOOD DRIVE</t>
  </si>
  <si>
    <t>27006-9414</t>
  </si>
  <si>
    <t>M400000003</t>
  </si>
  <si>
    <t>DEESE CHARLES WAYNE</t>
  </si>
  <si>
    <t>DEESE DELORES</t>
  </si>
  <si>
    <t>PO BOX 563</t>
  </si>
  <si>
    <t>27014-0563</t>
  </si>
  <si>
    <t>DENISE</t>
  </si>
  <si>
    <t>E900000059</t>
  </si>
  <si>
    <t>SAPP JAMES EDWARD</t>
  </si>
  <si>
    <t>SAPP APRIL ALLEN</t>
  </si>
  <si>
    <t>135 SUNTREE ROAD</t>
  </si>
  <si>
    <t>D30000006402</t>
  </si>
  <si>
    <t>PARKER WENDY G</t>
  </si>
  <si>
    <t>3850 N US HWY 601</t>
  </si>
  <si>
    <t>I800000066</t>
  </si>
  <si>
    <t>BRINKLEY CONNIE SINGLETON</t>
  </si>
  <si>
    <t>2927 HWY 801 SOUTH</t>
  </si>
  <si>
    <t>G60000004301</t>
  </si>
  <si>
    <t>MONEY VIRGIL EUGENE</t>
  </si>
  <si>
    <t>MONEY PATRICIA ANN M LIFE EST.</t>
  </si>
  <si>
    <t>168 HOWARDTOWN ROAD</t>
  </si>
  <si>
    <t>F70000001602</t>
  </si>
  <si>
    <t>WALL LENA P</t>
  </si>
  <si>
    <t>E8110B0016</t>
  </si>
  <si>
    <t>DRIVER ERNEST T III</t>
  </si>
  <si>
    <t>DRIVER TERESA H</t>
  </si>
  <si>
    <t>PO BOX 1887</t>
  </si>
  <si>
    <t>H800000054</t>
  </si>
  <si>
    <t>WALSER ELLIS KENT</t>
  </si>
  <si>
    <t>WALSER SANDRA JOHNSON</t>
  </si>
  <si>
    <t>497 BAILEYS CHAPEL ROAD</t>
  </si>
  <si>
    <t>H80000005402</t>
  </si>
  <si>
    <t>I700000060</t>
  </si>
  <si>
    <t>I700000061</t>
  </si>
  <si>
    <t>H80000005309</t>
  </si>
  <si>
    <t>L80000001001</t>
  </si>
  <si>
    <t>SPRY JIMMY M</t>
  </si>
  <si>
    <t>545 RIVERVIEW ROAD</t>
  </si>
  <si>
    <t>27006-7036</t>
  </si>
  <si>
    <t>I1110D0022</t>
  </si>
  <si>
    <t>DELATORRE EVE</t>
  </si>
  <si>
    <t>I1110D0023</t>
  </si>
  <si>
    <t>E40000004403</t>
  </si>
  <si>
    <t>WATTS MICHAEL RAY SR</t>
  </si>
  <si>
    <t>WATTS BRENDA HYDE</t>
  </si>
  <si>
    <t>214 CLAYTON DRIVE</t>
  </si>
  <si>
    <t>27028-9200</t>
  </si>
  <si>
    <t>C80000000119</t>
  </si>
  <si>
    <t>TEAGUE AUTUMN P ETAL</t>
  </si>
  <si>
    <t>448 YADKIN VALLEY ROAD</t>
  </si>
  <si>
    <t>E20000002812</t>
  </si>
  <si>
    <t>EASLING DALE E</t>
  </si>
  <si>
    <t>190 BEAR CREEK CHURCH ROAD</t>
  </si>
  <si>
    <t>L500000026</t>
  </si>
  <si>
    <t>SPRY LEWIS RAY JR</t>
  </si>
  <si>
    <t>SPRY DONNA J</t>
  </si>
  <si>
    <t>1158 DANIEL ROAD</t>
  </si>
  <si>
    <t>27028-5129</t>
  </si>
  <si>
    <t>K70000003202</t>
  </si>
  <si>
    <t>WHITAKER GERALD DEAN</t>
  </si>
  <si>
    <t>WHITAKER TERESA STEELMAN</t>
  </si>
  <si>
    <t>286 MASON DRIVE</t>
  </si>
  <si>
    <t>K70000002901</t>
  </si>
  <si>
    <t>H2050B0019</t>
  </si>
  <si>
    <t>CARTER KATIE D</t>
  </si>
  <si>
    <t>CARTER NATHAN D</t>
  </si>
  <si>
    <t>157 SHEFFIELD ROAD</t>
  </si>
  <si>
    <t>F500000017</t>
  </si>
  <si>
    <t>WHITAKER JUDITH F</t>
  </si>
  <si>
    <t>330 ANGELL ROAD</t>
  </si>
  <si>
    <t>J30000003601</t>
  </si>
  <si>
    <t>WHITAKER KENNETH RAY JR</t>
  </si>
  <si>
    <t>200 MAIN CHURCH ROAD</t>
  </si>
  <si>
    <t>27028-5845</t>
  </si>
  <si>
    <t>G600000012</t>
  </si>
  <si>
    <t>WHITAKER STEVEN DON</t>
  </si>
  <si>
    <t>2539 HWY 158</t>
  </si>
  <si>
    <t>G500000049</t>
  </si>
  <si>
    <t>G500000066</t>
  </si>
  <si>
    <t>G500000064</t>
  </si>
  <si>
    <t>G600000008</t>
  </si>
  <si>
    <t>G500000067</t>
  </si>
  <si>
    <t>B30000005301</t>
  </si>
  <si>
    <t>WHITAKER WILLIAM JOEL</t>
  </si>
  <si>
    <t>WHITAKER BRENDA P</t>
  </si>
  <si>
    <t>169 BILTMORE LANE</t>
  </si>
  <si>
    <t>27028-6107</t>
  </si>
  <si>
    <t>E8160A0035</t>
  </si>
  <si>
    <t>WHITE DAVID GRAY</t>
  </si>
  <si>
    <t>WHITE LISA KISTNER</t>
  </si>
  <si>
    <t>104 MEADOW BROOK COURT</t>
  </si>
  <si>
    <t>27006-7203</t>
  </si>
  <si>
    <t>I60000001203</t>
  </si>
  <si>
    <t>STEGALL MICHAEL VAN</t>
  </si>
  <si>
    <t>STEGALL TAMARA PERRELL</t>
  </si>
  <si>
    <t>158 GEORGE JONES ROAD</t>
  </si>
  <si>
    <t>H500000042</t>
  </si>
  <si>
    <t>STINE JOSEPH E</t>
  </si>
  <si>
    <t>STINE DIANA JO</t>
  </si>
  <si>
    <t>515 SAIN ROAD</t>
  </si>
  <si>
    <t>G40000001101</t>
  </si>
  <si>
    <t>STREET AVERY E</t>
  </si>
  <si>
    <t>STREET SHEREE S</t>
  </si>
  <si>
    <t>1227 WOODWARD ROAD</t>
  </si>
  <si>
    <t>27028-5864</t>
  </si>
  <si>
    <t>D7030A0013</t>
  </si>
  <si>
    <t>WILLARD JERRY DEAN</t>
  </si>
  <si>
    <t>WILLARD MARILYN TAFOYA</t>
  </si>
  <si>
    <t>173 CHARLOTTE PLACE</t>
  </si>
  <si>
    <t>D80000002501</t>
  </si>
  <si>
    <t>SUGGS JOSEPH RUSSELL</t>
  </si>
  <si>
    <t>SUGGS EMMALINE C</t>
  </si>
  <si>
    <t>293 JAMES WAY</t>
  </si>
  <si>
    <t>E6040B0002</t>
  </si>
  <si>
    <t>SULECKI GEORGE RAYMOND</t>
  </si>
  <si>
    <t>SULECKI ADRIENNE BROOKE</t>
  </si>
  <si>
    <t>164 TIMBER LANE</t>
  </si>
  <si>
    <t>K5150A0016</t>
  </si>
  <si>
    <t>SWAIN DAVID HOWARD</t>
  </si>
  <si>
    <t>SWAIN IVA NELLE</t>
  </si>
  <si>
    <t>27028-6902</t>
  </si>
  <si>
    <t>H800000024</t>
  </si>
  <si>
    <t>SWARINGEN MARSHALL LEWIS JR</t>
  </si>
  <si>
    <t>SWARINGEN JANIE HOWARD</t>
  </si>
  <si>
    <t>157 ODELL MYERS ROAD</t>
  </si>
  <si>
    <t>27006-7434</t>
  </si>
  <si>
    <t>N60000007701</t>
  </si>
  <si>
    <t>VALYER LESTER F JR</t>
  </si>
  <si>
    <t>VALYER SUZANNE</t>
  </si>
  <si>
    <t>1231 CHERRY HILL RD</t>
  </si>
  <si>
    <t>C30000007202</t>
  </si>
  <si>
    <t>F8020B0046</t>
  </si>
  <si>
    <t>TEDDER MATTHEW</t>
  </si>
  <si>
    <t>TEDDER GENEVIEVE L</t>
  </si>
  <si>
    <t>123 HAGEN ROAD</t>
  </si>
  <si>
    <t>D8100A0014</t>
  </si>
  <si>
    <t>TRANSOU FRANK MONROE</t>
  </si>
  <si>
    <t>TRANSOU GAIL P</t>
  </si>
  <si>
    <t>703 RIVERBEND DRIVE</t>
  </si>
  <si>
    <t>27006-8527</t>
  </si>
  <si>
    <t>E8070A0014</t>
  </si>
  <si>
    <t>TRAVIS RAY N</t>
  </si>
  <si>
    <t>TRAVIS ELIZABETH P</t>
  </si>
  <si>
    <t>150 WHITEHEAD DRIVE</t>
  </si>
  <si>
    <t>27006-7626</t>
  </si>
  <si>
    <t>E900000469</t>
  </si>
  <si>
    <t>SMITHWICK ATHENA</t>
  </si>
  <si>
    <t>136 NORTH HIDDENBROOKE DRIVE</t>
  </si>
  <si>
    <t>C200000042</t>
  </si>
  <si>
    <t>CHESNEE JOSHUA STEVEN</t>
  </si>
  <si>
    <t>159 SHOFFNER LANE</t>
  </si>
  <si>
    <t>L500000017</t>
  </si>
  <si>
    <t>CAMPBELL DEBORAH</t>
  </si>
  <si>
    <t>120 STARLIGHT LANE</t>
  </si>
  <si>
    <t>C8010A0286</t>
  </si>
  <si>
    <t>LANHAM JOHN THOMAS CHARLES</t>
  </si>
  <si>
    <t>JOHNSON MEGHAN LEIGH</t>
  </si>
  <si>
    <t>159 NORTH FORKE DRIVE</t>
  </si>
  <si>
    <t>E8110B0011</t>
  </si>
  <si>
    <t>IVEY PHILIP ALLEN</t>
  </si>
  <si>
    <t>IVEY SONJA CARTER</t>
  </si>
  <si>
    <t>134 LAKESIDE DRIVE</t>
  </si>
  <si>
    <t>N5080B0020</t>
  </si>
  <si>
    <t>SZYMANSKI JAMES R</t>
  </si>
  <si>
    <t>PO BOX 29</t>
  </si>
  <si>
    <t>A70000000202</t>
  </si>
  <si>
    <t>WATSON CHRISTOPHER G</t>
  </si>
  <si>
    <t>WATSON WENDY S</t>
  </si>
  <si>
    <t>253 SANDPIT ROAD</t>
  </si>
  <si>
    <t>H60000003005</t>
  </si>
  <si>
    <t>HENDRIX CEMETERY</t>
  </si>
  <si>
    <t>G9090D0011</t>
  </si>
  <si>
    <t>DEAL DAVID HENDERSON</t>
  </si>
  <si>
    <t>DEAL DORA CHRISTINA</t>
  </si>
  <si>
    <t>198 PRIMROSE ROAD</t>
  </si>
  <si>
    <t>F7120B0005</t>
  </si>
  <si>
    <t>WALL JAMES H JR</t>
  </si>
  <si>
    <t>WALL MYRA O</t>
  </si>
  <si>
    <t>244 MONTCLAIR DRIVE</t>
  </si>
  <si>
    <t>F700000016</t>
  </si>
  <si>
    <t>G100000009</t>
  </si>
  <si>
    <t>WARLICK DUSTIN</t>
  </si>
  <si>
    <t>WARLICK WHITNEY</t>
  </si>
  <si>
    <t>1531 COUNTY LINE ROAD</t>
  </si>
  <si>
    <t>L50000007902</t>
  </si>
  <si>
    <t>WEST STACY F</t>
  </si>
  <si>
    <t>WEST STEPHANIE J</t>
  </si>
  <si>
    <t>6753 NC HIGHWAY 801 SOUTH</t>
  </si>
  <si>
    <t>27028-6732</t>
  </si>
  <si>
    <t>I4010A0022</t>
  </si>
  <si>
    <t>HOLSTON BENJAMIN P</t>
  </si>
  <si>
    <t>HOLSTON PEARL J</t>
  </si>
  <si>
    <t>237 NORTH WENTWORTH DRIVE</t>
  </si>
  <si>
    <t>G30000001601</t>
  </si>
  <si>
    <t>ULVEN MICHAEL V</t>
  </si>
  <si>
    <t>ULVEN PATRICIA M</t>
  </si>
  <si>
    <t>239 GRANNAMAN DRIVE</t>
  </si>
  <si>
    <t>C7050A0009</t>
  </si>
  <si>
    <t>WEATHERS JOHN R</t>
  </si>
  <si>
    <t>WEATHERS MOLLY M</t>
  </si>
  <si>
    <t>113 HAYWOOD DRIVE</t>
  </si>
  <si>
    <t>L500000079</t>
  </si>
  <si>
    <t>F500000019</t>
  </si>
  <si>
    <t>B20000001502</t>
  </si>
  <si>
    <t>WILES MILDRED A</t>
  </si>
  <si>
    <t>2142 LIBERTY CHURCH ROAD</t>
  </si>
  <si>
    <t>H5170A0051</t>
  </si>
  <si>
    <t>WILLARD CHARLES M</t>
  </si>
  <si>
    <t>WILLARD ELLEN L</t>
  </si>
  <si>
    <t>134 ARBOR HILL DRIVE</t>
  </si>
  <si>
    <t>27028-4348</t>
  </si>
  <si>
    <t>C300000127</t>
  </si>
  <si>
    <t>M4120A002302</t>
  </si>
  <si>
    <t>BURTON PAMELA F</t>
  </si>
  <si>
    <t>373 CHERRYHILL ROAD</t>
  </si>
  <si>
    <t>kcarp</t>
  </si>
  <si>
    <t>M4120A002301</t>
  </si>
  <si>
    <t>M60000004401</t>
  </si>
  <si>
    <t>E700000129</t>
  </si>
  <si>
    <t>WILLIAMS RICKY DALE</t>
  </si>
  <si>
    <t>WILLIAMS JUDY P</t>
  </si>
  <si>
    <t>1220 BEAUCHAMP ROAD</t>
  </si>
  <si>
    <t>27006-7416</t>
  </si>
  <si>
    <t>E900000039</t>
  </si>
  <si>
    <t>WISE WILSON T II</t>
  </si>
  <si>
    <t>WISE AMANDA Y</t>
  </si>
  <si>
    <t>128 SUNTREE DRIVE</t>
  </si>
  <si>
    <t>E20000000307</t>
  </si>
  <si>
    <t>BROCKWAY FRED H</t>
  </si>
  <si>
    <t>BROCKWAY SUSAN D</t>
  </si>
  <si>
    <t>397 SALMONS ROAD</t>
  </si>
  <si>
    <t>G900000139</t>
  </si>
  <si>
    <t>BLANCO LUIS</t>
  </si>
  <si>
    <t>E900000351</t>
  </si>
  <si>
    <t>MORGAN ENRICA D</t>
  </si>
  <si>
    <t>DURHAM LIPPMON S</t>
  </si>
  <si>
    <t>177 SCOTTSDALE DRIVE</t>
  </si>
  <si>
    <t>J5010D0103</t>
  </si>
  <si>
    <t>MEJIA RONALD A</t>
  </si>
  <si>
    <t>MEJIA TERESA L</t>
  </si>
  <si>
    <t>274 WINDING CREEK DRIVE</t>
  </si>
  <si>
    <t>M300000002</t>
  </si>
  <si>
    <t>ONEAL LEON ANTHONY&amp;TAMMY B.</t>
  </si>
  <si>
    <t>ONEAL BRIAN STEVEN&amp;DEBORAH S.</t>
  </si>
  <si>
    <t>G9090A000401</t>
  </si>
  <si>
    <t>COSTNER DARRYL W</t>
  </si>
  <si>
    <t>COSTNER DIANE</t>
  </si>
  <si>
    <t>1631 PEOPLES CREEK ROAD</t>
  </si>
  <si>
    <t>D20000000108</t>
  </si>
  <si>
    <t>TAYLOR DAVID</t>
  </si>
  <si>
    <t>TAYLOR TAMARA</t>
  </si>
  <si>
    <t>263 PEARL LANE</t>
  </si>
  <si>
    <t>I800000045</t>
  </si>
  <si>
    <t>STEWART ADAM J</t>
  </si>
  <si>
    <t>STEWART SHEA L</t>
  </si>
  <si>
    <t>116 TODD ROAD</t>
  </si>
  <si>
    <t>27006-7108</t>
  </si>
  <si>
    <t>M4050A0012</t>
  </si>
  <si>
    <t>WHITAKER DANNY RAY JR</t>
  </si>
  <si>
    <t>WHITAKER STEPHANIE POLK</t>
  </si>
  <si>
    <t>875 GLADSTONE ROAD</t>
  </si>
  <si>
    <t>G700000036</t>
  </si>
  <si>
    <t>MINOR CARMEN MARIE</t>
  </si>
  <si>
    <t>1965 CORNATZER ROAD</t>
  </si>
  <si>
    <t>C300000079</t>
  </si>
  <si>
    <t>E400000035</t>
  </si>
  <si>
    <t>HICKS ALICE BLACKMORE</t>
  </si>
  <si>
    <t>35 BEARDSLEY ROAD</t>
  </si>
  <si>
    <t>KENT</t>
  </si>
  <si>
    <t>CT</t>
  </si>
  <si>
    <t>H700000075</t>
  </si>
  <si>
    <t>MCCLANNON SANDY M</t>
  </si>
  <si>
    <t>1507 FORK BIXBY ROAD</t>
  </si>
  <si>
    <t>D8080D0034</t>
  </si>
  <si>
    <t>SPAIN ALVIN RAY</t>
  </si>
  <si>
    <t>930 RIVERBEND DRIVE</t>
  </si>
  <si>
    <t>27006-9805</t>
  </si>
  <si>
    <t>GARN</t>
  </si>
  <si>
    <t>C100000012</t>
  </si>
  <si>
    <t>REAVIS MARY ABIGAIL</t>
  </si>
  <si>
    <t>649 OLLIE HARKEY ROAD</t>
  </si>
  <si>
    <t>G4080A0009</t>
  </si>
  <si>
    <t>MOSKO BRENDA RICHLEY</t>
  </si>
  <si>
    <t>247 CANA ROAD</t>
  </si>
  <si>
    <t>L5070A001803</t>
  </si>
  <si>
    <t>FRALICK TAMMY K</t>
  </si>
  <si>
    <t>FRALICK JERRY A</t>
  </si>
  <si>
    <t>172 FAIRFIELD ROAD</t>
  </si>
  <si>
    <t>E900000688</t>
  </si>
  <si>
    <t>AGUILAR TARA C</t>
  </si>
  <si>
    <t>483 NORTH HIDDENBROOKE DRIVE</t>
  </si>
  <si>
    <t>I4110B0019</t>
  </si>
  <si>
    <t>HAUSER RAPHAEL H</t>
  </si>
  <si>
    <t>HAUSER REGINA L GRAHAM</t>
  </si>
  <si>
    <t>845 Garner Street</t>
  </si>
  <si>
    <t>M4120A001501</t>
  </si>
  <si>
    <t>WHITE JESSIE HEIRS</t>
  </si>
  <si>
    <t>MORGAN GLORIA</t>
  </si>
  <si>
    <t>619 LAKE ST</t>
  </si>
  <si>
    <t>B50000003202</t>
  </si>
  <si>
    <t>ROGERS CHRISTOPHER R</t>
  </si>
  <si>
    <t>ROGERS SHARON J</t>
  </si>
  <si>
    <t>567 PINEVILLE RD</t>
  </si>
  <si>
    <t>27028-6243</t>
  </si>
  <si>
    <t>B500000030</t>
  </si>
  <si>
    <t>M5160A0011</t>
  </si>
  <si>
    <t>BILLENSTEIN SEAN S</t>
  </si>
  <si>
    <t>BILLENSTEIN KRYSTAL R</t>
  </si>
  <si>
    <t>PO BOX 863</t>
  </si>
  <si>
    <t>J7010A0021</t>
  </si>
  <si>
    <t>HOLLIFIELD BRENDA C</t>
  </si>
  <si>
    <t>104 HICKORY TREE ROAD</t>
  </si>
  <si>
    <t>E600000069</t>
  </si>
  <si>
    <t>MARKLAND RAYMOND JULIUS</t>
  </si>
  <si>
    <t>3419 US HIGHWAY 158</t>
  </si>
  <si>
    <t>F600000045</t>
  </si>
  <si>
    <t>I5060C0026</t>
  </si>
  <si>
    <t>JOHNSON TERRY SCOTT</t>
  </si>
  <si>
    <t>21 WRIGHT LANE</t>
  </si>
  <si>
    <t>27028-2841</t>
  </si>
  <si>
    <t>N5010A0034</t>
  </si>
  <si>
    <t>DAYWALT ALFRED THOMAS</t>
  </si>
  <si>
    <t>DAYWALT HELLEN C</t>
  </si>
  <si>
    <t>PO BOX 111</t>
  </si>
  <si>
    <t>27014-0111</t>
  </si>
  <si>
    <t>O60000007001</t>
  </si>
  <si>
    <t>SPRY STACY</t>
  </si>
  <si>
    <t>710 POINT ROAD</t>
  </si>
  <si>
    <t>N5080A0037</t>
  </si>
  <si>
    <t>N5010A0035</t>
  </si>
  <si>
    <t>N600000057</t>
  </si>
  <si>
    <t>I4120B0030</t>
  </si>
  <si>
    <t>HUDSPETH PHYLLIS R</t>
  </si>
  <si>
    <t>126 EDISON STREET</t>
  </si>
  <si>
    <t>E8020B0002</t>
  </si>
  <si>
    <t>DILLON THOMAS STACY</t>
  </si>
  <si>
    <t>DILLON ELIZABETH E</t>
  </si>
  <si>
    <t>110 CAMERON COURT</t>
  </si>
  <si>
    <t>27006-7465</t>
  </si>
  <si>
    <t>E60000004801</t>
  </si>
  <si>
    <t>C500000014</t>
  </si>
  <si>
    <t>LASHMIT FREIDA S ETAL</t>
  </si>
  <si>
    <t>3112 COURTNEY-HUNTSVILLE ROAD</t>
  </si>
  <si>
    <t>J7120A0028</t>
  </si>
  <si>
    <t>STEWART TERRY LYNN</t>
  </si>
  <si>
    <t>STEWART THOMAS  JERRY</t>
  </si>
  <si>
    <t>3098 US HIGHWAY 64 EAST</t>
  </si>
  <si>
    <t>E200000051</t>
  </si>
  <si>
    <t>YOUNTZ STEVEN MICHAEL</t>
  </si>
  <si>
    <t>YOUNTZ MELISSA SHOUSE</t>
  </si>
  <si>
    <t>144 MOSSY RIDGE TRAIL</t>
  </si>
  <si>
    <t>G900000043</t>
  </si>
  <si>
    <t>MOORE MICHAEL PAUL</t>
  </si>
  <si>
    <t>MOORE JODI B</t>
  </si>
  <si>
    <t>PO BOX 2284</t>
  </si>
  <si>
    <t>F30000000515</t>
  </si>
  <si>
    <t>JONES GEORGE A</t>
  </si>
  <si>
    <t>1065 WAGNER ROAD</t>
  </si>
  <si>
    <t>M5020A0035</t>
  </si>
  <si>
    <t>REILLY ARMINTA</t>
  </si>
  <si>
    <t>361 MICHAELS ROAD</t>
  </si>
  <si>
    <t>F3130A0001</t>
  </si>
  <si>
    <t>SMITH TERRY B</t>
  </si>
  <si>
    <t>BOYD-SMITH CAROLYN J</t>
  </si>
  <si>
    <t>106 PEPPERSTONE DRIVE</t>
  </si>
  <si>
    <t>I400000054</t>
  </si>
  <si>
    <t>BATHKE DAVID ALLEN II</t>
  </si>
  <si>
    <t>WEBB CHRISTINE ANN</t>
  </si>
  <si>
    <t>H5160A0998</t>
  </si>
  <si>
    <t>MEADOWRIDGE HOMEOWNERS ASSOC</t>
  </si>
  <si>
    <t>P O BOX 942</t>
  </si>
  <si>
    <t>I70000009702</t>
  </si>
  <si>
    <t>BELL DONNA H</t>
  </si>
  <si>
    <t>SHOAF GAIL G</t>
  </si>
  <si>
    <t>120 LIVENGOOD ROAD</t>
  </si>
  <si>
    <t>E900000658</t>
  </si>
  <si>
    <t>DWIGGINS DONALD MAX SR</t>
  </si>
  <si>
    <t>DWIGGINS AUDREY SQUIRES</t>
  </si>
  <si>
    <t>165 ST ANDREWS DRIVE</t>
  </si>
  <si>
    <t>G30000002409</t>
  </si>
  <si>
    <t>GOODIN JASON E</t>
  </si>
  <si>
    <t>GOODIN BRANDI B</t>
  </si>
  <si>
    <t>141 DREAMHAVEN LANE</t>
  </si>
  <si>
    <t>J5150C0004</t>
  </si>
  <si>
    <t>MANDO JOSEPH ANTHONY</t>
  </si>
  <si>
    <t>MANDO EVELYN W</t>
  </si>
  <si>
    <t>114 WOOD HAVEN LANE</t>
  </si>
  <si>
    <t>I4030A0002</t>
  </si>
  <si>
    <t>GANTT PROPERTIES LLC</t>
  </si>
  <si>
    <t>1595 UNDERPASS ROAD</t>
  </si>
  <si>
    <t>K700000015</t>
  </si>
  <si>
    <t>STROUD JERRY WAYNE JR</t>
  </si>
  <si>
    <t>BALLSIEPER MELISSA STROUD</t>
  </si>
  <si>
    <t>2911 ORMOND DRIVE</t>
  </si>
  <si>
    <t>C7140C0008</t>
  </si>
  <si>
    <t>WALKER JAMES E</t>
  </si>
  <si>
    <t>WALKER DOROTHY LEE</t>
  </si>
  <si>
    <t>147 WOODBURN PLACE</t>
  </si>
  <si>
    <t>C8010A0265</t>
  </si>
  <si>
    <t>DUNN STEVEN KEITH</t>
  </si>
  <si>
    <t>DUNN LUCIENNE DAVIDSON</t>
  </si>
  <si>
    <t>119 NORTH FIELD DRIVE</t>
  </si>
  <si>
    <t>D7090A0003</t>
  </si>
  <si>
    <t>GERLINGER BRUCE ALLEN</t>
  </si>
  <si>
    <t>GERLINGER SUSAN MARIE</t>
  </si>
  <si>
    <t>118 IDLEWILD ROAD</t>
  </si>
  <si>
    <t>E9150A0036</t>
  </si>
  <si>
    <t>FARTHING DONNA JOLLEY</t>
  </si>
  <si>
    <t>146 TALWOOD DRIVE</t>
  </si>
  <si>
    <t>DJ</t>
  </si>
  <si>
    <t>C300000107</t>
  </si>
  <si>
    <t>WEYMOUTH NATHAN P &amp; BOBBIE JO</t>
  </si>
  <si>
    <t>WEYMOUTH CATHLEEN</t>
  </si>
  <si>
    <t>317 JACK BOOE RD</t>
  </si>
  <si>
    <t>MOCSVILLE</t>
  </si>
  <si>
    <t>D500000016  A</t>
  </si>
  <si>
    <t>BROCK WILLIAM K</t>
  </si>
  <si>
    <t>BROCK RUTH</t>
  </si>
  <si>
    <t>662 CEDAR CREEK ROAD</t>
  </si>
  <si>
    <t>G70000013105</t>
  </si>
  <si>
    <t>STONE JAMES WILLARD II</t>
  </si>
  <si>
    <t>164 BARNEY ROAD</t>
  </si>
  <si>
    <t>I80000004605</t>
  </si>
  <si>
    <t>SEAFORD SARAH HEGE</t>
  </si>
  <si>
    <t>3255 HIGHWAY 801 SOUTH</t>
  </si>
  <si>
    <t>E900000317</t>
  </si>
  <si>
    <t>CLODFELTER JOSEPH R</t>
  </si>
  <si>
    <t>CLODFELTER ANNA</t>
  </si>
  <si>
    <t>710 OAK VALLEY BOULEVARD</t>
  </si>
  <si>
    <t>B500000031</t>
  </si>
  <si>
    <t>F60000004501</t>
  </si>
  <si>
    <t>B20000002902</t>
  </si>
  <si>
    <t>HAWKINS TIMOTHY P</t>
  </si>
  <si>
    <t>HAWKINS SHARON W</t>
  </si>
  <si>
    <t>678 BELL BRANCH ROAD</t>
  </si>
  <si>
    <t>27028-4620</t>
  </si>
  <si>
    <t>O600000066</t>
  </si>
  <si>
    <t>G3060A0023</t>
  </si>
  <si>
    <t>WIETER LITA</t>
  </si>
  <si>
    <t>133 PARKWAY COURT</t>
  </si>
  <si>
    <t>K8100A0006</t>
  </si>
  <si>
    <t>LYNCH TRESTON MATTHEW</t>
  </si>
  <si>
    <t>LYNCH AMBER NICOLE</t>
  </si>
  <si>
    <t>158 PEACE COURT</t>
  </si>
  <si>
    <t>H6070A0003</t>
  </si>
  <si>
    <t>MABE ANGELIA RUFTY</t>
  </si>
  <si>
    <t>811 SAIN ROAD</t>
  </si>
  <si>
    <t>F80000013901</t>
  </si>
  <si>
    <t>SAKAI SUKETAKA</t>
  </si>
  <si>
    <t>2450 MANHATTAN LANE</t>
  </si>
  <si>
    <t>C8010A0351</t>
  </si>
  <si>
    <t>KELLER EMILY M</t>
  </si>
  <si>
    <t>163 KILBOURNE DRIVE</t>
  </si>
  <si>
    <t>D8070D0033</t>
  </si>
  <si>
    <t>MORIARTY THOMAS P</t>
  </si>
  <si>
    <t>MORIARTY CATHERINE</t>
  </si>
  <si>
    <t>168 FAIRWAY DRIVE</t>
  </si>
  <si>
    <t>M50000001801</t>
  </si>
  <si>
    <t>KARRIKER LARRY W</t>
  </si>
  <si>
    <t>7316 NC HIGHWAY 801 SOUTH</t>
  </si>
  <si>
    <t>L3010A0013</t>
  </si>
  <si>
    <t>ARMENTA MARCELA MENDOZA</t>
  </si>
  <si>
    <t>102 TARA LANE</t>
  </si>
  <si>
    <t>BOX 242</t>
  </si>
  <si>
    <t>DOBSON</t>
  </si>
  <si>
    <t>27017-0242</t>
  </si>
  <si>
    <t>J4050C0019</t>
  </si>
  <si>
    <t>GROVER STEVEN M</t>
  </si>
  <si>
    <t>GROVER KANDICE A</t>
  </si>
  <si>
    <t>731 BROOKWAY WEST DR</t>
  </si>
  <si>
    <t>27023-7613</t>
  </si>
  <si>
    <t>B200000022</t>
  </si>
  <si>
    <t>WEATHERMAN PAUL G</t>
  </si>
  <si>
    <t>WEATHERMAN JOHNSIE M</t>
  </si>
  <si>
    <t>249 BELL BRANCH ROAD</t>
  </si>
  <si>
    <t>B20000002204</t>
  </si>
  <si>
    <t>C200000020</t>
  </si>
  <si>
    <t>B20000002203</t>
  </si>
  <si>
    <t>C8010A0078</t>
  </si>
  <si>
    <t>OBRIEN KEVIN E</t>
  </si>
  <si>
    <t>OBRIEN JESSICA L</t>
  </si>
  <si>
    <t>312 2ND AVE NW  APT C</t>
  </si>
  <si>
    <t>HICKORY</t>
  </si>
  <si>
    <t>28601-0000</t>
  </si>
  <si>
    <t>J50000003701</t>
  </si>
  <si>
    <t>JOHNNIE CARTNER LLC</t>
  </si>
  <si>
    <t>2900 ALEXANDER ROAD</t>
  </si>
  <si>
    <t>J20000003503</t>
  </si>
  <si>
    <t>DAYWALT ANDREW JARRETT</t>
  </si>
  <si>
    <t>MISENHEIMER KIMBERLY</t>
  </si>
  <si>
    <t>213 SHADY KNOLL LANE</t>
  </si>
  <si>
    <t>E200000003</t>
  </si>
  <si>
    <t>J60000005417</t>
  </si>
  <si>
    <t>DAVIE CO BOARD OF EDUCATION</t>
  </si>
  <si>
    <t>E9150B0073</t>
  </si>
  <si>
    <t>PEACOCK KENNETH E</t>
  </si>
  <si>
    <t>PEACOCK ROSANNE B</t>
  </si>
  <si>
    <t>114 SYCAMORE PARK LANE</t>
  </si>
  <si>
    <t>E900000295</t>
  </si>
  <si>
    <t>STOKES JEFFREY ALAN</t>
  </si>
  <si>
    <t>STOKES GINGER WATLINGTON</t>
  </si>
  <si>
    <t>115 SAWGRASS DRIVE</t>
  </si>
  <si>
    <t>H800000040</t>
  </si>
  <si>
    <t>PHILPOTT MARK</t>
  </si>
  <si>
    <t>PHILPOTT CINDY</t>
  </si>
  <si>
    <t>2812 HIGHWAY 801 SOUTH</t>
  </si>
  <si>
    <t>J200000023  A</t>
  </si>
  <si>
    <t>HENDRICKS JAMES G</t>
  </si>
  <si>
    <t>HENDRICKS PAMELA H</t>
  </si>
  <si>
    <t>27028-8122</t>
  </si>
  <si>
    <t>H5160A0999</t>
  </si>
  <si>
    <t>F700000027</t>
  </si>
  <si>
    <t>BOYD JULIE MYERS</t>
  </si>
  <si>
    <t>1036 NC HWY 801 SOUTH</t>
  </si>
  <si>
    <t>I40000004301</t>
  </si>
  <si>
    <t>LAKEY CHARLES MATTHEW</t>
  </si>
  <si>
    <t>LAKEY SCARLETT K</t>
  </si>
  <si>
    <t>180 HORSE SHOE TRAIL</t>
  </si>
  <si>
    <t>H5150B001601</t>
  </si>
  <si>
    <t>BOTTOMS CHANDRA M</t>
  </si>
  <si>
    <t>205 DOGWOOD LANE</t>
  </si>
  <si>
    <t>D30000000101</t>
  </si>
  <si>
    <t>F40000000701</t>
  </si>
  <si>
    <t>HARDIN JEREMY STEVEN</t>
  </si>
  <si>
    <t>BURGESS HARMONY NICOLE</t>
  </si>
  <si>
    <t>572 DANNER ROAD</t>
  </si>
  <si>
    <t>I400000012</t>
  </si>
  <si>
    <t>LAWSON RICHARD</t>
  </si>
  <si>
    <t>LAWSON HEATHER</t>
  </si>
  <si>
    <t>I80000000102</t>
  </si>
  <si>
    <t>TKACH RENAE JONES</t>
  </si>
  <si>
    <t>TKACH CLIFFORD</t>
  </si>
  <si>
    <t>303 CARDINAL HILL LANE</t>
  </si>
  <si>
    <t>D30000004510</t>
  </si>
  <si>
    <t>KISSINGER LILLIE B</t>
  </si>
  <si>
    <t>KISSINGER CLARENCE F</t>
  </si>
  <si>
    <t>307 HOWELL ROAD</t>
  </si>
  <si>
    <t>D3010A0039</t>
  </si>
  <si>
    <t>MORGAN ISSAC ALEXANDER</t>
  </si>
  <si>
    <t>ALTMAN CHELSIE ELIZABETH</t>
  </si>
  <si>
    <t>169 GREENFIELD ROAD</t>
  </si>
  <si>
    <t>H4130A0040</t>
  </si>
  <si>
    <t>BLOUNT ERIC L</t>
  </si>
  <si>
    <t>BLOUNT KAY W</t>
  </si>
  <si>
    <t>171 ASH DRIVE</t>
  </si>
  <si>
    <t>M5090A0010</t>
  </si>
  <si>
    <t>RICE JOHNNY RAY</t>
  </si>
  <si>
    <t>RICE MARILYN</t>
  </si>
  <si>
    <t>PO BOX 381</t>
  </si>
  <si>
    <t>N60000004702</t>
  </si>
  <si>
    <t>CRANFILL LESTER L JR</t>
  </si>
  <si>
    <t>CRANFILL ANDREA</t>
  </si>
  <si>
    <t>3591 US HIGHWAY 601 SOUTH</t>
  </si>
  <si>
    <t>D9050A0036</t>
  </si>
  <si>
    <t>DICKERSON MARVIN H</t>
  </si>
  <si>
    <t>DICKERSON MARY V</t>
  </si>
  <si>
    <t>3230 BERMUDA VILLAGE DRIVE</t>
  </si>
  <si>
    <t>I800000034</t>
  </si>
  <si>
    <t>SEAFORD TONY WRIGHT</t>
  </si>
  <si>
    <t>SEAFORD BRENDA B</t>
  </si>
  <si>
    <t>129 TODD ROAD</t>
  </si>
  <si>
    <t>J4060B0001</t>
  </si>
  <si>
    <t>YOUNG JEREMY NATHAN</t>
  </si>
  <si>
    <t>YOUNG SUSAN ELIZABETH</t>
  </si>
  <si>
    <t>206 HOLLY LANE</t>
  </si>
  <si>
    <t>B200000030</t>
  </si>
  <si>
    <t>FELTS CHARLES</t>
  </si>
  <si>
    <t>FELTS BARBARA P</t>
  </si>
  <si>
    <t>625 BELL BRANCH ROAD</t>
  </si>
  <si>
    <t>E900000273</t>
  </si>
  <si>
    <t>ROBB THOMAS A</t>
  </si>
  <si>
    <t>ROBB LINDA J</t>
  </si>
  <si>
    <t>136 GRASSLANDS COURT</t>
  </si>
  <si>
    <t>E900000601</t>
  </si>
  <si>
    <t>CRAVEN FRANKLIN DUVAL JR</t>
  </si>
  <si>
    <t>CRAVEN RUBY ELIZABETH TURNER</t>
  </si>
  <si>
    <t>138 WEST EDEN COURSE DRIVE</t>
  </si>
  <si>
    <t>K50000004901</t>
  </si>
  <si>
    <t>I5080D0008</t>
  </si>
  <si>
    <t>NEELY GARRY</t>
  </si>
  <si>
    <t>NEELY ANGELA</t>
  </si>
  <si>
    <t>141 OAK STREET</t>
  </si>
  <si>
    <t>I5020A000102</t>
  </si>
  <si>
    <t>MALICKI HILLARY KATHRYN</t>
  </si>
  <si>
    <t>136 LAKECREST DRIVE</t>
  </si>
  <si>
    <t>B20000002601</t>
  </si>
  <si>
    <t>POINDEXTER JASON WILLIAM</t>
  </si>
  <si>
    <t>POINDEXTER  TINA RENEE</t>
  </si>
  <si>
    <t>3000 FORESTSIDE DRIVE</t>
  </si>
  <si>
    <t>B20000002602</t>
  </si>
  <si>
    <t>HAYNES JINDA POINDEXTER</t>
  </si>
  <si>
    <t>HAYNES CHARLES AVERY</t>
  </si>
  <si>
    <t>1024 OLD PLACE DRIVE</t>
  </si>
  <si>
    <t>D700000199</t>
  </si>
  <si>
    <t>HILLSDALE UNITED METHODIST</t>
  </si>
  <si>
    <t>5018 US HWY 158</t>
  </si>
  <si>
    <t>B10000000902</t>
  </si>
  <si>
    <t>G700000048</t>
  </si>
  <si>
    <t>MASTERS TERESA DARLENE</t>
  </si>
  <si>
    <t>165 JOE MYERS RD</t>
  </si>
  <si>
    <t>J700000022</t>
  </si>
  <si>
    <t>JORDAN LIZZIE OLA H</t>
  </si>
  <si>
    <t>201 EVERHART ROAD</t>
  </si>
  <si>
    <t>27028-7212</t>
  </si>
  <si>
    <t>H9080A0002</t>
  </si>
  <si>
    <t>MYERS TIMOTHY L</t>
  </si>
  <si>
    <t>MYERS KIMBERLY S</t>
  </si>
  <si>
    <t>257 PEOPLES CREEK ROAD</t>
  </si>
  <si>
    <t>L40000000111</t>
  </si>
  <si>
    <t>GREEN JOHN BRANDON</t>
  </si>
  <si>
    <t>GREEN CHARITY BOSTICK</t>
  </si>
  <si>
    <t>835 JUNCTION ROAD</t>
  </si>
  <si>
    <t>G60000006101</t>
  </si>
  <si>
    <t>MARKLAND DONALD J</t>
  </si>
  <si>
    <t>MARKLAND LISA</t>
  </si>
  <si>
    <t>175 WILLMAT LN</t>
  </si>
  <si>
    <t>27028-7461</t>
  </si>
  <si>
    <t>G60000005801</t>
  </si>
  <si>
    <t>MARKLAND DONALD J &amp; LISA L</t>
  </si>
  <si>
    <t>MARKLAND RAYMOND J</t>
  </si>
  <si>
    <t>I800000050</t>
  </si>
  <si>
    <t>REHR JAY H</t>
  </si>
  <si>
    <t>REHR CARLA</t>
  </si>
  <si>
    <t>3155 NC HIGHWAY 801 SOUTH</t>
  </si>
  <si>
    <t>I5050A0010</t>
  </si>
  <si>
    <t>WILLARD TROY</t>
  </si>
  <si>
    <t>WILLARD DELLA</t>
  </si>
  <si>
    <t>119 META BREEZE LANE</t>
  </si>
  <si>
    <t>27028-2850</t>
  </si>
  <si>
    <t>G20000001703</t>
  </si>
  <si>
    <t>ROBERSON JAMES C</t>
  </si>
  <si>
    <t>ROBERSON MARGIE S</t>
  </si>
  <si>
    <t>271 SMOOT FARM LN</t>
  </si>
  <si>
    <t>G20000001702</t>
  </si>
  <si>
    <t>H300000085</t>
  </si>
  <si>
    <t>REX OIL COMPANY INC</t>
  </si>
  <si>
    <t>1000 LEXINGTON AVE</t>
  </si>
  <si>
    <t>H300000082</t>
  </si>
  <si>
    <t>H300000084</t>
  </si>
  <si>
    <t>I4120C0013</t>
  </si>
  <si>
    <t>MEDWIN ADAM ROME</t>
  </si>
  <si>
    <t>529 CHURCH ST EXT</t>
  </si>
  <si>
    <t>D7010B0006</t>
  </si>
  <si>
    <t>STANLEY JOSEPH S</t>
  </si>
  <si>
    <t>STANLEY JULIE F</t>
  </si>
  <si>
    <t>267 GORDON DRIVE</t>
  </si>
  <si>
    <t>E100000011</t>
  </si>
  <si>
    <t>SHAW INGEBORG B</t>
  </si>
  <si>
    <t>744 TURKEY FOOT ROAD</t>
  </si>
  <si>
    <t>L300000027</t>
  </si>
  <si>
    <t>WHITAKER MICHAEL JAY</t>
  </si>
  <si>
    <t>684 JUNCTION ROAD</t>
  </si>
  <si>
    <t>27028-5319</t>
  </si>
  <si>
    <t>E100000012</t>
  </si>
  <si>
    <t>E10000001204</t>
  </si>
  <si>
    <t>G7050A0017</t>
  </si>
  <si>
    <t>WELBORN JON W</t>
  </si>
  <si>
    <t>WELBORN AMBER C</t>
  </si>
  <si>
    <t>108 PRINCETON COURT</t>
  </si>
  <si>
    <t>G800000060</t>
  </si>
  <si>
    <t>VARTECH SYSTEMS INC</t>
  </si>
  <si>
    <t>249 SHUTT ROAD</t>
  </si>
  <si>
    <t>E900000686</t>
  </si>
  <si>
    <t>SHORE BRIAN M</t>
  </si>
  <si>
    <t>SHORE KERI B</t>
  </si>
  <si>
    <t>463 NORTH HIDDENBROOKE DRIVE</t>
  </si>
  <si>
    <t>E8170A0696</t>
  </si>
  <si>
    <t>TAYLOR GARY J</t>
  </si>
  <si>
    <t>TAYLOR KAY S</t>
  </si>
  <si>
    <t>134 LEGACY DRIVE</t>
  </si>
  <si>
    <t>I4110A0011</t>
  </si>
  <si>
    <t>LINK RICKY CHARLES</t>
  </si>
  <si>
    <t>LINK DONNA GOBBLE</t>
  </si>
  <si>
    <t>148 JOHN SNIDER ROAD</t>
  </si>
  <si>
    <t>G200000085</t>
  </si>
  <si>
    <t>G20000002502</t>
  </si>
  <si>
    <t>G20000002503</t>
  </si>
  <si>
    <t>G200000082</t>
  </si>
  <si>
    <t>G200000083</t>
  </si>
  <si>
    <t>D9050C0036</t>
  </si>
  <si>
    <t>SMITHDEAL FERRELL JUNE HINSHAW</t>
  </si>
  <si>
    <t>2329 BERMUDA VILLAGE DRIVE</t>
  </si>
  <si>
    <t>E7130A0009</t>
  </si>
  <si>
    <t>CAMBELETTA FRANK</t>
  </si>
  <si>
    <t>CAMBELETTA ROSEANN D</t>
  </si>
  <si>
    <t>106 SOMERSET COURT</t>
  </si>
  <si>
    <t>E8110C001001</t>
  </si>
  <si>
    <t>SOLOMON SHIRLEY WILLIAMS</t>
  </si>
  <si>
    <t>116 SOUTH HIDDENBROOKE DRIVE</t>
  </si>
  <si>
    <t>209 WESTRIDGE ROAD</t>
  </si>
  <si>
    <t>M5160A0002</t>
  </si>
  <si>
    <t>SMITH JEFFREY A</t>
  </si>
  <si>
    <t>SMITH KAREN C</t>
  </si>
  <si>
    <t>PO BOX 33</t>
  </si>
  <si>
    <t>L5070A000901</t>
  </si>
  <si>
    <t>DEJESUS DAVID MORENO</t>
  </si>
  <si>
    <t>2057 US HIGHWAY 601 SOUTH</t>
  </si>
  <si>
    <t>27028-6904</t>
  </si>
  <si>
    <t>N5080B0019</t>
  </si>
  <si>
    <t>BECK DAPHNE</t>
  </si>
  <si>
    <t>PO BOX 688</t>
  </si>
  <si>
    <t>27014-0688</t>
  </si>
  <si>
    <t>N500000001</t>
  </si>
  <si>
    <t>N500000002</t>
  </si>
  <si>
    <t>J50000003203</t>
  </si>
  <si>
    <t>TIME WARNER CABLE SOUTHEAST LL</t>
  </si>
  <si>
    <t>ATTN: REAL ESTATE DEPT.</t>
  </si>
  <si>
    <t>7820 CRESCENT EXECUTIVE DRIVE</t>
  </si>
  <si>
    <t>CHARLOTTE NC</t>
  </si>
  <si>
    <t>E900000319</t>
  </si>
  <si>
    <t>SWENSON ROBERT R</t>
  </si>
  <si>
    <t>SWENSON LINDA H</t>
  </si>
  <si>
    <t>703 OAK VALLEY BOULEVARD</t>
  </si>
  <si>
    <t>E20000002801</t>
  </si>
  <si>
    <t>SCHOPPE HOWARD RAYMOND</t>
  </si>
  <si>
    <t>SCHOPPE RUTH ANNE</t>
  </si>
  <si>
    <t>335 BEAR CREEK CHURCH ROAD</t>
  </si>
  <si>
    <t>I90000000906</t>
  </si>
  <si>
    <t>BARNES JAMIE RAD</t>
  </si>
  <si>
    <t>BARNES BRANDI S</t>
  </si>
  <si>
    <t>301 FANTASIA LANE</t>
  </si>
  <si>
    <t>H500000075</t>
  </si>
  <si>
    <t>PRICE RICHARD A JR</t>
  </si>
  <si>
    <t>148 EAST KNOLLBROOK DRIVE</t>
  </si>
  <si>
    <t>J70000004601</t>
  </si>
  <si>
    <t>ALLEN LEE HENRY</t>
  </si>
  <si>
    <t>124 NO CREEK ROAD</t>
  </si>
  <si>
    <t>I5110B0013</t>
  </si>
  <si>
    <t>IDEAL INVESTMENTS LLC</t>
  </si>
  <si>
    <t>211 WEST ACADIA AVENUE</t>
  </si>
  <si>
    <t>E9150B0098</t>
  </si>
  <si>
    <t>OFFERDAHL-WALTER ARLENE TRSTEE</t>
  </si>
  <si>
    <t>ARLENE OFFERDAHL-WALTER FAM TR</t>
  </si>
  <si>
    <t>305 ORCHARD PARK DRIVE</t>
  </si>
  <si>
    <t>I5110B0014</t>
  </si>
  <si>
    <t>J600000086</t>
  </si>
  <si>
    <t>J7080B0058</t>
  </si>
  <si>
    <t>MCCARTHY MARTHA M</t>
  </si>
  <si>
    <t>122 CEDARWOOD PLACE</t>
  </si>
  <si>
    <t>D8060B0002</t>
  </si>
  <si>
    <t>PHILLIPS MATTHEW</t>
  </si>
  <si>
    <t>PHILLIPS HEATHER</t>
  </si>
  <si>
    <t>440 RIVERBEND DRIVE</t>
  </si>
  <si>
    <t>N5080A0027</t>
  </si>
  <si>
    <t>WHITMAN CHRISTOPHER ALEXANDER</t>
  </si>
  <si>
    <t>MCMILLIAN KELLY RENEA</t>
  </si>
  <si>
    <t>4404 CONCORD ROAD</t>
  </si>
  <si>
    <t>G800000034</t>
  </si>
  <si>
    <t>POTTS TIMOTHY V JR</t>
  </si>
  <si>
    <t>1807 US HWY 801 SOUTH</t>
  </si>
  <si>
    <t>H30000005101</t>
  </si>
  <si>
    <t>BAKER BRADLEY K</t>
  </si>
  <si>
    <t>BAKER SONYA C</t>
  </si>
  <si>
    <t>2073 US HIGHWAY 64 WEST</t>
  </si>
  <si>
    <t>H300000051</t>
  </si>
  <si>
    <t>E900000463</t>
  </si>
  <si>
    <t>DUFUR TODD P</t>
  </si>
  <si>
    <t>DUFUR MISTY M</t>
  </si>
  <si>
    <t>107 SOUTH HIDDENBROOKE DRIVE</t>
  </si>
  <si>
    <t>G60000006001</t>
  </si>
  <si>
    <t>G600000060</t>
  </si>
  <si>
    <t>G600000061</t>
  </si>
  <si>
    <t>M60000005002</t>
  </si>
  <si>
    <t>TOCCO PHILLIP MICHAEL</t>
  </si>
  <si>
    <t>HEGE RENA TAYLOR</t>
  </si>
  <si>
    <t>207 APPLEWOOD ROAD</t>
  </si>
  <si>
    <t>K500000095</t>
  </si>
  <si>
    <t>JONES DONALD VANN</t>
  </si>
  <si>
    <t>JONES DEBORAH LAGLE</t>
  </si>
  <si>
    <t>246 WALT WILSON ROAD</t>
  </si>
  <si>
    <t>E8170A0701</t>
  </si>
  <si>
    <t>BURCKHARD DENNIS J</t>
  </si>
  <si>
    <t>BURCKHARD SHEILA A</t>
  </si>
  <si>
    <t>165 LEGACY DRIVE</t>
  </si>
  <si>
    <t>I400000047</t>
  </si>
  <si>
    <t>L400000003</t>
  </si>
  <si>
    <t>E200000026</t>
  </si>
  <si>
    <t>ELLER CHAD W</t>
  </si>
  <si>
    <t>890 GEORGIA ROAD</t>
  </si>
  <si>
    <t>G80000005901</t>
  </si>
  <si>
    <t>G800000059</t>
  </si>
  <si>
    <t>E300000018</t>
  </si>
  <si>
    <t>MOODY JOSHUA R</t>
  </si>
  <si>
    <t>MOODY JENNIFER B</t>
  </si>
  <si>
    <t>352 LIBERTY CHURCH ROAD</t>
  </si>
  <si>
    <t>E8100B0018</t>
  </si>
  <si>
    <t>HAMMOND ROBERT C</t>
  </si>
  <si>
    <t>HAMMOND JANA</t>
  </si>
  <si>
    <t>161 BROOKDALE DRIVE</t>
  </si>
  <si>
    <t>E20000002503</t>
  </si>
  <si>
    <t>COOK LARRY WAYNE</t>
  </si>
  <si>
    <t>PO BOX 482</t>
  </si>
  <si>
    <t>N5080B001601</t>
  </si>
  <si>
    <t>N5080B0021</t>
  </si>
  <si>
    <t>N5080B0003</t>
  </si>
  <si>
    <t>J5040A0013</t>
  </si>
  <si>
    <t>HERNANDEZ FRANSCISCO J</t>
  </si>
  <si>
    <t>CARVAJAL MARIA LOPEZ</t>
  </si>
  <si>
    <t>105 CARRIE CIRCLE</t>
  </si>
  <si>
    <t>I5110C0019</t>
  </si>
  <si>
    <t>HERNANDEZ TERESA ROGEL</t>
  </si>
  <si>
    <t>174 MOUNTVIEW DRIVE</t>
  </si>
  <si>
    <t>27028-2835</t>
  </si>
  <si>
    <t>K5020A0005</t>
  </si>
  <si>
    <t>ROSCOE JAMES ROBERT</t>
  </si>
  <si>
    <t>ROSCOE AMY COLTRAIN</t>
  </si>
  <si>
    <t>161 RANDOM ROAD</t>
  </si>
  <si>
    <t>I5160B0023</t>
  </si>
  <si>
    <t>HOPE HOMES OF DAVIE COUNTY INC</t>
  </si>
  <si>
    <t>% BETHLEHEM UMC</t>
  </si>
  <si>
    <t>321 REDLAND ROAD</t>
  </si>
  <si>
    <t>I5090C0023</t>
  </si>
  <si>
    <t>B30000002501</t>
  </si>
  <si>
    <t>REYNOLDS YVETTE</t>
  </si>
  <si>
    <t>443 CHILDRENS HOME ROAD</t>
  </si>
  <si>
    <t>C200000007</t>
  </si>
  <si>
    <t>ANDERSON JOHNNY</t>
  </si>
  <si>
    <t>D8070D0014</t>
  </si>
  <si>
    <t>BERMUDA PROPERTIES LLC</t>
  </si>
  <si>
    <t>14342 76TH STREET</t>
  </si>
  <si>
    <t>LIVEOAK</t>
  </si>
  <si>
    <t>32060-8671</t>
  </si>
  <si>
    <t>D9030A0019</t>
  </si>
  <si>
    <t>WALLEN STEVEN L</t>
  </si>
  <si>
    <t>268 JAMES WAY</t>
  </si>
  <si>
    <t>L5090A000701</t>
  </si>
  <si>
    <t>FOSTER CAROLYN ALLEN</t>
  </si>
  <si>
    <t>284 GLASTONE ROAD</t>
  </si>
  <si>
    <t>H60000001704</t>
  </si>
  <si>
    <t>MOYNIHAN JEAN M</t>
  </si>
  <si>
    <t>SHEETS CAROL</t>
  </si>
  <si>
    <t>225 SANCTUARY LANE</t>
  </si>
  <si>
    <t>K60000002203</t>
  </si>
  <si>
    <t>SMITH MARSHA GRAVES</t>
  </si>
  <si>
    <t>1105 DEADMON ROAD</t>
  </si>
  <si>
    <t>27028-5149</t>
  </si>
  <si>
    <t>J20000006303</t>
  </si>
  <si>
    <t>PIERCE LARRY T</t>
  </si>
  <si>
    <t>PIERCE SARA E</t>
  </si>
  <si>
    <t>306 JONES ROAD</t>
  </si>
  <si>
    <t>E50000001705</t>
  </si>
  <si>
    <t>WILSON DAVID</t>
  </si>
  <si>
    <t>KNAUS ALANNA</t>
  </si>
  <si>
    <t>963 FARMINGTON ROAD</t>
  </si>
  <si>
    <t>D500000007</t>
  </si>
  <si>
    <t>EATON HELEN S HEIRS</t>
  </si>
  <si>
    <t>4184 MORNINGSIDE DR</t>
  </si>
  <si>
    <t>D500000008</t>
  </si>
  <si>
    <t>EATON LOUIS MCKINLEY</t>
  </si>
  <si>
    <t>I5090C0027</t>
  </si>
  <si>
    <t>AGRESTO BRUCE</t>
  </si>
  <si>
    <t>734 SHEPPARD AVE</t>
  </si>
  <si>
    <t>NORFOLK</t>
  </si>
  <si>
    <t>23518-2551</t>
  </si>
  <si>
    <t>H90000005401</t>
  </si>
  <si>
    <t>WATERS JAMES L</t>
  </si>
  <si>
    <t>WATERS CINDY C</t>
  </si>
  <si>
    <t>PO BOX 2241</t>
  </si>
  <si>
    <t>H4100A0002</t>
  </si>
  <si>
    <t>E20000002506</t>
  </si>
  <si>
    <t>M5160B0031</t>
  </si>
  <si>
    <t>LANKFORD MICHAEL WAYNE</t>
  </si>
  <si>
    <t>1144 ASHFIELD WAY</t>
  </si>
  <si>
    <t>ST JOHNS</t>
  </si>
  <si>
    <t>32259-0000</t>
  </si>
  <si>
    <t>B500000107</t>
  </si>
  <si>
    <t>WHITE DAVID JR ETAL</t>
  </si>
  <si>
    <t>5205 COURTNEY-HUNTSVILLE ROAD</t>
  </si>
  <si>
    <t>B60000002201</t>
  </si>
  <si>
    <t>CRATER KERRI DEE WILSON</t>
  </si>
  <si>
    <t>784 SPARKS ROAD</t>
  </si>
  <si>
    <t>D9050C0027</t>
  </si>
  <si>
    <t>HOHF ELLEN M</t>
  </si>
  <si>
    <t>2314 BERMUDA VILLAGE DRIVE</t>
  </si>
  <si>
    <t>E5020A0017</t>
  </si>
  <si>
    <t>LANKFORD MICHAEL W</t>
  </si>
  <si>
    <t>LANKFORD VANESSA</t>
  </si>
  <si>
    <t>J70000009301</t>
  </si>
  <si>
    <t>TUTTLE ALMA JOY</t>
  </si>
  <si>
    <t>156 CRICKET LANE</t>
  </si>
  <si>
    <t>E200000038</t>
  </si>
  <si>
    <t>JERRY W ELLER FAMILY LLC</t>
  </si>
  <si>
    <t>2100 MAYNARD ROAD</t>
  </si>
  <si>
    <t>B100000014</t>
  </si>
  <si>
    <t>B100000003</t>
  </si>
  <si>
    <t>B100000013</t>
  </si>
  <si>
    <t>B10000001401</t>
  </si>
  <si>
    <t>B10000001403</t>
  </si>
  <si>
    <t>E200000041</t>
  </si>
  <si>
    <t>E200000019</t>
  </si>
  <si>
    <t>B7010A0010</t>
  </si>
  <si>
    <t>FLEMING SHAWN HOWARD</t>
  </si>
  <si>
    <t>FLEMING JILL PATTON</t>
  </si>
  <si>
    <t>131 SERENITY HILLS TRAIL</t>
  </si>
  <si>
    <t>C70000010602</t>
  </si>
  <si>
    <t>MILLER MARGARET B</t>
  </si>
  <si>
    <t>170 WILLS ROAD</t>
  </si>
  <si>
    <t>G400000026</t>
  </si>
  <si>
    <t>QUINN JUSTIN B</t>
  </si>
  <si>
    <t>QUINN AMANDA M</t>
  </si>
  <si>
    <t>492 MAIN CHURCH ROAD</t>
  </si>
  <si>
    <t>D9030A0023</t>
  </si>
  <si>
    <t>FADOOL THEODORE JR</t>
  </si>
  <si>
    <t>FADOOL WINIFRED P</t>
  </si>
  <si>
    <t>296 JAMES WAY</t>
  </si>
  <si>
    <t>I5050C0034</t>
  </si>
  <si>
    <t>COOK MITCHELL BLAKE</t>
  </si>
  <si>
    <t>COOK STEPHANIE W</t>
  </si>
  <si>
    <t>122 LEILA COURT</t>
  </si>
  <si>
    <t>J4140A0038</t>
  </si>
  <si>
    <t>VERMEULEN LEAH C</t>
  </si>
  <si>
    <t>215 NEW HAMPSHIRE COURT</t>
  </si>
  <si>
    <t>E900000512</t>
  </si>
  <si>
    <t>MACK WILLIAM JOSEPH</t>
  </si>
  <si>
    <t>MACK GAIL LEE</t>
  </si>
  <si>
    <t>106 LATROBE COURT</t>
  </si>
  <si>
    <t>J30000002001</t>
  </si>
  <si>
    <t>TUCKER SETH ALTON</t>
  </si>
  <si>
    <t>865 GREENHILL ROAD</t>
  </si>
  <si>
    <t>D8100C000201</t>
  </si>
  <si>
    <t>D8070A0059</t>
  </si>
  <si>
    <t>D8070D0005</t>
  </si>
  <si>
    <t>H60000001703</t>
  </si>
  <si>
    <t>E9150B0051</t>
  </si>
  <si>
    <t>GONZALEZ-PARRA ALVARO</t>
  </si>
  <si>
    <t>PARRA ANNE S</t>
  </si>
  <si>
    <t>208 SYCAMORE RIDGE DRIVE</t>
  </si>
  <si>
    <t>F500000039</t>
  </si>
  <si>
    <t>ALLEN RONALD PAUL</t>
  </si>
  <si>
    <t>ALLEN MERLIE DANNER</t>
  </si>
  <si>
    <t>2660 US HIGHWAY 158</t>
  </si>
  <si>
    <t>27028-4370</t>
  </si>
  <si>
    <t>I5120A0030</t>
  </si>
  <si>
    <t>A &amp; S ENTERPRISES</t>
  </si>
  <si>
    <t>1850 POWELL ROAD</t>
  </si>
  <si>
    <t>D8020A0014</t>
  </si>
  <si>
    <t>ALLEN RICHARD H</t>
  </si>
  <si>
    <t>ALLEN SANDRA T</t>
  </si>
  <si>
    <t>197 IVY CIRCLE</t>
  </si>
  <si>
    <t>B400000038</t>
  </si>
  <si>
    <t>AKERS CHARLES LEE</t>
  </si>
  <si>
    <t>1032 WYO RD</t>
  </si>
  <si>
    <t>B400000039</t>
  </si>
  <si>
    <t>I5080B0019</t>
  </si>
  <si>
    <t>BOGER GARY BRADY</t>
  </si>
  <si>
    <t>BOGER JOAN KEATON</t>
  </si>
  <si>
    <t>G8060A0007</t>
  </si>
  <si>
    <t>GROUT DONALD DUANE</t>
  </si>
  <si>
    <t>GROUT CHRISTINE KIELY</t>
  </si>
  <si>
    <t>130 SPRINGDALE COURT</t>
  </si>
  <si>
    <t>D700000136</t>
  </si>
  <si>
    <t>D700000096</t>
  </si>
  <si>
    <t>L4130A0002</t>
  </si>
  <si>
    <t>CLEMENT ADRIAN TRENT</t>
  </si>
  <si>
    <t>189 NORTH HAZELWOOD LANE</t>
  </si>
  <si>
    <t>K50000005902</t>
  </si>
  <si>
    <t>WISEMAN JOHNA REENE GRANT</t>
  </si>
  <si>
    <t>WISEMAN NOAH L</t>
  </si>
  <si>
    <t>648 DEADMON ROAD</t>
  </si>
  <si>
    <t>F800000061</t>
  </si>
  <si>
    <t>MYERS TIMOTHY LEE</t>
  </si>
  <si>
    <t>MYERS KIMBERLY SMALL</t>
  </si>
  <si>
    <t>B30000002907</t>
  </si>
  <si>
    <t>JAMES AUBREY ALAN</t>
  </si>
  <si>
    <t>5035 US HIGHWAY 601 N</t>
  </si>
  <si>
    <t>D80000000701</t>
  </si>
  <si>
    <t>AYERS THOMAS D IV</t>
  </si>
  <si>
    <t>AYERS MELISSA A</t>
  </si>
  <si>
    <t>136 RIVER DRIVE</t>
  </si>
  <si>
    <t>27006-9598</t>
  </si>
  <si>
    <t>D50000000104</t>
  </si>
  <si>
    <t>SPACH BRIAN L</t>
  </si>
  <si>
    <t>SPACH KATHRYN N</t>
  </si>
  <si>
    <t>951 CEDAR CREEK RD</t>
  </si>
  <si>
    <t>27028-6139</t>
  </si>
  <si>
    <t>E700000141</t>
  </si>
  <si>
    <t>BAILEY JAMES CARL</t>
  </si>
  <si>
    <t>BAILEY CONNIE W</t>
  </si>
  <si>
    <t>1221 BEAUCHAMP RD</t>
  </si>
  <si>
    <t>N5080A0005</t>
  </si>
  <si>
    <t>ROME HUDSON J</t>
  </si>
  <si>
    <t>3210 3RD CREEK CHURCH ROAD</t>
  </si>
  <si>
    <t>27013-8963</t>
  </si>
  <si>
    <t>E900000719</t>
  </si>
  <si>
    <t>LEHRER ROGER</t>
  </si>
  <si>
    <t>LEHRER CANDACE</t>
  </si>
  <si>
    <t>208 SAWGRASS DRIVE</t>
  </si>
  <si>
    <t>B60000002103</t>
  </si>
  <si>
    <t>SCHNEIDER ELIZABETH KOONTZ</t>
  </si>
  <si>
    <t>SCHNEIDER JASON NORTON</t>
  </si>
  <si>
    <t>460 SPILLMAN ROAD</t>
  </si>
  <si>
    <t>G4080A002001</t>
  </si>
  <si>
    <t>BARNEYCASTLE MICHELLE L</t>
  </si>
  <si>
    <t>1435 MAIN CHURCH RD EXT</t>
  </si>
  <si>
    <t>L600000044</t>
  </si>
  <si>
    <t>NORTH CAROLINA WILDLIFE COMM</t>
  </si>
  <si>
    <t>1702 MAIL SERVICE CTR</t>
  </si>
  <si>
    <t>27699-1702</t>
  </si>
  <si>
    <t>B500000110</t>
  </si>
  <si>
    <t>BOOTH EMILY NICOLE WHITE</t>
  </si>
  <si>
    <t>5205 COURTNEY-HUNTSVILLE RD</t>
  </si>
  <si>
    <t>F3130A0039</t>
  </si>
  <si>
    <t>ANNAS DONALD W</t>
  </si>
  <si>
    <t>ANNAS CHERYLE K</t>
  </si>
  <si>
    <t>137 PEPPERSTONE DRIVE</t>
  </si>
  <si>
    <t>I900000001</t>
  </si>
  <si>
    <t>SMID MICHAEL T</t>
  </si>
  <si>
    <t>SMID BONNIE B</t>
  </si>
  <si>
    <t>388 TODD ROAD</t>
  </si>
  <si>
    <t>F700000017</t>
  </si>
  <si>
    <t>H40000010609</t>
  </si>
  <si>
    <t>HL&amp;E COMPANY LLC</t>
  </si>
  <si>
    <t>ATTN:  JENNIFER SCHRAMKE</t>
  </si>
  <si>
    <t>5700 SIXTH AVENUE</t>
  </si>
  <si>
    <t>ALTOONA</t>
  </si>
  <si>
    <t>D80000000607</t>
  </si>
  <si>
    <t>STEELMAN 158 PROPERTIES LLC</t>
  </si>
  <si>
    <t>5431 US HIGHWAY 158</t>
  </si>
  <si>
    <t>M5030A000205</t>
  </si>
  <si>
    <t>JERUSALEM TOWNSHIP FIRE DEPT</t>
  </si>
  <si>
    <t>% ED WILLIAMS</t>
  </si>
  <si>
    <t>K500000091</t>
  </si>
  <si>
    <t>BYRD RALPH RANDOLPH</t>
  </si>
  <si>
    <t>BYRD SANDRA W</t>
  </si>
  <si>
    <t>342 DEADMON  ROAD</t>
  </si>
  <si>
    <t>F90000002603</t>
  </si>
  <si>
    <t>VOGLER RONALD H CO-TRUSTEE</t>
  </si>
  <si>
    <t>VOGLER TIMOTHY A CO-TRUSTEE</t>
  </si>
  <si>
    <t>928 BROOKMEADE DRIVE</t>
  </si>
  <si>
    <t>F900000025</t>
  </si>
  <si>
    <t>C7150A0020</t>
  </si>
  <si>
    <t>CURRY MICHAEL EUGENE</t>
  </si>
  <si>
    <t>CURRY KATHLEEN LOUISE</t>
  </si>
  <si>
    <t>174 WOODBURN PLACE</t>
  </si>
  <si>
    <t>M60000002801</t>
  </si>
  <si>
    <t>WERBECK MARILYN</t>
  </si>
  <si>
    <t>204 HOUSTON ROAD</t>
  </si>
  <si>
    <t>E8110C0001</t>
  </si>
  <si>
    <t>ADAMS ROY STEVEN</t>
  </si>
  <si>
    <t>ADAMS BEVERLY HOOVER</t>
  </si>
  <si>
    <t>1485 UNDERPASS ROAD</t>
  </si>
  <si>
    <t>27006-7533</t>
  </si>
  <si>
    <t>E8150A000501</t>
  </si>
  <si>
    <t>VOGLER WILLIAM FRANK JR</t>
  </si>
  <si>
    <t>VOGLER KRISTINE MARIE</t>
  </si>
  <si>
    <t>1010 NC HIGHWAY 801 SOUTH</t>
  </si>
  <si>
    <t>M5160D000101</t>
  </si>
  <si>
    <t>COOLEEMEE VOLUNTEER FIRE DEPT</t>
  </si>
  <si>
    <t>PO BOX 6</t>
  </si>
  <si>
    <t>M5160D000103</t>
  </si>
  <si>
    <t>G20000000901</t>
  </si>
  <si>
    <t>MITCHELL EDWARD LEON</t>
  </si>
  <si>
    <t>792 CALAHALN ROAD</t>
  </si>
  <si>
    <t>G500000078</t>
  </si>
  <si>
    <t>F500000048</t>
  </si>
  <si>
    <t>E900000628</t>
  </si>
  <si>
    <t>JONES MICHAEL R</t>
  </si>
  <si>
    <t>JONES PAULA S</t>
  </si>
  <si>
    <t>115 SOUTH NIBLICK COURT</t>
  </si>
  <si>
    <t>J800000038</t>
  </si>
  <si>
    <t>WALKER NATHAN</t>
  </si>
  <si>
    <t>WALKER LYNETTE K</t>
  </si>
  <si>
    <t>3549 US HIGHWAY 64 EAST</t>
  </si>
  <si>
    <t>I5020B0011</t>
  </si>
  <si>
    <t>HENDRIX EDKER DELANO</t>
  </si>
  <si>
    <t>120 SUNSET DRIVE</t>
  </si>
  <si>
    <t>E900000454</t>
  </si>
  <si>
    <t>LANDRETH MICHAEL D</t>
  </si>
  <si>
    <t>LANDRETH KIMBERLY S</t>
  </si>
  <si>
    <t>122 S HIDDENBROOKE DR</t>
  </si>
  <si>
    <t>F300000033</t>
  </si>
  <si>
    <t>F30000007901</t>
  </si>
  <si>
    <t>E50000003006</t>
  </si>
  <si>
    <t>BODENHAMER RICKY W</t>
  </si>
  <si>
    <t>BODENHAMER KELLY M</t>
  </si>
  <si>
    <t>968 FARMINGTON ROAD</t>
  </si>
  <si>
    <t>27028-7643</t>
  </si>
  <si>
    <t>J20000003504</t>
  </si>
  <si>
    <t>MARTINEZ ORTIZ J ASUNCION</t>
  </si>
  <si>
    <t>MARTINEZ JENNIFER HULLETT</t>
  </si>
  <si>
    <t>279 SHADY KNOLL LN</t>
  </si>
  <si>
    <t>D200000040</t>
  </si>
  <si>
    <t>RENEGAR BURLEY WAYNE</t>
  </si>
  <si>
    <t>27028-5836</t>
  </si>
  <si>
    <t>I4110A000606</t>
  </si>
  <si>
    <t>T&amp;O INVESTMENTS,LLC</t>
  </si>
  <si>
    <t>127 LONG JOHN SILVER DRIVE</t>
  </si>
  <si>
    <t>28411-0000</t>
  </si>
  <si>
    <t>C400000044</t>
  </si>
  <si>
    <t>WESLEY CHAPEL UNITED METHODIST</t>
  </si>
  <si>
    <t>3198 NC HWY 801 NORTH</t>
  </si>
  <si>
    <t>C400000047</t>
  </si>
  <si>
    <t>C400000045</t>
  </si>
  <si>
    <t>J5010B0019</t>
  </si>
  <si>
    <t>BEALE KEVIN D</t>
  </si>
  <si>
    <t>BEALE CRYSTAL S</t>
  </si>
  <si>
    <t>111 EAST LAKE DRIVE</t>
  </si>
  <si>
    <t>MOCKVILLE</t>
  </si>
  <si>
    <t>D600000043</t>
  </si>
  <si>
    <t>FELLOWSHIP BAPTIST CHURCH</t>
  </si>
  <si>
    <t>PO BOX 2151</t>
  </si>
  <si>
    <t>B60000001808</t>
  </si>
  <si>
    <t>VAUGHN JEFFREY M</t>
  </si>
  <si>
    <t>VAUGHN LISA A</t>
  </si>
  <si>
    <t>206 DEERFIELD DR</t>
  </si>
  <si>
    <t>I5090C003303</t>
  </si>
  <si>
    <t>BOWLES DONALD G</t>
  </si>
  <si>
    <t>BOWLES WANDA C</t>
  </si>
  <si>
    <t>27028-2932</t>
  </si>
  <si>
    <t>I5090C0029</t>
  </si>
  <si>
    <t>I5090C0033</t>
  </si>
  <si>
    <t>I4070A0003</t>
  </si>
  <si>
    <t>I4070A0004</t>
  </si>
  <si>
    <t>D70000002004</t>
  </si>
  <si>
    <t>G9090B0065</t>
  </si>
  <si>
    <t>FITZGERALD BARRY WILLIAM</t>
  </si>
  <si>
    <t>FITZGERALD ROSE LAMBERT</t>
  </si>
  <si>
    <t>224 OLD MARCH RD</t>
  </si>
  <si>
    <t>J20000006503</t>
  </si>
  <si>
    <t>BOSTICK RICHARD LEO</t>
  </si>
  <si>
    <t>BOSTICK VALERIE E</t>
  </si>
  <si>
    <t>155 JONES ROAD</t>
  </si>
  <si>
    <t>27028-8302</t>
  </si>
  <si>
    <t>J20000006307</t>
  </si>
  <si>
    <t>L30000000501</t>
  </si>
  <si>
    <t>K200000054</t>
  </si>
  <si>
    <t>B50000008103</t>
  </si>
  <si>
    <t>ELDRIDGE PAGE A</t>
  </si>
  <si>
    <t>ELDRIDGE JENNIFER H</t>
  </si>
  <si>
    <t>975 SPILLMAN RD</t>
  </si>
  <si>
    <t>C7140B0005</t>
  </si>
  <si>
    <t>HOUSTON JAMES M</t>
  </si>
  <si>
    <t>1560 CARTERS GROVE ROAD</t>
  </si>
  <si>
    <t>27012-8689</t>
  </si>
  <si>
    <t>I1120A0013</t>
  </si>
  <si>
    <t>BIRDSONG LESLIE RAY</t>
  </si>
  <si>
    <t>1160 US HWY 64 E</t>
  </si>
  <si>
    <t>I1120A0014</t>
  </si>
  <si>
    <t>K30000001105</t>
  </si>
  <si>
    <t>STEWART PAUL L</t>
  </si>
  <si>
    <t>STEWART JOY HARPER</t>
  </si>
  <si>
    <t>3607 LITTLE MOUNTAIN RD</t>
  </si>
  <si>
    <t>JONESVILLE</t>
  </si>
  <si>
    <t>28642-9114</t>
  </si>
  <si>
    <t>M4040A0001</t>
  </si>
  <si>
    <t>TORRES JOSE MAURICIO</t>
  </si>
  <si>
    <t>673 GLADSTONE ROAD</t>
  </si>
  <si>
    <t>E40000004606</t>
  </si>
  <si>
    <t>BUCHANAN WILLIAM H</t>
  </si>
  <si>
    <t>BUCHANAN MARTHA</t>
  </si>
  <si>
    <t>184 BUCKEYE TRAIL</t>
  </si>
  <si>
    <t>H20000002601</t>
  </si>
  <si>
    <t>BECK BRANDI NICOLE</t>
  </si>
  <si>
    <t>173 CASTLE LANE</t>
  </si>
  <si>
    <t>K30000001104</t>
  </si>
  <si>
    <t>I50000000401</t>
  </si>
  <si>
    <t>YMCA OF GREATER WINSTON-SALEM</t>
  </si>
  <si>
    <t>DAVIE BRANCH</t>
  </si>
  <si>
    <t>% DONNA ROGERS</t>
  </si>
  <si>
    <t>301 NORTH MAIN ST  STE 1900</t>
  </si>
  <si>
    <t>27101-0000</t>
  </si>
  <si>
    <t>L5100A002201</t>
  </si>
  <si>
    <t>BOGER JEFFERY LANIER</t>
  </si>
  <si>
    <t>137 LIBERTY ROAD</t>
  </si>
  <si>
    <t>27028-5344</t>
  </si>
  <si>
    <t>N50000002306</t>
  </si>
  <si>
    <t>BROADWAY RONALD LEE</t>
  </si>
  <si>
    <t>I800000004</t>
  </si>
  <si>
    <t>BARNES TIMOTHY WAYNE</t>
  </si>
  <si>
    <t>222 CRUMP TRAIL</t>
  </si>
  <si>
    <t>27006-7213</t>
  </si>
  <si>
    <t>H800000048</t>
  </si>
  <si>
    <t>I800000003</t>
  </si>
  <si>
    <t>F20000002202</t>
  </si>
  <si>
    <t>ALLEN JONATHAN</t>
  </si>
  <si>
    <t>ALLEN ANITA ARMFIELD</t>
  </si>
  <si>
    <t>124 GEORGIA RD</t>
  </si>
  <si>
    <t>M5160D000102</t>
  </si>
  <si>
    <t>H4190A0004</t>
  </si>
  <si>
    <t>PIEDMONT AUTHORITY FOR REGIONA</t>
  </si>
  <si>
    <t>107 ARROW ROAD</t>
  </si>
  <si>
    <t>27409-9655</t>
  </si>
  <si>
    <t>D8030A0010</t>
  </si>
  <si>
    <t>CARNEY CARL V</t>
  </si>
  <si>
    <t>CARNEY DEBORA B</t>
  </si>
  <si>
    <t>PO BOX 1724</t>
  </si>
  <si>
    <t>D8030A0011</t>
  </si>
  <si>
    <t>F30000000514</t>
  </si>
  <si>
    <t>WILLIAMS GARY R</t>
  </si>
  <si>
    <t>WILLIAMS RICHIE A</t>
  </si>
  <si>
    <t>896 WAGNER ROAD</t>
  </si>
  <si>
    <t>F30000000517</t>
  </si>
  <si>
    <t>J20000002103</t>
  </si>
  <si>
    <t>HENDRICKS GARY REID</t>
  </si>
  <si>
    <t>P O BOX 1</t>
  </si>
  <si>
    <t>27040-0001</t>
  </si>
  <si>
    <t>E900000643</t>
  </si>
  <si>
    <t>GMACH JOHN P</t>
  </si>
  <si>
    <t>GMACH MARY LIN</t>
  </si>
  <si>
    <t>105 N NIBLICK COURT</t>
  </si>
  <si>
    <t>G4090A0008</t>
  </si>
  <si>
    <t>CANNON JILL A</t>
  </si>
  <si>
    <t>809 MAIN CHURCH ROAD</t>
  </si>
  <si>
    <t>L500000078</t>
  </si>
  <si>
    <t>ANGUS BRIAN T</t>
  </si>
  <si>
    <t>6778 SOUTH NC HIGHWAY 801</t>
  </si>
  <si>
    <t>I30000006102</t>
  </si>
  <si>
    <t>L4130A0010</t>
  </si>
  <si>
    <t>PINELA DOLORES A</t>
  </si>
  <si>
    <t>WALLER WILLIAM LEE</t>
  </si>
  <si>
    <t>151 HANK LESSER ROAD</t>
  </si>
  <si>
    <t>K500000099</t>
  </si>
  <si>
    <t>ROBERTS WILLIAM OLIVER</t>
  </si>
  <si>
    <t>235 WALT WILSON ROAD</t>
  </si>
  <si>
    <t>I5050A0053</t>
  </si>
  <si>
    <t>CHIQUITO CIPRIANO</t>
  </si>
  <si>
    <t>2021 US HWY 158</t>
  </si>
  <si>
    <t>I5010A0001</t>
  </si>
  <si>
    <t>F300000037</t>
  </si>
  <si>
    <t>E30000010404</t>
  </si>
  <si>
    <t>BARRETT CHRISTOPHER D</t>
  </si>
  <si>
    <t>BARRETT BRIANNA</t>
  </si>
  <si>
    <t>133 RUMPLE LANE</t>
  </si>
  <si>
    <t>D500000122</t>
  </si>
  <si>
    <t>BRINDLE THOMAS E</t>
  </si>
  <si>
    <t>184 KENNEN KREST ROAD</t>
  </si>
  <si>
    <t>K50000001701</t>
  </si>
  <si>
    <t>DALTON BETH W</t>
  </si>
  <si>
    <t>373 DEADMON ROAD</t>
  </si>
  <si>
    <t>K50000001703</t>
  </si>
  <si>
    <t>C300000071</t>
  </si>
  <si>
    <t>BAITY WILLIAM RAY SR</t>
  </si>
  <si>
    <t>BAITY EDNA BOOIE</t>
  </si>
  <si>
    <t>196 BAITY ROAD</t>
  </si>
  <si>
    <t>27028-4611</t>
  </si>
  <si>
    <t>I80000002801</t>
  </si>
  <si>
    <t>BARNHARDT J TODD</t>
  </si>
  <si>
    <t>BARNHARDT SUZANNE E</t>
  </si>
  <si>
    <t>3332 NC HIGHWAY 801 SOUTH</t>
  </si>
  <si>
    <t>I800000028</t>
  </si>
  <si>
    <t>J200000035</t>
  </si>
  <si>
    <t>H20000003803</t>
  </si>
  <si>
    <t>BASSETT FRANCES C</t>
  </si>
  <si>
    <t>110 MOUNTAIN RIDGE TRL</t>
  </si>
  <si>
    <t>27028-8000</t>
  </si>
  <si>
    <t>G9090B0068</t>
  </si>
  <si>
    <t>BARNETT DONALD E</t>
  </si>
  <si>
    <t>BARNETT MARY S</t>
  </si>
  <si>
    <t>131 OAK HILL ROAD</t>
  </si>
  <si>
    <t>K200000013</t>
  </si>
  <si>
    <t>WILLIAMS WELESKA WYLEENE</t>
  </si>
  <si>
    <t>692 BETHESDA ROAD</t>
  </si>
  <si>
    <t>I500000041</t>
  </si>
  <si>
    <t>BETHEL UNITED METHODIST CHURCH</t>
  </si>
  <si>
    <t>% EARL POPLIN</t>
  </si>
  <si>
    <t>455 FRANK SHORT ROAD</t>
  </si>
  <si>
    <t>K500000100</t>
  </si>
  <si>
    <t>SMITH RICHARD J</t>
  </si>
  <si>
    <t>SMITH PATRICIA A</t>
  </si>
  <si>
    <t>335 WALT WILSON ROAD</t>
  </si>
  <si>
    <t>K500000101</t>
  </si>
  <si>
    <t>K80000002011</t>
  </si>
  <si>
    <t>GWALTNEY HAMILTON L</t>
  </si>
  <si>
    <t>BENJAMIN MARY</t>
  </si>
  <si>
    <t>130 STARR LANE</t>
  </si>
  <si>
    <t>J5040A0011</t>
  </si>
  <si>
    <t>PRILLAMAN AARON P</t>
  </si>
  <si>
    <t>PRILLAMAN LISA S</t>
  </si>
  <si>
    <t>405 EAST LAKE DRIVE</t>
  </si>
  <si>
    <t>F100000008</t>
  </si>
  <si>
    <t>RITTER JUDY CRATER</t>
  </si>
  <si>
    <t>RITTER ROY W</t>
  </si>
  <si>
    <t>114 CRATER ROAD</t>
  </si>
  <si>
    <t>28634-9422</t>
  </si>
  <si>
    <t>D8100D0029</t>
  </si>
  <si>
    <t>GREEN LUCINDA C</t>
  </si>
  <si>
    <t>123 SPYGLASS DRIVE</t>
  </si>
  <si>
    <t>I4130H0029</t>
  </si>
  <si>
    <t>GRANADERO FLOR</t>
  </si>
  <si>
    <t>316 TOT STREET</t>
  </si>
  <si>
    <t>C7150A0008</t>
  </si>
  <si>
    <t>BUCHANAN JAMES R</t>
  </si>
  <si>
    <t>BUCHANAN KAREN N</t>
  </si>
  <si>
    <t>209 WOODBURN PLACE</t>
  </si>
  <si>
    <t>D70000000302</t>
  </si>
  <si>
    <t>WALL CAROLYN DENISE</t>
  </si>
  <si>
    <t>134 HILTON ROAD</t>
  </si>
  <si>
    <t>D70000000305</t>
  </si>
  <si>
    <t>D70000002301</t>
  </si>
  <si>
    <t>BRIGHT RONALD LEWIS</t>
  </si>
  <si>
    <t>BRIGHT MARY ANN</t>
  </si>
  <si>
    <t>596 GORDON DRIVE</t>
  </si>
  <si>
    <t>E700000098</t>
  </si>
  <si>
    <t>LANIER MICHAEL J</t>
  </si>
  <si>
    <t>LANIER CRYSTAL L</t>
  </si>
  <si>
    <t>146 BALTIMORE ROAD</t>
  </si>
  <si>
    <t>D50000001704</t>
  </si>
  <si>
    <t>SHORE MICHAEL WEIR</t>
  </si>
  <si>
    <t>SHORE KERETHA CHEEK</t>
  </si>
  <si>
    <t>200 NIKKI'S WAY</t>
  </si>
  <si>
    <t>D50000001705</t>
  </si>
  <si>
    <t>J800000033</t>
  </si>
  <si>
    <t>HUTCHINS KEVIN GENE</t>
  </si>
  <si>
    <t>3431 EAST US HIGHWAY 64</t>
  </si>
  <si>
    <t>H5190A0005</t>
  </si>
  <si>
    <t>BERG MATTHEW J</t>
  </si>
  <si>
    <t>BERG KELLY J</t>
  </si>
  <si>
    <t>132 CHANDLER DRIVE</t>
  </si>
  <si>
    <t>D8030A001101</t>
  </si>
  <si>
    <t>E900000190</t>
  </si>
  <si>
    <t>27006-7575</t>
  </si>
  <si>
    <t>E800000007</t>
  </si>
  <si>
    <t>HOCKADAY RICHARD D</t>
  </si>
  <si>
    <t>F80000007001</t>
  </si>
  <si>
    <t>C70000006002</t>
  </si>
  <si>
    <t>G8010B0002</t>
  </si>
  <si>
    <t>COOK WESLEY R</t>
  </si>
  <si>
    <t>COOK KAREN R</t>
  </si>
  <si>
    <t>2503 CORNATZER ROAD</t>
  </si>
  <si>
    <t>F70000001805</t>
  </si>
  <si>
    <t>CORNATZER BILLY RAY</t>
  </si>
  <si>
    <t>L5100B0011</t>
  </si>
  <si>
    <t>SPRINKLE JAMES PAUL</t>
  </si>
  <si>
    <t>2263 SOUTH US HIGHWAY 601</t>
  </si>
  <si>
    <t>E8110D0002</t>
  </si>
  <si>
    <t>CASE RODNEY L</t>
  </si>
  <si>
    <t>108 EASTRIDGE COURT</t>
  </si>
  <si>
    <t>E900000624</t>
  </si>
  <si>
    <t>BARNUM DARRYL FULLER</t>
  </si>
  <si>
    <t>BARNUM KAREN G</t>
  </si>
  <si>
    <t>122 NIBLICK COURT</t>
  </si>
  <si>
    <t>K500000094</t>
  </si>
  <si>
    <t>G7040A0052</t>
  </si>
  <si>
    <t>WHITEHEAD SHAY C</t>
  </si>
  <si>
    <t>164 SONORA DRIVE</t>
  </si>
  <si>
    <t>F300000098</t>
  </si>
  <si>
    <t>BUFFONE CHRISTOPHER M</t>
  </si>
  <si>
    <t>117 CAMELLIA LANE</t>
  </si>
  <si>
    <t>F50000001005</t>
  </si>
  <si>
    <t>BEAM ROY MARTIN</t>
  </si>
  <si>
    <t>ASHLEY-BEAM JENNY</t>
  </si>
  <si>
    <t>634 ANGELL ROAD</t>
  </si>
  <si>
    <t>E10000001205</t>
  </si>
  <si>
    <t>SHAW TIMOTHY L</t>
  </si>
  <si>
    <t>111 LOG CABIN ROAD</t>
  </si>
  <si>
    <t>M400000029</t>
  </si>
  <si>
    <t>MIXON ERNEST W</t>
  </si>
  <si>
    <t>MIXON SHEILA N</t>
  </si>
  <si>
    <t>1774 JUNCTION ROAD</t>
  </si>
  <si>
    <t>N4040A0041</t>
  </si>
  <si>
    <t>TAYLOR GARY LYNN</t>
  </si>
  <si>
    <t>TAYLOR TERESA BENNETT</t>
  </si>
  <si>
    <t>PO BOX 1123</t>
  </si>
  <si>
    <t>D8100B0012</t>
  </si>
  <si>
    <t>SMITH DONALD R</t>
  </si>
  <si>
    <t>SMITH REBECCA L</t>
  </si>
  <si>
    <t>604 RIVERBEND DRIVE</t>
  </si>
  <si>
    <t>D7080A0013</t>
  </si>
  <si>
    <t>BAILEY MICHAEL TODD</t>
  </si>
  <si>
    <t>121 CONIFER COURT</t>
  </si>
  <si>
    <t>J5150E0003</t>
  </si>
  <si>
    <t>MATHEWS SCOTT ALLAN</t>
  </si>
  <si>
    <t>318 ROLLINGWOOD LANE</t>
  </si>
  <si>
    <t>E600000037</t>
  </si>
  <si>
    <t>YOKLEY GINGER ROBERTSON</t>
  </si>
  <si>
    <t>107 RAINBOW ROAD</t>
  </si>
  <si>
    <t>H3010A0006</t>
  </si>
  <si>
    <t>JOHNSON EDWARD</t>
  </si>
  <si>
    <t>JOHNSON MARY</t>
  </si>
  <si>
    <t>120 GOODWILL HEIGHTS PLACE</t>
  </si>
  <si>
    <t>K50000009901</t>
  </si>
  <si>
    <t>J70000006701</t>
  </si>
  <si>
    <t>BEANE RONALD E JR</t>
  </si>
  <si>
    <t>2791 US HIGHWAY 64 EAST</t>
  </si>
  <si>
    <t>D70000000304</t>
  </si>
  <si>
    <t>J4040F0016</t>
  </si>
  <si>
    <t>GRUBBS PAUL CASHWELL JR</t>
  </si>
  <si>
    <t>BRIDGES RONALD ERIC</t>
  </si>
  <si>
    <t>462 SOUTH SALISBURY STREET</t>
  </si>
  <si>
    <t>I5110A0023</t>
  </si>
  <si>
    <t>KIMBROUGH BERTHA</t>
  </si>
  <si>
    <t>379 MONTVIEW DRIVE</t>
  </si>
  <si>
    <t>DSO</t>
  </si>
  <si>
    <t>C8010A0076</t>
  </si>
  <si>
    <t>BALL LEWIS E</t>
  </si>
  <si>
    <t>BALL AMANDA J</t>
  </si>
  <si>
    <t>125 PARKVIEW LANE</t>
  </si>
  <si>
    <t>C70000006004</t>
  </si>
  <si>
    <t>E900000398</t>
  </si>
  <si>
    <t>EVENS PAUL ANTOON</t>
  </si>
  <si>
    <t>EVENS ENUA BATEYI</t>
  </si>
  <si>
    <t>221 BROADMOOR DRIVE</t>
  </si>
  <si>
    <t>M50000003301</t>
  </si>
  <si>
    <t>ALLEN ASHLEY NICOLE</t>
  </si>
  <si>
    <t>292 PLEASANT ACRE DRIVE</t>
  </si>
  <si>
    <t>E20000000813</t>
  </si>
  <si>
    <t>226 EDWARDS ROAD</t>
  </si>
  <si>
    <t>H3040A0009</t>
  </si>
  <si>
    <t>FAVRE ALYSSA</t>
  </si>
  <si>
    <t>214 ASHLEY BROOK LANE</t>
  </si>
  <si>
    <t>I3010A0001</t>
  </si>
  <si>
    <t>RETKO ERIC</t>
  </si>
  <si>
    <t>128 HAWKS TRAIL</t>
  </si>
  <si>
    <t>E8170A0697</t>
  </si>
  <si>
    <t>MINER DAVID S</t>
  </si>
  <si>
    <t>142 LEGACY DRIVE</t>
  </si>
  <si>
    <t>M5090B0028</t>
  </si>
  <si>
    <t>FLORES PAULINO</t>
  </si>
  <si>
    <t>220 JERUSALEM AVENUE</t>
  </si>
  <si>
    <t>L5090A0006</t>
  </si>
  <si>
    <t>OWENS RONNIE L</t>
  </si>
  <si>
    <t>OWENS DEBORAH J</t>
  </si>
  <si>
    <t>310 GLADSTONE ROAD</t>
  </si>
  <si>
    <t>G4090A0007</t>
  </si>
  <si>
    <t>DODSON TIMOTHY WAYNE</t>
  </si>
  <si>
    <t>DODSON ASHLEY WOOD</t>
  </si>
  <si>
    <t>27028-5849</t>
  </si>
  <si>
    <t>I4120E0002</t>
  </si>
  <si>
    <t>LEE ROGER B</t>
  </si>
  <si>
    <t>LEE JENNIFER G PROCTOR</t>
  </si>
  <si>
    <t>L5010B0004</t>
  </si>
  <si>
    <t>DAVIE COUNTY DISABLED VETERANS</t>
  </si>
  <si>
    <t>CHAPTER 75</t>
  </si>
  <si>
    <t>2387 US HWY 601 N</t>
  </si>
  <si>
    <t>L40000003002</t>
  </si>
  <si>
    <t>246 WALT WILSON RD</t>
  </si>
  <si>
    <t>H90000002501</t>
  </si>
  <si>
    <t>O'MARA TAMA M</t>
  </si>
  <si>
    <t>161 SHAMROCK LANE</t>
  </si>
  <si>
    <t>E300000003</t>
  </si>
  <si>
    <t>KELLER JOSHUA LEE</t>
  </si>
  <si>
    <t>KELLER BRIANA MONTGOMERY</t>
  </si>
  <si>
    <t>692 LIBERTY CHURCH RD</t>
  </si>
  <si>
    <t>E700000077</t>
  </si>
  <si>
    <t>HARTLEY BRENDA S</t>
  </si>
  <si>
    <t>2849 WENDELL STREET</t>
  </si>
  <si>
    <t>LENOIR</t>
  </si>
  <si>
    <t>E600000022</t>
  </si>
  <si>
    <t>I5050B0002</t>
  </si>
  <si>
    <t>CAUDLE JOE EDWARD JR</t>
  </si>
  <si>
    <t>CAUDLE RUTH O</t>
  </si>
  <si>
    <t>325 WHITNEY ROAD</t>
  </si>
  <si>
    <t>27028-2845</t>
  </si>
  <si>
    <t>H40000010602</t>
  </si>
  <si>
    <t>LOWES HOME CENTERS INC</t>
  </si>
  <si>
    <t>1000 LOWES BLVD</t>
  </si>
  <si>
    <t>28117-0000</t>
  </si>
  <si>
    <t>G20000002801</t>
  </si>
  <si>
    <t>HICKS MICHAEL CARL</t>
  </si>
  <si>
    <t>PO BOX 13</t>
  </si>
  <si>
    <t>E70000003301</t>
  </si>
  <si>
    <t>WEBB WAYNE REVOCABLE TRUST</t>
  </si>
  <si>
    <t>WEBB WAYNE TRUSTEE</t>
  </si>
  <si>
    <t>1848 NORTH NC HIGHWAY 801</t>
  </si>
  <si>
    <t>D700000234</t>
  </si>
  <si>
    <t>D700000240</t>
  </si>
  <si>
    <t>D8080A0017</t>
  </si>
  <si>
    <t>D700000235</t>
  </si>
  <si>
    <t>D700000239</t>
  </si>
  <si>
    <t>I5110A0022</t>
  </si>
  <si>
    <t>B20000001504</t>
  </si>
  <si>
    <t>WHITAKER JESSE FRANKLIN</t>
  </si>
  <si>
    <t>2104 LIBERTY CHURCH ROAD</t>
  </si>
  <si>
    <t>J5010D0097</t>
  </si>
  <si>
    <t>SPARKS THOMAS RAY</t>
  </si>
  <si>
    <t>SPARKS REBEKAH DAWN</t>
  </si>
  <si>
    <t>230 WINDING CREEK DRIVE</t>
  </si>
  <si>
    <t>F200000029</t>
  </si>
  <si>
    <t>C &amp; B FARMS</t>
  </si>
  <si>
    <t>J100000060</t>
  </si>
  <si>
    <t>J20000005804</t>
  </si>
  <si>
    <t>J300000001</t>
  </si>
  <si>
    <t>M60000005403</t>
  </si>
  <si>
    <t>G400000048</t>
  </si>
  <si>
    <t>DAVIS JOSEPH ALLEN</t>
  </si>
  <si>
    <t>DAVIS MELISSA RHEA</t>
  </si>
  <si>
    <t>1222 MAIN CHURCH ROAD</t>
  </si>
  <si>
    <t>G40000004912</t>
  </si>
  <si>
    <t>GALE DENNIS C</t>
  </si>
  <si>
    <t>GALE MARLA LANG</t>
  </si>
  <si>
    <t>241 WILLOW CREEK LANE</t>
  </si>
  <si>
    <t>D600000059</t>
  </si>
  <si>
    <t>SOONER LAND COMPANY LLC</t>
  </si>
  <si>
    <t>125 SUGAR MAPLE COURT</t>
  </si>
  <si>
    <t>M500000032  A</t>
  </si>
  <si>
    <t>SCOTT MARIE ALICE</t>
  </si>
  <si>
    <t>SCOTT LARRY RAY</t>
  </si>
  <si>
    <t>324 PLEASANT ACRE DRIVE</t>
  </si>
  <si>
    <t>C600000105</t>
  </si>
  <si>
    <t>SHINAULT MARTHA L</t>
  </si>
  <si>
    <t>1142 NC HWY 801 NORTH</t>
  </si>
  <si>
    <t>J200000047</t>
  </si>
  <si>
    <t>HENSON THOMAS W SR</t>
  </si>
  <si>
    <t>HENSON CYNTHIA</t>
  </si>
  <si>
    <t>229 BERRY LANE</t>
  </si>
  <si>
    <t>B500000038</t>
  </si>
  <si>
    <t>MARTIN THOMAS LEROY</t>
  </si>
  <si>
    <t>466 PINEVILLE RD</t>
  </si>
  <si>
    <t>27028-6242</t>
  </si>
  <si>
    <t>LOCKBOX</t>
  </si>
  <si>
    <t>K20000004101</t>
  </si>
  <si>
    <t>HOLLAND DALE RAY</t>
  </si>
  <si>
    <t>HOLLAND JENNIFER ROBBINS</t>
  </si>
  <si>
    <t>121 KETCHIE CREEK ROAD</t>
  </si>
  <si>
    <t>27028-8303</t>
  </si>
  <si>
    <t>H8060A0077</t>
  </si>
  <si>
    <t>MARTEL LARRY G</t>
  </si>
  <si>
    <t>MARTEL LINA H</t>
  </si>
  <si>
    <t>397 COVINGTON DRIVE</t>
  </si>
  <si>
    <t>D700000226</t>
  </si>
  <si>
    <t>NORTH CAROLINA BAPTIST HOSPITA</t>
  </si>
  <si>
    <t>E20000000303</t>
  </si>
  <si>
    <t>JENKINS WILLIAM B</t>
  </si>
  <si>
    <t>JENKINS ANNETTE A</t>
  </si>
  <si>
    <t>27028-5914</t>
  </si>
  <si>
    <t>G30000001001</t>
  </si>
  <si>
    <t>GLASSCOCK JOHN ALAN</t>
  </si>
  <si>
    <t>2681 OLD MOCKSVILLE ROAD</t>
  </si>
  <si>
    <t>G30000001003</t>
  </si>
  <si>
    <t>G50000000401</t>
  </si>
  <si>
    <t>WHITAKER DAVID NEAL</t>
  </si>
  <si>
    <t>D50000000101</t>
  </si>
  <si>
    <t>SPACH BRIAN LEE</t>
  </si>
  <si>
    <t>951 CEDAR CREEK ROAD</t>
  </si>
  <si>
    <t>D50000000105</t>
  </si>
  <si>
    <t>C50000002203</t>
  </si>
  <si>
    <t>J100000027  A</t>
  </si>
  <si>
    <t>JOHNSON APRIL STEELE</t>
  </si>
  <si>
    <t>3875 SOUTH RIVER CHURCH ROAD</t>
  </si>
  <si>
    <t>E700000177</t>
  </si>
  <si>
    <t>TRADER THOMAS J</t>
  </si>
  <si>
    <t>249 GUN CLUB ROAD</t>
  </si>
  <si>
    <t>E7060A0012</t>
  </si>
  <si>
    <t>WARD ADAM TODD</t>
  </si>
  <si>
    <t>122 WINCHESTER ROAD</t>
  </si>
  <si>
    <t>K20000001901</t>
  </si>
  <si>
    <t>H5160A0022</t>
  </si>
  <si>
    <t>LAUNIUS DAVID C</t>
  </si>
  <si>
    <t>LAUNIUS VAY L</t>
  </si>
  <si>
    <t>140 MEADOW RIDGE DRIVE</t>
  </si>
  <si>
    <t>G8120B0008</t>
  </si>
  <si>
    <t>HOWARD PATRICIA</t>
  </si>
  <si>
    <t>2071 S NC HWY 801</t>
  </si>
  <si>
    <t>K5030A0011</t>
  </si>
  <si>
    <t>STRICKLAND ROBERT</t>
  </si>
  <si>
    <t>STRICKLAND CRISTY</t>
  </si>
  <si>
    <t>265 DEACON WAY</t>
  </si>
  <si>
    <t>D9010A0012</t>
  </si>
  <si>
    <t>C60000000901</t>
  </si>
  <si>
    <t>C60000000801</t>
  </si>
  <si>
    <t>E700000069</t>
  </si>
  <si>
    <t>D700000241</t>
  </si>
  <si>
    <t>F40000000603</t>
  </si>
  <si>
    <t>BOLCATO CHRISTOPHER</t>
  </si>
  <si>
    <t>190 PEPPERSTONE DRIVE</t>
  </si>
  <si>
    <t>F3130A0011</t>
  </si>
  <si>
    <t>E7140A0019</t>
  </si>
  <si>
    <t>SMITH ERIC DEAN</t>
  </si>
  <si>
    <t>DODSON KIMBERLY MELISSA</t>
  </si>
  <si>
    <t>165 GRAYWOOD COURT</t>
  </si>
  <si>
    <t>B700000026</t>
  </si>
  <si>
    <t>PARKER PAULA J</t>
  </si>
  <si>
    <t>299 PEACEFUL VALLEY ROAD</t>
  </si>
  <si>
    <t>I4130H0031</t>
  </si>
  <si>
    <t>ROJAS JOSE C</t>
  </si>
  <si>
    <t>8520 WATTS DR LOT 4</t>
  </si>
  <si>
    <t>CONNELLY SPG</t>
  </si>
  <si>
    <t>F30000006801</t>
  </si>
  <si>
    <t>SHRADER JACKIE A</t>
  </si>
  <si>
    <t>SHRADER REVA E</t>
  </si>
  <si>
    <t>217 BRACKEN ROAD</t>
  </si>
  <si>
    <t>K100000003</t>
  </si>
  <si>
    <t>HORN OIL COMPANY INC</t>
  </si>
  <si>
    <t>K5060A0005</t>
  </si>
  <si>
    <t>CLINE JUSTIN SHAWN</t>
  </si>
  <si>
    <t>CLINE LINDA S &amp; SCOTTIE RAY</t>
  </si>
  <si>
    <t>280 DEADMON ROAD</t>
  </si>
  <si>
    <t>H9070A0018</t>
  </si>
  <si>
    <t>PRICE JAMIE DELL</t>
  </si>
  <si>
    <t>PRICE AMY KEY</t>
  </si>
  <si>
    <t>107 IRISHMAN PLACE</t>
  </si>
  <si>
    <t>I4020A0006</t>
  </si>
  <si>
    <t>NGO GIAO THI LINH</t>
  </si>
  <si>
    <t>1084 YADKINVILLE ROAD</t>
  </si>
  <si>
    <t>D9090D0014</t>
  </si>
  <si>
    <t>SHORE BETTIE B</t>
  </si>
  <si>
    <t>324 HOLLYBROOK DRIVE</t>
  </si>
  <si>
    <t>H30000010101</t>
  </si>
  <si>
    <t>BEADLE STEVEN C</t>
  </si>
  <si>
    <t>BEADLE ANITA T</t>
  </si>
  <si>
    <t>444 ALLEN ROAD</t>
  </si>
  <si>
    <t>I500000018</t>
  </si>
  <si>
    <t>BOGGS ROBERT L III</t>
  </si>
  <si>
    <t>664 MILLING ROAD</t>
  </si>
  <si>
    <t>D9010C0006</t>
  </si>
  <si>
    <t>LEHMANN WALTER W JR</t>
  </si>
  <si>
    <t>LEHMANN MARGO D</t>
  </si>
  <si>
    <t>111 ST GEORGE PLACE</t>
  </si>
  <si>
    <t>D8060B0039</t>
  </si>
  <si>
    <t>MAXA LLC</t>
  </si>
  <si>
    <t>D700000224</t>
  </si>
  <si>
    <t>D700000225</t>
  </si>
  <si>
    <t>E900000712</t>
  </si>
  <si>
    <t>THE VERITAS GROUP INC</t>
  </si>
  <si>
    <t>PO BOX 582</t>
  </si>
  <si>
    <t>C30000004104</t>
  </si>
  <si>
    <t>PRYOR TROY L JR</t>
  </si>
  <si>
    <t>4711 US HIGHWAY 601 NORTH</t>
  </si>
  <si>
    <t>E900000428</t>
  </si>
  <si>
    <t>POWERS BRIAN P</t>
  </si>
  <si>
    <t>POWERS REGINA L</t>
  </si>
  <si>
    <t>118 FOXMOOR COURT</t>
  </si>
  <si>
    <t>I4120D0004</t>
  </si>
  <si>
    <t>BOGER ANNETTE J</t>
  </si>
  <si>
    <t>225 W CHURCH STREET</t>
  </si>
  <si>
    <t>J800000040</t>
  </si>
  <si>
    <t>CHILDRESS-DILLON FAMILY LLC</t>
  </si>
  <si>
    <t>J800000016</t>
  </si>
  <si>
    <t>K300000057</t>
  </si>
  <si>
    <t>FOSTER DOROTHY L</t>
  </si>
  <si>
    <t>407 FIELDSTONE DRIVE</t>
  </si>
  <si>
    <t>BURLINGTON</t>
  </si>
  <si>
    <t>27215-0000</t>
  </si>
  <si>
    <t>C60000006601</t>
  </si>
  <si>
    <t>PRICE MELISSA LYNN</t>
  </si>
  <si>
    <t>PRICE GLENN</t>
  </si>
  <si>
    <t>C40000002001</t>
  </si>
  <si>
    <t>MILLER LONNIE G JR</t>
  </si>
  <si>
    <t>3270 NC HIGHWAY 801 NORTH</t>
  </si>
  <si>
    <t>C50000002104</t>
  </si>
  <si>
    <t>C40000005401</t>
  </si>
  <si>
    <t>E70000006701</t>
  </si>
  <si>
    <t>CUTHRELL GEORGE P III</t>
  </si>
  <si>
    <t>CUTHRELL SANDRA L</t>
  </si>
  <si>
    <t>265 JUNEY BEAUCHAMP ROAD</t>
  </si>
  <si>
    <t>F400000044</t>
  </si>
  <si>
    <t>GRAY DENNIS DALE</t>
  </si>
  <si>
    <t>GRAY LINDA KAY</t>
  </si>
  <si>
    <t>670 WOODWARD ROAD</t>
  </si>
  <si>
    <t>E900000160</t>
  </si>
  <si>
    <t>ROLLINS JOHN M</t>
  </si>
  <si>
    <t>ROLLINS SUSAN L ROLLINS</t>
  </si>
  <si>
    <t>162 LONETREE DRIVE</t>
  </si>
  <si>
    <t>C20000004003</t>
  </si>
  <si>
    <t>BUCHANAN TAMMY JONES</t>
  </si>
  <si>
    <t>478 JACK BOOE ROAD</t>
  </si>
  <si>
    <t>C200000040</t>
  </si>
  <si>
    <t>C20000004001</t>
  </si>
  <si>
    <t>C800000181</t>
  </si>
  <si>
    <t>KINDERTON VILLAGE RESIDENTIAL</t>
  </si>
  <si>
    <t>HOMEOWNERS MASTER ASSOC INC</t>
  </si>
  <si>
    <t>P.O. BOX 2325</t>
  </si>
  <si>
    <t>C800000187</t>
  </si>
  <si>
    <t>C800000180</t>
  </si>
  <si>
    <t>C800000168</t>
  </si>
  <si>
    <t>D500000065</t>
  </si>
  <si>
    <t>BOGER CAROLYN S</t>
  </si>
  <si>
    <t>929 BOBBIT RD</t>
  </si>
  <si>
    <t>D500000100</t>
  </si>
  <si>
    <t>J7080B0052</t>
  </si>
  <si>
    <t>DEZARN DAVID M</t>
  </si>
  <si>
    <t>DEZARN ANNETTE S</t>
  </si>
  <si>
    <t>108 OAKSHIRE COURT</t>
  </si>
  <si>
    <t>E8110C0010</t>
  </si>
  <si>
    <t>217 WESTRIDGE DRIVE</t>
  </si>
  <si>
    <t>F3130A0006</t>
  </si>
  <si>
    <t>WAGNER TARA LORRAINE</t>
  </si>
  <si>
    <t>146 PEPPERSTONE DRIVE</t>
  </si>
  <si>
    <t>D500000064</t>
  </si>
  <si>
    <t>COGAR STEVEN</t>
  </si>
  <si>
    <t>COGAR CARLYN</t>
  </si>
  <si>
    <t>1235 FARMINGTON ROAD</t>
  </si>
  <si>
    <t>I700000026</t>
  </si>
  <si>
    <t>1132 SEVERNVIEW DRIVE</t>
  </si>
  <si>
    <t>CROWNSVILLE</t>
  </si>
  <si>
    <t>D2010A0002</t>
  </si>
  <si>
    <t>DAVIDSON ROBERT A</t>
  </si>
  <si>
    <t>DAVIDSON XIMENA M</t>
  </si>
  <si>
    <t>153 TIMBER TRAILS LANE</t>
  </si>
  <si>
    <t>D3010A0032</t>
  </si>
  <si>
    <t>SHULAR STANLEY</t>
  </si>
  <si>
    <t>SHULAR DEBRA CAMPBELL</t>
  </si>
  <si>
    <t>146 LANDIS COURT</t>
  </si>
  <si>
    <t>D8060A0004</t>
  </si>
  <si>
    <t>MULLICAN PAUL WESLEY</t>
  </si>
  <si>
    <t>MULLICAN DARLA CAUDLE</t>
  </si>
  <si>
    <t>309 RIVERBEND DRIVE</t>
  </si>
  <si>
    <t>D8060A0026</t>
  </si>
  <si>
    <t>WILEY GABRIEL CHRISTIAN</t>
  </si>
  <si>
    <t>WILEY TAMMIE FRAZIER</t>
  </si>
  <si>
    <t>199 TIFTON STREET</t>
  </si>
  <si>
    <t>I4110C0036</t>
  </si>
  <si>
    <t>FOSTER FAMILY OF NC LLC</t>
  </si>
  <si>
    <t>250 MAGNOLIA AVENUE</t>
  </si>
  <si>
    <t>E900000005</t>
  </si>
  <si>
    <t>BOOE REGINALD GRAY</t>
  </si>
  <si>
    <t>BOOE LYNN FLERLAGE</t>
  </si>
  <si>
    <t>114 MONARCH COURT</t>
  </si>
  <si>
    <t>G9090B0073</t>
  </si>
  <si>
    <t>MOORE WILLIAM L</t>
  </si>
  <si>
    <t>MOORE NATALIE F</t>
  </si>
  <si>
    <t>114 OAK HILL ROAD</t>
  </si>
  <si>
    <t>H70000006703</t>
  </si>
  <si>
    <t>BLACKWELL STEVEN E</t>
  </si>
  <si>
    <t>BLACKWELL BRYAN S</t>
  </si>
  <si>
    <t>183 BAILEYS CHAPEL ROAD</t>
  </si>
  <si>
    <t>H5170A0055</t>
  </si>
  <si>
    <t>SIMPSON DAVID A</t>
  </si>
  <si>
    <t>SIMPSON JANE G</t>
  </si>
  <si>
    <t>149 ARBOR HILL AVENUE</t>
  </si>
  <si>
    <t>I4050A001201</t>
  </si>
  <si>
    <t>MILLER AARON BAYNE</t>
  </si>
  <si>
    <t>212 WANDERING LANE</t>
  </si>
  <si>
    <t>G20000002602</t>
  </si>
  <si>
    <t>GOBBLE GREGORY WAYNE</t>
  </si>
  <si>
    <t>GOBBLE CYNTHIA R</t>
  </si>
  <si>
    <t>823 SHEFFIELD ROAD</t>
  </si>
  <si>
    <t>M60000002102</t>
  </si>
  <si>
    <t>BRAKE DANIEL R</t>
  </si>
  <si>
    <t>264 BECKTOWN ROAD</t>
  </si>
  <si>
    <t>E900000338</t>
  </si>
  <si>
    <t>HOKE JONATHAN A</t>
  </si>
  <si>
    <t>HOKE TERESA M</t>
  </si>
  <si>
    <t>561 OAK VALLEY BOULEVARD</t>
  </si>
  <si>
    <t>E600000061</t>
  </si>
  <si>
    <t>STORCH J D</t>
  </si>
  <si>
    <t>STORCH MARY N</t>
  </si>
  <si>
    <t>108 BRANDON PLACE</t>
  </si>
  <si>
    <t>I5050B0034</t>
  </si>
  <si>
    <t>LYCAON INVESTMENTS LLC</t>
  </si>
  <si>
    <t>200 MERRITT WAY</t>
  </si>
  <si>
    <t>I5060C0021</t>
  </si>
  <si>
    <t>TARDELL ANTHONY</t>
  </si>
  <si>
    <t>TARDELL SARAH</t>
  </si>
  <si>
    <t>60 WRIGHT LANE</t>
  </si>
  <si>
    <t>C8010A0416</t>
  </si>
  <si>
    <t>HANES JEFFREY F</t>
  </si>
  <si>
    <t>HANES STACEY C</t>
  </si>
  <si>
    <t>204 PARKVIEW LANE</t>
  </si>
  <si>
    <t>G100000027</t>
  </si>
  <si>
    <t>MCLEOD COREY MICHAEL</t>
  </si>
  <si>
    <t>MCLEOD JOY BETH</t>
  </si>
  <si>
    <t>1291 COUNTY LINE ROAD</t>
  </si>
  <si>
    <t>E700000157</t>
  </si>
  <si>
    <t>H2050A0006</t>
  </si>
  <si>
    <t>ALLEN CAROL Z</t>
  </si>
  <si>
    <t>PO BOX 672</t>
  </si>
  <si>
    <t>27028-0672</t>
  </si>
  <si>
    <t>G10000003301</t>
  </si>
  <si>
    <t>HODGSON JENNIFER MARIE</t>
  </si>
  <si>
    <t>180 PINE NEEDLE TRAIL</t>
  </si>
  <si>
    <t>J4050E0010</t>
  </si>
  <si>
    <t>PETERS BETTY LYNN</t>
  </si>
  <si>
    <t>637 SOUTH SALISBURY STREET</t>
  </si>
  <si>
    <t>C60000010201</t>
  </si>
  <si>
    <t>COLBERT TERESA L</t>
  </si>
  <si>
    <t>PO BOX 363</t>
  </si>
  <si>
    <t>C600000109</t>
  </si>
  <si>
    <t>D20000003301</t>
  </si>
  <si>
    <t>BOOE DIXIE DIANNE</t>
  </si>
  <si>
    <t>661 JACK BOOE RD</t>
  </si>
  <si>
    <t>27028-4836</t>
  </si>
  <si>
    <t>B70000009202</t>
  </si>
  <si>
    <t>CARPENTER ROGER E</t>
  </si>
  <si>
    <t>932 YADKIN VALLEY ROAD</t>
  </si>
  <si>
    <t>C400000070</t>
  </si>
  <si>
    <t>WOOLLARD MATTHEW TODD</t>
  </si>
  <si>
    <t>WOOLLARD KAREN BARNES</t>
  </si>
  <si>
    <t>3553 NC HIGHWAY 801 NORTH</t>
  </si>
  <si>
    <t>E900000570</t>
  </si>
  <si>
    <t>BILLINGS MICHAEL P</t>
  </si>
  <si>
    <t>120 CARTGATE COURT</t>
  </si>
  <si>
    <t>D40000001201</t>
  </si>
  <si>
    <t>SCHLEUPNER ELEANOR G TRUSTEE</t>
  </si>
  <si>
    <t>SCHLEUPNER WARREN TRUSTEE</t>
  </si>
  <si>
    <t>309 LEANNE LANE</t>
  </si>
  <si>
    <t>D400000011</t>
  </si>
  <si>
    <t>D8070D0042</t>
  </si>
  <si>
    <t>RING JANE B</t>
  </si>
  <si>
    <t>132 FAIRWAY DRIVE</t>
  </si>
  <si>
    <t>I70000005604</t>
  </si>
  <si>
    <t>JAYCOCKS SHERRY JONES</t>
  </si>
  <si>
    <t>JAYCOCKS MICHAEL KEITH</t>
  </si>
  <si>
    <t>224 JONES FARM LANE</t>
  </si>
  <si>
    <t>D100000034</t>
  </si>
  <si>
    <t>MITCHELL LAURA</t>
  </si>
  <si>
    <t>MITCHELL CHARLES</t>
  </si>
  <si>
    <t>1587 BEAR CREEK CHURCH ROAD</t>
  </si>
  <si>
    <t>I5070D000301</t>
  </si>
  <si>
    <t>PINA ANGEL FABIAN</t>
  </si>
  <si>
    <t>ARROYO NEREIDA</t>
  </si>
  <si>
    <t>220 MILLING ROAD</t>
  </si>
  <si>
    <t>J5010D0052</t>
  </si>
  <si>
    <t>SHEPHERD KRISTOPHER J</t>
  </si>
  <si>
    <t>GIBSON SUSAN M</t>
  </si>
  <si>
    <t>277 CHARLESTON RIDGE DRIVE</t>
  </si>
  <si>
    <t>C5130B0002</t>
  </si>
  <si>
    <t>SWYERS PATRICK R</t>
  </si>
  <si>
    <t>SWYERS APRIL C</t>
  </si>
  <si>
    <t>204 CEDAR FOREST LANE</t>
  </si>
  <si>
    <t>B7010A0002</t>
  </si>
  <si>
    <t>LAMONDS DONALD I</t>
  </si>
  <si>
    <t>LAMONDS DONNA B</t>
  </si>
  <si>
    <t>349 SERENITY HILLS TRAIL</t>
  </si>
  <si>
    <t>27006-6677</t>
  </si>
  <si>
    <t>D8070C0001</t>
  </si>
  <si>
    <t>E70000003305</t>
  </si>
  <si>
    <t>DUNN LARRY</t>
  </si>
  <si>
    <t>DUNN NANCY</t>
  </si>
  <si>
    <t>159 KING ARTHER LN</t>
  </si>
  <si>
    <t>J700000075</t>
  </si>
  <si>
    <t>BOGER TEDDY WAYNE</t>
  </si>
  <si>
    <t>BOGER DORIS</t>
  </si>
  <si>
    <t>2868 US HIGHWAY 64 E</t>
  </si>
  <si>
    <t>I700000027</t>
  </si>
  <si>
    <t>B300000048  A</t>
  </si>
  <si>
    <t>BOLDUC TODD</t>
  </si>
  <si>
    <t>BOLDUC TRACIE</t>
  </si>
  <si>
    <t>203 FOUR CORNERS ROAD</t>
  </si>
  <si>
    <t>K100000001</t>
  </si>
  <si>
    <t>HARTNESS DANIEL LEE</t>
  </si>
  <si>
    <t>HARTNESS DORA H</t>
  </si>
  <si>
    <t>172 HARTNESS ROAD</t>
  </si>
  <si>
    <t>D7030B0015</t>
  </si>
  <si>
    <t>CORNWALL RICHARD O</t>
  </si>
  <si>
    <t>CORNWALL MARLENE</t>
  </si>
  <si>
    <t>235 SHALLOWBROOK DRIVE</t>
  </si>
  <si>
    <t>D20000003203</t>
  </si>
  <si>
    <t>BOONE SONYA</t>
  </si>
  <si>
    <t>BOONE JOSEPH</t>
  </si>
  <si>
    <t>611 JACK BOOE ROAD</t>
  </si>
  <si>
    <t>F3130A0020</t>
  </si>
  <si>
    <t>WALSH CATHY M</t>
  </si>
  <si>
    <t>270 PEPPERSTONE DRIVE</t>
  </si>
  <si>
    <t>D9010E0033</t>
  </si>
  <si>
    <t>WATKINS SAMUEL A</t>
  </si>
  <si>
    <t>WATKINS BEVERLY B</t>
  </si>
  <si>
    <t>PO BOX 223756</t>
  </si>
  <si>
    <t>PRINCEVILLE</t>
  </si>
  <si>
    <t>HI</t>
  </si>
  <si>
    <t>96722-0000</t>
  </si>
  <si>
    <t>I900000030</t>
  </si>
  <si>
    <t>PITTS LINDA DENE</t>
  </si>
  <si>
    <t>PITTS WILLIAM MARION</t>
  </si>
  <si>
    <t>C50000004901</t>
  </si>
  <si>
    <t>WHITE BOBBIE L</t>
  </si>
  <si>
    <t>E9150A0052</t>
  </si>
  <si>
    <t>HEMMINGS BRENT FRANKLIN</t>
  </si>
  <si>
    <t>167 TALWOOD DRIVE</t>
  </si>
  <si>
    <t>H400000119</t>
  </si>
  <si>
    <t>CAUDLE JAMES SCOTT</t>
  </si>
  <si>
    <t>2703 SWAN CREEK ROAD</t>
  </si>
  <si>
    <t>H400000120</t>
  </si>
  <si>
    <t>L5070A0011</t>
  </si>
  <si>
    <t>FOSTER EULA HEIRS</t>
  </si>
  <si>
    <t>901 BOLICK AVENUE</t>
  </si>
  <si>
    <t>F40000001206</t>
  </si>
  <si>
    <t>VOGLER FRED G</t>
  </si>
  <si>
    <t>2836 DAVID STREET</t>
  </si>
  <si>
    <t>E900000293</t>
  </si>
  <si>
    <t>WEBB JERRY S</t>
  </si>
  <si>
    <t>131 SAWGRASS DRIVE</t>
  </si>
  <si>
    <t>H4140B0004</t>
  </si>
  <si>
    <t>WALLACE CHRISTOPHER TODD</t>
  </si>
  <si>
    <t>WALLACE DOROTHY SIGMON</t>
  </si>
  <si>
    <t>390 COUNTRY LANE</t>
  </si>
  <si>
    <t>M60000001502</t>
  </si>
  <si>
    <t>BLALOCK ROY DEAN JR</t>
  </si>
  <si>
    <t>BLALOCK AMELIA SEAFORD</t>
  </si>
  <si>
    <t>3109 US HWY 601 SOUTH</t>
  </si>
  <si>
    <t>L500000107</t>
  </si>
  <si>
    <t>CURTISS KEVIN E</t>
  </si>
  <si>
    <t>CURTISS ALISHA F</t>
  </si>
  <si>
    <t>125 LEFLER LN</t>
  </si>
  <si>
    <t>R2</t>
  </si>
  <si>
    <t>J6050B0010</t>
  </si>
  <si>
    <t>BRANNOCK DONALD</t>
  </si>
  <si>
    <t>BRANNOCK BRENDA</t>
  </si>
  <si>
    <t>186 SHADYBROOK ROAD</t>
  </si>
  <si>
    <t>M5090A0017</t>
  </si>
  <si>
    <t>LAEMLEIN GRACIA ROCHA</t>
  </si>
  <si>
    <t>PACHECO-ROMERO SANTIAGO</t>
  </si>
  <si>
    <t>P O BOX 1253</t>
  </si>
  <si>
    <t>J80000003001</t>
  </si>
  <si>
    <t>SMITH MELISSA J</t>
  </si>
  <si>
    <t>3365 HIGHWAY 64 EAST</t>
  </si>
  <si>
    <t>L50000008201</t>
  </si>
  <si>
    <t>E700000184</t>
  </si>
  <si>
    <t>HOWARD ADAM R</t>
  </si>
  <si>
    <t>HOWARD ROBIN J</t>
  </si>
  <si>
    <t>153 IRISH LANE</t>
  </si>
  <si>
    <t>G200000025</t>
  </si>
  <si>
    <t>LINK DONNA G</t>
  </si>
  <si>
    <t>LINK RICKY C</t>
  </si>
  <si>
    <t>I400000060</t>
  </si>
  <si>
    <t>WOOTEN JESSIE S LTD FMLY PTRSP</t>
  </si>
  <si>
    <t>146 ROBERSON DR</t>
  </si>
  <si>
    <t>M5160B0036</t>
  </si>
  <si>
    <t>TAYLOR ROBERT L</t>
  </si>
  <si>
    <t>TAYLOR JEANNIE M</t>
  </si>
  <si>
    <t>PO BOX 177</t>
  </si>
  <si>
    <t>M5160B0035</t>
  </si>
  <si>
    <t>F400000012</t>
  </si>
  <si>
    <t>WALKER BERNICE S &amp; ROBERT A</t>
  </si>
  <si>
    <t>SMITH LAWRENCE P &amp; CARLA N</t>
  </si>
  <si>
    <t>E40000003901</t>
  </si>
  <si>
    <t>E400000039</t>
  </si>
  <si>
    <t>I5010C0009</t>
  </si>
  <si>
    <t>MARCH HAZEL B</t>
  </si>
  <si>
    <t>PEOPLES PATRICIA</t>
  </si>
  <si>
    <t>M5160B0020</t>
  </si>
  <si>
    <t>TREXLER BOBBY G</t>
  </si>
  <si>
    <t>TREXLER KAREN LEE</t>
  </si>
  <si>
    <t>PO BOX 1175</t>
  </si>
  <si>
    <t>COOLEEEMEE</t>
  </si>
  <si>
    <t>G9100A0014</t>
  </si>
  <si>
    <t>SLATE CHARLES DALE</t>
  </si>
  <si>
    <t>105 SUMMER SWEET DRIVE</t>
  </si>
  <si>
    <t>N500000031</t>
  </si>
  <si>
    <t>RIEDEL CHARLENE</t>
  </si>
  <si>
    <t>806 PINE RIDGE ROAD</t>
  </si>
  <si>
    <t>E900000287</t>
  </si>
  <si>
    <t>BUTCHAN JOHN C</t>
  </si>
  <si>
    <t>3579 E FOOTHILL BLVD</t>
  </si>
  <si>
    <t>#735</t>
  </si>
  <si>
    <t>PASADENA</t>
  </si>
  <si>
    <t>G100000033</t>
  </si>
  <si>
    <t>C20000003805</t>
  </si>
  <si>
    <t>TULLOCK JERRY EUGENE</t>
  </si>
  <si>
    <t>TULLOCK LAVONDA WILSON</t>
  </si>
  <si>
    <t>741 JACK BOOE ROAD</t>
  </si>
  <si>
    <t>C20000003802</t>
  </si>
  <si>
    <t>DANNER RICKY W</t>
  </si>
  <si>
    <t>730 JACK BOOE ROAD</t>
  </si>
  <si>
    <t>J5020A0004</t>
  </si>
  <si>
    <t>FORBES DERICK S</t>
  </si>
  <si>
    <t>FORBES KATIE A</t>
  </si>
  <si>
    <t>117 CRESTVIEW DRIVE</t>
  </si>
  <si>
    <t>F50000000202</t>
  </si>
  <si>
    <t>ELLIS BRENT FROST</t>
  </si>
  <si>
    <t>1540 YADKINVILLE RD</t>
  </si>
  <si>
    <t>D800000012</t>
  </si>
  <si>
    <t>BURNETTE KENNETH BUEL</t>
  </si>
  <si>
    <t>BURNETTE VIRGINIA DAVIS</t>
  </si>
  <si>
    <t>172 RIVER DRIVE</t>
  </si>
  <si>
    <t>D100000032</t>
  </si>
  <si>
    <t>M50000000802</t>
  </si>
  <si>
    <t>COPE JENNIFER LOUISE</t>
  </si>
  <si>
    <t>PO BOX 1164</t>
  </si>
  <si>
    <t>I4130H002301</t>
  </si>
  <si>
    <t>DAVIE COMMUNITY FOUNDATION INC</t>
  </si>
  <si>
    <t>C400000033</t>
  </si>
  <si>
    <t>KIRK STEVEN B</t>
  </si>
  <si>
    <t>261 N PINO ROAD</t>
  </si>
  <si>
    <t>H5170A0046</t>
  </si>
  <si>
    <t>MYERS BRYON ROSS</t>
  </si>
  <si>
    <t>MYERS COURTNEY EBERT</t>
  </si>
  <si>
    <t>165 CANYON ROAD</t>
  </si>
  <si>
    <t>N500000076</t>
  </si>
  <si>
    <t>JOHNSON CALVIN M</t>
  </si>
  <si>
    <t>JOHNSON DONNA GAIL</t>
  </si>
  <si>
    <t>210 TATUM ROAD</t>
  </si>
  <si>
    <t>C8010B0407</t>
  </si>
  <si>
    <t>ROLLINS BRENDA</t>
  </si>
  <si>
    <t>108 GLENMOOR AVENUE</t>
  </si>
  <si>
    <t>G100000046</t>
  </si>
  <si>
    <t>WOODWARD MICHAEL LOUIS</t>
  </si>
  <si>
    <t>WOODWARD REBECCA SHORE</t>
  </si>
  <si>
    <t>225 CLAUDE RATLEDGE ROAD</t>
  </si>
  <si>
    <t>E8160A0037</t>
  </si>
  <si>
    <t>DICKENSON JOHN</t>
  </si>
  <si>
    <t>DICKENSON DAWN</t>
  </si>
  <si>
    <t>128 MEADOW BROOK COURT</t>
  </si>
  <si>
    <t>F900000026</t>
  </si>
  <si>
    <t>VOGLER TIMOTHY A</t>
  </si>
  <si>
    <t>VOGLER AMY C</t>
  </si>
  <si>
    <t>296 VOGLER ROAD</t>
  </si>
  <si>
    <t>E900000674</t>
  </si>
  <si>
    <t>WILLIS ADAM A</t>
  </si>
  <si>
    <t>WILLIS JOY IRENE</t>
  </si>
  <si>
    <t>498 NORTH HIDDENBROOKE DRIVE</t>
  </si>
  <si>
    <t>K20000002101</t>
  </si>
  <si>
    <t>HOWARD CHERIE</t>
  </si>
  <si>
    <t>123 FOSTER ROAD</t>
  </si>
  <si>
    <t>J100000008</t>
  </si>
  <si>
    <t>HARTNESS DANNY</t>
  </si>
  <si>
    <t>J100000007</t>
  </si>
  <si>
    <t>I900000021</t>
  </si>
  <si>
    <t>C7140C0021</t>
  </si>
  <si>
    <t>RICHARDSON JERRY MICHAEL</t>
  </si>
  <si>
    <t>RICHARDSON AMANDA C</t>
  </si>
  <si>
    <t>128 CREEKWOOD DRIVE</t>
  </si>
  <si>
    <t>I300000011</t>
  </si>
  <si>
    <t>ORTIZ ALICIA PENA</t>
  </si>
  <si>
    <t>L5020A0035</t>
  </si>
  <si>
    <t>BURT BENJAMIN R</t>
  </si>
  <si>
    <t>BURT KRISTIAN L</t>
  </si>
  <si>
    <t>2017 SOUTH US HIGHWAY 601</t>
  </si>
  <si>
    <t>D8070A000103</t>
  </si>
  <si>
    <t>ANDERSON THOMAS M JR</t>
  </si>
  <si>
    <t>220 BERMUDA RUN DRIVE</t>
  </si>
  <si>
    <t>D8020B0002</t>
  </si>
  <si>
    <t>G20000002501</t>
  </si>
  <si>
    <t>M5100B0003</t>
  </si>
  <si>
    <t>HUFFMAN GARY K</t>
  </si>
  <si>
    <t>HUFFMAN EMMA J</t>
  </si>
  <si>
    <t>205 EDGEWOOD CIRCLE</t>
  </si>
  <si>
    <t>I5090B0018</t>
  </si>
  <si>
    <t>FRUITS G KEVIN</t>
  </si>
  <si>
    <t>FRUITS DANA L</t>
  </si>
  <si>
    <t>112 PARK PLACE COURT</t>
  </si>
  <si>
    <t>D7080A0023</t>
  </si>
  <si>
    <t>SPANN NOLAN D</t>
  </si>
  <si>
    <t>SPANN JENNIFER M</t>
  </si>
  <si>
    <t>246 BETHLEHEM DRIVE</t>
  </si>
  <si>
    <t>B50000008102</t>
  </si>
  <si>
    <t>SHORE TIMOTHY CARL</t>
  </si>
  <si>
    <t>SHORE KIMBERLY ANNE</t>
  </si>
  <si>
    <t>2162 FARMINGTON ROAD</t>
  </si>
  <si>
    <t>E8110D0009</t>
  </si>
  <si>
    <t>BUTLER JAMES Q III</t>
  </si>
  <si>
    <t>BUTLER CYNTHIA R</t>
  </si>
  <si>
    <t>146 EASTRIDGE COURT</t>
  </si>
  <si>
    <t>I4130H0022</t>
  </si>
  <si>
    <t>F1030A0003</t>
  </si>
  <si>
    <t>BURNS CATRINA SHANTAY</t>
  </si>
  <si>
    <t>120 MOLLIE ROAD</t>
  </si>
  <si>
    <t>E400000049</t>
  </si>
  <si>
    <t>CAUDLE DISA CRANFILL</t>
  </si>
  <si>
    <t>215 RICHIE ROAD</t>
  </si>
  <si>
    <t>F90000003903</t>
  </si>
  <si>
    <t>E8160A0028</t>
  </si>
  <si>
    <t>HASH ROGER DALE</t>
  </si>
  <si>
    <t>HASH BONITA ELAINE</t>
  </si>
  <si>
    <t>108 MEADOW CREEK COURT</t>
  </si>
  <si>
    <t>G4080A0019</t>
  </si>
  <si>
    <t>HAMLIN GEORGE P</t>
  </si>
  <si>
    <t>1421 MAIN CHURCH ROAD EXT</t>
  </si>
  <si>
    <t>H60000008501</t>
  </si>
  <si>
    <t>SWAIN DAVID HOWARD JR</t>
  </si>
  <si>
    <t>175 BUCK MILLER ROAD</t>
  </si>
  <si>
    <t>E400000036</t>
  </si>
  <si>
    <t>E400000034</t>
  </si>
  <si>
    <t>J300000008</t>
  </si>
  <si>
    <t>DAVIS JOSEPH A</t>
  </si>
  <si>
    <t>1222 MAIN CHURCH RD</t>
  </si>
  <si>
    <t>G20000005401</t>
  </si>
  <si>
    <t>WOOTEN KENNETH TODD</t>
  </si>
  <si>
    <t>WOOTEN PATRICIA H</t>
  </si>
  <si>
    <t>964 IJAMES CHURCH ROAD</t>
  </si>
  <si>
    <t>D8070A0061</t>
  </si>
  <si>
    <t>KENNEY STEPHEN M</t>
  </si>
  <si>
    <t>KENNEY KATHRYN P</t>
  </si>
  <si>
    <t>144 GOLFVIEW DRIVE</t>
  </si>
  <si>
    <t>M500000018</t>
  </si>
  <si>
    <t>WALLACE RITA T</t>
  </si>
  <si>
    <t>7306 S NC HIGHWAY 801</t>
  </si>
  <si>
    <t>G20000002808</t>
  </si>
  <si>
    <t>KALISH CYNTHIA CHARLENE</t>
  </si>
  <si>
    <t>HALL JOHN MICHAEL</t>
  </si>
  <si>
    <t>128 COUNTESS LANE</t>
  </si>
  <si>
    <t>F800000044</t>
  </si>
  <si>
    <t>CARTER WILLIAM JEFFREY</t>
  </si>
  <si>
    <t>CARTER LORA TAYLOR</t>
  </si>
  <si>
    <t>112 HILLCREST DR</t>
  </si>
  <si>
    <t>J80000002207</t>
  </si>
  <si>
    <t>YOUNG TIMOTHY SCOTT</t>
  </si>
  <si>
    <t>3535 NC HWY 801 SOUTH</t>
  </si>
  <si>
    <t>J80000002201</t>
  </si>
  <si>
    <t>J30000000601</t>
  </si>
  <si>
    <t>BECK DINAH LEA</t>
  </si>
  <si>
    <t>568 DAVIE ACADEMY ROAD</t>
  </si>
  <si>
    <t>27028-5132</t>
  </si>
  <si>
    <t>N500000061</t>
  </si>
  <si>
    <t>EARNHARDT FRANK D</t>
  </si>
  <si>
    <t>EARNHARDT SUE S</t>
  </si>
  <si>
    <t>PO BOX 536</t>
  </si>
  <si>
    <t>27014-0536</t>
  </si>
  <si>
    <t>N5080A0034</t>
  </si>
  <si>
    <t>N5010C0041</t>
  </si>
  <si>
    <t>M4130B0022</t>
  </si>
  <si>
    <t>N5010C0011</t>
  </si>
  <si>
    <t>N5010C0005</t>
  </si>
  <si>
    <t>N4040A0017</t>
  </si>
  <si>
    <t>N5080B0001</t>
  </si>
  <si>
    <t>N4040A0001</t>
  </si>
  <si>
    <t>N4040A002701</t>
  </si>
  <si>
    <t>N5010D0025</t>
  </si>
  <si>
    <t>M5090B002601</t>
  </si>
  <si>
    <t>M5100A0010</t>
  </si>
  <si>
    <t>M5090B0026</t>
  </si>
  <si>
    <t>N500000013</t>
  </si>
  <si>
    <t>N5020A0004</t>
  </si>
  <si>
    <t>G3060C0005</t>
  </si>
  <si>
    <t>GRIFFITH JOSHUA BRYCE</t>
  </si>
  <si>
    <t>GRIFFITH BRITTANY A</t>
  </si>
  <si>
    <t>234 ALLEN RD</t>
  </si>
  <si>
    <t>K5120A0007</t>
  </si>
  <si>
    <t>CAPPS DAVID V</t>
  </si>
  <si>
    <t>117 FAST LANE</t>
  </si>
  <si>
    <t>C7100A0032</t>
  </si>
  <si>
    <t>PIERCE JOHN S JR</t>
  </si>
  <si>
    <t>116 BROOKHILL COURT</t>
  </si>
  <si>
    <t>K400000030</t>
  </si>
  <si>
    <t>FULLER CHAD E</t>
  </si>
  <si>
    <t>1508 COUNTY HOME ROAD</t>
  </si>
  <si>
    <t>O700000002</t>
  </si>
  <si>
    <t>DAVIS DAVID ADDISON</t>
  </si>
  <si>
    <t>DAVIS KATHRYN W</t>
  </si>
  <si>
    <t>994 POINT RD</t>
  </si>
  <si>
    <t>E8110A0014</t>
  </si>
  <si>
    <t>HOGAN CYNTHIA JANE</t>
  </si>
  <si>
    <t>1601 UNDERPASS ROAD</t>
  </si>
  <si>
    <t>E8140A0014</t>
  </si>
  <si>
    <t>STARNES JONATHAN L</t>
  </si>
  <si>
    <t>STARNES LORI I</t>
  </si>
  <si>
    <t>205 COUNTRY CIRCLE</t>
  </si>
  <si>
    <t>D8100C0025</t>
  </si>
  <si>
    <t>CLAYTON WILLIAM E SR</t>
  </si>
  <si>
    <t>CLAYTON LESLIE P</t>
  </si>
  <si>
    <t>178 SPYGLASS DR</t>
  </si>
  <si>
    <t>N5080A0025</t>
  </si>
  <si>
    <t>BOWLES RAYMOND</t>
  </si>
  <si>
    <t>1752 YADKIN VALLEY ROAD</t>
  </si>
  <si>
    <t>E20000000310</t>
  </si>
  <si>
    <t>ALEXANDER PEGGY J</t>
  </si>
  <si>
    <t>ALEXANDER DEAN R</t>
  </si>
  <si>
    <t>219 WESTWARD ROAD</t>
  </si>
  <si>
    <t>E20000000306</t>
  </si>
  <si>
    <t>M4050A0009</t>
  </si>
  <si>
    <t>YOUNGBLOOD ROBYN</t>
  </si>
  <si>
    <t>7627 AMESWOOD RD</t>
  </si>
  <si>
    <t>HOUSTON</t>
  </si>
  <si>
    <t>77095-0000</t>
  </si>
  <si>
    <t>I5040A0002</t>
  </si>
  <si>
    <t>ROBERTSON RHONDA S</t>
  </si>
  <si>
    <t>1017 MILLING RD</t>
  </si>
  <si>
    <t>J7120A0014</t>
  </si>
  <si>
    <t>CRAVER BARBARA FORREST</t>
  </si>
  <si>
    <t>D7010A0002</t>
  </si>
  <si>
    <t>JONES THOMAS RANDALL</t>
  </si>
  <si>
    <t>6131 STADIUM DRIVE</t>
  </si>
  <si>
    <t>CC</t>
  </si>
  <si>
    <t>C7100B0006</t>
  </si>
  <si>
    <t>LYNCH JEREMY</t>
  </si>
  <si>
    <t>LYNCH LINDSAY</t>
  </si>
  <si>
    <t>151 RENEE DRIVE</t>
  </si>
  <si>
    <t>E50000001417</t>
  </si>
  <si>
    <t>EMINGTON LOUISE S</t>
  </si>
  <si>
    <t>375 PINEBROOK DRIVE</t>
  </si>
  <si>
    <t>K5020A0006</t>
  </si>
  <si>
    <t>RICHARDSON PAMELA S</t>
  </si>
  <si>
    <t>RICHARDSON JAMES C</t>
  </si>
  <si>
    <t>223 ROLLINGWOOD DRIVE</t>
  </si>
  <si>
    <t>K5020A000601</t>
  </si>
  <si>
    <t>H8060A0081</t>
  </si>
  <si>
    <t>ESSIC DAVID JR</t>
  </si>
  <si>
    <t>ESSIC TAMMY</t>
  </si>
  <si>
    <t>365 COVINGTON DRIVE</t>
  </si>
  <si>
    <t>H6070A0008</t>
  </si>
  <si>
    <t>SPARKS DANIEL</t>
  </si>
  <si>
    <t>1539 MILLING ROAD</t>
  </si>
  <si>
    <t>D50000006801</t>
  </si>
  <si>
    <t>JONES BARRY JR</t>
  </si>
  <si>
    <t>JONES NORMA B</t>
  </si>
  <si>
    <t>118 FANCY BUTTONS LANE</t>
  </si>
  <si>
    <t>M5100C002701</t>
  </si>
  <si>
    <t>IMES AUSTIN LEONARD</t>
  </si>
  <si>
    <t>IMES MEIKA TOPPINGS</t>
  </si>
  <si>
    <t>139 LOOP STREET</t>
  </si>
  <si>
    <t>27028-6790</t>
  </si>
  <si>
    <t>C5130B0009</t>
  </si>
  <si>
    <t>CARTER CRAIG A JR</t>
  </si>
  <si>
    <t>CARTER GERALDINE B</t>
  </si>
  <si>
    <t>123 BROOKSTONE DRIVE</t>
  </si>
  <si>
    <t>E600000082</t>
  </si>
  <si>
    <t>DOWD MICHAEL</t>
  </si>
  <si>
    <t>BERGMAN LESLIE</t>
  </si>
  <si>
    <t>213 CONNIE LANE</t>
  </si>
  <si>
    <t>B300000089</t>
  </si>
  <si>
    <t>HALL G TERRY</t>
  </si>
  <si>
    <t>3448 ESSIC ROAD</t>
  </si>
  <si>
    <t>D8020B0005</t>
  </si>
  <si>
    <t>CRANFILL DARREN S</t>
  </si>
  <si>
    <t>CRANFILL AMANDA M</t>
  </si>
  <si>
    <t>246 BERMUDA RUN DRIVE</t>
  </si>
  <si>
    <t>P70000000303</t>
  </si>
  <si>
    <t>CITY OF SALISBURY</t>
  </si>
  <si>
    <t>PO BOX 479</t>
  </si>
  <si>
    <t>C80000017703</t>
  </si>
  <si>
    <t>KINDERTON DENTAL PARTNERS LLC</t>
  </si>
  <si>
    <t>1700 S HAWTHORNE ROAD</t>
  </si>
  <si>
    <t>D8150A0005</t>
  </si>
  <si>
    <t>ELSNER MARGERY-ANNE E</t>
  </si>
  <si>
    <t>BINDER ELIZABETH ANN</t>
  </si>
  <si>
    <t>214 JUNIPER CIRCLE</t>
  </si>
  <si>
    <t>I4110B0012</t>
  </si>
  <si>
    <t>ALLEN KEITH JACKSON</t>
  </si>
  <si>
    <t>BATES MICHELLE LEIGH</t>
  </si>
  <si>
    <t>622 WILKESBORO STREET</t>
  </si>
  <si>
    <t>F8020B0047</t>
  </si>
  <si>
    <t>KAUFFMAN TIMOTHY J</t>
  </si>
  <si>
    <t>KAUFFMAN CHRISTY L</t>
  </si>
  <si>
    <t>122 HAGEN ROAD</t>
  </si>
  <si>
    <t>C80000017702</t>
  </si>
  <si>
    <t>M E B HOLDINGS LLC</t>
  </si>
  <si>
    <t>127 ROYAL TROON LANE</t>
  </si>
  <si>
    <t>Bermuda Run</t>
  </si>
  <si>
    <t>C8010A0003</t>
  </si>
  <si>
    <t>SPRINGS JENNIFER YVONNE</t>
  </si>
  <si>
    <t>SPRINGS-CAMPBELL MILLICENT</t>
  </si>
  <si>
    <t>111 WINDSOR CIRCLE</t>
  </si>
  <si>
    <t>C8010A0004</t>
  </si>
  <si>
    <t>FERGUSON MARIA CAROLINA</t>
  </si>
  <si>
    <t>115 WINDSOR CIRCLE</t>
  </si>
  <si>
    <t>H40000001303</t>
  </si>
  <si>
    <t>F50000000203</t>
  </si>
  <si>
    <t>I5060C0003</t>
  </si>
  <si>
    <t>SALGADO MOISES ARROYO</t>
  </si>
  <si>
    <t>ARROYO ANA</t>
  </si>
  <si>
    <t>C8010A0020</t>
  </si>
  <si>
    <t>LEGG BILLY F</t>
  </si>
  <si>
    <t>MCNEILL PAMALA</t>
  </si>
  <si>
    <t>110 MILLSTONE LANE</t>
  </si>
  <si>
    <t>C8010A0023</t>
  </si>
  <si>
    <t>SCHAUB MARC A JR</t>
  </si>
  <si>
    <t>SCHAUB CARRIE L</t>
  </si>
  <si>
    <t>211 BRIDGEWATER DRIVE</t>
  </si>
  <si>
    <t>27006-7976</t>
  </si>
  <si>
    <t>K5070A0010</t>
  </si>
  <si>
    <t>WRIGHT ANITA H</t>
  </si>
  <si>
    <t>191 REDWOOD DRIVE</t>
  </si>
  <si>
    <t>C8010A0033</t>
  </si>
  <si>
    <t>COX RANDOLPH JAY</t>
  </si>
  <si>
    <t>COX KATHY LYNN</t>
  </si>
  <si>
    <t>244 TOWNPARK DRIVE</t>
  </si>
  <si>
    <t>27006-8606</t>
  </si>
  <si>
    <t>C8010A0034</t>
  </si>
  <si>
    <t>PERRY JOHN LEE</t>
  </si>
  <si>
    <t>PERRY TAMMY MARION</t>
  </si>
  <si>
    <t>240 TOWNPARK DRIVE</t>
  </si>
  <si>
    <t>C8010A0036</t>
  </si>
  <si>
    <t>HILL TOBY W</t>
  </si>
  <si>
    <t>HILL JULIE M</t>
  </si>
  <si>
    <t>232 TOWNPARK DRIVE</t>
  </si>
  <si>
    <t>C8010A0041</t>
  </si>
  <si>
    <t>WILLIAMSON MARY RUTH</t>
  </si>
  <si>
    <t>210 TOWNPARK DRIVE</t>
  </si>
  <si>
    <t>C8010A0084</t>
  </si>
  <si>
    <t>JENKINS KIMBERLY C</t>
  </si>
  <si>
    <t>192 BROOKSTONE DRIVE</t>
  </si>
  <si>
    <t>I5090D0001</t>
  </si>
  <si>
    <t>RESSA ADAM</t>
  </si>
  <si>
    <t>RESSA SALLY</t>
  </si>
  <si>
    <t>160 HEMLOCK STREET</t>
  </si>
  <si>
    <t>H50000001602</t>
  </si>
  <si>
    <t>F7110A0007</t>
  </si>
  <si>
    <t>BROWN SCOTT G</t>
  </si>
  <si>
    <t>BROWN KIM W</t>
  </si>
  <si>
    <t>212 LONGLEAF PINE DRIVE</t>
  </si>
  <si>
    <t>I5080A0005</t>
  </si>
  <si>
    <t>TALTON STEVEN M</t>
  </si>
  <si>
    <t>TALTON REBECCA</t>
  </si>
  <si>
    <t>199 HALLANDER DRIVE</t>
  </si>
  <si>
    <t>J5010A0020</t>
  </si>
  <si>
    <t>FRYE ROGER DALE</t>
  </si>
  <si>
    <t>570 DEPOT STREET</t>
  </si>
  <si>
    <t>C30000013601</t>
  </si>
  <si>
    <t>BOGER NICHOLAS</t>
  </si>
  <si>
    <t>MCCLANNON CASSANDRA</t>
  </si>
  <si>
    <t>968 HOWELL ROAD</t>
  </si>
  <si>
    <t>J700000113</t>
  </si>
  <si>
    <t>COPE CHARLES MICHAEL</t>
  </si>
  <si>
    <t>369 BOB SMITH DRIVE</t>
  </si>
  <si>
    <t>27292-4260</t>
  </si>
  <si>
    <t>G700000116</t>
  </si>
  <si>
    <t>G600000108</t>
  </si>
  <si>
    <t>PIERCE SUSAN E</t>
  </si>
  <si>
    <t>229 HEPLER ROAD</t>
  </si>
  <si>
    <t>E9150B0035</t>
  </si>
  <si>
    <t>HILL DAPHNE W</t>
  </si>
  <si>
    <t>122 SYCAMORE RIDGE DRIVE</t>
  </si>
  <si>
    <t>F20000005202</t>
  </si>
  <si>
    <t>MCGREW KELLIE GOBBLE</t>
  </si>
  <si>
    <t>525 RALPH RATLEDGE ROAD</t>
  </si>
  <si>
    <t>E30000010403</t>
  </si>
  <si>
    <t>FOSTER RANDALL MATTHEW</t>
  </si>
  <si>
    <t>FOSTER LAUREN M</t>
  </si>
  <si>
    <t>139 RUMPLE LANE</t>
  </si>
  <si>
    <t>J80000002209</t>
  </si>
  <si>
    <t>I5010C000301</t>
  </si>
  <si>
    <t>K5120A0008</t>
  </si>
  <si>
    <t>C8030C0010</t>
  </si>
  <si>
    <t>MORROW CONNIE</t>
  </si>
  <si>
    <t>113 OAK WIND DRIVE #102</t>
  </si>
  <si>
    <t>I50000001108</t>
  </si>
  <si>
    <t>CONCRETE SUPPLY CO LLC</t>
  </si>
  <si>
    <t>PO BOX 5247</t>
  </si>
  <si>
    <t>I5120B0017</t>
  </si>
  <si>
    <t>TRIVETTE MARK W</t>
  </si>
  <si>
    <t>256 WINDWARD CIRCLE</t>
  </si>
  <si>
    <t>C8010A0070</t>
  </si>
  <si>
    <t>WILLIAMS ROGER R</t>
  </si>
  <si>
    <t>WILLIAMS PATRICIA R</t>
  </si>
  <si>
    <t>124 PARKVIEW LANE</t>
  </si>
  <si>
    <t>J7120A001602</t>
  </si>
  <si>
    <t>F4010A0008</t>
  </si>
  <si>
    <t>COPELAND WYATTE J III</t>
  </si>
  <si>
    <t>COPELAND BRANDY S</t>
  </si>
  <si>
    <t>208 SUMMERLYN DRIVE</t>
  </si>
  <si>
    <t>C8010A0103</t>
  </si>
  <si>
    <t>C5130B0004</t>
  </si>
  <si>
    <t>BUTERBAUGH DAVID W</t>
  </si>
  <si>
    <t>BUTERBAUGH KIMBERLY R</t>
  </si>
  <si>
    <t>188 CEDAR FORREST LANE</t>
  </si>
  <si>
    <t>J5010D0053</t>
  </si>
  <si>
    <t>PIERCE LINDA</t>
  </si>
  <si>
    <t>250 CHARLESTON RIDGE DRIVE</t>
  </si>
  <si>
    <t>C8010A0245</t>
  </si>
  <si>
    <t>SNIDER INVESTMENT GROUP LLC</t>
  </si>
  <si>
    <t>G8050B0002</t>
  </si>
  <si>
    <t>MARKLAND DOUGLAS RAY</t>
  </si>
  <si>
    <t>MARKLAND JEAN S</t>
  </si>
  <si>
    <t>184 TAYLOR ROAD</t>
  </si>
  <si>
    <t>C8010A0030</t>
  </si>
  <si>
    <t>HOOD EVERETT EUGENE</t>
  </si>
  <si>
    <t>HOOD SANDRA JOHNSON</t>
  </si>
  <si>
    <t>256 TOWNPARK DRIVE</t>
  </si>
  <si>
    <t>C8010A0048</t>
  </si>
  <si>
    <t>DAVIS LINDA P</t>
  </si>
  <si>
    <t>DAVIS ROBERT E</t>
  </si>
  <si>
    <t>281 OLD TOWN DRIVE</t>
  </si>
  <si>
    <t>27006-8610</t>
  </si>
  <si>
    <t>C8010A0051</t>
  </si>
  <si>
    <t>HARPE SHELBY JEAN</t>
  </si>
  <si>
    <t>295 OLD TOWNE DRIVE</t>
  </si>
  <si>
    <t>C40000004102</t>
  </si>
  <si>
    <t>STANLEY JEROD CODY</t>
  </si>
  <si>
    <t>STANLEY SARAH WEST</t>
  </si>
  <si>
    <t>327 KAYLA TRAIL</t>
  </si>
  <si>
    <t>C30000007205</t>
  </si>
  <si>
    <t>BAITY PATRICIA J</t>
  </si>
  <si>
    <t>BIG PINEY</t>
  </si>
  <si>
    <t>WY</t>
  </si>
  <si>
    <t>83113-0000</t>
  </si>
  <si>
    <t>D9030A0007</t>
  </si>
  <si>
    <t>ANGELL D GRAY JR</t>
  </si>
  <si>
    <t>ANGELL CHRISTINA C</t>
  </si>
  <si>
    <t>190 JAMES WAY</t>
  </si>
  <si>
    <t>F20000005302</t>
  </si>
  <si>
    <t>KOOISTRA DANIEL S</t>
  </si>
  <si>
    <t>172 HIDDEN MEADOWS TRAIL</t>
  </si>
  <si>
    <t>I6140A0037</t>
  </si>
  <si>
    <t>SCHILL ALLEN W</t>
  </si>
  <si>
    <t>SCHILL PAMELA P</t>
  </si>
  <si>
    <t>222 LAKEVIEW ROAD</t>
  </si>
  <si>
    <t>G300000082</t>
  </si>
  <si>
    <t>TRIVITTE BILLY W</t>
  </si>
  <si>
    <t>TRIVITTE NORMA B</t>
  </si>
  <si>
    <t>421 ALLEN ROAD</t>
  </si>
  <si>
    <t>E30000006701</t>
  </si>
  <si>
    <t>BULLARD AMANDA B</t>
  </si>
  <si>
    <t>BULLARD WILLIAM M</t>
  </si>
  <si>
    <t>3493 US HIGHWAY 601 NORTH</t>
  </si>
  <si>
    <t>H4180A0003</t>
  </si>
  <si>
    <t>MARSHALL PATRICIA W</t>
  </si>
  <si>
    <t>120 STERLING PLACE</t>
  </si>
  <si>
    <t>I400000050</t>
  </si>
  <si>
    <t>ROBERTSON MACKINZIE DREW</t>
  </si>
  <si>
    <t>1065 US HIGHWAY 64 WEST</t>
  </si>
  <si>
    <t>E8140A0013</t>
  </si>
  <si>
    <t>GHISLANDI HERMINIO</t>
  </si>
  <si>
    <t>SANTANGELO PATRICIA</t>
  </si>
  <si>
    <t>219 COUNTRY CIRCLE</t>
  </si>
  <si>
    <t>E70000014001</t>
  </si>
  <si>
    <t>EDWARDS BILLY MARTIN</t>
  </si>
  <si>
    <t>EDWARDS REBEKAH ANNE</t>
  </si>
  <si>
    <t>182 GATEWAY LANE</t>
  </si>
  <si>
    <t>E8060A0010</t>
  </si>
  <si>
    <t>HUDSON NOAH D</t>
  </si>
  <si>
    <t>HUDSON SYLVIA R</t>
  </si>
  <si>
    <t>273 RIVER ROAD</t>
  </si>
  <si>
    <t>H8070A0003</t>
  </si>
  <si>
    <t>HERZOG APRIL M</t>
  </si>
  <si>
    <t>942 MARKLAND ROAD</t>
  </si>
  <si>
    <t>J10000001905</t>
  </si>
  <si>
    <t>CHRISCOE RACHEL S</t>
  </si>
  <si>
    <t>8822 EAST OLD US HWY 64</t>
  </si>
  <si>
    <t>J500000016</t>
  </si>
  <si>
    <t>RIDINGS KIM M</t>
  </si>
  <si>
    <t>1308 US HWY 64 E</t>
  </si>
  <si>
    <t>L30000002704</t>
  </si>
  <si>
    <t>BOWLES BARBARA ANN WHITAKER</t>
  </si>
  <si>
    <t>% SCHNEELOCH BARBARA W</t>
  </si>
  <si>
    <t>6904 HARPER VALLEY LANE</t>
  </si>
  <si>
    <t>D8070D001501</t>
  </si>
  <si>
    <t>LIVE OAK</t>
  </si>
  <si>
    <t>I4050A0012</t>
  </si>
  <si>
    <t>L5020A0021</t>
  </si>
  <si>
    <t>GILES DONALD R</t>
  </si>
  <si>
    <t>GILES LINDA S</t>
  </si>
  <si>
    <t>123 TWIN CEDARS GOLF ROAD</t>
  </si>
  <si>
    <t>J70000004602</t>
  </si>
  <si>
    <t>ALLEN WALTER CLEVELAND III</t>
  </si>
  <si>
    <t>ALLEN LEANNE E</t>
  </si>
  <si>
    <t>2637 US HWY 64 EAST</t>
  </si>
  <si>
    <t>J70000005104</t>
  </si>
  <si>
    <t>J700000046</t>
  </si>
  <si>
    <t>J70000005004</t>
  </si>
  <si>
    <t>I4130G0016</t>
  </si>
  <si>
    <t>E900000121</t>
  </si>
  <si>
    <t>HAMPTON RYAN D</t>
  </si>
  <si>
    <t>HAMPTON LORI P</t>
  </si>
  <si>
    <t>113 KINGSMILL DRIVE</t>
  </si>
  <si>
    <t>J4050F0005</t>
  </si>
  <si>
    <t>WYATT VIRGIL L TRUSTEE</t>
  </si>
  <si>
    <t>WYATT CHRISTINE B TRUSTEE</t>
  </si>
  <si>
    <t>368 VIRGIL WYATT RD</t>
  </si>
  <si>
    <t>H8060A0023</t>
  </si>
  <si>
    <t>ATTINELLO JOHN S</t>
  </si>
  <si>
    <t>ATTINELLO LINDY R</t>
  </si>
  <si>
    <t>107 NORTH HEMINGWAY COURT</t>
  </si>
  <si>
    <t>C5130A0013</t>
  </si>
  <si>
    <t>MEADOWS HERBERT L JR</t>
  </si>
  <si>
    <t>MEADOWS GLENDA F</t>
  </si>
  <si>
    <t>217 CEDAR FOREST LANE</t>
  </si>
  <si>
    <t>I5050D0001</t>
  </si>
  <si>
    <t>H &amp; V CONSTRUCTION CO</t>
  </si>
  <si>
    <t>1598 WESTBROOK PLAZA DRIVE</t>
  </si>
  <si>
    <t>I5050B0023</t>
  </si>
  <si>
    <t>I5120A0022</t>
  </si>
  <si>
    <t>I5120B0007</t>
  </si>
  <si>
    <t>I5050B0036</t>
  </si>
  <si>
    <t>I5050B0038</t>
  </si>
  <si>
    <t>I5120A0026</t>
  </si>
  <si>
    <t>I5120A0027</t>
  </si>
  <si>
    <t>C700000106  B</t>
  </si>
  <si>
    <t>C70000009402</t>
  </si>
  <si>
    <t>C70000009403</t>
  </si>
  <si>
    <t>C700000142</t>
  </si>
  <si>
    <t>D70000022601</t>
  </si>
  <si>
    <t>D8100B0021</t>
  </si>
  <si>
    <t>STILES DONNIE DIXON</t>
  </si>
  <si>
    <t>582 RIVERBEND DRIVE</t>
  </si>
  <si>
    <t>K10000002103</t>
  </si>
  <si>
    <t>MOOSE ROBERT M</t>
  </si>
  <si>
    <t>311 SMITH ROAD</t>
  </si>
  <si>
    <t>H30000009207</t>
  </si>
  <si>
    <t>JUNKER WILLIAM F SR</t>
  </si>
  <si>
    <t>H30000009206</t>
  </si>
  <si>
    <t>H300000091</t>
  </si>
  <si>
    <t>F30000003701</t>
  </si>
  <si>
    <t>DANIEL AMELIA GORDY</t>
  </si>
  <si>
    <t>175 BLACKWELDER ROAD</t>
  </si>
  <si>
    <t>G90000001305</t>
  </si>
  <si>
    <t>BAKER SCOTT W</t>
  </si>
  <si>
    <t>223 PLANTATION  LANE</t>
  </si>
  <si>
    <t>I4060C0003</t>
  </si>
  <si>
    <t>PALMER SHERON</t>
  </si>
  <si>
    <t>236 MUMFORD DRIVE</t>
  </si>
  <si>
    <t>J50000003704</t>
  </si>
  <si>
    <t>HERBERT JEFFREY L</t>
  </si>
  <si>
    <t>HERBERT KRISTY LYNN</t>
  </si>
  <si>
    <t>303 CHARLESTON RIDGE DRIVE</t>
  </si>
  <si>
    <t>H7020A0030</t>
  </si>
  <si>
    <t>CARLTON SAMUEL BLAKE JR</t>
  </si>
  <si>
    <t>343 BEAUCHAMP RD</t>
  </si>
  <si>
    <t>F800000027</t>
  </si>
  <si>
    <t>D8100D0033</t>
  </si>
  <si>
    <t>BELL CHARLOTTE P</t>
  </si>
  <si>
    <t>147 SPYGLASS DRIVE</t>
  </si>
  <si>
    <t>C8010A0016</t>
  </si>
  <si>
    <t>NAYLOR CARL</t>
  </si>
  <si>
    <t>NAYLOR BRENDA</t>
  </si>
  <si>
    <t>113 MILLSTONE LANE</t>
  </si>
  <si>
    <t>C8010A0017</t>
  </si>
  <si>
    <t>HARDEN GLENN COOPER</t>
  </si>
  <si>
    <t>HARDEN ROBIN BOWERS</t>
  </si>
  <si>
    <t>109 MILLSTONE LANE</t>
  </si>
  <si>
    <t>H600000014</t>
  </si>
  <si>
    <t>HENNESSEY CLARA H</t>
  </si>
  <si>
    <t>PO BOX 1014</t>
  </si>
  <si>
    <t>GREEN COVE SPRINGS</t>
  </si>
  <si>
    <t>32043-0000</t>
  </si>
  <si>
    <t>C40000004101</t>
  </si>
  <si>
    <t>I4020A0010</t>
  </si>
  <si>
    <t>SS &amp; G PROPERTIES</t>
  </si>
  <si>
    <t>1365 WESTGATE CENTER DR B1</t>
  </si>
  <si>
    <t>I4110C0001</t>
  </si>
  <si>
    <t>R &amp; D DANIELS LLC</t>
  </si>
  <si>
    <t>21 HADLEY PARK COURT</t>
  </si>
  <si>
    <t>B50000010301</t>
  </si>
  <si>
    <t>HALL ROBERT BUCKNER III</t>
  </si>
  <si>
    <t>WALKER WILLIAM WRAY</t>
  </si>
  <si>
    <t>131 LOBLOLLY DRIVE</t>
  </si>
  <si>
    <t>PINE KNOLL SHORES</t>
  </si>
  <si>
    <t>L5090B0012</t>
  </si>
  <si>
    <t>ANDERSON HOWARD CO-TRUSTEE</t>
  </si>
  <si>
    <t>ANDERSON ARLENE B CO-TRUSTEE</t>
  </si>
  <si>
    <t>PO BOX 131</t>
  </si>
  <si>
    <t>E900000083</t>
  </si>
  <si>
    <t>HOUGH GORDON M</t>
  </si>
  <si>
    <t>MCCORMICK CHRISTINE</t>
  </si>
  <si>
    <t>159 AVIARA DRIVE</t>
  </si>
  <si>
    <t>G70000013910</t>
  </si>
  <si>
    <t>WATTERSON HENRY S</t>
  </si>
  <si>
    <t>WATTERSON AMBER</t>
  </si>
  <si>
    <t>353 BRIDLE LANE</t>
  </si>
  <si>
    <t>D500000076</t>
  </si>
  <si>
    <t>DOUB ELTON MARK</t>
  </si>
  <si>
    <t>PHILLIPS BRANDI LEANN</t>
  </si>
  <si>
    <t>1630 FARMINGTON ROAD</t>
  </si>
  <si>
    <t>H400000039</t>
  </si>
  <si>
    <t>PEYTON JESSICA COPPA</t>
  </si>
  <si>
    <t>PEYTON JONATHAN C</t>
  </si>
  <si>
    <t>753 COUNTRY LANE</t>
  </si>
  <si>
    <t>C8010A0043</t>
  </si>
  <si>
    <t>LESTER PAUL S</t>
  </si>
  <si>
    <t>LESTER ELIZABETH H</t>
  </si>
  <si>
    <t>257 OLD TOWNE DRIVE</t>
  </si>
  <si>
    <t>K50000007306</t>
  </si>
  <si>
    <t>MONTOYA JOSE G CARRILLO</t>
  </si>
  <si>
    <t>BRITO DE CARRILLO DORA MARIA</t>
  </si>
  <si>
    <t>343 WILL BOONE ROAD</t>
  </si>
  <si>
    <t>I4120C0005</t>
  </si>
  <si>
    <t>ALLEN WILLIAM BRADLEY</t>
  </si>
  <si>
    <t>ALLEN TONI MELISA</t>
  </si>
  <si>
    <t>708 GARNER STREET</t>
  </si>
  <si>
    <t>E900000460</t>
  </si>
  <si>
    <t>GLADD CLAYTON</t>
  </si>
  <si>
    <t>GLADD HEATHER</t>
  </si>
  <si>
    <t>155 SOUTH HIDDENBROOKE DRIVE</t>
  </si>
  <si>
    <t>G900000039</t>
  </si>
  <si>
    <t>LAWVER PHILIP J</t>
  </si>
  <si>
    <t>LAWVER KAREN A</t>
  </si>
  <si>
    <t>C8010A0098</t>
  </si>
  <si>
    <t>HUDSON MATTHEW RYAN</t>
  </si>
  <si>
    <t>124 BROOKSTONE DRIVE</t>
  </si>
  <si>
    <t>J4140B0011</t>
  </si>
  <si>
    <t>WARD MARCUS JAMES</t>
  </si>
  <si>
    <t>WARD BRITTANY SOLOMON</t>
  </si>
  <si>
    <t>207 NORTH CAROLINA CIRCLE</t>
  </si>
  <si>
    <t>J4140B0008</t>
  </si>
  <si>
    <t>N5080A0018</t>
  </si>
  <si>
    <t>FOSTER THOMAS LINDSAY</t>
  </si>
  <si>
    <t>N5010C0020</t>
  </si>
  <si>
    <t>N5010B0037</t>
  </si>
  <si>
    <t>G30000008404</t>
  </si>
  <si>
    <t>METAL SALES MANUFACTURING CORP</t>
  </si>
  <si>
    <t>545 SOUTH 3RD ST STE 200</t>
  </si>
  <si>
    <t>LOUISVILLE</t>
  </si>
  <si>
    <t>J70000000802</t>
  </si>
  <si>
    <t>SHOFFNER AMANDA C</t>
  </si>
  <si>
    <t>BARBER JODEY L</t>
  </si>
  <si>
    <t>224 NO CREEK ROAD</t>
  </si>
  <si>
    <t>I5070B001304</t>
  </si>
  <si>
    <t>STAGE CHAD ANDREW</t>
  </si>
  <si>
    <t>STAGE ANGELA GRACE</t>
  </si>
  <si>
    <t>120 LAKEVIEW DR</t>
  </si>
  <si>
    <t>J70000004401</t>
  </si>
  <si>
    <t>CORNATZER TOBY A</t>
  </si>
  <si>
    <t>CORNATZER LINDA ANN</t>
  </si>
  <si>
    <t>2482 US HIGHWAY 64 EAST</t>
  </si>
  <si>
    <t>27028-7419</t>
  </si>
  <si>
    <t>J700000015</t>
  </si>
  <si>
    <t>J600000073</t>
  </si>
  <si>
    <t>G500000008</t>
  </si>
  <si>
    <t>HOOVER JOE R</t>
  </si>
  <si>
    <t>132 WOODWARD ROAD</t>
  </si>
  <si>
    <t>C600000062</t>
  </si>
  <si>
    <t>ELLIS JAMES MONDELL SR</t>
  </si>
  <si>
    <t>C600000057</t>
  </si>
  <si>
    <t>C60000002206</t>
  </si>
  <si>
    <t>BUNDY ENOCH EDWARD</t>
  </si>
  <si>
    <t>134 RIDERS RIDGE LN</t>
  </si>
  <si>
    <t>WILLOW SPRING</t>
  </si>
  <si>
    <t>27592-0000</t>
  </si>
  <si>
    <t>H40000010611</t>
  </si>
  <si>
    <t>WAFFLE HOUSE INC</t>
  </si>
  <si>
    <t>5986 FINANCIAL DRIVE</t>
  </si>
  <si>
    <t>NORCROSS</t>
  </si>
  <si>
    <t>I5010C003202</t>
  </si>
  <si>
    <t>GREENE SHELBY HAYES</t>
  </si>
  <si>
    <t>L5020A0020</t>
  </si>
  <si>
    <t>C8030B0007</t>
  </si>
  <si>
    <t>PERRY CHARLES E</t>
  </si>
  <si>
    <t>298 TOWNPARK DRIVE</t>
  </si>
  <si>
    <t>UNIT 101</t>
  </si>
  <si>
    <t>I20000000106</t>
  </si>
  <si>
    <t>SHORE PHILLIP D</t>
  </si>
  <si>
    <t>L300000033</t>
  </si>
  <si>
    <t>I700000002</t>
  </si>
  <si>
    <t>I5050B0030</t>
  </si>
  <si>
    <t>H400000003</t>
  </si>
  <si>
    <t>E30000008801</t>
  </si>
  <si>
    <t>BOHANNON CHADWICK JAMES</t>
  </si>
  <si>
    <t>196 LATHAM FARM ROAD</t>
  </si>
  <si>
    <t>E800000110</t>
  </si>
  <si>
    <t>ANDERSON THOMAS M</t>
  </si>
  <si>
    <t>ANDERSON DIANNE</t>
  </si>
  <si>
    <t>254 SCOTTSDALE DRIVE</t>
  </si>
  <si>
    <t>E8100B0009</t>
  </si>
  <si>
    <t>LAURENCE MAZIE M</t>
  </si>
  <si>
    <t>1707 UNDERPASS ROAD</t>
  </si>
  <si>
    <t>D8080D0018</t>
  </si>
  <si>
    <t>ANDERS J SCOTT</t>
  </si>
  <si>
    <t>ANDERS NANCY H</t>
  </si>
  <si>
    <t>1209 RIVERBEND DRIVE</t>
  </si>
  <si>
    <t>D8020A0028</t>
  </si>
  <si>
    <t>F20000002001</t>
  </si>
  <si>
    <t>H7020A0031</t>
  </si>
  <si>
    <t>BISHOP WENDY PAULETTE CARLTON</t>
  </si>
  <si>
    <t>D9030A0031</t>
  </si>
  <si>
    <t>MCGUIRE AUSTIN D III</t>
  </si>
  <si>
    <t>MCGUIRE SALLY B</t>
  </si>
  <si>
    <t>287 JAMES WAY</t>
  </si>
  <si>
    <t>K60000001103</t>
  </si>
  <si>
    <t>LEONARD KATIE M</t>
  </si>
  <si>
    <t>247 KNOLL CREST ROAD</t>
  </si>
  <si>
    <t>E900000568</t>
  </si>
  <si>
    <t>KOONTZ VIRGINIA</t>
  </si>
  <si>
    <t>110 CARTGATE COURT</t>
  </si>
  <si>
    <t>L40000004805</t>
  </si>
  <si>
    <t>JONES KARRY D</t>
  </si>
  <si>
    <t>I5080B0027</t>
  </si>
  <si>
    <t>DAVIE HOLDINGS LLC</t>
  </si>
  <si>
    <t>C10000000205</t>
  </si>
  <si>
    <t>BROWN J VANCE</t>
  </si>
  <si>
    <t>DAVIS SHELLY N</t>
  </si>
  <si>
    <t>929 OLLIE HARKEY RD</t>
  </si>
  <si>
    <t>J40000004201</t>
  </si>
  <si>
    <t>BEAVERS GARY A</t>
  </si>
  <si>
    <t>BEAVERS CLAIRE</t>
  </si>
  <si>
    <t>1317 JERICHO CHURCH ROAD</t>
  </si>
  <si>
    <t>F8020B0029</t>
  </si>
  <si>
    <t>TENNIS PROPERTIES LLC</t>
  </si>
  <si>
    <t>PO BOX 301</t>
  </si>
  <si>
    <t>G600000093</t>
  </si>
  <si>
    <t>YOKLEY ERIC THOMPSON</t>
  </si>
  <si>
    <t>YOKLEY PAMELA CAIN</t>
  </si>
  <si>
    <t>H30000008602</t>
  </si>
  <si>
    <t>NARV VENTURE TRUST OF 2012</t>
  </si>
  <si>
    <t>STEVEN M BURKE TRUSTEE</t>
  </si>
  <si>
    <t>PO BOX 326</t>
  </si>
  <si>
    <t>MANCHESTER</t>
  </si>
  <si>
    <t>NH</t>
  </si>
  <si>
    <t>03105-0326</t>
  </si>
  <si>
    <t>D3010A0006</t>
  </si>
  <si>
    <t>LAGROTTERIA PETER A</t>
  </si>
  <si>
    <t>LAGROTTERIA PATRICIA A</t>
  </si>
  <si>
    <t>200 GREENFIELD ROAD</t>
  </si>
  <si>
    <t>N5110A0010</t>
  </si>
  <si>
    <t>DEPALMA CHARLES A</t>
  </si>
  <si>
    <t>PO BOX 703</t>
  </si>
  <si>
    <t>N500000029</t>
  </si>
  <si>
    <t>OWENS FLORENCE SHORE</t>
  </si>
  <si>
    <t>836 PINE RIDGE ROAD</t>
  </si>
  <si>
    <t>C5130B0012</t>
  </si>
  <si>
    <t>TADDEUCCI MARK STEVEN</t>
  </si>
  <si>
    <t>185 DROKE CIRCLE</t>
  </si>
  <si>
    <t>B30000003704</t>
  </si>
  <si>
    <t>KOONTZ WILLIAM KEITH</t>
  </si>
  <si>
    <t>KOONTZ ROBYN STROMKO</t>
  </si>
  <si>
    <t>4892 US HIGHWAY 601 N</t>
  </si>
  <si>
    <t>27028-6282</t>
  </si>
  <si>
    <t>B300000039</t>
  </si>
  <si>
    <t>D9030A0006</t>
  </si>
  <si>
    <t>GOOD MARK EDWIN</t>
  </si>
  <si>
    <t>GOOD JESSICA BOWERS</t>
  </si>
  <si>
    <t>182 JAMES WAY</t>
  </si>
  <si>
    <t>I4010A0055</t>
  </si>
  <si>
    <t>ANDERSON DONALD ROY</t>
  </si>
  <si>
    <t>ANDERSON CAROLYN SHOEMAKER</t>
  </si>
  <si>
    <t>153 NORTH WENTWORTH DRIVE</t>
  </si>
  <si>
    <t>L5090B0011</t>
  </si>
  <si>
    <t>H4130A0021</t>
  </si>
  <si>
    <t>THOMPSON JENNIFER</t>
  </si>
  <si>
    <t>175 ELMWOOD STREET</t>
  </si>
  <si>
    <t>D30000005510</t>
  </si>
  <si>
    <t>ANDERSON MARTY</t>
  </si>
  <si>
    <t>1109 EATONS CHURCH RD</t>
  </si>
  <si>
    <t>D30000005502</t>
  </si>
  <si>
    <t>E900000625</t>
  </si>
  <si>
    <t>YODER WAYNE M</t>
  </si>
  <si>
    <t>YODER JENICE S</t>
  </si>
  <si>
    <t>121 S NIBLICK CT</t>
  </si>
  <si>
    <t>27006-6958</t>
  </si>
  <si>
    <t>J4040D0012</t>
  </si>
  <si>
    <t>GALEAS OSCAR</t>
  </si>
  <si>
    <t>GALEAS APRIL</t>
  </si>
  <si>
    <t>183 EAST MAPLE AVENUE</t>
  </si>
  <si>
    <t>C8010A0412</t>
  </si>
  <si>
    <t>SMITHSON LOUISE F</t>
  </si>
  <si>
    <t>215 PARKVIEW LANE</t>
  </si>
  <si>
    <t>27006-8791</t>
  </si>
  <si>
    <t>H50000001305</t>
  </si>
  <si>
    <t>GORDON JEREMY M</t>
  </si>
  <si>
    <t>GORDON JENNIFER B</t>
  </si>
  <si>
    <t>363 HARVEST WAY</t>
  </si>
  <si>
    <t>H5190A0016</t>
  </si>
  <si>
    <t>PATERSON JR JOHN CHRISTIE</t>
  </si>
  <si>
    <t>206 S MADERA DRIVE</t>
  </si>
  <si>
    <t>J4140B0010</t>
  </si>
  <si>
    <t>J70000000801</t>
  </si>
  <si>
    <t>C60000012201</t>
  </si>
  <si>
    <t>FULLER TREVA M</t>
  </si>
  <si>
    <t>141 MAYNARD DRIVE</t>
  </si>
  <si>
    <t>J5040A0002</t>
  </si>
  <si>
    <t>SMITH JOANN K</t>
  </si>
  <si>
    <t>SMITH HARVEY MICHAEL</t>
  </si>
  <si>
    <t>404 EAST LAKE DRIVE</t>
  </si>
  <si>
    <t>I1120B0001</t>
  </si>
  <si>
    <t>SHUPING JANET R</t>
  </si>
  <si>
    <t>2511 DAVIE ACADEMY ROAD</t>
  </si>
  <si>
    <t>C300000120</t>
  </si>
  <si>
    <t>WALLACE WILSON S TRUSTEE</t>
  </si>
  <si>
    <t>WILSON S WALLACE REV LIV TRST</t>
  </si>
  <si>
    <t>633 HOWELL ROAD</t>
  </si>
  <si>
    <t>C30000011802</t>
  </si>
  <si>
    <t>C300000119</t>
  </si>
  <si>
    <t>E900000308</t>
  </si>
  <si>
    <t>LEDBETTER DORIS B</t>
  </si>
  <si>
    <t>112 EAGLE WATCH COURT</t>
  </si>
  <si>
    <t>C70000000602</t>
  </si>
  <si>
    <t>WARD CHRISTINE</t>
  </si>
  <si>
    <t>PARKER ERNESTINE</t>
  </si>
  <si>
    <t>177 CUB CREEK LANE</t>
  </si>
  <si>
    <t>N60000008101</t>
  </si>
  <si>
    <t>SMITH GERALD KEITH</t>
  </si>
  <si>
    <t>SMITH MICHELE G</t>
  </si>
  <si>
    <t>1040 CHERRY HILL ROAD</t>
  </si>
  <si>
    <t>krob</t>
  </si>
  <si>
    <t>N60000008201</t>
  </si>
  <si>
    <t>N60000008102</t>
  </si>
  <si>
    <t>G400000044</t>
  </si>
  <si>
    <t>GOBBLE DONALD WAYNE</t>
  </si>
  <si>
    <t>GOBBLE SHEILA DIANNE</t>
  </si>
  <si>
    <t>159 MATHEW LANE</t>
  </si>
  <si>
    <t>E60000007007</t>
  </si>
  <si>
    <t>ALLEN WAYNENA L</t>
  </si>
  <si>
    <t>4142 US HIGHWAY 158</t>
  </si>
  <si>
    <t>L300000015</t>
  </si>
  <si>
    <t>L30000001601</t>
  </si>
  <si>
    <t>L40000002801</t>
  </si>
  <si>
    <t>JAMES CHARLES KEITH</t>
  </si>
  <si>
    <t>448 GLADSTONE ROAD</t>
  </si>
  <si>
    <t>27028-5235</t>
  </si>
  <si>
    <t>F800000060</t>
  </si>
  <si>
    <t>ANDERS DOUGLAS</t>
  </si>
  <si>
    <t>ANDERS LISA</t>
  </si>
  <si>
    <t>1098 NC HIGHWAY 801 S</t>
  </si>
  <si>
    <t>C70000013101</t>
  </si>
  <si>
    <t>ALLEN ANTHONY LEE</t>
  </si>
  <si>
    <t>ALLEN GINA LAPIEJKO</t>
  </si>
  <si>
    <t>264 DOUBLE A TRAIL</t>
  </si>
  <si>
    <t>D7030C0010</t>
  </si>
  <si>
    <t>FEARRINGTON MARY ANN</t>
  </si>
  <si>
    <t>187 CLAYBON DRIVE</t>
  </si>
  <si>
    <t>D70000018601</t>
  </si>
  <si>
    <t>B &amp; B INVESTMNT OF MOCKS LLC</t>
  </si>
  <si>
    <t>M50000003302</t>
  </si>
  <si>
    <t>HILL DARRELL F &amp; PEGGY C</t>
  </si>
  <si>
    <t>2987 US HIGHWAY 601 SOUTH</t>
  </si>
  <si>
    <t>E900000441</t>
  </si>
  <si>
    <t>E70000013907</t>
  </si>
  <si>
    <t>WRIGHT ROY FRANCIS</t>
  </si>
  <si>
    <t>WRIGHT GAIL SCOTT</t>
  </si>
  <si>
    <t>462 COMANCHE DRIVE</t>
  </si>
  <si>
    <t>G700000041</t>
  </si>
  <si>
    <t>BARNEY ROGER DARRYL</t>
  </si>
  <si>
    <t>BARNEY LISA</t>
  </si>
  <si>
    <t>1881 CORNATZER ROAD</t>
  </si>
  <si>
    <t>27028-7142</t>
  </si>
  <si>
    <t>D200000016</t>
  </si>
  <si>
    <t>BARNEYCASTLE CHEYREL G</t>
  </si>
  <si>
    <t>733 BEAR CREEK CHURCH ROAD</t>
  </si>
  <si>
    <t>D20000001502</t>
  </si>
  <si>
    <t>E700000140</t>
  </si>
  <si>
    <t>H700000099</t>
  </si>
  <si>
    <t>N5010C0062</t>
  </si>
  <si>
    <t>J400000042</t>
  </si>
  <si>
    <t>B50000008301</t>
  </si>
  <si>
    <t>WOOTEN ALLEN G SR</t>
  </si>
  <si>
    <t>WOOTEN JEAN L</t>
  </si>
  <si>
    <t>2455 FARMINGTON ROAD</t>
  </si>
  <si>
    <t>M60000002803</t>
  </si>
  <si>
    <t>ALLEN MATTHEW SCOTT</t>
  </si>
  <si>
    <t>148 HOUSTON RD</t>
  </si>
  <si>
    <t>J700000047</t>
  </si>
  <si>
    <t>CORK RICHARD LLOYD</t>
  </si>
  <si>
    <t>CORK CHARLENE GAYLE</t>
  </si>
  <si>
    <t>148 NO CREEK ROAD</t>
  </si>
  <si>
    <t>I5050B0037</t>
  </si>
  <si>
    <t>DOBSON BEVERLY</t>
  </si>
  <si>
    <t>148 HEATHER CT</t>
  </si>
  <si>
    <t>27028-2950</t>
  </si>
  <si>
    <t>B300000081</t>
  </si>
  <si>
    <t>PILCHER GEORGE EDWARD</t>
  </si>
  <si>
    <t>D8070A0008</t>
  </si>
  <si>
    <t>CREWS DAVID W</t>
  </si>
  <si>
    <t>CREWS JACQUELINE L</t>
  </si>
  <si>
    <t>121 AZALEA CIRCLE</t>
  </si>
  <si>
    <t>D30000005511</t>
  </si>
  <si>
    <t>H60000008207</t>
  </si>
  <si>
    <t>SHAVER JUSTIN LEE</t>
  </si>
  <si>
    <t>SHAVER BRANDY SHORT</t>
  </si>
  <si>
    <t>329 JAMESTOWNE DR</t>
  </si>
  <si>
    <t>I5090B0004</t>
  </si>
  <si>
    <t>DRAUGHN JUSTIN EDWARD</t>
  </si>
  <si>
    <t>DRAUGHN AUBREY BARHAM</t>
  </si>
  <si>
    <t>641 NORTH MAIN ST</t>
  </si>
  <si>
    <t>H2060A0011</t>
  </si>
  <si>
    <t>E80000000701</t>
  </si>
  <si>
    <t>I1120B0002</t>
  </si>
  <si>
    <t>MABE TIMOTHY E</t>
  </si>
  <si>
    <t>2499 DAVIE ACADEMY RD</t>
  </si>
  <si>
    <t>MOCKVSILLE</t>
  </si>
  <si>
    <t>27028-8212</t>
  </si>
  <si>
    <t>M60000000704</t>
  </si>
  <si>
    <t>KEY KAREN LONG</t>
  </si>
  <si>
    <t>KEY BILLY JOE</t>
  </si>
  <si>
    <t>414 PLEASANT ACRE DRIVE</t>
  </si>
  <si>
    <t>F60000000603</t>
  </si>
  <si>
    <t>BROWN DAVID LEWIS</t>
  </si>
  <si>
    <t>BROWN DANIELLE HILLARD</t>
  </si>
  <si>
    <t>186 CHAL SMITH ROAD</t>
  </si>
  <si>
    <t>I1120A0049</t>
  </si>
  <si>
    <t>ALVAREZ VICTOR MANUEL</t>
  </si>
  <si>
    <t>TOVAR MARIA</t>
  </si>
  <si>
    <t>427 OAKLAND AVENUE</t>
  </si>
  <si>
    <t>G700000120</t>
  </si>
  <si>
    <t>PRESTIGE PROPERTIES OF DAVIE LLC</t>
  </si>
  <si>
    <t>G70000011901</t>
  </si>
  <si>
    <t>G70000011902</t>
  </si>
  <si>
    <t>I4010A0031</t>
  </si>
  <si>
    <t>COTTLE JOHN D</t>
  </si>
  <si>
    <t>COTTLE SHIRLEY A</t>
  </si>
  <si>
    <t>196 N WENTWORTH DRIVE</t>
  </si>
  <si>
    <t>H300000023</t>
  </si>
  <si>
    <t>BENSON RUSSELL WILLIAM</t>
  </si>
  <si>
    <t>BENSON BRENDA MARIE</t>
  </si>
  <si>
    <t>2197 US HWY 64 WEST</t>
  </si>
  <si>
    <t>G9090B0002</t>
  </si>
  <si>
    <t>ANDERSON THOMAS R</t>
  </si>
  <si>
    <t>120 OLD MARCH ROAD</t>
  </si>
  <si>
    <t>H3040A0019</t>
  </si>
  <si>
    <t>DAVIE COUNTY FARM BUREAU INC</t>
  </si>
  <si>
    <t>PO BOX 69</t>
  </si>
  <si>
    <t>G400000025</t>
  </si>
  <si>
    <t>CROWN CASTLE TOWERS 09 LLC</t>
  </si>
  <si>
    <t>CROWN CASTLE PMB 353</t>
  </si>
  <si>
    <t>4017 WASHINGTON ROAD</t>
  </si>
  <si>
    <t>MCMURRAY</t>
  </si>
  <si>
    <t>G40000002501</t>
  </si>
  <si>
    <t>VANANTWERP RICHARD BARTON</t>
  </si>
  <si>
    <t>478 CALLAHAN HILL ROAD</t>
  </si>
  <si>
    <t>G50000001803</t>
  </si>
  <si>
    <t>F30000000503</t>
  </si>
  <si>
    <t>BAILEY CYNTHIA ANN</t>
  </si>
  <si>
    <t>3227 US HIGHWAY 601 NORTH</t>
  </si>
  <si>
    <t>G400000062</t>
  </si>
  <si>
    <t>DOUB LANNEIR ALLEN</t>
  </si>
  <si>
    <t>DOUB SHERRY W</t>
  </si>
  <si>
    <t>1212 WOODWARD ROAD</t>
  </si>
  <si>
    <t>H8060A0040</t>
  </si>
  <si>
    <t>BARBEE RUSSELL L</t>
  </si>
  <si>
    <t>106 CUMBERLAND COURT</t>
  </si>
  <si>
    <t>H300000077</t>
  </si>
  <si>
    <t>DAVIS ANTHONY BRANDON</t>
  </si>
  <si>
    <t>STEELE MARGARET BROOKE</t>
  </si>
  <si>
    <t>113 TUTTEROW ROAD</t>
  </si>
  <si>
    <t>E8110C0024</t>
  </si>
  <si>
    <t>184 WESTRIDGE ROAD</t>
  </si>
  <si>
    <t>C8010A0291</t>
  </si>
  <si>
    <t>SONDEY ANITA K</t>
  </si>
  <si>
    <t>SONDEY BRIAN M</t>
  </si>
  <si>
    <t>131 NORTH FORKE DRIVE</t>
  </si>
  <si>
    <t>C700000081</t>
  </si>
  <si>
    <t>210 BALTIMORE DOWNS RD</t>
  </si>
  <si>
    <t>C70000008201</t>
  </si>
  <si>
    <t>F90000004103</t>
  </si>
  <si>
    <t>TERRY BILL CARLTON JR</t>
  </si>
  <si>
    <t>TERRY WENDY JOYCE</t>
  </si>
  <si>
    <t>346 RIVER OAKS LANE</t>
  </si>
  <si>
    <t>D20000003008</t>
  </si>
  <si>
    <t>IRELAND ROBERT LEE</t>
  </si>
  <si>
    <t>IRELAND BRENDA T</t>
  </si>
  <si>
    <t>580 DUARD REAVIS ROAD</t>
  </si>
  <si>
    <t>D200000030</t>
  </si>
  <si>
    <t>D20000003001</t>
  </si>
  <si>
    <t>D20000003007</t>
  </si>
  <si>
    <t>F900000043</t>
  </si>
  <si>
    <t>F90000004109</t>
  </si>
  <si>
    <t>J300000006</t>
  </si>
  <si>
    <t>THOMPSON JEREMY LOYD</t>
  </si>
  <si>
    <t>195 PREVETTE ROAD</t>
  </si>
  <si>
    <t>F90000004108</t>
  </si>
  <si>
    <t>J4050A0005</t>
  </si>
  <si>
    <t>MYERS AUDREY</t>
  </si>
  <si>
    <t>LAMBERTH ANGELA</t>
  </si>
  <si>
    <t>800 HARDISON STREET</t>
  </si>
  <si>
    <t>CBOLL</t>
  </si>
  <si>
    <t>D8100B0017</t>
  </si>
  <si>
    <t>NEAR BART E</t>
  </si>
  <si>
    <t>NEAR ROGENA G</t>
  </si>
  <si>
    <t>594 RIVERBEND DRIVE</t>
  </si>
  <si>
    <t>I1110A0009</t>
  </si>
  <si>
    <t>STOKES HAYDEN C III</t>
  </si>
  <si>
    <t>STOKES JENNIFER N</t>
  </si>
  <si>
    <t>3829 US HWY 64 WEST</t>
  </si>
  <si>
    <t>H3010A0007</t>
  </si>
  <si>
    <t>IJAMES REUBEN JEFFREY</t>
  </si>
  <si>
    <t>IJAMES MEAGAN R</t>
  </si>
  <si>
    <t>114 GOODWILL HEIGHTS PLACE</t>
  </si>
  <si>
    <t>H300000006</t>
  </si>
  <si>
    <t>I4060C000802</t>
  </si>
  <si>
    <t>CROTTS MICHELLE</t>
  </si>
  <si>
    <t>870 GARNER STREET</t>
  </si>
  <si>
    <t>D8070B0002</t>
  </si>
  <si>
    <t>TRUE ANDREW DALE</t>
  </si>
  <si>
    <t>TRUE LAURA MARIE</t>
  </si>
  <si>
    <t>122 HELLERI CIRCLE</t>
  </si>
  <si>
    <t>D8060B0009</t>
  </si>
  <si>
    <t>MONDA NANCY</t>
  </si>
  <si>
    <t>144 BENT STREET</t>
  </si>
  <si>
    <t>D30000002104</t>
  </si>
  <si>
    <t>ELMORE TIM GENE</t>
  </si>
  <si>
    <t>L500000103</t>
  </si>
  <si>
    <t>SMYERS AMANDA KATHERINE</t>
  </si>
  <si>
    <t>250 GLADSTONE ROAD</t>
  </si>
  <si>
    <t>H5160A0035</t>
  </si>
  <si>
    <t>OSBORNE BRITTIN S</t>
  </si>
  <si>
    <t>WARNER ELIZABETH S</t>
  </si>
  <si>
    <t>184 W KNOLL BROOK DRIVE</t>
  </si>
  <si>
    <t>F100000012</t>
  </si>
  <si>
    <t>DILLARD JOE WAYNE</t>
  </si>
  <si>
    <t>568 SHEFFIELD ROAD</t>
  </si>
  <si>
    <t>28634-9031</t>
  </si>
  <si>
    <t>E70000003001</t>
  </si>
  <si>
    <t>LIVENGOOD APRIL MICHELLE</t>
  </si>
  <si>
    <t>4315 US HIGHWAY 158</t>
  </si>
  <si>
    <t>B500000074</t>
  </si>
  <si>
    <t>LINDBERG JAMES H</t>
  </si>
  <si>
    <t>LINDBERG PAMELA ANNE</t>
  </si>
  <si>
    <t>169 PINEVILLE ROAD</t>
  </si>
  <si>
    <t>G700000086</t>
  </si>
  <si>
    <t>I200000006</t>
  </si>
  <si>
    <t>FREIDT LARRY DALE</t>
  </si>
  <si>
    <t>FREIDT PAMELA DENISE</t>
  </si>
  <si>
    <t>281 DAVIE FARMS TRAIL</t>
  </si>
  <si>
    <t>27028-8264</t>
  </si>
  <si>
    <t>J20000002301</t>
  </si>
  <si>
    <t>HENDRICKS PHILLIP NEIL</t>
  </si>
  <si>
    <t>155 CANE MILL DRIVE</t>
  </si>
  <si>
    <t>pt</t>
  </si>
  <si>
    <t>N5010A0002</t>
  </si>
  <si>
    <t>SPROUSE CATHY M</t>
  </si>
  <si>
    <t>PO BOX 383</t>
  </si>
  <si>
    <t>O60000002904</t>
  </si>
  <si>
    <t>REINSVOLD RUSSELL J</t>
  </si>
  <si>
    <t>REINSVOLD VICTORIA MARIE</t>
  </si>
  <si>
    <t>4086 US HIGHWAY 601 SOUTH</t>
  </si>
  <si>
    <t>F800000059</t>
  </si>
  <si>
    <t>ALLEN RONALD SCOTT</t>
  </si>
  <si>
    <t>ALLEN SUSAN M</t>
  </si>
  <si>
    <t>138 BRAVE LANE</t>
  </si>
  <si>
    <t>F800000063</t>
  </si>
  <si>
    <t>F800000062</t>
  </si>
  <si>
    <t>N5010D000402</t>
  </si>
  <si>
    <t>CARE STEPHANIE</t>
  </si>
  <si>
    <t>CARE JOSEPH B</t>
  </si>
  <si>
    <t>PO BOX 448</t>
  </si>
  <si>
    <t>E900000286</t>
  </si>
  <si>
    <t>SIMMONS DONNIE SHANE</t>
  </si>
  <si>
    <t>SIMMONS TINA B</t>
  </si>
  <si>
    <t>146 SAWGRASS DRIVE</t>
  </si>
  <si>
    <t>D7010A0026</t>
  </si>
  <si>
    <t>720 REDLAND ROAD</t>
  </si>
  <si>
    <t>N500000043</t>
  </si>
  <si>
    <t>CAMPBELL LONNIE RAY JR</t>
  </si>
  <si>
    <t>592 PINE RIDGE ROAD</t>
  </si>
  <si>
    <t>K300000006</t>
  </si>
  <si>
    <t>CANNON JEREK M</t>
  </si>
  <si>
    <t>CANNON CAITLIN P</t>
  </si>
  <si>
    <t>441 WILDERNESS WAY</t>
  </si>
  <si>
    <t>C8010A0279</t>
  </si>
  <si>
    <t>KING ERIC A P</t>
  </si>
  <si>
    <t>KING ASHLEY T</t>
  </si>
  <si>
    <t>217 N FORKE DRIVE</t>
  </si>
  <si>
    <t>D20000003009</t>
  </si>
  <si>
    <t>D20000004703</t>
  </si>
  <si>
    <t>WALLACE THOMAS WAYNE</t>
  </si>
  <si>
    <t>968 LIBERTY CHURCH ROAD</t>
  </si>
  <si>
    <t>L40000000109</t>
  </si>
  <si>
    <t>WALKER GREGORY</t>
  </si>
  <si>
    <t>WALKER BARBARA</t>
  </si>
  <si>
    <t>608 BUCK SEAFORD ROAD</t>
  </si>
  <si>
    <t>D20000004701</t>
  </si>
  <si>
    <t>D20000004702</t>
  </si>
  <si>
    <t>C30000007206</t>
  </si>
  <si>
    <t>BLAKLEY TONY ALEXANDER</t>
  </si>
  <si>
    <t>BLAKLEY KAY O</t>
  </si>
  <si>
    <t>274 BAITY ROAD</t>
  </si>
  <si>
    <t>I4140A0021</t>
  </si>
  <si>
    <t>WINSTON SEAN</t>
  </si>
  <si>
    <t>WINSTON KAREN</t>
  </si>
  <si>
    <t>148 GREY STREET</t>
  </si>
  <si>
    <t>H6080A0007</t>
  </si>
  <si>
    <t>WOOD CLIFTON V</t>
  </si>
  <si>
    <t>758 SAIN ROAD</t>
  </si>
  <si>
    <t>M40000003301</t>
  </si>
  <si>
    <t>MCCRARY SONYA H</t>
  </si>
  <si>
    <t>1845 JUNCTION ROAD</t>
  </si>
  <si>
    <t>M5100B0014</t>
  </si>
  <si>
    <t>GUDE ERIC</t>
  </si>
  <si>
    <t>GUDE MARGARET</t>
  </si>
  <si>
    <t>1315 MT VERNON ROAD</t>
  </si>
  <si>
    <t>C7100B0003</t>
  </si>
  <si>
    <t>SEATS RICHARD STEVEN II</t>
  </si>
  <si>
    <t>125 EAST RENEE DRIVE</t>
  </si>
  <si>
    <t>H8060A0043</t>
  </si>
  <si>
    <t>RODRIGUEZ FREDY A</t>
  </si>
  <si>
    <t>RODRIGUEZ LUISA M</t>
  </si>
  <si>
    <t>117 CUMBERLAND COURT</t>
  </si>
  <si>
    <t>E900000334</t>
  </si>
  <si>
    <t>593 OAK VALLEY BOULEVARD</t>
  </si>
  <si>
    <t>D8070A0060</t>
  </si>
  <si>
    <t>WEBB KEVIN PATTON</t>
  </si>
  <si>
    <t>GUFFEY PATRICIA LYNN</t>
  </si>
  <si>
    <t>152 GOLFVIEW DRIVE</t>
  </si>
  <si>
    <t>J80000000801</t>
  </si>
  <si>
    <t>BAILEY DONNA MILLER</t>
  </si>
  <si>
    <t>212 FULTON ROAD</t>
  </si>
  <si>
    <t>F60000004203</t>
  </si>
  <si>
    <t>KILBY MICHAEL S</t>
  </si>
  <si>
    <t>C5130B0020</t>
  </si>
  <si>
    <t>FLETCHER MICHAEL S</t>
  </si>
  <si>
    <t>FLETCHER SABRINA C</t>
  </si>
  <si>
    <t>168 DROKE CIRCLE</t>
  </si>
  <si>
    <t>J4030B0012</t>
  </si>
  <si>
    <t>BROWNING GREGORY</t>
  </si>
  <si>
    <t>132 MAGNOLIA AVENUE</t>
  </si>
  <si>
    <t>G400000061</t>
  </si>
  <si>
    <t>COX CHAD ALLEN</t>
  </si>
  <si>
    <t>MOODY CRYSTAL DAWN</t>
  </si>
  <si>
    <t>458 CANA ROAD</t>
  </si>
  <si>
    <t>J20000002104</t>
  </si>
  <si>
    <t>C20000002101</t>
  </si>
  <si>
    <t>VARGAS DANIEL</t>
  </si>
  <si>
    <t>VARGAS ANGELITA</t>
  </si>
  <si>
    <t>3220 BLANKENSHIP ROAD</t>
  </si>
  <si>
    <t>F10000001221</t>
  </si>
  <si>
    <t>SWISHER ALLISON</t>
  </si>
  <si>
    <t>C7100A0009</t>
  </si>
  <si>
    <t>HAUSER STEVEN M</t>
  </si>
  <si>
    <t>HAUSER JULIE E</t>
  </si>
  <si>
    <t>119 WEST RENEE DRIVE</t>
  </si>
  <si>
    <t>D8060A0005</t>
  </si>
  <si>
    <t>EGGERS JAMES M</t>
  </si>
  <si>
    <t>EGGERS MISTY M</t>
  </si>
  <si>
    <t>317 RIVERBEND DRIVE</t>
  </si>
  <si>
    <t>B30000005211</t>
  </si>
  <si>
    <t>D8080B0001  A</t>
  </si>
  <si>
    <t>VANCEDONALDS LLC</t>
  </si>
  <si>
    <t>I70000005106</t>
  </si>
  <si>
    <t>JONES SHERRI WYATT</t>
  </si>
  <si>
    <t>JONES JERRY DALE</t>
  </si>
  <si>
    <t>943 FORK BIXBY ROAD</t>
  </si>
  <si>
    <t>D700000007</t>
  </si>
  <si>
    <t>D7010A0010</t>
  </si>
  <si>
    <t>BOWLES CHESTER DOUGLAS</t>
  </si>
  <si>
    <t>203 LITTLE JOHN DRIVE</t>
  </si>
  <si>
    <t>H9080A0029</t>
  </si>
  <si>
    <t>PARSONS TORRANCE GREGORY</t>
  </si>
  <si>
    <t>MARSICO ANDREA MICHELLE</t>
  </si>
  <si>
    <t>142 FALLINGCREEK DRIVE</t>
  </si>
  <si>
    <t>B7140A0013</t>
  </si>
  <si>
    <t>SIMPSON BRANDON R</t>
  </si>
  <si>
    <t>SIMPSON SARAH E</t>
  </si>
  <si>
    <t>188 VALLEY OAKS DRIVE</t>
  </si>
  <si>
    <t>E900000161</t>
  </si>
  <si>
    <t>HARRY STEWART J</t>
  </si>
  <si>
    <t>HARRY SHARON C</t>
  </si>
  <si>
    <t>158 LONETREE DRIVE</t>
  </si>
  <si>
    <t>F80000013907</t>
  </si>
  <si>
    <t>GIFF DENNIS M</t>
  </si>
  <si>
    <t>201 MANHATTAN LANE</t>
  </si>
  <si>
    <t>H9080A0032</t>
  </si>
  <si>
    <t>NICHOLS CHRISTOPHER</t>
  </si>
  <si>
    <t>NICHOLS CHRISTIE</t>
  </si>
  <si>
    <t>114 FALLINGCREEK DRIVE</t>
  </si>
  <si>
    <t>I5020A0001</t>
  </si>
  <si>
    <t>SOUTHERN ERIC M</t>
  </si>
  <si>
    <t>SOUTHERN AMY H</t>
  </si>
  <si>
    <t>1280 NORTH MAIN STREET</t>
  </si>
  <si>
    <t>F70000001814</t>
  </si>
  <si>
    <t>DUKE ENERGY CAROLINAS LLC</t>
  </si>
  <si>
    <t>PO BOX 1007</t>
  </si>
  <si>
    <t>28201-1007</t>
  </si>
  <si>
    <t>I600000037</t>
  </si>
  <si>
    <t>SMITH ELLA B</t>
  </si>
  <si>
    <t>771 CORNATZER ROAD</t>
  </si>
  <si>
    <t>27028-7131</t>
  </si>
  <si>
    <t>N5020A0008</t>
  </si>
  <si>
    <t>BROWNING AMBER LACKEY</t>
  </si>
  <si>
    <t>221 MIDWAY STREET</t>
  </si>
  <si>
    <t>G40000000704</t>
  </si>
  <si>
    <t>BANDY TANYA</t>
  </si>
  <si>
    <t>358 CANA ROAD</t>
  </si>
  <si>
    <t>D20000005102</t>
  </si>
  <si>
    <t>BIRDSONG BILLY</t>
  </si>
  <si>
    <t>BIRDSONG JESSICA</t>
  </si>
  <si>
    <t>823 LIBERTY CHURCH ROAD</t>
  </si>
  <si>
    <t>N600000047</t>
  </si>
  <si>
    <t>GRIMES KATHERINE D</t>
  </si>
  <si>
    <t>3569 S US HWY 601</t>
  </si>
  <si>
    <t>E8100A0001</t>
  </si>
  <si>
    <t>ALLIGOOD KEVIN M</t>
  </si>
  <si>
    <t>ALLIGOOD DEBORAH H</t>
  </si>
  <si>
    <t>110 OVERLOOK DRIVE</t>
  </si>
  <si>
    <t>H5190A0029</t>
  </si>
  <si>
    <t>CRAVER ALEX R</t>
  </si>
  <si>
    <t>CRAVER AMELIA O</t>
  </si>
  <si>
    <t>125 S MADERA DRIVE</t>
  </si>
  <si>
    <t>C30000000401</t>
  </si>
  <si>
    <t>TWISTED SWEETGUM FARMS LLC</t>
  </si>
  <si>
    <t>2427 HARVEL SCHOOL ROAD</t>
  </si>
  <si>
    <t>D20000000101</t>
  </si>
  <si>
    <t>WILSON ELIZABETH B</t>
  </si>
  <si>
    <t>142 HOPE LANE</t>
  </si>
  <si>
    <t>H300000011</t>
  </si>
  <si>
    <t>CLEMENT GROVE CH OF GOD 7TH DAY</t>
  </si>
  <si>
    <t>159 PARKER ROAD</t>
  </si>
  <si>
    <t>H30000001101</t>
  </si>
  <si>
    <t>F4010A0005</t>
  </si>
  <si>
    <t>WRIGHT JOHN H</t>
  </si>
  <si>
    <t>WRIGHT SUSAN D</t>
  </si>
  <si>
    <t>186 SUMMERLYN DRIVE</t>
  </si>
  <si>
    <t>F500000043  B</t>
  </si>
  <si>
    <t>APAC-ATLANTIC INC</t>
  </si>
  <si>
    <t>THOMPSON-ARTHUR DIVISION</t>
  </si>
  <si>
    <t>PO BOX 55038</t>
  </si>
  <si>
    <t>B500000034</t>
  </si>
  <si>
    <t>DAVIS RENEE LYNN</t>
  </si>
  <si>
    <t>DAVIS NICHOLAS LEE</t>
  </si>
  <si>
    <t>128 ABBEY LANE</t>
  </si>
  <si>
    <t>I5160A0032</t>
  </si>
  <si>
    <t>MENDEZ CHIQUITO CIPRIANO</t>
  </si>
  <si>
    <t>207 AVON STREET</t>
  </si>
  <si>
    <t>G9100A0009</t>
  </si>
  <si>
    <t>SHAMEL CARRIE ANNE</t>
  </si>
  <si>
    <t>132 SUMMER SWEET DR</t>
  </si>
  <si>
    <t>B700000105</t>
  </si>
  <si>
    <t>BUDD JOSEPH R</t>
  </si>
  <si>
    <t>BUDD AMANDA M</t>
  </si>
  <si>
    <t>815 MERRY ACRES COURT</t>
  </si>
  <si>
    <t>G9090B0060</t>
  </si>
  <si>
    <t>PETERSEN JULIE RIDEN</t>
  </si>
  <si>
    <t>PETERSEN PAUL JOHN III</t>
  </si>
  <si>
    <t>266 OLD MARCH ROAD</t>
  </si>
  <si>
    <t>J20000003807</t>
  </si>
  <si>
    <t>WALKER DANNY MICHAEL</t>
  </si>
  <si>
    <t>WALKER MELISSA NICOLE</t>
  </si>
  <si>
    <t>151 PINE FOREST LANE</t>
  </si>
  <si>
    <t>27028-8403</t>
  </si>
  <si>
    <t>J20000003806</t>
  </si>
  <si>
    <t>F500000002</t>
  </si>
  <si>
    <t>HILL JOEL MITCHELL</t>
  </si>
  <si>
    <t>866 ANGELL ROAD</t>
  </si>
  <si>
    <t>I600000020</t>
  </si>
  <si>
    <t>POTTS HOMER E</t>
  </si>
  <si>
    <t>POTTS AUDREY H</t>
  </si>
  <si>
    <t>N50000000801</t>
  </si>
  <si>
    <t>MATTHEWS KEVIN J</t>
  </si>
  <si>
    <t>MATTHEWS CYNTHIA D</t>
  </si>
  <si>
    <t>1516 TAYLOR ROAD</t>
  </si>
  <si>
    <t>I200000038</t>
  </si>
  <si>
    <t>I200000039</t>
  </si>
  <si>
    <t>H4190A0007</t>
  </si>
  <si>
    <t>MURPHY OIL USA INC</t>
  </si>
  <si>
    <t>AD VALOREM TAX DEPT</t>
  </si>
  <si>
    <t>PO BOX 7300</t>
  </si>
  <si>
    <t>EL DORADO</t>
  </si>
  <si>
    <t>71731-0000</t>
  </si>
  <si>
    <t>D9010E0008</t>
  </si>
  <si>
    <t>KAYLOR R JAMES</t>
  </si>
  <si>
    <t>KAYLOR DIANA REEVES</t>
  </si>
  <si>
    <t>176 RIVER HILL DRIVE</t>
  </si>
  <si>
    <t>H40000000904</t>
  </si>
  <si>
    <t>T A OPERATING LLC</t>
  </si>
  <si>
    <t>DBA TRAVELCENTERS OF AMERICA</t>
  </si>
  <si>
    <t>24601 CENTER RIDGE RD</t>
  </si>
  <si>
    <t>SUITE 200 - TAX DEPARTMENT</t>
  </si>
  <si>
    <t>WESTLAKE</t>
  </si>
  <si>
    <t>OH</t>
  </si>
  <si>
    <t>44145-6634</t>
  </si>
  <si>
    <t>D8080D0035</t>
  </si>
  <si>
    <t>BARNETT MARTHA W</t>
  </si>
  <si>
    <t>BARNETT ALAN L</t>
  </si>
  <si>
    <t>964 RIVERBEND DRIVE</t>
  </si>
  <si>
    <t>G200000020</t>
  </si>
  <si>
    <t>PATTI CLARA C</t>
  </si>
  <si>
    <t>B500000009</t>
  </si>
  <si>
    <t>SPACH ALVIN E</t>
  </si>
  <si>
    <t>SPACH JEANNE C</t>
  </si>
  <si>
    <t>677 WYO ROAD</t>
  </si>
  <si>
    <t>D9010D0016</t>
  </si>
  <si>
    <t>CAPONE MICHAEL</t>
  </si>
  <si>
    <t>106 HAMILITON COURT</t>
  </si>
  <si>
    <t>D7010B0004</t>
  </si>
  <si>
    <t>BRANYON GEORGE C</t>
  </si>
  <si>
    <t>BRANYON SHIRLEY N</t>
  </si>
  <si>
    <t>259 GORDON DRIVE</t>
  </si>
  <si>
    <t>H5190A0001</t>
  </si>
  <si>
    <t>NC PROPERTIES I, LLC</t>
  </si>
  <si>
    <t>11230 CARMEL COMMONS BLVD</t>
  </si>
  <si>
    <t>B700000070</t>
  </si>
  <si>
    <t>COOK CURTIS F</t>
  </si>
  <si>
    <t>COOK LOIS W</t>
  </si>
  <si>
    <t>293 JESSE KING RD</t>
  </si>
  <si>
    <t>I20000000105</t>
  </si>
  <si>
    <t>PENSCO TRUST CO</t>
  </si>
  <si>
    <t>FBO WALKER MAURICE</t>
  </si>
  <si>
    <t>K8100A0012</t>
  </si>
  <si>
    <t>E9150B0078</t>
  </si>
  <si>
    <t>BELLINGER MICHAEL P TRSTEE</t>
  </si>
  <si>
    <t>BELLINGER MARY N TRSTEE</t>
  </si>
  <si>
    <t>119 SYCAMORE COMMONS LANE</t>
  </si>
  <si>
    <t>I4010A0021</t>
  </si>
  <si>
    <t>MUNOZ LUIS</t>
  </si>
  <si>
    <t>ROSAS ALMA L</t>
  </si>
  <si>
    <t>233 NORTH WENTWORTH DRIVE</t>
  </si>
  <si>
    <t>J600000046</t>
  </si>
  <si>
    <t>GALKOWSKI MICHAEL R</t>
  </si>
  <si>
    <t>GALKOWSKI MARILYN CATHERINE</t>
  </si>
  <si>
    <t>244 GARWOOD ROAD</t>
  </si>
  <si>
    <t>I5050A0020</t>
  </si>
  <si>
    <t>IJAMES SHAWN M</t>
  </si>
  <si>
    <t>234 CREEKSIDE DRIVE</t>
  </si>
  <si>
    <t>H5160A0007</t>
  </si>
  <si>
    <t>SCHUTT JOSHUA D</t>
  </si>
  <si>
    <t>SCHUTT KRISTIE JO</t>
  </si>
  <si>
    <t>129 E KNOLL BROOK DRIVE</t>
  </si>
  <si>
    <t>J60000005604</t>
  </si>
  <si>
    <t>HUTCHENS OFELIA ONA</t>
  </si>
  <si>
    <t>H700000082</t>
  </si>
  <si>
    <t>PARNELL JOHN TERRY</t>
  </si>
  <si>
    <t>647 HANNAH FERRY ROAD</t>
  </si>
  <si>
    <t>H70000007101</t>
  </si>
  <si>
    <t>E8070A0029</t>
  </si>
  <si>
    <t>STOUT NATHAN K</t>
  </si>
  <si>
    <t>STOUT JACKIE S</t>
  </si>
  <si>
    <t>1859 UNDERPASS ROAD</t>
  </si>
  <si>
    <t>E900000373</t>
  </si>
  <si>
    <t>HUMBLE PEGGY G TRUSTEE</t>
  </si>
  <si>
    <t>PEGGY G HUMBLE REV TRST AGREEM</t>
  </si>
  <si>
    <t>186 BROADMOOR DRIVE</t>
  </si>
  <si>
    <t>G7040B002601</t>
  </si>
  <si>
    <t>WORKMAN JACKIE DALE</t>
  </si>
  <si>
    <t>PO BOX 154</t>
  </si>
  <si>
    <t>G7040B002602</t>
  </si>
  <si>
    <t>J40000002202</t>
  </si>
  <si>
    <t>PARDUE PHILIP J</t>
  </si>
  <si>
    <t>1424 COUNTY HOME ROAD</t>
  </si>
  <si>
    <t>H40000008702</t>
  </si>
  <si>
    <t>HOPE DEVELOPERS LLC</t>
  </si>
  <si>
    <t>290 KOONTZ ROAD</t>
  </si>
  <si>
    <t>N50000002403</t>
  </si>
  <si>
    <t>MCDANIEL CHARLES MONROE</t>
  </si>
  <si>
    <t>198 BROADWAY ROAD</t>
  </si>
  <si>
    <t>G3060A0022</t>
  </si>
  <si>
    <t>CRAWFORD AVERY D</t>
  </si>
  <si>
    <t>CRAWFORD SHELBIA T</t>
  </si>
  <si>
    <t>123 PARKWAY COURT</t>
  </si>
  <si>
    <t>E700000153</t>
  </si>
  <si>
    <t>DILLON JOHN E REV LIV TRUST</t>
  </si>
  <si>
    <t>DILLON JILL P REV LIV TRUST</t>
  </si>
  <si>
    <t>292 GUN CLUB ROAD</t>
  </si>
  <si>
    <t>E7060A0018</t>
  </si>
  <si>
    <t>B3020A0010</t>
  </si>
  <si>
    <t>MYERS CHRISTOPHER D</t>
  </si>
  <si>
    <t>ROGERS AMBER I</t>
  </si>
  <si>
    <t>145 OLD OAK LANE</t>
  </si>
  <si>
    <t>E70000010103</t>
  </si>
  <si>
    <t>TRADER THOMAS DOUG</t>
  </si>
  <si>
    <t>TRADER MELISSA A</t>
  </si>
  <si>
    <t>204 OLD MARCH ROAD</t>
  </si>
  <si>
    <t>E900000256</t>
  </si>
  <si>
    <t>STEUART MICHAEL J</t>
  </si>
  <si>
    <t>STEUART KRISTEN K</t>
  </si>
  <si>
    <t>131 ISLEWORTH COURT</t>
  </si>
  <si>
    <t>E800000098</t>
  </si>
  <si>
    <t>HILL GRAY K</t>
  </si>
  <si>
    <t>HILL ADRIENNE R</t>
  </si>
  <si>
    <t>271 HIDDEN CREEK DRIVE</t>
  </si>
  <si>
    <t>D8060B0006</t>
  </si>
  <si>
    <t>NEWSOME ASHLEY</t>
  </si>
  <si>
    <t>NEWSOME LESLIE</t>
  </si>
  <si>
    <t>127 BENT STREET</t>
  </si>
  <si>
    <t>E900000709</t>
  </si>
  <si>
    <t>RICHARDSON DAVID RAY JR</t>
  </si>
  <si>
    <t>RICHARDSON TRACI GAIL</t>
  </si>
  <si>
    <t>132 CAUDLE MEADOWS DRIVE</t>
  </si>
  <si>
    <t>J7010A0010</t>
  </si>
  <si>
    <t>BELTON CAROLYN W</t>
  </si>
  <si>
    <t>PO BOX 227</t>
  </si>
  <si>
    <t>D9010C0010</t>
  </si>
  <si>
    <t>FRAIL JOSEPH DONALD</t>
  </si>
  <si>
    <t>FRAIL MIRIAM E</t>
  </si>
  <si>
    <t>131 ST GEORGE PLACE</t>
  </si>
  <si>
    <t>I600000069</t>
  </si>
  <si>
    <t>POTTS HOMER E &amp; AUDREY H</t>
  </si>
  <si>
    <t>POTTS EVA P</t>
  </si>
  <si>
    <t>C20000003401</t>
  </si>
  <si>
    <t>CARTER ELIZABETH JOSEPHINE</t>
  </si>
  <si>
    <t>2621 LOCKWOOD DRIVE</t>
  </si>
  <si>
    <t>C200000034</t>
  </si>
  <si>
    <t>H5190A0003</t>
  </si>
  <si>
    <t>F50000003207</t>
  </si>
  <si>
    <t>STROUD FLORENCE C</t>
  </si>
  <si>
    <t>J7080A0006</t>
  </si>
  <si>
    <t>DAVIS REBECCA B</t>
  </si>
  <si>
    <t>139 AUBREY MERRELL ROAD</t>
  </si>
  <si>
    <t>B7010B0001</t>
  </si>
  <si>
    <t>FORREST ANTHONY L</t>
  </si>
  <si>
    <t>FORREST ELIZABETH C</t>
  </si>
  <si>
    <t>278 JESSE KING ROAD</t>
  </si>
  <si>
    <t>H60000007106</t>
  </si>
  <si>
    <t>IDOL STEVEN B</t>
  </si>
  <si>
    <t>IDOL SHARON C</t>
  </si>
  <si>
    <t>154 HEARTHSIDE LANE</t>
  </si>
  <si>
    <t>I1120B0006</t>
  </si>
  <si>
    <t>LATIMER DANIEL T</t>
  </si>
  <si>
    <t>LATIMER NANCY L</t>
  </si>
  <si>
    <t>118 AUTUMN COURT</t>
  </si>
  <si>
    <t>G3060B0019</t>
  </si>
  <si>
    <t>SHEPHERD SANDRA S</t>
  </si>
  <si>
    <t>F8020B0038</t>
  </si>
  <si>
    <t>JOHNSON JIMMY TROY</t>
  </si>
  <si>
    <t>BOST DANA PAIGE</t>
  </si>
  <si>
    <t>133 NORTH HIGH FIELD ROAD</t>
  </si>
  <si>
    <t>I70000004308</t>
  </si>
  <si>
    <t>HUTCHENS MATTHEW TODD</t>
  </si>
  <si>
    <t>HUTCHENS VICTORIA G</t>
  </si>
  <si>
    <t>198 SANDY LANE</t>
  </si>
  <si>
    <t>J6100A0033</t>
  </si>
  <si>
    <t>HOLSTON DONALD W</t>
  </si>
  <si>
    <t>HOLSTON GAIL C</t>
  </si>
  <si>
    <t>176 LAKE LOUISE DRIVE</t>
  </si>
  <si>
    <t>I5090C0017</t>
  </si>
  <si>
    <t>SMITH JOHN E</t>
  </si>
  <si>
    <t>SMITH KAREN E</t>
  </si>
  <si>
    <t>246 SPRING STREET</t>
  </si>
  <si>
    <t>I5060B0007</t>
  </si>
  <si>
    <t>NAVARRO AZUCENA</t>
  </si>
  <si>
    <t>237 MORSE STREET</t>
  </si>
  <si>
    <t>C8010A0275</t>
  </si>
  <si>
    <t>NORONA JORGE A</t>
  </si>
  <si>
    <t>NORONA IRMA E YANEZ</t>
  </si>
  <si>
    <t>133 ROSEWALK LANE</t>
  </si>
  <si>
    <t>E8070A0015</t>
  </si>
  <si>
    <t>MANDARANO MATTHEW H</t>
  </si>
  <si>
    <t>142 WHITEHEAD DRIVE</t>
  </si>
  <si>
    <t>E7140A0035</t>
  </si>
  <si>
    <t>GREENE BRANDON</t>
  </si>
  <si>
    <t>GREENE LEAH W</t>
  </si>
  <si>
    <t>117 REDMEADOW DRIVE</t>
  </si>
  <si>
    <t>E70000015701</t>
  </si>
  <si>
    <t>G9090B0067</t>
  </si>
  <si>
    <t>E70000010101</t>
  </si>
  <si>
    <t>E70000010105</t>
  </si>
  <si>
    <t>G8060A0019</t>
  </si>
  <si>
    <t>JONES CLYDE L &amp; MARY NELL S</t>
  </si>
  <si>
    <t>OSBORNE ANNE ELIZABETH JONES</t>
  </si>
  <si>
    <t>889 Underpass Road</t>
  </si>
  <si>
    <t>H30000009605</t>
  </si>
  <si>
    <t>C50000005715</t>
  </si>
  <si>
    <t>GODFREY FRANKLIN C</t>
  </si>
  <si>
    <t>GODFREY DEBORAH M</t>
  </si>
  <si>
    <t>2245 FARMINGTON ROAD</t>
  </si>
  <si>
    <t>27028-7656</t>
  </si>
  <si>
    <t>E8140A0016</t>
  </si>
  <si>
    <t>BROWN CYNTHIA MARIE</t>
  </si>
  <si>
    <t>BROWN RICHARD LEE</t>
  </si>
  <si>
    <t>171 COUNTRY CIRCLE</t>
  </si>
  <si>
    <t>C8030A000402</t>
  </si>
  <si>
    <t>JORDAN LAURA R</t>
  </si>
  <si>
    <t>156 PINEWOOD LANE</t>
  </si>
  <si>
    <t>H2050B0007</t>
  </si>
  <si>
    <t>DOBSON JAMES FRANK</t>
  </si>
  <si>
    <t>1617 BRANNOCK DR</t>
  </si>
  <si>
    <t>K500000092</t>
  </si>
  <si>
    <t>ROBERTSON BROOKS M</t>
  </si>
  <si>
    <t>CREGAR RONALD J</t>
  </si>
  <si>
    <t>328 DEADMON ROAD</t>
  </si>
  <si>
    <t>L60000000502</t>
  </si>
  <si>
    <t>MCCOMBS WHITTNEY YVETTE</t>
  </si>
  <si>
    <t>MCCOMBS NANCY WILKES</t>
  </si>
  <si>
    <t>827 FAIRFIELD RD</t>
  </si>
  <si>
    <t>E600000072</t>
  </si>
  <si>
    <t>225 MOCKS CHURCH RD</t>
  </si>
  <si>
    <t>K600000011</t>
  </si>
  <si>
    <t>ENGELMANN LARRY R</t>
  </si>
  <si>
    <t>ENGELMANN CHERYL A</t>
  </si>
  <si>
    <t>PO BOX 22605</t>
  </si>
  <si>
    <t>OKLAHOMA CITY</t>
  </si>
  <si>
    <t>73123-1605</t>
  </si>
  <si>
    <t>C8010A0364</t>
  </si>
  <si>
    <t>SCHUTZ KIMBERLY M</t>
  </si>
  <si>
    <t>6255 TOWNCENTER DRIVE</t>
  </si>
  <si>
    <t>SUITE 633</t>
  </si>
  <si>
    <t>H4130A0118</t>
  </si>
  <si>
    <t>CAIN ERNEST  L</t>
  </si>
  <si>
    <t>137 GUMTREE COURT</t>
  </si>
  <si>
    <t>J700000108</t>
  </si>
  <si>
    <t>LINDSAY HARVEY BOYD</t>
  </si>
  <si>
    <t>249 CEDAR GROVE CHURCH RD</t>
  </si>
  <si>
    <t>J700000107</t>
  </si>
  <si>
    <t>B40000003301</t>
  </si>
  <si>
    <t>MCCLANNON DAVID H</t>
  </si>
  <si>
    <t>MCCLANNON ANGELA M</t>
  </si>
  <si>
    <t>457 N PINO RD</t>
  </si>
  <si>
    <t>27028-5724</t>
  </si>
  <si>
    <t>D700000010</t>
  </si>
  <si>
    <t>KEETON TREVA KAY</t>
  </si>
  <si>
    <t>138 POPLAR HILL LN</t>
  </si>
  <si>
    <t>H60000007105</t>
  </si>
  <si>
    <t>H500000008</t>
  </si>
  <si>
    <t>EASTERN STRUCTURES LLC</t>
  </si>
  <si>
    <t>1629 US HWY 158</t>
  </si>
  <si>
    <t>H40000002001</t>
  </si>
  <si>
    <t>EDMISTEN AMELIA MARKLIN</t>
  </si>
  <si>
    <t>E60000000407</t>
  </si>
  <si>
    <t>BURAZER GREGORY W</t>
  </si>
  <si>
    <t>BURAZER JULIA L</t>
  </si>
  <si>
    <t>142 AVIATION LANE</t>
  </si>
  <si>
    <t>E900000127</t>
  </si>
  <si>
    <t>HOWARD MELISSA S</t>
  </si>
  <si>
    <t>257 KINGSMILL DRIVE</t>
  </si>
  <si>
    <t>F8030A0016</t>
  </si>
  <si>
    <t>STAPLETON WILLIAM SCOTT</t>
  </si>
  <si>
    <t>STAPLETON SCARLETT</t>
  </si>
  <si>
    <t>223 ESSEX FARM ROAD</t>
  </si>
  <si>
    <t>D7010A0016</t>
  </si>
  <si>
    <t>SHELTON CYNTHIA A</t>
  </si>
  <si>
    <t>212 LITTLE JOHN DRIVE</t>
  </si>
  <si>
    <t>D8110A0002</t>
  </si>
  <si>
    <t>SHARPE DAVID GREGORY</t>
  </si>
  <si>
    <t>SHARPE JAYNE G</t>
  </si>
  <si>
    <t>425 RIVERBEND DR</t>
  </si>
  <si>
    <t>J5010C0012</t>
  </si>
  <si>
    <t>BURKE DAISY BELLE ESTATE</t>
  </si>
  <si>
    <t>3412 EAGLES ROOST RD</t>
  </si>
  <si>
    <t>RICHMOND</t>
  </si>
  <si>
    <t>23223-1283</t>
  </si>
  <si>
    <t>K80000000101</t>
  </si>
  <si>
    <t>POTTS JUDY</t>
  </si>
  <si>
    <t>103 SHADOW LANE</t>
  </si>
  <si>
    <t>D20000000802</t>
  </si>
  <si>
    <t>HOOVER RENEE BRACKEN</t>
  </si>
  <si>
    <t>HOOVER JAMES P JR</t>
  </si>
  <si>
    <t>401 CAMELOT DRIVE</t>
  </si>
  <si>
    <t>28625-4548</t>
  </si>
  <si>
    <t>D200000008</t>
  </si>
  <si>
    <t>H300000063</t>
  </si>
  <si>
    <t>H300000095</t>
  </si>
  <si>
    <t>H30000009601</t>
  </si>
  <si>
    <t>H30000009606</t>
  </si>
  <si>
    <t>H300000101</t>
  </si>
  <si>
    <t>H30000009610</t>
  </si>
  <si>
    <t>G3050B0012</t>
  </si>
  <si>
    <t>SHERRILL CHRISTOPHER</t>
  </si>
  <si>
    <t>SHERRILL LEIGH</t>
  </si>
  <si>
    <t>171 CANA ROAD</t>
  </si>
  <si>
    <t>D30000003001</t>
  </si>
  <si>
    <t>BAUGHMAN STEVEN  JR</t>
  </si>
  <si>
    <t>BAUGHMAN CHASITY</t>
  </si>
  <si>
    <t>239 ELMORE ROAD</t>
  </si>
  <si>
    <t>D9090E0004</t>
  </si>
  <si>
    <t>ELLIS GEORGE J JR LIVING TRUST</t>
  </si>
  <si>
    <t>ELLIS HELEN J LIVING TRUST</t>
  </si>
  <si>
    <t>381 HOLLYBROOK DRIVE</t>
  </si>
  <si>
    <t>27006-8405</t>
  </si>
  <si>
    <t>E900000497</t>
  </si>
  <si>
    <t>BROWN DAVIN M</t>
  </si>
  <si>
    <t>288 NORTH HIDDENBROOKE DRIVE</t>
  </si>
  <si>
    <t>E90000049801</t>
  </si>
  <si>
    <t>H5170A0025</t>
  </si>
  <si>
    <t>MILLWOOD KEN W</t>
  </si>
  <si>
    <t>3909B COUNTRY CLUB RD</t>
  </si>
  <si>
    <t>27104-2914</t>
  </si>
  <si>
    <t>B500000111</t>
  </si>
  <si>
    <t>JOHNSON JOE EDWARD JR</t>
  </si>
  <si>
    <t>JOHNSON VLASTIMIRA P</t>
  </si>
  <si>
    <t>2425 FARMINGTON ROAD</t>
  </si>
  <si>
    <t>I5010C0002</t>
  </si>
  <si>
    <t>C8010A0059</t>
  </si>
  <si>
    <t>YARBROUGH DARLENE</t>
  </si>
  <si>
    <t>158 BRIDGEWATER DRIVE</t>
  </si>
  <si>
    <t>I6140A0020</t>
  </si>
  <si>
    <t>BRIDGEWATER LARRY A</t>
  </si>
  <si>
    <t>BRIDGEWATER SHERRY J</t>
  </si>
  <si>
    <t>414 LAKEVIEW ROAD</t>
  </si>
  <si>
    <t>I6140A0021</t>
  </si>
  <si>
    <t>C8010A0101</t>
  </si>
  <si>
    <t>HINSHAW DIANNE G</t>
  </si>
  <si>
    <t>107 BROOKSTONE DRIVE</t>
  </si>
  <si>
    <t>E60000005002</t>
  </si>
  <si>
    <t>CARTER RICHARD V JR</t>
  </si>
  <si>
    <t>CARTER MAGAN H</t>
  </si>
  <si>
    <t>323 RAINBOW ROAD</t>
  </si>
  <si>
    <t>I40000007710</t>
  </si>
  <si>
    <t>CISA COMMERCIAL PROP NC LLC</t>
  </si>
  <si>
    <t>CISA LUBES USA INC</t>
  </si>
  <si>
    <t>1300 BAXTER ST #410</t>
  </si>
  <si>
    <t>D8070D0002</t>
  </si>
  <si>
    <t>DEZELLAR DAVID K</t>
  </si>
  <si>
    <t>DEZELLAR MARY H</t>
  </si>
  <si>
    <t>115 FAIRWAY DRIVE</t>
  </si>
  <si>
    <t>D9010D0012</t>
  </si>
  <si>
    <t>BRANEN THOMAS LEO</t>
  </si>
  <si>
    <t>BRANEN ELIZABETH ERMA</t>
  </si>
  <si>
    <t>154 HAMILTON COURT</t>
  </si>
  <si>
    <t>D7020B0003</t>
  </si>
  <si>
    <t>DARR JOHN STEWART</t>
  </si>
  <si>
    <t>DARR CAITLIN ELIZABETH HURDLE</t>
  </si>
  <si>
    <t>248 BRENTWOOD DRIVE</t>
  </si>
  <si>
    <t>I5050C0032</t>
  </si>
  <si>
    <t>DAVIS HOWARD KEVIN</t>
  </si>
  <si>
    <t>DAVIS DAWN MICHELLE</t>
  </si>
  <si>
    <t>123 LEILA COURT</t>
  </si>
  <si>
    <t>B400000036</t>
  </si>
  <si>
    <t>WEST LONNIE G JR</t>
  </si>
  <si>
    <t>WEST LISA D</t>
  </si>
  <si>
    <t>286 KAYLA TRAIL</t>
  </si>
  <si>
    <t>C40000004901</t>
  </si>
  <si>
    <t>C400000046</t>
  </si>
  <si>
    <t>C400000041</t>
  </si>
  <si>
    <t>E8110B0013</t>
  </si>
  <si>
    <t>LARUE STERLING RICHARD</t>
  </si>
  <si>
    <t>334 RIVER ROAD</t>
  </si>
  <si>
    <t>M600000020</t>
  </si>
  <si>
    <t>MILLS JOY GORE</t>
  </si>
  <si>
    <t>205 BECKTOWN ROAD</t>
  </si>
  <si>
    <t>J4050D0005</t>
  </si>
  <si>
    <t>VARGAS JOSE LUIS</t>
  </si>
  <si>
    <t>745 S MAIN ST</t>
  </si>
  <si>
    <t>J7080B0046</t>
  </si>
  <si>
    <t>VINCENT JENNIFER LYNN</t>
  </si>
  <si>
    <t>176 OAKSHIRE COURT</t>
  </si>
  <si>
    <t>H9070A0005</t>
  </si>
  <si>
    <t>ELLER STEVEN G</t>
  </si>
  <si>
    <t>ELLER MAJELL</t>
  </si>
  <si>
    <t>161 DUBLIN RD</t>
  </si>
  <si>
    <t>D8150A0003</t>
  </si>
  <si>
    <t>TATRO RONALD</t>
  </si>
  <si>
    <t>TATRO MARY JANE</t>
  </si>
  <si>
    <t>215 JUNIPER CIRCLE</t>
  </si>
  <si>
    <t>J500000038</t>
  </si>
  <si>
    <t>SHOAF FARREN K</t>
  </si>
  <si>
    <t>431 EATON ROAD</t>
  </si>
  <si>
    <t>27028-8653</t>
  </si>
  <si>
    <t>E500000023</t>
  </si>
  <si>
    <t>MG GALLINS FAMILY LLC</t>
  </si>
  <si>
    <t>4625 COUNTRY CLUB ROAD</t>
  </si>
  <si>
    <t>D700000165</t>
  </si>
  <si>
    <t>NEWMAN JEFFREY A</t>
  </si>
  <si>
    <t>4755 US HIGHWAY 158</t>
  </si>
  <si>
    <t>E40000004001</t>
  </si>
  <si>
    <t>LEAGANS C ELLIS &amp; EDWARD H</t>
  </si>
  <si>
    <t>LEAGANS GEORGE H</t>
  </si>
  <si>
    <t>979 PUDDING RIDGE ROAD</t>
  </si>
  <si>
    <t>27028-6252</t>
  </si>
  <si>
    <t>H8060A0027</t>
  </si>
  <si>
    <t>JONES STEVEN PERRY</t>
  </si>
  <si>
    <t>132 S HEMMINGWAY COURT</t>
  </si>
  <si>
    <t>B50000008302</t>
  </si>
  <si>
    <t>D30000006504</t>
  </si>
  <si>
    <t>FEREBEE WALTER WAYNE</t>
  </si>
  <si>
    <t>FEREBEE BONNIE DRIVER</t>
  </si>
  <si>
    <t>3810  US HWY 601 N</t>
  </si>
  <si>
    <t>N5010A0017</t>
  </si>
  <si>
    <t>CROSS BARBARA GEAN</t>
  </si>
  <si>
    <t>PO BOX 1162</t>
  </si>
  <si>
    <t>N5010A0018</t>
  </si>
  <si>
    <t>M5100C0028</t>
  </si>
  <si>
    <t>MOORE TONIE B</t>
  </si>
  <si>
    <t>PO BOX 958</t>
  </si>
  <si>
    <t>F60000010203</t>
  </si>
  <si>
    <t>ROBERTSON DANNY L</t>
  </si>
  <si>
    <t>1622 WARF ROAD</t>
  </si>
  <si>
    <t>I4010A0085</t>
  </si>
  <si>
    <t>DODSON RON</t>
  </si>
  <si>
    <t>DODSON FRANCES</t>
  </si>
  <si>
    <t>100 NORTH WENTWORTH DRIVE</t>
  </si>
  <si>
    <t>C70000010101</t>
  </si>
  <si>
    <t>D700000125</t>
  </si>
  <si>
    <t>ARMSWORTHY MARK EDWARD</t>
  </si>
  <si>
    <t>ARMSWORTHY LISA MAREADY</t>
  </si>
  <si>
    <t>D7020A0010</t>
  </si>
  <si>
    <t>OAKES BRYAN S</t>
  </si>
  <si>
    <t>OAKES TIFFANY H</t>
  </si>
  <si>
    <t>173 BRENTWOOD DRIVE</t>
  </si>
  <si>
    <t>E700000160</t>
  </si>
  <si>
    <t>DEAL GENE M</t>
  </si>
  <si>
    <t>DEAL DIANE H</t>
  </si>
  <si>
    <t>5340 OLD PLANTATION CIRCLE</t>
  </si>
  <si>
    <t>E8140A0004</t>
  </si>
  <si>
    <t>DIRKS CORBIN W</t>
  </si>
  <si>
    <t>DIRKS DENA G</t>
  </si>
  <si>
    <t>166 SPRINGFIELD DRIVE</t>
  </si>
  <si>
    <t>C20000000101</t>
  </si>
  <si>
    <t>BOGER AMY DWIGGINS</t>
  </si>
  <si>
    <t>950 BEN ANDERSON ROAD</t>
  </si>
  <si>
    <t>F80000011103</t>
  </si>
  <si>
    <t>BEVERLY MARK A JR</t>
  </si>
  <si>
    <t>BEVERLY LUCY A</t>
  </si>
  <si>
    <t>E9150B0020</t>
  </si>
  <si>
    <t>HUGHES KIM V</t>
  </si>
  <si>
    <t>159 CEDAR LANE</t>
  </si>
  <si>
    <t>G9090D0002</t>
  </si>
  <si>
    <t>SCIAME ANTHONY M</t>
  </si>
  <si>
    <t>MCGIVERN LAURA A</t>
  </si>
  <si>
    <t>133 PRIMROSE ROAD</t>
  </si>
  <si>
    <t>G3060A0005</t>
  </si>
  <si>
    <t>BRANHAM DEREK M</t>
  </si>
  <si>
    <t>BRANHAM ANDREA</t>
  </si>
  <si>
    <t>260 IJAMES CHURCH ROAD</t>
  </si>
  <si>
    <t>E8060A001001</t>
  </si>
  <si>
    <t>JOHNSON GLENN</t>
  </si>
  <si>
    <t>JOHNSON JAN</t>
  </si>
  <si>
    <t>263 RIVER ROAD</t>
  </si>
  <si>
    <t>C700000017</t>
  </si>
  <si>
    <t>CASS DEBORAH YORK</t>
  </si>
  <si>
    <t>I4070A0001</t>
  </si>
  <si>
    <t>SWICEGOOD WALL &amp; ASSOCIATES</t>
  </si>
  <si>
    <t>854 VALLEY ROAD STE 100</t>
  </si>
  <si>
    <t>E50000002301</t>
  </si>
  <si>
    <t>E50000002406</t>
  </si>
  <si>
    <t>C8030A000202</t>
  </si>
  <si>
    <t>TUCK T CHRISTOPER</t>
  </si>
  <si>
    <t>TUCK KENDRA S</t>
  </si>
  <si>
    <t>720 DARRELL CREEK TRAIL</t>
  </si>
  <si>
    <t>29466-0000</t>
  </si>
  <si>
    <t>F10000001402</t>
  </si>
  <si>
    <t>SWISHER MARY ANN DYSON</t>
  </si>
  <si>
    <t>F100000026</t>
  </si>
  <si>
    <t>H5180A0001</t>
  </si>
  <si>
    <t>BAILEY TODD R</t>
  </si>
  <si>
    <t>BAILEY TAMMY H</t>
  </si>
  <si>
    <t>110 MAPLE KNOLL DRIVE</t>
  </si>
  <si>
    <t>J5170A0024</t>
  </si>
  <si>
    <t>DAVIS DYLAN</t>
  </si>
  <si>
    <t>DAVIS KRISTEN</t>
  </si>
  <si>
    <t>159 MARBROOK DR</t>
  </si>
  <si>
    <t>I8110A0003</t>
  </si>
  <si>
    <t>HODGES CURTIS DEAN</t>
  </si>
  <si>
    <t>HODGES SCARLET BECK</t>
  </si>
  <si>
    <t>111 SHANNON DRIVE</t>
  </si>
  <si>
    <t>E60000000601</t>
  </si>
  <si>
    <t>TEAM WALLACE LLC</t>
  </si>
  <si>
    <t>9401 HARRIS ROAD</t>
  </si>
  <si>
    <t>CONCORD</t>
  </si>
  <si>
    <t>E60000001001</t>
  </si>
  <si>
    <t>H8050A0020</t>
  </si>
  <si>
    <t>HUNTER DAVID A</t>
  </si>
  <si>
    <t>107 SHADY GROVE LANE</t>
  </si>
  <si>
    <t>H4130A0044</t>
  </si>
  <si>
    <t>WESTBROOK BRETT</t>
  </si>
  <si>
    <t>148 ASH DRIVE</t>
  </si>
  <si>
    <t>C400000007</t>
  </si>
  <si>
    <t>MCCASHIN BETH R</t>
  </si>
  <si>
    <t>H9070A0001</t>
  </si>
  <si>
    <t>DELONG THOMAS A</t>
  </si>
  <si>
    <t>DELONG MARIANNE</t>
  </si>
  <si>
    <t>109 DUBLIN ROAD</t>
  </si>
  <si>
    <t>L5090B0013</t>
  </si>
  <si>
    <t>YOUNG ANDREW L</t>
  </si>
  <si>
    <t>349 GLADSTONE ROAD</t>
  </si>
  <si>
    <t>E9150B0075</t>
  </si>
  <si>
    <t>MONTGOMERY JOHN III TRUSTEE</t>
  </si>
  <si>
    <t>REID JOAN E TRUSTEE</t>
  </si>
  <si>
    <t>104 SYCAMORE PARK LANE</t>
  </si>
  <si>
    <t>L50000007301</t>
  </si>
  <si>
    <t>SNIDER PAUL RICKY JR</t>
  </si>
  <si>
    <t>SNIDER DIANNE P</t>
  </si>
  <si>
    <t>163 OAKDALE CIRCLE</t>
  </si>
  <si>
    <t>M400000027</t>
  </si>
  <si>
    <t>MCCRARY RICHARD DALE</t>
  </si>
  <si>
    <t>1738 JUNCTION ROAD</t>
  </si>
  <si>
    <t>D8020A0032</t>
  </si>
  <si>
    <t>MARZIANO JONGKOLNEE</t>
  </si>
  <si>
    <t>1135 RIVERBEND DRIVE</t>
  </si>
  <si>
    <t>C8010A0420</t>
  </si>
  <si>
    <t>COOK JO ANN</t>
  </si>
  <si>
    <t>182 PARKVIEW LANE</t>
  </si>
  <si>
    <t>I4120D0023</t>
  </si>
  <si>
    <t>FIRST BAPTIST CHURCH OF MOCKSVILLE</t>
  </si>
  <si>
    <t>L600000012</t>
  </si>
  <si>
    <t>MATHERLY MELISSA C</t>
  </si>
  <si>
    <t>P O BOX 687</t>
  </si>
  <si>
    <t>I70000004315</t>
  </si>
  <si>
    <t>RCC ASSETS LLC</t>
  </si>
  <si>
    <t>765 FORK BIXBY ROAD</t>
  </si>
  <si>
    <t>I70000009703</t>
  </si>
  <si>
    <t>I30000007301</t>
  </si>
  <si>
    <t>BURTON RANDY GENE JR</t>
  </si>
  <si>
    <t>BURTON LISA WAGNER</t>
  </si>
  <si>
    <t>1334 US HWY 64 WEST</t>
  </si>
  <si>
    <t>J6050B0008</t>
  </si>
  <si>
    <t>KENT JEREMY W</t>
  </si>
  <si>
    <t>KENT CHRISTINA M</t>
  </si>
  <si>
    <t>191 PINE VALLEY ROAD</t>
  </si>
  <si>
    <t>I4140B0013</t>
  </si>
  <si>
    <t>BERNAL MORENA G</t>
  </si>
  <si>
    <t>337 TOT STREET</t>
  </si>
  <si>
    <t>I4010A0029</t>
  </si>
  <si>
    <t>XIAO JUN KUN</t>
  </si>
  <si>
    <t>ZHU JIN XIU</t>
  </si>
  <si>
    <t>206 N WENTWORTH DRIVE</t>
  </si>
  <si>
    <t>B30000005210</t>
  </si>
  <si>
    <t>BYERS ROBIN M</t>
  </si>
  <si>
    <t>606 FOUR CORNERS ROAD</t>
  </si>
  <si>
    <t>H5170A0028</t>
  </si>
  <si>
    <t>HOBBS JAMES F JR</t>
  </si>
  <si>
    <t>HOBBS WENDY L</t>
  </si>
  <si>
    <t>284 CANYON ROAD</t>
  </si>
  <si>
    <t>D7030A0006</t>
  </si>
  <si>
    <t>WILLIAMS BYRON</t>
  </si>
  <si>
    <t>WILLIAMS MARIE</t>
  </si>
  <si>
    <t>122 LESLIE COURT</t>
  </si>
  <si>
    <t>J7120A0016</t>
  </si>
  <si>
    <t>LANE BEVERLY LYNNE</t>
  </si>
  <si>
    <t>LANE BRADLEY MARTIN</t>
  </si>
  <si>
    <t>120 FORK BIXBY ROAD</t>
  </si>
  <si>
    <t>G3050A0003</t>
  </si>
  <si>
    <t>WILCOX ROBERT CHARLES</t>
  </si>
  <si>
    <t>WILCOX SHELIA RAE</t>
  </si>
  <si>
    <t>137 PARKWAY COURT</t>
  </si>
  <si>
    <t>G3060A0024</t>
  </si>
  <si>
    <t>F80000011109</t>
  </si>
  <si>
    <t>J5010D0031</t>
  </si>
  <si>
    <t>DANIEL AMIE</t>
  </si>
  <si>
    <t>136 CLOISTER DRIVE</t>
  </si>
  <si>
    <t>C8010A0207</t>
  </si>
  <si>
    <t>PEREZ FRANCISCO</t>
  </si>
  <si>
    <t>PEREZ OLGA</t>
  </si>
  <si>
    <t>138 NORTH FORKE DRIVE</t>
  </si>
  <si>
    <t>F10000001202</t>
  </si>
  <si>
    <t>G200000012</t>
  </si>
  <si>
    <t>F100000013</t>
  </si>
  <si>
    <t>J60000000207</t>
  </si>
  <si>
    <t>F90000000203</t>
  </si>
  <si>
    <t>DRAUGHN RHONDA CRANFILL</t>
  </si>
  <si>
    <t>DRAUGHN PAUL RANDOLPH JR</t>
  </si>
  <si>
    <t>869 UNDERPASS ROAD</t>
  </si>
  <si>
    <t>H4140B0010</t>
  </si>
  <si>
    <t>YATES LORRAINE K</t>
  </si>
  <si>
    <t>408 COUNTRY LANE</t>
  </si>
  <si>
    <t>D70000002001</t>
  </si>
  <si>
    <t>BOWLES JENNIFER LYNN</t>
  </si>
  <si>
    <t>L500000097</t>
  </si>
  <si>
    <t>MILLER BRIAN K</t>
  </si>
  <si>
    <t>215 BUCK SEAFORD RD</t>
  </si>
  <si>
    <t>E60000000408</t>
  </si>
  <si>
    <t>DANZIGER DR SANFORD E</t>
  </si>
  <si>
    <t>DANZIGER BEVERLY J</t>
  </si>
  <si>
    <t>146 AVIATION WAY</t>
  </si>
  <si>
    <t>H50000005312</t>
  </si>
  <si>
    <t>ALLEN WILLIAM NATHAN</t>
  </si>
  <si>
    <t>ALLEN ALISA S</t>
  </si>
  <si>
    <t>530 SAIN ROAD</t>
  </si>
  <si>
    <t>H50000005313</t>
  </si>
  <si>
    <t>M5060B0010</t>
  </si>
  <si>
    <t>M5060B0016</t>
  </si>
  <si>
    <t>C30000010703</t>
  </si>
  <si>
    <t>MCBRIDE TABITHA S</t>
  </si>
  <si>
    <t>545 JACK BOOE ROAD</t>
  </si>
  <si>
    <t>D9090B0020</t>
  </si>
  <si>
    <t>GRAYBEAL ELAINE HOWELL</t>
  </si>
  <si>
    <t>181 OLEANDER DRIVE</t>
  </si>
  <si>
    <t>H200000052</t>
  </si>
  <si>
    <t>SINGLETON NATHAN R</t>
  </si>
  <si>
    <t>SINGLETON LYNN</t>
  </si>
  <si>
    <t>2660 HIGHWAY 64 WEST</t>
  </si>
  <si>
    <t>K8090A0002</t>
  </si>
  <si>
    <t>MUNDEN CHRISTOPHER T</t>
  </si>
  <si>
    <t>121 CARTERS RIDGE ROAD</t>
  </si>
  <si>
    <t>E8160A0033</t>
  </si>
  <si>
    <t>NELSON NORMAN G</t>
  </si>
  <si>
    <t>NELSON GAYNELL S</t>
  </si>
  <si>
    <t>117 MEADOW CREEK COURT</t>
  </si>
  <si>
    <t>H5150A0005</t>
  </si>
  <si>
    <t>DILLON JULIE ELIZABETH</t>
  </si>
  <si>
    <t>117 ROSEWOOD LANE</t>
  </si>
  <si>
    <t>E8140A0027</t>
  </si>
  <si>
    <t>PRICE JOHN N</t>
  </si>
  <si>
    <t>PRICE KIMBERLY D</t>
  </si>
  <si>
    <t>114 COUNTRY CIRCLE</t>
  </si>
  <si>
    <t>G3060B0017</t>
  </si>
  <si>
    <t>MOJICA GABRIELA</t>
  </si>
  <si>
    <t>411 IJAMES CHURCH ROAD</t>
  </si>
  <si>
    <t>E5020A0012</t>
  </si>
  <si>
    <t>SMITH FREDERICK D</t>
  </si>
  <si>
    <t>SMITH JULIE C</t>
  </si>
  <si>
    <t>362 CORNWALLIS DRIVE</t>
  </si>
  <si>
    <t>D300000068</t>
  </si>
  <si>
    <t>HENDRICKS CINDY D</t>
  </si>
  <si>
    <t>397 SPEER ROAD</t>
  </si>
  <si>
    <t>E8160A0014</t>
  </si>
  <si>
    <t>BELL MICHAEL L</t>
  </si>
  <si>
    <t>BELL SUSAN L</t>
  </si>
  <si>
    <t>198 MEADOWS EDGE DRIVE</t>
  </si>
  <si>
    <t>H600000062</t>
  </si>
  <si>
    <t>HEMRICK JEDDIE H</t>
  </si>
  <si>
    <t>2569 MILLING ROAD</t>
  </si>
  <si>
    <t>H60000006201</t>
  </si>
  <si>
    <t>B60000002502</t>
  </si>
  <si>
    <t>B600000019</t>
  </si>
  <si>
    <t>F80000010902</t>
  </si>
  <si>
    <t>HENDRIX KEVIN</t>
  </si>
  <si>
    <t>HENDRIX TIFFANY</t>
  </si>
  <si>
    <t>190 DESTINY TRAIL</t>
  </si>
  <si>
    <t>G7050A0013</t>
  </si>
  <si>
    <t>BEEBE JENNIFER L</t>
  </si>
  <si>
    <t>BEEBE JOHN C</t>
  </si>
  <si>
    <t>146 PRINCETON COURT</t>
  </si>
  <si>
    <t>G40000003202</t>
  </si>
  <si>
    <t>WHALEY RONALD W</t>
  </si>
  <si>
    <t>325 CASSELL STREET</t>
  </si>
  <si>
    <t>J4160A0002</t>
  </si>
  <si>
    <t>VPAT LLC</t>
  </si>
  <si>
    <t>3412 BEAVER DAM DRIVE</t>
  </si>
  <si>
    <t>MONROE</t>
  </si>
  <si>
    <t>28110-0000</t>
  </si>
  <si>
    <t>J4160A0004</t>
  </si>
  <si>
    <t>E900000130</t>
  </si>
  <si>
    <t>GORDON DONALD</t>
  </si>
  <si>
    <t>GORDON ZONA</t>
  </si>
  <si>
    <t>273 KINGSMILL DRIVE</t>
  </si>
  <si>
    <t>J700000042</t>
  </si>
  <si>
    <t>SLAUGHTER EUGENE RANDOLPH</t>
  </si>
  <si>
    <t>2540 E US HWY 64</t>
  </si>
  <si>
    <t>L500000072</t>
  </si>
  <si>
    <t>C300000094</t>
  </si>
  <si>
    <t>DILL BRENDA H</t>
  </si>
  <si>
    <t>2605 BRENDA ROAD</t>
  </si>
  <si>
    <t>I5170B0123</t>
  </si>
  <si>
    <t>JOHNSON MARLA DEE</t>
  </si>
  <si>
    <t>123 BRICK WALK COURT</t>
  </si>
  <si>
    <t>E300000001</t>
  </si>
  <si>
    <t>THOMPSON TIMOTHY DARRELL</t>
  </si>
  <si>
    <t>732 LIBERTY CHURCH ROAD</t>
  </si>
  <si>
    <t>H600000035</t>
  </si>
  <si>
    <t>CAMPBELL LARRY DEAN</t>
  </si>
  <si>
    <t>CAMPBELL OMMIE GAIL</t>
  </si>
  <si>
    <t>159 DE RON KEL LANE</t>
  </si>
  <si>
    <t>27028-7156</t>
  </si>
  <si>
    <t>I70000009401</t>
  </si>
  <si>
    <t>K3050B0006</t>
  </si>
  <si>
    <t>SIERZEGA KEITH</t>
  </si>
  <si>
    <t>SIERZEGA MICHELLE DEENA</t>
  </si>
  <si>
    <t>153 CAROLINA AVENUE</t>
  </si>
  <si>
    <t>I40000004303</t>
  </si>
  <si>
    <t>LAKEY CLINTON C &amp; AUSTIN M</t>
  </si>
  <si>
    <t>166 HORSESHOE TRL</t>
  </si>
  <si>
    <t>D70000006302</t>
  </si>
  <si>
    <t>FOSTER MARY JOYCE</t>
  </si>
  <si>
    <t>159 SOUTHLAND WAY</t>
  </si>
  <si>
    <t>D700000063</t>
  </si>
  <si>
    <t>D70000006303</t>
  </si>
  <si>
    <t>I30000004502</t>
  </si>
  <si>
    <t>MOSER STEVE BRYAN</t>
  </si>
  <si>
    <t>216 MCALLISTER ROAD</t>
  </si>
  <si>
    <t>I3010A000502</t>
  </si>
  <si>
    <t>I3010A0005</t>
  </si>
  <si>
    <t>H60000002003</t>
  </si>
  <si>
    <t>HAGERMAN CHARLES JEFFREY</t>
  </si>
  <si>
    <t>HAGERMAN NAOMI M</t>
  </si>
  <si>
    <t>220 SANCTUARY LANE</t>
  </si>
  <si>
    <t>D9050A0013</t>
  </si>
  <si>
    <t>RUSSELL MARY FREIDA</t>
  </si>
  <si>
    <t>3127 BERMUDA VILLAGE DRIVE</t>
  </si>
  <si>
    <t>L400000012</t>
  </si>
  <si>
    <t>HOWELL KELLY WAYNE</t>
  </si>
  <si>
    <t>776 JUNCTION ROAD</t>
  </si>
  <si>
    <t>B30000005204</t>
  </si>
  <si>
    <t>DESKINS JIMMY L</t>
  </si>
  <si>
    <t>DESKINS PEGGY</t>
  </si>
  <si>
    <t>5226 US HWY 601 N</t>
  </si>
  <si>
    <t>D9090B0002</t>
  </si>
  <si>
    <t>STONE CHARLES A III REV TRST</t>
  </si>
  <si>
    <t>STONE NANCY N REV TRST</t>
  </si>
  <si>
    <t>150 OLEANDER DRIVE</t>
  </si>
  <si>
    <t>E6040A0013</t>
  </si>
  <si>
    <t>MARKLAND LAVADA ANN</t>
  </si>
  <si>
    <t>E6050A0021</t>
  </si>
  <si>
    <t>E6040A0014</t>
  </si>
  <si>
    <t>K5150A0010</t>
  </si>
  <si>
    <t>WELLMAN LACEY NOEL T</t>
  </si>
  <si>
    <t>1785 US HWY 601 S</t>
  </si>
  <si>
    <t>K5150A0007</t>
  </si>
  <si>
    <t>D7020A0018</t>
  </si>
  <si>
    <t>BARNETTE JAMES E</t>
  </si>
  <si>
    <t>BARNETTE DEBORAH M</t>
  </si>
  <si>
    <t>235 BRENTWOOD DRIVE</t>
  </si>
  <si>
    <t>J20000001001</t>
  </si>
  <si>
    <t>CARTNER JAMES MICHAEL</t>
  </si>
  <si>
    <t>CARTNER KATHY</t>
  </si>
  <si>
    <t>280 WANDERING LN</t>
  </si>
  <si>
    <t>I4050A0015</t>
  </si>
  <si>
    <t>I600000003</t>
  </si>
  <si>
    <t>27028-0911</t>
  </si>
  <si>
    <t>I4130H0021</t>
  </si>
  <si>
    <t>I4130B0001</t>
  </si>
  <si>
    <t>L5020A0008</t>
  </si>
  <si>
    <t>KIDD SHEILA P</t>
  </si>
  <si>
    <t>1931 US HIGHWAY 601 S</t>
  </si>
  <si>
    <t>H70000006302</t>
  </si>
  <si>
    <t>LAMASCUS RONALD LEE</t>
  </si>
  <si>
    <t>LAMASCUS JULIE JUSTINE</t>
  </si>
  <si>
    <t>144 JAMES ROAD</t>
  </si>
  <si>
    <t>K40000003001</t>
  </si>
  <si>
    <t>SEAFORD GARY DEAN CO-TRUSTEE</t>
  </si>
  <si>
    <t>I100000043</t>
  </si>
  <si>
    <t>K80000001113</t>
  </si>
  <si>
    <t>LATHAM AMELIA G</t>
  </si>
  <si>
    <t>LATHAM JUSTIN</t>
  </si>
  <si>
    <t>4443 NC HWY 801 S</t>
  </si>
  <si>
    <t>K80000001112</t>
  </si>
  <si>
    <t>K80000001109</t>
  </si>
  <si>
    <t>G300000073</t>
  </si>
  <si>
    <t>GLASSCOCK JAMES LONNIE</t>
  </si>
  <si>
    <t>GLASSCOCK KAREN STORIE</t>
  </si>
  <si>
    <t>930 IJAMES CHURCH ROAD</t>
  </si>
  <si>
    <t>K50000006901</t>
  </si>
  <si>
    <t>KOKOSZKA LORY</t>
  </si>
  <si>
    <t>KOKOSZKA CHESTER</t>
  </si>
  <si>
    <t>482 WILL BOONE ROAD</t>
  </si>
  <si>
    <t>E700000027</t>
  </si>
  <si>
    <t>WARDEN DALLAS G</t>
  </si>
  <si>
    <t>B400000029</t>
  </si>
  <si>
    <t>FOGG BONNIE SHELTON</t>
  </si>
  <si>
    <t>2317 WESTFIELD AVENUE</t>
  </si>
  <si>
    <t>B400000027</t>
  </si>
  <si>
    <t>B400000013</t>
  </si>
  <si>
    <t>B400000032</t>
  </si>
  <si>
    <t>I4130C0011</t>
  </si>
  <si>
    <t>FORBIS PROPERTIES INC</t>
  </si>
  <si>
    <t>1118 NORTH ELM STREET</t>
  </si>
  <si>
    <t>27402-0000</t>
  </si>
  <si>
    <t>I4130C0013</t>
  </si>
  <si>
    <t>I4120D0018</t>
  </si>
  <si>
    <t>I4120D0014</t>
  </si>
  <si>
    <t>I4120D0017</t>
  </si>
  <si>
    <t>D700000121</t>
  </si>
  <si>
    <t>M5100B0007</t>
  </si>
  <si>
    <t>VEACH DARRYL LEE</t>
  </si>
  <si>
    <t>185 SPRINGHILL DRIVE</t>
  </si>
  <si>
    <t>C600000032</t>
  </si>
  <si>
    <t>MORTON PETER</t>
  </si>
  <si>
    <t>167 TRIPLE H TRAIL</t>
  </si>
  <si>
    <t>I4010A0074</t>
  </si>
  <si>
    <t>HEMRICK DOROTHY S</t>
  </si>
  <si>
    <t>% DOROTHY CORRIHER</t>
  </si>
  <si>
    <t>144 N WENTWORTH DRIVE</t>
  </si>
  <si>
    <t>H50000005303</t>
  </si>
  <si>
    <t>H50000005311</t>
  </si>
  <si>
    <t>C30000011007</t>
  </si>
  <si>
    <t>FELTS TIM M</t>
  </si>
  <si>
    <t>240 JACK BOOE ROAD</t>
  </si>
  <si>
    <t>C20000003807</t>
  </si>
  <si>
    <t>BECKERMAN DAVID WAYNE</t>
  </si>
  <si>
    <t>BECKERMAN PAMELA SUE</t>
  </si>
  <si>
    <t>767 JACK BOOE ROAD</t>
  </si>
  <si>
    <t>H10000001201</t>
  </si>
  <si>
    <t>HUNTING CREEK CONSTRUCTION INC</t>
  </si>
  <si>
    <t>356 SHEFFIELD ROAD</t>
  </si>
  <si>
    <t>B7140A0018</t>
  </si>
  <si>
    <t>PATRIDGE ARTHUR G</t>
  </si>
  <si>
    <t>PATRIDGE LAURA T</t>
  </si>
  <si>
    <t>148 VALLEY OAKS DRIVE</t>
  </si>
  <si>
    <t>N5010D0016</t>
  </si>
  <si>
    <t>HEAD JENNIFER</t>
  </si>
  <si>
    <t>SPRY WILLIAM N</t>
  </si>
  <si>
    <t>E7130A0017</t>
  </si>
  <si>
    <t>HUTTON JASON S</t>
  </si>
  <si>
    <t>HUTTON PAMELA L</t>
  </si>
  <si>
    <t>140 SAVANNAH COURT</t>
  </si>
  <si>
    <t>H30000010106</t>
  </si>
  <si>
    <t>I6140A0008</t>
  </si>
  <si>
    <t>JOHNSON ORA FAY</t>
  </si>
  <si>
    <t>251 LAKEVIEW ROAD</t>
  </si>
  <si>
    <t>D500000029</t>
  </si>
  <si>
    <t>EATON DARYL ODELL ETAL</t>
  </si>
  <si>
    <t>EATON KENNETH LEROY</t>
  </si>
  <si>
    <t>491 CEDAR CREEK ROAD</t>
  </si>
  <si>
    <t>E700000093</t>
  </si>
  <si>
    <t>MCCULLOH JERRY DOYLE</t>
  </si>
  <si>
    <t>E700000100</t>
  </si>
  <si>
    <t>E700000088</t>
  </si>
  <si>
    <t>J40000001701</t>
  </si>
  <si>
    <t>JORDAN JOE DOUGLAS</t>
  </si>
  <si>
    <t>JORDAN MONICA S</t>
  </si>
  <si>
    <t>1419 COUNTY HOME ROAD</t>
  </si>
  <si>
    <t>NSF</t>
  </si>
  <si>
    <t>J400000017</t>
  </si>
  <si>
    <t>C800000184</t>
  </si>
  <si>
    <t>KINDERTON VILLAGE LLC</t>
  </si>
  <si>
    <t>P O BOX 1724</t>
  </si>
  <si>
    <t>C300000115</t>
  </si>
  <si>
    <t>ELLIOTT MICHAEL BLAKE</t>
  </si>
  <si>
    <t>152 JACK BOOE ROAD</t>
  </si>
  <si>
    <t>E60000000403B</t>
  </si>
  <si>
    <t>HUMAN SERVICE ALLIANCE CORP.</t>
  </si>
  <si>
    <t>249 GILBERT ROAD</t>
  </si>
  <si>
    <t>E60000000401B</t>
  </si>
  <si>
    <t>E50000003201A</t>
  </si>
  <si>
    <t>MCLAURINE EARL PEGRAM SR</t>
  </si>
  <si>
    <t>MCLAURINE NORMA W</t>
  </si>
  <si>
    <t>6171 QUINN STREET</t>
  </si>
  <si>
    <t>B500000112</t>
  </si>
  <si>
    <t>OTTO PATRICIA C</t>
  </si>
  <si>
    <t>144 ABBEY LN</t>
  </si>
  <si>
    <t>B70000004906</t>
  </si>
  <si>
    <t>MCKAY CHRISTOPHER J</t>
  </si>
  <si>
    <t>MCKAY SHANA JOY</t>
  </si>
  <si>
    <t>180 JESSE KING RD</t>
  </si>
  <si>
    <t>H300000104</t>
  </si>
  <si>
    <t>CINC REALTY LLC</t>
  </si>
  <si>
    <t>A NEW HAMPSHIRE LLC</t>
  </si>
  <si>
    <t>462 INTERSTATE DRIVE</t>
  </si>
  <si>
    <t>I5010B0023</t>
  </si>
  <si>
    <t>HUTCHENS JASON</t>
  </si>
  <si>
    <t>RIVAS-ALVARADO GRISELDA</t>
  </si>
  <si>
    <t>341 CAMPBELL RD</t>
  </si>
  <si>
    <t>G800000004</t>
  </si>
  <si>
    <t>CORNATZER PAUL EMERY</t>
  </si>
  <si>
    <t>CORNATZER KATHY FRYE</t>
  </si>
  <si>
    <t>2661 CORNATZER ROAD</t>
  </si>
  <si>
    <t>G70000013902</t>
  </si>
  <si>
    <t>COBLER LARRY D</t>
  </si>
  <si>
    <t>COBLER VALERIE L</t>
  </si>
  <si>
    <t>255 BRIDLE LANE</t>
  </si>
  <si>
    <t>H5150B0018</t>
  </si>
  <si>
    <t>WILLIS ROBERT J</t>
  </si>
  <si>
    <t>WILLIS BERNADINE L</t>
  </si>
  <si>
    <t>187 DOGWOOD LANE</t>
  </si>
  <si>
    <t>D7060A0001</t>
  </si>
  <si>
    <t>MCNEIL THOMAS LEE</t>
  </si>
  <si>
    <t>MCNEIL DONNA W</t>
  </si>
  <si>
    <t>277 CREEKWOOD DRIVE</t>
  </si>
  <si>
    <t>G90000000401</t>
  </si>
  <si>
    <t>BURTON DOUGLAS BRENT</t>
  </si>
  <si>
    <t>BURTON TERESA A</t>
  </si>
  <si>
    <t>198 BAILEY ROAD</t>
  </si>
  <si>
    <t>K5090A001101</t>
  </si>
  <si>
    <t>SPILLMAN DEBORAH A</t>
  </si>
  <si>
    <t>M4040A0008</t>
  </si>
  <si>
    <t>M4040A0009</t>
  </si>
  <si>
    <t>M4040A0012</t>
  </si>
  <si>
    <t>M500000007</t>
  </si>
  <si>
    <t>N5010C0023</t>
  </si>
  <si>
    <t>M4050B0007</t>
  </si>
  <si>
    <t>M5150A0006</t>
  </si>
  <si>
    <t>H90000004208</t>
  </si>
  <si>
    <t>COKER ELIZABETH</t>
  </si>
  <si>
    <t>236 ODELL MYERS ROAD</t>
  </si>
  <si>
    <t>27006-7435</t>
  </si>
  <si>
    <t>D9010E0029</t>
  </si>
  <si>
    <t>CARSON KIMBERLY R</t>
  </si>
  <si>
    <t>303 BING CROSBY BLVD</t>
  </si>
  <si>
    <t>C7100B0013</t>
  </si>
  <si>
    <t>MULLIS TERRY D</t>
  </si>
  <si>
    <t>MULLIS JUDY A</t>
  </si>
  <si>
    <t>H200000044</t>
  </si>
  <si>
    <t>GIBIETIS NICKOLAS</t>
  </si>
  <si>
    <t>GIBIETIS CASSIE</t>
  </si>
  <si>
    <t>217 VANZANT RD</t>
  </si>
  <si>
    <t>I3010A0004</t>
  </si>
  <si>
    <t>234 HAWKS TRL</t>
  </si>
  <si>
    <t>H70000000902</t>
  </si>
  <si>
    <t>258 RALPH ROAD</t>
  </si>
  <si>
    <t>D20000002007</t>
  </si>
  <si>
    <t>DAVIE GROUP LLC</t>
  </si>
  <si>
    <t>854 VALLEY ROAD STE 300</t>
  </si>
  <si>
    <t>L4130A001601</t>
  </si>
  <si>
    <t>H60000002801</t>
  </si>
  <si>
    <t>ALLEN JEFFREY PAUL</t>
  </si>
  <si>
    <t>ALLEN MICHELLE BERRIER</t>
  </si>
  <si>
    <t>2085 MILLING ROAD</t>
  </si>
  <si>
    <t>27028-7331</t>
  </si>
  <si>
    <t>I5120A0003</t>
  </si>
  <si>
    <t>BROWN GAYLORD R</t>
  </si>
  <si>
    <t>BROWN CAROL M</t>
  </si>
  <si>
    <t>460 MOUNTVIEW DRIVE</t>
  </si>
  <si>
    <t>D8070A0035</t>
  </si>
  <si>
    <t>SHERROD ETHAN C</t>
  </si>
  <si>
    <t>SHERROD BURNELL C</t>
  </si>
  <si>
    <t>125 GOLFVIEW DRIVE</t>
  </si>
  <si>
    <t>C500000043</t>
  </si>
  <si>
    <t>CREASON DONNA WOOD</t>
  </si>
  <si>
    <t>H4140B0009</t>
  </si>
  <si>
    <t>SINE MARY H</t>
  </si>
  <si>
    <t>221 QUAIL RIDGE LANE</t>
  </si>
  <si>
    <t>M5030A0004</t>
  </si>
  <si>
    <t>MARTIN CLAY NEAL AKA</t>
  </si>
  <si>
    <t>MARTIN NEAL</t>
  </si>
  <si>
    <t>2528 US HWY 601 S</t>
  </si>
  <si>
    <t>D9010A0026</t>
  </si>
  <si>
    <t>JOHNSON JOHNNY M</t>
  </si>
  <si>
    <t>168 PEMBROOKE RIDGE CT</t>
  </si>
  <si>
    <t>D500000031  A</t>
  </si>
  <si>
    <t>E300000076</t>
  </si>
  <si>
    <t>BOGER RICKY J</t>
  </si>
  <si>
    <t>BOGER DONNA H</t>
  </si>
  <si>
    <t>2188 ANGELL ROAD</t>
  </si>
  <si>
    <t>27028-4607</t>
  </si>
  <si>
    <t>E60000000402B</t>
  </si>
  <si>
    <t>E60000000203</t>
  </si>
  <si>
    <t>E600000004</t>
  </si>
  <si>
    <t>L60000003101</t>
  </si>
  <si>
    <t>D9010B0009</t>
  </si>
  <si>
    <t>ADVANCE WARWICK LLC</t>
  </si>
  <si>
    <t>3208 Beaufort St</t>
  </si>
  <si>
    <t>27609-0000</t>
  </si>
  <si>
    <t>b.blackwelder</t>
  </si>
  <si>
    <t>D700000106</t>
  </si>
  <si>
    <t>G7040A0063</t>
  </si>
  <si>
    <t>I5050A0013</t>
  </si>
  <si>
    <t>I5050A0023</t>
  </si>
  <si>
    <t>D700000033</t>
  </si>
  <si>
    <t>D700000111</t>
  </si>
  <si>
    <t>E50000003313</t>
  </si>
  <si>
    <t>BAGGETT SUSAN B</t>
  </si>
  <si>
    <t>THORNBURG J TODD &amp; KRISTA</t>
  </si>
  <si>
    <t>118 ROCKWELL LANE</t>
  </si>
  <si>
    <t>27028-7777</t>
  </si>
  <si>
    <t>E5020A0028</t>
  </si>
  <si>
    <t>BRUNSON DENNIS DEAN SR</t>
  </si>
  <si>
    <t>217 CORNWALLIS DRIVE</t>
  </si>
  <si>
    <t>27028-6103</t>
  </si>
  <si>
    <t>L5020A0025</t>
  </si>
  <si>
    <t>KIMMER SHIRLEY ANN</t>
  </si>
  <si>
    <t>180 TWIN CEDARS GOLF ROAD</t>
  </si>
  <si>
    <t>L5020A0026</t>
  </si>
  <si>
    <t>C60000006402</t>
  </si>
  <si>
    <t>BAILEY EDITH NADINE</t>
  </si>
  <si>
    <t>5406 GREENOUGH WAY</t>
  </si>
  <si>
    <t>D40000003001</t>
  </si>
  <si>
    <t>MASON WAYNE M</t>
  </si>
  <si>
    <t>MASON LINDA P</t>
  </si>
  <si>
    <t>1705 CANA ROAD</t>
  </si>
  <si>
    <t>27028-4652</t>
  </si>
  <si>
    <t>H60000007104</t>
  </si>
  <si>
    <t>JONES JOHN MATTHEW</t>
  </si>
  <si>
    <t>JONES NATASHA</t>
  </si>
  <si>
    <t>1175 CORNATZER ROAD</t>
  </si>
  <si>
    <t>K3050A0013</t>
  </si>
  <si>
    <t>BARRON STEPHEN H</t>
  </si>
  <si>
    <t>BARRON SHIRLEY C</t>
  </si>
  <si>
    <t>189 JUNCTION ROAD</t>
  </si>
  <si>
    <t>27028-5314</t>
  </si>
  <si>
    <t>K3050A0010</t>
  </si>
  <si>
    <t>K3050A0017</t>
  </si>
  <si>
    <t>K3050A0009</t>
  </si>
  <si>
    <t>K3050A000701</t>
  </si>
  <si>
    <t>K3050A0011</t>
  </si>
  <si>
    <t>M4040A0006</t>
  </si>
  <si>
    <t>M4040A0007</t>
  </si>
  <si>
    <t>B50000008306</t>
  </si>
  <si>
    <t>ANDERSON ANGELA M</t>
  </si>
  <si>
    <t>ANDERSON MICHAEL D</t>
  </si>
  <si>
    <t>150 NICHOLAS WAY</t>
  </si>
  <si>
    <t>27028-6290</t>
  </si>
  <si>
    <t>K30000000106</t>
  </si>
  <si>
    <t>BAYSINGER THOMAS BRIAN</t>
  </si>
  <si>
    <t>BAYSINGER KAREN A</t>
  </si>
  <si>
    <t>271 MR HENRY ROAD</t>
  </si>
  <si>
    <t>D700000057</t>
  </si>
  <si>
    <t>BOWLES ANNETTE CHRISTINE</t>
  </si>
  <si>
    <t>581 REDLAND ROAD</t>
  </si>
  <si>
    <t>G80000000511</t>
  </si>
  <si>
    <t>ANDERSON STEVEN T</t>
  </si>
  <si>
    <t>ANDERSON NANCY M</t>
  </si>
  <si>
    <t>160 FINN HOLLOW LN</t>
  </si>
  <si>
    <t>H80000002001</t>
  </si>
  <si>
    <t>CARTER KEITH</t>
  </si>
  <si>
    <t>CARTER DONNA DOUB</t>
  </si>
  <si>
    <t>1068 MARKLAND ROAD</t>
  </si>
  <si>
    <t>C50000003203</t>
  </si>
  <si>
    <t>J AND B OF FARMINGTON LLC</t>
  </si>
  <si>
    <t>C500000032</t>
  </si>
  <si>
    <t>I400000004</t>
  </si>
  <si>
    <t>BUTCHER LARRY GREGORY</t>
  </si>
  <si>
    <t>BUTCHER TERRI K</t>
  </si>
  <si>
    <t>145 MADISON ROAD</t>
  </si>
  <si>
    <t>I5090E0019</t>
  </si>
  <si>
    <t>SHOEMAKER MICHELLE L</t>
  </si>
  <si>
    <t>135 PINE STREET</t>
  </si>
  <si>
    <t>G50000006201</t>
  </si>
  <si>
    <t>JEFFRIES STACIE G</t>
  </si>
  <si>
    <t>JEFFRIES RICKY H</t>
  </si>
  <si>
    <t>242 ROCKHOUSE ROAD</t>
  </si>
  <si>
    <t>L5020B0007</t>
  </si>
  <si>
    <t>KELLER ANTHONY TODD</t>
  </si>
  <si>
    <t>KELLER ERIN C</t>
  </si>
  <si>
    <t>152 S BENSON LANE</t>
  </si>
  <si>
    <t>F400000006</t>
  </si>
  <si>
    <t>GAGNIER JANE B TR REV LV TR OF</t>
  </si>
  <si>
    <t>GAGNIER THOMAS J TR REV LV TR</t>
  </si>
  <si>
    <t>550 DANNER ROAD</t>
  </si>
  <si>
    <t>27028-5727</t>
  </si>
  <si>
    <t>H4130A0089</t>
  </si>
  <si>
    <t>WARLICK RICHARD KEVIN</t>
  </si>
  <si>
    <t>WARLICK REBECCA TAYLOR</t>
  </si>
  <si>
    <t>227 ASH DR</t>
  </si>
  <si>
    <t>27028-7274</t>
  </si>
  <si>
    <t>B700000036</t>
  </si>
  <si>
    <t>BUTNER DEBORAH C</t>
  </si>
  <si>
    <t>C8010A0139</t>
  </si>
  <si>
    <t>BOYCE DENNIS E</t>
  </si>
  <si>
    <t>BOYCE DEBORAH D</t>
  </si>
  <si>
    <t>225 OLD TOWNE DR</t>
  </si>
  <si>
    <t>I1120B0007</t>
  </si>
  <si>
    <t>RIVERS JERRY BUFORD</t>
  </si>
  <si>
    <t>120 AUTUMN CT</t>
  </si>
  <si>
    <t>D7080A0012</t>
  </si>
  <si>
    <t>SWOFFORD BILLY J</t>
  </si>
  <si>
    <t>SWOFFORD JENNIFER M</t>
  </si>
  <si>
    <t>125 CONIFER COURT</t>
  </si>
  <si>
    <t>Advance</t>
  </si>
  <si>
    <t>H4130A0088</t>
  </si>
  <si>
    <t>F300000093</t>
  </si>
  <si>
    <t>WILLARD DALLAS G</t>
  </si>
  <si>
    <t>WILLARD LINDA L</t>
  </si>
  <si>
    <t>128 CAMELLIA LANE</t>
  </si>
  <si>
    <t>J200000042</t>
  </si>
  <si>
    <t>JAMES RICHARD D</t>
  </si>
  <si>
    <t>C700000094</t>
  </si>
  <si>
    <t>CAMERON ANTHONY J</t>
  </si>
  <si>
    <t>CAMERON ROBIN ELAINE</t>
  </si>
  <si>
    <t>126 AURORA LANE</t>
  </si>
  <si>
    <t>K60000003303</t>
  </si>
  <si>
    <t>D700000105</t>
  </si>
  <si>
    <t>H300000067</t>
  </si>
  <si>
    <t>POTTS DIANE H &amp; GRAY H TRSTEE</t>
  </si>
  <si>
    <t>HARDIN ROBERT V &amp; YOLANDA G</t>
  </si>
  <si>
    <t>L4130A0014</t>
  </si>
  <si>
    <t>SEAFORD DOUGLAS F</t>
  </si>
  <si>
    <t>SEAFORD ELIZABETH JEAN</t>
  </si>
  <si>
    <t>116 HANK LESSER ROAD</t>
  </si>
  <si>
    <t>27028-5307</t>
  </si>
  <si>
    <t>L6010A0001</t>
  </si>
  <si>
    <t>PEARCY JONATHON THURBERT</t>
  </si>
  <si>
    <t>6486 NC HWY 801 SOUTH</t>
  </si>
  <si>
    <t>H300000081</t>
  </si>
  <si>
    <t>G600000046</t>
  </si>
  <si>
    <t>DAY ELMER WARREN JR</t>
  </si>
  <si>
    <t>DAY JUNETTE S</t>
  </si>
  <si>
    <t>199 HOWARDTOWN ROAD</t>
  </si>
  <si>
    <t>C5130A0012</t>
  </si>
  <si>
    <t>LBC INVESTMENT GROUP LLC</t>
  </si>
  <si>
    <t>3585 COTTONTAIL LANE</t>
  </si>
  <si>
    <t>D700000043</t>
  </si>
  <si>
    <t>CAUDLE SAUNDRA COINS</t>
  </si>
  <si>
    <t>CAUDLE JOE KENT</t>
  </si>
  <si>
    <t>250 GORDON DRIVE</t>
  </si>
  <si>
    <t>K5100A0009</t>
  </si>
  <si>
    <t>TAYLOR TROY GABE</t>
  </si>
  <si>
    <t>TAYLOR JUDITH ANN</t>
  </si>
  <si>
    <t>313 DEADMON ROAD</t>
  </si>
  <si>
    <t>C700000127</t>
  </si>
  <si>
    <t>BOYER RANDY W</t>
  </si>
  <si>
    <t>BOYER JANICE D</t>
  </si>
  <si>
    <t>907 YADKIN VALLEY ROAD</t>
  </si>
  <si>
    <t>27006-8708</t>
  </si>
  <si>
    <t>E900000711</t>
  </si>
  <si>
    <t>WHITE JOHN MICHAEL</t>
  </si>
  <si>
    <t>SULLIVAN PATRICIA ANNE</t>
  </si>
  <si>
    <t>152 CAUDLE MEADOWS ROAD</t>
  </si>
  <si>
    <t>D9090C0015</t>
  </si>
  <si>
    <t>ELY ROBERT ROSS</t>
  </si>
  <si>
    <t>ELY PATRICIA ANN</t>
  </si>
  <si>
    <t>129 LAUREL PLACE</t>
  </si>
  <si>
    <t>E80000001305</t>
  </si>
  <si>
    <t>BELL DONALD G</t>
  </si>
  <si>
    <t>BELL DENISE C</t>
  </si>
  <si>
    <t>142 LYBROOK ROAD</t>
  </si>
  <si>
    <t>27006-7629</t>
  </si>
  <si>
    <t>K3050A0012</t>
  </si>
  <si>
    <t>H400000007</t>
  </si>
  <si>
    <t>BLAISE BAPTIST CHURCH</t>
  </si>
  <si>
    <t>134 BLAISE CHURCH ROAD</t>
  </si>
  <si>
    <t>I5110B0012</t>
  </si>
  <si>
    <t>MCCRAW MARTHA J</t>
  </si>
  <si>
    <t>214 SHADY GROVE LANE</t>
  </si>
  <si>
    <t>H8050A0011</t>
  </si>
  <si>
    <t>L700000003</t>
  </si>
  <si>
    <t>BODFORD THOMAS GRAY</t>
  </si>
  <si>
    <t>BODFORD WANDA L</t>
  </si>
  <si>
    <t>5662 NC HWY 801 SOUTH</t>
  </si>
  <si>
    <t>F900000037</t>
  </si>
  <si>
    <t>CHANDLER DANNY RAY</t>
  </si>
  <si>
    <t>WENTZ CAROL VICTORIA DAYWALT</t>
  </si>
  <si>
    <t>510 UNDERPASS ROAD</t>
  </si>
  <si>
    <t>F900000036</t>
  </si>
  <si>
    <t>E900000336</t>
  </si>
  <si>
    <t>BERUBE DALE A</t>
  </si>
  <si>
    <t>BERUBE LOURDES C</t>
  </si>
  <si>
    <t>577 OAK VALLEY BOULEVARD</t>
  </si>
  <si>
    <t>E700000118</t>
  </si>
  <si>
    <t>BAILEY ANNA ALEXANDRA</t>
  </si>
  <si>
    <t>576 BALTIMORE RD</t>
  </si>
  <si>
    <t>K60000000501</t>
  </si>
  <si>
    <t>PAGE WILLIAM LAWRENCE</t>
  </si>
  <si>
    <t>749 TURRENTINE CHURCH ROAD</t>
  </si>
  <si>
    <t>D9010B0008</t>
  </si>
  <si>
    <t>BRIDGES ALAN M</t>
  </si>
  <si>
    <t>BRIDGES AMY B</t>
  </si>
  <si>
    <t>124 WARWICK PLACE</t>
  </si>
  <si>
    <t>H90000002705</t>
  </si>
  <si>
    <t>BOWERS WILLIAM RUSSELL JR</t>
  </si>
  <si>
    <t>2442 JEFFERSON AVENUE</t>
  </si>
  <si>
    <t>H90000002706</t>
  </si>
  <si>
    <t>C50000003105</t>
  </si>
  <si>
    <t>BUTLER TERRY L</t>
  </si>
  <si>
    <t>BUTLER GAIL A</t>
  </si>
  <si>
    <t>2480 NC HIGHWAY 801 NORTH</t>
  </si>
  <si>
    <t>F70000002309</t>
  </si>
  <si>
    <t>BONER GARY W</t>
  </si>
  <si>
    <t>1181 BALTIMORE ROAD</t>
  </si>
  <si>
    <t>I70000004203</t>
  </si>
  <si>
    <t>BOGGS RONNIE W</t>
  </si>
  <si>
    <t>BOGGS CHERYL P</t>
  </si>
  <si>
    <t>977 WILLIAMS ROAD</t>
  </si>
  <si>
    <t>J700000089</t>
  </si>
  <si>
    <t>BAITY LINDA P</t>
  </si>
  <si>
    <t>181 BAITY ROAD</t>
  </si>
  <si>
    <t>J80000001102</t>
  </si>
  <si>
    <t>D7030C0015</t>
  </si>
  <si>
    <t>BALL ELMER CLYDE JR</t>
  </si>
  <si>
    <t>BALL LILLIAN CURRY</t>
  </si>
  <si>
    <t>231 CLAYBON DRIVE</t>
  </si>
  <si>
    <t>L50000001201</t>
  </si>
  <si>
    <t>MAQUEDA ANTONIA DE</t>
  </si>
  <si>
    <t>108 EMERALD LANE</t>
  </si>
  <si>
    <t>K5020A000901</t>
  </si>
  <si>
    <t>OWEN DARRELL C</t>
  </si>
  <si>
    <t>OWEN KATHLEEN A</t>
  </si>
  <si>
    <t>238 ROLLINGWOOD DRIVE</t>
  </si>
  <si>
    <t>H300000013</t>
  </si>
  <si>
    <t>HENSLEY GAIL</t>
  </si>
  <si>
    <t>2268 US HWY 64 W</t>
  </si>
  <si>
    <t>M300000005</t>
  </si>
  <si>
    <t>YORK CALVIN</t>
  </si>
  <si>
    <t>417 OLIN LOOP ROAD</t>
  </si>
  <si>
    <t>M300000006</t>
  </si>
  <si>
    <t>L300000013</t>
  </si>
  <si>
    <t>K300000060</t>
  </si>
  <si>
    <t>J4040C0009</t>
  </si>
  <si>
    <t>BUTERO MICHAEL J</t>
  </si>
  <si>
    <t>BUTERO DONNA</t>
  </si>
  <si>
    <t>373 S MAIN STREET</t>
  </si>
  <si>
    <t>F8020A0008</t>
  </si>
  <si>
    <t>BURCHAM JAIME S</t>
  </si>
  <si>
    <t>BURCHAM CHERYL E</t>
  </si>
  <si>
    <t>163 WINDEMERE DRIVE</t>
  </si>
  <si>
    <t>C400000029</t>
  </si>
  <si>
    <t>TRIVETTE CALVIN CO-TRUSTEE</t>
  </si>
  <si>
    <t>TRIVETTE MARLENE CO-TRUSTEE</t>
  </si>
  <si>
    <t>308 PINO ROAD</t>
  </si>
  <si>
    <t>PTUTT</t>
  </si>
  <si>
    <t>G500000105</t>
  </si>
  <si>
    <t>PEELE ANN CASSIDY</t>
  </si>
  <si>
    <t>2020 ELIZABETH AVENUE</t>
  </si>
  <si>
    <t>28602-0000</t>
  </si>
  <si>
    <t>D70000002005</t>
  </si>
  <si>
    <t>ATWOOD ERVIN A</t>
  </si>
  <si>
    <t>ATWOOD MARSHA J</t>
  </si>
  <si>
    <t>357 GORDON DRIVE</t>
  </si>
  <si>
    <t>E20000002816</t>
  </si>
  <si>
    <t>BAKER JUSTIN C</t>
  </si>
  <si>
    <t>225 BEAR CREEK CHURCH ROAD</t>
  </si>
  <si>
    <t>C50000005709</t>
  </si>
  <si>
    <t>BALLARD TIMOTHY DONALD</t>
  </si>
  <si>
    <t>BALLARD KIM WALL</t>
  </si>
  <si>
    <t>167 POTTER'S RIDGE DRIVE</t>
  </si>
  <si>
    <t>E9150B0150</t>
  </si>
  <si>
    <t>BATTLE DAVID A</t>
  </si>
  <si>
    <t>BATTLE BRENDA B</t>
  </si>
  <si>
    <t>328 ORCHARD PARK DRIVE</t>
  </si>
  <si>
    <t>I70000000902</t>
  </si>
  <si>
    <t>BEAL CYNTHIA SNOW</t>
  </si>
  <si>
    <t>460 MERRELLS LAKE ROAD</t>
  </si>
  <si>
    <t>G3060A0031</t>
  </si>
  <si>
    <t>AGUILAR ARACELI</t>
  </si>
  <si>
    <t>GRANADERO ERIBERTO</t>
  </si>
  <si>
    <t>136 NORTHBROOK DRIVE</t>
  </si>
  <si>
    <t>C60000010202</t>
  </si>
  <si>
    <t>CARTER JONATHAN P</t>
  </si>
  <si>
    <t>1166 NC HIGHWAY 801 NORTH</t>
  </si>
  <si>
    <t>27006-6756</t>
  </si>
  <si>
    <t>I4050A000202</t>
  </si>
  <si>
    <t>BRAKE ROBERT</t>
  </si>
  <si>
    <t>BRAKE MICHELLE</t>
  </si>
  <si>
    <t>330 WEST CHURCH STREET</t>
  </si>
  <si>
    <t>H8050A0016</t>
  </si>
  <si>
    <t>BREWER GREG NEIL</t>
  </si>
  <si>
    <t>GROSE AMANDA KATE</t>
  </si>
  <si>
    <t>I6140A0034</t>
  </si>
  <si>
    <t>BREWER JAMES M</t>
  </si>
  <si>
    <t>BREWER MARY ALICE R</t>
  </si>
  <si>
    <t>238 LAKEVIEW ROAD</t>
  </si>
  <si>
    <t>I6140A0035</t>
  </si>
  <si>
    <t>I6140A0036</t>
  </si>
  <si>
    <t>D200000015</t>
  </si>
  <si>
    <t>BURCH DARRELL ROBERT</t>
  </si>
  <si>
    <t>765 BEAR CREEK CHURCH ROAD</t>
  </si>
  <si>
    <t>E900000200</t>
  </si>
  <si>
    <t>KEVILLE HOWARD M</t>
  </si>
  <si>
    <t>126 LONETREE CIRCLE</t>
  </si>
  <si>
    <t>L5020A0024</t>
  </si>
  <si>
    <t>CARTER TERRY E</t>
  </si>
  <si>
    <t>CARTER TERESA N</t>
  </si>
  <si>
    <t>128 TWIN CEDARS DRIVE</t>
  </si>
  <si>
    <t>I4130A001404</t>
  </si>
  <si>
    <t>LEDBETTER SARAH S</t>
  </si>
  <si>
    <t>132 RAYMOND STREET</t>
  </si>
  <si>
    <t>I60000001301</t>
  </si>
  <si>
    <t>COOPER VURRALL DELTON III</t>
  </si>
  <si>
    <t>COOPER LINDA JONES</t>
  </si>
  <si>
    <t>250 GEORGE JONES ROAD</t>
  </si>
  <si>
    <t>I600000013</t>
  </si>
  <si>
    <t>C700000153</t>
  </si>
  <si>
    <t>COPLIN ALLEN D</t>
  </si>
  <si>
    <t>COPLIN LINDA M</t>
  </si>
  <si>
    <t>117 MATTS PLACE</t>
  </si>
  <si>
    <t>G600000053</t>
  </si>
  <si>
    <t>SMITH WILLIAM SCOTT</t>
  </si>
  <si>
    <t>CORNATZER TONA F</t>
  </si>
  <si>
    <t>265 HOWARDTOWN ROAD</t>
  </si>
  <si>
    <t>L50000008602</t>
  </si>
  <si>
    <t>COSTNER JAMES W</t>
  </si>
  <si>
    <t>COSTNER LORI P</t>
  </si>
  <si>
    <t>241 WILL BOONE ROAD</t>
  </si>
  <si>
    <t>L50000008604</t>
  </si>
  <si>
    <t>L60000002903</t>
  </si>
  <si>
    <t>CROTTS BRENT</t>
  </si>
  <si>
    <t>125 TOM CROTTS LANE</t>
  </si>
  <si>
    <t>L600000067</t>
  </si>
  <si>
    <t>CROTTS BRENT H</t>
  </si>
  <si>
    <t>CROTTS KATHY J</t>
  </si>
  <si>
    <t>I4130D0009</t>
  </si>
  <si>
    <t>I5090C0004</t>
  </si>
  <si>
    <t>D7030B0021</t>
  </si>
  <si>
    <t>YAURI JOSE</t>
  </si>
  <si>
    <t>KLOBSKA AGATA EMILIA</t>
  </si>
  <si>
    <t>509 GORDON DRIVE</t>
  </si>
  <si>
    <t>J70000011901</t>
  </si>
  <si>
    <t>DIGGS SHERRI JOHNSON</t>
  </si>
  <si>
    <t>DIGGS BRIAN EUGENE</t>
  </si>
  <si>
    <t>173 BRANCHVIEW LANE</t>
  </si>
  <si>
    <t>F3130A0041</t>
  </si>
  <si>
    <t>DOTSON DEBRA</t>
  </si>
  <si>
    <t>117 PEPPERTSONE DRIVE</t>
  </si>
  <si>
    <t>D700000049  B</t>
  </si>
  <si>
    <t>DUNN STEPHEN DALE</t>
  </si>
  <si>
    <t>156 ALVIS TRAIL</t>
  </si>
  <si>
    <t>J20000000203</t>
  </si>
  <si>
    <t>DUTY MICHAEL SHANNON</t>
  </si>
  <si>
    <t>DUTY KATHERINE JEAN</t>
  </si>
  <si>
    <t>2106 DAVIE ACADEMY ROAD</t>
  </si>
  <si>
    <t>J4060A0002</t>
  </si>
  <si>
    <t>BARNES LEE ANNE</t>
  </si>
  <si>
    <t>316 MAGNOLIA AVENUE</t>
  </si>
  <si>
    <t>J4060A0001</t>
  </si>
  <si>
    <t>H5190A0006</t>
  </si>
  <si>
    <t>FERGUSON JOHN H</t>
  </si>
  <si>
    <t>H5190A0007</t>
  </si>
  <si>
    <t>D8080D0023</t>
  </si>
  <si>
    <t>I50000000201</t>
  </si>
  <si>
    <t>FIELDS VICKI SANDERS</t>
  </si>
  <si>
    <t>1351 NORTH MAIN STREET</t>
  </si>
  <si>
    <t>N600000108</t>
  </si>
  <si>
    <t>FOIL NATHAN E</t>
  </si>
  <si>
    <t>FOIL ERIN A</t>
  </si>
  <si>
    <t>375 SINGLETON ROAD</t>
  </si>
  <si>
    <t>27028-6836</t>
  </si>
  <si>
    <t>C8010A0126</t>
  </si>
  <si>
    <t>CORBETT WILLIAM F</t>
  </si>
  <si>
    <t>CORBETT JOYCE P</t>
  </si>
  <si>
    <t>109 AVALON STREET</t>
  </si>
  <si>
    <t>G8140A0080</t>
  </si>
  <si>
    <t>POWELL THOMAS B</t>
  </si>
  <si>
    <t>POWELL HANNAH S</t>
  </si>
  <si>
    <t>154 OLD HOMEPLACE DRIVE</t>
  </si>
  <si>
    <t>I4130B001201</t>
  </si>
  <si>
    <t>J5020A0010</t>
  </si>
  <si>
    <t>GODBEY MICHAEL BRANDON</t>
  </si>
  <si>
    <t>GODBEY MEGAN NICHOLE</t>
  </si>
  <si>
    <t>178 CRESTVIEW DRIVE</t>
  </si>
  <si>
    <t>J5020A001001</t>
  </si>
  <si>
    <t>I500000020</t>
  </si>
  <si>
    <t>GAZDA ROBERT</t>
  </si>
  <si>
    <t>KRAMER CYNTHIA</t>
  </si>
  <si>
    <t>716 MILLING ROAD</t>
  </si>
  <si>
    <t>H20000003901</t>
  </si>
  <si>
    <t>MOTT RYAN T</t>
  </si>
  <si>
    <t>MOTT NICOLE C</t>
  </si>
  <si>
    <t>2593 US HWY 64 W</t>
  </si>
  <si>
    <t>H200000039</t>
  </si>
  <si>
    <t>N5020A0010</t>
  </si>
  <si>
    <t>GODBEY TERESA M</t>
  </si>
  <si>
    <t>1068 PINE RIDGE ROAD</t>
  </si>
  <si>
    <t>J4010A0004</t>
  </si>
  <si>
    <t>GOODIN JAMES C JR</t>
  </si>
  <si>
    <t>GOODIN BARBARA P</t>
  </si>
  <si>
    <t>1372 COUNTY HOME ROAD</t>
  </si>
  <si>
    <t>D2010A0004</t>
  </si>
  <si>
    <t>CLARK JASON A</t>
  </si>
  <si>
    <t>CLARK DEE DEE ANN</t>
  </si>
  <si>
    <t>221 TIMBER TRAIL</t>
  </si>
  <si>
    <t>E40000004610</t>
  </si>
  <si>
    <t>HARTMAN ROBIN W</t>
  </si>
  <si>
    <t>HARTMAN JERRY D</t>
  </si>
  <si>
    <t>735 PUDDING RIDGE ROAD</t>
  </si>
  <si>
    <t>I600000009</t>
  </si>
  <si>
    <t>HAYES LORRI J</t>
  </si>
  <si>
    <t>G30000008002</t>
  </si>
  <si>
    <t>J5160B0008</t>
  </si>
  <si>
    <t>J600000077</t>
  </si>
  <si>
    <t>I4060C0006</t>
  </si>
  <si>
    <t>L5090B0002</t>
  </si>
  <si>
    <t>HAYES RUNELLA W</t>
  </si>
  <si>
    <t>216 LIBERTY ROAD</t>
  </si>
  <si>
    <t>27028-5345</t>
  </si>
  <si>
    <t>L5090B0001</t>
  </si>
  <si>
    <t>M40000003807</t>
  </si>
  <si>
    <t>HEAD RANDALL</t>
  </si>
  <si>
    <t>1874 JUNCTION ROAD</t>
  </si>
  <si>
    <t>F3130A0031</t>
  </si>
  <si>
    <t>HEFNER CHRISTOPHER J</t>
  </si>
  <si>
    <t>HEFNER  KIMBERLY E</t>
  </si>
  <si>
    <t>217 PEPPERSTONE DRIVE</t>
  </si>
  <si>
    <t>B30000005402</t>
  </si>
  <si>
    <t>SUPPLEMENTAL NEEDS TRUST ETAL</t>
  </si>
  <si>
    <t>FBO LINDA KATHERINE BURGESS</t>
  </si>
  <si>
    <t>1157 HIGHWAY 801 N</t>
  </si>
  <si>
    <t>B30000005901</t>
  </si>
  <si>
    <t>H90000002707</t>
  </si>
  <si>
    <t>N4040A0014</t>
  </si>
  <si>
    <t>SPROUSE MIRANDA</t>
  </si>
  <si>
    <t>PO BOX 1411</t>
  </si>
  <si>
    <t>I500000051</t>
  </si>
  <si>
    <t>FOSTER THOMAS F</t>
  </si>
  <si>
    <t>193 PETE FOSTER ROAD</t>
  </si>
  <si>
    <t>N500000070</t>
  </si>
  <si>
    <t>HURSEY JEFFREY KEITH</t>
  </si>
  <si>
    <t>HURSEY REBECCA GARWOOD</t>
  </si>
  <si>
    <t>1013 GLADSTONE ROAD</t>
  </si>
  <si>
    <t>N50000007101</t>
  </si>
  <si>
    <t>I4140B0008</t>
  </si>
  <si>
    <t>HURT EDWARD KIT</t>
  </si>
  <si>
    <t>HURT CHRISTINA F</t>
  </si>
  <si>
    <t>436 AVON STREET</t>
  </si>
  <si>
    <t>M400000015</t>
  </si>
  <si>
    <t>HUTCHENS TONYA</t>
  </si>
  <si>
    <t>HUTCHENS TONY</t>
  </si>
  <si>
    <t>1455 JUNCTION ROAD</t>
  </si>
  <si>
    <t>F1020A0002</t>
  </si>
  <si>
    <t>JACOBS CHRISTY DAWN TRUE</t>
  </si>
  <si>
    <t>JACOBS BRIAN MICHAEL</t>
  </si>
  <si>
    <t>241 SHEFFIELD FARMS TRAIL</t>
  </si>
  <si>
    <t>28634-9193</t>
  </si>
  <si>
    <t>F200000057</t>
  </si>
  <si>
    <t>K50000005901</t>
  </si>
  <si>
    <t>JEFFERIES SHERRI LYNN GRANT</t>
  </si>
  <si>
    <t>620 DEADMON ROAD</t>
  </si>
  <si>
    <t>H9070A0030</t>
  </si>
  <si>
    <t>JONES MEL B</t>
  </si>
  <si>
    <t>JONES DENISE S</t>
  </si>
  <si>
    <t>114 IRISHMAN PLACE</t>
  </si>
  <si>
    <t>E3070A0005</t>
  </si>
  <si>
    <t>JONES DONALD LEE</t>
  </si>
  <si>
    <t>3502 US HIGHWAY 601 NORTH</t>
  </si>
  <si>
    <t>G80000001402</t>
  </si>
  <si>
    <t>JONES JEFF</t>
  </si>
  <si>
    <t>JONES SUSAN</t>
  </si>
  <si>
    <t>176 KNIGHT LANE</t>
  </si>
  <si>
    <t>I50000005301</t>
  </si>
  <si>
    <t>I500000053</t>
  </si>
  <si>
    <t>C700000105</t>
  </si>
  <si>
    <t>ADAMS KAREN MICHELLE</t>
  </si>
  <si>
    <t>239 ANDREW ROAD</t>
  </si>
  <si>
    <t>27006-7916</t>
  </si>
  <si>
    <t>K5070B0013</t>
  </si>
  <si>
    <t>KIRKPATRICK WILLIAM MICHAEL</t>
  </si>
  <si>
    <t>KIRKPATRICK KAREN BLEDSOE</t>
  </si>
  <si>
    <t>226 REDWOOD DRIVE</t>
  </si>
  <si>
    <t>K5070B0012</t>
  </si>
  <si>
    <t>K5070B0011</t>
  </si>
  <si>
    <t>H4160A0014</t>
  </si>
  <si>
    <t>KUHNEMANN MICHAEL L JR</t>
  </si>
  <si>
    <t>KUHNEMANN TRACY S</t>
  </si>
  <si>
    <t>425 MADISON ROAD</t>
  </si>
  <si>
    <t>M40000005501</t>
  </si>
  <si>
    <t>COLE RANDOLPH DUANE</t>
  </si>
  <si>
    <t>8480 CENTERGROVE CHURCH ROAD</t>
  </si>
  <si>
    <t>G300000050</t>
  </si>
  <si>
    <t>LATHAM KEITH H</t>
  </si>
  <si>
    <t>LATHAM LINDA L</t>
  </si>
  <si>
    <t>2509 US HIGHWAY 601 NORTH</t>
  </si>
  <si>
    <t>G30000005001</t>
  </si>
  <si>
    <t>G700000021</t>
  </si>
  <si>
    <t>LATHAM KEITH HILTON</t>
  </si>
  <si>
    <t>LATHAM TRACY EDWARD</t>
  </si>
  <si>
    <t>G700000034</t>
  </si>
  <si>
    <t>E300000085</t>
  </si>
  <si>
    <t>K500000087</t>
  </si>
  <si>
    <t>I5050D0010</t>
  </si>
  <si>
    <t>CHAMBERS CODY LEE</t>
  </si>
  <si>
    <t>503 MOUNTVIEW DRIVE</t>
  </si>
  <si>
    <t>J70000005301</t>
  </si>
  <si>
    <t>MYERS BILLY CLARENCE JR</t>
  </si>
  <si>
    <t>MYERS ELLEN BAGBY</t>
  </si>
  <si>
    <t>271 MERRELLS LAKE ROAD</t>
  </si>
  <si>
    <t>I700000010</t>
  </si>
  <si>
    <t>G500000129</t>
  </si>
  <si>
    <t>MCCLAMROCK EVERETT GRAY</t>
  </si>
  <si>
    <t>MCCLAMROCK MELANIE K</t>
  </si>
  <si>
    <t>M40000007208</t>
  </si>
  <si>
    <t>MCDANIEL ROBIN C</t>
  </si>
  <si>
    <t>MCDANIEL BEVERLY A</t>
  </si>
  <si>
    <t>365 NOLLEY ROAD</t>
  </si>
  <si>
    <t>27028-5413</t>
  </si>
  <si>
    <t>I30000000604</t>
  </si>
  <si>
    <t>N60000008301</t>
  </si>
  <si>
    <t>CORRELL ROBERT L</t>
  </si>
  <si>
    <t>CORRELL MARSHA S</t>
  </si>
  <si>
    <t>1113 CHERRY HILL ROAD</t>
  </si>
  <si>
    <t>H100000005</t>
  </si>
  <si>
    <t>SMOOT JASON MATTHEW</t>
  </si>
  <si>
    <t>2148 DAVIE ACADEMY ROAD</t>
  </si>
  <si>
    <t>J4140B0053</t>
  </si>
  <si>
    <t>ARCHER DANIEL C</t>
  </si>
  <si>
    <t>ARCHER DEBORAH M</t>
  </si>
  <si>
    <t>164 RHODE ISLAND COURT</t>
  </si>
  <si>
    <t>C8030A001304</t>
  </si>
  <si>
    <t>MATHIS TAYLOR A</t>
  </si>
  <si>
    <t>149 PINEWOOD LANE #104</t>
  </si>
  <si>
    <t>B600000002</t>
  </si>
  <si>
    <t>MILLER MICHAEL A</t>
  </si>
  <si>
    <t>MILLER NANCY S</t>
  </si>
  <si>
    <t>J5050A0001</t>
  </si>
  <si>
    <t>MOCK MICHAEL CRAIG</t>
  </si>
  <si>
    <t>MOCK RHONDA B</t>
  </si>
  <si>
    <t>525 EAST LAKE DRIVE</t>
  </si>
  <si>
    <t>E50000001702</t>
  </si>
  <si>
    <t>ATWOOD STEPHEN GRAY SR</t>
  </si>
  <si>
    <t>ATWOOD BRENDA M</t>
  </si>
  <si>
    <t>989 FARMINGTON ROAD</t>
  </si>
  <si>
    <t>G50000012401</t>
  </si>
  <si>
    <t>MOXLEY PENNY WHITAKER</t>
  </si>
  <si>
    <t>MOXLEY STEPHEN DANNY JR</t>
  </si>
  <si>
    <t>2158 US HIGHWAY 158</t>
  </si>
  <si>
    <t>D70000002008</t>
  </si>
  <si>
    <t>F300000031</t>
  </si>
  <si>
    <t>BLACKWELDER MARY GRIFFIN</t>
  </si>
  <si>
    <t>F300000032</t>
  </si>
  <si>
    <t>G70000007702</t>
  </si>
  <si>
    <t>NEWMAN JOHN MARK</t>
  </si>
  <si>
    <t>NEWMAN ELLEN S</t>
  </si>
  <si>
    <t>1403 BALTIMORE ROAD</t>
  </si>
  <si>
    <t>G700000077</t>
  </si>
  <si>
    <t>J10000004301</t>
  </si>
  <si>
    <t>NICHOLS JASON BLAKE</t>
  </si>
  <si>
    <t>NICHOLS JESSICA BROOK</t>
  </si>
  <si>
    <t>414 CRESCENT DRIVE</t>
  </si>
  <si>
    <t>K400000024</t>
  </si>
  <si>
    <t>NORMAN ELIZABETH R</t>
  </si>
  <si>
    <t>PO BOX 471</t>
  </si>
  <si>
    <t>L30000002011</t>
  </si>
  <si>
    <t>NUCKOLLS PEGGY D</t>
  </si>
  <si>
    <t>NUCKOLLS CHRISTOPHER P</t>
  </si>
  <si>
    <t>559 RATLEDGE ROAD</t>
  </si>
  <si>
    <t>27028-5428</t>
  </si>
  <si>
    <t>N60000005501</t>
  </si>
  <si>
    <t>PARKER JOHN STUART</t>
  </si>
  <si>
    <t>PARKER DOROTHY FOSTER</t>
  </si>
  <si>
    <t>270 RIVERDALE ROAD</t>
  </si>
  <si>
    <t>27028-6851</t>
  </si>
  <si>
    <t>G700000028</t>
  </si>
  <si>
    <t>PHILLIPS SETH M</t>
  </si>
  <si>
    <t>181 SPRY LANE</t>
  </si>
  <si>
    <t>D30000006101</t>
  </si>
  <si>
    <t>PIERCE RODNEY DEAN</t>
  </si>
  <si>
    <t>JONES PATSY LYNETTE</t>
  </si>
  <si>
    <t>3929 US HIGHWAY 601 NORTH</t>
  </si>
  <si>
    <t>E900000390</t>
  </si>
  <si>
    <t>BROWN CHAD J</t>
  </si>
  <si>
    <t>BROWN JEANNINE MARIE</t>
  </si>
  <si>
    <t>261 BROADMOOR DRIVE</t>
  </si>
  <si>
    <t>L5020A000201</t>
  </si>
  <si>
    <t>CROWE MICHAEL P</t>
  </si>
  <si>
    <t>CROWE AIMEE T</t>
  </si>
  <si>
    <t>174 HOLY CROSS CHURCH ROAD</t>
  </si>
  <si>
    <t>I5060A0016</t>
  </si>
  <si>
    <t>DARNALL JOANNA J</t>
  </si>
  <si>
    <t>DARNALL JOEL THOMAS</t>
  </si>
  <si>
    <t>314 WHITNEY ROAD</t>
  </si>
  <si>
    <t>27028-2844</t>
  </si>
  <si>
    <t>J700000119</t>
  </si>
  <si>
    <t>I5050A0012</t>
  </si>
  <si>
    <t>FORBES GREGORY</t>
  </si>
  <si>
    <t>123 META BREEZE LANE</t>
  </si>
  <si>
    <t>I30000005803</t>
  </si>
  <si>
    <t>FORREST CHAD A</t>
  </si>
  <si>
    <t>FORREST CHRISTY I</t>
  </si>
  <si>
    <t>D20000002904</t>
  </si>
  <si>
    <t>REAVIS CARL RICHARD</t>
  </si>
  <si>
    <t>REAVIS JEAN CANDACE WOODY</t>
  </si>
  <si>
    <t>446 DUARD REAVIS ROAD</t>
  </si>
  <si>
    <t>L30000002615</t>
  </si>
  <si>
    <t>COUCH GEORGE E JR</t>
  </si>
  <si>
    <t>COUCH EMILY POWE</t>
  </si>
  <si>
    <t>27028-5414</t>
  </si>
  <si>
    <t>M300000011</t>
  </si>
  <si>
    <t>L30000002602A</t>
  </si>
  <si>
    <t>F7120A0008</t>
  </si>
  <si>
    <t>HARRIS MARK V</t>
  </si>
  <si>
    <t>HARRIS KIMBERLY G</t>
  </si>
  <si>
    <t>124 MONTCLAIR DRIVE</t>
  </si>
  <si>
    <t>E8020A0004</t>
  </si>
  <si>
    <t>HUNTER LONNIE GRAY</t>
  </si>
  <si>
    <t>SEAFORD MITZI C</t>
  </si>
  <si>
    <t>121 RAINTREE ROAD</t>
  </si>
  <si>
    <t>N50000007005</t>
  </si>
  <si>
    <t>N50000007002</t>
  </si>
  <si>
    <t>M4120A000302</t>
  </si>
  <si>
    <t>J20000006202</t>
  </si>
  <si>
    <t>CAVE CHRISTOPHER RANDALL</t>
  </si>
  <si>
    <t>1288 DAVIE ACADEMY ROAD</t>
  </si>
  <si>
    <t>27028-8200</t>
  </si>
  <si>
    <t>M4120A000301</t>
  </si>
  <si>
    <t>G70000007401</t>
  </si>
  <si>
    <t>JONES KAREN H</t>
  </si>
  <si>
    <t>142 JETRY LANE</t>
  </si>
  <si>
    <t>G70000007402</t>
  </si>
  <si>
    <t>E6110A0025</t>
  </si>
  <si>
    <t>JONES MARK S</t>
  </si>
  <si>
    <t>JONES GWYN L</t>
  </si>
  <si>
    <t>115 FOX RUN DRIVE</t>
  </si>
  <si>
    <t>I6160A0014</t>
  </si>
  <si>
    <t>MARTIN WESLEY K</t>
  </si>
  <si>
    <t>MARTIN KRISTI F</t>
  </si>
  <si>
    <t>183 LINDA LANE</t>
  </si>
  <si>
    <t>E700000113</t>
  </si>
  <si>
    <t>CHAPLIN DALE D</t>
  </si>
  <si>
    <t>519 BALTIMORE ROAD</t>
  </si>
  <si>
    <t>K5100A002403</t>
  </si>
  <si>
    <t>MENA JOAQUIN</t>
  </si>
  <si>
    <t>MENA YADIRA</t>
  </si>
  <si>
    <t>1661 US HIGHWAY 601 SOUTH</t>
  </si>
  <si>
    <t>H9070A0009</t>
  </si>
  <si>
    <t>MERRITT JIMMY</t>
  </si>
  <si>
    <t>MERRITT DIANE</t>
  </si>
  <si>
    <t>217 DUBLIN ROAD</t>
  </si>
  <si>
    <t>27006-7472</t>
  </si>
  <si>
    <t>H30000003301</t>
  </si>
  <si>
    <t>MILLER DAVID T</t>
  </si>
  <si>
    <t>145 POWELL ROAD</t>
  </si>
  <si>
    <t>D2010A0005</t>
  </si>
  <si>
    <t>MOYER LON</t>
  </si>
  <si>
    <t>MOYER STACY</t>
  </si>
  <si>
    <t>245 TIMBER TRAILS LANE</t>
  </si>
  <si>
    <t>E5020A0031</t>
  </si>
  <si>
    <t>NESTOR SUZANNE A</t>
  </si>
  <si>
    <t>169 CORNWALLIS DRIVE</t>
  </si>
  <si>
    <t>27028-6147</t>
  </si>
  <si>
    <t>G70000007703</t>
  </si>
  <si>
    <t>K5060A0023</t>
  </si>
  <si>
    <t>CARTER BARRY</t>
  </si>
  <si>
    <t>CARTER SHILOH</t>
  </si>
  <si>
    <t>120 WEST CHINABERRY COURT</t>
  </si>
  <si>
    <t>27028-5173</t>
  </si>
  <si>
    <t>I80000004302</t>
  </si>
  <si>
    <t>POINDEXTER RICHARD BURTON</t>
  </si>
  <si>
    <t>J10000002901</t>
  </si>
  <si>
    <t>CAMPBELL MARY ANNE</t>
  </si>
  <si>
    <t>605 ABBYDALE ROAD</t>
  </si>
  <si>
    <t>28634-9407</t>
  </si>
  <si>
    <t>J5150D000101</t>
  </si>
  <si>
    <t>PRIM VESTAL G JR</t>
  </si>
  <si>
    <t>PRIM SUSAN M</t>
  </si>
  <si>
    <t>D3010A0030</t>
  </si>
  <si>
    <t>RAY WILLIAM EUGENE II</t>
  </si>
  <si>
    <t>RAY TERESA A</t>
  </si>
  <si>
    <t>145 LANDIS COURT</t>
  </si>
  <si>
    <t>D200000028</t>
  </si>
  <si>
    <t>J50000002703</t>
  </si>
  <si>
    <t>JUNKER WILLIAM F</t>
  </si>
  <si>
    <t>JUNKER KATHY B</t>
  </si>
  <si>
    <t>H30000009208</t>
  </si>
  <si>
    <t>N5080A0020</t>
  </si>
  <si>
    <t>FOSTER WENDY</t>
  </si>
  <si>
    <t>E50000003308</t>
  </si>
  <si>
    <t>PENDERGAST ALMA</t>
  </si>
  <si>
    <t>SINK GAYLE TATE</t>
  </si>
  <si>
    <t>122 GILBERT ROAD</t>
  </si>
  <si>
    <t>K20000005806</t>
  </si>
  <si>
    <t>CLEMMONS ELIZABETH S</t>
  </si>
  <si>
    <t>205 WHISTLING LANE</t>
  </si>
  <si>
    <t>E6040A0003</t>
  </si>
  <si>
    <t>BREWER MARLENE F</t>
  </si>
  <si>
    <t>H30000001104</t>
  </si>
  <si>
    <t>CLEMENT GROVE CHURCH OF GOD 7TH DAY</t>
  </si>
  <si>
    <t>H30000001105</t>
  </si>
  <si>
    <t>H300000014</t>
  </si>
  <si>
    <t>G9100A0005</t>
  </si>
  <si>
    <t>CARTER SETH EVANS</t>
  </si>
  <si>
    <t>MCILRATH-CARTER JESSIE R</t>
  </si>
  <si>
    <t>126 SOUTHERN MAGNOLIA DRIVE</t>
  </si>
  <si>
    <t>G900000006</t>
  </si>
  <si>
    <t>G90000000603</t>
  </si>
  <si>
    <t>G9100A0003</t>
  </si>
  <si>
    <t>D800000025</t>
  </si>
  <si>
    <t>RENEGAR TERRY N</t>
  </si>
  <si>
    <t>BJERKE SUSAN R</t>
  </si>
  <si>
    <t>299 JAMES WAY</t>
  </si>
  <si>
    <t>B60000001306</t>
  </si>
  <si>
    <t>CASSIDY KENNETH TODD</t>
  </si>
  <si>
    <t>CASSIDY ELIZABETH E</t>
  </si>
  <si>
    <t>326 DEERFIELD DRIVE</t>
  </si>
  <si>
    <t>27028-7670</t>
  </si>
  <si>
    <t>B60000001401</t>
  </si>
  <si>
    <t>B60000001303</t>
  </si>
  <si>
    <t>G70000014401</t>
  </si>
  <si>
    <t>CROUSE REVOCABLE LIVING TRUST</t>
  </si>
  <si>
    <t>CROUSE RALPH   MAREIA TRUSTEES</t>
  </si>
  <si>
    <t>286 GRANADA DRIVE</t>
  </si>
  <si>
    <t>G700000144</t>
  </si>
  <si>
    <t>D7070A0017</t>
  </si>
  <si>
    <t>CORBIN DANIEL</t>
  </si>
  <si>
    <t>CORBIN LAURA</t>
  </si>
  <si>
    <t>160 GINNY LANE</t>
  </si>
  <si>
    <t>F70000001701</t>
  </si>
  <si>
    <t>CORNATZER ROBERT NEAL</t>
  </si>
  <si>
    <t>CORNATZER LISA</t>
  </si>
  <si>
    <t>797 BALTIMORE ROAD</t>
  </si>
  <si>
    <t>27006-7817</t>
  </si>
  <si>
    <t>G60000005502</t>
  </si>
  <si>
    <t>G80000006502</t>
  </si>
  <si>
    <t>CAGIGAS JOHNNY KEITH</t>
  </si>
  <si>
    <t>1725 PEOPLES CREEK ROAD</t>
  </si>
  <si>
    <t>I800000043</t>
  </si>
  <si>
    <t>D8060B0016</t>
  </si>
  <si>
    <t>CARTER BRIAN ALEXANDER</t>
  </si>
  <si>
    <t>CARTER ANGELA HUTCHINS</t>
  </si>
  <si>
    <t>192 TIFTON STREET</t>
  </si>
  <si>
    <t>K70000004703</t>
  </si>
  <si>
    <t>SMITH DANNY PATRICK</t>
  </si>
  <si>
    <t>SMITH VICKIE LYNN COPE</t>
  </si>
  <si>
    <t>417 CEDAR GROVE CHURCH ROAD</t>
  </si>
  <si>
    <t>27028-7115</t>
  </si>
  <si>
    <t>K700000047</t>
  </si>
  <si>
    <t>I5090B0013</t>
  </si>
  <si>
    <t>SMITH NEAL</t>
  </si>
  <si>
    <t>SMITH SUSAN</t>
  </si>
  <si>
    <t>743 NORTH MAIN STREET</t>
  </si>
  <si>
    <t>E200000024</t>
  </si>
  <si>
    <t>SNYDER JERRY W</t>
  </si>
  <si>
    <t>SNYDER CAROL H</t>
  </si>
  <si>
    <t>156 C V SMOOT LANE</t>
  </si>
  <si>
    <t>F3130A0047</t>
  </si>
  <si>
    <t>STEPHENS JOHN H III</t>
  </si>
  <si>
    <t>STEPHENS BRANDI T</t>
  </si>
  <si>
    <t>256 DANNER ROAD</t>
  </si>
  <si>
    <t>J50000001401</t>
  </si>
  <si>
    <t>STOKES ANDREW C</t>
  </si>
  <si>
    <t>STOKES JEWELL S</t>
  </si>
  <si>
    <t>332 JOHN CROTTS ROAD</t>
  </si>
  <si>
    <t>I70000000903</t>
  </si>
  <si>
    <t>CROWLEY JOHN D</t>
  </si>
  <si>
    <t>CROWLEY KIMBERLY L</t>
  </si>
  <si>
    <t>452 MERRELLS LAKE ROAD</t>
  </si>
  <si>
    <t>27028-7323</t>
  </si>
  <si>
    <t>I70000000904</t>
  </si>
  <si>
    <t>H70000006301</t>
  </si>
  <si>
    <t>CALLAWAY VICKI DAWN</t>
  </si>
  <si>
    <t>154 JAMES ROAD</t>
  </si>
  <si>
    <t>D200000043</t>
  </si>
  <si>
    <t>IRELAND PEGGY W</t>
  </si>
  <si>
    <t>1044 LIBERTY CHURCH ROAD</t>
  </si>
  <si>
    <t>K300000031</t>
  </si>
  <si>
    <t>TAYLOR JAMES WESLEY</t>
  </si>
  <si>
    <t>TAYLOR LESLIE MONIQUE</t>
  </si>
  <si>
    <t>118 WESTERN DRIVE</t>
  </si>
  <si>
    <t>J5010D0101</t>
  </si>
  <si>
    <t>TORPY THOMAS</t>
  </si>
  <si>
    <t>TORPY BARBARA</t>
  </si>
  <si>
    <t>260 WINDING CREEK ROAD</t>
  </si>
  <si>
    <t>L5100A000802</t>
  </si>
  <si>
    <t>VEACH TRACY LYNETTE</t>
  </si>
  <si>
    <t>130 VEACH LANE</t>
  </si>
  <si>
    <t>F900000010</t>
  </si>
  <si>
    <t>VOGLER ROBIN L</t>
  </si>
  <si>
    <t>244 VOGLER ROAD</t>
  </si>
  <si>
    <t>F90000001001</t>
  </si>
  <si>
    <t>D20000000502</t>
  </si>
  <si>
    <t>WALKER MIKLE REX</t>
  </si>
  <si>
    <t>WALKER COLEEN SHORE</t>
  </si>
  <si>
    <t>183 BEN ANDERSON ROAD</t>
  </si>
  <si>
    <t>I4120C002901</t>
  </si>
  <si>
    <t>MCDANIEL RYANNE DENISE</t>
  </si>
  <si>
    <t>220 WEST CHURCH STREET</t>
  </si>
  <si>
    <t>G30000007202</t>
  </si>
  <si>
    <t>RIVERS DOUGLAS</t>
  </si>
  <si>
    <t>208 MURPHY ROAD</t>
  </si>
  <si>
    <t>27028-5855</t>
  </si>
  <si>
    <t>I5070B0007</t>
  </si>
  <si>
    <t>ROBELLO ANNETTE C</t>
  </si>
  <si>
    <t>101 LAKEVIEW DRIVE</t>
  </si>
  <si>
    <t>27028-2734</t>
  </si>
  <si>
    <t>G80000000508</t>
  </si>
  <si>
    <t>SUTTON ROBERT D</t>
  </si>
  <si>
    <t>SUTTON STACEY J</t>
  </si>
  <si>
    <t>153 FINN HOLLOW LANE</t>
  </si>
  <si>
    <t>27006-7344</t>
  </si>
  <si>
    <t>H30000001103</t>
  </si>
  <si>
    <t>H30000001102</t>
  </si>
  <si>
    <t>D7090A0004</t>
  </si>
  <si>
    <t>GOSNELL CHRISTOPHER DOUGLAS</t>
  </si>
  <si>
    <t>GOSNELL PHYLLIS JEAN</t>
  </si>
  <si>
    <t>122 IDLEWILD ROAD</t>
  </si>
  <si>
    <t>B40000004401</t>
  </si>
  <si>
    <t>WHITAKER WILLIAM A</t>
  </si>
  <si>
    <t>WHITAKER LETTIE L</t>
  </si>
  <si>
    <t>1890 CANA ROAD</t>
  </si>
  <si>
    <t>27028-4653</t>
  </si>
  <si>
    <t>B40000004501</t>
  </si>
  <si>
    <t>B400000045</t>
  </si>
  <si>
    <t>WHITAKER WILLIAM ALLEN</t>
  </si>
  <si>
    <t>C50000001902</t>
  </si>
  <si>
    <t>D400000025</t>
  </si>
  <si>
    <t>F1020A001201</t>
  </si>
  <si>
    <t>WIEDEMAN DAVID B</t>
  </si>
  <si>
    <t>WIEDEMAN ALLISON P</t>
  </si>
  <si>
    <t>234 SHEFFIELD FARMS TRAIL</t>
  </si>
  <si>
    <t>F1020A0012</t>
  </si>
  <si>
    <t>H700000087</t>
  </si>
  <si>
    <t>BRITTAIN ROBERT S</t>
  </si>
  <si>
    <t>1312 FORK BIXBY ROAD</t>
  </si>
  <si>
    <t>I20000001301</t>
  </si>
  <si>
    <t>CAMPBELL MARY W</t>
  </si>
  <si>
    <t>1200 GODBEY ROAD</t>
  </si>
  <si>
    <t>G900000023</t>
  </si>
  <si>
    <t>CHASTEEN JAMES R</t>
  </si>
  <si>
    <t>CHASTEEN BARRI A</t>
  </si>
  <si>
    <t>C8010A0109</t>
  </si>
  <si>
    <t>MOORE DAVID R &amp; SANDRA L HARRIS LIV TRST</t>
  </si>
  <si>
    <t>MOORE DAVID R TRUSTEE</t>
  </si>
  <si>
    <t>173 BROOKSTONE DRIVE</t>
  </si>
  <si>
    <t>C20000002202</t>
  </si>
  <si>
    <t>ADAMS BRIAN JASON</t>
  </si>
  <si>
    <t>ADAMS CHRISTY</t>
  </si>
  <si>
    <t>119 CAIN REAVIS ROAD</t>
  </si>
  <si>
    <t>G800000215</t>
  </si>
  <si>
    <t>CREEL ROBERT EVANS II</t>
  </si>
  <si>
    <t>CREEL KERRI BAILEY</t>
  </si>
  <si>
    <t>487 RABBIT FARM TRAIL</t>
  </si>
  <si>
    <t>D60000002603</t>
  </si>
  <si>
    <t>CHURCH DAVID THOMAS</t>
  </si>
  <si>
    <t>CHURCH JENNIFER E</t>
  </si>
  <si>
    <t>197 SPEAKS ROAD</t>
  </si>
  <si>
    <t>27006-6735</t>
  </si>
  <si>
    <t>H20000004501</t>
  </si>
  <si>
    <t>ROBINSON RAYMOND</t>
  </si>
  <si>
    <t>ROBINSON ANGELA G</t>
  </si>
  <si>
    <t>218 VANZANT ROAD</t>
  </si>
  <si>
    <t>27028-8467</t>
  </si>
  <si>
    <t>D3010A0014</t>
  </si>
  <si>
    <t>RUFF SHAWN R</t>
  </si>
  <si>
    <t>RUFF CHRISTIE A</t>
  </si>
  <si>
    <t>105 ROD COURT</t>
  </si>
  <si>
    <t>27028-4770</t>
  </si>
  <si>
    <t>B700000039</t>
  </si>
  <si>
    <t>STONEMAN WAYNE JACKSON</t>
  </si>
  <si>
    <t>STONEMAN MELONEY RENEE</t>
  </si>
  <si>
    <t>292 JESSE KING ROAD</t>
  </si>
  <si>
    <t>H5070A0002</t>
  </si>
  <si>
    <t>STRANEY ERICK</t>
  </si>
  <si>
    <t>257 SAIN ROAD</t>
  </si>
  <si>
    <t>D20000004301</t>
  </si>
  <si>
    <t>D7010B0002</t>
  </si>
  <si>
    <t>WALTER JAYNE L</t>
  </si>
  <si>
    <t>243 GORDAN DRIVE</t>
  </si>
  <si>
    <t>N500000063</t>
  </si>
  <si>
    <t>WEST BOBBY RAY</t>
  </si>
  <si>
    <t>WEST JERRI BOGER</t>
  </si>
  <si>
    <t>326 PINE RIDGE ROAD</t>
  </si>
  <si>
    <t>27028-6751</t>
  </si>
  <si>
    <t>N60000007109</t>
  </si>
  <si>
    <t>SAWS LP</t>
  </si>
  <si>
    <t>M50000000702</t>
  </si>
  <si>
    <t>M5020A0016  A</t>
  </si>
  <si>
    <t>M5020A0018  A</t>
  </si>
  <si>
    <t>M5020A0030</t>
  </si>
  <si>
    <t>M5020A0003</t>
  </si>
  <si>
    <t>M5020A0014</t>
  </si>
  <si>
    <t>M400000081</t>
  </si>
  <si>
    <t>M4040A0010</t>
  </si>
  <si>
    <t>J5010B0001</t>
  </si>
  <si>
    <t>H80000004202</t>
  </si>
  <si>
    <t>ZONDORY MICHAEL R</t>
  </si>
  <si>
    <t>ZONDORY DANA L</t>
  </si>
  <si>
    <t>824 MARKLAND ROAD</t>
  </si>
  <si>
    <t>N500000092</t>
  </si>
  <si>
    <t>WEST ROGER</t>
  </si>
  <si>
    <t>WEST ROBIN</t>
  </si>
  <si>
    <t>380 PINE RIDGE ROAD</t>
  </si>
  <si>
    <t>N50000006202</t>
  </si>
  <si>
    <t>G40000003310</t>
  </si>
  <si>
    <t>INTERSTATE FORESTRY LLC</t>
  </si>
  <si>
    <t>C50000004902</t>
  </si>
  <si>
    <t>WHITAKER LETTIE LOU</t>
  </si>
  <si>
    <t>J5050A0002</t>
  </si>
  <si>
    <t>WHITLEY BRIAN</t>
  </si>
  <si>
    <t>WHITLEY CORA L</t>
  </si>
  <si>
    <t>535 EAST LAKE DRIVE</t>
  </si>
  <si>
    <t>M60000001402</t>
  </si>
  <si>
    <t>WILLIAMS MICHAEL RAY</t>
  </si>
  <si>
    <t>WILLIAMS SHIRLEY F</t>
  </si>
  <si>
    <t>485 PLEASANT ACRE DRIVE</t>
  </si>
  <si>
    <t>C30000012401</t>
  </si>
  <si>
    <t>FAAK MICHAEL R</t>
  </si>
  <si>
    <t>840 HOWELL ROAD</t>
  </si>
  <si>
    <t>M600000050</t>
  </si>
  <si>
    <t>CLEMENT WILLIE LAWTON JR</t>
  </si>
  <si>
    <t>CLEMENT HEATHER COPE</t>
  </si>
  <si>
    <t>139 APPLEWOOD ROAD</t>
  </si>
  <si>
    <t>27028-6703</t>
  </si>
  <si>
    <t>M60000004802</t>
  </si>
  <si>
    <t>K50000005401</t>
  </si>
  <si>
    <t>CHAMP JOHN H JR</t>
  </si>
  <si>
    <t>CHAMP TONI J</t>
  </si>
  <si>
    <t>113 HOLIDAY LANE</t>
  </si>
  <si>
    <t>D20000003810</t>
  </si>
  <si>
    <t>YELLICK DOUGLAS K</t>
  </si>
  <si>
    <t>YELLICK MARY C</t>
  </si>
  <si>
    <t>187 MEADOW GLEN LANE</t>
  </si>
  <si>
    <t>27028-5884</t>
  </si>
  <si>
    <t>I4050B0010</t>
  </si>
  <si>
    <t>ZICKMUND GERARD M</t>
  </si>
  <si>
    <t>ZICKMUND VICKY L</t>
  </si>
  <si>
    <t>461 PARK AVENUE</t>
  </si>
  <si>
    <t>27028-2145</t>
  </si>
  <si>
    <t>E900000427</t>
  </si>
  <si>
    <t>COHN JAMES ALLEN</t>
  </si>
  <si>
    <t>COHN DEBORAH L</t>
  </si>
  <si>
    <t>107 BROADMOOR DRIVE</t>
  </si>
  <si>
    <t>K50000008101</t>
  </si>
  <si>
    <t>CORNATZER ANDREA CARTER</t>
  </si>
  <si>
    <t>591 WILL BOONE ROAD</t>
  </si>
  <si>
    <t>I5060C0002</t>
  </si>
  <si>
    <t>CORKER DANNY</t>
  </si>
  <si>
    <t>CORKER SHANA</t>
  </si>
  <si>
    <t>40 MARCONI STREET</t>
  </si>
  <si>
    <t>H500000047</t>
  </si>
  <si>
    <t>RUMPLE MYRTH DANIEL</t>
  </si>
  <si>
    <t>RUMPLE BARBARA W</t>
  </si>
  <si>
    <t>549 SAIN RD</t>
  </si>
  <si>
    <t>D700000141</t>
  </si>
  <si>
    <t>SHOAF MEDFORD BRENT</t>
  </si>
  <si>
    <t>SHOAF CAROLYN HAHN</t>
  </si>
  <si>
    <t>4601 US HIGHWAY 158</t>
  </si>
  <si>
    <t>27006-7861</t>
  </si>
  <si>
    <t>D700000143</t>
  </si>
  <si>
    <t>L500000001</t>
  </si>
  <si>
    <t>SHUSKEY CHRISTOPHER P</t>
  </si>
  <si>
    <t>SHUSKEY KIMBERLY S</t>
  </si>
  <si>
    <t>274 DANIELS ROAD</t>
  </si>
  <si>
    <t>27028-6640</t>
  </si>
  <si>
    <t>D80000001903</t>
  </si>
  <si>
    <t>GEEJAY INVESTMENTS LLC</t>
  </si>
  <si>
    <t>LEGACY BERMUDA RUN LLC</t>
  </si>
  <si>
    <t>1510 PECAN LANE</t>
  </si>
  <si>
    <t>D80000001904</t>
  </si>
  <si>
    <t>D80000001905</t>
  </si>
  <si>
    <t>D80000002202</t>
  </si>
  <si>
    <t>D60000006402</t>
  </si>
  <si>
    <t>DUNN TRACY SHAWN</t>
  </si>
  <si>
    <t>27006-6717</t>
  </si>
  <si>
    <t>C8010B0377</t>
  </si>
  <si>
    <t>CRISTOBAL ANNA LISA</t>
  </si>
  <si>
    <t>CRISTOBAL MARLON ANTONIO</t>
  </si>
  <si>
    <t>210 KILBOURN DRIVE</t>
  </si>
  <si>
    <t>I4120A0016</t>
  </si>
  <si>
    <t>SLOAN KELLY MICHELLE</t>
  </si>
  <si>
    <t>348 WILKESBORO STREET</t>
  </si>
  <si>
    <t>K70000004702</t>
  </si>
  <si>
    <t>D20000000702</t>
  </si>
  <si>
    <t>CLINE JOEY MARLIN</t>
  </si>
  <si>
    <t>27028-5625</t>
  </si>
  <si>
    <t>M5020A0005  A</t>
  </si>
  <si>
    <t>M5020A0036  A</t>
  </si>
  <si>
    <t>M5020A0010</t>
  </si>
  <si>
    <t>G30000000201</t>
  </si>
  <si>
    <t>CHAFFIN DONALD J</t>
  </si>
  <si>
    <t>CHAFFIN PATRICIA N</t>
  </si>
  <si>
    <t>406 WAGNER ROAD</t>
  </si>
  <si>
    <t>27028-4955</t>
  </si>
  <si>
    <t>M5100C0012</t>
  </si>
  <si>
    <t>CARRILLO PABLO SANTIAGO</t>
  </si>
  <si>
    <t>116 SWICEGOOD ST</t>
  </si>
  <si>
    <t>I70000004002</t>
  </si>
  <si>
    <t>COLBERT JAMES C</t>
  </si>
  <si>
    <t>COLBERT REBECCA L</t>
  </si>
  <si>
    <t>905 WILLIAMS ROAD</t>
  </si>
  <si>
    <t>27006-7131</t>
  </si>
  <si>
    <t>I70000004001</t>
  </si>
  <si>
    <t>I400000053</t>
  </si>
  <si>
    <t>CLEARY GARY</t>
  </si>
  <si>
    <t>CLEARY DIANE</t>
  </si>
  <si>
    <t>1036 HIGHWAY 64 WEST</t>
  </si>
  <si>
    <t>C300000132</t>
  </si>
  <si>
    <t>I4130B0002</t>
  </si>
  <si>
    <t>DWIGGINS METAL MASTERS INC</t>
  </si>
  <si>
    <t>122 WILKESBORO STREET</t>
  </si>
  <si>
    <t>I4130B0012</t>
  </si>
  <si>
    <t>D800000020</t>
  </si>
  <si>
    <t>D800000021</t>
  </si>
  <si>
    <t>D800000017</t>
  </si>
  <si>
    <t>D800000018</t>
  </si>
  <si>
    <t>O600000004</t>
  </si>
  <si>
    <t>COE NANCY FRYE</t>
  </si>
  <si>
    <t>484 RIVERDALE ROAD</t>
  </si>
  <si>
    <t>D70000000401</t>
  </si>
  <si>
    <t>CAIN LISA KLUGE</t>
  </si>
  <si>
    <t>130 PONDVIEW LANE</t>
  </si>
  <si>
    <t>I8110A0016</t>
  </si>
  <si>
    <t>THOMASON ROBERT JAMES</t>
  </si>
  <si>
    <t>THOMASON SHANNON CHRISTINE</t>
  </si>
  <si>
    <t>3176 NC HWY 8701 S</t>
  </si>
  <si>
    <t>D20000001101</t>
  </si>
  <si>
    <t>D800000019</t>
  </si>
  <si>
    <t>D80000001901</t>
  </si>
  <si>
    <t>D80000001902</t>
  </si>
  <si>
    <t>N5080B0005</t>
  </si>
  <si>
    <t>ALMOND CHRISTOPHER NEAL</t>
  </si>
  <si>
    <t>ALMOND JESSICA DAYWALT</t>
  </si>
  <si>
    <t>PO BOX 1252</t>
  </si>
  <si>
    <t>Cooleemee</t>
  </si>
  <si>
    <t>D8100D0022</t>
  </si>
  <si>
    <t>DOUB LANITA G</t>
  </si>
  <si>
    <t>575 RIVERBEND DRIVE</t>
  </si>
  <si>
    <t>E6050A0018</t>
  </si>
  <si>
    <t>ORELLANA OSCAR SAUL</t>
  </si>
  <si>
    <t>ORELLANA MARIA I</t>
  </si>
  <si>
    <t>128 SHALLOWBROOK DRIVE</t>
  </si>
  <si>
    <t>E7130A0014</t>
  </si>
  <si>
    <t>DAVIS LEIGH ANNE</t>
  </si>
  <si>
    <t>141 SAVANNAH COURT</t>
  </si>
  <si>
    <t>E50000000404</t>
  </si>
  <si>
    <t>LAKEY DEBRA L</t>
  </si>
  <si>
    <t>178 STONE MEADOWS LANE</t>
  </si>
  <si>
    <t>C7140B0009</t>
  </si>
  <si>
    <t>BAUNE JEREMY</t>
  </si>
  <si>
    <t>BAUNE ASHLEE</t>
  </si>
  <si>
    <t>121 CREEKWOOD DRIVE</t>
  </si>
  <si>
    <t>F8030A0008</t>
  </si>
  <si>
    <t>OYLER KENNETH W</t>
  </si>
  <si>
    <t>OYLER GINGER G</t>
  </si>
  <si>
    <t>161 ESSEX FARM ROAD</t>
  </si>
  <si>
    <t>J70000007703</t>
  </si>
  <si>
    <t>SANDERS WILLIE JAMES JR</t>
  </si>
  <si>
    <t>110 BROOKE ROSE LANE</t>
  </si>
  <si>
    <t>27028-7471</t>
  </si>
  <si>
    <t>C300000014</t>
  </si>
  <si>
    <t>SEAWRIGHT PERRY</t>
  </si>
  <si>
    <t>4488 NC HWY 801 N</t>
  </si>
  <si>
    <t>D300000071</t>
  </si>
  <si>
    <t>PEGGDOUB TONI SUSAN</t>
  </si>
  <si>
    <t>1275 WORTHINGTON LANE</t>
  </si>
  <si>
    <t>GREENVILLE</t>
  </si>
  <si>
    <t>D30000006502</t>
  </si>
  <si>
    <t>D300000065</t>
  </si>
  <si>
    <t>F60000005308</t>
  </si>
  <si>
    <t>DEWITT JOHN A</t>
  </si>
  <si>
    <t>DEWITT LINDA R</t>
  </si>
  <si>
    <t>170 ROBERT AUSTIN TRAIL</t>
  </si>
  <si>
    <t>J80000001308</t>
  </si>
  <si>
    <t>LONG JOHN MICHAEL</t>
  </si>
  <si>
    <t>NENNINGER CAROLINE VICTORIA L</t>
  </si>
  <si>
    <t>8905 OKLAHOMA HWY 7-E</t>
  </si>
  <si>
    <t>WAPANUCKA</t>
  </si>
  <si>
    <t>F80000000801</t>
  </si>
  <si>
    <t>MILLER M DAVID</t>
  </si>
  <si>
    <t>MILLER TERRI P</t>
  </si>
  <si>
    <t>PO BOX 2170</t>
  </si>
  <si>
    <t>F800000084</t>
  </si>
  <si>
    <t>MOCK LAWRENCE L</t>
  </si>
  <si>
    <t>MOCK NANCY N</t>
  </si>
  <si>
    <t>131 GW MOCK WAY</t>
  </si>
  <si>
    <t>F80000000805</t>
  </si>
  <si>
    <t>H9070A0019</t>
  </si>
  <si>
    <t>DUPREE L LARKIN</t>
  </si>
  <si>
    <t>DUPREE DAHLENE F</t>
  </si>
  <si>
    <t>127 IRISHMAN PLACE</t>
  </si>
  <si>
    <t>B100000011  A</t>
  </si>
  <si>
    <t>DWIGGINS CARL FRANK</t>
  </si>
  <si>
    <t>DWIGGINS ALICE RENEGAR</t>
  </si>
  <si>
    <t>199 OLLIE HARKEY ROAD</t>
  </si>
  <si>
    <t>C200000001</t>
  </si>
  <si>
    <t>B200000010</t>
  </si>
  <si>
    <t>B20000004701</t>
  </si>
  <si>
    <t>DZESKEWICZ NATHAN</t>
  </si>
  <si>
    <t>DZESKEWICZ HOLLY</t>
  </si>
  <si>
    <t>506 CHINQUAPIN ROAD</t>
  </si>
  <si>
    <t>E700000016</t>
  </si>
  <si>
    <t>DAVIS RONALD LEE</t>
  </si>
  <si>
    <t>DAVIS META W</t>
  </si>
  <si>
    <t>279 LAIRD ROAD</t>
  </si>
  <si>
    <t>27006-7837</t>
  </si>
  <si>
    <t>D70000003901</t>
  </si>
  <si>
    <t>CLEMONS ASHLEY SHEILA</t>
  </si>
  <si>
    <t>204 RIDDLE CIRCLE</t>
  </si>
  <si>
    <t>C7150A0003</t>
  </si>
  <si>
    <t>POTTS DANIEL S</t>
  </si>
  <si>
    <t>POTTS RACHEL W</t>
  </si>
  <si>
    <t>171 WOODBURN PLACE</t>
  </si>
  <si>
    <t>C700000139</t>
  </si>
  <si>
    <t>JOYNER REUBEN MASON ZEBULON</t>
  </si>
  <si>
    <t>142 WILLS ROAD</t>
  </si>
  <si>
    <t>G90000001602</t>
  </si>
  <si>
    <t>OSBORNE DARON</t>
  </si>
  <si>
    <t>OSBORNE MANDA DEANN</t>
  </si>
  <si>
    <t>213 COYETTE LANE</t>
  </si>
  <si>
    <t>E8020A0018</t>
  </si>
  <si>
    <t>DEHAAN PAUL GORDON</t>
  </si>
  <si>
    <t>DEHAAN WENDY KAY</t>
  </si>
  <si>
    <t>105 RAINTREE COURT</t>
  </si>
  <si>
    <t>27006-7628</t>
  </si>
  <si>
    <t>J300000015</t>
  </si>
  <si>
    <t>SHERRILL WILSON ALEXANDER</t>
  </si>
  <si>
    <t>SHERRILL JUDITH ELLIOTT</t>
  </si>
  <si>
    <t>972 GREEN HILL ROAD</t>
  </si>
  <si>
    <t>I300000071</t>
  </si>
  <si>
    <t>DYSON PHILIP E</t>
  </si>
  <si>
    <t>DYSON MARY K</t>
  </si>
  <si>
    <t>1358 US HIGHWAY 64 WEST</t>
  </si>
  <si>
    <t>I30000005002</t>
  </si>
  <si>
    <t>I30000007101</t>
  </si>
  <si>
    <t>C7130A0012</t>
  </si>
  <si>
    <t>FLYNN WILLIAM D</t>
  </si>
  <si>
    <t>FLYNN DAWN A</t>
  </si>
  <si>
    <t>108 MCGEE COURT</t>
  </si>
  <si>
    <t>J60000005803</t>
  </si>
  <si>
    <t>HENDRIX MATTHEW R</t>
  </si>
  <si>
    <t>HENDRIX AILEEN</t>
  </si>
  <si>
    <t>134 MULLINS ROAD</t>
  </si>
  <si>
    <t>I70000010005</t>
  </si>
  <si>
    <t>HEATON TAMMY RENEE</t>
  </si>
  <si>
    <t>129 GRAY CARTER LANE</t>
  </si>
  <si>
    <t>N5110A000802</t>
  </si>
  <si>
    <t>ZINK KATHERINE</t>
  </si>
  <si>
    <t>MILLER JASON</t>
  </si>
  <si>
    <t>661 PINE RIDGE ROAD</t>
  </si>
  <si>
    <t>B700000104</t>
  </si>
  <si>
    <t>DYSON JAMES EARL JR</t>
  </si>
  <si>
    <t>DYSON KAREN FITZGERALD</t>
  </si>
  <si>
    <t>129 BROOKSIDE LANE</t>
  </si>
  <si>
    <t>C7100B0026</t>
  </si>
  <si>
    <t>DUNN ROBERT STANLEY</t>
  </si>
  <si>
    <t>DUNN LATEAH BOYD</t>
  </si>
  <si>
    <t>108 EAST ROBIN DRIVE</t>
  </si>
  <si>
    <t>B7010B0005</t>
  </si>
  <si>
    <t>F800000002</t>
  </si>
  <si>
    <t>F800000033</t>
  </si>
  <si>
    <t>F3130A0017</t>
  </si>
  <si>
    <t>DOBY JAMES DONALD III</t>
  </si>
  <si>
    <t>244 PEPPERSTONE DRIVE</t>
  </si>
  <si>
    <t>C20000000103</t>
  </si>
  <si>
    <t>I10000001201</t>
  </si>
  <si>
    <t>TURNER SABRINA</t>
  </si>
  <si>
    <t>317 COUNTY LINE ROAD</t>
  </si>
  <si>
    <t>D20000003809</t>
  </si>
  <si>
    <t>DENSON JOHN H IV</t>
  </si>
  <si>
    <t>DENSON JEAN R</t>
  </si>
  <si>
    <t>504 DUARD REAVIS ROAD</t>
  </si>
  <si>
    <t>H30000008802</t>
  </si>
  <si>
    <t>EVANS STEPHEN C</t>
  </si>
  <si>
    <t>EVANS PEGGY T</t>
  </si>
  <si>
    <t>214 EVANS ROAD</t>
  </si>
  <si>
    <t>27028-4143</t>
  </si>
  <si>
    <t>H30000008801</t>
  </si>
  <si>
    <t>J10000004501</t>
  </si>
  <si>
    <t>DAYWALT CONNIE A</t>
  </si>
  <si>
    <t>I300000066</t>
  </si>
  <si>
    <t>I300000073</t>
  </si>
  <si>
    <t>G9100A0030</t>
  </si>
  <si>
    <t>DRIVER ARRINGTON JEROME</t>
  </si>
  <si>
    <t>DRIVER COURTNEY LAWRENCE</t>
  </si>
  <si>
    <t>121 LOST FARM DRIVE</t>
  </si>
  <si>
    <t>H4180A0012</t>
  </si>
  <si>
    <t>FRAZIER RICHARD VANN JR</t>
  </si>
  <si>
    <t>123 STERLING DRIVE</t>
  </si>
  <si>
    <t>D8100C0026</t>
  </si>
  <si>
    <t>DRAWDY ROBERT W SR</t>
  </si>
  <si>
    <t>DRAWDY ANN MUNT</t>
  </si>
  <si>
    <t>182 SPYGLASS DRIVE</t>
  </si>
  <si>
    <t>D8060A0022</t>
  </si>
  <si>
    <t>JOHNSON NICHOLAS W</t>
  </si>
  <si>
    <t>165 TIFTON STREET</t>
  </si>
  <si>
    <t>E9150B0029</t>
  </si>
  <si>
    <t>BEESON JAMES MICHAEL</t>
  </si>
  <si>
    <t>BEESON DONNA HENDRIX</t>
  </si>
  <si>
    <t>142 CEDAR LN</t>
  </si>
  <si>
    <t>F20000000302</t>
  </si>
  <si>
    <t>DYSON MICHAEL SHANE</t>
  </si>
  <si>
    <t>DYSON JANET R</t>
  </si>
  <si>
    <t>150 CLEARY RD</t>
  </si>
  <si>
    <t>F100000028</t>
  </si>
  <si>
    <t>H500000010</t>
  </si>
  <si>
    <t>DELLISANTI MICHAEL F</t>
  </si>
  <si>
    <t>DELLISANTI MARGARET</t>
  </si>
  <si>
    <t>307 HARVEST WAY</t>
  </si>
  <si>
    <t>27028-5814</t>
  </si>
  <si>
    <t>I5090B0008</t>
  </si>
  <si>
    <t>DAVIS RANDY C</t>
  </si>
  <si>
    <t>DAVIS MELISSA D</t>
  </si>
  <si>
    <t>685 N MAIN STREET</t>
  </si>
  <si>
    <t>I5090B000801</t>
  </si>
  <si>
    <t>C7150A0013</t>
  </si>
  <si>
    <t>DESKINS BRENDA LYNN</t>
  </si>
  <si>
    <t>DESKINS KYLE E</t>
  </si>
  <si>
    <t>230 WOODBURN PLACE</t>
  </si>
  <si>
    <t>I5030A0041</t>
  </si>
  <si>
    <t>DEL CID MARVIN</t>
  </si>
  <si>
    <t>DEL CID LESLIE ROXANA</t>
  </si>
  <si>
    <t>117 COVENANT COVE DRIVE</t>
  </si>
  <si>
    <t>G100000007</t>
  </si>
  <si>
    <t>EDWARDS SHIRLEY MAE</t>
  </si>
  <si>
    <t>137 EDWARDS RD</t>
  </si>
  <si>
    <t>C40000002301</t>
  </si>
  <si>
    <t>FERGUSON FRANK CHRISTOPHER</t>
  </si>
  <si>
    <t>FERGUSON MARY FAUST</t>
  </si>
  <si>
    <t>3829 NC HIGHWAY 801 NORTH</t>
  </si>
  <si>
    <t>H300000087</t>
  </si>
  <si>
    <t>I300000052</t>
  </si>
  <si>
    <t>BOGER KENNETH D ETAL</t>
  </si>
  <si>
    <t>I30000005702</t>
  </si>
  <si>
    <t>J100000019</t>
  </si>
  <si>
    <t>STROUD REBEKAH CHRISTINE</t>
  </si>
  <si>
    <t>4361 US HWY 64 W</t>
  </si>
  <si>
    <t>E30000012201</t>
  </si>
  <si>
    <t>DRAKE TRENA</t>
  </si>
  <si>
    <t>121 RANDALL WAY</t>
  </si>
  <si>
    <t>H40000010305</t>
  </si>
  <si>
    <t>I4010A0037</t>
  </si>
  <si>
    <t>JORDAN GERRY WAYNE</t>
  </si>
  <si>
    <t>JORDAN PHYLLIS BEAVER</t>
  </si>
  <si>
    <t>144 TURNBERRY DRIVE</t>
  </si>
  <si>
    <t>L6010A0004</t>
  </si>
  <si>
    <t>WENSIL MARLENE N</t>
  </si>
  <si>
    <t>PO BOX 292</t>
  </si>
  <si>
    <t>GG</t>
  </si>
  <si>
    <t>F30000000506</t>
  </si>
  <si>
    <t>LESCH THOMAS RAY</t>
  </si>
  <si>
    <t>LESCH PATRICIA SCHALL</t>
  </si>
  <si>
    <t>1060 WAGNER ROAD</t>
  </si>
  <si>
    <t>E8020A0022</t>
  </si>
  <si>
    <t>FERGUSON GARY</t>
  </si>
  <si>
    <t>121 RAINTREE COURT</t>
  </si>
  <si>
    <t>D7060A0007</t>
  </si>
  <si>
    <t>FISHER TOMMY LYNN</t>
  </si>
  <si>
    <t>FISHER PEGGY H</t>
  </si>
  <si>
    <t>298 CREEKWOOD DRIVE</t>
  </si>
  <si>
    <t>E8160A0023</t>
  </si>
  <si>
    <t>FULK TERRY</t>
  </si>
  <si>
    <t>FULK LISA</t>
  </si>
  <si>
    <t>130 MEADOWS EDGE DRIVE</t>
  </si>
  <si>
    <t>I400000048</t>
  </si>
  <si>
    <t>ROSS JOSEPH</t>
  </si>
  <si>
    <t>ROSS KIM F</t>
  </si>
  <si>
    <t>126 ROBERSON DRIVE</t>
  </si>
  <si>
    <t>D7080A0016</t>
  </si>
  <si>
    <t>FERRY SCOTT S</t>
  </si>
  <si>
    <t>FERRY LINETTE M</t>
  </si>
  <si>
    <t>112 LONGWOOD DRIVE</t>
  </si>
  <si>
    <t>F60000005202</t>
  </si>
  <si>
    <t>FRYE LUTHER WAYNE</t>
  </si>
  <si>
    <t>FRYE DAPHNE A</t>
  </si>
  <si>
    <t>4110 US HIGHWAY 158</t>
  </si>
  <si>
    <t>E60000008401</t>
  </si>
  <si>
    <t>B7140A0002</t>
  </si>
  <si>
    <t>HARTLESS DWAYNE A</t>
  </si>
  <si>
    <t>HARTLESS SHARON</t>
  </si>
  <si>
    <t>123 VALLEY OAKS DRIVE</t>
  </si>
  <si>
    <t>D7080A0054</t>
  </si>
  <si>
    <t>PETERSON MATTHEW JAMES</t>
  </si>
  <si>
    <t>PETERSON DEBORAH ANN</t>
  </si>
  <si>
    <t>191 BETHLEHEM DRIVE</t>
  </si>
  <si>
    <t>L300000025</t>
  </si>
  <si>
    <t>FULK JACK Z JR</t>
  </si>
  <si>
    <t>% DONNA F HADDOCK</t>
  </si>
  <si>
    <t>4905 WATERS EDGE DRIVE</t>
  </si>
  <si>
    <t>27606-0000</t>
  </si>
  <si>
    <t>B40000001404</t>
  </si>
  <si>
    <t>C400000023</t>
  </si>
  <si>
    <t>K80000002007</t>
  </si>
  <si>
    <t>PECK CHRISTINA</t>
  </si>
  <si>
    <t>O'LEARY-PECK CHRISTINA (AKA)</t>
  </si>
  <si>
    <t>324 SEAFORD ROAD</t>
  </si>
  <si>
    <t>C400000069</t>
  </si>
  <si>
    <t>COOK JOSEPH AARON</t>
  </si>
  <si>
    <t>COOK TERRI BREEANN PARNELL</t>
  </si>
  <si>
    <t>279 DANCE HALL ROAD</t>
  </si>
  <si>
    <t>G8130A0002</t>
  </si>
  <si>
    <t>FRYE CHARLES WESLEY</t>
  </si>
  <si>
    <t>PO BOX 124</t>
  </si>
  <si>
    <t>27006-0124</t>
  </si>
  <si>
    <t>G8130A000201</t>
  </si>
  <si>
    <t>G8130A000101</t>
  </si>
  <si>
    <t>J4040A0001</t>
  </si>
  <si>
    <t>FONTANA ROBERT</t>
  </si>
  <si>
    <t>FONTANA JUDITH</t>
  </si>
  <si>
    <t>379 WEST MAPLE AVENUE</t>
  </si>
  <si>
    <t>L30000000704</t>
  </si>
  <si>
    <t>KENNEDY CHRISTOPHER</t>
  </si>
  <si>
    <t>832 RATLEDGE ROAD</t>
  </si>
  <si>
    <t>F80000014007</t>
  </si>
  <si>
    <t>GOOD STEVEN J</t>
  </si>
  <si>
    <t>GOOD DAWNE M</t>
  </si>
  <si>
    <t>135 RICHMONT LANE</t>
  </si>
  <si>
    <t>G8140A0077</t>
  </si>
  <si>
    <t>MAYES DONNA MARIE</t>
  </si>
  <si>
    <t>MAYES FRANKY JOE JR</t>
  </si>
  <si>
    <t>114 OLD HOMEPLACE DRIVE</t>
  </si>
  <si>
    <t>M600000051</t>
  </si>
  <si>
    <t>CLEMENT WILLIE L JR</t>
  </si>
  <si>
    <t>CLEMENT HEATHER C</t>
  </si>
  <si>
    <t>M60000004801</t>
  </si>
  <si>
    <t>M600000048</t>
  </si>
  <si>
    <t>M70000000101</t>
  </si>
  <si>
    <t>E900000198</t>
  </si>
  <si>
    <t>DOMBROSKY JOSHUA</t>
  </si>
  <si>
    <t>DOMBROSKY ANNETTE</t>
  </si>
  <si>
    <t>136 LONETREE CIRCLE</t>
  </si>
  <si>
    <t>F90000000801</t>
  </si>
  <si>
    <t>ELLIS DIANA L</t>
  </si>
  <si>
    <t>161 VOGLER ROAD</t>
  </si>
  <si>
    <t>I5020A0002</t>
  </si>
  <si>
    <t>FOSTER PAUL CASEY</t>
  </si>
  <si>
    <t>133 LAKECREST DRIVE</t>
  </si>
  <si>
    <t>27028-2708</t>
  </si>
  <si>
    <t>B30000003109</t>
  </si>
  <si>
    <t>GOMEZ JOSE DOLORES</t>
  </si>
  <si>
    <t>213 CHILDRENS HOME ROAD</t>
  </si>
  <si>
    <t>27028-4701</t>
  </si>
  <si>
    <t>M5100C000701</t>
  </si>
  <si>
    <t>PONCE ARTURO MALDONADO</t>
  </si>
  <si>
    <t>RIVERA MIRNA GUADALUPE VASQUEZ</t>
  </si>
  <si>
    <t>PO BOX 145</t>
  </si>
  <si>
    <t>C500000094</t>
  </si>
  <si>
    <t>C5130A0011</t>
  </si>
  <si>
    <t>J5010D0033</t>
  </si>
  <si>
    <t>FELLING RONALD PAUL JR</t>
  </si>
  <si>
    <t>FELLING BARBARA A</t>
  </si>
  <si>
    <t>148 CLOISTER DRIVE</t>
  </si>
  <si>
    <t>M5160C0030</t>
  </si>
  <si>
    <t>SUNCHASER ENTERPRISE LLC</t>
  </si>
  <si>
    <t>158 SUNBURST LANE</t>
  </si>
  <si>
    <t>M5160C0031</t>
  </si>
  <si>
    <t>D2010A0014</t>
  </si>
  <si>
    <t>LOYD DEREK S</t>
  </si>
  <si>
    <t>LOYD AMANDA L</t>
  </si>
  <si>
    <t>120 TIMBER TRAILS</t>
  </si>
  <si>
    <t>I5020A0003</t>
  </si>
  <si>
    <t>J7010A0002</t>
  </si>
  <si>
    <t>ETCHISON BILLY GARLAND</t>
  </si>
  <si>
    <t>115 HICKORY TREE ROAD</t>
  </si>
  <si>
    <t>L30000000705</t>
  </si>
  <si>
    <t>D500000130</t>
  </si>
  <si>
    <t>FRENCH JAMES DAVID</t>
  </si>
  <si>
    <t>FRENCH PATRICIA ANN</t>
  </si>
  <si>
    <t>C8010A0225</t>
  </si>
  <si>
    <t>GOUGE DEBORAH JANE</t>
  </si>
  <si>
    <t>120 ROSEWALK LANE</t>
  </si>
  <si>
    <t>H8060A0061</t>
  </si>
  <si>
    <t>AZAR JEFFREY</t>
  </si>
  <si>
    <t>AZAR JACQUELYN ELAINE</t>
  </si>
  <si>
    <t>135 COVINGTON DRIVE</t>
  </si>
  <si>
    <t>D500000058</t>
  </si>
  <si>
    <t>HUNTER F EUGENE</t>
  </si>
  <si>
    <t>HUNTER BRENDA</t>
  </si>
  <si>
    <t>188 PUDDING RIDGE ROAD</t>
  </si>
  <si>
    <t>HSTRICKLAND</t>
  </si>
  <si>
    <t>E500000012</t>
  </si>
  <si>
    <t>D400000016</t>
  </si>
  <si>
    <t>I5060A0012</t>
  </si>
  <si>
    <t>FISHER JERRY WAYNE</t>
  </si>
  <si>
    <t>201 WHITNEY ROAD</t>
  </si>
  <si>
    <t>27028-2818</t>
  </si>
  <si>
    <t>C700000155</t>
  </si>
  <si>
    <t>ALLEN TIMOTHY C</t>
  </si>
  <si>
    <t>ALLEN HANNAH C</t>
  </si>
  <si>
    <t>120 MATTS PLACE</t>
  </si>
  <si>
    <t>B500000042</t>
  </si>
  <si>
    <t>WILHELM GREGORY M JR</t>
  </si>
  <si>
    <t>WILHELM MYA L</t>
  </si>
  <si>
    <t>215 ABBEY LANE</t>
  </si>
  <si>
    <t>I300000063</t>
  </si>
  <si>
    <t>FORREST NORMAN C</t>
  </si>
  <si>
    <t>255 VETERANS DRIVE</t>
  </si>
  <si>
    <t>I30000006103</t>
  </si>
  <si>
    <t>M5150A0009</t>
  </si>
  <si>
    <t>FROELICH NICOLE D</t>
  </si>
  <si>
    <t>FROELICH WILLIAM E</t>
  </si>
  <si>
    <t>155 BOOTLEG ALLEY</t>
  </si>
  <si>
    <t>J30000002305</t>
  </si>
  <si>
    <t>FRANKE STEVEN W</t>
  </si>
  <si>
    <t>FRANKE CINDY LOU</t>
  </si>
  <si>
    <t>179 PERSIMMON GROVE LANE</t>
  </si>
  <si>
    <t>G600000097</t>
  </si>
  <si>
    <t>GRUBBS MICHAEL D SR</t>
  </si>
  <si>
    <t>GRUBBS JENNIFER L</t>
  </si>
  <si>
    <t>322 HEPLER ROAD</t>
  </si>
  <si>
    <t>N50000003701</t>
  </si>
  <si>
    <t>LAGLE HOMER EUGENE</t>
  </si>
  <si>
    <t>LAGLE TAMSIE SMITH</t>
  </si>
  <si>
    <t>108 RUFFIN STREET</t>
  </si>
  <si>
    <t>M4130A0041</t>
  </si>
  <si>
    <t>N50000003703</t>
  </si>
  <si>
    <t>E900000677</t>
  </si>
  <si>
    <t>DRUM KYLE</t>
  </si>
  <si>
    <t>DRUM ANGELA</t>
  </si>
  <si>
    <t>474 N HIDDENBROOKE DRIVE</t>
  </si>
  <si>
    <t>I50000002402</t>
  </si>
  <si>
    <t>HATLEY STEVEN L  TRUSTEE</t>
  </si>
  <si>
    <t>HATLEY LINDA S   TRUSTEE</t>
  </si>
  <si>
    <t>1069 MILLING ROAD</t>
  </si>
  <si>
    <t>O600000026</t>
  </si>
  <si>
    <t>GADSON WILLIE</t>
  </si>
  <si>
    <t>GADSON LORENE B</t>
  </si>
  <si>
    <t>4040 US HIGHWAY 601 SOUTH</t>
  </si>
  <si>
    <t>E900000278</t>
  </si>
  <si>
    <t>HOGE BRETT</t>
  </si>
  <si>
    <t>HOGE WENDY P</t>
  </si>
  <si>
    <t>121 GRASSLANDS COURT</t>
  </si>
  <si>
    <t>B40000003701</t>
  </si>
  <si>
    <t>GROCE GARY THOMAS</t>
  </si>
  <si>
    <t>GROCE BARBARA S</t>
  </si>
  <si>
    <t>996 WYO ROAD</t>
  </si>
  <si>
    <t>B400000037  A</t>
  </si>
  <si>
    <t>E8110B001701</t>
  </si>
  <si>
    <t>GALLIMORE ROBERT D</t>
  </si>
  <si>
    <t>GALLIMORE SALLY A</t>
  </si>
  <si>
    <t>289 RIVER ROAD</t>
  </si>
  <si>
    <t>B70000007901</t>
  </si>
  <si>
    <t>GREGORY LARRY B</t>
  </si>
  <si>
    <t>GREGORY PATRICIA C</t>
  </si>
  <si>
    <t>1011 YADKIN VALLEY ROAD</t>
  </si>
  <si>
    <t>27006-9806</t>
  </si>
  <si>
    <t>I4050A0001</t>
  </si>
  <si>
    <t>LAWRENCE JASON E</t>
  </si>
  <si>
    <t>LAWRENCE KATI L</t>
  </si>
  <si>
    <t>350 WANDERING LANE</t>
  </si>
  <si>
    <t>I6150A0006</t>
  </si>
  <si>
    <t>GRIFFITH CASEY A</t>
  </si>
  <si>
    <t>GRIFFITH OLIVIA C</t>
  </si>
  <si>
    <t>389 CORNATZER ROAD</t>
  </si>
  <si>
    <t>D8060B0041</t>
  </si>
  <si>
    <t>ASHLEY SUSAN</t>
  </si>
  <si>
    <t>348 BERMUDA RUN DRIVE</t>
  </si>
  <si>
    <t>J300000035</t>
  </si>
  <si>
    <t>HALL MARY A</t>
  </si>
  <si>
    <t>HALL STEPHEN LANE</t>
  </si>
  <si>
    <t>460 MCALLISTER ROAD</t>
  </si>
  <si>
    <t>I500000003</t>
  </si>
  <si>
    <t>848 S MAIN STREET</t>
  </si>
  <si>
    <t>F80000011203</t>
  </si>
  <si>
    <t>HICKS LARRY</t>
  </si>
  <si>
    <t>149 IN AND OUT LANE</t>
  </si>
  <si>
    <t>27006-7802</t>
  </si>
  <si>
    <t>F80000011204</t>
  </si>
  <si>
    <t>F70000001601</t>
  </si>
  <si>
    <t>HARPE DEREK S</t>
  </si>
  <si>
    <t>HARPE PAMELA P</t>
  </si>
  <si>
    <t>L50000009202</t>
  </si>
  <si>
    <t>HARRIS DEBORAH</t>
  </si>
  <si>
    <t>HARRIS NATHAN SHANE</t>
  </si>
  <si>
    <t>539 FAIRFIELD RD</t>
  </si>
  <si>
    <t>J5030A0023</t>
  </si>
  <si>
    <t>PRESLEY PHILLIP C JR</t>
  </si>
  <si>
    <t>PRESLEY PHYLLIS J</t>
  </si>
  <si>
    <t>255 EAST LAKE DRIVE</t>
  </si>
  <si>
    <t>F8020B0034</t>
  </si>
  <si>
    <t>MCKINNEY TYLER JR</t>
  </si>
  <si>
    <t>MCKINNEY KARA RUTH</t>
  </si>
  <si>
    <t>108 S HIGH FIELD ROAD</t>
  </si>
  <si>
    <t>N5010B0049</t>
  </si>
  <si>
    <t>ASKEW CHERYL ANN</t>
  </si>
  <si>
    <t>P O BOX 454</t>
  </si>
  <si>
    <t>27014-0454</t>
  </si>
  <si>
    <t>Heather B</t>
  </si>
  <si>
    <t>G90000001301</t>
  </si>
  <si>
    <t>HOLLAND FREDERIC A</t>
  </si>
  <si>
    <t>P O BOX 123</t>
  </si>
  <si>
    <t>C8030A000102</t>
  </si>
  <si>
    <t>G90000001309</t>
  </si>
  <si>
    <t>HOLLAND FREDERIC</t>
  </si>
  <si>
    <t>HOLLAND ANNE</t>
  </si>
  <si>
    <t>E900000108</t>
  </si>
  <si>
    <t>THOMAS DAVE A</t>
  </si>
  <si>
    <t>THOMAS CARRIE C</t>
  </si>
  <si>
    <t>114 KESWICK COURT</t>
  </si>
  <si>
    <t>H4180A0002</t>
  </si>
  <si>
    <t>LANGSTON MARIETTA R</t>
  </si>
  <si>
    <t>114 STERLING DRIVE</t>
  </si>
  <si>
    <t>J5150D0003</t>
  </si>
  <si>
    <t>RODRIGUEZ ANDRES ASCENCIO</t>
  </si>
  <si>
    <t>OLEA GLENDA L MORENO</t>
  </si>
  <si>
    <t>276 SOUTHWOOD ACRES</t>
  </si>
  <si>
    <t>C8010B0385</t>
  </si>
  <si>
    <t>PAGE LARISSA</t>
  </si>
  <si>
    <t>137 GLENMOOR AVENUE</t>
  </si>
  <si>
    <t>L600000039</t>
  </si>
  <si>
    <t>HODGE JERRY D JR</t>
  </si>
  <si>
    <t>1687 DEADMON ROAD</t>
  </si>
  <si>
    <t>H50000003101</t>
  </si>
  <si>
    <t>DAVID CHRISTOPHER</t>
  </si>
  <si>
    <t>234 OAK GROVE CHURCH RD</t>
  </si>
  <si>
    <t>G20000001704</t>
  </si>
  <si>
    <t>MONTELEONE ANGELA ROBERSON</t>
  </si>
  <si>
    <t>MONTELEONE DAVID MICHAEL</t>
  </si>
  <si>
    <t>262 SMOOT FARM LANE</t>
  </si>
  <si>
    <t>K20000002001</t>
  </si>
  <si>
    <t>HARDT JAMES R</t>
  </si>
  <si>
    <t>HARDT JACKIE A</t>
  </si>
  <si>
    <t>202 SOUTH CLAYBON DRIVE</t>
  </si>
  <si>
    <t>27006-7929</t>
  </si>
  <si>
    <t>D7030C0021</t>
  </si>
  <si>
    <t>J6050C0008</t>
  </si>
  <si>
    <t>HELDERMAN JOHN A JR</t>
  </si>
  <si>
    <t>HELDERMAN SARAH R</t>
  </si>
  <si>
    <t>184 HAWTHORNE ROAD</t>
  </si>
  <si>
    <t>N5010A0029</t>
  </si>
  <si>
    <t>HOWELL DENNIS CRAIG</t>
  </si>
  <si>
    <t>2420 EAST US HIGHWAY 64</t>
  </si>
  <si>
    <t>J60000006501</t>
  </si>
  <si>
    <t>HOWELL DENNIS C</t>
  </si>
  <si>
    <t>2420 US HIGHWAY 64 EAST</t>
  </si>
  <si>
    <t>D500000126</t>
  </si>
  <si>
    <t>HOLLEMAN HENRY NATHAN</t>
  </si>
  <si>
    <t>782 BOBBIT  ROAD</t>
  </si>
  <si>
    <t>27028-7615</t>
  </si>
  <si>
    <t>K5150A0001</t>
  </si>
  <si>
    <t>HINKLE BRUCE E JR</t>
  </si>
  <si>
    <t>289 HINKLE DRIVE</t>
  </si>
  <si>
    <t>27028-6635</t>
  </si>
  <si>
    <t>K600000013</t>
  </si>
  <si>
    <t>TISE MARSHA ANN</t>
  </si>
  <si>
    <t>917 DEADMON ROAD</t>
  </si>
  <si>
    <t>K60000001302</t>
  </si>
  <si>
    <t>B60000001203</t>
  </si>
  <si>
    <t>SMITH RITA L</t>
  </si>
  <si>
    <t>132 DEERFIELD ROAD</t>
  </si>
  <si>
    <t>B600000018</t>
  </si>
  <si>
    <t>E60000008403</t>
  </si>
  <si>
    <t>HUDSON CHARLES S</t>
  </si>
  <si>
    <t>HUDSON BRIDGET K</t>
  </si>
  <si>
    <t>151 HOWARDTOWN CIRCLE</t>
  </si>
  <si>
    <t>27028-7700</t>
  </si>
  <si>
    <t>J600000007</t>
  </si>
  <si>
    <t>WALL BESSIE J REV LIVING TRUST</t>
  </si>
  <si>
    <t>117 CALL ROAD</t>
  </si>
  <si>
    <t>27028-7110</t>
  </si>
  <si>
    <t>I5070C0003</t>
  </si>
  <si>
    <t>SHUMAKER GARY STEVEN</t>
  </si>
  <si>
    <t>388 MILLING ROAD</t>
  </si>
  <si>
    <t>27028-2721</t>
  </si>
  <si>
    <t>C7100B0014</t>
  </si>
  <si>
    <t>HELMS LARRY DEAN</t>
  </si>
  <si>
    <t>HELMS VICKI LYNN</t>
  </si>
  <si>
    <t>178 WOODLEE DRIVE</t>
  </si>
  <si>
    <t>27006-7941</t>
  </si>
  <si>
    <t>J60000007404</t>
  </si>
  <si>
    <t>HALL LEWIS ALLEN</t>
  </si>
  <si>
    <t>HALL SANDRA BOGER</t>
  </si>
  <si>
    <t>2068 US HIGHWAY 64 EAST</t>
  </si>
  <si>
    <t>J500000006</t>
  </si>
  <si>
    <t>HUTCHENS ROGER D</t>
  </si>
  <si>
    <t>1045 EAST US HIGHWAY 64</t>
  </si>
  <si>
    <t>G3020A0002</t>
  </si>
  <si>
    <t>GARNER MICHAEL E</t>
  </si>
  <si>
    <t>GARNER CATHIE A</t>
  </si>
  <si>
    <t>108 WHITE DOVE WAY</t>
  </si>
  <si>
    <t>G3020A0003</t>
  </si>
  <si>
    <t>E900000722</t>
  </si>
  <si>
    <t>VINES JOHN KEITH</t>
  </si>
  <si>
    <t>VINES HEATHER</t>
  </si>
  <si>
    <t>137 CAUDLE MEADOWS DRIVE</t>
  </si>
  <si>
    <t>F300000105</t>
  </si>
  <si>
    <t>MURPHY BILLY GWYN</t>
  </si>
  <si>
    <t>27028-5648</t>
  </si>
  <si>
    <t>F30000010402</t>
  </si>
  <si>
    <t>D7020B0009</t>
  </si>
  <si>
    <t>GAJEWSKI ANTHONY</t>
  </si>
  <si>
    <t>GAJEWSKI OLGA</t>
  </si>
  <si>
    <t>202 BRENTWOOD DRIVE</t>
  </si>
  <si>
    <t>F300000107</t>
  </si>
  <si>
    <t>HOLLIS EDMONIA</t>
  </si>
  <si>
    <t>F300000108  A</t>
  </si>
  <si>
    <t>F80000011102</t>
  </si>
  <si>
    <t>C40000000201</t>
  </si>
  <si>
    <t>FAAK RONALD P</t>
  </si>
  <si>
    <t>806 HOWELL ROAD</t>
  </si>
  <si>
    <t>K50000008904</t>
  </si>
  <si>
    <t>HARE CHRISTOPHER SCOTT</t>
  </si>
  <si>
    <t>27028-5141</t>
  </si>
  <si>
    <t>E900000076</t>
  </si>
  <si>
    <t>MATTHEWS JAMES GREGORY</t>
  </si>
  <si>
    <t>MATTHEWS ANNAH N</t>
  </si>
  <si>
    <t>115 AVIARA DRIVE</t>
  </si>
  <si>
    <t>F90000001808</t>
  </si>
  <si>
    <t>HARTMAN ROBBIE L</t>
  </si>
  <si>
    <t>HARTMAN TANYA M</t>
  </si>
  <si>
    <t>F900000019</t>
  </si>
  <si>
    <t>G8130B0001</t>
  </si>
  <si>
    <t>HART BILLY SR</t>
  </si>
  <si>
    <t>HART PAMELA H</t>
  </si>
  <si>
    <t>214 SHUTT ROAD</t>
  </si>
  <si>
    <t>27006-7432</t>
  </si>
  <si>
    <t>C70000008101</t>
  </si>
  <si>
    <t>COLLINS JOHN W JR</t>
  </si>
  <si>
    <t>139 COPE ROAD</t>
  </si>
  <si>
    <t>N5010B0020</t>
  </si>
  <si>
    <t>BRINDLE CHARLIE EDWARD JR</t>
  </si>
  <si>
    <t>BRINDLE MAGGIE GREEN</t>
  </si>
  <si>
    <t>PO BOX 503</t>
  </si>
  <si>
    <t>B30000004705</t>
  </si>
  <si>
    <t>HAMM KENNETH R</t>
  </si>
  <si>
    <t>HAMM TERRI ELISA BECK</t>
  </si>
  <si>
    <t>4454 NC HIGHWAY 801 NORTH</t>
  </si>
  <si>
    <t>C60000011202</t>
  </si>
  <si>
    <t>HEPLER ROBERT&amp;BARBARA 98%</t>
  </si>
  <si>
    <t>1780 YADKIN VALLEY ROAD</t>
  </si>
  <si>
    <t>C600000113</t>
  </si>
  <si>
    <t>C60000011201</t>
  </si>
  <si>
    <t>L5020A0027</t>
  </si>
  <si>
    <t>COLLINS ROSEMARY</t>
  </si>
  <si>
    <t>178 TWIN CEDARS GOLF ROAD</t>
  </si>
  <si>
    <t>I400000018</t>
  </si>
  <si>
    <t>HOWELL GARY S</t>
  </si>
  <si>
    <t>HOWELL GLENDA G</t>
  </si>
  <si>
    <t>175 BROOK DRIVE</t>
  </si>
  <si>
    <t>H4140B0013</t>
  </si>
  <si>
    <t>MORGAN C ANDREW</t>
  </si>
  <si>
    <t>512 COUNTRY LANE</t>
  </si>
  <si>
    <t>J200000018</t>
  </si>
  <si>
    <t>HENDREN ELMER R</t>
  </si>
  <si>
    <t>HENDREN MARY ELIZABETH</t>
  </si>
  <si>
    <t>H8060A0007</t>
  </si>
  <si>
    <t>HUNTER SCOTT</t>
  </si>
  <si>
    <t>HUNTER JULIE</t>
  </si>
  <si>
    <t>134 ALEXANDRIA COURT</t>
  </si>
  <si>
    <t>E900000210</t>
  </si>
  <si>
    <t>HINSHAW TYLER M</t>
  </si>
  <si>
    <t>356 KINGSMILL DR</t>
  </si>
  <si>
    <t>C60000006001</t>
  </si>
  <si>
    <t>HOLSHOUSER MARK H</t>
  </si>
  <si>
    <t>HOLSHOUSER DONNA M</t>
  </si>
  <si>
    <t>1510 NC HIGHWAY 801 NORTH</t>
  </si>
  <si>
    <t>C600000065</t>
  </si>
  <si>
    <t>E50000001301</t>
  </si>
  <si>
    <t>HOWELL JORDAN PRYCE</t>
  </si>
  <si>
    <t>227 PUDDING RIDGE ROAD</t>
  </si>
  <si>
    <t>E50000001302</t>
  </si>
  <si>
    <t>J50000003503</t>
  </si>
  <si>
    <t>J5090A0011  A</t>
  </si>
  <si>
    <t>H5070A0004</t>
  </si>
  <si>
    <t>MANSPILE MARK ALLEN</t>
  </si>
  <si>
    <t>MANSPILE LISA ANN</t>
  </si>
  <si>
    <t>273 SAIN ROAD</t>
  </si>
  <si>
    <t>B20000000801</t>
  </si>
  <si>
    <t>IVESTER MICHAEL JAMES</t>
  </si>
  <si>
    <t>IVESTER LISA MERIDITH</t>
  </si>
  <si>
    <t>327 OLLIE HARKEY ROAD</t>
  </si>
  <si>
    <t>J5030A0008</t>
  </si>
  <si>
    <t>STAMPER JULIE A</t>
  </si>
  <si>
    <t>WEST JONATHAN L</t>
  </si>
  <si>
    <t>190 CRESTVIEW DRIVE</t>
  </si>
  <si>
    <t>E700000126  A</t>
  </si>
  <si>
    <t>IRELAND TONI</t>
  </si>
  <si>
    <t>448 BALTIMORE RD</t>
  </si>
  <si>
    <t>H6080A000104</t>
  </si>
  <si>
    <t>IMPELLIZERI LAWRENCE J</t>
  </si>
  <si>
    <t>139 PENNINGTON DOWELL LANE</t>
  </si>
  <si>
    <t>B50000008307</t>
  </si>
  <si>
    <t>RIVERS VICTORIA</t>
  </si>
  <si>
    <t>2439 FARMINGTON ROAD</t>
  </si>
  <si>
    <t>B300000045</t>
  </si>
  <si>
    <t>JURGENSEN THOMAS REED</t>
  </si>
  <si>
    <t>JURGENSEN CONSTANCE G</t>
  </si>
  <si>
    <t>192 MORTGAGE HILL WAY</t>
  </si>
  <si>
    <t>H80000003703</t>
  </si>
  <si>
    <t>HALL LINDA R</t>
  </si>
  <si>
    <t>6527 KERNERSVILLE ROAD</t>
  </si>
  <si>
    <t>BELEWS CREEK</t>
  </si>
  <si>
    <t>H80000003702</t>
  </si>
  <si>
    <t>F300000104</t>
  </si>
  <si>
    <t>G300000054</t>
  </si>
  <si>
    <t>F30000003603</t>
  </si>
  <si>
    <t>C500000022</t>
  </si>
  <si>
    <t>HINSLEY SUE HUNTER</t>
  </si>
  <si>
    <t>2888 NC HWY 801 NORTH</t>
  </si>
  <si>
    <t>H8060A0030</t>
  </si>
  <si>
    <t>HESTER BRADLEY D</t>
  </si>
  <si>
    <t>HESTER DEBORAH S</t>
  </si>
  <si>
    <t>158 SOUTH HEMMINGWAY COURT</t>
  </si>
  <si>
    <t>E600000005</t>
  </si>
  <si>
    <t>HICKOK SCOTT W</t>
  </si>
  <si>
    <t>HICKOK PAULA C</t>
  </si>
  <si>
    <t>224 GILBERT ROAD</t>
  </si>
  <si>
    <t>K5100A0030</t>
  </si>
  <si>
    <t>JAMES SHARON THOMPSON TRSTEE</t>
  </si>
  <si>
    <t>K5100A003001</t>
  </si>
  <si>
    <t>K50000005702</t>
  </si>
  <si>
    <t>K500000073</t>
  </si>
  <si>
    <t>K50000007301</t>
  </si>
  <si>
    <t>K5100A003002</t>
  </si>
  <si>
    <t>H90000004203</t>
  </si>
  <si>
    <t>HOWELL JACK WELLINGTON</t>
  </si>
  <si>
    <t>HOWELL ANITA CORRIHER</t>
  </si>
  <si>
    <t>392 PEOPLES CREEK ROAD</t>
  </si>
  <si>
    <t>27006-7439</t>
  </si>
  <si>
    <t>C100000019</t>
  </si>
  <si>
    <t>HINSON THOMAS R JR REV TRST</t>
  </si>
  <si>
    <t>HINSON JUDITH B REV TRST</t>
  </si>
  <si>
    <t>4260 BRIAR CREEK ROAD</t>
  </si>
  <si>
    <t>E900000605</t>
  </si>
  <si>
    <t>HILL HARRY E</t>
  </si>
  <si>
    <t>HILL WANDA</t>
  </si>
  <si>
    <t>131 WEST EDEN COURSE DRIVE</t>
  </si>
  <si>
    <t>G3050B0005</t>
  </si>
  <si>
    <t>CARR TEREE S REVOCABLE TRUST</t>
  </si>
  <si>
    <t>4621 W 34TH AVENUE</t>
  </si>
  <si>
    <t>L30000002702</t>
  </si>
  <si>
    <t>HALTEMAN WILLIS ALDERFER JR</t>
  </si>
  <si>
    <t>HALTEMAN JUDITH YVONNE</t>
  </si>
  <si>
    <t>209 DUNHAVEN LANE</t>
  </si>
  <si>
    <t>B30000004101</t>
  </si>
  <si>
    <t>I20000002802</t>
  </si>
  <si>
    <t>HODGES JAMES R</t>
  </si>
  <si>
    <t>HODGES PATSY S</t>
  </si>
  <si>
    <t>213 HODGES DRIVE</t>
  </si>
  <si>
    <t>H5190A0012</t>
  </si>
  <si>
    <t>TURNEY MARK A</t>
  </si>
  <si>
    <t>TURNEY DOROTHY L</t>
  </si>
  <si>
    <t>166 S MADERA DRIVE</t>
  </si>
  <si>
    <t>N700000002</t>
  </si>
  <si>
    <t>HILTON BREMON D SR</t>
  </si>
  <si>
    <t>HILTON SHELBY H</t>
  </si>
  <si>
    <t>723 SINGLETON ROAD</t>
  </si>
  <si>
    <t>27028-6840</t>
  </si>
  <si>
    <t>C700000054</t>
  </si>
  <si>
    <t>KENNEY DANIEL CHRISTOPHER</t>
  </si>
  <si>
    <t>931 NC HIGHWAY 801 NORTH</t>
  </si>
  <si>
    <t>N70000000201</t>
  </si>
  <si>
    <t>N70000000202</t>
  </si>
  <si>
    <t>H2050B0013</t>
  </si>
  <si>
    <t>HURT ROY L</t>
  </si>
  <si>
    <t>HURT TERESA M</t>
  </si>
  <si>
    <t>2352 US HIGHWAY 64 WEST</t>
  </si>
  <si>
    <t>27028-8441</t>
  </si>
  <si>
    <t>E6040A0016</t>
  </si>
  <si>
    <t>KING WILLIAM LEE</t>
  </si>
  <si>
    <t>191 TIMBER LANE</t>
  </si>
  <si>
    <t>G3060A0042</t>
  </si>
  <si>
    <t>KNIGHT JOHN H</t>
  </si>
  <si>
    <t>KNIGHT MARLENA B</t>
  </si>
  <si>
    <t>184 STONY BROOK TRAIL</t>
  </si>
  <si>
    <t>F800000014</t>
  </si>
  <si>
    <t>HOWARD JOHN R</t>
  </si>
  <si>
    <t>HOWARD RUBY H</t>
  </si>
  <si>
    <t>468 BEAUCHAMP ROAD</t>
  </si>
  <si>
    <t>M60000002804</t>
  </si>
  <si>
    <t>HOLLAR JASON RAY</t>
  </si>
  <si>
    <t>HOLLAR CHRISTINA R WAGONER</t>
  </si>
  <si>
    <t>230 SADDLE UP TRAIL</t>
  </si>
  <si>
    <t>D300000069</t>
  </si>
  <si>
    <t>HARRIS FREDERICK A</t>
  </si>
  <si>
    <t>3912 HIGHWAY 601 NORTH</t>
  </si>
  <si>
    <t>E70000012604</t>
  </si>
  <si>
    <t>I500000032</t>
  </si>
  <si>
    <t>VICK INVESTMENT PROPERTIES LLC</t>
  </si>
  <si>
    <t>130 FUNDER DRIVE</t>
  </si>
  <si>
    <t>I5050A0021</t>
  </si>
  <si>
    <t>KETRON ANITA C</t>
  </si>
  <si>
    <t>224 CREEKSIDE DRIVE</t>
  </si>
  <si>
    <t>F8030A0024</t>
  </si>
  <si>
    <t>KEYSER BRIAN M</t>
  </si>
  <si>
    <t>KEYSER TERESA R</t>
  </si>
  <si>
    <t>244 ESSEX FARM ROAD</t>
  </si>
  <si>
    <t>N50000000604</t>
  </si>
  <si>
    <t>EUDY WANDA GLASS</t>
  </si>
  <si>
    <t>154 ADMILL WAY</t>
  </si>
  <si>
    <t>H400000001</t>
  </si>
  <si>
    <t>LANGSTON MARRIETTA RUMMAGE</t>
  </si>
  <si>
    <t>1922 US HIGHWAY 601 NORTH</t>
  </si>
  <si>
    <t>27028-4404</t>
  </si>
  <si>
    <t>H400000002</t>
  </si>
  <si>
    <t>F80000013903</t>
  </si>
  <si>
    <t>LAIL GALEN PATRICK</t>
  </si>
  <si>
    <t>108 HEAVENLY LN</t>
  </si>
  <si>
    <t>D9090D0002</t>
  </si>
  <si>
    <t>LAWTHER JOHN SANFORD</t>
  </si>
  <si>
    <t>LAWTHER BETTY LOUISE</t>
  </si>
  <si>
    <t>299 HOLLYBROOK DRIVE</t>
  </si>
  <si>
    <t>K3050B0014</t>
  </si>
  <si>
    <t>RIDINGS ROSALIND</t>
  </si>
  <si>
    <t>213 CAROLINA AVENUE</t>
  </si>
  <si>
    <t>F500000032</t>
  </si>
  <si>
    <t>HAIRE GEORGE</t>
  </si>
  <si>
    <t>HAIRE LENA</t>
  </si>
  <si>
    <t>D70000000303</t>
  </si>
  <si>
    <t>LAU BRUCE II</t>
  </si>
  <si>
    <t>LAU MARY MARTIN</t>
  </si>
  <si>
    <t>179 PARTRIDGE LANE</t>
  </si>
  <si>
    <t>H10000001003</t>
  </si>
  <si>
    <t>LEWIS JAMES E</t>
  </si>
  <si>
    <t>LEWIS JONELL G</t>
  </si>
  <si>
    <t>512 COUNTY LINE ROAD</t>
  </si>
  <si>
    <t>28634-8904</t>
  </si>
  <si>
    <t>H10000001002</t>
  </si>
  <si>
    <t>H100000011</t>
  </si>
  <si>
    <t>B600000033</t>
  </si>
  <si>
    <t>LEWIS WADE SCOTT</t>
  </si>
  <si>
    <t>LYNCH PATTI ANN</t>
  </si>
  <si>
    <t>310 SPARKS ROAD</t>
  </si>
  <si>
    <t>B600000032</t>
  </si>
  <si>
    <t>H200000030</t>
  </si>
  <si>
    <t>JOHNSON THOMAS III</t>
  </si>
  <si>
    <t>JOHNSON MINDY</t>
  </si>
  <si>
    <t>454 FRED LANIER ROAD</t>
  </si>
  <si>
    <t>J700000098</t>
  </si>
  <si>
    <t>HENDRIX THOMAS L</t>
  </si>
  <si>
    <t>HENDRIX DELORISE</t>
  </si>
  <si>
    <t>3271 US HIGHWAY 64 EAST</t>
  </si>
  <si>
    <t>27006-7053</t>
  </si>
  <si>
    <t>J80000001702</t>
  </si>
  <si>
    <t>LANIER JOHN TANDY</t>
  </si>
  <si>
    <t>LANIER DIANNE T</t>
  </si>
  <si>
    <t>3720 NC HIGHWAY 801 SOUTH</t>
  </si>
  <si>
    <t>E900000306</t>
  </si>
  <si>
    <t>LI JUNBO</t>
  </si>
  <si>
    <t>LIAN XIN</t>
  </si>
  <si>
    <t>640 OAK VALLEY BLVD</t>
  </si>
  <si>
    <t>M40000003001</t>
  </si>
  <si>
    <t>LYERLY BRENDA BARNWELL B</t>
  </si>
  <si>
    <t>LYERLY STEPHEN E</t>
  </si>
  <si>
    <t>1752 JUNCTION ROAD</t>
  </si>
  <si>
    <t>G700000073</t>
  </si>
  <si>
    <t>JONES DAVID WAYNE</t>
  </si>
  <si>
    <t>K8100A0014</t>
  </si>
  <si>
    <t>SETTLE TRACEY F</t>
  </si>
  <si>
    <t>SETTLE SUSAN M</t>
  </si>
  <si>
    <t>111 PEACE COURT</t>
  </si>
  <si>
    <t>G700000150</t>
  </si>
  <si>
    <t>LATOUR DAVID A</t>
  </si>
  <si>
    <t>LATOUR SUSAN M</t>
  </si>
  <si>
    <t>1332 BALTIMORE ROAD</t>
  </si>
  <si>
    <t>H10000000402</t>
  </si>
  <si>
    <t>JOHNSON GERALD JAMES</t>
  </si>
  <si>
    <t>JOHNSON KATHY CAMPBELL</t>
  </si>
  <si>
    <t>221 MOLL HODGSON ROAD</t>
  </si>
  <si>
    <t>28634-8918</t>
  </si>
  <si>
    <t>H5190A0014</t>
  </si>
  <si>
    <t>GANNON WALTER V</t>
  </si>
  <si>
    <t>GANNON PAMELA K</t>
  </si>
  <si>
    <t>184 S MADERA DRIVE</t>
  </si>
  <si>
    <t>I5170B0117</t>
  </si>
  <si>
    <t>ESTER JAMES LEE</t>
  </si>
  <si>
    <t>ESTER JO ANN</t>
  </si>
  <si>
    <t>117 WEST BRICK WALK COURT</t>
  </si>
  <si>
    <t>B200000032</t>
  </si>
  <si>
    <t>REAVIS RANDALL G REV TRUST</t>
  </si>
  <si>
    <t>2013 WINDING RIDGE COURT</t>
  </si>
  <si>
    <t>I40000004401</t>
  </si>
  <si>
    <t>LAKEY ANGELA LAWRENCE</t>
  </si>
  <si>
    <t>I4110C0013</t>
  </si>
  <si>
    <t>I40000004302</t>
  </si>
  <si>
    <t>I400000040</t>
  </si>
  <si>
    <t>G3030A0067</t>
  </si>
  <si>
    <t>KISER LORA D</t>
  </si>
  <si>
    <t>201 MURPHY ROAD</t>
  </si>
  <si>
    <t>E400000040</t>
  </si>
  <si>
    <t>LEAGANS EDWARD H</t>
  </si>
  <si>
    <t>LEAGANS PATRICIA</t>
  </si>
  <si>
    <t>D500000133</t>
  </si>
  <si>
    <t>LONG MICHAEL W</t>
  </si>
  <si>
    <t>LONG ALEXANDRIA NICOLE</t>
  </si>
  <si>
    <t>135 NIKKIS WAY</t>
  </si>
  <si>
    <t>J60000009502</t>
  </si>
  <si>
    <t>LIPSCOMB JAMES ANTHONY</t>
  </si>
  <si>
    <t>LIPSCOMB SANDRA</t>
  </si>
  <si>
    <t>K300000002</t>
  </si>
  <si>
    <t>LACHAPELLE RUSSELL JOSEPH JR</t>
  </si>
  <si>
    <t>205 MR HENRY RD</t>
  </si>
  <si>
    <t>K5090A0031</t>
  </si>
  <si>
    <t>LEWALLEN JEFFREY L JR</t>
  </si>
  <si>
    <t>172 LAKEWOOD CIRCLE</t>
  </si>
  <si>
    <t>C70000006001</t>
  </si>
  <si>
    <t>COLLINS JERRY LYNN</t>
  </si>
  <si>
    <t>COLLINS MICHELLE H</t>
  </si>
  <si>
    <t>%THURMOND HOCKADAY</t>
  </si>
  <si>
    <t>890 NC HIGHWAY 801 NORTH</t>
  </si>
  <si>
    <t>D8060A0023</t>
  </si>
  <si>
    <t>KONDRACKI JOHN</t>
  </si>
  <si>
    <t>KONDRACKI HELEN</t>
  </si>
  <si>
    <t>171 TIFTON STREET</t>
  </si>
  <si>
    <t>J4060A0021</t>
  </si>
  <si>
    <t>KNIGHT ALAN</t>
  </si>
  <si>
    <t>KNIGHT JEANETTE</t>
  </si>
  <si>
    <t>256 MAGNOLIA AVENUE</t>
  </si>
  <si>
    <t>G3050A0010</t>
  </si>
  <si>
    <t>BEAMON ROGER WAYNE</t>
  </si>
  <si>
    <t>116 ROY DAVIS ROAD</t>
  </si>
  <si>
    <t>M5100C000401</t>
  </si>
  <si>
    <t>KOONTZ MICHAEL E</t>
  </si>
  <si>
    <t>KOONTZ WENDY S</t>
  </si>
  <si>
    <t>PO BOX 504</t>
  </si>
  <si>
    <t>27014-0504</t>
  </si>
  <si>
    <t>B40000004201</t>
  </si>
  <si>
    <t>BOGGS LARRY G</t>
  </si>
  <si>
    <t>BOGGS CINDY S</t>
  </si>
  <si>
    <t>1053 WYO ROAD</t>
  </si>
  <si>
    <t>B400000043</t>
  </si>
  <si>
    <t>F40000005202</t>
  </si>
  <si>
    <t>KILLIAN MATTHEW N</t>
  </si>
  <si>
    <t>KILLIAN KRISTIE H</t>
  </si>
  <si>
    <t>222 KODIAK TRL</t>
  </si>
  <si>
    <t>K700000009</t>
  </si>
  <si>
    <t>MOFFITT PATRICIA R</t>
  </si>
  <si>
    <t>MOFFITT GEORGE R JR</t>
  </si>
  <si>
    <t>751 JOE ROAD</t>
  </si>
  <si>
    <t>27028-7255</t>
  </si>
  <si>
    <t>K700000006</t>
  </si>
  <si>
    <t>I5090A0006</t>
  </si>
  <si>
    <t>MARION GERALD L</t>
  </si>
  <si>
    <t>MARION GLORIA JEAN</t>
  </si>
  <si>
    <t>581 NORTH MAIN STREET</t>
  </si>
  <si>
    <t>M4120A000203</t>
  </si>
  <si>
    <t>MCDANIEL MARK S</t>
  </si>
  <si>
    <t>999 GLADSTONE ROAD</t>
  </si>
  <si>
    <t>H60000008401</t>
  </si>
  <si>
    <t>HUDSON JOHN L JR</t>
  </si>
  <si>
    <t>HUDSON VICKY S</t>
  </si>
  <si>
    <t>PO BOX 255</t>
  </si>
  <si>
    <t>F40000003604</t>
  </si>
  <si>
    <t>F400000036</t>
  </si>
  <si>
    <t>C70000008915</t>
  </si>
  <si>
    <t>LEVAN RICHARD JAMES</t>
  </si>
  <si>
    <t>LEVAN WENDY S</t>
  </si>
  <si>
    <t>213 NORMA LANE</t>
  </si>
  <si>
    <t>N5010B0005</t>
  </si>
  <si>
    <t>OVERCASH PAUL V SR</t>
  </si>
  <si>
    <t>OVERCASH PATSY M</t>
  </si>
  <si>
    <t>PO BOX 118</t>
  </si>
  <si>
    <t>H2050A0011</t>
  </si>
  <si>
    <t>MARTIN JAMES R</t>
  </si>
  <si>
    <t>MARTIN JOSEPHINE C</t>
  </si>
  <si>
    <t>118 CENTER CIRCLE</t>
  </si>
  <si>
    <t>E70000006504</t>
  </si>
  <si>
    <t>HARDING MATTHEW D</t>
  </si>
  <si>
    <t>HARDING KRISTINA A</t>
  </si>
  <si>
    <t>363 JUNEY BEAUCHAMP ROAD</t>
  </si>
  <si>
    <t>N50000006207</t>
  </si>
  <si>
    <t>MORGAN JAMES C</t>
  </si>
  <si>
    <t>MORGAN BOBBIE JO</t>
  </si>
  <si>
    <t>542 PINE RIDGE ROAD</t>
  </si>
  <si>
    <t>I4120C0031</t>
  </si>
  <si>
    <t>PENLEY TODD</t>
  </si>
  <si>
    <t>PENLEY ERIN</t>
  </si>
  <si>
    <t>260 W CHURCH STREET</t>
  </si>
  <si>
    <t>E9150B0003</t>
  </si>
  <si>
    <t>JOHNSON ROY W</t>
  </si>
  <si>
    <t>JOHNSON PATRICIA E</t>
  </si>
  <si>
    <t>145 CEDAR LANE</t>
  </si>
  <si>
    <t>L400000014</t>
  </si>
  <si>
    <t>JONES JACKIE RENEE DWIGGINS</t>
  </si>
  <si>
    <t>JONES DARRELL L</t>
  </si>
  <si>
    <t>117 HUFFMAN ROAD</t>
  </si>
  <si>
    <t>I4140B0004</t>
  </si>
  <si>
    <t>MILLER DAVID T II</t>
  </si>
  <si>
    <t>MILLER JILL MAYHEW</t>
  </si>
  <si>
    <t>133 GREY STREET</t>
  </si>
  <si>
    <t>H800000039</t>
  </si>
  <si>
    <t>MARKLAND LARRY J</t>
  </si>
  <si>
    <t>MARKLAND MARTHA A</t>
  </si>
  <si>
    <t>2838 NC HWY 801 S</t>
  </si>
  <si>
    <t>D7080A0017</t>
  </si>
  <si>
    <t>MARSCH ALISA M</t>
  </si>
  <si>
    <t>122 LONGWOOD DRIVE</t>
  </si>
  <si>
    <t>G8010B0009</t>
  </si>
  <si>
    <t>MANN ROBERT H</t>
  </si>
  <si>
    <t>MANN HANNELORE M</t>
  </si>
  <si>
    <t>157 MCDANIEL ROAD</t>
  </si>
  <si>
    <t>G70000014101</t>
  </si>
  <si>
    <t>L40000001402</t>
  </si>
  <si>
    <t>J4050A0012</t>
  </si>
  <si>
    <t>CRENSHAW CHARLES ROBERTS III</t>
  </si>
  <si>
    <t>CRENSHAW MELINDA RICHIE</t>
  </si>
  <si>
    <t>591 SOUTH SALISBURY STREET</t>
  </si>
  <si>
    <t>F8020B0032</t>
  </si>
  <si>
    <t>MELDER KENNETH C</t>
  </si>
  <si>
    <t>MELDER SARA BETH</t>
  </si>
  <si>
    <t>120 S HIGH FIELD ROAD</t>
  </si>
  <si>
    <t>D200000007</t>
  </si>
  <si>
    <t>MAST CARLA L</t>
  </si>
  <si>
    <t>MAST SCOTT A</t>
  </si>
  <si>
    <t>125 BEN ANDERSON ROAD</t>
  </si>
  <si>
    <t>27028-5636</t>
  </si>
  <si>
    <t>I4120C0033</t>
  </si>
  <si>
    <t>MITTELSTEADT CLINT</t>
  </si>
  <si>
    <t>MITTELSTEADT MARGARET M</t>
  </si>
  <si>
    <t>296 WEST CHURCH STREET</t>
  </si>
  <si>
    <t>I4120C0034</t>
  </si>
  <si>
    <t>C10000000402</t>
  </si>
  <si>
    <t>MYERS STEVEN G</t>
  </si>
  <si>
    <t>MYERS PATRICIA A STEELMAN</t>
  </si>
  <si>
    <t>793 OLLIE HARKEY ROAD</t>
  </si>
  <si>
    <t>I4110B0007</t>
  </si>
  <si>
    <t>MCDANIEL RANDY D JR</t>
  </si>
  <si>
    <t>558 WILKESBORO STREET</t>
  </si>
  <si>
    <t>J80000001704</t>
  </si>
  <si>
    <t>G800000031</t>
  </si>
  <si>
    <t>WELLS NATALIE E</t>
  </si>
  <si>
    <t>1641 NC HWY 801 S</t>
  </si>
  <si>
    <t>F10000000301</t>
  </si>
  <si>
    <t>WAGNER ANGELA G</t>
  </si>
  <si>
    <t>QUEEN ANGELA GILLASPIE (AKA)</t>
  </si>
  <si>
    <t>2258 SHEFFIELD ROAD</t>
  </si>
  <si>
    <t>H7030A0035</t>
  </si>
  <si>
    <t>MARTIN CLARENCE E II</t>
  </si>
  <si>
    <t>170 BRIER CREEK ROAD</t>
  </si>
  <si>
    <t>I900000005</t>
  </si>
  <si>
    <t>YADKIN ORGANICS LLC</t>
  </si>
  <si>
    <t>255 WOLTZ LANE</t>
  </si>
  <si>
    <t>I90000000602</t>
  </si>
  <si>
    <t>I90000000402</t>
  </si>
  <si>
    <t>I90000000603</t>
  </si>
  <si>
    <t>I90000000707</t>
  </si>
  <si>
    <t>I90000000802</t>
  </si>
  <si>
    <t>I900000029</t>
  </si>
  <si>
    <t>I90000000605</t>
  </si>
  <si>
    <t>I90000000601</t>
  </si>
  <si>
    <t>I90000000604</t>
  </si>
  <si>
    <t>E900000582</t>
  </si>
  <si>
    <t>MEAD MERRITT C JR</t>
  </si>
  <si>
    <t>MEAD RENE B</t>
  </si>
  <si>
    <t>132 OLD COURSE DRIVE</t>
  </si>
  <si>
    <t>C60000005301</t>
  </si>
  <si>
    <t>ROEDA DANIEL J</t>
  </si>
  <si>
    <t>ROEDA TINA L</t>
  </si>
  <si>
    <t>114 ARBOR LANE</t>
  </si>
  <si>
    <t>C60000005303</t>
  </si>
  <si>
    <t>E8100B0016</t>
  </si>
  <si>
    <t>GODSEY ALISON G</t>
  </si>
  <si>
    <t>129 BROOKDALE DRIVE</t>
  </si>
  <si>
    <t>J5150C0005</t>
  </si>
  <si>
    <t>PARKER STEVEN T</t>
  </si>
  <si>
    <t>PARKER DANA S</t>
  </si>
  <si>
    <t>168 RANDOM ROAD</t>
  </si>
  <si>
    <t>L70000001601</t>
  </si>
  <si>
    <t>GRAHAM DOTTIE HAMILTON</t>
  </si>
  <si>
    <t>185 DOG TROT LANE</t>
  </si>
  <si>
    <t>E30000008501</t>
  </si>
  <si>
    <t>2073 ANGELL ROAD</t>
  </si>
  <si>
    <t>C7140C0006</t>
  </si>
  <si>
    <t>LANE JACKIE CLAY</t>
  </si>
  <si>
    <t>LANE MARTHA B</t>
  </si>
  <si>
    <t>118 FOREST DRIVE</t>
  </si>
  <si>
    <t>B500000017</t>
  </si>
  <si>
    <t>JACKSON ROBERT C SR</t>
  </si>
  <si>
    <t>JACKSON JOANNA C</t>
  </si>
  <si>
    <t>661 PINEVILLE ROAD</t>
  </si>
  <si>
    <t>HEATHER</t>
  </si>
  <si>
    <t>J7120A000301</t>
  </si>
  <si>
    <t>169 DRUM LN</t>
  </si>
  <si>
    <t>M5150A000701</t>
  </si>
  <si>
    <t>LINK KELLY L JR</t>
  </si>
  <si>
    <t>27014-0941</t>
  </si>
  <si>
    <t>K200000008</t>
  </si>
  <si>
    <t>LAWRENCE JAMES E</t>
  </si>
  <si>
    <t>LAWRENCE CYNTHIA M</t>
  </si>
  <si>
    <t>212 MORRISON ROAD</t>
  </si>
  <si>
    <t>27028-8361</t>
  </si>
  <si>
    <t>M40000004101</t>
  </si>
  <si>
    <t>132 CLYDES TRAIL</t>
  </si>
  <si>
    <t>27028-5219</t>
  </si>
  <si>
    <t>G900000036</t>
  </si>
  <si>
    <t>MELTON LARRY D</t>
  </si>
  <si>
    <t>MELTON LORI M TYSINGER</t>
  </si>
  <si>
    <t>PO BOX 2114</t>
  </si>
  <si>
    <t>E8110D0011</t>
  </si>
  <si>
    <t>MORTON MICHAEL R</t>
  </si>
  <si>
    <t>MORTON MELODY P</t>
  </si>
  <si>
    <t>142 EASTRIDGE COURT</t>
  </si>
  <si>
    <t>F50000001104</t>
  </si>
  <si>
    <t>HUTCHINS TIMMY L</t>
  </si>
  <si>
    <t>517 ANGELL ROAD</t>
  </si>
  <si>
    <t>J7080B0044</t>
  </si>
  <si>
    <t>KEY LESTER JAMES</t>
  </si>
  <si>
    <t>KEY SHARON BENTLEY</t>
  </si>
  <si>
    <t>179 OAKSHIRE COURT</t>
  </si>
  <si>
    <t>B400000042</t>
  </si>
  <si>
    <t>B40000004301</t>
  </si>
  <si>
    <t>K70000000901</t>
  </si>
  <si>
    <t>J6090A0018</t>
  </si>
  <si>
    <t>TATUM DANIEL W</t>
  </si>
  <si>
    <t>177 DALTON ROAD</t>
  </si>
  <si>
    <t>J700000051</t>
  </si>
  <si>
    <t>DILLON KATHLEEN J</t>
  </si>
  <si>
    <t>2687 E US HWY 64</t>
  </si>
  <si>
    <t>G8010C0005</t>
  </si>
  <si>
    <t>WILSON JENNIFER M</t>
  </si>
  <si>
    <t>118 MCDANIEL ROAD</t>
  </si>
  <si>
    <t>N5010B0055</t>
  </si>
  <si>
    <t>SPRY TYLER C</t>
  </si>
  <si>
    <t>F10000002701</t>
  </si>
  <si>
    <t>CERVANTES MARISOL</t>
  </si>
  <si>
    <t>SERRANO CARLOS</t>
  </si>
  <si>
    <t>268 CLEARY ROAD</t>
  </si>
  <si>
    <t>B7140A0019</t>
  </si>
  <si>
    <t>MARTIN DANIEL C</t>
  </si>
  <si>
    <t>MARTIN SUSAN M</t>
  </si>
  <si>
    <t>138 VALLEY OAKS DRIVE</t>
  </si>
  <si>
    <t>C8010A0081</t>
  </si>
  <si>
    <t>MCIVER WESLEY ALLEN</t>
  </si>
  <si>
    <t>MCIVER ELIZABETH ANNE</t>
  </si>
  <si>
    <t>208 BROOKSTONE DRIVE</t>
  </si>
  <si>
    <t>E300000079</t>
  </si>
  <si>
    <t>BYINGTON JOSEPH A</t>
  </si>
  <si>
    <t>BYINGTON DANIELLE F</t>
  </si>
  <si>
    <t>2046 ANGELL ROAD</t>
  </si>
  <si>
    <t>J500000011</t>
  </si>
  <si>
    <t>MILITZER RICHARD T</t>
  </si>
  <si>
    <t>MILITZER LISA B</t>
  </si>
  <si>
    <t>440 JOHN CROTTS ROAD</t>
  </si>
  <si>
    <t>B70000004701</t>
  </si>
  <si>
    <t>WALKER ROY EUGENE</t>
  </si>
  <si>
    <t>WALKER MARGARET B</t>
  </si>
  <si>
    <t>233 GRIFFITH RD</t>
  </si>
  <si>
    <t>J200000054</t>
  </si>
  <si>
    <t>MEYER JANICE C</t>
  </si>
  <si>
    <t>G3140A0011</t>
  </si>
  <si>
    <t>JOHNSTON MICHAEL Q</t>
  </si>
  <si>
    <t>JOHNSTON STACEY</t>
  </si>
  <si>
    <t>222 HIDDEN VALLEY LANE</t>
  </si>
  <si>
    <t>I4120D0029</t>
  </si>
  <si>
    <t>MARION MELISSA DAWN</t>
  </si>
  <si>
    <t>320 PARK AVENUE</t>
  </si>
  <si>
    <t>G500000029</t>
  </si>
  <si>
    <t>BOWLES ANN DOBBINS</t>
  </si>
  <si>
    <t>D600000055</t>
  </si>
  <si>
    <t>ASHBY MARGARET E</t>
  </si>
  <si>
    <t>FOSTER RONALD G</t>
  </si>
  <si>
    <t>1183 RAINBOW ROAD</t>
  </si>
  <si>
    <t>E900000588</t>
  </si>
  <si>
    <t>MINTON JERRY D</t>
  </si>
  <si>
    <t>MINTON CAROL R</t>
  </si>
  <si>
    <t>119 OLD COURSE DRIVE</t>
  </si>
  <si>
    <t>D700000077</t>
  </si>
  <si>
    <t>HOWARD TOMMY</t>
  </si>
  <si>
    <t>WILLIAMS RICKY</t>
  </si>
  <si>
    <t>E70000013915</t>
  </si>
  <si>
    <t>E70000013916</t>
  </si>
  <si>
    <t>E900000246</t>
  </si>
  <si>
    <t>DOMBROWSKI LAWRENCE TRUSTEE</t>
  </si>
  <si>
    <t>KUCZEWSKI ELIZABETH R TRUSTEE</t>
  </si>
  <si>
    <t>179 ISLEWORTH DRIVE</t>
  </si>
  <si>
    <t>M5120A0002</t>
  </si>
  <si>
    <t>DYSON ANN J</t>
  </si>
  <si>
    <t>2963 US HWY 601 S</t>
  </si>
  <si>
    <t>I30000000601</t>
  </si>
  <si>
    <t>BROCK RHONDA M</t>
  </si>
  <si>
    <t>BROCK RUFUS NEIL</t>
  </si>
  <si>
    <t>326 GODBEY ROAD</t>
  </si>
  <si>
    <t>I30000000602</t>
  </si>
  <si>
    <t>H7030A0038</t>
  </si>
  <si>
    <t>B30000004404</t>
  </si>
  <si>
    <t>SPILLMAN LEA BROOKE</t>
  </si>
  <si>
    <t>SHIPLEY LEA BROOKE (AKA)</t>
  </si>
  <si>
    <t>126 SPILLMAN FARM TR</t>
  </si>
  <si>
    <t>C8010B0372</t>
  </si>
  <si>
    <t>CACHO MICHELLE M</t>
  </si>
  <si>
    <t>CACHO ARNULFO FABRIGAS JR</t>
  </si>
  <si>
    <t>184 KILBOURNE AVENUE</t>
  </si>
  <si>
    <t>C8010B0343</t>
  </si>
  <si>
    <t>KESLER PATRICK BRANCH</t>
  </si>
  <si>
    <t>KESLER NATALIE ELIZABETH</t>
  </si>
  <si>
    <t>191 KILBOURNE DRIVE</t>
  </si>
  <si>
    <t>C8010A0133</t>
  </si>
  <si>
    <t>KRAUSE WILLIAM</t>
  </si>
  <si>
    <t>KRAUSE COLLEEN</t>
  </si>
  <si>
    <t>184 TOWNPARK DRIVE</t>
  </si>
  <si>
    <t>D100000025</t>
  </si>
  <si>
    <t>1283 MAIN CHURCH ROAD</t>
  </si>
  <si>
    <t>F7060A0002</t>
  </si>
  <si>
    <t>EMERT BRANDON EDWARD</t>
  </si>
  <si>
    <t>EMERT AMANDA SPARKS</t>
  </si>
  <si>
    <t>121 QUAIL HOLLOW ROAD</t>
  </si>
  <si>
    <t>N5010D0027</t>
  </si>
  <si>
    <t>BROWN WALTER LEE</t>
  </si>
  <si>
    <t>BROWN FRANCES MCDANIEL</t>
  </si>
  <si>
    <t>PO BOX 415</t>
  </si>
  <si>
    <t>F80000004903</t>
  </si>
  <si>
    <t>CARTER KENNETH G</t>
  </si>
  <si>
    <t>CARTER ALISHA L</t>
  </si>
  <si>
    <t>157 HILLCREST DRIVE</t>
  </si>
  <si>
    <t>J4060D0043</t>
  </si>
  <si>
    <t>MYERS BEATRIZ G</t>
  </si>
  <si>
    <t>165 BIRCHWOOD LANE</t>
  </si>
  <si>
    <t>J4060D0042</t>
  </si>
  <si>
    <t>C8030A000204</t>
  </si>
  <si>
    <t>SMITH MELINDA S</t>
  </si>
  <si>
    <t>140 PINEWOOD LANE #104</t>
  </si>
  <si>
    <t>E9150B0134</t>
  </si>
  <si>
    <t>CANNON NYAL</t>
  </si>
  <si>
    <t>CANNON FAI</t>
  </si>
  <si>
    <t>103 KNICKER LANE</t>
  </si>
  <si>
    <t>H5190A0028</t>
  </si>
  <si>
    <t>FRYAR MICHAEL A</t>
  </si>
  <si>
    <t>FRYAR MEGAN M</t>
  </si>
  <si>
    <t>135 SOUTH MADERA DRIVE</t>
  </si>
  <si>
    <t>D9010B0015</t>
  </si>
  <si>
    <t>HOLDEN J CHRISTOPHER</t>
  </si>
  <si>
    <t>HOLDEN LUANNE P</t>
  </si>
  <si>
    <t>152 WARWICKE PLACE</t>
  </si>
  <si>
    <t>I400000020</t>
  </si>
  <si>
    <t>HINSON ANTHONY WILLIAM</t>
  </si>
  <si>
    <t>HINSON CRYSTAL DALE</t>
  </si>
  <si>
    <t>201 BROOK DRIVE</t>
  </si>
  <si>
    <t>G800000238</t>
  </si>
  <si>
    <t>MCMILLION TRACIE J</t>
  </si>
  <si>
    <t>131 FINN HOLLOW LANE</t>
  </si>
  <si>
    <t>J4140A0032</t>
  </si>
  <si>
    <t>SULLIVAN MATTHEW</t>
  </si>
  <si>
    <t>SULLIVAN MARY M</t>
  </si>
  <si>
    <t>139 NEW HAMPSHIRE COURT</t>
  </si>
  <si>
    <t>F50000001105</t>
  </si>
  <si>
    <t>M5060A0005</t>
  </si>
  <si>
    <t>TURNER MICHAEL FRANKLIN</t>
  </si>
  <si>
    <t>TURNER SHARON ANN</t>
  </si>
  <si>
    <t>PO BOX 1151</t>
  </si>
  <si>
    <t>J7120A0021</t>
  </si>
  <si>
    <t>MCCOY DONNA S</t>
  </si>
  <si>
    <t>H30000000101</t>
  </si>
  <si>
    <t>FAVRE LEWIE CHARLES</t>
  </si>
  <si>
    <t>286 GRANNAMAN DRIVE</t>
  </si>
  <si>
    <t>G300000018</t>
  </si>
  <si>
    <t>H300000001</t>
  </si>
  <si>
    <t>G9090B0022</t>
  </si>
  <si>
    <t>EWING RYAN PAUL</t>
  </si>
  <si>
    <t>EWING MEGAN ELAINE</t>
  </si>
  <si>
    <t>116 HOLLY HILL COURT</t>
  </si>
  <si>
    <t>C50000006401</t>
  </si>
  <si>
    <t>SIMON SARAH N</t>
  </si>
  <si>
    <t>526 S STRATFORD RD</t>
  </si>
  <si>
    <t>M60000000702</t>
  </si>
  <si>
    <t>DALTON THOMAS L</t>
  </si>
  <si>
    <t>DALTON HELEN L</t>
  </si>
  <si>
    <t>189 HUNTINGTON CREEK LANE</t>
  </si>
  <si>
    <t>LOWGAP</t>
  </si>
  <si>
    <t>F800000038</t>
  </si>
  <si>
    <t>SIMS ROBERT CARLTON III</t>
  </si>
  <si>
    <t>SIMS KIMBERLY SUE</t>
  </si>
  <si>
    <t>176 MOCKS CHURCH ROAD</t>
  </si>
  <si>
    <t>I5050D0002</t>
  </si>
  <si>
    <t>CARD RICHARD</t>
  </si>
  <si>
    <t>415 MOUNTVIEW DRIVE</t>
  </si>
  <si>
    <t>E70000011107</t>
  </si>
  <si>
    <t>BRUCH JAMES R</t>
  </si>
  <si>
    <t>BRUCH BOBBY</t>
  </si>
  <si>
    <t>155 LAURENS COURT</t>
  </si>
  <si>
    <t>G7040B0028</t>
  </si>
  <si>
    <t>F700000030</t>
  </si>
  <si>
    <t>F70000002307</t>
  </si>
  <si>
    <t>J80000001306</t>
  </si>
  <si>
    <t>BARNEY JIMMY A</t>
  </si>
  <si>
    <t>_</t>
  </si>
  <si>
    <t>113 HOLIDAY DRIVE</t>
  </si>
  <si>
    <t>C600000133</t>
  </si>
  <si>
    <t>REYNOLDS JAMES R II</t>
  </si>
  <si>
    <t>REYNOLDS KIMBERLY SNOW</t>
  </si>
  <si>
    <t>142 APPLE ACRES ROAD</t>
  </si>
  <si>
    <t>I70000008201</t>
  </si>
  <si>
    <t>LANNING DAVID RONALD</t>
  </si>
  <si>
    <t>LANNING BARBARA J</t>
  </si>
  <si>
    <t>849 FORK BIXBY ROAD</t>
  </si>
  <si>
    <t>27006-7224</t>
  </si>
  <si>
    <t>I70000008202</t>
  </si>
  <si>
    <t>D600000051</t>
  </si>
  <si>
    <t>YORK JOHNNY G</t>
  </si>
  <si>
    <t>YORK DEANNA W</t>
  </si>
  <si>
    <t>194 PLOWMAN LANE</t>
  </si>
  <si>
    <t>27006-6657</t>
  </si>
  <si>
    <t>D9010B0012</t>
  </si>
  <si>
    <t>BREWSTER FRANCES Z</t>
  </si>
  <si>
    <t>140 WARWICKE PLACE</t>
  </si>
  <si>
    <t>H900000049</t>
  </si>
  <si>
    <t>JORDAN ELIZABETH CROUSE</t>
  </si>
  <si>
    <t>202 GALLARIE PLACE</t>
  </si>
  <si>
    <t>E7060A0014</t>
  </si>
  <si>
    <t>MUNTZ ELWIN ROY II TRUSTEE</t>
  </si>
  <si>
    <t>MUNTZ ELWIN &amp; SHAARON MED TRST</t>
  </si>
  <si>
    <t>112 WINCHESTER ROAD</t>
  </si>
  <si>
    <t>E900000267</t>
  </si>
  <si>
    <t>YOUNG KATHRYN J</t>
  </si>
  <si>
    <t>182 SEAY DRIVE</t>
  </si>
  <si>
    <t>G500000114</t>
  </si>
  <si>
    <t>YOUNTS CALVIN A JR</t>
  </si>
  <si>
    <t>YOUNTS PATSY WALL</t>
  </si>
  <si>
    <t>150 MCCLAMMROCK ROAD</t>
  </si>
  <si>
    <t>D700000066</t>
  </si>
  <si>
    <t>I1110A0022</t>
  </si>
  <si>
    <t>SMOOT ROGER TENOR</t>
  </si>
  <si>
    <t>186 OAKLAND AVENUE</t>
  </si>
  <si>
    <t>27028-2736</t>
  </si>
  <si>
    <t>B7010A002001</t>
  </si>
  <si>
    <t>F70000000501</t>
  </si>
  <si>
    <t>WALL JOHN N</t>
  </si>
  <si>
    <t>WALL RHONDA M</t>
  </si>
  <si>
    <t>277 RIVERSTONE TRAIL</t>
  </si>
  <si>
    <t>27006-7965</t>
  </si>
  <si>
    <t>G80000001501</t>
  </si>
  <si>
    <t>JACKSON JANICE M</t>
  </si>
  <si>
    <t>PO BOX 152</t>
  </si>
  <si>
    <t>27006-0152</t>
  </si>
  <si>
    <t>C400000008</t>
  </si>
  <si>
    <t>3393 NC HIGHWAY 801 NORTH</t>
  </si>
  <si>
    <t>27028-6328</t>
  </si>
  <si>
    <t>G50000010202</t>
  </si>
  <si>
    <t>WHISENHUNT KEITHE</t>
  </si>
  <si>
    <t>WHISENHUNT SHEILA</t>
  </si>
  <si>
    <t>320 MCCLAMROCK ROAD</t>
  </si>
  <si>
    <t>G500000102</t>
  </si>
  <si>
    <t>G50000010201</t>
  </si>
  <si>
    <t>M4130A0024</t>
  </si>
  <si>
    <t>BAILEY SAMUEL A</t>
  </si>
  <si>
    <t>PO BOX 253</t>
  </si>
  <si>
    <t>G7040A0070</t>
  </si>
  <si>
    <t>GREEN WILLA M</t>
  </si>
  <si>
    <t>2204 WILCOX DRIVE LOT 2</t>
  </si>
  <si>
    <t>20405-0000</t>
  </si>
  <si>
    <t>B20000001505</t>
  </si>
  <si>
    <t>WHITAKER WILLIAM THOMAS</t>
  </si>
  <si>
    <t>WHITAKER PATTIE S ROYAL</t>
  </si>
  <si>
    <t>4383 NC HIGHWAY 801 NORTH</t>
  </si>
  <si>
    <t>B30000007503</t>
  </si>
  <si>
    <t>B200000015</t>
  </si>
  <si>
    <t>B300000042</t>
  </si>
  <si>
    <t>E8070A0025</t>
  </si>
  <si>
    <t>WHITE CHRISTOPHER L</t>
  </si>
  <si>
    <t>WHITE TAMMY B</t>
  </si>
  <si>
    <t>1755 UNDERPASS ROAD</t>
  </si>
  <si>
    <t>B30000007506</t>
  </si>
  <si>
    <t>WHITE JEANNA BAXTER</t>
  </si>
  <si>
    <t>B300000065</t>
  </si>
  <si>
    <t>B30000006410</t>
  </si>
  <si>
    <t>B30000006402</t>
  </si>
  <si>
    <t>B30000006406</t>
  </si>
  <si>
    <t>B30000006408</t>
  </si>
  <si>
    <t>B300000076</t>
  </si>
  <si>
    <t>B300000073</t>
  </si>
  <si>
    <t>D7030B0011</t>
  </si>
  <si>
    <t>JONES JAMES E</t>
  </si>
  <si>
    <t>JONES ANN M</t>
  </si>
  <si>
    <t>251 CREEKWOOD DRIVE</t>
  </si>
  <si>
    <t>C8010A0365</t>
  </si>
  <si>
    <t>SAWYER LORI</t>
  </si>
  <si>
    <t>112 KILBOURNE DRIVE</t>
  </si>
  <si>
    <t>D7080A0024</t>
  </si>
  <si>
    <t>BLAKLEY BRANDON KEITH</t>
  </si>
  <si>
    <t>BLAKLEY MARTHA NEADHAM</t>
  </si>
  <si>
    <t>249 BETHLEHEM DRIVE</t>
  </si>
  <si>
    <t>H20000001605</t>
  </si>
  <si>
    <t>H20000001609</t>
  </si>
  <si>
    <t>D9030A0010</t>
  </si>
  <si>
    <t>BROWN ROBERT MICHAEL</t>
  </si>
  <si>
    <t>214 JAMES WAY</t>
  </si>
  <si>
    <t>F3130A0034</t>
  </si>
  <si>
    <t>CAMPBELL DORA B</t>
  </si>
  <si>
    <t>187 PEPPERSTONE DRIVE</t>
  </si>
  <si>
    <t>K5060A0009</t>
  </si>
  <si>
    <t>BOOIE JASON</t>
  </si>
  <si>
    <t>312 DEADMON ROAD</t>
  </si>
  <si>
    <t>M500000036</t>
  </si>
  <si>
    <t>M50000003601</t>
  </si>
  <si>
    <t>J4120A0009</t>
  </si>
  <si>
    <t>MEDFORD BRANDON</t>
  </si>
  <si>
    <t>340 DUKE STREET</t>
  </si>
  <si>
    <t>J50000003710</t>
  </si>
  <si>
    <t>WRIGHT RONALD E</t>
  </si>
  <si>
    <t>WRIGHT RITA D</t>
  </si>
  <si>
    <t>378 EATON ROAD</t>
  </si>
  <si>
    <t>I4130G0018</t>
  </si>
  <si>
    <t>WYATT BILLY GENE</t>
  </si>
  <si>
    <t>WYATT JOAN S</t>
  </si>
  <si>
    <t>119 DOGWOOD LANE</t>
  </si>
  <si>
    <t>I4130G0017</t>
  </si>
  <si>
    <t>H5150B0019</t>
  </si>
  <si>
    <t>E7140A0020</t>
  </si>
  <si>
    <t>WEST WILLIAM G</t>
  </si>
  <si>
    <t>WEST NORMA O</t>
  </si>
  <si>
    <t>157 GRAYWOOD COURT</t>
  </si>
  <si>
    <t>F70000002303</t>
  </si>
  <si>
    <t>G500000117</t>
  </si>
  <si>
    <t>LONG LEAH FAITH</t>
  </si>
  <si>
    <t>LONG BRADLEY ALAN</t>
  </si>
  <si>
    <t>2234 NC HWY 158</t>
  </si>
  <si>
    <t>I70000008204</t>
  </si>
  <si>
    <t>VISSER KENNETH R</t>
  </si>
  <si>
    <t>VISSER AILEEN D</t>
  </si>
  <si>
    <t>870 FORK BIXBY ROAD</t>
  </si>
  <si>
    <t>C300000086</t>
  </si>
  <si>
    <t>VOGLER RICHARD S</t>
  </si>
  <si>
    <t>VOGLER DIANA L</t>
  </si>
  <si>
    <t>146 FOSTALL DR</t>
  </si>
  <si>
    <t>C300000092</t>
  </si>
  <si>
    <t>O60000003410</t>
  </si>
  <si>
    <t>VRIESEMA PETER</t>
  </si>
  <si>
    <t>VRIESEMA GERTRUDE</t>
  </si>
  <si>
    <t>4198 US HIGHWAY 601 SOUTH</t>
  </si>
  <si>
    <t>27028-6925</t>
  </si>
  <si>
    <t>O60000003404</t>
  </si>
  <si>
    <t>C8010A0197</t>
  </si>
  <si>
    <t>URIARTE JAY L</t>
  </si>
  <si>
    <t>URIARTE MAY JULIEN V</t>
  </si>
  <si>
    <t>125 LAKESIDE CROSSING</t>
  </si>
  <si>
    <t>H90000000202</t>
  </si>
  <si>
    <t>TADDEUCCI JAMES ARNOLD JR</t>
  </si>
  <si>
    <t>TADDEUCCI AUDRA RASMUSSEN</t>
  </si>
  <si>
    <t>1035 PEOPLES CREEK ROAD</t>
  </si>
  <si>
    <t>L60000001501</t>
  </si>
  <si>
    <t>TAYLOR BRYAN E</t>
  </si>
  <si>
    <t>TAYLOR GEORGIA L SCHOENBERGER</t>
  </si>
  <si>
    <t>293 CHERRY HILL ROAD</t>
  </si>
  <si>
    <t>L60000001502</t>
  </si>
  <si>
    <t>D8070C0006</t>
  </si>
  <si>
    <t>WARK JOHN IAN</t>
  </si>
  <si>
    <t>WARK HEATHER PATRICIA</t>
  </si>
  <si>
    <t>1025 RIVERBEND DRIVE</t>
  </si>
  <si>
    <t>C8010A0247</t>
  </si>
  <si>
    <t>HINKLE JEFFREY N</t>
  </si>
  <si>
    <t>HINKLE SANDRA</t>
  </si>
  <si>
    <t>227 BRIDGEWATER DRIVE</t>
  </si>
  <si>
    <t>F8020A0020</t>
  </si>
  <si>
    <t>MORRIS CHRISTOPHER M</t>
  </si>
  <si>
    <t>MORRIS STEFANIE J</t>
  </si>
  <si>
    <t>166 HIGH MEADOWS ROAD</t>
  </si>
  <si>
    <t>D7080A0051</t>
  </si>
  <si>
    <t>ETZLER DANIEL F</t>
  </si>
  <si>
    <t>ETZLER ELAINE A</t>
  </si>
  <si>
    <t>197 LONGWOOD DRIVE</t>
  </si>
  <si>
    <t>E8100B0021</t>
  </si>
  <si>
    <t>TAYLOR MILDRED M</t>
  </si>
  <si>
    <t>613 HILLCREST DRIVE</t>
  </si>
  <si>
    <t>F3130A0044</t>
  </si>
  <si>
    <t>TAYLOR RONALD EUGENE</t>
  </si>
  <si>
    <t>TAYLOR SUSAN RICHIE</t>
  </si>
  <si>
    <t>228 DANNER ROAD</t>
  </si>
  <si>
    <t>D700000085</t>
  </si>
  <si>
    <t>TEAGUE TIMMY GRAY</t>
  </si>
  <si>
    <t>TEAGUE LAURIE GORDON</t>
  </si>
  <si>
    <t>147 FAIRWAY ROAD</t>
  </si>
  <si>
    <t>N50000005001</t>
  </si>
  <si>
    <t>WEST LESLIE CLAY</t>
  </si>
  <si>
    <t>554 PINE RIDGE ROAD</t>
  </si>
  <si>
    <t>C8010B0392</t>
  </si>
  <si>
    <t>THOMA AGNES T</t>
  </si>
  <si>
    <t>109 GLENMOOR AVENUE</t>
  </si>
  <si>
    <t>I5090E0018</t>
  </si>
  <si>
    <t>THOMPSON KAYLA D</t>
  </si>
  <si>
    <t>MCCRARY RANDY LEE</t>
  </si>
  <si>
    <t>125 PINE STREET</t>
  </si>
  <si>
    <t>D100000011</t>
  </si>
  <si>
    <t>WEST LOWELL A</t>
  </si>
  <si>
    <t>1546 BEAR CREEK CHURCH ROAD</t>
  </si>
  <si>
    <t>27028-5632</t>
  </si>
  <si>
    <t>C400000043</t>
  </si>
  <si>
    <t>G40000004906</t>
  </si>
  <si>
    <t>WHITAKER TERRY W</t>
  </si>
  <si>
    <t>WHITAKER KATHIE B</t>
  </si>
  <si>
    <t>334 WILLOW CREEK LANE</t>
  </si>
  <si>
    <t>B30000006901</t>
  </si>
  <si>
    <t>I5090E001301</t>
  </si>
  <si>
    <t>KNAPP RICHARD</t>
  </si>
  <si>
    <t>KNAPP MARY M</t>
  </si>
  <si>
    <t>229 CHERRY STREET</t>
  </si>
  <si>
    <t>I70000004201</t>
  </si>
  <si>
    <t>TURNER STANLEY D</t>
  </si>
  <si>
    <t>TURNER CARLA S</t>
  </si>
  <si>
    <t>963 WILLIAMS ROAD</t>
  </si>
  <si>
    <t>E600000013</t>
  </si>
  <si>
    <t>WILLIAMS CHARLIE WAYNE</t>
  </si>
  <si>
    <t>3709 US HIGHWAY 158</t>
  </si>
  <si>
    <t>27028-7844</t>
  </si>
  <si>
    <t>C30000006802</t>
  </si>
  <si>
    <t>BLEDSOE KIMBERLY</t>
  </si>
  <si>
    <t>4610 US HIGHWAY 601 NORTH</t>
  </si>
  <si>
    <t>D8070A0014</t>
  </si>
  <si>
    <t>ERNST MICHAEL O TRUSTEE</t>
  </si>
  <si>
    <t>ERNST LINDA D TRUSTEE</t>
  </si>
  <si>
    <t>115 HOLLY CIRCLE</t>
  </si>
  <si>
    <t>G9090B0013</t>
  </si>
  <si>
    <t>GREEN ERIC J</t>
  </si>
  <si>
    <t>GREEN KAREN E</t>
  </si>
  <si>
    <t>143 OLD MARCH ROAD</t>
  </si>
  <si>
    <t>F60000012601</t>
  </si>
  <si>
    <t>K400000023</t>
  </si>
  <si>
    <t>WILSON LARRY C</t>
  </si>
  <si>
    <t>WILSON MARTHA SUSAN</t>
  </si>
  <si>
    <t>D3120A0002</t>
  </si>
  <si>
    <t>STEWART ROGER</t>
  </si>
  <si>
    <t>STEWART AVIS</t>
  </si>
  <si>
    <t>1028 EATONS CHURCH ROAD</t>
  </si>
  <si>
    <t>D8070A0062</t>
  </si>
  <si>
    <t>RODBERG DANIEL D TRUSTEE</t>
  </si>
  <si>
    <t>RODBERG EVELYN G TRUSTEE</t>
  </si>
  <si>
    <t>142 GOLFVIEW DRIVE</t>
  </si>
  <si>
    <t>E900000131</t>
  </si>
  <si>
    <t>STRICKLAND WILLIAM BERRY III</t>
  </si>
  <si>
    <t>GOODE CANDACE G</t>
  </si>
  <si>
    <t>279 KINGSMILL DRIVE</t>
  </si>
  <si>
    <t>C7100B0018</t>
  </si>
  <si>
    <t>WOODRUFF CRAIG A</t>
  </si>
  <si>
    <t>WOODRUFF ROBIN E</t>
  </si>
  <si>
    <t>143 EAST ROBIN DRIVE</t>
  </si>
  <si>
    <t>F200000009</t>
  </si>
  <si>
    <t>STROUD WADE W</t>
  </si>
  <si>
    <t>27028-8117</t>
  </si>
  <si>
    <t>E200000002</t>
  </si>
  <si>
    <t>WOOTEN ROGER GREGG</t>
  </si>
  <si>
    <t>363 TURKEYFOOT ROAD</t>
  </si>
  <si>
    <t>27028-4125</t>
  </si>
  <si>
    <t>E900000133</t>
  </si>
  <si>
    <t>STYERS LUTHER C</t>
  </si>
  <si>
    <t>STYERS SUSAN C</t>
  </si>
  <si>
    <t>293 KINGSMILL DRIVE</t>
  </si>
  <si>
    <t>I80000003201</t>
  </si>
  <si>
    <t>STYLES ROBERT L</t>
  </si>
  <si>
    <t>STYLES LISA N</t>
  </si>
  <si>
    <t>3260 NC HIGHWAY 801 SOUTH</t>
  </si>
  <si>
    <t>27006-7296</t>
  </si>
  <si>
    <t>E20000002502</t>
  </si>
  <si>
    <t>SUSHEREBA LEON PAUL</t>
  </si>
  <si>
    <t>204 C V SMOOT LANE</t>
  </si>
  <si>
    <t>E20000002504</t>
  </si>
  <si>
    <t>E100000020</t>
  </si>
  <si>
    <t>E10000001202</t>
  </si>
  <si>
    <t>E10000002202</t>
  </si>
  <si>
    <t>J7080A0011</t>
  </si>
  <si>
    <t>WYATT DARRELL</t>
  </si>
  <si>
    <t>179 AUBREY MERRELL ROAD</t>
  </si>
  <si>
    <t>J70000000901</t>
  </si>
  <si>
    <t>WYATT MICHAEL W</t>
  </si>
  <si>
    <t>WYATT TRACI S</t>
  </si>
  <si>
    <t>229 NO CREEK ROAD</t>
  </si>
  <si>
    <t>27028-7341</t>
  </si>
  <si>
    <t>H20000001601</t>
  </si>
  <si>
    <t>VAN SCHOYCK JEFFREY A</t>
  </si>
  <si>
    <t>VAN SCHOYCK VICKI J</t>
  </si>
  <si>
    <t>2522 US HWY 64 WEST</t>
  </si>
  <si>
    <t>C70000003601</t>
  </si>
  <si>
    <t>SPRIGGS CHARLES ROLAND TRUSTEE</t>
  </si>
  <si>
    <t>451 SPARKS ROAD</t>
  </si>
  <si>
    <t>J700000104</t>
  </si>
  <si>
    <t>SPARKS JAMES L</t>
  </si>
  <si>
    <t>SPARKS TAMARA W</t>
  </si>
  <si>
    <t>3282 HIGHWAY 64 EAST</t>
  </si>
  <si>
    <t>B60000002601</t>
  </si>
  <si>
    <t>B60000002402</t>
  </si>
  <si>
    <t>B60000002401</t>
  </si>
  <si>
    <t>O600000017</t>
  </si>
  <si>
    <t>TENOR PERCY</t>
  </si>
  <si>
    <t>TENOR MARY A</t>
  </si>
  <si>
    <t>132 GREGORY LANE</t>
  </si>
  <si>
    <t>L40000003403</t>
  </si>
  <si>
    <t>MCDANIEL RANDY GRAY</t>
  </si>
  <si>
    <t>205 NANCY EASTER LOOP</t>
  </si>
  <si>
    <t>F30000007802</t>
  </si>
  <si>
    <t>CULLER JOSEPH CHRISTOPHER</t>
  </si>
  <si>
    <t>2913 NC HIGHWAY 801 N</t>
  </si>
  <si>
    <t>M5060B002201</t>
  </si>
  <si>
    <t>SPRY LEWIS EDWARD</t>
  </si>
  <si>
    <t>SPRY TRICIA COOK</t>
  </si>
  <si>
    <t>158 PEARSON DRIVE</t>
  </si>
  <si>
    <t>27028-6748</t>
  </si>
  <si>
    <t>I5010C001101</t>
  </si>
  <si>
    <t>FROST BETTY F</t>
  </si>
  <si>
    <t>29 LEXINGTON WAY</t>
  </si>
  <si>
    <t>AURORA</t>
  </si>
  <si>
    <t>44202-0000</t>
  </si>
  <si>
    <t>F30000007809</t>
  </si>
  <si>
    <t>J700000045</t>
  </si>
  <si>
    <t>TROYER DANIEL JOSEPH</t>
  </si>
  <si>
    <t>TROYER MELISSA NELL</t>
  </si>
  <si>
    <t>2599 US HIGHWAY 64 EAST</t>
  </si>
  <si>
    <t>N500000047</t>
  </si>
  <si>
    <t>TUCKER RONALD E</t>
  </si>
  <si>
    <t>28687-0545</t>
  </si>
  <si>
    <t>C700000006</t>
  </si>
  <si>
    <t>SLATER BILLY GRAY</t>
  </si>
  <si>
    <t>SLATER TRACY PARKER</t>
  </si>
  <si>
    <t>1697 YADKIN VALLEY ROAD</t>
  </si>
  <si>
    <t>M60000002101</t>
  </si>
  <si>
    <t>WILHELM RONALD L</t>
  </si>
  <si>
    <t>WILHELM DEBORAH F</t>
  </si>
  <si>
    <t>232 BECKTOWN ROAD</t>
  </si>
  <si>
    <t>27028-6663</t>
  </si>
  <si>
    <t>G3060A0011</t>
  </si>
  <si>
    <t>HUFFMAN GERALD E</t>
  </si>
  <si>
    <t>HUFFMAN CAROL F</t>
  </si>
  <si>
    <t>129 NORTHBROOK DRIVE</t>
  </si>
  <si>
    <t>E60000001901</t>
  </si>
  <si>
    <t>O70000000204</t>
  </si>
  <si>
    <t>STEPHENS JIMMY LEE</t>
  </si>
  <si>
    <t>STEPHENS TERESA LYNN</t>
  </si>
  <si>
    <t>975 POINT ROAD</t>
  </si>
  <si>
    <t>27028-6814</t>
  </si>
  <si>
    <t>F30000000510</t>
  </si>
  <si>
    <t>DICKEY DEBORAH A</t>
  </si>
  <si>
    <t>1087 WAGNER ROAD</t>
  </si>
  <si>
    <t>I800000063</t>
  </si>
  <si>
    <t>STOCKTON JERRY WAYNE</t>
  </si>
  <si>
    <t>3020 NC HIGHWAY 801 SOUTH</t>
  </si>
  <si>
    <t>K50000003704</t>
  </si>
  <si>
    <t>RUPARD TRACY DEAN</t>
  </si>
  <si>
    <t>2609 WYCLIFF RD</t>
  </si>
  <si>
    <t>27607-5513</t>
  </si>
  <si>
    <t>F7110A0002</t>
  </si>
  <si>
    <t>MINTON JANIE M</t>
  </si>
  <si>
    <t>111 LONGLEAF PINE DR</t>
  </si>
  <si>
    <t>L3080A0005</t>
  </si>
  <si>
    <t>SMITH KATHERYN</t>
  </si>
  <si>
    <t>876 MR HENRY ROAD</t>
  </si>
  <si>
    <t>J50000003204</t>
  </si>
  <si>
    <t>CAMERON DAVID J</t>
  </si>
  <si>
    <t>CAMERON RENITA L</t>
  </si>
  <si>
    <t>612 EAST LEXINGTON ROAD</t>
  </si>
  <si>
    <t>H50000003801</t>
  </si>
  <si>
    <t>I500000021</t>
  </si>
  <si>
    <t>SAIN HOWARD M</t>
  </si>
  <si>
    <t>SAIN TERESA PREVETTE</t>
  </si>
  <si>
    <t>808 MILLING ROAD</t>
  </si>
  <si>
    <t>I50000002001</t>
  </si>
  <si>
    <t>G400000007</t>
  </si>
  <si>
    <t>SANDERS SARAH DIANE</t>
  </si>
  <si>
    <t>1308 MAIN CHURCH ROAD</t>
  </si>
  <si>
    <t>C8010A0358</t>
  </si>
  <si>
    <t>SANDLIN TERI E</t>
  </si>
  <si>
    <t>137 KILBOURNE DRIVE</t>
  </si>
  <si>
    <t>J100000002</t>
  </si>
  <si>
    <t>STROUD KAREN ANN</t>
  </si>
  <si>
    <t>STROUD JAMES KEITH</t>
  </si>
  <si>
    <t>4488 US HWY 64 WEST</t>
  </si>
  <si>
    <t>B60000001101</t>
  </si>
  <si>
    <t>STUGART RICKY HOWARD</t>
  </si>
  <si>
    <t>STUGART JANE CHAPLIN</t>
  </si>
  <si>
    <t>128 REDFIELD ROAD</t>
  </si>
  <si>
    <t>F60000008402</t>
  </si>
  <si>
    <t>SMITH STEVEN LEE</t>
  </si>
  <si>
    <t>SMITH BARBARA C</t>
  </si>
  <si>
    <t>217 DULIN ROAD</t>
  </si>
  <si>
    <t>K3130B0008</t>
  </si>
  <si>
    <t>SCHENK GLENN N</t>
  </si>
  <si>
    <t>SCHENK PATRICIA M</t>
  </si>
  <si>
    <t>1820 POWELL ROAD</t>
  </si>
  <si>
    <t>I5050D0008</t>
  </si>
  <si>
    <t>I5120B0003</t>
  </si>
  <si>
    <t>I5040A0004</t>
  </si>
  <si>
    <t>N5010A0016</t>
  </si>
  <si>
    <t>N5010A0001</t>
  </si>
  <si>
    <t>N5010A0019</t>
  </si>
  <si>
    <t>J30000000201</t>
  </si>
  <si>
    <t>SEAFORD JEFFREY DEAN</t>
  </si>
  <si>
    <t>SEAFORD DONNA J</t>
  </si>
  <si>
    <t>PO BOX 998</t>
  </si>
  <si>
    <t>K20000000202</t>
  </si>
  <si>
    <t>K200000004</t>
  </si>
  <si>
    <t>K100000022</t>
  </si>
  <si>
    <t>K20000000203</t>
  </si>
  <si>
    <t>K10000002106</t>
  </si>
  <si>
    <t>K10000002104</t>
  </si>
  <si>
    <t>K200000063</t>
  </si>
  <si>
    <t>J100000003</t>
  </si>
  <si>
    <t>I5020B0018</t>
  </si>
  <si>
    <t>SECHREST BARRY L</t>
  </si>
  <si>
    <t>SECHREST ANN F</t>
  </si>
  <si>
    <t>H300000025</t>
  </si>
  <si>
    <t>E8160A0018</t>
  </si>
  <si>
    <t>SETCHELL JOEL R</t>
  </si>
  <si>
    <t>129 BROOKMEAD COURT</t>
  </si>
  <si>
    <t>G7050A0003</t>
  </si>
  <si>
    <t>SHANNON SCOT A</t>
  </si>
  <si>
    <t>SHANNON KRISTI G</t>
  </si>
  <si>
    <t>125 PRINCETON COURT</t>
  </si>
  <si>
    <t>M5160C0010</t>
  </si>
  <si>
    <t>SMITH ZACHARY</t>
  </si>
  <si>
    <t>PO BOX 489</t>
  </si>
  <si>
    <t>C600000068</t>
  </si>
  <si>
    <t>SHEETS LORETTA B</t>
  </si>
  <si>
    <t>SHEETS TRACEY</t>
  </si>
  <si>
    <t>4058 NC HIGWAY 801 NORTH</t>
  </si>
  <si>
    <t>B400000007</t>
  </si>
  <si>
    <t>E9150B0082</t>
  </si>
  <si>
    <t>SHELTON JAMES D</t>
  </si>
  <si>
    <t>SHELTON LILY M</t>
  </si>
  <si>
    <t>235 ORCHARD PARK DRIVE</t>
  </si>
  <si>
    <t>B300000061</t>
  </si>
  <si>
    <t>SHELTON LUTHER LEONARD</t>
  </si>
  <si>
    <t>SHELTON JEAN C</t>
  </si>
  <si>
    <t>226 FOUR CORNERS ROAD</t>
  </si>
  <si>
    <t>D300000010  A</t>
  </si>
  <si>
    <t>SHERRILL RICKY K</t>
  </si>
  <si>
    <t>SHERRILL CAROLYN S</t>
  </si>
  <si>
    <t>120 SHERRILL LANE</t>
  </si>
  <si>
    <t>27028-4936</t>
  </si>
  <si>
    <t>I800000044</t>
  </si>
  <si>
    <t>RILEY GARY LESTER</t>
  </si>
  <si>
    <t>146 TODD ROAD</t>
  </si>
  <si>
    <t>27006-7248</t>
  </si>
  <si>
    <t>I90000002104</t>
  </si>
  <si>
    <t>SNOW MOYER F JR</t>
  </si>
  <si>
    <t>SNOW MARY W</t>
  </si>
  <si>
    <t>419 ZIMMERMAN ROAD</t>
  </si>
  <si>
    <t>27006-7512</t>
  </si>
  <si>
    <t>J10000001702</t>
  </si>
  <si>
    <t>SNOW STEPHEN C</t>
  </si>
  <si>
    <t>SNOW JACQUELINE C</t>
  </si>
  <si>
    <t>4202 US HIGHWAY 64 WEST</t>
  </si>
  <si>
    <t>J10000001703</t>
  </si>
  <si>
    <t>J70000010301</t>
  </si>
  <si>
    <t>J70000010401</t>
  </si>
  <si>
    <t>D30000000501</t>
  </si>
  <si>
    <t>SPEER DONALD E</t>
  </si>
  <si>
    <t>SPEER STEPHANIE L</t>
  </si>
  <si>
    <t>419 SPEER ROAD</t>
  </si>
  <si>
    <t>I400000089</t>
  </si>
  <si>
    <t>BANK OF THE OZARKS</t>
  </si>
  <si>
    <t>fka BANK OF THE CAROLINAS</t>
  </si>
  <si>
    <t>17901 CHENAL PARKWAY</t>
  </si>
  <si>
    <t>LITTLE ROCK</t>
  </si>
  <si>
    <t>72223-0000</t>
  </si>
  <si>
    <t>I4010A0041</t>
  </si>
  <si>
    <t>LACKEY GARY L</t>
  </si>
  <si>
    <t>LACKEY DEREE R</t>
  </si>
  <si>
    <t>112 S WENTWORTH DRIVE</t>
  </si>
  <si>
    <t>D8110A0005</t>
  </si>
  <si>
    <t>WRIGHT ALAN D</t>
  </si>
  <si>
    <t>WRIGHT ANNE L</t>
  </si>
  <si>
    <t>451 RIVERBEND DRIVE</t>
  </si>
  <si>
    <t>E500000017</t>
  </si>
  <si>
    <t>SIMPSON JOSEPH W</t>
  </si>
  <si>
    <t>SIMPSON LINDSAY A</t>
  </si>
  <si>
    <t>993 FARMINGTON ROAD</t>
  </si>
  <si>
    <t>C800000171</t>
  </si>
  <si>
    <t>KINDERTON VILLAGE SINGLE FAM HOMEOWNERS ASSO INC</t>
  </si>
  <si>
    <t>PO BOX 4408</t>
  </si>
  <si>
    <t>C800000185</t>
  </si>
  <si>
    <t>C800000170</t>
  </si>
  <si>
    <t>C8010D099902</t>
  </si>
  <si>
    <t>C80000000159</t>
  </si>
  <si>
    <t>C8010B0999</t>
  </si>
  <si>
    <t>C80000000304</t>
  </si>
  <si>
    <t>C80000000303</t>
  </si>
  <si>
    <t>C8010E0999</t>
  </si>
  <si>
    <t>C8010C0999</t>
  </si>
  <si>
    <t>C8010D099901</t>
  </si>
  <si>
    <t>D400000006</t>
  </si>
  <si>
    <t>ROSE MICHAEL N</t>
  </si>
  <si>
    <t>ROSE AMY S</t>
  </si>
  <si>
    <t>PO BOX 1133</t>
  </si>
  <si>
    <t>27028-1133</t>
  </si>
  <si>
    <t>I5020A000501</t>
  </si>
  <si>
    <t>ROSENQUIST LANDON K</t>
  </si>
  <si>
    <t>ROSENQUIST MARY M</t>
  </si>
  <si>
    <t>150 CROWE STREET</t>
  </si>
  <si>
    <t>I5020A0005</t>
  </si>
  <si>
    <t>C8010B0342</t>
  </si>
  <si>
    <t>PIMENTEL JOHN B</t>
  </si>
  <si>
    <t>PIMENTEL REGILDA GRACE D</t>
  </si>
  <si>
    <t>195 KILBOURNE DRIVE</t>
  </si>
  <si>
    <t>E30000006102</t>
  </si>
  <si>
    <t>SPORS GERALD E</t>
  </si>
  <si>
    <t>SPORS DENISE T</t>
  </si>
  <si>
    <t>605 RICHIE ROAD</t>
  </si>
  <si>
    <t>H80000005306</t>
  </si>
  <si>
    <t>SPROUSE THOMAS W</t>
  </si>
  <si>
    <t>SPROUSE CYNTHIA D</t>
  </si>
  <si>
    <t>548 MARKLAND RD</t>
  </si>
  <si>
    <t>H80000005317</t>
  </si>
  <si>
    <t>M5060B002202</t>
  </si>
  <si>
    <t>I80000003101</t>
  </si>
  <si>
    <t>SHOWALTER RYAN M</t>
  </si>
  <si>
    <t>SHOWALTER MEREDITH H</t>
  </si>
  <si>
    <t>3324 NC HIGHWAY 801 S</t>
  </si>
  <si>
    <t>J4040G0013</t>
  </si>
  <si>
    <t>THE P &amp; G GROUP INC</t>
  </si>
  <si>
    <t>J4040G001301</t>
  </si>
  <si>
    <t>H50000002104</t>
  </si>
  <si>
    <t>ROTHROCK LEWIS F</t>
  </si>
  <si>
    <t>ROTHROCK JEAN B</t>
  </si>
  <si>
    <t>1917 US HIGHWAY 158</t>
  </si>
  <si>
    <t>27028-4363</t>
  </si>
  <si>
    <t>H50000002103</t>
  </si>
  <si>
    <t>H50000002002</t>
  </si>
  <si>
    <t>H50000002101</t>
  </si>
  <si>
    <t>H500000021</t>
  </si>
  <si>
    <t>M4050A0008</t>
  </si>
  <si>
    <t>PASTRANA FABIAN DIAZ</t>
  </si>
  <si>
    <t>835 GLADSTONE ROAD</t>
  </si>
  <si>
    <t>GRAYSON</t>
  </si>
  <si>
    <t>K50000006601</t>
  </si>
  <si>
    <t>RUCKER JAMES C</t>
  </si>
  <si>
    <t>RUCKER MICHELLE L</t>
  </si>
  <si>
    <t>156 HOOSE LANE</t>
  </si>
  <si>
    <t>K30000000105</t>
  </si>
  <si>
    <t>RUFTY SHIRLEY M</t>
  </si>
  <si>
    <t>RUFTY NORMAN R JR</t>
  </si>
  <si>
    <t>263 MR HENRY ROAD</t>
  </si>
  <si>
    <t>27028-5356</t>
  </si>
  <si>
    <t>K300000068</t>
  </si>
  <si>
    <t>G9090B0023</t>
  </si>
  <si>
    <t>RUNGE WILLIAM CHRISTOPHER</t>
  </si>
  <si>
    <t>106 HOLLY HILL COURT</t>
  </si>
  <si>
    <t>D200000012</t>
  </si>
  <si>
    <t>REAVIS MATTHEWS D</t>
  </si>
  <si>
    <t>422 DUARD REAVIS ROAD</t>
  </si>
  <si>
    <t>C700000026</t>
  </si>
  <si>
    <t>REAVIS RITA</t>
  </si>
  <si>
    <t>2229 BRAWLEY ROAD</t>
  </si>
  <si>
    <t>27055-6609</t>
  </si>
  <si>
    <t>E70000004101</t>
  </si>
  <si>
    <t>H500000210</t>
  </si>
  <si>
    <t>SIDDEN CHARLES A &amp; LOUISE B</t>
  </si>
  <si>
    <t>SUTTON ASHLEY D</t>
  </si>
  <si>
    <t>253 FARMLAND ROAD</t>
  </si>
  <si>
    <t>I80000006702</t>
  </si>
  <si>
    <t>2906 NC HIGHWAY 801 SOUTH</t>
  </si>
  <si>
    <t>27006-7106</t>
  </si>
  <si>
    <t>J4060D0044</t>
  </si>
  <si>
    <t>SMART STEVEN E</t>
  </si>
  <si>
    <t>SMART LISA A</t>
  </si>
  <si>
    <t>270 BEECHWOOD DRIVE</t>
  </si>
  <si>
    <t>D8060B0038</t>
  </si>
  <si>
    <t>BOHANNON JAMES EVERETT IV</t>
  </si>
  <si>
    <t>110 SOUTH BERMUDA RUN DRIVE</t>
  </si>
  <si>
    <t>G80000008401</t>
  </si>
  <si>
    <t>RIDDLE PAULA B</t>
  </si>
  <si>
    <t>152 BAILEY ROAD</t>
  </si>
  <si>
    <t>C60000004101</t>
  </si>
  <si>
    <t>SMITH JAMES KELLY JR</t>
  </si>
  <si>
    <t>SMITH MARY S</t>
  </si>
  <si>
    <t>191 MYERS ROAD</t>
  </si>
  <si>
    <t>C600000041</t>
  </si>
  <si>
    <t>F20000003002</t>
  </si>
  <si>
    <t>SANDS AUDREY LYNN WATSON</t>
  </si>
  <si>
    <t>270 TALL TIMBERS DRIVE</t>
  </si>
  <si>
    <t>F20000003004</t>
  </si>
  <si>
    <t>G9090C0006</t>
  </si>
  <si>
    <t>SAWYER G PATRICIA</t>
  </si>
  <si>
    <t>SAWYER ELTON E</t>
  </si>
  <si>
    <t>1209 PEOPLES CREEK ROAD</t>
  </si>
  <si>
    <t>C700000030</t>
  </si>
  <si>
    <t>E600000035</t>
  </si>
  <si>
    <t>POST MARYANNE</t>
  </si>
  <si>
    <t>193 RAINBOW ROAD</t>
  </si>
  <si>
    <t>27006-6707</t>
  </si>
  <si>
    <t>E600000048</t>
  </si>
  <si>
    <t>E60000004101</t>
  </si>
  <si>
    <t>J30000000901</t>
  </si>
  <si>
    <t>POTTS DENNIS LEE</t>
  </si>
  <si>
    <t>POTTS SANDRA RAYE</t>
  </si>
  <si>
    <t>536 DAVIE ACADEMY ROAD</t>
  </si>
  <si>
    <t>F500000056</t>
  </si>
  <si>
    <t>PARDUE DAVID SCOTT</t>
  </si>
  <si>
    <t>PARDUE WANDA G</t>
  </si>
  <si>
    <t>443 ANGEL ROAD</t>
  </si>
  <si>
    <t>F50000001401</t>
  </si>
  <si>
    <t>F500000037</t>
  </si>
  <si>
    <t>PARISH RICKY WAYNE</t>
  </si>
  <si>
    <t>PARISH SUZANN BROWN</t>
  </si>
  <si>
    <t>389 FARMINGTON ROAD</t>
  </si>
  <si>
    <t>K500000076</t>
  </si>
  <si>
    <t>ROBBINS BOBBY EUGENE</t>
  </si>
  <si>
    <t>141 SALLY LN</t>
  </si>
  <si>
    <t>L70000002901</t>
  </si>
  <si>
    <t>ROBBINS RICHARD J</t>
  </si>
  <si>
    <t>ROBBINS SUSAN S</t>
  </si>
  <si>
    <t>174 DUTCHMAN CREEK ROAD</t>
  </si>
  <si>
    <t>H80000004104</t>
  </si>
  <si>
    <t>G200000018</t>
  </si>
  <si>
    <t>ROBERSON WILLIAM DALE</t>
  </si>
  <si>
    <t>ROBERSON PAMELA B</t>
  </si>
  <si>
    <t>1148 CALAHAN ROAD</t>
  </si>
  <si>
    <t>27028-8116</t>
  </si>
  <si>
    <t>M5160C0023</t>
  </si>
  <si>
    <t>S &amp; P COOLEEMEE LLC</t>
  </si>
  <si>
    <t>PO BOX 760</t>
  </si>
  <si>
    <t>I5110A0003</t>
  </si>
  <si>
    <t>PEREZ ROGELIO JR</t>
  </si>
  <si>
    <t>PEREZ TERI</t>
  </si>
  <si>
    <t>116 HOLLOW HILL COURT</t>
  </si>
  <si>
    <t>E700000179</t>
  </si>
  <si>
    <t>PFAFF JOSHUA AARON</t>
  </si>
  <si>
    <t>PFAFF LINDSAY SMITH</t>
  </si>
  <si>
    <t>547 JUNEY BEAUCHAMP ROAD</t>
  </si>
  <si>
    <t>F60000010201</t>
  </si>
  <si>
    <t>ROBERTSON CARTER ARNOLD</t>
  </si>
  <si>
    <t>ROBERTSON BRENDA MOOSE</t>
  </si>
  <si>
    <t>688 HOWARDTOWN CIRCLE</t>
  </si>
  <si>
    <t>I600000043</t>
  </si>
  <si>
    <t>ROBINSON JAMES TURNER</t>
  </si>
  <si>
    <t>ROBINSON SANDRA MARIE</t>
  </si>
  <si>
    <t>165 CHESTNUT TRAIL</t>
  </si>
  <si>
    <t>E8170A0704</t>
  </si>
  <si>
    <t>HICKS SUSAN R</t>
  </si>
  <si>
    <t>127 LEGACY DRIVE</t>
  </si>
  <si>
    <t>E60000007902</t>
  </si>
  <si>
    <t>ROTEN ERIC C</t>
  </si>
  <si>
    <t>163 BACKDRAFT TRAIL</t>
  </si>
  <si>
    <t>27028-4185</t>
  </si>
  <si>
    <t>C8010B0402</t>
  </si>
  <si>
    <t>ORAMAS LUISA F CASTRO</t>
  </si>
  <si>
    <t>128 GLENMOOR AVENUE</t>
  </si>
  <si>
    <t>H8060A0013</t>
  </si>
  <si>
    <t>OSBORNE MARCUS S</t>
  </si>
  <si>
    <t>OSBORNE MELINDA R</t>
  </si>
  <si>
    <t>119 ALEXANDRIA COURT</t>
  </si>
  <si>
    <t>J4060D0021</t>
  </si>
  <si>
    <t>N60000007501</t>
  </si>
  <si>
    <t>K5100A001501</t>
  </si>
  <si>
    <t>OWEN MATTHEW J</t>
  </si>
  <si>
    <t>180 DEADMON RD</t>
  </si>
  <si>
    <t>K5100A0015</t>
  </si>
  <si>
    <t>E900000720</t>
  </si>
  <si>
    <t>CROTTS LAUREN</t>
  </si>
  <si>
    <t>CROTTS ROBERT J</t>
  </si>
  <si>
    <t>153 CAUDLE MEADOWS DRIVE</t>
  </si>
  <si>
    <t>I60000007505</t>
  </si>
  <si>
    <t>OWENS BARRY M</t>
  </si>
  <si>
    <t>OWENS BARBARA T</t>
  </si>
  <si>
    <t>174 ROSE ARBOR LANE</t>
  </si>
  <si>
    <t>27028-7459</t>
  </si>
  <si>
    <t>I60000007511</t>
  </si>
  <si>
    <t>K20000004201</t>
  </si>
  <si>
    <t>NAIL RONALD DEAN</t>
  </si>
  <si>
    <t>388 RIDGE ROAD</t>
  </si>
  <si>
    <t>27028-8337</t>
  </si>
  <si>
    <t>F8030A0065</t>
  </si>
  <si>
    <t>NEWSOME STEPHEN L</t>
  </si>
  <si>
    <t>NEWSOME DEBORAH A</t>
  </si>
  <si>
    <t>121 TYLER COURT</t>
  </si>
  <si>
    <t>E900000184</t>
  </si>
  <si>
    <t>NICHOLSON DOYLE</t>
  </si>
  <si>
    <t>NICHOLSON GRETCHEN</t>
  </si>
  <si>
    <t>460 KINGSMILL DRIVE</t>
  </si>
  <si>
    <t>F90000000201</t>
  </si>
  <si>
    <t>NORMAN SANDRA</t>
  </si>
  <si>
    <t>888 UNDERPASS ROAD</t>
  </si>
  <si>
    <t>C8010A0278</t>
  </si>
  <si>
    <t>MONROE WAYNE GROVER</t>
  </si>
  <si>
    <t>MONROE ANGELA R</t>
  </si>
  <si>
    <t>223 NORTH FORKE DRIVE</t>
  </si>
  <si>
    <t>F3130A0045</t>
  </si>
  <si>
    <t>COOPER CHADWICK DELTON</t>
  </si>
  <si>
    <t>COOPER AMANDA ASHLEY</t>
  </si>
  <si>
    <t>238 DANNER ROAD</t>
  </si>
  <si>
    <t>D60000000401</t>
  </si>
  <si>
    <t>LAWSON LUKE AARON</t>
  </si>
  <si>
    <t>LAWSON MARLA M</t>
  </si>
  <si>
    <t>392 BOBBIT ROAD</t>
  </si>
  <si>
    <t>D20000002702</t>
  </si>
  <si>
    <t>REAVIS TODD PHILIP</t>
  </si>
  <si>
    <t>REAVIS PAULA B</t>
  </si>
  <si>
    <t>346 DUARD REAVIS ROAD</t>
  </si>
  <si>
    <t>C300000011</t>
  </si>
  <si>
    <t>MOORE RICHARD M</t>
  </si>
  <si>
    <t>MOORE PATRICIA P</t>
  </si>
  <si>
    <t>176 PARKS LANE</t>
  </si>
  <si>
    <t>27028-6238</t>
  </si>
  <si>
    <t>H70000006405</t>
  </si>
  <si>
    <t>REED SCOTT DAVID</t>
  </si>
  <si>
    <t>REED STACEY M</t>
  </si>
  <si>
    <t>111 BRIER CREEK ROAD</t>
  </si>
  <si>
    <t>H70000006406</t>
  </si>
  <si>
    <t>C8010A0145</t>
  </si>
  <si>
    <t>REID STEPHEN</t>
  </si>
  <si>
    <t>REID LORI</t>
  </si>
  <si>
    <t>108 NORTH FORKE DRIVE</t>
  </si>
  <si>
    <t>H80000000605</t>
  </si>
  <si>
    <t>BURTON RANDY G</t>
  </si>
  <si>
    <t>BURTON DONNA K</t>
  </si>
  <si>
    <t>194 DAISY RIDGE LN</t>
  </si>
  <si>
    <t>L800000027</t>
  </si>
  <si>
    <t>MOSSMAN ANDREW LUCAS</t>
  </si>
  <si>
    <t>447 SEAFORD ROAD</t>
  </si>
  <si>
    <t>L800000028</t>
  </si>
  <si>
    <t>B100000009</t>
  </si>
  <si>
    <t>MULLIES REX</t>
  </si>
  <si>
    <t>120 SPRING WOOD TRAIL</t>
  </si>
  <si>
    <t>C600000034</t>
  </si>
  <si>
    <t>MYERS IRVIN J</t>
  </si>
  <si>
    <t>372 SPILLMAN ROAD</t>
  </si>
  <si>
    <t>27028-7815</t>
  </si>
  <si>
    <t>G400000027</t>
  </si>
  <si>
    <t>MYERS RICHARD BARRY</t>
  </si>
  <si>
    <t>MYERS LYNDA J</t>
  </si>
  <si>
    <t>506 MAIN CHURCH ROAD</t>
  </si>
  <si>
    <t>K800000022</t>
  </si>
  <si>
    <t>MYERS RONALD L</t>
  </si>
  <si>
    <t>MYERS LINDA K</t>
  </si>
  <si>
    <t>310 SEAFORD ROAD</t>
  </si>
  <si>
    <t>K80000002006</t>
  </si>
  <si>
    <t>H5070A0001</t>
  </si>
  <si>
    <t>PHILLIPS RALPH W</t>
  </si>
  <si>
    <t>PHILLIPS NAOMI D</t>
  </si>
  <si>
    <t>245 SAIN ROAD</t>
  </si>
  <si>
    <t>G8120B0012</t>
  </si>
  <si>
    <t>POINDEXTER GENE HARTMAN</t>
  </si>
  <si>
    <t>POINDEXTER KAREN</t>
  </si>
  <si>
    <t>228 SHUTT ROAD</t>
  </si>
  <si>
    <t>F8030A0051</t>
  </si>
  <si>
    <t>CLINE DAVID V</t>
  </si>
  <si>
    <t>CLINE ALICIA M</t>
  </si>
  <si>
    <t>216 ESSEX FARM ROAD</t>
  </si>
  <si>
    <t>G800000061</t>
  </si>
  <si>
    <t>K8090A0008</t>
  </si>
  <si>
    <t>POORE HARRY T</t>
  </si>
  <si>
    <t>POORE LYNNE F</t>
  </si>
  <si>
    <t>199 CARTER'S RIDGE RD</t>
  </si>
  <si>
    <t>27006-7301</t>
  </si>
  <si>
    <t>K600000018  A</t>
  </si>
  <si>
    <t>POPLIN EARL OTIS JR</t>
  </si>
  <si>
    <t>27028-5225</t>
  </si>
  <si>
    <t>H5170A0036</t>
  </si>
  <si>
    <t>PORTER CHRISTOPHER W</t>
  </si>
  <si>
    <t>PORTER SANDRA L</t>
  </si>
  <si>
    <t>275 CANYON ROAD</t>
  </si>
  <si>
    <t>27028-4347</t>
  </si>
  <si>
    <t>D7080A0040</t>
  </si>
  <si>
    <t>PARKINSON MICHAEL</t>
  </si>
  <si>
    <t>PARKINSON ALISSA</t>
  </si>
  <si>
    <t>349 LONGWOOD DRIVE</t>
  </si>
  <si>
    <t>H8060A0010</t>
  </si>
  <si>
    <t>MIGLIARESE JOSEPH A</t>
  </si>
  <si>
    <t>MIGLIARESE ANDREA T</t>
  </si>
  <si>
    <t>139 ALEXANDRIA COURT</t>
  </si>
  <si>
    <t>J700000111</t>
  </si>
  <si>
    <t>SMITH VICKIE COPE</t>
  </si>
  <si>
    <t>I700000108</t>
  </si>
  <si>
    <t>PARRISH RONALD G</t>
  </si>
  <si>
    <t>PARRISH CARLENE</t>
  </si>
  <si>
    <t>141 MOHAWK LANE</t>
  </si>
  <si>
    <t>E7140A0026</t>
  </si>
  <si>
    <t>PASQUET RAPHAEL</t>
  </si>
  <si>
    <t>PASQUET AMANDA</t>
  </si>
  <si>
    <t>176 REDMEADOW COURT</t>
  </si>
  <si>
    <t>G70000001201</t>
  </si>
  <si>
    <t>PATTON MICHAEL R</t>
  </si>
  <si>
    <t>843 HOWARDTOWN ROAD</t>
  </si>
  <si>
    <t>B7010B0003</t>
  </si>
  <si>
    <t>O'BRIEN DAVID WAYNE TRUSTEE</t>
  </si>
  <si>
    <t>O'BRIEN LORI BLANKENSHIP TRSTE</t>
  </si>
  <si>
    <t>264 JESSE KING ROAD</t>
  </si>
  <si>
    <t>G90000000806</t>
  </si>
  <si>
    <t>TREMBLAY RUSSELL W</t>
  </si>
  <si>
    <t>TREMBLAY SHANNON B</t>
  </si>
  <si>
    <t>1426 PEOPLES CREEK ROAD</t>
  </si>
  <si>
    <t>27006-7450</t>
  </si>
  <si>
    <t>M5160B0018</t>
  </si>
  <si>
    <t>ONEAL LEON A</t>
  </si>
  <si>
    <t>ONEAL TAMARA B</t>
  </si>
  <si>
    <t>27014-0907</t>
  </si>
  <si>
    <t>M300000001</t>
  </si>
  <si>
    <t>ONEAL LEON A ETAL</t>
  </si>
  <si>
    <t>I60000007512</t>
  </si>
  <si>
    <t>G70000013102</t>
  </si>
  <si>
    <t>164 BARNEY RD</t>
  </si>
  <si>
    <t>I1120A0030</t>
  </si>
  <si>
    <t>WHITLEY BONNIE</t>
  </si>
  <si>
    <t>336 DEER RUN DR</t>
  </si>
  <si>
    <t>C60000009201</t>
  </si>
  <si>
    <t>SHORE JARYD WILLIAM</t>
  </si>
  <si>
    <t>B20000000405</t>
  </si>
  <si>
    <t>MOORE MARK S</t>
  </si>
  <si>
    <t>177 REAVIS ROAD</t>
  </si>
  <si>
    <t>27055-6378</t>
  </si>
  <si>
    <t>B20000000401</t>
  </si>
  <si>
    <t>D7010A0011</t>
  </si>
  <si>
    <t>MOORE VERNON L</t>
  </si>
  <si>
    <t>MOORE MARTHA W</t>
  </si>
  <si>
    <t>215 LITTLE JOHN DRIVE</t>
  </si>
  <si>
    <t>27006-6636</t>
  </si>
  <si>
    <t>I700000106</t>
  </si>
  <si>
    <t>MORSE T RACHEL ROBERSON</t>
  </si>
  <si>
    <t>MORSE GERALD H</t>
  </si>
  <si>
    <t>299 SANDY LANE</t>
  </si>
  <si>
    <t>L800000029</t>
  </si>
  <si>
    <t>L80000002701</t>
  </si>
  <si>
    <t>D70000002011</t>
  </si>
  <si>
    <t>HUPP JONATHAN SCOTT</t>
  </si>
  <si>
    <t>HUPP CHARLES T III</t>
  </si>
  <si>
    <t>409 GORDON DRIVE</t>
  </si>
  <si>
    <t>K300000010</t>
  </si>
  <si>
    <t>ADAMS RONALD E</t>
  </si>
  <si>
    <t>ADAMS TAMMY P</t>
  </si>
  <si>
    <t>180 DWIGGINS ROAD</t>
  </si>
  <si>
    <t>I30000003503</t>
  </si>
  <si>
    <t>BOOIE ERIC B</t>
  </si>
  <si>
    <t>BOOIE HEATHER M</t>
  </si>
  <si>
    <t>114 GREENHILL ROAD</t>
  </si>
  <si>
    <t>E6040A0008</t>
  </si>
  <si>
    <t>SHOEMAKER KELLY B</t>
  </si>
  <si>
    <t>P O BOX 1164</t>
  </si>
  <si>
    <t>H4160A0012</t>
  </si>
  <si>
    <t>GENTRY BRANDON</t>
  </si>
  <si>
    <t>GENTRY SHALONDA</t>
  </si>
  <si>
    <t>411 MADISON ROAD</t>
  </si>
  <si>
    <t>I5080B0003</t>
  </si>
  <si>
    <t>BEATY PATRICK MICHAEL</t>
  </si>
  <si>
    <t>BEATY MARY ANN</t>
  </si>
  <si>
    <t>829 NORTH MAIN STREET</t>
  </si>
  <si>
    <t>E9150A0007</t>
  </si>
  <si>
    <t>MAUGHON ROBERT MATTHEW</t>
  </si>
  <si>
    <t>MAUGHON LORI SCARDINA</t>
  </si>
  <si>
    <t>174 HIDDEN CREEK DRIVE</t>
  </si>
  <si>
    <t>D700000232</t>
  </si>
  <si>
    <t>E6040A0010</t>
  </si>
  <si>
    <t>G8140A0020</t>
  </si>
  <si>
    <t>STEELMAN ANDREW M</t>
  </si>
  <si>
    <t>STEELMAN GRETCHEN T</t>
  </si>
  <si>
    <t>160 SCOTCH MOSS DRIVE</t>
  </si>
  <si>
    <t>C20000001102</t>
  </si>
  <si>
    <t>DOTSON PAULA S</t>
  </si>
  <si>
    <t>128 BRIARCLIFF LANE</t>
  </si>
  <si>
    <t>H9070A0026</t>
  </si>
  <si>
    <t>MILLER GRANT DAVID</t>
  </si>
  <si>
    <t>MILLER BETHANY LITTLE</t>
  </si>
  <si>
    <t>142 IRISHMAN PLACE</t>
  </si>
  <si>
    <t>E400000037</t>
  </si>
  <si>
    <t>SMITH LAWRENCE PATRICK ETAL</t>
  </si>
  <si>
    <t>310 STAGECOACH ROAD</t>
  </si>
  <si>
    <t>L300000024</t>
  </si>
  <si>
    <t>MARION DAVID MATTHEW</t>
  </si>
  <si>
    <t>417 RATLEDGE ROAD</t>
  </si>
  <si>
    <t>27028-5427</t>
  </si>
  <si>
    <t>L700000009</t>
  </si>
  <si>
    <t>DUTCHMAN CREEK BAPTIST CHURCH INC</t>
  </si>
  <si>
    <t>5580 HIGHWAY 801 SOUTH</t>
  </si>
  <si>
    <t>L60000005902</t>
  </si>
  <si>
    <t>MYERS BRITTANY E</t>
  </si>
  <si>
    <t>H700000054</t>
  </si>
  <si>
    <t>MATHIS STEPHANIE H</t>
  </si>
  <si>
    <t>MATHIS RONALD S</t>
  </si>
  <si>
    <t>1656 FORK BIXBY ROAD</t>
  </si>
  <si>
    <t>E80000001709</t>
  </si>
  <si>
    <t>MCCALLISTER JOHN S JR</t>
  </si>
  <si>
    <t>MCCALLISTER DONNA M</t>
  </si>
  <si>
    <t>1436 UNDERPASS ROAD</t>
  </si>
  <si>
    <t>D8070D0013</t>
  </si>
  <si>
    <t>HINES MIRANDA S</t>
  </si>
  <si>
    <t>159 FAIRWAY DRIVE</t>
  </si>
  <si>
    <t>J4060A0031</t>
  </si>
  <si>
    <t>VAUGHAN JONES ROBERT</t>
  </si>
  <si>
    <t>VAUGHAN JONES AMEDIA</t>
  </si>
  <si>
    <t>225 HOLLY LANE</t>
  </si>
  <si>
    <t>H20000001606</t>
  </si>
  <si>
    <t>BOWLES DONALD G TRUSTEE</t>
  </si>
  <si>
    <t>MYERS DWIGHT L TRUST FOR MAINT</t>
  </si>
  <si>
    <t>F20000005401</t>
  </si>
  <si>
    <t>GOBBLE RONALD L</t>
  </si>
  <si>
    <t>GOBBLE AMY R</t>
  </si>
  <si>
    <t>481 RALPH RATLEDGE ROAD</t>
  </si>
  <si>
    <t>E20000001603</t>
  </si>
  <si>
    <t>HOLMAN DAVID ANDREW</t>
  </si>
  <si>
    <t>HOLMAN BAMBI</t>
  </si>
  <si>
    <t>165 BUCKINGHAM LANE</t>
  </si>
  <si>
    <t>I800000036</t>
  </si>
  <si>
    <t>147 TODD ROAD</t>
  </si>
  <si>
    <t>E900000518</t>
  </si>
  <si>
    <t>CHILDRESS BRADLEY C</t>
  </si>
  <si>
    <t>CHILDRESS ANNA W</t>
  </si>
  <si>
    <t>399 NORTH HIDDENBROOKE DRIVE</t>
  </si>
  <si>
    <t>E900000550</t>
  </si>
  <si>
    <t>SMITH CHRISTOPHER LEWIS</t>
  </si>
  <si>
    <t>SMITH ELLEN</t>
  </si>
  <si>
    <t>109 N HIDDENBROOKE DRIVE</t>
  </si>
  <si>
    <t>B600000029</t>
  </si>
  <si>
    <t>I5160B0040</t>
  </si>
  <si>
    <t>BOST ALAN RANDALL</t>
  </si>
  <si>
    <t>298 RAILROAD STREET</t>
  </si>
  <si>
    <t>G8140A0084</t>
  </si>
  <si>
    <t>OGNOSKY MICHAEL D</t>
  </si>
  <si>
    <t>OGNOSKY STEPHANIE D</t>
  </si>
  <si>
    <t>198 OLD HOMEPLACE DRIVE</t>
  </si>
  <si>
    <t>I600000041  A</t>
  </si>
  <si>
    <t>FRYE RUTH F</t>
  </si>
  <si>
    <t>717 CORNATZER ROAD</t>
  </si>
  <si>
    <t>I600000040</t>
  </si>
  <si>
    <t>I5010C0015</t>
  </si>
  <si>
    <t>BOOE CARLTON A</t>
  </si>
  <si>
    <t>120 ETCHINSON STREET</t>
  </si>
  <si>
    <t>I4130H0026</t>
  </si>
  <si>
    <t>LANTZ KAYRON VESTAL</t>
  </si>
  <si>
    <t>128 AVON STREET</t>
  </si>
  <si>
    <t>K30000001002</t>
  </si>
  <si>
    <t>D7030B0016</t>
  </si>
  <si>
    <t>MCLEMORE MELISSA J</t>
  </si>
  <si>
    <t>123 BRENTWOOD DRIVE</t>
  </si>
  <si>
    <t>D7080A0055</t>
  </si>
  <si>
    <t>YOUNG JOSHUA J</t>
  </si>
  <si>
    <t>YOUNG TABITHA</t>
  </si>
  <si>
    <t>181 BETHLEHEM DRIVE</t>
  </si>
  <si>
    <t>J5150C0008</t>
  </si>
  <si>
    <t>TODOROVIC SUZANA</t>
  </si>
  <si>
    <t>251 SOUTHWOOD DRIVE</t>
  </si>
  <si>
    <t>D7080A0034</t>
  </si>
  <si>
    <t>MICHAEL JENNA MARIE</t>
  </si>
  <si>
    <t>272 LONGWOOD DRIVE</t>
  </si>
  <si>
    <t>B500000043</t>
  </si>
  <si>
    <t>DETERS ANTHONY ROBERT</t>
  </si>
  <si>
    <t>DETERS RUTH LANORE</t>
  </si>
  <si>
    <t>413 PINEVILLE ROAD</t>
  </si>
  <si>
    <t>M5160C0022</t>
  </si>
  <si>
    <t>BILLINGS JEFFERY DAVID</t>
  </si>
  <si>
    <t>2435 OLD MOCKSVILLE ROAD</t>
  </si>
  <si>
    <t>M5160C0020</t>
  </si>
  <si>
    <t>C7130A0005</t>
  </si>
  <si>
    <t>MCGEE MICHAEL OLIVER</t>
  </si>
  <si>
    <t>149 MCGEE COURT</t>
  </si>
  <si>
    <t>I5160B0015</t>
  </si>
  <si>
    <t>THREE PROPERTIES LLC</t>
  </si>
  <si>
    <t>PO BOX 20965</t>
  </si>
  <si>
    <t>I5160B0016</t>
  </si>
  <si>
    <t>I5060C0013</t>
  </si>
  <si>
    <t>LAYMAN JAMES PAUL</t>
  </si>
  <si>
    <t>1933 HUSKINS STREET</t>
  </si>
  <si>
    <t>G3050B000601</t>
  </si>
  <si>
    <t>MCCRACKEN MATTHEW</t>
  </si>
  <si>
    <t>MCCRACKEN SARAH</t>
  </si>
  <si>
    <t>1561 MAIN CHURCH ROAD</t>
  </si>
  <si>
    <t>I30000000603</t>
  </si>
  <si>
    <t>MCDANIEL RODNEY D</t>
  </si>
  <si>
    <t>I1120A0015</t>
  </si>
  <si>
    <t>HANNA ROBERT L</t>
  </si>
  <si>
    <t>HANNA PEGGY P</t>
  </si>
  <si>
    <t>316 OAKLAND AVENUE</t>
  </si>
  <si>
    <t>D8150A0006</t>
  </si>
  <si>
    <t>VAUGHAN ERIK N</t>
  </si>
  <si>
    <t>VAUGHAN HOLLY M</t>
  </si>
  <si>
    <t>206 JUNIPER CIRCLE</t>
  </si>
  <si>
    <t>H30000005001</t>
  </si>
  <si>
    <t>2067 HWY 64 WEST</t>
  </si>
  <si>
    <t>G9090D0020</t>
  </si>
  <si>
    <t>HELMS MICAH G</t>
  </si>
  <si>
    <t>HELMS ADRIENNE B</t>
  </si>
  <si>
    <t>158 MAPLE VALLEY ROAD</t>
  </si>
  <si>
    <t>I40000003803</t>
  </si>
  <si>
    <t>COOPER BETH P</t>
  </si>
  <si>
    <t>PARKER EDWARD M</t>
  </si>
  <si>
    <t>146 MADISON ROAD</t>
  </si>
  <si>
    <t>E70000013905</t>
  </si>
  <si>
    <t>WARNER SIDNEY BRIAN SR</t>
  </si>
  <si>
    <t>1163 BEAUCHAMP ROAD</t>
  </si>
  <si>
    <t>F80000011201</t>
  </si>
  <si>
    <t>K700000016</t>
  </si>
  <si>
    <t>HYLTON ROBERT C</t>
  </si>
  <si>
    <t>B20000001702</t>
  </si>
  <si>
    <t>MERRITT DAVID CHARLES</t>
  </si>
  <si>
    <t>MERRITT PETRA ANNI</t>
  </si>
  <si>
    <t>143 MEDLEY LANE</t>
  </si>
  <si>
    <t>M5100C0008</t>
  </si>
  <si>
    <t>B700000030</t>
  </si>
  <si>
    <t>TUTTLE FRANCES C</t>
  </si>
  <si>
    <t>238 PEACEFUL VALLEY ROAD</t>
  </si>
  <si>
    <t>E20000001508</t>
  </si>
  <si>
    <t>PEACOCK RONALD D JR</t>
  </si>
  <si>
    <t>PEACOCK CAROLYN S</t>
  </si>
  <si>
    <t>109 BUCKINGHAM LANE</t>
  </si>
  <si>
    <t>D8030A0004</t>
  </si>
  <si>
    <t>PRYOR JAMES MICHAEL</t>
  </si>
  <si>
    <t>PRYOR AVON B</t>
  </si>
  <si>
    <t>2871 BURLWOOD DRIVE</t>
  </si>
  <si>
    <t>J7120A0002</t>
  </si>
  <si>
    <t>MASON BRADLEY FREEDOM</t>
  </si>
  <si>
    <t>3043 US HIGHWAY 64 EAST</t>
  </si>
  <si>
    <t>H300000088</t>
  </si>
  <si>
    <t>ANGELL WARREN SCOTT</t>
  </si>
  <si>
    <t>WESCOTT SHERRY A</t>
  </si>
  <si>
    <t>221 BUCK SEAFORD ROAD</t>
  </si>
  <si>
    <t>I400000064</t>
  </si>
  <si>
    <t>BROWN WILSON</t>
  </si>
  <si>
    <t>DBA BOXWOOD NURSERIES</t>
  </si>
  <si>
    <t>1511 JERICHO CHURCH ROAD</t>
  </si>
  <si>
    <t>I70000001807</t>
  </si>
  <si>
    <t>BARNETT DARLENE M</t>
  </si>
  <si>
    <t>477 NO CREEK ROAD</t>
  </si>
  <si>
    <t>D60000002904</t>
  </si>
  <si>
    <t>SMITH BENJAMIN YOMAN</t>
  </si>
  <si>
    <t>1005 RAINBOW RD</t>
  </si>
  <si>
    <t>D60000002901</t>
  </si>
  <si>
    <t>J4140B0002</t>
  </si>
  <si>
    <t>DAVIDSON MATTHEW</t>
  </si>
  <si>
    <t>DAVIDSON ERIN</t>
  </si>
  <si>
    <t>109 GEORGIA COURT</t>
  </si>
  <si>
    <t>C60000001103</t>
  </si>
  <si>
    <t>RHYNE FAMILY ENTERPRISES LLC</t>
  </si>
  <si>
    <t>6831 SCIOTO CHARSE BLVD</t>
  </si>
  <si>
    <t>POWELL</t>
  </si>
  <si>
    <t>C600000015</t>
  </si>
  <si>
    <t>C600000012</t>
  </si>
  <si>
    <t>H50000003103</t>
  </si>
  <si>
    <t>CORNETT DEREK S</t>
  </si>
  <si>
    <t>CORNETT TONIA M</t>
  </si>
  <si>
    <t>324 OAK GROVE CHURCH ROAD</t>
  </si>
  <si>
    <t>G3060B0004</t>
  </si>
  <si>
    <t>EVANS MARY</t>
  </si>
  <si>
    <t>267 IJAMES CHURCH ROAD</t>
  </si>
  <si>
    <t>G7030A0002</t>
  </si>
  <si>
    <t>LAIL JASON PATRICK</t>
  </si>
  <si>
    <t>STEWART LEAH MICHELLE</t>
  </si>
  <si>
    <t>119 CAMDEN COURT</t>
  </si>
  <si>
    <t>H7030A0036</t>
  </si>
  <si>
    <t>PERRY ROBIN</t>
  </si>
  <si>
    <t>H7030A0037</t>
  </si>
  <si>
    <t>C8010A0252</t>
  </si>
  <si>
    <t>MANESIS MICHAEL J</t>
  </si>
  <si>
    <t>MANESIS JASMINE F</t>
  </si>
  <si>
    <t>228 BRIDGEWATER DRIVE</t>
  </si>
  <si>
    <t>F1030A0013</t>
  </si>
  <si>
    <t>SHOEMAKER CHRISTOPHER J</t>
  </si>
  <si>
    <t>117 MOLLIE ROAD</t>
  </si>
  <si>
    <t>H50000003104</t>
  </si>
  <si>
    <t>B20000002403</t>
  </si>
  <si>
    <t>STANTON TIFFANY A</t>
  </si>
  <si>
    <t>STANTON JEREMY M</t>
  </si>
  <si>
    <t>445 BELL BRANCH ROAD</t>
  </si>
  <si>
    <t>C7130A0006</t>
  </si>
  <si>
    <t>GOWEN JAMES MICHAEL</t>
  </si>
  <si>
    <t>GOWEN ANNE BOYD</t>
  </si>
  <si>
    <t>151 MCGEE COURT</t>
  </si>
  <si>
    <t>E700000124</t>
  </si>
  <si>
    <t>CLODFELTER ANGELA D</t>
  </si>
  <si>
    <t>506 BALTIMORE ROAD</t>
  </si>
  <si>
    <t>B300000040</t>
  </si>
  <si>
    <t>ROBINSON HOWARD BRUCE</t>
  </si>
  <si>
    <t>ROBINSON VANESSA SALYER</t>
  </si>
  <si>
    <t>4415 US HWY 801 N</t>
  </si>
  <si>
    <t>G7040A0020</t>
  </si>
  <si>
    <t>GRUBBS INVESTMENT PROPERTIES LLC</t>
  </si>
  <si>
    <t>7140 ORCHARD PATH DRIVE</t>
  </si>
  <si>
    <t>F80000013406</t>
  </si>
  <si>
    <t>BUSSE MATTHEW</t>
  </si>
  <si>
    <t>BUSSE KIMBERLY ANN</t>
  </si>
  <si>
    <t>138 RIVER BIRCH LANE</t>
  </si>
  <si>
    <t>F80000013407</t>
  </si>
  <si>
    <t>D8030A0022</t>
  </si>
  <si>
    <t>COLEMAN JESSE EUGENE</t>
  </si>
  <si>
    <t>COLEMAN HEATHER MULLICAN</t>
  </si>
  <si>
    <t>269 RIVERBEND DRIVE</t>
  </si>
  <si>
    <t>C8010B0340</t>
  </si>
  <si>
    <t>GORDON LARRY JAMES JR</t>
  </si>
  <si>
    <t>203 KILBOURNE DRIVE</t>
  </si>
  <si>
    <t>I50000002102</t>
  </si>
  <si>
    <t>SAIN JAMES HOWARD</t>
  </si>
  <si>
    <t>SAIN CHRISTINE SHORE</t>
  </si>
  <si>
    <t>820 MILLING ROAD</t>
  </si>
  <si>
    <t>27028-2861</t>
  </si>
  <si>
    <t>C8010A0166</t>
  </si>
  <si>
    <t>PALMORE LEE ELAINE</t>
  </si>
  <si>
    <t>125 TOWNPARK DRIVE</t>
  </si>
  <si>
    <t>C8010A0038</t>
  </si>
  <si>
    <t>SEARS KATHLEEN L</t>
  </si>
  <si>
    <t>222 TOWNPARK DRIVE</t>
  </si>
  <si>
    <t>C8010A0035</t>
  </si>
  <si>
    <t>STANCILL MELANIE</t>
  </si>
  <si>
    <t>236 TOWNPARK DRIVE</t>
  </si>
  <si>
    <t>D700000068</t>
  </si>
  <si>
    <t>HILL DONALD LEE</t>
  </si>
  <si>
    <t>HILL CARRIE L</t>
  </si>
  <si>
    <t>543 RUTLEDGE AVE</t>
  </si>
  <si>
    <t>CHARLESTON</t>
  </si>
  <si>
    <t>C8030B0009</t>
  </si>
  <si>
    <t>DILLARD JASON</t>
  </si>
  <si>
    <t>DILLARD SARAH</t>
  </si>
  <si>
    <t>298 TOWNPARK DRIVE #301</t>
  </si>
  <si>
    <t>C8030B0012</t>
  </si>
  <si>
    <t>BROWN TERRENCE WAYNE</t>
  </si>
  <si>
    <t>298 TOWNPARK DRIVE #302</t>
  </si>
  <si>
    <t>F300000050</t>
  </si>
  <si>
    <t>F300000051</t>
  </si>
  <si>
    <t>C70000005401</t>
  </si>
  <si>
    <t>KENNEY CHRISTY E</t>
  </si>
  <si>
    <t>137 WOOD LANE</t>
  </si>
  <si>
    <t>E900000552</t>
  </si>
  <si>
    <t>BOULOS JADD J REV TRUST AGREE</t>
  </si>
  <si>
    <t>133 ARNOLD PALMER DRIVE</t>
  </si>
  <si>
    <t>J600000056</t>
  </si>
  <si>
    <t>LEOPARD STONE FARM LLC</t>
  </si>
  <si>
    <t>1215 RAILROAD BED ROAD</t>
  </si>
  <si>
    <t>ROPER</t>
  </si>
  <si>
    <t>K60000001903A</t>
  </si>
  <si>
    <t>H30000004601</t>
  </si>
  <si>
    <t>SMOOT BRYANT EDWARD</t>
  </si>
  <si>
    <t>SMOOT LISA SALES</t>
  </si>
  <si>
    <t>197 WHARTON TRL</t>
  </si>
  <si>
    <t>M4130A0015</t>
  </si>
  <si>
    <t>RIDDLE MATTHEW STEVEN</t>
  </si>
  <si>
    <t>RIDDLE LILLIAN</t>
  </si>
  <si>
    <t>164 WESTVIEW AVENUE</t>
  </si>
  <si>
    <t>F100000068</t>
  </si>
  <si>
    <t>NICHOLS STEVEN CHAD</t>
  </si>
  <si>
    <t>NICHOLS MELINDA</t>
  </si>
  <si>
    <t>198 EDWARDS ROAD</t>
  </si>
  <si>
    <t>G70000013104</t>
  </si>
  <si>
    <t>STONE JAMES W II</t>
  </si>
  <si>
    <t>154 BARNEY ROAD</t>
  </si>
  <si>
    <t>I700000013</t>
  </si>
  <si>
    <t>SEIVERS MARK</t>
  </si>
  <si>
    <t>SEIVERS HARRIETT</t>
  </si>
  <si>
    <t>415 MERRELLS LAKE ROAD</t>
  </si>
  <si>
    <t>H30000006802</t>
  </si>
  <si>
    <t>HAYES JAMES</t>
  </si>
  <si>
    <t>HAYES CHARLENE</t>
  </si>
  <si>
    <t>173 SAND CLAY LANE</t>
  </si>
  <si>
    <t>J5010A0014</t>
  </si>
  <si>
    <t>BALTAZAR JUAN R</t>
  </si>
  <si>
    <t>172 WILLIAMS STREET</t>
  </si>
  <si>
    <t>C30000010707</t>
  </si>
  <si>
    <t>WEYMOUTH NATHAN PAUL</t>
  </si>
  <si>
    <t>WEYMOUTH BOBBIE JO</t>
  </si>
  <si>
    <t>317 JACK BOOE ROAD</t>
  </si>
  <si>
    <t>C8010A0219</t>
  </si>
  <si>
    <t>COFFEY CHRISTINE ANN</t>
  </si>
  <si>
    <t>212 NORTH FORKE DRIVE</t>
  </si>
  <si>
    <t>BERMUD RUN</t>
  </si>
  <si>
    <t>J400000052</t>
  </si>
  <si>
    <t>MICHAEL STEVE EUGENE</t>
  </si>
  <si>
    <t>MICHAEL DIAN MCFARLAND</t>
  </si>
  <si>
    <t>311 FEEZOR ROAD</t>
  </si>
  <si>
    <t>E7060A0001</t>
  </si>
  <si>
    <t>BACH ADAM JOSEPH</t>
  </si>
  <si>
    <t>BACH KILEY ANNE</t>
  </si>
  <si>
    <t>111 WINCHESTER ROAD</t>
  </si>
  <si>
    <t>D7080A0020</t>
  </si>
  <si>
    <t>TESH TERRY L</t>
  </si>
  <si>
    <t>TESH CANDY B</t>
  </si>
  <si>
    <t>156 LONGWOOD DRIVE</t>
  </si>
  <si>
    <t>D9090A0009</t>
  </si>
  <si>
    <t>DAVIES VIRGINIA MELBA</t>
  </si>
  <si>
    <t>111 WILLOWBROOK PLACE</t>
  </si>
  <si>
    <t>J70000006102</t>
  </si>
  <si>
    <t>BARNEY DAVID</t>
  </si>
  <si>
    <t>234 MERRELLS LAKE ROAD</t>
  </si>
  <si>
    <t>I4110A0009</t>
  </si>
  <si>
    <t>L600000036</t>
  </si>
  <si>
    <t>D700000004</t>
  </si>
  <si>
    <t>KLUGE RUTH B</t>
  </si>
  <si>
    <t>199 HILTON ROAD</t>
  </si>
  <si>
    <t>M5100A0014</t>
  </si>
  <si>
    <t>SHEETS STEVIE</t>
  </si>
  <si>
    <t>SHEETS JEAN</t>
  </si>
  <si>
    <t>109 GUINEVERE LANE</t>
  </si>
  <si>
    <t>C30000010704</t>
  </si>
  <si>
    <t>I80000005601</t>
  </si>
  <si>
    <t>JOHNSON ZACHARY T</t>
  </si>
  <si>
    <t>JOHNSON MEGAN BURTON</t>
  </si>
  <si>
    <t>245 FANTASIA LANE</t>
  </si>
  <si>
    <t>C8010B0391</t>
  </si>
  <si>
    <t>FOWLER CHRISTOPHER D</t>
  </si>
  <si>
    <t>FOWLER KATHRYN C</t>
  </si>
  <si>
    <t>111 GLENMOOR AVENUE</t>
  </si>
  <si>
    <t>I4010A0054</t>
  </si>
  <si>
    <t>BARRON KIMBERLY HOLLMAN</t>
  </si>
  <si>
    <t>149 N WENTWORTH DRIVE</t>
  </si>
  <si>
    <t>G70000004002</t>
  </si>
  <si>
    <t>STRICKLAND VESTER BLEASE</t>
  </si>
  <si>
    <t>BOYTER SONDRA STRICKLAND</t>
  </si>
  <si>
    <t>H60000001702</t>
  </si>
  <si>
    <t>WRIGHT WILLIAM F</t>
  </si>
  <si>
    <t>WRIGHT BARBARA J</t>
  </si>
  <si>
    <t>183 SANTUARY LANE</t>
  </si>
  <si>
    <t>L40000003803</t>
  </si>
  <si>
    <t>HICKS MICHAEL</t>
  </si>
  <si>
    <t>123 KLUNIE ROAD</t>
  </si>
  <si>
    <t>I1110E0008</t>
  </si>
  <si>
    <t>WALTERMAN RAYMOND H</t>
  </si>
  <si>
    <t>WALTERMAN CHERYL</t>
  </si>
  <si>
    <t>107 OAKRIDGE LANE</t>
  </si>
  <si>
    <t>E50000000402</t>
  </si>
  <si>
    <t>MEACHAM CHRISTOPHER D</t>
  </si>
  <si>
    <t>MEACHAM HEATHER M</t>
  </si>
  <si>
    <t>159 ASHBURTON ROAD</t>
  </si>
  <si>
    <t>F300000109</t>
  </si>
  <si>
    <t>RAMSUE NELLIE RUTH HOLMAN</t>
  </si>
  <si>
    <t>185 SCALEY BARK DRIVE</t>
  </si>
  <si>
    <t>28147-7440</t>
  </si>
  <si>
    <t>I5050B0010</t>
  </si>
  <si>
    <t>QUIROZ-HERNANDEZ KENNETH A</t>
  </si>
  <si>
    <t>QUIROZ KATHERINE I</t>
  </si>
  <si>
    <t>459 WHITNEY ROAD</t>
  </si>
  <si>
    <t>I5050B0029</t>
  </si>
  <si>
    <t>SHORT BILLY JOE</t>
  </si>
  <si>
    <t>135 HEATHER COURT</t>
  </si>
  <si>
    <t>F3010A0002</t>
  </si>
  <si>
    <t>ROBERTSON TIMOTHY L</t>
  </si>
  <si>
    <t>127 CITADEL ROAD</t>
  </si>
  <si>
    <t>M50000001004</t>
  </si>
  <si>
    <t>27028-0738</t>
  </si>
  <si>
    <t>M50000001006</t>
  </si>
  <si>
    <t>M50000001010</t>
  </si>
  <si>
    <t>M500000010</t>
  </si>
  <si>
    <t>M50000001012</t>
  </si>
  <si>
    <t>M50000001014</t>
  </si>
  <si>
    <t>M50000001016</t>
  </si>
  <si>
    <t>M50000001018</t>
  </si>
  <si>
    <t>M50000001020</t>
  </si>
  <si>
    <t>M500000056</t>
  </si>
  <si>
    <t>M500000057</t>
  </si>
  <si>
    <t>M5100C0002</t>
  </si>
  <si>
    <t>M50000001008</t>
  </si>
  <si>
    <t>M50000001022</t>
  </si>
  <si>
    <t>E900000054</t>
  </si>
  <si>
    <t>FUSSELL MATTHEW</t>
  </si>
  <si>
    <t>FUSSELL ALISON</t>
  </si>
  <si>
    <t>113 SUNTREE COURT</t>
  </si>
  <si>
    <t>E300000119</t>
  </si>
  <si>
    <t>BERGONDO MICHAEL A</t>
  </si>
  <si>
    <t>BERGONDO JODI A</t>
  </si>
  <si>
    <t>389 LIBERTY CHURCH ROAD</t>
  </si>
  <si>
    <t>C80000017805</t>
  </si>
  <si>
    <t>152 KINDERTON WAY</t>
  </si>
  <si>
    <t>BERMUDA VILLAGE</t>
  </si>
  <si>
    <t>C80000017807</t>
  </si>
  <si>
    <t>L5070A000302</t>
  </si>
  <si>
    <t>HARDING ERNESTINE WHITE</t>
  </si>
  <si>
    <t>PO BOX 792</t>
  </si>
  <si>
    <t>J4040D0007</t>
  </si>
  <si>
    <t>E10000001702</t>
  </si>
  <si>
    <t>ROBERTSON FELISA BROWN</t>
  </si>
  <si>
    <t>F300000087</t>
  </si>
  <si>
    <t>GIBSON BRUCE WAYNE</t>
  </si>
  <si>
    <t>GIBSON BARBARA F</t>
  </si>
  <si>
    <t>297 DANNER ROAD</t>
  </si>
  <si>
    <t>G9090D0006</t>
  </si>
  <si>
    <t>WRIGHT ALAN PAUL</t>
  </si>
  <si>
    <t>BOZARTH JULIE ANN</t>
  </si>
  <si>
    <t>171 PRIMROSE ROAD</t>
  </si>
  <si>
    <t>N5080A0001</t>
  </si>
  <si>
    <t>STEWART JOEL A</t>
  </si>
  <si>
    <t>5123 HILLWOOD DRIVE</t>
  </si>
  <si>
    <t>D8100A0024</t>
  </si>
  <si>
    <t>HEPLER JOHN P</t>
  </si>
  <si>
    <t>HEPLER SARA D</t>
  </si>
  <si>
    <t>166 JUNIPER CIRCLE</t>
  </si>
  <si>
    <t>G7040A0050</t>
  </si>
  <si>
    <t>G600000096</t>
  </si>
  <si>
    <t>ST CLAIR SHANNON MITCHELL</t>
  </si>
  <si>
    <t>ST CLAIR ROBIN</t>
  </si>
  <si>
    <t>4540 ASBURY PLACE DRIVE</t>
  </si>
  <si>
    <t>I4010A0038</t>
  </si>
  <si>
    <t>CARTNER CAROLYN J</t>
  </si>
  <si>
    <t>140 TURNBERRY DRIVE</t>
  </si>
  <si>
    <t>C8010A0032</t>
  </si>
  <si>
    <t>ZORDANO ANTHONY</t>
  </si>
  <si>
    <t>ZORDANO CAROL MARIE</t>
  </si>
  <si>
    <t>248 TOWNPARK DRIVE</t>
  </si>
  <si>
    <t>E500000021</t>
  </si>
  <si>
    <t>MASON MICHAEL G ETAL</t>
  </si>
  <si>
    <t>D30000005404</t>
  </si>
  <si>
    <t>EATON CHARLES F</t>
  </si>
  <si>
    <t>EATON ELEANOR G</t>
  </si>
  <si>
    <t>812 EATONS CHURCH ROAD</t>
  </si>
  <si>
    <t>D400000010</t>
  </si>
  <si>
    <t>F80000003801</t>
  </si>
  <si>
    <t>STILES WALTER MYRON JR</t>
  </si>
  <si>
    <t>STILES LARRILYN BEATRICE</t>
  </si>
  <si>
    <t>170 MOCKS CHURCH ROAD</t>
  </si>
  <si>
    <t>K800000001</t>
  </si>
  <si>
    <t>I4020A0003</t>
  </si>
  <si>
    <t>JAYOMKAR LLC</t>
  </si>
  <si>
    <t>1034 YADKINVILLE ROAD</t>
  </si>
  <si>
    <t>D700000039</t>
  </si>
  <si>
    <t>VENTURI JENNIFER</t>
  </si>
  <si>
    <t>C700000027</t>
  </si>
  <si>
    <t>J100000013</t>
  </si>
  <si>
    <t>TIIKKALA AMBER N</t>
  </si>
  <si>
    <t>4507 US HWY 64 WEST</t>
  </si>
  <si>
    <t>H400000032</t>
  </si>
  <si>
    <t>WHITAKER JAMES F</t>
  </si>
  <si>
    <t>WHITAKER DONNA N</t>
  </si>
  <si>
    <t>876 COUNTRY LANE</t>
  </si>
  <si>
    <t>27028-4719</t>
  </si>
  <si>
    <t>G70000013106</t>
  </si>
  <si>
    <t>H5200A0001</t>
  </si>
  <si>
    <t>BAILEY JOE W</t>
  </si>
  <si>
    <t>BAILEY JUDY YORK</t>
  </si>
  <si>
    <t>179 NELLWOOD CT</t>
  </si>
  <si>
    <t>J5010D0059</t>
  </si>
  <si>
    <t>ESPINOZA RIGOBERTO</t>
  </si>
  <si>
    <t>ESPINOZA SILVIA</t>
  </si>
  <si>
    <t>279 WINDING CREEK ROAD</t>
  </si>
  <si>
    <t>G200000048</t>
  </si>
  <si>
    <t>ANDERSON SHIRLEY C</t>
  </si>
  <si>
    <t>649 SHEFFIELD ROAD</t>
  </si>
  <si>
    <t>G20000005004</t>
  </si>
  <si>
    <t>J5010A0013</t>
  </si>
  <si>
    <t>E20000002806</t>
  </si>
  <si>
    <t>CARTER ANTHONY SCOTT</t>
  </si>
  <si>
    <t>CARTER DONNA SUE</t>
  </si>
  <si>
    <t>192 BEAR CREEK CHURCH RD</t>
  </si>
  <si>
    <t>J4060D0046</t>
  </si>
  <si>
    <t>TAYLOR RONDAL B</t>
  </si>
  <si>
    <t>228 BEECHWOOD DRIVE</t>
  </si>
  <si>
    <t>I5050C0024</t>
  </si>
  <si>
    <t>THORNSBURY TOBY L</t>
  </si>
  <si>
    <t>THORNSBURY AMANDA R</t>
  </si>
  <si>
    <t>119 FOXDALE COURT</t>
  </si>
  <si>
    <t>J4060B0003</t>
  </si>
  <si>
    <t>MCBRIDE KEITH J</t>
  </si>
  <si>
    <t>MCBRIDE JANICE R</t>
  </si>
  <si>
    <t>222 HOLLY LANE</t>
  </si>
  <si>
    <t>F40000000404</t>
  </si>
  <si>
    <t>HENDRICKS PAMELA JEAN</t>
  </si>
  <si>
    <t>353 DANNER ROAD</t>
  </si>
  <si>
    <t>C8010B0998</t>
  </si>
  <si>
    <t>KINDERTON VILL CARRIAGE HOA</t>
  </si>
  <si>
    <t>% PRIESTLY MANAGEMENT</t>
  </si>
  <si>
    <t>C80000016702</t>
  </si>
  <si>
    <t>THE CONDOS @ KINDERTON VILLAGE OWNERS ASSO INC</t>
  </si>
  <si>
    <t>C80000016701</t>
  </si>
  <si>
    <t>C800000169</t>
  </si>
  <si>
    <t>J5170A0009</t>
  </si>
  <si>
    <t>LETOURNEAU CARRIE JEAN</t>
  </si>
  <si>
    <t>CASE THEODORE</t>
  </si>
  <si>
    <t>161 ELBERON COURT</t>
  </si>
  <si>
    <t>B200000027</t>
  </si>
  <si>
    <t>SPEER GRADY LEO JR</t>
  </si>
  <si>
    <t>SPEER RITCHIE H</t>
  </si>
  <si>
    <t>3227 JOYNER ROAD</t>
  </si>
  <si>
    <t>J4040B000101</t>
  </si>
  <si>
    <t>FADEL PROPERTIES LLC</t>
  </si>
  <si>
    <t>314 SANFORD AVENUE</t>
  </si>
  <si>
    <t>J4040B000801</t>
  </si>
  <si>
    <t>C80000017809</t>
  </si>
  <si>
    <t>AND THEN THERE WERE 17 LLC</t>
  </si>
  <si>
    <t>900 OLD WINSTON ROAD STE 204</t>
  </si>
  <si>
    <t>C30000001903</t>
  </si>
  <si>
    <t>LYONS CYNTHIA LOUISE</t>
  </si>
  <si>
    <t>106 BRAMBLEWOOD LANE</t>
  </si>
  <si>
    <t>F400000055</t>
  </si>
  <si>
    <t>LAWRENCE MARK ANTHONY</t>
  </si>
  <si>
    <t>1170 ANGELL RD</t>
  </si>
  <si>
    <t>C600000054</t>
  </si>
  <si>
    <t>KING MILDRED C</t>
  </si>
  <si>
    <t>256 SPLILLMAN ROAD</t>
  </si>
  <si>
    <t>C600000055</t>
  </si>
  <si>
    <t>G9090C0002</t>
  </si>
  <si>
    <t>BROWN EDWARD HUGH</t>
  </si>
  <si>
    <t>BROWN BEVERLY EAKIN</t>
  </si>
  <si>
    <t>1271 PEOPLES CREEK ROAD</t>
  </si>
  <si>
    <t>27006-7448</t>
  </si>
  <si>
    <t>F400000043</t>
  </si>
  <si>
    <t>J700000087</t>
  </si>
  <si>
    <t>BAILEY JOSEPH MITCHELL</t>
  </si>
  <si>
    <t>269 FORK-BIXBY ROAD</t>
  </si>
  <si>
    <t>N5080A0026</t>
  </si>
  <si>
    <t>CARTNER KELLY</t>
  </si>
  <si>
    <t>VOGLER BRENDA W</t>
  </si>
  <si>
    <t>PO BOX 602</t>
  </si>
  <si>
    <t>27014-0602</t>
  </si>
  <si>
    <t>E8170A0702</t>
  </si>
  <si>
    <t>SCHAAP JAMES M</t>
  </si>
  <si>
    <t>SCHAAP MARY ANN</t>
  </si>
  <si>
    <t>169 LEGACY DRIVE</t>
  </si>
  <si>
    <t>M5160C0018</t>
  </si>
  <si>
    <t>PO BOX 959</t>
  </si>
  <si>
    <t>G70000004007</t>
  </si>
  <si>
    <t>STRICKLAND BRENDA CAROL C</t>
  </si>
  <si>
    <t>G70000004006</t>
  </si>
  <si>
    <t>G70000004003</t>
  </si>
  <si>
    <t>E70000011104</t>
  </si>
  <si>
    <t>FIDLER JOHN H JR</t>
  </si>
  <si>
    <t>FIDLER MELISSA LINVILLE</t>
  </si>
  <si>
    <t>141 LAURENS COURT</t>
  </si>
  <si>
    <t>I70000005104</t>
  </si>
  <si>
    <t>JONES BRIAN ALAN</t>
  </si>
  <si>
    <t>JONES MEGAN MCDANIEL</t>
  </si>
  <si>
    <t>D500000121</t>
  </si>
  <si>
    <t>BENNETT BRADLEY F</t>
  </si>
  <si>
    <t>232 KENNEN KREST ROAD</t>
  </si>
  <si>
    <t>D50000012101</t>
  </si>
  <si>
    <t>L70000001603</t>
  </si>
  <si>
    <t>HAMILTON DAVID S</t>
  </si>
  <si>
    <t>HAMILTON DIANE F</t>
  </si>
  <si>
    <t>164 DOG TROT LANE</t>
  </si>
  <si>
    <t>G7040A0051</t>
  </si>
  <si>
    <t>G7040A0042</t>
  </si>
  <si>
    <t>G7040B0015</t>
  </si>
  <si>
    <t>FRANTZ CHRISTINE R</t>
  </si>
  <si>
    <t>MEEK JAMES A</t>
  </si>
  <si>
    <t>243 GRANAGA DRIVE</t>
  </si>
  <si>
    <t>E40000001001</t>
  </si>
  <si>
    <t>D400000002</t>
  </si>
  <si>
    <t>M400000021</t>
  </si>
  <si>
    <t>MILLER CHARLES EDWARD III</t>
  </si>
  <si>
    <t>1560 JUNCTION ROAD</t>
  </si>
  <si>
    <t>C700000018</t>
  </si>
  <si>
    <t>B60000001301</t>
  </si>
  <si>
    <t>NAYLOR C TODD</t>
  </si>
  <si>
    <t>NAYLOR TAMMY T</t>
  </si>
  <si>
    <t>288 DEERFIELD DRIVE</t>
  </si>
  <si>
    <t>B700000095</t>
  </si>
  <si>
    <t>PARKS LESLEY MERRILL</t>
  </si>
  <si>
    <t>27006-9746</t>
  </si>
  <si>
    <t>D8070C0003</t>
  </si>
  <si>
    <t>TOMLINSON PAUL J</t>
  </si>
  <si>
    <t>975 RIVERBEND DRIVE</t>
  </si>
  <si>
    <t>L70000001208</t>
  </si>
  <si>
    <t>STEVENS BRENDA</t>
  </si>
  <si>
    <t>5663 HWY 801 S</t>
  </si>
  <si>
    <t>E900000637</t>
  </si>
  <si>
    <t>ADAMS MICHAEL</t>
  </si>
  <si>
    <t>141 N NIBLICK COURT</t>
  </si>
  <si>
    <t>D7010A0022</t>
  </si>
  <si>
    <t>BARRETT ADAM CHRISTOPER</t>
  </si>
  <si>
    <t>BARRETT ELIZABETH HOLCOMB</t>
  </si>
  <si>
    <t>162 LITTLE JOHN DRIVE</t>
  </si>
  <si>
    <t>F500000004</t>
  </si>
  <si>
    <t>BEAM MICHAEL</t>
  </si>
  <si>
    <t>BEAM TAMMY</t>
  </si>
  <si>
    <t>789 ANGELL ROAD</t>
  </si>
  <si>
    <t>F400000004</t>
  </si>
  <si>
    <t>HENDRICKS RICKY STEVEN</t>
  </si>
  <si>
    <t>368 DANNER ROAD</t>
  </si>
  <si>
    <t>F400000003</t>
  </si>
  <si>
    <t>F400000005</t>
  </si>
  <si>
    <t>F40000000301</t>
  </si>
  <si>
    <t>J5010D0104</t>
  </si>
  <si>
    <t>BUI LINH T</t>
  </si>
  <si>
    <t>282 WINDING CREEK ROAD</t>
  </si>
  <si>
    <t>J4040B0006</t>
  </si>
  <si>
    <t>G500000126</t>
  </si>
  <si>
    <t>DIMARCO DAVID MICHAEL</t>
  </si>
  <si>
    <t>DIMARCO LOUISE ANNE</t>
  </si>
  <si>
    <t>195 WHITAKER RD</t>
  </si>
  <si>
    <t>D60000008401</t>
  </si>
  <si>
    <t>CLARK STEPHEN T TRUSTEE</t>
  </si>
  <si>
    <t>CLARK CAROLYN L TRUSTEE</t>
  </si>
  <si>
    <t>7424 SAINTSBURY PLACE</t>
  </si>
  <si>
    <t>RANCHO CUCAMONGA</t>
  </si>
  <si>
    <t>91739-0000</t>
  </si>
  <si>
    <t>D600000084</t>
  </si>
  <si>
    <t>F900000018</t>
  </si>
  <si>
    <t>MARKLAND JENNIFER</t>
  </si>
  <si>
    <t>MARKLAND MICHAEL</t>
  </si>
  <si>
    <t>413 VOGLER ROAD</t>
  </si>
  <si>
    <t>E900000652</t>
  </si>
  <si>
    <t>FOY ROBERT EDWARD JR</t>
  </si>
  <si>
    <t>FOY PAMELA CARTER</t>
  </si>
  <si>
    <t>154 ST ANDREWS DRIVE</t>
  </si>
  <si>
    <t>K500000029</t>
  </si>
  <si>
    <t>DYSON SHARON ANN</t>
  </si>
  <si>
    <t>2963 HWY 601 S</t>
  </si>
  <si>
    <t>K50000002902</t>
  </si>
  <si>
    <t>K50000002801</t>
  </si>
  <si>
    <t>J5010C003401</t>
  </si>
  <si>
    <t>JOHNSON JOSEPH</t>
  </si>
  <si>
    <t>195 MILL STREET</t>
  </si>
  <si>
    <t>D8070A0021</t>
  </si>
  <si>
    <t>SALLEY GEORGE M</t>
  </si>
  <si>
    <t>SALLEY ELEANOR C</t>
  </si>
  <si>
    <t>176 FESCUE DRIVE</t>
  </si>
  <si>
    <t>F600000012</t>
  </si>
  <si>
    <t>FORD BARBARA J REVOCABLE TRUST</t>
  </si>
  <si>
    <t>3189 US HWY 158</t>
  </si>
  <si>
    <t>H9090A0004</t>
  </si>
  <si>
    <t>PROCTOR RUSSELL C</t>
  </si>
  <si>
    <t>PROCTOR RHONDA K</t>
  </si>
  <si>
    <t>195 PALIMINO RD</t>
  </si>
  <si>
    <t>E20000000611</t>
  </si>
  <si>
    <t>DYSON CHRISTINE F</t>
  </si>
  <si>
    <t>218 DYSON ROAD</t>
  </si>
  <si>
    <t>L300000009</t>
  </si>
  <si>
    <t>PREVETTE STEVEN TIMOTHY</t>
  </si>
  <si>
    <t>PREVETTE CARLA W</t>
  </si>
  <si>
    <t>811 RATLEDGE ROAD</t>
  </si>
  <si>
    <t>L30000001001</t>
  </si>
  <si>
    <t>F500000013</t>
  </si>
  <si>
    <t>GOINS ROBERT L ETAL</t>
  </si>
  <si>
    <t>GOINS DORIS H</t>
  </si>
  <si>
    <t>466 ANGELL ROAD</t>
  </si>
  <si>
    <t>C7050A0005</t>
  </si>
  <si>
    <t>MCLEAN GARY A &amp; PETRA H</t>
  </si>
  <si>
    <t>287 YADKIN VALLEY ROAD</t>
  </si>
  <si>
    <t>C70000012401</t>
  </si>
  <si>
    <t>H300000092</t>
  </si>
  <si>
    <t>ANGELL BETTY W</t>
  </si>
  <si>
    <t>101 BRANTLEY FARM ROAD</t>
  </si>
  <si>
    <t>H30000009202</t>
  </si>
  <si>
    <t>I700000083</t>
  </si>
  <si>
    <t>WILLIAMS MORRIS REV LIV TRUST</t>
  </si>
  <si>
    <t>6832 BENSON STREET</t>
  </si>
  <si>
    <t>HUNTINGTON PARK</t>
  </si>
  <si>
    <t>J80000004101</t>
  </si>
  <si>
    <t>CHILDRESS-DILLON FAMILY LLC NC</t>
  </si>
  <si>
    <t>C40000005301</t>
  </si>
  <si>
    <t>MILLER KATHY H</t>
  </si>
  <si>
    <t>27028-6327</t>
  </si>
  <si>
    <t>C900000007</t>
  </si>
  <si>
    <t>HILLSDALE GROUP LLC</t>
  </si>
  <si>
    <t>600 HWY 801 S</t>
  </si>
  <si>
    <t>C800000178</t>
  </si>
  <si>
    <t>C900000004</t>
  </si>
  <si>
    <t>C900000005</t>
  </si>
  <si>
    <t>C900000006</t>
  </si>
  <si>
    <t>C800000177</t>
  </si>
  <si>
    <t>I400000013</t>
  </si>
  <si>
    <t>JOHNSON LETHIA P</t>
  </si>
  <si>
    <t>201 MADISON ROAD</t>
  </si>
  <si>
    <t>H700000094</t>
  </si>
  <si>
    <t>HARPE RODNEY S II</t>
  </si>
  <si>
    <t>HARPE TONYA</t>
  </si>
  <si>
    <t>247 APACHE ROAD</t>
  </si>
  <si>
    <t>O60000003107</t>
  </si>
  <si>
    <t>DANIEL JAMES JAY</t>
  </si>
  <si>
    <t>238 MOHEGAN TRAIL</t>
  </si>
  <si>
    <t>J4050A0009</t>
  </si>
  <si>
    <t>KIMBERLY GEORGE D SR</t>
  </si>
  <si>
    <t>KIMBERLY ELIZABETH S</t>
  </si>
  <si>
    <t>116 KELLY AVENUE</t>
  </si>
  <si>
    <t>27028-2514</t>
  </si>
  <si>
    <t>F40000000601</t>
  </si>
  <si>
    <t>JORDAN TRACY WARD</t>
  </si>
  <si>
    <t>510 DANNER ROAD</t>
  </si>
  <si>
    <t>D8100D0016</t>
  </si>
  <si>
    <t>HOBSON DONNA L</t>
  </si>
  <si>
    <t>I4120A0002</t>
  </si>
  <si>
    <t>G80000000509</t>
  </si>
  <si>
    <t>SUTTON RICHARD D</t>
  </si>
  <si>
    <t>SUTTON SANDRA J</t>
  </si>
  <si>
    <t>159 FINN HOLLOW LN</t>
  </si>
  <si>
    <t>M5070A001301</t>
  </si>
  <si>
    <t>MCDANIEL CYNTHIA SOOTS</t>
  </si>
  <si>
    <t>E700000064</t>
  </si>
  <si>
    <t>BOWMAN A L HEIRS</t>
  </si>
  <si>
    <t>% LINDA BOWMAN-HOPSON</t>
  </si>
  <si>
    <t>PO BOX 130</t>
  </si>
  <si>
    <t>C60000006404</t>
  </si>
  <si>
    <t>CAIN LUTHER LEE</t>
  </si>
  <si>
    <t>CAIN RUBY M</t>
  </si>
  <si>
    <t>120 JOE LANGSTON ROAD</t>
  </si>
  <si>
    <t>F8030A0062</t>
  </si>
  <si>
    <t>SCHRADER MICHAEL JOSEPH</t>
  </si>
  <si>
    <t>111 TYLER COURT</t>
  </si>
  <si>
    <t>B700000057</t>
  </si>
  <si>
    <t>HANES BRENDA C</t>
  </si>
  <si>
    <t>D7060A0018</t>
  </si>
  <si>
    <t>AYERS THOMAS A</t>
  </si>
  <si>
    <t>AYERS AMY B</t>
  </si>
  <si>
    <t>641 GORDON DRIVE</t>
  </si>
  <si>
    <t>E10000002701</t>
  </si>
  <si>
    <t>LAMB CHRISTOPHER</t>
  </si>
  <si>
    <t>LAMB CELINA</t>
  </si>
  <si>
    <t>822 TURKEY FOOT ROAD</t>
  </si>
  <si>
    <t>B700000059</t>
  </si>
  <si>
    <t>G8060A0001</t>
  </si>
  <si>
    <t>BAILEY MICHAEL W</t>
  </si>
  <si>
    <t>BAILEY AMANDA N</t>
  </si>
  <si>
    <t>121 BENTBROOK DRIVE</t>
  </si>
  <si>
    <t>J300000056</t>
  </si>
  <si>
    <t>GAITHER LINDA FRYE</t>
  </si>
  <si>
    <t>1593 COUNTY HOME ROAD</t>
  </si>
  <si>
    <t>J7120A0020</t>
  </si>
  <si>
    <t>I600000071</t>
  </si>
  <si>
    <t>FRYE THOMAS KEITH</t>
  </si>
  <si>
    <t>672 CORNATZER ROAD</t>
  </si>
  <si>
    <t>27028-7130</t>
  </si>
  <si>
    <t>I600000064</t>
  </si>
  <si>
    <t>I600000065</t>
  </si>
  <si>
    <t>I60000006501</t>
  </si>
  <si>
    <t>C100000008</t>
  </si>
  <si>
    <t>STEVENS CHARLES J</t>
  </si>
  <si>
    <t>STEVENS SUSAN M</t>
  </si>
  <si>
    <t>634 OLLIE HARKEY ROAD</t>
  </si>
  <si>
    <t>K300000007</t>
  </si>
  <si>
    <t>WILLIAMS MAMIE SUE P</t>
  </si>
  <si>
    <t>525 MR HENRY ROAD</t>
  </si>
  <si>
    <t>27028-5359</t>
  </si>
  <si>
    <t>D9030A0001</t>
  </si>
  <si>
    <t>DORSETT HOYT N</t>
  </si>
  <si>
    <t>DORSETT LINDA T</t>
  </si>
  <si>
    <t>136 JAMES WAY</t>
  </si>
  <si>
    <t>E9150A0019</t>
  </si>
  <si>
    <t>HOCEVAR FRANK &amp; ELLEN LIV TRST</t>
  </si>
  <si>
    <t>249 HIDDEN CREEK DRIVE</t>
  </si>
  <si>
    <t>L500000021</t>
  </si>
  <si>
    <t>GILLESPIE CLARK</t>
  </si>
  <si>
    <t>GILLESPIE FRANCES ELIZABETH</t>
  </si>
  <si>
    <t>1193 DANIELS ROAD</t>
  </si>
  <si>
    <t>E50000003901</t>
  </si>
  <si>
    <t>DIXON LISA R</t>
  </si>
  <si>
    <t>521 PINEBROOK SCHOOL ROAD</t>
  </si>
  <si>
    <t>H500000204</t>
  </si>
  <si>
    <t>SECU*RE INC</t>
  </si>
  <si>
    <t>PO BOX 27665</t>
  </si>
  <si>
    <t>27611-7665</t>
  </si>
  <si>
    <t>J50000003711</t>
  </si>
  <si>
    <t>HINKLE VERNON</t>
  </si>
  <si>
    <t>HINKLE LISA</t>
  </si>
  <si>
    <t>408 EATON ROAD</t>
  </si>
  <si>
    <t>I800000027</t>
  </si>
  <si>
    <t>HARR TONIA RYAN</t>
  </si>
  <si>
    <t>14819 MAJESTIC OAK DRIVE</t>
  </si>
  <si>
    <t>28278-7960</t>
  </si>
  <si>
    <t>C800000001</t>
  </si>
  <si>
    <t>D8070A0047</t>
  </si>
  <si>
    <t>LYDA JOHN W</t>
  </si>
  <si>
    <t>LYDA DEBORAH H</t>
  </si>
  <si>
    <t>181 GOLFVIEW DRIVE</t>
  </si>
  <si>
    <t>E30000002201</t>
  </si>
  <si>
    <t>STALEY LARRY JAMES JR</t>
  </si>
  <si>
    <t>STALEY SHAYNA PATE</t>
  </si>
  <si>
    <t>136 NATURE TRL</t>
  </si>
  <si>
    <t>E300000022</t>
  </si>
  <si>
    <t>O600000029</t>
  </si>
  <si>
    <t>L70000000101</t>
  </si>
  <si>
    <t>SEAFORD JEREMY CRAIG</t>
  </si>
  <si>
    <t>SEAFORD HOLLY RENEE</t>
  </si>
  <si>
    <t>145 SEAFORD ROAD</t>
  </si>
  <si>
    <t>K700000058</t>
  </si>
  <si>
    <t>M5070A0013</t>
  </si>
  <si>
    <t>I5050A0045</t>
  </si>
  <si>
    <t>MOORE VICKY</t>
  </si>
  <si>
    <t>MOORE RAY L</t>
  </si>
  <si>
    <t>110 META BREEZE LANE</t>
  </si>
  <si>
    <t>H5190A0013</t>
  </si>
  <si>
    <t>OLWEEAN RONALD K</t>
  </si>
  <si>
    <t>OLWEEAN CHRISTINE M</t>
  </si>
  <si>
    <t>176 S MADERA DRIVE</t>
  </si>
  <si>
    <t>H30000003207</t>
  </si>
  <si>
    <t>GENTRY AMY</t>
  </si>
  <si>
    <t>172 POWELL ROAD</t>
  </si>
  <si>
    <t>F1030A0002</t>
  </si>
  <si>
    <t>CHEEKS JAYE BRANDON</t>
  </si>
  <si>
    <t>CHEEKS ASHLEY</t>
  </si>
  <si>
    <t>112 MOLLIE ROAD</t>
  </si>
  <si>
    <t>E9150B0113</t>
  </si>
  <si>
    <t>FORBIS DAVID L</t>
  </si>
  <si>
    <t>FORBIS BRENDA K</t>
  </si>
  <si>
    <t>373 ORCHARD PARK</t>
  </si>
  <si>
    <t>D7060A0017</t>
  </si>
  <si>
    <t>K700000073</t>
  </si>
  <si>
    <t>BROWN JOHN T</t>
  </si>
  <si>
    <t>SAUNDERS PHYLLIS J</t>
  </si>
  <si>
    <t>323 CEDAR GROVE CHURCH ROAD</t>
  </si>
  <si>
    <t>J700000053</t>
  </si>
  <si>
    <t>HOBAR PROPERTIES LLC</t>
  </si>
  <si>
    <t>E8170A0699</t>
  </si>
  <si>
    <t>VENABLE CLIFFORD L</t>
  </si>
  <si>
    <t>VENABLE VERLENE H</t>
  </si>
  <si>
    <t>154 LEGACY DRIVE</t>
  </si>
  <si>
    <t>C8010A0189</t>
  </si>
  <si>
    <t>PATTERSON DALE W</t>
  </si>
  <si>
    <t>PATTERSON KAY J</t>
  </si>
  <si>
    <t>110 BRIDGEWATER DRIVE</t>
  </si>
  <si>
    <t>H400000145</t>
  </si>
  <si>
    <t>MCDANIEL HOLDINGS LLC</t>
  </si>
  <si>
    <t>775 DULIN ROAD</t>
  </si>
  <si>
    <t>C700000003</t>
  </si>
  <si>
    <t>ELLIS ROBERT A</t>
  </si>
  <si>
    <t>ELLIS LEE C</t>
  </si>
  <si>
    <t>1599 YADKIN VALLEY ROAD</t>
  </si>
  <si>
    <t>D700000181</t>
  </si>
  <si>
    <t>GEORGE ZACHARY LEE</t>
  </si>
  <si>
    <t>GEORGE IRMA PEREZ</t>
  </si>
  <si>
    <t>108 BINGHAM AND PARKS ROAD</t>
  </si>
  <si>
    <t>H80000005101</t>
  </si>
  <si>
    <t>HARRIS HENRY FRANKLIN</t>
  </si>
  <si>
    <t>HARRIS FAITH B</t>
  </si>
  <si>
    <t>111 HUNTERS TRAIL</t>
  </si>
  <si>
    <t>27006-7243</t>
  </si>
  <si>
    <t>N60000004111</t>
  </si>
  <si>
    <t>PRUITT DANIEL LEO</t>
  </si>
  <si>
    <t>3537 S US HWY 601</t>
  </si>
  <si>
    <t>C8010A0044</t>
  </si>
  <si>
    <t>WARREN DEAN E</t>
  </si>
  <si>
    <t>WARREN KAREN D</t>
  </si>
  <si>
    <t>263 OLD TOWNE DRIVE</t>
  </si>
  <si>
    <t>H9080A0020</t>
  </si>
  <si>
    <t>WILLIAMS TRAVIS M</t>
  </si>
  <si>
    <t>166 FALLINGCREEK DRIVE</t>
  </si>
  <si>
    <t>E900000269</t>
  </si>
  <si>
    <t>KOVICH STEVEN JR</t>
  </si>
  <si>
    <t>KOVICH LESLIE WELLS</t>
  </si>
  <si>
    <t>104 GRASSLANDS COURT</t>
  </si>
  <si>
    <t>K300000048</t>
  </si>
  <si>
    <t>LUPER STEPHEN JAY</t>
  </si>
  <si>
    <t>1903 JERICHO CHURCH ROAD</t>
  </si>
  <si>
    <t>B7010A0004</t>
  </si>
  <si>
    <t>STEWART VIRGINIA M</t>
  </si>
  <si>
    <t>KOEHLER KEVIN S</t>
  </si>
  <si>
    <t>279 SERENITY HILLS TRAIL</t>
  </si>
  <si>
    <t>I80000000202</t>
  </si>
  <si>
    <t>RIDENHOUR ADAM WALTER</t>
  </si>
  <si>
    <t>RIDENHOUR COURTNEY STEPHENS</t>
  </si>
  <si>
    <t>260 CARDINAL HILL LANE</t>
  </si>
  <si>
    <t>C8010A0102</t>
  </si>
  <si>
    <t>SINK JEAN S</t>
  </si>
  <si>
    <t>115 BROOKSTONE DRIVE</t>
  </si>
  <si>
    <t>C80000000118</t>
  </si>
  <si>
    <t>STRAND DAVID G</t>
  </si>
  <si>
    <t>418 FRED BAHNSON DRIVE</t>
  </si>
  <si>
    <t>L5140A0011</t>
  </si>
  <si>
    <t>SEAMON GARY W</t>
  </si>
  <si>
    <t>159 WHETSTONE DRIVE</t>
  </si>
  <si>
    <t>L5140A0010</t>
  </si>
  <si>
    <t>K300000004</t>
  </si>
  <si>
    <t>B400000025</t>
  </si>
  <si>
    <t>DIXON ROYCE O'BRIEN</t>
  </si>
  <si>
    <t>DIXON JANIE WHITE</t>
  </si>
  <si>
    <t>326 BONKIN LAKE ROAD</t>
  </si>
  <si>
    <t>27028-6114</t>
  </si>
  <si>
    <t>I5020B0023</t>
  </si>
  <si>
    <t>BURNS WADE S</t>
  </si>
  <si>
    <t>WOODRING JON S</t>
  </si>
  <si>
    <t>434 PEOPLES CREEK RD</t>
  </si>
  <si>
    <t>I5020B0024</t>
  </si>
  <si>
    <t>C8010A0123</t>
  </si>
  <si>
    <t>C8010A0251</t>
  </si>
  <si>
    <t>J5050A0014</t>
  </si>
  <si>
    <t>J5040A0005</t>
  </si>
  <si>
    <t>H8050A0009</t>
  </si>
  <si>
    <t>I500000059</t>
  </si>
  <si>
    <t>I5090E0012</t>
  </si>
  <si>
    <t>H90000004204</t>
  </si>
  <si>
    <t>C700000120</t>
  </si>
  <si>
    <t>I70000004902A</t>
  </si>
  <si>
    <t>WHITAKER EVENDA SMITH</t>
  </si>
  <si>
    <t>1165 WILLIAMS ROAD</t>
  </si>
  <si>
    <t>N4040A0016</t>
  </si>
  <si>
    <t>EARNHARDT FRANK</t>
  </si>
  <si>
    <t>N4040A0002</t>
  </si>
  <si>
    <t>N4040A0007</t>
  </si>
  <si>
    <t>N4040A000201</t>
  </si>
  <si>
    <t>M5100A0004</t>
  </si>
  <si>
    <t>N5080A0009</t>
  </si>
  <si>
    <t>N5080A0010</t>
  </si>
  <si>
    <t>G80000000601</t>
  </si>
  <si>
    <t>ZIMMERMAN FAMILY LLC</t>
  </si>
  <si>
    <t>2949 CORNATZER ROAD</t>
  </si>
  <si>
    <t>C600000018</t>
  </si>
  <si>
    <t>SPARKS WILSON W JR &amp; KATHERINE S LIV TRST</t>
  </si>
  <si>
    <t>150 HERONS LANE</t>
  </si>
  <si>
    <t>C600000072</t>
  </si>
  <si>
    <t>N5010D0023</t>
  </si>
  <si>
    <t>FLEMING CHRISTOPHER W</t>
  </si>
  <si>
    <t>PO BOX 112</t>
  </si>
  <si>
    <t>F30000007902</t>
  </si>
  <si>
    <t>VANNOY HAROLD LEWIS</t>
  </si>
  <si>
    <t>443 FOUR CORNERS ROAD</t>
  </si>
  <si>
    <t>E40000002502</t>
  </si>
  <si>
    <t>F40000001203</t>
  </si>
  <si>
    <t>N5080A0040</t>
  </si>
  <si>
    <t>C20000000505</t>
  </si>
  <si>
    <t>ANDERSON DARRELL SAMUEL</t>
  </si>
  <si>
    <t>2346 ROCKCRUSHER ROAD</t>
  </si>
  <si>
    <t>D8070B0010</t>
  </si>
  <si>
    <t>FISHEL DAVID B</t>
  </si>
  <si>
    <t>FISHEL PATRICIA</t>
  </si>
  <si>
    <t>996 RIVERBEND DRIVE</t>
  </si>
  <si>
    <t>H5190A0034</t>
  </si>
  <si>
    <t>TYCON INC</t>
  </si>
  <si>
    <t>350 GRAND COURT</t>
  </si>
  <si>
    <t>E70000017102</t>
  </si>
  <si>
    <t>D20000000801</t>
  </si>
  <si>
    <t>VALKYRIE BRACKEN K</t>
  </si>
  <si>
    <t>J70000006105</t>
  </si>
  <si>
    <t>J700000062</t>
  </si>
  <si>
    <t>C300000116</t>
  </si>
  <si>
    <t>SOUTHERN JEAN LEAZER ETAL</t>
  </si>
  <si>
    <t>175 DREAMSCAPE LANE</t>
  </si>
  <si>
    <t>F30000002208</t>
  </si>
  <si>
    <t>DRYE ELLIE B</t>
  </si>
  <si>
    <t>DRYE FRANKLIN N</t>
  </si>
  <si>
    <t>882 WAGNER ROAD</t>
  </si>
  <si>
    <t>K200000033</t>
  </si>
  <si>
    <t>RIDENHOUR STEVEN DREW</t>
  </si>
  <si>
    <t>RIDENHOUR MOLLY KOONTZ</t>
  </si>
  <si>
    <t>521 RIDGE ROAD</t>
  </si>
  <si>
    <t>N50000006205</t>
  </si>
  <si>
    <t>FRALEY DONNA C</t>
  </si>
  <si>
    <t>FRALEY TIMOTHY</t>
  </si>
  <si>
    <t>386 PINE RIDGE ROAD</t>
  </si>
  <si>
    <t>F400000050</t>
  </si>
  <si>
    <t>ANGELL JEFFREY TODD</t>
  </si>
  <si>
    <t>321 CANA ROAD</t>
  </si>
  <si>
    <t>G4080A0016</t>
  </si>
  <si>
    <t>D8080D0033</t>
  </si>
  <si>
    <t>PITSON LYNN</t>
  </si>
  <si>
    <t>SHIELDS KERRY</t>
  </si>
  <si>
    <t>912 RIVERBEND DRIVE</t>
  </si>
  <si>
    <t>C8010B0338</t>
  </si>
  <si>
    <t>CARLSON DONALD J JR</t>
  </si>
  <si>
    <t>CARLSON JENNIFER L</t>
  </si>
  <si>
    <t>211 KILBOURNE DRIVE</t>
  </si>
  <si>
    <t>C300000038</t>
  </si>
  <si>
    <t>GRIFFIN TONYA</t>
  </si>
  <si>
    <t>4595 N HWY 801</t>
  </si>
  <si>
    <t>B30000000602</t>
  </si>
  <si>
    <t>EWELL ANDREW S</t>
  </si>
  <si>
    <t>EWELL ALICE R</t>
  </si>
  <si>
    <t>5315 US HWY 601 N</t>
  </si>
  <si>
    <t>B30000000615</t>
  </si>
  <si>
    <t>G90000001304</t>
  </si>
  <si>
    <t>FOREST DANIEL J</t>
  </si>
  <si>
    <t>FOREST LYNETTE C</t>
  </si>
  <si>
    <t>229 PLANTATION LANE</t>
  </si>
  <si>
    <t>C100000001</t>
  </si>
  <si>
    <t>FOSTER KENNETH L</t>
  </si>
  <si>
    <t>FOSTER GAIL F</t>
  </si>
  <si>
    <t>186 MAPLE TREE LANE</t>
  </si>
  <si>
    <t>C10000000101</t>
  </si>
  <si>
    <t>C10000000204</t>
  </si>
  <si>
    <t>C100000018</t>
  </si>
  <si>
    <t>D9030A0034</t>
  </si>
  <si>
    <t>BEAR ROGER B</t>
  </si>
  <si>
    <t>BEAR BARBARA J</t>
  </si>
  <si>
    <t>247 JAMES WAY</t>
  </si>
  <si>
    <t>E20000002813</t>
  </si>
  <si>
    <t>PRESNELL ERIC L</t>
  </si>
  <si>
    <t>PRESNELL SARAH H</t>
  </si>
  <si>
    <t>972 GEORGIA ROAD</t>
  </si>
  <si>
    <t>M5020A0024</t>
  </si>
  <si>
    <t>LONGARES JUAN ALARCON</t>
  </si>
  <si>
    <t>HERNANDEZ RUBENIA SIERRA</t>
  </si>
  <si>
    <t>365 MICHAELS ROAD</t>
  </si>
  <si>
    <t>K500000098</t>
  </si>
  <si>
    <t>THOMSEN JEFFERY JAMES</t>
  </si>
  <si>
    <t>280 WALT WILSON ROAD</t>
  </si>
  <si>
    <t>H9070A0031</t>
  </si>
  <si>
    <t>J5010D0073</t>
  </si>
  <si>
    <t>C100000021</t>
  </si>
  <si>
    <t>CHAPMAN MICHELLE</t>
  </si>
  <si>
    <t>CHAPMAN  MICHELLE</t>
  </si>
  <si>
    <t>H400000127</t>
  </si>
  <si>
    <t>KOONTZ SAMUEL A</t>
  </si>
  <si>
    <t>KOONTZ BARBARA C</t>
  </si>
  <si>
    <t>27028-8201</t>
  </si>
  <si>
    <t>J200000061</t>
  </si>
  <si>
    <t>J200000049</t>
  </si>
  <si>
    <t>H400000137</t>
  </si>
  <si>
    <t>H400000136</t>
  </si>
  <si>
    <t>H400000123</t>
  </si>
  <si>
    <t>I400000082</t>
  </si>
  <si>
    <t>J200000059</t>
  </si>
  <si>
    <t>J20000006101</t>
  </si>
  <si>
    <t>J200000064</t>
  </si>
  <si>
    <t>J20000006102</t>
  </si>
  <si>
    <t>G9090B0004</t>
  </si>
  <si>
    <t>KOEVAL BRENT K</t>
  </si>
  <si>
    <t>KOEVAL VALERIE P</t>
  </si>
  <si>
    <t>146 OLD MARCH ROAD</t>
  </si>
  <si>
    <t>H400000076</t>
  </si>
  <si>
    <t>SANARP HOLDINGS LLC</t>
  </si>
  <si>
    <t>PO BOX 1176</t>
  </si>
  <si>
    <t>G7010A0002</t>
  </si>
  <si>
    <t>ALEXANDER KENNETH</t>
  </si>
  <si>
    <t>ALEXANDER KRISTEN</t>
  </si>
  <si>
    <t>122 BALTIMORE DOWNS ROAD</t>
  </si>
  <si>
    <t>D20000000106</t>
  </si>
  <si>
    <t>I400000063</t>
  </si>
  <si>
    <t>ELAM ELVA GRACE REV TRUST</t>
  </si>
  <si>
    <t>EARLY CYNTHIA L TRUSTEE</t>
  </si>
  <si>
    <t>21 GIRARD DRIVE</t>
  </si>
  <si>
    <t>ST LOUIS</t>
  </si>
  <si>
    <t>MO</t>
  </si>
  <si>
    <t>63119-4801</t>
  </si>
  <si>
    <t>I5120A0002</t>
  </si>
  <si>
    <t>LECHEMINANT FAMILY TRUST</t>
  </si>
  <si>
    <t>1030 SILVERANCH DRIVE</t>
  </si>
  <si>
    <t>GARDNERVILLE</t>
  </si>
  <si>
    <t>NV</t>
  </si>
  <si>
    <t>H4100A0001</t>
  </si>
  <si>
    <t>B300000049</t>
  </si>
  <si>
    <t>H5010A0041</t>
  </si>
  <si>
    <t>SMITH PHILLIP GRAY</t>
  </si>
  <si>
    <t>SMITH GAYE SIMMONS</t>
  </si>
  <si>
    <t>155 LONGMEADOW ROAD</t>
  </si>
  <si>
    <t>J800000001</t>
  </si>
  <si>
    <t>ALLEN CHARLES L</t>
  </si>
  <si>
    <t>ALLEN ANNE COBLE</t>
  </si>
  <si>
    <t>418 FORK BIXBY ROAD</t>
  </si>
  <si>
    <t>J80000000101</t>
  </si>
  <si>
    <t>I400000016</t>
  </si>
  <si>
    <t>HOWARD JERRY H &amp; PALMA SUE LIV TRUST</t>
  </si>
  <si>
    <t>159 BROOK DRIVE</t>
  </si>
  <si>
    <t>I5040A0001</t>
  </si>
  <si>
    <t>ALLEN KENNETH F</t>
  </si>
  <si>
    <t>ALLEN JENNIFER C</t>
  </si>
  <si>
    <t>187 FOX RUN DRIVE</t>
  </si>
  <si>
    <t>E6110A0020</t>
  </si>
  <si>
    <t>I400000035</t>
  </si>
  <si>
    <t>BRUBAKER MICHAEL J</t>
  </si>
  <si>
    <t>BRUBAKER RHODA M</t>
  </si>
  <si>
    <t>275 MADISON ROAD</t>
  </si>
  <si>
    <t>C7140B0003</t>
  </si>
  <si>
    <t>KANE SHAUN</t>
  </si>
  <si>
    <t>KANE MARTHA</t>
  </si>
  <si>
    <t>123 SOUTH CLAYBON DRIVE</t>
  </si>
  <si>
    <t>I5110C0023</t>
  </si>
  <si>
    <t>CHAPPELL ELLA MARIE ETAL</t>
  </si>
  <si>
    <t>CHAPPELL CARL EDWARD</t>
  </si>
  <si>
    <t>415 DUKEVILLE ROAD</t>
  </si>
  <si>
    <t>28145-0000</t>
  </si>
  <si>
    <t>J30000004103</t>
  </si>
  <si>
    <t>MCCLAMROCK JOYCE A</t>
  </si>
  <si>
    <t>181 LOWDER LANE</t>
  </si>
  <si>
    <t>B70000005503</t>
  </si>
  <si>
    <t>MITCHELL MICHAEL DAVIS</t>
  </si>
  <si>
    <t>MITCHELL ANNA RIDDLE</t>
  </si>
  <si>
    <t>470 GRIFFTH RD</t>
  </si>
  <si>
    <t>I4110C0007</t>
  </si>
  <si>
    <t>118 HOSPITAL STREET LLC</t>
  </si>
  <si>
    <t>118 HOSPITAL STREET</t>
  </si>
  <si>
    <t>F300000040</t>
  </si>
  <si>
    <t>GREEN RICHARD A ETAL</t>
  </si>
  <si>
    <t>429 LYNN AVENUE</t>
  </si>
  <si>
    <t>I600000016</t>
  </si>
  <si>
    <t>PERRELL DANIEL YORK</t>
  </si>
  <si>
    <t>153 GEORGE JONES ROAD</t>
  </si>
  <si>
    <t>I60000001201</t>
  </si>
  <si>
    <t>I60000001702</t>
  </si>
  <si>
    <t>I60000001202</t>
  </si>
  <si>
    <t>C70000002903</t>
  </si>
  <si>
    <t>RIDDLE CHARLES VANCE</t>
  </si>
  <si>
    <t>RIDDLE BARRY GENE</t>
  </si>
  <si>
    <t>502 GRIFFITH ROAD</t>
  </si>
  <si>
    <t>L50000007802</t>
  </si>
  <si>
    <t>ANGUS BRIAN TIMOTHY</t>
  </si>
  <si>
    <t>ANGUS HOLLY D</t>
  </si>
  <si>
    <t>6778 NC HIGHWAY 801 SOUTH</t>
  </si>
  <si>
    <t>D7070A0009</t>
  </si>
  <si>
    <t>BOLES DARREN GILBERT</t>
  </si>
  <si>
    <t>BOLES ALESIA MITCHELL</t>
  </si>
  <si>
    <t>207 GINNY LANE</t>
  </si>
  <si>
    <t>27006-6614</t>
  </si>
  <si>
    <t>I5120B0006</t>
  </si>
  <si>
    <t>STANLEY MICHAEL J</t>
  </si>
  <si>
    <t>362 WINDWARD CIRCLE</t>
  </si>
  <si>
    <t>G200000024</t>
  </si>
  <si>
    <t>GOBBLE KELLI M</t>
  </si>
  <si>
    <t>G50000000402</t>
  </si>
  <si>
    <t>WHITAKER BRIAN SCOTT</t>
  </si>
  <si>
    <t>232 ANGELL ROAD</t>
  </si>
  <si>
    <t>F30000000502</t>
  </si>
  <si>
    <t>DAY CHRISTOPHER JOHN</t>
  </si>
  <si>
    <t>DAY ALEVTINA VLADIMIROVNA</t>
  </si>
  <si>
    <t>1102 WAGNER ROAD</t>
  </si>
  <si>
    <t>I4120B0007</t>
  </si>
  <si>
    <t>CHAFFIN LINDA HOLMAN</t>
  </si>
  <si>
    <t>HILL GARY STEVEN JR</t>
  </si>
  <si>
    <t>639 LAKE STREET</t>
  </si>
  <si>
    <t>J4140A0030</t>
  </si>
  <si>
    <t>RHODES DELPHINE R</t>
  </si>
  <si>
    <t>163 NEW HAMPSHIRE COURT</t>
  </si>
  <si>
    <t>J6100A0012</t>
  </si>
  <si>
    <t>WEIDMAN RICHARD P</t>
  </si>
  <si>
    <t>WEIDMAN ELIZABETH A</t>
  </si>
  <si>
    <t>153 N LAKE LOUISE DRIVE</t>
  </si>
  <si>
    <t>E900000268</t>
  </si>
  <si>
    <t>GRIFFIS STEPHEN M</t>
  </si>
  <si>
    <t>GRIFFIS KATHLEEN E</t>
  </si>
  <si>
    <t>111 SILVEROD DRIVE</t>
  </si>
  <si>
    <t>G4090A0004</t>
  </si>
  <si>
    <t>HARRIS TIMOTHY STEPHEN</t>
  </si>
  <si>
    <t>HARRIS MARYBETH WILKIE</t>
  </si>
  <si>
    <t>855 MAIN CHURCH ROAD</t>
  </si>
  <si>
    <t>C300000070</t>
  </si>
  <si>
    <t>BAITY JAMES WESLEY JR</t>
  </si>
  <si>
    <t>C300000138</t>
  </si>
  <si>
    <t>H70000007001</t>
  </si>
  <si>
    <t>BURTON MELISSA TAYLOR</t>
  </si>
  <si>
    <t>27006-0104</t>
  </si>
  <si>
    <t>J100000058</t>
  </si>
  <si>
    <t>DOSSMAN KENNETH J</t>
  </si>
  <si>
    <t>2103 DAVIE ACADEMY ROAD</t>
  </si>
  <si>
    <t>E9150B0153</t>
  </si>
  <si>
    <t>BURTONS' WJ LLC</t>
  </si>
  <si>
    <t>G50000003905</t>
  </si>
  <si>
    <t>BOGER JOHN W</t>
  </si>
  <si>
    <t>BOGER TRAVISENE</t>
  </si>
  <si>
    <t>114 MCCLAMROCK ROAD</t>
  </si>
  <si>
    <t>27028-4255</t>
  </si>
  <si>
    <t>G500000116</t>
  </si>
  <si>
    <t>I4130H0002</t>
  </si>
  <si>
    <t>WHITAKER STEPHANIE LYNN</t>
  </si>
  <si>
    <t>I4120A0011</t>
  </si>
  <si>
    <t>284 WILKESBORO STREET</t>
  </si>
  <si>
    <t>E8100B0020</t>
  </si>
  <si>
    <t>DULL VESTAL WAYNE</t>
  </si>
  <si>
    <t>DULL DEBORAH J</t>
  </si>
  <si>
    <t>601 HILLCREST DRIVE</t>
  </si>
  <si>
    <t>J400000036</t>
  </si>
  <si>
    <t>FORTNER JERRY</t>
  </si>
  <si>
    <t>FORTNER PAULA</t>
  </si>
  <si>
    <t>1175 JERICHO CHURCH ROAD</t>
  </si>
  <si>
    <t>I5050C0037</t>
  </si>
  <si>
    <t>TURCIOS CLAUDIA L</t>
  </si>
  <si>
    <t>530 WHITNEY ROAD</t>
  </si>
  <si>
    <t>C8010A0359</t>
  </si>
  <si>
    <t>JOHNSTON JEFFERY</t>
  </si>
  <si>
    <t>JOHNSTON SUSAN S</t>
  </si>
  <si>
    <t>133 KILBOURNE DRIVE</t>
  </si>
  <si>
    <t>I4010A0020</t>
  </si>
  <si>
    <t>JONES RONALD L</t>
  </si>
  <si>
    <t>JONES AMY F</t>
  </si>
  <si>
    <t>231 N WENTWORTH DRIVE</t>
  </si>
  <si>
    <t>H400000125</t>
  </si>
  <si>
    <t>C7140B0007</t>
  </si>
  <si>
    <t>ALLEN COURTNEY</t>
  </si>
  <si>
    <t>535 NC HWY 801 N</t>
  </si>
  <si>
    <t>E9150B0077</t>
  </si>
  <si>
    <t>BATTLE PAUL W</t>
  </si>
  <si>
    <t>BATTLE DEBORAH BRANN</t>
  </si>
  <si>
    <t>113 SYCAMORE COMMONS LN</t>
  </si>
  <si>
    <t>D400000003</t>
  </si>
  <si>
    <t>BECK STACY ANDREW</t>
  </si>
  <si>
    <t>782 EATONS CHURCH ROAD</t>
  </si>
  <si>
    <t>F60000009802</t>
  </si>
  <si>
    <t>BECKER STEVEN ALAN</t>
  </si>
  <si>
    <t>BECKER DEBORAH CLEMENTS</t>
  </si>
  <si>
    <t>857 HOWARDTOWN CIRCLE</t>
  </si>
  <si>
    <t>27028-7707</t>
  </si>
  <si>
    <t>E700000142</t>
  </si>
  <si>
    <t>BEAUCHAMP RONNIE WADE</t>
  </si>
  <si>
    <t>1245 BEAUCHAMP ROAD</t>
  </si>
  <si>
    <t>N600000091</t>
  </si>
  <si>
    <t>BIVINS RONNIE W</t>
  </si>
  <si>
    <t>BIVINS TERESA J</t>
  </si>
  <si>
    <t>3362 US HIGHWAY 601 SOUTH</t>
  </si>
  <si>
    <t>N5010B0017</t>
  </si>
  <si>
    <t>N5010B0018</t>
  </si>
  <si>
    <t>I800000021</t>
  </si>
  <si>
    <t>K30000000101</t>
  </si>
  <si>
    <t>MABE MARK HARDEN</t>
  </si>
  <si>
    <t>MABE SHELLEY NICHOLS</t>
  </si>
  <si>
    <t>203 MR HENRY ROAD</t>
  </si>
  <si>
    <t>C8010A0121</t>
  </si>
  <si>
    <t>BRAVO FRANK JOSEPH II</t>
  </si>
  <si>
    <t>112 SWEETWATER CIRCLE</t>
  </si>
  <si>
    <t>G50000000706</t>
  </si>
  <si>
    <t>H60000003201</t>
  </si>
  <si>
    <t>SPINKS HUGH</t>
  </si>
  <si>
    <t>COLBY CAROL</t>
  </si>
  <si>
    <t>2186 MILLING ROAD</t>
  </si>
  <si>
    <t>C70000012002</t>
  </si>
  <si>
    <t>SMITH JENNIFER SHEEK</t>
  </si>
  <si>
    <t>SMITH STEVEN GARY</t>
  </si>
  <si>
    <t>675 YADKIN VALLEY ROAD</t>
  </si>
  <si>
    <t>27006-8706</t>
  </si>
  <si>
    <t>C300000074</t>
  </si>
  <si>
    <t>BREWER ROBERT EARL ETAL</t>
  </si>
  <si>
    <t>BREWER PAULETTE VESTAL</t>
  </si>
  <si>
    <t>314 BAITY ROAD</t>
  </si>
  <si>
    <t>27028-4613</t>
  </si>
  <si>
    <t>N60000005304</t>
  </si>
  <si>
    <t>BLAKE JIMMY DWAYNE</t>
  </si>
  <si>
    <t>BLAKE JENNIFER FINK</t>
  </si>
  <si>
    <t>152 RIVERDALE ROAD</t>
  </si>
  <si>
    <t>27028-6850</t>
  </si>
  <si>
    <t>E8160A0012</t>
  </si>
  <si>
    <t>KUHN ADAM J</t>
  </si>
  <si>
    <t>KUHN KARI A</t>
  </si>
  <si>
    <t>130 CABOT DRIVE</t>
  </si>
  <si>
    <t>D7060A0012</t>
  </si>
  <si>
    <t>CIOCE BRIAN W</t>
  </si>
  <si>
    <t>CIOCE VALERIE F</t>
  </si>
  <si>
    <t>621 GORDON DRIVE</t>
  </si>
  <si>
    <t>27006-6620</t>
  </si>
  <si>
    <t>I4120D0009</t>
  </si>
  <si>
    <t>PARKER DANIEL</t>
  </si>
  <si>
    <t>PARKER STACEY</t>
  </si>
  <si>
    <t>181 W CHURCH STREET</t>
  </si>
  <si>
    <t>D8020A0013</t>
  </si>
  <si>
    <t>LAWRENCE SUE CAUDLE REV TRUST</t>
  </si>
  <si>
    <t>LAWRENCE SUE CAUDLE TRUSTEE</t>
  </si>
  <si>
    <t>213 IVY CIRCLE</t>
  </si>
  <si>
    <t>I5090B0015</t>
  </si>
  <si>
    <t>NELSON STEVE D REV TRUST AGREE</t>
  </si>
  <si>
    <t>NELSON MAVEL B REV TRUST AGREE</t>
  </si>
  <si>
    <t>123 PARK PLACE COURT</t>
  </si>
  <si>
    <t>C300000049</t>
  </si>
  <si>
    <t>DOWELL JOY V</t>
  </si>
  <si>
    <t>4629 US HIGHWAY 601 NORTH</t>
  </si>
  <si>
    <t>F90000004110</t>
  </si>
  <si>
    <t>JOYCE MICHAEL E</t>
  </si>
  <si>
    <t>JOYCE VICKY J</t>
  </si>
  <si>
    <t>332 RIVEROAKS LANE</t>
  </si>
  <si>
    <t>H20000000404</t>
  </si>
  <si>
    <t>MORROW DANIEL E</t>
  </si>
  <si>
    <t>MORROW JOANN B</t>
  </si>
  <si>
    <t>D20000003901</t>
  </si>
  <si>
    <t>BOOE MARK STEVEN</t>
  </si>
  <si>
    <t>1196 LIBERTY CHURCH ROAD</t>
  </si>
  <si>
    <t>I3010A0003</t>
  </si>
  <si>
    <t>MURDOCK JERRY ALLEN</t>
  </si>
  <si>
    <t>2 Charter Place</t>
  </si>
  <si>
    <t>N5010A0004</t>
  </si>
  <si>
    <t>ALVARADO REGINALDO R</t>
  </si>
  <si>
    <t>265 BOUCHELLE ROAD</t>
  </si>
  <si>
    <t>WILKESBORO</t>
  </si>
  <si>
    <t>H700000033</t>
  </si>
  <si>
    <t>GANTT RONALD SCOTT</t>
  </si>
  <si>
    <t>222 WILDWOOD LANE</t>
  </si>
  <si>
    <t>F20000004202</t>
  </si>
  <si>
    <t>BLACKWELDER JOHN SAMUEL</t>
  </si>
  <si>
    <t>BLACKWELDER DIANNE SPRY</t>
  </si>
  <si>
    <t>1076 SHEFFIELD ROAD</t>
  </si>
  <si>
    <t>B200000050</t>
  </si>
  <si>
    <t>MUSSLEMAN NANCY REAVIS</t>
  </si>
  <si>
    <t>5383 US HWY 601 N</t>
  </si>
  <si>
    <t>27028-6263</t>
  </si>
  <si>
    <t>B200000051</t>
  </si>
  <si>
    <t>F20000004201</t>
  </si>
  <si>
    <t>G30000002408</t>
  </si>
  <si>
    <t>BASS LARRY E</t>
  </si>
  <si>
    <t>BASS ROBIN W</t>
  </si>
  <si>
    <t>415 IJAMES CHURCH ROAD</t>
  </si>
  <si>
    <t>L400000040</t>
  </si>
  <si>
    <t>COX CHARLES E</t>
  </si>
  <si>
    <t>COX TERRI L</t>
  </si>
  <si>
    <t>151 VALHALLA TRAIL</t>
  </si>
  <si>
    <t>G3060B0005</t>
  </si>
  <si>
    <t>MONTEROSSO ANNE M</t>
  </si>
  <si>
    <t>279 IJAMES CHURCH ROAD</t>
  </si>
  <si>
    <t>I600000073</t>
  </si>
  <si>
    <t>WILLIAMS MARCUS DERON</t>
  </si>
  <si>
    <t>WILLIAMS MYRANDA TATE</t>
  </si>
  <si>
    <t>609 CORNATZER ROAD</t>
  </si>
  <si>
    <t>E8160A0029</t>
  </si>
  <si>
    <t>MERRITT CHRISTOPHER</t>
  </si>
  <si>
    <t>MERRITT CARRIE HALL</t>
  </si>
  <si>
    <t>118 MEADOW CREEK COURT</t>
  </si>
  <si>
    <t>27006-7579</t>
  </si>
  <si>
    <t>C300000059</t>
  </si>
  <si>
    <t>BAZIUK CHRISTOPHER R</t>
  </si>
  <si>
    <t>133 R  SHORE DRIVE</t>
  </si>
  <si>
    <t>D60000003401</t>
  </si>
  <si>
    <t>SMITH DAVID EUGENE JR</t>
  </si>
  <si>
    <t>E60000000201</t>
  </si>
  <si>
    <t>LOBB DANIEL G</t>
  </si>
  <si>
    <t>LOBB IRENE</t>
  </si>
  <si>
    <t>173 BATH LN</t>
  </si>
  <si>
    <t>D9010A0009</t>
  </si>
  <si>
    <t>BALDWIN VIRGINIA ANNE</t>
  </si>
  <si>
    <t>121 PEMBROOKE RIDGE COURT</t>
  </si>
  <si>
    <t>C400000026</t>
  </si>
  <si>
    <t>SPACH WILLIAM S</t>
  </si>
  <si>
    <t>SPACH AVIS C</t>
  </si>
  <si>
    <t>473 WINCHESTER DRIVE</t>
  </si>
  <si>
    <t>KING</t>
  </si>
  <si>
    <t>27021-9221</t>
  </si>
  <si>
    <t>E500000027</t>
  </si>
  <si>
    <t>CROWE KEN DAVID</t>
  </si>
  <si>
    <t>820 FARMINGTON ROAD</t>
  </si>
  <si>
    <t>D7030C0027</t>
  </si>
  <si>
    <t>QUARLES KELLY ANN</t>
  </si>
  <si>
    <t>150 S CLAYBON DRIVE</t>
  </si>
  <si>
    <t>K600000042</t>
  </si>
  <si>
    <t>ANDERSON LARRY C</t>
  </si>
  <si>
    <t>ANDERSON ANN B</t>
  </si>
  <si>
    <t>510 JOE ROAD</t>
  </si>
  <si>
    <t>27028-7253</t>
  </si>
  <si>
    <t>M500000022</t>
  </si>
  <si>
    <t>D8110A0004</t>
  </si>
  <si>
    <t>BRIDGES CHARLES RICHARD</t>
  </si>
  <si>
    <t>BRIDGES SALLY LAMBERT</t>
  </si>
  <si>
    <t>439 RIVERBEND DRIVE</t>
  </si>
  <si>
    <t>J5090A001402</t>
  </si>
  <si>
    <t>BARBER MARLON RYAN</t>
  </si>
  <si>
    <t>392 RIDDLE FOREST LANE</t>
  </si>
  <si>
    <t>H300000102</t>
  </si>
  <si>
    <t>TRAILERS OF THE EAST COAST INC</t>
  </si>
  <si>
    <t>418 INTERSTATE DRIVE</t>
  </si>
  <si>
    <t>H300000089</t>
  </si>
  <si>
    <t>TRAILERS OF THE EAST COAST</t>
  </si>
  <si>
    <t>27028-4192</t>
  </si>
  <si>
    <t>N500000040</t>
  </si>
  <si>
    <t>CHASE TIMOTHY L</t>
  </si>
  <si>
    <t>CHASE KIM M</t>
  </si>
  <si>
    <t>668 PINE RIDGE ROAD</t>
  </si>
  <si>
    <t>H70000005501</t>
  </si>
  <si>
    <t>CHURCH MONA LEESA POTTS</t>
  </si>
  <si>
    <t>CHURCH BARRON GRANT</t>
  </si>
  <si>
    <t>1592 FORK BIXBY ROAD</t>
  </si>
  <si>
    <t>27006-7231</t>
  </si>
  <si>
    <t>D9050A0008</t>
  </si>
  <si>
    <t>CORNWELL RALPH L</t>
  </si>
  <si>
    <t>CORNWELL VIRGINIA B</t>
  </si>
  <si>
    <t>3124 BERMUDA VILLAGE DR</t>
  </si>
  <si>
    <t>D9050A0007</t>
  </si>
  <si>
    <t>G3020A0006</t>
  </si>
  <si>
    <t>COBB ROBERT W</t>
  </si>
  <si>
    <t>COBB JUDY A</t>
  </si>
  <si>
    <t>130 WHITE DOVE WAY</t>
  </si>
  <si>
    <t>H4130A0075</t>
  </si>
  <si>
    <t>MURPHY KATHLEEN R</t>
  </si>
  <si>
    <t>248 SUMMIT DRIVE</t>
  </si>
  <si>
    <t>N5010C0074</t>
  </si>
  <si>
    <t>N5010C0015</t>
  </si>
  <si>
    <t>M5160C0009</t>
  </si>
  <si>
    <t>I60000004201</t>
  </si>
  <si>
    <t>BAILEY ANDREW JARRETT</t>
  </si>
  <si>
    <t>BAILEY BONNIE B</t>
  </si>
  <si>
    <t>412 CALAHALN ROAD</t>
  </si>
  <si>
    <t>D300000048</t>
  </si>
  <si>
    <t>POTTS DONNA FAYE</t>
  </si>
  <si>
    <t>230 HOWELL ROAD</t>
  </si>
  <si>
    <t>27028-4913</t>
  </si>
  <si>
    <t>D600000026</t>
  </si>
  <si>
    <t>STOLZ CARL W</t>
  </si>
  <si>
    <t>STOLZ VICTORIA R T</t>
  </si>
  <si>
    <t>152 SPEAKS ROAD</t>
  </si>
  <si>
    <t>D9010B0002</t>
  </si>
  <si>
    <t>DOWELL LESA MARIE</t>
  </si>
  <si>
    <t>DOWELL MICHAEL A</t>
  </si>
  <si>
    <t>121 WARWICKE PLACE</t>
  </si>
  <si>
    <t>E900000111</t>
  </si>
  <si>
    <t>MCMINN JAMES W JR</t>
  </si>
  <si>
    <t>MCMINN MICHELLE S</t>
  </si>
  <si>
    <t>106 KESWICK DRIVE</t>
  </si>
  <si>
    <t>L5100A0015</t>
  </si>
  <si>
    <t>BOGER ROGER JR</t>
  </si>
  <si>
    <t>BOGER AMANDA</t>
  </si>
  <si>
    <t>2212 S US HWY 601</t>
  </si>
  <si>
    <t>C600000022</t>
  </si>
  <si>
    <t>SHILKOFF JAMES L</t>
  </si>
  <si>
    <t>SHILKOFF ANDREA C</t>
  </si>
  <si>
    <t>1623 N NC HWY 801</t>
  </si>
  <si>
    <t>C60000002201</t>
  </si>
  <si>
    <t>C7150A0021</t>
  </si>
  <si>
    <t>CARTER ZEBULON CRAIG</t>
  </si>
  <si>
    <t>168 WOODBURN PLACE</t>
  </si>
  <si>
    <t>E5020A0013</t>
  </si>
  <si>
    <t>BACKUS ANDREW W</t>
  </si>
  <si>
    <t>BACKUS AMY J</t>
  </si>
  <si>
    <t>376 CORNWALLIS DRIVE</t>
  </si>
  <si>
    <t>F90000002803</t>
  </si>
  <si>
    <t>CARTER LESLIE E</t>
  </si>
  <si>
    <t>162 VOGLER ROAD</t>
  </si>
  <si>
    <t>J4030B0018</t>
  </si>
  <si>
    <t>ELLEDGE ADAM</t>
  </si>
  <si>
    <t>ELLEDGE TABITHA</t>
  </si>
  <si>
    <t>116 HOLLY LANE</t>
  </si>
  <si>
    <t>H5160A0019</t>
  </si>
  <si>
    <t>NICE PAUL C</t>
  </si>
  <si>
    <t>NICE DONNA L</t>
  </si>
  <si>
    <t>176 MEADOW RIDGE DRIVE</t>
  </si>
  <si>
    <t>G9100A0034</t>
  </si>
  <si>
    <t>CARTER TODD H</t>
  </si>
  <si>
    <t>CARTER ANGELA H</t>
  </si>
  <si>
    <t>116 CREEKVIEW DR</t>
  </si>
  <si>
    <t>G800000046</t>
  </si>
  <si>
    <t>FOSTER C W JR</t>
  </si>
  <si>
    <t>FOSTER JOYCE H</t>
  </si>
  <si>
    <t>I60000001005</t>
  </si>
  <si>
    <t>GOBBLE MICHAEL JAMES</t>
  </si>
  <si>
    <t>GOBBLE CAROLYN J</t>
  </si>
  <si>
    <t>167 JAMESTOWN DRIVE</t>
  </si>
  <si>
    <t>E900000409</t>
  </si>
  <si>
    <t>CARLTON KATHARINE</t>
  </si>
  <si>
    <t>CARLTON ZACHARY</t>
  </si>
  <si>
    <t>557 N HIDDENBROOK DRIVE</t>
  </si>
  <si>
    <t>G500000137</t>
  </si>
  <si>
    <t>VELAZQUEZ LUIS ANGEL</t>
  </si>
  <si>
    <t>COELLO CENIA EXPERANZA</t>
  </si>
  <si>
    <t>165 OAK GROVE CHURCH ROAD</t>
  </si>
  <si>
    <t>J7080B0004</t>
  </si>
  <si>
    <t>OSTLUND MATTHEW W</t>
  </si>
  <si>
    <t>OSTLUND KELLY S</t>
  </si>
  <si>
    <t>149 CEDARWOOD PLACE</t>
  </si>
  <si>
    <t>I5010A0018</t>
  </si>
  <si>
    <t>JONES CARNELL JR</t>
  </si>
  <si>
    <t>JONES CHARLENE C</t>
  </si>
  <si>
    <t>160 HILLCREST STREET</t>
  </si>
  <si>
    <t>H20000002801</t>
  </si>
  <si>
    <t>BECK DAVID LEE</t>
  </si>
  <si>
    <t>171 CASTLE LANE</t>
  </si>
  <si>
    <t>27028-8124</t>
  </si>
  <si>
    <t>F30000008602</t>
  </si>
  <si>
    <t>CARTNER BOBBY RAY</t>
  </si>
  <si>
    <t>3660 NEEDMORE ROAD</t>
  </si>
  <si>
    <t>B70000007702</t>
  </si>
  <si>
    <t>AVERETT SAMUEL R</t>
  </si>
  <si>
    <t>187 RALTON EUGENE TRAIL</t>
  </si>
  <si>
    <t>I5170C0010</t>
  </si>
  <si>
    <t>PHILLIPS SUSAN ETAL</t>
  </si>
  <si>
    <t>106 EAST BRICK WALK CT</t>
  </si>
  <si>
    <t>C300000020</t>
  </si>
  <si>
    <t>LEWIS JONATHAN ROY</t>
  </si>
  <si>
    <t>LEWIS HEATHER MAY</t>
  </si>
  <si>
    <t>138 BEAMWOOD LANE</t>
  </si>
  <si>
    <t>K40000003501</t>
  </si>
  <si>
    <t>SEAFORD CHRISTOPHER DEAN</t>
  </si>
  <si>
    <t>242 EAST LAKE DRIVE</t>
  </si>
  <si>
    <t>D8100C0003</t>
  </si>
  <si>
    <t>CZARNECKI MICHAEL E</t>
  </si>
  <si>
    <t>CZARNECKI COURTNEY T</t>
  </si>
  <si>
    <t>266 SPYGLASS DRIVE</t>
  </si>
  <si>
    <t>E900000259</t>
  </si>
  <si>
    <t>CRUTCHFIELD KENNETH E</t>
  </si>
  <si>
    <t>CRUTCHFIELD SHEA B</t>
  </si>
  <si>
    <t>130 ISLEWORTH COURT</t>
  </si>
  <si>
    <t>J5030A0026</t>
  </si>
  <si>
    <t>M4050A0006</t>
  </si>
  <si>
    <t>SEATS MARC</t>
  </si>
  <si>
    <t>849 GLADSTONE ROAD</t>
  </si>
  <si>
    <t>F200000026</t>
  </si>
  <si>
    <t>FRAZIER MARION L</t>
  </si>
  <si>
    <t>FRAZIER BRENDA H</t>
  </si>
  <si>
    <t>192 BERKLEY PLACE</t>
  </si>
  <si>
    <t>DUMONT</t>
  </si>
  <si>
    <t>07628-0000</t>
  </si>
  <si>
    <t>M40000002403</t>
  </si>
  <si>
    <t>HOWES KELLY S</t>
  </si>
  <si>
    <t>DOBY TRINA LYNN ESTATE OF</t>
  </si>
  <si>
    <t>259 SUNBURST LANE</t>
  </si>
  <si>
    <t>M60000001501</t>
  </si>
  <si>
    <t>MCDANIEL CLINTON T</t>
  </si>
  <si>
    <t>MCDANIEL HOLLY A</t>
  </si>
  <si>
    <t>3119 S US HWY 601</t>
  </si>
  <si>
    <t>M500000035</t>
  </si>
  <si>
    <t>MCDANIEL APRIL R</t>
  </si>
  <si>
    <t>2935 S US HWY 601</t>
  </si>
  <si>
    <t>B7140A0005</t>
  </si>
  <si>
    <t>STYERS REX ALLEN</t>
  </si>
  <si>
    <t>STYERS VICKIE C</t>
  </si>
  <si>
    <t>145 VALLEY OAK DRIVE</t>
  </si>
  <si>
    <t>F40000000803</t>
  </si>
  <si>
    <t>E7130A0020</t>
  </si>
  <si>
    <t>WHEELER ROBERT</t>
  </si>
  <si>
    <t>WHEELER ANNETTE</t>
  </si>
  <si>
    <t>104 SAVANNAH COURT</t>
  </si>
  <si>
    <t>J10000002914</t>
  </si>
  <si>
    <t>BELCHER TOMMIE C</t>
  </si>
  <si>
    <t>BELCHER MARY L</t>
  </si>
  <si>
    <t>737 CRESCENT DRIVE</t>
  </si>
  <si>
    <t>J10000002905</t>
  </si>
  <si>
    <t>C7140C0024</t>
  </si>
  <si>
    <t>TADDEUCCI GILDA C</t>
  </si>
  <si>
    <t>579 NC HWY 801 N</t>
  </si>
  <si>
    <t>E5020A0025</t>
  </si>
  <si>
    <t>GASKIN JAMES C</t>
  </si>
  <si>
    <t>GASKIN ROMY J</t>
  </si>
  <si>
    <t>289 CORNWALLIS DRIVE</t>
  </si>
  <si>
    <t>K8100A0007</t>
  </si>
  <si>
    <t>E900000502</t>
  </si>
  <si>
    <t>HANES DOUGLAS PAUL</t>
  </si>
  <si>
    <t>HANES JENNIFER R</t>
  </si>
  <si>
    <t>110 AUGUSTA COURT</t>
  </si>
  <si>
    <t>B10000001601</t>
  </si>
  <si>
    <t>ELDRED JEFFERY B</t>
  </si>
  <si>
    <t>ELDRED TIFFANY N</t>
  </si>
  <si>
    <t>546 AMBER HILL ROAD</t>
  </si>
  <si>
    <t>C8030A001301</t>
  </si>
  <si>
    <t>GOOCH TREVOR W</t>
  </si>
  <si>
    <t>GOOCH JULIE A</t>
  </si>
  <si>
    <t>149 PINEWOOD LANE</t>
  </si>
  <si>
    <t>E8110C0027</t>
  </si>
  <si>
    <t>SMITH WENDI LEE</t>
  </si>
  <si>
    <t>154 WESTRIDGE ROAD</t>
  </si>
  <si>
    <t>L5020A0011</t>
  </si>
  <si>
    <t>BACKD VENTURES LLC</t>
  </si>
  <si>
    <t>2625 JAMES STREET</t>
  </si>
  <si>
    <t>L5020A0010</t>
  </si>
  <si>
    <t>L5020A001101</t>
  </si>
  <si>
    <t>M5020A0027</t>
  </si>
  <si>
    <t>PINNIX JULIE R</t>
  </si>
  <si>
    <t>339 MICHAELS ROAD</t>
  </si>
  <si>
    <t>I5080A0001</t>
  </si>
  <si>
    <t>BAILEY BRENDA R</t>
  </si>
  <si>
    <t>154 HALLANDER DRIVE</t>
  </si>
  <si>
    <t>C7070A0005</t>
  </si>
  <si>
    <t>WELCH COURTNEY D</t>
  </si>
  <si>
    <t>210 NORMA LANE</t>
  </si>
  <si>
    <t>K600000019</t>
  </si>
  <si>
    <t>SHORT MICHAEL</t>
  </si>
  <si>
    <t>125 HEMLOCK ST</t>
  </si>
  <si>
    <t>K800000006</t>
  </si>
  <si>
    <t>PRZELSKI RENEE LYNNE</t>
  </si>
  <si>
    <t>3454 E US HWY 64</t>
  </si>
  <si>
    <t>J5050A0009</t>
  </si>
  <si>
    <t>PAINTER JENNIFER</t>
  </si>
  <si>
    <t>PAINTER RYAN</t>
  </si>
  <si>
    <t>157 POLARIS DRIVE</t>
  </si>
  <si>
    <t>G8140A0014</t>
  </si>
  <si>
    <t>HENDERSON SCOTT R</t>
  </si>
  <si>
    <t>HENDERSON ANDRA E</t>
  </si>
  <si>
    <t>102 SCOTCH MOSS DRIVE</t>
  </si>
  <si>
    <t>F400000037</t>
  </si>
  <si>
    <t>ISGETT RODNEY</t>
  </si>
  <si>
    <t>587 CANA ROAD</t>
  </si>
  <si>
    <t>H500000057</t>
  </si>
  <si>
    <t>H500000040</t>
  </si>
  <si>
    <t>264 CASPERS WAY</t>
  </si>
  <si>
    <t>G700000118</t>
  </si>
  <si>
    <t>MELTON SHIRLEY R</t>
  </si>
  <si>
    <t>MELTON BILLY GENE</t>
  </si>
  <si>
    <t>1807 FORK BIXBY ROAD</t>
  </si>
  <si>
    <t>D9030A0036</t>
  </si>
  <si>
    <t>MYERS JIMMIE L</t>
  </si>
  <si>
    <t>MYERS NANCY A</t>
  </si>
  <si>
    <t>205 JAMES WAY</t>
  </si>
  <si>
    <t>E900000227</t>
  </si>
  <si>
    <t>KOEHLER STEVEN C</t>
  </si>
  <si>
    <t>KOEHLER ANNE V</t>
  </si>
  <si>
    <t>242 KINGSMILL DRIVE</t>
  </si>
  <si>
    <t>I5090E001201</t>
  </si>
  <si>
    <t>ROGERS MELISSA SUE</t>
  </si>
  <si>
    <t>140 MIDLAND STREET</t>
  </si>
  <si>
    <t>F30000008601</t>
  </si>
  <si>
    <t>E9150A0025</t>
  </si>
  <si>
    <t>ENOCH KENNETH E</t>
  </si>
  <si>
    <t>ENOCH JENNIFER E</t>
  </si>
  <si>
    <t>189  HIDDEN CREEK DRIVE</t>
  </si>
  <si>
    <t>H5150B001401</t>
  </si>
  <si>
    <t>HIGHSMITH JOHN ADAMS</t>
  </si>
  <si>
    <t>HIGHSMITH DAWN THOMPSON</t>
  </si>
  <si>
    <t>157 MOCKINGBIRD LANE</t>
  </si>
  <si>
    <t>G600000078</t>
  </si>
  <si>
    <t>TARLETON GREGORY P</t>
  </si>
  <si>
    <t>TARLETON DOROTHY RUTH BOAZ</t>
  </si>
  <si>
    <t>990 DULIN ROAD</t>
  </si>
  <si>
    <t>E900000676</t>
  </si>
  <si>
    <t>BRADY T MICHAEL</t>
  </si>
  <si>
    <t>BRADY SHANNON M</t>
  </si>
  <si>
    <t>484 NORTH HIDDENBROOKE DRIVE</t>
  </si>
  <si>
    <t>L30000001801</t>
  </si>
  <si>
    <t>WARD SUZANNE SHOAF</t>
  </si>
  <si>
    <t>E900000101</t>
  </si>
  <si>
    <t>BROCKMUELLER BERND TRUSTEE</t>
  </si>
  <si>
    <t>BROCKMUELLER BRIGITTE TRUSTEE</t>
  </si>
  <si>
    <t>156 KESWICK DRIVE</t>
  </si>
  <si>
    <t>K5060A0018</t>
  </si>
  <si>
    <t>SIMMONS JENNIFER I</t>
  </si>
  <si>
    <t>121 W CHINABERRY COURT</t>
  </si>
  <si>
    <t>I4120A0004</t>
  </si>
  <si>
    <t>119 N SALISBURY STREET</t>
  </si>
  <si>
    <t>L30000002008</t>
  </si>
  <si>
    <t>GRIGSBY JAMES &amp; BONNIE TRUST</t>
  </si>
  <si>
    <t>307 OAK MEADOW LANE</t>
  </si>
  <si>
    <t>L300000020</t>
  </si>
  <si>
    <t>L30000002007</t>
  </si>
  <si>
    <t>L30000000701</t>
  </si>
  <si>
    <t>L300000031</t>
  </si>
  <si>
    <t>K70000000402</t>
  </si>
  <si>
    <t>GADDY CHARLIE RAY ETAL</t>
  </si>
  <si>
    <t>SMITH WILLIAM ROY</t>
  </si>
  <si>
    <t>620 JOE ROAD</t>
  </si>
  <si>
    <t>C8010A0221</t>
  </si>
  <si>
    <t>BAKER JAMES M</t>
  </si>
  <si>
    <t>220 NORTH FORKE DRIVE</t>
  </si>
  <si>
    <t>F900000028</t>
  </si>
  <si>
    <t>HARTMAN INEZ D</t>
  </si>
  <si>
    <t>646 UNDERPASS ROAD</t>
  </si>
  <si>
    <t>F900000013</t>
  </si>
  <si>
    <t>M50000001304</t>
  </si>
  <si>
    <t>JACKSON LINDA LINK</t>
  </si>
  <si>
    <t>LINK MICHAEL LAWRENCE</t>
  </si>
  <si>
    <t>149 GUINEVERE LANE</t>
  </si>
  <si>
    <t>E900000069</t>
  </si>
  <si>
    <t>OBRIEN DAVID M</t>
  </si>
  <si>
    <t>OBRIEN ANGELLA J</t>
  </si>
  <si>
    <t>147 BAY HILL DRIVE</t>
  </si>
  <si>
    <t>I5050B0020</t>
  </si>
  <si>
    <t>UNDERWOOD JEAN</t>
  </si>
  <si>
    <t>567 WHITNEY ROAD</t>
  </si>
  <si>
    <t>L5020A0030</t>
  </si>
  <si>
    <t>BENSON JIMMY C</t>
  </si>
  <si>
    <t>142 TWIN CEDARS GOLF ROAD</t>
  </si>
  <si>
    <t>D8070A0053</t>
  </si>
  <si>
    <t>VONSIATSKY ARMAND A</t>
  </si>
  <si>
    <t>168 GOLFVIEW DRIVE</t>
  </si>
  <si>
    <t>D3010A0035</t>
  </si>
  <si>
    <t>FURR PAUL W JR</t>
  </si>
  <si>
    <t>CABLE BETTY</t>
  </si>
  <si>
    <t>120 LANDIS COURT</t>
  </si>
  <si>
    <t>E7140A0024</t>
  </si>
  <si>
    <t>WATERS KENNETH REID</t>
  </si>
  <si>
    <t>WATERS JOANNA</t>
  </si>
  <si>
    <t>168 REDMEADOW DRIVE</t>
  </si>
  <si>
    <t>E700000158</t>
  </si>
  <si>
    <t>DUGGINS ROBERT J</t>
  </si>
  <si>
    <t>DUGGINS ANDREA D</t>
  </si>
  <si>
    <t>220 GUN CLUB RD</t>
  </si>
  <si>
    <t>C8010A0368</t>
  </si>
  <si>
    <t>ANDERSON DOUGLAS J</t>
  </si>
  <si>
    <t>ANDERSON MARYJO S</t>
  </si>
  <si>
    <t>124 KILBOURNE DRIVE</t>
  </si>
  <si>
    <t>C7140C0013</t>
  </si>
  <si>
    <t>DORSETT HARRISON L JR</t>
  </si>
  <si>
    <t>116 WOODBURN PLACE</t>
  </si>
  <si>
    <t>K5090A0027</t>
  </si>
  <si>
    <t>HOLT NELLIE W</t>
  </si>
  <si>
    <t>202 LAKEWOOD DRIVE</t>
  </si>
  <si>
    <t>H4130A0053</t>
  </si>
  <si>
    <t>ADKINS TYLER B</t>
  </si>
  <si>
    <t>ADKINS ASHLEY</t>
  </si>
  <si>
    <t>157 SUMMIT DRIVE</t>
  </si>
  <si>
    <t>F80000001501</t>
  </si>
  <si>
    <t>MOCK CAROLINE JEAN</t>
  </si>
  <si>
    <t>466 BEAUCHAMP ROAD</t>
  </si>
  <si>
    <t>C8010A0202</t>
  </si>
  <si>
    <t>MATTINGLY ELIZABETH J</t>
  </si>
  <si>
    <t>134 PARKVIEW LANE</t>
  </si>
  <si>
    <t>J5010D0020</t>
  </si>
  <si>
    <t>PLUNKETT DIANE S</t>
  </si>
  <si>
    <t>169 CHARLESTON RIDGE DRIVE</t>
  </si>
  <si>
    <t>27028-2659</t>
  </si>
  <si>
    <t>C8010A0169</t>
  </si>
  <si>
    <t>REID BEVERLY A</t>
  </si>
  <si>
    <t>133 TOWNPARK DRIVE</t>
  </si>
  <si>
    <t>N60000004108A</t>
  </si>
  <si>
    <t>JACKSON WILLIAM C</t>
  </si>
  <si>
    <t>143 SPLIT HILL LANE</t>
  </si>
  <si>
    <t>J7080A0007</t>
  </si>
  <si>
    <t>MEDFORD GARY</t>
  </si>
  <si>
    <t>MEDFORD LAURA</t>
  </si>
  <si>
    <t>147 AUBREY MERRELL</t>
  </si>
  <si>
    <t>L400000041</t>
  </si>
  <si>
    <t>COX MICHAEL P</t>
  </si>
  <si>
    <t>COX REBECCA J</t>
  </si>
  <si>
    <t>164 CARTER LANE</t>
  </si>
  <si>
    <t>B3020A0006</t>
  </si>
  <si>
    <t>MOODY JERRI S</t>
  </si>
  <si>
    <t>5189 US HIGHWAY 601 NORTH</t>
  </si>
  <si>
    <t>G500000020</t>
  </si>
  <si>
    <t>GARY JOSEPH</t>
  </si>
  <si>
    <t>GARY KRYSTA</t>
  </si>
  <si>
    <t>G500000021</t>
  </si>
  <si>
    <t>E50000000701</t>
  </si>
  <si>
    <t>GROCE GARY WADE</t>
  </si>
  <si>
    <t>GROCE RICHARD EARL</t>
  </si>
  <si>
    <t>154 VALLEY OAKS DRIVE</t>
  </si>
  <si>
    <t>D500000028</t>
  </si>
  <si>
    <t>SCOTT GEORGE L</t>
  </si>
  <si>
    <t>494 CEDAR CREEK ROAD</t>
  </si>
  <si>
    <t>D20000001801</t>
  </si>
  <si>
    <t>JONES ANDREW CLAY</t>
  </si>
  <si>
    <t>734 BEAR CREEK CHURCH ROAD</t>
  </si>
  <si>
    <t>D7090A0007</t>
  </si>
  <si>
    <t>HOFF ROBERT D</t>
  </si>
  <si>
    <t>HOFF KATHY L</t>
  </si>
  <si>
    <t>140 IDLEWILD ROAD</t>
  </si>
  <si>
    <t>J700000008</t>
  </si>
  <si>
    <t>VUCKOVIC SHARON L</t>
  </si>
  <si>
    <t>VUCKOVIC MIODRAG</t>
  </si>
  <si>
    <t>194 NO CREEK ROAD</t>
  </si>
  <si>
    <t>E900000519</t>
  </si>
  <si>
    <t>RIORDAN JONATHAN R</t>
  </si>
  <si>
    <t>RIORDAN PENELOPE J</t>
  </si>
  <si>
    <t>389 N HIDDENBROOKE</t>
  </si>
  <si>
    <t>L5100B0001</t>
  </si>
  <si>
    <t>ADAMS JAMES E</t>
  </si>
  <si>
    <t>ADAMS CATHY E</t>
  </si>
  <si>
    <t>2197 S US HWY 601</t>
  </si>
  <si>
    <t>I70000010004</t>
  </si>
  <si>
    <t>HEATON PAUL EDWARD JR</t>
  </si>
  <si>
    <t>129 GRAY CARTER LN</t>
  </si>
  <si>
    <t>I5050A0039</t>
  </si>
  <si>
    <t>LEONARD IRIS J</t>
  </si>
  <si>
    <t>122 META BREEZE LANE</t>
  </si>
  <si>
    <t>G7050A0006</t>
  </si>
  <si>
    <t>SANCHEZ VICTOR JR</t>
  </si>
  <si>
    <t>SANCHEZ LESLIE ANN</t>
  </si>
  <si>
    <t>159 PRINCETON COURT</t>
  </si>
  <si>
    <t>F50000000205</t>
  </si>
  <si>
    <t>PEEDIN TIM E</t>
  </si>
  <si>
    <t>PEEDIN ROBIN F</t>
  </si>
  <si>
    <t>193 ASHLEY LANE</t>
  </si>
  <si>
    <t>B7010A0001</t>
  </si>
  <si>
    <t>LOWISH MATTHEW C</t>
  </si>
  <si>
    <t>LOWISH ANNE A</t>
  </si>
  <si>
    <t>353 SERENITY HILLS TR</t>
  </si>
  <si>
    <t>F20000002006</t>
  </si>
  <si>
    <t>POTTS JEFFREY K</t>
  </si>
  <si>
    <t>POTTS ZANA C</t>
  </si>
  <si>
    <t>487 DUKE WHITTAKER ROAD</t>
  </si>
  <si>
    <t>H4160A0006</t>
  </si>
  <si>
    <t>BERRY WILLIAM J</t>
  </si>
  <si>
    <t>BERRY TIFFANY K</t>
  </si>
  <si>
    <t>433 MADISON ROAD</t>
  </si>
  <si>
    <t>L60000000901</t>
  </si>
  <si>
    <t>TRITT DENNIS C</t>
  </si>
  <si>
    <t>TRITT KAY</t>
  </si>
  <si>
    <t>6578 HWY 801 S</t>
  </si>
  <si>
    <t>K5030A0012</t>
  </si>
  <si>
    <t>WALL ROBERT R</t>
  </si>
  <si>
    <t>WALL KATHERINE C</t>
  </si>
  <si>
    <t>259 DEACONS WAY</t>
  </si>
  <si>
    <t>H60000006202</t>
  </si>
  <si>
    <t>DUDLEY ANTHONY RAY</t>
  </si>
  <si>
    <t>2551 MILLING ROAD</t>
  </si>
  <si>
    <t>H700000047</t>
  </si>
  <si>
    <t>LONG KENNETH CHARLES JR</t>
  </si>
  <si>
    <t>1705 CORNATZER ROAD</t>
  </si>
  <si>
    <t>I5010C0008</t>
  </si>
  <si>
    <t>BOWMAN JOSEPH</t>
  </si>
  <si>
    <t>BOWMAN WILLIE JEAN</t>
  </si>
  <si>
    <t>3409 FARMINGTON RD</t>
  </si>
  <si>
    <t>E7060A0005</t>
  </si>
  <si>
    <t>OAKLEY LONNIE DAVID III</t>
  </si>
  <si>
    <t>OAKLEY REVA CATHERINE</t>
  </si>
  <si>
    <t>153 WINCHESTER ROAD</t>
  </si>
  <si>
    <t>H80000000601</t>
  </si>
  <si>
    <t>CASTRO RODIMIR CANDIDO</t>
  </si>
  <si>
    <t>750 MARKLAND ROAD</t>
  </si>
  <si>
    <t>C500000113</t>
  </si>
  <si>
    <t>SEATS HAROLD</t>
  </si>
  <si>
    <t>SEATS DEBORAH</t>
  </si>
  <si>
    <t>1804 FARMINGTON ROAD</t>
  </si>
  <si>
    <t>H500000033</t>
  </si>
  <si>
    <t>MCCULLOH PROPERTIES LLC</t>
  </si>
  <si>
    <t>2220 LONGCOVE CT</t>
  </si>
  <si>
    <t>SHERRILLS FORD</t>
  </si>
  <si>
    <t>28673-0000</t>
  </si>
  <si>
    <t>F7060A0012</t>
  </si>
  <si>
    <t>WHITE KENNETH D</t>
  </si>
  <si>
    <t>WHITE LYNETTA B</t>
  </si>
  <si>
    <t>121 CANTON ROAD</t>
  </si>
  <si>
    <t>E600000065</t>
  </si>
  <si>
    <t>HOLMES LAWRENCE</t>
  </si>
  <si>
    <t>128 FROST ROAD</t>
  </si>
  <si>
    <t>E50000001403</t>
  </si>
  <si>
    <t>SMITH DONALD G REV TRUST AGREE</t>
  </si>
  <si>
    <t>SMITH GLENDA B REV TRUST AGREE</t>
  </si>
  <si>
    <t>256 PINEBROOK DRIVE</t>
  </si>
  <si>
    <t>SMITH DONALD G  REV TRUST AGREE</t>
  </si>
  <si>
    <t>I4120D0003</t>
  </si>
  <si>
    <t>HODGES ROBERT E JR</t>
  </si>
  <si>
    <t>241 W CHURCH STREET</t>
  </si>
  <si>
    <t>D8100A002301</t>
  </si>
  <si>
    <t>LOGIE ALLAN</t>
  </si>
  <si>
    <t>LOGIE DENE</t>
  </si>
  <si>
    <t>198 JUNIPER CIRCLE</t>
  </si>
  <si>
    <t>D700000081</t>
  </si>
  <si>
    <t>CRAFT DARRELL FLETCHER</t>
  </si>
  <si>
    <t>CRAFT GLENDA WOOD</t>
  </si>
  <si>
    <t>450 REDLAND ROAD</t>
  </si>
  <si>
    <t>K10000002107</t>
  </si>
  <si>
    <t>266 SMITH ROAD</t>
  </si>
  <si>
    <t>27028-8370</t>
  </si>
  <si>
    <t>B30000002906</t>
  </si>
  <si>
    <t>NORMAN KAYLA</t>
  </si>
  <si>
    <t>NORMAN TIMOTHY</t>
  </si>
  <si>
    <t>4989 US HWY 601 N</t>
  </si>
  <si>
    <t>D200000018</t>
  </si>
  <si>
    <t>F90000000803</t>
  </si>
  <si>
    <t>I4120A0007</t>
  </si>
  <si>
    <t>BOOTH JASON</t>
  </si>
  <si>
    <t>ISAMAN JESSICA</t>
  </si>
  <si>
    <t>234 WILKESBORO STREET</t>
  </si>
  <si>
    <t>G600000014</t>
  </si>
  <si>
    <t>WHITE JANICE SMITH</t>
  </si>
  <si>
    <t>152 LONESOME DOVE LANE</t>
  </si>
  <si>
    <t>27028-7267</t>
  </si>
  <si>
    <t>M4120A001201</t>
  </si>
  <si>
    <t>TENOR RODNEY PEARCE</t>
  </si>
  <si>
    <t>TENOR TERESA P</t>
  </si>
  <si>
    <t>223 CLARK ROAD</t>
  </si>
  <si>
    <t>PO BOX 1192</t>
  </si>
  <si>
    <t>D700000212</t>
  </si>
  <si>
    <t>HARRISON JENNIFER BRITT TRUST</t>
  </si>
  <si>
    <t>HARRISON MICHAEL TRENT TRUST</t>
  </si>
  <si>
    <t>JEFFREY B HARRISON TRUSTEE</t>
  </si>
  <si>
    <t>PO BOX 364</t>
  </si>
  <si>
    <t>WRIGHTSVILLE BEACH</t>
  </si>
  <si>
    <t>C70000012402</t>
  </si>
  <si>
    <t>STEM JAMES C</t>
  </si>
  <si>
    <t>STEM KATHERINE BARKO</t>
  </si>
  <si>
    <t>733 YADKIN VALLEY RD</t>
  </si>
  <si>
    <t>K10000001402A</t>
  </si>
  <si>
    <t>WILSON CEOLA</t>
  </si>
  <si>
    <t>376 VILLAGE ROAD</t>
  </si>
  <si>
    <t>27028-8474</t>
  </si>
  <si>
    <t>E8070B0006</t>
  </si>
  <si>
    <t>KELLOGG THEODORE GLEASON JR</t>
  </si>
  <si>
    <t>KELLOGG CHATTIE DIANNE</t>
  </si>
  <si>
    <t>B7010A0027</t>
  </si>
  <si>
    <t>BURGE JAMES SEAN</t>
  </si>
  <si>
    <t>BURGE PENNY LEE</t>
  </si>
  <si>
    <t>173 SANDPIT ROAD</t>
  </si>
  <si>
    <t>F8030A0009</t>
  </si>
  <si>
    <t>LANDRY RENE J</t>
  </si>
  <si>
    <t>LANDRY JOANN C</t>
  </si>
  <si>
    <t>171 ESSEX FARM ROAD</t>
  </si>
  <si>
    <t>H50000005305</t>
  </si>
  <si>
    <t>MCCARTHY PATRICK J</t>
  </si>
  <si>
    <t>195 RED BUD LANE</t>
  </si>
  <si>
    <t>C30000012403</t>
  </si>
  <si>
    <t>LEACH NEIL CALVIN JR</t>
  </si>
  <si>
    <t>LEACH KATHERINE TALBERT</t>
  </si>
  <si>
    <t>857 HOWELL ROAD</t>
  </si>
  <si>
    <t>L500000074</t>
  </si>
  <si>
    <t>GALES SETH GRAHAM</t>
  </si>
  <si>
    <t>GALES TARA WOODBURN</t>
  </si>
  <si>
    <t>225 OAKDALE AVENUE</t>
  </si>
  <si>
    <t>L500000076</t>
  </si>
  <si>
    <t>L500000077</t>
  </si>
  <si>
    <t>G8140A0009</t>
  </si>
  <si>
    <t>SANDERS SARAH</t>
  </si>
  <si>
    <t>SANDERS KYLE C</t>
  </si>
  <si>
    <t>145 OLD HOMEPLACE DRIVE</t>
  </si>
  <si>
    <t>G8140A0009  A</t>
  </si>
  <si>
    <t>E900000607</t>
  </si>
  <si>
    <t>JOHNSON BRENDA</t>
  </si>
  <si>
    <t>121 WEST EDEN COURSE DRIVE</t>
  </si>
  <si>
    <t>C8010A0288</t>
  </si>
  <si>
    <t>TATEM GREGORY HEATH</t>
  </si>
  <si>
    <t>TATEM LAURA</t>
  </si>
  <si>
    <t>145 NORTH FORKE DRIVE</t>
  </si>
  <si>
    <t>I4120C0008</t>
  </si>
  <si>
    <t>SANDOVAL JUSTINE</t>
  </si>
  <si>
    <t>608 GARNER STREET</t>
  </si>
  <si>
    <t>I4120E0006</t>
  </si>
  <si>
    <t>ACOSTA VIANEY BORGES</t>
  </si>
  <si>
    <t>GINN CARL B</t>
  </si>
  <si>
    <t>309 PARK AVENUE</t>
  </si>
  <si>
    <t>C7100A0026</t>
  </si>
  <si>
    <t>LINEBERRY ASHLEY</t>
  </si>
  <si>
    <t>106 NORMA LANE</t>
  </si>
  <si>
    <t>D20000003815</t>
  </si>
  <si>
    <t>ROBINSON TYLER</t>
  </si>
  <si>
    <t>ROBINSON CARLY</t>
  </si>
  <si>
    <t>1227 LIBERTY CHURCH ROAD</t>
  </si>
  <si>
    <t>J4140B0018</t>
  </si>
  <si>
    <t>BYERLY MARY ANN R</t>
  </si>
  <si>
    <t>127 RHODE ISLAND COURT</t>
  </si>
  <si>
    <t>E6110A0002</t>
  </si>
  <si>
    <t>BRIDGES CHRIS</t>
  </si>
  <si>
    <t>BRIDGES CANDACE</t>
  </si>
  <si>
    <t>118 FOX RUN DRIVE</t>
  </si>
  <si>
    <t>O600000071</t>
  </si>
  <si>
    <t>YADKIN RIVER LLC</t>
  </si>
  <si>
    <t>.</t>
  </si>
  <si>
    <t>4413 BARNSLEY DRIVE</t>
  </si>
  <si>
    <t>PLANO</t>
  </si>
  <si>
    <t>B20000002404</t>
  </si>
  <si>
    <t>MCCABE COURTNEY A</t>
  </si>
  <si>
    <t>MCCABE LYNN M</t>
  </si>
  <si>
    <t>E8110A0010</t>
  </si>
  <si>
    <t>CLARK CLARENCE ANTONIO III</t>
  </si>
  <si>
    <t>CLARK SHAYLA</t>
  </si>
  <si>
    <t>1565 UNDERPASS ROAD</t>
  </si>
  <si>
    <t>I4130B0006</t>
  </si>
  <si>
    <t>NYBOM PIA</t>
  </si>
  <si>
    <t>234 HAWKS TRAIL</t>
  </si>
  <si>
    <t>E900000395</t>
  </si>
  <si>
    <t>HOWARD JOSEPH WARREN</t>
  </si>
  <si>
    <t>HOWARD KENDRA GUNN</t>
  </si>
  <si>
    <t>237 BROADMOOR DRIVE</t>
  </si>
  <si>
    <t>D200000020</t>
  </si>
  <si>
    <t>D700000213</t>
  </si>
  <si>
    <t>H80000005006</t>
  </si>
  <si>
    <t>SPRY PAUL KEITH</t>
  </si>
  <si>
    <t>722 BAILEYS CHAPEL ROAD</t>
  </si>
  <si>
    <t>K700000079</t>
  </si>
  <si>
    <t>KING WILLIAM H SR</t>
  </si>
  <si>
    <t>KING CINDY L</t>
  </si>
  <si>
    <t>269 DRUM LANE</t>
  </si>
  <si>
    <t>27028-7160</t>
  </si>
  <si>
    <t>C8010A0210</t>
  </si>
  <si>
    <t>BOWMAN JACOB M</t>
  </si>
  <si>
    <t>BOWMAN COURTNEY</t>
  </si>
  <si>
    <t>154 NORTH FORKE DRIVE</t>
  </si>
  <si>
    <t>E10000001703</t>
  </si>
  <si>
    <t>WILLIAMS TIMOTHY D</t>
  </si>
  <si>
    <t>WILLIAMS THENNIE</t>
  </si>
  <si>
    <t>514 TURKEY FOOT ROAD</t>
  </si>
  <si>
    <t>K300000032</t>
  </si>
  <si>
    <t>WEAVER DAVID A</t>
  </si>
  <si>
    <t>215 ADAMS RD</t>
  </si>
  <si>
    <t>B3010A0002</t>
  </si>
  <si>
    <t>SHEPPARD BRIAN H</t>
  </si>
  <si>
    <t>SHEPPARD REGINA F</t>
  </si>
  <si>
    <t>121 WELCOME SPRINGS WAY</t>
  </si>
  <si>
    <t>D7090A0008</t>
  </si>
  <si>
    <t>HENDRICKS JULIA C</t>
  </si>
  <si>
    <t>HENDRICKS MICHAEL J</t>
  </si>
  <si>
    <t>142 IDLEWILD ROAD</t>
  </si>
  <si>
    <t>M400000025</t>
  </si>
  <si>
    <t>OSBORNE KENNETH E</t>
  </si>
  <si>
    <t>OSBORNE MARGARET J</t>
  </si>
  <si>
    <t>1644 JUNCTION ROAD</t>
  </si>
  <si>
    <t>F8020A0012</t>
  </si>
  <si>
    <t>BARKS RITA P</t>
  </si>
  <si>
    <t>134 WINDEMERE DRIVE</t>
  </si>
  <si>
    <t>M500000060</t>
  </si>
  <si>
    <t>PO BOX 1187</t>
  </si>
  <si>
    <t>27014-1187</t>
  </si>
  <si>
    <t>M500000059</t>
  </si>
  <si>
    <t>J7080A0005</t>
  </si>
  <si>
    <t>WALL MATTHEW DAVIS</t>
  </si>
  <si>
    <t>123 AUBREY MERRELL ROAD</t>
  </si>
  <si>
    <t>D9010B0026</t>
  </si>
  <si>
    <t>PASSMORE JOHN E</t>
  </si>
  <si>
    <t>PASSMORE BETH F</t>
  </si>
  <si>
    <t>149 WARWICKE PLACE</t>
  </si>
  <si>
    <t>F8030A0059</t>
  </si>
  <si>
    <t>GARCIA ERNESTO</t>
  </si>
  <si>
    <t>GARCIA KELLY LYN</t>
  </si>
  <si>
    <t>112 WYATT DRIVE</t>
  </si>
  <si>
    <t>L500000075</t>
  </si>
  <si>
    <t>L500000073</t>
  </si>
  <si>
    <t>E8070B0011</t>
  </si>
  <si>
    <t>GEHRKE CHARLES KENNETH</t>
  </si>
  <si>
    <t>MANESS SHEILA JO</t>
  </si>
  <si>
    <t>150 ASHBURTON DRIVE</t>
  </si>
  <si>
    <t>K300000069</t>
  </si>
  <si>
    <t>WEAVER DAVID ABE</t>
  </si>
  <si>
    <t>WEAVER ANDREA FAYE</t>
  </si>
  <si>
    <t>215 ADAMS ROAD</t>
  </si>
  <si>
    <t>I4120D0013</t>
  </si>
  <si>
    <t>BARNES ANN R</t>
  </si>
  <si>
    <t>151 WEST CHURCH STREET</t>
  </si>
  <si>
    <t>K30000003401</t>
  </si>
  <si>
    <t>GAITHER SHIRLEY A</t>
  </si>
  <si>
    <t>129 DIVISION LANE</t>
  </si>
  <si>
    <t>F7110A0003</t>
  </si>
  <si>
    <t>HUGGINS DAVID M</t>
  </si>
  <si>
    <t>HUGGINS SUE L</t>
  </si>
  <si>
    <t>112 LONGLEAF PINE DRIVE</t>
  </si>
  <si>
    <t>J5010D0077</t>
  </si>
  <si>
    <t>ADAMS AMANDA</t>
  </si>
  <si>
    <t>ADAMS RICHARD</t>
  </si>
  <si>
    <t>135 WINDING CREEK ROAD</t>
  </si>
  <si>
    <t>E7140A0003</t>
  </si>
  <si>
    <t>MELTON ISRAEL J</t>
  </si>
  <si>
    <t>MELTON MEGAN E</t>
  </si>
  <si>
    <t>173 REDLAND ROAD</t>
  </si>
  <si>
    <t>E6050A0016</t>
  </si>
  <si>
    <t>WOODFIN JOHN E</t>
  </si>
  <si>
    <t>WOODFIN AMY A</t>
  </si>
  <si>
    <t>144 SHALLOWBROOK DRIVE</t>
  </si>
  <si>
    <t>I1110D0013</t>
  </si>
  <si>
    <t>CANTER SAMUEL WAYNE</t>
  </si>
  <si>
    <t>CANTER ROXANNA C</t>
  </si>
  <si>
    <t>127 CANTER CIRCLE</t>
  </si>
  <si>
    <t>27028-8123</t>
  </si>
  <si>
    <t>D60000006405</t>
  </si>
  <si>
    <t>YORK JOHN CHRISTOPHER</t>
  </si>
  <si>
    <t>YORK JAIMEE FERRER</t>
  </si>
  <si>
    <t>170 PLOWMAN LANE</t>
  </si>
  <si>
    <t>E70000015206</t>
  </si>
  <si>
    <t>BERRIER JENNIFER B</t>
  </si>
  <si>
    <t>BERRIER DONALD L JR</t>
  </si>
  <si>
    <t>105 TIMBER CREEK ROAD</t>
  </si>
  <si>
    <t>E900000019</t>
  </si>
  <si>
    <t>WOODRUFF ANNA FOX</t>
  </si>
  <si>
    <t>WOODRUFF DAVID P</t>
  </si>
  <si>
    <t>220 OAKMONT DRIVE</t>
  </si>
  <si>
    <t>G3140A0004</t>
  </si>
  <si>
    <t>BENNETT STEPHANIE</t>
  </si>
  <si>
    <t>BENNETT TYSON</t>
  </si>
  <si>
    <t>408 ALLEN ROAD</t>
  </si>
  <si>
    <t>I1110D0015</t>
  </si>
  <si>
    <t>I1110D0016</t>
  </si>
  <si>
    <t>I1110D0014</t>
  </si>
  <si>
    <t>E900000318</t>
  </si>
  <si>
    <t>HAYEK CHARLES S</t>
  </si>
  <si>
    <t>HAYEK MARCIE H</t>
  </si>
  <si>
    <t>709 OAK VALLEY BLVD</t>
  </si>
  <si>
    <t>N4040A0030</t>
  </si>
  <si>
    <t>WHITE WILLIAM RAY JR</t>
  </si>
  <si>
    <t>PO BOX 696</t>
  </si>
  <si>
    <t>F3130A0049</t>
  </si>
  <si>
    <t>FARNHAM VERNON C</t>
  </si>
  <si>
    <t>FARNHAM EDITH C</t>
  </si>
  <si>
    <t>272 DANNER ROAD</t>
  </si>
  <si>
    <t>I30000006701</t>
  </si>
  <si>
    <t>GOODENOW WILLIAM LEE</t>
  </si>
  <si>
    <t>1361 US HWY 64 WEST</t>
  </si>
  <si>
    <t>L3010A0008</t>
  </si>
  <si>
    <t>VESTAL JACOB</t>
  </si>
  <si>
    <t>KEENAN AMBER</t>
  </si>
  <si>
    <t>170 TARA COURT</t>
  </si>
  <si>
    <t>J4040F0002</t>
  </si>
  <si>
    <t>SHARPE MICHAEL JEFF</t>
  </si>
  <si>
    <t>SHARPE PATRICK JON</t>
  </si>
  <si>
    <t>485 S MAIN STREET</t>
  </si>
  <si>
    <t>J70000005901</t>
  </si>
  <si>
    <t>CHURAMAN LATIFAN H</t>
  </si>
  <si>
    <t>320 MERRELLS LAKE ROAD</t>
  </si>
  <si>
    <t>E6110A0009</t>
  </si>
  <si>
    <t>BELLIVEAU JOEL A</t>
  </si>
  <si>
    <t>BELLIVEAU KATHERINE</t>
  </si>
  <si>
    <t>190 FOX RUN DRIVE</t>
  </si>
  <si>
    <t>D700000064</t>
  </si>
  <si>
    <t>BROWN LORETTA DUNN</t>
  </si>
  <si>
    <t>BROWN STEVEN RAY</t>
  </si>
  <si>
    <t>M500000058</t>
  </si>
  <si>
    <t>C50000005718</t>
  </si>
  <si>
    <t>HUTCHINS DAVID LEE</t>
  </si>
  <si>
    <t>2257 FARMINGTON ROAD</t>
  </si>
  <si>
    <t>E8150A0007</t>
  </si>
  <si>
    <t>MCINTYRE AUDREY V</t>
  </si>
  <si>
    <t>972 NC HWY 801</t>
  </si>
  <si>
    <t>D8060B0021</t>
  </si>
  <si>
    <t>PLEMMONS RONALD JAMES JR</t>
  </si>
  <si>
    <t>PLEMMONS CRYSTAL DELANEY</t>
  </si>
  <si>
    <t>144 TIFTON STREET</t>
  </si>
  <si>
    <t>K30000000303</t>
  </si>
  <si>
    <t>MCGURER CURT W</t>
  </si>
  <si>
    <t>283 STEPHENS ROAD</t>
  </si>
  <si>
    <t>RUFFIN</t>
  </si>
  <si>
    <t>G8140A0002</t>
  </si>
  <si>
    <t>COGAR BIANCA C</t>
  </si>
  <si>
    <t>215 OLD HOMEPLACE DRIVE</t>
  </si>
  <si>
    <t>H30000001001</t>
  </si>
  <si>
    <t>DOOLEY HERBERT EUGENE</t>
  </si>
  <si>
    <t>DOOLEY JETTIE VIRGINIA I</t>
  </si>
  <si>
    <t>214 PARKER ROAD</t>
  </si>
  <si>
    <t>27028-4968</t>
  </si>
  <si>
    <t>I700000067</t>
  </si>
  <si>
    <t>SMITH ADAM</t>
  </si>
  <si>
    <t>SMITH ALLISON W</t>
  </si>
  <si>
    <t>399 COMANCHE DRIVE</t>
  </si>
  <si>
    <t>D60000006406</t>
  </si>
  <si>
    <t>E9150A0029</t>
  </si>
  <si>
    <t>WHITMAN BETTY B</t>
  </si>
  <si>
    <t>551 TOMBFIELD RD</t>
  </si>
  <si>
    <t>CAMDEN</t>
  </si>
  <si>
    <t>D8070A0025</t>
  </si>
  <si>
    <t>HAYMORE ADAM R</t>
  </si>
  <si>
    <t>HAYMORE BRANDI T</t>
  </si>
  <si>
    <t>136 FESCUE DRIVE</t>
  </si>
  <si>
    <t>D70000022602</t>
  </si>
  <si>
    <t>RIVER HILL VENTURES LLC</t>
  </si>
  <si>
    <t>3366 NOTTINGHAM ROAD</t>
  </si>
  <si>
    <t>E80000000602</t>
  </si>
  <si>
    <t>DAILEY DANIEL P</t>
  </si>
  <si>
    <t>DAILEY BERNADETTE D</t>
  </si>
  <si>
    <t>570 HILLCREST DRIVE</t>
  </si>
  <si>
    <t>D700000127</t>
  </si>
  <si>
    <t>LEWIS STEVEN A</t>
  </si>
  <si>
    <t>237 REDLAND ROAD</t>
  </si>
  <si>
    <t>F8020A0018</t>
  </si>
  <si>
    <t>HOLBROOK JOHN WILL IV</t>
  </si>
  <si>
    <t>HOLBROOK MEGAN BROOKE THACKER</t>
  </si>
  <si>
    <t>150 HIGH MEADOWS ROAD</t>
  </si>
  <si>
    <t>F7120A0013</t>
  </si>
  <si>
    <t>SEIBERT TIMOTHY F</t>
  </si>
  <si>
    <t>SEIBERT ROSE MARIE</t>
  </si>
  <si>
    <t>200 MONTCLAIR DRIVE</t>
  </si>
  <si>
    <t>H900000035</t>
  </si>
  <si>
    <t>PEOPLES CLIFTON LEE III</t>
  </si>
  <si>
    <t>DULIN RUTH PEEBLES</t>
  </si>
  <si>
    <t>P O BOX 88</t>
  </si>
  <si>
    <t>J600000048</t>
  </si>
  <si>
    <t>RELIGIOUS SOCIETY FRIENDS</t>
  </si>
  <si>
    <t>G70000011705</t>
  </si>
  <si>
    <t>BULLARD JAMES H</t>
  </si>
  <si>
    <t>BULLARD HEATHER F</t>
  </si>
  <si>
    <t>134 BLACKBERRY LANE</t>
  </si>
  <si>
    <t>O600000042</t>
  </si>
  <si>
    <t>BROWN TOM HEIRS</t>
  </si>
  <si>
    <t>% PALMER L TROUTMAN</t>
  </si>
  <si>
    <t>PO BOX 9005</t>
  </si>
  <si>
    <t>C8010A0235</t>
  </si>
  <si>
    <t>WALKER KARL</t>
  </si>
  <si>
    <t>125 MILLSTONE LN</t>
  </si>
  <si>
    <t>N60000007721</t>
  </si>
  <si>
    <t>FOIL FLOYD EDWARD</t>
  </si>
  <si>
    <t>FOIL ANN ESSEX</t>
  </si>
  <si>
    <t>N60000007702</t>
  </si>
  <si>
    <t>G700000117</t>
  </si>
  <si>
    <t>G70000011704</t>
  </si>
  <si>
    <t>E700000155</t>
  </si>
  <si>
    <t>WINDSOR JERRY M</t>
  </si>
  <si>
    <t>VITTI CAROLYN</t>
  </si>
  <si>
    <t>708 BELL FARM ROAD</t>
  </si>
  <si>
    <t>I4120B0017</t>
  </si>
  <si>
    <t>CHURCH KILBY PAYNE</t>
  </si>
  <si>
    <t>373 WILKESBORO STREET</t>
  </si>
  <si>
    <t>I4120B0010</t>
  </si>
  <si>
    <t>D70000020401</t>
  </si>
  <si>
    <t>UNCHARTED PROPERTIES LLC</t>
  </si>
  <si>
    <t>E900000381</t>
  </si>
  <si>
    <t>STILLSON ROXANNE</t>
  </si>
  <si>
    <t>127 N WILDCAT RUN COURT</t>
  </si>
  <si>
    <t>E900000389</t>
  </si>
  <si>
    <t>BROWN JOSHUA DANIEL</t>
  </si>
  <si>
    <t>BROWN JESSICA HILYARD</t>
  </si>
  <si>
    <t>260 BROADMOOR DRIVE</t>
  </si>
  <si>
    <t>I400000097</t>
  </si>
  <si>
    <t>ROSEN MOCKSVILLE LLC</t>
  </si>
  <si>
    <t>% EASLEY MCCALEB &amp; ASSOC INC</t>
  </si>
  <si>
    <t>PO BOX 334</t>
  </si>
  <si>
    <t>LENOX HILL STATION</t>
  </si>
  <si>
    <t>NEW YORK</t>
  </si>
  <si>
    <t>10021-0000</t>
  </si>
  <si>
    <t>I400000098</t>
  </si>
  <si>
    <t>E900000537</t>
  </si>
  <si>
    <t>FASOLA CARLOS</t>
  </si>
  <si>
    <t>PALAVECINO ELIZABETH</t>
  </si>
  <si>
    <t>221 N HIDDENBROOKE DRIVE</t>
  </si>
  <si>
    <t>L4130A0006</t>
  </si>
  <si>
    <t>SPAUGH NORMA EVERHART</t>
  </si>
  <si>
    <t>ROBBINS LINDA JOAN</t>
  </si>
  <si>
    <t>1089 DANIEL ROAD</t>
  </si>
  <si>
    <t>C500000108</t>
  </si>
  <si>
    <t>STEELE GARRY A</t>
  </si>
  <si>
    <t>STEELE SHERRY E</t>
  </si>
  <si>
    <t>1827 FARMINGTON ROAD</t>
  </si>
  <si>
    <t>J4040C0003</t>
  </si>
  <si>
    <t>BROADWAY ALEX ZANE</t>
  </si>
  <si>
    <t>BROADWAY ANGELA MORRIS</t>
  </si>
  <si>
    <t>342 S SALISBURY STREET</t>
  </si>
  <si>
    <t>C400000024</t>
  </si>
  <si>
    <t>BRAUN MATTHEW</t>
  </si>
  <si>
    <t>SIMMERSON SUSAN</t>
  </si>
  <si>
    <t>3832 NC HWY 801 N</t>
  </si>
  <si>
    <t>D8020A0012</t>
  </si>
  <si>
    <t>HAYES GRAHAM M</t>
  </si>
  <si>
    <t>HAYES CHANTAL</t>
  </si>
  <si>
    <t>223 IVY CIRCLE</t>
  </si>
  <si>
    <t>H600000006</t>
  </si>
  <si>
    <t>FOSTER SCOTTY ALVIN</t>
  </si>
  <si>
    <t>FOSTER FELICIA WILLIAMS</t>
  </si>
  <si>
    <t>1451 MILLING ROAD</t>
  </si>
  <si>
    <t>E900000718</t>
  </si>
  <si>
    <t>HELMS MARVIN JR</t>
  </si>
  <si>
    <t>HELMS MARIE</t>
  </si>
  <si>
    <t>196 SAWGRASS DRIVE</t>
  </si>
  <si>
    <t>C300000112</t>
  </si>
  <si>
    <t>BLAKLEY TONY A JR</t>
  </si>
  <si>
    <t>BLAKLEY KAREN B</t>
  </si>
  <si>
    <t>228 JACK BOOE ROAD</t>
  </si>
  <si>
    <t>H900000036</t>
  </si>
  <si>
    <t>H900000038</t>
  </si>
  <si>
    <t>D9010B0006</t>
  </si>
  <si>
    <t>ARFMANN DOUGLAS T</t>
  </si>
  <si>
    <t>120 WARWICKE PLACE</t>
  </si>
  <si>
    <t>C8040A0730</t>
  </si>
  <si>
    <t>BRYDGES CHARLES H IRREV TRUST</t>
  </si>
  <si>
    <t>BRYDGES JUDITH IRREV TRUST</t>
  </si>
  <si>
    <t>176 OLD TOWNE DRIVE</t>
  </si>
  <si>
    <t>F60000005312</t>
  </si>
  <si>
    <t>SPRINKLE SEAN MARTIN</t>
  </si>
  <si>
    <t>SPRINKLE HA MINH</t>
  </si>
  <si>
    <t>306 BIG OAK LANE</t>
  </si>
  <si>
    <t>G300000029</t>
  </si>
  <si>
    <t>HOGLEN JONNY LEE</t>
  </si>
  <si>
    <t>HOGLEN SHERRY LEE</t>
  </si>
  <si>
    <t>175 IJAMES CHURCH RD</t>
  </si>
  <si>
    <t>L5100B0013</t>
  </si>
  <si>
    <t>RENFRO JAMES W</t>
  </si>
  <si>
    <t>RENFRO LORAINE S</t>
  </si>
  <si>
    <t>2283 US HIGHWAY 601 SOUTH</t>
  </si>
  <si>
    <t>27028-6906</t>
  </si>
  <si>
    <t>G300000004</t>
  </si>
  <si>
    <t>MAKAS JERRY WAYNE</t>
  </si>
  <si>
    <t>476 IJAMES CHURCH ROAD</t>
  </si>
  <si>
    <t>N5010B0012</t>
  </si>
  <si>
    <t>FOWLER RICHARD DAVID</t>
  </si>
  <si>
    <t>FOWLER BOBBIE ANN</t>
  </si>
  <si>
    <t>PO BOX 404</t>
  </si>
  <si>
    <t>K70000002202</t>
  </si>
  <si>
    <t>STANBERRY MARESA J</t>
  </si>
  <si>
    <t>690 CEDAR GROVE CH ROAD</t>
  </si>
  <si>
    <t>H5180A0005</t>
  </si>
  <si>
    <t>BOGARD JUSTIN</t>
  </si>
  <si>
    <t>BOGARD VALERIE</t>
  </si>
  <si>
    <t>123 MAPLE KNOLL ROAD</t>
  </si>
  <si>
    <t>C80000017701</t>
  </si>
  <si>
    <t>MBHF PROPERTIES LLC</t>
  </si>
  <si>
    <t>288 NORTH HIDDENBROOK DR</t>
  </si>
  <si>
    <t>I5160A0029</t>
  </si>
  <si>
    <t>NGO CHINH QUANG</t>
  </si>
  <si>
    <t>HUYNH ANWNGUYET THI</t>
  </si>
  <si>
    <t>1094 YADKINVILLE RD</t>
  </si>
  <si>
    <t>J200000037</t>
  </si>
  <si>
    <t>CARTNER JAMES RAYFORD</t>
  </si>
  <si>
    <t>430 WATERS RD</t>
  </si>
  <si>
    <t>I20000000608</t>
  </si>
  <si>
    <t>GRAHAM ERICA DANIELLE CHURCH</t>
  </si>
  <si>
    <t>GRAHAM RANDAL PATRICK</t>
  </si>
  <si>
    <t>157 DAVIE FARMS TRL</t>
  </si>
  <si>
    <t>I4020A0007</t>
  </si>
  <si>
    <t>H5160A0010</t>
  </si>
  <si>
    <t>HOPPES TONY DALE</t>
  </si>
  <si>
    <t>HOPPES DAWN PERKINS</t>
  </si>
  <si>
    <t>138 E KNOLL BROOK</t>
  </si>
  <si>
    <t>D30000003806</t>
  </si>
  <si>
    <t>EATON THOMAS LEROY JR</t>
  </si>
  <si>
    <t>EATON BEATA</t>
  </si>
  <si>
    <t>1321 EATONS CHURCH RD</t>
  </si>
  <si>
    <t>D300000038</t>
  </si>
  <si>
    <t>G600000105</t>
  </si>
  <si>
    <t>SMITH CHARLES PATRICK</t>
  </si>
  <si>
    <t>SMITH LORETTA A</t>
  </si>
  <si>
    <t>273 TRIPLE CREEK TRAIL</t>
  </si>
  <si>
    <t>J4040F0004</t>
  </si>
  <si>
    <t>I600000045</t>
  </si>
  <si>
    <t>SAUTER PATRICIA K</t>
  </si>
  <si>
    <t>215 CHESTNUT TRAIL</t>
  </si>
  <si>
    <t>H100000013</t>
  </si>
  <si>
    <t>MYERS DWIGHT LINNIE REV TRUST</t>
  </si>
  <si>
    <t>FBO BEATRIZ G MYERS</t>
  </si>
  <si>
    <t>% DONALD G BOWLES TRUSTEE</t>
  </si>
  <si>
    <t>B20000003402</t>
  </si>
  <si>
    <t>HEFNER JAMES M JR</t>
  </si>
  <si>
    <t>732 CHINQUAPIN ROAD</t>
  </si>
  <si>
    <t>B20000003801A</t>
  </si>
  <si>
    <t>B20000003401</t>
  </si>
  <si>
    <t>L5020A0036</t>
  </si>
  <si>
    <t>EATON JEFFREY W</t>
  </si>
  <si>
    <t>EATON ANN C</t>
  </si>
  <si>
    <t>1200 JERICHO CHURCH ROAD</t>
  </si>
  <si>
    <t>27028-2028</t>
  </si>
  <si>
    <t>L5020A001301</t>
  </si>
  <si>
    <t>J400000037</t>
  </si>
  <si>
    <t>J400000038</t>
  </si>
  <si>
    <t>EATON JEFFREY WHITENER</t>
  </si>
  <si>
    <t>EATON ANN CORUM</t>
  </si>
  <si>
    <t>E70000012704</t>
  </si>
  <si>
    <t>DAVIS RICKY GEORGE</t>
  </si>
  <si>
    <t>DAVIS STEPHANIE GREGORY</t>
  </si>
  <si>
    <t>219 DORSE RD</t>
  </si>
  <si>
    <t>N5080B0012</t>
  </si>
  <si>
    <t>MUNDAY RILLA H</t>
  </si>
  <si>
    <t>C200000014</t>
  </si>
  <si>
    <t>MILLER CURTIS</t>
  </si>
  <si>
    <t>MILLER JULIE</t>
  </si>
  <si>
    <t>210 SHEFFIELD FARMS TRAIL</t>
  </si>
  <si>
    <t>N60000002101</t>
  </si>
  <si>
    <t>OSBORNE EDGAR BRITT</t>
  </si>
  <si>
    <t>OSBORNE REBECCA W</t>
  </si>
  <si>
    <t>149 PINE RIDGE RD</t>
  </si>
  <si>
    <t>N600000020</t>
  </si>
  <si>
    <t>J5160A0004</t>
  </si>
  <si>
    <t>OSBORNE INVESTMENT PROPERTIES</t>
  </si>
  <si>
    <t>1083 SALISBURY RD</t>
  </si>
  <si>
    <t>I4130A0006</t>
  </si>
  <si>
    <t>AKERS ROSE R</t>
  </si>
  <si>
    <t>E8070A0019</t>
  </si>
  <si>
    <t>LOWISH MATHEW C</t>
  </si>
  <si>
    <t>LOWISH ANNE</t>
  </si>
  <si>
    <t>353 SERENITY HILLS TRL</t>
  </si>
  <si>
    <t>K50000009301</t>
  </si>
  <si>
    <t>ANDERSON LARRY T</t>
  </si>
  <si>
    <t>ANDERSON JANE R</t>
  </si>
  <si>
    <t>269 WALT WILSON ROAD</t>
  </si>
  <si>
    <t>E200000036  A</t>
  </si>
  <si>
    <t>BOWDEN NORMA R</t>
  </si>
  <si>
    <t>789 LIBERTY CHURCH ROAD</t>
  </si>
  <si>
    <t>D3010A0008</t>
  </si>
  <si>
    <t>BOLAND JOEL</t>
  </si>
  <si>
    <t>BOLAND CHRISTINA</t>
  </si>
  <si>
    <t>188 GREENFIELD ROAD</t>
  </si>
  <si>
    <t>I4110B000301</t>
  </si>
  <si>
    <t>RESCUE HOUSE CHURCH INC</t>
  </si>
  <si>
    <t>653 WILKESBORO STREET</t>
  </si>
  <si>
    <t>I1110E0009</t>
  </si>
  <si>
    <t>DEEL RANDI LEIGH</t>
  </si>
  <si>
    <t>121 OAKRIDGE LANE</t>
  </si>
  <si>
    <t>N5080B000104</t>
  </si>
  <si>
    <t>LAMBERT RAYMOND J</t>
  </si>
  <si>
    <t>LAMBERT MICHELLE L</t>
  </si>
  <si>
    <t>244 CENTER ST</t>
  </si>
  <si>
    <t>F20000002701</t>
  </si>
  <si>
    <t>BIRDSONG CHARLES WESTLEY</t>
  </si>
  <si>
    <t>BIRDSONG KAREN</t>
  </si>
  <si>
    <t>245 TALL TIMBERS DR</t>
  </si>
  <si>
    <t>M4130A0037</t>
  </si>
  <si>
    <t>MCMILLAN MARTHA PIPER</t>
  </si>
  <si>
    <t>C8010A0045</t>
  </si>
  <si>
    <t>PIPPIN ROBERT DUSTIN</t>
  </si>
  <si>
    <t>267 OLD TOWNE DRIVE</t>
  </si>
  <si>
    <t>B30000005208</t>
  </si>
  <si>
    <t>SPILLMAN ROGER BLAKE</t>
  </si>
  <si>
    <t>SPILLMAN ELIZABETH JOYCE</t>
  </si>
  <si>
    <t>248 BLEVINS ROAD</t>
  </si>
  <si>
    <t>I4010A0018</t>
  </si>
  <si>
    <t>XIAO JUNYOU</t>
  </si>
  <si>
    <t>LEI XIUQIN</t>
  </si>
  <si>
    <t>219 N WENTWORTH DRIVE</t>
  </si>
  <si>
    <t>L800000021</t>
  </si>
  <si>
    <t>GOBBLE TOMMY LEE</t>
  </si>
  <si>
    <t>GOBBLE TINA WINEBARGER</t>
  </si>
  <si>
    <t>231 RIVERBIEW RD</t>
  </si>
  <si>
    <t>K5150A0004</t>
  </si>
  <si>
    <t>CONNER BENJAMIN ETAL</t>
  </si>
  <si>
    <t>CONNER ASHTON WHITTAKER</t>
  </si>
  <si>
    <t>E300000008</t>
  </si>
  <si>
    <t>THOMPSON MARY CARTER</t>
  </si>
  <si>
    <t>490 LIBERTY CHURCH ROAD</t>
  </si>
  <si>
    <t>I10000002901</t>
  </si>
  <si>
    <t>BRZESCINSKI KRISTOPHER</t>
  </si>
  <si>
    <t>JOHNSTON MARISSA L</t>
  </si>
  <si>
    <t>1784 GODBEY ROAD</t>
  </si>
  <si>
    <t>I100000029</t>
  </si>
  <si>
    <t>C600000007</t>
  </si>
  <si>
    <t>MCBRIDE JOHNSON A JR</t>
  </si>
  <si>
    <t>C600000006</t>
  </si>
  <si>
    <t>B20000004505</t>
  </si>
  <si>
    <t>MCEWEN TOMMEY DEAN</t>
  </si>
  <si>
    <t>520 CHINQUAPIN ROAD</t>
  </si>
  <si>
    <t>E9150B0083</t>
  </si>
  <si>
    <t>SMALL RONALD</t>
  </si>
  <si>
    <t>SMALL PAMELA</t>
  </si>
  <si>
    <t>230 ORCHARD PARK DRIVE</t>
  </si>
  <si>
    <t>G900000030</t>
  </si>
  <si>
    <t>BERG SANDRA</t>
  </si>
  <si>
    <t>FUHS NICK</t>
  </si>
  <si>
    <t>PO BOX 119</t>
  </si>
  <si>
    <t>C8030A001503</t>
  </si>
  <si>
    <t>MCFARLAND WESLEY</t>
  </si>
  <si>
    <t>127 PINEWOOD LANE #103</t>
  </si>
  <si>
    <t>C8010A0287</t>
  </si>
  <si>
    <t>OLIVER MORGAN M</t>
  </si>
  <si>
    <t>OLIVER STEPHANIE B</t>
  </si>
  <si>
    <t>151 N FORKE DRIVE</t>
  </si>
  <si>
    <t>J7010A0013</t>
  </si>
  <si>
    <t>HARBOUR JASON</t>
  </si>
  <si>
    <t>HARBOUR CHRISTINE</t>
  </si>
  <si>
    <t>180 HICKORY TREE ROAD</t>
  </si>
  <si>
    <t>J6050A0004</t>
  </si>
  <si>
    <t>KLIMKOSKY ALEXANDER THEODORE</t>
  </si>
  <si>
    <t>KLIMKOSKY KATHERINE MICHELLE</t>
  </si>
  <si>
    <t>212 PINE VALLEY RD</t>
  </si>
  <si>
    <t>J5020A0003</t>
  </si>
  <si>
    <t>SWARTZ CHARLES A</t>
  </si>
  <si>
    <t>SWARTZ CONNIE F</t>
  </si>
  <si>
    <t>170 E LAKE DR</t>
  </si>
  <si>
    <t>27028-0004</t>
  </si>
  <si>
    <t>M5070A0003</t>
  </si>
  <si>
    <t>GRUBB HELEN M</t>
  </si>
  <si>
    <t>7340 NC HIGHWAY 801 S</t>
  </si>
  <si>
    <t>C80000017706</t>
  </si>
  <si>
    <t>J40000003102</t>
  </si>
  <si>
    <t>AVGOL AMERICA INC</t>
  </si>
  <si>
    <t>178 AVGOL DRIVE</t>
  </si>
  <si>
    <t>F60000011207</t>
  </si>
  <si>
    <t>SMITH ALICE PACKWOOD</t>
  </si>
  <si>
    <t>440 HOWARDTOWN CIRCLE</t>
  </si>
  <si>
    <t>I4120C0018</t>
  </si>
  <si>
    <t>DYSON DENNIS C</t>
  </si>
  <si>
    <t>DYSON ANN C</t>
  </si>
  <si>
    <t>D30000003803</t>
  </si>
  <si>
    <t>H4130A0058</t>
  </si>
  <si>
    <t>GLEASON JAMES G</t>
  </si>
  <si>
    <t>191 SUMMIT DRIVE</t>
  </si>
  <si>
    <t>B20000003403</t>
  </si>
  <si>
    <t>E8060B0002</t>
  </si>
  <si>
    <t>BIELSKI JAMES</t>
  </si>
  <si>
    <t>BIELSKI JOAN L</t>
  </si>
  <si>
    <t>M5100B0020</t>
  </si>
  <si>
    <t>K500000096</t>
  </si>
  <si>
    <t>E700000075</t>
  </si>
  <si>
    <t>SANDS BRANDYN</t>
  </si>
  <si>
    <t>SANDS ASHLEY</t>
  </si>
  <si>
    <t>121 LEONA WAY</t>
  </si>
  <si>
    <t>F50000000204</t>
  </si>
  <si>
    <t>BAILEY JANSEN P</t>
  </si>
  <si>
    <t>173 ASHLEY LANE</t>
  </si>
  <si>
    <t>C8030C0004</t>
  </si>
  <si>
    <t>DOSS AMANDA</t>
  </si>
  <si>
    <t>2213 HELTON ROAD</t>
  </si>
  <si>
    <t>C8010A0196</t>
  </si>
  <si>
    <t>JACKSON JASON R</t>
  </si>
  <si>
    <t>JACKSON ANGELIQUE C</t>
  </si>
  <si>
    <t>119 LAKESIDE CROSSING</t>
  </si>
  <si>
    <t>L4050A0004</t>
  </si>
  <si>
    <t>GRANADERO LUCIO</t>
  </si>
  <si>
    <t>316 TOT ST</t>
  </si>
  <si>
    <t>C8010A0214</t>
  </si>
  <si>
    <t>CHILDRESS JARED</t>
  </si>
  <si>
    <t>CHILDRESS JENNIFER</t>
  </si>
  <si>
    <t>170 N FORKE DR</t>
  </si>
  <si>
    <t>J20000001505</t>
  </si>
  <si>
    <t>DAVIS CALEB GARRETT</t>
  </si>
  <si>
    <t>DAVIS SARA SNOW</t>
  </si>
  <si>
    <t>E900000713</t>
  </si>
  <si>
    <t>JONES CHRISTOPHER W</t>
  </si>
  <si>
    <t>JONES LISA M</t>
  </si>
  <si>
    <t>241 SAWGRASS DRIVE</t>
  </si>
  <si>
    <t>J700000049</t>
  </si>
  <si>
    <t>MERRELL WILSON F ETAL</t>
  </si>
  <si>
    <t>%BETTY M BLAKLEY</t>
  </si>
  <si>
    <t>313 AUBREY MERRELL ROAD</t>
  </si>
  <si>
    <t>J7080B0024</t>
  </si>
  <si>
    <t>HINSON GERALD D</t>
  </si>
  <si>
    <t>HINSON MARY L</t>
  </si>
  <si>
    <t>115 SOUTH HAZELWOOD DRIVE</t>
  </si>
  <si>
    <t>G8140A0028</t>
  </si>
  <si>
    <t>BRETZKE MICHAEL JOHN</t>
  </si>
  <si>
    <t>BRETZKE LYNDSAY</t>
  </si>
  <si>
    <t>118 CRESTWOOD COURT</t>
  </si>
  <si>
    <t>H8060A0035</t>
  </si>
  <si>
    <t>MEANS LANDON</t>
  </si>
  <si>
    <t>MEANS RACHEL N</t>
  </si>
  <si>
    <t>143 S HEMINGWAY COURT</t>
  </si>
  <si>
    <t>K50000006801</t>
  </si>
  <si>
    <t>EVERETT ANN MARY</t>
  </si>
  <si>
    <t>EVERETT MARK D</t>
  </si>
  <si>
    <t>496 WILL BOONE ROAD</t>
  </si>
  <si>
    <t>G80000000501</t>
  </si>
  <si>
    <t>STYERS RICKY J</t>
  </si>
  <si>
    <t>STYERS MARY ANN</t>
  </si>
  <si>
    <t>219 BEAUCHAMP ROAD</t>
  </si>
  <si>
    <t>27006-7165</t>
  </si>
  <si>
    <t>E8100B000101</t>
  </si>
  <si>
    <t>AGNER JOEL AUGUSTUS</t>
  </si>
  <si>
    <t>AGNER SAMANTHA MARIE</t>
  </si>
  <si>
    <t>1727 UNDERPASS ROAD</t>
  </si>
  <si>
    <t>J4110A0003</t>
  </si>
  <si>
    <t>260 WINDING CREEK</t>
  </si>
  <si>
    <t>27028-2671</t>
  </si>
  <si>
    <t>H30000009204</t>
  </si>
  <si>
    <t>WAKE FOREST UNIVERSITY</t>
  </si>
  <si>
    <t>H30000009205</t>
  </si>
  <si>
    <t>H40000000607</t>
  </si>
  <si>
    <t>K5010A0019</t>
  </si>
  <si>
    <t>GRAHAM JERRY M SR</t>
  </si>
  <si>
    <t>GRAHAM BETTY L</t>
  </si>
  <si>
    <t>162 ROLLINGWOOD DRIVE</t>
  </si>
  <si>
    <t>K5120A0005</t>
  </si>
  <si>
    <t>WHISENHUNT DONNA M</t>
  </si>
  <si>
    <t>734 WILL BOONE ROAD</t>
  </si>
  <si>
    <t>C20000001001</t>
  </si>
  <si>
    <t>WYATT CHARLES E JR</t>
  </si>
  <si>
    <t>WYATT ASHLEY</t>
  </si>
  <si>
    <t>104 STARLIGHT LANE</t>
  </si>
  <si>
    <t>C20000001004</t>
  </si>
  <si>
    <t>E9150B0058</t>
  </si>
  <si>
    <t>GRAHAM THOMAS H</t>
  </si>
  <si>
    <t>GRAHAM BRENDA E</t>
  </si>
  <si>
    <t>240 SYCAMORE RIDGE DRIVE</t>
  </si>
  <si>
    <t>E800000003</t>
  </si>
  <si>
    <t>MIKULANINEC PAULETTE AGHA</t>
  </si>
  <si>
    <t>828 BEAUCHAMP ROAD</t>
  </si>
  <si>
    <t>J100000017</t>
  </si>
  <si>
    <t>CARTNER TONY ALEXANDER</t>
  </si>
  <si>
    <t>4244 US HWY 64 W</t>
  </si>
  <si>
    <t>K200000010</t>
  </si>
  <si>
    <t>LAMBERT HAZEL J</t>
  </si>
  <si>
    <t>1014 RIDGE ROAD</t>
  </si>
  <si>
    <t>K5090A0034</t>
  </si>
  <si>
    <t>BARBEE CRYSTAL COOK</t>
  </si>
  <si>
    <t>MULLIS SHERWOOD ALLEN</t>
  </si>
  <si>
    <t>119 LAKEWOOD CIRCLE</t>
  </si>
  <si>
    <t>H8050A0007</t>
  </si>
  <si>
    <t>KRAUSE ANDREW A</t>
  </si>
  <si>
    <t>KRAUSE HEATHER F</t>
  </si>
  <si>
    <t>186 SHADY GROVE LANE</t>
  </si>
  <si>
    <t>J7080B0015</t>
  </si>
  <si>
    <t>RESTIVO ROYCE S</t>
  </si>
  <si>
    <t>RESTIVO CAROLINE J</t>
  </si>
  <si>
    <t>179 NORTH HAZELWOOD DRIVE</t>
  </si>
  <si>
    <t>I4140B0016</t>
  </si>
  <si>
    <t>WALL WILLIAM B</t>
  </si>
  <si>
    <t>WALL SUSAN H</t>
  </si>
  <si>
    <t>380 RAYMOND STREET</t>
  </si>
  <si>
    <t>J80000000902</t>
  </si>
  <si>
    <t>BLAIKIE AUDREE MILLS</t>
  </si>
  <si>
    <t>152 FULTON ROAD</t>
  </si>
  <si>
    <t>27006-7265</t>
  </si>
  <si>
    <t>J7120A0015</t>
  </si>
  <si>
    <t>C70000013401</t>
  </si>
  <si>
    <t>HOTTEL ROBERT E JR</t>
  </si>
  <si>
    <t>HOTTEL CYNTHIA NAIL</t>
  </si>
  <si>
    <t>154 KERR LANE</t>
  </si>
  <si>
    <t>B20000003101</t>
  </si>
  <si>
    <t>WILSON ERIC LEE</t>
  </si>
  <si>
    <t>WILSON SUSAN GROCE</t>
  </si>
  <si>
    <t>653 BELL BRANCH ROAD</t>
  </si>
  <si>
    <t>C70000007901</t>
  </si>
  <si>
    <t>HODGES AMY</t>
  </si>
  <si>
    <t>HODGES EVAN</t>
  </si>
  <si>
    <t>813 NC HWY 801 N</t>
  </si>
  <si>
    <t>H30000009203</t>
  </si>
  <si>
    <t>K5120A0009</t>
  </si>
  <si>
    <t>I4060B001601</t>
  </si>
  <si>
    <t>ROBERTS DANA</t>
  </si>
  <si>
    <t>223 MUMFORD DRIVE</t>
  </si>
  <si>
    <t>I6140A0048</t>
  </si>
  <si>
    <t>THURLOW BRIAN A</t>
  </si>
  <si>
    <t>THURLOW KRISTA J</t>
  </si>
  <si>
    <t>434 CORNATZER ROAD</t>
  </si>
  <si>
    <t>J60000004705</t>
  </si>
  <si>
    <t>WALLACE PEGGY T</t>
  </si>
  <si>
    <t>125 FAIRFAX LANE</t>
  </si>
  <si>
    <t>J600000047</t>
  </si>
  <si>
    <t>E900000585</t>
  </si>
  <si>
    <t>LUCKETT DOUGLAS T</t>
  </si>
  <si>
    <t>LUCKETT PATTERSON MOON</t>
  </si>
  <si>
    <t>133 OLD COURSE DRIVE</t>
  </si>
  <si>
    <t>E900000265</t>
  </si>
  <si>
    <t>BELLOMO JOSEPH D</t>
  </si>
  <si>
    <t>BELLOMO BRENDA</t>
  </si>
  <si>
    <t>170 SEAY DRIVE</t>
  </si>
  <si>
    <t>J30000002302</t>
  </si>
  <si>
    <t>THE CATHEDRAL OF GRACE OF THE APOSTOLIC FAITH INC</t>
  </si>
  <si>
    <t>817 GREENHILL ROAD</t>
  </si>
  <si>
    <t>E80000001304</t>
  </si>
  <si>
    <t>CARLSON GREGG LOUIS</t>
  </si>
  <si>
    <t>CARLSON PAMELA ANN</t>
  </si>
  <si>
    <t>206 LYBROOK ROAD</t>
  </si>
  <si>
    <t>K8100A0024</t>
  </si>
  <si>
    <t>REDMOND TIMOTHY O</t>
  </si>
  <si>
    <t>MAYFIELD DANETTE</t>
  </si>
  <si>
    <t>129 STILL WATERS DRIVE</t>
  </si>
  <si>
    <t>K200000012</t>
  </si>
  <si>
    <t>WWD PROPERTIES LLC</t>
  </si>
  <si>
    <t>701 WILLIAMS ROAD</t>
  </si>
  <si>
    <t>I70000004313</t>
  </si>
  <si>
    <t>I70000004312</t>
  </si>
  <si>
    <t>K50000009307</t>
  </si>
  <si>
    <t>HUTCHINS DAVID</t>
  </si>
  <si>
    <t>HUTCHINS CHRISTINE</t>
  </si>
  <si>
    <t>131 WALT WILSON ROAD</t>
  </si>
  <si>
    <t>D8070D0043</t>
  </si>
  <si>
    <t>ARCURE DOUGLAS</t>
  </si>
  <si>
    <t>ARCURE MARY</t>
  </si>
  <si>
    <t>128 FAIRWAY DRIVE</t>
  </si>
  <si>
    <t>H4140A0011</t>
  </si>
  <si>
    <t>EVANS MATTHEW SPENCER</t>
  </si>
  <si>
    <t>EVANS TIFFANY TURNER</t>
  </si>
  <si>
    <t>129 FERNWOOD LANE</t>
  </si>
  <si>
    <t>G500000038</t>
  </si>
  <si>
    <t>ROBERTSON CHARLES</t>
  </si>
  <si>
    <t>ROBERTSON AMY</t>
  </si>
  <si>
    <t>2231 US HWY 158</t>
  </si>
  <si>
    <t>N5010A0027</t>
  </si>
  <si>
    <t>MCBRIDE CURTIS DALE</t>
  </si>
  <si>
    <t>3350 VALLEY ROAD</t>
  </si>
  <si>
    <t>I5090C0037</t>
  </si>
  <si>
    <t>E900000197</t>
  </si>
  <si>
    <t>DEES TRINA D</t>
  </si>
  <si>
    <t>138 LONETREE CIRCLE</t>
  </si>
  <si>
    <t>J600000020</t>
  </si>
  <si>
    <t>J60000002007A</t>
  </si>
  <si>
    <t>J600000016</t>
  </si>
  <si>
    <t>H40000009401</t>
  </si>
  <si>
    <t>GINTHER ROBERT EVERETTE</t>
  </si>
  <si>
    <t>GINTHER CINDY EDWARDS</t>
  </si>
  <si>
    <t>339 KOONTZ ROAD</t>
  </si>
  <si>
    <t>27028-1917</t>
  </si>
  <si>
    <t>M5160A0008</t>
  </si>
  <si>
    <t>SMITH CHRISTINA D</t>
  </si>
  <si>
    <t>P O BOX 455</t>
  </si>
  <si>
    <t>M5160A000801</t>
  </si>
  <si>
    <t>K5070A0013</t>
  </si>
  <si>
    <t>LONG TABITHA</t>
  </si>
  <si>
    <t>LONG JOHNNY WAYNE</t>
  </si>
  <si>
    <t>219 REDWOOD DRIVE</t>
  </si>
  <si>
    <t>H9070A0014</t>
  </si>
  <si>
    <t>MCKISSICK SAMUEL A II</t>
  </si>
  <si>
    <t>MCKISSICK KRISTEN</t>
  </si>
  <si>
    <t>275 DUBLIN ROAD</t>
  </si>
  <si>
    <t>J300000014</t>
  </si>
  <si>
    <t>621 ALLSTAR LANE</t>
  </si>
  <si>
    <t>HENDERSONVILLE</t>
  </si>
  <si>
    <t>J300000013</t>
  </si>
  <si>
    <t>OBERMILLER COREY STEPHEN</t>
  </si>
  <si>
    <t>H4130A0093</t>
  </si>
  <si>
    <t>HUTCHERSON ALBERT R</t>
  </si>
  <si>
    <t>HUTCHERSON GLORIA O</t>
  </si>
  <si>
    <t>PO BOX 1042</t>
  </si>
  <si>
    <t>H4160A0003</t>
  </si>
  <si>
    <t>EVANS KATHERINE F</t>
  </si>
  <si>
    <t>391 MADISON ROAD</t>
  </si>
  <si>
    <t>H5200A0018</t>
  </si>
  <si>
    <t>DEROSE MARC STANLEY</t>
  </si>
  <si>
    <t>DEROSE DAWN METZLER</t>
  </si>
  <si>
    <t>125 DRAYTON COURT</t>
  </si>
  <si>
    <t>L40000000103</t>
  </si>
  <si>
    <t>CORRELL CHAD WEBSTER</t>
  </si>
  <si>
    <t>CORRELL AMANDA DWIGGINS</t>
  </si>
  <si>
    <t>631 BUCK SEAFORD ROAD</t>
  </si>
  <si>
    <t>D7010A0009</t>
  </si>
  <si>
    <t>BOWMAN J BARRY</t>
  </si>
  <si>
    <t>BOWMAN SUSAN D</t>
  </si>
  <si>
    <t>193 LITTLE JOHN ROAD</t>
  </si>
  <si>
    <t>I5170B0124</t>
  </si>
  <si>
    <t>BAITY PEGGY D</t>
  </si>
  <si>
    <t>124 WEST BRICK WALK COURT</t>
  </si>
  <si>
    <t>I4010A0049</t>
  </si>
  <si>
    <t>MOSLEY SHERI</t>
  </si>
  <si>
    <t>125 N WENTWORTH DRIVE</t>
  </si>
  <si>
    <t>G8140A0021</t>
  </si>
  <si>
    <t>ROSIER TAD A</t>
  </si>
  <si>
    <t>ROSIER JENNY L</t>
  </si>
  <si>
    <t>170 SCOTCH MOSS DRIVE</t>
  </si>
  <si>
    <t>J60000004704</t>
  </si>
  <si>
    <t>H5170A0002</t>
  </si>
  <si>
    <t>GLACKEN GERARD</t>
  </si>
  <si>
    <t>GLACKEN AUDREY C</t>
  </si>
  <si>
    <t>116 BLOSSOM HILL COURT</t>
  </si>
  <si>
    <t>K8100A0025</t>
  </si>
  <si>
    <t>E3070A0003</t>
  </si>
  <si>
    <t>HAMILTON TESSA R</t>
  </si>
  <si>
    <t>3526 US HIGHWAY 601 NORTH</t>
  </si>
  <si>
    <t>H4140A0002</t>
  </si>
  <si>
    <t>VAUGHN MATTHEW</t>
  </si>
  <si>
    <t>VAUGHN JESSICA</t>
  </si>
  <si>
    <t>339 IVY LANE</t>
  </si>
  <si>
    <t>F8030A0020</t>
  </si>
  <si>
    <t>MURPHY BRIAN P</t>
  </si>
  <si>
    <t>MURPHY KALA H</t>
  </si>
  <si>
    <t>249 ESSEX FARM ROAD</t>
  </si>
  <si>
    <t>F1030A0005</t>
  </si>
  <si>
    <t>WOODS RODGER S</t>
  </si>
  <si>
    <t>WOODS PATRICIA B</t>
  </si>
  <si>
    <t>138 MOLLIE ROAD</t>
  </si>
  <si>
    <t>I900000008</t>
  </si>
  <si>
    <t>SMALLEY CHRISTOPHER C</t>
  </si>
  <si>
    <t>SMALLEY LIANNE F</t>
  </si>
  <si>
    <t>414 BURTON ROAD</t>
  </si>
  <si>
    <t>I900000027</t>
  </si>
  <si>
    <t>N5010C0037</t>
  </si>
  <si>
    <t>O'NEAL AARON G</t>
  </si>
  <si>
    <t>PO BOX 851</t>
  </si>
  <si>
    <t>M5160B0032</t>
  </si>
  <si>
    <t>M5160B0033</t>
  </si>
  <si>
    <t>N5080A0012</t>
  </si>
  <si>
    <t>N5010C0064</t>
  </si>
  <si>
    <t>N5080A0007</t>
  </si>
  <si>
    <t>N5010C0063</t>
  </si>
  <si>
    <t>M5100C0017</t>
  </si>
  <si>
    <t>I5090A0008</t>
  </si>
  <si>
    <t>DOTSON JUSTIN LEE</t>
  </si>
  <si>
    <t>DOTSON LAURA BETH</t>
  </si>
  <si>
    <t>250 PARK AVENUE</t>
  </si>
  <si>
    <t>E20000001902</t>
  </si>
  <si>
    <t>WHITTAKER CLARK THOMAS</t>
  </si>
  <si>
    <t>926 DUKE WHITTAKER ROAD</t>
  </si>
  <si>
    <t>D9010D0007</t>
  </si>
  <si>
    <t>OTTI WALTER</t>
  </si>
  <si>
    <t>OTTI GLORIA</t>
  </si>
  <si>
    <t>176 HAMILTON COURT</t>
  </si>
  <si>
    <t>G800000228</t>
  </si>
  <si>
    <t>SIMMONS EDWARD E</t>
  </si>
  <si>
    <t>SIMMONS LISA L</t>
  </si>
  <si>
    <t>145 RABBIT FARM TRAIL</t>
  </si>
  <si>
    <t>J7080B0027</t>
  </si>
  <si>
    <t>BRELIG WILLIAM D</t>
  </si>
  <si>
    <t>BRELIG JULIA W</t>
  </si>
  <si>
    <t>143 S HAZELWOOD DRIVE</t>
  </si>
  <si>
    <t>G8140A0015</t>
  </si>
  <si>
    <t>BROWN SAMUEL A</t>
  </si>
  <si>
    <t>BROWN KATHARINE</t>
  </si>
  <si>
    <t>112 SCOTCH MOSS DRIVE</t>
  </si>
  <si>
    <t>D700000072</t>
  </si>
  <si>
    <t>CORRELL DARIAN P</t>
  </si>
  <si>
    <t>1270 RAINBOW ROAD</t>
  </si>
  <si>
    <t>E70000003302</t>
  </si>
  <si>
    <t>EASTWOOD JONATHAN M</t>
  </si>
  <si>
    <t>EASTWOOD DREAMA S</t>
  </si>
  <si>
    <t>194 REDLAND ROAD</t>
  </si>
  <si>
    <t>E6110A0021</t>
  </si>
  <si>
    <t>WALKER TIFFANY K</t>
  </si>
  <si>
    <t>177 FOX RUN DRIVE</t>
  </si>
  <si>
    <t>I5160B0019</t>
  </si>
  <si>
    <t>JOHNSON HARRIET Y</t>
  </si>
  <si>
    <t>1826 BECON RIDGE RD APT 213</t>
  </si>
  <si>
    <t>28210-0000</t>
  </si>
  <si>
    <t>JOHNSON HARRIET  Y</t>
  </si>
  <si>
    <t>E700000121</t>
  </si>
  <si>
    <t>NICHOLSON ANDREW BLAINE</t>
  </si>
  <si>
    <t>NICHOLSON VICTORIA POPE</t>
  </si>
  <si>
    <t>538 BALTIMORE ROAD</t>
  </si>
  <si>
    <t>J4110A0008</t>
  </si>
  <si>
    <t>BROWN JACQUELINE R</t>
  </si>
  <si>
    <t>972 HARDISON ST</t>
  </si>
  <si>
    <t>J5050A0003</t>
  </si>
  <si>
    <t>HUDSON JOHNNIE L</t>
  </si>
  <si>
    <t>HUDSON BARBARA J</t>
  </si>
  <si>
    <t>522 EAST LAKE DRIVE</t>
  </si>
  <si>
    <t>H7030A004501</t>
  </si>
  <si>
    <t>MABE WILLIAM L JR</t>
  </si>
  <si>
    <t>MABE ALICIA R</t>
  </si>
  <si>
    <t>1637 FORK BIXBY ROAD</t>
  </si>
  <si>
    <t>E600000033</t>
  </si>
  <si>
    <t>HANES CHARLIE CRAIG</t>
  </si>
  <si>
    <t>HANES MARIE G</t>
  </si>
  <si>
    <t>163 LIVINGSTON ROAD</t>
  </si>
  <si>
    <t>E7060A0010</t>
  </si>
  <si>
    <t>CHESSON JAMES</t>
  </si>
  <si>
    <t>CHESSON REBECCA ANNE</t>
  </si>
  <si>
    <t>142 WINCHESTER ROAD</t>
  </si>
  <si>
    <t>H4130A0050</t>
  </si>
  <si>
    <t>SHEEDER JONATHAN A</t>
  </si>
  <si>
    <t>108 ASH DRIVE</t>
  </si>
  <si>
    <t>H8060A0051</t>
  </si>
  <si>
    <t>LEWIS CARL</t>
  </si>
  <si>
    <t>LEWIS SARAH</t>
  </si>
  <si>
    <t>113 ROXBURY COURT</t>
  </si>
  <si>
    <t>H9080A0014</t>
  </si>
  <si>
    <t>SMITH DUSTIN C</t>
  </si>
  <si>
    <t>SMITH DONNA M</t>
  </si>
  <si>
    <t>181 FALLINGCREEK DRIVE</t>
  </si>
  <si>
    <t>E600000034</t>
  </si>
  <si>
    <t>E600000044</t>
  </si>
  <si>
    <t>E900000505</t>
  </si>
  <si>
    <t>PENNY KAITLYN</t>
  </si>
  <si>
    <t>PENNY DANIEL SEAN</t>
  </si>
  <si>
    <t>125 AUGUSTA COURT</t>
  </si>
  <si>
    <t>G90000000807</t>
  </si>
  <si>
    <t>HOOTS JAMES E</t>
  </si>
  <si>
    <t>HOOTS SIDNEY F JR</t>
  </si>
  <si>
    <t>306 SHERWOOD FOREST RD</t>
  </si>
  <si>
    <t>D7010A0024</t>
  </si>
  <si>
    <t>HOOTS JAMES BRADLEY</t>
  </si>
  <si>
    <t>HOOTS BETTY A</t>
  </si>
  <si>
    <t>146 LITTLE JOHN DRIVE</t>
  </si>
  <si>
    <t>N4040A0024</t>
  </si>
  <si>
    <t>TAYLOR GARY</t>
  </si>
  <si>
    <t>C8010B0378</t>
  </si>
  <si>
    <t>BERMUDEZ SHERYL</t>
  </si>
  <si>
    <t>212 KILBOURNE DRIVE</t>
  </si>
  <si>
    <t>D9090B0004</t>
  </si>
  <si>
    <t>REILLY DAVID H</t>
  </si>
  <si>
    <t>REILLY JEAN L</t>
  </si>
  <si>
    <t>160 OLEANDER DRIVE</t>
  </si>
  <si>
    <t>E9150A0057</t>
  </si>
  <si>
    <t>CLAYTON MICHAEL</t>
  </si>
  <si>
    <t>CLAYTON WHITNEY</t>
  </si>
  <si>
    <t>166 FIELDWOOD DRIVE</t>
  </si>
  <si>
    <t>CLAYTON  WHITNEY</t>
  </si>
  <si>
    <t>D9050C0035</t>
  </si>
  <si>
    <t>HILL FRANCES F</t>
  </si>
  <si>
    <t>2330 BERMUDA VILLAGE DRIVE</t>
  </si>
  <si>
    <t>H20000004801</t>
  </si>
  <si>
    <t>IJAMES MINNIE R</t>
  </si>
  <si>
    <t>1816 FACULTY DRIVE</t>
  </si>
  <si>
    <t>I90000000703</t>
  </si>
  <si>
    <t>E20000001904</t>
  </si>
  <si>
    <t>E100000029</t>
  </si>
  <si>
    <t>SHOFFNER ROY R</t>
  </si>
  <si>
    <t>SHOFFNER DIANE H</t>
  </si>
  <si>
    <t>316 ROCK SPRINGS ROAD</t>
  </si>
  <si>
    <t>B60000001305</t>
  </si>
  <si>
    <t>E30000001201</t>
  </si>
  <si>
    <t>DULL DEBORAH E</t>
  </si>
  <si>
    <t>F</t>
  </si>
  <si>
    <t>D20000000701</t>
  </si>
  <si>
    <t>CLINE HOPE ANNE</t>
  </si>
  <si>
    <t>D8080C000502</t>
  </si>
  <si>
    <t>FAMILY FUTURES INC</t>
  </si>
  <si>
    <t>PO BOX 1159</t>
  </si>
  <si>
    <t>DEERFIELD</t>
  </si>
  <si>
    <t>IL</t>
  </si>
  <si>
    <t>D8080C0004</t>
  </si>
  <si>
    <t>H800000036</t>
  </si>
  <si>
    <t>ROBERTSON ERIN R</t>
  </si>
  <si>
    <t>2633 S NC HWY 801</t>
  </si>
  <si>
    <t>F300000020</t>
  </si>
  <si>
    <t>ROSE JARED RAYMOND</t>
  </si>
  <si>
    <t>207 RALPH RATLEDGE</t>
  </si>
  <si>
    <t>E400000021</t>
  </si>
  <si>
    <t>GRONINGER STEPAN</t>
  </si>
  <si>
    <t>GRONINGER WENDY</t>
  </si>
  <si>
    <t>1608 ANGELL ROAD</t>
  </si>
  <si>
    <t>E400000020</t>
  </si>
  <si>
    <t>I500000045</t>
  </si>
  <si>
    <t>WOODRING TY GRADEN</t>
  </si>
  <si>
    <t>WOODRING CORRI MILSAP</t>
  </si>
  <si>
    <t>289 JOHN CROTTS ROAD</t>
  </si>
  <si>
    <t>M400000057</t>
  </si>
  <si>
    <t>PRUITT JOHN G</t>
  </si>
  <si>
    <t>PRUITT DEBORAH A</t>
  </si>
  <si>
    <t>PO BOX 387</t>
  </si>
  <si>
    <t>27014-0387</t>
  </si>
  <si>
    <t>J7080B0039</t>
  </si>
  <si>
    <t>DAVES JERRY WILLIAM</t>
  </si>
  <si>
    <t>DAVES SANDRA GAIL</t>
  </si>
  <si>
    <t>133 OAKSHIRE COURT</t>
  </si>
  <si>
    <t>H5170A0062</t>
  </si>
  <si>
    <t>HALL CHARLES DANIEL</t>
  </si>
  <si>
    <t>HALL TABITHA S</t>
  </si>
  <si>
    <t>107 ARBOR HILL AVENUE</t>
  </si>
  <si>
    <t>I4120D0031</t>
  </si>
  <si>
    <t>FUNDERBURK ROGER Q</t>
  </si>
  <si>
    <t>FUNDERBURK KELLY C</t>
  </si>
  <si>
    <t>384 PARK AVENUE</t>
  </si>
  <si>
    <t>J10000004802</t>
  </si>
  <si>
    <t>MICHELS FRANK</t>
  </si>
  <si>
    <t>MICHELS THELMA</t>
  </si>
  <si>
    <t>184 SERENITY DRIVE</t>
  </si>
  <si>
    <t>J10000004801</t>
  </si>
  <si>
    <t>C8010B0399</t>
  </si>
  <si>
    <t>THOMPSON TAYLOR</t>
  </si>
  <si>
    <t>FERRELL EMILY J</t>
  </si>
  <si>
    <t>140 GLENMOOR AVENUE</t>
  </si>
  <si>
    <t>J5010D0057</t>
  </si>
  <si>
    <t>ROJAS WILLIAM</t>
  </si>
  <si>
    <t>ROJAS ROSINA</t>
  </si>
  <si>
    <t>286 CHARLESTON RIDGE DRIVE</t>
  </si>
  <si>
    <t>J100000049</t>
  </si>
  <si>
    <t>STROUD BROTHERS FARMS LLC</t>
  </si>
  <si>
    <t>4070 HIGHWAY 64 WEST</t>
  </si>
  <si>
    <t>J100000046</t>
  </si>
  <si>
    <t>J10000005302</t>
  </si>
  <si>
    <t>I100000042</t>
  </si>
  <si>
    <t>I100000050</t>
  </si>
  <si>
    <t>I5110B0025</t>
  </si>
  <si>
    <t>LEWIS SELENA</t>
  </si>
  <si>
    <t>LEWIS HELEN</t>
  </si>
  <si>
    <t>177 WINDWARD CIRCLE</t>
  </si>
  <si>
    <t>B60000001102</t>
  </si>
  <si>
    <t>WEST ROY R</t>
  </si>
  <si>
    <t>WEST JANE W</t>
  </si>
  <si>
    <t>221 REDFIELD ROAD</t>
  </si>
  <si>
    <t>F90000000312</t>
  </si>
  <si>
    <t>HARTMAN LARRY W</t>
  </si>
  <si>
    <t>F900000030</t>
  </si>
  <si>
    <t>F90000000301</t>
  </si>
  <si>
    <t>F90000003301</t>
  </si>
  <si>
    <t>F90000001807</t>
  </si>
  <si>
    <t>F900000027</t>
  </si>
  <si>
    <t>F90000001805</t>
  </si>
  <si>
    <t>F900000012</t>
  </si>
  <si>
    <t>F90000001901</t>
  </si>
  <si>
    <t>F900000004</t>
  </si>
  <si>
    <t>F900000011</t>
  </si>
  <si>
    <t>E6040A0006</t>
  </si>
  <si>
    <t>POPE CHRISTIAN CURTIS</t>
  </si>
  <si>
    <t>268 SHALLOWBROOK DRIVE</t>
  </si>
  <si>
    <t>D70000011301</t>
  </si>
  <si>
    <t>C7140B0011</t>
  </si>
  <si>
    <t>WEBB DANIEL</t>
  </si>
  <si>
    <t>139 CREEKWOOD DRIVE</t>
  </si>
  <si>
    <t>D700000034  A</t>
  </si>
  <si>
    <t>OWENS ALVIA L TRUSTEE</t>
  </si>
  <si>
    <t>234 RIDDLE CIRCLE</t>
  </si>
  <si>
    <t>C40000001803</t>
  </si>
  <si>
    <t>POPLIN WILLIAM K</t>
  </si>
  <si>
    <t>3721 N NC HWY 801</t>
  </si>
  <si>
    <t>M60000004402</t>
  </si>
  <si>
    <t>BLAKE TARA BURTON</t>
  </si>
  <si>
    <t>K800000016</t>
  </si>
  <si>
    <t>PRICE WOODSY LEE</t>
  </si>
  <si>
    <t>PRICE CAROLYN T</t>
  </si>
  <si>
    <t>231 SEAFORD ROAD</t>
  </si>
  <si>
    <t>F90000004106</t>
  </si>
  <si>
    <t>MILLER JENNIFER VOGLER</t>
  </si>
  <si>
    <t>MILLER GRAYSON JONES</t>
  </si>
  <si>
    <t>451 BAILEY ROAD</t>
  </si>
  <si>
    <t>H400000126</t>
  </si>
  <si>
    <t>WOODWARD GEORGE E</t>
  </si>
  <si>
    <t>WOODWARD ELIZABETH KOONTZ</t>
  </si>
  <si>
    <t>% KATHY ELIZABETH WOODWARD</t>
  </si>
  <si>
    <t>891 YADKINVILLE RD  APT#208</t>
  </si>
  <si>
    <t>B300000087</t>
  </si>
  <si>
    <t>LEGG ROBERT A</t>
  </si>
  <si>
    <t>LEGG FRANCES D</t>
  </si>
  <si>
    <t>131 ESSIC ROAD</t>
  </si>
  <si>
    <t>B500000063</t>
  </si>
  <si>
    <t>CHURCH PAMELA D</t>
  </si>
  <si>
    <t>128 SPRINGWOOD TRAIL</t>
  </si>
  <si>
    <t>G8140A0035</t>
  </si>
  <si>
    <t>FORREST ALVIS EARL JR</t>
  </si>
  <si>
    <t>FORREST NIKIA</t>
  </si>
  <si>
    <t>131 CEDAR PARK DRIVE</t>
  </si>
  <si>
    <t>H6080A0009</t>
  </si>
  <si>
    <t>LAWS SANDRA S</t>
  </si>
  <si>
    <t>774 SAIN ROAD</t>
  </si>
  <si>
    <t>H80000005307</t>
  </si>
  <si>
    <t>LANDRY RENE JOSEPH</t>
  </si>
  <si>
    <t>LANDRY JOANN CYNTHIA</t>
  </si>
  <si>
    <t>171 ESSEX FARM RD</t>
  </si>
  <si>
    <t>M4130A0006</t>
  </si>
  <si>
    <t>HAMPTON JIMMY E</t>
  </si>
  <si>
    <t>HAMPTON SUSAN C</t>
  </si>
  <si>
    <t>1981 JUNCTION ROAD</t>
  </si>
  <si>
    <t>PO BOX 534</t>
  </si>
  <si>
    <t>I700000022</t>
  </si>
  <si>
    <t>WYATT JOHN NELSON</t>
  </si>
  <si>
    <t>WYATT EVELYN M</t>
  </si>
  <si>
    <t>633 NO CREEK ROAD</t>
  </si>
  <si>
    <t>I700000021</t>
  </si>
  <si>
    <t>WYATT EVELYN MICHAEL</t>
  </si>
  <si>
    <t>27028-7345</t>
  </si>
  <si>
    <t>C600000119</t>
  </si>
  <si>
    <t>BOWLES RICHARD M</t>
  </si>
  <si>
    <t>1658 YADKIN VALLEY ROAD</t>
  </si>
  <si>
    <t>I300000060</t>
  </si>
  <si>
    <t>DYSON ALVIN BENNY</t>
  </si>
  <si>
    <t>207 GREENHILL ROAD</t>
  </si>
  <si>
    <t>I300000058</t>
  </si>
  <si>
    <t>E9150B0103</t>
  </si>
  <si>
    <t>BRENNAN NEIL P</t>
  </si>
  <si>
    <t>BRENNAN PATRICIA A</t>
  </si>
  <si>
    <t>331 ORCHARD PARK DRIVE</t>
  </si>
  <si>
    <t>F8030A0018</t>
  </si>
  <si>
    <t>MCGOWAN KEVIN P</t>
  </si>
  <si>
    <t>MCGOWAN MELISSA</t>
  </si>
  <si>
    <t>239 ESSEX FARM ROAD</t>
  </si>
  <si>
    <t>E300000058</t>
  </si>
  <si>
    <t>POTTS BLAINE A</t>
  </si>
  <si>
    <t>529 RICHIE ROAD</t>
  </si>
  <si>
    <t>D9010C0011</t>
  </si>
  <si>
    <t>BELL SANDRA H</t>
  </si>
  <si>
    <t>135 ST GEORGE PLACE</t>
  </si>
  <si>
    <t>I5060C0031</t>
  </si>
  <si>
    <t>STOCKWELL BUDGIE</t>
  </si>
  <si>
    <t>STOCKWELL ANN ELIZABETH</t>
  </si>
  <si>
    <t>31 WHITNEY ROAD</t>
  </si>
  <si>
    <t>I400000034</t>
  </si>
  <si>
    <t>ALLEN JESSICA A</t>
  </si>
  <si>
    <t>257 MADISON ROAD</t>
  </si>
  <si>
    <t>J4040E0021</t>
  </si>
  <si>
    <t>ENDICOTT STEPHEN G</t>
  </si>
  <si>
    <t>ENDICOTT DAWN MICHELLE</t>
  </si>
  <si>
    <t>148 FORREST LANE</t>
  </si>
  <si>
    <t>J300000019</t>
  </si>
  <si>
    <t>SMITH SHANNON</t>
  </si>
  <si>
    <t>895 GREENHILL ROAD</t>
  </si>
  <si>
    <t>I5090E0005</t>
  </si>
  <si>
    <t>GEYER SCOTT</t>
  </si>
  <si>
    <t>GEYER CHRISTA</t>
  </si>
  <si>
    <t>566 N MAIN STREET</t>
  </si>
  <si>
    <t>B70000007701</t>
  </si>
  <si>
    <t>LAWSON CANDACE W</t>
  </si>
  <si>
    <t>225 RALTON EUGENE TRAIL</t>
  </si>
  <si>
    <t>C8010B0375</t>
  </si>
  <si>
    <t>BARNETT GEORGEANNE R</t>
  </si>
  <si>
    <t>202 KILBOURNE DRIVE</t>
  </si>
  <si>
    <t>I5020A0009</t>
  </si>
  <si>
    <t>BREWSTER WALES CODY</t>
  </si>
  <si>
    <t>1334 NORTH MAIN STREET</t>
  </si>
  <si>
    <t>D700000220</t>
  </si>
  <si>
    <t>HARRISON JEFFREY B</t>
  </si>
  <si>
    <t>EXEC OF THE EST OF WP HARRISON</t>
  </si>
  <si>
    <t>G8140A0033</t>
  </si>
  <si>
    <t>ALLEN JACE</t>
  </si>
  <si>
    <t>ALLEN SAMANTHA</t>
  </si>
  <si>
    <t>119 CRESTWOOD COURT</t>
  </si>
  <si>
    <t>I4130G0001</t>
  </si>
  <si>
    <t>VICK STEVEN B</t>
  </si>
  <si>
    <t>I400000086</t>
  </si>
  <si>
    <t>E900000638</t>
  </si>
  <si>
    <t>FLEMING VICKI H</t>
  </si>
  <si>
    <t>137 N NIBLICK COURT</t>
  </si>
  <si>
    <t>F80000011006</t>
  </si>
  <si>
    <t>HEGE SHARON</t>
  </si>
  <si>
    <t>HEGE HENRY</t>
  </si>
  <si>
    <t>272 FAIRVIEW ACRES RD</t>
  </si>
  <si>
    <t>C8010A0367</t>
  </si>
  <si>
    <t>DIXON PAUL HARRIS JR</t>
  </si>
  <si>
    <t>DIXON MARY SLAVINSKY</t>
  </si>
  <si>
    <t>120 KILBOURNE DRIVE</t>
  </si>
  <si>
    <t>G9090A0004</t>
  </si>
  <si>
    <t>ROBISON CHRISTOPHER THAD</t>
  </si>
  <si>
    <t>ROBISON LESLIE ANN</t>
  </si>
  <si>
    <t>1647 PEOPLES CREEK ROAD</t>
  </si>
  <si>
    <t>J5030A0017</t>
  </si>
  <si>
    <t>SHORES RICHARD I</t>
  </si>
  <si>
    <t>SHORES JUDY W</t>
  </si>
  <si>
    <t>980 MAIN CHURCH ROAD</t>
  </si>
  <si>
    <t>K8090A0025</t>
  </si>
  <si>
    <t>I5060A0001</t>
  </si>
  <si>
    <t>J4040D0002</t>
  </si>
  <si>
    <t>I5020B0002</t>
  </si>
  <si>
    <t>K300000052</t>
  </si>
  <si>
    <t>G400000039  A</t>
  </si>
  <si>
    <t>G40000004001</t>
  </si>
  <si>
    <t>G40000003901</t>
  </si>
  <si>
    <t>J5010D0034</t>
  </si>
  <si>
    <t>J5010D0007</t>
  </si>
  <si>
    <t>I5030A0002</t>
  </si>
  <si>
    <t>I5020B0003</t>
  </si>
  <si>
    <t>D50000001707</t>
  </si>
  <si>
    <t>LONG NICHOLE S</t>
  </si>
  <si>
    <t>I30000006001</t>
  </si>
  <si>
    <t>K4020A0004</t>
  </si>
  <si>
    <t>SEAMON ASHLEY</t>
  </si>
  <si>
    <t>1500 JERICHO CHURCH ROAD</t>
  </si>
  <si>
    <t>E700000178</t>
  </si>
  <si>
    <t>HART PAUL L</t>
  </si>
  <si>
    <t>HART PAULINE</t>
  </si>
  <si>
    <t>519 JUNEY BEAUCHAMP ROAD</t>
  </si>
  <si>
    <t>H80000005314</t>
  </si>
  <si>
    <t>THOMPSON CHRISTOPHER AARON</t>
  </si>
  <si>
    <t>THOMPSON ALETHA B</t>
  </si>
  <si>
    <t>531 BAILEYS CHAPEL ROAD</t>
  </si>
  <si>
    <t>J5150D0010</t>
  </si>
  <si>
    <t>ABENDROTH DEREK P</t>
  </si>
  <si>
    <t>ABENDROTH JORDAN</t>
  </si>
  <si>
    <t>333 ROLLINGWOOD DRIVE</t>
  </si>
  <si>
    <t>D9030A0037</t>
  </si>
  <si>
    <t>MILLER TYLER L</t>
  </si>
  <si>
    <t>MILLER JODI L</t>
  </si>
  <si>
    <t>195 JAMES WAY</t>
  </si>
  <si>
    <t>G8120B001501</t>
  </si>
  <si>
    <t>SPRY JOAN K</t>
  </si>
  <si>
    <t>SPRY DOUGLAS M</t>
  </si>
  <si>
    <t>120 SHUTT ROAD</t>
  </si>
  <si>
    <t>I4050B0004</t>
  </si>
  <si>
    <t>YOUKER JOSHUA</t>
  </si>
  <si>
    <t>YOUKER MICHELLE</t>
  </si>
  <si>
    <t>156 WANDERING LANE</t>
  </si>
  <si>
    <t>D8060B0010</t>
  </si>
  <si>
    <t>MATTHEWS TIMOTHY LAWRENCE JR</t>
  </si>
  <si>
    <t>BANIGAN KELLY</t>
  </si>
  <si>
    <t>136 BENT STREET</t>
  </si>
  <si>
    <t>J4040E0018</t>
  </si>
  <si>
    <t>WILSON ELOISE GARNER</t>
  </si>
  <si>
    <t>WILSON CARMEN SUZANNE</t>
  </si>
  <si>
    <t>179 FORREST LANE</t>
  </si>
  <si>
    <t>C700000036</t>
  </si>
  <si>
    <t>STANLEY CLINT DALLAS</t>
  </si>
  <si>
    <t>1051 COUNTRY LANE</t>
  </si>
  <si>
    <t>L60000000907</t>
  </si>
  <si>
    <t>HERNANDEZ PATRICIA</t>
  </si>
  <si>
    <t>6566 NC HWY 801 S</t>
  </si>
  <si>
    <t>H4140B0005</t>
  </si>
  <si>
    <t>KIMURA JACK T</t>
  </si>
  <si>
    <t>KIMURA ANDREA L</t>
  </si>
  <si>
    <t>249 QUAIL RIDGE LANE</t>
  </si>
  <si>
    <t>C700000056</t>
  </si>
  <si>
    <t>ELLIS RICHARD DALE</t>
  </si>
  <si>
    <t>905 N NC HWY 801</t>
  </si>
  <si>
    <t>C30000011004</t>
  </si>
  <si>
    <t>GONZALEZ BETINA LOFLIN</t>
  </si>
  <si>
    <t>GONZALEZ BENIGNO</t>
  </si>
  <si>
    <t>B60000000306</t>
  </si>
  <si>
    <t>PHIFER TERESA S</t>
  </si>
  <si>
    <t>P O BOX 971</t>
  </si>
  <si>
    <t>28111-0000</t>
  </si>
  <si>
    <t>C60000002901</t>
  </si>
  <si>
    <t>B300000028</t>
  </si>
  <si>
    <t>G3060A0040</t>
  </si>
  <si>
    <t>FUNCHESS LLOYD VANCE III</t>
  </si>
  <si>
    <t>262 STONY BROOK TRAIL</t>
  </si>
  <si>
    <t>K80000001106</t>
  </si>
  <si>
    <t>GRUBB BRADLY STEVEN</t>
  </si>
  <si>
    <t>4395 NC HWY 801 S</t>
  </si>
  <si>
    <t>L700000007</t>
  </si>
  <si>
    <t>K80000001111</t>
  </si>
  <si>
    <t>K80000001105</t>
  </si>
  <si>
    <t>D8100C0018</t>
  </si>
  <si>
    <t>MCCONNELL DAVID L</t>
  </si>
  <si>
    <t>MCCONNELL TAMMY P</t>
  </si>
  <si>
    <t>142 SPYGLASS DRIVE</t>
  </si>
  <si>
    <t>H20000002902</t>
  </si>
  <si>
    <t>BECK TAMARA C</t>
  </si>
  <si>
    <t>G4090A0003</t>
  </si>
  <si>
    <t>NETO JOSEPH JR</t>
  </si>
  <si>
    <t>NETO DAWN</t>
  </si>
  <si>
    <t>865 MAIN CHURCH ROAD</t>
  </si>
  <si>
    <t>C70000008905</t>
  </si>
  <si>
    <t>WALKER CALE AARON</t>
  </si>
  <si>
    <t>WALKER JENNA STOUT</t>
  </si>
  <si>
    <t>436 WOODLEE DRIVE</t>
  </si>
  <si>
    <t>J100000041</t>
  </si>
  <si>
    <t>CLENDENIN TIMOTHY C</t>
  </si>
  <si>
    <t>STACKHOUSE ANNEDREA LEE</t>
  </si>
  <si>
    <t>1278 RIDGE ROAD</t>
  </si>
  <si>
    <t>MOCKSIVLLE</t>
  </si>
  <si>
    <t>E900000500</t>
  </si>
  <si>
    <t>PHILLIPS REED A</t>
  </si>
  <si>
    <t>PHILLIPS ANNA B</t>
  </si>
  <si>
    <t>394 N HIDDENBROOKE DROVE</t>
  </si>
  <si>
    <t>G500000061</t>
  </si>
  <si>
    <t>HAIRE G EDGAR</t>
  </si>
  <si>
    <t>H600000022</t>
  </si>
  <si>
    <t>FORREST STEVE</t>
  </si>
  <si>
    <t>FORREST PHYLLIS R</t>
  </si>
  <si>
    <t>1861 MILLING ROAD</t>
  </si>
  <si>
    <t>F60000010604</t>
  </si>
  <si>
    <t>VERNIER JOEL D</t>
  </si>
  <si>
    <t>VERNIER ANNE D</t>
  </si>
  <si>
    <t>596 HOWARDTOWN CIRCLE</t>
  </si>
  <si>
    <t>J6100A0006</t>
  </si>
  <si>
    <t>WOMMACK GLORIA G</t>
  </si>
  <si>
    <t>WOMMACK RICHARD S</t>
  </si>
  <si>
    <t>129 N LAKE LOUISE DRIVE</t>
  </si>
  <si>
    <t>C8030A001501</t>
  </si>
  <si>
    <t>MILLS CARLON SCOTT</t>
  </si>
  <si>
    <t>MILLS SUE ANN</t>
  </si>
  <si>
    <t>7537 LASATER ROAD</t>
  </si>
  <si>
    <t>J300000009</t>
  </si>
  <si>
    <t>MATHEWS KIMBERLY KISSEE</t>
  </si>
  <si>
    <t>510 DAVIE ACADEMY ROAD</t>
  </si>
  <si>
    <t>G9100A0012</t>
  </si>
  <si>
    <t>WEAVER JAMES P JR</t>
  </si>
  <si>
    <t>WEAVER JENNIFER PAGE</t>
  </si>
  <si>
    <t>119 SUMMER SWEET DRIVE</t>
  </si>
  <si>
    <t>B70000005302</t>
  </si>
  <si>
    <t>BUDD THEODORE PAUL</t>
  </si>
  <si>
    <t>BUDD AMY KATHRYN</t>
  </si>
  <si>
    <t>321 MAPLEWOOD LANE</t>
  </si>
  <si>
    <t>H4140A0012</t>
  </si>
  <si>
    <t>SNOW ROBIN FEIMSTER</t>
  </si>
  <si>
    <t>SNOW KENNETH AARON SR</t>
  </si>
  <si>
    <t>391 COUNTRY LANE</t>
  </si>
  <si>
    <t>D9030A0035</t>
  </si>
  <si>
    <t>VORIS ANDREW C</t>
  </si>
  <si>
    <t>VORIS SARA M</t>
  </si>
  <si>
    <t>221 JAMES WAY</t>
  </si>
  <si>
    <t>I80000006204</t>
  </si>
  <si>
    <t>TUTTLE RICHARD B</t>
  </si>
  <si>
    <t>11 FLOWERING CHERRY DR</t>
  </si>
  <si>
    <t>ASHEVILLE</t>
  </si>
  <si>
    <t>28805-0000</t>
  </si>
  <si>
    <t>D9090D0030</t>
  </si>
  <si>
    <t>BROWN JAMES THOMAS</t>
  </si>
  <si>
    <t>311 HOLLYBROOK DRIVE</t>
  </si>
  <si>
    <t>D700000014</t>
  </si>
  <si>
    <t>WOOD VIRGINIA GAIL</t>
  </si>
  <si>
    <t>125 GORDON DRIVE</t>
  </si>
  <si>
    <t>G600000087</t>
  </si>
  <si>
    <t>MCDANIEL LARRY K</t>
  </si>
  <si>
    <t>H400000086</t>
  </si>
  <si>
    <t>I1110F0008</t>
  </si>
  <si>
    <t>J10000004702</t>
  </si>
  <si>
    <t>FINCH WILLIAM J</t>
  </si>
  <si>
    <t>FINCH KIMBERLY A</t>
  </si>
  <si>
    <t>642 CRESCENT DRIVE</t>
  </si>
  <si>
    <t>F70000000801</t>
  </si>
  <si>
    <t>MOODY AUSTIN R</t>
  </si>
  <si>
    <t>MOODY NICOLE M</t>
  </si>
  <si>
    <t>738 BALTIMORE ROAD</t>
  </si>
  <si>
    <t>G400000032</t>
  </si>
  <si>
    <t>BARNHARDT GLENDA S</t>
  </si>
  <si>
    <t>762 MAIN CHURCH ROAD</t>
  </si>
  <si>
    <t>L800000013</t>
  </si>
  <si>
    <t>SHORE TAMMIE L</t>
  </si>
  <si>
    <t>110 PINE VALLEY RD</t>
  </si>
  <si>
    <t>J6050A0013</t>
  </si>
  <si>
    <t>O70000000205</t>
  </si>
  <si>
    <t>LAUDY ROGER KIM</t>
  </si>
  <si>
    <t>LAUDY TRACY ELLEN</t>
  </si>
  <si>
    <t>1036 POINT ROAD</t>
  </si>
  <si>
    <t>G400000033</t>
  </si>
  <si>
    <t>G40000003201</t>
  </si>
  <si>
    <t>G500000095</t>
  </si>
  <si>
    <t>HAMILTON RONALD L</t>
  </si>
  <si>
    <t>HAMILTON VICKIE B</t>
  </si>
  <si>
    <t>359 MCCLAMROCK ROAD</t>
  </si>
  <si>
    <t>G70000013916</t>
  </si>
  <si>
    <t>BAHM CHRISTOPHER</t>
  </si>
  <si>
    <t>REICHELT CONSTANCE M</t>
  </si>
  <si>
    <t>211 BRIDLE LANE</t>
  </si>
  <si>
    <t>B60000001307</t>
  </si>
  <si>
    <t>KELEHAR JESSE ALAN</t>
  </si>
  <si>
    <t>KELEHAR APRIL JOLAYNE</t>
  </si>
  <si>
    <t>167 HAUSER CREEK LANE</t>
  </si>
  <si>
    <t>C300000004</t>
  </si>
  <si>
    <t>H70000007803</t>
  </si>
  <si>
    <t>BOGER DONNA KAYE BARNES</t>
  </si>
  <si>
    <t>F700000014</t>
  </si>
  <si>
    <t>ESSEX DELLA O</t>
  </si>
  <si>
    <t>357 SINGLETON RD</t>
  </si>
  <si>
    <t>F700000012</t>
  </si>
  <si>
    <t>K80000001101</t>
  </si>
  <si>
    <t>I40000006413</t>
  </si>
  <si>
    <t>127 MARKETPLACE LLC</t>
  </si>
  <si>
    <t>C70000008919</t>
  </si>
  <si>
    <t>I5070D0005</t>
  </si>
  <si>
    <t>LANIER BRANDON REID</t>
  </si>
  <si>
    <t>190 MILLING ROAD</t>
  </si>
  <si>
    <t>E900000669</t>
  </si>
  <si>
    <t>WALDEN JOHN DAVID</t>
  </si>
  <si>
    <t>142 LIGONIER DRIVE</t>
  </si>
  <si>
    <t>D8060A0006</t>
  </si>
  <si>
    <t>BALDWIN ROBERT M III</t>
  </si>
  <si>
    <t>BALDWIN ANNA G</t>
  </si>
  <si>
    <t>323 RIVERBEND DRIVE</t>
  </si>
  <si>
    <t>F60000000202</t>
  </si>
  <si>
    <t>CHILES CHERIE S TRUSTEE</t>
  </si>
  <si>
    <t>3147 US HWY 158</t>
  </si>
  <si>
    <t>F600000003  A</t>
  </si>
  <si>
    <t>H400000102</t>
  </si>
  <si>
    <t>452 MADISON ROAD</t>
  </si>
  <si>
    <t>D8070A0034</t>
  </si>
  <si>
    <t>TIBBS TODD</t>
  </si>
  <si>
    <t>119 GOLFVIEW DRIVE</t>
  </si>
  <si>
    <t>J70000004101</t>
  </si>
  <si>
    <t>JONES GRACE C</t>
  </si>
  <si>
    <t>309 JOE ROAD</t>
  </si>
  <si>
    <t>E900000691</t>
  </si>
  <si>
    <t>SEALEY CHAD A</t>
  </si>
  <si>
    <t>SEALEY TAMARA</t>
  </si>
  <si>
    <t>511 N HIDDENBROOK DRIVE</t>
  </si>
  <si>
    <t>M400000064</t>
  </si>
  <si>
    <t>FISHER FRED E JR</t>
  </si>
  <si>
    <t>FISHER SANDRA D</t>
  </si>
  <si>
    <t>193 CRAWFORD ROAD</t>
  </si>
  <si>
    <t>J70000004109</t>
  </si>
  <si>
    <t>MORGAN MITZI</t>
  </si>
  <si>
    <t>MORGAN DEREK</t>
  </si>
  <si>
    <t>B700000087</t>
  </si>
  <si>
    <t>ICARD AMELIA KATE</t>
  </si>
  <si>
    <t>ICARD GEORGE C</t>
  </si>
  <si>
    <t>977 YADKIN VALLEY ROAD</t>
  </si>
  <si>
    <t>H4130A0028</t>
  </si>
  <si>
    <t>PANOS TAMARA M</t>
  </si>
  <si>
    <t>188 ELWOOD STREET</t>
  </si>
  <si>
    <t>E900000378</t>
  </si>
  <si>
    <t>KAHLER CHRISTOPHER N</t>
  </si>
  <si>
    <t>KAHLER LISA M</t>
  </si>
  <si>
    <t>122 NORTH WILDCAT RUN COURT</t>
  </si>
  <si>
    <t>L5020B0005</t>
  </si>
  <si>
    <t>RHODES SCOTT MASON</t>
  </si>
  <si>
    <t>KIBLER CARRIE ANN</t>
  </si>
  <si>
    <t>136 S BENSON LANE</t>
  </si>
  <si>
    <t>K5060A0006</t>
  </si>
  <si>
    <t>JUAREZ JAMIE M</t>
  </si>
  <si>
    <t>288 DEADMON ROAD</t>
  </si>
  <si>
    <t>K600000016</t>
  </si>
  <si>
    <t>LAKEY AUSTIN</t>
  </si>
  <si>
    <t>LAKEY EMILY</t>
  </si>
  <si>
    <t>153 FRANK SHORT ROAD</t>
  </si>
  <si>
    <t>D60000005901</t>
  </si>
  <si>
    <t>RED 16 LLC</t>
  </si>
  <si>
    <t>E70000013912</t>
  </si>
  <si>
    <t>WILLIAMS PHILLIP G</t>
  </si>
  <si>
    <t>1145 BEAUCHAMP ROAD</t>
  </si>
  <si>
    <t>I5050A0050</t>
  </si>
  <si>
    <t>BULLOCK BRITTNEY REYNOLDS</t>
  </si>
  <si>
    <t>99 META BREEZE LANE</t>
  </si>
  <si>
    <t>G80000006503</t>
  </si>
  <si>
    <t>ZAKAMAREK ADAM</t>
  </si>
  <si>
    <t>ZAKAMAREK DANUTA</t>
  </si>
  <si>
    <t>1380 WILLIAMS RD</t>
  </si>
  <si>
    <t>D7080A0025</t>
  </si>
  <si>
    <t>WHITE BRITTA H</t>
  </si>
  <si>
    <t>WHITE BRIAN S</t>
  </si>
  <si>
    <t>245 BETHLEHEM DRIVE</t>
  </si>
  <si>
    <t>G50000003903</t>
  </si>
  <si>
    <t>BOWLES CHERYL PLATT</t>
  </si>
  <si>
    <t>C60000002103</t>
  </si>
  <si>
    <t>C60000002102</t>
  </si>
  <si>
    <t>E8070A0009</t>
  </si>
  <si>
    <t>HALDEMAN SHERRY</t>
  </si>
  <si>
    <t>137 WHITEHEAD DRIVE</t>
  </si>
  <si>
    <t>N5010D0011</t>
  </si>
  <si>
    <t>SMITH TRACY HEAD</t>
  </si>
  <si>
    <t>po box 838</t>
  </si>
  <si>
    <t>N5080A0014</t>
  </si>
  <si>
    <t>C8010B0374</t>
  </si>
  <si>
    <t>MCDEVITT JOSEPH</t>
  </si>
  <si>
    <t>MCDEVITT MICHELE</t>
  </si>
  <si>
    <t>198 KILBOURNE DRIVE</t>
  </si>
  <si>
    <t>D9030A0041</t>
  </si>
  <si>
    <t>GALLOWAY ANTHONY B</t>
  </si>
  <si>
    <t>GALLOWAY LATONYA SCOTT</t>
  </si>
  <si>
    <t>153 JAMES WAY</t>
  </si>
  <si>
    <t>I50000001109</t>
  </si>
  <si>
    <t>BROWNELLS INC</t>
  </si>
  <si>
    <t>ATTN: CHAD MARTIN</t>
  </si>
  <si>
    <t>3006 BROWNELLS PARKWAY</t>
  </si>
  <si>
    <t>GRINNEL</t>
  </si>
  <si>
    <t>IA</t>
  </si>
  <si>
    <t>I50000001110</t>
  </si>
  <si>
    <t>J5160A000902</t>
  </si>
  <si>
    <t>AMERICAN TOWERS LLC</t>
  </si>
  <si>
    <t>ATTN: LAND MANAGEMENT</t>
  </si>
  <si>
    <t>10 PRESIDENTIAL WAY</t>
  </si>
  <si>
    <t>WOBURN</t>
  </si>
  <si>
    <t>MA</t>
  </si>
  <si>
    <t>C400000053</t>
  </si>
  <si>
    <t>MILLER LONNIE GENE JR</t>
  </si>
  <si>
    <t>MILLER PATRICK CARSON</t>
  </si>
  <si>
    <t>3320 NC HWY 801 NORTH</t>
  </si>
  <si>
    <t>F90000000303</t>
  </si>
  <si>
    <t>SCHAMBACH GARY RAY REV.TRST</t>
  </si>
  <si>
    <t>SCHAMBACH SUSAN L HUMMER REV T</t>
  </si>
  <si>
    <t>138 EVERGREEN LANE</t>
  </si>
  <si>
    <t>D8030A0002</t>
  </si>
  <si>
    <t>ISLAS MARY G</t>
  </si>
  <si>
    <t>153 BERMUDA RUN DR</t>
  </si>
  <si>
    <t>C200000035</t>
  </si>
  <si>
    <t>FROST FAMILY FARMS LLC</t>
  </si>
  <si>
    <t>BOX 48</t>
  </si>
  <si>
    <t>SACO</t>
  </si>
  <si>
    <t>MT</t>
  </si>
  <si>
    <t>D8110A0009</t>
  </si>
  <si>
    <t>GILPIN DAVID L</t>
  </si>
  <si>
    <t>GILPIN SERENA M</t>
  </si>
  <si>
    <t>497 RIVERBEND DRIVE</t>
  </si>
  <si>
    <t>F8030A0063</t>
  </si>
  <si>
    <t>DAVIS JENNIFER</t>
  </si>
  <si>
    <t>DAVIS NEAL</t>
  </si>
  <si>
    <t>117 TYLER COURT</t>
  </si>
  <si>
    <t>D60000002302</t>
  </si>
  <si>
    <t>FREEMAN JUNE ELIZABETH</t>
  </si>
  <si>
    <t>301 SPEAKS RD</t>
  </si>
  <si>
    <t>K5160A000201</t>
  </si>
  <si>
    <t>TOTTEN BELINDA A</t>
  </si>
  <si>
    <t>TOTTEN TERRY</t>
  </si>
  <si>
    <t>239 MCCULLOUGH ROAD</t>
  </si>
  <si>
    <t>I5080E0005</t>
  </si>
  <si>
    <t>MCKINNEY TRACIE COLLINS</t>
  </si>
  <si>
    <t>BLACKWELDER DEBORAH LEA</t>
  </si>
  <si>
    <t>599 WILKESBORO STREET</t>
  </si>
  <si>
    <t>E600000102</t>
  </si>
  <si>
    <t>LLOYD ROBIN P</t>
  </si>
  <si>
    <t>375 HOWARDTOWN CIRCLE</t>
  </si>
  <si>
    <t>L70000001908</t>
  </si>
  <si>
    <t>BARNHARDT JAMES ADAM</t>
  </si>
  <si>
    <t>174 BARNHARDT LANE</t>
  </si>
  <si>
    <t>L70000001901</t>
  </si>
  <si>
    <t>L700000020</t>
  </si>
  <si>
    <t>K700000064</t>
  </si>
  <si>
    <t>B30000003101</t>
  </si>
  <si>
    <t>CARBAJAL FELIX LEANDRO</t>
  </si>
  <si>
    <t>MAYA ANTONIA GARCIA</t>
  </si>
  <si>
    <t>I60000007903</t>
  </si>
  <si>
    <t>FIRMAN BARTON J</t>
  </si>
  <si>
    <t>I600000079</t>
  </si>
  <si>
    <t>I6160A0019</t>
  </si>
  <si>
    <t>E600000101</t>
  </si>
  <si>
    <t>B200000037</t>
  </si>
  <si>
    <t>JONES JULIA S</t>
  </si>
  <si>
    <t>4052 VESTAL RD</t>
  </si>
  <si>
    <t>B200000036</t>
  </si>
  <si>
    <t>E700000058</t>
  </si>
  <si>
    <t>BYERLY KATHY DOUTHIT</t>
  </si>
  <si>
    <t>121 REECE WAY</t>
  </si>
  <si>
    <t>I5160B0032</t>
  </si>
  <si>
    <t>po box 353</t>
  </si>
  <si>
    <t>clemmons</t>
  </si>
  <si>
    <t>H20000001901</t>
  </si>
  <si>
    <t>C50000002103</t>
  </si>
  <si>
    <t>C400000022</t>
  </si>
  <si>
    <t>MILLER MICHAEL ANTHONY</t>
  </si>
  <si>
    <t>D500000077</t>
  </si>
  <si>
    <t>C400000020</t>
  </si>
  <si>
    <t>C40000000101</t>
  </si>
  <si>
    <t>E900000212</t>
  </si>
  <si>
    <t>GENTRY IVEY CLENTON JR</t>
  </si>
  <si>
    <t>GENTRY PATRICIA O</t>
  </si>
  <si>
    <t>342 KINGSMILL DR</t>
  </si>
  <si>
    <t>L80000002502</t>
  </si>
  <si>
    <t>MACKINTOSH ROBERT CAMERON</t>
  </si>
  <si>
    <t>MACKINTOSH ANNE HUDSON</t>
  </si>
  <si>
    <t>407 SEAFORD ROAD</t>
  </si>
  <si>
    <t>27006-7045</t>
  </si>
  <si>
    <t>H40000000613</t>
  </si>
  <si>
    <t>BEROTH MOCKSVILLE LLC</t>
  </si>
  <si>
    <t>E8100B0013</t>
  </si>
  <si>
    <t>ALEY CLINTON P</t>
  </si>
  <si>
    <t>ALEY MELANIE B</t>
  </si>
  <si>
    <t>223 BRIDGEWATER DR</t>
  </si>
  <si>
    <t>L70000001905</t>
  </si>
  <si>
    <t>L70000001906</t>
  </si>
  <si>
    <t>H30000000401</t>
  </si>
  <si>
    <t>TRIVITTE CHAD</t>
  </si>
  <si>
    <t>361 PARKER ROAD</t>
  </si>
  <si>
    <t>H30000008803</t>
  </si>
  <si>
    <t>O'NAN KATRINA CALL</t>
  </si>
  <si>
    <t>233 EVANS ROAD</t>
  </si>
  <si>
    <t>G50000005605</t>
  </si>
  <si>
    <t>LEONARD JULIE AMANDA ADAMS</t>
  </si>
  <si>
    <t>LEONARD KEVIN LEE</t>
  </si>
  <si>
    <t>474 FOSTER DAIRY ROAD</t>
  </si>
  <si>
    <t>L700000017</t>
  </si>
  <si>
    <t>L700000019</t>
  </si>
  <si>
    <t>L60000004506</t>
  </si>
  <si>
    <t>MCDANIEL TERRI CROTTS</t>
  </si>
  <si>
    <t>5882 HWY 801 SOUTH</t>
  </si>
  <si>
    <t>N5010A0032</t>
  </si>
  <si>
    <t>G3060B0015</t>
  </si>
  <si>
    <t>DALTON SHELIA DIANE</t>
  </si>
  <si>
    <t>395 IJAMES CHURCH ROAD</t>
  </si>
  <si>
    <t>I70000005603</t>
  </si>
  <si>
    <t>RITCHIE KATI SEAFORD</t>
  </si>
  <si>
    <t>224 FARM RIDGE LANE</t>
  </si>
  <si>
    <t>I5090C0036</t>
  </si>
  <si>
    <t>WATKINS DEBRA L</t>
  </si>
  <si>
    <t>3202 VENUS DRIVE</t>
  </si>
  <si>
    <t>F10000001203</t>
  </si>
  <si>
    <t>SIDES THOMAS</t>
  </si>
  <si>
    <t>2190 SHEFFIELD ROAD</t>
  </si>
  <si>
    <t>I6140A0052</t>
  </si>
  <si>
    <t>TAYLOR DAVID H</t>
  </si>
  <si>
    <t>TAYLOR JANET C</t>
  </si>
  <si>
    <t>138 LAKEVIEW ROAD</t>
  </si>
  <si>
    <t>E50000001707</t>
  </si>
  <si>
    <t>WILSON DAVID T</t>
  </si>
  <si>
    <t>WILSON ALANNA L</t>
  </si>
  <si>
    <t>D20000002703</t>
  </si>
  <si>
    <t>REAVIS MATTHEWS DUDLEY</t>
  </si>
  <si>
    <t>M5160C002201</t>
  </si>
  <si>
    <t>BILLINGS JEFFREY D DDS</t>
  </si>
  <si>
    <t>B50000009603</t>
  </si>
  <si>
    <t>ROBINSON KEVIN</t>
  </si>
  <si>
    <t>ROBINSON MARTHA</t>
  </si>
  <si>
    <t>190 NORTH PINO RD</t>
  </si>
  <si>
    <t>E70000011106</t>
  </si>
  <si>
    <t>CLARK WILLIAM D JR</t>
  </si>
  <si>
    <t>151 LAURENS COURT</t>
  </si>
  <si>
    <t>B70000004702</t>
  </si>
  <si>
    <t>VEST BRADLEY C</t>
  </si>
  <si>
    <t>VEST STACY</t>
  </si>
  <si>
    <t>165 GRIFFITH ROAD</t>
  </si>
  <si>
    <t>H80000002005</t>
  </si>
  <si>
    <t>MCDANIEL TODD A</t>
  </si>
  <si>
    <t>MCDANIEL VIE D</t>
  </si>
  <si>
    <t>2456 NC HWY 801 S</t>
  </si>
  <si>
    <t>H80000002002</t>
  </si>
  <si>
    <t>G40000003302</t>
  </si>
  <si>
    <t>WALL MARJORIE C</t>
  </si>
  <si>
    <t>141 TENNYSON LANE</t>
  </si>
  <si>
    <t>27028-5924</t>
  </si>
  <si>
    <t>J400000010</t>
  </si>
  <si>
    <t>REDMOND DONALD RAYFORD</t>
  </si>
  <si>
    <t>139 SCENIC DRIVE</t>
  </si>
  <si>
    <t>K3050B0013</t>
  </si>
  <si>
    <t>ANDERSON JAMES L</t>
  </si>
  <si>
    <t>ANDERSON JANE W</t>
  </si>
  <si>
    <t>199 CAROLINA AVENUE</t>
  </si>
  <si>
    <t>J20000003908</t>
  </si>
  <si>
    <t>RAFIE KENDRA L</t>
  </si>
  <si>
    <t>512 SHADY KNOLL LANE</t>
  </si>
  <si>
    <t>D30000003207</t>
  </si>
  <si>
    <t>DRENNEN KATHLEEN S</t>
  </si>
  <si>
    <t>4209 US HWY 601 N</t>
  </si>
  <si>
    <t>27028-1042</t>
  </si>
  <si>
    <t>M50000001802</t>
  </si>
  <si>
    <t>WALLACE JOEL</t>
  </si>
  <si>
    <t>7306 NC HWY 801 S</t>
  </si>
  <si>
    <t>B3010A0005</t>
  </si>
  <si>
    <t>BIRK ROBERT</t>
  </si>
  <si>
    <t>BIRK TERRIE</t>
  </si>
  <si>
    <t>123 GENTLE STREAM LANE</t>
  </si>
  <si>
    <t>27028-6150</t>
  </si>
  <si>
    <t>D8100B0024</t>
  </si>
  <si>
    <t>BERMUDA RUN GOLFDOMINIUM ASSC</t>
  </si>
  <si>
    <t>BOOKKEEPING PLUS</t>
  </si>
  <si>
    <t>3775 VEST MILL RD STE A</t>
  </si>
  <si>
    <t>27103-2990</t>
  </si>
  <si>
    <t>B300000097</t>
  </si>
  <si>
    <t>HADDAD SAWSAN S</t>
  </si>
  <si>
    <t>-</t>
  </si>
  <si>
    <t>201 KELLY MILL RD</t>
  </si>
  <si>
    <t>ELGIN</t>
  </si>
  <si>
    <t>29045-9399</t>
  </si>
  <si>
    <t>D8080A001001A</t>
  </si>
  <si>
    <t>EIGHT SIXTEEN LLC</t>
  </si>
  <si>
    <t>214 MANCHESTER PLACE</t>
  </si>
  <si>
    <t>I20000000610</t>
  </si>
  <si>
    <t>HOLBROOK BRENDA L</t>
  </si>
  <si>
    <t>217 DAVIE FARMS TRAIL</t>
  </si>
  <si>
    <t>C700000069</t>
  </si>
  <si>
    <t>WILLARD PATTY YORK</t>
  </si>
  <si>
    <t>182 PEACEFUL VALLEY ROAD</t>
  </si>
  <si>
    <t>H80000001008</t>
  </si>
  <si>
    <t>LOWERY PATRICK T</t>
  </si>
  <si>
    <t>LOWERY DAWN S</t>
  </si>
  <si>
    <t>2300 NC HWY 801 S</t>
  </si>
  <si>
    <t>27006-7422</t>
  </si>
  <si>
    <t>I20000000613</t>
  </si>
  <si>
    <t>G500000158</t>
  </si>
  <si>
    <t>BOLT RALPH O</t>
  </si>
  <si>
    <t>BOLT PEGGY C</t>
  </si>
  <si>
    <t>106 NATURE PLACE WAY</t>
  </si>
  <si>
    <t>J60000002302</t>
  </si>
  <si>
    <t>NEW CALVARY CHURCH</t>
  </si>
  <si>
    <t>% BISHOP TERRY DALTON</t>
  </si>
  <si>
    <t>127 VIRCASDELL LANE</t>
  </si>
  <si>
    <t>J600000026</t>
  </si>
  <si>
    <t>K700000060</t>
  </si>
  <si>
    <t>SEAGLE JAMES LUTHER</t>
  </si>
  <si>
    <t>SEAGLE JOHNNY O</t>
  </si>
  <si>
    <t>256 LOGAN COURT</t>
  </si>
  <si>
    <t>G8010A0012</t>
  </si>
  <si>
    <t>CHIQUITO CIPRIANO MENDEZ</t>
  </si>
  <si>
    <t>I4130B000501</t>
  </si>
  <si>
    <t>H5060A0006</t>
  </si>
  <si>
    <t>MCCLAMROCK JUDY</t>
  </si>
  <si>
    <t>136 BRADFORD PLACE</t>
  </si>
  <si>
    <t>L5090B0009</t>
  </si>
  <si>
    <t>TURNBOW ROSEMARY A</t>
  </si>
  <si>
    <t>279 GLADSTONE ROAD</t>
  </si>
  <si>
    <t>I5010C0012</t>
  </si>
  <si>
    <t>HANELINE KENNETH H</t>
  </si>
  <si>
    <t>HANELINE SHARON</t>
  </si>
  <si>
    <t>146 HARDING LN</t>
  </si>
  <si>
    <t>G500000059</t>
  </si>
  <si>
    <t>LEONARD LOIS A</t>
  </si>
  <si>
    <t>280 FOSTER DAIRY RD</t>
  </si>
  <si>
    <t>27028-4153</t>
  </si>
  <si>
    <t>D9050B0019</t>
  </si>
  <si>
    <t>ROACH ROBERT WAYNE</t>
  </si>
  <si>
    <t>ROACH LINDY KERNODLE</t>
  </si>
  <si>
    <t>3306 BERMUDA VILLAGE DRIVE</t>
  </si>
  <si>
    <t>I70000010001</t>
  </si>
  <si>
    <t>CARTER PAUL GREGORY</t>
  </si>
  <si>
    <t>CARTER TAMMY R</t>
  </si>
  <si>
    <t>730 FORK BIXBY ROAD</t>
  </si>
  <si>
    <t>E8060B0003</t>
  </si>
  <si>
    <t>CALLAWAY BRANDON</t>
  </si>
  <si>
    <t>CALLAWAY HANNAH</t>
  </si>
  <si>
    <t>111 JORDAN LANE</t>
  </si>
  <si>
    <t>G70000014507</t>
  </si>
  <si>
    <t>SIMMONS PHYLLIS</t>
  </si>
  <si>
    <t>298 GRANADA DRIVE</t>
  </si>
  <si>
    <t>C4160A0024</t>
  </si>
  <si>
    <t>CHILSON JOHN A</t>
  </si>
  <si>
    <t>CHILSON DONNA C</t>
  </si>
  <si>
    <t>320 MEADOWLARK LANE</t>
  </si>
  <si>
    <t>M600000029</t>
  </si>
  <si>
    <t>POWELL DENISE MILLER</t>
  </si>
  <si>
    <t>E900000048</t>
  </si>
  <si>
    <t>CROOKER JOHN R</t>
  </si>
  <si>
    <t>CROOKER MARSHA A</t>
  </si>
  <si>
    <t>135 SUNTREE DRIVE</t>
  </si>
  <si>
    <t>27006-7274</t>
  </si>
  <si>
    <t>E900000595</t>
  </si>
  <si>
    <t>KIRKMAN ALBERT REESE</t>
  </si>
  <si>
    <t>KIRKMAN REBECCA D</t>
  </si>
  <si>
    <t>106 W EDEN COURSE DRIVE</t>
  </si>
  <si>
    <t>B700000033</t>
  </si>
  <si>
    <t>F800000013</t>
  </si>
  <si>
    <t>114 MOCKS CHURCH ROAD</t>
  </si>
  <si>
    <t>D9010A0006</t>
  </si>
  <si>
    <t>PRONGAY DAVID MELVILLE</t>
  </si>
  <si>
    <t>111 PEMBROOKE RIDGE CT</t>
  </si>
  <si>
    <t>27006-9597</t>
  </si>
  <si>
    <t>C600000020</t>
  </si>
  <si>
    <t>PILCHER JOHN W JR</t>
  </si>
  <si>
    <t>1657 NC HWY 801 N</t>
  </si>
  <si>
    <t>G50000008102</t>
  </si>
  <si>
    <t>COOPER FLETCHER</t>
  </si>
  <si>
    <t>COOPER RONDA</t>
  </si>
  <si>
    <t>140 SWEETWOOD LANE</t>
  </si>
  <si>
    <t>G50000008103</t>
  </si>
  <si>
    <t>G500000084</t>
  </si>
  <si>
    <t>D8060B003701</t>
  </si>
  <si>
    <t>LEWANDOWSKI RONNY CLYDE</t>
  </si>
  <si>
    <t>LEWANDOWSKI MARTHA MILLER</t>
  </si>
  <si>
    <t>103 S BERMUDA RUN DRIVE</t>
  </si>
  <si>
    <t>J700000105</t>
  </si>
  <si>
    <t>BUCHANAN WILLIAM CLARENCE III</t>
  </si>
  <si>
    <t>BUCHANAN DONNA TUDOR</t>
  </si>
  <si>
    <t>3248 HWY 64 E</t>
  </si>
  <si>
    <t>L40000003401</t>
  </si>
  <si>
    <t>PEACOCK JEFFREY</t>
  </si>
  <si>
    <t>PEACOCK CYNTHIA F</t>
  </si>
  <si>
    <t>861 DANIEL ROAD</t>
  </si>
  <si>
    <t>H500000034</t>
  </si>
  <si>
    <t>MCCULLOH LEE H REV TRUST</t>
  </si>
  <si>
    <t>MCCULLOH SHERRY H REV TRUST</t>
  </si>
  <si>
    <t>28673-9284</t>
  </si>
  <si>
    <t>G8140A0032</t>
  </si>
  <si>
    <t>CARROLL CRYSTAL</t>
  </si>
  <si>
    <t>127 CRESTWOOD COURT</t>
  </si>
  <si>
    <t>H600000036</t>
  </si>
  <si>
    <t>LAWRENCE GLENDA SMITH</t>
  </si>
  <si>
    <t>2303 MILLING ROAD</t>
  </si>
  <si>
    <t>K5070B0001</t>
  </si>
  <si>
    <t>DURHAM CHRISTOPHER A</t>
  </si>
  <si>
    <t>THOMAS TRACIE C</t>
  </si>
  <si>
    <t>122 REDWOOD DRIVE</t>
  </si>
  <si>
    <t>H400000065</t>
  </si>
  <si>
    <t>FLO SA INC</t>
  </si>
  <si>
    <t>184 GRANNAMAN DRIVE</t>
  </si>
  <si>
    <t>G90000000802</t>
  </si>
  <si>
    <t>STIKE JOHNNY RAY</t>
  </si>
  <si>
    <t>1526 PEOPLES CREEK RD</t>
  </si>
  <si>
    <t>I40000007709</t>
  </si>
  <si>
    <t>H2060A0010</t>
  </si>
  <si>
    <t>ANDERSON JOEL BRADLEY</t>
  </si>
  <si>
    <t>ANDERSON CHRISTY</t>
  </si>
  <si>
    <t>516 VANZANT ROAD</t>
  </si>
  <si>
    <t>27028-8106</t>
  </si>
  <si>
    <t>H20000001001</t>
  </si>
  <si>
    <t>H20000001002</t>
  </si>
  <si>
    <t>F300000097</t>
  </si>
  <si>
    <t>POLLARD MICHAEL</t>
  </si>
  <si>
    <t>POLLARD GRETCHEN</t>
  </si>
  <si>
    <t>143 CAMELLIA LANE</t>
  </si>
  <si>
    <t>H5160A0031</t>
  </si>
  <si>
    <t>NEAL KEVIN D</t>
  </si>
  <si>
    <t>NEAL ANITA S</t>
  </si>
  <si>
    <t>163 WEST KNOLL BROOK DRIVE</t>
  </si>
  <si>
    <t>H40000004101</t>
  </si>
  <si>
    <t>I5050B0009</t>
  </si>
  <si>
    <t>WOODWARD LORI S</t>
  </si>
  <si>
    <t>449 WHITNEY ROAD</t>
  </si>
  <si>
    <t>C30000006301</t>
  </si>
  <si>
    <t>M2 &amp; COMPANY LLC</t>
  </si>
  <si>
    <t>224 QUAKER AVENUE</t>
  </si>
  <si>
    <t>27018-8097</t>
  </si>
  <si>
    <t>D9010A0015</t>
  </si>
  <si>
    <t>O600000079</t>
  </si>
  <si>
    <t>392 riddle forest lane</t>
  </si>
  <si>
    <t>salisbury</t>
  </si>
  <si>
    <t>M400000048</t>
  </si>
  <si>
    <t>HARTNESS FELICIA</t>
  </si>
  <si>
    <t>HARTNESS MICHAEL B</t>
  </si>
  <si>
    <t>868 GLADSTONE ROAD</t>
  </si>
  <si>
    <t>M5110A0001</t>
  </si>
  <si>
    <t>SPILLMAN ROBERT STEVEN</t>
  </si>
  <si>
    <t>219 HOBSON DRIVE</t>
  </si>
  <si>
    <t>27028-6658</t>
  </si>
  <si>
    <t>M5110A0004</t>
  </si>
  <si>
    <t>M5110A0005</t>
  </si>
  <si>
    <t>M5110A0006</t>
  </si>
  <si>
    <t>M5110A0007</t>
  </si>
  <si>
    <t>M5110A0008</t>
  </si>
  <si>
    <t>M5110A0009</t>
  </si>
  <si>
    <t>M5110A0010</t>
  </si>
  <si>
    <t>M5110A0017</t>
  </si>
  <si>
    <t>M5110A0002</t>
  </si>
  <si>
    <t>M5110A0003</t>
  </si>
  <si>
    <t>M5110A0029</t>
  </si>
  <si>
    <t>M5110A0031</t>
  </si>
  <si>
    <t>M5110A0032</t>
  </si>
  <si>
    <t>M5110A0019</t>
  </si>
  <si>
    <t>M5110A0013</t>
  </si>
  <si>
    <t>M5110A0020</t>
  </si>
  <si>
    <t>M5110A0014</t>
  </si>
  <si>
    <t>M5110A0021</t>
  </si>
  <si>
    <t>M5110A0028</t>
  </si>
  <si>
    <t>M5110A0026</t>
  </si>
  <si>
    <t>M5110A0027</t>
  </si>
  <si>
    <t>M5110A0030</t>
  </si>
  <si>
    <t>M5110A0018</t>
  </si>
  <si>
    <t>M5110A0011</t>
  </si>
  <si>
    <t>M5110A0012</t>
  </si>
  <si>
    <t>M5110A0022</t>
  </si>
  <si>
    <t>M5110A0023</t>
  </si>
  <si>
    <t>M5110A0033</t>
  </si>
  <si>
    <t>M5110A0034</t>
  </si>
  <si>
    <t>M5110A0035</t>
  </si>
  <si>
    <t>M5110A0025</t>
  </si>
  <si>
    <t>H500000005</t>
  </si>
  <si>
    <t>VALDEZ APOLINAR MENDEZ</t>
  </si>
  <si>
    <t>H8060A0080</t>
  </si>
  <si>
    <t>TEUSCHER SCOTT C</t>
  </si>
  <si>
    <t>373 COVINGTON DRIVE</t>
  </si>
  <si>
    <t>I4130A0002</t>
  </si>
  <si>
    <t>STEELE TRACY REDMOND</t>
  </si>
  <si>
    <t>216 GWYN STREET</t>
  </si>
  <si>
    <t>B500000001</t>
  </si>
  <si>
    <t>WILSON DALE V</t>
  </si>
  <si>
    <t>WILSON ANN H</t>
  </si>
  <si>
    <t>157 RACCOON TR</t>
  </si>
  <si>
    <t>D9010E0026</t>
  </si>
  <si>
    <t>WESELY LAURA J</t>
  </si>
  <si>
    <t>CHESTON MICHAEL G</t>
  </si>
  <si>
    <t>315 BING CROSBY BOULEVARD</t>
  </si>
  <si>
    <t>D7010B0005</t>
  </si>
  <si>
    <t>TOLER JOYCE LUPTON</t>
  </si>
  <si>
    <t>263 GORDON DRIVE</t>
  </si>
  <si>
    <t>F7120A0004</t>
  </si>
  <si>
    <t>GUZIK CHARLES G</t>
  </si>
  <si>
    <t>GUZIK NYANA</t>
  </si>
  <si>
    <t>189 MONTCLAIR DRIVE</t>
  </si>
  <si>
    <t>D300000052</t>
  </si>
  <si>
    <t>MEADOWS MICHAEL A</t>
  </si>
  <si>
    <t>MEADOWS BARBARA A</t>
  </si>
  <si>
    <t>140 LEANNE LANE</t>
  </si>
  <si>
    <t>D40000000901</t>
  </si>
  <si>
    <t>I4130A0014</t>
  </si>
  <si>
    <t>GRANADERO MIRIAM</t>
  </si>
  <si>
    <t>E900000173</t>
  </si>
  <si>
    <t>METCALF LESLIE B</t>
  </si>
  <si>
    <t>425 KINGSMILL DRIVE</t>
  </si>
  <si>
    <t>B50000008305</t>
  </si>
  <si>
    <t>KOEFOED STEPHANIE SMITH</t>
  </si>
  <si>
    <t>136 NICHOLAS WAY</t>
  </si>
  <si>
    <t>K200000002  A</t>
  </si>
  <si>
    <t>SEAFORD JACOB W</t>
  </si>
  <si>
    <t>J10000005001</t>
  </si>
  <si>
    <t>HELTON MARTIN D</t>
  </si>
  <si>
    <t>182 CRESCENT DRIVE</t>
  </si>
  <si>
    <t>H2060A000901</t>
  </si>
  <si>
    <t>H2060A0009</t>
  </si>
  <si>
    <t>E900000683</t>
  </si>
  <si>
    <t>DULANEY SHAWN D</t>
  </si>
  <si>
    <t>DULANEY WENDY L</t>
  </si>
  <si>
    <t>441 NORTH HIDDENBROOKE DRIVE</t>
  </si>
  <si>
    <t>M5160C0007</t>
  </si>
  <si>
    <t>COOLEEMEE PRESBYTERIAN CHURCH</t>
  </si>
  <si>
    <t>P O BOX 27</t>
  </si>
  <si>
    <t>M5160B0001</t>
  </si>
  <si>
    <t>C500000103</t>
  </si>
  <si>
    <t>FARMINGTON VOLUNTEER FIRE DEP</t>
  </si>
  <si>
    <t>M500000045</t>
  </si>
  <si>
    <t>M5110A0024</t>
  </si>
  <si>
    <t>E900000238</t>
  </si>
  <si>
    <t>KAPSCH EDNA RUELEEN</t>
  </si>
  <si>
    <t>108 KINGSMILL PLACE</t>
  </si>
  <si>
    <t>B50000000101</t>
  </si>
  <si>
    <t>M5110A0016</t>
  </si>
  <si>
    <t>M5110C0006</t>
  </si>
  <si>
    <t>M5110A0036</t>
  </si>
  <si>
    <t>M5110A0037</t>
  </si>
  <si>
    <t>M5110C0004</t>
  </si>
  <si>
    <t>M5110C0005</t>
  </si>
  <si>
    <t>M5110A0015</t>
  </si>
  <si>
    <t>M5110C0013</t>
  </si>
  <si>
    <t>M5110C0018</t>
  </si>
  <si>
    <t>M5110C0015</t>
  </si>
  <si>
    <t>M5110C0016</t>
  </si>
  <si>
    <t>M5110C0017</t>
  </si>
  <si>
    <t>M5110C0007</t>
  </si>
  <si>
    <t>M5110C0008</t>
  </si>
  <si>
    <t>M5110C0009</t>
  </si>
  <si>
    <t>M5110C0010</t>
  </si>
  <si>
    <t>M5110C0011</t>
  </si>
  <si>
    <t>M5110C0012</t>
  </si>
  <si>
    <t>M5110C0014</t>
  </si>
  <si>
    <t>M5110C0001</t>
  </si>
  <si>
    <t>M5110C0002</t>
  </si>
  <si>
    <t>M5110C0003</t>
  </si>
  <si>
    <t>M5110A0038</t>
  </si>
  <si>
    <t>M5110A0039</t>
  </si>
  <si>
    <t>M5110A0040</t>
  </si>
  <si>
    <t>H8060A0037</t>
  </si>
  <si>
    <t>MCCARSON SHANNON D</t>
  </si>
  <si>
    <t>MCCARSON ROBIN F</t>
  </si>
  <si>
    <t>129 S HEMINGWAY CT</t>
  </si>
  <si>
    <t>I5070B0003</t>
  </si>
  <si>
    <t>PENTECOSTAL HOLINESS CHURCH</t>
  </si>
  <si>
    <t>229 MILLING ROAD</t>
  </si>
  <si>
    <t>F700000006</t>
  </si>
  <si>
    <t>CORNATZER GENE</t>
  </si>
  <si>
    <t>% JEAN CORNATZER</t>
  </si>
  <si>
    <t>E700000072</t>
  </si>
  <si>
    <t>SOFLEY JESSE MARTIN JR</t>
  </si>
  <si>
    <t>1748 US HWY 801 S</t>
  </si>
  <si>
    <t>N5080A0015</t>
  </si>
  <si>
    <t>BOWLES RAYMOND CHRISTOPHER</t>
  </si>
  <si>
    <t>E900000291</t>
  </si>
  <si>
    <t>MICHAEL CARL O</t>
  </si>
  <si>
    <t>MICHAEL SANDRA B</t>
  </si>
  <si>
    <t>147 SAWGRASS DRIVE</t>
  </si>
  <si>
    <t>I5170C0015</t>
  </si>
  <si>
    <t>WILLIARD MARK C</t>
  </si>
  <si>
    <t>WILLIARD MARGARET A</t>
  </si>
  <si>
    <t>1166 STATE ROUTE 94</t>
  </si>
  <si>
    <t>BLAIRSTOWN</t>
  </si>
  <si>
    <t>J700000038</t>
  </si>
  <si>
    <t>ALLEN REGINA SWICEGOOD</t>
  </si>
  <si>
    <t>417 JOE ROAD</t>
  </si>
  <si>
    <t>K70000000102</t>
  </si>
  <si>
    <t>K70000000301</t>
  </si>
  <si>
    <t>I1110A0004</t>
  </si>
  <si>
    <t>LAWHON TONY S</t>
  </si>
  <si>
    <t>P O BOX 713</t>
  </si>
  <si>
    <t>I1110A0005</t>
  </si>
  <si>
    <t>J5150B0010</t>
  </si>
  <si>
    <t>HARTUNG DONNA</t>
  </si>
  <si>
    <t>139 WOODHAVEN LN</t>
  </si>
  <si>
    <t>J6050C0011</t>
  </si>
  <si>
    <t>OVERCASH WILLIAM H</t>
  </si>
  <si>
    <t>B50000008304</t>
  </si>
  <si>
    <t>HARRIS STEWART J</t>
  </si>
  <si>
    <t>119 HUMMINGBIRD LANE</t>
  </si>
  <si>
    <t>D700000223</t>
  </si>
  <si>
    <t>HARRISON FAMILY TRUST</t>
  </si>
  <si>
    <t>HARRISON JEFFREY BRIAN TRSTEE</t>
  </si>
  <si>
    <t>I4120A001901</t>
  </si>
  <si>
    <t>DEXTER BRADLEY JUSTIN</t>
  </si>
  <si>
    <t>418 WILKESBORO STREET</t>
  </si>
  <si>
    <t>G100000037</t>
  </si>
  <si>
    <t>ANDERSON ROGER WESLEY</t>
  </si>
  <si>
    <t>ANDERSON KATHLEEN ANN</t>
  </si>
  <si>
    <t>561 CALAHALN ROAD</t>
  </si>
  <si>
    <t>H200000001</t>
  </si>
  <si>
    <t>G10000003702</t>
  </si>
  <si>
    <t>G10000003703</t>
  </si>
  <si>
    <t>D3120A0001</t>
  </si>
  <si>
    <t>CUMMINGS JAMES</t>
  </si>
  <si>
    <t>CUMMINGS ALICE DARLENE</t>
  </si>
  <si>
    <t>1036 EATONS CHURCH RD</t>
  </si>
  <si>
    <t>C60000007601</t>
  </si>
  <si>
    <t>ALLEN VIVIAN MCKNIGHT</t>
  </si>
  <si>
    <t>D9090A0012</t>
  </si>
  <si>
    <t>DROLL ROBERT WILLIAM</t>
  </si>
  <si>
    <t>DROLL JUDITH KAY</t>
  </si>
  <si>
    <t>126 WILLOWBROOK PLACE</t>
  </si>
  <si>
    <t>G900000019</t>
  </si>
  <si>
    <t>MITCHELL MYRON</t>
  </si>
  <si>
    <t>MITCHELL PATRICIA</t>
  </si>
  <si>
    <t>PO BOX 2201</t>
  </si>
  <si>
    <t>I4120C0012</t>
  </si>
  <si>
    <t>JONES KELVIN</t>
  </si>
  <si>
    <t>GRIFFIN JOANNE</t>
  </si>
  <si>
    <t>531 CHURCH STREET EXTENSION</t>
  </si>
  <si>
    <t>E9150B0012</t>
  </si>
  <si>
    <t>VORIS JOHN C</t>
  </si>
  <si>
    <t>VORIS CYNTHIA T</t>
  </si>
  <si>
    <t>183 ORCHARD PARK DRIVE</t>
  </si>
  <si>
    <t>H4180A0011</t>
  </si>
  <si>
    <t>FOSTER RUTH GREEN</t>
  </si>
  <si>
    <t>121 STERLING DRIVE</t>
  </si>
  <si>
    <t>F1020A0011</t>
  </si>
  <si>
    <t>TULBERT JOE</t>
  </si>
  <si>
    <t>TULBERT SHELIA</t>
  </si>
  <si>
    <t>286 SHEFFIELD FARMS TRAIL</t>
  </si>
  <si>
    <t>D2010A0007</t>
  </si>
  <si>
    <t>WILLIAMS LARRY SHANE</t>
  </si>
  <si>
    <t>WILLIAMS JENNIFER T</t>
  </si>
  <si>
    <t>315 TIMBER TRAILS LANE</t>
  </si>
  <si>
    <t>D9010E0018</t>
  </si>
  <si>
    <t>TEDDER JEFFREY EUGENE</t>
  </si>
  <si>
    <t>TEDDER LINDSAY BEAVER</t>
  </si>
  <si>
    <t>133 RIVER HILL DRIVE</t>
  </si>
  <si>
    <t>G700000032</t>
  </si>
  <si>
    <t>CHILDRESS MICHAEL AARON</t>
  </si>
  <si>
    <t>CHILDRESS DALENA LAMBE</t>
  </si>
  <si>
    <t>142 SPRY LANE</t>
  </si>
  <si>
    <t>D50000005301</t>
  </si>
  <si>
    <t>NELSON DION THOMAS</t>
  </si>
  <si>
    <t>476 PUDDING RIDGE ROAD</t>
  </si>
  <si>
    <t>H8050A0017</t>
  </si>
  <si>
    <t>ROBERTS DEBORAH JORDAN</t>
  </si>
  <si>
    <t>167 SHADY GROVE LANE</t>
  </si>
  <si>
    <t>D8070C0010</t>
  </si>
  <si>
    <t>LOVE TIMOTHY W</t>
  </si>
  <si>
    <t>LOVE ERIN MARIE</t>
  </si>
  <si>
    <t>1073 RIVERBEND DRIVE</t>
  </si>
  <si>
    <t>I4060A0010</t>
  </si>
  <si>
    <t>BROWN TRACEY B</t>
  </si>
  <si>
    <t>756 YADKINVILLE ROAD</t>
  </si>
  <si>
    <t>G8010A0005</t>
  </si>
  <si>
    <t>ATWOOD MAURICE TODD</t>
  </si>
  <si>
    <t>189 LAQUINTA DRIVE</t>
  </si>
  <si>
    <t>D9090A0011</t>
  </si>
  <si>
    <t>GUTH CARYL J TRUSTEE</t>
  </si>
  <si>
    <t>CARYL J GUTH TRUST</t>
  </si>
  <si>
    <t>105 WILLOWBROOK PLACE</t>
  </si>
  <si>
    <t>D700000186</t>
  </si>
  <si>
    <t>FULLER LAND COMPANY LLC</t>
  </si>
  <si>
    <t>980 Salisbury Road</t>
  </si>
  <si>
    <t>D7010C0001</t>
  </si>
  <si>
    <t>D70000018602</t>
  </si>
  <si>
    <t>J4120B0005</t>
  </si>
  <si>
    <t>J4120B000401</t>
  </si>
  <si>
    <t>J40000003103</t>
  </si>
  <si>
    <t>D600000069</t>
  </si>
  <si>
    <t>PURDY MELISSA COLEMAN</t>
  </si>
  <si>
    <t>321 HILTON RD</t>
  </si>
  <si>
    <t>B700000074</t>
  </si>
  <si>
    <t>YADKIN VALLEY BAPTIST CHURCH</t>
  </si>
  <si>
    <t>528 Main Church Road</t>
  </si>
  <si>
    <t>D600000064</t>
  </si>
  <si>
    <t>HUFFMAN WADE NORMAN</t>
  </si>
  <si>
    <t>1209 RAINBOW ROAD</t>
  </si>
  <si>
    <t>K5070A0009</t>
  </si>
  <si>
    <t>VANCE DUKE</t>
  </si>
  <si>
    <t>VANCE MISCHELLE</t>
  </si>
  <si>
    <t>173 REDWOOD DRIVE</t>
  </si>
  <si>
    <t>K5070A0008</t>
  </si>
  <si>
    <t>I700000041</t>
  </si>
  <si>
    <t>LIVENGOOD GERRY DEAN</t>
  </si>
  <si>
    <t>LIVENGOOD DONNA TUGMAN</t>
  </si>
  <si>
    <t>I800000018</t>
  </si>
  <si>
    <t>H50000006501</t>
  </si>
  <si>
    <t>JOYNER KAZANNE SEAMON</t>
  </si>
  <si>
    <t>152 SAIN ROAD</t>
  </si>
  <si>
    <t>H400000035</t>
  </si>
  <si>
    <t>HACKLER DUSTIN</t>
  </si>
  <si>
    <t>860 COUNTRY LANE</t>
  </si>
  <si>
    <t>G800000216</t>
  </si>
  <si>
    <t>HENSLEY RONALD G</t>
  </si>
  <si>
    <t>471 RABBIT FARM TRAIL</t>
  </si>
  <si>
    <t>D8070A0057</t>
  </si>
  <si>
    <t>AMMON TRUST THE</t>
  </si>
  <si>
    <t>TRONSEN CALLA E TRUSTEE</t>
  </si>
  <si>
    <t>158 GOLFVIEW DRIVE</t>
  </si>
  <si>
    <t>H300000093</t>
  </si>
  <si>
    <t>1922 US HWY 601 N</t>
  </si>
  <si>
    <t>H4180A0001</t>
  </si>
  <si>
    <t>K5030A0017</t>
  </si>
  <si>
    <t>JUSTICE LARRY DEAN</t>
  </si>
  <si>
    <t>JUSTICE MARY ELIZABETH</t>
  </si>
  <si>
    <t>161 DEACON WAY</t>
  </si>
  <si>
    <t>E7140A0022</t>
  </si>
  <si>
    <t>HILARIO PEDRO A JR</t>
  </si>
  <si>
    <t>HILARO LAURA M</t>
  </si>
  <si>
    <t>111 GRAYWOOD COURT</t>
  </si>
  <si>
    <t>K20000002703</t>
  </si>
  <si>
    <t>TEETER MATTHEW</t>
  </si>
  <si>
    <t>TEETER HOLLY</t>
  </si>
  <si>
    <t>571 RIDGE ROAD</t>
  </si>
  <si>
    <t>D2010A0008</t>
  </si>
  <si>
    <t>H60000008204</t>
  </si>
  <si>
    <t>KETCHAM PAUL WILLIAM</t>
  </si>
  <si>
    <t>229 JAMESTOWNE DR</t>
  </si>
  <si>
    <t>E700000025</t>
  </si>
  <si>
    <t>STEELE DOROTHY ELAINE</t>
  </si>
  <si>
    <t>122 LAIRD ROAD</t>
  </si>
  <si>
    <t>E8160A0011</t>
  </si>
  <si>
    <t>GAGE JEFFREY L</t>
  </si>
  <si>
    <t>CHENG AI F</t>
  </si>
  <si>
    <t>195 MEADOWS EDGE DRIVE</t>
  </si>
  <si>
    <t>J10000000105</t>
  </si>
  <si>
    <t>DAPOLITO TERESA</t>
  </si>
  <si>
    <t>DAPOLITO WILLARD</t>
  </si>
  <si>
    <t>454 STROUD MILL ROAD</t>
  </si>
  <si>
    <t>28634-8941</t>
  </si>
  <si>
    <t>E7140A0036</t>
  </si>
  <si>
    <t>ROBERSON CHRISTOPHER M</t>
  </si>
  <si>
    <t>ROBERSON HOLLI A</t>
  </si>
  <si>
    <t>109 REDMEADOW DRIVE</t>
  </si>
  <si>
    <t>I700000035</t>
  </si>
  <si>
    <t>NO CREEK FARM LLC</t>
  </si>
  <si>
    <t>J700000061</t>
  </si>
  <si>
    <t>G600000109</t>
  </si>
  <si>
    <t>TRADER THOMAS BRENT</t>
  </si>
  <si>
    <t>TRADER CAMERON</t>
  </si>
  <si>
    <t>207 HEPLER ROAD</t>
  </si>
  <si>
    <t>L500000051</t>
  </si>
  <si>
    <t>FLANAGAN MARY PHELPS ESTATE</t>
  </si>
  <si>
    <t>6838 NC HIGHWAY 801 SOUTH</t>
  </si>
  <si>
    <t>I1120A0039</t>
  </si>
  <si>
    <t>PHILLIPS MICHAEL D</t>
  </si>
  <si>
    <t>165 OAK TREE LANE</t>
  </si>
  <si>
    <t>H4130A0013</t>
  </si>
  <si>
    <t>GRAMMER BRITNI</t>
  </si>
  <si>
    <t>123 ELMWOOD STREET</t>
  </si>
  <si>
    <t>J4050F0010</t>
  </si>
  <si>
    <t>BOWERS CHARLES HARTMAN</t>
  </si>
  <si>
    <t>909 HARDISON STREET</t>
  </si>
  <si>
    <t>27028-2509</t>
  </si>
  <si>
    <t>J4040F0020</t>
  </si>
  <si>
    <t>WILLIAMS MARK LEE</t>
  </si>
  <si>
    <t>WILLIAMS MICHELLE BARNETTE</t>
  </si>
  <si>
    <t>518 S SALISBURY ST</t>
  </si>
  <si>
    <t>D700000103</t>
  </si>
  <si>
    <t>JOHNSON TRAVIS R</t>
  </si>
  <si>
    <t>JOHNSON MANDY L</t>
  </si>
  <si>
    <t>158 HARPER ROAD</t>
  </si>
  <si>
    <t>F8030A0055</t>
  </si>
  <si>
    <t>GOBBLE LAUREN M</t>
  </si>
  <si>
    <t>121 WYATT DRIVE</t>
  </si>
  <si>
    <t>I5080B0005</t>
  </si>
  <si>
    <t>POTTS SYLVIA JOHNSON</t>
  </si>
  <si>
    <t>877 NORTH MAIN STREET</t>
  </si>
  <si>
    <t>J70000002105</t>
  </si>
  <si>
    <t>HARDY MICHAEL ALAN</t>
  </si>
  <si>
    <t>HARDY JOSEPH LANDON</t>
  </si>
  <si>
    <t>151 EVERHART ROAD</t>
  </si>
  <si>
    <t>H30000009801</t>
  </si>
  <si>
    <t>CARD BETSY</t>
  </si>
  <si>
    <t>1911 US HWY 601 N</t>
  </si>
  <si>
    <t>B700000042</t>
  </si>
  <si>
    <t>K5070A0007</t>
  </si>
  <si>
    <t>F20000004407</t>
  </si>
  <si>
    <t>WHITE AMANDA ANN</t>
  </si>
  <si>
    <t>G3140A0007</t>
  </si>
  <si>
    <t>HARPER TIMOTHY B</t>
  </si>
  <si>
    <t>HARPER SARAH J</t>
  </si>
  <si>
    <t>201 HIDDEN VALLEY LANE</t>
  </si>
  <si>
    <t>K500000093</t>
  </si>
  <si>
    <t>GWYN CINDY D</t>
  </si>
  <si>
    <t>CANTER JASON</t>
  </si>
  <si>
    <t>167 WALT WILSON ROAD</t>
  </si>
  <si>
    <t>F20000002002</t>
  </si>
  <si>
    <t>WILLIAMS NATHAN</t>
  </si>
  <si>
    <t>447 DUKE WHITAKER ROAD</t>
  </si>
  <si>
    <t>L40000003410</t>
  </si>
  <si>
    <t>SCHADE BRIAN</t>
  </si>
  <si>
    <t>127 NANCY EASTER LOOP</t>
  </si>
  <si>
    <t>E9150A0062</t>
  </si>
  <si>
    <t>SNAG PROPERTIES LLC</t>
  </si>
  <si>
    <t>3090 COPELAND ROAD</t>
  </si>
  <si>
    <t>I4130D000602</t>
  </si>
  <si>
    <t>MOCKSVILLE SIP 2 LLC</t>
  </si>
  <si>
    <t>P O BOX 2568</t>
  </si>
  <si>
    <t>D700000031</t>
  </si>
  <si>
    <t>D700000129</t>
  </si>
  <si>
    <t>CARTER SUSAN H</t>
  </si>
  <si>
    <t>142 CEMENTERY ROAD</t>
  </si>
  <si>
    <t>H300000050</t>
  </si>
  <si>
    <t>BURTS AUDREIA P</t>
  </si>
  <si>
    <t>BURTS DENNIS L</t>
  </si>
  <si>
    <t>140 HAMPTON LANE</t>
  </si>
  <si>
    <t>27028-8479</t>
  </si>
  <si>
    <t>J5150B0003</t>
  </si>
  <si>
    <t>BYLER JOSEPH S</t>
  </si>
  <si>
    <t>BYLER KATIE ANN</t>
  </si>
  <si>
    <t>150 HICKORY DRIVE</t>
  </si>
  <si>
    <t>D600000039</t>
  </si>
  <si>
    <t>TESH GARY WAYNE</t>
  </si>
  <si>
    <t>TESH DINAH B</t>
  </si>
  <si>
    <t>1063 RAINBOW ROAD</t>
  </si>
  <si>
    <t>J4040G000801</t>
  </si>
  <si>
    <t>MARKS DANIEL EDWIN</t>
  </si>
  <si>
    <t>MARKS JAQUELINA M</t>
  </si>
  <si>
    <t>471 S SALISBURY ST</t>
  </si>
  <si>
    <t>J200000034</t>
  </si>
  <si>
    <t>CARTNER KELLY VOGLER</t>
  </si>
  <si>
    <t>J20000001002</t>
  </si>
  <si>
    <t>J20000003302</t>
  </si>
  <si>
    <t>O600000002</t>
  </si>
  <si>
    <t>HARRIS DANIEL E&amp;NANCY B</t>
  </si>
  <si>
    <t>BLAKE DANNY R</t>
  </si>
  <si>
    <t>461 RIVERDALE RD</t>
  </si>
  <si>
    <t>I5070A000101</t>
  </si>
  <si>
    <t>FOSTER BETTY S REV LIV TRUST</t>
  </si>
  <si>
    <t>FOSTER BETTY S TRUSTEE</t>
  </si>
  <si>
    <t>117 CAROLINA ST</t>
  </si>
  <si>
    <t>I5070A0002</t>
  </si>
  <si>
    <t>H400000044</t>
  </si>
  <si>
    <t>PAULIN NORMA A</t>
  </si>
  <si>
    <t>SWAIM WESLEY G</t>
  </si>
  <si>
    <t>598 CAMPBELL RD</t>
  </si>
  <si>
    <t>C8010A0001</t>
  </si>
  <si>
    <t>POWELL LINDA KAY</t>
  </si>
  <si>
    <t>105 WINDSOR CIRCLE</t>
  </si>
  <si>
    <t>L50000001603</t>
  </si>
  <si>
    <t>BYERLY JANEEN JAMES</t>
  </si>
  <si>
    <t>461 GLADSTONE RD</t>
  </si>
  <si>
    <t>E70000006501</t>
  </si>
  <si>
    <t>BRADFORD CHRISTOPHER L ETAL</t>
  </si>
  <si>
    <t>BRADFORD AUBRY LYNN</t>
  </si>
  <si>
    <t>288 JUNEY BEAUCHAMP RD</t>
  </si>
  <si>
    <t>F900000021</t>
  </si>
  <si>
    <t>JONES JAMES VOGLER</t>
  </si>
  <si>
    <t>27006-0065</t>
  </si>
  <si>
    <t>F90000002301</t>
  </si>
  <si>
    <t>F900000023</t>
  </si>
  <si>
    <t>F300000062</t>
  </si>
  <si>
    <t>KELLY M DAVID &amp; N DIANE LIV TRUST THE</t>
  </si>
  <si>
    <t>11132 KENNY DR</t>
  </si>
  <si>
    <t>FORT WORTH</t>
  </si>
  <si>
    <t>K60000004001</t>
  </si>
  <si>
    <t>MASON ROBIN C</t>
  </si>
  <si>
    <t>MASON DAMON W</t>
  </si>
  <si>
    <t>146 MOORE TRAIL</t>
  </si>
  <si>
    <t>K10000001901</t>
  </si>
  <si>
    <t>CAUSEY TESS MILLER</t>
  </si>
  <si>
    <t>120 SMITH ROAD</t>
  </si>
  <si>
    <t>M50000000105</t>
  </si>
  <si>
    <t>LITTLE TRESIA A</t>
  </si>
  <si>
    <t>M500000005</t>
  </si>
  <si>
    <t>D500000113</t>
  </si>
  <si>
    <t>BOBBITT FARM LLC</t>
  </si>
  <si>
    <t>P O BOX 25625</t>
  </si>
  <si>
    <t>B20000001701</t>
  </si>
  <si>
    <t>REAVIS GLENN E</t>
  </si>
  <si>
    <t>REAVIS BARBARA D</t>
  </si>
  <si>
    <t>2068 LIBERTY CHURCH ROAD</t>
  </si>
  <si>
    <t>27028-4854</t>
  </si>
  <si>
    <t>E60000006004</t>
  </si>
  <si>
    <t>RHODES DREAMA MAE</t>
  </si>
  <si>
    <t>438 RAINBOW ROAD</t>
  </si>
  <si>
    <t>D500000127</t>
  </si>
  <si>
    <t>M400000007</t>
  </si>
  <si>
    <t>PRUITT JOHN MILTON</t>
  </si>
  <si>
    <t>27014-0122</t>
  </si>
  <si>
    <t>M40000000701</t>
  </si>
  <si>
    <t>H40000009301</t>
  </si>
  <si>
    <t>KOONTZ LILLIAN M</t>
  </si>
  <si>
    <t>KOONTZ LEWIS L</t>
  </si>
  <si>
    <t>187 KOONTZ ROAD</t>
  </si>
  <si>
    <t>G40000003103</t>
  </si>
  <si>
    <t>SHERRILL JUSTIN CLARK</t>
  </si>
  <si>
    <t>169 MILO LANE</t>
  </si>
  <si>
    <t>F10000001401</t>
  </si>
  <si>
    <t>TEAGUE MARY REEVES</t>
  </si>
  <si>
    <t>248 CHARLIE REEVES ROAD</t>
  </si>
  <si>
    <t>F10000001403</t>
  </si>
  <si>
    <t>K200000005</t>
  </si>
  <si>
    <t>TUTTEROW LARRY G</t>
  </si>
  <si>
    <t>TUTTEROW LINDA D</t>
  </si>
  <si>
    <t>1074 RIDGE ROAD</t>
  </si>
  <si>
    <t>M60000005303</t>
  </si>
  <si>
    <t>STRICKLAND KENNETH B</t>
  </si>
  <si>
    <t>STRICKLAND KIMBERLY A</t>
  </si>
  <si>
    <t>782 CHERRY HILL ROAD</t>
  </si>
  <si>
    <t>D8070E0006</t>
  </si>
  <si>
    <t>BERMUDA CENTER 63-20 INC</t>
  </si>
  <si>
    <t>PO BOX 790830</t>
  </si>
  <si>
    <t>78279-0830</t>
  </si>
  <si>
    <t>D80000002307</t>
  </si>
  <si>
    <t>G90000001306</t>
  </si>
  <si>
    <t>CONLEY DAVID R</t>
  </si>
  <si>
    <t>CONLEY JAN D</t>
  </si>
  <si>
    <t>1260 PEOPLES CREEK RD</t>
  </si>
  <si>
    <t>N600000013</t>
  </si>
  <si>
    <t>COPE NELL C</t>
  </si>
  <si>
    <t>3400 US HWY 601 S</t>
  </si>
  <si>
    <t>J5150D0005</t>
  </si>
  <si>
    <t>CLAYTON CHARLES WESLEY III</t>
  </si>
  <si>
    <t>CLAYTON-DOYLE PATRICIA LYNN</t>
  </si>
  <si>
    <t>246 SOUTHWOOD DRIVE</t>
  </si>
  <si>
    <t>D3120A0008</t>
  </si>
  <si>
    <t>CHURCH JOAN C</t>
  </si>
  <si>
    <t>1029 EATONS CHURCH ROAD</t>
  </si>
  <si>
    <t>N5010B0041</t>
  </si>
  <si>
    <t>EDDINGS JAMES RAY SR</t>
  </si>
  <si>
    <t>EDDINGS VIRGINIA B</t>
  </si>
  <si>
    <t>PO BOX 736</t>
  </si>
  <si>
    <t>M50000003204</t>
  </si>
  <si>
    <t>HERNANDEZ ANAYELI SANDOVAL</t>
  </si>
  <si>
    <t>QUITERIO LINDSAY SANTIAGO</t>
  </si>
  <si>
    <t>3015 US HWY 601 SOUTH</t>
  </si>
  <si>
    <t>M5070A0017</t>
  </si>
  <si>
    <t>DELELLO JOSEPH PAUL</t>
  </si>
  <si>
    <t>DELELLO AMANDA JO</t>
  </si>
  <si>
    <t>202 EDGEWOOD CIRCLE</t>
  </si>
  <si>
    <t>N5010B0007</t>
  </si>
  <si>
    <t>CLINE HEATHER G</t>
  </si>
  <si>
    <t>PO BOX 1130</t>
  </si>
  <si>
    <t>D600000038</t>
  </si>
  <si>
    <t>D60000004201</t>
  </si>
  <si>
    <t>J20000003404</t>
  </si>
  <si>
    <t>SEAMON JANE CARTNER</t>
  </si>
  <si>
    <t>SEAMON JERRY</t>
  </si>
  <si>
    <t>E900000316</t>
  </si>
  <si>
    <t>MARTIN JOSEPH B JR</t>
  </si>
  <si>
    <t>MARTIN ELIZABETH H</t>
  </si>
  <si>
    <t>706 OAK VALLEY BLVD</t>
  </si>
  <si>
    <t>F900000015</t>
  </si>
  <si>
    <t>F90000001501</t>
  </si>
  <si>
    <t>L40000004801</t>
  </si>
  <si>
    <t>COLEMAN YONE</t>
  </si>
  <si>
    <t>859 GLADSTONE ROAD</t>
  </si>
  <si>
    <t>M4050A0005</t>
  </si>
  <si>
    <t>F60000008401</t>
  </si>
  <si>
    <t>NAIL JAMES S</t>
  </si>
  <si>
    <t>NAIL RENEE B</t>
  </si>
  <si>
    <t>197 DULIN ROAD</t>
  </si>
  <si>
    <t>I500000058</t>
  </si>
  <si>
    <t>ROSSER JUDY PARKER</t>
  </si>
  <si>
    <t>221 OAK STREET</t>
  </si>
  <si>
    <t>B30000004102</t>
  </si>
  <si>
    <t>BLACKWOOD ARTHUR BENJAMIN</t>
  </si>
  <si>
    <t>6540 LAKE DALE WAY</t>
  </si>
  <si>
    <t>27012-9513</t>
  </si>
  <si>
    <t>L50000010102</t>
  </si>
  <si>
    <t>SHIELDS EDWARD JAMES</t>
  </si>
  <si>
    <t>BORUTA KATHLEEN</t>
  </si>
  <si>
    <t>208 FAIRFIELD ROAD</t>
  </si>
  <si>
    <t>D7030C0024</t>
  </si>
  <si>
    <t>174 SOUTH CLAYBON DRIVE</t>
  </si>
  <si>
    <t>I200000012</t>
  </si>
  <si>
    <t>WRIGHT MARIAM O</t>
  </si>
  <si>
    <t>PO BOX 67</t>
  </si>
  <si>
    <t>I200000018</t>
  </si>
  <si>
    <t>I200000009</t>
  </si>
  <si>
    <t>I10000003102</t>
  </si>
  <si>
    <t>I200000011</t>
  </si>
  <si>
    <t>I20000000902</t>
  </si>
  <si>
    <t>I30000001102</t>
  </si>
  <si>
    <t>I30000001103</t>
  </si>
  <si>
    <t>J5010D0044</t>
  </si>
  <si>
    <t>SCHENK MARK</t>
  </si>
  <si>
    <t>SCHENK KARRIE</t>
  </si>
  <si>
    <t>159 CLOISTER DRIVE</t>
  </si>
  <si>
    <t>M5090A0002</t>
  </si>
  <si>
    <t>BALES JERRY W JR</t>
  </si>
  <si>
    <t>PO BOX 59</t>
  </si>
  <si>
    <t>27014-0059</t>
  </si>
  <si>
    <t>M5090A0001</t>
  </si>
  <si>
    <t>I70000009901</t>
  </si>
  <si>
    <t>FISHEL BONNIE FOSTER</t>
  </si>
  <si>
    <t>145 LIVENGOOD ROAD</t>
  </si>
  <si>
    <t>G3060A0041</t>
  </si>
  <si>
    <t>GIBSON ROGER A II</t>
  </si>
  <si>
    <t>GIBSON YAN S</t>
  </si>
  <si>
    <t>242 STONY BROOK TRAIL</t>
  </si>
  <si>
    <t>I4010A0027</t>
  </si>
  <si>
    <t>JAMES PERRY M</t>
  </si>
  <si>
    <t>JAMES STEPHANIE M</t>
  </si>
  <si>
    <t>216 N WENTWORTH DRIVE</t>
  </si>
  <si>
    <t>J20000003805</t>
  </si>
  <si>
    <t>HILL SCOTT LEE</t>
  </si>
  <si>
    <t>HILL MISTY HOWARD</t>
  </si>
  <si>
    <t>175 PINE FOREST LANE</t>
  </si>
  <si>
    <t>D8020A0031</t>
  </si>
  <si>
    <t>BELIVEAU DEAN</t>
  </si>
  <si>
    <t>BELIVEAU KATHERINE</t>
  </si>
  <si>
    <t>1147 RIVERBEND DRIVE</t>
  </si>
  <si>
    <t>D700000161</t>
  </si>
  <si>
    <t>SMITH CREEK APARTMENTS LLC</t>
  </si>
  <si>
    <t>PO BOX 6171</t>
  </si>
  <si>
    <t>F600000017</t>
  </si>
  <si>
    <t>WILSON CHRISTOPHER A</t>
  </si>
  <si>
    <t>WILSON AMBER M</t>
  </si>
  <si>
    <t>3271 US HWY 158</t>
  </si>
  <si>
    <t>E8110C0021</t>
  </si>
  <si>
    <t>GERRETY NANCY L</t>
  </si>
  <si>
    <t>210 WESTRIDGE ROAD</t>
  </si>
  <si>
    <t>I5120B0021</t>
  </si>
  <si>
    <t>GRIFFIN AMANDA DAWN</t>
  </si>
  <si>
    <t>210 WINDWARD CIRCLE</t>
  </si>
  <si>
    <t>I5030A0003</t>
  </si>
  <si>
    <t>DIAZ DANIEL</t>
  </si>
  <si>
    <t>DIAZ IDALIA</t>
  </si>
  <si>
    <t>105 CYPRUS COVE DRIVE</t>
  </si>
  <si>
    <t>M5150A0014</t>
  </si>
  <si>
    <t>CAMPBELL LONNIE RAY</t>
  </si>
  <si>
    <t>PO BOX 201</t>
  </si>
  <si>
    <t>M5150A0015</t>
  </si>
  <si>
    <t>M5100A001401</t>
  </si>
  <si>
    <t>CARTER JOYCE F</t>
  </si>
  <si>
    <t>121 GUINEVERE LANE</t>
  </si>
  <si>
    <t>27028-6649</t>
  </si>
  <si>
    <t>J4030A0004</t>
  </si>
  <si>
    <t>RYCROFT WENDY BOOE</t>
  </si>
  <si>
    <t>BOOE TONY GRAY</t>
  </si>
  <si>
    <t>897 DEADMON ROAD</t>
  </si>
  <si>
    <t>G40000000701</t>
  </si>
  <si>
    <t>BAILEY CASEY S</t>
  </si>
  <si>
    <t>BAILEY BRIDGETT H</t>
  </si>
  <si>
    <t>J20000005001</t>
  </si>
  <si>
    <t>J20000003402</t>
  </si>
  <si>
    <t>C30000012408</t>
  </si>
  <si>
    <t>WALTERS WILLIAM R</t>
  </si>
  <si>
    <t>WALTERS ANNETTE S</t>
  </si>
  <si>
    <t>149 CROWS NEST LANE</t>
  </si>
  <si>
    <t>G8140A0036</t>
  </si>
  <si>
    <t>JEAN BAPTISTE JOSUE</t>
  </si>
  <si>
    <t>JEAN BAPTISTE TANDICE N</t>
  </si>
  <si>
    <t>125 CEDARPARK DRIVE</t>
  </si>
  <si>
    <t>C30000012409</t>
  </si>
  <si>
    <t>J6050D0005</t>
  </si>
  <si>
    <t>ORTIZ LUIS G</t>
  </si>
  <si>
    <t>149 MEADOWVIEW ROAD</t>
  </si>
  <si>
    <t>J6050D0004</t>
  </si>
  <si>
    <t>D9050B0022</t>
  </si>
  <si>
    <t>DJ SQUARED LLC</t>
  </si>
  <si>
    <t>E9150B0086</t>
  </si>
  <si>
    <t>SMITH THOMAS GORDON JR</t>
  </si>
  <si>
    <t>SMITH REBECCA LOFLIN</t>
  </si>
  <si>
    <t>247 ORCHARD PATH DRIVE</t>
  </si>
  <si>
    <t>E20000002808</t>
  </si>
  <si>
    <t>DILLE ALAN W</t>
  </si>
  <si>
    <t>DILLE DELLA TERESA</t>
  </si>
  <si>
    <t>206 BEAR CREEK CHURCH ROAD</t>
  </si>
  <si>
    <t>B50000008502</t>
  </si>
  <si>
    <t>KIMEL JEFFREY SCOT</t>
  </si>
  <si>
    <t>2531 FARMINGTON ROAD</t>
  </si>
  <si>
    <t>E900000517</t>
  </si>
  <si>
    <t>GRAY MICHAEL B</t>
  </si>
  <si>
    <t>GRAY ZELDA F</t>
  </si>
  <si>
    <t>105 LATROBE COURT</t>
  </si>
  <si>
    <t>I20000003601</t>
  </si>
  <si>
    <t>J80000002210</t>
  </si>
  <si>
    <t>YOUNG TRENT ALLAN</t>
  </si>
  <si>
    <t>3518 NC HWY 801 SOUTH</t>
  </si>
  <si>
    <t>E900000013</t>
  </si>
  <si>
    <t>SMITH DAVID R</t>
  </si>
  <si>
    <t>SMITH DANIELLE B</t>
  </si>
  <si>
    <t>190 OAKMONT DRIVE</t>
  </si>
  <si>
    <t>G8140A0003</t>
  </si>
  <si>
    <t>BRINKLEY TIMOTHY LEE</t>
  </si>
  <si>
    <t>BRINKLEY JESSICA KAREN</t>
  </si>
  <si>
    <t>205 OLD HOMEPLACE DRIVE</t>
  </si>
  <si>
    <t>D50000009101</t>
  </si>
  <si>
    <t>NICHOLS AMY CAUDLE</t>
  </si>
  <si>
    <t>114 KENNEN CREST ROAD</t>
  </si>
  <si>
    <t>G40000003309</t>
  </si>
  <si>
    <t>G40000004502</t>
  </si>
  <si>
    <t>M4120A0003</t>
  </si>
  <si>
    <t>HURSEY PHYLLIS F</t>
  </si>
  <si>
    <t>1029 GLADSTONE ROAD</t>
  </si>
  <si>
    <t>D30000006401</t>
  </si>
  <si>
    <t>JARVIS DONALD GLENN</t>
  </si>
  <si>
    <t>JARVIS MARY GAIL</t>
  </si>
  <si>
    <t>3878 US HIGHWAY 601 NORTH</t>
  </si>
  <si>
    <t>B300000057</t>
  </si>
  <si>
    <t>LEDBETTER MARY S</t>
  </si>
  <si>
    <t>173 BODFORD LANE</t>
  </si>
  <si>
    <t>L4130A0004</t>
  </si>
  <si>
    <t>NAIL CORNELIA LEA</t>
  </si>
  <si>
    <t>PO BOX 351</t>
  </si>
  <si>
    <t>D7030C0011</t>
  </si>
  <si>
    <t>PARKER RAY F</t>
  </si>
  <si>
    <t>129 FREEDOM DRIVE</t>
  </si>
  <si>
    <t>C200000011</t>
  </si>
  <si>
    <t>SHOFFNER LURAY</t>
  </si>
  <si>
    <t>133 BRIARCLIFF LANE</t>
  </si>
  <si>
    <t>I4130A0017</t>
  </si>
  <si>
    <t>RUANO CELSO MUNOZ</t>
  </si>
  <si>
    <t>BENITEZ AZARELY</t>
  </si>
  <si>
    <t>469 AVON STREET</t>
  </si>
  <si>
    <t>I4110C0018</t>
  </si>
  <si>
    <t>H200000019</t>
  </si>
  <si>
    <t>J300000042</t>
  </si>
  <si>
    <t>LEVAN SARAH B</t>
  </si>
  <si>
    <t>LEVAN ANDREW R</t>
  </si>
  <si>
    <t>719 GREENHILL ROAD</t>
  </si>
  <si>
    <t>I4110A002201</t>
  </si>
  <si>
    <t>MOCKSVILLE PROPCO II LLC</t>
  </si>
  <si>
    <t>328 FIRST AVENUE</t>
  </si>
  <si>
    <t>C60000011701</t>
  </si>
  <si>
    <t>HILL KELLY</t>
  </si>
  <si>
    <t>HILL DEETTE</t>
  </si>
  <si>
    <t>1740 YADKIN VALLEY ROAD</t>
  </si>
  <si>
    <t>J5150B0006</t>
  </si>
  <si>
    <t>GRAHAM KENNETH</t>
  </si>
  <si>
    <t>GRAHAM JESSICA</t>
  </si>
  <si>
    <t>224 RANDOM ROAD</t>
  </si>
  <si>
    <t>E900000636</t>
  </si>
  <si>
    <t>NAGY STEPHEN W TRUST</t>
  </si>
  <si>
    <t>NAGY DENISE A TRUST</t>
  </si>
  <si>
    <t>143 NIBLICK COURT</t>
  </si>
  <si>
    <t>H200000014</t>
  </si>
  <si>
    <t>D70000003904</t>
  </si>
  <si>
    <t>DUNN NORMA JEAN</t>
  </si>
  <si>
    <t>234 GORDON DR</t>
  </si>
  <si>
    <t>I30000007001</t>
  </si>
  <si>
    <t>OWINGS CATHIE DARLENE</t>
  </si>
  <si>
    <t>1297 W US HWY 64</t>
  </si>
  <si>
    <t>E20000002601</t>
  </si>
  <si>
    <t>POPLIN DONALD H</t>
  </si>
  <si>
    <t>POPLIN IRIS W</t>
  </si>
  <si>
    <t>4801 LOMBARDI LANE</t>
  </si>
  <si>
    <t>E50000000101</t>
  </si>
  <si>
    <t>COW GOLF LLC</t>
  </si>
  <si>
    <t>224 CORNWALLIS DRIVE</t>
  </si>
  <si>
    <t>J400000030</t>
  </si>
  <si>
    <t>COOLEEMEE-MOCKS MEM POST 1119</t>
  </si>
  <si>
    <t>PO BOX 1186</t>
  </si>
  <si>
    <t>F100000011</t>
  </si>
  <si>
    <t>HEFNER ROSCOE</t>
  </si>
  <si>
    <t>442 KIMMON ROAD</t>
  </si>
  <si>
    <t>D9090A0002</t>
  </si>
  <si>
    <t>FRISBIE CHARLES MARION</t>
  </si>
  <si>
    <t>FRISBIE MARY ELDER</t>
  </si>
  <si>
    <t>143 WILLOWBROOK</t>
  </si>
  <si>
    <t>L5070A0013</t>
  </si>
  <si>
    <t>BLAIR JOHN MICHAEL SR</t>
  </si>
  <si>
    <t>2087 US HWY 601 S</t>
  </si>
  <si>
    <t>J4050A0001</t>
  </si>
  <si>
    <t>MOLLINEDO BLANCA L</t>
  </si>
  <si>
    <t>852 HARDISON STREET</t>
  </si>
  <si>
    <t>M5160D0002</t>
  </si>
  <si>
    <t>C8010A0237</t>
  </si>
  <si>
    <t>OLSON WILLIAM K</t>
  </si>
  <si>
    <t>OLSON CHERRI</t>
  </si>
  <si>
    <t>117 MILLSTONE LANE</t>
  </si>
  <si>
    <t>D500000116</t>
  </si>
  <si>
    <t>CAMPBELL EDDIE W</t>
  </si>
  <si>
    <t>340 KENNEN KREST ROAD</t>
  </si>
  <si>
    <t>F50000001107</t>
  </si>
  <si>
    <t>RICH FREDERICK ASHBURN</t>
  </si>
  <si>
    <t>I1110A0013</t>
  </si>
  <si>
    <t>MCINNIS MARGARET BEAVER</t>
  </si>
  <si>
    <t>3859 HWY 64 WEST</t>
  </si>
  <si>
    <t>C8010A0263</t>
  </si>
  <si>
    <t>SUDOL MICHAEL PATRICK</t>
  </si>
  <si>
    <t>SUDOL BEVERLY JO</t>
  </si>
  <si>
    <t>127 N FIELD DRIVE</t>
  </si>
  <si>
    <t>D8060B0028</t>
  </si>
  <si>
    <t>TIBBS JEFFREY</t>
  </si>
  <si>
    <t>TIBBS SHERRY</t>
  </si>
  <si>
    <t>137 BERMUDA RUN DRIVE</t>
  </si>
  <si>
    <t>C8010A0031</t>
  </si>
  <si>
    <t>KRASIENKO ANTHONY M</t>
  </si>
  <si>
    <t>KRASIENKO PATRICIA A</t>
  </si>
  <si>
    <t>252 TOWN PARK DRIVE</t>
  </si>
  <si>
    <t>E900000056</t>
  </si>
  <si>
    <t>MURPHY JASON DEAN</t>
  </si>
  <si>
    <t>MURPHY JILL PRILLAMAN</t>
  </si>
  <si>
    <t>140 SUNTREE ROAD</t>
  </si>
  <si>
    <t>H50000001901</t>
  </si>
  <si>
    <t>ELYSIAN EQUITIES LLC</t>
  </si>
  <si>
    <t>PO BOX 789</t>
  </si>
  <si>
    <t>H500000018</t>
  </si>
  <si>
    <t>E500000005</t>
  </si>
  <si>
    <t>477 PUDDING RIDGE RD</t>
  </si>
  <si>
    <t>B3020A0008</t>
  </si>
  <si>
    <t>SMITH JESSE JUNIOR</t>
  </si>
  <si>
    <t>5173 US HWY 601 NORTH</t>
  </si>
  <si>
    <t>I40000007402</t>
  </si>
  <si>
    <t>BURCHAM JERRY LEE</t>
  </si>
  <si>
    <t>BURCHAM MARY CAVE</t>
  </si>
  <si>
    <t>500 OLD COUNTY HOME ROAD</t>
  </si>
  <si>
    <t>D9090D0028</t>
  </si>
  <si>
    <t>COLLINS HUBERT T</t>
  </si>
  <si>
    <t>COLLINS SHARON M</t>
  </si>
  <si>
    <t>357 HOLLYBROOK DRIVE</t>
  </si>
  <si>
    <t>J4060D0037</t>
  </si>
  <si>
    <t>CHAPMAN ERIC KENT</t>
  </si>
  <si>
    <t>CHAPMAN HEATHER NOEL</t>
  </si>
  <si>
    <t>169 BEECHWOOD DRIVE</t>
  </si>
  <si>
    <t>I5160C0011</t>
  </si>
  <si>
    <t>THUNDERSUN LLC</t>
  </si>
  <si>
    <t>208 VICTORY LANE</t>
  </si>
  <si>
    <t>I5020B000502</t>
  </si>
  <si>
    <t>DAY BILLY BURRIS</t>
  </si>
  <si>
    <t>E8020A0027</t>
  </si>
  <si>
    <t>OLIVO CHARLES</t>
  </si>
  <si>
    <t>OLIVO WALESKA</t>
  </si>
  <si>
    <t>128 RAINTREE ROAD</t>
  </si>
  <si>
    <t>D9050A0018</t>
  </si>
  <si>
    <t>HOLLIS CHARLOTTE L</t>
  </si>
  <si>
    <t>HICKS RHONDA HOLLIS</t>
  </si>
  <si>
    <t>3104 BERMUDA VILLAGE DRIVE</t>
  </si>
  <si>
    <t>K5070A0014</t>
  </si>
  <si>
    <t>STRONG WILLIAM JAMES</t>
  </si>
  <si>
    <t>STRONG SHAUNDRA DEE</t>
  </si>
  <si>
    <t>227 REDWOOD DRIVE</t>
  </si>
  <si>
    <t>G700000063</t>
  </si>
  <si>
    <t>ROBERTSON RICHARD D TRUSTEE</t>
  </si>
  <si>
    <t>ROBERTSON ANN E TRUSTEE</t>
  </si>
  <si>
    <t>RICHARD D &amp; ANN E REV TRUST</t>
  </si>
  <si>
    <t>1512 BALTIMORE RD</t>
  </si>
  <si>
    <t>27006-7202</t>
  </si>
  <si>
    <t>G700000056</t>
  </si>
  <si>
    <t>G700000015</t>
  </si>
  <si>
    <t>H3040A0010</t>
  </si>
  <si>
    <t>BROWN ALYSSA ANN</t>
  </si>
  <si>
    <t>% ALYSSA A BROWN FAVRE</t>
  </si>
  <si>
    <t>J5010C0025</t>
  </si>
  <si>
    <t>WILLIAMS LISA CAMPBELL</t>
  </si>
  <si>
    <t>F60000005316</t>
  </si>
  <si>
    <t>GRETKA NICHOLAS L</t>
  </si>
  <si>
    <t>GRETKA STACEY L</t>
  </si>
  <si>
    <t>3580 US HWY 158</t>
  </si>
  <si>
    <t>E300000059</t>
  </si>
  <si>
    <t>HILTON BOBBY C</t>
  </si>
  <si>
    <t>HILTON DONNA I</t>
  </si>
  <si>
    <t>533 RICHIE RD</t>
  </si>
  <si>
    <t>F800000132</t>
  </si>
  <si>
    <t>PFAFF JOHN W</t>
  </si>
  <si>
    <t>PFAFF SAMANTHA JUDD</t>
  </si>
  <si>
    <t>213 JARVIS ROAD</t>
  </si>
  <si>
    <t>I4010A0024</t>
  </si>
  <si>
    <t>LYONS KAITLIN C</t>
  </si>
  <si>
    <t>LYONS NICK G</t>
  </si>
  <si>
    <t>232 N WENTWORTH DRIVE</t>
  </si>
  <si>
    <t>C700000091</t>
  </si>
  <si>
    <t>MONTGOMERY JAMES RICHARD</t>
  </si>
  <si>
    <t>MONTGOMERY KARAN S</t>
  </si>
  <si>
    <t>E900000280</t>
  </si>
  <si>
    <t>CONLIN STEPHEN</t>
  </si>
  <si>
    <t>CONLIN FAYE</t>
  </si>
  <si>
    <t>107 GRASSLANDS COURT</t>
  </si>
  <si>
    <t>I700000033</t>
  </si>
  <si>
    <t>BURTON WILLIAM LOUIE</t>
  </si>
  <si>
    <t>834 WILLIAMS ROAD</t>
  </si>
  <si>
    <t>27006-7194</t>
  </si>
  <si>
    <t>F300000072</t>
  </si>
  <si>
    <t>BRACKEN WILLIAM SCOTT</t>
  </si>
  <si>
    <t>1903 ANGELL ROAD</t>
  </si>
  <si>
    <t>27028-4605</t>
  </si>
  <si>
    <t>I1110A0012</t>
  </si>
  <si>
    <t>H9080A0003</t>
  </si>
  <si>
    <t>PECK DANIEL</t>
  </si>
  <si>
    <t>267 PEOPLES CREEK ROAD</t>
  </si>
  <si>
    <t>H4140A0008</t>
  </si>
  <si>
    <t>BLAKLEY ASHLEA</t>
  </si>
  <si>
    <t>172 FERNWOOD LANE</t>
  </si>
  <si>
    <t>I5060B0020</t>
  </si>
  <si>
    <t>PEARCY JESSICA LEANNE</t>
  </si>
  <si>
    <t>CLARK AMASA JAMES</t>
  </si>
  <si>
    <t>357 FULTON STREET</t>
  </si>
  <si>
    <t>E900000290</t>
  </si>
  <si>
    <t>BOSWELL MATTHEW AUSTIN</t>
  </si>
  <si>
    <t>BOSWELL ADRIENNE ELIZABETH</t>
  </si>
  <si>
    <t>157 SAWGRASS DRIVE</t>
  </si>
  <si>
    <t>I4130B0011</t>
  </si>
  <si>
    <t>MASON SHERRY</t>
  </si>
  <si>
    <t>119 GWYN STREET</t>
  </si>
  <si>
    <t>C8010A0190</t>
  </si>
  <si>
    <t>RUSSELL R WAYNE</t>
  </si>
  <si>
    <t>RUSSELL SONJA M</t>
  </si>
  <si>
    <t>153 PARKVIEW LANE</t>
  </si>
  <si>
    <t>C60000002207</t>
  </si>
  <si>
    <t>JORDAN TABITHA</t>
  </si>
  <si>
    <t>1643 NC HWY 801 N</t>
  </si>
  <si>
    <t>E30000006702</t>
  </si>
  <si>
    <t>SOUTHER MELISSA W</t>
  </si>
  <si>
    <t>SOUTHER KEITH MORRIS</t>
  </si>
  <si>
    <t>1113 WAGNER ROAD</t>
  </si>
  <si>
    <t>E600000099</t>
  </si>
  <si>
    <t>SOWERS NATHAN R</t>
  </si>
  <si>
    <t>MITCHELL CERETHA S</t>
  </si>
  <si>
    <t>201 EVA LANE</t>
  </si>
  <si>
    <t>E700000010</t>
  </si>
  <si>
    <t>B60000001106</t>
  </si>
  <si>
    <t>SHREWSBURY HAROLD E</t>
  </si>
  <si>
    <t>SHREWSBURY BOBBI J</t>
  </si>
  <si>
    <t>205 ARROWHEAD ROAD</t>
  </si>
  <si>
    <t>L5100A0001</t>
  </si>
  <si>
    <t>HASKINS ROBERT SHAWN</t>
  </si>
  <si>
    <t>HASKINS EMILY JANE</t>
  </si>
  <si>
    <t>2318 US HWY 601 SOUTH</t>
  </si>
  <si>
    <t>J300000021</t>
  </si>
  <si>
    <t>JOHNSON ROBERT L JR</t>
  </si>
  <si>
    <t>JOHNSON SHIRLEY S</t>
  </si>
  <si>
    <t>D500000053</t>
  </si>
  <si>
    <t>ALMOND JONATHAN FRANK</t>
  </si>
  <si>
    <t>ALMOND HOLLY RICHARDSON</t>
  </si>
  <si>
    <t>388 PUDDING RIDGE RD</t>
  </si>
  <si>
    <t>C8010A0370</t>
  </si>
  <si>
    <t>ADAMS ROBINELLE C</t>
  </si>
  <si>
    <t>132 KILBOURNE DRIVE</t>
  </si>
  <si>
    <t>J5090A000201</t>
  </si>
  <si>
    <t>SPRY CHAVIS RAY</t>
  </si>
  <si>
    <t>SPRY TIFFANY WILLIS</t>
  </si>
  <si>
    <t>246 EATON ROAD</t>
  </si>
  <si>
    <t>J5010D0015</t>
  </si>
  <si>
    <t>BARRETT CLAUDIA L</t>
  </si>
  <si>
    <t>BARRETT JOHN A</t>
  </si>
  <si>
    <t>209 CHARLESTON RIDGE DRIVE</t>
  </si>
  <si>
    <t>G3060A0028</t>
  </si>
  <si>
    <t>BROWN JESSICA BEA</t>
  </si>
  <si>
    <t>HEGE KATELYN JESSICA</t>
  </si>
  <si>
    <t>120 PARKWAY COURT</t>
  </si>
  <si>
    <t>K80000001901</t>
  </si>
  <si>
    <t>CORNATZER BRANDON C</t>
  </si>
  <si>
    <t>NELSON SYDNEY</t>
  </si>
  <si>
    <t>235 SEAFORD ROAD</t>
  </si>
  <si>
    <t>J6050A0006</t>
  </si>
  <si>
    <t>BROOKINS AARON M</t>
  </si>
  <si>
    <t>DELLINGER AMY D</t>
  </si>
  <si>
    <t>176 PINE VALLEY ROAD</t>
  </si>
  <si>
    <t>L5020A0029</t>
  </si>
  <si>
    <t>RAMIREZ JOAQUIN</t>
  </si>
  <si>
    <t>ALVARADO GISELA</t>
  </si>
  <si>
    <t>156 TWIN CEDARS GOLF ROAD</t>
  </si>
  <si>
    <t>D8110A0011</t>
  </si>
  <si>
    <t>WOOD JEFFREY T</t>
  </si>
  <si>
    <t>WOOD KAREN R</t>
  </si>
  <si>
    <t>478 RIVERBEND DRIVE</t>
  </si>
  <si>
    <t>G9090B0021</t>
  </si>
  <si>
    <t>HEATH WEETA SPAINHOUR</t>
  </si>
  <si>
    <t>126 HOLLY HILL COURT</t>
  </si>
  <si>
    <t>E7060B0004</t>
  </si>
  <si>
    <t>LITTEN LORRAINE F</t>
  </si>
  <si>
    <t>137 TIMBER CREEK ROAD</t>
  </si>
  <si>
    <t>C8030B0006</t>
  </si>
  <si>
    <t>LUCKY STAR REALTY LLC</t>
  </si>
  <si>
    <t>4810 CLOVERHURST ROAD</t>
  </si>
  <si>
    <t>G3060B0006</t>
  </si>
  <si>
    <t>MYERS DARRELL L</t>
  </si>
  <si>
    <t>287 IJAMES CHURCH ROAD</t>
  </si>
  <si>
    <t>G300000085</t>
  </si>
  <si>
    <t>CHRISTY HOLDING COMPANY LLC</t>
  </si>
  <si>
    <t>204 E TERRACE DRIVE</t>
  </si>
  <si>
    <t>PLANT CITY</t>
  </si>
  <si>
    <t>G30000008001</t>
  </si>
  <si>
    <t>D9030A0003</t>
  </si>
  <si>
    <t>HECKARD ROBERT S JR</t>
  </si>
  <si>
    <t>HECKARD SHAY F</t>
  </si>
  <si>
    <t>158 JAMES WAY</t>
  </si>
  <si>
    <t>E600000096</t>
  </si>
  <si>
    <t>D R S INC</t>
  </si>
  <si>
    <t>E600000097</t>
  </si>
  <si>
    <t>G9090B0020</t>
  </si>
  <si>
    <t>GODWIN PATRICK</t>
  </si>
  <si>
    <t>GODWIN STEPHANIE L</t>
  </si>
  <si>
    <t>130 HOLLY HILL COURT</t>
  </si>
  <si>
    <t>D40000002401</t>
  </si>
  <si>
    <t>MCCASHIN MARY ELIZABETH</t>
  </si>
  <si>
    <t>1915 CANA RD</t>
  </si>
  <si>
    <t>I5110C0001</t>
  </si>
  <si>
    <t>TRUJILLO JOHANAN GOMEZ</t>
  </si>
  <si>
    <t>RODRIGUEZ MARIA ORALIA TRUJILL</t>
  </si>
  <si>
    <t>174 WINDWARD CIRCLE</t>
  </si>
  <si>
    <t>I5170B0136</t>
  </si>
  <si>
    <t>GWYNN JAMES L</t>
  </si>
  <si>
    <t>GWYNN LEIGH O</t>
  </si>
  <si>
    <t>136 BRICK WALK COURT</t>
  </si>
  <si>
    <t>I4060B0004</t>
  </si>
  <si>
    <t>CAMDEN APARTMENTS LLC</t>
  </si>
  <si>
    <t>14120 BALLANTYNE CORPORATE PL</t>
  </si>
  <si>
    <t>STE 575</t>
  </si>
  <si>
    <t>F800000100</t>
  </si>
  <si>
    <t>NAIL ALEX SAMUEL</t>
  </si>
  <si>
    <t>NAIL RENAE FLINCHUM</t>
  </si>
  <si>
    <t>193 POTTS RD</t>
  </si>
  <si>
    <t>F800000101</t>
  </si>
  <si>
    <t>N5010B0050</t>
  </si>
  <si>
    <t>PEACOCK ANGEL F</t>
  </si>
  <si>
    <t>PO BOX 232</t>
  </si>
  <si>
    <t>H60000003101</t>
  </si>
  <si>
    <t>SMITH MARVIN KELLY</t>
  </si>
  <si>
    <t>SMITH TWYLA B</t>
  </si>
  <si>
    <t>2172 MILLING ROAD</t>
  </si>
  <si>
    <t>I4060B0005</t>
  </si>
  <si>
    <t>I4060B0006</t>
  </si>
  <si>
    <t>I4060B0007</t>
  </si>
  <si>
    <t>I4130F000401</t>
  </si>
  <si>
    <t>TWO DANES PROPERTIES LLC</t>
  </si>
  <si>
    <t>PO  BOX 2285</t>
  </si>
  <si>
    <t>I4130F0004</t>
  </si>
  <si>
    <t>H600000031</t>
  </si>
  <si>
    <t>FOSTER MATTHEW</t>
  </si>
  <si>
    <t>I30000003004</t>
  </si>
  <si>
    <t>WOOTEN PAMELA M</t>
  </si>
  <si>
    <t>458 BOONE FARM ROAD</t>
  </si>
  <si>
    <t>E9150B0154</t>
  </si>
  <si>
    <t>BALSAVIAS SHARON LEA REV TRUST AGREEMENT</t>
  </si>
  <si>
    <t>BALSVIAS SHARON LEA TRUSTEE</t>
  </si>
  <si>
    <t>109 LINKS COURSE LANE</t>
  </si>
  <si>
    <t>F500000057</t>
  </si>
  <si>
    <t>119 N SALISBURY ST</t>
  </si>
  <si>
    <t>10TH FLOOR</t>
  </si>
  <si>
    <t>J70000004801</t>
  </si>
  <si>
    <t>C8040A0734</t>
  </si>
  <si>
    <t>HIX WILLIAM THOMAS</t>
  </si>
  <si>
    <t>HIX MARTHA B</t>
  </si>
  <si>
    <t>188 OLD TOWNE DRIVE</t>
  </si>
  <si>
    <t>I5120A0021</t>
  </si>
  <si>
    <t>ALLEN KIRK DOUGLAS</t>
  </si>
  <si>
    <t>182 WINDSONG ROAD</t>
  </si>
  <si>
    <t>F800000045</t>
  </si>
  <si>
    <t>F800000043</t>
  </si>
  <si>
    <t>G70000014203</t>
  </si>
  <si>
    <t>JARVIS MICHAEL HEATH</t>
  </si>
  <si>
    <t>183 MCDANIEL ROAD</t>
  </si>
  <si>
    <t>K20000005401</t>
  </si>
  <si>
    <t>MISENHEIMER SANDRA KAYE</t>
  </si>
  <si>
    <t>150 RIDGE ROAD</t>
  </si>
  <si>
    <t>E30000008201</t>
  </si>
  <si>
    <t>KELLY TODD ALLEN</t>
  </si>
  <si>
    <t>1963 ANGELL RD</t>
  </si>
  <si>
    <t>J7080B0012</t>
  </si>
  <si>
    <t>MOORE PAUL A</t>
  </si>
  <si>
    <t>149 N HAZELWOOD DRIVE</t>
  </si>
  <si>
    <t>B50000008303</t>
  </si>
  <si>
    <t>SMITH PATSY J</t>
  </si>
  <si>
    <t>2413 FARMINGTON ROAD</t>
  </si>
  <si>
    <t>J4060A0015</t>
  </si>
  <si>
    <t>AMMERMAN DENNIS J</t>
  </si>
  <si>
    <t>AMMERMAN ISABEL M</t>
  </si>
  <si>
    <t>249 MAGNOLIA AVENUE</t>
  </si>
  <si>
    <t>E9150B0109</t>
  </si>
  <si>
    <t>STRIDER VIRGIL D</t>
  </si>
  <si>
    <t>351 ORCHARD PARK DRIVE</t>
  </si>
  <si>
    <t>H90000001101</t>
  </si>
  <si>
    <t>HOWARD SAMUEL F</t>
  </si>
  <si>
    <t>HOWARD BLAIR H</t>
  </si>
  <si>
    <t>814 PEOPLES CREEK ROAD</t>
  </si>
  <si>
    <t>H900000012</t>
  </si>
  <si>
    <t>I90000000104</t>
  </si>
  <si>
    <t>H90000001201</t>
  </si>
  <si>
    <t>E900000032</t>
  </si>
  <si>
    <t>COMPTON BRANDON</t>
  </si>
  <si>
    <t>COMPTON EMILY</t>
  </si>
  <si>
    <t>157 OAKMONT DRIVE</t>
  </si>
  <si>
    <t>H8050A0008</t>
  </si>
  <si>
    <t>AGUILAR SARA A</t>
  </si>
  <si>
    <t>AGUILAR ERIC C</t>
  </si>
  <si>
    <t>196 SHADY GROVE LANE</t>
  </si>
  <si>
    <t>E900000724</t>
  </si>
  <si>
    <t>LARIMORE JATHAN JEROME</t>
  </si>
  <si>
    <t>LARIMORE LESLEY JO BROWN</t>
  </si>
  <si>
    <t>119 CAUDLE MEADOWS DRIVE</t>
  </si>
  <si>
    <t>G60000010601</t>
  </si>
  <si>
    <t>SPARK GLENN</t>
  </si>
  <si>
    <t>124 TRIPLE CREEK TL</t>
  </si>
  <si>
    <t>G60000010701</t>
  </si>
  <si>
    <t>B500000082</t>
  </si>
  <si>
    <t>K60000001801</t>
  </si>
  <si>
    <t>SHORES ROBERT LEE</t>
  </si>
  <si>
    <t>SHORES CHRISTINA P</t>
  </si>
  <si>
    <t>562 FRANK SHORT ROAD</t>
  </si>
  <si>
    <t>27028-5226</t>
  </si>
  <si>
    <t>J100000033</t>
  </si>
  <si>
    <t>THORNE SHIRLEY D</t>
  </si>
  <si>
    <t>1553 RIDGE RD</t>
  </si>
  <si>
    <t>K5100A0002</t>
  </si>
  <si>
    <t>POPLIN ERIKA TIANA</t>
  </si>
  <si>
    <t>235 DEADMON ROAD</t>
  </si>
  <si>
    <t>I4060A0020</t>
  </si>
  <si>
    <t>ENCIZO VERONICA ARROYO</t>
  </si>
  <si>
    <t>818 YADKINVILLE ROAD</t>
  </si>
  <si>
    <t>C600000084</t>
  </si>
  <si>
    <t>1310 NC HWY 801 N</t>
  </si>
  <si>
    <t>H7030A0040</t>
  </si>
  <si>
    <t>LESTER CRYSTAL</t>
  </si>
  <si>
    <t>150 BRIER CREEK ROAD</t>
  </si>
  <si>
    <t>I4010A0017</t>
  </si>
  <si>
    <t>GUTIERREZ JORGE</t>
  </si>
  <si>
    <t>GUTTIERREZ CLAUDIA</t>
  </si>
  <si>
    <t>213 N WENTWORTH DRIVE</t>
  </si>
  <si>
    <t>G40000000702</t>
  </si>
  <si>
    <t>WILSON SUSAN S</t>
  </si>
  <si>
    <t>138 GRIFFIN ROAD</t>
  </si>
  <si>
    <t>STOKESDALE</t>
  </si>
  <si>
    <t>E900000509</t>
  </si>
  <si>
    <t>READ ANTHONY S</t>
  </si>
  <si>
    <t>READ GLENDA C</t>
  </si>
  <si>
    <t>105 AUGUSTA COURT</t>
  </si>
  <si>
    <t>K50000000402</t>
  </si>
  <si>
    <t>MOCKSVILLE MARKETPLACE PARTNERS LLC</t>
  </si>
  <si>
    <t>PO BOX 5778</t>
  </si>
  <si>
    <t>K50000000405</t>
  </si>
  <si>
    <t>F80000010001</t>
  </si>
  <si>
    <t>E60000007002</t>
  </si>
  <si>
    <t>ALLEN WAYNENA</t>
  </si>
  <si>
    <t>4142 US HWY 158</t>
  </si>
  <si>
    <t>E600000088</t>
  </si>
  <si>
    <t>G9100A0025</t>
  </si>
  <si>
    <t>RICHARDSON ROBERT K</t>
  </si>
  <si>
    <t>RICHARDSON JENNIFER</t>
  </si>
  <si>
    <t>123 CREEKVIEW DR</t>
  </si>
  <si>
    <t>M40000005202</t>
  </si>
  <si>
    <t>HARTSELL DUANE T</t>
  </si>
  <si>
    <t>PO BOX 219</t>
  </si>
  <si>
    <t>M40000005201</t>
  </si>
  <si>
    <t>J7080B0007</t>
  </si>
  <si>
    <t>REINSVOLD ROGER W</t>
  </si>
  <si>
    <t>REINSVOLD LENA</t>
  </si>
  <si>
    <t>185 CEDARWOOD PLACE</t>
  </si>
  <si>
    <t>G600000010</t>
  </si>
  <si>
    <t>MARKLIN DOROTHY GRAY SAIN</t>
  </si>
  <si>
    <t>2890 US HWY 158</t>
  </si>
  <si>
    <t>I100000041</t>
  </si>
  <si>
    <t>STROUD ANN F</t>
  </si>
  <si>
    <t>4295 US HWY 64 W</t>
  </si>
  <si>
    <t>27028-8460</t>
  </si>
  <si>
    <t>E900000491</t>
  </si>
  <si>
    <t>RAJACICH JOSEPH A</t>
  </si>
  <si>
    <t>RAJACICH KELLI J</t>
  </si>
  <si>
    <t>242 N HIDDENBROOKE DRIVE</t>
  </si>
  <si>
    <t>J4030B0017</t>
  </si>
  <si>
    <t>CARROLL BRANDON DERRICK</t>
  </si>
  <si>
    <t>149 HOLLY LANE</t>
  </si>
  <si>
    <t>I600000048</t>
  </si>
  <si>
    <t>FETHERBAY WAYNE DAVID JR</t>
  </si>
  <si>
    <t>257 CHESTNUT TRAIL</t>
  </si>
  <si>
    <t>I50000001101</t>
  </si>
  <si>
    <t>GARBAGE DISPOSAL SERVICE INC</t>
  </si>
  <si>
    <t>% REPUBLIC SERVICES PROP TAX</t>
  </si>
  <si>
    <t>PO BOX 29246</t>
  </si>
  <si>
    <t>85038-0000</t>
  </si>
  <si>
    <t>G90000000904</t>
  </si>
  <si>
    <t>BARNEY LUCY A</t>
  </si>
  <si>
    <t>1001 PEOPLES CREEK RD</t>
  </si>
  <si>
    <t>F600000001</t>
  </si>
  <si>
    <t>SMITH STEVEN DENNIS</t>
  </si>
  <si>
    <t>SMITH JOYCE WALL</t>
  </si>
  <si>
    <t>3114 US HIGHWAY 158</t>
  </si>
  <si>
    <t>K50000000306</t>
  </si>
  <si>
    <t>DAVIDSON COUNTY COMMUNITY COL</t>
  </si>
  <si>
    <t>ATTN: BUSINESS OFFICE</t>
  </si>
  <si>
    <t>PO BOX 1287</t>
  </si>
  <si>
    <t>J5160A000301</t>
  </si>
  <si>
    <t>D500000017</t>
  </si>
  <si>
    <t>SECHREST JONATHAN A</t>
  </si>
  <si>
    <t>SECHREST SHANDA S</t>
  </si>
  <si>
    <t>162 NIKKIS WAY</t>
  </si>
  <si>
    <t>H4130A0001</t>
  </si>
  <si>
    <t>VIA AMY A</t>
  </si>
  <si>
    <t>104 SUMMIT DRIVE</t>
  </si>
  <si>
    <t>J4120A0020</t>
  </si>
  <si>
    <t>I5170B0132</t>
  </si>
  <si>
    <t>PMJ PROPERTIES LLC</t>
  </si>
  <si>
    <t>170 MATTHIAS COURT</t>
  </si>
  <si>
    <t>D8100C0023</t>
  </si>
  <si>
    <t>COOPER STEPHEN H</t>
  </si>
  <si>
    <t>COOPER CHRISTINE L</t>
  </si>
  <si>
    <t>166 SPYGLASS DRIVE</t>
  </si>
  <si>
    <t>I5170B0138</t>
  </si>
  <si>
    <t>TRUELL HELEN</t>
  </si>
  <si>
    <t>138 BRICK WALK COURT</t>
  </si>
  <si>
    <t>C7150A0015</t>
  </si>
  <si>
    <t>SINK JEREMY WINFIELD</t>
  </si>
  <si>
    <t>SINK ELIZABETH C</t>
  </si>
  <si>
    <t>212 WOODBURN PLACE</t>
  </si>
  <si>
    <t>I5170C0017</t>
  </si>
  <si>
    <t>N5010C0026</t>
  </si>
  <si>
    <t>RAXTER TRACY L</t>
  </si>
  <si>
    <t>PO BOX 718</t>
  </si>
  <si>
    <t>H8060A0025</t>
  </si>
  <si>
    <t>CARTER LANDON RHODES</t>
  </si>
  <si>
    <t>CARTER SARAH M</t>
  </si>
  <si>
    <t>114 HEMMINGWAY COURT</t>
  </si>
  <si>
    <t>H400000011</t>
  </si>
  <si>
    <t>GV &amp; B LLC</t>
  </si>
  <si>
    <t>6408 SERVICE ROAD</t>
  </si>
  <si>
    <t>M5160A0003</t>
  </si>
  <si>
    <t>KERNSTINE PAMELA C</t>
  </si>
  <si>
    <t>I5170B0127</t>
  </si>
  <si>
    <t>GRAHAM ALETHA ANN</t>
  </si>
  <si>
    <t>127 W BRICK WALK COURT</t>
  </si>
  <si>
    <t>N500000010</t>
  </si>
  <si>
    <t>SPRY BRENT</t>
  </si>
  <si>
    <t>SPRY LOTIS ROJAS</t>
  </si>
  <si>
    <t>PO BOX 385</t>
  </si>
  <si>
    <t>I4110B0006</t>
  </si>
  <si>
    <t>HOWELL CHRISTOPHER BRYCE</t>
  </si>
  <si>
    <t>MCGUNIGAL SAVANNAH MARIE</t>
  </si>
  <si>
    <t>538 WILKESBORO STREET</t>
  </si>
  <si>
    <t>L30000002203</t>
  </si>
  <si>
    <t>MEADOW BREEZE NORTH CAROLINA LLC</t>
  </si>
  <si>
    <t>PO BOX 977</t>
  </si>
  <si>
    <t>MOULTON BOROUGH</t>
  </si>
  <si>
    <t>L30000002205</t>
  </si>
  <si>
    <t>B7010A0011</t>
  </si>
  <si>
    <t>TEARPOCK VINCE</t>
  </si>
  <si>
    <t>TEARPOCK TRACY</t>
  </si>
  <si>
    <t>123 SERENITY HILLS TL</t>
  </si>
  <si>
    <t>J100000034</t>
  </si>
  <si>
    <t>H8060A0065</t>
  </si>
  <si>
    <t>GAY MATTHEW T</t>
  </si>
  <si>
    <t>GAY JESSICA L</t>
  </si>
  <si>
    <t>344 COVINGTON DRIVE</t>
  </si>
  <si>
    <t>E900000323</t>
  </si>
  <si>
    <t>MASH WILLIAM B</t>
  </si>
  <si>
    <t>MASH HEATHER S</t>
  </si>
  <si>
    <t>126 WOODLANDS COURT</t>
  </si>
  <si>
    <t>G500000149</t>
  </si>
  <si>
    <t>444 FARMLAND ROAD</t>
  </si>
  <si>
    <t>M40000004202</t>
  </si>
  <si>
    <t>M40000005205</t>
  </si>
  <si>
    <t>E7140A0028</t>
  </si>
  <si>
    <t>WHALEY JOEL BENJAMIN</t>
  </si>
  <si>
    <t>WHALEY HEATHER LYNN</t>
  </si>
  <si>
    <t>175 REDMEADOW DRIVE</t>
  </si>
  <si>
    <t>J100000056</t>
  </si>
  <si>
    <t>K50000000305</t>
  </si>
  <si>
    <t>G70000013907</t>
  </si>
  <si>
    <t>WALKER JOEL E</t>
  </si>
  <si>
    <t>WALKER LORI L</t>
  </si>
  <si>
    <t>360 BRIDLE LANE</t>
  </si>
  <si>
    <t>27006-7173</t>
  </si>
  <si>
    <t>D9010A0016</t>
  </si>
  <si>
    <t>WARK DEREK J</t>
  </si>
  <si>
    <t>139 PEMBROOKE RIDGE COURT</t>
  </si>
  <si>
    <t>G9090D0012</t>
  </si>
  <si>
    <t>ROUSH TODD A</t>
  </si>
  <si>
    <t>ROUSH CYNTHIA L</t>
  </si>
  <si>
    <t>188 PRIMROSE ROAD</t>
  </si>
  <si>
    <t>H4130A0068</t>
  </si>
  <si>
    <t>RUSH SONYA D</t>
  </si>
  <si>
    <t>204 SUMMIT DRIVE</t>
  </si>
  <si>
    <t>G20000000102</t>
  </si>
  <si>
    <t>MOSES GARY W</t>
  </si>
  <si>
    <t>1115 CALAHALN ROAD</t>
  </si>
  <si>
    <t>C700000001</t>
  </si>
  <si>
    <t>KILBY KATHERINE E</t>
  </si>
  <si>
    <t>1565 YADKIN VALLEY ROAD</t>
  </si>
  <si>
    <t>C8010A0209</t>
  </si>
  <si>
    <t>KAIMAN SANDRA</t>
  </si>
  <si>
    <t>148 NORTH FORKE DRIVE</t>
  </si>
  <si>
    <t>E6110A0017</t>
  </si>
  <si>
    <t>MANAK BRUCE</t>
  </si>
  <si>
    <t>MANAK THERESA</t>
  </si>
  <si>
    <t>199 FOX RUN DRIVE</t>
  </si>
  <si>
    <t>D400000012</t>
  </si>
  <si>
    <t>WOODARD JOHN B</t>
  </si>
  <si>
    <t>WOODARD JOAN A</t>
  </si>
  <si>
    <t>141 MURCHISON RD</t>
  </si>
  <si>
    <t>J20000002106</t>
  </si>
  <si>
    <t>HENDRICKS JORDAN NEIL</t>
  </si>
  <si>
    <t>129 CANE MILL DRIVE</t>
  </si>
  <si>
    <t>G8120B001503</t>
  </si>
  <si>
    <t>HOLDER JOHN F JR</t>
  </si>
  <si>
    <t>3541 BROOKLAND DRIVE</t>
  </si>
  <si>
    <t>27012-8705</t>
  </si>
  <si>
    <t>D70000004904</t>
  </si>
  <si>
    <t>LANIER LARRY W</t>
  </si>
  <si>
    <t>LANIER PATSY D</t>
  </si>
  <si>
    <t>196 GORDON DR</t>
  </si>
  <si>
    <t>L5070A0026</t>
  </si>
  <si>
    <t>ELLIS FRED ORRELL SR</t>
  </si>
  <si>
    <t>ELLIS MARIE C</t>
  </si>
  <si>
    <t>J4060D0017</t>
  </si>
  <si>
    <t>MENIUS NEIL R</t>
  </si>
  <si>
    <t>WAGNER-MENIUS KIMBERLY</t>
  </si>
  <si>
    <t>268 BIRCHWOOD LANE</t>
  </si>
  <si>
    <t>I5030A0015</t>
  </si>
  <si>
    <t>APONTE ROBERTO JR</t>
  </si>
  <si>
    <t>APONTE ANGELA L</t>
  </si>
  <si>
    <t>113 ELI AVENUE</t>
  </si>
  <si>
    <t>E900000166</t>
  </si>
  <si>
    <t>SPEER RANDALL J</t>
  </si>
  <si>
    <t>SPEER NANCY B</t>
  </si>
  <si>
    <t>105 LONETREE COURT</t>
  </si>
  <si>
    <t>M50000003304</t>
  </si>
  <si>
    <t>UNTZ MARCUS ALLEN</t>
  </si>
  <si>
    <t>BAUSTERT KAYLA NICOLE</t>
  </si>
  <si>
    <t>300 PLEASANT ACRE DRIVE</t>
  </si>
  <si>
    <t>F3130A0005</t>
  </si>
  <si>
    <t>HUNT DUSTIN R</t>
  </si>
  <si>
    <t>HUNT MICHELLE</t>
  </si>
  <si>
    <t>138 PEPPERSTONE DRIVE</t>
  </si>
  <si>
    <t>G8140A0034</t>
  </si>
  <si>
    <t>WRIGHT DAVID</t>
  </si>
  <si>
    <t>107 CRESTWOOD COURT</t>
  </si>
  <si>
    <t>K700000080</t>
  </si>
  <si>
    <t>MAREADY DOUGLAS WAYNE</t>
  </si>
  <si>
    <t>156 DRUM LANE</t>
  </si>
  <si>
    <t>K70000004202</t>
  </si>
  <si>
    <t>D8080A0007</t>
  </si>
  <si>
    <t>MAGUIRE THOMAS ETAL</t>
  </si>
  <si>
    <t>MAGUIRE CHRISTINE</t>
  </si>
  <si>
    <t>P O BOX 167</t>
  </si>
  <si>
    <t>27102-0167</t>
  </si>
  <si>
    <t>E9150B0044</t>
  </si>
  <si>
    <t>HUMMEL CHARLES RICHARD</t>
  </si>
  <si>
    <t>HUMMEL RUJAN</t>
  </si>
  <si>
    <t>168 SYCAMORE RIDGE DRIVE</t>
  </si>
  <si>
    <t>I4010A0053</t>
  </si>
  <si>
    <t>ANDERSON MILDRED</t>
  </si>
  <si>
    <t>143 N WENTWORTH DRIVE</t>
  </si>
  <si>
    <t>L70000001205</t>
  </si>
  <si>
    <t>HEGE PENELOPE G</t>
  </si>
  <si>
    <t>187 LEVITY LANE</t>
  </si>
  <si>
    <t>H600000082</t>
  </si>
  <si>
    <t>D200000011</t>
  </si>
  <si>
    <t>CLINE FLAKE RUPARD</t>
  </si>
  <si>
    <t>870 BEAR CREEK CHURCH ROAD</t>
  </si>
  <si>
    <t>D400000013</t>
  </si>
  <si>
    <t>J40000002402</t>
  </si>
  <si>
    <t>COUNTY OF DAVIE</t>
  </si>
  <si>
    <t>BOARD OF COUNTY COMMISSIONERS</t>
  </si>
  <si>
    <t>G70000013903</t>
  </si>
  <si>
    <t>BATTEN JOSEPH KEITH</t>
  </si>
  <si>
    <t>BATTEN LINTEENA BOWMAN</t>
  </si>
  <si>
    <t>296 BRIDLE LN</t>
  </si>
  <si>
    <t>J400000048</t>
  </si>
  <si>
    <t>LAMATTINA KENNETH</t>
  </si>
  <si>
    <t>LAMATTINA COLLEEN</t>
  </si>
  <si>
    <t>1460 JERICHO CHURCH ROAD</t>
  </si>
  <si>
    <t>E70000000905</t>
  </si>
  <si>
    <t>STEELE TERRY A SR</t>
  </si>
  <si>
    <t>STEELE BETTY B</t>
  </si>
  <si>
    <t>164 LAIRD ROAD</t>
  </si>
  <si>
    <t>M5060B0007</t>
  </si>
  <si>
    <t>PELOTE ROY LEE</t>
  </si>
  <si>
    <t>PELOTE STEPHANIE RANKIN</t>
  </si>
  <si>
    <t>200 HOBSON DRIVE</t>
  </si>
  <si>
    <t>F300000115</t>
  </si>
  <si>
    <t>ATKINSON DANIEL</t>
  </si>
  <si>
    <t>ATKINSON BRANDIE</t>
  </si>
  <si>
    <t>831 WAGNER ROAD</t>
  </si>
  <si>
    <t>F500000027</t>
  </si>
  <si>
    <t>ISGETT JENNIFER ALLEN</t>
  </si>
  <si>
    <t>211 BUCK MILLER ROAD</t>
  </si>
  <si>
    <t>I5090C0018</t>
  </si>
  <si>
    <t>MTA GROUP LLC</t>
  </si>
  <si>
    <t>I5080E0021</t>
  </si>
  <si>
    <t>K60000001909</t>
  </si>
  <si>
    <t>B400000005</t>
  </si>
  <si>
    <t>CANTER STEPHEN BLAKE</t>
  </si>
  <si>
    <t>CANTER NIKKI B</t>
  </si>
  <si>
    <t>190 ESSIC ROAD</t>
  </si>
  <si>
    <t>L5100A0025</t>
  </si>
  <si>
    <t>SOUSA CAMERON</t>
  </si>
  <si>
    <t>KIRKUS DOYLE</t>
  </si>
  <si>
    <t>173 LIBERTY ROAD</t>
  </si>
  <si>
    <t>F1030A0011</t>
  </si>
  <si>
    <t>PIRK GARRY S JR</t>
  </si>
  <si>
    <t>PIRK WENDY J</t>
  </si>
  <si>
    <t>163 MOLLIE ROAD</t>
  </si>
  <si>
    <t>G40000004602</t>
  </si>
  <si>
    <t>ANDERSON RANDY E</t>
  </si>
  <si>
    <t>127 SHIRLEYS WAY</t>
  </si>
  <si>
    <t>G40000002902</t>
  </si>
  <si>
    <t>MCCULLOH GREGORY RAY</t>
  </si>
  <si>
    <t>MCCULLOH KAREN</t>
  </si>
  <si>
    <t>1930 US HWY 158</t>
  </si>
  <si>
    <t>G70000013904</t>
  </si>
  <si>
    <t>D400000015</t>
  </si>
  <si>
    <t>WOODARD JOHN B JR</t>
  </si>
  <si>
    <t>WOODARD JOAN</t>
  </si>
  <si>
    <t>B30000004103</t>
  </si>
  <si>
    <t>CRANFILL PATSY T</t>
  </si>
  <si>
    <t>119 DREAMSCAPE LANE</t>
  </si>
  <si>
    <t>D700000167</t>
  </si>
  <si>
    <t>LONGLEAF INVESTMENT PROPERTIES LLC</t>
  </si>
  <si>
    <t>PO BOX 1568</t>
  </si>
  <si>
    <t>K5100A0019</t>
  </si>
  <si>
    <t>E700000103</t>
  </si>
  <si>
    <t>E7140A0005</t>
  </si>
  <si>
    <t>WALL LARRY DAVID</t>
  </si>
  <si>
    <t>WALL LAUREN STOLTZ</t>
  </si>
  <si>
    <t>124 REDMEADOW DRIVE</t>
  </si>
  <si>
    <t>I1120B0010</t>
  </si>
  <si>
    <t>SAIN TINA S</t>
  </si>
  <si>
    <t>115 AUTUMN COURT</t>
  </si>
  <si>
    <t>D8070A0037</t>
  </si>
  <si>
    <t>CAHILL ARLENE S</t>
  </si>
  <si>
    <t>141 GOLFVIEW DRIVE</t>
  </si>
  <si>
    <t>K200000048</t>
  </si>
  <si>
    <t>MASTERPOL LINDA A</t>
  </si>
  <si>
    <t>8361 MOYER CARRIAGE</t>
  </si>
  <si>
    <t>CICERO</t>
  </si>
  <si>
    <t>C8010A0270</t>
  </si>
  <si>
    <t>MILLS JOE FRANKLIN</t>
  </si>
  <si>
    <t>MILLS DEBORAH GAIL</t>
  </si>
  <si>
    <t>157 ROSEWALK LANE</t>
  </si>
  <si>
    <t>27006-8604</t>
  </si>
  <si>
    <t>M600000023</t>
  </si>
  <si>
    <t>STEELE DAVID JR</t>
  </si>
  <si>
    <t>STEELE DEBORAH</t>
  </si>
  <si>
    <t>333 BECKTOWN RD</t>
  </si>
  <si>
    <t>E9150B0066</t>
  </si>
  <si>
    <t>MUNNELLY BARTHOLOMEW F</t>
  </si>
  <si>
    <t>MUNNELLY MARGARET S</t>
  </si>
  <si>
    <t>206 ORCHARD PARK DRIVE</t>
  </si>
  <si>
    <t>I5120B0009</t>
  </si>
  <si>
    <t>MILLS ASHLY NICOLE</t>
  </si>
  <si>
    <t>334 WINDWARD CIRCLE</t>
  </si>
  <si>
    <t>I700000011</t>
  </si>
  <si>
    <t>E900000274</t>
  </si>
  <si>
    <t>JACKSON JASON</t>
  </si>
  <si>
    <t>JACKSON TONYA</t>
  </si>
  <si>
    <t>138 GRASSLANDS COURT</t>
  </si>
  <si>
    <t>E9150B0021</t>
  </si>
  <si>
    <t>DAVIDSON ROY</t>
  </si>
  <si>
    <t>DAVIDSON PATRICIA</t>
  </si>
  <si>
    <t>126 ORCHARD PARK DRIVE</t>
  </si>
  <si>
    <t>D100000027</t>
  </si>
  <si>
    <t>HICKS CAITLIN</t>
  </si>
  <si>
    <t>ORNER RUSSELL JR</t>
  </si>
  <si>
    <t>1051 BEAR CREEK CHURCH ROAD</t>
  </si>
  <si>
    <t>J50000004404</t>
  </si>
  <si>
    <t>GOBLE JENNIFER</t>
  </si>
  <si>
    <t>312 TURRENTINE CHURCH ROAD</t>
  </si>
  <si>
    <t>D7020A0014</t>
  </si>
  <si>
    <t>SPIVEY NANCY LYNN</t>
  </si>
  <si>
    <t>203 BRENTWOOD DRIVE</t>
  </si>
  <si>
    <t>I4010A0003</t>
  </si>
  <si>
    <t>RICE JAMES W</t>
  </si>
  <si>
    <t>RICE ETHEL</t>
  </si>
  <si>
    <t>147 TURNBERRY DRIVE</t>
  </si>
  <si>
    <t>C20000000305</t>
  </si>
  <si>
    <t>ALLEN BRYSON PAUL</t>
  </si>
  <si>
    <t>846 BEN ANDERSON ROAD</t>
  </si>
  <si>
    <t>C20000000303</t>
  </si>
  <si>
    <t>E40000004616</t>
  </si>
  <si>
    <t>GODSHALL CHRISTOPHER J</t>
  </si>
  <si>
    <t>GODSHALL DEBORAH E</t>
  </si>
  <si>
    <t>168 BUCKEYE TRAIL</t>
  </si>
  <si>
    <t>B500000020</t>
  </si>
  <si>
    <t>PERRIN JOHN HENRY JR</t>
  </si>
  <si>
    <t>PERRIN BRENDA LEE</t>
  </si>
  <si>
    <t>638 PINEVILLE ROAD</t>
  </si>
  <si>
    <t>I10000004503</t>
  </si>
  <si>
    <t>OLIVER MICHAEL</t>
  </si>
  <si>
    <t>OLIVER SHERRI</t>
  </si>
  <si>
    <t>329 STROUD MILL ROAD</t>
  </si>
  <si>
    <t>J20000002005</t>
  </si>
  <si>
    <t>NULPH RANDALL L</t>
  </si>
  <si>
    <t>NULPH RHONDA S</t>
  </si>
  <si>
    <t>280 STAGE COACH ROAD</t>
  </si>
  <si>
    <t>J5010D0068</t>
  </si>
  <si>
    <t>SEELY ROBERT L</t>
  </si>
  <si>
    <t>SEELY DENISE DIANNE</t>
  </si>
  <si>
    <t>245 WINDING CREEK ROAD</t>
  </si>
  <si>
    <t>I40000008904</t>
  </si>
  <si>
    <t>SABETI WAIN AEROSPACE INC</t>
  </si>
  <si>
    <t>852 US HIGHWAY 64 WEST</t>
  </si>
  <si>
    <t>I40000008901</t>
  </si>
  <si>
    <t>I8110A0006</t>
  </si>
  <si>
    <t>VICKNAIR BRADLEY</t>
  </si>
  <si>
    <t>VICKNAIR MARY BETH</t>
  </si>
  <si>
    <t>154 SHANNON DRIVE</t>
  </si>
  <si>
    <t>E70000013904</t>
  </si>
  <si>
    <t>RHILE JEANETTE</t>
  </si>
  <si>
    <t>RHILE MARK JOSEPH</t>
  </si>
  <si>
    <t>1124 BEAUCHAMP ROAD</t>
  </si>
  <si>
    <t>I20000002701</t>
  </si>
  <si>
    <t>HOUSE OF HOPE PIEDMONT</t>
  </si>
  <si>
    <t>217 DAYSPRING WAY</t>
  </si>
  <si>
    <t>N5080B0007</t>
  </si>
  <si>
    <t>HEBERT ELLEN W</t>
  </si>
  <si>
    <t>PO BOX 444</t>
  </si>
  <si>
    <t>D9010B0014</t>
  </si>
  <si>
    <t>SIDDEN DAVID C</t>
  </si>
  <si>
    <t>SIDDEN SUSAN G</t>
  </si>
  <si>
    <t>148 WARWICKE PL</t>
  </si>
  <si>
    <t>I100000035</t>
  </si>
  <si>
    <t>GREGORIO CUITLAHUAC</t>
  </si>
  <si>
    <t>GREGORIO AMIE</t>
  </si>
  <si>
    <t>2214 DAVIE ACADEMY ROAD</t>
  </si>
  <si>
    <t>C60000003601</t>
  </si>
  <si>
    <t>LINKER TONI</t>
  </si>
  <si>
    <t>LINKER JULIUS III</t>
  </si>
  <si>
    <t>E90000011202</t>
  </si>
  <si>
    <t>BOYNTON NANCY GENARD</t>
  </si>
  <si>
    <t>BOYNTON GEOFFREY ROCKWELL</t>
  </si>
  <si>
    <t>179 KINGSMILL ROAD</t>
  </si>
  <si>
    <t>I4120A0006</t>
  </si>
  <si>
    <t>K70000005607</t>
  </si>
  <si>
    <t>BLACK MICHAEL J</t>
  </si>
  <si>
    <t>4775 NC HIGHWAY 801 SOUTH</t>
  </si>
  <si>
    <t>27006-7124</t>
  </si>
  <si>
    <t>I5050D0003</t>
  </si>
  <si>
    <t>LONGSWORTH LOUIS</t>
  </si>
  <si>
    <t>PARKS-LONGSWORTH VETTA</t>
  </si>
  <si>
    <t>429 MOUNTVIEW DRIVE</t>
  </si>
  <si>
    <t>F800000003</t>
  </si>
  <si>
    <t>LONG SUE HILL</t>
  </si>
  <si>
    <t>1089 S NC HWY 801</t>
  </si>
  <si>
    <t>E8150A0013</t>
  </si>
  <si>
    <t>J4040G0003</t>
  </si>
  <si>
    <t>SPUHLER KENT RENARD</t>
  </si>
  <si>
    <t>SHERRILL SUSAN O'TOOLE</t>
  </si>
  <si>
    <t>537 S SALISBURY STREET</t>
  </si>
  <si>
    <t>G70000013906</t>
  </si>
  <si>
    <t>MILLER JACK R JR</t>
  </si>
  <si>
    <t>340 BRIDLE LANE</t>
  </si>
  <si>
    <t>E8110B0001</t>
  </si>
  <si>
    <t>BRYDGES JULIE HAYNES</t>
  </si>
  <si>
    <t>1644 UNDERPASS ROAD</t>
  </si>
  <si>
    <t>E900000152</t>
  </si>
  <si>
    <t>CLONINGER ROBERT LEE</t>
  </si>
  <si>
    <t>CLONINGER ZENDA LOIS</t>
  </si>
  <si>
    <t>119 LONETREE DRIVE</t>
  </si>
  <si>
    <t>D8070D0028</t>
  </si>
  <si>
    <t>WILSON JOHN M</t>
  </si>
  <si>
    <t>WILSON DENESE A</t>
  </si>
  <si>
    <t>188 FAIRWAY DRIVE</t>
  </si>
  <si>
    <t>M600000034</t>
  </si>
  <si>
    <t>MILLER PEGGY L</t>
  </si>
  <si>
    <t>BARRENTINE THOMAS EDWARD</t>
  </si>
  <si>
    <t>421 BECKTOWN ROAD</t>
  </si>
  <si>
    <t>E40000004614</t>
  </si>
  <si>
    <t>CRESS JOSEPH COLEMAN</t>
  </si>
  <si>
    <t>CRESS EMILY CAROLINE STEED</t>
  </si>
  <si>
    <t>139 BUCKEYE TRAIL</t>
  </si>
  <si>
    <t>E900000528</t>
  </si>
  <si>
    <t>MOORE TIMOTHY R</t>
  </si>
  <si>
    <t>MOORE LYDIA H</t>
  </si>
  <si>
    <t>315 N HIDDENBROOKE DRIVE</t>
  </si>
  <si>
    <t>D7030A0030</t>
  </si>
  <si>
    <t>MURPHY SARA L</t>
  </si>
  <si>
    <t>SIMTAJI BAHATI NAFTAL</t>
  </si>
  <si>
    <t>160 CREEKWOOD DRIVE</t>
  </si>
  <si>
    <t>I10000004505</t>
  </si>
  <si>
    <t>H10000001001</t>
  </si>
  <si>
    <t>WICKER RONALD LEE</t>
  </si>
  <si>
    <t>WICKER OLENE T</t>
  </si>
  <si>
    <t>620 COUNTY LINE ROAD</t>
  </si>
  <si>
    <t>L40000001401</t>
  </si>
  <si>
    <t>DWIGGINS EUNICE</t>
  </si>
  <si>
    <t>C8030C0018</t>
  </si>
  <si>
    <t>239 ESSEX FARM RD</t>
  </si>
  <si>
    <t>M400000006</t>
  </si>
  <si>
    <t>DWIGGINS RAY M</t>
  </si>
  <si>
    <t>DWIGGINS EUNICE M</t>
  </si>
  <si>
    <t>D70000004908</t>
  </si>
  <si>
    <t>LONGWORTH DUANE GRAY</t>
  </si>
  <si>
    <t>LONGWORTH JENNIE LASSITER</t>
  </si>
  <si>
    <t>132 ALVIS TRL</t>
  </si>
  <si>
    <t>B600000036</t>
  </si>
  <si>
    <t>EAGLE CHRIS D JR</t>
  </si>
  <si>
    <t>228 ARROWHEAD RD</t>
  </si>
  <si>
    <t>C8030B0016</t>
  </si>
  <si>
    <t>HANDY SARA</t>
  </si>
  <si>
    <t>115 AVALON ST</t>
  </si>
  <si>
    <t>M60000003202</t>
  </si>
  <si>
    <t>MCDANIEL BRAXTON</t>
  </si>
  <si>
    <t>MCDANIEL TRENT FBO</t>
  </si>
  <si>
    <t>137 REDWOOD DR</t>
  </si>
  <si>
    <t>J300000053</t>
  </si>
  <si>
    <t>CONNELL DAVID E</t>
  </si>
  <si>
    <t>1537 COUNTY HOME ROAD</t>
  </si>
  <si>
    <t>E300000131</t>
  </si>
  <si>
    <t>CROTTS JOSEPH ADAM</t>
  </si>
  <si>
    <t>CROTTS MEGAN</t>
  </si>
  <si>
    <t>292 TITTLE TRL</t>
  </si>
  <si>
    <t>E700000051  A</t>
  </si>
  <si>
    <t>LOGAN MATTHEW BRITT</t>
  </si>
  <si>
    <t>LOGAN DONNA J</t>
  </si>
  <si>
    <t>631 JUNEY BEAUCHAMP RD</t>
  </si>
  <si>
    <t>E70000005207</t>
  </si>
  <si>
    <t>E700000053</t>
  </si>
  <si>
    <t>D500000086</t>
  </si>
  <si>
    <t>JAMES W EUGENE</t>
  </si>
  <si>
    <t>JAMES SALLIE RUTH</t>
  </si>
  <si>
    <t>1674 FARMINGTON ROAD</t>
  </si>
  <si>
    <t>H600000069</t>
  </si>
  <si>
    <t>MCDANIEL RODNEY K</t>
  </si>
  <si>
    <t>5882 NC HWY 801 S</t>
  </si>
  <si>
    <t>I200000007</t>
  </si>
  <si>
    <t>CAMPBELL DAVID LEE</t>
  </si>
  <si>
    <t>367 SHEFFIELD ROAD</t>
  </si>
  <si>
    <t>F1030A0010</t>
  </si>
  <si>
    <t>HODGES RANDALL RAY</t>
  </si>
  <si>
    <t>HODGES MISTY MICHELLE</t>
  </si>
  <si>
    <t>165 MOLLIE ROAD</t>
  </si>
  <si>
    <t>H900000028</t>
  </si>
  <si>
    <t>WHITE JOSEPH MICHAEL IV</t>
  </si>
  <si>
    <t>WHITE HEATHER L</t>
  </si>
  <si>
    <t>504 PEOPLES CREEK ROAD</t>
  </si>
  <si>
    <t>C8010A0058</t>
  </si>
  <si>
    <t>HOWARD WARREN</t>
  </si>
  <si>
    <t>HOWARD JANE E</t>
  </si>
  <si>
    <t>164 BRIDGEWATER DRIVE</t>
  </si>
  <si>
    <t>N5010C0013</t>
  </si>
  <si>
    <t>YOST SHANNON SPILLMAN</t>
  </si>
  <si>
    <t>M40000002409</t>
  </si>
  <si>
    <t>M40000002410</t>
  </si>
  <si>
    <t>M40000002417</t>
  </si>
  <si>
    <t>M40000002407</t>
  </si>
  <si>
    <t>E70000001901</t>
  </si>
  <si>
    <t>M40000002406</t>
  </si>
  <si>
    <t>I5160D0012</t>
  </si>
  <si>
    <t>I5160D0013</t>
  </si>
  <si>
    <t>C7070A0002</t>
  </si>
  <si>
    <t>HOLCOMB WESLEY JASON</t>
  </si>
  <si>
    <t>HOLCOMB SUZZANNA YVON</t>
  </si>
  <si>
    <t>199 NORMA LANE</t>
  </si>
  <si>
    <t>J4040E0003</t>
  </si>
  <si>
    <t>CHALMERS CURTIS L</t>
  </si>
  <si>
    <t>CHALMERS GLORIA L</t>
  </si>
  <si>
    <t>210 EAST MAPLE STREET</t>
  </si>
  <si>
    <t>C7100B0021</t>
  </si>
  <si>
    <t>MONTOYA JAVIER D</t>
  </si>
  <si>
    <t>MONTOYA BREHESNER</t>
  </si>
  <si>
    <t>146 EAST ROBIN DRIVE</t>
  </si>
  <si>
    <t>G100000018</t>
  </si>
  <si>
    <t>SWAIM RONALD CHAD</t>
  </si>
  <si>
    <t>SWAIM VICKIE A</t>
  </si>
  <si>
    <t>1468 COUNTY LINE RD</t>
  </si>
  <si>
    <t>G10000001503</t>
  </si>
  <si>
    <t>E900000546</t>
  </si>
  <si>
    <t>JONES SHIRLEY M</t>
  </si>
  <si>
    <t>KELLY ANDREW W</t>
  </si>
  <si>
    <t>137 NORTH HIDDENBROOKE DRIVE</t>
  </si>
  <si>
    <t>L400000017</t>
  </si>
  <si>
    <t>B60000001202</t>
  </si>
  <si>
    <t>E900000521</t>
  </si>
  <si>
    <t>STAMPER THOMAS</t>
  </si>
  <si>
    <t>STAMPER ASHLEY</t>
  </si>
  <si>
    <t>371 N HIDDENBROOKE DR</t>
  </si>
  <si>
    <t>G7040A0064</t>
  </si>
  <si>
    <t>WAGGONER CHARLES B</t>
  </si>
  <si>
    <t>RUTHERFORD JESSICA L</t>
  </si>
  <si>
    <t>329 LA QUINTA DRIVE</t>
  </si>
  <si>
    <t>E600000087</t>
  </si>
  <si>
    <t>SMITH GROVE RURITAN CLUB INC</t>
  </si>
  <si>
    <t>127 TALLWOOD LANE</t>
  </si>
  <si>
    <t>D8100D0013</t>
  </si>
  <si>
    <t>TEAGUE FRANKIE V</t>
  </si>
  <si>
    <t>BUTLER WENDY S</t>
  </si>
  <si>
    <t>251 SPYGLASS DR</t>
  </si>
  <si>
    <t>D50000006404</t>
  </si>
  <si>
    <t>EVANS DEBORAH ANN</t>
  </si>
  <si>
    <t>152 PUDDING RIDGE ROAD</t>
  </si>
  <si>
    <t>L5010A0009</t>
  </si>
  <si>
    <t>TUTTEROW ROBERT</t>
  </si>
  <si>
    <t>TUTTEROW SHEREE</t>
  </si>
  <si>
    <t>430 MCCULLOUGH RD</t>
  </si>
  <si>
    <t>27028-6719</t>
  </si>
  <si>
    <t>D9090E0008</t>
  </si>
  <si>
    <t>JONES JOHN R</t>
  </si>
  <si>
    <t>JONES JOYCE S</t>
  </si>
  <si>
    <t>208 BING CROSBY BLVD</t>
  </si>
  <si>
    <t>27006-8509</t>
  </si>
  <si>
    <t>I70000005601</t>
  </si>
  <si>
    <t>JONES MARK DOUGLAS</t>
  </si>
  <si>
    <t>JONES DIANNA LYNN</t>
  </si>
  <si>
    <t>144 JONES FARM LANE</t>
  </si>
  <si>
    <t>D50000006405</t>
  </si>
  <si>
    <t>H8060A0001</t>
  </si>
  <si>
    <t>CASTETS RENE</t>
  </si>
  <si>
    <t>WILMART JACQUELINE M</t>
  </si>
  <si>
    <t>106 COVINGTON DRIVE</t>
  </si>
  <si>
    <t>N600000021</t>
  </si>
  <si>
    <t>GARCIA JEANIE LIZETT</t>
  </si>
  <si>
    <t>177 PINE RIDGE RD</t>
  </si>
  <si>
    <t>E900000202</t>
  </si>
  <si>
    <t>WOOD NICOLE CATHERINE</t>
  </si>
  <si>
    <t>WOOD MATTHEW DANIEL</t>
  </si>
  <si>
    <t>412 KINGSMILL DR</t>
  </si>
  <si>
    <t>H600000023</t>
  </si>
  <si>
    <t>REYES ANA</t>
  </si>
  <si>
    <t>1889 MILLING RD</t>
  </si>
  <si>
    <t>F3130A0048</t>
  </si>
  <si>
    <t>JEWELL KENNETH</t>
  </si>
  <si>
    <t>264 DANNER RD</t>
  </si>
  <si>
    <t>C50000005714</t>
  </si>
  <si>
    <t>JACKSON GEORGE LEE</t>
  </si>
  <si>
    <t>JACKSON DEENA WHEELER</t>
  </si>
  <si>
    <t>1750 PEABODY FOREST TRAIL</t>
  </si>
  <si>
    <t>COLFAX</t>
  </si>
  <si>
    <t>D7020B0011</t>
  </si>
  <si>
    <t>GLASGO MARTIN E</t>
  </si>
  <si>
    <t>GLASGO PATRICIA A</t>
  </si>
  <si>
    <t>127 LESLIE COURT</t>
  </si>
  <si>
    <t>27006-9441</t>
  </si>
  <si>
    <t>K300000023</t>
  </si>
  <si>
    <t>JONES LINDA GAIL PRATHER</t>
  </si>
  <si>
    <t>476 DAVIE ACADEMY ROAD</t>
  </si>
  <si>
    <t>K200000043</t>
  </si>
  <si>
    <t>JONES ARCHIE V</t>
  </si>
  <si>
    <t>101 N 9TH ST</t>
  </si>
  <si>
    <t>ERWIN</t>
  </si>
  <si>
    <t>N600000080</t>
  </si>
  <si>
    <t>MILLER R B ESTATE</t>
  </si>
  <si>
    <t>P O BOX 780</t>
  </si>
  <si>
    <t>K300000005</t>
  </si>
  <si>
    <t>ELLIS DALE C JR</t>
  </si>
  <si>
    <t>ELLIS KATHRYN E</t>
  </si>
  <si>
    <t>438 WILDERNESS WAY</t>
  </si>
  <si>
    <t>27028-5480</t>
  </si>
  <si>
    <t>E60000001904</t>
  </si>
  <si>
    <t>LEE DALE</t>
  </si>
  <si>
    <t>LEE KATHRYN MARIE</t>
  </si>
  <si>
    <t>266 BOGER ROAD</t>
  </si>
  <si>
    <t>H4130A0017</t>
  </si>
  <si>
    <t>BROWN OLIVION</t>
  </si>
  <si>
    <t>151 ELMWOOD ST</t>
  </si>
  <si>
    <t>J30000002701</t>
  </si>
  <si>
    <t>HERNANDEZ DANIEL</t>
  </si>
  <si>
    <t>VAZQUEZ GILDA A</t>
  </si>
  <si>
    <t>692 GREENHILL RD</t>
  </si>
  <si>
    <t>27028-4205</t>
  </si>
  <si>
    <t>N500000034</t>
  </si>
  <si>
    <t>MORENO BERTOLDO</t>
  </si>
  <si>
    <t>MORENO MARIA APOLINAR BENITEZ</t>
  </si>
  <si>
    <t>764 PINE RIDGE ROAD</t>
  </si>
  <si>
    <t>27028-6755</t>
  </si>
  <si>
    <t>N5010C0040</t>
  </si>
  <si>
    <t>G700000072</t>
  </si>
  <si>
    <t>WHITTEN ANDREW L</t>
  </si>
  <si>
    <t>WHITTEN MINDY J B</t>
  </si>
  <si>
    <t>152 JETRY LANE</t>
  </si>
  <si>
    <t>F800000022</t>
  </si>
  <si>
    <t>PSC DEVELOPMENT COR INC</t>
  </si>
  <si>
    <t>B700000035</t>
  </si>
  <si>
    <t>DANIELS TIMOTHY JOSHUA</t>
  </si>
  <si>
    <t>DANIELS MOLLY EDMONDS</t>
  </si>
  <si>
    <t>158 PEACEFUL VALLEY ROAD</t>
  </si>
  <si>
    <t>E900000593</t>
  </si>
  <si>
    <t>TEDDER ELIZABETH S</t>
  </si>
  <si>
    <t>TEDDER TONY M</t>
  </si>
  <si>
    <t>112 CHURCH STEEPLE DRIVE</t>
  </si>
  <si>
    <t>H900000003</t>
  </si>
  <si>
    <t>814 PEOPLES CREEK RD</t>
  </si>
  <si>
    <t>H9070A0015</t>
  </si>
  <si>
    <t>WOOTEN MAX S</t>
  </si>
  <si>
    <t>WOOTEN SHANNON L</t>
  </si>
  <si>
    <t>270 DUBLIN ROAD</t>
  </si>
  <si>
    <t>I5050B0018</t>
  </si>
  <si>
    <t>JORDAN JASON W</t>
  </si>
  <si>
    <t>JORDAN CASEY J</t>
  </si>
  <si>
    <t>551 WHITNEY ROAD</t>
  </si>
  <si>
    <t>J6100A0013</t>
  </si>
  <si>
    <t>GRECO RALPH J</t>
  </si>
  <si>
    <t>GRECO ELISE J</t>
  </si>
  <si>
    <t>157 N LAKE LOUISE</t>
  </si>
  <si>
    <t>B400000008</t>
  </si>
  <si>
    <t>COVER HEATHER MARIE</t>
  </si>
  <si>
    <t>4022 N NC HWY 801</t>
  </si>
  <si>
    <t>C600000128</t>
  </si>
  <si>
    <t>DAVIS ROBERT MICHAEL</t>
  </si>
  <si>
    <t>DAVIS JEANNINE MARIE</t>
  </si>
  <si>
    <t>1222 N NC HWY 801</t>
  </si>
  <si>
    <t>27006-6757</t>
  </si>
  <si>
    <t>C8010A0141</t>
  </si>
  <si>
    <t>BIRCHEM RICHARD</t>
  </si>
  <si>
    <t>BIRCHEM DONNA</t>
  </si>
  <si>
    <t>116 WAVERLY STREET</t>
  </si>
  <si>
    <t>J4050C0018</t>
  </si>
  <si>
    <t>BEIZA OMAR</t>
  </si>
  <si>
    <t>165 HARDING ST</t>
  </si>
  <si>
    <t>D700000169</t>
  </si>
  <si>
    <t>HILLSDALE BAPTIST CHURCH INC</t>
  </si>
  <si>
    <t>4815 US HWY 158</t>
  </si>
  <si>
    <t>bbolch</t>
  </si>
  <si>
    <t>F70000002402</t>
  </si>
  <si>
    <t>CARTER J DAVID</t>
  </si>
  <si>
    <t>PO BOX 2324</t>
  </si>
  <si>
    <t>27006-2324</t>
  </si>
  <si>
    <t>G7010A0010</t>
  </si>
  <si>
    <t>SMITH SCOTT A</t>
  </si>
  <si>
    <t>SMITH TINA M</t>
  </si>
  <si>
    <t>163 BALTIMORE DOWN ROAD</t>
  </si>
  <si>
    <t>D600000075</t>
  </si>
  <si>
    <t>FOSTER NEAL CALVIN</t>
  </si>
  <si>
    <t>110 JUNE WAY</t>
  </si>
  <si>
    <t>27006-6726</t>
  </si>
  <si>
    <t>C70000003101</t>
  </si>
  <si>
    <t>D600000071</t>
  </si>
  <si>
    <t>C70000003102</t>
  </si>
  <si>
    <t>D600000081</t>
  </si>
  <si>
    <t>G8130A000301</t>
  </si>
  <si>
    <t>BARNEY JOSHUA WAYNE</t>
  </si>
  <si>
    <t>BARNEY HEATHER ELIZABETH</t>
  </si>
  <si>
    <t>143 DEER HOLLOW LN S</t>
  </si>
  <si>
    <t>27006-7582</t>
  </si>
  <si>
    <t>D700000082</t>
  </si>
  <si>
    <t>MINOR-CARTER BEVERLY R</t>
  </si>
  <si>
    <t>459 YADKIN VALLEY RD</t>
  </si>
  <si>
    <t>D9010B0003</t>
  </si>
  <si>
    <t>ROYSTER D THOMAS JR</t>
  </si>
  <si>
    <t>ROYSTER JENNIFER M</t>
  </si>
  <si>
    <t>125 WARWICKE PL</t>
  </si>
  <si>
    <t>E900000455</t>
  </si>
  <si>
    <t>HUGHES AARON</t>
  </si>
  <si>
    <t>HUGHES ASHLEY</t>
  </si>
  <si>
    <t>128 S HIDDENBROOKE DR</t>
  </si>
  <si>
    <t>27006-7298</t>
  </si>
  <si>
    <t>D8070D0037</t>
  </si>
  <si>
    <t>RINEHOLD JEAN S</t>
  </si>
  <si>
    <t>152 FAIRWAY DR</t>
  </si>
  <si>
    <t>C8010A0289</t>
  </si>
  <si>
    <t>YANG JIAN HAO</t>
  </si>
  <si>
    <t>LI QIUPING</t>
  </si>
  <si>
    <t>139 N FORKE DR</t>
  </si>
  <si>
    <t>27006-8602</t>
  </si>
  <si>
    <t>H700000035</t>
  </si>
  <si>
    <t>DUKE ENERGY CORPORATION</t>
  </si>
  <si>
    <t>DAVID WRIGHT</t>
  </si>
  <si>
    <t>550 SOUTH TRYON ST (DEC41B)</t>
  </si>
  <si>
    <t>28202-0000</t>
  </si>
  <si>
    <t>H700000048</t>
  </si>
  <si>
    <t>I70000003201</t>
  </si>
  <si>
    <t>J500000034</t>
  </si>
  <si>
    <t>L800000022</t>
  </si>
  <si>
    <t>L800000020</t>
  </si>
  <si>
    <t>J700000064</t>
  </si>
  <si>
    <t>K70000006101</t>
  </si>
  <si>
    <t>K80000001903</t>
  </si>
  <si>
    <t>J700000112</t>
  </si>
  <si>
    <t>J70000007301</t>
  </si>
  <si>
    <t>K700000044</t>
  </si>
  <si>
    <t>K700000045</t>
  </si>
  <si>
    <t>L700000001</t>
  </si>
  <si>
    <t>J6050C0012</t>
  </si>
  <si>
    <t>FROST TAMMY R</t>
  </si>
  <si>
    <t>FROST ROBERT T</t>
  </si>
  <si>
    <t>165 SHADYBROOK RD</t>
  </si>
  <si>
    <t>E5020A0018</t>
  </si>
  <si>
    <t>BACHER ROBERT J</t>
  </si>
  <si>
    <t>383 CORNWALLIS DR</t>
  </si>
  <si>
    <t>E400000015</t>
  </si>
  <si>
    <t>BODSFORD ERIN</t>
  </si>
  <si>
    <t>BODSFORD KEITH DWAYNE&amp;DAWNA J</t>
  </si>
  <si>
    <t>1209 CANA RD</t>
  </si>
  <si>
    <t>27028-6127</t>
  </si>
  <si>
    <t>M5070A0021</t>
  </si>
  <si>
    <t>PRIVAT ROBERT P</t>
  </si>
  <si>
    <t>134 EDGEWOOD CIRCLE</t>
  </si>
  <si>
    <t>K5060A0007</t>
  </si>
  <si>
    <t>PALMER DEBORAH H</t>
  </si>
  <si>
    <t>296 DEADMON RD</t>
  </si>
  <si>
    <t>C8010A0178</t>
  </si>
  <si>
    <t>AKERS CHARLES C JR</t>
  </si>
  <si>
    <t>AKERS APRIL N</t>
  </si>
  <si>
    <t>112 GREENWAY STREET</t>
  </si>
  <si>
    <t>D3010A0017</t>
  </si>
  <si>
    <t>MCKAY BONNY</t>
  </si>
  <si>
    <t>156 HIGHLAND RD</t>
  </si>
  <si>
    <t>H7030A0032</t>
  </si>
  <si>
    <t>CORNATZER KATHARINE FRYE</t>
  </si>
  <si>
    <t>2661 CORNATZER RD</t>
  </si>
  <si>
    <t>27006-7207</t>
  </si>
  <si>
    <t>H4130A0106</t>
  </si>
  <si>
    <t>ABOYEJI JOZILYNN JENEE</t>
  </si>
  <si>
    <t>ABOYEJI OLADAPO OLUFEMI</t>
  </si>
  <si>
    <t>265 SUMMIT DR</t>
  </si>
  <si>
    <t>E8150A0011</t>
  </si>
  <si>
    <t>NOVAK ROBERTJASON</t>
  </si>
  <si>
    <t>1065 NC HIGHWAY 801 S</t>
  </si>
  <si>
    <t>27006-7806</t>
  </si>
  <si>
    <t>H3040A0001</t>
  </si>
  <si>
    <t>SUTHERLAND SUMMER</t>
  </si>
  <si>
    <t>1795 N US HWY 601</t>
  </si>
  <si>
    <t>I6140A0006</t>
  </si>
  <si>
    <t>LYPKA CHRISTINE</t>
  </si>
  <si>
    <t>219 LAKEVIEW ROAD</t>
  </si>
  <si>
    <t>B40000000801</t>
  </si>
  <si>
    <t>G70000004001</t>
  </si>
  <si>
    <t>MILLER TAMMY</t>
  </si>
  <si>
    <t>208 BUDDY TRL</t>
  </si>
  <si>
    <t>27028-7108</t>
  </si>
  <si>
    <t>D20000002502</t>
  </si>
  <si>
    <t>GUEVARA ANA E</t>
  </si>
  <si>
    <t>260 DUARD REAVIS RD</t>
  </si>
  <si>
    <t>27028-5735</t>
  </si>
  <si>
    <t>I600000023</t>
  </si>
  <si>
    <t>CROUCH SHAWN R</t>
  </si>
  <si>
    <t>225 WILLIAMS RD</t>
  </si>
  <si>
    <t>27028-7448</t>
  </si>
  <si>
    <t>K5100A0007</t>
  </si>
  <si>
    <t>STEIGER EVELYN WASILKO</t>
  </si>
  <si>
    <t>285 DEADMON RD</t>
  </si>
  <si>
    <t>G700000128</t>
  </si>
  <si>
    <t>JOHNSON JOSEPH JR</t>
  </si>
  <si>
    <t>505 N HARR DRIVE, APT D</t>
  </si>
  <si>
    <t>MIDWEST CITY</t>
  </si>
  <si>
    <t>73110-2969</t>
  </si>
  <si>
    <t>J7080B0037</t>
  </si>
  <si>
    <t>BACCARI AUGUST</t>
  </si>
  <si>
    <t>BACCARI CHRISTINE</t>
  </si>
  <si>
    <t>109 OAKSHIRE CT</t>
  </si>
  <si>
    <t>I5030A0014</t>
  </si>
  <si>
    <t>COHEN DAVID</t>
  </si>
  <si>
    <t>COHEN HEATHER</t>
  </si>
  <si>
    <t>105 ELI AVE</t>
  </si>
  <si>
    <t>27028-2958</t>
  </si>
  <si>
    <t>G300000072</t>
  </si>
  <si>
    <t>HERNANDEZ LIBRADO</t>
  </si>
  <si>
    <t>HERNANDEZ EDITH CECIBEL</t>
  </si>
  <si>
    <t>195 CANDI LN</t>
  </si>
  <si>
    <t>27028-5709</t>
  </si>
  <si>
    <t>D10000000201</t>
  </si>
  <si>
    <t>F800000070</t>
  </si>
  <si>
    <t>G700000069</t>
  </si>
  <si>
    <t>C8010A0106</t>
  </si>
  <si>
    <t>CLEMENTS PATRICIA H</t>
  </si>
  <si>
    <t>149 BROOKSTONE DR</t>
  </si>
  <si>
    <t>27006-8613</t>
  </si>
  <si>
    <t>J4040E0017</t>
  </si>
  <si>
    <t>VANDALL JERRY</t>
  </si>
  <si>
    <t>VANDALL PATRICIA A</t>
  </si>
  <si>
    <t>167 FORREST LANE</t>
  </si>
  <si>
    <t>C8010A0104</t>
  </si>
  <si>
    <t>HORNE MICHAEL ALWYN</t>
  </si>
  <si>
    <t>HORNE SARA GRAY</t>
  </si>
  <si>
    <t>133 BROOKSTONE DR</t>
  </si>
  <si>
    <t>G50000004802</t>
  </si>
  <si>
    <t>BEASLEY VICKIE</t>
  </si>
  <si>
    <t>116 BOWLES RD</t>
  </si>
  <si>
    <t>I4130F0001</t>
  </si>
  <si>
    <t>THE DAVIE PROJECT LLC</t>
  </si>
  <si>
    <t>187 BROADMOOR DR</t>
  </si>
  <si>
    <t>E70000000901</t>
  </si>
  <si>
    <t>ROSE BRYAN SCOTT</t>
  </si>
  <si>
    <t>4254 US HIGHWAY 158</t>
  </si>
  <si>
    <t>27006-6941</t>
  </si>
  <si>
    <t>F300000003</t>
  </si>
  <si>
    <t>KARSONOVICH CHRISTINE</t>
  </si>
  <si>
    <t>KARSONVICH MARK</t>
  </si>
  <si>
    <t>176 PASO LANE</t>
  </si>
  <si>
    <t>L5100B0016</t>
  </si>
  <si>
    <t>MOCKSVILLE CHURCH OF GOD OF PROPHECY INC</t>
  </si>
  <si>
    <t>2323 US HIGHWAY 601 S</t>
  </si>
  <si>
    <t>I5050C0042</t>
  </si>
  <si>
    <t>FLORES ANTONIO MORAN</t>
  </si>
  <si>
    <t>MORAN MARIA C</t>
  </si>
  <si>
    <t>500 MOUNTVIEW DRIVE</t>
  </si>
  <si>
    <t>E60000006001</t>
  </si>
  <si>
    <t>BLACK LAB FARM LLC</t>
  </si>
  <si>
    <t>340 SPEAKS RD</t>
  </si>
  <si>
    <t>27006-6737</t>
  </si>
  <si>
    <t>E60000006008</t>
  </si>
  <si>
    <t>CRAVEN JAMES ARTHUR</t>
  </si>
  <si>
    <t>CRAVEN LAURA BEATY</t>
  </si>
  <si>
    <t>482 RAINBOW RD</t>
  </si>
  <si>
    <t>27006-6710</t>
  </si>
  <si>
    <t>I4120B0024</t>
  </si>
  <si>
    <t>DEWITT ROBERT G</t>
  </si>
  <si>
    <t>DEWITT ELIZABETH</t>
  </si>
  <si>
    <t>117 EDISON ST</t>
  </si>
  <si>
    <t>27028-2109</t>
  </si>
  <si>
    <t>D8030A0014</t>
  </si>
  <si>
    <t>ENGSTROM NICHOLAS ANDREW</t>
  </si>
  <si>
    <t>ENGSTROM CHELSEA TOLBERT</t>
  </si>
  <si>
    <t>134 BOXWOOD CIR</t>
  </si>
  <si>
    <t>I5050D0011</t>
  </si>
  <si>
    <t>SOARES STEVEN JOSEPH</t>
  </si>
  <si>
    <t>519 MOUNTVIEW DR</t>
  </si>
  <si>
    <t>27028-2874</t>
  </si>
  <si>
    <t>H7030A002801</t>
  </si>
  <si>
    <t>PIERONTONI CHAD</t>
  </si>
  <si>
    <t>PIERONTONI MARY</t>
  </si>
  <si>
    <t>176 BROCKLAND DR</t>
  </si>
  <si>
    <t>27006-7155</t>
  </si>
  <si>
    <t>K5030A0008</t>
  </si>
  <si>
    <t>CANNOY JAMES ARVID</t>
  </si>
  <si>
    <t>CANNOY LADA ELLIS</t>
  </si>
  <si>
    <t>246 DEACON WAY</t>
  </si>
  <si>
    <t>M4130B002301</t>
  </si>
  <si>
    <t>ONEAL CALVIN DEAN</t>
  </si>
  <si>
    <t>ATTN: CONSUMER CREDIT</t>
  </si>
  <si>
    <t>PO BOX 11649</t>
  </si>
  <si>
    <t>G8140A0074</t>
  </si>
  <si>
    <t>PARRISH HARREL G</t>
  </si>
  <si>
    <t>PARRISH DIANA J</t>
  </si>
  <si>
    <t>119 SCOTCH MOSS DR</t>
  </si>
  <si>
    <t>27006-7354</t>
  </si>
  <si>
    <t>I200000017</t>
  </si>
  <si>
    <t>WINFREY DAVID E TRUST</t>
  </si>
  <si>
    <t>WINFREY DAVID E TRUSTEE</t>
  </si>
  <si>
    <t>228 LAUREL CREEK DR</t>
  </si>
  <si>
    <t>BESSEMER CITY</t>
  </si>
  <si>
    <t>28016-8598</t>
  </si>
  <si>
    <t>E900000106</t>
  </si>
  <si>
    <t>KENYON BILLY GENE</t>
  </si>
  <si>
    <t>JIMENEZ CARLOS ENRIQUE</t>
  </si>
  <si>
    <t>111 KESWICK CT</t>
  </si>
  <si>
    <t>27006-7270</t>
  </si>
  <si>
    <t>L40000000401</t>
  </si>
  <si>
    <t>CROTTS CHRISTOPHER DARYL</t>
  </si>
  <si>
    <t>WALL MONICA LEIGH</t>
  </si>
  <si>
    <t>697 JUNCTION RD</t>
  </si>
  <si>
    <t>E700000089</t>
  </si>
  <si>
    <t>ASHAC MAGDY N</t>
  </si>
  <si>
    <t>ASHAC ANGIE A</t>
  </si>
  <si>
    <t>3519 GLENFIELD LANE</t>
  </si>
  <si>
    <t>D600000090</t>
  </si>
  <si>
    <t>TUCKER CHARLES JEFFREY</t>
  </si>
  <si>
    <t>TUCKER ELIZABETH D</t>
  </si>
  <si>
    <t>1451 NC HWY 801 NORTH</t>
  </si>
  <si>
    <t>D7030C0019</t>
  </si>
  <si>
    <t>BOECKER CHARLES W JR</t>
  </si>
  <si>
    <t>BOECKER LISA A</t>
  </si>
  <si>
    <t>238 S CLAYBON DR</t>
  </si>
  <si>
    <t>C8010A0092</t>
  </si>
  <si>
    <t>BAITY BONNIE H</t>
  </si>
  <si>
    <t>156 BROOKSTONE DR</t>
  </si>
  <si>
    <t>I4130D0003</t>
  </si>
  <si>
    <t>FIRST UNITED METHODIST CHURCH OF MOCKSVILLE NC INC</t>
  </si>
  <si>
    <t>305 NORTH MAIN STREET</t>
  </si>
  <si>
    <t>I4130D0004</t>
  </si>
  <si>
    <t>B30000001401</t>
  </si>
  <si>
    <t>BAITY LEROY JAVAN</t>
  </si>
  <si>
    <t>202 HAWKINS VALLEY</t>
  </si>
  <si>
    <t>B30000001402</t>
  </si>
  <si>
    <t>B30000001403</t>
  </si>
  <si>
    <t>BAITY RONDA STEWART</t>
  </si>
  <si>
    <t>J5010D0024</t>
  </si>
  <si>
    <t>DONATHAN RICKY A</t>
  </si>
  <si>
    <t>DONATHAN BELINDA K</t>
  </si>
  <si>
    <t>137 CHARLESTON RIDGE DR</t>
  </si>
  <si>
    <t>G800000230</t>
  </si>
  <si>
    <t>MATTHEWS DENEAN R</t>
  </si>
  <si>
    <t>MATTHEWS BARRY D</t>
  </si>
  <si>
    <t>172 RABBIT FIELD LN</t>
  </si>
  <si>
    <t>27006-7333</t>
  </si>
  <si>
    <t>K50000002501</t>
  </si>
  <si>
    <t>JAMES JONATHAN WAYNE</t>
  </si>
  <si>
    <t>JAMES DANYEL RAELYN</t>
  </si>
  <si>
    <t>509 DEADMON RD</t>
  </si>
  <si>
    <t>H70000000304</t>
  </si>
  <si>
    <t>BULLARD NORMA C</t>
  </si>
  <si>
    <t>141 BUTTERFLY HILL TRAIL</t>
  </si>
  <si>
    <t>27028-7109</t>
  </si>
  <si>
    <t>H700000003</t>
  </si>
  <si>
    <t>H70000000303</t>
  </si>
  <si>
    <t>G7040A0047</t>
  </si>
  <si>
    <t>MYERS LEE PRESTON JR</t>
  </si>
  <si>
    <t>1975 US HIGHWAY 158</t>
  </si>
  <si>
    <t>H500000024</t>
  </si>
  <si>
    <t>G8010B0003</t>
  </si>
  <si>
    <t>BRANNAN FAYNITA S</t>
  </si>
  <si>
    <t>2513 CORNATZER ROAD</t>
  </si>
  <si>
    <t>F70000002404</t>
  </si>
  <si>
    <t>HERNANDEZ SERGIO AUGUSTO</t>
  </si>
  <si>
    <t>184 GALADRIM WAY</t>
  </si>
  <si>
    <t>F70000002405</t>
  </si>
  <si>
    <t>J60000007401</t>
  </si>
  <si>
    <t>GOULD ANNE A</t>
  </si>
  <si>
    <t>BICKNELL KENNETH</t>
  </si>
  <si>
    <t>2078 US HIGHWAY 64 E</t>
  </si>
  <si>
    <t>27028-7415</t>
  </si>
  <si>
    <t>E700000001</t>
  </si>
  <si>
    <t>CROSS RACHEL</t>
  </si>
  <si>
    <t>417 HOWARDTOWN CIRCLE</t>
  </si>
  <si>
    <t>F30000000522</t>
  </si>
  <si>
    <t>WARD KEVIN GERALD</t>
  </si>
  <si>
    <t>WARD KIMBERLY DAWN</t>
  </si>
  <si>
    <t>160 SHADY LN</t>
  </si>
  <si>
    <t>L40000003502</t>
  </si>
  <si>
    <t>JACKSON ROBERT A II</t>
  </si>
  <si>
    <t>JACKSON LINDA L</t>
  </si>
  <si>
    <t>1010 ARCHER FARM DR</t>
  </si>
  <si>
    <t>F60000005307</t>
  </si>
  <si>
    <t>HAYMORE JONATHAN</t>
  </si>
  <si>
    <t>ENSCORE TARA</t>
  </si>
  <si>
    <t>135 ROBERT AUSTIN TRL</t>
  </si>
  <si>
    <t>27028-7859</t>
  </si>
  <si>
    <t>D8070C0017</t>
  </si>
  <si>
    <t>FRISBY EVAN C</t>
  </si>
  <si>
    <t>FRISBY SHERI L</t>
  </si>
  <si>
    <t>375 IVY CIRCLE</t>
  </si>
  <si>
    <t>D7030B0006</t>
  </si>
  <si>
    <t>EBERLY JAMES</t>
  </si>
  <si>
    <t>EBERLY ANGELA</t>
  </si>
  <si>
    <t>191 CREEKWOOD DR</t>
  </si>
  <si>
    <t>27006-9448</t>
  </si>
  <si>
    <t>G800000002</t>
  </si>
  <si>
    <t>BLOCK IAN WADE</t>
  </si>
  <si>
    <t>BLOCK KAMRON WHITNEE</t>
  </si>
  <si>
    <t>2639 CORNATZER ROAD</t>
  </si>
  <si>
    <t>B200000009</t>
  </si>
  <si>
    <t>WHITESIDES JON TONY</t>
  </si>
  <si>
    <t>WHITESIDES SUSAN BOLTON</t>
  </si>
  <si>
    <t>271 OLLIE HARKEY ROAD</t>
  </si>
  <si>
    <t>27055-6384</t>
  </si>
  <si>
    <t>K500000021</t>
  </si>
  <si>
    <t>K500000025</t>
  </si>
  <si>
    <t>H4190A0001</t>
  </si>
  <si>
    <t>WAL-MART STORES,INC.</t>
  </si>
  <si>
    <t>PROPERTY TAX DEPARTMENT</t>
  </si>
  <si>
    <t>PO BOX 8050</t>
  </si>
  <si>
    <t>BENTONVILLE</t>
  </si>
  <si>
    <t>72712-0000</t>
  </si>
  <si>
    <t>N5010C006502</t>
  </si>
  <si>
    <t>SPILLMAN RICHARD T</t>
  </si>
  <si>
    <t>SPILLMAN JOYCE H</t>
  </si>
  <si>
    <t>PO BOX 896</t>
  </si>
  <si>
    <t>GENERAL DELIVERY</t>
  </si>
  <si>
    <t>N5010C0070</t>
  </si>
  <si>
    <t>E40000002302</t>
  </si>
  <si>
    <t>SMITH BENJAMIN JACOB</t>
  </si>
  <si>
    <t>1598 ANGELL RD</t>
  </si>
  <si>
    <t>D60000008301</t>
  </si>
  <si>
    <t>SMITH TERRI E</t>
  </si>
  <si>
    <t>224 HILTON RD</t>
  </si>
  <si>
    <t>I60000006703</t>
  </si>
  <si>
    <t>POTTS W G</t>
  </si>
  <si>
    <t>POTTS DIANA N</t>
  </si>
  <si>
    <t>167 HOMER POTTS ROAD</t>
  </si>
  <si>
    <t>K100000027</t>
  </si>
  <si>
    <t>SHOFFNER LINDA DIANE</t>
  </si>
  <si>
    <t>E300000067</t>
  </si>
  <si>
    <t>WALKER RUTH P</t>
  </si>
  <si>
    <t>2340 ANGELL RD</t>
  </si>
  <si>
    <t>E300000070</t>
  </si>
  <si>
    <t>D300000013</t>
  </si>
  <si>
    <t>E30000006902</t>
  </si>
  <si>
    <t>I60000006707</t>
  </si>
  <si>
    <t>F20000000603</t>
  </si>
  <si>
    <t>COMMUNITY COVENANT CHURCH INC</t>
  </si>
  <si>
    <t>2624 FINES CREEK DRIVE</t>
  </si>
  <si>
    <t>D500000094</t>
  </si>
  <si>
    <t>FARMINGTON COMMUNITY ASSOC INC</t>
  </si>
  <si>
    <t>% LAURA MATHIS</t>
  </si>
  <si>
    <t>1723 FARMINGTON ROAD</t>
  </si>
  <si>
    <t>F200000004</t>
  </si>
  <si>
    <t>D500000093</t>
  </si>
  <si>
    <t>I60000006705</t>
  </si>
  <si>
    <t>I600000084</t>
  </si>
  <si>
    <t>I60000006709</t>
  </si>
  <si>
    <t>I600000085</t>
  </si>
  <si>
    <t>J70000004904</t>
  </si>
  <si>
    <t>MERRELL KENNETH ROY</t>
  </si>
  <si>
    <t>MERRELL PATRICIA SNYDER</t>
  </si>
  <si>
    <t>329 MERRELLS LAKE RD</t>
  </si>
  <si>
    <t>G8140A0058</t>
  </si>
  <si>
    <t>MILLER ROGER WEBSTER JR</t>
  </si>
  <si>
    <t>108 SPRUCEWOOD CT</t>
  </si>
  <si>
    <t>27006-7366</t>
  </si>
  <si>
    <t>K200000024</t>
  </si>
  <si>
    <t>CAVANAUGH BRIAN</t>
  </si>
  <si>
    <t>O'HORO-NASH SARAH BRIGID</t>
  </si>
  <si>
    <t>654 RIDGE RD</t>
  </si>
  <si>
    <t>27028-8340</t>
  </si>
  <si>
    <t>J20000003103</t>
  </si>
  <si>
    <t>DAYWALT DAVID J</t>
  </si>
  <si>
    <t>329 SAINT MATTHEWS RD</t>
  </si>
  <si>
    <t>27028-8420</t>
  </si>
  <si>
    <t>J20000003102</t>
  </si>
  <si>
    <t>G400000029</t>
  </si>
  <si>
    <t>G9100A0011</t>
  </si>
  <si>
    <t>DIXON KEVIN</t>
  </si>
  <si>
    <t>127 SUMMER SWEET DR</t>
  </si>
  <si>
    <t>27006-7493</t>
  </si>
  <si>
    <t>J4110A0004</t>
  </si>
  <si>
    <t>WORKMAN VIRGINA BENSON</t>
  </si>
  <si>
    <t>955 HARDISON ST</t>
  </si>
  <si>
    <t>27028-2580</t>
  </si>
  <si>
    <t>I4130A0003</t>
  </si>
  <si>
    <t>MONTANO ROGELIO</t>
  </si>
  <si>
    <t>MARTINEZ MARIA E</t>
  </si>
  <si>
    <t>232 GWYN ST</t>
  </si>
  <si>
    <t>27028-2314</t>
  </si>
  <si>
    <t>G3060B0002</t>
  </si>
  <si>
    <t>KOEHLER DAVID JASON</t>
  </si>
  <si>
    <t>KOEHLER LAUREN</t>
  </si>
  <si>
    <t>251 IJAMES CHURCH RD</t>
  </si>
  <si>
    <t>G3060B0001</t>
  </si>
  <si>
    <t>H4130A0041</t>
  </si>
  <si>
    <t>GOFF DARIEN KENT</t>
  </si>
  <si>
    <t>166 ASH DRIVE</t>
  </si>
  <si>
    <t>J5150B0004</t>
  </si>
  <si>
    <t>DAVIS WILLIAM</t>
  </si>
  <si>
    <t>DAVIS LENA RUSSELL</t>
  </si>
  <si>
    <t>142 HICKORY DR</t>
  </si>
  <si>
    <t>C70000011901</t>
  </si>
  <si>
    <t>RANJITSINGH DIRK</t>
  </si>
  <si>
    <t>RANJITSINGH JANET</t>
  </si>
  <si>
    <t>120 HAYWOOD DR</t>
  </si>
  <si>
    <t>I600000025</t>
  </si>
  <si>
    <t>ROBERTSON PAUL KEITH</t>
  </si>
  <si>
    <t>ROBERTSON DORA</t>
  </si>
  <si>
    <t>253 WILLIAMS RD</t>
  </si>
  <si>
    <t>I4130H0005</t>
  </si>
  <si>
    <t>MOORE CRYSTAL Y</t>
  </si>
  <si>
    <t>MOORE TONY LEWIS</t>
  </si>
  <si>
    <t>427 SANFORD AVE</t>
  </si>
  <si>
    <t>27028-2917</t>
  </si>
  <si>
    <t>C30000004602</t>
  </si>
  <si>
    <t>SHOFFNER CRYSTAL</t>
  </si>
  <si>
    <t>4646 US HIGHWAY 601 N</t>
  </si>
  <si>
    <t>C30000004702</t>
  </si>
  <si>
    <t>C8030B0010</t>
  </si>
  <si>
    <t>LAM THIEM T</t>
  </si>
  <si>
    <t>298 TOWNPARK DRIVE UNIT #102</t>
  </si>
  <si>
    <t>J100000057</t>
  </si>
  <si>
    <t>POPEJOY LUKE</t>
  </si>
  <si>
    <t>POPEJOY REBECCA</t>
  </si>
  <si>
    <t>2583 MOCKSVILLE HIGHWAY</t>
  </si>
  <si>
    <t>I4130H0023</t>
  </si>
  <si>
    <t>DCF REAL ESTATE FOUNDATION LLC</t>
  </si>
  <si>
    <t>107 N SALISBURY ST</t>
  </si>
  <si>
    <t>27028-2331</t>
  </si>
  <si>
    <t>E700000024</t>
  </si>
  <si>
    <t>GONZALES FELIPE CUELLAR</t>
  </si>
  <si>
    <t>132 LAIRD RD</t>
  </si>
  <si>
    <t>I500000070</t>
  </si>
  <si>
    <t>HORN HENRY C</t>
  </si>
  <si>
    <t>190 N MAIN ST</t>
  </si>
  <si>
    <t>I50000002103</t>
  </si>
  <si>
    <t>C30000010706</t>
  </si>
  <si>
    <t>JOHNSON TERRY WAYNE</t>
  </si>
  <si>
    <t>NANCE KATHERINE WATSON</t>
  </si>
  <si>
    <t>489 JACK BOOE RD</t>
  </si>
  <si>
    <t>C8010A0002</t>
  </si>
  <si>
    <t>SYMMES JAMES D</t>
  </si>
  <si>
    <t>SYMMES COLLEEN H</t>
  </si>
  <si>
    <t>109 WINDSOR CIRCLE</t>
  </si>
  <si>
    <t>27006-8631</t>
  </si>
  <si>
    <t>I5070B0005</t>
  </si>
  <si>
    <t>GRAY STEVEN M</t>
  </si>
  <si>
    <t>GRAY SHERYLL W</t>
  </si>
  <si>
    <t>273 MILLING RD</t>
  </si>
  <si>
    <t>27028-2704</t>
  </si>
  <si>
    <t>J20000001506</t>
  </si>
  <si>
    <t>REVELS KAWONI ELOIGI</t>
  </si>
  <si>
    <t>SNOW JACOB ANTHONY</t>
  </si>
  <si>
    <t>G500000046</t>
  </si>
  <si>
    <t>BOGER DOROTHY M</t>
  </si>
  <si>
    <t>253 MCCLAMROCK ROAD</t>
  </si>
  <si>
    <t>G500000047</t>
  </si>
  <si>
    <t>G50000009403</t>
  </si>
  <si>
    <t>G500000094</t>
  </si>
  <si>
    <t>B3010A0008</t>
  </si>
  <si>
    <t>BIRK ROBERT W</t>
  </si>
  <si>
    <t>BIRK TERRIE L</t>
  </si>
  <si>
    <t>K5070B0014</t>
  </si>
  <si>
    <t>ADAMS JEFFREY CLAYTON</t>
  </si>
  <si>
    <t>ADAMS MELISSA JEANETTE</t>
  </si>
  <si>
    <t>233 REDWOOD DR</t>
  </si>
  <si>
    <t>27028-5165</t>
  </si>
  <si>
    <t>K5070B0015</t>
  </si>
  <si>
    <t>H50000002102</t>
  </si>
  <si>
    <t>H500000035</t>
  </si>
  <si>
    <t>K100000031</t>
  </si>
  <si>
    <t>G9090D0017</t>
  </si>
  <si>
    <t>ROBERSON CHRISTINE S</t>
  </si>
  <si>
    <t>155 MAPLEVALLEY RD</t>
  </si>
  <si>
    <t>27006-7578</t>
  </si>
  <si>
    <t>E7150A0003</t>
  </si>
  <si>
    <t>MULLIS KEVIN DEAN</t>
  </si>
  <si>
    <t>149 LIVE OAKS RD</t>
  </si>
  <si>
    <t>I700000039</t>
  </si>
  <si>
    <t>H4130A0046</t>
  </si>
  <si>
    <t>CUELLAR JOHANA MAGDALENA</t>
  </si>
  <si>
    <t>134 ASH DR</t>
  </si>
  <si>
    <t>J5010D0038</t>
  </si>
  <si>
    <t>GRIFFITH SUSAN L</t>
  </si>
  <si>
    <t>121 CLOISTER DR</t>
  </si>
  <si>
    <t>27028-2656</t>
  </si>
  <si>
    <t>J5010D0008</t>
  </si>
  <si>
    <t>RUTLER JOHN DAVID</t>
  </si>
  <si>
    <t>164 CHARLESTON RIDGE DR</t>
  </si>
  <si>
    <t>27028-2660</t>
  </si>
  <si>
    <t>H8060A0059</t>
  </si>
  <si>
    <t>MORTON ZACHARY BAXTER</t>
  </si>
  <si>
    <t>MORTON MOLLY JANE</t>
  </si>
  <si>
    <t>143 COVINGTON DR</t>
  </si>
  <si>
    <t>K5120A0004</t>
  </si>
  <si>
    <t>DALTON CLARK KEITH</t>
  </si>
  <si>
    <t>746 WILL BOONE RD</t>
  </si>
  <si>
    <t>F10000001001</t>
  </si>
  <si>
    <t>LIBERTY WESLEYAN CHURCH</t>
  </si>
  <si>
    <t>2106 Sheffield Rd,</t>
  </si>
  <si>
    <t>Harmony</t>
  </si>
  <si>
    <t>K40000001101</t>
  </si>
  <si>
    <t>TEHANDON MIGUEL W</t>
  </si>
  <si>
    <t>TEHANDON JILL M</t>
  </si>
  <si>
    <t>183 DOVER LN</t>
  </si>
  <si>
    <t>27028-4140</t>
  </si>
  <si>
    <t>I3010A000501</t>
  </si>
  <si>
    <t>MCMANUS MICHAEL JOHN</t>
  </si>
  <si>
    <t>196 MCALLISTER RD</t>
  </si>
  <si>
    <t>27028-4251</t>
  </si>
  <si>
    <t>K4010A0002</t>
  </si>
  <si>
    <t>K700000068</t>
  </si>
  <si>
    <t>KERLEY LOIS TRIVETTE</t>
  </si>
  <si>
    <t>KERLEY PHILLIP RHONDA</t>
  </si>
  <si>
    <t>588 CEDAR GROVE CHURCH RD</t>
  </si>
  <si>
    <t>27028-7116</t>
  </si>
  <si>
    <t>G8120A0009</t>
  </si>
  <si>
    <t>RUTTER JESSE L</t>
  </si>
  <si>
    <t>RUTTER KELLY L</t>
  </si>
  <si>
    <t>125 FEED MILL RD</t>
  </si>
  <si>
    <t>M5060A0007</t>
  </si>
  <si>
    <t>MEAD DEBORAH</t>
  </si>
  <si>
    <t>MEAD NICHOLAS</t>
  </si>
  <si>
    <t>7331 NC HIGHWAY 801 S</t>
  </si>
  <si>
    <t>27028-6738</t>
  </si>
  <si>
    <t>G8120B0013</t>
  </si>
  <si>
    <t>6399 AMP DRIVE</t>
  </si>
  <si>
    <t>D8060A0015</t>
  </si>
  <si>
    <t>CASCINI THOMAS DAVID</t>
  </si>
  <si>
    <t>DEUEL LINDA MCCART</t>
  </si>
  <si>
    <t>320 RIVERBEND DRIVE</t>
  </si>
  <si>
    <t>C700000157</t>
  </si>
  <si>
    <t>ANDERS DEREK</t>
  </si>
  <si>
    <t>114 MATTS PL</t>
  </si>
  <si>
    <t>27006-7917</t>
  </si>
  <si>
    <t>M600000026</t>
  </si>
  <si>
    <t>MARTIN JERALD</t>
  </si>
  <si>
    <t>MARTIN PATRICIA</t>
  </si>
  <si>
    <t>367 BECKTOWN RD</t>
  </si>
  <si>
    <t>E20000000402</t>
  </si>
  <si>
    <t>ALLEN TERRY DALE</t>
  </si>
  <si>
    <t>398 SALMONS ROAD</t>
  </si>
  <si>
    <t>D9090B0023</t>
  </si>
  <si>
    <t>ANDERSON HUGH F</t>
  </si>
  <si>
    <t>155 OLEANDER DRIVE</t>
  </si>
  <si>
    <t>E9150B0096</t>
  </si>
  <si>
    <t>FOLEY MARK J</t>
  </si>
  <si>
    <t>FOLEY EMILY</t>
  </si>
  <si>
    <t>297 ORCHARD PARK DRIVE</t>
  </si>
  <si>
    <t>I4140A0019</t>
  </si>
  <si>
    <t>BULLINS JOHN D</t>
  </si>
  <si>
    <t>BULLINS PHYLLIS ANN K</t>
  </si>
  <si>
    <t>118 GREY ST</t>
  </si>
  <si>
    <t>27028-2310</t>
  </si>
  <si>
    <t>E9150B0056</t>
  </si>
  <si>
    <t>HENN FRANCIS</t>
  </si>
  <si>
    <t>HENN JEAN</t>
  </si>
  <si>
    <t>228 SYCAMORE RIDGE DRIVE</t>
  </si>
  <si>
    <t>J5090A001401</t>
  </si>
  <si>
    <t>WASKJ LLC</t>
  </si>
  <si>
    <t>105 LINKER PLACE</t>
  </si>
  <si>
    <t>G8140A0058  A</t>
  </si>
  <si>
    <t>G8140A0060</t>
  </si>
  <si>
    <t>DOWD SCOTT R</t>
  </si>
  <si>
    <t>DOWD MELANIE R</t>
  </si>
  <si>
    <t>134 SPRUCEWOOD CT</t>
  </si>
  <si>
    <t>K500000032</t>
  </si>
  <si>
    <t>CRAVER ROGAR DALE JR</t>
  </si>
  <si>
    <t>CRAVER WENDY</t>
  </si>
  <si>
    <t>187 TURRENTINE CHURCH RD</t>
  </si>
  <si>
    <t>27028-5447</t>
  </si>
  <si>
    <t>K500000031</t>
  </si>
  <si>
    <t>D200000037</t>
  </si>
  <si>
    <t>JESUS LIFE MISSION</t>
  </si>
  <si>
    <t>2573 LIBERTY CHURCH ROAD</t>
  </si>
  <si>
    <t>H10000000401</t>
  </si>
  <si>
    <t>DOBY JAMES D III</t>
  </si>
  <si>
    <t>244 PEPPERSTONE DR</t>
  </si>
  <si>
    <t>F100000045</t>
  </si>
  <si>
    <t>GAITHER MELISSA LYNN</t>
  </si>
  <si>
    <t>3652 HARMONY HWY</t>
  </si>
  <si>
    <t>28634-9439</t>
  </si>
  <si>
    <t>G70000000201</t>
  </si>
  <si>
    <t>MICHAEL KEVIN E</t>
  </si>
  <si>
    <t>MICHAEL RHONDA J</t>
  </si>
  <si>
    <t>575 HOWARDTOWN RD</t>
  </si>
  <si>
    <t>27028-7240</t>
  </si>
  <si>
    <t>D7080A0043</t>
  </si>
  <si>
    <t>PRESSLEY JOHN GARY</t>
  </si>
  <si>
    <t>OVERMAN JAN GARDNER</t>
  </si>
  <si>
    <t>329 LONGWOOD DR</t>
  </si>
  <si>
    <t>M40000002415</t>
  </si>
  <si>
    <t>LEU ABEL F</t>
  </si>
  <si>
    <t>143 SUNCHASER TRL</t>
  </si>
  <si>
    <t>27028-5380</t>
  </si>
  <si>
    <t>E900000449</t>
  </si>
  <si>
    <t>TOLLER JOHNATHAN MICHAEL</t>
  </si>
  <si>
    <t>TOLLER MARIETTA ISEULT</t>
  </si>
  <si>
    <t>197 SCOTTSDALE DR</t>
  </si>
  <si>
    <t>27006-6933</t>
  </si>
  <si>
    <t>M500000025</t>
  </si>
  <si>
    <t>GATTON MARIE ROBERTS</t>
  </si>
  <si>
    <t>165 CORRELL ROAD</t>
  </si>
  <si>
    <t>G900000018</t>
  </si>
  <si>
    <t>ROHDEN MATTHEW JAMES</t>
  </si>
  <si>
    <t>PO BOX 290</t>
  </si>
  <si>
    <t>27006-0290</t>
  </si>
  <si>
    <t>C8010A0199</t>
  </si>
  <si>
    <t>HOLLY STACY</t>
  </si>
  <si>
    <t>133 LAKESIDE XING</t>
  </si>
  <si>
    <t>27006-8616</t>
  </si>
  <si>
    <t>I4010A0035</t>
  </si>
  <si>
    <t>LESTER JANNETH</t>
  </si>
  <si>
    <t>110 TURNBERRY CT</t>
  </si>
  <si>
    <t>27028-1919</t>
  </si>
  <si>
    <t>E7150A0009</t>
  </si>
  <si>
    <t>MCCOY JACK FLEMING</t>
  </si>
  <si>
    <t>MCCOY CYNTHIA L</t>
  </si>
  <si>
    <t>108 LIVE OAKS ROAD</t>
  </si>
  <si>
    <t>RebeccaR</t>
  </si>
  <si>
    <t>I20000001303</t>
  </si>
  <si>
    <t>CAMPBELL MARY WINFREY TRUST UTA</t>
  </si>
  <si>
    <t>CAMPBELL MARY WINFREY TRUSTEE</t>
  </si>
  <si>
    <t>1200 GODBEY RD</t>
  </si>
  <si>
    <t>27028-8246</t>
  </si>
  <si>
    <t>J5030A0006</t>
  </si>
  <si>
    <t>ROSE PENNY ABERNATHY</t>
  </si>
  <si>
    <t>ROSE PAUL J</t>
  </si>
  <si>
    <t>186 CRESTVIEW DR</t>
  </si>
  <si>
    <t>C8010A0236</t>
  </si>
  <si>
    <t>WENDEL SHELLEY M</t>
  </si>
  <si>
    <t>121 MILLSTONE LANE</t>
  </si>
  <si>
    <t>G50000000901</t>
  </si>
  <si>
    <t>RUNDLE MICHELLE</t>
  </si>
  <si>
    <t>129 W CHURCH STREET</t>
  </si>
  <si>
    <t>H500000012</t>
  </si>
  <si>
    <t>I5160A0004</t>
  </si>
  <si>
    <t>I4120D001301</t>
  </si>
  <si>
    <t>I4120D0015</t>
  </si>
  <si>
    <t>I5070B000801</t>
  </si>
  <si>
    <t>FOSTER JOSHUA HARDING</t>
  </si>
  <si>
    <t>193 LAKEVIEW DRIVE</t>
  </si>
  <si>
    <t>F1020A0016</t>
  </si>
  <si>
    <t>MILLER CURTIS L</t>
  </si>
  <si>
    <t>MATHIS JULIANA LEA</t>
  </si>
  <si>
    <t>N500000050</t>
  </si>
  <si>
    <t>QUEEN HELEN Q</t>
  </si>
  <si>
    <t>578 PINE RIDGE RD</t>
  </si>
  <si>
    <t>J600000033</t>
  </si>
  <si>
    <t>BULKLEY JOSEPH A</t>
  </si>
  <si>
    <t>260 DALTON RD</t>
  </si>
  <si>
    <t>27028-5117</t>
  </si>
  <si>
    <t>N5010C0002</t>
  </si>
  <si>
    <t>LEMUS RUFINO ALBERTO ALVARADO</t>
  </si>
  <si>
    <t>574 E LEXINGTON RD</t>
  </si>
  <si>
    <t>27028-2628</t>
  </si>
  <si>
    <t>C7150A0012</t>
  </si>
  <si>
    <t>HARRISON TIMOTHY C</t>
  </si>
  <si>
    <t>HARRISON JODI L</t>
  </si>
  <si>
    <t>238 WOODBURN PL</t>
  </si>
  <si>
    <t>M5020A0013  A</t>
  </si>
  <si>
    <t>PRIVAT LORRAINE M</t>
  </si>
  <si>
    <t>378 MICHAELS RD</t>
  </si>
  <si>
    <t>27028-6722</t>
  </si>
  <si>
    <t>E9150B0074</t>
  </si>
  <si>
    <t>REID JOSEPH A</t>
  </si>
  <si>
    <t>REID SHARON G</t>
  </si>
  <si>
    <t>110 SYCAMORE PARK LN</t>
  </si>
  <si>
    <t>B20000004202</t>
  </si>
  <si>
    <t>SPEER MARK TIMOTHY</t>
  </si>
  <si>
    <t>173 PAPS WAY</t>
  </si>
  <si>
    <t>27028-4764</t>
  </si>
  <si>
    <t>I4060A002001</t>
  </si>
  <si>
    <t>WEAVER TWO LLC</t>
  </si>
  <si>
    <t>27028-5101</t>
  </si>
  <si>
    <t>C8010A0355</t>
  </si>
  <si>
    <t>BROWN LISA GOBBLE</t>
  </si>
  <si>
    <t>147 KILBOURNE DRIVE</t>
  </si>
  <si>
    <t>G8140A0061</t>
  </si>
  <si>
    <t>PARRISH JOSHUA E</t>
  </si>
  <si>
    <t>PARRISH JESSICA J</t>
  </si>
  <si>
    <t>146 SPRUCEWOOD CT</t>
  </si>
  <si>
    <t>I4120B0003</t>
  </si>
  <si>
    <t>WISCARVER JACLYN</t>
  </si>
  <si>
    <t>549 WILKESBORO ST</t>
  </si>
  <si>
    <t>27028-2031</t>
  </si>
  <si>
    <t>I4060B0018</t>
  </si>
  <si>
    <t>DEWOLFEE FRANCES MEGAN</t>
  </si>
  <si>
    <t>285 MUMFORD DR</t>
  </si>
  <si>
    <t>27028-2063</t>
  </si>
  <si>
    <t>C500000016</t>
  </si>
  <si>
    <t>WALTON MARK THOMAS</t>
  </si>
  <si>
    <t>240 WYO RD</t>
  </si>
  <si>
    <t>27028-6301</t>
  </si>
  <si>
    <t>C50000001802</t>
  </si>
  <si>
    <t>J200000044</t>
  </si>
  <si>
    <t>CAMPBELL SHEILA DICKENS</t>
  </si>
  <si>
    <t>1058 E MEMORIAL HWY</t>
  </si>
  <si>
    <t>F500000021</t>
  </si>
  <si>
    <t>BECK KARL VAN</t>
  </si>
  <si>
    <t>364 WOODWARD ROAD</t>
  </si>
  <si>
    <t>F50000002102</t>
  </si>
  <si>
    <t>F50000002101</t>
  </si>
  <si>
    <t>E900000554</t>
  </si>
  <si>
    <t>HIRA KIRAN M</t>
  </si>
  <si>
    <t>PATEL VARSHA K</t>
  </si>
  <si>
    <t>159 ARNOLD PALMER DRIVE</t>
  </si>
  <si>
    <t>B40000001410</t>
  </si>
  <si>
    <t>GOOD MICHAEL JAMES</t>
  </si>
  <si>
    <t>149 BONKIN LAKE ROAD</t>
  </si>
  <si>
    <t>27028-6112</t>
  </si>
  <si>
    <t>E900000001</t>
  </si>
  <si>
    <t>ESSICK DANA C</t>
  </si>
  <si>
    <t>ESSICK TIMOTHY SCOTT</t>
  </si>
  <si>
    <t>106 OAKMONT DR</t>
  </si>
  <si>
    <t>M400000052</t>
  </si>
  <si>
    <t>DEVOID DANIEL E</t>
  </si>
  <si>
    <t>DEVOID VICKI L</t>
  </si>
  <si>
    <t>174 RANCH WAY</t>
  </si>
  <si>
    <t>27028-5274</t>
  </si>
  <si>
    <t>M4050A0010</t>
  </si>
  <si>
    <t>J600000087</t>
  </si>
  <si>
    <t>ALLEN RICHARD GLEN</t>
  </si>
  <si>
    <t>ALLEN NAOMI VIRGINIA</t>
  </si>
  <si>
    <t>1851 US HWY 64 E</t>
  </si>
  <si>
    <t>J4030A0002</t>
  </si>
  <si>
    <t>ALLEN JACK R SR REVOC TRUST</t>
  </si>
  <si>
    <t>ALLEN JACK R SR TRUSTEE</t>
  </si>
  <si>
    <t>687 SANFORD AVE</t>
  </si>
  <si>
    <t>27028-2921</t>
  </si>
  <si>
    <t>E50000003003</t>
  </si>
  <si>
    <t>JOHNSON CHARLES H</t>
  </si>
  <si>
    <t>JOHNSON SUSAN K</t>
  </si>
  <si>
    <t>SHERRILLS FRD</t>
  </si>
  <si>
    <t>28673-0097</t>
  </si>
  <si>
    <t>I4060A0006</t>
  </si>
  <si>
    <t>NC DEPT OF TRANSPORTATION</t>
  </si>
  <si>
    <t>1546 MAIL SERVICE CENTER</t>
  </si>
  <si>
    <t>E200000031  A</t>
  </si>
  <si>
    <t>WOODSON STEVEN ALEXANDER</t>
  </si>
  <si>
    <t>587 LIBERTY CHURCH RD</t>
  </si>
  <si>
    <t>D9030A0026</t>
  </si>
  <si>
    <t>ROMINE BRADLEY R</t>
  </si>
  <si>
    <t>ROMINE VICKIE S</t>
  </si>
  <si>
    <t>322 JAMES WAY</t>
  </si>
  <si>
    <t>27006-8507</t>
  </si>
  <si>
    <t>F800000097</t>
  </si>
  <si>
    <t>110 HIDDEN CREEK DR</t>
  </si>
  <si>
    <t>27006-8754</t>
  </si>
  <si>
    <t>I200000033</t>
  </si>
  <si>
    <t>REID STEVEN LEE</t>
  </si>
  <si>
    <t>D8100A0018</t>
  </si>
  <si>
    <t>GRUBBS RONALD B</t>
  </si>
  <si>
    <t>GRUBBS ROBIN C</t>
  </si>
  <si>
    <t>117 JUNIPER CR</t>
  </si>
  <si>
    <t>C30000003501</t>
  </si>
  <si>
    <t>BREAD OF LIFE BAPTIST CHURCH</t>
  </si>
  <si>
    <t>4557 US HWY 801 N</t>
  </si>
  <si>
    <t>D9010B0021</t>
  </si>
  <si>
    <t>SPARKS CRAIG D</t>
  </si>
  <si>
    <t>SPARKS SHIRL B</t>
  </si>
  <si>
    <t>135 WARWICKE PL</t>
  </si>
  <si>
    <t>H400000067</t>
  </si>
  <si>
    <t>RECKTENWALD JAMES MICHAEL</t>
  </si>
  <si>
    <t>RECKTENWALD ANDREA JILL</t>
  </si>
  <si>
    <t>293 COUNTRY LANE</t>
  </si>
  <si>
    <t>C8010A0014</t>
  </si>
  <si>
    <t>PROVENZANO JANE</t>
  </si>
  <si>
    <t>BONELLO JAMES JOSEPH</t>
  </si>
  <si>
    <t>110 ROSEWALK COURT</t>
  </si>
  <si>
    <t>J5170A0002</t>
  </si>
  <si>
    <t>RICHARDSON CHARLOTTE A</t>
  </si>
  <si>
    <t>114 ELBERON CT</t>
  </si>
  <si>
    <t>27028-7375</t>
  </si>
  <si>
    <t>F3130A0004</t>
  </si>
  <si>
    <t>STEPP JOAN L ETAL</t>
  </si>
  <si>
    <t>130 PEPPERSTONE DRIVE</t>
  </si>
  <si>
    <t>I70000007802</t>
  </si>
  <si>
    <t>HARPER BILL</t>
  </si>
  <si>
    <t>194 LOWER PLACE LANE</t>
  </si>
  <si>
    <t>F600000093</t>
  </si>
  <si>
    <t>WYCKOFF JOHN W IV</t>
  </si>
  <si>
    <t>907 HOWARDTOWN CIR</t>
  </si>
  <si>
    <t>27028-7708</t>
  </si>
  <si>
    <t>G30000008401</t>
  </si>
  <si>
    <t>LARSON MANUFACTURING COMPANY INC</t>
  </si>
  <si>
    <t>2333 EASTBROOK DR</t>
  </si>
  <si>
    <t>BROOKINGS</t>
  </si>
  <si>
    <t>SD</t>
  </si>
  <si>
    <t>57006-2838</t>
  </si>
  <si>
    <t>H5200A0021</t>
  </si>
  <si>
    <t>MCALLISTER CHARLES M</t>
  </si>
  <si>
    <t>MCALLISTER JANE S</t>
  </si>
  <si>
    <t>128 DRAYTON CT</t>
  </si>
  <si>
    <t>27028-2226</t>
  </si>
  <si>
    <t>L500000053</t>
  </si>
  <si>
    <t>WILLIAMS DONALD WAYNE</t>
  </si>
  <si>
    <t>WILLIAMS JOAN</t>
  </si>
  <si>
    <t>232 OAKDALE CIRCLE</t>
  </si>
  <si>
    <t>G80000000505</t>
  </si>
  <si>
    <t>SLABACH GARY F</t>
  </si>
  <si>
    <t>145 BEAUCHAMP ROAD</t>
  </si>
  <si>
    <t>G80000000506</t>
  </si>
  <si>
    <t>G80000000503</t>
  </si>
  <si>
    <t>J500000018</t>
  </si>
  <si>
    <t>LYDAY JENNIFER BARKER</t>
  </si>
  <si>
    <t>LYDAY STEPHEN ANDREW</t>
  </si>
  <si>
    <t>1287 US HIGHWAY 64 E</t>
  </si>
  <si>
    <t>27028-5460</t>
  </si>
  <si>
    <t>H5160A0008</t>
  </si>
  <si>
    <t>CRESS JACKIE C SR</t>
  </si>
  <si>
    <t>149 E KNOLL BROOK DR</t>
  </si>
  <si>
    <t>27028-4346</t>
  </si>
  <si>
    <t>J50000001801</t>
  </si>
  <si>
    <t>C8010A0217</t>
  </si>
  <si>
    <t>MCNEIL TERRI</t>
  </si>
  <si>
    <t>202 N FORKE DRIVE</t>
  </si>
  <si>
    <t>F80000007511</t>
  </si>
  <si>
    <t>PIEDMONT NEWS COMPANY INC</t>
  </si>
  <si>
    <t>B GODFREY HOMES LLC</t>
  </si>
  <si>
    <t>150 MUIRFIELD DRIVE</t>
  </si>
  <si>
    <t>F80000007512</t>
  </si>
  <si>
    <t>D8100A0010</t>
  </si>
  <si>
    <t>HEGE CATHE B</t>
  </si>
  <si>
    <t>688 RIVERBEND DRIVE</t>
  </si>
  <si>
    <t>I5050A0028</t>
  </si>
  <si>
    <t>CHICO MARIA CARRILLO</t>
  </si>
  <si>
    <t>164 CREEKSIDE DR</t>
  </si>
  <si>
    <t>27028-2834</t>
  </si>
  <si>
    <t>J60000004702</t>
  </si>
  <si>
    <t>LINDSAY JAMES L</t>
  </si>
  <si>
    <t>284 GARWOOD RD</t>
  </si>
  <si>
    <t>27028-5229</t>
  </si>
  <si>
    <t>I5050A0001</t>
  </si>
  <si>
    <t>CASULA MARIA BETHY</t>
  </si>
  <si>
    <t>LEMUS JOSEFINA YDAI</t>
  </si>
  <si>
    <t>350 ROLLING HILLS LN</t>
  </si>
  <si>
    <t>I4010A0023</t>
  </si>
  <si>
    <t>HOWLETT JONATHAN</t>
  </si>
  <si>
    <t>HOWLETT ELYSE</t>
  </si>
  <si>
    <t>234 N WENTWORTH DR</t>
  </si>
  <si>
    <t>27028-2160</t>
  </si>
  <si>
    <t>H10000000314</t>
  </si>
  <si>
    <t>CAMPBELL LARRY MILTON</t>
  </si>
  <si>
    <t>C80000000120</t>
  </si>
  <si>
    <t>STRAND DAVID GREGORY</t>
  </si>
  <si>
    <t>STRAND JOHNSIE BAUGUESS</t>
  </si>
  <si>
    <t>418 FRED BAHNSON DR</t>
  </si>
  <si>
    <t>C80000000123</t>
  </si>
  <si>
    <t>B50000009605</t>
  </si>
  <si>
    <t>RANDOLPH TEDFORD JOSEPH</t>
  </si>
  <si>
    <t>RANDOLPH SOMER SMITH</t>
  </si>
  <si>
    <t>2770 FARMINGTON RD</t>
  </si>
  <si>
    <t>B50000009604</t>
  </si>
  <si>
    <t>D200000046</t>
  </si>
  <si>
    <t>BRINKLEY SHERRILL K</t>
  </si>
  <si>
    <t>987 LIBERTY CHURCH RD</t>
  </si>
  <si>
    <t>I600000036</t>
  </si>
  <si>
    <t>CRAIG GAYLE</t>
  </si>
  <si>
    <t>749 CORNATZER RD</t>
  </si>
  <si>
    <t>H70000003801</t>
  </si>
  <si>
    <t>KERNS ROY</t>
  </si>
  <si>
    <t>KERNS KIMBERLY</t>
  </si>
  <si>
    <t>174 HARROW LN</t>
  </si>
  <si>
    <t>E70000011801</t>
  </si>
  <si>
    <t>VERNIER ERIC NORMAN</t>
  </si>
  <si>
    <t>568 BALTIMORE RD</t>
  </si>
  <si>
    <t>27006-7815</t>
  </si>
  <si>
    <t>J6100B0018</t>
  </si>
  <si>
    <t>EDWARDS JOEL L</t>
  </si>
  <si>
    <t>EDWARDS ELIZABETH</t>
  </si>
  <si>
    <t>177 RESERVE LN</t>
  </si>
  <si>
    <t>D500000112</t>
  </si>
  <si>
    <t>SMITH THOMAS A</t>
  </si>
  <si>
    <t>SMITH PATRICIA C</t>
  </si>
  <si>
    <t>331 KENNEN KREST ROAD</t>
  </si>
  <si>
    <t>I90000002115</t>
  </si>
  <si>
    <t>ANDERSON LYNDA JEAN</t>
  </si>
  <si>
    <t>224 ZIMMERMAN RD</t>
  </si>
  <si>
    <t>H600000068</t>
  </si>
  <si>
    <t>GOINS BETTY MCDOWELL</t>
  </si>
  <si>
    <t>1317 CORNATZER RD</t>
  </si>
  <si>
    <t>F800000090</t>
  </si>
  <si>
    <t>F800000089</t>
  </si>
  <si>
    <t>D60000001602</t>
  </si>
  <si>
    <t>MILLER MATTHEW HOLT</t>
  </si>
  <si>
    <t>MILLER LAURA ANN</t>
  </si>
  <si>
    <t>1030 RAINBOW RD</t>
  </si>
  <si>
    <t>C4160A0036</t>
  </si>
  <si>
    <t>KLINGENSMITH STEVEN EDWARD</t>
  </si>
  <si>
    <t>HILL ELIZABETH DAWN</t>
  </si>
  <si>
    <t>225 MEADOWLARK LN</t>
  </si>
  <si>
    <t>D60000001603</t>
  </si>
  <si>
    <t>F300000043</t>
  </si>
  <si>
    <t>NAYLOR STEPHEN C</t>
  </si>
  <si>
    <t>3007 US HWY 601 N</t>
  </si>
  <si>
    <t>F60000010907</t>
  </si>
  <si>
    <t>SEBASTIAN SCOTT</t>
  </si>
  <si>
    <t>523 HOWARDTOWN CIR</t>
  </si>
  <si>
    <t>I50000001107</t>
  </si>
  <si>
    <t>THE ANDERSONS ALACO LAWN INC</t>
  </si>
  <si>
    <t>MAUMEE</t>
  </si>
  <si>
    <t>I4030A0003</t>
  </si>
  <si>
    <t>IIG OF DC LLC</t>
  </si>
  <si>
    <t>945 YADKINVILLE ROAD</t>
  </si>
  <si>
    <t>C8030A001403</t>
  </si>
  <si>
    <t>JAMES CATHY JONES</t>
  </si>
  <si>
    <t>141 PINEWOOD LANE #103</t>
  </si>
  <si>
    <t>H30000000201</t>
  </si>
  <si>
    <t>ROSE WHAID GUSCOTT</t>
  </si>
  <si>
    <t>ROSE MARJOLENE IJAMES</t>
  </si>
  <si>
    <t>2510 GALLERY DRIVE</t>
  </si>
  <si>
    <t>D9090C0014</t>
  </si>
  <si>
    <t>GRANT THOMAS EUGENE SR</t>
  </si>
  <si>
    <t>GRANT KAY FORREST</t>
  </si>
  <si>
    <t>128 LAUREL PLACE</t>
  </si>
  <si>
    <t>L60000000402</t>
  </si>
  <si>
    <t>SOUTHERN KEVIN</t>
  </si>
  <si>
    <t>SOUTHERN STACEY</t>
  </si>
  <si>
    <t>195 BOONE LANE</t>
  </si>
  <si>
    <t>D9090A0013</t>
  </si>
  <si>
    <t>GULLOTTA VINCENT</t>
  </si>
  <si>
    <t>GULLOTTA CAROL MOORE</t>
  </si>
  <si>
    <t>132 WILLOWBROOK PLACE</t>
  </si>
  <si>
    <t>N5010C0035</t>
  </si>
  <si>
    <t>HARRIS JOEL A</t>
  </si>
  <si>
    <t>HARRIS DONNA ANN</t>
  </si>
  <si>
    <t>PO BOX 526</t>
  </si>
  <si>
    <t>G8140A0056</t>
  </si>
  <si>
    <t>VON BOWEN LANDON</t>
  </si>
  <si>
    <t>177 OAKCREST DR</t>
  </si>
  <si>
    <t>27006-7367</t>
  </si>
  <si>
    <t>E900000458</t>
  </si>
  <si>
    <t>ALLEN JASON THOMAS</t>
  </si>
  <si>
    <t>FORSBERG INDGRID KATARINA</t>
  </si>
  <si>
    <t>152 S HIDDENBROOKE DRIVE</t>
  </si>
  <si>
    <t>J4120B0007</t>
  </si>
  <si>
    <t>DEPARTMENT OF TRANSPORTATION</t>
  </si>
  <si>
    <t>AGENCY OF THE STATE OF NC</t>
  </si>
  <si>
    <t>H70000010803</t>
  </si>
  <si>
    <t>BEAUCHAMP LESTER HAYDEN</t>
  </si>
  <si>
    <t>1036 FORK BIXBY RD</t>
  </si>
  <si>
    <t>D20000004501</t>
  </si>
  <si>
    <t>BOETTCHER JANNA</t>
  </si>
  <si>
    <t>1037 LIBERTY CHURCH RD</t>
  </si>
  <si>
    <t>E5020A0008</t>
  </si>
  <si>
    <t>CHRISTIE STEVEN CY</t>
  </si>
  <si>
    <t>CHRISTIE BECKY LYNN</t>
  </si>
  <si>
    <t>139 GREENE COURT</t>
  </si>
  <si>
    <t>E900000097</t>
  </si>
  <si>
    <t>BAHRANI HOOMAN</t>
  </si>
  <si>
    <t>BAHRANI DEBORAH ANNE</t>
  </si>
  <si>
    <t>175 KESWICK DR</t>
  </si>
  <si>
    <t>C50000003201</t>
  </si>
  <si>
    <t>FURCHES ENTERPRISES INC</t>
  </si>
  <si>
    <t>1918 FARMINGTON RD</t>
  </si>
  <si>
    <t>H80000005316</t>
  </si>
  <si>
    <t>CLEMONS KEVIN MICHAEL</t>
  </si>
  <si>
    <t>CLEMONS BRIANNE M</t>
  </si>
  <si>
    <t>555 BAILEYS CHAPEL RD</t>
  </si>
  <si>
    <t>N4040A0019</t>
  </si>
  <si>
    <t>NETTLES BEN H</t>
  </si>
  <si>
    <t>PO BOX 28</t>
  </si>
  <si>
    <t>C8010A0229</t>
  </si>
  <si>
    <t>SUDOL KENNETH E</t>
  </si>
  <si>
    <t>SUDOL GAIL V</t>
  </si>
  <si>
    <t>140 ROSEWALK LN</t>
  </si>
  <si>
    <t>E700000052</t>
  </si>
  <si>
    <t>MOORE TAYLOR L</t>
  </si>
  <si>
    <t>MOORE ALEXANDRA T</t>
  </si>
  <si>
    <t>563 JUNEY BEAUCHAMP RD</t>
  </si>
  <si>
    <t>D9030A0015</t>
  </si>
  <si>
    <t>MCGUIRE ALEXANDER S</t>
  </si>
  <si>
    <t>MCGUIRE CARRIE B</t>
  </si>
  <si>
    <t>240 JAMES WAY</t>
  </si>
  <si>
    <t>K200000074</t>
  </si>
  <si>
    <t>CARTNER BETTY K</t>
  </si>
  <si>
    <t>221 GRADY LANE</t>
  </si>
  <si>
    <t>L400000018</t>
  </si>
  <si>
    <t>CRANFILL REALTY LLC</t>
  </si>
  <si>
    <t>788 BEAUCHAMP RD</t>
  </si>
  <si>
    <t>L4130A0022</t>
  </si>
  <si>
    <t>L5100B0021</t>
  </si>
  <si>
    <t>L5100B0022</t>
  </si>
  <si>
    <t>L4130A002202</t>
  </si>
  <si>
    <t>L400000019</t>
  </si>
  <si>
    <t>L400000021</t>
  </si>
  <si>
    <t>E700000150  A</t>
  </si>
  <si>
    <t>H900000025</t>
  </si>
  <si>
    <t>BRITNER GREGORY A</t>
  </si>
  <si>
    <t>120 DUBLIN RD</t>
  </si>
  <si>
    <t>H90000002508</t>
  </si>
  <si>
    <t>E900000415</t>
  </si>
  <si>
    <t>HOLLOWAY KIMBERLY SUE</t>
  </si>
  <si>
    <t>ZELAZOSKI GREGORY</t>
  </si>
  <si>
    <t>201 BROADMOOR DR</t>
  </si>
  <si>
    <t>G90000000811</t>
  </si>
  <si>
    <t>MORGAN MICHAEL</t>
  </si>
  <si>
    <t>125 LOST FARM DR</t>
  </si>
  <si>
    <t>G900000140</t>
  </si>
  <si>
    <t>G90000000901</t>
  </si>
  <si>
    <t>MACE GLENN F JR</t>
  </si>
  <si>
    <t>MACE LINDA T</t>
  </si>
  <si>
    <t>142 OLDE STONE TL</t>
  </si>
  <si>
    <t>I100000004</t>
  </si>
  <si>
    <t>STROUD PHILLIP WAYNE</t>
  </si>
  <si>
    <t>370 HWY 901</t>
  </si>
  <si>
    <t>I5050A0026</t>
  </si>
  <si>
    <t>BULLABOUGH RHONDA A</t>
  </si>
  <si>
    <t>PO BOX 6504</t>
  </si>
  <si>
    <t>CHARLOTTESVILLE</t>
  </si>
  <si>
    <t>N4040A0035</t>
  </si>
  <si>
    <t>GARNER KATHLEEN MAIRE</t>
  </si>
  <si>
    <t>MOSS SARAH ELIZABETH</t>
  </si>
  <si>
    <t>PO BOX 909</t>
  </si>
  <si>
    <t>27014-0909</t>
  </si>
  <si>
    <t>C30000011015</t>
  </si>
  <si>
    <t>SIDDEN GARY WAYNE</t>
  </si>
  <si>
    <t>SIDDEN CYNTHIA ANN</t>
  </si>
  <si>
    <t>142 COTTON LN</t>
  </si>
  <si>
    <t>D9090D0015</t>
  </si>
  <si>
    <t>KERLEY GARY LEE</t>
  </si>
  <si>
    <t>KERLEY PATRICIA A</t>
  </si>
  <si>
    <t>116 BAYBERRY PL</t>
  </si>
  <si>
    <t>27006-8408</t>
  </si>
  <si>
    <t>I4050A000203</t>
  </si>
  <si>
    <t>LINDSAY TAMMERA KAY</t>
  </si>
  <si>
    <t>316 WEST CHURCH STREET</t>
  </si>
  <si>
    <t>I4050A000203T</t>
  </si>
  <si>
    <t>L500000093</t>
  </si>
  <si>
    <t>LIGHTHOUSE PROPERTIES INC</t>
  </si>
  <si>
    <t>P O BOX 642</t>
  </si>
  <si>
    <t>RRiel</t>
  </si>
  <si>
    <t>B400000026</t>
  </si>
  <si>
    <t>H700000107</t>
  </si>
  <si>
    <t>E8160A0006</t>
  </si>
  <si>
    <t>TUTTEROW CHARLES DAVID</t>
  </si>
  <si>
    <t>TUTTEROW DARLENE G</t>
  </si>
  <si>
    <t>155 MEADOWS EDGE DR</t>
  </si>
  <si>
    <t>27006-6001</t>
  </si>
  <si>
    <t>J5010D0086</t>
  </si>
  <si>
    <t>MIXON JOSHUA K</t>
  </si>
  <si>
    <t>156 WINDING CREEK RD</t>
  </si>
  <si>
    <t>C700000107</t>
  </si>
  <si>
    <t>JAM PROPERTIES OF KERNERSVILLE LLC</t>
  </si>
  <si>
    <t>210 NANZETTA WAY</t>
  </si>
  <si>
    <t>I1120A0028</t>
  </si>
  <si>
    <t>REED LYDIA</t>
  </si>
  <si>
    <t>359 OAKLAND AVE</t>
  </si>
  <si>
    <t>N500000015</t>
  </si>
  <si>
    <t>JAMES CRYSTAL D</t>
  </si>
  <si>
    <t>323 BOOTLEG ALLEY</t>
  </si>
  <si>
    <t>L60000000203</t>
  </si>
  <si>
    <t>ROBERTSON CHAD VAN</t>
  </si>
  <si>
    <t>228 COMBS WAY</t>
  </si>
  <si>
    <t>L5100B001401</t>
  </si>
  <si>
    <t>D600000087</t>
  </si>
  <si>
    <t>H700000051</t>
  </si>
  <si>
    <t>OUELLETTE LAURA BETH</t>
  </si>
  <si>
    <t>OUELLETTE BRANDON RICHARD</t>
  </si>
  <si>
    <t>162 OUR PL</t>
  </si>
  <si>
    <t>I5120B0022</t>
  </si>
  <si>
    <t>MCMILLIAN WILLIAM C</t>
  </si>
  <si>
    <t>MCMILLIAN KINA D</t>
  </si>
  <si>
    <t>194 WINDWARD CIR</t>
  </si>
  <si>
    <t>27028-2842</t>
  </si>
  <si>
    <t>L500000027</t>
  </si>
  <si>
    <t>BECK ERICA</t>
  </si>
  <si>
    <t>BOGER DARRELL</t>
  </si>
  <si>
    <t>PO BOX 1086</t>
  </si>
  <si>
    <t>27028-1086</t>
  </si>
  <si>
    <t>G9090B0025</t>
  </si>
  <si>
    <t>HIRE JENNIFER L</t>
  </si>
  <si>
    <t>HIRE LAWRENCE C</t>
  </si>
  <si>
    <t>120 SOUTH MARCH FERRY ROAD</t>
  </si>
  <si>
    <t>D700000005</t>
  </si>
  <si>
    <t>FOSTER NEAL</t>
  </si>
  <si>
    <t>27006-6632</t>
  </si>
  <si>
    <t>E30000005101</t>
  </si>
  <si>
    <t>RICHIE MARY NELL</t>
  </si>
  <si>
    <t>340 RICHIE ROAD</t>
  </si>
  <si>
    <t>27028-4924</t>
  </si>
  <si>
    <t>E300000042</t>
  </si>
  <si>
    <t>A700000002</t>
  </si>
  <si>
    <t>WALKER STEPHEN</t>
  </si>
  <si>
    <t>B70000010002</t>
  </si>
  <si>
    <t>B700000047</t>
  </si>
  <si>
    <t>B700000050</t>
  </si>
  <si>
    <t>E8140A0017</t>
  </si>
  <si>
    <t>NELSON NICKOLAS B</t>
  </si>
  <si>
    <t>NELSON CATHERINE H</t>
  </si>
  <si>
    <t>163 COUNTRY CIR</t>
  </si>
  <si>
    <t>E900000328</t>
  </si>
  <si>
    <t>HARVEL BARBARA N</t>
  </si>
  <si>
    <t>659 OAK VALLEY BLVD</t>
  </si>
  <si>
    <t>27006-6929</t>
  </si>
  <si>
    <t>N5010B0033</t>
  </si>
  <si>
    <t>330 KETCHIE CREEK RD</t>
  </si>
  <si>
    <t>L200000003</t>
  </si>
  <si>
    <t>C8010A0246</t>
  </si>
  <si>
    <t>HICKS GEORGE EDWARD</t>
  </si>
  <si>
    <t>233 BRIDGEWATER DR</t>
  </si>
  <si>
    <t>K20000002704</t>
  </si>
  <si>
    <t>PITTS JASON</t>
  </si>
  <si>
    <t>140 LESLIE COURT</t>
  </si>
  <si>
    <t>F8030A0068</t>
  </si>
  <si>
    <t>HANDY SHARON COOK</t>
  </si>
  <si>
    <t>114 TYLER CT</t>
  </si>
  <si>
    <t>27006-7356</t>
  </si>
  <si>
    <t>F30000007803</t>
  </si>
  <si>
    <t>VANNOY H LEWIS</t>
  </si>
  <si>
    <t>C400000017</t>
  </si>
  <si>
    <t>C400000015</t>
  </si>
  <si>
    <t>C40000001704</t>
  </si>
  <si>
    <t>L500000090</t>
  </si>
  <si>
    <t>BEAN BETTY W ETAL</t>
  </si>
  <si>
    <t>GREEN ELOISE</t>
  </si>
  <si>
    <t>541 FAIRFIELD ROAD</t>
  </si>
  <si>
    <t>F900000002</t>
  </si>
  <si>
    <t>SLOAN ANNE COLE</t>
  </si>
  <si>
    <t>SLOAN TIMOTHY DALE</t>
  </si>
  <si>
    <t>870 UNDERPASS RD</t>
  </si>
  <si>
    <t>K5090A0002</t>
  </si>
  <si>
    <t>JAMOCA PROPERTIES LLC</t>
  </si>
  <si>
    <t>106 CLUB HOUSE DR</t>
  </si>
  <si>
    <t>UNIT 312</t>
  </si>
  <si>
    <t>PALM COAST</t>
  </si>
  <si>
    <t>32137-2258</t>
  </si>
  <si>
    <t>J7080B0016</t>
  </si>
  <si>
    <t>CLEMENT CRYSTAL J</t>
  </si>
  <si>
    <t>CLEMENT ADRIAN T</t>
  </si>
  <si>
    <t>189 N HAZELWOOD DR</t>
  </si>
  <si>
    <t>C200000010</t>
  </si>
  <si>
    <t>HIOTT GREGORY MARTIN</t>
  </si>
  <si>
    <t>238 SHOFFNER ROAD</t>
  </si>
  <si>
    <t>I4110B000801</t>
  </si>
  <si>
    <t>BULLARD VICKI B</t>
  </si>
  <si>
    <t>249 MERONEY STREET</t>
  </si>
  <si>
    <t>27028-2011</t>
  </si>
  <si>
    <t>I4110B0016</t>
  </si>
  <si>
    <t>H70000005806</t>
  </si>
  <si>
    <t>JAMIE ANGELA C</t>
  </si>
  <si>
    <t>153 CRESS LN</t>
  </si>
  <si>
    <t>27006-7242</t>
  </si>
  <si>
    <t>H200000016  A</t>
  </si>
  <si>
    <t>PATCHIN JAMIE MARIE</t>
  </si>
  <si>
    <t>PATCHIN JOSEPH R</t>
  </si>
  <si>
    <t>208 FRED LANIER RD</t>
  </si>
  <si>
    <t>C8010A0064</t>
  </si>
  <si>
    <t>BURFORD TERRI L</t>
  </si>
  <si>
    <t>BURFORD ROBERT E JR</t>
  </si>
  <si>
    <t>120 BRIDGEWATER DRIVE</t>
  </si>
  <si>
    <t>D8100B0018</t>
  </si>
  <si>
    <t>COE GERALD R</t>
  </si>
  <si>
    <t>590 RIVERBEND DRIVE</t>
  </si>
  <si>
    <t>K500000078</t>
  </si>
  <si>
    <t>LAWSON STEPHEN LEE</t>
  </si>
  <si>
    <t>LAWSON ALICIA MARIE</t>
  </si>
  <si>
    <t>491 WILL BOONE ROAD</t>
  </si>
  <si>
    <t>J500000044</t>
  </si>
  <si>
    <t>WOODY STEPHEN L</t>
  </si>
  <si>
    <t>E40000003205</t>
  </si>
  <si>
    <t>TUTTEROW FRANCES WEST</t>
  </si>
  <si>
    <t>1150 CANA RD</t>
  </si>
  <si>
    <t>27028-6126</t>
  </si>
  <si>
    <t>I5160B0038</t>
  </si>
  <si>
    <t>L500000096</t>
  </si>
  <si>
    <t>E40000003203</t>
  </si>
  <si>
    <t>TUTTEROW FRANCES W</t>
  </si>
  <si>
    <t>C600000126</t>
  </si>
  <si>
    <t>SMILEY JAMES D</t>
  </si>
  <si>
    <t>SMILEY TERESA K</t>
  </si>
  <si>
    <t>1560 YADKIN VALLEY ROAD</t>
  </si>
  <si>
    <t>E900000484</t>
  </si>
  <si>
    <t>GAY BETTY H</t>
  </si>
  <si>
    <t>115 S MILLBROOKE CT</t>
  </si>
  <si>
    <t>27006-8546</t>
  </si>
  <si>
    <t>H400000115</t>
  </si>
  <si>
    <t>JAMES CASEY DALE</t>
  </si>
  <si>
    <t>JAMES JULIE ALLEN</t>
  </si>
  <si>
    <t>1148 YADKINVILLE ROAD</t>
  </si>
  <si>
    <t>D600000079</t>
  </si>
  <si>
    <t>CREWS KRISTINA LEE</t>
  </si>
  <si>
    <t>JACKSON ELIZABETH</t>
  </si>
  <si>
    <t>2570 STRATFORD LAKE ROAD</t>
  </si>
  <si>
    <t>L500000005</t>
  </si>
  <si>
    <t>MCCULLOUGH JAMES GREGORY</t>
  </si>
  <si>
    <t>MCCULLOUGH NICHOLAS LEE</t>
  </si>
  <si>
    <t>304 MCCULLOUGH RD</t>
  </si>
  <si>
    <t>C30000007701</t>
  </si>
  <si>
    <t>4242 NC HIGHWAY 801 N</t>
  </si>
  <si>
    <t>J4050A0002</t>
  </si>
  <si>
    <t>LUCAS PATRICIA B</t>
  </si>
  <si>
    <t>834 HARDISON STREET</t>
  </si>
  <si>
    <t>27028-2508</t>
  </si>
  <si>
    <t>D8010A0004</t>
  </si>
  <si>
    <t>WHITEHEART MICHAEL R</t>
  </si>
  <si>
    <t>WHITEHEART TINA B</t>
  </si>
  <si>
    <t>2169 NEW CASTLE DRIVE</t>
  </si>
  <si>
    <t>I4120D0036</t>
  </si>
  <si>
    <t>JOHNSON MELISSA ANN</t>
  </si>
  <si>
    <t>JOHNSON JOHN P</t>
  </si>
  <si>
    <t>440 PARK AVENUE</t>
  </si>
  <si>
    <t>N60000006102</t>
  </si>
  <si>
    <t>229 BOXWOOD CHURCH RD</t>
  </si>
  <si>
    <t>I6150A0001</t>
  </si>
  <si>
    <t>HALL SCOTT R</t>
  </si>
  <si>
    <t>433 CORNATZER RD</t>
  </si>
  <si>
    <t>27028-7128</t>
  </si>
  <si>
    <t>H50000006502</t>
  </si>
  <si>
    <t>F40000005103</t>
  </si>
  <si>
    <t>E40000003201</t>
  </si>
  <si>
    <t>E40000003204</t>
  </si>
  <si>
    <t>E40000003206</t>
  </si>
  <si>
    <t>M5070A0022</t>
  </si>
  <si>
    <t>FREEMAN HARLON E</t>
  </si>
  <si>
    <t>FREEMAN TERRY REAVIS</t>
  </si>
  <si>
    <t>153 EDGEWOOD CIRCLE</t>
  </si>
  <si>
    <t>E9150B0071</t>
  </si>
  <si>
    <t>NESTOR ANGELA P</t>
  </si>
  <si>
    <t>NESTOR TIMOTHY B</t>
  </si>
  <si>
    <t>124 SYCAMORE PARK LANE</t>
  </si>
  <si>
    <t>J4140A0018</t>
  </si>
  <si>
    <t>WARD KATHERINE BROOK</t>
  </si>
  <si>
    <t>150 NEW HAMPSHIRE CT</t>
  </si>
  <si>
    <t>B40000001409</t>
  </si>
  <si>
    <t>FLORACK JAMES</t>
  </si>
  <si>
    <t>FLORACK BRIDGET</t>
  </si>
  <si>
    <t>3912 NC HIGHWAY 801 N</t>
  </si>
  <si>
    <t>27028-6232</t>
  </si>
  <si>
    <t>E900000260</t>
  </si>
  <si>
    <t>RYAN SUSAN JONES</t>
  </si>
  <si>
    <t>RYAN SHERMAN KELLEY JR</t>
  </si>
  <si>
    <t>126 ISLEWORTH CT</t>
  </si>
  <si>
    <t>27006-7268</t>
  </si>
  <si>
    <t>D70000002010</t>
  </si>
  <si>
    <t>D30000003605</t>
  </si>
  <si>
    <t>HOWARD TODD L</t>
  </si>
  <si>
    <t>LEMMONS KIMBERLY A</t>
  </si>
  <si>
    <t>127 MACY LANGSTON LN</t>
  </si>
  <si>
    <t>27028-1252</t>
  </si>
  <si>
    <t>D9030A0017</t>
  </si>
  <si>
    <t>BOHLMANN DAVID F</t>
  </si>
  <si>
    <t>BOHLMANN JULIE M</t>
  </si>
  <si>
    <t>260 JAMES WAY</t>
  </si>
  <si>
    <t>D70000002007</t>
  </si>
  <si>
    <t>C700000122</t>
  </si>
  <si>
    <t>ISENHOUR K TODD</t>
  </si>
  <si>
    <t>ISENHOUR KATHI P</t>
  </si>
  <si>
    <t>755 YADKIN VALLEY ROAD</t>
  </si>
  <si>
    <t>I4130C000602</t>
  </si>
  <si>
    <t>YADKIN VALLEY TELECOM INC</t>
  </si>
  <si>
    <t>ATTN: ACCOUNTS PAYABLE</t>
  </si>
  <si>
    <t>G70000003101</t>
  </si>
  <si>
    <t>NIFONG FAMILY REV LIV TRUST</t>
  </si>
  <si>
    <t>NIFONG GILLAN LYNN TRUSTEE</t>
  </si>
  <si>
    <t>108 NE 40TH ST</t>
  </si>
  <si>
    <t>OAK ISLAND</t>
  </si>
  <si>
    <t>28465-5429</t>
  </si>
  <si>
    <t>C70000012404</t>
  </si>
  <si>
    <t>C70000012406</t>
  </si>
  <si>
    <t>G9090B0018</t>
  </si>
  <si>
    <t>BAILIFF WALTER BRUCE</t>
  </si>
  <si>
    <t>BAILIFF LESHIA ALLEN</t>
  </si>
  <si>
    <t>119 HOLLY HILL CT</t>
  </si>
  <si>
    <t>I600000062</t>
  </si>
  <si>
    <t>FISHEL JOYCE STARR</t>
  </si>
  <si>
    <t>686 CORNATZER RD</t>
  </si>
  <si>
    <t>J4060B0008</t>
  </si>
  <si>
    <t>BROCK ANDREW C</t>
  </si>
  <si>
    <t>BROCK ANDREA G</t>
  </si>
  <si>
    <t>290 HOLLY LN</t>
  </si>
  <si>
    <t>H50000006801</t>
  </si>
  <si>
    <t>K5100A002401</t>
  </si>
  <si>
    <t>I4010A0071</t>
  </si>
  <si>
    <t>STROUD YVONNE H</t>
  </si>
  <si>
    <t>152 N WENTWORTH DR</t>
  </si>
  <si>
    <t>27028-2098</t>
  </si>
  <si>
    <t>I5060C0024</t>
  </si>
  <si>
    <t>WILLIAMS DELLA V</t>
  </si>
  <si>
    <t>61 WRIGHT LN</t>
  </si>
  <si>
    <t>G8140A0025</t>
  </si>
  <si>
    <t>ALFORD JAMES E</t>
  </si>
  <si>
    <t>ALFORD ERIKA MARIA</t>
  </si>
  <si>
    <t>118 WINDCHASE CT</t>
  </si>
  <si>
    <t>27006-7361</t>
  </si>
  <si>
    <t>I30000003002</t>
  </si>
  <si>
    <t>I30000004701</t>
  </si>
  <si>
    <t>E60000000301</t>
  </si>
  <si>
    <t>MINERVINI LIVING TRUST</t>
  </si>
  <si>
    <t>223 GILBERT RD</t>
  </si>
  <si>
    <t>27028-7660</t>
  </si>
  <si>
    <t>I30000003003</t>
  </si>
  <si>
    <t>I30000004710</t>
  </si>
  <si>
    <t>M600000054  A</t>
  </si>
  <si>
    <t>B AND C HOLDINGS MOCKSVILLE LLC</t>
  </si>
  <si>
    <t>1545 DAVIE ACADEMY RD</t>
  </si>
  <si>
    <t>K200000076</t>
  </si>
  <si>
    <t>H70000005103</t>
  </si>
  <si>
    <t>MASTIN LISA HENDRIX</t>
  </si>
  <si>
    <t>130 OUR PL</t>
  </si>
  <si>
    <t>H70000005102</t>
  </si>
  <si>
    <t>J5010D0037</t>
  </si>
  <si>
    <t>PEEBLES CURTIS LEE</t>
  </si>
  <si>
    <t>WILSON CHARISE L</t>
  </si>
  <si>
    <t>127 CLOSITER DR</t>
  </si>
  <si>
    <t>L5100A000301</t>
  </si>
  <si>
    <t>AGUIAR LORENZO</t>
  </si>
  <si>
    <t>151 GRASSY COVE TRL</t>
  </si>
  <si>
    <t>27028-6937</t>
  </si>
  <si>
    <t>K5070A0001</t>
  </si>
  <si>
    <t>ROSSON JOSHUA EUGENE</t>
  </si>
  <si>
    <t>123 REDWOOD DR</t>
  </si>
  <si>
    <t>27028-5164</t>
  </si>
  <si>
    <t>M5090A0003</t>
  </si>
  <si>
    <t>BARES JOHNSIE I</t>
  </si>
  <si>
    <t>PO BOX 413</t>
  </si>
  <si>
    <t>B100000017</t>
  </si>
  <si>
    <t>D700000197</t>
  </si>
  <si>
    <t>WOODALL SHANE MICHAEL</t>
  </si>
  <si>
    <t>WOODALL MEGAN</t>
  </si>
  <si>
    <t>4994 US HIGHWAY 158</t>
  </si>
  <si>
    <t>27006-6944</t>
  </si>
  <si>
    <t>M60000005402</t>
  </si>
  <si>
    <t>G200000062</t>
  </si>
  <si>
    <t>SCARLETT TONY P</t>
  </si>
  <si>
    <t>SCARLETT GAIL H</t>
  </si>
  <si>
    <t>590 FRED LANIER RD</t>
  </si>
  <si>
    <t>J4040E0009</t>
  </si>
  <si>
    <t>CRUZ ANDREA M</t>
  </si>
  <si>
    <t>LYPKA ROBERT A</t>
  </si>
  <si>
    <t>184 E MAPLE AVE</t>
  </si>
  <si>
    <t>J4040E000801</t>
  </si>
  <si>
    <t>J4040E0010</t>
  </si>
  <si>
    <t>E9150B0146</t>
  </si>
  <si>
    <t>JONE EDWARD LEE III</t>
  </si>
  <si>
    <t>JONES ANN AREY</t>
  </si>
  <si>
    <t>121 BRIDGEWOOD LANE</t>
  </si>
  <si>
    <t>I70000001802</t>
  </si>
  <si>
    <t>LEIBEE JAY D</t>
  </si>
  <si>
    <t>459 NO CREEK RD</t>
  </si>
  <si>
    <t>E700000048</t>
  </si>
  <si>
    <t>DESTEPHANIS DARLA D</t>
  </si>
  <si>
    <t>461 JUNEY BEAUCHAMP RD</t>
  </si>
  <si>
    <t>27006-7830</t>
  </si>
  <si>
    <t>G20000006202</t>
  </si>
  <si>
    <t>D400000029  A</t>
  </si>
  <si>
    <t>TUCKER NUCK LLC</t>
  </si>
  <si>
    <t>E700000054</t>
  </si>
  <si>
    <t>ALLCORN ALISON CLARE</t>
  </si>
  <si>
    <t>681 JUNEY BEAUCHAMP RD</t>
  </si>
  <si>
    <t>27006-7832</t>
  </si>
  <si>
    <t>F300000021</t>
  </si>
  <si>
    <t>WILLIAMS SARAH JONES</t>
  </si>
  <si>
    <t>3421 MILL RUN DRIVE</t>
  </si>
  <si>
    <t>D60000004001</t>
  </si>
  <si>
    <t>PATTON LINDA HERITAGE</t>
  </si>
  <si>
    <t>164 BILLS WAY</t>
  </si>
  <si>
    <t>E6050A0013</t>
  </si>
  <si>
    <t>GOOD TERRY G REV TRUST</t>
  </si>
  <si>
    <t>GOOD JOANNA L REV TRUST</t>
  </si>
  <si>
    <t>166 SHALLOWBROOK DR</t>
  </si>
  <si>
    <t>27006-6731</t>
  </si>
  <si>
    <t>C20000001002</t>
  </si>
  <si>
    <t>WYATT PATRICIA A</t>
  </si>
  <si>
    <t>111 STARLIGHT LN</t>
  </si>
  <si>
    <t>27028-5870</t>
  </si>
  <si>
    <t>B60000001104</t>
  </si>
  <si>
    <t>HARPER STEPHEN A</t>
  </si>
  <si>
    <t>HARPER KATHERINE M</t>
  </si>
  <si>
    <t>8220 KILDARE STREET</t>
  </si>
  <si>
    <t>F200000031</t>
  </si>
  <si>
    <t>PARSONS TONY</t>
  </si>
  <si>
    <t>PARSONS ANGELA</t>
  </si>
  <si>
    <t>120 DUKE WHITTAKER ROAD</t>
  </si>
  <si>
    <t>E900000407</t>
  </si>
  <si>
    <t>WILLIS ADAM</t>
  </si>
  <si>
    <t>WILLIS JAMIE</t>
  </si>
  <si>
    <t>560 N HIDDENBROOKE DR</t>
  </si>
  <si>
    <t>I5170C0006</t>
  </si>
  <si>
    <t>BOSTIAN PAULINE H</t>
  </si>
  <si>
    <t>127 MILLWRIGHT CT</t>
  </si>
  <si>
    <t>27028-2797</t>
  </si>
  <si>
    <t>C7070A0003</t>
  </si>
  <si>
    <t>SMITH HUGH</t>
  </si>
  <si>
    <t>SMITH KARA</t>
  </si>
  <si>
    <t>209 NORMA LN</t>
  </si>
  <si>
    <t>D8060A0011</t>
  </si>
  <si>
    <t>OLIVER SHANE P</t>
  </si>
  <si>
    <t>OLIVER LAURA TRADER</t>
  </si>
  <si>
    <t>391 RIVERBEND DRIVE</t>
  </si>
  <si>
    <t>K5090A0040</t>
  </si>
  <si>
    <t>CAIN WILLIAM E JR</t>
  </si>
  <si>
    <t>POX BOX 784</t>
  </si>
  <si>
    <t>WALNUT COVE</t>
  </si>
  <si>
    <t>27052-0000</t>
  </si>
  <si>
    <t>D9020A0018</t>
  </si>
  <si>
    <t>SKEELES MICHAEL PAUL</t>
  </si>
  <si>
    <t>SKEELES JENNIFER JEAN</t>
  </si>
  <si>
    <t>466 BING CROSBY BLVD</t>
  </si>
  <si>
    <t>E900000367</t>
  </si>
  <si>
    <t>RAMEY C JADE</t>
  </si>
  <si>
    <t>140 BROADMOOR DRIVE</t>
  </si>
  <si>
    <t>I1110E0010</t>
  </si>
  <si>
    <t>BEAN ZACHARY ALAN</t>
  </si>
  <si>
    <t>131 OAKRIDGE LN</t>
  </si>
  <si>
    <t>L400000024  A</t>
  </si>
  <si>
    <t>SHOSTAK THEODORE</t>
  </si>
  <si>
    <t>SHOSTAK JOYCE</t>
  </si>
  <si>
    <t>601 GLADSTONE ROAD</t>
  </si>
  <si>
    <t>F60000010202</t>
  </si>
  <si>
    <t>ROBERTSON ROBIN G</t>
  </si>
  <si>
    <t>1622 WHARF ROAD</t>
  </si>
  <si>
    <t>M40000005901</t>
  </si>
  <si>
    <t>I5060A0010</t>
  </si>
  <si>
    <t>PARKS CLARENCE MELVIN</t>
  </si>
  <si>
    <t>PARKS STACY A</t>
  </si>
  <si>
    <t>126 MORSE STREET</t>
  </si>
  <si>
    <t>K500000055</t>
  </si>
  <si>
    <t>DARNELL JIMMY RALPH</t>
  </si>
  <si>
    <t>DARNELL LAURA M</t>
  </si>
  <si>
    <t>123 KNOLL CREST RD</t>
  </si>
  <si>
    <t>L5020B0018</t>
  </si>
  <si>
    <t>HOLMAN ELZATHA L</t>
  </si>
  <si>
    <t>125 S BENSON LN</t>
  </si>
  <si>
    <t>J5050A0016</t>
  </si>
  <si>
    <t>SEAFORD DOUGLAS</t>
  </si>
  <si>
    <t>SEAFORD TAMMY</t>
  </si>
  <si>
    <t>130 POLARIS DR</t>
  </si>
  <si>
    <t>B20000001303</t>
  </si>
  <si>
    <t>GENTLE JIMMY &amp; MELINDA LIVING TRUST</t>
  </si>
  <si>
    <t>186 CHINQUAPIN RD</t>
  </si>
  <si>
    <t>D20000003818</t>
  </si>
  <si>
    <t>TUCKER SAMUEL TAYLOR</t>
  </si>
  <si>
    <t>1275 LIBERTY CHURCH RD</t>
  </si>
  <si>
    <t>C300000103</t>
  </si>
  <si>
    <t>B30000002905</t>
  </si>
  <si>
    <t>B20000001201</t>
  </si>
  <si>
    <t>O60000002108</t>
  </si>
  <si>
    <t>3980 US HIGHWAY 601 S</t>
  </si>
  <si>
    <t>I4060B0012</t>
  </si>
  <si>
    <t>CHAMBERS MICHAEL BRENT</t>
  </si>
  <si>
    <t>BOWMAN COURTNEY ELIZABETH</t>
  </si>
  <si>
    <t>763 YADKINVILLE RD</t>
  </si>
  <si>
    <t>27028-2053</t>
  </si>
  <si>
    <t>O600000019</t>
  </si>
  <si>
    <t>K4010A0004</t>
  </si>
  <si>
    <t>BEAVER NANCY H</t>
  </si>
  <si>
    <t>204 SUNSET CIR</t>
  </si>
  <si>
    <t>27028-4340</t>
  </si>
  <si>
    <t>K5070A0011</t>
  </si>
  <si>
    <t>NEWTON TERRY LEE</t>
  </si>
  <si>
    <t>NEWTON VIRGINIA ALEXANDER</t>
  </si>
  <si>
    <t>203 REDWOOD DR</t>
  </si>
  <si>
    <t>C7140A0005</t>
  </si>
  <si>
    <t>DARNELL JOSEPH F REV TRUST</t>
  </si>
  <si>
    <t>DARNELL PANDORA M REV TRUST</t>
  </si>
  <si>
    <t>149 N CLAYBON DR</t>
  </si>
  <si>
    <t>27006-7914</t>
  </si>
  <si>
    <t>D9090E0006</t>
  </si>
  <si>
    <t>CHITTICK JAMES V</t>
  </si>
  <si>
    <t>CHITTICK JUDITH A</t>
  </si>
  <si>
    <t>202 BING CROSBY BOULEVARD</t>
  </si>
  <si>
    <t>D8080B0012</t>
  </si>
  <si>
    <t>JM REAL ESTATE LLC</t>
  </si>
  <si>
    <t>1020 MILLERS POINT</t>
  </si>
  <si>
    <t>WATKINSVILLE</t>
  </si>
  <si>
    <t>C8010A0173</t>
  </si>
  <si>
    <t>STANLEY JONATHAN M</t>
  </si>
  <si>
    <t>STANLEY MORGAN D</t>
  </si>
  <si>
    <t>145 TOWN PARK DRIVE</t>
  </si>
  <si>
    <t>L60000001806</t>
  </si>
  <si>
    <t>WHITE ELIZABETH BRUCE</t>
  </si>
  <si>
    <t>260 CHERRY HILL RD</t>
  </si>
  <si>
    <t>F60000010908</t>
  </si>
  <si>
    <t>SERGIACOMI ALBERT A JR</t>
  </si>
  <si>
    <t>SERGIACOMI MARY M</t>
  </si>
  <si>
    <t>527 HOWARDTOWN CIR</t>
  </si>
  <si>
    <t>G8140A0067</t>
  </si>
  <si>
    <t>WALKER MILTON B</t>
  </si>
  <si>
    <t>WALKER JODY</t>
  </si>
  <si>
    <t>151 SPRUCEWOOD CT</t>
  </si>
  <si>
    <t>G4080A0027</t>
  </si>
  <si>
    <t>WILLARD LINDA S</t>
  </si>
  <si>
    <t>128 CAMELLIA LN</t>
  </si>
  <si>
    <t>27028-5700</t>
  </si>
  <si>
    <t>M600000060</t>
  </si>
  <si>
    <t>HURT MELANIE N</t>
  </si>
  <si>
    <t>HURT LANDON F</t>
  </si>
  <si>
    <t>141 HARTLEY RD</t>
  </si>
  <si>
    <t>27028-6651</t>
  </si>
  <si>
    <t>I4010A0016</t>
  </si>
  <si>
    <t>COLMER MICHAEL</t>
  </si>
  <si>
    <t>CARTER LINDY</t>
  </si>
  <si>
    <t>207 N WENTWORTH DR</t>
  </si>
  <si>
    <t>L4130A0008</t>
  </si>
  <si>
    <t>HUTCHINS GARY</t>
  </si>
  <si>
    <t>HUTCHINS BUFFY</t>
  </si>
  <si>
    <t>127 HANK LESSER RD</t>
  </si>
  <si>
    <t>B50000000701</t>
  </si>
  <si>
    <t>ALLEN BARRY DALE</t>
  </si>
  <si>
    <t>F60000009502</t>
  </si>
  <si>
    <t>G70000014103</t>
  </si>
  <si>
    <t>CAMPBELL ROBIN LAMONT</t>
  </si>
  <si>
    <t>CAMPBELL KELLY FLEMING</t>
  </si>
  <si>
    <t>K50000005501</t>
  </si>
  <si>
    <t>D8110A0014</t>
  </si>
  <si>
    <t>FULLER LARRY G</t>
  </si>
  <si>
    <t>CAMPER MARY Y</t>
  </si>
  <si>
    <t>160 BENT STREET</t>
  </si>
  <si>
    <t>C700000109</t>
  </si>
  <si>
    <t>ARNETT SERENAH J</t>
  </si>
  <si>
    <t>470 NC HIGHWAY 801 N</t>
  </si>
  <si>
    <t>27006-7948</t>
  </si>
  <si>
    <t>J6100A0032</t>
  </si>
  <si>
    <t>BURRELL DAVID LEE</t>
  </si>
  <si>
    <t>BURRELL NAYDA</t>
  </si>
  <si>
    <t>170 N LAKE LOUISE DR</t>
  </si>
  <si>
    <t>C70000008911</t>
  </si>
  <si>
    <t>ATKINS MICHAEL WAYNE JR</t>
  </si>
  <si>
    <t>412 WOODLEE DR</t>
  </si>
  <si>
    <t>27006-7982</t>
  </si>
  <si>
    <t>C70000008913</t>
  </si>
  <si>
    <t>ATKINS JAMES EDWARD</t>
  </si>
  <si>
    <t>337 WOODLEE DR</t>
  </si>
  <si>
    <t>27006-7921</t>
  </si>
  <si>
    <t>I100000037</t>
  </si>
  <si>
    <t>MCCLAMROCK JERRY W</t>
  </si>
  <si>
    <t>MCCLAMROCK RANDY D</t>
  </si>
  <si>
    <t>449 S SALISBURY ST</t>
  </si>
  <si>
    <t>G700000081</t>
  </si>
  <si>
    <t>PERRYMAN JOSHUA GRAY</t>
  </si>
  <si>
    <t>PERRYMAN ASHLEY N</t>
  </si>
  <si>
    <t>2182 CORNATZER RD</t>
  </si>
  <si>
    <t>D8030A0032</t>
  </si>
  <si>
    <t>SEXTON BARBARA W</t>
  </si>
  <si>
    <t>SEXTON SCOTT THOMAS</t>
  </si>
  <si>
    <t>156 RIVERBEND DR</t>
  </si>
  <si>
    <t>27006-8500</t>
  </si>
  <si>
    <t>E8110B000101</t>
  </si>
  <si>
    <t>RYDER DEBORA ANN</t>
  </si>
  <si>
    <t>RYDER CHARLES WILLIAM</t>
  </si>
  <si>
    <t>120 RIVER RD</t>
  </si>
  <si>
    <t>E900000041</t>
  </si>
  <si>
    <t>JONES WILLIAM ANDREW</t>
  </si>
  <si>
    <t>JONES BRANDY S</t>
  </si>
  <si>
    <t>148 SUNTREE DR</t>
  </si>
  <si>
    <t>G4080A0030</t>
  </si>
  <si>
    <t>C8030C0014</t>
  </si>
  <si>
    <t>MAHARAJH LANDS LLC</t>
  </si>
  <si>
    <t>4408 WOODLARK COURT</t>
  </si>
  <si>
    <t>C8010A0362</t>
  </si>
  <si>
    <t>HEDGEPETH CHAD L</t>
  </si>
  <si>
    <t>121 KILBOURNE DRIVE</t>
  </si>
  <si>
    <t>E900000352</t>
  </si>
  <si>
    <t>BAKER JAMES FRANKLIN</t>
  </si>
  <si>
    <t>BAKER JANE LOUISE</t>
  </si>
  <si>
    <t>183 SCOTTSDALE DRIVE</t>
  </si>
  <si>
    <t>D800000013</t>
  </si>
  <si>
    <t>PHILLIPS ANDREW J</t>
  </si>
  <si>
    <t>PHILLIPS HANNAH S</t>
  </si>
  <si>
    <t>130 RIVER BLUFF LANE</t>
  </si>
  <si>
    <t>I5030A0049</t>
  </si>
  <si>
    <t>HARRELL CRYSTAL H</t>
  </si>
  <si>
    <t>HARRELL MICHAEL S</t>
  </si>
  <si>
    <t>196 ELISHA CREEK DR</t>
  </si>
  <si>
    <t>27028-2780</t>
  </si>
  <si>
    <t>H600000070</t>
  </si>
  <si>
    <t>JOHNSON MICHELE L</t>
  </si>
  <si>
    <t>1279 CORNATZER ROAD</t>
  </si>
  <si>
    <t>I4120C0029</t>
  </si>
  <si>
    <t>STOGNER JOHN W II</t>
  </si>
  <si>
    <t>SPILLMAN DEBORAH L</t>
  </si>
  <si>
    <t>226 W CHURCH ST</t>
  </si>
  <si>
    <t>27028-2108</t>
  </si>
  <si>
    <t>H700000083</t>
  </si>
  <si>
    <t>27006-7230</t>
  </si>
  <si>
    <t>O600000064</t>
  </si>
  <si>
    <t>N600000076</t>
  </si>
  <si>
    <t>H700000081</t>
  </si>
  <si>
    <t>O600000063</t>
  </si>
  <si>
    <t>MILLER CHARLES JUSTIN</t>
  </si>
  <si>
    <t>MILLER HOLLY</t>
  </si>
  <si>
    <t>1420 FORK BIXBY RD</t>
  </si>
  <si>
    <t>C8010C0025</t>
  </si>
  <si>
    <t>WOLLNER PAUL A</t>
  </si>
  <si>
    <t>WOLLNER KATHERINE V</t>
  </si>
  <si>
    <t>323 TOWN PARK DR</t>
  </si>
  <si>
    <t>G70000013101</t>
  </si>
  <si>
    <t>STONE JAMES R</t>
  </si>
  <si>
    <t>27006-7163</t>
  </si>
  <si>
    <t>L5100B0008</t>
  </si>
  <si>
    <t>ROBBINS PERRY</t>
  </si>
  <si>
    <t>ROBBINS HARVETA</t>
  </si>
  <si>
    <t>2239 US HIGHWAY 601 S</t>
  </si>
  <si>
    <t>D40000001302</t>
  </si>
  <si>
    <t>COORDS ALLISON P</t>
  </si>
  <si>
    <t>COORDS HUNTER H</t>
  </si>
  <si>
    <t>2295 CANA RD</t>
  </si>
  <si>
    <t>27028-4657</t>
  </si>
  <si>
    <t>D40000001301</t>
  </si>
  <si>
    <t>K400000047</t>
  </si>
  <si>
    <t>BEAN RODNEY S</t>
  </si>
  <si>
    <t>BEAN ANN MARIE BARONE</t>
  </si>
  <si>
    <t>591 BUCK SEAFORD ROAD</t>
  </si>
  <si>
    <t>27028-4171</t>
  </si>
  <si>
    <t>K500000033</t>
  </si>
  <si>
    <t>COLLINS EMILEE JEAN</t>
  </si>
  <si>
    <t>COLLINS CHAD D</t>
  </si>
  <si>
    <t>PO BOX 2915</t>
  </si>
  <si>
    <t>K200000021</t>
  </si>
  <si>
    <t>654 RIDGE ROAD</t>
  </si>
  <si>
    <t>K20000002501</t>
  </si>
  <si>
    <t>C5130A0003</t>
  </si>
  <si>
    <t>EVERHART RODNEY DALE</t>
  </si>
  <si>
    <t>117 CEDAR FOREST LN</t>
  </si>
  <si>
    <t>C5130A0002</t>
  </si>
  <si>
    <t>C5130A0004</t>
  </si>
  <si>
    <t>H3010A0005</t>
  </si>
  <si>
    <t>SALES LINDA L</t>
  </si>
  <si>
    <t>126 GOODWILL HEIGHTS PLACE</t>
  </si>
  <si>
    <t>J5010B0008</t>
  </si>
  <si>
    <t>SMITH JOE HENRY</t>
  </si>
  <si>
    <t>SMITH MARY FRYE</t>
  </si>
  <si>
    <t>145 CENTER STREET</t>
  </si>
  <si>
    <t>B700000023</t>
  </si>
  <si>
    <t>SMITH MICHAEL RAY</t>
  </si>
  <si>
    <t>245 PEACEFUL VALLEY ROAD</t>
  </si>
  <si>
    <t>G600000020</t>
  </si>
  <si>
    <t>WOOD BETTY</t>
  </si>
  <si>
    <t>440 DULIN ROAD</t>
  </si>
  <si>
    <t>E900000047</t>
  </si>
  <si>
    <t>SMITH CHARLTON A</t>
  </si>
  <si>
    <t>SMITH LIGIA S</t>
  </si>
  <si>
    <t>143 SUNTREE DR</t>
  </si>
  <si>
    <t>D100000039</t>
  </si>
  <si>
    <t>MCDANIELS JERRY STEPHEN</t>
  </si>
  <si>
    <t>1061 BEAR CREEK CHURCH ROAD</t>
  </si>
  <si>
    <t>D700000134</t>
  </si>
  <si>
    <t>POWELL STACEY RAE</t>
  </si>
  <si>
    <t>144 PARSONAGE DR</t>
  </si>
  <si>
    <t>D10000003001</t>
  </si>
  <si>
    <t>ISHUIN STEVEN</t>
  </si>
  <si>
    <t>ISHUIN AMANDA D</t>
  </si>
  <si>
    <t>1594 BEAR CREEK CHURCH RD</t>
  </si>
  <si>
    <t>I5160C0004</t>
  </si>
  <si>
    <t>1324 US HIGHWAY 64 W</t>
  </si>
  <si>
    <t>I4130A000206</t>
  </si>
  <si>
    <t>B50000001601</t>
  </si>
  <si>
    <t>142 SPRY LN</t>
  </si>
  <si>
    <t>C40000003202</t>
  </si>
  <si>
    <t>THURLO CHAD ELLMAN</t>
  </si>
  <si>
    <t>THURLO LISA BURTON</t>
  </si>
  <si>
    <t>233 NORTH PINO ROAD</t>
  </si>
  <si>
    <t>I5160B0006</t>
  </si>
  <si>
    <t>SMOOT CONRAD</t>
  </si>
  <si>
    <t>319 PINE STREET</t>
  </si>
  <si>
    <t>27028-2450</t>
  </si>
  <si>
    <t>I800000055</t>
  </si>
  <si>
    <t>HEGE STEPHEN CLAY</t>
  </si>
  <si>
    <t>HEGE DEBORAH POTTS</t>
  </si>
  <si>
    <t>3099 HWY 801 S</t>
  </si>
  <si>
    <t>SamanthaKR</t>
  </si>
  <si>
    <t>K10000000504</t>
  </si>
  <si>
    <t>SNIDER EMILY VESTAL</t>
  </si>
  <si>
    <t>I5160C0006</t>
  </si>
  <si>
    <t>M4120A0009</t>
  </si>
  <si>
    <t>M4120A0010</t>
  </si>
  <si>
    <t>J7050A0004</t>
  </si>
  <si>
    <t>HUNEYCUTT JOHN</t>
  </si>
  <si>
    <t>HUNEYCUTT TRACY</t>
  </si>
  <si>
    <t>221 FORK BIXBY RD</t>
  </si>
  <si>
    <t>I80000005401</t>
  </si>
  <si>
    <t>G8050A0006</t>
  </si>
  <si>
    <t>E900000230</t>
  </si>
  <si>
    <t>STANLEY DANIEL CLAY</t>
  </si>
  <si>
    <t>STANLEY HANNA MARIE</t>
  </si>
  <si>
    <t>119 KINGSMILL PLACE</t>
  </si>
  <si>
    <t>E70000015202</t>
  </si>
  <si>
    <t>FAMILY'S FUTURE LLC</t>
  </si>
  <si>
    <t>1151 BARCLAY TERRACE</t>
  </si>
  <si>
    <t>E70000015203</t>
  </si>
  <si>
    <t>C500000088</t>
  </si>
  <si>
    <t>SPIGNER LEYTON M</t>
  </si>
  <si>
    <t>2079 NC HIGHWAY 801 N</t>
  </si>
  <si>
    <t>27028-7734</t>
  </si>
  <si>
    <t>H80000002402</t>
  </si>
  <si>
    <t>CHILDERS JASON KYLE</t>
  </si>
  <si>
    <t>CHILDERS ASHLEY MAYES</t>
  </si>
  <si>
    <t>2662 KNOB HILL DRIVE</t>
  </si>
  <si>
    <t>G8120B0006</t>
  </si>
  <si>
    <t>THOMPSON JUDY ELLIS</t>
  </si>
  <si>
    <t>H600000071</t>
  </si>
  <si>
    <t>D800000014</t>
  </si>
  <si>
    <t>C70000002601</t>
  </si>
  <si>
    <t>B7140A0010</t>
  </si>
  <si>
    <t>E9150B0120</t>
  </si>
  <si>
    <t>B7140A0011</t>
  </si>
  <si>
    <t>E900000632</t>
  </si>
  <si>
    <t>WAUFORD SAMUEL HAYES</t>
  </si>
  <si>
    <t>WAUFORD REBECCA G</t>
  </si>
  <si>
    <t>120 N NIBLICK CT</t>
  </si>
  <si>
    <t>B600000016</t>
  </si>
  <si>
    <t>RENEGAR HAROLD EUGENE</t>
  </si>
  <si>
    <t>RENEGAR PAMELA P</t>
  </si>
  <si>
    <t>1213 HENRY ST</t>
  </si>
  <si>
    <t>27055-7838</t>
  </si>
  <si>
    <t>H9080A0009</t>
  </si>
  <si>
    <t>JORDAN SEAN</t>
  </si>
  <si>
    <t>JORDAN VANESSA</t>
  </si>
  <si>
    <t>127 W ROLLINGMEADOW RD</t>
  </si>
  <si>
    <t>27006-7517</t>
  </si>
  <si>
    <t>C500000110</t>
  </si>
  <si>
    <t>BLAKLEY ANGELA R</t>
  </si>
  <si>
    <t>1817 FARMINGTON RD</t>
  </si>
  <si>
    <t>E50000003305</t>
  </si>
  <si>
    <t>ALDAY ADRIAN V</t>
  </si>
  <si>
    <t>ALDAY KATHRYN</t>
  </si>
  <si>
    <t>820 PINEBROOK SCHOOL RD</t>
  </si>
  <si>
    <t>27028-7753</t>
  </si>
  <si>
    <t>I4110B0005</t>
  </si>
  <si>
    <t>BLACKWELDER DEBORAH LEA REV LIV TRUST</t>
  </si>
  <si>
    <t>HENDRIX DEBORAH LEA TRUSTEE</t>
  </si>
  <si>
    <t>599 WILKESBORO ST</t>
  </si>
  <si>
    <t>E900000162</t>
  </si>
  <si>
    <t>ORR BROOKE ELIZABETH NORMAN</t>
  </si>
  <si>
    <t>156 LONETREE DRIVE</t>
  </si>
  <si>
    <t>E50000003304</t>
  </si>
  <si>
    <t>F4010A0004</t>
  </si>
  <si>
    <t>RINGER ERIC R</t>
  </si>
  <si>
    <t>RINGER GRETA L</t>
  </si>
  <si>
    <t>176 SUMMERLYN DR</t>
  </si>
  <si>
    <t>27028-4669</t>
  </si>
  <si>
    <t>H900000047</t>
  </si>
  <si>
    <t>GROUT FAMILY PROPERTIES LLC</t>
  </si>
  <si>
    <t>139 GRASSLANDS COURT</t>
  </si>
  <si>
    <t>K10000002101</t>
  </si>
  <si>
    <t>DOSS MAGAN MARIA</t>
  </si>
  <si>
    <t>202 SMITH RD</t>
  </si>
  <si>
    <t>C8010C0024</t>
  </si>
  <si>
    <t>KELLETT FRANCES</t>
  </si>
  <si>
    <t>317 TOWNPARK DRIVE</t>
  </si>
  <si>
    <t>G9090B0017</t>
  </si>
  <si>
    <t>COLLINS DERENTZ</t>
  </si>
  <si>
    <t>NELSON-COLLINS LINDA FAYE</t>
  </si>
  <si>
    <t>109 HOLLY HILL CT</t>
  </si>
  <si>
    <t>H700000100</t>
  </si>
  <si>
    <t>MICHALEK TIMOTHY L</t>
  </si>
  <si>
    <t>426 COMANCHE DR</t>
  </si>
  <si>
    <t>27006-7179</t>
  </si>
  <si>
    <t>N60000004102</t>
  </si>
  <si>
    <t>PHELPS JAMES W</t>
  </si>
  <si>
    <t>PHELPS ELIZABETH S</t>
  </si>
  <si>
    <t>145 BOXWOOD CHURCH ROAD</t>
  </si>
  <si>
    <t>E700000023</t>
  </si>
  <si>
    <t>STEELE TERRY ALEXANDER</t>
  </si>
  <si>
    <t>STEELE BETTY BLACKWELL</t>
  </si>
  <si>
    <t>E600000070</t>
  </si>
  <si>
    <t>C400000037</t>
  </si>
  <si>
    <t>DOTSON ROBERT EDWARD</t>
  </si>
  <si>
    <t>DOTSON DEBRA LEIGH</t>
  </si>
  <si>
    <t>117 PEPPERSTONE DR</t>
  </si>
  <si>
    <t>K10000000503</t>
  </si>
  <si>
    <t>E70000015207</t>
  </si>
  <si>
    <t>E700000152</t>
  </si>
  <si>
    <t>E70000015201</t>
  </si>
  <si>
    <t>D500000072</t>
  </si>
  <si>
    <t>1551 FARMINGTON ROAD</t>
  </si>
  <si>
    <t>J4060A0020</t>
  </si>
  <si>
    <t>FOSTER ELIZABETH DIANE TRUSTEE</t>
  </si>
  <si>
    <t>250  MAGNOLIA AVENUE</t>
  </si>
  <si>
    <t>E50000003203</t>
  </si>
  <si>
    <t>M500000040</t>
  </si>
  <si>
    <t>CARTER DAVIA CORRELL</t>
  </si>
  <si>
    <t>CORRELL ELAINE COUCH</t>
  </si>
  <si>
    <t>2849 US HIGHWAY 601 SOUTH</t>
  </si>
  <si>
    <t>D50000007202</t>
  </si>
  <si>
    <t>D50000007201</t>
  </si>
  <si>
    <t>M4120A000202</t>
  </si>
  <si>
    <t>MCDANIEL TERRY M</t>
  </si>
  <si>
    <t>995 GLADSTONE ROAD</t>
  </si>
  <si>
    <t>F300000045</t>
  </si>
  <si>
    <t>BROWN LARRY SHANNON</t>
  </si>
  <si>
    <t>3045 US HIGHWAY 601 NORTH</t>
  </si>
  <si>
    <t>27028-5955</t>
  </si>
  <si>
    <t>G3140A0010</t>
  </si>
  <si>
    <t>PRIESTLEY JAMES M</t>
  </si>
  <si>
    <t>PRIESTLEY TAMELA J</t>
  </si>
  <si>
    <t>242 HIDDEN VALLEY LANE</t>
  </si>
  <si>
    <t>C8010C0010</t>
  </si>
  <si>
    <t>WOODS JENNIFER S</t>
  </si>
  <si>
    <t>124 ARCHER DRIVE</t>
  </si>
  <si>
    <t>J500000056</t>
  </si>
  <si>
    <t>ROBERSON LISA IJAMES</t>
  </si>
  <si>
    <t>112 BROOKWYND COURT</t>
  </si>
  <si>
    <t>GARNER</t>
  </si>
  <si>
    <t>27529-4445</t>
  </si>
  <si>
    <t>E8170A0691</t>
  </si>
  <si>
    <t>TSCHIRN STEVEN</t>
  </si>
  <si>
    <t>TSCHIRN TEELA</t>
  </si>
  <si>
    <t>106 LEGACY DRIVE</t>
  </si>
  <si>
    <t>I5070B0013</t>
  </si>
  <si>
    <t>WEST CORBIN MITCHELL</t>
  </si>
  <si>
    <t>301 MILLING RD</t>
  </si>
  <si>
    <t>27028-2722</t>
  </si>
  <si>
    <t>E70000013603</t>
  </si>
  <si>
    <t>JACKSON DYLAN</t>
  </si>
  <si>
    <t>JACKSON JULIE</t>
  </si>
  <si>
    <t>127 WELLINGTON CT</t>
  </si>
  <si>
    <t>27006-6003</t>
  </si>
  <si>
    <t>D8060B0020</t>
  </si>
  <si>
    <t>DESLOGES SYLVIO M</t>
  </si>
  <si>
    <t>152 TIFTON STREET</t>
  </si>
  <si>
    <t>D9050B0008</t>
  </si>
  <si>
    <t>CAPRON REV LIV TRUST</t>
  </si>
  <si>
    <t>3324 BERMUDA VLG</t>
  </si>
  <si>
    <t>27006-9479</t>
  </si>
  <si>
    <t>I5120B0005</t>
  </si>
  <si>
    <t>FORTUNE STEPHANIE A</t>
  </si>
  <si>
    <t>370 WINDWARD CIR</t>
  </si>
  <si>
    <t>27028-2895</t>
  </si>
  <si>
    <t>H4130A0018</t>
  </si>
  <si>
    <t>HACKART CHRISTOPHER J</t>
  </si>
  <si>
    <t>HACKART SHERI LYNN</t>
  </si>
  <si>
    <t>161 ELMWOOD ST</t>
  </si>
  <si>
    <t>27028-7263</t>
  </si>
  <si>
    <t>E900000044</t>
  </si>
  <si>
    <t>WHITE KENNON A</t>
  </si>
  <si>
    <t>WHITE ANNE BARBER</t>
  </si>
  <si>
    <t>157 SUNTREE DR</t>
  </si>
  <si>
    <t>F10000001212</t>
  </si>
  <si>
    <t>PHELPS LUKE GRANVILLE</t>
  </si>
  <si>
    <t>PHELPS LUCY P</t>
  </si>
  <si>
    <t>193 FLAT MOUNTAIN TL</t>
  </si>
  <si>
    <t>G8140A0050</t>
  </si>
  <si>
    <t>VASICA STEVEN A</t>
  </si>
  <si>
    <t>VASICA ROSEMARY NIXSALIZ</t>
  </si>
  <si>
    <t>174 OAKCREST DR</t>
  </si>
  <si>
    <t>J5020A0005</t>
  </si>
  <si>
    <t>BROWN MATTHEW LEE</t>
  </si>
  <si>
    <t>131 CRESTVIEW DR</t>
  </si>
  <si>
    <t>27028-2643</t>
  </si>
  <si>
    <t>I5030A0009</t>
  </si>
  <si>
    <t>RATLIFF JOHN R</t>
  </si>
  <si>
    <t>RATLIFF MISTY L</t>
  </si>
  <si>
    <t>128 CYPRUS COVE DR</t>
  </si>
  <si>
    <t>27028-2899</t>
  </si>
  <si>
    <t>G70000006805</t>
  </si>
  <si>
    <t>PLITT CHARLES W</t>
  </si>
  <si>
    <t>PLITT LINDA F</t>
  </si>
  <si>
    <t>1340 BALTIMORE ROAD</t>
  </si>
  <si>
    <t>J500000057</t>
  </si>
  <si>
    <t>K40000004301</t>
  </si>
  <si>
    <t>STITT TONY WAYNE</t>
  </si>
  <si>
    <t>STITT CLAUDIA POTTER</t>
  </si>
  <si>
    <t>419 BUCK SEAFORD ROAD</t>
  </si>
  <si>
    <t>27028-8643</t>
  </si>
  <si>
    <t>SKRAMER</t>
  </si>
  <si>
    <t>D9090B0006</t>
  </si>
  <si>
    <t>JURAN CHARLES E</t>
  </si>
  <si>
    <t>JURAN CAROLYN L</t>
  </si>
  <si>
    <t>164 OLEANDER DR</t>
  </si>
  <si>
    <t>27006-8401</t>
  </si>
  <si>
    <t>J7120A0003</t>
  </si>
  <si>
    <t>FAIRCLOTH GREGORY E</t>
  </si>
  <si>
    <t>FAIRCLOTH KIMBERLY P</t>
  </si>
  <si>
    <t>4612 CORNELIUS RD</t>
  </si>
  <si>
    <t>27018-8424</t>
  </si>
  <si>
    <t>M40000003806</t>
  </si>
  <si>
    <t>GROSE JOHN MICHAEL ETAL</t>
  </si>
  <si>
    <t>MORRISON ANN M</t>
  </si>
  <si>
    <t>PO BOX 1211</t>
  </si>
  <si>
    <t>C600000021</t>
  </si>
  <si>
    <t>GREEN MEADOWS BAPTIST CHURCH INC</t>
  </si>
  <si>
    <t>1646 NC HIGHWAY 801 N</t>
  </si>
  <si>
    <t>C600000019</t>
  </si>
  <si>
    <t>E900000195</t>
  </si>
  <si>
    <t>DORAN CHRISTOPHER</t>
  </si>
  <si>
    <t>135 LONETREE CIR</t>
  </si>
  <si>
    <t>27006-7048</t>
  </si>
  <si>
    <t>G9090B0040</t>
  </si>
  <si>
    <t>NATIONS ROBERT MADISON</t>
  </si>
  <si>
    <t>HARTSOE BRADLEY ERNEST</t>
  </si>
  <si>
    <t>226 S MARCH FERRY RD</t>
  </si>
  <si>
    <t>G8140A0066</t>
  </si>
  <si>
    <t>MELENDEZ AMANDA L</t>
  </si>
  <si>
    <t>159 SPRUCEWOOD CT</t>
  </si>
  <si>
    <t>N5010B0040</t>
  </si>
  <si>
    <t>REAVIS ANDREW KEITH</t>
  </si>
  <si>
    <t>REAVIS ASHTON LAMB</t>
  </si>
  <si>
    <t>PO BOX 205</t>
  </si>
  <si>
    <t>27014-0205</t>
  </si>
  <si>
    <t>M4050A0004</t>
  </si>
  <si>
    <t>AMAYA CORINA D</t>
  </si>
  <si>
    <t>863 GLADSTONE RD</t>
  </si>
  <si>
    <t>F1020A0001</t>
  </si>
  <si>
    <t>MATHIS EDWIN A</t>
  </si>
  <si>
    <t>191 SHEFFIELD FARMS TRAIL</t>
  </si>
  <si>
    <t>I20000003603</t>
  </si>
  <si>
    <t>MATHIS ROBIN K</t>
  </si>
  <si>
    <t>G9090A0003</t>
  </si>
  <si>
    <t>NELSON ALAN D</t>
  </si>
  <si>
    <t>NELSON SUSAN D</t>
  </si>
  <si>
    <t>1675 PEOPLES CREEK ROAD</t>
  </si>
  <si>
    <t>J40000002214</t>
  </si>
  <si>
    <t>J400000022</t>
  </si>
  <si>
    <t>J40000002208</t>
  </si>
  <si>
    <t>E70000013605</t>
  </si>
  <si>
    <t>AUCKLAND JOSHUA H</t>
  </si>
  <si>
    <t>AUCKLAND PAMELA S</t>
  </si>
  <si>
    <t>155 WELLINGTON CT</t>
  </si>
  <si>
    <t>C8010A0083</t>
  </si>
  <si>
    <t>TAYLOR FELICIA SWAN</t>
  </si>
  <si>
    <t>198 BROOKSTONE DR</t>
  </si>
  <si>
    <t>C8010A0259</t>
  </si>
  <si>
    <t>DAY CHARLES MICHAEL</t>
  </si>
  <si>
    <t>DAY HEIDI A</t>
  </si>
  <si>
    <t>145 N FIELD DR</t>
  </si>
  <si>
    <t>27006-1000</t>
  </si>
  <si>
    <t>G7070A0005</t>
  </si>
  <si>
    <t>AYERS DEREK C</t>
  </si>
  <si>
    <t>AYERS KATIE M</t>
  </si>
  <si>
    <t>352 BALTIMORE TRAILS LN</t>
  </si>
  <si>
    <t>27006-7998</t>
  </si>
  <si>
    <t>I700000065</t>
  </si>
  <si>
    <t>KOHL JOANN E</t>
  </si>
  <si>
    <t>204 MOHAWK LN</t>
  </si>
  <si>
    <t>27006-6950</t>
  </si>
  <si>
    <t>K5160A0017</t>
  </si>
  <si>
    <t>BROWN BILLY JOE</t>
  </si>
  <si>
    <t>BROWN LINDA W</t>
  </si>
  <si>
    <t>1746 US HWY 601 S</t>
  </si>
  <si>
    <t>I100000018</t>
  </si>
  <si>
    <t>BROWN CHARLOTTE D REV LIV TRST</t>
  </si>
  <si>
    <t>BROWN CHARLOTTE D TRUSTEE</t>
  </si>
  <si>
    <t>232 NC HIGHWAY 901 W</t>
  </si>
  <si>
    <t>28634-8922</t>
  </si>
  <si>
    <t>F30000000529</t>
  </si>
  <si>
    <t>MCCORMICK ADAM ZANE</t>
  </si>
  <si>
    <t>341 LEWISVILLE TRAILS</t>
  </si>
  <si>
    <t>D8020A0016</t>
  </si>
  <si>
    <t>FINAN JOHN AUSTIN</t>
  </si>
  <si>
    <t>PAGE BARBARA MARLENE</t>
  </si>
  <si>
    <t>179 IVY CIRCLE</t>
  </si>
  <si>
    <t>F20000004602</t>
  </si>
  <si>
    <t>BUMGARNER BETHANY</t>
  </si>
  <si>
    <t>898 RALPH RATLEDGE RD</t>
  </si>
  <si>
    <t>27028-8333</t>
  </si>
  <si>
    <t>F20000004402</t>
  </si>
  <si>
    <t>E600000019</t>
  </si>
  <si>
    <t>CHARLES JOYCE</t>
  </si>
  <si>
    <t>3743 US HIGHWAY 158</t>
  </si>
  <si>
    <t>E900000680</t>
  </si>
  <si>
    <t>BRYSON RONALD SCOTT</t>
  </si>
  <si>
    <t>BRYSON LINDA C</t>
  </si>
  <si>
    <t>446 N HIDDENBROOKE DR</t>
  </si>
  <si>
    <t>E900000040</t>
  </si>
  <si>
    <t>BOZEMAN ELIZABETH R</t>
  </si>
  <si>
    <t>138 SUNTREE DR</t>
  </si>
  <si>
    <t>B300000037</t>
  </si>
  <si>
    <t>STROMKO STEPHEN &amp; TAMARA J REV LIV TRUST</t>
  </si>
  <si>
    <t>176 KATEY LN</t>
  </si>
  <si>
    <t>27028-6295</t>
  </si>
  <si>
    <t>B30000003703</t>
  </si>
  <si>
    <t>I5170C0021</t>
  </si>
  <si>
    <t>SHERRILL RANDY LEE</t>
  </si>
  <si>
    <t>128 MILLWRIGHT CT</t>
  </si>
  <si>
    <t>D7030C0005</t>
  </si>
  <si>
    <t>HENSON CHRISTOPHER D</t>
  </si>
  <si>
    <t>HENSON SUMMER</t>
  </si>
  <si>
    <t>117 LESTER DR</t>
  </si>
  <si>
    <t>27006-7934</t>
  </si>
  <si>
    <t>M40000003804</t>
  </si>
  <si>
    <t>MILAM DANIEL T</t>
  </si>
  <si>
    <t>1924 JUNCTION RD</t>
  </si>
  <si>
    <t>I30000007302</t>
  </si>
  <si>
    <t>WILLIAMS VIRGINIA LYNN</t>
  </si>
  <si>
    <t>1328 US HIGHWAY 64 W</t>
  </si>
  <si>
    <t>K5100A001301</t>
  </si>
  <si>
    <t>LEWIS MARNIC C</t>
  </si>
  <si>
    <t>LEWIS REBECCA RENEE</t>
  </si>
  <si>
    <t>256 DEADMON RD</t>
  </si>
  <si>
    <t>D8070B0006</t>
  </si>
  <si>
    <t>CLEMENT BRENDA B REV TRUST</t>
  </si>
  <si>
    <t>163 FESCUE DR</t>
  </si>
  <si>
    <t>E6110A0004</t>
  </si>
  <si>
    <t>WYER GRACE</t>
  </si>
  <si>
    <t>134 FOX RUN DR</t>
  </si>
  <si>
    <t>H5190A0037</t>
  </si>
  <si>
    <t>RUTLEDGE BRENDA D</t>
  </si>
  <si>
    <t>RUTLEDGE ROBERT E</t>
  </si>
  <si>
    <t>135 CHANDLER DR</t>
  </si>
  <si>
    <t>27028-4353</t>
  </si>
  <si>
    <t>F30000000530</t>
  </si>
  <si>
    <t>JOHNSON JOSHUA PHILLIP</t>
  </si>
  <si>
    <t>804 GEOFFREY WAY</t>
  </si>
  <si>
    <t>27284-3398</t>
  </si>
  <si>
    <t>G80000006405</t>
  </si>
  <si>
    <t>JOHNSON MEGAN B</t>
  </si>
  <si>
    <t>1738 PEOPLES CREEK RD</t>
  </si>
  <si>
    <t>27006-7453</t>
  </si>
  <si>
    <t>D8060B0027</t>
  </si>
  <si>
    <t>THACKER BOBBIE COX</t>
  </si>
  <si>
    <t>133 BERMUDA RUN DR N</t>
  </si>
  <si>
    <t>27006-8514</t>
  </si>
  <si>
    <t>J6100A0031</t>
  </si>
  <si>
    <t>OUELLETTE RICHARD J</t>
  </si>
  <si>
    <t>OUELLETTE SUZAN R</t>
  </si>
  <si>
    <t>166 N LAKE LOUISE DR</t>
  </si>
  <si>
    <t>M500000011</t>
  </si>
  <si>
    <t>BALES MCKALEY</t>
  </si>
  <si>
    <t>136 ORCHARD ST</t>
  </si>
  <si>
    <t>27028-6784</t>
  </si>
  <si>
    <t>M50000001101</t>
  </si>
  <si>
    <t>I4140B0018</t>
  </si>
  <si>
    <t>LINK RONALD HOWARD SR</t>
  </si>
  <si>
    <t>LINK TAMARA FREEDLE</t>
  </si>
  <si>
    <t>332 TOT ST</t>
  </si>
  <si>
    <t>N600000099</t>
  </si>
  <si>
    <t>HORTON PAUL E</t>
  </si>
  <si>
    <t>273 BEAN RD</t>
  </si>
  <si>
    <t>27028-6603</t>
  </si>
  <si>
    <t>D8060B0004</t>
  </si>
  <si>
    <t>CLEMMER WILLIAM L</t>
  </si>
  <si>
    <t>CLEMMER CARRIE M</t>
  </si>
  <si>
    <t>408 RIVERBEND DR</t>
  </si>
  <si>
    <t>27006-8524</t>
  </si>
  <si>
    <t>F20000004406</t>
  </si>
  <si>
    <t>PIGG JEFFERY T</t>
  </si>
  <si>
    <t>PIGG MEGAN J</t>
  </si>
  <si>
    <t>146 CAMBRIDGE LN</t>
  </si>
  <si>
    <t>27028-8119</t>
  </si>
  <si>
    <t>K50000004101</t>
  </si>
  <si>
    <t>RUPARD JOSEPH HOWARD</t>
  </si>
  <si>
    <t>883 UNION STREET</t>
  </si>
  <si>
    <t>SHELBYVILLE</t>
  </si>
  <si>
    <t>D8070A0036</t>
  </si>
  <si>
    <t>JADWIN HELEN CHRISTOPHER</t>
  </si>
  <si>
    <t>137 GOLFVIEW DRIVE</t>
  </si>
  <si>
    <t>H2050B0018</t>
  </si>
  <si>
    <t>HARRIS WILLIAM DWIGHT</t>
  </si>
  <si>
    <t>HARRIS JACKIE WRIGHT</t>
  </si>
  <si>
    <t>153 SHEFFIELD ROAD</t>
  </si>
  <si>
    <t>D20000003802</t>
  </si>
  <si>
    <t>IRELAND DALE MATTHEWS</t>
  </si>
  <si>
    <t>1290 LIBERTY CHURCH ROAD</t>
  </si>
  <si>
    <t>K5080A0003</t>
  </si>
  <si>
    <t>NORWOOD-DOBBINS CORNELIA ETAL</t>
  </si>
  <si>
    <t>BETLEY ROSALIND</t>
  </si>
  <si>
    <t>141 F M STEELE LN</t>
  </si>
  <si>
    <t>K500000017</t>
  </si>
  <si>
    <t>GUTIERREZ CELENA E</t>
  </si>
  <si>
    <t>359 DEADMON RD</t>
  </si>
  <si>
    <t>E30000000202</t>
  </si>
  <si>
    <t>KELLER BOBBY J JR</t>
  </si>
  <si>
    <t>KELLER JENIFER B</t>
  </si>
  <si>
    <t>708 LIBERTY CHURCH RD</t>
  </si>
  <si>
    <t>27028-5832</t>
  </si>
  <si>
    <t>O600000027</t>
  </si>
  <si>
    <t>HUDSON LOUISE</t>
  </si>
  <si>
    <t>470 YORK ROAD</t>
  </si>
  <si>
    <t>G3050A000301</t>
  </si>
  <si>
    <t>KIMREY KAREN H</t>
  </si>
  <si>
    <t>1570 MAIN CHURCH ROAD</t>
  </si>
  <si>
    <t>G3050A000302</t>
  </si>
  <si>
    <t>E30000000204</t>
  </si>
  <si>
    <t>F300000060</t>
  </si>
  <si>
    <t>CORRELL DONALD BRYAN</t>
  </si>
  <si>
    <t>CORRELL STEPHANIE AMANDA</t>
  </si>
  <si>
    <t>3178 US HIGHWAY 601 N</t>
  </si>
  <si>
    <t>27028-5956</t>
  </si>
  <si>
    <t>F90000001811</t>
  </si>
  <si>
    <t>HARTMAN JACQUELINE ELAINE</t>
  </si>
  <si>
    <t>477 VOGLER RD</t>
  </si>
  <si>
    <t>K80000002009</t>
  </si>
  <si>
    <t>MOSSMAN RANDI MOORE</t>
  </si>
  <si>
    <t>447 SEAFORD RD</t>
  </si>
  <si>
    <t>K80000000104</t>
  </si>
  <si>
    <t>K70000005901</t>
  </si>
  <si>
    <t>E30000002004</t>
  </si>
  <si>
    <t>MASON PAUL H III</t>
  </si>
  <si>
    <t>173 LEANNE LN</t>
  </si>
  <si>
    <t>E30000002003</t>
  </si>
  <si>
    <t>G30000002901</t>
  </si>
  <si>
    <t>BECK BRANDON R</t>
  </si>
  <si>
    <t>BECK MARY ALLISON</t>
  </si>
  <si>
    <t>199 IJAMES CHURCH RD</t>
  </si>
  <si>
    <t>27028-4821</t>
  </si>
  <si>
    <t>F20000005501</t>
  </si>
  <si>
    <t>NELSON DAVID JAMES</t>
  </si>
  <si>
    <t>NELSON SALLIE LAU</t>
  </si>
  <si>
    <t>384 RALPH RATLEDGE ROAD</t>
  </si>
  <si>
    <t>27028-8328</t>
  </si>
  <si>
    <t>F90000001813</t>
  </si>
  <si>
    <t>HARTMAN DALTON LEWIS</t>
  </si>
  <si>
    <t>L20000000202</t>
  </si>
  <si>
    <t>SHELTON PRESTON M</t>
  </si>
  <si>
    <t>SHELTON MEGHAN D</t>
  </si>
  <si>
    <t>371 FOSTER RD</t>
  </si>
  <si>
    <t>I60000002606</t>
  </si>
  <si>
    <t>WHITAKER STEVE C</t>
  </si>
  <si>
    <t>348 WILLIAMS ROAD</t>
  </si>
  <si>
    <t>F50000001012</t>
  </si>
  <si>
    <t>WHITAKER STEVEN D</t>
  </si>
  <si>
    <t>WHITAKER LINDA M</t>
  </si>
  <si>
    <t>2539 US HIGHWAY 158</t>
  </si>
  <si>
    <t>G500000050</t>
  </si>
  <si>
    <t>L5090A000501</t>
  </si>
  <si>
    <t>MARTIN MARY SHELIA</t>
  </si>
  <si>
    <t>326 GLADSTONE ROAD</t>
  </si>
  <si>
    <t>H40000010301</t>
  </si>
  <si>
    <t>GAITHER ERNEST B</t>
  </si>
  <si>
    <t>GAITHER PEGGY SUE A</t>
  </si>
  <si>
    <t>385 MADISON RD</t>
  </si>
  <si>
    <t>G80000007102</t>
  </si>
  <si>
    <t>LAKEY CHAD M</t>
  </si>
  <si>
    <t>LAKEY KELLY S</t>
  </si>
  <si>
    <t>179 TAYLOR RD</t>
  </si>
  <si>
    <t>G90000000804</t>
  </si>
  <si>
    <t>REYNOLDS WARREN P</t>
  </si>
  <si>
    <t>REYNOLDS SUSAN T</t>
  </si>
  <si>
    <t>1401 PEOPLES CREEK ROAD</t>
  </si>
  <si>
    <t>L50000001803</t>
  </si>
  <si>
    <t>ELLER MARY THERESA</t>
  </si>
  <si>
    <t>107 WOOD STREET</t>
  </si>
  <si>
    <t>H900000034</t>
  </si>
  <si>
    <t>ELLIS DORA HEIRS</t>
  </si>
  <si>
    <t>108 MOUNT ZION ROAD</t>
  </si>
  <si>
    <t>J60000007402</t>
  </si>
  <si>
    <t>SNOW GARY</t>
  </si>
  <si>
    <t>SNOW JUDY</t>
  </si>
  <si>
    <t>2042 US HIGHWAY 64 E</t>
  </si>
  <si>
    <t>I30000007303</t>
  </si>
  <si>
    <t>E60000002506</t>
  </si>
  <si>
    <t>HUTCHENS WILLIAM LOYD JR</t>
  </si>
  <si>
    <t>161 AUBURN HILL LANE</t>
  </si>
  <si>
    <t>27028-7863</t>
  </si>
  <si>
    <t>L600000056</t>
  </si>
  <si>
    <t>WOOTEN DWIGHT F</t>
  </si>
  <si>
    <t>120 GRUBB RD</t>
  </si>
  <si>
    <t>27028-5304</t>
  </si>
  <si>
    <t>L600000055</t>
  </si>
  <si>
    <t>L60000005301</t>
  </si>
  <si>
    <t>L600000053</t>
  </si>
  <si>
    <t>E60000002505</t>
  </si>
  <si>
    <t>G300000008</t>
  </si>
  <si>
    <t>BOWERS RITA L</t>
  </si>
  <si>
    <t>5388 ASHLEY DR SW</t>
  </si>
  <si>
    <t>LILBURN</t>
  </si>
  <si>
    <t>G30000002202</t>
  </si>
  <si>
    <t>I4010A0036</t>
  </si>
  <si>
    <t>WRIGHT BEVERLY M</t>
  </si>
  <si>
    <t>106 TURNBERRY CT</t>
  </si>
  <si>
    <t>J4040F0003</t>
  </si>
  <si>
    <t>WENGER RYAN</t>
  </si>
  <si>
    <t>WENGER ROLAND</t>
  </si>
  <si>
    <t>467 S MAIN ST</t>
  </si>
  <si>
    <t>27028-2607</t>
  </si>
  <si>
    <t>E900000357</t>
  </si>
  <si>
    <t>CREASY RUTH H</t>
  </si>
  <si>
    <t>134 SCOTTSDALE DR</t>
  </si>
  <si>
    <t>F8030A0006</t>
  </si>
  <si>
    <t>AYRES DUANE ERIC</t>
  </si>
  <si>
    <t>AYRES GINA MARIE</t>
  </si>
  <si>
    <t>147 ESSEX FARM RD</t>
  </si>
  <si>
    <t>27006-7352</t>
  </si>
  <si>
    <t>D700000018</t>
  </si>
  <si>
    <t>EVANS RICHARD TAYLOR</t>
  </si>
  <si>
    <t>EVANS CHRISTOPHER TAYLOR</t>
  </si>
  <si>
    <t>289 GORDON DR</t>
  </si>
  <si>
    <t>27006-6616</t>
  </si>
  <si>
    <t>E500000003</t>
  </si>
  <si>
    <t>DELLINGER MARK A</t>
  </si>
  <si>
    <t>174 BEECHTREE PLACE</t>
  </si>
  <si>
    <t>27028-7607</t>
  </si>
  <si>
    <t>I80000000803</t>
  </si>
  <si>
    <t>JONES VERA V WALLER</t>
  </si>
  <si>
    <t>JONES GREG</t>
  </si>
  <si>
    <t>184 SEAWALL TRAIL</t>
  </si>
  <si>
    <t>I800000071</t>
  </si>
  <si>
    <t>L800000030</t>
  </si>
  <si>
    <t>L800000015</t>
  </si>
  <si>
    <t>K80000002010</t>
  </si>
  <si>
    <t>I5110A0010</t>
  </si>
  <si>
    <t>VILLATORO ERIKA MARIA</t>
  </si>
  <si>
    <t>233 MOUNTVIEW DR</t>
  </si>
  <si>
    <t>27028-2838</t>
  </si>
  <si>
    <t>J7010A0012</t>
  </si>
  <si>
    <t>PEED JAMES A</t>
  </si>
  <si>
    <t>193 HICKORY TREE RD</t>
  </si>
  <si>
    <t>J7120A0029</t>
  </si>
  <si>
    <t>MCCOY MELISSIA BETH</t>
  </si>
  <si>
    <t>3090 US HIGHWAY 64 E</t>
  </si>
  <si>
    <t>E8100B0007</t>
  </si>
  <si>
    <t>STROUD BRAD RILEY</t>
  </si>
  <si>
    <t>STROUD ANNIE BOWERS</t>
  </si>
  <si>
    <t>151 OAKBROOK DR</t>
  </si>
  <si>
    <t>27006-7623</t>
  </si>
  <si>
    <t>J4040B0001</t>
  </si>
  <si>
    <t>M &amp; J CARWASH VENTURES LLC</t>
  </si>
  <si>
    <t>121 BRENTBROOK DRIVE</t>
  </si>
  <si>
    <t>D80000000609</t>
  </si>
  <si>
    <t>I5110C0018</t>
  </si>
  <si>
    <t>PEEBLES MAE A</t>
  </si>
  <si>
    <t>G90000001313</t>
  </si>
  <si>
    <t>I100000017  A</t>
  </si>
  <si>
    <t>FOOTE CHRISTINE REDMOND</t>
  </si>
  <si>
    <t>328 COUNTY LINE RD</t>
  </si>
  <si>
    <t>28634-8903</t>
  </si>
  <si>
    <t>F10000002901</t>
  </si>
  <si>
    <t>DYSON MICHAEL S</t>
  </si>
  <si>
    <t>27028-5719</t>
  </si>
  <si>
    <t>L600000054</t>
  </si>
  <si>
    <t>L60000005201</t>
  </si>
  <si>
    <t>L600000052</t>
  </si>
  <si>
    <t>F3130A0003</t>
  </si>
  <si>
    <t>STRUB HENRY MICHAEL III</t>
  </si>
  <si>
    <t>STRUB MARIA JO</t>
  </si>
  <si>
    <t>122 PEPPERSTONE DR</t>
  </si>
  <si>
    <t>J200000024</t>
  </si>
  <si>
    <t>SMITH LONNIE W</t>
  </si>
  <si>
    <t>314 STAGE COACH RD</t>
  </si>
  <si>
    <t>M5100A0016</t>
  </si>
  <si>
    <t>MARTIN JON T</t>
  </si>
  <si>
    <t>MARTIN CONNIE J</t>
  </si>
  <si>
    <t>7546 NC HIGHWAY 801 S</t>
  </si>
  <si>
    <t>27028-6740</t>
  </si>
  <si>
    <t>E5020A0005</t>
  </si>
  <si>
    <t>WATKINS STANLEY T</t>
  </si>
  <si>
    <t>WATKINS DEBORAH M</t>
  </si>
  <si>
    <t>126 GREENE CT</t>
  </si>
  <si>
    <t>27028-6167</t>
  </si>
  <si>
    <t>E900000604</t>
  </si>
  <si>
    <t>MIGLIARESE SARA J</t>
  </si>
  <si>
    <t>135 W EDEN COURSE DR</t>
  </si>
  <si>
    <t>I4130A0008</t>
  </si>
  <si>
    <t>TKACH STERLING</t>
  </si>
  <si>
    <t>240 TOT ST</t>
  </si>
  <si>
    <t>27028-2344</t>
  </si>
  <si>
    <t>F8020B0042</t>
  </si>
  <si>
    <t>EVANS DONNA SUE</t>
  </si>
  <si>
    <t>EVANS CARLOS TODD</t>
  </si>
  <si>
    <t>106 N HIGH FIELD RD</t>
  </si>
  <si>
    <t>27006-7896</t>
  </si>
  <si>
    <t>J4140A0012</t>
  </si>
  <si>
    <t>GOTT SANDRA L</t>
  </si>
  <si>
    <t>126 NEW HAMPSHIRE CT</t>
  </si>
  <si>
    <t>H70000006407</t>
  </si>
  <si>
    <t>KOONTZ BRANDY</t>
  </si>
  <si>
    <t>ORSILLO JOHN</t>
  </si>
  <si>
    <t>1535 FORK BIXBY RD</t>
  </si>
  <si>
    <t>E900000266</t>
  </si>
  <si>
    <t>VASALY PETER J</t>
  </si>
  <si>
    <t>176 SEAY DR</t>
  </si>
  <si>
    <t>27006-6932</t>
  </si>
  <si>
    <t>J4060D0004</t>
  </si>
  <si>
    <t>WILLIAMS ANDREW BENEDICT</t>
  </si>
  <si>
    <t>SONDERGARD LEE SUMMER</t>
  </si>
  <si>
    <t>118 BIRCHWOOD LN</t>
  </si>
  <si>
    <t>I10000002601</t>
  </si>
  <si>
    <t>ROGERS BEVERLY STARR DUNN</t>
  </si>
  <si>
    <t>698 ROCK SPRINGS RD</t>
  </si>
  <si>
    <t>L500000010</t>
  </si>
  <si>
    <t>CHURCH AMY B</t>
  </si>
  <si>
    <t>2022 US HIGHWAY 601 S</t>
  </si>
  <si>
    <t>K500000089</t>
  </si>
  <si>
    <t>DAVIDSON JULIA B</t>
  </si>
  <si>
    <t>430 DEADMON RD</t>
  </si>
  <si>
    <t>K50000008905</t>
  </si>
  <si>
    <t>J6050E0002</t>
  </si>
  <si>
    <t>ARNOTT LORI JEAN</t>
  </si>
  <si>
    <t>112 MEADOWVIEW RD</t>
  </si>
  <si>
    <t>F500000007</t>
  </si>
  <si>
    <t>MCCLAMROCH R KENT</t>
  </si>
  <si>
    <t>MCCLAMROCH KENT</t>
  </si>
  <si>
    <t>637 ANGELL RD</t>
  </si>
  <si>
    <t>M400000026</t>
  </si>
  <si>
    <t>POLK LEO RUSSELL</t>
  </si>
  <si>
    <t>POLK LYNETTE OSBORNE</t>
  </si>
  <si>
    <t>1652 JUNCTION ROAD</t>
  </si>
  <si>
    <t>27028-5329</t>
  </si>
  <si>
    <t>H5200A0017</t>
  </si>
  <si>
    <t>GILLISON WILLIAM GREGORY</t>
  </si>
  <si>
    <t>GILLISON ANGELA RENE</t>
  </si>
  <si>
    <t>135 MATTHIAS CT</t>
  </si>
  <si>
    <t>27028-4196</t>
  </si>
  <si>
    <t>H5190A0009</t>
  </si>
  <si>
    <t>DOSS ANDREW TAYLOR</t>
  </si>
  <si>
    <t>DOSS RACHEL ELISE</t>
  </si>
  <si>
    <t>138 S MADERA DR</t>
  </si>
  <si>
    <t>G700000114</t>
  </si>
  <si>
    <t>SHOAF NANCY VOGLER</t>
  </si>
  <si>
    <t>1757 FORK BIXBY RD</t>
  </si>
  <si>
    <t>E7140A0007</t>
  </si>
  <si>
    <t>RANDELL RYAN C</t>
  </si>
  <si>
    <t>RANDELL RACHEL M</t>
  </si>
  <si>
    <t>128 GRAYWOOD CT</t>
  </si>
  <si>
    <t>D9010C0013</t>
  </si>
  <si>
    <t>KELLEY CHRISTOPHER R</t>
  </si>
  <si>
    <t>KELLEY SARAH B</t>
  </si>
  <si>
    <t>145 ST GEORGE PLACE</t>
  </si>
  <si>
    <t>C8010A0120</t>
  </si>
  <si>
    <t>DESLOGES LANA M</t>
  </si>
  <si>
    <t>114 SWEETWATER CIRCLE</t>
  </si>
  <si>
    <t>E900000565</t>
  </si>
  <si>
    <t>BLAKLEY JAMES V</t>
  </si>
  <si>
    <t>BLAKLEY KRISTEN P</t>
  </si>
  <si>
    <t>138 ARNOLD PALMER DR</t>
  </si>
  <si>
    <t>C8030A000604</t>
  </si>
  <si>
    <t>BRENNER CAROL F</t>
  </si>
  <si>
    <t>172 PINEWOOD LN UNIT 104</t>
  </si>
  <si>
    <t>27006-8643</t>
  </si>
  <si>
    <t>D9010A0002</t>
  </si>
  <si>
    <t>LAWSON BRAXTAL WEBB</t>
  </si>
  <si>
    <t>LAWSON DELLA HODGES</t>
  </si>
  <si>
    <t>103 PEMBROOKE RIDGE COURT</t>
  </si>
  <si>
    <t>C8010A0021</t>
  </si>
  <si>
    <t>HINE ANDREA LEE</t>
  </si>
  <si>
    <t>114 MILLSTONE LN</t>
  </si>
  <si>
    <t>F7060A0013</t>
  </si>
  <si>
    <t>TODOR ROBERT STEPHEN</t>
  </si>
  <si>
    <t>EDELBLUTE KELLI ANN</t>
  </si>
  <si>
    <t>133 CANTON RD</t>
  </si>
  <si>
    <t>27006-7865</t>
  </si>
  <si>
    <t>I6140A0038</t>
  </si>
  <si>
    <t>DAPOLITO JESSE</t>
  </si>
  <si>
    <t>DAPOLITO ASHLEY</t>
  </si>
  <si>
    <t>202 LAKEVIEW RD</t>
  </si>
  <si>
    <t>I6140A0039</t>
  </si>
  <si>
    <t>C4160A0022</t>
  </si>
  <si>
    <t>KOWALSKI LEONARD CLARENCE</t>
  </si>
  <si>
    <t>KOWALSKI TAMMY LYNN</t>
  </si>
  <si>
    <t>135 THOROUGHBRED LN</t>
  </si>
  <si>
    <t>I5060B0008</t>
  </si>
  <si>
    <t>CHANDLER EDWARD</t>
  </si>
  <si>
    <t>156 WHITNEY ROAD</t>
  </si>
  <si>
    <t>J100000001</t>
  </si>
  <si>
    <t>NESBIT THOMAS LYNN</t>
  </si>
  <si>
    <t>NESBIT NANCY ELLEN LANTER</t>
  </si>
  <si>
    <t>4359 US HWY 158</t>
  </si>
  <si>
    <t>I5120A0039</t>
  </si>
  <si>
    <t>FUENTES JOSE LINO</t>
  </si>
  <si>
    <t>FUENTES MARIA</t>
  </si>
  <si>
    <t>373 WINDWARD CIR</t>
  </si>
  <si>
    <t>G500000034</t>
  </si>
  <si>
    <t>HAYNES EVELYN MARIE</t>
  </si>
  <si>
    <t>2183 HIGHWAY 158</t>
  </si>
  <si>
    <t>J400000027</t>
  </si>
  <si>
    <t>LAKEY DORIS S</t>
  </si>
  <si>
    <t>120 OAK ALLEY WY</t>
  </si>
  <si>
    <t>J10000000104</t>
  </si>
  <si>
    <t>F8030A0061</t>
  </si>
  <si>
    <t>BOYD KATHRINE ELIZABETH</t>
  </si>
  <si>
    <t>BOYD SAVANNAH CHRISTOFFEL</t>
  </si>
  <si>
    <t>105 TYLER CT</t>
  </si>
  <si>
    <t>J4040G000401</t>
  </si>
  <si>
    <t>MAGAN JOSHUA A</t>
  </si>
  <si>
    <t>MAGAN STEPHANIE C</t>
  </si>
  <si>
    <t>519A S SALISBURY ST</t>
  </si>
  <si>
    <t>27028-2529</t>
  </si>
  <si>
    <t>F8030A0056</t>
  </si>
  <si>
    <t>STEFFAN SHAUN TARA BLAKENEY</t>
  </si>
  <si>
    <t>STEFFAN MICHAEL DAVID</t>
  </si>
  <si>
    <t>127 WYATT DR</t>
  </si>
  <si>
    <t>27006-8006</t>
  </si>
  <si>
    <t>E20000001602</t>
  </si>
  <si>
    <t>MEDLIN JEFFREY S</t>
  </si>
  <si>
    <t>164 BUCKINGHAM LANE</t>
  </si>
  <si>
    <t>J20000002107</t>
  </si>
  <si>
    <t>D7080A0015</t>
  </si>
  <si>
    <t>VANNOY SAMANTHA</t>
  </si>
  <si>
    <t>WARD MATTHEW</t>
  </si>
  <si>
    <t>113 LONGWOOD DR</t>
  </si>
  <si>
    <t>I400000015</t>
  </si>
  <si>
    <t>KNIGHT BRANDI NICOLE</t>
  </si>
  <si>
    <t>145 BROOK DR</t>
  </si>
  <si>
    <t>E6110A0024</t>
  </si>
  <si>
    <t>MIXON STEPHEN T</t>
  </si>
  <si>
    <t>123 FOX RUN DR</t>
  </si>
  <si>
    <t>I400000044</t>
  </si>
  <si>
    <t>SANTIBANEZ GILLERMO</t>
  </si>
  <si>
    <t>236 TRAILWAY DR</t>
  </si>
  <si>
    <t>28625-1884</t>
  </si>
  <si>
    <t>G800000208</t>
  </si>
  <si>
    <t>WEIR MICHAEL CHRISTOPHER</t>
  </si>
  <si>
    <t>WEIR LAUREN S</t>
  </si>
  <si>
    <t>444 RABBIT FARM TRL</t>
  </si>
  <si>
    <t>27006-7297</t>
  </si>
  <si>
    <t>K4010A0013</t>
  </si>
  <si>
    <t>ASHLEY ROBERT BOYD</t>
  </si>
  <si>
    <t>ASHLEY MELISSA</t>
  </si>
  <si>
    <t>157 SUNSET CIR</t>
  </si>
  <si>
    <t>H500000203</t>
  </si>
  <si>
    <t>MARCELLO JAMES ANTHONY</t>
  </si>
  <si>
    <t>MARCELLO STEPHEN MICHAEL</t>
  </si>
  <si>
    <t>218 FARMLAND RD</t>
  </si>
  <si>
    <t>J4030A0006</t>
  </si>
  <si>
    <t>RODRIGUEZ ROBERTO SALAS</t>
  </si>
  <si>
    <t>AMARO MARIA F HERNANDEZ</t>
  </si>
  <si>
    <t>667 SANFORD AVE</t>
  </si>
  <si>
    <t>D9090B0001</t>
  </si>
  <si>
    <t>WILLIAMS EARL R</t>
  </si>
  <si>
    <t>WILLIAMS MARILYN SUE</t>
  </si>
  <si>
    <t>142 OLEANDER DR</t>
  </si>
  <si>
    <t>D500000089</t>
  </si>
  <si>
    <t>GIOELI MEGAN C</t>
  </si>
  <si>
    <t>GIOELI MARC A</t>
  </si>
  <si>
    <t>156 ROLAND RD</t>
  </si>
  <si>
    <t>27028-7805</t>
  </si>
  <si>
    <t>M5160C002101</t>
  </si>
  <si>
    <t>MOCKSVILLE-COOLEEMEE ABC BOARD</t>
  </si>
  <si>
    <t>PO BOX 575</t>
  </si>
  <si>
    <t>27014-0575</t>
  </si>
  <si>
    <t>I4110A0020</t>
  </si>
  <si>
    <t>DAVIE CTY BRD OF COMMISSIONERS</t>
  </si>
  <si>
    <t>I4120D002301</t>
  </si>
  <si>
    <t>I4110C0023</t>
  </si>
  <si>
    <t>C8010C0004</t>
  </si>
  <si>
    <t>REICH BRENDA WILLIAMS</t>
  </si>
  <si>
    <t>115 ARCHER DR</t>
  </si>
  <si>
    <t>27006-6688</t>
  </si>
  <si>
    <t>M5030A000203</t>
  </si>
  <si>
    <t>CAROLINA FINISHING HOLDING LLC</t>
  </si>
  <si>
    <t>2602 US HIGHWAY 601 S</t>
  </si>
  <si>
    <t>27028-6910</t>
  </si>
  <si>
    <t>M5030A000204</t>
  </si>
  <si>
    <t>E900000214</t>
  </si>
  <si>
    <t>RUTHERFORD LYNN H REV TRUST</t>
  </si>
  <si>
    <t>RUTHERFORD PATRICIA S REV TRUS</t>
  </si>
  <si>
    <t>328 KINGSMILL DRIVE</t>
  </si>
  <si>
    <t>C60000010006</t>
  </si>
  <si>
    <t>TRINKLE TROY LYNN</t>
  </si>
  <si>
    <t>TRINKLE MELISSA</t>
  </si>
  <si>
    <t>1257 NC HIGHWAY 801 N</t>
  </si>
  <si>
    <t>27006-6701</t>
  </si>
  <si>
    <t>I4140B0002</t>
  </si>
  <si>
    <t>SMITH KATHY C</t>
  </si>
  <si>
    <t>SMITH ANTHONY</t>
  </si>
  <si>
    <t>173 GREY ST</t>
  </si>
  <si>
    <t>27028-2309</t>
  </si>
  <si>
    <t>E900000320</t>
  </si>
  <si>
    <t>STOREY AARON RYAN</t>
  </si>
  <si>
    <t>STOREY ALLISON NICOLE</t>
  </si>
  <si>
    <t>695 OAK VALLEY BLVD</t>
  </si>
  <si>
    <t>M5100C0027</t>
  </si>
  <si>
    <t>LINK JEREMY DENNIS</t>
  </si>
  <si>
    <t>LINK KRISTY MICHELLE</t>
  </si>
  <si>
    <t>141 LOOP ST</t>
  </si>
  <si>
    <t>C8010A0269</t>
  </si>
  <si>
    <t>HORNE RICKY VAN</t>
  </si>
  <si>
    <t>GASKINS-HORNE PAMELA</t>
  </si>
  <si>
    <t>161 ROSEWALK LN</t>
  </si>
  <si>
    <t>B500000099</t>
  </si>
  <si>
    <t>BOWLES DAVID CLINTON</t>
  </si>
  <si>
    <t>2638 FARMINGTON ROAD</t>
  </si>
  <si>
    <t>K5100A0012</t>
  </si>
  <si>
    <t>DURHAM IRENE G</t>
  </si>
  <si>
    <t>182 WALT WILSON ROAD</t>
  </si>
  <si>
    <t>J70000004107</t>
  </si>
  <si>
    <t>LOPEZ-ESCAMILLA GILBERTO</t>
  </si>
  <si>
    <t>HERNANDEZ MARCIA MORENO</t>
  </si>
  <si>
    <t>136 EVERHART RD</t>
  </si>
  <si>
    <t>27028-7211</t>
  </si>
  <si>
    <t>E900000401</t>
  </si>
  <si>
    <t>WHITE BOBBY E</t>
  </si>
  <si>
    <t>WHITE KATHY F</t>
  </si>
  <si>
    <t>116 LIGONIER DR</t>
  </si>
  <si>
    <t>27006-7323</t>
  </si>
  <si>
    <t>C8030A0001</t>
  </si>
  <si>
    <t>THE CONDOMINIUMS AT KINDERTON VILLAGE OWNERS ASSO</t>
  </si>
  <si>
    <t>C8030A0002</t>
  </si>
  <si>
    <t>C8030A0003</t>
  </si>
  <si>
    <t>C8030A0004</t>
  </si>
  <si>
    <t>C8030A0005</t>
  </si>
  <si>
    <t>C8030A0006</t>
  </si>
  <si>
    <t>C8030A0007</t>
  </si>
  <si>
    <t>C8030A0012</t>
  </si>
  <si>
    <t>C8030A0013</t>
  </si>
  <si>
    <t>C8030A0014</t>
  </si>
  <si>
    <t>C8030A0015</t>
  </si>
  <si>
    <t>C8030A0008</t>
  </si>
  <si>
    <t>E900000479</t>
  </si>
  <si>
    <t>CASSADA BRADLEY D</t>
  </si>
  <si>
    <t>CASSADA WENDY A</t>
  </si>
  <si>
    <t>110 MILL COVE DR</t>
  </si>
  <si>
    <t>27006-8545</t>
  </si>
  <si>
    <t>J5020A0012</t>
  </si>
  <si>
    <t>VENABLE JOY CHARLENE</t>
  </si>
  <si>
    <t>136 CRESTVIEW DR</t>
  </si>
  <si>
    <t>B300000053</t>
  </si>
  <si>
    <t>HOLT MICHAEL SHANE</t>
  </si>
  <si>
    <t>HOLT CHRISTINA TALLEY</t>
  </si>
  <si>
    <t>546 FOUR CORNERS RD</t>
  </si>
  <si>
    <t>27028-6217</t>
  </si>
  <si>
    <t>I4120A001301</t>
  </si>
  <si>
    <t>FRALEY TIMOTHY EDWARD</t>
  </si>
  <si>
    <t>386 PINE RIDGE RD</t>
  </si>
  <si>
    <t>C80000000126</t>
  </si>
  <si>
    <t>OSBORNE JILL</t>
  </si>
  <si>
    <t>113 LAKESIDE CROSSING</t>
  </si>
  <si>
    <t>D9090B0009</t>
  </si>
  <si>
    <t>ROBINSON CHESTER A</t>
  </si>
  <si>
    <t>ROBINSON GERALDINE T</t>
  </si>
  <si>
    <t>126 OLEANDER DR</t>
  </si>
  <si>
    <t>L300000017</t>
  </si>
  <si>
    <t>SHORE BRANDON PHILLIP</t>
  </si>
  <si>
    <t>SHORE CANDACE MORRIS</t>
  </si>
  <si>
    <t>130 EMERALD ISLE CT</t>
  </si>
  <si>
    <t>27292-7775</t>
  </si>
  <si>
    <t>J70000010304</t>
  </si>
  <si>
    <t>SMITH DONALD W</t>
  </si>
  <si>
    <t>SMITH CAROLYN L</t>
  </si>
  <si>
    <t>251 CEDAR GROVE CHURCH ROAD</t>
  </si>
  <si>
    <t>I4060B0020</t>
  </si>
  <si>
    <t>WILLOW POND HOUSING LLC</t>
  </si>
  <si>
    <t>4600 PARK ROAD SUITE 390</t>
  </si>
  <si>
    <t>B10000000701A</t>
  </si>
  <si>
    <t>SMYERS MARK ADAM SR</t>
  </si>
  <si>
    <t>SMYERS KAREN C</t>
  </si>
  <si>
    <t>2697 LIBERTY CHURCH ROAD</t>
  </si>
  <si>
    <t>M60000002807</t>
  </si>
  <si>
    <t>STILLER ROBERT D</t>
  </si>
  <si>
    <t>STILLER MELISSA L</t>
  </si>
  <si>
    <t>195 SADDLEUP TRAIL</t>
  </si>
  <si>
    <t>D8070A0067</t>
  </si>
  <si>
    <t>WILSON JO ANN</t>
  </si>
  <si>
    <t>122 GOLFVIEW DR</t>
  </si>
  <si>
    <t>C40000002901</t>
  </si>
  <si>
    <t>CHEEK VICKIE TRIVETTE</t>
  </si>
  <si>
    <t>129 NORTH PINO ROAD</t>
  </si>
  <si>
    <t>H50000003001</t>
  </si>
  <si>
    <t>SPEARS GARRY KEITH JR</t>
  </si>
  <si>
    <t>156 OAK GROVE CHURCH RD</t>
  </si>
  <si>
    <t>H500000030</t>
  </si>
  <si>
    <t>H3040A0004</t>
  </si>
  <si>
    <t>RUEDA ISMERAI MARCELINO</t>
  </si>
  <si>
    <t>121 HILLSIDE DR</t>
  </si>
  <si>
    <t>27028-4212</t>
  </si>
  <si>
    <t>E900000207</t>
  </si>
  <si>
    <t>TALLEY GREGORY</t>
  </si>
  <si>
    <t>376 KINGSMILL DR</t>
  </si>
  <si>
    <t>D400000014</t>
  </si>
  <si>
    <t>LONG BEATRICE KAY</t>
  </si>
  <si>
    <t>168 MURCHISON ROAD</t>
  </si>
  <si>
    <t>J700000099</t>
  </si>
  <si>
    <t>NIEMANN LINDA JOYCE ETAL</t>
  </si>
  <si>
    <t>149 CANOPY OAK LANE</t>
  </si>
  <si>
    <t>G8010B0004</t>
  </si>
  <si>
    <t>MITCHELL LLOYD KENT JR</t>
  </si>
  <si>
    <t>121 MCDANIEL ROAD</t>
  </si>
  <si>
    <t>I800000006</t>
  </si>
  <si>
    <t>CHURCH JOSHUA GRANT</t>
  </si>
  <si>
    <t>452 LIVENGOOD ROAD</t>
  </si>
  <si>
    <t>I70000009904</t>
  </si>
  <si>
    <t>F100000044</t>
  </si>
  <si>
    <t>CARDWELL JERRY LYNN</t>
  </si>
  <si>
    <t>1714 COUNTY LINE ROAD</t>
  </si>
  <si>
    <t>H5170A0006</t>
  </si>
  <si>
    <t>MYERS BRIAN S</t>
  </si>
  <si>
    <t>MYERS KELLY W</t>
  </si>
  <si>
    <t>123 BLOSSOM HILL COURT</t>
  </si>
  <si>
    <t>E900000542</t>
  </si>
  <si>
    <t>MESIMER KENNETH R</t>
  </si>
  <si>
    <t>MESIMER DEBORAH L</t>
  </si>
  <si>
    <t>173 N HIDDENBROOKE DR</t>
  </si>
  <si>
    <t>J6100B0006</t>
  </si>
  <si>
    <t>J &amp; B LAKE LOUISE LLC</t>
  </si>
  <si>
    <t>177 RESERVE DRIVE</t>
  </si>
  <si>
    <t>I5090D0006</t>
  </si>
  <si>
    <t>I4130E0010</t>
  </si>
  <si>
    <t>I4120D0022</t>
  </si>
  <si>
    <t>I4110A0019</t>
  </si>
  <si>
    <t>J4050E0002</t>
  </si>
  <si>
    <t>ANGLE BROOKE DENAY</t>
  </si>
  <si>
    <t>801 S SALISBURY ST</t>
  </si>
  <si>
    <t>27028-2553</t>
  </si>
  <si>
    <t>H4130A0022</t>
  </si>
  <si>
    <t>BLASHAW AMBER</t>
  </si>
  <si>
    <t>BLASHAW CHRISTOPHER JR</t>
  </si>
  <si>
    <t>179 ELMWOOD STREET</t>
  </si>
  <si>
    <t>H4130A0023</t>
  </si>
  <si>
    <t>SIMS SUSAN MARIE SMOOT</t>
  </si>
  <si>
    <t>187 ELMWOOD STREET</t>
  </si>
  <si>
    <t>J4040C0006</t>
  </si>
  <si>
    <t>HANCOCK ROBERT A</t>
  </si>
  <si>
    <t>HANCOCK AMY M</t>
  </si>
  <si>
    <t>185 W MAPLE AVE</t>
  </si>
  <si>
    <t>27028-2519</t>
  </si>
  <si>
    <t>J5010D0051</t>
  </si>
  <si>
    <t>CIBELLI JASON G</t>
  </si>
  <si>
    <t>CIBELLI CHELSEA E</t>
  </si>
  <si>
    <t>269 CHARLESTON RIDGE DR</t>
  </si>
  <si>
    <t>J600000067</t>
  </si>
  <si>
    <t>BLACKWELL LINDA GAIL</t>
  </si>
  <si>
    <t>2432 US HIGHWAY 64 E</t>
  </si>
  <si>
    <t>F600000010</t>
  </si>
  <si>
    <t>WARD FARM ASSOCIATES LLC</t>
  </si>
  <si>
    <t>% JAMES T WARD</t>
  </si>
  <si>
    <t>E7060A0017</t>
  </si>
  <si>
    <t>SMITH SHERRY SHELTON</t>
  </si>
  <si>
    <t>332 GUN CLUB RD</t>
  </si>
  <si>
    <t>27006-7848</t>
  </si>
  <si>
    <t>J700000013</t>
  </si>
  <si>
    <t>171 MUTTON CREEK LANE</t>
  </si>
  <si>
    <t>BOONE</t>
  </si>
  <si>
    <t>J700000080</t>
  </si>
  <si>
    <t>J70000007704</t>
  </si>
  <si>
    <t>J70000008101</t>
  </si>
  <si>
    <t>J70000007701</t>
  </si>
  <si>
    <t>J70000007705</t>
  </si>
  <si>
    <t>I5060A0013</t>
  </si>
  <si>
    <t>VARNADORE ROBERT</t>
  </si>
  <si>
    <t>251 WHITNEY RD</t>
  </si>
  <si>
    <t>E500000031</t>
  </si>
  <si>
    <t>CAIRNS THOMAS E</t>
  </si>
  <si>
    <t>CAIRNS CINDY R</t>
  </si>
  <si>
    <t>1014 FARMINGTON RD</t>
  </si>
  <si>
    <t>27028-7644</t>
  </si>
  <si>
    <t>H100000014</t>
  </si>
  <si>
    <t>JAY ARLAND LANNY</t>
  </si>
  <si>
    <t>JAY CAROLINE</t>
  </si>
  <si>
    <t>142 HUNTING CREEK LN</t>
  </si>
  <si>
    <t>27028-8301</t>
  </si>
  <si>
    <t>C700000090</t>
  </si>
  <si>
    <t>HALL LANCE</t>
  </si>
  <si>
    <t>HALL SARA</t>
  </si>
  <si>
    <t>230 KERR LN</t>
  </si>
  <si>
    <t>27006-7937</t>
  </si>
  <si>
    <t>H5150B000501</t>
  </si>
  <si>
    <t>ROGERS KATHY H</t>
  </si>
  <si>
    <t>3468 US HIGHWAY 64 W</t>
  </si>
  <si>
    <t>27028-8452</t>
  </si>
  <si>
    <t>I100000026</t>
  </si>
  <si>
    <t>N5010B0004</t>
  </si>
  <si>
    <t>O'NEAL LEON F</t>
  </si>
  <si>
    <t>O'NEAL FRANCES T</t>
  </si>
  <si>
    <t>PO BOX 434</t>
  </si>
  <si>
    <t>K700000024</t>
  </si>
  <si>
    <t>ROLLINS LALITA Y</t>
  </si>
  <si>
    <t>663 CEDAR GROVE CHURCH ROAD</t>
  </si>
  <si>
    <t>E8100C0004</t>
  </si>
  <si>
    <t>JENKINS ELISHA</t>
  </si>
  <si>
    <t>JENKINS DANA F</t>
  </si>
  <si>
    <t>146 BROOKDALE DR</t>
  </si>
  <si>
    <t>C40000003101</t>
  </si>
  <si>
    <t>DOTSON JAMES LEE</t>
  </si>
  <si>
    <t>DOTSON DEVIN MARIE</t>
  </si>
  <si>
    <t>209 N PINO RD</t>
  </si>
  <si>
    <t>27028-4865</t>
  </si>
  <si>
    <t>E900000580</t>
  </si>
  <si>
    <t>BADER WILLIAM L</t>
  </si>
  <si>
    <t>BADER CATHERINE F</t>
  </si>
  <si>
    <t>122 OLD COURSE DR</t>
  </si>
  <si>
    <t>27006-6961</t>
  </si>
  <si>
    <t>G8050A0012</t>
  </si>
  <si>
    <t>HAYDAY INVESTMENTS LLC</t>
  </si>
  <si>
    <t>PO BOX 1749</t>
  </si>
  <si>
    <t>PILOT MTN</t>
  </si>
  <si>
    <t>27041-1749</t>
  </si>
  <si>
    <t>H600000077</t>
  </si>
  <si>
    <t>TESH RANDELL LEE REV TR AGREE</t>
  </si>
  <si>
    <t>TESH RUTH ANN REV TR AGREE</t>
  </si>
  <si>
    <t>329 HEARTHSIDE LN</t>
  </si>
  <si>
    <t>27028-7224</t>
  </si>
  <si>
    <t>G9090A000201</t>
  </si>
  <si>
    <t>HILTON BREMON DANE</t>
  </si>
  <si>
    <t>HILTON LAURA L</t>
  </si>
  <si>
    <t>1721 PEOPLES CREEK RD</t>
  </si>
  <si>
    <t>I1120B0003</t>
  </si>
  <si>
    <t>HARRIS JASON</t>
  </si>
  <si>
    <t>HARRIS JESSICA</t>
  </si>
  <si>
    <t>2487 DAVIE ACADEMY RD</t>
  </si>
  <si>
    <t>H8060A0084</t>
  </si>
  <si>
    <t>BUTCHER STEPHEN GRAY</t>
  </si>
  <si>
    <t>343 COVINGTON DR</t>
  </si>
  <si>
    <t>H20000005301</t>
  </si>
  <si>
    <t>REYNOLDS PATRICIA</t>
  </si>
  <si>
    <t>1630 LAKEFIELD DRIVE</t>
  </si>
  <si>
    <t>J7080B0050</t>
  </si>
  <si>
    <t>AVILA RAMOS TRACY BRYNILDSEN</t>
  </si>
  <si>
    <t>AVILA RAMOS ELDYN EMMANUEL</t>
  </si>
  <si>
    <t>132 OAKSHIRE CT</t>
  </si>
  <si>
    <t>G200000069</t>
  </si>
  <si>
    <t>SONGER WILLIAM LEE II</t>
  </si>
  <si>
    <t>375 CASTLE LN</t>
  </si>
  <si>
    <t>27028-8126</t>
  </si>
  <si>
    <t>G200000068</t>
  </si>
  <si>
    <t>H20000003002</t>
  </si>
  <si>
    <t>GANNON STACY</t>
  </si>
  <si>
    <t>FROST DOUGLAS</t>
  </si>
  <si>
    <t>448 FRED LANIER RD</t>
  </si>
  <si>
    <t>I5120B0014</t>
  </si>
  <si>
    <t>RIEL JESSICA ANN BAILEY</t>
  </si>
  <si>
    <t>RIEL DUSTIN PAUL</t>
  </si>
  <si>
    <t>286 WINDWARD CIRCLE</t>
  </si>
  <si>
    <t>H4130A0121</t>
  </si>
  <si>
    <t>140 GUMTREE CT</t>
  </si>
  <si>
    <t>E900000408</t>
  </si>
  <si>
    <t>COOKE JOSHUA LEWIS</t>
  </si>
  <si>
    <t>COOKE CHELSEA ALLISON</t>
  </si>
  <si>
    <t>559 N HIDDENBROOKE DR</t>
  </si>
  <si>
    <t>C700000015</t>
  </si>
  <si>
    <t>MCBRIDE CHRISTI M</t>
  </si>
  <si>
    <t>1825 YADKIN VALLEY RD</t>
  </si>
  <si>
    <t>I6160A0020</t>
  </si>
  <si>
    <t>REAVIS DEE ANN</t>
  </si>
  <si>
    <t>132 LINDA LN</t>
  </si>
  <si>
    <t>K300000046</t>
  </si>
  <si>
    <t>F50000004303</t>
  </si>
  <si>
    <t>SEATS JOHN H TRUST</t>
  </si>
  <si>
    <t>2809 TROPIC COURT</t>
  </si>
  <si>
    <t>WINTER GARDEN</t>
  </si>
  <si>
    <t>34787-0000</t>
  </si>
  <si>
    <t>H4130A0082</t>
  </si>
  <si>
    <t>HENRY JAMES REA</t>
  </si>
  <si>
    <t>173 COLONIAL LANE</t>
  </si>
  <si>
    <t>H3010A0004</t>
  </si>
  <si>
    <t>ANGELL ISRAEL JAMES</t>
  </si>
  <si>
    <t>127 GOODWILL HEIGHTS PL</t>
  </si>
  <si>
    <t>J5010D0070</t>
  </si>
  <si>
    <t>WILLIAMS JESSICA</t>
  </si>
  <si>
    <t>229 WINDING CREEK RD</t>
  </si>
  <si>
    <t>D8070A0003</t>
  </si>
  <si>
    <t>LEVINGS GEORGE EDWARD IV</t>
  </si>
  <si>
    <t>LEVINGS FRANCESCA AGNOLI</t>
  </si>
  <si>
    <t>264 BERMUDA RUN DRIVE</t>
  </si>
  <si>
    <t>E900000281</t>
  </si>
  <si>
    <t>DEADWYLER JEFFREY</t>
  </si>
  <si>
    <t>DEADWYLER HEATHER</t>
  </si>
  <si>
    <t>106 SAWGRASS DR</t>
  </si>
  <si>
    <t>27006-7583</t>
  </si>
  <si>
    <t>G9090B0059</t>
  </si>
  <si>
    <t>MCCRAY JASON W</t>
  </si>
  <si>
    <t>276 OLD MARCH RD</t>
  </si>
  <si>
    <t>J700000067</t>
  </si>
  <si>
    <t>OSBORNE CHARLES</t>
  </si>
  <si>
    <t>OSBORNE EMILY</t>
  </si>
  <si>
    <t>2787 US HWY 64 E</t>
  </si>
  <si>
    <t>D9090E0015</t>
  </si>
  <si>
    <t>A R VENTURES</t>
  </si>
  <si>
    <t>4007-A COUNTRY CLUB ROAD</t>
  </si>
  <si>
    <t>J5010D0050</t>
  </si>
  <si>
    <t>MCHONE DEREK M</t>
  </si>
  <si>
    <t>MCHONE KAREN L</t>
  </si>
  <si>
    <t>259 CHARLESTON RIDGE DR</t>
  </si>
  <si>
    <t>L500000104</t>
  </si>
  <si>
    <t>JEFFREY WILLIAM</t>
  </si>
  <si>
    <t>JEFFREY MARY</t>
  </si>
  <si>
    <t>2389 US HIGHWAY 601 S</t>
  </si>
  <si>
    <t>D9090E0017</t>
  </si>
  <si>
    <t>I6160A0017</t>
  </si>
  <si>
    <t>CARTER ANDREW R</t>
  </si>
  <si>
    <t>CARTER KELSEY T</t>
  </si>
  <si>
    <t>159 LINDA LN</t>
  </si>
  <si>
    <t>M40000003805</t>
  </si>
  <si>
    <t>MILAM CLARISSA M</t>
  </si>
  <si>
    <t>E60000002406</t>
  </si>
  <si>
    <t>SNYDER MICHAEL JAMES</t>
  </si>
  <si>
    <t>SNYDER NICHOLE LEANN</t>
  </si>
  <si>
    <t>153 FERN HAVEN LN</t>
  </si>
  <si>
    <t>D700000017</t>
  </si>
  <si>
    <t>STONE JORDAN L</t>
  </si>
  <si>
    <t>STONE BRANDI M</t>
  </si>
  <si>
    <t>209 GORDON DR</t>
  </si>
  <si>
    <t>J5010C0016</t>
  </si>
  <si>
    <t>NASH MELVIN</t>
  </si>
  <si>
    <t>484 GUN CLUB RD</t>
  </si>
  <si>
    <t>27006-7849</t>
  </si>
  <si>
    <t>F600000066</t>
  </si>
  <si>
    <t>HAMM WANDA GAIL</t>
  </si>
  <si>
    <t>6417 VALLEY STREAM CT</t>
  </si>
  <si>
    <t>G3040A0004</t>
  </si>
  <si>
    <t>NAVARRO ARCADIA</t>
  </si>
  <si>
    <t>117 CARAVAN LANE</t>
  </si>
  <si>
    <t>D70000000601</t>
  </si>
  <si>
    <t>DAVIS MAC</t>
  </si>
  <si>
    <t>DAVIS JESSICA</t>
  </si>
  <si>
    <t>119 HILTON RD</t>
  </si>
  <si>
    <t>I70000004904</t>
  </si>
  <si>
    <t>GRIFFIN ROGER L</t>
  </si>
  <si>
    <t>1195 WILLIAMS ROAD</t>
  </si>
  <si>
    <t>D7010A0017</t>
  </si>
  <si>
    <t>MCNIVEN MICHAEL SHAWN</t>
  </si>
  <si>
    <t>MCNIVEN DAWN RENEE</t>
  </si>
  <si>
    <t>210 LITTLE JOHN DR</t>
  </si>
  <si>
    <t>H50000001504</t>
  </si>
  <si>
    <t>CHILDERS MARK E</t>
  </si>
  <si>
    <t>CHILDERS JODY L</t>
  </si>
  <si>
    <t>120 FARMLAND RD</t>
  </si>
  <si>
    <t>27028-4145</t>
  </si>
  <si>
    <t>C600000103</t>
  </si>
  <si>
    <t>FOSTER KAY SMITH</t>
  </si>
  <si>
    <t>27006-6763</t>
  </si>
  <si>
    <t>C600000104</t>
  </si>
  <si>
    <t>C30000004105</t>
  </si>
  <si>
    <t>OAKES LUWONNA E</t>
  </si>
  <si>
    <t>4681 US HIGHWAY 601 N</t>
  </si>
  <si>
    <t>F3010A0012</t>
  </si>
  <si>
    <t>YEZBAK GEORGE D E</t>
  </si>
  <si>
    <t>YEZBAK SANDRA</t>
  </si>
  <si>
    <t>152 CITADEL RD</t>
  </si>
  <si>
    <t>E900000563</t>
  </si>
  <si>
    <t>LUNDE GRANT O</t>
  </si>
  <si>
    <t>LUNDE ALICIA J</t>
  </si>
  <si>
    <t>160 ARNOLD PALMER DR</t>
  </si>
  <si>
    <t>D60000007701</t>
  </si>
  <si>
    <t>BOONE MICHAEL</t>
  </si>
  <si>
    <t>BOONE KATHERINE DANIELLE</t>
  </si>
  <si>
    <t>388 SPEAKS RD</t>
  </si>
  <si>
    <t>D60000002103</t>
  </si>
  <si>
    <t>I50000005302</t>
  </si>
  <si>
    <t>ANGUS MARK THOMAS</t>
  </si>
  <si>
    <t>ANGUS ROSZINA W</t>
  </si>
  <si>
    <t>234 Pete Foster Road</t>
  </si>
  <si>
    <t>E900000362</t>
  </si>
  <si>
    <t>SEIVERS JOHN C</t>
  </si>
  <si>
    <t>SEIVERS CATHERINE K</t>
  </si>
  <si>
    <t>106 BROADMOOR DR</t>
  </si>
  <si>
    <t>H9080A0021</t>
  </si>
  <si>
    <t>MCLEAN SCOTT A</t>
  </si>
  <si>
    <t>MCLEAN SHAWN MARIE</t>
  </si>
  <si>
    <t>125 E ROLLINGMEADOW RD</t>
  </si>
  <si>
    <t>27006-7562</t>
  </si>
  <si>
    <t>J20000003801</t>
  </si>
  <si>
    <t>BOYCE CINDY H</t>
  </si>
  <si>
    <t>FRY CATHRINE E</t>
  </si>
  <si>
    <t>230 PINE FOREST LN</t>
  </si>
  <si>
    <t>27028-8318</t>
  </si>
  <si>
    <t>I5070C000901</t>
  </si>
  <si>
    <t>BUBBA &amp; STEVE HOLDINGS LLC</t>
  </si>
  <si>
    <t>P.O BOX 444</t>
  </si>
  <si>
    <t>K5110A0002</t>
  </si>
  <si>
    <t>KOONTZ BRANDON S</t>
  </si>
  <si>
    <t>KOONTZ CHELSEA M</t>
  </si>
  <si>
    <t>486 DEADMON RD</t>
  </si>
  <si>
    <t>J800000041</t>
  </si>
  <si>
    <t>MCADAMS WILLIAM</t>
  </si>
  <si>
    <t>MCADAMS AMBER JONES</t>
  </si>
  <si>
    <t>180 TADPOLE TRL</t>
  </si>
  <si>
    <t>27006-7051</t>
  </si>
  <si>
    <t>J5010B0004</t>
  </si>
  <si>
    <t>FELIX ALFONSO</t>
  </si>
  <si>
    <t>FELIX SANDRA</t>
  </si>
  <si>
    <t>541 E DEPOT ST</t>
  </si>
  <si>
    <t>C700000008</t>
  </si>
  <si>
    <t>SLATER CLINTON GRAY</t>
  </si>
  <si>
    <t>SLATER ASHLEY MICHELE</t>
  </si>
  <si>
    <t>1731 YADKIN VALLEY RD</t>
  </si>
  <si>
    <t>I5170C0022</t>
  </si>
  <si>
    <t>MCGUIRE WILLIAM L</t>
  </si>
  <si>
    <t>MCGUIRE JUDITH C</t>
  </si>
  <si>
    <t>130 MILLWRIGHT COURT</t>
  </si>
  <si>
    <t>H80000004401</t>
  </si>
  <si>
    <t>BARNES STEPHEN T</t>
  </si>
  <si>
    <t>BARNES TRACY</t>
  </si>
  <si>
    <t>822 BAILEYS CHAPEL RD</t>
  </si>
  <si>
    <t>H80000005102</t>
  </si>
  <si>
    <t>BARNES STEPHEN TIMOTHY</t>
  </si>
  <si>
    <t>F40000003801</t>
  </si>
  <si>
    <t>LINDSEY KYLE WILLIAM</t>
  </si>
  <si>
    <t>LINDSEY CHRISTAL ELIZABETH ANN</t>
  </si>
  <si>
    <t>166 NEBBS TRL</t>
  </si>
  <si>
    <t>27028-4180</t>
  </si>
  <si>
    <t>K50000006603</t>
  </si>
  <si>
    <t>MOXLEY RYAN M</t>
  </si>
  <si>
    <t>144 HOOSE LN</t>
  </si>
  <si>
    <t>27028-5309</t>
  </si>
  <si>
    <t>G600000056</t>
  </si>
  <si>
    <t>JIMENEZ JOSE</t>
  </si>
  <si>
    <t>112 JIMENEZ FARM LN</t>
  </si>
  <si>
    <t>27028-7380</t>
  </si>
  <si>
    <t>B60000001802</t>
  </si>
  <si>
    <t>GIFF JOANNE STONE</t>
  </si>
  <si>
    <t>266 DEERFIELD DR</t>
  </si>
  <si>
    <t>27028-7629</t>
  </si>
  <si>
    <t>B60000001809</t>
  </si>
  <si>
    <t>H500000206</t>
  </si>
  <si>
    <t>SADLER CHARLES</t>
  </si>
  <si>
    <t>SADLER ANGIE</t>
  </si>
  <si>
    <t>264 FARMLAND RD</t>
  </si>
  <si>
    <t>D8020B0006</t>
  </si>
  <si>
    <t>MOORE-ONSOMU DAKYSHA</t>
  </si>
  <si>
    <t>ONSOMU ELIJAH O</t>
  </si>
  <si>
    <t>256 BERMUDA RUN DR</t>
  </si>
  <si>
    <t>C7140B0010</t>
  </si>
  <si>
    <t>CARPENTER RICHARD BRADLEY</t>
  </si>
  <si>
    <t>CARPENTER KATHARINE ELIZABETH</t>
  </si>
  <si>
    <t>133 CREEKWOOD DR</t>
  </si>
  <si>
    <t>H8060A0053</t>
  </si>
  <si>
    <t>WARREN TONY ALLEN</t>
  </si>
  <si>
    <t>WARREN CALLIE EDWARDS</t>
  </si>
  <si>
    <t>199 COVINGTON DR</t>
  </si>
  <si>
    <t>J600000044</t>
  </si>
  <si>
    <t>ROWE PAMELA ANNETTE</t>
  </si>
  <si>
    <t>218 GARWOOD RD</t>
  </si>
  <si>
    <t>D30000005103</t>
  </si>
  <si>
    <t>DOBY BILLY L</t>
  </si>
  <si>
    <t>DOBY BETTY JEAN</t>
  </si>
  <si>
    <t>1076 EATONS CHURCH RD</t>
  </si>
  <si>
    <t>G400000036</t>
  </si>
  <si>
    <t>NAYLOR BETTY I ETAL</t>
  </si>
  <si>
    <t>NAYLOR JERRY MICHAEL</t>
  </si>
  <si>
    <t>179 COLONIAL LANE</t>
  </si>
  <si>
    <t>27028-5722</t>
  </si>
  <si>
    <t>J10000002912</t>
  </si>
  <si>
    <t>BELCHER SUSAN R</t>
  </si>
  <si>
    <t>737 CRESCENT DR</t>
  </si>
  <si>
    <t>27028-8158</t>
  </si>
  <si>
    <t>H600000076</t>
  </si>
  <si>
    <t>REVELS TIMOTHY J</t>
  </si>
  <si>
    <t>REVELS JANET L</t>
  </si>
  <si>
    <t>281 HEARTHSIDE LANE</t>
  </si>
  <si>
    <t>K50000003001</t>
  </si>
  <si>
    <t>MCDANIEL JANICE J ETAL</t>
  </si>
  <si>
    <t>% DORCAS BROGDON</t>
  </si>
  <si>
    <t>J4050C0017</t>
  </si>
  <si>
    <t>BURCH BOBBY RAY JR</t>
  </si>
  <si>
    <t>BURCH LASHONDA CHANAE</t>
  </si>
  <si>
    <t>173 HARDING ST</t>
  </si>
  <si>
    <t>G8050A0018</t>
  </si>
  <si>
    <t>RT 3 INVESTMENTS LLC</t>
  </si>
  <si>
    <t>H600000083</t>
  </si>
  <si>
    <t>TODD APRIL GORDON</t>
  </si>
  <si>
    <t>TODD WILLIAM DOUGLAS</t>
  </si>
  <si>
    <t>206 JAMESTOWNE DR</t>
  </si>
  <si>
    <t>D7010A0008</t>
  </si>
  <si>
    <t>ADAMS TAMI G</t>
  </si>
  <si>
    <t>ADAMS FRANK MOORE</t>
  </si>
  <si>
    <t>175 LITTLE JOHN DR</t>
  </si>
  <si>
    <t>L5090A0014</t>
  </si>
  <si>
    <t>VOGLER CYNTHIA ELLIS</t>
  </si>
  <si>
    <t>194 OVERLOOK DR</t>
  </si>
  <si>
    <t>K3120A0013</t>
  </si>
  <si>
    <t>ADAMES LUIS GERARDO</t>
  </si>
  <si>
    <t>130 WILLOW LN</t>
  </si>
  <si>
    <t>C8030A000501</t>
  </si>
  <si>
    <t>FORREST ALVIS E</t>
  </si>
  <si>
    <t>CARR NIKIA N</t>
  </si>
  <si>
    <t>131 CEDARPARK DR</t>
  </si>
  <si>
    <t>27006-7363</t>
  </si>
  <si>
    <t>J600000058</t>
  </si>
  <si>
    <t>HENDRIX HOMER EUGENE ETAL</t>
  </si>
  <si>
    <t>HENDRIX ARNOLD GRAY</t>
  </si>
  <si>
    <t>105 COVENANT COVE DR</t>
  </si>
  <si>
    <t>C600000120</t>
  </si>
  <si>
    <t>ALEXANDER BETTY B</t>
  </si>
  <si>
    <t>1630 YADKIN VALLEY RD</t>
  </si>
  <si>
    <t>C8030B0017</t>
  </si>
  <si>
    <t>RESSA CHERYL N</t>
  </si>
  <si>
    <t>228 BEECHWOOD DR</t>
  </si>
  <si>
    <t>J10000002906</t>
  </si>
  <si>
    <t>STROUD JAMES LEE</t>
  </si>
  <si>
    <t>WALBAUM RICHARD KENT JR</t>
  </si>
  <si>
    <t>686 CRESCENT DR</t>
  </si>
  <si>
    <t>G600000076</t>
  </si>
  <si>
    <t>THOMAS PAUL MATTHEW TYLER</t>
  </si>
  <si>
    <t>1023 DULIN RD</t>
  </si>
  <si>
    <t>G9100A0015</t>
  </si>
  <si>
    <t>LARSON MICHELLE LEES</t>
  </si>
  <si>
    <t>LARSON EMMONS O JR</t>
  </si>
  <si>
    <t>157 TULIP MAGNOLIA DR</t>
  </si>
  <si>
    <t>E8100A0002</t>
  </si>
  <si>
    <t>WILLIAMS THOMAS CURTIS JR</t>
  </si>
  <si>
    <t>WILLIAMS KATHLEEN P</t>
  </si>
  <si>
    <t>809 NC HIGHWAY 801 S</t>
  </si>
  <si>
    <t>G8050B0019</t>
  </si>
  <si>
    <t>G8050B0010</t>
  </si>
  <si>
    <t>G8050B0016</t>
  </si>
  <si>
    <t>G8050A0016</t>
  </si>
  <si>
    <t>D300000026</t>
  </si>
  <si>
    <t>HUDSON VINCENT ANDREW</t>
  </si>
  <si>
    <t>304 ELMORE RD</t>
  </si>
  <si>
    <t>27028-4745</t>
  </si>
  <si>
    <t>C70000004301</t>
  </si>
  <si>
    <t>SMITH JOHN P</t>
  </si>
  <si>
    <t>800 REDLAND RD</t>
  </si>
  <si>
    <t>G8050A0017</t>
  </si>
  <si>
    <t>I600000005</t>
  </si>
  <si>
    <t>MICHAEL JAMES R</t>
  </si>
  <si>
    <t>MICHAEL KIMBERLY A</t>
  </si>
  <si>
    <t>1016 CORNATZER ROAD</t>
  </si>
  <si>
    <t>I4050A0019</t>
  </si>
  <si>
    <t>AMMERMAN JOHN DENNIS</t>
  </si>
  <si>
    <t>AMMERMAN ISABEL MARIA</t>
  </si>
  <si>
    <t>249 MAGNOLIA AVE</t>
  </si>
  <si>
    <t>F60000011201</t>
  </si>
  <si>
    <t>DRAMAN GRACE</t>
  </si>
  <si>
    <t>452 HOWARDTOWN CIR</t>
  </si>
  <si>
    <t>B20000000101</t>
  </si>
  <si>
    <t>BECK ROBIN MICHELLE</t>
  </si>
  <si>
    <t>BECK DAVID WAYNE</t>
  </si>
  <si>
    <t>144 OLLIE HARKEY RD</t>
  </si>
  <si>
    <t>D8100D0002</t>
  </si>
  <si>
    <t>WINFREY STEPHANIE A</t>
  </si>
  <si>
    <t>630 RIVERBEND DR</t>
  </si>
  <si>
    <t>F800000058</t>
  </si>
  <si>
    <t>VOGLER CAMILLA ORRELL</t>
  </si>
  <si>
    <t>701 MIMOSA DR</t>
  </si>
  <si>
    <t>VASS</t>
  </si>
  <si>
    <t>C70000003301</t>
  </si>
  <si>
    <t>SMITH PAMELA W</t>
  </si>
  <si>
    <t>752 REDLAND ROAD</t>
  </si>
  <si>
    <t>C700000038  A</t>
  </si>
  <si>
    <t>C8010A0406</t>
  </si>
  <si>
    <t>NASRALLAH LATIFA</t>
  </si>
  <si>
    <t>20207 PRAXIS WAY</t>
  </si>
  <si>
    <t>H900000053</t>
  </si>
  <si>
    <t>E600000046</t>
  </si>
  <si>
    <t>BROWN KENNETH L</t>
  </si>
  <si>
    <t>434 LIVINGSTON ROAD</t>
  </si>
  <si>
    <t>D700000113</t>
  </si>
  <si>
    <t>J5010D0039</t>
  </si>
  <si>
    <t>GOODWIN MACKENZIE</t>
  </si>
  <si>
    <t>115 CLOISTER DR</t>
  </si>
  <si>
    <t>D50000012701</t>
  </si>
  <si>
    <t>MARTIN LESTER P III</t>
  </si>
  <si>
    <t>33139-0000</t>
  </si>
  <si>
    <t>D600000001</t>
  </si>
  <si>
    <t>C7070A0001</t>
  </si>
  <si>
    <t>CHAPMAN JEFFREY</t>
  </si>
  <si>
    <t>191 NORMA LN</t>
  </si>
  <si>
    <t>L50000001406</t>
  </si>
  <si>
    <t>THIES LARRY I</t>
  </si>
  <si>
    <t>THIES BETTY R</t>
  </si>
  <si>
    <t>433 GLADSTONE ROAD</t>
  </si>
  <si>
    <t>E8110C0019</t>
  </si>
  <si>
    <t>DODSON CLIFTON H</t>
  </si>
  <si>
    <t>DODSON ANITA A</t>
  </si>
  <si>
    <t>224 WESTRIDGE RD</t>
  </si>
  <si>
    <t>H6080A000105</t>
  </si>
  <si>
    <t>BOWMAN MARTIN K</t>
  </si>
  <si>
    <t>BOWMAN ELIZABETH</t>
  </si>
  <si>
    <t>124 PENNINGTON DOWELL LN</t>
  </si>
  <si>
    <t>27028-4314</t>
  </si>
  <si>
    <t>I500000029</t>
  </si>
  <si>
    <t>POTTS CHARLES RICHARD</t>
  </si>
  <si>
    <t>1064 MILLING RD</t>
  </si>
  <si>
    <t>27028-2866</t>
  </si>
  <si>
    <t>F4010A0006</t>
  </si>
  <si>
    <t>BRIDGES DAVID W SR</t>
  </si>
  <si>
    <t>BRIDGES JOAN H</t>
  </si>
  <si>
    <t>194 SUMMERLYN DR</t>
  </si>
  <si>
    <t>G3020A0001</t>
  </si>
  <si>
    <t>HACKER HARRY O III</t>
  </si>
  <si>
    <t>HACKER TANYA M</t>
  </si>
  <si>
    <t>2370 US HIGHWAY 601 N</t>
  </si>
  <si>
    <t>D500000099</t>
  </si>
  <si>
    <t>L500000015</t>
  </si>
  <si>
    <t>M5060A0001</t>
  </si>
  <si>
    <t>HOBSON W H HEIRS</t>
  </si>
  <si>
    <t>1113 NORTH CEDAR STREET</t>
  </si>
  <si>
    <t>GLENDALE</t>
  </si>
  <si>
    <t>91207-0000</t>
  </si>
  <si>
    <t>D70000017903</t>
  </si>
  <si>
    <t>ELDRETH TONY</t>
  </si>
  <si>
    <t>ELDRETH MARY SUE</t>
  </si>
  <si>
    <t>4879 US HIGHWAY 158</t>
  </si>
  <si>
    <t>27006-6901</t>
  </si>
  <si>
    <t>D700000180</t>
  </si>
  <si>
    <t>D8070A0069</t>
  </si>
  <si>
    <t>LAROWE GILBERT L</t>
  </si>
  <si>
    <t>118 GOLFVIEW DR</t>
  </si>
  <si>
    <t>27006-9558</t>
  </si>
  <si>
    <t>M5060A000101</t>
  </si>
  <si>
    <t>B300000059</t>
  </si>
  <si>
    <t>BURGESS LINDA K. ETAL</t>
  </si>
  <si>
    <t>C8010A0042</t>
  </si>
  <si>
    <t>NOLTING MARGARET J</t>
  </si>
  <si>
    <t>206 TOWN PARK DR</t>
  </si>
  <si>
    <t>C8010A0261</t>
  </si>
  <si>
    <t>SOMERS AARON</t>
  </si>
  <si>
    <t>SOMERS ASHLEY NESON</t>
  </si>
  <si>
    <t>135 N FIELD DR</t>
  </si>
  <si>
    <t>C30000013602</t>
  </si>
  <si>
    <t>PRUITT TOMMY RAY</t>
  </si>
  <si>
    <t>966 HOWELL RD</t>
  </si>
  <si>
    <t>27028-4818</t>
  </si>
  <si>
    <t>N60000004110</t>
  </si>
  <si>
    <t>LUNCEFORD DOLPHUS JAMES</t>
  </si>
  <si>
    <t>EALY AMANDA</t>
  </si>
  <si>
    <t>154 BOXWOOD CHURCH RD</t>
  </si>
  <si>
    <t>F100000041</t>
  </si>
  <si>
    <t>THROCKMORTON BRANDON LEVI</t>
  </si>
  <si>
    <t>171 GUY GAITHER ROAD</t>
  </si>
  <si>
    <t>K5060A0019</t>
  </si>
  <si>
    <t>BUGAJSKI KRISTINE</t>
  </si>
  <si>
    <t>BUGAJSKI RAFEL TOMASZ</t>
  </si>
  <si>
    <t>129 W CHINABERRY CT</t>
  </si>
  <si>
    <t>27028-5174</t>
  </si>
  <si>
    <t>B300000034</t>
  </si>
  <si>
    <t>WILKINS ERIC LEE</t>
  </si>
  <si>
    <t>WILKINS DEANA G</t>
  </si>
  <si>
    <t>5060 US HIGHWAY 601 N</t>
  </si>
  <si>
    <t>C30000000301</t>
  </si>
  <si>
    <t>B30000003405</t>
  </si>
  <si>
    <t>E900000237</t>
  </si>
  <si>
    <t>VELLUCCI RICHARD A</t>
  </si>
  <si>
    <t>VELLUCCI KAREN W</t>
  </si>
  <si>
    <t>116 KINGSMILL PL</t>
  </si>
  <si>
    <t>C8010B0387</t>
  </si>
  <si>
    <t>ELLIS MATTHEW R</t>
  </si>
  <si>
    <t>ELLIS-SHERRILL KIMBERLY LYNN</t>
  </si>
  <si>
    <t>129 GLENMOOR AVE</t>
  </si>
  <si>
    <t>27006-8646</t>
  </si>
  <si>
    <t>G8140A0063</t>
  </si>
  <si>
    <t>ALSTON DESMOND</t>
  </si>
  <si>
    <t>ALSTON TERRIE E</t>
  </si>
  <si>
    <t>167 SPRUCEWOOD CT</t>
  </si>
  <si>
    <t>J50000003502</t>
  </si>
  <si>
    <t>BRAKEBUSH BROTHERS INC</t>
  </si>
  <si>
    <t>N4993 6TH STREET</t>
  </si>
  <si>
    <t>WESTFIELD</t>
  </si>
  <si>
    <t>WI</t>
  </si>
  <si>
    <t>53964-9511</t>
  </si>
  <si>
    <t>J50000003506</t>
  </si>
  <si>
    <t>I4010A0019</t>
  </si>
  <si>
    <t>RESSA NICHOLAS</t>
  </si>
  <si>
    <t>223 N WENTWORTH DR</t>
  </si>
  <si>
    <t>L600000038</t>
  </si>
  <si>
    <t>CROTTS JOSEPH DANIEL</t>
  </si>
  <si>
    <t>CROTTS APRIL NAYLOR</t>
  </si>
  <si>
    <t>1571 DEADMON ROAD</t>
  </si>
  <si>
    <t>D8020A0011</t>
  </si>
  <si>
    <t>NEISINGER ANTHONY C</t>
  </si>
  <si>
    <t>NEISINGER GLORIA J</t>
  </si>
  <si>
    <t>229 IVY CR</t>
  </si>
  <si>
    <t>H500000015</t>
  </si>
  <si>
    <t>CLONTZ BARBARA P ETAL</t>
  </si>
  <si>
    <t>1141 COUNTRY LN</t>
  </si>
  <si>
    <t>27028-4722</t>
  </si>
  <si>
    <t>H4180A0008</t>
  </si>
  <si>
    <t>O'REILLY JOHN P</t>
  </si>
  <si>
    <t>O'REILLY KATHLEEN A</t>
  </si>
  <si>
    <t>130 STERLING DR</t>
  </si>
  <si>
    <t>27028-1918</t>
  </si>
  <si>
    <t>J5010D0002</t>
  </si>
  <si>
    <t>NIEVES GERARDO</t>
  </si>
  <si>
    <t>CLEMENT-NIEVES NIKITA</t>
  </si>
  <si>
    <t>116 CHARLESTON RIDGE DR</t>
  </si>
  <si>
    <t>J40000005205</t>
  </si>
  <si>
    <t>BRADLEY LISA M</t>
  </si>
  <si>
    <t>BAKER DONALD R</t>
  </si>
  <si>
    <t>PO BOX 4</t>
  </si>
  <si>
    <t>J40000003101</t>
  </si>
  <si>
    <t>PIEDMONT NATURAL GAS CO INC</t>
  </si>
  <si>
    <t>ATTN: COOPER MONROE</t>
  </si>
  <si>
    <t>550 S. TRYON STREET (DEC 41B)</t>
  </si>
  <si>
    <t>M400000073</t>
  </si>
  <si>
    <t>D50000005302</t>
  </si>
  <si>
    <t>SUGG JULIE L</t>
  </si>
  <si>
    <t>SUGG JOSIAH OWEN IV</t>
  </si>
  <si>
    <t>444 PUDDING RIDGE RD</t>
  </si>
  <si>
    <t>C8010A0257</t>
  </si>
  <si>
    <t>STOKES BILLY J</t>
  </si>
  <si>
    <t>STOKES JENNIFER LYNN</t>
  </si>
  <si>
    <t>151 N FIELD DR</t>
  </si>
  <si>
    <t>E900000294</t>
  </si>
  <si>
    <t>NYGUYEN HOANG K</t>
  </si>
  <si>
    <t>HILL HOLLY S</t>
  </si>
  <si>
    <t>123 SAWGRASS DR</t>
  </si>
  <si>
    <t>M60000001503</t>
  </si>
  <si>
    <t>LEWIS ALISON</t>
  </si>
  <si>
    <t>3097 US HIGHWAY 601 S</t>
  </si>
  <si>
    <t>27028-6914</t>
  </si>
  <si>
    <t>E50000003002</t>
  </si>
  <si>
    <t>DARA REALTY LLC</t>
  </si>
  <si>
    <t>928 FARMINGTON RD</t>
  </si>
  <si>
    <t>F60000009606</t>
  </si>
  <si>
    <t>HUNOLT JANET</t>
  </si>
  <si>
    <t>872 HOWARDTOWN CIR</t>
  </si>
  <si>
    <t>I4110B0009</t>
  </si>
  <si>
    <t>LANKFORD ANGELA</t>
  </si>
  <si>
    <t>598 WILKESBORO ST</t>
  </si>
  <si>
    <t>27028-2032</t>
  </si>
  <si>
    <t>E5020A0010</t>
  </si>
  <si>
    <t>MCCANN JEDIDIAH I</t>
  </si>
  <si>
    <t>MCCANN JADE E</t>
  </si>
  <si>
    <t>320 CORNWALLIS DR</t>
  </si>
  <si>
    <t>D9010A0001</t>
  </si>
  <si>
    <t>CHRISTIE BRANDON N</t>
  </si>
  <si>
    <t>CHRISTIE KELLY R</t>
  </si>
  <si>
    <t>101 PEMBROOKE RIDGE CT</t>
  </si>
  <si>
    <t>C600000080</t>
  </si>
  <si>
    <t>JOHNSON KATHERINE DIANE</t>
  </si>
  <si>
    <t>1311 NC HIGHWAY 801 N</t>
  </si>
  <si>
    <t>27006-6702</t>
  </si>
  <si>
    <t>G200000078</t>
  </si>
  <si>
    <t>DANCY TIMOTHY EUGENE</t>
  </si>
  <si>
    <t>208 VICTORY LN</t>
  </si>
  <si>
    <t>J40000005302</t>
  </si>
  <si>
    <t>BURGDOFER JERRY E</t>
  </si>
  <si>
    <t>BURGDOFFER BETTE H</t>
  </si>
  <si>
    <t>PO BOX 5064</t>
  </si>
  <si>
    <t>MOORSVILLE</t>
  </si>
  <si>
    <t>I4120D0034</t>
  </si>
  <si>
    <t>HENDRICKS RICHARD P</t>
  </si>
  <si>
    <t>HENDRICKS CAROL D</t>
  </si>
  <si>
    <t>424 PARK AVE</t>
  </si>
  <si>
    <t>27028-2146</t>
  </si>
  <si>
    <t>I5050B0021</t>
  </si>
  <si>
    <t>THOMAS EMILY ANNA</t>
  </si>
  <si>
    <t>571 WHITNEY RD</t>
  </si>
  <si>
    <t>I5010C0022</t>
  </si>
  <si>
    <t>CASTILLO ARTEMIA RAYO</t>
  </si>
  <si>
    <t>300 MARTIN LUTHER KING JR RD</t>
  </si>
  <si>
    <t>27028-7781</t>
  </si>
  <si>
    <t>E9150B0063</t>
  </si>
  <si>
    <t>NELMS JOHN ANDERSON</t>
  </si>
  <si>
    <t>NELMS DEBORAH J</t>
  </si>
  <si>
    <t>222 ORCHARD PARK DR</t>
  </si>
  <si>
    <t>H4130A0048</t>
  </si>
  <si>
    <t>STURDIVANT KELLY LYNN</t>
  </si>
  <si>
    <t>120 ASH DR</t>
  </si>
  <si>
    <t>F80000005201</t>
  </si>
  <si>
    <t>SMITH JAMES R</t>
  </si>
  <si>
    <t>SMITH PATRICIA W</t>
  </si>
  <si>
    <t>170 HILLCREST DRIVE</t>
  </si>
  <si>
    <t>27006-7606</t>
  </si>
  <si>
    <t>H900000016</t>
  </si>
  <si>
    <t>CROWLEY JASON L</t>
  </si>
  <si>
    <t>CROWLEY CHRISTINA M</t>
  </si>
  <si>
    <t>772 PEOPLES CREEK ROAD</t>
  </si>
  <si>
    <t>C300000013</t>
  </si>
  <si>
    <t>WEIR PEGGY</t>
  </si>
  <si>
    <t>4464 NC HIGHWAY 801 N</t>
  </si>
  <si>
    <t>27028-6237</t>
  </si>
  <si>
    <t>C300000027</t>
  </si>
  <si>
    <t>E900000620</t>
  </si>
  <si>
    <t>JACKSON MARY FOSTER</t>
  </si>
  <si>
    <t>104 S NIBLICK CT</t>
  </si>
  <si>
    <t>L4050A0006</t>
  </si>
  <si>
    <t>BAILEY TONY RAY</t>
  </si>
  <si>
    <t>122 HUFFMAN RD</t>
  </si>
  <si>
    <t>27028-5366</t>
  </si>
  <si>
    <t>K50000002001</t>
  </si>
  <si>
    <t>THORNTON SCOTT J</t>
  </si>
  <si>
    <t>THORNTON NYDIA L</t>
  </si>
  <si>
    <t>415 DEADMON RD</t>
  </si>
  <si>
    <t>J60000005411</t>
  </si>
  <si>
    <t>FREEDOM BAPTIST CHURCH</t>
  </si>
  <si>
    <t>118 Cornatzer Road</t>
  </si>
  <si>
    <t>M5100C0004  A</t>
  </si>
  <si>
    <t>SEAMON CURTIS D</t>
  </si>
  <si>
    <t>SEAMON CAROLYN D</t>
  </si>
  <si>
    <t>PO BOX 571</t>
  </si>
  <si>
    <t>27014-0571</t>
  </si>
  <si>
    <t>C300000128</t>
  </si>
  <si>
    <t>GRAHAM DAVID A</t>
  </si>
  <si>
    <t>GRAHAM CAROL S</t>
  </si>
  <si>
    <t>938 HOWELL ROAD</t>
  </si>
  <si>
    <t>H2050A0009</t>
  </si>
  <si>
    <t>DAYWALT ARTHUR ROY</t>
  </si>
  <si>
    <t>DAYWALT JANE B</t>
  </si>
  <si>
    <t>132 CENTER CIRCLE</t>
  </si>
  <si>
    <t>K30000000309</t>
  </si>
  <si>
    <t>GRIFFIN JASON L</t>
  </si>
  <si>
    <t>455 MR HENRY ROAD</t>
  </si>
  <si>
    <t>G700000124</t>
  </si>
  <si>
    <t>COCKERHAM LUCILLE</t>
  </si>
  <si>
    <t>227 BARNEY RD</t>
  </si>
  <si>
    <t>27006-7189</t>
  </si>
  <si>
    <t>F80000003301</t>
  </si>
  <si>
    <t>MOCK ALAN G</t>
  </si>
  <si>
    <t>MOCK HELEN S</t>
  </si>
  <si>
    <t>121 G W MOCK WY</t>
  </si>
  <si>
    <t>E9150B0038</t>
  </si>
  <si>
    <t>ISENHOUR STEPHEN L</t>
  </si>
  <si>
    <t>ISENHOUR PEGGY PLYLER</t>
  </si>
  <si>
    <t>140 SYCAMORE RIDGE DR</t>
  </si>
  <si>
    <t>B700000053</t>
  </si>
  <si>
    <t>ALLEN JEFFREY B</t>
  </si>
  <si>
    <t>ALLEN LAURA F H</t>
  </si>
  <si>
    <t>495 GRIFFITH RD</t>
  </si>
  <si>
    <t>27006-8733</t>
  </si>
  <si>
    <t>D10000000102</t>
  </si>
  <si>
    <t>MARION WILLIAM ARVIL JR TRUSTE</t>
  </si>
  <si>
    <t>MARION SHERRY HINES TRUSTEE</t>
  </si>
  <si>
    <t>1163 BEAR CREEK CHURCH ROAD</t>
  </si>
  <si>
    <t>I5090C0014</t>
  </si>
  <si>
    <t>FULP ANNE</t>
  </si>
  <si>
    <t>173 BINGHAM STREET</t>
  </si>
  <si>
    <t>L40000003704</t>
  </si>
  <si>
    <t>LAGLE JEFFREY ALLEN</t>
  </si>
  <si>
    <t>LAGLE ANITA G</t>
  </si>
  <si>
    <t>237 DEER HAVEN TRL</t>
  </si>
  <si>
    <t>I500000052</t>
  </si>
  <si>
    <t>FOSTER RANDY ALAN</t>
  </si>
  <si>
    <t>6812 W WHIRLAWAY COURT</t>
  </si>
  <si>
    <t>WHITSETT</t>
  </si>
  <si>
    <t>27377-0000</t>
  </si>
  <si>
    <t>J60000005408</t>
  </si>
  <si>
    <t>J60000009301</t>
  </si>
  <si>
    <t>COLEY CODY WILSON</t>
  </si>
  <si>
    <t>1749 US HIGHWAY 64 E</t>
  </si>
  <si>
    <t>27028-7412</t>
  </si>
  <si>
    <t>D8080D0017</t>
  </si>
  <si>
    <t>VAUGHN FRANKIE</t>
  </si>
  <si>
    <t>561 IVY CIRCLE</t>
  </si>
  <si>
    <t>F40000001202</t>
  </si>
  <si>
    <t>BREWER SANDRA C</t>
  </si>
  <si>
    <t>1609 ANGELL RD</t>
  </si>
  <si>
    <t>27028-4602</t>
  </si>
  <si>
    <t>F40000001101</t>
  </si>
  <si>
    <t>F400000011</t>
  </si>
  <si>
    <t>LOY SONYA H</t>
  </si>
  <si>
    <t>LOY ERNEST B</t>
  </si>
  <si>
    <t>276 KNOLL CREST RD</t>
  </si>
  <si>
    <t>27028-5337</t>
  </si>
  <si>
    <t>E7130A0013</t>
  </si>
  <si>
    <t>PEELE DANIEL S</t>
  </si>
  <si>
    <t>137 SAVANNAH CT</t>
  </si>
  <si>
    <t>E900000411</t>
  </si>
  <si>
    <t>HYETT ROY WILLIAM</t>
  </si>
  <si>
    <t>HYETT JULIA ANNE</t>
  </si>
  <si>
    <t>543 N HIDDENBROOKE DRIVE</t>
  </si>
  <si>
    <t>G9100A0023</t>
  </si>
  <si>
    <t>HAMM DUSTIN G</t>
  </si>
  <si>
    <t>HAMM MELODY L</t>
  </si>
  <si>
    <t>112 STAR MAGNOLIA DR</t>
  </si>
  <si>
    <t>27006-7571</t>
  </si>
  <si>
    <t>E80000001203</t>
  </si>
  <si>
    <t>LEGACY VILLAGE AT OAK VALLEY HOA, INC</t>
  </si>
  <si>
    <t>127 LEGACY DR</t>
  </si>
  <si>
    <t>27006-7349</t>
  </si>
  <si>
    <t>G8140A0054</t>
  </si>
  <si>
    <t>SALGADO ELVIS R</t>
  </si>
  <si>
    <t>SALGADO JINGER R</t>
  </si>
  <si>
    <t>201 OAKCREST DR</t>
  </si>
  <si>
    <t>27006-7368</t>
  </si>
  <si>
    <t>K50000007308</t>
  </si>
  <si>
    <t>ZIMBARDO MICHAEL EDWARD</t>
  </si>
  <si>
    <t>YOUNG TABATHA ALEAN</t>
  </si>
  <si>
    <t>309 WILL BOONE RD</t>
  </si>
  <si>
    <t>27028-5483</t>
  </si>
  <si>
    <t>D9050B0040</t>
  </si>
  <si>
    <t>PAYNE JEFFREY C</t>
  </si>
  <si>
    <t>PAYNE SHARON W</t>
  </si>
  <si>
    <t>5629 STONE RIDGE DR</t>
  </si>
  <si>
    <t>27018-8781</t>
  </si>
  <si>
    <t>M500000044</t>
  </si>
  <si>
    <t>HOBSON CEMETARY</t>
  </si>
  <si>
    <t>1113 NORTH CEDAR ST</t>
  </si>
  <si>
    <t>I70000007701</t>
  </si>
  <si>
    <t>HENDREN JEANNA JONES</t>
  </si>
  <si>
    <t>HENDREN ELMER R JR</t>
  </si>
  <si>
    <t>153 LOWER PLACE LANE</t>
  </si>
  <si>
    <t>D9020A0012</t>
  </si>
  <si>
    <t>CHRISCO GERALD L</t>
  </si>
  <si>
    <t>CHRISCO ALLISON D</t>
  </si>
  <si>
    <t>505 BING CROSBY BLVD</t>
  </si>
  <si>
    <t>D8070D0025</t>
  </si>
  <si>
    <t>DISHER CATHERINE FOSTER</t>
  </si>
  <si>
    <t>187 FAIRWAY DR</t>
  </si>
  <si>
    <t>F4010A0015</t>
  </si>
  <si>
    <t>HARTMAN ERIC</t>
  </si>
  <si>
    <t>HARTMAN MARGARET</t>
  </si>
  <si>
    <t>273 SUMMERLYN DR</t>
  </si>
  <si>
    <t>27028-4670</t>
  </si>
  <si>
    <t>G200000081</t>
  </si>
  <si>
    <t>MOHAT KEITH DOUGLAS JR</t>
  </si>
  <si>
    <t>MOHAT TRACY</t>
  </si>
  <si>
    <t>618 FRED LANIER RD</t>
  </si>
  <si>
    <t>27028-8231</t>
  </si>
  <si>
    <t>K30000003201</t>
  </si>
  <si>
    <t>KELLY PATRICK M</t>
  </si>
  <si>
    <t>KELLY JANICE M</t>
  </si>
  <si>
    <t>223 ADAMS RD</t>
  </si>
  <si>
    <t>L50000009401</t>
  </si>
  <si>
    <t>TUCKER JAMES CLAY</t>
  </si>
  <si>
    <t>TUCKER SANDRA ELAINE</t>
  </si>
  <si>
    <t>1878 BURKIN RD</t>
  </si>
  <si>
    <t>MCCONNELLS</t>
  </si>
  <si>
    <t>E900000304</t>
  </si>
  <si>
    <t>MORRIS DENISE MILLER</t>
  </si>
  <si>
    <t>620 OAK VALLEY BLVD</t>
  </si>
  <si>
    <t>E9150B0028</t>
  </si>
  <si>
    <t>MCGUIRE AUSTIN D JR</t>
  </si>
  <si>
    <t>MCGUIRE ANNIE C</t>
  </si>
  <si>
    <t>136 CEDAR LN</t>
  </si>
  <si>
    <t>I20000000103</t>
  </si>
  <si>
    <t>WALKER CLARETTA</t>
  </si>
  <si>
    <t>1518 GODBEY RD</t>
  </si>
  <si>
    <t>G40000002601</t>
  </si>
  <si>
    <t>HARPE WILLIAM J</t>
  </si>
  <si>
    <t>HARPE SUSAN</t>
  </si>
  <si>
    <t>488 MAIN CHURCH RD</t>
  </si>
  <si>
    <t>27028-5847</t>
  </si>
  <si>
    <t>I5070A0008</t>
  </si>
  <si>
    <t>ROCK JOSEPH W</t>
  </si>
  <si>
    <t>ROCK JENNIFER L</t>
  </si>
  <si>
    <t>171 GREENWOOD AVE</t>
  </si>
  <si>
    <t>27028-2706</t>
  </si>
  <si>
    <t>J5010D0056</t>
  </si>
  <si>
    <t>SHAVER ROBERT M</t>
  </si>
  <si>
    <t>274 CHARLESTON RIDGE DR</t>
  </si>
  <si>
    <t>27028-2661</t>
  </si>
  <si>
    <t>G400000013</t>
  </si>
  <si>
    <t>POTTS THOMAS SHANE</t>
  </si>
  <si>
    <t>1211 WOODWARD ROAD</t>
  </si>
  <si>
    <t>C8010A0177</t>
  </si>
  <si>
    <t>MILLER KATINA</t>
  </si>
  <si>
    <t>116 GREENWAY ST</t>
  </si>
  <si>
    <t>27006-8608</t>
  </si>
  <si>
    <t>I4010A0046</t>
  </si>
  <si>
    <t>113 N WENTWORTH DR</t>
  </si>
  <si>
    <t>27028-2099</t>
  </si>
  <si>
    <t>D7030B0009</t>
  </si>
  <si>
    <t>BAF 1 LLC</t>
  </si>
  <si>
    <t>5001 PLAZA ON THE LK STE 200</t>
  </si>
  <si>
    <t>AUSTIN</t>
  </si>
  <si>
    <t>78746-1053</t>
  </si>
  <si>
    <t>I4120B0005</t>
  </si>
  <si>
    <t>DOME INVESTMENTS LLC</t>
  </si>
  <si>
    <t>501 WILKESBORO ST</t>
  </si>
  <si>
    <t>I50000004501</t>
  </si>
  <si>
    <t>OCEGUERA JOHNNY R</t>
  </si>
  <si>
    <t>OCEGUERA ALLYSON R</t>
  </si>
  <si>
    <t>109 PETE FOSTER RD</t>
  </si>
  <si>
    <t>27028-7349</t>
  </si>
  <si>
    <t>H8060A0022</t>
  </si>
  <si>
    <t>HUMPHREY MELISSA JO WEBER</t>
  </si>
  <si>
    <t>121 N HEMINGWAY CT</t>
  </si>
  <si>
    <t>27006-7313</t>
  </si>
  <si>
    <t>E8160A0009</t>
  </si>
  <si>
    <t>HARRIS MICHAEL</t>
  </si>
  <si>
    <t>HARRIS AMANDA</t>
  </si>
  <si>
    <t>183 MEADOWS EDGE DR</t>
  </si>
  <si>
    <t>C8010C0016</t>
  </si>
  <si>
    <t>JOHNSON LAQUOIA YVETTE</t>
  </si>
  <si>
    <t>335 KILBOURNE DR</t>
  </si>
  <si>
    <t>27006-6687</t>
  </si>
  <si>
    <t>J4140A0011</t>
  </si>
  <si>
    <t>LITTLE JAMES R JR</t>
  </si>
  <si>
    <t>LITTLE SHEILA E</t>
  </si>
  <si>
    <t>124 NEW HAMPSHIRE CT</t>
  </si>
  <si>
    <t>M400000051</t>
  </si>
  <si>
    <t>840 GLADSTONE RD</t>
  </si>
  <si>
    <t>M400000050</t>
  </si>
  <si>
    <t>M40000004701</t>
  </si>
  <si>
    <t>H600000061</t>
  </si>
  <si>
    <t>DAVIS TIFFANY RENEE</t>
  </si>
  <si>
    <t>ANDERSON ARTHUR IAN</t>
  </si>
  <si>
    <t>2546 MILLING RD</t>
  </si>
  <si>
    <t>27028-7336</t>
  </si>
  <si>
    <t>I700000096</t>
  </si>
  <si>
    <t>BRINK MORGAN</t>
  </si>
  <si>
    <t>BRINK PETER</t>
  </si>
  <si>
    <t>808 FORK BIXBY RD</t>
  </si>
  <si>
    <t>E900000110</t>
  </si>
  <si>
    <t>KALINOSKI CODY JAMES</t>
  </si>
  <si>
    <t>KALINOSKI REBECCA ASHLEY</t>
  </si>
  <si>
    <t>112 KESWICK DR</t>
  </si>
  <si>
    <t>H400000040</t>
  </si>
  <si>
    <t>HILL JONATHAN SHAW</t>
  </si>
  <si>
    <t>HILL LORI ANNE WOOD</t>
  </si>
  <si>
    <t>707 COUNTRY LANE</t>
  </si>
  <si>
    <t>I60000006704</t>
  </si>
  <si>
    <t>MORRIS KAYE POTTS</t>
  </si>
  <si>
    <t>GAINES KRISTY WEST</t>
  </si>
  <si>
    <t>127 HOMER POTTS RD</t>
  </si>
  <si>
    <t>G9100A0020</t>
  </si>
  <si>
    <t>WRIGHT JONATHAN</t>
  </si>
  <si>
    <t>WRIGHT LISA</t>
  </si>
  <si>
    <t>121 TULIP MAGNOLIA DR</t>
  </si>
  <si>
    <t>E8100C0007</t>
  </si>
  <si>
    <t>GASKINS LOGAN THOMAS</t>
  </si>
  <si>
    <t>PITTS KRISTIN NICOLE</t>
  </si>
  <si>
    <t>120 BROOKDALE DR</t>
  </si>
  <si>
    <t>H4130A0005</t>
  </si>
  <si>
    <t>DOULIN LARRY</t>
  </si>
  <si>
    <t>126 SUMMIT DR</t>
  </si>
  <si>
    <t>K50000000201</t>
  </si>
  <si>
    <t>INVESTMENTS EAST LLC</t>
  </si>
  <si>
    <t>1321 COMMERCE DR</t>
  </si>
  <si>
    <t>NEW BERN</t>
  </si>
  <si>
    <t>28562-2213</t>
  </si>
  <si>
    <t>C30000000302</t>
  </si>
  <si>
    <t>GORDY AMANDA N</t>
  </si>
  <si>
    <t>GORDY MARK S JR</t>
  </si>
  <si>
    <t>698 CHILDRENS HOME RD</t>
  </si>
  <si>
    <t>J4140A0008</t>
  </si>
  <si>
    <t>REINHARDT CHELSEY GALE</t>
  </si>
  <si>
    <t>116 NEW HAMPSHIRE CT</t>
  </si>
  <si>
    <t>F8030A0002</t>
  </si>
  <si>
    <t>BOONE MICHAEL RAY</t>
  </si>
  <si>
    <t>BOONE MELISSA DANIELLE</t>
  </si>
  <si>
    <t>117 ESSEX FARM ROAD</t>
  </si>
  <si>
    <t>J10000000103</t>
  </si>
  <si>
    <t>CARTNER TONY A</t>
  </si>
  <si>
    <t>4244 US HIGHWAY 64 W</t>
  </si>
  <si>
    <t>D70000010101</t>
  </si>
  <si>
    <t>PUGA-LUNA MARTIN</t>
  </si>
  <si>
    <t>LUNA SHERRY</t>
  </si>
  <si>
    <t>357 REDLAND RD</t>
  </si>
  <si>
    <t>27006-6721</t>
  </si>
  <si>
    <t>G8140A0052</t>
  </si>
  <si>
    <t>CRANE KATELYN</t>
  </si>
  <si>
    <t>CRANE TYLER</t>
  </si>
  <si>
    <t>190 OAKCREST DR</t>
  </si>
  <si>
    <t>D500000111</t>
  </si>
  <si>
    <t>JAMES ROGER D</t>
  </si>
  <si>
    <t>323 KENNEN KREST RD</t>
  </si>
  <si>
    <t>I5110B0024</t>
  </si>
  <si>
    <t>WRENN AMY</t>
  </si>
  <si>
    <t>169 WINDWARD CIR</t>
  </si>
  <si>
    <t>27028-2881</t>
  </si>
  <si>
    <t>C60000010011</t>
  </si>
  <si>
    <t>VILBURN JOHN A</t>
  </si>
  <si>
    <t>VILBURN PAULA A</t>
  </si>
  <si>
    <t>1241 NC HIGHWAY 801 N</t>
  </si>
  <si>
    <t>C60000010007</t>
  </si>
  <si>
    <t>J4040D0010</t>
  </si>
  <si>
    <t>WALLER RANDY J</t>
  </si>
  <si>
    <t>WALLER ALISHA B</t>
  </si>
  <si>
    <t>135 E MAPLE AVE</t>
  </si>
  <si>
    <t>27028-2617</t>
  </si>
  <si>
    <t>D700000061</t>
  </si>
  <si>
    <t>27006-2071</t>
  </si>
  <si>
    <t>D700000062</t>
  </si>
  <si>
    <t>D700000048</t>
  </si>
  <si>
    <t>MYERS MARLA LOIS</t>
  </si>
  <si>
    <t>145 ALVIS TRL</t>
  </si>
  <si>
    <t>27006-6600</t>
  </si>
  <si>
    <t>L60000000404</t>
  </si>
  <si>
    <t>LOWERY MARTHA CHILDRESS</t>
  </si>
  <si>
    <t>170 WILL BOONE RD</t>
  </si>
  <si>
    <t>27028-5481</t>
  </si>
  <si>
    <t>I5060C0034</t>
  </si>
  <si>
    <t>TUCKER MICHAEL J</t>
  </si>
  <si>
    <t>737 MILLING RD</t>
  </si>
  <si>
    <t>27028-2859</t>
  </si>
  <si>
    <t>D8060B0043</t>
  </si>
  <si>
    <t>AUMAN MICHAEL ALLEN</t>
  </si>
  <si>
    <t>AUMAN VICKIE GRENINGER</t>
  </si>
  <si>
    <t>338 BERMUDA RUN DRIVE</t>
  </si>
  <si>
    <t>J700000116</t>
  </si>
  <si>
    <t>GOOLSBY IDA D</t>
  </si>
  <si>
    <t>C4160A0028</t>
  </si>
  <si>
    <t>MCBAIN FAMILY 2005 LIV TRUST THE</t>
  </si>
  <si>
    <t>297 BRANGUS WAY</t>
  </si>
  <si>
    <t>G8140A0055</t>
  </si>
  <si>
    <t>LITAKER MATTHEW</t>
  </si>
  <si>
    <t>LITAKER JULIE</t>
  </si>
  <si>
    <t>189 OAKCREST DR</t>
  </si>
  <si>
    <t>J5160C0003</t>
  </si>
  <si>
    <t>SCHAP PAMELA HELENA</t>
  </si>
  <si>
    <t>SCHAP WILLIAM JOSEPH</t>
  </si>
  <si>
    <t>195 RANDOM RD</t>
  </si>
  <si>
    <t>27028-4318</t>
  </si>
  <si>
    <t>H60000007601</t>
  </si>
  <si>
    <t>DAVISON LAURENCE</t>
  </si>
  <si>
    <t>DAVISON JOSEPHINE</t>
  </si>
  <si>
    <t>248 HEARTHSIDE LN</t>
  </si>
  <si>
    <t>J4060A0024</t>
  </si>
  <si>
    <t>SECOR LANCE R</t>
  </si>
  <si>
    <t>SECOR FAY L</t>
  </si>
  <si>
    <t>278 MAGNOLIA AVE</t>
  </si>
  <si>
    <t>I1120B0016</t>
  </si>
  <si>
    <t>MATA JOSE ANTONIO</t>
  </si>
  <si>
    <t>MATA NORMA GARCIA FLORES</t>
  </si>
  <si>
    <t>127 OAK LEAF COURT</t>
  </si>
  <si>
    <t>F100000058</t>
  </si>
  <si>
    <t>ROBINSON KEVIN J</t>
  </si>
  <si>
    <t>ROBINSON MARTHA E</t>
  </si>
  <si>
    <t>190 N PINO RD</t>
  </si>
  <si>
    <t>27025-1057</t>
  </si>
  <si>
    <t>G30000000405</t>
  </si>
  <si>
    <t>ELCON MGT LLC</t>
  </si>
  <si>
    <t>PO BOX 1921</t>
  </si>
  <si>
    <t>BRANDON</t>
  </si>
  <si>
    <t>MS</t>
  </si>
  <si>
    <t>39043-1921</t>
  </si>
  <si>
    <t>H9070A0006</t>
  </si>
  <si>
    <t>EMERT LANCE ANDREW</t>
  </si>
  <si>
    <t>EMERT EMILY JORDAN</t>
  </si>
  <si>
    <t>175 DUBLIN RD</t>
  </si>
  <si>
    <t>G600000103</t>
  </si>
  <si>
    <t>COX SHARON SMITH ETAL</t>
  </si>
  <si>
    <t>3114 US HWY 158</t>
  </si>
  <si>
    <t>F600000009</t>
  </si>
  <si>
    <t>C8010A0115</t>
  </si>
  <si>
    <t>GOUGH STEPHANIE G</t>
  </si>
  <si>
    <t>132 SWEETWATER CIR</t>
  </si>
  <si>
    <t>27006-8612</t>
  </si>
  <si>
    <t>E9150A0035</t>
  </si>
  <si>
    <t>JUST KENNETH L</t>
  </si>
  <si>
    <t>136 TALWOOD DR</t>
  </si>
  <si>
    <t>J4140A0025</t>
  </si>
  <si>
    <t>LIVENGOOD PATRICIA D</t>
  </si>
  <si>
    <t>176 NEW HAMPSHIRE CT</t>
  </si>
  <si>
    <t>B700000091</t>
  </si>
  <si>
    <t>YARBROUGH STEPHEN ISRAEL</t>
  </si>
  <si>
    <t>324 FEEZOR RD</t>
  </si>
  <si>
    <t>27028-4151</t>
  </si>
  <si>
    <t>C300000010</t>
  </si>
  <si>
    <t>ALBRIGHT CORY D</t>
  </si>
  <si>
    <t>4774 US HIGHWAY 601 N</t>
  </si>
  <si>
    <t>27028-6281</t>
  </si>
  <si>
    <t>C80000000112</t>
  </si>
  <si>
    <t>JOINT TRUST</t>
  </si>
  <si>
    <t>332 YADKIN VALLEY RD</t>
  </si>
  <si>
    <t>27006-8702</t>
  </si>
  <si>
    <t>C80000000113</t>
  </si>
  <si>
    <t>D70000001101</t>
  </si>
  <si>
    <t>CHAFFIN PHILLIP NORMAN</t>
  </si>
  <si>
    <t>660 REDLAND RD</t>
  </si>
  <si>
    <t>L700000023</t>
  </si>
  <si>
    <t>CREEL JANICE R</t>
  </si>
  <si>
    <t>CREEL SHANE J</t>
  </si>
  <si>
    <t>5293 S NC HWY 801</t>
  </si>
  <si>
    <t>I4050A0004</t>
  </si>
  <si>
    <t>HARDING RALPH</t>
  </si>
  <si>
    <t>HARDING DEBORAH G</t>
  </si>
  <si>
    <t>289 WANDERING LN</t>
  </si>
  <si>
    <t>27028-2027</t>
  </si>
  <si>
    <t>C8010A0080</t>
  </si>
  <si>
    <t>COON VIRGINIA</t>
  </si>
  <si>
    <t>165 BRIDGEWATER DRIVE</t>
  </si>
  <si>
    <t>B7140A0020</t>
  </si>
  <si>
    <t>QUINN BARRY J</t>
  </si>
  <si>
    <t>130 VALLEY OAKS DR</t>
  </si>
  <si>
    <t>E800000108</t>
  </si>
  <si>
    <t>TURNER JAMES DAVID</t>
  </si>
  <si>
    <t>TURNER KRISTEN GRACIEN</t>
  </si>
  <si>
    <t>586 OAK VALLEY BLVD</t>
  </si>
  <si>
    <t>D600000063</t>
  </si>
  <si>
    <t>FOSTER KENNETH D</t>
  </si>
  <si>
    <t>FOSTER JOSEPHINE H</t>
  </si>
  <si>
    <t>198 TUCKER RD</t>
  </si>
  <si>
    <t>27006-6741</t>
  </si>
  <si>
    <t>J20000003301</t>
  </si>
  <si>
    <t>WHITAKER SALLIE</t>
  </si>
  <si>
    <t>1613 DAVIE ACADEMY RD</t>
  </si>
  <si>
    <t>27028-8204</t>
  </si>
  <si>
    <t>E60000000801</t>
  </si>
  <si>
    <t>PRUDEN H.N. &amp; JOHNSON R.J.N.</t>
  </si>
  <si>
    <t>2705 BARTRAM PLACE</t>
  </si>
  <si>
    <t>F800000040</t>
  </si>
  <si>
    <t>PATTON JAMES F REV TRUST AGREEMENT</t>
  </si>
  <si>
    <t>204 MOCKS CHURCH RD</t>
  </si>
  <si>
    <t>27006-7619</t>
  </si>
  <si>
    <t>G70000008301</t>
  </si>
  <si>
    <t>G8050A0015</t>
  </si>
  <si>
    <t>H700000020</t>
  </si>
  <si>
    <t>E70000013610</t>
  </si>
  <si>
    <t>SMITH AARON</t>
  </si>
  <si>
    <t>160 WELLINGTON CT</t>
  </si>
  <si>
    <t>H80000001006</t>
  </si>
  <si>
    <t>NIFONG JAMES FRANKLIN</t>
  </si>
  <si>
    <t>NIFONG LORI ALLEN</t>
  </si>
  <si>
    <t>976 WYO RD</t>
  </si>
  <si>
    <t>27028-6308</t>
  </si>
  <si>
    <t>J600000092</t>
  </si>
  <si>
    <t>RUPARD CLARENCE A</t>
  </si>
  <si>
    <t>135 RUPARD TRL</t>
  </si>
  <si>
    <t>27028-7472</t>
  </si>
  <si>
    <t>K50000003702</t>
  </si>
  <si>
    <t>C7130A0003</t>
  </si>
  <si>
    <t>SMITH WILLIAM J</t>
  </si>
  <si>
    <t>SMITH KATHRYN I</t>
  </si>
  <si>
    <t>124 ACRES LN</t>
  </si>
  <si>
    <t>E60000000702</t>
  </si>
  <si>
    <t>NEELY JOSEPH F REV TRUST</t>
  </si>
  <si>
    <t>NEELY JOSEPH F TRUSTEE</t>
  </si>
  <si>
    <t>E600000007</t>
  </si>
  <si>
    <t>E70000013607</t>
  </si>
  <si>
    <t>ELLIOTT MARGARET P</t>
  </si>
  <si>
    <t>SHOFFNER LOU ANN</t>
  </si>
  <si>
    <t>171 WELLINGTON CT</t>
  </si>
  <si>
    <t>E9150B0131</t>
  </si>
  <si>
    <t>ORTIZ-VILLAJOS PEDRO J</t>
  </si>
  <si>
    <t>ORTIZ-VILLAJOS LINDA</t>
  </si>
  <si>
    <t>122 KNICKER LN</t>
  </si>
  <si>
    <t>C7150A0014</t>
  </si>
  <si>
    <t>BROWN PHILIP S</t>
  </si>
  <si>
    <t>BROWN KRISTY C</t>
  </si>
  <si>
    <t>222 WOODBURN PL</t>
  </si>
  <si>
    <t>I4130E0007</t>
  </si>
  <si>
    <t>VAN HOY HENRY P II ETAL</t>
  </si>
  <si>
    <t>10 COURT SQ</t>
  </si>
  <si>
    <t>27028-2415</t>
  </si>
  <si>
    <t>I5060A0014</t>
  </si>
  <si>
    <t>257 WHITNEY RD</t>
  </si>
  <si>
    <t>L40000003705</t>
  </si>
  <si>
    <t>LAGLE THOMAS JACKSON JR</t>
  </si>
  <si>
    <t>245 DOWN YONDER TRAIL</t>
  </si>
  <si>
    <t>27028-5160</t>
  </si>
  <si>
    <t>C300000122</t>
  </si>
  <si>
    <t>BOGER CARL DEAN</t>
  </si>
  <si>
    <t>185 BOGER FARM DRIVE</t>
  </si>
  <si>
    <t>D500000073</t>
  </si>
  <si>
    <t>REYNOLDS AND SANDS LLC</t>
  </si>
  <si>
    <t>1590 FARMINGTON RD</t>
  </si>
  <si>
    <t>27028-7649</t>
  </si>
  <si>
    <t>C30000012201</t>
  </si>
  <si>
    <t>I5120A0018</t>
  </si>
  <si>
    <t>BEASLEY ISAAC</t>
  </si>
  <si>
    <t>108 BLUE BONNETT COURT</t>
  </si>
  <si>
    <t>B40000001903</t>
  </si>
  <si>
    <t>TUCK MATTHEW</t>
  </si>
  <si>
    <t>TUCK LEIGH AARON</t>
  </si>
  <si>
    <t>423 BONKIN LAKE RD</t>
  </si>
  <si>
    <t>B400000003</t>
  </si>
  <si>
    <t>TUCK LEIGH AARON DULL</t>
  </si>
  <si>
    <t>M40000003302</t>
  </si>
  <si>
    <t>MCCRARY SONYA HUNT</t>
  </si>
  <si>
    <t>I5050A0007</t>
  </si>
  <si>
    <t>GAGLIANO GIUSEPPE JOE</t>
  </si>
  <si>
    <t>6321 BAY CLUB DRIVE 1</t>
  </si>
  <si>
    <t>FORT LAUDERDALE</t>
  </si>
  <si>
    <t>33308-0000</t>
  </si>
  <si>
    <t>D20000005103</t>
  </si>
  <si>
    <t>PARKER MARY SUSAN</t>
  </si>
  <si>
    <t>129 W CHURCH ST</t>
  </si>
  <si>
    <t>I4120D0016</t>
  </si>
  <si>
    <t>E8020B0006</t>
  </si>
  <si>
    <t>WILSON MAEGAN A</t>
  </si>
  <si>
    <t>WILSON TANNER</t>
  </si>
  <si>
    <t>186 LYBROOK RD</t>
  </si>
  <si>
    <t>I4140B0006</t>
  </si>
  <si>
    <t>FLETCHER JULIE A</t>
  </si>
  <si>
    <t>415 TOT ST</t>
  </si>
  <si>
    <t>27028-2339</t>
  </si>
  <si>
    <t>D9010E0019</t>
  </si>
  <si>
    <t>JORDAN W C JR LIV TRUST 1996</t>
  </si>
  <si>
    <t>JORDAN W C JR TRUSTEE</t>
  </si>
  <si>
    <t>127 RIVER HILL DR</t>
  </si>
  <si>
    <t>O600000053</t>
  </si>
  <si>
    <t>CHUNN CHESTER LA-MONTE</t>
  </si>
  <si>
    <t>CHUNN MELISSA</t>
  </si>
  <si>
    <t>1068 EVENING SHADE AVE</t>
  </si>
  <si>
    <t>ROLESVILLE</t>
  </si>
  <si>
    <t>27571-9347</t>
  </si>
  <si>
    <t>J5160A0002</t>
  </si>
  <si>
    <t>STORE CAPITAL ACQUISITIONS LLC</t>
  </si>
  <si>
    <t>% CPP LLC</t>
  </si>
  <si>
    <t>111 CPP GLOBAL DRIVE</t>
  </si>
  <si>
    <t>J4040F0014</t>
  </si>
  <si>
    <t>BARBER ANGELA NICOLE</t>
  </si>
  <si>
    <t>5275 FOSTER ROAD</t>
  </si>
  <si>
    <t>D9010E0035</t>
  </si>
  <si>
    <t>BROWN JOHN W JR</t>
  </si>
  <si>
    <t>BROWN REBECCA H</t>
  </si>
  <si>
    <t>109 S RIVER HILL DR</t>
  </si>
  <si>
    <t>27006-8513</t>
  </si>
  <si>
    <t>C8030A001204</t>
  </si>
  <si>
    <t>TOMPKINS DOUGLAS S</t>
  </si>
  <si>
    <t>GREER JEAN</t>
  </si>
  <si>
    <t>157 PINEWOOD LN  #104</t>
  </si>
  <si>
    <t>27006-8789</t>
  </si>
  <si>
    <t>D9090E0011</t>
  </si>
  <si>
    <t>FARY ERNEST F JR TRUSTEE</t>
  </si>
  <si>
    <t>115 OLEANDER DR</t>
  </si>
  <si>
    <t>J5010D0089</t>
  </si>
  <si>
    <t>FONSECA GRETTELS L PAZ</t>
  </si>
  <si>
    <t>174 WINDING CREEK RD</t>
  </si>
  <si>
    <t>N5080B0014</t>
  </si>
  <si>
    <t>THOMPSON JACOB</t>
  </si>
  <si>
    <t>THOMPSON SAMANTHA</t>
  </si>
  <si>
    <t>424 FAIRFIELD RD</t>
  </si>
  <si>
    <t>E9150B0048</t>
  </si>
  <si>
    <t>RIENERTH JANICE G</t>
  </si>
  <si>
    <t>190 SYCAMORE RIDGE DRIVE</t>
  </si>
  <si>
    <t>O600000051</t>
  </si>
  <si>
    <t>M40000004002</t>
  </si>
  <si>
    <t>ALLEN JENNIFER ANDERSON</t>
  </si>
  <si>
    <t>123 CLYDES TRL</t>
  </si>
  <si>
    <t>27028-5276</t>
  </si>
  <si>
    <t>M400000041  A</t>
  </si>
  <si>
    <t>C8010B0376</t>
  </si>
  <si>
    <t>EL BAHRAWI MOHAMED M</t>
  </si>
  <si>
    <t>FOUDA AMIRA N</t>
  </si>
  <si>
    <t>206 KILBOURNE DR</t>
  </si>
  <si>
    <t>27006-6686</t>
  </si>
  <si>
    <t>L700000015</t>
  </si>
  <si>
    <t>JACKSON CHRISTOPHER J</t>
  </si>
  <si>
    <t>CUNNINGHAM MARIA L</t>
  </si>
  <si>
    <t>221 DOGTROT RD</t>
  </si>
  <si>
    <t>27028-5158</t>
  </si>
  <si>
    <t>E70000013613</t>
  </si>
  <si>
    <t>MCGOWAN CHRISTOPHER J</t>
  </si>
  <si>
    <t>MCGOWAN BRIENNE</t>
  </si>
  <si>
    <t>120 WELLINGTON CT</t>
  </si>
  <si>
    <t>G200000051</t>
  </si>
  <si>
    <t>WALKER THOMAS</t>
  </si>
  <si>
    <t>WALKER KATHY</t>
  </si>
  <si>
    <t>572 SHEFFIELD RD</t>
  </si>
  <si>
    <t>27028-8406</t>
  </si>
  <si>
    <t>D8090B0005</t>
  </si>
  <si>
    <t>BONASSO JOHN MICHAEL</t>
  </si>
  <si>
    <t>BONASSO ASHLEY RAE</t>
  </si>
  <si>
    <t>112 ROTUNDA CIR</t>
  </si>
  <si>
    <t>27006-8502</t>
  </si>
  <si>
    <t>L5010A0011</t>
  </si>
  <si>
    <t>BLACKWOOD ROBBIN</t>
  </si>
  <si>
    <t>394 MCCULLOUGH RD</t>
  </si>
  <si>
    <t>F60000005103</t>
  </si>
  <si>
    <t>C40000003801</t>
  </si>
  <si>
    <t>I6160A0015</t>
  </si>
  <si>
    <t>BURRIS AARON W</t>
  </si>
  <si>
    <t>BURRIS ELLEN</t>
  </si>
  <si>
    <t>177 LINDA LN</t>
  </si>
  <si>
    <t>M50000001803</t>
  </si>
  <si>
    <t>MULLINS ASHLEY</t>
  </si>
  <si>
    <t>7300 NC HIGHWAY 801 S</t>
  </si>
  <si>
    <t>E7060A0002</t>
  </si>
  <si>
    <t>HOLLOWAY ELDRIDGE</t>
  </si>
  <si>
    <t>HOLLOWAY LINDA</t>
  </si>
  <si>
    <t>129 WINCHESTER RD</t>
  </si>
  <si>
    <t>C8010D0042</t>
  </si>
  <si>
    <t>BURKE JAMES P</t>
  </si>
  <si>
    <t>BURKE SARAH W</t>
  </si>
  <si>
    <t>287 KILBOURNE DR</t>
  </si>
  <si>
    <t>D3010A0022</t>
  </si>
  <si>
    <t>BACON JAY M III</t>
  </si>
  <si>
    <t>107 HIGHLAND RD</t>
  </si>
  <si>
    <t>G50000008111</t>
  </si>
  <si>
    <t>SPICER CHARLES ROBERT</t>
  </si>
  <si>
    <t>SPICER MARY CHRISTINE</t>
  </si>
  <si>
    <t>155 EAGLES LANDING LN</t>
  </si>
  <si>
    <t>I600000001</t>
  </si>
  <si>
    <t>SMALLEY CHRISTOPHER C &amp; LIANN</t>
  </si>
  <si>
    <t>414 BURTON RD</t>
  </si>
  <si>
    <t>M60000002806</t>
  </si>
  <si>
    <t>VALLIERE JOSEPH R</t>
  </si>
  <si>
    <t>VALLIERE CYNTHIA L</t>
  </si>
  <si>
    <t>190 HOUSTON ROAD</t>
  </si>
  <si>
    <t>H700000101</t>
  </si>
  <si>
    <t>MICHALEK TIMOTHY L FAMILY TRUS</t>
  </si>
  <si>
    <t>MICHALEK TIMOTHY L TRUSTEE</t>
  </si>
  <si>
    <t>426 COMMANCH DRIVE</t>
  </si>
  <si>
    <t>F30000000504</t>
  </si>
  <si>
    <t>WEAVER ROBERT</t>
  </si>
  <si>
    <t>WEAVER MELISSA</t>
  </si>
  <si>
    <t>1090 WAGNER ROAD</t>
  </si>
  <si>
    <t>G7030A0006</t>
  </si>
  <si>
    <t>MINOR AMANDA C</t>
  </si>
  <si>
    <t>MINOR BOBBY G III</t>
  </si>
  <si>
    <t>156 CAMDEN COURT</t>
  </si>
  <si>
    <t>I4010A0034</t>
  </si>
  <si>
    <t>GIORDANO PAUL ANTHONY</t>
  </si>
  <si>
    <t>198 TURNBERRY DRIVE</t>
  </si>
  <si>
    <t>I100000020</t>
  </si>
  <si>
    <t>ELLIOTT JUDY STROUD ETAL</t>
  </si>
  <si>
    <t>LYTTON RHONDA KAY</t>
  </si>
  <si>
    <t>180 OLD AIRPORT RD</t>
  </si>
  <si>
    <t>J5160A0003</t>
  </si>
  <si>
    <t>L5140A0014</t>
  </si>
  <si>
    <t>DENTON JANET S</t>
  </si>
  <si>
    <t>7056 NC HIGHWAY 801 S</t>
  </si>
  <si>
    <t>27028-6735</t>
  </si>
  <si>
    <t>L5140A001402</t>
  </si>
  <si>
    <t>N60000007304</t>
  </si>
  <si>
    <t>HAYES PHYLLIS S</t>
  </si>
  <si>
    <t>112 CAMELOT WAY</t>
  </si>
  <si>
    <t>E60000001501</t>
  </si>
  <si>
    <t>ATKINSON THOMAS KELLY</t>
  </si>
  <si>
    <t>137 WHITE OAK LANE</t>
  </si>
  <si>
    <t>27028-7850</t>
  </si>
  <si>
    <t>N500000014</t>
  </si>
  <si>
    <t>DAVIS SHELLY</t>
  </si>
  <si>
    <t>153 SPICEWOOD CIR</t>
  </si>
  <si>
    <t>TROUTMAN</t>
  </si>
  <si>
    <t>D9050B0012</t>
  </si>
  <si>
    <t>SNYDER JEANETTIE LEE</t>
  </si>
  <si>
    <t>250 PAUL EATON RD</t>
  </si>
  <si>
    <t>27028-4917</t>
  </si>
  <si>
    <t>H600000094</t>
  </si>
  <si>
    <t>BROWN JOEL</t>
  </si>
  <si>
    <t>BROWN SHEILA</t>
  </si>
  <si>
    <t>1101 CORNATZER RD</t>
  </si>
  <si>
    <t>27028-7135</t>
  </si>
  <si>
    <t>D80000001501</t>
  </si>
  <si>
    <t>BMS INVESTMENT PROPERTIES</t>
  </si>
  <si>
    <t>2208 W CONE BLVD</t>
  </si>
  <si>
    <t>27408-4020</t>
  </si>
  <si>
    <t>H700000084</t>
  </si>
  <si>
    <t>HOUCHINS ISSAC J</t>
  </si>
  <si>
    <t>HOUCHINS DORALEA G</t>
  </si>
  <si>
    <t>1383 FORK BIXBY RD</t>
  </si>
  <si>
    <t>B600000008</t>
  </si>
  <si>
    <t>MASON JOSEPH WILLIAM</t>
  </si>
  <si>
    <t>245 SLEEPY HOLLOW RD</t>
  </si>
  <si>
    <t>27028-7807</t>
  </si>
  <si>
    <t>F600000063</t>
  </si>
  <si>
    <t>ALFRED RAY PATTON RENTALS LLC</t>
  </si>
  <si>
    <t>761 BAILEYS CHAPEL RD</t>
  </si>
  <si>
    <t>H70000007009</t>
  </si>
  <si>
    <t>G700000024</t>
  </si>
  <si>
    <t>L4130A001801</t>
  </si>
  <si>
    <t>L4130A0018</t>
  </si>
  <si>
    <t>L5070A002801</t>
  </si>
  <si>
    <t>L4130A0015</t>
  </si>
  <si>
    <t>K50000008801</t>
  </si>
  <si>
    <t>H80000004327</t>
  </si>
  <si>
    <t>I700000097</t>
  </si>
  <si>
    <t>H70000006206</t>
  </si>
  <si>
    <t>H70000006205</t>
  </si>
  <si>
    <t>H70000006203</t>
  </si>
  <si>
    <t>H70000006204</t>
  </si>
  <si>
    <t>H70000006202</t>
  </si>
  <si>
    <t>H7030A0018</t>
  </si>
  <si>
    <t>H70000006201</t>
  </si>
  <si>
    <t>H7020A0011</t>
  </si>
  <si>
    <t>RANDLEMAN RANDY EUGENE</t>
  </si>
  <si>
    <t>839 NC HIGHWAY 801 S</t>
  </si>
  <si>
    <t>C30000010803</t>
  </si>
  <si>
    <t>SMITH BENNIE D</t>
  </si>
  <si>
    <t>SMITH BETTY KEATON</t>
  </si>
  <si>
    <t>F10000004811</t>
  </si>
  <si>
    <t>SPRY JANIE BECK</t>
  </si>
  <si>
    <t>1673 COUNTY LINE RD</t>
  </si>
  <si>
    <t>F10000004807</t>
  </si>
  <si>
    <t>1691 COUNTY LINE RD</t>
  </si>
  <si>
    <t>F10000004808</t>
  </si>
  <si>
    <t>L80000001905</t>
  </si>
  <si>
    <t>SEAFORD TYLER</t>
  </si>
  <si>
    <t>SEAFORD LOGAN WILKINSON</t>
  </si>
  <si>
    <t>165 TOPCAT LN</t>
  </si>
  <si>
    <t>B300000012</t>
  </si>
  <si>
    <t>CONNORS KATHLEEN H</t>
  </si>
  <si>
    <t>195 LEISURE LANE</t>
  </si>
  <si>
    <t>F70000000103</t>
  </si>
  <si>
    <t>WARNER TROY ALAN</t>
  </si>
  <si>
    <t>WARNER SUSAN ATKINS</t>
  </si>
  <si>
    <t>201 TOGGENBURG LANE</t>
  </si>
  <si>
    <t>O60000003411</t>
  </si>
  <si>
    <t>GRAVES EARL H JR</t>
  </si>
  <si>
    <t>GRAVES CAROLYN A</t>
  </si>
  <si>
    <t>132 LADYBUG LN</t>
  </si>
  <si>
    <t>G70000009501</t>
  </si>
  <si>
    <t>HENDRIX JANE Z</t>
  </si>
  <si>
    <t>277 MARKLAND ROAD</t>
  </si>
  <si>
    <t>G8130A000901</t>
  </si>
  <si>
    <t>G800000013</t>
  </si>
  <si>
    <t>C30000010802</t>
  </si>
  <si>
    <t>K5060A0008</t>
  </si>
  <si>
    <t>SPILLMAN MICHAEL</t>
  </si>
  <si>
    <t>JOHNSON BROOKE</t>
  </si>
  <si>
    <t>304 DEADMON RD</t>
  </si>
  <si>
    <t>E70000017101</t>
  </si>
  <si>
    <t>BEAUCHAMP WILLIAM SHAYNE</t>
  </si>
  <si>
    <t>BEAUCHAMP JENNIFER EBRIGHT</t>
  </si>
  <si>
    <t>1276 BEAUCHAMP RD</t>
  </si>
  <si>
    <t>N500000078</t>
  </si>
  <si>
    <t>GIBSON OSWALD RYAN III</t>
  </si>
  <si>
    <t>GIBSON HEAVEN SHOFFNER</t>
  </si>
  <si>
    <t>467 PINE RIDGE RD</t>
  </si>
  <si>
    <t>B700000007</t>
  </si>
  <si>
    <t>BELL DAVID MICHAEL</t>
  </si>
  <si>
    <t>BELL ELIZABETH KIGER</t>
  </si>
  <si>
    <t>140 NATALIES WAY</t>
  </si>
  <si>
    <t>K30000006402</t>
  </si>
  <si>
    <t>WYATT MORGAN LEIGH</t>
  </si>
  <si>
    <t>198 RATLEDGE RD</t>
  </si>
  <si>
    <t>27028-5424</t>
  </si>
  <si>
    <t>G3060A0037</t>
  </si>
  <si>
    <t>MYERS ERIC K</t>
  </si>
  <si>
    <t>MYERS DEBRA J</t>
  </si>
  <si>
    <t>223 STONY BROOK TRAIL</t>
  </si>
  <si>
    <t>G3060A0039</t>
  </si>
  <si>
    <t>NECAISE DUSTIN</t>
  </si>
  <si>
    <t>291 STONY BROOK TRAIL</t>
  </si>
  <si>
    <t>H50000005307</t>
  </si>
  <si>
    <t>TAYLOR RICHARD K</t>
  </si>
  <si>
    <t>TAYLOR JANET N</t>
  </si>
  <si>
    <t>217 RED BUD LANE</t>
  </si>
  <si>
    <t>H50000005310</t>
  </si>
  <si>
    <t>G900000003</t>
  </si>
  <si>
    <t>COPE MARK</t>
  </si>
  <si>
    <t>COPE CYNTHIA GAIL</t>
  </si>
  <si>
    <t>216 BAILEY RD</t>
  </si>
  <si>
    <t>F8020B0040</t>
  </si>
  <si>
    <t>ZAJAC DENNIS</t>
  </si>
  <si>
    <t>GEDDA DIANE</t>
  </si>
  <si>
    <t>128 N HIGH FIELD RD</t>
  </si>
  <si>
    <t>I300000018</t>
  </si>
  <si>
    <t>CLEMENT LAQUITA M</t>
  </si>
  <si>
    <t>3859 YARBROUGH AVE</t>
  </si>
  <si>
    <t>27106-1736</t>
  </si>
  <si>
    <t>E8100C0009</t>
  </si>
  <si>
    <t>FAIRBAIRN GEORGE L III</t>
  </si>
  <si>
    <t>FAIRBAIRN TRACY L</t>
  </si>
  <si>
    <t>203 OVERLOOK DR</t>
  </si>
  <si>
    <t>L40000003207</t>
  </si>
  <si>
    <t>L4050A0007</t>
  </si>
  <si>
    <t>L40000003208</t>
  </si>
  <si>
    <t>L400000032  A</t>
  </si>
  <si>
    <t>J20000003901</t>
  </si>
  <si>
    <t>ARMSTRONG RONALD EUGENE</t>
  </si>
  <si>
    <t>ARMSTRONG KATHY DARLENE</t>
  </si>
  <si>
    <t>494 SHADY KNOLL LN</t>
  </si>
  <si>
    <t>I70000006202</t>
  </si>
  <si>
    <t>LANIER JUSTIN MICHEAL</t>
  </si>
  <si>
    <t>151 SEMINOLE WAY</t>
  </si>
  <si>
    <t>27006-6978</t>
  </si>
  <si>
    <t>M500000003</t>
  </si>
  <si>
    <t>SPILLMAN CALVIN D JR ETAL</t>
  </si>
  <si>
    <t>H4130A0070</t>
  </si>
  <si>
    <t>HALL BRIANNA</t>
  </si>
  <si>
    <t>ALVARDO CHRISTIAN</t>
  </si>
  <si>
    <t>218 SUMMIT DR</t>
  </si>
  <si>
    <t>G700000131</t>
  </si>
  <si>
    <t>EDWARDS RANDY W</t>
  </si>
  <si>
    <t>EDWARDS JUDY ELAINE HOWARD</t>
  </si>
  <si>
    <t>2337 CORNATZER RD</t>
  </si>
  <si>
    <t>27006-7204</t>
  </si>
  <si>
    <t>C8010A0208</t>
  </si>
  <si>
    <t>BAILEY STEPHEN W</t>
  </si>
  <si>
    <t>BAILEY MARY A</t>
  </si>
  <si>
    <t>144 N FORKE DR</t>
  </si>
  <si>
    <t>F10000004812</t>
  </si>
  <si>
    <t>K20000005803</t>
  </si>
  <si>
    <t>IJAMES FAMILY IRREV TRUST</t>
  </si>
  <si>
    <t>8444 EDEN PARK DRIVE</t>
  </si>
  <si>
    <t>K20000005805</t>
  </si>
  <si>
    <t>K200000051</t>
  </si>
  <si>
    <t>E8110B0015</t>
  </si>
  <si>
    <t>DURHAM OSCAR L</t>
  </si>
  <si>
    <t>DURHAM FRANCES W</t>
  </si>
  <si>
    <t>296 RIVER RD</t>
  </si>
  <si>
    <t>I5010A002402</t>
  </si>
  <si>
    <t>SANDERS CHARLES JAMES SR</t>
  </si>
  <si>
    <t>SANDERS NATALIE NICOLLE</t>
  </si>
  <si>
    <t>B30000002201</t>
  </si>
  <si>
    <t>HAWKINS RAYVON</t>
  </si>
  <si>
    <t>1500 MARBLE STREET</t>
  </si>
  <si>
    <t>N60000008203</t>
  </si>
  <si>
    <t>FERRELL CHARLES</t>
  </si>
  <si>
    <t>1133 CHERRY HILL RD</t>
  </si>
  <si>
    <t>K50000008309</t>
  </si>
  <si>
    <t>TORRES CARRIZAL ORALIA</t>
  </si>
  <si>
    <t>671 WILL BOONE RD</t>
  </si>
  <si>
    <t>27028-5486</t>
  </si>
  <si>
    <t>I100000030</t>
  </si>
  <si>
    <t>RATLEDGE MARY J IRREV DISC TR</t>
  </si>
  <si>
    <t>BECK SHARON TRUSTEE</t>
  </si>
  <si>
    <t>1865 GODBEY RD</t>
  </si>
  <si>
    <t>27028-8252</t>
  </si>
  <si>
    <t>C40000005102</t>
  </si>
  <si>
    <t>WEST LUTHER WILSON JR</t>
  </si>
  <si>
    <t>3393 NC HIGHWAY 801 N</t>
  </si>
  <si>
    <t>L400000026</t>
  </si>
  <si>
    <t>JAMES JOYCE DANIEL</t>
  </si>
  <si>
    <t>476 GLADSTONE ROAD</t>
  </si>
  <si>
    <t>C80000017806</t>
  </si>
  <si>
    <t>BERMUDA RUN OWNER LLC</t>
  </si>
  <si>
    <t>27235-0116</t>
  </si>
  <si>
    <t>C80000000302</t>
  </si>
  <si>
    <t>C80000017707</t>
  </si>
  <si>
    <t>L40000000102</t>
  </si>
  <si>
    <t>TYNER TROY A</t>
  </si>
  <si>
    <t>TYNER NOELLE H</t>
  </si>
  <si>
    <t>617 BUCK SEAFORD RD</t>
  </si>
  <si>
    <t>D700000208</t>
  </si>
  <si>
    <t>NEW VISION TRUST</t>
  </si>
  <si>
    <t>BELL RICHARD W ETAL</t>
  </si>
  <si>
    <t>311 ODELL MYERS RD</t>
  </si>
  <si>
    <t>27006-7436</t>
  </si>
  <si>
    <t>BELL RICHARD W   ETAL</t>
  </si>
  <si>
    <t>E8110C0016</t>
  </si>
  <si>
    <t>PARRISH JOSEPH CHADWICK</t>
  </si>
  <si>
    <t>PARRISH KAILA DAVIS</t>
  </si>
  <si>
    <t>248 WESTRIDGE RD</t>
  </si>
  <si>
    <t>D8070A0040</t>
  </si>
  <si>
    <t>HARVELL ROGER LEE JR</t>
  </si>
  <si>
    <t>149 GOLFVIEW DR</t>
  </si>
  <si>
    <t>I4140A0013</t>
  </si>
  <si>
    <t>JOHNSON DINNA L</t>
  </si>
  <si>
    <t>188 GREY ST</t>
  </si>
  <si>
    <t>E900000049</t>
  </si>
  <si>
    <t>MORRA BRIAN A</t>
  </si>
  <si>
    <t>MORRA JULIE B</t>
  </si>
  <si>
    <t>127 SUNTREE DR</t>
  </si>
  <si>
    <t>G100000022</t>
  </si>
  <si>
    <t>POWELL KEVIN DYLAN</t>
  </si>
  <si>
    <t>POWELL JASON DAVID</t>
  </si>
  <si>
    <t>1460 COUNTY LINE RD</t>
  </si>
  <si>
    <t>E900000661</t>
  </si>
  <si>
    <t>FURR RICHARD M TRUSTEE</t>
  </si>
  <si>
    <t>FURR LANA J TRUSTEE</t>
  </si>
  <si>
    <t>145 ST ANDREWS DRIVE</t>
  </si>
  <si>
    <t>H4200A0002</t>
  </si>
  <si>
    <t>HILTON MADISON BELL</t>
  </si>
  <si>
    <t>HILTON ALAN MICHAEL</t>
  </si>
  <si>
    <t>127 COPPERFIELD DRIVE</t>
  </si>
  <si>
    <t>C8030C0013</t>
  </si>
  <si>
    <t>TRADEMART PROPERTIES LLC</t>
  </si>
  <si>
    <t>325 YADKIN VALLEY RD</t>
  </si>
  <si>
    <t>I70000000901</t>
  </si>
  <si>
    <t>BOBBITT TIMOTHY S</t>
  </si>
  <si>
    <t>457 MERRELLS LAKE RD</t>
  </si>
  <si>
    <t>J5170A0016</t>
  </si>
  <si>
    <t>PECK KENNETH ROBERT</t>
  </si>
  <si>
    <t>PECK DANA KAYE</t>
  </si>
  <si>
    <t>160 MARBROOK DR</t>
  </si>
  <si>
    <t>27028-7377</t>
  </si>
  <si>
    <t>D9010E0004</t>
  </si>
  <si>
    <t>PALMER RAYMOND W</t>
  </si>
  <si>
    <t>303 BEN CROSBY BLVD</t>
  </si>
  <si>
    <t>C8010C0020</t>
  </si>
  <si>
    <t>MACKLEY JAMES C</t>
  </si>
  <si>
    <t>GRAY CHERYL E</t>
  </si>
  <si>
    <t>311 KILBOURNE DR</t>
  </si>
  <si>
    <t>D8060B0011</t>
  </si>
  <si>
    <t>KEY CASSANDRA A</t>
  </si>
  <si>
    <t>KEY PRESTON C</t>
  </si>
  <si>
    <t>128 BENT ST</t>
  </si>
  <si>
    <t>27006-9583</t>
  </si>
  <si>
    <t>I4140B0017</t>
  </si>
  <si>
    <t>I5080B0011</t>
  </si>
  <si>
    <t>G800000008</t>
  </si>
  <si>
    <t>HENDRIX EMILY JANE ZIMMERMAN</t>
  </si>
  <si>
    <t>277 MARKLAND RD</t>
  </si>
  <si>
    <t>27006-7020</t>
  </si>
  <si>
    <t>K30000004802</t>
  </si>
  <si>
    <t>POTTS JACOB FRANKLIN</t>
  </si>
  <si>
    <t>1885 JERICHO CHURCH RD</t>
  </si>
  <si>
    <t>I100000034</t>
  </si>
  <si>
    <t>KILBY THOMAS ARNOLD</t>
  </si>
  <si>
    <t>KILBY SHERRI DISHMAN</t>
  </si>
  <si>
    <t>2246 DAVIE ACADEMY ROAD</t>
  </si>
  <si>
    <t>Klogan</t>
  </si>
  <si>
    <t>I1110B0001</t>
  </si>
  <si>
    <t>CARTER CARL DEREK</t>
  </si>
  <si>
    <t>229 OAK TREE DRIVE</t>
  </si>
  <si>
    <t>E600000015</t>
  </si>
  <si>
    <t>H40000009304</t>
  </si>
  <si>
    <t>MOCKSVILLE POINTE LLC</t>
  </si>
  <si>
    <t>27628-6171</t>
  </si>
  <si>
    <t>B300000022</t>
  </si>
  <si>
    <t>HAWKINS HAYWOOD HEIRS</t>
  </si>
  <si>
    <t>B30000002202</t>
  </si>
  <si>
    <t>I700000055</t>
  </si>
  <si>
    <t>WALSER DANIEL MATTHEW</t>
  </si>
  <si>
    <t>1041 FORK BIXBY RD</t>
  </si>
  <si>
    <t>G80000004901</t>
  </si>
  <si>
    <t>COPE TOMMY LEE</t>
  </si>
  <si>
    <t>COPE KAREN NEZAT</t>
  </si>
  <si>
    <t>331 FEED MILL ROAD</t>
  </si>
  <si>
    <t>G800000047  A</t>
  </si>
  <si>
    <t>I5110A0020</t>
  </si>
  <si>
    <t>NEELY SHELBY J</t>
  </si>
  <si>
    <t>343 MT VIEW DRIVE</t>
  </si>
  <si>
    <t>J600000082</t>
  </si>
  <si>
    <t>GAITHER MAGALENE D</t>
  </si>
  <si>
    <t>1938 HIGHWAY 64 EAST</t>
  </si>
  <si>
    <t>I400000002</t>
  </si>
  <si>
    <t>SHELTON BOBBY JOE</t>
  </si>
  <si>
    <t>SHELTON PEGGY O</t>
  </si>
  <si>
    <t>I40000000102</t>
  </si>
  <si>
    <t>H30000009102</t>
  </si>
  <si>
    <t>F20000005301</t>
  </si>
  <si>
    <t>KUHN ROBERT R JR</t>
  </si>
  <si>
    <t>KUHN VICKI V</t>
  </si>
  <si>
    <t>202 HIDDEN MEADOWS TRL</t>
  </si>
  <si>
    <t>27028-4976</t>
  </si>
  <si>
    <t>F200000053</t>
  </si>
  <si>
    <t>I80000000110</t>
  </si>
  <si>
    <t>PLYBON SHAUN F</t>
  </si>
  <si>
    <t>PLYBON MARY S</t>
  </si>
  <si>
    <t>253 LIVENGOOD RD</t>
  </si>
  <si>
    <t>D40000003003</t>
  </si>
  <si>
    <t>HINES MARY C</t>
  </si>
  <si>
    <t>1771 CANA ROAD</t>
  </si>
  <si>
    <t>L50000000101</t>
  </si>
  <si>
    <t>MCCULLOUGH ERVIN D</t>
  </si>
  <si>
    <t>MCCULLOUGH PRISCILLA G</t>
  </si>
  <si>
    <t>367 DANIEL RD</t>
  </si>
  <si>
    <t>27028-5121</t>
  </si>
  <si>
    <t>L500000002</t>
  </si>
  <si>
    <t>L400000044</t>
  </si>
  <si>
    <t>K60000004501</t>
  </si>
  <si>
    <t>477 JOE RD</t>
  </si>
  <si>
    <t>J4050C0013</t>
  </si>
  <si>
    <t>DAVIE DEVELOPMENT COMPANY LLC</t>
  </si>
  <si>
    <t>J4120C0008</t>
  </si>
  <si>
    <t>J4140A000102</t>
  </si>
  <si>
    <t>J4050C0012</t>
  </si>
  <si>
    <t>I6140A0045</t>
  </si>
  <si>
    <t>WILLARD STEPHANIE D</t>
  </si>
  <si>
    <t>466 CORNATZER RD</t>
  </si>
  <si>
    <t>H30000003202</t>
  </si>
  <si>
    <t>TROYER PHILIP D</t>
  </si>
  <si>
    <t>295 JOE SUMMERS RD</t>
  </si>
  <si>
    <t>27054-9163</t>
  </si>
  <si>
    <t>G7070A0004</t>
  </si>
  <si>
    <t>REINS LISA ANN</t>
  </si>
  <si>
    <t>330 BALTIMORE TRAILS LN</t>
  </si>
  <si>
    <t>C80000000114</t>
  </si>
  <si>
    <t>AUTUMN GROVE ESTATE TRUST</t>
  </si>
  <si>
    <t>BELFORD PETER TRUSTEE</t>
  </si>
  <si>
    <t>3630 CLEMMONS RD # 1507</t>
  </si>
  <si>
    <t>27012-1466</t>
  </si>
  <si>
    <t>C8010A0417</t>
  </si>
  <si>
    <t>HARLAN DALE RICHARD</t>
  </si>
  <si>
    <t>HARLAN JETTIE CAROL</t>
  </si>
  <si>
    <t>196 PARKVIEW LN</t>
  </si>
  <si>
    <t>H60000001701</t>
  </si>
  <si>
    <t>TEAGUE DOUGLAS E</t>
  </si>
  <si>
    <t>TEAGUE PEGGY J</t>
  </si>
  <si>
    <t>129 SANCTUARY LN</t>
  </si>
  <si>
    <t>H60000002002</t>
  </si>
  <si>
    <t>I70000007102</t>
  </si>
  <si>
    <t>ENGLERT WILLIAM R</t>
  </si>
  <si>
    <t>ENGLERT SHERYL L</t>
  </si>
  <si>
    <t>483 COMANCHE DR</t>
  </si>
  <si>
    <t>E900000549</t>
  </si>
  <si>
    <t>ADERHOLD MARK TORRENCE</t>
  </si>
  <si>
    <t>ADERHOLD DANA PARKER</t>
  </si>
  <si>
    <t>117 N HIDDENBROOKE DRIVE</t>
  </si>
  <si>
    <t>I4140B0014</t>
  </si>
  <si>
    <t>MCGEE CYNTHIA A</t>
  </si>
  <si>
    <t>316 RAYMOND ST</t>
  </si>
  <si>
    <t>27028-2348</t>
  </si>
  <si>
    <t>I400000001</t>
  </si>
  <si>
    <t>1257 W US HWY 64</t>
  </si>
  <si>
    <t>K300000049</t>
  </si>
  <si>
    <t>I1110B0002</t>
  </si>
  <si>
    <t>F20000002313</t>
  </si>
  <si>
    <t>GILPIN LESLIE W</t>
  </si>
  <si>
    <t>GILPIN PAMELA JEAN</t>
  </si>
  <si>
    <t>413 GEORGIA RD</t>
  </si>
  <si>
    <t>27028-5803</t>
  </si>
  <si>
    <t>F20000002314</t>
  </si>
  <si>
    <t>DURHAM JAMES LYNN</t>
  </si>
  <si>
    <t>401 GEORGIA RD</t>
  </si>
  <si>
    <t>G80000004702</t>
  </si>
  <si>
    <t>G80000004701</t>
  </si>
  <si>
    <t>K40000004320</t>
  </si>
  <si>
    <t>RIVER GAIT FARM LLC</t>
  </si>
  <si>
    <t>504 BUCK SEAFORD RD</t>
  </si>
  <si>
    <t>27028-4124</t>
  </si>
  <si>
    <t>C700000071  B</t>
  </si>
  <si>
    <t>WEST MARK F</t>
  </si>
  <si>
    <t>198 TWIN STONE TRAIL</t>
  </si>
  <si>
    <t>27006-7345</t>
  </si>
  <si>
    <t>G500000007</t>
  </si>
  <si>
    <t>MCCLAMROCK JOYCE ANN</t>
  </si>
  <si>
    <t>181 LOWDER LN</t>
  </si>
  <si>
    <t>27028-4244</t>
  </si>
  <si>
    <t>G50000003901</t>
  </si>
  <si>
    <t>G50000000704</t>
  </si>
  <si>
    <t>J80000002205</t>
  </si>
  <si>
    <t>HOBSON BEVERLY PACK</t>
  </si>
  <si>
    <t>PACK STANLEY GILBERT</t>
  </si>
  <si>
    <t>3150 HARPER RD</t>
  </si>
  <si>
    <t>I800000024</t>
  </si>
  <si>
    <t>I800000031</t>
  </si>
  <si>
    <t>J80000002204</t>
  </si>
  <si>
    <t>J800000023</t>
  </si>
  <si>
    <t>K400000001</t>
  </si>
  <si>
    <t>WHITT DEBORAH S</t>
  </si>
  <si>
    <t>170 S M WHITT DR</t>
  </si>
  <si>
    <t>27028-5436</t>
  </si>
  <si>
    <t>K40000000106</t>
  </si>
  <si>
    <t>D500000041</t>
  </si>
  <si>
    <t>TYLER GENEVA SMITH</t>
  </si>
  <si>
    <t>SHAW GREGORY LAUVA</t>
  </si>
  <si>
    <t>905 WEST 25TH STREET</t>
  </si>
  <si>
    <t>J4040A0016</t>
  </si>
  <si>
    <t>I400000096</t>
  </si>
  <si>
    <t>J4050C001301</t>
  </si>
  <si>
    <t>I800000049</t>
  </si>
  <si>
    <t>WATSON THOMAS FRANKLIN</t>
  </si>
  <si>
    <t>WATSON TIFFANY A</t>
  </si>
  <si>
    <t>184 MERRY LN</t>
  </si>
  <si>
    <t>I50000000202</t>
  </si>
  <si>
    <t>LETOURNEAU KATHLEEN E</t>
  </si>
  <si>
    <t>11894 BRIER PATCH COURT</t>
  </si>
  <si>
    <t>WELLINGTON</t>
  </si>
  <si>
    <t>I4120B0019</t>
  </si>
  <si>
    <t>MASTIN ROBERT CLAY</t>
  </si>
  <si>
    <t>P O BOX 97</t>
  </si>
  <si>
    <t>H30000009211</t>
  </si>
  <si>
    <t>EAST COAST INTERSTATE DEVELOPMENT LLC</t>
  </si>
  <si>
    <t>136 TRIPLE J LN</t>
  </si>
  <si>
    <t>27028-5500</t>
  </si>
  <si>
    <t>I80000004901</t>
  </si>
  <si>
    <t>H600000004</t>
  </si>
  <si>
    <t>RATLEDGE CAROL</t>
  </si>
  <si>
    <t>1409 MILLING RD</t>
  </si>
  <si>
    <t>27028-4303</t>
  </si>
  <si>
    <t>O60000003203</t>
  </si>
  <si>
    <t>FOX ANDREW DEAN</t>
  </si>
  <si>
    <t>FOX LAURIE A</t>
  </si>
  <si>
    <t>140 MOHEGAN TRAIL</t>
  </si>
  <si>
    <t>D9090E0010</t>
  </si>
  <si>
    <t>MUNGUIA ARTHUR A</t>
  </si>
  <si>
    <t>MUNGUIA DORIS</t>
  </si>
  <si>
    <t>225 OLEANDER DR</t>
  </si>
  <si>
    <t>27006-8402</t>
  </si>
  <si>
    <t>G50000000701</t>
  </si>
  <si>
    <t>ALLEY WILLIAM E</t>
  </si>
  <si>
    <t>ALLEY PATRICIA C</t>
  </si>
  <si>
    <t>250 S ANGELL RD</t>
  </si>
  <si>
    <t>27028-4938</t>
  </si>
  <si>
    <t>G8120B0011</t>
  </si>
  <si>
    <t>CONRAD DENISE DUNCAN</t>
  </si>
  <si>
    <t>121 SHUTT RD</t>
  </si>
  <si>
    <t>F300000006  A</t>
  </si>
  <si>
    <t>RATLEDGE JOHN DAVID JR</t>
  </si>
  <si>
    <t>168 RALPH RATLEDGE RD</t>
  </si>
  <si>
    <t>27028-8326</t>
  </si>
  <si>
    <t>L80000002501</t>
  </si>
  <si>
    <t>MCCARTHY CHARLES ANDREW</t>
  </si>
  <si>
    <t>1251 RED OAK LN</t>
  </si>
  <si>
    <t>27106-4442</t>
  </si>
  <si>
    <t>B70000005502</t>
  </si>
  <si>
    <t>RIDDLE KAREN FRYE</t>
  </si>
  <si>
    <t>C70000002902</t>
  </si>
  <si>
    <t>B700000055</t>
  </si>
  <si>
    <t>502 GRIFFITH RD</t>
  </si>
  <si>
    <t>27006-8734</t>
  </si>
  <si>
    <t>B70000005501</t>
  </si>
  <si>
    <t>F90000000101</t>
  </si>
  <si>
    <t>JONES C LEONARD &amp; MARY NELL</t>
  </si>
  <si>
    <t>WATSON JANNA MARIE JONES</t>
  </si>
  <si>
    <t>889 UNDERPASS RD</t>
  </si>
  <si>
    <t>27006-7527</t>
  </si>
  <si>
    <t>D20000003808</t>
  </si>
  <si>
    <t>LITTLE SARA LEE</t>
  </si>
  <si>
    <t>SANGALLO JOSEPH JAMES JR</t>
  </si>
  <si>
    <t>228 MEADOW GLEN LANE</t>
  </si>
  <si>
    <t>I80000000109</t>
  </si>
  <si>
    <t>D80000002605</t>
  </si>
  <si>
    <t>DAVIE COUNTY</t>
  </si>
  <si>
    <t>123 S MAIN ST</t>
  </si>
  <si>
    <t>27028-2464</t>
  </si>
  <si>
    <t>H80000004102</t>
  </si>
  <si>
    <t>COMBS MATTHEW SCOTT</t>
  </si>
  <si>
    <t>1137 BAILEYS CHAPEL RD</t>
  </si>
  <si>
    <t>27006-7148</t>
  </si>
  <si>
    <t>H80000004107</t>
  </si>
  <si>
    <t>D300000018</t>
  </si>
  <si>
    <t>DRIVER JERRY WAYNE</t>
  </si>
  <si>
    <t>158 CRABTREE ROAD</t>
  </si>
  <si>
    <t>I200000025</t>
  </si>
  <si>
    <t>LEE CHARLES R JR</t>
  </si>
  <si>
    <t>429 VANZANT ROAD</t>
  </si>
  <si>
    <t>G3060E0004</t>
  </si>
  <si>
    <t>VAUGHTERS PAMELA</t>
  </si>
  <si>
    <t>248 KENDALL FARMS CT</t>
  </si>
  <si>
    <t>27107-6893</t>
  </si>
  <si>
    <t>J700000091</t>
  </si>
  <si>
    <t>BOOIE JEFFREY WAYNE</t>
  </si>
  <si>
    <t>246 HAMILTON RD</t>
  </si>
  <si>
    <t>E900000707</t>
  </si>
  <si>
    <t>ROGERS JOSEPH O &amp; JOYCE E</t>
  </si>
  <si>
    <t>LIVING REV TRUST</t>
  </si>
  <si>
    <t>112 CAUDLE MEADOWS DR</t>
  </si>
  <si>
    <t>27006-6971</t>
  </si>
  <si>
    <t>E900000250</t>
  </si>
  <si>
    <t>LONCAR DAMIAN JOSEPH</t>
  </si>
  <si>
    <t>LONCAR JAMIE MARIE</t>
  </si>
  <si>
    <t>182 ISLEWORTH DR</t>
  </si>
  <si>
    <t>L400000052</t>
  </si>
  <si>
    <t>SANFORD RANDI R</t>
  </si>
  <si>
    <t>WOERZ ERIC SCOTT</t>
  </si>
  <si>
    <t>644 GLADSTONE RD</t>
  </si>
  <si>
    <t>M60000003705</t>
  </si>
  <si>
    <t>BEAVER BRIAN JUSTIN</t>
  </si>
  <si>
    <t>*</t>
  </si>
  <si>
    <t>205 COUNTRY MILE LANE</t>
  </si>
  <si>
    <t>E9150B0093</t>
  </si>
  <si>
    <t>JOYCE LEIGH ANN BLEVINS</t>
  </si>
  <si>
    <t>JOYCE KEITH HALL</t>
  </si>
  <si>
    <t>283 ORCHARD PARK DRIVE</t>
  </si>
  <si>
    <t>J10000005303</t>
  </si>
  <si>
    <t>STROUD SUSAN ANNETTE</t>
  </si>
  <si>
    <t>2159 DAVIE ACADEMY ROAD</t>
  </si>
  <si>
    <t>C8030A000401</t>
  </si>
  <si>
    <t>FOSTER RONALD JR</t>
  </si>
  <si>
    <t>FOSTER LORRAINE</t>
  </si>
  <si>
    <t>156 PINEWOOD LN UNIT 101</t>
  </si>
  <si>
    <t>27006-8639</t>
  </si>
  <si>
    <t>H400000154</t>
  </si>
  <si>
    <t>BLACK DOG ASSOCIATES LLC</t>
  </si>
  <si>
    <t>PO BOX 969</t>
  </si>
  <si>
    <t>H400000157</t>
  </si>
  <si>
    <t>J7120A000901</t>
  </si>
  <si>
    <t>164 GOLDMAN LN</t>
  </si>
  <si>
    <t>27028-5301</t>
  </si>
  <si>
    <t>J7120A0010</t>
  </si>
  <si>
    <t>F700000019</t>
  </si>
  <si>
    <t>F700000020</t>
  </si>
  <si>
    <t>CORNATZER JERRY W ETAL</t>
  </si>
  <si>
    <t>CORNATZER GORDON GRAY</t>
  </si>
  <si>
    <t>1001 BALTIMORE RD</t>
  </si>
  <si>
    <t>27006-7820</t>
  </si>
  <si>
    <t>F70000002001</t>
  </si>
  <si>
    <t>D60000006202</t>
  </si>
  <si>
    <t>TALPEY ANTHONY R</t>
  </si>
  <si>
    <t>TALPEY MICHELLE C</t>
  </si>
  <si>
    <t>288 HARPER RD</t>
  </si>
  <si>
    <t>27006-6667</t>
  </si>
  <si>
    <t>J600000091</t>
  </si>
  <si>
    <t>RUPARD C B HEIRS</t>
  </si>
  <si>
    <t>% CLARENCE ARTHUR RUPARD</t>
  </si>
  <si>
    <t>J60000002803</t>
  </si>
  <si>
    <t>DALTON TIMOTHY</t>
  </si>
  <si>
    <t>445 DALTON ROAD</t>
  </si>
  <si>
    <t>H2050B0016</t>
  </si>
  <si>
    <t>SHAFFER STEPHEN DOUGLAS</t>
  </si>
  <si>
    <t>133 SHEFFIELD RD</t>
  </si>
  <si>
    <t>27028-8415</t>
  </si>
  <si>
    <t>G4080A0018</t>
  </si>
  <si>
    <t>BARNEYCASTLE CHRISTOPHER DALE</t>
  </si>
  <si>
    <t>1399 MAIN CHURCH ROAD EXT</t>
  </si>
  <si>
    <t>27028-5874</t>
  </si>
  <si>
    <t>D9050A0005</t>
  </si>
  <si>
    <t>COOK MARK EVERHART</t>
  </si>
  <si>
    <t>COOK BOBBIE BEST</t>
  </si>
  <si>
    <t>5413 MERION STATION DRIVE</t>
  </si>
  <si>
    <t>I4110A001101</t>
  </si>
  <si>
    <t>DULL GARY</t>
  </si>
  <si>
    <t>DULL DEBORAH</t>
  </si>
  <si>
    <t>258 EDWARD BECK RD</t>
  </si>
  <si>
    <t>I4110A0013</t>
  </si>
  <si>
    <t>L5090B0015</t>
  </si>
  <si>
    <t>POLK ADA M ETAL</t>
  </si>
  <si>
    <t>KELLY CAROL YVONNE</t>
  </si>
  <si>
    <t>375 GLADSTONE RD</t>
  </si>
  <si>
    <t>27028-5234</t>
  </si>
  <si>
    <t>N5010D0006</t>
  </si>
  <si>
    <t>SHOOK LENA JAMES</t>
  </si>
  <si>
    <t>PO BOX 55</t>
  </si>
  <si>
    <t>27014-0055</t>
  </si>
  <si>
    <t>N5010D0008</t>
  </si>
  <si>
    <t>N5010D0010</t>
  </si>
  <si>
    <t>N5010D0007</t>
  </si>
  <si>
    <t>N5010D0009</t>
  </si>
  <si>
    <t>C8010A0255</t>
  </si>
  <si>
    <t>BROWN JORDAN</t>
  </si>
  <si>
    <t>BROWN FAYTH</t>
  </si>
  <si>
    <t>242 BRIDGEWATER DR</t>
  </si>
  <si>
    <t>I200000037</t>
  </si>
  <si>
    <t>WHELPLEY KENNETH P III</t>
  </si>
  <si>
    <t>WHELPLEY DANIELLE M</t>
  </si>
  <si>
    <t>567 GODBEY RD</t>
  </si>
  <si>
    <t>27028-8239</t>
  </si>
  <si>
    <t>B30000005209</t>
  </si>
  <si>
    <t>HALL TIMMY LEE</t>
  </si>
  <si>
    <t>WALKER DEIDRE HALL</t>
  </si>
  <si>
    <t>318 BLEVINS ROAD</t>
  </si>
  <si>
    <t>G800000231</t>
  </si>
  <si>
    <t>PENNINGTON JOHN C</t>
  </si>
  <si>
    <t>PENNINGTON MELINDA C</t>
  </si>
  <si>
    <t>194 RABBIT FIELD LN</t>
  </si>
  <si>
    <t>E300000020</t>
  </si>
  <si>
    <t>ROMINGER TRISTAN</t>
  </si>
  <si>
    <t>175 EARL RD</t>
  </si>
  <si>
    <t>27028-5756</t>
  </si>
  <si>
    <t>J5020A0006</t>
  </si>
  <si>
    <t>HINKLE HANNAH</t>
  </si>
  <si>
    <t>HINKLE CONG</t>
  </si>
  <si>
    <t>147 CRESTVIEW DR</t>
  </si>
  <si>
    <t>L50000009203</t>
  </si>
  <si>
    <t>BOGER DONNA BEAN</t>
  </si>
  <si>
    <t>BOGER RONNIE</t>
  </si>
  <si>
    <t>548 FAIRFIELD RD</t>
  </si>
  <si>
    <t>F500000046</t>
  </si>
  <si>
    <t>HENDRIX ROBERT S</t>
  </si>
  <si>
    <t>HENDRIX KAE WALL</t>
  </si>
  <si>
    <t>392 FARMINGTON ROAD</t>
  </si>
  <si>
    <t>J4060D0045</t>
  </si>
  <si>
    <t>BOSWELL STEVEN A</t>
  </si>
  <si>
    <t>BOSWELL LYNN T</t>
  </si>
  <si>
    <t>244 BEECHWOOD DR</t>
  </si>
  <si>
    <t>D8020A0029</t>
  </si>
  <si>
    <t>BRANNON MICHAEL JOSEPH</t>
  </si>
  <si>
    <t>WILSON-BRANNON VIRGINIA M</t>
  </si>
  <si>
    <t>1179 RIVERBEND DRIVE</t>
  </si>
  <si>
    <t>E9150B0111</t>
  </si>
  <si>
    <t>INGLE GREGORY G</t>
  </si>
  <si>
    <t>INGLE DIANA M</t>
  </si>
  <si>
    <t>361 ORCHARD PARK DRIVE</t>
  </si>
  <si>
    <t>L60000004504</t>
  </si>
  <si>
    <t>CROTTS PAMELA C</t>
  </si>
  <si>
    <t>261 RAG RD</t>
  </si>
  <si>
    <t>27028-5423</t>
  </si>
  <si>
    <t>F40000005201</t>
  </si>
  <si>
    <t>WOLFE DONALD J JR</t>
  </si>
  <si>
    <t>WOLFE ELIZABETH</t>
  </si>
  <si>
    <t>1916 WESTHEIMER DR</t>
  </si>
  <si>
    <t>F500000047</t>
  </si>
  <si>
    <t>F500000038</t>
  </si>
  <si>
    <t>D30000004506</t>
  </si>
  <si>
    <t>TRIVETTE MITCHELL S</t>
  </si>
  <si>
    <t>351 HOWELL RD</t>
  </si>
  <si>
    <t>27028-1431</t>
  </si>
  <si>
    <t>J70000005902</t>
  </si>
  <si>
    <t>MORENO VEGA OLIVIA</t>
  </si>
  <si>
    <t>HERNANDEZ VARGAS FIDEL</t>
  </si>
  <si>
    <t>310 MERRELLS LAKE RD</t>
  </si>
  <si>
    <t>O700000003</t>
  </si>
  <si>
    <t>TENNYSON LLC</t>
  </si>
  <si>
    <t>% DAVID ADDISON DAVIS</t>
  </si>
  <si>
    <t>310 POINT RD</t>
  </si>
  <si>
    <t>27028-6808</t>
  </si>
  <si>
    <t>O600000060</t>
  </si>
  <si>
    <t>H300000096  A</t>
  </si>
  <si>
    <t>ANGELL JONATHAN RUSSELL</t>
  </si>
  <si>
    <t>321 BRANTLEY FARM RD</t>
  </si>
  <si>
    <t>D30000004507</t>
  </si>
  <si>
    <t>D30000004508</t>
  </si>
  <si>
    <t>I5090B0001</t>
  </si>
  <si>
    <t>N MAIN STR CHURCH OF CHRIST</t>
  </si>
  <si>
    <t>605 N MAIN ST</t>
  </si>
  <si>
    <t>C8010A0205</t>
  </si>
  <si>
    <t>DAUBENSCHMIDT KURT</t>
  </si>
  <si>
    <t>DAUBENSCHMIDT ELLEN</t>
  </si>
  <si>
    <t>124 N FORKE DR</t>
  </si>
  <si>
    <t>E8160A0036</t>
  </si>
  <si>
    <t>RICKARD RODNEY A</t>
  </si>
  <si>
    <t>RICKARD CHERYL W</t>
  </si>
  <si>
    <t>118 MEADOW BROOK CT</t>
  </si>
  <si>
    <t>G60000000802</t>
  </si>
  <si>
    <t>WHITAKER BRADLEY SHANE</t>
  </si>
  <si>
    <t>WHITAKER CHRISTINA RICH</t>
  </si>
  <si>
    <t>163 FOSTER DAIRY RD</t>
  </si>
  <si>
    <t>G60000000801</t>
  </si>
  <si>
    <t>J4120A0019</t>
  </si>
  <si>
    <t>ETCHISON ERICA MICHELLE</t>
  </si>
  <si>
    <t>MEDLIN JOSHUA SHANNON</t>
  </si>
  <si>
    <t>309 DUKE ST</t>
  </si>
  <si>
    <t>27028-2756</t>
  </si>
  <si>
    <t>K30000001102</t>
  </si>
  <si>
    <t>STEWART JASON RAY</t>
  </si>
  <si>
    <t>STEWART ASHLEY R</t>
  </si>
  <si>
    <t>230 DWIGGINS RD</t>
  </si>
  <si>
    <t>K300000011</t>
  </si>
  <si>
    <t>D8070A0039</t>
  </si>
  <si>
    <t>HYLTON JAMES AUSTIN</t>
  </si>
  <si>
    <t>HYLTON JAN P</t>
  </si>
  <si>
    <t>147 GOLFVIEW DRIVE</t>
  </si>
  <si>
    <t>I700000031</t>
  </si>
  <si>
    <t>WORKMAN WENDY WILLIAMS</t>
  </si>
  <si>
    <t>27006-7193</t>
  </si>
  <si>
    <t>O60000003518</t>
  </si>
  <si>
    <t>MEYERHOEFFER MYRA C</t>
  </si>
  <si>
    <t>621 MAUPIN AVENUE</t>
  </si>
  <si>
    <t>O600000025</t>
  </si>
  <si>
    <t>F40000003803</t>
  </si>
  <si>
    <t>CREASON JEREMIAH E</t>
  </si>
  <si>
    <t>CREASON CARLY B</t>
  </si>
  <si>
    <t>586 CANA RD</t>
  </si>
  <si>
    <t>I5090E0015</t>
  </si>
  <si>
    <t>TAYLOR CHARLES WILLIAM</t>
  </si>
  <si>
    <t>TAYLOR LEEANN GODBEY</t>
  </si>
  <si>
    <t>472 N MAIN ST</t>
  </si>
  <si>
    <t>27028-2118</t>
  </si>
  <si>
    <t>D70000008901</t>
  </si>
  <si>
    <t>STARK SARITA MARGARETHA</t>
  </si>
  <si>
    <t>COLEMAN MELISSA CARRLENE LAIRD</t>
  </si>
  <si>
    <t>3695 SCOTTS MILL RUN</t>
  </si>
  <si>
    <t>DULUTH</t>
  </si>
  <si>
    <t>30096-2948</t>
  </si>
  <si>
    <t>C8030B0004</t>
  </si>
  <si>
    <t>CLONINGER ZENDA L</t>
  </si>
  <si>
    <t>CLONINGER ROBERT L</t>
  </si>
  <si>
    <t>292 TOWN PARK DR UT 102</t>
  </si>
  <si>
    <t>C7100B0002</t>
  </si>
  <si>
    <t>REID FRANKLIN P</t>
  </si>
  <si>
    <t>REID AMY F</t>
  </si>
  <si>
    <t>115 RENEE DR</t>
  </si>
  <si>
    <t>E8060A0005</t>
  </si>
  <si>
    <t>STAIN KERRI L</t>
  </si>
  <si>
    <t>179 RIVER RD</t>
  </si>
  <si>
    <t>F80000002107</t>
  </si>
  <si>
    <t>BLANKENSHIP KEVIN</t>
  </si>
  <si>
    <t>BLANKENSHIP ELIZABETH</t>
  </si>
  <si>
    <t>190 BEAUCHAMP RD</t>
  </si>
  <si>
    <t>E20000002102</t>
  </si>
  <si>
    <t>IDOL OLIN D &amp; MYRA L REV LIV TR</t>
  </si>
  <si>
    <t>IDOL OLIN &amp; MYRA TRUSTEES</t>
  </si>
  <si>
    <t>977 DUKE WHITTAKER RD</t>
  </si>
  <si>
    <t>27028-5748</t>
  </si>
  <si>
    <t>B400000012</t>
  </si>
  <si>
    <t>SHEETS TRAVIS MCLEAD</t>
  </si>
  <si>
    <t>SHEETS MISTY MCEWEN</t>
  </si>
  <si>
    <t>114 RYANS WAY</t>
  </si>
  <si>
    <t>I1120A0003</t>
  </si>
  <si>
    <t>388 OAKLAND AVE</t>
  </si>
  <si>
    <t>I5060A0015</t>
  </si>
  <si>
    <t>ELLING SHIRLEY T</t>
  </si>
  <si>
    <t>285 WHITNEY RD</t>
  </si>
  <si>
    <t>C8010A0069</t>
  </si>
  <si>
    <t>BUTNER JOYCE ANN</t>
  </si>
  <si>
    <t>118 PARKVIEW LN</t>
  </si>
  <si>
    <t>H5170A0059</t>
  </si>
  <si>
    <t>NELSON GREGG M REV TRUST</t>
  </si>
  <si>
    <t>NELSON GREGG M TRUSTEE</t>
  </si>
  <si>
    <t>127 ARBOR HILL AVE</t>
  </si>
  <si>
    <t>E900000422</t>
  </si>
  <si>
    <t>KLINE CHRISTINE ELIZABETH</t>
  </si>
  <si>
    <t>145 BROADMOOR DR</t>
  </si>
  <si>
    <t>H700000076</t>
  </si>
  <si>
    <t>CLONTZ WILLIAM BRODIS</t>
  </si>
  <si>
    <t>CLONTZ DARLA HARALDSON</t>
  </si>
  <si>
    <t>130 LESLIE CT</t>
  </si>
  <si>
    <t>27006-9442</t>
  </si>
  <si>
    <t>I5050D0016</t>
  </si>
  <si>
    <t>CARROLL CAROLYN</t>
  </si>
  <si>
    <t>416 WHITNEY RD</t>
  </si>
  <si>
    <t>27028-2846</t>
  </si>
  <si>
    <t>K3050A0016</t>
  </si>
  <si>
    <t>MOXLEY AMESHA LYNN</t>
  </si>
  <si>
    <t>172 CAROLINA AVE</t>
  </si>
  <si>
    <t>D60000006401</t>
  </si>
  <si>
    <t>VINEYARD PATRICIA</t>
  </si>
  <si>
    <t>8817 LAKE PINES DRIVE</t>
  </si>
  <si>
    <t>CORNELIUS</t>
  </si>
  <si>
    <t>L70000000204</t>
  </si>
  <si>
    <t>1420 DEADMON RD</t>
  </si>
  <si>
    <t>L60000003501</t>
  </si>
  <si>
    <t>L60000003502</t>
  </si>
  <si>
    <t>L60000003503</t>
  </si>
  <si>
    <t>GRAVES R DWAYNE</t>
  </si>
  <si>
    <t>HOWARD CARLA GRAVES</t>
  </si>
  <si>
    <t>1402 DEADMON RD</t>
  </si>
  <si>
    <t>E70000006003</t>
  </si>
  <si>
    <t>FERGUSON JEFFREY KEITH</t>
  </si>
  <si>
    <t>474 JUNEY BEAUCHAMP RD</t>
  </si>
  <si>
    <t>G30000003101</t>
  </si>
  <si>
    <t>BOSTICK DUSTIN LEE</t>
  </si>
  <si>
    <t>1125 DAVIE ACADEMY RD</t>
  </si>
  <si>
    <t>27028-5138</t>
  </si>
  <si>
    <t>K20000005402</t>
  </si>
  <si>
    <t>BOSTICK DUSTIN</t>
  </si>
  <si>
    <t>BOSTICK AMBER BECK</t>
  </si>
  <si>
    <t>1125 DAVIE ACADEMY ROAD</t>
  </si>
  <si>
    <t>J5010D0061</t>
  </si>
  <si>
    <t>MANDIGO JO-ANN</t>
  </si>
  <si>
    <t>126 APPLEGATE CT</t>
  </si>
  <si>
    <t>N5010A0005</t>
  </si>
  <si>
    <t>GOMEZ EZEQUIEL</t>
  </si>
  <si>
    <t>GOMEZ PATRICIA</t>
  </si>
  <si>
    <t>PO BOX 608</t>
  </si>
  <si>
    <t>27014-0608</t>
  </si>
  <si>
    <t>B700000063</t>
  </si>
  <si>
    <t>WALKER BETH LOUISA</t>
  </si>
  <si>
    <t>246 GRIFFITH RD</t>
  </si>
  <si>
    <t>L50000004404</t>
  </si>
  <si>
    <t>HAMPTON THOMAS KEITH</t>
  </si>
  <si>
    <t>27014-0301</t>
  </si>
  <si>
    <t>E900000599</t>
  </si>
  <si>
    <t>STEED WILLIAM PAGE REV TRUST</t>
  </si>
  <si>
    <t>STEED WILLIAM P TRUSTEE</t>
  </si>
  <si>
    <t>128 W EDEN COURSE DR</t>
  </si>
  <si>
    <t>I5160B0010</t>
  </si>
  <si>
    <t>COTHREN KATHIE LEE</t>
  </si>
  <si>
    <t>419 PINE ST</t>
  </si>
  <si>
    <t>B700000013</t>
  </si>
  <si>
    <t>JARRELL CLYDE CRISTON</t>
  </si>
  <si>
    <t>JARRELL DONNA WILSON</t>
  </si>
  <si>
    <t>159 JESSE KING RD</t>
  </si>
  <si>
    <t>D9050A0039</t>
  </si>
  <si>
    <t>TORTORIELLO NICHOLAS D</t>
  </si>
  <si>
    <t>3225 BERMUDA VLG</t>
  </si>
  <si>
    <t>27006-9478</t>
  </si>
  <si>
    <t>F30000006802</t>
  </si>
  <si>
    <t>NOAH WESLEY T</t>
  </si>
  <si>
    <t>231 BRACKEN RD</t>
  </si>
  <si>
    <t>27028-5653</t>
  </si>
  <si>
    <t>F80000004101</t>
  </si>
  <si>
    <t>BELL JOY DENISE CATES</t>
  </si>
  <si>
    <t>BELL DONALD GRAY</t>
  </si>
  <si>
    <t>142 LYBROOK RD</t>
  </si>
  <si>
    <t>F8020B0044</t>
  </si>
  <si>
    <t>BOURASSA PAUL L</t>
  </si>
  <si>
    <t>BOURASSA BETTY L</t>
  </si>
  <si>
    <t>222 HIGH MEADOWS RD</t>
  </si>
  <si>
    <t>27006-7894</t>
  </si>
  <si>
    <t>I5070B001303</t>
  </si>
  <si>
    <t>SKIBSTED DONNA G</t>
  </si>
  <si>
    <t>SKIBSTED ROBERT C</t>
  </si>
  <si>
    <t>125 LAKEVIEW DR</t>
  </si>
  <si>
    <t>D9050B0017</t>
  </si>
  <si>
    <t>WOMBLE THOMAS C</t>
  </si>
  <si>
    <t>WOMBLE JO M</t>
  </si>
  <si>
    <t>3302 BERMUDA VILLAGE DRIVE</t>
  </si>
  <si>
    <t>N600000077</t>
  </si>
  <si>
    <t>SINGLETON JOHN A</t>
  </si>
  <si>
    <t>J4060C0004</t>
  </si>
  <si>
    <t>MCBRIDE JAMES BARRY</t>
  </si>
  <si>
    <t>MCBRIDE BARBARA ANN BOGER</t>
  </si>
  <si>
    <t>904 HARDISON STREET</t>
  </si>
  <si>
    <t>C400000031</t>
  </si>
  <si>
    <t>MOUNTZOURES MELISSA</t>
  </si>
  <si>
    <t>MOUNTZOURES PHILIP J</t>
  </si>
  <si>
    <t>201 NORTH PINO ROAD</t>
  </si>
  <si>
    <t>E8160A0022</t>
  </si>
  <si>
    <t>SISSON RYAN MATTHEW</t>
  </si>
  <si>
    <t>SISSON CAROLINE GREY BELL</t>
  </si>
  <si>
    <t>142 MEADOWS EDGE DR</t>
  </si>
  <si>
    <t>N700000001</t>
  </si>
  <si>
    <t>C80000017810</t>
  </si>
  <si>
    <t>THREE PLUS LLC</t>
  </si>
  <si>
    <t>D30000003904</t>
  </si>
  <si>
    <t>GONZALEZ DANIEL MARTIN</t>
  </si>
  <si>
    <t>GONZALEZ JOANNA MARIE</t>
  </si>
  <si>
    <t>1271 EATONS CHURCH RD</t>
  </si>
  <si>
    <t>N5080B0010</t>
  </si>
  <si>
    <t>HERNANDEZ-TREVINO JUAN CARLOS</t>
  </si>
  <si>
    <t>SALGADO DIANA LAURA RODRIGUEZ</t>
  </si>
  <si>
    <t>214 E INNES ST</t>
  </si>
  <si>
    <t>28144-5010</t>
  </si>
  <si>
    <t>E300000106</t>
  </si>
  <si>
    <t>EDWARDS RAYMOND F</t>
  </si>
  <si>
    <t>EDWARDS GLENDA S</t>
  </si>
  <si>
    <t>2360 US HIGHWAY 601 N</t>
  </si>
  <si>
    <t>K3050A0014</t>
  </si>
  <si>
    <t>K3050A0015</t>
  </si>
  <si>
    <t>B500000078</t>
  </si>
  <si>
    <t>BILYEU ERIC M</t>
  </si>
  <si>
    <t>141 PINEVILLE RD</t>
  </si>
  <si>
    <t>H500000031</t>
  </si>
  <si>
    <t>WIMBERLY EMMA ROSE</t>
  </si>
  <si>
    <t>ASHLEY SHADE ALLEN</t>
  </si>
  <si>
    <t>220 OAK GROVE CHURCH RD</t>
  </si>
  <si>
    <t>27028-4311</t>
  </si>
  <si>
    <t>E30000011903</t>
  </si>
  <si>
    <t>MORGAN JERRY R</t>
  </si>
  <si>
    <t>222 TITTLE TRL</t>
  </si>
  <si>
    <t>27028-5929</t>
  </si>
  <si>
    <t>D8100B0003</t>
  </si>
  <si>
    <t>COBB FAYE M</t>
  </si>
  <si>
    <t>I20000003604</t>
  </si>
  <si>
    <t>O'NEAL RYAN R</t>
  </si>
  <si>
    <t>O'NEAL REBECCA D</t>
  </si>
  <si>
    <t>719 GODBEY RD</t>
  </si>
  <si>
    <t>I4140A0016</t>
  </si>
  <si>
    <t>DRAGONFLY HOUSE CHILDRENS ADVOCACY CTR INC</t>
  </si>
  <si>
    <t>387 VALLEY RD</t>
  </si>
  <si>
    <t>L50000010001</t>
  </si>
  <si>
    <t>WHITAKER JEREMY</t>
  </si>
  <si>
    <t>WHITAKER JILL S</t>
  </si>
  <si>
    <t>295 FAIRFIELD RD</t>
  </si>
  <si>
    <t>C500000002</t>
  </si>
  <si>
    <t>SEATS OLA MAE G</t>
  </si>
  <si>
    <t>166 DANCE HALL ROAD</t>
  </si>
  <si>
    <t>F10000005502</t>
  </si>
  <si>
    <t>AGUILAR CERVANTES ROBERTO</t>
  </si>
  <si>
    <t>150 HARDY RD</t>
  </si>
  <si>
    <t>28634-9155</t>
  </si>
  <si>
    <t>H5170A0010</t>
  </si>
  <si>
    <t>KING PHYLLIS D</t>
  </si>
  <si>
    <t>100 ARBOR HILL AVE</t>
  </si>
  <si>
    <t>F10000000304</t>
  </si>
  <si>
    <t>BRADEY LAURA W</t>
  </si>
  <si>
    <t>2214 SHEFFIELD RD</t>
  </si>
  <si>
    <t>G3030A005301</t>
  </si>
  <si>
    <t>HOLT CAROL SUE</t>
  </si>
  <si>
    <t>3966 WELCOME ARCADIA ROAD</t>
  </si>
  <si>
    <t>P700000002</t>
  </si>
  <si>
    <t>LANDTRUST FOR CENTRAL N C</t>
  </si>
  <si>
    <t>PO BOX 4284</t>
  </si>
  <si>
    <t>28145-4284</t>
  </si>
  <si>
    <t>D8060B0034</t>
  </si>
  <si>
    <t>GALLUP KENNETH R JR</t>
  </si>
  <si>
    <t>1105 KENT MEWS CT</t>
  </si>
  <si>
    <t>27104-1138</t>
  </si>
  <si>
    <t>P70000000203</t>
  </si>
  <si>
    <t>P70000000302</t>
  </si>
  <si>
    <t>P700000003</t>
  </si>
  <si>
    <t>H30000003203</t>
  </si>
  <si>
    <t>MARTIN MARVIN COY</t>
  </si>
  <si>
    <t>202 POWELL ROAD</t>
  </si>
  <si>
    <t>I5060B0004</t>
  </si>
  <si>
    <t>STEELE JOHN Q JR</t>
  </si>
  <si>
    <t>STEELE JOYCE H</t>
  </si>
  <si>
    <t>371 MORSE STREET</t>
  </si>
  <si>
    <t>J6050D0002</t>
  </si>
  <si>
    <t>RODRIGUEZ BRYAN</t>
  </si>
  <si>
    <t>RODRIGUEZ ANNA M</t>
  </si>
  <si>
    <t>127 MEADOWVIEW RD</t>
  </si>
  <si>
    <t>G7040B0022</t>
  </si>
  <si>
    <t>TODD APRIL MARIE ETAL</t>
  </si>
  <si>
    <t>G7040B0023</t>
  </si>
  <si>
    <t>C80000000133</t>
  </si>
  <si>
    <t>TWIN CITY YOUTH SOCCER ASSOC</t>
  </si>
  <si>
    <t>118 S CHERRY ST  SUITE B</t>
  </si>
  <si>
    <t>J20000006313</t>
  </si>
  <si>
    <t>THE KANE LIVING TRUST</t>
  </si>
  <si>
    <t>212 WESTGREEN DRIVE</t>
  </si>
  <si>
    <t>CHAPEL HILL</t>
  </si>
  <si>
    <t>I5050B0039</t>
  </si>
  <si>
    <t>JOHNSON SHANNON MARK ANTHONY</t>
  </si>
  <si>
    <t>JOHNSON KAYLA POTTS</t>
  </si>
  <si>
    <t>130 HEATHER CT</t>
  </si>
  <si>
    <t>E800000010</t>
  </si>
  <si>
    <t>BEAUCHAMP PAMELA D</t>
  </si>
  <si>
    <t>WARREN HARVEY JOE</t>
  </si>
  <si>
    <t>111 BOWDEN RD</t>
  </si>
  <si>
    <t>27006-6663</t>
  </si>
  <si>
    <t>H5180A0006</t>
  </si>
  <si>
    <t>SHREVE RICHARD L</t>
  </si>
  <si>
    <t>SHREVE TRACY L</t>
  </si>
  <si>
    <t>109 MAPLE KNOLL DR</t>
  </si>
  <si>
    <t>J30000005401</t>
  </si>
  <si>
    <t>DOVE NATHAN P</t>
  </si>
  <si>
    <t>DOVE JANET D</t>
  </si>
  <si>
    <t>261 SCENIC DR</t>
  </si>
  <si>
    <t>27028-8357</t>
  </si>
  <si>
    <t>M5070A0030</t>
  </si>
  <si>
    <t>CUNEO JOHN C</t>
  </si>
  <si>
    <t>141 EDGEWOOD CIR</t>
  </si>
  <si>
    <t>E60000005901</t>
  </si>
  <si>
    <t>TOWN JAMES PATRICK</t>
  </si>
  <si>
    <t>OGDEN LINDA MARIE</t>
  </si>
  <si>
    <t>440 SPEAKS RD</t>
  </si>
  <si>
    <t>E900000239</t>
  </si>
  <si>
    <t>LUPER CORY ROBERT</t>
  </si>
  <si>
    <t>LUPER RILEY DAVIS</t>
  </si>
  <si>
    <t>202 KINGSMILL DR</t>
  </si>
  <si>
    <t>I5070B0015</t>
  </si>
  <si>
    <t>GREEN DEBORAH SNIDER</t>
  </si>
  <si>
    <t>317 MILLING RD</t>
  </si>
  <si>
    <t>I5070B0014</t>
  </si>
  <si>
    <t>H400000114</t>
  </si>
  <si>
    <t>GREEN MICHAEL HENNINGS ETAL</t>
  </si>
  <si>
    <t>F50000001004</t>
  </si>
  <si>
    <t>BEAM ROY L IRREV TRUST AGREE</t>
  </si>
  <si>
    <t>BEAM KAY M IRREV TRUST AGREE</t>
  </si>
  <si>
    <t>163 DUSTY HILL RD</t>
  </si>
  <si>
    <t>27028-5751</t>
  </si>
  <si>
    <t>F50000001011</t>
  </si>
  <si>
    <t>F500000008</t>
  </si>
  <si>
    <t>F10000005501</t>
  </si>
  <si>
    <t>I70000004905</t>
  </si>
  <si>
    <t>RIVERA RUTH ZELENIA</t>
  </si>
  <si>
    <t>1197 WILLIAMS RD</t>
  </si>
  <si>
    <t>K700000032</t>
  </si>
  <si>
    <t>KETTENBURG JOSHUA</t>
  </si>
  <si>
    <t>KETTENBURG PAMELA</t>
  </si>
  <si>
    <t>262 MASON DR</t>
  </si>
  <si>
    <t>I20000002703</t>
  </si>
  <si>
    <t>JOHNSTON QUINTON E</t>
  </si>
  <si>
    <t>JOHNSTON PATRICIA A</t>
  </si>
  <si>
    <t>198 DAYSPRING WAY</t>
  </si>
  <si>
    <t>27028-8215</t>
  </si>
  <si>
    <t>C7100B0001</t>
  </si>
  <si>
    <t>SCHIMMECK DOUG LONG</t>
  </si>
  <si>
    <t>SCHIMMECK TRISTA</t>
  </si>
  <si>
    <t>105 RENEE DR</t>
  </si>
  <si>
    <t>H8050A0013</t>
  </si>
  <si>
    <t>RIDINGS WILLIE LEON</t>
  </si>
  <si>
    <t>RIDINGS MICHELLE MONICA</t>
  </si>
  <si>
    <t>211 SHADY GROVE LN</t>
  </si>
  <si>
    <t>27006-7425</t>
  </si>
  <si>
    <t>H5160A0016</t>
  </si>
  <si>
    <t>H5160A0017</t>
  </si>
  <si>
    <t>J4050F0009</t>
  </si>
  <si>
    <t>B7010B000601</t>
  </si>
  <si>
    <t>D7030C0016</t>
  </si>
  <si>
    <t>B7010B000602</t>
  </si>
  <si>
    <t>D600000034</t>
  </si>
  <si>
    <t>SMITH ALMA N</t>
  </si>
  <si>
    <t>877 RAINBOW ROAD</t>
  </si>
  <si>
    <t>J400000015</t>
  </si>
  <si>
    <t>E8110B0003</t>
  </si>
  <si>
    <t>PAWLIK BENJAMIN A</t>
  </si>
  <si>
    <t>PAWLIK PEYTON M</t>
  </si>
  <si>
    <t>1620 UNDERPASS RD</t>
  </si>
  <si>
    <t>D50000000401</t>
  </si>
  <si>
    <t>TURNER BARRY LEE</t>
  </si>
  <si>
    <t>TURNER LISA R</t>
  </si>
  <si>
    <t>769 CEDAR CREEK RD</t>
  </si>
  <si>
    <t>F3130A0022</t>
  </si>
  <si>
    <t>MACKIE R KEITH</t>
  </si>
  <si>
    <t>MACKIE CRYSTAL D</t>
  </si>
  <si>
    <t>283 PEPPERSTONE DR</t>
  </si>
  <si>
    <t>H300000029</t>
  </si>
  <si>
    <t>GOFORTH JAMES CARTER</t>
  </si>
  <si>
    <t>H300000030</t>
  </si>
  <si>
    <t>G600000013</t>
  </si>
  <si>
    <t>GAITHER TERRY D</t>
  </si>
  <si>
    <t>GAITHER KRISTY D MARKLIN</t>
  </si>
  <si>
    <t>2930 US HIGHWAY 158</t>
  </si>
  <si>
    <t>G8140A0053</t>
  </si>
  <si>
    <t>TIDD MICHAEL EMMETT</t>
  </si>
  <si>
    <t>TIDD BRITTANY DAVIS</t>
  </si>
  <si>
    <t>200 OAKCREST DR</t>
  </si>
  <si>
    <t>F60000000204</t>
  </si>
  <si>
    <t>KOCHANEK SCOTT A</t>
  </si>
  <si>
    <t>KOCHANEK DEBORAH J</t>
  </si>
  <si>
    <t>239 ACORN LN</t>
  </si>
  <si>
    <t>27028-7865</t>
  </si>
  <si>
    <t>G3020A0012</t>
  </si>
  <si>
    <t>MCPHERSON KIM</t>
  </si>
  <si>
    <t>MCPHERSON RICHARD HOWARD III</t>
  </si>
  <si>
    <t>216 WHITE DOVE WAY</t>
  </si>
  <si>
    <t>27028-5965</t>
  </si>
  <si>
    <t>F100000027</t>
  </si>
  <si>
    <t>SANDERS REGINA B</t>
  </si>
  <si>
    <t>240 CLEARY RD</t>
  </si>
  <si>
    <t>27028-5720</t>
  </si>
  <si>
    <t>I1120A0017</t>
  </si>
  <si>
    <t>APPLEBY JERRY</t>
  </si>
  <si>
    <t>APPLEBY MARY</t>
  </si>
  <si>
    <t>284 OAKLAND AVE</t>
  </si>
  <si>
    <t>27028-8314</t>
  </si>
  <si>
    <t>D8070A0030</t>
  </si>
  <si>
    <t>ROBERTSON WILLIAM C</t>
  </si>
  <si>
    <t>ROBERTSON KIMBERLY N</t>
  </si>
  <si>
    <t>642 RIVERBEND DR</t>
  </si>
  <si>
    <t>K70000002501</t>
  </si>
  <si>
    <t>DEHART RANDEL A</t>
  </si>
  <si>
    <t>DEHART GINA M</t>
  </si>
  <si>
    <t>650 CEDAR GROVE CHURCH RD</t>
  </si>
  <si>
    <t>J6100A0029</t>
  </si>
  <si>
    <t>HUGHES TIMOTHY RONALD</t>
  </si>
  <si>
    <t>HUGHES AMY CHERIE</t>
  </si>
  <si>
    <t>158 N LAKE LOUISE DR</t>
  </si>
  <si>
    <t>D600000046</t>
  </si>
  <si>
    <t>CALL TONY LEE</t>
  </si>
  <si>
    <t>1137 RAINBOW RD</t>
  </si>
  <si>
    <t>H20000003802</t>
  </si>
  <si>
    <t>KUEHN GREGORY STEVEN</t>
  </si>
  <si>
    <t>MCWHORTER JANICE GAYLE</t>
  </si>
  <si>
    <t>2527 US HIGHWAY 64 W</t>
  </si>
  <si>
    <t>27028-8443</t>
  </si>
  <si>
    <t>N5010C0046</t>
  </si>
  <si>
    <t>SPRY SAVANNAH M</t>
  </si>
  <si>
    <t>PO BOX 98</t>
  </si>
  <si>
    <t>J10000001501</t>
  </si>
  <si>
    <t>FOWLER ANGELA R</t>
  </si>
  <si>
    <t>4421 US HIGHWAY 64 W</t>
  </si>
  <si>
    <t>27028-8462</t>
  </si>
  <si>
    <t>D2010A0013</t>
  </si>
  <si>
    <t>KEVWITCH JEFFREY CARL</t>
  </si>
  <si>
    <t>KEVWITCH NICOLE MICHELLE</t>
  </si>
  <si>
    <t>174 TIMBER TRAILS LN</t>
  </si>
  <si>
    <t>27028-5670</t>
  </si>
  <si>
    <t>E900000151</t>
  </si>
  <si>
    <t>POTTS BETH WILES</t>
  </si>
  <si>
    <t>415 KINGSMILL DR</t>
  </si>
  <si>
    <t>D8030A0001</t>
  </si>
  <si>
    <t>HILEMAN MICHAEL</t>
  </si>
  <si>
    <t>HILEMAN CARRIE</t>
  </si>
  <si>
    <t>135 BERMUDA RUN DR</t>
  </si>
  <si>
    <t>L800000017</t>
  </si>
  <si>
    <t>HARDING STEVEN D</t>
  </si>
  <si>
    <t>HARDING THERESA M</t>
  </si>
  <si>
    <t>170 HILL TOP DR</t>
  </si>
  <si>
    <t>27006-7241</t>
  </si>
  <si>
    <t>J30000004101</t>
  </si>
  <si>
    <t>ORRELL HANNAH B</t>
  </si>
  <si>
    <t>629 GREENHILL ROAD</t>
  </si>
  <si>
    <t>F10000002702</t>
  </si>
  <si>
    <t>M5160B0023</t>
  </si>
  <si>
    <t>JACOBS SHIRLEY</t>
  </si>
  <si>
    <t>PO BOX 184</t>
  </si>
  <si>
    <t>27014-0184</t>
  </si>
  <si>
    <t>B20000003405</t>
  </si>
  <si>
    <t>STEELMAN DANNY K</t>
  </si>
  <si>
    <t>STEELMAN LISA S</t>
  </si>
  <si>
    <t>PO BOX 654</t>
  </si>
  <si>
    <t>B200000034  A</t>
  </si>
  <si>
    <t>STEELMAN DANNY KEITH</t>
  </si>
  <si>
    <t>27055-6359</t>
  </si>
  <si>
    <t>B20000003406</t>
  </si>
  <si>
    <t>B200000038</t>
  </si>
  <si>
    <t>B20000003404</t>
  </si>
  <si>
    <t>G60000002602</t>
  </si>
  <si>
    <t>WOOD TIMOTHY BRIAN</t>
  </si>
  <si>
    <t>484 DULIN RD</t>
  </si>
  <si>
    <t>27028-7203</t>
  </si>
  <si>
    <t>B70000005401</t>
  </si>
  <si>
    <t>STOETZEL JOHN FREDERICK</t>
  </si>
  <si>
    <t>VERGARA SANDRA PATRICIA</t>
  </si>
  <si>
    <t>497 GRIFFITH RD</t>
  </si>
  <si>
    <t>E6110A0023</t>
  </si>
  <si>
    <t>HYNEK NICHOLAS DAVID</t>
  </si>
  <si>
    <t>HYNEK MEGAN MARIE</t>
  </si>
  <si>
    <t>153 FOX RUN DR</t>
  </si>
  <si>
    <t>I1120A0033</t>
  </si>
  <si>
    <t>ASHBURN SIDNEY JOE</t>
  </si>
  <si>
    <t>ASHBURN CORINDIA</t>
  </si>
  <si>
    <t>401 OAKLAND AVENUE</t>
  </si>
  <si>
    <t>27028-2816</t>
  </si>
  <si>
    <t>I1120A0031</t>
  </si>
  <si>
    <t>I1120A0032</t>
  </si>
  <si>
    <t>J5010B0020</t>
  </si>
  <si>
    <t>BEMONT TYLER</t>
  </si>
  <si>
    <t>BEMONT CANDACE</t>
  </si>
  <si>
    <t>656 E LEXINGTON RD</t>
  </si>
  <si>
    <t>27028-2626</t>
  </si>
  <si>
    <t>G50000009402</t>
  </si>
  <si>
    <t>BOWERS THOMAS REX</t>
  </si>
  <si>
    <t>BOWERS KAREN H</t>
  </si>
  <si>
    <t>147 GARDEN LN</t>
  </si>
  <si>
    <t>27028-4158</t>
  </si>
  <si>
    <t>E900000649</t>
  </si>
  <si>
    <t>EDWARDS LARRY S</t>
  </si>
  <si>
    <t>EDWARDS WANDA</t>
  </si>
  <si>
    <t>136 ST ANDREWS DRIVE</t>
  </si>
  <si>
    <t>H7120B0025</t>
  </si>
  <si>
    <t>STILLWATER HOMES INC</t>
  </si>
  <si>
    <t>323 RIVERBEND DR</t>
  </si>
  <si>
    <t>H7120B0010</t>
  </si>
  <si>
    <t>H5170A0053</t>
  </si>
  <si>
    <t>TOWNSEND RONALD L JR</t>
  </si>
  <si>
    <t>148 ARBOR HILL AVE</t>
  </si>
  <si>
    <t>K5060A0004</t>
  </si>
  <si>
    <t>HENDRIX WILLIAM JUSTIN</t>
  </si>
  <si>
    <t>SIZEMORE KASSADY PAIGE</t>
  </si>
  <si>
    <t>270 DEADMON RD</t>
  </si>
  <si>
    <t>D7020A0017</t>
  </si>
  <si>
    <t>BROOKS AMOS WAYNE</t>
  </si>
  <si>
    <t>227 BRENTWOOD DR</t>
  </si>
  <si>
    <t>H50000006001</t>
  </si>
  <si>
    <t>SEXTON BRANDON LEE</t>
  </si>
  <si>
    <t>SEXTON AUDRA MEGAN</t>
  </si>
  <si>
    <t>294 SAIN RD</t>
  </si>
  <si>
    <t>27028-4327</t>
  </si>
  <si>
    <t>H500000061</t>
  </si>
  <si>
    <t>I5050C0023</t>
  </si>
  <si>
    <t>JUAREZ BENJAMIN TOBIE</t>
  </si>
  <si>
    <t>117 FOXDALE CT</t>
  </si>
  <si>
    <t>H400000103</t>
  </si>
  <si>
    <t>THOMPSON DONALD</t>
  </si>
  <si>
    <t>THOMPSON SOPHEAP</t>
  </si>
  <si>
    <t>10349 S NC HIGHWAY 150</t>
  </si>
  <si>
    <t>27299-9466</t>
  </si>
  <si>
    <t>D8070C0008</t>
  </si>
  <si>
    <t>FIELDS RICHARD L</t>
  </si>
  <si>
    <t>FIELDS CATHERINE B</t>
  </si>
  <si>
    <t>1053 RIVERBEND DR</t>
  </si>
  <si>
    <t>D3010A0027</t>
  </si>
  <si>
    <t>DANZ ZACHARY</t>
  </si>
  <si>
    <t>STOVER TIFFANY</t>
  </si>
  <si>
    <t>111 LANDIS CT</t>
  </si>
  <si>
    <t>27028-4768</t>
  </si>
  <si>
    <t>C30000007214</t>
  </si>
  <si>
    <t>YOUNG STEPHEN RANDLE</t>
  </si>
  <si>
    <t>278 BAITY RD</t>
  </si>
  <si>
    <t>I5080A0002</t>
  </si>
  <si>
    <t>BERRY WYLIE E</t>
  </si>
  <si>
    <t>166 HALLANDER DR</t>
  </si>
  <si>
    <t>27028-2112</t>
  </si>
  <si>
    <t>E8140A0022</t>
  </si>
  <si>
    <t>FAULK ROBERT GARY</t>
  </si>
  <si>
    <t>FAULK TAMMIE RENEE</t>
  </si>
  <si>
    <t>238 COUNTRY CIR</t>
  </si>
  <si>
    <t>D7020A0012</t>
  </si>
  <si>
    <t>SMITH ARNOLD DEAN JR</t>
  </si>
  <si>
    <t>SMITH KAREN A</t>
  </si>
  <si>
    <t>193 BRENTWOOD DRIVE</t>
  </si>
  <si>
    <t>27006-9437</t>
  </si>
  <si>
    <t>E900000095</t>
  </si>
  <si>
    <t>KENDALL ALEXANDER P</t>
  </si>
  <si>
    <t>KENDALL KATELYN T</t>
  </si>
  <si>
    <t>167 KESWICK DR</t>
  </si>
  <si>
    <t>I60000003601</t>
  </si>
  <si>
    <t>P O BOX 2170</t>
  </si>
  <si>
    <t>27006-2170</t>
  </si>
  <si>
    <t>G70000003601</t>
  </si>
  <si>
    <t>I5010C0032</t>
  </si>
  <si>
    <t>WAGSTAFF NEIL IVAN</t>
  </si>
  <si>
    <t>WAGSTAFF MEREDITH HARRIS</t>
  </si>
  <si>
    <t>1337 N MAIN ST</t>
  </si>
  <si>
    <t>27028-2716</t>
  </si>
  <si>
    <t>I5010C003203</t>
  </si>
  <si>
    <t>C40000003203</t>
  </si>
  <si>
    <t>THURLO ODRIE BOWLING</t>
  </si>
  <si>
    <t>231 N PINO ROAD</t>
  </si>
  <si>
    <t>E6050A0007</t>
  </si>
  <si>
    <t>HARDIN PATRICIA H</t>
  </si>
  <si>
    <t>173 SHALLOWBROOK DR</t>
  </si>
  <si>
    <t>E70000013903</t>
  </si>
  <si>
    <t>CORRALES JOSEPH ANDREW</t>
  </si>
  <si>
    <t>CORRALES TISHA MARIE</t>
  </si>
  <si>
    <t>1162 BEAUCHAMP RD</t>
  </si>
  <si>
    <t>27006-7415</t>
  </si>
  <si>
    <t>D8100B0004</t>
  </si>
  <si>
    <t>KERTH ROBERT L</t>
  </si>
  <si>
    <t>KERTH NADINE T</t>
  </si>
  <si>
    <t>626 RIVERBEND DR</t>
  </si>
  <si>
    <t>J5050A0005</t>
  </si>
  <si>
    <t>PEEBLES DARRELL</t>
  </si>
  <si>
    <t>PEEBLES TRACY</t>
  </si>
  <si>
    <t>121 POLARIS DR</t>
  </si>
  <si>
    <t>I5160D0010</t>
  </si>
  <si>
    <t>NEALEANS COURTNEY</t>
  </si>
  <si>
    <t>PARRISH JOSHUA</t>
  </si>
  <si>
    <t>4530 BRIDGEWATER DR</t>
  </si>
  <si>
    <t>27012-9109</t>
  </si>
  <si>
    <t>I5160D0009</t>
  </si>
  <si>
    <t>F50000003604A</t>
  </si>
  <si>
    <t>DELLINGER PAMELA C</t>
  </si>
  <si>
    <t>I1120A0021</t>
  </si>
  <si>
    <t>HOPE TIMOTHY P</t>
  </si>
  <si>
    <t>3712 WILKESBORO HWY</t>
  </si>
  <si>
    <t>F1030A0006</t>
  </si>
  <si>
    <t>RATLEDGE ALAN</t>
  </si>
  <si>
    <t>RATLEDGE MACKENZIE</t>
  </si>
  <si>
    <t>150 MOLLIE RD</t>
  </si>
  <si>
    <t>28634-8931</t>
  </si>
  <si>
    <t>K600000002</t>
  </si>
  <si>
    <t>HELLARD MARJORIE ANN ETAL</t>
  </si>
  <si>
    <t>712 TURRENTINE CHURCH RD</t>
  </si>
  <si>
    <t>M400000067</t>
  </si>
  <si>
    <t>LOWDER JERRY C</t>
  </si>
  <si>
    <t>LOWDER EVA H</t>
  </si>
  <si>
    <t>230 NOLLEY ROAD</t>
  </si>
  <si>
    <t>F800000099</t>
  </si>
  <si>
    <t>ALLEN JOHN MICHAEL</t>
  </si>
  <si>
    <t>1674 NC HIGHWAY 801 S</t>
  </si>
  <si>
    <t>27006-6706</t>
  </si>
  <si>
    <t>I5090B0016</t>
  </si>
  <si>
    <t>WORGO RAYMOND C</t>
  </si>
  <si>
    <t>WORGO SHIRLEY E</t>
  </si>
  <si>
    <t>124 PARK PLACE CT</t>
  </si>
  <si>
    <t>27028-1000</t>
  </si>
  <si>
    <t>I500000012</t>
  </si>
  <si>
    <t>BUCKLEY DALE</t>
  </si>
  <si>
    <t>BUCKLEY VIOLETTA</t>
  </si>
  <si>
    <t>249 UNICORN PLACE</t>
  </si>
  <si>
    <t>I4130D000901</t>
  </si>
  <si>
    <t>TWO DANES QOZ INVESTMETNS LLC</t>
  </si>
  <si>
    <t>PO BOX 2285</t>
  </si>
  <si>
    <t>27006-2285</t>
  </si>
  <si>
    <t>G40000003405</t>
  </si>
  <si>
    <t>SHORES ANGELA DAWN</t>
  </si>
  <si>
    <t>152 BELAIRE LN</t>
  </si>
  <si>
    <t>27028-5634</t>
  </si>
  <si>
    <t>I5080B0017</t>
  </si>
  <si>
    <t>EBY LYNETTE</t>
  </si>
  <si>
    <t>949 N MAIN ST</t>
  </si>
  <si>
    <t>27028-2211</t>
  </si>
  <si>
    <t>D8070A0024</t>
  </si>
  <si>
    <t>NIETERS JOHN J</t>
  </si>
  <si>
    <t>NIETERS LISA R</t>
  </si>
  <si>
    <t>146 FESCUE DR</t>
  </si>
  <si>
    <t>J500000019</t>
  </si>
  <si>
    <t>LYDAY RUSSELL WILSON</t>
  </si>
  <si>
    <t>LYDAY VICKY RIDDLE</t>
  </si>
  <si>
    <t>372 JOHN CROTTS RD</t>
  </si>
  <si>
    <t>G50000009404</t>
  </si>
  <si>
    <t>G50000009407</t>
  </si>
  <si>
    <t>J6050A0007</t>
  </si>
  <si>
    <t>MATHEWS STACY</t>
  </si>
  <si>
    <t>168 PINE VALLEY RD</t>
  </si>
  <si>
    <t>27028-7352</t>
  </si>
  <si>
    <t>D7020A0004</t>
  </si>
  <si>
    <t>PARRIS LAURA JUNE</t>
  </si>
  <si>
    <t>465 GORDON DR</t>
  </si>
  <si>
    <t>D7010C0003</t>
  </si>
  <si>
    <t>FAS BUILDING LLC</t>
  </si>
  <si>
    <t>G3060D000903</t>
  </si>
  <si>
    <t>NAY JASON</t>
  </si>
  <si>
    <t>NAY MICHELLE</t>
  </si>
  <si>
    <t>250 NEBBS TRL</t>
  </si>
  <si>
    <t>27028-4181</t>
  </si>
  <si>
    <t>G3060D0008</t>
  </si>
  <si>
    <t>E900000028</t>
  </si>
  <si>
    <t>HUDSON TABATHA AUSTIN</t>
  </si>
  <si>
    <t>BYERLY BOBBY RAY</t>
  </si>
  <si>
    <t>117 OAKMONT CT</t>
  </si>
  <si>
    <t>27006-7097</t>
  </si>
  <si>
    <t>I700000066</t>
  </si>
  <si>
    <t>JONES LARRY WILLIAM</t>
  </si>
  <si>
    <t>299 COMANCHE DRIVE</t>
  </si>
  <si>
    <t>27006-7161</t>
  </si>
  <si>
    <t>G900000141</t>
  </si>
  <si>
    <t>CLUTTS GEORGE ROBERT JR</t>
  </si>
  <si>
    <t>CLUTTS BECKY BARNHARDT</t>
  </si>
  <si>
    <t>124 LOST FARM DR</t>
  </si>
  <si>
    <t>27006-7496</t>
  </si>
  <si>
    <t>H5180A0002</t>
  </si>
  <si>
    <t>FARR ERIC JOSEPH</t>
  </si>
  <si>
    <t>FARR AIMEE LEIGH</t>
  </si>
  <si>
    <t>124 MAPLE KNOLL DR</t>
  </si>
  <si>
    <t>I70000006602</t>
  </si>
  <si>
    <t>I700000053</t>
  </si>
  <si>
    <t>I70000000102</t>
  </si>
  <si>
    <t>SMITH NORA W</t>
  </si>
  <si>
    <t>382 WILLIAMS ROAD</t>
  </si>
  <si>
    <t>I600000027</t>
  </si>
  <si>
    <t>I60000002603</t>
  </si>
  <si>
    <t>H60000008208</t>
  </si>
  <si>
    <t>SMITH ANDREW STEPHEN</t>
  </si>
  <si>
    <t>SMITH AUSTIN BLAKE</t>
  </si>
  <si>
    <t>234 JAMESTOWNE DRIVE</t>
  </si>
  <si>
    <t>M5160C0013</t>
  </si>
  <si>
    <t>HAMPTON JOHNNY</t>
  </si>
  <si>
    <t>PO BOX 1136</t>
  </si>
  <si>
    <t>27014-1136</t>
  </si>
  <si>
    <t>E200000004</t>
  </si>
  <si>
    <t>MILLER JEREMY MICHAEL</t>
  </si>
  <si>
    <t>MILLER CHRISTY DRAUGHN</t>
  </si>
  <si>
    <t>402 SALMONS RD</t>
  </si>
  <si>
    <t>D60000002602</t>
  </si>
  <si>
    <t>VAUGHAN ROBERT EDWARD</t>
  </si>
  <si>
    <t>VAUGHAN HEATHER SOUTHERN</t>
  </si>
  <si>
    <t>194 SPEAKS RD</t>
  </si>
  <si>
    <t>C700000005</t>
  </si>
  <si>
    <t>LUX KAREN GEORGETTE</t>
  </si>
  <si>
    <t>1655 YADKIN VALLEY RD</t>
  </si>
  <si>
    <t>B200000025</t>
  </si>
  <si>
    <t>POINDEXTER TAMMY VESTAL</t>
  </si>
  <si>
    <t>2528 BLOOMTOWN RD</t>
  </si>
  <si>
    <t>27018-8368</t>
  </si>
  <si>
    <t>D500000083</t>
  </si>
  <si>
    <t>RIDDLE ARNNY R</t>
  </si>
  <si>
    <t>1640 FARMINGTON RD</t>
  </si>
  <si>
    <t>27028-7650</t>
  </si>
  <si>
    <t>L60000000801</t>
  </si>
  <si>
    <t>VENABLE MAX W</t>
  </si>
  <si>
    <t>6579 NC HIGHWAY 801 S</t>
  </si>
  <si>
    <t>27028-6730</t>
  </si>
  <si>
    <t>L600000010</t>
  </si>
  <si>
    <t>L600000008</t>
  </si>
  <si>
    <t>G9090D0019</t>
  </si>
  <si>
    <t>WELCH JEFFREY MARSHALL</t>
  </si>
  <si>
    <t>WELCH LORI ANN</t>
  </si>
  <si>
    <t>159 MAPLEVALLEY RD</t>
  </si>
  <si>
    <t>C8010C0002</t>
  </si>
  <si>
    <t>ADKINS ANDREW DYLAN</t>
  </si>
  <si>
    <t>ADKINS MARINA MICKAEL</t>
  </si>
  <si>
    <t>125 ARCHER DR</t>
  </si>
  <si>
    <t>M50000003201</t>
  </si>
  <si>
    <t>YESSENIA GLENDA</t>
  </si>
  <si>
    <t>MORALES ALVAREZ</t>
  </si>
  <si>
    <t>3007 US HWY 601 SOUTH</t>
  </si>
  <si>
    <t>G10000000805</t>
  </si>
  <si>
    <t>REEVES DAVID L</t>
  </si>
  <si>
    <t>1488 COUNTY LINE ROAD</t>
  </si>
  <si>
    <t>C700000121</t>
  </si>
  <si>
    <t>SHEEK JACOB DANIEL</t>
  </si>
  <si>
    <t>704 YADKIN VALLEY ROAD</t>
  </si>
  <si>
    <t>E20000000807</t>
  </si>
  <si>
    <t>REAVIS NELLIE D</t>
  </si>
  <si>
    <t>REAVIS SAMMY DALE</t>
  </si>
  <si>
    <t>280 RABBIT HWY</t>
  </si>
  <si>
    <t>28634-9241</t>
  </si>
  <si>
    <t>C7140A0011</t>
  </si>
  <si>
    <t>FOSTER PATRICIA F</t>
  </si>
  <si>
    <t>132 NORTH CLAYBON DRIVE</t>
  </si>
  <si>
    <t>E60000000402</t>
  </si>
  <si>
    <t>TRIVETTE HALEY D</t>
  </si>
  <si>
    <t>GRIMM BRANDEN</t>
  </si>
  <si>
    <t>236 GILBERT RD</t>
  </si>
  <si>
    <t>E8160A0013</t>
  </si>
  <si>
    <t>MYERS HARRY LEE JR</t>
  </si>
  <si>
    <t>MYERS SHARON RICHART</t>
  </si>
  <si>
    <t>201 MEADOWS EDGE DR</t>
  </si>
  <si>
    <t>27006-6002</t>
  </si>
  <si>
    <t>C8010D0028</t>
  </si>
  <si>
    <t>HILEMAN VICTORIA LEE</t>
  </si>
  <si>
    <t>121 PENDLETON DR</t>
  </si>
  <si>
    <t>27006-8647</t>
  </si>
  <si>
    <t>C500000078</t>
  </si>
  <si>
    <t>BAHNSON MARY LOUISE</t>
  </si>
  <si>
    <t>420 UPPER GRASSY BRANCH RD</t>
  </si>
  <si>
    <t>E900000483</t>
  </si>
  <si>
    <t>PATTERSON DAVID S</t>
  </si>
  <si>
    <t>PATTERSON KATHRYN S</t>
  </si>
  <si>
    <t>119 S MILLBROOKE CT</t>
  </si>
  <si>
    <t>C7150A0006</t>
  </si>
  <si>
    <t>ALTMAN ROX</t>
  </si>
  <si>
    <t>ALTMAN KAREN</t>
  </si>
  <si>
    <t>193 WOODBURN PLACE</t>
  </si>
  <si>
    <t>I70000004801</t>
  </si>
  <si>
    <t>WALSH PATRICK</t>
  </si>
  <si>
    <t>KABEI-WALSH MICHELE</t>
  </si>
  <si>
    <t>170 MATTHIAS CT</t>
  </si>
  <si>
    <t>J5010C0010</t>
  </si>
  <si>
    <t>AMARO ARTURO RODGRIGUEZ</t>
  </si>
  <si>
    <t>MAQUEDA MARIA MARLEN GRANADERO</t>
  </si>
  <si>
    <t>118 BENSON STREET</t>
  </si>
  <si>
    <t>J5170A0004</t>
  </si>
  <si>
    <t>JENKINS JACQUELINE</t>
  </si>
  <si>
    <t>134 ELBERON CT</t>
  </si>
  <si>
    <t>C7100A0028</t>
  </si>
  <si>
    <t>FINO BERNARDINO MIRANDA</t>
  </si>
  <si>
    <t>VAZQUEZ DALIA MOSSO</t>
  </si>
  <si>
    <t>118 W RENEE DR</t>
  </si>
  <si>
    <t>27006-7925</t>
  </si>
  <si>
    <t>B3010A0009</t>
  </si>
  <si>
    <t>PELAGIO PROPERTIES LLC</t>
  </si>
  <si>
    <t>6327 US HWY 601</t>
  </si>
  <si>
    <t>B30000000606</t>
  </si>
  <si>
    <t>F900000042</t>
  </si>
  <si>
    <t>TERRY B CARLTON JR</t>
  </si>
  <si>
    <t>F90000004201</t>
  </si>
  <si>
    <t>D9050B0037</t>
  </si>
  <si>
    <t>BLACK BARBARA</t>
  </si>
  <si>
    <t>2127 BERMUDA VILLAGE DR</t>
  </si>
  <si>
    <t>27006-9474</t>
  </si>
  <si>
    <t>L40000003804</t>
  </si>
  <si>
    <t>BAKER JOHN ROBERT JR</t>
  </si>
  <si>
    <t>135 KLUENIE ROAD</t>
  </si>
  <si>
    <t>27028-5335</t>
  </si>
  <si>
    <t>H4130A0030</t>
  </si>
  <si>
    <t>REDMON DENZEL ANTON</t>
  </si>
  <si>
    <t>REDMON GABRIELA MAYTE</t>
  </si>
  <si>
    <t>176 ELMWOOD ST</t>
  </si>
  <si>
    <t>27028-7264</t>
  </si>
  <si>
    <t>J6100B0008</t>
  </si>
  <si>
    <t>RAY MILDRED LOUISE</t>
  </si>
  <si>
    <t>129 ASHWOOD LN</t>
  </si>
  <si>
    <t>I5020B0005</t>
  </si>
  <si>
    <t>FLORIDO CECILIO</t>
  </si>
  <si>
    <t>117 SUNSET DRIVE</t>
  </si>
  <si>
    <t>J6100B0009</t>
  </si>
  <si>
    <t>J6100B0021</t>
  </si>
  <si>
    <t>J5010D0011</t>
  </si>
  <si>
    <t>WORSLEY BRIAN E</t>
  </si>
  <si>
    <t>188 CHARLESTON RIDGE DRIVE</t>
  </si>
  <si>
    <t>F400000032</t>
  </si>
  <si>
    <t>BOGER CHRISTY MICHELLE</t>
  </si>
  <si>
    <t>G40000000901</t>
  </si>
  <si>
    <t>F40000003202</t>
  </si>
  <si>
    <t>F40000003503</t>
  </si>
  <si>
    <t>N5010C0022</t>
  </si>
  <si>
    <t>MARTIN ROGER LEMONT</t>
  </si>
  <si>
    <t>DALTON TANGELA SHERI</t>
  </si>
  <si>
    <t>E700000120</t>
  </si>
  <si>
    <t>BRIDGERS RIDDICK MADISON</t>
  </si>
  <si>
    <t>558 BALTIMORE RD</t>
  </si>
  <si>
    <t>G9090B0029</t>
  </si>
  <si>
    <t>IBRAHIMOVIC MERSUDIN</t>
  </si>
  <si>
    <t>IBRAHIMOVIC MIRSENA</t>
  </si>
  <si>
    <t>171 S MARCH FERRY RD</t>
  </si>
  <si>
    <t>E900000067</t>
  </si>
  <si>
    <t>HERTEL MARCO</t>
  </si>
  <si>
    <t>HERTEL MEIKE</t>
  </si>
  <si>
    <t>133 BAYHILL DR</t>
  </si>
  <si>
    <t>G8140A0001</t>
  </si>
  <si>
    <t>HEFNER TRENTON M</t>
  </si>
  <si>
    <t>221 OLD HOMEPLACE DR</t>
  </si>
  <si>
    <t>27006-7359</t>
  </si>
  <si>
    <t>L40000002601</t>
  </si>
  <si>
    <t>JAMES JESSE C JR</t>
  </si>
  <si>
    <t>JAMES TAMRA C</t>
  </si>
  <si>
    <t>492 GLADSTONE RD</t>
  </si>
  <si>
    <t>I300000077</t>
  </si>
  <si>
    <t>BOGER GEORGE MITCHELL</t>
  </si>
  <si>
    <t>BOGER TAMMY</t>
  </si>
  <si>
    <t>526 FRED LANIER RD</t>
  </si>
  <si>
    <t>D3010A0002</t>
  </si>
  <si>
    <t>LEE DAVID ANTHONY</t>
  </si>
  <si>
    <t>LEE PAULA JANE</t>
  </si>
  <si>
    <t>111 PEN CT</t>
  </si>
  <si>
    <t>27028-4772</t>
  </si>
  <si>
    <t>I700000069</t>
  </si>
  <si>
    <t>STEADMAN MELVIN</t>
  </si>
  <si>
    <t>STEADMAN LAURIE ANN</t>
  </si>
  <si>
    <t>427 COMANCHE DR</t>
  </si>
  <si>
    <t>F90000004102</t>
  </si>
  <si>
    <t>493 BAILEY RD</t>
  </si>
  <si>
    <t>27006-7405</t>
  </si>
  <si>
    <t>C7140C0007</t>
  </si>
  <si>
    <t>BROOKS DONALD</t>
  </si>
  <si>
    <t>BROOKS AMY</t>
  </si>
  <si>
    <t>110 FOREST DR</t>
  </si>
  <si>
    <t>C8010A0218</t>
  </si>
  <si>
    <t>MCEWAN ROBERT C</t>
  </si>
  <si>
    <t>MCEWAN DONNA E</t>
  </si>
  <si>
    <t>206 N FORKE DR</t>
  </si>
  <si>
    <t>27006-8656</t>
  </si>
  <si>
    <t>E600000067</t>
  </si>
  <si>
    <t>GONZALEZ ENEMORIO LUGO</t>
  </si>
  <si>
    <t>GARCIA REYNA LOPEZ</t>
  </si>
  <si>
    <t>121 FROST RD</t>
  </si>
  <si>
    <t>27006-6747</t>
  </si>
  <si>
    <t>D7030C0002</t>
  </si>
  <si>
    <t>ALBANESE NICHOLAS BLAKE</t>
  </si>
  <si>
    <t>BENEKE EMMA L</t>
  </si>
  <si>
    <t>116 JANLIN LN</t>
  </si>
  <si>
    <t>J5010B0006</t>
  </si>
  <si>
    <t>MEJIA RONALD ARMANDO</t>
  </si>
  <si>
    <t>MEJIA TERESA LEONOR</t>
  </si>
  <si>
    <t>274 WINDING CREEK RD</t>
  </si>
  <si>
    <t>C8010A0130</t>
  </si>
  <si>
    <t>LETOURNEAU CRISTEN R</t>
  </si>
  <si>
    <t>172 TOWN PARK DR</t>
  </si>
  <si>
    <t>C8010D0038</t>
  </si>
  <si>
    <t>MITCHELL AURELIA N</t>
  </si>
  <si>
    <t>MITCHELL DAVID F</t>
  </si>
  <si>
    <t>116 PENDLETON DR</t>
  </si>
  <si>
    <t>I5170C0020</t>
  </si>
  <si>
    <t>BORUTA PAUL J</t>
  </si>
  <si>
    <t>BORUTA KAREN M</t>
  </si>
  <si>
    <t>124 MILLWRIGHT CT</t>
  </si>
  <si>
    <t>G90000001311</t>
  </si>
  <si>
    <t>SHIELDS JOHN</t>
  </si>
  <si>
    <t>SHIELDS SARA H</t>
  </si>
  <si>
    <t>279 PLANTATION LN</t>
  </si>
  <si>
    <t>I4120D0026</t>
  </si>
  <si>
    <t>JORDAN CLYDE E</t>
  </si>
  <si>
    <t>JORDAN GAIL J</t>
  </si>
  <si>
    <t>256 PARK AVE</t>
  </si>
  <si>
    <t>27028-2132</t>
  </si>
  <si>
    <t>D7060A0003</t>
  </si>
  <si>
    <t>ROBERTS ROY RAYMOND</t>
  </si>
  <si>
    <t>295 CREEKWOOD DR</t>
  </si>
  <si>
    <t>G9100A0035</t>
  </si>
  <si>
    <t>KEVIN &amp; CARLYNN BAREFOOT LIV T</t>
  </si>
  <si>
    <t>135 CREEKVIEW DR</t>
  </si>
  <si>
    <t>27006-7499</t>
  </si>
  <si>
    <t>G9100A0024</t>
  </si>
  <si>
    <t>F30000002702</t>
  </si>
  <si>
    <t>BLACKWELDER DEANNA SHAMEL</t>
  </si>
  <si>
    <t>BLACKWELDER BRADLEY DAVIS</t>
  </si>
  <si>
    <t>585 WAGNER ROAD</t>
  </si>
  <si>
    <t>G90000001310</t>
  </si>
  <si>
    <t>C8010B0348</t>
  </si>
  <si>
    <t>TORREALBA KEYLA KATIUSKA DUIN</t>
  </si>
  <si>
    <t>PEREZ ARIEL D</t>
  </si>
  <si>
    <t>175 KILBOURNE DRIVE</t>
  </si>
  <si>
    <t>H5160A0002</t>
  </si>
  <si>
    <t>DILLON DIEGO L</t>
  </si>
  <si>
    <t>DILLON MAYRA</t>
  </si>
  <si>
    <t>117 RIDGEHAVEN PL</t>
  </si>
  <si>
    <t>G900000001</t>
  </si>
  <si>
    <t>543 BAILEY RD</t>
  </si>
  <si>
    <t>C30000011010A</t>
  </si>
  <si>
    <t>MILLER ROBERT AND ANN FAM TRUS</t>
  </si>
  <si>
    <t>419 MCCOSH STREET</t>
  </si>
  <si>
    <t>HANOVER</t>
  </si>
  <si>
    <t>C30000011003</t>
  </si>
  <si>
    <t>J7120A0031</t>
  </si>
  <si>
    <t>VALLES KRISTEN</t>
  </si>
  <si>
    <t>3060 US HIGHWAY 64 E</t>
  </si>
  <si>
    <t>C60000011203</t>
  </si>
  <si>
    <t>BEITZ KENNETH P</t>
  </si>
  <si>
    <t>BEITZ PAIGE</t>
  </si>
  <si>
    <t>1806 YADKIN VALLEY RD</t>
  </si>
  <si>
    <t>C60000010901</t>
  </si>
  <si>
    <t>H8060A0011</t>
  </si>
  <si>
    <t>HAGGERTY WILLIAM</t>
  </si>
  <si>
    <t>HAGGERTY CAROLYN</t>
  </si>
  <si>
    <t>137 ALEXANDRIA COURT</t>
  </si>
  <si>
    <t>G8140A0072</t>
  </si>
  <si>
    <t>WRIGHT RONALD ANTHONY JR</t>
  </si>
  <si>
    <t>WRIGHT HAYEON KIM</t>
  </si>
  <si>
    <t>115 SPRUCEWOOD CT</t>
  </si>
  <si>
    <t>H8060A0041</t>
  </si>
  <si>
    <t>CLINE ROBERT L</t>
  </si>
  <si>
    <t>CLINE CHRISTINA H</t>
  </si>
  <si>
    <t>125 CUMBERLAND CT</t>
  </si>
  <si>
    <t>27006-7314</t>
  </si>
  <si>
    <t>F30000008502</t>
  </si>
  <si>
    <t>BOLIN BENNIE LEE</t>
  </si>
  <si>
    <t>BOLIN DIANA LYNN</t>
  </si>
  <si>
    <t>179 CHISUM TRL</t>
  </si>
  <si>
    <t>C500000086</t>
  </si>
  <si>
    <t>D8070D0016</t>
  </si>
  <si>
    <t>WENDT DEBORAH KAY</t>
  </si>
  <si>
    <t>165 FAIRWAY DRIVE</t>
  </si>
  <si>
    <t>E70000013611</t>
  </si>
  <si>
    <t>PUGSLEY JILLIAN</t>
  </si>
  <si>
    <t>AGEE RICHARD F II</t>
  </si>
  <si>
    <t>144 WELLINGTON CT</t>
  </si>
  <si>
    <t>I5080E0009</t>
  </si>
  <si>
    <t>LEWIS KIM M</t>
  </si>
  <si>
    <t>LEWIS JANET B</t>
  </si>
  <si>
    <t>854 N MAIN ST</t>
  </si>
  <si>
    <t>H4200A0008</t>
  </si>
  <si>
    <t>GRIFFIN RODNEY</t>
  </si>
  <si>
    <t>GENTRY MELINDA</t>
  </si>
  <si>
    <t>195 COPPERFIELD DR</t>
  </si>
  <si>
    <t>I200000044</t>
  </si>
  <si>
    <t>PEELER TIMOTHY SR</t>
  </si>
  <si>
    <t>127 GODBEY ACRES LN</t>
  </si>
  <si>
    <t>27028-8266</t>
  </si>
  <si>
    <t>G300000002</t>
  </si>
  <si>
    <t>CHAFFIN JOE THOMAS</t>
  </si>
  <si>
    <t>CHAFFIN MARY B</t>
  </si>
  <si>
    <t>362 WAGNER ROAD</t>
  </si>
  <si>
    <t>G10000001301</t>
  </si>
  <si>
    <t>G10000000804</t>
  </si>
  <si>
    <t>D8070A0031</t>
  </si>
  <si>
    <t>BERMUDA RUN GOLFDOMINIUM ASSN1</t>
  </si>
  <si>
    <t>CHRIS FOWLER</t>
  </si>
  <si>
    <t>111 GLENMOOR AVE</t>
  </si>
  <si>
    <t>E9150A0011</t>
  </si>
  <si>
    <t>BAKER JOSEPH ROBERT</t>
  </si>
  <si>
    <t>BAKER JENNA KAY</t>
  </si>
  <si>
    <t>236 HIDDEN CREEK DR</t>
  </si>
  <si>
    <t>D8070D0009</t>
  </si>
  <si>
    <t>GARDNER SHERRY R</t>
  </si>
  <si>
    <t>147 FAIRWAY DRIVE</t>
  </si>
  <si>
    <t>H2050B0009</t>
  </si>
  <si>
    <t>SMITH COURTNEY</t>
  </si>
  <si>
    <t>2384 US HIGHWAY 64 W</t>
  </si>
  <si>
    <t>B7010A0024</t>
  </si>
  <si>
    <t>WOLFE RONALD D</t>
  </si>
  <si>
    <t>WOLFE GENA L</t>
  </si>
  <si>
    <t>307 GRIFFITH RD</t>
  </si>
  <si>
    <t>D9050B0011</t>
  </si>
  <si>
    <t>WOMBLE T DAN</t>
  </si>
  <si>
    <t>3802 CLEMMONS ROAD SUITE A</t>
  </si>
  <si>
    <t>I300000068</t>
  </si>
  <si>
    <t>EBRIGHT DENNIS</t>
  </si>
  <si>
    <t>1371 US HIGHWAY 64 W</t>
  </si>
  <si>
    <t>F4010A0009</t>
  </si>
  <si>
    <t>LAMB TERRY W</t>
  </si>
  <si>
    <t>LAMB SONJA R</t>
  </si>
  <si>
    <t>216 SUMMERLYN DR</t>
  </si>
  <si>
    <t>J5150E0002</t>
  </si>
  <si>
    <t>SWEET ROBERT</t>
  </si>
  <si>
    <t>SWEET NICOLE</t>
  </si>
  <si>
    <t>328 ROLLINGWOOD DR</t>
  </si>
  <si>
    <t>E8060A0002</t>
  </si>
  <si>
    <t>MALONE SEAN E</t>
  </si>
  <si>
    <t>MALONE ALICIA D</t>
  </si>
  <si>
    <t>133 E VALLEY VIEW RD</t>
  </si>
  <si>
    <t>C7130A0009</t>
  </si>
  <si>
    <t>NEAS JAN</t>
  </si>
  <si>
    <t>138 MCGEE CT</t>
  </si>
  <si>
    <t>E900000084</t>
  </si>
  <si>
    <t>BORNEMANN UTE G</t>
  </si>
  <si>
    <t>158 AVIARA DRIVE</t>
  </si>
  <si>
    <t>E90000008501</t>
  </si>
  <si>
    <t>F40000004101</t>
  </si>
  <si>
    <t>E8160A0034</t>
  </si>
  <si>
    <t>BOST GEORGE R</t>
  </si>
  <si>
    <t>BOST AMANDA</t>
  </si>
  <si>
    <t>107 MEADOW CREEK CT</t>
  </si>
  <si>
    <t>E900000681</t>
  </si>
  <si>
    <t>HELTON CHAD M</t>
  </si>
  <si>
    <t>HELTON CAMILLA E</t>
  </si>
  <si>
    <t>438 N HIDDENBROOKE DR</t>
  </si>
  <si>
    <t>I600000053</t>
  </si>
  <si>
    <t>MOORE ZACHARY CHEYENNE</t>
  </si>
  <si>
    <t>274 CHESTNUT TRL</t>
  </si>
  <si>
    <t>C8010D0046</t>
  </si>
  <si>
    <t>DELLINGER CHARLES</t>
  </si>
  <si>
    <t>DELLINGER BARBARA S</t>
  </si>
  <si>
    <t>347 TOWN PARK DR</t>
  </si>
  <si>
    <t>27006-8618</t>
  </si>
  <si>
    <t>E900000224</t>
  </si>
  <si>
    <t>CRISTIANO NICHOLAS</t>
  </si>
  <si>
    <t>CRISTIANO KRISSY</t>
  </si>
  <si>
    <t>268 KINGSMILL DR</t>
  </si>
  <si>
    <t>H80000001402</t>
  </si>
  <si>
    <t>SMITH DENNIS ODELL (1%)</t>
  </si>
  <si>
    <t>SMITH ELAINE H (99%)</t>
  </si>
  <si>
    <t>1028 MARKLAND RD</t>
  </si>
  <si>
    <t>H80000001601</t>
  </si>
  <si>
    <t>I5110B0011</t>
  </si>
  <si>
    <t>PERDUE CHARLES</t>
  </si>
  <si>
    <t>175 WINDSONG RD</t>
  </si>
  <si>
    <t>27028-2843</t>
  </si>
  <si>
    <t>I6140A0027</t>
  </si>
  <si>
    <t>CARTNER DAVID E</t>
  </si>
  <si>
    <t>CARTNER AMY H</t>
  </si>
  <si>
    <t>290 LAKEVIEW RD</t>
  </si>
  <si>
    <t>J5170A0005</t>
  </si>
  <si>
    <t>SCIPIONI JEFFREY T</t>
  </si>
  <si>
    <t>SCIPIONI KATHERINE L</t>
  </si>
  <si>
    <t>144 ELBERON CT</t>
  </si>
  <si>
    <t>I4010A0061</t>
  </si>
  <si>
    <t>GARNER JANICE MARIE</t>
  </si>
  <si>
    <t>180 N WENTWORTH DR</t>
  </si>
  <si>
    <t>D9010B0017</t>
  </si>
  <si>
    <t>MANER ANDREW F</t>
  </si>
  <si>
    <t>MANER GEORGIA G</t>
  </si>
  <si>
    <t>160 WARWICKE PL</t>
  </si>
  <si>
    <t>J7050B0004</t>
  </si>
  <si>
    <t>ANDERSON MARCIA DARLENE</t>
  </si>
  <si>
    <t>1304 NC HIGHWAY 801 S</t>
  </si>
  <si>
    <t>27006-7809</t>
  </si>
  <si>
    <t>G8050B0020</t>
  </si>
  <si>
    <t>SLAGLE EDITH BAILEY ETAL</t>
  </si>
  <si>
    <t>BAILEY TAYLOR FREDERICK</t>
  </si>
  <si>
    <t>613 WEBSTER DRIVE</t>
  </si>
  <si>
    <t>DECATUR</t>
  </si>
  <si>
    <t>30033-0000</t>
  </si>
  <si>
    <t>F900000014</t>
  </si>
  <si>
    <t>L60000001503</t>
  </si>
  <si>
    <t>TROYER DAVID A</t>
  </si>
  <si>
    <t>TROYER ADA</t>
  </si>
  <si>
    <t>271 CHERRY HILL RD</t>
  </si>
  <si>
    <t>D8030A0008</t>
  </si>
  <si>
    <t>ASHBY JEFFREY K</t>
  </si>
  <si>
    <t>ASHBY REGINA S</t>
  </si>
  <si>
    <t>153 BOXWOOD CIR</t>
  </si>
  <si>
    <t>H600000096</t>
  </si>
  <si>
    <t>ALONSO FLOR MARIA</t>
  </si>
  <si>
    <t>ALONSO JOSE ISAAC</t>
  </si>
  <si>
    <t>1176 CORNATZER RD</t>
  </si>
  <si>
    <t>M4130A0001</t>
  </si>
  <si>
    <t>WEST BOBBY R</t>
  </si>
  <si>
    <t>WEST JERRI B</t>
  </si>
  <si>
    <t>326 PINE RIDGE RD</t>
  </si>
  <si>
    <t>L600000015</t>
  </si>
  <si>
    <t>H800000009</t>
  </si>
  <si>
    <t>MINOR TAMMIE S</t>
  </si>
  <si>
    <t>782 MARKLAND RD</t>
  </si>
  <si>
    <t>E8110B0014</t>
  </si>
  <si>
    <t>MELECIO FELIX</t>
  </si>
  <si>
    <t>MELECIO MARIA C</t>
  </si>
  <si>
    <t>318 RIVER ROAD</t>
  </si>
  <si>
    <t>G200000045</t>
  </si>
  <si>
    <t>STRUBHAR CONRAD</t>
  </si>
  <si>
    <t>STUBHAR JESSICA</t>
  </si>
  <si>
    <t>678 SHEFFIELD RD</t>
  </si>
  <si>
    <t>27028-8407</t>
  </si>
  <si>
    <t>L300000004</t>
  </si>
  <si>
    <t>RENNOLDS SCOTT STEPHEN</t>
  </si>
  <si>
    <t>RENNOLDS CHRISTINE ELANE</t>
  </si>
  <si>
    <t>548 MR HENRY RD</t>
  </si>
  <si>
    <t>H5200A0025</t>
  </si>
  <si>
    <t>G50000008112</t>
  </si>
  <si>
    <t>WILES JILL ASHLEY</t>
  </si>
  <si>
    <t>WILES JACOB GRANT</t>
  </si>
  <si>
    <t>167 EAGLES LANDING LN</t>
  </si>
  <si>
    <t>27028-4356</t>
  </si>
  <si>
    <t>G80000002401</t>
  </si>
  <si>
    <t>WYATT CHRISTOPER E</t>
  </si>
  <si>
    <t>WYATT SANDRA S</t>
  </si>
  <si>
    <t>1832 NC HIGHWAY 801 S</t>
  </si>
  <si>
    <t>27006-6759</t>
  </si>
  <si>
    <t>I4010A0058</t>
  </si>
  <si>
    <t>JONES VINCENT E</t>
  </si>
  <si>
    <t>JONES ANGELIA</t>
  </si>
  <si>
    <t>181 N WENTWORTH DR</t>
  </si>
  <si>
    <t>J400000013</t>
  </si>
  <si>
    <t>MCLAUGHLIN GENE L</t>
  </si>
  <si>
    <t>231 SCENIC DRIVE</t>
  </si>
  <si>
    <t>J6090A0009</t>
  </si>
  <si>
    <t>SCOTT VERONICA DENISE</t>
  </si>
  <si>
    <t>137 ERIC ROAD</t>
  </si>
  <si>
    <t>J6090A0005</t>
  </si>
  <si>
    <t>I700000042</t>
  </si>
  <si>
    <t>MORRISON MARCUS K</t>
  </si>
  <si>
    <t>MORRISON MONICA</t>
  </si>
  <si>
    <t>1017 WILLIAMS RD</t>
  </si>
  <si>
    <t>E700000040</t>
  </si>
  <si>
    <t>BARBER JAMES</t>
  </si>
  <si>
    <t>BARBER ASHLEY WHITAKER</t>
  </si>
  <si>
    <t>4370 US HIGHWAY 158</t>
  </si>
  <si>
    <t>27006-7986</t>
  </si>
  <si>
    <t>E700000039</t>
  </si>
  <si>
    <t>E500000020</t>
  </si>
  <si>
    <t>TURPIN WALTER KEITH</t>
  </si>
  <si>
    <t>867 FARMINGTON RD</t>
  </si>
  <si>
    <t>27028-7642</t>
  </si>
  <si>
    <t>I20000000616</t>
  </si>
  <si>
    <t>ZECHER FRANK E</t>
  </si>
  <si>
    <t>ZECHER LISA PAIGE</t>
  </si>
  <si>
    <t>184 COOKSON LN</t>
  </si>
  <si>
    <t>27028-6798</t>
  </si>
  <si>
    <t>G8140A0043</t>
  </si>
  <si>
    <t>MASSEY CHRISTA ANN</t>
  </si>
  <si>
    <t>MASSEY JUSTIN</t>
  </si>
  <si>
    <t>106 SUMMERFIELD CT</t>
  </si>
  <si>
    <t>27006-7369</t>
  </si>
  <si>
    <t>C8010D0039</t>
  </si>
  <si>
    <t>GOFF MICHAEL J</t>
  </si>
  <si>
    <t>GOFF IRENE M</t>
  </si>
  <si>
    <t>114 PENDLETON DR</t>
  </si>
  <si>
    <t>G700000071</t>
  </si>
  <si>
    <t>MYERS JOSHUA</t>
  </si>
  <si>
    <t>217 MEGANS WAY</t>
  </si>
  <si>
    <t>27006-7893</t>
  </si>
  <si>
    <t>K50000002802</t>
  </si>
  <si>
    <t>DIXON KAYCEE MARIE</t>
  </si>
  <si>
    <t>135 TURRENTINE CHURCH RD</t>
  </si>
  <si>
    <t>K30000000302</t>
  </si>
  <si>
    <t>NELSON ERIK</t>
  </si>
  <si>
    <t>222 BYERLYS CHAPEL RD</t>
  </si>
  <si>
    <t>27028-5104</t>
  </si>
  <si>
    <t>E300000044</t>
  </si>
  <si>
    <t>WHITE JOHN A</t>
  </si>
  <si>
    <t>WHITE PAMELA SHERRILL</t>
  </si>
  <si>
    <t>632 RICHIE RD</t>
  </si>
  <si>
    <t>K500000066</t>
  </si>
  <si>
    <t>SINK LEROY</t>
  </si>
  <si>
    <t>SINK JANE M</t>
  </si>
  <si>
    <t>542 WILL BOONE RD</t>
  </si>
  <si>
    <t>27028-5485</t>
  </si>
  <si>
    <t>D7080A0050</t>
  </si>
  <si>
    <t>COSTANZO GARRETT M</t>
  </si>
  <si>
    <t>COSTANZO DEBORAH G</t>
  </si>
  <si>
    <t>207 LONGWOOD DR</t>
  </si>
  <si>
    <t>H800000013</t>
  </si>
  <si>
    <t>H800000014</t>
  </si>
  <si>
    <t>I5170C0003</t>
  </si>
  <si>
    <t>SLOBISKI ANNA A</t>
  </si>
  <si>
    <t>137 MILLWRIGHT CT</t>
  </si>
  <si>
    <t>F8020A0005</t>
  </si>
  <si>
    <t>LAMB BRIAN CHARLES</t>
  </si>
  <si>
    <t>LAMB CHRISTINE ANN</t>
  </si>
  <si>
    <t>147 WINDEMERE DR</t>
  </si>
  <si>
    <t>H5160A0020</t>
  </si>
  <si>
    <t>LAUCK JAMES</t>
  </si>
  <si>
    <t>LAUCK CHARITY</t>
  </si>
  <si>
    <t>160 MEADOW RIDGE DR</t>
  </si>
  <si>
    <t>I700000009</t>
  </si>
  <si>
    <t>BINKLEY CYNTHIA SNOW</t>
  </si>
  <si>
    <t>BINKLEY RICKY LEE</t>
  </si>
  <si>
    <t>460 MERRELLS LAKE RD</t>
  </si>
  <si>
    <t>F20000004401</t>
  </si>
  <si>
    <t>HILL JOHN LOFTEN</t>
  </si>
  <si>
    <t>HILL MELISSA W</t>
  </si>
  <si>
    <t>188 CAMBRIDGE LN</t>
  </si>
  <si>
    <t>D7030A0034</t>
  </si>
  <si>
    <t>MEYERS NEIL</t>
  </si>
  <si>
    <t>122 FOREST CT</t>
  </si>
  <si>
    <t>27006-9453</t>
  </si>
  <si>
    <t>E8020A0023</t>
  </si>
  <si>
    <t>HEGE DAVID JOSHUA</t>
  </si>
  <si>
    <t>HEGE ASHLEY VINCENT</t>
  </si>
  <si>
    <t>120 RAINTREE CT</t>
  </si>
  <si>
    <t>E80000001702</t>
  </si>
  <si>
    <t>HARRIS EVERETT RAY JR</t>
  </si>
  <si>
    <t>HARRIS VICKIE L</t>
  </si>
  <si>
    <t>1382 UNDERPASS RD</t>
  </si>
  <si>
    <t>E50000001703</t>
  </si>
  <si>
    <t>NEW BEGINNINGS BAPTIST CHURCH OF MOCKSVILLE INC</t>
  </si>
  <si>
    <t>PO BOX 566</t>
  </si>
  <si>
    <t>27028-0566</t>
  </si>
  <si>
    <t>H70000003804</t>
  </si>
  <si>
    <t>27006-2144</t>
  </si>
  <si>
    <t>F30000000523</t>
  </si>
  <si>
    <t>CUNDARI PATRICK J III</t>
  </si>
  <si>
    <t>CUNDARI STACEY</t>
  </si>
  <si>
    <t>103 PASO FOREST TRL</t>
  </si>
  <si>
    <t>27028-4986</t>
  </si>
  <si>
    <t>D8100A0015</t>
  </si>
  <si>
    <t>ROBERSON VIRGIL O</t>
  </si>
  <si>
    <t>ROBERSON ANN L</t>
  </si>
  <si>
    <t>707 RIVERBEND DR</t>
  </si>
  <si>
    <t>H9080A0023</t>
  </si>
  <si>
    <t>MULGREW MATTHEW</t>
  </si>
  <si>
    <t>CASTLE MELISSA</t>
  </si>
  <si>
    <t>139 E ROLLINGMEADOW RD</t>
  </si>
  <si>
    <t>J6090A0006</t>
  </si>
  <si>
    <t>J200000013</t>
  </si>
  <si>
    <t>CARTNER LARRY WAYNE</t>
  </si>
  <si>
    <t>CARTNER MARVIE LOVETTE</t>
  </si>
  <si>
    <t>906 HIDDEN CREEK CIR</t>
  </si>
  <si>
    <t>28147-7232</t>
  </si>
  <si>
    <t>C70000011602</t>
  </si>
  <si>
    <t>MILLER MAUDIE CARTER</t>
  </si>
  <si>
    <t>2003 ROUSE RD</t>
  </si>
  <si>
    <t>28504-7903</t>
  </si>
  <si>
    <t>E900000021</t>
  </si>
  <si>
    <t>SMITH JACOB</t>
  </si>
  <si>
    <t>221 OAKMONT DR</t>
  </si>
  <si>
    <t>F600000087</t>
  </si>
  <si>
    <t>SMITH EDWARD</t>
  </si>
  <si>
    <t>SMITH LESLIE</t>
  </si>
  <si>
    <t>1999 GEORGIA AVE</t>
  </si>
  <si>
    <t>27104-3103</t>
  </si>
  <si>
    <t>B400000015</t>
  </si>
  <si>
    <t>REICHENBERG CHRISTOPHER JOHN</t>
  </si>
  <si>
    <t>163 BONKIN LAKE RD</t>
  </si>
  <si>
    <t>E8140A0010</t>
  </si>
  <si>
    <t>CASSTEVENS FRANK D</t>
  </si>
  <si>
    <t>107 SPRINGFIELD DR</t>
  </si>
  <si>
    <t>E900000220</t>
  </si>
  <si>
    <t>NASH NELSON B</t>
  </si>
  <si>
    <t>NASH GLORIA W</t>
  </si>
  <si>
    <t>292 KINGSMILL DR</t>
  </si>
  <si>
    <t>H5190A0004</t>
  </si>
  <si>
    <t>CORREIA RAYMOND</t>
  </si>
  <si>
    <t>CORREIA JENNIFER</t>
  </si>
  <si>
    <t>124 CHANDLER DR</t>
  </si>
  <si>
    <t>I700000080</t>
  </si>
  <si>
    <t>JONES MICHAEL DALE</t>
  </si>
  <si>
    <t>896 FORK BIXBY RD</t>
  </si>
  <si>
    <t>D8080D0027</t>
  </si>
  <si>
    <t>WILLIAMS BRITTANY MARIE</t>
  </si>
  <si>
    <t>MOSER THEO D</t>
  </si>
  <si>
    <t>840 RIVERBEND DR</t>
  </si>
  <si>
    <t>D600000091</t>
  </si>
  <si>
    <t>HOLDEN WILLIAM H III</t>
  </si>
  <si>
    <t>HOLDEN BARBARA ANN</t>
  </si>
  <si>
    <t>447 RAINBOW RD</t>
  </si>
  <si>
    <t>D60000001803</t>
  </si>
  <si>
    <t>I4140B0005</t>
  </si>
  <si>
    <t>COOPER MEGAN N</t>
  </si>
  <si>
    <t>457 TOT ST</t>
  </si>
  <si>
    <t>E900000721</t>
  </si>
  <si>
    <t>HAMILTON MICHAEL W</t>
  </si>
  <si>
    <t>HAMILTON DARAE</t>
  </si>
  <si>
    <t>145 CAUDLE MEADOWS DR</t>
  </si>
  <si>
    <t>G60000005903</t>
  </si>
  <si>
    <t>QUINTEROS JOSE ISABEL</t>
  </si>
  <si>
    <t>QUINTEROS NIMIA MARGARITA DIAZ</t>
  </si>
  <si>
    <t>379 HOWARDTOWN RD</t>
  </si>
  <si>
    <t>27028-7238</t>
  </si>
  <si>
    <t>L800000016</t>
  </si>
  <si>
    <t>BAXTER DAVID J</t>
  </si>
  <si>
    <t>BAXTER KELLY H</t>
  </si>
  <si>
    <t>136 HILL TOP DR</t>
  </si>
  <si>
    <t>J30000001709</t>
  </si>
  <si>
    <t>BURGDOFER HOLLY</t>
  </si>
  <si>
    <t>3930 FOSTER ROAD</t>
  </si>
  <si>
    <t>J30000001706</t>
  </si>
  <si>
    <t>K70000002602</t>
  </si>
  <si>
    <t>KING STACEY MARIE</t>
  </si>
  <si>
    <t>606 CEDAR GROVE CHURCH RD</t>
  </si>
  <si>
    <t>D20000001301</t>
  </si>
  <si>
    <t>MARTINEZ DAVID BARRERA</t>
  </si>
  <si>
    <t>762 BEAR CREEK CHURCH RD</t>
  </si>
  <si>
    <t>G50000008109</t>
  </si>
  <si>
    <t>BRANON JOHN K</t>
  </si>
  <si>
    <t>233 PILOT BLUFF DRIVE</t>
  </si>
  <si>
    <t>C600000123</t>
  </si>
  <si>
    <t>WRIGHT CODY</t>
  </si>
  <si>
    <t>1588 YADKIN VALLEY RD</t>
  </si>
  <si>
    <t>K400000034</t>
  </si>
  <si>
    <t>MILLER BRANDI SEAFORD</t>
  </si>
  <si>
    <t>MILLER BRIAN</t>
  </si>
  <si>
    <t>27028-4168</t>
  </si>
  <si>
    <t>B30000004301</t>
  </si>
  <si>
    <t>WHITE FRANKYE F</t>
  </si>
  <si>
    <t>185 MORTGAGE HILL WAY</t>
  </si>
  <si>
    <t>E9150A0063</t>
  </si>
  <si>
    <t>JONES MARY DUPREE</t>
  </si>
  <si>
    <t>JONES WILLIAM JULIAN IV</t>
  </si>
  <si>
    <t>129 FIELDWOOD DR</t>
  </si>
  <si>
    <t>J6100B0015</t>
  </si>
  <si>
    <t>CHAPMAN CHRISTOPHER H</t>
  </si>
  <si>
    <t>CHAPMAN ELIZABETH C</t>
  </si>
  <si>
    <t>165 RESERVE DR</t>
  </si>
  <si>
    <t>27028-2247</t>
  </si>
  <si>
    <t>J5010D0067</t>
  </si>
  <si>
    <t>CAMPBELL HOLLY MICKALOWSKI</t>
  </si>
  <si>
    <t>CAMPBELL JEFFREY LAMONT</t>
  </si>
  <si>
    <t>131 APPLEGATE COURT</t>
  </si>
  <si>
    <t>J5010D0045</t>
  </si>
  <si>
    <t>DOOLEY RALEIGH MARIE</t>
  </si>
  <si>
    <t>165 CLOISTER DR</t>
  </si>
  <si>
    <t>C8010A0097</t>
  </si>
  <si>
    <t>LOFTON THOMAS O JR</t>
  </si>
  <si>
    <t>LOFTON LINDA M</t>
  </si>
  <si>
    <t>130 BROOKSTONE DR</t>
  </si>
  <si>
    <t>I5070B001302</t>
  </si>
  <si>
    <t>CORRIHER JOHN HARVEY</t>
  </si>
  <si>
    <t>CORRIHER SUSAN LEE</t>
  </si>
  <si>
    <t>117 LAKEVIEW DRIVE</t>
  </si>
  <si>
    <t>D20000002002</t>
  </si>
  <si>
    <t>MYERS KRISTIE H</t>
  </si>
  <si>
    <t>610 BEAR CREEK CHURCH ROAD</t>
  </si>
  <si>
    <t>27028-5623</t>
  </si>
  <si>
    <t>E300000121</t>
  </si>
  <si>
    <t>RICHIE LOIS JEANETTE</t>
  </si>
  <si>
    <t>17200 CHENAL PKWY</t>
  </si>
  <si>
    <t>STE 300-351</t>
  </si>
  <si>
    <t>72223-5958</t>
  </si>
  <si>
    <t>H30000010107</t>
  </si>
  <si>
    <t>DUFFNER BRADLEY C</t>
  </si>
  <si>
    <t>DUFFNER AMY E</t>
  </si>
  <si>
    <t>220 QUARTER HORSE TRL</t>
  </si>
  <si>
    <t>27028-4429</t>
  </si>
  <si>
    <t>K500000046  A</t>
  </si>
  <si>
    <t>WAGNER TONY &amp; JOYCE REV TRUST</t>
  </si>
  <si>
    <t>625 DEADMON RD</t>
  </si>
  <si>
    <t>27028-5144</t>
  </si>
  <si>
    <t>G8140A0081</t>
  </si>
  <si>
    <t>BURRIS EARL P</t>
  </si>
  <si>
    <t>BURRIS STARLA L</t>
  </si>
  <si>
    <t>166 OLD HOMEPLACE DR</t>
  </si>
  <si>
    <t>27006-7357</t>
  </si>
  <si>
    <t>E900000002</t>
  </si>
  <si>
    <t>MCKINNY MARGARET JEANNE</t>
  </si>
  <si>
    <t>114 OAKMONT DR</t>
  </si>
  <si>
    <t>B600000009</t>
  </si>
  <si>
    <t>POINDEXTER FAMILY PROP. LLC</t>
  </si>
  <si>
    <t>MCPHERSON BETTY P.</t>
  </si>
  <si>
    <t>1199 HAYES FOREST DR APT 500</t>
  </si>
  <si>
    <t>27106-5018</t>
  </si>
  <si>
    <t>B600000015</t>
  </si>
  <si>
    <t>C7100B0007</t>
  </si>
  <si>
    <t>JOHNSON THERESA W</t>
  </si>
  <si>
    <t>153 RENEE DR</t>
  </si>
  <si>
    <t>E30000006201</t>
  </si>
  <si>
    <t>RODGERS MEGHAN SIBOHAN</t>
  </si>
  <si>
    <t>731 RICHIE RD</t>
  </si>
  <si>
    <t>H700000104</t>
  </si>
  <si>
    <t>LOGAN ROBERT EARL</t>
  </si>
  <si>
    <t>POLKEY MARY SUE</t>
  </si>
  <si>
    <t>232 INDIAN HILLS RD</t>
  </si>
  <si>
    <t>M40000006902</t>
  </si>
  <si>
    <t>BARR WANDA JEAN</t>
  </si>
  <si>
    <t>279 NOLLEY ROAD</t>
  </si>
  <si>
    <t>G8140A0071</t>
  </si>
  <si>
    <t>IULIANO LAURIE LEE</t>
  </si>
  <si>
    <t>IULIANO KEITH M</t>
  </si>
  <si>
    <t>121 SPRUCEWOOD CT</t>
  </si>
  <si>
    <t>E9150B0105</t>
  </si>
  <si>
    <t>REAVIS DENNIS L</t>
  </si>
  <si>
    <t>REAVIS PATRICIA H</t>
  </si>
  <si>
    <t>343 ORCHARD PARK DR</t>
  </si>
  <si>
    <t>I4120D0028</t>
  </si>
  <si>
    <t>HEFFNER DAVID O ETAL</t>
  </si>
  <si>
    <t>CO-TRUSTEES OF REV TRUST AGREE</t>
  </si>
  <si>
    <t>PO BOX 844</t>
  </si>
  <si>
    <t>27028-0844</t>
  </si>
  <si>
    <t>I5020B0004</t>
  </si>
  <si>
    <t>D8020A0020</t>
  </si>
  <si>
    <t>RUSSELL KIM</t>
  </si>
  <si>
    <t>EHRET MICHAEL</t>
  </si>
  <si>
    <t>131 IVY CIR</t>
  </si>
  <si>
    <t>E900000251</t>
  </si>
  <si>
    <t>PITOVSKI DIMITRI Z</t>
  </si>
  <si>
    <t>PITOVSKI MIRJANA</t>
  </si>
  <si>
    <t>180 ISLEWORTH DRIVE</t>
  </si>
  <si>
    <t>H8060A0075</t>
  </si>
  <si>
    <t>WATERSON DAVID M III</t>
  </si>
  <si>
    <t>WATERSON MELISSA</t>
  </si>
  <si>
    <t>415 COVINGTON DR</t>
  </si>
  <si>
    <t>27006-7977</t>
  </si>
  <si>
    <t>D9050A0024</t>
  </si>
  <si>
    <t>FOLTZ LARRY EUGENE</t>
  </si>
  <si>
    <t>FOLTZ CAROL HEAMES</t>
  </si>
  <si>
    <t>3216 BERMUDA VLG</t>
  </si>
  <si>
    <t>F3130A0009</t>
  </si>
  <si>
    <t>LIPSEY JACK H</t>
  </si>
  <si>
    <t>LIPSEY LINDSEY S</t>
  </si>
  <si>
    <t>172 PEPPERSTONE DR</t>
  </si>
  <si>
    <t>N5110A0013</t>
  </si>
  <si>
    <t>HESS CHARLES</t>
  </si>
  <si>
    <t>HESS MARY</t>
  </si>
  <si>
    <t>142 LAGLE LN</t>
  </si>
  <si>
    <t>27028-6710</t>
  </si>
  <si>
    <t>J7080B0056</t>
  </si>
  <si>
    <t>REINSVOLD AMBER K</t>
  </si>
  <si>
    <t>HARTLEY MATTHEW L</t>
  </si>
  <si>
    <t>146 CEDARWOOD PL</t>
  </si>
  <si>
    <t>E6110A0001</t>
  </si>
  <si>
    <t>CAUSEY MISTY</t>
  </si>
  <si>
    <t>110 FOX RUN DR</t>
  </si>
  <si>
    <t>M600000045</t>
  </si>
  <si>
    <t>LEWIS JOHN M</t>
  </si>
  <si>
    <t>FONTRIER LEWIS TOINETTE H</t>
  </si>
  <si>
    <t>3100 SHORE DRIVE APT P64</t>
  </si>
  <si>
    <t>VIRGINIA BEACH</t>
  </si>
  <si>
    <t>J4120A0008</t>
  </si>
  <si>
    <t>SHAVER TINA CARR</t>
  </si>
  <si>
    <t>KLUMP MARY ELLEN</t>
  </si>
  <si>
    <t>324 DUKE ST</t>
  </si>
  <si>
    <t>27028-2506</t>
  </si>
  <si>
    <t>E300000028</t>
  </si>
  <si>
    <t>BECK DAVID A</t>
  </si>
  <si>
    <t>248 LIBERTY CHURCH RD</t>
  </si>
  <si>
    <t>G3060D0007</t>
  </si>
  <si>
    <t>NAY CLAUDE W JR</t>
  </si>
  <si>
    <t>NAY MARTHA E</t>
  </si>
  <si>
    <t>232 NEBBS TRL</t>
  </si>
  <si>
    <t>M60000003203</t>
  </si>
  <si>
    <t>BECK CHRISTOPHER LINN</t>
  </si>
  <si>
    <t>173 HOUSTON RD</t>
  </si>
  <si>
    <t>27028-6701</t>
  </si>
  <si>
    <t>J600000024</t>
  </si>
  <si>
    <t>SARK SHERRY MARLENE</t>
  </si>
  <si>
    <t>425 DALTON RD</t>
  </si>
  <si>
    <t>27028-5119</t>
  </si>
  <si>
    <t>F4010A0003</t>
  </si>
  <si>
    <t>BOYLE JOSEPH P III</t>
  </si>
  <si>
    <t>BOYLE PATTI LYNN</t>
  </si>
  <si>
    <t>162 SUMMERLYN DR</t>
  </si>
  <si>
    <t>D60000001801</t>
  </si>
  <si>
    <t>HONEYCUTT STEPHANIE L</t>
  </si>
  <si>
    <t>550 RAINBOW RD</t>
  </si>
  <si>
    <t>27006-6711</t>
  </si>
  <si>
    <t>C8010A0283</t>
  </si>
  <si>
    <t>HARDING KYLE ROBERT</t>
  </si>
  <si>
    <t>HARDING EMILY P</t>
  </si>
  <si>
    <t>179 N FORKE DR</t>
  </si>
  <si>
    <t>M5020A0001  A</t>
  </si>
  <si>
    <t>PUCKETT WILLIAM</t>
  </si>
  <si>
    <t>278 MICHAELS RD</t>
  </si>
  <si>
    <t>E20000001503</t>
  </si>
  <si>
    <t>STOUT TAMMY RENEE</t>
  </si>
  <si>
    <t>158 BUCKINGHAM LN</t>
  </si>
  <si>
    <t>C8010B0384</t>
  </si>
  <si>
    <t>SHARMA JISNESH M</t>
  </si>
  <si>
    <t>SHARMA MEGHANA J</t>
  </si>
  <si>
    <t>141 GLENMOOR AVE</t>
  </si>
  <si>
    <t>E50000001706</t>
  </si>
  <si>
    <t>PENDERGRAFT LARRY EVERETTE</t>
  </si>
  <si>
    <t>PENDERGRAFT CAROLYN COLLINS</t>
  </si>
  <si>
    <t>965 FARMINGTON RD</t>
  </si>
  <si>
    <t>M5100B0012</t>
  </si>
  <si>
    <t>FIGLAR MITCHELL THOMAS</t>
  </si>
  <si>
    <t>237 SPRINGHILL DR</t>
  </si>
  <si>
    <t>27028-6842</t>
  </si>
  <si>
    <t>F4010A0010</t>
  </si>
  <si>
    <t>ADDIS DYKE FARRELL</t>
  </si>
  <si>
    <t>228 SUMMERLYN DR</t>
  </si>
  <si>
    <t>J300000031</t>
  </si>
  <si>
    <t>GREEN RICHARD A</t>
  </si>
  <si>
    <t>GREEN CYNTHIA D</t>
  </si>
  <si>
    <t>429 LYNN AVE</t>
  </si>
  <si>
    <t>27104-4042</t>
  </si>
  <si>
    <t>J7050B000501</t>
  </si>
  <si>
    <t>BERTHIAUME BRADLEY JOHN</t>
  </si>
  <si>
    <t>BERTHIAUME LYCINDA BRACKMAN</t>
  </si>
  <si>
    <t>1379 BAYSWATER DR</t>
  </si>
  <si>
    <t>27265-7291</t>
  </si>
  <si>
    <t>C7150A0010</t>
  </si>
  <si>
    <t>GIBSON RICHARD T</t>
  </si>
  <si>
    <t>GIBSON ROBBYN WHITNEY</t>
  </si>
  <si>
    <t>223 WOODBURN PL</t>
  </si>
  <si>
    <t>F300000025</t>
  </si>
  <si>
    <t>WAGNER DOYTT HAYNES</t>
  </si>
  <si>
    <t>WAGNER BEATRICE HAYES</t>
  </si>
  <si>
    <t>2120 SANDY SPRINGS CHURCH RD</t>
  </si>
  <si>
    <t>27028-7462</t>
  </si>
  <si>
    <t>J5010D0014</t>
  </si>
  <si>
    <t>CASSADY GINA M</t>
  </si>
  <si>
    <t>107 CLOISTER DR</t>
  </si>
  <si>
    <t>K5030A0003</t>
  </si>
  <si>
    <t>STAKELY GERALD D SR</t>
  </si>
  <si>
    <t>STAKELY TERRI K</t>
  </si>
  <si>
    <t>162 DEACONS WAY</t>
  </si>
  <si>
    <t>27028-5183</t>
  </si>
  <si>
    <t>F800000124</t>
  </si>
  <si>
    <t>EBRIGHT DIANNA HARRIS</t>
  </si>
  <si>
    <t>142 EBRIGHT LN</t>
  </si>
  <si>
    <t>K80000000110</t>
  </si>
  <si>
    <t>EVANS JORDAN S</t>
  </si>
  <si>
    <t>EVANS NORRIS</t>
  </si>
  <si>
    <t>251 LYDIA LN</t>
  </si>
  <si>
    <t>27006-7018</t>
  </si>
  <si>
    <t>D9050C0025</t>
  </si>
  <si>
    <t>THOMPSON RONALD KAY</t>
  </si>
  <si>
    <t>THOMPSON MARY LOU</t>
  </si>
  <si>
    <t>2316 BERMUDA VLG DR</t>
  </si>
  <si>
    <t>27006-9476</t>
  </si>
  <si>
    <t>H4130A0124</t>
  </si>
  <si>
    <t>ROBINSON DONNA</t>
  </si>
  <si>
    <t>128 GUMTREE CT</t>
  </si>
  <si>
    <t>H8060A0046</t>
  </si>
  <si>
    <t>HOWELL TRAVIS</t>
  </si>
  <si>
    <t>HOWELL SARAH</t>
  </si>
  <si>
    <t>118 ROXBURY CT</t>
  </si>
  <si>
    <t>E20000002811</t>
  </si>
  <si>
    <t>DEFORE MARGARITA</t>
  </si>
  <si>
    <t>240 BEAR CREEK CHURCH RD</t>
  </si>
  <si>
    <t>27028-5619</t>
  </si>
  <si>
    <t>E9150B0116</t>
  </si>
  <si>
    <t>PARKER LINWOOD L</t>
  </si>
  <si>
    <t>391 ORCHARD PARK DR</t>
  </si>
  <si>
    <t>I300000004</t>
  </si>
  <si>
    <t>DILLARD CHAD M</t>
  </si>
  <si>
    <t>DILLARD KELLY G</t>
  </si>
  <si>
    <t>461 POWELL RD</t>
  </si>
  <si>
    <t>H70000010301</t>
  </si>
  <si>
    <t>WAGNER KENNETH ARTHUR</t>
  </si>
  <si>
    <t>WAGNER VERONICA MICHELLE</t>
  </si>
  <si>
    <t>372 COMANCHE DR</t>
  </si>
  <si>
    <t>C8010A0224</t>
  </si>
  <si>
    <t>KOONTZ JOHN MATTHEW</t>
  </si>
  <si>
    <t>KOONTZ AMY LYNN</t>
  </si>
  <si>
    <t>232 N FORKE DR</t>
  </si>
  <si>
    <t>F8030A0017</t>
  </si>
  <si>
    <t>BLUE OLIVIA C</t>
  </si>
  <si>
    <t>TAYLOR TIMOTHY</t>
  </si>
  <si>
    <t>231 ESSEX FARM RD</t>
  </si>
  <si>
    <t>27006-7317</t>
  </si>
  <si>
    <t>E20000001504</t>
  </si>
  <si>
    <t>I5060A0003</t>
  </si>
  <si>
    <t>THOMPSON CYRUS HENRY</t>
  </si>
  <si>
    <t>201 ROLLING HILLS LN</t>
  </si>
  <si>
    <t>27028-2814</t>
  </si>
  <si>
    <t>D8070D0026</t>
  </si>
  <si>
    <t>LEVINGS GEORGES E IV</t>
  </si>
  <si>
    <t>191 FAIRWAY DR</t>
  </si>
  <si>
    <t>O60000001102</t>
  </si>
  <si>
    <t>TOLLIE DONNA</t>
  </si>
  <si>
    <t>253 SINGLETON RD</t>
  </si>
  <si>
    <t>C7100B0015</t>
  </si>
  <si>
    <t>MYERS RANDY LEE JR</t>
  </si>
  <si>
    <t>107 ROBIN DR</t>
  </si>
  <si>
    <t>E900000547</t>
  </si>
  <si>
    <t>PATTON KEVIN B</t>
  </si>
  <si>
    <t>PATTON BARBARA L</t>
  </si>
  <si>
    <t>131 N HIDDENBROOKE DR</t>
  </si>
  <si>
    <t>H4200A0004</t>
  </si>
  <si>
    <t>PADGETT BRIAN</t>
  </si>
  <si>
    <t>PADGETT TAMA</t>
  </si>
  <si>
    <t>111 SHILOH COURT</t>
  </si>
  <si>
    <t>I4120C0028</t>
  </si>
  <si>
    <t>OBRIEN BRANDON</t>
  </si>
  <si>
    <t>OBRIEN REBECCA</t>
  </si>
  <si>
    <t>190 W CHURCH ST</t>
  </si>
  <si>
    <t>K4020A0002</t>
  </si>
  <si>
    <t>MCCANN TOMMY R</t>
  </si>
  <si>
    <t>MCCANN NELLIE M</t>
  </si>
  <si>
    <t>1480 JERICHO CHURCH RD</t>
  </si>
  <si>
    <t>27028-4217</t>
  </si>
  <si>
    <t>E8100C0008</t>
  </si>
  <si>
    <t>CALLAHAN JAMES A</t>
  </si>
  <si>
    <t>GURLEY AMANDA R</t>
  </si>
  <si>
    <t>120 OAKBROOK DR</t>
  </si>
  <si>
    <t>H50000002302</t>
  </si>
  <si>
    <t>PAULEY JOHN R</t>
  </si>
  <si>
    <t>1951 US HIGHWAY 158</t>
  </si>
  <si>
    <t>K5090A0012</t>
  </si>
  <si>
    <t>K5090A001202</t>
  </si>
  <si>
    <t>H50000002301</t>
  </si>
  <si>
    <t>G8140A0047</t>
  </si>
  <si>
    <t>ESCOBAR ERICK</t>
  </si>
  <si>
    <t>ESCOBAR VIDALIZ</t>
  </si>
  <si>
    <t>121 SUMMERFIELD CT</t>
  </si>
  <si>
    <t>L5020B0003</t>
  </si>
  <si>
    <t>DALTON TIMOTHY ANTONIO</t>
  </si>
  <si>
    <t>ELLIS ROSANNA MARIE</t>
  </si>
  <si>
    <t>110 S BENSON LN</t>
  </si>
  <si>
    <t>K5070B0009</t>
  </si>
  <si>
    <t>CLARK CHRISTOPHER DAWSON</t>
  </si>
  <si>
    <t>SAWTELLE DEANNA ELIZABETH</t>
  </si>
  <si>
    <t>206 REDWOOD DR</t>
  </si>
  <si>
    <t>27028-5435</t>
  </si>
  <si>
    <t>E900000242</t>
  </si>
  <si>
    <t>HELTON MERRILLYN JO</t>
  </si>
  <si>
    <t>HELTON BRENT WARREN</t>
  </si>
  <si>
    <t>143 ISLEWORTH DR</t>
  </si>
  <si>
    <t>F30000004301</t>
  </si>
  <si>
    <t>SMITH ESTELLE</t>
  </si>
  <si>
    <t>I5120B0010</t>
  </si>
  <si>
    <t>COE LUKE</t>
  </si>
  <si>
    <t>326 WINDWARD CIR</t>
  </si>
  <si>
    <t>E900000416</t>
  </si>
  <si>
    <t>GORE GABRIEL KAPROV</t>
  </si>
  <si>
    <t>PEARSALL-GORE MARY ELIZABETH</t>
  </si>
  <si>
    <t>195 BROADMOOR DR</t>
  </si>
  <si>
    <t>I300000029</t>
  </si>
  <si>
    <t>SHAFFER ERIK</t>
  </si>
  <si>
    <t>SHAFFER KAREN</t>
  </si>
  <si>
    <t>460 BOONE FARM RD</t>
  </si>
  <si>
    <t>27028-4109</t>
  </si>
  <si>
    <t>E900000459</t>
  </si>
  <si>
    <t>PATTON JEFFREY D</t>
  </si>
  <si>
    <t>PATTON DEBORAH L</t>
  </si>
  <si>
    <t>158 S HIDDENBROOKE DR</t>
  </si>
  <si>
    <t>D20000000104</t>
  </si>
  <si>
    <t>GIBSON JONATHAN VANN</t>
  </si>
  <si>
    <t>267 PEARL LN</t>
  </si>
  <si>
    <t>27028-5672</t>
  </si>
  <si>
    <t>G9090B0037</t>
  </si>
  <si>
    <t>MORGAN LARRY &amp; TINA REV LIV TR</t>
  </si>
  <si>
    <t>237 S MARCH FERRY RD</t>
  </si>
  <si>
    <t>M5070A0004</t>
  </si>
  <si>
    <t>GRAFE KYLE GENE</t>
  </si>
  <si>
    <t>7330 NC HIGHWAY 801 S</t>
  </si>
  <si>
    <t>K5030A0006</t>
  </si>
  <si>
    <t>CELLEMME RAYMOND E</t>
  </si>
  <si>
    <t>CELLEMME SHARON M</t>
  </si>
  <si>
    <t>206 DEACON WAY</t>
  </si>
  <si>
    <t>J5160A000906</t>
  </si>
  <si>
    <t>CRESS JOSEPH C</t>
  </si>
  <si>
    <t>139 BUCKEYE TRL</t>
  </si>
  <si>
    <t>J5160A000908</t>
  </si>
  <si>
    <t>J5160A000909</t>
  </si>
  <si>
    <t>F800000092</t>
  </si>
  <si>
    <t>GROCE MARY SUE</t>
  </si>
  <si>
    <t>1592 NC HWY 801 S</t>
  </si>
  <si>
    <t>D9010A0018</t>
  </si>
  <si>
    <t>ROBERTSON JOHN C</t>
  </si>
  <si>
    <t>ROBERTSON KATHLEEN S</t>
  </si>
  <si>
    <t>143 PEMBROOKE RIDGE CT</t>
  </si>
  <si>
    <t>M5020A0012  A</t>
  </si>
  <si>
    <t>SANCHEZ YANETH GUADALUPE JIJON</t>
  </si>
  <si>
    <t>370 MICHAELS RD</t>
  </si>
  <si>
    <t>E900000086</t>
  </si>
  <si>
    <t>SEYMOUR ALBERT H</t>
  </si>
  <si>
    <t>SEYMOUR ELIZABETH M</t>
  </si>
  <si>
    <t>150 AVIARA DR</t>
  </si>
  <si>
    <t>D9030A0040</t>
  </si>
  <si>
    <t>POULOS THEODORE G</t>
  </si>
  <si>
    <t>POULOS ABBY E</t>
  </si>
  <si>
    <t>173 JAMES WAY</t>
  </si>
  <si>
    <t>E9150B0149</t>
  </si>
  <si>
    <t>POINDEXTER C CLAYTON</t>
  </si>
  <si>
    <t>POINDEXTER VICKY F</t>
  </si>
  <si>
    <t>340 ORCHARD PARK DR</t>
  </si>
  <si>
    <t>D8110A0003</t>
  </si>
  <si>
    <t>UNGERLEIDER ROSS</t>
  </si>
  <si>
    <t>UNGERLEIDER JAMIE D</t>
  </si>
  <si>
    <t>431 RIVERBEND DR</t>
  </si>
  <si>
    <t>H8060A0048</t>
  </si>
  <si>
    <t>CROWLEY MICHAEL</t>
  </si>
  <si>
    <t>CROWLEY BROOK BRADY</t>
  </si>
  <si>
    <t>122 ROXBURY CT</t>
  </si>
  <si>
    <t>H4200A0003</t>
  </si>
  <si>
    <t>STOLTZ GARY</t>
  </si>
  <si>
    <t>STOLTZ WANDA</t>
  </si>
  <si>
    <t>143 COPPERFIELD DR</t>
  </si>
  <si>
    <t>G800000075</t>
  </si>
  <si>
    <t>JACKSON DEBORAH FAULKNER</t>
  </si>
  <si>
    <t>JACKSON RODERIC</t>
  </si>
  <si>
    <t>119 KEN HOOTS LN</t>
  </si>
  <si>
    <t>27006-7541</t>
  </si>
  <si>
    <t>H80000005804</t>
  </si>
  <si>
    <t>BAILEY BRAXTON RYAN</t>
  </si>
  <si>
    <t>1091 BAILEYS CHAPEL RD</t>
  </si>
  <si>
    <t>27006-7147</t>
  </si>
  <si>
    <t>H800000059</t>
  </si>
  <si>
    <t>E8070B0014</t>
  </si>
  <si>
    <t>1672 UNDERPASS RD</t>
  </si>
  <si>
    <t>I800000010</t>
  </si>
  <si>
    <t>HERRINGTON JOSEPH K</t>
  </si>
  <si>
    <t>HERRINGTON SARAH C</t>
  </si>
  <si>
    <t>448 LIVENGOOD RD</t>
  </si>
  <si>
    <t>J7080B0034</t>
  </si>
  <si>
    <t>FLIPPIN JERRY D</t>
  </si>
  <si>
    <t>FLIPPIN PATRICIA A</t>
  </si>
  <si>
    <t>176 S HAZELWOOD DR</t>
  </si>
  <si>
    <t>27028-7165</t>
  </si>
  <si>
    <t>E9150A0037</t>
  </si>
  <si>
    <t>CATON CHRISTOPHER N</t>
  </si>
  <si>
    <t>CATON WANDA D ROBINSON</t>
  </si>
  <si>
    <t>154 TALWOOD DR</t>
  </si>
  <si>
    <t>J5010D0106</t>
  </si>
  <si>
    <t>WALL ROBERT M</t>
  </si>
  <si>
    <t>WALL PATRICIA B</t>
  </si>
  <si>
    <t>296 WINDING CREEK RD</t>
  </si>
  <si>
    <t>E900000430</t>
  </si>
  <si>
    <t>POLNAK JOHN M</t>
  </si>
  <si>
    <t>MANNUCI-POLNAK STEPHANIE A</t>
  </si>
  <si>
    <t>123 FOXMOOR CT</t>
  </si>
  <si>
    <t>27006-6956</t>
  </si>
  <si>
    <t>G500000091</t>
  </si>
  <si>
    <t>HUNTER JANICE EATON</t>
  </si>
  <si>
    <t>171 MCCLAMROCK RD</t>
  </si>
  <si>
    <t>C400000058</t>
  </si>
  <si>
    <t>G500000074</t>
  </si>
  <si>
    <t>G500000115</t>
  </si>
  <si>
    <t>H30000009201</t>
  </si>
  <si>
    <t>COLLINS MATTHEW</t>
  </si>
  <si>
    <t>CLINE JENNIFER</t>
  </si>
  <si>
    <t>145 BRANTLEY FARM RD</t>
  </si>
  <si>
    <t>27028-4112</t>
  </si>
  <si>
    <t>C8010D0033</t>
  </si>
  <si>
    <t>FAILE DANIEL M</t>
  </si>
  <si>
    <t>FAILE LORYN S</t>
  </si>
  <si>
    <t>109 PENDLETON DR</t>
  </si>
  <si>
    <t>G500000016</t>
  </si>
  <si>
    <t>FREEDOM 35 LLC</t>
  </si>
  <si>
    <t>195 COOPER CREEK DRIVE</t>
  </si>
  <si>
    <t>SUITE 101 BOX 735</t>
  </si>
  <si>
    <t>J30000003002</t>
  </si>
  <si>
    <t>GREEN CYNTHIA DOXEY</t>
  </si>
  <si>
    <t>I4050A0009</t>
  </si>
  <si>
    <t>BOWDEN LEO S JR</t>
  </si>
  <si>
    <t>209 WANDERING LN</t>
  </si>
  <si>
    <t>C8010A0230</t>
  </si>
  <si>
    <t>CARRIER STEVEN P</t>
  </si>
  <si>
    <t>CARRIER JULIANN K</t>
  </si>
  <si>
    <t>144 ROSEWALK LN</t>
  </si>
  <si>
    <t>D9050B0029</t>
  </si>
  <si>
    <t>THE MARLENE K SCHANG LIV TRUST</t>
  </si>
  <si>
    <t>2112 BERMUDA VLG</t>
  </si>
  <si>
    <t>E50000001201</t>
  </si>
  <si>
    <t>D300000049</t>
  </si>
  <si>
    <t>C400000004</t>
  </si>
  <si>
    <t>L3010A0002</t>
  </si>
  <si>
    <t>NAIL MAURICE RAY</t>
  </si>
  <si>
    <t>137 TARA CT</t>
  </si>
  <si>
    <t>27028-5382</t>
  </si>
  <si>
    <t>B30000002502</t>
  </si>
  <si>
    <t>BAUGUESS TIMMY LEE</t>
  </si>
  <si>
    <t>BAUGUESS ROBIN DENISE</t>
  </si>
  <si>
    <t>447 CHILDRENS HOME RD</t>
  </si>
  <si>
    <t>27028-4703</t>
  </si>
  <si>
    <t>M5030A0001</t>
  </si>
  <si>
    <t>COPART OF CONNECTICUT INC</t>
  </si>
  <si>
    <t>ATTN: TAX DEPARTMENT</t>
  </si>
  <si>
    <t>14185 DALLAS PARKWAY STE 300</t>
  </si>
  <si>
    <t>DALLAS</t>
  </si>
  <si>
    <t>D9050A0015</t>
  </si>
  <si>
    <t>KNESEL DAVID C</t>
  </si>
  <si>
    <t>FINLEY RUTH B</t>
  </si>
  <si>
    <t>3123 BERMUDA VLG</t>
  </si>
  <si>
    <t>27006-9477</t>
  </si>
  <si>
    <t>I5090C0012</t>
  </si>
  <si>
    <t>CAUDELL LUMBER COMPANY</t>
  </si>
  <si>
    <t>PO BOX 454</t>
  </si>
  <si>
    <t>I5090C0011</t>
  </si>
  <si>
    <t>I5090C0013</t>
  </si>
  <si>
    <t>H5150A0008</t>
  </si>
  <si>
    <t>INGRAM JAMES F</t>
  </si>
  <si>
    <t>INGRAM LESLIE R</t>
  </si>
  <si>
    <t>108 ELM ST</t>
  </si>
  <si>
    <t>27028-2739</t>
  </si>
  <si>
    <t>H5150A0007</t>
  </si>
  <si>
    <t>D3010A0036</t>
  </si>
  <si>
    <t>WADDELL CHRISTOPHER L</t>
  </si>
  <si>
    <t>WADDELL AMY W</t>
  </si>
  <si>
    <t>108 LANDIS CT</t>
  </si>
  <si>
    <t>J6100B0013</t>
  </si>
  <si>
    <t>ADM3 PROPERTIES LLC</t>
  </si>
  <si>
    <t>J6100B0999</t>
  </si>
  <si>
    <t>H5200A0007</t>
  </si>
  <si>
    <t>BURCHETTE MATTHEW</t>
  </si>
  <si>
    <t>729 JUNCTION RD</t>
  </si>
  <si>
    <t>27028-5320</t>
  </si>
  <si>
    <t>C7100A0023</t>
  </si>
  <si>
    <t>HOOKER MASON</t>
  </si>
  <si>
    <t>MILLER MORGAN</t>
  </si>
  <si>
    <t>128 NORMA LN</t>
  </si>
  <si>
    <t>J80000002208</t>
  </si>
  <si>
    <t>YOUNG TRAVIS</t>
  </si>
  <si>
    <t>YOUNG SARAH IVEY</t>
  </si>
  <si>
    <t>3521 NC HIGHWAY 801 S</t>
  </si>
  <si>
    <t>27006-7112</t>
  </si>
  <si>
    <t>K5030A0015</t>
  </si>
  <si>
    <t>WOOLDRIDGE ALYSE BOWDEN</t>
  </si>
  <si>
    <t>WOOLDRIDGE DAVID MARKS</t>
  </si>
  <si>
    <t>217 DEACON WAY</t>
  </si>
  <si>
    <t>J5030A0025</t>
  </si>
  <si>
    <t>CROTTS NICOLE R</t>
  </si>
  <si>
    <t>187 SUNNYDELL LN</t>
  </si>
  <si>
    <t>F7120B0007</t>
  </si>
  <si>
    <t>MYERS JOHN TRAVIS</t>
  </si>
  <si>
    <t>MYERS JENNIFER MARIE</t>
  </si>
  <si>
    <t>260 MONTCLAIR DR</t>
  </si>
  <si>
    <t>H9070A0027</t>
  </si>
  <si>
    <t>GOLOBIC ANN K</t>
  </si>
  <si>
    <t>JONES JOHN EDWARD</t>
  </si>
  <si>
    <t>136 IRISHMAN PL</t>
  </si>
  <si>
    <t>C8010A0241</t>
  </si>
  <si>
    <t>ANDERSON SHARON D</t>
  </si>
  <si>
    <t>134 MILLSTONE LN</t>
  </si>
  <si>
    <t>K40000004007</t>
  </si>
  <si>
    <t>JOHNSON VANCE O'NEAL</t>
  </si>
  <si>
    <t>JOHNSON PATRICIA BRASWELL</t>
  </si>
  <si>
    <t>3142 BEAVER DAM ROAD</t>
  </si>
  <si>
    <t>K40000004008</t>
  </si>
  <si>
    <t>I800000042</t>
  </si>
  <si>
    <t>BADGETT REBECCA P</t>
  </si>
  <si>
    <t>771 NC HIGHWAY 801 S</t>
  </si>
  <si>
    <t>27006-7803</t>
  </si>
  <si>
    <t>E8070A0007</t>
  </si>
  <si>
    <t>E900000175</t>
  </si>
  <si>
    <t>CHOBANY MARY CAROL</t>
  </si>
  <si>
    <t>439 KINGSMILL DR</t>
  </si>
  <si>
    <t>H40000001003</t>
  </si>
  <si>
    <t>BARAD LLC</t>
  </si>
  <si>
    <t>1642 US HIGHWAY 601 S</t>
  </si>
  <si>
    <t>27028-6900</t>
  </si>
  <si>
    <t>H40000001002</t>
  </si>
  <si>
    <t>GANDHI SANTOSHKUMAR D</t>
  </si>
  <si>
    <t>GAMDHI NISHA S</t>
  </si>
  <si>
    <t>635 MADISON RD</t>
  </si>
  <si>
    <t>C8030B0003</t>
  </si>
  <si>
    <t>FRANK DAVID J</t>
  </si>
  <si>
    <t>3775 CORNWELL DR</t>
  </si>
  <si>
    <t>MORGANTON</t>
  </si>
  <si>
    <t>N50000002305</t>
  </si>
  <si>
    <t>BYRD JULIE B</t>
  </si>
  <si>
    <t>420 SKYLAND LAKE DR</t>
  </si>
  <si>
    <t>E900000275</t>
  </si>
  <si>
    <t>GROUT RONALD B</t>
  </si>
  <si>
    <t>GROUT PATRICIA R</t>
  </si>
  <si>
    <t>139 GRASSLANDS CT</t>
  </si>
  <si>
    <t>27006-7584</t>
  </si>
  <si>
    <t>I5070A0005</t>
  </si>
  <si>
    <t>VARGAS RAUL HERNANDEZ</t>
  </si>
  <si>
    <t>CIENFUEGOS CRISTINA MOSSO</t>
  </si>
  <si>
    <t>142 GREENWOOD AVE</t>
  </si>
  <si>
    <t>27028-2705</t>
  </si>
  <si>
    <t>M600000047</t>
  </si>
  <si>
    <t>CHURCH AMY B ETAL</t>
  </si>
  <si>
    <t>G8140A0065</t>
  </si>
  <si>
    <t>SNIDER RYAN L</t>
  </si>
  <si>
    <t>SNIDER ASHLEY P</t>
  </si>
  <si>
    <t>163 SPRUCEWOOD CT</t>
  </si>
  <si>
    <t>J6100B0007</t>
  </si>
  <si>
    <t>J6100B0003</t>
  </si>
  <si>
    <t>J6100B0010</t>
  </si>
  <si>
    <t>J4120A0012</t>
  </si>
  <si>
    <t>DEAN JANET M</t>
  </si>
  <si>
    <t>937 HARDISON ST</t>
  </si>
  <si>
    <t>E6040A0007</t>
  </si>
  <si>
    <t>POPE JEAN COX</t>
  </si>
  <si>
    <t>6410 LA GRANDE DR APT 3</t>
  </si>
  <si>
    <t>C5130B0024</t>
  </si>
  <si>
    <t>B40000001801</t>
  </si>
  <si>
    <t>HALE JACOB EDWARD</t>
  </si>
  <si>
    <t>HALE AMY JO</t>
  </si>
  <si>
    <t>376 BONKIN LAKE</t>
  </si>
  <si>
    <t>B400000024</t>
  </si>
  <si>
    <t>F10000002504</t>
  </si>
  <si>
    <t>PREVETTE RYAN M</t>
  </si>
  <si>
    <t>PREVETTE CHRISTINA H</t>
  </si>
  <si>
    <t>566 DUKE WHITTAKER RD</t>
  </si>
  <si>
    <t>F30000000511</t>
  </si>
  <si>
    <t>JARRETT WILLIAM RAY</t>
  </si>
  <si>
    <t>JARRETT KATHY MOORE</t>
  </si>
  <si>
    <t>940 WAGNER RD</t>
  </si>
  <si>
    <t>B300000067</t>
  </si>
  <si>
    <t>BARFIELD DONALD STEVE</t>
  </si>
  <si>
    <t>BURNS JESSICA N</t>
  </si>
  <si>
    <t>157 COURTNEY RD</t>
  </si>
  <si>
    <t>27028-6200</t>
  </si>
  <si>
    <t>I700000016</t>
  </si>
  <si>
    <t>ONEAL BRADLEY</t>
  </si>
  <si>
    <t>COLLETTE JAN M</t>
  </si>
  <si>
    <t>557 MERRELLS LAKE RD</t>
  </si>
  <si>
    <t>D700000044</t>
  </si>
  <si>
    <t>DUNN NORMA L</t>
  </si>
  <si>
    <t>D70000004906</t>
  </si>
  <si>
    <t>D700000051</t>
  </si>
  <si>
    <t>D70000004905</t>
  </si>
  <si>
    <t>D70000004907</t>
  </si>
  <si>
    <t>H10000000806</t>
  </si>
  <si>
    <t>BRACKEN JOHN</t>
  </si>
  <si>
    <t>BRACKEN TABETHA</t>
  </si>
  <si>
    <t>136 MOLL HODGSON RD</t>
  </si>
  <si>
    <t>28634-8942</t>
  </si>
  <si>
    <t>K100000009</t>
  </si>
  <si>
    <t>GRIFFITH JAMES LYNN</t>
  </si>
  <si>
    <t>GRIFFITH TIM RANDALL</t>
  </si>
  <si>
    <t>440 CAMPGROUND RD</t>
  </si>
  <si>
    <t>K10000000901</t>
  </si>
  <si>
    <t>L5070A0009</t>
  </si>
  <si>
    <t>DULIN GEORGE WASHINGTON</t>
  </si>
  <si>
    <t>1120 S CRUMP CIR</t>
  </si>
  <si>
    <t>27054-9734</t>
  </si>
  <si>
    <t>G7060A0004</t>
  </si>
  <si>
    <t>CAMPBELL DUONE LAZAR</t>
  </si>
  <si>
    <t>534 NC HWY 801 N</t>
  </si>
  <si>
    <t>G7060A0005</t>
  </si>
  <si>
    <t>G30000000208</t>
  </si>
  <si>
    <t>HAINESWORTH DEBBIE RATLEDGE</t>
  </si>
  <si>
    <t>HAINESWORTH KEVEN EUGENE</t>
  </si>
  <si>
    <t>2712 WESTCLIFFE DR</t>
  </si>
  <si>
    <t>BURNSVILLE</t>
  </si>
  <si>
    <t>MN</t>
  </si>
  <si>
    <t>55306-0000</t>
  </si>
  <si>
    <t>I4060C0005</t>
  </si>
  <si>
    <t>PARSONS JOSEPH SAMUEL III</t>
  </si>
  <si>
    <t>PARSONS ALYSON</t>
  </si>
  <si>
    <t>912 GARNER ST</t>
  </si>
  <si>
    <t>27028-2003</t>
  </si>
  <si>
    <t>H20000001401</t>
  </si>
  <si>
    <t>HAMILTON WILLIAM A</t>
  </si>
  <si>
    <t>HAMILTON EMILY R</t>
  </si>
  <si>
    <t>155 FRED LANIER RD</t>
  </si>
  <si>
    <t>27028-8226</t>
  </si>
  <si>
    <t>J300000060</t>
  </si>
  <si>
    <t>PERUSHEK JEFFREY R</t>
  </si>
  <si>
    <t>PERUSHEK JENNIFER C</t>
  </si>
  <si>
    <t>150 FRIENDSHIP CT</t>
  </si>
  <si>
    <t>J50000005001</t>
  </si>
  <si>
    <t>1148 YADKINVILLE RD</t>
  </si>
  <si>
    <t>27028-2037</t>
  </si>
  <si>
    <t>K500000042</t>
  </si>
  <si>
    <t>J500000051</t>
  </si>
  <si>
    <t>K500000034</t>
  </si>
  <si>
    <t>L400000030</t>
  </si>
  <si>
    <t>L5010A0007</t>
  </si>
  <si>
    <t>L5100A0027</t>
  </si>
  <si>
    <t>L5010A0008</t>
  </si>
  <si>
    <t>M5160B0022</t>
  </si>
  <si>
    <t>I4110A0016</t>
  </si>
  <si>
    <t>J4050D0021</t>
  </si>
  <si>
    <t>J4050D0018</t>
  </si>
  <si>
    <t>K500000041</t>
  </si>
  <si>
    <t>JAMES CASEY D</t>
  </si>
  <si>
    <t>C8010A0175</t>
  </si>
  <si>
    <t>BRALLEY AMANDA N</t>
  </si>
  <si>
    <t>155 TOWN PARK DR</t>
  </si>
  <si>
    <t>C80000017808</t>
  </si>
  <si>
    <t>ABATTOIR PROPERTIES LLC</t>
  </si>
  <si>
    <t>152 E KINDERTON WAY</t>
  </si>
  <si>
    <t>27006-7350</t>
  </si>
  <si>
    <t>G100000048</t>
  </si>
  <si>
    <t>POWELL KEVIN D</t>
  </si>
  <si>
    <t>1323 COUNTY LINE RD</t>
  </si>
  <si>
    <t>C5130B0023</t>
  </si>
  <si>
    <t>E60000001002</t>
  </si>
  <si>
    <t>DRAMAN GRACE A</t>
  </si>
  <si>
    <t>E600000010</t>
  </si>
  <si>
    <t>H90000002515</t>
  </si>
  <si>
    <t>ROBERTSON JEFFREY V</t>
  </si>
  <si>
    <t>ROBERTSON DAPHNE</t>
  </si>
  <si>
    <t>581 PEOPLES CREEK RD</t>
  </si>
  <si>
    <t>E9150B0123</t>
  </si>
  <si>
    <t>EUBANKS JAMES W</t>
  </si>
  <si>
    <t>EUBANKS PATRICIA S</t>
  </si>
  <si>
    <t>421 ORCHARD PARK DR</t>
  </si>
  <si>
    <t>J4050E0009</t>
  </si>
  <si>
    <t>JH JOHNSON HOLDINGS LLC</t>
  </si>
  <si>
    <t>127 MARKETPLACE DR</t>
  </si>
  <si>
    <t>I4130C0003</t>
  </si>
  <si>
    <t>I4130C0004</t>
  </si>
  <si>
    <t>I4130B0004</t>
  </si>
  <si>
    <t>I4130B0005</t>
  </si>
  <si>
    <t>J4050E0013</t>
  </si>
  <si>
    <t>J4050E0014</t>
  </si>
  <si>
    <t>J4050E0007</t>
  </si>
  <si>
    <t>J4050E0012</t>
  </si>
  <si>
    <t>J6100A0011</t>
  </si>
  <si>
    <t>BERRY STEVEN LLOYD</t>
  </si>
  <si>
    <t>BERRY LINDA LEE</t>
  </si>
  <si>
    <t>149 N LAKE LOUISE DR</t>
  </si>
  <si>
    <t>D70000015801</t>
  </si>
  <si>
    <t>ROBERTSON DAVID EUGENE</t>
  </si>
  <si>
    <t>ROBERTSON JANET A</t>
  </si>
  <si>
    <t>245 FOSTER DAIRY ROAD</t>
  </si>
  <si>
    <t>G600000004</t>
  </si>
  <si>
    <t>D700000190</t>
  </si>
  <si>
    <t>F600000109</t>
  </si>
  <si>
    <t>BOTSFORD STEPHEN P</t>
  </si>
  <si>
    <t>BOTSFORD KAREN S</t>
  </si>
  <si>
    <t>535 HOWARDTOWN CR</t>
  </si>
  <si>
    <t>I30000003501</t>
  </si>
  <si>
    <t>GREENE FLOYD FAMILY LIMITED</t>
  </si>
  <si>
    <t>P O BOX 220</t>
  </si>
  <si>
    <t>28465-0000</t>
  </si>
  <si>
    <t>H700000026</t>
  </si>
  <si>
    <t>KITCHEN GARY</t>
  </si>
  <si>
    <t>KITCHEN HILDA</t>
  </si>
  <si>
    <t>P O BOX 1574</t>
  </si>
  <si>
    <t>I200000043</t>
  </si>
  <si>
    <t>I200000046</t>
  </si>
  <si>
    <t>B700000060</t>
  </si>
  <si>
    <t>COBB KATHY</t>
  </si>
  <si>
    <t>242 LEWIS LN</t>
  </si>
  <si>
    <t>27006-8739</t>
  </si>
  <si>
    <t>N50000002310</t>
  </si>
  <si>
    <t>BROADWAY GLEN DOUGLAS</t>
  </si>
  <si>
    <t>M4130A0042</t>
  </si>
  <si>
    <t>BAILEY MARGARET MORGAN</t>
  </si>
  <si>
    <t>PO BOX 834</t>
  </si>
  <si>
    <t>N60000007716</t>
  </si>
  <si>
    <t>F200000005</t>
  </si>
  <si>
    <t>BAILEY RUBY C</t>
  </si>
  <si>
    <t>1485 SHEFFIELD RD</t>
  </si>
  <si>
    <t>27028-5916</t>
  </si>
  <si>
    <t>H300000106</t>
  </si>
  <si>
    <t>HOLLINGSWORTH TEAM PARTNERSHIP</t>
  </si>
  <si>
    <t>H80000004302</t>
  </si>
  <si>
    <t>SPRY HENRY ANDERSON ETAL</t>
  </si>
  <si>
    <t>698 baileys chapel road</t>
  </si>
  <si>
    <t>E600000060</t>
  </si>
  <si>
    <t>G40000004907</t>
  </si>
  <si>
    <t>GARLAND JACK ALLEN</t>
  </si>
  <si>
    <t>GARLAND AMANDA BOSTIC HARPER</t>
  </si>
  <si>
    <t>381 WILLOW CREEK LN</t>
  </si>
  <si>
    <t>27028-5882</t>
  </si>
  <si>
    <t>J5150A0001</t>
  </si>
  <si>
    <t>PATE JOSEPH</t>
  </si>
  <si>
    <t>WILLIAMS JAYCIE</t>
  </si>
  <si>
    <t>278 RANDOM RD</t>
  </si>
  <si>
    <t>D7030A0009</t>
  </si>
  <si>
    <t>GILHAM AUDREY</t>
  </si>
  <si>
    <t>GILHAM THOMAS III</t>
  </si>
  <si>
    <t>168 BRENTWOOD DR</t>
  </si>
  <si>
    <t>E900000145</t>
  </si>
  <si>
    <t>BOWMAN TYLER A</t>
  </si>
  <si>
    <t>BOWMAN ABBIE H</t>
  </si>
  <si>
    <t>122 WHITE EAGLE CT</t>
  </si>
  <si>
    <t>F7060A0005</t>
  </si>
  <si>
    <t>FORTESCUE CYNTHIA LEWIS</t>
  </si>
  <si>
    <t>FORTESCUE WILLIAM SCOT</t>
  </si>
  <si>
    <t>143 QUAIL HOLLOW RD</t>
  </si>
  <si>
    <t>J6100A0025</t>
  </si>
  <si>
    <t>HILL WAYNE F</t>
  </si>
  <si>
    <t>HILL BONNIE SUE</t>
  </si>
  <si>
    <t>140 N LAKE LOUISE DR</t>
  </si>
  <si>
    <t>D9010A0020</t>
  </si>
  <si>
    <t>CARSTENS KATHRYN COLLINS</t>
  </si>
  <si>
    <t>CARSTENS JOHN D</t>
  </si>
  <si>
    <t>152 PEMBROOKE RIDGE CT</t>
  </si>
  <si>
    <t>K300000055</t>
  </si>
  <si>
    <t>STERN LORI</t>
  </si>
  <si>
    <t>429 JUNCTION RD</t>
  </si>
  <si>
    <t>27028-5317</t>
  </si>
  <si>
    <t>J5050A0006</t>
  </si>
  <si>
    <t>GREER SHIRLEY</t>
  </si>
  <si>
    <t>129 POLARIS DR</t>
  </si>
  <si>
    <t>E30000000205</t>
  </si>
  <si>
    <t>KELLER JOSHUA</t>
  </si>
  <si>
    <t>KELLER BRIANNA</t>
  </si>
  <si>
    <t>27028-5831</t>
  </si>
  <si>
    <t>E30000000203</t>
  </si>
  <si>
    <t>E700000017</t>
  </si>
  <si>
    <t>D700000088</t>
  </si>
  <si>
    <t>F100000065</t>
  </si>
  <si>
    <t>PERAGINE MATTHEW</t>
  </si>
  <si>
    <t>PERAGINE HISAE</t>
  </si>
  <si>
    <t>2160 SHEFFIELD RD</t>
  </si>
  <si>
    <t>28634-9099</t>
  </si>
  <si>
    <t>F100000064</t>
  </si>
  <si>
    <t>F100000066</t>
  </si>
  <si>
    <t>B40000002403</t>
  </si>
  <si>
    <t>E9150B0126</t>
  </si>
  <si>
    <t>BOSTROM ALEXANDER H</t>
  </si>
  <si>
    <t>BOSTROM ALICE B</t>
  </si>
  <si>
    <t>438 ORCHARD PARK DR</t>
  </si>
  <si>
    <t>K5100A001502A</t>
  </si>
  <si>
    <t>AGUIRRE PAULINA</t>
  </si>
  <si>
    <t>ARELLANO NOYOLA EMILIANO</t>
  </si>
  <si>
    <t>158 DEADMON RD</t>
  </si>
  <si>
    <t>N5010A0025</t>
  </si>
  <si>
    <t>PRIDDY KEVIN</t>
  </si>
  <si>
    <t>3464 DALLAS ST</t>
  </si>
  <si>
    <t>28645-8474</t>
  </si>
  <si>
    <t>G700000106</t>
  </si>
  <si>
    <t>GUADARAMA NORIEGA YADIRA</t>
  </si>
  <si>
    <t>VARONA GUADARAMA OSCAR</t>
  </si>
  <si>
    <t>178 IRIS LN</t>
  </si>
  <si>
    <t>27006-7246</t>
  </si>
  <si>
    <t>H4130A0107</t>
  </si>
  <si>
    <t>REAVIS FAYE B</t>
  </si>
  <si>
    <t>JONES MARK D</t>
  </si>
  <si>
    <t>259 SUMMIT DR</t>
  </si>
  <si>
    <t>O600000065</t>
  </si>
  <si>
    <t>STATE OF NORTH CAROLINA</t>
  </si>
  <si>
    <t>MAIL SERVICE CENTER</t>
  </si>
  <si>
    <t>27699-1321</t>
  </si>
  <si>
    <t>O60000006501</t>
  </si>
  <si>
    <t>N700000005</t>
  </si>
  <si>
    <t>C8030A001303</t>
  </si>
  <si>
    <t>SALMONS CAROL</t>
  </si>
  <si>
    <t>149 PINEWOOD LANE  #103</t>
  </si>
  <si>
    <t>I90000000102</t>
  </si>
  <si>
    <t>ALEKSYEYEV YEVHEN Y</t>
  </si>
  <si>
    <t>569 TODD RD</t>
  </si>
  <si>
    <t>27006-7252</t>
  </si>
  <si>
    <t>E7140A0004</t>
  </si>
  <si>
    <t>TESH DALE</t>
  </si>
  <si>
    <t>TESH NICOLETTE</t>
  </si>
  <si>
    <t>112 REDMEADOW DR</t>
  </si>
  <si>
    <t>I4050C0004</t>
  </si>
  <si>
    <t>PASTOR MOISES CISNEROS</t>
  </si>
  <si>
    <t>129 WOODPARK DR</t>
  </si>
  <si>
    <t>27028-4269</t>
  </si>
  <si>
    <t>J4050E0008</t>
  </si>
  <si>
    <t>J7050B0001</t>
  </si>
  <si>
    <t>KRAMER ROBERT WILLIAM</t>
  </si>
  <si>
    <t>262 FORK BIXBY ROAD</t>
  </si>
  <si>
    <t>E60000008411</t>
  </si>
  <si>
    <t>WEBB KRISTA M</t>
  </si>
  <si>
    <t>118 CENTER CIR</t>
  </si>
  <si>
    <t>27028-8127</t>
  </si>
  <si>
    <t>I1110A0010</t>
  </si>
  <si>
    <t>YONKER KEISHA K</t>
  </si>
  <si>
    <t>3833 US HIGHWAY 64 W</t>
  </si>
  <si>
    <t>27028-8456</t>
  </si>
  <si>
    <t>I4010A0026</t>
  </si>
  <si>
    <t>MCMURRAY HEATHER M</t>
  </si>
  <si>
    <t>220 N WENTWORTH DRIVE</t>
  </si>
  <si>
    <t>H200000033</t>
  </si>
  <si>
    <t>MCINNIS REBA GEORGE</t>
  </si>
  <si>
    <t>367 SHEFFIELD RD</t>
  </si>
  <si>
    <t>F700000009</t>
  </si>
  <si>
    <t>WALDMAN GAIL M</t>
  </si>
  <si>
    <t>749 BALTIMORE ROAD</t>
  </si>
  <si>
    <t>E8070B0008</t>
  </si>
  <si>
    <t>BARNEY SCOTT V</t>
  </si>
  <si>
    <t>VASS-BARNEY SALLY MICHELLE</t>
  </si>
  <si>
    <t>174 ASHBURTON RD</t>
  </si>
  <si>
    <t>I30000003507</t>
  </si>
  <si>
    <t>L30000002201</t>
  </si>
  <si>
    <t>RATLEDGE EARL L</t>
  </si>
  <si>
    <t>RATLEDGE ANNA H</t>
  </si>
  <si>
    <t>466 RATLEDGE ROAD</t>
  </si>
  <si>
    <t>E900000372</t>
  </si>
  <si>
    <t>HALL MATTHEW STEVEN</t>
  </si>
  <si>
    <t>HALL JUAWANA COLEMAN</t>
  </si>
  <si>
    <t>178 BROADMOOR DR</t>
  </si>
  <si>
    <t>G8140A0045</t>
  </si>
  <si>
    <t>CHMIELEWSKI ROBERT</t>
  </si>
  <si>
    <t>CHMIELEWSKI SUSAN M</t>
  </si>
  <si>
    <t>122 SUMMERFIELD CT</t>
  </si>
  <si>
    <t>E8020B0005</t>
  </si>
  <si>
    <t>MITCHELL MARVIN</t>
  </si>
  <si>
    <t>MITCHELL JOSEPHINE</t>
  </si>
  <si>
    <t>111 CAMERON CT</t>
  </si>
  <si>
    <t>K30000001103</t>
  </si>
  <si>
    <t>STEWART ASHLEY RENEE</t>
  </si>
  <si>
    <t>F8030A0013</t>
  </si>
  <si>
    <t>LOWMAN LELIN RANDOLPH</t>
  </si>
  <si>
    <t>LOWMAN JAIMEE HOYLE</t>
  </si>
  <si>
    <t>201 ESSEX FARM RD</t>
  </si>
  <si>
    <t>J4140A0037</t>
  </si>
  <si>
    <t>PHILIPP CHARLES</t>
  </si>
  <si>
    <t>219 NEW HAMPSHIRE CT</t>
  </si>
  <si>
    <t>27028-4266</t>
  </si>
  <si>
    <t>D9050A0021</t>
  </si>
  <si>
    <t>HOOKS ALVIN RAY</t>
  </si>
  <si>
    <t>HOOKS CAROL JEAN</t>
  </si>
  <si>
    <t>3103 BERMUDA VLG</t>
  </si>
  <si>
    <t>I5160C0010</t>
  </si>
  <si>
    <t>TORRES CARLOS</t>
  </si>
  <si>
    <t>TORRES BLANCA</t>
  </si>
  <si>
    <t>172 CARTNER ST</t>
  </si>
  <si>
    <t>27028-2411</t>
  </si>
  <si>
    <t>F8020B0024</t>
  </si>
  <si>
    <t>HATCHER HARRY M IV</t>
  </si>
  <si>
    <t>HATCHER KRISTEN</t>
  </si>
  <si>
    <t>183 HIGH MEADOWS RD</t>
  </si>
  <si>
    <t>J40000002203</t>
  </si>
  <si>
    <t>LEONARD DAVID W</t>
  </si>
  <si>
    <t>LEONARD UUGANCHIMEG</t>
  </si>
  <si>
    <t>1164 COUNTY HOME RD</t>
  </si>
  <si>
    <t>C7140A0003</t>
  </si>
  <si>
    <t>FENDLEY WENDY</t>
  </si>
  <si>
    <t>125 N CLAYBON DR</t>
  </si>
  <si>
    <t>G90000000101</t>
  </si>
  <si>
    <t>TERRY DAVID</t>
  </si>
  <si>
    <t>538 BAILEY RD</t>
  </si>
  <si>
    <t>27006-7404</t>
  </si>
  <si>
    <t>I5080A0016</t>
  </si>
  <si>
    <t>HALL EMILY N</t>
  </si>
  <si>
    <t>160 CEMETERY STREET</t>
  </si>
  <si>
    <t>D20000001304</t>
  </si>
  <si>
    <t>PEREZ JESUS M</t>
  </si>
  <si>
    <t>PEREZ LYDIA E</t>
  </si>
  <si>
    <t>140 DUARD REAVIS RD</t>
  </si>
  <si>
    <t>G9100A0021</t>
  </si>
  <si>
    <t>ZICK JEFFREY LYNN</t>
  </si>
  <si>
    <t>111 TWISTED HILL DR</t>
  </si>
  <si>
    <t>27006-7495</t>
  </si>
  <si>
    <t>B60000000101</t>
  </si>
  <si>
    <t>COOK MICHAEL JAMES</t>
  </si>
  <si>
    <t>COOK KIMBERLY S</t>
  </si>
  <si>
    <t>916 SPILLMAN RD</t>
  </si>
  <si>
    <t>E900000270</t>
  </si>
  <si>
    <t>CRANE WADE BARRETT</t>
  </si>
  <si>
    <t>CRANE ROBIN JOY</t>
  </si>
  <si>
    <t>112 GRASSLANDS CT</t>
  </si>
  <si>
    <t>G200000076</t>
  </si>
  <si>
    <t>LARKIN LEONARD MARVIN</t>
  </si>
  <si>
    <t>LARKIN ROSEMARY P</t>
  </si>
  <si>
    <t>476 CALAHALN RD</t>
  </si>
  <si>
    <t>C30000004601</t>
  </si>
  <si>
    <t>WHITAKER JEFFERY</t>
  </si>
  <si>
    <t>WHITAKER JANICE</t>
  </si>
  <si>
    <t>4636 US HIGHWAY 601 N</t>
  </si>
  <si>
    <t>J70000003803</t>
  </si>
  <si>
    <t>417 JOE RD</t>
  </si>
  <si>
    <t>I4120B0027</t>
  </si>
  <si>
    <t>GORDON CAPRICE D</t>
  </si>
  <si>
    <t>167 SOFLEY ST</t>
  </si>
  <si>
    <t>27028-2023</t>
  </si>
  <si>
    <t>G9090B0024</t>
  </si>
  <si>
    <t>132 S MARCH FERRY RD</t>
  </si>
  <si>
    <t>H10000000307</t>
  </si>
  <si>
    <t>BENFIELD KRISTEN</t>
  </si>
  <si>
    <t>BENFIELD JASON</t>
  </si>
  <si>
    <t>195 DOBY ROAD</t>
  </si>
  <si>
    <t>E9150B0008</t>
  </si>
  <si>
    <t>HOLDER CHARLES R</t>
  </si>
  <si>
    <t>HOLDER MARGARET H</t>
  </si>
  <si>
    <t>115 CEDAR LN</t>
  </si>
  <si>
    <t>H4160A0010</t>
  </si>
  <si>
    <t>BERMUDEZ CHARLES G</t>
  </si>
  <si>
    <t>467 MADISON RD</t>
  </si>
  <si>
    <t>J800000037</t>
  </si>
  <si>
    <t>FARRIS ELIZABETH M</t>
  </si>
  <si>
    <t>3481 US HIGHWAY 64 E</t>
  </si>
  <si>
    <t>B500000083</t>
  </si>
  <si>
    <t>BLAKLEY GARRET DEAN</t>
  </si>
  <si>
    <t>BLAKLEY VERALUE</t>
  </si>
  <si>
    <t>2457 FARMINGTON RD</t>
  </si>
  <si>
    <t>L4130A0024</t>
  </si>
  <si>
    <t>DOMINGUEZ-ROCHA ARMANDO</t>
  </si>
  <si>
    <t>ROMO-LARA EDUVIGES</t>
  </si>
  <si>
    <t>992 DANIEL RD</t>
  </si>
  <si>
    <t>27028-5127</t>
  </si>
  <si>
    <t>L500000095</t>
  </si>
  <si>
    <t>CASTILLO JOHNATHAN RALEIGH JR</t>
  </si>
  <si>
    <t>CASTILLO VALERIE DAWN</t>
  </si>
  <si>
    <t>482 FAIRFIELD RD</t>
  </si>
  <si>
    <t>J4030B0004</t>
  </si>
  <si>
    <t>DAVIE MAJOR APPLIANCE REPAIR LLC</t>
  </si>
  <si>
    <t>540 SANFORD AVE</t>
  </si>
  <si>
    <t>27028-2918</t>
  </si>
  <si>
    <t>E30000012306</t>
  </si>
  <si>
    <t>LOWDER TOMMY L</t>
  </si>
  <si>
    <t>LOWDER DEBORAH J</t>
  </si>
  <si>
    <t>244 TITTLE TRAIL</t>
  </si>
  <si>
    <t>I4050B0002</t>
  </si>
  <si>
    <t>ALLO TONI MARIE</t>
  </si>
  <si>
    <t>174 WANDERING LN</t>
  </si>
  <si>
    <t>27028-2026</t>
  </si>
  <si>
    <t>E60000008501</t>
  </si>
  <si>
    <t>GREGORY JEFFREY TODD</t>
  </si>
  <si>
    <t>4090 US HIGHWAY 158</t>
  </si>
  <si>
    <t>B70000007202</t>
  </si>
  <si>
    <t>MARSHALL RANDALL GLENN</t>
  </si>
  <si>
    <t>MARSHALL ANGELA BOYER</t>
  </si>
  <si>
    <t>1134 YADKIN VALLEY RD</t>
  </si>
  <si>
    <t>E5020A0009</t>
  </si>
  <si>
    <t>SHIELDS PATRICK H</t>
  </si>
  <si>
    <t>WRIGHT SANDRA KAY</t>
  </si>
  <si>
    <t>129 GREENE CT</t>
  </si>
  <si>
    <t>D9050B0005</t>
  </si>
  <si>
    <t>INMAN ARTHUR F</t>
  </si>
  <si>
    <t>INMAN BETTY B</t>
  </si>
  <si>
    <t>3312 BERMUDA VILLAGE DRIVE</t>
  </si>
  <si>
    <t>E900000240</t>
  </si>
  <si>
    <t>SNYDER MELINDA</t>
  </si>
  <si>
    <t>196 KINGSMILL DR</t>
  </si>
  <si>
    <t>27006-7014</t>
  </si>
  <si>
    <t>L5090B0014</t>
  </si>
  <si>
    <t>HENNELLY CONNER PATRICK WILSON</t>
  </si>
  <si>
    <t>363 GLADSTONE RD</t>
  </si>
  <si>
    <t>I400000061</t>
  </si>
  <si>
    <t>SPEER JAMES A ETAL</t>
  </si>
  <si>
    <t>199 WOODCREST DRIVE</t>
  </si>
  <si>
    <t>YOUNGSVILLE</t>
  </si>
  <si>
    <t>G8050B002201</t>
  </si>
  <si>
    <t>RT. 3 INVESTMENTS LLC</t>
  </si>
  <si>
    <t>H70000009502</t>
  </si>
  <si>
    <t>BOOE REGINALD</t>
  </si>
  <si>
    <t>BOOE LYNN</t>
  </si>
  <si>
    <t>114 MONARCH CT</t>
  </si>
  <si>
    <t>H700000095</t>
  </si>
  <si>
    <t>FLUMMER TODD E</t>
  </si>
  <si>
    <t>166 PAPOOSE TRL</t>
  </si>
  <si>
    <t>27006-7074</t>
  </si>
  <si>
    <t>I400000036</t>
  </si>
  <si>
    <t>MARAZ CATHY HOLMES</t>
  </si>
  <si>
    <t>6406 HASLEY WOODS DR</t>
  </si>
  <si>
    <t>28078-1219</t>
  </si>
  <si>
    <t>D600000004</t>
  </si>
  <si>
    <t>BLAKE DARLENE S</t>
  </si>
  <si>
    <t>526 BOBBIT RD</t>
  </si>
  <si>
    <t>27006-6671</t>
  </si>
  <si>
    <t>J4040F0023</t>
  </si>
  <si>
    <t>GLENN FRED</t>
  </si>
  <si>
    <t>554 SALISBURY STREET</t>
  </si>
  <si>
    <t>27028-2530</t>
  </si>
  <si>
    <t>K60000000503</t>
  </si>
  <si>
    <t>MATNEY TERENCE</t>
  </si>
  <si>
    <t>767 TURRENTINE CHURCH RD</t>
  </si>
  <si>
    <t>D8090B0003</t>
  </si>
  <si>
    <t>WATSON CHRISTOPHER BRADLEY</t>
  </si>
  <si>
    <t>WATSON LINDSAY SLOSS</t>
  </si>
  <si>
    <t>587 IVY CIR</t>
  </si>
  <si>
    <t>27006-8522</t>
  </si>
  <si>
    <t>I5110B0017</t>
  </si>
  <si>
    <t>CARDENAS-JACOBO ESTHER</t>
  </si>
  <si>
    <t>320 MOUNTVIEW DR</t>
  </si>
  <si>
    <t>27028-2839</t>
  </si>
  <si>
    <t>C7100A0027</t>
  </si>
  <si>
    <t>ATKINSON CHRISTOPHER</t>
  </si>
  <si>
    <t>ATKINSON BRITTANY</t>
  </si>
  <si>
    <t>130 W RENEE DR</t>
  </si>
  <si>
    <t>E9150B0127</t>
  </si>
  <si>
    <t>HANSEN ANDREW BENNETT</t>
  </si>
  <si>
    <t>432 ORCHARD PARK DR</t>
  </si>
  <si>
    <t>I4120B0013</t>
  </si>
  <si>
    <t>COZART SAMUEL LEO JR</t>
  </si>
  <si>
    <t>482 TURRENTINE CHURCH RD</t>
  </si>
  <si>
    <t>27028-5450</t>
  </si>
  <si>
    <t>E900000405</t>
  </si>
  <si>
    <t>MCFADDEN TRAVIS T</t>
  </si>
  <si>
    <t>556 N HIDDENBROOKE DR</t>
  </si>
  <si>
    <t>H80000004105</t>
  </si>
  <si>
    <t>POINDEXTER JAMES</t>
  </si>
  <si>
    <t>POINDEXTER AMANDA</t>
  </si>
  <si>
    <t>1183 BAILEYS CHAPEL ROAD</t>
  </si>
  <si>
    <t>H8060A0024</t>
  </si>
  <si>
    <t>LECOMPTE NICHOLAS ANDREW</t>
  </si>
  <si>
    <t>CHOPLIN COURTNEY RENEE</t>
  </si>
  <si>
    <t>106 S HEMINGWAY CT</t>
  </si>
  <si>
    <t>I300000021</t>
  </si>
  <si>
    <t>FRICCHIONE ANTHONY FRANCIS</t>
  </si>
  <si>
    <t>FRICCHIONE ALISON GREY</t>
  </si>
  <si>
    <t>104 SHULER RD</t>
  </si>
  <si>
    <t>27028-8416</t>
  </si>
  <si>
    <t>D9010B0027</t>
  </si>
  <si>
    <t>FRYE SUSAN SPEAKS</t>
  </si>
  <si>
    <t>153 WARWICKE PL</t>
  </si>
  <si>
    <t>I70000004302</t>
  </si>
  <si>
    <t>CARPENTER LONNIE L</t>
  </si>
  <si>
    <t>CARPENTER DONNA C</t>
  </si>
  <si>
    <t>274 SANDY LN</t>
  </si>
  <si>
    <t>27006-6922</t>
  </si>
  <si>
    <t>H70000009406</t>
  </si>
  <si>
    <t>HANKINS ADAM G</t>
  </si>
  <si>
    <t>HANKINS MEREDITH A</t>
  </si>
  <si>
    <t>153 CHEROKEE TRL</t>
  </si>
  <si>
    <t>27006-7156</t>
  </si>
  <si>
    <t>L400000015</t>
  </si>
  <si>
    <t>GREEN SHANE</t>
  </si>
  <si>
    <t>GREEN JENNIFER</t>
  </si>
  <si>
    <t>898 JUNCTION RD</t>
  </si>
  <si>
    <t>27028-5321</t>
  </si>
  <si>
    <t>C8010D0030</t>
  </si>
  <si>
    <t>BAILESS MICHAEL C</t>
  </si>
  <si>
    <t>BAILESS SHANNON FAW</t>
  </si>
  <si>
    <t>117 PENDLETON DRIVE</t>
  </si>
  <si>
    <t>C700000160</t>
  </si>
  <si>
    <t>FORD BENJAMIN DAVID</t>
  </si>
  <si>
    <t>FORD CALYN LAIL</t>
  </si>
  <si>
    <t>367 WOODLEE DR</t>
  </si>
  <si>
    <t>D8070A0026</t>
  </si>
  <si>
    <t>KENNEDY JOHN K</t>
  </si>
  <si>
    <t>KENNEDY LISA JARVIS</t>
  </si>
  <si>
    <t>128 FESCUE DRIVE</t>
  </si>
  <si>
    <t>E8100B0015</t>
  </si>
  <si>
    <t>JACOBS STEVEN L</t>
  </si>
  <si>
    <t>PETERS ALICIA</t>
  </si>
  <si>
    <t>140 OAKBROOK DR</t>
  </si>
  <si>
    <t>H4130A0071</t>
  </si>
  <si>
    <t>BRAGG DAVID A</t>
  </si>
  <si>
    <t>224 SUMMIT DR</t>
  </si>
  <si>
    <t>F600000058</t>
  </si>
  <si>
    <t>MUMFORD JOHNNIE JOHNSON ETAL</t>
  </si>
  <si>
    <t>MUMFORD THOMAS FRANKLIN</t>
  </si>
  <si>
    <t>G50000008117</t>
  </si>
  <si>
    <t>VAUGHAN WILLIAM E</t>
  </si>
  <si>
    <t>VAUGHAN TERESA D</t>
  </si>
  <si>
    <t>158 EAGLES LANDING LN</t>
  </si>
  <si>
    <t>G60000006407</t>
  </si>
  <si>
    <t>BOWEN PATTY</t>
  </si>
  <si>
    <t>2215 MILLING RD</t>
  </si>
  <si>
    <t>27028-7333</t>
  </si>
  <si>
    <t>N50000002701A</t>
  </si>
  <si>
    <t>BROWN KEVIN H</t>
  </si>
  <si>
    <t>172 BROADWAY RD</t>
  </si>
  <si>
    <t>27028-6617</t>
  </si>
  <si>
    <t>N600000064</t>
  </si>
  <si>
    <t>JONES MIKAEL</t>
  </si>
  <si>
    <t>JONES TALMADGE P</t>
  </si>
  <si>
    <t>3807 US HIGHWAY 601 SOUTH</t>
  </si>
  <si>
    <t>N600000065</t>
  </si>
  <si>
    <t>J6050C0004</t>
  </si>
  <si>
    <t>RICHARDSON LISA JENKINS</t>
  </si>
  <si>
    <t>G600000019</t>
  </si>
  <si>
    <t>429 DULIN RD</t>
  </si>
  <si>
    <t>H60000000205</t>
  </si>
  <si>
    <t>DONLON JAMES</t>
  </si>
  <si>
    <t>DONLON ANDREA</t>
  </si>
  <si>
    <t>308 WINDING BROOK TRL</t>
  </si>
  <si>
    <t>27028-7374</t>
  </si>
  <si>
    <t>F60000000602</t>
  </si>
  <si>
    <t>HILLARD SCOTT B</t>
  </si>
  <si>
    <t>HILLARD CHRISTINA M</t>
  </si>
  <si>
    <t>214 CHAL SMITH ROAD</t>
  </si>
  <si>
    <t>L40000002803</t>
  </si>
  <si>
    <t>MEYER DAVID</t>
  </si>
  <si>
    <t>MEYER DIANE</t>
  </si>
  <si>
    <t>158 PATRICIA WAY</t>
  </si>
  <si>
    <t>27028-7739</t>
  </si>
  <si>
    <t>I4130C0007</t>
  </si>
  <si>
    <t>CENTRAL TELEPHONE COMPANY</t>
  </si>
  <si>
    <t>% CLAIRE CHASE</t>
  </si>
  <si>
    <t>PO BOX 2599</t>
  </si>
  <si>
    <t>OLATHE</t>
  </si>
  <si>
    <t>E900000142</t>
  </si>
  <si>
    <t>BROWN DAVID ALLEN</t>
  </si>
  <si>
    <t>BROWN GWENDOLYN PAISLEY</t>
  </si>
  <si>
    <t>121 WHITE EAGLE CT</t>
  </si>
  <si>
    <t>I90000000404</t>
  </si>
  <si>
    <t>MILLER TAMMY STRICKLAND</t>
  </si>
  <si>
    <t>C70000013407</t>
  </si>
  <si>
    <t>ZALEWSKI ANDREW J</t>
  </si>
  <si>
    <t>ZALEWSKI NANCY C</t>
  </si>
  <si>
    <t>125 KERR LN</t>
  </si>
  <si>
    <t>J100000009</t>
  </si>
  <si>
    <t>H50000001501</t>
  </si>
  <si>
    <t>PLOTT SHELLI RENEE</t>
  </si>
  <si>
    <t>% SHELLI PLOTT BYNUM</t>
  </si>
  <si>
    <t>2007 DOWNING ST</t>
  </si>
  <si>
    <t>E600000086</t>
  </si>
  <si>
    <t>YONCE JOHN ROBERT JR</t>
  </si>
  <si>
    <t>YONCE PAMELA IVEY</t>
  </si>
  <si>
    <t>143 BROOKHAVEN LANE</t>
  </si>
  <si>
    <t>27006-6761</t>
  </si>
  <si>
    <t>G60000010702</t>
  </si>
  <si>
    <t>PROBST FRED EUGENE</t>
  </si>
  <si>
    <t>126 TRIPLE CREEK TRL</t>
  </si>
  <si>
    <t>27028-7279</t>
  </si>
  <si>
    <t>G8140A0042  A</t>
  </si>
  <si>
    <t>TRUE HOMES LLC</t>
  </si>
  <si>
    <t>2649 BREKONRIDGE CENTRE DR#104</t>
  </si>
  <si>
    <t>G8140A0018  A</t>
  </si>
  <si>
    <t>K5060A0003</t>
  </si>
  <si>
    <t>WILKIE JAIME M</t>
  </si>
  <si>
    <t>WILKIE KEITH</t>
  </si>
  <si>
    <t>246 DEADMON ROAD</t>
  </si>
  <si>
    <t>M5120A0006</t>
  </si>
  <si>
    <t>HARTMAN CHRISTINA M</t>
  </si>
  <si>
    <t>CUNNINGHAM JASON</t>
  </si>
  <si>
    <t>284 PLEASANT ACRE DR</t>
  </si>
  <si>
    <t>27028-6801</t>
  </si>
  <si>
    <t>G30000002405</t>
  </si>
  <si>
    <t>419 IJAMES CHURCH RD</t>
  </si>
  <si>
    <t>27028-4824</t>
  </si>
  <si>
    <t>G10000002501</t>
  </si>
  <si>
    <t>KELLER BOBBY JAMES</t>
  </si>
  <si>
    <t>KELLER ANGELA C</t>
  </si>
  <si>
    <t>1326 COUNTY LINE RD</t>
  </si>
  <si>
    <t>28634-8930</t>
  </si>
  <si>
    <t>I5060C0011</t>
  </si>
  <si>
    <t>MCGEE MELISSA B</t>
  </si>
  <si>
    <t>161 MARCONI ST</t>
  </si>
  <si>
    <t>27028-2831</t>
  </si>
  <si>
    <t>I4120C0027</t>
  </si>
  <si>
    <t>SHIRK MICHAEL</t>
  </si>
  <si>
    <t>188 W CHURCH ST</t>
  </si>
  <si>
    <t>J5170A0013</t>
  </si>
  <si>
    <t>LANGFIELD MATTHEW RAY</t>
  </si>
  <si>
    <t>LANGFIELD JULIE DIANE</t>
  </si>
  <si>
    <t>127 ELBERON CT</t>
  </si>
  <si>
    <t>27028-7376</t>
  </si>
  <si>
    <t>C500000010</t>
  </si>
  <si>
    <t>HARRISON JACKIE D</t>
  </si>
  <si>
    <t>535 WYO RD</t>
  </si>
  <si>
    <t>27028-6304</t>
  </si>
  <si>
    <t>I5050B0024</t>
  </si>
  <si>
    <t>HERNANDEZ DEYANIRA OLIVA</t>
  </si>
  <si>
    <t>HAYNES LAKEN LYNN</t>
  </si>
  <si>
    <t>589 WHITNEY RD</t>
  </si>
  <si>
    <t>G8140A0037</t>
  </si>
  <si>
    <t>KIMMER AMANDA LEE</t>
  </si>
  <si>
    <t>KIMMER NICHOLAS GLENN</t>
  </si>
  <si>
    <t>115 CEDARPARK DR</t>
  </si>
  <si>
    <t>F600000110</t>
  </si>
  <si>
    <t>IQBAL SAEED</t>
  </si>
  <si>
    <t>IQBAL KIMBERLY</t>
  </si>
  <si>
    <t>248 EAST LAKE DR</t>
  </si>
  <si>
    <t>I600000008</t>
  </si>
  <si>
    <t>HAYES LORRI JONES</t>
  </si>
  <si>
    <t>140 ALLEN RD</t>
  </si>
  <si>
    <t>27028-5600</t>
  </si>
  <si>
    <t>I60000000902</t>
  </si>
  <si>
    <t>M5160A0001</t>
  </si>
  <si>
    <t>WHITLEY DENNIS BRADY</t>
  </si>
  <si>
    <t>WHITLEY BEVERLY PARRIS</t>
  </si>
  <si>
    <t>I1120A0026</t>
  </si>
  <si>
    <t>H7030A0019</t>
  </si>
  <si>
    <t>MAREADY DOUGLAS W</t>
  </si>
  <si>
    <t>156 DRUM LN</t>
  </si>
  <si>
    <t>E70000010901</t>
  </si>
  <si>
    <t>FRANCO SHARON A</t>
  </si>
  <si>
    <t>362 BALTIMORE ROAD</t>
  </si>
  <si>
    <t>E700000109</t>
  </si>
  <si>
    <t>F80000005301</t>
  </si>
  <si>
    <t>BAITY SANDRA THOMPSON</t>
  </si>
  <si>
    <t>181 HILLCREST DR</t>
  </si>
  <si>
    <t>G600000085  A</t>
  </si>
  <si>
    <t>HIATT KEITH B</t>
  </si>
  <si>
    <t>P O BOX 785</t>
  </si>
  <si>
    <t>E900000650</t>
  </si>
  <si>
    <t>ROTHROCK SUSAN</t>
  </si>
  <si>
    <t>142 ST ANDREWS DR</t>
  </si>
  <si>
    <t>I400000062</t>
  </si>
  <si>
    <t>SPEER TYLER CHRISTOPHER</t>
  </si>
  <si>
    <t>933 US HIGHWAY 64 W</t>
  </si>
  <si>
    <t>27028-8427</t>
  </si>
  <si>
    <t>E900000045</t>
  </si>
  <si>
    <t>BADACZEWSKI ADAM J</t>
  </si>
  <si>
    <t>MCCABE KATIE M</t>
  </si>
  <si>
    <t>153 SUNTREE DR</t>
  </si>
  <si>
    <t>D8100C0010</t>
  </si>
  <si>
    <t>SCHMIDT VERNON B</t>
  </si>
  <si>
    <t>SCHMIDT ELLEN J</t>
  </si>
  <si>
    <t>218 SPYGLASS DR</t>
  </si>
  <si>
    <t>J70000010308</t>
  </si>
  <si>
    <t>RICHARD &amp; ELAINE PROPERTIES LLC II</t>
  </si>
  <si>
    <t>28144-3732</t>
  </si>
  <si>
    <t>E900000651</t>
  </si>
  <si>
    <t>SHEFFIELD WILLIAM</t>
  </si>
  <si>
    <t>SHEFFIELD BARBARA</t>
  </si>
  <si>
    <t>148 ST ANDREWS DR</t>
  </si>
  <si>
    <t>E900000654</t>
  </si>
  <si>
    <t>CERESANI JOHN</t>
  </si>
  <si>
    <t>CERESANI LINDA</t>
  </si>
  <si>
    <t>166 ST ANDREWS DR</t>
  </si>
  <si>
    <t>27006-6951</t>
  </si>
  <si>
    <t>D9010E0002</t>
  </si>
  <si>
    <t>MORGAN SAMANTHA RENEE</t>
  </si>
  <si>
    <t>WALSH FRANK O</t>
  </si>
  <si>
    <t>112 S RIVER HILL DR</t>
  </si>
  <si>
    <t>M4050B0010</t>
  </si>
  <si>
    <t>SMITH JONI DAWN</t>
  </si>
  <si>
    <t>170 STONE WOOD RD</t>
  </si>
  <si>
    <t>H500000205</t>
  </si>
  <si>
    <t>WILSON DUSTIN ANDREW</t>
  </si>
  <si>
    <t>WILSON CRYSTAL DRIVER</t>
  </si>
  <si>
    <t>248 FARMLAND RD</t>
  </si>
  <si>
    <t>G90000000903</t>
  </si>
  <si>
    <t>BARNEY RANDY LEE</t>
  </si>
  <si>
    <t>221 HOBSON DR</t>
  </si>
  <si>
    <t>J5010D009301</t>
  </si>
  <si>
    <t>HENDRICKS CLYDE</t>
  </si>
  <si>
    <t>288 NORTH HIDDEN BROOKE DRIVE</t>
  </si>
  <si>
    <t>K300000051</t>
  </si>
  <si>
    <t>PREVETTE ZACHARY GASTON</t>
  </si>
  <si>
    <t>247 JUNCTION RD</t>
  </si>
  <si>
    <t>27028-5315</t>
  </si>
  <si>
    <t>K3130B0011</t>
  </si>
  <si>
    <t>SHORE NANCY M</t>
  </si>
  <si>
    <t>8190 WHIPPORWILL LN</t>
  </si>
  <si>
    <t>27045-9477</t>
  </si>
  <si>
    <t>E10000001501</t>
  </si>
  <si>
    <t>IJAMES YVONNE G ETAL</t>
  </si>
  <si>
    <t>MOORE ALBERT R</t>
  </si>
  <si>
    <t>H20000002901</t>
  </si>
  <si>
    <t>GOTTIER JOHN J</t>
  </si>
  <si>
    <t>PO BOX 1284</t>
  </si>
  <si>
    <t>B20000002402</t>
  </si>
  <si>
    <t>WALLACE STEVE BRIAN</t>
  </si>
  <si>
    <t>300 REAVIS ROAD</t>
  </si>
  <si>
    <t>E70000016610</t>
  </si>
  <si>
    <t>DULA KEITH J</t>
  </si>
  <si>
    <t>366 BINGHAM AND PARKS RD</t>
  </si>
  <si>
    <t>27006-7845</t>
  </si>
  <si>
    <t>B500000016</t>
  </si>
  <si>
    <t>HILSMIER GREG ALLAN</t>
  </si>
  <si>
    <t>689 PINEVILLE RD</t>
  </si>
  <si>
    <t>H4130A0045</t>
  </si>
  <si>
    <t>FLOWERS RODERICK EUGENE</t>
  </si>
  <si>
    <t>140 ASH DR</t>
  </si>
  <si>
    <t>D7030C0006</t>
  </si>
  <si>
    <t>WALKER CHARAYNA MICHELLE</t>
  </si>
  <si>
    <t>127 LESTER DR</t>
  </si>
  <si>
    <t>C8010A0360</t>
  </si>
  <si>
    <t>WILLIAMS IAN R</t>
  </si>
  <si>
    <t>129 KILBOURNE DR</t>
  </si>
  <si>
    <t>27006-6683</t>
  </si>
  <si>
    <t>H600000092</t>
  </si>
  <si>
    <t>B30000003406</t>
  </si>
  <si>
    <t>5060 US HIGHWAY 601 NORTH</t>
  </si>
  <si>
    <t>I10000001701</t>
  </si>
  <si>
    <t>GAITHER LASHONDRA COLEEN</t>
  </si>
  <si>
    <t>302 COUNTY LINE ROAD</t>
  </si>
  <si>
    <t>H40000003903</t>
  </si>
  <si>
    <t>BELL BRIAN JOSEPH</t>
  </si>
  <si>
    <t>BELL KATHLENA MARIE</t>
  </si>
  <si>
    <t>709 COUNTRY LN</t>
  </si>
  <si>
    <t>27028-4718</t>
  </si>
  <si>
    <t>H40000004002</t>
  </si>
  <si>
    <t>H40000004001</t>
  </si>
  <si>
    <t>I5050B0033</t>
  </si>
  <si>
    <t>FULWIDER MATTHEW</t>
  </si>
  <si>
    <t>165 HEATHER CT</t>
  </si>
  <si>
    <t>27028-2949</t>
  </si>
  <si>
    <t>D2010A0011</t>
  </si>
  <si>
    <t>DIEMER PETER JAMES</t>
  </si>
  <si>
    <t>DIEMER LOUISE WATKINS</t>
  </si>
  <si>
    <t>220 TIMBER TRAILS LN</t>
  </si>
  <si>
    <t>D9050B0031</t>
  </si>
  <si>
    <t>JOANN HOLDERMAN SURVIVOR TRUST</t>
  </si>
  <si>
    <t>2122 BERMUDA VLG DR</t>
  </si>
  <si>
    <t>C8010A0268</t>
  </si>
  <si>
    <t>WOODALL RONALD EDWARD JR</t>
  </si>
  <si>
    <t>WOODALL REBECCA SUE</t>
  </si>
  <si>
    <t>105 N FIELD DR</t>
  </si>
  <si>
    <t>F1020A0007</t>
  </si>
  <si>
    <t>PUCKETT CHARLES RALPH</t>
  </si>
  <si>
    <t>BARRAS MARY FAYE</t>
  </si>
  <si>
    <t>419 SHEFFIELD FARMS TRL</t>
  </si>
  <si>
    <t>I40000006001</t>
  </si>
  <si>
    <t>WOOTEN GREGG S</t>
  </si>
  <si>
    <t>F4010A0018</t>
  </si>
  <si>
    <t>WHITEHEAD WILLIAM F JR</t>
  </si>
  <si>
    <t>WHITEHEAD SHIRLEY W</t>
  </si>
  <si>
    <t>108 ARRENDAL CT</t>
  </si>
  <si>
    <t>27028-4671</t>
  </si>
  <si>
    <t>L500000031</t>
  </si>
  <si>
    <t>BYERLY WESLEY AARON</t>
  </si>
  <si>
    <t>BYERLY SARAH BETH</t>
  </si>
  <si>
    <t>5379 NC HIGHWAY 65</t>
  </si>
  <si>
    <t>REIDSVILLE</t>
  </si>
  <si>
    <t>27320-9337</t>
  </si>
  <si>
    <t>C70000013406</t>
  </si>
  <si>
    <t>ARMSTRONG JASON</t>
  </si>
  <si>
    <t>ARMSTRONG SANDRA</t>
  </si>
  <si>
    <t>115 KERR LN</t>
  </si>
  <si>
    <t>I4050A0011</t>
  </si>
  <si>
    <t>CALLAHAN MARION K</t>
  </si>
  <si>
    <t>CALLAHAN NANCY E</t>
  </si>
  <si>
    <t>200 WANDERING LN</t>
  </si>
  <si>
    <t>J6100A0028</t>
  </si>
  <si>
    <t>O'CONNOR TIMOTHY M</t>
  </si>
  <si>
    <t>O'CONNOR MONICA F</t>
  </si>
  <si>
    <t>154 N LAKE LOUISE DR</t>
  </si>
  <si>
    <t>H4200A0022</t>
  </si>
  <si>
    <t>HEMMEN DANIEL ALLEN</t>
  </si>
  <si>
    <t>112 COPPERFIELD DR</t>
  </si>
  <si>
    <t>27028-4775</t>
  </si>
  <si>
    <t>J10000003901</t>
  </si>
  <si>
    <t>SPIOTTA JEWELEAN</t>
  </si>
  <si>
    <t>MUSTARD RONALD</t>
  </si>
  <si>
    <t>1329 RIDGE RAOD</t>
  </si>
  <si>
    <t>D9010A0004</t>
  </si>
  <si>
    <t>HOLCOMB LESTER COUCH</t>
  </si>
  <si>
    <t>HOLCOMB DARLIS S</t>
  </si>
  <si>
    <t>107 PEMBROOKE RIDGE CT</t>
  </si>
  <si>
    <t>M4130A0044</t>
  </si>
  <si>
    <t>O'NEAL TERI</t>
  </si>
  <si>
    <t>O'NEAL JAMES L</t>
  </si>
  <si>
    <t>D7060A0011</t>
  </si>
  <si>
    <t>IBARRA SERGIO BUENO</t>
  </si>
  <si>
    <t>NAVARRO MONICA</t>
  </si>
  <si>
    <t>624 GORDON DR</t>
  </si>
  <si>
    <t>K40000000601</t>
  </si>
  <si>
    <t>ERB TIMOTHY JAMES</t>
  </si>
  <si>
    <t>ERB TIFFANY MICHELE</t>
  </si>
  <si>
    <t>140 BUCK SEAFORD RD</t>
  </si>
  <si>
    <t>27028-4120</t>
  </si>
  <si>
    <t>L50000000301</t>
  </si>
  <si>
    <t>GRABOW NANCY L</t>
  </si>
  <si>
    <t>201 DANIEL RD</t>
  </si>
  <si>
    <t>F300000079</t>
  </si>
  <si>
    <t>ROBERTS JAMES SCOTT</t>
  </si>
  <si>
    <t>CHURCH JESSICA GAYLE</t>
  </si>
  <si>
    <t>2838 US HIGHWAY 601 N</t>
  </si>
  <si>
    <t>27028-5953</t>
  </si>
  <si>
    <t>M5060B0009</t>
  </si>
  <si>
    <t>WALL SHIRLEY B REVOCABLE TRUST</t>
  </si>
  <si>
    <t>702 burrage rd NE</t>
  </si>
  <si>
    <t>concord</t>
  </si>
  <si>
    <t>28025-0000</t>
  </si>
  <si>
    <t>F3130A0050</t>
  </si>
  <si>
    <t>DRYE KERRI ETAL</t>
  </si>
  <si>
    <t>DRYE LINDA</t>
  </si>
  <si>
    <t>282 DANNER ROAD</t>
  </si>
  <si>
    <t>C8010D0029</t>
  </si>
  <si>
    <t>SALAZAR NIKKI A</t>
  </si>
  <si>
    <t>SALAZAR FRANCISCO II</t>
  </si>
  <si>
    <t>119 PENDLETON DR</t>
  </si>
  <si>
    <t>F10000001285</t>
  </si>
  <si>
    <t>HILL JOHN LOFTEN SR ETAL</t>
  </si>
  <si>
    <t>175 RAVEN ROAD</t>
  </si>
  <si>
    <t>G3060D000902</t>
  </si>
  <si>
    <t>WOOD MARY D</t>
  </si>
  <si>
    <t>300 NEBBS TRL</t>
  </si>
  <si>
    <t>27028-4193</t>
  </si>
  <si>
    <t>C300000108</t>
  </si>
  <si>
    <t>ROBERTS ANTHONY MICHAEL</t>
  </si>
  <si>
    <t>ROBERTS GWENDOLYN LEE</t>
  </si>
  <si>
    <t>430 JACK BOOE RD</t>
  </si>
  <si>
    <t>D30000005104</t>
  </si>
  <si>
    <t>BALL LAURA JEAN</t>
  </si>
  <si>
    <t>1084 EATONS CHURCH RD</t>
  </si>
  <si>
    <t>H9070A0012</t>
  </si>
  <si>
    <t>SMITH CHRIS AUBREY</t>
  </si>
  <si>
    <t>SMITH BOBBIE JO</t>
  </si>
  <si>
    <t>253 DUBLIN RD</t>
  </si>
  <si>
    <t>D8060B0040</t>
  </si>
  <si>
    <t>CORNISH BOB L</t>
  </si>
  <si>
    <t>CORNISH LINDA R</t>
  </si>
  <si>
    <t>352 BERMUDA RUN DR</t>
  </si>
  <si>
    <t>27006-9586</t>
  </si>
  <si>
    <t>M5100C0010</t>
  </si>
  <si>
    <t>BRYANT SUSAN W</t>
  </si>
  <si>
    <t>130 SWICEGOOD ST</t>
  </si>
  <si>
    <t>27028-6794</t>
  </si>
  <si>
    <t>E40000003207</t>
  </si>
  <si>
    <t>E400000028</t>
  </si>
  <si>
    <t>E40000002803</t>
  </si>
  <si>
    <t>H20000001608</t>
  </si>
  <si>
    <t>RODRIGUEZ DANIEL</t>
  </si>
  <si>
    <t>RODRIGUEZ IRIS X</t>
  </si>
  <si>
    <t>150 FRED LANIER RD</t>
  </si>
  <si>
    <t>C8010C099901</t>
  </si>
  <si>
    <t>K V SINGLE FAM HOMEOWNERS ASSO</t>
  </si>
  <si>
    <t>1318 ASHLEY SQUARE</t>
  </si>
  <si>
    <t>K50000002808</t>
  </si>
  <si>
    <t>SHINABERRY KENDAL LEIGH</t>
  </si>
  <si>
    <t>BRITT JONATHAN MICHAEL</t>
  </si>
  <si>
    <t>125 TURRENTINE CHURCH RD</t>
  </si>
  <si>
    <t>C8010A0140</t>
  </si>
  <si>
    <t>HEARD JOAN</t>
  </si>
  <si>
    <t>120 WAVERLY ST</t>
  </si>
  <si>
    <t>C8010A0162</t>
  </si>
  <si>
    <t>STEFANICK RONALD STEVEN</t>
  </si>
  <si>
    <t>STEFANICK SANDRA JEAN</t>
  </si>
  <si>
    <t>111 TOWN PARK DR</t>
  </si>
  <si>
    <t>E60000002404</t>
  </si>
  <si>
    <t>BROOKS GREGORY D</t>
  </si>
  <si>
    <t>BROOKS LAUREN P</t>
  </si>
  <si>
    <t>133 FERN HAVEN LN</t>
  </si>
  <si>
    <t>B30000003102</t>
  </si>
  <si>
    <t>WHITAKER BOBBY A</t>
  </si>
  <si>
    <t>261 CHILDRENS HOME RD</t>
  </si>
  <si>
    <t>C50000002102</t>
  </si>
  <si>
    <t>K600000009</t>
  </si>
  <si>
    <t>PLOTT TIMOTHY GREGG</t>
  </si>
  <si>
    <t>PLOTT RENEE W</t>
  </si>
  <si>
    <t>360 WILL BOONE RD</t>
  </si>
  <si>
    <t>C8010C0009</t>
  </si>
  <si>
    <t>CASSETTA JASON W</t>
  </si>
  <si>
    <t>CASSETTA JENNIFER C</t>
  </si>
  <si>
    <t>128 ARCHER DR</t>
  </si>
  <si>
    <t>F8020B0033</t>
  </si>
  <si>
    <t>MCCLELLAND RYAN PARKER</t>
  </si>
  <si>
    <t>MCCLELLAND ARYN TAYLOR</t>
  </si>
  <si>
    <t>116 S HIGH FIELD RD</t>
  </si>
  <si>
    <t>27006-7897</t>
  </si>
  <si>
    <t>H4130A0011</t>
  </si>
  <si>
    <t>WESOLOSKI GEORGE</t>
  </si>
  <si>
    <t>WESOLOSKI PENNY</t>
  </si>
  <si>
    <t>126 ELMWOOD ST</t>
  </si>
  <si>
    <t>L5150A0016</t>
  </si>
  <si>
    <t>I5090B0017</t>
  </si>
  <si>
    <t>MCELROY CLINTON EUGENE</t>
  </si>
  <si>
    <t>MCELROY KATHERINE R</t>
  </si>
  <si>
    <t>122 PARK PLACE CT</t>
  </si>
  <si>
    <t>I4010A0062</t>
  </si>
  <si>
    <t>BENNETT RENEA THOMPSON</t>
  </si>
  <si>
    <t>164 N WENTWORTH DR</t>
  </si>
  <si>
    <t>E40000001602</t>
  </si>
  <si>
    <t>COFFIN LOVINA B</t>
  </si>
  <si>
    <t>1773 ANGELL RD</t>
  </si>
  <si>
    <t>27028-4603</t>
  </si>
  <si>
    <t>F8030A0052</t>
  </si>
  <si>
    <t>SILVEY GARET REESE</t>
  </si>
  <si>
    <t>SILVEY BRITTANY</t>
  </si>
  <si>
    <t>204 ESSEX FARM RD</t>
  </si>
  <si>
    <t>E8060B0005</t>
  </si>
  <si>
    <t>REASONER TRAVIS D</t>
  </si>
  <si>
    <t>REASONER JENNIFER N</t>
  </si>
  <si>
    <t>110 JORDAN LN</t>
  </si>
  <si>
    <t>27006-7605</t>
  </si>
  <si>
    <t>J700000037</t>
  </si>
  <si>
    <t>FITZGERALD MELANIE</t>
  </si>
  <si>
    <t>FITZGERALD TRAVIS</t>
  </si>
  <si>
    <t>6320 RUSTINBURG RD</t>
  </si>
  <si>
    <t>27012-7161</t>
  </si>
  <si>
    <t>J700000035</t>
  </si>
  <si>
    <t>K700000041</t>
  </si>
  <si>
    <t>J70000002802</t>
  </si>
  <si>
    <t>J70000002803</t>
  </si>
  <si>
    <t>H20000001705</t>
  </si>
  <si>
    <t>ROBBINS JAMES T</t>
  </si>
  <si>
    <t>ROBBINS AMBER R</t>
  </si>
  <si>
    <t>195 FRED LANIER RD</t>
  </si>
  <si>
    <t>K700000025</t>
  </si>
  <si>
    <t>ELLIS ROBERT</t>
  </si>
  <si>
    <t>ELLIS SHERRY A</t>
  </si>
  <si>
    <t>646 CEDAR GROVE CHURCH RD</t>
  </si>
  <si>
    <t>K70000002503</t>
  </si>
  <si>
    <t>J60000000204</t>
  </si>
  <si>
    <t>MOREHEAD JAMES ANTHONY</t>
  </si>
  <si>
    <t>604 JOHN CROTTS RD</t>
  </si>
  <si>
    <t>27028-7305</t>
  </si>
  <si>
    <t>C400000030</t>
  </si>
  <si>
    <t>CHEEK VICKI ROUSE</t>
  </si>
  <si>
    <t>129 N PINO RD</t>
  </si>
  <si>
    <t>27028-4864</t>
  </si>
  <si>
    <t>E900000046</t>
  </si>
  <si>
    <t>EASTERLING RICHARD MARK</t>
  </si>
  <si>
    <t>EASTERLING SARAH WINSTEAD</t>
  </si>
  <si>
    <t>149 SUNTREE DR</t>
  </si>
  <si>
    <t>D30000006301</t>
  </si>
  <si>
    <t>DRIVER DAVID EDWARD</t>
  </si>
  <si>
    <t>DRIVER JOHNNIE SUE</t>
  </si>
  <si>
    <t>3883 US HWY 601 N</t>
  </si>
  <si>
    <t>D30000006302</t>
  </si>
  <si>
    <t>J4050B0009</t>
  </si>
  <si>
    <t>CLEMMONS KAYLEIGH B</t>
  </si>
  <si>
    <t>678 S SALISBURY ST</t>
  </si>
  <si>
    <t>I5170B0140</t>
  </si>
  <si>
    <t>GIORDANO KATELYN</t>
  </si>
  <si>
    <t>140 W BRICK WALK CT</t>
  </si>
  <si>
    <t>27028-2799</t>
  </si>
  <si>
    <t>D8060B0008</t>
  </si>
  <si>
    <t>VATS KAUTILYA</t>
  </si>
  <si>
    <t>VATS SYDNEY C</t>
  </si>
  <si>
    <t>154 BENT STREET</t>
  </si>
  <si>
    <t>E900000138</t>
  </si>
  <si>
    <t>UNDORF CYNTHIA</t>
  </si>
  <si>
    <t>370 GREENBAY RD</t>
  </si>
  <si>
    <t>Mooresville</t>
  </si>
  <si>
    <t>O600000050</t>
  </si>
  <si>
    <t>O600000047</t>
  </si>
  <si>
    <t>O600000046</t>
  </si>
  <si>
    <t>O600000048</t>
  </si>
  <si>
    <t>O600000054</t>
  </si>
  <si>
    <t>M60000002802</t>
  </si>
  <si>
    <t>DOBY JOE EDWARD</t>
  </si>
  <si>
    <t>% JAMIE SHULER</t>
  </si>
  <si>
    <t>C300000068</t>
  </si>
  <si>
    <t>TAYLOR BARBARA</t>
  </si>
  <si>
    <t>111 BAITY RD</t>
  </si>
  <si>
    <t>B500000010</t>
  </si>
  <si>
    <t>MALLORY PAUL JOSEPH JR</t>
  </si>
  <si>
    <t>MALLORY DANIELLE BLANCHE</t>
  </si>
  <si>
    <t>572 WYO RD</t>
  </si>
  <si>
    <t>J4060D0019</t>
  </si>
  <si>
    <t>MARTIN EVARISTE O</t>
  </si>
  <si>
    <t>290 BIRCHWOOD LN</t>
  </si>
  <si>
    <t>H2050A0003</t>
  </si>
  <si>
    <t>HODGE VICKI LYNN</t>
  </si>
  <si>
    <t>172 CENTER CIR</t>
  </si>
  <si>
    <t>G80000001101</t>
  </si>
  <si>
    <t>LATHAM SANDRA ANN</t>
  </si>
  <si>
    <t>3077 CORNATZER RD</t>
  </si>
  <si>
    <t>27006-7211</t>
  </si>
  <si>
    <t>I500000007</t>
  </si>
  <si>
    <t>LIBERTY STORAGE SOLUTIONS LLC</t>
  </si>
  <si>
    <t>163 INDUSTRIAL BLVD</t>
  </si>
  <si>
    <t>27028-2773</t>
  </si>
  <si>
    <t>H200000045</t>
  </si>
  <si>
    <t>HAUSER REGINA G</t>
  </si>
  <si>
    <t>204 VANZANT RD</t>
  </si>
  <si>
    <t>27028-2050</t>
  </si>
  <si>
    <t>G8140A0046</t>
  </si>
  <si>
    <t>GAMMON JAMES</t>
  </si>
  <si>
    <t>GAMMON KRISTA F</t>
  </si>
  <si>
    <t>123 SUMMERFIELD CT</t>
  </si>
  <si>
    <t>G200000005</t>
  </si>
  <si>
    <t>M5090C0001</t>
  </si>
  <si>
    <t>FORD MARTHA</t>
  </si>
  <si>
    <t>5603 SOUTHSTONE DR</t>
  </si>
  <si>
    <t>G20000005507</t>
  </si>
  <si>
    <t>JOHNSON TERESA K</t>
  </si>
  <si>
    <t>195 TOMLIN RD</t>
  </si>
  <si>
    <t>28634-9042</t>
  </si>
  <si>
    <t>G60000006405</t>
  </si>
  <si>
    <t>POWELL ROGER MARTIN</t>
  </si>
  <si>
    <t>139 DE-RON-KEL LANE</t>
  </si>
  <si>
    <t>M4130A0047</t>
  </si>
  <si>
    <t>HERNANDEZ ILHRM</t>
  </si>
  <si>
    <t>MEJIA MARY D</t>
  </si>
  <si>
    <t>175 WESTVIEW AVENUE</t>
  </si>
  <si>
    <t>C8010A0231</t>
  </si>
  <si>
    <t>GRUNDMEYER JAY W</t>
  </si>
  <si>
    <t>GRUNDMEYER CONSTANCE E</t>
  </si>
  <si>
    <t>148 ROSEWALK LANE</t>
  </si>
  <si>
    <t>C7140B0008</t>
  </si>
  <si>
    <t>LAUWERS ZACKERY THERON</t>
  </si>
  <si>
    <t>LAUWERS KAYLEE MICHELLE</t>
  </si>
  <si>
    <t>111 CREEKWOOD DR</t>
  </si>
  <si>
    <t>27006-9436</t>
  </si>
  <si>
    <t>E70000005102</t>
  </si>
  <si>
    <t>CLAYTON JENNIE E</t>
  </si>
  <si>
    <t>140 PARDUE LOOP</t>
  </si>
  <si>
    <t>27006-7833</t>
  </si>
  <si>
    <t>C8010E0066</t>
  </si>
  <si>
    <t>FULGHUM JAMES D III</t>
  </si>
  <si>
    <t>FULGHUM ELIZABETH S</t>
  </si>
  <si>
    <t>357 TOWNPARK DR</t>
  </si>
  <si>
    <t>N600000034</t>
  </si>
  <si>
    <t>HURSEY BRADLEY KEITH</t>
  </si>
  <si>
    <t>173 GREEN GRASS RD</t>
  </si>
  <si>
    <t>N60000002807</t>
  </si>
  <si>
    <t>N60000002804</t>
  </si>
  <si>
    <t>N600000035</t>
  </si>
  <si>
    <t>N60000003001</t>
  </si>
  <si>
    <t>H200000050</t>
  </si>
  <si>
    <t>POWELL EDWARD L</t>
  </si>
  <si>
    <t>POWELL MARY BALES</t>
  </si>
  <si>
    <t>778 OAKLAWN AVE</t>
  </si>
  <si>
    <t>27104-2224</t>
  </si>
  <si>
    <t>J5010D0083</t>
  </si>
  <si>
    <t>SHORES RICHARD I JR</t>
  </si>
  <si>
    <t>980 MAIN CHURCH RD</t>
  </si>
  <si>
    <t>27028-5852</t>
  </si>
  <si>
    <t>K5030A0016</t>
  </si>
  <si>
    <t>HILL BARTON C</t>
  </si>
  <si>
    <t>HILL MARGARET H</t>
  </si>
  <si>
    <t>193 DEACON WAY</t>
  </si>
  <si>
    <t>F800000091</t>
  </si>
  <si>
    <t>HOKE ERNESTINE FOSTER</t>
  </si>
  <si>
    <t>5953 BIG NANCE DR</t>
  </si>
  <si>
    <t>27616-5796</t>
  </si>
  <si>
    <t>J6100A0030</t>
  </si>
  <si>
    <t>PEREZ DAMARIS ELIZABETH</t>
  </si>
  <si>
    <t>AMAYA JOSE</t>
  </si>
  <si>
    <t>162 N LAKE LOUISE DR</t>
  </si>
  <si>
    <t>K60000003801</t>
  </si>
  <si>
    <t>MASON ROBIN CROTTS</t>
  </si>
  <si>
    <t>146 MOORE TRL</t>
  </si>
  <si>
    <t>27028-5353</t>
  </si>
  <si>
    <t>G400000034</t>
  </si>
  <si>
    <t>MCDANIEL KATHY S</t>
  </si>
  <si>
    <t>924 MAIN CHURCH RD</t>
  </si>
  <si>
    <t>I4130B0009</t>
  </si>
  <si>
    <t>ORGNON ANNELIESE</t>
  </si>
  <si>
    <t>225 GWYN ST</t>
  </si>
  <si>
    <t>27028-2313</t>
  </si>
  <si>
    <t>D8020A0015</t>
  </si>
  <si>
    <t>SMITH DOUGLAS R</t>
  </si>
  <si>
    <t>SMITH SHEA C</t>
  </si>
  <si>
    <t>189 IVY CIR</t>
  </si>
  <si>
    <t>E8110C0005</t>
  </si>
  <si>
    <t>WEIDERMAN RONALD CLINT JR</t>
  </si>
  <si>
    <t>1519 UNDERPASS RD</t>
  </si>
  <si>
    <t>27006-7534</t>
  </si>
  <si>
    <t>G400000038</t>
  </si>
  <si>
    <t>G40000003801</t>
  </si>
  <si>
    <t>M700000002</t>
  </si>
  <si>
    <t>2818 BYRON DR</t>
  </si>
  <si>
    <t>28144-8406</t>
  </si>
  <si>
    <t>G8140A0073</t>
  </si>
  <si>
    <t>BLACKMON DESHAWNDA EYVETTE</t>
  </si>
  <si>
    <t>107 SPRUCEWOOD CT</t>
  </si>
  <si>
    <t>M4040A0003</t>
  </si>
  <si>
    <t>COCKERHAM WILLIAM LEE</t>
  </si>
  <si>
    <t>687 GLADSTONE RD</t>
  </si>
  <si>
    <t>D300000015</t>
  </si>
  <si>
    <t>LITTLE WING FARM LLC</t>
  </si>
  <si>
    <t>511 ELMORE RD</t>
  </si>
  <si>
    <t>27028-4747</t>
  </si>
  <si>
    <t>M4120B0002</t>
  </si>
  <si>
    <t>DALTON MARK TWAYNE</t>
  </si>
  <si>
    <t>114 SUNBURST LN</t>
  </si>
  <si>
    <t>27028-5379</t>
  </si>
  <si>
    <t>D7080A0046</t>
  </si>
  <si>
    <t>SHELTON LORRI ANN</t>
  </si>
  <si>
    <t>293 LONGWOOD DR</t>
  </si>
  <si>
    <t>E600000043</t>
  </si>
  <si>
    <t>WELLS DAVID F LIV TRUST</t>
  </si>
  <si>
    <t>WELLS JUDITH H LIV TRUST</t>
  </si>
  <si>
    <t>88 KALMIA DRIVE</t>
  </si>
  <si>
    <t>E600000042</t>
  </si>
  <si>
    <t>C8010E0064</t>
  </si>
  <si>
    <t>O'NEAL GARY</t>
  </si>
  <si>
    <t>O'NEAL LEAH</t>
  </si>
  <si>
    <t>231 KILBOURNE DR</t>
  </si>
  <si>
    <t>J7010A0004</t>
  </si>
  <si>
    <t>RUPARD CLARENCE ARTHUR</t>
  </si>
  <si>
    <t>D700000217</t>
  </si>
  <si>
    <t>HARRISON JEFFREY BRIAN</t>
  </si>
  <si>
    <t>F500000030</t>
  </si>
  <si>
    <t>F500000029</t>
  </si>
  <si>
    <t>I400000079</t>
  </si>
  <si>
    <t>JAMES EXCHANGE LLC</t>
  </si>
  <si>
    <t>924 YADKINVILLE RD</t>
  </si>
  <si>
    <t>27028-2034</t>
  </si>
  <si>
    <t>D9090A0017</t>
  </si>
  <si>
    <t>FOLEY MAX JOSEPH</t>
  </si>
  <si>
    <t>FOLEY MARIANNE</t>
  </si>
  <si>
    <t>120 WILLOWBROOK PLACE</t>
  </si>
  <si>
    <t>I4140A0015</t>
  </si>
  <si>
    <t>DRAGONFLY HOUSE CHILDRENS ADVOCACY CENTER INC</t>
  </si>
  <si>
    <t>27028-2080</t>
  </si>
  <si>
    <t>J100000040</t>
  </si>
  <si>
    <t>MILLSAPS JONATHAN L</t>
  </si>
  <si>
    <t>1328 RIDGE RD</t>
  </si>
  <si>
    <t>C8030A001404</t>
  </si>
  <si>
    <t>DEMARS LOIS</t>
  </si>
  <si>
    <t>141 PINEWOOD LN UNIT 104</t>
  </si>
  <si>
    <t>27006-8653</t>
  </si>
  <si>
    <t>E900000243</t>
  </si>
  <si>
    <t>HENNESSY MICHAEL JAMES</t>
  </si>
  <si>
    <t>153 ISLEWORTH DR</t>
  </si>
  <si>
    <t>C8010E0052</t>
  </si>
  <si>
    <t>CALLAWAY JOSHUA B</t>
  </si>
  <si>
    <t>CALLAWAY CHELSEA H</t>
  </si>
  <si>
    <t>260 KILBOURNE DR</t>
  </si>
  <si>
    <t>K70000004003</t>
  </si>
  <si>
    <t>SMOOT LEO RICHARD</t>
  </si>
  <si>
    <t>5015 SUNRISE TERRACE</t>
  </si>
  <si>
    <t>K700000040</t>
  </si>
  <si>
    <t>K70000004002</t>
  </si>
  <si>
    <t>K70000003901</t>
  </si>
  <si>
    <t>C70000010102</t>
  </si>
  <si>
    <t>TAYLOR VINCENT EDWARD</t>
  </si>
  <si>
    <t>141 LESLIE COURT</t>
  </si>
  <si>
    <t>C60000001801</t>
  </si>
  <si>
    <t>ALBRECHT TRAVIS</t>
  </si>
  <si>
    <t>ALBRECHT BROOKE</t>
  </si>
  <si>
    <t>1736 NC HIGHWAY 801 N</t>
  </si>
  <si>
    <t>27028-7731</t>
  </si>
  <si>
    <t>G50000009002</t>
  </si>
  <si>
    <t>CRAWFORD JOHN PHILIP JR</t>
  </si>
  <si>
    <t>CRAWFORD JENNIFER</t>
  </si>
  <si>
    <t>137 MCCLAMROCK RD</t>
  </si>
  <si>
    <t>H200000048</t>
  </si>
  <si>
    <t>ELLISON ADRIENNE C</t>
  </si>
  <si>
    <t>606 VANZANT RD</t>
  </si>
  <si>
    <t>27028-8471</t>
  </si>
  <si>
    <t>D8020A0004</t>
  </si>
  <si>
    <t>GELLRICH JESSE M</t>
  </si>
  <si>
    <t>299 IVY CIR</t>
  </si>
  <si>
    <t>27006-8504</t>
  </si>
  <si>
    <t>F80000005502</t>
  </si>
  <si>
    <t>C &amp; L REAL ESTATE LLC</t>
  </si>
  <si>
    <t>176 KNIGHT LN</t>
  </si>
  <si>
    <t>27006-7537</t>
  </si>
  <si>
    <t>F80000005302</t>
  </si>
  <si>
    <t>F80000005303</t>
  </si>
  <si>
    <t>G800000023</t>
  </si>
  <si>
    <t>E70000010102</t>
  </si>
  <si>
    <t>D7030A0001</t>
  </si>
  <si>
    <t>E700000104</t>
  </si>
  <si>
    <t>G900000002</t>
  </si>
  <si>
    <t>MONDA LESLEE ANNE</t>
  </si>
  <si>
    <t>236 BAILEY RD</t>
  </si>
  <si>
    <t>C8010A0019</t>
  </si>
  <si>
    <t>BRYANT DANIEL CHRISTOPHER</t>
  </si>
  <si>
    <t>BRYANT JOANA ELIZABETH</t>
  </si>
  <si>
    <t>104 MILLSTONE LN</t>
  </si>
  <si>
    <t>E9150B0050</t>
  </si>
  <si>
    <t>MARCELLINO THOMAS MICHAEL</t>
  </si>
  <si>
    <t>MARCELLINO PATRICIA J</t>
  </si>
  <si>
    <t>202 SYCAMORE RIDGE ROAD</t>
  </si>
  <si>
    <t>I1110A0026</t>
  </si>
  <si>
    <t>FINLEY DANIEL L</t>
  </si>
  <si>
    <t>FINLEY JAMI C</t>
  </si>
  <si>
    <t>156 OAKLAND AVE</t>
  </si>
  <si>
    <t>F8030A0003</t>
  </si>
  <si>
    <t>JONES CAITLIN ELIZABETH</t>
  </si>
  <si>
    <t>KILLINGSWORTH MARK ADAM</t>
  </si>
  <si>
    <t>123 ESSEX FARM RD</t>
  </si>
  <si>
    <t>I5030A0005</t>
  </si>
  <si>
    <t>CALAMUSA JOSHUA STEPHEN</t>
  </si>
  <si>
    <t>CALAMUSA MELISSA ANN</t>
  </si>
  <si>
    <t>117 CYPRUS COVE DR</t>
  </si>
  <si>
    <t>D50000005102</t>
  </si>
  <si>
    <t>212 BUCKEYE TRL</t>
  </si>
  <si>
    <t>E5020A0037</t>
  </si>
  <si>
    <t>D700000222</t>
  </si>
  <si>
    <t>G90000000403</t>
  </si>
  <si>
    <t>MILLER JAKE S</t>
  </si>
  <si>
    <t>MILLER ALLISON S</t>
  </si>
  <si>
    <t>202 BAILEY RD</t>
  </si>
  <si>
    <t>H80000005001</t>
  </si>
  <si>
    <t>VESTAL DONNIE E JR</t>
  </si>
  <si>
    <t>VESTAL DESTINY E</t>
  </si>
  <si>
    <t>748 BAILEYS CHAPEL RD</t>
  </si>
  <si>
    <t>E70000013602</t>
  </si>
  <si>
    <t>ACHOR NICHOLAS GEORGE</t>
  </si>
  <si>
    <t>ACHOR AMANDA JOY</t>
  </si>
  <si>
    <t>111 WELLINGTON CT</t>
  </si>
  <si>
    <t>I4020A0008</t>
  </si>
  <si>
    <t>AVK REAL ESTATE III LLC</t>
  </si>
  <si>
    <t>3073 TRENWEST DR</t>
  </si>
  <si>
    <t>27103-3207</t>
  </si>
  <si>
    <t>H8060A0044</t>
  </si>
  <si>
    <t>FAERMAN DIAZ HOLLIE</t>
  </si>
  <si>
    <t>109 CUMBERLAND CT</t>
  </si>
  <si>
    <t>E6050A0009</t>
  </si>
  <si>
    <t>CAMPBELL J PAGE</t>
  </si>
  <si>
    <t>RUHLMAN MELONEY S</t>
  </si>
  <si>
    <t>191 SHALLOWBROOK DR</t>
  </si>
  <si>
    <t>E40000001608</t>
  </si>
  <si>
    <t>CALLAHAN SHERRY G</t>
  </si>
  <si>
    <t>1774 ANGELL ROAD</t>
  </si>
  <si>
    <t>I40000007704</t>
  </si>
  <si>
    <t>EASTGATE EMPIRE LLC</t>
  </si>
  <si>
    <t>7120 CREEK WOOD DR</t>
  </si>
  <si>
    <t>27514-7450</t>
  </si>
  <si>
    <t>I40000007707</t>
  </si>
  <si>
    <t>I40000007708</t>
  </si>
  <si>
    <t>H400000084</t>
  </si>
  <si>
    <t>I40000007703</t>
  </si>
  <si>
    <t>H4130A0091</t>
  </si>
  <si>
    <t>HUGGINS MARK</t>
  </si>
  <si>
    <t>KURFEES PATTIE A</t>
  </si>
  <si>
    <t>215 ASH DR</t>
  </si>
  <si>
    <t>D30000003205</t>
  </si>
  <si>
    <t>PRINCE MICHAEL WAYNE</t>
  </si>
  <si>
    <t>PRINCE KAREN R</t>
  </si>
  <si>
    <t>181 WHISTLE STOP TR</t>
  </si>
  <si>
    <t>27028-0612</t>
  </si>
  <si>
    <t>G500000160</t>
  </si>
  <si>
    <t>TAYLOR DEBORAH G</t>
  </si>
  <si>
    <t>111 NATURES PLACE WAY</t>
  </si>
  <si>
    <t>I90000002116</t>
  </si>
  <si>
    <t>GOODE JON M</t>
  </si>
  <si>
    <t>GOODE AMBER</t>
  </si>
  <si>
    <t>350 ZIMMERMAN RD</t>
  </si>
  <si>
    <t>G30000000210</t>
  </si>
  <si>
    <t>CROWE CECIL PHILLIP</t>
  </si>
  <si>
    <t>536 S SALISBURY ST</t>
  </si>
  <si>
    <t>I700000092</t>
  </si>
  <si>
    <t>JONES LONNIE EUGENE</t>
  </si>
  <si>
    <t>JONES JOYCE LANIER</t>
  </si>
  <si>
    <t>697 FORK BIXBY RD</t>
  </si>
  <si>
    <t>27006-7222</t>
  </si>
  <si>
    <t>C400000054</t>
  </si>
  <si>
    <t>MILLER LONNIE G</t>
  </si>
  <si>
    <t>3270 NC HIGHWAY 801 N</t>
  </si>
  <si>
    <t>E7140A0010</t>
  </si>
  <si>
    <t>DAVIS MAURICE D II</t>
  </si>
  <si>
    <t>DAVIS HOLLY W</t>
  </si>
  <si>
    <t>150 GRAYWOOD CT</t>
  </si>
  <si>
    <t>C8010C0026</t>
  </si>
  <si>
    <t>MARTIN STEPHANIE C</t>
  </si>
  <si>
    <t>MARTIN JOSHUA K</t>
  </si>
  <si>
    <t>327 TOWN PARK DR</t>
  </si>
  <si>
    <t>H80000000607</t>
  </si>
  <si>
    <t>MITCHEM STEVEN R</t>
  </si>
  <si>
    <t>MITCHEM DEBBIE M</t>
  </si>
  <si>
    <t>278 LA QUINTA DR</t>
  </si>
  <si>
    <t>27006-7006</t>
  </si>
  <si>
    <t>I5020B0025</t>
  </si>
  <si>
    <t>DAVIES L JAMES</t>
  </si>
  <si>
    <t>526 MERRELLS LAKE RD</t>
  </si>
  <si>
    <t>C300000033</t>
  </si>
  <si>
    <t>3328 NORTHCREST RD APT C</t>
  </si>
  <si>
    <t>30340-4027</t>
  </si>
  <si>
    <t>D7010A0004</t>
  </si>
  <si>
    <t>POLLARD BARBARA</t>
  </si>
  <si>
    <t>143 LITTLE JOHN DR</t>
  </si>
  <si>
    <t>F600000068</t>
  </si>
  <si>
    <t>WARD CHRISTINE WEST</t>
  </si>
  <si>
    <t>177 CUB CREEK LN</t>
  </si>
  <si>
    <t>27028-7627</t>
  </si>
  <si>
    <t>I800000041</t>
  </si>
  <si>
    <t>D30000006102</t>
  </si>
  <si>
    <t>PIERCE LYNETTE JONES</t>
  </si>
  <si>
    <t>3929 US HIGHWAY 601 N</t>
  </si>
  <si>
    <t>H3040A0013</t>
  </si>
  <si>
    <t>WHITLOCK JANE B</t>
  </si>
  <si>
    <t>202 ASHLEY BROOK LANE</t>
  </si>
  <si>
    <t>27028-4101</t>
  </si>
  <si>
    <t>H3040A0012</t>
  </si>
  <si>
    <t>H3040A0014</t>
  </si>
  <si>
    <t>J600000057</t>
  </si>
  <si>
    <t>DAVIS ROBERT N</t>
  </si>
  <si>
    <t>DAVIS META MAXINE</t>
  </si>
  <si>
    <t>241 MULLINS ROAD</t>
  </si>
  <si>
    <t>M600000033</t>
  </si>
  <si>
    <t>ANGER RAYMOND P</t>
  </si>
  <si>
    <t>ANGER MARY E</t>
  </si>
  <si>
    <t>RT 3 BOX 516</t>
  </si>
  <si>
    <t>ELKINS</t>
  </si>
  <si>
    <t>WV</t>
  </si>
  <si>
    <t>26241-0000</t>
  </si>
  <si>
    <t>I300000034</t>
  </si>
  <si>
    <t>BARNEYCASTLE HELEN W</t>
  </si>
  <si>
    <t>365 BOONE FARM RD</t>
  </si>
  <si>
    <t>I300000010</t>
  </si>
  <si>
    <t>H5190A0035</t>
  </si>
  <si>
    <t>DULIN STEVEN TREMAYNE</t>
  </si>
  <si>
    <t>149 CHANDLER DR</t>
  </si>
  <si>
    <t>G600000003</t>
  </si>
  <si>
    <t>ROBERTSON DAVID E</t>
  </si>
  <si>
    <t>245 FOSTER DAIRY RD</t>
  </si>
  <si>
    <t>27028-4174</t>
  </si>
  <si>
    <t>I4130C0008</t>
  </si>
  <si>
    <t>J&amp;H PROPERTIES DEVELOPMENT LLC</t>
  </si>
  <si>
    <t>% SKYLINE NATIONAL BANK</t>
  </si>
  <si>
    <t>PO BOX 186</t>
  </si>
  <si>
    <t>INDEPENDENCE</t>
  </si>
  <si>
    <t>24348-0186</t>
  </si>
  <si>
    <t>I4130F0002</t>
  </si>
  <si>
    <t>KOONTZ BRANDY ELIZABETH TRUSTE</t>
  </si>
  <si>
    <t>L &amp; B KOONTZ FAMILY TRUST</t>
  </si>
  <si>
    <t>181 S MAIN ST</t>
  </si>
  <si>
    <t>27028-2424</t>
  </si>
  <si>
    <t>I4130F0003</t>
  </si>
  <si>
    <t>H400000093</t>
  </si>
  <si>
    <t>E8020B0003</t>
  </si>
  <si>
    <t>CAROLAN JOHN C ETUX</t>
  </si>
  <si>
    <t>112 CAMERON CT</t>
  </si>
  <si>
    <t>H200000004</t>
  </si>
  <si>
    <t>MENDOZA ISMAEL CUEVAS</t>
  </si>
  <si>
    <t>394 CALAHALN RD</t>
  </si>
  <si>
    <t>27028-8108</t>
  </si>
  <si>
    <t>M60000003205</t>
  </si>
  <si>
    <t>STAKEMAN KURT C</t>
  </si>
  <si>
    <t>STAKEMAN BONNIE KAY</t>
  </si>
  <si>
    <t>179 HOUSTON RD</t>
  </si>
  <si>
    <t>K20000002708</t>
  </si>
  <si>
    <t>LINK JOSHUA L</t>
  </si>
  <si>
    <t>LINK KIRSTEN DURHAM</t>
  </si>
  <si>
    <t>148 MAC LN</t>
  </si>
  <si>
    <t>27028-8362</t>
  </si>
  <si>
    <t>J30000005402</t>
  </si>
  <si>
    <t>WHITAKER ROBERT EUGENE</t>
  </si>
  <si>
    <t>WHITAKER SONYA JOHNSON</t>
  </si>
  <si>
    <t>241 SCENIC DR</t>
  </si>
  <si>
    <t>I60000003610</t>
  </si>
  <si>
    <t>BRANTLEY TERRI</t>
  </si>
  <si>
    <t>BRANTLEY EUGENE</t>
  </si>
  <si>
    <t>123 DUBLIN RD</t>
  </si>
  <si>
    <t>N600000004</t>
  </si>
  <si>
    <t>PHELPS GRADY FRANKLIN</t>
  </si>
  <si>
    <t>142 BEAN RD</t>
  </si>
  <si>
    <t>27028-6602</t>
  </si>
  <si>
    <t>I40000007701</t>
  </si>
  <si>
    <t>I400000091</t>
  </si>
  <si>
    <t>I40000007706</t>
  </si>
  <si>
    <t>E6110A0012</t>
  </si>
  <si>
    <t>SNYDER CORY</t>
  </si>
  <si>
    <t>SNYDER MELISSA</t>
  </si>
  <si>
    <t>206 FOX RUN DR</t>
  </si>
  <si>
    <t>I4010A0070</t>
  </si>
  <si>
    <t>PARDUE JIMMY A</t>
  </si>
  <si>
    <t>PARDUE GEORGIA ANNE C</t>
  </si>
  <si>
    <t>154 N WENTWORTH DR</t>
  </si>
  <si>
    <t>D20000000110</t>
  </si>
  <si>
    <t>CHEEK DAVID SCOTT</t>
  </si>
  <si>
    <t>CHEEK THERESA PENNINGTON</t>
  </si>
  <si>
    <t>228 PEARL LN</t>
  </si>
  <si>
    <t>D9010E0036</t>
  </si>
  <si>
    <t>LINK CHARLES B</t>
  </si>
  <si>
    <t>LINK LEANNE J</t>
  </si>
  <si>
    <t>367 BING CROSBY BLVD</t>
  </si>
  <si>
    <t>H9080A0034</t>
  </si>
  <si>
    <t>LAMB AARON J</t>
  </si>
  <si>
    <t>LAMB LAURA G</t>
  </si>
  <si>
    <t>222 FALLINGCREEK DR</t>
  </si>
  <si>
    <t>F30000000525</t>
  </si>
  <si>
    <t>PITCHER WILLIAM G JR</t>
  </si>
  <si>
    <t>PITCHER ANGELA M</t>
  </si>
  <si>
    <t>175 PASO FOREST TRL</t>
  </si>
  <si>
    <t>D300000008</t>
  </si>
  <si>
    <t>TRIVETTE LINDA E</t>
  </si>
  <si>
    <t>330 SPEER RD</t>
  </si>
  <si>
    <t>D300000007</t>
  </si>
  <si>
    <t>F300000064</t>
  </si>
  <si>
    <t>MARTIN PATRICIA T</t>
  </si>
  <si>
    <t>157 BRACKEN RD</t>
  </si>
  <si>
    <t>27028-5652</t>
  </si>
  <si>
    <t>I400000005</t>
  </si>
  <si>
    <t>SEATS PHILLIP M</t>
  </si>
  <si>
    <t>155 MADISON RD</t>
  </si>
  <si>
    <t>27028-4246</t>
  </si>
  <si>
    <t>G50000001601</t>
  </si>
  <si>
    <t>205 BEECHWOOD DR</t>
  </si>
  <si>
    <t>G60000005902</t>
  </si>
  <si>
    <t>HAMM JODY TODD</t>
  </si>
  <si>
    <t>HAMM JENNIFER DAY</t>
  </si>
  <si>
    <t>415 HOWARDTOWN RD</t>
  </si>
  <si>
    <t>C600000066</t>
  </si>
  <si>
    <t>ELLIS CLINTON</t>
  </si>
  <si>
    <t>143 E ROBIN DR</t>
  </si>
  <si>
    <t>27006-6664</t>
  </si>
  <si>
    <t>E30000000801</t>
  </si>
  <si>
    <t>CAVE SHARON T</t>
  </si>
  <si>
    <t>514 LIBERTY CHURCH RD</t>
  </si>
  <si>
    <t>H3040A0011</t>
  </si>
  <si>
    <t>G700000135</t>
  </si>
  <si>
    <t>HOWARD JOHN WESLEY</t>
  </si>
  <si>
    <t>HOWARD STEPHANIE DAWN</t>
  </si>
  <si>
    <t>111 CLIFFORD FARM WAY</t>
  </si>
  <si>
    <t>N60000002808</t>
  </si>
  <si>
    <t>NANCE KAREN CARTER</t>
  </si>
  <si>
    <t>NANCE CHARLES VERNON</t>
  </si>
  <si>
    <t>148 OLD FARM LN</t>
  </si>
  <si>
    <t>J60000005601</t>
  </si>
  <si>
    <t>SAWREY WILLIAM R SR</t>
  </si>
  <si>
    <t>SAWREY LAVERNE R</t>
  </si>
  <si>
    <t>565 HOWARDTOWN ROAD</t>
  </si>
  <si>
    <t>G70000000203</t>
  </si>
  <si>
    <t>G8140A0070</t>
  </si>
  <si>
    <t>HALLETT MAIA MARIE</t>
  </si>
  <si>
    <t>129 SPRUCEWOOD CT</t>
  </si>
  <si>
    <t>H8050A0005</t>
  </si>
  <si>
    <t>BROOKS KEVIN CRAIG</t>
  </si>
  <si>
    <t>BROOKS LAURA BETH</t>
  </si>
  <si>
    <t>160 SHADY GROVE LN</t>
  </si>
  <si>
    <t>M40000004301</t>
  </si>
  <si>
    <t>WITHERSPOON VIVIAN JOYCE</t>
  </si>
  <si>
    <t>7567 THRIFTWOOD COURT</t>
  </si>
  <si>
    <t>O60000003204</t>
  </si>
  <si>
    <t>FOX ANDREW D</t>
  </si>
  <si>
    <t>MOCKSVILL</t>
  </si>
  <si>
    <t>BRANDIP</t>
  </si>
  <si>
    <t>K70000003902</t>
  </si>
  <si>
    <t>KEENEY ANDREA N</t>
  </si>
  <si>
    <t>NEWMAN ROBERT S</t>
  </si>
  <si>
    <t>229 DRUM LANE</t>
  </si>
  <si>
    <t>D8060B0033</t>
  </si>
  <si>
    <t>SUMMERLIN PATTI A TRUSTEE</t>
  </si>
  <si>
    <t>155 N BERMUDA RUN DRIVE</t>
  </si>
  <si>
    <t>H70000007802</t>
  </si>
  <si>
    <t>BARNES TODD ANTHONY</t>
  </si>
  <si>
    <t>140 CROWS NEST RD</t>
  </si>
  <si>
    <t>BEAUFORT</t>
  </si>
  <si>
    <t>I700000071</t>
  </si>
  <si>
    <t>BOWEN LAWRENCE C</t>
  </si>
  <si>
    <t>BOWEN PAMELA A</t>
  </si>
  <si>
    <t>467 COMANCHE DR</t>
  </si>
  <si>
    <t>L300000003</t>
  </si>
  <si>
    <t>MCGUIRE DANNY LEE</t>
  </si>
  <si>
    <t>DAN MCGUIRE BUILDING</t>
  </si>
  <si>
    <t>6612 CLEMMONS CT</t>
  </si>
  <si>
    <t>D9010E0024</t>
  </si>
  <si>
    <t>LOKE THOMAS J</t>
  </si>
  <si>
    <t>LOKE HOLLY S</t>
  </si>
  <si>
    <t>325 BING CROSBY BLVD</t>
  </si>
  <si>
    <t>27006-8510</t>
  </si>
  <si>
    <t>G7040A0071</t>
  </si>
  <si>
    <t>MITCHEM STEVEN RAY</t>
  </si>
  <si>
    <t>27006-0031</t>
  </si>
  <si>
    <t>E700000148</t>
  </si>
  <si>
    <t>OAK VALLEY ASSOC LTD PTRSHP</t>
  </si>
  <si>
    <t>420 W 4TH ST STE 202B</t>
  </si>
  <si>
    <t>27101-2837</t>
  </si>
  <si>
    <t>C7140A0112</t>
  </si>
  <si>
    <t>CLAYTON PROPERTIES GROUP INC</t>
  </si>
  <si>
    <t>441 WESTERN LN</t>
  </si>
  <si>
    <t>IRMO</t>
  </si>
  <si>
    <t>C7140A0105</t>
  </si>
  <si>
    <t>C7140A0106</t>
  </si>
  <si>
    <t>C7140A0123</t>
  </si>
  <si>
    <t>C7140A0124</t>
  </si>
  <si>
    <t>C7140A0099</t>
  </si>
  <si>
    <t>C7140A0100</t>
  </si>
  <si>
    <t>C7140A0109</t>
  </si>
  <si>
    <t>C7140A0107</t>
  </si>
  <si>
    <t>C7140A0122</t>
  </si>
  <si>
    <t>C7140A0108</t>
  </si>
  <si>
    <t>C7140A0114</t>
  </si>
  <si>
    <t>C7140A0024</t>
  </si>
  <si>
    <t>C7140A0063</t>
  </si>
  <si>
    <t>C7140A0033</t>
  </si>
  <si>
    <t>C7140A0034</t>
  </si>
  <si>
    <t>C7140A0019</t>
  </si>
  <si>
    <t>C7140A0017</t>
  </si>
  <si>
    <t>C7140A0126</t>
  </si>
  <si>
    <t>C7140A0021</t>
  </si>
  <si>
    <t>C700000117</t>
  </si>
  <si>
    <t>C7140A0020</t>
  </si>
  <si>
    <t>C700000108</t>
  </si>
  <si>
    <t>C7140A0018</t>
  </si>
  <si>
    <t>J300000041  A</t>
  </si>
  <si>
    <t>GREEN JASON SANFORD</t>
  </si>
  <si>
    <t>GREEN MISTY</t>
  </si>
  <si>
    <t>591 GREENHILL ROAD</t>
  </si>
  <si>
    <t>J30000004201</t>
  </si>
  <si>
    <t>J30000004102</t>
  </si>
  <si>
    <t>K10000000902</t>
  </si>
  <si>
    <t>514 CAMPGROUND ROAD</t>
  </si>
  <si>
    <t>28677-1471</t>
  </si>
  <si>
    <t>H300000038</t>
  </si>
  <si>
    <t>GALE PAUL H IV</t>
  </si>
  <si>
    <t>GALE EMILY D</t>
  </si>
  <si>
    <t>356 POWELL RD</t>
  </si>
  <si>
    <t>F30000001101</t>
  </si>
  <si>
    <t>UNDERWOOD CHRISTIAN</t>
  </si>
  <si>
    <t>UNDERWOOD JOY</t>
  </si>
  <si>
    <t>178 BEAR CREEK CHURCH RD</t>
  </si>
  <si>
    <t>E800000100</t>
  </si>
  <si>
    <t>E800000105</t>
  </si>
  <si>
    <t>E800000104</t>
  </si>
  <si>
    <t>E800000107</t>
  </si>
  <si>
    <t>E800000109</t>
  </si>
  <si>
    <t>C50000001803</t>
  </si>
  <si>
    <t>TUTTLE WILLIAM GRAY</t>
  </si>
  <si>
    <t>TUTTLE KATHARINE</t>
  </si>
  <si>
    <t>168 WYO RD</t>
  </si>
  <si>
    <t>27028-6300</t>
  </si>
  <si>
    <t>C7140A0111</t>
  </si>
  <si>
    <t>C7140A0117</t>
  </si>
  <si>
    <t>C7140A0115</t>
  </si>
  <si>
    <t>C7140A0116</t>
  </si>
  <si>
    <t>C7140A0125</t>
  </si>
  <si>
    <t>C7140A0120</t>
  </si>
  <si>
    <t>C7140A0110</t>
  </si>
  <si>
    <t>C7140A0113</t>
  </si>
  <si>
    <t>C7140A0096</t>
  </si>
  <si>
    <t>C7140A0065</t>
  </si>
  <si>
    <t>G40000000908</t>
  </si>
  <si>
    <t>REYNOLDS DUDRESS G</t>
  </si>
  <si>
    <t>127 CHANNEL LANE</t>
  </si>
  <si>
    <t>I6160A0007</t>
  </si>
  <si>
    <t>WHITAKER JANE</t>
  </si>
  <si>
    <t>164 LINDA LN</t>
  </si>
  <si>
    <t>G3060B0003</t>
  </si>
  <si>
    <t>NICKOLOPOULOS SUSAN L</t>
  </si>
  <si>
    <t>259 IJAMES CHURCH RD</t>
  </si>
  <si>
    <t>O60000003513</t>
  </si>
  <si>
    <t>SOMERS CHARLIE N</t>
  </si>
  <si>
    <t>4128 US HWY 601 S</t>
  </si>
  <si>
    <t>F600000043  A</t>
  </si>
  <si>
    <t>BARNHARDT KAREN</t>
  </si>
  <si>
    <t>KEATON FRANKIE M JR</t>
  </si>
  <si>
    <t>201 PINEBROOK SCHOOL ROAD</t>
  </si>
  <si>
    <t>I20000000605</t>
  </si>
  <si>
    <t>CORREIA DINARTE</t>
  </si>
  <si>
    <t>MAYNARD CORREIA PRISCILLA</t>
  </si>
  <si>
    <t>130 GODBEY ACRES LANE</t>
  </si>
  <si>
    <t>C7140A0121</t>
  </si>
  <si>
    <t>C7140A0119</t>
  </si>
  <si>
    <t>M5030A0020</t>
  </si>
  <si>
    <t>BEAN MARCELLA E</t>
  </si>
  <si>
    <t>1820 NEEDMORE RD</t>
  </si>
  <si>
    <t>27054-9517</t>
  </si>
  <si>
    <t>G8010B0005</t>
  </si>
  <si>
    <t>ADDERTON BRIAN C</t>
  </si>
  <si>
    <t>ADDERTON PATRICIA P</t>
  </si>
  <si>
    <t>127 MCDANIEL ROAD</t>
  </si>
  <si>
    <t>B70000006002</t>
  </si>
  <si>
    <t>CARTER LESTER ROBERT</t>
  </si>
  <si>
    <t>368 GRIFFITH ROAD</t>
  </si>
  <si>
    <t>B700000058</t>
  </si>
  <si>
    <t>G20000004502</t>
  </si>
  <si>
    <t>ROGERS PHILLIP DAVID</t>
  </si>
  <si>
    <t>569 SHEFFIELD RD</t>
  </si>
  <si>
    <t>G50000014002</t>
  </si>
  <si>
    <t>STEWART JOEL ANTHONY</t>
  </si>
  <si>
    <t>977 YADKINVILLE RD</t>
  </si>
  <si>
    <t>27028-2033</t>
  </si>
  <si>
    <t>B600000012</t>
  </si>
  <si>
    <t>YOUNG MARK E</t>
  </si>
  <si>
    <t>YOUNG DEBORAH L</t>
  </si>
  <si>
    <t>239 ARROWHEAD RD</t>
  </si>
  <si>
    <t>27028-7602</t>
  </si>
  <si>
    <t>C60000005603</t>
  </si>
  <si>
    <t>HELLARD EMILY K</t>
  </si>
  <si>
    <t>186 SPILLMAN RD</t>
  </si>
  <si>
    <t>27028-7813</t>
  </si>
  <si>
    <t>D60000000204</t>
  </si>
  <si>
    <t>BLAKE TERESA LYNN</t>
  </si>
  <si>
    <t>2915 ARNOLD RD</t>
  </si>
  <si>
    <t>27295-5914</t>
  </si>
  <si>
    <t>B60000001201</t>
  </si>
  <si>
    <t>WAGNER ANNE MYERS REV TRUST</t>
  </si>
  <si>
    <t>WAGNER ANNE MYERS TRUSTEE</t>
  </si>
  <si>
    <t>290 ARROWHEAD RD</t>
  </si>
  <si>
    <t>H60000005404</t>
  </si>
  <si>
    <t>ELLIS KAMI</t>
  </si>
  <si>
    <t>134 HELM LN</t>
  </si>
  <si>
    <t>27028-7381</t>
  </si>
  <si>
    <t>F40000000405</t>
  </si>
  <si>
    <t>BOLIN CARRIE ANGELA</t>
  </si>
  <si>
    <t>353 DANNER RD</t>
  </si>
  <si>
    <t>27028-5725</t>
  </si>
  <si>
    <t>G7010A0005</t>
  </si>
  <si>
    <t>HILL DON MICHAEL</t>
  </si>
  <si>
    <t>PETROS AMY REYNOLDS</t>
  </si>
  <si>
    <t>190 BALTIMORE DOWNS RD</t>
  </si>
  <si>
    <t>D70000000202</t>
  </si>
  <si>
    <t>MITCHELL ALEXANDER</t>
  </si>
  <si>
    <t>MITCHELL REBEKAH</t>
  </si>
  <si>
    <t>119 LAVENDER FARM TRL</t>
  </si>
  <si>
    <t>J500000010</t>
  </si>
  <si>
    <t>CSI CONFECTIONS LLC</t>
  </si>
  <si>
    <t>232 JOHN CROTTS RD</t>
  </si>
  <si>
    <t>27028-7301</t>
  </si>
  <si>
    <t>J50000001005</t>
  </si>
  <si>
    <t>J50000001006</t>
  </si>
  <si>
    <t>F60000009601</t>
  </si>
  <si>
    <t>882 HOWARDTOWN CIR</t>
  </si>
  <si>
    <t>F800000115</t>
  </si>
  <si>
    <t>MYERS ELIZABETH WILLIAMS</t>
  </si>
  <si>
    <t>199 IN &amp; OUT LN</t>
  </si>
  <si>
    <t>F800000114</t>
  </si>
  <si>
    <t>D80000000604</t>
  </si>
  <si>
    <t>RAH LLC</t>
  </si>
  <si>
    <t>4182 CLEMMONS RD #363</t>
  </si>
  <si>
    <t>K50000010205</t>
  </si>
  <si>
    <t>HINKLE DELIA L</t>
  </si>
  <si>
    <t>206 N 23RD AVE</t>
  </si>
  <si>
    <t>YAKIMA</t>
  </si>
  <si>
    <t>WA</t>
  </si>
  <si>
    <t>98902-2431</t>
  </si>
  <si>
    <t>K50000010208</t>
  </si>
  <si>
    <t>EDWARDS CATHY H</t>
  </si>
  <si>
    <t>122 FRIAR LN</t>
  </si>
  <si>
    <t>27028-5227</t>
  </si>
  <si>
    <t>L50000001412</t>
  </si>
  <si>
    <t>STEELE RICKY LEE</t>
  </si>
  <si>
    <t>257 LOIS LN</t>
  </si>
  <si>
    <t>27028-5352</t>
  </si>
  <si>
    <t>C50000001801</t>
  </si>
  <si>
    <t>SHAWCROSS WILLIAM H JR</t>
  </si>
  <si>
    <t>SHAWCROSS LINDA B</t>
  </si>
  <si>
    <t>200 WYO RD</t>
  </si>
  <si>
    <t>H5150B0014</t>
  </si>
  <si>
    <t>REEVES JEFFREY H</t>
  </si>
  <si>
    <t>REEVES ANGELA D</t>
  </si>
  <si>
    <t>137 MOCKINGBIRD LN</t>
  </si>
  <si>
    <t>27028-2725</t>
  </si>
  <si>
    <t>K30000000304</t>
  </si>
  <si>
    <t>BRANCH WILLIAM C &amp; DEBORAH T REV LIV TRUST</t>
  </si>
  <si>
    <t>493 MR HENRY RD</t>
  </si>
  <si>
    <t>B50000002701</t>
  </si>
  <si>
    <t>SMITH CRAIG HOWARD</t>
  </si>
  <si>
    <t>SMITH KEVIN RAY</t>
  </si>
  <si>
    <t>1283 NC HIGHWAY 801 N</t>
  </si>
  <si>
    <t>B500000021</t>
  </si>
  <si>
    <t>C8030A001201</t>
  </si>
  <si>
    <t>KMN LLC</t>
  </si>
  <si>
    <t>234 SYCAMORE RIDGE DR</t>
  </si>
  <si>
    <t>G40000004504</t>
  </si>
  <si>
    <t>PALMER JOHN F JR</t>
  </si>
  <si>
    <t>1153 MAIN CHURCH RD</t>
  </si>
  <si>
    <t>C30000003603</t>
  </si>
  <si>
    <t>HEWELT JUDY</t>
  </si>
  <si>
    <t>10206 ALPS DR</t>
  </si>
  <si>
    <t>REED CITY</t>
  </si>
  <si>
    <t>MI</t>
  </si>
  <si>
    <t>49677-8317</t>
  </si>
  <si>
    <t>D8070D0023</t>
  </si>
  <si>
    <t>KNAPP PENELOPE A</t>
  </si>
  <si>
    <t>181 FAIRWAY DR</t>
  </si>
  <si>
    <t>N5010A0013</t>
  </si>
  <si>
    <t>HOUSES TO HOMES LLC</t>
  </si>
  <si>
    <t>121 PIEDMONT DR</t>
  </si>
  <si>
    <t>KANNAPOLIS</t>
  </si>
  <si>
    <t>28081-7144</t>
  </si>
  <si>
    <t>G8140A0079  A</t>
  </si>
  <si>
    <t>BLANKENSHIP SARAH ANNE</t>
  </si>
  <si>
    <t>142 OLD HOMEPLACE DR</t>
  </si>
  <si>
    <t>G8140A0079</t>
  </si>
  <si>
    <t>M600000030  A</t>
  </si>
  <si>
    <t>CLARK NATHANIEL P</t>
  </si>
  <si>
    <t>CLARK KELSEY M</t>
  </si>
  <si>
    <t>251 HOUSTON RD</t>
  </si>
  <si>
    <t>J5170A0019</t>
  </si>
  <si>
    <t>BECK RICKEY ERIC</t>
  </si>
  <si>
    <t>BECK MELEIA MEADOWS</t>
  </si>
  <si>
    <t>182 MARBROOK DR</t>
  </si>
  <si>
    <t>J4050B0003</t>
  </si>
  <si>
    <t>DRECHSLER PAUL</t>
  </si>
  <si>
    <t>DRECHSLER ELLEN</t>
  </si>
  <si>
    <t>600 S SALISBURY ST</t>
  </si>
  <si>
    <t>H800000015</t>
  </si>
  <si>
    <t>CRISCO HAYLEY L</t>
  </si>
  <si>
    <t>CRISCO MATTHEW</t>
  </si>
  <si>
    <t>1076 MARKLAND RD</t>
  </si>
  <si>
    <t>D9010A0031</t>
  </si>
  <si>
    <t>NELSON MATTHEW</t>
  </si>
  <si>
    <t>189 PEMBROOKE RIDGE CT</t>
  </si>
  <si>
    <t>C600000036</t>
  </si>
  <si>
    <t>BEAUCHAMP VICKIE C</t>
  </si>
  <si>
    <t>340 SPILLMAN RD</t>
  </si>
  <si>
    <t>E9150B0053</t>
  </si>
  <si>
    <t>MCCULLOCH JEANNE</t>
  </si>
  <si>
    <t>MCCULLOCH TIMOTHY D</t>
  </si>
  <si>
    <t>216 SYCAMORE RIDGE DR</t>
  </si>
  <si>
    <t>G500000140</t>
  </si>
  <si>
    <t>HAMRICK WHITNEY RAE SHORT</t>
  </si>
  <si>
    <t>HAMRICK STEPHEN SCOTT</t>
  </si>
  <si>
    <t>173 OAK GROVE CHURCH RD</t>
  </si>
  <si>
    <t>I4060A0015</t>
  </si>
  <si>
    <t>TAYLOR VINCENT</t>
  </si>
  <si>
    <t>150 CIRCLE DR</t>
  </si>
  <si>
    <t>27028-2055</t>
  </si>
  <si>
    <t>H4130A0125</t>
  </si>
  <si>
    <t>MERRITTS ANDREW ALAN</t>
  </si>
  <si>
    <t>MERRITTS TASHA LYNN</t>
  </si>
  <si>
    <t>122 GUMTREE CT</t>
  </si>
  <si>
    <t>I5090C0031</t>
  </si>
  <si>
    <t>FAULKNER ANTHONY MARK</t>
  </si>
  <si>
    <t>712 N MAIN ST</t>
  </si>
  <si>
    <t>H4130A0063</t>
  </si>
  <si>
    <t>ARAUZ ERENIA ROMERO</t>
  </si>
  <si>
    <t>166 SUMMIT DR</t>
  </si>
  <si>
    <t>F80000011009</t>
  </si>
  <si>
    <t>SHOUSE RICHARD JEFFERSON</t>
  </si>
  <si>
    <t>SHOUSE SANDRA WILLIAMS</t>
  </si>
  <si>
    <t>196 IN AND OUT LN</t>
  </si>
  <si>
    <t>C400000057</t>
  </si>
  <si>
    <t>GENTRY JESSE MONROE JR</t>
  </si>
  <si>
    <t>3198 NC HIGHWAY 801 N</t>
  </si>
  <si>
    <t>27028-6326</t>
  </si>
  <si>
    <t>I5090C0030</t>
  </si>
  <si>
    <t>E900000501</t>
  </si>
  <si>
    <t>MONROE JAMES E</t>
  </si>
  <si>
    <t>400 N HIDDENBROOKE DR</t>
  </si>
  <si>
    <t>I5160B0029</t>
  </si>
  <si>
    <t>JIMENEZ DARINEL OLEA</t>
  </si>
  <si>
    <t>388 CHESTNUT GROVE RD</t>
  </si>
  <si>
    <t>28625-9107</t>
  </si>
  <si>
    <t>G100000038</t>
  </si>
  <si>
    <t>5409 HORSE TRAIL RD</t>
  </si>
  <si>
    <t>SUMMERFIELD</t>
  </si>
  <si>
    <t>K100000015</t>
  </si>
  <si>
    <t>GADISH HILLARY R</t>
  </si>
  <si>
    <t>REAVIS BRENT</t>
  </si>
  <si>
    <t>303 RAVEN RD</t>
  </si>
  <si>
    <t>28634-9018</t>
  </si>
  <si>
    <t>E8170A0693</t>
  </si>
  <si>
    <t>MCKENNEY FAMILY TRUST</t>
  </si>
  <si>
    <t>116 LEGACY DR</t>
  </si>
  <si>
    <t>C8010C0019</t>
  </si>
  <si>
    <t>WILLARD KATHERYN BALLARD</t>
  </si>
  <si>
    <t>319 KILBOURNE DR</t>
  </si>
  <si>
    <t>H400000075</t>
  </si>
  <si>
    <t>MILLER MICHAEL LINN</t>
  </si>
  <si>
    <t>MILLER DIXIE T</t>
  </si>
  <si>
    <t>235 COUNTRY LANE</t>
  </si>
  <si>
    <t>D200000004</t>
  </si>
  <si>
    <t>MCNAIR PROPERTIES LTD PARTNERSHIP</t>
  </si>
  <si>
    <t>5309 SENDERO DR</t>
  </si>
  <si>
    <t>27612-1809</t>
  </si>
  <si>
    <t>I4010A0069</t>
  </si>
  <si>
    <t>BUTT BRENDA H</t>
  </si>
  <si>
    <t>156 N WENTWORTH DR</t>
  </si>
  <si>
    <t>D9050B0010</t>
  </si>
  <si>
    <t>BLEVINS BOBBY L</t>
  </si>
  <si>
    <t>BLEVINS ANN K</t>
  </si>
  <si>
    <t>3328 BERMUDA VLG</t>
  </si>
  <si>
    <t>H5170A0018</t>
  </si>
  <si>
    <t>KLINZING JAMES JOSEPH</t>
  </si>
  <si>
    <t>KLINZING LINDA GWEN</t>
  </si>
  <si>
    <t>135 FOX HORN CT</t>
  </si>
  <si>
    <t>27028-4350</t>
  </si>
  <si>
    <t>J600000014</t>
  </si>
  <si>
    <t>DOULIN TREVA</t>
  </si>
  <si>
    <t>193 DALTON RD</t>
  </si>
  <si>
    <t>27028-5116</t>
  </si>
  <si>
    <t>C8010A0174</t>
  </si>
  <si>
    <t>MORRISON SHANDA M</t>
  </si>
  <si>
    <t>147 TOWN PARK DR</t>
  </si>
  <si>
    <t>E6110A0013</t>
  </si>
  <si>
    <t>TENERY AMANDA GROCE</t>
  </si>
  <si>
    <t>GROCE LINDA WILLIAMS</t>
  </si>
  <si>
    <t>212 FOX RUN DR</t>
  </si>
  <si>
    <t>K50000002805</t>
  </si>
  <si>
    <t>HUFFMAN DANIEL EDWARD</t>
  </si>
  <si>
    <t>HUFFMAN HEATHER DENISE</t>
  </si>
  <si>
    <t>539 DEADMON RD</t>
  </si>
  <si>
    <t>C7140C0022</t>
  </si>
  <si>
    <t>SMITH MARK LEWIS</t>
  </si>
  <si>
    <t>108 CREEKWOOD DR</t>
  </si>
  <si>
    <t>27006-9449</t>
  </si>
  <si>
    <t>O60000003507</t>
  </si>
  <si>
    <t>JACOBS BILLY D</t>
  </si>
  <si>
    <t>4125 US HIGHWAY 601 S</t>
  </si>
  <si>
    <t>E5020A0024</t>
  </si>
  <si>
    <t>TATUM WILLIAM B</t>
  </si>
  <si>
    <t>JAMES MAGGIE NICHOLS</t>
  </si>
  <si>
    <t>303 CORNWALLIS DR</t>
  </si>
  <si>
    <t>C8010D0043</t>
  </si>
  <si>
    <t>GARNER TAMMY E</t>
  </si>
  <si>
    <t>283 KILBOURNE DR</t>
  </si>
  <si>
    <t>K800000021</t>
  </si>
  <si>
    <t>HALL BLAINE ROBERT</t>
  </si>
  <si>
    <t>289 SEAFORD RD</t>
  </si>
  <si>
    <t>27006-7043</t>
  </si>
  <si>
    <t>I5030A0051</t>
  </si>
  <si>
    <t>RISSEW JASON</t>
  </si>
  <si>
    <t>RISSEW BRANDI NICOLE</t>
  </si>
  <si>
    <t>184 ELISHA CREEK DR</t>
  </si>
  <si>
    <t>E60000006002</t>
  </si>
  <si>
    <t>DUNN GREGORY KEITH</t>
  </si>
  <si>
    <t>DUNN DANETTE GODBEY</t>
  </si>
  <si>
    <t>420 RAINBOW ROAD</t>
  </si>
  <si>
    <t>D3010A0029</t>
  </si>
  <si>
    <t>MARTINEZ DAVID</t>
  </si>
  <si>
    <t>MARTINEZ PATRICIA</t>
  </si>
  <si>
    <t>137 LANDIS COURT</t>
  </si>
  <si>
    <t>C30000012404</t>
  </si>
  <si>
    <t>WHITE BOONE</t>
  </si>
  <si>
    <t>845 HOWELL RD</t>
  </si>
  <si>
    <t>I4120E0007</t>
  </si>
  <si>
    <t>SYLVESTER JOSEPH</t>
  </si>
  <si>
    <t>SYLVESTER EMILY</t>
  </si>
  <si>
    <t>283 PARK AVE</t>
  </si>
  <si>
    <t>27028-2131</t>
  </si>
  <si>
    <t>I5050C0039</t>
  </si>
  <si>
    <t>MCAFEE THOMAS JAMES</t>
  </si>
  <si>
    <t>530 MOUNTVIEW DR</t>
  </si>
  <si>
    <t>27028-2875</t>
  </si>
  <si>
    <t>E900000326</t>
  </si>
  <si>
    <t>HEATH HENRY E JR</t>
  </si>
  <si>
    <t>HEATH AMANDA S</t>
  </si>
  <si>
    <t>119 WOODLANDS CT</t>
  </si>
  <si>
    <t>27006-6931</t>
  </si>
  <si>
    <t>C8010A0281</t>
  </si>
  <si>
    <t>HALLETT SARAH ELLEN</t>
  </si>
  <si>
    <t>HALLETT ANDREW R</t>
  </si>
  <si>
    <t>209 N FORKE DR</t>
  </si>
  <si>
    <t>E600000002  A</t>
  </si>
  <si>
    <t>HUTCHINS JAY A</t>
  </si>
  <si>
    <t>HUTCHINS LORI G</t>
  </si>
  <si>
    <t>127 BATH LANE</t>
  </si>
  <si>
    <t>H700000102</t>
  </si>
  <si>
    <t>NELSON JENNIFER LIN</t>
  </si>
  <si>
    <t>PO BOX 2228</t>
  </si>
  <si>
    <t>B60000001805</t>
  </si>
  <si>
    <t>PILCHER HARVEY E JR</t>
  </si>
  <si>
    <t>PILCHER LISA SPAUGH</t>
  </si>
  <si>
    <t>3037 WYO ROAD</t>
  </si>
  <si>
    <t>F900000044</t>
  </si>
  <si>
    <t>TERRY HAROLD DAVID JR</t>
  </si>
  <si>
    <t>E7060B0007</t>
  </si>
  <si>
    <t>PINNIX HEATHER B</t>
  </si>
  <si>
    <t>126 TIMBER CREEK RD</t>
  </si>
  <si>
    <t>27006-7886</t>
  </si>
  <si>
    <t>E60000000406</t>
  </si>
  <si>
    <t>SMITH SANDRA L</t>
  </si>
  <si>
    <t>245 GILBERT RD</t>
  </si>
  <si>
    <t>G9090B0007</t>
  </si>
  <si>
    <t>JEWELL SUSAN J REV TRUST AGREEMENT</t>
  </si>
  <si>
    <t>JEWELL SUSAN J TRUSTEE</t>
  </si>
  <si>
    <t>174 OLD MARCH RD</t>
  </si>
  <si>
    <t>C8010C0015</t>
  </si>
  <si>
    <t>GRUBBS CAITLIN ALEXANDRA</t>
  </si>
  <si>
    <t>SEAFORD SETH EDWIN</t>
  </si>
  <si>
    <t>104 ARCHER DR</t>
  </si>
  <si>
    <t>G9090D0022</t>
  </si>
  <si>
    <t>JACOBS CHRISTIN</t>
  </si>
  <si>
    <t>JACOBS COLEY L</t>
  </si>
  <si>
    <t>148 MAPLEVALLEY RD</t>
  </si>
  <si>
    <t>C8010A0018</t>
  </si>
  <si>
    <t>MIA REYNALDO G</t>
  </si>
  <si>
    <t>MIA AURORA G</t>
  </si>
  <si>
    <t>103 MILLSTONE LANE</t>
  </si>
  <si>
    <t>I6140A0031</t>
  </si>
  <si>
    <t>CHARLES AMANDA M</t>
  </si>
  <si>
    <t>262 LAKEVIEW RD</t>
  </si>
  <si>
    <t>J7010A0014</t>
  </si>
  <si>
    <t>ANGEL AUSTIN C</t>
  </si>
  <si>
    <t>168 HICKORY TREE RD</t>
  </si>
  <si>
    <t>C70000000603</t>
  </si>
  <si>
    <t>G600000034</t>
  </si>
  <si>
    <t>SUMMERS PERRY DWAYNE</t>
  </si>
  <si>
    <t>1213 HOWARDTOWN CIR</t>
  </si>
  <si>
    <t>I5120A0042</t>
  </si>
  <si>
    <t>HERNANDEZ GONZALO ENRIQUE ESTRADA</t>
  </si>
  <si>
    <t>ROMERO-CATALAN ABIGAIL</t>
  </si>
  <si>
    <t>401 WINDWARD CIR</t>
  </si>
  <si>
    <t>27028-2897</t>
  </si>
  <si>
    <t>J5040A0015</t>
  </si>
  <si>
    <t>RUSS RACHAEL MOORE</t>
  </si>
  <si>
    <t>125 CARRIE CIR</t>
  </si>
  <si>
    <t>27028-2638</t>
  </si>
  <si>
    <t>D800000031</t>
  </si>
  <si>
    <t>BURNFAM LIMITED PARTNERSHIP</t>
  </si>
  <si>
    <t>4007 COUNTRY CLUB RD STE A</t>
  </si>
  <si>
    <t>27104-3766</t>
  </si>
  <si>
    <t>J5020A0016</t>
  </si>
  <si>
    <t>GUERRERO CARLOS EDUARDO GONZAL</t>
  </si>
  <si>
    <t>3124 CRANBERRY RD</t>
  </si>
  <si>
    <t>27011-8672</t>
  </si>
  <si>
    <t>D80000002504</t>
  </si>
  <si>
    <t>D70000023002</t>
  </si>
  <si>
    <t>D80000002503</t>
  </si>
  <si>
    <t>F8030A0066</t>
  </si>
  <si>
    <t>BATULAN CHELSEA RIDDLE</t>
  </si>
  <si>
    <t>BATULAN KIRK J</t>
  </si>
  <si>
    <t>120 TYLER CT</t>
  </si>
  <si>
    <t>N5010C0047</t>
  </si>
  <si>
    <t>R.C. FUTURE INVESTMENTS LLC</t>
  </si>
  <si>
    <t>4443 NC HIGHWAY 801 S</t>
  </si>
  <si>
    <t>G20000005502</t>
  </si>
  <si>
    <t>HOLDER DONALD R</t>
  </si>
  <si>
    <t>HOLDER KRISTIE M</t>
  </si>
  <si>
    <t>900 REYNOLDS RD</t>
  </si>
  <si>
    <t>27023-9689</t>
  </si>
  <si>
    <t>H5190A0025</t>
  </si>
  <si>
    <t>MYERS BILLY</t>
  </si>
  <si>
    <t>MYERS BECKY</t>
  </si>
  <si>
    <t>159 S MADERA DR</t>
  </si>
  <si>
    <t>H5190A0026</t>
  </si>
  <si>
    <t>D9050A0012</t>
  </si>
  <si>
    <t>HOTH KATHLEEN M</t>
  </si>
  <si>
    <t>3129 BERMUDA VLG</t>
  </si>
  <si>
    <t>K40000000102</t>
  </si>
  <si>
    <t>WHITT RICHARD H JR</t>
  </si>
  <si>
    <t>165 S M WHITT DRIVE</t>
  </si>
  <si>
    <t>E900000586</t>
  </si>
  <si>
    <t>DUNN GREGORY J</t>
  </si>
  <si>
    <t>DUNN BARBARA A</t>
  </si>
  <si>
    <t>129 OLD COURSE DRIVE</t>
  </si>
  <si>
    <t>G10000000802</t>
  </si>
  <si>
    <t>BOURNE VICTORIA</t>
  </si>
  <si>
    <t>1518 COUNTY LINE RD</t>
  </si>
  <si>
    <t>H400000030</t>
  </si>
  <si>
    <t>SEAMON MITCHELL RAY</t>
  </si>
  <si>
    <t>894 COUNTRY LN</t>
  </si>
  <si>
    <t>E9150B0095</t>
  </si>
  <si>
    <t>SCHNEIDER JOINT REV TRUST</t>
  </si>
  <si>
    <t>293 ORCHARD PARK DR</t>
  </si>
  <si>
    <t>C300000056</t>
  </si>
  <si>
    <t>BURNS MICHELLE G</t>
  </si>
  <si>
    <t>BURNS ROY R</t>
  </si>
  <si>
    <t>149 R SHORE DR</t>
  </si>
  <si>
    <t>J70000010305</t>
  </si>
  <si>
    <t>L400000042</t>
  </si>
  <si>
    <t>D8060B0045</t>
  </si>
  <si>
    <t>SMITH LINDSAY B</t>
  </si>
  <si>
    <t>4324 67TH AVENUE CIR E</t>
  </si>
  <si>
    <t>SARASOTA</t>
  </si>
  <si>
    <t>34243-5191</t>
  </si>
  <si>
    <t>I5010B0011</t>
  </si>
  <si>
    <t>D TOUR PROPERTY SOLUTIONS LLC</t>
  </si>
  <si>
    <t>1332 BALTIMORE RD</t>
  </si>
  <si>
    <t>I5010B001102</t>
  </si>
  <si>
    <t>I4130F0007</t>
  </si>
  <si>
    <t>YAMAOKA FAMILY LIV TRUST</t>
  </si>
  <si>
    <t>530 SUNSHINE ACRES DR</t>
  </si>
  <si>
    <t>EUGENE</t>
  </si>
  <si>
    <t>OR</t>
  </si>
  <si>
    <t>97401-5707</t>
  </si>
  <si>
    <t>B40000003501</t>
  </si>
  <si>
    <t>HERNANDEZ BROOKE</t>
  </si>
  <si>
    <t>HERNANDEZ MARIO</t>
  </si>
  <si>
    <t>386 N PINO RD</t>
  </si>
  <si>
    <t>27028-4866</t>
  </si>
  <si>
    <t>B7140A0008</t>
  </si>
  <si>
    <t>KENNEDY SCOTT</t>
  </si>
  <si>
    <t>KENNEDY AMIE</t>
  </si>
  <si>
    <t>171 VALLEY OAKS DR</t>
  </si>
  <si>
    <t>J7080B0051</t>
  </si>
  <si>
    <t>REINSVOLD JOSHUA WILLIAM</t>
  </si>
  <si>
    <t>120 OAKSHIRE CT</t>
  </si>
  <si>
    <t>F20000004403</t>
  </si>
  <si>
    <t>ELDER CHRIS DUANE</t>
  </si>
  <si>
    <t>ELDER BRENDA MAE</t>
  </si>
  <si>
    <t>203 CAMBRIDGE LN</t>
  </si>
  <si>
    <t>27028-8120</t>
  </si>
  <si>
    <t>D100000017</t>
  </si>
  <si>
    <t>WARD VICTOR V JR</t>
  </si>
  <si>
    <t>1416 BEAR CREEK CHURCH RD</t>
  </si>
  <si>
    <t>I5110C0012</t>
  </si>
  <si>
    <t>MERRIMAN ANN B</t>
  </si>
  <si>
    <t>MERRIMAN ERNEST STEVE</t>
  </si>
  <si>
    <t>262 MONTVIEW DRIVE</t>
  </si>
  <si>
    <t>I5020A0006</t>
  </si>
  <si>
    <t>FORTNEY TINA ARLENE</t>
  </si>
  <si>
    <t>1346 N MAIN ST</t>
  </si>
  <si>
    <t>E900000147</t>
  </si>
  <si>
    <t>FLECK DEBORAH S</t>
  </si>
  <si>
    <t>FLECK MICHAEL L</t>
  </si>
  <si>
    <t>116 WHITE EAGLE CT</t>
  </si>
  <si>
    <t>E9150B0072</t>
  </si>
  <si>
    <t>HUSKINS KEITH GORDON</t>
  </si>
  <si>
    <t>HUSKINS JANET OWEN</t>
  </si>
  <si>
    <t>118 SYCAMORE PARK LN</t>
  </si>
  <si>
    <t>F600000069</t>
  </si>
  <si>
    <t>E70000000106</t>
  </si>
  <si>
    <t>HOWARD DONALD C</t>
  </si>
  <si>
    <t>137 GLENN ALLEN RD</t>
  </si>
  <si>
    <t>K700000066</t>
  </si>
  <si>
    <t>BENDER VICKIE W</t>
  </si>
  <si>
    <t>1091 JOE RD</t>
  </si>
  <si>
    <t>27006-7001</t>
  </si>
  <si>
    <t>J70000009001</t>
  </si>
  <si>
    <t>PARKER C MARLENA</t>
  </si>
  <si>
    <t>WHITLOCK RONALD H</t>
  </si>
  <si>
    <t>317 FORK BIXBY RD</t>
  </si>
  <si>
    <t>I5030A0020</t>
  </si>
  <si>
    <t>CLARK JUDY FAYE</t>
  </si>
  <si>
    <t>124 ELI AVE</t>
  </si>
  <si>
    <t>27028-2957</t>
  </si>
  <si>
    <t>C400000064</t>
  </si>
  <si>
    <t>ALLEN TERRY B</t>
  </si>
  <si>
    <t>ALLEN STEPHEN</t>
  </si>
  <si>
    <t>6747 BUFFALO FORD RD</t>
  </si>
  <si>
    <t>RAMSEUR</t>
  </si>
  <si>
    <t>E70000000102</t>
  </si>
  <si>
    <t>H20000004602</t>
  </si>
  <si>
    <t>POWELL CATHY D</t>
  </si>
  <si>
    <t>171 DAYSPRING WAY</t>
  </si>
  <si>
    <t>I5010C0017</t>
  </si>
  <si>
    <t>BOOE EARLY V HEIRS</t>
  </si>
  <si>
    <t>% BRENDA BOOE</t>
  </si>
  <si>
    <t>CONSUMER CREDIT COUNSELING SER</t>
  </si>
  <si>
    <t>27116-1649</t>
  </si>
  <si>
    <t>C600000137</t>
  </si>
  <si>
    <t>1794 NC HIGHWAY 801 N</t>
  </si>
  <si>
    <t>I4060A0008</t>
  </si>
  <si>
    <t>WILSON MARK T</t>
  </si>
  <si>
    <t>27285-0097</t>
  </si>
  <si>
    <t>I4060A0009</t>
  </si>
  <si>
    <t>D30000002301</t>
  </si>
  <si>
    <t>KELLEY PATRICK</t>
  </si>
  <si>
    <t>KELLEY CATHERINE</t>
  </si>
  <si>
    <t>175 CRABTREE RD</t>
  </si>
  <si>
    <t>27028-4723</t>
  </si>
  <si>
    <t>G9100A0028</t>
  </si>
  <si>
    <t>ADAMS WILLIAM &amp; WILMA REV TRUS</t>
  </si>
  <si>
    <t>110 LOST FARM DR</t>
  </si>
  <si>
    <t>H30000009603</t>
  </si>
  <si>
    <t>BECK BLAINE T</t>
  </si>
  <si>
    <t>BECK MARCIA A</t>
  </si>
  <si>
    <t>298 BRANTLEY FARM RD</t>
  </si>
  <si>
    <t>27028-4113</t>
  </si>
  <si>
    <t>H30000004902</t>
  </si>
  <si>
    <t>CLEMENT MARTHA JEAN</t>
  </si>
  <si>
    <t>1679 US HWY 64 WEST</t>
  </si>
  <si>
    <t>I300000022</t>
  </si>
  <si>
    <t>G10000000803</t>
  </si>
  <si>
    <t>E9150B0081</t>
  </si>
  <si>
    <t>SIMMERSON DIANE R</t>
  </si>
  <si>
    <t>229 ORCHARD PARK DRIVE</t>
  </si>
  <si>
    <t>C8010A0049</t>
  </si>
  <si>
    <t>CAMPBELL WILLIAM P</t>
  </si>
  <si>
    <t>CAMPBELL MARIAN G</t>
  </si>
  <si>
    <t>287 OLD TOWNE DRIVE</t>
  </si>
  <si>
    <t>E6110A0008</t>
  </si>
  <si>
    <t>BURROW JASON N</t>
  </si>
  <si>
    <t>184 FOX RUN DR</t>
  </si>
  <si>
    <t>L80000001902</t>
  </si>
  <si>
    <t>FORREST GARY KENT</t>
  </si>
  <si>
    <t>FORREST HARLEY</t>
  </si>
  <si>
    <t>118 TOPCAT LN</t>
  </si>
  <si>
    <t>27006-7373</t>
  </si>
  <si>
    <t>J600000063</t>
  </si>
  <si>
    <t>HACKETT TONY DIAN</t>
  </si>
  <si>
    <t>170 JOE ROAD</t>
  </si>
  <si>
    <t>E900000640</t>
  </si>
  <si>
    <t>ROSSMAN GARY H</t>
  </si>
  <si>
    <t>123 N NIBLICK CT</t>
  </si>
  <si>
    <t>H5160A0006</t>
  </si>
  <si>
    <t>JEFFERIES PHILIP A</t>
  </si>
  <si>
    <t>JEFFERIES MELISSA M</t>
  </si>
  <si>
    <t>201 MEADOW RIDGE DR</t>
  </si>
  <si>
    <t>27028-4183</t>
  </si>
  <si>
    <t>G3060A0009</t>
  </si>
  <si>
    <t>VANDIVER RAE PARRISH</t>
  </si>
  <si>
    <t>228 IJAMES CHURCH RD</t>
  </si>
  <si>
    <t>G3060A0008</t>
  </si>
  <si>
    <t>E900000581</t>
  </si>
  <si>
    <t>LANDIVAR MARIANA</t>
  </si>
  <si>
    <t>LANDIVAR MARGARITA</t>
  </si>
  <si>
    <t>128 OLD COURSE DR</t>
  </si>
  <si>
    <t>K300000067</t>
  </si>
  <si>
    <t>RAMIREZ CHRISTA EATON</t>
  </si>
  <si>
    <t>615 DAVIE ACADEMY RD</t>
  </si>
  <si>
    <t>27028-5133</t>
  </si>
  <si>
    <t>D300000070</t>
  </si>
  <si>
    <t>O'NEAL PENNY</t>
  </si>
  <si>
    <t>363 SPEER ROAD</t>
  </si>
  <si>
    <t>D8020A0003</t>
  </si>
  <si>
    <t>WRIGHT JOSHUA A</t>
  </si>
  <si>
    <t>WRIGHT NICOLE R</t>
  </si>
  <si>
    <t>307 IVY CIR</t>
  </si>
  <si>
    <t>27006-8520</t>
  </si>
  <si>
    <t>H10000000309</t>
  </si>
  <si>
    <t>CAMPBELL REV LIVING TRUST</t>
  </si>
  <si>
    <t>155 DOBY</t>
  </si>
  <si>
    <t>H10000000312</t>
  </si>
  <si>
    <t>H10000000310</t>
  </si>
  <si>
    <t>H10000000306</t>
  </si>
  <si>
    <t>H10000000315</t>
  </si>
  <si>
    <t>H10000000305</t>
  </si>
  <si>
    <t>H100000002</t>
  </si>
  <si>
    <t>I4130A000204</t>
  </si>
  <si>
    <t>CALLICUTT DYLAN B</t>
  </si>
  <si>
    <t>145 RAYMOND ST</t>
  </si>
  <si>
    <t>27028-2349</t>
  </si>
  <si>
    <t>J6050E0004</t>
  </si>
  <si>
    <t>SMITH DANIEL L</t>
  </si>
  <si>
    <t>128 MEADOW VIEW DRIVE</t>
  </si>
  <si>
    <t>D9050B0026</t>
  </si>
  <si>
    <t>NICHOLSON WILLIAM HENRY</t>
  </si>
  <si>
    <t>NICHOLSON MIRIAM B</t>
  </si>
  <si>
    <t>2117 BERMUDA VLG</t>
  </si>
  <si>
    <t>C80000000105</t>
  </si>
  <si>
    <t>BOURLAND JOHN DANIEL</t>
  </si>
  <si>
    <t>BOURLAND ELIZABETH MCCABE</t>
  </si>
  <si>
    <t>346 YADKIN VALLEY RD</t>
  </si>
  <si>
    <t>G8140A0023</t>
  </si>
  <si>
    <t>THOMAS KYNAH</t>
  </si>
  <si>
    <t>188 SCOTCH MOSS DR</t>
  </si>
  <si>
    <t>C80000000102</t>
  </si>
  <si>
    <t>SINGLETARY LOUISE</t>
  </si>
  <si>
    <t>SINGLETARY JOSEPH</t>
  </si>
  <si>
    <t>284 FRED BAHNSON DR</t>
  </si>
  <si>
    <t>C8010E0058</t>
  </si>
  <si>
    <t>KINDLE DEBORAH I LIV TRUST</t>
  </si>
  <si>
    <t>259 KILBOURNE DR</t>
  </si>
  <si>
    <t>D500000009</t>
  </si>
  <si>
    <t>FAIR WANDA HORN</t>
  </si>
  <si>
    <t>157 FAWN LANE</t>
  </si>
  <si>
    <t>E900000296</t>
  </si>
  <si>
    <t>COHEN GERALD L</t>
  </si>
  <si>
    <t>COHEN BONNIE S</t>
  </si>
  <si>
    <t>109 SAWGRASS DR</t>
  </si>
  <si>
    <t>C50000000201</t>
  </si>
  <si>
    <t>CRATER RICHARD</t>
  </si>
  <si>
    <t>136 CRATER SEATS LN</t>
  </si>
  <si>
    <t>C7100A0025</t>
  </si>
  <si>
    <t>ALTO ASSET COMPANY 2 LLC</t>
  </si>
  <si>
    <t>5001 PLAZA ON THE LAKE STE 200</t>
  </si>
  <si>
    <t>I4120A0010</t>
  </si>
  <si>
    <t>KELLER JASON SCOTT</t>
  </si>
  <si>
    <t>270 WILKESBORO ST</t>
  </si>
  <si>
    <t>27028-2324</t>
  </si>
  <si>
    <t>I5010B001101</t>
  </si>
  <si>
    <t>G200000040</t>
  </si>
  <si>
    <t>GOODMAN DEBORAH</t>
  </si>
  <si>
    <t>GOODMAN ALBERT</t>
  </si>
  <si>
    <t>307 KISTLER FARM RD</t>
  </si>
  <si>
    <t>28115-5734</t>
  </si>
  <si>
    <t>I5080E0007</t>
  </si>
  <si>
    <t>TAYLOR SHAUN MICHAEL</t>
  </si>
  <si>
    <t>872 N MAIN ST</t>
  </si>
  <si>
    <t>J50000000601</t>
  </si>
  <si>
    <t>CASTREJON FRANCISCO HERNANDEZ</t>
  </si>
  <si>
    <t>105 CARRIE CIR</t>
  </si>
  <si>
    <t>I5170C0016</t>
  </si>
  <si>
    <t>HILL DAVID K</t>
  </si>
  <si>
    <t>HILL JANE A</t>
  </si>
  <si>
    <t>107 E BRICK WALK CT</t>
  </si>
  <si>
    <t>L40000004301</t>
  </si>
  <si>
    <t>TURRENTINE NELSON L</t>
  </si>
  <si>
    <t>TURRENTINE JENNIFER M</t>
  </si>
  <si>
    <t>332 DANIEL RD</t>
  </si>
  <si>
    <t>H500000072</t>
  </si>
  <si>
    <t>HUGGINS KEVIN MITCHELL</t>
  </si>
  <si>
    <t>STONE-HUGGINS MONICA DENYSE</t>
  </si>
  <si>
    <t>141 WOODBRIDGE WAY</t>
  </si>
  <si>
    <t>27028-2779</t>
  </si>
  <si>
    <t>G200000044</t>
  </si>
  <si>
    <t>H6070A0009</t>
  </si>
  <si>
    <t>GOFORTH DONALD R</t>
  </si>
  <si>
    <t>GOFORTH REBECCA DIANNE LOWDER</t>
  </si>
  <si>
    <t>853 SAIN RD</t>
  </si>
  <si>
    <t>27028-4333</t>
  </si>
  <si>
    <t>E40000004507</t>
  </si>
  <si>
    <t>KOWLES JAMES</t>
  </si>
  <si>
    <t>HELM HARRIET RACHEL</t>
  </si>
  <si>
    <t>310 CLAYTON DR</t>
  </si>
  <si>
    <t>27028-6143</t>
  </si>
  <si>
    <t>C700000104</t>
  </si>
  <si>
    <t>WILLIAMS CHARLES B JR</t>
  </si>
  <si>
    <t>WILLIAMS MARIAH KHARMEL G</t>
  </si>
  <si>
    <t>251 ANDREW RD</t>
  </si>
  <si>
    <t>J5010D0102</t>
  </si>
  <si>
    <t>MOORE HEATHER ANNE</t>
  </si>
  <si>
    <t>268 WINDING CREEK RD</t>
  </si>
  <si>
    <t>C70000008910</t>
  </si>
  <si>
    <t>HAGINS HUNTER S</t>
  </si>
  <si>
    <t>HAGINS ALEXIS BENGE</t>
  </si>
  <si>
    <t>428 WOODLEE DR</t>
  </si>
  <si>
    <t>N600000087</t>
  </si>
  <si>
    <t>MAULDIN DARINKA A</t>
  </si>
  <si>
    <t>293 HOUSTON RD</t>
  </si>
  <si>
    <t>J4140A0031</t>
  </si>
  <si>
    <t>ROBERTS DEANA DILLARD</t>
  </si>
  <si>
    <t>149 NEW HAMPSHIRE CT</t>
  </si>
  <si>
    <t>F40000002202</t>
  </si>
  <si>
    <t>BROWN LLOYD H JR TRUSTEE</t>
  </si>
  <si>
    <t>780 CANA RD</t>
  </si>
  <si>
    <t>27028-5705</t>
  </si>
  <si>
    <t>C600000096</t>
  </si>
  <si>
    <t>DAVIS ROGER L</t>
  </si>
  <si>
    <t>DAVIS SHELIA W</t>
  </si>
  <si>
    <t>141 VALLEY OAKS DRIVE</t>
  </si>
  <si>
    <t>F40000005703</t>
  </si>
  <si>
    <t>POPE CHARLES MARSHALL</t>
  </si>
  <si>
    <t>1135 ANGELL RD</t>
  </si>
  <si>
    <t>F40000005705</t>
  </si>
  <si>
    <t>D50000004903</t>
  </si>
  <si>
    <t>KOONTZ TOMMY J</t>
  </si>
  <si>
    <t>295 CEDAR CREEK RD</t>
  </si>
  <si>
    <t>E30000006905</t>
  </si>
  <si>
    <t>BLEDSOE FRANKLIN SR</t>
  </si>
  <si>
    <t>BLEDSOE TERRY BAILEY</t>
  </si>
  <si>
    <t>146 DANIEL BOONE TRL</t>
  </si>
  <si>
    <t>27028-4667</t>
  </si>
  <si>
    <t>I40000006415</t>
  </si>
  <si>
    <t>ELFERS HENRY C REVOCABLE TRUST</t>
  </si>
  <si>
    <t>ELFERS VELMA C TRUSTEE</t>
  </si>
  <si>
    <t>131 SUNSET POINTE BLVD</t>
  </si>
  <si>
    <t>LAKE PLACID</t>
  </si>
  <si>
    <t>C5130A0008</t>
  </si>
  <si>
    <t>KENNEDY ROBERT M III</t>
  </si>
  <si>
    <t>KENNEDY BILLIE M</t>
  </si>
  <si>
    <t>169 CEDAR FOREST LANE</t>
  </si>
  <si>
    <t>BPHILLIPS</t>
  </si>
  <si>
    <t>G600000112</t>
  </si>
  <si>
    <t>SECORD JAMES R</t>
  </si>
  <si>
    <t>SECORD DEBRA L</t>
  </si>
  <si>
    <t>183 HEPLER ROAD</t>
  </si>
  <si>
    <t>G600000114</t>
  </si>
  <si>
    <t>E40000000803</t>
  </si>
  <si>
    <t>RICHIE SALLIE F</t>
  </si>
  <si>
    <t>2905 WONDERWOOD DRIVE</t>
  </si>
  <si>
    <t>E40000000802</t>
  </si>
  <si>
    <t>E400000008</t>
  </si>
  <si>
    <t>F30000005303</t>
  </si>
  <si>
    <t>ALLGOOD ANGELA M</t>
  </si>
  <si>
    <t>1048 WAGNER RD</t>
  </si>
  <si>
    <t>J4060D0007</t>
  </si>
  <si>
    <t>PATTON ANNETTE R</t>
  </si>
  <si>
    <t>146 BIRCHWOOD LN</t>
  </si>
  <si>
    <t>J4060D0006</t>
  </si>
  <si>
    <t>J4060D0005</t>
  </si>
  <si>
    <t>J4060A0028</t>
  </si>
  <si>
    <t>COATES CHRISTOPHER R</t>
  </si>
  <si>
    <t>COATES SARAH R</t>
  </si>
  <si>
    <t>261 HOLLY LN</t>
  </si>
  <si>
    <t>27028-2905</t>
  </si>
  <si>
    <t>H8050A0010</t>
  </si>
  <si>
    <t>JOHNSON RANDY WAYNE</t>
  </si>
  <si>
    <t>JOHNSON DANA STANLEY</t>
  </si>
  <si>
    <t>212 SHADY GROVE LN</t>
  </si>
  <si>
    <t>I40000001001</t>
  </si>
  <si>
    <t>BREWER TONY LYNN</t>
  </si>
  <si>
    <t>164 VALE RD</t>
  </si>
  <si>
    <t>D8060B0003</t>
  </si>
  <si>
    <t>DUGGINS RANDY CARL</t>
  </si>
  <si>
    <t>422 RIVERBEND DR</t>
  </si>
  <si>
    <t>C8010E0063</t>
  </si>
  <si>
    <t>BONGAERTS THOMAS G</t>
  </si>
  <si>
    <t>BRUNNER EILEEN M</t>
  </si>
  <si>
    <t>237 KILBOURNE DR</t>
  </si>
  <si>
    <t>E900000244</t>
  </si>
  <si>
    <t>REAVIS CHARLES R</t>
  </si>
  <si>
    <t>REAVIS MARGARET I</t>
  </si>
  <si>
    <t>163 ISLEWORTH DR</t>
  </si>
  <si>
    <t>D9090B0005</t>
  </si>
  <si>
    <t>GAMBILL CARROLL B</t>
  </si>
  <si>
    <t>162 OLEANDER DR</t>
  </si>
  <si>
    <t>C8010B0405</t>
  </si>
  <si>
    <t>BARNES VERNON</t>
  </si>
  <si>
    <t>BARNES JANET NAGLE</t>
  </si>
  <si>
    <t>114 GLENMOOR AVE</t>
  </si>
  <si>
    <t>F30000008501</t>
  </si>
  <si>
    <t>CAVE MEGAN E</t>
  </si>
  <si>
    <t>CAVE EVAN A</t>
  </si>
  <si>
    <t>200 CHISUM TRL</t>
  </si>
  <si>
    <t>27028-5768</t>
  </si>
  <si>
    <t>H8060A0031</t>
  </si>
  <si>
    <t>DAVIS TRAVIS R</t>
  </si>
  <si>
    <t>162 S HEMINGWAY CT</t>
  </si>
  <si>
    <t>E20000002103</t>
  </si>
  <si>
    <t>WILLARD BRYAN L</t>
  </si>
  <si>
    <t>WILLARD JESSICA DEE</t>
  </si>
  <si>
    <t>997 DUKE WHITTAKER RD</t>
  </si>
  <si>
    <t>I5090C003301</t>
  </si>
  <si>
    <t>ROUTH DONAD WAYNE ETAL</t>
  </si>
  <si>
    <t>ROUTH MARY BLAIR TURNER</t>
  </si>
  <si>
    <t>167 HEMLOCK ST</t>
  </si>
  <si>
    <t>27028-2207</t>
  </si>
  <si>
    <t>I5090C003302</t>
  </si>
  <si>
    <t>G200000038</t>
  </si>
  <si>
    <t>ALEXANDER MARSHA GLASSCOCK</t>
  </si>
  <si>
    <t>728 SHEFFIELD RD</t>
  </si>
  <si>
    <t>G200000039</t>
  </si>
  <si>
    <t>J400000028</t>
  </si>
  <si>
    <t>EDWARDS MARTHA E REV TRUST AGREE</t>
  </si>
  <si>
    <t>LEDFORD J LARRY TRUSTEE</t>
  </si>
  <si>
    <t>852 US HIGHWAY 64 W # 102</t>
  </si>
  <si>
    <t>27028-8426</t>
  </si>
  <si>
    <t>H60000005401</t>
  </si>
  <si>
    <t>ELLIS ELGIN GLENN JR</t>
  </si>
  <si>
    <t>ELLIS CONNIE THURLO</t>
  </si>
  <si>
    <t>H60000005402</t>
  </si>
  <si>
    <t>H600000054</t>
  </si>
  <si>
    <t>M4130B0008</t>
  </si>
  <si>
    <t>COX RODERICK</t>
  </si>
  <si>
    <t>COX TAMIRRAH</t>
  </si>
  <si>
    <t>110 SUNRISE RIDGE DR</t>
  </si>
  <si>
    <t>28146-6927</t>
  </si>
  <si>
    <t>E900000535</t>
  </si>
  <si>
    <t>MITCHELL COREY TREY</t>
  </si>
  <si>
    <t>MITCHELL LEAH HUTCHENS</t>
  </si>
  <si>
    <t>237 N HIDDENBROOKE DR</t>
  </si>
  <si>
    <t>M5070A002401</t>
  </si>
  <si>
    <t>SOUSA RICHARD B</t>
  </si>
  <si>
    <t>175 EDGEWOOD CIR</t>
  </si>
  <si>
    <t>27028-6643</t>
  </si>
  <si>
    <t>H4200A0006</t>
  </si>
  <si>
    <t>BROWN WILLIAM L</t>
  </si>
  <si>
    <t>BROWN LESLIE A</t>
  </si>
  <si>
    <t>124 SHILOH CT</t>
  </si>
  <si>
    <t>27028-4776</t>
  </si>
  <si>
    <t>F40000005702</t>
  </si>
  <si>
    <t>POPE RICHARD LEE</t>
  </si>
  <si>
    <t>1289 ANGELL RD</t>
  </si>
  <si>
    <t>27028-5616</t>
  </si>
  <si>
    <t>B7140A0004</t>
  </si>
  <si>
    <t>F40000005706</t>
  </si>
  <si>
    <t>LABELL MARY JANE POPE</t>
  </si>
  <si>
    <t>LABELL JEFFREY ALLEN</t>
  </si>
  <si>
    <t>1284 ANGELL RD</t>
  </si>
  <si>
    <t>J500000049</t>
  </si>
  <si>
    <t>LAGLE JERRY F</t>
  </si>
  <si>
    <t>428 TURRENTINE CHURCH ROAD</t>
  </si>
  <si>
    <t>G3040A0001</t>
  </si>
  <si>
    <t>LOPEZ OMAR</t>
  </si>
  <si>
    <t>2421 US HIGHWAY 601 N</t>
  </si>
  <si>
    <t>27028-5949</t>
  </si>
  <si>
    <t>J4040G000501</t>
  </si>
  <si>
    <t>ZINK CHRISTOPHER DEAN</t>
  </si>
  <si>
    <t>CAMPBELL RUTH HARTMAN</t>
  </si>
  <si>
    <t>501 S SALISBURY ST</t>
  </si>
  <si>
    <t>E9150B0094</t>
  </si>
  <si>
    <t>MAJOR BRIAN W</t>
  </si>
  <si>
    <t>MAJOR EILEEN G</t>
  </si>
  <si>
    <t>287 ORCHARD PARK DR</t>
  </si>
  <si>
    <t>D8070C0011</t>
  </si>
  <si>
    <t>ROBINSON RACHEL</t>
  </si>
  <si>
    <t>1097 RIVERBEND DR</t>
  </si>
  <si>
    <t>D700000191</t>
  </si>
  <si>
    <t>SPARKS RAY F</t>
  </si>
  <si>
    <t>SPARKS DOROTHY H</t>
  </si>
  <si>
    <t>191 DOG TROT RD</t>
  </si>
  <si>
    <t>D700000189</t>
  </si>
  <si>
    <t>D700000170</t>
  </si>
  <si>
    <t>F300000069</t>
  </si>
  <si>
    <t>CONTOS SAMANTHA A</t>
  </si>
  <si>
    <t>CONTOS SARAH E</t>
  </si>
  <si>
    <t>325 BRACKEN RD</t>
  </si>
  <si>
    <t>27028-5654</t>
  </si>
  <si>
    <t>G40000004911</t>
  </si>
  <si>
    <t>CLAYTON LYNWOOD</t>
  </si>
  <si>
    <t>CLAYTON JANICE</t>
  </si>
  <si>
    <t>335 WILLOW CREEK LN</t>
  </si>
  <si>
    <t>E8020B0004</t>
  </si>
  <si>
    <t>SHEHATA TOWFIK A</t>
  </si>
  <si>
    <t>MOHAMED HANAN</t>
  </si>
  <si>
    <t>113 CAMERON CT</t>
  </si>
  <si>
    <t>J6050E0003</t>
  </si>
  <si>
    <t>LOPEZ DIDIER</t>
  </si>
  <si>
    <t>LOPEZ DESTINY NICOLE</t>
  </si>
  <si>
    <t>120 MEADOWVIEW RD</t>
  </si>
  <si>
    <t>E300000111</t>
  </si>
  <si>
    <t>WHICKER DANIEL</t>
  </si>
  <si>
    <t>WHICKER ASHLEY TAYLOR</t>
  </si>
  <si>
    <t>1113 WAGNER RD</t>
  </si>
  <si>
    <t>F300000119</t>
  </si>
  <si>
    <t>C8010A0009</t>
  </si>
  <si>
    <t>PLYLER AMANDA D</t>
  </si>
  <si>
    <t>135 WINDSOR CIR</t>
  </si>
  <si>
    <t>M60000003702</t>
  </si>
  <si>
    <t>SELLERS MICHAEL JAMES</t>
  </si>
  <si>
    <t>SELLERS MARY ANN</t>
  </si>
  <si>
    <t>614 CHERRY HILL RD</t>
  </si>
  <si>
    <t>E6050A0011</t>
  </si>
  <si>
    <t>LONGWORTH MICHAEL R</t>
  </si>
  <si>
    <t>LONGWORTH ANDREA H</t>
  </si>
  <si>
    <t>186 SHALLOWBROOK DR</t>
  </si>
  <si>
    <t>M5020A0015</t>
  </si>
  <si>
    <t>WALKER BARRY A</t>
  </si>
  <si>
    <t>WALKER BRIDGET</t>
  </si>
  <si>
    <t>392 MICHAELS RD</t>
  </si>
  <si>
    <t>D8080D0014</t>
  </si>
  <si>
    <t>COMBS MELISSA</t>
  </si>
  <si>
    <t>COMBS BRIAN</t>
  </si>
  <si>
    <t>471 IVY CIRCLE</t>
  </si>
  <si>
    <t>I4010A0002</t>
  </si>
  <si>
    <t>HILTON JON RUSSELL</t>
  </si>
  <si>
    <t>137 TURNBERRY DR</t>
  </si>
  <si>
    <t>27028-1921</t>
  </si>
  <si>
    <t>J60000005602</t>
  </si>
  <si>
    <t>HUTCHENS MICHAEL E</t>
  </si>
  <si>
    <t>HUTCHENS MISTY G</t>
  </si>
  <si>
    <t>213 MULLINS RD</t>
  </si>
  <si>
    <t>27028-7338</t>
  </si>
  <si>
    <t>D9030A0024</t>
  </si>
  <si>
    <t>PHILLIPS JOHN E</t>
  </si>
  <si>
    <t>PHILLIPS DEBRA A</t>
  </si>
  <si>
    <t>304 JAMES WAY</t>
  </si>
  <si>
    <t>H20000003601</t>
  </si>
  <si>
    <t>DUMAS JOCQUES J</t>
  </si>
  <si>
    <t>134 POWELL RD</t>
  </si>
  <si>
    <t>H30000003212</t>
  </si>
  <si>
    <t>D9010A0036</t>
  </si>
  <si>
    <t>WOOD DICKIE CARROLL</t>
  </si>
  <si>
    <t>HILL JOANNE MARIE</t>
  </si>
  <si>
    <t>182 PEMBROOKE RIDGE CT</t>
  </si>
  <si>
    <t>F60000010910</t>
  </si>
  <si>
    <t>STANLEY DARRELL</t>
  </si>
  <si>
    <t>551 HOWARDTOWN CIRCLE</t>
  </si>
  <si>
    <t>I6160A0010</t>
  </si>
  <si>
    <t>BUCKMAN JAROD</t>
  </si>
  <si>
    <t>BUCKMAN KARI</t>
  </si>
  <si>
    <t>186 LINDA LN</t>
  </si>
  <si>
    <t>I60000007901</t>
  </si>
  <si>
    <t>I60000007904</t>
  </si>
  <si>
    <t>H80000003501</t>
  </si>
  <si>
    <t>DEAN TONY B</t>
  </si>
  <si>
    <t>DEAN NANCY H</t>
  </si>
  <si>
    <t>2590 NC HIGHWAY 801 S</t>
  </si>
  <si>
    <t>M5100C0023  A</t>
  </si>
  <si>
    <t>BROOKS CHARLES</t>
  </si>
  <si>
    <t>BROOKS PATRICIA R</t>
  </si>
  <si>
    <t>131 LOOP STREET</t>
  </si>
  <si>
    <t>D8100C0019</t>
  </si>
  <si>
    <t>DELONG THOMAS</t>
  </si>
  <si>
    <t>148 SPYGLASS DR</t>
  </si>
  <si>
    <t>I4120A0012</t>
  </si>
  <si>
    <t>GUPTON JOSHUA LEE</t>
  </si>
  <si>
    <t>GUPTON ALLISON MACKENZIE</t>
  </si>
  <si>
    <t>290 WILKESBORO ST</t>
  </si>
  <si>
    <t>I5170A0106</t>
  </si>
  <si>
    <t>JOHNS BARBARA</t>
  </si>
  <si>
    <t>106 MILL RUN DR</t>
  </si>
  <si>
    <t>E70000013606</t>
  </si>
  <si>
    <t>HARGRAVE RONALD</t>
  </si>
  <si>
    <t>HARGRAVE LOLITA</t>
  </si>
  <si>
    <t>165 WELLINGTON CT</t>
  </si>
  <si>
    <t>D9090A0003</t>
  </si>
  <si>
    <t>LASSETER ROBERT K</t>
  </si>
  <si>
    <t>LASSETER PHYLLIS A</t>
  </si>
  <si>
    <t>141 WILLOWBROOK PL</t>
  </si>
  <si>
    <t>27006-8400</t>
  </si>
  <si>
    <t>E40000004608</t>
  </si>
  <si>
    <t>KING TYLER M</t>
  </si>
  <si>
    <t>KING SARA H</t>
  </si>
  <si>
    <t>157 BUCKEYE TRL</t>
  </si>
  <si>
    <t>J4040F0019</t>
  </si>
  <si>
    <t>RUTLER JOHN</t>
  </si>
  <si>
    <t>135 ISENHOUR FARM LN</t>
  </si>
  <si>
    <t>27013-8756</t>
  </si>
  <si>
    <t>E300000055</t>
  </si>
  <si>
    <t>POTTS BLAINE ASHTON</t>
  </si>
  <si>
    <t>CAMACHO PATRICIA</t>
  </si>
  <si>
    <t>529 RICHIE RD</t>
  </si>
  <si>
    <t>27028-4926</t>
  </si>
  <si>
    <t>G8140A0013</t>
  </si>
  <si>
    <t>STIKELEATHER JOSHUA ISSAC</t>
  </si>
  <si>
    <t>STIKELEATHER KAYLA MARIE</t>
  </si>
  <si>
    <t>109 OLD HOMEPLACE DR</t>
  </si>
  <si>
    <t>J7010A0008</t>
  </si>
  <si>
    <t>CARTER EMILY LAUREN</t>
  </si>
  <si>
    <t>159 HICKORY TREE RD</t>
  </si>
  <si>
    <t>E900000579</t>
  </si>
  <si>
    <t>FOX LINDA R IRREVOC TRUST</t>
  </si>
  <si>
    <t>117 CARTGATE COURT</t>
  </si>
  <si>
    <t>F3010A0001</t>
  </si>
  <si>
    <t>WELLS JOHN W</t>
  </si>
  <si>
    <t>WELLS DANA A</t>
  </si>
  <si>
    <t>115 CITADEL RD</t>
  </si>
  <si>
    <t>I4140A0004</t>
  </si>
  <si>
    <t>197 IVY LN</t>
  </si>
  <si>
    <t>I4140A0003</t>
  </si>
  <si>
    <t>J5040A0001</t>
  </si>
  <si>
    <t>DE ARMAS NELLY LILIAN</t>
  </si>
  <si>
    <t>DE ARMAS JASIEL ROLANDO</t>
  </si>
  <si>
    <t>400 E LAKE DR</t>
  </si>
  <si>
    <t>27028-2653</t>
  </si>
  <si>
    <t>F90000003501</t>
  </si>
  <si>
    <t>POTTS TIMOTHY VIRGIL SR</t>
  </si>
  <si>
    <t>POTTS PEGGY ANN CHANDLER</t>
  </si>
  <si>
    <t>540 UNDERPASS ROAD</t>
  </si>
  <si>
    <t>J4140A0013</t>
  </si>
  <si>
    <t>LOPEZ JAVIER</t>
  </si>
  <si>
    <t>128 NEW HAMPSHIRE CT</t>
  </si>
  <si>
    <t>E7060B0002</t>
  </si>
  <si>
    <t>BUTLER VERNON</t>
  </si>
  <si>
    <t>BUTLER SUSAN</t>
  </si>
  <si>
    <t>121 TIMBER CREEK RD</t>
  </si>
  <si>
    <t>J4040G000502</t>
  </si>
  <si>
    <t>C700000150</t>
  </si>
  <si>
    <t>BAITY KENT T</t>
  </si>
  <si>
    <t>151 WILLS RD</t>
  </si>
  <si>
    <t>27006-7862</t>
  </si>
  <si>
    <t>D8070D0020</t>
  </si>
  <si>
    <t>HEFNER LAURA JOYCE</t>
  </si>
  <si>
    <t>173 FAIRWAY DR</t>
  </si>
  <si>
    <t>I30000002401</t>
  </si>
  <si>
    <t>WOOTEN LUCAS JOHN</t>
  </si>
  <si>
    <t>WOOTEN JAYNE LOUISE</t>
  </si>
  <si>
    <t>170 BOONE FARM RD</t>
  </si>
  <si>
    <t>27028-4106</t>
  </si>
  <si>
    <t>L400000027</t>
  </si>
  <si>
    <t>BUCKLEY DAVID JR</t>
  </si>
  <si>
    <t>466 GLADSTONE RD</t>
  </si>
  <si>
    <t>E800000097</t>
  </si>
  <si>
    <t>TUTTEROW JASON E</t>
  </si>
  <si>
    <t>TUTTEROW PAGE S</t>
  </si>
  <si>
    <t>269 HIDDEN CREEK DR</t>
  </si>
  <si>
    <t>F8030A0053</t>
  </si>
  <si>
    <t>HARVEY TAMMY LYNN</t>
  </si>
  <si>
    <t>HARVEY PAUL RAY</t>
  </si>
  <si>
    <t>107 WYATT DR</t>
  </si>
  <si>
    <t>D9010D0015</t>
  </si>
  <si>
    <t>BERRY JASON S</t>
  </si>
  <si>
    <t>BERRY AMY G</t>
  </si>
  <si>
    <t>108 HAMILTON COURT</t>
  </si>
  <si>
    <t>D7060A0008</t>
  </si>
  <si>
    <t>POTTS DUSTIN</t>
  </si>
  <si>
    <t>296 CREEKWOOD DR</t>
  </si>
  <si>
    <t>D300000039</t>
  </si>
  <si>
    <t>GONZALEZ RODOLFO LONGORIA</t>
  </si>
  <si>
    <t>GONZALEZ EUNICE GOUGH</t>
  </si>
  <si>
    <t>1271 EATONS CHURCH ROAD</t>
  </si>
  <si>
    <t>G3060A0030</t>
  </si>
  <si>
    <t>COLEGROVE SCOTT</t>
  </si>
  <si>
    <t>COLEGROVE TAMMIE</t>
  </si>
  <si>
    <t>156 NORTHBROOK DR</t>
  </si>
  <si>
    <t>G70000003902</t>
  </si>
  <si>
    <t>SMITH ASHLEY NICOLE</t>
  </si>
  <si>
    <t>141 BUDDY TRL</t>
  </si>
  <si>
    <t>27028-7107</t>
  </si>
  <si>
    <t>E5020A0001</t>
  </si>
  <si>
    <t>FUENTES DAVID</t>
  </si>
  <si>
    <t>FUENTES JACQUELINE</t>
  </si>
  <si>
    <t>258 CORNWALLIS DR</t>
  </si>
  <si>
    <t>I4010A0076</t>
  </si>
  <si>
    <t>ZEOCK LINDA L</t>
  </si>
  <si>
    <t>ZEOCK JACK S</t>
  </si>
  <si>
    <t>138 N WENTWORTH DR</t>
  </si>
  <si>
    <t>J4030B0010</t>
  </si>
  <si>
    <t>HOWELL MATTHEW CHARLES</t>
  </si>
  <si>
    <t>HOWELL STEPHANIE HODGES</t>
  </si>
  <si>
    <t>654 SANFORD AVE</t>
  </si>
  <si>
    <t>27028-2920</t>
  </si>
  <si>
    <t>J800000032</t>
  </si>
  <si>
    <t>GOBBLE SYLVIA L TRUST</t>
  </si>
  <si>
    <t>% GEOFFREY L GOBBLE</t>
  </si>
  <si>
    <t>9706 MILLRIDGE DR</t>
  </si>
  <si>
    <t>LENEXA</t>
  </si>
  <si>
    <t>66220-3722</t>
  </si>
  <si>
    <t>D8080D0015</t>
  </si>
  <si>
    <t>VANNOY BRIAN</t>
  </si>
  <si>
    <t>485 IVY CIR</t>
  </si>
  <si>
    <t>27006-8521</t>
  </si>
  <si>
    <t>B40000001901</t>
  </si>
  <si>
    <t>SWEAT BILLY RAY III</t>
  </si>
  <si>
    <t>SWEAT STEPHANIE NICHOLE</t>
  </si>
  <si>
    <t>453 BONKIN LAKE RD</t>
  </si>
  <si>
    <t>L70000003201</t>
  </si>
  <si>
    <t>HENDRIX JOSHUA</t>
  </si>
  <si>
    <t>HENDRIX MEGAN J</t>
  </si>
  <si>
    <t>733 RIVERVIEW RD</t>
  </si>
  <si>
    <t>K4010A0010</t>
  </si>
  <si>
    <t>KENNEDY COYTE CHARLES</t>
  </si>
  <si>
    <t>KENNEDY TAMMY</t>
  </si>
  <si>
    <t>112 SUNSET CIR</t>
  </si>
  <si>
    <t>H100000004</t>
  </si>
  <si>
    <t>KIMMER SCOTT</t>
  </si>
  <si>
    <t>122 DOBY RD</t>
  </si>
  <si>
    <t>L40000003706</t>
  </si>
  <si>
    <t>WILSON DANIEL CURT</t>
  </si>
  <si>
    <t>WILSON AMANDA D</t>
  </si>
  <si>
    <t>165 NANCY EASTER LOOP</t>
  </si>
  <si>
    <t>M5160B0025</t>
  </si>
  <si>
    <t>B500000029</t>
  </si>
  <si>
    <t>FOSTER JUSTIN REED</t>
  </si>
  <si>
    <t>SMITH CHRISTY ANN</t>
  </si>
  <si>
    <t>265 BEAR WOODS TRL</t>
  </si>
  <si>
    <t>B50000002702</t>
  </si>
  <si>
    <t>H800000047</t>
  </si>
  <si>
    <t>BARNES BRENT</t>
  </si>
  <si>
    <t>182 BAILEYS CHAPEL ROAD</t>
  </si>
  <si>
    <t>H700000073</t>
  </si>
  <si>
    <t>G700000095</t>
  </si>
  <si>
    <t>MASSEY LEE DERANDY</t>
  </si>
  <si>
    <t>MASSEY SUSAN DARITY</t>
  </si>
  <si>
    <t>276 MARKLAND RD</t>
  </si>
  <si>
    <t>G50000008116</t>
  </si>
  <si>
    <t>DAUGHERTY JEFFREY JUSTIN</t>
  </si>
  <si>
    <t>DAUGHERTY GINA C</t>
  </si>
  <si>
    <t>170 EAGLES LANDING LN</t>
  </si>
  <si>
    <t>B7010A0003</t>
  </si>
  <si>
    <t>POPE AARON LAWRENCE</t>
  </si>
  <si>
    <t>9634 BRANCHVIEW LN</t>
  </si>
  <si>
    <t>MANASSAS</t>
  </si>
  <si>
    <t>G60000009901</t>
  </si>
  <si>
    <t>GREEN DUSTIN</t>
  </si>
  <si>
    <t>GREEN KIRBY LEE</t>
  </si>
  <si>
    <t>170 TRIPLE CREEK TRL</t>
  </si>
  <si>
    <t>D8030A0019</t>
  </si>
  <si>
    <t>WEBB CAMILLA P</t>
  </si>
  <si>
    <t>241 RIVERBEND DR</t>
  </si>
  <si>
    <t>C400000059</t>
  </si>
  <si>
    <t>GENTRY JESSE M JR</t>
  </si>
  <si>
    <t>C400000056</t>
  </si>
  <si>
    <t>J5010A0008</t>
  </si>
  <si>
    <t>SHOAF COAL AND SAND COMPANY</t>
  </si>
  <si>
    <t>PO BOX 462</t>
  </si>
  <si>
    <t>J6100A0023</t>
  </si>
  <si>
    <t>SAMUEL JOSEPH M</t>
  </si>
  <si>
    <t>SAMUEL SUSAN G</t>
  </si>
  <si>
    <t>132 LAKE LOUISE DR</t>
  </si>
  <si>
    <t>27028-2242</t>
  </si>
  <si>
    <t>C8010E0047</t>
  </si>
  <si>
    <t>DEFENSOR ELLA J L</t>
  </si>
  <si>
    <t>DEFENSOR ANGELO</t>
  </si>
  <si>
    <t>244 KILBOURNE DR</t>
  </si>
  <si>
    <t>J7080B0054</t>
  </si>
  <si>
    <t>HAYES CORY</t>
  </si>
  <si>
    <t>PARTON KAITLYN</t>
  </si>
  <si>
    <t>170 CEDARWOOD PL</t>
  </si>
  <si>
    <t>G9090D0024</t>
  </si>
  <si>
    <t>THOMPSON JAMES L</t>
  </si>
  <si>
    <t>THOMPSON SHERRY L</t>
  </si>
  <si>
    <t>128 MAPLEVALLEY RD</t>
  </si>
  <si>
    <t>E7060A0016</t>
  </si>
  <si>
    <t>PHILLIPS MARK S</t>
  </si>
  <si>
    <t>PHILLIPS DOROTHY A</t>
  </si>
  <si>
    <t>342 GUN CLUB RD</t>
  </si>
  <si>
    <t>G50000004801</t>
  </si>
  <si>
    <t>CONLEY CARL E</t>
  </si>
  <si>
    <t>142 SON SHINE WAY</t>
  </si>
  <si>
    <t>27028-4267</t>
  </si>
  <si>
    <t>H30000003210</t>
  </si>
  <si>
    <t>STEWART DARYL SCOTT</t>
  </si>
  <si>
    <t>152 POWELL RD</t>
  </si>
  <si>
    <t>D7080A0018</t>
  </si>
  <si>
    <t>COX JARED</t>
  </si>
  <si>
    <t>COX ALISA</t>
  </si>
  <si>
    <t>134 LONGWOOD DR</t>
  </si>
  <si>
    <t>I5170B0119</t>
  </si>
  <si>
    <t>CROUSE TIMOTHY I</t>
  </si>
  <si>
    <t>CROUSE HELENA F</t>
  </si>
  <si>
    <t>119 W BRICK WALK CT</t>
  </si>
  <si>
    <t>H2050B0008</t>
  </si>
  <si>
    <t>DILLARD KURTIS</t>
  </si>
  <si>
    <t>DILLARD TANISHA</t>
  </si>
  <si>
    <t>2392 US HIGHWAY 64 W</t>
  </si>
  <si>
    <t>E9150B0084</t>
  </si>
  <si>
    <t>RIDEN NANCY L</t>
  </si>
  <si>
    <t>241 ORCHARD PARK DR</t>
  </si>
  <si>
    <t>J5030A0002</t>
  </si>
  <si>
    <t>FOSTER PATTIE W</t>
  </si>
  <si>
    <t>FOSTER ALLEN L</t>
  </si>
  <si>
    <t>187 CRESTVIEW DR</t>
  </si>
  <si>
    <t>G20000000702</t>
  </si>
  <si>
    <t>BURUM ROBERT P</t>
  </si>
  <si>
    <t>154 SPARROW LN</t>
  </si>
  <si>
    <t>27028-8168</t>
  </si>
  <si>
    <t>C700000138</t>
  </si>
  <si>
    <t>CAMPBELL MARK</t>
  </si>
  <si>
    <t>CAMPBELL BETH</t>
  </si>
  <si>
    <t>154 WILLS RD</t>
  </si>
  <si>
    <t>27006-7835</t>
  </si>
  <si>
    <t>D500000117</t>
  </si>
  <si>
    <t>CLOWER JENNIFER K</t>
  </si>
  <si>
    <t>CLOWER CHARLES A</t>
  </si>
  <si>
    <t>330 KENNEN KREST RD</t>
  </si>
  <si>
    <t>F80000007503</t>
  </si>
  <si>
    <t>THOMAS SETH H</t>
  </si>
  <si>
    <t>THOMAS RACHEL G</t>
  </si>
  <si>
    <t>232 MOCKS CHURCH RD</t>
  </si>
  <si>
    <t>D30000005107</t>
  </si>
  <si>
    <t>GILMORE JAMES M</t>
  </si>
  <si>
    <t>149 HOWELL ROAD</t>
  </si>
  <si>
    <t>C100000007</t>
  </si>
  <si>
    <t>CHILTON CHRISTOPHER R</t>
  </si>
  <si>
    <t>CHILTON JACQUELYN N</t>
  </si>
  <si>
    <t>670 OLLIE HARKEY RD</t>
  </si>
  <si>
    <t>E50000003001</t>
  </si>
  <si>
    <t>BOGER HELEN</t>
  </si>
  <si>
    <t>974 FARMINGTON ROAD</t>
  </si>
  <si>
    <t>C400000035</t>
  </si>
  <si>
    <t>FISH JAMIE DOYLE</t>
  </si>
  <si>
    <t>FISH PATTIE BROWN</t>
  </si>
  <si>
    <t>293 N PINO RD</t>
  </si>
  <si>
    <t>H6080A0003</t>
  </si>
  <si>
    <t>JUSTICE BRIAN CHRISTIAN</t>
  </si>
  <si>
    <t>724 SAIN RD</t>
  </si>
  <si>
    <t>F50000001402</t>
  </si>
  <si>
    <t>HERNANDEZ ADRIAN</t>
  </si>
  <si>
    <t>HERNANDEZ MARTHA</t>
  </si>
  <si>
    <t>548 HOSPITAL STREET EXT</t>
  </si>
  <si>
    <t>27028-2070</t>
  </si>
  <si>
    <t>C600000059</t>
  </si>
  <si>
    <t>CHANDLER MELINDA SAARM</t>
  </si>
  <si>
    <t>1509 N NC HWY 801</t>
  </si>
  <si>
    <t>C400000034</t>
  </si>
  <si>
    <t>FISH PATTIE B</t>
  </si>
  <si>
    <t>K500000063</t>
  </si>
  <si>
    <t>LAGLE HENRY H</t>
  </si>
  <si>
    <t>712 WILL BOONE ROAD</t>
  </si>
  <si>
    <t>I800000051</t>
  </si>
  <si>
    <t>CROTTS SHANA BRIANNE</t>
  </si>
  <si>
    <t>3158 NC HIGHWAY 801 S</t>
  </si>
  <si>
    <t>E60000001502</t>
  </si>
  <si>
    <t>HELLARD RYAN</t>
  </si>
  <si>
    <t>HELLARD ALLISON</t>
  </si>
  <si>
    <t>107 WHITE OAK LN</t>
  </si>
  <si>
    <t>H8050A0002</t>
  </si>
  <si>
    <t>WARRINER ROBERT</t>
  </si>
  <si>
    <t>WARRINER CHRISTINE MARIE</t>
  </si>
  <si>
    <t>126 SHADY GROVE LN</t>
  </si>
  <si>
    <t>J60000005406</t>
  </si>
  <si>
    <t>HANNA DONALD E</t>
  </si>
  <si>
    <t>HANNA STEPHANIE KNIGHT</t>
  </si>
  <si>
    <t>300 CORNATZER RD</t>
  </si>
  <si>
    <t>J4040D0013</t>
  </si>
  <si>
    <t>WHITT DANA ALLISON</t>
  </si>
  <si>
    <t>201 E MAPLE AVE</t>
  </si>
  <si>
    <t>27028-2619</t>
  </si>
  <si>
    <t>H50000002909</t>
  </si>
  <si>
    <t>COOK MELANIE</t>
  </si>
  <si>
    <t>407 OAK GROVE CHURCH RD</t>
  </si>
  <si>
    <t>27028-4313</t>
  </si>
  <si>
    <t>H500000020</t>
  </si>
  <si>
    <t>PLOTT SHERRY W ETAL</t>
  </si>
  <si>
    <t>148 PLOTT LN</t>
  </si>
  <si>
    <t>27028-4359</t>
  </si>
  <si>
    <t>H50000002004</t>
  </si>
  <si>
    <t>H50000002001</t>
  </si>
  <si>
    <t>E8020A0008</t>
  </si>
  <si>
    <t>GRIMES DAVID</t>
  </si>
  <si>
    <t>GRIMES LAURA</t>
  </si>
  <si>
    <t>165 RAINTREE RD</t>
  </si>
  <si>
    <t>E900000664</t>
  </si>
  <si>
    <t>ADAMS RITA S</t>
  </si>
  <si>
    <t>127 N SAINT ANDREWS DR</t>
  </si>
  <si>
    <t>K60000003306</t>
  </si>
  <si>
    <t>CANNON THOMAS J</t>
  </si>
  <si>
    <t>159 RED FERN LN</t>
  </si>
  <si>
    <t>G80000005703</t>
  </si>
  <si>
    <t>HALL AARON JASON</t>
  </si>
  <si>
    <t>HALL JENNIFER B</t>
  </si>
  <si>
    <t>131 CRESTWOOD CT</t>
  </si>
  <si>
    <t>27006-7362</t>
  </si>
  <si>
    <t>G8140A0031</t>
  </si>
  <si>
    <t>G8140A0031  A</t>
  </si>
  <si>
    <t>M400000014</t>
  </si>
  <si>
    <t>MILLER THOMAS</t>
  </si>
  <si>
    <t>MILLER JULIA P</t>
  </si>
  <si>
    <t>PO BOX 636</t>
  </si>
  <si>
    <t>27028-0636</t>
  </si>
  <si>
    <t>C8010A0073</t>
  </si>
  <si>
    <t>VANDALL TERRY RENEE</t>
  </si>
  <si>
    <t>143 PARKVIEW LN</t>
  </si>
  <si>
    <t>M5160C002401</t>
  </si>
  <si>
    <t>REFUGE COMMUNITY CHURCH</t>
  </si>
  <si>
    <t>PO BOX 1028</t>
  </si>
  <si>
    <t>27014-1028</t>
  </si>
  <si>
    <t>B400000046</t>
  </si>
  <si>
    <t>LIGHT ROBERT</t>
  </si>
  <si>
    <t>1060 WYO RD</t>
  </si>
  <si>
    <t>27028-6309</t>
  </si>
  <si>
    <t>C8030A000603</t>
  </si>
  <si>
    <t>EDGAR KRISTEN JOAN</t>
  </si>
  <si>
    <t>172 PINEWOOD LN UNIT 103</t>
  </si>
  <si>
    <t>I5080E0008</t>
  </si>
  <si>
    <t>FOSTER CONNIE</t>
  </si>
  <si>
    <t>866 N MAIN ST</t>
  </si>
  <si>
    <t>J6050A000101</t>
  </si>
  <si>
    <t>COHRS AMANDA HARDIN</t>
  </si>
  <si>
    <t>COHRS HUBERT FRANK</t>
  </si>
  <si>
    <t>230 PINE VALLEY RD</t>
  </si>
  <si>
    <t>27028-7353</t>
  </si>
  <si>
    <t>J5020A0014</t>
  </si>
  <si>
    <t>GREENE BENJAMIN</t>
  </si>
  <si>
    <t>GREENE GRACE</t>
  </si>
  <si>
    <t>106 CRESTVIEW DR</t>
  </si>
  <si>
    <t>E60000002802</t>
  </si>
  <si>
    <t>WILLIAMS ROSE MARY</t>
  </si>
  <si>
    <t>2969 COLES CREEK RD</t>
  </si>
  <si>
    <t>ROCKY MOUNT</t>
  </si>
  <si>
    <t>24151-5047</t>
  </si>
  <si>
    <t>C8010E0060</t>
  </si>
  <si>
    <t>TURNER LINDA</t>
  </si>
  <si>
    <t>249 KILBOURNE DR</t>
  </si>
  <si>
    <t>J200000016</t>
  </si>
  <si>
    <t>HENDREN ELMER ROSCOE</t>
  </si>
  <si>
    <t>HENDREN MARY FELKER</t>
  </si>
  <si>
    <t>162 FELKER RD</t>
  </si>
  <si>
    <t>27028-8220</t>
  </si>
  <si>
    <t>H5160A0032</t>
  </si>
  <si>
    <t>LONG KENNETH W JR</t>
  </si>
  <si>
    <t>LONG SUSAN K</t>
  </si>
  <si>
    <t>185 W KNOLL BROOK DR</t>
  </si>
  <si>
    <t>27028-4317</t>
  </si>
  <si>
    <t>C700000145</t>
  </si>
  <si>
    <t>MEDINA DAVID ISRAEL</t>
  </si>
  <si>
    <t>COLECTOR ABIGAIL</t>
  </si>
  <si>
    <t>107 WILLS RD</t>
  </si>
  <si>
    <t>I70000002201</t>
  </si>
  <si>
    <t>WYATT KAREN ELIZABETH</t>
  </si>
  <si>
    <t>659 NO CREEK RD</t>
  </si>
  <si>
    <t>J6050C0018</t>
  </si>
  <si>
    <t>RABON RONALD</t>
  </si>
  <si>
    <t>RABON SOCORRO</t>
  </si>
  <si>
    <t>253 PINE VALLEY ROAD</t>
  </si>
  <si>
    <t>J6050C0017</t>
  </si>
  <si>
    <t>G200000059</t>
  </si>
  <si>
    <t>STARNES CECIL K</t>
  </si>
  <si>
    <t>STARNES KAERRIE F</t>
  </si>
  <si>
    <t>535 SHEFFIELD RD</t>
  </si>
  <si>
    <t>N600000109</t>
  </si>
  <si>
    <t>EBRIGHT VANCE</t>
  </si>
  <si>
    <t>EBRIGHT PATRICIA</t>
  </si>
  <si>
    <t>275 SINGLETON RD</t>
  </si>
  <si>
    <t>F3130A0028</t>
  </si>
  <si>
    <t>DRYE KERRI</t>
  </si>
  <si>
    <t>ANDERSON RUSSELL</t>
  </si>
  <si>
    <t>282 DANNER RD</t>
  </si>
  <si>
    <t>J5150B0002</t>
  </si>
  <si>
    <t>CREWS JOSHUA MICHAEL</t>
  </si>
  <si>
    <t>164 HICKORY DR</t>
  </si>
  <si>
    <t>H300000008</t>
  </si>
  <si>
    <t>IJAMES VERTIE MAE C</t>
  </si>
  <si>
    <t>368 PARKER RD</t>
  </si>
  <si>
    <t>D9050A0035</t>
  </si>
  <si>
    <t>DEIBLER MARGARET L</t>
  </si>
  <si>
    <t>3228 BERMUDA VLG</t>
  </si>
  <si>
    <t>D8070A0052</t>
  </si>
  <si>
    <t>JUSTICE DOUGLAS ANTHONY</t>
  </si>
  <si>
    <t>JUSTICE AMY BARNHART</t>
  </si>
  <si>
    <t>172 GOLFVIEW DR</t>
  </si>
  <si>
    <t>E8110C0003</t>
  </si>
  <si>
    <t>HARTMAN HENRY</t>
  </si>
  <si>
    <t>1501 UNDERPASS RD</t>
  </si>
  <si>
    <t>D7080A0010</t>
  </si>
  <si>
    <t>BROOKSHIRE ANDREA J</t>
  </si>
  <si>
    <t>BROOKSHIRE PHILIP E</t>
  </si>
  <si>
    <t>124 CONIFER CT</t>
  </si>
  <si>
    <t>27006-6786</t>
  </si>
  <si>
    <t>I4010A0056</t>
  </si>
  <si>
    <t>NIEDENS EDWARD</t>
  </si>
  <si>
    <t>NIEDENS BETTY</t>
  </si>
  <si>
    <t>159 N WENTWORTH DR</t>
  </si>
  <si>
    <t>D9090C0007</t>
  </si>
  <si>
    <t>FOSSIER CLARENCE H</t>
  </si>
  <si>
    <t>FOSSIER LINDA W</t>
  </si>
  <si>
    <t>134 LAUREL PL</t>
  </si>
  <si>
    <t>27006-8407</t>
  </si>
  <si>
    <t>K5090A000706</t>
  </si>
  <si>
    <t>GOULD MATTHEW A</t>
  </si>
  <si>
    <t>GOULD JESSICA L</t>
  </si>
  <si>
    <t>196 MCCULLOUGH RD</t>
  </si>
  <si>
    <t>C8030A001402</t>
  </si>
  <si>
    <t>VALMAR INVESTMENTS LLC</t>
  </si>
  <si>
    <t>520 ASHBRY RUN</t>
  </si>
  <si>
    <t>27106-9557</t>
  </si>
  <si>
    <t>C8010D0037</t>
  </si>
  <si>
    <t>GOINS CHARLES E JR</t>
  </si>
  <si>
    <t>118 PENDLETON DR</t>
  </si>
  <si>
    <t>F800000025</t>
  </si>
  <si>
    <t>HOUSE FARMERS ARROWHEAD LLC</t>
  </si>
  <si>
    <t>D500000119</t>
  </si>
  <si>
    <t>YNCERA MICHAEL</t>
  </si>
  <si>
    <t>D'AMORE-YNCERA ENZA</t>
  </si>
  <si>
    <t>286 KENNEN KREST RD</t>
  </si>
  <si>
    <t>27028-7717</t>
  </si>
  <si>
    <t>J6050A0012</t>
  </si>
  <si>
    <t>CARTER MARTIN A JR</t>
  </si>
  <si>
    <t>CARTER CHRISTINE T</t>
  </si>
  <si>
    <t>122 PINE VALLEY ROAD</t>
  </si>
  <si>
    <t>B200000028</t>
  </si>
  <si>
    <t>SPEER MARK T</t>
  </si>
  <si>
    <t>SPEER CANDIE J</t>
  </si>
  <si>
    <t>I5160B0027</t>
  </si>
  <si>
    <t>JONES RAESHIKA K</t>
  </si>
  <si>
    <t>5291 NORTHRIDGE DR</t>
  </si>
  <si>
    <t>27105-1790</t>
  </si>
  <si>
    <t>B20000002701</t>
  </si>
  <si>
    <t>173 PAP'S WAY</t>
  </si>
  <si>
    <t>C8010E0056</t>
  </si>
  <si>
    <t>HAGER NICKY FLEETWARD JR</t>
  </si>
  <si>
    <t>HAGER ERIN E</t>
  </si>
  <si>
    <t>269 KILBOURNE DR</t>
  </si>
  <si>
    <t>H4140B0012</t>
  </si>
  <si>
    <t>CASTRO EDUARDO MARTINEZ</t>
  </si>
  <si>
    <t>478 COUNTRY LN</t>
  </si>
  <si>
    <t>27028-8659</t>
  </si>
  <si>
    <t>C20000000503</t>
  </si>
  <si>
    <t>ALLEN BRYSON</t>
  </si>
  <si>
    <t>846 BEN ANDERSON RD</t>
  </si>
  <si>
    <t>C8010E0054</t>
  </si>
  <si>
    <t>DIAZ RICHARD R</t>
  </si>
  <si>
    <t>ALABA GLORYLYN</t>
  </si>
  <si>
    <t>277 KILBOURNE DR</t>
  </si>
  <si>
    <t>B60000001811</t>
  </si>
  <si>
    <t>CHAREST CYNTHIA SMITH</t>
  </si>
  <si>
    <t>CHAREST ROBERT SCOTT</t>
  </si>
  <si>
    <t>234 DEERFIELD DR</t>
  </si>
  <si>
    <t>N5010C0027</t>
  </si>
  <si>
    <t>LINVILLE MICHAEL H</t>
  </si>
  <si>
    <t>27014-0064</t>
  </si>
  <si>
    <t>N600000110</t>
  </si>
  <si>
    <t>C300000031</t>
  </si>
  <si>
    <t>BRELIA MATTHEW DENTON</t>
  </si>
  <si>
    <t>BRELIA SHELLEY LYNN</t>
  </si>
  <si>
    <t>252 BRAMBLEWOOD LN</t>
  </si>
  <si>
    <t>27028-6145</t>
  </si>
  <si>
    <t>I90000001402</t>
  </si>
  <si>
    <t>BURTON IAN ANDERS</t>
  </si>
  <si>
    <t>BURTON KATHERINE IRENE</t>
  </si>
  <si>
    <t>541 BURTON RD</t>
  </si>
  <si>
    <t>27006-7505</t>
  </si>
  <si>
    <t>I90000000803</t>
  </si>
  <si>
    <t>G7030A0004</t>
  </si>
  <si>
    <t>TRANSUE ASHLEY</t>
  </si>
  <si>
    <t>141 CAMDEN CT</t>
  </si>
  <si>
    <t>27006-7884</t>
  </si>
  <si>
    <t>G7050A0004</t>
  </si>
  <si>
    <t>CARTER WILLIAM TILDEN</t>
  </si>
  <si>
    <t>CARTER ELIZABETH</t>
  </si>
  <si>
    <t>133 PRINCETON CT</t>
  </si>
  <si>
    <t>C8010A0054</t>
  </si>
  <si>
    <t>LAYTON SAMUEL M</t>
  </si>
  <si>
    <t>LAYTON ANNE K</t>
  </si>
  <si>
    <t>186 BRIDGEWATER DR</t>
  </si>
  <si>
    <t>D8060B0046</t>
  </si>
  <si>
    <t>HUFFMAN ROBERT EUGENE JR</t>
  </si>
  <si>
    <t>134 BERMUDA RUN DR S</t>
  </si>
  <si>
    <t>27006-8515</t>
  </si>
  <si>
    <t>D9090D0022</t>
  </si>
  <si>
    <t>STANLEY NORRIS EUGENE</t>
  </si>
  <si>
    <t>STANLEY GLORIA COOK</t>
  </si>
  <si>
    <t>109 BAYBERRY PL</t>
  </si>
  <si>
    <t>H4200A0016</t>
  </si>
  <si>
    <t>RICHARDSON ANDREW JOHN</t>
  </si>
  <si>
    <t>218 EDGEWATER COURT</t>
  </si>
  <si>
    <t>H8060A0056</t>
  </si>
  <si>
    <t>COOPER KENT</t>
  </si>
  <si>
    <t>165 COVINGTON DR</t>
  </si>
  <si>
    <t>J4050D0009</t>
  </si>
  <si>
    <t>MARLOW TIFFANY</t>
  </si>
  <si>
    <t>709 S MAIN ST</t>
  </si>
  <si>
    <t>27028-2613</t>
  </si>
  <si>
    <t>B50000004101</t>
  </si>
  <si>
    <t>ARRONA APOLINAR LIRA</t>
  </si>
  <si>
    <t>SALAZAR NORMA YESENIA CHIQUITO</t>
  </si>
  <si>
    <t>318 PINEVILLE RD</t>
  </si>
  <si>
    <t>27028-6241</t>
  </si>
  <si>
    <t>B50000004104</t>
  </si>
  <si>
    <t>H40000000304</t>
  </si>
  <si>
    <t>SPORTSFIELD REAL ESTATE LLC</t>
  </si>
  <si>
    <t>DELHI</t>
  </si>
  <si>
    <t>13753-0231</t>
  </si>
  <si>
    <t>H40000000302</t>
  </si>
  <si>
    <t>C20000000302</t>
  </si>
  <si>
    <t>JENKINS ASHLEY L</t>
  </si>
  <si>
    <t>BAUMMER WILLIAM S</t>
  </si>
  <si>
    <t>748 BEN ANDERSON RD</t>
  </si>
  <si>
    <t>27028-5642</t>
  </si>
  <si>
    <t>D20000001504</t>
  </si>
  <si>
    <t>BROWN CHRISTOPHER CAMERON</t>
  </si>
  <si>
    <t>BROWN OLIVIA ALISON</t>
  </si>
  <si>
    <t>773 BEAR CREEK CHURCH RD</t>
  </si>
  <si>
    <t>K20000004601</t>
  </si>
  <si>
    <t>WILLIAMS JENNIFER LEIGH</t>
  </si>
  <si>
    <t>171 LITTLE CREEK LN</t>
  </si>
  <si>
    <t>27028-8309</t>
  </si>
  <si>
    <t>H800000020</t>
  </si>
  <si>
    <t>CARTER KEITH L</t>
  </si>
  <si>
    <t>CARTER DONNA D</t>
  </si>
  <si>
    <t>D8020A0018</t>
  </si>
  <si>
    <t>TARBET DAVID LAURENCE</t>
  </si>
  <si>
    <t>TARBET ARIANE NOEL</t>
  </si>
  <si>
    <t>157 IVY CIRCLE</t>
  </si>
  <si>
    <t>D20000001503</t>
  </si>
  <si>
    <t>I1120B0004</t>
  </si>
  <si>
    <t>BAKER KYLE DH</t>
  </si>
  <si>
    <t>CARE JENNA</t>
  </si>
  <si>
    <t>110 AUTUMN CT</t>
  </si>
  <si>
    <t>27028-8163</t>
  </si>
  <si>
    <t>I4130D0011</t>
  </si>
  <si>
    <t>TRANSCAROLINA LEASING INC</t>
  </si>
  <si>
    <t>D70000002404</t>
  </si>
  <si>
    <t>IRELAND BROOKE MACKENZIE</t>
  </si>
  <si>
    <t>590 GORDON DR</t>
  </si>
  <si>
    <t>D70000002403</t>
  </si>
  <si>
    <t>G50000000501</t>
  </si>
  <si>
    <t>I5060C0028</t>
  </si>
  <si>
    <t>LITTLE ASHLEY</t>
  </si>
  <si>
    <t>70 WHITNEY RD</t>
  </si>
  <si>
    <t>G200000008</t>
  </si>
  <si>
    <t>EDWARDS MARY</t>
  </si>
  <si>
    <t>249 CHARLESTON RIDGE DR</t>
  </si>
  <si>
    <t>E40000004502</t>
  </si>
  <si>
    <t>GLAZER JOHN W</t>
  </si>
  <si>
    <t>GLAZER PHOEBE</t>
  </si>
  <si>
    <t>324 CLAYTON DR</t>
  </si>
  <si>
    <t>H40000004502</t>
  </si>
  <si>
    <t>SOUKHENKO SERGEY ALEXANDROVICH</t>
  </si>
  <si>
    <t>580 MARTIN LUTHER KING JR RD</t>
  </si>
  <si>
    <t>27028-7783</t>
  </si>
  <si>
    <t>J5150C0003</t>
  </si>
  <si>
    <t>THOMSON ASHLEY</t>
  </si>
  <si>
    <t>126 WOODHAVEN LN</t>
  </si>
  <si>
    <t>27028-4358</t>
  </si>
  <si>
    <t>C300000085</t>
  </si>
  <si>
    <t>MELVIN GERALD</t>
  </si>
  <si>
    <t>MELVIN SUSAN</t>
  </si>
  <si>
    <t>4335 US HIGHWAY 601 N</t>
  </si>
  <si>
    <t>27028-6277</t>
  </si>
  <si>
    <t>D9010A0014</t>
  </si>
  <si>
    <t>BLUE ANITA S</t>
  </si>
  <si>
    <t>133 PEMBROOKE RIDGE CT</t>
  </si>
  <si>
    <t>L40000002602</t>
  </si>
  <si>
    <t>THOMPSON JUSTIN</t>
  </si>
  <si>
    <t>THOMPSON CELLIE</t>
  </si>
  <si>
    <t>E30000006204</t>
  </si>
  <si>
    <t>NOEL DANNY LEE JR</t>
  </si>
  <si>
    <t>727 RICHIE RD</t>
  </si>
  <si>
    <t>D8150A0001</t>
  </si>
  <si>
    <t>BURNS STEPHEN VINCENT</t>
  </si>
  <si>
    <t>BURNS ELLEN MARIE</t>
  </si>
  <si>
    <t>199 JUNIPER CIR</t>
  </si>
  <si>
    <t>L80000000901</t>
  </si>
  <si>
    <t>SMITH MASON DANIEL</t>
  </si>
  <si>
    <t>SMITH LARAE AFTON</t>
  </si>
  <si>
    <t>1704 SLATE RD</t>
  </si>
  <si>
    <t>27284-9768</t>
  </si>
  <si>
    <t>H5150A0017</t>
  </si>
  <si>
    <t>PICKERING JEFFERY J</t>
  </si>
  <si>
    <t>PICKERING MARY F</t>
  </si>
  <si>
    <t>162 DOGWOOD LN</t>
  </si>
  <si>
    <t>27028-2746</t>
  </si>
  <si>
    <t>M600000046</t>
  </si>
  <si>
    <t>TRANSOU LARRY A</t>
  </si>
  <si>
    <t>TRANSOU CHERYL R</t>
  </si>
  <si>
    <t>633 CHERRY HILL RD</t>
  </si>
  <si>
    <t>G9090D0009</t>
  </si>
  <si>
    <t>LANDRETH BRADLEY N</t>
  </si>
  <si>
    <t>LANDRETH JADE A</t>
  </si>
  <si>
    <t>203 PRIMROSE RD</t>
  </si>
  <si>
    <t>27006-7577</t>
  </si>
  <si>
    <t>I5020A0010</t>
  </si>
  <si>
    <t>1349 N MAIN ST</t>
  </si>
  <si>
    <t>J5010D0013</t>
  </si>
  <si>
    <t>LAW EARL W</t>
  </si>
  <si>
    <t>LAW PATRICIA</t>
  </si>
  <si>
    <t>204 CHARLESTON RIDGE DR</t>
  </si>
  <si>
    <t>E900000445</t>
  </si>
  <si>
    <t>DOWD MARY ANN</t>
  </si>
  <si>
    <t>227 SCOTTSDALE DR</t>
  </si>
  <si>
    <t>F500000020</t>
  </si>
  <si>
    <t>C70000008501</t>
  </si>
  <si>
    <t>TOLLA ALICIA</t>
  </si>
  <si>
    <t>792 NC HIGHWAY 801 N</t>
  </si>
  <si>
    <t>27006-7951</t>
  </si>
  <si>
    <t>B7010A0007</t>
  </si>
  <si>
    <t>MITCHELL JASON</t>
  </si>
  <si>
    <t>MITCHELL TERRI</t>
  </si>
  <si>
    <t>187 SERENITY HILLS TRL</t>
  </si>
  <si>
    <t>27006-6646</t>
  </si>
  <si>
    <t>K5060A0025</t>
  </si>
  <si>
    <t>GLASS CHRISTOPHER LEE</t>
  </si>
  <si>
    <t>106 W CHINABERRY CT</t>
  </si>
  <si>
    <t>D7030C0020</t>
  </si>
  <si>
    <t>TRITT DENNIS COLE II</t>
  </si>
  <si>
    <t>TRITT TRACI M</t>
  </si>
  <si>
    <t>218 S CLAYBON DR</t>
  </si>
  <si>
    <t>K5060A0010</t>
  </si>
  <si>
    <t>REASNER DANIEL J</t>
  </si>
  <si>
    <t>REASNER TAMMY</t>
  </si>
  <si>
    <t>130 WALT WILSON ROAD</t>
  </si>
  <si>
    <t>B400000002</t>
  </si>
  <si>
    <t>MONTIETH TONY R TRUSTEE</t>
  </si>
  <si>
    <t>MONTIETH TONY R REV LIV TRUST</t>
  </si>
  <si>
    <t>232 ESSIC RD</t>
  </si>
  <si>
    <t>L5020A0031</t>
  </si>
  <si>
    <t>PENA ALDAIR CERVANTES</t>
  </si>
  <si>
    <t>138 TWIN CEDARS GOLF RD</t>
  </si>
  <si>
    <t>27028-6846</t>
  </si>
  <si>
    <t>N5020A001203</t>
  </si>
  <si>
    <t>FINCHER TAMMY BOWERS</t>
  </si>
  <si>
    <t>FINCHER RICHARD ALLEN</t>
  </si>
  <si>
    <t>1036 PINE RIDGE RD</t>
  </si>
  <si>
    <t>27028-6758</t>
  </si>
  <si>
    <t>D70000002009</t>
  </si>
  <si>
    <t>ATWOOD JUSTIN ANDREW</t>
  </si>
  <si>
    <t>105 SPEER RD</t>
  </si>
  <si>
    <t>27028-4940</t>
  </si>
  <si>
    <t>D30000001802</t>
  </si>
  <si>
    <t>HENDRIX JORDAN</t>
  </si>
  <si>
    <t>391 ELMORE RD</t>
  </si>
  <si>
    <t>K5090A000704</t>
  </si>
  <si>
    <t>FERNANDEZ EVELIN ESTHER</t>
  </si>
  <si>
    <t>180 MCCULLOUGH RD</t>
  </si>
  <si>
    <t>D500000070</t>
  </si>
  <si>
    <t>JUSTICE ANTHONY T</t>
  </si>
  <si>
    <t>1328 FARMINGTON RD</t>
  </si>
  <si>
    <t>27028-7647</t>
  </si>
  <si>
    <t>C7130A0004</t>
  </si>
  <si>
    <t>CALHOUN FRANKIE LEE</t>
  </si>
  <si>
    <t>CALHOUN TONYA LYNETTE</t>
  </si>
  <si>
    <t>137 MCGEE CT</t>
  </si>
  <si>
    <t>E7150A0007</t>
  </si>
  <si>
    <t>REITMEIER JOHN F</t>
  </si>
  <si>
    <t>REITMEIER GEORGIA M</t>
  </si>
  <si>
    <t>124 LIVE OAKS RD</t>
  </si>
  <si>
    <t>C4160A0030</t>
  </si>
  <si>
    <t>WATSON SAM ETHAN</t>
  </si>
  <si>
    <t>WATSON NANCY LOUISE</t>
  </si>
  <si>
    <t>371 BRANGUS WAY</t>
  </si>
  <si>
    <t>27028-4627</t>
  </si>
  <si>
    <t>F10000001217</t>
  </si>
  <si>
    <t>SAFRIT CHRISTOPHER BRADY</t>
  </si>
  <si>
    <t>LAND-SAFRIT SARAH E</t>
  </si>
  <si>
    <t>313 SHEFFIELD FARMS TRL</t>
  </si>
  <si>
    <t>28634-9194</t>
  </si>
  <si>
    <t>E7060B0008</t>
  </si>
  <si>
    <t>PAZ FEYTZHAR</t>
  </si>
  <si>
    <t>PAZ NORA LIZETH</t>
  </si>
  <si>
    <t>112 TIMBER CREEK RD</t>
  </si>
  <si>
    <t>I4110A0026</t>
  </si>
  <si>
    <t>VIOLANTE MA ANGELICA</t>
  </si>
  <si>
    <t>132 MARKLIN AVE</t>
  </si>
  <si>
    <t>27028-2047</t>
  </si>
  <si>
    <t>I400000073</t>
  </si>
  <si>
    <t>BARNEY CHRISTOPHER L</t>
  </si>
  <si>
    <t>BARNEY JESSICA MARIE</t>
  </si>
  <si>
    <t>196 MARLENE ST</t>
  </si>
  <si>
    <t>27028-2000</t>
  </si>
  <si>
    <t>I4010A0059</t>
  </si>
  <si>
    <t>HERNANDEZ CERRATO FRANK DAVID SR</t>
  </si>
  <si>
    <t>HERNANDEZ KARLA ISABEL</t>
  </si>
  <si>
    <t>185 N WENTWORTH DR</t>
  </si>
  <si>
    <t>H8060A0004</t>
  </si>
  <si>
    <t>HALL CRATE DAVID JR</t>
  </si>
  <si>
    <t>HALL LORETTA LYNN</t>
  </si>
  <si>
    <t>128 COVINGTON DR</t>
  </si>
  <si>
    <t>H5150B0016</t>
  </si>
  <si>
    <t>COBLEIGH MICHAEL JAMES</t>
  </si>
  <si>
    <t>COBLEIGH MEGAN MARIE</t>
  </si>
  <si>
    <t>274 ELM ST</t>
  </si>
  <si>
    <t>27028-2774</t>
  </si>
  <si>
    <t>C600000110</t>
  </si>
  <si>
    <t>WHALEY JOHNNY FLETCHER</t>
  </si>
  <si>
    <t>1810 YADKIN VALLEY RD</t>
  </si>
  <si>
    <t>I5010B0022</t>
  </si>
  <si>
    <t>QUINTANILLA MARTHA TREJO</t>
  </si>
  <si>
    <t>QUINTANILLA TREJO LILIAN JANET</t>
  </si>
  <si>
    <t>335 MARTIN LUTHER KING JR RD</t>
  </si>
  <si>
    <t>F100000009</t>
  </si>
  <si>
    <t>BRACKEN JAMES CARL</t>
  </si>
  <si>
    <t>attn: mary phillips</t>
  </si>
  <si>
    <t>3668 TANGLEBROOK TRL</t>
  </si>
  <si>
    <t>I5020B0016</t>
  </si>
  <si>
    <t>ALLEN TYLER JOE</t>
  </si>
  <si>
    <t>1460 N MAIN ST</t>
  </si>
  <si>
    <t>G8140A0039</t>
  </si>
  <si>
    <t>HOOVER LONNIE MICHAEL</t>
  </si>
  <si>
    <t>HOOVER WENDI ANN</t>
  </si>
  <si>
    <t>167 SCOTCH MOSS DRIVE</t>
  </si>
  <si>
    <t>E6110A0010</t>
  </si>
  <si>
    <t>HANNA MICHAEL LEWIS</t>
  </si>
  <si>
    <t>HANNA JENNIFER JONES</t>
  </si>
  <si>
    <t>196 FOX RUN DR</t>
  </si>
  <si>
    <t>C8010A0107</t>
  </si>
  <si>
    <t>PFUNDSTEIN MARK G</t>
  </si>
  <si>
    <t>PFUNDSTEIN DIANE M</t>
  </si>
  <si>
    <t>155 BROOKSTONE DR</t>
  </si>
  <si>
    <t>I5050C0029</t>
  </si>
  <si>
    <t>BAF ASSETS LLC</t>
  </si>
  <si>
    <t>I4120B0001</t>
  </si>
  <si>
    <t>HALL KRISTEN</t>
  </si>
  <si>
    <t>HALL FLOYD</t>
  </si>
  <si>
    <t>579 WILKESBORO ST</t>
  </si>
  <si>
    <t>J20000005102</t>
  </si>
  <si>
    <t>ALVARADO BELTRAN JESUS SERAFIN</t>
  </si>
  <si>
    <t>218 SHADY KNOLL LN</t>
  </si>
  <si>
    <t>E900000413</t>
  </si>
  <si>
    <t>WITHERS JEREMY</t>
  </si>
  <si>
    <t>WITHERS TIFFANY WILLIAMS</t>
  </si>
  <si>
    <t>115 LIGONIER DR</t>
  </si>
  <si>
    <t>J7080B0013</t>
  </si>
  <si>
    <t>LOWERY ROSETTA</t>
  </si>
  <si>
    <t>GARMON CLIFTON</t>
  </si>
  <si>
    <t>159 N HAZELWOOD DR</t>
  </si>
  <si>
    <t>E900000503</t>
  </si>
  <si>
    <t>HOOKER THOMAS ALLEN</t>
  </si>
  <si>
    <t>HOOKER CHRISTINE WILSON</t>
  </si>
  <si>
    <t>124 AUGUSTA CT</t>
  </si>
  <si>
    <t>27006-7338</t>
  </si>
  <si>
    <t>J6060A0008</t>
  </si>
  <si>
    <t>SENECAL THOMAS J</t>
  </si>
  <si>
    <t>186 CEDAR RIDGE RD</t>
  </si>
  <si>
    <t>27028-7120</t>
  </si>
  <si>
    <t>J7080B0008</t>
  </si>
  <si>
    <t>PEAK ANNETTE B</t>
  </si>
  <si>
    <t>107 N HAZELWOOD DR</t>
  </si>
  <si>
    <t>H70000009405</t>
  </si>
  <si>
    <t>HUDDLESTON JOHN S</t>
  </si>
  <si>
    <t>HUDDLESTON KELLY G</t>
  </si>
  <si>
    <t>177 CHEROKEE TRL</t>
  </si>
  <si>
    <t>J70000004901</t>
  </si>
  <si>
    <t>BLAKLEY BETTY MERRELL</t>
  </si>
  <si>
    <t>313 AUBREY MERRELL RD</t>
  </si>
  <si>
    <t>G9090D0001</t>
  </si>
  <si>
    <t>ANDERSON MICHAEL CARLYLE</t>
  </si>
  <si>
    <t>MORETZ JAMES LEE</t>
  </si>
  <si>
    <t>125 PRIMROSE RD</t>
  </si>
  <si>
    <t>B70000004901</t>
  </si>
  <si>
    <t>FARON THOMAS DAVID</t>
  </si>
  <si>
    <t>FARON BRITTANY CASSELL</t>
  </si>
  <si>
    <t>198 JESSE KING RD</t>
  </si>
  <si>
    <t>C8040A0736</t>
  </si>
  <si>
    <t>TURNER BARBARA N</t>
  </si>
  <si>
    <t>FLANAGAN MELISSA</t>
  </si>
  <si>
    <t>192 OLD TOWNE DR</t>
  </si>
  <si>
    <t>E900000715</t>
  </si>
  <si>
    <t>INTERLANDI MICHAEL P</t>
  </si>
  <si>
    <t>INTERLANDI MEGAN</t>
  </si>
  <si>
    <t>209 SAWGRASS DRIVE</t>
  </si>
  <si>
    <t>C8010A0191</t>
  </si>
  <si>
    <t>SCOTT JEFFERY M</t>
  </si>
  <si>
    <t>155 PARKVIEW LN</t>
  </si>
  <si>
    <t>J6050C0009</t>
  </si>
  <si>
    <t>PHILLIPS MARK DANIEL</t>
  </si>
  <si>
    <t>176 HAWTHORNE RD</t>
  </si>
  <si>
    <t>I1120B0017</t>
  </si>
  <si>
    <t>SPIGNER BLAYNE</t>
  </si>
  <si>
    <t>125 OAK LEAF CT</t>
  </si>
  <si>
    <t>27028-8165</t>
  </si>
  <si>
    <t>I500000034</t>
  </si>
  <si>
    <t>MARTIN ROBERT SHAYN</t>
  </si>
  <si>
    <t>MARTIN KIMBERLY BINK</t>
  </si>
  <si>
    <t>135 LOWER BROOK CT</t>
  </si>
  <si>
    <t>27012-7453</t>
  </si>
  <si>
    <t>G8050B002502</t>
  </si>
  <si>
    <t>MARTIN JONATHAN</t>
  </si>
  <si>
    <t>MARTIN KAREN</t>
  </si>
  <si>
    <t>172 UNDERPASS ROAD</t>
  </si>
  <si>
    <t>27006-7520</t>
  </si>
  <si>
    <t>D7010A0001</t>
  </si>
  <si>
    <t>STORCH MELODY E</t>
  </si>
  <si>
    <t>736 REDLAND RD</t>
  </si>
  <si>
    <t>27006-6725</t>
  </si>
  <si>
    <t>G70000010601</t>
  </si>
  <si>
    <t>BODFORD PERRY FRANKLIN</t>
  </si>
  <si>
    <t>BODFORD LAUREN MICHELLE</t>
  </si>
  <si>
    <t>152 IRIS LN</t>
  </si>
  <si>
    <t>M5060B0017</t>
  </si>
  <si>
    <t>MULLIGAN MALLORY</t>
  </si>
  <si>
    <t>OLIVE MARK</t>
  </si>
  <si>
    <t>232 HOBSON DR</t>
  </si>
  <si>
    <t>27028-6665</t>
  </si>
  <si>
    <t>G800000071</t>
  </si>
  <si>
    <t>PATTI BRANDI</t>
  </si>
  <si>
    <t>PATTIE VICTOR</t>
  </si>
  <si>
    <t>149 TAYLOR RD</t>
  </si>
  <si>
    <t>K5090A000705</t>
  </si>
  <si>
    <t>BAUER BARBARA E</t>
  </si>
  <si>
    <t>188 MCCULLOUGH RD</t>
  </si>
  <si>
    <t>N5010B0051</t>
  </si>
  <si>
    <t>HONEYCUTT ROCKY LANE</t>
  </si>
  <si>
    <t>P.O. BOX 5</t>
  </si>
  <si>
    <t>K20000002004</t>
  </si>
  <si>
    <t>BROWN DON W JR</t>
  </si>
  <si>
    <t>311 FOSTER RD</t>
  </si>
  <si>
    <t>K5100A0011</t>
  </si>
  <si>
    <t>MEADOWS CRYSTAL COOK</t>
  </si>
  <si>
    <t>134 NEW FOUND LN</t>
  </si>
  <si>
    <t>27028-5506</t>
  </si>
  <si>
    <t>K5100A001101</t>
  </si>
  <si>
    <t>E900000716</t>
  </si>
  <si>
    <t>CREAMER TODD GERARD</t>
  </si>
  <si>
    <t>SNEED STACY LYNN</t>
  </si>
  <si>
    <t>195 SAWGRASS DR</t>
  </si>
  <si>
    <t>J700000123</t>
  </si>
  <si>
    <t>H8060A0033</t>
  </si>
  <si>
    <t>FREER JOSEPH CLINTON</t>
  </si>
  <si>
    <t>159 S HEMINGWAY CT</t>
  </si>
  <si>
    <t>H30000006801</t>
  </si>
  <si>
    <t>HURD DAYNA L</t>
  </si>
  <si>
    <t>167 SAND CLAY LN</t>
  </si>
  <si>
    <t>27028-8162</t>
  </si>
  <si>
    <t>H5200A0004</t>
  </si>
  <si>
    <t>BURTON BENJAMIN GRAY</t>
  </si>
  <si>
    <t>BURTON ASHTON SWICEGOOD</t>
  </si>
  <si>
    <t>348 RAYMOND ST</t>
  </si>
  <si>
    <t>J700000043</t>
  </si>
  <si>
    <t>LOMELI DAISY</t>
  </si>
  <si>
    <t>RUEDA DAMIAN MARCELINO</t>
  </si>
  <si>
    <t>2598 US HIGHWAY 64 E</t>
  </si>
  <si>
    <t>27028-7420</t>
  </si>
  <si>
    <t>F8020B0036</t>
  </si>
  <si>
    <t>CULLIPHER BRIAN</t>
  </si>
  <si>
    <t>CULLIPHER AMANDA</t>
  </si>
  <si>
    <t>111 N HIGH FIELD RD</t>
  </si>
  <si>
    <t>C8010A0093</t>
  </si>
  <si>
    <t>GENAWAY STEPHEN</t>
  </si>
  <si>
    <t>GENAWAY CHARLENE M</t>
  </si>
  <si>
    <t>150 BROOKSTONE DR</t>
  </si>
  <si>
    <t>D9090B0019</t>
  </si>
  <si>
    <t>SWEETEN JOYCE E</t>
  </si>
  <si>
    <t>189 OLEANDER DR</t>
  </si>
  <si>
    <t>K70000005601</t>
  </si>
  <si>
    <t>GRUBB THOMAS BAXTER</t>
  </si>
  <si>
    <t>4747 NC HIGHWAY 801 S</t>
  </si>
  <si>
    <t>K700000081</t>
  </si>
  <si>
    <t>G3060A0036</t>
  </si>
  <si>
    <t>SHAMS EUSRA</t>
  </si>
  <si>
    <t>WRIGHT CORY</t>
  </si>
  <si>
    <t>211 STONY BROOK TRL</t>
  </si>
  <si>
    <t>27028-4978</t>
  </si>
  <si>
    <t>F80000002805</t>
  </si>
  <si>
    <t>SHELL TONJA</t>
  </si>
  <si>
    <t>348 BEAUCHAMP RD</t>
  </si>
  <si>
    <t>I1110A0020</t>
  </si>
  <si>
    <t>SMOOT BARBARA D</t>
  </si>
  <si>
    <t>200 OAKLAND AVE</t>
  </si>
  <si>
    <t>J20000006314</t>
  </si>
  <si>
    <t>LIVENGOOD JONATHAN W</t>
  </si>
  <si>
    <t>LIVENGOOD JEANNETTE W</t>
  </si>
  <si>
    <t>225 JONES ROAD</t>
  </si>
  <si>
    <t>D7060A0002</t>
  </si>
  <si>
    <t>WHITE ABBY B</t>
  </si>
  <si>
    <t>285 CREEKWOOD DR</t>
  </si>
  <si>
    <t>J4030C0005</t>
  </si>
  <si>
    <t>MILLS GARY ANDREW</t>
  </si>
  <si>
    <t>MILLS MARGARET LOUISE</t>
  </si>
  <si>
    <t>219 MAGNOLIA AVE</t>
  </si>
  <si>
    <t>27028-2911</t>
  </si>
  <si>
    <t>M5020A0007</t>
  </si>
  <si>
    <t>ASMAR GEORGE</t>
  </si>
  <si>
    <t>332 MICHAELS RD</t>
  </si>
  <si>
    <t>C8010A0074</t>
  </si>
  <si>
    <t>HEIDTMANN HENRY G JR</t>
  </si>
  <si>
    <t>HEIDTMANN SUSAN</t>
  </si>
  <si>
    <t>137 PARKVIEW LN</t>
  </si>
  <si>
    <t>I1120B0008</t>
  </si>
  <si>
    <t>DOOLEY LARYN A</t>
  </si>
  <si>
    <t>121 AUTUMN CT</t>
  </si>
  <si>
    <t>E200000023</t>
  </si>
  <si>
    <t>LEDBETTER JESSE R</t>
  </si>
  <si>
    <t>LEDBETTER MINDY SEAMON</t>
  </si>
  <si>
    <t>553 BEAR CREEK CHURCH RD</t>
  </si>
  <si>
    <t>27028-5622</t>
  </si>
  <si>
    <t>J20000006306A</t>
  </si>
  <si>
    <t>J5020A0002</t>
  </si>
  <si>
    <t>MCCOLLUM SUSAN GOODWIN</t>
  </si>
  <si>
    <t>COLEMAN ROBERT M</t>
  </si>
  <si>
    <t>2017 NEELLEY ROAD</t>
  </si>
  <si>
    <t>PLEASANT GARDEN</t>
  </si>
  <si>
    <t>27313-0000</t>
  </si>
  <si>
    <t>J5020A0001</t>
  </si>
  <si>
    <t>H50000001506</t>
  </si>
  <si>
    <t>DUNCAN ROBERT NEAL</t>
  </si>
  <si>
    <t>DUNCAN WENDY WORKMAN</t>
  </si>
  <si>
    <t>1089 COUNTRY LN</t>
  </si>
  <si>
    <t>I5030A0018</t>
  </si>
  <si>
    <t>BOYER RENEE</t>
  </si>
  <si>
    <t>137 ELI AVE</t>
  </si>
  <si>
    <t>I4140A0014</t>
  </si>
  <si>
    <t>WILLIAMS TATUM J</t>
  </si>
  <si>
    <t>ALEXANDER KATY E</t>
  </si>
  <si>
    <t>164 GREY ST</t>
  </si>
  <si>
    <t>D7030B0001</t>
  </si>
  <si>
    <t>BARTON LORNA JEAN</t>
  </si>
  <si>
    <t>147 CREEKWOOD DR</t>
  </si>
  <si>
    <t>H5190A0021</t>
  </si>
  <si>
    <t>MORTON JONATHAN A</t>
  </si>
  <si>
    <t>MORTON DANIELLE J</t>
  </si>
  <si>
    <t>193 S MADERA DR</t>
  </si>
  <si>
    <t>E900000339</t>
  </si>
  <si>
    <t>MCCLURE DAVID P</t>
  </si>
  <si>
    <t>MCCLURE KIMBERLY W</t>
  </si>
  <si>
    <t>553 OAK VALLEY BLVD</t>
  </si>
  <si>
    <t>K50000002804</t>
  </si>
  <si>
    <t>MILLER JENNIFER</t>
  </si>
  <si>
    <t>MILLER JORDAN</t>
  </si>
  <si>
    <t>533 DEADMON RD</t>
  </si>
  <si>
    <t>27028-5143</t>
  </si>
  <si>
    <t>D9010E0007</t>
  </si>
  <si>
    <t>COVINGTON CRAIG J</t>
  </si>
  <si>
    <t>COVINGTON BETTY U</t>
  </si>
  <si>
    <t>172 S RIVER HILL DR</t>
  </si>
  <si>
    <t>I4060C0007</t>
  </si>
  <si>
    <t>TUELL CATHY MARIE</t>
  </si>
  <si>
    <t>880 GARNER ST</t>
  </si>
  <si>
    <t>I5110C0010</t>
  </si>
  <si>
    <t>SLOAN CAROLYN L</t>
  </si>
  <si>
    <t>WATKINS JENNIFER</t>
  </si>
  <si>
    <t>284 MOUNTVIEW DR</t>
  </si>
  <si>
    <t>27028-2837</t>
  </si>
  <si>
    <t>E700000116</t>
  </si>
  <si>
    <t>SHUFFLER KRISTAN CORNATZER</t>
  </si>
  <si>
    <t>3009 ROCK RIDGE PASS</t>
  </si>
  <si>
    <t>28104-8616</t>
  </si>
  <si>
    <t>I5160A0034</t>
  </si>
  <si>
    <t>WILKES ELLIOT B</t>
  </si>
  <si>
    <t>WILKES MARGARET A</t>
  </si>
  <si>
    <t>358 PINE ST</t>
  </si>
  <si>
    <t>27028-2451</t>
  </si>
  <si>
    <t>L300000014</t>
  </si>
  <si>
    <t>PULLEY JIMMIE L</t>
  </si>
  <si>
    <t>PULLEY JOYCE A</t>
  </si>
  <si>
    <t>341 LITTLE EGYPT RD</t>
  </si>
  <si>
    <t>27028-5348</t>
  </si>
  <si>
    <t>K70000000403</t>
  </si>
  <si>
    <t>ANDERSON KYLE S</t>
  </si>
  <si>
    <t>ANDERSON ANGELA N</t>
  </si>
  <si>
    <t>506 JOE RD</t>
  </si>
  <si>
    <t>I300000038</t>
  </si>
  <si>
    <t>PRATT DAVENA ELIZABETH TRUSTEE</t>
  </si>
  <si>
    <t>PRATT DAVENA ELIZ REV LIV TRST</t>
  </si>
  <si>
    <t>6600 GREENLEIGH LN</t>
  </si>
  <si>
    <t>ALEXANDRIA</t>
  </si>
  <si>
    <t>22315-3638</t>
  </si>
  <si>
    <t>C8010D0040</t>
  </si>
  <si>
    <t>GILLIS DONALD G</t>
  </si>
  <si>
    <t>GILLIS ETHEL YEARTY</t>
  </si>
  <si>
    <t>110 PENDLETON DR</t>
  </si>
  <si>
    <t>F300000057</t>
  </si>
  <si>
    <t>BRACKEN MARGARET L</t>
  </si>
  <si>
    <t>322 BOOZIE LN</t>
  </si>
  <si>
    <t>27028-4624</t>
  </si>
  <si>
    <t>I5060C0006</t>
  </si>
  <si>
    <t>JONES MELVIN</t>
  </si>
  <si>
    <t>JONES DORRIS M</t>
  </si>
  <si>
    <t>% TELISCA V PENN</t>
  </si>
  <si>
    <t>4014 FENWORTH CT</t>
  </si>
  <si>
    <t>FORT MILL</t>
  </si>
  <si>
    <t>29715-5562</t>
  </si>
  <si>
    <t>I5060C0008</t>
  </si>
  <si>
    <t>G3060A0007</t>
  </si>
  <si>
    <t>LAMBIASE JENNA</t>
  </si>
  <si>
    <t>PIRK ROBERT</t>
  </si>
  <si>
    <t>244 IJAMES CHURCH RD</t>
  </si>
  <si>
    <t>I5170C0024</t>
  </si>
  <si>
    <t>BOLCATO LOUIS J</t>
  </si>
  <si>
    <t>BOLCATO JOANN</t>
  </si>
  <si>
    <t>138 MILLWRIGHT CT</t>
  </si>
  <si>
    <t>H60000000404</t>
  </si>
  <si>
    <t>JOHNSON NOLAN SETH</t>
  </si>
  <si>
    <t>JOHNSON TIFFANY WALKER</t>
  </si>
  <si>
    <t>123 STONY FIELD TRL</t>
  </si>
  <si>
    <t>27028-4341</t>
  </si>
  <si>
    <t>D9090A0007</t>
  </si>
  <si>
    <t>ROBERTSON LEON S TRUSTEE</t>
  </si>
  <si>
    <t>ROBERTSON NANCY A TRUSTEE</t>
  </si>
  <si>
    <t>117 WILLOWBROOK PL</t>
  </si>
  <si>
    <t>G80000004203</t>
  </si>
  <si>
    <t>MILLS DARLENE ROBERTSON</t>
  </si>
  <si>
    <t>178 FEED MILL ROAD</t>
  </si>
  <si>
    <t>I4050A0020</t>
  </si>
  <si>
    <t>SPRY JOLENE W</t>
  </si>
  <si>
    <t>173 WANDERING LN</t>
  </si>
  <si>
    <t>27028-2025</t>
  </si>
  <si>
    <t>D20000003801</t>
  </si>
  <si>
    <t>WRIGHT THOMAS</t>
  </si>
  <si>
    <t>WRIGHT MEGAN</t>
  </si>
  <si>
    <t>1193 LIBERTY CHURCH RD</t>
  </si>
  <si>
    <t>C70000008502</t>
  </si>
  <si>
    <t>SINK JOHN CHARLES</t>
  </si>
  <si>
    <t>SINK WANDA DUGGINS</t>
  </si>
  <si>
    <t>816 NC HIGHWAY 801 N</t>
  </si>
  <si>
    <t>E60000002401</t>
  </si>
  <si>
    <t>SPILLMAN NICOLE</t>
  </si>
  <si>
    <t>109 FERN HAVEN LN</t>
  </si>
  <si>
    <t>D20000003811</t>
  </si>
  <si>
    <t>MOORE DAVID C IRREV TRST AGREE</t>
  </si>
  <si>
    <t>MOORE DONNA E IRREV TRST AGREE</t>
  </si>
  <si>
    <t>234 MEADOW GLEN LN</t>
  </si>
  <si>
    <t>27028-5883</t>
  </si>
  <si>
    <t>D20000003814</t>
  </si>
  <si>
    <t>J4050C0008</t>
  </si>
  <si>
    <t>SWICEGOOD TRACY KYLE TRSTEE</t>
  </si>
  <si>
    <t>854 VALLEY RD</t>
  </si>
  <si>
    <t>STE 300</t>
  </si>
  <si>
    <t>27028-2942</t>
  </si>
  <si>
    <t>J4050C0010</t>
  </si>
  <si>
    <t>I4070A0005</t>
  </si>
  <si>
    <t>J4050C0007</t>
  </si>
  <si>
    <t>I4070A0006</t>
  </si>
  <si>
    <t>WALL KATHERINE C ETAL</t>
  </si>
  <si>
    <t>854 VALLEY RD STE 100</t>
  </si>
  <si>
    <t>WALL KATHERINE C  ETAL</t>
  </si>
  <si>
    <t>E900000598</t>
  </si>
  <si>
    <t>SCHUPPERT JOHN LARRY</t>
  </si>
  <si>
    <t>SCHUPPERT PEGGY ANN</t>
  </si>
  <si>
    <t>122 W EDEN COURSE DR</t>
  </si>
  <si>
    <t>I4140B0015</t>
  </si>
  <si>
    <t>SWICEGOOD LEWIS FOSTER</t>
  </si>
  <si>
    <t>D20000005002</t>
  </si>
  <si>
    <t>WAGNER JOEL M</t>
  </si>
  <si>
    <t>WAGNER SANDRA H</t>
  </si>
  <si>
    <t>5828 RENA RD</t>
  </si>
  <si>
    <t>H30000008901</t>
  </si>
  <si>
    <t>TOEC EVENTS LLC</t>
  </si>
  <si>
    <t>418 INTERSTATE DR</t>
  </si>
  <si>
    <t>M5100C0009</t>
  </si>
  <si>
    <t>CONDORI JUAN</t>
  </si>
  <si>
    <t>138 SWICEGOOD ST</t>
  </si>
  <si>
    <t>J5090A0005</t>
  </si>
  <si>
    <t>BAILEY CAMILLA ANN ETAL</t>
  </si>
  <si>
    <t>218 EATON RD</t>
  </si>
  <si>
    <t>C700000164</t>
  </si>
  <si>
    <t>801 LAND HOLDINGS LLC</t>
  </si>
  <si>
    <t>300 STRAFFORD RD</t>
  </si>
  <si>
    <t>STE D</t>
  </si>
  <si>
    <t>G3060D0004</t>
  </si>
  <si>
    <t>MOOREFIELD JASON ANDREW</t>
  </si>
  <si>
    <t>MOOREFIELD MELISSA LYNN</t>
  </si>
  <si>
    <t>231 NEBBS TRL</t>
  </si>
  <si>
    <t>D9010E0011</t>
  </si>
  <si>
    <t>GRISETTE ULYSSES III</t>
  </si>
  <si>
    <t>GRISETTE TONYA</t>
  </si>
  <si>
    <t>173 RIVER HILL DR</t>
  </si>
  <si>
    <t>J4140A000101</t>
  </si>
  <si>
    <t>COLONIAL ESTATES INC</t>
  </si>
  <si>
    <t>259 NORTH CAROLINA CIRCLE</t>
  </si>
  <si>
    <t>27028-2531</t>
  </si>
  <si>
    <t>J4140A001401</t>
  </si>
  <si>
    <t>J4140B0137</t>
  </si>
  <si>
    <t>J4140B0001</t>
  </si>
  <si>
    <t>J4140B0054</t>
  </si>
  <si>
    <t>J40000003623</t>
  </si>
  <si>
    <t>J40000003609</t>
  </si>
  <si>
    <t>J40000003624</t>
  </si>
  <si>
    <t>J40000003613</t>
  </si>
  <si>
    <t>J40000003625</t>
  </si>
  <si>
    <t>J40000003612</t>
  </si>
  <si>
    <t>J40000003615</t>
  </si>
  <si>
    <t>J40000003616</t>
  </si>
  <si>
    <t>J40000003620</t>
  </si>
  <si>
    <t>J40000003617</t>
  </si>
  <si>
    <t>J40000003621</t>
  </si>
  <si>
    <t>J40000003622</t>
  </si>
  <si>
    <t>J40000003601</t>
  </si>
  <si>
    <t>J4140B0013</t>
  </si>
  <si>
    <t>J4140B0005</t>
  </si>
  <si>
    <t>J4140B0004</t>
  </si>
  <si>
    <t>J4140B0062</t>
  </si>
  <si>
    <t>J4140B0066</t>
  </si>
  <si>
    <t>D9050B0003</t>
  </si>
  <si>
    <t>MORGAN MOZELLE T</t>
  </si>
  <si>
    <t>MILLS SUE ANN MORGAN</t>
  </si>
  <si>
    <t>7537 LASATER RD</t>
  </si>
  <si>
    <t>I700000073</t>
  </si>
  <si>
    <t>JOHNSON LAWRENCE E</t>
  </si>
  <si>
    <t>JOHNSON DEBRA A</t>
  </si>
  <si>
    <t>149 PAPOOSE TRL</t>
  </si>
  <si>
    <t>B400000019</t>
  </si>
  <si>
    <t>DULL JONATHAN BARNABAS</t>
  </si>
  <si>
    <t>B30000004701</t>
  </si>
  <si>
    <t>STANLEY SHELIA W</t>
  </si>
  <si>
    <t>PO BOX 601</t>
  </si>
  <si>
    <t>27028-0601</t>
  </si>
  <si>
    <t>E900000065</t>
  </si>
  <si>
    <t>JOHNSON MICHAEL THOMAS</t>
  </si>
  <si>
    <t>JOHNSON JENNIFER LAYNE GROUT</t>
  </si>
  <si>
    <t>119 BAYHILL DR</t>
  </si>
  <si>
    <t>G50000001804</t>
  </si>
  <si>
    <t>SCOTT CLYDE E SR</t>
  </si>
  <si>
    <t>SCOTT GLADYS W</t>
  </si>
  <si>
    <t>252 MAIN CHURCH RD</t>
  </si>
  <si>
    <t>F8030A0064</t>
  </si>
  <si>
    <t>MCVEY KYLE</t>
  </si>
  <si>
    <t>MCVEY MELISSA</t>
  </si>
  <si>
    <t>119 TYLER CT</t>
  </si>
  <si>
    <t>H5190A0023</t>
  </si>
  <si>
    <t>BARAD VIJAY M</t>
  </si>
  <si>
    <t>BARAD CHHAYA V</t>
  </si>
  <si>
    <t>177 S MADERA DR</t>
  </si>
  <si>
    <t>C4160A0018</t>
  </si>
  <si>
    <t>TOMLINSON JOHN R</t>
  </si>
  <si>
    <t>TOMLINSON MAGGIE M</t>
  </si>
  <si>
    <t>206 MEADOWLARK LN</t>
  </si>
  <si>
    <t>27028-4965</t>
  </si>
  <si>
    <t>H4130A0069</t>
  </si>
  <si>
    <t>VARGAS DAVID HERNANDEZ</t>
  </si>
  <si>
    <t>MORENO MAYDA K</t>
  </si>
  <si>
    <t>212 SUMMIT DR</t>
  </si>
  <si>
    <t>B400000035</t>
  </si>
  <si>
    <t>MCCLANNON BILLY WAYNE ETAL</t>
  </si>
  <si>
    <t>MCCLANNON DIANA C</t>
  </si>
  <si>
    <t>433 N PINO RD</t>
  </si>
  <si>
    <t>C8010E0057</t>
  </si>
  <si>
    <t>JARED STEPHEN EUGENE</t>
  </si>
  <si>
    <t>JARED JANET LEE</t>
  </si>
  <si>
    <t>265 KILBOURNE DR</t>
  </si>
  <si>
    <t>K5090A000703</t>
  </si>
  <si>
    <t>SAGENDORF ROLAND E</t>
  </si>
  <si>
    <t>CAMPBELL KIMBERLY MARIE</t>
  </si>
  <si>
    <t>176 MCCULLOUGH RD</t>
  </si>
  <si>
    <t>27028-6716</t>
  </si>
  <si>
    <t>I4120B0018</t>
  </si>
  <si>
    <t>YODER REBECCA TAYLOR</t>
  </si>
  <si>
    <t>YODER ANDY A JR</t>
  </si>
  <si>
    <t>529 CHURCH STREET EXT</t>
  </si>
  <si>
    <t>27028-2173</t>
  </si>
  <si>
    <t>E900000313</t>
  </si>
  <si>
    <t>GUEST WILLIAM A</t>
  </si>
  <si>
    <t>GUEST BRENDA S</t>
  </si>
  <si>
    <t>686 OAK VALLEY BLVD</t>
  </si>
  <si>
    <t>L3010A0004</t>
  </si>
  <si>
    <t>SOLIS JENNIFER</t>
  </si>
  <si>
    <t>SOLIS KEINER</t>
  </si>
  <si>
    <t>5627 MISTY HILL CR</t>
  </si>
  <si>
    <t>I5080C0002</t>
  </si>
  <si>
    <t>POOLE MEDINA KORDA</t>
  </si>
  <si>
    <t>POOLE CAROLINE W KORDA</t>
  </si>
  <si>
    <t>1085 N MAIN ST</t>
  </si>
  <si>
    <t>27028-2213</t>
  </si>
  <si>
    <t>N4040A0033</t>
  </si>
  <si>
    <t>BEAUCHAMP JEFFREY GRAY</t>
  </si>
  <si>
    <t>BEAUCHAMP SUSANNAH SELLNER</t>
  </si>
  <si>
    <t>318 CAIN REAVIS RD</t>
  </si>
  <si>
    <t>D7020A0020</t>
  </si>
  <si>
    <t>BROWN CHRISTOPHER R</t>
  </si>
  <si>
    <t>HOLMES SARAH E</t>
  </si>
  <si>
    <t>749 WHITE OAK RD</t>
  </si>
  <si>
    <t>VILAS</t>
  </si>
  <si>
    <t>28692-0000</t>
  </si>
  <si>
    <t>G7040A0055</t>
  </si>
  <si>
    <t>HILL CAYCE ELIZABETH</t>
  </si>
  <si>
    <t>625 S GREEN ST</t>
  </si>
  <si>
    <t>H30000003206</t>
  </si>
  <si>
    <t>STANLEY ZACHARY SPENCER</t>
  </si>
  <si>
    <t>180 POWELL RD</t>
  </si>
  <si>
    <t>H70000001302</t>
  </si>
  <si>
    <t>BRACKEN WILLIAM CHRISTOPHER</t>
  </si>
  <si>
    <t>315 WOODBINE DR</t>
  </si>
  <si>
    <t>E30000010601</t>
  </si>
  <si>
    <t>FERNANDEZ SEAN D</t>
  </si>
  <si>
    <t>1126 WAGNER RD</t>
  </si>
  <si>
    <t>F30000000527</t>
  </si>
  <si>
    <t>CHAPEL MICHAEL J</t>
  </si>
  <si>
    <t>CHAPEL RUTH ELLEN</t>
  </si>
  <si>
    <t>174 PASO FOREST TRL</t>
  </si>
  <si>
    <t>F30000000528</t>
  </si>
  <si>
    <t>F30000000526</t>
  </si>
  <si>
    <t>H600000037</t>
  </si>
  <si>
    <t>SHOAF JAMES A TRUSTEE</t>
  </si>
  <si>
    <t>SHOAF HELEN F TRUSTEE</t>
  </si>
  <si>
    <t>SHOAF LIVING TRUST</t>
  </si>
  <si>
    <t>199 HOWARDTOWN RD</t>
  </si>
  <si>
    <t>H600000034</t>
  </si>
  <si>
    <t>H70000005002</t>
  </si>
  <si>
    <t>GRASKA MICHELLE C</t>
  </si>
  <si>
    <t>GRASKA JEFFREY L</t>
  </si>
  <si>
    <t>124 FALCON LN</t>
  </si>
  <si>
    <t>27028-7219</t>
  </si>
  <si>
    <t>H80000002401</t>
  </si>
  <si>
    <t>CHILDERS PHILIP W</t>
  </si>
  <si>
    <t>CHILDERS BRITTNEY B</t>
  </si>
  <si>
    <t>179 TIMBER RIDGE TRL</t>
  </si>
  <si>
    <t>27006-9131</t>
  </si>
  <si>
    <t>H40000002302</t>
  </si>
  <si>
    <t>SHEETS MARK DOUGLAS</t>
  </si>
  <si>
    <t>5901 MOUNT EAGLE DR APT 1118</t>
  </si>
  <si>
    <t>22303-0000</t>
  </si>
  <si>
    <t>H400000041</t>
  </si>
  <si>
    <t>C8010A0266</t>
  </si>
  <si>
    <t>TSEMAH SHAI</t>
  </si>
  <si>
    <t>TSEMAH ADI HAGAY</t>
  </si>
  <si>
    <t>305CMASTERWOOD WAY</t>
  </si>
  <si>
    <t>G8120B0010</t>
  </si>
  <si>
    <t>LAKEY BETTY MULLIS (99 % INT)</t>
  </si>
  <si>
    <t>WELCH JEFFREY M (1% INT)</t>
  </si>
  <si>
    <t>G20000000302</t>
  </si>
  <si>
    <t>MYERS CRAIG LOUIS</t>
  </si>
  <si>
    <t>MYERS JESSICA DYSON</t>
  </si>
  <si>
    <t>1039 CALAHALN RD</t>
  </si>
  <si>
    <t>27028-8931</t>
  </si>
  <si>
    <t>G200000015</t>
  </si>
  <si>
    <t>G9090B0070</t>
  </si>
  <si>
    <t>MAKDISI JOHN</t>
  </si>
  <si>
    <t>MAKDISI JUNE MARY</t>
  </si>
  <si>
    <t>132 OAK HILL RD</t>
  </si>
  <si>
    <t>27006-2123</t>
  </si>
  <si>
    <t>C30000012405</t>
  </si>
  <si>
    <t>BAUMANN JOSEPH F</t>
  </si>
  <si>
    <t>BAUMANN KAREN ANN</t>
  </si>
  <si>
    <t>150 CROWS NEST LN</t>
  </si>
  <si>
    <t>27028-4767</t>
  </si>
  <si>
    <t>C30000012407</t>
  </si>
  <si>
    <t>G800000074</t>
  </si>
  <si>
    <t>BURNS JEFFREY L</t>
  </si>
  <si>
    <t>115 KEN HOOTS LN</t>
  </si>
  <si>
    <t>H4130A0110</t>
  </si>
  <si>
    <t>BORDNER DOUGLAS E TRUSTEE</t>
  </si>
  <si>
    <t>BORDNER MARGARET A TRUSTEE</t>
  </si>
  <si>
    <t>210 OAK MEADOW LN</t>
  </si>
  <si>
    <t>27028-5508</t>
  </si>
  <si>
    <t>J4140A002501</t>
  </si>
  <si>
    <t>I6140A0051</t>
  </si>
  <si>
    <t>116 LAKEVIEW RD</t>
  </si>
  <si>
    <t>27028-7312</t>
  </si>
  <si>
    <t>G700000040</t>
  </si>
  <si>
    <t>CHAPLIN ALVIN K</t>
  </si>
  <si>
    <t>449 HILLCREST DR</t>
  </si>
  <si>
    <t>I4120E0001</t>
  </si>
  <si>
    <t>CIANCIMINO KRISTINE OLIVIA</t>
  </si>
  <si>
    <t>379 PARK AVE</t>
  </si>
  <si>
    <t>I4050C0008</t>
  </si>
  <si>
    <t>G700000004</t>
  </si>
  <si>
    <t>H700000053</t>
  </si>
  <si>
    <t>G700000044</t>
  </si>
  <si>
    <t>C8010A0408</t>
  </si>
  <si>
    <t>POULOS THEODORE GEORGE</t>
  </si>
  <si>
    <t>N500000026</t>
  </si>
  <si>
    <t>BROWN CHRISTOPHER S</t>
  </si>
  <si>
    <t>BROWN JENNIFER G</t>
  </si>
  <si>
    <t>184 BROADWAY ROAD</t>
  </si>
  <si>
    <t>J200000040</t>
  </si>
  <si>
    <t>WHITAKER ROBERT E ETAL</t>
  </si>
  <si>
    <t>WHITAKER SONJA J</t>
  </si>
  <si>
    <t>241 SCENIC DRIVE</t>
  </si>
  <si>
    <t>E40000004401</t>
  </si>
  <si>
    <t>DEMAREST WILLIAM D</t>
  </si>
  <si>
    <t>DEMAREST ANN H</t>
  </si>
  <si>
    <t>777 COUNTRY CLUB RD</t>
  </si>
  <si>
    <t>MOREHEAD CITY</t>
  </si>
  <si>
    <t>28557-0000</t>
  </si>
  <si>
    <t>D9030A0013</t>
  </si>
  <si>
    <t>MCCLELLAN KRISTOPHER BRIAN</t>
  </si>
  <si>
    <t>MCCLELLAN STACIE SHEA</t>
  </si>
  <si>
    <t>224 JAMES WAY</t>
  </si>
  <si>
    <t>K5030A0004</t>
  </si>
  <si>
    <t>DEVEREAUX MARK D</t>
  </si>
  <si>
    <t>DEVEREAUX AMY J</t>
  </si>
  <si>
    <t>178 DEACON WAY</t>
  </si>
  <si>
    <t>I4150A0999</t>
  </si>
  <si>
    <t>SOUTHERN ROOTS LLC</t>
  </si>
  <si>
    <t>5008 PETERSBURG DR</t>
  </si>
  <si>
    <t>WAXHAW</t>
  </si>
  <si>
    <t>I4110A0022</t>
  </si>
  <si>
    <t>I4110A000601</t>
  </si>
  <si>
    <t>H9070A0029</t>
  </si>
  <si>
    <t>HEDGES SCOTT C</t>
  </si>
  <si>
    <t>HEDGES KIMBERLY PHILLIPS</t>
  </si>
  <si>
    <t>122 IRISHMAN PLACE</t>
  </si>
  <si>
    <t>M500000014</t>
  </si>
  <si>
    <t>LINK WILLIAM DAVID</t>
  </si>
  <si>
    <t>H5150B0013</t>
  </si>
  <si>
    <t>GIBSON WILLIAM DENNIS</t>
  </si>
  <si>
    <t>GIBSON STELLA B</t>
  </si>
  <si>
    <t>167 MOCKINGBIRD LANE</t>
  </si>
  <si>
    <t>H5150B001701</t>
  </si>
  <si>
    <t>H5150B001702</t>
  </si>
  <si>
    <t>H5150B0017</t>
  </si>
  <si>
    <t>G8010B0001</t>
  </si>
  <si>
    <t>DENNISTON MATTHEW RYAN</t>
  </si>
  <si>
    <t>2497 CORNATZER RD</t>
  </si>
  <si>
    <t>C8010E0048</t>
  </si>
  <si>
    <t>PRZYBYLOWICZ JUSTIN BLANE</t>
  </si>
  <si>
    <t>PRZYBYLOWICZ CHRISTINA</t>
  </si>
  <si>
    <t>246 KILBOURNE DR</t>
  </si>
  <si>
    <t>C50000002201</t>
  </si>
  <si>
    <t>SPACH MAX WADE</t>
  </si>
  <si>
    <t>933 BROWNWOOD DR</t>
  </si>
  <si>
    <t>27105-1836</t>
  </si>
  <si>
    <t>C8030A001502</t>
  </si>
  <si>
    <t>CRAVER EMILIE K</t>
  </si>
  <si>
    <t>127 PINEWOOD LN UNIT 102</t>
  </si>
  <si>
    <t>27006-8655</t>
  </si>
  <si>
    <t>M4040A0011</t>
  </si>
  <si>
    <t>HUTCHENS DEBRA SPILLMAN</t>
  </si>
  <si>
    <t>185 LEGION HUT RD</t>
  </si>
  <si>
    <t>27028-5341</t>
  </si>
  <si>
    <t>I4130A0007</t>
  </si>
  <si>
    <t>SCOTT JOSEPH H</t>
  </si>
  <si>
    <t>SCOTT JOYCE PHIPPS</t>
  </si>
  <si>
    <t>296 GWYN ST</t>
  </si>
  <si>
    <t>J7120A0001</t>
  </si>
  <si>
    <t>MOREAU AUSTIN ALBERT</t>
  </si>
  <si>
    <t>MOREAU CHARLOTTE MIRANDA</t>
  </si>
  <si>
    <t>3037 US HIGHWAY 64 E</t>
  </si>
  <si>
    <t>E900000062</t>
  </si>
  <si>
    <t>TILTON RYAN D</t>
  </si>
  <si>
    <t>TILTON LAUREN J</t>
  </si>
  <si>
    <t>109 SUNTREE RD</t>
  </si>
  <si>
    <t>C50000004603</t>
  </si>
  <si>
    <t>LEWIS TIMOTHY J</t>
  </si>
  <si>
    <t>LEWIS AMY L</t>
  </si>
  <si>
    <t>115 HARTMAN LN</t>
  </si>
  <si>
    <t>27028-7669</t>
  </si>
  <si>
    <t>C50000004602</t>
  </si>
  <si>
    <t>G20000001001</t>
  </si>
  <si>
    <t>BECK ANDREW</t>
  </si>
  <si>
    <t>BECK HANNAH</t>
  </si>
  <si>
    <t>128 BEAVER BRANCH TRL</t>
  </si>
  <si>
    <t>D7080A0029</t>
  </si>
  <si>
    <t>MCCANDLESS JEFFREY C</t>
  </si>
  <si>
    <t>MCCANDLESS JULIE J</t>
  </si>
  <si>
    <t>214 LONGWOOD DR</t>
  </si>
  <si>
    <t>D8030A0012</t>
  </si>
  <si>
    <t>SHAVER ROBERT A</t>
  </si>
  <si>
    <t>SHAVER MICHELE W</t>
  </si>
  <si>
    <t>164 BOXWOOD CIRCLE</t>
  </si>
  <si>
    <t>C8010C0011</t>
  </si>
  <si>
    <t>WEEKS BILLY E</t>
  </si>
  <si>
    <t>WEEKS SUZANNE A</t>
  </si>
  <si>
    <t>122 ARCHER DR</t>
  </si>
  <si>
    <t>E9150A0028</t>
  </si>
  <si>
    <t>PROCTOR GREGORY L</t>
  </si>
  <si>
    <t>PROCTOR JAMIE M</t>
  </si>
  <si>
    <t>165 HIDDEN CREEK DRIVE</t>
  </si>
  <si>
    <t>M5070A000601</t>
  </si>
  <si>
    <t>WARWICK JEANNE BOOE</t>
  </si>
  <si>
    <t>WARWICK JOE R JR</t>
  </si>
  <si>
    <t>129 EDGEWOOD CR</t>
  </si>
  <si>
    <t>M5070A0006</t>
  </si>
  <si>
    <t>I20000000604</t>
  </si>
  <si>
    <t>CLARK AMASA J</t>
  </si>
  <si>
    <t>115 GODBEY ACRES LANE</t>
  </si>
  <si>
    <t>D8030A0031</t>
  </si>
  <si>
    <t>FIELDS JOANN MULLEN</t>
  </si>
  <si>
    <t>162 RIVERBEND DRIVE</t>
  </si>
  <si>
    <t>I400000094</t>
  </si>
  <si>
    <t>ROBERTSON &amp; ISENHOUR PROP INC</t>
  </si>
  <si>
    <t>3411 HEALY DR</t>
  </si>
  <si>
    <t>27103-1409</t>
  </si>
  <si>
    <t>F80000003701</t>
  </si>
  <si>
    <t>REDELSHEIMER JOHN R</t>
  </si>
  <si>
    <t>REDELSHEIMER SUZANNAH COURTNEY</t>
  </si>
  <si>
    <t>192 MOCKS CHURCH RD</t>
  </si>
  <si>
    <t>27006-7618</t>
  </si>
  <si>
    <t>D40000001202</t>
  </si>
  <si>
    <t>PLUMMER JOSHUA R</t>
  </si>
  <si>
    <t>MESSER HANNAH I</t>
  </si>
  <si>
    <t>240 LEANNE LN</t>
  </si>
  <si>
    <t>27028-4844</t>
  </si>
  <si>
    <t>G80000001401</t>
  </si>
  <si>
    <t>CORNATZER CONNIE GRAY</t>
  </si>
  <si>
    <t>139 SAM COPE RD</t>
  </si>
  <si>
    <t>L5070A0004</t>
  </si>
  <si>
    <t>LOVELL INEZ HEIRS OF</t>
  </si>
  <si>
    <t>190 GOSHEN BOULEVARD</t>
  </si>
  <si>
    <t>H20000001702</t>
  </si>
  <si>
    <t>CONRAD SABRINA B</t>
  </si>
  <si>
    <t>BARNETTE GREGORY M</t>
  </si>
  <si>
    <t>182 TALWOOD DR</t>
  </si>
  <si>
    <t>H20000001701</t>
  </si>
  <si>
    <t>H20000001703</t>
  </si>
  <si>
    <t>B50000000903</t>
  </si>
  <si>
    <t>DEMAREST WILLIAM</t>
  </si>
  <si>
    <t>DEMAREST HUNTER</t>
  </si>
  <si>
    <t>G30000008403</t>
  </si>
  <si>
    <t>GESIPA FASTENERS USA INC</t>
  </si>
  <si>
    <t>ATTN: JENNIFER HONG</t>
  </si>
  <si>
    <t>1045 SPRING STREET</t>
  </si>
  <si>
    <t>WYOMISSING</t>
  </si>
  <si>
    <t>19610-0000</t>
  </si>
  <si>
    <t>I4150A000101</t>
  </si>
  <si>
    <t>I4050C0001</t>
  </si>
  <si>
    <t>STOUT JEFFREY L</t>
  </si>
  <si>
    <t>STOUT ELSIE H</t>
  </si>
  <si>
    <t>189 WOODPARK DR</t>
  </si>
  <si>
    <t>M4120A0021</t>
  </si>
  <si>
    <t>POOLE CASEY LYNN</t>
  </si>
  <si>
    <t>186 CLARK RD</t>
  </si>
  <si>
    <t>27028-5278</t>
  </si>
  <si>
    <t>H2060A0008</t>
  </si>
  <si>
    <t>HILL SHERRI TURNER</t>
  </si>
  <si>
    <t>470 VANZANT RD</t>
  </si>
  <si>
    <t>E70000011110</t>
  </si>
  <si>
    <t>SELLERS JASON MICHAEL</t>
  </si>
  <si>
    <t>OBRERO-SELLERS JESSABEL NICOLE</t>
  </si>
  <si>
    <t>375 ARMSWORTHY RD</t>
  </si>
  <si>
    <t>27006-7842</t>
  </si>
  <si>
    <t>E900000315</t>
  </si>
  <si>
    <t>FALK MICHAEL R</t>
  </si>
  <si>
    <t>FALK MARY E</t>
  </si>
  <si>
    <t>700 OAK VALLEY BLVD</t>
  </si>
  <si>
    <t>27006-6930</t>
  </si>
  <si>
    <t>C8030A000503</t>
  </si>
  <si>
    <t>COWAN TIFFANY R</t>
  </si>
  <si>
    <t>164 PINEWOOD LN UNIT 103</t>
  </si>
  <si>
    <t>M5060B0023</t>
  </si>
  <si>
    <t>MCCRARY BRITTANY LYNN</t>
  </si>
  <si>
    <t>263 SWICEGOOD RD</t>
  </si>
  <si>
    <t>H4200A0005</t>
  </si>
  <si>
    <t>EAGLE CHRISTOPHER</t>
  </si>
  <si>
    <t>EAGLE ELIZABETH</t>
  </si>
  <si>
    <t>121 SHILOH CT</t>
  </si>
  <si>
    <t>D200000003</t>
  </si>
  <si>
    <t>TOLBERT JEWELL</t>
  </si>
  <si>
    <t>349 BEN ANDERSON RD</t>
  </si>
  <si>
    <t>F80000003703</t>
  </si>
  <si>
    <t>H300000080</t>
  </si>
  <si>
    <t>MAHARAJ VARUN</t>
  </si>
  <si>
    <t>MAHARAJ BRITTANY</t>
  </si>
  <si>
    <t>155 TUTTEROW RD</t>
  </si>
  <si>
    <t>27028-8425</t>
  </si>
  <si>
    <t>I5010B0019</t>
  </si>
  <si>
    <t>SANCHEZ JAZMIN GONZALEZ</t>
  </si>
  <si>
    <t>317 MARTIN LUTHER KING JR RD</t>
  </si>
  <si>
    <t>E40000004603</t>
  </si>
  <si>
    <t>GIAQUINTO KYLE M</t>
  </si>
  <si>
    <t>772 PUDDING RIDGE RD</t>
  </si>
  <si>
    <t>27028-6250</t>
  </si>
  <si>
    <t>G8140A0051</t>
  </si>
  <si>
    <t>ZINAMAN ARTHUR GARRY</t>
  </si>
  <si>
    <t>ZINAMAN TAMERA LEE</t>
  </si>
  <si>
    <t>184 OAKCREST DR</t>
  </si>
  <si>
    <t>J4160A0005</t>
  </si>
  <si>
    <t>GETZ DYLAN J</t>
  </si>
  <si>
    <t>GETZ KELSEY N</t>
  </si>
  <si>
    <t>245 FEEZOR RD</t>
  </si>
  <si>
    <t>27028-4150</t>
  </si>
  <si>
    <t>J4160A0006</t>
  </si>
  <si>
    <t>C50000005710</t>
  </si>
  <si>
    <t>JACKSON JONATHAN</t>
  </si>
  <si>
    <t>JACKSON LISA</t>
  </si>
  <si>
    <t>185 POTTERS RIDGE DR</t>
  </si>
  <si>
    <t>27028-6287</t>
  </si>
  <si>
    <t>F30000009502</t>
  </si>
  <si>
    <t>RORY GROUP LLC</t>
  </si>
  <si>
    <t>20311 CHARTWELL CENTER DR # 851</t>
  </si>
  <si>
    <t>28031-5312</t>
  </si>
  <si>
    <t>J7080B0023</t>
  </si>
  <si>
    <t>BROWN NICOLE WACHTER</t>
  </si>
  <si>
    <t>BROWN JEFFREY ALLEN</t>
  </si>
  <si>
    <t>105 S HAZELWOOD DR</t>
  </si>
  <si>
    <t>C10000000404</t>
  </si>
  <si>
    <t>HALL JAMES ALVAH</t>
  </si>
  <si>
    <t>HALL JODY LYNN</t>
  </si>
  <si>
    <t>686 OLLIE HARKEY ROAD</t>
  </si>
  <si>
    <t>I4120D0033</t>
  </si>
  <si>
    <t>WINTERS DEBORAH H</t>
  </si>
  <si>
    <t>416 PARK AVE</t>
  </si>
  <si>
    <t>I5120A0038</t>
  </si>
  <si>
    <t>GALLEGOS JOSE LUIS BONILLA</t>
  </si>
  <si>
    <t>361 WINDWARD CIR</t>
  </si>
  <si>
    <t>27028-2894</t>
  </si>
  <si>
    <t>E70000016603</t>
  </si>
  <si>
    <t>GARBEE HOWARD EARL</t>
  </si>
  <si>
    <t>GARBEE JOAN VACHRIS</t>
  </si>
  <si>
    <t>386 BINGHAM AND PARKS RD</t>
  </si>
  <si>
    <t>M5070A001001</t>
  </si>
  <si>
    <t>BEAVER GABRIEL D</t>
  </si>
  <si>
    <t>POPE COURTNEY E</t>
  </si>
  <si>
    <t>174 EDGEWOOD CIR</t>
  </si>
  <si>
    <t>I200000016</t>
  </si>
  <si>
    <t>HAMBY GARY H JR</t>
  </si>
  <si>
    <t>150 WOODVALE DR</t>
  </si>
  <si>
    <t>27028-8477</t>
  </si>
  <si>
    <t>E900000440</t>
  </si>
  <si>
    <t>KASTEL LACEY ANN</t>
  </si>
  <si>
    <t>246 SCOTTSDALE DR</t>
  </si>
  <si>
    <t>H4200A0017</t>
  </si>
  <si>
    <t>BOWLES KIRKLIN</t>
  </si>
  <si>
    <t>BOWLES SYDNEE</t>
  </si>
  <si>
    <t>206 EDGEWATER COURT</t>
  </si>
  <si>
    <t>C50000008602</t>
  </si>
  <si>
    <t>BRUEGGEMAN KYLE CODY</t>
  </si>
  <si>
    <t>BRUGGEMAN CLAIRE FELICITY DAVI</t>
  </si>
  <si>
    <t>2070 FARMINGTON RD</t>
  </si>
  <si>
    <t>27028-7654</t>
  </si>
  <si>
    <t>H4140A0009</t>
  </si>
  <si>
    <t>FAVRE LEWIE</t>
  </si>
  <si>
    <t>FAVRE CHELSEA C</t>
  </si>
  <si>
    <t>260 IVY LN</t>
  </si>
  <si>
    <t>27028-8666</t>
  </si>
  <si>
    <t>D20000005001</t>
  </si>
  <si>
    <t>TORRES JENNA LEE DOWELL</t>
  </si>
  <si>
    <t>TORRES JUAN CARLOS</t>
  </si>
  <si>
    <t>881 LIBERTY CHURCH RD</t>
  </si>
  <si>
    <t>27028-5833</t>
  </si>
  <si>
    <t>D7070A0012</t>
  </si>
  <si>
    <t>RODGERS JAMES S JR</t>
  </si>
  <si>
    <t>210 GINNY LN</t>
  </si>
  <si>
    <t>F8020A0021</t>
  </si>
  <si>
    <t>RUSSELL MICHAEL B</t>
  </si>
  <si>
    <t>RUSSELL MAGAN C</t>
  </si>
  <si>
    <t>149 HIGH MEADOWS RD</t>
  </si>
  <si>
    <t>N5010C0010</t>
  </si>
  <si>
    <t>WISHON JAMES F JR</t>
  </si>
  <si>
    <t>PO BOX 277</t>
  </si>
  <si>
    <t>I6140A0032</t>
  </si>
  <si>
    <t>WILLCOX FRANK W</t>
  </si>
  <si>
    <t>WILLCOX PATRICIA A</t>
  </si>
  <si>
    <t>256 LAKEVIEW RD</t>
  </si>
  <si>
    <t>N5020A001201</t>
  </si>
  <si>
    <t>RIDENHOUR WILLIAM REECE</t>
  </si>
  <si>
    <t>320 CLEARBROOK DR</t>
  </si>
  <si>
    <t>28146-9609</t>
  </si>
  <si>
    <t>B3020A0009</t>
  </si>
  <si>
    <t>NICHOLS NANCY</t>
  </si>
  <si>
    <t>119 OLD OAK LN</t>
  </si>
  <si>
    <t>27028-6289</t>
  </si>
  <si>
    <t>C4160A0023</t>
  </si>
  <si>
    <t>PRIDE PATRICIA A</t>
  </si>
  <si>
    <t>PRIDE ROBERT ALLEN</t>
  </si>
  <si>
    <t>300 MEADOWLARK LN</t>
  </si>
  <si>
    <t>27028-4974</t>
  </si>
  <si>
    <t>G7050A0012</t>
  </si>
  <si>
    <t>GUNN FRANCES N</t>
  </si>
  <si>
    <t>154 PRINCETON CT</t>
  </si>
  <si>
    <t>N50000007501</t>
  </si>
  <si>
    <t>HAMILTON RONALD STEPHEN</t>
  </si>
  <si>
    <t>234 TATUM RD</t>
  </si>
  <si>
    <t>27028-6845</t>
  </si>
  <si>
    <t>I4060C000804</t>
  </si>
  <si>
    <t>SAYLOR NICOLE DANIELLE</t>
  </si>
  <si>
    <t>355 WANDERING LN</t>
  </si>
  <si>
    <t>27028-2001</t>
  </si>
  <si>
    <t>J200000010</t>
  </si>
  <si>
    <t>WILSON SHERRY LYNN</t>
  </si>
  <si>
    <t>115 SALEM CHURCH RD</t>
  </si>
  <si>
    <t>27028-8355</t>
  </si>
  <si>
    <t>F80000013402</t>
  </si>
  <si>
    <t>POIRIER DENNIS C</t>
  </si>
  <si>
    <t>POIRIER LAURA</t>
  </si>
  <si>
    <t>156 RIVER BIRCH LN</t>
  </si>
  <si>
    <t>27006-7581</t>
  </si>
  <si>
    <t>G600000023</t>
  </si>
  <si>
    <t>SMITH JOHNNY LYNN</t>
  </si>
  <si>
    <t>SMITH REBECCA</t>
  </si>
  <si>
    <t>468 DULIN RD</t>
  </si>
  <si>
    <t>G7070A0003</t>
  </si>
  <si>
    <t>PEGRAM MARCUS</t>
  </si>
  <si>
    <t>PEGRAM HEATHER</t>
  </si>
  <si>
    <t>1007 SHAMROCK RD</t>
  </si>
  <si>
    <t>27265-1356</t>
  </si>
  <si>
    <t>F7060A0019</t>
  </si>
  <si>
    <t>MORGAN JEREMY R</t>
  </si>
  <si>
    <t>116 CANTON RD</t>
  </si>
  <si>
    <t>E900000402</t>
  </si>
  <si>
    <t>BAILEY BRIAN SCOTT</t>
  </si>
  <si>
    <t>LEONARD CANDICE LEA</t>
  </si>
  <si>
    <t>521 N HIDDENBROOKE DR</t>
  </si>
  <si>
    <t>F400000013</t>
  </si>
  <si>
    <t>KONKEL JOHN E JR</t>
  </si>
  <si>
    <t>KONKEL SUSAN BEVILL</t>
  </si>
  <si>
    <t>1060 CANA RD</t>
  </si>
  <si>
    <t>27028-5708</t>
  </si>
  <si>
    <t>F1030A0007</t>
  </si>
  <si>
    <t>PARKS KENDRIC</t>
  </si>
  <si>
    <t>PARKS ALETHA</t>
  </si>
  <si>
    <t>156 MOLLIE ROAD</t>
  </si>
  <si>
    <t>D700000037</t>
  </si>
  <si>
    <t>27028-7302</t>
  </si>
  <si>
    <t>C50000002806</t>
  </si>
  <si>
    <t>BENGE GARRETT</t>
  </si>
  <si>
    <t>2621 NC HWY N 801</t>
  </si>
  <si>
    <t>J30000002706</t>
  </si>
  <si>
    <t>GREEN LARRY A</t>
  </si>
  <si>
    <t>GREEN DEBRA WOODWARD</t>
  </si>
  <si>
    <t>684 GREENHILL RD</t>
  </si>
  <si>
    <t>D8100C0024</t>
  </si>
  <si>
    <t>GALLINS PROPERTIES LLC</t>
  </si>
  <si>
    <t>4625 COUNTRY CLUB RD</t>
  </si>
  <si>
    <t>27104-3519</t>
  </si>
  <si>
    <t>C8010A0282</t>
  </si>
  <si>
    <t>FOSTER AARON</t>
  </si>
  <si>
    <t>FOSTER LEAH</t>
  </si>
  <si>
    <t>205 N FORKE DR</t>
  </si>
  <si>
    <t>C8010A0125</t>
  </si>
  <si>
    <t>LUCAS MELISSA C</t>
  </si>
  <si>
    <t>105 AVALON ST</t>
  </si>
  <si>
    <t>27006-8601</t>
  </si>
  <si>
    <t>E8020A0014</t>
  </si>
  <si>
    <t>RADCLIFFE KURT</t>
  </si>
  <si>
    <t>205 RAINTREE RD</t>
  </si>
  <si>
    <t>27006-7649</t>
  </si>
  <si>
    <t>E8020A0013</t>
  </si>
  <si>
    <t>F40000000602</t>
  </si>
  <si>
    <t>190 PEPPERSTONE DR</t>
  </si>
  <si>
    <t>C80000000108</t>
  </si>
  <si>
    <t>G8140A0076</t>
  </si>
  <si>
    <t>EPPLEY FRANKLIN CHRISTOPHER</t>
  </si>
  <si>
    <t>EPPLEY JESSICA LYNNE</t>
  </si>
  <si>
    <t>106 OLD HOMEPLACE DR</t>
  </si>
  <si>
    <t>J7080A0002</t>
  </si>
  <si>
    <t>GOINS DEBORAH KAY</t>
  </si>
  <si>
    <t>113 AUBREY MERRELL RD</t>
  </si>
  <si>
    <t>27028-7100</t>
  </si>
  <si>
    <t>D7080A0004</t>
  </si>
  <si>
    <t>WINNER JOAN KATHRYN</t>
  </si>
  <si>
    <t>177 LONGWOOD DR</t>
  </si>
  <si>
    <t>C500000096</t>
  </si>
  <si>
    <t>154 PINE VALLEY RD</t>
  </si>
  <si>
    <t>E5020A0023</t>
  </si>
  <si>
    <t>JONES RAYMOND III</t>
  </si>
  <si>
    <t>JONES MELISSA</t>
  </si>
  <si>
    <t>317 CORNWALLIS DR</t>
  </si>
  <si>
    <t>D80000000606</t>
  </si>
  <si>
    <t>GG&amp;T PROPERTIES LLC</t>
  </si>
  <si>
    <t>1365 WESTGATE CENTER DR</t>
  </si>
  <si>
    <t>SUITE B1</t>
  </si>
  <si>
    <t>E900000682</t>
  </si>
  <si>
    <t>GALLIMORE MARK S</t>
  </si>
  <si>
    <t>GALLIMORE BETSY M</t>
  </si>
  <si>
    <t>430 N HIDDENBROOKE DR</t>
  </si>
  <si>
    <t>I20000000107</t>
  </si>
  <si>
    <t>PEOPLES CREEK PROPERTIES LLC</t>
  </si>
  <si>
    <t>27006-7444</t>
  </si>
  <si>
    <t>G50000008113</t>
  </si>
  <si>
    <t>BRUEGGEN ANDREW</t>
  </si>
  <si>
    <t>BRUEGGEN ASHLEY</t>
  </si>
  <si>
    <t>175 EAGLES LANDING LN</t>
  </si>
  <si>
    <t>F7060A0011</t>
  </si>
  <si>
    <t>PLUMMER GARY K</t>
  </si>
  <si>
    <t>PLUMMER GLORIA T</t>
  </si>
  <si>
    <t>109 CANTON RD</t>
  </si>
  <si>
    <t>K700000061</t>
  </si>
  <si>
    <t>TAYLOR COLBY DARNELL</t>
  </si>
  <si>
    <t>SLOAN SHAN ALEXANDER</t>
  </si>
  <si>
    <t>1071 JOE RD</t>
  </si>
  <si>
    <t>E900000406</t>
  </si>
  <si>
    <t>KEY MICHAEL JONATHAN</t>
  </si>
  <si>
    <t>KEY ERICA B</t>
  </si>
  <si>
    <t>558 N HIDDENBROOKE DR</t>
  </si>
  <si>
    <t>D80000000605</t>
  </si>
  <si>
    <t>D10000001901</t>
  </si>
  <si>
    <t>FORD JONATHAN ANDREW</t>
  </si>
  <si>
    <t>FORD KIMBERLY L</t>
  </si>
  <si>
    <t>1296 BEAR CREEK CHURCH RD</t>
  </si>
  <si>
    <t>27028-5629</t>
  </si>
  <si>
    <t>D30000005201</t>
  </si>
  <si>
    <t>BURKE GEORGE W III</t>
  </si>
  <si>
    <t>BURKE TRACY L</t>
  </si>
  <si>
    <t>1035 EATONS CHURCH RD</t>
  </si>
  <si>
    <t>C8010C0022</t>
  </si>
  <si>
    <t>SUBRAMANIAN BHARATHI</t>
  </si>
  <si>
    <t>BHARATHI RAJESWARI</t>
  </si>
  <si>
    <t>301 KILBOURNE DR</t>
  </si>
  <si>
    <t>C8030A000201</t>
  </si>
  <si>
    <t>WILLIAMS MARY POND</t>
  </si>
  <si>
    <t>140 PINEWOOD LN UNIT 101</t>
  </si>
  <si>
    <t>27006-8635</t>
  </si>
  <si>
    <t>F900000016</t>
  </si>
  <si>
    <t>MYERS SHAWN T</t>
  </si>
  <si>
    <t>397 VOGLER RD</t>
  </si>
  <si>
    <t>27006-7545</t>
  </si>
  <si>
    <t>E8110C0026</t>
  </si>
  <si>
    <t>JORDAN KELLY ROBERTS</t>
  </si>
  <si>
    <t>164 WESTRIDGE RD</t>
  </si>
  <si>
    <t>27006-7622</t>
  </si>
  <si>
    <t>E200000028</t>
  </si>
  <si>
    <t>MILLER FREDERICK A</t>
  </si>
  <si>
    <t>305 BEAR CREEK CHURCH RD</t>
  </si>
  <si>
    <t>27028-5620</t>
  </si>
  <si>
    <t>E300000077</t>
  </si>
  <si>
    <t>154 HOBBY HORSE LN</t>
  </si>
  <si>
    <t>27028-4806</t>
  </si>
  <si>
    <t>G90000000902</t>
  </si>
  <si>
    <t>BARNEY ROMMIE LEE</t>
  </si>
  <si>
    <t>BARNEY CATHY M</t>
  </si>
  <si>
    <t>1001 PEOPLES CREEK ROAD</t>
  </si>
  <si>
    <t>H900000004</t>
  </si>
  <si>
    <t>E70000000104</t>
  </si>
  <si>
    <t>WARD JAMES</t>
  </si>
  <si>
    <t>WARD VIRGINIA</t>
  </si>
  <si>
    <t>140 IRISH LN</t>
  </si>
  <si>
    <t>27028-7713</t>
  </si>
  <si>
    <t>E8110C0025</t>
  </si>
  <si>
    <t>ROBINSON JAMES RYAN</t>
  </si>
  <si>
    <t>174 WESTRIDGE RD</t>
  </si>
  <si>
    <t>E200000011</t>
  </si>
  <si>
    <t>HEDRICK OTIS RAY</t>
  </si>
  <si>
    <t>653 DUKE WHITTAKER RD</t>
  </si>
  <si>
    <t>27028-5745</t>
  </si>
  <si>
    <t>C8010A0171</t>
  </si>
  <si>
    <t>CARTER JILL KRISTIN</t>
  </si>
  <si>
    <t>137 TOWN PARK DR</t>
  </si>
  <si>
    <t>E9150B0014</t>
  </si>
  <si>
    <t>WILEY C MARK</t>
  </si>
  <si>
    <t>WILEY JODI R</t>
  </si>
  <si>
    <t>169 ORCHARD PARK DR</t>
  </si>
  <si>
    <t>B300000002</t>
  </si>
  <si>
    <t>PHILLIPS SEAN</t>
  </si>
  <si>
    <t>PHILLIPS TAMARA</t>
  </si>
  <si>
    <t>5376 US HIGHWAY 601 N</t>
  </si>
  <si>
    <t>F7120B0009</t>
  </si>
  <si>
    <t>HOLCOMB CHASE C</t>
  </si>
  <si>
    <t>HOLCOMB JENNIE MARIE</t>
  </si>
  <si>
    <t>276 MONTCLAIR DR</t>
  </si>
  <si>
    <t>I5070B0008</t>
  </si>
  <si>
    <t>CARTER HAYLEY ANNETTE</t>
  </si>
  <si>
    <t>5144 HARTLEY DR</t>
  </si>
  <si>
    <t>27018-8778</t>
  </si>
  <si>
    <t>C700000125</t>
  </si>
  <si>
    <t>BOYER RANDY WAYNE</t>
  </si>
  <si>
    <t>BOYER JANICE DOUTHIT</t>
  </si>
  <si>
    <t>907 YADKIN VALLEY RD</t>
  </si>
  <si>
    <t>C700000126</t>
  </si>
  <si>
    <t>C70000016101</t>
  </si>
  <si>
    <t>B700000096</t>
  </si>
  <si>
    <t>C700000124</t>
  </si>
  <si>
    <t>I50000002601</t>
  </si>
  <si>
    <t>MADEJA GEORGE E</t>
  </si>
  <si>
    <t>MADEJA TAMARA LYNN</t>
  </si>
  <si>
    <t>1087 MILLING ROAD</t>
  </si>
  <si>
    <t>F60000000601</t>
  </si>
  <si>
    <t>BROWN DAVID L</t>
  </si>
  <si>
    <t>BROWN DANIELLE H</t>
  </si>
  <si>
    <t>27028-7625</t>
  </si>
  <si>
    <t>J6100A0022</t>
  </si>
  <si>
    <t>GREGERSON-WATTS KELLY</t>
  </si>
  <si>
    <t>128 N LAKE LOUISE DR</t>
  </si>
  <si>
    <t>F600000065</t>
  </si>
  <si>
    <t>SALAZAR JAMES CONRAD</t>
  </si>
  <si>
    <t>SMITH KERI LYNN</t>
  </si>
  <si>
    <t>3368 US HIGHWAY 158</t>
  </si>
  <si>
    <t>I4010A0064</t>
  </si>
  <si>
    <t>CAMPBELL ROBERT L</t>
  </si>
  <si>
    <t>CAMPBELL KATHERINE L</t>
  </si>
  <si>
    <t>160 N WENTWORTH DR</t>
  </si>
  <si>
    <t>G800000227</t>
  </si>
  <si>
    <t>COE BENJAMIN NICHOLAS</t>
  </si>
  <si>
    <t>COE MADISON HINSHAW</t>
  </si>
  <si>
    <t>177 RABBIT FARM TRL</t>
  </si>
  <si>
    <t>27006-7326</t>
  </si>
  <si>
    <t>D9020A0019</t>
  </si>
  <si>
    <t>KRULL JOINT REV TRUST</t>
  </si>
  <si>
    <t>452 BING CROSBY BLVD</t>
  </si>
  <si>
    <t>C8010A0238</t>
  </si>
  <si>
    <t>WILLIAM &amp; KATHLEEN HANSEN LIV</t>
  </si>
  <si>
    <t>116 MILLSTONE LANE</t>
  </si>
  <si>
    <t>D8070C0007</t>
  </si>
  <si>
    <t>DARNELL JOHN H</t>
  </si>
  <si>
    <t>DARNELL ALICIA W</t>
  </si>
  <si>
    <t>1035 RIVERBEND DR</t>
  </si>
  <si>
    <t>D700000179</t>
  </si>
  <si>
    <t>WOOD GRANT JAMES</t>
  </si>
  <si>
    <t>134 SHADY LN</t>
  </si>
  <si>
    <t>F8020B0031</t>
  </si>
  <si>
    <t>TURNER SHARON S</t>
  </si>
  <si>
    <t>117 S HIGH FIELD RD</t>
  </si>
  <si>
    <t>K400000014</t>
  </si>
  <si>
    <t>HARDISON METHODIST CHURCH INC</t>
  </si>
  <si>
    <t>PO BOX 157</t>
  </si>
  <si>
    <t>27014-0157</t>
  </si>
  <si>
    <t>E40000004404</t>
  </si>
  <si>
    <t>LOGAN ANN ELIZABETH N ETAL</t>
  </si>
  <si>
    <t>144 CLAYTON DRIVE</t>
  </si>
  <si>
    <t>J5150C0002</t>
  </si>
  <si>
    <t>J4060D0003</t>
  </si>
  <si>
    <t>SISLER RAYMOND W III\LEIGHANN</t>
  </si>
  <si>
    <t>SISLER BRENDA</t>
  </si>
  <si>
    <t>110 BIRCHWOOD LN</t>
  </si>
  <si>
    <t>E900000383</t>
  </si>
  <si>
    <t>MERZ MICHAEL</t>
  </si>
  <si>
    <t>MERZ BRITTANY SIMPSON</t>
  </si>
  <si>
    <t>222 BROADMOOR DR</t>
  </si>
  <si>
    <t>D600000029</t>
  </si>
  <si>
    <t>HANELINE MATTHEW RYAN</t>
  </si>
  <si>
    <t>HIPP MARY KATHERINE</t>
  </si>
  <si>
    <t>857 RAINBOW RD</t>
  </si>
  <si>
    <t>27006-6714</t>
  </si>
  <si>
    <t>E900000404</t>
  </si>
  <si>
    <t>BOGER KEVIN ALEXANDER</t>
  </si>
  <si>
    <t>BOGER RACHEL LEIGH</t>
  </si>
  <si>
    <t>546 N HIDDENBROOKE DR</t>
  </si>
  <si>
    <t>F80000002211</t>
  </si>
  <si>
    <t>WYATT JASON K</t>
  </si>
  <si>
    <t>WYATT MADISON SHINN</t>
  </si>
  <si>
    <t>195 LANTERN DR</t>
  </si>
  <si>
    <t>F8030A0011</t>
  </si>
  <si>
    <t>JAMES DERRICK P</t>
  </si>
  <si>
    <t>JAMES AMANDA I</t>
  </si>
  <si>
    <t>187 ESSEX FARM RD</t>
  </si>
  <si>
    <t>E900000066</t>
  </si>
  <si>
    <t>BUNDY MARCUS PERRY JR</t>
  </si>
  <si>
    <t>127 BAYHILL DR</t>
  </si>
  <si>
    <t>D8070A0048</t>
  </si>
  <si>
    <t>WOOD AUSTIN QUINN</t>
  </si>
  <si>
    <t>WOOD HANNAH CAMPBELL</t>
  </si>
  <si>
    <t>183 GOLFVIEW DR</t>
  </si>
  <si>
    <t>J7080A0004</t>
  </si>
  <si>
    <t>HUNTER INA B</t>
  </si>
  <si>
    <t>119 AUBREY MERRELL RD</t>
  </si>
  <si>
    <t>D30000003501</t>
  </si>
  <si>
    <t>FEAGANES JENNIFER J</t>
  </si>
  <si>
    <t>4271 US HIGHWAY 601 N</t>
  </si>
  <si>
    <t>27028-6276</t>
  </si>
  <si>
    <t>I4130A0016</t>
  </si>
  <si>
    <t>SANDERS KIMBERLY LYNN</t>
  </si>
  <si>
    <t>241 AVON ST</t>
  </si>
  <si>
    <t>27028-2303</t>
  </si>
  <si>
    <t>E7060A0003</t>
  </si>
  <si>
    <t>MORGAN DAVID J</t>
  </si>
  <si>
    <t>MORGAN JOY C</t>
  </si>
  <si>
    <t>137 WINCHESTER RD</t>
  </si>
  <si>
    <t>E9150B0015</t>
  </si>
  <si>
    <t>ORSINI RICHARD L</t>
  </si>
  <si>
    <t>ORSINI GAYE R</t>
  </si>
  <si>
    <t>161 ORCHARD PARK DR</t>
  </si>
  <si>
    <t>D300000035  A</t>
  </si>
  <si>
    <t>L5090B0007</t>
  </si>
  <si>
    <t>PITTS DWIGHT ROY JR</t>
  </si>
  <si>
    <t>263 GLADSTONE RD</t>
  </si>
  <si>
    <t>J4120A0006</t>
  </si>
  <si>
    <t>ENERGY UNITED ELECTRIC</t>
  </si>
  <si>
    <t>28687-1831</t>
  </si>
  <si>
    <t>I300000019</t>
  </si>
  <si>
    <t>1540 SILAS CREEK PKWY</t>
  </si>
  <si>
    <t>27127-3758</t>
  </si>
  <si>
    <t>G40000004913</t>
  </si>
  <si>
    <t>KOTLOWSKI BARBARA</t>
  </si>
  <si>
    <t>KOTLOWSKI BRYAN</t>
  </si>
  <si>
    <t>388 WILLOW CREEK LN</t>
  </si>
  <si>
    <t>C8010C0023</t>
  </si>
  <si>
    <t>VLAHOS PENELOPE</t>
  </si>
  <si>
    <t>ABSHER MARK LEWIS</t>
  </si>
  <si>
    <t>313 TOWN PARK DR</t>
  </si>
  <si>
    <t>G70000001302</t>
  </si>
  <si>
    <t>SHAVER KRISTLE</t>
  </si>
  <si>
    <t>H30000009702</t>
  </si>
  <si>
    <t>J400000061</t>
  </si>
  <si>
    <t>J10000002911</t>
  </si>
  <si>
    <t>C50000002101</t>
  </si>
  <si>
    <t>NEWBERRY PARKER</t>
  </si>
  <si>
    <t>NEWBERRY CANDACE</t>
  </si>
  <si>
    <t>5519 MISTY HILL CIR</t>
  </si>
  <si>
    <t>27012-9740</t>
  </si>
  <si>
    <t>J4040D000101</t>
  </si>
  <si>
    <t>STARKEY CRISTA LEE</t>
  </si>
  <si>
    <t>141 E LEXINGTON RD</t>
  </si>
  <si>
    <t>27028-2635</t>
  </si>
  <si>
    <t>K30000000104</t>
  </si>
  <si>
    <t>KOONTZ CALEB MARSHALL</t>
  </si>
  <si>
    <t>ETTER BILLY JACKSON</t>
  </si>
  <si>
    <t>1364 DAVIE ACADEMY RD</t>
  </si>
  <si>
    <t>G8010D0012</t>
  </si>
  <si>
    <t>ROBERTSON REGINALD D</t>
  </si>
  <si>
    <t>ROBERTSON REBECCA B</t>
  </si>
  <si>
    <t>8460 LISMORE STREET</t>
  </si>
  <si>
    <t>M400000036</t>
  </si>
  <si>
    <t>WAGNER JOHN RICHARD</t>
  </si>
  <si>
    <t>SPALLER LAURA FAYE WAGNER</t>
  </si>
  <si>
    <t>BREMEN</t>
  </si>
  <si>
    <t>30110-0000</t>
  </si>
  <si>
    <t>M5070A0008</t>
  </si>
  <si>
    <t>LINVILLE ROY E</t>
  </si>
  <si>
    <t>LINVILLE SUSAN S</t>
  </si>
  <si>
    <t>7379 NC HIGHWAY 801 SOUTH</t>
  </si>
  <si>
    <t>I1110A0032</t>
  </si>
  <si>
    <t>MCGUIRE BUILDING COMPANY LLC</t>
  </si>
  <si>
    <t>27012-1716</t>
  </si>
  <si>
    <t>C500000017</t>
  </si>
  <si>
    <t>BROCK WILLIAM FRANKLIN JR</t>
  </si>
  <si>
    <t>BROCK ANGELA CECILE</t>
  </si>
  <si>
    <t>2248 FARMINGTON RD</t>
  </si>
  <si>
    <t>C500000060</t>
  </si>
  <si>
    <t>G7010A0004</t>
  </si>
  <si>
    <t>MYDOSH JOSEPH MCCOY</t>
  </si>
  <si>
    <t>MYDOSH ANDREA CHRISTINE</t>
  </si>
  <si>
    <t>170 BALTIMORE DOWNS RD</t>
  </si>
  <si>
    <t>E900000536</t>
  </si>
  <si>
    <t>KIGER JERRY T</t>
  </si>
  <si>
    <t>KIGER AMY L</t>
  </si>
  <si>
    <t>229 N HIDDENBROOKE DR</t>
  </si>
  <si>
    <t>E10000001801</t>
  </si>
  <si>
    <t>CARTNER JESS THOMAS</t>
  </si>
  <si>
    <t>464 TURKEY FOOT RD</t>
  </si>
  <si>
    <t>I1110A0001</t>
  </si>
  <si>
    <t>M400000020</t>
  </si>
  <si>
    <t>WEST JESSICA</t>
  </si>
  <si>
    <t>1526 JUNCTION RD</t>
  </si>
  <si>
    <t>27028-5328</t>
  </si>
  <si>
    <t>H4180A0016</t>
  </si>
  <si>
    <t>SHREAD GEORGE A</t>
  </si>
  <si>
    <t>SHREAD GENEVA L</t>
  </si>
  <si>
    <t>143 STERLING DR</t>
  </si>
  <si>
    <t>H5170A0014</t>
  </si>
  <si>
    <t>JOYCE TERRENCE J III</t>
  </si>
  <si>
    <t>JOYCE SARAH ELIZABETH</t>
  </si>
  <si>
    <t>140 CANYON RD</t>
  </si>
  <si>
    <t>I80000004501</t>
  </si>
  <si>
    <t>HATCHER SCOTT</t>
  </si>
  <si>
    <t>HATCHER CHRISTY</t>
  </si>
  <si>
    <t>3305 NC HIGHWAY 801 S</t>
  </si>
  <si>
    <t>J500000017</t>
  </si>
  <si>
    <t>HURST BRIAN T</t>
  </si>
  <si>
    <t>HURST STEPHANIE S</t>
  </si>
  <si>
    <t>1288 US HIGHWAY 64 E</t>
  </si>
  <si>
    <t>G800000211</t>
  </si>
  <si>
    <t>JAMIE WENDY S</t>
  </si>
  <si>
    <t>JAMIE SCOTT F</t>
  </si>
  <si>
    <t>512 RABBIT FARM TRL</t>
  </si>
  <si>
    <t>27006-7324</t>
  </si>
  <si>
    <t>G30000000209</t>
  </si>
  <si>
    <t>DRAUGHN BRETT C</t>
  </si>
  <si>
    <t>DRAUGHN JACEY RUSSELL</t>
  </si>
  <si>
    <t>263 WAGNER RD</t>
  </si>
  <si>
    <t>27028-4953</t>
  </si>
  <si>
    <t>D8060B0019</t>
  </si>
  <si>
    <t>G&amp;G111111,LLC</t>
  </si>
  <si>
    <t>353 JONESTOWN RD # 310</t>
  </si>
  <si>
    <t>27104-4620</t>
  </si>
  <si>
    <t>J7080B0026</t>
  </si>
  <si>
    <t>LUMLEY WILLIAM K</t>
  </si>
  <si>
    <t>LUMLEY KATHRYN A</t>
  </si>
  <si>
    <t>133 S HAZELWOOD DR</t>
  </si>
  <si>
    <t>L5020A0016</t>
  </si>
  <si>
    <t>BALLARD JOSHUA DREW</t>
  </si>
  <si>
    <t>NIXON HEATHER</t>
  </si>
  <si>
    <t>179 TWIN CEDARS GOLF RD</t>
  </si>
  <si>
    <t>M4130B0027</t>
  </si>
  <si>
    <t>TOWN OF COOLEEMEE</t>
  </si>
  <si>
    <t>27014-1080</t>
  </si>
  <si>
    <t>N4040A0004</t>
  </si>
  <si>
    <t>N4040A0010</t>
  </si>
  <si>
    <t>N5010B0044</t>
  </si>
  <si>
    <t>SALISBURY VALENCIA</t>
  </si>
  <si>
    <t>PO BOX 164</t>
  </si>
  <si>
    <t>27014-0164</t>
  </si>
  <si>
    <t>L50000009901</t>
  </si>
  <si>
    <t>STUMPF DAVID</t>
  </si>
  <si>
    <t>HILL KATHY RINEHART</t>
  </si>
  <si>
    <t>348 FAIRFIELD RD</t>
  </si>
  <si>
    <t>27028-5212</t>
  </si>
  <si>
    <t>G700000133  A</t>
  </si>
  <si>
    <t>COOPER NORBERT JR</t>
  </si>
  <si>
    <t>COOPER KIMBERLY</t>
  </si>
  <si>
    <t>415 ERNEST LAMBETH RD</t>
  </si>
  <si>
    <t>27107-8691</t>
  </si>
  <si>
    <t>C8040A0735</t>
  </si>
  <si>
    <t>SPYCHALSKI CHESTER A</t>
  </si>
  <si>
    <t>190 OLD TOWNE DR</t>
  </si>
  <si>
    <t>C80000000111</t>
  </si>
  <si>
    <t>FALLS B KEITH</t>
  </si>
  <si>
    <t>FALLS SHEILA MAY</t>
  </si>
  <si>
    <t>334 YADKIN VALLEY RD</t>
  </si>
  <si>
    <t>I30000002001</t>
  </si>
  <si>
    <t>H8060A0016</t>
  </si>
  <si>
    <t>SEREIKA JOSEPH C</t>
  </si>
  <si>
    <t>SEREIKA RITA L</t>
  </si>
  <si>
    <t>282 COVINGTON DR</t>
  </si>
  <si>
    <t>D9090E0012</t>
  </si>
  <si>
    <t>GALLINS KISER LLC</t>
  </si>
  <si>
    <t>G4090A0012</t>
  </si>
  <si>
    <t>WILLARD JOHNNY PAUL</t>
  </si>
  <si>
    <t>791 MAIN CHURCH ROAD</t>
  </si>
  <si>
    <t>I600000038</t>
  </si>
  <si>
    <t>KOONTZ JAMES L</t>
  </si>
  <si>
    <t>765 CORNATZER RD</t>
  </si>
  <si>
    <t>H5190A0040</t>
  </si>
  <si>
    <t>LEMMERMAN RICHARD C</t>
  </si>
  <si>
    <t>LEMMERMAN MELISSA R</t>
  </si>
  <si>
    <t>107 CHANDLER DR</t>
  </si>
  <si>
    <t>I5070C0004</t>
  </si>
  <si>
    <t>MYERS CAMERON D</t>
  </si>
  <si>
    <t>384 MILLING RD</t>
  </si>
  <si>
    <t>K200000046</t>
  </si>
  <si>
    <t>WILLIAMS THOMAS LEO</t>
  </si>
  <si>
    <t>179 LITTLE CREEK LANE</t>
  </si>
  <si>
    <t>C500000059</t>
  </si>
  <si>
    <t>D9030A0025</t>
  </si>
  <si>
    <t>SANDELL MICHELE M</t>
  </si>
  <si>
    <t>310 JAMES WAY</t>
  </si>
  <si>
    <t>C8010B0341</t>
  </si>
  <si>
    <t>BRANNON JENNIFER LYNN</t>
  </si>
  <si>
    <t>BRANNON ANSON T</t>
  </si>
  <si>
    <t>199 KILBOURNE DR</t>
  </si>
  <si>
    <t>G8130A0009</t>
  </si>
  <si>
    <t>BRACKEN SCOTT</t>
  </si>
  <si>
    <t>BRACKEN ALISHA</t>
  </si>
  <si>
    <t>4365 GLENMORE CREEK DRIVE</t>
  </si>
  <si>
    <t>C30000009501</t>
  </si>
  <si>
    <t>SHOAF WONDUEN</t>
  </si>
  <si>
    <t>D8150A0007</t>
  </si>
  <si>
    <t>LOGIE DENE E</t>
  </si>
  <si>
    <t>LOGIE JAMES ALLAN</t>
  </si>
  <si>
    <t>198 JUNIPER CIR</t>
  </si>
  <si>
    <t>J6100A0003</t>
  </si>
  <si>
    <t>BOUK DIANE L</t>
  </si>
  <si>
    <t>119 N LAKE LOUISE DR</t>
  </si>
  <si>
    <t>G700000027</t>
  </si>
  <si>
    <t>ALLEN JEREMY D</t>
  </si>
  <si>
    <t>169 SPRY LN</t>
  </si>
  <si>
    <t>C8010B0403</t>
  </si>
  <si>
    <t>WINFREY BRIAN C</t>
  </si>
  <si>
    <t>WINFREY MARY ANNA</t>
  </si>
  <si>
    <t>122 GLENMOOR AVENUE</t>
  </si>
  <si>
    <t>G4090A0009</t>
  </si>
  <si>
    <t>D8110A0006</t>
  </si>
  <si>
    <t>TYNDELL BRANDON</t>
  </si>
  <si>
    <t>467 RIVERBEND DRIVE</t>
  </si>
  <si>
    <t>C8010A0211</t>
  </si>
  <si>
    <t>PARMAN RICKEY DALE</t>
  </si>
  <si>
    <t>158 N FORKE DR</t>
  </si>
  <si>
    <t>I40000007401</t>
  </si>
  <si>
    <t>S &amp; M PROPERTIES OF DAVIE LLC</t>
  </si>
  <si>
    <t>155 BOOTLEG ALY</t>
  </si>
  <si>
    <t>I4110A0028</t>
  </si>
  <si>
    <t>E600000091  A</t>
  </si>
  <si>
    <t>SMITH GROVE VOLUNTEER FIRE DEPARTMENT INC</t>
  </si>
  <si>
    <t>J5030A0020</t>
  </si>
  <si>
    <t>NIEBAUER DYLAN</t>
  </si>
  <si>
    <t>225 E LAKE DR</t>
  </si>
  <si>
    <t>27028-2676</t>
  </si>
  <si>
    <t>E7130A0015</t>
  </si>
  <si>
    <t>ZIAII MICHAEL J</t>
  </si>
  <si>
    <t>BLAZEK-ZIAII KIRA RAE</t>
  </si>
  <si>
    <t>145 SAVANNAH CT</t>
  </si>
  <si>
    <t>D7080A0030</t>
  </si>
  <si>
    <t>DRAKER JACK DANIEL</t>
  </si>
  <si>
    <t>DRAKER STEPHANIE C</t>
  </si>
  <si>
    <t>224 LONGWOOD DR</t>
  </si>
  <si>
    <t>K200000042</t>
  </si>
  <si>
    <t>VEACH AARON MICHAEL</t>
  </si>
  <si>
    <t>PRESLEY KELLY</t>
  </si>
  <si>
    <t>340 RIDGE RD</t>
  </si>
  <si>
    <t>B300000062</t>
  </si>
  <si>
    <t>FURGUSON ABBY MICHELLE</t>
  </si>
  <si>
    <t>226 FOUR CORNERS RD</t>
  </si>
  <si>
    <t>M60000000705</t>
  </si>
  <si>
    <t>EVANS CHAD</t>
  </si>
  <si>
    <t>432 PLEASANT ACRE DR</t>
  </si>
  <si>
    <t>E8070A0002</t>
  </si>
  <si>
    <t>GARTRELL CLAYTON</t>
  </si>
  <si>
    <t>GARTRELL WILLETTE C</t>
  </si>
  <si>
    <t>693 NC HIGHWAY 801 S</t>
  </si>
  <si>
    <t>J4140A0042</t>
  </si>
  <si>
    <t>ROBERTSON MARK E</t>
  </si>
  <si>
    <t>ROBERTSON CATHERINE C</t>
  </si>
  <si>
    <t>190 NEW HAMPSHIRE CT</t>
  </si>
  <si>
    <t>D8060A0003</t>
  </si>
  <si>
    <t>REGAN GARTH</t>
  </si>
  <si>
    <t>REGAN CARLY</t>
  </si>
  <si>
    <t>299 RIVERBEND DR</t>
  </si>
  <si>
    <t>D8110A0008</t>
  </si>
  <si>
    <t>MILLIRONS DUSTIN</t>
  </si>
  <si>
    <t>MILLIRONS STEPHANIE</t>
  </si>
  <si>
    <t>PO BOX 759</t>
  </si>
  <si>
    <t>27374-0759</t>
  </si>
  <si>
    <t>J60000000205</t>
  </si>
  <si>
    <t>MORRIS PHILIP EUGENE</t>
  </si>
  <si>
    <t>MORRIS BOBBIE BURCHER</t>
  </si>
  <si>
    <t>608 JOHN CROTTS RD</t>
  </si>
  <si>
    <t>E8070B0012</t>
  </si>
  <si>
    <t>BARTON BRADLEY DAVID</t>
  </si>
  <si>
    <t>138 ASHBURTON RD</t>
  </si>
  <si>
    <t>M600000063</t>
  </si>
  <si>
    <t>ARNETT HEIDI MARIE</t>
  </si>
  <si>
    <t>ARNETT MICHAEL KEITH</t>
  </si>
  <si>
    <t>479 BECKTOWN RD</t>
  </si>
  <si>
    <t>27028-6607</t>
  </si>
  <si>
    <t>F200000010</t>
  </si>
  <si>
    <t>DYSON THOMAS W</t>
  </si>
  <si>
    <t>DYSON FRIEDA A</t>
  </si>
  <si>
    <t>L500000056</t>
  </si>
  <si>
    <t>DAVIS RICHARD M</t>
  </si>
  <si>
    <t>DAVIS DEBORA N</t>
  </si>
  <si>
    <t>169 BOOTLEG ALLEY</t>
  </si>
  <si>
    <t>27028-6799</t>
  </si>
  <si>
    <t>I5080B0012</t>
  </si>
  <si>
    <t>SCOTT MARY E</t>
  </si>
  <si>
    <t>103 CYPRESS RIDGE</t>
  </si>
  <si>
    <t>G30000003001</t>
  </si>
  <si>
    <t>JOHNSON MICHAEL JOE</t>
  </si>
  <si>
    <t>147 IJAMES CHURCH RD</t>
  </si>
  <si>
    <t>I40000007711</t>
  </si>
  <si>
    <t>JOHNSON MICHAEL J</t>
  </si>
  <si>
    <t>JOHNSON BARBARA N</t>
  </si>
  <si>
    <t>I4120A0019</t>
  </si>
  <si>
    <t>NICHOLSON WILLIAM</t>
  </si>
  <si>
    <t>NICHOLSON MICHELLE</t>
  </si>
  <si>
    <t>353 GWYN ST</t>
  </si>
  <si>
    <t>27028-2315</t>
  </si>
  <si>
    <t>C8010A0411</t>
  </si>
  <si>
    <t>JOHNSON RANDY</t>
  </si>
  <si>
    <t>JOHNSON SHEILA</t>
  </si>
  <si>
    <t>211 PARKVIEW LN</t>
  </si>
  <si>
    <t>E900000277</t>
  </si>
  <si>
    <t>SERENA GREGORY JR</t>
  </si>
  <si>
    <t>SERENA PATRICIA</t>
  </si>
  <si>
    <t>129 GRASSLANDS CT</t>
  </si>
  <si>
    <t>L500000057</t>
  </si>
  <si>
    <t>M5150A0010</t>
  </si>
  <si>
    <t>G200000007</t>
  </si>
  <si>
    <t>OPAL JEFF</t>
  </si>
  <si>
    <t>DEVINE SHANNAN</t>
  </si>
  <si>
    <t>116 VENUS LN</t>
  </si>
  <si>
    <t>28117-8467</t>
  </si>
  <si>
    <t>I5050D0005</t>
  </si>
  <si>
    <t>PALACIOS DAVID R</t>
  </si>
  <si>
    <t>PALACIOS MARIA</t>
  </si>
  <si>
    <t>443 MOUNTVIEW DR</t>
  </si>
  <si>
    <t>27028-2877</t>
  </si>
  <si>
    <t>J4040D0001</t>
  </si>
  <si>
    <t>CLARK PRISCILLA</t>
  </si>
  <si>
    <t>131 E LEXINGTON RD</t>
  </si>
  <si>
    <t>27028-2693</t>
  </si>
  <si>
    <t>D10000001803</t>
  </si>
  <si>
    <t>SIZEMORE JOE</t>
  </si>
  <si>
    <t>1421 BEAR CREEK CHURCH ROAD</t>
  </si>
  <si>
    <t>K40000003901</t>
  </si>
  <si>
    <t>ANGELL LUANN L</t>
  </si>
  <si>
    <t>362 LONGHORN TRAIL</t>
  </si>
  <si>
    <t>K400000039</t>
  </si>
  <si>
    <t>H30000008701</t>
  </si>
  <si>
    <t>H4170A0002</t>
  </si>
  <si>
    <t>H4170A0001</t>
  </si>
  <si>
    <t>H4170A0003</t>
  </si>
  <si>
    <t>H4170A0006</t>
  </si>
  <si>
    <t>H4170A0005</t>
  </si>
  <si>
    <t>H4170A0004</t>
  </si>
  <si>
    <t>K40000003507</t>
  </si>
  <si>
    <t>M500000038</t>
  </si>
  <si>
    <t>CORRELL PAUL DAVID</t>
  </si>
  <si>
    <t>CORRELL ELAINE C</t>
  </si>
  <si>
    <t>2887 US HIGHWAY 601 SOUTH</t>
  </si>
  <si>
    <t>27028-6912</t>
  </si>
  <si>
    <t>E300000096</t>
  </si>
  <si>
    <t>COLLETTE WILLIAM L</t>
  </si>
  <si>
    <t>COLLETTE PRISCILLA W</t>
  </si>
  <si>
    <t>3300 US HIGHWAY 601 N</t>
  </si>
  <si>
    <t>27028-5958</t>
  </si>
  <si>
    <t>E900000403</t>
  </si>
  <si>
    <t>536 N HIDDENBROOKE DR TRUST</t>
  </si>
  <si>
    <t>XIE JING TRUSTEE</t>
  </si>
  <si>
    <t>536 N HIDDENBROOKE DR</t>
  </si>
  <si>
    <t>H4130A0032</t>
  </si>
  <si>
    <t>SAVOY AASHLEY</t>
  </si>
  <si>
    <t>SAVOY DEANGLEO</t>
  </si>
  <si>
    <t>146 ELMWOOD ST</t>
  </si>
  <si>
    <t>E900000639</t>
  </si>
  <si>
    <t>DAVIS DIANA DARR</t>
  </si>
  <si>
    <t>129 N NIBLICK CT</t>
  </si>
  <si>
    <t>E8140A0021</t>
  </si>
  <si>
    <t>BUZANOWSKI PAUL JOSEPH</t>
  </si>
  <si>
    <t>BUZANOWSKI DEBORAH ANN</t>
  </si>
  <si>
    <t>252 COUNTRY CIR</t>
  </si>
  <si>
    <t>J5010D0028</t>
  </si>
  <si>
    <t>LAW LEAH DEANNE</t>
  </si>
  <si>
    <t>118 CLOISTER DR</t>
  </si>
  <si>
    <t>F8030A0004</t>
  </si>
  <si>
    <t>MEADWELL KIMBERLY D</t>
  </si>
  <si>
    <t>133 ESSEX FARM RD</t>
  </si>
  <si>
    <t>E60000000403</t>
  </si>
  <si>
    <t>HEMPHILL WAYNE MORRIS</t>
  </si>
  <si>
    <t>SHAW TABITHA MELISSA SHIPP</t>
  </si>
  <si>
    <t>206 SUGAR VALLEY TRL</t>
  </si>
  <si>
    <t>27028-7830</t>
  </si>
  <si>
    <t>C8010A0071</t>
  </si>
  <si>
    <t>BASHAM AMY DENISE</t>
  </si>
  <si>
    <t>130 PARKVIEW LN</t>
  </si>
  <si>
    <t>C50000005301</t>
  </si>
  <si>
    <t>PORTEUS AMY VIRGINIA</t>
  </si>
  <si>
    <t>2195 FARMINGTON RD</t>
  </si>
  <si>
    <t>F8030A0005</t>
  </si>
  <si>
    <t>SPASIC KRISTINA</t>
  </si>
  <si>
    <t>139 ESSEX FARM RD</t>
  </si>
  <si>
    <t>K80000000103</t>
  </si>
  <si>
    <t>HARRISON JENNIFER BURKHART</t>
  </si>
  <si>
    <t>3583 US HIGHWAY 64 E</t>
  </si>
  <si>
    <t>27006-7056</t>
  </si>
  <si>
    <t>F50000003201</t>
  </si>
  <si>
    <t>HAIRE GEORGE C</t>
  </si>
  <si>
    <t>120 FARMSTEAD LN</t>
  </si>
  <si>
    <t>27028-7671</t>
  </si>
  <si>
    <t>F100000050</t>
  </si>
  <si>
    <t>HURTT HOWARD</t>
  </si>
  <si>
    <t>1607 COUNTY LINE RD</t>
  </si>
  <si>
    <t>F10000005101</t>
  </si>
  <si>
    <t>D8100D0001</t>
  </si>
  <si>
    <t>CAUDILL GLORIA FUSSELL</t>
  </si>
  <si>
    <t>177 SPYGLASS DR</t>
  </si>
  <si>
    <t>H600000057</t>
  </si>
  <si>
    <t>HARBOUR SHELBY JASON</t>
  </si>
  <si>
    <t>HARBOUR CHRISTINE BAUGHMAN</t>
  </si>
  <si>
    <t>180 HICKORY TREE RD</t>
  </si>
  <si>
    <t>E900000343</t>
  </si>
  <si>
    <t>KNABENSHUE JULIE D</t>
  </si>
  <si>
    <t>KNABENSHUE JEFFREY A</t>
  </si>
  <si>
    <t>523 OAK VALLEY BLVD</t>
  </si>
  <si>
    <t>G800000103</t>
  </si>
  <si>
    <t>EVERETT JOE M SR</t>
  </si>
  <si>
    <t>EVERETT EVA S</t>
  </si>
  <si>
    <t>110 SOWERS LANE</t>
  </si>
  <si>
    <t>27006-0174</t>
  </si>
  <si>
    <t>K50000008311</t>
  </si>
  <si>
    <t>DAVISON RICHARD JOSEPH JR</t>
  </si>
  <si>
    <t>111 DRAUGHN LN</t>
  </si>
  <si>
    <t>K20000002702</t>
  </si>
  <si>
    <t>COOLEY TRAVIS LEE</t>
  </si>
  <si>
    <t>COOLEY SHELLY M</t>
  </si>
  <si>
    <t>203 COOLEY FARM RD</t>
  </si>
  <si>
    <t>27054-9697</t>
  </si>
  <si>
    <t>D8100A0021</t>
  </si>
  <si>
    <t>MOROZ ELIZABETH JORDAN</t>
  </si>
  <si>
    <t>MOROZ MARK JAMES</t>
  </si>
  <si>
    <t>179 JUNIPER CIR</t>
  </si>
  <si>
    <t>F80000011011</t>
  </si>
  <si>
    <t>MACFARLAND JAMES</t>
  </si>
  <si>
    <t>154 SUNTREE DR</t>
  </si>
  <si>
    <t>I5080B0013</t>
  </si>
  <si>
    <t>SCOTT WALTER C JR ETAL</t>
  </si>
  <si>
    <t>SCOTT WALTER C JR  ETAL</t>
  </si>
  <si>
    <t>D7080A0042</t>
  </si>
  <si>
    <t>HUTCHINS CHRISTOPHER M</t>
  </si>
  <si>
    <t>339 LONGWOOD DR</t>
  </si>
  <si>
    <t>F50000000201</t>
  </si>
  <si>
    <t>MCRORIE CAROL</t>
  </si>
  <si>
    <t>842 ANGELL RD</t>
  </si>
  <si>
    <t>27028-5612</t>
  </si>
  <si>
    <t>D8060B0050</t>
  </si>
  <si>
    <t>WILSON DAWN W</t>
  </si>
  <si>
    <t>WILSON MARTIN D</t>
  </si>
  <si>
    <t>114 BERMUDA RUN DR S</t>
  </si>
  <si>
    <t>B300000085</t>
  </si>
  <si>
    <t>PERKINS WILLIAM BRITT</t>
  </si>
  <si>
    <t>PERKINS MARIA ROBLIN</t>
  </si>
  <si>
    <t>166 SHELTON LANE</t>
  </si>
  <si>
    <t>K40000003902</t>
  </si>
  <si>
    <t>I4010A0088</t>
  </si>
  <si>
    <t>GOLLIHER BOBBY G</t>
  </si>
  <si>
    <t>111 S WENTWORTH DR</t>
  </si>
  <si>
    <t>27028-2097</t>
  </si>
  <si>
    <t>D7020A0021</t>
  </si>
  <si>
    <t>ANSEL ALEXANDER</t>
  </si>
  <si>
    <t>257 BRENTWOOD DR</t>
  </si>
  <si>
    <t>J20000006301</t>
  </si>
  <si>
    <t>CHESSALL MEGAN</t>
  </si>
  <si>
    <t>STONE-HUGGINS MONICA</t>
  </si>
  <si>
    <t>231 JONES RD</t>
  </si>
  <si>
    <t>27028-8368</t>
  </si>
  <si>
    <t>K5070B0010</t>
  </si>
  <si>
    <t>MCCANN RICKY</t>
  </si>
  <si>
    <t>218 REDWOOD DR</t>
  </si>
  <si>
    <t>G700000050</t>
  </si>
  <si>
    <t>GAHAGAN BRENDA</t>
  </si>
  <si>
    <t>185 CHILDRESS RD</t>
  </si>
  <si>
    <t>SPARTANBURG</t>
  </si>
  <si>
    <t>29307-4429</t>
  </si>
  <si>
    <t>I5080E0023</t>
  </si>
  <si>
    <t>BROWN TIMOTHY ALAN</t>
  </si>
  <si>
    <t>BROWN RENA</t>
  </si>
  <si>
    <t>156 SPRING ST</t>
  </si>
  <si>
    <t>27028-2234</t>
  </si>
  <si>
    <t>C8010E0053</t>
  </si>
  <si>
    <t>MORINE GRANT H</t>
  </si>
  <si>
    <t>MORINE AMANDA</t>
  </si>
  <si>
    <t>281 KILBOURNE DR</t>
  </si>
  <si>
    <t>E8100A0006</t>
  </si>
  <si>
    <t>STEPANSKY EVAN BLAKE</t>
  </si>
  <si>
    <t>869 NC HIGHWAY 801 S</t>
  </si>
  <si>
    <t>E500000004</t>
  </si>
  <si>
    <t>PRATT KEVIN</t>
  </si>
  <si>
    <t>483 PUDDING RIDGE ROAD</t>
  </si>
  <si>
    <t>K70000000401</t>
  </si>
  <si>
    <t>BRACKEN JODIE LEEANN</t>
  </si>
  <si>
    <t>612 JOE RD</t>
  </si>
  <si>
    <t>27028-7254</t>
  </si>
  <si>
    <t>H5200A0008</t>
  </si>
  <si>
    <t>DIETRICH JAY KENNETH</t>
  </si>
  <si>
    <t>DIETRICH CINDY M</t>
  </si>
  <si>
    <t>115 NELLWOOD CT</t>
  </si>
  <si>
    <t>D7030B0012</t>
  </si>
  <si>
    <t>LYNDE LINDSAY C</t>
  </si>
  <si>
    <t>259 CREEKWOOD DR</t>
  </si>
  <si>
    <t>E9150B0145</t>
  </si>
  <si>
    <t>THOMPSON LESTER LEE</t>
  </si>
  <si>
    <t>THOMPSON JUDITH ANN</t>
  </si>
  <si>
    <t>117 BRIDGEWOOD LANE</t>
  </si>
  <si>
    <t>G8060A0015</t>
  </si>
  <si>
    <t>GRIFFEY ROBERT WINTON</t>
  </si>
  <si>
    <t>ROMINGER AMBER BRUTON</t>
  </si>
  <si>
    <t>208 BENTBROOK DR</t>
  </si>
  <si>
    <t>K5110A0007</t>
  </si>
  <si>
    <t>SMART SUMMER JOY</t>
  </si>
  <si>
    <t>530 DEADMON RD</t>
  </si>
  <si>
    <t>H300000057</t>
  </si>
  <si>
    <t>GOBBLE RANDY D</t>
  </si>
  <si>
    <t>881 SHEFFIELD ROAD</t>
  </si>
  <si>
    <t>G9090B0055</t>
  </si>
  <si>
    <t>KIGER JOEL R</t>
  </si>
  <si>
    <t>KIGER MELISSA P</t>
  </si>
  <si>
    <t>295 OLD MARCH RD</t>
  </si>
  <si>
    <t>C8010A0213</t>
  </si>
  <si>
    <t>JOHNSON BRENDA CAROL</t>
  </si>
  <si>
    <t>166 N FORKE DR</t>
  </si>
  <si>
    <t>I4120A0005</t>
  </si>
  <si>
    <t>PARKS TIFFANY</t>
  </si>
  <si>
    <t>PARKS RYAN HEATH</t>
  </si>
  <si>
    <t>325 GWYN ST</t>
  </si>
  <si>
    <t>H90000000101</t>
  </si>
  <si>
    <t>HOWARD WILLIAM F</t>
  </si>
  <si>
    <t>HOWARD BARBARA B</t>
  </si>
  <si>
    <t>148 JIM FRYE RD</t>
  </si>
  <si>
    <t>27006-7634</t>
  </si>
  <si>
    <t>C8010E0055</t>
  </si>
  <si>
    <t>MUNFORD NATHAN M IV</t>
  </si>
  <si>
    <t>MUNFORD ADERO</t>
  </si>
  <si>
    <t>273 KILBOURNE DR</t>
  </si>
  <si>
    <t>C8030A000301</t>
  </si>
  <si>
    <t>GAGLIAN JAMES A</t>
  </si>
  <si>
    <t>GAGLIANO LISA A</t>
  </si>
  <si>
    <t>148 PINEWOOD LN UNIT 101</t>
  </si>
  <si>
    <t>H9070A0007</t>
  </si>
  <si>
    <t>BUMP DENISE</t>
  </si>
  <si>
    <t>193 DUBLIN RD</t>
  </si>
  <si>
    <t>J600000072</t>
  </si>
  <si>
    <t>LEOPARD STONE FARMS LLC</t>
  </si>
  <si>
    <t>864 PITY MY SHOE RD</t>
  </si>
  <si>
    <t>E900000685</t>
  </si>
  <si>
    <t>COHN DAVID H</t>
  </si>
  <si>
    <t>COHN KAREN T</t>
  </si>
  <si>
    <t>453 N HIDDENBROOKE DR</t>
  </si>
  <si>
    <t>M5060A000102</t>
  </si>
  <si>
    <t>SWICEGOOD JOHNNIE LYNN</t>
  </si>
  <si>
    <t>132 HARNESS LANE</t>
  </si>
  <si>
    <t>C8010E0061</t>
  </si>
  <si>
    <t>PALICTE LESTER T</t>
  </si>
  <si>
    <t>PAGABANGAN JEANETTE</t>
  </si>
  <si>
    <t>245 KILBOURNE DR</t>
  </si>
  <si>
    <t>F50000001103</t>
  </si>
  <si>
    <t>REAVIS JACOB EZEKIEL</t>
  </si>
  <si>
    <t>521 ANGELL RD</t>
  </si>
  <si>
    <t>J4040E0023</t>
  </si>
  <si>
    <t>TAVERA JORGE G</t>
  </si>
  <si>
    <t>100 FORREST LANE</t>
  </si>
  <si>
    <t>G500000088</t>
  </si>
  <si>
    <t>GUTMAN ASHLEY ANN</t>
  </si>
  <si>
    <t>2358 US HIGHWAY 158</t>
  </si>
  <si>
    <t>27028-4367</t>
  </si>
  <si>
    <t>K5030A0014</t>
  </si>
  <si>
    <t>REGENTHAL ANDREW DAVID</t>
  </si>
  <si>
    <t>REGENTHAL LAUREN ELLEN</t>
  </si>
  <si>
    <t>239 DEACON WAY</t>
  </si>
  <si>
    <t>H5010A0040</t>
  </si>
  <si>
    <t>JACKSON TIMOTHY M</t>
  </si>
  <si>
    <t>SMITH HOPE S</t>
  </si>
  <si>
    <t>203 LONG MEADOW RD</t>
  </si>
  <si>
    <t>27028-4243</t>
  </si>
  <si>
    <t>L5150A0004</t>
  </si>
  <si>
    <t>MILLER SPENCER</t>
  </si>
  <si>
    <t>1943 CORNATZER RD</t>
  </si>
  <si>
    <t>E900000358</t>
  </si>
  <si>
    <t>HARTNESS MICHAEL D</t>
  </si>
  <si>
    <t>HARTNESS JULIE H</t>
  </si>
  <si>
    <t>128 SCOTTSDALE DR</t>
  </si>
  <si>
    <t>C8010E0062</t>
  </si>
  <si>
    <t>CRAWFORD KEVIN S</t>
  </si>
  <si>
    <t>CRAWFORD VALERIE E</t>
  </si>
  <si>
    <t>243 KILBOURNE DR</t>
  </si>
  <si>
    <t>K200000022</t>
  </si>
  <si>
    <t>RAKES CHRISTOPHER MURRAY</t>
  </si>
  <si>
    <t>706 RIDGE RD</t>
  </si>
  <si>
    <t>F8030A0010</t>
  </si>
  <si>
    <t>SIMMONS STACEY A</t>
  </si>
  <si>
    <t>SIMS ANDREW</t>
  </si>
  <si>
    <t>179 ESSEX FARM RD</t>
  </si>
  <si>
    <t>D7080A0009</t>
  </si>
  <si>
    <t>BELL KAREN A</t>
  </si>
  <si>
    <t>BELL JAMES JOSEPH</t>
  </si>
  <si>
    <t>120 CONIFER CT</t>
  </si>
  <si>
    <t>D70000008201</t>
  </si>
  <si>
    <t>ROWLEY MARYANNE A</t>
  </si>
  <si>
    <t>127 FAIRWAY RD</t>
  </si>
  <si>
    <t>M5060B0011</t>
  </si>
  <si>
    <t>ADKINS TINA MARIE</t>
  </si>
  <si>
    <t>162 HOBSON DR</t>
  </si>
  <si>
    <t>J5010D0063</t>
  </si>
  <si>
    <t>DECKER LEAH EDWARDS</t>
  </si>
  <si>
    <t>130 APPLEGATE CT</t>
  </si>
  <si>
    <t>27028-2690</t>
  </si>
  <si>
    <t>G20000000701</t>
  </si>
  <si>
    <t>DAVIS GERALD</t>
  </si>
  <si>
    <t>LACHAPELLE KAREN</t>
  </si>
  <si>
    <t>198 LOBLOLLY TRAIL</t>
  </si>
  <si>
    <t>E900000085</t>
  </si>
  <si>
    <t>MCINTYRE TIMOTHY</t>
  </si>
  <si>
    <t>MCINTYRE RUTH</t>
  </si>
  <si>
    <t>156 AVIARA DR</t>
  </si>
  <si>
    <t>N60000001702</t>
  </si>
  <si>
    <t>SHULER TERESA A</t>
  </si>
  <si>
    <t>813 JOE ROAD</t>
  </si>
  <si>
    <t>E9150B0069</t>
  </si>
  <si>
    <t>ANDERSON CLINTON EARL</t>
  </si>
  <si>
    <t>BURNS DIANE O</t>
  </si>
  <si>
    <t>115 SYCAMORE PARK LN</t>
  </si>
  <si>
    <t>O60000003504</t>
  </si>
  <si>
    <t>SHOAF LARRY WAYNE</t>
  </si>
  <si>
    <t>2052 TYRO RD</t>
  </si>
  <si>
    <t>27295-7807</t>
  </si>
  <si>
    <t>M40000005203</t>
  </si>
  <si>
    <t>POINDEXTER LERON LEROY</t>
  </si>
  <si>
    <t>POINDEXTER EMILY GRACE</t>
  </si>
  <si>
    <t>175 RANCH WAY</t>
  </si>
  <si>
    <t>I50000003601</t>
  </si>
  <si>
    <t>MOCKSVILLE INDUSTRIAL PARTNERS LLC</t>
  </si>
  <si>
    <t>4505 COUNTRY CLUB RD SUITE 220</t>
  </si>
  <si>
    <t>27104-2993</t>
  </si>
  <si>
    <t>G800000214</t>
  </si>
  <si>
    <t>HARPER MICHAEL TODD</t>
  </si>
  <si>
    <t>HARPER AMANDA</t>
  </si>
  <si>
    <t>515 RABBIT FARM TRL</t>
  </si>
  <si>
    <t>H400000072</t>
  </si>
  <si>
    <t>FULK APRIL J</t>
  </si>
  <si>
    <t>240 COUNTRY LN</t>
  </si>
  <si>
    <t>27028-1902</t>
  </si>
  <si>
    <t>H4130A0109</t>
  </si>
  <si>
    <t>BIALOBRZESKI GARY</t>
  </si>
  <si>
    <t>BIALOBRZESKI MARIE</t>
  </si>
  <si>
    <t>247 SUMMIT DR</t>
  </si>
  <si>
    <t>L5100A0002</t>
  </si>
  <si>
    <t>RODRIGUEZ JUAN</t>
  </si>
  <si>
    <t>RODRIGUEZ ELISA</t>
  </si>
  <si>
    <t>2302 US HIGHWAY 601 S</t>
  </si>
  <si>
    <t>E8100B0027</t>
  </si>
  <si>
    <t>ALDERMAN THI LANGLEY</t>
  </si>
  <si>
    <t>121 WESTRIDGE RD</t>
  </si>
  <si>
    <t>E400000006</t>
  </si>
  <si>
    <t>EATON BOTTOMLANDS LLC</t>
  </si>
  <si>
    <t>1308 LAKE RIDGE SQ</t>
  </si>
  <si>
    <t>JOHNSON CITY</t>
  </si>
  <si>
    <t>37601-7402</t>
  </si>
  <si>
    <t>D9090B0024</t>
  </si>
  <si>
    <t>JACKSON JACKIE</t>
  </si>
  <si>
    <t>JACKSON FUNTELLER</t>
  </si>
  <si>
    <t>147 OLEANDER DR</t>
  </si>
  <si>
    <t>J4040C0007</t>
  </si>
  <si>
    <t>SULLIVAN CINDY L</t>
  </si>
  <si>
    <t>PO BOX 1111</t>
  </si>
  <si>
    <t>C8010A0276</t>
  </si>
  <si>
    <t>THOMPSON LESLIE SANDRA</t>
  </si>
  <si>
    <t>THOMPSON BARRY</t>
  </si>
  <si>
    <t>127 ROSEWALK LANE</t>
  </si>
  <si>
    <t>B30000000612</t>
  </si>
  <si>
    <t>THORN JOHN</t>
  </si>
  <si>
    <t>THORN BONNIE</t>
  </si>
  <si>
    <t>128 OVERLOOK AVE</t>
  </si>
  <si>
    <t>LEONIA</t>
  </si>
  <si>
    <t>07605-1517</t>
  </si>
  <si>
    <t>F40000002902</t>
  </si>
  <si>
    <t>JONES WENDY J</t>
  </si>
  <si>
    <t>JONES MICHAEL D</t>
  </si>
  <si>
    <t>C8010E0051</t>
  </si>
  <si>
    <t>RHYNEHART PAULETTE</t>
  </si>
  <si>
    <t>256 KILBOURNE DR</t>
  </si>
  <si>
    <t>I5090B0011</t>
  </si>
  <si>
    <t>LAKEY BRYAN S</t>
  </si>
  <si>
    <t>LAKEY SUZANNE M</t>
  </si>
  <si>
    <t>717 N MAIN ST</t>
  </si>
  <si>
    <t>27028-2123</t>
  </si>
  <si>
    <t>F800000148</t>
  </si>
  <si>
    <t>SEXTON AUTUMN</t>
  </si>
  <si>
    <t>SEXTON CHARLES ALAN JR</t>
  </si>
  <si>
    <t>269 MOCKS CHURCH RD</t>
  </si>
  <si>
    <t>J700000097</t>
  </si>
  <si>
    <t>WATKINS SHAUN</t>
  </si>
  <si>
    <t>3259 US HIGHWAY 64 E</t>
  </si>
  <si>
    <t>M600000035</t>
  </si>
  <si>
    <t>BRUMLEY WILLIAM JASON</t>
  </si>
  <si>
    <t>BRUMLEY SYBIL ELAINE</t>
  </si>
  <si>
    <t>106 SPENCERS LN</t>
  </si>
  <si>
    <t>27028-6677</t>
  </si>
  <si>
    <t>E9150B0031</t>
  </si>
  <si>
    <t>MAYS CHARLES R</t>
  </si>
  <si>
    <t>MAYS SHEILA W</t>
  </si>
  <si>
    <t>192 ORCHARD PARK DR</t>
  </si>
  <si>
    <t>M5070A0019</t>
  </si>
  <si>
    <t>KINSER ANTHONY WAYNE</t>
  </si>
  <si>
    <t>KINSER PAUL ALVIN</t>
  </si>
  <si>
    <t>184 EDGEWOOD CIR</t>
  </si>
  <si>
    <t>F3010A0014</t>
  </si>
  <si>
    <t>WILLIAMS MARK</t>
  </si>
  <si>
    <t>WILLIAMS CLAIRE</t>
  </si>
  <si>
    <t>110 CITADEL RD</t>
  </si>
  <si>
    <t>F20000002403</t>
  </si>
  <si>
    <t>JOHNSON DEREK L</t>
  </si>
  <si>
    <t>JOHNSON STEPHANIE</t>
  </si>
  <si>
    <t>490 DUKE WHITTAKER RD</t>
  </si>
  <si>
    <t>D9050B0043</t>
  </si>
  <si>
    <t>CRUTCHFIELD MARGARET L</t>
  </si>
  <si>
    <t>KAMMERER DONALD MICHAEL</t>
  </si>
  <si>
    <t>2104 BERMUDA VILLAGE DRIVE</t>
  </si>
  <si>
    <t>E8070A0006</t>
  </si>
  <si>
    <t>BRUCE DAVID ROBERT</t>
  </si>
  <si>
    <t>BRUCE CARMEN MARIA</t>
  </si>
  <si>
    <t>755 NC HIGHWAY 801 S</t>
  </si>
  <si>
    <t>G8140A0017</t>
  </si>
  <si>
    <t>TOMA KHALID SULAIMAN</t>
  </si>
  <si>
    <t>132 SCOTCH MOSS DR</t>
  </si>
  <si>
    <t>E700000108</t>
  </si>
  <si>
    <t>CREWS BETTY ANN HENSLEY ETAL</t>
  </si>
  <si>
    <t>157 OVERLOOK DR</t>
  </si>
  <si>
    <t>E70000010802</t>
  </si>
  <si>
    <t>E70000010803</t>
  </si>
  <si>
    <t>E70000010804</t>
  </si>
  <si>
    <t>E900000196</t>
  </si>
  <si>
    <t>DREYER JAMES V</t>
  </si>
  <si>
    <t>DREYER SHERRY</t>
  </si>
  <si>
    <t>139 LONETREE CIR</t>
  </si>
  <si>
    <t>I700000082</t>
  </si>
  <si>
    <t>CORNATZER LINDA JO</t>
  </si>
  <si>
    <t>848 FORK BIXBY RD</t>
  </si>
  <si>
    <t>I700000104</t>
  </si>
  <si>
    <t>HOWERTON TRENT D</t>
  </si>
  <si>
    <t>HOWERTON JENNIFER</t>
  </si>
  <si>
    <t>836 FORK BIXBY RD</t>
  </si>
  <si>
    <t>27006-6844</t>
  </si>
  <si>
    <t>F1030A0009</t>
  </si>
  <si>
    <t>PEOPLES ALLAN</t>
  </si>
  <si>
    <t>PEOPLES YEVGENIYA</t>
  </si>
  <si>
    <t>164 MOLLIE RD</t>
  </si>
  <si>
    <t>G30000003402</t>
  </si>
  <si>
    <t>TOMLINSON JASON GRAY</t>
  </si>
  <si>
    <t>1110 BEAR CREEK CHURCH RD</t>
  </si>
  <si>
    <t>27028-5628</t>
  </si>
  <si>
    <t>G80000000502</t>
  </si>
  <si>
    <t>STYERS CODY JOE</t>
  </si>
  <si>
    <t>STYERS MEREDITH LEIGH</t>
  </si>
  <si>
    <t>114 LA QUINTA DR</t>
  </si>
  <si>
    <t>27006-7005</t>
  </si>
  <si>
    <t>M5100B000302</t>
  </si>
  <si>
    <t>HOFMANN JAMES ROBERT</t>
  </si>
  <si>
    <t>222 SPRINGHILL DR</t>
  </si>
  <si>
    <t>N5080A0031</t>
  </si>
  <si>
    <t>CAUTHEN JESSICA MICHELLE</t>
  </si>
  <si>
    <t>DENNISTON ANDREW JAMES</t>
  </si>
  <si>
    <t>PO BOX 895</t>
  </si>
  <si>
    <t>27014-0895</t>
  </si>
  <si>
    <t>F100000014</t>
  </si>
  <si>
    <t>REEVES FAMILY PROPERTIES LLC</t>
  </si>
  <si>
    <t>142 CEDAR LAKE DRVE</t>
  </si>
  <si>
    <t>G8140A0027</t>
  </si>
  <si>
    <t>MORGAN ASHLEY</t>
  </si>
  <si>
    <t>106 CRESTWOOD CT</t>
  </si>
  <si>
    <t>F8030A0057</t>
  </si>
  <si>
    <t>HASSELL JOSEPH S</t>
  </si>
  <si>
    <t>HASSELL AMANDA N</t>
  </si>
  <si>
    <t>128 WYATT DR</t>
  </si>
  <si>
    <t>D9020A0002</t>
  </si>
  <si>
    <t>CHEEK MARK K</t>
  </si>
  <si>
    <t>CHEEK PENNY K</t>
  </si>
  <si>
    <t>439 BING CROSBY BLVD</t>
  </si>
  <si>
    <t>I4120B0025</t>
  </si>
  <si>
    <t>GARITA ANGELITA</t>
  </si>
  <si>
    <t>GARITA CARMEN</t>
  </si>
  <si>
    <t>101 SOFLEY ST</t>
  </si>
  <si>
    <t>F80000002212</t>
  </si>
  <si>
    <t>LINGLEBACH MATTHEW BRYCE</t>
  </si>
  <si>
    <t>LINGLEBACH MARANDA SHINN</t>
  </si>
  <si>
    <t>192 LANTERN DR</t>
  </si>
  <si>
    <t>E900000490</t>
  </si>
  <si>
    <t>CALDWELL PANISSA B</t>
  </si>
  <si>
    <t>CALDWELL MICHAEL L</t>
  </si>
  <si>
    <t>107 N MILLBROOKE CT</t>
  </si>
  <si>
    <t>C8030C0012</t>
  </si>
  <si>
    <t>KOONTZ KATELYN</t>
  </si>
  <si>
    <t>113 OAK WIND DR UNIT 302</t>
  </si>
  <si>
    <t>27006-6794</t>
  </si>
  <si>
    <t>D8090B0001</t>
  </si>
  <si>
    <t>ANGELL CRISTINA C</t>
  </si>
  <si>
    <t>C600000074  A</t>
  </si>
  <si>
    <t>SHORE JEFFERY L</t>
  </si>
  <si>
    <t>162 MCKNIGHT RD</t>
  </si>
  <si>
    <t>M4120A0017</t>
  </si>
  <si>
    <t>ROMERO ELISEO</t>
  </si>
  <si>
    <t>ROMERO MARGARET HEALY</t>
  </si>
  <si>
    <t>257 CLARK RD</t>
  </si>
  <si>
    <t>E20000002802</t>
  </si>
  <si>
    <t>WHITE TIMOTHY JAMES II</t>
  </si>
  <si>
    <t>WHITE ASHLEIGH COMBS</t>
  </si>
  <si>
    <t>212 BEAR CREEK CHURCH RD</t>
  </si>
  <si>
    <t>I5120A0041</t>
  </si>
  <si>
    <t>HINRICHS MELISSA JO</t>
  </si>
  <si>
    <t>WIEDENHOEFT TYLER DAVID</t>
  </si>
  <si>
    <t>399 WINDWARD CIRCLE</t>
  </si>
  <si>
    <t>D8070A0015</t>
  </si>
  <si>
    <t>PANDOLFO FRED A FAMILY TRUST</t>
  </si>
  <si>
    <t>PANDOLFO WANDA P FAMILY TRUST</t>
  </si>
  <si>
    <t>120 HOLLY CIRCLE</t>
  </si>
  <si>
    <t>I50000002101</t>
  </si>
  <si>
    <t>VANDERBROOK MADISON HAILEY</t>
  </si>
  <si>
    <t>886 MILLING RD</t>
  </si>
  <si>
    <t>J600000004</t>
  </si>
  <si>
    <t>BASS KYLE</t>
  </si>
  <si>
    <t>WALLACE CARLI</t>
  </si>
  <si>
    <t>577 JOHN CROTTS RD</t>
  </si>
  <si>
    <t>27028-7304</t>
  </si>
  <si>
    <t>J4120B0009</t>
  </si>
  <si>
    <t>IJAMES ILA ODESSA NEWSOME</t>
  </si>
  <si>
    <t>877 S SALISBURY ST</t>
  </si>
  <si>
    <t>F40000002903</t>
  </si>
  <si>
    <t>G60000001701</t>
  </si>
  <si>
    <t>BOGER RONALD D JR</t>
  </si>
  <si>
    <t>410 DULIN RD</t>
  </si>
  <si>
    <t>C8010E0049</t>
  </si>
  <si>
    <t>GONZALES JINELL L</t>
  </si>
  <si>
    <t>GONZALES MARISSA</t>
  </si>
  <si>
    <t>250 KILBOURNE DR</t>
  </si>
  <si>
    <t>G4080A0002</t>
  </si>
  <si>
    <t>HANCOCK MONICA CRONIA</t>
  </si>
  <si>
    <t>HANCOCK TIMOTHY WAYNE</t>
  </si>
  <si>
    <t>191 CANA RD</t>
  </si>
  <si>
    <t>27028-4126</t>
  </si>
  <si>
    <t>E900000603</t>
  </si>
  <si>
    <t>KELLER KERRY D</t>
  </si>
  <si>
    <t>137 W EDEN COURSE DR</t>
  </si>
  <si>
    <t>E900000303</t>
  </si>
  <si>
    <t>DAVILA LUIS RAUL</t>
  </si>
  <si>
    <t>DAVILA DEBORAH WHITE</t>
  </si>
  <si>
    <t>608 OAK VALLEY BLVD</t>
  </si>
  <si>
    <t>C8010E0067</t>
  </si>
  <si>
    <t>GALLO PETER ANGELO</t>
  </si>
  <si>
    <t>GALLO LINDA ANN</t>
  </si>
  <si>
    <t>359 TOWN PARK DR</t>
  </si>
  <si>
    <t>H4130A0098</t>
  </si>
  <si>
    <t>AMH NC PROPERTIES LP</t>
  </si>
  <si>
    <t>ATTN: PROPERTY TAX DEPT.</t>
  </si>
  <si>
    <t>23975 PARK SORRENTO STE 300</t>
  </si>
  <si>
    <t>CALABASAS</t>
  </si>
  <si>
    <t>91302-4012</t>
  </si>
  <si>
    <t>H4130A0100</t>
  </si>
  <si>
    <t>H4130A0102</t>
  </si>
  <si>
    <t>H4130A0084</t>
  </si>
  <si>
    <t>H4130A0062</t>
  </si>
  <si>
    <t>H8060A0083</t>
  </si>
  <si>
    <t>K5020A000201</t>
  </si>
  <si>
    <t>D3010A0038</t>
  </si>
  <si>
    <t>D3010A0003</t>
  </si>
  <si>
    <t>C8010A0176</t>
  </si>
  <si>
    <t>C8010A0062</t>
  </si>
  <si>
    <t>F3130A0024</t>
  </si>
  <si>
    <t>E900000141</t>
  </si>
  <si>
    <t>E900000181</t>
  </si>
  <si>
    <t>I5030A0023</t>
  </si>
  <si>
    <t>I5030A0010</t>
  </si>
  <si>
    <t>K5060A0020</t>
  </si>
  <si>
    <t>K40000000107</t>
  </si>
  <si>
    <t>KEEN PAMELA D</t>
  </si>
  <si>
    <t>KEEN CHARLES</t>
  </si>
  <si>
    <t>172 SM WHITT DR</t>
  </si>
  <si>
    <t>F30000002301</t>
  </si>
  <si>
    <t>ENGEL DAVID CHARLES SR</t>
  </si>
  <si>
    <t>ENGEL DEBORAH</t>
  </si>
  <si>
    <t>804 WAGNER RD</t>
  </si>
  <si>
    <t>C50000005401</t>
  </si>
  <si>
    <t>BROCK RICHARD JOSEPH JR</t>
  </si>
  <si>
    <t>E50000003301</t>
  </si>
  <si>
    <t>FURCHES ELLEN C TRUST</t>
  </si>
  <si>
    <t>453 CROSSWICK RD</t>
  </si>
  <si>
    <t>27012-9674</t>
  </si>
  <si>
    <t>G8140A0083</t>
  </si>
  <si>
    <t>CARSON RYNE T</t>
  </si>
  <si>
    <t>188 OLD HOMEPLACE DR</t>
  </si>
  <si>
    <t>I400000031</t>
  </si>
  <si>
    <t>BONILLA MILTON A</t>
  </si>
  <si>
    <t>217 MADISON RD</t>
  </si>
  <si>
    <t>27028-4247</t>
  </si>
  <si>
    <t>H500000043</t>
  </si>
  <si>
    <t>BURGESS KIMBERLY A</t>
  </si>
  <si>
    <t>4240 US HIGHWAY 601 S</t>
  </si>
  <si>
    <t>J60000001301</t>
  </si>
  <si>
    <t>TITUS PROPERTIES LLC</t>
  </si>
  <si>
    <t>1678 US HIGHWAY 64 E</t>
  </si>
  <si>
    <t>27028-5464</t>
  </si>
  <si>
    <t>B7010A0023</t>
  </si>
  <si>
    <t>MASON STEVEN JR</t>
  </si>
  <si>
    <t>MASON CHERI L</t>
  </si>
  <si>
    <t>295 GRIFFITH RD</t>
  </si>
  <si>
    <t>F7060A0014</t>
  </si>
  <si>
    <t>NEWLAND CHARLES II</t>
  </si>
  <si>
    <t>NEWLAND HEATHER</t>
  </si>
  <si>
    <t>143 CANTON RD</t>
  </si>
  <si>
    <t>G7040B0004</t>
  </si>
  <si>
    <t>BARBER JACLYN M ETAL</t>
  </si>
  <si>
    <t>LEE BILLY R</t>
  </si>
  <si>
    <t>181 GRANADA DRIVE</t>
  </si>
  <si>
    <t>G7040B0006</t>
  </si>
  <si>
    <t>G7040B0005</t>
  </si>
  <si>
    <t>G9090B0012</t>
  </si>
  <si>
    <t>STEELMAN LINDA M REV TRST</t>
  </si>
  <si>
    <t>135 OLD MARCH RD</t>
  </si>
  <si>
    <t>G7010A0008</t>
  </si>
  <si>
    <t>STEELMAN JASON R</t>
  </si>
  <si>
    <t>STEELMAN SHANNA G</t>
  </si>
  <si>
    <t>199 BALTIMORE RD</t>
  </si>
  <si>
    <t>E300000054</t>
  </si>
  <si>
    <t>HORNSBY SETH AVERE</t>
  </si>
  <si>
    <t>IRVING BREA J</t>
  </si>
  <si>
    <t>455 RICHIE RD</t>
  </si>
  <si>
    <t>27028-4925</t>
  </si>
  <si>
    <t>I70000005801</t>
  </si>
  <si>
    <t>PENDLEBURY DEREK E</t>
  </si>
  <si>
    <t>PENDLEBURY LYNNE M</t>
  </si>
  <si>
    <t>273 INDIAN HILLS RD</t>
  </si>
  <si>
    <t>G60000000902</t>
  </si>
  <si>
    <t>YOUNTS BLAIR GIBSON</t>
  </si>
  <si>
    <t>YOUNTS JORDAN ALLAN</t>
  </si>
  <si>
    <t>2950 US HIGHWAY 158</t>
  </si>
  <si>
    <t>27028-4373</t>
  </si>
  <si>
    <t>I70000009902</t>
  </si>
  <si>
    <t>DIAZ GERALD V JR</t>
  </si>
  <si>
    <t>DIAZ GENEVA</t>
  </si>
  <si>
    <t>173 LIVENGOOD RD</t>
  </si>
  <si>
    <t>L50000000601</t>
  </si>
  <si>
    <t>WEAVER MARY JANE</t>
  </si>
  <si>
    <t>350 MCCULLOUGH RD</t>
  </si>
  <si>
    <t>L50000000602</t>
  </si>
  <si>
    <t>L5140A0001</t>
  </si>
  <si>
    <t>NOON JAMIE WAYNE</t>
  </si>
  <si>
    <t>2452 US HIGHWAY 601 S</t>
  </si>
  <si>
    <t>B30000000604</t>
  </si>
  <si>
    <t>EDDLEMAN ALLEN ROBERT</t>
  </si>
  <si>
    <t>197 BOWMAN ROAD</t>
  </si>
  <si>
    <t>27028-6118</t>
  </si>
  <si>
    <t>H40000000602</t>
  </si>
  <si>
    <t>MID STATE PETROLEUM REALTY LLC</t>
  </si>
  <si>
    <t>PO BOX 1618</t>
  </si>
  <si>
    <t>JAMESTOWN</t>
  </si>
  <si>
    <t>27282-1618</t>
  </si>
  <si>
    <t>K30000004401</t>
  </si>
  <si>
    <t>CAROLINA BIBLE CAMP &amp; RETREAT</t>
  </si>
  <si>
    <t>307 OAKMEADOW LN</t>
  </si>
  <si>
    <t>K300000044</t>
  </si>
  <si>
    <t>J40000005503</t>
  </si>
  <si>
    <t>N600000024</t>
  </si>
  <si>
    <t>FERRELL JEFFREY J</t>
  </si>
  <si>
    <t>FERRELL NICOLE J</t>
  </si>
  <si>
    <t>242 NORTH CAROLINA CIRCLE</t>
  </si>
  <si>
    <t>F80000002232</t>
  </si>
  <si>
    <t>SZYMAREK NIKOLAS A</t>
  </si>
  <si>
    <t>SZYMAREK JAMIE L</t>
  </si>
  <si>
    <t>128 LANTERN DRIVE</t>
  </si>
  <si>
    <t>J7080B0036</t>
  </si>
  <si>
    <t>SHROETTER LAURENT A</t>
  </si>
  <si>
    <t>158 S HAZELWOOD DR</t>
  </si>
  <si>
    <t>I5170C0013</t>
  </si>
  <si>
    <t>BATES DEBORAH FLOURNOY</t>
  </si>
  <si>
    <t>BATES CLINTON B</t>
  </si>
  <si>
    <t>110 E BRICK WALK CT</t>
  </si>
  <si>
    <t>C500000112</t>
  </si>
  <si>
    <t>WALTON JENNIFER GETTYS</t>
  </si>
  <si>
    <t>1811 FARMINGTON ROAD</t>
  </si>
  <si>
    <t>G8140A099902</t>
  </si>
  <si>
    <t>SUMMER HILL FARM HOMEOWNERS ASSO INC</t>
  </si>
  <si>
    <t>PO BOX 2427</t>
  </si>
  <si>
    <t>28070-2427</t>
  </si>
  <si>
    <t>C800000182</t>
  </si>
  <si>
    <t>WINTERS LAURA STRAND</t>
  </si>
  <si>
    <t>494 FRED BAHNSON DR</t>
  </si>
  <si>
    <t>K5100A0020</t>
  </si>
  <si>
    <t>MURPHY EMILY DENISE</t>
  </si>
  <si>
    <t>1605 US HIGHWAY 601 S</t>
  </si>
  <si>
    <t>I1110A0021</t>
  </si>
  <si>
    <t>SHEPHERD DARLENE M</t>
  </si>
  <si>
    <t>194 OAKLAND AVE</t>
  </si>
  <si>
    <t>F800000138</t>
  </si>
  <si>
    <t>HANES KENT ALLEN</t>
  </si>
  <si>
    <t>104 HEAVENLY LN</t>
  </si>
  <si>
    <t>I4130G0019</t>
  </si>
  <si>
    <t>119 W. DEPOT LLC</t>
  </si>
  <si>
    <t>119 W DEPOT ST</t>
  </si>
  <si>
    <t>27028-2327</t>
  </si>
  <si>
    <t>B500000079</t>
  </si>
  <si>
    <t>CULLER ALLEN TILLMAN</t>
  </si>
  <si>
    <t>CULLER TRACEY M</t>
  </si>
  <si>
    <t>132 PINEVILLE RD</t>
  </si>
  <si>
    <t>H80000000101</t>
  </si>
  <si>
    <t>I5040A0006</t>
  </si>
  <si>
    <t>POAG WYNONA</t>
  </si>
  <si>
    <t>POAG PATRICK</t>
  </si>
  <si>
    <t>959 MILLING RD</t>
  </si>
  <si>
    <t>27028-2865</t>
  </si>
  <si>
    <t>G3060A0019</t>
  </si>
  <si>
    <t>REDMOND RONALD D</t>
  </si>
  <si>
    <t>REDMOND MARILYN B</t>
  </si>
  <si>
    <t>190 NORTHBROOK DRIVE</t>
  </si>
  <si>
    <t>J600000065</t>
  </si>
  <si>
    <t>SATTERWHITE DOROTHY JANE HURN</t>
  </si>
  <si>
    <t>128 JOE ROAD</t>
  </si>
  <si>
    <t>C50000005707</t>
  </si>
  <si>
    <t>DOBY JAMES DONALD</t>
  </si>
  <si>
    <t>264 POTTERS RIDGE DR</t>
  </si>
  <si>
    <t>27028-6288</t>
  </si>
  <si>
    <t>C8030A000103</t>
  </si>
  <si>
    <t>NELSON AMBER L</t>
  </si>
  <si>
    <t>132 PINEWOOD LN UNIT 103</t>
  </si>
  <si>
    <t>27006-8633</t>
  </si>
  <si>
    <t>E8100C0014</t>
  </si>
  <si>
    <t>HOFF JOHNATHAN DALE</t>
  </si>
  <si>
    <t>HOFF JERRILYNN DIONNE</t>
  </si>
  <si>
    <t>263 OVERLOOK DR</t>
  </si>
  <si>
    <t>C8010C0018</t>
  </si>
  <si>
    <t>JUSTICE PATSY</t>
  </si>
  <si>
    <t>323 KILBOURNE DR</t>
  </si>
  <si>
    <t>J5090A000202</t>
  </si>
  <si>
    <t>MCCRARY RANDY D</t>
  </si>
  <si>
    <t>MCCRARY PHYLLIS</t>
  </si>
  <si>
    <t>268 EATON RD</t>
  </si>
  <si>
    <t>J5090A0001</t>
  </si>
  <si>
    <t>B600000013</t>
  </si>
  <si>
    <t>MITCHELL MAGGIE</t>
  </si>
  <si>
    <t>5792 TOP CT</t>
  </si>
  <si>
    <t>27104-3360</t>
  </si>
  <si>
    <t>L5010B0002</t>
  </si>
  <si>
    <t>TAYLOR RHONDA C</t>
  </si>
  <si>
    <t>365 MCCULLOUGH ROAD</t>
  </si>
  <si>
    <t>C20000002105</t>
  </si>
  <si>
    <t>WHITAKER STEVEN MICHAEL</t>
  </si>
  <si>
    <t>2031 LIBERTY CHURCH RD</t>
  </si>
  <si>
    <t>F80000000809</t>
  </si>
  <si>
    <t>STANLEY JEREMY</t>
  </si>
  <si>
    <t>STANLEY SARA MILLER</t>
  </si>
  <si>
    <t>380 H KNOLLWOOD ST</t>
  </si>
  <si>
    <t>SUITE 169</t>
  </si>
  <si>
    <t>D9090B0015</t>
  </si>
  <si>
    <t>NAGELWILLIAM CONRAD</t>
  </si>
  <si>
    <t>NAGEL BETTY JAY</t>
  </si>
  <si>
    <t>221 OLEANDER DR</t>
  </si>
  <si>
    <t>B70000000802</t>
  </si>
  <si>
    <t>NEWMAN THOMAS A</t>
  </si>
  <si>
    <t>NEWMAN SUSAN H</t>
  </si>
  <si>
    <t>214 SPARKS ROAD</t>
  </si>
  <si>
    <t>B70000000806</t>
  </si>
  <si>
    <t>C400000048</t>
  </si>
  <si>
    <t>WEST LONNIE GRAY JR ETAL</t>
  </si>
  <si>
    <t>210 PINO RD</t>
  </si>
  <si>
    <t>27028-4919</t>
  </si>
  <si>
    <t>K300000029</t>
  </si>
  <si>
    <t>B30000004406</t>
  </si>
  <si>
    <t>DAVIS KENNETH GRANT JR</t>
  </si>
  <si>
    <t>DAVIS BRITTANY Y</t>
  </si>
  <si>
    <t>199 BETHESDA LN</t>
  </si>
  <si>
    <t>27028-6104</t>
  </si>
  <si>
    <t>B30000004407</t>
  </si>
  <si>
    <t>G90000002001</t>
  </si>
  <si>
    <t>MARCHMONT PLANTATION PROPERTY OWNERS ASSO. INC</t>
  </si>
  <si>
    <t>% KIM SCOTT CPA</t>
  </si>
  <si>
    <t>I60000007504</t>
  </si>
  <si>
    <t>DAVIS TERRY M</t>
  </si>
  <si>
    <t>DAVIS SANDRA G</t>
  </si>
  <si>
    <t>577 CORNATZER ROAD</t>
  </si>
  <si>
    <t>J50000000602</t>
  </si>
  <si>
    <t>HUTCHENS HANNAH</t>
  </si>
  <si>
    <t>1045 US HIGHWAY 64 E</t>
  </si>
  <si>
    <t>27028-5458</t>
  </si>
  <si>
    <t>D7070A0019</t>
  </si>
  <si>
    <t>MILLER MICHAEL ZACKARY</t>
  </si>
  <si>
    <t>SMITH BRITTNEY SYLVIA NICOLE</t>
  </si>
  <si>
    <t>119 ADA LN</t>
  </si>
  <si>
    <t>E7150A0008</t>
  </si>
  <si>
    <t>STRUBE RICHARD J</t>
  </si>
  <si>
    <t>STRUBE DEBORAH A</t>
  </si>
  <si>
    <t>116 LIVE OAKS RD</t>
  </si>
  <si>
    <t>K400000011</t>
  </si>
  <si>
    <t>TEHANDON MIGUEL WILLIAM</t>
  </si>
  <si>
    <t>TEHANDON JILL</t>
  </si>
  <si>
    <t>D9090D0018</t>
  </si>
  <si>
    <t>HUNNINGS W GILES JR</t>
  </si>
  <si>
    <t>HUNNINGS BARBARA L</t>
  </si>
  <si>
    <t>333 HOLLYBROOK DR</t>
  </si>
  <si>
    <t>I4120B0011</t>
  </si>
  <si>
    <t>LEWIS CARMEN DENISE</t>
  </si>
  <si>
    <t>349 WILKESBORO ST</t>
  </si>
  <si>
    <t>27028-2325</t>
  </si>
  <si>
    <t>F4010A0011</t>
  </si>
  <si>
    <t>DICKERMAN RYAN MARK</t>
  </si>
  <si>
    <t>DICKERMAN MARGARET ANNE</t>
  </si>
  <si>
    <t>238 SUMMERLYN DRIVE</t>
  </si>
  <si>
    <t>E8160A0020</t>
  </si>
  <si>
    <t>WHITTLE JOSEPH REASON JR</t>
  </si>
  <si>
    <t>WHITTLE IVANA</t>
  </si>
  <si>
    <t>124 BROOKMEAD CT</t>
  </si>
  <si>
    <t>27006-6000</t>
  </si>
  <si>
    <t>F80000008201</t>
  </si>
  <si>
    <t>JJT LLC</t>
  </si>
  <si>
    <t>700 GLEN ECHO TRL</t>
  </si>
  <si>
    <t>27106-5720</t>
  </si>
  <si>
    <t>E900000410</t>
  </si>
  <si>
    <t>STICKLEY BLAKE G</t>
  </si>
  <si>
    <t>STICKLEY SARA J</t>
  </si>
  <si>
    <t>547 N HIDDENBROOKE DR</t>
  </si>
  <si>
    <t>G9090B0051</t>
  </si>
  <si>
    <t>FARNUM RICHARD WARREN II</t>
  </si>
  <si>
    <t>FARNUM LORI</t>
  </si>
  <si>
    <t>245 OLD MARCH RD</t>
  </si>
  <si>
    <t>N4040A0005</t>
  </si>
  <si>
    <t>2086 JUNCTION RD</t>
  </si>
  <si>
    <t>27028-5333</t>
  </si>
  <si>
    <t>G500000146</t>
  </si>
  <si>
    <t>SCHWARTZ RICHARD A</t>
  </si>
  <si>
    <t>405 FARMLAND RD</t>
  </si>
  <si>
    <t>27028-4165</t>
  </si>
  <si>
    <t>G70000001202</t>
  </si>
  <si>
    <t>TUCKER PATRICK M</t>
  </si>
  <si>
    <t>E900000642</t>
  </si>
  <si>
    <t>HANKINS DONALD E</t>
  </si>
  <si>
    <t>HANKINS DIANNE E</t>
  </si>
  <si>
    <t>111 N NIBLICK CT</t>
  </si>
  <si>
    <t>E5020A0006</t>
  </si>
  <si>
    <t>FINK BRIAN E</t>
  </si>
  <si>
    <t>FINK DAWN R</t>
  </si>
  <si>
    <t>132 GREENE CT.</t>
  </si>
  <si>
    <t>27028-8600</t>
  </si>
  <si>
    <t>B300000063</t>
  </si>
  <si>
    <t>2016 TWNSHP OF FARMINGTON TRUST # 4444XXX MAPLEWOO</t>
  </si>
  <si>
    <t>BAXTER DIANNE TRUSTEE</t>
  </si>
  <si>
    <t>4242 NC HWY 801 N</t>
  </si>
  <si>
    <t>F80000007402</t>
  </si>
  <si>
    <t>HILL RONALD L</t>
  </si>
  <si>
    <t>HILL APRELLE D</t>
  </si>
  <si>
    <t>128 SADDLEBROOK DR</t>
  </si>
  <si>
    <t>27006-8410</t>
  </si>
  <si>
    <t>I30000004901</t>
  </si>
  <si>
    <t>RAISIG PAUL CHRISTIAN</t>
  </si>
  <si>
    <t>RAISIG JENNIFER MARTIN</t>
  </si>
  <si>
    <t>139 MCALLISTER RD</t>
  </si>
  <si>
    <t>I300000080</t>
  </si>
  <si>
    <t>E900000569</t>
  </si>
  <si>
    <t>JONES GEORGE DAVIE</t>
  </si>
  <si>
    <t>JONES GERALDINE C</t>
  </si>
  <si>
    <t>114 CARTGATE CT</t>
  </si>
  <si>
    <t>D8030A0013</t>
  </si>
  <si>
    <t>BAILEY JOHN KEVIN</t>
  </si>
  <si>
    <t>BAILEY DENISE W</t>
  </si>
  <si>
    <t>152 BOXWOOD CIR</t>
  </si>
  <si>
    <t>D9030A0021</t>
  </si>
  <si>
    <t>SHERRILL DAVID</t>
  </si>
  <si>
    <t>282 JAMES WAY</t>
  </si>
  <si>
    <t>D700000132</t>
  </si>
  <si>
    <t>EAGLE PAMELA LUCAS H</t>
  </si>
  <si>
    <t>EAGLE ROGER DEAN</t>
  </si>
  <si>
    <t>143 PARSONAGE DR</t>
  </si>
  <si>
    <t>H5170A0001</t>
  </si>
  <si>
    <t>RESSA ANTHONY</t>
  </si>
  <si>
    <t>RESSA KAYLA</t>
  </si>
  <si>
    <t>108 BLOSSOM HILL CT</t>
  </si>
  <si>
    <t>D9020A0006</t>
  </si>
  <si>
    <t>LATHAM WILLIAM E II</t>
  </si>
  <si>
    <t>LATHAM ROBERTA K</t>
  </si>
  <si>
    <t>471 BING CROSBY BLVD</t>
  </si>
  <si>
    <t>D7020B0010</t>
  </si>
  <si>
    <t>CIPRIANO SARAH E</t>
  </si>
  <si>
    <t>GARDNER SETH</t>
  </si>
  <si>
    <t>196 BRENTWOOD DR</t>
  </si>
  <si>
    <t>H20000003602</t>
  </si>
  <si>
    <t>BROWN ROBERT EUGENE</t>
  </si>
  <si>
    <t>BROWN LISA ANN</t>
  </si>
  <si>
    <t>2299 US HIGHWAY 64 W</t>
  </si>
  <si>
    <t>27028-8440</t>
  </si>
  <si>
    <t>G60000011306</t>
  </si>
  <si>
    <t>CARTER DEBORAH L</t>
  </si>
  <si>
    <t>CARTER DENNIS C</t>
  </si>
  <si>
    <t>1903 MILLING ROAD</t>
  </si>
  <si>
    <t>E500000015</t>
  </si>
  <si>
    <t>MCQUAIN TIMOTHY R</t>
  </si>
  <si>
    <t>MCQUAIN JULIE H</t>
  </si>
  <si>
    <t>1119 FARMINGTON RD</t>
  </si>
  <si>
    <t>27028-7645</t>
  </si>
  <si>
    <t>E500000014</t>
  </si>
  <si>
    <t>E50000001425</t>
  </si>
  <si>
    <t>K60000001805</t>
  </si>
  <si>
    <t>MCDERMOTT KATHLEEN</t>
  </si>
  <si>
    <t>552 FRANK SHORT RD</t>
  </si>
  <si>
    <t>C8010A0409</t>
  </si>
  <si>
    <t>SINGLETON DEBRA</t>
  </si>
  <si>
    <t>197 PARKVIEW LANE</t>
  </si>
  <si>
    <t>H40000000301</t>
  </si>
  <si>
    <t>DHG HOLDINGS I LLC</t>
  </si>
  <si>
    <t>4716 HILLTOP RD</t>
  </si>
  <si>
    <t>27407-5217</t>
  </si>
  <si>
    <t>C8010A0366</t>
  </si>
  <si>
    <t>HAYES COURTNEY J</t>
  </si>
  <si>
    <t>116 KILBOURNE DRIVE</t>
  </si>
  <si>
    <t>I700000064</t>
  </si>
  <si>
    <t>SPRY ROGER DALE</t>
  </si>
  <si>
    <t>847 WILLIAMS RD</t>
  </si>
  <si>
    <t>C8030B0005</t>
  </si>
  <si>
    <t>KHATIB KELSEY</t>
  </si>
  <si>
    <t>292 TOWN PARK DR UNIT 202</t>
  </si>
  <si>
    <t>27006-8621</t>
  </si>
  <si>
    <t>B30000004706</t>
  </si>
  <si>
    <t>SHIRES CASSILYN PAMELA</t>
  </si>
  <si>
    <t>221 DREAMSCAPE LN</t>
  </si>
  <si>
    <t>27028-4664</t>
  </si>
  <si>
    <t>J600000090</t>
  </si>
  <si>
    <t>MORGAN H BENJAMIN III</t>
  </si>
  <si>
    <t>1778 US HIGHWAY 64 E</t>
  </si>
  <si>
    <t>I800000026</t>
  </si>
  <si>
    <t>LEAIRD NANCY ALLEN</t>
  </si>
  <si>
    <t>1030 FOXRIDGE COURT</t>
  </si>
  <si>
    <t>SUMTER</t>
  </si>
  <si>
    <t>K5150A000101</t>
  </si>
  <si>
    <t>HINKLE DONNA MARTIN</t>
  </si>
  <si>
    <t>200 IRON HORSE LANE</t>
  </si>
  <si>
    <t>K50000010204</t>
  </si>
  <si>
    <t>J5010D0022</t>
  </si>
  <si>
    <t>PROPHET DEBORAH L</t>
  </si>
  <si>
    <t>153 CHARLESTON RIDGE DR</t>
  </si>
  <si>
    <t>E40000004612</t>
  </si>
  <si>
    <t>LIMA CHRISTINE M</t>
  </si>
  <si>
    <t>810 PUDDING RIDGE RD</t>
  </si>
  <si>
    <t>27028-6251</t>
  </si>
  <si>
    <t>G200000073</t>
  </si>
  <si>
    <t>HOBSON KENNEDY ELDRED</t>
  </si>
  <si>
    <t>HOBSON PHOEBE MOYER</t>
  </si>
  <si>
    <t>14141 CLARISSA LN</t>
  </si>
  <si>
    <t>SANTA ANA</t>
  </si>
  <si>
    <t>92705-3230</t>
  </si>
  <si>
    <t>K40000004312</t>
  </si>
  <si>
    <t>CLINE JORDAN JEFFREY</t>
  </si>
  <si>
    <t>CLINE SHANA SPEER</t>
  </si>
  <si>
    <t>486 BUCK SEAFORD RD</t>
  </si>
  <si>
    <t>27028-4123</t>
  </si>
  <si>
    <t>G8010D0008</t>
  </si>
  <si>
    <t>WALKER JEREMY P</t>
  </si>
  <si>
    <t>360 BRIDLE LN</t>
  </si>
  <si>
    <t>G8010D0009</t>
  </si>
  <si>
    <t>WALKER JACOB</t>
  </si>
  <si>
    <t>WALKER BREANNA</t>
  </si>
  <si>
    <t>D600000024</t>
  </si>
  <si>
    <t>CARPENTER CAROLYN L</t>
  </si>
  <si>
    <t>272 CARPENTER LN</t>
  </si>
  <si>
    <t>27006-6607</t>
  </si>
  <si>
    <t>D700000065  A</t>
  </si>
  <si>
    <t>SMITH BARBARA D</t>
  </si>
  <si>
    <t>308 KLICKITAT TRAIL</t>
  </si>
  <si>
    <t>27028-7311</t>
  </si>
  <si>
    <t>D700000067</t>
  </si>
  <si>
    <t>D8060B0031</t>
  </si>
  <si>
    <t>CHAMOVITZ PATRICIA A</t>
  </si>
  <si>
    <t>CHAMOVITZ ALLEN H</t>
  </si>
  <si>
    <t>147 BERMUDA RUN DR N</t>
  </si>
  <si>
    <t>E8070A0010</t>
  </si>
  <si>
    <t>SANCHEZ JOSE SOCORRO SANCHEZ</t>
  </si>
  <si>
    <t>CUENCA YOANNA VIDAL</t>
  </si>
  <si>
    <t>149 WHITEHEAD DR</t>
  </si>
  <si>
    <t>H60000000403</t>
  </si>
  <si>
    <t>TOBIN DONALD F JR</t>
  </si>
  <si>
    <t>TOBIN LISA D</t>
  </si>
  <si>
    <t>159 STONY FIELD TRL</t>
  </si>
  <si>
    <t>J4040E0015</t>
  </si>
  <si>
    <t>MCCLAMROCK CATHERINE E</t>
  </si>
  <si>
    <t>MCCLAMROCK GRADY L JR</t>
  </si>
  <si>
    <t>482 MCCLAMROCK RD</t>
  </si>
  <si>
    <t>27028-4258</t>
  </si>
  <si>
    <t>H50000003901</t>
  </si>
  <si>
    <t>G400000024</t>
  </si>
  <si>
    <t>J40000000301</t>
  </si>
  <si>
    <t>J400000003</t>
  </si>
  <si>
    <t>H500000041</t>
  </si>
  <si>
    <t>G400000030</t>
  </si>
  <si>
    <t>F60000005303A</t>
  </si>
  <si>
    <t>G500000096</t>
  </si>
  <si>
    <t>MCCLAMROCK CATHERINE</t>
  </si>
  <si>
    <t>G50000009801</t>
  </si>
  <si>
    <t>E70000005205</t>
  </si>
  <si>
    <t>THOMAS COLE</t>
  </si>
  <si>
    <t>THOMAS BRIANNA VAUGHN</t>
  </si>
  <si>
    <t>581 JUNEY BEAUCHAMP RD</t>
  </si>
  <si>
    <t>E200000021</t>
  </si>
  <si>
    <t>BOYLE JOHN STEPHEN</t>
  </si>
  <si>
    <t>899 DUKE WHITAKER ROAD</t>
  </si>
  <si>
    <t>H500000045</t>
  </si>
  <si>
    <t>WALTERS STEVE D</t>
  </si>
  <si>
    <t>533 SAIN RD</t>
  </si>
  <si>
    <t>27028-4330</t>
  </si>
  <si>
    <t>D500000115</t>
  </si>
  <si>
    <t>WARANOWITZ GEORGE A</t>
  </si>
  <si>
    <t>WARANOWITZ REBECCA ANN</t>
  </si>
  <si>
    <t>342 KENNEN KREST RD</t>
  </si>
  <si>
    <t>K70000006304</t>
  </si>
  <si>
    <t>H40000002101</t>
  </si>
  <si>
    <t>CULLER SANDRA LEE</t>
  </si>
  <si>
    <t>2913 US HWY 601 N</t>
  </si>
  <si>
    <t>G40000003301</t>
  </si>
  <si>
    <t>H400000023</t>
  </si>
  <si>
    <t>F300000078</t>
  </si>
  <si>
    <t>F30000007808</t>
  </si>
  <si>
    <t>F30000007806</t>
  </si>
  <si>
    <t>C10000000201</t>
  </si>
  <si>
    <t>F30000007810</t>
  </si>
  <si>
    <t>I1110A0024</t>
  </si>
  <si>
    <t>NEELY PRESTON D</t>
  </si>
  <si>
    <t>NEELY JENNIFER H</t>
  </si>
  <si>
    <t>172 OAKLAND AVENUE</t>
  </si>
  <si>
    <t>K30000000308</t>
  </si>
  <si>
    <t>PEACOCK SHARON RENEE</t>
  </si>
  <si>
    <t>411 MR HENRY RD</t>
  </si>
  <si>
    <t>I4060C000803</t>
  </si>
  <si>
    <t>PRUITT JAMES BOYD</t>
  </si>
  <si>
    <t>864 GARNER ST</t>
  </si>
  <si>
    <t>B500000105</t>
  </si>
  <si>
    <t>SPILLMAN WILLIAM WILBURN JR</t>
  </si>
  <si>
    <t>SPILLMAN PAULA LOUISE W</t>
  </si>
  <si>
    <t>B500000002</t>
  </si>
  <si>
    <t>NEEDS KATHY ALLEN</t>
  </si>
  <si>
    <t>154 TIFTON ST</t>
  </si>
  <si>
    <t>27006-8505</t>
  </si>
  <si>
    <t>F80000011003</t>
  </si>
  <si>
    <t>RICHARDSON ROY G</t>
  </si>
  <si>
    <t>RICHARDSON NANCY S</t>
  </si>
  <si>
    <t>368 POTTS ROAD</t>
  </si>
  <si>
    <t>27006-7801</t>
  </si>
  <si>
    <t>B60000001103</t>
  </si>
  <si>
    <t>E9150A0008</t>
  </si>
  <si>
    <t>GREY WILLIAM RICHARD</t>
  </si>
  <si>
    <t>BARKER ANNA KATHERINE</t>
  </si>
  <si>
    <t>194 HIDDEN CREEK DR</t>
  </si>
  <si>
    <t>I30000000201</t>
  </si>
  <si>
    <t>THOMPSON ANNIE E</t>
  </si>
  <si>
    <t>378 POWELL RD</t>
  </si>
  <si>
    <t>J70000004002</t>
  </si>
  <si>
    <t>POWELL CHARLES</t>
  </si>
  <si>
    <t>333 JOE RD</t>
  </si>
  <si>
    <t>B70000007903</t>
  </si>
  <si>
    <t>1011 YADKIN VALLEY RD</t>
  </si>
  <si>
    <t>27006-8709</t>
  </si>
  <si>
    <t>J70000001601</t>
  </si>
  <si>
    <t>CORNATZER ANN G</t>
  </si>
  <si>
    <t>2482 US HIGHWAY 64 E</t>
  </si>
  <si>
    <t>B300000001</t>
  </si>
  <si>
    <t>PRATT JUDY FOSTER</t>
  </si>
  <si>
    <t>5369 US HIGHWAY 601 N</t>
  </si>
  <si>
    <t>J700000121</t>
  </si>
  <si>
    <t>ALLEN RICKY DEAN</t>
  </si>
  <si>
    <t>156 HOMESTEAD LN</t>
  </si>
  <si>
    <t>27028-7230</t>
  </si>
  <si>
    <t>K800000019</t>
  </si>
  <si>
    <t>BROADWAY JUDY P ETAL</t>
  </si>
  <si>
    <t>PICKETT PATRICIA P</t>
  </si>
  <si>
    <t>268 SEAFORD RD</t>
  </si>
  <si>
    <t>F80000004601</t>
  </si>
  <si>
    <t>GUNTER LORI CARTER</t>
  </si>
  <si>
    <t>131 HILLCREST DR</t>
  </si>
  <si>
    <t>F800000046</t>
  </si>
  <si>
    <t>CARTER LINDA STROUD</t>
  </si>
  <si>
    <t>141 HILLCREST DR</t>
  </si>
  <si>
    <t>J700000072</t>
  </si>
  <si>
    <t>D30000001303</t>
  </si>
  <si>
    <t>WALKER MELANIE CARTER</t>
  </si>
  <si>
    <t>263 SPEER RD</t>
  </si>
  <si>
    <t>27028-4941</t>
  </si>
  <si>
    <t>D30000001301</t>
  </si>
  <si>
    <t>G500000133</t>
  </si>
  <si>
    <t>K700000027</t>
  </si>
  <si>
    <t>WILLIAMS BARBARA B</t>
  </si>
  <si>
    <t>611 CEDAR GROVE CHURCH RD</t>
  </si>
  <si>
    <t>C8030C0007</t>
  </si>
  <si>
    <t>WALSH MONICA G</t>
  </si>
  <si>
    <t>6310 STONEY DR</t>
  </si>
  <si>
    <t>J4040E0016</t>
  </si>
  <si>
    <t>K70000004602</t>
  </si>
  <si>
    <t>MCILWAIN ADAM J</t>
  </si>
  <si>
    <t>MCILWAIN BRITA S</t>
  </si>
  <si>
    <t>450 CEDAR GROVE CHURCH RD</t>
  </si>
  <si>
    <t>J4040A0010</t>
  </si>
  <si>
    <t>SINGH RAMAN</t>
  </si>
  <si>
    <t>400 LOCUST ST</t>
  </si>
  <si>
    <t>E500000040</t>
  </si>
  <si>
    <t>BOGER PAMELA C ESTATE OF</t>
  </si>
  <si>
    <t>I70000008208</t>
  </si>
  <si>
    <t>LANNING JUSTIN</t>
  </si>
  <si>
    <t>LANNING BRITTNEY</t>
  </si>
  <si>
    <t>837 FORK BIXBY RD</t>
  </si>
  <si>
    <t>L5090B0008</t>
  </si>
  <si>
    <t>LIBERTY A M E ZION CHURCH</t>
  </si>
  <si>
    <t>% SYLVESTER CULBERTSON</t>
  </si>
  <si>
    <t>PO BOX 293</t>
  </si>
  <si>
    <t>L60000004103</t>
  </si>
  <si>
    <t>POLLICK BRIAN</t>
  </si>
  <si>
    <t>48 HARKINS LN</t>
  </si>
  <si>
    <t>WILKES BARRE</t>
  </si>
  <si>
    <t>15702-4712</t>
  </si>
  <si>
    <t>J30000003501</t>
  </si>
  <si>
    <t>ANDERSON DAVID HAROLD</t>
  </si>
  <si>
    <t>ANDERSON GLORIA WILSON</t>
  </si>
  <si>
    <t>415 MCALLISTER RD</t>
  </si>
  <si>
    <t>27028-4254</t>
  </si>
  <si>
    <t>G200000055</t>
  </si>
  <si>
    <t>GUNTER BONNIE CHAFFIN</t>
  </si>
  <si>
    <t>391 SHEFFIELD ROAD</t>
  </si>
  <si>
    <t>F100000024</t>
  </si>
  <si>
    <t>MILLS MATTHEW K</t>
  </si>
  <si>
    <t>MILLS MICHELLE H</t>
  </si>
  <si>
    <t>178 JOHN IJAMES RD</t>
  </si>
  <si>
    <t>27028-2246</t>
  </si>
  <si>
    <t>E8110C002401</t>
  </si>
  <si>
    <t>HALL KAITLIN E</t>
  </si>
  <si>
    <t>192 WESTRIDGE DRIVE</t>
  </si>
  <si>
    <t>E8110C0023</t>
  </si>
  <si>
    <t>E40000002802</t>
  </si>
  <si>
    <t>ETCHISON LOU RAY W</t>
  </si>
  <si>
    <t>8700 LASATER RD</t>
  </si>
  <si>
    <t>27012-8450</t>
  </si>
  <si>
    <t>G80000003001</t>
  </si>
  <si>
    <t>27006-0025</t>
  </si>
  <si>
    <t>LEDFORD  RONNIE</t>
  </si>
  <si>
    <t>I10000004501</t>
  </si>
  <si>
    <t>RENE PROPERTIES LLC</t>
  </si>
  <si>
    <t>265 STILLWATER RD</t>
  </si>
  <si>
    <t>28166-8696</t>
  </si>
  <si>
    <t>E400000046</t>
  </si>
  <si>
    <t>ROBUCK KENNETH W</t>
  </si>
  <si>
    <t>ROBUCK CATHERINE M</t>
  </si>
  <si>
    <t>724 PUDDING RIDGE ROAD</t>
  </si>
  <si>
    <t>I300000002</t>
  </si>
  <si>
    <t>B70000007904</t>
  </si>
  <si>
    <t>L3010A0012</t>
  </si>
  <si>
    <t>JACKSON HORATIO ALEARON JR</t>
  </si>
  <si>
    <t>JACKSON CHANTALLE NOREEN</t>
  </si>
  <si>
    <t>153 GLENWOOD RD</t>
  </si>
  <si>
    <t>27028-5384</t>
  </si>
  <si>
    <t>D700000144</t>
  </si>
  <si>
    <t>H5160A0036</t>
  </si>
  <si>
    <t>STOVER RODERICK D</t>
  </si>
  <si>
    <t>STOVER TONI S</t>
  </si>
  <si>
    <t>156 WEST KNOLL BROOK</t>
  </si>
  <si>
    <t>G8010D0006</t>
  </si>
  <si>
    <t>HINSHAW MIKE</t>
  </si>
  <si>
    <t>HINSHAW JANE</t>
  </si>
  <si>
    <t>2008 ERNSFORD DR</t>
  </si>
  <si>
    <t>27103-6243</t>
  </si>
  <si>
    <t>C80000000124</t>
  </si>
  <si>
    <t>580 YADKIN VALLEY RD</t>
  </si>
  <si>
    <t>27006-8704</t>
  </si>
  <si>
    <t>C80000000121</t>
  </si>
  <si>
    <t>C80000000101</t>
  </si>
  <si>
    <t>I5090B0007</t>
  </si>
  <si>
    <t>COIL VIRGINIA B</t>
  </si>
  <si>
    <t>675 N MAIN STREET</t>
  </si>
  <si>
    <t>N5010B0013</t>
  </si>
  <si>
    <t>GADSON JAMIKA LASHAUN</t>
  </si>
  <si>
    <t>PO BOX 188</t>
  </si>
  <si>
    <t>27014-0188</t>
  </si>
  <si>
    <t>E80000001002</t>
  </si>
  <si>
    <t>G700000065</t>
  </si>
  <si>
    <t>REAVIS DIANA MAYHEW</t>
  </si>
  <si>
    <t>1430 BALTIMORE RD</t>
  </si>
  <si>
    <t>H400000088</t>
  </si>
  <si>
    <t>O'REILLY AUTOMOTIVE STORES INC</t>
  </si>
  <si>
    <t>RYAN LLC</t>
  </si>
  <si>
    <t>311 S WACKER DR STE 4800</t>
  </si>
  <si>
    <t>CHICAGO</t>
  </si>
  <si>
    <t>60606-6653</t>
  </si>
  <si>
    <t>J40000002211</t>
  </si>
  <si>
    <t>JEHOVAH WITNESSES</t>
  </si>
  <si>
    <t>1304 COUNTY HOME RD</t>
  </si>
  <si>
    <t>E50000001430</t>
  </si>
  <si>
    <t>LITTLE JACOB G</t>
  </si>
  <si>
    <t>LITTLE SYDNEY</t>
  </si>
  <si>
    <t>27028-7743</t>
  </si>
  <si>
    <t>J4060C000105</t>
  </si>
  <si>
    <t>TUCKER ROBERT LEE JR</t>
  </si>
  <si>
    <t>TUCKER CATLYN GRAY</t>
  </si>
  <si>
    <t>920 HARDISON ST</t>
  </si>
  <si>
    <t>C200000039</t>
  </si>
  <si>
    <t>ROONEY JEFFORY B</t>
  </si>
  <si>
    <t>686 JACK BOOE RD</t>
  </si>
  <si>
    <t>G100000020</t>
  </si>
  <si>
    <t>HARMONY FARM TRUST</t>
  </si>
  <si>
    <t>195 COOPER CREEK DR</t>
  </si>
  <si>
    <t>SUITE 101 - 789</t>
  </si>
  <si>
    <t>27028-5968</t>
  </si>
  <si>
    <t>J300000039</t>
  </si>
  <si>
    <t>GREEN JASON S</t>
  </si>
  <si>
    <t>GREEN MISTY L</t>
  </si>
  <si>
    <t>579 GREENHILL RD</t>
  </si>
  <si>
    <t>27028-4204</t>
  </si>
  <si>
    <t>J300000040</t>
  </si>
  <si>
    <t>F70000001101</t>
  </si>
  <si>
    <t>GREEN  MISTY L</t>
  </si>
  <si>
    <t>N4040A0036</t>
  </si>
  <si>
    <t>DAVIDSON JORDAN W</t>
  </si>
  <si>
    <t>DAVIDSON MITZI M</t>
  </si>
  <si>
    <t>PO BOX 1237</t>
  </si>
  <si>
    <t>27014-1237</t>
  </si>
  <si>
    <t>N600000050</t>
  </si>
  <si>
    <t>NEW BETHEL BAPTIST CHURCH</t>
  </si>
  <si>
    <t>27028-0582</t>
  </si>
  <si>
    <t>N600000051</t>
  </si>
  <si>
    <t>N600000052</t>
  </si>
  <si>
    <t>N600000069</t>
  </si>
  <si>
    <t>M600000041</t>
  </si>
  <si>
    <t>G700000101</t>
  </si>
  <si>
    <t>452 LIVENGOOD RD</t>
  </si>
  <si>
    <t>27006-7012</t>
  </si>
  <si>
    <t>G700000005</t>
  </si>
  <si>
    <t>KRIGLEIN DAVID</t>
  </si>
  <si>
    <t>KRIGLEIN MARY</t>
  </si>
  <si>
    <t>184 KLICKITAT TRL</t>
  </si>
  <si>
    <t>27028-7309</t>
  </si>
  <si>
    <t>H200000036</t>
  </si>
  <si>
    <t>ABEE DEENA B</t>
  </si>
  <si>
    <t>ABEE TIMOTHY R</t>
  </si>
  <si>
    <t>2381 US HIGHWAY 64 W</t>
  </si>
  <si>
    <t>M60000005401</t>
  </si>
  <si>
    <t>CHAFFIN-GREEN TRACIE</t>
  </si>
  <si>
    <t>808 CHERRY HILL RD</t>
  </si>
  <si>
    <t>27028-6626</t>
  </si>
  <si>
    <t>F80000014008</t>
  </si>
  <si>
    <t>BARBER NICHOLAS PAUL</t>
  </si>
  <si>
    <t>BARBER KAYLA NOELLE</t>
  </si>
  <si>
    <t>1277 UNDERPASS RD</t>
  </si>
  <si>
    <t>27006-7531</t>
  </si>
  <si>
    <t>N600000022</t>
  </si>
  <si>
    <t>M4130A002101</t>
  </si>
  <si>
    <t>GARCIA RAUL RODRIGUEZ</t>
  </si>
  <si>
    <t>HERNANDEZ ROSA CARMINA RECENDI</t>
  </si>
  <si>
    <t>121 WESTVIEW AVENUE</t>
  </si>
  <si>
    <t>G500000104</t>
  </si>
  <si>
    <t>BETHEA CHRISTOPHER TAYLOR</t>
  </si>
  <si>
    <t>1980 KNIGHT RD</t>
  </si>
  <si>
    <t>27284-9184</t>
  </si>
  <si>
    <t>B70000009206</t>
  </si>
  <si>
    <t>SMITH JODI A</t>
  </si>
  <si>
    <t>974 YADKIN VALLEY RD</t>
  </si>
  <si>
    <t>C8010A0242</t>
  </si>
  <si>
    <t>MASON LINDA J</t>
  </si>
  <si>
    <t>140 MILLSTONE LN</t>
  </si>
  <si>
    <t>B400000050</t>
  </si>
  <si>
    <t>PARKS DONALD WILLIAM</t>
  </si>
  <si>
    <t>SILER CONNIE L</t>
  </si>
  <si>
    <t>3466 REDMAN RD</t>
  </si>
  <si>
    <t>27055-8666</t>
  </si>
  <si>
    <t>B400000049</t>
  </si>
  <si>
    <t>B400000030</t>
  </si>
  <si>
    <t>B40000005001</t>
  </si>
  <si>
    <t>B400000051</t>
  </si>
  <si>
    <t>E30000006904</t>
  </si>
  <si>
    <t>BLEDSOE COURTNEY L</t>
  </si>
  <si>
    <t>BLEDSOE FRANKLIN C III</t>
  </si>
  <si>
    <t>160 DANIEL BOONE TRL</t>
  </si>
  <si>
    <t>F30000006803</t>
  </si>
  <si>
    <t>LANE WANDA</t>
  </si>
  <si>
    <t>281 BRACKEN RD</t>
  </si>
  <si>
    <t>D30000005503</t>
  </si>
  <si>
    <t>PAPPAS PETER J</t>
  </si>
  <si>
    <t>953 EATONS CHURCH ROAD</t>
  </si>
  <si>
    <t>C30000003401</t>
  </si>
  <si>
    <t>PATTERSON MARY H</t>
  </si>
  <si>
    <t>4554 NC HIGHWAY 801 NORTH</t>
  </si>
  <si>
    <t>C8010A0088</t>
  </si>
  <si>
    <t>JORDAN JAMES PHILIP</t>
  </si>
  <si>
    <t>JORDAN SHARAE</t>
  </si>
  <si>
    <t>118 LAKEPOINT DR</t>
  </si>
  <si>
    <t>27006-8615</t>
  </si>
  <si>
    <t>E8100A0008</t>
  </si>
  <si>
    <t>BURKHART L PAUL</t>
  </si>
  <si>
    <t>260 OVERLOOK DR</t>
  </si>
  <si>
    <t>I5060B0013</t>
  </si>
  <si>
    <t>HOOPER DOROTHY JEAN</t>
  </si>
  <si>
    <t>171 WHITNEY RD</t>
  </si>
  <si>
    <t>27028-2820</t>
  </si>
  <si>
    <t>B300000090</t>
  </si>
  <si>
    <t>DILLARD SCOTTY TYRONE</t>
  </si>
  <si>
    <t>DILLARD AMANDA M</t>
  </si>
  <si>
    <t>235 LEISURE LN</t>
  </si>
  <si>
    <t>27028-4847</t>
  </si>
  <si>
    <t>B300000091</t>
  </si>
  <si>
    <t>J300000038</t>
  </si>
  <si>
    <t>KAZIMAR MICHAEL</t>
  </si>
  <si>
    <t>KAZIMAR CARLA</t>
  </si>
  <si>
    <t>557 GREENHILL RD</t>
  </si>
  <si>
    <t>L4130A0003</t>
  </si>
  <si>
    <t>PARNELL PAMELA HOWARD</t>
  </si>
  <si>
    <t>% PAMELA ROFF</t>
  </si>
  <si>
    <t>525 GLADSTONE ROAD</t>
  </si>
  <si>
    <t>K5160A0010</t>
  </si>
  <si>
    <t>CORRIHER BRADFORD MARK</t>
  </si>
  <si>
    <t>9722 BLACKBIRD HILL LN</t>
  </si>
  <si>
    <t>MINT HILL</t>
  </si>
  <si>
    <t>28227-5580</t>
  </si>
  <si>
    <t>L400000022  A</t>
  </si>
  <si>
    <t>CORRIHER MARK BRADFORD</t>
  </si>
  <si>
    <t>F800000130</t>
  </si>
  <si>
    <t>PEEBLES LAWRENCE B JR</t>
  </si>
  <si>
    <t>PEEBLES MARITA</t>
  </si>
  <si>
    <t>170 JARVIS ROAD</t>
  </si>
  <si>
    <t>K5160A0012</t>
  </si>
  <si>
    <t>CORRIHER MARK B</t>
  </si>
  <si>
    <t>CORRIHER CAROLYN T</t>
  </si>
  <si>
    <t>I3010A0002</t>
  </si>
  <si>
    <t>D3010A0026</t>
  </si>
  <si>
    <t>DIXON ROSETTA C</t>
  </si>
  <si>
    <t>111 GREENFIELD RD</t>
  </si>
  <si>
    <t>D500000102</t>
  </si>
  <si>
    <t>REECE JAMIE D</t>
  </si>
  <si>
    <t>REECE FRANCES O</t>
  </si>
  <si>
    <t>157 KENNEN KREST RD</t>
  </si>
  <si>
    <t>F300000088</t>
  </si>
  <si>
    <t>VILLICANA RODRIGUEZ PETRA</t>
  </si>
  <si>
    <t>125 FAWN BROOK DR</t>
  </si>
  <si>
    <t>27292-7998</t>
  </si>
  <si>
    <t>F50000001003</t>
  </si>
  <si>
    <t>HALL JOSHUA SURPHINE</t>
  </si>
  <si>
    <t>HALL ASHLEY</t>
  </si>
  <si>
    <t>164 DUSTY HILL RD</t>
  </si>
  <si>
    <t>M5160A0013</t>
  </si>
  <si>
    <t>COOK JEFFREY PETER</t>
  </si>
  <si>
    <t>COOK KATHRINE MARIE</t>
  </si>
  <si>
    <t>PO BOX 964</t>
  </si>
  <si>
    <t>27014-0964</t>
  </si>
  <si>
    <t>N5010C0004</t>
  </si>
  <si>
    <t>COE JEREMY</t>
  </si>
  <si>
    <t>BURCH JOHN</t>
  </si>
  <si>
    <t>309 E HOUSTON ST</t>
  </si>
  <si>
    <t>28112-5633</t>
  </si>
  <si>
    <t>M5090A0005</t>
  </si>
  <si>
    <t>HOGUE JASON D</t>
  </si>
  <si>
    <t>PO BOX 953</t>
  </si>
  <si>
    <t>27014-0953</t>
  </si>
  <si>
    <t>G8130B000402</t>
  </si>
  <si>
    <t>ZIMMERMAN BRENDA DIANNE</t>
  </si>
  <si>
    <t>255 HERITAGE HILLS UNIT B</t>
  </si>
  <si>
    <t>SOMERS</t>
  </si>
  <si>
    <t>M4130A0054</t>
  </si>
  <si>
    <t>RYCROFT BOBBY</t>
  </si>
  <si>
    <t>RYCROFT TIFFANY</t>
  </si>
  <si>
    <t>PO BOX 264</t>
  </si>
  <si>
    <t>27014-0264</t>
  </si>
  <si>
    <t>N5010A0003</t>
  </si>
  <si>
    <t>PROBST LAURENCE</t>
  </si>
  <si>
    <t>NEELY KRISTEN BRIGGS</t>
  </si>
  <si>
    <t>PO BOX 837</t>
  </si>
  <si>
    <t>27014-0837</t>
  </si>
  <si>
    <t>N5010C0072</t>
  </si>
  <si>
    <t>OWENS MONA B</t>
  </si>
  <si>
    <t>PO BOX 1313</t>
  </si>
  <si>
    <t>27014-1313</t>
  </si>
  <si>
    <t>N4040A0020</t>
  </si>
  <si>
    <t>NETTLES CARL</t>
  </si>
  <si>
    <t>NETTLES KARA</t>
  </si>
  <si>
    <t>PO BOX 727</t>
  </si>
  <si>
    <t>27014-0727</t>
  </si>
  <si>
    <t>M5160A0014</t>
  </si>
  <si>
    <t>SITUMORANG MUTIARA M</t>
  </si>
  <si>
    <t>SPERO CHRISTOPHER</t>
  </si>
  <si>
    <t>PO BOX 817</t>
  </si>
  <si>
    <t>27014-0817</t>
  </si>
  <si>
    <t>J400000034</t>
  </si>
  <si>
    <t>TOLER TIFFANY</t>
  </si>
  <si>
    <t>1164 JERICHO CHURCH RD</t>
  </si>
  <si>
    <t>27028-4214</t>
  </si>
  <si>
    <t>J40000003602</t>
  </si>
  <si>
    <t>CHAMBERS LARRY CALVIN JR</t>
  </si>
  <si>
    <t>CHAMBERS LAKEYSIA DETOREA</t>
  </si>
  <si>
    <t>1189 JERICHO CHURCH RD</t>
  </si>
  <si>
    <t>H300000022</t>
  </si>
  <si>
    <t>ROBBINS JOHNNY E JR</t>
  </si>
  <si>
    <t>2205 US HIGHWAY 64 W</t>
  </si>
  <si>
    <t>C30000012402</t>
  </si>
  <si>
    <t>SMITH JACOB CODY</t>
  </si>
  <si>
    <t>LANG MEREDITH</t>
  </si>
  <si>
    <t>173 CROWS NEST LN</t>
  </si>
  <si>
    <t>C700000043</t>
  </si>
  <si>
    <t>ELLIOTT STEPHEN SEALS</t>
  </si>
  <si>
    <t>172 WOOD LANE</t>
  </si>
  <si>
    <t>H700000025</t>
  </si>
  <si>
    <t>TRITT D COLE II</t>
  </si>
  <si>
    <t>TRITT ASHLEY</t>
  </si>
  <si>
    <t>115 NAIL LANE</t>
  </si>
  <si>
    <t>27028-7339</t>
  </si>
  <si>
    <t>C500000080</t>
  </si>
  <si>
    <t>CRAVEN KAYLA NICOLE</t>
  </si>
  <si>
    <t>2198 NC HIGHWAY 801 N</t>
  </si>
  <si>
    <t>C7100A0030</t>
  </si>
  <si>
    <t>ANTUNEZ ARACELI GAMA</t>
  </si>
  <si>
    <t>107 BROOK HILL CT</t>
  </si>
  <si>
    <t>27006-7922</t>
  </si>
  <si>
    <t>C8010C0021</t>
  </si>
  <si>
    <t>JONES WALLY W JR</t>
  </si>
  <si>
    <t>JONES IRIS D</t>
  </si>
  <si>
    <t>307 KILBOURNE DRIVE</t>
  </si>
  <si>
    <t>H4130A0076</t>
  </si>
  <si>
    <t>MCDOWELL BRENDA MICHELLE</t>
  </si>
  <si>
    <t>254 SUMMIT DR</t>
  </si>
  <si>
    <t>D300000042</t>
  </si>
  <si>
    <t>HOLBROOK TABITHA CLEARY</t>
  </si>
  <si>
    <t>177 SUNFLOWER TRL</t>
  </si>
  <si>
    <t>27028-4774</t>
  </si>
  <si>
    <t>D30000005108</t>
  </si>
  <si>
    <t>E80000001707</t>
  </si>
  <si>
    <t>KEPHART NICKOLAS ANDREW</t>
  </si>
  <si>
    <t>1358 UNDERPASS RD</t>
  </si>
  <si>
    <t>B50000004201</t>
  </si>
  <si>
    <t>STEELE ANTHONY L</t>
  </si>
  <si>
    <t>HAINES KIMBERLY ANN</t>
  </si>
  <si>
    <t>179 ABBEY LN</t>
  </si>
  <si>
    <t>27028-6100</t>
  </si>
  <si>
    <t>B70000004907</t>
  </si>
  <si>
    <t>BARBER ALAN FRANKLIN</t>
  </si>
  <si>
    <t>224 JESSE KING RD</t>
  </si>
  <si>
    <t>J6050E0005</t>
  </si>
  <si>
    <t>MUSTAPICH TIFFANY A</t>
  </si>
  <si>
    <t>136 MEADOWVIEW RD</t>
  </si>
  <si>
    <t>I4120B0016</t>
  </si>
  <si>
    <t>BOOSE LICHELLE J</t>
  </si>
  <si>
    <t>39 NAYLOR ST</t>
  </si>
  <si>
    <t>M5160D0015</t>
  </si>
  <si>
    <t>COPE LARRY G</t>
  </si>
  <si>
    <t>871 DANIEL RD</t>
  </si>
  <si>
    <t>27028-5126</t>
  </si>
  <si>
    <t>L400000057</t>
  </si>
  <si>
    <t>L40000003405</t>
  </si>
  <si>
    <t>L50000001310</t>
  </si>
  <si>
    <t>N500000030</t>
  </si>
  <si>
    <t>K70000006301</t>
  </si>
  <si>
    <t>I80000001611</t>
  </si>
  <si>
    <t>HALL ANGELA MARIE</t>
  </si>
  <si>
    <t>134 WORKHORSE LANE</t>
  </si>
  <si>
    <t>B40000001604</t>
  </si>
  <si>
    <t>MCCARTNEY NATHAN A</t>
  </si>
  <si>
    <t>MCCARTNEY SHANNON L</t>
  </si>
  <si>
    <t>237 BONKIN LAKE RD</t>
  </si>
  <si>
    <t>27028-7864</t>
  </si>
  <si>
    <t>B400000016</t>
  </si>
  <si>
    <t>J800000022</t>
  </si>
  <si>
    <t>YOUNG REBECCA JANE</t>
  </si>
  <si>
    <t>3535 NC HIGHWAY 801 S</t>
  </si>
  <si>
    <t>L5100A003301</t>
  </si>
  <si>
    <t>WILKINSON THOMAS PAUL</t>
  </si>
  <si>
    <t>WILKINSON LINDA JEANNE</t>
  </si>
  <si>
    <t>157 GLADSTONE RD</t>
  </si>
  <si>
    <t>27028-5232</t>
  </si>
  <si>
    <t>mbeck</t>
  </si>
  <si>
    <t>D8080D003701</t>
  </si>
  <si>
    <t>OWENS PROPERTIES LLC</t>
  </si>
  <si>
    <t>2710 OLD TOWN CLUB ROAD</t>
  </si>
  <si>
    <t>D8020A0017</t>
  </si>
  <si>
    <t>GUVER YILMAZ</t>
  </si>
  <si>
    <t>167 IVY CIRCLE</t>
  </si>
  <si>
    <t>H50000002915</t>
  </si>
  <si>
    <t>LAVALLEY MATTHEW JOSEPH</t>
  </si>
  <si>
    <t>WHEELER JESSICA LYNNE</t>
  </si>
  <si>
    <t>397 OAK GROVE CHURCH RD</t>
  </si>
  <si>
    <t>27028-4312</t>
  </si>
  <si>
    <t>G500000141</t>
  </si>
  <si>
    <t>MARRS WILLIAM HUDSON</t>
  </si>
  <si>
    <t>138 DOGWOOD LN</t>
  </si>
  <si>
    <t>D100000041</t>
  </si>
  <si>
    <t>TOMEL JOHN M</t>
  </si>
  <si>
    <t>TOMEL CASANDRA LOWERY</t>
  </si>
  <si>
    <t>1342 BEAR CREEK CHURCH RD</t>
  </si>
  <si>
    <t>D9090B0016</t>
  </si>
  <si>
    <t>LEWIS AUSTIN JAMES</t>
  </si>
  <si>
    <t>LEWIS NANCY MARY</t>
  </si>
  <si>
    <t>217 OLEANDER DR</t>
  </si>
  <si>
    <t>K100000034</t>
  </si>
  <si>
    <t>STEELE MARSHALL TODD</t>
  </si>
  <si>
    <t>GULLETT TROYIE DANNIELLE</t>
  </si>
  <si>
    <t>154 CAMPGROUND RD</t>
  </si>
  <si>
    <t>28625-9443</t>
  </si>
  <si>
    <t>I5060B0009</t>
  </si>
  <si>
    <t>MCLELLAND RUSTY L</t>
  </si>
  <si>
    <t>MCLELLAND JUSTIN N</t>
  </si>
  <si>
    <t>142 WHITNEY RD</t>
  </si>
  <si>
    <t>C8030A001103</t>
  </si>
  <si>
    <t>PARAJELES MONZERRAT MESALLES</t>
  </si>
  <si>
    <t>FULLER DAVONTA R</t>
  </si>
  <si>
    <t>167 PINEWOOD LN</t>
  </si>
  <si>
    <t>H5150A0003</t>
  </si>
  <si>
    <t>OVERCASH JUSTIN DONALD</t>
  </si>
  <si>
    <t>OVERCASH CATHERINE ANN</t>
  </si>
  <si>
    <t>177 ROSEWOOD LN</t>
  </si>
  <si>
    <t>27028-2743</t>
  </si>
  <si>
    <t>L600000030</t>
  </si>
  <si>
    <t>CROTTS TOMMY STEVEN</t>
  </si>
  <si>
    <t>CROTTS JAYNE HAYNES</t>
  </si>
  <si>
    <t>198 HUCKLEBERRY LN</t>
  </si>
  <si>
    <t>27028-5410</t>
  </si>
  <si>
    <t>L60000003002</t>
  </si>
  <si>
    <t>LOWDERMILK TOMMIE CROTTS</t>
  </si>
  <si>
    <t>LOWDERMILK WILLIAM GRADY III</t>
  </si>
  <si>
    <t>301 SONATA DR</t>
  </si>
  <si>
    <t>27023-8301</t>
  </si>
  <si>
    <t>B500000117</t>
  </si>
  <si>
    <t>DUDNEY GEOFFREY</t>
  </si>
  <si>
    <t>OUTLAW CRYSTAL</t>
  </si>
  <si>
    <t>166 ABBEY LN</t>
  </si>
  <si>
    <t>I5110A0013</t>
  </si>
  <si>
    <t>IMES CONSTANCE JEANETTE</t>
  </si>
  <si>
    <t>269 MOUNTVIEW DR</t>
  </si>
  <si>
    <t>G30000001604</t>
  </si>
  <si>
    <t>GRANNAMAN RICHARD BURTON</t>
  </si>
  <si>
    <t>234 GRANNAMAN DR</t>
  </si>
  <si>
    <t>G600000106</t>
  </si>
  <si>
    <t>SANTYMIRE ROBERT I</t>
  </si>
  <si>
    <t>SANTYMIRE LINDA K</t>
  </si>
  <si>
    <t>195 TRIPLE CREEK TRL</t>
  </si>
  <si>
    <t>D700000164</t>
  </si>
  <si>
    <t>NEWMAN SAMUEL</t>
  </si>
  <si>
    <t>27006-6900</t>
  </si>
  <si>
    <t>D70000016501</t>
  </si>
  <si>
    <t>J4050D0002</t>
  </si>
  <si>
    <t>LEDONNE JOANNE</t>
  </si>
  <si>
    <t>D8070A0032</t>
  </si>
  <si>
    <t>MORGAN SAMUEL G</t>
  </si>
  <si>
    <t>MORGAN BRIGITTE L</t>
  </si>
  <si>
    <t>PO BOX 24903</t>
  </si>
  <si>
    <t>27114-4903</t>
  </si>
  <si>
    <t>G50000000708</t>
  </si>
  <si>
    <t>RICHARDS SARAH C</t>
  </si>
  <si>
    <t>124 DRIFTWOOD DR</t>
  </si>
  <si>
    <t>28117-7485</t>
  </si>
  <si>
    <t>H70000000909</t>
  </si>
  <si>
    <t>SMITH JOHNATHAN KELLY</t>
  </si>
  <si>
    <t>SMITH ANNA RITCHIE</t>
  </si>
  <si>
    <t>280 RALPH RD</t>
  </si>
  <si>
    <t>M4130B0017</t>
  </si>
  <si>
    <t>BRAY PATRICIA IJAMES</t>
  </si>
  <si>
    <t>110 MAIN STREET #844</t>
  </si>
  <si>
    <t>H4190A0011</t>
  </si>
  <si>
    <t>STROTHER-MAYER TRACY REV TRUST</t>
  </si>
  <si>
    <t>STROTHER BRADLEY L REV TRUST</t>
  </si>
  <si>
    <t>PO BOX 1110</t>
  </si>
  <si>
    <t>E80000000403</t>
  </si>
  <si>
    <t>BARR TONY F</t>
  </si>
  <si>
    <t>BARR ERIEN W</t>
  </si>
  <si>
    <t>523 HILLCREST DR</t>
  </si>
  <si>
    <t>L600000041</t>
  </si>
  <si>
    <t>RODGERS TREVOR A</t>
  </si>
  <si>
    <t>5987 NC HIGHWAY 801 S</t>
  </si>
  <si>
    <t>27028-5406</t>
  </si>
  <si>
    <t>E9150A0022</t>
  </si>
  <si>
    <t>GRIFFIN DAVID MATTHEW</t>
  </si>
  <si>
    <t>GRIFFIN SHANNON WOOD</t>
  </si>
  <si>
    <t>120 WOODLANDS CT</t>
  </si>
  <si>
    <t>K20000000701</t>
  </si>
  <si>
    <t>HENDERSON LAURIE ANN</t>
  </si>
  <si>
    <t>HENDERSON MICHAEL KEVIN</t>
  </si>
  <si>
    <t>136 MORRISON RD</t>
  </si>
  <si>
    <t>I4060A0012</t>
  </si>
  <si>
    <t>SIGLAIN JENNIFER</t>
  </si>
  <si>
    <t>768 YADKINVILLE RD</t>
  </si>
  <si>
    <t>27028-2054</t>
  </si>
  <si>
    <t>D20000001306</t>
  </si>
  <si>
    <t>HEMPSTEAD ANNETTE SHOFFNER</t>
  </si>
  <si>
    <t>HEMPSTEAD GERALD I</t>
  </si>
  <si>
    <t>140 DUARD REAVIS ROAD</t>
  </si>
  <si>
    <t>H700000079</t>
  </si>
  <si>
    <t>HENDRIX MAXINE HEIRS</t>
  </si>
  <si>
    <t>1451 FORK BIXBY RD</t>
  </si>
  <si>
    <t>H9080A0007</t>
  </si>
  <si>
    <t>WOOTEN CALEB</t>
  </si>
  <si>
    <t>WOOTEN SHERRI</t>
  </si>
  <si>
    <t>151 FALLINGCREEK DR</t>
  </si>
  <si>
    <t>B5010A0001</t>
  </si>
  <si>
    <t>SALAZAR SANDRA CHIQUITO</t>
  </si>
  <si>
    <t>257 GRIFFITH RD</t>
  </si>
  <si>
    <t>M5100C001601</t>
  </si>
  <si>
    <t>SPRY KATHY CHAPPELL</t>
  </si>
  <si>
    <t>154 SWICEGOOD ST</t>
  </si>
  <si>
    <t>M5100C0007</t>
  </si>
  <si>
    <t>C8010A0012</t>
  </si>
  <si>
    <t>TOBUREN GWENDOLYN B</t>
  </si>
  <si>
    <t>103 ROSEWALK LN</t>
  </si>
  <si>
    <t>K5160A001101</t>
  </si>
  <si>
    <t>M5160C0002</t>
  </si>
  <si>
    <t>HARNEY CARRIE</t>
  </si>
  <si>
    <t>386 GARDEN VALLEY RD</t>
  </si>
  <si>
    <t>28625-9481</t>
  </si>
  <si>
    <t>C8010A0112</t>
  </si>
  <si>
    <t>HYMEN WILLIAM E</t>
  </si>
  <si>
    <t>HYMEN RENEE M</t>
  </si>
  <si>
    <t>199 BROOKSTONE DR</t>
  </si>
  <si>
    <t>L60000004801</t>
  </si>
  <si>
    <t>GREENE RANDY D</t>
  </si>
  <si>
    <t>145 LANCELOT LANE</t>
  </si>
  <si>
    <t>27078-0000</t>
  </si>
  <si>
    <t>C7100A0014</t>
  </si>
  <si>
    <t>ROBERTSON RONALD E JR</t>
  </si>
  <si>
    <t>ROBERTSON CATHY A</t>
  </si>
  <si>
    <t>113 NORMA LANE</t>
  </si>
  <si>
    <t>K50000007402</t>
  </si>
  <si>
    <t>SPEER KIM R</t>
  </si>
  <si>
    <t>389 WILL BOONE RD</t>
  </si>
  <si>
    <t>I20000000904</t>
  </si>
  <si>
    <t>COLLINS JENNIFER ANDREWS</t>
  </si>
  <si>
    <t>1302 GODBEY RD</t>
  </si>
  <si>
    <t>27028-8247</t>
  </si>
  <si>
    <t>D8060B0022</t>
  </si>
  <si>
    <t>CLUBCORP NV XII LLC</t>
  </si>
  <si>
    <t>423-CLUBCORP INC</t>
  </si>
  <si>
    <t>%PROPERTY TAX DEPT</t>
  </si>
  <si>
    <t>PO BOX 2539</t>
  </si>
  <si>
    <t>78299-2539</t>
  </si>
  <si>
    <t>D800000023</t>
  </si>
  <si>
    <t>D8100A0006  A</t>
  </si>
  <si>
    <t>D8070D0015</t>
  </si>
  <si>
    <t>D80000002601</t>
  </si>
  <si>
    <t>E9150A005702</t>
  </si>
  <si>
    <t>E9150A006402</t>
  </si>
  <si>
    <t>J4140A0010</t>
  </si>
  <si>
    <t>BARNHARDT TODD</t>
  </si>
  <si>
    <t>BARNHARDT SUZANNE</t>
  </si>
  <si>
    <t>3332 HIGHWAY 801 SOUTH</t>
  </si>
  <si>
    <t>F80000007505</t>
  </si>
  <si>
    <t>MAYHEW ANDREW J</t>
  </si>
  <si>
    <t>MAYHEW KAREN</t>
  </si>
  <si>
    <t>244 MOCKS CHURCH RD</t>
  </si>
  <si>
    <t>E300000129</t>
  </si>
  <si>
    <t>CROTTS MEGAN MARY</t>
  </si>
  <si>
    <t>E30000011602</t>
  </si>
  <si>
    <t>E70000004102</t>
  </si>
  <si>
    <t>SPEARIN LEROY ERNEST</t>
  </si>
  <si>
    <t>112 JUNEY BEAUCHAMP RD</t>
  </si>
  <si>
    <t>27006-7827</t>
  </si>
  <si>
    <t>G8010D0011</t>
  </si>
  <si>
    <t>JORDAN JAMES ERIC</t>
  </si>
  <si>
    <t>JORDAN KRISTEN GREEN</t>
  </si>
  <si>
    <t>1869 CURRAGHMORE RD</t>
  </si>
  <si>
    <t>27012-8852</t>
  </si>
  <si>
    <t>I200000028</t>
  </si>
  <si>
    <t>HODGES NANCY H</t>
  </si>
  <si>
    <t>200 HODGES DR</t>
  </si>
  <si>
    <t>G600000017</t>
  </si>
  <si>
    <t>ROMANO PETER</t>
  </si>
  <si>
    <t>ROMANO BARBARA</t>
  </si>
  <si>
    <t>400 DULIN ROAD</t>
  </si>
  <si>
    <t>C8030A001102</t>
  </si>
  <si>
    <t>BRIGGS KIMBERLY</t>
  </si>
  <si>
    <t>165 PINEWOOD LN</t>
  </si>
  <si>
    <t>K700000059</t>
  </si>
  <si>
    <t>BOWEN HEATHER JOHNSON</t>
  </si>
  <si>
    <t>207 RIVERVIEW RD</t>
  </si>
  <si>
    <t>27006-7033</t>
  </si>
  <si>
    <t>E8150A000101</t>
  </si>
  <si>
    <t>PLEMMONS AUSTIN L</t>
  </si>
  <si>
    <t>PLEMMONS HALEY M</t>
  </si>
  <si>
    <t>1078 NC HIGHWAY 801 S</t>
  </si>
  <si>
    <t>I5050C0038</t>
  </si>
  <si>
    <t>HERNANDEZ ROBERTO ANTONIO</t>
  </si>
  <si>
    <t>QUEZADA HADA MERYS</t>
  </si>
  <si>
    <t>522 WHITNEY RD</t>
  </si>
  <si>
    <t>27028-2893</t>
  </si>
  <si>
    <t>D8100B0007</t>
  </si>
  <si>
    <t>CRONIN PAUL C</t>
  </si>
  <si>
    <t>CRONIN KAREN THOMAS</t>
  </si>
  <si>
    <t>618 RIVERBEND DR</t>
  </si>
  <si>
    <t>M60000002901</t>
  </si>
  <si>
    <t>GURNEY LESLEY MARIE</t>
  </si>
  <si>
    <t>281 HOUSTON RD</t>
  </si>
  <si>
    <t>J6100A0026</t>
  </si>
  <si>
    <t>KILFOIL REV LIV TRUST</t>
  </si>
  <si>
    <t>144 N LAKE LOUISE DR</t>
  </si>
  <si>
    <t>C8010D0045</t>
  </si>
  <si>
    <t>BOTZENHART ERIN E</t>
  </si>
  <si>
    <t>BOTZENHART MATTHEW R</t>
  </si>
  <si>
    <t>343 TOWNPARK DRIVE</t>
  </si>
  <si>
    <t>E9150B0064</t>
  </si>
  <si>
    <t>BLIZARD DAVID MARK</t>
  </si>
  <si>
    <t>BLIZARD PAMELA INGRAM</t>
  </si>
  <si>
    <t>218 ORCHARD PARK DRIVE</t>
  </si>
  <si>
    <t>C8030A000101</t>
  </si>
  <si>
    <t>WORLEY HOLLY N</t>
  </si>
  <si>
    <t>132 PINEWOOD LN UNIT 101</t>
  </si>
  <si>
    <t>G3060B0012</t>
  </si>
  <si>
    <t>JOHNSON JOHN</t>
  </si>
  <si>
    <t>JOHNSON RUTH ANN</t>
  </si>
  <si>
    <t>333 IJAMES CHURCH RD</t>
  </si>
  <si>
    <t>J4140A0003</t>
  </si>
  <si>
    <t>MOW EDWIN</t>
  </si>
  <si>
    <t>210 NEW HAMPSHIRE CT</t>
  </si>
  <si>
    <t>I80000000602</t>
  </si>
  <si>
    <t>MEBEL RAFAIL REV TRUST AGREEMENT</t>
  </si>
  <si>
    <t>MEBEL VANESSA E REV TRUST AGRE</t>
  </si>
  <si>
    <t>172 MYERS FARM TRL</t>
  </si>
  <si>
    <t>27006-7291</t>
  </si>
  <si>
    <t>D30000003301</t>
  </si>
  <si>
    <t>BARNEY PATRICK JARVIS</t>
  </si>
  <si>
    <t>4231 US HIGHWAY 601 N</t>
  </si>
  <si>
    <t>E5020A0027</t>
  </si>
  <si>
    <t>KREGER WILLIAM R</t>
  </si>
  <si>
    <t>KREGER ANGELA M</t>
  </si>
  <si>
    <t>261 CORNWALLIS DR</t>
  </si>
  <si>
    <t>H5170A0039</t>
  </si>
  <si>
    <t>ALLEN TRAVIS HALE</t>
  </si>
  <si>
    <t>ALLEN WHITNEY WALSER</t>
  </si>
  <si>
    <t>27028-0351</t>
  </si>
  <si>
    <t>M60000003706</t>
  </si>
  <si>
    <t>POWELL CINDY B</t>
  </si>
  <si>
    <t>523 STUART RDG</t>
  </si>
  <si>
    <t>CRAMERTON</t>
  </si>
  <si>
    <t>28032-1633</t>
  </si>
  <si>
    <t>I5050B0019</t>
  </si>
  <si>
    <t>HOLLIMAN BRANDON C</t>
  </si>
  <si>
    <t>HOLLIMAN KRISI N</t>
  </si>
  <si>
    <t>559 WHITNEY RD</t>
  </si>
  <si>
    <t>F1030A0008</t>
  </si>
  <si>
    <t>PEEBLES CHAVIN ERIC</t>
  </si>
  <si>
    <t>162 MOLLIE RD</t>
  </si>
  <si>
    <t>E900000431</t>
  </si>
  <si>
    <t>CALDWELL JONATHAN FREDERICK</t>
  </si>
  <si>
    <t>CALDWELL MARGARET</t>
  </si>
  <si>
    <t>121 FOXMOOR CT</t>
  </si>
  <si>
    <t>J5030A000401</t>
  </si>
  <si>
    <t>DRAKE PROPERTIES LLC</t>
  </si>
  <si>
    <t>6618 OLEANDER LN</t>
  </si>
  <si>
    <t>PORTAGE</t>
  </si>
  <si>
    <t>49024-3930</t>
  </si>
  <si>
    <t>J5050A0035</t>
  </si>
  <si>
    <t>L4050A0003</t>
  </si>
  <si>
    <t>JONES JACKIE R</t>
  </si>
  <si>
    <t>117 HUFFMAN RD</t>
  </si>
  <si>
    <t>27028-5310</t>
  </si>
  <si>
    <t>C70000004901</t>
  </si>
  <si>
    <t>HUTCHENS TYLER</t>
  </si>
  <si>
    <t>HUTCHENS BETHANY</t>
  </si>
  <si>
    <t>163 WOOD LN</t>
  </si>
  <si>
    <t>27006-6749</t>
  </si>
  <si>
    <t>I1110C0004</t>
  </si>
  <si>
    <t>REYES SANDRA YAMILETA</t>
  </si>
  <si>
    <t>121 RED MAPLE LN</t>
  </si>
  <si>
    <t>F80000002225</t>
  </si>
  <si>
    <t>PONTORIERO ANTHONY JOHN</t>
  </si>
  <si>
    <t>PONTORIERO ERICA ANN</t>
  </si>
  <si>
    <t>160 ARROW GLENN COURT</t>
  </si>
  <si>
    <t>D8060B0012</t>
  </si>
  <si>
    <t>GEORGE WILLIAM A</t>
  </si>
  <si>
    <t>GEORGE DEBORA O</t>
  </si>
  <si>
    <t>120 BENT ST</t>
  </si>
  <si>
    <t>C8010D0036</t>
  </si>
  <si>
    <t>BERMAS MA ASUNCION LOPEZ</t>
  </si>
  <si>
    <t>MALABANAN JEFFREY NAAG</t>
  </si>
  <si>
    <t>120 PENDLETON DR</t>
  </si>
  <si>
    <t>I1110C0005</t>
  </si>
  <si>
    <t>I1110C0003</t>
  </si>
  <si>
    <t>C7100A0015</t>
  </si>
  <si>
    <t>C8010A0188</t>
  </si>
  <si>
    <t>HARRIS DONNA LINEBACK</t>
  </si>
  <si>
    <t>169 MARY LN</t>
  </si>
  <si>
    <t>I20000000903</t>
  </si>
  <si>
    <t>G300000016</t>
  </si>
  <si>
    <t>FIELDS LINDA GRANNAMAN ETAL</t>
  </si>
  <si>
    <t>E9150A0032</t>
  </si>
  <si>
    <t>FRANCO MARIA LOYOLA</t>
  </si>
  <si>
    <t>FRANCO DANIEL</t>
  </si>
  <si>
    <t>109 HIDDEN CREEK DR</t>
  </si>
  <si>
    <t>H4200A0018</t>
  </si>
  <si>
    <t>COHEN JUSTIN</t>
  </si>
  <si>
    <t>176 EDGEWATER CT</t>
  </si>
  <si>
    <t>C30000007801</t>
  </si>
  <si>
    <t>PHILLIPS SETH LANDAN</t>
  </si>
  <si>
    <t>4541 US HIGHWAY 601 N</t>
  </si>
  <si>
    <t>B200000039</t>
  </si>
  <si>
    <t>PRIM JOEY</t>
  </si>
  <si>
    <t>PRIM DARREN CHASE</t>
  </si>
  <si>
    <t>661 CHINQUAPIN RD</t>
  </si>
  <si>
    <t>27028-4712</t>
  </si>
  <si>
    <t>C8030B0018</t>
  </si>
  <si>
    <t>WATSON SABRAH</t>
  </si>
  <si>
    <t>304 TOWN PARK DR UT 302</t>
  </si>
  <si>
    <t>27006-8627</t>
  </si>
  <si>
    <t>F60000000203</t>
  </si>
  <si>
    <t>BOHANNON MATTHEW N</t>
  </si>
  <si>
    <t>BOHANNON MICHELLE A</t>
  </si>
  <si>
    <t>141 ACORN LN</t>
  </si>
  <si>
    <t>K500000043</t>
  </si>
  <si>
    <t>REAVIS RYAN</t>
  </si>
  <si>
    <t>130 TURRENTINE CHURCH RD</t>
  </si>
  <si>
    <t>I5160C0007</t>
  </si>
  <si>
    <t>TAGNANI TESS AMBER</t>
  </si>
  <si>
    <t>136 CARTNER ST</t>
  </si>
  <si>
    <t>J4060A0033</t>
  </si>
  <si>
    <t>HARMON GRAHAM</t>
  </si>
  <si>
    <t>HARMON REBECCA RENE</t>
  </si>
  <si>
    <t>217 HOLLY LN</t>
  </si>
  <si>
    <t>G8140A0048</t>
  </si>
  <si>
    <t>DEVORE HOLLY CONNOR</t>
  </si>
  <si>
    <t>DEVORE JEREMY ALAN</t>
  </si>
  <si>
    <t>150 OAKCREST DR</t>
  </si>
  <si>
    <t>E900000571</t>
  </si>
  <si>
    <t>POTTS GRAY</t>
  </si>
  <si>
    <t>POTTS BETTY</t>
  </si>
  <si>
    <t>124 CARTGATE CT</t>
  </si>
  <si>
    <t>D8100B0011</t>
  </si>
  <si>
    <t>MORSE ROBERT SANDY</t>
  </si>
  <si>
    <t>MORSE KAREN HEMMINGS</t>
  </si>
  <si>
    <t>606 RIVERBEND DR</t>
  </si>
  <si>
    <t>M5160C0001</t>
  </si>
  <si>
    <t>WEST NOAH</t>
  </si>
  <si>
    <t>105 WATT ST</t>
  </si>
  <si>
    <t>E900000216</t>
  </si>
  <si>
    <t>RODGERS SUZANNE M</t>
  </si>
  <si>
    <t>316 KINGSMILL DRIVE</t>
  </si>
  <si>
    <t>J30000004202</t>
  </si>
  <si>
    <t>CHESSER WESLEY W JR</t>
  </si>
  <si>
    <t>CHESSER CARLA F</t>
  </si>
  <si>
    <t>679 GREENHILL RD</t>
  </si>
  <si>
    <t>L5010A0014</t>
  </si>
  <si>
    <t>BECK MICHAEL SHAWN</t>
  </si>
  <si>
    <t>368 MCCULLOUGH RD</t>
  </si>
  <si>
    <t>E900000544</t>
  </si>
  <si>
    <t>PETERSEN AARON</t>
  </si>
  <si>
    <t>PETERSEN CARRIE</t>
  </si>
  <si>
    <t>155 N HIDDENBROOKE DR</t>
  </si>
  <si>
    <t>K70000005604</t>
  </si>
  <si>
    <t>BLOCK HOUSE PROPERTIES LLC</t>
  </si>
  <si>
    <t>K70000005603</t>
  </si>
  <si>
    <t>K800000011  A</t>
  </si>
  <si>
    <t>L80000003001</t>
  </si>
  <si>
    <t>K80000001103</t>
  </si>
  <si>
    <t>L70000001602</t>
  </si>
  <si>
    <t>G8120B000301</t>
  </si>
  <si>
    <t>H5190A0030</t>
  </si>
  <si>
    <t>MCGAUGH MICHAEL ALAN TRUSTEE</t>
  </si>
  <si>
    <t>BERTRAND DEBRA L TRUSTEE</t>
  </si>
  <si>
    <t>117 S MADERA DR</t>
  </si>
  <si>
    <t>G8010D0010</t>
  </si>
  <si>
    <t>FERRARO DAVID J JR</t>
  </si>
  <si>
    <t>FERRARO MARIA J</t>
  </si>
  <si>
    <t>323 BRIDLE FARM WAY APT 201</t>
  </si>
  <si>
    <t>C8030A000703</t>
  </si>
  <si>
    <t>WILSON LAUREN ELIZABETH</t>
  </si>
  <si>
    <t>178 PINEWOOD LN UNIT 103</t>
  </si>
  <si>
    <t>27006-8645</t>
  </si>
  <si>
    <t>B400000044</t>
  </si>
  <si>
    <t>JENNINGS KEVIN DALE</t>
  </si>
  <si>
    <t>JENNINGS BROOKE REAVIS</t>
  </si>
  <si>
    <t>1028 PARSONAGE DR</t>
  </si>
  <si>
    <t>E900000670</t>
  </si>
  <si>
    <t>LIGHT MATTHEW O</t>
  </si>
  <si>
    <t>LIGHT MEREDITH TAYLOR</t>
  </si>
  <si>
    <t>522 N HIDDENBROOKE DR</t>
  </si>
  <si>
    <t>G80000008102</t>
  </si>
  <si>
    <t>M4130A0032</t>
  </si>
  <si>
    <t>ROMERO JESUS BELLO</t>
  </si>
  <si>
    <t>HERNANDEZ ANTOINIA RODRIGUEZ</t>
  </si>
  <si>
    <t>166 CLARK RD</t>
  </si>
  <si>
    <t>K40000000101</t>
  </si>
  <si>
    <t>CORRELL TRACI WHITT</t>
  </si>
  <si>
    <t>131 SM WHITT DR</t>
  </si>
  <si>
    <t>F100000005</t>
  </si>
  <si>
    <t>BRUNING BELLE A</t>
  </si>
  <si>
    <t>BRUNING FRANCIS EDWARD II</t>
  </si>
  <si>
    <t>171 HARDY RD</t>
  </si>
  <si>
    <t>E900000513</t>
  </si>
  <si>
    <t>GALLO VINCENT JOHN</t>
  </si>
  <si>
    <t>GALLO BLANCHE P</t>
  </si>
  <si>
    <t>120 LATROBE CT</t>
  </si>
  <si>
    <t>I70000009101</t>
  </si>
  <si>
    <t>ROBERSON TIMOTHY D</t>
  </si>
  <si>
    <t>ROBERSON MARY RACHEL</t>
  </si>
  <si>
    <t>279 SANDY LN</t>
  </si>
  <si>
    <t>I70000008903</t>
  </si>
  <si>
    <t>I700000107</t>
  </si>
  <si>
    <t>I400000088</t>
  </si>
  <si>
    <t>LAKEY STEPHEN WAYNE</t>
  </si>
  <si>
    <t>120 OAK ALLEY WAY</t>
  </si>
  <si>
    <t>27028-8310</t>
  </si>
  <si>
    <t>I30000001301</t>
  </si>
  <si>
    <t>I30000001302</t>
  </si>
  <si>
    <t>D8070A0001</t>
  </si>
  <si>
    <t>D60000005601</t>
  </si>
  <si>
    <t>SMITH LISA C</t>
  </si>
  <si>
    <t>106 TUCKER RD</t>
  </si>
  <si>
    <t>D600000056</t>
  </si>
  <si>
    <t>I70000009701</t>
  </si>
  <si>
    <t>CARTER RYAN DOUGLAS</t>
  </si>
  <si>
    <t>772 FORK BIXBY RD</t>
  </si>
  <si>
    <t>L5070A001602</t>
  </si>
  <si>
    <t>FORTUNE BARRY DALE</t>
  </si>
  <si>
    <t>201 NEELY ST</t>
  </si>
  <si>
    <t>H4130A0117</t>
  </si>
  <si>
    <t>STONE TERRY</t>
  </si>
  <si>
    <t>125 GUMTREE CT</t>
  </si>
  <si>
    <t>I5030A0007</t>
  </si>
  <si>
    <t>WILLIAMS MICHAEL B</t>
  </si>
  <si>
    <t>JOHNSON JORDAN B</t>
  </si>
  <si>
    <t>129 CYPRUS COVE DR</t>
  </si>
  <si>
    <t>C7100A0031</t>
  </si>
  <si>
    <t>NUNLEY JOHNNY</t>
  </si>
  <si>
    <t>NUNLEY RENA</t>
  </si>
  <si>
    <t>117 BROOK HILL CT</t>
  </si>
  <si>
    <t>E9150A0040</t>
  </si>
  <si>
    <t>BARNETTE GREGORY</t>
  </si>
  <si>
    <t>BARNETTE AMANDA</t>
  </si>
  <si>
    <t>D80000002304</t>
  </si>
  <si>
    <t>ST GEORGE PLACE OWNERS ASSOC</t>
  </si>
  <si>
    <t>101 SAINT GEORGE PL</t>
  </si>
  <si>
    <t>27006-8542</t>
  </si>
  <si>
    <t>H800000046</t>
  </si>
  <si>
    <t>BARNES CHARLIE C JR REV TR ETA</t>
  </si>
  <si>
    <t>222 CRUMP TRL</t>
  </si>
  <si>
    <t>G8010D0004</t>
  </si>
  <si>
    <t>HINSHAW TYLER</t>
  </si>
  <si>
    <t>HINSHAW MARY KATE</t>
  </si>
  <si>
    <t>D7070A0011</t>
  </si>
  <si>
    <t>NOWOTNY WILLIAM OREN</t>
  </si>
  <si>
    <t>NOWOTNY SARAH</t>
  </si>
  <si>
    <t>214 GINNY LN</t>
  </si>
  <si>
    <t>D7030A0011</t>
  </si>
  <si>
    <t>DEWITT JAMES GARRETT</t>
  </si>
  <si>
    <t>SAPP MORGAN ALIANE</t>
  </si>
  <si>
    <t>159 CHARLOTTE PL</t>
  </si>
  <si>
    <t>G700000001</t>
  </si>
  <si>
    <t>BARBARA D SMITH FAMILY LLC</t>
  </si>
  <si>
    <t>G700000002</t>
  </si>
  <si>
    <t>G700000009</t>
  </si>
  <si>
    <t>K4010A0005</t>
  </si>
  <si>
    <t>SANDERS REAGAN D</t>
  </si>
  <si>
    <t>182 SUNSET CIR</t>
  </si>
  <si>
    <t>I100000044</t>
  </si>
  <si>
    <t>STROUD SHARON RENEE</t>
  </si>
  <si>
    <t>372 STROUD MILL RD</t>
  </si>
  <si>
    <t>28634-8927</t>
  </si>
  <si>
    <t>J60000000208</t>
  </si>
  <si>
    <t>CHILTON BRADLEY D</t>
  </si>
  <si>
    <t>CHILTON AMANDA P</t>
  </si>
  <si>
    <t>1413 US HIGHWAY 64 E</t>
  </si>
  <si>
    <t>27028-5462</t>
  </si>
  <si>
    <t>D9010A0032</t>
  </si>
  <si>
    <t>WATSON DAVID</t>
  </si>
  <si>
    <t>WATSON VIRGINIA</t>
  </si>
  <si>
    <t>195 PEMBROOKE RIDGE COURT</t>
  </si>
  <si>
    <t>C60000007302</t>
  </si>
  <si>
    <t>WILLIAMS CALVIN T</t>
  </si>
  <si>
    <t>WILLIAMS CAROL A</t>
  </si>
  <si>
    <t>1364 NC HIGHWAY 801 N</t>
  </si>
  <si>
    <t>F4010A0025</t>
  </si>
  <si>
    <t>CARVER RICHARD C</t>
  </si>
  <si>
    <t>119 ARRENDAL CT</t>
  </si>
  <si>
    <t>C100000011</t>
  </si>
  <si>
    <t>STOUT DUSTIN</t>
  </si>
  <si>
    <t>2618 SANDY SPRINGS RD</t>
  </si>
  <si>
    <t>28634-9264</t>
  </si>
  <si>
    <t>I4120D0027</t>
  </si>
  <si>
    <t>PATTERSON MARION SYMMES III</t>
  </si>
  <si>
    <t>PATTERSON KYLIE ANN</t>
  </si>
  <si>
    <t>276 PARK AVE</t>
  </si>
  <si>
    <t>M60000002001</t>
  </si>
  <si>
    <t>MAYO LAYNE</t>
  </si>
  <si>
    <t>183 BECKTOWN RD</t>
  </si>
  <si>
    <t>E700000035</t>
  </si>
  <si>
    <t>OVERCASH LANDON SCOTT</t>
  </si>
  <si>
    <t>190 REDLAND RD</t>
  </si>
  <si>
    <t>27006-6719</t>
  </si>
  <si>
    <t>J4050D0019</t>
  </si>
  <si>
    <t>BURKE VICTORIA BREEANNA</t>
  </si>
  <si>
    <t>812 S SALISBURY ST</t>
  </si>
  <si>
    <t>D7080A0022</t>
  </si>
  <si>
    <t>VERKEST LIANE</t>
  </si>
  <si>
    <t>VERKEST JODY</t>
  </si>
  <si>
    <t>174 LONGWOOD DR</t>
  </si>
  <si>
    <t>D50000000103</t>
  </si>
  <si>
    <t>WEST LAWRENCE EUGENE</t>
  </si>
  <si>
    <t>654 LIVE OAK DR</t>
  </si>
  <si>
    <t>MCLEAN</t>
  </si>
  <si>
    <t>E8110C0017</t>
  </si>
  <si>
    <t>CALLOWAY KIMBERLY LYNN</t>
  </si>
  <si>
    <t>CALLOWAY LARRY JASON</t>
  </si>
  <si>
    <t>242 WESTRIDGE RD</t>
  </si>
  <si>
    <t>I700000036</t>
  </si>
  <si>
    <t>COLBERT JAMES C JR</t>
  </si>
  <si>
    <t>COLBERT SAMANTHA</t>
  </si>
  <si>
    <t>860 WILLIAMS RD</t>
  </si>
  <si>
    <t>D600000050</t>
  </si>
  <si>
    <t>HENDRIX ELIZABETH PLOWMAN ETAL</t>
  </si>
  <si>
    <t>137 PLOWMAN LANE</t>
  </si>
  <si>
    <t>E6110A0005</t>
  </si>
  <si>
    <t>142 FOX RUN DR</t>
  </si>
  <si>
    <t>F80000002210</t>
  </si>
  <si>
    <t>BURTI CHRISTOPHER LOUIS JR</t>
  </si>
  <si>
    <t>BURTI RACHEL ADAIR VASALY</t>
  </si>
  <si>
    <t>191 LANTERN DR</t>
  </si>
  <si>
    <t>D3010A0033</t>
  </si>
  <si>
    <t>GILMORE CHRISTAL L</t>
  </si>
  <si>
    <t>142 LANDIS CT</t>
  </si>
  <si>
    <t>D8070A0045</t>
  </si>
  <si>
    <t>BARREL TRADING AMERICA INC</t>
  </si>
  <si>
    <t>175 GOLFVIEW DR</t>
  </si>
  <si>
    <t>J4120B0003</t>
  </si>
  <si>
    <t>NIELSEN LISA A</t>
  </si>
  <si>
    <t>831 S SALISBURY ST</t>
  </si>
  <si>
    <t>C800000186</t>
  </si>
  <si>
    <t>BIGG HOUSE LLC</t>
  </si>
  <si>
    <t>900 OLD WINSTON RD STE 204</t>
  </si>
  <si>
    <t>27284-9965</t>
  </si>
  <si>
    <t>K800000013</t>
  </si>
  <si>
    <t>LATHAM JUSTIN K</t>
  </si>
  <si>
    <t>C600000069</t>
  </si>
  <si>
    <t>LOEFFLER RUSSELL SCOTT</t>
  </si>
  <si>
    <t>LOEFFLER MARY KATHRYN</t>
  </si>
  <si>
    <t>1452 NC HIGHWAY 801 N</t>
  </si>
  <si>
    <t>27006-6703</t>
  </si>
  <si>
    <t>H4130A0065</t>
  </si>
  <si>
    <t>LEWIS MARK D</t>
  </si>
  <si>
    <t>LEWIS SHAWN</t>
  </si>
  <si>
    <t>178 SUMMIT DR</t>
  </si>
  <si>
    <t>J4140B0003</t>
  </si>
  <si>
    <t>DAVIDSON MATTHEW LYLES</t>
  </si>
  <si>
    <t>DAVIDSON ERIN CARTER</t>
  </si>
  <si>
    <t>109 GEORGIA CT</t>
  </si>
  <si>
    <t>27028-5196</t>
  </si>
  <si>
    <t>K200000071</t>
  </si>
  <si>
    <t>MOSS TIMOTHY I</t>
  </si>
  <si>
    <t>MOSS CRYSTAL S</t>
  </si>
  <si>
    <t>1361 DAVIE ACADEMY ROAD</t>
  </si>
  <si>
    <t>K200000068</t>
  </si>
  <si>
    <t>K200000072</t>
  </si>
  <si>
    <t>L600000004</t>
  </si>
  <si>
    <t>JAMES MICHAEL KEITH</t>
  </si>
  <si>
    <t>185 WILL BOONE ROAD</t>
  </si>
  <si>
    <t>F30000000801</t>
  </si>
  <si>
    <t>HORNE LUTHER SAMUEL III</t>
  </si>
  <si>
    <t>108 CALIFORNIA LANE</t>
  </si>
  <si>
    <t>L60000000804</t>
  </si>
  <si>
    <t>COUSINS JESSE EDWARD</t>
  </si>
  <si>
    <t>COUSINS CHRISTINE RENEE</t>
  </si>
  <si>
    <t>6463 NC HIGHWAY 801 S</t>
  </si>
  <si>
    <t>27028-6729</t>
  </si>
  <si>
    <t>L5070A001601</t>
  </si>
  <si>
    <t>F100000038</t>
  </si>
  <si>
    <t>ALLEN GARY DEAN</t>
  </si>
  <si>
    <t>1722 COUNTY LINE RD</t>
  </si>
  <si>
    <t>I4120D0001</t>
  </si>
  <si>
    <t>THOMPSON DAVID A</t>
  </si>
  <si>
    <t>THOMPSON RANDY L</t>
  </si>
  <si>
    <t>183 SUNNYDELL LN</t>
  </si>
  <si>
    <t>E300000005</t>
  </si>
  <si>
    <t>CORWIN SHANNA BRIANNE</t>
  </si>
  <si>
    <t>CORWIN STANLEY JAMES II</t>
  </si>
  <si>
    <t>576 LIBERTY CHURCH RD</t>
  </si>
  <si>
    <t>E5020A0020</t>
  </si>
  <si>
    <t>HARWOOD TODD</t>
  </si>
  <si>
    <t>HARWOOD NICOLE</t>
  </si>
  <si>
    <t>357 CORNWALLIS DR</t>
  </si>
  <si>
    <t>E9150B0102</t>
  </si>
  <si>
    <t>WILLIAMS MICHAEL G</t>
  </si>
  <si>
    <t>WILLIAMS JANE H</t>
  </si>
  <si>
    <t>327 ORCHARD PARK DR</t>
  </si>
  <si>
    <t>J600000039</t>
  </si>
  <si>
    <t>PEEBLES LEWIS</t>
  </si>
  <si>
    <t>132 GROVER ROAD</t>
  </si>
  <si>
    <t>27028-5302</t>
  </si>
  <si>
    <t>K40000003402</t>
  </si>
  <si>
    <t>CONLEY ROBERT G</t>
  </si>
  <si>
    <t>CONLEY NANCY J</t>
  </si>
  <si>
    <t>2300 N OLD DIXIE HWY</t>
  </si>
  <si>
    <t>FORT PIERCE</t>
  </si>
  <si>
    <t>34946-1411</t>
  </si>
  <si>
    <t>I90000000704</t>
  </si>
  <si>
    <t>STEELMAN JEFFREY S</t>
  </si>
  <si>
    <t>STEELMAN DAWN Y</t>
  </si>
  <si>
    <t>335 BURTON RD</t>
  </si>
  <si>
    <t>27006-7503</t>
  </si>
  <si>
    <t>H30000002001</t>
  </si>
  <si>
    <t>2219 US HIGHWAY 64 W</t>
  </si>
  <si>
    <t>C700000151</t>
  </si>
  <si>
    <t>MCDANIEL HERBERT KAE</t>
  </si>
  <si>
    <t>MCDANIEL BONNIE</t>
  </si>
  <si>
    <t>159 WILLS RD</t>
  </si>
  <si>
    <t>K300000047</t>
  </si>
  <si>
    <t>SEAMON JEREMY DANIEL</t>
  </si>
  <si>
    <t>SEAMON BETSY FORREST</t>
  </si>
  <si>
    <t>1823 JERICHO CHURCH RD</t>
  </si>
  <si>
    <t>G60000000303</t>
  </si>
  <si>
    <t>PLUMMER DANIEL BRENDAN</t>
  </si>
  <si>
    <t>359 FOSTER DAIRY RD</t>
  </si>
  <si>
    <t>27028-4175</t>
  </si>
  <si>
    <t>E70000005903</t>
  </si>
  <si>
    <t>JONES MATTHEW</t>
  </si>
  <si>
    <t>JONES KELI BECK</t>
  </si>
  <si>
    <t>255 RIVERSTONE TRL</t>
  </si>
  <si>
    <t>F700000005</t>
  </si>
  <si>
    <t>F20000003005</t>
  </si>
  <si>
    <t>CARTER THANE</t>
  </si>
  <si>
    <t>1110 BAY ST</t>
  </si>
  <si>
    <t>KISSIMMEE</t>
  </si>
  <si>
    <t>34744-4202</t>
  </si>
  <si>
    <t>H700000086</t>
  </si>
  <si>
    <t>TKACH ALBERT G</t>
  </si>
  <si>
    <t>TKACH DONNA B</t>
  </si>
  <si>
    <t>1338 FORK BIXBY RD</t>
  </si>
  <si>
    <t>J30000001104</t>
  </si>
  <si>
    <t>DUMAS KRYSTAL DAWN</t>
  </si>
  <si>
    <t>356 DAVIE ACADEMY RD</t>
  </si>
  <si>
    <t>D8070A0056</t>
  </si>
  <si>
    <t>JONES SUSAN FRANCES</t>
  </si>
  <si>
    <t>160 GOLFVIEW DR</t>
  </si>
  <si>
    <t>H400000101</t>
  </si>
  <si>
    <t>BRUNER SARA</t>
  </si>
  <si>
    <t>TRAYKOV KANTCHO KONSTANTIVO</t>
  </si>
  <si>
    <t>464 MADISON RD</t>
  </si>
  <si>
    <t>H400000042</t>
  </si>
  <si>
    <t>PSC DEVELOPMENT CL INC</t>
  </si>
  <si>
    <t>H400000037</t>
  </si>
  <si>
    <t>G500000162</t>
  </si>
  <si>
    <t>H4200A0009</t>
  </si>
  <si>
    <t>I4140A0022</t>
  </si>
  <si>
    <t>WILLIAMS KATY E</t>
  </si>
  <si>
    <t>H8060A0055</t>
  </si>
  <si>
    <t>TYSON JERRY L</t>
  </si>
  <si>
    <t>TYSON CARLA POE</t>
  </si>
  <si>
    <t>173 COVINGTON DR</t>
  </si>
  <si>
    <t>C600000013</t>
  </si>
  <si>
    <t>RHYNEHARDT ODELL L JR</t>
  </si>
  <si>
    <t>RHYNEHARDT GWENDOLYN GLENN</t>
  </si>
  <si>
    <t>27006-7858</t>
  </si>
  <si>
    <t>C600000014</t>
  </si>
  <si>
    <t>J4040F0010</t>
  </si>
  <si>
    <t>MOON NOAH J</t>
  </si>
  <si>
    <t>128 W MAPLE AVE</t>
  </si>
  <si>
    <t>27028-2520</t>
  </si>
  <si>
    <t>G800000024</t>
  </si>
  <si>
    <t>CHALLACOMBE CAUSBY A</t>
  </si>
  <si>
    <t>1828 NC HIGHWAY 801 S</t>
  </si>
  <si>
    <t>J60000005410</t>
  </si>
  <si>
    <t>CROWE GAIL D</t>
  </si>
  <si>
    <t>182 CORNATZER RD</t>
  </si>
  <si>
    <t>27028-7125</t>
  </si>
  <si>
    <t>J60000005413</t>
  </si>
  <si>
    <t>J6060A0004</t>
  </si>
  <si>
    <t>L700000032</t>
  </si>
  <si>
    <t>SHOAF SUSAN HENDRIX</t>
  </si>
  <si>
    <t>754 RIVERVIEW RD</t>
  </si>
  <si>
    <t>E8070A0013</t>
  </si>
  <si>
    <t>MOCK CHARLES BRADLEY</t>
  </si>
  <si>
    <t>MOCK RACHEL ELIZABETH</t>
  </si>
  <si>
    <t>168 WHITEHEAD DR</t>
  </si>
  <si>
    <t>E900000003</t>
  </si>
  <si>
    <t>TILLEY ANTHONY HOWARD</t>
  </si>
  <si>
    <t>NOKOVICH KIM</t>
  </si>
  <si>
    <t>120 OAKMONT DR</t>
  </si>
  <si>
    <t>D9030A0009</t>
  </si>
  <si>
    <t>CORNATZER NEIL D</t>
  </si>
  <si>
    <t>PARKER WENDY SUZANNE</t>
  </si>
  <si>
    <t>204 JAMES WAY</t>
  </si>
  <si>
    <t>H70000000301</t>
  </si>
  <si>
    <t>BLANTON MICHAEL CALEB</t>
  </si>
  <si>
    <t>294 SPLIT CREEK LN</t>
  </si>
  <si>
    <t>27028-7408</t>
  </si>
  <si>
    <t>G600000101</t>
  </si>
  <si>
    <t>429 DULIN ROAD</t>
  </si>
  <si>
    <t>H50000001001</t>
  </si>
  <si>
    <t>COLLINS PATRICIA LYNN</t>
  </si>
  <si>
    <t>COLLINS BRADLEY EUGENE</t>
  </si>
  <si>
    <t>277 HARVEST WAY</t>
  </si>
  <si>
    <t>D9010B0005</t>
  </si>
  <si>
    <t>BABB R KENNETH</t>
  </si>
  <si>
    <t>116 WARWICKE PL</t>
  </si>
  <si>
    <t>E30000008003</t>
  </si>
  <si>
    <t>NAYLOR ROY</t>
  </si>
  <si>
    <t>DICKSON PAMELA A</t>
  </si>
  <si>
    <t>1920 ANGELL RD</t>
  </si>
  <si>
    <t>H900000046</t>
  </si>
  <si>
    <t>MYERS ALVIN L</t>
  </si>
  <si>
    <t>MYERS BETTY S</t>
  </si>
  <si>
    <t>204 PEOPLES CREEK ROAD</t>
  </si>
  <si>
    <t>I5110A0025</t>
  </si>
  <si>
    <t>JOHNSON BRIGITTE</t>
  </si>
  <si>
    <t>385 MOUNTVIEW DRIVE</t>
  </si>
  <si>
    <t>H2050B0003</t>
  </si>
  <si>
    <t>SNOW KATHY MILLER</t>
  </si>
  <si>
    <t>143 CENTER CIRCLE</t>
  </si>
  <si>
    <t>C8030A000803</t>
  </si>
  <si>
    <t>BARNETT MARY E</t>
  </si>
  <si>
    <t>189 PINEWOOD LANE UNIT #103</t>
  </si>
  <si>
    <t>H20000000302</t>
  </si>
  <si>
    <t>BOWMAN ZACHRY J</t>
  </si>
  <si>
    <t>BOWMAN HEATHER L</t>
  </si>
  <si>
    <t>412 CALAHALN RD</t>
  </si>
  <si>
    <t>J5010D0087</t>
  </si>
  <si>
    <t>YOUNTS SARA N</t>
  </si>
  <si>
    <t>BELLAMY MATTHEW</t>
  </si>
  <si>
    <t>164 WINDING CREEK RD</t>
  </si>
  <si>
    <t>D8100D0026</t>
  </si>
  <si>
    <t>HEMBREE SHERRY J</t>
  </si>
  <si>
    <t>106 MIMOSA PLACE</t>
  </si>
  <si>
    <t>D600000017</t>
  </si>
  <si>
    <t>WHITTINGTON CLAYTON</t>
  </si>
  <si>
    <t>670 RAINBOW RD</t>
  </si>
  <si>
    <t>27006-6712</t>
  </si>
  <si>
    <t>K5120A0003</t>
  </si>
  <si>
    <t>CAPPS CAROLYN PHYLLIS</t>
  </si>
  <si>
    <t>752 WILL BOONE RD</t>
  </si>
  <si>
    <t>F30000000518</t>
  </si>
  <si>
    <t>PARKER BLANCHE E</t>
  </si>
  <si>
    <t>114 ELRICA LANE</t>
  </si>
  <si>
    <t>I4130H002402</t>
  </si>
  <si>
    <t>CUANAZ J DOMINGO</t>
  </si>
  <si>
    <t>990 E MEMORIAL HWY</t>
  </si>
  <si>
    <t>D9050B0044</t>
  </si>
  <si>
    <t>PINKHAM SHIRLIE CAROLE TRUSTEE</t>
  </si>
  <si>
    <t>2105 BERMUDA VILLAGE DRIVE</t>
  </si>
  <si>
    <t>J700000086</t>
  </si>
  <si>
    <t>EAGLE GARY THOMAS</t>
  </si>
  <si>
    <t>EAGLE SHIRBY SIDDEN</t>
  </si>
  <si>
    <t>253 FORK BIXBY RD</t>
  </si>
  <si>
    <t>L60000000807</t>
  </si>
  <si>
    <t>CRISAN ALEXANDRU</t>
  </si>
  <si>
    <t>CRISAN MARYAN</t>
  </si>
  <si>
    <t>6483 NC HIGHWAY 801 S</t>
  </si>
  <si>
    <t>E900000447</t>
  </si>
  <si>
    <t>TILLEY COREY JACKSON</t>
  </si>
  <si>
    <t>213 SCOTTSDALE DR</t>
  </si>
  <si>
    <t>J5020A0015</t>
  </si>
  <si>
    <t>MAST JONATHAN</t>
  </si>
  <si>
    <t>MAST VIOLET RUTH</t>
  </si>
  <si>
    <t>701 E LEXINGTON RD</t>
  </si>
  <si>
    <t>27028-2623</t>
  </si>
  <si>
    <t>I800000052</t>
  </si>
  <si>
    <t>WHITLEY ISAIAH</t>
  </si>
  <si>
    <t>TKACH EMALINE</t>
  </si>
  <si>
    <t>3115 NC HIGHWAY 801 S</t>
  </si>
  <si>
    <t>H4200A0010</t>
  </si>
  <si>
    <t>H4200A0012</t>
  </si>
  <si>
    <t>G20000003003</t>
  </si>
  <si>
    <t>GOBBLE L BRENT</t>
  </si>
  <si>
    <t>145 GOBBLE LANE</t>
  </si>
  <si>
    <t>D700000151</t>
  </si>
  <si>
    <t>ORRELL ROBIN DALE</t>
  </si>
  <si>
    <t>4821 SAPONI VILLAGE TRAIL</t>
  </si>
  <si>
    <t>D700000152</t>
  </si>
  <si>
    <t>C8010C0001</t>
  </si>
  <si>
    <t>DO SON HOANG</t>
  </si>
  <si>
    <t>NGUYAN XUAN KIM THI</t>
  </si>
  <si>
    <t>129 ARCHER DR</t>
  </si>
  <si>
    <t>G9100A0031</t>
  </si>
  <si>
    <t>VANKUREN ELI W</t>
  </si>
  <si>
    <t>VANKUREN JESSICA L</t>
  </si>
  <si>
    <t>115 LOST FARM DR</t>
  </si>
  <si>
    <t>27006-7497</t>
  </si>
  <si>
    <t>H5170A0022</t>
  </si>
  <si>
    <t>HARDING THOMAS E</t>
  </si>
  <si>
    <t>HARDING LENA E</t>
  </si>
  <si>
    <t>170 CANYON RD</t>
  </si>
  <si>
    <t>L60000000808</t>
  </si>
  <si>
    <t>HAMILTON SONYA LATRAY</t>
  </si>
  <si>
    <t>6489 NC HIGHWAY 801 S</t>
  </si>
  <si>
    <t>J700000019</t>
  </si>
  <si>
    <t>SHORE DONNA J</t>
  </si>
  <si>
    <t>SHORE JASON L</t>
  </si>
  <si>
    <t>121 PETE FOSTER RD</t>
  </si>
  <si>
    <t>I500000046</t>
  </si>
  <si>
    <t>D8100C001001</t>
  </si>
  <si>
    <t>REKLIS PETER B</t>
  </si>
  <si>
    <t>REKLIS AUTUMN CHERYL</t>
  </si>
  <si>
    <t>214 SPYGLASS DR</t>
  </si>
  <si>
    <t>F600000070</t>
  </si>
  <si>
    <t>KING SHERRY SHEEK</t>
  </si>
  <si>
    <t>KING CHARLES</t>
  </si>
  <si>
    <t>3308 US HIGHWAY 158</t>
  </si>
  <si>
    <t>F700000013</t>
  </si>
  <si>
    <t>SHREWSBURY JARED WAYNE</t>
  </si>
  <si>
    <t>SANDERS KATIE ANN</t>
  </si>
  <si>
    <t>107 SCOTCH MOSS DR</t>
  </si>
  <si>
    <t>G50000014302</t>
  </si>
  <si>
    <t>CLARK JEFFREY D</t>
  </si>
  <si>
    <t>CLARK MELISSA A</t>
  </si>
  <si>
    <t>269 OAK GROVE CHURCH RD</t>
  </si>
  <si>
    <t>G500000143</t>
  </si>
  <si>
    <t>G50000014303</t>
  </si>
  <si>
    <t>H400000071</t>
  </si>
  <si>
    <t>LAYMAN TERESA</t>
  </si>
  <si>
    <t>1933 HUSKINS ST</t>
  </si>
  <si>
    <t>K500000040</t>
  </si>
  <si>
    <t>MATLOCK BRANDI NICOLE</t>
  </si>
  <si>
    <t>210 TURRENTINE CHURCH RD</t>
  </si>
  <si>
    <t>27028-5448</t>
  </si>
  <si>
    <t>H700000120</t>
  </si>
  <si>
    <t>M4130A0025</t>
  </si>
  <si>
    <t>SPARGO KATHERINE</t>
  </si>
  <si>
    <t>1703 BREWSTER DR</t>
  </si>
  <si>
    <t>G900000020</t>
  </si>
  <si>
    <t>ISAACS CHRISTOPHER W</t>
  </si>
  <si>
    <t>ISAACS ERIKA N</t>
  </si>
  <si>
    <t>136 MARCHMONT DR</t>
  </si>
  <si>
    <t>27006-7473</t>
  </si>
  <si>
    <t>H800000004</t>
  </si>
  <si>
    <t>WALLER MARY M HEIRS OF</t>
  </si>
  <si>
    <t>739 MARKLAND ROAD</t>
  </si>
  <si>
    <t>L5100B0012</t>
  </si>
  <si>
    <t>ZMACZYNSKI FAMILY IRREVOC TRUST</t>
  </si>
  <si>
    <t>2271 S US HWY 601</t>
  </si>
  <si>
    <t>H10000001202</t>
  </si>
  <si>
    <t>TERAMORE DEVELOPMENT LLC</t>
  </si>
  <si>
    <t>PO BOX 6460</t>
  </si>
  <si>
    <t>D8030A0009</t>
  </si>
  <si>
    <t>IVEY SAMUEL COLE</t>
  </si>
  <si>
    <t>IVEY REBEKAH PEELER</t>
  </si>
  <si>
    <t>165 BOXWOOD CIRCLE</t>
  </si>
  <si>
    <t>C300000137</t>
  </si>
  <si>
    <t>COVENTRY DAVID L</t>
  </si>
  <si>
    <t>976 HOWELL RD</t>
  </si>
  <si>
    <t>H9090A0006</t>
  </si>
  <si>
    <t>MORRIS SETH H</t>
  </si>
  <si>
    <t>MORRIS KATHRYN T</t>
  </si>
  <si>
    <t>281 PALOMINO RD</t>
  </si>
  <si>
    <t>E900000564</t>
  </si>
  <si>
    <t>152 ARNOLD PALMER DR</t>
  </si>
  <si>
    <t>J50000001702</t>
  </si>
  <si>
    <t>HURST THOMAS COY</t>
  </si>
  <si>
    <t>1292 US HIGHWAY 64 E</t>
  </si>
  <si>
    <t>D30000005602</t>
  </si>
  <si>
    <t>HOLBROOK JOSEPH BROCK</t>
  </si>
  <si>
    <t>L60000000809</t>
  </si>
  <si>
    <t>DAVIS RUTH</t>
  </si>
  <si>
    <t>6495 NC HIGHWAY 801 S</t>
  </si>
  <si>
    <t>E40000000904</t>
  </si>
  <si>
    <t>CAMPBELL JEANIE LOU</t>
  </si>
  <si>
    <t>113 SERENITY LANE</t>
  </si>
  <si>
    <t>C8010B0345</t>
  </si>
  <si>
    <t>SEXTON MICHELLE</t>
  </si>
  <si>
    <t>SEXTON BARTON</t>
  </si>
  <si>
    <t>185 KILBOURNE DR</t>
  </si>
  <si>
    <t>G40000000904</t>
  </si>
  <si>
    <t>ANDREWS BRENDA MARIE</t>
  </si>
  <si>
    <t>ANDREWS TRAVIS</t>
  </si>
  <si>
    <t>207 CHANNEL LN</t>
  </si>
  <si>
    <t>27028-5715</t>
  </si>
  <si>
    <t>I60000003602</t>
  </si>
  <si>
    <t>BADILLO LUIS</t>
  </si>
  <si>
    <t>BADILLO NATALIE</t>
  </si>
  <si>
    <t>1900 SNOWY EGRET DR</t>
  </si>
  <si>
    <t>28557-4830</t>
  </si>
  <si>
    <t>J6100B0019</t>
  </si>
  <si>
    <t>PALMER JUDY E</t>
  </si>
  <si>
    <t>183 RESERVE DR</t>
  </si>
  <si>
    <t>J5150B0008</t>
  </si>
  <si>
    <t>MCGRAW CHAD</t>
  </si>
  <si>
    <t>119 WOODHAVEN LN</t>
  </si>
  <si>
    <t>D8100D0011</t>
  </si>
  <si>
    <t>SUNDLOFF SHARON M</t>
  </si>
  <si>
    <t>245 SPYGLASS DR</t>
  </si>
  <si>
    <t>C7140A0004</t>
  </si>
  <si>
    <t>GOCO ISAIAS ISMAEL</t>
  </si>
  <si>
    <t>133 N CLAYBON DR</t>
  </si>
  <si>
    <t>L60000000805</t>
  </si>
  <si>
    <t>DRAUGHN AARON CHRISTOPHER</t>
  </si>
  <si>
    <t>6471 NC HIGHWAY 801 S</t>
  </si>
  <si>
    <t>J4110A0007</t>
  </si>
  <si>
    <t>YANEZ JANINE H</t>
  </si>
  <si>
    <t>YANEZ ROBERT STEVEN</t>
  </si>
  <si>
    <t>980 HARDISON ST</t>
  </si>
  <si>
    <t>27028-2510</t>
  </si>
  <si>
    <t>H30000005902</t>
  </si>
  <si>
    <t>ROBERTSON JASON M</t>
  </si>
  <si>
    <t>ROBERTSON KIMBERLEY J</t>
  </si>
  <si>
    <t>2070 US HIGHWAY 64 W</t>
  </si>
  <si>
    <t>D700000158</t>
  </si>
  <si>
    <t>HINSON JEFFEREY</t>
  </si>
  <si>
    <t>HINSON AMANDA</t>
  </si>
  <si>
    <t>221 GRAY SHEEKS RD</t>
  </si>
  <si>
    <t>27006-6622</t>
  </si>
  <si>
    <t>K5160A0008</t>
  </si>
  <si>
    <t>HOCHSTETLER JUSTIN</t>
  </si>
  <si>
    <t>HOCHSTETLER ESTHER</t>
  </si>
  <si>
    <t>1010 WILL BLACK RD</t>
  </si>
  <si>
    <t>28147-6798</t>
  </si>
  <si>
    <t>F80000007405</t>
  </si>
  <si>
    <t>SIEGA-RIZ NICHOLAS TAYLOR</t>
  </si>
  <si>
    <t>SIEGA-RIZ MEGHAN PAIGE</t>
  </si>
  <si>
    <t>143 SADDLEBROOK DR</t>
  </si>
  <si>
    <t>L60000000803</t>
  </si>
  <si>
    <t>WILSON HUNTER HOUSTON</t>
  </si>
  <si>
    <t>6455 NC HIGHWAY 801 S</t>
  </si>
  <si>
    <t>L60000000811</t>
  </si>
  <si>
    <t>COCHRAN HEATHER JEAN</t>
  </si>
  <si>
    <t>COCHRAN DAVID</t>
  </si>
  <si>
    <t>6511 NC HIGHWAY 801 S</t>
  </si>
  <si>
    <t>E900000245</t>
  </si>
  <si>
    <t>UNDERWOOD BRADLEY</t>
  </si>
  <si>
    <t>JONES CATHERINE</t>
  </si>
  <si>
    <t>171 ISLEWORTH DR</t>
  </si>
  <si>
    <t>I4060A0024</t>
  </si>
  <si>
    <t>ARC SBMVLNC001 LLC</t>
  </si>
  <si>
    <t>ATTN: CORP PROPERTIES</t>
  </si>
  <si>
    <t>165 MADISON AVE STE 1301</t>
  </si>
  <si>
    <t>38103-2723</t>
  </si>
  <si>
    <t>E900000660</t>
  </si>
  <si>
    <t>KABATCHNICK CRAIG</t>
  </si>
  <si>
    <t>KABATCHNICK RUTH</t>
  </si>
  <si>
    <t>151 N SAINT ANDREWS DR</t>
  </si>
  <si>
    <t>K70000000601</t>
  </si>
  <si>
    <t>OSBORNE CHARLES A</t>
  </si>
  <si>
    <t>685 JOE RD</t>
  </si>
  <si>
    <t>J700000071</t>
  </si>
  <si>
    <t>E9150B0009</t>
  </si>
  <si>
    <t>THE DEBORAH C COLBERT TRUST</t>
  </si>
  <si>
    <t>109 CEDAR LN</t>
  </si>
  <si>
    <t>H50000002404</t>
  </si>
  <si>
    <t>207 AVON ST</t>
  </si>
  <si>
    <t>G7040A0068</t>
  </si>
  <si>
    <t>I5060B0006</t>
  </si>
  <si>
    <t>RUBZIN 4 LLC</t>
  </si>
  <si>
    <t>PO BOX 34614</t>
  </si>
  <si>
    <t>E20000001401</t>
  </si>
  <si>
    <t>SHERMER LULA MAE</t>
  </si>
  <si>
    <t>775 DUKE WHITTAKER RD</t>
  </si>
  <si>
    <t>27028-5746</t>
  </si>
  <si>
    <t>E7140A0016</t>
  </si>
  <si>
    <t>LOWDER JEFFREY MARK TRUSTEE</t>
  </si>
  <si>
    <t>LOWDER JEFFREY MARK REV TRUST</t>
  </si>
  <si>
    <t>193 GRAYWOOD CT</t>
  </si>
  <si>
    <t>C8010D0031</t>
  </si>
  <si>
    <t>LAND ELAINE B</t>
  </si>
  <si>
    <t>115 PENDLETON DR</t>
  </si>
  <si>
    <t>D7080A0028</t>
  </si>
  <si>
    <t>TROMMELLO JUSTIN</t>
  </si>
  <si>
    <t>TRETTER SAMANTHA</t>
  </si>
  <si>
    <t>204 LONGWOOD DR</t>
  </si>
  <si>
    <t>B70000004905</t>
  </si>
  <si>
    <t>HANES JULIANNE O</t>
  </si>
  <si>
    <t>242 JESSE KING RD</t>
  </si>
  <si>
    <t>K700000020</t>
  </si>
  <si>
    <t>SARTAIN RAIE J</t>
  </si>
  <si>
    <t>6008 HILLTOP AVENUE</t>
  </si>
  <si>
    <t>28081-0000</t>
  </si>
  <si>
    <t>I30000005001</t>
  </si>
  <si>
    <t>DYSON RYAN</t>
  </si>
  <si>
    <t>QUESINBERRY SHADOW</t>
  </si>
  <si>
    <t>394 GREENHILL RD</t>
  </si>
  <si>
    <t>H90000000502</t>
  </si>
  <si>
    <t>ROBERTSON RONALD D</t>
  </si>
  <si>
    <t>ROBERTSON MARY B</t>
  </si>
  <si>
    <t>947 PEOPLES CREEK RD</t>
  </si>
  <si>
    <t>27006-7445</t>
  </si>
  <si>
    <t>J600000085</t>
  </si>
  <si>
    <t>DALTON ERIC N</t>
  </si>
  <si>
    <t>DALTON LAURA P</t>
  </si>
  <si>
    <t>1918 US HIGHWAY 64 E</t>
  </si>
  <si>
    <t>I90000000206</t>
  </si>
  <si>
    <t>SCHWEITZER DEANNA</t>
  </si>
  <si>
    <t>1008 EASTSHORE CIR</t>
  </si>
  <si>
    <t>27357-9373</t>
  </si>
  <si>
    <t>I4060A0023</t>
  </si>
  <si>
    <t>F10000001601</t>
  </si>
  <si>
    <t>HILL JOHN LOFTON JR</t>
  </si>
  <si>
    <t>HILL MELISSA WHITE</t>
  </si>
  <si>
    <t>E8110A0001</t>
  </si>
  <si>
    <t>ARVM 5 LLC</t>
  </si>
  <si>
    <t>L700000010</t>
  </si>
  <si>
    <t>SEARS MICKIE MICHELLE</t>
  </si>
  <si>
    <t>5576 NC HIGHWAY 801 S</t>
  </si>
  <si>
    <t>27028-5402</t>
  </si>
  <si>
    <t>K5010A0002</t>
  </si>
  <si>
    <t>DLT HOLDINGS LLC</t>
  </si>
  <si>
    <t>K5010A0005</t>
  </si>
  <si>
    <t>K5010A0006</t>
  </si>
  <si>
    <t>K5010A0007</t>
  </si>
  <si>
    <t>K5010A0011</t>
  </si>
  <si>
    <t>K5010A0012</t>
  </si>
  <si>
    <t>K5010A0003</t>
  </si>
  <si>
    <t>K5010A0010</t>
  </si>
  <si>
    <t>K5010A0016</t>
  </si>
  <si>
    <t>K5010A0004</t>
  </si>
  <si>
    <t>K5010A0015</t>
  </si>
  <si>
    <t>K5010A0009</t>
  </si>
  <si>
    <t>K5010A0017</t>
  </si>
  <si>
    <t>K5010A0018</t>
  </si>
  <si>
    <t>K500000004</t>
  </si>
  <si>
    <t>J5030A0022</t>
  </si>
  <si>
    <t>WILSON MATTHEW GREGORY</t>
  </si>
  <si>
    <t>WILSON JAMIE L</t>
  </si>
  <si>
    <t>253 E LAKE DR</t>
  </si>
  <si>
    <t>H4130A0061</t>
  </si>
  <si>
    <t>OLSEN MATTHEW N</t>
  </si>
  <si>
    <t>OLSEN AMANDA R</t>
  </si>
  <si>
    <t>152 SUMMIT DR</t>
  </si>
  <si>
    <t>I4010A0009</t>
  </si>
  <si>
    <t>PRICE FRED</t>
  </si>
  <si>
    <t>PRICE LISA</t>
  </si>
  <si>
    <t>175 TURNBERRY DR</t>
  </si>
  <si>
    <t>I4140B0022</t>
  </si>
  <si>
    <t>RESSA JONATHON P</t>
  </si>
  <si>
    <t>392 AVON ST</t>
  </si>
  <si>
    <t>27028-2306</t>
  </si>
  <si>
    <t>C30000008001</t>
  </si>
  <si>
    <t>SHINSKY JACOB RUSSELL</t>
  </si>
  <si>
    <t>SHINSKY WENDY CHRISTINE</t>
  </si>
  <si>
    <t>1330 GLEN OAKS RD</t>
  </si>
  <si>
    <t>27012-9072</t>
  </si>
  <si>
    <t>E70000012603</t>
  </si>
  <si>
    <t>CRATER MARK WILLIAM</t>
  </si>
  <si>
    <t>784 SPARKS RD</t>
  </si>
  <si>
    <t>27028-7853</t>
  </si>
  <si>
    <t>C400000062</t>
  </si>
  <si>
    <t>HIGH PERFORMANCE HOLDINGS</t>
  </si>
  <si>
    <t>439 WINFIELD BLVD SE</t>
  </si>
  <si>
    <t>E50000001413</t>
  </si>
  <si>
    <t>BOGER ROBERT BRIAN</t>
  </si>
  <si>
    <t>BOGER TOMMI W</t>
  </si>
  <si>
    <t>1097 FARMINGTON RD</t>
  </si>
  <si>
    <t>I4010A0078</t>
  </si>
  <si>
    <t>SR7 HOLDINGS LLC</t>
  </si>
  <si>
    <t>318 N PINO RD</t>
  </si>
  <si>
    <t>H80000002007</t>
  </si>
  <si>
    <t>MCDANIEL KAITLYNN C</t>
  </si>
  <si>
    <t>2456 NC HIGHWAY 801 S</t>
  </si>
  <si>
    <t>27006-7101</t>
  </si>
  <si>
    <t>H9070A0032</t>
  </si>
  <si>
    <t>OMARA APRIL F</t>
  </si>
  <si>
    <t>194 DUBLIN ROAD</t>
  </si>
  <si>
    <t>E900000496</t>
  </si>
  <si>
    <t>NEVES JASON</t>
  </si>
  <si>
    <t>NEVES DEBORAH</t>
  </si>
  <si>
    <t>278 N HIDDENBROOKE DR</t>
  </si>
  <si>
    <t>C5130A0005</t>
  </si>
  <si>
    <t>ONEILL JORDAN LANE</t>
  </si>
  <si>
    <t>ONEILL MARIA</t>
  </si>
  <si>
    <t>135 CEDAR FOREST LN</t>
  </si>
  <si>
    <t>I800000033</t>
  </si>
  <si>
    <t>NAYLOR JAMES LUCAS</t>
  </si>
  <si>
    <t>3273 NC HIGHWAY 801 S</t>
  </si>
  <si>
    <t>27006-7109</t>
  </si>
  <si>
    <t>J4060B0002</t>
  </si>
  <si>
    <t>VALDEZ STEPHANIE V</t>
  </si>
  <si>
    <t>624 GRAMERCY ST</t>
  </si>
  <si>
    <t>27104-3391</t>
  </si>
  <si>
    <t>J4140B0055</t>
  </si>
  <si>
    <t>SANDERS EARLIN JEFFREY</t>
  </si>
  <si>
    <t>SANDERS ELSIE DAWN</t>
  </si>
  <si>
    <t>273 N CAROLINA CIR</t>
  </si>
  <si>
    <t>E9150B0143</t>
  </si>
  <si>
    <t>BRENNER DAVID E</t>
  </si>
  <si>
    <t>BRENNER DEBRA J</t>
  </si>
  <si>
    <t>104 BRIDGEWOOD LN</t>
  </si>
  <si>
    <t>E9150B0132</t>
  </si>
  <si>
    <t>ZEITVOGEL FAMILY TRUST</t>
  </si>
  <si>
    <t>ZEITVIGEL CATHERINE M TRUSTEE</t>
  </si>
  <si>
    <t>116 KNICKER LN</t>
  </si>
  <si>
    <t>D9010A0007</t>
  </si>
  <si>
    <t>CHASING HERONS LLC</t>
  </si>
  <si>
    <t>113 PEMBROOKE RIDGE CT</t>
  </si>
  <si>
    <t>C8030B0011</t>
  </si>
  <si>
    <t>EARLE NEVETTE BAXTER III</t>
  </si>
  <si>
    <t>EARLE JAYME NANCE</t>
  </si>
  <si>
    <t>298 TOWN PARK DR UNIT 202</t>
  </si>
  <si>
    <t>27006-8625</t>
  </si>
  <si>
    <t>H70000004202</t>
  </si>
  <si>
    <t>G30000002802</t>
  </si>
  <si>
    <t>HARDIN JOSHUA M</t>
  </si>
  <si>
    <t>1E E PIEDMONT RD</t>
  </si>
  <si>
    <t>85042-8356</t>
  </si>
  <si>
    <t>I4010A0044</t>
  </si>
  <si>
    <t>RAMSEY LEONARD DARNELL</t>
  </si>
  <si>
    <t>MAYNARD KARREN DAWN</t>
  </si>
  <si>
    <t>109 N WENTWORTH DR</t>
  </si>
  <si>
    <t>I5080A0004</t>
  </si>
  <si>
    <t>JOHNSON SANDRA C</t>
  </si>
  <si>
    <t>587 MERRELLS LAKE ROAD</t>
  </si>
  <si>
    <t>I5050B0027</t>
  </si>
  <si>
    <t>JIMERSON KIMBERLY ALICIA</t>
  </si>
  <si>
    <t>121 HEATHER CT</t>
  </si>
  <si>
    <t>G50000003001</t>
  </si>
  <si>
    <t>BROWN BRUCE</t>
  </si>
  <si>
    <t>2153 US HIGHWAY 158</t>
  </si>
  <si>
    <t>E200000006</t>
  </si>
  <si>
    <t>DYSON THOMAS L</t>
  </si>
  <si>
    <t>E20000000610</t>
  </si>
  <si>
    <t>E70000013614</t>
  </si>
  <si>
    <t>HUGHES TIMOTHY PAUL</t>
  </si>
  <si>
    <t>HUGHES SUMMER ARMSTRONG</t>
  </si>
  <si>
    <t>114 WELLINGTON CT</t>
  </si>
  <si>
    <t>J400000019</t>
  </si>
  <si>
    <t>VERNON BARBARA</t>
  </si>
  <si>
    <t>260 COUNTRY LANE</t>
  </si>
  <si>
    <t>D8100D0012</t>
  </si>
  <si>
    <t>JACKSON JOHN DWIGHT</t>
  </si>
  <si>
    <t>JACKSON FRANCES HIATT</t>
  </si>
  <si>
    <t>247 SPYGLASS DR</t>
  </si>
  <si>
    <t>G30000002801</t>
  </si>
  <si>
    <t>I1110E0006</t>
  </si>
  <si>
    <t>F50000005102</t>
  </si>
  <si>
    <t>BRJ PROPERTIES LLC</t>
  </si>
  <si>
    <t>I90000002001</t>
  </si>
  <si>
    <t>MINOR MICKEY COLLINS</t>
  </si>
  <si>
    <t>619 BURTON RD</t>
  </si>
  <si>
    <t>27006-7506</t>
  </si>
  <si>
    <t>I900000011</t>
  </si>
  <si>
    <t>G10000003303</t>
  </si>
  <si>
    <t>MORGAN TERRY M</t>
  </si>
  <si>
    <t>MORGAN MELINDA L</t>
  </si>
  <si>
    <t>4560 BARBECUE CHURCH RD</t>
  </si>
  <si>
    <t>SANFORD</t>
  </si>
  <si>
    <t>N4040A0032</t>
  </si>
  <si>
    <t>CROTTS JUSTIN MATTHEW</t>
  </si>
  <si>
    <t>J4040B0003</t>
  </si>
  <si>
    <t>BARNEYCASTLE CHRISTOPHER RYAN</t>
  </si>
  <si>
    <t>BARNEYCASTLE MIRANDA NICOLE</t>
  </si>
  <si>
    <t>219 W MAPLE AVE</t>
  </si>
  <si>
    <t>27028-2521</t>
  </si>
  <si>
    <t>G800000081</t>
  </si>
  <si>
    <t>VOGLER JOHN CLAY</t>
  </si>
  <si>
    <t>VOGLER MARCENA S</t>
  </si>
  <si>
    <t>438 UNDERPASS RD</t>
  </si>
  <si>
    <t>27006-7523</t>
  </si>
  <si>
    <t>I500000035</t>
  </si>
  <si>
    <t>F50000003203</t>
  </si>
  <si>
    <t>F500000051</t>
  </si>
  <si>
    <t>F50000003206</t>
  </si>
  <si>
    <t>I4130G0014</t>
  </si>
  <si>
    <t>M600000001</t>
  </si>
  <si>
    <t>HARRIS JOSEPH CARL</t>
  </si>
  <si>
    <t>259 N CAROLINA CIR</t>
  </si>
  <si>
    <t>N50000000101</t>
  </si>
  <si>
    <t>BECK JEFFREY WAYNE</t>
  </si>
  <si>
    <t>192 RIDGE DR</t>
  </si>
  <si>
    <t>TROY</t>
  </si>
  <si>
    <t>27371-2015</t>
  </si>
  <si>
    <t>B300000016</t>
  </si>
  <si>
    <t>WALKER DONNA</t>
  </si>
  <si>
    <t>WALKER ANGELO</t>
  </si>
  <si>
    <t>149 HAWKINS VALLEY LN</t>
  </si>
  <si>
    <t>27028-4983</t>
  </si>
  <si>
    <t>J700000083</t>
  </si>
  <si>
    <t>SEATS WILLIAM ABEL</t>
  </si>
  <si>
    <t>SEATS LAUREN MCKINLEY</t>
  </si>
  <si>
    <t>3021 US HIGHWAY 64 E</t>
  </si>
  <si>
    <t>K5010A0008</t>
  </si>
  <si>
    <t>H900000039</t>
  </si>
  <si>
    <t>MARTIN WILLIAM M</t>
  </si>
  <si>
    <t>MARTIN ALEXANDRA M</t>
  </si>
  <si>
    <t>365 PEOPLES CREEK RD</t>
  </si>
  <si>
    <t>D70000000101</t>
  </si>
  <si>
    <t>MIDKIFF JAMES LUTHER II</t>
  </si>
  <si>
    <t>MIDKIFF TERESA</t>
  </si>
  <si>
    <t>118 LAVENDER FARM TRL</t>
  </si>
  <si>
    <t>27006-6824</t>
  </si>
  <si>
    <t>H6070A0005</t>
  </si>
  <si>
    <t>DILLARD NICHOLAS KENDALL</t>
  </si>
  <si>
    <t>HOOKS-DILLARD BRIDGETTE</t>
  </si>
  <si>
    <t>823 SAIN RD</t>
  </si>
  <si>
    <t>D3010A0009</t>
  </si>
  <si>
    <t>MIN JEROEN</t>
  </si>
  <si>
    <t>MIN ROBIN</t>
  </si>
  <si>
    <t>176 GREENFIELD RD</t>
  </si>
  <si>
    <t>J4040G0010</t>
  </si>
  <si>
    <t>BROWN ASHLEY HOPE</t>
  </si>
  <si>
    <t>BROWN STEVEN GARRETT</t>
  </si>
  <si>
    <t>429 S SALISBURY ST</t>
  </si>
  <si>
    <t>E8110A0013</t>
  </si>
  <si>
    <t>DEAL KELLY GANTT</t>
  </si>
  <si>
    <t>DEAL JOEY A</t>
  </si>
  <si>
    <t>1595 UNDERPASS RD</t>
  </si>
  <si>
    <t>E900000204</t>
  </si>
  <si>
    <t>ENGLER JEFFREY A</t>
  </si>
  <si>
    <t>ENGLER ANGIE</t>
  </si>
  <si>
    <t>396 KINGSMILL DR</t>
  </si>
  <si>
    <t>N5010B0002</t>
  </si>
  <si>
    <t>CJ RENTAL PROPERTIES LLC</t>
  </si>
  <si>
    <t>C8010A0007</t>
  </si>
  <si>
    <t>SMITH MARK F</t>
  </si>
  <si>
    <t>SMITH MARIETTA F</t>
  </si>
  <si>
    <t>129 WINDSOR CIR</t>
  </si>
  <si>
    <t>I1120A0022</t>
  </si>
  <si>
    <t>SHREWSBURY CHRISTOPHER LEE</t>
  </si>
  <si>
    <t>297 OAKLAND AVENUE</t>
  </si>
  <si>
    <t>I5170C0002</t>
  </si>
  <si>
    <t>HENDRIX DEBORAH B TRUSTEE</t>
  </si>
  <si>
    <t>DEBORAH LEA BLACKWELDER REV LI</t>
  </si>
  <si>
    <t>D9010A0019</t>
  </si>
  <si>
    <t>PARCO STEPHEN F</t>
  </si>
  <si>
    <t>PARCO CYNTHIA A</t>
  </si>
  <si>
    <t>145 PEMBROOKE RIDGE CT</t>
  </si>
  <si>
    <t>G900000010</t>
  </si>
  <si>
    <t>FLORES ANDREW F JR</t>
  </si>
  <si>
    <t>FLORES LORI S</t>
  </si>
  <si>
    <t>150 OLDE STONE TRL</t>
  </si>
  <si>
    <t>27006-7593</t>
  </si>
  <si>
    <t>J5010C0019</t>
  </si>
  <si>
    <t>MAYFIELD BRYON K</t>
  </si>
  <si>
    <t>129 PECAN HILLS DR</t>
  </si>
  <si>
    <t>28115-7186</t>
  </si>
  <si>
    <t>C8010B0336</t>
  </si>
  <si>
    <t>HEALY CARL JOSEPH</t>
  </si>
  <si>
    <t>HEALY ALLISON</t>
  </si>
  <si>
    <t>225 KILBOURNE DR</t>
  </si>
  <si>
    <t>G7040B0027</t>
  </si>
  <si>
    <t>AYERS DAVID</t>
  </si>
  <si>
    <t>ROBINSON JULIE MARIE</t>
  </si>
  <si>
    <t>PO BOX 51</t>
  </si>
  <si>
    <t>27006-0051</t>
  </si>
  <si>
    <t>I80000003702</t>
  </si>
  <si>
    <t>HENDRIX MICKIE</t>
  </si>
  <si>
    <t>HENDRIX LORNA</t>
  </si>
  <si>
    <t>PO BOX 2281</t>
  </si>
  <si>
    <t>27374-2281</t>
  </si>
  <si>
    <t>F600000061</t>
  </si>
  <si>
    <t>RAMIREZ EMMA</t>
  </si>
  <si>
    <t>SALGADO IVANIA CAROLINA</t>
  </si>
  <si>
    <t>224 WINDWARD CIR</t>
  </si>
  <si>
    <t>27028-2891</t>
  </si>
  <si>
    <t>B300000068</t>
  </si>
  <si>
    <t>MELENDEZ DESTINY JADE PERKINS</t>
  </si>
  <si>
    <t>112 COURTNEY RD</t>
  </si>
  <si>
    <t>B30000006405</t>
  </si>
  <si>
    <t>E900000597</t>
  </si>
  <si>
    <t>MCGEE WILLIAM C</t>
  </si>
  <si>
    <t>MCGEE DIANE B</t>
  </si>
  <si>
    <t>116 W EDEN COURSE DR</t>
  </si>
  <si>
    <t>B3010A0003</t>
  </si>
  <si>
    <t>NAVARRO MARBELLA BARTOLO</t>
  </si>
  <si>
    <t>197 CHEYENNE LN</t>
  </si>
  <si>
    <t>27028-5717</t>
  </si>
  <si>
    <t>E900000435</t>
  </si>
  <si>
    <t>ACKLEY STEVEN RICHARD</t>
  </si>
  <si>
    <t>ACKLEY EMILY REED</t>
  </si>
  <si>
    <t>216 SCOTTSDALE DR</t>
  </si>
  <si>
    <t>J5170A0006</t>
  </si>
  <si>
    <t>BOETTCHER CHRISTIE LOUISE</t>
  </si>
  <si>
    <t>154 ELBERON CT</t>
  </si>
  <si>
    <t>I900000020</t>
  </si>
  <si>
    <t>I90000001902</t>
  </si>
  <si>
    <t>G80000008101</t>
  </si>
  <si>
    <t>VOGLER JANE S</t>
  </si>
  <si>
    <t>414 UNDERPASS RD</t>
  </si>
  <si>
    <t>D8100B0015</t>
  </si>
  <si>
    <t>CHAMBERS ANDREW PHILIP</t>
  </si>
  <si>
    <t>CHAMBERS RACHEL DIAHANN</t>
  </si>
  <si>
    <t>598 RIVERBEND DRIVE</t>
  </si>
  <si>
    <t>D8030A0016</t>
  </si>
  <si>
    <t>HOLDER CHRISTOPHER MARTIN</t>
  </si>
  <si>
    <t>HOLDER CYNTHIA ANN</t>
  </si>
  <si>
    <t>163 RIVERBEND DR</t>
  </si>
  <si>
    <t>N50000000201</t>
  </si>
  <si>
    <t>N500000003</t>
  </si>
  <si>
    <t>N50000000202</t>
  </si>
  <si>
    <t>L500000032</t>
  </si>
  <si>
    <t>STEVENSON AYLA B</t>
  </si>
  <si>
    <t>2375 US HIGHWAY 601 S</t>
  </si>
  <si>
    <t>L60000004503</t>
  </si>
  <si>
    <t>5793 NC HIGHWAY 801 S</t>
  </si>
  <si>
    <t>C60000003302</t>
  </si>
  <si>
    <t>REED BASIL R</t>
  </si>
  <si>
    <t>REED CANDICE K</t>
  </si>
  <si>
    <t>155 TRIPLE H TRL</t>
  </si>
  <si>
    <t>27028-7836</t>
  </si>
  <si>
    <t>I5170D0002</t>
  </si>
  <si>
    <t>WINN PATRICIA ANN</t>
  </si>
  <si>
    <t>WINN ROBERT WINN</t>
  </si>
  <si>
    <t>112 MILLWRIGHT CT</t>
  </si>
  <si>
    <t>J10000002002</t>
  </si>
  <si>
    <t>I5080A0012</t>
  </si>
  <si>
    <t>HAMILTON LORI IRVIN</t>
  </si>
  <si>
    <t>751 N MAIN ST</t>
  </si>
  <si>
    <t>E900000353</t>
  </si>
  <si>
    <t>PITTS RALPH SIMPSON JR</t>
  </si>
  <si>
    <t>GWYNN JENNIFER MCDANIEL</t>
  </si>
  <si>
    <t>162 SCOTTSDALE DR</t>
  </si>
  <si>
    <t>J5160C0008</t>
  </si>
  <si>
    <t>DITTNER KYLE JOHN</t>
  </si>
  <si>
    <t>DITTNER ALYSA LEA</t>
  </si>
  <si>
    <t>243 RANDOM RD</t>
  </si>
  <si>
    <t>E9150B0110</t>
  </si>
  <si>
    <t>SHELDON ERNEST BRYAN</t>
  </si>
  <si>
    <t>SHELDON JANET HUFF</t>
  </si>
  <si>
    <t>355 ORCHARD PARK DR</t>
  </si>
  <si>
    <t>D7080A0027</t>
  </si>
  <si>
    <t>WOGATZKE PHILLIP A</t>
  </si>
  <si>
    <t>RATH KATELYN N</t>
  </si>
  <si>
    <t>196 LONGWOOD DR</t>
  </si>
  <si>
    <t>I5060B0022</t>
  </si>
  <si>
    <t>LAGLE BENJAMIN RAY</t>
  </si>
  <si>
    <t>LAGLE JESICA KALEN</t>
  </si>
  <si>
    <t>411 FULTON ST</t>
  </si>
  <si>
    <t>I5060B0023</t>
  </si>
  <si>
    <t>I5050B0013</t>
  </si>
  <si>
    <t>JONES KEYESTA NICOLE ALEXIS</t>
  </si>
  <si>
    <t>501 WHITNEY RD</t>
  </si>
  <si>
    <t>E900000052</t>
  </si>
  <si>
    <t>JOHNSTON JUSTIN L</t>
  </si>
  <si>
    <t>JOHNSTON TINA B</t>
  </si>
  <si>
    <t>110 SUNTREE CT</t>
  </si>
  <si>
    <t>27006-7273</t>
  </si>
  <si>
    <t>J60000001304</t>
  </si>
  <si>
    <t>BCM ASSOCIATES LLC</t>
  </si>
  <si>
    <t>J600000105</t>
  </si>
  <si>
    <t>J60000001302</t>
  </si>
  <si>
    <t>K10000001401</t>
  </si>
  <si>
    <t>DOUGHERTY JOHN H</t>
  </si>
  <si>
    <t>CLEMENT OCTAVIA W</t>
  </si>
  <si>
    <t>393 VILLAGE ROAD</t>
  </si>
  <si>
    <t>I100000005</t>
  </si>
  <si>
    <t>STROUD DONNA</t>
  </si>
  <si>
    <t>F40000001902</t>
  </si>
  <si>
    <t>TAYLOR TOMMY ALTON</t>
  </si>
  <si>
    <t>466 BEAR CREEK CHURCH ROAD</t>
  </si>
  <si>
    <t>F40000001901</t>
  </si>
  <si>
    <t>G50000001805</t>
  </si>
  <si>
    <t>SAYLOR SARA MEGAN</t>
  </si>
  <si>
    <t>303 MAIN CHURCH RD</t>
  </si>
  <si>
    <t>27028-5846</t>
  </si>
  <si>
    <t>M5100B0002</t>
  </si>
  <si>
    <t>THOMPSON ANTHONY LYNN</t>
  </si>
  <si>
    <t>230 EDGEWOOD CIR</t>
  </si>
  <si>
    <t>27028-6644</t>
  </si>
  <si>
    <t>H300000032</t>
  </si>
  <si>
    <t>TUTTEROW THOMAS W V</t>
  </si>
  <si>
    <t>2167 US HIGHWAY 64 W</t>
  </si>
  <si>
    <t>27028-8439</t>
  </si>
  <si>
    <t>E70000005706</t>
  </si>
  <si>
    <t>BOST LARRY THOMAS</t>
  </si>
  <si>
    <t>BOST TERESA LORRAINE</t>
  </si>
  <si>
    <t>N500000037</t>
  </si>
  <si>
    <t>LANDEVERDE CONCEPCION GUILLE</t>
  </si>
  <si>
    <t>1731 QUANTICO RD</t>
  </si>
  <si>
    <t>EDGEWATER</t>
  </si>
  <si>
    <t>I5060C0030</t>
  </si>
  <si>
    <t>QUIROZ WALKIRIA LISBETH</t>
  </si>
  <si>
    <t>30 WHITNEY RD</t>
  </si>
  <si>
    <t>E900000466</t>
  </si>
  <si>
    <t>DAUGHERTY SHAUN WILLIAM</t>
  </si>
  <si>
    <t>DAUGHERTY ANN-MARIE</t>
  </si>
  <si>
    <t>118 N HIDDENBROOKE DR</t>
  </si>
  <si>
    <t>D700000117</t>
  </si>
  <si>
    <t>CALLAWAY DANIEL BROCK</t>
  </si>
  <si>
    <t>131 BETHLEHEM DR</t>
  </si>
  <si>
    <t>I100000038</t>
  </si>
  <si>
    <t>IGLESIAS ABDIEL</t>
  </si>
  <si>
    <t>IGLESIAS JAMIE</t>
  </si>
  <si>
    <t>2411 DAVIE ACADEMY RD</t>
  </si>
  <si>
    <t>F800000077</t>
  </si>
  <si>
    <t>BINGHAM TIMOTHY KNOX</t>
  </si>
  <si>
    <t>NEWSOM LOGAN D</t>
  </si>
  <si>
    <t>1402 NC HIGHWAY 801 S</t>
  </si>
  <si>
    <t>27006-7810</t>
  </si>
  <si>
    <t>I20000000602</t>
  </si>
  <si>
    <t>JOHNSON ALFRED EARL II</t>
  </si>
  <si>
    <t>JOHNSON VIRGINIA CORDERO</t>
  </si>
  <si>
    <t>1454 GODBEY RD</t>
  </si>
  <si>
    <t>D9010C0004</t>
  </si>
  <si>
    <t>HODOWANSKY CAROL A</t>
  </si>
  <si>
    <t>105 SAINT GEORGE PL</t>
  </si>
  <si>
    <t>E900000562</t>
  </si>
  <si>
    <t>GOUCH CHRISTOPHER</t>
  </si>
  <si>
    <t>GOUCH SARAH</t>
  </si>
  <si>
    <t>170 ARNOLD PALMER DR</t>
  </si>
  <si>
    <t>I4010A0028</t>
  </si>
  <si>
    <t>BENTLEY JENNIFER RUTH</t>
  </si>
  <si>
    <t>210 N WENTWORTH DR</t>
  </si>
  <si>
    <t>C8010A0052</t>
  </si>
  <si>
    <t>LUEBCHOW MARK</t>
  </si>
  <si>
    <t>LUEBCHOW KAITLIN</t>
  </si>
  <si>
    <t>196 BRIDGEWATER DR</t>
  </si>
  <si>
    <t>I4110B000802</t>
  </si>
  <si>
    <t>SCHWARZ ROBERT CHARLES JR</t>
  </si>
  <si>
    <t>578 WILKESBORO ST</t>
  </si>
  <si>
    <t>E80000001310</t>
  </si>
  <si>
    <t>MCINTYRE VICTORIA FAYE</t>
  </si>
  <si>
    <t>1870 UNDERPASS RD</t>
  </si>
  <si>
    <t>E900000189</t>
  </si>
  <si>
    <t>SILVERSTEIN BRENDA</t>
  </si>
  <si>
    <t>434 KINGSMILL DR</t>
  </si>
  <si>
    <t>E8110A0008</t>
  </si>
  <si>
    <t>CHRISTENSEN JULIE A</t>
  </si>
  <si>
    <t>CHRISTENSEN MICHAEL</t>
  </si>
  <si>
    <t>362 RIVER RD</t>
  </si>
  <si>
    <t>D700000006</t>
  </si>
  <si>
    <t>E8020A0036</t>
  </si>
  <si>
    <t>I5120A0009</t>
  </si>
  <si>
    <t>ARROYO JOSE LUIS</t>
  </si>
  <si>
    <t>CUBANO ADA</t>
  </si>
  <si>
    <t>163 BLUE BONNET CT</t>
  </si>
  <si>
    <t>O600000024</t>
  </si>
  <si>
    <t>BELL JAMES WALTER JR</t>
  </si>
  <si>
    <t>BELL HILDA CLARK</t>
  </si>
  <si>
    <t>4016 US HIGHWAY 601 S</t>
  </si>
  <si>
    <t>I4060B0003</t>
  </si>
  <si>
    <t>FORKS OF THE YADKIN &amp; DAVIE CO HISTORY MUSEUM</t>
  </si>
  <si>
    <t>% JOHNNY MARKLIN</t>
  </si>
  <si>
    <t>848 S MAIN ST</t>
  </si>
  <si>
    <t>L400000016</t>
  </si>
  <si>
    <t>L300000016</t>
  </si>
  <si>
    <t>L40000004303</t>
  </si>
  <si>
    <t>N5020A0003</t>
  </si>
  <si>
    <t>GARITA ANGEL ABIDAN</t>
  </si>
  <si>
    <t>GONZALES PATRICIA ROMO</t>
  </si>
  <si>
    <t>PO BOX 614</t>
  </si>
  <si>
    <t>27014-0614</t>
  </si>
  <si>
    <t>N5080A0038</t>
  </si>
  <si>
    <t>D300000050</t>
  </si>
  <si>
    <t>DARR JIMMIE D JR</t>
  </si>
  <si>
    <t>146 HOWELL RD</t>
  </si>
  <si>
    <t>27028-4810</t>
  </si>
  <si>
    <t>H60000002804</t>
  </si>
  <si>
    <t>ALLEN MICHELLE B</t>
  </si>
  <si>
    <t>2085 MILLING RD</t>
  </si>
  <si>
    <t>H5150A0013</t>
  </si>
  <si>
    <t>THAYER ANDREW ROBERT</t>
  </si>
  <si>
    <t>THAYER KAREN TUCKER</t>
  </si>
  <si>
    <t>13005 HEATH GROVE DR</t>
  </si>
  <si>
    <t>28078-4236</t>
  </si>
  <si>
    <t>J7120A0025</t>
  </si>
  <si>
    <t>SMITH GLORIA A</t>
  </si>
  <si>
    <t>COLLIN THOMAS W IV</t>
  </si>
  <si>
    <t>182 CEDAR GROVE CH RD</t>
  </si>
  <si>
    <t>G400000063</t>
  </si>
  <si>
    <t>MARTINEZ JULIO ALBERTO</t>
  </si>
  <si>
    <t>MAJANO LOYDA ABIGAIL PORTILLO</t>
  </si>
  <si>
    <t>1200 WOODWARD RD</t>
  </si>
  <si>
    <t>I4120D0035</t>
  </si>
  <si>
    <t>MENA LIDIA VERONICA MEJIA</t>
  </si>
  <si>
    <t>SANCHEZ GLORIA BIBIANA VELASQU</t>
  </si>
  <si>
    <t>432 PARK AVE</t>
  </si>
  <si>
    <t>H40000014501</t>
  </si>
  <si>
    <t>ROTH MARIE BENGE TRUSTEE</t>
  </si>
  <si>
    <t>ROTH MARIE BENGE REV TRUST</t>
  </si>
  <si>
    <t>139 STERLING DR</t>
  </si>
  <si>
    <t>D8080D0032</t>
  </si>
  <si>
    <t>NEUHAUS JERRY EDWARD</t>
  </si>
  <si>
    <t>NEUHAUS AMANDA NICOLE</t>
  </si>
  <si>
    <t>900 RIVERBEND DR</t>
  </si>
  <si>
    <t>F30000009701</t>
  </si>
  <si>
    <t>ERB TARA</t>
  </si>
  <si>
    <t>147 CAMELLIA LN</t>
  </si>
  <si>
    <t>C70000008503</t>
  </si>
  <si>
    <t>MURRAY LEONARD A</t>
  </si>
  <si>
    <t>MURRAY JANET M</t>
  </si>
  <si>
    <t>2812 ALLGOOD ROAD</t>
  </si>
  <si>
    <t>C600000033</t>
  </si>
  <si>
    <t>C500000040</t>
  </si>
  <si>
    <t>H8050A0012</t>
  </si>
  <si>
    <t>FLINT MICHAEL DAVID</t>
  </si>
  <si>
    <t>FLINT SHEENA</t>
  </si>
  <si>
    <t>215 SHADY GROVE LN</t>
  </si>
  <si>
    <t>E900000393</t>
  </si>
  <si>
    <t>HOLLY STEVEN THOMAS</t>
  </si>
  <si>
    <t>HOLLY CRYSTAL</t>
  </si>
  <si>
    <t>249 BROADMOOR DR</t>
  </si>
  <si>
    <t>I4120B000101</t>
  </si>
  <si>
    <t>CORRELL PARKER C</t>
  </si>
  <si>
    <t>CARTNER PAYTON ELIZABETH</t>
  </si>
  <si>
    <t>819 GARNER ST</t>
  </si>
  <si>
    <t>27028-2005</t>
  </si>
  <si>
    <t>I6140A0046</t>
  </si>
  <si>
    <t>PAGE CHARLES</t>
  </si>
  <si>
    <t>PAGE JOYCE</t>
  </si>
  <si>
    <t>454 CORNATZER RD</t>
  </si>
  <si>
    <t>I4060A0004</t>
  </si>
  <si>
    <t>HUTCHERSON VIRGIL O</t>
  </si>
  <si>
    <t>HUTCHERSON ELIZABETH B</t>
  </si>
  <si>
    <t>729 WILKESBORO ST</t>
  </si>
  <si>
    <t>27028-2056</t>
  </si>
  <si>
    <t>L60000000812</t>
  </si>
  <si>
    <t>WHITLEY ASHLEY D</t>
  </si>
  <si>
    <t>6515 NC HIGHWAY 801 S</t>
  </si>
  <si>
    <t>H900000006</t>
  </si>
  <si>
    <t>BELL CAROLYN ROBERTSON</t>
  </si>
  <si>
    <t>BELL JOHN B</t>
  </si>
  <si>
    <t>1508 WHITEHEART SCHOOL ROAD</t>
  </si>
  <si>
    <t>F800000085</t>
  </si>
  <si>
    <t>I4140B0010</t>
  </si>
  <si>
    <t>TANGUAY KRISTEN M</t>
  </si>
  <si>
    <t>425 AVON ST</t>
  </si>
  <si>
    <t>27028-2307</t>
  </si>
  <si>
    <t>H4140B001101</t>
  </si>
  <si>
    <t>LOMELI JUANA MARIA</t>
  </si>
  <si>
    <t>432 COUNTRY LN</t>
  </si>
  <si>
    <t>H4140B0008</t>
  </si>
  <si>
    <t>I6140A0047</t>
  </si>
  <si>
    <t>H900000005</t>
  </si>
  <si>
    <t>REID ROBIN D</t>
  </si>
  <si>
    <t>REID TAMMY D</t>
  </si>
  <si>
    <t>979 PEOPLES CREEK RD</t>
  </si>
  <si>
    <t>F60000009801</t>
  </si>
  <si>
    <t>NUDD PETER</t>
  </si>
  <si>
    <t>843 HOWARDTOWN CIRCLE</t>
  </si>
  <si>
    <t>I5020A0008</t>
  </si>
  <si>
    <t>ATHEY RANDY CHARLES</t>
  </si>
  <si>
    <t>1340 NORTH MAIN STREET</t>
  </si>
  <si>
    <t>H5200A0006</t>
  </si>
  <si>
    <t>KARTANSON JOHN MURRAY</t>
  </si>
  <si>
    <t>KARTANSON SUZANNE KULMAN</t>
  </si>
  <si>
    <t>136 NELLWOOD CT</t>
  </si>
  <si>
    <t>E700000174</t>
  </si>
  <si>
    <t>CRUZ-RONDON OTHONIEL</t>
  </si>
  <si>
    <t>SHAW CASSANDRA LYNN</t>
  </si>
  <si>
    <t>115 REECE WAY</t>
  </si>
  <si>
    <t>27006-7826</t>
  </si>
  <si>
    <t>F600000097</t>
  </si>
  <si>
    <t>F600000121</t>
  </si>
  <si>
    <t>J60000001303</t>
  </si>
  <si>
    <t>M5100B000201</t>
  </si>
  <si>
    <t>E900000506</t>
  </si>
  <si>
    <t>HEDRICK DAVID</t>
  </si>
  <si>
    <t>HEDRICK KATHY</t>
  </si>
  <si>
    <t>121 AUGUSTA CT</t>
  </si>
  <si>
    <t>E80000001705</t>
  </si>
  <si>
    <t>HANNAH LAURA HOWARD</t>
  </si>
  <si>
    <t>HANNAH JOHN MATTHEW</t>
  </si>
  <si>
    <t>1326 UNDERPASS RD</t>
  </si>
  <si>
    <t>G9100A0008</t>
  </si>
  <si>
    <t>LANNING WILLIAM CARTER JR</t>
  </si>
  <si>
    <t>LANNING CYNTHIA R</t>
  </si>
  <si>
    <t>126 SUMMER SWEET DR</t>
  </si>
  <si>
    <t>M5090A0004</t>
  </si>
  <si>
    <t>IJAMES T R</t>
  </si>
  <si>
    <t>% ALICE PRUITT</t>
  </si>
  <si>
    <t>4421 CEDAR PARK DR</t>
  </si>
  <si>
    <t>STONE MTN</t>
  </si>
  <si>
    <t>30083-1843</t>
  </si>
  <si>
    <t>M5160D0008</t>
  </si>
  <si>
    <t>WHITE ALICE PRUITT HEIRS OF</t>
  </si>
  <si>
    <t>ATTN: BRENDA P ANNISETTE</t>
  </si>
  <si>
    <t>4421 CEDAR PARK DRIVE</t>
  </si>
  <si>
    <t>STONE MOUNTAIN</t>
  </si>
  <si>
    <t>C70000010702</t>
  </si>
  <si>
    <t>MONTOYA PROPERTIES LLC</t>
  </si>
  <si>
    <t>27023-7103</t>
  </si>
  <si>
    <t>K40000000901</t>
  </si>
  <si>
    <t>YARBROUGH JESSICA P</t>
  </si>
  <si>
    <t>292 FEEZOR RD</t>
  </si>
  <si>
    <t>K40000000902</t>
  </si>
  <si>
    <t>D300000021</t>
  </si>
  <si>
    <t>MYERS DAVID LEE</t>
  </si>
  <si>
    <t>115 CRABTREE RD</t>
  </si>
  <si>
    <t>H400000090</t>
  </si>
  <si>
    <t>SHERRILL MILDRED R ESTATE</t>
  </si>
  <si>
    <t>J40000002210</t>
  </si>
  <si>
    <t>WALKER JOHN</t>
  </si>
  <si>
    <t>WALLS-WALKER MARY-MARGARET</t>
  </si>
  <si>
    <t>1418 COUNTY HOME RD</t>
  </si>
  <si>
    <t>L400000055</t>
  </si>
  <si>
    <t>K300000033</t>
  </si>
  <si>
    <t>LANGTREE MANOR LLC</t>
  </si>
  <si>
    <t>15022 HERON LAKE XING</t>
  </si>
  <si>
    <t>FORT WAYNE</t>
  </si>
  <si>
    <t>46814-7585</t>
  </si>
  <si>
    <t>C8010A0013</t>
  </si>
  <si>
    <t>ALMEIDA CYNTHIA M</t>
  </si>
  <si>
    <t>CARPENTER JERRY</t>
  </si>
  <si>
    <t>104 ROSEWALK LN</t>
  </si>
  <si>
    <t>G10000002903</t>
  </si>
  <si>
    <t>YOUNG NATHAN PATRICK</t>
  </si>
  <si>
    <t>1034 COUNTY LINE RD</t>
  </si>
  <si>
    <t>28634-8906</t>
  </si>
  <si>
    <t>J70000004905</t>
  </si>
  <si>
    <t>HENDRIX JERRY CLYDE</t>
  </si>
  <si>
    <t>HENDRIX STEPHANIE B</t>
  </si>
  <si>
    <t>207 MERRELLS LAKE RD</t>
  </si>
  <si>
    <t>D9020A0017</t>
  </si>
  <si>
    <t>HALVER BLAIR</t>
  </si>
  <si>
    <t>HALVER SIDRA</t>
  </si>
  <si>
    <t>472 BING CROSBY BLVD</t>
  </si>
  <si>
    <t>I300000054</t>
  </si>
  <si>
    <t>BILLINGS DONNA MARIE</t>
  </si>
  <si>
    <t>BILLINGS MICHAEL L</t>
  </si>
  <si>
    <t>427 GREENHILL RD</t>
  </si>
  <si>
    <t>J7120A0023</t>
  </si>
  <si>
    <t>ISAAC ETHAN</t>
  </si>
  <si>
    <t>ISAAC HANNAH</t>
  </si>
  <si>
    <t>3188 US HIGHWAY 64 E</t>
  </si>
  <si>
    <t>27006-7095</t>
  </si>
  <si>
    <t>J5010D0088</t>
  </si>
  <si>
    <t>MOORE TONY L</t>
  </si>
  <si>
    <t>MOORE BEVERLY J</t>
  </si>
  <si>
    <t>172 WINDING CREEK RD</t>
  </si>
  <si>
    <t>G600000059</t>
  </si>
  <si>
    <t>DE QUINTEROS NIMIA MARGARITA D</t>
  </si>
  <si>
    <t>D50000001706</t>
  </si>
  <si>
    <t>MARTYAK NICHOLAS EDWARD</t>
  </si>
  <si>
    <t>MARTYAK KRISTEN MARIE</t>
  </si>
  <si>
    <t>161 NIKKIS WAY</t>
  </si>
  <si>
    <t>27028-7775</t>
  </si>
  <si>
    <t>C8010A0184</t>
  </si>
  <si>
    <t>LANDRETH MICHAEL</t>
  </si>
  <si>
    <t>LANDRETH KIMBERLY</t>
  </si>
  <si>
    <t>205 OLD TOWNE DRIVE</t>
  </si>
  <si>
    <t>E900000710</t>
  </si>
  <si>
    <t>GROHMAN KRISTIE CLAY</t>
  </si>
  <si>
    <t>142 CAUDLE MEADOWS DR</t>
  </si>
  <si>
    <t>C8010E0069</t>
  </si>
  <si>
    <t>MCINTOSH STEVEN</t>
  </si>
  <si>
    <t>MCINTOSH ALICIA</t>
  </si>
  <si>
    <t>369 TOWN PARK DR</t>
  </si>
  <si>
    <t>G30000003405</t>
  </si>
  <si>
    <t>CHAREST RICHARD NEIL</t>
  </si>
  <si>
    <t>CHAREST SHEREE M</t>
  </si>
  <si>
    <t>183 DAKOTA LN</t>
  </si>
  <si>
    <t>27028-7469</t>
  </si>
  <si>
    <t>H8060A0038</t>
  </si>
  <si>
    <t>RUSSELL JUSTIN CONRAD</t>
  </si>
  <si>
    <t>SMART PAIGE NICOLE</t>
  </si>
  <si>
    <t>121 S HEMINGWAY CT</t>
  </si>
  <si>
    <t>L60000000814</t>
  </si>
  <si>
    <t>HOWELL CHRISTOPHER BERNARD</t>
  </si>
  <si>
    <t>6531 NC HIGHWAY 801 S</t>
  </si>
  <si>
    <t>D8080D0025</t>
  </si>
  <si>
    <t>EDEN DAVID DELANO</t>
  </si>
  <si>
    <t>EDEN VILMA MARIA</t>
  </si>
  <si>
    <t>893 RIVERBEND DRIVE</t>
  </si>
  <si>
    <t>G3020A0004</t>
  </si>
  <si>
    <t>LAMBETH JOSHUA S</t>
  </si>
  <si>
    <t>LAMBETH ASHLEY</t>
  </si>
  <si>
    <t>2428 US HIGHWAY 601 N</t>
  </si>
  <si>
    <t>J100000025</t>
  </si>
  <si>
    <t>STROUD JAMES RANDALL</t>
  </si>
  <si>
    <t>1800 RIDGE RD</t>
  </si>
  <si>
    <t>27028-8352</t>
  </si>
  <si>
    <t>C8010B0400</t>
  </si>
  <si>
    <t>KRAUSKOPF DEBORAH</t>
  </si>
  <si>
    <t>136 GLENMOOR AVE</t>
  </si>
  <si>
    <t>K30000000601</t>
  </si>
  <si>
    <t>444 WILDERNESS WAY</t>
  </si>
  <si>
    <t>K10000002902</t>
  </si>
  <si>
    <t>KOLAKOWSKI JOSEPH</t>
  </si>
  <si>
    <t>KOLAKOWSKI JILL E</t>
  </si>
  <si>
    <t>126 GRASSHOPPER CIR</t>
  </si>
  <si>
    <t>28117-7098</t>
  </si>
  <si>
    <t>K100000029</t>
  </si>
  <si>
    <t>I40000006404</t>
  </si>
  <si>
    <t>VALLEY ROAD MOB LLC</t>
  </si>
  <si>
    <t>118 HOSPITAL ST</t>
  </si>
  <si>
    <t>27028-2008</t>
  </si>
  <si>
    <t>G20000003703</t>
  </si>
  <si>
    <t>ARLEDGE ROBERT E</t>
  </si>
  <si>
    <t>ARLEDGE LESLIE A</t>
  </si>
  <si>
    <t>750 SHEFFIELD RD</t>
  </si>
  <si>
    <t>I5050A0051</t>
  </si>
  <si>
    <t>INGRAM OKEY DOUGLAS</t>
  </si>
  <si>
    <t>INGRAM SHANTEL MARIE</t>
  </si>
  <si>
    <t>101 META BREEZE LN</t>
  </si>
  <si>
    <t>27028-2849</t>
  </si>
  <si>
    <t>H4130A0003</t>
  </si>
  <si>
    <t>MYERS DARRYL</t>
  </si>
  <si>
    <t>MYERS MELISSA</t>
  </si>
  <si>
    <t>114 SUMMIT DR</t>
  </si>
  <si>
    <t>E50000001701</t>
  </si>
  <si>
    <t>TRANSOU MARJORIE LYON-PAGE</t>
  </si>
  <si>
    <t>TRANSOU KEVIN L</t>
  </si>
  <si>
    <t>975 FARMINGTON RD</t>
  </si>
  <si>
    <t>K40000004308</t>
  </si>
  <si>
    <t>KEEN RACHEL E</t>
  </si>
  <si>
    <t>475 BUCK SEAFORD RD</t>
  </si>
  <si>
    <t>27028-4170</t>
  </si>
  <si>
    <t>E900000387</t>
  </si>
  <si>
    <t>HEGE TIMOTHY M</t>
  </si>
  <si>
    <t>LAWSON MICHELLE S</t>
  </si>
  <si>
    <t>252 BROADMOOR DR</t>
  </si>
  <si>
    <t>I4120B0021</t>
  </si>
  <si>
    <t>CLUTTER ELISHA L</t>
  </si>
  <si>
    <t>611 GARNER ST</t>
  </si>
  <si>
    <t>L60000000817</t>
  </si>
  <si>
    <t>LINEBACK ZACHARY</t>
  </si>
  <si>
    <t>6549 NC HIGHWAY 801 S</t>
  </si>
  <si>
    <t>I1110A0011</t>
  </si>
  <si>
    <t>TULBERT JEREMY</t>
  </si>
  <si>
    <t>TULBERT LINDSAY</t>
  </si>
  <si>
    <t>3841 US HIGHWAY 64 W</t>
  </si>
  <si>
    <t>M5160C0017</t>
  </si>
  <si>
    <t>BILLINGS JEFFERY D</t>
  </si>
  <si>
    <t>2435 OLD MOCKSVILLE RD</t>
  </si>
  <si>
    <t>28144-9071</t>
  </si>
  <si>
    <t>C200000038</t>
  </si>
  <si>
    <t>GAMMONS JOSHUA C</t>
  </si>
  <si>
    <t>1400 LIBERTY CHURCH RD</t>
  </si>
  <si>
    <t>I5170B0129</t>
  </si>
  <si>
    <t>MADDEN GARY W</t>
  </si>
  <si>
    <t>MADDEN DIANNE</t>
  </si>
  <si>
    <t>129 W BRICK WALK CT</t>
  </si>
  <si>
    <t>L600000009</t>
  </si>
  <si>
    <t>LEONARD APRIL MICHELLE</t>
  </si>
  <si>
    <t>LEONARD JEFFREY LANCE</t>
  </si>
  <si>
    <t>6575 NC HIGHWAY 801 S</t>
  </si>
  <si>
    <t>L60000000816</t>
  </si>
  <si>
    <t>HOHF CHRISTINA LYNN</t>
  </si>
  <si>
    <t>ROLAND JOHN JOSEPH</t>
  </si>
  <si>
    <t>6547 NC HIGHWAY 801 S</t>
  </si>
  <si>
    <t>C4160A0026</t>
  </si>
  <si>
    <t>MCDONALD MARK DURANT JR</t>
  </si>
  <si>
    <t>MCDONALD KARA LYNN</t>
  </si>
  <si>
    <t>235 BRANGUS WAY</t>
  </si>
  <si>
    <t>K400000043</t>
  </si>
  <si>
    <t>E9150A0043</t>
  </si>
  <si>
    <t>GRAY JODI J</t>
  </si>
  <si>
    <t>216 TALWOOD DR</t>
  </si>
  <si>
    <t>27006-8757</t>
  </si>
  <si>
    <t>H8060A0008</t>
  </si>
  <si>
    <t>HARPER TYLER</t>
  </si>
  <si>
    <t>HARPER CADY</t>
  </si>
  <si>
    <t>136 ALEXANDRIA CT</t>
  </si>
  <si>
    <t>K5070A0003</t>
  </si>
  <si>
    <t>MCDANIEL BRAXTON K</t>
  </si>
  <si>
    <t>J50000001402</t>
  </si>
  <si>
    <t>KOREN SHAWN</t>
  </si>
  <si>
    <t>KOREN RACHAEL</t>
  </si>
  <si>
    <t>1347 US HIGHWAY 64 E</t>
  </si>
  <si>
    <t>27028-5461</t>
  </si>
  <si>
    <t>I5040A0018</t>
  </si>
  <si>
    <t>LONG VIVIAN A</t>
  </si>
  <si>
    <t>140 HILLCREST CT</t>
  </si>
  <si>
    <t>27028-2801</t>
  </si>
  <si>
    <t>E8100C0005</t>
  </si>
  <si>
    <t>TOWNSLEY JOHNATHAN DAVID</t>
  </si>
  <si>
    <t>TOWNSLEY GILLIAN DIANA</t>
  </si>
  <si>
    <t>138 BROOKDALE DR</t>
  </si>
  <si>
    <t>H10000000808</t>
  </si>
  <si>
    <t>BRACKEN ROBERT G</t>
  </si>
  <si>
    <t>BRACKEN ANGELA</t>
  </si>
  <si>
    <t>748 COUNTY LINE RD</t>
  </si>
  <si>
    <t>28634-8905</t>
  </si>
  <si>
    <t>E900000272</t>
  </si>
  <si>
    <t>O'BOYLE VINCENT J JR</t>
  </si>
  <si>
    <t>OUTLAW JULIA G</t>
  </si>
  <si>
    <t>128 GRASSLANDS COURT</t>
  </si>
  <si>
    <t>J5020B0001</t>
  </si>
  <si>
    <t>CAMPBELL DAWN F</t>
  </si>
  <si>
    <t>CAMPBELL JAMES W</t>
  </si>
  <si>
    <t>1240 GODBEY RD</t>
  </si>
  <si>
    <t>28147-9470</t>
  </si>
  <si>
    <t>F3130A0026</t>
  </si>
  <si>
    <t>WATSON BRYAN R</t>
  </si>
  <si>
    <t>127 PEPPERSTONE PL</t>
  </si>
  <si>
    <t>27028-5960</t>
  </si>
  <si>
    <t>K10000002901</t>
  </si>
  <si>
    <t>HARTNESS JEFFERY FRANKLIN</t>
  </si>
  <si>
    <t>HARTNESS SABRINA WALKER</t>
  </si>
  <si>
    <t>235 CAMPGROUND ROAD</t>
  </si>
  <si>
    <t>H60000004601</t>
  </si>
  <si>
    <t>MELTON DAVID L</t>
  </si>
  <si>
    <t>MELTON SANDRA A</t>
  </si>
  <si>
    <t>2408 MILLING RD</t>
  </si>
  <si>
    <t>H60000005706</t>
  </si>
  <si>
    <t>J7080B0055</t>
  </si>
  <si>
    <t>ELDRIDGE RICHARD M</t>
  </si>
  <si>
    <t>160 CEDARWOOD PL</t>
  </si>
  <si>
    <t>H5170A0009</t>
  </si>
  <si>
    <t>HUNTER JACKIE L</t>
  </si>
  <si>
    <t>109 BLOSSOM HILL CT</t>
  </si>
  <si>
    <t>H50000002912</t>
  </si>
  <si>
    <t>FULFORD JIMMY</t>
  </si>
  <si>
    <t>FULFORD JAIME</t>
  </si>
  <si>
    <t>141 SAIN RD</t>
  </si>
  <si>
    <t>27028-4326</t>
  </si>
  <si>
    <t>D8060B0030</t>
  </si>
  <si>
    <t>SMITH MARTY G</t>
  </si>
  <si>
    <t>SMITH ELIZABETH R</t>
  </si>
  <si>
    <t>145 BERMUDA RUN DR N</t>
  </si>
  <si>
    <t>E8160A0025</t>
  </si>
  <si>
    <t>KIRKMAN MARK</t>
  </si>
  <si>
    <t>KIRKMAN SHEILA</t>
  </si>
  <si>
    <t>112 MEADOWS EDGE DR</t>
  </si>
  <si>
    <t>L60000000819</t>
  </si>
  <si>
    <t>LAMB SARAH MARGARET</t>
  </si>
  <si>
    <t>LAMB DALTON SEAN</t>
  </si>
  <si>
    <t>6565 NC HIGHWAY 801 S</t>
  </si>
  <si>
    <t>L50000003201</t>
  </si>
  <si>
    <t>LEVIS REBECCA ANN</t>
  </si>
  <si>
    <t>139 AUBREY MERRELL RD</t>
  </si>
  <si>
    <t>I30000004708</t>
  </si>
  <si>
    <t>WILLIAMS CHARLES ODELL</t>
  </si>
  <si>
    <t>280 MCALLISTER RD</t>
  </si>
  <si>
    <t>27028-4252</t>
  </si>
  <si>
    <t>I300000046</t>
  </si>
  <si>
    <t>G500000045</t>
  </si>
  <si>
    <t>WOODWARD JOE K</t>
  </si>
  <si>
    <t>WOODWARD SHERRY P</t>
  </si>
  <si>
    <t>122 BOWLES RD</t>
  </si>
  <si>
    <t>G50000004201</t>
  </si>
  <si>
    <t>C8010D0044</t>
  </si>
  <si>
    <t>TUGWELL BRYAN</t>
  </si>
  <si>
    <t>TUGWELL BRITTANY</t>
  </si>
  <si>
    <t>337 TOWNPARK DRIVE</t>
  </si>
  <si>
    <t>J4060C0005</t>
  </si>
  <si>
    <t>HUNEYCUTT KYLE B</t>
  </si>
  <si>
    <t>900 HARDISON ST</t>
  </si>
  <si>
    <t>H500000060</t>
  </si>
  <si>
    <t>WILKES DEBBIE S LIVING TRUST</t>
  </si>
  <si>
    <t>PO BOX 1356</t>
  </si>
  <si>
    <t>27028-1356</t>
  </si>
  <si>
    <t>G500000017</t>
  </si>
  <si>
    <t>H5070A0005</t>
  </si>
  <si>
    <t>H600000038</t>
  </si>
  <si>
    <t>BOGER GEORGE RODWELL REV LIV TRUST</t>
  </si>
  <si>
    <t>2323 MILLING RD</t>
  </si>
  <si>
    <t>H600000047</t>
  </si>
  <si>
    <t>K5080A0001</t>
  </si>
  <si>
    <t>STEELE MINOR T</t>
  </si>
  <si>
    <t>134 F M STEELE LN</t>
  </si>
  <si>
    <t>27028-6943</t>
  </si>
  <si>
    <t>I1110E0001</t>
  </si>
  <si>
    <t>MINTER CHRISTINE</t>
  </si>
  <si>
    <t>2545 DAVIE ACADEMY RD</t>
  </si>
  <si>
    <t>27028-8213</t>
  </si>
  <si>
    <t>K20000001704</t>
  </si>
  <si>
    <t>HELLARD JASON W</t>
  </si>
  <si>
    <t>753 RIDGE RD</t>
  </si>
  <si>
    <t>D700000166</t>
  </si>
  <si>
    <t>SCHAFFER MARVA</t>
  </si>
  <si>
    <t>4763 US HIGHWAY 158</t>
  </si>
  <si>
    <t>I600000066</t>
  </si>
  <si>
    <t>FRYE THOMAS K</t>
  </si>
  <si>
    <t>672 CORNATZER RD</t>
  </si>
  <si>
    <t>K40000004001</t>
  </si>
  <si>
    <t>K400000045</t>
  </si>
  <si>
    <t>D400000030</t>
  </si>
  <si>
    <t>MALDJIAN JOSEPH</t>
  </si>
  <si>
    <t>MALDJIAN MARIANA</t>
  </si>
  <si>
    <t>4219 UNIVERSITY BLVD</t>
  </si>
  <si>
    <t>G8010C0003</t>
  </si>
  <si>
    <t>MCMANUS SEAN P</t>
  </si>
  <si>
    <t>MCMANUS BROOKLYNN</t>
  </si>
  <si>
    <t>2529 CORNATZER RD</t>
  </si>
  <si>
    <t>27006-7206</t>
  </si>
  <si>
    <t>J4040F0021</t>
  </si>
  <si>
    <t>PITTS CHRISTOPHER</t>
  </si>
  <si>
    <t>524 S SALISBURY ST</t>
  </si>
  <si>
    <t>I400000056</t>
  </si>
  <si>
    <t>FREIBERGER JAMES</t>
  </si>
  <si>
    <t>FREIBERGER TERESA J</t>
  </si>
  <si>
    <t>985 US HIGHWAY 64 WEST</t>
  </si>
  <si>
    <t>D9050A0041</t>
  </si>
  <si>
    <t>GRAY PHYLLIS J</t>
  </si>
  <si>
    <t>3221 BERMUDA VLG</t>
  </si>
  <si>
    <t>E30000012202</t>
  </si>
  <si>
    <t>MILLER RANDALL JASON</t>
  </si>
  <si>
    <t>MILLER JENNIFER DUKE</t>
  </si>
  <si>
    <t>125 RANDALL WAY</t>
  </si>
  <si>
    <t>27028-5886</t>
  </si>
  <si>
    <t>J5150A0005</t>
  </si>
  <si>
    <t>LAROQUE ESTHER</t>
  </si>
  <si>
    <t>133 HICKORY DRIVE</t>
  </si>
  <si>
    <t>K50000002806</t>
  </si>
  <si>
    <t>GEOUGE WADE KEVIN</t>
  </si>
  <si>
    <t>GEOUGE RACHEL YOUNG</t>
  </si>
  <si>
    <t>549 DEADMON RD</t>
  </si>
  <si>
    <t>F90000000804</t>
  </si>
  <si>
    <t>CHURCH AUTUMN LYNN</t>
  </si>
  <si>
    <t>POTTS EDWARD MATTHEW</t>
  </si>
  <si>
    <t>837 COUNTRY LN</t>
  </si>
  <si>
    <t>J7120A000902</t>
  </si>
  <si>
    <t>NOELL CYNTHIA JANE</t>
  </si>
  <si>
    <t>3121 US HIGHWAY 64 E</t>
  </si>
  <si>
    <t>27028-7426</t>
  </si>
  <si>
    <t>J7120A0009</t>
  </si>
  <si>
    <t>I5020A0011</t>
  </si>
  <si>
    <t>ASHFIELD DONNA</t>
  </si>
  <si>
    <t>ASHFIELD JAN D</t>
  </si>
  <si>
    <t>106 CROWE ST</t>
  </si>
  <si>
    <t>C300000099</t>
  </si>
  <si>
    <t>HICKS KEVYN TYLER</t>
  </si>
  <si>
    <t>HICKS BROOKE HARBIN</t>
  </si>
  <si>
    <t>205 FOSTALL DR</t>
  </si>
  <si>
    <t>27028-4750</t>
  </si>
  <si>
    <t>G100000019</t>
  </si>
  <si>
    <t>EINLOTH TIMOTHY</t>
  </si>
  <si>
    <t>EINLOTH ALICIA</t>
  </si>
  <si>
    <t>105 HARMONY FARM TRL</t>
  </si>
  <si>
    <t>28634-8912</t>
  </si>
  <si>
    <t>D8070D0012</t>
  </si>
  <si>
    <t>EGGERS THOMAS J</t>
  </si>
  <si>
    <t>157 FAIRWAY DR</t>
  </si>
  <si>
    <t>C8010E0068</t>
  </si>
  <si>
    <t>BIJLANI NIKHILESH</t>
  </si>
  <si>
    <t>365 TOWNPARK DRIVE</t>
  </si>
  <si>
    <t>D8020A0005</t>
  </si>
  <si>
    <t>COFFEY MARY ANN</t>
  </si>
  <si>
    <t>291 IVY CIR</t>
  </si>
  <si>
    <t>I60000003501</t>
  </si>
  <si>
    <t>204 GEORGE JONES RD</t>
  </si>
  <si>
    <t>J600000079</t>
  </si>
  <si>
    <t>WOOD IVAN DARRELL</t>
  </si>
  <si>
    <t>1967 US HIGHWAY 64 EAST</t>
  </si>
  <si>
    <t>E300000110</t>
  </si>
  <si>
    <t>1144 WAGNER RD</t>
  </si>
  <si>
    <t>B500000045</t>
  </si>
  <si>
    <t>WHARTON SUSIE CUTHRELL HEIRS</t>
  </si>
  <si>
    <t>16 STACY STREET</t>
  </si>
  <si>
    <t>RANDOLPH</t>
  </si>
  <si>
    <t>02368-0000</t>
  </si>
  <si>
    <t>B500000087</t>
  </si>
  <si>
    <t>B500000026</t>
  </si>
  <si>
    <t>B500000059</t>
  </si>
  <si>
    <t>J600000078</t>
  </si>
  <si>
    <t>G7040B0021</t>
  </si>
  <si>
    <t>WOODVALLE HOMES INC</t>
  </si>
  <si>
    <t>124 SPYGLASS DR</t>
  </si>
  <si>
    <t>H50000001303</t>
  </si>
  <si>
    <t>DULL JONATHAN B</t>
  </si>
  <si>
    <t>337 HARVEST WAY</t>
  </si>
  <si>
    <t>27028-5815</t>
  </si>
  <si>
    <t>J60000007201</t>
  </si>
  <si>
    <t>MARTINSEN COURTENAY SHAWN</t>
  </si>
  <si>
    <t>MARTINSEN LAURA BURKLEY</t>
  </si>
  <si>
    <t>2244 US HIGHWAY 64 E</t>
  </si>
  <si>
    <t>27028-7417</t>
  </si>
  <si>
    <t>H7020A0004</t>
  </si>
  <si>
    <t>COURTNEY JANA W</t>
  </si>
  <si>
    <t>131 BROCKLAND DR</t>
  </si>
  <si>
    <t>H4190A0002</t>
  </si>
  <si>
    <t>MOCKSVILLE(MOCKSVILLE)SRX LLC</t>
  </si>
  <si>
    <t>8816 SIX FORKS RD STE 201</t>
  </si>
  <si>
    <t>27615-2983</t>
  </si>
  <si>
    <t>F80000003201</t>
  </si>
  <si>
    <t>BRADSHAW SARAH CRANFILL</t>
  </si>
  <si>
    <t>BRADSHAW CHANDLER DANE</t>
  </si>
  <si>
    <t>200 GUN CLUB RD</t>
  </si>
  <si>
    <t>G500000052</t>
  </si>
  <si>
    <t>EQUITY TRUST COMPANY</t>
  </si>
  <si>
    <t>CUSTODIAN FBO 200250712 IRA</t>
  </si>
  <si>
    <t>2668 S STRATFORD RD</t>
  </si>
  <si>
    <t>27103-6630</t>
  </si>
  <si>
    <t>J70000009201</t>
  </si>
  <si>
    <t>B200000008</t>
  </si>
  <si>
    <t>IVESTER GARY JAMES ETAL</t>
  </si>
  <si>
    <t>IVESTER PHYLLIS CARTER</t>
  </si>
  <si>
    <t>569 OLLIE HARKEY RD</t>
  </si>
  <si>
    <t>27028-5904</t>
  </si>
  <si>
    <t>C10000001102</t>
  </si>
  <si>
    <t>I4140B0011</t>
  </si>
  <si>
    <t>GUZMAN ERIBERTO LOPEZ</t>
  </si>
  <si>
    <t>GUZMAN BEATRIZ ADRIANA LOPEZ</t>
  </si>
  <si>
    <t>407 AVON ST</t>
  </si>
  <si>
    <t>K10000002105</t>
  </si>
  <si>
    <t>ALLEN TRAVIS</t>
  </si>
  <si>
    <t>ALLEN MAGAN</t>
  </si>
  <si>
    <t>C8010A0114</t>
  </si>
  <si>
    <t>CARR MATTHEW</t>
  </si>
  <si>
    <t>CARR DONNA T</t>
  </si>
  <si>
    <t>136 SWEETWATER CIR</t>
  </si>
  <si>
    <t>K500000082</t>
  </si>
  <si>
    <t>TRIBBLE BERT MICHAEL</t>
  </si>
  <si>
    <t>402 WATCHTOWER CT</t>
  </si>
  <si>
    <t>27127-9858</t>
  </si>
  <si>
    <t>I400000037</t>
  </si>
  <si>
    <t>JOHNSTON MARK</t>
  </si>
  <si>
    <t>THOMPSON SARA</t>
  </si>
  <si>
    <t>321 MADISON RD</t>
  </si>
  <si>
    <t>27028-4248</t>
  </si>
  <si>
    <t>F400000045</t>
  </si>
  <si>
    <t>COTHRAN JASON W</t>
  </si>
  <si>
    <t>COTHRAN ERICA</t>
  </si>
  <si>
    <t>636 WOODWARD RD</t>
  </si>
  <si>
    <t>27028-5858</t>
  </si>
  <si>
    <t>I5080D0006</t>
  </si>
  <si>
    <t>HUTCHINS JULIETTE</t>
  </si>
  <si>
    <t>932 N MAIN ST</t>
  </si>
  <si>
    <t>27028-2212</t>
  </si>
  <si>
    <t>J50000000903</t>
  </si>
  <si>
    <t>DECK CIRCLE PADS LLC</t>
  </si>
  <si>
    <t>206 W CENTER ST STE A</t>
  </si>
  <si>
    <t>27292-3056</t>
  </si>
  <si>
    <t>J500000008  A</t>
  </si>
  <si>
    <t>F3130A0008</t>
  </si>
  <si>
    <t>H400000064</t>
  </si>
  <si>
    <t>G500000037</t>
  </si>
  <si>
    <t>J5050A0012</t>
  </si>
  <si>
    <t>LAWRENCE LYN M</t>
  </si>
  <si>
    <t>166 POLARIS DR</t>
  </si>
  <si>
    <t>J4140A0035</t>
  </si>
  <si>
    <t>BULLA HELEN RICHARDSON ETAL</t>
  </si>
  <si>
    <t>RICHARDSON KEVIN ALAN</t>
  </si>
  <si>
    <t>115 NEW HAMPSHIRE CT</t>
  </si>
  <si>
    <t>K5090A000702</t>
  </si>
  <si>
    <t>QUINN TIMOTHY</t>
  </si>
  <si>
    <t>QUINN JILL</t>
  </si>
  <si>
    <t>164 MCCULLOUGH RD</t>
  </si>
  <si>
    <t>L60000000818</t>
  </si>
  <si>
    <t>PETTIS DARIUS C</t>
  </si>
  <si>
    <t>6555 NC HIGHWAY 801 S</t>
  </si>
  <si>
    <t>E700000006</t>
  </si>
  <si>
    <t>BOLLINGER MARK RANDAL</t>
  </si>
  <si>
    <t>4230 US HIGHWAY 158</t>
  </si>
  <si>
    <t>D20000000107</t>
  </si>
  <si>
    <t>RICH LAWRENCE A</t>
  </si>
  <si>
    <t>216 PEARL LN</t>
  </si>
  <si>
    <t>E9150B0001</t>
  </si>
  <si>
    <t>DEBRUHL ROSE E</t>
  </si>
  <si>
    <t>PO BOX 25045</t>
  </si>
  <si>
    <t>27114-5045</t>
  </si>
  <si>
    <t>D9010A0022</t>
  </si>
  <si>
    <t>MELNIK TRACY D</t>
  </si>
  <si>
    <t>156 PEMBROOKE RIDGE CT</t>
  </si>
  <si>
    <t>G9090D0018</t>
  </si>
  <si>
    <t>NELSON DANIEL W</t>
  </si>
  <si>
    <t>NELSON KATHLEEN M</t>
  </si>
  <si>
    <t>157 MAPLEVALLEY RD</t>
  </si>
  <si>
    <t>B50000005203</t>
  </si>
  <si>
    <t>F50000002001</t>
  </si>
  <si>
    <t>G3060D0005</t>
  </si>
  <si>
    <t>SLESSMAN CHRISTOPHER</t>
  </si>
  <si>
    <t>SLESSMAN BRITTANY</t>
  </si>
  <si>
    <t>E30000008001</t>
  </si>
  <si>
    <t>KOSCH ROBERT STEPHEN JR</t>
  </si>
  <si>
    <t>COCKERHAM KIRSTEN SARAH</t>
  </si>
  <si>
    <t>1978 ANGELL RD</t>
  </si>
  <si>
    <t>E80000010603</t>
  </si>
  <si>
    <t>STAFFORD TODD E</t>
  </si>
  <si>
    <t>STAFFORD JO ANNE</t>
  </si>
  <si>
    <t>439 OAK VALLEY BLVD</t>
  </si>
  <si>
    <t>27006-7187</t>
  </si>
  <si>
    <t>E70000013609</t>
  </si>
  <si>
    <t>STEVENS MICHAEL R</t>
  </si>
  <si>
    <t>STEVENS KAREN L</t>
  </si>
  <si>
    <t>168 WELLINGTON CT</t>
  </si>
  <si>
    <t>D60000001804</t>
  </si>
  <si>
    <t>RANDOLPH TEDFORD M JR</t>
  </si>
  <si>
    <t>RANDOLPH PATRICIA ANNE</t>
  </si>
  <si>
    <t>537 RAINBOW RD</t>
  </si>
  <si>
    <t>I80000004801</t>
  </si>
  <si>
    <t>PREVETTE BRITTANY BAILEY</t>
  </si>
  <si>
    <t>3193 NC HIGHWAY 801 S</t>
  </si>
  <si>
    <t>H7030A0042</t>
  </si>
  <si>
    <t>I600000047</t>
  </si>
  <si>
    <t>TEKTON LLC</t>
  </si>
  <si>
    <t>6255 TOWNCENTER DR STE 681</t>
  </si>
  <si>
    <t>27012-9376</t>
  </si>
  <si>
    <t>K500000104</t>
  </si>
  <si>
    <t>ANDRADE JESSICA SPILLMAN</t>
  </si>
  <si>
    <t>3001 HACKBERRY RD</t>
  </si>
  <si>
    <t>IRVING</t>
  </si>
  <si>
    <t>75063-0156</t>
  </si>
  <si>
    <t>G60000006002</t>
  </si>
  <si>
    <t>MARKLAND WILLIAM GLENN</t>
  </si>
  <si>
    <t>MARKLAND ANDREA NICOLE</t>
  </si>
  <si>
    <t>B20000001305</t>
  </si>
  <si>
    <t>327 OLLIE HARKEY RD</t>
  </si>
  <si>
    <t>27055-6385</t>
  </si>
  <si>
    <t>E100000003</t>
  </si>
  <si>
    <t>TREXLER HILDA C</t>
  </si>
  <si>
    <t>410 ROCK SPRINGS RD</t>
  </si>
  <si>
    <t>28634-9254</t>
  </si>
  <si>
    <t>I4010A0060</t>
  </si>
  <si>
    <t>WILLIFORD DENNIS EARL</t>
  </si>
  <si>
    <t>WILLIFORD DEBORA IRVIN</t>
  </si>
  <si>
    <t>184 N WENTWORTH DR</t>
  </si>
  <si>
    <t>D300000067</t>
  </si>
  <si>
    <t>SPEER JAMES DAVID LIV TRUST</t>
  </si>
  <si>
    <t>SPEER JAMES DAVID TRUSTEE</t>
  </si>
  <si>
    <t>427 SPEER RD</t>
  </si>
  <si>
    <t>27028-4943</t>
  </si>
  <si>
    <t>F4010A0021</t>
  </si>
  <si>
    <t>CARMODY CHRISTOPHER</t>
  </si>
  <si>
    <t>CARMODY KAREN</t>
  </si>
  <si>
    <t>132 ARRENDAL CT</t>
  </si>
  <si>
    <t>J20000003001</t>
  </si>
  <si>
    <t>CARTNER CLAUDE EDGAR</t>
  </si>
  <si>
    <t>CARTNER SARAH WALKER</t>
  </si>
  <si>
    <t>266 SAINT MATTHEWS RD</t>
  </si>
  <si>
    <t>27028-8419</t>
  </si>
  <si>
    <t>K200000062</t>
  </si>
  <si>
    <t>J200000030</t>
  </si>
  <si>
    <t>J20000003201</t>
  </si>
  <si>
    <t>D300000005</t>
  </si>
  <si>
    <t>G8140A0049</t>
  </si>
  <si>
    <t>HEWETT TAYLOR L</t>
  </si>
  <si>
    <t>HEWETT DANA JOHNSON</t>
  </si>
  <si>
    <t>164 OAKCREST DR</t>
  </si>
  <si>
    <t>D9010B0031</t>
  </si>
  <si>
    <t>JONES BYRON L</t>
  </si>
  <si>
    <t>JONES MICHELLE C</t>
  </si>
  <si>
    <t>167 WARWICKE PL</t>
  </si>
  <si>
    <t>C300000110  A</t>
  </si>
  <si>
    <t>BUELIN STEVIE D</t>
  </si>
  <si>
    <t>BUELIN NICOLE</t>
  </si>
  <si>
    <t>119 COTTON LN</t>
  </si>
  <si>
    <t>C30000011013</t>
  </si>
  <si>
    <t>G200000080</t>
  </si>
  <si>
    <t>KLUTZ CHRISTOPHER R</t>
  </si>
  <si>
    <t>KLUTZ JENNY M</t>
  </si>
  <si>
    <t>579 SHEFFIELD RD</t>
  </si>
  <si>
    <t>M5030A0028</t>
  </si>
  <si>
    <t>DEWEESE BILLY RAY</t>
  </si>
  <si>
    <t>176 MYERS RD</t>
  </si>
  <si>
    <t>27295-8291</t>
  </si>
  <si>
    <t>I1110A001501</t>
  </si>
  <si>
    <t>CASTEL JOCELYN M</t>
  </si>
  <si>
    <t>3869 US HIGHWAY 64 W</t>
  </si>
  <si>
    <t>L300000026</t>
  </si>
  <si>
    <t>CURTAIN CALL CONSULTANTS LLC</t>
  </si>
  <si>
    <t>5625 GREENHILL DR</t>
  </si>
  <si>
    <t>27040-9557</t>
  </si>
  <si>
    <t>F70000000401</t>
  </si>
  <si>
    <t>357 GORDON DR</t>
  </si>
  <si>
    <t>27006-6617</t>
  </si>
  <si>
    <t>D8060B002001</t>
  </si>
  <si>
    <t>NEEDS WILLIAMS A JR</t>
  </si>
  <si>
    <t>NEEDS KATHY A</t>
  </si>
  <si>
    <t>D9020A0001</t>
  </si>
  <si>
    <t>BEIER GREGORY J</t>
  </si>
  <si>
    <t>BEIER SHERRI HUTCHENS</t>
  </si>
  <si>
    <t>431 BING CROSBY BLVD</t>
  </si>
  <si>
    <t>B3020A0016</t>
  </si>
  <si>
    <t>CRUZ ABNER RODRIGUEZ</t>
  </si>
  <si>
    <t>149 CHILDRENS HOME RD</t>
  </si>
  <si>
    <t>F30000000508</t>
  </si>
  <si>
    <t>BENDER JASON S</t>
  </si>
  <si>
    <t>137 ELRICA LANE</t>
  </si>
  <si>
    <t>C8010A0198</t>
  </si>
  <si>
    <t>SMITH DOMINIC</t>
  </si>
  <si>
    <t>SMITH COURTNEY LEE</t>
  </si>
  <si>
    <t>129 LAKESIDE XING</t>
  </si>
  <si>
    <t>M500000037</t>
  </si>
  <si>
    <t>STERN CHRISTOPHER M</t>
  </si>
  <si>
    <t>STERN KELLI A</t>
  </si>
  <si>
    <t>2905 US HIGHWAY 601 S</t>
  </si>
  <si>
    <t>27028-6913</t>
  </si>
  <si>
    <t>I20000003402</t>
  </si>
  <si>
    <t>DIXON STACIE ELIZABETH</t>
  </si>
  <si>
    <t>DIXON JOHN M</t>
  </si>
  <si>
    <t>227 HARLEY DR</t>
  </si>
  <si>
    <t>27028-8256</t>
  </si>
  <si>
    <t>F200000032</t>
  </si>
  <si>
    <t>FAULX VERNON LEWIS JR</t>
  </si>
  <si>
    <t>FAULX TAMMY</t>
  </si>
  <si>
    <t>1366 SHEFFIELD RD</t>
  </si>
  <si>
    <t>27028-8414</t>
  </si>
  <si>
    <t>H30000000203</t>
  </si>
  <si>
    <t>1493 GODBEY RD</t>
  </si>
  <si>
    <t>K30000000804</t>
  </si>
  <si>
    <t>LEONARD ELIZABETH T</t>
  </si>
  <si>
    <t>2057 DAVIE ACADEMY RD</t>
  </si>
  <si>
    <t>K20000002003</t>
  </si>
  <si>
    <t>C8040A0733</t>
  </si>
  <si>
    <t>COLLINS BILLIE W ETAL</t>
  </si>
  <si>
    <t>186 OLD TOWNE DR</t>
  </si>
  <si>
    <t>B30000003106</t>
  </si>
  <si>
    <t>WHITAKER SHIRLEY RICHARDSON</t>
  </si>
  <si>
    <t>WHITAKER ROGER DALE</t>
  </si>
  <si>
    <t>247 CHILDRENS HOME RD</t>
  </si>
  <si>
    <t>G40000004908</t>
  </si>
  <si>
    <t>JACKSON DONA OWENS</t>
  </si>
  <si>
    <t>211 WILLOW CREEK LN</t>
  </si>
  <si>
    <t>D30000000604</t>
  </si>
  <si>
    <t>BRYSON MARY BETH ANDERSON TRUSTEE</t>
  </si>
  <si>
    <t>MBB REVOCABLE TRUST</t>
  </si>
  <si>
    <t>8046 WESTBAY DR</t>
  </si>
  <si>
    <t>28037-8071</t>
  </si>
  <si>
    <t>D300000006</t>
  </si>
  <si>
    <t>C7150A0004</t>
  </si>
  <si>
    <t>DAVIS CURTIS V</t>
  </si>
  <si>
    <t>179 WOODBURN PLACE</t>
  </si>
  <si>
    <t>G60000000904</t>
  </si>
  <si>
    <t>CORDOVA JON D</t>
  </si>
  <si>
    <t>2946 US HIGHWAY 158</t>
  </si>
  <si>
    <t>G600000117</t>
  </si>
  <si>
    <t>I5120A0028</t>
  </si>
  <si>
    <t>LAGOS MARIA ELENA</t>
  </si>
  <si>
    <t>215 WINWARD CIRCLE</t>
  </si>
  <si>
    <t>C8010A0066</t>
  </si>
  <si>
    <t>BRAUN JOYCE V</t>
  </si>
  <si>
    <t>126 LAKESIDE XING</t>
  </si>
  <si>
    <t>F8020A0017</t>
  </si>
  <si>
    <t>LAWRENCE COREY M</t>
  </si>
  <si>
    <t>LAWRENCE ELIZABETH H</t>
  </si>
  <si>
    <t>144 HIGH MEADOWS RD</t>
  </si>
  <si>
    <t>E900000038</t>
  </si>
  <si>
    <t>VIDAL MELVIN THEODORE</t>
  </si>
  <si>
    <t>VIDAL JULIE ELIZABETH</t>
  </si>
  <si>
    <t>118 SUNTREE DR</t>
  </si>
  <si>
    <t>J7080A0001</t>
  </si>
  <si>
    <t>DIXON BRITTNEY</t>
  </si>
  <si>
    <t>DIXON ALLANA</t>
  </si>
  <si>
    <t>109 AUBREY MERRELL RD</t>
  </si>
  <si>
    <t>G700000057</t>
  </si>
  <si>
    <t>ROBERTSON RICHARD D</t>
  </si>
  <si>
    <t>ROBERTSON ANN E</t>
  </si>
  <si>
    <t>27006-7864</t>
  </si>
  <si>
    <t>G700000054</t>
  </si>
  <si>
    <t>I5160A0023</t>
  </si>
  <si>
    <t>LEWIS JASON ALEXANDER</t>
  </si>
  <si>
    <t>241 NEELY ST</t>
  </si>
  <si>
    <t>27028-2428</t>
  </si>
  <si>
    <t>H50000002601</t>
  </si>
  <si>
    <t>LIRA EULOGIO BOCANEGRA</t>
  </si>
  <si>
    <t>RUEDA GRISELDA MARCELINO</t>
  </si>
  <si>
    <t>1948 US HIGHWAY 158</t>
  </si>
  <si>
    <t>H50000002905</t>
  </si>
  <si>
    <t>H500000026</t>
  </si>
  <si>
    <t>I4130B0010</t>
  </si>
  <si>
    <t>SINK CHRISTOPHER R</t>
  </si>
  <si>
    <t>149 GWYN ST</t>
  </si>
  <si>
    <t>27028-2311</t>
  </si>
  <si>
    <t>J6100A0024</t>
  </si>
  <si>
    <t>LINDEMAN KENNETH LEE</t>
  </si>
  <si>
    <t>LINDEMAN MARGARET M</t>
  </si>
  <si>
    <t>136 N LAKE LOUISE DR</t>
  </si>
  <si>
    <t>D9090D0025</t>
  </si>
  <si>
    <t>VARNER MICHAEL THOMAS</t>
  </si>
  <si>
    <t>VARNER SARAH DAIL</t>
  </si>
  <si>
    <t>339 HOLLYBROOK DR</t>
  </si>
  <si>
    <t>E900000714</t>
  </si>
  <si>
    <t>MORRIS BONNY ELIZABETH</t>
  </si>
  <si>
    <t>MORRIS PETER SAMUEL</t>
  </si>
  <si>
    <t>227 SAWGRASS DR</t>
  </si>
  <si>
    <t>27006-7590</t>
  </si>
  <si>
    <t>C700000085</t>
  </si>
  <si>
    <t>MONTGOMERY TRAVIS BRUCE</t>
  </si>
  <si>
    <t>798 NC HIGHWAY 801 N</t>
  </si>
  <si>
    <t>G8140A0085</t>
  </si>
  <si>
    <t>WELCH ISAAC WAYNE</t>
  </si>
  <si>
    <t>WELCH SARAH MICHELLE</t>
  </si>
  <si>
    <t>208 OLD HOMEPLACE DR</t>
  </si>
  <si>
    <t>K5100A0023</t>
  </si>
  <si>
    <t>ACEVEDO GAMA VENECIA</t>
  </si>
  <si>
    <t>1645 US HIGHWAY 601 S</t>
  </si>
  <si>
    <t>D7080A0005</t>
  </si>
  <si>
    <t>RUSSELL RICHARD B</t>
  </si>
  <si>
    <t>RUSSELL JOURDAN S</t>
  </si>
  <si>
    <t>167 LONGWOOD DR</t>
  </si>
  <si>
    <t>I4010A0089</t>
  </si>
  <si>
    <t>SIMON DOLORES JEAN</t>
  </si>
  <si>
    <t>206 TURNBERRY DR</t>
  </si>
  <si>
    <t>27028-1938</t>
  </si>
  <si>
    <t>B7010A0008</t>
  </si>
  <si>
    <t>SENTER TODD FRANKLIN</t>
  </si>
  <si>
    <t>SENTER KATHERINE KIRBY</t>
  </si>
  <si>
    <t>171 SERENITY HILLS TRAIL</t>
  </si>
  <si>
    <t>I4110C0016</t>
  </si>
  <si>
    <t>GUPTON RHONDA BULLUCK</t>
  </si>
  <si>
    <t>371 RAYMOND ST</t>
  </si>
  <si>
    <t>27028-2347</t>
  </si>
  <si>
    <t>M400000062</t>
  </si>
  <si>
    <t>HANCOCK JOHN MARK</t>
  </si>
  <si>
    <t>HANCOCK ROBIN Y</t>
  </si>
  <si>
    <t>759 GLADSTONE RD</t>
  </si>
  <si>
    <t>27028-5238</t>
  </si>
  <si>
    <t>M40000005601</t>
  </si>
  <si>
    <t>759 GLADSTONE ROAD</t>
  </si>
  <si>
    <t>M400000056</t>
  </si>
  <si>
    <t>K5160A0013</t>
  </si>
  <si>
    <t>M600000013</t>
  </si>
  <si>
    <t>NELSON GREGORY ALAN</t>
  </si>
  <si>
    <t>CLARK SABRINA CRYSTAL</t>
  </si>
  <si>
    <t>476 PLEASANT ACRE DR</t>
  </si>
  <si>
    <t>E30000008007</t>
  </si>
  <si>
    <t>JOHNSON TIFFANY G</t>
  </si>
  <si>
    <t>2014 ANGELL RD</t>
  </si>
  <si>
    <t>F40000003501</t>
  </si>
  <si>
    <t>WEBSTER COREY B</t>
  </si>
  <si>
    <t>625 CANA RD</t>
  </si>
  <si>
    <t>F40000003601</t>
  </si>
  <si>
    <t>F400000035</t>
  </si>
  <si>
    <t>H70000009407</t>
  </si>
  <si>
    <t>MURRILL JASON D</t>
  </si>
  <si>
    <t>MURRILL CINDY S</t>
  </si>
  <si>
    <t>725 SWEET GUM WAY</t>
  </si>
  <si>
    <t>CANTON</t>
  </si>
  <si>
    <t>D10000000106</t>
  </si>
  <si>
    <t>HERRIN CHARLES A</t>
  </si>
  <si>
    <t>HERRIN DENISE M</t>
  </si>
  <si>
    <t>12488 EASTLINE RD</t>
  </si>
  <si>
    <t>TRENTON</t>
  </si>
  <si>
    <t>75430-0000</t>
  </si>
  <si>
    <t>N60000002805</t>
  </si>
  <si>
    <t>GUESSFORD KAREN CARTER</t>
  </si>
  <si>
    <t>% NANCE KAREN CARTER</t>
  </si>
  <si>
    <t>148 OLD FARM LANE</t>
  </si>
  <si>
    <t>M5070A0012</t>
  </si>
  <si>
    <t>SHAVER JEFFREY LEE</t>
  </si>
  <si>
    <t>SHAVER LISA BREEDLOVE</t>
  </si>
  <si>
    <t>818 BROOKMONT AVENUE</t>
  </si>
  <si>
    <t>J30000002705</t>
  </si>
  <si>
    <t>KAHRS DAVID A</t>
  </si>
  <si>
    <t>320 MORRIS RD</t>
  </si>
  <si>
    <t>H30000010102</t>
  </si>
  <si>
    <t>SALERNO LARRY</t>
  </si>
  <si>
    <t>SALERNO DEBBIE E</t>
  </si>
  <si>
    <t>140 QUARTER HORSE TRAIL</t>
  </si>
  <si>
    <t>H30000010105</t>
  </si>
  <si>
    <t>G3140A0001</t>
  </si>
  <si>
    <t>D8070D0010</t>
  </si>
  <si>
    <t>BRYSON CAROLYN HUGGINS</t>
  </si>
  <si>
    <t>153 FAIRWAY DRIVE</t>
  </si>
  <si>
    <t>E900000134</t>
  </si>
  <si>
    <t>UTSEY SUSAN E</t>
  </si>
  <si>
    <t>299 KINGSMILL DR</t>
  </si>
  <si>
    <t>I200000014</t>
  </si>
  <si>
    <t>PIERCE LINDA JO M</t>
  </si>
  <si>
    <t>173 WOODVALE DR</t>
  </si>
  <si>
    <t>D7030A0003</t>
  </si>
  <si>
    <t>DWYER ROBERT EDWARD</t>
  </si>
  <si>
    <t>DWYER MELISA D</t>
  </si>
  <si>
    <t>138 LESLIE CT</t>
  </si>
  <si>
    <t>C10000001903</t>
  </si>
  <si>
    <t>HINRICHS KURT W</t>
  </si>
  <si>
    <t>HINRICHS TAMBRA</t>
  </si>
  <si>
    <t>189 MOUNTAINEER TRAIL</t>
  </si>
  <si>
    <t>C10000001902</t>
  </si>
  <si>
    <t>G7050A0001</t>
  </si>
  <si>
    <t>COHEN LAVERNE</t>
  </si>
  <si>
    <t>107 PRINCETON CT</t>
  </si>
  <si>
    <t>H80000004103</t>
  </si>
  <si>
    <t>FORREST DONNA H</t>
  </si>
  <si>
    <t>1147 BAILEYS CHAPEL RD</t>
  </si>
  <si>
    <t>G70000010102</t>
  </si>
  <si>
    <t>HARRIS GEORGE T</t>
  </si>
  <si>
    <t>244 MARKLAND RD</t>
  </si>
  <si>
    <t>G500000110</t>
  </si>
  <si>
    <t>HOLTMEYER REBECCA</t>
  </si>
  <si>
    <t>214 MCCLAMROCK RD</t>
  </si>
  <si>
    <t>K5150A000301</t>
  </si>
  <si>
    <t>GAITHER DANA E</t>
  </si>
  <si>
    <t>GAITHER JILL H</t>
  </si>
  <si>
    <t>2958 YORK PLACE DR</t>
  </si>
  <si>
    <t>G8050A001301</t>
  </si>
  <si>
    <t>BREWTON FRANCES J</t>
  </si>
  <si>
    <t>173 UNDERPASS RD</t>
  </si>
  <si>
    <t>C8010A0094</t>
  </si>
  <si>
    <t>HUNDLEY SHELLEY</t>
  </si>
  <si>
    <t>HUNDLEY CHRISTOPHER</t>
  </si>
  <si>
    <t>146 BROOKSTONE DR</t>
  </si>
  <si>
    <t>E500000042</t>
  </si>
  <si>
    <t>ANESKEWICH HELEN R</t>
  </si>
  <si>
    <t>162 OLD STATE TRL</t>
  </si>
  <si>
    <t>27028-7785</t>
  </si>
  <si>
    <t>E8020A0028</t>
  </si>
  <si>
    <t>TUCK ALISHA</t>
  </si>
  <si>
    <t>118 RAINTREE RD</t>
  </si>
  <si>
    <t>D9090D0026</t>
  </si>
  <si>
    <t>MOFFATT PATRICIA HELEN</t>
  </si>
  <si>
    <t>347 HOLLYBROOK DR</t>
  </si>
  <si>
    <t>E8110C0018</t>
  </si>
  <si>
    <t>WILLAUER CHRISTOPHER PATRICK</t>
  </si>
  <si>
    <t>WILLAUER MICHELLE SHOWALTER</t>
  </si>
  <si>
    <t>234 WESTRIDGE RD</t>
  </si>
  <si>
    <t>I5030A0016</t>
  </si>
  <si>
    <t>JONES HANNA</t>
  </si>
  <si>
    <t>SCARLETT MATTHEW</t>
  </si>
  <si>
    <t>119 ELI AVE</t>
  </si>
  <si>
    <t>I5090D0004</t>
  </si>
  <si>
    <t>KLINE JERRY L</t>
  </si>
  <si>
    <t>KLINE LAURA L</t>
  </si>
  <si>
    <t>124 HEMLOCK ST</t>
  </si>
  <si>
    <t>E900000042</t>
  </si>
  <si>
    <t>PAGEL DAVID CHRISTIAN</t>
  </si>
  <si>
    <t>PAGEL JOCELYN MELISSA</t>
  </si>
  <si>
    <t>150 SUNTREE DR</t>
  </si>
  <si>
    <t>I40000003701</t>
  </si>
  <si>
    <t>BYLER MICHAEL</t>
  </si>
  <si>
    <t>BYLER KYLA</t>
  </si>
  <si>
    <t>351 MADISON RD</t>
  </si>
  <si>
    <t>O60000003402</t>
  </si>
  <si>
    <t>COLINDRES WALTER MERAZ</t>
  </si>
  <si>
    <t>DE MERAZ MARIA JUSTA OLIVA</t>
  </si>
  <si>
    <t>4168 US HIGHWAY 601 S</t>
  </si>
  <si>
    <t>M4130A0003</t>
  </si>
  <si>
    <t>BARKER MEGAN S</t>
  </si>
  <si>
    <t>1935 JUNCTION RD</t>
  </si>
  <si>
    <t>E8110C0030</t>
  </si>
  <si>
    <t>BRAKE ROBERT LEE</t>
  </si>
  <si>
    <t>BRAKE PAMELA KAY</t>
  </si>
  <si>
    <t>128 WESTRIDGE RD</t>
  </si>
  <si>
    <t>F60000008703</t>
  </si>
  <si>
    <t>STEWART GORDON</t>
  </si>
  <si>
    <t>STEWART SUSAN</t>
  </si>
  <si>
    <t>236 CHAL SMITH RD</t>
  </si>
  <si>
    <t>I5050B0003</t>
  </si>
  <si>
    <t>AMNL ASSET COMPANY 2 LLC</t>
  </si>
  <si>
    <t>I5110B0018</t>
  </si>
  <si>
    <t>ARMM ASSET COMPANY 1 LLC</t>
  </si>
  <si>
    <t>5001 PLAZA ON THE LK</t>
  </si>
  <si>
    <t>78746-1070</t>
  </si>
  <si>
    <t>E6040A0009</t>
  </si>
  <si>
    <t>I4010A0015</t>
  </si>
  <si>
    <t>E400000027</t>
  </si>
  <si>
    <t>KAMENZ DONALD R</t>
  </si>
  <si>
    <t>KAMENZ INA B</t>
  </si>
  <si>
    <t>1184 CANA RD</t>
  </si>
  <si>
    <t>I5170B0134</t>
  </si>
  <si>
    <t>PIEDAD ALICE J</t>
  </si>
  <si>
    <t>134 W BRICK WALK CT</t>
  </si>
  <si>
    <t>D9090E0009</t>
  </si>
  <si>
    <t>CLARK URSULA F</t>
  </si>
  <si>
    <t>CLARK EVERETT E</t>
  </si>
  <si>
    <t>227 OLEANDOR DR</t>
  </si>
  <si>
    <t>J4050D0017</t>
  </si>
  <si>
    <t>HARRIS OPTIMISTS LIMITED PARTN</t>
  </si>
  <si>
    <t>J4050D0016</t>
  </si>
  <si>
    <t>J80000002206</t>
  </si>
  <si>
    <t>I5050C0040</t>
  </si>
  <si>
    <t>SIMBAQUEBA JAIRO EDUARDO</t>
  </si>
  <si>
    <t>ROMERO JENIFFER NATALIA</t>
  </si>
  <si>
    <t>1604 SUNNY HILL WAY</t>
  </si>
  <si>
    <t>27235-9819</t>
  </si>
  <si>
    <t>H8060A004401</t>
  </si>
  <si>
    <t>COVINGTON CREEK HOMEOWNERS ASSO INC</t>
  </si>
  <si>
    <t>P.O BOX 421</t>
  </si>
  <si>
    <t>H8060A000401</t>
  </si>
  <si>
    <t>M400000061</t>
  </si>
  <si>
    <t>K5100A0001</t>
  </si>
  <si>
    <t>JARVIS STEVEN J JR</t>
  </si>
  <si>
    <t>HUTCHINS KAITLYN M</t>
  </si>
  <si>
    <t>227 DEADMON RD</t>
  </si>
  <si>
    <t>D7030C0018</t>
  </si>
  <si>
    <t>MELLISH LUKE</t>
  </si>
  <si>
    <t>250 S CLAYBON DR</t>
  </si>
  <si>
    <t>D7030C0017</t>
  </si>
  <si>
    <t>HOWARD MELINDA KAY ETAL</t>
  </si>
  <si>
    <t>G30000000402</t>
  </si>
  <si>
    <t>CARPENTER JASON R</t>
  </si>
  <si>
    <t>PUGH AMANDA M</t>
  </si>
  <si>
    <t>230 WAGNER RD</t>
  </si>
  <si>
    <t>G500000134</t>
  </si>
  <si>
    <t>D200000013  A</t>
  </si>
  <si>
    <t>D7010A0019</t>
  </si>
  <si>
    <t>CUNDIFF KELLEY LYN</t>
  </si>
  <si>
    <t>184 LITTLE JOHN DR</t>
  </si>
  <si>
    <t>F80000002205</t>
  </si>
  <si>
    <t>KITTNER MICHAEL</t>
  </si>
  <si>
    <t>KITTNER SARAH L</t>
  </si>
  <si>
    <t>149 LANTERN DR</t>
  </si>
  <si>
    <t>J7050B0009</t>
  </si>
  <si>
    <t>TOLLENAER JOSHUA MICHAEL</t>
  </si>
  <si>
    <t>TOLLENAER CRYSTAL MOCK</t>
  </si>
  <si>
    <t>147 FULTON RD</t>
  </si>
  <si>
    <t>C7100B0012</t>
  </si>
  <si>
    <t>ZAGORSKI JOHN R</t>
  </si>
  <si>
    <t>ZAGORSKI STEPHANIE J</t>
  </si>
  <si>
    <t>124 RENEE DR</t>
  </si>
  <si>
    <t>27006-7919</t>
  </si>
  <si>
    <t>I400000041</t>
  </si>
  <si>
    <t>MATTHEWS GARRETT J</t>
  </si>
  <si>
    <t>MURPHY AUTUMN C</t>
  </si>
  <si>
    <t>1091 US HIGHWAY 64 W</t>
  </si>
  <si>
    <t>27028-8428</t>
  </si>
  <si>
    <t>F600000080</t>
  </si>
  <si>
    <t>MECHAM BRADLEY LEE</t>
  </si>
  <si>
    <t>3132 BURKESHORE RD</t>
  </si>
  <si>
    <t>27106-5532</t>
  </si>
  <si>
    <t>J7050B000902</t>
  </si>
  <si>
    <t>D30000004501</t>
  </si>
  <si>
    <t>RW ENTERPRISE LLC</t>
  </si>
  <si>
    <t>102 ASHBROOK RD</t>
  </si>
  <si>
    <t>28677-2501</t>
  </si>
  <si>
    <t>F600000086</t>
  </si>
  <si>
    <t>HENDRIX REBECCA H</t>
  </si>
  <si>
    <t>249 DULIN RD</t>
  </si>
  <si>
    <t>27028-7201</t>
  </si>
  <si>
    <t>G500000079</t>
  </si>
  <si>
    <t>H60000003004</t>
  </si>
  <si>
    <t>G60000011304</t>
  </si>
  <si>
    <t>I800000069</t>
  </si>
  <si>
    <t>BARNES CHARLIE COY JR REV TRUST</t>
  </si>
  <si>
    <t>BARNES CHARLIE COY JR TRSTEE</t>
  </si>
  <si>
    <t>1178 MOUNTAIN PINE RD</t>
  </si>
  <si>
    <t>CLOVERDALE</t>
  </si>
  <si>
    <t>95425-4325</t>
  </si>
  <si>
    <t>I800000007</t>
  </si>
  <si>
    <t>G10000002502</t>
  </si>
  <si>
    <t>KELLER DAVID CRUZ</t>
  </si>
  <si>
    <t>1640 COUNTY LINE RD</t>
  </si>
  <si>
    <t>D700000183</t>
  </si>
  <si>
    <t>LONG PEGGY RIGHTS</t>
  </si>
  <si>
    <t>1317 BEAUCHAMP RD</t>
  </si>
  <si>
    <t>27006-7417</t>
  </si>
  <si>
    <t>I8110A0005</t>
  </si>
  <si>
    <t>IRELAND JOHN</t>
  </si>
  <si>
    <t>IRELAND SUSAN</t>
  </si>
  <si>
    <t>174 SHANNON DR</t>
  </si>
  <si>
    <t>27006-7292</t>
  </si>
  <si>
    <t>D8100C001004</t>
  </si>
  <si>
    <t>COLBERT DEBORAH A TRUSTEE</t>
  </si>
  <si>
    <t>DEBORAH C COLBERT REV TRUST</t>
  </si>
  <si>
    <t>E9150B0011</t>
  </si>
  <si>
    <t>G7070A0012</t>
  </si>
  <si>
    <t>WHITLEY ROY A III</t>
  </si>
  <si>
    <t>WHITLEY ROBIN K</t>
  </si>
  <si>
    <t>164 BROWDER LANE</t>
  </si>
  <si>
    <t>E900000706</t>
  </si>
  <si>
    <t>CONNER RACHEL REBECCA</t>
  </si>
  <si>
    <t>DIGH MICHAEL GARRETT</t>
  </si>
  <si>
    <t>106 CAUDLE MEADOWS DR</t>
  </si>
  <si>
    <t>F30000007401</t>
  </si>
  <si>
    <t>MILLIGAN CALEB NASHON</t>
  </si>
  <si>
    <t>REGENTHAL ELEANORE CHRISTINE</t>
  </si>
  <si>
    <t>222 BRACKEN RD</t>
  </si>
  <si>
    <t>H4160A0001</t>
  </si>
  <si>
    <t>M5020A0008  A</t>
  </si>
  <si>
    <t>CASTRO FRANCISCO</t>
  </si>
  <si>
    <t>340 MICHAELS RD</t>
  </si>
  <si>
    <t>M5070A0024</t>
  </si>
  <si>
    <t>ROBBINS JEFFREY SCOTT</t>
  </si>
  <si>
    <t>MCCLAMROCK CHARITY</t>
  </si>
  <si>
    <t>171 EDGEWOOD CIR</t>
  </si>
  <si>
    <t>H80000003101</t>
  </si>
  <si>
    <t>WEATHERMAN KYLE A</t>
  </si>
  <si>
    <t>WEATHERMAN EMILY W</t>
  </si>
  <si>
    <t>158 ODELL MYERS RD</t>
  </si>
  <si>
    <t>L500000064</t>
  </si>
  <si>
    <t>MAYHEW JAMES LESTER</t>
  </si>
  <si>
    <t>133 GREY ST</t>
  </si>
  <si>
    <t>J7050A0003</t>
  </si>
  <si>
    <t>ATKINSON RUSSELL DAVID</t>
  </si>
  <si>
    <t>211 FORK BIXBY RD</t>
  </si>
  <si>
    <t>L5070A0020</t>
  </si>
  <si>
    <t>CLARK LURLINE W</t>
  </si>
  <si>
    <t>134 FAIRFIELD RD</t>
  </si>
  <si>
    <t>27028-5210</t>
  </si>
  <si>
    <t>N600000067</t>
  </si>
  <si>
    <t>I4010A0075</t>
  </si>
  <si>
    <t>RIDINGS ANN W</t>
  </si>
  <si>
    <t>142 N WENTWORTH DR</t>
  </si>
  <si>
    <t>I60000007502</t>
  </si>
  <si>
    <t>WHITE VANCE</t>
  </si>
  <si>
    <t>WHITE MERI-ANN</t>
  </si>
  <si>
    <t>451 CORNATZER RD</t>
  </si>
  <si>
    <t>C300000101</t>
  </si>
  <si>
    <t>RAISBECK KAYLA</t>
  </si>
  <si>
    <t>175 JACK BOOE RD</t>
  </si>
  <si>
    <t>27028-4831</t>
  </si>
  <si>
    <t>D500000001</t>
  </si>
  <si>
    <t>WEST L N HEIRS</t>
  </si>
  <si>
    <t>654 LIVE OAKS DRIVE</t>
  </si>
  <si>
    <t>22101-0000</t>
  </si>
  <si>
    <t>D9010E0034</t>
  </si>
  <si>
    <t>HINES JEREMIAH D</t>
  </si>
  <si>
    <t>115 S RIVER HILL DR</t>
  </si>
  <si>
    <t>K300000021</t>
  </si>
  <si>
    <t>REYNOLDS CHEYENNE RYAN</t>
  </si>
  <si>
    <t>505 DAVIE ACADEMY RD</t>
  </si>
  <si>
    <t>E80000010602</t>
  </si>
  <si>
    <t>SCOTT DALE ROOSEVELT</t>
  </si>
  <si>
    <t>SCOTT CHERRY EILEEN</t>
  </si>
  <si>
    <t>431 OAK VALLEY BLVD</t>
  </si>
  <si>
    <t>I4060C0001</t>
  </si>
  <si>
    <t>JOYCE SEANASON</t>
  </si>
  <si>
    <t>JOYCE KRISTY ANN</t>
  </si>
  <si>
    <t>284 MUMFORD DR</t>
  </si>
  <si>
    <t>27028-2062</t>
  </si>
  <si>
    <t>I5060C0033</t>
  </si>
  <si>
    <t>MILLER ADAM J</t>
  </si>
  <si>
    <t>184 FULTON ST</t>
  </si>
  <si>
    <t>27028-2802</t>
  </si>
  <si>
    <t>J800000019</t>
  </si>
  <si>
    <t>HANDY-WOOD SHANNON</t>
  </si>
  <si>
    <t>STANLEY STEVEN JAMES</t>
  </si>
  <si>
    <t>3722 NC HIGHWAY 801 S</t>
  </si>
  <si>
    <t>D700000182</t>
  </si>
  <si>
    <t>I1110F0005</t>
  </si>
  <si>
    <t>HODSON ROBERT F</t>
  </si>
  <si>
    <t>HODSON WANDA S</t>
  </si>
  <si>
    <t>442 OAKLAND AVE</t>
  </si>
  <si>
    <t>E900000385</t>
  </si>
  <si>
    <t>SHAFFER THOMAS J</t>
  </si>
  <si>
    <t>SHAFFER KAREN A</t>
  </si>
  <si>
    <t>240 BROADMOOR DRIVE</t>
  </si>
  <si>
    <t>E600000085</t>
  </si>
  <si>
    <t>DAVIS RICKY G &amp; STEPHANIE G</t>
  </si>
  <si>
    <t>119 HOWARDTOWN CIR</t>
  </si>
  <si>
    <t>E8100B0006</t>
  </si>
  <si>
    <t>DAVIS RANDY SCOTT</t>
  </si>
  <si>
    <t>DAVIS SHARON STUART</t>
  </si>
  <si>
    <t>127 OAKBROOK DR</t>
  </si>
  <si>
    <t>D9090C0001</t>
  </si>
  <si>
    <t>THE PHELPS FAMILY TRUST</t>
  </si>
  <si>
    <t>120 LAUREL PL</t>
  </si>
  <si>
    <t>E9150A0061</t>
  </si>
  <si>
    <t>SHERMAN MICHAEL L</t>
  </si>
  <si>
    <t>115 FIELDWOOD DR</t>
  </si>
  <si>
    <t>G50000000806</t>
  </si>
  <si>
    <t>HOOVER MICHAEL HEATH</t>
  </si>
  <si>
    <t>HOOVER LISA SPILLMAN</t>
  </si>
  <si>
    <t>275 S ANGELL RD</t>
  </si>
  <si>
    <t>F80000002216</t>
  </si>
  <si>
    <t>JENNINGS MARK FRANKLIN</t>
  </si>
  <si>
    <t>JENNINGS AMANDA GRAY</t>
  </si>
  <si>
    <t>129 ARROW GLENN CT</t>
  </si>
  <si>
    <t>27006-7396</t>
  </si>
  <si>
    <t>E600000049</t>
  </si>
  <si>
    <t>BEATTY STEPHEN</t>
  </si>
  <si>
    <t>BEATTY SHIRLEY</t>
  </si>
  <si>
    <t>149 DARE LN</t>
  </si>
  <si>
    <t>E60000005307</t>
  </si>
  <si>
    <t>I5070D0006</t>
  </si>
  <si>
    <t>GUEVERA JOSE MANUEL</t>
  </si>
  <si>
    <t>SALMERON DE GUEVARA FIDELINA</t>
  </si>
  <si>
    <t>170 MILLING RD</t>
  </si>
  <si>
    <t>27028-2701</t>
  </si>
  <si>
    <t>F80000007506</t>
  </si>
  <si>
    <t>RUSSO CHRISTOPHER M</t>
  </si>
  <si>
    <t>RUSSO CARMEN I</t>
  </si>
  <si>
    <t>246 MOCKS CHURCH RD</t>
  </si>
  <si>
    <t>C100000014</t>
  </si>
  <si>
    <t>EDWARDS JEROMY SCOTT</t>
  </si>
  <si>
    <t>EDWARDS CAROLINE LEANNE</t>
  </si>
  <si>
    <t>118 ARBOR HILL AVE</t>
  </si>
  <si>
    <t>H5170A0049</t>
  </si>
  <si>
    <t>H50000001002</t>
  </si>
  <si>
    <t>LACY HAROLD</t>
  </si>
  <si>
    <t>4640 GREENDALE WAY</t>
  </si>
  <si>
    <t>27103-9728</t>
  </si>
  <si>
    <t>H50000001050</t>
  </si>
  <si>
    <t>H50000001003</t>
  </si>
  <si>
    <t>D60000002601</t>
  </si>
  <si>
    <t>COMBS JACK D</t>
  </si>
  <si>
    <t>DIBENEDETTO MARIA</t>
  </si>
  <si>
    <t>182 SPEAKS RD</t>
  </si>
  <si>
    <t>M400000033</t>
  </si>
  <si>
    <t>LOSEY FRED E</t>
  </si>
  <si>
    <t>LOSEY DIANNE M</t>
  </si>
  <si>
    <t>1819 JUNCTION RD</t>
  </si>
  <si>
    <t>27028-5331</t>
  </si>
  <si>
    <t>K5060A0014</t>
  </si>
  <si>
    <t>CLEVELAND JOSHUA L</t>
  </si>
  <si>
    <t>CLEVELAND EMALEE L</t>
  </si>
  <si>
    <t>118 E CHINABERRY CT</t>
  </si>
  <si>
    <t>27028-5176</t>
  </si>
  <si>
    <t>I4140B0001</t>
  </si>
  <si>
    <t>189 GREY ST</t>
  </si>
  <si>
    <t>I1110D0010</t>
  </si>
  <si>
    <t>THOMAS CURTIS STANLEY</t>
  </si>
  <si>
    <t>THOMAS ANGELA RENEE</t>
  </si>
  <si>
    <t>159 OAKLAND AVE</t>
  </si>
  <si>
    <t>C8010A0005</t>
  </si>
  <si>
    <t>STROUPE LINDSEY CAROLINE</t>
  </si>
  <si>
    <t>JUSTICE BENJAMIN REID</t>
  </si>
  <si>
    <t>117 WINDSOR CIR</t>
  </si>
  <si>
    <t>K60000001906</t>
  </si>
  <si>
    <t>PEELER ELIZABETH V</t>
  </si>
  <si>
    <t>304 FRANK SHORT RD</t>
  </si>
  <si>
    <t>27028-5224</t>
  </si>
  <si>
    <t>H9080A0001</t>
  </si>
  <si>
    <t>BENNETT GINGER P</t>
  </si>
  <si>
    <t>PO BOX 2045</t>
  </si>
  <si>
    <t>27006-2045</t>
  </si>
  <si>
    <t>F100000010</t>
  </si>
  <si>
    <t>2094 SHEFFIELD ROAD</t>
  </si>
  <si>
    <t>L50000007801</t>
  </si>
  <si>
    <t>GRAHAM ANGELA SNIDER</t>
  </si>
  <si>
    <t>GRAHAM GARY DONALD</t>
  </si>
  <si>
    <t>6800 NC HIGHWAY 801 S</t>
  </si>
  <si>
    <t>27028-6733</t>
  </si>
  <si>
    <t>L50000004602</t>
  </si>
  <si>
    <t>J5030A0015</t>
  </si>
  <si>
    <t>POTTS CAROLYN G</t>
  </si>
  <si>
    <t>184 SUNNYDELL LN</t>
  </si>
  <si>
    <t>27028-2677</t>
  </si>
  <si>
    <t>E600000053</t>
  </si>
  <si>
    <t>LONG JAMES</t>
  </si>
  <si>
    <t>LONG SHERRY</t>
  </si>
  <si>
    <t>197 DARE LN</t>
  </si>
  <si>
    <t>F80000002215</t>
  </si>
  <si>
    <t>GALLARDO GUILLERMO MAQUIVAR</t>
  </si>
  <si>
    <t>LAMERS LESLIE A</t>
  </si>
  <si>
    <t>123 ARROW GLENN CT</t>
  </si>
  <si>
    <t>G9100A0016</t>
  </si>
  <si>
    <t>NICHOLS JULIA CORNATZER</t>
  </si>
  <si>
    <t>GRAY LELIA CORNATZER</t>
  </si>
  <si>
    <t>166 FERNHAVEN LANE</t>
  </si>
  <si>
    <t>G80000000904</t>
  </si>
  <si>
    <t>G800000009  A</t>
  </si>
  <si>
    <t>G900000007</t>
  </si>
  <si>
    <t>PEOPLES WILBUR D</t>
  </si>
  <si>
    <t>367 CORNATZER RD</t>
  </si>
  <si>
    <t>B30000003001</t>
  </si>
  <si>
    <t>CHOPLIN DAVID M</t>
  </si>
  <si>
    <t>CHOPLIN BARBARA C</t>
  </si>
  <si>
    <t>5127 US HIGHWAY 601 N</t>
  </si>
  <si>
    <t>27028-6285</t>
  </si>
  <si>
    <t>H5160A0001</t>
  </si>
  <si>
    <t>HOOVER E ALAN TRUSTEE</t>
  </si>
  <si>
    <t>E ALAN HOOVER REV TRUST</t>
  </si>
  <si>
    <t>1001 NOTTINGHAM DR</t>
  </si>
  <si>
    <t>28211-4126</t>
  </si>
  <si>
    <t>C300000098</t>
  </si>
  <si>
    <t>REAVIS YVONNE L</t>
  </si>
  <si>
    <t>193 FOSTALL DR</t>
  </si>
  <si>
    <t>E7140A0015</t>
  </si>
  <si>
    <t>HANCOCK KEVIN</t>
  </si>
  <si>
    <t>HANCOCK REBECCA</t>
  </si>
  <si>
    <t>192 GRAYWOOD CT</t>
  </si>
  <si>
    <t>D8020B0001</t>
  </si>
  <si>
    <t>CORNATZER PAUL SCOTT</t>
  </si>
  <si>
    <t>CORNATZER EMILY LOUISA HARPE</t>
  </si>
  <si>
    <t>210 BERMUDA RUN DR</t>
  </si>
  <si>
    <t>G100000028</t>
  </si>
  <si>
    <t>GAITHER JAMES C JR</t>
  </si>
  <si>
    <t>GAITHER SANDRA B</t>
  </si>
  <si>
    <t>493 E MEMORIAL HWY</t>
  </si>
  <si>
    <t>28634-9298</t>
  </si>
  <si>
    <t>H7020A0028</t>
  </si>
  <si>
    <t>BLANCO ANA VICTORIA</t>
  </si>
  <si>
    <t>176 MCDANIEL RD</t>
  </si>
  <si>
    <t>H5190A0015</t>
  </si>
  <si>
    <t>959 SALISBURY RD</t>
  </si>
  <si>
    <t>27028-9301</t>
  </si>
  <si>
    <t>H5190A0027</t>
  </si>
  <si>
    <t>F40000003401</t>
  </si>
  <si>
    <t>BECK ANDREW S</t>
  </si>
  <si>
    <t>BECK CASSIE</t>
  </si>
  <si>
    <t>677 CANA RD</t>
  </si>
  <si>
    <t>27028-5704</t>
  </si>
  <si>
    <t>F400000034</t>
  </si>
  <si>
    <t>G7030A0007</t>
  </si>
  <si>
    <t>SMITH SHAKAYLA</t>
  </si>
  <si>
    <t>144 CAMDEN CT</t>
  </si>
  <si>
    <t>M4130B0005</t>
  </si>
  <si>
    <t>FORD ANGELA</t>
  </si>
  <si>
    <t>FORD FRANKLIN NEAL</t>
  </si>
  <si>
    <t>108 ERWIN ST</t>
  </si>
  <si>
    <t>L4130A0001</t>
  </si>
  <si>
    <t>RODRIGUEZ RAYMOND H</t>
  </si>
  <si>
    <t>RODRIGUEZ VIRGINIA</t>
  </si>
  <si>
    <t>497 GLADSTONE RD</t>
  </si>
  <si>
    <t>B20000002405</t>
  </si>
  <si>
    <t>WALLACE BROOKE</t>
  </si>
  <si>
    <t>322 REAVIS RD</t>
  </si>
  <si>
    <t>27055-6367</t>
  </si>
  <si>
    <t>B20000002406</t>
  </si>
  <si>
    <t>D700000242</t>
  </si>
  <si>
    <t>REECE DEBBIE</t>
  </si>
  <si>
    <t>125 LAVENDER FARM TRL</t>
  </si>
  <si>
    <t>N5010C0028</t>
  </si>
  <si>
    <t>LINVILLE MICHAEL HUGH</t>
  </si>
  <si>
    <t>F60000009607</t>
  </si>
  <si>
    <t>KLEPEISZ DAVID JOSEPH</t>
  </si>
  <si>
    <t>KLEPEISZ HANNAH MARIE</t>
  </si>
  <si>
    <t>1200 HOWARDTOWN CIR</t>
  </si>
  <si>
    <t>J7080B0059</t>
  </si>
  <si>
    <t>RICE JASON EARL</t>
  </si>
  <si>
    <t>SHERMER JESSICA KIM</t>
  </si>
  <si>
    <t>108 CEDARWOOD PL</t>
  </si>
  <si>
    <t>H4130A0033</t>
  </si>
  <si>
    <t>SCOTT ANTHONY</t>
  </si>
  <si>
    <t>PENDERGRASS SAUSHA M NOWAK</t>
  </si>
  <si>
    <t>119 ASH DR</t>
  </si>
  <si>
    <t>D9050A0016</t>
  </si>
  <si>
    <t>HYDE ELISABETH</t>
  </si>
  <si>
    <t>3121 BERMUDA VLG</t>
  </si>
  <si>
    <t>D9050B0015</t>
  </si>
  <si>
    <t>MILLER BETTY MYERS TRUSTEE</t>
  </si>
  <si>
    <t>BETTY MYERS MILLER FAM TRST</t>
  </si>
  <si>
    <t>3323 BERMUDA VLG</t>
  </si>
  <si>
    <t>D700000001</t>
  </si>
  <si>
    <t>HENNINGER AARON</t>
  </si>
  <si>
    <t>HENNINGER MELISSA</t>
  </si>
  <si>
    <t>128 LAVENDER FARM TRL</t>
  </si>
  <si>
    <t>I20000000615</t>
  </si>
  <si>
    <t>MORGAN JOSEPH</t>
  </si>
  <si>
    <t>MORGAN SARAH</t>
  </si>
  <si>
    <t>233 COOKSON LANE</t>
  </si>
  <si>
    <t>27028-1181</t>
  </si>
  <si>
    <t>I50000002901</t>
  </si>
  <si>
    <t>POTTS DARREN L</t>
  </si>
  <si>
    <t>POTTS STEPHANIE H</t>
  </si>
  <si>
    <t>1056 MILLING RD</t>
  </si>
  <si>
    <t>J4140A0036</t>
  </si>
  <si>
    <t>OBRIEN JENNIFER LYNN</t>
  </si>
  <si>
    <t>225 NEW HAMPSHIRE CT</t>
  </si>
  <si>
    <t>M50000001614</t>
  </si>
  <si>
    <t>DALTON STACEE SPILLMAN</t>
  </si>
  <si>
    <t>142 BUNKER WAY</t>
  </si>
  <si>
    <t>M50000001615</t>
  </si>
  <si>
    <t>M50000001601</t>
  </si>
  <si>
    <t>M50000001613</t>
  </si>
  <si>
    <t>N5010C0066</t>
  </si>
  <si>
    <t>M5150A0005</t>
  </si>
  <si>
    <t>WYRICK STACEE SPILLMAN</t>
  </si>
  <si>
    <t>M40000006601</t>
  </si>
  <si>
    <t>M4120A001601</t>
  </si>
  <si>
    <t>M5070A000207</t>
  </si>
  <si>
    <t>G9090B0063</t>
  </si>
  <si>
    <t>PROPST DAVID</t>
  </si>
  <si>
    <t>PINOCHET SIBELA</t>
  </si>
  <si>
    <t>238 OLD MARCH RD</t>
  </si>
  <si>
    <t>C8010A0053</t>
  </si>
  <si>
    <t>RICHINS RUSTIN</t>
  </si>
  <si>
    <t>RICHINS ERIN</t>
  </si>
  <si>
    <t>190 BRIDGEWATER DR</t>
  </si>
  <si>
    <t>M600000027</t>
  </si>
  <si>
    <t>BECK CAMERON</t>
  </si>
  <si>
    <t>407 BECKTOWN RD</t>
  </si>
  <si>
    <t>I5120A0025</t>
  </si>
  <si>
    <t>HERNANDEZ DE MARTINEZ MARIA ARMINDA</t>
  </si>
  <si>
    <t>130 WINDSONG RD</t>
  </si>
  <si>
    <t>M4130A0026</t>
  </si>
  <si>
    <t>JIMENEZ MARIA MARTE</t>
  </si>
  <si>
    <t>1092 GLADSTONE RD</t>
  </si>
  <si>
    <t>27028-5241</t>
  </si>
  <si>
    <t>G800000085</t>
  </si>
  <si>
    <t>WOODSON LEE R</t>
  </si>
  <si>
    <t>176 BAILEY RD</t>
  </si>
  <si>
    <t>J4110A0010</t>
  </si>
  <si>
    <t>GUINN LINDSEY</t>
  </si>
  <si>
    <t>942 HARDISON ST</t>
  </si>
  <si>
    <t>F600000022</t>
  </si>
  <si>
    <t>HOTROD INVESTMENTS LLC</t>
  </si>
  <si>
    <t>3319 US HIGHWAY 158</t>
  </si>
  <si>
    <t>C500000012</t>
  </si>
  <si>
    <t>CEDAR CREEK MEADOWS LLC</t>
  </si>
  <si>
    <t>2257 FARMINGTON RD</t>
  </si>
  <si>
    <t>E900000583</t>
  </si>
  <si>
    <t>MILLER DAVID M</t>
  </si>
  <si>
    <t>MILLER KAY A</t>
  </si>
  <si>
    <t>134 OLD COURSE DR</t>
  </si>
  <si>
    <t>I4060B0019</t>
  </si>
  <si>
    <t>901 MOCKSVILLE NC LLC</t>
  </si>
  <si>
    <t>% WALGREEN CO</t>
  </si>
  <si>
    <t>60015-6002</t>
  </si>
  <si>
    <t>E8100A0003</t>
  </si>
  <si>
    <t>TAYLOR MICHAEL DEAN</t>
  </si>
  <si>
    <t>TAYLOR CONNIE MARIE</t>
  </si>
  <si>
    <t>823 NC HIGHWAY 801 S</t>
  </si>
  <si>
    <t>J300000054</t>
  </si>
  <si>
    <t>CONNELL MELISSA</t>
  </si>
  <si>
    <t>1537 COUNTY HOME RD</t>
  </si>
  <si>
    <t>J300000055</t>
  </si>
  <si>
    <t>H7020A0027</t>
  </si>
  <si>
    <t>VILLATORO WENDY XIOMARA</t>
  </si>
  <si>
    <t>RUBIO JOSE BENJAMIN</t>
  </si>
  <si>
    <t>490 BRIER CREEK RD</t>
  </si>
  <si>
    <t>27006-7154</t>
  </si>
  <si>
    <t>J20000006309</t>
  </si>
  <si>
    <t>JOHNSON ANGELIA HENDRIX</t>
  </si>
  <si>
    <t>268 JONES RD</t>
  </si>
  <si>
    <t>27028-8366</t>
  </si>
  <si>
    <t>M60000005405</t>
  </si>
  <si>
    <t>BIG RIVER INVESTMENTS LLC</t>
  </si>
  <si>
    <t>949 CHERRY HILL RD</t>
  </si>
  <si>
    <t>27028-6627</t>
  </si>
  <si>
    <t>J70000000703</t>
  </si>
  <si>
    <t>MULL BETH M</t>
  </si>
  <si>
    <t>233 NO CREEK RD</t>
  </si>
  <si>
    <t>F8020B0041</t>
  </si>
  <si>
    <t>MILLER NICHOLAS P</t>
  </si>
  <si>
    <t>MILLER KIPPERLY R</t>
  </si>
  <si>
    <t>118 N HIGH FIELD RD</t>
  </si>
  <si>
    <t>B60000001107</t>
  </si>
  <si>
    <t>SPILLMAN WILLIAM WILBURN SR</t>
  </si>
  <si>
    <t>SPILLMAN MARY G</t>
  </si>
  <si>
    <t>I30000003302</t>
  </si>
  <si>
    <t>TANSEY BRIAN RICHARD</t>
  </si>
  <si>
    <t>TANSEY MARY CATHERINE</t>
  </si>
  <si>
    <t>1575 NEEDMORE RD</t>
  </si>
  <si>
    <t>I4070B0001</t>
  </si>
  <si>
    <t>BANK OF DAVIE</t>
  </si>
  <si>
    <t>% BANK OZK</t>
  </si>
  <si>
    <t>POX 8811</t>
  </si>
  <si>
    <t>ARKANSAS</t>
  </si>
  <si>
    <t>72231-0000</t>
  </si>
  <si>
    <t>D80000002204</t>
  </si>
  <si>
    <t>B600000011</t>
  </si>
  <si>
    <t>I5090A0007</t>
  </si>
  <si>
    <t>BARRINGER JOSEPH B</t>
  </si>
  <si>
    <t>597 N MAIN ST</t>
  </si>
  <si>
    <t>L5020B0019</t>
  </si>
  <si>
    <t>DALTON MICHAEL THOMAS</t>
  </si>
  <si>
    <t>27028-5273</t>
  </si>
  <si>
    <t>H700000098</t>
  </si>
  <si>
    <t>ARNOLD NATHANIEL C</t>
  </si>
  <si>
    <t>ARNOLD HEATHER LOCKLEAR</t>
  </si>
  <si>
    <t>134 APACHE RD</t>
  </si>
  <si>
    <t>27006-7137</t>
  </si>
  <si>
    <t>J300000057</t>
  </si>
  <si>
    <t>WEAVER THREE LLC</t>
  </si>
  <si>
    <t>G800000078</t>
  </si>
  <si>
    <t>JAMES CAROL BRIGMAN</t>
  </si>
  <si>
    <t>JAMES ROBERT EUGENE</t>
  </si>
  <si>
    <t>27006-0297</t>
  </si>
  <si>
    <t>C8010A0025</t>
  </si>
  <si>
    <t>CLEMENTS ROBERT SCOTT</t>
  </si>
  <si>
    <t>208 BRIDGEWATER DR</t>
  </si>
  <si>
    <t>J6050B0009</t>
  </si>
  <si>
    <t>HENRY SEAN-PAUL</t>
  </si>
  <si>
    <t>HENRY BRENDA GAIL</t>
  </si>
  <si>
    <t>205 PINE VALLEY RD</t>
  </si>
  <si>
    <t>D8060A0021</t>
  </si>
  <si>
    <t>HOOKS LISA R</t>
  </si>
  <si>
    <t>147 TIFTON STREET</t>
  </si>
  <si>
    <t>J4160A0007</t>
  </si>
  <si>
    <t>VPAT-NORTH LLC</t>
  </si>
  <si>
    <t>G90000001399</t>
  </si>
  <si>
    <t>MARCHMONT AIR PARK INC</t>
  </si>
  <si>
    <t>C500000045</t>
  </si>
  <si>
    <t>MARTIN DONNIE EUGENE</t>
  </si>
  <si>
    <t>1991 FARMINGTON RD</t>
  </si>
  <si>
    <t>27028-7653</t>
  </si>
  <si>
    <t>M5090C0008</t>
  </si>
  <si>
    <t>MARTINEZ HERNANDEZ CARLOS ENRIQUE</t>
  </si>
  <si>
    <t>DE MARTINEZ ALMA YANIRA ALDANA</t>
  </si>
  <si>
    <t>8015 CAREY BRANCH PL</t>
  </si>
  <si>
    <t>FT WASHINGTON</t>
  </si>
  <si>
    <t>20744-4432</t>
  </si>
  <si>
    <t>E6040A0005</t>
  </si>
  <si>
    <t>MITCHELL HENRY DAVIS III</t>
  </si>
  <si>
    <t>MITCHELL SUSAN TEAGUE</t>
  </si>
  <si>
    <t>245 SHALLOWBROOK DR</t>
  </si>
  <si>
    <t>E900000073</t>
  </si>
  <si>
    <t>HARRELL DONALD JAMES</t>
  </si>
  <si>
    <t>HARRELL SHIRLEY MATHILDA</t>
  </si>
  <si>
    <t>110 BAYHILL DR</t>
  </si>
  <si>
    <t>I5090C0008</t>
  </si>
  <si>
    <t>HARDIN JOSHUA MILTON</t>
  </si>
  <si>
    <t>132 BINGHAM ST</t>
  </si>
  <si>
    <t>27028-2202</t>
  </si>
  <si>
    <t>L500000043</t>
  </si>
  <si>
    <t>HEGEDIC SHANE STEPHEN</t>
  </si>
  <si>
    <t>HEGEDIC DAWN MICHELLE</t>
  </si>
  <si>
    <t>7045 NC HIGHWAY 801 S</t>
  </si>
  <si>
    <t>E900000075</t>
  </si>
  <si>
    <t>COLE STEPHEN</t>
  </si>
  <si>
    <t>COLE KAREN</t>
  </si>
  <si>
    <t>109 AVIARA DR</t>
  </si>
  <si>
    <t>C20000003808</t>
  </si>
  <si>
    <t>LOPEDITO CHARLES ANTHONY</t>
  </si>
  <si>
    <t>811 JACK BOOE RD</t>
  </si>
  <si>
    <t>27028-4838</t>
  </si>
  <si>
    <t>I30000003301</t>
  </si>
  <si>
    <t>M4120B0004</t>
  </si>
  <si>
    <t>142 BUNKER WAAY</t>
  </si>
  <si>
    <t>N5010C0077</t>
  </si>
  <si>
    <t>YOST SHANNON S</t>
  </si>
  <si>
    <t>DALTON STACEE S</t>
  </si>
  <si>
    <t>B300000075</t>
  </si>
  <si>
    <t>GRAY JOHANNA</t>
  </si>
  <si>
    <t>GRAY ERIC</t>
  </si>
  <si>
    <t>198 PONDEROSA RD</t>
  </si>
  <si>
    <t>27028-6246</t>
  </si>
  <si>
    <t>D300000045</t>
  </si>
  <si>
    <t>HART OLIVER JAMES JR TRUSTEE</t>
  </si>
  <si>
    <t>OLIVER JAMES HART JR REV TRUST</t>
  </si>
  <si>
    <t>179 HOWELL RD</t>
  </si>
  <si>
    <t>I5080B002901</t>
  </si>
  <si>
    <t>% ELLEN GRUBB</t>
  </si>
  <si>
    <t>5539 US HIGHWAY 158 STE 101</t>
  </si>
  <si>
    <t>27006-6969</t>
  </si>
  <si>
    <t>I4130B0008</t>
  </si>
  <si>
    <t>AKERS ROSE RICHARDSON</t>
  </si>
  <si>
    <t>264 GWYN ST</t>
  </si>
  <si>
    <t>E900000163</t>
  </si>
  <si>
    <t>HERNANDEZ ROBERT B</t>
  </si>
  <si>
    <t>HERNANDEZ JOANNE</t>
  </si>
  <si>
    <t>150 LONETREE DR</t>
  </si>
  <si>
    <t>27006-7061</t>
  </si>
  <si>
    <t>J70000007702</t>
  </si>
  <si>
    <t>ROUSE CHRISTOPHER</t>
  </si>
  <si>
    <t>ROUSE ROBIN</t>
  </si>
  <si>
    <t>130 BROOKE ROSE LN</t>
  </si>
  <si>
    <t>G3020A0005</t>
  </si>
  <si>
    <t>BUCKEYE VENTURES LLC TRUSTEE</t>
  </si>
  <si>
    <t>BUCKEYE 5 TRUST</t>
  </si>
  <si>
    <t>139 WHITE DOVE WAY</t>
  </si>
  <si>
    <t>I5030A0021</t>
  </si>
  <si>
    <t>WHITE DUANE C</t>
  </si>
  <si>
    <t>118 ELI AVE</t>
  </si>
  <si>
    <t>I5080B0008</t>
  </si>
  <si>
    <t>IJAMES DELINDA M</t>
  </si>
  <si>
    <t>GRAHAM-HAUSER REGINA</t>
  </si>
  <si>
    <t>845 GARNER ST</t>
  </si>
  <si>
    <t>I5080B0014</t>
  </si>
  <si>
    <t>I5080B0007</t>
  </si>
  <si>
    <t>I100000007</t>
  </si>
  <si>
    <t>PEOPLES JOHN ANDREW</t>
  </si>
  <si>
    <t>153 COUNTY LINE RD</t>
  </si>
  <si>
    <t>28634-8902</t>
  </si>
  <si>
    <t>I100000012</t>
  </si>
  <si>
    <t>I100000006</t>
  </si>
  <si>
    <t>I10000000402</t>
  </si>
  <si>
    <t>J5010D0047</t>
  </si>
  <si>
    <t>POTTS JUSTIN M</t>
  </si>
  <si>
    <t>CAUDLE HALEY B</t>
  </si>
  <si>
    <t>229 CHARLESTON RIDGE DR</t>
  </si>
  <si>
    <t>I6140A0026</t>
  </si>
  <si>
    <t>CARMICHAEL PATRICK S</t>
  </si>
  <si>
    <t>CARMICHAEL KATLYN S</t>
  </si>
  <si>
    <t>302 LAKEVIEW RD</t>
  </si>
  <si>
    <t>27028-7314</t>
  </si>
  <si>
    <t>H5170A0011</t>
  </si>
  <si>
    <t>GARWOOD JEFFREY S</t>
  </si>
  <si>
    <t>GARWOOD LAUREN K</t>
  </si>
  <si>
    <t>110 ARBOR HILL AVE</t>
  </si>
  <si>
    <t>H4130A0081</t>
  </si>
  <si>
    <t>COLLIER BRANDI LYNN</t>
  </si>
  <si>
    <t>104 SWEETGUM DR</t>
  </si>
  <si>
    <t>27028-7276</t>
  </si>
  <si>
    <t>J5170A0023</t>
  </si>
  <si>
    <t>OCONNOR MICHAEL</t>
  </si>
  <si>
    <t>OCONNER MELISSA</t>
  </si>
  <si>
    <t>169 MARBROOK DR</t>
  </si>
  <si>
    <t>27028-7378</t>
  </si>
  <si>
    <t>K100000026</t>
  </si>
  <si>
    <t>BRODAUF WILLIAM HERBERT SR</t>
  </si>
  <si>
    <t>BRODAUF SUSAN</t>
  </si>
  <si>
    <t>16610 MIZZEN CT</t>
  </si>
  <si>
    <t>28031-7784</t>
  </si>
  <si>
    <t>K10000002601</t>
  </si>
  <si>
    <t>K10000002602</t>
  </si>
  <si>
    <t>I5160B0034</t>
  </si>
  <si>
    <t>BAKER MELISSA DAWN</t>
  </si>
  <si>
    <t>270 CHERRY ST</t>
  </si>
  <si>
    <t>27028-2206</t>
  </si>
  <si>
    <t>C7100A0020</t>
  </si>
  <si>
    <t>MCANDREWS JAMIE</t>
  </si>
  <si>
    <t>184 NORMA LN</t>
  </si>
  <si>
    <t>L3010A0016</t>
  </si>
  <si>
    <t>VANDERBURG JAQUEZ</t>
  </si>
  <si>
    <t>130 GLENWOOD RD</t>
  </si>
  <si>
    <t>M40000002701</t>
  </si>
  <si>
    <t>DYKES MICHAEL LEE</t>
  </si>
  <si>
    <t>1684 JUNCTION RD</t>
  </si>
  <si>
    <t>J600000023  A</t>
  </si>
  <si>
    <t>SCOTT HILDA D</t>
  </si>
  <si>
    <t>381 DALTON ROAD</t>
  </si>
  <si>
    <t>G7070A0006</t>
  </si>
  <si>
    <t>SAMET JACK S</t>
  </si>
  <si>
    <t>BELLINGER CHRISTINA</t>
  </si>
  <si>
    <t>356 BALTIMORE TRAILS LN</t>
  </si>
  <si>
    <t>D8070A0055</t>
  </si>
  <si>
    <t>MARSHALL CYNTHIA R</t>
  </si>
  <si>
    <t>MARSHALL WILLIAM G</t>
  </si>
  <si>
    <t>162 GOLFVIEW DR</t>
  </si>
  <si>
    <t>L40000003409</t>
  </si>
  <si>
    <t>NOVACK ROSE MARY</t>
  </si>
  <si>
    <t>HERNANDEZ PEDRO ROGEL</t>
  </si>
  <si>
    <t>118 CABLE LN</t>
  </si>
  <si>
    <t>D8060B0049</t>
  </si>
  <si>
    <t>BLANKENSHIP JAMES A REV TRUST AGREE</t>
  </si>
  <si>
    <t>BLANKENSHIP ETHEL A REV TRUST</t>
  </si>
  <si>
    <t>120 BERMUDA RUN DR S</t>
  </si>
  <si>
    <t>H4130A0020</t>
  </si>
  <si>
    <t>PILCHER AUSTIN R</t>
  </si>
  <si>
    <t>THOMAS-PILCHER ALESHA</t>
  </si>
  <si>
    <t>171 ELMWOOD ST</t>
  </si>
  <si>
    <t>N60000007710</t>
  </si>
  <si>
    <t>JAMES ASHLEY NICOLE</t>
  </si>
  <si>
    <t>BEANE THOMAS PATRICK II</t>
  </si>
  <si>
    <t>399 SINGLETON RD</t>
  </si>
  <si>
    <t>C8010A0008</t>
  </si>
  <si>
    <t>DERUE AMY S</t>
  </si>
  <si>
    <t>904 PARKWOOD CIR</t>
  </si>
  <si>
    <t>27262-7419</t>
  </si>
  <si>
    <t>H5150B0004</t>
  </si>
  <si>
    <t>KARLEK DEIDRE LYNN</t>
  </si>
  <si>
    <t>KARLEK KRISTOFER RYAN</t>
  </si>
  <si>
    <t>3304 JARVIS AVE</t>
  </si>
  <si>
    <t>SAN JOSE</t>
  </si>
  <si>
    <t>95118-1328</t>
  </si>
  <si>
    <t>E5020A0026</t>
  </si>
  <si>
    <t>ARNOLD WILLIAM</t>
  </si>
  <si>
    <t>ARNOLD LILLIAN</t>
  </si>
  <si>
    <t>275 CORNWALLIS DR</t>
  </si>
  <si>
    <t>F600000092</t>
  </si>
  <si>
    <t>THOMAS JASON RICHARD</t>
  </si>
  <si>
    <t>HICKS ANGELA DAWN</t>
  </si>
  <si>
    <t>130 PINE CONE TRL</t>
  </si>
  <si>
    <t>27028-7860</t>
  </si>
  <si>
    <t>J60000002304</t>
  </si>
  <si>
    <t>E900000587</t>
  </si>
  <si>
    <t>POINDEXTER DIANE S</t>
  </si>
  <si>
    <t>123 OLD COURSE DR</t>
  </si>
  <si>
    <t>B40000001802</t>
  </si>
  <si>
    <t>HALE JACOB</t>
  </si>
  <si>
    <t>HALE AMY</t>
  </si>
  <si>
    <t>376 BONKIN LAKE RD</t>
  </si>
  <si>
    <t>D2010A0012</t>
  </si>
  <si>
    <t>HENDRIX KEILEIGH LEONARD</t>
  </si>
  <si>
    <t>198 TIMBER TRAILS LN</t>
  </si>
  <si>
    <t>J4050C0014</t>
  </si>
  <si>
    <t>JONES DONALD S SR</t>
  </si>
  <si>
    <t>JONES SHIRLEY W</t>
  </si>
  <si>
    <t>154 HOBSON DR</t>
  </si>
  <si>
    <t>B7140A0014</t>
  </si>
  <si>
    <t>MILHOLEN CHARLES EDGAR III</t>
  </si>
  <si>
    <t>MILHOLEN DONNA MUSSER</t>
  </si>
  <si>
    <t>186 VALLEY OAKS DR</t>
  </si>
  <si>
    <t>B50000003001</t>
  </si>
  <si>
    <t>BROCKWELL EDWIN S III</t>
  </si>
  <si>
    <t>552 PINEVILLE RD</t>
  </si>
  <si>
    <t>G200000071</t>
  </si>
  <si>
    <t>SPRINDIS CHRISTOPHER A</t>
  </si>
  <si>
    <t>230 SHEFFIELD RD</t>
  </si>
  <si>
    <t>E70000006506</t>
  </si>
  <si>
    <t>J READER CONSTRUCTION LLC</t>
  </si>
  <si>
    <t>FORREST C CRANFILL CONSTRUCTIO</t>
  </si>
  <si>
    <t>PO BOX 828</t>
  </si>
  <si>
    <t>27012-0828</t>
  </si>
  <si>
    <t>I4010A0025</t>
  </si>
  <si>
    <t>GLANT MISTY B</t>
  </si>
  <si>
    <t>GLANT JOSHUA T</t>
  </si>
  <si>
    <t>226 N WENTWORTH DR</t>
  </si>
  <si>
    <t>G70000013301</t>
  </si>
  <si>
    <t>COOPER JONATHAN NORBERT</t>
  </si>
  <si>
    <t>2365 CORNATZER RD</t>
  </si>
  <si>
    <t>G50000012601</t>
  </si>
  <si>
    <t>DIMARCO MACKENZIE L</t>
  </si>
  <si>
    <t>FULMER ROBERT D</t>
  </si>
  <si>
    <t>27028-4411</t>
  </si>
  <si>
    <t>N50000002404</t>
  </si>
  <si>
    <t>LINK MITCHELL LEVI</t>
  </si>
  <si>
    <t>LEDBETTER STEPHANIE ELIZABETH</t>
  </si>
  <si>
    <t>PO BOX 668</t>
  </si>
  <si>
    <t>L5100B001704</t>
  </si>
  <si>
    <t>THOMPSON JEREMY</t>
  </si>
  <si>
    <t>J300000004</t>
  </si>
  <si>
    <t>K30000001801</t>
  </si>
  <si>
    <t>K30000001802</t>
  </si>
  <si>
    <t>B20000000406</t>
  </si>
  <si>
    <t>KOPY NICHOLAS</t>
  </si>
  <si>
    <t>LAKE JENNIFER</t>
  </si>
  <si>
    <t>2573 LIBERTY CHURCH RD</t>
  </si>
  <si>
    <t>C8030A001005</t>
  </si>
  <si>
    <t>BARR DEBORAH ANN</t>
  </si>
  <si>
    <t>173 PINEWOOD LN # 5</t>
  </si>
  <si>
    <t>27006-8778</t>
  </si>
  <si>
    <t>C8030A001004</t>
  </si>
  <si>
    <t>SERENA COLLEEN A</t>
  </si>
  <si>
    <t>171 PINEWOOD LN # 4</t>
  </si>
  <si>
    <t>D8100D0027</t>
  </si>
  <si>
    <t>DAWSON CARMA</t>
  </si>
  <si>
    <t>DAWSON CHARLES JR</t>
  </si>
  <si>
    <t>5000 THOROUGHBRED LANE APT D</t>
  </si>
  <si>
    <t>E8150A0012</t>
  </si>
  <si>
    <t>STEPHENS TAMMY B</t>
  </si>
  <si>
    <t>J4140B0061</t>
  </si>
  <si>
    <t>LONGTIN DANIEL L</t>
  </si>
  <si>
    <t>LONGTIN MICHELLE G</t>
  </si>
  <si>
    <t>222 N CAROLINA CIR</t>
  </si>
  <si>
    <t>N50000000701</t>
  </si>
  <si>
    <t>BLAKE SASHA LYNN</t>
  </si>
  <si>
    <t>BLAKE MATTHEW ALLEN</t>
  </si>
  <si>
    <t>226 ADMILL WAY</t>
  </si>
  <si>
    <t>E70000006507</t>
  </si>
  <si>
    <t>PO BOX 805</t>
  </si>
  <si>
    <t>27012-0805</t>
  </si>
  <si>
    <t>J4140B0060</t>
  </si>
  <si>
    <t>E8150A001101</t>
  </si>
  <si>
    <t>NOVAK ROBERT JASON</t>
  </si>
  <si>
    <t>F4010A0028</t>
  </si>
  <si>
    <t>SMITH LINDSAY</t>
  </si>
  <si>
    <t>WALCK DOUGLAS W</t>
  </si>
  <si>
    <t>175 SUMMERLYN DR</t>
  </si>
  <si>
    <t>C50000005704</t>
  </si>
  <si>
    <t>THE RICHARD &amp; JANE DERIAN LIVING TRUST</t>
  </si>
  <si>
    <t>194 POTTERS RIDGE DR</t>
  </si>
  <si>
    <t>J4050D0001</t>
  </si>
  <si>
    <t>J4050C001103</t>
  </si>
  <si>
    <t>J4050C001102</t>
  </si>
  <si>
    <t>J4120C0007</t>
  </si>
  <si>
    <t>M4130B0003</t>
  </si>
  <si>
    <t>M4130A0021</t>
  </si>
  <si>
    <t>M4130A0018</t>
  </si>
  <si>
    <t>I5080B0033</t>
  </si>
  <si>
    <t>HANLAN RUTH</t>
  </si>
  <si>
    <t>109 SPRUCE ST</t>
  </si>
  <si>
    <t>H40000006401</t>
  </si>
  <si>
    <t>LAWSON EVAN M</t>
  </si>
  <si>
    <t>315 COUNTRY LN</t>
  </si>
  <si>
    <t>27028-8657</t>
  </si>
  <si>
    <t>G3030A0064</t>
  </si>
  <si>
    <t>FOSTER ALEXANDRIA</t>
  </si>
  <si>
    <t>163 MURPHY RD</t>
  </si>
  <si>
    <t>27028-5854</t>
  </si>
  <si>
    <t>D9010E0027</t>
  </si>
  <si>
    <t>OAKLEY MATTHEW CHRISTOPHER</t>
  </si>
  <si>
    <t>WARREN CRYSTAL NICOLE</t>
  </si>
  <si>
    <t>311 BING CROSBY BLVD</t>
  </si>
  <si>
    <t>E30000005501</t>
  </si>
  <si>
    <t>MADDUX HAILEIGH</t>
  </si>
  <si>
    <t>457 RICHIE RD</t>
  </si>
  <si>
    <t>I4110C0012</t>
  </si>
  <si>
    <t>FRATICELLI ANGEL G</t>
  </si>
  <si>
    <t>575 RAYMOND ST</t>
  </si>
  <si>
    <t>27028-2015</t>
  </si>
  <si>
    <t>J300000024</t>
  </si>
  <si>
    <t>GREENE MATTHEW LORNE</t>
  </si>
  <si>
    <t>808 GREENHILL RD</t>
  </si>
  <si>
    <t>G8140A0012</t>
  </si>
  <si>
    <t>PORTER JOHN</t>
  </si>
  <si>
    <t>PORTER JOANNA</t>
  </si>
  <si>
    <t>119 OLD HOMEPLACE DR</t>
  </si>
  <si>
    <t>F30000005302</t>
  </si>
  <si>
    <t>FULTON GARRETT SCOTT</t>
  </si>
  <si>
    <t>FULTON JESSICA NOELLE</t>
  </si>
  <si>
    <t>27028-4961</t>
  </si>
  <si>
    <t>G20000005506</t>
  </si>
  <si>
    <t>C30000008002</t>
  </si>
  <si>
    <t>MCCORMICK MARY</t>
  </si>
  <si>
    <t>6883 IDOLS RD APT B</t>
  </si>
  <si>
    <t>27012-9618</t>
  </si>
  <si>
    <t>C30000008003</t>
  </si>
  <si>
    <t>WHITE TIMOTHY ANDREW</t>
  </si>
  <si>
    <t>111 LYERLY DR</t>
  </si>
  <si>
    <t>GRANITE QRY</t>
  </si>
  <si>
    <t>K700000018</t>
  </si>
  <si>
    <t>JONES JERRY RAY JR</t>
  </si>
  <si>
    <t>JONES TIFFIANY DAVIS</t>
  </si>
  <si>
    <t>141 GAWAIN WAY</t>
  </si>
  <si>
    <t>27028-7215</t>
  </si>
  <si>
    <t>J6100A0021</t>
  </si>
  <si>
    <t>PARRISH DANNY H</t>
  </si>
  <si>
    <t>PARRISH JENNIFER J</t>
  </si>
  <si>
    <t>124 N LAKE LOUISE DR</t>
  </si>
  <si>
    <t>J4120B0004</t>
  </si>
  <si>
    <t>MINTON TERRI</t>
  </si>
  <si>
    <t>841 S SALISBURY ST</t>
  </si>
  <si>
    <t>I4130A0005</t>
  </si>
  <si>
    <t>H400000111</t>
  </si>
  <si>
    <t>SMITH JANET M HEIRS OF</t>
  </si>
  <si>
    <t>1419 COUNTY HOME RD</t>
  </si>
  <si>
    <t>G700000033</t>
  </si>
  <si>
    <t>MARLIN SHERRY</t>
  </si>
  <si>
    <t>ROBERTSON RICHARD</t>
  </si>
  <si>
    <t>E900000433</t>
  </si>
  <si>
    <t>CARROLL REV TRUST</t>
  </si>
  <si>
    <t>200 SCOTTSDALE DR</t>
  </si>
  <si>
    <t>E6050A0019</t>
  </si>
  <si>
    <t>TYSOR DAWN T</t>
  </si>
  <si>
    <t>4147 US HIGHWAY 158</t>
  </si>
  <si>
    <t>E6050A0020</t>
  </si>
  <si>
    <t>D8070A0051</t>
  </si>
  <si>
    <t>HUTCHENS BETHENE HENNINGS</t>
  </si>
  <si>
    <t>176 GOLFVIEW DR</t>
  </si>
  <si>
    <t>M50000001105</t>
  </si>
  <si>
    <t>LINK RICKEY ROBIN</t>
  </si>
  <si>
    <t>C8010A0262</t>
  </si>
  <si>
    <t>MCH SFR NC OWNER 1 LP</t>
  </si>
  <si>
    <t>14355 COMMERCE WAY</t>
  </si>
  <si>
    <t>MIAMI LAKES</t>
  </si>
  <si>
    <t>33016-1502</t>
  </si>
  <si>
    <t>C8010B0388</t>
  </si>
  <si>
    <t>G80000000106</t>
  </si>
  <si>
    <t>HINE SHERI DENE</t>
  </si>
  <si>
    <t>2818 CORNATZER RD</t>
  </si>
  <si>
    <t>E70000011105</t>
  </si>
  <si>
    <t>RICHARDSON B J</t>
  </si>
  <si>
    <t>RICHARDSON MICHELLE</t>
  </si>
  <si>
    <t>149 LAURENS CT</t>
  </si>
  <si>
    <t>J5010D0072</t>
  </si>
  <si>
    <t>WOLD DERRICK ANDREW</t>
  </si>
  <si>
    <t>SWIATEK MARY ELIZABETH</t>
  </si>
  <si>
    <t>201 WINDING CREEK RD</t>
  </si>
  <si>
    <t>J30000002504</t>
  </si>
  <si>
    <t>SEAMON WILLIAM RANDALL</t>
  </si>
  <si>
    <t>SEAMON KRYSTAL FOSTER</t>
  </si>
  <si>
    <t>782 GREENHILL RD</t>
  </si>
  <si>
    <t>27028-4206</t>
  </si>
  <si>
    <t>C7100B0010</t>
  </si>
  <si>
    <t>DIVERSIFIED RESIDENTIAL HOMES 3 LLC</t>
  </si>
  <si>
    <t>3495 PIEDMONT RD NE BLDG 11</t>
  </si>
  <si>
    <t>30305-1717</t>
  </si>
  <si>
    <t>C8010A0015</t>
  </si>
  <si>
    <t>SOUSA MICHELLE LEE</t>
  </si>
  <si>
    <t>116 ROSEWALK LN</t>
  </si>
  <si>
    <t>E60000008502</t>
  </si>
  <si>
    <t>GREGORY STEPHANIE ANN</t>
  </si>
  <si>
    <t>B600000004</t>
  </si>
  <si>
    <t>LEDFORD THERESA</t>
  </si>
  <si>
    <t>LEDFORD LAURENCE</t>
  </si>
  <si>
    <t>15720 BRIXHAM HILL AVE</t>
  </si>
  <si>
    <t>G9100A0006</t>
  </si>
  <si>
    <t>WALTON CURTIS</t>
  </si>
  <si>
    <t>WALTON NICOLE</t>
  </si>
  <si>
    <t>110 SUMMER SWEET DR</t>
  </si>
  <si>
    <t>27006-7492</t>
  </si>
  <si>
    <t>N600000094</t>
  </si>
  <si>
    <t>HIVELY ANTHONY DEWAYNE</t>
  </si>
  <si>
    <t>HIVELY JODIE CHRISTINE</t>
  </si>
  <si>
    <t>204 BEAN RD</t>
  </si>
  <si>
    <t>I10000004202</t>
  </si>
  <si>
    <t>STROUD STEVEN C</t>
  </si>
  <si>
    <t>STROUD CHRISTY EATON</t>
  </si>
  <si>
    <t>4007 US HIGHWAY 64 W</t>
  </si>
  <si>
    <t>27028-8458</t>
  </si>
  <si>
    <t>I700000095</t>
  </si>
  <si>
    <t>CASHWELL KELSEY NICOLE</t>
  </si>
  <si>
    <t>791 FORK BIXBY RD</t>
  </si>
  <si>
    <t>J50000001301</t>
  </si>
  <si>
    <t>KURTZ MATTHEW ETAL</t>
  </si>
  <si>
    <t>FRANK ALIVIA MARIE</t>
  </si>
  <si>
    <t>1366 US HIGHWAY 64 E</t>
  </si>
  <si>
    <t>L400000031</t>
  </si>
  <si>
    <t>WALLACE HARRY L JR</t>
  </si>
  <si>
    <t>WALLACE JANNIE W</t>
  </si>
  <si>
    <t>374 GLADSTONE RD</t>
  </si>
  <si>
    <t>M5160B0024</t>
  </si>
  <si>
    <t>SWAIM ASHTON SCOTT</t>
  </si>
  <si>
    <t>106 CHURCH ST</t>
  </si>
  <si>
    <t>I5090C0022</t>
  </si>
  <si>
    <t>LOWE STEPHAN B</t>
  </si>
  <si>
    <t>768 N MAIN ST</t>
  </si>
  <si>
    <t>I5080E0025</t>
  </si>
  <si>
    <t>J50000003210</t>
  </si>
  <si>
    <t>TWT ASSOCIATES LLC</t>
  </si>
  <si>
    <t>352 JAMES RD</t>
  </si>
  <si>
    <t>27012-9318</t>
  </si>
  <si>
    <t>H80000004301</t>
  </si>
  <si>
    <t>HICKS DAVID CARLISLE</t>
  </si>
  <si>
    <t>PO BOX 143</t>
  </si>
  <si>
    <t>27006-0143</t>
  </si>
  <si>
    <t>C8030A000992</t>
  </si>
  <si>
    <t>LOWREY BRIAN PETER</t>
  </si>
  <si>
    <t>181 PINEWOOD LN</t>
  </si>
  <si>
    <t>F4010A0027</t>
  </si>
  <si>
    <t>FINE LINE HOMES LP</t>
  </si>
  <si>
    <t>7300 DERRY STREET</t>
  </si>
  <si>
    <t>I10000004506</t>
  </si>
  <si>
    <t>FUENTES JOSE V</t>
  </si>
  <si>
    <t>MORENO MARIA D</t>
  </si>
  <si>
    <t>119 PEACH ST</t>
  </si>
  <si>
    <t>BRENTWOOD</t>
  </si>
  <si>
    <t>11717-7810</t>
  </si>
  <si>
    <t>J7050B0005</t>
  </si>
  <si>
    <t>BONO NICOLE</t>
  </si>
  <si>
    <t>206 FORK BIXBY RD</t>
  </si>
  <si>
    <t>F300000100</t>
  </si>
  <si>
    <t>BASCOM MARK</t>
  </si>
  <si>
    <t>BASCOM MICHELLE</t>
  </si>
  <si>
    <t>115 DANNER ROAD</t>
  </si>
  <si>
    <t>27028-8651</t>
  </si>
  <si>
    <t>L400000004</t>
  </si>
  <si>
    <t>UNDERWOOD ALAN T</t>
  </si>
  <si>
    <t>713 JUNCTION RD</t>
  </si>
  <si>
    <t>L400000005</t>
  </si>
  <si>
    <t>I400000029</t>
  </si>
  <si>
    <t>RUSSELL JUANITA L</t>
  </si>
  <si>
    <t>136 BROOK DR</t>
  </si>
  <si>
    <t>H7030A0011</t>
  </si>
  <si>
    <t>BROWN JORDAN CHRISTOPHER</t>
  </si>
  <si>
    <t>RANDOLPH ASHLEY RENEE</t>
  </si>
  <si>
    <t>209 BRIER CREEK RD</t>
  </si>
  <si>
    <t>27006-7152</t>
  </si>
  <si>
    <t>H7030A0010</t>
  </si>
  <si>
    <t>D70000003101</t>
  </si>
  <si>
    <t>GORDON NEAL S JR</t>
  </si>
  <si>
    <t>199 CEDAR FOREST LN</t>
  </si>
  <si>
    <t>C8030C0009</t>
  </si>
  <si>
    <t>BELFORD MONICA ANN</t>
  </si>
  <si>
    <t>113 OAK WIND DR UNIT 301</t>
  </si>
  <si>
    <t>F80000002229</t>
  </si>
  <si>
    <t>MORRIS BARBARA L</t>
  </si>
  <si>
    <t>158 LANTERN DR</t>
  </si>
  <si>
    <t>27006-7394</t>
  </si>
  <si>
    <t>C5130A0006</t>
  </si>
  <si>
    <t>TAYLOR STEPHINE VICTORIA PHIPP</t>
  </si>
  <si>
    <t>151 CEDAR FOREST LN</t>
  </si>
  <si>
    <t>E8100C0006</t>
  </si>
  <si>
    <t>OVERBEY JON SCOTT</t>
  </si>
  <si>
    <t>OVERBEY DIANA BAHNSON</t>
  </si>
  <si>
    <t>130 BROOKDALE DR</t>
  </si>
  <si>
    <t>D8100B0013</t>
  </si>
  <si>
    <t>KENNEDY JOE D</t>
  </si>
  <si>
    <t>KENNEDY JANET S</t>
  </si>
  <si>
    <t>602 RIVERBEND DR</t>
  </si>
  <si>
    <t>F30000009601</t>
  </si>
  <si>
    <t>C600000125</t>
  </si>
  <si>
    <t>DAVIDSON KELLI LEIGH</t>
  </si>
  <si>
    <t>1572 YADKIN VALLEY RD</t>
  </si>
  <si>
    <t>D9010D0002</t>
  </si>
  <si>
    <t>JAMES-BEATY BRENNAN M</t>
  </si>
  <si>
    <t>370 RABBIT FARM TRL</t>
  </si>
  <si>
    <t>N500000088</t>
  </si>
  <si>
    <t>MORGAN BENJAMIN R</t>
  </si>
  <si>
    <t>539 PINE RIDGE RD</t>
  </si>
  <si>
    <t>J20000004603</t>
  </si>
  <si>
    <t>BYERLY ROGER LEE</t>
  </si>
  <si>
    <t>BYERLY MISTY L</t>
  </si>
  <si>
    <t>350 SHADY KNOLL LN</t>
  </si>
  <si>
    <t>27028-8402</t>
  </si>
  <si>
    <t>J20000004601</t>
  </si>
  <si>
    <t>H4130A0009</t>
  </si>
  <si>
    <t>HARRIS TRACY A</t>
  </si>
  <si>
    <t>HARRIS TOMIKA B</t>
  </si>
  <si>
    <t>125 SUMMIT DR</t>
  </si>
  <si>
    <t>27028-7262</t>
  </si>
  <si>
    <t>F800000094</t>
  </si>
  <si>
    <t>SHORE WALTER DEAN</t>
  </si>
  <si>
    <t>SHORE GINGER MEADE</t>
  </si>
  <si>
    <t>1615 NC HIGHWAY 801 S</t>
  </si>
  <si>
    <t>F300000026</t>
  </si>
  <si>
    <t>MAGUIRE SCOTT</t>
  </si>
  <si>
    <t>MAGUIRE M JEAN BARNETT</t>
  </si>
  <si>
    <t>669 WAGNER RD</t>
  </si>
  <si>
    <t>27028-4957</t>
  </si>
  <si>
    <t>E400000013</t>
  </si>
  <si>
    <t>NIELSEN NICHOLAS ALEXANDER</t>
  </si>
  <si>
    <t>NIELSEN CHERYL JANINE</t>
  </si>
  <si>
    <t>1247 CANA RD</t>
  </si>
  <si>
    <t>I4130C0001</t>
  </si>
  <si>
    <t>JC HARRIS HOLDINGS LLC</t>
  </si>
  <si>
    <t>O'REILLY AUTOMOTIVE INC</t>
  </si>
  <si>
    <t>% THOMSON REUTERS PTS</t>
  </si>
  <si>
    <t>PO BOX 9167</t>
  </si>
  <si>
    <t>SPRINGFIELD</t>
  </si>
  <si>
    <t>FRCL</t>
  </si>
  <si>
    <t>F80000002101</t>
  </si>
  <si>
    <t>SIPE BRETT I</t>
  </si>
  <si>
    <t>SIPE SHARI L</t>
  </si>
  <si>
    <t>138 BEAUCHAMP RD</t>
  </si>
  <si>
    <t>27006-7164</t>
  </si>
  <si>
    <t>F80000002102</t>
  </si>
  <si>
    <t>K300000066</t>
  </si>
  <si>
    <t>KURFEES CHARLES MICHAEL</t>
  </si>
  <si>
    <t>KURFEES KAY STROUD</t>
  </si>
  <si>
    <t>817 MR HENRY RD</t>
  </si>
  <si>
    <t>H5170A0037</t>
  </si>
  <si>
    <t>OHLIN DEBRA MARIE</t>
  </si>
  <si>
    <t>SCHWIRTZ MATTHEW HENRY</t>
  </si>
  <si>
    <t>255 CANYON RD</t>
  </si>
  <si>
    <t>F4010A0016</t>
  </si>
  <si>
    <t>E8110C0009</t>
  </si>
  <si>
    <t>MAUS VERLA B</t>
  </si>
  <si>
    <t>191 WESTRIDGE RD</t>
  </si>
  <si>
    <t>I1110E0012</t>
  </si>
  <si>
    <t>EATON DEREE</t>
  </si>
  <si>
    <t>143 OAKRIDGE LN</t>
  </si>
  <si>
    <t>E300000064</t>
  </si>
  <si>
    <t>D60000002902</t>
  </si>
  <si>
    <t>PHIPPS DAWN C</t>
  </si>
  <si>
    <t>837 RAINBOW RD</t>
  </si>
  <si>
    <t>M5090A0018</t>
  </si>
  <si>
    <t>LAZARO LUIS A</t>
  </si>
  <si>
    <t>PO BOX 218</t>
  </si>
  <si>
    <t>27014-0218</t>
  </si>
  <si>
    <t>LAZARO LUIS  A</t>
  </si>
  <si>
    <t>J7050B000502</t>
  </si>
  <si>
    <t>MCDOWELL JAMES ROBERT</t>
  </si>
  <si>
    <t>MCDOWELL ASHLEY DENISE</t>
  </si>
  <si>
    <t>214 FORK BIXBY RD</t>
  </si>
  <si>
    <t>J200000038</t>
  </si>
  <si>
    <t>SUTHERLAND RICHARD P JR</t>
  </si>
  <si>
    <t>SUTHERLAND KIMBRA A</t>
  </si>
  <si>
    <t>155 PINE FOREST LN</t>
  </si>
  <si>
    <t>27028-8317</t>
  </si>
  <si>
    <t>J500000009</t>
  </si>
  <si>
    <t>CARON JONATHAN F</t>
  </si>
  <si>
    <t>1111 US HIGHWAY 64 E</t>
  </si>
  <si>
    <t>G100000013</t>
  </si>
  <si>
    <t>REEVES JOHN HENRY</t>
  </si>
  <si>
    <t>1490 COUNTY LINE ROAD</t>
  </si>
  <si>
    <t>C20000000506</t>
  </si>
  <si>
    <t>HOOVER BETTY SUE A</t>
  </si>
  <si>
    <t>439 NORTH MAIN STREET</t>
  </si>
  <si>
    <t>I4010A0033</t>
  </si>
  <si>
    <t>BENSON ROBERT FLOYD JR</t>
  </si>
  <si>
    <t>202 TURNBERRY DR</t>
  </si>
  <si>
    <t>K5030A0002</t>
  </si>
  <si>
    <t>BRANDMAHL DAVID MICHAEL</t>
  </si>
  <si>
    <t>BRANDMAHL RAMONA FRYE</t>
  </si>
  <si>
    <t>114 DEACON WAY</t>
  </si>
  <si>
    <t>G3060D0002</t>
  </si>
  <si>
    <t>BERG JED G</t>
  </si>
  <si>
    <t>BERG DARLENE J</t>
  </si>
  <si>
    <t>134 NEBBS TRL</t>
  </si>
  <si>
    <t>E900000229</t>
  </si>
  <si>
    <t>CHILDRESS RIANNON DANIELLE</t>
  </si>
  <si>
    <t>LUCAS SAMUEL JAMES</t>
  </si>
  <si>
    <t>222 KINGSMILL DR</t>
  </si>
  <si>
    <t>F70000002301</t>
  </si>
  <si>
    <t>FONTAINE GREGORY L</t>
  </si>
  <si>
    <t>FONTAINE DUDLEY S</t>
  </si>
  <si>
    <t>4182 CLEMMONS RD #357</t>
  </si>
  <si>
    <t>27012-7520</t>
  </si>
  <si>
    <t>F700000031</t>
  </si>
  <si>
    <t>G700000052  A</t>
  </si>
  <si>
    <t>SOUTHERN REGION INDUSTRIAL</t>
  </si>
  <si>
    <t>ATTN TAX DEPT</t>
  </si>
  <si>
    <t>650 W PEACHTREE ST NW</t>
  </si>
  <si>
    <t>30308-1925</t>
  </si>
  <si>
    <t>N4040A0006</t>
  </si>
  <si>
    <t>SRS UNLIMITED LLC</t>
  </si>
  <si>
    <t>1950 JUNCTION RD</t>
  </si>
  <si>
    <t>D8030A0027</t>
  </si>
  <si>
    <t>MIETHE NICHOLAS A</t>
  </si>
  <si>
    <t>MIETHE JADEN M</t>
  </si>
  <si>
    <t>114 TIFTON ST</t>
  </si>
  <si>
    <t>J5010D0094</t>
  </si>
  <si>
    <t>SAMMONS BRUCE WAYNE</t>
  </si>
  <si>
    <t>SAMMONS SHAWNEE LYNN</t>
  </si>
  <si>
    <t>216 WINDING CREEK RD</t>
  </si>
  <si>
    <t>C80000000128</t>
  </si>
  <si>
    <t>MCLANE ERIK SHANE</t>
  </si>
  <si>
    <t>COPE TERESA ANN</t>
  </si>
  <si>
    <t>105 LAKESIDE XING</t>
  </si>
  <si>
    <t>N5010C0059</t>
  </si>
  <si>
    <t>L5100A0034</t>
  </si>
  <si>
    <t>J7080B0006</t>
  </si>
  <si>
    <t>BONILLA JESSICA V ZELAYA</t>
  </si>
  <si>
    <t>173 CEDARWOOD PL</t>
  </si>
  <si>
    <t>K3050B0015</t>
  </si>
  <si>
    <t>POTTS EUGENE</t>
  </si>
  <si>
    <t>217 CAROLINA AVE</t>
  </si>
  <si>
    <t>27028-5108</t>
  </si>
  <si>
    <t>E20000000803</t>
  </si>
  <si>
    <t>C7100A0029</t>
  </si>
  <si>
    <t>SALIE ERICH BRYAN</t>
  </si>
  <si>
    <t>SELLS-SALIE EMILY A</t>
  </si>
  <si>
    <t>108 W RENEE DR</t>
  </si>
  <si>
    <t>I4120A0021</t>
  </si>
  <si>
    <t>WOODRUFF CHRISTINE H TRUSTEE</t>
  </si>
  <si>
    <t>WOODRUFF CHRISTINE H REV DEC</t>
  </si>
  <si>
    <t>478 WILKESBORO ST</t>
  </si>
  <si>
    <t>I4120A0020</t>
  </si>
  <si>
    <t>H600000018</t>
  </si>
  <si>
    <t>G700000080</t>
  </si>
  <si>
    <t>H300000036</t>
  </si>
  <si>
    <t>CARSON CASSANDRA CAMILLE</t>
  </si>
  <si>
    <t>306 POWELL RD</t>
  </si>
  <si>
    <t>27028-8321</t>
  </si>
  <si>
    <t>E8060B0001</t>
  </si>
  <si>
    <t>BACHNIK GREGORY TERRENCE III</t>
  </si>
  <si>
    <t>BACHNIK NATASHA NICOLE</t>
  </si>
  <si>
    <t>230 RIVER RD</t>
  </si>
  <si>
    <t>C6120A0011</t>
  </si>
  <si>
    <t>SMITH KRISTINA</t>
  </si>
  <si>
    <t>SMITH JOHN</t>
  </si>
  <si>
    <t>1149 NC HIGHWAY 801 N</t>
  </si>
  <si>
    <t>27006-6700</t>
  </si>
  <si>
    <t>D7030A0029</t>
  </si>
  <si>
    <t>SHULTZ CHRISTOPHER</t>
  </si>
  <si>
    <t>SHULTZ MEGAN</t>
  </si>
  <si>
    <t>166 CREEKWOOD DR</t>
  </si>
  <si>
    <t>C8030A000303</t>
  </si>
  <si>
    <t>ALDEN DAWN MARIE</t>
  </si>
  <si>
    <t>ALDEN THOMAS B</t>
  </si>
  <si>
    <t>148 PINEWOOD LN UNIT 103</t>
  </si>
  <si>
    <t>D8100D0010</t>
  </si>
  <si>
    <t>RAPP PAUL F</t>
  </si>
  <si>
    <t>241 SPYGLASS DR</t>
  </si>
  <si>
    <t>M5090A0006</t>
  </si>
  <si>
    <t>BALES JERRY WAYNE</t>
  </si>
  <si>
    <t>BALES SHELIA</t>
  </si>
  <si>
    <t>PO BOX 1043</t>
  </si>
  <si>
    <t>27014-1043</t>
  </si>
  <si>
    <t>L600000065  A</t>
  </si>
  <si>
    <t>GALYEAN TYLER</t>
  </si>
  <si>
    <t>195 BOONE LN</t>
  </si>
  <si>
    <t>27028-5184</t>
  </si>
  <si>
    <t>D7080A0041</t>
  </si>
  <si>
    <t>REAVIS JOE NATHAN</t>
  </si>
  <si>
    <t>347 LONGWOOD DR</t>
  </si>
  <si>
    <t>C30000007201</t>
  </si>
  <si>
    <t>YORK BETTY JANE BAITY ETAL</t>
  </si>
  <si>
    <t>251 BAITY RD</t>
  </si>
  <si>
    <t>C300000073</t>
  </si>
  <si>
    <t>H4130A0123</t>
  </si>
  <si>
    <t>GRINKIN ALEXANDER</t>
  </si>
  <si>
    <t>134 GUMTREE CT</t>
  </si>
  <si>
    <t>F600000075</t>
  </si>
  <si>
    <t>BOGER ALBERT DENTON JR</t>
  </si>
  <si>
    <t>3244 US HIGHWAY 158</t>
  </si>
  <si>
    <t>E50000003310</t>
  </si>
  <si>
    <t>ELYSIAN EQUINE LLC</t>
  </si>
  <si>
    <t>27028-0789</t>
  </si>
  <si>
    <t>I5110C0013</t>
  </si>
  <si>
    <t>CUEVAS KAITLYNN R</t>
  </si>
  <si>
    <t>256 MOUNTVIEW DR</t>
  </si>
  <si>
    <t>I4110C0033</t>
  </si>
  <si>
    <t>STORE MASTER FUNDING XXII LLC</t>
  </si>
  <si>
    <t>% SOUTHEAST DENTAL PARTNERS LL</t>
  </si>
  <si>
    <t>19810 W CATAWBA AVE STE A1</t>
  </si>
  <si>
    <t>28031-4056</t>
  </si>
  <si>
    <t>M400000078</t>
  </si>
  <si>
    <t>RUIZ GUSTAVO ROMERO</t>
  </si>
  <si>
    <t>253 NOLLEY RD</t>
  </si>
  <si>
    <t>M400000083</t>
  </si>
  <si>
    <t>H30000009209</t>
  </si>
  <si>
    <t>NEWINGTON CROWN LP</t>
  </si>
  <si>
    <t>WILLOWBROOK WEST-X LLC</t>
  </si>
  <si>
    <t>2900 LINDEN LN STE 300</t>
  </si>
  <si>
    <t>SILVER SPRING</t>
  </si>
  <si>
    <t>20910-1265</t>
  </si>
  <si>
    <t>D7030B0008</t>
  </si>
  <si>
    <t>CAREY SEAN</t>
  </si>
  <si>
    <t>229 CREEKWOOD DR</t>
  </si>
  <si>
    <t>K8100A0010</t>
  </si>
  <si>
    <t>GIBSON AMBER</t>
  </si>
  <si>
    <t>GIBSON BENJAMIN</t>
  </si>
  <si>
    <t>147 PEACE CT</t>
  </si>
  <si>
    <t>K5160A0015</t>
  </si>
  <si>
    <t>GRUBB TYLER D</t>
  </si>
  <si>
    <t>1772 US HIGHWAY 601 S</t>
  </si>
  <si>
    <t>27028-6901</t>
  </si>
  <si>
    <t>J5030A0019</t>
  </si>
  <si>
    <t>SEAFORD CHRISTOPHER D</t>
  </si>
  <si>
    <t>SEAFORD TIFFANY B</t>
  </si>
  <si>
    <t>242 E LAKE DR</t>
  </si>
  <si>
    <t>27028-2673</t>
  </si>
  <si>
    <t>F80000002106</t>
  </si>
  <si>
    <t>WALKER EMILY DAWN</t>
  </si>
  <si>
    <t>WALKER ADAM LEE</t>
  </si>
  <si>
    <t>218 BEAUCHAMP RD</t>
  </si>
  <si>
    <t>F80000002223</t>
  </si>
  <si>
    <t>BISTOK MARGARET ZAPADKA</t>
  </si>
  <si>
    <t>BISTOK TY</t>
  </si>
  <si>
    <t>180 ARROW GLENN CT</t>
  </si>
  <si>
    <t>M5070A0014</t>
  </si>
  <si>
    <t>HAYNES EVA</t>
  </si>
  <si>
    <t>143 BLUE BONNETT CT</t>
  </si>
  <si>
    <t>I1110A0030</t>
  </si>
  <si>
    <t>GLAST GRAPHICS LLC</t>
  </si>
  <si>
    <t>142 OAKRIDGE LN</t>
  </si>
  <si>
    <t>I1110A0029</t>
  </si>
  <si>
    <t>I1110A0003</t>
  </si>
  <si>
    <t>M5120A0005</t>
  </si>
  <si>
    <t>WEBB CAMERON J</t>
  </si>
  <si>
    <t>276 PLEASANT ACRE DR</t>
  </si>
  <si>
    <t>L5070A001806</t>
  </si>
  <si>
    <t>CORRELL JOSHUA LOGAN</t>
  </si>
  <si>
    <t>CORRELL SHANI MARIE</t>
  </si>
  <si>
    <t>247 FAIRFIELD RD</t>
  </si>
  <si>
    <t>B600000001</t>
  </si>
  <si>
    <t>SPARKS JONATHAN DANIEL</t>
  </si>
  <si>
    <t>SPARKS AMANDA LEDFORD</t>
  </si>
  <si>
    <t>900 SPILLMAN RD</t>
  </si>
  <si>
    <t>L5020A0018</t>
  </si>
  <si>
    <t>DANIEL KATHERINE L</t>
  </si>
  <si>
    <t>210 TWIN CEDARS GOLF RD</t>
  </si>
  <si>
    <t>27028-6847</t>
  </si>
  <si>
    <t>G9090B0043</t>
  </si>
  <si>
    <t>KIRK GLENN HARRISON</t>
  </si>
  <si>
    <t>KIRK MARY ANN</t>
  </si>
  <si>
    <t>196 S MARCH FERRY RD</t>
  </si>
  <si>
    <t>H20000001704</t>
  </si>
  <si>
    <t>EVERHART WILLIAM E</t>
  </si>
  <si>
    <t>179 FRED LANIER RD</t>
  </si>
  <si>
    <t>D9090E0003</t>
  </si>
  <si>
    <t>SISEL KAREN</t>
  </si>
  <si>
    <t>375 HOLLYBROOK DR</t>
  </si>
  <si>
    <t>D7070A0016</t>
  </si>
  <si>
    <t>BROWN SHELIA</t>
  </si>
  <si>
    <t>PO BOX 2252</t>
  </si>
  <si>
    <t>27006-2252</t>
  </si>
  <si>
    <t>J4030B0014</t>
  </si>
  <si>
    <t>HUNTER MICHAEL F</t>
  </si>
  <si>
    <t>HUNTER LINDSAY R</t>
  </si>
  <si>
    <t>200 MAGNOLIA AVE</t>
  </si>
  <si>
    <t>C7140C0004</t>
  </si>
  <si>
    <t>STANFORD WILEY F</t>
  </si>
  <si>
    <t>120 FOREST CT</t>
  </si>
  <si>
    <t>I900000013</t>
  </si>
  <si>
    <t>KHATIB KELSEY JEAN</t>
  </si>
  <si>
    <t>3273 HYDE PLACE CIR</t>
  </si>
  <si>
    <t>27103-6834</t>
  </si>
  <si>
    <t>H20000001707</t>
  </si>
  <si>
    <t>SNEED BRENT</t>
  </si>
  <si>
    <t>SNEED SHELBY</t>
  </si>
  <si>
    <t>714 GARDEN VALLEY RD</t>
  </si>
  <si>
    <t>28625-9458</t>
  </si>
  <si>
    <t>L80000002101</t>
  </si>
  <si>
    <t>WILLIAMS TOBY</t>
  </si>
  <si>
    <t>WILLIAMS DALLAS</t>
  </si>
  <si>
    <t>243 RIVERVIEW RD</t>
  </si>
  <si>
    <t>L400000025</t>
  </si>
  <si>
    <t>HOLLAND KAREN F</t>
  </si>
  <si>
    <t>593 GLADSTONE RD</t>
  </si>
  <si>
    <t>E7060A0009</t>
  </si>
  <si>
    <t>EDWARDS VELVET</t>
  </si>
  <si>
    <t>EDWARDS RALPH</t>
  </si>
  <si>
    <t>150 WINCHESTER RD</t>
  </si>
  <si>
    <t>K5040A0005</t>
  </si>
  <si>
    <t>CORVIN CECIL TODD</t>
  </si>
  <si>
    <t>CORVIN SHELLY ALLEN</t>
  </si>
  <si>
    <t>F80000007407</t>
  </si>
  <si>
    <t>HONEYCUTT WILLIAM</t>
  </si>
  <si>
    <t>133 SADDLEBROOK DR</t>
  </si>
  <si>
    <t>L300000008</t>
  </si>
  <si>
    <t>RAPPAPORT JONATHAN</t>
  </si>
  <si>
    <t>RAPPAPORT MARY BETH</t>
  </si>
  <si>
    <t>893 RATLEDGE RD</t>
  </si>
  <si>
    <t>27028-5431</t>
  </si>
  <si>
    <t>K30000002904</t>
  </si>
  <si>
    <t>BADRA BRIAN A</t>
  </si>
  <si>
    <t>BADRA SHANNON B</t>
  </si>
  <si>
    <t>121 ADAMS RD</t>
  </si>
  <si>
    <t>27028-5166</t>
  </si>
  <si>
    <t>F8030A0067</t>
  </si>
  <si>
    <t>ROMINGER MICHAEL LEE</t>
  </si>
  <si>
    <t>BENSON CYNTHIA BAILEY</t>
  </si>
  <si>
    <t>118 TYLER CT</t>
  </si>
  <si>
    <t>D9090C0009</t>
  </si>
  <si>
    <t>THE DONALD H LEWIS REV TRUST</t>
  </si>
  <si>
    <t>117 LINDEN PL</t>
  </si>
  <si>
    <t>D8080D0006</t>
  </si>
  <si>
    <t>BALL JOSEPHINE M</t>
  </si>
  <si>
    <t>427 IVY CIR</t>
  </si>
  <si>
    <t>I5090E0016</t>
  </si>
  <si>
    <t>HAYES ORVILLE J</t>
  </si>
  <si>
    <t>HAYES AMANDA L</t>
  </si>
  <si>
    <t>442 N MAIN ST</t>
  </si>
  <si>
    <t>I5170C0001</t>
  </si>
  <si>
    <t>BROOME CHRISTINA L ETAL</t>
  </si>
  <si>
    <t>LEDNUM LEXIE LEE JR</t>
  </si>
  <si>
    <t>141 MILLWRIGHT CT</t>
  </si>
  <si>
    <t>D9010B0001</t>
  </si>
  <si>
    <t>SHEA MAUREEN</t>
  </si>
  <si>
    <t>119 WARWICKE PL</t>
  </si>
  <si>
    <t>M500000043</t>
  </si>
  <si>
    <t>ZAKAMAREK CASEY</t>
  </si>
  <si>
    <t>2809 US HIGHWAY 601 S</t>
  </si>
  <si>
    <t>H40000001301</t>
  </si>
  <si>
    <t>SAMPSON-BLADEN OIL CO INC</t>
  </si>
  <si>
    <t>PO BOX 469</t>
  </si>
  <si>
    <t>28329-0469</t>
  </si>
  <si>
    <t>K5010A0001</t>
  </si>
  <si>
    <t>D50000005003</t>
  </si>
  <si>
    <t>FLORES BRIANA</t>
  </si>
  <si>
    <t>225 CEDAR CREEK RD</t>
  </si>
  <si>
    <t>F7060A0020</t>
  </si>
  <si>
    <t>TYLER CHRISTOPHER L</t>
  </si>
  <si>
    <t>106 CANTON RD</t>
  </si>
  <si>
    <t>E600000095</t>
  </si>
  <si>
    <t>HARDIN JONATHAN MICHAEL</t>
  </si>
  <si>
    <t>J4140B0021</t>
  </si>
  <si>
    <t>SHARPE ANI</t>
  </si>
  <si>
    <t>SHARPE KEVIN CHARLES</t>
  </si>
  <si>
    <t>153 RHODE ISLAND CT</t>
  </si>
  <si>
    <t>27028-5189</t>
  </si>
  <si>
    <t>D8100A0008</t>
  </si>
  <si>
    <t>STEELE JEFFREY DANIEL</t>
  </si>
  <si>
    <t>COBAUGH-STEELE TRACEY LYNN</t>
  </si>
  <si>
    <t>718 RIVERBEND DR</t>
  </si>
  <si>
    <t>E900000498</t>
  </si>
  <si>
    <t>BOCKMAN JAMES GERARD</t>
  </si>
  <si>
    <t>BOCKMAN CAROL MASON</t>
  </si>
  <si>
    <t>294 N HIDDENBROOKE DR</t>
  </si>
  <si>
    <t>G30000007203</t>
  </si>
  <si>
    <t>FERNANDEZ JOSE ROMERO</t>
  </si>
  <si>
    <t>ROMERO ELENA</t>
  </si>
  <si>
    <t>206 MURPHY RD</t>
  </si>
  <si>
    <t>D9030A0004</t>
  </si>
  <si>
    <t>SHEA STEPHEN DANIEL</t>
  </si>
  <si>
    <t>HEGE ERIN LYNN</t>
  </si>
  <si>
    <t>164 JAMES WAY</t>
  </si>
  <si>
    <t>F10000001222</t>
  </si>
  <si>
    <t>KING ELLE PERKINS</t>
  </si>
  <si>
    <t>KING EARL SYLVESTER II</t>
  </si>
  <si>
    <t>184 FLAT MOUNTAIN TRL</t>
  </si>
  <si>
    <t>28634-9070</t>
  </si>
  <si>
    <t>G40000000906</t>
  </si>
  <si>
    <t>BARRIER EDDIE L</t>
  </si>
  <si>
    <t>190 CHANNEL LN</t>
  </si>
  <si>
    <t>27028-5714</t>
  </si>
  <si>
    <t>G8140A099901</t>
  </si>
  <si>
    <t>WILLIAMS DEVELOPMENT GROUP LLC</t>
  </si>
  <si>
    <t>2990 BETHESDA PL</t>
  </si>
  <si>
    <t>SUITE 604C</t>
  </si>
  <si>
    <t>J4050A0004</t>
  </si>
  <si>
    <t>PEACOCK LARRY</t>
  </si>
  <si>
    <t>PEACOCK ANGIE MINOR</t>
  </si>
  <si>
    <t>814 HARDISON ST</t>
  </si>
  <si>
    <t>M600000015</t>
  </si>
  <si>
    <t>SHEPPARD JUSTIN W FAMILY TRUST</t>
  </si>
  <si>
    <t>490 PLEASANT ACRE DR</t>
  </si>
  <si>
    <t>SHEPPARD JUSTIN W  FAMILY TRUST</t>
  </si>
  <si>
    <t>N4040A0038</t>
  </si>
  <si>
    <t>STEWART JOEL</t>
  </si>
  <si>
    <t>I6160A0016</t>
  </si>
  <si>
    <t>BARRERA WALTER DANILO</t>
  </si>
  <si>
    <t>BARRERA JACQUELINE TORRES</t>
  </si>
  <si>
    <t>169 LINDA LN</t>
  </si>
  <si>
    <t>E900000394</t>
  </si>
  <si>
    <t>REED JONATHAN</t>
  </si>
  <si>
    <t>REED CHRISTINA</t>
  </si>
  <si>
    <t>243 BROADMOOR DR</t>
  </si>
  <si>
    <t>G8120B000306</t>
  </si>
  <si>
    <t>MINGO HOLDINGS LLC</t>
  </si>
  <si>
    <t>1725 PEOPLES CREEK RD</t>
  </si>
  <si>
    <t>I60000000601</t>
  </si>
  <si>
    <t>WISECARVER JASON KENT</t>
  </si>
  <si>
    <t>WISCARVER CAROLYN JAMIE</t>
  </si>
  <si>
    <t>1032 CORNATZER RD</t>
  </si>
  <si>
    <t>J5010D0099</t>
  </si>
  <si>
    <t>EBRIGHT SCOTT EDWARD</t>
  </si>
  <si>
    <t>246 WINDING CREEK RD</t>
  </si>
  <si>
    <t>I10000004204</t>
  </si>
  <si>
    <t>STROUD PAUL HOLDEN</t>
  </si>
  <si>
    <t>NELSON SYDNEY MARIE</t>
  </si>
  <si>
    <t>L800000014</t>
  </si>
  <si>
    <t>LIVENGOOD CYNTHIA C</t>
  </si>
  <si>
    <t>473 RIVERVIEW RD</t>
  </si>
  <si>
    <t>27006-7035</t>
  </si>
  <si>
    <t>J700000090</t>
  </si>
  <si>
    <t>B30000002802</t>
  </si>
  <si>
    <t>WELLS COURTNEY M</t>
  </si>
  <si>
    <t>WELLS KEVIN D</t>
  </si>
  <si>
    <t>183 CHINQUAPIN RD</t>
  </si>
  <si>
    <t>L40000003201</t>
  </si>
  <si>
    <t>SAWS LTD PARTNERSHIP</t>
  </si>
  <si>
    <t>N5010B0046</t>
  </si>
  <si>
    <t>N5010B0047</t>
  </si>
  <si>
    <t>K5070A0017</t>
  </si>
  <si>
    <t>KALAKORE STEVEN</t>
  </si>
  <si>
    <t>KALAKORE ASHLEY</t>
  </si>
  <si>
    <t>157 REDWOOD DR</t>
  </si>
  <si>
    <t>I4050C0005</t>
  </si>
  <si>
    <t>KOPER RAYMONDE</t>
  </si>
  <si>
    <t>109 WOODPARK DR</t>
  </si>
  <si>
    <t>D9050C0029</t>
  </si>
  <si>
    <t>THE LIESELOTTE R COMER REV TRUST</t>
  </si>
  <si>
    <t>2312 BERMUDA VLG</t>
  </si>
  <si>
    <t>M5070A0010</t>
  </si>
  <si>
    <t>BAXTER DWIGHT C</t>
  </si>
  <si>
    <t>BAXTER MIRIAM P</t>
  </si>
  <si>
    <t>7401 NC HIGHWAY 801 S</t>
  </si>
  <si>
    <t>27028-6739</t>
  </si>
  <si>
    <t>N500000021</t>
  </si>
  <si>
    <t>VANDALL JOHN</t>
  </si>
  <si>
    <t>VANDALL JESSICA LYNN</t>
  </si>
  <si>
    <t>864 PINE RIDGE RD</t>
  </si>
  <si>
    <t>27028-6756</t>
  </si>
  <si>
    <t>B30000002803</t>
  </si>
  <si>
    <t>F1020A001203</t>
  </si>
  <si>
    <t>O'NEILL ANGELA WIEDEMAN</t>
  </si>
  <si>
    <t>O'NEILL SHAWN CHRISTOPHER</t>
  </si>
  <si>
    <t>234 SHEFFIELD FARMS TRL</t>
  </si>
  <si>
    <t>D500000098</t>
  </si>
  <si>
    <t>1778 FARMINGTON RD</t>
  </si>
  <si>
    <t>E8110A0016</t>
  </si>
  <si>
    <t>WALKER LUKE HUNTER</t>
  </si>
  <si>
    <t>WALKER EMILY ELIZABETH</t>
  </si>
  <si>
    <t>1619 UNDERPASS RD</t>
  </si>
  <si>
    <t>I5080E0016</t>
  </si>
  <si>
    <t>ROBERTSON CHAD</t>
  </si>
  <si>
    <t>ROBERTSON CHELSIE</t>
  </si>
  <si>
    <t>207 SPRING ST</t>
  </si>
  <si>
    <t>L5070A001805</t>
  </si>
  <si>
    <t>CORRELL JEREMY H</t>
  </si>
  <si>
    <t>CORRELL CASEY</t>
  </si>
  <si>
    <t>253 FAIRFIELD RD</t>
  </si>
  <si>
    <t>D500000097</t>
  </si>
  <si>
    <t>C600000098</t>
  </si>
  <si>
    <t>GUILLAN REBECCA SUE</t>
  </si>
  <si>
    <t>1274 NC HIGHWAY 801 N</t>
  </si>
  <si>
    <t>C7100A0003</t>
  </si>
  <si>
    <t>COLQUITT STEPHANIE GRACE</t>
  </si>
  <si>
    <t>125 W ROBIN DR</t>
  </si>
  <si>
    <t>C600000099</t>
  </si>
  <si>
    <t>J5170A0018</t>
  </si>
  <si>
    <t>CHASE DRM LLC</t>
  </si>
  <si>
    <t>J5010D0076</t>
  </si>
  <si>
    <t>E900000154</t>
  </si>
  <si>
    <t>AMH NC PROPERTIES TWO LP</t>
  </si>
  <si>
    <t>23975 PARK SORRENTO FL 3</t>
  </si>
  <si>
    <t>91302-4015</t>
  </si>
  <si>
    <t>D9010A0023</t>
  </si>
  <si>
    <t>SCHWARTZ STEVEN G JR</t>
  </si>
  <si>
    <t>HURNI MELISSA A</t>
  </si>
  <si>
    <t>158 PEMBROOKE RIDGE COURT</t>
  </si>
  <si>
    <t>G8120A0005</t>
  </si>
  <si>
    <t>D BELL PROPERTIES LLC</t>
  </si>
  <si>
    <t>I300000024</t>
  </si>
  <si>
    <t>CLEMENT JAMES EDWARD</t>
  </si>
  <si>
    <t>1679 US HIGHWAY 64 W</t>
  </si>
  <si>
    <t>27028-8434</t>
  </si>
  <si>
    <t>D8080D0001</t>
  </si>
  <si>
    <t>HALE JERONNE EUGENE</t>
  </si>
  <si>
    <t>LINDSAY BRITTANY C</t>
  </si>
  <si>
    <t>385 IVY CIR</t>
  </si>
  <si>
    <t>J4060C0003</t>
  </si>
  <si>
    <t>MYERS TAMMY L</t>
  </si>
  <si>
    <t>1445 COUNTY HOME RD</t>
  </si>
  <si>
    <t>G8050A000901</t>
  </si>
  <si>
    <t>MAX LAND HOLDING LLC</t>
  </si>
  <si>
    <t>G8050A0009</t>
  </si>
  <si>
    <t>H300000098</t>
  </si>
  <si>
    <t>G400000001</t>
  </si>
  <si>
    <t>H30000009902</t>
  </si>
  <si>
    <t>H30000009903</t>
  </si>
  <si>
    <t>D8080A0006</t>
  </si>
  <si>
    <t>H5170A0058</t>
  </si>
  <si>
    <t>SOBOTTA MICHAEL</t>
  </si>
  <si>
    <t>135 ARBOR HILL AVE</t>
  </si>
  <si>
    <t>M400000055</t>
  </si>
  <si>
    <t>BELL RAYMOND A</t>
  </si>
  <si>
    <t>BELL CAMERON L</t>
  </si>
  <si>
    <t>191 J L FARM LN</t>
  </si>
  <si>
    <t>27028-5313</t>
  </si>
  <si>
    <t>D700000040</t>
  </si>
  <si>
    <t>E60000007009</t>
  </si>
  <si>
    <t>BREWER TAYLOR DANIELLE</t>
  </si>
  <si>
    <t>258 HOWARDTOWN CIR</t>
  </si>
  <si>
    <t>27028-7701</t>
  </si>
  <si>
    <t>K3120A0003</t>
  </si>
  <si>
    <t>MARTIN JOSEPH COLE</t>
  </si>
  <si>
    <t>383 JUNCTION RD</t>
  </si>
  <si>
    <t>G9100A0032</t>
  </si>
  <si>
    <t>OGLE BRYAN S</t>
  </si>
  <si>
    <t>OGLE ANITA B</t>
  </si>
  <si>
    <t>107 LOST FARM DR</t>
  </si>
  <si>
    <t>C300000080</t>
  </si>
  <si>
    <t>CHAABAN EHAB WAHIB</t>
  </si>
  <si>
    <t>AL AAWAR FADINE RACHID</t>
  </si>
  <si>
    <t>1005 BOYER CT</t>
  </si>
  <si>
    <t>27012-9485</t>
  </si>
  <si>
    <t>K500000003</t>
  </si>
  <si>
    <t>KONTOOR US LLC</t>
  </si>
  <si>
    <t>ATTN: GENERAL ACCOUNTING</t>
  </si>
  <si>
    <t>PO BOX 20807</t>
  </si>
  <si>
    <t>27420-0000</t>
  </si>
  <si>
    <t>G8120B000305</t>
  </si>
  <si>
    <t>G8120B000307</t>
  </si>
  <si>
    <t>F800000057</t>
  </si>
  <si>
    <t>ORRELL BINNY RALPH SR</t>
  </si>
  <si>
    <t>6800 CAMERON GLEN DR</t>
  </si>
  <si>
    <t>28210-7323</t>
  </si>
  <si>
    <t>D300000056</t>
  </si>
  <si>
    <t>CLEARY FRANCES B</t>
  </si>
  <si>
    <t>HOLBROOK TABITHA</t>
  </si>
  <si>
    <t>154 SUNFLOWER TRL</t>
  </si>
  <si>
    <t>G800000020</t>
  </si>
  <si>
    <t>BRANDON JOHN BRIAN</t>
  </si>
  <si>
    <t>945 FIELDSBORO RD</t>
  </si>
  <si>
    <t>TOWNSEND</t>
  </si>
  <si>
    <t>DE</t>
  </si>
  <si>
    <t>19734-9713</t>
  </si>
  <si>
    <t>J4060D0012</t>
  </si>
  <si>
    <t>BRYAN JOHN CHARLES JR</t>
  </si>
  <si>
    <t>188 BIRCHWOOD LN</t>
  </si>
  <si>
    <t>L40000003209</t>
  </si>
  <si>
    <t>G30000008203</t>
  </si>
  <si>
    <t>TRIVITTE GERALD W</t>
  </si>
  <si>
    <t>373 ALLEN ROAD</t>
  </si>
  <si>
    <t>N5110A0014</t>
  </si>
  <si>
    <t>CULBRETH JUNE LAGLE</t>
  </si>
  <si>
    <t>27006-6942</t>
  </si>
  <si>
    <t>J80000001309</t>
  </si>
  <si>
    <t>JACOBS JAMES KENNETH</t>
  </si>
  <si>
    <t>JACOBS KENDRA LATHAM</t>
  </si>
  <si>
    <t>346 FULTON RD</t>
  </si>
  <si>
    <t>27006-7266</t>
  </si>
  <si>
    <t>E70000003306</t>
  </si>
  <si>
    <t>NORRIS MAGGIE WEBB</t>
  </si>
  <si>
    <t>NORRIS BRANTLEY R</t>
  </si>
  <si>
    <t>118 KING ARTHUR LN</t>
  </si>
  <si>
    <t>J4060A0029</t>
  </si>
  <si>
    <t>FLETCHER THOMAS CHADWICK III</t>
  </si>
  <si>
    <t>FLETCHER JUDITH ANNE ETAL</t>
  </si>
  <si>
    <t>253 HOLLY LN</t>
  </si>
  <si>
    <t>D9050A0043</t>
  </si>
  <si>
    <t>THE JOAN K MOFFETT LIV TRUST AGREE</t>
  </si>
  <si>
    <t>3203 BERMUDA VILLAGE DRIVE</t>
  </si>
  <si>
    <t>J4140A0001</t>
  </si>
  <si>
    <t>KEENE NICKIE J</t>
  </si>
  <si>
    <t>KEENE MARY LYNN</t>
  </si>
  <si>
    <t>200 NEW HAMPSHIRE CT</t>
  </si>
  <si>
    <t>G9090D0026</t>
  </si>
  <si>
    <t>RICHARDSON ROBERT R</t>
  </si>
  <si>
    <t>RICHARDSON L REGINA</t>
  </si>
  <si>
    <t>108 MAPLEVALLEY RD</t>
  </si>
  <si>
    <t>L60000000501</t>
  </si>
  <si>
    <t>KACEREK WILLIAM</t>
  </si>
  <si>
    <t>KACEREK SUZETTE</t>
  </si>
  <si>
    <t>462 YADKIN VALLEY RD</t>
  </si>
  <si>
    <t>28625-2289</t>
  </si>
  <si>
    <t>D9010C0007</t>
  </si>
  <si>
    <t>APPLEYARD ROBERT DAVID</t>
  </si>
  <si>
    <t>APPLEYARD JAYNE K</t>
  </si>
  <si>
    <t>123 SAINT GEORGE PL</t>
  </si>
  <si>
    <t>D200000036  A</t>
  </si>
  <si>
    <t>CLEMO GERALD P</t>
  </si>
  <si>
    <t>1308 LIBERTY CHURCH RD</t>
  </si>
  <si>
    <t>J5010D0035</t>
  </si>
  <si>
    <t>TURNEY MATTHEW</t>
  </si>
  <si>
    <t>TURNEY REBECCA KIM</t>
  </si>
  <si>
    <t>139 CLOISTER DR</t>
  </si>
  <si>
    <t>TURNEY  REBECCA KIM</t>
  </si>
  <si>
    <t>F30000007807</t>
  </si>
  <si>
    <t>SYKES BRIAN CHRISTOPHER</t>
  </si>
  <si>
    <t>2881 US HIGHWAY 601 N</t>
  </si>
  <si>
    <t>H20000003001</t>
  </si>
  <si>
    <t>FAUNCE STEPHEN JEFFREY SR</t>
  </si>
  <si>
    <t>FAUNCE DAWN M</t>
  </si>
  <si>
    <t>580 FRED LANIER RD</t>
  </si>
  <si>
    <t>G70000000404</t>
  </si>
  <si>
    <t>BIAS JOHN D</t>
  </si>
  <si>
    <t>BIAS TERRI L</t>
  </si>
  <si>
    <t>486 HOWARDTOWN RD</t>
  </si>
  <si>
    <t>27028-7239</t>
  </si>
  <si>
    <t>J4030B0016</t>
  </si>
  <si>
    <t>ALBON JOSEPH G</t>
  </si>
  <si>
    <t>117 HOLLY LN</t>
  </si>
  <si>
    <t>27028-2923</t>
  </si>
  <si>
    <t>J5150B0005</t>
  </si>
  <si>
    <t>SHOEMAKER STEVEN W</t>
  </si>
  <si>
    <t>SHOEMAKER WENDY D</t>
  </si>
  <si>
    <t>132 HICKORY DR</t>
  </si>
  <si>
    <t>N60000007720</t>
  </si>
  <si>
    <t>DAVIS PAMELA L</t>
  </si>
  <si>
    <t>1207 CHERRY HILL RD</t>
  </si>
  <si>
    <t>27028-6630</t>
  </si>
  <si>
    <t>C600000089</t>
  </si>
  <si>
    <t>LEE AARON J</t>
  </si>
  <si>
    <t>STEPHENSON SUZAN L</t>
  </si>
  <si>
    <t>245 MCKNIGHT RD</t>
  </si>
  <si>
    <t>27006-6639</t>
  </si>
  <si>
    <t>J5030A0031</t>
  </si>
  <si>
    <t>SNYDER CORTLAND LEE</t>
  </si>
  <si>
    <t>SNYDER ROBERT THOMAS JR</t>
  </si>
  <si>
    <t>173 SUNNYDELL LN</t>
  </si>
  <si>
    <t>M5160C002104</t>
  </si>
  <si>
    <t>STEELE-CORRELL SUE W ETAL</t>
  </si>
  <si>
    <t>PO BOX 961</t>
  </si>
  <si>
    <t>J5170A0025</t>
  </si>
  <si>
    <t>CHENEY STEVE D</t>
  </si>
  <si>
    <t>CHENEY TERRALYN B</t>
  </si>
  <si>
    <t>151 MARBROOK DR</t>
  </si>
  <si>
    <t>I4010A0008</t>
  </si>
  <si>
    <t>COOPER JOHN</t>
  </si>
  <si>
    <t>COOPER BRENDA</t>
  </si>
  <si>
    <t>171 TURNBERRY DR</t>
  </si>
  <si>
    <t>N60000007301</t>
  </si>
  <si>
    <t>PRUETT MAGGIE</t>
  </si>
  <si>
    <t>624 COTTONWOOD WAY</t>
  </si>
  <si>
    <t>JEFFERSON CTY</t>
  </si>
  <si>
    <t>37760-4212</t>
  </si>
  <si>
    <t>H8060A0064</t>
  </si>
  <si>
    <t>RIQUELME TINA TOWNSEND</t>
  </si>
  <si>
    <t>113 COVINGTON DR</t>
  </si>
  <si>
    <t>K8090A0004</t>
  </si>
  <si>
    <t>ASHBY ANDY ALLEN CO-TRUSTEE</t>
  </si>
  <si>
    <t>ASHBY STEPHANIE B CO-TRUSTEE</t>
  </si>
  <si>
    <t>145 CARTERS RIDGE RD</t>
  </si>
  <si>
    <t>N5010D0020</t>
  </si>
  <si>
    <t>MCDANIEL APRIL RENEE</t>
  </si>
  <si>
    <t>MCDANIEL KANDISE D</t>
  </si>
  <si>
    <t>2935 US HIGHWAY 601 S</t>
  </si>
  <si>
    <t>I6160A0005</t>
  </si>
  <si>
    <t>RAFFLES LAURIE R</t>
  </si>
  <si>
    <t>148 LINDA LN</t>
  </si>
  <si>
    <t>C7050A0003</t>
  </si>
  <si>
    <t>LARGENT MARC ROBERT</t>
  </si>
  <si>
    <t>LARGENT SUSAN WILLIAMS</t>
  </si>
  <si>
    <t>233 YADKIN VALLEY RD</t>
  </si>
  <si>
    <t>27006-8701</t>
  </si>
  <si>
    <t>C8030C0005</t>
  </si>
  <si>
    <t>TURNER MIRIAM</t>
  </si>
  <si>
    <t>107 OAK WIND DR UNIT 202</t>
  </si>
  <si>
    <t>27006-6792</t>
  </si>
  <si>
    <t>J5050A001101</t>
  </si>
  <si>
    <t>TRIPLE J FAMILY FARM LLC</t>
  </si>
  <si>
    <t>J500000027</t>
  </si>
  <si>
    <t>J50000003901</t>
  </si>
  <si>
    <t>J50000003209</t>
  </si>
  <si>
    <t>J50000002704</t>
  </si>
  <si>
    <t>C300000093</t>
  </si>
  <si>
    <t>BELL DOROTHY ANNA</t>
  </si>
  <si>
    <t>161 FOSTALL DR</t>
  </si>
  <si>
    <t>K50000007802</t>
  </si>
  <si>
    <t>HELLARD RONNIE DEAN</t>
  </si>
  <si>
    <t>HELLARD ELISSA GAIL</t>
  </si>
  <si>
    <t>455 WILL BOONE RD</t>
  </si>
  <si>
    <t>27028-5484</t>
  </si>
  <si>
    <t>C20000000304</t>
  </si>
  <si>
    <t>MASENCUP JEB P</t>
  </si>
  <si>
    <t>1111 BEAR CREEK CHURCH RD</t>
  </si>
  <si>
    <t>I5040A0015</t>
  </si>
  <si>
    <t>VM PRONTO LLC</t>
  </si>
  <si>
    <t>H4130A0090</t>
  </si>
  <si>
    <t>D9010D0004</t>
  </si>
  <si>
    <t>HOLCOMB MANUEL DEAN</t>
  </si>
  <si>
    <t>HOLCOMB LINDA E</t>
  </si>
  <si>
    <t>190 HAMILTON CT</t>
  </si>
  <si>
    <t>G8140A0082</t>
  </si>
  <si>
    <t>COLAMARINO BRET REED</t>
  </si>
  <si>
    <t>COLAMARINO MARIA BAILEY</t>
  </si>
  <si>
    <t>178 OLD HOMEPLACE DR</t>
  </si>
  <si>
    <t>J7120A0030</t>
  </si>
  <si>
    <t>HUDGINS JOSEPH R</t>
  </si>
  <si>
    <t>3080 US HIGHWAY 64 E</t>
  </si>
  <si>
    <t>E40000001101</t>
  </si>
  <si>
    <t>TURNER REBECCA</t>
  </si>
  <si>
    <t>TURNER DAVID</t>
  </si>
  <si>
    <t>118 EATONS CHURCH RD</t>
  </si>
  <si>
    <t>27028-4732</t>
  </si>
  <si>
    <t>F8030A0012</t>
  </si>
  <si>
    <t>BEYER TODD B TRUSTEE</t>
  </si>
  <si>
    <t>BEYER YVONNE W TRUSTEE</t>
  </si>
  <si>
    <t>193 ESSEX FARM RD</t>
  </si>
  <si>
    <t>E50000001412</t>
  </si>
  <si>
    <t>MCCLANNON AUSTIN G</t>
  </si>
  <si>
    <t>MCCLANNON MACKENZIE D</t>
  </si>
  <si>
    <t>1099 FARMINGTON RD</t>
  </si>
  <si>
    <t>C700000154</t>
  </si>
  <si>
    <t>WILSON BRANDON MICHAEL</t>
  </si>
  <si>
    <t>ROBERSON TAMERA FAYE</t>
  </si>
  <si>
    <t>119 MATTS PL</t>
  </si>
  <si>
    <t>I10000003101</t>
  </si>
  <si>
    <t>CLINARD CYNTHIA S</t>
  </si>
  <si>
    <t>CLINARD WESLEY</t>
  </si>
  <si>
    <t>2328 DAVIE ACADEMY RD</t>
  </si>
  <si>
    <t>27028-8211</t>
  </si>
  <si>
    <t>I80000001301</t>
  </si>
  <si>
    <t>HARDIN CHARLOTTE MARIE</t>
  </si>
  <si>
    <t>HAMMER SANDRA MARSHALL ETAL</t>
  </si>
  <si>
    <t>429 LIVENGOOD RD</t>
  </si>
  <si>
    <t>M4120A0023</t>
  </si>
  <si>
    <t>SALAS EVODIO PEREZ</t>
  </si>
  <si>
    <t>978 GLADSTONE RD</t>
  </si>
  <si>
    <t>L700000016</t>
  </si>
  <si>
    <t>HAMILTON TERRI COOKE</t>
  </si>
  <si>
    <t>164 DOGTROT RD</t>
  </si>
  <si>
    <t>27028-5157</t>
  </si>
  <si>
    <t>K3130B0009</t>
  </si>
  <si>
    <t>TAYLOR CATHRYN K</t>
  </si>
  <si>
    <t>518 JUNCTION RD</t>
  </si>
  <si>
    <t>H60000007101</t>
  </si>
  <si>
    <t>ZAKAMAREK PIOTR</t>
  </si>
  <si>
    <t>1137 CORNATZER RD</t>
  </si>
  <si>
    <t>H2050B0001</t>
  </si>
  <si>
    <t>ANICETO BREANA M</t>
  </si>
  <si>
    <t>125 CENTER CIR</t>
  </si>
  <si>
    <t>K5040A0001</t>
  </si>
  <si>
    <t>HENSON JEREMY</t>
  </si>
  <si>
    <t>HENSON REBECCA M</t>
  </si>
  <si>
    <t>718 DEADMON RD</t>
  </si>
  <si>
    <t>F400000019</t>
  </si>
  <si>
    <t>LEDBETTER TRACI MARIE</t>
  </si>
  <si>
    <t>847 CANA RD</t>
  </si>
  <si>
    <t>27028-5706</t>
  </si>
  <si>
    <t>F40000002001</t>
  </si>
  <si>
    <t>F40000001904</t>
  </si>
  <si>
    <t>F40000001905</t>
  </si>
  <si>
    <t>M5030A0008</t>
  </si>
  <si>
    <t>STONE BY LYNCH LLC</t>
  </si>
  <si>
    <t>134 PLANTATION DR</t>
  </si>
  <si>
    <t>28117-5820</t>
  </si>
  <si>
    <t>F30000008401</t>
  </si>
  <si>
    <t>BOLIN DIANNA</t>
  </si>
  <si>
    <t>27028-5767</t>
  </si>
  <si>
    <t>I1120A0008</t>
  </si>
  <si>
    <t>KEATON MARY AMANDA</t>
  </si>
  <si>
    <t>358 OAKLAND AVENUE</t>
  </si>
  <si>
    <t>L50000009902</t>
  </si>
  <si>
    <t>OWENS KENNETH LEE</t>
  </si>
  <si>
    <t>OWENS SCOTTIE MILLER</t>
  </si>
  <si>
    <t>312 FAIRFIELD ROAD</t>
  </si>
  <si>
    <t>L50000009903</t>
  </si>
  <si>
    <t>E100000022</t>
  </si>
  <si>
    <t>WOOTEN ROGER G</t>
  </si>
  <si>
    <t>363 TURKEY FOOT RD</t>
  </si>
  <si>
    <t>27028-5932</t>
  </si>
  <si>
    <t>I70000008206</t>
  </si>
  <si>
    <t>JONES BRANDON</t>
  </si>
  <si>
    <t>JONES STEPHANIE</t>
  </si>
  <si>
    <t>118 MILLWRIGHT CT</t>
  </si>
  <si>
    <t>F900000003</t>
  </si>
  <si>
    <t>HARTMAN JACOB ELI</t>
  </si>
  <si>
    <t>HARTMAN ALISON PAGE</t>
  </si>
  <si>
    <t>720 UNDERPASS RD</t>
  </si>
  <si>
    <t>F90000000314</t>
  </si>
  <si>
    <t>F90000000315</t>
  </si>
  <si>
    <t>F900000006</t>
  </si>
  <si>
    <t>E60000007502</t>
  </si>
  <si>
    <t>HORVATH MARK JR</t>
  </si>
  <si>
    <t>HORVATH FELICIA</t>
  </si>
  <si>
    <t>4032 US HWY 158</t>
  </si>
  <si>
    <t>E7130A0006</t>
  </si>
  <si>
    <t>KOEVAL KARL R</t>
  </si>
  <si>
    <t>KOEVAL MEREDITH J</t>
  </si>
  <si>
    <t>128 SOMERSET COURT</t>
  </si>
  <si>
    <t>I6140A0018</t>
  </si>
  <si>
    <t>MINNS MICHAEL</t>
  </si>
  <si>
    <t>MINNS JACQUELINE</t>
  </si>
  <si>
    <t>417 LAKEVIEW RD</t>
  </si>
  <si>
    <t>F1030A0004</t>
  </si>
  <si>
    <t>MAHAFFEY JOSEPH E III</t>
  </si>
  <si>
    <t>126 MOLLIE RD</t>
  </si>
  <si>
    <t>K5090A0041</t>
  </si>
  <si>
    <t>JONES DONALD S JR</t>
  </si>
  <si>
    <t>193 LAKEWOOD VILLAGE RD</t>
  </si>
  <si>
    <t>G90000000602</t>
  </si>
  <si>
    <t>ULMER CAMERON KARL</t>
  </si>
  <si>
    <t>ULMER ZOIE CELIA</t>
  </si>
  <si>
    <t>1644 PEOPLES CREEK RD</t>
  </si>
  <si>
    <t>C50000005701</t>
  </si>
  <si>
    <t>CEDAR CREEK MEADOWS FARM LLC</t>
  </si>
  <si>
    <t>C300000090</t>
  </si>
  <si>
    <t>SMITH HARISON LUKE</t>
  </si>
  <si>
    <t>SMITH BRYLEE ANN</t>
  </si>
  <si>
    <t>129 FOSTALL DR</t>
  </si>
  <si>
    <t>J4050C0002</t>
  </si>
  <si>
    <t>EFINCIA COMPANIES MO LLC</t>
  </si>
  <si>
    <t>603 EASTCHESTER DR STE A</t>
  </si>
  <si>
    <t>27262-7647</t>
  </si>
  <si>
    <t>I4130E0014</t>
  </si>
  <si>
    <t>JAILHOUSE PROPERTIES LLC</t>
  </si>
  <si>
    <t>284 S MAIN ST</t>
  </si>
  <si>
    <t>27028-2427</t>
  </si>
  <si>
    <t>E200000027</t>
  </si>
  <si>
    <t>HANES WILMA BURTON SNOW ETAL</t>
  </si>
  <si>
    <t>268 BEAR CREEK CHURCH RD</t>
  </si>
  <si>
    <t>M5030A0013</t>
  </si>
  <si>
    <t>HOLLAND DYLAN WALTER</t>
  </si>
  <si>
    <t>7093 NC HIGHWAY 801 S</t>
  </si>
  <si>
    <t>J300000018</t>
  </si>
  <si>
    <t>GREENE JOHN ROGER</t>
  </si>
  <si>
    <t>4225 HORSESHOE RD N</t>
  </si>
  <si>
    <t>LITTLE RIVER</t>
  </si>
  <si>
    <t>29566-8406</t>
  </si>
  <si>
    <t>E50000003314</t>
  </si>
  <si>
    <t>CAVELLO JANICE C</t>
  </si>
  <si>
    <t>128 ROCKWELL LN</t>
  </si>
  <si>
    <t>E7140A0034</t>
  </si>
  <si>
    <t>GUERRA EDWIN M</t>
  </si>
  <si>
    <t>GUERRA MYRIAN M</t>
  </si>
  <si>
    <t>127 REDMEADOW DR</t>
  </si>
  <si>
    <t>F300000024</t>
  </si>
  <si>
    <t>SEAFORD GLENN E FAMILY TRUST</t>
  </si>
  <si>
    <t>118 SUNSET CIR</t>
  </si>
  <si>
    <t>J4040A0005</t>
  </si>
  <si>
    <t>ATLANTIC MANAGEMENT SERVICES LLC</t>
  </si>
  <si>
    <t>J5010D0023</t>
  </si>
  <si>
    <t>SCHERLACHER GERRIE W</t>
  </si>
  <si>
    <t>145 CHARLESTON RIDGE DR</t>
  </si>
  <si>
    <t>F800000098</t>
  </si>
  <si>
    <t>ALLEN ALICE ROSALIE</t>
  </si>
  <si>
    <t>1644 NC HIGHWAY 801 S</t>
  </si>
  <si>
    <t>F80000009901</t>
  </si>
  <si>
    <t>F80000009701</t>
  </si>
  <si>
    <t>J500000053</t>
  </si>
  <si>
    <t>DRAUGHN NAVA S</t>
  </si>
  <si>
    <t>466 TURRENTINE CHURCH RD</t>
  </si>
  <si>
    <t>E8020A0012</t>
  </si>
  <si>
    <t>MEDRANO FERNANDO</t>
  </si>
  <si>
    <t>MEDRANO BROOKE B</t>
  </si>
  <si>
    <t>203 RAINTREE RD</t>
  </si>
  <si>
    <t>L500000033</t>
  </si>
  <si>
    <t>WESCOTT ROBERT J JR</t>
  </si>
  <si>
    <t>WESCOTT EL VETA B</t>
  </si>
  <si>
    <t>PO BOX 9864</t>
  </si>
  <si>
    <t>PHILADELPHIA</t>
  </si>
  <si>
    <t>19140-0864</t>
  </si>
  <si>
    <t>E300000118</t>
  </si>
  <si>
    <t>TURRENTINE WILLIAM CHARLES</t>
  </si>
  <si>
    <t>119 BUENA VISTA LN</t>
  </si>
  <si>
    <t>E30000011902</t>
  </si>
  <si>
    <t>D50000004201</t>
  </si>
  <si>
    <t>SCOTT CLIFTON</t>
  </si>
  <si>
    <t>SCOTT RAMONA</t>
  </si>
  <si>
    <t>380 CEDAR CREEK RD</t>
  </si>
  <si>
    <t>27028-8946</t>
  </si>
  <si>
    <t>E8150A0009</t>
  </si>
  <si>
    <t>ORRELL BINNY RALPH II</t>
  </si>
  <si>
    <t>369 HILLCREST DR</t>
  </si>
  <si>
    <t>27006-7608</t>
  </si>
  <si>
    <t>E8150A0010</t>
  </si>
  <si>
    <t>B20000003203</t>
  </si>
  <si>
    <t>WOOD CHUCKIE DALE</t>
  </si>
  <si>
    <t>1038 MAISEY LN</t>
  </si>
  <si>
    <t>27055-6158</t>
  </si>
  <si>
    <t>L500000099</t>
  </si>
  <si>
    <t>BUCHANAN COLEMAN</t>
  </si>
  <si>
    <t>BUCHANAN ERIKA</t>
  </si>
  <si>
    <t>318 FAIRFIELD RD</t>
  </si>
  <si>
    <t>I6140A0022</t>
  </si>
  <si>
    <t>HILL SUE C</t>
  </si>
  <si>
    <t>140 NORTH LAKE LOUISE DR</t>
  </si>
  <si>
    <t>I6140A0023</t>
  </si>
  <si>
    <t>B700000037</t>
  </si>
  <si>
    <t>BUTNER CASEY RYAN</t>
  </si>
  <si>
    <t>312 JESSE KING RD</t>
  </si>
  <si>
    <t>27006-8769</t>
  </si>
  <si>
    <t>K60000001908</t>
  </si>
  <si>
    <t>MORGAN ROSE MARY COOK</t>
  </si>
  <si>
    <t>HARTFORD ROY LEE JR</t>
  </si>
  <si>
    <t>420 FRANK SHORT RD</t>
  </si>
  <si>
    <t>G8050B0023</t>
  </si>
  <si>
    <t>KELLY WILLIAM PATTERSON</t>
  </si>
  <si>
    <t>188 UNDERPASS RD</t>
  </si>
  <si>
    <t>E30000012403</t>
  </si>
  <si>
    <t>REGISTER WILMA MARIE</t>
  </si>
  <si>
    <t>I5070D0018</t>
  </si>
  <si>
    <t>DAVIS JOSEPH</t>
  </si>
  <si>
    <t>DAVIS HALEY M</t>
  </si>
  <si>
    <t>349 SPRING ST</t>
  </si>
  <si>
    <t>27028-2250</t>
  </si>
  <si>
    <t>G300000020</t>
  </si>
  <si>
    <t>GRANNAMAN KRISTOPHER</t>
  </si>
  <si>
    <t>241 GRANNAMAN DR</t>
  </si>
  <si>
    <t>K70000002003</t>
  </si>
  <si>
    <t>JONES JENNY SUE</t>
  </si>
  <si>
    <t>785 CEDAR GROVE CHURCH RD</t>
  </si>
  <si>
    <t>I50000002604</t>
  </si>
  <si>
    <t>VOCKE JUSTIN ALAN</t>
  </si>
  <si>
    <t>1163 MILLING RD</t>
  </si>
  <si>
    <t>27028-4300</t>
  </si>
  <si>
    <t>E900000346</t>
  </si>
  <si>
    <t>POLLARD DAWN M</t>
  </si>
  <si>
    <t>POLLARD CHAD M</t>
  </si>
  <si>
    <t>137 SCOTTSDALE DR</t>
  </si>
  <si>
    <t>C70000007807</t>
  </si>
  <si>
    <t>PENNINGTON JOHN T</t>
  </si>
  <si>
    <t>BURWELL BAILEY D</t>
  </si>
  <si>
    <t>138 W ROBIN DR</t>
  </si>
  <si>
    <t>E30000011601</t>
  </si>
  <si>
    <t>1201 WAGNER RD</t>
  </si>
  <si>
    <t>27028-4963</t>
  </si>
  <si>
    <t>E300000109</t>
  </si>
  <si>
    <t>B40000001401</t>
  </si>
  <si>
    <t>PERSONAL IMPROVEMENT INC</t>
  </si>
  <si>
    <t>187 FOX RUN DR</t>
  </si>
  <si>
    <t>I5080C0003</t>
  </si>
  <si>
    <t>SHOWERS BRANDON C</t>
  </si>
  <si>
    <t>SHOWERS PEGGY A</t>
  </si>
  <si>
    <t>1133 N MAIN ST</t>
  </si>
  <si>
    <t>27028-2215</t>
  </si>
  <si>
    <t>K50000009802</t>
  </si>
  <si>
    <t>LEWIS DANIELLE MARIE</t>
  </si>
  <si>
    <t>296 WALT WILSON RD</t>
  </si>
  <si>
    <t>K5030A0007</t>
  </si>
  <si>
    <t>GONZALEZ ALBANIA MARTINEZ</t>
  </si>
  <si>
    <t>226 DEACON WAY</t>
  </si>
  <si>
    <t>F7120A0001</t>
  </si>
  <si>
    <t>MILLER CODY RENO</t>
  </si>
  <si>
    <t>MILLER MORGAN WILLIAMS</t>
  </si>
  <si>
    <t>111 MONTCLAIR DR</t>
  </si>
  <si>
    <t>27006-7096</t>
  </si>
  <si>
    <t>G70000014602</t>
  </si>
  <si>
    <t>ALLEN ANGELA DAWN</t>
  </si>
  <si>
    <t>ALLEN WILLIAM ROOSEVELT</t>
  </si>
  <si>
    <t>150 CHARON LN</t>
  </si>
  <si>
    <t>27006-7003</t>
  </si>
  <si>
    <t>G50000014001</t>
  </si>
  <si>
    <t>HAMRICK WHITNEY</t>
  </si>
  <si>
    <t>HAMRICK STEPHEN</t>
  </si>
  <si>
    <t>G50000014003</t>
  </si>
  <si>
    <t>C700000021</t>
  </si>
  <si>
    <t>HAYES VIRGINIA REV LIV TRUST</t>
  </si>
  <si>
    <t>1119 NC HWY 801 N</t>
  </si>
  <si>
    <t>C700000025</t>
  </si>
  <si>
    <t>H300000073</t>
  </si>
  <si>
    <t>DAHLIA NORMAN</t>
  </si>
  <si>
    <t>DAHLIA LORI</t>
  </si>
  <si>
    <t>110 SAND CLAY LN</t>
  </si>
  <si>
    <t>N500000067</t>
  </si>
  <si>
    <t>REPRESSA JOSE</t>
  </si>
  <si>
    <t>367 PINE RIDGE RD</t>
  </si>
  <si>
    <t>D9010B0024</t>
  </si>
  <si>
    <t>EHLERS DARRYL</t>
  </si>
  <si>
    <t>143 WARWICKE PL</t>
  </si>
  <si>
    <t>C80000000127</t>
  </si>
  <si>
    <t>JONES DENEEN A</t>
  </si>
  <si>
    <t>109 LAKESIDE XING</t>
  </si>
  <si>
    <t>G9090B0038</t>
  </si>
  <si>
    <t>GETTINGS TRENT</t>
  </si>
  <si>
    <t>GETTINGS LORI</t>
  </si>
  <si>
    <t>238 S MARCH FERRY RD</t>
  </si>
  <si>
    <t>E70000005002</t>
  </si>
  <si>
    <t>HAMBY ANTHONY JAMAINE</t>
  </si>
  <si>
    <t>GAITHER SHARA MONIQUE</t>
  </si>
  <si>
    <t>449 JUNEY BEAUCHAMP RD</t>
  </si>
  <si>
    <t>G80000005702</t>
  </si>
  <si>
    <t>SUMMER HILL FARM HOA INC</t>
  </si>
  <si>
    <t>H80000003601</t>
  </si>
  <si>
    <t>PMA I HOLDINGS LLC</t>
  </si>
  <si>
    <t>PO BOX 5323</t>
  </si>
  <si>
    <t>27113-5323</t>
  </si>
  <si>
    <t>G500000151</t>
  </si>
  <si>
    <t>TRUONG ANHTUAN N</t>
  </si>
  <si>
    <t>HO TUYEN M</t>
  </si>
  <si>
    <t>114 LONG MEADOW RD</t>
  </si>
  <si>
    <t>D500000034</t>
  </si>
  <si>
    <t>TALLEY DONALD FRANK</t>
  </si>
  <si>
    <t>TALLEY LINDA ROBERTSON</t>
  </si>
  <si>
    <t>458 CEDAR CREEK RD</t>
  </si>
  <si>
    <t>D500000035</t>
  </si>
  <si>
    <t>I60000007902</t>
  </si>
  <si>
    <t>BLANTON MICHAEL BRENT</t>
  </si>
  <si>
    <t>BLANTON SHERRI</t>
  </si>
  <si>
    <t>441 JOHN CROTTS RD</t>
  </si>
  <si>
    <t>27028-7303</t>
  </si>
  <si>
    <t>D700000216</t>
  </si>
  <si>
    <t>MARTIN RE ENTERPRISES LLC</t>
  </si>
  <si>
    <t>5190 US HIGHWAY 158</t>
  </si>
  <si>
    <t>TELLER</t>
  </si>
  <si>
    <t>G70000013901</t>
  </si>
  <si>
    <t>HUMAN LUCINDA MCIVER</t>
  </si>
  <si>
    <t>258 BRIDLE LN</t>
  </si>
  <si>
    <t>F3130A0033</t>
  </si>
  <si>
    <t>KRONNER PATRICK E TRUST</t>
  </si>
  <si>
    <t>197 PEPPERSTONE DR</t>
  </si>
  <si>
    <t>I5160B0035</t>
  </si>
  <si>
    <t>KNAPP JOETTA L</t>
  </si>
  <si>
    <t>249 CHERRY ST</t>
  </si>
  <si>
    <t>27028-2205</t>
  </si>
  <si>
    <t>L30000001802</t>
  </si>
  <si>
    <t>CORRELL HOWARD L JR</t>
  </si>
  <si>
    <t>CORRELL TERESA S</t>
  </si>
  <si>
    <t>607 RATLEDGE RD</t>
  </si>
  <si>
    <t>C300000043</t>
  </si>
  <si>
    <t>ELLIS EUGENE</t>
  </si>
  <si>
    <t>M5030A000701</t>
  </si>
  <si>
    <t>SPILLMAN ROGER P</t>
  </si>
  <si>
    <t>F3130A001101</t>
  </si>
  <si>
    <t>HORN CLAUDE MORRIS</t>
  </si>
  <si>
    <t>HORN HENRY COOPER</t>
  </si>
  <si>
    <t>H500000007</t>
  </si>
  <si>
    <t>E9150B0062</t>
  </si>
  <si>
    <t>STOWE ROBERT P</t>
  </si>
  <si>
    <t>STOWE MAY ANNE NORCROSS</t>
  </si>
  <si>
    <t>264 SYCAMORE RIDGE DR</t>
  </si>
  <si>
    <t>C700000022</t>
  </si>
  <si>
    <t>F20000002304</t>
  </si>
  <si>
    <t>277 TALL TIMBERS DR</t>
  </si>
  <si>
    <t>K5070B0016</t>
  </si>
  <si>
    <t>YORK AARON R IV</t>
  </si>
  <si>
    <t>184 SALISBURY ST</t>
  </si>
  <si>
    <t>K500000016</t>
  </si>
  <si>
    <t>YORK AARON RANSOM IV</t>
  </si>
  <si>
    <t>N50000000704</t>
  </si>
  <si>
    <t>YORK ANITA</t>
  </si>
  <si>
    <t>N50000000703</t>
  </si>
  <si>
    <t>N50000000702</t>
  </si>
  <si>
    <t>G300000088</t>
  </si>
  <si>
    <t>STAG NC HOLDING LP</t>
  </si>
  <si>
    <t>% STAG INDUSTRIAL MGMT LLC</t>
  </si>
  <si>
    <t>171 ENTERPRISE WAY</t>
  </si>
  <si>
    <t>27028-4416</t>
  </si>
  <si>
    <t>F200000027</t>
  </si>
  <si>
    <t>D9050C0037</t>
  </si>
  <si>
    <t>EDWARDS STEVEN A TRUSTEE</t>
  </si>
  <si>
    <t>ATWOOD &amp; MARILYN EDWARDS TRUST</t>
  </si>
  <si>
    <t>14 JORDAN DRIVE</t>
  </si>
  <si>
    <t>PITTSBORO</t>
  </si>
  <si>
    <t>27312-0000</t>
  </si>
  <si>
    <t>I4120C0004</t>
  </si>
  <si>
    <t>DWIGGINS MICHAEL LEE JR</t>
  </si>
  <si>
    <t>714 GARNER ST</t>
  </si>
  <si>
    <t>27028-2044</t>
  </si>
  <si>
    <t>F80000002207</t>
  </si>
  <si>
    <t>GREINER ELLWOOD K JR</t>
  </si>
  <si>
    <t>GREINER MICHELE J</t>
  </si>
  <si>
    <t>169 LANTERN DR</t>
  </si>
  <si>
    <t>E40000004207</t>
  </si>
  <si>
    <t>SMITH MATTHEW RYAN</t>
  </si>
  <si>
    <t>SMITH JENNY B</t>
  </si>
  <si>
    <t>145 CECIL LN</t>
  </si>
  <si>
    <t>27028-9202</t>
  </si>
  <si>
    <t>E40000004205</t>
  </si>
  <si>
    <t>E20000001502</t>
  </si>
  <si>
    <t>I70000008209</t>
  </si>
  <si>
    <t>JAMES MATTHEW</t>
  </si>
  <si>
    <t>JAMES HEATHER</t>
  </si>
  <si>
    <t>379 FORK BIXBY RD</t>
  </si>
  <si>
    <t>D30000003606</t>
  </si>
  <si>
    <t>WIGGS RUSSELL</t>
  </si>
  <si>
    <t>WIGGS LISA</t>
  </si>
  <si>
    <t>231 MACY LANGSTON LN</t>
  </si>
  <si>
    <t>27028-6228</t>
  </si>
  <si>
    <t>G60000000302</t>
  </si>
  <si>
    <t>TYLER MARSHALL E</t>
  </si>
  <si>
    <t>305 FOSTER DAIRY ROAD</t>
  </si>
  <si>
    <t>D8060B0013</t>
  </si>
  <si>
    <t>SHELTON FRANCES A</t>
  </si>
  <si>
    <t>106 BENT ST</t>
  </si>
  <si>
    <t>E70000005703</t>
  </si>
  <si>
    <t>TUTTLE JOSEPHINE C</t>
  </si>
  <si>
    <t>576 JUNEY BEAUCHAMP ROAD</t>
  </si>
  <si>
    <t>L80000002302</t>
  </si>
  <si>
    <t>BURGESS LONNIE PAUL</t>
  </si>
  <si>
    <t>193 BURGESS TRAIL</t>
  </si>
  <si>
    <t>L5020B0020</t>
  </si>
  <si>
    <t>CARDONA LINDA J</t>
  </si>
  <si>
    <t>SHERIDAN CARROL DIANNE</t>
  </si>
  <si>
    <t>135 BUNKER WAY</t>
  </si>
  <si>
    <t>I5050C0022</t>
  </si>
  <si>
    <t>MCH SFR NC OWNER 2 LP</t>
  </si>
  <si>
    <t>C8010A0079</t>
  </si>
  <si>
    <t>F8020B0039</t>
  </si>
  <si>
    <t>WESTERGAARD SANDRA LEE</t>
  </si>
  <si>
    <t>WESTERGAARD RODNEY KENT</t>
  </si>
  <si>
    <t>135 N HIGH FIELD RD</t>
  </si>
  <si>
    <t>E500000028</t>
  </si>
  <si>
    <t>842 FARMINGTON RD</t>
  </si>
  <si>
    <t>D8100B0023</t>
  </si>
  <si>
    <t>SUNRIDGE VILLAGE PROPERTIES LLC</t>
  </si>
  <si>
    <t>2550 PASEO VERDE PKWY STE 100</t>
  </si>
  <si>
    <t>HENDERSON</t>
  </si>
  <si>
    <t>89074-7129</t>
  </si>
  <si>
    <t>L5020B0021</t>
  </si>
  <si>
    <t>G60000011303</t>
  </si>
  <si>
    <t>DUNCAN SHARON</t>
  </si>
  <si>
    <t>146 HEPLER RD</t>
  </si>
  <si>
    <t>H200000023</t>
  </si>
  <si>
    <t>STARNES DARYL</t>
  </si>
  <si>
    <t>361 FRED LANIER RD</t>
  </si>
  <si>
    <t>G600000025</t>
  </si>
  <si>
    <t>FOSTER STEVEN LEE</t>
  </si>
  <si>
    <t>FOSTER PAMELA DAWN</t>
  </si>
  <si>
    <t>481 DULIN RD</t>
  </si>
  <si>
    <t>K50000004301</t>
  </si>
  <si>
    <t>LONG JOSEPH A</t>
  </si>
  <si>
    <t>633 DEADMON RD</t>
  </si>
  <si>
    <t>K500000047</t>
  </si>
  <si>
    <t>I200000029</t>
  </si>
  <si>
    <t>HENDRIX ROBERT C</t>
  </si>
  <si>
    <t>HENDRIX MARY P</t>
  </si>
  <si>
    <t>I4130G0015</t>
  </si>
  <si>
    <t>AARONS HOLDINGS LLC</t>
  </si>
  <si>
    <t>C8020A0003</t>
  </si>
  <si>
    <t>ALLEGACY FEDERAL CREDIT UNION</t>
  </si>
  <si>
    <t>1691 WESTBROOK PLAZA DRIVE</t>
  </si>
  <si>
    <t>N500000060</t>
  </si>
  <si>
    <t>M4130B0023</t>
  </si>
  <si>
    <t>M4130A0050</t>
  </si>
  <si>
    <t>M4130B0024</t>
  </si>
  <si>
    <t>M5100A0015</t>
  </si>
  <si>
    <t>J6050D0010</t>
  </si>
  <si>
    <t>FALIN CARL E</t>
  </si>
  <si>
    <t>139 PINE VALLEY RD</t>
  </si>
  <si>
    <t>J6050D001001</t>
  </si>
  <si>
    <t>N5010B0031</t>
  </si>
  <si>
    <t>REYES RENE ALBERTO</t>
  </si>
  <si>
    <t>REYES MARLENE D</t>
  </si>
  <si>
    <t>PO BOX 323</t>
  </si>
  <si>
    <t>I30000006101</t>
  </si>
  <si>
    <t>HERNANDEZ DIANA</t>
  </si>
  <si>
    <t>1570 US HIGHWAY 64 W</t>
  </si>
  <si>
    <t>27028-8433</t>
  </si>
  <si>
    <t>C8030A001504</t>
  </si>
  <si>
    <t>ALLEN SHERRY B</t>
  </si>
  <si>
    <t>127 PINEWOOD LN UNIT 104</t>
  </si>
  <si>
    <t>J5010D0100</t>
  </si>
  <si>
    <t>B500000081</t>
  </si>
  <si>
    <t>HEGE H CURT SR</t>
  </si>
  <si>
    <t>PO BOX 25327</t>
  </si>
  <si>
    <t>E80000010801</t>
  </si>
  <si>
    <t>KNOX GETTYS HAYWOOD</t>
  </si>
  <si>
    <t>KNOX TAMMY DUNCAN</t>
  </si>
  <si>
    <t>564 OAK VALLEY BLVD</t>
  </si>
  <si>
    <t>E80000001211</t>
  </si>
  <si>
    <t>N5010C006503</t>
  </si>
  <si>
    <t>J5170A0020</t>
  </si>
  <si>
    <t>VASICA ANDREJ</t>
  </si>
  <si>
    <t>VASICA EVA</t>
  </si>
  <si>
    <t>184 MARBROOK DR</t>
  </si>
  <si>
    <t>E8070A0026</t>
  </si>
  <si>
    <t>LOWISH MICHAEL D</t>
  </si>
  <si>
    <t>148 JACKSON DR</t>
  </si>
  <si>
    <t>B40000001601</t>
  </si>
  <si>
    <t>MCKOWN JENNIFER L</t>
  </si>
  <si>
    <t>243 BONKIN LAKE RD</t>
  </si>
  <si>
    <t>E60000005601</t>
  </si>
  <si>
    <t>LEONARD JOSEPH G</t>
  </si>
  <si>
    <t>JOHNSON-LEONARD CANDICE D</t>
  </si>
  <si>
    <t>137 WINDRUSH LN</t>
  </si>
  <si>
    <t>27006-6825</t>
  </si>
  <si>
    <t>I5170B0121</t>
  </si>
  <si>
    <t>CORMIER BRIAN T TRUSTEE</t>
  </si>
  <si>
    <t>BRIAN T CORMIER REV TRUST UTD</t>
  </si>
  <si>
    <t>121 W BRICK WALK CT</t>
  </si>
  <si>
    <t>J5090A0002</t>
  </si>
  <si>
    <t>LAGLE PROPERTIES LLC</t>
  </si>
  <si>
    <t>207 DULIN RD</t>
  </si>
  <si>
    <t>D80000000608</t>
  </si>
  <si>
    <t>STOR ADVNC COMMERCE LLC</t>
  </si>
  <si>
    <t>2033 MONROE DR NE STE B</t>
  </si>
  <si>
    <t>30324-4830</t>
  </si>
  <si>
    <t>D80000000603</t>
  </si>
  <si>
    <t>E500000029</t>
  </si>
  <si>
    <t>ORTIZ CHARLES M JR IRREV TRUST</t>
  </si>
  <si>
    <t>HUTCHISON CHERYL L TRUSTEE</t>
  </si>
  <si>
    <t>900 FARMINGTON RD</t>
  </si>
  <si>
    <t>E50000003005</t>
  </si>
  <si>
    <t>E50000003004</t>
  </si>
  <si>
    <t>C8010A0022</t>
  </si>
  <si>
    <t>BOLLES SHARON G</t>
  </si>
  <si>
    <t>215 BRIDGEWATER DR</t>
  </si>
  <si>
    <t>I5060A0002</t>
  </si>
  <si>
    <t>JENNINGS JULA G</t>
  </si>
  <si>
    <t>PEARCY SAMUEL JOSEPH</t>
  </si>
  <si>
    <t>203 ROLLING HILLS LN</t>
  </si>
  <si>
    <t>G3020A0010</t>
  </si>
  <si>
    <t>ANTHONY AARON N</t>
  </si>
  <si>
    <t>ANTHONY LEAH L</t>
  </si>
  <si>
    <t>290 WHITE DOVE WAY</t>
  </si>
  <si>
    <t>F800000078</t>
  </si>
  <si>
    <t>PITT ALICIA S</t>
  </si>
  <si>
    <t>PITT ANDREW</t>
  </si>
  <si>
    <t>1425 NC HIGHWAY 801 S</t>
  </si>
  <si>
    <t>D9050C0028</t>
  </si>
  <si>
    <t>MCCREARY BOBBY JOE TRUSTEE</t>
  </si>
  <si>
    <t>BOBBY JOE MCCREARY REV TRUST</t>
  </si>
  <si>
    <t>2315 BERMUDA VLG</t>
  </si>
  <si>
    <t>G8140A0068</t>
  </si>
  <si>
    <t>DENNY CAMERON WADE</t>
  </si>
  <si>
    <t>DENNY RACHEL ANNE</t>
  </si>
  <si>
    <t>143 SPRUCEWOOD CT</t>
  </si>
  <si>
    <t>G30000003301</t>
  </si>
  <si>
    <t>KINGZ PROPERTIES LLC</t>
  </si>
  <si>
    <t>B500000027</t>
  </si>
  <si>
    <t>FATTALEH JOHN</t>
  </si>
  <si>
    <t>FATTALEH STEPHANIE</t>
  </si>
  <si>
    <t>231 BEAR WOODS TRL</t>
  </si>
  <si>
    <t>27028-6292</t>
  </si>
  <si>
    <t>B50000002703</t>
  </si>
  <si>
    <t>D9050A0001</t>
  </si>
  <si>
    <t>ELAM STEVE</t>
  </si>
  <si>
    <t>ELAM MARY B</t>
  </si>
  <si>
    <t>3116 BERMUDA VLG</t>
  </si>
  <si>
    <t>L60000002401</t>
  </si>
  <si>
    <t>WHITE KATHRYN ANTONY</t>
  </si>
  <si>
    <t>WHITE ZACHARY RODGERS</t>
  </si>
  <si>
    <t>1680 DEADMON RD</t>
  </si>
  <si>
    <t>27028-5154</t>
  </si>
  <si>
    <t>K70000002502</t>
  </si>
  <si>
    <t>MARTIN DAVID</t>
  </si>
  <si>
    <t>MARTIN CHRISTINE CAMPBELL</t>
  </si>
  <si>
    <t>640 CEDAR GROVE CHURCH RD</t>
  </si>
  <si>
    <t>G10000002601</t>
  </si>
  <si>
    <t>CLARK B D</t>
  </si>
  <si>
    <t>195 COOPER CREEK DR STE 101-789</t>
  </si>
  <si>
    <t>H2050A0007</t>
  </si>
  <si>
    <t>JIMENEZ JEFF JAQUEZ</t>
  </si>
  <si>
    <t>142 CENTER CIR</t>
  </si>
  <si>
    <t>K3120A0004</t>
  </si>
  <si>
    <t>STROUSE SEAN</t>
  </si>
  <si>
    <t>STROUSE DANIELLE</t>
  </si>
  <si>
    <t>385 JUNCTION RD</t>
  </si>
  <si>
    <t>D8080B0010</t>
  </si>
  <si>
    <t>RESTAURANT PROPERTY INVESTORS II LLC</t>
  </si>
  <si>
    <t>% CHARTER CENTRAL</t>
  </si>
  <si>
    <t>PO BOX 430</t>
  </si>
  <si>
    <t>TALBOTT</t>
  </si>
  <si>
    <t>O60000005907</t>
  </si>
  <si>
    <t>PARKER LYMAN C</t>
  </si>
  <si>
    <t>PARKER RETHER V CLARK</t>
  </si>
  <si>
    <t>% TONY CLARK</t>
  </si>
  <si>
    <t>1565 UNDERPASS RD</t>
  </si>
  <si>
    <t>O600000056</t>
  </si>
  <si>
    <t>E700000164</t>
  </si>
  <si>
    <t>PICA DALIA</t>
  </si>
  <si>
    <t>PICA JAMES RICHARD</t>
  </si>
  <si>
    <t>169 GUN CLUB RD</t>
  </si>
  <si>
    <t>27006-7846</t>
  </si>
  <si>
    <t>N60000007712</t>
  </si>
  <si>
    <t>305 SINGLETON RD</t>
  </si>
  <si>
    <t>F7060A0001</t>
  </si>
  <si>
    <t>AUSTIN LAURA PAIGE</t>
  </si>
  <si>
    <t>109 QUAIL HOLLOW RD</t>
  </si>
  <si>
    <t>D9050B0028</t>
  </si>
  <si>
    <t>PEARSON RAYMOND EGLINGTON</t>
  </si>
  <si>
    <t>PEARSON CAROL LYNETTE</t>
  </si>
  <si>
    <t>2115 BERMUDA VLG</t>
  </si>
  <si>
    <t>J4040D0009</t>
  </si>
  <si>
    <t>BOARDWINE CHRISTOPHER MICHAEL</t>
  </si>
  <si>
    <t>111 E MAPLE AVE</t>
  </si>
  <si>
    <t>J4060D0048</t>
  </si>
  <si>
    <t>CHAPMAN HEATHER N</t>
  </si>
  <si>
    <t>169 BEECHWOOD DR</t>
  </si>
  <si>
    <t>27028-2906</t>
  </si>
  <si>
    <t>J4060D0038</t>
  </si>
  <si>
    <t>D9090E0002</t>
  </si>
  <si>
    <t>AVERILL DAVID B</t>
  </si>
  <si>
    <t>AVERILL GAYLE M</t>
  </si>
  <si>
    <t>224 OLEANDER DR</t>
  </si>
  <si>
    <t>J4040F0012</t>
  </si>
  <si>
    <t>COLEMAN GENE ARTHUR JR</t>
  </si>
  <si>
    <t>170 W MAPLE AVE</t>
  </si>
  <si>
    <t>G30000008417</t>
  </si>
  <si>
    <t>NC DEVELOPMENT STRATEGIES II LLC</t>
  </si>
  <si>
    <t>1311 WOODLAND STREET</t>
  </si>
  <si>
    <t>NASHVILLE</t>
  </si>
  <si>
    <t>M5100C002201</t>
  </si>
  <si>
    <t>DODD JACK AARON LEE</t>
  </si>
  <si>
    <t>PO BOX 242</t>
  </si>
  <si>
    <t>27014-0242</t>
  </si>
  <si>
    <t>M5100C0019</t>
  </si>
  <si>
    <t>M5100C0020</t>
  </si>
  <si>
    <t>M5100C0018</t>
  </si>
  <si>
    <t>M5100C0021</t>
  </si>
  <si>
    <t>D20000002001</t>
  </si>
  <si>
    <t>HILL JOSHUA SAMUEL</t>
  </si>
  <si>
    <t>466 BEAR CREEK CHURCH RD</t>
  </si>
  <si>
    <t>J5010D0026</t>
  </si>
  <si>
    <t>NICOL GARTH</t>
  </si>
  <si>
    <t>121 CHARLESTON RIDGE DR</t>
  </si>
  <si>
    <t>J20000002105</t>
  </si>
  <si>
    <t>SMITH HOUSTON WARREN</t>
  </si>
  <si>
    <t>312 STAGE COACH RD</t>
  </si>
  <si>
    <t>D7030B0024</t>
  </si>
  <si>
    <t>KOONTZ JACOB BAITY</t>
  </si>
  <si>
    <t>PHILLIPS KELSEY ANN</t>
  </si>
  <si>
    <t>529 GORDON DR</t>
  </si>
  <si>
    <t>F80000002236</t>
  </si>
  <si>
    <t>BURRUS WILLIAM R</t>
  </si>
  <si>
    <t>BURRUS APRIL D</t>
  </si>
  <si>
    <t>117 LANTERN DR</t>
  </si>
  <si>
    <t>I5020B0001</t>
  </si>
  <si>
    <t>MCCLAMROCK LARRY</t>
  </si>
  <si>
    <t>5311 WESTERN BLVD</t>
  </si>
  <si>
    <t>27606-1643</t>
  </si>
  <si>
    <t>F600000037  A</t>
  </si>
  <si>
    <t>BARNHARDT LARRY J</t>
  </si>
  <si>
    <t>BARNHARDT NICHOLAS JAMES</t>
  </si>
  <si>
    <t>429 PINEBROOK SCHOOL RD</t>
  </si>
  <si>
    <t>E9150B0099</t>
  </si>
  <si>
    <t>TAQUEY ANTHONY</t>
  </si>
  <si>
    <t>TAQUEY KAREN A</t>
  </si>
  <si>
    <t>311 ORCHARD PARK DR</t>
  </si>
  <si>
    <t>E60000002504</t>
  </si>
  <si>
    <t>WHITE COREY T</t>
  </si>
  <si>
    <t>WHITE STACEY C</t>
  </si>
  <si>
    <t>147 AUBURN HILL LN</t>
  </si>
  <si>
    <t>D9090B0017</t>
  </si>
  <si>
    <t>STROM GARY WADE</t>
  </si>
  <si>
    <t>STROM SARA SOUTO</t>
  </si>
  <si>
    <t>209 OLEANDER DR</t>
  </si>
  <si>
    <t>C70000007806</t>
  </si>
  <si>
    <t>FREEMAN HEATHER B</t>
  </si>
  <si>
    <t>144 W ROBIN DR</t>
  </si>
  <si>
    <t>D9010A0021</t>
  </si>
  <si>
    <t>ROSE LUCAS RAYMOND</t>
  </si>
  <si>
    <t>154 PEMBROOKE RIDGE CT</t>
  </si>
  <si>
    <t>E70000012601</t>
  </si>
  <si>
    <t>OVERBY BRITTNEY MAREIA</t>
  </si>
  <si>
    <t>HEIMANN JOSHUA DAVID</t>
  </si>
  <si>
    <t>161 ROBBIE LN</t>
  </si>
  <si>
    <t>27006-7981</t>
  </si>
  <si>
    <t>H4130A0055</t>
  </si>
  <si>
    <t>NEW RESIDENTIAL BORROWER 2022-SFR1 LLC</t>
  </si>
  <si>
    <t>2350 POINTE PKWY STE 250</t>
  </si>
  <si>
    <t>CARMEL</t>
  </si>
  <si>
    <t>C700000044</t>
  </si>
  <si>
    <t>ESSIC DAVID NEAL SR</t>
  </si>
  <si>
    <t>284 ROCK HOUSE RD</t>
  </si>
  <si>
    <t>I90000001401</t>
  </si>
  <si>
    <t>CRAVEN DUSTIN</t>
  </si>
  <si>
    <t>571 BURTON RD</t>
  </si>
  <si>
    <t>L200000004</t>
  </si>
  <si>
    <t>ZIMMERMAN JARIAN PAYTON</t>
  </si>
  <si>
    <t>173 RIDGE HILL CT</t>
  </si>
  <si>
    <t>27295-6408</t>
  </si>
  <si>
    <t>C7140C0018</t>
  </si>
  <si>
    <t>PHILLIPS WESLEY TAYLOR</t>
  </si>
  <si>
    <t>PHILLIPS KRYSTAL MARIE</t>
  </si>
  <si>
    <t>133 FOREST DR</t>
  </si>
  <si>
    <t>27006-9454</t>
  </si>
  <si>
    <t>D7080A0001</t>
  </si>
  <si>
    <t>HAYES CHRISTOPHER LEONARD</t>
  </si>
  <si>
    <t>184 BETHLEHEM DR</t>
  </si>
  <si>
    <t>G30000003302</t>
  </si>
  <si>
    <t>H8060A0032</t>
  </si>
  <si>
    <t>ABERNETHY MARCUS R</t>
  </si>
  <si>
    <t>ABERNETHY BARBARA MELINDA H</t>
  </si>
  <si>
    <t>167 S HEMINGWAY CT</t>
  </si>
  <si>
    <t>K5160B0002</t>
  </si>
  <si>
    <t>TIERRABLANCA BENIGNO LOPEZ</t>
  </si>
  <si>
    <t>GAMA DALIA GISELA DIAZ</t>
  </si>
  <si>
    <t>193 MCCULLOUGH RD</t>
  </si>
  <si>
    <t>I5060A0008</t>
  </si>
  <si>
    <t>MILES MOLLY ELIZABETH</t>
  </si>
  <si>
    <t>849 MILLING RD</t>
  </si>
  <si>
    <t>27028-2863</t>
  </si>
  <si>
    <t>D700000080</t>
  </si>
  <si>
    <t>HOWELL RONALD DEAN</t>
  </si>
  <si>
    <t>457 REDLAND RD</t>
  </si>
  <si>
    <t>J4040A0003</t>
  </si>
  <si>
    <t>EASTER ANDREA CHERIE</t>
  </si>
  <si>
    <t>355 W MAPLE AVE</t>
  </si>
  <si>
    <t>27028-2549</t>
  </si>
  <si>
    <t>E70000005204</t>
  </si>
  <si>
    <t>COX ANDREW C</t>
  </si>
  <si>
    <t>571 JUNEY BEAUCHAMP RD</t>
  </si>
  <si>
    <t>H700000097</t>
  </si>
  <si>
    <t>WENSLEY ROBERT</t>
  </si>
  <si>
    <t>WENSLEY ANDREA</t>
  </si>
  <si>
    <t>147 APACHE RD</t>
  </si>
  <si>
    <t>J50000005402</t>
  </si>
  <si>
    <t>REYNOLDS SARAH</t>
  </si>
  <si>
    <t>510 TURRENTINE CHURCH RD</t>
  </si>
  <si>
    <t>27028-5451</t>
  </si>
  <si>
    <t>E900000332</t>
  </si>
  <si>
    <t>PERRY MICHAEL ATTWOOD</t>
  </si>
  <si>
    <t>PERRY MEGHAN PAGE</t>
  </si>
  <si>
    <t>625 OAK VALLEY BLVD</t>
  </si>
  <si>
    <t>E900000185</t>
  </si>
  <si>
    <t>MANNA SEAN ANTHONY</t>
  </si>
  <si>
    <t>MANNA GENELYN PELAYO</t>
  </si>
  <si>
    <t>454 KINGSMILL DR</t>
  </si>
  <si>
    <t>K5080A0002</t>
  </si>
  <si>
    <t>SHARPE BLANCHE E</t>
  </si>
  <si>
    <t>4707 PELHAM CT</t>
  </si>
  <si>
    <t>TEMPLE HILLS</t>
  </si>
  <si>
    <t>20748-5224</t>
  </si>
  <si>
    <t>L5090B0006</t>
  </si>
  <si>
    <t>RAMIREZ ALEJANDRO ROJAS</t>
  </si>
  <si>
    <t>SERRANO JOSEFA</t>
  </si>
  <si>
    <t>255 GLADSTONE RD</t>
  </si>
  <si>
    <t>D9090B0007</t>
  </si>
  <si>
    <t>GROSSNICKLE GILLIAN MARY</t>
  </si>
  <si>
    <t>GROSSNICKLE WAYNE PRESTON</t>
  </si>
  <si>
    <t>138 OLEANDER DRIVE</t>
  </si>
  <si>
    <t>D9050B0035</t>
  </si>
  <si>
    <t>SENGER LARRY E</t>
  </si>
  <si>
    <t>SENGER LYNN G</t>
  </si>
  <si>
    <t>2130 BERMUDA VLG</t>
  </si>
  <si>
    <t>E9150A0013</t>
  </si>
  <si>
    <t>WARNER DAVID THOMAS</t>
  </si>
  <si>
    <t>WARNER KRYSTAL C</t>
  </si>
  <si>
    <t>266 HIDDEN CREEK DR</t>
  </si>
  <si>
    <t>L5100B0006</t>
  </si>
  <si>
    <t>SHEETS TAYLOR R</t>
  </si>
  <si>
    <t>2213 US HIGHWAY 601 S</t>
  </si>
  <si>
    <t>O600000039</t>
  </si>
  <si>
    <t>CARSON RICHARD A</t>
  </si>
  <si>
    <t>CARSON EZELL PATRICIA</t>
  </si>
  <si>
    <t>3997 US HIGHWAY 601 SOUTH</t>
  </si>
  <si>
    <t>27028-6923</t>
  </si>
  <si>
    <t>E900000217</t>
  </si>
  <si>
    <t>RAHMAN KHAALIS</t>
  </si>
  <si>
    <t>RAHMAN REGINA</t>
  </si>
  <si>
    <t>310 KINGSMILL DR</t>
  </si>
  <si>
    <t>E8110D0006</t>
  </si>
  <si>
    <t>DOWNING CHARLES</t>
  </si>
  <si>
    <t>DOWNING DEBBIE</t>
  </si>
  <si>
    <t>145 EASTRIDGE CT</t>
  </si>
  <si>
    <t>F800000128</t>
  </si>
  <si>
    <t>GALLIMORE MARK R</t>
  </si>
  <si>
    <t>WOLFE ALLISON NEY</t>
  </si>
  <si>
    <t>PO BOX 187</t>
  </si>
  <si>
    <t>27006-0187</t>
  </si>
  <si>
    <t>F80000013923</t>
  </si>
  <si>
    <t>TROTTIER STEVEN M</t>
  </si>
  <si>
    <t>TROTTIER ALEXANDRIA LAINE</t>
  </si>
  <si>
    <t>171 IN AND OUT LN</t>
  </si>
  <si>
    <t>F800000113</t>
  </si>
  <si>
    <t>TROTTIER ALLISON M</t>
  </si>
  <si>
    <t>173 IN AND OUT LN</t>
  </si>
  <si>
    <t>F80000013924</t>
  </si>
  <si>
    <t>K5030A0009</t>
  </si>
  <si>
    <t>LACY JIMMY KYLE</t>
  </si>
  <si>
    <t>256 DEACON WAY</t>
  </si>
  <si>
    <t>B500000091</t>
  </si>
  <si>
    <t>REID BLAKE LEE</t>
  </si>
  <si>
    <t>REID ROBIN WEST</t>
  </si>
  <si>
    <t>2510 FARMINGTON RD</t>
  </si>
  <si>
    <t>27028-6208</t>
  </si>
  <si>
    <t>O600000074</t>
  </si>
  <si>
    <t>FRYE JOSEPH H</t>
  </si>
  <si>
    <t>FRYE SHERONA</t>
  </si>
  <si>
    <t>436 RIVERDALE RD</t>
  </si>
  <si>
    <t>O600000038</t>
  </si>
  <si>
    <t>K5160B0005</t>
  </si>
  <si>
    <t>PETOVIC MARK</t>
  </si>
  <si>
    <t>PETOVIC DEBORAH</t>
  </si>
  <si>
    <t>165 MCCULLOUGH RD</t>
  </si>
  <si>
    <t>I5050D0004</t>
  </si>
  <si>
    <t>RIKER CLIFFORD GEORGE</t>
  </si>
  <si>
    <t>437 MOUNTVIEW DR</t>
  </si>
  <si>
    <t>I4130D0021</t>
  </si>
  <si>
    <t>I4130D0022</t>
  </si>
  <si>
    <t>H30000008902</t>
  </si>
  <si>
    <t>G400000040</t>
  </si>
  <si>
    <t>G40000004002</t>
  </si>
  <si>
    <t>H400000150</t>
  </si>
  <si>
    <t>H4190A0013</t>
  </si>
  <si>
    <t>I400000080</t>
  </si>
  <si>
    <t>I4050A0016</t>
  </si>
  <si>
    <t>H400000008</t>
  </si>
  <si>
    <t>I4060B0008</t>
  </si>
  <si>
    <t>F500000052</t>
  </si>
  <si>
    <t>J5010C0002</t>
  </si>
  <si>
    <t>ALVARADO RUFINA</t>
  </si>
  <si>
    <t>ALVARADO ELISA B</t>
  </si>
  <si>
    <t>J800000005</t>
  </si>
  <si>
    <t>RICHIE FRANCES MAE</t>
  </si>
  <si>
    <t>181 FULTON RD</t>
  </si>
  <si>
    <t>27006-0175</t>
  </si>
  <si>
    <t>C8010A0419</t>
  </si>
  <si>
    <t>SLAWTER JENNIFER ZOELLER</t>
  </si>
  <si>
    <t>186 PARKVIEW LN</t>
  </si>
  <si>
    <t>F30000008603</t>
  </si>
  <si>
    <t>LEWTER MELINDA ANNE CURRY</t>
  </si>
  <si>
    <t>2854 LOWER LAKE RD</t>
  </si>
  <si>
    <t>27360-0887</t>
  </si>
  <si>
    <t>M5100B0010</t>
  </si>
  <si>
    <t>BARRINGER MICHAEL WAYNE</t>
  </si>
  <si>
    <t>POTEAT AMBER NICHOLE</t>
  </si>
  <si>
    <t>217 SPRINGHILL DR</t>
  </si>
  <si>
    <t>H4130A0060</t>
  </si>
  <si>
    <t>ELLER KATIE SUE VANNOY</t>
  </si>
  <si>
    <t>148 SUMMIT DR</t>
  </si>
  <si>
    <t>D9010A0011</t>
  </si>
  <si>
    <t>SPENCER GRIMKEY RHETT IV</t>
  </si>
  <si>
    <t>SPENCER DORAINE GRIESER</t>
  </si>
  <si>
    <t>125 PEMBROOKE RIDGE CT</t>
  </si>
  <si>
    <t>K200000075</t>
  </si>
  <si>
    <t>CARTNER BETTY K ETAL</t>
  </si>
  <si>
    <t>CARTNER DAVID L</t>
  </si>
  <si>
    <t>221 GRADY LN</t>
  </si>
  <si>
    <t>K200000053</t>
  </si>
  <si>
    <t>H9070A0013</t>
  </si>
  <si>
    <t>COZART HALIE CARTNER</t>
  </si>
  <si>
    <t>COZART SAMUEL BRENT</t>
  </si>
  <si>
    <t>263 DUBLIN RD</t>
  </si>
  <si>
    <t>D7080A0038</t>
  </si>
  <si>
    <t>BUSTOS GEORGE</t>
  </si>
  <si>
    <t>VISBAL-BUSTOS DENISE</t>
  </si>
  <si>
    <t>346 LONGWOOD DR</t>
  </si>
  <si>
    <t>K20000001703</t>
  </si>
  <si>
    <t>791 RIDGE RD</t>
  </si>
  <si>
    <t>I100000028</t>
  </si>
  <si>
    <t>FOSTER JAMES R</t>
  </si>
  <si>
    <t>233 AMERICANA RD</t>
  </si>
  <si>
    <t>PALMER</t>
  </si>
  <si>
    <t>75152-9585</t>
  </si>
  <si>
    <t>I100000001</t>
  </si>
  <si>
    <t>J10000001503</t>
  </si>
  <si>
    <t>TAYLOR JOHNNY RAY</t>
  </si>
  <si>
    <t>TAYLOR CHERYL BENFIELD</t>
  </si>
  <si>
    <t>4471 US HIGHWAY 64 WEST</t>
  </si>
  <si>
    <t>D700000205</t>
  </si>
  <si>
    <t>WATSON DAVE</t>
  </si>
  <si>
    <t>195 PEMBROOKE RIDGE CT</t>
  </si>
  <si>
    <t>J6100A0035</t>
  </si>
  <si>
    <t>RAMSEY STEPHEN MARK</t>
  </si>
  <si>
    <t>RAMSEY ESTHER HALL</t>
  </si>
  <si>
    <t>177 N LAKE LOUISE DR</t>
  </si>
  <si>
    <t>K300000035</t>
  </si>
  <si>
    <t>CARSON-JONES BILLIE JEAN</t>
  </si>
  <si>
    <t>CARSON BARRY RICHMOND EUGENE</t>
  </si>
  <si>
    <t>13337 BEACHCREST DR</t>
  </si>
  <si>
    <t>CHESTERFIELD</t>
  </si>
  <si>
    <t>23832-2754</t>
  </si>
  <si>
    <t>G50000009401</t>
  </si>
  <si>
    <t>BURLESON MICHAEL DREW</t>
  </si>
  <si>
    <t>RUTHERFORD KELLY LYNN THERESE</t>
  </si>
  <si>
    <t>345 MCCLAMROCK RD</t>
  </si>
  <si>
    <t>E600000083</t>
  </si>
  <si>
    <t>BELTRAN LETICIA</t>
  </si>
  <si>
    <t>120 MANCHESTER LN</t>
  </si>
  <si>
    <t>27028-7725</t>
  </si>
  <si>
    <t>K800000005</t>
  </si>
  <si>
    <t>ROMEO JOSEPH JOHN JR</t>
  </si>
  <si>
    <t>3472 US HIGHWAY 64 E</t>
  </si>
  <si>
    <t>K5060A0015</t>
  </si>
  <si>
    <t>WOODWARD MARK</t>
  </si>
  <si>
    <t>5054 OVERLOOK DR</t>
  </si>
  <si>
    <t>CLAREMONT</t>
  </si>
  <si>
    <t>28610-8110</t>
  </si>
  <si>
    <t>N600000072</t>
  </si>
  <si>
    <t>SANDOVAL ALEJANDRO SANCHEZ</t>
  </si>
  <si>
    <t>1507 CHERRY HILL RD</t>
  </si>
  <si>
    <t>27028-6633</t>
  </si>
  <si>
    <t>K50000008104</t>
  </si>
  <si>
    <t>COOK TOMMY EARL JR</t>
  </si>
  <si>
    <t>COOK TRACIE SPENCER</t>
  </si>
  <si>
    <t>593 WILL BOONE RD</t>
  </si>
  <si>
    <t>G7070A0001</t>
  </si>
  <si>
    <t>HECHT KEVIN MICHAEL</t>
  </si>
  <si>
    <t>HECHT DESIREE SMITH</t>
  </si>
  <si>
    <t>188 BALTIMORE TRAILS LN</t>
  </si>
  <si>
    <t>27006-7991</t>
  </si>
  <si>
    <t>HECHT DESIREE  SMITH</t>
  </si>
  <si>
    <t>C700000113</t>
  </si>
  <si>
    <t>BOULOS INVESTMENTS LLC</t>
  </si>
  <si>
    <t>1200 NATIONAL DR</t>
  </si>
  <si>
    <t>27103-4628</t>
  </si>
  <si>
    <t>C700000114</t>
  </si>
  <si>
    <t>C70000011502</t>
  </si>
  <si>
    <t>C8010A0011</t>
  </si>
  <si>
    <t>BAXLEY ARLENE JEAN</t>
  </si>
  <si>
    <t>BAXLEY MELVIN GEORGE</t>
  </si>
  <si>
    <t>109 ROSEWALK LN</t>
  </si>
  <si>
    <t>B3020A0005</t>
  </si>
  <si>
    <t>JOHNSON NORA F</t>
  </si>
  <si>
    <t>5191 US HIGHWAY 601 N</t>
  </si>
  <si>
    <t>D8080D0016</t>
  </si>
  <si>
    <t>HENSLEY WILLIAM D</t>
  </si>
  <si>
    <t>HENSLEY PAULA M</t>
  </si>
  <si>
    <t>529 IVY CIR</t>
  </si>
  <si>
    <t>E800000006</t>
  </si>
  <si>
    <t>HODGES JEROME IV</t>
  </si>
  <si>
    <t>586 HILLCREST DR</t>
  </si>
  <si>
    <t>D500000043</t>
  </si>
  <si>
    <t>ROBINSON DEIDRA S</t>
  </si>
  <si>
    <t>ROBINSON TIMOTHY</t>
  </si>
  <si>
    <t>494 CEDAR CREEK RD</t>
  </si>
  <si>
    <t>C70000006703</t>
  </si>
  <si>
    <t>D7080A0037</t>
  </si>
  <si>
    <t>WARREN ERNEST RICHARD</t>
  </si>
  <si>
    <t>WARREN KAREN CHRISTENE</t>
  </si>
  <si>
    <t>342 LONGWOOD DRIVE</t>
  </si>
  <si>
    <t>K200000017</t>
  </si>
  <si>
    <t>I900000028</t>
  </si>
  <si>
    <t>BURTON WENDELL G JR</t>
  </si>
  <si>
    <t>BURTON JENSINA ELIZABETH</t>
  </si>
  <si>
    <t>E20000000401</t>
  </si>
  <si>
    <t>DYSON CARLTON B</t>
  </si>
  <si>
    <t>DYSON TINA M</t>
  </si>
  <si>
    <t>E20000000607</t>
  </si>
  <si>
    <t>E8140A0009</t>
  </si>
  <si>
    <t>WILLIAMSON CAROLYN C</t>
  </si>
  <si>
    <t>125 SPRINGFIELD DR</t>
  </si>
  <si>
    <t>E10000002201</t>
  </si>
  <si>
    <t>REEVES WADE WILBUR JR</t>
  </si>
  <si>
    <t>1531 MOCKSVILLE HWY</t>
  </si>
  <si>
    <t>28625-8211</t>
  </si>
  <si>
    <t>F80000007406</t>
  </si>
  <si>
    <t>KNUDSON DAVID A</t>
  </si>
  <si>
    <t>KNUDSON DEBRA L</t>
  </si>
  <si>
    <t>139 SADDLEBROOK DR</t>
  </si>
  <si>
    <t>D600000008</t>
  </si>
  <si>
    <t>HOLLARS JASON P</t>
  </si>
  <si>
    <t>HOLLARS LISA SHOEMAKER</t>
  </si>
  <si>
    <t>294 BOBBIT RD</t>
  </si>
  <si>
    <t>27006-6603</t>
  </si>
  <si>
    <t>I4130H0025</t>
  </si>
  <si>
    <t>I5070B0016</t>
  </si>
  <si>
    <t>EVANS SHAWN ASHLEY</t>
  </si>
  <si>
    <t>325 MILLING RD</t>
  </si>
  <si>
    <t>H50000001302</t>
  </si>
  <si>
    <t>FOSTER RONALD W SR</t>
  </si>
  <si>
    <t>1048 COUNTRY LN</t>
  </si>
  <si>
    <t>H50000001304</t>
  </si>
  <si>
    <t>C8010A0353</t>
  </si>
  <si>
    <t>MARTIN RANDALL W</t>
  </si>
  <si>
    <t>MARTIN SANDRA D</t>
  </si>
  <si>
    <t>153 KILBOURNE DR</t>
  </si>
  <si>
    <t>I90000002107</t>
  </si>
  <si>
    <t>VANDALL TIFFANY S</t>
  </si>
  <si>
    <t>424 ZIMMERMAN RD</t>
  </si>
  <si>
    <t>G8120B0005</t>
  </si>
  <si>
    <t>WATSON VIRGINIA I</t>
  </si>
  <si>
    <t>H80000003307</t>
  </si>
  <si>
    <t>STOCKNER PATTY CRYNER</t>
  </si>
  <si>
    <t>2582 NC HIGHWAY 801 S</t>
  </si>
  <si>
    <t>G800000050</t>
  </si>
  <si>
    <t>PBTP LLC</t>
  </si>
  <si>
    <t>389 RABBIT FARM TRL</t>
  </si>
  <si>
    <t>K700000021</t>
  </si>
  <si>
    <t>JONES DAVID IRREVOC TRUST</t>
  </si>
  <si>
    <t>ANDERSON MARESA JONES TRUSTEE</t>
  </si>
  <si>
    <t>691 CEDAR GROVE CHURCH RD</t>
  </si>
  <si>
    <t>J4040F000607</t>
  </si>
  <si>
    <t>HICKS JASON M</t>
  </si>
  <si>
    <t>HICKS MARIE S</t>
  </si>
  <si>
    <t>431 S MAIN ST</t>
  </si>
  <si>
    <t>H5170A0016</t>
  </si>
  <si>
    <t>BANKS KANDIS JOI</t>
  </si>
  <si>
    <t>3860 DIXIE RIDGE LN</t>
  </si>
  <si>
    <t>GRIMESLAND</t>
  </si>
  <si>
    <t>27837-9272</t>
  </si>
  <si>
    <t>J600000064</t>
  </si>
  <si>
    <t>TERPENNING ANGELA</t>
  </si>
  <si>
    <t>134 JOE RD</t>
  </si>
  <si>
    <t>H70000004605</t>
  </si>
  <si>
    <t>LONG JOHN WILLIAM</t>
  </si>
  <si>
    <t>LONG FAYE CROTTS</t>
  </si>
  <si>
    <t>1653 CORNATZER RD</t>
  </si>
  <si>
    <t>27028-7140</t>
  </si>
  <si>
    <t>G600000049</t>
  </si>
  <si>
    <t>HOWARD LYNN JONES</t>
  </si>
  <si>
    <t>203 HOWARDTOWN RD</t>
  </si>
  <si>
    <t>27028-7237</t>
  </si>
  <si>
    <t>D300000014</t>
  </si>
  <si>
    <t>ATWOOD JUSTIN A</t>
  </si>
  <si>
    <t>ATWOOD HANNAH H</t>
  </si>
  <si>
    <t>D30000001401</t>
  </si>
  <si>
    <t>K5060A0013</t>
  </si>
  <si>
    <t>RECTOR NANCY DEITZ</t>
  </si>
  <si>
    <t>RECTOR DANA NICOLE</t>
  </si>
  <si>
    <t>124 E CHINABERRY CT</t>
  </si>
  <si>
    <t>L40000003503</t>
  </si>
  <si>
    <t>DEL CARMEN NUNEZ FRANCISCA</t>
  </si>
  <si>
    <t>784 DANIEL RD</t>
  </si>
  <si>
    <t>D9020A0015</t>
  </si>
  <si>
    <t>SCOTT BLAKE KINGSLEY</t>
  </si>
  <si>
    <t>SCOTT ERIN IDOL</t>
  </si>
  <si>
    <t>488 BING CROSBY BLVD</t>
  </si>
  <si>
    <t>G80000005001</t>
  </si>
  <si>
    <t>E20000001702</t>
  </si>
  <si>
    <t>CHILDRESS PENNY S</t>
  </si>
  <si>
    <t>234 RICHIE RD</t>
  </si>
  <si>
    <t>27028-4923</t>
  </si>
  <si>
    <t>D400000021</t>
  </si>
  <si>
    <t>MCCASHIN MICHELLE G</t>
  </si>
  <si>
    <t>2070 CANA RD</t>
  </si>
  <si>
    <t>27028-4655</t>
  </si>
  <si>
    <t>B20000002202</t>
  </si>
  <si>
    <t>WEATHERMAN ARNOLD G</t>
  </si>
  <si>
    <t>WEATHERMAN ROXANNE A</t>
  </si>
  <si>
    <t>271 BELL BRANCH ROAD</t>
  </si>
  <si>
    <t>C20000002002</t>
  </si>
  <si>
    <t>C20000002001</t>
  </si>
  <si>
    <t>C200000019</t>
  </si>
  <si>
    <t>D9090D0008</t>
  </si>
  <si>
    <t>FIELDS GLORIA R</t>
  </si>
  <si>
    <t>336 HOLLYBROOK DR</t>
  </si>
  <si>
    <t>E900000299</t>
  </si>
  <si>
    <t>DOUTHIT EL MEKA</t>
  </si>
  <si>
    <t>191 SCOTTSDALE DR</t>
  </si>
  <si>
    <t>G600000021</t>
  </si>
  <si>
    <t>DEAN JEREMY</t>
  </si>
  <si>
    <t>DEAN LINDSAY</t>
  </si>
  <si>
    <t>448 DULIN RD</t>
  </si>
  <si>
    <t>E70000003102</t>
  </si>
  <si>
    <t>RICHARDSON LISA J</t>
  </si>
  <si>
    <t>199 HAWTHORNE RD</t>
  </si>
  <si>
    <t>E70000003101</t>
  </si>
  <si>
    <t>J5150D0002</t>
  </si>
  <si>
    <t>CLINE DONALD M SR</t>
  </si>
  <si>
    <t>CLINE KIMBERLY</t>
  </si>
  <si>
    <t>288 SOUTHWOOD DR</t>
  </si>
  <si>
    <t>D40000002106</t>
  </si>
  <si>
    <t>B30000004805</t>
  </si>
  <si>
    <t>LEWIS MITZI G</t>
  </si>
  <si>
    <t>351 FOUR CORNERS RD</t>
  </si>
  <si>
    <t>H4200A0011</t>
  </si>
  <si>
    <t>AUDINO JOSEPH</t>
  </si>
  <si>
    <t>AUDINO TIFFANNEY</t>
  </si>
  <si>
    <t>200 COPPERFIELD DR</t>
  </si>
  <si>
    <t>27028-4779</t>
  </si>
  <si>
    <t>I5160B0021</t>
  </si>
  <si>
    <t>508 COUNTRY LN</t>
  </si>
  <si>
    <t>27028-8661</t>
  </si>
  <si>
    <t>E70000016607</t>
  </si>
  <si>
    <t>OVERCASH JAMES KIRK</t>
  </si>
  <si>
    <t>OVERCASH TERESA TEDDER</t>
  </si>
  <si>
    <t>306 BINGHAM AND PARKS RD</t>
  </si>
  <si>
    <t>I5020B0010</t>
  </si>
  <si>
    <t>HENDRIX AMY JO S</t>
  </si>
  <si>
    <t>E400000032</t>
  </si>
  <si>
    <t>WEST ROLAND HENRY JR</t>
  </si>
  <si>
    <t>1136 ANGELL ROAD</t>
  </si>
  <si>
    <t>E40000003202</t>
  </si>
  <si>
    <t>G60000000903</t>
  </si>
  <si>
    <t>YOUNT EUGENE DOUGLAS JR</t>
  </si>
  <si>
    <t>YOUNT TONYA MULLIS</t>
  </si>
  <si>
    <t>2940 US HIGHWAY 158</t>
  </si>
  <si>
    <t>G200000050</t>
  </si>
  <si>
    <t>LANIER KENNETH AVERY JR</t>
  </si>
  <si>
    <t>ELY JENNY LYNN LANIER</t>
  </si>
  <si>
    <t>531 FRED LANIER RD</t>
  </si>
  <si>
    <t>G20000005002</t>
  </si>
  <si>
    <t>G200000009</t>
  </si>
  <si>
    <t>G20000006701</t>
  </si>
  <si>
    <t>G20000006703</t>
  </si>
  <si>
    <t>J100000011  A</t>
  </si>
  <si>
    <t>BROWN JUDITH S</t>
  </si>
  <si>
    <t>4536 US HIGHWAY 64 W</t>
  </si>
  <si>
    <t>J700000110</t>
  </si>
  <si>
    <t>CEDAR GROVE MISSIONARY BAPTIST</t>
  </si>
  <si>
    <t>287 CEDAR GROVE CHURCH ROAD</t>
  </si>
  <si>
    <t>J70000010307</t>
  </si>
  <si>
    <t>D20000001302</t>
  </si>
  <si>
    <t>DEVER JAMES B</t>
  </si>
  <si>
    <t>DEVER CYNTHIA</t>
  </si>
  <si>
    <t>170 DUARD REAVIS RD</t>
  </si>
  <si>
    <t>D20000001305</t>
  </si>
  <si>
    <t>F70000000312</t>
  </si>
  <si>
    <t>DMITRIYEV DENIS</t>
  </si>
  <si>
    <t>DMITRIYEV ANTONINA</t>
  </si>
  <si>
    <t>170 GLENN ALLEN RD</t>
  </si>
  <si>
    <t>I900000022</t>
  </si>
  <si>
    <t>I900000010</t>
  </si>
  <si>
    <t>I90000000801</t>
  </si>
  <si>
    <t>D600000031</t>
  </si>
  <si>
    <t>PIFER PAUL</t>
  </si>
  <si>
    <t>PIFER SUSAN</t>
  </si>
  <si>
    <t>844 RAINBOW RD</t>
  </si>
  <si>
    <t>C70000007805</t>
  </si>
  <si>
    <t>TREJO ANTONIO YANEZ</t>
  </si>
  <si>
    <t>152 W ROBIN DR</t>
  </si>
  <si>
    <t>D9090B0011</t>
  </si>
  <si>
    <t>RUSSELL DONALD A</t>
  </si>
  <si>
    <t>RUSSELL MARJORY CAROL</t>
  </si>
  <si>
    <t>116 OLEANDER DR</t>
  </si>
  <si>
    <t>F80000002206</t>
  </si>
  <si>
    <t>MOORE MEECIE TERRAH</t>
  </si>
  <si>
    <t>MOORE CYDNEY</t>
  </si>
  <si>
    <t>159 LANTERN DR</t>
  </si>
  <si>
    <t>D9090A0016</t>
  </si>
  <si>
    <t>ROBLIN LIVING TRUST</t>
  </si>
  <si>
    <t>133 WILLOWBROOK PL</t>
  </si>
  <si>
    <t>J80000001103</t>
  </si>
  <si>
    <t>LONGWORTH RYAN</t>
  </si>
  <si>
    <t>4140 NC HIGHWAY 801 S</t>
  </si>
  <si>
    <t>27006-7118</t>
  </si>
  <si>
    <t>N5010B0053</t>
  </si>
  <si>
    <t>SAAD NATALIE BRAKE</t>
  </si>
  <si>
    <t>225 E MAPLE AVE</t>
  </si>
  <si>
    <t>H80000003105</t>
  </si>
  <si>
    <t>HARTNESS DARRIN L</t>
  </si>
  <si>
    <t>HARTNESS LISA K</t>
  </si>
  <si>
    <t>124 ODELL MYERS RD</t>
  </si>
  <si>
    <t>E900000646</t>
  </si>
  <si>
    <t>JOHNSON GEORGIA F</t>
  </si>
  <si>
    <t>118 N SAINT ANDREWS DR</t>
  </si>
  <si>
    <t>SHARTSELL</t>
  </si>
  <si>
    <t>E8070A0003</t>
  </si>
  <si>
    <t>GALLE MARCO JOSEPHES</t>
  </si>
  <si>
    <t>KUEHNS MARY</t>
  </si>
  <si>
    <t>709 NC HIGHWAY 801 S</t>
  </si>
  <si>
    <t>G600000006</t>
  </si>
  <si>
    <t>HARVEY SAMUEL S</t>
  </si>
  <si>
    <t>CORRELL AMELIA RUTH</t>
  </si>
  <si>
    <t>442 FOSTER DAIRY RD</t>
  </si>
  <si>
    <t>27028-4155</t>
  </si>
  <si>
    <t>L60000000201</t>
  </si>
  <si>
    <t>BEAUCHAMP JACOB S</t>
  </si>
  <si>
    <t>BEAUCHAMP SHARON M</t>
  </si>
  <si>
    <t>290 WILL BOONE RD</t>
  </si>
  <si>
    <t>G900000022</t>
  </si>
  <si>
    <t>ANDERSON KURT</t>
  </si>
  <si>
    <t>ANDERSON NANCY</t>
  </si>
  <si>
    <t>PO BOX 127</t>
  </si>
  <si>
    <t>27006-0127</t>
  </si>
  <si>
    <t>G20000001202</t>
  </si>
  <si>
    <t>SWISHER LANDON SCOTT</t>
  </si>
  <si>
    <t>138 CHARLIE REEVES RD</t>
  </si>
  <si>
    <t>B30000002801</t>
  </si>
  <si>
    <t>HARTSELL DAVID L</t>
  </si>
  <si>
    <t>CARTER WENDY GAIL</t>
  </si>
  <si>
    <t>283 CHINQUAPIN RD</t>
  </si>
  <si>
    <t>27028-4708</t>
  </si>
  <si>
    <t>H60000000212</t>
  </si>
  <si>
    <t>E50000002801</t>
  </si>
  <si>
    <t>MOTLEY LISA B REV LIV TRUST</t>
  </si>
  <si>
    <t>MOTLEY LISA B TRUSTEE</t>
  </si>
  <si>
    <t>866 FARMINGTON RD</t>
  </si>
  <si>
    <t>K70000002002</t>
  </si>
  <si>
    <t>I4060B0014</t>
  </si>
  <si>
    <t>EMD HOLDINGS LLC</t>
  </si>
  <si>
    <t>E8110A0012</t>
  </si>
  <si>
    <t>WILLIAMS MICHAEL J</t>
  </si>
  <si>
    <t>1587 UNDERPASS RD</t>
  </si>
  <si>
    <t>N5010C0017</t>
  </si>
  <si>
    <t>MANWARREN ROBERT S</t>
  </si>
  <si>
    <t>27014-0067</t>
  </si>
  <si>
    <t>G40000000905</t>
  </si>
  <si>
    <t>BARHAM CHRISTINA G</t>
  </si>
  <si>
    <t>200 CHANNEL LN</t>
  </si>
  <si>
    <t>G8050A000801</t>
  </si>
  <si>
    <t>VENERABLE HOLDINGS LLC</t>
  </si>
  <si>
    <t>27006-0413</t>
  </si>
  <si>
    <t>L5020A0022</t>
  </si>
  <si>
    <t>GILES DONALD RAY</t>
  </si>
  <si>
    <t>123 TWIN CEDARS DR</t>
  </si>
  <si>
    <t>27028-6853</t>
  </si>
  <si>
    <t>L5020A0023</t>
  </si>
  <si>
    <t>D8060B0023</t>
  </si>
  <si>
    <t>HUNT JOHN K</t>
  </si>
  <si>
    <t>HUNT PAMELA O</t>
  </si>
  <si>
    <t>105 BERMUDA RUN DR N</t>
  </si>
  <si>
    <t>J5090A0015</t>
  </si>
  <si>
    <t>ZAKAMAREK VENTURES LLC</t>
  </si>
  <si>
    <t>939 SALISBURY RD</t>
  </si>
  <si>
    <t>C40000001002</t>
  </si>
  <si>
    <t>L70000003301</t>
  </si>
  <si>
    <t>HENDRIX PAULINE HEIRS</t>
  </si>
  <si>
    <t>1820 UNDERPASS RD</t>
  </si>
  <si>
    <t>N500000054</t>
  </si>
  <si>
    <t>EALY GLEN T</t>
  </si>
  <si>
    <t>EALY MARYANN</t>
  </si>
  <si>
    <t>494 PINE RIDGE RD</t>
  </si>
  <si>
    <t>B40000005203</t>
  </si>
  <si>
    <t>PHILPOTT EVELYN JANE</t>
  </si>
  <si>
    <t>1070 WYO RD</t>
  </si>
  <si>
    <t>J6100A0020</t>
  </si>
  <si>
    <t>BRITT-LANIER KIMBERLEE A</t>
  </si>
  <si>
    <t>LANIER NICK</t>
  </si>
  <si>
    <t>PO BOX 21</t>
  </si>
  <si>
    <t>27028-0021</t>
  </si>
  <si>
    <t>F30000008202</t>
  </si>
  <si>
    <t>APG METAL WORKS LLC</t>
  </si>
  <si>
    <t>1004 BRIARCLIFF RD</t>
  </si>
  <si>
    <t>27055-6870</t>
  </si>
  <si>
    <t>D9050A0032</t>
  </si>
  <si>
    <t>LATHAM WILLIAM ELLIS</t>
  </si>
  <si>
    <t>3222 BERMUDA VLG</t>
  </si>
  <si>
    <t>B400000052</t>
  </si>
  <si>
    <t>KOMAR JARED DWIGHT</t>
  </si>
  <si>
    <t>KOMAR ROBYN ELIZABETH</t>
  </si>
  <si>
    <t>1092 WYO RD</t>
  </si>
  <si>
    <t>G800000222</t>
  </si>
  <si>
    <t>DOWNEY GINGER ANN</t>
  </si>
  <si>
    <t>355 RABBIT FARM TRL</t>
  </si>
  <si>
    <t>N500000027</t>
  </si>
  <si>
    <t>RAMSEY OTIS DEWAYNE</t>
  </si>
  <si>
    <t>RAMSEY JEANIE ELAINE</t>
  </si>
  <si>
    <t>166 BROADWAY RD</t>
  </si>
  <si>
    <t>G500000159</t>
  </si>
  <si>
    <t>TAYLOR DEBORAH KAY</t>
  </si>
  <si>
    <t>111 NATURE PLACE WAY</t>
  </si>
  <si>
    <t>27028-5891</t>
  </si>
  <si>
    <t>G600000002</t>
  </si>
  <si>
    <t>ADAMS LINDA WARD</t>
  </si>
  <si>
    <t>F10000001220</t>
  </si>
  <si>
    <t>431 SHEFFIELD FARMS TRL</t>
  </si>
  <si>
    <t>G80000003303</t>
  </si>
  <si>
    <t>MABE KEVIN L</t>
  </si>
  <si>
    <t>MABE AMY B</t>
  </si>
  <si>
    <t>1655 NC HIGHWAY 801 SOUTH</t>
  </si>
  <si>
    <t>I30000000403</t>
  </si>
  <si>
    <t>COPE JUSTIN M</t>
  </si>
  <si>
    <t>434 POWELL RD</t>
  </si>
  <si>
    <t>D30000003903</t>
  </si>
  <si>
    <t>FOOTE STORMY ELLEN</t>
  </si>
  <si>
    <t>FOOTE CARIEL O</t>
  </si>
  <si>
    <t>1264 EATONS CHURCH RD</t>
  </si>
  <si>
    <t>G9100A0027</t>
  </si>
  <si>
    <t>FROMAL DOMINICK PAUL</t>
  </si>
  <si>
    <t>FROMAL LAURA UNIOWSKI</t>
  </si>
  <si>
    <t>115 CREEKVIEW DR</t>
  </si>
  <si>
    <t>G9100A0026</t>
  </si>
  <si>
    <t>J600000061</t>
  </si>
  <si>
    <t>FAIRCLOTH JAMES M III</t>
  </si>
  <si>
    <t>FAIRCLOTH BESSIE A JAMES</t>
  </si>
  <si>
    <t>182 JOE ROAD</t>
  </si>
  <si>
    <t>AJOHNSON</t>
  </si>
  <si>
    <t>D8080A0008</t>
  </si>
  <si>
    <t>32 RED LLC</t>
  </si>
  <si>
    <t>K8090A0007</t>
  </si>
  <si>
    <t>WIKE DAVID CODY</t>
  </si>
  <si>
    <t>WIKE MORGAN STRICKLAND</t>
  </si>
  <si>
    <t>146 ARBOR TRL</t>
  </si>
  <si>
    <t>27360-7171</t>
  </si>
  <si>
    <t>J7050B000101</t>
  </si>
  <si>
    <t>POTTS JOHN B</t>
  </si>
  <si>
    <t>POTTS ALEXANDRA M</t>
  </si>
  <si>
    <t>278 FORK BIXBY RD</t>
  </si>
  <si>
    <t>N5080A0022</t>
  </si>
  <si>
    <t>STARGAZE INVESTMENTS LLC</t>
  </si>
  <si>
    <t>9306 AUTUMN APPLAUSE DR</t>
  </si>
  <si>
    <t>28277-1695</t>
  </si>
  <si>
    <t>G40000000902</t>
  </si>
  <si>
    <t>GUZMAN JYMI E</t>
  </si>
  <si>
    <t>JIMENEZ-RUEDA MARIA M</t>
  </si>
  <si>
    <t>187 CHANNEL LN</t>
  </si>
  <si>
    <t>I4120A0018</t>
  </si>
  <si>
    <t>396 WILKESBORO ST</t>
  </si>
  <si>
    <t>I4130B0007</t>
  </si>
  <si>
    <t>SOUZA SUSAN COLETTE</t>
  </si>
  <si>
    <t>220 WILKESBORO ST</t>
  </si>
  <si>
    <t>I4130B000701</t>
  </si>
  <si>
    <t>I5060B0016</t>
  </si>
  <si>
    <t>BASSETT VINCENT C</t>
  </si>
  <si>
    <t>765 MILLING RD</t>
  </si>
  <si>
    <t>27028-2860</t>
  </si>
  <si>
    <t>E900000177</t>
  </si>
  <si>
    <t>455 KINGSMILL DR</t>
  </si>
  <si>
    <t>I5170A0128</t>
  </si>
  <si>
    <t>I700000101</t>
  </si>
  <si>
    <t>MCANDREW PATRICK</t>
  </si>
  <si>
    <t>MCANDREW KIMBERLIE LYNN</t>
  </si>
  <si>
    <t>639 FORK BIXBY RD</t>
  </si>
  <si>
    <t>M500000002  A</t>
  </si>
  <si>
    <t>SERRATO ARELI DUARTE</t>
  </si>
  <si>
    <t>BUSTOS UBLESTER PENALOZA</t>
  </si>
  <si>
    <t>1875 WHITE RD</t>
  </si>
  <si>
    <t>MOUNT ULLA</t>
  </si>
  <si>
    <t>28125-8610</t>
  </si>
  <si>
    <t>I5050B0032</t>
  </si>
  <si>
    <t>WILSON MEGAN MARIE</t>
  </si>
  <si>
    <t>161 HEATHER CT</t>
  </si>
  <si>
    <t>B300000017</t>
  </si>
  <si>
    <t>SEE THROUGH ENTERPRISES LLC</t>
  </si>
  <si>
    <t>2 GUILFORD POINT DR</t>
  </si>
  <si>
    <t>GUILFORD</t>
  </si>
  <si>
    <t>06437-3413</t>
  </si>
  <si>
    <t>C8010A0050</t>
  </si>
  <si>
    <t>GROOVER SUSAN ALEXANDRA</t>
  </si>
  <si>
    <t>291 OLD TOWNE DR</t>
  </si>
  <si>
    <t>E6050A0017</t>
  </si>
  <si>
    <t>MOOREFIELD MARTHA B</t>
  </si>
  <si>
    <t>138 SHALLOWBROOK DRIVE</t>
  </si>
  <si>
    <t>H3040A0002</t>
  </si>
  <si>
    <t>WARREN JOSEPH CHARLES</t>
  </si>
  <si>
    <t>1805 NC HIGHWAY 801 N</t>
  </si>
  <si>
    <t>I5160A0052</t>
  </si>
  <si>
    <t>SHELTON JACOB DANIEL</t>
  </si>
  <si>
    <t>202 PINE ST</t>
  </si>
  <si>
    <t>27028-2224</t>
  </si>
  <si>
    <t>D7030C001601</t>
  </si>
  <si>
    <t>MOCK REVOCABLE LIV TRUST</t>
  </si>
  <si>
    <t>251 S CLAYBON DR</t>
  </si>
  <si>
    <t>I4130H0034</t>
  </si>
  <si>
    <t>ARROYO RICARDO BENITEZ</t>
  </si>
  <si>
    <t>282 AVON STREET</t>
  </si>
  <si>
    <t>L5140A000101A</t>
  </si>
  <si>
    <t>NICHOLS PRISCILLA B</t>
  </si>
  <si>
    <t>2430 US HIGHWAY 601 S</t>
  </si>
  <si>
    <t>L5150A0002</t>
  </si>
  <si>
    <t>H600000042</t>
  </si>
  <si>
    <t>BOGER JANET S</t>
  </si>
  <si>
    <t>146 SNOW HILL DR</t>
  </si>
  <si>
    <t>27028-7169</t>
  </si>
  <si>
    <t>K200000067</t>
  </si>
  <si>
    <t>YOUNG CLARK E REVOCABLE TRUST</t>
  </si>
  <si>
    <t>YOUNG CONSTANCE W REV TRUST</t>
  </si>
  <si>
    <t>1347 DAVIE ACADEMY RD</t>
  </si>
  <si>
    <t>H800000032</t>
  </si>
  <si>
    <t>HARTMAN GEORGE G</t>
  </si>
  <si>
    <t>HARTMAN NANCY P</t>
  </si>
  <si>
    <t>4450 US HIGHWAY 158</t>
  </si>
  <si>
    <t>E70000007401</t>
  </si>
  <si>
    <t>E700000076</t>
  </si>
  <si>
    <t>E7130A0011</t>
  </si>
  <si>
    <t>PLOTT CHARLES F</t>
  </si>
  <si>
    <t>PLOTT LUCRETIA</t>
  </si>
  <si>
    <t>119 SAVANNAH CT</t>
  </si>
  <si>
    <t>E900000029</t>
  </si>
  <si>
    <t>CANNON NYAL SCOTT</t>
  </si>
  <si>
    <t>115 OAKMONT CT</t>
  </si>
  <si>
    <t>B30000003111</t>
  </si>
  <si>
    <t>SYMONDS ASHTON</t>
  </si>
  <si>
    <t>SYMONDS RYAN</t>
  </si>
  <si>
    <t>5115 US HIGHWAY 601 N</t>
  </si>
  <si>
    <t>D8090B0006</t>
  </si>
  <si>
    <t>BUMGARNER KRISTY</t>
  </si>
  <si>
    <t>113 ROTUNDA CIR</t>
  </si>
  <si>
    <t>J300000003</t>
  </si>
  <si>
    <t>CARTNER BARRY</t>
  </si>
  <si>
    <t>CARTNER PAULA</t>
  </si>
  <si>
    <t>808 DAVIE ACADEMY RD</t>
  </si>
  <si>
    <t>27028-5135</t>
  </si>
  <si>
    <t>E40000004203</t>
  </si>
  <si>
    <t>KRUMENACKER BRIAN</t>
  </si>
  <si>
    <t>KRUMENACKER JENNA</t>
  </si>
  <si>
    <t>5901 JOYCE NORMAN RD</t>
  </si>
  <si>
    <t>27040-9777</t>
  </si>
  <si>
    <t>H400000015</t>
  </si>
  <si>
    <t>HOOKER SUZANNE WILSON ETAL</t>
  </si>
  <si>
    <t>WILSON WILLIAM RANDOLPH</t>
  </si>
  <si>
    <t>% SUZANNE WILSON</t>
  </si>
  <si>
    <t>13030 HIGHWAY A1A</t>
  </si>
  <si>
    <t>VERO BEACH</t>
  </si>
  <si>
    <t>32963-9421</t>
  </si>
  <si>
    <t>L5020A0001</t>
  </si>
  <si>
    <t>HOLYFIELD JOAN L</t>
  </si>
  <si>
    <t>1891 US HIGHWAY 601 S</t>
  </si>
  <si>
    <t>H4160A0002</t>
  </si>
  <si>
    <t>CARTER MICHAEL R</t>
  </si>
  <si>
    <t>CARTER TRACY S</t>
  </si>
  <si>
    <t>377 MADISON ROAD</t>
  </si>
  <si>
    <t>I40000006501</t>
  </si>
  <si>
    <t>H60000006901</t>
  </si>
  <si>
    <t>BRYANT RICHARD RAY JR</t>
  </si>
  <si>
    <t>BRYANT CHRISTIN M</t>
  </si>
  <si>
    <t>2569 MILLING RD</t>
  </si>
  <si>
    <t>K50000007401</t>
  </si>
  <si>
    <t>D200000026  A</t>
  </si>
  <si>
    <t>MYERS CARL K</t>
  </si>
  <si>
    <t>MYERS PHYLLIS C</t>
  </si>
  <si>
    <t>292 RENEGAR ROAD</t>
  </si>
  <si>
    <t>28634-9251</t>
  </si>
  <si>
    <t>C500000065</t>
  </si>
  <si>
    <t>I80000001802</t>
  </si>
  <si>
    <t>WEBB KATELYN JEAN</t>
  </si>
  <si>
    <t>191 JUBILEE TRL</t>
  </si>
  <si>
    <t>M4130A000101</t>
  </si>
  <si>
    <t>POLICARPO MARISELA RODRIGUEZ</t>
  </si>
  <si>
    <t>156 STONE WOOD RD</t>
  </si>
  <si>
    <t>I4140B0023</t>
  </si>
  <si>
    <t>RAISIG JENNIFER M</t>
  </si>
  <si>
    <t>K500000002</t>
  </si>
  <si>
    <t>DARKSTAR LLC</t>
  </si>
  <si>
    <t>120 CLAIBORNE DR</t>
  </si>
  <si>
    <t>28117-6831</t>
  </si>
  <si>
    <t>J5160A000903</t>
  </si>
  <si>
    <t>J5160A000910</t>
  </si>
  <si>
    <t>G500000030</t>
  </si>
  <si>
    <t>PEACHEY PAUL D</t>
  </si>
  <si>
    <t>PEACHEY KAILENE D</t>
  </si>
  <si>
    <t>2161 US HIGHWAY 158</t>
  </si>
  <si>
    <t>K5110A0005</t>
  </si>
  <si>
    <t>KELLER CHRISTOPHER ALEX</t>
  </si>
  <si>
    <t>483 SWANDELL FARM ROAD</t>
  </si>
  <si>
    <t>MT ULLA</t>
  </si>
  <si>
    <t>H5180A0004</t>
  </si>
  <si>
    <t>HEPLER PETER W REV TRUST</t>
  </si>
  <si>
    <t>HEPLER PETER WADE TRUSTEE</t>
  </si>
  <si>
    <t>137 MAPLE KNOLL DR</t>
  </si>
  <si>
    <t>N5010B0021</t>
  </si>
  <si>
    <t>ROSE ALYSE RENEE</t>
  </si>
  <si>
    <t>1121 HOLMES AVE</t>
  </si>
  <si>
    <t>28144-2614</t>
  </si>
  <si>
    <t>D600000006</t>
  </si>
  <si>
    <t>ECKMAN PRESTON SCOTT</t>
  </si>
  <si>
    <t>365 BOBBIT RD</t>
  </si>
  <si>
    <t>27006-6604</t>
  </si>
  <si>
    <t>MBRASELLS</t>
  </si>
  <si>
    <t>D600000007</t>
  </si>
  <si>
    <t>D8090B0010</t>
  </si>
  <si>
    <t>BRUTON JAMES MICHAEL JR</t>
  </si>
  <si>
    <t>841 RIVERBEND DR</t>
  </si>
  <si>
    <t>F60000005101</t>
  </si>
  <si>
    <t>DIXON EMILIE</t>
  </si>
  <si>
    <t>HAMILTON EDDIE E</t>
  </si>
  <si>
    <t>190 BOGER RD</t>
  </si>
  <si>
    <t>27028-7618</t>
  </si>
  <si>
    <t>B500000092</t>
  </si>
  <si>
    <t>JAMEBRE LLC</t>
  </si>
  <si>
    <t>7237 STYERS CROSSING LANE</t>
  </si>
  <si>
    <t>K20000003001</t>
  </si>
  <si>
    <t>NESTER JESSE E</t>
  </si>
  <si>
    <t>MAYNARD ALLISON M</t>
  </si>
  <si>
    <t>558 RIDGE RD</t>
  </si>
  <si>
    <t>F700000011</t>
  </si>
  <si>
    <t>ORRELL BILLY FRANK</t>
  </si>
  <si>
    <t>755 BALTIMORE RD</t>
  </si>
  <si>
    <t>F700000010</t>
  </si>
  <si>
    <t>G800000037</t>
  </si>
  <si>
    <t>TURNER ROWLAND G</t>
  </si>
  <si>
    <t>TURNER JEAN L</t>
  </si>
  <si>
    <t>PO BOX 9</t>
  </si>
  <si>
    <t>B7140A0023</t>
  </si>
  <si>
    <t>DICKENS KAREN Z</t>
  </si>
  <si>
    <t>990 YADKIN VALLEY ROAD</t>
  </si>
  <si>
    <t>F30000002207</t>
  </si>
  <si>
    <t>HYDE JAMES E</t>
  </si>
  <si>
    <t>HYDE LISA K</t>
  </si>
  <si>
    <t>133 HYDE PARK LANE</t>
  </si>
  <si>
    <t>F30000002206</t>
  </si>
  <si>
    <t>J20000006304</t>
  </si>
  <si>
    <t>GRIFFIN ROGER SCOTT ETAL</t>
  </si>
  <si>
    <t>GRIFFIN EDGAR RAY</t>
  </si>
  <si>
    <t>7100 MUDDY CREEK ROAD</t>
  </si>
  <si>
    <t>ARCHDALE</t>
  </si>
  <si>
    <t>27263-0000</t>
  </si>
  <si>
    <t>D20000002601</t>
  </si>
  <si>
    <t>MYERS GEORGIA MICHELLE</t>
  </si>
  <si>
    <t>333 DUARD REAVIS ROAD</t>
  </si>
  <si>
    <t>J50000001901</t>
  </si>
  <si>
    <t>PETERMAN DENNIS H</t>
  </si>
  <si>
    <t>PETERMAN WINONA J</t>
  </si>
  <si>
    <t>PO BOX 278</t>
  </si>
  <si>
    <t>27028-0766</t>
  </si>
  <si>
    <t>C8010A0186</t>
  </si>
  <si>
    <t>156 TOWNPARK DRIVE</t>
  </si>
  <si>
    <t>C70000012501</t>
  </si>
  <si>
    <t>BREEDLOVE PAUL DAVIS JR</t>
  </si>
  <si>
    <t>BREEDLOVE DEBBIE L</t>
  </si>
  <si>
    <t>160 DOUBLE A TRL</t>
  </si>
  <si>
    <t>27006-8744</t>
  </si>
  <si>
    <t>N60000006103</t>
  </si>
  <si>
    <t>SOUTHER GARY SCOTT</t>
  </si>
  <si>
    <t>SOUTHER TONDA M</t>
  </si>
  <si>
    <t>316 RIVERDALE ROAD</t>
  </si>
  <si>
    <t>27028-6852</t>
  </si>
  <si>
    <t>J5160A0006</t>
  </si>
  <si>
    <t>J5090A001403</t>
  </si>
  <si>
    <t>BAHJAT AHMED</t>
  </si>
  <si>
    <t>1070 AMITY RD</t>
  </si>
  <si>
    <t>ASHEBORO</t>
  </si>
  <si>
    <t>27203-4463</t>
  </si>
  <si>
    <t>J4140A0019</t>
  </si>
  <si>
    <t>D700000059</t>
  </si>
  <si>
    <t>MYERS THOMAS RAY</t>
  </si>
  <si>
    <t>I5170C0019</t>
  </si>
  <si>
    <t>VEST ANDREA JEAN</t>
  </si>
  <si>
    <t>120 MILLWRIGHT CT</t>
  </si>
  <si>
    <t>I800000057</t>
  </si>
  <si>
    <t>PEOPLES WILBURD</t>
  </si>
  <si>
    <t>PEOPLES RODGERS DALE</t>
  </si>
  <si>
    <t>J700000032</t>
  </si>
  <si>
    <t>G40000003410</t>
  </si>
  <si>
    <t>ROBERTSON REBECCA</t>
  </si>
  <si>
    <t>RIEL BRADLEY A</t>
  </si>
  <si>
    <t>165 BELAIRE LANE</t>
  </si>
  <si>
    <t>J70000005904</t>
  </si>
  <si>
    <t>JOHNSON THADDEUS W</t>
  </si>
  <si>
    <t>JOHNSON CATHERINE C</t>
  </si>
  <si>
    <t>224 LYBROOK RD</t>
  </si>
  <si>
    <t>N5080A0032</t>
  </si>
  <si>
    <t>EUBANKS DIANA F</t>
  </si>
  <si>
    <t>PO BOX 774</t>
  </si>
  <si>
    <t>B300000007</t>
  </si>
  <si>
    <t>PHILLIPS LESTER CARL JR</t>
  </si>
  <si>
    <t>PHILLIPS CLAUDIA Y</t>
  </si>
  <si>
    <t>1035 WINDING RIDGE LN</t>
  </si>
  <si>
    <t>27055-6785</t>
  </si>
  <si>
    <t>B60000001803</t>
  </si>
  <si>
    <t>NEWSOME JOEL CHAD</t>
  </si>
  <si>
    <t>BROWN ISABEL MARIA</t>
  </si>
  <si>
    <t>246 DEERFIELD DR</t>
  </si>
  <si>
    <t>H4190A0010</t>
  </si>
  <si>
    <t>HUTTON MOCKSVILLE NC ST LLC</t>
  </si>
  <si>
    <t>736 CHERRY ST</t>
  </si>
  <si>
    <t>CHATTANOOGA</t>
  </si>
  <si>
    <t>37402-1909</t>
  </si>
  <si>
    <t>E80000001303</t>
  </si>
  <si>
    <t>DEAN JOAN CHRISTINE</t>
  </si>
  <si>
    <t>1852 UNDERPASS RD</t>
  </si>
  <si>
    <t>F60000004102</t>
  </si>
  <si>
    <t>RIDDLE JUSTIN MANNING</t>
  </si>
  <si>
    <t>RIDDLE ERIN MARIE</t>
  </si>
  <si>
    <t>262 PINEBROOK SCHOOL RD</t>
  </si>
  <si>
    <t>J4030B0011</t>
  </si>
  <si>
    <t>MCGEE DEXTER</t>
  </si>
  <si>
    <t>SIMPSON SHERELL</t>
  </si>
  <si>
    <t>664 SANFORD AVE</t>
  </si>
  <si>
    <t>H90000002301</t>
  </si>
  <si>
    <t>WASHBURN RONALD G</t>
  </si>
  <si>
    <t>WASHBURN DEBORAH E</t>
  </si>
  <si>
    <t>PO BOX 2194</t>
  </si>
  <si>
    <t>H900000023</t>
  </si>
  <si>
    <t>F60000004101</t>
  </si>
  <si>
    <t>J6090A0001</t>
  </si>
  <si>
    <t>RAMIREZ JOSE LUIS</t>
  </si>
  <si>
    <t>FLORES GLADYS</t>
  </si>
  <si>
    <t>135 DALTON ROAD</t>
  </si>
  <si>
    <t>E400000030</t>
  </si>
  <si>
    <t>WHITTINGTON TIMOTHY R</t>
  </si>
  <si>
    <t>WHITTINGTON ROBIN J</t>
  </si>
  <si>
    <t>1212 CANA ROAD</t>
  </si>
  <si>
    <t>D70000004903</t>
  </si>
  <si>
    <t>STALLINGS JOHNNIE R</t>
  </si>
  <si>
    <t>STALLINGS NINA P</t>
  </si>
  <si>
    <t>186 GORDON DR</t>
  </si>
  <si>
    <t>J70000001602</t>
  </si>
  <si>
    <t>HILTON DAVID JUSTIN</t>
  </si>
  <si>
    <t>113 N DEERFIELD CIR</t>
  </si>
  <si>
    <t>28147-9704</t>
  </si>
  <si>
    <t>M5100B0013</t>
  </si>
  <si>
    <t>KAUFFMAN BRIAN J</t>
  </si>
  <si>
    <t>231 EDGEWOOD CIR</t>
  </si>
  <si>
    <t>I5110B0006</t>
  </si>
  <si>
    <t>BROWN DORMAN ERIC ETAL</t>
  </si>
  <si>
    <t>WHITLOCK JANE BROWN</t>
  </si>
  <si>
    <t>202 ASHLEY BROOK LN</t>
  </si>
  <si>
    <t>I5110B0007</t>
  </si>
  <si>
    <t>I5110B0008</t>
  </si>
  <si>
    <t>I5110B0009</t>
  </si>
  <si>
    <t>I5110B0001</t>
  </si>
  <si>
    <t>I5110B0004</t>
  </si>
  <si>
    <t>H3040A0016</t>
  </si>
  <si>
    <t>H3040A0015</t>
  </si>
  <si>
    <t>H70000007901</t>
  </si>
  <si>
    <t>HENDRIX JEROME ELLIS</t>
  </si>
  <si>
    <t>HENDRIX SARAH RUTH</t>
  </si>
  <si>
    <t>1447 FORK BIXBY RD</t>
  </si>
  <si>
    <t>I1110A0015</t>
  </si>
  <si>
    <t>DOYLE ROBERT</t>
  </si>
  <si>
    <t>DOYLE KIMBERLY</t>
  </si>
  <si>
    <t>238 OAK TREE DR</t>
  </si>
  <si>
    <t>E70000006509</t>
  </si>
  <si>
    <t>ROBBINS STANLEY C</t>
  </si>
  <si>
    <t>ROBBINS JENNIFER B</t>
  </si>
  <si>
    <t>122 BEAUCHAMP OAKS COURT</t>
  </si>
  <si>
    <t>J5170A0003</t>
  </si>
  <si>
    <t>GREENE TERRANCE P</t>
  </si>
  <si>
    <t>LUCUS KYLA F</t>
  </si>
  <si>
    <t>124 ELBERON CT</t>
  </si>
  <si>
    <t>M5100C0015</t>
  </si>
  <si>
    <t>NINROD GUERRERO ARDON ELI</t>
  </si>
  <si>
    <t>DE GUERRERO SANDRA MARLENI CAR</t>
  </si>
  <si>
    <t>7573 NC HIGHWAY 801 S</t>
  </si>
  <si>
    <t>27028-6770</t>
  </si>
  <si>
    <t>J4060C000106</t>
  </si>
  <si>
    <t>MCCORMICK JERRY WAYNE JR</t>
  </si>
  <si>
    <t>116 RIGHTSIDE WAY</t>
  </si>
  <si>
    <t>D9050B0046</t>
  </si>
  <si>
    <t>QUINN CAROL P</t>
  </si>
  <si>
    <t>2107 BERMUDA VLG</t>
  </si>
  <si>
    <t>J40000003606</t>
  </si>
  <si>
    <t>AUSTIN PERRY LEE JR</t>
  </si>
  <si>
    <t>AUSTIN JAN JENKINS</t>
  </si>
  <si>
    <t>325 WHISPERWOOD LN</t>
  </si>
  <si>
    <t>TAYLORSVILLE</t>
  </si>
  <si>
    <t>28681-2940</t>
  </si>
  <si>
    <t>J40000003608</t>
  </si>
  <si>
    <t>D500000110</t>
  </si>
  <si>
    <t>IVETIC MIA</t>
  </si>
  <si>
    <t>307 KENNEN KREST RD</t>
  </si>
  <si>
    <t>B500000032</t>
  </si>
  <si>
    <t>GORDON RICKY L</t>
  </si>
  <si>
    <t>GORDON ZERA MASTERS</t>
  </si>
  <si>
    <t>547 PINEVILLE RD</t>
  </si>
  <si>
    <t>E20000002508</t>
  </si>
  <si>
    <t>HARDIN LAUREN COLEY</t>
  </si>
  <si>
    <t>HARDIN CHRISTOPHER</t>
  </si>
  <si>
    <t>249 CV SMOOT LN</t>
  </si>
  <si>
    <t>27028-5661</t>
  </si>
  <si>
    <t>J50000001302</t>
  </si>
  <si>
    <t>ONEAL AMY</t>
  </si>
  <si>
    <t>ONEAL ROBERT WILLIAM</t>
  </si>
  <si>
    <t>505 ACADEMY ST</t>
  </si>
  <si>
    <t>27013-9712</t>
  </si>
  <si>
    <t>E8170A0700</t>
  </si>
  <si>
    <t>GLADD SUSAN C</t>
  </si>
  <si>
    <t>160 LEGACY DR</t>
  </si>
  <si>
    <t>I5160B0033</t>
  </si>
  <si>
    <t>FERNANDEZ AMY</t>
  </si>
  <si>
    <t>280 CHERRY ST</t>
  </si>
  <si>
    <t>I80000002401</t>
  </si>
  <si>
    <t>SHOOK ERIC A</t>
  </si>
  <si>
    <t>SHOOK KRISTINE P</t>
  </si>
  <si>
    <t>227 PACK VIEW LANE</t>
  </si>
  <si>
    <t>H800000008</t>
  </si>
  <si>
    <t>MINOR PATRICIA M</t>
  </si>
  <si>
    <t>781 MARKLAND RD</t>
  </si>
  <si>
    <t>H50000002701</t>
  </si>
  <si>
    <t>PIEDMONT ASSETS LLC</t>
  </si>
  <si>
    <t>320 GOLD AVE SW STE 620</t>
  </si>
  <si>
    <t>ALBUQUERQUE</t>
  </si>
  <si>
    <t>NM</t>
  </si>
  <si>
    <t>87102-3210</t>
  </si>
  <si>
    <t>E400000031</t>
  </si>
  <si>
    <t>KAMENZ INA BLACKMORE</t>
  </si>
  <si>
    <t>KAMENZ DONALD ROBERT</t>
  </si>
  <si>
    <t>E400000029</t>
  </si>
  <si>
    <t>G8010D0002</t>
  </si>
  <si>
    <t>WALLACE DAVID</t>
  </si>
  <si>
    <t>WALLACE LAURA</t>
  </si>
  <si>
    <t>6651 GENTRY CIR APT 304</t>
  </si>
  <si>
    <t>27012-9821</t>
  </si>
  <si>
    <t>G200000067</t>
  </si>
  <si>
    <t>LANIER KENDALL A</t>
  </si>
  <si>
    <t>479 FRED LANIER RD</t>
  </si>
  <si>
    <t>J40000002207</t>
  </si>
  <si>
    <t>BELLIS BRITTANY N</t>
  </si>
  <si>
    <t>1392 COUNTY HOME RD</t>
  </si>
  <si>
    <t>F80000002230</t>
  </si>
  <si>
    <t>BARKER JULIE MCGEE</t>
  </si>
  <si>
    <t>BARKER JASON WYATT</t>
  </si>
  <si>
    <t>150 LANTERN DR</t>
  </si>
  <si>
    <t>F900000009</t>
  </si>
  <si>
    <t>PASSMORE SUSAN L</t>
  </si>
  <si>
    <t>GRUBBS JOHNNA A</t>
  </si>
  <si>
    <t>197 VOGLER RD</t>
  </si>
  <si>
    <t>I90000000701</t>
  </si>
  <si>
    <t>CAUDLE MEGAN REKLIS</t>
  </si>
  <si>
    <t>CAUDLE JONATHAN DUSTIN</t>
  </si>
  <si>
    <t>354 BURTON RD</t>
  </si>
  <si>
    <t>I90000000702</t>
  </si>
  <si>
    <t>N5080B0008</t>
  </si>
  <si>
    <t>JORDAN DELORES C</t>
  </si>
  <si>
    <t>PO BOX 222</t>
  </si>
  <si>
    <t>27014-0222</t>
  </si>
  <si>
    <t>I5120A0016</t>
  </si>
  <si>
    <t>DE LA CRUZ FLORENTINO SANCHEZ</t>
  </si>
  <si>
    <t>BASAN VICENTA TERAN</t>
  </si>
  <si>
    <t>126 BLUE BONNET COURT</t>
  </si>
  <si>
    <t>G8140A0022</t>
  </si>
  <si>
    <t>WHITE VALARIE R</t>
  </si>
  <si>
    <t>180 SCOTCH MOSS DR</t>
  </si>
  <si>
    <t>F600000025</t>
  </si>
  <si>
    <t>TOMA SASHI K</t>
  </si>
  <si>
    <t>3341 US HIGHWAY 158</t>
  </si>
  <si>
    <t>I5090E0001</t>
  </si>
  <si>
    <t>HARDING CAPITAL PARTNERS LLC</t>
  </si>
  <si>
    <t>DRAUGHN JUSTIN</t>
  </si>
  <si>
    <t>I5160A0006</t>
  </si>
  <si>
    <t>J4040C0011</t>
  </si>
  <si>
    <t>F70000000502</t>
  </si>
  <si>
    <t>PLEMMONS RONALD J JR</t>
  </si>
  <si>
    <t>144 TIFTON ST</t>
  </si>
  <si>
    <t>F70000000503</t>
  </si>
  <si>
    <t>F100000006</t>
  </si>
  <si>
    <t>KEATON JUANITA R</t>
  </si>
  <si>
    <t>159 HARDY RD</t>
  </si>
  <si>
    <t>J4060C000103</t>
  </si>
  <si>
    <t>BRUSSEAU MATTHEW</t>
  </si>
  <si>
    <t>BRUSSEAU KARA CALDWELL</t>
  </si>
  <si>
    <t>115 RIGHTSIDE WAY</t>
  </si>
  <si>
    <t>E900000534</t>
  </si>
  <si>
    <t>ALLERTON NEIL ANDREW</t>
  </si>
  <si>
    <t>ALLERTON KELSEY HEITER</t>
  </si>
  <si>
    <t>247 N HIDDENBROOKE DR</t>
  </si>
  <si>
    <t>I70000004501</t>
  </si>
  <si>
    <t>LONG JEFFREY P</t>
  </si>
  <si>
    <t>LONG MELISSA ANDERSON</t>
  </si>
  <si>
    <t>1085 WILLIAMS RD</t>
  </si>
  <si>
    <t>L5150A0003</t>
  </si>
  <si>
    <t>SARVER JORDAN</t>
  </si>
  <si>
    <t>2408 US HIGHWAY 601 S</t>
  </si>
  <si>
    <t>E50000003302</t>
  </si>
  <si>
    <t>BROCKWAY WILLIAM R</t>
  </si>
  <si>
    <t>BROCKWAY NOELLE A</t>
  </si>
  <si>
    <t>158 GILBERT RD</t>
  </si>
  <si>
    <t>27028-7659</t>
  </si>
  <si>
    <t>G3060B0022</t>
  </si>
  <si>
    <t>BRALEY ROBERT D</t>
  </si>
  <si>
    <t>BRALEY MELISSA B</t>
  </si>
  <si>
    <t>453 IJAMES CHURCH RD</t>
  </si>
  <si>
    <t>I5170C0025</t>
  </si>
  <si>
    <t>WHITAKER JUNE</t>
  </si>
  <si>
    <t>140 MILLWRIGHT CT</t>
  </si>
  <si>
    <t>G3030A0061</t>
  </si>
  <si>
    <t>MARSHALL BEVERLY A</t>
  </si>
  <si>
    <t>168 MURPHY RD</t>
  </si>
  <si>
    <t>D8060A0001</t>
  </si>
  <si>
    <t>LANE CHRISTOPHER D</t>
  </si>
  <si>
    <t>KELLY MELISSA R</t>
  </si>
  <si>
    <t>281 RIVERBEND DR</t>
  </si>
  <si>
    <t>I30000005701</t>
  </si>
  <si>
    <t>VAUGHAN-JONES WILLIAM A</t>
  </si>
  <si>
    <t>225 HOLLY LN</t>
  </si>
  <si>
    <t>C8010E0059</t>
  </si>
  <si>
    <t>COLE LYNDAL</t>
  </si>
  <si>
    <t>COLE KEVIN L</t>
  </si>
  <si>
    <t>255 KILBOURNE DR</t>
  </si>
  <si>
    <t>M5100C0014</t>
  </si>
  <si>
    <t>J4140B0020</t>
  </si>
  <si>
    <t>KILBY MARZELLE J</t>
  </si>
  <si>
    <t>LANKFORD VAN H</t>
  </si>
  <si>
    <t>171 STONECROFT RD</t>
  </si>
  <si>
    <t>MOUNT AIRY</t>
  </si>
  <si>
    <t>27030-8206</t>
  </si>
  <si>
    <t>J4140B0022</t>
  </si>
  <si>
    <t>D7030B0018</t>
  </si>
  <si>
    <t>MCMAHAN NICKOLAS</t>
  </si>
  <si>
    <t>MCMAHAN CASSANDRA</t>
  </si>
  <si>
    <t>139 BRENTWOOD DR</t>
  </si>
  <si>
    <t>D8060A0008</t>
  </si>
  <si>
    <t>BEATTY JOSHUA ROLAND</t>
  </si>
  <si>
    <t>BEATTY BAILEY ANNE FOLMAR</t>
  </si>
  <si>
    <t>343 RIVERBEND DR</t>
  </si>
  <si>
    <t>G60000011302A</t>
  </si>
  <si>
    <t>POPE MATTHEW ALAN</t>
  </si>
  <si>
    <t>POPE MEGAN ELISABETH</t>
  </si>
  <si>
    <t>107 HEPLER RD</t>
  </si>
  <si>
    <t>G80000000801</t>
  </si>
  <si>
    <t>FARLEY ADRIAN FAYE ZIMMERMAN</t>
  </si>
  <si>
    <t>6121 BEACHWAY DR</t>
  </si>
  <si>
    <t>FALLS CHURCH</t>
  </si>
  <si>
    <t>22041-0000</t>
  </si>
  <si>
    <t>D8080D0036</t>
  </si>
  <si>
    <t>STANALAND WILLIAM W III</t>
  </si>
  <si>
    <t>STANALAND JOY W</t>
  </si>
  <si>
    <t>970 RIVERBEND DR</t>
  </si>
  <si>
    <t>C10000000202</t>
  </si>
  <si>
    <t>REAVIS IONA</t>
  </si>
  <si>
    <t>527 HOWARDTOWN RD</t>
  </si>
  <si>
    <t>G9090B0010</t>
  </si>
  <si>
    <t>BISHOP BRYAN</t>
  </si>
  <si>
    <t>BISHOP JENNIFER H</t>
  </si>
  <si>
    <t>117 OLD MARCH RD</t>
  </si>
  <si>
    <t>G3050A0006</t>
  </si>
  <si>
    <t>C50000005720</t>
  </si>
  <si>
    <t>HARRIS KAREN</t>
  </si>
  <si>
    <t>2281 FARMINGTON RD</t>
  </si>
  <si>
    <t>G9090B0011</t>
  </si>
  <si>
    <t>GUNTER JONATHAN V</t>
  </si>
  <si>
    <t>GUNTER IVEY C</t>
  </si>
  <si>
    <t>127 OLD MARCH ROAD</t>
  </si>
  <si>
    <t>G300000017</t>
  </si>
  <si>
    <t>GRANNAMAN KRISTOPHER LEE</t>
  </si>
  <si>
    <t>GRANNAMAN JODI LYNN</t>
  </si>
  <si>
    <t>H20000001003</t>
  </si>
  <si>
    <t>ELLIOTT NICK</t>
  </si>
  <si>
    <t>118 CALAHALN RD</t>
  </si>
  <si>
    <t>D600000053</t>
  </si>
  <si>
    <t>C600000073</t>
  </si>
  <si>
    <t>HILL EDWARD O</t>
  </si>
  <si>
    <t>HILL YULONDA J</t>
  </si>
  <si>
    <t>27006-6625</t>
  </si>
  <si>
    <t>K50000010207</t>
  </si>
  <si>
    <t>NGUYEN-HINKLE CONG THANH</t>
  </si>
  <si>
    <t>NGUYEN-HINKLE DANH THANH</t>
  </si>
  <si>
    <t>200 IRONHORSE LN</t>
  </si>
  <si>
    <t>27028-5509</t>
  </si>
  <si>
    <t>H5200A0012</t>
  </si>
  <si>
    <t>HORN G BYRON</t>
  </si>
  <si>
    <t>4324 MAPLE LANE</t>
  </si>
  <si>
    <t>E70000000502</t>
  </si>
  <si>
    <t>SMITH ERICKA</t>
  </si>
  <si>
    <t>4218 US HIGHWAY 158</t>
  </si>
  <si>
    <t>H400000117</t>
  </si>
  <si>
    <t>PAPAROUPAS STEVEN</t>
  </si>
  <si>
    <t>835 WINDALIER LN</t>
  </si>
  <si>
    <t>27106-9843</t>
  </si>
  <si>
    <t>I20000000901</t>
  </si>
  <si>
    <t>CAMPBELL LUKE OLIVER</t>
  </si>
  <si>
    <t>CAMPBELL NICOLE ELIZABETH</t>
  </si>
  <si>
    <t>1270 GODBEY RD</t>
  </si>
  <si>
    <t>N5010A0023</t>
  </si>
  <si>
    <t>BOSTIAN LEVITICUS</t>
  </si>
  <si>
    <t>PO BOX 87</t>
  </si>
  <si>
    <t>27014-0087</t>
  </si>
  <si>
    <t>C800000004</t>
  </si>
  <si>
    <t>ENTWISTLE FRANCES STACY</t>
  </si>
  <si>
    <t>FRAZIER KATHERINE SULLIVAN</t>
  </si>
  <si>
    <t>418 YADKIN VALLEY RD</t>
  </si>
  <si>
    <t>I40000007404</t>
  </si>
  <si>
    <t>BUNCE INVESTMENTS LLC</t>
  </si>
  <si>
    <t>2100 S MAIN ST</t>
  </si>
  <si>
    <t>27292-3624</t>
  </si>
  <si>
    <t>I5110B0002</t>
  </si>
  <si>
    <t>I5110B0003</t>
  </si>
  <si>
    <t>I5110B0005</t>
  </si>
  <si>
    <t>K70000003904A</t>
  </si>
  <si>
    <t>PALMER DEBORAH</t>
  </si>
  <si>
    <t>205 DRUM LN</t>
  </si>
  <si>
    <t>H600000029</t>
  </si>
  <si>
    <t>HENDRIX JANE CHURCH ETAL</t>
  </si>
  <si>
    <t>2112 MILLING RD</t>
  </si>
  <si>
    <t>H60000003006</t>
  </si>
  <si>
    <t>H60000003001</t>
  </si>
  <si>
    <t>H60000003007</t>
  </si>
  <si>
    <t>H60000003002</t>
  </si>
  <si>
    <t>G60000011305</t>
  </si>
  <si>
    <t>E8070A0011</t>
  </si>
  <si>
    <t>BERNARD A GERSTEMEIER REV TRUST</t>
  </si>
  <si>
    <t>SUSAN M GERSTEMEIER REV TRUST</t>
  </si>
  <si>
    <t>163 WHITEHEAD DR</t>
  </si>
  <si>
    <t>D20000000504</t>
  </si>
  <si>
    <t>HELLARD RALPH SHELTON</t>
  </si>
  <si>
    <t>HELLARD CARRIE HEAD</t>
  </si>
  <si>
    <t>273 BEN ANDERSON RD</t>
  </si>
  <si>
    <t>F4010A0022</t>
  </si>
  <si>
    <t>DILLARD ELEANOR GERHARD TRUSTEE</t>
  </si>
  <si>
    <t>ELEANOR GERHARD DILLARD REV TR</t>
  </si>
  <si>
    <t>136 ARRENDAL CT</t>
  </si>
  <si>
    <t>J6050D0014</t>
  </si>
  <si>
    <t>YUAN NING LU</t>
  </si>
  <si>
    <t>123 CEDAR RIDGE RD</t>
  </si>
  <si>
    <t>I5050C0028</t>
  </si>
  <si>
    <t>RP HOMES 3, LLC</t>
  </si>
  <si>
    <t>E20000001101</t>
  </si>
  <si>
    <t>HEDRICK TRAVIS RAY</t>
  </si>
  <si>
    <t>691 DUKE WHITTAKER ROAD</t>
  </si>
  <si>
    <t>K8100A0004</t>
  </si>
  <si>
    <t>NICHOLS SELICITY L</t>
  </si>
  <si>
    <t>NICHOLS ANTHONY</t>
  </si>
  <si>
    <t>128 PEACE CT</t>
  </si>
  <si>
    <t>D7030C001301</t>
  </si>
  <si>
    <t>BRITT ADELE R</t>
  </si>
  <si>
    <t>116 FREEDOM DR</t>
  </si>
  <si>
    <t>27006-7933</t>
  </si>
  <si>
    <t>I800000015</t>
  </si>
  <si>
    <t>ALEXANDER JOHN M SR</t>
  </si>
  <si>
    <t>1279 POPLAR SPRINGS RD</t>
  </si>
  <si>
    <t>28625-9312</t>
  </si>
  <si>
    <t>I80000001602</t>
  </si>
  <si>
    <t>D9050B0013</t>
  </si>
  <si>
    <t>JUNE B WINSTON TRUST</t>
  </si>
  <si>
    <t>WINSTON JUNE B TRUSTEE</t>
  </si>
  <si>
    <t>3327 BERMUDA VLG</t>
  </si>
  <si>
    <t>F300000054</t>
  </si>
  <si>
    <t>WATSON HENRY WARREN JR</t>
  </si>
  <si>
    <t>BRYANT APRIL LYNN</t>
  </si>
  <si>
    <t>3187 US HIGHWAY 601 N</t>
  </si>
  <si>
    <t>E900000206</t>
  </si>
  <si>
    <t>MILLER BRENT M</t>
  </si>
  <si>
    <t>MILLER SYDNEY R</t>
  </si>
  <si>
    <t>382 KINGSMILL DR</t>
  </si>
  <si>
    <t>J600000075</t>
  </si>
  <si>
    <t>MORRISON WILLIAM ROBERT</t>
  </si>
  <si>
    <t>2000 US HIGHWAY 64 E</t>
  </si>
  <si>
    <t>D20000002903</t>
  </si>
  <si>
    <t>SAMUELS FLETCHER A</t>
  </si>
  <si>
    <t>SAMUELS AMBER P</t>
  </si>
  <si>
    <t>438 MADISON RD</t>
  </si>
  <si>
    <t>J600000097  A</t>
  </si>
  <si>
    <t>COCKERHAM ELOISE TURNER</t>
  </si>
  <si>
    <t>COCKERHAM KATHY LOUISE</t>
  </si>
  <si>
    <t>196 GROVER RD</t>
  </si>
  <si>
    <t>H9070A0024</t>
  </si>
  <si>
    <t>143B N MAIN ST</t>
  </si>
  <si>
    <t>27028-2422</t>
  </si>
  <si>
    <t>L400000020</t>
  </si>
  <si>
    <t>STALLINGS BRADY D</t>
  </si>
  <si>
    <t>639 GLADSTONE RD</t>
  </si>
  <si>
    <t>K70000003001</t>
  </si>
  <si>
    <t>SMYERS DARLA ADAMS</t>
  </si>
  <si>
    <t>SMYERS BRUCE WAYNE</t>
  </si>
  <si>
    <t>245 MASON DR</t>
  </si>
  <si>
    <t>K700000030</t>
  </si>
  <si>
    <t>J20000003804</t>
  </si>
  <si>
    <t>SIGMON AMANDA J</t>
  </si>
  <si>
    <t>220 PINE FOREST LN</t>
  </si>
  <si>
    <t>I70000004301</t>
  </si>
  <si>
    <t>ROMINGER JEFFREY W</t>
  </si>
  <si>
    <t>1128 WILLIAMS RD</t>
  </si>
  <si>
    <t>N50000003001</t>
  </si>
  <si>
    <t>YOUNG WAYNE STEPHEN</t>
  </si>
  <si>
    <t>828 PINE RIDGE RD</t>
  </si>
  <si>
    <t>M5100A0011</t>
  </si>
  <si>
    <t>ARDON JOSE ALEXANDER GERRERO</t>
  </si>
  <si>
    <t>SOLIS BRISEYDA C RAMOS</t>
  </si>
  <si>
    <t>7584 NC HIGHWAY 801 S</t>
  </si>
  <si>
    <t>I5160B0039</t>
  </si>
  <si>
    <t>CAROLINA DRILLING INC</t>
  </si>
  <si>
    <t>326 RAILROAD ST</t>
  </si>
  <si>
    <t>27028-2232</t>
  </si>
  <si>
    <t>I5050D0007</t>
  </si>
  <si>
    <t>JONES RENA</t>
  </si>
  <si>
    <t>463 MOUNTVIEW DR</t>
  </si>
  <si>
    <t>G9100A0033</t>
  </si>
  <si>
    <t>YATES ARTHUR KYLE</t>
  </si>
  <si>
    <t>YATES TERRI STUMP</t>
  </si>
  <si>
    <t>102 CREEKVIEW DR</t>
  </si>
  <si>
    <t>27006-7498</t>
  </si>
  <si>
    <t>M600000011</t>
  </si>
  <si>
    <t>NC PACE RE LLC</t>
  </si>
  <si>
    <t>% FORMATION CAPITAL</t>
  </si>
  <si>
    <t>17 CHURCH ST</t>
  </si>
  <si>
    <t>J5030A0009</t>
  </si>
  <si>
    <t>N600000016</t>
  </si>
  <si>
    <t>G600000038</t>
  </si>
  <si>
    <t>CARTER SCOTTY TILDEN</t>
  </si>
  <si>
    <t>148 TERRENCE LANE</t>
  </si>
  <si>
    <t>I5170C0008</t>
  </si>
  <si>
    <t>LEGG BRENDA JOYNER</t>
  </si>
  <si>
    <t>104 E BRICK WALK CT</t>
  </si>
  <si>
    <t>K500000065</t>
  </si>
  <si>
    <t>WALLER NELLIE IJAMES ETAL</t>
  </si>
  <si>
    <t>528 WILL BOONE ROAD</t>
  </si>
  <si>
    <t>E100000018</t>
  </si>
  <si>
    <t>HERNANDEZ ANA JESSY ERAZO</t>
  </si>
  <si>
    <t>DIAZ GERMAN ARISTIDES URRUTIA</t>
  </si>
  <si>
    <t>474 TURKEY FOOT RD</t>
  </si>
  <si>
    <t>27028-5933</t>
  </si>
  <si>
    <t>E40000001501</t>
  </si>
  <si>
    <t>CUJAS SUSAN WEST</t>
  </si>
  <si>
    <t>CUJAS ALBERT RODGER</t>
  </si>
  <si>
    <t>1187 CANA RD</t>
  </si>
  <si>
    <t>M4130A001502</t>
  </si>
  <si>
    <t>FITZGERALD BARBARA ANN</t>
  </si>
  <si>
    <t>166 WESTVIEW AVE</t>
  </si>
  <si>
    <t>27028-5475</t>
  </si>
  <si>
    <t>J80000003201</t>
  </si>
  <si>
    <t>GAYNELL Y FOSTER LIVING TRUST</t>
  </si>
  <si>
    <t>FOSTER GAYNELL Y TRUSTEE</t>
  </si>
  <si>
    <t>5166 GLENWOOD ST</t>
  </si>
  <si>
    <t>28673-9216</t>
  </si>
  <si>
    <t>B20000004506</t>
  </si>
  <si>
    <t>APPERSON TERESA M</t>
  </si>
  <si>
    <t>571 CHINQUAPIN RD</t>
  </si>
  <si>
    <t>B20000003206</t>
  </si>
  <si>
    <t>MCEWEN JESSE STANLEY JR</t>
  </si>
  <si>
    <t>483 CHINQUAPIN RD</t>
  </si>
  <si>
    <t>27028-4710</t>
  </si>
  <si>
    <t>H600000030</t>
  </si>
  <si>
    <t>E900000508</t>
  </si>
  <si>
    <t>CAYTON JEFFREY</t>
  </si>
  <si>
    <t>CAYTON STEPHANIE</t>
  </si>
  <si>
    <t>111 AUGUSTA CT</t>
  </si>
  <si>
    <t>M4120A0008</t>
  </si>
  <si>
    <t>CAUDLE AUSTIN</t>
  </si>
  <si>
    <t>126 FLAT ROCK RD</t>
  </si>
  <si>
    <t>D9010E0025</t>
  </si>
  <si>
    <t>SKAF DARBAH</t>
  </si>
  <si>
    <t>319 BING CROSBY BLVD</t>
  </si>
  <si>
    <t>J50000004402</t>
  </si>
  <si>
    <t>JAMES CHARLENE</t>
  </si>
  <si>
    <t>27028-5419</t>
  </si>
  <si>
    <t>AMBERJ</t>
  </si>
  <si>
    <t>G9090D0013</t>
  </si>
  <si>
    <t>OAKLEY KEITH VINCENT</t>
  </si>
  <si>
    <t>OAKLEY MARIE</t>
  </si>
  <si>
    <t>13440 GALLANT FOX CIR W</t>
  </si>
  <si>
    <t>JACKSONVILLE</t>
  </si>
  <si>
    <t>32218-1946</t>
  </si>
  <si>
    <t>D7030C0008</t>
  </si>
  <si>
    <t>FRIDY JOHN HARDIN</t>
  </si>
  <si>
    <t>118 LESTER DR</t>
  </si>
  <si>
    <t>G4080A003201</t>
  </si>
  <si>
    <t>LEMUS FRANCISCO ALVARADO</t>
  </si>
  <si>
    <t>MENDOZA-ALVARADO NINFA RAMIREZ</t>
  </si>
  <si>
    <t>1402 MAIN CHURCH ROAD</t>
  </si>
  <si>
    <t>D700000008</t>
  </si>
  <si>
    <t>CAUDILL DANIEL</t>
  </si>
  <si>
    <t>CAUDILL SARAH NOON</t>
  </si>
  <si>
    <t>685 REDLAND RD</t>
  </si>
  <si>
    <t>D9010A0017</t>
  </si>
  <si>
    <t>BURTON BENITA BALL</t>
  </si>
  <si>
    <t>141 PEMBROOKE RIDGE CT</t>
  </si>
  <si>
    <t>H900000037</t>
  </si>
  <si>
    <t>TAYLOR MICHAEL R</t>
  </si>
  <si>
    <t>TAYLOR KELLEY D</t>
  </si>
  <si>
    <t>189 BURTON ROAD</t>
  </si>
  <si>
    <t>C5130B001201</t>
  </si>
  <si>
    <t>CAVANAUGH DAVID ALAN JR</t>
  </si>
  <si>
    <t>CAVANAUGH ANGELA ARMSTRONG</t>
  </si>
  <si>
    <t>165 DROKE CIR</t>
  </si>
  <si>
    <t>C5130B0011</t>
  </si>
  <si>
    <t>I50000001111</t>
  </si>
  <si>
    <t>PRECISION ENTERPRISES OF NC LLC</t>
  </si>
  <si>
    <t>822 TURKEY FOOT RD</t>
  </si>
  <si>
    <t>27028-5937</t>
  </si>
  <si>
    <t>G10000002201</t>
  </si>
  <si>
    <t>RODRIGUEZ YANELIS</t>
  </si>
  <si>
    <t>1342 COUNTY LINE ROAD</t>
  </si>
  <si>
    <t>G100000024</t>
  </si>
  <si>
    <t>F80000002203</t>
  </si>
  <si>
    <t>KING BARRY H</t>
  </si>
  <si>
    <t>YOKLEY KATHY L</t>
  </si>
  <si>
    <t>129 LANTERN DR</t>
  </si>
  <si>
    <t>G50000010501</t>
  </si>
  <si>
    <t>CASSIDY DWIGHT D</t>
  </si>
  <si>
    <t>140 NE 4TH ST</t>
  </si>
  <si>
    <t>B600000034</t>
  </si>
  <si>
    <t>MYERS HELEN S YOUNG</t>
  </si>
  <si>
    <t>MYERS BOBBY</t>
  </si>
  <si>
    <t>27028-7820</t>
  </si>
  <si>
    <t>C60000004102</t>
  </si>
  <si>
    <t>J4140B0064</t>
  </si>
  <si>
    <t>HARRIS LANDON</t>
  </si>
  <si>
    <t>HARRIS HAYLEY</t>
  </si>
  <si>
    <t>170 N CAROLINA CIR</t>
  </si>
  <si>
    <t>J40000003611</t>
  </si>
  <si>
    <t>B3010A0001</t>
  </si>
  <si>
    <t>B300000098</t>
  </si>
  <si>
    <t>G700000138</t>
  </si>
  <si>
    <t>BARNEY RONALD L</t>
  </si>
  <si>
    <t>1794 PEOPLES CREEK RD</t>
  </si>
  <si>
    <t>I5010B0015</t>
  </si>
  <si>
    <t>CARTER WILLIAM C</t>
  </si>
  <si>
    <t>CARTER PAMELA</t>
  </si>
  <si>
    <t>125 HEWITT LN</t>
  </si>
  <si>
    <t>I5010B0003</t>
  </si>
  <si>
    <t>C300000017</t>
  </si>
  <si>
    <t>SEAWRIGHT MARK</t>
  </si>
  <si>
    <t>252 OTTER CIR</t>
  </si>
  <si>
    <t>FAYETTEVILLE</t>
  </si>
  <si>
    <t>30215-5265</t>
  </si>
  <si>
    <t>I700000079</t>
  </si>
  <si>
    <t>G8050B0029</t>
  </si>
  <si>
    <t>BARNEY IRENE G</t>
  </si>
  <si>
    <t>27006-0228</t>
  </si>
  <si>
    <t>H700000085</t>
  </si>
  <si>
    <t>H70000008402</t>
  </si>
  <si>
    <t>I4140B0007</t>
  </si>
  <si>
    <t>REDMAN SAMUEL P</t>
  </si>
  <si>
    <t>424 AVON ST</t>
  </si>
  <si>
    <t>27028-2308</t>
  </si>
  <si>
    <t>E80000001205</t>
  </si>
  <si>
    <t>OAK VALLEY GOLF CLUB LLC</t>
  </si>
  <si>
    <t>PO BOX 4206</t>
  </si>
  <si>
    <t>27404-4206</t>
  </si>
  <si>
    <t>E80000010601</t>
  </si>
  <si>
    <t>E80000001204</t>
  </si>
  <si>
    <t>E800000101</t>
  </si>
  <si>
    <t>E800000111</t>
  </si>
  <si>
    <t>E700000183</t>
  </si>
  <si>
    <t>I5090E0009</t>
  </si>
  <si>
    <t>STEVENSON LOTOYA H</t>
  </si>
  <si>
    <t>199 CHERRY ST</t>
  </si>
  <si>
    <t>27028-2203</t>
  </si>
  <si>
    <t>E30000009401</t>
  </si>
  <si>
    <t>178 STANLEY TRL</t>
  </si>
  <si>
    <t>27028-4668</t>
  </si>
  <si>
    <t>E300000094</t>
  </si>
  <si>
    <t>E300000025</t>
  </si>
  <si>
    <t>E30000009403A</t>
  </si>
  <si>
    <t>C30000001901</t>
  </si>
  <si>
    <t>HOWELL EMMA L HEIRS</t>
  </si>
  <si>
    <t>110 BRAMBLEWOOD LN</t>
  </si>
  <si>
    <t>H100000012</t>
  </si>
  <si>
    <t>SAM HOWARD FARM INC</t>
  </si>
  <si>
    <t>E900000567</t>
  </si>
  <si>
    <t>WORLEY JOE RONALD</t>
  </si>
  <si>
    <t>104 CARTGATE CT</t>
  </si>
  <si>
    <t>H200000042</t>
  </si>
  <si>
    <t>BUMGARNER JOYCE ELAINE</t>
  </si>
  <si>
    <t>141 VANZANT RD</t>
  </si>
  <si>
    <t>G20000004101</t>
  </si>
  <si>
    <t>MCDANIEL SHARON TUTTEROW</t>
  </si>
  <si>
    <t>131 BEAVER BRANCH TRL</t>
  </si>
  <si>
    <t>J5150C0007</t>
  </si>
  <si>
    <t>COLEMAN THOMAS F</t>
  </si>
  <si>
    <t>COLEMAN CAMILLE M</t>
  </si>
  <si>
    <t>219 SOUTHWOOD DR</t>
  </si>
  <si>
    <t>27028-4337</t>
  </si>
  <si>
    <t>G7030A0005</t>
  </si>
  <si>
    <t>HALL VICTORIA SUSAN</t>
  </si>
  <si>
    <t>155 CAMDEN CT</t>
  </si>
  <si>
    <t>H70000007007</t>
  </si>
  <si>
    <t>CAGLE STEPHEN</t>
  </si>
  <si>
    <t>YARBROUGH ALEXANDRA</t>
  </si>
  <si>
    <t>274 BAILEYS CHAPEL RD</t>
  </si>
  <si>
    <t>G40000003305</t>
  </si>
  <si>
    <t>GAGER JASON J</t>
  </si>
  <si>
    <t>GAGER EMILY J</t>
  </si>
  <si>
    <t>729 MAIN CHURCH RD</t>
  </si>
  <si>
    <t>27028-5850</t>
  </si>
  <si>
    <t>G4090A0011</t>
  </si>
  <si>
    <t>L400000056</t>
  </si>
  <si>
    <t>MITCHELL CHRISTOPHER TODD</t>
  </si>
  <si>
    <t>138 EDGE WAY</t>
  </si>
  <si>
    <t>E10000001408</t>
  </si>
  <si>
    <t>BECK SAMUEL WELLMAN HEIRS OF</t>
  </si>
  <si>
    <t>287 LOG CABIN RD</t>
  </si>
  <si>
    <t>K5150A000511A</t>
  </si>
  <si>
    <t>TRAWITZ DALTON</t>
  </si>
  <si>
    <t>SNYDER DEBRA ANN</t>
  </si>
  <si>
    <t>151 HINKLE DR</t>
  </si>
  <si>
    <t>27028-6656</t>
  </si>
  <si>
    <t>N5010D0005</t>
  </si>
  <si>
    <t>28 A STATE IN THE MOUNTAIN LLC</t>
  </si>
  <si>
    <t>302 BEDFORD AVE # 365</t>
  </si>
  <si>
    <t>11249-4238</t>
  </si>
  <si>
    <t>M600000038</t>
  </si>
  <si>
    <t>HERNON NICHOLAS</t>
  </si>
  <si>
    <t>HERNON STEPHANIE</t>
  </si>
  <si>
    <t>592 BECKTOWN RD</t>
  </si>
  <si>
    <t>E70000005301</t>
  </si>
  <si>
    <t>MARCH STEVEN</t>
  </si>
  <si>
    <t>COHEN TRISTAN</t>
  </si>
  <si>
    <t>697 JUNEY BEAUCHAMP RD</t>
  </si>
  <si>
    <t>E900000559</t>
  </si>
  <si>
    <t>ESEH ELVIS E</t>
  </si>
  <si>
    <t>ESEH MARTHA L</t>
  </si>
  <si>
    <t>196 ARNOLD PALMER DR</t>
  </si>
  <si>
    <t>D9010C0016</t>
  </si>
  <si>
    <t>ROTHWELL THOMAS E TRUSTEE</t>
  </si>
  <si>
    <t>JUDD SANDRA TRUSTEE</t>
  </si>
  <si>
    <t>151 SAINT GEORGE PL</t>
  </si>
  <si>
    <t>N60000007101</t>
  </si>
  <si>
    <t>JUAREZ EDUARDO HERNANDEZ</t>
  </si>
  <si>
    <t>344 BOXWOOD CHURCH RD</t>
  </si>
  <si>
    <t>27028-6613</t>
  </si>
  <si>
    <t>M5150A0003</t>
  </si>
  <si>
    <t>OKLA ENTERPRISE LLC</t>
  </si>
  <si>
    <t>7647 NC HIGHWAY 801 S</t>
  </si>
  <si>
    <t>27028-6741</t>
  </si>
  <si>
    <t>H200000015</t>
  </si>
  <si>
    <t>RATLEDGE ANNETTE DICKENS</t>
  </si>
  <si>
    <t>143 FRED LANIER RD</t>
  </si>
  <si>
    <t>H40000001501</t>
  </si>
  <si>
    <t>HOOKER RYAN DALLAS</t>
  </si>
  <si>
    <t>G7040A0024</t>
  </si>
  <si>
    <t>GREEN NATHAN</t>
  </si>
  <si>
    <t>174 CASA BELLA DR</t>
  </si>
  <si>
    <t>27006-7177</t>
  </si>
  <si>
    <t>F30000002205</t>
  </si>
  <si>
    <t>TRINITY INVESTORS LLC</t>
  </si>
  <si>
    <t>464 SCOTTSDALE DR</t>
  </si>
  <si>
    <t>28146-2386</t>
  </si>
  <si>
    <t>D9050A0004</t>
  </si>
  <si>
    <t>LIVENGOOD THOMAS DILLON</t>
  </si>
  <si>
    <t>LIVENGOOD PATRICIA LIVENGOOD</t>
  </si>
  <si>
    <t>3115 BERMUDA VLG</t>
  </si>
  <si>
    <t>D9050A0044</t>
  </si>
  <si>
    <t>DELLIES SKIPPER CAIN</t>
  </si>
  <si>
    <t>3204 BERMUDA VLG</t>
  </si>
  <si>
    <t>H4180A0013</t>
  </si>
  <si>
    <t>THOMPSON LAVERNE ANN</t>
  </si>
  <si>
    <t>131 STERLING DR</t>
  </si>
  <si>
    <t>I600000030</t>
  </si>
  <si>
    <t>MAYSILLES MARY G</t>
  </si>
  <si>
    <t>316 WILLIAMS RD</t>
  </si>
  <si>
    <t>27028-7449</t>
  </si>
  <si>
    <t>I700000029</t>
  </si>
  <si>
    <t>WILLIAMS RICHARD W</t>
  </si>
  <si>
    <t>WILLIAMS ELAINE</t>
  </si>
  <si>
    <t>706 WILLIAMS RD</t>
  </si>
  <si>
    <t>E8170A0698</t>
  </si>
  <si>
    <t>NICOLAY BRIAN</t>
  </si>
  <si>
    <t>148 LEGACY DR</t>
  </si>
  <si>
    <t>J10000001002</t>
  </si>
  <si>
    <t>GAITHER RICHARD KENDALL</t>
  </si>
  <si>
    <t>GAITHER INGRID WOODS</t>
  </si>
  <si>
    <t>PO BOX 14</t>
  </si>
  <si>
    <t>CRANBERRY ISLES</t>
  </si>
  <si>
    <t>ME</t>
  </si>
  <si>
    <t>F700000018</t>
  </si>
  <si>
    <t>ASHLEY FURNITURE IND., INC</t>
  </si>
  <si>
    <t>1 ASHLEY WAY</t>
  </si>
  <si>
    <t>ARCADIA</t>
  </si>
  <si>
    <t>54612-1218</t>
  </si>
  <si>
    <t>M5090C0014</t>
  </si>
  <si>
    <t>HOSCH CYNTHIA LAVERNE</t>
  </si>
  <si>
    <t>152 JERUSALEM AVE</t>
  </si>
  <si>
    <t>G30000000406</t>
  </si>
  <si>
    <t>BURTON ACRES LLC</t>
  </si>
  <si>
    <t>PO BOX 321</t>
  </si>
  <si>
    <t>F70000001813</t>
  </si>
  <si>
    <t>F70000001811</t>
  </si>
  <si>
    <t>F800000017</t>
  </si>
  <si>
    <t>MOCK CAROL W</t>
  </si>
  <si>
    <t>450 BEAUCHAMP RD</t>
  </si>
  <si>
    <t>M600000043</t>
  </si>
  <si>
    <t>BOSTIAN CURTIS SCOTT</t>
  </si>
  <si>
    <t>BOSTIAN SUSANNE BAXLEY</t>
  </si>
  <si>
    <t>4816 CYPRESS FORD DR</t>
  </si>
  <si>
    <t>FUQUAY VARINA</t>
  </si>
  <si>
    <t>27526-9083</t>
  </si>
  <si>
    <t>M600000040</t>
  </si>
  <si>
    <t>I5010B0014</t>
  </si>
  <si>
    <t>I5010B001401</t>
  </si>
  <si>
    <t>D8070C0005</t>
  </si>
  <si>
    <t>JERNIGAN CARSON S</t>
  </si>
  <si>
    <t>991 RIVERBEND DR</t>
  </si>
  <si>
    <t>I1120A0005</t>
  </si>
  <si>
    <t>WILLIAMS MYRTLE LEE</t>
  </si>
  <si>
    <t>382 OAKLAND AVE</t>
  </si>
  <si>
    <t>I1120A0029</t>
  </si>
  <si>
    <t>NU-LAND PROPERTIES LLC</t>
  </si>
  <si>
    <t>630 SAINT ANDREWS RD</t>
  </si>
  <si>
    <t>28625-4665</t>
  </si>
  <si>
    <t>J7010A0020</t>
  </si>
  <si>
    <t>SAUDER LAVERN</t>
  </si>
  <si>
    <t>118 HICKORY TREE RD</t>
  </si>
  <si>
    <t>F800000139</t>
  </si>
  <si>
    <t>CLOSE MARIEANNE LINE</t>
  </si>
  <si>
    <t>CLOSE MATTHEW EDWARD</t>
  </si>
  <si>
    <t>1039 UNDERPASS RD</t>
  </si>
  <si>
    <t>27006-7529</t>
  </si>
  <si>
    <t>L5070A0005</t>
  </si>
  <si>
    <t>MAYFIELD TABATHA ANN</t>
  </si>
  <si>
    <t>127 WINDSONG RD APT 201</t>
  </si>
  <si>
    <t>27028-2956</t>
  </si>
  <si>
    <t>F600000062</t>
  </si>
  <si>
    <t>GOMEZ NELSON JOEL MARTINEZ</t>
  </si>
  <si>
    <t>MARTINEZ MARISOL DE LA PAZ RAM</t>
  </si>
  <si>
    <t>3394 US HIGHWAY 158</t>
  </si>
  <si>
    <t>M400000035</t>
  </si>
  <si>
    <t>HOILIEN BRANDON</t>
  </si>
  <si>
    <t>HOILIEN KELSIE</t>
  </si>
  <si>
    <t>1864 JUNCTION RD</t>
  </si>
  <si>
    <t>D9010A0008</t>
  </si>
  <si>
    <t>CBHK PROPERTIES LLC</t>
  </si>
  <si>
    <t>1219 RIVERBEND DR</t>
  </si>
  <si>
    <t>27006-8532</t>
  </si>
  <si>
    <t>I20000000102</t>
  </si>
  <si>
    <t>B10000001801</t>
  </si>
  <si>
    <t>STAFFORD CHARLES FREDERICK JR</t>
  </si>
  <si>
    <t>STAFFORD CINDI LEA</t>
  </si>
  <si>
    <t>359 AMBERHILL RD</t>
  </si>
  <si>
    <t>27055-6279</t>
  </si>
  <si>
    <t>G7010A0012</t>
  </si>
  <si>
    <t>BURTON DENNIS HAROLD</t>
  </si>
  <si>
    <t>BURTON AMANDA ANNE</t>
  </si>
  <si>
    <t>109 BALTIMORE DOWNS RD</t>
  </si>
  <si>
    <t>J5170A0007</t>
  </si>
  <si>
    <t>SCHAU WILLIAM</t>
  </si>
  <si>
    <t>SCHAU SUSAN MARIE</t>
  </si>
  <si>
    <t>162 ELBERON CT</t>
  </si>
  <si>
    <t>J20000003907</t>
  </si>
  <si>
    <t>SPORTS JOSHUA MATTHEW</t>
  </si>
  <si>
    <t>SPORTS TAYLOR ANN</t>
  </si>
  <si>
    <t>167 HILTON LN</t>
  </si>
  <si>
    <t>F60000007502</t>
  </si>
  <si>
    <t>SCRUGGS GARY ROBERT</t>
  </si>
  <si>
    <t>SCRUGGS DENISE DARLENE</t>
  </si>
  <si>
    <t>3290 US HIGHWAY 158</t>
  </si>
  <si>
    <t>I60000003001</t>
  </si>
  <si>
    <t>M5090C0005</t>
  </si>
  <si>
    <t>H5200A0013</t>
  </si>
  <si>
    <t>BOWEN CATHERINE ANN</t>
  </si>
  <si>
    <t>BOWEN DAVID CHRISTOPHER</t>
  </si>
  <si>
    <t>138 MATTHIAS CT</t>
  </si>
  <si>
    <t>J7120A0007</t>
  </si>
  <si>
    <t>BOGER ASHLEY M</t>
  </si>
  <si>
    <t>BOGER MICHAEL</t>
  </si>
  <si>
    <t>3109 US HIGHWAY 64 E</t>
  </si>
  <si>
    <t>K20000006403</t>
  </si>
  <si>
    <t>BOSTICK ELIZABETH</t>
  </si>
  <si>
    <t>1070 DAVIE ACADEMY RD</t>
  </si>
  <si>
    <t>27028-5137</t>
  </si>
  <si>
    <t>H4130A0086</t>
  </si>
  <si>
    <t>ANDERSON JONATHAN D</t>
  </si>
  <si>
    <t>128 SWEETGUM DR</t>
  </si>
  <si>
    <t>H4130A0085</t>
  </si>
  <si>
    <t>D9010C0015</t>
  </si>
  <si>
    <t>MORGAN BRIGITTE</t>
  </si>
  <si>
    <t>MORGAN SAMUEL JR</t>
  </si>
  <si>
    <t>149 SAINT GEORGE PL</t>
  </si>
  <si>
    <t>L800000001</t>
  </si>
  <si>
    <t>SHIVERS JAMES DEWITT</t>
  </si>
  <si>
    <t>SHIVERS SHELLEY</t>
  </si>
  <si>
    <t>687 RIVERVIEW RD</t>
  </si>
  <si>
    <t>27006-7037</t>
  </si>
  <si>
    <t>D9010E0014</t>
  </si>
  <si>
    <t>HARRELL MATTHEW TODD</t>
  </si>
  <si>
    <t>HARRELL LAURA</t>
  </si>
  <si>
    <t>153 RIVER HILL DR</t>
  </si>
  <si>
    <t>H500000064</t>
  </si>
  <si>
    <t>EHRLICH PAUL</t>
  </si>
  <si>
    <t>161 HARMONY LN</t>
  </si>
  <si>
    <t>27028-4210</t>
  </si>
  <si>
    <t>D20000001001</t>
  </si>
  <si>
    <t>COZART DAWN I ETAL</t>
  </si>
  <si>
    <t>313 WILKESBORO ST</t>
  </si>
  <si>
    <t>C70000009302</t>
  </si>
  <si>
    <t>SPAUGH SARAH R</t>
  </si>
  <si>
    <t>153 AURORA LN</t>
  </si>
  <si>
    <t>27006-7956</t>
  </si>
  <si>
    <t>J80000000901</t>
  </si>
  <si>
    <t>LANDRETH JEREMY</t>
  </si>
  <si>
    <t>LANDRETH MEAGHAN</t>
  </si>
  <si>
    <t>232 FULTON RD</t>
  </si>
  <si>
    <t>F60000009808</t>
  </si>
  <si>
    <t>MARSHALL MADELINE ALANA</t>
  </si>
  <si>
    <t>779 HOWARDTOWN CIR</t>
  </si>
  <si>
    <t>27028-7706</t>
  </si>
  <si>
    <t>K500000064</t>
  </si>
  <si>
    <t>ROBBINS JANE H</t>
  </si>
  <si>
    <t>644 WILL BOONE RD</t>
  </si>
  <si>
    <t>H30000005401</t>
  </si>
  <si>
    <t>LOGAN DAKOTA JAMES WAYNE</t>
  </si>
  <si>
    <t>LOGAN KAREN ELIZABETH</t>
  </si>
  <si>
    <t>153 BRYANT LN</t>
  </si>
  <si>
    <t>27028-8481</t>
  </si>
  <si>
    <t>H5170A0020</t>
  </si>
  <si>
    <t>WHITE CHRISTOPHER S</t>
  </si>
  <si>
    <t>WHITE MEGHAN</t>
  </si>
  <si>
    <t>121 FOX HORN CT</t>
  </si>
  <si>
    <t>I60000008001</t>
  </si>
  <si>
    <t>JANN BRYAN C</t>
  </si>
  <si>
    <t>JANN RACHEL L</t>
  </si>
  <si>
    <t>280 PETE FOSTER RD</t>
  </si>
  <si>
    <t>27028-7350</t>
  </si>
  <si>
    <t>C8030A000502</t>
  </si>
  <si>
    <t>PRILLAMAN HOLLY KING</t>
  </si>
  <si>
    <t>164 PINEWOOD LN UNIT 102</t>
  </si>
  <si>
    <t>27006-8641</t>
  </si>
  <si>
    <t>D9090C0002</t>
  </si>
  <si>
    <t>ESTES RICHARD CARY</t>
  </si>
  <si>
    <t>130 LINDEN PL</t>
  </si>
  <si>
    <t>J4040A0002</t>
  </si>
  <si>
    <t>BEAN DAVID</t>
  </si>
  <si>
    <t>367 W MAPLE AVE</t>
  </si>
  <si>
    <t>C8010A0124</t>
  </si>
  <si>
    <t>MCH SFR PROPERTY OWNER 4 LLC</t>
  </si>
  <si>
    <t>F80000002217</t>
  </si>
  <si>
    <t>HENDERSON TIMOTHY JOHN</t>
  </si>
  <si>
    <t>HENDERSON PRISCILLA GLASCO</t>
  </si>
  <si>
    <t>137 ARROW GLENN CT</t>
  </si>
  <si>
    <t>J5150E0005</t>
  </si>
  <si>
    <t>VANDER SLUIS CHAD RYAN</t>
  </si>
  <si>
    <t>VAN SLUIS TERRIE CHRISTINA</t>
  </si>
  <si>
    <t>292 ROLLINGWOOD DR</t>
  </si>
  <si>
    <t>H600000053</t>
  </si>
  <si>
    <t>FOSTER JANET BOGER</t>
  </si>
  <si>
    <t>2429 MILLING RD</t>
  </si>
  <si>
    <t>H9070A0021</t>
  </si>
  <si>
    <t>COOK HEATHER MARIE</t>
  </si>
  <si>
    <t>147 IRISHMAN PL</t>
  </si>
  <si>
    <t>G50000008115</t>
  </si>
  <si>
    <t>EVANS ISAAC</t>
  </si>
  <si>
    <t>EVANS JORDAN</t>
  </si>
  <si>
    <t>180 EAGLES LANDING LN</t>
  </si>
  <si>
    <t>L4130A0021</t>
  </si>
  <si>
    <t>GOSHEN LANDS INCORPORATED</t>
  </si>
  <si>
    <t>L40000004108</t>
  </si>
  <si>
    <t>L4130A0007</t>
  </si>
  <si>
    <t>L40000004109</t>
  </si>
  <si>
    <t>L40000004111</t>
  </si>
  <si>
    <t>L40000004105</t>
  </si>
  <si>
    <t>K400000044</t>
  </si>
  <si>
    <t>L40000004107</t>
  </si>
  <si>
    <t>L500000024</t>
  </si>
  <si>
    <t>L500000023</t>
  </si>
  <si>
    <t>F30000000516</t>
  </si>
  <si>
    <t>WILLIAMS DONALD</t>
  </si>
  <si>
    <t>114 ELRICA LN</t>
  </si>
  <si>
    <t>27028-8378</t>
  </si>
  <si>
    <t>D600000022</t>
  </si>
  <si>
    <t>ANDERSON JAMIE RAY</t>
  </si>
  <si>
    <t>ANDERSON HEATHER MARIE</t>
  </si>
  <si>
    <t>374 SPEAKS RD</t>
  </si>
  <si>
    <t>E900000566</t>
  </si>
  <si>
    <t>WILLIAMS MICHAEL T</t>
  </si>
  <si>
    <t>116 ARNOLD PALMER DR</t>
  </si>
  <si>
    <t>I30000000901</t>
  </si>
  <si>
    <t>LAKEY GRANT S</t>
  </si>
  <si>
    <t>165 WALKER ROAD</t>
  </si>
  <si>
    <t>D8090B0004</t>
  </si>
  <si>
    <t>LONG THOMAS</t>
  </si>
  <si>
    <t>LONG MARTHA F</t>
  </si>
  <si>
    <t>110 ROTUNDA CIR</t>
  </si>
  <si>
    <t>J300000011</t>
  </si>
  <si>
    <t>CROOKS MICHELLE ANTIONETTE</t>
  </si>
  <si>
    <t>2670 SW 85TH TER</t>
  </si>
  <si>
    <t>MIRAMAR</t>
  </si>
  <si>
    <t>33025-2948</t>
  </si>
  <si>
    <t>L40000003402</t>
  </si>
  <si>
    <t>129 CABLE LN</t>
  </si>
  <si>
    <t>H4130A0104</t>
  </si>
  <si>
    <t>LEON WUILMER LENIN MALDONADO</t>
  </si>
  <si>
    <t>VARGAS MAYDA YELISA MENCIA</t>
  </si>
  <si>
    <t>230 ASH DR</t>
  </si>
  <si>
    <t>I4120D0010</t>
  </si>
  <si>
    <t>ZDUNCZYK KRISTIN KAY</t>
  </si>
  <si>
    <t>173 W CHURCH ST</t>
  </si>
  <si>
    <t>27028-2105</t>
  </si>
  <si>
    <t>I100000015</t>
  </si>
  <si>
    <t>CANALES OLGA LIDIA HERNANDEZ</t>
  </si>
  <si>
    <t>114 AUTUMN CT</t>
  </si>
  <si>
    <t>I6160A0008</t>
  </si>
  <si>
    <t>YOUNG KIM ERWIN</t>
  </si>
  <si>
    <t>YOUNG SHEILA RENEE</t>
  </si>
  <si>
    <t>172 LINDA LANE</t>
  </si>
  <si>
    <t>E50000003204</t>
  </si>
  <si>
    <t>ROGERS DIANA</t>
  </si>
  <si>
    <t>ROGERS ANDREW KYLE</t>
  </si>
  <si>
    <t>221 CEDAR BROOK LN</t>
  </si>
  <si>
    <t>27028-7858</t>
  </si>
  <si>
    <t>D8070C0009</t>
  </si>
  <si>
    <t>WILSON RONDA M</t>
  </si>
  <si>
    <t>1061 RIVERBEND DR</t>
  </si>
  <si>
    <t>B700000072</t>
  </si>
  <si>
    <t>F80000005701</t>
  </si>
  <si>
    <t>ORRELL VIRGINIA S</t>
  </si>
  <si>
    <t>M4120A0001</t>
  </si>
  <si>
    <t>BLAKE BETTY DARLENE</t>
  </si>
  <si>
    <t>2325 WAUGHTOWN ST</t>
  </si>
  <si>
    <t>27107-1515</t>
  </si>
  <si>
    <t>E900000279</t>
  </si>
  <si>
    <t>PATEL DIPENKUMAR</t>
  </si>
  <si>
    <t>JARIWALA PARAGI</t>
  </si>
  <si>
    <t>113 GRASSLANDS CT</t>
  </si>
  <si>
    <t>F80000002804</t>
  </si>
  <si>
    <t>CARTER MATTHEW B</t>
  </si>
  <si>
    <t>140 BURDETTE WAY</t>
  </si>
  <si>
    <t>27006-7596</t>
  </si>
  <si>
    <t>F800000026</t>
  </si>
  <si>
    <t>M60000000504</t>
  </si>
  <si>
    <t>TENERY WILLO'DEANE FOSTER TRUSTEE</t>
  </si>
  <si>
    <t>WILLO'DEANE TENERY IRREV TRUST</t>
  </si>
  <si>
    <t>397 PLEASANT ACRE DR</t>
  </si>
  <si>
    <t>M600000005</t>
  </si>
  <si>
    <t>M600000006</t>
  </si>
  <si>
    <t>H8060A0002</t>
  </si>
  <si>
    <t>KENNEDY LARRY FLOYD</t>
  </si>
  <si>
    <t>KENNEDY SALINA MARIE</t>
  </si>
  <si>
    <t>112 COVINGTON DR</t>
  </si>
  <si>
    <t>M5100C001602</t>
  </si>
  <si>
    <t>ARDON ELI NINROD GUERRERO</t>
  </si>
  <si>
    <t>7573 NC HWY 801</t>
  </si>
  <si>
    <t>C600000053</t>
  </si>
  <si>
    <t>TAYLOR DAVID C</t>
  </si>
  <si>
    <t>220 MYERS RD</t>
  </si>
  <si>
    <t>C60000005302</t>
  </si>
  <si>
    <t>I4120B0008</t>
  </si>
  <si>
    <t>JONES MICHAEL A</t>
  </si>
  <si>
    <t>JONES DIANE</t>
  </si>
  <si>
    <t>401 WILKESBORO ST</t>
  </si>
  <si>
    <t>27028-2029</t>
  </si>
  <si>
    <t>K5160B0004</t>
  </si>
  <si>
    <t>BONILLA SONIA E</t>
  </si>
  <si>
    <t>CRUZ IVAN GONZALEZ</t>
  </si>
  <si>
    <t>175 MCCULLOUGH RD</t>
  </si>
  <si>
    <t>F80000006901</t>
  </si>
  <si>
    <t>ORRELL WALTER DOUGLAS</t>
  </si>
  <si>
    <t>M5160B0011</t>
  </si>
  <si>
    <t>HAWKS JASON</t>
  </si>
  <si>
    <t>CAMPBELL JEAN</t>
  </si>
  <si>
    <t>440 BRIER CREEK RD</t>
  </si>
  <si>
    <t>I5040A0012</t>
  </si>
  <si>
    <t>DUNLAP DENNIS</t>
  </si>
  <si>
    <t>DUNLAP GEANNA</t>
  </si>
  <si>
    <t>230 ROLLING HILLS LN</t>
  </si>
  <si>
    <t>27028-2813</t>
  </si>
  <si>
    <t>H80000003002</t>
  </si>
  <si>
    <t>KRUGER BEVERLY</t>
  </si>
  <si>
    <t>206 ODELL MYERS RD</t>
  </si>
  <si>
    <t>E900000310</t>
  </si>
  <si>
    <t>FREEMAN CHARLES LADD III</t>
  </si>
  <si>
    <t>FREEMAN KAITLYN MUSSER</t>
  </si>
  <si>
    <t>111 EAGLE WATCH CT</t>
  </si>
  <si>
    <t>27006-6935</t>
  </si>
  <si>
    <t>F20000005503</t>
  </si>
  <si>
    <t>RATLEDGE BOBBY J TRUSTEE</t>
  </si>
  <si>
    <t>RATLEDGE SHERRY P TRUSTEE</t>
  </si>
  <si>
    <t>RATLEDGE FAMILTY TRUST</t>
  </si>
  <si>
    <t>5048 NORTH ROCK CANNON RD</t>
  </si>
  <si>
    <t>TUCSON</t>
  </si>
  <si>
    <t>85750-0000</t>
  </si>
  <si>
    <t>J30000000101</t>
  </si>
  <si>
    <t>KOONTZ WENDELL WILSON</t>
  </si>
  <si>
    <t>1822 DAVIE ACADEMY RD</t>
  </si>
  <si>
    <t>27028-8206</t>
  </si>
  <si>
    <t>I5030A0038</t>
  </si>
  <si>
    <t>PATEL RAJESHKUMAR</t>
  </si>
  <si>
    <t>PATEL SHITALBEN</t>
  </si>
  <si>
    <t>108 E CARMEL COVE DRIVE</t>
  </si>
  <si>
    <t>F20000005502</t>
  </si>
  <si>
    <t>F20000005504</t>
  </si>
  <si>
    <t>D7060A0006</t>
  </si>
  <si>
    <t>JOHNSON BESSIE</t>
  </si>
  <si>
    <t>300 CREEKWOOD DRIVE</t>
  </si>
  <si>
    <t>H80000003104</t>
  </si>
  <si>
    <t>SMEJKAL JEFFREY</t>
  </si>
  <si>
    <t>SMEJKAL LORI</t>
  </si>
  <si>
    <t>134 ODELL MYERS RD</t>
  </si>
  <si>
    <t>E30000008005</t>
  </si>
  <si>
    <t>COOK VIVIAN MARION</t>
  </si>
  <si>
    <t>1948 ANGELL RD</t>
  </si>
  <si>
    <t>C500000071</t>
  </si>
  <si>
    <t>HAMPTON JOSEPH C</t>
  </si>
  <si>
    <t>KIMEL-HAMPTON ANGELA E</t>
  </si>
  <si>
    <t>1948 FARMINGTON RD</t>
  </si>
  <si>
    <t>F200000033</t>
  </si>
  <si>
    <t>WILLIAMS JANIE L</t>
  </si>
  <si>
    <t>1373 SHEFFIELD RD</t>
  </si>
  <si>
    <t>E70000003303</t>
  </si>
  <si>
    <t>DUNN JOHNATHAN CARL</t>
  </si>
  <si>
    <t>DUNN OLIVIA BOGER</t>
  </si>
  <si>
    <t>154 REDLAND RD</t>
  </si>
  <si>
    <t>L5090B001001</t>
  </si>
  <si>
    <t>HABBLEY LISA</t>
  </si>
  <si>
    <t>HABBLEY JAY</t>
  </si>
  <si>
    <t>309 GLADSTONE RD</t>
  </si>
  <si>
    <t>L5090B0010</t>
  </si>
  <si>
    <t>D7020A0019</t>
  </si>
  <si>
    <t>MADDOX TAMICA SHAWTELLE</t>
  </si>
  <si>
    <t>MADDOX SEBASTIAN ERIK</t>
  </si>
  <si>
    <t>241 BRENTWOOD DR</t>
  </si>
  <si>
    <t>H800000034  A</t>
  </si>
  <si>
    <t>HARTMAN JOSHUA EDDIE</t>
  </si>
  <si>
    <t>HARTMAN LUCILLE C</t>
  </si>
  <si>
    <t>359 BEAUCHAMP RD</t>
  </si>
  <si>
    <t>F80000002801</t>
  </si>
  <si>
    <t>HARTMAN JOSHUA EDDIE ETAL</t>
  </si>
  <si>
    <t>E700000073</t>
  </si>
  <si>
    <t>MATTHEWS ASHLEY H</t>
  </si>
  <si>
    <t>I5030A0037</t>
  </si>
  <si>
    <t>TONG JASON LEE</t>
  </si>
  <si>
    <t>116 E CARMEL COVE DRIVE</t>
  </si>
  <si>
    <t>D8070D0044</t>
  </si>
  <si>
    <t>NEUHAUS LINDA B</t>
  </si>
  <si>
    <t>124 FAIRWAY DR</t>
  </si>
  <si>
    <t>F80000002601</t>
  </si>
  <si>
    <t>E900000015</t>
  </si>
  <si>
    <t>COHN RUTTANA K TRUSTEE</t>
  </si>
  <si>
    <t>RUTTANA K COHN LIV TRUST</t>
  </si>
  <si>
    <t>202 OAKMONT DR</t>
  </si>
  <si>
    <t>K300000056</t>
  </si>
  <si>
    <t>PRICE RICHARD LEE</t>
  </si>
  <si>
    <t>479 JUNCTION RD</t>
  </si>
  <si>
    <t>G9090B0054</t>
  </si>
  <si>
    <t>SEIBERT BLAKE</t>
  </si>
  <si>
    <t>SEIBERT AMANDA</t>
  </si>
  <si>
    <t>279 OLD MARCH RD</t>
  </si>
  <si>
    <t>I6140A0049</t>
  </si>
  <si>
    <t>MAXWELL SHARON</t>
  </si>
  <si>
    <t>422 CORNATZER RD</t>
  </si>
  <si>
    <t>MAXWELL  SHARON</t>
  </si>
  <si>
    <t>D9090E0014</t>
  </si>
  <si>
    <t>DRYER ANDREA M</t>
  </si>
  <si>
    <t>DRYER ROBERT J</t>
  </si>
  <si>
    <t>111 OLEANDER DR</t>
  </si>
  <si>
    <t>C70000007804</t>
  </si>
  <si>
    <t>SPASIC SUSAN MARIE</t>
  </si>
  <si>
    <t>154 W ROBIN DR</t>
  </si>
  <si>
    <t>H400000133</t>
  </si>
  <si>
    <t>LAKEY SCARLETT KOONTZ</t>
  </si>
  <si>
    <t>180 HORSESHOE TRL</t>
  </si>
  <si>
    <t>J200000012</t>
  </si>
  <si>
    <t>I4120B0023</t>
  </si>
  <si>
    <t>LEGGETT ZACHARY DAVID</t>
  </si>
  <si>
    <t>LEGGETT MARY BLEVINS</t>
  </si>
  <si>
    <t>701 GARNER ST</t>
  </si>
  <si>
    <t>27028-2043</t>
  </si>
  <si>
    <t>D8070D0017</t>
  </si>
  <si>
    <t>BRENDLE BRENDA F</t>
  </si>
  <si>
    <t>167 FAIRWAY DR</t>
  </si>
  <si>
    <t>J4060A0022</t>
  </si>
  <si>
    <t>MANDARANO PATRICK ANTHONY</t>
  </si>
  <si>
    <t>262 MAGNOLIA AVE</t>
  </si>
  <si>
    <t>G3060D0006</t>
  </si>
  <si>
    <t>SPIGNER CYNTHIA DALE</t>
  </si>
  <si>
    <t>SPIGNER LABARIS L</t>
  </si>
  <si>
    <t>190 NEBBS TRL</t>
  </si>
  <si>
    <t>G700000141</t>
  </si>
  <si>
    <t>CAMPBELL CONNIE MAE Y</t>
  </si>
  <si>
    <t>216 MCDANIEL ROAD</t>
  </si>
  <si>
    <t>G70000014105</t>
  </si>
  <si>
    <t>G7060A0002</t>
  </si>
  <si>
    <t>F80000002224</t>
  </si>
  <si>
    <t>HENLEY AUSTIN CHRISTOPHER</t>
  </si>
  <si>
    <t>THOMAS EYDEN MYLIA</t>
  </si>
  <si>
    <t>170 ARROW GLENN CT</t>
  </si>
  <si>
    <t>G60000001401</t>
  </si>
  <si>
    <t>CHARLES NANCY ANNE</t>
  </si>
  <si>
    <t>372 DULIN RD</t>
  </si>
  <si>
    <t>27028-7202</t>
  </si>
  <si>
    <t>E900000203</t>
  </si>
  <si>
    <t>KING GREGORY JR</t>
  </si>
  <si>
    <t>KING DEVIN R</t>
  </si>
  <si>
    <t>404 KINGSMILL DR</t>
  </si>
  <si>
    <t>I5160A0041</t>
  </si>
  <si>
    <t>SANFORD L GAITHER JR</t>
  </si>
  <si>
    <t>360 N MAIN ST</t>
  </si>
  <si>
    <t>I4130D0001</t>
  </si>
  <si>
    <t>SANFORD LASH G</t>
  </si>
  <si>
    <t>J4050C0001</t>
  </si>
  <si>
    <t>TUCKER CAMERON</t>
  </si>
  <si>
    <t>514 S MAIN ST</t>
  </si>
  <si>
    <t>27028-2610</t>
  </si>
  <si>
    <t>G500000101</t>
  </si>
  <si>
    <t>CASSIDY CHRISTINA MYERS</t>
  </si>
  <si>
    <t>CASSIDY JENNIFER MYERS</t>
  </si>
  <si>
    <t>352 MCCLAMROCK RD</t>
  </si>
  <si>
    <t>27028-4257</t>
  </si>
  <si>
    <t>G500000157</t>
  </si>
  <si>
    <t>CASSIDY CHRISTINA NICOLE</t>
  </si>
  <si>
    <t>D7030A002701</t>
  </si>
  <si>
    <t>BRYANT JIMMY JR</t>
  </si>
  <si>
    <t>BROOKS CARSON</t>
  </si>
  <si>
    <t>222 CREEKWOOD DR</t>
  </si>
  <si>
    <t>D7030A0027</t>
  </si>
  <si>
    <t>D9090E0005</t>
  </si>
  <si>
    <t>MYERS HORWOOD PRETTYMAN III</t>
  </si>
  <si>
    <t>MYERS FRANCES GARLAND</t>
  </si>
  <si>
    <t>206 BING CROSBY BLVD</t>
  </si>
  <si>
    <t>M4130B0009</t>
  </si>
  <si>
    <t>CLARK JAMES H III</t>
  </si>
  <si>
    <t>CARTER MERRI SUE</t>
  </si>
  <si>
    <t>2112 N TIMBERLINE ROAD</t>
  </si>
  <si>
    <t>FLAGSTAFF</t>
  </si>
  <si>
    <t>H200000031</t>
  </si>
  <si>
    <t>WOLFORD MITCHELL L</t>
  </si>
  <si>
    <t>WOLFORD CARLA L</t>
  </si>
  <si>
    <t>488 FRED LANIER ROAD</t>
  </si>
  <si>
    <t>J5010D0085</t>
  </si>
  <si>
    <t>RYDER DENNY L</t>
  </si>
  <si>
    <t>ALEXANDER-RYDER KIMBERLY A</t>
  </si>
  <si>
    <t>148 WINDING CREEK RD</t>
  </si>
  <si>
    <t>D8100C000203</t>
  </si>
  <si>
    <t>CLARK ALEXANDER B</t>
  </si>
  <si>
    <t>CLARK SARAH C</t>
  </si>
  <si>
    <t>549 RIVERBEND DR</t>
  </si>
  <si>
    <t>27006-8525</t>
  </si>
  <si>
    <t>F80000007403</t>
  </si>
  <si>
    <t>HODGES RICKY C</t>
  </si>
  <si>
    <t>HODGES STEPHANIE L</t>
  </si>
  <si>
    <t>142 SADDLEBROOK DR</t>
  </si>
  <si>
    <t>J7010A0016</t>
  </si>
  <si>
    <t>BRYANT JESSICA STANLEY</t>
  </si>
  <si>
    <t>BRYANT JORDAN KIEL</t>
  </si>
  <si>
    <t>152 HICKORY TREE RD</t>
  </si>
  <si>
    <t>E8070A0023</t>
  </si>
  <si>
    <t>CHUMLEY JOHN K</t>
  </si>
  <si>
    <t>WATTS SUSAN K</t>
  </si>
  <si>
    <t>163 OVERLOOK DR</t>
  </si>
  <si>
    <t>H4130A0057</t>
  </si>
  <si>
    <t>NEXPOINT SFR SPE 1 LLC</t>
  </si>
  <si>
    <t>8615 CLIFF CAMERON DR STE 200</t>
  </si>
  <si>
    <t>28269-5914</t>
  </si>
  <si>
    <t>H5150B0006</t>
  </si>
  <si>
    <t>GOAD ELIZABETH ANN</t>
  </si>
  <si>
    <t>GOAD ELIZABETH F TRUSTEE</t>
  </si>
  <si>
    <t>298 DOGWOOD LN</t>
  </si>
  <si>
    <t>27028-2748</t>
  </si>
  <si>
    <t>G300000048</t>
  </si>
  <si>
    <t>RAY EVA MARIE</t>
  </si>
  <si>
    <t>2485 US HIGHWAY 601 N</t>
  </si>
  <si>
    <t>D9050C0030</t>
  </si>
  <si>
    <t>NEAL E &amp; JOYCE M JOHNSON LIV T</t>
  </si>
  <si>
    <t>2313 BERMUDA VLG</t>
  </si>
  <si>
    <t>M5020A0020  A</t>
  </si>
  <si>
    <t>YUNNLEI CORPORATION</t>
  </si>
  <si>
    <t>164 STONE WOOD RD</t>
  </si>
  <si>
    <t>F20000004001</t>
  </si>
  <si>
    <t>CHAFFIN KARLENE B ETAL</t>
  </si>
  <si>
    <t>BLACKWELDER TIMOTHY H</t>
  </si>
  <si>
    <t>PO BOX 1533</t>
  </si>
  <si>
    <t>H50000007002</t>
  </si>
  <si>
    <t>H50000007001</t>
  </si>
  <si>
    <t>C8010A0357</t>
  </si>
  <si>
    <t>COLE TIMOTHY Z</t>
  </si>
  <si>
    <t>MCPHERSON JENNIFER</t>
  </si>
  <si>
    <t>141 KILBOURNE DR</t>
  </si>
  <si>
    <t>H5200A0023</t>
  </si>
  <si>
    <t>FENDER LESLIE MARGARET GWYN</t>
  </si>
  <si>
    <t>108 DRAYTON CT</t>
  </si>
  <si>
    <t>G500000100</t>
  </si>
  <si>
    <t>CASSIDY MICHAEL SCOTT</t>
  </si>
  <si>
    <t>PO BOX 72</t>
  </si>
  <si>
    <t>LANSING</t>
  </si>
  <si>
    <t>25862-0072</t>
  </si>
  <si>
    <t>H80000001701</t>
  </si>
  <si>
    <t>SIMS JAMES ANDREW</t>
  </si>
  <si>
    <t>SIMS STACEY ANETTE</t>
  </si>
  <si>
    <t>L3010A0010</t>
  </si>
  <si>
    <t>JAMES SARAH K</t>
  </si>
  <si>
    <t>LAMBERT TYLER A</t>
  </si>
  <si>
    <t>118 TARA CT</t>
  </si>
  <si>
    <t>E8070A0004</t>
  </si>
  <si>
    <t>WESLEY MICHAEL</t>
  </si>
  <si>
    <t>3900 OAK RIDGE DR</t>
  </si>
  <si>
    <t>27105-3317</t>
  </si>
  <si>
    <t>G3060C0004</t>
  </si>
  <si>
    <t>DAVIS TAYLOR LINDSAY</t>
  </si>
  <si>
    <t>248 ALLEN RD</t>
  </si>
  <si>
    <t>27028-5601</t>
  </si>
  <si>
    <t>G700000039</t>
  </si>
  <si>
    <t>HENDRIX GRAHAM</t>
  </si>
  <si>
    <t>HENDRIX JOYCE C</t>
  </si>
  <si>
    <t>1015 HUNTTON LANE</t>
  </si>
  <si>
    <t>SUITE 103</t>
  </si>
  <si>
    <t>K20000000901</t>
  </si>
  <si>
    <t>PARKER ROGER DALE JR</t>
  </si>
  <si>
    <t>PARKER JENNIFER MARIE</t>
  </si>
  <si>
    <t>1053 RIDGE ROAD</t>
  </si>
  <si>
    <t>H7020A0003</t>
  </si>
  <si>
    <t>POINDEXTER ELLA MAE</t>
  </si>
  <si>
    <t>155 BROCKLAND DRIVE</t>
  </si>
  <si>
    <t>F200000018  A</t>
  </si>
  <si>
    <t>ROYALL RONNIE GRAYLAND</t>
  </si>
  <si>
    <t>389 DUKE WHITTAKER ROAD</t>
  </si>
  <si>
    <t>J5010D0019</t>
  </si>
  <si>
    <t>SHEPHERD DEBBIE SPRY</t>
  </si>
  <si>
    <t>177 CHARLESTON RIDGE DR</t>
  </si>
  <si>
    <t>C5130B0014</t>
  </si>
  <si>
    <t>WILSON GREGORY L</t>
  </si>
  <si>
    <t>WILSON TONYA W</t>
  </si>
  <si>
    <t>210 DROKE CIRCLE</t>
  </si>
  <si>
    <t>I5010C0014</t>
  </si>
  <si>
    <t>BOOE EARLY V</t>
  </si>
  <si>
    <t>120 ETCHISON ST</t>
  </si>
  <si>
    <t>27028-7232</t>
  </si>
  <si>
    <t>MELISSAB</t>
  </si>
  <si>
    <t>K5100A0033</t>
  </si>
  <si>
    <t>BOGER CHAD MARTIN</t>
  </si>
  <si>
    <t>1733 US HIGHWAY 601 S</t>
  </si>
  <si>
    <t>G10000002701</t>
  </si>
  <si>
    <t>CALLISON ISAAC OSCAR</t>
  </si>
  <si>
    <t>CALLISON TRACY ANN</t>
  </si>
  <si>
    <t>13732 SUMMERFIELD DR</t>
  </si>
  <si>
    <t>ATHENS</t>
  </si>
  <si>
    <t>35613-8298</t>
  </si>
  <si>
    <t>E8060A0003</t>
  </si>
  <si>
    <t>DEVET JONATHON</t>
  </si>
  <si>
    <t>DEVET ERIN ELIZABETH</t>
  </si>
  <si>
    <t>126 E VALLEY VIEW RD</t>
  </si>
  <si>
    <t>I4060A0019</t>
  </si>
  <si>
    <t>WHITLOCK BRENDA T</t>
  </si>
  <si>
    <t>810 YADKINVILLE RD</t>
  </si>
  <si>
    <t>27028-2052</t>
  </si>
  <si>
    <t>J6100B0014</t>
  </si>
  <si>
    <t>PETERSON LLOYD W</t>
  </si>
  <si>
    <t>PETERSON LINDA G</t>
  </si>
  <si>
    <t>161 RESERVE DR</t>
  </si>
  <si>
    <t>E90000011201</t>
  </si>
  <si>
    <t>POCHKHIDZE NATALYA</t>
  </si>
  <si>
    <t>193 KINGSMILL DR</t>
  </si>
  <si>
    <t>K5090A0010</t>
  </si>
  <si>
    <t>MCCULLOUGH PRISCILLA</t>
  </si>
  <si>
    <t>140 MCCULLOUGH RD</t>
  </si>
  <si>
    <t>D7030C0013</t>
  </si>
  <si>
    <t>PIVARNICK SCOTT B</t>
  </si>
  <si>
    <t>LOPEZ DONNA P</t>
  </si>
  <si>
    <t>195 S CLAYBON DR</t>
  </si>
  <si>
    <t>G200000060</t>
  </si>
  <si>
    <t>ROGERS PHILIP DAVID</t>
  </si>
  <si>
    <t>G9090D0023</t>
  </si>
  <si>
    <t>SANDOVAL JOHN</t>
  </si>
  <si>
    <t>SANDOVAL KERI</t>
  </si>
  <si>
    <t>138 MAPLEVALLEY RD</t>
  </si>
  <si>
    <t>L5100B000101</t>
  </si>
  <si>
    <t>BONINCONTRI FRANK JOSEPH</t>
  </si>
  <si>
    <t>BONINCONTRI STACY MARIE</t>
  </si>
  <si>
    <t>2185 US HIGHWAY 601 S</t>
  </si>
  <si>
    <t>27028-6905</t>
  </si>
  <si>
    <t>G30000000410</t>
  </si>
  <si>
    <t>ISTENES KELSEY ELIZABETH</t>
  </si>
  <si>
    <t>ISTENES LANCE ALLEN</t>
  </si>
  <si>
    <t>116 CULLODEN DRIVE</t>
  </si>
  <si>
    <t>G8130A0001</t>
  </si>
  <si>
    <t>OSBORNE KARA ELIZABETH</t>
  </si>
  <si>
    <t>2266 NC HIGHWAY 801 S</t>
  </si>
  <si>
    <t>27006-7421</t>
  </si>
  <si>
    <t>O60000001301</t>
  </si>
  <si>
    <t>TEASTER WILLIAM DEWITT</t>
  </si>
  <si>
    <t>3872 US HIGHWAY 601 S</t>
  </si>
  <si>
    <t>27028-6922</t>
  </si>
  <si>
    <t>G300000075</t>
  </si>
  <si>
    <t>BELCHER JAMES ALBERT</t>
  </si>
  <si>
    <t>G9090D0008</t>
  </si>
  <si>
    <t>BOCAN MATTHEW J</t>
  </si>
  <si>
    <t>BOCAN LISA A</t>
  </si>
  <si>
    <t>199 PRIMROSE RD</t>
  </si>
  <si>
    <t>E8140A0019</t>
  </si>
  <si>
    <t>THE BENDER FAMILY TRUST</t>
  </si>
  <si>
    <t>137 COUNTRY CIR</t>
  </si>
  <si>
    <t>J4140B0067</t>
  </si>
  <si>
    <t>WARRINER GERARD</t>
  </si>
  <si>
    <t>WARRINER SHARON</t>
  </si>
  <si>
    <t>100 N CAROLINA CIR</t>
  </si>
  <si>
    <t>J4140B0068</t>
  </si>
  <si>
    <t>J40000003627</t>
  </si>
  <si>
    <t>L600000011</t>
  </si>
  <si>
    <t>6096 NC HIGHWAY 801 S</t>
  </si>
  <si>
    <t>I100000009</t>
  </si>
  <si>
    <t>HOCHSTEDLER MATTHEW</t>
  </si>
  <si>
    <t>187 SERENITY DR</t>
  </si>
  <si>
    <t>27028-8358</t>
  </si>
  <si>
    <t>D8060A0024</t>
  </si>
  <si>
    <t>ROTHBERG KENNETH A</t>
  </si>
  <si>
    <t>JERGE-ROTHBERG ANN MARGARET</t>
  </si>
  <si>
    <t>183 TIFTON ST</t>
  </si>
  <si>
    <t>K500000102</t>
  </si>
  <si>
    <t>EDWARDS JUSTIN</t>
  </si>
  <si>
    <t>EDWARDS CLAYTON</t>
  </si>
  <si>
    <t>140 CAMDEN POINT COURT</t>
  </si>
  <si>
    <t>APT 102</t>
  </si>
  <si>
    <t>I50000003103</t>
  </si>
  <si>
    <t>DME ELITE PROPERTIES LLC</t>
  </si>
  <si>
    <t>G80000006501</t>
  </si>
  <si>
    <t>HARRELL CAROLINE S</t>
  </si>
  <si>
    <t>SPRINGER JAMES L JR</t>
  </si>
  <si>
    <t>1627 PEOPLES CREEK RD</t>
  </si>
  <si>
    <t>B50000003201</t>
  </si>
  <si>
    <t>ROBINSON JOSEPH MICHAEL ETAL</t>
  </si>
  <si>
    <t>LOOKABILL BRIANNA IRENE</t>
  </si>
  <si>
    <t>543 PINEVILLE RD</t>
  </si>
  <si>
    <t>E900000024</t>
  </si>
  <si>
    <t>FAIRCLOTH EUGENE WAYNE</t>
  </si>
  <si>
    <t>JOHNSON HEATHER NICOLE</t>
  </si>
  <si>
    <t>201 OAKMONT DR</t>
  </si>
  <si>
    <t>D8080D0009</t>
  </si>
  <si>
    <t>SMEETON JENNIFER</t>
  </si>
  <si>
    <t>SMEETON BRENDAN T</t>
  </si>
  <si>
    <t>455 IVY CIR</t>
  </si>
  <si>
    <t>H70000009501</t>
  </si>
  <si>
    <t>FLUMMER JOHN R</t>
  </si>
  <si>
    <t>FLUMMER ROSEMARY</t>
  </si>
  <si>
    <t>168 PAPOOSE TRL</t>
  </si>
  <si>
    <t>C4160A0037</t>
  </si>
  <si>
    <t>FRYE SCOTT H</t>
  </si>
  <si>
    <t>FRYE LISA W</t>
  </si>
  <si>
    <t>273 MEADOWLARK LN</t>
  </si>
  <si>
    <t>H80000003103</t>
  </si>
  <si>
    <t>MARKS MALCOLM</t>
  </si>
  <si>
    <t>MARKS SHARON</t>
  </si>
  <si>
    <t>144 ODELL MYERS RD</t>
  </si>
  <si>
    <t>I5160B0030</t>
  </si>
  <si>
    <t>HOPPING AARON L</t>
  </si>
  <si>
    <t>HOPPING DANNIELLE C</t>
  </si>
  <si>
    <t>233 RAILROAD ST</t>
  </si>
  <si>
    <t>27028-2229</t>
  </si>
  <si>
    <t>D9090B0022</t>
  </si>
  <si>
    <t>WARREN CYNTHIA A TRUSTEE</t>
  </si>
  <si>
    <t>CYNTHIA A WARREN REV TRUST</t>
  </si>
  <si>
    <t>169 OLEANDER DR</t>
  </si>
  <si>
    <t>F40000005203</t>
  </si>
  <si>
    <t>TOMAINO GARY F</t>
  </si>
  <si>
    <t>TOMAINO ZOE B</t>
  </si>
  <si>
    <t>194 KODIAK TRL</t>
  </si>
  <si>
    <t>27028-5674</t>
  </si>
  <si>
    <t>L60000003401</t>
  </si>
  <si>
    <t>MAULDIN ANGELA WALL</t>
  </si>
  <si>
    <t>MAULDIN TIMOTHY SHANE</t>
  </si>
  <si>
    <t>221 RANDOM RD</t>
  </si>
  <si>
    <t>G600000015</t>
  </si>
  <si>
    <t>FOSTR PAMELA DAWN</t>
  </si>
  <si>
    <t>G30000000411</t>
  </si>
  <si>
    <t>ATKINS KATHY LYNN</t>
  </si>
  <si>
    <t>PARSONS DEBRA JANE</t>
  </si>
  <si>
    <t>124 CULLODEN DRIVE</t>
  </si>
  <si>
    <t>G30000000409</t>
  </si>
  <si>
    <t>GALLEGOS RUBEN</t>
  </si>
  <si>
    <t>GALLEGOS CHRISTINE MELISSA</t>
  </si>
  <si>
    <t>108 CULLODEN DRIVE</t>
  </si>
  <si>
    <t>J6050A000401</t>
  </si>
  <si>
    <t>HUNTER JAMES</t>
  </si>
  <si>
    <t>HUNTER SANG</t>
  </si>
  <si>
    <t>194 PINE VALLEY RD</t>
  </si>
  <si>
    <t>D500000092</t>
  </si>
  <si>
    <t>WHITNEY DAVIS K</t>
  </si>
  <si>
    <t>1736 FARMINGTON RD</t>
  </si>
  <si>
    <t>L5090A0002</t>
  </si>
  <si>
    <t>GAMA SIGIFREDO ACEVEDO</t>
  </si>
  <si>
    <t>ACEVEDO JAZMINE</t>
  </si>
  <si>
    <t>356 GLADSTONE RD</t>
  </si>
  <si>
    <t>N5010C0042</t>
  </si>
  <si>
    <t>MCM HOLDINGS SC LLC</t>
  </si>
  <si>
    <t>10226 WILLOW ROCK DR</t>
  </si>
  <si>
    <t>28277-2147</t>
  </si>
  <si>
    <t>B300000069</t>
  </si>
  <si>
    <t>TEDDER ANGELA DAWN</t>
  </si>
  <si>
    <t>TEDDER JASON CHRISTOPHER</t>
  </si>
  <si>
    <t>140 ELM ST</t>
  </si>
  <si>
    <t>H5150A0009</t>
  </si>
  <si>
    <t>B50000008503</t>
  </si>
  <si>
    <t>WILLIAMS KIM</t>
  </si>
  <si>
    <t>2505 FARMINGTON RD</t>
  </si>
  <si>
    <t>J7080A0010</t>
  </si>
  <si>
    <t>WHITE KENNETH S</t>
  </si>
  <si>
    <t>2745 BETHEL CT</t>
  </si>
  <si>
    <t>27127-9089</t>
  </si>
  <si>
    <t>J5160B0009</t>
  </si>
  <si>
    <t>F600000076  B</t>
  </si>
  <si>
    <t>BOGER'S KAR KLEEN SERVICE</t>
  </si>
  <si>
    <t>121 DULIN ROAD</t>
  </si>
  <si>
    <t>E200000014</t>
  </si>
  <si>
    <t>CASHION ALLEN E</t>
  </si>
  <si>
    <t>111 ALEXANDER DR</t>
  </si>
  <si>
    <t>27013-8411</t>
  </si>
  <si>
    <t>L700000022</t>
  </si>
  <si>
    <t>MCCASKILL JAMES CROLIE III</t>
  </si>
  <si>
    <t>BARKER SHEILA LYNN BARKER</t>
  </si>
  <si>
    <t>5323 NC HIGHWAY 801 S</t>
  </si>
  <si>
    <t>I5030A0024</t>
  </si>
  <si>
    <t>MARTIN KOREY</t>
  </si>
  <si>
    <t>107 W CARMEL COVE DR</t>
  </si>
  <si>
    <t>27028-2960</t>
  </si>
  <si>
    <t>K500000015</t>
  </si>
  <si>
    <t>REDMON MICHAEL DEWAYNE</t>
  </si>
  <si>
    <t>REDMON STEPHANIE G</t>
  </si>
  <si>
    <t>195 DEADMON RD</t>
  </si>
  <si>
    <t>27028-5139</t>
  </si>
  <si>
    <t>H4200A0021</t>
  </si>
  <si>
    <t>TEXIDOR MICHAEL</t>
  </si>
  <si>
    <t>TEXIDOR MELONY</t>
  </si>
  <si>
    <t>126 COPPERFIELD DR</t>
  </si>
  <si>
    <t>C8010A0099</t>
  </si>
  <si>
    <t>MCCAULEY ROGER</t>
  </si>
  <si>
    <t>MCCAULEY BETTY LOU</t>
  </si>
  <si>
    <t>118 BROOKSTONE DR</t>
  </si>
  <si>
    <t>J5170A0017</t>
  </si>
  <si>
    <t>THOMAS RICKEY</t>
  </si>
  <si>
    <t>THOMAS MAUREEN</t>
  </si>
  <si>
    <t>168 MARBROOK DR</t>
  </si>
  <si>
    <t>G8050A0013</t>
  </si>
  <si>
    <t>SMITH TIFFANY ELYSE</t>
  </si>
  <si>
    <t>167 UNDERPASS RD</t>
  </si>
  <si>
    <t>J7120A0011</t>
  </si>
  <si>
    <t>JK PROPERTIES I LLC</t>
  </si>
  <si>
    <t>PO BOX 286</t>
  </si>
  <si>
    <t>27006-0286</t>
  </si>
  <si>
    <t>E900000616</t>
  </si>
  <si>
    <t>BLOUT GERALD L</t>
  </si>
  <si>
    <t>BLOUT CAROLYN S</t>
  </si>
  <si>
    <t>113 E EDEN COURSE DR</t>
  </si>
  <si>
    <t>F80000000601</t>
  </si>
  <si>
    <t>NEIL JACOB</t>
  </si>
  <si>
    <t>WHITFIELD HOLLY</t>
  </si>
  <si>
    <t>692 BEAUCHAMP RD</t>
  </si>
  <si>
    <t>27006-7410</t>
  </si>
  <si>
    <t>G600000107</t>
  </si>
  <si>
    <t>BULLARD JOYCE B</t>
  </si>
  <si>
    <t>255 HEPLER RD</t>
  </si>
  <si>
    <t>27028-7226</t>
  </si>
  <si>
    <t>E900000335</t>
  </si>
  <si>
    <t>DODDER DAVID LEE</t>
  </si>
  <si>
    <t>DODDER MELISSA DAWN</t>
  </si>
  <si>
    <t>585 OAK VALLEY BLVD</t>
  </si>
  <si>
    <t>I5050A0003</t>
  </si>
  <si>
    <t>SEAMON MICHAEL</t>
  </si>
  <si>
    <t>SEAMON VIRGINIA</t>
  </si>
  <si>
    <t>105 META BREEZE LN</t>
  </si>
  <si>
    <t>C70000009404</t>
  </si>
  <si>
    <t>CAMERON ANTHONY J II</t>
  </si>
  <si>
    <t>159 AURORA LN</t>
  </si>
  <si>
    <t>D8070A0038</t>
  </si>
  <si>
    <t>LEVINGS GEORGE E IV</t>
  </si>
  <si>
    <t>264 BERMUDA RUN DR</t>
  </si>
  <si>
    <t>E900000192</t>
  </si>
  <si>
    <t>PESTAMO-ANGUILO ANIBAL TOMAS</t>
  </si>
  <si>
    <t>117 LONETREE CIR</t>
  </si>
  <si>
    <t>E800000013</t>
  </si>
  <si>
    <t>JONES HAMILTON HUNTER</t>
  </si>
  <si>
    <t>JONES MEGAN ANNA</t>
  </si>
  <si>
    <t>200 LYBROOK RD</t>
  </si>
  <si>
    <t>D8070A0042</t>
  </si>
  <si>
    <t>AVENT MELISSA EDWARDS</t>
  </si>
  <si>
    <t>PO BOX 1122</t>
  </si>
  <si>
    <t>27012-1122</t>
  </si>
  <si>
    <t>I300000050</t>
  </si>
  <si>
    <t>DYSON WADE H JR</t>
  </si>
  <si>
    <t>DYSON ELLEN F</t>
  </si>
  <si>
    <t>3800 SHAMROCK DR</t>
  </si>
  <si>
    <t>APT 1125 FRB</t>
  </si>
  <si>
    <t>28215-0000</t>
  </si>
  <si>
    <t>L600000037</t>
  </si>
  <si>
    <t>CROTTS BARBARA BARNEY</t>
  </si>
  <si>
    <t>27028-5422</t>
  </si>
  <si>
    <t>L60000003702</t>
  </si>
  <si>
    <t>E20000002305</t>
  </si>
  <si>
    <t>WITT KENNETH WAYNE JR</t>
  </si>
  <si>
    <t>WITT JAMIE</t>
  </si>
  <si>
    <t>239 CV SMOOT LN</t>
  </si>
  <si>
    <t>I4130G0008</t>
  </si>
  <si>
    <t>ABCS HOLDINGS LLC</t>
  </si>
  <si>
    <t>I4130G0012</t>
  </si>
  <si>
    <t>L4050A0002</t>
  </si>
  <si>
    <t>JONES DARRELL LEE</t>
  </si>
  <si>
    <t>F40000000501</t>
  </si>
  <si>
    <t>HENDRICKS JESSE B</t>
  </si>
  <si>
    <t>HENDRICKS SYDNEY W</t>
  </si>
  <si>
    <t>438 DANNER RD</t>
  </si>
  <si>
    <t>27028-5726</t>
  </si>
  <si>
    <t>I100000045</t>
  </si>
  <si>
    <t>GODBEY JONATHAN A</t>
  </si>
  <si>
    <t>GODBEY DENISE KAY</t>
  </si>
  <si>
    <t>317 STROUD MILL RD</t>
  </si>
  <si>
    <t>J70000007401</t>
  </si>
  <si>
    <t>CRAIG STANLEY</t>
  </si>
  <si>
    <t>CRAIG BETTINA</t>
  </si>
  <si>
    <t>108 DRUM LN</t>
  </si>
  <si>
    <t>J70000007402</t>
  </si>
  <si>
    <t>K3120A0007</t>
  </si>
  <si>
    <t>FREEMAN JONATHAN P</t>
  </si>
  <si>
    <t>FREEMAN ASHLEIGH D</t>
  </si>
  <si>
    <t>392 JUNCTION RD</t>
  </si>
  <si>
    <t>G9090D0015</t>
  </si>
  <si>
    <t>ZWILLING MATTHEW P</t>
  </si>
  <si>
    <t>ZWILLING ANDREA L</t>
  </si>
  <si>
    <t>129 MAPLEVALLEY RD</t>
  </si>
  <si>
    <t>D600000061</t>
  </si>
  <si>
    <t>BURNS PATRICK</t>
  </si>
  <si>
    <t>356 HARPER RD</t>
  </si>
  <si>
    <t>D9010A0037</t>
  </si>
  <si>
    <t>HUTCHINSON MARCIA PATRICIA</t>
  </si>
  <si>
    <t>DONALDSON SHARON</t>
  </si>
  <si>
    <t>180 PEMBROOKE RIDGE CT</t>
  </si>
  <si>
    <t>J4140A0024</t>
  </si>
  <si>
    <t>MCKINNEY TAMMY REE</t>
  </si>
  <si>
    <t>P O BOX 33</t>
  </si>
  <si>
    <t>I5050B0017</t>
  </si>
  <si>
    <t>SIZEMORE KAITLIN D</t>
  </si>
  <si>
    <t>545 WHITNEY RD</t>
  </si>
  <si>
    <t>C700000129</t>
  </si>
  <si>
    <t>SMITH AMBER BREEDLOVE</t>
  </si>
  <si>
    <t>D20000003816</t>
  </si>
  <si>
    <t>ASHBURN STEVEN</t>
  </si>
  <si>
    <t>ASHBURN JANET</t>
  </si>
  <si>
    <t>E300000099</t>
  </si>
  <si>
    <t>PEOPLES JAMES HARVEY</t>
  </si>
  <si>
    <t>PEOPLES AMY MICHELLE</t>
  </si>
  <si>
    <t>3270 US HWY 601 N</t>
  </si>
  <si>
    <t>D8070D0032</t>
  </si>
  <si>
    <t>C600000097</t>
  </si>
  <si>
    <t>SMITH LYNDA W</t>
  </si>
  <si>
    <t>524 RIDGEHAVEN CIR</t>
  </si>
  <si>
    <t>27104-4433</t>
  </si>
  <si>
    <t>I5030A0032</t>
  </si>
  <si>
    <t>GEE DASHAUN</t>
  </si>
  <si>
    <t>CROSBY DESTINY</t>
  </si>
  <si>
    <t>109 E CARMEL COVE DR</t>
  </si>
  <si>
    <t>27028-2959</t>
  </si>
  <si>
    <t>C7140C0002</t>
  </si>
  <si>
    <t>WARDEN LUCAS W</t>
  </si>
  <si>
    <t>DILLARD MADALYN E</t>
  </si>
  <si>
    <t>150 FOREST DR</t>
  </si>
  <si>
    <t>J4040E0013</t>
  </si>
  <si>
    <t>DASHNEY LARRY</t>
  </si>
  <si>
    <t>100 E MAPLE AVE</t>
  </si>
  <si>
    <t>D8080C0005</t>
  </si>
  <si>
    <t>ARISTON PLACE LLC</t>
  </si>
  <si>
    <t>19 N HIGH ST</t>
  </si>
  <si>
    <t>AKRON</t>
  </si>
  <si>
    <t>44308-1912</t>
  </si>
  <si>
    <t>N500000093</t>
  </si>
  <si>
    <t>HAMILTON MICHAEL D</t>
  </si>
  <si>
    <t>147 MILLER RD</t>
  </si>
  <si>
    <t>27028-6725</t>
  </si>
  <si>
    <t>H400000089</t>
  </si>
  <si>
    <t>WOOD LORIN A</t>
  </si>
  <si>
    <t>E900000119</t>
  </si>
  <si>
    <t>H4 HOMES CUSTOM BUILDERS INC</t>
  </si>
  <si>
    <t>1142 BUTLER ST</t>
  </si>
  <si>
    <t>27107-1502</t>
  </si>
  <si>
    <t>D9090E0018</t>
  </si>
  <si>
    <t>SHEREDA DONALD EDWARD</t>
  </si>
  <si>
    <t>SHEREDA NANCY BEATRICE</t>
  </si>
  <si>
    <t>107 OLEANDER DR</t>
  </si>
  <si>
    <t>H80000003106</t>
  </si>
  <si>
    <t>JOYNER ASHTON</t>
  </si>
  <si>
    <t>JOYNER SAMUEL W</t>
  </si>
  <si>
    <t>110 ODELL MYERS RD</t>
  </si>
  <si>
    <t>I5030A0027</t>
  </si>
  <si>
    <t>VALCOURT SIMONE</t>
  </si>
  <si>
    <t>HOYLE WILLIAM THOMAS</t>
  </si>
  <si>
    <t>120 W CARMEL COVE DR</t>
  </si>
  <si>
    <t>D8060B0035</t>
  </si>
  <si>
    <t>163 BERMUDA RUN DR N</t>
  </si>
  <si>
    <t>I4010A0047</t>
  </si>
  <si>
    <t>RADSON CARMEN Y</t>
  </si>
  <si>
    <t>119 N WENTWORTH DR</t>
  </si>
  <si>
    <t>G7040B0008</t>
  </si>
  <si>
    <t>ROGERS WILLIAM THOMAS</t>
  </si>
  <si>
    <t>ROGERS MATTHEW THOMAS</t>
  </si>
  <si>
    <t>256 GRIFFITH RD</t>
  </si>
  <si>
    <t>E50000000803</t>
  </si>
  <si>
    <t>DOOLEY RYAN PAYNE</t>
  </si>
  <si>
    <t>DOOLEY KLOE</t>
  </si>
  <si>
    <t>4515 WOODWAY DR</t>
  </si>
  <si>
    <t>E50000000802</t>
  </si>
  <si>
    <t>B700000100</t>
  </si>
  <si>
    <t>ROGERS WILLIAMS THOMAS</t>
  </si>
  <si>
    <t>B7010A0021</t>
  </si>
  <si>
    <t>O600000076</t>
  </si>
  <si>
    <t>LICHTANSKI FAMILY TRUST</t>
  </si>
  <si>
    <t>452 RIVERDALE RD</t>
  </si>
  <si>
    <t>E300000123</t>
  </si>
  <si>
    <t>FLOYD LISA MICHELLE</t>
  </si>
  <si>
    <t>FLOYD JASON PATRICK</t>
  </si>
  <si>
    <t>213 GABRIEL DR</t>
  </si>
  <si>
    <t>28115-9402</t>
  </si>
  <si>
    <t>E70000006508</t>
  </si>
  <si>
    <t>JAY CHARLES BRIAN</t>
  </si>
  <si>
    <t>WATT THERESA ANN</t>
  </si>
  <si>
    <t>PO BOX 1521</t>
  </si>
  <si>
    <t>27028-1521</t>
  </si>
  <si>
    <t>J20000006302</t>
  </si>
  <si>
    <t>MOONE WESLEY</t>
  </si>
  <si>
    <t>158 BUNKHOUSE LN</t>
  </si>
  <si>
    <t>27028-8379</t>
  </si>
  <si>
    <t>D3010A0025</t>
  </si>
  <si>
    <t>HOUSTON JODI MARTIN</t>
  </si>
  <si>
    <t>143 HIGHLAND RD</t>
  </si>
  <si>
    <t>G500000136</t>
  </si>
  <si>
    <t>NEW VISION PROPERTY GROUP LLC</t>
  </si>
  <si>
    <t>G50000013601</t>
  </si>
  <si>
    <t>I5170B0112</t>
  </si>
  <si>
    <t>GIBB LINDA LEE</t>
  </si>
  <si>
    <t>112 W BRICK WALK CT</t>
  </si>
  <si>
    <t>C7070A0004</t>
  </si>
  <si>
    <t>ELLIS CAROL JEAN</t>
  </si>
  <si>
    <t>ATKINS MICHAEL WAYNE</t>
  </si>
  <si>
    <t>211 NORMA LN</t>
  </si>
  <si>
    <t>C700000002</t>
  </si>
  <si>
    <t>J6100A0034</t>
  </si>
  <si>
    <t>WATSON CLAYBURN D</t>
  </si>
  <si>
    <t>WATSON SABRINA R</t>
  </si>
  <si>
    <t>174 N LAKE LOUISE DR</t>
  </si>
  <si>
    <t>N4040A0008</t>
  </si>
  <si>
    <t>MCM HOLDING SC LLC</t>
  </si>
  <si>
    <t>D8020A0010</t>
  </si>
  <si>
    <t>GARDNER JOSEPH CLYDE</t>
  </si>
  <si>
    <t>GARDNER SHERRY REICHARDT</t>
  </si>
  <si>
    <t>239 IVY CIR</t>
  </si>
  <si>
    <t>G30000000413</t>
  </si>
  <si>
    <t>WOOTEN KYLE JACOB</t>
  </si>
  <si>
    <t>WOOTEN ANDREA COLLEEN</t>
  </si>
  <si>
    <t>140 CULLODEN DRIVE</t>
  </si>
  <si>
    <t>G8140A0004</t>
  </si>
  <si>
    <t>GROOVER CHAD</t>
  </si>
  <si>
    <t>THOMAS TARA LYNN</t>
  </si>
  <si>
    <t>195 OLD HOMEPLACE DR</t>
  </si>
  <si>
    <t>O600000031</t>
  </si>
  <si>
    <t>DRAUGHN JOSHUA P</t>
  </si>
  <si>
    <t>BURGESS ASHLEY D</t>
  </si>
  <si>
    <t>216 MOHEGAN TRL</t>
  </si>
  <si>
    <t>G30000000412</t>
  </si>
  <si>
    <t>COVINGTON SHANICE N</t>
  </si>
  <si>
    <t>KING DESMOND T</t>
  </si>
  <si>
    <t>132 CULLODEN DRIVE</t>
  </si>
  <si>
    <t>C700000016</t>
  </si>
  <si>
    <t>HAWKINS DIANE W</t>
  </si>
  <si>
    <t>1857 YADKIN VALLEY RD</t>
  </si>
  <si>
    <t>E7060A0007</t>
  </si>
  <si>
    <t>CIUDAD-REAL ZITA ILDIKO</t>
  </si>
  <si>
    <t>158 WINCHESTER RD</t>
  </si>
  <si>
    <t>C4160A0019</t>
  </si>
  <si>
    <t>SEXTON STEVEN L</t>
  </si>
  <si>
    <t>SEXTON MARCIA G</t>
  </si>
  <si>
    <t>228 MEADOWLARK LN</t>
  </si>
  <si>
    <t>C4160A0020</t>
  </si>
  <si>
    <t>L400000006</t>
  </si>
  <si>
    <t>NOBLES JONATHAN</t>
  </si>
  <si>
    <t>NOBLES KARA</t>
  </si>
  <si>
    <t>I800000035</t>
  </si>
  <si>
    <t>BLAKE MATTHEW</t>
  </si>
  <si>
    <t>DALTON JORDAN</t>
  </si>
  <si>
    <t>137 TODD RD</t>
  </si>
  <si>
    <t>D7030C0009</t>
  </si>
  <si>
    <t>BRANNIGAN ANDREW J</t>
  </si>
  <si>
    <t>BRANNIGAN AMY L</t>
  </si>
  <si>
    <t>108 LESTER DR</t>
  </si>
  <si>
    <t>J5160B000902</t>
  </si>
  <si>
    <t>SMITH MICKEY</t>
  </si>
  <si>
    <t>1147 BARRINGER ROAD</t>
  </si>
  <si>
    <t>I4010A0039</t>
  </si>
  <si>
    <t>HARRIS MICHAEL ROD</t>
  </si>
  <si>
    <t>HARRIS BARBARA MAZZUCCO</t>
  </si>
  <si>
    <t>136 TURNBERRY DR</t>
  </si>
  <si>
    <t>27028-1920</t>
  </si>
  <si>
    <t>N4040A0022</t>
  </si>
  <si>
    <t>ROBERTS KIRA</t>
  </si>
  <si>
    <t>ROBERTS JAMES WARREN</t>
  </si>
  <si>
    <t>PO BOX 493</t>
  </si>
  <si>
    <t>27014-0493</t>
  </si>
  <si>
    <t>I80000002701</t>
  </si>
  <si>
    <t>MINOR JANET R</t>
  </si>
  <si>
    <t>MINOR BOBBY GRANT JR</t>
  </si>
  <si>
    <t>3382 NC HIGHWAY 801 S</t>
  </si>
  <si>
    <t>J7120A000302</t>
  </si>
  <si>
    <t>DAVIDSON STEVEN</t>
  </si>
  <si>
    <t>3061 US HIGHWAY 64 E</t>
  </si>
  <si>
    <t>G50000006303</t>
  </si>
  <si>
    <t>CAUDLE KELLY R</t>
  </si>
  <si>
    <t>194 FOSTER DAIRY RD</t>
  </si>
  <si>
    <t>27028-4152</t>
  </si>
  <si>
    <t>G50000006302</t>
  </si>
  <si>
    <t>K4020A0003</t>
  </si>
  <si>
    <t>LATHAM CATHY SUE</t>
  </si>
  <si>
    <t>1488 JERICHO CHURCH ROAD</t>
  </si>
  <si>
    <t>K5090A0037</t>
  </si>
  <si>
    <t>COWAN DAMIEN</t>
  </si>
  <si>
    <t>167 LAKEWOOD CIR</t>
  </si>
  <si>
    <t>27028-4238</t>
  </si>
  <si>
    <t>E8070A0021</t>
  </si>
  <si>
    <t>C10000000208</t>
  </si>
  <si>
    <t>BARBEE VIVIAN MARIE WINDSOR</t>
  </si>
  <si>
    <t>WINDSOR ETHEL MARIE</t>
  </si>
  <si>
    <t>130 KERRYBROOK LN</t>
  </si>
  <si>
    <t>27104-3554</t>
  </si>
  <si>
    <t>D9050C0026</t>
  </si>
  <si>
    <t>HANES HOWARD</t>
  </si>
  <si>
    <t>HANES LUANNE</t>
  </si>
  <si>
    <t>2317 BERMUDA VLG</t>
  </si>
  <si>
    <t>K70000002902</t>
  </si>
  <si>
    <t>AYERS DAKOTA</t>
  </si>
  <si>
    <t>F80000007404</t>
  </si>
  <si>
    <t>TRAN TRUNG TRIEU</t>
  </si>
  <si>
    <t>TRAN BRANDI DANIELLE</t>
  </si>
  <si>
    <t>144 SADDLEBROOK DR</t>
  </si>
  <si>
    <t>I60000003605</t>
  </si>
  <si>
    <t>ENOS SHAWN</t>
  </si>
  <si>
    <t>130 TWELVE OAKS TRL</t>
  </si>
  <si>
    <t>27028-7404</t>
  </si>
  <si>
    <t>I60000003901</t>
  </si>
  <si>
    <t>I200000024</t>
  </si>
  <si>
    <t>BRISTER AUSTIN WAYNE</t>
  </si>
  <si>
    <t>220 WOODVALE DR</t>
  </si>
  <si>
    <t>G30000000414</t>
  </si>
  <si>
    <t>POTTS RYAN C</t>
  </si>
  <si>
    <t>POTTS DIANA</t>
  </si>
  <si>
    <t>148 CULLODEN DR</t>
  </si>
  <si>
    <t>27028-4883</t>
  </si>
  <si>
    <t>H80000004310</t>
  </si>
  <si>
    <t>CANLAS DONINIQUE S</t>
  </si>
  <si>
    <t>CANLAS FLORDELIZA MAE</t>
  </si>
  <si>
    <t>1072 BAILEYS CHAPEL RD</t>
  </si>
  <si>
    <t>E8110A0015</t>
  </si>
  <si>
    <t>KING ELIZABETH JUSTINE</t>
  </si>
  <si>
    <t>1609 UNDERPASS RD</t>
  </si>
  <si>
    <t>B20000004507</t>
  </si>
  <si>
    <t>MCEWEN JESSE STANLEY LIVING TRUST</t>
  </si>
  <si>
    <t>MCEWEN JESSE STANLEY TRUSTEE</t>
  </si>
  <si>
    <t>B20000003202</t>
  </si>
  <si>
    <t>B20000004502</t>
  </si>
  <si>
    <t>B20000003205</t>
  </si>
  <si>
    <t>B200000045</t>
  </si>
  <si>
    <t>C60000004105</t>
  </si>
  <si>
    <t>G70000013917</t>
  </si>
  <si>
    <t>NANCE BOBBY CUNDIFF REV TRUST AGREEMENT</t>
  </si>
  <si>
    <t>NANCE MARGARET J REV TRUST AGR</t>
  </si>
  <si>
    <t>102 STAR MAGNOLIA DR</t>
  </si>
  <si>
    <t>G9100A0022</t>
  </si>
  <si>
    <t>E900000186</t>
  </si>
  <si>
    <t>BROWN KEVIN DAVID</t>
  </si>
  <si>
    <t>BROWN CRYSTAL JARRETT</t>
  </si>
  <si>
    <t>448 KINGSMILL DR</t>
  </si>
  <si>
    <t>J6050D0007</t>
  </si>
  <si>
    <t>JORDAN CHAKA</t>
  </si>
  <si>
    <t>JORDAN JERMAINE RAHEIM</t>
  </si>
  <si>
    <t>157 MEADOWVIEW RD</t>
  </si>
  <si>
    <t>J4040D0015</t>
  </si>
  <si>
    <t>BRAKE DANIEL RAYMOND</t>
  </si>
  <si>
    <t>264 BECKTOWN RD</t>
  </si>
  <si>
    <t>K200000060</t>
  </si>
  <si>
    <t>KOONTZ ERNEST T</t>
  </si>
  <si>
    <t>PO BOX 1112</t>
  </si>
  <si>
    <t>27361-1112</t>
  </si>
  <si>
    <t>E300000113</t>
  </si>
  <si>
    <t>HUTCHENS ADAM GRAY</t>
  </si>
  <si>
    <t>LUFFMAN BEVERLY BEL-AINE</t>
  </si>
  <si>
    <t>1131 WAGNER RD</t>
  </si>
  <si>
    <t>I20000001302</t>
  </si>
  <si>
    <t>CLARK BRITTANY V TRUST AGREE</t>
  </si>
  <si>
    <t>CLARK BRITTANY V TRUSTEE</t>
  </si>
  <si>
    <t>129 WOODVALE DR</t>
  </si>
  <si>
    <t>G60000009403</t>
  </si>
  <si>
    <t>107 RAINBOW RD</t>
  </si>
  <si>
    <t>N600000044</t>
  </si>
  <si>
    <t>LEACH COREY D SR</t>
  </si>
  <si>
    <t>EAST SPENCER</t>
  </si>
  <si>
    <t>28039-0718</t>
  </si>
  <si>
    <t>H9080B0003</t>
  </si>
  <si>
    <t>BERGMAN BRENDA LEE WILKINS</t>
  </si>
  <si>
    <t>130 SHERWOOD CT</t>
  </si>
  <si>
    <t>27006-7598</t>
  </si>
  <si>
    <t>H80000004309</t>
  </si>
  <si>
    <t>STOUT JENNINGS BRYAN</t>
  </si>
  <si>
    <t>STOUT SAMANTHA FRYE</t>
  </si>
  <si>
    <t>1084 BAILEYS CHAPEL RD</t>
  </si>
  <si>
    <t>H9080B0013</t>
  </si>
  <si>
    <t>WORLEY ETHAN</t>
  </si>
  <si>
    <t>WATSON-WORLEY AMANDA</t>
  </si>
  <si>
    <t>109 SHERWOOD CT</t>
  </si>
  <si>
    <t>B20000001506</t>
  </si>
  <si>
    <t>MCCLAMROCH TAMMY JEAN</t>
  </si>
  <si>
    <t>27028-5610</t>
  </si>
  <si>
    <t>E70000006512</t>
  </si>
  <si>
    <t>TAYLOR MAUREEN</t>
  </si>
  <si>
    <t>HICKEY THOMAS E</t>
  </si>
  <si>
    <t>121 BEAUCHAMP OAKS CT</t>
  </si>
  <si>
    <t>27006-8011</t>
  </si>
  <si>
    <t>D600000014</t>
  </si>
  <si>
    <t>MURRAY LEONARD ALVA</t>
  </si>
  <si>
    <t>2812 ALLGOOD RD</t>
  </si>
  <si>
    <t>27055-6602</t>
  </si>
  <si>
    <t>B20000001501</t>
  </si>
  <si>
    <t>I70000009504</t>
  </si>
  <si>
    <t>LANIER FAYE D</t>
  </si>
  <si>
    <t>FINE BETTY J</t>
  </si>
  <si>
    <t>668 WILLIAMS RD</t>
  </si>
  <si>
    <t>C6120A0010</t>
  </si>
  <si>
    <t>VON FEILITZSCH HERIBERT</t>
  </si>
  <si>
    <t>VON FEILITZSCH JANE BERKLEY</t>
  </si>
  <si>
    <t>5909 BROOKBERRY FARM RD</t>
  </si>
  <si>
    <t>27023-8388</t>
  </si>
  <si>
    <t>K400000026</t>
  </si>
  <si>
    <t>CASTEVENS MICHAEL C</t>
  </si>
  <si>
    <t>CASTEVENS SHARON M</t>
  </si>
  <si>
    <t>1627 JERICHO CHURCH RD</t>
  </si>
  <si>
    <t>I5170A0126</t>
  </si>
  <si>
    <t>MATTHEWS DARLENE TESTERMAN</t>
  </si>
  <si>
    <t>126 MILL RUN DR</t>
  </si>
  <si>
    <t>E900000690</t>
  </si>
  <si>
    <t>PERKINS STEVEN CHRISTOPHER</t>
  </si>
  <si>
    <t>505 N HIDDENBROOKE DR</t>
  </si>
  <si>
    <t>M5100B0005</t>
  </si>
  <si>
    <t>SAFRIT KELLY C</t>
  </si>
  <si>
    <t>SAFRIT RICHARD D</t>
  </si>
  <si>
    <t>190 SPRINGHILL DR</t>
  </si>
  <si>
    <t>27028-6841</t>
  </si>
  <si>
    <t>C60000010003</t>
  </si>
  <si>
    <t>E900000673</t>
  </si>
  <si>
    <t>WALKER RANDOLPH WILSON</t>
  </si>
  <si>
    <t>WALKER SHERRI LEA WALKER</t>
  </si>
  <si>
    <t>502 N HIDDENBROOKE DR</t>
  </si>
  <si>
    <t>N50000006204</t>
  </si>
  <si>
    <t>HAWKS MELISSA T</t>
  </si>
  <si>
    <t>CARRION WILLIAM JR</t>
  </si>
  <si>
    <t>149 MILLER RD</t>
  </si>
  <si>
    <t>D30000003805</t>
  </si>
  <si>
    <t>MYERS LIVING TRUST</t>
  </si>
  <si>
    <t>124 GREEN FARM RD</t>
  </si>
  <si>
    <t>27028-6220</t>
  </si>
  <si>
    <t>G500000073</t>
  </si>
  <si>
    <t>SEATS MATTHEW ALLAN</t>
  </si>
  <si>
    <t>2742 US HIGHWAY 158</t>
  </si>
  <si>
    <t>27028-4371</t>
  </si>
  <si>
    <t>D30000006007</t>
  </si>
  <si>
    <t>D30000006006</t>
  </si>
  <si>
    <t>K50000003002</t>
  </si>
  <si>
    <t>SHERMAN CHARLOTTE</t>
  </si>
  <si>
    <t>185 TURRENTINE CHURCH RD</t>
  </si>
  <si>
    <t>K50000003003</t>
  </si>
  <si>
    <t>K50000003101</t>
  </si>
  <si>
    <t>J5010D0016</t>
  </si>
  <si>
    <t>SHABABY MIKE</t>
  </si>
  <si>
    <t>201 CHARLESTON RIDGE DR</t>
  </si>
  <si>
    <t>D9090B0003</t>
  </si>
  <si>
    <t>TURNER ANNETTE BIANUCCI</t>
  </si>
  <si>
    <t>154 OLEANDER DR</t>
  </si>
  <si>
    <t>G80000005701</t>
  </si>
  <si>
    <t>SUMMER HILL FARM HOMEOWNERS ASSOCIATION</t>
  </si>
  <si>
    <t>H8060A0015</t>
  </si>
  <si>
    <t>NAJDEK KATHLEEN</t>
  </si>
  <si>
    <t>260 COVINGTON DR</t>
  </si>
  <si>
    <t>J70000007101</t>
  </si>
  <si>
    <t>MARKEE THOMAS R</t>
  </si>
  <si>
    <t>2510 RARY RD</t>
  </si>
  <si>
    <t>27013-8273</t>
  </si>
  <si>
    <t>C8010A0215</t>
  </si>
  <si>
    <t>PETERS STUART G</t>
  </si>
  <si>
    <t>PETERS MARIBETH S</t>
  </si>
  <si>
    <t>176 N FORKE DR</t>
  </si>
  <si>
    <t>J500000013</t>
  </si>
  <si>
    <t>SHORE CHARITY KAYE</t>
  </si>
  <si>
    <t>1372 US HIGHWAY 64 E</t>
  </si>
  <si>
    <t>N600000098</t>
  </si>
  <si>
    <t>QUINN JOHN L</t>
  </si>
  <si>
    <t>SHEPHERD CINDY</t>
  </si>
  <si>
    <t>278 BEAN RD</t>
  </si>
  <si>
    <t>N60000009801</t>
  </si>
  <si>
    <t>N60000004112</t>
  </si>
  <si>
    <t>VENTURA JESUS</t>
  </si>
  <si>
    <t>3519 US HIGHWAY 601 S</t>
  </si>
  <si>
    <t>27028-6919</t>
  </si>
  <si>
    <t>H9080B0006</t>
  </si>
  <si>
    <t>COTTER KELLY BARBARA</t>
  </si>
  <si>
    <t>BARCENAS JONATHAN</t>
  </si>
  <si>
    <t>154 SHERWOOD CT</t>
  </si>
  <si>
    <t>J600000066</t>
  </si>
  <si>
    <t>STEWART NOLA F AKA</t>
  </si>
  <si>
    <t>FRANCES A STEWART</t>
  </si>
  <si>
    <t>2450 US HIGHWAY 64 EAST</t>
  </si>
  <si>
    <t>I5030A0012</t>
  </si>
  <si>
    <t>HERNANDEZ CARLOS OBED</t>
  </si>
  <si>
    <t>HERNANDEZ-CERRATO DANIEL ENRIQ</t>
  </si>
  <si>
    <t>112 CYPRUS COVE DRIVE</t>
  </si>
  <si>
    <t>J4050B000101</t>
  </si>
  <si>
    <t>SMITH JESSICA</t>
  </si>
  <si>
    <t>578 S SALISBURY ST</t>
  </si>
  <si>
    <t>D8110A000101</t>
  </si>
  <si>
    <t>ANGELL DON G</t>
  </si>
  <si>
    <t>180 HIGHWOOD LN</t>
  </si>
  <si>
    <t>L5020A0019</t>
  </si>
  <si>
    <t>SEAMON CYNTHIA R</t>
  </si>
  <si>
    <t>196 TWIN CEDARS GOLF RD</t>
  </si>
  <si>
    <t>K30000000102</t>
  </si>
  <si>
    <t>PUNT DIETER W</t>
  </si>
  <si>
    <t>PUNT HEIDI W</t>
  </si>
  <si>
    <t>207 MR HENRY RD</t>
  </si>
  <si>
    <t>I5090B0009</t>
  </si>
  <si>
    <t>CLAYTON ROBERT</t>
  </si>
  <si>
    <t>CLAYTON CHARLOTTE</t>
  </si>
  <si>
    <t>138 HALLANDER DR</t>
  </si>
  <si>
    <t>I300000076</t>
  </si>
  <si>
    <t>HOGAN PATRICIA ANN</t>
  </si>
  <si>
    <t>PINELLI JESSICA ARMANDE</t>
  </si>
  <si>
    <t>1294 US HIGHWAY 64 W</t>
  </si>
  <si>
    <t>27028-8430</t>
  </si>
  <si>
    <t>G500000036</t>
  </si>
  <si>
    <t>LAXTON DEANNA JEANNE</t>
  </si>
  <si>
    <t>LAXTON TERRY RANDALL II</t>
  </si>
  <si>
    <t>2211 US HIGHWAY 158</t>
  </si>
  <si>
    <t>27028-4366</t>
  </si>
  <si>
    <t>D8060A0009</t>
  </si>
  <si>
    <t>CHAPMAN BRADLEY DUNN</t>
  </si>
  <si>
    <t>CHAPMAN SARAH BAHNSON</t>
  </si>
  <si>
    <t>349 RIVERBEND DR</t>
  </si>
  <si>
    <t>B500000097</t>
  </si>
  <si>
    <t>PILCHER TAMMY</t>
  </si>
  <si>
    <t>2728 FARMINGTON RD</t>
  </si>
  <si>
    <t>27028-6210</t>
  </si>
  <si>
    <t>B500000109</t>
  </si>
  <si>
    <t>J60000005405</t>
  </si>
  <si>
    <t>WILKINS DANIEL S</t>
  </si>
  <si>
    <t>WILKINS STACY LYNN</t>
  </si>
  <si>
    <t>310 CORNATZER RD</t>
  </si>
  <si>
    <t>H400000092</t>
  </si>
  <si>
    <t>DANIELS KRISTOPER SHAWN</t>
  </si>
  <si>
    <t>MOHAT MEGAN ALEXANDRA</t>
  </si>
  <si>
    <t>142 KOONTZ RD</t>
  </si>
  <si>
    <t>27028-1912</t>
  </si>
  <si>
    <t>H4130A0019</t>
  </si>
  <si>
    <t>PATEL DHARMESHKUMAR</t>
  </si>
  <si>
    <t>165 ELMWOOD ST</t>
  </si>
  <si>
    <t>G10000000807</t>
  </si>
  <si>
    <t>HARRIS HELEN F</t>
  </si>
  <si>
    <t>128 ST MARTINS LN</t>
  </si>
  <si>
    <t>H4130A0029</t>
  </si>
  <si>
    <t>ANDERSON LEVI EARL</t>
  </si>
  <si>
    <t>ANDERSON JENNIFER MARIE</t>
  </si>
  <si>
    <t>184 ELMWOOD ST</t>
  </si>
  <si>
    <t>E8060A0006</t>
  </si>
  <si>
    <t>MORGAN ASHLEY GAYLE</t>
  </si>
  <si>
    <t>COLLMAR KEVIN RICHARD</t>
  </si>
  <si>
    <t>185 RIVER RD</t>
  </si>
  <si>
    <t>G30000000416</t>
  </si>
  <si>
    <t>166 CULLODEN DR</t>
  </si>
  <si>
    <t>E8100B0024</t>
  </si>
  <si>
    <t>BOLCH BRETT MCDOWELL</t>
  </si>
  <si>
    <t>BOLCH JORDAN HOWARD</t>
  </si>
  <si>
    <t>1637 UNDERPASS RD</t>
  </si>
  <si>
    <t>E8070B0002</t>
  </si>
  <si>
    <t>GARWOOD BOBBY L REV LIVING TRUST</t>
  </si>
  <si>
    <t>127 ASHBURTON RD</t>
  </si>
  <si>
    <t>C7140A0002</t>
  </si>
  <si>
    <t>D700000069</t>
  </si>
  <si>
    <t>N5010A0020</t>
  </si>
  <si>
    <t>ROJAS AGAPITO</t>
  </si>
  <si>
    <t>28612-7228</t>
  </si>
  <si>
    <t>I5050B0031</t>
  </si>
  <si>
    <t>MARTIN ZACHARY J</t>
  </si>
  <si>
    <t>151 HEATHER CT</t>
  </si>
  <si>
    <t>E10000001704</t>
  </si>
  <si>
    <t>BROWN ELIZABETH A</t>
  </si>
  <si>
    <t>123 TWINPINES CIRCLE</t>
  </si>
  <si>
    <t>B20000003207</t>
  </si>
  <si>
    <t>E900000139</t>
  </si>
  <si>
    <t>MCGUIRE MATTHEW D</t>
  </si>
  <si>
    <t>381 KINGSMILL DR</t>
  </si>
  <si>
    <t>H20000002201</t>
  </si>
  <si>
    <t>ISAAC MARNIE REBA</t>
  </si>
  <si>
    <t>295 FRED LANIER RD</t>
  </si>
  <si>
    <t>N5010C0073</t>
  </si>
  <si>
    <t>BARBER SHIRLEY DIANNE</t>
  </si>
  <si>
    <t>27014-0896</t>
  </si>
  <si>
    <t>C8030C0002</t>
  </si>
  <si>
    <t>FINK KAITLIN</t>
  </si>
  <si>
    <t>FINK DAWN</t>
  </si>
  <si>
    <t>107 OAK WIND DR UNIT 201</t>
  </si>
  <si>
    <t>C300000064</t>
  </si>
  <si>
    <t>SMITH SCOTT CHARLES</t>
  </si>
  <si>
    <t>162 R SHORE DR</t>
  </si>
  <si>
    <t>C40000005501</t>
  </si>
  <si>
    <t>BRISCOE SARAH MCKNIGHT</t>
  </si>
  <si>
    <t>MCKNIGHT ROBERT N</t>
  </si>
  <si>
    <t>PO BOX 487</t>
  </si>
  <si>
    <t>F500000026</t>
  </si>
  <si>
    <t>ALVEAR ZACHARY DANIEL</t>
  </si>
  <si>
    <t>ALVEAR MARIAN</t>
  </si>
  <si>
    <t>197 BUCK MILLER RD</t>
  </si>
  <si>
    <t>27028-4118</t>
  </si>
  <si>
    <t>F3010A0006</t>
  </si>
  <si>
    <t>PARDON SANDRA</t>
  </si>
  <si>
    <t>110 SUMTER RD</t>
  </si>
  <si>
    <t>G30000000419</t>
  </si>
  <si>
    <t>MILLNER NICOLE CARTER</t>
  </si>
  <si>
    <t>115 CULLODEN DR</t>
  </si>
  <si>
    <t>J700000017</t>
  </si>
  <si>
    <t>I5110B0016</t>
  </si>
  <si>
    <t>JIMENEZ BALERIA M MARTE</t>
  </si>
  <si>
    <t>326 MOUNTVIEW DR</t>
  </si>
  <si>
    <t>N5010D001201</t>
  </si>
  <si>
    <t>ROUBICEK RALPH G</t>
  </si>
  <si>
    <t>PO BOX 464</t>
  </si>
  <si>
    <t>27014-0464</t>
  </si>
  <si>
    <t>D9050C0042</t>
  </si>
  <si>
    <t>ONEYEAR DENNIS LEVI</t>
  </si>
  <si>
    <t>2304 BERMUDA VLG</t>
  </si>
  <si>
    <t>D9050C0038</t>
  </si>
  <si>
    <t>TRENT ADAMS PROPERTIES LLC</t>
  </si>
  <si>
    <t>307 MILL ST</t>
  </si>
  <si>
    <t>27103-1703</t>
  </si>
  <si>
    <t>D9010E0030</t>
  </si>
  <si>
    <t>E30000006901</t>
  </si>
  <si>
    <t>WILSON JOHN ASHLEY</t>
  </si>
  <si>
    <t>114 DANIEL BOONE TRL</t>
  </si>
  <si>
    <t>E900000717</t>
  </si>
  <si>
    <t>LANDIS FERNANDO</t>
  </si>
  <si>
    <t>LANDIS MISHA</t>
  </si>
  <si>
    <t>183 SAWGRASS DR</t>
  </si>
  <si>
    <t>H90000002701</t>
  </si>
  <si>
    <t>LOUGEE PAULA</t>
  </si>
  <si>
    <t>LOUGEE COLIN M</t>
  </si>
  <si>
    <t>522 PEOPLES CREEK RD</t>
  </si>
  <si>
    <t>27006-7441</t>
  </si>
  <si>
    <t>N5080A0033</t>
  </si>
  <si>
    <t>346 HAYES FARM RD</t>
  </si>
  <si>
    <t>28625-9436</t>
  </si>
  <si>
    <t>E8020A0029</t>
  </si>
  <si>
    <t>MOWERY MICHELLE D</t>
  </si>
  <si>
    <t>MOWERY LEWIS KERR III</t>
  </si>
  <si>
    <t>619 NC HIGHWAY 801 S</t>
  </si>
  <si>
    <t>H9080B0002</t>
  </si>
  <si>
    <t>THOMAS SCOTT C</t>
  </si>
  <si>
    <t>120 SHERWOOD CT</t>
  </si>
  <si>
    <t>G9090B0046</t>
  </si>
  <si>
    <t>MAYSILLES BRUCE D</t>
  </si>
  <si>
    <t>MAYSILLES MARTA E</t>
  </si>
  <si>
    <t>172 S MARCH FERRY RD</t>
  </si>
  <si>
    <t>J70000007901</t>
  </si>
  <si>
    <t>THOMAS WILLIAM DAVID</t>
  </si>
  <si>
    <t>THOMAS BRETT-DANIELLE MOORE</t>
  </si>
  <si>
    <t>3009 US HIGHWAY 64 E</t>
  </si>
  <si>
    <t>M4130A0038</t>
  </si>
  <si>
    <t>HODGE TAMARA</t>
  </si>
  <si>
    <t>PO BOX 523</t>
  </si>
  <si>
    <t>27014-0523</t>
  </si>
  <si>
    <t>N500000012</t>
  </si>
  <si>
    <t>KOLBE KENNETH ALLAN</t>
  </si>
  <si>
    <t>KOLBE ANGELIA M</t>
  </si>
  <si>
    <t>989 PINE RIDGE RD</t>
  </si>
  <si>
    <t>I5120A0035</t>
  </si>
  <si>
    <t>HEAD DONALD</t>
  </si>
  <si>
    <t>HEAD JOANN</t>
  </si>
  <si>
    <t>319 WINDWARD CIR</t>
  </si>
  <si>
    <t>H80000003102</t>
  </si>
  <si>
    <t>REGAN RAY</t>
  </si>
  <si>
    <t>REGAN KELLY</t>
  </si>
  <si>
    <t>152 ODELL MYERS RD</t>
  </si>
  <si>
    <t>K50000008601</t>
  </si>
  <si>
    <t>PARKS JEFFERY ALLAN</t>
  </si>
  <si>
    <t>BATZKA DIANE</t>
  </si>
  <si>
    <t>745 WILL BOONE RD</t>
  </si>
  <si>
    <t>E70000014301</t>
  </si>
  <si>
    <t>WAGGONER BOBBY</t>
  </si>
  <si>
    <t>1259 BEAUCHAMP RD</t>
  </si>
  <si>
    <t>J4050B0007</t>
  </si>
  <si>
    <t>WILCOX ZACHARY A</t>
  </si>
  <si>
    <t>HARROLD ELAINA A</t>
  </si>
  <si>
    <t>654 S SALISBURY ST</t>
  </si>
  <si>
    <t>J5010D0043</t>
  </si>
  <si>
    <t>WILSON WALTER HOWARD III</t>
  </si>
  <si>
    <t>WILSON AMANDA ELIZABETH</t>
  </si>
  <si>
    <t>153 CLOISTER DR</t>
  </si>
  <si>
    <t>E600000073</t>
  </si>
  <si>
    <t>SUTHERLAND VERLIN W</t>
  </si>
  <si>
    <t>STORY DARLENE SUTHERLAND</t>
  </si>
  <si>
    <t>1050 STONE CREEK DR</t>
  </si>
  <si>
    <t>27055-6787</t>
  </si>
  <si>
    <t>E900000657</t>
  </si>
  <si>
    <t>ZIGMUND RANDALL J</t>
  </si>
  <si>
    <t>ZIGMUND MARYLEE</t>
  </si>
  <si>
    <t>171 SAINT ANDREWS DRIVE</t>
  </si>
  <si>
    <t>E50000002405</t>
  </si>
  <si>
    <t>ROMINGER TRISTAN TAYLOR ETAL</t>
  </si>
  <si>
    <t>ROMINGER ZACKERY</t>
  </si>
  <si>
    <t>G700000102</t>
  </si>
  <si>
    <t>ALBARRAN TREVOR</t>
  </si>
  <si>
    <t>1716 FORK BIXBY RD</t>
  </si>
  <si>
    <t>27006-7233</t>
  </si>
  <si>
    <t>I4010A0004</t>
  </si>
  <si>
    <t>WARD MICHELLE M</t>
  </si>
  <si>
    <t>155 TURNBERRY DR</t>
  </si>
  <si>
    <t>H9080B0001</t>
  </si>
  <si>
    <t>TALLANT ANSLEY BYERS</t>
  </si>
  <si>
    <t>TALLANT ROBERT J</t>
  </si>
  <si>
    <t>114 SHERWOOD CT</t>
  </si>
  <si>
    <t>G8050B0022</t>
  </si>
  <si>
    <t>WEDDLE GEORGE LEE</t>
  </si>
  <si>
    <t>WEDDLE DEBRA HARTLEY</t>
  </si>
  <si>
    <t>12724 BUTTONWOOD LN</t>
  </si>
  <si>
    <t>FARRAGUT</t>
  </si>
  <si>
    <t>37934-7427</t>
  </si>
  <si>
    <t>L50000008603</t>
  </si>
  <si>
    <t>BEDDINGTON ROBERT JOSEPH II</t>
  </si>
  <si>
    <t>539 HILLCREST DRIVE</t>
  </si>
  <si>
    <t>G50000009001</t>
  </si>
  <si>
    <t>PERRON ALBERT III</t>
  </si>
  <si>
    <t>111 MCCLAMROCK RD</t>
  </si>
  <si>
    <t>C8030A001101</t>
  </si>
  <si>
    <t>HOWELL WENDY</t>
  </si>
  <si>
    <t>163 PINEWOOD LN</t>
  </si>
  <si>
    <t>E900000079</t>
  </si>
  <si>
    <t>133 AVIARA DR</t>
  </si>
  <si>
    <t>N5010A0014</t>
  </si>
  <si>
    <t>ADAPTIVE PROPERTIES LLC</t>
  </si>
  <si>
    <t>4452 BRIARCREEK RD</t>
  </si>
  <si>
    <t>MAIDEN</t>
  </si>
  <si>
    <t>28650-9704</t>
  </si>
  <si>
    <t>H80000004311</t>
  </si>
  <si>
    <t>MRSP HOMES LLC</t>
  </si>
  <si>
    <t>L70000001207</t>
  </si>
  <si>
    <t>J60000005501</t>
  </si>
  <si>
    <t>E70000003304</t>
  </si>
  <si>
    <t>I4120C0025</t>
  </si>
  <si>
    <t>H4180A0006</t>
  </si>
  <si>
    <t>H400000128</t>
  </si>
  <si>
    <t>K8100A0019</t>
  </si>
  <si>
    <t>LATTIMORE SHEILA E</t>
  </si>
  <si>
    <t>136 GLORY CT</t>
  </si>
  <si>
    <t>G70000005301</t>
  </si>
  <si>
    <t>GARRETSON CHRISTOPHER</t>
  </si>
  <si>
    <t>GARRETSON DESIREE</t>
  </si>
  <si>
    <t>131 DANDELION LN</t>
  </si>
  <si>
    <t>27006-7365</t>
  </si>
  <si>
    <t>C70000011607</t>
  </si>
  <si>
    <t>MARKLAND DEBORAH D</t>
  </si>
  <si>
    <t>245 MOUNT CARMEL CHURCH RD</t>
  </si>
  <si>
    <t>27295-7508</t>
  </si>
  <si>
    <t>F7060A0017</t>
  </si>
  <si>
    <t>BOGER JUSTIN LEE</t>
  </si>
  <si>
    <t>BOGER AMBER CARTER</t>
  </si>
  <si>
    <t>183 PALOMINO RD</t>
  </si>
  <si>
    <t>27006-7564</t>
  </si>
  <si>
    <t>G30000000420</t>
  </si>
  <si>
    <t>HAYES MICHAEL SHANE</t>
  </si>
  <si>
    <t>HAYES SHARON ELIZABETH</t>
  </si>
  <si>
    <t>107 CULLODEN DR</t>
  </si>
  <si>
    <t>D700000185</t>
  </si>
  <si>
    <t>DORCAS FOUNDATION</t>
  </si>
  <si>
    <t>B100000004</t>
  </si>
  <si>
    <t>MAURER MATHEW F</t>
  </si>
  <si>
    <t>MAURER TERRI L</t>
  </si>
  <si>
    <t>208 EDWARD BECK RD</t>
  </si>
  <si>
    <t>K5020A0009</t>
  </si>
  <si>
    <t>MITRU ZOLTAN G</t>
  </si>
  <si>
    <t>MITRU DENISE L</t>
  </si>
  <si>
    <t>258 ROLLINGWOOD DR</t>
  </si>
  <si>
    <t>H70000005004</t>
  </si>
  <si>
    <t>HOOTS KRISTOPHER</t>
  </si>
  <si>
    <t>155 WILDWOOD LN</t>
  </si>
  <si>
    <t>M5100C0026</t>
  </si>
  <si>
    <t>LINK HEATHER</t>
  </si>
  <si>
    <t>PO BOX 533</t>
  </si>
  <si>
    <t>27014-0533</t>
  </si>
  <si>
    <t>M5100C0022</t>
  </si>
  <si>
    <t>D60000006204</t>
  </si>
  <si>
    <t>HEAPS HEDVIG W</t>
  </si>
  <si>
    <t>203 TUCKER RD</t>
  </si>
  <si>
    <t>27006-6742</t>
  </si>
  <si>
    <t>C8010A0047</t>
  </si>
  <si>
    <t>GODWIN GAIL AVANT</t>
  </si>
  <si>
    <t>277 OLD TOWNE DR</t>
  </si>
  <si>
    <t>I50000004301</t>
  </si>
  <si>
    <t>RUHLE &amp; KERR ASSOCIATES LLC</t>
  </si>
  <si>
    <t>1000 MALONEY CIRCLE</t>
  </si>
  <si>
    <t>BETHLEHEM</t>
  </si>
  <si>
    <t>K5020A0008</t>
  </si>
  <si>
    <t>J6050A0011</t>
  </si>
  <si>
    <t>WILKS ANA M</t>
  </si>
  <si>
    <t>130 PINE VALLEY RD</t>
  </si>
  <si>
    <t>J400000002</t>
  </si>
  <si>
    <t>SATTERWHITE ALSTON</t>
  </si>
  <si>
    <t>SATTERWHITE DEIRDRA</t>
  </si>
  <si>
    <t>1505 COUNTY HOME RD</t>
  </si>
  <si>
    <t>M400000022</t>
  </si>
  <si>
    <t>RODRIGUEZ EFRAIN</t>
  </si>
  <si>
    <t>RODRIGUEZ ADEAXIS</t>
  </si>
  <si>
    <t>121 WESTVIEW AVE</t>
  </si>
  <si>
    <t>F80000002209</t>
  </si>
  <si>
    <t>DEAN JOHN JOSEPH III</t>
  </si>
  <si>
    <t>DEAN DEBORAH S</t>
  </si>
  <si>
    <t>187 LANTERN DR</t>
  </si>
  <si>
    <t>D8080A000601</t>
  </si>
  <si>
    <t>488 PROPERTIES INC</t>
  </si>
  <si>
    <t>510 MEADOWMONT VILLAGE CIRCLE</t>
  </si>
  <si>
    <t>PMB #245</t>
  </si>
  <si>
    <t>D8080B0002</t>
  </si>
  <si>
    <t>J4030B0013</t>
  </si>
  <si>
    <t>GRUBB HOPE J</t>
  </si>
  <si>
    <t>164 MAGNOLIA AVE</t>
  </si>
  <si>
    <t>27028-2908</t>
  </si>
  <si>
    <t>I80000004502</t>
  </si>
  <si>
    <t>BOWLES MICHAEL S</t>
  </si>
  <si>
    <t>BOWLES KAITLYN A</t>
  </si>
  <si>
    <t>122 TODD RD</t>
  </si>
  <si>
    <t>M5160C0003</t>
  </si>
  <si>
    <t>HARRIS KAMRYN FAITH</t>
  </si>
  <si>
    <t>AKERS HUNTER</t>
  </si>
  <si>
    <t>PO BOX 499</t>
  </si>
  <si>
    <t>27014-0499</t>
  </si>
  <si>
    <t>H500000067</t>
  </si>
  <si>
    <t>DIDONNA JACK 2020 REV TRUST</t>
  </si>
  <si>
    <t>1233 ARBORETUM DR</t>
  </si>
  <si>
    <t>27023-8658</t>
  </si>
  <si>
    <t>J100000053</t>
  </si>
  <si>
    <t>STROUD GARY EUGENE</t>
  </si>
  <si>
    <t>2273 DAVIE ACADEMY RD</t>
  </si>
  <si>
    <t>E900000179</t>
  </si>
  <si>
    <t>GROHMAN MARK E</t>
  </si>
  <si>
    <t>465 KINGSMILL DR</t>
  </si>
  <si>
    <t>C70000000801</t>
  </si>
  <si>
    <t>RIDDLE JUSTIN</t>
  </si>
  <si>
    <t>G7030A0010</t>
  </si>
  <si>
    <t>ZINSMEYER JEAN P</t>
  </si>
  <si>
    <t>108 CAMDEN CT</t>
  </si>
  <si>
    <t>K50000001601</t>
  </si>
  <si>
    <t>BROWNE TORRIN COLIN</t>
  </si>
  <si>
    <t>COOK KARAH NICOLE</t>
  </si>
  <si>
    <t>333 DEADMON RD</t>
  </si>
  <si>
    <t>E50000003312</t>
  </si>
  <si>
    <t>LAUWERS ROBERT T REV TRUST AGREE</t>
  </si>
  <si>
    <t>LAUWERS JULIE W REV TRUST AGRE</t>
  </si>
  <si>
    <t>151 ROCKWELL LN</t>
  </si>
  <si>
    <t>I4120D0025</t>
  </si>
  <si>
    <t>L500000029</t>
  </si>
  <si>
    <t>WOLFORD JACOB</t>
  </si>
  <si>
    <t>WOLFORD STEFFI</t>
  </si>
  <si>
    <t>507 PRIMROSE DR</t>
  </si>
  <si>
    <t>28147-7436</t>
  </si>
  <si>
    <t>N500000064</t>
  </si>
  <si>
    <t>JOHNSON STEVEN</t>
  </si>
  <si>
    <t>MCHONE EMERALD</t>
  </si>
  <si>
    <t>144 GREEN GRASS RD</t>
  </si>
  <si>
    <t>E6110A0016</t>
  </si>
  <si>
    <t>FLANAGAN ETHAN</t>
  </si>
  <si>
    <t>FLANAGAN SARAH</t>
  </si>
  <si>
    <t>201 FOX RUN DR</t>
  </si>
  <si>
    <t>J6100A0002</t>
  </si>
  <si>
    <t>ZABLOSKI MICHAEL ARTHUR</t>
  </si>
  <si>
    <t>ZABLOSKI CAROLYN RENAE</t>
  </si>
  <si>
    <t>115 N LAKE LOUISE DR</t>
  </si>
  <si>
    <t>G50000000902</t>
  </si>
  <si>
    <t>POLICARPO-RAMIREZ EVADINA</t>
  </si>
  <si>
    <t>201 S ANGELL RD</t>
  </si>
  <si>
    <t>E7130A0004</t>
  </si>
  <si>
    <t>CROWE STEPHANIE</t>
  </si>
  <si>
    <t>CROWE JOHNNIE K</t>
  </si>
  <si>
    <t>133 SOMERSET CT</t>
  </si>
  <si>
    <t>E50000000804</t>
  </si>
  <si>
    <t>DOOLEY ROLAND CHASE</t>
  </si>
  <si>
    <t>DOOLEY HELENE AMARSINGH</t>
  </si>
  <si>
    <t>1848 NC HIGHWAY 801 N</t>
  </si>
  <si>
    <t>E900000419</t>
  </si>
  <si>
    <t>SHIVERS CENTRECE K</t>
  </si>
  <si>
    <t>SHIVERS LUKE E</t>
  </si>
  <si>
    <t>173 BROADMOOR DR</t>
  </si>
  <si>
    <t>L5070A001804</t>
  </si>
  <si>
    <t>YORK KATELYN MILLER</t>
  </si>
  <si>
    <t>YORK CORY M</t>
  </si>
  <si>
    <t>201 FAIRFIELD RD</t>
  </si>
  <si>
    <t>F30000002704</t>
  </si>
  <si>
    <t>BLACKWELDER CHAD D</t>
  </si>
  <si>
    <t>BLACKWELDER KERRY B</t>
  </si>
  <si>
    <t>1723 JERICHO CHURCH RD</t>
  </si>
  <si>
    <t>F30000002801</t>
  </si>
  <si>
    <t>OWEN APRIL OLIPHANT</t>
  </si>
  <si>
    <t>3217 MANCHESTER AVE</t>
  </si>
  <si>
    <t>28110-5616</t>
  </si>
  <si>
    <t>G800000218</t>
  </si>
  <si>
    <t>NEWMAN JASON</t>
  </si>
  <si>
    <t>NEWMAN JESSICA</t>
  </si>
  <si>
    <t>433 RABBIT FARM TRL</t>
  </si>
  <si>
    <t>B30000004704</t>
  </si>
  <si>
    <t>SEISDEDOS KEVIN</t>
  </si>
  <si>
    <t>8356 CHEVAL CT</t>
  </si>
  <si>
    <t>27012-9178</t>
  </si>
  <si>
    <t>K70000002005</t>
  </si>
  <si>
    <t>FOSTER BRANDON</t>
  </si>
  <si>
    <t>837 JOE RD</t>
  </si>
  <si>
    <t>27028-7256</t>
  </si>
  <si>
    <t>L5090B0003</t>
  </si>
  <si>
    <t>TROYER JOLENE</t>
  </si>
  <si>
    <t>188 LIBERTY RD</t>
  </si>
  <si>
    <t>C8020A001501</t>
  </si>
  <si>
    <t>WOOD KINDERTON CENTER LLC</t>
  </si>
  <si>
    <t>321 HENRY STREET</t>
  </si>
  <si>
    <t>C8020A0015</t>
  </si>
  <si>
    <t>L70000000501</t>
  </si>
  <si>
    <t>LAMBE DILLON JAMES</t>
  </si>
  <si>
    <t>LAMBE RACHEL HOFFMAN</t>
  </si>
  <si>
    <t>197 DILLON LANE</t>
  </si>
  <si>
    <t>L70000000504</t>
  </si>
  <si>
    <t>E50000000801</t>
  </si>
  <si>
    <t>G30000000418</t>
  </si>
  <si>
    <t>BUTCHER DYLAN BLAKELY</t>
  </si>
  <si>
    <t>123 CULLODEN DR</t>
  </si>
  <si>
    <t>G8130A0007</t>
  </si>
  <si>
    <t>MYERS STEVEN GRAY</t>
  </si>
  <si>
    <t>G8130A0008</t>
  </si>
  <si>
    <t>K500000086</t>
  </si>
  <si>
    <t>SNOOK LAURA ANNE</t>
  </si>
  <si>
    <t>SNOOK ROBERT</t>
  </si>
  <si>
    <t>753 WILL BOONE RD</t>
  </si>
  <si>
    <t>H9090A0002</t>
  </si>
  <si>
    <t>G4080A0026</t>
  </si>
  <si>
    <t>MCPHAUL ADAM L SR</t>
  </si>
  <si>
    <t>MCPHAUL SATERIAL</t>
  </si>
  <si>
    <t>1474 MAIN CHURCH ROAD EXT</t>
  </si>
  <si>
    <t>27028-5875</t>
  </si>
  <si>
    <t>D9090A0018</t>
  </si>
  <si>
    <t>MOORE RONALD C</t>
  </si>
  <si>
    <t>MOORE NANCY L</t>
  </si>
  <si>
    <t>116 WILLOWBROOK PL</t>
  </si>
  <si>
    <t>H70000003802</t>
  </si>
  <si>
    <t>HOOTS ROBIN &amp; VICKEY</t>
  </si>
  <si>
    <t>G700000153</t>
  </si>
  <si>
    <t>HENDRIX ALAN G</t>
  </si>
  <si>
    <t>7020 DISCOVERY LN</t>
  </si>
  <si>
    <t>D800000006</t>
  </si>
  <si>
    <t>NEW ERA PROPERTY MANAGEMENT LLC</t>
  </si>
  <si>
    <t>1007 MASTEN DR UNIT A</t>
  </si>
  <si>
    <t>27284-7451</t>
  </si>
  <si>
    <t>C50000005721</t>
  </si>
  <si>
    <t>SPILLMAN SCOTT B</t>
  </si>
  <si>
    <t>2319 FARMINGTON RD</t>
  </si>
  <si>
    <t>D7030B0025</t>
  </si>
  <si>
    <t>GARDNER MICHAEL WILLIAM</t>
  </si>
  <si>
    <t>GARDNER DANELLE DAWN</t>
  </si>
  <si>
    <t>539 GORDON DR</t>
  </si>
  <si>
    <t>L80000002301</t>
  </si>
  <si>
    <t>BURGESS LONNIE</t>
  </si>
  <si>
    <t>193 BURGESS TRL</t>
  </si>
  <si>
    <t>27006-7331</t>
  </si>
  <si>
    <t>K50000005701</t>
  </si>
  <si>
    <t>FLOWERS KATHY IRVIN</t>
  </si>
  <si>
    <t>124 SPRINGFIELD DR</t>
  </si>
  <si>
    <t>K500000057</t>
  </si>
  <si>
    <t>G3060E0002</t>
  </si>
  <si>
    <t>EARLES RICHARD P</t>
  </si>
  <si>
    <t>388 ALLEN RD</t>
  </si>
  <si>
    <t>27028-5602</t>
  </si>
  <si>
    <t>G3060E0001</t>
  </si>
  <si>
    <t>G700000154</t>
  </si>
  <si>
    <t>N5010C0029</t>
  </si>
  <si>
    <t>EXCALIBUR STONE &amp; CABINETS LLC</t>
  </si>
  <si>
    <t>178 ESSIC RD</t>
  </si>
  <si>
    <t>27028-6203</t>
  </si>
  <si>
    <t>E5020A0019</t>
  </si>
  <si>
    <t>MANCINI DOUGLAS</t>
  </si>
  <si>
    <t>MANCINI MARY</t>
  </si>
  <si>
    <t>369 CORNWALLIS DR</t>
  </si>
  <si>
    <t>B7010A0022</t>
  </si>
  <si>
    <t>MILES CHRISTOPHER M</t>
  </si>
  <si>
    <t>MILES DAWN N</t>
  </si>
  <si>
    <t>267 GRIFFITH ROAD</t>
  </si>
  <si>
    <t>I5170C0005</t>
  </si>
  <si>
    <t>BEMISDARFER JANIECE TRUSTEE</t>
  </si>
  <si>
    <t>THE JANIECE BEMISDARFER FAM TR</t>
  </si>
  <si>
    <t>129 MILLWRIGHT CT</t>
  </si>
  <si>
    <t>M500000029</t>
  </si>
  <si>
    <t>D9050C0034</t>
  </si>
  <si>
    <t>TATE GRACE E</t>
  </si>
  <si>
    <t>440 FAIRFAX DR</t>
  </si>
  <si>
    <t>D9010E0006</t>
  </si>
  <si>
    <t>166 RIVER HILL DR</t>
  </si>
  <si>
    <t>E8070B0013</t>
  </si>
  <si>
    <t>304 SOUTHWOOD DR</t>
  </si>
  <si>
    <t>I5010A0016</t>
  </si>
  <si>
    <t>IJAMES JASON LEE</t>
  </si>
  <si>
    <t>165 SHAGGY BARK LANE</t>
  </si>
  <si>
    <t>J4060B0004</t>
  </si>
  <si>
    <t>SMITH JEFFREY ALAN</t>
  </si>
  <si>
    <t>244 HOLLY LN</t>
  </si>
  <si>
    <t>H2050B0015</t>
  </si>
  <si>
    <t>ASHBURN MEGAN DAWN</t>
  </si>
  <si>
    <t>131 SHEFFIELD RD</t>
  </si>
  <si>
    <t>F300000112</t>
  </si>
  <si>
    <t>MCCRARY RANDY</t>
  </si>
  <si>
    <t>MCCRARY KAYLA</t>
  </si>
  <si>
    <t>125 PINE ST</t>
  </si>
  <si>
    <t>27028-2221</t>
  </si>
  <si>
    <t>B50000003401</t>
  </si>
  <si>
    <t>HARDESTY MATTHEW DAVID</t>
  </si>
  <si>
    <t>HARDESTY RENEE JEANNE</t>
  </si>
  <si>
    <t>214 ABBEY LN</t>
  </si>
  <si>
    <t>27028-6101</t>
  </si>
  <si>
    <t>B200000023</t>
  </si>
  <si>
    <t>POINDEXTER MOLLIE C</t>
  </si>
  <si>
    <t>179 DOGWOOD LN</t>
  </si>
  <si>
    <t>27312-4119</t>
  </si>
  <si>
    <t>B100000002</t>
  </si>
  <si>
    <t>STEELMAN DOROTHY W (LE)</t>
  </si>
  <si>
    <t>BAITY TONYA STEELMAN (RDM)</t>
  </si>
  <si>
    <t>3024 SANDY SPRINGS RD</t>
  </si>
  <si>
    <t>28634-9266</t>
  </si>
  <si>
    <t>J500000047</t>
  </si>
  <si>
    <t>DAVIS KRISTINA KAYE</t>
  </si>
  <si>
    <t>DAVIS SHANE</t>
  </si>
  <si>
    <t>383 TURRENTINE CHURCH RD</t>
  </si>
  <si>
    <t>H5170A0047</t>
  </si>
  <si>
    <t>ARNOLD JOHN</t>
  </si>
  <si>
    <t>ARNOLD MICHELLE</t>
  </si>
  <si>
    <t>153 CANYON RD</t>
  </si>
  <si>
    <t>I5030A0011</t>
  </si>
  <si>
    <t>SILER TIFFANY J</t>
  </si>
  <si>
    <t>118 CYPRUS COVE DR</t>
  </si>
  <si>
    <t>L5020A0017</t>
  </si>
  <si>
    <t>PATEL SANDEEP R</t>
  </si>
  <si>
    <t>PATEL ARPITABEN S</t>
  </si>
  <si>
    <t>191 TWIN CEDARS GOLF RD</t>
  </si>
  <si>
    <t>C8030A000804</t>
  </si>
  <si>
    <t>SUGGS RONALD K</t>
  </si>
  <si>
    <t>SUGGS DIANA B</t>
  </si>
  <si>
    <t>189 PINEWOOD LN UNIT 104</t>
  </si>
  <si>
    <t>27006-8796</t>
  </si>
  <si>
    <t>F800000035</t>
  </si>
  <si>
    <t>BAILEY REBECCA JAN</t>
  </si>
  <si>
    <t>JOHNSON BELINDA SUE</t>
  </si>
  <si>
    <t>146 MOCKS CHURCH RD</t>
  </si>
  <si>
    <t>G8130A0006</t>
  </si>
  <si>
    <t>THE SHARON THOMPSON JAMES LIV TRST</t>
  </si>
  <si>
    <t>JAMES SHARON T TRUSTEE</t>
  </si>
  <si>
    <t>169 TURRENTINE CHURCH RD</t>
  </si>
  <si>
    <t>E900000359</t>
  </si>
  <si>
    <t>ANDERSON MYRON</t>
  </si>
  <si>
    <t>122 SCOTTSDALE DR</t>
  </si>
  <si>
    <t>E6040A0015</t>
  </si>
  <si>
    <t>DOUGLAS DENVER DALE II</t>
  </si>
  <si>
    <t>177 TIMBER LN</t>
  </si>
  <si>
    <t>E70000005202</t>
  </si>
  <si>
    <t>PINKERT JAMI M</t>
  </si>
  <si>
    <t>PINKERT JERYL L</t>
  </si>
  <si>
    <t>518 JUNEY BEAUCHAMP RD</t>
  </si>
  <si>
    <t>F300000047</t>
  </si>
  <si>
    <t>WORDEN MICHAEL</t>
  </si>
  <si>
    <t>173 JOLLEY RD</t>
  </si>
  <si>
    <t>L400000007</t>
  </si>
  <si>
    <t>BAKER THOMAS L</t>
  </si>
  <si>
    <t>BAKER CARLA T</t>
  </si>
  <si>
    <t>1023 MILLS RD</t>
  </si>
  <si>
    <t>STUART</t>
  </si>
  <si>
    <t>24171-3823</t>
  </si>
  <si>
    <t>N4040A0023</t>
  </si>
  <si>
    <t>L60000003001</t>
  </si>
  <si>
    <t>CROTTS SHANA ELIZABETH</t>
  </si>
  <si>
    <t>199 TOM CROTTS LN</t>
  </si>
  <si>
    <t>F700000004</t>
  </si>
  <si>
    <t>CROOK CHARLES</t>
  </si>
  <si>
    <t>CROOK TONYA</t>
  </si>
  <si>
    <t>191 GLENN ALLEN RD</t>
  </si>
  <si>
    <t>J6100A0014</t>
  </si>
  <si>
    <t>WHITEHEAD DAVID</t>
  </si>
  <si>
    <t>WHITEHEAD DEBORAH</t>
  </si>
  <si>
    <t>161 N LAKE LOUISE DR</t>
  </si>
  <si>
    <t>G700000123</t>
  </si>
  <si>
    <t>BUSH LAURA COCKERHAM</t>
  </si>
  <si>
    <t>4810 CHAPEL RIDGE DR</t>
  </si>
  <si>
    <t>27405-2793</t>
  </si>
  <si>
    <t>D200000006</t>
  </si>
  <si>
    <t>BROWN CAROLYN FELTS</t>
  </si>
  <si>
    <t>221 BEN ANDERSON RD</t>
  </si>
  <si>
    <t>G60000004401</t>
  </si>
  <si>
    <t>HERRICK BRADEN</t>
  </si>
  <si>
    <t>BARNHARDT ASHLEY</t>
  </si>
  <si>
    <t>180 HOWARDTOWN RD</t>
  </si>
  <si>
    <t>L60000000406</t>
  </si>
  <si>
    <t>JAMES SETH MICHAEL</t>
  </si>
  <si>
    <t>I900000002</t>
  </si>
  <si>
    <t>BURTON HERBERT G</t>
  </si>
  <si>
    <t>BURTON VELMA S</t>
  </si>
  <si>
    <t>7009 LANVALE CT</t>
  </si>
  <si>
    <t>27012-9425</t>
  </si>
  <si>
    <t>B70000010001</t>
  </si>
  <si>
    <t>C70000007401</t>
  </si>
  <si>
    <t>MENDEZ AUDREY</t>
  </si>
  <si>
    <t>172 LABRADOR LN</t>
  </si>
  <si>
    <t>27006-8010</t>
  </si>
  <si>
    <t>F800000067</t>
  </si>
  <si>
    <t>C T TAYLOR ENTERPRISES LLC</t>
  </si>
  <si>
    <t>168 HAMILTON CT</t>
  </si>
  <si>
    <t>E8110B0012</t>
  </si>
  <si>
    <t>IVEY SONJA</t>
  </si>
  <si>
    <t>H60000000402</t>
  </si>
  <si>
    <t>SPARKS STEVEN GRAY</t>
  </si>
  <si>
    <t>117 STONY FIELD TRL</t>
  </si>
  <si>
    <t>C600000112</t>
  </si>
  <si>
    <t>1780 YADKIN VALLEY RD</t>
  </si>
  <si>
    <t>I4110C0020</t>
  </si>
  <si>
    <t>BYRD MICHAEL</t>
  </si>
  <si>
    <t>466 AVON ST</t>
  </si>
  <si>
    <t>I5090A0005</t>
  </si>
  <si>
    <t>HAZEN ROBERT G</t>
  </si>
  <si>
    <t>HAZEN PAMELA A</t>
  </si>
  <si>
    <t>57 MONTAGUE STREET</t>
  </si>
  <si>
    <t>APT 12F</t>
  </si>
  <si>
    <t>11201-0000</t>
  </si>
  <si>
    <t>I5010C0026</t>
  </si>
  <si>
    <t>ROBERTSON SHERRY</t>
  </si>
  <si>
    <t>2543 CARROLL HILL RD</t>
  </si>
  <si>
    <t>I5070D0019</t>
  </si>
  <si>
    <t>IJAMES PAULA D</t>
  </si>
  <si>
    <t>367 SPRING ST</t>
  </si>
  <si>
    <t>C200000033</t>
  </si>
  <si>
    <t>TYLER CHRISTOPHER D</t>
  </si>
  <si>
    <t>1552 LIBERTY CHURCH RD</t>
  </si>
  <si>
    <t>B20000000404</t>
  </si>
  <si>
    <t>B20000000403</t>
  </si>
  <si>
    <t>C8010A0117</t>
  </si>
  <si>
    <t>LOWERY SHARON H</t>
  </si>
  <si>
    <t>124 SWEETWATER CIR</t>
  </si>
  <si>
    <t>C6120A0004</t>
  </si>
  <si>
    <t>HYRE DAVID GEORGE</t>
  </si>
  <si>
    <t>HYRE JUSTINE PAULA</t>
  </si>
  <si>
    <t>137 JUSTIN CT</t>
  </si>
  <si>
    <t>K500000013</t>
  </si>
  <si>
    <t>GRANT FREDERICK STANLEY</t>
  </si>
  <si>
    <t>GRANT ANNIE E DALTON</t>
  </si>
  <si>
    <t>J40000003610</t>
  </si>
  <si>
    <t>SANDERS NORMAN</t>
  </si>
  <si>
    <t>SANDERS CHEYRL</t>
  </si>
  <si>
    <t>3408 DONEGAL DR</t>
  </si>
  <si>
    <t>D8100D0036</t>
  </si>
  <si>
    <t>COMFORT AIR INC</t>
  </si>
  <si>
    <t>PO BOX 527</t>
  </si>
  <si>
    <t>27012-0527</t>
  </si>
  <si>
    <t>H4200A0007</t>
  </si>
  <si>
    <t>BLOCKER AARON TODD</t>
  </si>
  <si>
    <t>BLOCKER PEGGY HARTMAN</t>
  </si>
  <si>
    <t>116 SHILOH CT</t>
  </si>
  <si>
    <t>C4160A0035</t>
  </si>
  <si>
    <t>RABY NICHOLAS</t>
  </si>
  <si>
    <t>RABY SAVANNAH</t>
  </si>
  <si>
    <t>199 MEADOWLARK LN</t>
  </si>
  <si>
    <t>D8060B0042</t>
  </si>
  <si>
    <t>TROUTMAN ROBERT BRADLEY</t>
  </si>
  <si>
    <t>342 BERMUDA RUN DR</t>
  </si>
  <si>
    <t>D20000000204</t>
  </si>
  <si>
    <t>DANIELS FRANCES BOGER</t>
  </si>
  <si>
    <t>DANIELS STEVEN WADE</t>
  </si>
  <si>
    <t>210 DOBY RD</t>
  </si>
  <si>
    <t>27028-5733</t>
  </si>
  <si>
    <t>J600000083</t>
  </si>
  <si>
    <t>CAMPBELL ERIC LEE</t>
  </si>
  <si>
    <t>1925 US HIGHWAY 64 E</t>
  </si>
  <si>
    <t>I70000001703</t>
  </si>
  <si>
    <t>JOHNSON SANDRA CLONTZ</t>
  </si>
  <si>
    <t>587 MERRELLS LAKE RD</t>
  </si>
  <si>
    <t>I4110B000501</t>
  </si>
  <si>
    <t>H50000002402</t>
  </si>
  <si>
    <t>ENTWISTLE WILLIAM BRIAN</t>
  </si>
  <si>
    <t>2015 US HIGHWAY 158</t>
  </si>
  <si>
    <t>27028-4364</t>
  </si>
  <si>
    <t>E70000013902</t>
  </si>
  <si>
    <t>TULLOCK CHARLOTTE</t>
  </si>
  <si>
    <t>1136 BEAUCHAMP ROAD</t>
  </si>
  <si>
    <t>B300000099</t>
  </si>
  <si>
    <t>OLAND MELISSA APRIL</t>
  </si>
  <si>
    <t>320 BLEVINS RD</t>
  </si>
  <si>
    <t>27055-8739</t>
  </si>
  <si>
    <t>M50000000801</t>
  </si>
  <si>
    <t>SHORE JOSEPH RAY</t>
  </si>
  <si>
    <t>109 CHICKEN STEW WAY</t>
  </si>
  <si>
    <t>M5150A0012</t>
  </si>
  <si>
    <t>N5080A0008</t>
  </si>
  <si>
    <t>KENYON STEPHEN DOUGLAS</t>
  </si>
  <si>
    <t>7983 NC HIGHWAY 801 S</t>
  </si>
  <si>
    <t>N5010C0055</t>
  </si>
  <si>
    <t>WATKINS WANDA BROOKE</t>
  </si>
  <si>
    <t>30 N WALLACE LN</t>
  </si>
  <si>
    <t>HIDDENITE</t>
  </si>
  <si>
    <t>N5010C0021</t>
  </si>
  <si>
    <t>ROWE STEPHEN</t>
  </si>
  <si>
    <t>ROWE DOROTHY</t>
  </si>
  <si>
    <t>PO BOX 1306</t>
  </si>
  <si>
    <t>N5010A0024</t>
  </si>
  <si>
    <t>NGUM JEANETT</t>
  </si>
  <si>
    <t>E900000611</t>
  </si>
  <si>
    <t>WHITLEY JULIAN WYNNE TRUSTEE</t>
  </si>
  <si>
    <t>WHITLEY J W REVOCABLE TRUST</t>
  </si>
  <si>
    <t>102 EAST EDEN COURSE DRIVE</t>
  </si>
  <si>
    <t>C60000001001</t>
  </si>
  <si>
    <t>HAYES KENNETH W</t>
  </si>
  <si>
    <t>HAYES EDNA MAE BAITY</t>
  </si>
  <si>
    <t>102 WEST THIRD STREET</t>
  </si>
  <si>
    <t>SUITE 200 B, LOBBY LEVEL</t>
  </si>
  <si>
    <t>I4110C0002</t>
  </si>
  <si>
    <t>FROELICH DAWN</t>
  </si>
  <si>
    <t>350 GWYN ST</t>
  </si>
  <si>
    <t>D600000054</t>
  </si>
  <si>
    <t>GUNTER JONATHAN</t>
  </si>
  <si>
    <t>GUNTER IVEY</t>
  </si>
  <si>
    <t>127 OLD MARCH RD</t>
  </si>
  <si>
    <t>I5050D0018</t>
  </si>
  <si>
    <t>WILES CHAYSE</t>
  </si>
  <si>
    <t>SHERRILL ERIC</t>
  </si>
  <si>
    <t>398 WHITNEY RD</t>
  </si>
  <si>
    <t>K5090A0044</t>
  </si>
  <si>
    <t>PRESLEY AMY</t>
  </si>
  <si>
    <t>215 LAKEWOOD VILLAGE RD</t>
  </si>
  <si>
    <t>27028-4240</t>
  </si>
  <si>
    <t>D8080D0031</t>
  </si>
  <si>
    <t>WALLER MEREDYTH ETAL</t>
  </si>
  <si>
    <t>880 RIVERBEND DRIVE</t>
  </si>
  <si>
    <t>F90000001802</t>
  </si>
  <si>
    <t>POSEY DELILAH H</t>
  </si>
  <si>
    <t>POSEY GRADY</t>
  </si>
  <si>
    <t>463 VOGLER RD</t>
  </si>
  <si>
    <t>H4130A0031</t>
  </si>
  <si>
    <t>HARRISON BRANDY MICHELLE</t>
  </si>
  <si>
    <t>7106 MITCH PLACE CT</t>
  </si>
  <si>
    <t>APT G</t>
  </si>
  <si>
    <t>B3010A0010</t>
  </si>
  <si>
    <t>HAUSER WARREN JUSTIN</t>
  </si>
  <si>
    <t>67A E NORTHPOINT ST</t>
  </si>
  <si>
    <t>SPRING LAKE</t>
  </si>
  <si>
    <t>F400000030</t>
  </si>
  <si>
    <t>PEARCE NATALIE IRELAND</t>
  </si>
  <si>
    <t>PEARCE NATHAN STUART</t>
  </si>
  <si>
    <t>418 EDWARDS RD</t>
  </si>
  <si>
    <t>F300000110</t>
  </si>
  <si>
    <t>HOLLIS JAMES E</t>
  </si>
  <si>
    <t>51 TALERICO RD</t>
  </si>
  <si>
    <t>HORSEHEADS</t>
  </si>
  <si>
    <t>14845-8522</t>
  </si>
  <si>
    <t>F30000010901</t>
  </si>
  <si>
    <t>C70000007803</t>
  </si>
  <si>
    <t>NAYLOR AUSTIN CORY</t>
  </si>
  <si>
    <t>SCHOECK LAURA GRACE</t>
  </si>
  <si>
    <t>153 W ROBIN DR</t>
  </si>
  <si>
    <t>E8160A0038</t>
  </si>
  <si>
    <t>SELF DONALD</t>
  </si>
  <si>
    <t>SELF ASHLEY</t>
  </si>
  <si>
    <t>129 MEADOW BROOK CT</t>
  </si>
  <si>
    <t>27006-7580</t>
  </si>
  <si>
    <t>H400000113</t>
  </si>
  <si>
    <t>KENNEDY CHRIS</t>
  </si>
  <si>
    <t>1166 YADKINVILLE RD</t>
  </si>
  <si>
    <t>H40000011301</t>
  </si>
  <si>
    <t>H400000097</t>
  </si>
  <si>
    <t>E30000006511</t>
  </si>
  <si>
    <t>E30000006510</t>
  </si>
  <si>
    <t>E30000006508</t>
  </si>
  <si>
    <t>F300000014</t>
  </si>
  <si>
    <t>H20000004604</t>
  </si>
  <si>
    <t>LARSSON NEIL D</t>
  </si>
  <si>
    <t>LARSSON FRANCES W</t>
  </si>
  <si>
    <t>190 VANZANT RD</t>
  </si>
  <si>
    <t>I4010A0083</t>
  </si>
  <si>
    <t>GAITHER WANDA T</t>
  </si>
  <si>
    <t>106 N WENTWORTH DR</t>
  </si>
  <si>
    <t>F80000002234</t>
  </si>
  <si>
    <t>LAVALLEY DOUGLAS R</t>
  </si>
  <si>
    <t>LAVALLEY LINDA J</t>
  </si>
  <si>
    <t>106 LANTERN DR</t>
  </si>
  <si>
    <t>M500000048</t>
  </si>
  <si>
    <t>BECK WARREN KEITH</t>
  </si>
  <si>
    <t>254 HOBSON DR</t>
  </si>
  <si>
    <t>M50000004801</t>
  </si>
  <si>
    <t>N60000004105</t>
  </si>
  <si>
    <t>MEZA DAGOBERTO</t>
  </si>
  <si>
    <t>107 CORRIES LN</t>
  </si>
  <si>
    <t>27028-6637</t>
  </si>
  <si>
    <t>C8030A001401</t>
  </si>
  <si>
    <t>EDWARDS DEBRA CORNELIA</t>
  </si>
  <si>
    <t>141 PINEWOOD LN UNIT 101</t>
  </si>
  <si>
    <t>G800000039</t>
  </si>
  <si>
    <t>BAHNSON HENRY</t>
  </si>
  <si>
    <t>3301 9TH AVE W</t>
  </si>
  <si>
    <t>SEATTLE</t>
  </si>
  <si>
    <t>98119-1858</t>
  </si>
  <si>
    <t>K10000002110</t>
  </si>
  <si>
    <t>RITCHIE JASON</t>
  </si>
  <si>
    <t>RITCHIE KATI</t>
  </si>
  <si>
    <t>222 FARM RIDGE LN</t>
  </si>
  <si>
    <t>L3080A0008</t>
  </si>
  <si>
    <t>HARRIS MORGAN W</t>
  </si>
  <si>
    <t>HARRIS SHALIA B</t>
  </si>
  <si>
    <t>910 MR HENRY RD</t>
  </si>
  <si>
    <t>H5170A0029</t>
  </si>
  <si>
    <t>SWYERS MICHAEL F</t>
  </si>
  <si>
    <t>SWYERS ANN D</t>
  </si>
  <si>
    <t>292 CANYON RD</t>
  </si>
  <si>
    <t>K30000000306</t>
  </si>
  <si>
    <t>CURLL TIMOTHY</t>
  </si>
  <si>
    <t>CURLL ANGELA</t>
  </si>
  <si>
    <t>148 BYERLYS CHAPEL RD</t>
  </si>
  <si>
    <t>K5030A0018</t>
  </si>
  <si>
    <t>DEACON RIDGE HOMEOWNERS ASSOC</t>
  </si>
  <si>
    <t>F20000004101</t>
  </si>
  <si>
    <t>27028-1533</t>
  </si>
  <si>
    <t>F20000004204</t>
  </si>
  <si>
    <t>G7070A0007</t>
  </si>
  <si>
    <t>FOWLER JASON</t>
  </si>
  <si>
    <t>GALLEHUGH MARY K</t>
  </si>
  <si>
    <t>329 BALTIMORE TRAILS LN</t>
  </si>
  <si>
    <t>27006-8009</t>
  </si>
  <si>
    <t>M5160B0037</t>
  </si>
  <si>
    <t>WALLER BRAD L</t>
  </si>
  <si>
    <t>WALLER STEPHANIE G</t>
  </si>
  <si>
    <t>2785 NEEDMORE RD</t>
  </si>
  <si>
    <t>N5010C0007</t>
  </si>
  <si>
    <t>H4130A0052</t>
  </si>
  <si>
    <t>HAILE CELESTE</t>
  </si>
  <si>
    <t>151 SUMMIT DR</t>
  </si>
  <si>
    <t>K5100A0034</t>
  </si>
  <si>
    <t>JONES STEVEN G</t>
  </si>
  <si>
    <t>1739 US HIGHWAY 601 S</t>
  </si>
  <si>
    <t>H50000002916</t>
  </si>
  <si>
    <t>MCGOWN TIMOTHY EUGENE SR</t>
  </si>
  <si>
    <t>MCGOWN KAREN FLOYD</t>
  </si>
  <si>
    <t>385 OAK GROVE CHURCH RD</t>
  </si>
  <si>
    <t>APT F</t>
  </si>
  <si>
    <t>E8140A0024</t>
  </si>
  <si>
    <t>MCKEEFERY DONALD LEE</t>
  </si>
  <si>
    <t>MCKEEFERY PATRICE LEE</t>
  </si>
  <si>
    <t>154 COUNTRY CIR</t>
  </si>
  <si>
    <t>L400000050</t>
  </si>
  <si>
    <t>MOORE JOHN H JR</t>
  </si>
  <si>
    <t>MOORE TAMARA L</t>
  </si>
  <si>
    <t>636 GLADSTONE RD</t>
  </si>
  <si>
    <t>G30000000427</t>
  </si>
  <si>
    <t>JONES KIMBERLY RAE</t>
  </si>
  <si>
    <t>JONES DAVID ARAFON STEPHEN</t>
  </si>
  <si>
    <t>143 ARGYLE CT</t>
  </si>
  <si>
    <t>27028-4884</t>
  </si>
  <si>
    <t>I4120A000302</t>
  </si>
  <si>
    <t>FORREST MATTHEW</t>
  </si>
  <si>
    <t>330 GWYN ST</t>
  </si>
  <si>
    <t>K70000006302</t>
  </si>
  <si>
    <t>RICE MICHAEL D</t>
  </si>
  <si>
    <t>RICE HEATHER C</t>
  </si>
  <si>
    <t>5342 NC HIGHWAY 801 S</t>
  </si>
  <si>
    <t>F300000102</t>
  </si>
  <si>
    <t>IJAMES LUCILLE</t>
  </si>
  <si>
    <t>330 PARKER RD</t>
  </si>
  <si>
    <t>G80000001901</t>
  </si>
  <si>
    <t>SEAFORD THOMAS ASHLEY</t>
  </si>
  <si>
    <t>SEAFORD AMANDA JEWELL</t>
  </si>
  <si>
    <t>3148 CORNATZER RD</t>
  </si>
  <si>
    <t>F30000007402</t>
  </si>
  <si>
    <t>NAYLOR DAVID LEE</t>
  </si>
  <si>
    <t>234 BRACKEN RD</t>
  </si>
  <si>
    <t>G8010D0003</t>
  </si>
  <si>
    <t>PHILYAW DIANE ELIZABETH</t>
  </si>
  <si>
    <t>236 FOX TROT LN</t>
  </si>
  <si>
    <t>G800000233</t>
  </si>
  <si>
    <t>RABBIT FARM MEADOW HOA</t>
  </si>
  <si>
    <t>H50000002908</t>
  </si>
  <si>
    <t>ASBURY JENNIFER ROSE</t>
  </si>
  <si>
    <t>ASBURY JOEY NEWTON JR</t>
  </si>
  <si>
    <t>373 OAK GROVE CHURCH RD</t>
  </si>
  <si>
    <t>I5050A0004</t>
  </si>
  <si>
    <t>SHUPE JEREMY R</t>
  </si>
  <si>
    <t>MANKINS CRYSTAL A</t>
  </si>
  <si>
    <t>14 NELSON MAINE</t>
  </si>
  <si>
    <t>CARROLLTON</t>
  </si>
  <si>
    <t>G800000001</t>
  </si>
  <si>
    <t>HOOTS RABBIT FARM LIMITED PART</t>
  </si>
  <si>
    <t>% RABBIT FARM MEADOW HOA</t>
  </si>
  <si>
    <t>J6050E0001</t>
  </si>
  <si>
    <t>TAYLOR STEFANIE P</t>
  </si>
  <si>
    <t>804 APPLE ST</t>
  </si>
  <si>
    <t>GIBSONVILLE</t>
  </si>
  <si>
    <t>D8070D0007</t>
  </si>
  <si>
    <t>HAHN JONATHAN J</t>
  </si>
  <si>
    <t>HAHN JENNIFER K</t>
  </si>
  <si>
    <t>32745 SHADYVIEW ST</t>
  </si>
  <si>
    <t>WINCHESTER</t>
  </si>
  <si>
    <t>92596-8453</t>
  </si>
  <si>
    <t>D8030A0015</t>
  </si>
  <si>
    <t>HERRING JAMES H</t>
  </si>
  <si>
    <t>HERRING HEATHER R</t>
  </si>
  <si>
    <t>114 BOXWOOD CIR</t>
  </si>
  <si>
    <t>D9010D0018</t>
  </si>
  <si>
    <t>CHUKWU EBERE</t>
  </si>
  <si>
    <t>PO BOX 459</t>
  </si>
  <si>
    <t>SALADO</t>
  </si>
  <si>
    <t>76571-0459</t>
  </si>
  <si>
    <t>D8060B0026</t>
  </si>
  <si>
    <t>WINFREY STEPHANIE</t>
  </si>
  <si>
    <t>D9010B0007</t>
  </si>
  <si>
    <t>VANNOY TAMMIE F</t>
  </si>
  <si>
    <t>199 TIFTON ST</t>
  </si>
  <si>
    <t>F10000005102</t>
  </si>
  <si>
    <t>BROOKS PATRICK</t>
  </si>
  <si>
    <t>298 FESPERMAN CIR</t>
  </si>
  <si>
    <t>G3060A0032</t>
  </si>
  <si>
    <t>BROWN HARRY J JR</t>
  </si>
  <si>
    <t>BROWN TAMMY P</t>
  </si>
  <si>
    <t>122 STONY BROOK TRAIL</t>
  </si>
  <si>
    <t>C8030B0002</t>
  </si>
  <si>
    <t>SUGGS ADAM BURTON</t>
  </si>
  <si>
    <t>292 TOWN PARK DR</t>
  </si>
  <si>
    <t>UNIT 201</t>
  </si>
  <si>
    <t>27006-8619</t>
  </si>
  <si>
    <t>C500000067</t>
  </si>
  <si>
    <t>BENFIELD KEVIN C</t>
  </si>
  <si>
    <t>2024 FARMINGTON RD</t>
  </si>
  <si>
    <t>I5160D0016</t>
  </si>
  <si>
    <t>FISHER TAMMY</t>
  </si>
  <si>
    <t>324 E DEPOT ST</t>
  </si>
  <si>
    <t>27028-2417</t>
  </si>
  <si>
    <t>K3120A0012</t>
  </si>
  <si>
    <t>BASAN VINCENTA TERAN</t>
  </si>
  <si>
    <t>126 BLUE BONNET CT</t>
  </si>
  <si>
    <t>K3120A0011</t>
  </si>
  <si>
    <t>C500000066</t>
  </si>
  <si>
    <t>E7130A0001</t>
  </si>
  <si>
    <t>FULP JOSEPH ODELL JR</t>
  </si>
  <si>
    <t>111 SOMERSET COURT</t>
  </si>
  <si>
    <t>E9150B0130</t>
  </si>
  <si>
    <t>STEINBICKER GAYLE</t>
  </si>
  <si>
    <t>TIERNEY PETER J</t>
  </si>
  <si>
    <t>128 KNICKER LN</t>
  </si>
  <si>
    <t>K3050A0002</t>
  </si>
  <si>
    <t>WHISENHUNT KRISTLE</t>
  </si>
  <si>
    <t>123 JUNCTION RD</t>
  </si>
  <si>
    <t>L5070A0001</t>
  </si>
  <si>
    <t>FAIRFIELD BAPTIST CHURCH</t>
  </si>
  <si>
    <t>164 EXCALIBUR LANE</t>
  </si>
  <si>
    <t>L5070A000304</t>
  </si>
  <si>
    <t>L5070A0003</t>
  </si>
  <si>
    <t>H300000024</t>
  </si>
  <si>
    <t>CUADRA EDWIN MAURICIO GIRON</t>
  </si>
  <si>
    <t>FLORES ERIKA CAROLINA</t>
  </si>
  <si>
    <t>2189 US HIGHWAY 64 W</t>
  </si>
  <si>
    <t>H9080B0012</t>
  </si>
  <si>
    <t>GOODNOW WILLIAM</t>
  </si>
  <si>
    <t>GOODNOW LINDY</t>
  </si>
  <si>
    <t>121 SHERWOOD CT</t>
  </si>
  <si>
    <t>E40000001604</t>
  </si>
  <si>
    <t>MOJICA ROJELIO</t>
  </si>
  <si>
    <t>MOJICA EVA</t>
  </si>
  <si>
    <t>PO BOX 302</t>
  </si>
  <si>
    <t>I6140A0019</t>
  </si>
  <si>
    <t>BOSTIC ROBERT E</t>
  </si>
  <si>
    <t>224 SUNSET CIR</t>
  </si>
  <si>
    <t>H300000069</t>
  </si>
  <si>
    <t>MCCLAMROCK JOSEPHINE C</t>
  </si>
  <si>
    <t>DRAUGHN PATRICIA M</t>
  </si>
  <si>
    <t>907 CALAHALN RD</t>
  </si>
  <si>
    <t>I4130A0012</t>
  </si>
  <si>
    <t>J5020A0007</t>
  </si>
  <si>
    <t>GOMEZ SALVADOR</t>
  </si>
  <si>
    <t>GOMEZ JACQUELINE</t>
  </si>
  <si>
    <t>935 CREEKVIEW DR</t>
  </si>
  <si>
    <t>78219-3220</t>
  </si>
  <si>
    <t>H80000004306</t>
  </si>
  <si>
    <t>TURNER DEREK C</t>
  </si>
  <si>
    <t>TURNER SHERRIE E</t>
  </si>
  <si>
    <t>1043 BAILEYS CHAPEL RD</t>
  </si>
  <si>
    <t>K600000015</t>
  </si>
  <si>
    <t>BRAME WESLEY CHASE</t>
  </si>
  <si>
    <t>953 DEADMON RD</t>
  </si>
  <si>
    <t>B50000006901</t>
  </si>
  <si>
    <t>HIGHSMITH ANDREW JOHN</t>
  </si>
  <si>
    <t>HIGHSMITH JULIA LYNN</t>
  </si>
  <si>
    <t>173 ALDER LN</t>
  </si>
  <si>
    <t>27028-6102</t>
  </si>
  <si>
    <t>H80000004305</t>
  </si>
  <si>
    <t>C8030C0008</t>
  </si>
  <si>
    <t>LAZO JENNIFER</t>
  </si>
  <si>
    <t>LAZO NELSON</t>
  </si>
  <si>
    <t>480 BARBER LOOP</t>
  </si>
  <si>
    <t>E20000003001</t>
  </si>
  <si>
    <t>MASON CODY EVERETT</t>
  </si>
  <si>
    <t>160 BEAR CREEK CHURCH RD</t>
  </si>
  <si>
    <t>E200000030</t>
  </si>
  <si>
    <t>L5090B0005</t>
  </si>
  <si>
    <t>SHOOK ZACHARY ISAIAH</t>
  </si>
  <si>
    <t>174 LIBERTY RD</t>
  </si>
  <si>
    <t>L5090B0004</t>
  </si>
  <si>
    <t>D60000006001</t>
  </si>
  <si>
    <t>ACKERT-OWEN DAMION J</t>
  </si>
  <si>
    <t>SIMS CAYLA R</t>
  </si>
  <si>
    <t>434 HARPER RD</t>
  </si>
  <si>
    <t>F30000007201</t>
  </si>
  <si>
    <t>WALL TIMOTHY R &amp; MARIBEL Q REV LIV TRUST</t>
  </si>
  <si>
    <t>316 BRACKEN RD</t>
  </si>
  <si>
    <t>F70000001804</t>
  </si>
  <si>
    <t>MYERS STACY LEE</t>
  </si>
  <si>
    <t>MYERS CARROLL L</t>
  </si>
  <si>
    <t>F70000001807</t>
  </si>
  <si>
    <t>F700000028</t>
  </si>
  <si>
    <t>L70000000503</t>
  </si>
  <si>
    <t>RICHEE APRIL THERESA D.....</t>
  </si>
  <si>
    <t>WILLIAMS TRACIE SEAFORD</t>
  </si>
  <si>
    <t>H20000001402</t>
  </si>
  <si>
    <t>JOHNSON JAIME MILAM</t>
  </si>
  <si>
    <t>JOHNSON ANDREW LEE</t>
  </si>
  <si>
    <t>639 VANZANT RD</t>
  </si>
  <si>
    <t>J7080B0002</t>
  </si>
  <si>
    <t>GUEST MEGAN ELIZABETH</t>
  </si>
  <si>
    <t>123 CEDARWOOD PL</t>
  </si>
  <si>
    <t>E900000068</t>
  </si>
  <si>
    <t>HICKS THOMAS BRENT</t>
  </si>
  <si>
    <t>HICKS RHONDA</t>
  </si>
  <si>
    <t>141 BAYHILL DR</t>
  </si>
  <si>
    <t>J5170A0012</t>
  </si>
  <si>
    <t>NEAL BRIAN</t>
  </si>
  <si>
    <t>NEAL LAURA</t>
  </si>
  <si>
    <t>135 ELBERON CT</t>
  </si>
  <si>
    <t>D7030A0020</t>
  </si>
  <si>
    <t>HUNCKLER ANTHONY</t>
  </si>
  <si>
    <t>144 BRENTWOOD DR</t>
  </si>
  <si>
    <t>C8010A0119</t>
  </si>
  <si>
    <t>DANIELS KEVIN A</t>
  </si>
  <si>
    <t>118 SWEETWATER CIR</t>
  </si>
  <si>
    <t>F8030A0001</t>
  </si>
  <si>
    <t>SLAWTER JENNIFER</t>
  </si>
  <si>
    <t>SLAWTER MARK</t>
  </si>
  <si>
    <t>109 ESSEX FARM RD</t>
  </si>
  <si>
    <t>C200000017</t>
  </si>
  <si>
    <t>MELTON VICKIE C</t>
  </si>
  <si>
    <t>256 LAT WHITAKER RD</t>
  </si>
  <si>
    <t>27028-4841</t>
  </si>
  <si>
    <t>C200000016</t>
  </si>
  <si>
    <t>I5030A0017</t>
  </si>
  <si>
    <t>REID RYAN</t>
  </si>
  <si>
    <t>TAULBEE HUNTER</t>
  </si>
  <si>
    <t>127 ELI AVE</t>
  </si>
  <si>
    <t>H700000005</t>
  </si>
  <si>
    <t>ALLEN MICHAEL D</t>
  </si>
  <si>
    <t>ALLEN KAREN VICTORIA</t>
  </si>
  <si>
    <t>1350 CORNATZER RD</t>
  </si>
  <si>
    <t>F800000032</t>
  </si>
  <si>
    <t>ROTHROCK AMY INEZ</t>
  </si>
  <si>
    <t>118 W ROBIN DR</t>
  </si>
  <si>
    <t>E9150B0030</t>
  </si>
  <si>
    <t>SURRY ENDEAVOR LLC</t>
  </si>
  <si>
    <t>PO BOX 804</t>
  </si>
  <si>
    <t>27030-0804</t>
  </si>
  <si>
    <t>H7030A0008</t>
  </si>
  <si>
    <t>RODGERS SCOTTY L</t>
  </si>
  <si>
    <t>RODGERS SUSAN K</t>
  </si>
  <si>
    <t>227 JAMES RD</t>
  </si>
  <si>
    <t>E900000656</t>
  </si>
  <si>
    <t>PILLEY DAVEY</t>
  </si>
  <si>
    <t>PILLEY PENNY J</t>
  </si>
  <si>
    <t>174 N SAINT ANDREWS DR</t>
  </si>
  <si>
    <t>F300000075</t>
  </si>
  <si>
    <t>DURHAM JORDAN W</t>
  </si>
  <si>
    <t>COOK KATINA CATHERINE</t>
  </si>
  <si>
    <t>212 BRACKEN RD</t>
  </si>
  <si>
    <t>D8070A0064</t>
  </si>
  <si>
    <t>HILL DAVID C</t>
  </si>
  <si>
    <t>HILL JANET F</t>
  </si>
  <si>
    <t>138 GOLFVIEW DR</t>
  </si>
  <si>
    <t>I4120C0009</t>
  </si>
  <si>
    <t>APPELL DAVID</t>
  </si>
  <si>
    <t>APPELL STEPHANIE</t>
  </si>
  <si>
    <t>192 BRANGUS WAY</t>
  </si>
  <si>
    <t>27028-4625</t>
  </si>
  <si>
    <t>C7150A0017</t>
  </si>
  <si>
    <t>OLDHAM JASON</t>
  </si>
  <si>
    <t>OLDHAM MELINDA</t>
  </si>
  <si>
    <t>196 WOODBURN PL</t>
  </si>
  <si>
    <t>27006-9457</t>
  </si>
  <si>
    <t>C60000001802</t>
  </si>
  <si>
    <t>LASASSO REX</t>
  </si>
  <si>
    <t>LASASSO KATHRYN W</t>
  </si>
  <si>
    <t>210 ALBRECHT FARM LN</t>
  </si>
  <si>
    <t>H6080A0002</t>
  </si>
  <si>
    <t>WALTON LUCI MARIE</t>
  </si>
  <si>
    <t>MORGAN ERIC FLETCHER</t>
  </si>
  <si>
    <t>716 SAIN RD</t>
  </si>
  <si>
    <t>D8070A0046</t>
  </si>
  <si>
    <t>MENIER MORITZ</t>
  </si>
  <si>
    <t>177 GOLFVIEW DR</t>
  </si>
  <si>
    <t>I50000002603</t>
  </si>
  <si>
    <t>SMITH THEREASE DENISE</t>
  </si>
  <si>
    <t>SMITH TIMOTHY LANE</t>
  </si>
  <si>
    <t>1139 MILLING RD</t>
  </si>
  <si>
    <t>G800000038</t>
  </si>
  <si>
    <t>VOGLER LARRY EUGENE</t>
  </si>
  <si>
    <t>145 JAMES SMILE LANE</t>
  </si>
  <si>
    <t>27006-0001</t>
  </si>
  <si>
    <t>K30000000603</t>
  </si>
  <si>
    <t>ELLIS DALE C</t>
  </si>
  <si>
    <t>ELLIS STEPHANIE M</t>
  </si>
  <si>
    <t>448 WILDERNESS WAY</t>
  </si>
  <si>
    <t>M5090B003301</t>
  </si>
  <si>
    <t>HART JULIA</t>
  </si>
  <si>
    <t>MELTON BARRY</t>
  </si>
  <si>
    <t>208 JERUSALEM AVE</t>
  </si>
  <si>
    <t>H30000003503</t>
  </si>
  <si>
    <t>ALLISON MARGARET B</t>
  </si>
  <si>
    <t>181 ALLISON LANE</t>
  </si>
  <si>
    <t>F900000033</t>
  </si>
  <si>
    <t>MYERS ANGELA MCGEE</t>
  </si>
  <si>
    <t>MYERS WILLIAM LEE</t>
  </si>
  <si>
    <t>622 UNDERPASS RD</t>
  </si>
  <si>
    <t>27006-7525</t>
  </si>
  <si>
    <t>L50000009701A</t>
  </si>
  <si>
    <t>WILLIAMS LYNDSEY A</t>
  </si>
  <si>
    <t>WILLIAMS NICHOLAS A</t>
  </si>
  <si>
    <t>379 FAIRFIELD RD</t>
  </si>
  <si>
    <t>F200000016</t>
  </si>
  <si>
    <t>FREEMAN WILLIS LEWIS</t>
  </si>
  <si>
    <t>7687 SEDGEWICK RIDGE RD</t>
  </si>
  <si>
    <t>C60000003002</t>
  </si>
  <si>
    <t>MASON MARK WILLIAM</t>
  </si>
  <si>
    <t>C600000030</t>
  </si>
  <si>
    <t>MASON JOSEPH WILLIAM ETAL</t>
  </si>
  <si>
    <t>HARDING CONSTANCE ANITA</t>
  </si>
  <si>
    <t>B600000007</t>
  </si>
  <si>
    <t>E900000655</t>
  </si>
  <si>
    <t>BEAUCHAMP DENNIS R</t>
  </si>
  <si>
    <t>BEAUCHAMP KIM P</t>
  </si>
  <si>
    <t>170 N SAINT ANDREWS DR</t>
  </si>
  <si>
    <t>B3020A0017</t>
  </si>
  <si>
    <t>ALLEN SUZAN M</t>
  </si>
  <si>
    <t>145 CHILDRENS HOME RD</t>
  </si>
  <si>
    <t>B50000008004</t>
  </si>
  <si>
    <t>107 PINEVILLE RD</t>
  </si>
  <si>
    <t>B600000035</t>
  </si>
  <si>
    <t>STUTTS RICKY FRED</t>
  </si>
  <si>
    <t>199 JESSE KING ROAD</t>
  </si>
  <si>
    <t>AADVANCE</t>
  </si>
  <si>
    <t>F80000007412</t>
  </si>
  <si>
    <t>JENNINGS JOEL STASON</t>
  </si>
  <si>
    <t>JENNINGS REBECCA DAMRON</t>
  </si>
  <si>
    <t>1327 NC HIGHWAY 801 S</t>
  </si>
  <si>
    <t>J5160C0007</t>
  </si>
  <si>
    <t>WRIGHT CHERYL</t>
  </si>
  <si>
    <t>229 RANDOM RD</t>
  </si>
  <si>
    <t>G8140A0059  A</t>
  </si>
  <si>
    <t>WATKINS JASON</t>
  </si>
  <si>
    <t>WATKINS TRICIA</t>
  </si>
  <si>
    <t>120 SPRUCEWOOD CT</t>
  </si>
  <si>
    <t>G8140A0059</t>
  </si>
  <si>
    <t>I5030A0029</t>
  </si>
  <si>
    <t>PISA ANGELO</t>
  </si>
  <si>
    <t>PISA THEA</t>
  </si>
  <si>
    <t>112 W CARMEL COVE DR</t>
  </si>
  <si>
    <t>J10000003903</t>
  </si>
  <si>
    <t>PATRICIO ARTURO CHAVEZ</t>
  </si>
  <si>
    <t>FLORES MARITONA ABARCA</t>
  </si>
  <si>
    <t>1360 RIDGE RD</t>
  </si>
  <si>
    <t>I5030A0035</t>
  </si>
  <si>
    <t>KIRBY KYLE</t>
  </si>
  <si>
    <t>119 E CARMEL COVE DR</t>
  </si>
  <si>
    <t>I5030A0028</t>
  </si>
  <si>
    <t>PALMER BRIAN</t>
  </si>
  <si>
    <t>HANWAY JAMES</t>
  </si>
  <si>
    <t>118 W CARMEL COVE DR</t>
  </si>
  <si>
    <t>G800000232</t>
  </si>
  <si>
    <t>RESSA DOMINIC</t>
  </si>
  <si>
    <t>RESSA PATRICIA</t>
  </si>
  <si>
    <t>2798 CORNATZER RD</t>
  </si>
  <si>
    <t>E90000000601</t>
  </si>
  <si>
    <t>FADDIS WILLIAM</t>
  </si>
  <si>
    <t>FADDIS BEVERLY</t>
  </si>
  <si>
    <t>116 MONARCH CT</t>
  </si>
  <si>
    <t>I5010C0004</t>
  </si>
  <si>
    <t>NEW LIFE APOSTOLIC CHURCH</t>
  </si>
  <si>
    <t>358 MARTIN LUTHER KING RD</t>
  </si>
  <si>
    <t>K800000007</t>
  </si>
  <si>
    <t>WALKER JODI</t>
  </si>
  <si>
    <t>3442 US HIGHWAY 64 E</t>
  </si>
  <si>
    <t>J4120A0014</t>
  </si>
  <si>
    <t>BLACKWELDER STEPHANIE</t>
  </si>
  <si>
    <t>925 HARDISON ST</t>
  </si>
  <si>
    <t>I5060C0018</t>
  </si>
  <si>
    <t>PARKS DWAYNE O</t>
  </si>
  <si>
    <t>PARKS NORA E</t>
  </si>
  <si>
    <t>21 MARCONI ST</t>
  </si>
  <si>
    <t>D20000003501</t>
  </si>
  <si>
    <t>GREEN WANDA B</t>
  </si>
  <si>
    <t>1435 MAIN CHURCH RD</t>
  </si>
  <si>
    <t>N5080B0023</t>
  </si>
  <si>
    <t>DEVORE CRYSTAL D</t>
  </si>
  <si>
    <t>PO BOX 802</t>
  </si>
  <si>
    <t>I600000063</t>
  </si>
  <si>
    <t>FISHEL LINDSEY L</t>
  </si>
  <si>
    <t>FISHEL JOYCE S</t>
  </si>
  <si>
    <t>686 CORNATZER ROAD</t>
  </si>
  <si>
    <t>G800000067</t>
  </si>
  <si>
    <t>BRANCH TERRY E</t>
  </si>
  <si>
    <t>BRANCH BETTIE B</t>
  </si>
  <si>
    <t>130 JAMES SMILE LN</t>
  </si>
  <si>
    <t>27006-6799</t>
  </si>
  <si>
    <t>C8010A0272</t>
  </si>
  <si>
    <t>147 ROSEWALK LN</t>
  </si>
  <si>
    <t>G8050A0003</t>
  </si>
  <si>
    <t>BRANCH BETTI</t>
  </si>
  <si>
    <t>G8050A0002</t>
  </si>
  <si>
    <t>BRANCH TERRY ELLIS</t>
  </si>
  <si>
    <t>C4160A0034</t>
  </si>
  <si>
    <t>J600000106</t>
  </si>
  <si>
    <t>RON'S CNC SERVICE INC</t>
  </si>
  <si>
    <t>121 DALTON BUSINESS CT</t>
  </si>
  <si>
    <t>27028-5195</t>
  </si>
  <si>
    <t>D7090A0002</t>
  </si>
  <si>
    <t>BUSH THOMAS A</t>
  </si>
  <si>
    <t>BUSH JANET M</t>
  </si>
  <si>
    <t>114 IDLEWILD RD</t>
  </si>
  <si>
    <t>27006-6679</t>
  </si>
  <si>
    <t>H300000035</t>
  </si>
  <si>
    <t>H8050A0014</t>
  </si>
  <si>
    <t>TRUDEAU STEVEN M</t>
  </si>
  <si>
    <t>TRUDEAU PAMELA J</t>
  </si>
  <si>
    <t>203 SHADY GROVE LANE</t>
  </si>
  <si>
    <t>N5010B0027</t>
  </si>
  <si>
    <t>FERNANDEZ SANTOS ETAL</t>
  </si>
  <si>
    <t>DE GALVEZ MIRNA NOEMI MARTINEZ</t>
  </si>
  <si>
    <t>PO BOX 88</t>
  </si>
  <si>
    <t>27014-0088</t>
  </si>
  <si>
    <t>B60000002603</t>
  </si>
  <si>
    <t>STUTTS RICK F</t>
  </si>
  <si>
    <t>199 JESSE KING RD</t>
  </si>
  <si>
    <t>N60000007504</t>
  </si>
  <si>
    <t>BERRY TRENT DANIEL</t>
  </si>
  <si>
    <t>8782 RED RD</t>
  </si>
  <si>
    <t>ROCKWELL</t>
  </si>
  <si>
    <t>28138-6502</t>
  </si>
  <si>
    <t>J70000006106</t>
  </si>
  <si>
    <t>COHN MATTHEW A</t>
  </si>
  <si>
    <t>240 MERRELLS LAKE RD</t>
  </si>
  <si>
    <t>E8150A0018</t>
  </si>
  <si>
    <t>D9090D000501</t>
  </si>
  <si>
    <t>LYNDE KENNETH J</t>
  </si>
  <si>
    <t>LYNDE HELEN C</t>
  </si>
  <si>
    <t>124 BAYBERRY PL</t>
  </si>
  <si>
    <t>C50000005706</t>
  </si>
  <si>
    <t>BROWN DEBRA J</t>
  </si>
  <si>
    <t>254 POTTERS RIDGE DR</t>
  </si>
  <si>
    <t>G400000058</t>
  </si>
  <si>
    <t>TRW ENTERPRISES LLC</t>
  </si>
  <si>
    <t>J4040A0007</t>
  </si>
  <si>
    <t>LOPEZ MARIO ZURITA</t>
  </si>
  <si>
    <t>311 W MAPLE AVE</t>
  </si>
  <si>
    <t>G40000005801</t>
  </si>
  <si>
    <t>C500000055</t>
  </si>
  <si>
    <t>WHITE CYNTHIA WHITAKER</t>
  </si>
  <si>
    <t>2223 FARMINGTON RD</t>
  </si>
  <si>
    <t>I50000004302</t>
  </si>
  <si>
    <t>D &amp; R MOCKSVILLE LLC</t>
  </si>
  <si>
    <t>1755 PARK ST STE 200</t>
  </si>
  <si>
    <t>NAPERVILLE</t>
  </si>
  <si>
    <t>60563-8404</t>
  </si>
  <si>
    <t>K5090A0008</t>
  </si>
  <si>
    <t>HINKLE ELIZABETH B REV TRUST</t>
  </si>
  <si>
    <t>55 MARIETTA DR</t>
  </si>
  <si>
    <t>SAN FRANCISCO</t>
  </si>
  <si>
    <t>94127-1839</t>
  </si>
  <si>
    <t>K5090A0009</t>
  </si>
  <si>
    <t>F80000013921</t>
  </si>
  <si>
    <t>DOUB COREY DEAN</t>
  </si>
  <si>
    <t>DOUB WESLEY O'DELL</t>
  </si>
  <si>
    <t>166 JARVIS RD</t>
  </si>
  <si>
    <t>27006-7557</t>
  </si>
  <si>
    <t>D9090D0019</t>
  </si>
  <si>
    <t>THOMSON LYNNE NEAL REV TRUST</t>
  </si>
  <si>
    <t>325 HOLLYBROOK DR</t>
  </si>
  <si>
    <t>H80000001009</t>
  </si>
  <si>
    <t>SWAIM ROBERT</t>
  </si>
  <si>
    <t>SWAIM ERICA</t>
  </si>
  <si>
    <t>235 OLD TOWNE DR</t>
  </si>
  <si>
    <t>E900000368</t>
  </si>
  <si>
    <t>BOYER JOSHUA</t>
  </si>
  <si>
    <t>BOYER KATELYN</t>
  </si>
  <si>
    <t>148 BROADMOOR DR</t>
  </si>
  <si>
    <t>J4140B0012</t>
  </si>
  <si>
    <t>207 N CAROLINA CIR</t>
  </si>
  <si>
    <t>C70000007802</t>
  </si>
  <si>
    <t>CARNEY CADE V</t>
  </si>
  <si>
    <t>MANESS VICTORIA R</t>
  </si>
  <si>
    <t>147 W ROBIN DR</t>
  </si>
  <si>
    <t>C70000000601</t>
  </si>
  <si>
    <t>BAILEY KYLE W</t>
  </si>
  <si>
    <t>BAILEY ANGIE HALL</t>
  </si>
  <si>
    <t>1673 YADKIN VALLEY ROAD</t>
  </si>
  <si>
    <t>K40000002206</t>
  </si>
  <si>
    <t>177 CAPTAINS WAY</t>
  </si>
  <si>
    <t>27028-4273</t>
  </si>
  <si>
    <t>K40000002207</t>
  </si>
  <si>
    <t>K400000022</t>
  </si>
  <si>
    <t>K40000002204</t>
  </si>
  <si>
    <t>E300000130</t>
  </si>
  <si>
    <t>K5090A0007</t>
  </si>
  <si>
    <t>SHEERAN VALERIE</t>
  </si>
  <si>
    <t>156 MCCULLOUGH RD</t>
  </si>
  <si>
    <t>M5160C0014</t>
  </si>
  <si>
    <t>488 PINE RIDGE RD</t>
  </si>
  <si>
    <t>H10000000807</t>
  </si>
  <si>
    <t>WHITE ROBIN LYNN BRACKEN</t>
  </si>
  <si>
    <t>844 COUNTY LINE RD</t>
  </si>
  <si>
    <t>H10000000801</t>
  </si>
  <si>
    <t>E900000361</t>
  </si>
  <si>
    <t>106 SCOTTSDALE DR</t>
  </si>
  <si>
    <t>K5110A0003</t>
  </si>
  <si>
    <t>SINK TIMOTHY ALLEN</t>
  </si>
  <si>
    <t>SINK VICKI R</t>
  </si>
  <si>
    <t>494 DEADMON ROAD</t>
  </si>
  <si>
    <t>E900000391</t>
  </si>
  <si>
    <t>MARKHAM PATRICK THOMAS</t>
  </si>
  <si>
    <t>MARKHAM JENNIFER LEE</t>
  </si>
  <si>
    <t>257 BROADMOOR DR</t>
  </si>
  <si>
    <t>J7080B0053</t>
  </si>
  <si>
    <t>STOCKTON JAMES</t>
  </si>
  <si>
    <t>STOCKTON DONNA RILEY</t>
  </si>
  <si>
    <t>186 CEDARWOOD PL</t>
  </si>
  <si>
    <t>L60000000813</t>
  </si>
  <si>
    <t>LINVILLE MATTHEW H</t>
  </si>
  <si>
    <t>PAVELOCK CHRISTIE L</t>
  </si>
  <si>
    <t>6523 NC HIGHWAY 801 S</t>
  </si>
  <si>
    <t>H80000004312</t>
  </si>
  <si>
    <t>HUMPHRIES MATTHEW DAVID</t>
  </si>
  <si>
    <t>HUMPHRIES AMY BETH</t>
  </si>
  <si>
    <t>1058 BAILEYS CHAPEL RD</t>
  </si>
  <si>
    <t>H40000008703</t>
  </si>
  <si>
    <t>NATOUR NADIA</t>
  </si>
  <si>
    <t>NATOUR SHADIA</t>
  </si>
  <si>
    <t>8814 ANSLEY PARK PL</t>
  </si>
  <si>
    <t>28078-6697</t>
  </si>
  <si>
    <t>M5120A0004</t>
  </si>
  <si>
    <t>HAGAN JESSE KALEB</t>
  </si>
  <si>
    <t>270 PLEASANT ACRE DR</t>
  </si>
  <si>
    <t>F20000002102</t>
  </si>
  <si>
    <t>HICKS RUSSELL JUSTIN</t>
  </si>
  <si>
    <t>288 DUKE WHITTAKER RD</t>
  </si>
  <si>
    <t>27028-5741</t>
  </si>
  <si>
    <t>I5010A0002</t>
  </si>
  <si>
    <t>GAITHER ALICE C HEIRS OF</t>
  </si>
  <si>
    <t>148 HILLCREST STREET</t>
  </si>
  <si>
    <t>M40000003803</t>
  </si>
  <si>
    <t>LUFFMAN JASON R</t>
  </si>
  <si>
    <t>LUFFMAN BEVERLY</t>
  </si>
  <si>
    <t>612 BECKTOWN RD</t>
  </si>
  <si>
    <t>D20000002006</t>
  </si>
  <si>
    <t>CATALAN DALIA GARCIA</t>
  </si>
  <si>
    <t>H6080A000106</t>
  </si>
  <si>
    <t>IVEY STEPHEN RAY</t>
  </si>
  <si>
    <t>IVEY KAITLIN LEEANNA</t>
  </si>
  <si>
    <t>138 PENNINGTON DOWELL LN</t>
  </si>
  <si>
    <t>C8010A0006</t>
  </si>
  <si>
    <t>MCH SFR NC OWNER 1B LP</t>
  </si>
  <si>
    <t>G5100A0003</t>
  </si>
  <si>
    <t>IJAMES GWENDOLYN LAVERN</t>
  </si>
  <si>
    <t>206 S ANGELL RD</t>
  </si>
  <si>
    <t>M5150A0020</t>
  </si>
  <si>
    <t>SHORE JOHN ETAL</t>
  </si>
  <si>
    <t>SHORE DEAN</t>
  </si>
  <si>
    <t>% MARK T SHORE</t>
  </si>
  <si>
    <t>N5020A0002</t>
  </si>
  <si>
    <t>D70000003905</t>
  </si>
  <si>
    <t>CHANDLER DANIEL RAY</t>
  </si>
  <si>
    <t>206 RIDDLE CIRCLE</t>
  </si>
  <si>
    <t>H9080B0005</t>
  </si>
  <si>
    <t>KINSER APRIL</t>
  </si>
  <si>
    <t>146 SHERWOOD CT</t>
  </si>
  <si>
    <t>I1110A0027</t>
  </si>
  <si>
    <t>HUNLEY SHARON DALE</t>
  </si>
  <si>
    <t>150 OAKLAND AVE</t>
  </si>
  <si>
    <t>I400000027</t>
  </si>
  <si>
    <t>MARTYN CAROLYN P</t>
  </si>
  <si>
    <t>180 BROOK DR</t>
  </si>
  <si>
    <t>K3050A0003</t>
  </si>
  <si>
    <t>DAVIS VINSON LEE</t>
  </si>
  <si>
    <t>DAVIS TANYA CHERIE</t>
  </si>
  <si>
    <t>133 JUNCTION ROAD</t>
  </si>
  <si>
    <t>L3010A0014</t>
  </si>
  <si>
    <t>KILLIAN GERALD E</t>
  </si>
  <si>
    <t>142 GLENWOOD RD</t>
  </si>
  <si>
    <t>G30000000425</t>
  </si>
  <si>
    <t>BONTE SUSAN JEAN</t>
  </si>
  <si>
    <t>WARNER TROY GERALD</t>
  </si>
  <si>
    <t>146 ARGYLE CT</t>
  </si>
  <si>
    <t>D9020A0004</t>
  </si>
  <si>
    <t>HOLLOWS WILLIAM HAROLD JR</t>
  </si>
  <si>
    <t>HOLLOWS KELLY SCHMITT</t>
  </si>
  <si>
    <t>453 BING CROSBY BLVD</t>
  </si>
  <si>
    <t>D8070D0038</t>
  </si>
  <si>
    <t>HOPE PATRICIA MARIE GORDON</t>
  </si>
  <si>
    <t>148 FAIRWAY DR</t>
  </si>
  <si>
    <t>E200000039</t>
  </si>
  <si>
    <t>NOKOVICH MILTON C REV FAMILY TRUST</t>
  </si>
  <si>
    <t>293 MILNOK LN</t>
  </si>
  <si>
    <t>27028-5365</t>
  </si>
  <si>
    <t>F300000073</t>
  </si>
  <si>
    <t>BARNETTE RONNIE &amp; LINDA REV TRUST</t>
  </si>
  <si>
    <t>168 BRACKEN RD</t>
  </si>
  <si>
    <t>F300000076</t>
  </si>
  <si>
    <t>F300000081</t>
  </si>
  <si>
    <t>F30000008101</t>
  </si>
  <si>
    <t>F300000082</t>
  </si>
  <si>
    <t>F300000084</t>
  </si>
  <si>
    <t>N600000071  A</t>
  </si>
  <si>
    <t>SHARPE KENNITH E</t>
  </si>
  <si>
    <t>SHARPE DONNA G</t>
  </si>
  <si>
    <t>1580 CHERRY HILL RD</t>
  </si>
  <si>
    <t>M5070A0037</t>
  </si>
  <si>
    <t>WYRICK WHITNEE DENISE</t>
  </si>
  <si>
    <t>509 MICHAELS RD</t>
  </si>
  <si>
    <t>27028-6724</t>
  </si>
  <si>
    <t>M5070A0045</t>
  </si>
  <si>
    <t>M5070A0044</t>
  </si>
  <si>
    <t>E200000017</t>
  </si>
  <si>
    <t>DOUB DAVID ALLEN</t>
  </si>
  <si>
    <t>DOUB DOROTHY W</t>
  </si>
  <si>
    <t>752 DUKE WHITTAKER ROAD</t>
  </si>
  <si>
    <t>G70000002101</t>
  </si>
  <si>
    <t>WHITE MERI MELANIE STOKES ETAL</t>
  </si>
  <si>
    <t>STOKES LAURA LEE</t>
  </si>
  <si>
    <t>4421 QUAIL RIDGE WAY</t>
  </si>
  <si>
    <t>30092-1376</t>
  </si>
  <si>
    <t>H9080B0011</t>
  </si>
  <si>
    <t>LLOYD WILLIAM BRYAN</t>
  </si>
  <si>
    <t>LLOYD BRITTANY AMBER</t>
  </si>
  <si>
    <t>131 SHERWOOD CT</t>
  </si>
  <si>
    <t>B500000049</t>
  </si>
  <si>
    <t>MILLER ELLEN L</t>
  </si>
  <si>
    <t>480 BONKIN LAKE RD</t>
  </si>
  <si>
    <t>B400000021</t>
  </si>
  <si>
    <t>B40000002103</t>
  </si>
  <si>
    <t>B500000094</t>
  </si>
  <si>
    <t>M5100B0006</t>
  </si>
  <si>
    <t>CARTNER GRADY W</t>
  </si>
  <si>
    <t>CARTNER JAY</t>
  </si>
  <si>
    <t>159 SPRINGHILL DR</t>
  </si>
  <si>
    <t>M50000001001</t>
  </si>
  <si>
    <t>E8110D0007</t>
  </si>
  <si>
    <t>GENTRY KURT</t>
  </si>
  <si>
    <t>GENTRY HALEY</t>
  </si>
  <si>
    <t>147 EASTRIDGE CT</t>
  </si>
  <si>
    <t>H90000002703</t>
  </si>
  <si>
    <t>HAMM ROBIN LEE</t>
  </si>
  <si>
    <t>524 PEOPLES CREEK RD</t>
  </si>
  <si>
    <t>M60000003001</t>
  </si>
  <si>
    <t>LUDWIG KENNETH J</t>
  </si>
  <si>
    <t>LIVINGSTONE LISA M</t>
  </si>
  <si>
    <t>223 HOUSTON RD</t>
  </si>
  <si>
    <t>I5110C0003</t>
  </si>
  <si>
    <t>CALDWELL NICHOLAS</t>
  </si>
  <si>
    <t>148 WINDWARD CIR</t>
  </si>
  <si>
    <t>H5170A0013</t>
  </si>
  <si>
    <t>CROWE DON H</t>
  </si>
  <si>
    <t>SILVERMAN TINA (LE)</t>
  </si>
  <si>
    <t>126 CANYON RD</t>
  </si>
  <si>
    <t>H80000000608</t>
  </si>
  <si>
    <t>MINOR SHIRLEY</t>
  </si>
  <si>
    <t>576 N NC HIGHWAY 150</t>
  </si>
  <si>
    <t>J7080B0019</t>
  </si>
  <si>
    <t>ECKENRODE BILLY A</t>
  </si>
  <si>
    <t>ECKENRODE LORI D</t>
  </si>
  <si>
    <t>162 NORTH HAZELWOOD DRIVE</t>
  </si>
  <si>
    <t>G400000005</t>
  </si>
  <si>
    <t>RUSSELL JEFFREY CHARLES</t>
  </si>
  <si>
    <t>PHELPS KRISTEN MARIE</t>
  </si>
  <si>
    <t>288 CANA ROAD</t>
  </si>
  <si>
    <t>E70000010801</t>
  </si>
  <si>
    <t>SHAFFER DAVID L</t>
  </si>
  <si>
    <t>SHAFFER COLLEEN M</t>
  </si>
  <si>
    <t>309 ARMSWORTHY ROAD</t>
  </si>
  <si>
    <t>E900000118</t>
  </si>
  <si>
    <t>229 KINGSMILL DR</t>
  </si>
  <si>
    <t>J700000054</t>
  </si>
  <si>
    <t>297 MERRELLS LAKE RD</t>
  </si>
  <si>
    <t>H500000063</t>
  </si>
  <si>
    <t>160 SAIN RD</t>
  </si>
  <si>
    <t>H50000006301</t>
  </si>
  <si>
    <t>D8100A0023</t>
  </si>
  <si>
    <t>BRESKY ANTHONY CHARLES</t>
  </si>
  <si>
    <t>BRESKY CHRISTINE MARIE</t>
  </si>
  <si>
    <t>176 JUNIPER CIR</t>
  </si>
  <si>
    <t>E9150B0041</t>
  </si>
  <si>
    <t>MACHENT IAN</t>
  </si>
  <si>
    <t>MACHENT KATHLEEN N</t>
  </si>
  <si>
    <t>158 SYCAMORE RIDGE DR</t>
  </si>
  <si>
    <t>C20000002702</t>
  </si>
  <si>
    <t>BARNEYCASTLE KARLA DANNER</t>
  </si>
  <si>
    <t>DANNER RICKY WILSON</t>
  </si>
  <si>
    <t>3203 US HIGHWAY 601 N</t>
  </si>
  <si>
    <t>I5010A002001</t>
  </si>
  <si>
    <t>FERGUSON DAVID D</t>
  </si>
  <si>
    <t>FERGUSON CORINNE H</t>
  </si>
  <si>
    <t>157 HOLMAN ST</t>
  </si>
  <si>
    <t>L3010A0009</t>
  </si>
  <si>
    <t>SHORT STEVEN R</t>
  </si>
  <si>
    <t>SHORT KATRINA G</t>
  </si>
  <si>
    <t>152 TARA COURT</t>
  </si>
  <si>
    <t>E900000205</t>
  </si>
  <si>
    <t>SCHILLER ARTHUR</t>
  </si>
  <si>
    <t>SCHILLER JO ANN</t>
  </si>
  <si>
    <t>388 KINGSMILL DR</t>
  </si>
  <si>
    <t>F80000007507</t>
  </si>
  <si>
    <t>PALEY BRIAN LEE</t>
  </si>
  <si>
    <t>PALEY ROBIN LEE</t>
  </si>
  <si>
    <t>252 MOCKS CHURCH RD</t>
  </si>
  <si>
    <t>F30000000521</t>
  </si>
  <si>
    <t>WARREN MICHAEL P</t>
  </si>
  <si>
    <t>WARREN AMANDA JO</t>
  </si>
  <si>
    <t>191 ELMWOOD ST</t>
  </si>
  <si>
    <t>G600000099  A</t>
  </si>
  <si>
    <t>OGBURN &amp; SONS FARMS LLC</t>
  </si>
  <si>
    <t>1056 BURKE ST</t>
  </si>
  <si>
    <t>27101-2413</t>
  </si>
  <si>
    <t>G800000207</t>
  </si>
  <si>
    <t>POOLE FAMILY TRUST</t>
  </si>
  <si>
    <t>434 RABBIT FARM TRL</t>
  </si>
  <si>
    <t>K50000008602</t>
  </si>
  <si>
    <t>WOODARDS CHRISTOPHER T</t>
  </si>
  <si>
    <t>WOODARDS CHERYL D</t>
  </si>
  <si>
    <t>739 WILL BOONE RD</t>
  </si>
  <si>
    <t>E70000006510</t>
  </si>
  <si>
    <t>BENTLEY DUSTIN R</t>
  </si>
  <si>
    <t>BENTLEY SAMANTHA H</t>
  </si>
  <si>
    <t>110 BEAUCHAMP OAKS CT</t>
  </si>
  <si>
    <t>C70000007801</t>
  </si>
  <si>
    <t>MILLER CANDICE C</t>
  </si>
  <si>
    <t>139 W ROBIN DR</t>
  </si>
  <si>
    <t>N5080B000101</t>
  </si>
  <si>
    <t>BLUE REBECCA DALTON</t>
  </si>
  <si>
    <t>BLUE IVORY JOE</t>
  </si>
  <si>
    <t>27014-0043</t>
  </si>
  <si>
    <t>E100000030</t>
  </si>
  <si>
    <t>LEE CASEY P</t>
  </si>
  <si>
    <t>LEE TONG</t>
  </si>
  <si>
    <t>2657 ANDES DR</t>
  </si>
  <si>
    <t>28625-8400</t>
  </si>
  <si>
    <t>D600000088</t>
  </si>
  <si>
    <t>TEMPLE KYLE REID</t>
  </si>
  <si>
    <t>TEMPLE LAUREN ASHLEY</t>
  </si>
  <si>
    <t>335 SPEAKS RD</t>
  </si>
  <si>
    <t>I5080E0020</t>
  </si>
  <si>
    <t>ALLEN GARRETT SCOTT</t>
  </si>
  <si>
    <t>ALLEN MORGAN JEAN</t>
  </si>
  <si>
    <t>277 SPRING ST</t>
  </si>
  <si>
    <t>K200000041</t>
  </si>
  <si>
    <t>KEENAN WILLIAM ALLEN</t>
  </si>
  <si>
    <t>RAKES BRANDIE LEE</t>
  </si>
  <si>
    <t>341 RIDGE RD</t>
  </si>
  <si>
    <t>E8170A0692</t>
  </si>
  <si>
    <t>MILLER TROY H JR</t>
  </si>
  <si>
    <t>MILLER TERESA J</t>
  </si>
  <si>
    <t>112 LEGACY DR</t>
  </si>
  <si>
    <t>J4060A0012</t>
  </si>
  <si>
    <t>YAMANE DAVID A</t>
  </si>
  <si>
    <t>YAMANE SANDY STROUD</t>
  </si>
  <si>
    <t>279 MAGNOLIA AVE</t>
  </si>
  <si>
    <t>B30000004108</t>
  </si>
  <si>
    <t>SMITH WENDELL</t>
  </si>
  <si>
    <t>SMITH GOLDIE M</t>
  </si>
  <si>
    <t>4473 NC HIGHWAY 801 N</t>
  </si>
  <si>
    <t>B30000004107</t>
  </si>
  <si>
    <t>B30000004105A</t>
  </si>
  <si>
    <t>D9050C0047</t>
  </si>
  <si>
    <t>STANINGER GERALD E LIV TRUST</t>
  </si>
  <si>
    <t>STANINGER G E TRUSTEE</t>
  </si>
  <si>
    <t>2301 BERMUDA VLG</t>
  </si>
  <si>
    <t>H600000086</t>
  </si>
  <si>
    <t>SCATCHARD CLARK</t>
  </si>
  <si>
    <t>111 POOL DR</t>
  </si>
  <si>
    <t>27028-7354</t>
  </si>
  <si>
    <t>I4130A0009</t>
  </si>
  <si>
    <t>PRATT LUCAS ROBERT</t>
  </si>
  <si>
    <t>MOORE SARAH ASHLEY</t>
  </si>
  <si>
    <t>261 RAYMOND ST</t>
  </si>
  <si>
    <t>27028-2362</t>
  </si>
  <si>
    <t>M5160B0028</t>
  </si>
  <si>
    <t>COOLEY KENNETH</t>
  </si>
  <si>
    <t>COOLEY BEAR</t>
  </si>
  <si>
    <t>2528 GOLDEN OAKS DR</t>
  </si>
  <si>
    <t>27107-8410</t>
  </si>
  <si>
    <t>E900000201</t>
  </si>
  <si>
    <t>118 LONETREE CIR</t>
  </si>
  <si>
    <t>L400000038</t>
  </si>
  <si>
    <t>KILOURNEY ROBBIN ANN</t>
  </si>
  <si>
    <t>LORY LINDA</t>
  </si>
  <si>
    <t>SHAYNE LORY</t>
  </si>
  <si>
    <t>185 will boone rd</t>
  </si>
  <si>
    <t>G9100A0029</t>
  </si>
  <si>
    <t>BAY PATRICIA</t>
  </si>
  <si>
    <t>BAY CHRISTOPHER</t>
  </si>
  <si>
    <t>120 LOST FARM DR</t>
  </si>
  <si>
    <t>F7060A0003</t>
  </si>
  <si>
    <t>BILDERBACK CHRIS</t>
  </si>
  <si>
    <t>BILDERBACK AMANDA</t>
  </si>
  <si>
    <t>131 QUAIL HOLLOW RD</t>
  </si>
  <si>
    <t>H200000054</t>
  </si>
  <si>
    <t>BOGER KEVIN T</t>
  </si>
  <si>
    <t>BOGER JENNIFER B</t>
  </si>
  <si>
    <t>2578 US HIGHWAY 64 W</t>
  </si>
  <si>
    <t>E300000117</t>
  </si>
  <si>
    <t>STINSON GARY</t>
  </si>
  <si>
    <t>STINSON ANGELA</t>
  </si>
  <si>
    <t>297 LIBERTY CHURCH RD</t>
  </si>
  <si>
    <t>F100000034</t>
  </si>
  <si>
    <t>NEW UNION CHURCH INC</t>
  </si>
  <si>
    <t>1869 SHEFFIELD RD</t>
  </si>
  <si>
    <t>F10000003202</t>
  </si>
  <si>
    <t>F20000000604</t>
  </si>
  <si>
    <t>F70000000309</t>
  </si>
  <si>
    <t>CORDOVA ERIK MATTHEW</t>
  </si>
  <si>
    <t>SAMANO TEDDI JO TERESA</t>
  </si>
  <si>
    <t>228 BLUE BIRD LN</t>
  </si>
  <si>
    <t>D8020B0004</t>
  </si>
  <si>
    <t>SWANSON OLIVER NATHANIEL III REV TRUST AGREE</t>
  </si>
  <si>
    <t>SWANSON PHYLLIS A WILLIAMS REV</t>
  </si>
  <si>
    <t>236 BERMUDA RUN DRIVE</t>
  </si>
  <si>
    <t>D8020B0003</t>
  </si>
  <si>
    <t>G8140A0005</t>
  </si>
  <si>
    <t>FIORELLA ALEXISS</t>
  </si>
  <si>
    <t>FIORELLA LOUIS M SR</t>
  </si>
  <si>
    <t>185 OLD HOMEPLACE DR</t>
  </si>
  <si>
    <t>H3040A0006</t>
  </si>
  <si>
    <t>DAVIE INDUSTRIAL CENTER LLC</t>
  </si>
  <si>
    <t>751 W 4TH ST STE 310</t>
  </si>
  <si>
    <t>27101-2795</t>
  </si>
  <si>
    <t>H30000009210</t>
  </si>
  <si>
    <t>I30000005604</t>
  </si>
  <si>
    <t>SMITH MARY LOUISE</t>
  </si>
  <si>
    <t>LUMLEY THOMAS</t>
  </si>
  <si>
    <t>356 GREENHILL RD</t>
  </si>
  <si>
    <t>E900000071</t>
  </si>
  <si>
    <t>MCMURRAY BRADLEY T</t>
  </si>
  <si>
    <t>MCMURRAY AMY J</t>
  </si>
  <si>
    <t>138 BAYHILL DR</t>
  </si>
  <si>
    <t>I90000002111</t>
  </si>
  <si>
    <t>BILYEU AMANDA</t>
  </si>
  <si>
    <t>FRENCH CHARLES</t>
  </si>
  <si>
    <t>282 ZIMMERMAN RD</t>
  </si>
  <si>
    <t>27006-7510</t>
  </si>
  <si>
    <t>I90000002109</t>
  </si>
  <si>
    <t>I90000002102</t>
  </si>
  <si>
    <t>G8140A0005  A</t>
  </si>
  <si>
    <t>H30000009901</t>
  </si>
  <si>
    <t>RAMIREZ VERONICA</t>
  </si>
  <si>
    <t>1933 US HWY 601 NORTH</t>
  </si>
  <si>
    <t>E60000001903</t>
  </si>
  <si>
    <t>CHARLES JOYCE W</t>
  </si>
  <si>
    <t>CHARLES DANNY L</t>
  </si>
  <si>
    <t>D700000231</t>
  </si>
  <si>
    <t>BAHNSON FREDERIC FRIES</t>
  </si>
  <si>
    <t>420 UPPER GRASSY BR RD</t>
  </si>
  <si>
    <t>28805-9233</t>
  </si>
  <si>
    <t>C8010A0280</t>
  </si>
  <si>
    <t>FINCHER LARRY L</t>
  </si>
  <si>
    <t>FINCHER ELIZABETH L</t>
  </si>
  <si>
    <t>213 N FORKE DR</t>
  </si>
  <si>
    <t>D600000027</t>
  </si>
  <si>
    <t>MYERS JOE HARDEN</t>
  </si>
  <si>
    <t>727 RAINBOW ROAD</t>
  </si>
  <si>
    <t>27006-6713</t>
  </si>
  <si>
    <t>D60000002701</t>
  </si>
  <si>
    <t>H40000000901</t>
  </si>
  <si>
    <t>MID-STATE PETROLEUM REALTY LLC</t>
  </si>
  <si>
    <t>I5030A0031</t>
  </si>
  <si>
    <t>RODRIGUEZ-ROMERO DAVID</t>
  </si>
  <si>
    <t>RODRIGUEZ CECILIA</t>
  </si>
  <si>
    <t>103 E CARMEL COVE DR</t>
  </si>
  <si>
    <t>F500000028</t>
  </si>
  <si>
    <t>REAVIS FRANKIE TOLLEY</t>
  </si>
  <si>
    <t>223 BUCK MILLER ROAD</t>
  </si>
  <si>
    <t>J60000002303</t>
  </si>
  <si>
    <t>DALTON TERRY</t>
  </si>
  <si>
    <t>127 VIRCASSDELL LN</t>
  </si>
  <si>
    <t>L500000083</t>
  </si>
  <si>
    <t>SEAMON MILDRED</t>
  </si>
  <si>
    <t>783 FAIRFIELD ROAD</t>
  </si>
  <si>
    <t>F800000142</t>
  </si>
  <si>
    <t>HARRISON DENISE G</t>
  </si>
  <si>
    <t>377 POTTS ROAD</t>
  </si>
  <si>
    <t>J4060A0010</t>
  </si>
  <si>
    <t>299 MAGNOLIA AVE</t>
  </si>
  <si>
    <t>D7030A0028</t>
  </si>
  <si>
    <t>TP PARCELS LLC</t>
  </si>
  <si>
    <t>106 YORK WAY</t>
  </si>
  <si>
    <t>SUITE 201</t>
  </si>
  <si>
    <t>E900000540</t>
  </si>
  <si>
    <t>HAGEN NICHOLAS</t>
  </si>
  <si>
    <t>HAGEN KAREN</t>
  </si>
  <si>
    <t>191 N HIDDENBROOKE DR</t>
  </si>
  <si>
    <t>G700000006</t>
  </si>
  <si>
    <t>LATHAM KEITH HILTON ETAL</t>
  </si>
  <si>
    <t>B700000065</t>
  </si>
  <si>
    <t>HOCKADAY DEXTER LEE</t>
  </si>
  <si>
    <t>HOCKADAY PHYLLIS GOBBLE</t>
  </si>
  <si>
    <t>1162 YADKIN VALLEY ROAD</t>
  </si>
  <si>
    <t>E900000171</t>
  </si>
  <si>
    <t>DIAMONDBACK INVESTMENTS PROPERTIES LLC</t>
  </si>
  <si>
    <t>40 W 12TH AVE</t>
  </si>
  <si>
    <t>27292-3126</t>
  </si>
  <si>
    <t>J5050A0011</t>
  </si>
  <si>
    <t>ARNOLD ADRAYUS D</t>
  </si>
  <si>
    <t>ARNOLD ANTINENE C</t>
  </si>
  <si>
    <t>176 POLARIS DR</t>
  </si>
  <si>
    <t>G8010B0008</t>
  </si>
  <si>
    <t>ALLEN BARBARA P</t>
  </si>
  <si>
    <t>FLEMING TAMARA A</t>
  </si>
  <si>
    <t>164 EMILY DR</t>
  </si>
  <si>
    <t>D700000116</t>
  </si>
  <si>
    <t>E70000000107</t>
  </si>
  <si>
    <t>ALLEN BARBARA POTTS</t>
  </si>
  <si>
    <t>E70000000101</t>
  </si>
  <si>
    <t>G900000008</t>
  </si>
  <si>
    <t>H20 ASSOCIATES LLC</t>
  </si>
  <si>
    <t>1700 S HAWTHORNE RD</t>
  </si>
  <si>
    <t>27103-4016</t>
  </si>
  <si>
    <t>H80000005002</t>
  </si>
  <si>
    <t>SPRY HENRY ANDERSON REV LIV TRUST</t>
  </si>
  <si>
    <t>SPRY HENRY ANDERSON TRUSTEE</t>
  </si>
  <si>
    <t>698 BAILEYS CHAPEL ROAD</t>
  </si>
  <si>
    <t>G8130B0012</t>
  </si>
  <si>
    <t>BOWSER WILLIAM LEE II</t>
  </si>
  <si>
    <t>BOWSER HANNAH MARION</t>
  </si>
  <si>
    <t>2255 NC HIGHWAY 801 S</t>
  </si>
  <si>
    <t>F60000011203</t>
  </si>
  <si>
    <t>BRANNON KIMBERLY JOYCE</t>
  </si>
  <si>
    <t>498 HOWARDTOWN CIR</t>
  </si>
  <si>
    <t>H60000007102</t>
  </si>
  <si>
    <t>CORNATZER METHODIST CHURCH INC</t>
  </si>
  <si>
    <t>1244 CORNATZER RD</t>
  </si>
  <si>
    <t>27028-7136</t>
  </si>
  <si>
    <t>H700000002</t>
  </si>
  <si>
    <t>I5170C0009</t>
  </si>
  <si>
    <t>VAZQUEZ MICHAEL J</t>
  </si>
  <si>
    <t>VAZQUEZ MADELINE C</t>
  </si>
  <si>
    <t>102 E BRICK WALK CT</t>
  </si>
  <si>
    <t>I5060A0021</t>
  </si>
  <si>
    <t>FARHAT OMAR</t>
  </si>
  <si>
    <t>3720 STANCLIFF RD</t>
  </si>
  <si>
    <t>27012-8573</t>
  </si>
  <si>
    <t>D9090A0004</t>
  </si>
  <si>
    <t>HUNT ROBERT J</t>
  </si>
  <si>
    <t>HUNT MARY LOUISE</t>
  </si>
  <si>
    <t>131 WILLOWBROOK PL</t>
  </si>
  <si>
    <t>F4010A000201</t>
  </si>
  <si>
    <t>THIRD GENERATION HOMES LLC</t>
  </si>
  <si>
    <t>2625 NEUDORF RD STE 700</t>
  </si>
  <si>
    <t>27012-7851</t>
  </si>
  <si>
    <t>F4010A000101</t>
  </si>
  <si>
    <t>I5050B0007</t>
  </si>
  <si>
    <t>REO TRUST 2021-NR2</t>
  </si>
  <si>
    <t>8950 CYPRESS WATERS BLVD</t>
  </si>
  <si>
    <t>COPPELL</t>
  </si>
  <si>
    <t>75019-4620</t>
  </si>
  <si>
    <t>I5170D0004</t>
  </si>
  <si>
    <t>BOOMERSHINE DIANE</t>
  </si>
  <si>
    <t>E700000070</t>
  </si>
  <si>
    <t>NICHOLS KIERSTEN T</t>
  </si>
  <si>
    <t>4413 US HIGHWAY 158</t>
  </si>
  <si>
    <t>27006-7859</t>
  </si>
  <si>
    <t>G50000001806</t>
  </si>
  <si>
    <t>CASTEVENS KASEY</t>
  </si>
  <si>
    <t>CASTEVENS STEPHANIE</t>
  </si>
  <si>
    <t>295 MAIN CHURCH RD</t>
  </si>
  <si>
    <t>E8100B0019</t>
  </si>
  <si>
    <t>HARLAN MARY KENNEY</t>
  </si>
  <si>
    <t>171 BROOKDALE DR</t>
  </si>
  <si>
    <t>G40000004102</t>
  </si>
  <si>
    <t>SEXTON LILLARD EUGENE</t>
  </si>
  <si>
    <t>4525 MONTEREY DR</t>
  </si>
  <si>
    <t>33319-3603</t>
  </si>
  <si>
    <t>D8070C0016</t>
  </si>
  <si>
    <t>GEARY BRIAN J</t>
  </si>
  <si>
    <t>GEARY MARCIA C</t>
  </si>
  <si>
    <t>361 IVY CIR</t>
  </si>
  <si>
    <t>I4120D0037</t>
  </si>
  <si>
    <t>448 PARK AVE</t>
  </si>
  <si>
    <t>M5160B0039</t>
  </si>
  <si>
    <t>PENNINGER JANICE ELAINE</t>
  </si>
  <si>
    <t>PO BOX 503685</t>
  </si>
  <si>
    <t>SAN DIEGO</t>
  </si>
  <si>
    <t>92150-3685</t>
  </si>
  <si>
    <t>I4120C0017</t>
  </si>
  <si>
    <t>ZOMBIE PROPERTIES LLC</t>
  </si>
  <si>
    <t>27014-0368</t>
  </si>
  <si>
    <t>F90000002403</t>
  </si>
  <si>
    <t>324 VOGLER RD</t>
  </si>
  <si>
    <t>O600000011</t>
  </si>
  <si>
    <t>HOUSCH VERA MAE L</t>
  </si>
  <si>
    <t>132 HOSCH LN</t>
  </si>
  <si>
    <t>J300000049</t>
  </si>
  <si>
    <t>HATLEY GARY EDWARD</t>
  </si>
  <si>
    <t>1524 COUNTY HOME RD</t>
  </si>
  <si>
    <t>F8020B0028</t>
  </si>
  <si>
    <t>ELBABLY MOHAMED EID</t>
  </si>
  <si>
    <t>RESENDIZ LEYDI LINARES</t>
  </si>
  <si>
    <t>235 HIGH MEADOWS RD</t>
  </si>
  <si>
    <t>N5010C0001</t>
  </si>
  <si>
    <t>SPEIGHT GEARLD EUGENE</t>
  </si>
  <si>
    <t>SPEIGHT TRACIE ANN</t>
  </si>
  <si>
    <t>PO BOX 63</t>
  </si>
  <si>
    <t>27014-0063</t>
  </si>
  <si>
    <t>C8030B0008</t>
  </si>
  <si>
    <t>BARNHARDT JENNIFER DIANNE</t>
  </si>
  <si>
    <t>298 TOWN PARK DR UNIT 201</t>
  </si>
  <si>
    <t>H5170A0044</t>
  </si>
  <si>
    <t>REICHELT BAILEY</t>
  </si>
  <si>
    <t>REICHELT CHRISTOPHER</t>
  </si>
  <si>
    <t>187 CANYON RD</t>
  </si>
  <si>
    <t>F800000116</t>
  </si>
  <si>
    <t>CRATER DENNIS W</t>
  </si>
  <si>
    <t>199 IN AND OUT LN</t>
  </si>
  <si>
    <t>G30000000430</t>
  </si>
  <si>
    <t>REICHLE CARMEN JULISA CARTER</t>
  </si>
  <si>
    <t>121 ARGYLE CT</t>
  </si>
  <si>
    <t>E9150B0027</t>
  </si>
  <si>
    <t>SUMMERLIN DAVID</t>
  </si>
  <si>
    <t>SUMMERLIN RHONDA</t>
  </si>
  <si>
    <t>128 CEDAR LN</t>
  </si>
  <si>
    <t>E700000165</t>
  </si>
  <si>
    <t>BAITINGER KIMBERLY L TRUST</t>
  </si>
  <si>
    <t>BAITINGER KIMBERLY L TRUSTEE</t>
  </si>
  <si>
    <t>387 BINGHAM AND PARKS RD</t>
  </si>
  <si>
    <t>F20000000602</t>
  </si>
  <si>
    <t>H3040A0007</t>
  </si>
  <si>
    <t>K80000002004</t>
  </si>
  <si>
    <t>MARTINEZ JAIME</t>
  </si>
  <si>
    <t>MARTINEZ ANTONIA</t>
  </si>
  <si>
    <t>149 STARR LN</t>
  </si>
  <si>
    <t>27006-7288</t>
  </si>
  <si>
    <t>E60000001902</t>
  </si>
  <si>
    <t>CHARLES JOYCE WILLIAMS</t>
  </si>
  <si>
    <t>K100000018</t>
  </si>
  <si>
    <t>WILLIAMS LAVERNE WALLACE</t>
  </si>
  <si>
    <t>1299 RIDGE RD</t>
  </si>
  <si>
    <t>E30000004702</t>
  </si>
  <si>
    <t>SUMMERS BENJAMIN EATHON</t>
  </si>
  <si>
    <t>835 EATONS CHURCH RD</t>
  </si>
  <si>
    <t>I5170B0109</t>
  </si>
  <si>
    <t>FLINT ANN MARIE</t>
  </si>
  <si>
    <t>109 W BRICK WALK CT</t>
  </si>
  <si>
    <t>L50000008502</t>
  </si>
  <si>
    <t>I4060A0017</t>
  </si>
  <si>
    <t>JOHNSON MARK A</t>
  </si>
  <si>
    <t>JOHNSON KELLY M</t>
  </si>
  <si>
    <t>100 CIRCLE DRIVE</t>
  </si>
  <si>
    <t>I4120D0002</t>
  </si>
  <si>
    <t>MASON JOANNE G</t>
  </si>
  <si>
    <t>281 W CHURCH ST</t>
  </si>
  <si>
    <t>27028-2107</t>
  </si>
  <si>
    <t>I5160A0030</t>
  </si>
  <si>
    <t>JOHNSON KYLIE RYANE</t>
  </si>
  <si>
    <t>JOHNSON BRANDON TYLER</t>
  </si>
  <si>
    <t>242 NEELY ST</t>
  </si>
  <si>
    <t>27028-2429</t>
  </si>
  <si>
    <t>E30000012302A</t>
  </si>
  <si>
    <t>CROTTS CHARLENE TITTLE</t>
  </si>
  <si>
    <t>2871 NC HIGHWAY 801 S</t>
  </si>
  <si>
    <t>27006-7105</t>
  </si>
  <si>
    <t>D8100D0023</t>
  </si>
  <si>
    <t>JEROME ANN M</t>
  </si>
  <si>
    <t>579 RIVERBEND DR</t>
  </si>
  <si>
    <t>J5090A0004</t>
  </si>
  <si>
    <t>MIRA MELVIN RICARDO ORELLANA</t>
  </si>
  <si>
    <t>228 EATON RD</t>
  </si>
  <si>
    <t>H70000000910</t>
  </si>
  <si>
    <t>RIVER BIRCH ENTERPRISES LLC</t>
  </si>
  <si>
    <t>PO BOX 343</t>
  </si>
  <si>
    <t>27006-0343</t>
  </si>
  <si>
    <t>K5090A0017</t>
  </si>
  <si>
    <t>H7020A0001</t>
  </si>
  <si>
    <t>F80000002222</t>
  </si>
  <si>
    <t>RECCHION DAVID MICHAEL</t>
  </si>
  <si>
    <t>RECCHION MARYANNE LYNN</t>
  </si>
  <si>
    <t>182 ARROW GLENN CT</t>
  </si>
  <si>
    <t>G20000004505</t>
  </si>
  <si>
    <t>G30000000701</t>
  </si>
  <si>
    <t>B70000006501</t>
  </si>
  <si>
    <t>I6140A0014</t>
  </si>
  <si>
    <t>SHELTON CONWAY HAYNES</t>
  </si>
  <si>
    <t>SHELTON SARAH MADISON</t>
  </si>
  <si>
    <t>373 LAKEVIEW RD</t>
  </si>
  <si>
    <t>27028-7368</t>
  </si>
  <si>
    <t>B70000008902</t>
  </si>
  <si>
    <t>BROWN RUTH M</t>
  </si>
  <si>
    <t>H80000004314</t>
  </si>
  <si>
    <t>NIEBUHR ANDREW SCOTT</t>
  </si>
  <si>
    <t>NIEBUR WENDY</t>
  </si>
  <si>
    <t>1040 BAILEYS CHAPEL RD</t>
  </si>
  <si>
    <t>E300000056</t>
  </si>
  <si>
    <t>TESTA DANIEL THOMAS</t>
  </si>
  <si>
    <t>483 RICHIE RD</t>
  </si>
  <si>
    <t>E30000005602</t>
  </si>
  <si>
    <t>F4010A0029</t>
  </si>
  <si>
    <t>F4010A0030</t>
  </si>
  <si>
    <t>J4040E0011</t>
  </si>
  <si>
    <t>NOLT DUANE</t>
  </si>
  <si>
    <t>NOLT LAMAR ZIMMERMAN</t>
  </si>
  <si>
    <t>168 E MAPLE AVE</t>
  </si>
  <si>
    <t>D60000002501</t>
  </si>
  <si>
    <t>PARKER ALLISON BUCKNER</t>
  </si>
  <si>
    <t>PARKER DAVID W II</t>
  </si>
  <si>
    <t>305 SPEAKS RD</t>
  </si>
  <si>
    <t>D60000002301</t>
  </si>
  <si>
    <t>G30000000428</t>
  </si>
  <si>
    <t>SMITH KEAIRA L</t>
  </si>
  <si>
    <t>141 ARGYLE CT</t>
  </si>
  <si>
    <t>H7030A0021</t>
  </si>
  <si>
    <t>STRATTON INNOVATIONS LLC</t>
  </si>
  <si>
    <t>4440 WOODLARK COURT</t>
  </si>
  <si>
    <t>B30000007801</t>
  </si>
  <si>
    <t>ELMORE JOSEPH</t>
  </si>
  <si>
    <t>ELMORE JESSICA</t>
  </si>
  <si>
    <t>4207 NC HIGHWAY 801 N</t>
  </si>
  <si>
    <t>F90000000310</t>
  </si>
  <si>
    <t>SHOAF DANNY L</t>
  </si>
  <si>
    <t>178 EVERGREEN LN</t>
  </si>
  <si>
    <t>D500000052</t>
  </si>
  <si>
    <t>EATON TIMOTHY F HEIRS</t>
  </si>
  <si>
    <t>1746 FARMINGTON RD</t>
  </si>
  <si>
    <t>H70000001901</t>
  </si>
  <si>
    <t>JK PROPERTIES II LLC</t>
  </si>
  <si>
    <t>G700000082</t>
  </si>
  <si>
    <t>F80000008601</t>
  </si>
  <si>
    <t>E900000665</t>
  </si>
  <si>
    <t>KNIGHT BERNICE</t>
  </si>
  <si>
    <t>121 N SAINT ANDREWS DR</t>
  </si>
  <si>
    <t>G30000000423</t>
  </si>
  <si>
    <t>JOHNSON MATTHEW GLENN</t>
  </si>
  <si>
    <t>JOHNSON CAROLINE BOLES</t>
  </si>
  <si>
    <t>136 ARGYLE CT</t>
  </si>
  <si>
    <t>I20000001201</t>
  </si>
  <si>
    <t>CHESLEY PROPERTIES LLC</t>
  </si>
  <si>
    <t>27028-0067</t>
  </si>
  <si>
    <t>F30000003601</t>
  </si>
  <si>
    <t>IJAMES GROVER HARRIS</t>
  </si>
  <si>
    <t>IJAMES TERRY LEE</t>
  </si>
  <si>
    <t>181 PINEDELL ACRES DR</t>
  </si>
  <si>
    <t>28677-1342</t>
  </si>
  <si>
    <t>G30000008003</t>
  </si>
  <si>
    <t>G300000019</t>
  </si>
  <si>
    <t>M5160C002103</t>
  </si>
  <si>
    <t>M50000001003</t>
  </si>
  <si>
    <t>M50000001011</t>
  </si>
  <si>
    <t>M50000001007A</t>
  </si>
  <si>
    <t>M50000001009</t>
  </si>
  <si>
    <t>M50000001005A</t>
  </si>
  <si>
    <t>M50000001021</t>
  </si>
  <si>
    <t>M50000001023</t>
  </si>
  <si>
    <t>M50000001019</t>
  </si>
  <si>
    <t>M50000001017</t>
  </si>
  <si>
    <t>M50000001015</t>
  </si>
  <si>
    <t>M50000001013</t>
  </si>
  <si>
    <t>M5020A0032</t>
  </si>
  <si>
    <t>L5020B002802</t>
  </si>
  <si>
    <t>E900000621</t>
  </si>
  <si>
    <t>BRAVO MARIE T</t>
  </si>
  <si>
    <t>BRAVO FRANK J</t>
  </si>
  <si>
    <t>106 S NIBLICK CT</t>
  </si>
  <si>
    <t>H4130A0077</t>
  </si>
  <si>
    <t>BARR MELISSA S</t>
  </si>
  <si>
    <t>260 SUMMIT DR</t>
  </si>
  <si>
    <t>I600000080</t>
  </si>
  <si>
    <t>CLARK KENNETH</t>
  </si>
  <si>
    <t>CLARK SHANNON</t>
  </si>
  <si>
    <t>330 PETE FOSTER RD</t>
  </si>
  <si>
    <t>27028-7351</t>
  </si>
  <si>
    <t>M5030A002102</t>
  </si>
  <si>
    <t>DILLARD JAMES DANIEL</t>
  </si>
  <si>
    <t>DILLARD BEBEE J</t>
  </si>
  <si>
    <t>174 PINE RIDGE RD</t>
  </si>
  <si>
    <t>M5030A0021</t>
  </si>
  <si>
    <t>N5010B0015</t>
  </si>
  <si>
    <t>L4130A003101</t>
  </si>
  <si>
    <t>N60000003801</t>
  </si>
  <si>
    <t>M5030A0026</t>
  </si>
  <si>
    <t>L40000003203</t>
  </si>
  <si>
    <t>158 CLODFELTER LN</t>
  </si>
  <si>
    <t>C300000140</t>
  </si>
  <si>
    <t>KEATON GRAYSON</t>
  </si>
  <si>
    <t>339 BAITY RD</t>
  </si>
  <si>
    <t>C30000007204</t>
  </si>
  <si>
    <t>L6010A0002</t>
  </si>
  <si>
    <t>MCDANIEL TROY HUNTER</t>
  </si>
  <si>
    <t>MCDANILE SYDNEY MORGAN</t>
  </si>
  <si>
    <t>6472 NC HIGHWAY 801 S</t>
  </si>
  <si>
    <t>L500000007</t>
  </si>
  <si>
    <t>L400000039</t>
  </si>
  <si>
    <t>M50000001703</t>
  </si>
  <si>
    <t>M50000001704</t>
  </si>
  <si>
    <t>M50000001705</t>
  </si>
  <si>
    <t>M500000017</t>
  </si>
  <si>
    <t>M4120A002201</t>
  </si>
  <si>
    <t>M50000001702</t>
  </si>
  <si>
    <t>M50000001701</t>
  </si>
  <si>
    <t>M50000000711</t>
  </si>
  <si>
    <t>N5080A0004</t>
  </si>
  <si>
    <t>M4130A0022</t>
  </si>
  <si>
    <t>K500000005</t>
  </si>
  <si>
    <t>H5200A0024</t>
  </si>
  <si>
    <t>WALSH PATRICK M</t>
  </si>
  <si>
    <t>KABEI-WALSH MICHELE DENISE</t>
  </si>
  <si>
    <t>D9090D0024</t>
  </si>
  <si>
    <t>ORBOCK JACOB ALEXANDER</t>
  </si>
  <si>
    <t>ORBOCK MAUREEN TIERNEY</t>
  </si>
  <si>
    <t>112 BAYBERRY PL</t>
  </si>
  <si>
    <t>D3010B0011</t>
  </si>
  <si>
    <t>ARDEN GROUP LLC</t>
  </si>
  <si>
    <t>L600000018</t>
  </si>
  <si>
    <t>SMITH NATHANIEL F</t>
  </si>
  <si>
    <t>SMITH SARAH MICHELLE</t>
  </si>
  <si>
    <t>332 CHERRY HILL RD</t>
  </si>
  <si>
    <t>J4050E0004</t>
  </si>
  <si>
    <t>WAHINEKAPU ASHLEE</t>
  </si>
  <si>
    <t>743 S SALISBURY ST</t>
  </si>
  <si>
    <t>27028-2533</t>
  </si>
  <si>
    <t>D8070D0003</t>
  </si>
  <si>
    <t>DONNELLY DONNA VAUGHAN</t>
  </si>
  <si>
    <t>125 FAIRWAY DR</t>
  </si>
  <si>
    <t>E900000223</t>
  </si>
  <si>
    <t>LAMOTT DYLAN</t>
  </si>
  <si>
    <t>THOMASSON ALYSSA</t>
  </si>
  <si>
    <t>274 KINGSMILL DR</t>
  </si>
  <si>
    <t>K60000000704</t>
  </si>
  <si>
    <t>WAGNER FRANKLIN</t>
  </si>
  <si>
    <t>WAGNER CRETIA</t>
  </si>
  <si>
    <t>619 TURRENTINE CHURCH RD</t>
  </si>
  <si>
    <t>K600000007</t>
  </si>
  <si>
    <t>C70000000402</t>
  </si>
  <si>
    <t>MERRIFIELD WHITLEY D</t>
  </si>
  <si>
    <t>MICHAEL JORDAN K</t>
  </si>
  <si>
    <t>1603 YADKIN VALLEY RD</t>
  </si>
  <si>
    <t>F200000012</t>
  </si>
  <si>
    <t>HITE RONDA DRAUGHN</t>
  </si>
  <si>
    <t>1194 CALAHALN RD</t>
  </si>
  <si>
    <t>J5010A0005</t>
  </si>
  <si>
    <t>VARGAS RICHARD JUNIOR BALTAZAR</t>
  </si>
  <si>
    <t>172 WILLIAMS ST</t>
  </si>
  <si>
    <t>27028-2433</t>
  </si>
  <si>
    <t>C8010A0028</t>
  </si>
  <si>
    <t>SANSONI PAUL</t>
  </si>
  <si>
    <t>SANSONI NANCY</t>
  </si>
  <si>
    <t>175 PARKVIEW LN</t>
  </si>
  <si>
    <t>G700000058</t>
  </si>
  <si>
    <t>MELTON TONY WESLEY</t>
  </si>
  <si>
    <t>MELTON MARGARET ELIZABETH</t>
  </si>
  <si>
    <t>2143 CORNATZER ROAD</t>
  </si>
  <si>
    <t>B20000001704</t>
  </si>
  <si>
    <t>PERDUE DAVID LEE</t>
  </si>
  <si>
    <t>2546 WILLIAM JOSEPH LN</t>
  </si>
  <si>
    <t>27265-2959</t>
  </si>
  <si>
    <t>D60000007202</t>
  </si>
  <si>
    <t>GREGERSON REBECCA</t>
  </si>
  <si>
    <t>GREGERSON JOSH</t>
  </si>
  <si>
    <t>146 BILLS WAY</t>
  </si>
  <si>
    <t>D600000072</t>
  </si>
  <si>
    <t>L60000002106</t>
  </si>
  <si>
    <t>SIFFORD DARREN</t>
  </si>
  <si>
    <t>SIFFORD MATTHEW S</t>
  </si>
  <si>
    <t>6278 NC HIGHWAY 801 S</t>
  </si>
  <si>
    <t>27028-5409</t>
  </si>
  <si>
    <t>C50000005713</t>
  </si>
  <si>
    <t>JONES BRADLEY R</t>
  </si>
  <si>
    <t>JONES KIMBERLY D</t>
  </si>
  <si>
    <t>292 POTTERS RIDGE DR</t>
  </si>
  <si>
    <t>N500000018</t>
  </si>
  <si>
    <t>PHELPS CHARLES BARNEY</t>
  </si>
  <si>
    <t>PHELPS JESSICA M</t>
  </si>
  <si>
    <t>896 PINE RIDGE RD</t>
  </si>
  <si>
    <t>N500000019</t>
  </si>
  <si>
    <t>N50000001901A</t>
  </si>
  <si>
    <t>C300000134</t>
  </si>
  <si>
    <t>BOWLES KENNETH GRAY JR</t>
  </si>
  <si>
    <t>860 HOWELL ROAD</t>
  </si>
  <si>
    <t>D3010B0012</t>
  </si>
  <si>
    <t>I4010A0063</t>
  </si>
  <si>
    <t>BOOTHBY DARLENE</t>
  </si>
  <si>
    <t>162 N WENTWORTH DR</t>
  </si>
  <si>
    <t>M5060B002701</t>
  </si>
  <si>
    <t>BARRON RESOURCE GROUP LLC</t>
  </si>
  <si>
    <t>PO BOX 995</t>
  </si>
  <si>
    <t>27014-0995</t>
  </si>
  <si>
    <t>F80000007408</t>
  </si>
  <si>
    <t>FUCHS ALLAN</t>
  </si>
  <si>
    <t>FUCHS MARYANN ROSE</t>
  </si>
  <si>
    <t>127 SADDLEBROOK DR</t>
  </si>
  <si>
    <t>D70000022201</t>
  </si>
  <si>
    <t>OLIVE BRANCH RESERVE LLC</t>
  </si>
  <si>
    <t>5448 APEX PEAKWAY # 196</t>
  </si>
  <si>
    <t>27502-3924</t>
  </si>
  <si>
    <t>D70000022301</t>
  </si>
  <si>
    <t>O60000003103</t>
  </si>
  <si>
    <t>DEPEUW SANDRA</t>
  </si>
  <si>
    <t>E900000418</t>
  </si>
  <si>
    <t>179 BROADMOOR DRIVE</t>
  </si>
  <si>
    <t>M5100A0009</t>
  </si>
  <si>
    <t>SEAMON CURTIS WAYNE</t>
  </si>
  <si>
    <t>SEAMON CYNTHIA M</t>
  </si>
  <si>
    <t>PO BOX 1197</t>
  </si>
  <si>
    <t>27014-1197</t>
  </si>
  <si>
    <t>M5100A000901</t>
  </si>
  <si>
    <t>M5100A0008</t>
  </si>
  <si>
    <t>D3010B0009</t>
  </si>
  <si>
    <t>J70000009204</t>
  </si>
  <si>
    <t>BRANNOCK MICHAEL R</t>
  </si>
  <si>
    <t>BRANNOCK CAROLYN S</t>
  </si>
  <si>
    <t>127 CRICKET LN</t>
  </si>
  <si>
    <t>27006-7134</t>
  </si>
  <si>
    <t>F20000000301</t>
  </si>
  <si>
    <t>CLEARY WILLIAM THOMAS</t>
  </si>
  <si>
    <t>CLEARY JEAN LYNDELL</t>
  </si>
  <si>
    <t>1521 SHEFFIELD RD</t>
  </si>
  <si>
    <t>27028-5917</t>
  </si>
  <si>
    <t>M400000046</t>
  </si>
  <si>
    <t>REDMOND JANE HOLLEMAN</t>
  </si>
  <si>
    <t>HOLLEMAN TRACY</t>
  </si>
  <si>
    <t>PO BOX 717</t>
  </si>
  <si>
    <t>27014-0717</t>
  </si>
  <si>
    <t>B400000053</t>
  </si>
  <si>
    <t>SAUNDERS IAN</t>
  </si>
  <si>
    <t>SAUNDERS SUSAN</t>
  </si>
  <si>
    <t>1074 WYO RD</t>
  </si>
  <si>
    <t>N5010B0016</t>
  </si>
  <si>
    <t>FRASIER JENNIFER ANN</t>
  </si>
  <si>
    <t>PO BOX 513</t>
  </si>
  <si>
    <t>27014-0513</t>
  </si>
  <si>
    <t>I5160B0031</t>
  </si>
  <si>
    <t>KENASTON SAMUEL</t>
  </si>
  <si>
    <t>KENASTON KATHERINE</t>
  </si>
  <si>
    <t>H700000006</t>
  </si>
  <si>
    <t>HERION LINDA K ALLEN</t>
  </si>
  <si>
    <t>1362 CORNATZER RD</t>
  </si>
  <si>
    <t>G90000002201</t>
  </si>
  <si>
    <t>MARCHMONT PLANTATION PROPERTY OWNERS ASSO INC</t>
  </si>
  <si>
    <t>ATTN: KIM SCOTT CPA</t>
  </si>
  <si>
    <t>27285-0602</t>
  </si>
  <si>
    <t>N4040A0031</t>
  </si>
  <si>
    <t>DEWALT TIERRA W</t>
  </si>
  <si>
    <t>DEWALT KEVIN</t>
  </si>
  <si>
    <t>142 DAVIE ST #509</t>
  </si>
  <si>
    <t>B10000000802</t>
  </si>
  <si>
    <t>PERDUE KENNETH R</t>
  </si>
  <si>
    <t>PERDUE BETTY ROSE BOOE</t>
  </si>
  <si>
    <t>2644 LIBERTY CHURCH RD</t>
  </si>
  <si>
    <t>L500000004</t>
  </si>
  <si>
    <t>295 DANIEL RD</t>
  </si>
  <si>
    <t>L50000000402</t>
  </si>
  <si>
    <t>L50000000403</t>
  </si>
  <si>
    <t>D8080D0028</t>
  </si>
  <si>
    <t>HARPE JOSEPH</t>
  </si>
  <si>
    <t>HARPE JESSICA</t>
  </si>
  <si>
    <t>852 RIVERBEND DR</t>
  </si>
  <si>
    <t>K20000006401</t>
  </si>
  <si>
    <t>155 JONES RD</t>
  </si>
  <si>
    <t>I4140B0012</t>
  </si>
  <si>
    <t>SCOGGINS JENNIFER</t>
  </si>
  <si>
    <t>361 TOT ST</t>
  </si>
  <si>
    <t>27028-2341</t>
  </si>
  <si>
    <t>F3130A0036</t>
  </si>
  <si>
    <t>MORGAN CHARITY MAYBERRY</t>
  </si>
  <si>
    <t>MORGAN PHILLIP PAUL</t>
  </si>
  <si>
    <t>167 PEPPERSTONE DR</t>
  </si>
  <si>
    <t>C300000142</t>
  </si>
  <si>
    <t>TROUBLESOME CREEK REAL ESTATE LLC</t>
  </si>
  <si>
    <t>1837 SHOREWOOD DR</t>
  </si>
  <si>
    <t>29732-2081</t>
  </si>
  <si>
    <t>G30000000421</t>
  </si>
  <si>
    <t>DUNN KIMBERLY JOYCE</t>
  </si>
  <si>
    <t>165 CULLODEN DR</t>
  </si>
  <si>
    <t>H800000003</t>
  </si>
  <si>
    <t>SEAMON DONALD RAY</t>
  </si>
  <si>
    <t>G50000008108</t>
  </si>
  <si>
    <t>BLACK AMANDA</t>
  </si>
  <si>
    <t>137 EAGLES LANDING LN</t>
  </si>
  <si>
    <t>E900000356</t>
  </si>
  <si>
    <t>SHUMATE JON C</t>
  </si>
  <si>
    <t>ROMERO ANABEL M</t>
  </si>
  <si>
    <t>140 SCOTTSDALE DR</t>
  </si>
  <si>
    <t>I60000003608</t>
  </si>
  <si>
    <t>MCPHERSON JESSICA</t>
  </si>
  <si>
    <t>151 TWELVE OAKS TRL</t>
  </si>
  <si>
    <t>E900000622</t>
  </si>
  <si>
    <t>HEDGSPETH DALE</t>
  </si>
  <si>
    <t>HEDGSPETH DIANA</t>
  </si>
  <si>
    <t>112 S NIBLICK CT</t>
  </si>
  <si>
    <t>D9010A0027</t>
  </si>
  <si>
    <t>WATTS MARLA</t>
  </si>
  <si>
    <t>WATTS ASHLEY</t>
  </si>
  <si>
    <t>170 PEMBROOKE RIDGE CT</t>
  </si>
  <si>
    <t>G30000000422</t>
  </si>
  <si>
    <t>BARONOWSKI CHRISTOPHER</t>
  </si>
  <si>
    <t>BRONOWSKI JESSICA</t>
  </si>
  <si>
    <t>126 ARGYLE CT</t>
  </si>
  <si>
    <t>F200000003</t>
  </si>
  <si>
    <t>F3130A0016</t>
  </si>
  <si>
    <t>HONEYCUTT WALTER RAY</t>
  </si>
  <si>
    <t>HONEYCUTT KIM L</t>
  </si>
  <si>
    <t>234 PEPPERSTONE DR</t>
  </si>
  <si>
    <t>B600000003</t>
  </si>
  <si>
    <t>N500000066</t>
  </si>
  <si>
    <t>WOOD MICHAEL ANDREW</t>
  </si>
  <si>
    <t>KELLER KELSEY ELIZABETH</t>
  </si>
  <si>
    <t>315 PINE RIDGE RD</t>
  </si>
  <si>
    <t>M5160B0004</t>
  </si>
  <si>
    <t>FORD ANGELA M</t>
  </si>
  <si>
    <t>6805 WHYTE AVE</t>
  </si>
  <si>
    <t>CITRUS HTS</t>
  </si>
  <si>
    <t>95621-0181</t>
  </si>
  <si>
    <t>I4110A000610</t>
  </si>
  <si>
    <t>MEET THE MIND OF THE PATIENT HOLDINGS LLC</t>
  </si>
  <si>
    <t>3055 S NC 127 HWY</t>
  </si>
  <si>
    <t>28602-8284</t>
  </si>
  <si>
    <t>E5020A0016</t>
  </si>
  <si>
    <t>CHURCH JAMES PHILLIP SR</t>
  </si>
  <si>
    <t>CHURCH JANET W</t>
  </si>
  <si>
    <t>393 CORNWALLIS DR</t>
  </si>
  <si>
    <t>E5020A001502</t>
  </si>
  <si>
    <t>I5080E0024</t>
  </si>
  <si>
    <t>FRYE MARY ELIZABETH</t>
  </si>
  <si>
    <t>FRYE EDWARD CHARLES</t>
  </si>
  <si>
    <t>788 N MAIN ST</t>
  </si>
  <si>
    <t>B500000080</t>
  </si>
  <si>
    <t>MCCASKELL TANNER PHILLIP</t>
  </si>
  <si>
    <t>MCCASKELL EMMA BERRY</t>
  </si>
  <si>
    <t>6025 ALLINGTON CT</t>
  </si>
  <si>
    <t>27104-2512</t>
  </si>
  <si>
    <t>H4160A0011</t>
  </si>
  <si>
    <t>BERMUDEZ CHARLES GREGORY</t>
  </si>
  <si>
    <t>F8030A0007</t>
  </si>
  <si>
    <t>155 ESSEX FARM RD</t>
  </si>
  <si>
    <t>C900000008</t>
  </si>
  <si>
    <t>BEESON JAMES PRICE</t>
  </si>
  <si>
    <t>BEESON SUSAN</t>
  </si>
  <si>
    <t>304 YADKIN VALLEY ROAD</t>
  </si>
  <si>
    <t>C80000000110</t>
  </si>
  <si>
    <t>J5050A0008</t>
  </si>
  <si>
    <t>CARPENTER CONNOR DAVID</t>
  </si>
  <si>
    <t>CARPENTER BRITTNEY</t>
  </si>
  <si>
    <t>147 POLARIS DR</t>
  </si>
  <si>
    <t>E8160A0031</t>
  </si>
  <si>
    <t>NELSON ROBERT H</t>
  </si>
  <si>
    <t>NELSON JENIFER GRAYCE</t>
  </si>
  <si>
    <t>125 MEADOW CREEK CT</t>
  </si>
  <si>
    <t>E700000031</t>
  </si>
  <si>
    <t>SHANNON MELVIN H</t>
  </si>
  <si>
    <t>6026 POINT PLEASANT RD</t>
  </si>
  <si>
    <t>BALTIMORE</t>
  </si>
  <si>
    <t>21206-2236</t>
  </si>
  <si>
    <t>D70000011101</t>
  </si>
  <si>
    <t>E700000030</t>
  </si>
  <si>
    <t>L50000004402</t>
  </si>
  <si>
    <t>SPILLMAN KATHY</t>
  </si>
  <si>
    <t>219 HOBSON DR</t>
  </si>
  <si>
    <t>L500000045</t>
  </si>
  <si>
    <t>MILLER BOBBIE</t>
  </si>
  <si>
    <t>6995 NC HIGHWAY 801 S</t>
  </si>
  <si>
    <t>27028-6734</t>
  </si>
  <si>
    <t>K70000001801</t>
  </si>
  <si>
    <t>JONES JERRY JR</t>
  </si>
  <si>
    <t>JONES TIFFANY</t>
  </si>
  <si>
    <t>D9030A0012</t>
  </si>
  <si>
    <t>BARRINEAU MELVIN V IV</t>
  </si>
  <si>
    <t>BARRINEAU ELHAM Y</t>
  </si>
  <si>
    <t>222 JAMES WAY</t>
  </si>
  <si>
    <t>K50000000403</t>
  </si>
  <si>
    <t>BODDIE-NOELL ENTERPRISES INC</t>
  </si>
  <si>
    <t>RASH #56 33 18440</t>
  </si>
  <si>
    <t>PO BOX 2629</t>
  </si>
  <si>
    <t>ADDISON</t>
  </si>
  <si>
    <t>J4050D0020</t>
  </si>
  <si>
    <t>IJAMES COREY D</t>
  </si>
  <si>
    <t>IJAMES ELOUISE S</t>
  </si>
  <si>
    <t>820 S SALISBURY ST</t>
  </si>
  <si>
    <t>27028-2554</t>
  </si>
  <si>
    <t>G70000005201</t>
  </si>
  <si>
    <t>GEORGIA INDUSTRIAL REALTY CO</t>
  </si>
  <si>
    <t>NORFOLK SOUTHERN</t>
  </si>
  <si>
    <t>TAXATION</t>
  </si>
  <si>
    <t>C700000074</t>
  </si>
  <si>
    <t>GASTON KALE BUCKLEY</t>
  </si>
  <si>
    <t>GASTON JENNIFER ARMSTRONG</t>
  </si>
  <si>
    <t>171 LABRADOR LN</t>
  </si>
  <si>
    <t>D7030A0025</t>
  </si>
  <si>
    <t>JIMENEZ JOSE MIGUEL</t>
  </si>
  <si>
    <t>JIMENEZ TIFFANI AMBER</t>
  </si>
  <si>
    <t>240 CREEKWOOD DR</t>
  </si>
  <si>
    <t>D8100C0004</t>
  </si>
  <si>
    <t>GOOLSBY DIANA B</t>
  </si>
  <si>
    <t>SYKES JOHN RICHARD</t>
  </si>
  <si>
    <t>264 SPYGLASS DR</t>
  </si>
  <si>
    <t>L30000002612</t>
  </si>
  <si>
    <t>RANKER EMILY C</t>
  </si>
  <si>
    <t>117 SOFTAIL LN</t>
  </si>
  <si>
    <t>E60000001004</t>
  </si>
  <si>
    <t>ADAMS OUTDOOR ADVERTISING LIMITED PARTNERSHIP</t>
  </si>
  <si>
    <t>2299 SCOTT FUTRELL DR</t>
  </si>
  <si>
    <t>28208-3560</t>
  </si>
  <si>
    <t>F600000053</t>
  </si>
  <si>
    <t>STOLTZ JERRY D</t>
  </si>
  <si>
    <t>STOLTZ PATTIE W</t>
  </si>
  <si>
    <t>4355 MASHIE DR</t>
  </si>
  <si>
    <t>27040-9712</t>
  </si>
  <si>
    <t>F60000005302</t>
  </si>
  <si>
    <t>H50000005501</t>
  </si>
  <si>
    <t>BOGER DORIS ANNETTE</t>
  </si>
  <si>
    <t>454 SAIN RD</t>
  </si>
  <si>
    <t>27028-4329</t>
  </si>
  <si>
    <t>H50000005306</t>
  </si>
  <si>
    <t>H50000005502</t>
  </si>
  <si>
    <t>H500000055</t>
  </si>
  <si>
    <t>G30000002301</t>
  </si>
  <si>
    <t>HOLLINGSWORTH GP</t>
  </si>
  <si>
    <t>H30000009301</t>
  </si>
  <si>
    <t>G30000008407</t>
  </si>
  <si>
    <t>F30000000520</t>
  </si>
  <si>
    <t>KAINE ROBERT T</t>
  </si>
  <si>
    <t>KAINE ANGELA M</t>
  </si>
  <si>
    <t>205 PASO FOREST TRL</t>
  </si>
  <si>
    <t>27028-4987</t>
  </si>
  <si>
    <t>H5170A0052</t>
  </si>
  <si>
    <t>MCCLEARY MICHAEL J</t>
  </si>
  <si>
    <t>MCCLEARY SUSAN E</t>
  </si>
  <si>
    <t>140 ARBOR HILL AVE</t>
  </si>
  <si>
    <t>J7080B0021</t>
  </si>
  <si>
    <t>MCCULLOUGH JERRY EUGENE</t>
  </si>
  <si>
    <t>183 S HAZELWOOD DR</t>
  </si>
  <si>
    <t>D30000003901</t>
  </si>
  <si>
    <t>I30000003510</t>
  </si>
  <si>
    <t>MIDGETTE JESSICA MARIE</t>
  </si>
  <si>
    <t>MIDGETTE JAMES EDWARD</t>
  </si>
  <si>
    <t>137 FERNS WAY</t>
  </si>
  <si>
    <t>27028-4198</t>
  </si>
  <si>
    <t>I30000003505</t>
  </si>
  <si>
    <t>F80000000803</t>
  </si>
  <si>
    <t>PHELPS CINDY R</t>
  </si>
  <si>
    <t>145 MOCKS CHURCH ROAD</t>
  </si>
  <si>
    <t>K50000008001</t>
  </si>
  <si>
    <t>PLOTT DOROTHY G</t>
  </si>
  <si>
    <t>2131 US HIGHWAY 601 S</t>
  </si>
  <si>
    <t>L5070A0022</t>
  </si>
  <si>
    <t>L5070A0023</t>
  </si>
  <si>
    <t>J5010A0002</t>
  </si>
  <si>
    <t>J5010A0001</t>
  </si>
  <si>
    <t>J5010A0003</t>
  </si>
  <si>
    <t>L5070A0024  A</t>
  </si>
  <si>
    <t>H7120B0006</t>
  </si>
  <si>
    <t>SHEPPARD WILLIAM</t>
  </si>
  <si>
    <t>SHEPPARD CAITLIN</t>
  </si>
  <si>
    <t>158 OLD DUTCH ROAD</t>
  </si>
  <si>
    <t>E5020A0034</t>
  </si>
  <si>
    <t>POSKIN TIMOTHY</t>
  </si>
  <si>
    <t>POSKIN STEPHANIE</t>
  </si>
  <si>
    <t>123 CORNWALLIS DR</t>
  </si>
  <si>
    <t>J700000031</t>
  </si>
  <si>
    <t>SCHOENBERGER BRYAN</t>
  </si>
  <si>
    <t>SCHOENBERGER EMILY</t>
  </si>
  <si>
    <t>167 FLOSSIE LN</t>
  </si>
  <si>
    <t>27295-8608</t>
  </si>
  <si>
    <t>J700000036</t>
  </si>
  <si>
    <t>F4010A0023</t>
  </si>
  <si>
    <t>HANRAHAN ZACHARY</t>
  </si>
  <si>
    <t>135 ARRENDAL CT</t>
  </si>
  <si>
    <t>J7080B0031</t>
  </si>
  <si>
    <t>L60000000101</t>
  </si>
  <si>
    <t>294 WILL BOONE RD</t>
  </si>
  <si>
    <t>D60000001806</t>
  </si>
  <si>
    <t>NEWELL VICTORIA E</t>
  </si>
  <si>
    <t>BRYANT PAMELA A</t>
  </si>
  <si>
    <t>173 SPEAKS RD</t>
  </si>
  <si>
    <t>D60000001802</t>
  </si>
  <si>
    <t>H40000010603</t>
  </si>
  <si>
    <t>G &amp; C PARTNERS</t>
  </si>
  <si>
    <t>27103-2980</t>
  </si>
  <si>
    <t>N600000036</t>
  </si>
  <si>
    <t>LUTHER JOHN F</t>
  </si>
  <si>
    <t>LUTHER PAMELA B</t>
  </si>
  <si>
    <t>6909 BATTLE BRIDGE RD</t>
  </si>
  <si>
    <t>27610-6215</t>
  </si>
  <si>
    <t>M500000024</t>
  </si>
  <si>
    <t>145 CORRELL RD</t>
  </si>
  <si>
    <t>27028-6636</t>
  </si>
  <si>
    <t>K8100A0002</t>
  </si>
  <si>
    <t>GIZINSKI ANDREW DELL</t>
  </si>
  <si>
    <t>GIZINSKI JULIE CURRENT</t>
  </si>
  <si>
    <t>126 STILL WATER DR</t>
  </si>
  <si>
    <t>27006-7335</t>
  </si>
  <si>
    <t>F80000011010</t>
  </si>
  <si>
    <t>MABE KIMBERLY</t>
  </si>
  <si>
    <t>M40000002404</t>
  </si>
  <si>
    <t>STEPP JONATHAN C</t>
  </si>
  <si>
    <t>FULTON KASON LEIGH</t>
  </si>
  <si>
    <t>175 SUNCHASER TRL</t>
  </si>
  <si>
    <t>C8010A0228</t>
  </si>
  <si>
    <t>WARD PATRICIA JEANNE</t>
  </si>
  <si>
    <t>136 ROSEWALK LN</t>
  </si>
  <si>
    <t>H2050B0004</t>
  </si>
  <si>
    <t>BAILEY KENNETH ROBERT JR</t>
  </si>
  <si>
    <t>147 CENTER CIR</t>
  </si>
  <si>
    <t>I60000003609</t>
  </si>
  <si>
    <t>PACHECO CATHY</t>
  </si>
  <si>
    <t>G30000000429</t>
  </si>
  <si>
    <t>BRUSSEAU SHANNON ELIZABETH</t>
  </si>
  <si>
    <t>131 ARGYLE CT</t>
  </si>
  <si>
    <t>I4010A0082</t>
  </si>
  <si>
    <t>DRAYTON MICHAEL A</t>
  </si>
  <si>
    <t>DRAYTON DEBORAH M</t>
  </si>
  <si>
    <t>110 N WENTWORTH DR</t>
  </si>
  <si>
    <t>I800000020</t>
  </si>
  <si>
    <t>JONES EDWARD K</t>
  </si>
  <si>
    <t>PO BOX 2060</t>
  </si>
  <si>
    <t>27006-2060</t>
  </si>
  <si>
    <t>I4110A0030</t>
  </si>
  <si>
    <t>SURRATT WALTON K III</t>
  </si>
  <si>
    <t>452 HOSPITAL STREET EXT</t>
  </si>
  <si>
    <t>D9010D0008</t>
  </si>
  <si>
    <t>HUFF ROBIN LEONARD</t>
  </si>
  <si>
    <t>172 HAMILTON CT</t>
  </si>
  <si>
    <t>L400000029</t>
  </si>
  <si>
    <t>ADAMS WILLIAM LUKE</t>
  </si>
  <si>
    <t>418 GLADSTONE RD</t>
  </si>
  <si>
    <t>I400000066</t>
  </si>
  <si>
    <t>HOSPITAL STREET PARTNER LLC</t>
  </si>
  <si>
    <t>27012-1724</t>
  </si>
  <si>
    <t>F80000002201</t>
  </si>
  <si>
    <t>YARBROUGH JEAN B</t>
  </si>
  <si>
    <t>F80000008302</t>
  </si>
  <si>
    <t>H60000002405</t>
  </si>
  <si>
    <t>SEYMOUR SYDNEY KEITH</t>
  </si>
  <si>
    <t>SEYMOUR FATIME LY</t>
  </si>
  <si>
    <t>1820 MILLING RD</t>
  </si>
  <si>
    <t>H60000002402</t>
  </si>
  <si>
    <t>F70000002502</t>
  </si>
  <si>
    <t>PARKER JOHN W</t>
  </si>
  <si>
    <t>PARKER SHANNON B</t>
  </si>
  <si>
    <t>136 GALADRIM WAY</t>
  </si>
  <si>
    <t>27006-7253</t>
  </si>
  <si>
    <t>F70000002504</t>
  </si>
  <si>
    <t>F70000002503</t>
  </si>
  <si>
    <t>J4040F0017</t>
  </si>
  <si>
    <t>MILLAR HEATHER CARLY</t>
  </si>
  <si>
    <t>MILLAR STEPHEN THOMAS</t>
  </si>
  <si>
    <t>484 S SALISBURY ST</t>
  </si>
  <si>
    <t>27028-2528</t>
  </si>
  <si>
    <t>M5100B0011</t>
  </si>
  <si>
    <t>GRISSOM HYATT N</t>
  </si>
  <si>
    <t>GRISSOM KELLY NICOLE</t>
  </si>
  <si>
    <t>PO BOX 304</t>
  </si>
  <si>
    <t>27014-0304</t>
  </si>
  <si>
    <t>F60000005306</t>
  </si>
  <si>
    <t>DAILEY SAMANTHA JEAN</t>
  </si>
  <si>
    <t>MACHEN KELSEY JOANNA</t>
  </si>
  <si>
    <t>209 BIG OAK LN</t>
  </si>
  <si>
    <t>27028-7855</t>
  </si>
  <si>
    <t>K5160B0003</t>
  </si>
  <si>
    <t>BERRY SCOTT A</t>
  </si>
  <si>
    <t>482 PAIGEBROOK DR</t>
  </si>
  <si>
    <t>27106-8743</t>
  </si>
  <si>
    <t>B30000000614</t>
  </si>
  <si>
    <t>BARRETT JOSHUA</t>
  </si>
  <si>
    <t>BARRETT ERIN</t>
  </si>
  <si>
    <t>106 CHILDRENS HOME RD</t>
  </si>
  <si>
    <t>J4050B0013</t>
  </si>
  <si>
    <t>RIVERFRONT VENTURES LLC</t>
  </si>
  <si>
    <t>3409 UNION GROVE RD</t>
  </si>
  <si>
    <t>27127-9212</t>
  </si>
  <si>
    <t>G70000000406</t>
  </si>
  <si>
    <t>SAGRAVES JENNETTE ROCHELLE</t>
  </si>
  <si>
    <t>COMPARATO JOHN JOSEPH</t>
  </si>
  <si>
    <t>410 VINEYARD LN</t>
  </si>
  <si>
    <t>27295-2083</t>
  </si>
  <si>
    <t>J500000004</t>
  </si>
  <si>
    <t>J5020B0002</t>
  </si>
  <si>
    <t>D9010E0012</t>
  </si>
  <si>
    <t>BAITY AUSTIN</t>
  </si>
  <si>
    <t>BAITY BRANDY</t>
  </si>
  <si>
    <t>131 PEMBROOKE RIDGE CT</t>
  </si>
  <si>
    <t>K5100A002001</t>
  </si>
  <si>
    <t>VILLATORO AIDA M</t>
  </si>
  <si>
    <t>VILLATORO KAREN K</t>
  </si>
  <si>
    <t>1615 US HIGHWAY 601 S</t>
  </si>
  <si>
    <t>J60000005502</t>
  </si>
  <si>
    <t>FOSTER WESLEY ALAN</t>
  </si>
  <si>
    <t>FOSTER HEATHER H</t>
  </si>
  <si>
    <t>684 PITY MY SHOE RD</t>
  </si>
  <si>
    <t>27925-9688</t>
  </si>
  <si>
    <t>F80000002213</t>
  </si>
  <si>
    <t>GARZA GORDON G</t>
  </si>
  <si>
    <t>GARZA ELENA M</t>
  </si>
  <si>
    <t>190 LANTERN DR</t>
  </si>
  <si>
    <t>I70000003601</t>
  </si>
  <si>
    <t>HORN CLAUDE</t>
  </si>
  <si>
    <t>PO BOX 1441</t>
  </si>
  <si>
    <t>27028-1441</t>
  </si>
  <si>
    <t>J4040F0011</t>
  </si>
  <si>
    <t>HELTON SAMUEL BLAKE</t>
  </si>
  <si>
    <t>156 W MAPLE AVE</t>
  </si>
  <si>
    <t>J70000005102</t>
  </si>
  <si>
    <t>GRIMARD RAYMOND A</t>
  </si>
  <si>
    <t>GRIMARD KAREN L</t>
  </si>
  <si>
    <t>1 OAK GLEN DR</t>
  </si>
  <si>
    <t>SOUTH DAYTONA</t>
  </si>
  <si>
    <t>32119-4451</t>
  </si>
  <si>
    <t>J700000052</t>
  </si>
  <si>
    <t>F3130A0007</t>
  </si>
  <si>
    <t>WEBB CHASE S</t>
  </si>
  <si>
    <t>156 PEPPERSTONE DR</t>
  </si>
  <si>
    <t>I5050D0017</t>
  </si>
  <si>
    <t>THORNES LAURA</t>
  </si>
  <si>
    <t>402 WHITNEY RD</t>
  </si>
  <si>
    <t>I5110A0005</t>
  </si>
  <si>
    <t>HERNANDEZ JORGE LUIS</t>
  </si>
  <si>
    <t>HERNANDEZ JASMINE NICOLE</t>
  </si>
  <si>
    <t>148 HOLLOW HILL CT</t>
  </si>
  <si>
    <t>27028-2810</t>
  </si>
  <si>
    <t>N500000052</t>
  </si>
  <si>
    <t>MCDANIEL HELEN S HEIRS</t>
  </si>
  <si>
    <t>2329 E NC 152 HWY</t>
  </si>
  <si>
    <t>28023-8488</t>
  </si>
  <si>
    <t>H4130A0014</t>
  </si>
  <si>
    <t>STEFANO MICHAEL J</t>
  </si>
  <si>
    <t>STEFANO CASILDA</t>
  </si>
  <si>
    <t>133 ELMWOOD ST</t>
  </si>
  <si>
    <t>H7120B0007</t>
  </si>
  <si>
    <t>ARTFITCH TYLER</t>
  </si>
  <si>
    <t>ARTFITCH ERIN</t>
  </si>
  <si>
    <t>166 OLD DUTCH ROAD</t>
  </si>
  <si>
    <t>G30000008405</t>
  </si>
  <si>
    <t>HOLLINGSWORTH G P</t>
  </si>
  <si>
    <t>D9090C0016</t>
  </si>
  <si>
    <t>NICASTRO JOSEPH F</t>
  </si>
  <si>
    <t>NICASTRO SANDRA K</t>
  </si>
  <si>
    <t>123 LAUREL PL</t>
  </si>
  <si>
    <t>C700000088</t>
  </si>
  <si>
    <t>BENNETT CAROLYN P REV TRUST</t>
  </si>
  <si>
    <t>BENNETT CAROLYN P TRUSTEE</t>
  </si>
  <si>
    <t>261 WOODLEE DR</t>
  </si>
  <si>
    <t>27006-7942</t>
  </si>
  <si>
    <t>D8100A0011</t>
  </si>
  <si>
    <t>BROOKS JOHNNY L</t>
  </si>
  <si>
    <t>BROOKS SANDRA G</t>
  </si>
  <si>
    <t>682 RIVERBEND DR</t>
  </si>
  <si>
    <t>I1120B0009</t>
  </si>
  <si>
    <t>BONAPARTE RUDOLPH</t>
  </si>
  <si>
    <t>BONAPARTE BETTY</t>
  </si>
  <si>
    <t>119 AUTUMN CT</t>
  </si>
  <si>
    <t>B30000009201</t>
  </si>
  <si>
    <t>GREGORY REBECCA PEELE</t>
  </si>
  <si>
    <t>3453 WILD ROSE TRL</t>
  </si>
  <si>
    <t>B30000005403</t>
  </si>
  <si>
    <t>HALL ROGER</t>
  </si>
  <si>
    <t>3306 BAITY RD</t>
  </si>
  <si>
    <t>27055-6103</t>
  </si>
  <si>
    <t>B40000002005</t>
  </si>
  <si>
    <t>DILL ROBERT G</t>
  </si>
  <si>
    <t>DILL BRENDA</t>
  </si>
  <si>
    <t>2605 BRENDA RD</t>
  </si>
  <si>
    <t>27055-8656</t>
  </si>
  <si>
    <t>B40000004801</t>
  </si>
  <si>
    <t>BARRINGER DERRICK E ETAL</t>
  </si>
  <si>
    <t>3500 WYO RD</t>
  </si>
  <si>
    <t>27055-8720</t>
  </si>
  <si>
    <t>B40000004802</t>
  </si>
  <si>
    <t>BARRINGER BOBBY E</t>
  </si>
  <si>
    <t>3504 WYO RD</t>
  </si>
  <si>
    <t>B200000041</t>
  </si>
  <si>
    <t>BILLY BRANDON FARM LLC</t>
  </si>
  <si>
    <t>2940 CHINQUAPIN ROAD</t>
  </si>
  <si>
    <t>H9080B0007</t>
  </si>
  <si>
    <t>MEADOR CHRISTOPHER M</t>
  </si>
  <si>
    <t>MEADOR ANN R</t>
  </si>
  <si>
    <t>153 SHERWOOD CT</t>
  </si>
  <si>
    <t>B50000001312</t>
  </si>
  <si>
    <t>GROCE MYRTLE WISHON</t>
  </si>
  <si>
    <t>3533 KEATON RD</t>
  </si>
  <si>
    <t>27055-8618</t>
  </si>
  <si>
    <t>B50000002704</t>
  </si>
  <si>
    <t>BAITY JEFFREY W</t>
  </si>
  <si>
    <t>2444 ALLGOOD RD</t>
  </si>
  <si>
    <t>27055-6655</t>
  </si>
  <si>
    <t>B300000052</t>
  </si>
  <si>
    <t>SPILLMAN JOHNNY EUGENE ETAL</t>
  </si>
  <si>
    <t>SPILLMAN DANNY RAY</t>
  </si>
  <si>
    <t>412 FERNWOOD DR</t>
  </si>
  <si>
    <t>B30000005206</t>
  </si>
  <si>
    <t>SPILLMAN DANNY R</t>
  </si>
  <si>
    <t>SPILLMAN SUSANNE L</t>
  </si>
  <si>
    <t>D80000000610</t>
  </si>
  <si>
    <t>SPIRIT MASTER FUNDING X LLC</t>
  </si>
  <si>
    <t>301 N MAIN ST STE 2030</t>
  </si>
  <si>
    <t>27101-3836</t>
  </si>
  <si>
    <t>M500000042</t>
  </si>
  <si>
    <t>TREJOS JESSICA GAITAN ETAL</t>
  </si>
  <si>
    <t>GAITAN FLOR DAYANARA</t>
  </si>
  <si>
    <t>1237 US HIGHWAY 64 W</t>
  </si>
  <si>
    <t>H9080B0008</t>
  </si>
  <si>
    <t>BURT ERIC HAVILAND</t>
  </si>
  <si>
    <t>BURT WENDE LANE</t>
  </si>
  <si>
    <t>151 SHERWOOD CT</t>
  </si>
  <si>
    <t>K5150A0003</t>
  </si>
  <si>
    <t>SMITH STEPHANY</t>
  </si>
  <si>
    <t>234 WALT WILSON RD</t>
  </si>
  <si>
    <t>H9070A0028</t>
  </si>
  <si>
    <t>CRUMP JOHN C</t>
  </si>
  <si>
    <t>CRUMP SHARON M</t>
  </si>
  <si>
    <t>130 IRISHMAN PL</t>
  </si>
  <si>
    <t>E400000047</t>
  </si>
  <si>
    <t>BLACKMON ERIC</t>
  </si>
  <si>
    <t>BLACKMON RHONDA</t>
  </si>
  <si>
    <t>1001 PUDDING RIDGE RD</t>
  </si>
  <si>
    <t>27028-6253</t>
  </si>
  <si>
    <t>B40000004803</t>
  </si>
  <si>
    <t>KEATON DIANE ELDRETH</t>
  </si>
  <si>
    <t>3516 WYO RD</t>
  </si>
  <si>
    <t>B40000005204</t>
  </si>
  <si>
    <t>EAST JOHNNY</t>
  </si>
  <si>
    <t>EAST KATHY</t>
  </si>
  <si>
    <t>3525 DAVIE RD</t>
  </si>
  <si>
    <t>27055-8704</t>
  </si>
  <si>
    <t>D300000029</t>
  </si>
  <si>
    <t>SHARPE WILFRED B JR</t>
  </si>
  <si>
    <t>264 ELMORE ROAD</t>
  </si>
  <si>
    <t>27028-4763</t>
  </si>
  <si>
    <t>G8140A0062</t>
  </si>
  <si>
    <t>RUSSELL JENNIFER</t>
  </si>
  <si>
    <t>WILLARD DASEAN</t>
  </si>
  <si>
    <t>158 SPRUCEWOOD CT</t>
  </si>
  <si>
    <t>D8020A0009</t>
  </si>
  <si>
    <t>MARATHON PROPERTIES LLC</t>
  </si>
  <si>
    <t>3802 CLEMMONS RD</t>
  </si>
  <si>
    <t>27012-8478</t>
  </si>
  <si>
    <t>H4130A0038</t>
  </si>
  <si>
    <t>MUPR3 ASSETS LLC</t>
  </si>
  <si>
    <t>C60000010001</t>
  </si>
  <si>
    <t>TRINKLE TROY</t>
  </si>
  <si>
    <t>D300000030</t>
  </si>
  <si>
    <t>D30000002901</t>
  </si>
  <si>
    <t>J500000035</t>
  </si>
  <si>
    <t>HALL WILLIAM E ETAL</t>
  </si>
  <si>
    <t>I4060B0013</t>
  </si>
  <si>
    <t>FOSTER JOY SPINNER CO TRUSTEE</t>
  </si>
  <si>
    <t>LIIPFERT COWLES CO TRUSTEE</t>
  </si>
  <si>
    <t>24 ASHKIRK DR</t>
  </si>
  <si>
    <t>PINEHURST</t>
  </si>
  <si>
    <t>28374-9721</t>
  </si>
  <si>
    <t>B20000002407</t>
  </si>
  <si>
    <t>1033 HARVEST LN</t>
  </si>
  <si>
    <t>27055-6362</t>
  </si>
  <si>
    <t>B20000002408</t>
  </si>
  <si>
    <t>ARMO LLC</t>
  </si>
  <si>
    <t>204 LOYD RD</t>
  </si>
  <si>
    <t>28625-8600</t>
  </si>
  <si>
    <t>B20000003208</t>
  </si>
  <si>
    <t>RUTLEDGE BRYAN Z</t>
  </si>
  <si>
    <t>308 COVENTRY LAKE DR</t>
  </si>
  <si>
    <t>29072-2764</t>
  </si>
  <si>
    <t>B30000000621</t>
  </si>
  <si>
    <t>JONES RODNEY N</t>
  </si>
  <si>
    <t>JONES PENNY C</t>
  </si>
  <si>
    <t>3424 BOWMAN RD</t>
  </si>
  <si>
    <t>27055-8602</t>
  </si>
  <si>
    <t>B30000000620</t>
  </si>
  <si>
    <t>I30000002501</t>
  </si>
  <si>
    <t>WILLIAMS BILLIE FEREBEE</t>
  </si>
  <si>
    <t>261 BOONE FARM RD</t>
  </si>
  <si>
    <t>27028-4107</t>
  </si>
  <si>
    <t>B30000005101</t>
  </si>
  <si>
    <t>ALLEN RICKEY D</t>
  </si>
  <si>
    <t>ALLEN TIMOTHY G</t>
  </si>
  <si>
    <t>133 VALLEY OAKS DR</t>
  </si>
  <si>
    <t>B30000005102</t>
  </si>
  <si>
    <t>CLEARY KAY M</t>
  </si>
  <si>
    <t>3205 BOWMAN RD</t>
  </si>
  <si>
    <t>27055-8600</t>
  </si>
  <si>
    <t>B30000005103</t>
  </si>
  <si>
    <t>NIXON TAMMY KAY</t>
  </si>
  <si>
    <t>3340 BLEVINS RD</t>
  </si>
  <si>
    <t>27055-8603</t>
  </si>
  <si>
    <t>J4050B0008</t>
  </si>
  <si>
    <t>PERKINS KIMBERLY L</t>
  </si>
  <si>
    <t>670 S SALISBURY ST</t>
  </si>
  <si>
    <t>G500000087</t>
  </si>
  <si>
    <t>HOPE BAPTIST TABERNACLE</t>
  </si>
  <si>
    <t>BIAS TERRI L ETAL TRUSTEES</t>
  </si>
  <si>
    <t>2408 US HIGHWAY 158</t>
  </si>
  <si>
    <t>27028-4368</t>
  </si>
  <si>
    <t>G50000008602</t>
  </si>
  <si>
    <t>D600000028  A</t>
  </si>
  <si>
    <t>SANDERS PATRICK TIMOTHY</t>
  </si>
  <si>
    <t>SANDERS JASON TODD</t>
  </si>
  <si>
    <t>816 RAINBOW RD</t>
  </si>
  <si>
    <t>I5160C0002</t>
  </si>
  <si>
    <t>DBR HOLDINGS LLC</t>
  </si>
  <si>
    <t>428 RALSTON CREEK STREET</t>
  </si>
  <si>
    <t>DANIEL ISLAND</t>
  </si>
  <si>
    <t>L300000011</t>
  </si>
  <si>
    <t>S &amp; J GARNETT TRUST OF 2020</t>
  </si>
  <si>
    <t>1221 HAGAR ST APT 414</t>
  </si>
  <si>
    <t>LA CROSSE</t>
  </si>
  <si>
    <t>54603-2730</t>
  </si>
  <si>
    <t>J4140A0029</t>
  </si>
  <si>
    <t>GARNETT STEVEN LEE</t>
  </si>
  <si>
    <t>S &amp; J GARNETT TRUST 2020</t>
  </si>
  <si>
    <t>J500000050</t>
  </si>
  <si>
    <t>COZART WILLIAM F</t>
  </si>
  <si>
    <t>HARRIS LYNNE J</t>
  </si>
  <si>
    <t>176 PIPER LN</t>
  </si>
  <si>
    <t>J50000004401</t>
  </si>
  <si>
    <t>J50000005101</t>
  </si>
  <si>
    <t>F700000021</t>
  </si>
  <si>
    <t>1049 BALTIMORE RD</t>
  </si>
  <si>
    <t>I300000030</t>
  </si>
  <si>
    <t>MABE PROPERTIES LLC</t>
  </si>
  <si>
    <t>K40000002401</t>
  </si>
  <si>
    <t>I4010A0086</t>
  </si>
  <si>
    <t>HAM BENTON</t>
  </si>
  <si>
    <t>HAM BRENDA</t>
  </si>
  <si>
    <t>107 S WENTWORTH DRIVE</t>
  </si>
  <si>
    <t>C8010A0128</t>
  </si>
  <si>
    <t>BLUE SKY ATLANTIC LLC</t>
  </si>
  <si>
    <t>L5070A0018</t>
  </si>
  <si>
    <t>CORRELL TAMMY M</t>
  </si>
  <si>
    <t>205 FAIRFIELD RD</t>
  </si>
  <si>
    <t>F600000067</t>
  </si>
  <si>
    <t>DENNIS CHRISTOPHER G</t>
  </si>
  <si>
    <t>3354 US HIGHWAY 158</t>
  </si>
  <si>
    <t>H500000037</t>
  </si>
  <si>
    <t>SAIN MICHAEL DEAN SR</t>
  </si>
  <si>
    <t>SAIN KAREN KAY COUCH</t>
  </si>
  <si>
    <t>281 SAIN RD</t>
  </si>
  <si>
    <t>J4110A0009</t>
  </si>
  <si>
    <t>WOOTEN LATICIA DIANNE SAIN</t>
  </si>
  <si>
    <t>960 HARDISON ST</t>
  </si>
  <si>
    <t>F7120B0010</t>
  </si>
  <si>
    <t>REAGAN PATRICK</t>
  </si>
  <si>
    <t>REAGAN BRANDI</t>
  </si>
  <si>
    <t>284 MONTCLAIR DR</t>
  </si>
  <si>
    <t>I5110A0007</t>
  </si>
  <si>
    <t>SOWERS CHRISTOPHER</t>
  </si>
  <si>
    <t>SOWERS RACHEL</t>
  </si>
  <si>
    <t>172 HOLLOW HILL CT</t>
  </si>
  <si>
    <t>D8100A0007</t>
  </si>
  <si>
    <t>WHITLEY ROBIN</t>
  </si>
  <si>
    <t>MILLER DEBORAH</t>
  </si>
  <si>
    <t>120 JUNIPER CIR</t>
  </si>
  <si>
    <t>I90000000204</t>
  </si>
  <si>
    <t>BURTON RODNEY DALE</t>
  </si>
  <si>
    <t>570 TODD RD</t>
  </si>
  <si>
    <t>J4060A0019</t>
  </si>
  <si>
    <t>FROELICH HEATHER N</t>
  </si>
  <si>
    <t>242 MAGNOLIA AVE</t>
  </si>
  <si>
    <t>E50000003306</t>
  </si>
  <si>
    <t>PENLAND HEATHER LEE</t>
  </si>
  <si>
    <t>WHICKER WILLIAM NEIL</t>
  </si>
  <si>
    <t>776 PINEBROOK SCHOOL RD</t>
  </si>
  <si>
    <t>B500000104</t>
  </si>
  <si>
    <t>G500000161</t>
  </si>
  <si>
    <t>K200000052</t>
  </si>
  <si>
    <t>K300000026</t>
  </si>
  <si>
    <t>J4040G0017</t>
  </si>
  <si>
    <t>K5090A0039</t>
  </si>
  <si>
    <t>I700000034</t>
  </si>
  <si>
    <t>BURTON MARGIE ANN</t>
  </si>
  <si>
    <t>I70000003202</t>
  </si>
  <si>
    <t>I5120A0031</t>
  </si>
  <si>
    <t>BATES GREGORY EVERETT</t>
  </si>
  <si>
    <t>BATES LORI ANN</t>
  </si>
  <si>
    <t>241 WINDWARD CIRCLE</t>
  </si>
  <si>
    <t>I5050C0017</t>
  </si>
  <si>
    <t>CUTHBERTSON TAMMY</t>
  </si>
  <si>
    <t>616 WHITNEY RD</t>
  </si>
  <si>
    <t>C8010A0250</t>
  </si>
  <si>
    <t>I5010C0019</t>
  </si>
  <si>
    <t>RIVERS CHARLIE R</t>
  </si>
  <si>
    <t>RIVERS EVERINE C</t>
  </si>
  <si>
    <t>114 ETCHISON ROAD</t>
  </si>
  <si>
    <t>H700000091  A</t>
  </si>
  <si>
    <t>STAR REAL ESTATE LLC</t>
  </si>
  <si>
    <t>644 HOLLY SPRINGS RD</t>
  </si>
  <si>
    <t>SUITE 161</t>
  </si>
  <si>
    <t>H700000111</t>
  </si>
  <si>
    <t>I5010C0021</t>
  </si>
  <si>
    <t>PALMER MICHELLE</t>
  </si>
  <si>
    <t>PALMER SYLVESTER</t>
  </si>
  <si>
    <t>5923 AVENUE O</t>
  </si>
  <si>
    <t>11234-4133</t>
  </si>
  <si>
    <t>J30000003303</t>
  </si>
  <si>
    <t>MYERS MARK</t>
  </si>
  <si>
    <t>MYERS KIMBERLY</t>
  </si>
  <si>
    <t>544 GREENHILL RD</t>
  </si>
  <si>
    <t>H800000029</t>
  </si>
  <si>
    <t>PHILLIPS MARK ALAN</t>
  </si>
  <si>
    <t>11 LAMBERT RD</t>
  </si>
  <si>
    <t>FREEPORT</t>
  </si>
  <si>
    <t>04032-6008</t>
  </si>
  <si>
    <t>H8060A0079</t>
  </si>
  <si>
    <t>LAWSON GREGORY</t>
  </si>
  <si>
    <t>LAWSON MARIA</t>
  </si>
  <si>
    <t>381 COVINGTON DR</t>
  </si>
  <si>
    <t>H300000054</t>
  </si>
  <si>
    <t>VEGA SUJEI LOPEZ</t>
  </si>
  <si>
    <t>170 CHEYENNE LN</t>
  </si>
  <si>
    <t>I4120D0008</t>
  </si>
  <si>
    <t>PHILLIPS WILLIAM NATHAN</t>
  </si>
  <si>
    <t>PHILLIPS MARCIA D</t>
  </si>
  <si>
    <t>189 W CHURCH ST</t>
  </si>
  <si>
    <t>G700000108</t>
  </si>
  <si>
    <t>WILSON BROTHERS LLC</t>
  </si>
  <si>
    <t>123C E INNES ST</t>
  </si>
  <si>
    <t>28144-5007</t>
  </si>
  <si>
    <t>I90000002110</t>
  </si>
  <si>
    <t>JAMES WILLIAM BRANDON</t>
  </si>
  <si>
    <t>JAMES CAMBRIA C</t>
  </si>
  <si>
    <t>162 ZIMMERMAN RD</t>
  </si>
  <si>
    <t>K20000000801</t>
  </si>
  <si>
    <t>WILLIAMS HARVEY LEE</t>
  </si>
  <si>
    <t>WILLIAMS JANICE B</t>
  </si>
  <si>
    <t>226 MORRISON ROAD</t>
  </si>
  <si>
    <t>K20000000201</t>
  </si>
  <si>
    <t>J700000007</t>
  </si>
  <si>
    <t>228 NO CREEK RD</t>
  </si>
  <si>
    <t>J5010D0071</t>
  </si>
  <si>
    <t>BEDEN JACK A</t>
  </si>
  <si>
    <t>BEDEN KAYE S</t>
  </si>
  <si>
    <t>213 WINDING CREEK RD</t>
  </si>
  <si>
    <t>J100000061</t>
  </si>
  <si>
    <t>I4010A0005</t>
  </si>
  <si>
    <t>FISHER JOSEPH DANIEL</t>
  </si>
  <si>
    <t>FISHER EDNA HOUSE</t>
  </si>
  <si>
    <t>161 TURNBERRY DR</t>
  </si>
  <si>
    <t>L5070A0007</t>
  </si>
  <si>
    <t>DULIN JERRY L</t>
  </si>
  <si>
    <t>J70000000707</t>
  </si>
  <si>
    <t>B200000031</t>
  </si>
  <si>
    <t>WILSON VIRGINIA G</t>
  </si>
  <si>
    <t>687 BELL BRANCH RD</t>
  </si>
  <si>
    <t>27028-4619</t>
  </si>
  <si>
    <t>I5050D0006</t>
  </si>
  <si>
    <t>ANTHONY ASHANTA R</t>
  </si>
  <si>
    <t>457 MOUNTVIEW DRIVE</t>
  </si>
  <si>
    <t>C7100A0011</t>
  </si>
  <si>
    <t>CID CAMMEY LYNNE</t>
  </si>
  <si>
    <t>137 W RENEE DR</t>
  </si>
  <si>
    <t>H5170A0021</t>
  </si>
  <si>
    <t>FAHEY J MICHAL</t>
  </si>
  <si>
    <t>FAHEY MARILYN P</t>
  </si>
  <si>
    <t>158 CANYON ROAD</t>
  </si>
  <si>
    <t>K100000037</t>
  </si>
  <si>
    <t>HARPER FARM</t>
  </si>
  <si>
    <t>133 HARPER DR</t>
  </si>
  <si>
    <t>28625-1434</t>
  </si>
  <si>
    <t>I4110A000605</t>
  </si>
  <si>
    <t>PIEDMONT ADVANTAGE CREDIT UNION</t>
  </si>
  <si>
    <t>3530 ADVANTAGE WAY</t>
  </si>
  <si>
    <t>27103-5515</t>
  </si>
  <si>
    <t>I4110A000604</t>
  </si>
  <si>
    <t>J5010D0075</t>
  </si>
  <si>
    <t>STANLEY GLEN E III</t>
  </si>
  <si>
    <t>151 WINDING CREEK RD</t>
  </si>
  <si>
    <t>27028-2666</t>
  </si>
  <si>
    <t>J5090A001404</t>
  </si>
  <si>
    <t>DAWN-DEVON LLC</t>
  </si>
  <si>
    <t>315 FAIRWAY DR</t>
  </si>
  <si>
    <t>27292-5337</t>
  </si>
  <si>
    <t>B30000008901</t>
  </si>
  <si>
    <t>HALL GRAYLON TERRY</t>
  </si>
  <si>
    <t>HALL SUSAN D</t>
  </si>
  <si>
    <t>3448 ESSIC RD</t>
  </si>
  <si>
    <t>E900000143</t>
  </si>
  <si>
    <t>FERGUSON BARRY LYNN</t>
  </si>
  <si>
    <t>123 WHITE EAGLE CT</t>
  </si>
  <si>
    <t>J20000003904</t>
  </si>
  <si>
    <t>WHITAKER CALEB M</t>
  </si>
  <si>
    <t>532 SHADY KNOLL LN</t>
  </si>
  <si>
    <t>27028-8404</t>
  </si>
  <si>
    <t>I4130A000211</t>
  </si>
  <si>
    <t>DOVIAK NICHOLAS</t>
  </si>
  <si>
    <t>105 RAYMOND ST</t>
  </si>
  <si>
    <t>H80000001903</t>
  </si>
  <si>
    <t>MEDLIN PATRICIA POTTS</t>
  </si>
  <si>
    <t>675 CEDAR GROVE CHURCH RD</t>
  </si>
  <si>
    <t>G8130B0014</t>
  </si>
  <si>
    <t>F300000063</t>
  </si>
  <si>
    <t>KNIGHT RONALD</t>
  </si>
  <si>
    <t>2978 US HIGHWAY 601 N</t>
  </si>
  <si>
    <t>I40000000101</t>
  </si>
  <si>
    <t>E7140A0027</t>
  </si>
  <si>
    <t>WARUINGI ANDREW BRIAN</t>
  </si>
  <si>
    <t>WARUINGI APRIL LYNN</t>
  </si>
  <si>
    <t>177 REDMEADOW DR</t>
  </si>
  <si>
    <t>I5020B0007</t>
  </si>
  <si>
    <t>HOFFMAN AUTUMN P</t>
  </si>
  <si>
    <t>197 SUNSET DR</t>
  </si>
  <si>
    <t>27028-2712</t>
  </si>
  <si>
    <t>I5020B0008</t>
  </si>
  <si>
    <t>B50000011501</t>
  </si>
  <si>
    <t>ARMSTRONG JESSE E</t>
  </si>
  <si>
    <t>ARMSTRONG TABITHA D</t>
  </si>
  <si>
    <t>2529 WYO RD</t>
  </si>
  <si>
    <t>F200000025</t>
  </si>
  <si>
    <t>BOLES JUDY HUFFMAN</t>
  </si>
  <si>
    <t>480 GEORGIA RD</t>
  </si>
  <si>
    <t>F20000001101</t>
  </si>
  <si>
    <t>DYSON NELLIE SUE</t>
  </si>
  <si>
    <t>1283 CALAHALN RD</t>
  </si>
  <si>
    <t>E20000000608</t>
  </si>
  <si>
    <t>F200000007</t>
  </si>
  <si>
    <t>F200000008</t>
  </si>
  <si>
    <t>H700000112</t>
  </si>
  <si>
    <t>H5060A0002</t>
  </si>
  <si>
    <t>SMITH VICKIE SUZANNE</t>
  </si>
  <si>
    <t>119 BRADFORD PL</t>
  </si>
  <si>
    <t>27028-4159</t>
  </si>
  <si>
    <t>I50000003101</t>
  </si>
  <si>
    <t>REED STREET LLC</t>
  </si>
  <si>
    <t>206 W 4TH ST</t>
  </si>
  <si>
    <t>27101-2824</t>
  </si>
  <si>
    <t>I700000028</t>
  </si>
  <si>
    <t>HALL JAYELENE</t>
  </si>
  <si>
    <t>688 WILLIAMS RD</t>
  </si>
  <si>
    <t>C8010A0233</t>
  </si>
  <si>
    <t>FOLLETTE JUDY M</t>
  </si>
  <si>
    <t>137 MILLSTONE LANE</t>
  </si>
  <si>
    <t>G30000007701</t>
  </si>
  <si>
    <t>DAVIE BLACKWELDER DEVELOPMENT LLC</t>
  </si>
  <si>
    <t>G300000077</t>
  </si>
  <si>
    <t>G300000078</t>
  </si>
  <si>
    <t>C500000005</t>
  </si>
  <si>
    <t>PEELER JOHN JASON</t>
  </si>
  <si>
    <t>PEELER APRIL MICHELLE</t>
  </si>
  <si>
    <t>139 DANCE HALL RD</t>
  </si>
  <si>
    <t>27028-6202</t>
  </si>
  <si>
    <t>D9050A0011</t>
  </si>
  <si>
    <t>CASON MARJORIE SCOTT</t>
  </si>
  <si>
    <t>KEVIN SMITH</t>
  </si>
  <si>
    <t>808 VISTA WAY</t>
  </si>
  <si>
    <t>OCEANSIDE</t>
  </si>
  <si>
    <t>M400000019</t>
  </si>
  <si>
    <t>JONES CARRIE B</t>
  </si>
  <si>
    <t>PO BOX 1072</t>
  </si>
  <si>
    <t>27028-1072</t>
  </si>
  <si>
    <t>F300000041</t>
  </si>
  <si>
    <t>BURKE DANIEL</t>
  </si>
  <si>
    <t>BURKE CATHERINE</t>
  </si>
  <si>
    <t>3773 HEATHROW DR</t>
  </si>
  <si>
    <t>27127-4671</t>
  </si>
  <si>
    <t>F30000004302</t>
  </si>
  <si>
    <t>F30000004305</t>
  </si>
  <si>
    <t>C8010A0057</t>
  </si>
  <si>
    <t>RICE DEVONNE LEE</t>
  </si>
  <si>
    <t>170 BRIDGEWATER DR</t>
  </si>
  <si>
    <t>C500000007</t>
  </si>
  <si>
    <t>C500000006</t>
  </si>
  <si>
    <t>F600000090</t>
  </si>
  <si>
    <t>HICKS THOMAS W</t>
  </si>
  <si>
    <t>HICKS DONNA B</t>
  </si>
  <si>
    <t>139 TERRACE LN</t>
  </si>
  <si>
    <t>H2050B0005</t>
  </si>
  <si>
    <t>LEICHTER JUSTIN T</t>
  </si>
  <si>
    <t>3200 Bluff St Unit 304</t>
  </si>
  <si>
    <t>Boulder</t>
  </si>
  <si>
    <t>JGADDY</t>
  </si>
  <si>
    <t>K30000000310</t>
  </si>
  <si>
    <t>MARCUM ZACHARY T</t>
  </si>
  <si>
    <t>PORTER KEELEY B</t>
  </si>
  <si>
    <t>210 BYERLYS CHAPEL RD</t>
  </si>
  <si>
    <t>G3030A007101</t>
  </si>
  <si>
    <t>CLARK SHEILA GRIFFIN</t>
  </si>
  <si>
    <t>172 CANDI LN</t>
  </si>
  <si>
    <t>C700000031</t>
  </si>
  <si>
    <t>RINTZ VICKI F</t>
  </si>
  <si>
    <t>221 HILTON RD</t>
  </si>
  <si>
    <t>D600000065</t>
  </si>
  <si>
    <t>D600000076</t>
  </si>
  <si>
    <t>D60000007104</t>
  </si>
  <si>
    <t>I70000001401</t>
  </si>
  <si>
    <t>BALTES DARYL LAWRENCE</t>
  </si>
  <si>
    <t>441 MERRELLS LAKE RD</t>
  </si>
  <si>
    <t>H200000027</t>
  </si>
  <si>
    <t>DRYE ANDREW M</t>
  </si>
  <si>
    <t>DRYE BRANDI B</t>
  </si>
  <si>
    <t>173 CASTLE LN</t>
  </si>
  <si>
    <t>F60000009001</t>
  </si>
  <si>
    <t>G500000119</t>
  </si>
  <si>
    <t>WHITAKER LONNIE RAY</t>
  </si>
  <si>
    <t>129 REDSKIN WAY</t>
  </si>
  <si>
    <t>27028-4320</t>
  </si>
  <si>
    <t>E700000026</t>
  </si>
  <si>
    <t>REDLAND CHURCH OF CHRIST</t>
  </si>
  <si>
    <t>4302 US HIGHWAY 158</t>
  </si>
  <si>
    <t>H4200A0015</t>
  </si>
  <si>
    <t>RICHARDSON ANDREW JON</t>
  </si>
  <si>
    <t>218 EDGEWATER CT</t>
  </si>
  <si>
    <t>27028-4778</t>
  </si>
  <si>
    <t>H40000003704</t>
  </si>
  <si>
    <t>M4130B0004</t>
  </si>
  <si>
    <t>TEMPLE SHEIGHLA DENAE</t>
  </si>
  <si>
    <t>TIPPETT TYLER AUSTIN</t>
  </si>
  <si>
    <t>PO BOX 189</t>
  </si>
  <si>
    <t>E8070B001301</t>
  </si>
  <si>
    <t>FAUST ANNA</t>
  </si>
  <si>
    <t>117 SPARKS CT</t>
  </si>
  <si>
    <t>27103-8003</t>
  </si>
  <si>
    <t>K50000008301</t>
  </si>
  <si>
    <t>ANDERSON LLOYD</t>
  </si>
  <si>
    <t>681 WILL BOONE RD</t>
  </si>
  <si>
    <t>K500000084</t>
  </si>
  <si>
    <t>G40000000403</t>
  </si>
  <si>
    <t>ALPINE BUILDINGS LLC</t>
  </si>
  <si>
    <t>149 CHANCE LN</t>
  </si>
  <si>
    <t>27028-4132</t>
  </si>
  <si>
    <t>G30000000207</t>
  </si>
  <si>
    <t>CHAFFIN JONATHAN</t>
  </si>
  <si>
    <t>336 WAGNER RD</t>
  </si>
  <si>
    <t>27028-4954</t>
  </si>
  <si>
    <t>C300000117</t>
  </si>
  <si>
    <t>WALLACE WILSON S REV LIV TRUST</t>
  </si>
  <si>
    <t>633 HOWELL RD</t>
  </si>
  <si>
    <t>M400000040</t>
  </si>
  <si>
    <t>WALLER SYDNIE A</t>
  </si>
  <si>
    <t>WALLER JUSTIN L</t>
  </si>
  <si>
    <t>146 FLAT ROCK RD</t>
  </si>
  <si>
    <t>J4120B0010</t>
  </si>
  <si>
    <t>J50000004901</t>
  </si>
  <si>
    <t>H900000017</t>
  </si>
  <si>
    <t>HOWERTON RUSSELL MARS REV TRUST</t>
  </si>
  <si>
    <t>HOWERTON PAMELA M REV TRUST</t>
  </si>
  <si>
    <t>768 PEOPLES CREEK RD</t>
  </si>
  <si>
    <t>C7050A0002</t>
  </si>
  <si>
    <t>CRAMER CRYSTAL LYNN LIVING TRUST</t>
  </si>
  <si>
    <t>CRAMER CRYSTAL LYNN TRUSTEE</t>
  </si>
  <si>
    <t>207 YADKIN VALLEY RD</t>
  </si>
  <si>
    <t>D9050A0045</t>
  </si>
  <si>
    <t>VROOMAN PETER SCHUYLER</t>
  </si>
  <si>
    <t>VROOMAN CAROL B</t>
  </si>
  <si>
    <t>240 CHARISMA LN</t>
  </si>
  <si>
    <t>27023-9480</t>
  </si>
  <si>
    <t>G500000124</t>
  </si>
  <si>
    <t>MOXLEY CHRISTOPHER</t>
  </si>
  <si>
    <t>2164 US HIGHWAY 158</t>
  </si>
  <si>
    <t>H2050A0005</t>
  </si>
  <si>
    <t>LAFAVE NANCY ANN</t>
  </si>
  <si>
    <t>158 CENTER CIR</t>
  </si>
  <si>
    <t>H700000040</t>
  </si>
  <si>
    <t>H700000046</t>
  </si>
  <si>
    <t>H70000004501</t>
  </si>
  <si>
    <t>H70000004502</t>
  </si>
  <si>
    <t>H700000034</t>
  </si>
  <si>
    <t>H70000003501</t>
  </si>
  <si>
    <t>H70000004601</t>
  </si>
  <si>
    <t>H700000045</t>
  </si>
  <si>
    <t>K60000003501</t>
  </si>
  <si>
    <t>G8010D0007</t>
  </si>
  <si>
    <t>JACKSON ANDREW PAUL</t>
  </si>
  <si>
    <t>JACKSON ASHLEY</t>
  </si>
  <si>
    <t>315 FOX TROT LN</t>
  </si>
  <si>
    <t>27006-7595</t>
  </si>
  <si>
    <t>C70000008907</t>
  </si>
  <si>
    <t>SPILLMAN ROBERT ISAAC</t>
  </si>
  <si>
    <t>BOLICK-SPILLMAN ELISABETH</t>
  </si>
  <si>
    <t>212 NORMA LN</t>
  </si>
  <si>
    <t>E700000036</t>
  </si>
  <si>
    <t>LOTT CHARLES A JR</t>
  </si>
  <si>
    <t>LOTT LINDA C</t>
  </si>
  <si>
    <t>162 REDLAND ROAD</t>
  </si>
  <si>
    <t>I20000002001</t>
  </si>
  <si>
    <t>MOTLEY INVESTMENTS LLC</t>
  </si>
  <si>
    <t>175 PILOT RIDGE DR</t>
  </si>
  <si>
    <t>I200000020</t>
  </si>
  <si>
    <t>C70000008914</t>
  </si>
  <si>
    <t>F200000017</t>
  </si>
  <si>
    <t>DOVIAK LORNA</t>
  </si>
  <si>
    <t>PICKERING JEFFERY JAMES</t>
  </si>
  <si>
    <t>351 DUKE WHITTAKER RD</t>
  </si>
  <si>
    <t>G30000000437</t>
  </si>
  <si>
    <t>RUTLEDGE JAMES</t>
  </si>
  <si>
    <t>ENOCH DENISE LASHAN</t>
  </si>
  <si>
    <t>208 CULLODEN DRIVE</t>
  </si>
  <si>
    <t>E9150A0055</t>
  </si>
  <si>
    <t>LECLERT BRYAN</t>
  </si>
  <si>
    <t>LECLERT KIRSTINE</t>
  </si>
  <si>
    <t>154 FIELDWOOD DR</t>
  </si>
  <si>
    <t>D3010B0002</t>
  </si>
  <si>
    <t>GRAHAM BRENTDON</t>
  </si>
  <si>
    <t>125 WADE EATON DRIVE</t>
  </si>
  <si>
    <t>F80000007411</t>
  </si>
  <si>
    <t>MEACHUM AUTUMN</t>
  </si>
  <si>
    <t>HEWITT TREVOR</t>
  </si>
  <si>
    <t>107 SADDLEBROOK DR</t>
  </si>
  <si>
    <t>B500000044</t>
  </si>
  <si>
    <t>FROST WILLIAM JR</t>
  </si>
  <si>
    <t>FROST BETTY</t>
  </si>
  <si>
    <t>403 PINEVILLE ROAD</t>
  </si>
  <si>
    <t>I700000014</t>
  </si>
  <si>
    <t>444 MERRELLS LAKE RD</t>
  </si>
  <si>
    <t>E200000020  A</t>
  </si>
  <si>
    <t>WHITTAKER SCOTT LEGRAND</t>
  </si>
  <si>
    <t>861 DUKE WHITTAKER RD</t>
  </si>
  <si>
    <t>E20000001901</t>
  </si>
  <si>
    <t>E20000001906</t>
  </si>
  <si>
    <t>E300000052</t>
  </si>
  <si>
    <t>LORD DUANE</t>
  </si>
  <si>
    <t>LORD LINDA</t>
  </si>
  <si>
    <t>415 RICHIE RD</t>
  </si>
  <si>
    <t>I5160A0054</t>
  </si>
  <si>
    <t>MCLEAN SFR INVESTMENT LLC</t>
  </si>
  <si>
    <t>8615 CLIFF CAMERON DR</t>
  </si>
  <si>
    <t>28269-5911</t>
  </si>
  <si>
    <t>I4130H004002</t>
  </si>
  <si>
    <t>I4130A000209</t>
  </si>
  <si>
    <t>B30000007701</t>
  </si>
  <si>
    <t>DOWELL JAMES</t>
  </si>
  <si>
    <t>1100 SYCAMORE RDG</t>
  </si>
  <si>
    <t>27105-9500</t>
  </si>
  <si>
    <t>I6140A0015</t>
  </si>
  <si>
    <t>LOPEZ ADAM</t>
  </si>
  <si>
    <t>LOPEZ SARAH LOUISE</t>
  </si>
  <si>
    <t>385 LAKEVIEW RD</t>
  </si>
  <si>
    <t>I300000027</t>
  </si>
  <si>
    <t>WOOTEN PAMELA MOORE</t>
  </si>
  <si>
    <t>458 BOONE FARM RD</t>
  </si>
  <si>
    <t>K50000010206</t>
  </si>
  <si>
    <t>WATKINS CHAD</t>
  </si>
  <si>
    <t>2259 WHIPPOORWILL ST SW</t>
  </si>
  <si>
    <t>SUPPLY</t>
  </si>
  <si>
    <t>28462-6245</t>
  </si>
  <si>
    <t>K5090A000801</t>
  </si>
  <si>
    <t>ARTZ TIMOTHY</t>
  </si>
  <si>
    <t>ARTZ PAMELA</t>
  </si>
  <si>
    <t>183 LAKEWOOD DRIVE RD</t>
  </si>
  <si>
    <t>27028-4413</t>
  </si>
  <si>
    <t>D9090C0017</t>
  </si>
  <si>
    <t>TILLEY BRADLEY D</t>
  </si>
  <si>
    <t>TILLEY KATHERINE S</t>
  </si>
  <si>
    <t>135 HOLLYBROOK DR</t>
  </si>
  <si>
    <t>27006-8403</t>
  </si>
  <si>
    <t>G300000076</t>
  </si>
  <si>
    <t>J100000054</t>
  </si>
  <si>
    <t>E700000061</t>
  </si>
  <si>
    <t>HICKS JANICE LAVERNE B</t>
  </si>
  <si>
    <t>383 JUNEY BEAUCHAMP RD</t>
  </si>
  <si>
    <t>I500000001</t>
  </si>
  <si>
    <t>VANDEBERG DEANNA S</t>
  </si>
  <si>
    <t>5467 ORCHARD VILLAS CIR</t>
  </si>
  <si>
    <t>24019-6154</t>
  </si>
  <si>
    <t>C50000002105</t>
  </si>
  <si>
    <t>GATES TRACY</t>
  </si>
  <si>
    <t>GATES HOLLY</t>
  </si>
  <si>
    <t>640 CHESTNUT BEND DR</t>
  </si>
  <si>
    <t>27103-5049</t>
  </si>
  <si>
    <t>D300000036</t>
  </si>
  <si>
    <t>WHITLOCK RUSS LANE</t>
  </si>
  <si>
    <t>WHITLOCK FRANKIE KIM</t>
  </si>
  <si>
    <t>217 MACY LANGSTON LN</t>
  </si>
  <si>
    <t>E700000028</t>
  </si>
  <si>
    <t>E700000013</t>
  </si>
  <si>
    <t>G30000000436</t>
  </si>
  <si>
    <t>CUNHA NATALIE GALINDO</t>
  </si>
  <si>
    <t>CUNHA CARLOS JOSE</t>
  </si>
  <si>
    <t>200 CULLODEN DRIVE</t>
  </si>
  <si>
    <t>J4060A001201</t>
  </si>
  <si>
    <t>MARKS KENNETH</t>
  </si>
  <si>
    <t>285 MAGNOLIA AVE</t>
  </si>
  <si>
    <t>E900000634</t>
  </si>
  <si>
    <t>CLINARD MARK S</t>
  </si>
  <si>
    <t>CLINARD DEBRA R</t>
  </si>
  <si>
    <t>140 N NIBLICK CT</t>
  </si>
  <si>
    <t>G30000000432</t>
  </si>
  <si>
    <t>SEWELL JAMES ANDREW</t>
  </si>
  <si>
    <t>SEWELL KATHLEE WALTON</t>
  </si>
  <si>
    <t>174 CULLODEN DR</t>
  </si>
  <si>
    <t>N5020A0006</t>
  </si>
  <si>
    <t>BRIGGS CLAYTON J III</t>
  </si>
  <si>
    <t>BRIGGS KATHY J</t>
  </si>
  <si>
    <t>199 MIDWAY ST</t>
  </si>
  <si>
    <t>E9150A0004</t>
  </si>
  <si>
    <t>LAWS FAMILY TRUST</t>
  </si>
  <si>
    <t>17309 CAMINITO MASADA</t>
  </si>
  <si>
    <t>92127-1201</t>
  </si>
  <si>
    <t>J300000059</t>
  </si>
  <si>
    <t>GODWIN ERVIN A</t>
  </si>
  <si>
    <t>FERGUSON VICKIE LYNN MILLER</t>
  </si>
  <si>
    <t>133 FRIENDSHIP CT</t>
  </si>
  <si>
    <t>E700000037</t>
  </si>
  <si>
    <t>B20000000402</t>
  </si>
  <si>
    <t>PARDUE MARTHA STROUD</t>
  </si>
  <si>
    <t>BOGER ODELL L (REMAINDERMAN)</t>
  </si>
  <si>
    <t>265 REAVIS RD</t>
  </si>
  <si>
    <t>27055-6379</t>
  </si>
  <si>
    <t>J4140B0056</t>
  </si>
  <si>
    <t>BROWN DAVID KEITH</t>
  </si>
  <si>
    <t>BROWN CHEYENNE HILTON</t>
  </si>
  <si>
    <t>202 N CAROLINA CIR</t>
  </si>
  <si>
    <t>E800000018</t>
  </si>
  <si>
    <t>HALL EDITH H</t>
  </si>
  <si>
    <t>1138 UNDERPASS RD</t>
  </si>
  <si>
    <t>27006-7530</t>
  </si>
  <si>
    <t>F80000014006</t>
  </si>
  <si>
    <t>F80000014001</t>
  </si>
  <si>
    <t>J5010D0042</t>
  </si>
  <si>
    <t>WISHON SARA FAYE</t>
  </si>
  <si>
    <t>JOHNSON JACOB</t>
  </si>
  <si>
    <t>168 CLOISTER DR</t>
  </si>
  <si>
    <t>H30000003213</t>
  </si>
  <si>
    <t>FLOREZ-DIAZ PAULA M ETAL</t>
  </si>
  <si>
    <t>MORALES MARVIN ARQUIMEDES</t>
  </si>
  <si>
    <t>125 POWELL RD</t>
  </si>
  <si>
    <t>C70000010103</t>
  </si>
  <si>
    <t>MATHEWS STEVEN S</t>
  </si>
  <si>
    <t>255 CARTER CIR</t>
  </si>
  <si>
    <t>27106-4807</t>
  </si>
  <si>
    <t>D7020B0012</t>
  </si>
  <si>
    <t>E60000008406</t>
  </si>
  <si>
    <t>KINDER ARVATA MAXINE</t>
  </si>
  <si>
    <t>138 KINDER LN</t>
  </si>
  <si>
    <t>27028-7719</t>
  </si>
  <si>
    <t>E60000008407</t>
  </si>
  <si>
    <t>E60000008402</t>
  </si>
  <si>
    <t>E60000008412</t>
  </si>
  <si>
    <t>E60000008413</t>
  </si>
  <si>
    <t>E60000008408</t>
  </si>
  <si>
    <t>J20000005801</t>
  </si>
  <si>
    <t>BROWN STEVEN</t>
  </si>
  <si>
    <t>BROWN JANA</t>
  </si>
  <si>
    <t>1383 DAVIE ACADEMY ROAD</t>
  </si>
  <si>
    <t>I80000006501</t>
  </si>
  <si>
    <t>CS TUCKER FARM LLC</t>
  </si>
  <si>
    <t>2927 NC HIGHWAY 801 S</t>
  </si>
  <si>
    <t>I800000067</t>
  </si>
  <si>
    <t>J300000007</t>
  </si>
  <si>
    <t>BECK SAMANTHA LOUISE</t>
  </si>
  <si>
    <t>BROWN SHANE</t>
  </si>
  <si>
    <t>568 DAVIE ACADEMY RD</t>
  </si>
  <si>
    <t>G30000000434</t>
  </si>
  <si>
    <t>WINKLEY JORDAN</t>
  </si>
  <si>
    <t>ELLIS LERSONDA</t>
  </si>
  <si>
    <t>186 CULLODEN DR</t>
  </si>
  <si>
    <t>G30000000441</t>
  </si>
  <si>
    <t>WILSON TINA RENAE</t>
  </si>
  <si>
    <t>228 CULLODEN DRIVE</t>
  </si>
  <si>
    <t>K700000035</t>
  </si>
  <si>
    <t>LOPP KIRBY DIANNE</t>
  </si>
  <si>
    <t>12068 S NC HIGHWAY 150</t>
  </si>
  <si>
    <t>27299-9677</t>
  </si>
  <si>
    <t>K70000002402</t>
  </si>
  <si>
    <t>N5110A0001</t>
  </si>
  <si>
    <t>WILLIAMS KEEGAN J</t>
  </si>
  <si>
    <t>KIRK TRILBY P</t>
  </si>
  <si>
    <t>577 PINE RIDGE RD</t>
  </si>
  <si>
    <t>N500000090</t>
  </si>
  <si>
    <t>I4120B0012</t>
  </si>
  <si>
    <t>PHAM LOC C</t>
  </si>
  <si>
    <t>PHAM LAN L</t>
  </si>
  <si>
    <t>337 WILKESBORO ST</t>
  </si>
  <si>
    <t>D9090D0012</t>
  </si>
  <si>
    <t>MOWBRAY DIANE MARIE</t>
  </si>
  <si>
    <t>292 HOLLYBROOK DR</t>
  </si>
  <si>
    <t>27006-8404</t>
  </si>
  <si>
    <t>K500000067</t>
  </si>
  <si>
    <t>WALLER NELLIE IJAMES</t>
  </si>
  <si>
    <t>528 WILL BOONE RD</t>
  </si>
  <si>
    <t>E600000056</t>
  </si>
  <si>
    <t>SOWERS NATHAN</t>
  </si>
  <si>
    <t>SOWERS LINDSEY</t>
  </si>
  <si>
    <t>201 EVA LN</t>
  </si>
  <si>
    <t>27295-5899</t>
  </si>
  <si>
    <t>D8070D0024</t>
  </si>
  <si>
    <t>SULLIVAN GAIL S</t>
  </si>
  <si>
    <t>DEAL WILLIAM BRUCE</t>
  </si>
  <si>
    <t>185 FAIRWAY DR</t>
  </si>
  <si>
    <t>B300000077</t>
  </si>
  <si>
    <t>BOGER JACOB KYLE</t>
  </si>
  <si>
    <t>4228 NC HIGHWAY 801 N</t>
  </si>
  <si>
    <t>F800000029</t>
  </si>
  <si>
    <t>BARNETTE PEGGY M IRREVOC TRUST</t>
  </si>
  <si>
    <t>NEBO</t>
  </si>
  <si>
    <t>28761-0021</t>
  </si>
  <si>
    <t>N5010D0001</t>
  </si>
  <si>
    <t>ATHEY AMANDA M</t>
  </si>
  <si>
    <t>4051 CENTER PLACE DRIVE</t>
  </si>
  <si>
    <t>J600000025</t>
  </si>
  <si>
    <t>GAITHER COLEEN C HEIRS OF</t>
  </si>
  <si>
    <t>% LASHONDA GAITHER</t>
  </si>
  <si>
    <t>302 COUNTY LINE RD</t>
  </si>
  <si>
    <t>I5010A0003</t>
  </si>
  <si>
    <t>GAITHER JULIE A HEIRS</t>
  </si>
  <si>
    <t>H400000118</t>
  </si>
  <si>
    <t>EDWARDS MARTHA E TRUSTEE</t>
  </si>
  <si>
    <t>MARTHA E EDWARDS REV TRUST</t>
  </si>
  <si>
    <t>PO BOX 605</t>
  </si>
  <si>
    <t>H10000000406</t>
  </si>
  <si>
    <t>DOBY JANEEN D</t>
  </si>
  <si>
    <t>RALSTON C JASON</t>
  </si>
  <si>
    <t>391 GUILFORD RD</t>
  </si>
  <si>
    <t>28634-9153</t>
  </si>
  <si>
    <t>M60000001701</t>
  </si>
  <si>
    <t>145 PARADOX LN</t>
  </si>
  <si>
    <t>N60000004115</t>
  </si>
  <si>
    <t>N600000041</t>
  </si>
  <si>
    <t>N5010D0018</t>
  </si>
  <si>
    <t>CALHOUN BENJAMIN MATTHEW</t>
  </si>
  <si>
    <t>WILKINSON TARA ELIZABETH</t>
  </si>
  <si>
    <t>237 GROVE ST</t>
  </si>
  <si>
    <t>27028-6788</t>
  </si>
  <si>
    <t>N5080B000103</t>
  </si>
  <si>
    <t>N5010D0019</t>
  </si>
  <si>
    <t>J70000002103</t>
  </si>
  <si>
    <t>MYERS WILLIAM DAVID</t>
  </si>
  <si>
    <t>177 EVERHART RD</t>
  </si>
  <si>
    <t>N60000008204</t>
  </si>
  <si>
    <t>DYSON CASEY PETTICORD</t>
  </si>
  <si>
    <t>949 CHERRYHILL RD</t>
  </si>
  <si>
    <t>N60000008202</t>
  </si>
  <si>
    <t>I5160A0037</t>
  </si>
  <si>
    <t>E30000004701</t>
  </si>
  <si>
    <t>E40000001102</t>
  </si>
  <si>
    <t>D40000000201</t>
  </si>
  <si>
    <t>E400000024</t>
  </si>
  <si>
    <t>E30000005001</t>
  </si>
  <si>
    <t>I5160A0038</t>
  </si>
  <si>
    <t>I5160A003602</t>
  </si>
  <si>
    <t>C500000044</t>
  </si>
  <si>
    <t>JOHNSON TIFFANY LAUREN</t>
  </si>
  <si>
    <t>JOHNSON ADAM MICHAEL</t>
  </si>
  <si>
    <t>141 LEGION HUT RD</t>
  </si>
  <si>
    <t>G30000001004</t>
  </si>
  <si>
    <t>930 IJAMES CHURCH RD</t>
  </si>
  <si>
    <t>D8070A0065</t>
  </si>
  <si>
    <t>WHITNEY DONNA D</t>
  </si>
  <si>
    <t>128 GOLFVIEW DR</t>
  </si>
  <si>
    <t>D20000002907</t>
  </si>
  <si>
    <t>346 DUARD REAVIS RD</t>
  </si>
  <si>
    <t>E30000001601</t>
  </si>
  <si>
    <t>BECK RICKY LEE</t>
  </si>
  <si>
    <t>BECK NANCY POTTS</t>
  </si>
  <si>
    <t>166 EDWARD BECK ROAD</t>
  </si>
  <si>
    <t>G900000038</t>
  </si>
  <si>
    <t>KUBIC DANIEL W</t>
  </si>
  <si>
    <t>KUBIC SARAH E</t>
  </si>
  <si>
    <t>PO BOX 148</t>
  </si>
  <si>
    <t>27006-0148</t>
  </si>
  <si>
    <t>I100000014</t>
  </si>
  <si>
    <t>I100000025</t>
  </si>
  <si>
    <t>D50000005002</t>
  </si>
  <si>
    <t>BANKS JERRY WAYNE</t>
  </si>
  <si>
    <t>BANKS ELIZABETH M</t>
  </si>
  <si>
    <t>309 CEDAR CREEK ROAD</t>
  </si>
  <si>
    <t>27028-6133</t>
  </si>
  <si>
    <t>C7140C0017</t>
  </si>
  <si>
    <t>DAVIS LUTHER R JR</t>
  </si>
  <si>
    <t>DAVIS DONNA H</t>
  </si>
  <si>
    <t>123 FOREST ROAD</t>
  </si>
  <si>
    <t>D50000004902</t>
  </si>
  <si>
    <t>N5010C0032</t>
  </si>
  <si>
    <t>BARNES LONNIE RAY JR</t>
  </si>
  <si>
    <t>PO BOX 66</t>
  </si>
  <si>
    <t>N500000085</t>
  </si>
  <si>
    <t>BRADY MASON</t>
  </si>
  <si>
    <t>BRADY MAKAYLA</t>
  </si>
  <si>
    <t>521 PINE RIDGE RD</t>
  </si>
  <si>
    <t>H80000001901</t>
  </si>
  <si>
    <t>BRANCH CARMEN M</t>
  </si>
  <si>
    <t>152 SAM COPE ROAD</t>
  </si>
  <si>
    <t>H800000064</t>
  </si>
  <si>
    <t>G8120B000304</t>
  </si>
  <si>
    <t>BREIER JOHN</t>
  </si>
  <si>
    <t>BEAL KRYSTLE</t>
  </si>
  <si>
    <t>1807 PEOPLES CREEK RD</t>
  </si>
  <si>
    <t>27006-7454</t>
  </si>
  <si>
    <t>I5050D0013</t>
  </si>
  <si>
    <t>REBOLLEDO GLADYS FLORES</t>
  </si>
  <si>
    <t>539 MOUNTVIEW DR</t>
  </si>
  <si>
    <t>E80000001701</t>
  </si>
  <si>
    <t>MANOR WAYNE REV TRUST</t>
  </si>
  <si>
    <t>187 POND LN</t>
  </si>
  <si>
    <t>M40000001006</t>
  </si>
  <si>
    <t>SPILLMAN CLARENCE L ETAL</t>
  </si>
  <si>
    <t>194 EDGEWOOD CIR</t>
  </si>
  <si>
    <t>M40000001007</t>
  </si>
  <si>
    <t>M40000001003</t>
  </si>
  <si>
    <t>M40000001004</t>
  </si>
  <si>
    <t>M40000001005</t>
  </si>
  <si>
    <t>M40000001009</t>
  </si>
  <si>
    <t>M40000001010</t>
  </si>
  <si>
    <t>M40000001011</t>
  </si>
  <si>
    <t>L3010A0017</t>
  </si>
  <si>
    <t>HAMMERS HARLEY</t>
  </si>
  <si>
    <t>HAMMERS SUSAN</t>
  </si>
  <si>
    <t>120 GLENWOOD RD</t>
  </si>
  <si>
    <t>H60000000206</t>
  </si>
  <si>
    <t>CASSTEVENS EVA P</t>
  </si>
  <si>
    <t>184 PHILLIPS LANE</t>
  </si>
  <si>
    <t>D8100D000102</t>
  </si>
  <si>
    <t>DYSON BRIAN CLAY</t>
  </si>
  <si>
    <t>DYSON DANA B</t>
  </si>
  <si>
    <t>235 SPYGLASS DRIVE</t>
  </si>
  <si>
    <t>D8100D0009</t>
  </si>
  <si>
    <t>E300000108</t>
  </si>
  <si>
    <t>D40000002101</t>
  </si>
  <si>
    <t>ELLIS ROBERT C</t>
  </si>
  <si>
    <t>ELLIS KATHY L</t>
  </si>
  <si>
    <t>2108 CANA ROAD</t>
  </si>
  <si>
    <t>J6090A0015</t>
  </si>
  <si>
    <t>CLEMENT WILLIE GRAY</t>
  </si>
  <si>
    <t>CLEMENT BETTY RUTH</t>
  </si>
  <si>
    <t>134 ERIC ROAD</t>
  </si>
  <si>
    <t>27028-5208</t>
  </si>
  <si>
    <t>J6090A0014</t>
  </si>
  <si>
    <t>F300000071</t>
  </si>
  <si>
    <t>G8140A0024</t>
  </si>
  <si>
    <t>ESPARZA LUZ MARY</t>
  </si>
  <si>
    <t>112 WINDCHASE CT</t>
  </si>
  <si>
    <t>G700000103</t>
  </si>
  <si>
    <t>CORNATZER DEREK A</t>
  </si>
  <si>
    <t>1700 FORK BIXBY RD</t>
  </si>
  <si>
    <t>M500000028  A</t>
  </si>
  <si>
    <t>CORRELL TERRY G</t>
  </si>
  <si>
    <t>CORRELL LOUISE S</t>
  </si>
  <si>
    <t>2727 US HIGHWAY 601 SOUTH</t>
  </si>
  <si>
    <t>27028-6911</t>
  </si>
  <si>
    <t>G4080A0011</t>
  </si>
  <si>
    <t>BOGER MATTHEW DEAN</t>
  </si>
  <si>
    <t>267 CANA ROAD</t>
  </si>
  <si>
    <t>G500000044</t>
  </si>
  <si>
    <t>COTHRAN JASON WAYNE</t>
  </si>
  <si>
    <t>636 WOODWARD ROAD</t>
  </si>
  <si>
    <t>M400000049</t>
  </si>
  <si>
    <t>CRANFILL MARY S</t>
  </si>
  <si>
    <t>862 GLADSTONE ROAD</t>
  </si>
  <si>
    <t>27028-0144</t>
  </si>
  <si>
    <t>H60000007103</t>
  </si>
  <si>
    <t>J600000036  A</t>
  </si>
  <si>
    <t>DEWALT LAMONT DWAYNE</t>
  </si>
  <si>
    <t>2202 APACHE ST APT C</t>
  </si>
  <si>
    <t>M40000001008</t>
  </si>
  <si>
    <t>M40000001013</t>
  </si>
  <si>
    <t>M40000001014</t>
  </si>
  <si>
    <t>M40000001012</t>
  </si>
  <si>
    <t>J30000001704</t>
  </si>
  <si>
    <t>DEAN LINDA G</t>
  </si>
  <si>
    <t>940 GREENHILL ROAD</t>
  </si>
  <si>
    <t>J40000002201</t>
  </si>
  <si>
    <t>HURST DIANE</t>
  </si>
  <si>
    <t>1326 COUNTY HOME RD</t>
  </si>
  <si>
    <t>J30000001703</t>
  </si>
  <si>
    <t>J30000001701</t>
  </si>
  <si>
    <t>D3120A0006</t>
  </si>
  <si>
    <t>HAYES LARRY WAYNE</t>
  </si>
  <si>
    <t>117 LEANNE LANE</t>
  </si>
  <si>
    <t>H100000001</t>
  </si>
  <si>
    <t>GAR-MAC DAIRY INC</t>
  </si>
  <si>
    <t>3848 CROUSE DAIRY ROAD</t>
  </si>
  <si>
    <t>CROUSE</t>
  </si>
  <si>
    <t>M5060A0006</t>
  </si>
  <si>
    <t>HODGSON VANDER KETH</t>
  </si>
  <si>
    <t>7325 NC HIGHWAY 801 S</t>
  </si>
  <si>
    <t>D8100C0022</t>
  </si>
  <si>
    <t>162 SPYGLASS DR</t>
  </si>
  <si>
    <t>E8100B0014</t>
  </si>
  <si>
    <t>HEGE CURT SR</t>
  </si>
  <si>
    <t>4249 ALLISTAIR RD</t>
  </si>
  <si>
    <t>27104-1203</t>
  </si>
  <si>
    <t>H5170A0041</t>
  </si>
  <si>
    <t>BRALLEY TERRY LEE</t>
  </si>
  <si>
    <t>BRALLEY CHRISTINE W</t>
  </si>
  <si>
    <t>217 CANYON RD</t>
  </si>
  <si>
    <t>C60000001002</t>
  </si>
  <si>
    <t>GLASS CRAIG ALAN TRUSTEE</t>
  </si>
  <si>
    <t>THE CRAIG ALAN GLASS 2019 REV</t>
  </si>
  <si>
    <t>PO BOX 6545</t>
  </si>
  <si>
    <t>J6100A0016</t>
  </si>
  <si>
    <t>ALATALO ANNETTE P</t>
  </si>
  <si>
    <t>ALATALO FRANS A</t>
  </si>
  <si>
    <t>165 N LAKE LOUISE DR</t>
  </si>
  <si>
    <t>C60000001003</t>
  </si>
  <si>
    <t>C600000010</t>
  </si>
  <si>
    <t>M5100A0013</t>
  </si>
  <si>
    <t>GREER JAMES S</t>
  </si>
  <si>
    <t>GREER C DARLENE</t>
  </si>
  <si>
    <t>PO BOX 1021</t>
  </si>
  <si>
    <t>27014-1021</t>
  </si>
  <si>
    <t>F60000005901</t>
  </si>
  <si>
    <t>MCCUNE KYLE ALEXANDER</t>
  </si>
  <si>
    <t>MANNING KATELYN RENEE</t>
  </si>
  <si>
    <t>2657 NC HIGHWAY 801 N</t>
  </si>
  <si>
    <t>M5090B002101</t>
  </si>
  <si>
    <t>M5090B0022</t>
  </si>
  <si>
    <t>D8100B0014</t>
  </si>
  <si>
    <t>GROSE WILLIAM R JR REVOC TRUST</t>
  </si>
  <si>
    <t>GROSE WILLIAM R JR TRUSTEE</t>
  </si>
  <si>
    <t>600 RIVERBEND DRIVE</t>
  </si>
  <si>
    <t>E9150A0060</t>
  </si>
  <si>
    <t>FOSTER GAYLE MARTIN</t>
  </si>
  <si>
    <t>147 TALWOOD DRIVE</t>
  </si>
  <si>
    <t>G40000003402</t>
  </si>
  <si>
    <t>ASHBURN JOSEPH SCOTT</t>
  </si>
  <si>
    <t>1721 BRANDON HILLS RD</t>
  </si>
  <si>
    <t>27055-6127</t>
  </si>
  <si>
    <t>G40000003419</t>
  </si>
  <si>
    <t>D9010A0038</t>
  </si>
  <si>
    <t>MARZIANO MAURA L</t>
  </si>
  <si>
    <t>178 PEMBROOKE RIDGE COURT</t>
  </si>
  <si>
    <t>D500000050</t>
  </si>
  <si>
    <t>INFINGER BRANDY PRESSLEY</t>
  </si>
  <si>
    <t>333 CEDAR CREEK RD</t>
  </si>
  <si>
    <t>I70000005102</t>
  </si>
  <si>
    <t>D500000047</t>
  </si>
  <si>
    <t>D50000005004</t>
  </si>
  <si>
    <t>G100000030</t>
  </si>
  <si>
    <t>N60000004706</t>
  </si>
  <si>
    <t>LAMBERT ISSAC A</t>
  </si>
  <si>
    <t>LAMBERT RUTHIE M</t>
  </si>
  <si>
    <t>214 BOXWOOD CHURCH ROAD</t>
  </si>
  <si>
    <t>C500000061</t>
  </si>
  <si>
    <t>JARVIS HELEN D</t>
  </si>
  <si>
    <t>2236 FARMINGTON ROAD</t>
  </si>
  <si>
    <t>I70000008210</t>
  </si>
  <si>
    <t>JENKINS RONALD K</t>
  </si>
  <si>
    <t>JENKINS TERESA M</t>
  </si>
  <si>
    <t>864 FORK BIXBY ROAD</t>
  </si>
  <si>
    <t>I70000008205</t>
  </si>
  <si>
    <t>M50000003502</t>
  </si>
  <si>
    <t>JOHNSON CRAIG S</t>
  </si>
  <si>
    <t>JOHNSON ALICIA P</t>
  </si>
  <si>
    <t>J600000009</t>
  </si>
  <si>
    <t>DANIEL KERRY</t>
  </si>
  <si>
    <t>271 CALL RD</t>
  </si>
  <si>
    <t>27028-7111</t>
  </si>
  <si>
    <t>O600000018</t>
  </si>
  <si>
    <t>JOHNSON RHODA G</t>
  </si>
  <si>
    <t>GAITHER LARRY EUGENE</t>
  </si>
  <si>
    <t>1732 CAMDEN RD</t>
  </si>
  <si>
    <t>27103-4510</t>
  </si>
  <si>
    <t>C8030A000403</t>
  </si>
  <si>
    <t>G70000013404</t>
  </si>
  <si>
    <t>MADDOX PHILLIP MALCOM</t>
  </si>
  <si>
    <t>MADDOX JILL PERUSHEK</t>
  </si>
  <si>
    <t>117 CLIFFORD FARM WAY</t>
  </si>
  <si>
    <t>27006-7372</t>
  </si>
  <si>
    <t>G70000013403</t>
  </si>
  <si>
    <t>I5030A0036</t>
  </si>
  <si>
    <t>BENITEZ-ROMERO NICOLAS</t>
  </si>
  <si>
    <t>LOVOS JHOANA ESTEFANIA RIVERA</t>
  </si>
  <si>
    <t>120 E CARMEL COVE DR</t>
  </si>
  <si>
    <t>I700000051</t>
  </si>
  <si>
    <t>F7060A0016</t>
  </si>
  <si>
    <t>SWAIM MARK WESLEY ETAL</t>
  </si>
  <si>
    <t>NORMAN SUSAN MARGARET</t>
  </si>
  <si>
    <t>144 CANTON RD</t>
  </si>
  <si>
    <t>H80000003704</t>
  </si>
  <si>
    <t>HALL DANIEL A</t>
  </si>
  <si>
    <t>HALL MISTY T</t>
  </si>
  <si>
    <t>110 ANNIE LANE</t>
  </si>
  <si>
    <t>27006-7282</t>
  </si>
  <si>
    <t>J700000102</t>
  </si>
  <si>
    <t>HANDLEY MICHAEL ANDREW</t>
  </si>
  <si>
    <t>HANDLEY NICOLE LENDELL</t>
  </si>
  <si>
    <t>4314 NC HIGHWAY 801 S</t>
  </si>
  <si>
    <t>K80000001108</t>
  </si>
  <si>
    <t>M5090B0003</t>
  </si>
  <si>
    <t>FOWLER ANSLO</t>
  </si>
  <si>
    <t>PO BOX 214</t>
  </si>
  <si>
    <t>D7030B0014</t>
  </si>
  <si>
    <t>MOORE JEAN LEE</t>
  </si>
  <si>
    <t>107 BRENTWOOD DR</t>
  </si>
  <si>
    <t>C30000011014</t>
  </si>
  <si>
    <t>HUTCHENS NELSON WAYNE</t>
  </si>
  <si>
    <t>HUTCHENS MARGARET N</t>
  </si>
  <si>
    <t>358 JACK BOOE ROAD</t>
  </si>
  <si>
    <t>27028-4833</t>
  </si>
  <si>
    <t>C30000011011</t>
  </si>
  <si>
    <t>B500000054</t>
  </si>
  <si>
    <t>IBARRA ELEAZAR BUENO</t>
  </si>
  <si>
    <t>F80000001101</t>
  </si>
  <si>
    <t>MOCK THOMAS E</t>
  </si>
  <si>
    <t>MOCK CAROL A</t>
  </si>
  <si>
    <t>481 BEAUCHAMP ROAD</t>
  </si>
  <si>
    <t>J300000037</t>
  </si>
  <si>
    <t>MOORE DAVID KEITH</t>
  </si>
  <si>
    <t>MOORE SUSAN HOBBS</t>
  </si>
  <si>
    <t>507 GREENHILL RD</t>
  </si>
  <si>
    <t>27028-4276</t>
  </si>
  <si>
    <t>J30000003801</t>
  </si>
  <si>
    <t>J30000003803</t>
  </si>
  <si>
    <t>J30000003402</t>
  </si>
  <si>
    <t>H50000001201</t>
  </si>
  <si>
    <t>MORRIS YOLANDA M</t>
  </si>
  <si>
    <t>MORRIS DAVID M</t>
  </si>
  <si>
    <t>325 HARVEST WAY</t>
  </si>
  <si>
    <t>I70000005602</t>
  </si>
  <si>
    <t>JONES RONALD GRAY</t>
  </si>
  <si>
    <t>B30000003501</t>
  </si>
  <si>
    <t>MCEWEN JESSE</t>
  </si>
  <si>
    <t>I4130H0039</t>
  </si>
  <si>
    <t>POWERS THOMAS D</t>
  </si>
  <si>
    <t>POWERS LAURA J</t>
  </si>
  <si>
    <t>902 MR HENRY RD</t>
  </si>
  <si>
    <t>B70000004902</t>
  </si>
  <si>
    <t>MCKAY NANCY O'DONNELL</t>
  </si>
  <si>
    <t>MCKAY JAMES A</t>
  </si>
  <si>
    <t>174 MANU FORTI WAY</t>
  </si>
  <si>
    <t>27006-8799</t>
  </si>
  <si>
    <t>F80000001104</t>
  </si>
  <si>
    <t>D50000004301</t>
  </si>
  <si>
    <t>HOLSENBACK RICKY</t>
  </si>
  <si>
    <t>369 CEDAR CREEK RD</t>
  </si>
  <si>
    <t>D30000003602</t>
  </si>
  <si>
    <t>HOWARD TODD</t>
  </si>
  <si>
    <t>HOWARD KIMBERLY</t>
  </si>
  <si>
    <t>130 MACY LANGSTON LANE</t>
  </si>
  <si>
    <t>J5030A0018</t>
  </si>
  <si>
    <t>248 E LAKE DR</t>
  </si>
  <si>
    <t>G9090B0064</t>
  </si>
  <si>
    <t>LEE KEVIN D</t>
  </si>
  <si>
    <t>LEE HEATHER A</t>
  </si>
  <si>
    <t>230 OLD MARCH ROAD</t>
  </si>
  <si>
    <t>L60000000202</t>
  </si>
  <si>
    <t>LIVENGOOD GARY CHRISTOPHER JR</t>
  </si>
  <si>
    <t>162 COMBS WAY</t>
  </si>
  <si>
    <t>K50000006602</t>
  </si>
  <si>
    <t>L3080A0006</t>
  </si>
  <si>
    <t>H80000004317</t>
  </si>
  <si>
    <t>OBRIEN NICHOLAS SHANE</t>
  </si>
  <si>
    <t>1020 BAILEYS CHAPEL RD</t>
  </si>
  <si>
    <t>H60000000210</t>
  </si>
  <si>
    <t>PHILLIPS JUSTIN B</t>
  </si>
  <si>
    <t>PHILLIPS DONNA B</t>
  </si>
  <si>
    <t>1446 MILLING ROAD</t>
  </si>
  <si>
    <t>H60000000203</t>
  </si>
  <si>
    <t>PHILLIPS JUSTIN BURDETTE</t>
  </si>
  <si>
    <t>G30000000445</t>
  </si>
  <si>
    <t>LEE CHIA CHIEN</t>
  </si>
  <si>
    <t>240 CULLODEN DRIVE</t>
  </si>
  <si>
    <t>H60000007108</t>
  </si>
  <si>
    <t>ALVARADO DELIA</t>
  </si>
  <si>
    <t>261 ALVARADO LANE</t>
  </si>
  <si>
    <t>H60000007109</t>
  </si>
  <si>
    <t>J800000009  A</t>
  </si>
  <si>
    <t>BAILEY TIMOTHY BURKE</t>
  </si>
  <si>
    <t>234 FULTON ROAD</t>
  </si>
  <si>
    <t>M60000003301</t>
  </si>
  <si>
    <t>BECK JOE LINN</t>
  </si>
  <si>
    <t>BECK LEANNE W</t>
  </si>
  <si>
    <t>145 HOUSTON ROAD</t>
  </si>
  <si>
    <t>M60000003204</t>
  </si>
  <si>
    <t>E70000009002</t>
  </si>
  <si>
    <t>B7140A0015</t>
  </si>
  <si>
    <t>FRENCH MICHAEL A</t>
  </si>
  <si>
    <t>176 VALLEY OAKS DR</t>
  </si>
  <si>
    <t>K500000045</t>
  </si>
  <si>
    <t>GOMEZ MARI CARMEN SANDOVAL</t>
  </si>
  <si>
    <t>579 DEADMON ROAD</t>
  </si>
  <si>
    <t>J600000019</t>
  </si>
  <si>
    <t>367 CORNATZER ROAD</t>
  </si>
  <si>
    <t>I800000059</t>
  </si>
  <si>
    <t>E700000066</t>
  </si>
  <si>
    <t>HEAGGANS SUSAN D</t>
  </si>
  <si>
    <t>HEAGGANS RICHARD M</t>
  </si>
  <si>
    <t>245 JUNEY BEAUCHAMP ROAD</t>
  </si>
  <si>
    <t>27006-7828</t>
  </si>
  <si>
    <t>J70000005302</t>
  </si>
  <si>
    <t>SANDERS JEFFREY THOMAS</t>
  </si>
  <si>
    <t>SANDERS MARIA JAN</t>
  </si>
  <si>
    <t>253 MERRELLS LAKE ROAD</t>
  </si>
  <si>
    <t>I5120B0011</t>
  </si>
  <si>
    <t>HERNANDEZ CANDIDA</t>
  </si>
  <si>
    <t>314 WINDWARD CIRCLE</t>
  </si>
  <si>
    <t>D500000044</t>
  </si>
  <si>
    <t>C300000016</t>
  </si>
  <si>
    <t>PEEBLES MAE ANN CAMPBELL ETAL</t>
  </si>
  <si>
    <t>H8070A0001</t>
  </si>
  <si>
    <t>SMITH ALLEN T</t>
  </si>
  <si>
    <t>FARBER ROMI M</t>
  </si>
  <si>
    <t>3935 WHITE HAWK LANE</t>
  </si>
  <si>
    <t>H60000000211</t>
  </si>
  <si>
    <t>I600000022</t>
  </si>
  <si>
    <t>POTTS ALVIN DOUGLAS</t>
  </si>
  <si>
    <t>POTTS SHIRLEY M</t>
  </si>
  <si>
    <t>207 WILLIAMS ROAD</t>
  </si>
  <si>
    <t>D100000016</t>
  </si>
  <si>
    <t>WALKER MARK H</t>
  </si>
  <si>
    <t>WALKER PATRICIA W</t>
  </si>
  <si>
    <t>1428 BEAR CREEK CHURCH ROAD</t>
  </si>
  <si>
    <t>H60000009001</t>
  </si>
  <si>
    <t>C8030A000993</t>
  </si>
  <si>
    <t>PRZYBYLOWICZ KATE LIN</t>
  </si>
  <si>
    <t>183 PINEWOOD LN</t>
  </si>
  <si>
    <t>F800000134</t>
  </si>
  <si>
    <t>GALLIMORE MARK ROBERT</t>
  </si>
  <si>
    <t>F80000013403</t>
  </si>
  <si>
    <t>F80000013404</t>
  </si>
  <si>
    <t>G8120A0003</t>
  </si>
  <si>
    <t>G600000011</t>
  </si>
  <si>
    <t>JORDAN HELEN I TRUSTEE</t>
  </si>
  <si>
    <t>H &amp; R JORDAN FAMILY TRUST - ST</t>
  </si>
  <si>
    <t>1026 8TH ST</t>
  </si>
  <si>
    <t>HERMOSA BEACH</t>
  </si>
  <si>
    <t>90254-0000</t>
  </si>
  <si>
    <t>G600000007</t>
  </si>
  <si>
    <t>D70000002405</t>
  </si>
  <si>
    <t>RIDDLE DONNA MARIE</t>
  </si>
  <si>
    <t>594 GORDON DR</t>
  </si>
  <si>
    <t>B700000011  A</t>
  </si>
  <si>
    <t>RIDDLE MARY GODFREY</t>
  </si>
  <si>
    <t>% JERRY WAYNE RIDDLE JR</t>
  </si>
  <si>
    <t>1400 YADKIN VALLEY RD</t>
  </si>
  <si>
    <t>27006-8713</t>
  </si>
  <si>
    <t>K100000035</t>
  </si>
  <si>
    <t>STEELE JONES N JR</t>
  </si>
  <si>
    <t>STEELE TRACI W</t>
  </si>
  <si>
    <t>6250 CHENAULT ROAD</t>
  </si>
  <si>
    <t>27013-8866</t>
  </si>
  <si>
    <t>G300000081</t>
  </si>
  <si>
    <t>KNIGHT BILL RAYMOND JR</t>
  </si>
  <si>
    <t>% BILLY RAYMOND KNIGHT JR</t>
  </si>
  <si>
    <t>721 GARDEN VALLEY ROAD</t>
  </si>
  <si>
    <t>E900000026</t>
  </si>
  <si>
    <t>RUSHING TATSUO</t>
  </si>
  <si>
    <t>RUSHING GERALDINE</t>
  </si>
  <si>
    <t>112 OAKMONT COURT</t>
  </si>
  <si>
    <t>G60000000901</t>
  </si>
  <si>
    <t>SAIN DONALD RAY</t>
  </si>
  <si>
    <t>425 CORNATZER RD</t>
  </si>
  <si>
    <t>J70000006101</t>
  </si>
  <si>
    <t>J70000006103</t>
  </si>
  <si>
    <t>L500000022</t>
  </si>
  <si>
    <t>WAGNER RAY LAMAR</t>
  </si>
  <si>
    <t>156 RAVEN RD</t>
  </si>
  <si>
    <t>L50000001804</t>
  </si>
  <si>
    <t>K5150A000507</t>
  </si>
  <si>
    <t>WARD CHARLES KENT</t>
  </si>
  <si>
    <t>186 HINKLE DRIVE</t>
  </si>
  <si>
    <t>G500000025</t>
  </si>
  <si>
    <t>WHITAKER THOMAS DAVID JR</t>
  </si>
  <si>
    <t>2101 US HIGHWAY 158</t>
  </si>
  <si>
    <t>M50000000101</t>
  </si>
  <si>
    <t>ZAMORA UVALDO VALENTE</t>
  </si>
  <si>
    <t>MARES FELIPA DE JESUS ROMERO</t>
  </si>
  <si>
    <t>296 legion hut rd</t>
  </si>
  <si>
    <t>27028-5207</t>
  </si>
  <si>
    <t>H60000002406</t>
  </si>
  <si>
    <t>SNOW MANDA MICHELLE</t>
  </si>
  <si>
    <t>1966 MILLING ROAD</t>
  </si>
  <si>
    <t>D10000001601</t>
  </si>
  <si>
    <t>J500000007</t>
  </si>
  <si>
    <t>SPARKS WILLIAM HENRY</t>
  </si>
  <si>
    <t>28138-0000</t>
  </si>
  <si>
    <t>F800000127</t>
  </si>
  <si>
    <t>I800000056</t>
  </si>
  <si>
    <t>STANLEY ABBIE B</t>
  </si>
  <si>
    <t>194 KEITH LANE</t>
  </si>
  <si>
    <t>H7030A0024</t>
  </si>
  <si>
    <t>STEELE CHASE BRAXTON</t>
  </si>
  <si>
    <t>STEELE HAILEE DAWN</t>
  </si>
  <si>
    <t>137 AUSTINE LN</t>
  </si>
  <si>
    <t>H7030A0023</t>
  </si>
  <si>
    <t>K10000003501</t>
  </si>
  <si>
    <t>J20000002501</t>
  </si>
  <si>
    <t>SANTIS TERESA S</t>
  </si>
  <si>
    <t>SANTIS JOHN H</t>
  </si>
  <si>
    <t>182 ST MATTHEWS ROAD</t>
  </si>
  <si>
    <t>27028-8418</t>
  </si>
  <si>
    <t>J200000067</t>
  </si>
  <si>
    <t>L50000001805</t>
  </si>
  <si>
    <t>M400000001</t>
  </si>
  <si>
    <t>STOCKTON DARRYL T</t>
  </si>
  <si>
    <t>27014-0297</t>
  </si>
  <si>
    <t>I5160C0003</t>
  </si>
  <si>
    <t>MPO PROPERTIES LLC</t>
  </si>
  <si>
    <t>5328 MOSS CREEK LN</t>
  </si>
  <si>
    <t>27012-8240</t>
  </si>
  <si>
    <t>G30000000443</t>
  </si>
  <si>
    <t>MCMILLAN DONALD SIMON</t>
  </si>
  <si>
    <t>MCMILLAN LU YANG</t>
  </si>
  <si>
    <t>232 CULLODEN DRIVE</t>
  </si>
  <si>
    <t>H6080A0008</t>
  </si>
  <si>
    <t>MATTHEWS TERRY</t>
  </si>
  <si>
    <t>766 SAIN RD</t>
  </si>
  <si>
    <t>I5160B0026</t>
  </si>
  <si>
    <t>DULIN JOHN WESLEY</t>
  </si>
  <si>
    <t>112 FOSTER ST</t>
  </si>
  <si>
    <t>27028-2405</t>
  </si>
  <si>
    <t>H700000023</t>
  </si>
  <si>
    <t>SHREWSBURY GLENVER W</t>
  </si>
  <si>
    <t>SHREWSBURY CYNTHIA A</t>
  </si>
  <si>
    <t>152 STATION LANE</t>
  </si>
  <si>
    <t>D50000006903</t>
  </si>
  <si>
    <t>RIGGINS BRAXTON L</t>
  </si>
  <si>
    <t>RIGGINS IVEY C</t>
  </si>
  <si>
    <t>122 HUBERT RD</t>
  </si>
  <si>
    <t>J4050B0010</t>
  </si>
  <si>
    <t>CRUZ LUZ N LLANES</t>
  </si>
  <si>
    <t>690 S SALISBURY ST</t>
  </si>
  <si>
    <t>D9010A0034</t>
  </si>
  <si>
    <t>SCHATZMAN SUSAN L</t>
  </si>
  <si>
    <t>199 PEMBROOKE RIDGE CT</t>
  </si>
  <si>
    <t>E600000063</t>
  </si>
  <si>
    <t>SIMMONS WILLIE B</t>
  </si>
  <si>
    <t>4770 NEEDMORE RD</t>
  </si>
  <si>
    <t>27013-8009</t>
  </si>
  <si>
    <t>G30000000442</t>
  </si>
  <si>
    <t>SYHABANDITH MANITHONG SUSAN</t>
  </si>
  <si>
    <t>SYHABANDITH DAVID</t>
  </si>
  <si>
    <t>230 CULLODEN DRIVE</t>
  </si>
  <si>
    <t>F400000018</t>
  </si>
  <si>
    <t>HANELINE AMANDA P</t>
  </si>
  <si>
    <t>HANELINE DANA G</t>
  </si>
  <si>
    <t>893 CANA RD</t>
  </si>
  <si>
    <t>D7030A0005</t>
  </si>
  <si>
    <t>CLONTZ WILLIAM B JR</t>
  </si>
  <si>
    <t>CLONTZ DARLA H</t>
  </si>
  <si>
    <t>130 LESLIE COURT</t>
  </si>
  <si>
    <t>B40000001804</t>
  </si>
  <si>
    <t>DULL JONATHAN</t>
  </si>
  <si>
    <t>H8070A0002</t>
  </si>
  <si>
    <t>B30000004702</t>
  </si>
  <si>
    <t>WOOD BOBBY LYNN</t>
  </si>
  <si>
    <t>WOOD LEISA M</t>
  </si>
  <si>
    <t>162 MORTGAGE HILL WAY</t>
  </si>
  <si>
    <t>D9090B0008</t>
  </si>
  <si>
    <t>SHERRILL WILMA M REV TRUST</t>
  </si>
  <si>
    <t>130 OLEANDER DR</t>
  </si>
  <si>
    <t>K100000032</t>
  </si>
  <si>
    <t>UNKNOWN</t>
  </si>
  <si>
    <t>B30000004708</t>
  </si>
  <si>
    <t>M60000003501</t>
  </si>
  <si>
    <t>YOUNTS JEREMIAH B</t>
  </si>
  <si>
    <t>176 SPENCERS LANE</t>
  </si>
  <si>
    <t>N50000004401</t>
  </si>
  <si>
    <t>CAMP MANNA MINISTRIES INC</t>
  </si>
  <si>
    <t>153 GIBSON WAY</t>
  </si>
  <si>
    <t>27028-6779</t>
  </si>
  <si>
    <t>L40000002802</t>
  </si>
  <si>
    <t>JEFFRIES SARAH ANN</t>
  </si>
  <si>
    <t>JEFFRIES CHERIE ELIZABETH</t>
  </si>
  <si>
    <t>434 GLADSTONE RD</t>
  </si>
  <si>
    <t>G7070A0008</t>
  </si>
  <si>
    <t>HELMS MICHAEL T JR</t>
  </si>
  <si>
    <t>MURPHY MACKENZIE</t>
  </si>
  <si>
    <t>2508 WOODBINE RD</t>
  </si>
  <si>
    <t>27104-2120</t>
  </si>
  <si>
    <t>F3130A0027</t>
  </si>
  <si>
    <t>LONGLEAF INVESTMENT PROP LLC</t>
  </si>
  <si>
    <t>27028-1568</t>
  </si>
  <si>
    <t>C8010A0039</t>
  </si>
  <si>
    <t>BEAUCHAMP MIRIAM BREWER</t>
  </si>
  <si>
    <t>218 TOWN PARK DR</t>
  </si>
  <si>
    <t>G4080A0005</t>
  </si>
  <si>
    <t>2727 US HWY 601 S</t>
  </si>
  <si>
    <t>L30000000601</t>
  </si>
  <si>
    <t>DANIELS CHARLES</t>
  </si>
  <si>
    <t>DANIELS MICHELE</t>
  </si>
  <si>
    <t>683 MR HENRY RD</t>
  </si>
  <si>
    <t>L300000006</t>
  </si>
  <si>
    <t>B100000019</t>
  </si>
  <si>
    <t>SWAIM TIMMY ALLEN</t>
  </si>
  <si>
    <t>328 OLLIE HARKEY ROAD</t>
  </si>
  <si>
    <t>D700000211</t>
  </si>
  <si>
    <t>HAYES NANCY MYERS REV TRUST</t>
  </si>
  <si>
    <t>4670 US HWY 158</t>
  </si>
  <si>
    <t>27006-0055</t>
  </si>
  <si>
    <t>K100000013</t>
  </si>
  <si>
    <t>HEARN DORA WILSON</t>
  </si>
  <si>
    <t>WILSON MARY S</t>
  </si>
  <si>
    <t>1213 REID ST</t>
  </si>
  <si>
    <t>28677-3858</t>
  </si>
  <si>
    <t>K10000001302</t>
  </si>
  <si>
    <t>M5060B0018</t>
  </si>
  <si>
    <t>CIANCIOSI NICHOLAS P</t>
  </si>
  <si>
    <t>236 HOBSON DR</t>
  </si>
  <si>
    <t>K10000001301</t>
  </si>
  <si>
    <t>WILSON TERRY</t>
  </si>
  <si>
    <t>WILSON TERESA</t>
  </si>
  <si>
    <t>399 VILLAGE ROAD</t>
  </si>
  <si>
    <t>I70000004303</t>
  </si>
  <si>
    <t>TAYLOR BRYN TURNER</t>
  </si>
  <si>
    <t>TAYLOR NICHOLAUS DARRELL</t>
  </si>
  <si>
    <t>1040 WILLIAMS RD</t>
  </si>
  <si>
    <t>C70000008909</t>
  </si>
  <si>
    <t>MAZZA MICHAEL PETER</t>
  </si>
  <si>
    <t>MAZZA EVA MONIQUE</t>
  </si>
  <si>
    <t>157 LABRADOR LN</t>
  </si>
  <si>
    <t>27006-9416</t>
  </si>
  <si>
    <t>C70000008916</t>
  </si>
  <si>
    <t>C70000008904</t>
  </si>
  <si>
    <t>I70000004316</t>
  </si>
  <si>
    <t>K5090A0005</t>
  </si>
  <si>
    <t>ANDREWS SAM D HEIRS</t>
  </si>
  <si>
    <t>ATTN: BOB BRENNAN</t>
  </si>
  <si>
    <t>11245 FORT KING RD</t>
  </si>
  <si>
    <t>DADE CITY</t>
  </si>
  <si>
    <t>L50000001802</t>
  </si>
  <si>
    <t>OWENS CYNTHIA F</t>
  </si>
  <si>
    <t>1141 DANIEL ROAD</t>
  </si>
  <si>
    <t>K50000008307</t>
  </si>
  <si>
    <t>PARADA JOSUE JESUS</t>
  </si>
  <si>
    <t>FLORES LEYDIN PARADA</t>
  </si>
  <si>
    <t>131 DRAUGHN LANE</t>
  </si>
  <si>
    <t>K300000019</t>
  </si>
  <si>
    <t>POTTS MILES STEVEN</t>
  </si>
  <si>
    <t>AUSTIN JANICE RENEE</t>
  </si>
  <si>
    <t>541 DAVIE ACADEMY ROAD</t>
  </si>
  <si>
    <t>H300000021</t>
  </si>
  <si>
    <t>ROBBINS JOHNNY EDWARDS</t>
  </si>
  <si>
    <t>ROBBINS JUDY A</t>
  </si>
  <si>
    <t>2211 US HIGHWAY 64 WEST</t>
  </si>
  <si>
    <t>H70000001303</t>
  </si>
  <si>
    <t>ROBERTSON CORY</t>
  </si>
  <si>
    <t>317 RALPH ROAD</t>
  </si>
  <si>
    <t>H70000001201</t>
  </si>
  <si>
    <t>H4130A0105</t>
  </si>
  <si>
    <t>SINKELDAM CORY</t>
  </si>
  <si>
    <t>STILLER PATRICIA LYNN TRUSTEE</t>
  </si>
  <si>
    <t>269 SUMMIT DR</t>
  </si>
  <si>
    <t>J4120A0018</t>
  </si>
  <si>
    <t>132 SUNSET CIR</t>
  </si>
  <si>
    <t>G80000000104</t>
  </si>
  <si>
    <t>THOMPSON ROBERT BRUCE</t>
  </si>
  <si>
    <t>THOMPSON MARCIA C</t>
  </si>
  <si>
    <t>PO BOX 2057</t>
  </si>
  <si>
    <t>H6080A0001</t>
  </si>
  <si>
    <t>TONEY KENNETH JAMES SR</t>
  </si>
  <si>
    <t>TONEY ROSIE H</t>
  </si>
  <si>
    <t>710 SAIN ROAD</t>
  </si>
  <si>
    <t>C30000007203</t>
  </si>
  <si>
    <t>TUTTEROW SHEILA</t>
  </si>
  <si>
    <t>LLEWELLYN ANGIE</t>
  </si>
  <si>
    <t>139 RED FERN LANE</t>
  </si>
  <si>
    <t>C300000052</t>
  </si>
  <si>
    <t>C300000051</t>
  </si>
  <si>
    <t>C300000065</t>
  </si>
  <si>
    <t>C300000066</t>
  </si>
  <si>
    <t>C300000050</t>
  </si>
  <si>
    <t>D700000146</t>
  </si>
  <si>
    <t>WALKER MELVIN LEROY HEIRS OF</t>
  </si>
  <si>
    <t>% CARLA WEBB</t>
  </si>
  <si>
    <t>7821 GRAPEVINE RD</t>
  </si>
  <si>
    <t>27023-9758</t>
  </si>
  <si>
    <t>D700000145</t>
  </si>
  <si>
    <t>D700000153</t>
  </si>
  <si>
    <t>D700000154</t>
  </si>
  <si>
    <t>D700000147</t>
  </si>
  <si>
    <t>D700000149</t>
  </si>
  <si>
    <t>D700000150</t>
  </si>
  <si>
    <t>M4130B0025</t>
  </si>
  <si>
    <t>GRAVES EARL III</t>
  </si>
  <si>
    <t>GRAVES PAMELA</t>
  </si>
  <si>
    <t>2076 JUNCTION RD</t>
  </si>
  <si>
    <t>J5010D0107</t>
  </si>
  <si>
    <t>KOGER ROBERT H</t>
  </si>
  <si>
    <t>291 CHARLESTON RIDGE DR</t>
  </si>
  <si>
    <t>J5010B0003</t>
  </si>
  <si>
    <t>I5060A0005</t>
  </si>
  <si>
    <t>I4120A0001</t>
  </si>
  <si>
    <t>GRUBB ASHLEY</t>
  </si>
  <si>
    <t>188 ASHLEY BROOK LN</t>
  </si>
  <si>
    <t>27028-4100</t>
  </si>
  <si>
    <t>I400000042</t>
  </si>
  <si>
    <t>STOWERS JOHN FRANKLIN</t>
  </si>
  <si>
    <t>STOWERS SUSAN EDWARDS</t>
  </si>
  <si>
    <t>313 N HOWE ST</t>
  </si>
  <si>
    <t>SOUTHPORT</t>
  </si>
  <si>
    <t>28461-3419</t>
  </si>
  <si>
    <t>D3010B0001</t>
  </si>
  <si>
    <t>REYNOLDS CLARENCE A JR</t>
  </si>
  <si>
    <t>REYNOLDS KIMBERLY T</t>
  </si>
  <si>
    <t>111 WADE EATON DR</t>
  </si>
  <si>
    <t>27028-4781</t>
  </si>
  <si>
    <t>D9030A0014</t>
  </si>
  <si>
    <t>WILSON JEFFREY RYAN</t>
  </si>
  <si>
    <t>228 JAMES WAY</t>
  </si>
  <si>
    <t>I300000067</t>
  </si>
  <si>
    <t>CAPTAINS RETREAT AT BEAR CREEK LLC</t>
  </si>
  <si>
    <t>3020 CARROLLWOOD DR</t>
  </si>
  <si>
    <t>27103-6228</t>
  </si>
  <si>
    <t>F800000082</t>
  </si>
  <si>
    <t>WOOD ANGELIA PLYLER</t>
  </si>
  <si>
    <t>WOOD DANNY JOE</t>
  </si>
  <si>
    <t>171 PLYLER LN</t>
  </si>
  <si>
    <t>27006-6750</t>
  </si>
  <si>
    <t>F60000005317</t>
  </si>
  <si>
    <t>GOBLE BRIAN</t>
  </si>
  <si>
    <t>GOBLE SANDRINE</t>
  </si>
  <si>
    <t>240 BIG OAK LN</t>
  </si>
  <si>
    <t>H3010A0003</t>
  </si>
  <si>
    <t>WILSON LINDA C</t>
  </si>
  <si>
    <t>125 GOODWILL HEIGHTS PLACE</t>
  </si>
  <si>
    <t>H400000018</t>
  </si>
  <si>
    <t>907 YATES ST</t>
  </si>
  <si>
    <t>ORLANDO</t>
  </si>
  <si>
    <t>32854-0000</t>
  </si>
  <si>
    <t>M5090B0019</t>
  </si>
  <si>
    <t>BROWN GLENDA FAYE NEELY</t>
  </si>
  <si>
    <t>BROWN RICHARD L</t>
  </si>
  <si>
    <t>PO BOX 1003</t>
  </si>
  <si>
    <t>D7030A0018</t>
  </si>
  <si>
    <t>JANAK JANELLE</t>
  </si>
  <si>
    <t>166 CHARLOTTE PL</t>
  </si>
  <si>
    <t>I4050B0003</t>
  </si>
  <si>
    <t>DICKERSON SHERRY ANN</t>
  </si>
  <si>
    <t>DICKERSON DEBORAH</t>
  </si>
  <si>
    <t>166 WANDERING LN</t>
  </si>
  <si>
    <t>H400000019</t>
  </si>
  <si>
    <t>E70000000105</t>
  </si>
  <si>
    <t>FAYNE JACQUELINE A</t>
  </si>
  <si>
    <t>FAYNE STEVEN K</t>
  </si>
  <si>
    <t>553 PINEHAVEN DR</t>
  </si>
  <si>
    <t>NEW LONDON</t>
  </si>
  <si>
    <t>28127-7655</t>
  </si>
  <si>
    <t>E70000000501</t>
  </si>
  <si>
    <t>EMERT WELDING LLC</t>
  </si>
  <si>
    <t>486 JUNEY BEAUCHAMP RD</t>
  </si>
  <si>
    <t>N50000002402</t>
  </si>
  <si>
    <t>L50000001408</t>
  </si>
  <si>
    <t>BOGER CHUCKY RAY</t>
  </si>
  <si>
    <t>K70000003201</t>
  </si>
  <si>
    <t>GARWOOD KENNETH</t>
  </si>
  <si>
    <t>GARWOOD STEPHANIE</t>
  </si>
  <si>
    <t>260 MASON DRIVE</t>
  </si>
  <si>
    <t>G30000000431</t>
  </si>
  <si>
    <t>SILVA MARIA PATRICIA</t>
  </si>
  <si>
    <t>113 ARGYLE CT</t>
  </si>
  <si>
    <t>E70000009901</t>
  </si>
  <si>
    <t>185 BALTIMORE RD</t>
  </si>
  <si>
    <t>E70000010104</t>
  </si>
  <si>
    <t>I300000051</t>
  </si>
  <si>
    <t>CHASTAIN MAUREEN</t>
  </si>
  <si>
    <t>428 GREENHILL RD</t>
  </si>
  <si>
    <t>E9150A0041</t>
  </si>
  <si>
    <t>THE BROWN FAMILY REV TRUST</t>
  </si>
  <si>
    <t>192 TALWOOD DR</t>
  </si>
  <si>
    <t>C700000073</t>
  </si>
  <si>
    <t>M4130A0033</t>
  </si>
  <si>
    <t>MUMM JEFFREY D</t>
  </si>
  <si>
    <t>MUMM CHASTITY NICOLE</t>
  </si>
  <si>
    <t>164 CLARK RD</t>
  </si>
  <si>
    <t>B40000004001</t>
  </si>
  <si>
    <t>BOGGS JOHNNY WAYNE</t>
  </si>
  <si>
    <t>1027 WYO ROAD</t>
  </si>
  <si>
    <t>L60000000603</t>
  </si>
  <si>
    <t>SMITH ROGER</t>
  </si>
  <si>
    <t>748 FAIRFIELD RD</t>
  </si>
  <si>
    <t>H60000000201</t>
  </si>
  <si>
    <t>BALDWIN EVA P</t>
  </si>
  <si>
    <t>J4140A0023</t>
  </si>
  <si>
    <t>ZALASCEK ALICE FAYE</t>
  </si>
  <si>
    <t>ZALASCEK KATHERINE MARIE</t>
  </si>
  <si>
    <t>168 NEW HAMPSHIRE CT</t>
  </si>
  <si>
    <t>G7040A0033</t>
  </si>
  <si>
    <t>TUTTLE JOEL RAY</t>
  </si>
  <si>
    <t>TUTTLE JUDITH LEE</t>
  </si>
  <si>
    <t>27592-0172</t>
  </si>
  <si>
    <t>E900000043</t>
  </si>
  <si>
    <t>LEACH RICHARD F JR</t>
  </si>
  <si>
    <t>LEACH JUDITH M</t>
  </si>
  <si>
    <t>154 SUNTREE DRIVE</t>
  </si>
  <si>
    <t>D10000001904</t>
  </si>
  <si>
    <t>HEWITT COREY A</t>
  </si>
  <si>
    <t>HEWITT KAREN T</t>
  </si>
  <si>
    <t>167 MOUNTAINEER TRL</t>
  </si>
  <si>
    <t>27028-5675</t>
  </si>
  <si>
    <t>D8060A0017</t>
  </si>
  <si>
    <t>FERRARO SANDERS H</t>
  </si>
  <si>
    <t>292 RIVERBEND DR</t>
  </si>
  <si>
    <t>D8100C0020</t>
  </si>
  <si>
    <t>FRAZIER SALLY</t>
  </si>
  <si>
    <t>152 SPYGLASS DR</t>
  </si>
  <si>
    <t>F10000003901</t>
  </si>
  <si>
    <t>VAUGHN RICKY G</t>
  </si>
  <si>
    <t>VAUGHN LINDA J</t>
  </si>
  <si>
    <t>111 ROCK SPRINGS ROAD</t>
  </si>
  <si>
    <t>F80000012603</t>
  </si>
  <si>
    <t>CALL HARRY LEE</t>
  </si>
  <si>
    <t>CALL CONNIE O</t>
  </si>
  <si>
    <t>495 BUCK SEAFORD RD</t>
  </si>
  <si>
    <t>F100000039</t>
  </si>
  <si>
    <t>F100000016</t>
  </si>
  <si>
    <t>I90000001901</t>
  </si>
  <si>
    <t>WILSON CAROL VICTORIA FISHER</t>
  </si>
  <si>
    <t>218 MCGLAMERY ST</t>
  </si>
  <si>
    <t>28465-8229</t>
  </si>
  <si>
    <t>I5090C0035</t>
  </si>
  <si>
    <t>BOHANNON PHYLLIS</t>
  </si>
  <si>
    <t>27055-8628</t>
  </si>
  <si>
    <t>I5050C0016</t>
  </si>
  <si>
    <t>FONTANEZ ALFREDO</t>
  </si>
  <si>
    <t>RODRIGUEZ YAJAIRA</t>
  </si>
  <si>
    <t>624 WHITNEY RD</t>
  </si>
  <si>
    <t>27028-2951</t>
  </si>
  <si>
    <t>G30000000447</t>
  </si>
  <si>
    <t>ADAMS KAREN</t>
  </si>
  <si>
    <t>ADAMS TODD</t>
  </si>
  <si>
    <t>248 CULLODEN DR</t>
  </si>
  <si>
    <t>E900000213</t>
  </si>
  <si>
    <t>RUSSELL ANDREW</t>
  </si>
  <si>
    <t>RUSSELL NATALIE WESLEY</t>
  </si>
  <si>
    <t>334 KINGSMILL DR</t>
  </si>
  <si>
    <t>D9050B0032</t>
  </si>
  <si>
    <t>2124 BERMUDA VLG</t>
  </si>
  <si>
    <t>J400000045</t>
  </si>
  <si>
    <t>BARBER MARTIN LEE</t>
  </si>
  <si>
    <t>BARBER DREAMA</t>
  </si>
  <si>
    <t>1360 JERICHO CHURCH ROAD</t>
  </si>
  <si>
    <t>J40000004403</t>
  </si>
  <si>
    <t>J40000004402</t>
  </si>
  <si>
    <t>I600000083</t>
  </si>
  <si>
    <t>BARNEY CHARLES RICHARD</t>
  </si>
  <si>
    <t>233 PLUM TREE LANE</t>
  </si>
  <si>
    <t>H5190A0033</t>
  </si>
  <si>
    <t>BASHAM BRIAN G</t>
  </si>
  <si>
    <t>BASHAM DAWN M</t>
  </si>
  <si>
    <t>104 N MADERA DR</t>
  </si>
  <si>
    <t>27028-4194</t>
  </si>
  <si>
    <t>H5190A0032</t>
  </si>
  <si>
    <t>H70000005805</t>
  </si>
  <si>
    <t>ALEXANDER DANIEL RAY</t>
  </si>
  <si>
    <t>FURR DONNA</t>
  </si>
  <si>
    <t>152 CRESS LN</t>
  </si>
  <si>
    <t>M40000002413</t>
  </si>
  <si>
    <t>D500000067</t>
  </si>
  <si>
    <t>OLIVE BRANCH GRAVEYARD</t>
  </si>
  <si>
    <t>160 KENNEN KREST RD</t>
  </si>
  <si>
    <t>N60000000402</t>
  </si>
  <si>
    <t>GIBSON TRONIA BECK (LIFE ESTATE)</t>
  </si>
  <si>
    <t>2061 JUNCTION RD</t>
  </si>
  <si>
    <t>C8030C0016</t>
  </si>
  <si>
    <t>MANKTELOW SALLY KAY</t>
  </si>
  <si>
    <t>119 OAK WIND DR # 102</t>
  </si>
  <si>
    <t>M400000030</t>
  </si>
  <si>
    <t>BOBBITT HERMAN SCOTT</t>
  </si>
  <si>
    <t>BOBBITT ELLIE JONES</t>
  </si>
  <si>
    <t>27014-0471</t>
  </si>
  <si>
    <t>F60000007503</t>
  </si>
  <si>
    <t>BOGER RONALD D</t>
  </si>
  <si>
    <t>139 DULIN ROAD</t>
  </si>
  <si>
    <t>27028-7200</t>
  </si>
  <si>
    <t>M5060A0008</t>
  </si>
  <si>
    <t>GARABEDIAN JOHN</t>
  </si>
  <si>
    <t>111 SPRINGHILL DR</t>
  </si>
  <si>
    <t>I600000029</t>
  </si>
  <si>
    <t>BALLARD BRIAN T</t>
  </si>
  <si>
    <t>BALLARD ELIZABETH A</t>
  </si>
  <si>
    <t>278 WILLIAMS  RD</t>
  </si>
  <si>
    <t>M5030A000201</t>
  </si>
  <si>
    <t>CORNER STORE OF MOCKSVILLE LLC</t>
  </si>
  <si>
    <t>2576 US HIGHWAY 601 S</t>
  </si>
  <si>
    <t>27028-6936</t>
  </si>
  <si>
    <t>I4140B0003</t>
  </si>
  <si>
    <t>BURCH EDDIE JR</t>
  </si>
  <si>
    <t>157 GREY STREET</t>
  </si>
  <si>
    <t>M5030A000202</t>
  </si>
  <si>
    <t>G9090B0026</t>
  </si>
  <si>
    <t>ELLIOTT GARY &amp; JENNIFER REV TRUST</t>
  </si>
  <si>
    <t>110 S MARCH FERRY RD</t>
  </si>
  <si>
    <t>N5080B0024</t>
  </si>
  <si>
    <t>COVENANT BUILDING COMPANY LLC</t>
  </si>
  <si>
    <t>G400000050</t>
  </si>
  <si>
    <t>KEATON JEREMY L</t>
  </si>
  <si>
    <t>KEATON KIMBERLY R</t>
  </si>
  <si>
    <t>N600000003</t>
  </si>
  <si>
    <t>SAMMONS NELSON MONROE ETAL</t>
  </si>
  <si>
    <t>SAMMONS SANDRA BOWERS</t>
  </si>
  <si>
    <t>3380 US HIGHWAY 601 S</t>
  </si>
  <si>
    <t>F80000012601</t>
  </si>
  <si>
    <t>C8030B0013</t>
  </si>
  <si>
    <t>JLS HOLDINGS LLC</t>
  </si>
  <si>
    <t>380 H KNOLLWOOD ST STE 169</t>
  </si>
  <si>
    <t>F70000002501</t>
  </si>
  <si>
    <t>D9090D0029</t>
  </si>
  <si>
    <t>ALLEN BONA IV</t>
  </si>
  <si>
    <t>ALLEN JANE KING</t>
  </si>
  <si>
    <t>329 HOLLYBROOK DRIVE</t>
  </si>
  <si>
    <t>E60000002503</t>
  </si>
  <si>
    <t>ALLEN NORMAN G JR</t>
  </si>
  <si>
    <t>ALLEN MISTY K</t>
  </si>
  <si>
    <t>131 AUBURN HILL LANE</t>
  </si>
  <si>
    <t>I5120B0012</t>
  </si>
  <si>
    <t>CISNERO JOSE L RAMIREZ</t>
  </si>
  <si>
    <t>539 MONTVIEW DRIVE</t>
  </si>
  <si>
    <t>I60000002607</t>
  </si>
  <si>
    <t>CLONTZ ALLEN RAY ETAL</t>
  </si>
  <si>
    <t>CLONTZ DUSTIN RAY</t>
  </si>
  <si>
    <t>341 WILLIAMS RD</t>
  </si>
  <si>
    <t>C700000057</t>
  </si>
  <si>
    <t>COLLIER MICHAEL W</t>
  </si>
  <si>
    <t>COLLIER JOANNA W</t>
  </si>
  <si>
    <t>148 SPARKS ROAD</t>
  </si>
  <si>
    <t>27006-8720</t>
  </si>
  <si>
    <t>I5060B0001</t>
  </si>
  <si>
    <t>B700000008</t>
  </si>
  <si>
    <t>H5160A0013</t>
  </si>
  <si>
    <t>CORRIHER JACK G JR</t>
  </si>
  <si>
    <t>CORRIHER MARY LASHLEY</t>
  </si>
  <si>
    <t>133 WEST KNOLLBROOK DRIVE</t>
  </si>
  <si>
    <t>H5160A0014</t>
  </si>
  <si>
    <t>H50000006102</t>
  </si>
  <si>
    <t>C700000051</t>
  </si>
  <si>
    <t>CRANFILL ROY SCOTT</t>
  </si>
  <si>
    <t>CRANFILL DEBRA WOOD</t>
  </si>
  <si>
    <t>154 WOOD LANE</t>
  </si>
  <si>
    <t>N5080A0028</t>
  </si>
  <si>
    <t>BAKER THOMAS LEE</t>
  </si>
  <si>
    <t>O600000009</t>
  </si>
  <si>
    <t>CREWS ROBERT W</t>
  </si>
  <si>
    <t>CREWS KATHY T</t>
  </si>
  <si>
    <t>291 TATUM RD</t>
  </si>
  <si>
    <t>K5160A0003</t>
  </si>
  <si>
    <t>CROTTS BARBARA B ETAL</t>
  </si>
  <si>
    <t>169 RAG RD</t>
  </si>
  <si>
    <t>G90000000905</t>
  </si>
  <si>
    <t>J4050E0015</t>
  </si>
  <si>
    <t>DAVIS ANNA RUTH</t>
  </si>
  <si>
    <t>1016 N MAIN ST</t>
  </si>
  <si>
    <t>I400000019</t>
  </si>
  <si>
    <t>DEADMON DAVID A</t>
  </si>
  <si>
    <t>DEADMON KAREN R</t>
  </si>
  <si>
    <t>187 BROOK DRIVE</t>
  </si>
  <si>
    <t>E900000094</t>
  </si>
  <si>
    <t>DETRICK KENNETH J</t>
  </si>
  <si>
    <t>DETRICK ELIZABETH A</t>
  </si>
  <si>
    <t>159 KESWICK DRIVE</t>
  </si>
  <si>
    <t>H900000008</t>
  </si>
  <si>
    <t>DINGLER WENDELL L</t>
  </si>
  <si>
    <t>DINGLER LORA M</t>
  </si>
  <si>
    <t>228 PALOMINO RD</t>
  </si>
  <si>
    <t>H9090A0007</t>
  </si>
  <si>
    <t>O600000049</t>
  </si>
  <si>
    <t>DOSS JEREMY RYAN</t>
  </si>
  <si>
    <t>DOSS JULIE MURPHY</t>
  </si>
  <si>
    <t>128 CHUNN LN</t>
  </si>
  <si>
    <t>27028-4136</t>
  </si>
  <si>
    <t>L4130A000501</t>
  </si>
  <si>
    <t>DULL MELVIN RAY</t>
  </si>
  <si>
    <t>1069 DANIEL RD</t>
  </si>
  <si>
    <t>27028-5128</t>
  </si>
  <si>
    <t>D700000056</t>
  </si>
  <si>
    <t>DUNN CARL LARRY</t>
  </si>
  <si>
    <t>DUNN EILEEN KING</t>
  </si>
  <si>
    <t>590 REDLAND ROAD</t>
  </si>
  <si>
    <t>D600000082</t>
  </si>
  <si>
    <t>D700000050</t>
  </si>
  <si>
    <t>DUNN JAMES B</t>
  </si>
  <si>
    <t>DUNN GAY HAITT</t>
  </si>
  <si>
    <t>644 REDLAND ROAD</t>
  </si>
  <si>
    <t>D700000049  A</t>
  </si>
  <si>
    <t>M60000004005</t>
  </si>
  <si>
    <t>BARBEE WILLIAM B JR TRUSTEE</t>
  </si>
  <si>
    <t>BARBEE GALE B TRUSTEE</t>
  </si>
  <si>
    <t>400 CHERRY HILL ROAD</t>
  </si>
  <si>
    <t>J400000044</t>
  </si>
  <si>
    <t>D3010B0003</t>
  </si>
  <si>
    <t>FLOYD KATIE B</t>
  </si>
  <si>
    <t>139 WADE EATON DR</t>
  </si>
  <si>
    <t>C7050A0004</t>
  </si>
  <si>
    <t>ELMORE GARLAND C</t>
  </si>
  <si>
    <t>ELMORE JEAN A</t>
  </si>
  <si>
    <t>277 YADKIN VALLEY RD</t>
  </si>
  <si>
    <t>M500000021</t>
  </si>
  <si>
    <t>FERGUSON MARTHA JO</t>
  </si>
  <si>
    <t>FERGUSON JOSEPH J</t>
  </si>
  <si>
    <t>7240 HIGHWAY 801 SOUTH</t>
  </si>
  <si>
    <t>C80000017803</t>
  </si>
  <si>
    <t>BARN AGAIN</t>
  </si>
  <si>
    <t>PO BOX 1740</t>
  </si>
  <si>
    <t>27012-1740</t>
  </si>
  <si>
    <t>C80000017802</t>
  </si>
  <si>
    <t>G8130A0004</t>
  </si>
  <si>
    <t>BOGER SCOTT BRADLEY</t>
  </si>
  <si>
    <t>2230 NC HIGHWAY 801 SOUTH</t>
  </si>
  <si>
    <t>M4130A0011</t>
  </si>
  <si>
    <t>GIBSON TRONIA BECK</t>
  </si>
  <si>
    <t>2061 JUNCTION ROAD</t>
  </si>
  <si>
    <t>M4130B0006</t>
  </si>
  <si>
    <t>GIBSON WILLIAM THOMAS</t>
  </si>
  <si>
    <t>PO BOX 335</t>
  </si>
  <si>
    <t>M4130B0007</t>
  </si>
  <si>
    <t>J60000009402</t>
  </si>
  <si>
    <t>353 KOONTZ ROAD</t>
  </si>
  <si>
    <t>I700000017</t>
  </si>
  <si>
    <t>GOBBLE JOHN THOMAS</t>
  </si>
  <si>
    <t>GOBBLE MARGIE M</t>
  </si>
  <si>
    <t>448 NO CREEK ROAD</t>
  </si>
  <si>
    <t>I70000001701A</t>
  </si>
  <si>
    <t>J4050A0011</t>
  </si>
  <si>
    <t>GOINS KEITH E</t>
  </si>
  <si>
    <t>GOINS KAREN K</t>
  </si>
  <si>
    <t>173 KELLY AVE</t>
  </si>
  <si>
    <t>27028-2513</t>
  </si>
  <si>
    <t>G8140A0011  A</t>
  </si>
  <si>
    <t>BRANCELY DAWN</t>
  </si>
  <si>
    <t>BRANCELY TRAVIS</t>
  </si>
  <si>
    <t>125 OLD HOMEPLACE DR</t>
  </si>
  <si>
    <t>L30000002204</t>
  </si>
  <si>
    <t>GRACE FARMS LLC</t>
  </si>
  <si>
    <t>336 WHISPERING OAKS LN</t>
  </si>
  <si>
    <t>27028-5502</t>
  </si>
  <si>
    <t>K30000006301</t>
  </si>
  <si>
    <t>L30000002003</t>
  </si>
  <si>
    <t>L300000022</t>
  </si>
  <si>
    <t>K300000063</t>
  </si>
  <si>
    <t>L30000002009</t>
  </si>
  <si>
    <t>D3010A0042</t>
  </si>
  <si>
    <t>GRAY STEFANIE L</t>
  </si>
  <si>
    <t>217 GREENFIELD ROAD</t>
  </si>
  <si>
    <t>M60000002409</t>
  </si>
  <si>
    <t>GRUBB KEVIN ALLEN</t>
  </si>
  <si>
    <t>25010 NORTHSIDE DRIVE</t>
  </si>
  <si>
    <t>SUMMERLAND KEY</t>
  </si>
  <si>
    <t>M600000024</t>
  </si>
  <si>
    <t>N500000041</t>
  </si>
  <si>
    <t>GUILLEN DOMINGO</t>
  </si>
  <si>
    <t>662 PINE RIDGE RD</t>
  </si>
  <si>
    <t>27028-6754</t>
  </si>
  <si>
    <t>C300000025</t>
  </si>
  <si>
    <t>HAIRSTON FRANK HEIRS</t>
  </si>
  <si>
    <t>3954 PHILLIPS ROAD</t>
  </si>
  <si>
    <t>I700000057</t>
  </si>
  <si>
    <t>HARRIS ANTHONY G</t>
  </si>
  <si>
    <t>161 INDIAN HILLS RD</t>
  </si>
  <si>
    <t>27006-7255</t>
  </si>
  <si>
    <t>E8110C0014</t>
  </si>
  <si>
    <t>HART KELLY LYNN</t>
  </si>
  <si>
    <t>HART KEVIN WAYNE</t>
  </si>
  <si>
    <t>241 WESTRIDGE ROAD</t>
  </si>
  <si>
    <t>H5160A0026</t>
  </si>
  <si>
    <t>HAYES MICHAEL DOUGLAS</t>
  </si>
  <si>
    <t>HAYES LEAH CAMERON</t>
  </si>
  <si>
    <t>173 FOREST VIEW DRIVE</t>
  </si>
  <si>
    <t>F80000011005</t>
  </si>
  <si>
    <t>HEGE HENRY JAMES</t>
  </si>
  <si>
    <t>HEGE SHARON M</t>
  </si>
  <si>
    <t>27295-8284</t>
  </si>
  <si>
    <t>G8140A0011</t>
  </si>
  <si>
    <t>L500000081</t>
  </si>
  <si>
    <t>BURTON KENNETH L</t>
  </si>
  <si>
    <t>6748 NC HIGHWAY 801 SOUTH</t>
  </si>
  <si>
    <t>C50000000403</t>
  </si>
  <si>
    <t>CAMPBELL AMY M</t>
  </si>
  <si>
    <t>179 MINTORA LANE</t>
  </si>
  <si>
    <t>27028-6291</t>
  </si>
  <si>
    <t>E100000032</t>
  </si>
  <si>
    <t>COOPER RALPH W</t>
  </si>
  <si>
    <t>240 GETTA WAY</t>
  </si>
  <si>
    <t>E100000034</t>
  </si>
  <si>
    <t>E100000033</t>
  </si>
  <si>
    <t>E100000039</t>
  </si>
  <si>
    <t>E100000038</t>
  </si>
  <si>
    <t>E100000037</t>
  </si>
  <si>
    <t>E100000040</t>
  </si>
  <si>
    <t>E100000036</t>
  </si>
  <si>
    <t>E100000016</t>
  </si>
  <si>
    <t>E100000019</t>
  </si>
  <si>
    <t>E10000001705</t>
  </si>
  <si>
    <t>F100000059</t>
  </si>
  <si>
    <t>I5010A0014</t>
  </si>
  <si>
    <t>IJAMES JASON</t>
  </si>
  <si>
    <t>M50000003303</t>
  </si>
  <si>
    <t>JEFFERSON KEVIN GRAY</t>
  </si>
  <si>
    <t>308 PLEASANT ACRE DRIVE</t>
  </si>
  <si>
    <t>E700000068</t>
  </si>
  <si>
    <t>CARPENTER OLLIE L</t>
  </si>
  <si>
    <t>B40000005201</t>
  </si>
  <si>
    <t>JONES HOWARD WAYNE</t>
  </si>
  <si>
    <t>JONES LULA MAE</t>
  </si>
  <si>
    <t>1078 WYO ROAD</t>
  </si>
  <si>
    <t>B40000005202</t>
  </si>
  <si>
    <t>I5040A0017</t>
  </si>
  <si>
    <t>KEY STREET ASSOCIATES LLC</t>
  </si>
  <si>
    <t>2337 BUCKINGHAM RUN CT</t>
  </si>
  <si>
    <t>32828-7837</t>
  </si>
  <si>
    <t>N50000002308</t>
  </si>
  <si>
    <t>KLUTTZ BRYAN EDWARD</t>
  </si>
  <si>
    <t>KLUTTZ KELLY BROADWAY</t>
  </si>
  <si>
    <t>117 BROADWAY ROAD</t>
  </si>
  <si>
    <t>N50000002313</t>
  </si>
  <si>
    <t>B20000001503</t>
  </si>
  <si>
    <t>KUHN NASH R</t>
  </si>
  <si>
    <t>G600000058</t>
  </si>
  <si>
    <t>JIMENEZ J ABEL</t>
  </si>
  <si>
    <t>JIMENEZ MARIA A</t>
  </si>
  <si>
    <t>340 HOWARDTOWN ROAD</t>
  </si>
  <si>
    <t>G60000005803</t>
  </si>
  <si>
    <t>G600000057</t>
  </si>
  <si>
    <t>J600000003</t>
  </si>
  <si>
    <t>CARTER FRANK BAXTER</t>
  </si>
  <si>
    <t>150 CALL RD</t>
  </si>
  <si>
    <t>E300000095</t>
  </si>
  <si>
    <t>CARTER LINDA E</t>
  </si>
  <si>
    <t>3328 US HWY 601 N</t>
  </si>
  <si>
    <t>I30000004201</t>
  </si>
  <si>
    <t>LIVENGOOD CRAIG EUGENE</t>
  </si>
  <si>
    <t>LIVENGOOD CAROL ELAINE</t>
  </si>
  <si>
    <t>294 GREENHILL ROAD</t>
  </si>
  <si>
    <t>G800000015</t>
  </si>
  <si>
    <t>MARKLAND MARGIE H</t>
  </si>
  <si>
    <t>3110 CORNATZER ROAD</t>
  </si>
  <si>
    <t>G80000001502</t>
  </si>
  <si>
    <t>E8160A0019</t>
  </si>
  <si>
    <t>MARTINAK DAVID I,JR</t>
  </si>
  <si>
    <t>MARTINAK JILL A</t>
  </si>
  <si>
    <t>128 BROOKMEAD COURT</t>
  </si>
  <si>
    <t>B70000006004</t>
  </si>
  <si>
    <t>CARTER REX ALAN SR</t>
  </si>
  <si>
    <t>CARTER KELLIE F</t>
  </si>
  <si>
    <t>166 REX LANE</t>
  </si>
  <si>
    <t>K20000007501</t>
  </si>
  <si>
    <t>824 RIDGE ROAD</t>
  </si>
  <si>
    <t>G70000013204</t>
  </si>
  <si>
    <t>CASON BARBARA</t>
  </si>
  <si>
    <t>2399 CORNATZER RD</t>
  </si>
  <si>
    <t>D20000000201</t>
  </si>
  <si>
    <t>CHAMBERS JAMES MARTIN</t>
  </si>
  <si>
    <t>D200000002</t>
  </si>
  <si>
    <t>O600000010</t>
  </si>
  <si>
    <t>F20000004405</t>
  </si>
  <si>
    <t>HILL JOHN L JR</t>
  </si>
  <si>
    <t>188 CAMBRIDGE LANE</t>
  </si>
  <si>
    <t>K50000008303</t>
  </si>
  <si>
    <t>OLIVER STEPHANIE M</t>
  </si>
  <si>
    <t>REECE DAMON L</t>
  </si>
  <si>
    <t>137 DRAUGHN LANE</t>
  </si>
  <si>
    <t>27028-5200</t>
  </si>
  <si>
    <t>J80000000602</t>
  </si>
  <si>
    <t>OLSEN PATRICK ALLEN</t>
  </si>
  <si>
    <t>OLSEN AMY ELIZABETH</t>
  </si>
  <si>
    <t>133 SMIDGEN CREEK TRL</t>
  </si>
  <si>
    <t>J800000006</t>
  </si>
  <si>
    <t>J80000000601</t>
  </si>
  <si>
    <t>I4120A0014</t>
  </si>
  <si>
    <t>ORSILLO MICHAEL A</t>
  </si>
  <si>
    <t>ORSILLO CYNTHIA B</t>
  </si>
  <si>
    <t>312 WILKESBORO STREET</t>
  </si>
  <si>
    <t>H9080A0013</t>
  </si>
  <si>
    <t>OSBORNE KENNETH D</t>
  </si>
  <si>
    <t>PO BOX 391</t>
  </si>
  <si>
    <t>27006-0391</t>
  </si>
  <si>
    <t>H200000038</t>
  </si>
  <si>
    <t>F20000004404</t>
  </si>
  <si>
    <t>E20000000815</t>
  </si>
  <si>
    <t>DYSON MARTY A</t>
  </si>
  <si>
    <t>J50000002001</t>
  </si>
  <si>
    <t>BEAVERS JOHN G</t>
  </si>
  <si>
    <t>J500000021</t>
  </si>
  <si>
    <t>E80000000402</t>
  </si>
  <si>
    <t>BEDDINGTON LISA ANNE</t>
  </si>
  <si>
    <t>B30000000701</t>
  </si>
  <si>
    <t>BENITEZ ANTONIO GOMEZ</t>
  </si>
  <si>
    <t>CARBAJAL MARIA ARLIN</t>
  </si>
  <si>
    <t>271 CHILDRENS HOME RD</t>
  </si>
  <si>
    <t>E60000006601</t>
  </si>
  <si>
    <t>BLACKWELL KENNETH G</t>
  </si>
  <si>
    <t>162 RAINBOW RD</t>
  </si>
  <si>
    <t>L30000002202</t>
  </si>
  <si>
    <t>J6090A0002</t>
  </si>
  <si>
    <t>HOWELL TURNER HEIRS</t>
  </si>
  <si>
    <t>145 DALTON ROAD</t>
  </si>
  <si>
    <t>N60000007201</t>
  </si>
  <si>
    <t>1326 COUNTY HOME ROAD</t>
  </si>
  <si>
    <t>E100000035</t>
  </si>
  <si>
    <t>M5030A002103</t>
  </si>
  <si>
    <t>JONAS BENJAMIN J</t>
  </si>
  <si>
    <t>JONAS SHELIA C</t>
  </si>
  <si>
    <t>2613 US HWY 601 SOUTH</t>
  </si>
  <si>
    <t>I300000042</t>
  </si>
  <si>
    <t>I30000004202</t>
  </si>
  <si>
    <t>H600000040</t>
  </si>
  <si>
    <t>297 E LAKE DR</t>
  </si>
  <si>
    <t>B30000000618</t>
  </si>
  <si>
    <t>MCELWEE CINDY M</t>
  </si>
  <si>
    <t>233 PRATT FARM LANE</t>
  </si>
  <si>
    <t>G700000113</t>
  </si>
  <si>
    <t>MCKOIN JIMMY RAY</t>
  </si>
  <si>
    <t>1777 FORK BIXBY ROAD</t>
  </si>
  <si>
    <t>I5050A0041</t>
  </si>
  <si>
    <t>MILLER MELANIE S</t>
  </si>
  <si>
    <t>118 META BREEZE LANE</t>
  </si>
  <si>
    <t>O700000001</t>
  </si>
  <si>
    <t>MOODY WADE D</t>
  </si>
  <si>
    <t>MOODY LOUISE</t>
  </si>
  <si>
    <t>954 POINT ROAD</t>
  </si>
  <si>
    <t>H900000019</t>
  </si>
  <si>
    <t>MYERS JERRY WAYNE</t>
  </si>
  <si>
    <t>742 PEOPLES CREEK ROAD</t>
  </si>
  <si>
    <t>H90000001901</t>
  </si>
  <si>
    <t>E8020A0026</t>
  </si>
  <si>
    <t>YAMBO ABIGAIL</t>
  </si>
  <si>
    <t>YAMBO ABIEZER</t>
  </si>
  <si>
    <t>140 RAINTREE RD</t>
  </si>
  <si>
    <t>J600000031</t>
  </si>
  <si>
    <t>ALLEN CATHY D (LIFE ESTATE)</t>
  </si>
  <si>
    <t>515 TURRENTINE CHURCH RD</t>
  </si>
  <si>
    <t>F20000002003</t>
  </si>
  <si>
    <t>GARZA KAY</t>
  </si>
  <si>
    <t>461 DUKE WHITAKER ROAD</t>
  </si>
  <si>
    <t>I4120A001501</t>
  </si>
  <si>
    <t>G7040A0005</t>
  </si>
  <si>
    <t>SMITH SHEILA</t>
  </si>
  <si>
    <t>139 ALAMOSA DR</t>
  </si>
  <si>
    <t>G500000023</t>
  </si>
  <si>
    <t>SMOOT BEATRICE F</t>
  </si>
  <si>
    <t>183 MAIN CHURCH ROAD</t>
  </si>
  <si>
    <t>C8010A0129</t>
  </si>
  <si>
    <t>VUICH RUSSELL &amp; DIANA TRUST</t>
  </si>
  <si>
    <t>4609 MARLBROUGH DR</t>
  </si>
  <si>
    <t>F7110A0009</t>
  </si>
  <si>
    <t>STANCLIFF JAMES A</t>
  </si>
  <si>
    <t>STANCLIFF SHERRY R</t>
  </si>
  <si>
    <t>217 LONGLEAF PINE DRIVE</t>
  </si>
  <si>
    <t>G80000004301</t>
  </si>
  <si>
    <t>PRYOR TINA J</t>
  </si>
  <si>
    <t>PRYOR WILLIAM C</t>
  </si>
  <si>
    <t>169 FEEDMILL ROAD</t>
  </si>
  <si>
    <t>G80000004302</t>
  </si>
  <si>
    <t>G600000091</t>
  </si>
  <si>
    <t>PASCAL ANTHONY J</t>
  </si>
  <si>
    <t>136 POWE LN</t>
  </si>
  <si>
    <t>27028-7356</t>
  </si>
  <si>
    <t>H40000002301</t>
  </si>
  <si>
    <t>STREET SHEREE S ETAL</t>
  </si>
  <si>
    <t>SHEETS CLYDE ALLEN</t>
  </si>
  <si>
    <t>1235 WOODWARD ROAD</t>
  </si>
  <si>
    <t>J6050D0018</t>
  </si>
  <si>
    <t>SUITER JULIUS EDWARD</t>
  </si>
  <si>
    <t>SUITER SELMA WEBBER</t>
  </si>
  <si>
    <t>44 NANDINA DR</t>
  </si>
  <si>
    <t>27455-2766</t>
  </si>
  <si>
    <t>J6050D0017</t>
  </si>
  <si>
    <t>J6050D0001</t>
  </si>
  <si>
    <t>I700000049</t>
  </si>
  <si>
    <t>SWICK VICKI L</t>
  </si>
  <si>
    <t>STROHACKER KIM A</t>
  </si>
  <si>
    <t>813 FORK BIXBY RD</t>
  </si>
  <si>
    <t>F70000000311</t>
  </si>
  <si>
    <t>TAYLOR RUTH B FAMILY TRUST</t>
  </si>
  <si>
    <t>TAYLOR RICHARD DREW</t>
  </si>
  <si>
    <t>451 HOWARDTOWN CIRCLE</t>
  </si>
  <si>
    <t>C300000105  A</t>
  </si>
  <si>
    <t>THOMPSON CHRISTOPHER D</t>
  </si>
  <si>
    <t>279 JACK BOOE ROAD</t>
  </si>
  <si>
    <t>F20000002305</t>
  </si>
  <si>
    <t>TRUE GARY F</t>
  </si>
  <si>
    <t>TRUE PHYLLIS Z</t>
  </si>
  <si>
    <t>273 GEORGIA ROAD</t>
  </si>
  <si>
    <t>27028-5801</t>
  </si>
  <si>
    <t>H500000029</t>
  </si>
  <si>
    <t>PENDRY JAMES CARROLL</t>
  </si>
  <si>
    <t>1228 FAIRWAY DR</t>
  </si>
  <si>
    <t>27055-5146</t>
  </si>
  <si>
    <t>J60000000206</t>
  </si>
  <si>
    <t>PEREZ CLELVIR ALEXIS</t>
  </si>
  <si>
    <t>ESCOBAR JESSICA ELIZABETH</t>
  </si>
  <si>
    <t>634 JOHN CROTTS RD</t>
  </si>
  <si>
    <t>E8100B0017</t>
  </si>
  <si>
    <t>HULBERT HARRY T</t>
  </si>
  <si>
    <t>HULBERT AMY JO</t>
  </si>
  <si>
    <t>147 BROOKDALE DR</t>
  </si>
  <si>
    <t>N50000003302</t>
  </si>
  <si>
    <t>WALLER TERRY J</t>
  </si>
  <si>
    <t>WALLER PEGGY C</t>
  </si>
  <si>
    <t>782 PINE RIDGE ROAD</t>
  </si>
  <si>
    <t>N500000033</t>
  </si>
  <si>
    <t>G500000056</t>
  </si>
  <si>
    <t>WARD MARTHA JO</t>
  </si>
  <si>
    <t>378 FOSTER DAIRY ROAD</t>
  </si>
  <si>
    <t>G500000121</t>
  </si>
  <si>
    <t>WHITAKER DOUGLAS R</t>
  </si>
  <si>
    <t>WHITAKER CYNTHIA C</t>
  </si>
  <si>
    <t>126 REDSKIN WAY</t>
  </si>
  <si>
    <t>G500000118</t>
  </si>
  <si>
    <t>F30000008901</t>
  </si>
  <si>
    <t>WHITAKER WAYNE HARRISON</t>
  </si>
  <si>
    <t>WHITAKER KAREN WILLARD</t>
  </si>
  <si>
    <t>273 DANNER ROAD</t>
  </si>
  <si>
    <t>B7010B0002</t>
  </si>
  <si>
    <t>WILLIAMS R JEFF</t>
  </si>
  <si>
    <t>WILLIAMS KIMBERLY C</t>
  </si>
  <si>
    <t>268 JESSE KING ROAD</t>
  </si>
  <si>
    <t>I1120A0041</t>
  </si>
  <si>
    <t>WILSON CHRISTIAN GALE</t>
  </si>
  <si>
    <t>WILSON ELIZABETH REEVES</t>
  </si>
  <si>
    <t>171 OAKTREE DRIVE</t>
  </si>
  <si>
    <t>D8100C000202</t>
  </si>
  <si>
    <t>JOHNSEN GLENNA L</t>
  </si>
  <si>
    <t>276 SPYGLASS DR</t>
  </si>
  <si>
    <t>F20000002007</t>
  </si>
  <si>
    <t>POTTS JAMES WESLEY</t>
  </si>
  <si>
    <t>493 DUKE WHITTAKER ROAD</t>
  </si>
  <si>
    <t>K3130B0010</t>
  </si>
  <si>
    <t>L3080A0007</t>
  </si>
  <si>
    <t>G400000009</t>
  </si>
  <si>
    <t>G400000011</t>
  </si>
  <si>
    <t>G400000010</t>
  </si>
  <si>
    <t>D7030C0004</t>
  </si>
  <si>
    <t>REAVIS SHIRLEY D TRUSTEE</t>
  </si>
  <si>
    <t>REAVIS FAMILY TRUST</t>
  </si>
  <si>
    <t>107 LESTER DRIVE</t>
  </si>
  <si>
    <t>M600000037</t>
  </si>
  <si>
    <t>MCBRIDE BARBARA BOGER ETAL</t>
  </si>
  <si>
    <t>MARION SUSAN BOGER</t>
  </si>
  <si>
    <t>904 HARDISON ST</t>
  </si>
  <si>
    <t>N5010C0052</t>
  </si>
  <si>
    <t>PEREIRA INVESTMENT PROPERTIES LLC</t>
  </si>
  <si>
    <t>2563 US HIGHWAY 158</t>
  </si>
  <si>
    <t>M5100B002203</t>
  </si>
  <si>
    <t>E900000594</t>
  </si>
  <si>
    <t>HARKNESS PROPERTIES OF CLEMMONS LLC</t>
  </si>
  <si>
    <t>6170 QUINN ST</t>
  </si>
  <si>
    <t>27012-9410</t>
  </si>
  <si>
    <t>E300000124</t>
  </si>
  <si>
    <t>REGISTER JASON</t>
  </si>
  <si>
    <t>REGISTER LINDSAY</t>
  </si>
  <si>
    <t>345 TITTLE TL</t>
  </si>
  <si>
    <t>E30000012402</t>
  </si>
  <si>
    <t>E50000003303</t>
  </si>
  <si>
    <t>RHYNE JACOB LEE</t>
  </si>
  <si>
    <t>170 SUGAR CREEK RD</t>
  </si>
  <si>
    <t>27028-7827</t>
  </si>
  <si>
    <t>D200000029</t>
  </si>
  <si>
    <t>REAVIS WILMA P</t>
  </si>
  <si>
    <t>489 DUARD REAVIS RD</t>
  </si>
  <si>
    <t>27028-5737</t>
  </si>
  <si>
    <t>I5010C0010</t>
  </si>
  <si>
    <t>RIVERS LUVIE</t>
  </si>
  <si>
    <t>I5010C0018</t>
  </si>
  <si>
    <t>G700000079</t>
  </si>
  <si>
    <t>ROBERTSON LARRY DALE</t>
  </si>
  <si>
    <t>1423 BALTIMORE ROAD</t>
  </si>
  <si>
    <t>27006-7824</t>
  </si>
  <si>
    <t>J40000001901</t>
  </si>
  <si>
    <t>DAVIS PHILLIP</t>
  </si>
  <si>
    <t>146 SCENIC DR</t>
  </si>
  <si>
    <t>J4060A0026</t>
  </si>
  <si>
    <t>ROSSER DAVID ALLEN</t>
  </si>
  <si>
    <t>292 MAGNOLIA AVENUE</t>
  </si>
  <si>
    <t>D20000003002</t>
  </si>
  <si>
    <t>REAVIS BILLY TODD</t>
  </si>
  <si>
    <t>REAVIS PATRICIA RAMSEY</t>
  </si>
  <si>
    <t>3916 SE SCHOOL RD</t>
  </si>
  <si>
    <t>27406-9778</t>
  </si>
  <si>
    <t>H600000048</t>
  </si>
  <si>
    <t>SACHARZEWSKI ANNE</t>
  </si>
  <si>
    <t>134 FOREST VIEW DR</t>
  </si>
  <si>
    <t>27030-4927</t>
  </si>
  <si>
    <t>I4130A0013</t>
  </si>
  <si>
    <t>WILLIAMS CLYDE JR ETAL</t>
  </si>
  <si>
    <t>VANDEVANDER PAULA</t>
  </si>
  <si>
    <t>61 MOSCOW LOOP</t>
  </si>
  <si>
    <t>MOUNT SOLON</t>
  </si>
  <si>
    <t>22843-2606</t>
  </si>
  <si>
    <t>J30000002503</t>
  </si>
  <si>
    <t>SEAMON ZACHARY BAILEY</t>
  </si>
  <si>
    <t>D20000003003</t>
  </si>
  <si>
    <t>REAVIS NANCY MYERS</t>
  </si>
  <si>
    <t>3320 BURKE MILL RD</t>
  </si>
  <si>
    <t>27103-6406</t>
  </si>
  <si>
    <t>E300000083</t>
  </si>
  <si>
    <t>WAGAMAN STACEY</t>
  </si>
  <si>
    <t>1991 ANGELL RD</t>
  </si>
  <si>
    <t>N50000003301</t>
  </si>
  <si>
    <t>N5010B0056</t>
  </si>
  <si>
    <t>N500000082</t>
  </si>
  <si>
    <t>SHORT JOHN M</t>
  </si>
  <si>
    <t>SHORT SANDRA W</t>
  </si>
  <si>
    <t>501 PINERIDGE ROAD</t>
  </si>
  <si>
    <t>G7010A0006</t>
  </si>
  <si>
    <t>STERCHI JOHN MICHAEL REV LIV TRUST</t>
  </si>
  <si>
    <t>STERCHI SHELBY RENEE REV LIV T</t>
  </si>
  <si>
    <t>206 BALTIMORE DOWNS RD</t>
  </si>
  <si>
    <t>27006-7988</t>
  </si>
  <si>
    <t>F80000000101</t>
  </si>
  <si>
    <t>MYERS ANGIE</t>
  </si>
  <si>
    <t>819 BEAUCHAMP RD</t>
  </si>
  <si>
    <t>27006-7412</t>
  </si>
  <si>
    <t>D7020B0002</t>
  </si>
  <si>
    <t>HILL AARON</t>
  </si>
  <si>
    <t>KNUTSON STEPHANIE</t>
  </si>
  <si>
    <t>256 BRENTWOOD DR</t>
  </si>
  <si>
    <t>C70000010104</t>
  </si>
  <si>
    <t>H7020A0034</t>
  </si>
  <si>
    <t>DOBY TOMMIE</t>
  </si>
  <si>
    <t>487 BRIER CREEK RD</t>
  </si>
  <si>
    <t>H5070A0003</t>
  </si>
  <si>
    <t>SHAFER RICHARD L JR</t>
  </si>
  <si>
    <t>265 SAIN RD</t>
  </si>
  <si>
    <t>B300000071</t>
  </si>
  <si>
    <t>BECK GREGORY LEWIS</t>
  </si>
  <si>
    <t>BECK DONNA MARIE PHILLIPS</t>
  </si>
  <si>
    <t>4266 NC HIGHWAY 801 N</t>
  </si>
  <si>
    <t>L5070A001201</t>
  </si>
  <si>
    <t>ALLEN STEPHANIE</t>
  </si>
  <si>
    <t>2083 US HIGHWAY 601 SOUTH</t>
  </si>
  <si>
    <t>E30000006501</t>
  </si>
  <si>
    <t>SINYARD JULIE DIANE TRUSTEE</t>
  </si>
  <si>
    <t>FBO ARYN SINYARD</t>
  </si>
  <si>
    <t>3579 US HIGHWAY 601 N</t>
  </si>
  <si>
    <t>E20000001703</t>
  </si>
  <si>
    <t>SIZEMORE RANDALL</t>
  </si>
  <si>
    <t>SIZEMORE MELINDA</t>
  </si>
  <si>
    <t>720 DUKE WHITTAKER RD</t>
  </si>
  <si>
    <t>J500000037</t>
  </si>
  <si>
    <t>J50000003705</t>
  </si>
  <si>
    <t>J50000003712</t>
  </si>
  <si>
    <t>B30000005212</t>
  </si>
  <si>
    <t>SPILLMAN JOHNNY EUGENE JR</t>
  </si>
  <si>
    <t>SPILLMAN KARA MARIE</t>
  </si>
  <si>
    <t>319 BLEVINS RD</t>
  </si>
  <si>
    <t>G10000000503</t>
  </si>
  <si>
    <t>LONG JOAN SUMMERS</t>
  </si>
  <si>
    <t>2001 VANHAVEN DR</t>
  </si>
  <si>
    <t>K700000019</t>
  </si>
  <si>
    <t>GARLAND EUGENE H JR</t>
  </si>
  <si>
    <t>1021 JOE RD</t>
  </si>
  <si>
    <t>27028-7258</t>
  </si>
  <si>
    <t>H600000091</t>
  </si>
  <si>
    <t>SPARKS B G HEIRS OF</t>
  </si>
  <si>
    <t>1058 CORNATZER ROAD</t>
  </si>
  <si>
    <t>L50000004603</t>
  </si>
  <si>
    <t>CARTER TENNYSON DEAN</t>
  </si>
  <si>
    <t>7014 NC HIGHWAY 801 S</t>
  </si>
  <si>
    <t>L500000046</t>
  </si>
  <si>
    <t>C8010A0206</t>
  </si>
  <si>
    <t>CARPENTER CYNTHIA L</t>
  </si>
  <si>
    <t>130 N FORKE DR</t>
  </si>
  <si>
    <t>H5170A0003</t>
  </si>
  <si>
    <t>VOGLER ZACHARY W</t>
  </si>
  <si>
    <t>VOGLER SARAH F</t>
  </si>
  <si>
    <t>120 BLOSSOM HILL CT</t>
  </si>
  <si>
    <t>G30000000211</t>
  </si>
  <si>
    <t>SHOUN THOMAS A</t>
  </si>
  <si>
    <t>SHOUN WHITNEY C</t>
  </si>
  <si>
    <t>250 WAGNER RD</t>
  </si>
  <si>
    <t>J500000005</t>
  </si>
  <si>
    <t>WESTMORELAND BETH C</t>
  </si>
  <si>
    <t>AKINADE BRANDI C</t>
  </si>
  <si>
    <t>206 GUMBERRY LN</t>
  </si>
  <si>
    <t>27028-5306</t>
  </si>
  <si>
    <t>H4130A0108</t>
  </si>
  <si>
    <t>DAVIDSON KATHY W</t>
  </si>
  <si>
    <t>DAVIDSON ERWIN</t>
  </si>
  <si>
    <t>253 SUMMIT DR</t>
  </si>
  <si>
    <t>O600000075</t>
  </si>
  <si>
    <t>M4130A0004</t>
  </si>
  <si>
    <t>WARREN ROBERT JOSEPH</t>
  </si>
  <si>
    <t>1943 JUNCTION RD</t>
  </si>
  <si>
    <t>C500000057</t>
  </si>
  <si>
    <t>2283 FARMINGTON RD</t>
  </si>
  <si>
    <t>E900000348</t>
  </si>
  <si>
    <t>LANE TODD WILLIAM</t>
  </si>
  <si>
    <t>157 SCOTTSDALE DR</t>
  </si>
  <si>
    <t>I5050B0016</t>
  </si>
  <si>
    <t>LIPSCOMB KRISTOPHER</t>
  </si>
  <si>
    <t>539 WHITNEY RD</t>
  </si>
  <si>
    <t>D70000004902</t>
  </si>
  <si>
    <t>WOMBAUGH BRADLEY STEVEN</t>
  </si>
  <si>
    <t>WOMBAUGH SHANNON ADAMS</t>
  </si>
  <si>
    <t>148 GORDON DRIVE</t>
  </si>
  <si>
    <t>J4050E0006</t>
  </si>
  <si>
    <t>WILES TIMOTHY LEE</t>
  </si>
  <si>
    <t>WILES MELINDA R</t>
  </si>
  <si>
    <t>701 S SALISBURY ST</t>
  </si>
  <si>
    <t>G300000010</t>
  </si>
  <si>
    <t>GLASSCOCK KAREN STORIE (LE)</t>
  </si>
  <si>
    <t>LAYELL ERIN GLASSCOCK (REMAIN)</t>
  </si>
  <si>
    <t>M4130A0009</t>
  </si>
  <si>
    <t>FORBES JOHN</t>
  </si>
  <si>
    <t>2041 JUNCTION RD</t>
  </si>
  <si>
    <t>H80000004307</t>
  </si>
  <si>
    <t>HENRY CHLOE KAYLYNN</t>
  </si>
  <si>
    <t>HENRY REED MONROE</t>
  </si>
  <si>
    <t>1098 BAILEYS CHAPEL RD</t>
  </si>
  <si>
    <t>G300000009</t>
  </si>
  <si>
    <t>BASAN ELSA TERAN</t>
  </si>
  <si>
    <t>110 GRANNAMAN DR</t>
  </si>
  <si>
    <t>27028-4752</t>
  </si>
  <si>
    <t>I4060A0005</t>
  </si>
  <si>
    <t>BAUGHMAN STEVEN JR</t>
  </si>
  <si>
    <t>721 WILKESBORO ST</t>
  </si>
  <si>
    <t>D20000000903</t>
  </si>
  <si>
    <t>LANKFORD MILLARD KENNETH</t>
  </si>
  <si>
    <t>MILLER TONYA W</t>
  </si>
  <si>
    <t>398 LOG CABIN ROAD</t>
  </si>
  <si>
    <t>O60000002103</t>
  </si>
  <si>
    <t>MCEACHERN ALBERTA H</t>
  </si>
  <si>
    <t>4013 ARDSLEY CT</t>
  </si>
  <si>
    <t>27407-7869</t>
  </si>
  <si>
    <t>I80000000801</t>
  </si>
  <si>
    <t>MINOR CRYSTIL LAVON</t>
  </si>
  <si>
    <t>PO BOX 384</t>
  </si>
  <si>
    <t>H700000109</t>
  </si>
  <si>
    <t>BEAUCHAMP KENNETH WAYNE</t>
  </si>
  <si>
    <t>1034 FORK BIXBY RD</t>
  </si>
  <si>
    <t>J5150E0006</t>
  </si>
  <si>
    <t>BROWN S W JR</t>
  </si>
  <si>
    <t>BROWN REBECCA S</t>
  </si>
  <si>
    <t>280 ROLLINGWOOD DR</t>
  </si>
  <si>
    <t>J4060D0030</t>
  </si>
  <si>
    <t>NAYLOR NORA L</t>
  </si>
  <si>
    <t>J4010A0003</t>
  </si>
  <si>
    <t>NAZZARO ADOLPH JOSEPH JR</t>
  </si>
  <si>
    <t>NAZZARO DOROTHY M</t>
  </si>
  <si>
    <t>1380 COUNTY HOME ROAD</t>
  </si>
  <si>
    <t>F80000013905</t>
  </si>
  <si>
    <t>OLIVER DEBORAH E</t>
  </si>
  <si>
    <t>176 MANHATTEN LANE</t>
  </si>
  <si>
    <t>K200000009</t>
  </si>
  <si>
    <t>PHIPPS WALTER C JR</t>
  </si>
  <si>
    <t>140 PHIPPS LANE</t>
  </si>
  <si>
    <t>27028-0274</t>
  </si>
  <si>
    <t>E40000004202</t>
  </si>
  <si>
    <t>PORTER ARIANNA</t>
  </si>
  <si>
    <t>170 CECIL LANE</t>
  </si>
  <si>
    <t>E400000048</t>
  </si>
  <si>
    <t>K4020A0001</t>
  </si>
  <si>
    <t>PRIM LISA SECOR</t>
  </si>
  <si>
    <t>1472 JERICHO CHURCH ROAD</t>
  </si>
  <si>
    <t>E400000010</t>
  </si>
  <si>
    <t>CUSTER LINDSEY</t>
  </si>
  <si>
    <t>CUSTER JENNIFER</t>
  </si>
  <si>
    <t>925 EATONS CHURCH RD</t>
  </si>
  <si>
    <t>E400000011</t>
  </si>
  <si>
    <t>B30000000101</t>
  </si>
  <si>
    <t>ANDERSON MARLA ASHWORTH</t>
  </si>
  <si>
    <t>ANDERSON JON CHRISTOPHER</t>
  </si>
  <si>
    <t>5381 US HIGHWAY 601 N</t>
  </si>
  <si>
    <t>B30000000601</t>
  </si>
  <si>
    <t>D8020A0030</t>
  </si>
  <si>
    <t>AVERETT PHILIP MANLEY</t>
  </si>
  <si>
    <t>AVERETT GENEVA DIANNE</t>
  </si>
  <si>
    <t>1163 RIVERBEND DR</t>
  </si>
  <si>
    <t>C200000006</t>
  </si>
  <si>
    <t>SMITH KAREN M ETAL</t>
  </si>
  <si>
    <t>880 BEN ANDERSON RD</t>
  </si>
  <si>
    <t>I70000005101</t>
  </si>
  <si>
    <t>JONES JERRY D</t>
  </si>
  <si>
    <t>JONES SHERRI W</t>
  </si>
  <si>
    <t>J6100A0015</t>
  </si>
  <si>
    <t>HOOTS KELLY</t>
  </si>
  <si>
    <t>163 N LAKE LOUISE DRIVE</t>
  </si>
  <si>
    <t>I500000011</t>
  </si>
  <si>
    <t>SWICEGOOD TRACY KYLE TRUSTEE</t>
  </si>
  <si>
    <t>125 OAK MEADOW LN</t>
  </si>
  <si>
    <t>27028-5504</t>
  </si>
  <si>
    <t>H40000001302</t>
  </si>
  <si>
    <t>COOK OUT-MOCKSVILLE INC</t>
  </si>
  <si>
    <t>P O BOX 697</t>
  </si>
  <si>
    <t>E500000009</t>
  </si>
  <si>
    <t>SYKES L W</t>
  </si>
  <si>
    <t>SYKES JANE K</t>
  </si>
  <si>
    <t>305 PUDDING RIDGE ROAD</t>
  </si>
  <si>
    <t>G8010A0009</t>
  </si>
  <si>
    <t>MUELLER DENIS</t>
  </si>
  <si>
    <t>MUELLER LINDA DENISE</t>
  </si>
  <si>
    <t>89 BROOKSHIRE CT</t>
  </si>
  <si>
    <t>L500000061</t>
  </si>
  <si>
    <t>STEWART TAMMY B</t>
  </si>
  <si>
    <t>148 OAKDALE CIRCLE</t>
  </si>
  <si>
    <t>D50000002301</t>
  </si>
  <si>
    <t>SCOTT VIRGINIA D</t>
  </si>
  <si>
    <t>I4120D0007</t>
  </si>
  <si>
    <t>WILLIAMS RANDALL</t>
  </si>
  <si>
    <t>HARRIS MELODY</t>
  </si>
  <si>
    <t>193 W CHURCH ST</t>
  </si>
  <si>
    <t>E80000000702</t>
  </si>
  <si>
    <t>WOOTEN BETTY M</t>
  </si>
  <si>
    <t>360 HILCREST DRIVE</t>
  </si>
  <si>
    <t>D50000002305</t>
  </si>
  <si>
    <t>D50000002307</t>
  </si>
  <si>
    <t>O600000015</t>
  </si>
  <si>
    <t>CHUNN-DUNCAN PHYLLIS</t>
  </si>
  <si>
    <t>BROWN BARBARA C</t>
  </si>
  <si>
    <t>2 LAKEPOINT COURT</t>
  </si>
  <si>
    <t>H40000006301</t>
  </si>
  <si>
    <t>GRANT BRAXTEN JORDAN FREDRICK</t>
  </si>
  <si>
    <t>GRANT JASMINE RENA</t>
  </si>
  <si>
    <t>310 COUNTRY LN</t>
  </si>
  <si>
    <t>N5010C0079</t>
  </si>
  <si>
    <t>CORRELL SUE</t>
  </si>
  <si>
    <t>27014-0961</t>
  </si>
  <si>
    <t>B30000005205</t>
  </si>
  <si>
    <t>DESKINS ISABELL LYNN</t>
  </si>
  <si>
    <t>C60000005604</t>
  </si>
  <si>
    <t>DOUTHIT JERRY RANDALL</t>
  </si>
  <si>
    <t>170 SPILLMAN RD</t>
  </si>
  <si>
    <t>D30000002102</t>
  </si>
  <si>
    <t>ELMORE ANNABELLE CRABTREE EST</t>
  </si>
  <si>
    <t>115 CRABTREE ROAD</t>
  </si>
  <si>
    <t>B50000011001A</t>
  </si>
  <si>
    <t>DIMOS KURT ANGLES KATSIGIANNIS</t>
  </si>
  <si>
    <t>DIMOS JESSICA COPPA PEYTON</t>
  </si>
  <si>
    <t>162 PINEVILLE ROAD</t>
  </si>
  <si>
    <t>B30000004803</t>
  </si>
  <si>
    <t>FLEMING RICHARD</t>
  </si>
  <si>
    <t>3202 RAY T MOORE RD</t>
  </si>
  <si>
    <t>27055-6322</t>
  </si>
  <si>
    <t>E50000001407</t>
  </si>
  <si>
    <t>FORTNER RHONDA LEIGH</t>
  </si>
  <si>
    <t>E9150A0051</t>
  </si>
  <si>
    <t>FOSTER GAYLE M</t>
  </si>
  <si>
    <t>147 TALWOOD DR</t>
  </si>
  <si>
    <t>F800000109</t>
  </si>
  <si>
    <t>GAMBILL JUDY C</t>
  </si>
  <si>
    <t>178 DESTINY TRAIL</t>
  </si>
  <si>
    <t>L500000013</t>
  </si>
  <si>
    <t>GARCIA DAVID J</t>
  </si>
  <si>
    <t>GARCIA ELIDED</t>
  </si>
  <si>
    <t>210 GLADSTONE RD</t>
  </si>
  <si>
    <t>N4040A0003</t>
  </si>
  <si>
    <t>CHRISTENSON JEAN MAJEWSKI</t>
  </si>
  <si>
    <t>544 SOUTH MAIN STREET</t>
  </si>
  <si>
    <t>BELVIDERE</t>
  </si>
  <si>
    <t>61008-0000</t>
  </si>
  <si>
    <t>K600000036</t>
  </si>
  <si>
    <t>CROTTS DARRELL L</t>
  </si>
  <si>
    <t>1465 DEADMON ROAD</t>
  </si>
  <si>
    <t>G40000004103</t>
  </si>
  <si>
    <t>HILO ENTERPRISE LLC</t>
  </si>
  <si>
    <t>C70000011902</t>
  </si>
  <si>
    <t>J300000005</t>
  </si>
  <si>
    <t>BOULWARE HOWARD THOMAS</t>
  </si>
  <si>
    <t>514 E HOLLY ST</t>
  </si>
  <si>
    <t>28034-2110</t>
  </si>
  <si>
    <t>D8070D0040</t>
  </si>
  <si>
    <t>GROSE WILLIAM RAYFORD JR</t>
  </si>
  <si>
    <t>140 FAIRWAY DRIVE</t>
  </si>
  <si>
    <t>H80000005008</t>
  </si>
  <si>
    <t>HANCOCK TIFFANY</t>
  </si>
  <si>
    <t>758 BAILEYS CHAPEL RD</t>
  </si>
  <si>
    <t>I5010C0029</t>
  </si>
  <si>
    <t>DEITZ MATTHEW WAYNE</t>
  </si>
  <si>
    <t>1299 N MAIN ST</t>
  </si>
  <si>
    <t>27028-2714</t>
  </si>
  <si>
    <t>D9010B0018</t>
  </si>
  <si>
    <t>HUBERT JERRY F</t>
  </si>
  <si>
    <t>HUBERT ROBYN R</t>
  </si>
  <si>
    <t>164 WARWICKE PL</t>
  </si>
  <si>
    <t>F200000058</t>
  </si>
  <si>
    <t>288 DUKE WHITTAKER ROAD</t>
  </si>
  <si>
    <t>G30000000446</t>
  </si>
  <si>
    <t>SQUIRE SEBASTIAN</t>
  </si>
  <si>
    <t>MCENTIRE SYDNEY</t>
  </si>
  <si>
    <t>233 CULLODEN DR</t>
  </si>
  <si>
    <t>27028-4885</t>
  </si>
  <si>
    <t>J200000041</t>
  </si>
  <si>
    <t>SISTERS GRANT ALWAYS LLC</t>
  </si>
  <si>
    <t>107 OAKLEY CT</t>
  </si>
  <si>
    <t>27263-3436</t>
  </si>
  <si>
    <t>F200000021</t>
  </si>
  <si>
    <t>C5130B0029</t>
  </si>
  <si>
    <t>HOLBROOK GLENDA JARRELL</t>
  </si>
  <si>
    <t>MOKSVILLE</t>
  </si>
  <si>
    <t>I600000070</t>
  </si>
  <si>
    <t>SMITH CHARLES MARVIN</t>
  </si>
  <si>
    <t>SMITH CINDA F</t>
  </si>
  <si>
    <t>612 CORNATZER ROAD</t>
  </si>
  <si>
    <t>C200000003</t>
  </si>
  <si>
    <t>D60000007303</t>
  </si>
  <si>
    <t>HOWARD HOBERT HOOVER</t>
  </si>
  <si>
    <t>HOWARD MARGUERITE LEE PARRISH</t>
  </si>
  <si>
    <t>12530 SOUTH ASH AVE</t>
  </si>
  <si>
    <t>JENKS</t>
  </si>
  <si>
    <t>74037-4998</t>
  </si>
  <si>
    <t>F80000003501</t>
  </si>
  <si>
    <t>JOHNSON HENRY R JR</t>
  </si>
  <si>
    <t>JOHNSON SUE B</t>
  </si>
  <si>
    <t>C10000001901</t>
  </si>
  <si>
    <t>1428 BEAR CREEK CHURCH RD</t>
  </si>
  <si>
    <t>H400000017</t>
  </si>
  <si>
    <t>WATTS ANN MICHELLE</t>
  </si>
  <si>
    <t>9436 SEAGRAPE DR</t>
  </si>
  <si>
    <t>32963-4562</t>
  </si>
  <si>
    <t>N5010C0036</t>
  </si>
  <si>
    <t>WILLIAMS JAMES GREGORY</t>
  </si>
  <si>
    <t>PO BOX 1302</t>
  </si>
  <si>
    <t>G400000056</t>
  </si>
  <si>
    <t>HUBBARD SHANNON</t>
  </si>
  <si>
    <t>2804 NC HIGHWAY 700</t>
  </si>
  <si>
    <t>PELHAM</t>
  </si>
  <si>
    <t>27311-8929</t>
  </si>
  <si>
    <t>M5090B0023</t>
  </si>
  <si>
    <t>GREER JAMES STANFORD</t>
  </si>
  <si>
    <t>GREER EDITH DARLENE</t>
  </si>
  <si>
    <t>P O BOX 1021</t>
  </si>
  <si>
    <t>I400000069</t>
  </si>
  <si>
    <t>CALL HARRY LEE EDWARD</t>
  </si>
  <si>
    <t>130 WIG ST</t>
  </si>
  <si>
    <t>27028-2078</t>
  </si>
  <si>
    <t>I5080A0007</t>
  </si>
  <si>
    <t>HALL C STACY REVOCABLE TRUST</t>
  </si>
  <si>
    <t>2215 PASEO DE LAS AMERICAS</t>
  </si>
  <si>
    <t>STE 25</t>
  </si>
  <si>
    <t>92154-7908</t>
  </si>
  <si>
    <t>I5080A0006</t>
  </si>
  <si>
    <t>J50000001001</t>
  </si>
  <si>
    <t>WARD DAVID JASON</t>
  </si>
  <si>
    <t>WARD CRYSTAL CLEARY</t>
  </si>
  <si>
    <t>1163 US HWY 64 E</t>
  </si>
  <si>
    <t>G30000000435</t>
  </si>
  <si>
    <t>MALLOY ROBERT HAROLD III</t>
  </si>
  <si>
    <t>MALLOY ALEJANDRA PAULINO</t>
  </si>
  <si>
    <t>192 CULLODEN DR</t>
  </si>
  <si>
    <t>C60000009501</t>
  </si>
  <si>
    <t>G30000000455</t>
  </si>
  <si>
    <t>SCHOENING ELIZABETH NICOLE</t>
  </si>
  <si>
    <t>SCHOENING BRET</t>
  </si>
  <si>
    <t>213 CULLODEN DR</t>
  </si>
  <si>
    <t>J6100A0019</t>
  </si>
  <si>
    <t>ALLEN ROY GARLAND</t>
  </si>
  <si>
    <t>ALLEN WANDA J</t>
  </si>
  <si>
    <t>114 N LAKE LOUISE DR</t>
  </si>
  <si>
    <t>H80000005315</t>
  </si>
  <si>
    <t>BARRINGER JIMMY L</t>
  </si>
  <si>
    <t>BARRINGER CHERI A</t>
  </si>
  <si>
    <t>187 COWBOY WAY</t>
  </si>
  <si>
    <t>27006-7370</t>
  </si>
  <si>
    <t>G3050B0009</t>
  </si>
  <si>
    <t>ANGELL ALAN GRAY</t>
  </si>
  <si>
    <t>149 CANA RD</t>
  </si>
  <si>
    <t>F400000049</t>
  </si>
  <si>
    <t>ANGELL-SHERRILL GLENDA</t>
  </si>
  <si>
    <t>C500000082</t>
  </si>
  <si>
    <t>BOLIN LINDSAY EUGENE</t>
  </si>
  <si>
    <t>BOLIN PATSY PHILLIPS</t>
  </si>
  <si>
    <t>2184 NC HIGHWAY 801 NORTH</t>
  </si>
  <si>
    <t>G200000056</t>
  </si>
  <si>
    <t>IJAMES BAPTIST CHURCH DAVIE COUNTY NORTH CAROLINA</t>
  </si>
  <si>
    <t>1038 IJAMES CHURCH RD</t>
  </si>
  <si>
    <t>27028-4830</t>
  </si>
  <si>
    <t>G200000053</t>
  </si>
  <si>
    <t>J5010D0105</t>
  </si>
  <si>
    <t>KAPITANEK DAVID ALAN</t>
  </si>
  <si>
    <t>KAPITANEK SUSAN LOUISE</t>
  </si>
  <si>
    <t>288 WINDING CREEK RD</t>
  </si>
  <si>
    <t>M4120A0016</t>
  </si>
  <si>
    <t>THOMAS BARBARA WHITE</t>
  </si>
  <si>
    <t>THOMAS REUBEN</t>
  </si>
  <si>
    <t>PO BOX 924</t>
  </si>
  <si>
    <t>27014-0924</t>
  </si>
  <si>
    <t>I5010C0016</t>
  </si>
  <si>
    <t>TURNER MARY ANN HEIRS</t>
  </si>
  <si>
    <t>250 RAILROAD STREET</t>
  </si>
  <si>
    <t>I500000024</t>
  </si>
  <si>
    <t>WELLS FARGO MN NA TRUSTEE</t>
  </si>
  <si>
    <t>SOLOMAN MTG LOAN TR SE 2003 NB</t>
  </si>
  <si>
    <t>PO BOX 27767</t>
  </si>
  <si>
    <t>23261-7767</t>
  </si>
  <si>
    <t>E300000012</t>
  </si>
  <si>
    <t>BOBB KRISTA DULL</t>
  </si>
  <si>
    <t>123 EDWARD BECK ROAD</t>
  </si>
  <si>
    <t>G8010A0002  A</t>
  </si>
  <si>
    <t>COX DEBORAH J &amp; DUANE</t>
  </si>
  <si>
    <t>COX PAUL</t>
  </si>
  <si>
    <t>141 LAQUINTA DRIVE</t>
  </si>
  <si>
    <t>N5010C0053</t>
  </si>
  <si>
    <t>HAAS KRISCHAN</t>
  </si>
  <si>
    <t>P O BOX 476</t>
  </si>
  <si>
    <t>G30000000453</t>
  </si>
  <si>
    <t>O600000043</t>
  </si>
  <si>
    <t>HERBISON BRITTANY A</t>
  </si>
  <si>
    <t>HERBISON MATTHEW JAMES</t>
  </si>
  <si>
    <t>615 BOXWOOD CHURCH RD</t>
  </si>
  <si>
    <t>27028-6671</t>
  </si>
  <si>
    <t>C8030A001006</t>
  </si>
  <si>
    <t>FUQUA JENNIFER DOLAN</t>
  </si>
  <si>
    <t>175 PINEWOOD LN # 6</t>
  </si>
  <si>
    <t>M500000027</t>
  </si>
  <si>
    <t>NEWTON PAMELA</t>
  </si>
  <si>
    <t>BUTLER ROXANNE</t>
  </si>
  <si>
    <t>2719 US HIGHWAY 601 S</t>
  </si>
  <si>
    <t>J4060A0025</t>
  </si>
  <si>
    <t>PITTARD AMY PUCKETT</t>
  </si>
  <si>
    <t>284 MAGNOLIA AVE</t>
  </si>
  <si>
    <t>K5090A0035</t>
  </si>
  <si>
    <t>ALLEN DENNIS J</t>
  </si>
  <si>
    <t>127 LAKEWOOD CIR</t>
  </si>
  <si>
    <t>G70000014302</t>
  </si>
  <si>
    <t>STEWART DONALD G</t>
  </si>
  <si>
    <t>STEWART DIANA P</t>
  </si>
  <si>
    <t>240 GRANADA DRIVE</t>
  </si>
  <si>
    <t>D9010A0030</t>
  </si>
  <si>
    <t>GRAHAM KAREN B</t>
  </si>
  <si>
    <t>187 PEMBROOKE RIDGE CT</t>
  </si>
  <si>
    <t>M5090B002301</t>
  </si>
  <si>
    <t>M5090B0025</t>
  </si>
  <si>
    <t>J700000026</t>
  </si>
  <si>
    <t>HAIRSTON CLEMENT</t>
  </si>
  <si>
    <t>5401 TRUOC COURT</t>
  </si>
  <si>
    <t>OXONHILL</t>
  </si>
  <si>
    <t>20745-0000</t>
  </si>
  <si>
    <t>I5010A0013</t>
  </si>
  <si>
    <t>HALL SAVANNAH ESTATE</t>
  </si>
  <si>
    <t>G70000014502</t>
  </si>
  <si>
    <t>HAMILTON DENNIS</t>
  </si>
  <si>
    <t>347 LA QUINTA DR</t>
  </si>
  <si>
    <t>J5040A0006</t>
  </si>
  <si>
    <t>500 E LAKE DR</t>
  </si>
  <si>
    <t>C8010A0413</t>
  </si>
  <si>
    <t>MORRIS GREGORY</t>
  </si>
  <si>
    <t>216 PARKVIEW LN</t>
  </si>
  <si>
    <t>27006-8790</t>
  </si>
  <si>
    <t>I4070A0002</t>
  </si>
  <si>
    <t>SEAFORD JEFFREY</t>
  </si>
  <si>
    <t>27028-0998</t>
  </si>
  <si>
    <t>L5140A000101</t>
  </si>
  <si>
    <t>HOBSON KAYLA FORTNER</t>
  </si>
  <si>
    <t>HOBSON JOHN ZACHARIAS</t>
  </si>
  <si>
    <t>2470 US HIGHWAY 601 S</t>
  </si>
  <si>
    <t>B300000032</t>
  </si>
  <si>
    <t>BILLIPHS JESSIE</t>
  </si>
  <si>
    <t>% JAMES DESKINS</t>
  </si>
  <si>
    <t>5220 US HIGHWAY 601 N</t>
  </si>
  <si>
    <t>27028-6219</t>
  </si>
  <si>
    <t>I5160A0021</t>
  </si>
  <si>
    <t>CARSON RACHEL</t>
  </si>
  <si>
    <t>227 NEELY STREET</t>
  </si>
  <si>
    <t>L40000000108</t>
  </si>
  <si>
    <t>GREEN JOHN BRANDON (REM)</t>
  </si>
  <si>
    <t>GREEN JOHN WAYNE (LE)</t>
  </si>
  <si>
    <t>835 JUNCTION RD</t>
  </si>
  <si>
    <t>K300000059</t>
  </si>
  <si>
    <t>L40000000107</t>
  </si>
  <si>
    <t>M5160A0006</t>
  </si>
  <si>
    <t>MCMANUS GEORGE RICHARD</t>
  </si>
  <si>
    <t>MCMANUS LUZIA</t>
  </si>
  <si>
    <t>PO BOX 1002</t>
  </si>
  <si>
    <t>27014-1002</t>
  </si>
  <si>
    <t>G30000000444</t>
  </si>
  <si>
    <t>GERALD JAMES BARRY JR</t>
  </si>
  <si>
    <t>AZMON ASHLEY ELIZABETH</t>
  </si>
  <si>
    <t>236 CULLODEN DR</t>
  </si>
  <si>
    <t>J7010A001302</t>
  </si>
  <si>
    <t>BRAUN ROBERT JACOB</t>
  </si>
  <si>
    <t>186 HICKORY TREE RD</t>
  </si>
  <si>
    <t>I5160A0022</t>
  </si>
  <si>
    <t>D9090B0021</t>
  </si>
  <si>
    <t>JEROME JOHN LONDON</t>
  </si>
  <si>
    <t>175 OLEANDER DR</t>
  </si>
  <si>
    <t>J4030A0008</t>
  </si>
  <si>
    <t>FITCHETTE GLEN</t>
  </si>
  <si>
    <t>FITCHETTE LAURA</t>
  </si>
  <si>
    <t>649 SANFORD AVE</t>
  </si>
  <si>
    <t>F300000036</t>
  </si>
  <si>
    <t>IJAMES RUFUS EARL</t>
  </si>
  <si>
    <t>173 PINEDELL ACRE DR</t>
  </si>
  <si>
    <t>G8010C0007</t>
  </si>
  <si>
    <t>MACDONALD WILLIAM SCOTT</t>
  </si>
  <si>
    <t>156 MCDANIEL ROAD</t>
  </si>
  <si>
    <t>M4050B0008</t>
  </si>
  <si>
    <t>SHOUSE HERMAN LEE</t>
  </si>
  <si>
    <t>SHOUSE CHERYL</t>
  </si>
  <si>
    <t>175 STONE WOOD RD</t>
  </si>
  <si>
    <t>O600000005</t>
  </si>
  <si>
    <t>FRYE GAIL CARTER</t>
  </si>
  <si>
    <t>149 PETES LN</t>
  </si>
  <si>
    <t>M5060B0029</t>
  </si>
  <si>
    <t>221 HOBSON STREET</t>
  </si>
  <si>
    <t>E5020A003501</t>
  </si>
  <si>
    <t>CLARK JAMES TRUMAN JR</t>
  </si>
  <si>
    <t>300 FINSBURY ST</t>
  </si>
  <si>
    <t>UNIT 111</t>
  </si>
  <si>
    <t>27703-8231</t>
  </si>
  <si>
    <t>I50000001302</t>
  </si>
  <si>
    <t>PRESTWOOD RONALD DOUGLAS</t>
  </si>
  <si>
    <t>PRESTWOOD SANDRA HOWELL</t>
  </si>
  <si>
    <t>387 MILLING ROAD</t>
  </si>
  <si>
    <t>27028-2753</t>
  </si>
  <si>
    <t>I50000001503</t>
  </si>
  <si>
    <t>M5120A0001</t>
  </si>
  <si>
    <t>DAVIS SKYLER</t>
  </si>
  <si>
    <t>2957 US HIGHWAY 601 S</t>
  </si>
  <si>
    <t>E7140A0013</t>
  </si>
  <si>
    <t>HOELLE CHRISTOPHER J</t>
  </si>
  <si>
    <t>HOELLE DIANA S</t>
  </si>
  <si>
    <t>178 GRAYWOOD CT</t>
  </si>
  <si>
    <t>L5100A0004</t>
  </si>
  <si>
    <t>BEAVER DONALD MAX</t>
  </si>
  <si>
    <t>BEAVER LENORA</t>
  </si>
  <si>
    <t>132 GRASSY COVE TRL</t>
  </si>
  <si>
    <t>E5020A0035</t>
  </si>
  <si>
    <t>C600000016</t>
  </si>
  <si>
    <t>MARCH KENDRA DORRETTE</t>
  </si>
  <si>
    <t>1756 OWLS TRL</t>
  </si>
  <si>
    <t>27284-9808</t>
  </si>
  <si>
    <t>G90000001302</t>
  </si>
  <si>
    <t>BOWDEN J M RES TRUST</t>
  </si>
  <si>
    <t>BOWDEN BETTY L RES TRUST</t>
  </si>
  <si>
    <t>LESLIE ALLISON BOWDEN TRUSTEE</t>
  </si>
  <si>
    <t>PO BOX 144</t>
  </si>
  <si>
    <t>G30000000433</t>
  </si>
  <si>
    <t>HARRIS MADISON BROOKE</t>
  </si>
  <si>
    <t>WATSON JONATHON LEE</t>
  </si>
  <si>
    <t>180 CULLODEN DR</t>
  </si>
  <si>
    <t>E700000117</t>
  </si>
  <si>
    <t>PEAK DEBORAH GAIL HENDRIX</t>
  </si>
  <si>
    <t>1975 DARWICK RD</t>
  </si>
  <si>
    <t>27127-8711</t>
  </si>
  <si>
    <t>H4130A0074</t>
  </si>
  <si>
    <t>JONES ELIZABETH MAE</t>
  </si>
  <si>
    <t>242 SUMMIT DR</t>
  </si>
  <si>
    <t>K700000008</t>
  </si>
  <si>
    <t>SHULER JO ANN</t>
  </si>
  <si>
    <t>BROWN JUDITH SHULER</t>
  </si>
  <si>
    <t>806 JOE RD</t>
  </si>
  <si>
    <t>I600000072</t>
  </si>
  <si>
    <t>CARTER ALTON SMITH</t>
  </si>
  <si>
    <t>HARPE KATHY FAY SMITH</t>
  </si>
  <si>
    <t>361 S SALISBURY ST</t>
  </si>
  <si>
    <t>27028-2525</t>
  </si>
  <si>
    <t>G800000052</t>
  </si>
  <si>
    <t>212 SOWERS LN</t>
  </si>
  <si>
    <t>27006-7050</t>
  </si>
  <si>
    <t>G800000054</t>
  </si>
  <si>
    <t>C600000011</t>
  </si>
  <si>
    <t>M4120A0022</t>
  </si>
  <si>
    <t>GOFORTH ISAIAH JACKSON</t>
  </si>
  <si>
    <t>GOFORTH SARAH RENE</t>
  </si>
  <si>
    <t>1028 GLADSTONE RD</t>
  </si>
  <si>
    <t>G80000001301</t>
  </si>
  <si>
    <t>BARNUM MELISSA HENDRIX</t>
  </si>
  <si>
    <t>394 BEVERLY CT</t>
  </si>
  <si>
    <t>MELBOURNE BCH</t>
  </si>
  <si>
    <t>32951-3543</t>
  </si>
  <si>
    <t>H4130A0002</t>
  </si>
  <si>
    <t>BOULTON PROPERTIES LLC</t>
  </si>
  <si>
    <t>% RENU PROPERTY MGMT LLC</t>
  </si>
  <si>
    <t>2325 POINTE PKWY STE 250</t>
  </si>
  <si>
    <t>46032-3295</t>
  </si>
  <si>
    <t>G30000000448</t>
  </si>
  <si>
    <t>ALUME GABRIEL JR</t>
  </si>
  <si>
    <t>ALUME LISA</t>
  </si>
  <si>
    <t>254 CULLODEN DR</t>
  </si>
  <si>
    <t>H7120B0003</t>
  </si>
  <si>
    <t>BOSTICK JENNIFER ASHLEY</t>
  </si>
  <si>
    <t>BOSTICK ANDREW SCOTT</t>
  </si>
  <si>
    <t>128 OLD DUTCH RD</t>
  </si>
  <si>
    <t>27006-7667</t>
  </si>
  <si>
    <t>J700000016</t>
  </si>
  <si>
    <t>BLUMHOFF JAMES JR</t>
  </si>
  <si>
    <t>JOHNSON ANN</t>
  </si>
  <si>
    <t>2472 US HIGHWAY 64 E</t>
  </si>
  <si>
    <t>E300000014</t>
  </si>
  <si>
    <t>BECK RICKIE LEE</t>
  </si>
  <si>
    <t>27028-5758</t>
  </si>
  <si>
    <t>F500000009</t>
  </si>
  <si>
    <t>CRAIG HANS H</t>
  </si>
  <si>
    <t>BEEDING DONALD W</t>
  </si>
  <si>
    <t>179 DUSTY HILL RD</t>
  </si>
  <si>
    <t>E9150B0019</t>
  </si>
  <si>
    <t>MORGAN MOLLY</t>
  </si>
  <si>
    <t>141 ORCHARD PARK DR</t>
  </si>
  <si>
    <t>C400000018</t>
  </si>
  <si>
    <t>BLEVINS ANGELA MARIE</t>
  </si>
  <si>
    <t>3750 US HIGHWAY 801 N</t>
  </si>
  <si>
    <t>C40000001703</t>
  </si>
  <si>
    <t>G50000008105</t>
  </si>
  <si>
    <t>PETERS RENEE</t>
  </si>
  <si>
    <t>PETERS CAITLIN</t>
  </si>
  <si>
    <t>2542 US HIGHWAY 158</t>
  </si>
  <si>
    <t>J100000064</t>
  </si>
  <si>
    <t>MCDANIEL JOSH</t>
  </si>
  <si>
    <t>MCDANIEL MARLA</t>
  </si>
  <si>
    <t>2595 US HIGHWAY 601 S</t>
  </si>
  <si>
    <t>H60000002803</t>
  </si>
  <si>
    <t>HENNINGER JEREMIAH</t>
  </si>
  <si>
    <t>HENNINGER L KYRIE</t>
  </si>
  <si>
    <t>2076 MILLING ROAD</t>
  </si>
  <si>
    <t>H600000028</t>
  </si>
  <si>
    <t>I5060B0005</t>
  </si>
  <si>
    <t>ROMERO JOSE REMBERT ZELAYA</t>
  </si>
  <si>
    <t>MARTINEZ MARIA REINA</t>
  </si>
  <si>
    <t>315 MORSE ST</t>
  </si>
  <si>
    <t>L5150A0005</t>
  </si>
  <si>
    <t>THOMAS NICHOLE K</t>
  </si>
  <si>
    <t>THOMAS JAMES R</t>
  </si>
  <si>
    <t>2388 US HIGHWAY 601 S</t>
  </si>
  <si>
    <t>L40000000106</t>
  </si>
  <si>
    <t>I4130D0019</t>
  </si>
  <si>
    <t>BISHOP CONNIE L</t>
  </si>
  <si>
    <t>526 MERRELLS LAKE ROAD</t>
  </si>
  <si>
    <t>I700000006</t>
  </si>
  <si>
    <t>L700000024</t>
  </si>
  <si>
    <t>ROTHROCK AARON</t>
  </si>
  <si>
    <t>BOWEN MARY</t>
  </si>
  <si>
    <t>112 DUTCHMAN CREEK RD</t>
  </si>
  <si>
    <t>27006-7216</t>
  </si>
  <si>
    <t>E300000082</t>
  </si>
  <si>
    <t>KIESTLER TERRY</t>
  </si>
  <si>
    <t>1951 ANGELL RD</t>
  </si>
  <si>
    <t>J6090A0008</t>
  </si>
  <si>
    <t>HOOVER ERWIN LEE JR</t>
  </si>
  <si>
    <t>161 ERIC ROAD</t>
  </si>
  <si>
    <t>D20000002905</t>
  </si>
  <si>
    <t>REAVIS CRAIG RANDALL</t>
  </si>
  <si>
    <t>455 DUARD REAVIS RD</t>
  </si>
  <si>
    <t>K70000004104</t>
  </si>
  <si>
    <t>KOEPSELL JAMES P</t>
  </si>
  <si>
    <t>IBARRA FRANCISCA J</t>
  </si>
  <si>
    <t>11621 FOX TROT DR</t>
  </si>
  <si>
    <t>28269-1545</t>
  </si>
  <si>
    <t>K700000071</t>
  </si>
  <si>
    <t>K70000004105</t>
  </si>
  <si>
    <t>K70000004004</t>
  </si>
  <si>
    <t>D20000002901</t>
  </si>
  <si>
    <t>M5090C0009</t>
  </si>
  <si>
    <t>PRUITT ESTELLA P 99.5%</t>
  </si>
  <si>
    <t>DICKERSON NICOLE P .50%</t>
  </si>
  <si>
    <t>PO BOX 531</t>
  </si>
  <si>
    <t>27014-0531</t>
  </si>
  <si>
    <t>J40000003604</t>
  </si>
  <si>
    <t>SMITH DAVID K</t>
  </si>
  <si>
    <t>129 DELAWARE CT</t>
  </si>
  <si>
    <t>27028-5198</t>
  </si>
  <si>
    <t>J40000003603</t>
  </si>
  <si>
    <t>J40000003626</t>
  </si>
  <si>
    <t>I5010A0010</t>
  </si>
  <si>
    <t>IJAMES JAMES EDWARD</t>
  </si>
  <si>
    <t>IJAMES JOSEPHINE H</t>
  </si>
  <si>
    <t>H500000250</t>
  </si>
  <si>
    <t>ANGELL RICHARD L</t>
  </si>
  <si>
    <t>ANGELL CAROL K</t>
  </si>
  <si>
    <t>233 FARMLAND ROAD</t>
  </si>
  <si>
    <t>E60000005603</t>
  </si>
  <si>
    <t>MORAN HASSEL J</t>
  </si>
  <si>
    <t>MORAN APRIL H</t>
  </si>
  <si>
    <t>170  WINDRUSH LN</t>
  </si>
  <si>
    <t>N60000007718</t>
  </si>
  <si>
    <t>TOLLIE SCOTTY LEE JR</t>
  </si>
  <si>
    <t>TOLLIE MELISSA ANN</t>
  </si>
  <si>
    <t>259 SINGLETON RD</t>
  </si>
  <si>
    <t>27028-6835</t>
  </si>
  <si>
    <t>C8010D0035</t>
  </si>
  <si>
    <t>STRICKLAND PATRISHA ANN</t>
  </si>
  <si>
    <t>122 PENDLETON DR</t>
  </si>
  <si>
    <t>I60000003604</t>
  </si>
  <si>
    <t>PAGUAGA GERMAN ADOLFO</t>
  </si>
  <si>
    <t>4100 GLADSTONBURY RD</t>
  </si>
  <si>
    <t>27104-5208</t>
  </si>
  <si>
    <t>E30000008901</t>
  </si>
  <si>
    <t>COHEN RICHARD</t>
  </si>
  <si>
    <t>I5050A0027</t>
  </si>
  <si>
    <t>G8060A0006</t>
  </si>
  <si>
    <t>MALLARD ROBERT A</t>
  </si>
  <si>
    <t>MALLARD J REBECCA</t>
  </si>
  <si>
    <t>131 SPRINGDALE COURT</t>
  </si>
  <si>
    <t>B30000005207</t>
  </si>
  <si>
    <t>KNIGHT MARY P</t>
  </si>
  <si>
    <t>322 BLEVINS RD</t>
  </si>
  <si>
    <t>M700000001</t>
  </si>
  <si>
    <t>BARNHARDT TODD A ETAL</t>
  </si>
  <si>
    <t>235 KRESS VENTURE RD</t>
  </si>
  <si>
    <t>28023-8410</t>
  </si>
  <si>
    <t>G90000005001</t>
  </si>
  <si>
    <t>G90000001312</t>
  </si>
  <si>
    <t>G50000006305</t>
  </si>
  <si>
    <t>BRITO RICHARD</t>
  </si>
  <si>
    <t>BRITO AMY</t>
  </si>
  <si>
    <t>4444 COOPER RD</t>
  </si>
  <si>
    <t>27127-8856</t>
  </si>
  <si>
    <t>G50000006306</t>
  </si>
  <si>
    <t>D300000044</t>
  </si>
  <si>
    <t>HART O J JR M D</t>
  </si>
  <si>
    <t>G200000032</t>
  </si>
  <si>
    <t>ELDER CORY T</t>
  </si>
  <si>
    <t>ELDER KACEY S</t>
  </si>
  <si>
    <t>745 SHEFFIELD RD</t>
  </si>
  <si>
    <t>G10000003701</t>
  </si>
  <si>
    <t>G100000050</t>
  </si>
  <si>
    <t>G200000031</t>
  </si>
  <si>
    <t>K20000004002</t>
  </si>
  <si>
    <t>KOONTZ LUKE EVERETT</t>
  </si>
  <si>
    <t>521 RIDGE RD</t>
  </si>
  <si>
    <t>L500000102</t>
  </si>
  <si>
    <t>BURTON VIRGINIA BROOKS</t>
  </si>
  <si>
    <t>6748 US HIGHWAY 801 SOUTH</t>
  </si>
  <si>
    <t>L500000082</t>
  </si>
  <si>
    <t>H9080B0009</t>
  </si>
  <si>
    <t>FISHEL CHRISTOPHER SCOTT</t>
  </si>
  <si>
    <t>FISHEL ISRAEL GOHEEN</t>
  </si>
  <si>
    <t>147 SHERWOOD CT</t>
  </si>
  <si>
    <t>K20000002709</t>
  </si>
  <si>
    <t>BROWN MELANIE F</t>
  </si>
  <si>
    <t>181 FOSTER RD</t>
  </si>
  <si>
    <t>K5100A0018</t>
  </si>
  <si>
    <t>BROWN WHEATLEY S ESTATE</t>
  </si>
  <si>
    <t>D8070A0050</t>
  </si>
  <si>
    <t>WALKER BARBARA GALE</t>
  </si>
  <si>
    <t>182 GOLFVIEW DR</t>
  </si>
  <si>
    <t>I5020A000101</t>
  </si>
  <si>
    <t>MARSHALL GREGORY R</t>
  </si>
  <si>
    <t>MARSHALL KIMBERLY PORTER</t>
  </si>
  <si>
    <t>229 CAROLINA ST</t>
  </si>
  <si>
    <t>27028-2728</t>
  </si>
  <si>
    <t>E900000386</t>
  </si>
  <si>
    <t>HARRIS GLORIA J MATTHEWS TRUSTEE</t>
  </si>
  <si>
    <t>246 BROADMOOR DRIVE</t>
  </si>
  <si>
    <t>E700000022</t>
  </si>
  <si>
    <t>BLACKWELL BETTY LOY ETAL</t>
  </si>
  <si>
    <t>STEELE BETTY LUCILLE</t>
  </si>
  <si>
    <t>J700000002</t>
  </si>
  <si>
    <t>PEEBLES ERICK WOODROW</t>
  </si>
  <si>
    <t>112 ASH DR</t>
  </si>
  <si>
    <t>G300000046</t>
  </si>
  <si>
    <t>JOHNSON ELENDER GREY</t>
  </si>
  <si>
    <t>155 CARAVAN LN</t>
  </si>
  <si>
    <t>M4130A0007</t>
  </si>
  <si>
    <t>HOWELL RONALD LEE</t>
  </si>
  <si>
    <t>HOWELL SHELIA A</t>
  </si>
  <si>
    <t>2301 BEAVER POND RD</t>
  </si>
  <si>
    <t>L500000048</t>
  </si>
  <si>
    <t>CARTER NORMAN G</t>
  </si>
  <si>
    <t>CARTER JAMIE M</t>
  </si>
  <si>
    <t>E8110B0017</t>
  </si>
  <si>
    <t>MORANG MICHAEL J</t>
  </si>
  <si>
    <t>MORANG ELIZABETH A</t>
  </si>
  <si>
    <t>301 RIVER ROAD</t>
  </si>
  <si>
    <t>G30000000440</t>
  </si>
  <si>
    <t>BURNETT JENNIFER HUDGINS</t>
  </si>
  <si>
    <t>BOTTOMS KEVIN LEE</t>
  </si>
  <si>
    <t>226 CULLODEN DR</t>
  </si>
  <si>
    <t>O600000014</t>
  </si>
  <si>
    <t>HOSCH RUFUS</t>
  </si>
  <si>
    <t>1417 OLD WILKESBORO RD</t>
  </si>
  <si>
    <t>28144-3960</t>
  </si>
  <si>
    <t>N60000006302</t>
  </si>
  <si>
    <t>D9020A0011</t>
  </si>
  <si>
    <t>SCOVIL RICHARD</t>
  </si>
  <si>
    <t>SIMPSON KAREN REED</t>
  </si>
  <si>
    <t>503 BING CROSBY BLVD</t>
  </si>
  <si>
    <t>L600000062</t>
  </si>
  <si>
    <t>TAYLOR RICKEY J</t>
  </si>
  <si>
    <t>5757 NC HIGHWAY 801 S</t>
  </si>
  <si>
    <t>J70000002804</t>
  </si>
  <si>
    <t>J70000002801</t>
  </si>
  <si>
    <t>K70000003401</t>
  </si>
  <si>
    <t>LEWIS ALVIN</t>
  </si>
  <si>
    <t>LEWIS SANDRA</t>
  </si>
  <si>
    <t>202 MASON DRIVE</t>
  </si>
  <si>
    <t>I5110A0018</t>
  </si>
  <si>
    <t>THOMAS RICHARD</t>
  </si>
  <si>
    <t>325 MOUNTVIEW DR</t>
  </si>
  <si>
    <t>27028-2840</t>
  </si>
  <si>
    <t>K700000034</t>
  </si>
  <si>
    <t>H500000209</t>
  </si>
  <si>
    <t>L5070A0002</t>
  </si>
  <si>
    <t>LYONS RICHMOND ESTATE</t>
  </si>
  <si>
    <t>HAIRSTON MARY</t>
  </si>
  <si>
    <t>148 HOLLOW HILL COURT</t>
  </si>
  <si>
    <t>C50000001904</t>
  </si>
  <si>
    <t>WHITAKER LETTIE LOU WHITE</t>
  </si>
  <si>
    <t>1890 CANA RD</t>
  </si>
  <si>
    <t>C50000001903</t>
  </si>
  <si>
    <t>BANKS SARAH WHITAKER</t>
  </si>
  <si>
    <t>117 BANKS RD</t>
  </si>
  <si>
    <t>27006-6751</t>
  </si>
  <si>
    <t>C500000019</t>
  </si>
  <si>
    <t>BANKS JAIME LOU</t>
  </si>
  <si>
    <t>K30000002902</t>
  </si>
  <si>
    <t>BADRA KATHRYN</t>
  </si>
  <si>
    <t>111 ADAMS RD</t>
  </si>
  <si>
    <t>H5070A000101</t>
  </si>
  <si>
    <t>COOK ROBERT</t>
  </si>
  <si>
    <t>K8090A0023</t>
  </si>
  <si>
    <t>SHARPE TORIE</t>
  </si>
  <si>
    <t>SHARPE NAKEETA</t>
  </si>
  <si>
    <t>609 N CAROLINA AVE</t>
  </si>
  <si>
    <t>28677-3330</t>
  </si>
  <si>
    <t>G3060A0004</t>
  </si>
  <si>
    <t>ALLISON JERRIC</t>
  </si>
  <si>
    <t>268 IJAMES CHURCH RD</t>
  </si>
  <si>
    <t>H30000006103</t>
  </si>
  <si>
    <t>JONES HARLES ROGER JR</t>
  </si>
  <si>
    <t>JONES KIMBERLY WRIGHT</t>
  </si>
  <si>
    <t>2006 US HIGHWAY 64 W</t>
  </si>
  <si>
    <t>C50000005719</t>
  </si>
  <si>
    <t>BIRDSONG RICHARD DOUGLAS</t>
  </si>
  <si>
    <t>BIRDSONG TONEA LEIGH</t>
  </si>
  <si>
    <t>2255 FARMINGTON RD</t>
  </si>
  <si>
    <t>I400000046</t>
  </si>
  <si>
    <t>FURCHES DEBORAH DAVIS</t>
  </si>
  <si>
    <t>141 ROBERSON DR</t>
  </si>
  <si>
    <t>F3130A0030</t>
  </si>
  <si>
    <t>HUDSPETH BOBBY G</t>
  </si>
  <si>
    <t>HUDSPETH ANN C</t>
  </si>
  <si>
    <t>124 PEPPERSTONE PLACE</t>
  </si>
  <si>
    <t>I4030A0008</t>
  </si>
  <si>
    <t>IBUFF LLC</t>
  </si>
  <si>
    <t>4609 OAK PARK DR</t>
  </si>
  <si>
    <t>27040-9701</t>
  </si>
  <si>
    <t>G70000004701</t>
  </si>
  <si>
    <t>MASTERS TRAVIS H</t>
  </si>
  <si>
    <t>J5010A0012</t>
  </si>
  <si>
    <t>MAYA JUAN CARLOS</t>
  </si>
  <si>
    <t>168 WILLIAMS STREET</t>
  </si>
  <si>
    <t>27028-6673</t>
  </si>
  <si>
    <t>E5020A0011</t>
  </si>
  <si>
    <t>SHELTON MARVIN WALTON</t>
  </si>
  <si>
    <t>SHELTON TONI WRIGHTS</t>
  </si>
  <si>
    <t>348 CORNWALLIS DR</t>
  </si>
  <si>
    <t>I5010A002002</t>
  </si>
  <si>
    <t>SELLERS ANGIE C</t>
  </si>
  <si>
    <t>SELLERS ANTHONY W</t>
  </si>
  <si>
    <t>153 HOLMAN ST</t>
  </si>
  <si>
    <t>27028-4807</t>
  </si>
  <si>
    <t>F3130A0040</t>
  </si>
  <si>
    <t>OLIVER DALTON</t>
  </si>
  <si>
    <t>OLIVER BREANNA</t>
  </si>
  <si>
    <t>125 PEPPERSTONE DR</t>
  </si>
  <si>
    <t>J5090A000701</t>
  </si>
  <si>
    <t>CABRERA GERARDO</t>
  </si>
  <si>
    <t>6320 WAYNE ST</t>
  </si>
  <si>
    <t>77026-0000</t>
  </si>
  <si>
    <t>J5160B0011</t>
  </si>
  <si>
    <t>HUNCKLER REAL ESTATE HOLDINGS LLC</t>
  </si>
  <si>
    <t>162 GREENWOOD AVE</t>
  </si>
  <si>
    <t>J5160B0007</t>
  </si>
  <si>
    <t>J5160C000901</t>
  </si>
  <si>
    <t>B40000002002</t>
  </si>
  <si>
    <t>MILLER JEFFREY A</t>
  </si>
  <si>
    <t>MILLER CARMEN S</t>
  </si>
  <si>
    <t>644 BONKIN LAKE ROAD</t>
  </si>
  <si>
    <t>L60000003703</t>
  </si>
  <si>
    <t>CROTTS JAMEY LEE</t>
  </si>
  <si>
    <t>P O BOX 381</t>
  </si>
  <si>
    <t>B40000002001</t>
  </si>
  <si>
    <t>C8030B0015</t>
  </si>
  <si>
    <t>KETCHIE PAIGE NICOLE</t>
  </si>
  <si>
    <t>304 TOWN PARK DR UNIT 301</t>
  </si>
  <si>
    <t>27006-8630</t>
  </si>
  <si>
    <t>L500000049</t>
  </si>
  <si>
    <t>K500000083</t>
  </si>
  <si>
    <t>M5030A0027</t>
  </si>
  <si>
    <t>MILLER DAVID RAY ETAL</t>
  </si>
  <si>
    <t>KARNES PATRICIA BECK</t>
  </si>
  <si>
    <t>PO BOX 603</t>
  </si>
  <si>
    <t>G80000005601</t>
  </si>
  <si>
    <t>ADAMS KYLA</t>
  </si>
  <si>
    <t>209 SOWERS LN</t>
  </si>
  <si>
    <t>G10000003102</t>
  </si>
  <si>
    <t>GARRISON SANDRA H</t>
  </si>
  <si>
    <t>FRYE ROXANNE E</t>
  </si>
  <si>
    <t>348 PINEY GROVE RD</t>
  </si>
  <si>
    <t>28634-9014</t>
  </si>
  <si>
    <t>G10000003103</t>
  </si>
  <si>
    <t>D200000031</t>
  </si>
  <si>
    <t>ALLISON DAWN MARIE RUST</t>
  </si>
  <si>
    <t>1331 LIBERTY CHURCH RD</t>
  </si>
  <si>
    <t>N500000025</t>
  </si>
  <si>
    <t>MCDANIEL CHARLES M</t>
  </si>
  <si>
    <t>MCDANIEL LORIS W</t>
  </si>
  <si>
    <t>548 WHITE OAKS DR</t>
  </si>
  <si>
    <t>APT 121</t>
  </si>
  <si>
    <t>28147-8183</t>
  </si>
  <si>
    <t>G100000025</t>
  </si>
  <si>
    <t>1336 COUNTY LINE RD</t>
  </si>
  <si>
    <t>K700000049</t>
  </si>
  <si>
    <t>CORNATZER SYDNEY</t>
  </si>
  <si>
    <t>235 SEAFORD RD</t>
  </si>
  <si>
    <t>J4040G0016</t>
  </si>
  <si>
    <t>SANTIBANEZ NOLBERTO FLORES</t>
  </si>
  <si>
    <t>1072 US HIGHWAY 64 W</t>
  </si>
  <si>
    <t>F70000000314</t>
  </si>
  <si>
    <t>FRAZIER KEVIN JOSEPH</t>
  </si>
  <si>
    <t>115 BRIARWOOD CT</t>
  </si>
  <si>
    <t>27012-9023</t>
  </si>
  <si>
    <t>F200000036</t>
  </si>
  <si>
    <t>MYERS DAVID T</t>
  </si>
  <si>
    <t>1342 SHEFFIELD ROAD</t>
  </si>
  <si>
    <t>C80000000104</t>
  </si>
  <si>
    <t>HENDERSON RICKY ALAN</t>
  </si>
  <si>
    <t>204 TERRACE DRIVE</t>
  </si>
  <si>
    <t>ANDERSON</t>
  </si>
  <si>
    <t>E900000148</t>
  </si>
  <si>
    <t>BARNETTE CREIGHTON</t>
  </si>
  <si>
    <t>BARNETTE TERESA</t>
  </si>
  <si>
    <t>399 KINGSMILL DR</t>
  </si>
  <si>
    <t>E900000527</t>
  </si>
  <si>
    <t>TOBUREN FREDERICK WILLAIM</t>
  </si>
  <si>
    <t>TOBUREN JULIA KIMBALL</t>
  </si>
  <si>
    <t>323 N HIDDENBROOKE DR</t>
  </si>
  <si>
    <t>G200000058</t>
  </si>
  <si>
    <t>HOBSON KENNEDY E</t>
  </si>
  <si>
    <t>HOBSON PHOEBE M</t>
  </si>
  <si>
    <t>G20000005302</t>
  </si>
  <si>
    <t>L3010A0005</t>
  </si>
  <si>
    <t>HEAD KIERSTYN ELIZABETH NICOLE</t>
  </si>
  <si>
    <t>181 TARA CT</t>
  </si>
  <si>
    <t>M5070A0032</t>
  </si>
  <si>
    <t>PINKERMAN JACK N JR</t>
  </si>
  <si>
    <t>FEI CHUNYA</t>
  </si>
  <si>
    <t>402 AMIABLE LOOP</t>
  </si>
  <si>
    <t>27519-5548</t>
  </si>
  <si>
    <t>J30000000902</t>
  </si>
  <si>
    <t>BUTLER GREGORY</t>
  </si>
  <si>
    <t>CRYSTAL WEBB</t>
  </si>
  <si>
    <t>504 DAVIE ACADEMY RD</t>
  </si>
  <si>
    <t>D8060B0007</t>
  </si>
  <si>
    <t>HALL ROBERT W</t>
  </si>
  <si>
    <t>HALL VIRGINIA M</t>
  </si>
  <si>
    <t>141 BENT STREET</t>
  </si>
  <si>
    <t>I5010A0009</t>
  </si>
  <si>
    <t>ETCHISON JOSEPH D</t>
  </si>
  <si>
    <t>ETCHISON TOULOP YVONNE PARKS</t>
  </si>
  <si>
    <t>410 MORSE STREET</t>
  </si>
  <si>
    <t>27028-2828</t>
  </si>
  <si>
    <t>G500000089</t>
  </si>
  <si>
    <t>J10000004201</t>
  </si>
  <si>
    <t>SEAMON JANNA CHEREE</t>
  </si>
  <si>
    <t>1240 RIDGE RD</t>
  </si>
  <si>
    <t>D200000014</t>
  </si>
  <si>
    <t>SHOFFNER MARGARET J</t>
  </si>
  <si>
    <t>785 BEAR CREEK CHURCH ROAD</t>
  </si>
  <si>
    <t>D3010A0005</t>
  </si>
  <si>
    <t>SAIN ADAM PARKS</t>
  </si>
  <si>
    <t>124 PEN CT</t>
  </si>
  <si>
    <t>F8020B0048</t>
  </si>
  <si>
    <t>KEHRLE BRENT</t>
  </si>
  <si>
    <t>KEHRLE ZOE</t>
  </si>
  <si>
    <t>120 HAGEN RD</t>
  </si>
  <si>
    <t>27006-7895</t>
  </si>
  <si>
    <t>G30000000449</t>
  </si>
  <si>
    <t>MEADE ROBERT</t>
  </si>
  <si>
    <t>CARROLL DEONSHA BERNICE</t>
  </si>
  <si>
    <t>260 CULLODEN DR</t>
  </si>
  <si>
    <t>I5050D0021</t>
  </si>
  <si>
    <t>I5010A0007</t>
  </si>
  <si>
    <t>I5010A0008</t>
  </si>
  <si>
    <t>F90000002602</t>
  </si>
  <si>
    <t>ROBERTS JANINE E VOGLER</t>
  </si>
  <si>
    <t>304 VOGLER ROAD</t>
  </si>
  <si>
    <t>N5020A000302</t>
  </si>
  <si>
    <t>POTTER SMITTY</t>
  </si>
  <si>
    <t>POTTER KIMBERLY</t>
  </si>
  <si>
    <t>294 BOOTLEG ALY</t>
  </si>
  <si>
    <t>27028-6829</t>
  </si>
  <si>
    <t>J400000047</t>
  </si>
  <si>
    <t>SOTO GILBERT</t>
  </si>
  <si>
    <t>SOTO DUSTI</t>
  </si>
  <si>
    <t>1424 JERICHO CHURCH ROAD</t>
  </si>
  <si>
    <t>F90000002601</t>
  </si>
  <si>
    <t>I500000013</t>
  </si>
  <si>
    <t>NEW HOME AT NORTHWOOD LLC</t>
  </si>
  <si>
    <t>800 NORTHRIDGE CT</t>
  </si>
  <si>
    <t>27028-2768</t>
  </si>
  <si>
    <t>L40000003801</t>
  </si>
  <si>
    <t>KLUENIE CAMILLE WALL</t>
  </si>
  <si>
    <t>1 SENNA CT</t>
  </si>
  <si>
    <t>32164-5407</t>
  </si>
  <si>
    <t>J50000003707</t>
  </si>
  <si>
    <t>LESLIE EDWARD PAUL</t>
  </si>
  <si>
    <t>LESLIE WENDY MICHELLE</t>
  </si>
  <si>
    <t>3343 VIVIAN RD</t>
  </si>
  <si>
    <t>NORTH PORT</t>
  </si>
  <si>
    <t>34288-7853</t>
  </si>
  <si>
    <t>J5010A0004</t>
  </si>
  <si>
    <t>JONES SADIE DULIN</t>
  </si>
  <si>
    <t>337 MT VIEW DRIVE</t>
  </si>
  <si>
    <t>K30000003302</t>
  </si>
  <si>
    <t>LANGTREE FARMS LLC</t>
  </si>
  <si>
    <t>K30000003301</t>
  </si>
  <si>
    <t>E30000008804</t>
  </si>
  <si>
    <t>LATHAM FARMS LLC</t>
  </si>
  <si>
    <t>233 LATHAM FARM RD</t>
  </si>
  <si>
    <t>27028-4871</t>
  </si>
  <si>
    <t>G700000049</t>
  </si>
  <si>
    <t>491 WILL BOONE RD</t>
  </si>
  <si>
    <t>G70000004902</t>
  </si>
  <si>
    <t>I5110A0019</t>
  </si>
  <si>
    <t>I5160A0047</t>
  </si>
  <si>
    <t>DELTON PROPERTIES LLC</t>
  </si>
  <si>
    <t>27028-0202</t>
  </si>
  <si>
    <t>I5010A002003</t>
  </si>
  <si>
    <t>M5090B0008</t>
  </si>
  <si>
    <t>L60000004202</t>
  </si>
  <si>
    <t>SAMMONS BRITT DWIGHT</t>
  </si>
  <si>
    <t>181 HOBSON DR</t>
  </si>
  <si>
    <t>27028-6657</t>
  </si>
  <si>
    <t>H80000004323</t>
  </si>
  <si>
    <t>EARLY MICHAEL DEANE</t>
  </si>
  <si>
    <t>EARLY ALLISON BROOKE</t>
  </si>
  <si>
    <t>1124 BAILEYS CHAPEL RD</t>
  </si>
  <si>
    <t>F80000008203</t>
  </si>
  <si>
    <t>SAULPAUGH THOMAS RICHARD</t>
  </si>
  <si>
    <t>SAULPAUGH SARA LAUREN</t>
  </si>
  <si>
    <t>158 PLYLER LN</t>
  </si>
  <si>
    <t>G50000013305</t>
  </si>
  <si>
    <t>RHODES KIMBERLY</t>
  </si>
  <si>
    <t>I400000025</t>
  </si>
  <si>
    <t>STEELE JORDAN RAY</t>
  </si>
  <si>
    <t>190 BROOK DR</t>
  </si>
  <si>
    <t>I400000026</t>
  </si>
  <si>
    <t>F80000008202</t>
  </si>
  <si>
    <t>F800000081</t>
  </si>
  <si>
    <t>G30000000456</t>
  </si>
  <si>
    <t>DELGADO ILEANA</t>
  </si>
  <si>
    <t>DELGADO JORGE LUIS</t>
  </si>
  <si>
    <t>205 CULLODEN DR</t>
  </si>
  <si>
    <t>F80000002226</t>
  </si>
  <si>
    <t>PAWLOWSKI BENJAMIN GABRIEL</t>
  </si>
  <si>
    <t>RAUE KRISTEN DANIELLE</t>
  </si>
  <si>
    <t>144 ARROW GLENN CT</t>
  </si>
  <si>
    <t>G90000000809</t>
  </si>
  <si>
    <t>SHASSIAN BRIAN</t>
  </si>
  <si>
    <t>HOMMEL MICHELLE LEE</t>
  </si>
  <si>
    <t>1505 PEOPLES CREEK RD</t>
  </si>
  <si>
    <t>27006-7451</t>
  </si>
  <si>
    <t>G30000000458</t>
  </si>
  <si>
    <t>SUMMERS TAMARA</t>
  </si>
  <si>
    <t>GIBBS CHARLES</t>
  </si>
  <si>
    <t>189 CULLODEN DR</t>
  </si>
  <si>
    <t>E60000002502</t>
  </si>
  <si>
    <t>3781 US HIGHWAY 158</t>
  </si>
  <si>
    <t>E60000002501</t>
  </si>
  <si>
    <t>D9010A0028</t>
  </si>
  <si>
    <t>PITT ERNEST</t>
  </si>
  <si>
    <t>183 PEMBROOKE RIDGE CT</t>
  </si>
  <si>
    <t>I5160D0001</t>
  </si>
  <si>
    <t>WAYNE FARMS LLC</t>
  </si>
  <si>
    <t>27017-0383</t>
  </si>
  <si>
    <t>D9010B0010</t>
  </si>
  <si>
    <t>MYERS MADISON EMMA</t>
  </si>
  <si>
    <t>136 WARWICKE PL</t>
  </si>
  <si>
    <t>O60000003106</t>
  </si>
  <si>
    <t>THOMPSON JEREMY LLOYD</t>
  </si>
  <si>
    <t>567 DAVIE ACADEMY ROAD</t>
  </si>
  <si>
    <t>I500000039</t>
  </si>
  <si>
    <t>SPEER JASON SCOTT</t>
  </si>
  <si>
    <t>SPEER ANNIE SKIPPER</t>
  </si>
  <si>
    <t>27045-0095</t>
  </si>
  <si>
    <t>D100000033</t>
  </si>
  <si>
    <t>MITCHELL CHARLES D</t>
  </si>
  <si>
    <t>MITCHELL LAURA W</t>
  </si>
  <si>
    <t>1587 BEAR CREEK CHURCH RD</t>
  </si>
  <si>
    <t>G50000001808</t>
  </si>
  <si>
    <t>SAYLOR MATTHEW DAVID</t>
  </si>
  <si>
    <t>285 MAIN CHURCH RD</t>
  </si>
  <si>
    <t>G50000001807</t>
  </si>
  <si>
    <t>G8130B0002</t>
  </si>
  <si>
    <t>ROY NATHAN EDWARD</t>
  </si>
  <si>
    <t>ROY BETHANY LEE</t>
  </si>
  <si>
    <t>2155 NC HIGHWAY 801 S</t>
  </si>
  <si>
    <t>27006-7462</t>
  </si>
  <si>
    <t>M5100C002801</t>
  </si>
  <si>
    <t>HELMS-COPE JENNIFER</t>
  </si>
  <si>
    <t>27014-1164</t>
  </si>
  <si>
    <t>D9090D0023</t>
  </si>
  <si>
    <t>MOELLER LOIS</t>
  </si>
  <si>
    <t>103 BAYBERRY PL</t>
  </si>
  <si>
    <t>F80000007508</t>
  </si>
  <si>
    <t>HOOTS TAMRA J</t>
  </si>
  <si>
    <t>260 MOCKS CHURCH RD</t>
  </si>
  <si>
    <t>L40000003204</t>
  </si>
  <si>
    <t>VANKEUREN MICHAEL</t>
  </si>
  <si>
    <t>VANKEUREN KIMBERLY</t>
  </si>
  <si>
    <t>158 EDGE WAY</t>
  </si>
  <si>
    <t>L40000003205</t>
  </si>
  <si>
    <t>M5070A0031</t>
  </si>
  <si>
    <t>HOLMES DEBRA B</t>
  </si>
  <si>
    <t>7362 NC HIGHWAY 801 S</t>
  </si>
  <si>
    <t>M5070A0005</t>
  </si>
  <si>
    <t>CRANFORD BRENT C</t>
  </si>
  <si>
    <t>CRANFORD JAMIE W</t>
  </si>
  <si>
    <t>7339 NC HIGHWAY 801 S</t>
  </si>
  <si>
    <t>M5060A000104</t>
  </si>
  <si>
    <t>SETTLEMYRE KELSEY B</t>
  </si>
  <si>
    <t>OSHAUGHNESSY SHANNAN</t>
  </si>
  <si>
    <t>114 HARNESS LN</t>
  </si>
  <si>
    <t>27028-6650</t>
  </si>
  <si>
    <t>M50000004502</t>
  </si>
  <si>
    <t>C600000085</t>
  </si>
  <si>
    <t>WILLARD EMILY B</t>
  </si>
  <si>
    <t>157 MCKNIGHT RD</t>
  </si>
  <si>
    <t>C700000128</t>
  </si>
  <si>
    <t>LEE NEIL EUGENE</t>
  </si>
  <si>
    <t>227 RALTON EUGENE TRL</t>
  </si>
  <si>
    <t>27006-8741</t>
  </si>
  <si>
    <t>C700000133</t>
  </si>
  <si>
    <t>M4130B0015</t>
  </si>
  <si>
    <t>KING DENNIS C</t>
  </si>
  <si>
    <t>PO BOX 1063</t>
  </si>
  <si>
    <t>I5010A0012</t>
  </si>
  <si>
    <t>SPRATLEY NAOMI HEIRS</t>
  </si>
  <si>
    <t>1503 CAYMAN WAY APT E1</t>
  </si>
  <si>
    <t>COCONUT CREEK</t>
  </si>
  <si>
    <t>33066-1435</t>
  </si>
  <si>
    <t>M4130B0018</t>
  </si>
  <si>
    <t>LOPEZ NANCY Y GARITA</t>
  </si>
  <si>
    <t>2100 JUNCTION RD</t>
  </si>
  <si>
    <t>M4130B0019</t>
  </si>
  <si>
    <t>E900000555</t>
  </si>
  <si>
    <t>GRAHAM MICHAEL E</t>
  </si>
  <si>
    <t>GAINES-GRAHAM CHARLENE D</t>
  </si>
  <si>
    <t>169 ARNOLD PALMER DR</t>
  </si>
  <si>
    <t>N600000002</t>
  </si>
  <si>
    <t>BECK KEITH K</t>
  </si>
  <si>
    <t>BECK LEIGH T</t>
  </si>
  <si>
    <t>PO BOX 541</t>
  </si>
  <si>
    <t>27028-0541</t>
  </si>
  <si>
    <t>K5080A0007</t>
  </si>
  <si>
    <t>STEELE MINOR TURNER</t>
  </si>
  <si>
    <t>27028-0382</t>
  </si>
  <si>
    <t>K5080A0008</t>
  </si>
  <si>
    <t>J10000002908</t>
  </si>
  <si>
    <t>STROUD ROBERT</t>
  </si>
  <si>
    <t>STROUD CARRIE</t>
  </si>
  <si>
    <t>1664 RIDGE RD</t>
  </si>
  <si>
    <t>G9090A0008</t>
  </si>
  <si>
    <t>B600000031</t>
  </si>
  <si>
    <t>AREY CRAIG K</t>
  </si>
  <si>
    <t>AREY MARGARET F</t>
  </si>
  <si>
    <t>258 SPARKS RD</t>
  </si>
  <si>
    <t>27006-8721</t>
  </si>
  <si>
    <t>B500000115</t>
  </si>
  <si>
    <t>SMITH YVONNE C</t>
  </si>
  <si>
    <t>157 RIDDLE CIRCLE</t>
  </si>
  <si>
    <t>D7070A0001</t>
  </si>
  <si>
    <t>C8010A0222</t>
  </si>
  <si>
    <t>CALLENDER MARIE A COLE</t>
  </si>
  <si>
    <t>224 N FORKE DR</t>
  </si>
  <si>
    <t>M5070A0039</t>
  </si>
  <si>
    <t>AUTON BRANDON S</t>
  </si>
  <si>
    <t>AUTON BRITTNEY G</t>
  </si>
  <si>
    <t>7440 NC HIGHWAY 801 S</t>
  </si>
  <si>
    <t>I5110A0016</t>
  </si>
  <si>
    <t>MAYFIELD BERTHA M</t>
  </si>
  <si>
    <t>301 MOUNTVIEW DR</t>
  </si>
  <si>
    <t>N5080A0016</t>
  </si>
  <si>
    <t>TRINIDAD JESUS ROMERO</t>
  </si>
  <si>
    <t>P O BOX 1017</t>
  </si>
  <si>
    <t>I5050D0020</t>
  </si>
  <si>
    <t>CARRICK DONALD WILLIAM JR</t>
  </si>
  <si>
    <t>398 MORSE ST</t>
  </si>
  <si>
    <t>27028-2826</t>
  </si>
  <si>
    <t>C8010A0285</t>
  </si>
  <si>
    <t>CARR TIMOTHY</t>
  </si>
  <si>
    <t>CARR JACQUELINE</t>
  </si>
  <si>
    <t>167 N FORKE DR</t>
  </si>
  <si>
    <t>F500000025</t>
  </si>
  <si>
    <t>PETRICK JOHN WAYNE</t>
  </si>
  <si>
    <t>PETRICK CHRISTINE A</t>
  </si>
  <si>
    <t>183 BUCK MILLER RD</t>
  </si>
  <si>
    <t>M5090C0013</t>
  </si>
  <si>
    <t>WATKINS HELEN P</t>
  </si>
  <si>
    <t>PO BOX 634</t>
  </si>
  <si>
    <t>27014-0634</t>
  </si>
  <si>
    <t>K5150A000509</t>
  </si>
  <si>
    <t>WILLIAMS DANIEL RAY</t>
  </si>
  <si>
    <t>185 HINKLE DRIVE</t>
  </si>
  <si>
    <t>C60000008501</t>
  </si>
  <si>
    <t>L40000003202</t>
  </si>
  <si>
    <t>L400000058</t>
  </si>
  <si>
    <t>G30000000450</t>
  </si>
  <si>
    <t>BOND JOSHUA E</t>
  </si>
  <si>
    <t>BOND ABIGAIL S</t>
  </si>
  <si>
    <t>264 CULLODEN DR</t>
  </si>
  <si>
    <t>G30000000459</t>
  </si>
  <si>
    <t>COTTON JOAN</t>
  </si>
  <si>
    <t>175 CULLODEN DR</t>
  </si>
  <si>
    <t>I40000006414</t>
  </si>
  <si>
    <t>ROWAN POINTE LLC</t>
  </si>
  <si>
    <t>406 E 4TH ST</t>
  </si>
  <si>
    <t>27101-4112</t>
  </si>
  <si>
    <t>N500000071</t>
  </si>
  <si>
    <t>WELLS TIMOTHY CRAIG JR</t>
  </si>
  <si>
    <t>WELLS KATRENA ALLISON</t>
  </si>
  <si>
    <t>429 PINE RIDGE ROAD</t>
  </si>
  <si>
    <t>B500000090</t>
  </si>
  <si>
    <t>POULSEN WALTER L</t>
  </si>
  <si>
    <t>211 BUCK MILLER RD</t>
  </si>
  <si>
    <t>27028-4119</t>
  </si>
  <si>
    <t>H70000006408</t>
  </si>
  <si>
    <t>DULIN ALEXIS</t>
  </si>
  <si>
    <t>1521 FORK BIXBY RD</t>
  </si>
  <si>
    <t>I5050B0044</t>
  </si>
  <si>
    <t>CODY JACOB</t>
  </si>
  <si>
    <t>CODY DANIEL</t>
  </si>
  <si>
    <t>629 WHITNEY RD</t>
  </si>
  <si>
    <t>G30000000439</t>
  </si>
  <si>
    <t>BOOE LEA FAYE</t>
  </si>
  <si>
    <t>TENOR ANTONIO RODRIQUEZ</t>
  </si>
  <si>
    <t>222 CULLODEN DR</t>
  </si>
  <si>
    <t>M5160B0012</t>
  </si>
  <si>
    <t>MARTIN JAMES M</t>
  </si>
  <si>
    <t>1185 ELLERWOOD DR</t>
  </si>
  <si>
    <t>28146-6705</t>
  </si>
  <si>
    <t>L60000006502</t>
  </si>
  <si>
    <t>LEONARD TRAVIS ALLEN</t>
  </si>
  <si>
    <t>215 BOONE LN</t>
  </si>
  <si>
    <t>27028-5190</t>
  </si>
  <si>
    <t>D700000139</t>
  </si>
  <si>
    <t>NISLEY PAUL DAVID</t>
  </si>
  <si>
    <t>4545 US HIGHWAY 158</t>
  </si>
  <si>
    <t>27006-7860</t>
  </si>
  <si>
    <t>I400000033</t>
  </si>
  <si>
    <t>ANDERSON ARNOLD G</t>
  </si>
  <si>
    <t>ANDERSON ANNA H</t>
  </si>
  <si>
    <t>235 MADISON RD</t>
  </si>
  <si>
    <t>G300000044</t>
  </si>
  <si>
    <t>BOWMAN ANN</t>
  </si>
  <si>
    <t>5777 OLD SALISBURY RD</t>
  </si>
  <si>
    <t>27295-6805</t>
  </si>
  <si>
    <t>C600000029</t>
  </si>
  <si>
    <t>VADEN LAUREN SYDNEY BEAUCHAMP</t>
  </si>
  <si>
    <t>VADEN JOSEPH CHASE</t>
  </si>
  <si>
    <t>1137 MURPHY LN</t>
  </si>
  <si>
    <t>27104-5903</t>
  </si>
  <si>
    <t>E70000006001</t>
  </si>
  <si>
    <t>BEAUCHAMP CHARLES DEAN</t>
  </si>
  <si>
    <t>BEAUCHAMP PATRICIA L</t>
  </si>
  <si>
    <t>446 JUNEY BEAUCHAMP ROAD</t>
  </si>
  <si>
    <t>E700000060</t>
  </si>
  <si>
    <t>I1110B0013</t>
  </si>
  <si>
    <t>FROST DONALD WINFIELD JR</t>
  </si>
  <si>
    <t>260 OAKLAND AVE</t>
  </si>
  <si>
    <t>I6160A0002</t>
  </si>
  <si>
    <t>HIGH TOP LAND COMPANY LLC</t>
  </si>
  <si>
    <t>973 NC HIGHWAY 801 NORTH</t>
  </si>
  <si>
    <t>H60000008402</t>
  </si>
  <si>
    <t>NORMAN KATRINA</t>
  </si>
  <si>
    <t>8993 STAMFORD CLUB CT</t>
  </si>
  <si>
    <t>27045-9443</t>
  </si>
  <si>
    <t>D70000002701</t>
  </si>
  <si>
    <t>NANCE KENNETH JR</t>
  </si>
  <si>
    <t>NANCE AMY</t>
  </si>
  <si>
    <t>215 GINNY LN</t>
  </si>
  <si>
    <t>K70000000801</t>
  </si>
  <si>
    <t>RENEGAR LUTHER</t>
  </si>
  <si>
    <t>RENEGAR TAMMY</t>
  </si>
  <si>
    <t>H400000138</t>
  </si>
  <si>
    <t>F &amp; S INVESTMENTS</t>
  </si>
  <si>
    <t>PO BOX 673</t>
  </si>
  <si>
    <t>28697-0673</t>
  </si>
  <si>
    <t>F600000054</t>
  </si>
  <si>
    <t>WINN DONALD</t>
  </si>
  <si>
    <t>3516 US HIGHWAY 158</t>
  </si>
  <si>
    <t>C700000058</t>
  </si>
  <si>
    <t>310 BRANGUS WAY</t>
  </si>
  <si>
    <t>E9150B0133</t>
  </si>
  <si>
    <t>BATTLE CATHY N</t>
  </si>
  <si>
    <t>BATTLE GREGORY M</t>
  </si>
  <si>
    <t>108 KNICKER LN</t>
  </si>
  <si>
    <t>L5020A0013</t>
  </si>
  <si>
    <t>RODRIGUEZ MISEAL</t>
  </si>
  <si>
    <t>GODINEZ ANA LAURA</t>
  </si>
  <si>
    <t>1987 US HIGHWAY 601 S</t>
  </si>
  <si>
    <t>27028-6903</t>
  </si>
  <si>
    <t>K30000006601</t>
  </si>
  <si>
    <t>MORRISON BRANDON SETH</t>
  </si>
  <si>
    <t>KURFEES MEREDITH ANN</t>
  </si>
  <si>
    <t>161 WINDING CREEK DR</t>
  </si>
  <si>
    <t>28166-7677</t>
  </si>
  <si>
    <t>H4130A0012</t>
  </si>
  <si>
    <t>HARTNESS CHRISTAL DAWN</t>
  </si>
  <si>
    <t>119 ELMWOOD ST</t>
  </si>
  <si>
    <t>F80000007510</t>
  </si>
  <si>
    <t>PIEDMONT NEWS INC</t>
  </si>
  <si>
    <t>2460 WELLSBURG CT</t>
  </si>
  <si>
    <t>27012-9728</t>
  </si>
  <si>
    <t>L6010A0003</t>
  </si>
  <si>
    <t>HAIRSTON ERNIE A</t>
  </si>
  <si>
    <t>6468 NC HIGHWAY 801 SOUTH</t>
  </si>
  <si>
    <t>G40000000910</t>
  </si>
  <si>
    <t>SHEETS MARK D</t>
  </si>
  <si>
    <t>5901 MOUNT EAGLE DR</t>
  </si>
  <si>
    <t>22303-2503</t>
  </si>
  <si>
    <t>J20000006305</t>
  </si>
  <si>
    <t>KUBANKA WILLIAM DOUGLAS</t>
  </si>
  <si>
    <t>KUBANKA EVELYN</t>
  </si>
  <si>
    <t>216 JONES RD</t>
  </si>
  <si>
    <t>J20000006315</t>
  </si>
  <si>
    <t>H7120B0011</t>
  </si>
  <si>
    <t>GOODMAN RICHARD NEIL</t>
  </si>
  <si>
    <t>GOODMAN DONNA R</t>
  </si>
  <si>
    <t>185 OLD DUTCH RD</t>
  </si>
  <si>
    <t>H80000004313</t>
  </si>
  <si>
    <t>SPURLIN CALEB WALTER</t>
  </si>
  <si>
    <t>HARMON COURTNEY PAIGE</t>
  </si>
  <si>
    <t>1048 BAILEYS CHAPEL RD</t>
  </si>
  <si>
    <t>E40000004101</t>
  </si>
  <si>
    <t>BYERS BENJAMIN PAUL</t>
  </si>
  <si>
    <t>117 MANOR CIR</t>
  </si>
  <si>
    <t>28115-2507</t>
  </si>
  <si>
    <t>J7050A0006</t>
  </si>
  <si>
    <t>BENTON PATRICIA COYLE</t>
  </si>
  <si>
    <t>VOHWINKEL KARL EDWARD</t>
  </si>
  <si>
    <t>1395 GLEN OAKS RD</t>
  </si>
  <si>
    <t>27012-9074</t>
  </si>
  <si>
    <t>G4080A002701</t>
  </si>
  <si>
    <t>MCLEAN DENNIS</t>
  </si>
  <si>
    <t>MCLEAN LISA</t>
  </si>
  <si>
    <t>1464 MAIN CHURCH ROAD EXT</t>
  </si>
  <si>
    <t>D300000047</t>
  </si>
  <si>
    <t>MAYBERRY TRACY</t>
  </si>
  <si>
    <t>MAYBERRY CAROL</t>
  </si>
  <si>
    <t>250 REUTER WAY</t>
  </si>
  <si>
    <t>27127-9711</t>
  </si>
  <si>
    <t>C8010A0163</t>
  </si>
  <si>
    <t>HYLTON HANNAH KEY</t>
  </si>
  <si>
    <t>HYLTON HEATH ALLAN</t>
  </si>
  <si>
    <t>113 TOWN PARK DR</t>
  </si>
  <si>
    <t>E40000001401</t>
  </si>
  <si>
    <t>THOMAS SHANNON S</t>
  </si>
  <si>
    <t>THOMAS ROBERT D II</t>
  </si>
  <si>
    <t>1231 CANA RD</t>
  </si>
  <si>
    <t>E40000002501</t>
  </si>
  <si>
    <t>E400000014  A</t>
  </si>
  <si>
    <t>D9050A0010</t>
  </si>
  <si>
    <t>MURPHY MICHELLE A</t>
  </si>
  <si>
    <t>3128 BERMUDA VLG</t>
  </si>
  <si>
    <t>E9150B0124</t>
  </si>
  <si>
    <t>SMITH JAMES RAYMOND II</t>
  </si>
  <si>
    <t>SMITH PAMELA FULP</t>
  </si>
  <si>
    <t>427 ORCHARD PARK DR</t>
  </si>
  <si>
    <t>D8070B0005</t>
  </si>
  <si>
    <t>SPENCER ERIC DAVID</t>
  </si>
  <si>
    <t>SPENCER JENNIFER REED</t>
  </si>
  <si>
    <t>151 FESCUE DR</t>
  </si>
  <si>
    <t>D100000022</t>
  </si>
  <si>
    <t>411 5TH CREEK RD</t>
  </si>
  <si>
    <t>28625-1138</t>
  </si>
  <si>
    <t>F90000000311</t>
  </si>
  <si>
    <t>MCGEHEE JOHN L</t>
  </si>
  <si>
    <t>MCGEHEE THELMA M</t>
  </si>
  <si>
    <t>146 EVERGREEN LN</t>
  </si>
  <si>
    <t>27006-7549</t>
  </si>
  <si>
    <t>I5160A0053</t>
  </si>
  <si>
    <t>CONSTABLE JAZZMYNE SIERRA DOROTHY</t>
  </si>
  <si>
    <t>FOSTER HEATHER YVONNE</t>
  </si>
  <si>
    <t>264 KEN DWIGGINS DR</t>
  </si>
  <si>
    <t>27028-2454</t>
  </si>
  <si>
    <t>C7150A0018</t>
  </si>
  <si>
    <t>ROTHROCK AARON JOSHUA</t>
  </si>
  <si>
    <t>ROTHROCK HANNAH DAIL</t>
  </si>
  <si>
    <t>188 WOODBURN PL</t>
  </si>
  <si>
    <t>F8030A0019</t>
  </si>
  <si>
    <t>HALL OF FAME PROPERTIES INC</t>
  </si>
  <si>
    <t>110 SINGLE LEAF CT</t>
  </si>
  <si>
    <t>27105-9116</t>
  </si>
  <si>
    <t>K3050A0004</t>
  </si>
  <si>
    <t>GILLIAM DENNY SHANE</t>
  </si>
  <si>
    <t>143 JUNCTION RD</t>
  </si>
  <si>
    <t>J6090A0012</t>
  </si>
  <si>
    <t>CHAVEZ ELIAZAR GOMEZ</t>
  </si>
  <si>
    <t>274 SWICEGOOD ST</t>
  </si>
  <si>
    <t>27028-6792</t>
  </si>
  <si>
    <t>D8030A0029</t>
  </si>
  <si>
    <t>MCLEAN CHAD LAUGHRIDGE</t>
  </si>
  <si>
    <t>MCLEAN KATHRYN J</t>
  </si>
  <si>
    <t>110 TIFTON STREET</t>
  </si>
  <si>
    <t>D9090A0005</t>
  </si>
  <si>
    <t>MEADER DIANE D TRUSTEE</t>
  </si>
  <si>
    <t>DIANE D MEADER REV TRUST AGREE</t>
  </si>
  <si>
    <t>123 WILLOWBROOK PL</t>
  </si>
  <si>
    <t>G800000084</t>
  </si>
  <si>
    <t>BARNHARDT BETTY GRAY HARTMAN</t>
  </si>
  <si>
    <t>166 BAILEY ROAD</t>
  </si>
  <si>
    <t>H7030A0015</t>
  </si>
  <si>
    <t>IRELAND JO ANN</t>
  </si>
  <si>
    <t>174 AUSTINE LANE</t>
  </si>
  <si>
    <t>C8030C0001</t>
  </si>
  <si>
    <t>WHITE CHAMPY MELINDA</t>
  </si>
  <si>
    <t>107 OAK WIND DR #101</t>
  </si>
  <si>
    <t>M5060B0014</t>
  </si>
  <si>
    <t>CRYSLER DAVID E</t>
  </si>
  <si>
    <t>CRYSLER KATHY C</t>
  </si>
  <si>
    <t>146 HOBSON DR</t>
  </si>
  <si>
    <t>M5060B0013</t>
  </si>
  <si>
    <t>H4130A0035</t>
  </si>
  <si>
    <t>JAMES JAYLEN</t>
  </si>
  <si>
    <t>JAMES HANNAH</t>
  </si>
  <si>
    <t>133 ASH DR</t>
  </si>
  <si>
    <t>I4120B0028</t>
  </si>
  <si>
    <t>DWIGGINS GENE MARSHALL</t>
  </si>
  <si>
    <t>815 GARNER ST</t>
  </si>
  <si>
    <t>J60000006902</t>
  </si>
  <si>
    <t>JONES CONNIE HENDRIX</t>
  </si>
  <si>
    <t>2338 US HIGHWAY 64 E</t>
  </si>
  <si>
    <t>G30000000457</t>
  </si>
  <si>
    <t>BARRETT BRANDON CHARLES</t>
  </si>
  <si>
    <t>BARRETT KIMBERLY ANN</t>
  </si>
  <si>
    <t>197 CULLODEN DR</t>
  </si>
  <si>
    <t>G800000014</t>
  </si>
  <si>
    <t>J80000001701</t>
  </si>
  <si>
    <t>LANIER DWAYNE O</t>
  </si>
  <si>
    <t>LANIER BONNIE M</t>
  </si>
  <si>
    <t>3766 NC HIGHWAY 801 SOUTH</t>
  </si>
  <si>
    <t>H80000004326</t>
  </si>
  <si>
    <t>LAMB LANE NOLAN</t>
  </si>
  <si>
    <t>LAMB EMILY CRUNKLETON</t>
  </si>
  <si>
    <t>1106 BAILEYS CHAPEL RD</t>
  </si>
  <si>
    <t>D9050A0017</t>
  </si>
  <si>
    <t>CAPUTO JAMES J</t>
  </si>
  <si>
    <t>3102 BERMUDA VLG</t>
  </si>
  <si>
    <t>G9090A0002</t>
  </si>
  <si>
    <t>WIDE OPEN REAL ESTATE PEOPLES CREEK LLC</t>
  </si>
  <si>
    <t>2780 ARMSTRONG DR</t>
  </si>
  <si>
    <t>27103-6802</t>
  </si>
  <si>
    <t>G9090D0010</t>
  </si>
  <si>
    <t>YOUNG JONATHAN GABRIEL</t>
  </si>
  <si>
    <t>202 PRIMROSE RD</t>
  </si>
  <si>
    <t>M5160B0015</t>
  </si>
  <si>
    <t>MORROW NATHAN ALEXANDER</t>
  </si>
  <si>
    <t>MORROW JANA REBECCA BELL</t>
  </si>
  <si>
    <t>145 DUKE ST</t>
  </si>
  <si>
    <t>G4080A0024</t>
  </si>
  <si>
    <t>SHERRILL MARY ELIZABETH</t>
  </si>
  <si>
    <t>BLYTHE CORBIN</t>
  </si>
  <si>
    <t>1507 MAIN CHURCH ROAD EXT</t>
  </si>
  <si>
    <t>27028-5876</t>
  </si>
  <si>
    <t>E900000322</t>
  </si>
  <si>
    <t>GRIFFIN JAMES A</t>
  </si>
  <si>
    <t>GRIFFIN CLYDE MATTHEWS</t>
  </si>
  <si>
    <t>120 WOODLANDS COURT</t>
  </si>
  <si>
    <t>E9150B0091</t>
  </si>
  <si>
    <t>WEDDLE TODD W</t>
  </si>
  <si>
    <t>WEDDLE TIFFANY T</t>
  </si>
  <si>
    <t>271 ORCHARD PARK DR</t>
  </si>
  <si>
    <t>D9090C0004</t>
  </si>
  <si>
    <t>BOND WILBUR A JR</t>
  </si>
  <si>
    <t>BOND SHAREN L</t>
  </si>
  <si>
    <t>108 LINDEN PL</t>
  </si>
  <si>
    <t>G20000003802</t>
  </si>
  <si>
    <t>WILLIAMS KATY E A</t>
  </si>
  <si>
    <t>700 SHEFFIELD RD</t>
  </si>
  <si>
    <t>K20000002705</t>
  </si>
  <si>
    <t>GIST GARY C HEIRS OF</t>
  </si>
  <si>
    <t>185 MAC LANE</t>
  </si>
  <si>
    <t>E100000013</t>
  </si>
  <si>
    <t>DRUM JAMES B</t>
  </si>
  <si>
    <t>28634-0012</t>
  </si>
  <si>
    <t>M400000011</t>
  </si>
  <si>
    <t>SAFRIT BRIAN JR</t>
  </si>
  <si>
    <t>WHITE ASHLEY</t>
  </si>
  <si>
    <t>1415 JUNCTION RD</t>
  </si>
  <si>
    <t>I4010A0052</t>
  </si>
  <si>
    <t>FREIHEIT THEODORE</t>
  </si>
  <si>
    <t>FREIHEIT NANCY</t>
  </si>
  <si>
    <t>135 N WENTWORTH DR</t>
  </si>
  <si>
    <t>D9050B0004</t>
  </si>
  <si>
    <t>BOWEN JAMIE LAUREL TRUSTEE</t>
  </si>
  <si>
    <t>BOWEN LAUREL LIV TRUST</t>
  </si>
  <si>
    <t>3315 BERMUDA VLG</t>
  </si>
  <si>
    <t>G70000001003</t>
  </si>
  <si>
    <t>CORNATZER SONJA COOK</t>
  </si>
  <si>
    <t>694 HOWARDTOWN RD</t>
  </si>
  <si>
    <t>27028-7241</t>
  </si>
  <si>
    <t>F70000000101</t>
  </si>
  <si>
    <t>H8060A0018</t>
  </si>
  <si>
    <t>BARE TIMOTHY DONALD</t>
  </si>
  <si>
    <t>BARE CRYSTAL HARRIS</t>
  </si>
  <si>
    <t>298 COVINGTON DR</t>
  </si>
  <si>
    <t>H400000096</t>
  </si>
  <si>
    <t>FROST FAMILY FARM LLC</t>
  </si>
  <si>
    <t>JONAS RIDGE</t>
  </si>
  <si>
    <t>J4140A0026</t>
  </si>
  <si>
    <t>CHAPMAN ZACHARY D</t>
  </si>
  <si>
    <t>181 NEW HAMPSHIRE CT</t>
  </si>
  <si>
    <t>G70000001002</t>
  </si>
  <si>
    <t>G70000001001</t>
  </si>
  <si>
    <t>J600000021</t>
  </si>
  <si>
    <t>CHOAT STEPHEN A</t>
  </si>
  <si>
    <t>CHOAT CAROL L</t>
  </si>
  <si>
    <t>27028-0064</t>
  </si>
  <si>
    <t>CHOAT  STEPHEN A</t>
  </si>
  <si>
    <t>CHOAT  CAROL L</t>
  </si>
  <si>
    <t>H7120B0013</t>
  </si>
  <si>
    <t>GRAY THERESA</t>
  </si>
  <si>
    <t>GRAY DANIEL P</t>
  </si>
  <si>
    <t>175 OLD DUTCH RD</t>
  </si>
  <si>
    <t>H5170A0042</t>
  </si>
  <si>
    <t>MUNOZ SEAVON</t>
  </si>
  <si>
    <t>207 CANYON RD</t>
  </si>
  <si>
    <t>M4130A0010</t>
  </si>
  <si>
    <t>MARCHINKO ZACHARY M</t>
  </si>
  <si>
    <t>LEAZER KAYLIE M</t>
  </si>
  <si>
    <t>2057 JUNCTION RD</t>
  </si>
  <si>
    <t>G30000000452</t>
  </si>
  <si>
    <t>SAUNDERS DAVID MICHAEL</t>
  </si>
  <si>
    <t>SAUNDERS JOLIE GREGORY</t>
  </si>
  <si>
    <t>257 CULLODEN DR</t>
  </si>
  <si>
    <t>J6050B0007</t>
  </si>
  <si>
    <t>ZINN CRAIG</t>
  </si>
  <si>
    <t>ZINN NICOLE</t>
  </si>
  <si>
    <t>173 PINE VALLEY RD</t>
  </si>
  <si>
    <t>K700000029</t>
  </si>
  <si>
    <t>MACK RITA</t>
  </si>
  <si>
    <t>225 MASON DR</t>
  </si>
  <si>
    <t>C500000107</t>
  </si>
  <si>
    <t>JOHNSON GEORGE M</t>
  </si>
  <si>
    <t>321 N KENTUCKY AVE STE 12</t>
  </si>
  <si>
    <t>33801-4898</t>
  </si>
  <si>
    <t>K5080A0004</t>
  </si>
  <si>
    <t>HIMES IVERY W</t>
  </si>
  <si>
    <t>% SYLVIA E STEELE</t>
  </si>
  <si>
    <t>8590 GRASSY MEADOW WALK NE</t>
  </si>
  <si>
    <t>LELAND</t>
  </si>
  <si>
    <t>G8130B000704</t>
  </si>
  <si>
    <t>BROWN KELLI RENEA</t>
  </si>
  <si>
    <t>3141 GREENE CROSS DR</t>
  </si>
  <si>
    <t>27107-4400</t>
  </si>
  <si>
    <t>I500000067</t>
  </si>
  <si>
    <t>RAUDEBAUGH TERRY</t>
  </si>
  <si>
    <t>RAUDEBAUGH DARLENE</t>
  </si>
  <si>
    <t>403 MILLING RD</t>
  </si>
  <si>
    <t>27028-2724</t>
  </si>
  <si>
    <t>I50000001502</t>
  </si>
  <si>
    <t>I500000065</t>
  </si>
  <si>
    <t>I500000066</t>
  </si>
  <si>
    <t>I4120C0015</t>
  </si>
  <si>
    <t>ALLEN AUTOMOTIVE AND DIESEL LLC</t>
  </si>
  <si>
    <t>277 WILKESBORO ST</t>
  </si>
  <si>
    <t>27028-2323</t>
  </si>
  <si>
    <t>E500000044</t>
  </si>
  <si>
    <t>BLACK HERBERT THOMAS</t>
  </si>
  <si>
    <t>713 FARMINGTON ROAD</t>
  </si>
  <si>
    <t>I4010A0012</t>
  </si>
  <si>
    <t>WERTZ PETER</t>
  </si>
  <si>
    <t>WERTZ REBECCA</t>
  </si>
  <si>
    <t>187 TURNBERRY DR</t>
  </si>
  <si>
    <t>J5010C0015</t>
  </si>
  <si>
    <t>SCOTT BUYS HOUSES LLC</t>
  </si>
  <si>
    <t>28234-4614</t>
  </si>
  <si>
    <t>C8010B0404</t>
  </si>
  <si>
    <t>THARP CASEY M</t>
  </si>
  <si>
    <t>118 GLENMOOR AVE</t>
  </si>
  <si>
    <t>N500000057</t>
  </si>
  <si>
    <t>PERRELL TRACEY L</t>
  </si>
  <si>
    <t>472 PINE RIDGE RD</t>
  </si>
  <si>
    <t>N5010B0006</t>
  </si>
  <si>
    <t>CALDWELL CHRISSY SHAVOHN</t>
  </si>
  <si>
    <t>167 DAVIE ST</t>
  </si>
  <si>
    <t>N5010C0044</t>
  </si>
  <si>
    <t>GUERRERO DORA ALICIA ET VIR</t>
  </si>
  <si>
    <t>ARDON ROSA MAGDALENA GERRERO</t>
  </si>
  <si>
    <t>1066 US HIGHWAY 64 W</t>
  </si>
  <si>
    <t>D60000006404</t>
  </si>
  <si>
    <t>SINK STEPHEN M</t>
  </si>
  <si>
    <t>SINK SUSAN Y</t>
  </si>
  <si>
    <t>172 PLOWMAN LN</t>
  </si>
  <si>
    <t>M5100B0017</t>
  </si>
  <si>
    <t>FRYE MALINDA P</t>
  </si>
  <si>
    <t>PO BOX 263</t>
  </si>
  <si>
    <t>27014-0263</t>
  </si>
  <si>
    <t>F80000010002</t>
  </si>
  <si>
    <t>CLAIRMONT MATTHEW RICHARD</t>
  </si>
  <si>
    <t>CLAIRMONT PATRICIA RUTH</t>
  </si>
  <si>
    <t>241 POTTS RD</t>
  </si>
  <si>
    <t>27006-7875</t>
  </si>
  <si>
    <t>K40000004318</t>
  </si>
  <si>
    <t>LEON JACQUELINE ANNE</t>
  </si>
  <si>
    <t>510 BUCK SEAFORD RD</t>
  </si>
  <si>
    <t>K40000004317</t>
  </si>
  <si>
    <t>K40000004313</t>
  </si>
  <si>
    <t>H7030A0025</t>
  </si>
  <si>
    <t>STROUD JERRY WAYNE</t>
  </si>
  <si>
    <t>STROUD MARY S</t>
  </si>
  <si>
    <t>2911 ORMOND DR</t>
  </si>
  <si>
    <t>27106-5012</t>
  </si>
  <si>
    <t>H80000004325</t>
  </si>
  <si>
    <t>BOKMA RILEY ISABELLE</t>
  </si>
  <si>
    <t>BOURASSA JASON PATRICK</t>
  </si>
  <si>
    <t>1112 BAILEYS CHAPEL RD</t>
  </si>
  <si>
    <t>G7050A0007</t>
  </si>
  <si>
    <t>177 PRINCETON CT</t>
  </si>
  <si>
    <t>K40000000104</t>
  </si>
  <si>
    <t>WHITT GLENDA P</t>
  </si>
  <si>
    <t>WHITT TARA</t>
  </si>
  <si>
    <t>165 SM WHITT DR</t>
  </si>
  <si>
    <t>I1120A0025</t>
  </si>
  <si>
    <t>DAVIDSON DARRY W</t>
  </si>
  <si>
    <t>142 OAK TREE DR</t>
  </si>
  <si>
    <t>I1110C0001</t>
  </si>
  <si>
    <t>D60000002102</t>
  </si>
  <si>
    <t>BOONE MICHAEL WAYNE</t>
  </si>
  <si>
    <t>M5090B0006</t>
  </si>
  <si>
    <t>CHAVEZ ROSIDELI SAUSTEIGUI</t>
  </si>
  <si>
    <t>RODRIGUEZ EXLISERIO ZAMORA</t>
  </si>
  <si>
    <t>PO BOX 565</t>
  </si>
  <si>
    <t>27014-0565</t>
  </si>
  <si>
    <t>F40000001903</t>
  </si>
  <si>
    <t>TAYLOR LYDIA WELLS</t>
  </si>
  <si>
    <t>818 CANA RD</t>
  </si>
  <si>
    <t>N600000060</t>
  </si>
  <si>
    <t>SMITH CHESSIE SMITH</t>
  </si>
  <si>
    <t>D8030A0018</t>
  </si>
  <si>
    <t>ROGERS JOSEPH</t>
  </si>
  <si>
    <t>ROGERS SHELBY</t>
  </si>
  <si>
    <t>201 RIVERBEND DR</t>
  </si>
  <si>
    <t>H7120B0014</t>
  </si>
  <si>
    <t>TENPAS AUSTIN</t>
  </si>
  <si>
    <t>TENPAS MICHELLE</t>
  </si>
  <si>
    <t>165 OLD DUTCH RD</t>
  </si>
  <si>
    <t>H80000004321</t>
  </si>
  <si>
    <t>BARBER FORREST WRENN</t>
  </si>
  <si>
    <t>BREWER EMILY MEAGAN</t>
  </si>
  <si>
    <t>1134 BAILEYS CHAPEL RD</t>
  </si>
  <si>
    <t>D8100B0009</t>
  </si>
  <si>
    <t>CAMPBELL RYAN ALAN</t>
  </si>
  <si>
    <t>BROWN MADISON A</t>
  </si>
  <si>
    <t>612 RIVERBEND DRIVE</t>
  </si>
  <si>
    <t>J700000034</t>
  </si>
  <si>
    <t>G8140A0038</t>
  </si>
  <si>
    <t>WILT MEGAN KAYE</t>
  </si>
  <si>
    <t>107 CEDARPARK DR</t>
  </si>
  <si>
    <t>E70000013914</t>
  </si>
  <si>
    <t>BROWN MATTHEW JAY</t>
  </si>
  <si>
    <t>BROWN ANNIE VANESSA</t>
  </si>
  <si>
    <t>1160 BEAUCHAMP RD</t>
  </si>
  <si>
    <t>E70000013913</t>
  </si>
  <si>
    <t>D600000077</t>
  </si>
  <si>
    <t>I4120C0002</t>
  </si>
  <si>
    <t>SCARLETT GAIL</t>
  </si>
  <si>
    <t>816 GARNER ST</t>
  </si>
  <si>
    <t>E900000150</t>
  </si>
  <si>
    <t>JAMES BORIS WILLIAM</t>
  </si>
  <si>
    <t>CURRIN MEREDITH OLIVIA</t>
  </si>
  <si>
    <t>409 KINGSMILL DRIVE</t>
  </si>
  <si>
    <t>J60000002005</t>
  </si>
  <si>
    <t>F50000003602</t>
  </si>
  <si>
    <t>GPD SIERRA LLC</t>
  </si>
  <si>
    <t>PO BOX 8210</t>
  </si>
  <si>
    <t>89460-4637</t>
  </si>
  <si>
    <t>J300000029</t>
  </si>
  <si>
    <t>BMW FARMS LLC</t>
  </si>
  <si>
    <t>MORRIS HORN FARM LLC</t>
  </si>
  <si>
    <t>F500000053</t>
  </si>
  <si>
    <t>MOCKSVILLE DEVELOPMENT PARTNERS LLC</t>
  </si>
  <si>
    <t>27017-0341</t>
  </si>
  <si>
    <t>F80000007501</t>
  </si>
  <si>
    <t>CRATER DAVID WAYNE JR</t>
  </si>
  <si>
    <t>220 MOCK CHURCH ROAD</t>
  </si>
  <si>
    <t>F800000076</t>
  </si>
  <si>
    <t>CRATER TAMMY LOUISE</t>
  </si>
  <si>
    <t>1397 NC HIGHWAY 801 S</t>
  </si>
  <si>
    <t>F80000007502</t>
  </si>
  <si>
    <t>D700000160</t>
  </si>
  <si>
    <t>1605 WESTBROOK PLAZA DR # 102</t>
  </si>
  <si>
    <t>L600000046</t>
  </si>
  <si>
    <t>CROTTS JESSE HAYDEN</t>
  </si>
  <si>
    <t>CROTTS KRISTEN BARNETTE</t>
  </si>
  <si>
    <t>5866 NC HIGHWAY 801 S</t>
  </si>
  <si>
    <t>27028-5405</t>
  </si>
  <si>
    <t>G100000036</t>
  </si>
  <si>
    <t>MADDOX WALTER GENE</t>
  </si>
  <si>
    <t>MADDOX SANDRA MAE</t>
  </si>
  <si>
    <t>951 COUNTY LINE RD</t>
  </si>
  <si>
    <t>28634-8933</t>
  </si>
  <si>
    <t>K50000005903</t>
  </si>
  <si>
    <t>KEYS GLENDA MESCHELLE</t>
  </si>
  <si>
    <t>640 DEADMON RD</t>
  </si>
  <si>
    <t>K70000002507</t>
  </si>
  <si>
    <t>MARTIN JESSE GREGORY</t>
  </si>
  <si>
    <t>MCWILLIAMS SARAH ROSE</t>
  </si>
  <si>
    <t>N60000004601</t>
  </si>
  <si>
    <t>ANDERSON RAY S</t>
  </si>
  <si>
    <t>ANDERSON EVA D</t>
  </si>
  <si>
    <t>256 BOXWOOD CHURCH ROAD</t>
  </si>
  <si>
    <t>J5040A0014</t>
  </si>
  <si>
    <t>PARKS DEVON</t>
  </si>
  <si>
    <t>115 CARRIE CIR</t>
  </si>
  <si>
    <t>H6080A0004</t>
  </si>
  <si>
    <t>QUICK ROBERT WILLIAM</t>
  </si>
  <si>
    <t>QUICK PAMELA TEAGUE</t>
  </si>
  <si>
    <t>736 SAIN RD</t>
  </si>
  <si>
    <t>M5070A0041</t>
  </si>
  <si>
    <t>LORRAINE BARBARA</t>
  </si>
  <si>
    <t>7424 NC HIGHWAY 801 S</t>
  </si>
  <si>
    <t>D8020A0008</t>
  </si>
  <si>
    <t>TEETER KAY L</t>
  </si>
  <si>
    <t>257 IVY CIR</t>
  </si>
  <si>
    <t>H4130A0120</t>
  </si>
  <si>
    <t>CARPENTER RICHARD ISSAC</t>
  </si>
  <si>
    <t>CLARK KIERSTEN RENEE</t>
  </si>
  <si>
    <t>141 GUMTREE CT</t>
  </si>
  <si>
    <t>D9050B0033</t>
  </si>
  <si>
    <t>FOLGER DONALD FOSTER</t>
  </si>
  <si>
    <t>FOLGER LUCY COLE</t>
  </si>
  <si>
    <t>2126 BERMUDA VLG</t>
  </si>
  <si>
    <t>G9090B0057</t>
  </si>
  <si>
    <t>GEORGE STEPHEN M &amp; SHARON P IRREV TRUST</t>
  </si>
  <si>
    <t>GEORGE SHARON P TRUSTEE</t>
  </si>
  <si>
    <t>294 OLD MARCH RD</t>
  </si>
  <si>
    <t>G70000013801</t>
  </si>
  <si>
    <t>G700000137</t>
  </si>
  <si>
    <t>D9020A0005</t>
  </si>
  <si>
    <t>OWEN HARVEY TYLER</t>
  </si>
  <si>
    <t>OWEN STEPHANIE MAE</t>
  </si>
  <si>
    <t>463 BING CROSBY BLVD</t>
  </si>
  <si>
    <t>I5080E0018</t>
  </si>
  <si>
    <t>MURPHY PAMELA ALICE</t>
  </si>
  <si>
    <t>235 SPRING ST</t>
  </si>
  <si>
    <t>I5080C0004</t>
  </si>
  <si>
    <t>RAMSBOTHAM CHRISTIAN ANDREW</t>
  </si>
  <si>
    <t>MARTINEZ CANDY NORIKO</t>
  </si>
  <si>
    <t>1130 N MAIN ST</t>
  </si>
  <si>
    <t>27028-2216</t>
  </si>
  <si>
    <t>B300000044</t>
  </si>
  <si>
    <t>SPILLMAN RICKY LEE (99%)</t>
  </si>
  <si>
    <t>246 BETHESDA LN</t>
  </si>
  <si>
    <t>27028-6105</t>
  </si>
  <si>
    <t>L4130A0012</t>
  </si>
  <si>
    <t>MCDANIEL TERRY LANE</t>
  </si>
  <si>
    <t>% TERI LYNN LANE</t>
  </si>
  <si>
    <t>4448 UNION HILL RD</t>
  </si>
  <si>
    <t>27018-7360</t>
  </si>
  <si>
    <t>E8140A0007</t>
  </si>
  <si>
    <t>SIMON DEVIN B</t>
  </si>
  <si>
    <t>SIMON LINDY M</t>
  </si>
  <si>
    <t>155 SPRINGFIELD DR</t>
  </si>
  <si>
    <t>E30000011901</t>
  </si>
  <si>
    <t>CLEARY JONATHAN CRAIG</t>
  </si>
  <si>
    <t>234 TITTLE TRL</t>
  </si>
  <si>
    <t>C8010A0216</t>
  </si>
  <si>
    <t>KRING LAUREN</t>
  </si>
  <si>
    <t>BERNITT CHRIS</t>
  </si>
  <si>
    <t>184 N FORKE DR</t>
  </si>
  <si>
    <t>N5080A0006</t>
  </si>
  <si>
    <t>ZEIGLER HARLEY</t>
  </si>
  <si>
    <t>PO BOX 149</t>
  </si>
  <si>
    <t>27014-0149</t>
  </si>
  <si>
    <t>C500000111</t>
  </si>
  <si>
    <t>C500000109</t>
  </si>
  <si>
    <t>K4010A0011</t>
  </si>
  <si>
    <t>GRANT PARKER F</t>
  </si>
  <si>
    <t>GRANT ALEXIS C</t>
  </si>
  <si>
    <t>123 SUNSET CIR</t>
  </si>
  <si>
    <t>H80000004324</t>
  </si>
  <si>
    <t>LIPSCOMB KAITLYN N</t>
  </si>
  <si>
    <t>CARTNER LOGAN CHASE</t>
  </si>
  <si>
    <t>1118 BAILEYS CHAPEL RD</t>
  </si>
  <si>
    <t>I5060C0005</t>
  </si>
  <si>
    <t>VALENTINE AUBREY V</t>
  </si>
  <si>
    <t>VALENTINE EDWARD V</t>
  </si>
  <si>
    <t>160 MARCONI ST</t>
  </si>
  <si>
    <t>F20000002401</t>
  </si>
  <si>
    <t>RUCKER VALERIE H</t>
  </si>
  <si>
    <t>RUCKER BRIAN</t>
  </si>
  <si>
    <t>428 DUKE WHITTAKER RD</t>
  </si>
  <si>
    <t>27028-5743</t>
  </si>
  <si>
    <t>D600000052</t>
  </si>
  <si>
    <t>J70000006104</t>
  </si>
  <si>
    <t>CRANDALL JAMES ROBERT</t>
  </si>
  <si>
    <t>CRANDALL TIFFANY MELINDA</t>
  </si>
  <si>
    <t>2757 US HIGHWAY 64 E</t>
  </si>
  <si>
    <t>I300000009</t>
  </si>
  <si>
    <t>WHTT RICHARD H JR</t>
  </si>
  <si>
    <t>N5080A0003</t>
  </si>
  <si>
    <t>DALTON ANTHONY TREMAINE</t>
  </si>
  <si>
    <t>DALTON KAYLA R</t>
  </si>
  <si>
    <t>PO BOX 752</t>
  </si>
  <si>
    <t>27014-0752</t>
  </si>
  <si>
    <t>F80000012203</t>
  </si>
  <si>
    <t>LANE GLENDA CLINE</t>
  </si>
  <si>
    <t>LANE ALLEN ROCKY</t>
  </si>
  <si>
    <t>M5030A0009</t>
  </si>
  <si>
    <t>THE IRWIN FAMILY TRUST</t>
  </si>
  <si>
    <t>212 WHETSTONE DR</t>
  </si>
  <si>
    <t>27028-6933</t>
  </si>
  <si>
    <t>I6140A0010</t>
  </si>
  <si>
    <t>WILLIAMS JEFFREY ELTON</t>
  </si>
  <si>
    <t>WILLIAMS KATHY LEILANI</t>
  </si>
  <si>
    <t>5128 RIVER CHASE RDG</t>
  </si>
  <si>
    <t>27104-4457</t>
  </si>
  <si>
    <t>H7120B0005</t>
  </si>
  <si>
    <t>SMITH CAMERON GARRETT</t>
  </si>
  <si>
    <t>WHITAKER CLAYTON CAVINESS</t>
  </si>
  <si>
    <t>148 OLD DUTCH RD</t>
  </si>
  <si>
    <t>I5090A0002</t>
  </si>
  <si>
    <t>SHEEK GIL</t>
  </si>
  <si>
    <t>SHEEK SANDRA</t>
  </si>
  <si>
    <t>501 N MAIN ST</t>
  </si>
  <si>
    <t>M40000002303</t>
  </si>
  <si>
    <t>HERNANDEZ FRANCISCA</t>
  </si>
  <si>
    <t>1564 JUNCTION RD</t>
  </si>
  <si>
    <t>H9070A0025</t>
  </si>
  <si>
    <t>SMITH CHASE</t>
  </si>
  <si>
    <t>SMITH SARA</t>
  </si>
  <si>
    <t>150 IRISHMAN PL</t>
  </si>
  <si>
    <t>C500000052</t>
  </si>
  <si>
    <t>BROWN AARON</t>
  </si>
  <si>
    <t>2161 FARMINGTON RD</t>
  </si>
  <si>
    <t>G200000036</t>
  </si>
  <si>
    <t>713 SHEFFIELD RD</t>
  </si>
  <si>
    <t>D30000005106</t>
  </si>
  <si>
    <t>SCARLETT JACOB</t>
  </si>
  <si>
    <t>135 HOWELL RD</t>
  </si>
  <si>
    <t>H200000011</t>
  </si>
  <si>
    <t>MILAM PERRIE A</t>
  </si>
  <si>
    <t>155 CALAHALN RD</t>
  </si>
  <si>
    <t>H200000013</t>
  </si>
  <si>
    <t>H200000006</t>
  </si>
  <si>
    <t>G3060B0020</t>
  </si>
  <si>
    <t>MORENO JUAN</t>
  </si>
  <si>
    <t>437 IJAMES CHURCH RD</t>
  </si>
  <si>
    <t>F80000002228</t>
  </si>
  <si>
    <t>KALUZNE STEPHEN J</t>
  </si>
  <si>
    <t>KALUZNE DEBRA H</t>
  </si>
  <si>
    <t>170 LANTERN DR</t>
  </si>
  <si>
    <t>C8010A0277</t>
  </si>
  <si>
    <t>AMERING SCOTT</t>
  </si>
  <si>
    <t>AMERING LEAH N</t>
  </si>
  <si>
    <t>229 N FORKE DR</t>
  </si>
  <si>
    <t>G8140A0010</t>
  </si>
  <si>
    <t>DONOHUE THOMAS ALOYSIUS</t>
  </si>
  <si>
    <t>DONOHUE CHERYL ANN</t>
  </si>
  <si>
    <t>135 OLD HOMEPLACE DR</t>
  </si>
  <si>
    <t>H500000048</t>
  </si>
  <si>
    <t>VANCOTT CHRISTOPHER MICHAEL</t>
  </si>
  <si>
    <t>557 SAIN RD</t>
  </si>
  <si>
    <t>N500000079</t>
  </si>
  <si>
    <t>DANIELS KATELYN IJAMES</t>
  </si>
  <si>
    <t>481 PINE RIDGE RD</t>
  </si>
  <si>
    <t>K70000002506</t>
  </si>
  <si>
    <t>ELLIS JACOB</t>
  </si>
  <si>
    <t>ELLIS KAYA</t>
  </si>
  <si>
    <t>I5160D0007</t>
  </si>
  <si>
    <t>FAMILY PROMISE OF DAVIE COUNTY</t>
  </si>
  <si>
    <t>PO BOX 1536</t>
  </si>
  <si>
    <t>27028-1536</t>
  </si>
  <si>
    <t>L300000028  A</t>
  </si>
  <si>
    <t>SPENCER ZACHARY LEWIS</t>
  </si>
  <si>
    <t>SPENCER LAUREN MARIE</t>
  </si>
  <si>
    <t>744 JUNCTION RD</t>
  </si>
  <si>
    <t>L30000002802</t>
  </si>
  <si>
    <t>L300000029</t>
  </si>
  <si>
    <t>H200000029</t>
  </si>
  <si>
    <t>YODER MICAH JAMES</t>
  </si>
  <si>
    <t>YODER NAOMI ELIZABETH</t>
  </si>
  <si>
    <t>160 OAK HAVEN DR</t>
  </si>
  <si>
    <t>28625-9114</t>
  </si>
  <si>
    <t>D7030A0021</t>
  </si>
  <si>
    <t>STEERMAN MATTHEW PHILLIP</t>
  </si>
  <si>
    <t>STEERMAN AMANDA JOLENE</t>
  </si>
  <si>
    <t>136 BRENTWOOD DR</t>
  </si>
  <si>
    <t>C700000024</t>
  </si>
  <si>
    <t>PROEDGE PROPERTIES LLC</t>
  </si>
  <si>
    <t>667 N BRIDGE ST</t>
  </si>
  <si>
    <t>ELKIN</t>
  </si>
  <si>
    <t>28621-3004</t>
  </si>
  <si>
    <t>C70000002401</t>
  </si>
  <si>
    <t>I5050C0014</t>
  </si>
  <si>
    <t>CRAIN WILLIAM BURTON</t>
  </si>
  <si>
    <t>638 WHITNEY RD</t>
  </si>
  <si>
    <t>N50000005701</t>
  </si>
  <si>
    <t>COBLE THOMAS RAY JR</t>
  </si>
  <si>
    <t>COBLE JENNIFER JEANE</t>
  </si>
  <si>
    <t>460 PINE RIDGE RD</t>
  </si>
  <si>
    <t>E900000478</t>
  </si>
  <si>
    <t>RUSSELL BRADLY K</t>
  </si>
  <si>
    <t>RUSSELL LAUREN K</t>
  </si>
  <si>
    <t>210 N HIDDENBROOKE DR</t>
  </si>
  <si>
    <t>J6090A0013</t>
  </si>
  <si>
    <t>BARKER CHERYL L</t>
  </si>
  <si>
    <t>BARKER TIMOTHY D</t>
  </si>
  <si>
    <t>142 ERIC RD</t>
  </si>
  <si>
    <t>J5010A0011</t>
  </si>
  <si>
    <t>E900000432</t>
  </si>
  <si>
    <t>SAINZ BRIAN J</t>
  </si>
  <si>
    <t>117 FOXMOOR CT</t>
  </si>
  <si>
    <t>I40000007604</t>
  </si>
  <si>
    <t>I40000007603</t>
  </si>
  <si>
    <t>I4130H0001</t>
  </si>
  <si>
    <t>I30000002002</t>
  </si>
  <si>
    <t>J4030B000701</t>
  </si>
  <si>
    <t>J4030B0005</t>
  </si>
  <si>
    <t>J4030B0003</t>
  </si>
  <si>
    <t>J4030B0007</t>
  </si>
  <si>
    <t>J4030B0006</t>
  </si>
  <si>
    <t>I300000061</t>
  </si>
  <si>
    <t>SPILLMAN ROGER P ETAL</t>
  </si>
  <si>
    <t>E300000090</t>
  </si>
  <si>
    <t>MRS REVOCABLE TRUST</t>
  </si>
  <si>
    <t>2510 COLUMBINE LN</t>
  </si>
  <si>
    <t>27215-5410</t>
  </si>
  <si>
    <t>G20000001102</t>
  </si>
  <si>
    <t>G200000035</t>
  </si>
  <si>
    <t>G200000047</t>
  </si>
  <si>
    <t>G200000046</t>
  </si>
  <si>
    <t>I5070A0009</t>
  </si>
  <si>
    <t>MINDER RALPH EMMETT JR</t>
  </si>
  <si>
    <t>213 CAROLINA ST</t>
  </si>
  <si>
    <t>I5160A0008</t>
  </si>
  <si>
    <t>SEMAJI GROUP LLC</t>
  </si>
  <si>
    <t>PO BOX 261</t>
  </si>
  <si>
    <t>27028-0261</t>
  </si>
  <si>
    <t>I5160A0009</t>
  </si>
  <si>
    <t>J60000003101</t>
  </si>
  <si>
    <t>M40000002416</t>
  </si>
  <si>
    <t>MARTINEZ SANTIAGO A</t>
  </si>
  <si>
    <t>240 SUNBURST LN</t>
  </si>
  <si>
    <t>27028-5378</t>
  </si>
  <si>
    <t>M5090B0007</t>
  </si>
  <si>
    <t>HALL GRACE HEIRS</t>
  </si>
  <si>
    <t>20525 CYPRESSWOOD DR</t>
  </si>
  <si>
    <t>APT 11107</t>
  </si>
  <si>
    <t>CYPRESS</t>
  </si>
  <si>
    <t>M5070A0007</t>
  </si>
  <si>
    <t>7369 NC HIGHWAY 801 S</t>
  </si>
  <si>
    <t>E700000097</t>
  </si>
  <si>
    <t>MORRIS BRENT ALLEN</t>
  </si>
  <si>
    <t>134 BALTIMORE RD</t>
  </si>
  <si>
    <t>G3060A0026</t>
  </si>
  <si>
    <t>HELMS ROBERT C JR</t>
  </si>
  <si>
    <t>CROXTON TRUDY</t>
  </si>
  <si>
    <t>134 PARKWAY CT</t>
  </si>
  <si>
    <t>27028-4872</t>
  </si>
  <si>
    <t>L800000018</t>
  </si>
  <si>
    <t>HANDY JOEL KEITH</t>
  </si>
  <si>
    <t>HANDY LISA M</t>
  </si>
  <si>
    <t>182 HILL TOP DR</t>
  </si>
  <si>
    <t>C7140C0011</t>
  </si>
  <si>
    <t>HIXSON PAULINE F</t>
  </si>
  <si>
    <t>132 WOODBURN PLACE</t>
  </si>
  <si>
    <t>B700000079</t>
  </si>
  <si>
    <t>LONG SUSAN</t>
  </si>
  <si>
    <t>LONG DAVID</t>
  </si>
  <si>
    <t>5845 BIRCHDALE DR</t>
  </si>
  <si>
    <t>27106-9713</t>
  </si>
  <si>
    <t>E900000092</t>
  </si>
  <si>
    <t>RAVISH MATTHEW</t>
  </si>
  <si>
    <t>RAVISH MICHELLE</t>
  </si>
  <si>
    <t>143 KESWICK DR</t>
  </si>
  <si>
    <t>C8020A0004</t>
  </si>
  <si>
    <t>BNK INVESTMENTS OF HARRISBURG LLC</t>
  </si>
  <si>
    <t>5429 NC HIGHWAY 49 S</t>
  </si>
  <si>
    <t>28075-8474</t>
  </si>
  <si>
    <t>O600000012</t>
  </si>
  <si>
    <t>TRIMIAR ETHEL H COLLINS</t>
  </si>
  <si>
    <t>3835 NC HIGHWAY 601 SOUTH</t>
  </si>
  <si>
    <t>J20000003803</t>
  </si>
  <si>
    <t>WALKER DIANNA LYNN</t>
  </si>
  <si>
    <t>260 PINE FOREST LANE</t>
  </si>
  <si>
    <t>D8070D0041</t>
  </si>
  <si>
    <t>WOLFF RICHARD A</t>
  </si>
  <si>
    <t>WOLFF GLENDA J</t>
  </si>
  <si>
    <t>136 FAIRWAY DRIVE</t>
  </si>
  <si>
    <t>E900000551</t>
  </si>
  <si>
    <t>TEPER MARIANELLA PERDOMO</t>
  </si>
  <si>
    <t>111 ARNOLD PALMER DRIVE</t>
  </si>
  <si>
    <t>E700000044</t>
  </si>
  <si>
    <t>BLACKWELL WILBUR CLAY</t>
  </si>
  <si>
    <t>253 JUNEY BEAUCHAMP ROAD</t>
  </si>
  <si>
    <t>M5160A0015</t>
  </si>
  <si>
    <t>CARTER FREDDIE E</t>
  </si>
  <si>
    <t>27014-0431</t>
  </si>
  <si>
    <t>K700000056</t>
  </si>
  <si>
    <t>GRUBB ROBERT CLAY</t>
  </si>
  <si>
    <t>PO BOX 594</t>
  </si>
  <si>
    <t>27028-0594</t>
  </si>
  <si>
    <t>K70000005608</t>
  </si>
  <si>
    <t>K70000005606</t>
  </si>
  <si>
    <t>H7030A0009</t>
  </si>
  <si>
    <t>JENKINS LOUISE</t>
  </si>
  <si>
    <t>193 BRIAR CREEK ROAD</t>
  </si>
  <si>
    <t>G60000007701</t>
  </si>
  <si>
    <t>REESE RASHAWN</t>
  </si>
  <si>
    <t>1022 DULIN ROAD</t>
  </si>
  <si>
    <t>C20000001003</t>
  </si>
  <si>
    <t>SALE JAMES M JR</t>
  </si>
  <si>
    <t>F7060A0006</t>
  </si>
  <si>
    <t>HUMSTON SHARON K</t>
  </si>
  <si>
    <t>144 QUAIL HOLLOW RD</t>
  </si>
  <si>
    <t>I4030A0001</t>
  </si>
  <si>
    <t>TOTAL REAL ESTATE LLC</t>
  </si>
  <si>
    <t>N50000003602</t>
  </si>
  <si>
    <t>BAKLARZ JUSTIN HENRY</t>
  </si>
  <si>
    <t>SANNY RAIMA</t>
  </si>
  <si>
    <t>124 MARIC LN</t>
  </si>
  <si>
    <t>27028-6715</t>
  </si>
  <si>
    <t>N50000003601</t>
  </si>
  <si>
    <t>F30000009904</t>
  </si>
  <si>
    <t>EASYSTREET PROPERTIES LLC</t>
  </si>
  <si>
    <t>3802-A CLEMMONS ROAD</t>
  </si>
  <si>
    <t>F30000009905</t>
  </si>
  <si>
    <t>F30000009906</t>
  </si>
  <si>
    <t>F30000009907</t>
  </si>
  <si>
    <t>F30000009901</t>
  </si>
  <si>
    <t>F30000009902</t>
  </si>
  <si>
    <t>H4130A0087</t>
  </si>
  <si>
    <t>G300000086</t>
  </si>
  <si>
    <t>M5160C0025</t>
  </si>
  <si>
    <t>DODD LEANN A</t>
  </si>
  <si>
    <t>DODD JAMES K</t>
  </si>
  <si>
    <t>I4030A0009</t>
  </si>
  <si>
    <t>D9050A0047</t>
  </si>
  <si>
    <t>HALL HOPE F REV TRUST</t>
  </si>
  <si>
    <t>TATE HOPE H TRUSTEE</t>
  </si>
  <si>
    <t>325 E 41ST ST APT 807</t>
  </si>
  <si>
    <t>E8160A0001</t>
  </si>
  <si>
    <t>THE CALLAWAY FAMILY REV TRUST</t>
  </si>
  <si>
    <t>111 MEADOWS EDGE RD</t>
  </si>
  <si>
    <t>K5010A0013</t>
  </si>
  <si>
    <t>CARRASQUILLO JEANETTE MARRERO</t>
  </si>
  <si>
    <t>CARRASQUILLO ORLANDO J</t>
  </si>
  <si>
    <t>109 RANDOM RD</t>
  </si>
  <si>
    <t>J5010C0007</t>
  </si>
  <si>
    <t>I5010B0020</t>
  </si>
  <si>
    <t>I5160A0007</t>
  </si>
  <si>
    <t>M5160C002102</t>
  </si>
  <si>
    <t>VILLAGE AUTO CENTER,LLC</t>
  </si>
  <si>
    <t>PO BOX 46</t>
  </si>
  <si>
    <t>D9010D0003</t>
  </si>
  <si>
    <t>PECKENS DAVID F JR</t>
  </si>
  <si>
    <t>PECKENS ELIZABETH C</t>
  </si>
  <si>
    <t>194 HAMILTON CT</t>
  </si>
  <si>
    <t>H7120B0004</t>
  </si>
  <si>
    <t>HAJECK RAYMOND JR</t>
  </si>
  <si>
    <t>FIALA ANGELA MARIA</t>
  </si>
  <si>
    <t>138 OLD DUTCH RD</t>
  </si>
  <si>
    <t>H20000000301</t>
  </si>
  <si>
    <t>DRAUGHN WAYNE MARTIN JR</t>
  </si>
  <si>
    <t>H50000002407</t>
  </si>
  <si>
    <t>J AND A GENERAL SERVICES LLC</t>
  </si>
  <si>
    <t>F600000076  A</t>
  </si>
  <si>
    <t>BOGER RONALD DALE</t>
  </si>
  <si>
    <t>139 DULIN RD</t>
  </si>
  <si>
    <t>L500000085</t>
  </si>
  <si>
    <t>SEAMON LOU ANN</t>
  </si>
  <si>
    <t>789 FAIRFIELD RD</t>
  </si>
  <si>
    <t>27028-5216</t>
  </si>
  <si>
    <t>M5070A0034</t>
  </si>
  <si>
    <t>SADET STEVEN M</t>
  </si>
  <si>
    <t>7402 NC HIGHWAY 801 S</t>
  </si>
  <si>
    <t>C300000053</t>
  </si>
  <si>
    <t>FELTS MICHAEL ALLEN</t>
  </si>
  <si>
    <t>153 R SHORE DR</t>
  </si>
  <si>
    <t>D9010D0006</t>
  </si>
  <si>
    <t>AGAR JAMES DAVID</t>
  </si>
  <si>
    <t>AGAR FAY GLASS</t>
  </si>
  <si>
    <t>182 HAMILTON CT</t>
  </si>
  <si>
    <t>I5050B0046</t>
  </si>
  <si>
    <t>GUEVARA JOSE MANUEL</t>
  </si>
  <si>
    <t>641 WHITNEY RD</t>
  </si>
  <si>
    <t>H5170A0034</t>
  </si>
  <si>
    <t>DAY TAYLOR J</t>
  </si>
  <si>
    <t>DAY ASHLEY M</t>
  </si>
  <si>
    <t>295 CANYON RD</t>
  </si>
  <si>
    <t>C8010A0113</t>
  </si>
  <si>
    <t>LEAK-SIMMONS LISA G</t>
  </si>
  <si>
    <t>207 BROOKSTONE DR</t>
  </si>
  <si>
    <t>27006-8614</t>
  </si>
  <si>
    <t>M5070A0033</t>
  </si>
  <si>
    <t>DALTON CHAD AMONTAE LEE</t>
  </si>
  <si>
    <t>DALTON SHANTEEA ONIKE</t>
  </si>
  <si>
    <t>299 DALTON RD</t>
  </si>
  <si>
    <t>F8020A0019</t>
  </si>
  <si>
    <t>STRICKLAND HEATHER</t>
  </si>
  <si>
    <t>PERRY CHRISTOPHER</t>
  </si>
  <si>
    <t>156 HIGH MEADOWS RD</t>
  </si>
  <si>
    <t>C4160A0007</t>
  </si>
  <si>
    <t>REV TRUST AGREEMENT OF JEANETTE ANN POLAND</t>
  </si>
  <si>
    <t>POLAND JEANETTE ANN TRUSTEE</t>
  </si>
  <si>
    <t>190 STEEPLECHASE LN</t>
  </si>
  <si>
    <t>27028-4972</t>
  </si>
  <si>
    <t>C4160A0008</t>
  </si>
  <si>
    <t>H80000004308</t>
  </si>
  <si>
    <t>BLOOM KYLE LOUIS</t>
  </si>
  <si>
    <t>BLOOM ANNA JUNE</t>
  </si>
  <si>
    <t>1094 BAILEYS CHAPEL RD</t>
  </si>
  <si>
    <t>M5160C0019</t>
  </si>
  <si>
    <t>CLODFELTER BOYCE RUSSELL</t>
  </si>
  <si>
    <t>PO BOX 395</t>
  </si>
  <si>
    <t>27014-0395</t>
  </si>
  <si>
    <t>N5010C0075</t>
  </si>
  <si>
    <t>K400000015</t>
  </si>
  <si>
    <t>MAINER EVA L</t>
  </si>
  <si>
    <t>SCHARRER KENNETH DAVID JR</t>
  </si>
  <si>
    <t>1592 JERICHO CHURCH RD</t>
  </si>
  <si>
    <t>27028-4218</t>
  </si>
  <si>
    <t>H80000004318</t>
  </si>
  <si>
    <t>SANFILIPPO REBECCA</t>
  </si>
  <si>
    <t>SANFILIPPO PAUL</t>
  </si>
  <si>
    <t>1014 BAILEYS CHAPEL RD</t>
  </si>
  <si>
    <t>D9090D0020</t>
  </si>
  <si>
    <t>SAYERS THOMAS JACKSON JR</t>
  </si>
  <si>
    <t>108 BAYBERRY PL</t>
  </si>
  <si>
    <t>I30000001901</t>
  </si>
  <si>
    <t>I30000001905</t>
  </si>
  <si>
    <t>I30000001902</t>
  </si>
  <si>
    <t>J5030A003201</t>
  </si>
  <si>
    <t>MONTGOMERY MARK ALLEN</t>
  </si>
  <si>
    <t>MONTGOMERY MELISSA CAL</t>
  </si>
  <si>
    <t>331 E LAKE DR</t>
  </si>
  <si>
    <t>H60000000701</t>
  </si>
  <si>
    <t>SORENSON CHRISTINE E TRUST</t>
  </si>
  <si>
    <t>SORENSON CHRISTINE E TRUSTEE</t>
  </si>
  <si>
    <t>1479 MILLING RD</t>
  </si>
  <si>
    <t>D7090A0011</t>
  </si>
  <si>
    <t>COOPER TROYE A</t>
  </si>
  <si>
    <t>PRIVETT REBECCA R</t>
  </si>
  <si>
    <t>129 IDLEWILD RD</t>
  </si>
  <si>
    <t>27006-6680</t>
  </si>
  <si>
    <t>I5050C0013</t>
  </si>
  <si>
    <t>SANTIBANEZ VICTOR</t>
  </si>
  <si>
    <t>AGUIRRE YOLANDA</t>
  </si>
  <si>
    <t>644 WHITNEY RD</t>
  </si>
  <si>
    <t>I5050C0012</t>
  </si>
  <si>
    <t>RAJKUMAR ALEX</t>
  </si>
  <si>
    <t>652 WHITNEY RD</t>
  </si>
  <si>
    <t>M5070A0036</t>
  </si>
  <si>
    <t>HILL AMANDA</t>
  </si>
  <si>
    <t>HILL MILES</t>
  </si>
  <si>
    <t>7432 NC HIGHWAY 801 S</t>
  </si>
  <si>
    <t>I5080E0019</t>
  </si>
  <si>
    <t>MAYO YAMILET NATIVDAD PACHECO</t>
  </si>
  <si>
    <t>249 SPRING ST</t>
  </si>
  <si>
    <t>I20000000601</t>
  </si>
  <si>
    <t>GODBEY LEONARD ALLEN</t>
  </si>
  <si>
    <t>GODBEY JENNIFER HITE</t>
  </si>
  <si>
    <t>1422 GODBEY RD</t>
  </si>
  <si>
    <t>K50000000401</t>
  </si>
  <si>
    <t>EDGE JOSHUA</t>
  </si>
  <si>
    <t>EDGE ASHLEY</t>
  </si>
  <si>
    <t>190 REDWOOD DR</t>
  </si>
  <si>
    <t>27028-5434</t>
  </si>
  <si>
    <t>E900000530</t>
  </si>
  <si>
    <t>CRAVEN MARK C</t>
  </si>
  <si>
    <t>CRAVEN LINDA M</t>
  </si>
  <si>
    <t>293 N HIDDENBROOKE DR</t>
  </si>
  <si>
    <t>J60000005605</t>
  </si>
  <si>
    <t>MAIORANA JENNA TRUSTEE</t>
  </si>
  <si>
    <t>WALNUT FARMHOUSE TRUST</t>
  </si>
  <si>
    <t>3630 CLEMMONS RD</t>
  </si>
  <si>
    <t># 281</t>
  </si>
  <si>
    <t>27012-9751</t>
  </si>
  <si>
    <t>O600000008</t>
  </si>
  <si>
    <t>CREWS ROBERT</t>
  </si>
  <si>
    <t>CREWS KATHY</t>
  </si>
  <si>
    <t>E8140A0012</t>
  </si>
  <si>
    <t>FISHER SETH TYSON</t>
  </si>
  <si>
    <t>FISHER TRACI WORLEY</t>
  </si>
  <si>
    <t>229 COUNTRY CIR</t>
  </si>
  <si>
    <t>D8070A0058</t>
  </si>
  <si>
    <t>MERRILL SALLY J</t>
  </si>
  <si>
    <t>156 GOLFVIEW DR</t>
  </si>
  <si>
    <t>I6160A0003</t>
  </si>
  <si>
    <t>ACEVEDO OSMAYDA ETAL</t>
  </si>
  <si>
    <t>MENDOZA J ASUNCION C JR</t>
  </si>
  <si>
    <t>120 LINDA LN</t>
  </si>
  <si>
    <t>H400000110</t>
  </si>
  <si>
    <t>RTN REAL ESTATE LLC</t>
  </si>
  <si>
    <t>10308 BAILEY RD STE 405</t>
  </si>
  <si>
    <t>28031-9430</t>
  </si>
  <si>
    <t>E8160A0002</t>
  </si>
  <si>
    <t>G80000000512</t>
  </si>
  <si>
    <t>MOORE RYAN</t>
  </si>
  <si>
    <t>MOORE EMILY DELIA</t>
  </si>
  <si>
    <t>117 BEAUCHAMP RD</t>
  </si>
  <si>
    <t>J50000003507</t>
  </si>
  <si>
    <t>251 EATON RD</t>
  </si>
  <si>
    <t>F600000098</t>
  </si>
  <si>
    <t>MARSHALL PANDORA LAMBE</t>
  </si>
  <si>
    <t>I4120A0015</t>
  </si>
  <si>
    <t>NEWTON WESTLEY SCOTT</t>
  </si>
  <si>
    <t>336 WILKESBORO ST</t>
  </si>
  <si>
    <t>D7010A0015</t>
  </si>
  <si>
    <t>CHURCH GARY D</t>
  </si>
  <si>
    <t>CHURCH DANNY K</t>
  </si>
  <si>
    <t>9430 STRATHMORE DR</t>
  </si>
  <si>
    <t>ANCHORAGE</t>
  </si>
  <si>
    <t>AK</t>
  </si>
  <si>
    <t>99502-1445</t>
  </si>
  <si>
    <t>C4160A0009</t>
  </si>
  <si>
    <t>G8010D0005</t>
  </si>
  <si>
    <t>AEUGLE TORSTEN</t>
  </si>
  <si>
    <t>AEUGLE FREYE PAVLA</t>
  </si>
  <si>
    <t>314 FOX TROT LN</t>
  </si>
  <si>
    <t>F800000008</t>
  </si>
  <si>
    <t>MOCKS CHURCH INC</t>
  </si>
  <si>
    <t>PO BOX 2122</t>
  </si>
  <si>
    <t>27006-2122</t>
  </si>
  <si>
    <t>F800000009</t>
  </si>
  <si>
    <t>F80000005702</t>
  </si>
  <si>
    <t>F800000010</t>
  </si>
  <si>
    <t>F8020A0004</t>
  </si>
  <si>
    <t>J800000021</t>
  </si>
  <si>
    <t>FULTON METHODIST CHURCH</t>
  </si>
  <si>
    <t>3689 NC HIGHWAY 801 S</t>
  </si>
  <si>
    <t>27006-7113</t>
  </si>
  <si>
    <t>F4010A0019</t>
  </si>
  <si>
    <t>BERRY SHELL D</t>
  </si>
  <si>
    <t>BERRY LAUREL G</t>
  </si>
  <si>
    <t>118 ARRENDAL CT</t>
  </si>
  <si>
    <t>J5050B0036</t>
  </si>
  <si>
    <t>MERCADANTE MATHEW J</t>
  </si>
  <si>
    <t>MERCADANTE VICTORIA</t>
  </si>
  <si>
    <t>120 CARRIAGE COVE CIR</t>
  </si>
  <si>
    <t>27028-2965</t>
  </si>
  <si>
    <t>F7110A0001</t>
  </si>
  <si>
    <t>SCOTT MICHAEL T</t>
  </si>
  <si>
    <t>SCOTT MARTHA S</t>
  </si>
  <si>
    <t>945 BALTIMORE ROAD</t>
  </si>
  <si>
    <t>D8030A0017</t>
  </si>
  <si>
    <t>VITTI JULIO CESAR CLEMENTE</t>
  </si>
  <si>
    <t>VITTI JULIANA DE GIACOMETTI</t>
  </si>
  <si>
    <t>191 RIVERBEND DR</t>
  </si>
  <si>
    <t>F4010A0017</t>
  </si>
  <si>
    <t>MARTON MICHAEL</t>
  </si>
  <si>
    <t>MARTON LESLIE</t>
  </si>
  <si>
    <t>245 SUMMERLYN DR</t>
  </si>
  <si>
    <t>J4040F0018</t>
  </si>
  <si>
    <t>MILLS MICHAEL S</t>
  </si>
  <si>
    <t>MILLS SUSAN S</t>
  </si>
  <si>
    <t>490 S SALISBURY ST</t>
  </si>
  <si>
    <t>J5050B0032</t>
  </si>
  <si>
    <t>BURTON JESSI</t>
  </si>
  <si>
    <t>138 CARRIAGE COVE CIR</t>
  </si>
  <si>
    <t>K500000009</t>
  </si>
  <si>
    <t>STEELE ELIHU H HEIRS</t>
  </si>
  <si>
    <t>5520 COBBLE GRAND CT</t>
  </si>
  <si>
    <t>27407-0000</t>
  </si>
  <si>
    <t>G30000008201</t>
  </si>
  <si>
    <t>LOWE JEFFREY</t>
  </si>
  <si>
    <t>LOWE KRISTINA</t>
  </si>
  <si>
    <t>362 ALLEN RD</t>
  </si>
  <si>
    <t>F20000000203</t>
  </si>
  <si>
    <t>STILES PETER L</t>
  </si>
  <si>
    <t>STILES CAROL A</t>
  </si>
  <si>
    <t>179 DUKE WHITTAKER RD</t>
  </si>
  <si>
    <t>27028-5740</t>
  </si>
  <si>
    <t>L5090A0004</t>
  </si>
  <si>
    <t>STOLTZFUS SHARI J</t>
  </si>
  <si>
    <t>STOLTZFUS MARY ANN</t>
  </si>
  <si>
    <t>896 BAKER HOLLOW RD</t>
  </si>
  <si>
    <t>MIFFLINBURG</t>
  </si>
  <si>
    <t>17844-7806</t>
  </si>
  <si>
    <t>F8020A0015</t>
  </si>
  <si>
    <t>MILLER REBECCA LYNN</t>
  </si>
  <si>
    <t>RUSSELL ROBERT REED IV</t>
  </si>
  <si>
    <t>124 HIGH MEADOWS RD</t>
  </si>
  <si>
    <t>M500000026</t>
  </si>
  <si>
    <t>MYERS BONNIE</t>
  </si>
  <si>
    <t>DURHAM MORRIS</t>
  </si>
  <si>
    <t>8610 FOREST DR</t>
  </si>
  <si>
    <t>28138-7564</t>
  </si>
  <si>
    <t>I200000034</t>
  </si>
  <si>
    <t>CUTHRELL CYNTHIA B</t>
  </si>
  <si>
    <t>497 GODBEY RD</t>
  </si>
  <si>
    <t>I200000036</t>
  </si>
  <si>
    <t>L4130A0026</t>
  </si>
  <si>
    <t>MARTIN JACALYN</t>
  </si>
  <si>
    <t>542 GLADSTONE RD</t>
  </si>
  <si>
    <t>J6100A0027</t>
  </si>
  <si>
    <t>BELL COURTENAY</t>
  </si>
  <si>
    <t>BELL ROBERT</t>
  </si>
  <si>
    <t>150 LAKE LOUISE DR</t>
  </si>
  <si>
    <t>F800000069</t>
  </si>
  <si>
    <t>RYE BRADFORD</t>
  </si>
  <si>
    <t>RYE GINA</t>
  </si>
  <si>
    <t>27012-0175</t>
  </si>
  <si>
    <t>D7080A0026</t>
  </si>
  <si>
    <t>BERRY JESSE SCOTT</t>
  </si>
  <si>
    <t>BERRY MAKAYLA TYSINGER</t>
  </si>
  <si>
    <t>186 LONGWOOD DR</t>
  </si>
  <si>
    <t>E100000026</t>
  </si>
  <si>
    <t>DYSON THOMAS WAYNE</t>
  </si>
  <si>
    <t>DYSON FREIDA A</t>
  </si>
  <si>
    <t>1273 CALAHALN RD</t>
  </si>
  <si>
    <t>I700000076</t>
  </si>
  <si>
    <t>BARNEY WALTER FRED ETAL</t>
  </si>
  <si>
    <t>270 CLEARWATER LN</t>
  </si>
  <si>
    <t>27006-7168</t>
  </si>
  <si>
    <t>G3140A0012</t>
  </si>
  <si>
    <t>RUTLER AMY RACHELLE</t>
  </si>
  <si>
    <t>190 HIDDEN VALLEY LN</t>
  </si>
  <si>
    <t>27028-5664</t>
  </si>
  <si>
    <t>E900000363</t>
  </si>
  <si>
    <t>MORRIS SETH MICHAEL</t>
  </si>
  <si>
    <t>MORRIS JEANNE BINGHAM</t>
  </si>
  <si>
    <t>116 BROADMOOR DR</t>
  </si>
  <si>
    <t>I5050B0049</t>
  </si>
  <si>
    <t>LOGAN SHAKEDA</t>
  </si>
  <si>
    <t>659 WHITNEY RD</t>
  </si>
  <si>
    <t>D9090B0012</t>
  </si>
  <si>
    <t>LONG ROBERT ALLEN</t>
  </si>
  <si>
    <t>LONG JOAN HATTON</t>
  </si>
  <si>
    <t>108 OLEANDER DR</t>
  </si>
  <si>
    <t>E10000002601</t>
  </si>
  <si>
    <t>H7120B0015</t>
  </si>
  <si>
    <t>ALDERMAN LYNN NOLAN JR</t>
  </si>
  <si>
    <t>ALDERMAN JACQUELINE STACY</t>
  </si>
  <si>
    <t>157 OLD DUTCH RD</t>
  </si>
  <si>
    <t>M5090B0005</t>
  </si>
  <si>
    <t>FOWLER AARON F</t>
  </si>
  <si>
    <t>4421 US HWY 64 W</t>
  </si>
  <si>
    <t>N5010C0003</t>
  </si>
  <si>
    <t>PEGLOW CHRISTOPHER CHARLES</t>
  </si>
  <si>
    <t>PO BOX 694</t>
  </si>
  <si>
    <t>27014-0694</t>
  </si>
  <si>
    <t>D9090E0001</t>
  </si>
  <si>
    <t>MCCORKLE CAROL</t>
  </si>
  <si>
    <t>MCCORKLE DONALD</t>
  </si>
  <si>
    <t>234 OLEANDER DR</t>
  </si>
  <si>
    <t>I5050C0011</t>
  </si>
  <si>
    <t>MATHIS COLEY</t>
  </si>
  <si>
    <t>658 WHITNEY RD</t>
  </si>
  <si>
    <t>J4040F000606</t>
  </si>
  <si>
    <t>CF KL ASSETS 2023-1 LLC</t>
  </si>
  <si>
    <t>320 N SANGAMON ST STE 1275</t>
  </si>
  <si>
    <t>60607-1313</t>
  </si>
  <si>
    <t>J4040F000604</t>
  </si>
  <si>
    <t>I60000003603</t>
  </si>
  <si>
    <t>CARTER VANESSA SMITH</t>
  </si>
  <si>
    <t>813 CORNATZER RD</t>
  </si>
  <si>
    <t>I600000019</t>
  </si>
  <si>
    <t>G70000014206</t>
  </si>
  <si>
    <t>YAKEEN SOLUTIONS LLC</t>
  </si>
  <si>
    <t>3210 TURNSTONE CT</t>
  </si>
  <si>
    <t>27012-8585</t>
  </si>
  <si>
    <t>J6050A0002</t>
  </si>
  <si>
    <t>TROYER JORDAN T</t>
  </si>
  <si>
    <t>TROYER GRETTA M</t>
  </si>
  <si>
    <t>226 PINE VALLEY ROAD</t>
  </si>
  <si>
    <t>F400000008</t>
  </si>
  <si>
    <t>MCCOY JOHN ROBERT</t>
  </si>
  <si>
    <t>MCCOY ALLISON SELL</t>
  </si>
  <si>
    <t>1811 ANGELL ROAD</t>
  </si>
  <si>
    <t>G8120A0002</t>
  </si>
  <si>
    <t>EVERETT JOE MACK JR</t>
  </si>
  <si>
    <t>EVERETT ASHLEY WADE</t>
  </si>
  <si>
    <t>120 SUNTREE RD</t>
  </si>
  <si>
    <t>K600000023</t>
  </si>
  <si>
    <t>GRAVES MARSHA</t>
  </si>
  <si>
    <t>1105 DEADMON RD</t>
  </si>
  <si>
    <t>K600000022</t>
  </si>
  <si>
    <t>GRAVES RALPH JEFFREY</t>
  </si>
  <si>
    <t>701 SINGING QUAIL TRL</t>
  </si>
  <si>
    <t>HASLET</t>
  </si>
  <si>
    <t>76052-5121</t>
  </si>
  <si>
    <t>G8140A0019</t>
  </si>
  <si>
    <t>WINTERS JUSTIN</t>
  </si>
  <si>
    <t>WINTERS CANDACE</t>
  </si>
  <si>
    <t>150 SCOTCH MOSS DR</t>
  </si>
  <si>
    <t>J5050B0035</t>
  </si>
  <si>
    <t>GHAREEB JONATHAN THOMAS</t>
  </si>
  <si>
    <t>JOHNSTON SAVANNAH ELIZABETH</t>
  </si>
  <si>
    <t>124 CARRIAGE COVE CIR</t>
  </si>
  <si>
    <t>F80000003901</t>
  </si>
  <si>
    <t>J4030C0004</t>
  </si>
  <si>
    <t>STROUD HARRY &amp; IRENE REVOCABLE TRUST</t>
  </si>
  <si>
    <t>221 MAGNOLIA AVE</t>
  </si>
  <si>
    <t>G20000005005</t>
  </si>
  <si>
    <t>BARNEYCASTLE KAYLI LANIER</t>
  </si>
  <si>
    <t>515 FRED LANIER RD</t>
  </si>
  <si>
    <t>E900000325</t>
  </si>
  <si>
    <t>MCCONNELL DAVID C</t>
  </si>
  <si>
    <t>MCCONNELL ELLEN-LOUISE</t>
  </si>
  <si>
    <t>125 WOODLANDS CT</t>
  </si>
  <si>
    <t>H800000062</t>
  </si>
  <si>
    <t>G9100A0010</t>
  </si>
  <si>
    <t>TRAN PETER</t>
  </si>
  <si>
    <t>BARNES MEGGAN</t>
  </si>
  <si>
    <t>133 SUMMER SWEET DR</t>
  </si>
  <si>
    <t>E700000137</t>
  </si>
  <si>
    <t>MORRIS LARRY E</t>
  </si>
  <si>
    <t>1101 BEAUCHAMP RD</t>
  </si>
  <si>
    <t>I5050B0048</t>
  </si>
  <si>
    <t>FOWLER VICKIE EUGENIA</t>
  </si>
  <si>
    <t>655 WHITNEY RD</t>
  </si>
  <si>
    <t>K20000002102</t>
  </si>
  <si>
    <t>BARTHA HEATHER</t>
  </si>
  <si>
    <t>BARTHA JOSEPH MICHAEL JR</t>
  </si>
  <si>
    <t>633 RIDGE RD</t>
  </si>
  <si>
    <t>C8030A000602</t>
  </si>
  <si>
    <t>BOLES SALLIE T</t>
  </si>
  <si>
    <t>172 PINEWOOD LN UNIT 102</t>
  </si>
  <si>
    <t>F80000002218</t>
  </si>
  <si>
    <t>HOBSON DARRIN M</t>
  </si>
  <si>
    <t>HOBSON LARA M</t>
  </si>
  <si>
    <t>147 ARROW GLENN CT</t>
  </si>
  <si>
    <t>G90000000810</t>
  </si>
  <si>
    <t>D9010E0015</t>
  </si>
  <si>
    <t>RAINES DONALD L JR</t>
  </si>
  <si>
    <t>RAINES JULIE E</t>
  </si>
  <si>
    <t>3605 COMERAGH CT</t>
  </si>
  <si>
    <t>27012-8669</t>
  </si>
  <si>
    <t>C8010C0014</t>
  </si>
  <si>
    <t>HARAWAY RICKY L</t>
  </si>
  <si>
    <t>HARAWAY RENEE S</t>
  </si>
  <si>
    <t>108 ARCHER DR</t>
  </si>
  <si>
    <t>G50000003002</t>
  </si>
  <si>
    <t>DAVIS CALEB M</t>
  </si>
  <si>
    <t>DAVIS CHEYENNE B</t>
  </si>
  <si>
    <t>2155 US HIGHWAY 158</t>
  </si>
  <si>
    <t>J70000006502</t>
  </si>
  <si>
    <t>MOORE BRIAN MICHAEL</t>
  </si>
  <si>
    <t>MOORE EMILY MORTON</t>
  </si>
  <si>
    <t>2748 US HIGHWAY 64 E</t>
  </si>
  <si>
    <t>D7020B0008</t>
  </si>
  <si>
    <t>ALEXANDER JUSTIN P</t>
  </si>
  <si>
    <t>ALEXANDER SYLVIA C</t>
  </si>
  <si>
    <t>208 BRENTWOOD DR</t>
  </si>
  <si>
    <t>O60000003101</t>
  </si>
  <si>
    <t>SIDES LEIGHLA VICTORIA</t>
  </si>
  <si>
    <t>JOHNSON JACOB CHRISTOPHER A</t>
  </si>
  <si>
    <t>4096 US HIGHWAY 601 S</t>
  </si>
  <si>
    <t>I5050B0047</t>
  </si>
  <si>
    <t>DAIL LESLIE</t>
  </si>
  <si>
    <t>649 WHITNEY RD</t>
  </si>
  <si>
    <t>J5050B0033</t>
  </si>
  <si>
    <t>WHITE CHRISTOPHER WAYNE</t>
  </si>
  <si>
    <t>134 CARRIAGE COVE CIR</t>
  </si>
  <si>
    <t>I300000056</t>
  </si>
  <si>
    <t>HITES JUDITH KAY</t>
  </si>
  <si>
    <t>349 GREENHILL RD</t>
  </si>
  <si>
    <t>N50000002502</t>
  </si>
  <si>
    <t>CAMERON CECIL C</t>
  </si>
  <si>
    <t>CAMERON MICHELLE K</t>
  </si>
  <si>
    <t>220 BROADWAY RD</t>
  </si>
  <si>
    <t>N50000002504</t>
  </si>
  <si>
    <t>N50000002503</t>
  </si>
  <si>
    <t>J4140A0002</t>
  </si>
  <si>
    <t>BREWER DONALD R</t>
  </si>
  <si>
    <t>BREWER GAIL P</t>
  </si>
  <si>
    <t>204 NEW HAMPSHIRE CT</t>
  </si>
  <si>
    <t>G9090D0014</t>
  </si>
  <si>
    <t>CMCM INVESTMENTS LLC</t>
  </si>
  <si>
    <t>156 PRIMROSE RD</t>
  </si>
  <si>
    <t>F800000079</t>
  </si>
  <si>
    <t>LOOS JOHN S</t>
  </si>
  <si>
    <t>LOOS LISA G</t>
  </si>
  <si>
    <t>1414 NC HIGHWAY 801 S</t>
  </si>
  <si>
    <t>F40000000807</t>
  </si>
  <si>
    <t>K60000002204</t>
  </si>
  <si>
    <t>THIES ELIZABETH GRAVES</t>
  </si>
  <si>
    <t>1141 DEADMON RD</t>
  </si>
  <si>
    <t>H500000027</t>
  </si>
  <si>
    <t>HAMILTON DANNY E</t>
  </si>
  <si>
    <t>1938 US HIGHWAY 158</t>
  </si>
  <si>
    <t>E70000005206</t>
  </si>
  <si>
    <t>FRITTS LOGAN SCOTT</t>
  </si>
  <si>
    <t>FRITTS VICTORIA GABRIELLE LYNN</t>
  </si>
  <si>
    <t>593 JUNEY BEAUCHAMP RD</t>
  </si>
  <si>
    <t>J70000002106</t>
  </si>
  <si>
    <t>SHUTT LEAH</t>
  </si>
  <si>
    <t>241 JOE RD</t>
  </si>
  <si>
    <t>K500000051</t>
  </si>
  <si>
    <t>CROTTS DANIEL C</t>
  </si>
  <si>
    <t>761 DEADMON RD</t>
  </si>
  <si>
    <t>27028-5145</t>
  </si>
  <si>
    <t>K50000005130</t>
  </si>
  <si>
    <t>I4120B0009</t>
  </si>
  <si>
    <t>MCCUISTON LORI ANGELA</t>
  </si>
  <si>
    <t>397 WILKESBORO ST</t>
  </si>
  <si>
    <t>H800000041</t>
  </si>
  <si>
    <t>FOLMAR CAROLE B</t>
  </si>
  <si>
    <t>106 LONETREE CT</t>
  </si>
  <si>
    <t>E900000172</t>
  </si>
  <si>
    <t>N5010B0057</t>
  </si>
  <si>
    <t>MAGALLANES COURTNEY ELIZABETH</t>
  </si>
  <si>
    <t>126 CLYDES TRL</t>
  </si>
  <si>
    <t>F40000009901</t>
  </si>
  <si>
    <t>SUMMERLYN FARMS HOA INC</t>
  </si>
  <si>
    <t>262 WELCOME CENTER COURT</t>
  </si>
  <si>
    <t>F80000013920</t>
  </si>
  <si>
    <t>ALTIERS JASON</t>
  </si>
  <si>
    <t>ALTIERS JOSETTE</t>
  </si>
  <si>
    <t>178 HIDE AWAY LN</t>
  </si>
  <si>
    <t>D20000002902</t>
  </si>
  <si>
    <t>REAVIS LONNIE RAY</t>
  </si>
  <si>
    <t>104 WOODLEA DR</t>
  </si>
  <si>
    <t>28655-6906</t>
  </si>
  <si>
    <t>J700000065</t>
  </si>
  <si>
    <t>D9050B0030</t>
  </si>
  <si>
    <t>513 HARPER ST LLC</t>
  </si>
  <si>
    <t>2900 LOWERY ST</t>
  </si>
  <si>
    <t>27101-6126</t>
  </si>
  <si>
    <t>I5010C0013</t>
  </si>
  <si>
    <t>BOOE BOBBY M SR</t>
  </si>
  <si>
    <t>DRY LAWANDA F</t>
  </si>
  <si>
    <t>253 MARTIN LUTHER KING JR RD</t>
  </si>
  <si>
    <t>27028-7779</t>
  </si>
  <si>
    <t>J6100B0001</t>
  </si>
  <si>
    <t>CROTTS TODD A</t>
  </si>
  <si>
    <t>CROTTS CARLENA</t>
  </si>
  <si>
    <t>126 RESERVE DR</t>
  </si>
  <si>
    <t>27028-2244</t>
  </si>
  <si>
    <t>K400000002</t>
  </si>
  <si>
    <t>LAKEY DONALD ALAN</t>
  </si>
  <si>
    <t>LAKEY TIFFANY HARRIS</t>
  </si>
  <si>
    <t>170 NORTH CAROLINA CIRCLE</t>
  </si>
  <si>
    <t>N5010C0076</t>
  </si>
  <si>
    <t>HERITAGE HARDWARE</t>
  </si>
  <si>
    <t>PO BOX 538</t>
  </si>
  <si>
    <t>27054-0538</t>
  </si>
  <si>
    <t>H500000049</t>
  </si>
  <si>
    <t>SHUGART BRIAN D</t>
  </si>
  <si>
    <t>SHUGART SUSAN E</t>
  </si>
  <si>
    <t>713 SAIN RD</t>
  </si>
  <si>
    <t>H500000051</t>
  </si>
  <si>
    <t>E300000115</t>
  </si>
  <si>
    <t>BECK STACY A</t>
  </si>
  <si>
    <t>CARTER SUSAN BECK</t>
  </si>
  <si>
    <t>696 SINGLETON RD</t>
  </si>
  <si>
    <t>H4170A0007</t>
  </si>
  <si>
    <t>ADJACENT LAND MADISON ROAD</t>
  </si>
  <si>
    <t>MOCKSVILLE LLC</t>
  </si>
  <si>
    <t>100 INDUSTRIAL BLVD</t>
  </si>
  <si>
    <t>WINTER HAVEN</t>
  </si>
  <si>
    <t>33880-1036</t>
  </si>
  <si>
    <t>B20000001601</t>
  </si>
  <si>
    <t>KEATON CHARLES ANTHONY</t>
  </si>
  <si>
    <t>KEATON SHERRY WHITAKER</t>
  </si>
  <si>
    <t>2082 LIBERTY CHURCH RD</t>
  </si>
  <si>
    <t>B200000016</t>
  </si>
  <si>
    <t>N5010D0012</t>
  </si>
  <si>
    <t>JORDAN DAVID L</t>
  </si>
  <si>
    <t>705 PINE RIDGE RD</t>
  </si>
  <si>
    <t>N5110A0009</t>
  </si>
  <si>
    <t>C400000061</t>
  </si>
  <si>
    <t>27055-0487</t>
  </si>
  <si>
    <t>J70000004403</t>
  </si>
  <si>
    <t>J700000044</t>
  </si>
  <si>
    <t>G50000005102</t>
  </si>
  <si>
    <t>C7100A0002</t>
  </si>
  <si>
    <t>LANIER BARBARA K</t>
  </si>
  <si>
    <t>117 W ROBIN DR</t>
  </si>
  <si>
    <t>J5010D0092</t>
  </si>
  <si>
    <t>SEAFORD DUSTIN L</t>
  </si>
  <si>
    <t>SEAFORD MEGAN D</t>
  </si>
  <si>
    <t>188 WINDING CREEK RD</t>
  </si>
  <si>
    <t>J5010D0093</t>
  </si>
  <si>
    <t>D3010B0005</t>
  </si>
  <si>
    <t>MCINTYRE SANDRA B</t>
  </si>
  <si>
    <t>135 ROD CT</t>
  </si>
  <si>
    <t>H80000004315</t>
  </si>
  <si>
    <t>CHANG CHRISTOPHER</t>
  </si>
  <si>
    <t>CHANG ANGELINA</t>
  </si>
  <si>
    <t>1032 BAILEYS CHAPEL RD</t>
  </si>
  <si>
    <t>C70000004902</t>
  </si>
  <si>
    <t>BENTLEY TAYLOR MADISON</t>
  </si>
  <si>
    <t>BENTLEY AUTUMN R</t>
  </si>
  <si>
    <t>155 WOOD LN</t>
  </si>
  <si>
    <t>L300000023</t>
  </si>
  <si>
    <t>MITCHELL THOMAS J</t>
  </si>
  <si>
    <t>435 RATLEDGE RD</t>
  </si>
  <si>
    <t>C60000007602</t>
  </si>
  <si>
    <t>KAPP FAYE BONDURANT TRUSTEE</t>
  </si>
  <si>
    <t>KAPP FAYE BONDURANT REV TRUST</t>
  </si>
  <si>
    <t>1620 FARMINGTON RD</t>
  </si>
  <si>
    <t>D500000075</t>
  </si>
  <si>
    <t>H70000005803</t>
  </si>
  <si>
    <t>E7140A0002</t>
  </si>
  <si>
    <t>ROBERTSON DAVID</t>
  </si>
  <si>
    <t>MARTIN LINDA</t>
  </si>
  <si>
    <t>185 REDLAND RD</t>
  </si>
  <si>
    <t>G800000077</t>
  </si>
  <si>
    <t>COBB JULIANA R</t>
  </si>
  <si>
    <t>COBB RICHARD B</t>
  </si>
  <si>
    <t>300 UNDERPASS RD</t>
  </si>
  <si>
    <t>27006-7522</t>
  </si>
  <si>
    <t>I30000001904</t>
  </si>
  <si>
    <t>SMITHSON TERESA JILL</t>
  </si>
  <si>
    <t>117 COMMONWEALTH CT</t>
  </si>
  <si>
    <t>29073-8063</t>
  </si>
  <si>
    <t>G7040A0045</t>
  </si>
  <si>
    <t>G7040A0073</t>
  </si>
  <si>
    <t>G7040A0046</t>
  </si>
  <si>
    <t>D50000004101</t>
  </si>
  <si>
    <t>B70000001302</t>
  </si>
  <si>
    <t>D60000002101</t>
  </si>
  <si>
    <t>D8100A0003</t>
  </si>
  <si>
    <t>D700000203</t>
  </si>
  <si>
    <t>D700000109</t>
  </si>
  <si>
    <t>D700000110</t>
  </si>
  <si>
    <t>D8090B0011</t>
  </si>
  <si>
    <t>D70000003201</t>
  </si>
  <si>
    <t>D700000120</t>
  </si>
  <si>
    <t>D70000003601</t>
  </si>
  <si>
    <t>D70000010901</t>
  </si>
  <si>
    <t>D70000010702</t>
  </si>
  <si>
    <t>D700000107</t>
  </si>
  <si>
    <t>D70000010802</t>
  </si>
  <si>
    <t>D700000108</t>
  </si>
  <si>
    <t>I5160B0041  A</t>
  </si>
  <si>
    <t>I5050A0019</t>
  </si>
  <si>
    <t>I5040A0009</t>
  </si>
  <si>
    <t>G8050B0009</t>
  </si>
  <si>
    <t>C7140A0006</t>
  </si>
  <si>
    <t>H500000046</t>
  </si>
  <si>
    <t>WHIDDEN BRENDA FAYE</t>
  </si>
  <si>
    <t>541 SAIN ROAD</t>
  </si>
  <si>
    <t>I5050C0010</t>
  </si>
  <si>
    <t>CLIFTON CHRISTOPHER W</t>
  </si>
  <si>
    <t>CLIFTON KATELYN M</t>
  </si>
  <si>
    <t>664 WHITNEY RD</t>
  </si>
  <si>
    <t>I5050B0053</t>
  </si>
  <si>
    <t>WALL DERRECK</t>
  </si>
  <si>
    <t>DANIELS NICOLE</t>
  </si>
  <si>
    <t>123 BROOKVIEW COURT</t>
  </si>
  <si>
    <t>D9010A0013</t>
  </si>
  <si>
    <t>VICKERS TAYLOR E</t>
  </si>
  <si>
    <t>F300000010</t>
  </si>
  <si>
    <t>HAPPY-MUNROE STEPHEN DOUGLAS</t>
  </si>
  <si>
    <t>HAPPY-MUNROE CHERYLE ANNE</t>
  </si>
  <si>
    <t>260 RALPH RATLEDGE RD</t>
  </si>
  <si>
    <t>27028-8327</t>
  </si>
  <si>
    <t>H800000035</t>
  </si>
  <si>
    <t>ELBAVILLE CHURCH</t>
  </si>
  <si>
    <t>PO BOX 2276</t>
  </si>
  <si>
    <t>27006-2276</t>
  </si>
  <si>
    <t>G60000008202</t>
  </si>
  <si>
    <t>DULIN CHURCH INC</t>
  </si>
  <si>
    <t>897 DULIN ROAD</t>
  </si>
  <si>
    <t>D9050B0027</t>
  </si>
  <si>
    <t>CDS INVESTMENT TRUST</t>
  </si>
  <si>
    <t>CULP WILLIAM R ETAL TRUSTEES</t>
  </si>
  <si>
    <t>PO BOX 98774</t>
  </si>
  <si>
    <t>ATTN: DAVID HEFFNER</t>
  </si>
  <si>
    <t>27624-8774</t>
  </si>
  <si>
    <t>J4050B000601</t>
  </si>
  <si>
    <t>MILLER NANCY PRATER</t>
  </si>
  <si>
    <t>1074 NC HIGHWAY 801 S</t>
  </si>
  <si>
    <t>E8150A0001</t>
  </si>
  <si>
    <t>MILLER RODNEY D</t>
  </si>
  <si>
    <t>MILLER NANCY</t>
  </si>
  <si>
    <t>E8150A000102</t>
  </si>
  <si>
    <t>MILLER RODNEY DWAYNE</t>
  </si>
  <si>
    <t>E70000014701</t>
  </si>
  <si>
    <t>BLACKWELDER INV PROPERTIES LLP</t>
  </si>
  <si>
    <t>1336 BEAUCHAMP RD</t>
  </si>
  <si>
    <t>E700000176</t>
  </si>
  <si>
    <t>E700000147</t>
  </si>
  <si>
    <t>E700000127</t>
  </si>
  <si>
    <t>E700000149</t>
  </si>
  <si>
    <t>E700000112</t>
  </si>
  <si>
    <t>E70000014901</t>
  </si>
  <si>
    <t>BLACKWELDER NANCY</t>
  </si>
  <si>
    <t>J300000010</t>
  </si>
  <si>
    <t>MARTIN JASON CLARENCE</t>
  </si>
  <si>
    <t>MARTIN TENEKA MICHELE</t>
  </si>
  <si>
    <t>474 DAVIE ACADEMY RD</t>
  </si>
  <si>
    <t>D8100C0027</t>
  </si>
  <si>
    <t>CHAPPELL MICHAEL</t>
  </si>
  <si>
    <t>CHAPPELL CARRIE</t>
  </si>
  <si>
    <t>188 SPYGLASS DRIVE</t>
  </si>
  <si>
    <t>I5080A001401</t>
  </si>
  <si>
    <t>BOGER GREGORY MARK</t>
  </si>
  <si>
    <t>BOGER CYNTHIA MARIE SANFORD</t>
  </si>
  <si>
    <t>771 N MAIN ST</t>
  </si>
  <si>
    <t>K8100A0020</t>
  </si>
  <si>
    <t>MCKAY BRITTANY JONES</t>
  </si>
  <si>
    <t>MCKAY ADAM</t>
  </si>
  <si>
    <t>144 GLORY CT</t>
  </si>
  <si>
    <t>H4200A0019</t>
  </si>
  <si>
    <t>REECE ANDREW JOSEPH</t>
  </si>
  <si>
    <t>REECE KAITLYNN DENISE PORTER</t>
  </si>
  <si>
    <t>142 EDGEWATER CT</t>
  </si>
  <si>
    <t>27028-4777</t>
  </si>
  <si>
    <t>G800000021</t>
  </si>
  <si>
    <t>BAILEY AMY TALBERT</t>
  </si>
  <si>
    <t>200 EASTSIDE DR</t>
  </si>
  <si>
    <t>27292-4714</t>
  </si>
  <si>
    <t>G80000002102</t>
  </si>
  <si>
    <t>G80000002101</t>
  </si>
  <si>
    <t>I5120A0020</t>
  </si>
  <si>
    <t>PINA ANGEL F</t>
  </si>
  <si>
    <t>198 WINDSONG ROAD</t>
  </si>
  <si>
    <t>G600000081</t>
  </si>
  <si>
    <t>G600000083</t>
  </si>
  <si>
    <t>G800000076</t>
  </si>
  <si>
    <t>K700000013</t>
  </si>
  <si>
    <t>RENTZ BARRY</t>
  </si>
  <si>
    <t>135 RENTZ LN</t>
  </si>
  <si>
    <t>27028-7400</t>
  </si>
  <si>
    <t>E60000008404</t>
  </si>
  <si>
    <t>B500000023</t>
  </si>
  <si>
    <t>SMITH JAMES MATTHEW</t>
  </si>
  <si>
    <t>SMITH STEPHANIE MITCHELL</t>
  </si>
  <si>
    <t>113 BEAR WOODS TRL</t>
  </si>
  <si>
    <t>27028-6336</t>
  </si>
  <si>
    <t>K50000008103</t>
  </si>
  <si>
    <t>GINGERICH JOSEPH</t>
  </si>
  <si>
    <t>GINGERICH LORENE</t>
  </si>
  <si>
    <t>594 WILL BOONE RD</t>
  </si>
  <si>
    <t>M5100B0004</t>
  </si>
  <si>
    <t>MARDINI CAMILLE</t>
  </si>
  <si>
    <t>27014-0566</t>
  </si>
  <si>
    <t>G200000022</t>
  </si>
  <si>
    <t>PO BOX 56</t>
  </si>
  <si>
    <t>27028-0056</t>
  </si>
  <si>
    <t>CHAFFIN GERALD  WAYNE</t>
  </si>
  <si>
    <t>N5080A0030</t>
  </si>
  <si>
    <t>SOUTHARD MICHAEL</t>
  </si>
  <si>
    <t>SOUTHARD VANESSA D</t>
  </si>
  <si>
    <t>PO BOX 854</t>
  </si>
  <si>
    <t>27014-0854</t>
  </si>
  <si>
    <t>N4040A0013</t>
  </si>
  <si>
    <t>PRUITT BRANDON A</t>
  </si>
  <si>
    <t>PRUITT VICKY L</t>
  </si>
  <si>
    <t>27028-0391</t>
  </si>
  <si>
    <t>N5010C0016</t>
  </si>
  <si>
    <t>NORSIGIAN ANTHONY</t>
  </si>
  <si>
    <t>PO BOX 525</t>
  </si>
  <si>
    <t>27014-0525</t>
  </si>
  <si>
    <t>N5080B0006</t>
  </si>
  <si>
    <t>MORRELLO CLAUDE DENNIS III</t>
  </si>
  <si>
    <t>ELLIS CHRISTIN</t>
  </si>
  <si>
    <t>1140 BRYAN HILL LN</t>
  </si>
  <si>
    <t>28146-9130</t>
  </si>
  <si>
    <t>G10000002002</t>
  </si>
  <si>
    <t>ADVANTA IRA SERVICES LLC</t>
  </si>
  <si>
    <t>FBO KERRI HUTCHINS IRA</t>
  </si>
  <si>
    <t>13191 STARKEY RD STE 2</t>
  </si>
  <si>
    <t>LARGO</t>
  </si>
  <si>
    <t>33773-1438</t>
  </si>
  <si>
    <t>F400000099</t>
  </si>
  <si>
    <t>F80000002219</t>
  </si>
  <si>
    <t>WALESH ADAM DAVID</t>
  </si>
  <si>
    <t>WALESH SARAH M</t>
  </si>
  <si>
    <t>159 ARROW GLENN CT</t>
  </si>
  <si>
    <t>C100000004</t>
  </si>
  <si>
    <t>STEELMAN ELDEN D</t>
  </si>
  <si>
    <t>796 OLLIE HARKEY RD</t>
  </si>
  <si>
    <t>27028-5906</t>
  </si>
  <si>
    <t>C100000003</t>
  </si>
  <si>
    <t>K70000001903</t>
  </si>
  <si>
    <t>LANIER MARY STONE</t>
  </si>
  <si>
    <t>1029 JOE RD</t>
  </si>
  <si>
    <t>J4140B0063</t>
  </si>
  <si>
    <t>E70000000201</t>
  </si>
  <si>
    <t>C300000008</t>
  </si>
  <si>
    <t>JMLB FAMILY LLC</t>
  </si>
  <si>
    <t>8940 STYERS FERRY RD</t>
  </si>
  <si>
    <t>27012-9750</t>
  </si>
  <si>
    <t>K70000002504</t>
  </si>
  <si>
    <t>PORZONDEK AARON</t>
  </si>
  <si>
    <t>PORZONDEK SUSANNA</t>
  </si>
  <si>
    <t>206 NOBLE LN</t>
  </si>
  <si>
    <t>27028-7175</t>
  </si>
  <si>
    <t>K70000002505</t>
  </si>
  <si>
    <t>K5090A0015</t>
  </si>
  <si>
    <t>CRABB NICOLE ANN</t>
  </si>
  <si>
    <t>127 LAKEWOOD DRIVE RD</t>
  </si>
  <si>
    <t>E600000078</t>
  </si>
  <si>
    <t>LYNDE LYNDSAY CLARK</t>
  </si>
  <si>
    <t>K400000010</t>
  </si>
  <si>
    <t>HURLEY TERESA ANN</t>
  </si>
  <si>
    <t>HURLEY KEITH</t>
  </si>
  <si>
    <t>221 TOWERY RD</t>
  </si>
  <si>
    <t>27028-4345</t>
  </si>
  <si>
    <t>B700000098</t>
  </si>
  <si>
    <t>COOK KATHY LATHAM</t>
  </si>
  <si>
    <t>COOK JOHN EDWARD III</t>
  </si>
  <si>
    <t>235 CLAYTON FOSTER LN</t>
  </si>
  <si>
    <t>27006-8798</t>
  </si>
  <si>
    <t>N5010C0050</t>
  </si>
  <si>
    <t>HERION ZACHARY R</t>
  </si>
  <si>
    <t>HERION ANDREA GUTIERREZ</t>
  </si>
  <si>
    <t>202 W 15TH ST</t>
  </si>
  <si>
    <t>28144-2906</t>
  </si>
  <si>
    <t>K70000002601</t>
  </si>
  <si>
    <t>FITZGERALD BARBARA E</t>
  </si>
  <si>
    <t>632 CEDAR GROVE CHURCH RD</t>
  </si>
  <si>
    <t>M5160B0005</t>
  </si>
  <si>
    <t>BOURNE LINDA GAIL ETAL</t>
  </si>
  <si>
    <t>BOURNE DAVID GEORGE</t>
  </si>
  <si>
    <t>27014-0633</t>
  </si>
  <si>
    <t>K3130B0004</t>
  </si>
  <si>
    <t>BEST JOSEPH A</t>
  </si>
  <si>
    <t>550 JUNCTION RD</t>
  </si>
  <si>
    <t>G900000034</t>
  </si>
  <si>
    <t>RITZEL BRADFORD FISKE</t>
  </si>
  <si>
    <t>PO BOX 2282</t>
  </si>
  <si>
    <t>27006-2282</t>
  </si>
  <si>
    <t>M5160B0019</t>
  </si>
  <si>
    <t>LEWIS JACOB FRANKLIN</t>
  </si>
  <si>
    <t>LEWIS LAKEN ARIEL</t>
  </si>
  <si>
    <t>PO BOX 182</t>
  </si>
  <si>
    <t>27014-0182</t>
  </si>
  <si>
    <t>F60000010909</t>
  </si>
  <si>
    <t>STANLEY DARRELL JR</t>
  </si>
  <si>
    <t>STANLEY SUZANNE</t>
  </si>
  <si>
    <t>567 HOWARDTOWN CIR</t>
  </si>
  <si>
    <t>K80000001905</t>
  </si>
  <si>
    <t>BOGER NANCY PHELPS</t>
  </si>
  <si>
    <t>2035 OLD HOLLOW RD</t>
  </si>
  <si>
    <t>27051-9791</t>
  </si>
  <si>
    <t>J10000000102</t>
  </si>
  <si>
    <t>CREASY WILLIAM C</t>
  </si>
  <si>
    <t>7531 FAIR OAKS DR</t>
  </si>
  <si>
    <t>APT 112A</t>
  </si>
  <si>
    <t>27012-9917</t>
  </si>
  <si>
    <t>K3130B0005</t>
  </si>
  <si>
    <t>J4060D0013</t>
  </si>
  <si>
    <t>RYLAND LLC</t>
  </si>
  <si>
    <t>6215 PUMPERNICKEL LN</t>
  </si>
  <si>
    <t>28110-8647</t>
  </si>
  <si>
    <t>G70000014201</t>
  </si>
  <si>
    <t>SMITHSON TERESA JILL ETAL</t>
  </si>
  <si>
    <t>POTTS REAL ESTATE</t>
  </si>
  <si>
    <t>27006-0011</t>
  </si>
  <si>
    <t>G900000031</t>
  </si>
  <si>
    <t>WILLARD KENYON WINFIELD</t>
  </si>
  <si>
    <t>WILLARD JAMI LYNN</t>
  </si>
  <si>
    <t>PO BOX 170</t>
  </si>
  <si>
    <t>J5010D0010</t>
  </si>
  <si>
    <t>DE JESUS ZELAYA GUILLERMO</t>
  </si>
  <si>
    <t>D9010A0025</t>
  </si>
  <si>
    <t>MABE SANDRA L</t>
  </si>
  <si>
    <t>NATIONWIDE INSURANCE</t>
  </si>
  <si>
    <t>3000 BETHESDA PL STE 602</t>
  </si>
  <si>
    <t>27103-3328</t>
  </si>
  <si>
    <t>C8030A000404</t>
  </si>
  <si>
    <t>BLANTON SHEILA L</t>
  </si>
  <si>
    <t>4770 DUFFER LN</t>
  </si>
  <si>
    <t>27040-9718</t>
  </si>
  <si>
    <t>L5020B0010</t>
  </si>
  <si>
    <t>2943 US HIGHWAY 601 S</t>
  </si>
  <si>
    <t>H5190A0018</t>
  </si>
  <si>
    <t>CORN JOHN R</t>
  </si>
  <si>
    <t>CORN MICHELLE H</t>
  </si>
  <si>
    <t>209 S MADERA DR</t>
  </si>
  <si>
    <t>L300000030</t>
  </si>
  <si>
    <t>MUNDT PAUL</t>
  </si>
  <si>
    <t>MUNDT CAROLYN</t>
  </si>
  <si>
    <t>8827 HOMEWOOD DR</t>
  </si>
  <si>
    <t>27023-9063</t>
  </si>
  <si>
    <t>G60000008205</t>
  </si>
  <si>
    <t>THOMAS JESSICA</t>
  </si>
  <si>
    <t>THOMAS JACK</t>
  </si>
  <si>
    <t>931 DULIN RD</t>
  </si>
  <si>
    <t>I5160D0019</t>
  </si>
  <si>
    <t>DILLARD HAZEL H</t>
  </si>
  <si>
    <t>119 WILLIAMS ST</t>
  </si>
  <si>
    <t>27028-2432</t>
  </si>
  <si>
    <t>B100000020</t>
  </si>
  <si>
    <t>COX JASHUA</t>
  </si>
  <si>
    <t>404 OLLIE HARKEY RD</t>
  </si>
  <si>
    <t>27055-6386</t>
  </si>
  <si>
    <t>K5100A001901</t>
  </si>
  <si>
    <t>GRANT JAMES HILARY</t>
  </si>
  <si>
    <t>GRANT FAYE MARIE</t>
  </si>
  <si>
    <t>134 DEADMON RD</t>
  </si>
  <si>
    <t>E900000591</t>
  </si>
  <si>
    <t>ALEXANDER OTIS HARRY</t>
  </si>
  <si>
    <t>ALEXANDER MARGARET LORRAINE</t>
  </si>
  <si>
    <t>105 OLD COURSE DR</t>
  </si>
  <si>
    <t>G20000005505</t>
  </si>
  <si>
    <t>KENNEDY RANDY ALEXANDER</t>
  </si>
  <si>
    <t>KENNEDY EMMA M</t>
  </si>
  <si>
    <t>949 IJAMES CHURCH RD</t>
  </si>
  <si>
    <t>K700000012  A</t>
  </si>
  <si>
    <t>N5080B0004</t>
  </si>
  <si>
    <t>GRIFFIN MARIANNE</t>
  </si>
  <si>
    <t>PO BOX 823</t>
  </si>
  <si>
    <t>27014-0823</t>
  </si>
  <si>
    <t>N5010B0010</t>
  </si>
  <si>
    <t>DIEHL MICHELE</t>
  </si>
  <si>
    <t>PO BOX 578</t>
  </si>
  <si>
    <t>27014-0578</t>
  </si>
  <si>
    <t>M5160B0030</t>
  </si>
  <si>
    <t>CRUZ ROSAIDA</t>
  </si>
  <si>
    <t>CRUZ SANTOS</t>
  </si>
  <si>
    <t>PO BOX 505</t>
  </si>
  <si>
    <t>27014-0505</t>
  </si>
  <si>
    <t>N4040A0034</t>
  </si>
  <si>
    <t>ALEXANDER-STEELE BANNA E</t>
  </si>
  <si>
    <t>CAMPBELL GARY L</t>
  </si>
  <si>
    <t>PO BOX 332</t>
  </si>
  <si>
    <t>27014-0332</t>
  </si>
  <si>
    <t>I5010A0004</t>
  </si>
  <si>
    <t>JEFFERS MARY KATHRYN HOLMAN</t>
  </si>
  <si>
    <t>225 WILLIS AVE</t>
  </si>
  <si>
    <t>APT 3J</t>
  </si>
  <si>
    <t>10454-4841</t>
  </si>
  <si>
    <t>E900000499</t>
  </si>
  <si>
    <t>ANTONY MICHAEL M</t>
  </si>
  <si>
    <t>ANTONY CHRISTINE S</t>
  </si>
  <si>
    <t>300 N HIDDENBROOKE DR</t>
  </si>
  <si>
    <t>C80000000130</t>
  </si>
  <si>
    <t>1338 ASHLEY SQUARE</t>
  </si>
  <si>
    <t>C80000000129</t>
  </si>
  <si>
    <t>K40000001103</t>
  </si>
  <si>
    <t>PASTORE JOSEPH M</t>
  </si>
  <si>
    <t>PASTORE LAURA R</t>
  </si>
  <si>
    <t>184 DOVER LN</t>
  </si>
  <si>
    <t>K40000001102</t>
  </si>
  <si>
    <t>D9090D0001</t>
  </si>
  <si>
    <t>REESE PATSY RUSSELL</t>
  </si>
  <si>
    <t>295 HOLLYBROOK DR</t>
  </si>
  <si>
    <t>J70000009203A</t>
  </si>
  <si>
    <t>BOOIE ERIC BERNARD</t>
  </si>
  <si>
    <t>114 GREENHILL RD</t>
  </si>
  <si>
    <t>27028-4200</t>
  </si>
  <si>
    <t>J700000095</t>
  </si>
  <si>
    <t>G700000126</t>
  </si>
  <si>
    <t>JOHNSON BERTHA ESTATE</t>
  </si>
  <si>
    <t>200 BARNEY ROAD</t>
  </si>
  <si>
    <t>E20000003901</t>
  </si>
  <si>
    <t>NOKOVICH KIM ELIZABETH</t>
  </si>
  <si>
    <t>G900000029</t>
  </si>
  <si>
    <t>OZIMEK KEVIN LEE</t>
  </si>
  <si>
    <t>OZIMEK MARY ALDEN</t>
  </si>
  <si>
    <t>PO BOX 2191</t>
  </si>
  <si>
    <t>27006-2191</t>
  </si>
  <si>
    <t>G900000045</t>
  </si>
  <si>
    <t>IRELAND MATTHEW PAUL</t>
  </si>
  <si>
    <t>STEWART ANTHONY DALE</t>
  </si>
  <si>
    <t>PO BOX 125</t>
  </si>
  <si>
    <t>27006-0125</t>
  </si>
  <si>
    <t>G500000148</t>
  </si>
  <si>
    <t>MCGINLEY ROBERT DWAYNE</t>
  </si>
  <si>
    <t>120 REESE DR</t>
  </si>
  <si>
    <t>27592-8267</t>
  </si>
  <si>
    <t>F60000005003</t>
  </si>
  <si>
    <t>AJ SMITTY LLC</t>
  </si>
  <si>
    <t>D8070C0014</t>
  </si>
  <si>
    <t>M5 INVESTMENTS LLC</t>
  </si>
  <si>
    <t>5186 HIGH POINT RD</t>
  </si>
  <si>
    <t>OFFICE STE #7</t>
  </si>
  <si>
    <t>27265-1147</t>
  </si>
  <si>
    <t>G300000034  A</t>
  </si>
  <si>
    <t>601 NORTH TRAILER PARK LLC</t>
  </si>
  <si>
    <t>210 S CHERRY ST</t>
  </si>
  <si>
    <t>27101-5231</t>
  </si>
  <si>
    <t>C8030A000701</t>
  </si>
  <si>
    <t>DIRKS BETH M</t>
  </si>
  <si>
    <t>I5110C0024</t>
  </si>
  <si>
    <t>SMITH JOE HENRY JR</t>
  </si>
  <si>
    <t>165 MALLARD RD</t>
  </si>
  <si>
    <t>MADISON</t>
  </si>
  <si>
    <t>27025-7786</t>
  </si>
  <si>
    <t>E700000074</t>
  </si>
  <si>
    <t>E900000023</t>
  </si>
  <si>
    <t>TILLEY JEREMY BRYAN</t>
  </si>
  <si>
    <t>211 OAKMONT DR</t>
  </si>
  <si>
    <t>I5160A0010</t>
  </si>
  <si>
    <t>SNOW NANCY W</t>
  </si>
  <si>
    <t>371 E DEPOT ST</t>
  </si>
  <si>
    <t>27028-2416</t>
  </si>
  <si>
    <t>J60000002502</t>
  </si>
  <si>
    <t>SHERRILL DOROTHY HOLMAN</t>
  </si>
  <si>
    <t>116 NEW CALVARY CHURCH WAY</t>
  </si>
  <si>
    <t>27028-5514</t>
  </si>
  <si>
    <t>J60000002501</t>
  </si>
  <si>
    <t>J5010D0041</t>
  </si>
  <si>
    <t>HEIKAL MOHAMED S</t>
  </si>
  <si>
    <t>ASKAR NEVEEN A</t>
  </si>
  <si>
    <t>162 CLOISTER DR</t>
  </si>
  <si>
    <t>H40000002105</t>
  </si>
  <si>
    <t>UNEXPECTED VENTURES LLC</t>
  </si>
  <si>
    <t>H40000002106</t>
  </si>
  <si>
    <t>H40000002107</t>
  </si>
  <si>
    <t>H40000002108</t>
  </si>
  <si>
    <t>H40000002109</t>
  </si>
  <si>
    <t>H40000002110</t>
  </si>
  <si>
    <t>H40000002111</t>
  </si>
  <si>
    <t>H40000002112</t>
  </si>
  <si>
    <t>H40000002113</t>
  </si>
  <si>
    <t>H40000002114</t>
  </si>
  <si>
    <t>H40000002115</t>
  </si>
  <si>
    <t>H40000002116</t>
  </si>
  <si>
    <t>H400000021</t>
  </si>
  <si>
    <t>H40000002117</t>
  </si>
  <si>
    <t>B60000000302</t>
  </si>
  <si>
    <t>SPARKS ALETHEA</t>
  </si>
  <si>
    <t>3739 TANGLEWOOD FOREST DR</t>
  </si>
  <si>
    <t>27012-9976</t>
  </si>
  <si>
    <t>B60000002101</t>
  </si>
  <si>
    <t>B60000002105</t>
  </si>
  <si>
    <t>B60000002102</t>
  </si>
  <si>
    <t>H80000004319</t>
  </si>
  <si>
    <t>MIKAT RONALD E W JR</t>
  </si>
  <si>
    <t>MIKAT HOPE A</t>
  </si>
  <si>
    <t>4170 CLEMMONS RD STE 156</t>
  </si>
  <si>
    <t>H80000004304</t>
  </si>
  <si>
    <t>M50000001002</t>
  </si>
  <si>
    <t>DYSON JANE LYERLY</t>
  </si>
  <si>
    <t>170 LIGHTHOUSE RD</t>
  </si>
  <si>
    <t>STOCKTON SPGS</t>
  </si>
  <si>
    <t>04981-4750</t>
  </si>
  <si>
    <t>M5060A0009</t>
  </si>
  <si>
    <t>C8030C0011</t>
  </si>
  <si>
    <t>HALE CAMILLE C</t>
  </si>
  <si>
    <t>344 ROUGH RIDGE RD</t>
  </si>
  <si>
    <t>SUGAR MTN</t>
  </si>
  <si>
    <t>28604-7133</t>
  </si>
  <si>
    <t>I5160B0017</t>
  </si>
  <si>
    <t>YOUNG TAMARA</t>
  </si>
  <si>
    <t>107 FOSTER ST</t>
  </si>
  <si>
    <t>27028-2404</t>
  </si>
  <si>
    <t>C30000006801</t>
  </si>
  <si>
    <t>BAITY JONATHAN LUKE</t>
  </si>
  <si>
    <t>BAITY STEPHANIE</t>
  </si>
  <si>
    <t>143 BAITY RD</t>
  </si>
  <si>
    <t>C30000006902</t>
  </si>
  <si>
    <t>M4050B0013</t>
  </si>
  <si>
    <t>JOHNSON HULDAH</t>
  </si>
  <si>
    <t>148 STONE WOOD RD</t>
  </si>
  <si>
    <t>I5160A0044</t>
  </si>
  <si>
    <t>JEFFERS MARY KATHRYN</t>
  </si>
  <si>
    <t>G30000008406</t>
  </si>
  <si>
    <t>130 ENTERPRISE WAY LLC</t>
  </si>
  <si>
    <t>130 ENTERPRISE WAY</t>
  </si>
  <si>
    <t>J5050B0034</t>
  </si>
  <si>
    <t>RUSSELL DENECA</t>
  </si>
  <si>
    <t>128 CARRIAGE COVE CIR</t>
  </si>
  <si>
    <t>M40000002402</t>
  </si>
  <si>
    <t>GOODIN CHARLES MARTIN</t>
  </si>
  <si>
    <t>GODDIN JAIME CURIN</t>
  </si>
  <si>
    <t>126 SUNNY MEADOWS TRL</t>
  </si>
  <si>
    <t>27028-5377</t>
  </si>
  <si>
    <t>H7030A0031</t>
  </si>
  <si>
    <t>TUCKER GEORGE E</t>
  </si>
  <si>
    <t>TUCKER VICKIE JAN T</t>
  </si>
  <si>
    <t>619 FIRST AVE</t>
  </si>
  <si>
    <t>ORIENTAL</t>
  </si>
  <si>
    <t>28571-9348</t>
  </si>
  <si>
    <t>H7030A0030</t>
  </si>
  <si>
    <t>TUCKER BRADLEY EDWARD</t>
  </si>
  <si>
    <t>TUCKER HEATHER OPENGARI</t>
  </si>
  <si>
    <t>238 BRIER CREEK RD</t>
  </si>
  <si>
    <t>H70000005804</t>
  </si>
  <si>
    <t>G3060A0017</t>
  </si>
  <si>
    <t>DAVIS CAMERON J</t>
  </si>
  <si>
    <t>187 NORTHBROOK DR</t>
  </si>
  <si>
    <t>D9050B0041</t>
  </si>
  <si>
    <t>GORDON ANITA M</t>
  </si>
  <si>
    <t>2102 BERMUDA VLG</t>
  </si>
  <si>
    <t>C300000111</t>
  </si>
  <si>
    <t>HOBSON KEVIN SCOTT&amp;SHEILA R</t>
  </si>
  <si>
    <t>HOBSON JULIE RENEE</t>
  </si>
  <si>
    <t>234 JACK BOOE RD</t>
  </si>
  <si>
    <t>C700000050</t>
  </si>
  <si>
    <t>VIARS BRENDA J</t>
  </si>
  <si>
    <t>160 WOOD LN</t>
  </si>
  <si>
    <t>I40000002801</t>
  </si>
  <si>
    <t>DAVIS GILBERT T JR</t>
  </si>
  <si>
    <t>2008 MUIRFIELD PL</t>
  </si>
  <si>
    <t>27012-9345</t>
  </si>
  <si>
    <t>E600000047</t>
  </si>
  <si>
    <t>H70000008601</t>
  </si>
  <si>
    <t>DAVIS GILBERT T</t>
  </si>
  <si>
    <t>DAVIS BRENDA</t>
  </si>
  <si>
    <t>B7010B0004</t>
  </si>
  <si>
    <t>KERBY LEVI A</t>
  </si>
  <si>
    <t>KERBY JENNA C</t>
  </si>
  <si>
    <t>150 LAURELBROOK LN</t>
  </si>
  <si>
    <t>27006-7974</t>
  </si>
  <si>
    <t>J20000002004</t>
  </si>
  <si>
    <t>MORTON JEFFREY A</t>
  </si>
  <si>
    <t>246 STAGE COACH RD</t>
  </si>
  <si>
    <t>27028-8422</t>
  </si>
  <si>
    <t>L700000014</t>
  </si>
  <si>
    <t>SPARKS DONALD RAY</t>
  </si>
  <si>
    <t>SPARKS LINDA GOFORTH</t>
  </si>
  <si>
    <t>NEUSE CORRECTIONAL-0136651</t>
  </si>
  <si>
    <t>PO BOX 2087</t>
  </si>
  <si>
    <t>GOLDSBORO</t>
  </si>
  <si>
    <t>27533-2087</t>
  </si>
  <si>
    <t>E900000333</t>
  </si>
  <si>
    <t>MITCHELL JOHN-MARK M</t>
  </si>
  <si>
    <t>190 CHARLOIS BLVD</t>
  </si>
  <si>
    <t>27103-1522</t>
  </si>
  <si>
    <t>C600000031</t>
  </si>
  <si>
    <t>MCCURDY MARGUERITE</t>
  </si>
  <si>
    <t>402 SPILLMAN ROAD</t>
  </si>
  <si>
    <t>K5070A0016</t>
  </si>
  <si>
    <t>DIXON LORI M</t>
  </si>
  <si>
    <t>EDWARDS ROBERT DALE JR</t>
  </si>
  <si>
    <t>7930 W KENTON CIRCLE  STE 230</t>
  </si>
  <si>
    <t>C4160A0038</t>
  </si>
  <si>
    <t>HEWETT RONALD L</t>
  </si>
  <si>
    <t>HEWETT LORI J</t>
  </si>
  <si>
    <t>309 MEADOWLARK LN</t>
  </si>
  <si>
    <t>C40000000102</t>
  </si>
  <si>
    <t>DIONNE KATHLEEN JEAN</t>
  </si>
  <si>
    <t>1048 HOWELL RD</t>
  </si>
  <si>
    <t>D7030A0026</t>
  </si>
  <si>
    <t>COLLINS VICTORIA H</t>
  </si>
  <si>
    <t>230 CREEKWOOD DR</t>
  </si>
  <si>
    <t>I5120A0023</t>
  </si>
  <si>
    <t>MERIDIAN ENDEAVORS LLC</t>
  </si>
  <si>
    <t>270 CAR FARM RD</t>
  </si>
  <si>
    <t>STE 100</t>
  </si>
  <si>
    <t>28092-7105</t>
  </si>
  <si>
    <t>J5010A0006</t>
  </si>
  <si>
    <t>HARRIS EL-HAJJ O</t>
  </si>
  <si>
    <t>4890 THALES RD</t>
  </si>
  <si>
    <t>APT B</t>
  </si>
  <si>
    <t>27104-4561</t>
  </si>
  <si>
    <t>O60000003102</t>
  </si>
  <si>
    <t>HUNTINGTON APRIL LYNN</t>
  </si>
  <si>
    <t>HUNTINGTON CARL ALLEN</t>
  </si>
  <si>
    <t>178 MOHEGAN TRL</t>
  </si>
  <si>
    <t>I4110B0010</t>
  </si>
  <si>
    <t>BRITTNER WILLIAM</t>
  </si>
  <si>
    <t>RIDENAHOUR KAREN</t>
  </si>
  <si>
    <t>600 WILKESBORO ST</t>
  </si>
  <si>
    <t>27028-2051</t>
  </si>
  <si>
    <t>G8140A0044</t>
  </si>
  <si>
    <t>CRAWFORD HALEIGH BROOK</t>
  </si>
  <si>
    <t>CRAWFORD KEVIN SCOTT</t>
  </si>
  <si>
    <t>116 SUMMERFIELD CT</t>
  </si>
  <si>
    <t>H4200A0014</t>
  </si>
  <si>
    <t>MCFARLAND SEAN</t>
  </si>
  <si>
    <t>MCFARLAND ALLISHA</t>
  </si>
  <si>
    <t>183 EDGEWATER CT</t>
  </si>
  <si>
    <t>E8110D0008</t>
  </si>
  <si>
    <t>GARCIA MANUEL DE JESUS HERNANDEZ</t>
  </si>
  <si>
    <t>153 EASTRIDGE CT</t>
  </si>
  <si>
    <t>H40000002102</t>
  </si>
  <si>
    <t>H40000002103</t>
  </si>
  <si>
    <t>H40000002104</t>
  </si>
  <si>
    <t>K500000071</t>
  </si>
  <si>
    <t>BURGER CHRISTOPHER LEE</t>
  </si>
  <si>
    <t>BURGER REBECCA JANE</t>
  </si>
  <si>
    <t>414 WILL BOONE RD</t>
  </si>
  <si>
    <t>K600000010</t>
  </si>
  <si>
    <t>C70000003501</t>
  </si>
  <si>
    <t>COBLE KATHY G</t>
  </si>
  <si>
    <t>141 PARTRIDGE LN</t>
  </si>
  <si>
    <t>27006-6656</t>
  </si>
  <si>
    <t>C8010A0046</t>
  </si>
  <si>
    <t>SAFRIT MELISSA</t>
  </si>
  <si>
    <t>ARIAS PABLO</t>
  </si>
  <si>
    <t>1136 PEABODY CT</t>
  </si>
  <si>
    <t>27235-9742</t>
  </si>
  <si>
    <t>E900000089</t>
  </si>
  <si>
    <t>BRIDGES KYLE</t>
  </si>
  <si>
    <t>RICKER MELISSA</t>
  </si>
  <si>
    <t>114 AVIARA DR</t>
  </si>
  <si>
    <t>K80000002008</t>
  </si>
  <si>
    <t>HOWARD JEREMY</t>
  </si>
  <si>
    <t>HOWARD MEGAN</t>
  </si>
  <si>
    <t>280 SEAFORD RD</t>
  </si>
  <si>
    <t>I5090B0006</t>
  </si>
  <si>
    <t>VALERIOTI GUY</t>
  </si>
  <si>
    <t>VALERIOTI DANIELLE M</t>
  </si>
  <si>
    <t>665 N MAIN ST</t>
  </si>
  <si>
    <t>J5170A0021</t>
  </si>
  <si>
    <t>OCONNER AARON JAMES</t>
  </si>
  <si>
    <t>OCONNOR PAMELA</t>
  </si>
  <si>
    <t>187 MARBROOK DR</t>
  </si>
  <si>
    <t>D9050A0025</t>
  </si>
  <si>
    <t>PARIZEK ROBERT J TRUSTEE</t>
  </si>
  <si>
    <t>PARIZEK POLLY B TRUSTEE</t>
  </si>
  <si>
    <t>10670 SW 71ST CIR</t>
  </si>
  <si>
    <t>OCALA</t>
  </si>
  <si>
    <t>34476-5701</t>
  </si>
  <si>
    <t>E8070A0005</t>
  </si>
  <si>
    <t>STULL TIM</t>
  </si>
  <si>
    <t>STULL SHARON</t>
  </si>
  <si>
    <t>739 NC HIGHWAY 801 S</t>
  </si>
  <si>
    <t>E900000009</t>
  </si>
  <si>
    <t>BARRINGTON FRANCIS JR</t>
  </si>
  <si>
    <t>BARRINGTON MELISSA</t>
  </si>
  <si>
    <t>117 MONARCH CT</t>
  </si>
  <si>
    <t>C70000008102</t>
  </si>
  <si>
    <t>184 COPE ROAD</t>
  </si>
  <si>
    <t>C70000008103</t>
  </si>
  <si>
    <t>F80000000702</t>
  </si>
  <si>
    <t>POTTS KENNETH R</t>
  </si>
  <si>
    <t>POTTS NICOLE FRANKLIN</t>
  </si>
  <si>
    <t>PO BOX 2217</t>
  </si>
  <si>
    <t>27006-2217</t>
  </si>
  <si>
    <t>N5010B0011</t>
  </si>
  <si>
    <t>HAZZARD ETHAN A</t>
  </si>
  <si>
    <t>HAZZARD HOLLY K</t>
  </si>
  <si>
    <t>27014-0009</t>
  </si>
  <si>
    <t>J4050B0004</t>
  </si>
  <si>
    <t>WALLNER MARK</t>
  </si>
  <si>
    <t>325 GATEWOOD DR</t>
  </si>
  <si>
    <t>UNIT 1</t>
  </si>
  <si>
    <t>KINGSPORT</t>
  </si>
  <si>
    <t>37663-4600</t>
  </si>
  <si>
    <t>H400000074</t>
  </si>
  <si>
    <t>CARROLL RICKEY CALTON</t>
  </si>
  <si>
    <t>CARROLL LISA BLEVINS</t>
  </si>
  <si>
    <t>27028-0153</t>
  </si>
  <si>
    <t>I1110A0008</t>
  </si>
  <si>
    <t>HOLMES CHASITY RENEE</t>
  </si>
  <si>
    <t>160 POINTE HOUSE LN APT 303</t>
  </si>
  <si>
    <t>27028-1951</t>
  </si>
  <si>
    <t>D600000089</t>
  </si>
  <si>
    <t>SINK STEPHEN</t>
  </si>
  <si>
    <t>SINK SUSAN</t>
  </si>
  <si>
    <t>D60000006408</t>
  </si>
  <si>
    <t>F200000001</t>
  </si>
  <si>
    <t>WILLIAMS JONATHAN E</t>
  </si>
  <si>
    <t>WILLIAMS JAMIE LORAY</t>
  </si>
  <si>
    <t>254 MARCHMONT DR</t>
  </si>
  <si>
    <t>27006-7585</t>
  </si>
  <si>
    <t>H300000040</t>
  </si>
  <si>
    <t>CENTER METHODIST CHURCH OF MOCKSVILLE INC</t>
  </si>
  <si>
    <t>ATTN: NANCY GROOMS</t>
  </si>
  <si>
    <t>661 LIBERTY CHURCH RD</t>
  </si>
  <si>
    <t>H300000075</t>
  </si>
  <si>
    <t>K60000000502</t>
  </si>
  <si>
    <t>BARTLETT EDWARD E</t>
  </si>
  <si>
    <t>BARTLETT SHARON S</t>
  </si>
  <si>
    <t>969 DEADMON ROAD</t>
  </si>
  <si>
    <t>G500000011</t>
  </si>
  <si>
    <t>SMITH KEVIN L</t>
  </si>
  <si>
    <t>SMITH LISA H</t>
  </si>
  <si>
    <t>176 S ANGELL RD</t>
  </si>
  <si>
    <t>27028-4937</t>
  </si>
  <si>
    <t>I70000004307</t>
  </si>
  <si>
    <t>ROBINSON EMILY LANE</t>
  </si>
  <si>
    <t>GUERRERO ERIC BRIAN</t>
  </si>
  <si>
    <t>187 SPRING VALLEY LN</t>
  </si>
  <si>
    <t>27006-7342</t>
  </si>
  <si>
    <t>E600000003</t>
  </si>
  <si>
    <t>WEISS VICTORIA BRETT 99%</t>
  </si>
  <si>
    <t>114 SUGAR CREEK RD</t>
  </si>
  <si>
    <t>E60000000302</t>
  </si>
  <si>
    <t>M4130A0012</t>
  </si>
  <si>
    <t>KENT BRIAN LESLIE II</t>
  </si>
  <si>
    <t>KENT JORDAIN TAYLOR</t>
  </si>
  <si>
    <t>2069 JUNCTION RD</t>
  </si>
  <si>
    <t>J30000002307</t>
  </si>
  <si>
    <t>JOYNER WILLIAM LIVING TRUST</t>
  </si>
  <si>
    <t>JOYNER PEGGY LIVING TRUST</t>
  </si>
  <si>
    <t>171 LAKEY ROAD</t>
  </si>
  <si>
    <t>27028-8306</t>
  </si>
  <si>
    <t>J30000002304</t>
  </si>
  <si>
    <t>E30000001605</t>
  </si>
  <si>
    <t>414 LIBERTY CHURCH RD</t>
  </si>
  <si>
    <t>C40000001702</t>
  </si>
  <si>
    <t>SMITH DIANE H</t>
  </si>
  <si>
    <t>3670 NC HIGHWAY 801 N</t>
  </si>
  <si>
    <t>I1110B0016</t>
  </si>
  <si>
    <t>REAVIS CHRISTA</t>
  </si>
  <si>
    <t>I1120A0036</t>
  </si>
  <si>
    <t>I1120A0037</t>
  </si>
  <si>
    <t>G600000054</t>
  </si>
  <si>
    <t>CASTRO HUGO ALBENIS GODINEZ</t>
  </si>
  <si>
    <t>PEREZ LESLIE MICHEL CRUZ</t>
  </si>
  <si>
    <t>2601 SINK ST</t>
  </si>
  <si>
    <t>27107-4253</t>
  </si>
  <si>
    <t>I4130H004001</t>
  </si>
  <si>
    <t>ALTO ASSET COMPANY 5 LLC</t>
  </si>
  <si>
    <t>I4130H004003</t>
  </si>
  <si>
    <t>I4130A000201</t>
  </si>
  <si>
    <t>I4130A000210</t>
  </si>
  <si>
    <t>J5030A0012</t>
  </si>
  <si>
    <t>J60000001305</t>
  </si>
  <si>
    <t>NS RETAIL HOLDINGS LLC</t>
  </si>
  <si>
    <t>2021 MCKINNEY AVE STE 1150</t>
  </si>
  <si>
    <t>75201-7632</t>
  </si>
  <si>
    <t>I700000078  A</t>
  </si>
  <si>
    <t>JONES DEBORAH B 99.5%</t>
  </si>
  <si>
    <t>HENDREN JEANNA JONES .25%</t>
  </si>
  <si>
    <t>726 CEDAR GROVE CHURCH RD</t>
  </si>
  <si>
    <t>27028-7118</t>
  </si>
  <si>
    <t>K700000070</t>
  </si>
  <si>
    <t>I70000007801</t>
  </si>
  <si>
    <t>N600000048</t>
  </si>
  <si>
    <t>JOHNSON JOSHUA R</t>
  </si>
  <si>
    <t>JOHNSON ARIEL</t>
  </si>
  <si>
    <t>3631 US HIGHWAY 601 S</t>
  </si>
  <si>
    <t>27028-6920</t>
  </si>
  <si>
    <t>J200000011</t>
  </si>
  <si>
    <t>SALEM METHODIST CHURCH</t>
  </si>
  <si>
    <t>147 GRIFFITH RIDGE LN</t>
  </si>
  <si>
    <t>27028-8268</t>
  </si>
  <si>
    <t>I5080B0029</t>
  </si>
  <si>
    <t>LANIER LISA DIANNE</t>
  </si>
  <si>
    <t>115 HILLCREST ST</t>
  </si>
  <si>
    <t>27028-4804</t>
  </si>
  <si>
    <t>D400000020</t>
  </si>
  <si>
    <t>MCCASHIN CLAUDIA MICHELLE</t>
  </si>
  <si>
    <t>G4080A0004</t>
  </si>
  <si>
    <t>BEADLE ANITA T ETAL</t>
  </si>
  <si>
    <t>ATTN: BENNETT KAREN T</t>
  </si>
  <si>
    <t>106 CHURCH STEEPLE DR</t>
  </si>
  <si>
    <t>K300000065</t>
  </si>
  <si>
    <t>MOONDANCE LAND COMPANY LLC</t>
  </si>
  <si>
    <t>504 W END AVE</t>
  </si>
  <si>
    <t>28677-5156</t>
  </si>
  <si>
    <t>H300000041</t>
  </si>
  <si>
    <t>H30000004201</t>
  </si>
  <si>
    <t>H300000074</t>
  </si>
  <si>
    <t>H300000039</t>
  </si>
  <si>
    <t>D7020A0009</t>
  </si>
  <si>
    <t>TRADER MARY LOU</t>
  </si>
  <si>
    <t>TRADER THOMAS DOUGLAS</t>
  </si>
  <si>
    <t>167 BRENTWOOD DR</t>
  </si>
  <si>
    <t>H900000010</t>
  </si>
  <si>
    <t>ALLEN S V HEIRS</t>
  </si>
  <si>
    <t>377 JIM FRYE RD</t>
  </si>
  <si>
    <t>27006-7636</t>
  </si>
  <si>
    <t>H5160A0011</t>
  </si>
  <si>
    <t>SELL CHRISTOPHER T</t>
  </si>
  <si>
    <t>SELL KAYLEIGH D</t>
  </si>
  <si>
    <t>115 SEDGEWICK RIDGE CT</t>
  </si>
  <si>
    <t>27023-9415</t>
  </si>
  <si>
    <t>D3010B0004</t>
  </si>
  <si>
    <t>ROOK KYLE</t>
  </si>
  <si>
    <t>151 WADE EATON DR</t>
  </si>
  <si>
    <t>E80000001703</t>
  </si>
  <si>
    <t>HAMILTON KEVIN DEAN</t>
  </si>
  <si>
    <t>HAMILTON KRISTINA LYN</t>
  </si>
  <si>
    <t>1452 UNDERPASS RD</t>
  </si>
  <si>
    <t>H300000061</t>
  </si>
  <si>
    <t>H300000062</t>
  </si>
  <si>
    <t>H300000064</t>
  </si>
  <si>
    <t>E200000035</t>
  </si>
  <si>
    <t>E20000003401</t>
  </si>
  <si>
    <t>C600000060</t>
  </si>
  <si>
    <t>OVERHOLT NATHANIEL D</t>
  </si>
  <si>
    <t>OVERHOLT LORENE V</t>
  </si>
  <si>
    <t>166 MYERS RD</t>
  </si>
  <si>
    <t>27028-7726</t>
  </si>
  <si>
    <t>C50000003102</t>
  </si>
  <si>
    <t>FELDMANN PAUL MARTIN</t>
  </si>
  <si>
    <t>FELDMANN ERICA STATEN</t>
  </si>
  <si>
    <t>2421 NC HIGHWAY 801 N</t>
  </si>
  <si>
    <t>C50000003107</t>
  </si>
  <si>
    <t>H8060A0063</t>
  </si>
  <si>
    <t>JARVIS JOHN R JR</t>
  </si>
  <si>
    <t>JARVIS VICKIE REAGAN</t>
  </si>
  <si>
    <t>125 COVINGTON DR</t>
  </si>
  <si>
    <t>H8050A0015</t>
  </si>
  <si>
    <t>BARNETT BRIAN</t>
  </si>
  <si>
    <t>BARNETT LEANN</t>
  </si>
  <si>
    <t>193 SHADY GROVE LN</t>
  </si>
  <si>
    <t>I4050A000601</t>
  </si>
  <si>
    <t>HICKS RAMONA L</t>
  </si>
  <si>
    <t>243 WANDERING LN</t>
  </si>
  <si>
    <t>J4160A0001</t>
  </si>
  <si>
    <t>WIEST JUDY W</t>
  </si>
  <si>
    <t>116 TOWERY RD</t>
  </si>
  <si>
    <t>27028-4344</t>
  </si>
  <si>
    <t>J5030A0013</t>
  </si>
  <si>
    <t>NICHOLS DARYL G</t>
  </si>
  <si>
    <t>NICHOLS LAURIE J</t>
  </si>
  <si>
    <t>180 SUNNYDELL LN</t>
  </si>
  <si>
    <t>M5070A0035</t>
  </si>
  <si>
    <t>BREITWIESER LARRY</t>
  </si>
  <si>
    <t>BREITWIESER YVONNE</t>
  </si>
  <si>
    <t>7416 NC HIGHWAY 801 S</t>
  </si>
  <si>
    <t>K500000075</t>
  </si>
  <si>
    <t>TUTTEROW RICKY W</t>
  </si>
  <si>
    <t>141 TUTTS TRAIL</t>
  </si>
  <si>
    <t>C700000092</t>
  </si>
  <si>
    <t>SMITH ELAINE D</t>
  </si>
  <si>
    <t>836 NC HIGHWAY 801 N</t>
  </si>
  <si>
    <t>C700000064</t>
  </si>
  <si>
    <t>C70000006707</t>
  </si>
  <si>
    <t>C700000061</t>
  </si>
  <si>
    <t>C500000028</t>
  </si>
  <si>
    <t>C70000006706</t>
  </si>
  <si>
    <t>C70000006003</t>
  </si>
  <si>
    <t>CASS DEBORAH Y</t>
  </si>
  <si>
    <t>139 ELLIS LN</t>
  </si>
  <si>
    <t>27006-6610</t>
  </si>
  <si>
    <t>H40000010612</t>
  </si>
  <si>
    <t>OHI ASSET (NC) MOCKSVILLE-1304 MADISON RD LCC</t>
  </si>
  <si>
    <t>OMEGA HEALTHCARE INVESTRS INC</t>
  </si>
  <si>
    <t>303 INTERNATIONAL CIR STE 200</t>
  </si>
  <si>
    <t>HUNT VALLEY</t>
  </si>
  <si>
    <t>21030-1359</t>
  </si>
  <si>
    <t>C900000001</t>
  </si>
  <si>
    <t>YORK WAY LLC</t>
  </si>
  <si>
    <t>STE 201</t>
  </si>
  <si>
    <t>27006-7666</t>
  </si>
  <si>
    <t>H40000000303</t>
  </si>
  <si>
    <t>COOPER CREEK HEIGHTS LTD PART</t>
  </si>
  <si>
    <t>1329 E LARK ST</t>
  </si>
  <si>
    <t>65804-7351</t>
  </si>
  <si>
    <t>N600000078</t>
  </si>
  <si>
    <t>PARMER ZACHERY</t>
  </si>
  <si>
    <t>KARONIS JOSEPH</t>
  </si>
  <si>
    <t>2975 BLACKBURN ST</t>
  </si>
  <si>
    <t>APT 1901</t>
  </si>
  <si>
    <t>75204-3106</t>
  </si>
  <si>
    <t>D9090D0010</t>
  </si>
  <si>
    <t>COOK ALEX L</t>
  </si>
  <si>
    <t>COOK REBECCA A</t>
  </si>
  <si>
    <t>307 HOLLYBROOK DR</t>
  </si>
  <si>
    <t>I5050B0051</t>
  </si>
  <si>
    <t>RAMMAGE DONALD</t>
  </si>
  <si>
    <t>RAMMAGE JEANNINE</t>
  </si>
  <si>
    <t>671 WHITNEY RD</t>
  </si>
  <si>
    <t>G700000083</t>
  </si>
  <si>
    <t>CORNER CONVENIENCE STORE LLC</t>
  </si>
  <si>
    <t>ATTN: CHARLES ROBERTSON</t>
  </si>
  <si>
    <t>F80000002227</t>
  </si>
  <si>
    <t>K30000005301</t>
  </si>
  <si>
    <t>EVANS PEGGY</t>
  </si>
  <si>
    <t>PO BOX 742</t>
  </si>
  <si>
    <t>27028-0742</t>
  </si>
  <si>
    <t>K300000053</t>
  </si>
  <si>
    <t>G20000006201</t>
  </si>
  <si>
    <t>CHILDRESS RONNIE LEE</t>
  </si>
  <si>
    <t>CHILDRESS DEBORAH THOMAS</t>
  </si>
  <si>
    <t>1064 NC HIGHWAY 801 N</t>
  </si>
  <si>
    <t>27006-7954</t>
  </si>
  <si>
    <t>B300000035</t>
  </si>
  <si>
    <t>RUDDER TERESA</t>
  </si>
  <si>
    <t>4849 OLD HARRIS LN</t>
  </si>
  <si>
    <t>VIRGINIA BCH</t>
  </si>
  <si>
    <t>23455-2204</t>
  </si>
  <si>
    <t>J7080A0009</t>
  </si>
  <si>
    <t>BROWN KATHERINE E</t>
  </si>
  <si>
    <t>161 AUBREY MERRELL RD</t>
  </si>
  <si>
    <t>G400000060</t>
  </si>
  <si>
    <t>GREBE JUSTIN S</t>
  </si>
  <si>
    <t>GREBE HEATHER C</t>
  </si>
  <si>
    <t>482 CANA RD</t>
  </si>
  <si>
    <t>H90000003003</t>
  </si>
  <si>
    <t>VAUGHN JERRY M</t>
  </si>
  <si>
    <t>VAUGHN PATRICIA W</t>
  </si>
  <si>
    <t>461 PEOPLES CREEK RD</t>
  </si>
  <si>
    <t>27006-7440</t>
  </si>
  <si>
    <t>J5050B0007</t>
  </si>
  <si>
    <t>DORANTES ARELI APOLONIO</t>
  </si>
  <si>
    <t>CORIA VICTOR TAPIA</t>
  </si>
  <si>
    <t>224 CARRIAGE COVE CIR</t>
  </si>
  <si>
    <t>27028-2966</t>
  </si>
  <si>
    <t>J6050A0014</t>
  </si>
  <si>
    <t>CLARKSON MARKUS SETH</t>
  </si>
  <si>
    <t>2239 US HIGHWAY 64 E</t>
  </si>
  <si>
    <t>D700000200</t>
  </si>
  <si>
    <t>HARRINGTON JOHN III</t>
  </si>
  <si>
    <t>4500 PENDOCK CT</t>
  </si>
  <si>
    <t>28226-8161</t>
  </si>
  <si>
    <t>F4010A0026</t>
  </si>
  <si>
    <t>SAY CHRISTOPHER</t>
  </si>
  <si>
    <t>SAY JENNIFER</t>
  </si>
  <si>
    <t>107 ARRENDAL CT</t>
  </si>
  <si>
    <t>D60000000701</t>
  </si>
  <si>
    <t>TODD TAMARA L</t>
  </si>
  <si>
    <t>TODD MICHAEL E</t>
  </si>
  <si>
    <t>361 BOBBIT RD</t>
  </si>
  <si>
    <t>D8070A0010</t>
  </si>
  <si>
    <t>SMITH DAMIAN</t>
  </si>
  <si>
    <t>SMITH SHALANDA</t>
  </si>
  <si>
    <t>118 AZALEA CIR</t>
  </si>
  <si>
    <t>27006-9582</t>
  </si>
  <si>
    <t>L5100B001703</t>
  </si>
  <si>
    <t>BLALOCK JEFFREY LANE</t>
  </si>
  <si>
    <t>119 JANICE LN</t>
  </si>
  <si>
    <t>27028-6759</t>
  </si>
  <si>
    <t>D50000006401</t>
  </si>
  <si>
    <t>EVANS CHRISTOPHER</t>
  </si>
  <si>
    <t>D500000129</t>
  </si>
  <si>
    <t>J80000001705</t>
  </si>
  <si>
    <t>LANIER DWAYNE ODELL</t>
  </si>
  <si>
    <t>3766 NC HIGHWAY 801 S</t>
  </si>
  <si>
    <t>G30000008202</t>
  </si>
  <si>
    <t>BARRETT JESSE</t>
  </si>
  <si>
    <t>BARRETT JADEN</t>
  </si>
  <si>
    <t>146 HIDDEN VALLEY LN</t>
  </si>
  <si>
    <t>D700000130</t>
  </si>
  <si>
    <t>BETHLEHEM METHODIST CHURCH</t>
  </si>
  <si>
    <t>321 REDLAND RD</t>
  </si>
  <si>
    <t>D700000112</t>
  </si>
  <si>
    <t>K300000008</t>
  </si>
  <si>
    <t>TURNER BRUCE S</t>
  </si>
  <si>
    <t>476 MR HENRY RD</t>
  </si>
  <si>
    <t>O60000006502</t>
  </si>
  <si>
    <t>CUBE YADKIN GENERATION LLC</t>
  </si>
  <si>
    <t>% CUBE HYDRO PARTNERS LLC</t>
  </si>
  <si>
    <t>PO BOX 167</t>
  </si>
  <si>
    <t>NESHKORO</t>
  </si>
  <si>
    <t>54960-0167</t>
  </si>
  <si>
    <t>O60000006503</t>
  </si>
  <si>
    <t>K300000016</t>
  </si>
  <si>
    <t>KOONTZ ZACHARY</t>
  </si>
  <si>
    <t>J5030A0032</t>
  </si>
  <si>
    <t>PLAN C FOR ME LLC</t>
  </si>
  <si>
    <t>820 VALLEY RD</t>
  </si>
  <si>
    <t>STE 101</t>
  </si>
  <si>
    <t>27028-2930</t>
  </si>
  <si>
    <t>H700000024</t>
  </si>
  <si>
    <t>BENNETT DELBERT ETAL</t>
  </si>
  <si>
    <t>BENNETT BRADLEY</t>
  </si>
  <si>
    <t>508 DULIN RD</t>
  </si>
  <si>
    <t>27028-7204</t>
  </si>
  <si>
    <t>N600000082</t>
  </si>
  <si>
    <t>WARD LAURA CORRELL</t>
  </si>
  <si>
    <t>1113 CHERRY HILL RD</t>
  </si>
  <si>
    <t>C500000003</t>
  </si>
  <si>
    <t>CAMPBELL LAURA LEE SEATS</t>
  </si>
  <si>
    <t>173 DANCE HALL RD</t>
  </si>
  <si>
    <t>M5030A0025</t>
  </si>
  <si>
    <t>PEREIRAS HOLDING GROUP LLC</t>
  </si>
  <si>
    <t>M5070A0043</t>
  </si>
  <si>
    <t>SCOTT GIDEON M</t>
  </si>
  <si>
    <t>SCOTT RACHEL A</t>
  </si>
  <si>
    <t>7380 NC HIGHWAY 801 S</t>
  </si>
  <si>
    <t>I5110A0021</t>
  </si>
  <si>
    <t>GWYN JESSICA</t>
  </si>
  <si>
    <t>351 MOUNTVIEW DR</t>
  </si>
  <si>
    <t>F800000028</t>
  </si>
  <si>
    <t>BARBEE RUSSELL &amp; MELANIE JR REV TRUST</t>
  </si>
  <si>
    <t>366 BEAUCHAMP RD</t>
  </si>
  <si>
    <t>H5060A0001</t>
  </si>
  <si>
    <t>BRANON CHIQUITA SMITH</t>
  </si>
  <si>
    <t>109 BRADFORD PLACE</t>
  </si>
  <si>
    <t>G500000055</t>
  </si>
  <si>
    <t>CASSIDY J HAROLD</t>
  </si>
  <si>
    <t>CASSIDY KENNETH E</t>
  </si>
  <si>
    <t>DBA CASSIDY'S</t>
  </si>
  <si>
    <t>270 MCCLAMROCK RD</t>
  </si>
  <si>
    <t>I5170B0130</t>
  </si>
  <si>
    <t>HORTON PATRICIA</t>
  </si>
  <si>
    <t>130 W BRICK WALK CT</t>
  </si>
  <si>
    <t>J4060A0014</t>
  </si>
  <si>
    <t>THOMAS ANN</t>
  </si>
  <si>
    <t>263 MAGNOLIA AVE</t>
  </si>
  <si>
    <t>G7040A0066</t>
  </si>
  <si>
    <t>ORREN HUBERT RAY</t>
  </si>
  <si>
    <t>KINZER RONALD JASON</t>
  </si>
  <si>
    <t>318 LA QUINTA DR</t>
  </si>
  <si>
    <t>27006-7007</t>
  </si>
  <si>
    <t>J6050E0007</t>
  </si>
  <si>
    <t>LUFFMAN SYLVIA MILLER</t>
  </si>
  <si>
    <t>154 MEADOWVIEW RD</t>
  </si>
  <si>
    <t>K70000004901</t>
  </si>
  <si>
    <t>J6050E0006</t>
  </si>
  <si>
    <t>J6050E0008</t>
  </si>
  <si>
    <t>M40000007201</t>
  </si>
  <si>
    <t>ALLEN ROSETTA MCDANIEL</t>
  </si>
  <si>
    <t>1793 JUNCTION RD</t>
  </si>
  <si>
    <t>27028-5330</t>
  </si>
  <si>
    <t>M400000031</t>
  </si>
  <si>
    <t>M400000072</t>
  </si>
  <si>
    <t>D7030B0003</t>
  </si>
  <si>
    <t>RIVERS MERCEDES M DE</t>
  </si>
  <si>
    <t>PO BOX 1398</t>
  </si>
  <si>
    <t>27012-1398</t>
  </si>
  <si>
    <t>I60000001001</t>
  </si>
  <si>
    <t>DAVIS JEFFREY H</t>
  </si>
  <si>
    <t>DAVIS SHERYL J</t>
  </si>
  <si>
    <t>111 JAMESTOWNE DR</t>
  </si>
  <si>
    <t>F80000002221</t>
  </si>
  <si>
    <t>G50000008601</t>
  </si>
  <si>
    <t>DOLLAR GEORGE</t>
  </si>
  <si>
    <t>7309 JACKSON SPRINGS RD</t>
  </si>
  <si>
    <t>TAMPA</t>
  </si>
  <si>
    <t>33634-4749</t>
  </si>
  <si>
    <t>B70000005001</t>
  </si>
  <si>
    <t>WALKER WESTON RICHARD</t>
  </si>
  <si>
    <t>H4200A0001</t>
  </si>
  <si>
    <t>SAMUELS RUSSELL W</t>
  </si>
  <si>
    <t>SAMUELS HOLLY H</t>
  </si>
  <si>
    <t>111 COPPERFIELD DR</t>
  </si>
  <si>
    <t>K40000004002</t>
  </si>
  <si>
    <t>HARRISON TERRY S</t>
  </si>
  <si>
    <t>325 BUCK SEAFORD RD</t>
  </si>
  <si>
    <t>K40000004003</t>
  </si>
  <si>
    <t>L5100A0013</t>
  </si>
  <si>
    <t>CARTER JAMES BRADLEY</t>
  </si>
  <si>
    <t>2222 US HIGHWAY 601 S</t>
  </si>
  <si>
    <t>L5100B0017</t>
  </si>
  <si>
    <t>BLALOCK JEFFREY L</t>
  </si>
  <si>
    <t>L500000030</t>
  </si>
  <si>
    <t>L5100B0018</t>
  </si>
  <si>
    <t>L5100B001701</t>
  </si>
  <si>
    <t>E70000006515</t>
  </si>
  <si>
    <t>LUFFMAN ROBERT HOMER</t>
  </si>
  <si>
    <t>LUFFMAN JULIE</t>
  </si>
  <si>
    <t>157 BEAUCHAMP OAKS CT</t>
  </si>
  <si>
    <t>J4040F0015</t>
  </si>
  <si>
    <t>C8030A000802</t>
  </si>
  <si>
    <t>SWOPE MATTHEW</t>
  </si>
  <si>
    <t>189 PINEWOOD LN UNIT 102</t>
  </si>
  <si>
    <t>I5120A0017</t>
  </si>
  <si>
    <t>DANCY TYLER</t>
  </si>
  <si>
    <t>OUELLETTE CAILEY</t>
  </si>
  <si>
    <t>118 BLUE BONNET CT</t>
  </si>
  <si>
    <t>K5090A0016</t>
  </si>
  <si>
    <t>MILLER SPENCER RAY</t>
  </si>
  <si>
    <t>I700000038</t>
  </si>
  <si>
    <t>HAMBY LATTIMORE JON MICHAEL</t>
  </si>
  <si>
    <t>HAMBY LATTIMORE LOREN CLARK</t>
  </si>
  <si>
    <t>873 WILLIAMS RD</t>
  </si>
  <si>
    <t>B500000033</t>
  </si>
  <si>
    <t>ROGERS CHRISTOPHER ROBBIN</t>
  </si>
  <si>
    <t>H700000028</t>
  </si>
  <si>
    <t>RICH KIMBERLY</t>
  </si>
  <si>
    <t>2001 BLANCHARD ST</t>
  </si>
  <si>
    <t>27502-1350</t>
  </si>
  <si>
    <t>H300000009</t>
  </si>
  <si>
    <t>CUJAS ANTHONY W</t>
  </si>
  <si>
    <t>CUJAS MELODY J</t>
  </si>
  <si>
    <t>215 PARKER RD</t>
  </si>
  <si>
    <t>B30000000201</t>
  </si>
  <si>
    <t>NOOR LAKOM INC</t>
  </si>
  <si>
    <t>946 S STATE ST</t>
  </si>
  <si>
    <t>27055-6765</t>
  </si>
  <si>
    <t>G20000005501</t>
  </si>
  <si>
    <t>SPRINDIS STEPHEN WILLIAM</t>
  </si>
  <si>
    <t>SPRINDIS CHRISTOPHER ALLAN</t>
  </si>
  <si>
    <t>27028-4933</t>
  </si>
  <si>
    <t>E300000084</t>
  </si>
  <si>
    <t>JOHNSON KIMBERLY LEE</t>
  </si>
  <si>
    <t>171 FERN CLIFF LANE</t>
  </si>
  <si>
    <t>I400000070</t>
  </si>
  <si>
    <t>CALL CONSTANCE O</t>
  </si>
  <si>
    <t>I400000071</t>
  </si>
  <si>
    <t>G400000019</t>
  </si>
  <si>
    <t>BARKER RICHARD HEIRS</t>
  </si>
  <si>
    <t>132 UNION STREET</t>
  </si>
  <si>
    <t>11520-0000</t>
  </si>
  <si>
    <t>G700000119</t>
  </si>
  <si>
    <t>ROBERTSON JOSEPH HARMON</t>
  </si>
  <si>
    <t>27006-0184</t>
  </si>
  <si>
    <t>C20000002601</t>
  </si>
  <si>
    <t>JOHNSON SCOTTY</t>
  </si>
  <si>
    <t>JOHNSON LISA</t>
  </si>
  <si>
    <t>248 CAIN REAVIS RD</t>
  </si>
  <si>
    <t>H700000010</t>
  </si>
  <si>
    <t>HEREDIA JAVIER</t>
  </si>
  <si>
    <t>239 RALPH RD</t>
  </si>
  <si>
    <t>I60000007507</t>
  </si>
  <si>
    <t>MASON ROBERT KEITH</t>
  </si>
  <si>
    <t>MASON CAREY D</t>
  </si>
  <si>
    <t>557 CORNATZER RD</t>
  </si>
  <si>
    <t>I6080A0002</t>
  </si>
  <si>
    <t>WOOD TRAMPAS</t>
  </si>
  <si>
    <t>WOOD CHRISTIE ANN</t>
  </si>
  <si>
    <t>701 WHITNEY ROAD</t>
  </si>
  <si>
    <t>I5050B0056</t>
  </si>
  <si>
    <t>EVANS WESLEY ALEXANDER</t>
  </si>
  <si>
    <t>EVANS MIRNA LIZETH</t>
  </si>
  <si>
    <t>124 BROOKVIEW COURT</t>
  </si>
  <si>
    <t>I700000058</t>
  </si>
  <si>
    <t>TRUSZKOWSKI PIOTR KAZIMIERZ</t>
  </si>
  <si>
    <t>TRUSZKOWSKA IWONA</t>
  </si>
  <si>
    <t>J80000001101</t>
  </si>
  <si>
    <t>C8010A0164</t>
  </si>
  <si>
    <t>CASEY CANDACE</t>
  </si>
  <si>
    <t>115 TOWN PARK DR</t>
  </si>
  <si>
    <t>I5050B0042</t>
  </si>
  <si>
    <t>BROWN HAYDEN ALAN</t>
  </si>
  <si>
    <t>ORFINO SAMANTHA MARIE</t>
  </si>
  <si>
    <t>619 WHITNEY RD</t>
  </si>
  <si>
    <t>B70000000901</t>
  </si>
  <si>
    <t>DAVIS MARGARET RIDDLE REV LIV TRUST</t>
  </si>
  <si>
    <t>1483 YADKIN VALLEY RD</t>
  </si>
  <si>
    <t>B700000003</t>
  </si>
  <si>
    <t>B700000094</t>
  </si>
  <si>
    <t>M400000032</t>
  </si>
  <si>
    <t>ALLEN DEWEY DONALD JR</t>
  </si>
  <si>
    <t>ALLEN KATHLEEN</t>
  </si>
  <si>
    <t>1803 JUNCTION RD</t>
  </si>
  <si>
    <t>G800000058</t>
  </si>
  <si>
    <t>LEDFORD CHARLES JR &amp; LYNNE F</t>
  </si>
  <si>
    <t>LEDFORD HENRY F &amp; SALLIE ETAL</t>
  </si>
  <si>
    <t>PO BOX 1889</t>
  </si>
  <si>
    <t>27282-1889</t>
  </si>
  <si>
    <t>E600000023</t>
  </si>
  <si>
    <t>DORSE IVA NELL M</t>
  </si>
  <si>
    <t>BROADWAY GINGER ROBERTSON Y</t>
  </si>
  <si>
    <t>3771 US HIGHWAY 158</t>
  </si>
  <si>
    <t>E900000602</t>
  </si>
  <si>
    <t>HOLCOMB MARC C</t>
  </si>
  <si>
    <t>HOLCOMB CHANDRA</t>
  </si>
  <si>
    <t>139 W EDEN COURSE DR</t>
  </si>
  <si>
    <t>D9010D0005</t>
  </si>
  <si>
    <t>HOLDER JESSIE W</t>
  </si>
  <si>
    <t>HOLDER LUCY L</t>
  </si>
  <si>
    <t>186 HAMILTON CT</t>
  </si>
  <si>
    <t>G8130A000302</t>
  </si>
  <si>
    <t>STOKES INVESTMENT PROPERTIES LLC</t>
  </si>
  <si>
    <t>3111 MAPLEWOOD AVE STE 107</t>
  </si>
  <si>
    <t>27103-3906</t>
  </si>
  <si>
    <t>F80000002231</t>
  </si>
  <si>
    <t>OCONNELL SEAN</t>
  </si>
  <si>
    <t>OCONNELL KASIE</t>
  </si>
  <si>
    <t>138 LANTERN DR</t>
  </si>
  <si>
    <t>H300000016</t>
  </si>
  <si>
    <t>VRIKKIS JENNIFER LYNN</t>
  </si>
  <si>
    <t>27040-0131</t>
  </si>
  <si>
    <t>H300000017</t>
  </si>
  <si>
    <t>G8120A0004</t>
  </si>
  <si>
    <t>B300000083</t>
  </si>
  <si>
    <t>ADAMS DAVID E ETAL</t>
  </si>
  <si>
    <t>ADAMS CECIL L</t>
  </si>
  <si>
    <t>481 BEAUCHAMP RD</t>
  </si>
  <si>
    <t>C300000006</t>
  </si>
  <si>
    <t>DRIVER JERALD G</t>
  </si>
  <si>
    <t>DRIVER SUE ANN</t>
  </si>
  <si>
    <t>4779 US HIGHWAY 601 N</t>
  </si>
  <si>
    <t>G800000082</t>
  </si>
  <si>
    <t>MILLER TREE SERVICE INC</t>
  </si>
  <si>
    <t>PO BOX 2190</t>
  </si>
  <si>
    <t>27006-2190</t>
  </si>
  <si>
    <t>E70000004701</t>
  </si>
  <si>
    <t>EMERT BENJAMIN</t>
  </si>
  <si>
    <t>EMERT LAURA</t>
  </si>
  <si>
    <t>I800000030</t>
  </si>
  <si>
    <t>SEAFORD JACKY CRAIG ETAL</t>
  </si>
  <si>
    <t>3307 NC HIGHWAY 801 S</t>
  </si>
  <si>
    <t>H8050A0006</t>
  </si>
  <si>
    <t>COOK LOUANNE</t>
  </si>
  <si>
    <t>172 SHADY GROVE LN</t>
  </si>
  <si>
    <t>D50000007001</t>
  </si>
  <si>
    <t>WHICKER DEANNA JILL</t>
  </si>
  <si>
    <t>4937 LACASTA LN</t>
  </si>
  <si>
    <t>27051-9735</t>
  </si>
  <si>
    <t>H6070A0002</t>
  </si>
  <si>
    <t>SPIGNER CORDIN TRAVELL</t>
  </si>
  <si>
    <t>NELSON DESTINY ANN</t>
  </si>
  <si>
    <t>801 SAIN RD</t>
  </si>
  <si>
    <t>J5010D0114</t>
  </si>
  <si>
    <t>SHAW DARIUS</t>
  </si>
  <si>
    <t>EDMONDS MAKAYLA</t>
  </si>
  <si>
    <t>166 CHARLESTON MEADOW LOOP</t>
  </si>
  <si>
    <t>27028-2964</t>
  </si>
  <si>
    <t>M5060B0027</t>
  </si>
  <si>
    <t>CARTER MADISON</t>
  </si>
  <si>
    <t>2678 US HIGHWAY 601 S</t>
  </si>
  <si>
    <t>L5100B001702</t>
  </si>
  <si>
    <t>JOHNSON GARY M</t>
  </si>
  <si>
    <t>143 JANICE LN</t>
  </si>
  <si>
    <t>K2100A0004</t>
  </si>
  <si>
    <t>CALHOUN BRIANNE C</t>
  </si>
  <si>
    <t>169 FOSTER RD</t>
  </si>
  <si>
    <t>J500000024</t>
  </si>
  <si>
    <t>HOWELL JULIA ALLEN</t>
  </si>
  <si>
    <t>HOWELL KENNETH W JR.25% ETAL</t>
  </si>
  <si>
    <t>1159 US HIGHWAY 64 E</t>
  </si>
  <si>
    <t>M5070A0040</t>
  </si>
  <si>
    <t>MORRISON KATHY D</t>
  </si>
  <si>
    <t>MORRISON DWAYNE L</t>
  </si>
  <si>
    <t>336 SAINT ANDREWS RD</t>
  </si>
  <si>
    <t>28625-4659</t>
  </si>
  <si>
    <t>B700000076</t>
  </si>
  <si>
    <t>KASTANIA LLC</t>
  </si>
  <si>
    <t>2670 CHATHAM FARM RD</t>
  </si>
  <si>
    <t>27106-5819</t>
  </si>
  <si>
    <t>F80000006904</t>
  </si>
  <si>
    <t>LAEHN GABE</t>
  </si>
  <si>
    <t>E900000077</t>
  </si>
  <si>
    <t>BARRETT CHARLES DANIEL</t>
  </si>
  <si>
    <t>BARRETT KATHLEEN ANDERSON</t>
  </si>
  <si>
    <t>121 AVIARA DRIVE</t>
  </si>
  <si>
    <t>D9010A0010</t>
  </si>
  <si>
    <t>TAYLOR CHRISTINA JENEE</t>
  </si>
  <si>
    <t>123 PEMBROOKE RIDGE CT</t>
  </si>
  <si>
    <t>F30000000524</t>
  </si>
  <si>
    <t>CUNDARI PATRICK J JR</t>
  </si>
  <si>
    <t>CUNDARI MARY L</t>
  </si>
  <si>
    <t>133 PASO FOREST TRL</t>
  </si>
  <si>
    <t>D50000003003</t>
  </si>
  <si>
    <t>HALL BILLY RONDALL II</t>
  </si>
  <si>
    <t>463 CEDAR CREEK RD</t>
  </si>
  <si>
    <t>D50000003002</t>
  </si>
  <si>
    <t>E900000022</t>
  </si>
  <si>
    <t>MCMAHAN EDNA LYNN</t>
  </si>
  <si>
    <t>MCMAHAN EDGAR</t>
  </si>
  <si>
    <t>219 OAKMONT DRIVE</t>
  </si>
  <si>
    <t>L5150A0001</t>
  </si>
  <si>
    <t>POOLE WILLIAM AUGUSTUS JR</t>
  </si>
  <si>
    <t>POOLE BETTY CARTER</t>
  </si>
  <si>
    <t>210 MICHAELS ROAD</t>
  </si>
  <si>
    <t>D8100C0015</t>
  </si>
  <si>
    <t>HOLLOWS WILLIAM H</t>
  </si>
  <si>
    <t>128 SPYGLASS DR</t>
  </si>
  <si>
    <t>J50000003212</t>
  </si>
  <si>
    <t>PETS AT PEACE LLC</t>
  </si>
  <si>
    <t>107 ARBOR HILL AVE</t>
  </si>
  <si>
    <t>J40000002801</t>
  </si>
  <si>
    <t>FOSTER JON E TRUSTEE</t>
  </si>
  <si>
    <t>THE FOSTER FAMILY IRREVOC TRUS</t>
  </si>
  <si>
    <t>596 BALL RD</t>
  </si>
  <si>
    <t>FRANKFORT</t>
  </si>
  <si>
    <t>13340-4103</t>
  </si>
  <si>
    <t>J5010D0112</t>
  </si>
  <si>
    <t>SELLARS FELICIA E</t>
  </si>
  <si>
    <t>174 CHARLESTON MEADOW LOOP</t>
  </si>
  <si>
    <t>C70000010902</t>
  </si>
  <si>
    <t>29063-9230</t>
  </si>
  <si>
    <t>I5160C0005</t>
  </si>
  <si>
    <t>DAVIE BUILDERS INC</t>
  </si>
  <si>
    <t>330 SOUTH SALISBURY STREET</t>
  </si>
  <si>
    <t>27028-2526</t>
  </si>
  <si>
    <t>I4130A0011</t>
  </si>
  <si>
    <t>I4130A001101</t>
  </si>
  <si>
    <t>I4130A001401</t>
  </si>
  <si>
    <t>I4130A001402</t>
  </si>
  <si>
    <t>I4130H0032</t>
  </si>
  <si>
    <t>I4130H0037</t>
  </si>
  <si>
    <t>I4140B000101</t>
  </si>
  <si>
    <t>G3060D000901</t>
  </si>
  <si>
    <t>WOOD KAREN S</t>
  </si>
  <si>
    <t>312 NEBBS TRAIL</t>
  </si>
  <si>
    <t>F7060A0004</t>
  </si>
  <si>
    <t>MCDANIEL SHERRI A</t>
  </si>
  <si>
    <t>147 QUAIL HOLLOW ROAD</t>
  </si>
  <si>
    <t>F300000012</t>
  </si>
  <si>
    <t>SEALEY SHERRI MCDANIEL</t>
  </si>
  <si>
    <t>147 QUAIL HOLLOW RD</t>
  </si>
  <si>
    <t>F300000019</t>
  </si>
  <si>
    <t>O600000037  A</t>
  </si>
  <si>
    <t>CHUNN ERVIN</t>
  </si>
  <si>
    <t>PO BOX 2544</t>
  </si>
  <si>
    <t>H50000001505</t>
  </si>
  <si>
    <t>STANLEY CLINT D</t>
  </si>
  <si>
    <t>STANLEY JESSICA R</t>
  </si>
  <si>
    <t>H50000001502</t>
  </si>
  <si>
    <t>F7120A0009</t>
  </si>
  <si>
    <t>LOWDER GARY LEWIS</t>
  </si>
  <si>
    <t>LOWDER DENISE S</t>
  </si>
  <si>
    <t>144 MONTCLAIRE DRIVE</t>
  </si>
  <si>
    <t>H500000219</t>
  </si>
  <si>
    <t>BIVIANO VINCENT C</t>
  </si>
  <si>
    <t>BIVIANO KRISTY L</t>
  </si>
  <si>
    <t>376 OAK GROVE CHURCH RD</t>
  </si>
  <si>
    <t>H90000001001</t>
  </si>
  <si>
    <t>ALLEN SONYA</t>
  </si>
  <si>
    <t>I5050B0052</t>
  </si>
  <si>
    <t>LOWRY CARL JR</t>
  </si>
  <si>
    <t>119 BROOKVIEW COURT</t>
  </si>
  <si>
    <t>I5060C0014</t>
  </si>
  <si>
    <t>FLOWERS MARCUS BROCK</t>
  </si>
  <si>
    <t>FLOWERS MEGAN KATHRYN</t>
  </si>
  <si>
    <t>101 MARCONI ST</t>
  </si>
  <si>
    <t>E40000004604</t>
  </si>
  <si>
    <t>RUTLER GEORGE GEOFFREY JON</t>
  </si>
  <si>
    <t>RUTLER JENNIFER SUE</t>
  </si>
  <si>
    <t>702 PUDDING RIDGE RD</t>
  </si>
  <si>
    <t>H400000153</t>
  </si>
  <si>
    <t>JONES DEBORAH LAGLE ETAL</t>
  </si>
  <si>
    <t>SHERRILL RANDY</t>
  </si>
  <si>
    <t>128 MILLWRIGHT COURT</t>
  </si>
  <si>
    <t>J4040C0012</t>
  </si>
  <si>
    <t>K200000011</t>
  </si>
  <si>
    <t>FOSTER ETHAN</t>
  </si>
  <si>
    <t>981 RIDGE RD</t>
  </si>
  <si>
    <t>27028-8343</t>
  </si>
  <si>
    <t>J5010D0110</t>
  </si>
  <si>
    <t>COFIE NATISHA</t>
  </si>
  <si>
    <t>184 CHARLESTON MEADOW LOOP</t>
  </si>
  <si>
    <t>I5050B0050</t>
  </si>
  <si>
    <t>CHAUDHARY BASANTA</t>
  </si>
  <si>
    <t>MAHATO SUNITA</t>
  </si>
  <si>
    <t>665 WHITNEY RD</t>
  </si>
  <si>
    <t>I4120B0002</t>
  </si>
  <si>
    <t>HARRY CHARLES BRUCE II</t>
  </si>
  <si>
    <t>HARRY MELISSA MARTIN</t>
  </si>
  <si>
    <t>559 WILKESBORO ST</t>
  </si>
  <si>
    <t>L5020A0033</t>
  </si>
  <si>
    <t>D9020A0008</t>
  </si>
  <si>
    <t>PRENTZAS JOHN C</t>
  </si>
  <si>
    <t>HENSON MELANIE A</t>
  </si>
  <si>
    <t>485 BING CROSBY BLVD</t>
  </si>
  <si>
    <t>F800000110</t>
  </si>
  <si>
    <t>NICKELS JOHN NATHANIEL</t>
  </si>
  <si>
    <t>WALKER BRITTANY NICKELS</t>
  </si>
  <si>
    <t>360 POTTS RD</t>
  </si>
  <si>
    <t>B40000002302</t>
  </si>
  <si>
    <t>SMITH &amp; COMPANY CUSTOM HOMES &amp;</t>
  </si>
  <si>
    <t>REMODELING INC</t>
  </si>
  <si>
    <t>438 BONKIN LAKE RD</t>
  </si>
  <si>
    <t>K5060A0011</t>
  </si>
  <si>
    <t>360 HOMES GROUP LLC</t>
  </si>
  <si>
    <t>140 WALT WILSON RD</t>
  </si>
  <si>
    <t>27028-5470</t>
  </si>
  <si>
    <t>E8100B0026</t>
  </si>
  <si>
    <t>MCCORMICK HOWARD R</t>
  </si>
  <si>
    <t>MCCORMICK BESSIE G</t>
  </si>
  <si>
    <t>P O BOX 574</t>
  </si>
  <si>
    <t>DUBLIN</t>
  </si>
  <si>
    <t>C8010A0110</t>
  </si>
  <si>
    <t>WARD RICHARD T</t>
  </si>
  <si>
    <t>WARD ELIZABETH B</t>
  </si>
  <si>
    <t>183 BROOKSTONE DRIVE</t>
  </si>
  <si>
    <t>D9050A0002</t>
  </si>
  <si>
    <t>OWEN JOHN TRUSTEE</t>
  </si>
  <si>
    <t>OWEN INA ANNIE TRUSTEE</t>
  </si>
  <si>
    <t>3117 BERMUDA VILLAGE DRIVE</t>
  </si>
  <si>
    <t>E70000013604</t>
  </si>
  <si>
    <t>FOSTER BRADLEY DEAN</t>
  </si>
  <si>
    <t>FOSTER KRISTIE SENGER</t>
  </si>
  <si>
    <t>137 WELLINGTON CT</t>
  </si>
  <si>
    <t>L50000004601</t>
  </si>
  <si>
    <t>ANGUS HOLLY DENISE</t>
  </si>
  <si>
    <t>6778 NC HIGHWAY 801 S</t>
  </si>
  <si>
    <t>D9010E0020</t>
  </si>
  <si>
    <t>PHELPS MICHAEL W</t>
  </si>
  <si>
    <t>WYNNEMER CLAIRE L</t>
  </si>
  <si>
    <t>115 RIVER HILL DR</t>
  </si>
  <si>
    <t>E900000255</t>
  </si>
  <si>
    <t>MCLEAN OLIVER CRAIG</t>
  </si>
  <si>
    <t>MCLEAN OLIVIA BUCHAN</t>
  </si>
  <si>
    <t>127 ISLEWORTH CT</t>
  </si>
  <si>
    <t>C8010A0040</t>
  </si>
  <si>
    <t>HOLBROOK MARGARET W</t>
  </si>
  <si>
    <t>214 TOWNPARK DRIVE</t>
  </si>
  <si>
    <t>I5170D0001</t>
  </si>
  <si>
    <t>BENTLEY BONNIE S</t>
  </si>
  <si>
    <t>110 MILLWRIGHT CT</t>
  </si>
  <si>
    <t>E9150B0092</t>
  </si>
  <si>
    <t>HESS MARK R</t>
  </si>
  <si>
    <t>HESS SUZANNE P</t>
  </si>
  <si>
    <t>277 ORCHARD PARK DR</t>
  </si>
  <si>
    <t>H9080A0019</t>
  </si>
  <si>
    <t>SEMPLE RONALD JOHN</t>
  </si>
  <si>
    <t>MEIER BETH FORDHAM</t>
  </si>
  <si>
    <t>176 FALLINGCREEK DR</t>
  </si>
  <si>
    <t>K700000007</t>
  </si>
  <si>
    <t>HUNCKLER ANTHONY C</t>
  </si>
  <si>
    <t>F20000002309</t>
  </si>
  <si>
    <t>H20000004301</t>
  </si>
  <si>
    <t>POTTS LINDA B ETAL</t>
  </si>
  <si>
    <t>POTTS SHELBY JEAN</t>
  </si>
  <si>
    <t>177 VANZANT RD</t>
  </si>
  <si>
    <t>H200000043</t>
  </si>
  <si>
    <t>E8100B0022</t>
  </si>
  <si>
    <t>BINGHAM GETTYS D JR</t>
  </si>
  <si>
    <t>BINGHAM LORETTA H</t>
  </si>
  <si>
    <t>625 HILLCREST DRIVE</t>
  </si>
  <si>
    <t>I4110C0025</t>
  </si>
  <si>
    <t>YARBROUGH JOHN D</t>
  </si>
  <si>
    <t>324 FEEZOR ROAD</t>
  </si>
  <si>
    <t>J40000005201</t>
  </si>
  <si>
    <t>D9050C0048</t>
  </si>
  <si>
    <t>FELKER JAMES W</t>
  </si>
  <si>
    <t>2311 BERMUDA VILLAGE</t>
  </si>
  <si>
    <t>E9150B0137</t>
  </si>
  <si>
    <t>SCHEER ARTHUR L JR</t>
  </si>
  <si>
    <t>SCHEER SHERRIE S</t>
  </si>
  <si>
    <t>119 KNICKER LANE</t>
  </si>
  <si>
    <t>E9150A0049</t>
  </si>
  <si>
    <t>WARD LUTHER W</t>
  </si>
  <si>
    <t>WARD JEAN N</t>
  </si>
  <si>
    <t>199 TALWOOD DRIVE</t>
  </si>
  <si>
    <t>C200000012</t>
  </si>
  <si>
    <t>MASON KENNETH A</t>
  </si>
  <si>
    <t>MASON JUDY SHOFFNER</t>
  </si>
  <si>
    <t>169 BRIARCLIFF LANE</t>
  </si>
  <si>
    <t>27028-5655</t>
  </si>
  <si>
    <t>I4130D0020</t>
  </si>
  <si>
    <t>J &amp; H PROPERTIES DEVELOPMENT LLC</t>
  </si>
  <si>
    <t>I4130D002101</t>
  </si>
  <si>
    <t>C30000012301</t>
  </si>
  <si>
    <t>CROOKS EVON L</t>
  </si>
  <si>
    <t>CROOKS CAROL E</t>
  </si>
  <si>
    <t>749 HOWELL ROAD</t>
  </si>
  <si>
    <t>27028-4816</t>
  </si>
  <si>
    <t>C400000002</t>
  </si>
  <si>
    <t>F20000002301</t>
  </si>
  <si>
    <t>WILLIAMSON CATHERINE M</t>
  </si>
  <si>
    <t>PO BOX 282</t>
  </si>
  <si>
    <t>27028-0282</t>
  </si>
  <si>
    <t>F20000002302</t>
  </si>
  <si>
    <t>M5090A000901</t>
  </si>
  <si>
    <t>PRUITT-ANNISETTE BRENDA</t>
  </si>
  <si>
    <t>30083-0000</t>
  </si>
  <si>
    <t>M5090A0009</t>
  </si>
  <si>
    <t>M500000030</t>
  </si>
  <si>
    <t>I4130C000101</t>
  </si>
  <si>
    <t>I4120C0011</t>
  </si>
  <si>
    <t>J4140B0065</t>
  </si>
  <si>
    <t>I4130C0002</t>
  </si>
  <si>
    <t>I4120C0021</t>
  </si>
  <si>
    <t>I4130C0006</t>
  </si>
  <si>
    <t>A700000001  A</t>
  </si>
  <si>
    <t>WALKER FRANK D</t>
  </si>
  <si>
    <t>WALKER MARGARET LOUISE C</t>
  </si>
  <si>
    <t>545 SANDPIT ROAD</t>
  </si>
  <si>
    <t>27006-8736</t>
  </si>
  <si>
    <t>A70000000204</t>
  </si>
  <si>
    <t>D9050C0031</t>
  </si>
  <si>
    <t>SIX VALERY</t>
  </si>
  <si>
    <t>2322 BERMUDA VLG</t>
  </si>
  <si>
    <t>D70000000902</t>
  </si>
  <si>
    <t>WEST CHESTER RAY</t>
  </si>
  <si>
    <t>WEST LINDA MIDDLETON</t>
  </si>
  <si>
    <t>PO BOX 1264</t>
  </si>
  <si>
    <t>DREXEL</t>
  </si>
  <si>
    <t>D9010B0022</t>
  </si>
  <si>
    <t>SCHATZMAN WILLIAM T</t>
  </si>
  <si>
    <t>137 WARWICKE PL</t>
  </si>
  <si>
    <t>C7140B0001</t>
  </si>
  <si>
    <t>SIDES SHARRAN L</t>
  </si>
  <si>
    <t>SIDES TOMMIE RAY</t>
  </si>
  <si>
    <t>499 N. HWY 801</t>
  </si>
  <si>
    <t>E900000461</t>
  </si>
  <si>
    <t>LAMBERT RUDOLPH</t>
  </si>
  <si>
    <t>LAMBERT JAMY</t>
  </si>
  <si>
    <t>125 S HIDDENBROOKE DRIVE</t>
  </si>
  <si>
    <t>G3050B0001</t>
  </si>
  <si>
    <t>PARRISH ROGER LEE</t>
  </si>
  <si>
    <t>169 CANA ROAD</t>
  </si>
  <si>
    <t>G3050B0010</t>
  </si>
  <si>
    <t>G3050B0011</t>
  </si>
  <si>
    <t>F300000077</t>
  </si>
  <si>
    <t>BARNETTE RONNIE K</t>
  </si>
  <si>
    <t>BARNETTE LINDA B</t>
  </si>
  <si>
    <t>168 BRACKEN ROAD</t>
  </si>
  <si>
    <t>F300000023</t>
  </si>
  <si>
    <t>H800000025</t>
  </si>
  <si>
    <t>ALLEN TERRY CHARLES</t>
  </si>
  <si>
    <t>ALLEN SARAH JOHNSON</t>
  </si>
  <si>
    <t>2307 NC HIGHWAY 801 SOUTH</t>
  </si>
  <si>
    <t>27006-7464</t>
  </si>
  <si>
    <t>H800000026</t>
  </si>
  <si>
    <t>H800000027</t>
  </si>
  <si>
    <t>H80000001801</t>
  </si>
  <si>
    <t>H800000018</t>
  </si>
  <si>
    <t>I70000001806</t>
  </si>
  <si>
    <t>BARNETT RONNIE D</t>
  </si>
  <si>
    <t>E60000000202</t>
  </si>
  <si>
    <t>HUTCHINS ALLEN JAMES</t>
  </si>
  <si>
    <t>HUTCHINS FAYE J</t>
  </si>
  <si>
    <t>151 BATH LANE</t>
  </si>
  <si>
    <t>D700000159</t>
  </si>
  <si>
    <t>MCLAUGHLIN CAROLYN DULIN</t>
  </si>
  <si>
    <t>208 RUTHERFORD ST</t>
  </si>
  <si>
    <t>28144-2734</t>
  </si>
  <si>
    <t>H80000001403</t>
  </si>
  <si>
    <t>SMITH DENNIS O</t>
  </si>
  <si>
    <t>SMITH ANGELA LAGLE</t>
  </si>
  <si>
    <t>1017 MARKLAND ROAD</t>
  </si>
  <si>
    <t>C4160A0010</t>
  </si>
  <si>
    <t>RUFF GUY M</t>
  </si>
  <si>
    <t>BOTTONE KATHY</t>
  </si>
  <si>
    <t>244 STEEPLECHASE LN</t>
  </si>
  <si>
    <t>27028-4973</t>
  </si>
  <si>
    <t>E8160A0030</t>
  </si>
  <si>
    <t>MANNING JAMES L</t>
  </si>
  <si>
    <t>MANNING JUDITH E</t>
  </si>
  <si>
    <t>124 MEADOW CREEK COURT</t>
  </si>
  <si>
    <t>I4010A0051</t>
  </si>
  <si>
    <t>MOORE NANCY C</t>
  </si>
  <si>
    <t>133 N WENTWORTH DRIVE</t>
  </si>
  <si>
    <t>I400000032</t>
  </si>
  <si>
    <t>LOWE THOMAS E</t>
  </si>
  <si>
    <t>227 MADISON ROAD</t>
  </si>
  <si>
    <t>H80000001401</t>
  </si>
  <si>
    <t>G9090B0028</t>
  </si>
  <si>
    <t>FLANNIGAN DEAN A</t>
  </si>
  <si>
    <t>FLANNIGAN CHRISTIANE G</t>
  </si>
  <si>
    <t>157 MARCH FERRY ROAD</t>
  </si>
  <si>
    <t>E9150A0026</t>
  </si>
  <si>
    <t>IRBY MICHAEL T</t>
  </si>
  <si>
    <t>IRBY GAYLYNN K</t>
  </si>
  <si>
    <t>183 HIDDEN CREEK DRIVE</t>
  </si>
  <si>
    <t>B50000001307</t>
  </si>
  <si>
    <t>HUTCHENS ROBERT L II</t>
  </si>
  <si>
    <t>DELMESTRI SHELLEY</t>
  </si>
  <si>
    <t>642 PINEVILLE RD</t>
  </si>
  <si>
    <t>B50000001308</t>
  </si>
  <si>
    <t>J4060C0001</t>
  </si>
  <si>
    <t>SECHRIST LINDA B</t>
  </si>
  <si>
    <t>SECHRIST EDWIN M</t>
  </si>
  <si>
    <t>245 BEECHWOOD DRIVE</t>
  </si>
  <si>
    <t>J4060D0031</t>
  </si>
  <si>
    <t>E70000013612</t>
  </si>
  <si>
    <t>FORRISTER WALLACE LARRY</t>
  </si>
  <si>
    <t>FORRISTER PATRICIA GRAHAM</t>
  </si>
  <si>
    <t>130 WELLINGTON CT</t>
  </si>
  <si>
    <t>E9150B0152</t>
  </si>
  <si>
    <t>ROYALL PEGGY M</t>
  </si>
  <si>
    <t>106 SYCAMORE COMMONS LANE</t>
  </si>
  <si>
    <t>G800000062</t>
  </si>
  <si>
    <t>PHILLIPS GREGORY DELL</t>
  </si>
  <si>
    <t>261 PEBBLESTONE CT</t>
  </si>
  <si>
    <t>E8170A0694</t>
  </si>
  <si>
    <t>SASSO LAURENCE ANTHONY</t>
  </si>
  <si>
    <t>SAINTSING MARTHA LYNNE</t>
  </si>
  <si>
    <t>122 LEGACY VILLAGE DRIVE</t>
  </si>
  <si>
    <t>M400000074</t>
  </si>
  <si>
    <t>JOCKEY INTERNATIONAL INC</t>
  </si>
  <si>
    <t>2300 60TH STREET</t>
  </si>
  <si>
    <t>PO BOX 1417</t>
  </si>
  <si>
    <t>KENOSHA</t>
  </si>
  <si>
    <t>53141-1417</t>
  </si>
  <si>
    <t>E60000000303</t>
  </si>
  <si>
    <t>LEIGHTON STEPHEN LESHER</t>
  </si>
  <si>
    <t>LEIGHTON DEBORAH GREGORY</t>
  </si>
  <si>
    <t>174 BATH LANE</t>
  </si>
  <si>
    <t>K20000001301</t>
  </si>
  <si>
    <t>LEE ROBERT WALTER</t>
  </si>
  <si>
    <t>LEE JUDY LYNN</t>
  </si>
  <si>
    <t>920 RIDGE ROAD</t>
  </si>
  <si>
    <t>I100000011</t>
  </si>
  <si>
    <t>GILCHRIST ELEANOR</t>
  </si>
  <si>
    <t>4400 CENTRE AVENUE APT 4 I</t>
  </si>
  <si>
    <t>PITTSBURGH</t>
  </si>
  <si>
    <t>15213-0000</t>
  </si>
  <si>
    <t>G4080A0032</t>
  </si>
  <si>
    <t>DAVIS BOBBY G</t>
  </si>
  <si>
    <t>DAVIS PAMELA J</t>
  </si>
  <si>
    <t>347 CANA ROAD</t>
  </si>
  <si>
    <t>C8010A0260</t>
  </si>
  <si>
    <t>EUBANKS DEBORAH A</t>
  </si>
  <si>
    <t>141 N FIELD DR</t>
  </si>
  <si>
    <t>I700000001</t>
  </si>
  <si>
    <t>PEDDYCORD MELODY M</t>
  </si>
  <si>
    <t>PEDDYCORD STEPHEN M</t>
  </si>
  <si>
    <t>385 WILLIAMS ROAD</t>
  </si>
  <si>
    <t>I50000000203</t>
  </si>
  <si>
    <t>LAGLE STEVEN ANDREW</t>
  </si>
  <si>
    <t>LAGLE CANDACE GREEN</t>
  </si>
  <si>
    <t>G90000001308</t>
  </si>
  <si>
    <t>BALDWIN GARY P</t>
  </si>
  <si>
    <t>BALDWIN CYNTHIA S</t>
  </si>
  <si>
    <t>1218 PEOPLES CREEK ROAD</t>
  </si>
  <si>
    <t>J4120A0017</t>
  </si>
  <si>
    <t>HARRIS FAMILY HOLDINGS LLC</t>
  </si>
  <si>
    <t>J4120A0011</t>
  </si>
  <si>
    <t>J4120A0016</t>
  </si>
  <si>
    <t>J4120A0007</t>
  </si>
  <si>
    <t>L60000001201</t>
  </si>
  <si>
    <t>HARRIS JOSEPH C</t>
  </si>
  <si>
    <t>HARRIS DEBORAH J</t>
  </si>
  <si>
    <t>J4140B0015</t>
  </si>
  <si>
    <t>J4140B0016</t>
  </si>
  <si>
    <t>J4140B0017</t>
  </si>
  <si>
    <t>C70000008906</t>
  </si>
  <si>
    <t>ATKINS JAMES</t>
  </si>
  <si>
    <t>ATKINS JILL</t>
  </si>
  <si>
    <t>L60000004101</t>
  </si>
  <si>
    <t>CROTTS DAVID B</t>
  </si>
  <si>
    <t>CROTTS DIANE A</t>
  </si>
  <si>
    <t>164 GUMBERRY LANE</t>
  </si>
  <si>
    <t>27028-5305</t>
  </si>
  <si>
    <t>L60000004105</t>
  </si>
  <si>
    <t>I400000065</t>
  </si>
  <si>
    <t>ABBATTOIR PROPERTIES LLC</t>
  </si>
  <si>
    <t>J5010D0040</t>
  </si>
  <si>
    <t>XIAOYING XUE</t>
  </si>
  <si>
    <t>330 S SALISBURY ST</t>
  </si>
  <si>
    <t>F200000023  A</t>
  </si>
  <si>
    <t>SMITH KIMBERLEY CRAWFORD</t>
  </si>
  <si>
    <t>J4060D0001</t>
  </si>
  <si>
    <t>MCFARLAND RICHARD</t>
  </si>
  <si>
    <t>MCFARLAND ANGELA</t>
  </si>
  <si>
    <t>148 BEECHWOOD DR</t>
  </si>
  <si>
    <t>J4040E0019</t>
  </si>
  <si>
    <t>HENDRICKS IRENE S</t>
  </si>
  <si>
    <t>191 FORREST LANE</t>
  </si>
  <si>
    <t>G700000105</t>
  </si>
  <si>
    <t>CORNATZER THOMAS MANUEL</t>
  </si>
  <si>
    <t>1700 FORK BIXBY ROAD</t>
  </si>
  <si>
    <t>G4080A0007</t>
  </si>
  <si>
    <t>SANDERS KYLE CHASE</t>
  </si>
  <si>
    <t>C8010C0008</t>
  </si>
  <si>
    <t>CALLAHAN JAMES F</t>
  </si>
  <si>
    <t>CALLAHAN CHRISTINE L</t>
  </si>
  <si>
    <t>137 LAKESIDE CROSSING</t>
  </si>
  <si>
    <t>E7130A0008</t>
  </si>
  <si>
    <t>BALL JACKIE R</t>
  </si>
  <si>
    <t>BALL JUDY D</t>
  </si>
  <si>
    <t>112 SOMERSET COURT</t>
  </si>
  <si>
    <t>D8090B0008</t>
  </si>
  <si>
    <t>HURDLE BENJAMIN T</t>
  </si>
  <si>
    <t>HURDLE BARBARA L</t>
  </si>
  <si>
    <t>869 RIVERBEND DRIVE</t>
  </si>
  <si>
    <t>G4080A0008</t>
  </si>
  <si>
    <t>D8030A0021</t>
  </si>
  <si>
    <t>ROCKAWAY JAMES F</t>
  </si>
  <si>
    <t>ROCKAWAY BONNIE R</t>
  </si>
  <si>
    <t>257 RIVERBEND DRIVE</t>
  </si>
  <si>
    <t>D9050B0016</t>
  </si>
  <si>
    <t>MCFERSON VERNE MARIE</t>
  </si>
  <si>
    <t>3321 BERMUDA VLG DR</t>
  </si>
  <si>
    <t>D80000002203</t>
  </si>
  <si>
    <t>DAVIE PROPERTIES INC</t>
  </si>
  <si>
    <t>M60000005003</t>
  </si>
  <si>
    <t>HUFFMAN RUFUS CHARLES</t>
  </si>
  <si>
    <t>HUFFMAN JOANN B</t>
  </si>
  <si>
    <t>290 HARTLEY ROAD</t>
  </si>
  <si>
    <t>D9090D0017</t>
  </si>
  <si>
    <t>CUNDIFF CALVIN B</t>
  </si>
  <si>
    <t>CUNDIFF LINDA A</t>
  </si>
  <si>
    <t>337 HOLLYBROOK DR</t>
  </si>
  <si>
    <t>C7130A0008</t>
  </si>
  <si>
    <t>MICKLES DEBORAH ROBERTSON</t>
  </si>
  <si>
    <t>146 MCGEE COURT</t>
  </si>
  <si>
    <t>E9150B0104</t>
  </si>
  <si>
    <t>HOLDGRAFER WILLIAM J</t>
  </si>
  <si>
    <t>CHAPMAN MARJORIE C</t>
  </si>
  <si>
    <t>337 ORCHARD PARK DRIVE</t>
  </si>
  <si>
    <t>L400000048</t>
  </si>
  <si>
    <t>BOYCE NORA</t>
  </si>
  <si>
    <t>160 RIVER DRIVE</t>
  </si>
  <si>
    <t>D800000011</t>
  </si>
  <si>
    <t>N5110A0002</t>
  </si>
  <si>
    <t>OWENS CHARLES RAY</t>
  </si>
  <si>
    <t>306 CONCORD DR</t>
  </si>
  <si>
    <t>27320-0554</t>
  </si>
  <si>
    <t>F10000004806</t>
  </si>
  <si>
    <t>SPRY ALAN DAVID</t>
  </si>
  <si>
    <t>1688 COUNTY LINE RD</t>
  </si>
  <si>
    <t>E900000344</t>
  </si>
  <si>
    <t>NICOLAY KAREN J</t>
  </si>
  <si>
    <t>517 OAK VALLEY BLVD</t>
  </si>
  <si>
    <t>E800000099</t>
  </si>
  <si>
    <t>HOLLAND RALPH</t>
  </si>
  <si>
    <t>HOLLAND RENAI S</t>
  </si>
  <si>
    <t>270 HIDDEN CREEK DRIVE</t>
  </si>
  <si>
    <t>I5020B0026</t>
  </si>
  <si>
    <t>LLOYD KAY P</t>
  </si>
  <si>
    <t>123 CROWE ST</t>
  </si>
  <si>
    <t>27028-2710</t>
  </si>
  <si>
    <t>F800000093</t>
  </si>
  <si>
    <t>KNIGHT ZACHARY</t>
  </si>
  <si>
    <t>KNIGHT MICHELLE</t>
  </si>
  <si>
    <t>1608 NC HWY 801 S</t>
  </si>
  <si>
    <t>F800000095</t>
  </si>
  <si>
    <t>G8060A0002</t>
  </si>
  <si>
    <t>PARKER WILLIAM KENT</t>
  </si>
  <si>
    <t>PARKER TAMARA R</t>
  </si>
  <si>
    <t>PO BOX 306</t>
  </si>
  <si>
    <t>F90000002402</t>
  </si>
  <si>
    <t>VOGLER REBECCA MAE</t>
  </si>
  <si>
    <t>JOHNSTON DONNA LOUISE</t>
  </si>
  <si>
    <t>322 VOGLER RD</t>
  </si>
  <si>
    <t>O600000013</t>
  </si>
  <si>
    <t>CHUNN BEAULAH ESTATE</t>
  </si>
  <si>
    <t>4022 W ELROD AVE</t>
  </si>
  <si>
    <t>33616-1610</t>
  </si>
  <si>
    <t>D700000019</t>
  </si>
  <si>
    <t>PLOTT JAMES DAVID ETAL</t>
  </si>
  <si>
    <t>303 GORDON DRIVE</t>
  </si>
  <si>
    <t>H400000130</t>
  </si>
  <si>
    <t>WOODWARD GEORGE STEVEN</t>
  </si>
  <si>
    <t>124 ROBINHOOD LOOP</t>
  </si>
  <si>
    <t>28625-1932</t>
  </si>
  <si>
    <t>D8070D0029</t>
  </si>
  <si>
    <t>WILKINS WILLIAM G SR</t>
  </si>
  <si>
    <t>184 FAIRWAY DR</t>
  </si>
  <si>
    <t>J50000004701</t>
  </si>
  <si>
    <t>TREXLER ISAIAH MATTHEW</t>
  </si>
  <si>
    <t>TREXLER LINDA MARIE</t>
  </si>
  <si>
    <t>27293-1921</t>
  </si>
  <si>
    <t>N700000003</t>
  </si>
  <si>
    <t>CRUMP FAMILY GRAVEYARD</t>
  </si>
  <si>
    <t>C700000161</t>
  </si>
  <si>
    <t>HINES SEAN H</t>
  </si>
  <si>
    <t>HINES KELLY M</t>
  </si>
  <si>
    <t>110 DOUBLE A TRL</t>
  </si>
  <si>
    <t>I4010A0057</t>
  </si>
  <si>
    <t>FALGOUT FRED A</t>
  </si>
  <si>
    <t>FALGOUT CYNTHIA C</t>
  </si>
  <si>
    <t>163 N WENTWORTH DR</t>
  </si>
  <si>
    <t>J60000000901</t>
  </si>
  <si>
    <t>SAIN ROGER</t>
  </si>
  <si>
    <t>274 CALL ROAD</t>
  </si>
  <si>
    <t>O600000022</t>
  </si>
  <si>
    <t>D700000009</t>
  </si>
  <si>
    <t>106 IDLEWILD RD</t>
  </si>
  <si>
    <t>I600000086</t>
  </si>
  <si>
    <t>BOGER STEVEN KYLE</t>
  </si>
  <si>
    <t>177 HOMER POTTS RD</t>
  </si>
  <si>
    <t>27028-7229</t>
  </si>
  <si>
    <t>I600000067</t>
  </si>
  <si>
    <t>I600000068</t>
  </si>
  <si>
    <t>D500000006</t>
  </si>
  <si>
    <t>HEDRICK MICHAEL D</t>
  </si>
  <si>
    <t>HEDRICK LINDA L</t>
  </si>
  <si>
    <t>138 FAWN LN</t>
  </si>
  <si>
    <t>27028-6212</t>
  </si>
  <si>
    <t>E8110C0007</t>
  </si>
  <si>
    <t>BEHR REVOCABLE LIV TRUST</t>
  </si>
  <si>
    <t>16405 SE DEER MEADOW LOOP</t>
  </si>
  <si>
    <t>97089-8978</t>
  </si>
  <si>
    <t>F40000005104</t>
  </si>
  <si>
    <t>MOUSAVI SEYED ALI</t>
  </si>
  <si>
    <t>SERGEANT SUSAN</t>
  </si>
  <si>
    <t>1060 ANGELL RD</t>
  </si>
  <si>
    <t>27028-5614</t>
  </si>
  <si>
    <t>L5100A0014</t>
  </si>
  <si>
    <t>DRIVER TONY DEAN</t>
  </si>
  <si>
    <t>2214 US HWY 601 SOUTH</t>
  </si>
  <si>
    <t>D600000080</t>
  </si>
  <si>
    <t>FERRELL GARRETT J</t>
  </si>
  <si>
    <t>330 HILTON RD</t>
  </si>
  <si>
    <t>J5160C0005</t>
  </si>
  <si>
    <t>YANG VICHAI</t>
  </si>
  <si>
    <t>YANG LISA VANG</t>
  </si>
  <si>
    <t>205 RANDOM RD</t>
  </si>
  <si>
    <t>I50000003401</t>
  </si>
  <si>
    <t>BLONDIE PRICE INC</t>
  </si>
  <si>
    <t>193 SONATA DR</t>
  </si>
  <si>
    <t>27023-9540</t>
  </si>
  <si>
    <t>L400000047</t>
  </si>
  <si>
    <t>PHILLIPPE LUCAS PAUL-BRIGMAN</t>
  </si>
  <si>
    <t>SOKOLIK AMANDA JEAN</t>
  </si>
  <si>
    <t>1135 DANIEL RD</t>
  </si>
  <si>
    <t>I300000007</t>
  </si>
  <si>
    <t>MCDANIEL GRADY MICHAEL</t>
  </si>
  <si>
    <t>MCDANIEL JESSICA B</t>
  </si>
  <si>
    <t>343 GODBEY RD</t>
  </si>
  <si>
    <t>27028-8237</t>
  </si>
  <si>
    <t>I30000000701</t>
  </si>
  <si>
    <t>JACOBSEN KAREN</t>
  </si>
  <si>
    <t>3100 HICKORY RIDGE DR</t>
  </si>
  <si>
    <t>27127-4947</t>
  </si>
  <si>
    <t>I30000000702</t>
  </si>
  <si>
    <t>MCDANIEL JEFFERY MARK</t>
  </si>
  <si>
    <t>MCDANIEL JEANNE MICHELLE</t>
  </si>
  <si>
    <t>10110 BRINGLE FERRY RD</t>
  </si>
  <si>
    <t>28146-9563</t>
  </si>
  <si>
    <t>I300000005</t>
  </si>
  <si>
    <t>E900000099</t>
  </si>
  <si>
    <t>MYERS DAVID BRADFORD II</t>
  </si>
  <si>
    <t>MYERS TATUM SNOW</t>
  </si>
  <si>
    <t>168 KESWICK DR</t>
  </si>
  <si>
    <t>C60000010008</t>
  </si>
  <si>
    <t>D60000007901</t>
  </si>
  <si>
    <t>D60000007902</t>
  </si>
  <si>
    <t>I4110B0004</t>
  </si>
  <si>
    <t>BUCKEYE PINE LLC</t>
  </si>
  <si>
    <t>635 WILKESBORO ST</t>
  </si>
  <si>
    <t>D8080A001002</t>
  </si>
  <si>
    <t>J20000000204</t>
  </si>
  <si>
    <t>HELMUTH RALPH</t>
  </si>
  <si>
    <t>HELMUTH HEATHER</t>
  </si>
  <si>
    <t>2200 DAVIE ACADEMY RD</t>
  </si>
  <si>
    <t>B10000000804</t>
  </si>
  <si>
    <t>PENA JEANETTE</t>
  </si>
  <si>
    <t>G8130A000502</t>
  </si>
  <si>
    <t>WOLFE ANGELA LYNN</t>
  </si>
  <si>
    <t>WOLFE SHONNIE WILLIAM</t>
  </si>
  <si>
    <t>2218 NC HIGHWAY 801 S</t>
  </si>
  <si>
    <t>C200000036</t>
  </si>
  <si>
    <t>GREEN JAMES DOUGLAS</t>
  </si>
  <si>
    <t>840 JACK BOOE RD</t>
  </si>
  <si>
    <t>C20000003801</t>
  </si>
  <si>
    <t>J5010D0111</t>
  </si>
  <si>
    <t>ZDENEK TROY</t>
  </si>
  <si>
    <t>ZDENEK LINDA</t>
  </si>
  <si>
    <t>180 CHARLESTON MEADOW LOOP</t>
  </si>
  <si>
    <t>J5050B0009</t>
  </si>
  <si>
    <t>FABBRINI ERIC DONALD</t>
  </si>
  <si>
    <t>FABBRINI JAILENE</t>
  </si>
  <si>
    <t>216 CARRIAGE COVE CIR</t>
  </si>
  <si>
    <t>D8100B0022</t>
  </si>
  <si>
    <t>TKJK RIVERS TRUST</t>
  </si>
  <si>
    <t>578 RIVERBEND DR</t>
  </si>
  <si>
    <t>B10000000801</t>
  </si>
  <si>
    <t>J4050B0006</t>
  </si>
  <si>
    <t>MYERS MOLLY</t>
  </si>
  <si>
    <t>642 S SALISBURY ST</t>
  </si>
  <si>
    <t>D9010C0017</t>
  </si>
  <si>
    <t>UGGIANO DAVID</t>
  </si>
  <si>
    <t>UGGIANO TERESA</t>
  </si>
  <si>
    <t>153 SAINT GEORGE PL</t>
  </si>
  <si>
    <t>B700000021</t>
  </si>
  <si>
    <t>HUTCHINS JOSEPH</t>
  </si>
  <si>
    <t>27006-0264</t>
  </si>
  <si>
    <t>J5010D0116</t>
  </si>
  <si>
    <t>VAN LENTE MICHAEL</t>
  </si>
  <si>
    <t>VAN LENTE AMARA D</t>
  </si>
  <si>
    <t>156 CHARLESTON MEADOW LOOP</t>
  </si>
  <si>
    <t>J400000057</t>
  </si>
  <si>
    <t>SOLIS EUSEBIO</t>
  </si>
  <si>
    <t>128 TOWERY RD</t>
  </si>
  <si>
    <t>J5050B0006</t>
  </si>
  <si>
    <t>COX MICHAEL EUGENE</t>
  </si>
  <si>
    <t>COX HEIDI ANN</t>
  </si>
  <si>
    <t>228 CARRIAGE COVE CIR</t>
  </si>
  <si>
    <t>F100000003</t>
  </si>
  <si>
    <t>PENNINGTON ZACHARY COLE</t>
  </si>
  <si>
    <t>MINCEY HANNAH KAITLYN</t>
  </si>
  <si>
    <t>202 BURLER ST</t>
  </si>
  <si>
    <t>27292-1286</t>
  </si>
  <si>
    <t>E500000024</t>
  </si>
  <si>
    <t>ZACHARY TROY AUSTIN</t>
  </si>
  <si>
    <t>ZACHARY BRITTANI MICHELLE</t>
  </si>
  <si>
    <t>701 FARMINGTON RD</t>
  </si>
  <si>
    <t>27028-7666</t>
  </si>
  <si>
    <t>J4040G0005</t>
  </si>
  <si>
    <t>ZINK RUTH HARTMAN</t>
  </si>
  <si>
    <t>J5050B0005</t>
  </si>
  <si>
    <t>TAYLOR CURTIS</t>
  </si>
  <si>
    <t>232 CARRIAGE COVE CIR</t>
  </si>
  <si>
    <t>D60000000402</t>
  </si>
  <si>
    <t>BLAKE WESLEY WILLIAM</t>
  </si>
  <si>
    <t>426 BOBBIT RD</t>
  </si>
  <si>
    <t>27006-6605</t>
  </si>
  <si>
    <t>J5050B0044</t>
  </si>
  <si>
    <t>NEEXT INC</t>
  </si>
  <si>
    <t>3410 98TH ST # 4-168</t>
  </si>
  <si>
    <t>LUBBOCK</t>
  </si>
  <si>
    <t>79423-3847</t>
  </si>
  <si>
    <t>C500000034</t>
  </si>
  <si>
    <t>FARMINGTON METHODIST CHURCH</t>
  </si>
  <si>
    <t>1939 FARMINGTON RD</t>
  </si>
  <si>
    <t>C500000033</t>
  </si>
  <si>
    <t>C50000003108</t>
  </si>
  <si>
    <t>H9070A0003</t>
  </si>
  <si>
    <t>JIMINEZ DONINGO RIVERA</t>
  </si>
  <si>
    <t>135 DUBLIN RD</t>
  </si>
  <si>
    <t>I4130A000208</t>
  </si>
  <si>
    <t>MILLER TRACY R</t>
  </si>
  <si>
    <t>160 GWYN ST</t>
  </si>
  <si>
    <t>G70000013909</t>
  </si>
  <si>
    <t>DOWNEY WALTER LEE</t>
  </si>
  <si>
    <t>DOWNEY SHERRI C</t>
  </si>
  <si>
    <t>369 BRIDLE LN</t>
  </si>
  <si>
    <t>H300000059</t>
  </si>
  <si>
    <t>ROBERTSON EDWIN P</t>
  </si>
  <si>
    <t>ROBERTSON JENNIFER S</t>
  </si>
  <si>
    <t>2026 US HIGHWAY 64 W</t>
  </si>
  <si>
    <t>K400000012</t>
  </si>
  <si>
    <t>RUSSELL GAVIN</t>
  </si>
  <si>
    <t>184 FEEZOR RD</t>
  </si>
  <si>
    <t>27028-4149</t>
  </si>
  <si>
    <t>J5010D0117</t>
  </si>
  <si>
    <t>GRAVES SHEREE</t>
  </si>
  <si>
    <t>150 CHARLESTON MEADOW LOOP</t>
  </si>
  <si>
    <t>E900000292</t>
  </si>
  <si>
    <t>MCDANIEL LYNN ANN</t>
  </si>
  <si>
    <t>139 SAWGRASS DR</t>
  </si>
  <si>
    <t>D7070A0006</t>
  </si>
  <si>
    <t>FISHER RUSS</t>
  </si>
  <si>
    <t>FISHER MADISON</t>
  </si>
  <si>
    <t>173 GINNY LN</t>
  </si>
  <si>
    <t>27006-6613</t>
  </si>
  <si>
    <t>I70000006403</t>
  </si>
  <si>
    <t>WARD ADAM T</t>
  </si>
  <si>
    <t>WARD COURTNEY</t>
  </si>
  <si>
    <t>K700000054</t>
  </si>
  <si>
    <t>NAYDER BARBARA</t>
  </si>
  <si>
    <t>4642 NC HIGHWAY 801 S</t>
  </si>
  <si>
    <t>27006-7123</t>
  </si>
  <si>
    <t>D500000002</t>
  </si>
  <si>
    <t>IRISH YARD BIRD LLC</t>
  </si>
  <si>
    <t>16606 FLYING JIB RD</t>
  </si>
  <si>
    <t>28031-7787</t>
  </si>
  <si>
    <t>J5010D0119</t>
  </si>
  <si>
    <t>MINTON ROSE MARY</t>
  </si>
  <si>
    <t>MINTON CHRISTOPHER RYAN</t>
  </si>
  <si>
    <t>142 CHARLESTON MEADOW LOOP</t>
  </si>
  <si>
    <t>H500000208</t>
  </si>
  <si>
    <t>SCHOLZ ERIC C</t>
  </si>
  <si>
    <t>SCHOLZ CINDY F</t>
  </si>
  <si>
    <t>219 FARMLAND RD</t>
  </si>
  <si>
    <t>D8100C000205</t>
  </si>
  <si>
    <t>BROWN CLAUDIA DENISE</t>
  </si>
  <si>
    <t>535 RIVERBEND DR</t>
  </si>
  <si>
    <t>H30000005901</t>
  </si>
  <si>
    <t>I100000031</t>
  </si>
  <si>
    <t>TOWELL JEANNIE ROSSMAN</t>
  </si>
  <si>
    <t>408 STROUD MILL RD</t>
  </si>
  <si>
    <t>J10000000101</t>
  </si>
  <si>
    <t>J5010D0098</t>
  </si>
  <si>
    <t>BURKE WANDA T</t>
  </si>
  <si>
    <t>240 WINDING CREEK RD</t>
  </si>
  <si>
    <t>D20000003817</t>
  </si>
  <si>
    <t>ROMANO ALYSSA MARIE</t>
  </si>
  <si>
    <t>RECTOR NATHANIEL RYAN</t>
  </si>
  <si>
    <t>1259 LIBERTY CHURCH RD</t>
  </si>
  <si>
    <t>27028-5837</t>
  </si>
  <si>
    <t>I5110C0005</t>
  </si>
  <si>
    <t>KNIAZEW PETER</t>
  </si>
  <si>
    <t>134 WINDWARD CIR</t>
  </si>
  <si>
    <t>I5050C0003</t>
  </si>
  <si>
    <t>ALUME GABRIEL</t>
  </si>
  <si>
    <t>ALUME JACQUELINE</t>
  </si>
  <si>
    <t>115 HALEY CT</t>
  </si>
  <si>
    <t>27028-2968</t>
  </si>
  <si>
    <t>F8020A0022</t>
  </si>
  <si>
    <t>LEWIS ROBERT W</t>
  </si>
  <si>
    <t>LEWIS CHRISTY R</t>
  </si>
  <si>
    <t>167 HIGH MEADOWS RD</t>
  </si>
  <si>
    <t>C600000038</t>
  </si>
  <si>
    <t>310 SPILLMAN RD</t>
  </si>
  <si>
    <t>C60000004302</t>
  </si>
  <si>
    <t>C600000037</t>
  </si>
  <si>
    <t>J5010D0120</t>
  </si>
  <si>
    <t>SILVA JOHEIRY NATHALY GONZALEZ</t>
  </si>
  <si>
    <t>HERNANDEZ NEGRON</t>
  </si>
  <si>
    <t>136 CHARLESTON MEADOW LOOP</t>
  </si>
  <si>
    <t>K5040A0002</t>
  </si>
  <si>
    <t>PADGETT DAVID C</t>
  </si>
  <si>
    <t>PADGETT KAYE C</t>
  </si>
  <si>
    <t>728 DEADMON RD</t>
  </si>
  <si>
    <t>D7080A0007</t>
  </si>
  <si>
    <t>DODD JACK A</t>
  </si>
  <si>
    <t>FAGGE OLIVIA</t>
  </si>
  <si>
    <t>153 LONGWOOD DR</t>
  </si>
  <si>
    <t>D300000051</t>
  </si>
  <si>
    <t>924 COCHRAN ST</t>
  </si>
  <si>
    <t>28677-5655</t>
  </si>
  <si>
    <t>I5050C0008</t>
  </si>
  <si>
    <t>RAMIREZ KRISTINA</t>
  </si>
  <si>
    <t>RAMIREZ JOSEPH A</t>
  </si>
  <si>
    <t>684 WHITNEY RD</t>
  </si>
  <si>
    <t>J7010A001701</t>
  </si>
  <si>
    <t>135 DELLWOOD LN</t>
  </si>
  <si>
    <t>27006-7215</t>
  </si>
  <si>
    <t>D8080C0002</t>
  </si>
  <si>
    <t>CRANFILL &amp; GRUBB INVESTMENTS LLC</t>
  </si>
  <si>
    <t>5346 US HIGHWAY 158</t>
  </si>
  <si>
    <t>27006-6907</t>
  </si>
  <si>
    <t>D9010E0028</t>
  </si>
  <si>
    <t>CASEY DENNIS R II</t>
  </si>
  <si>
    <t>307 BING CROSBY BLVD</t>
  </si>
  <si>
    <t>E70000006702</t>
  </si>
  <si>
    <t>245 JUNEY BEAUCHAMP RD</t>
  </si>
  <si>
    <t>M5160C0011</t>
  </si>
  <si>
    <t>BAILEY VICTORIA</t>
  </si>
  <si>
    <t>27014-0116</t>
  </si>
  <si>
    <t>E900000627</t>
  </si>
  <si>
    <t>119 S NIBLICK CT</t>
  </si>
  <si>
    <t>K100000002</t>
  </si>
  <si>
    <t>LEAZER HEATHER G</t>
  </si>
  <si>
    <t>LEAZER GREGORY S</t>
  </si>
  <si>
    <t>303 MIDWAY DR</t>
  </si>
  <si>
    <t>28625-1469</t>
  </si>
  <si>
    <t>I5050C0007</t>
  </si>
  <si>
    <t>STANLEY CONNER</t>
  </si>
  <si>
    <t>106 HALEY CT</t>
  </si>
  <si>
    <t>E9150B0142</t>
  </si>
  <si>
    <t>HAYS JULIANNE R</t>
  </si>
  <si>
    <t>110 BRIDGEWOOD LN</t>
  </si>
  <si>
    <t>I5050B0054</t>
  </si>
  <si>
    <t>PEREZ ANTONIO CESAR GRANADILLO</t>
  </si>
  <si>
    <t>CORDERO MARIA GONZALEZ</t>
  </si>
  <si>
    <t>127 BROOKVIEW CT</t>
  </si>
  <si>
    <t>27028-2970</t>
  </si>
  <si>
    <t>J5010D0109</t>
  </si>
  <si>
    <t>STOUT TONYA</t>
  </si>
  <si>
    <t>STOUT PATRICK</t>
  </si>
  <si>
    <t>188 CHARLESTON MEADOW LOOP</t>
  </si>
  <si>
    <t>M5070A0042</t>
  </si>
  <si>
    <t>DINNOO NADIA RISHMA</t>
  </si>
  <si>
    <t>7394 NC HIGHWAY 801 S</t>
  </si>
  <si>
    <t>E9150B0070</t>
  </si>
  <si>
    <t>POINDEXTER SYLVIA B</t>
  </si>
  <si>
    <t>125 SYCAMORE PARK LN</t>
  </si>
  <si>
    <t>H50000005301</t>
  </si>
  <si>
    <t>MILLER JAMES ROSS</t>
  </si>
  <si>
    <t>MILLER JENNIFER MARIE</t>
  </si>
  <si>
    <t>556 SAIN RD</t>
  </si>
  <si>
    <t>J5040A0004</t>
  </si>
  <si>
    <t>HARRILL ROBIN RAY</t>
  </si>
  <si>
    <t>HARRILL NANCY DIANNE</t>
  </si>
  <si>
    <t>412 E LAKE DR</t>
  </si>
  <si>
    <t>I100000027</t>
  </si>
  <si>
    <t>MAR ACQUISITIONS LLC</t>
  </si>
  <si>
    <t>CARTNER RICHARD N &amp;CLENDENIN T</t>
  </si>
  <si>
    <t>28687-0111</t>
  </si>
  <si>
    <t>E60000003802</t>
  </si>
  <si>
    <t>124 RAINBOW RD</t>
  </si>
  <si>
    <t>E600000038</t>
  </si>
  <si>
    <t>J600000084</t>
  </si>
  <si>
    <t>CHAFFIN CANDIS CARTER</t>
  </si>
  <si>
    <t>2010 US HIGHWAY 64 E</t>
  </si>
  <si>
    <t>H70000006701</t>
  </si>
  <si>
    <t>BLACKWELL BRYAN STEVEN</t>
  </si>
  <si>
    <t>183 BAILEYS CHAPEL RD</t>
  </si>
  <si>
    <t>27006-7175</t>
  </si>
  <si>
    <t>J60000007501</t>
  </si>
  <si>
    <t>JONES LORRI CHEREE</t>
  </si>
  <si>
    <t>J700000028</t>
  </si>
  <si>
    <t>GRIFFIN WINSTON</t>
  </si>
  <si>
    <t>STATON MILES C</t>
  </si>
  <si>
    <t>2504 WILPAR DR</t>
  </si>
  <si>
    <t>27406-9590</t>
  </si>
  <si>
    <t>J5010D0113</t>
  </si>
  <si>
    <t>DWIGGINS JONATHAN</t>
  </si>
  <si>
    <t>DWIGGINS SHELBY KARRIKER</t>
  </si>
  <si>
    <t>170 CHARLESTON MEADOW LOOP</t>
  </si>
  <si>
    <t>G30000000438</t>
  </si>
  <si>
    <t>KAMMUELLER DANIEL DAVID</t>
  </si>
  <si>
    <t>KAMMUELLER LATONYA S PICKROM</t>
  </si>
  <si>
    <t>214 CULLODEN DR</t>
  </si>
  <si>
    <t>J800000024</t>
  </si>
  <si>
    <t>YOUNG TRAVIS S</t>
  </si>
  <si>
    <t>YOUNG SARAH L</t>
  </si>
  <si>
    <t>H500000068</t>
  </si>
  <si>
    <t>FARREN KENT SHOAF FAMILY TRUST</t>
  </si>
  <si>
    <t>431 EATON RD</t>
  </si>
  <si>
    <t>C700000093</t>
  </si>
  <si>
    <t>SPAUGH DAVID WAYNE</t>
  </si>
  <si>
    <t>J7080B0033</t>
  </si>
  <si>
    <t>COON RICHARD &amp; VIRGINIA TRUST</t>
  </si>
  <si>
    <t>186 S HAZELWOOD DR</t>
  </si>
  <si>
    <t>H60000000207</t>
  </si>
  <si>
    <t>PHILLIPS CHARLES W AND SON INC</t>
  </si>
  <si>
    <t>119 PHILLIPS LANE</t>
  </si>
  <si>
    <t>ASCARLETT</t>
  </si>
  <si>
    <t>H60000000208</t>
  </si>
  <si>
    <t>H600000002</t>
  </si>
  <si>
    <t>C7140A0029</t>
  </si>
  <si>
    <t>BARNES MARYANN</t>
  </si>
  <si>
    <t>117 CANDLE LIGHT COURT</t>
  </si>
  <si>
    <t>N500000083</t>
  </si>
  <si>
    <t>PHELPS CANDI</t>
  </si>
  <si>
    <t>28677-5439</t>
  </si>
  <si>
    <t>J60000003601</t>
  </si>
  <si>
    <t>RAWSON BRADLEY RALPH JR</t>
  </si>
  <si>
    <t>232 DALTON RD</t>
  </si>
  <si>
    <t>E600000032</t>
  </si>
  <si>
    <t>THOMAS TANYA D</t>
  </si>
  <si>
    <t>PATRICK JEAN D</t>
  </si>
  <si>
    <t>2429 FIDDICH LN</t>
  </si>
  <si>
    <t>27526-5565</t>
  </si>
  <si>
    <t>E700000185</t>
  </si>
  <si>
    <t>ADVANCE PROPERTY GROUP LLC</t>
  </si>
  <si>
    <t>PO BOX 2043</t>
  </si>
  <si>
    <t>27006-2043</t>
  </si>
  <si>
    <t>H5150A0001</t>
  </si>
  <si>
    <t>J30000005201</t>
  </si>
  <si>
    <t>D40000003004</t>
  </si>
  <si>
    <t>PORTMAN SCOTT</t>
  </si>
  <si>
    <t>PORTMAN SHEA</t>
  </si>
  <si>
    <t>1803 CANA RD</t>
  </si>
  <si>
    <t>K500000007</t>
  </si>
  <si>
    <t>STEELE LILLIAN JANE</t>
  </si>
  <si>
    <t>1565 US HWY 601 SOUTH</t>
  </si>
  <si>
    <t>J300000044</t>
  </si>
  <si>
    <t>PENNELL JAMES W JR</t>
  </si>
  <si>
    <t>PENNELL JEWEL KING</t>
  </si>
  <si>
    <t>2800 OLD SALISBURY RD</t>
  </si>
  <si>
    <t>27127-7218</t>
  </si>
  <si>
    <t>M50000004701</t>
  </si>
  <si>
    <t>FEIMSTER JEFFERY S</t>
  </si>
  <si>
    <t>FEIMSTER PAMELA M</t>
  </si>
  <si>
    <t>270 HOBSON DRIVE</t>
  </si>
  <si>
    <t>C600000088  A</t>
  </si>
  <si>
    <t>MONTGOMERY ASHLYN H</t>
  </si>
  <si>
    <t>283 MCKNIGHT RD</t>
  </si>
  <si>
    <t>C60000009104</t>
  </si>
  <si>
    <t>B700000078</t>
  </si>
  <si>
    <t>BROWN JANIE LOU</t>
  </si>
  <si>
    <t>177 RALTON EUGENE TRL</t>
  </si>
  <si>
    <t>27006-8740</t>
  </si>
  <si>
    <t>N50000006801</t>
  </si>
  <si>
    <t>CONNELL BETTY T</t>
  </si>
  <si>
    <t>160 GREEN GRASS RD</t>
  </si>
  <si>
    <t>D600000023</t>
  </si>
  <si>
    <t>SPEAKS ROAD LLC</t>
  </si>
  <si>
    <t>I4120C002902</t>
  </si>
  <si>
    <t>FARRER ANNE J</t>
  </si>
  <si>
    <t>BURLEY CHARLES V</t>
  </si>
  <si>
    <t>202 W CHURCH ST</t>
  </si>
  <si>
    <t>D700000075</t>
  </si>
  <si>
    <t>HAWKINS DONALD DUANE JR</t>
  </si>
  <si>
    <t>HAWKINS SARAH ELISE</t>
  </si>
  <si>
    <t>1253 RAINBOW RD</t>
  </si>
  <si>
    <t>E900000159</t>
  </si>
  <si>
    <t>KHAN MAHAMMAD W</t>
  </si>
  <si>
    <t>717 SPINNING WHEEL PT</t>
  </si>
  <si>
    <t>27265-3452</t>
  </si>
  <si>
    <t>G70000006806</t>
  </si>
  <si>
    <t>FOLMAR SUE B</t>
  </si>
  <si>
    <t>1410 BALTIMORE RD</t>
  </si>
  <si>
    <t>F800000030</t>
  </si>
  <si>
    <t>1748 NC HIGHWAY 801 S</t>
  </si>
  <si>
    <t>F800000031</t>
  </si>
  <si>
    <t>K300000038</t>
  </si>
  <si>
    <t>HOLMAN HUBERT EUGENE ET AL</t>
  </si>
  <si>
    <t>GAITHER AGUSTA</t>
  </si>
  <si>
    <t>293 DAVIE ACADEMY ROAD</t>
  </si>
  <si>
    <t>F8020A0011</t>
  </si>
  <si>
    <t>BELL DAVID</t>
  </si>
  <si>
    <t>BELICH MEGAN</t>
  </si>
  <si>
    <t>146 WINDEMERE DR</t>
  </si>
  <si>
    <t>K40000000103</t>
  </si>
  <si>
    <t>EATON JUSTUS A</t>
  </si>
  <si>
    <t>EATON EMILY G</t>
  </si>
  <si>
    <t>549 JUNCTION RD</t>
  </si>
  <si>
    <t>I5010A0022</t>
  </si>
  <si>
    <t>SHETLER RYAN</t>
  </si>
  <si>
    <t>SHETLER ANNA</t>
  </si>
  <si>
    <t>161 HOLMAN ST</t>
  </si>
  <si>
    <t>D3010A0018</t>
  </si>
  <si>
    <t>144 HIGHLAND RD</t>
  </si>
  <si>
    <t>I4050A000201</t>
  </si>
  <si>
    <t>CRUZ JESUS SANTIBANEZ</t>
  </si>
  <si>
    <t>866 RIVER HILL RD</t>
  </si>
  <si>
    <t>28625-9112</t>
  </si>
  <si>
    <t>N600000046</t>
  </si>
  <si>
    <t>FAUST CRYSTAL N</t>
  </si>
  <si>
    <t>244 BOXWOOD CHURCH RD</t>
  </si>
  <si>
    <t>H4100A0007</t>
  </si>
  <si>
    <t>PATRICK JOHN</t>
  </si>
  <si>
    <t>PATRICK LINDA</t>
  </si>
  <si>
    <t>118 CARDINAL ST</t>
  </si>
  <si>
    <t>27028-8663</t>
  </si>
  <si>
    <t>M5070A0029</t>
  </si>
  <si>
    <t>IZQUIERDO ISIS</t>
  </si>
  <si>
    <t>138 SPRINGHILL DR</t>
  </si>
  <si>
    <t>C70000004701</t>
  </si>
  <si>
    <t>GSS OF NC LLC</t>
  </si>
  <si>
    <t>8822 CENTERGROVE PLACE CT</t>
  </si>
  <si>
    <t>27012-9382</t>
  </si>
  <si>
    <t>H40000008801</t>
  </si>
  <si>
    <t>TINDALL CONSULTING INC</t>
  </si>
  <si>
    <t>2800 GREENVILLE HWY</t>
  </si>
  <si>
    <t>FLAT ROCK</t>
  </si>
  <si>
    <t>28731-9585</t>
  </si>
  <si>
    <t>G60000009902</t>
  </si>
  <si>
    <t>GREEN KIRBY L</t>
  </si>
  <si>
    <t>N5010A0033</t>
  </si>
  <si>
    <t>DILLARD JAMES D</t>
  </si>
  <si>
    <t>I80000005402</t>
  </si>
  <si>
    <t>HUPP CHARLES DENNY ESTATE OF</t>
  </si>
  <si>
    <t>3099 NC HIGHWAY 801 S</t>
  </si>
  <si>
    <t>I4060A0001</t>
  </si>
  <si>
    <t>FOX MARGUERITES S TRUST</t>
  </si>
  <si>
    <t>J500000001</t>
  </si>
  <si>
    <t>B&amp;F MANUFACTURING COMPANY INC</t>
  </si>
  <si>
    <t>WAYPA HALEY H</t>
  </si>
  <si>
    <t>H400000099</t>
  </si>
  <si>
    <t>TFORCE PROPERTIES INC</t>
  </si>
  <si>
    <t>% TFI INTERNATONAL INC</t>
  </si>
  <si>
    <t>6600,ch St-Francois,suite 100</t>
  </si>
  <si>
    <t>Saint-Laurent, Quebec H4S 1B7</t>
  </si>
  <si>
    <t>E900000641</t>
  </si>
  <si>
    <t>VOGEL WILLIAM</t>
  </si>
  <si>
    <t>VOGEL JUDITH</t>
  </si>
  <si>
    <t>117 NORTH NIBLICK</t>
  </si>
  <si>
    <t>N50000001401</t>
  </si>
  <si>
    <t>SHORE ANGELINE A</t>
  </si>
  <si>
    <t>PO BOX 1145</t>
  </si>
  <si>
    <t>27014-1145</t>
  </si>
  <si>
    <t>N500000017</t>
  </si>
  <si>
    <t>I5070A0001</t>
  </si>
  <si>
    <t>D500000061</t>
  </si>
  <si>
    <t>5112 CARTER ST</t>
  </si>
  <si>
    <t>27612-3466</t>
  </si>
  <si>
    <t>E300000007  A</t>
  </si>
  <si>
    <t>534 LIBERTY CHURCH RD</t>
  </si>
  <si>
    <t>E7140A0021</t>
  </si>
  <si>
    <t>AMH 2015-2 BORROWER LLC</t>
  </si>
  <si>
    <t>% AMERICAN HOMES 4 RENT</t>
  </si>
  <si>
    <t>ATTN:PROPERTY TAX DEPT</t>
  </si>
  <si>
    <t>H4130A0072</t>
  </si>
  <si>
    <t>C8010A0187</t>
  </si>
  <si>
    <t>E300000009</t>
  </si>
  <si>
    <t>PILCHER LISA MYERS</t>
  </si>
  <si>
    <t>437 LIBERTY CHURCH RD</t>
  </si>
  <si>
    <t>J5040A0016</t>
  </si>
  <si>
    <t>BOULANGER LEE J</t>
  </si>
  <si>
    <t>BOULANGER MARIA L</t>
  </si>
  <si>
    <t>120 CARRIE CIR</t>
  </si>
  <si>
    <t>27028-2637</t>
  </si>
  <si>
    <t>J5010D0118</t>
  </si>
  <si>
    <t>MINUS KIMBERLY</t>
  </si>
  <si>
    <t>146 CHARLESTON MEADOW LOOP</t>
  </si>
  <si>
    <t>C8010A0415</t>
  </si>
  <si>
    <t>THOMPSON MARK</t>
  </si>
  <si>
    <t>276 1ST AVE APT 8G</t>
  </si>
  <si>
    <t>10009-1824</t>
  </si>
  <si>
    <t>G50000010503</t>
  </si>
  <si>
    <t>CASSIDY JEFFREY THAD</t>
  </si>
  <si>
    <t>326 DEERFIELD DR</t>
  </si>
  <si>
    <t>B300000074</t>
  </si>
  <si>
    <t>CRAWFORD AMY</t>
  </si>
  <si>
    <t>4257 NC HIGHWAY 801 N</t>
  </si>
  <si>
    <t>J7080B0030</t>
  </si>
  <si>
    <t>STEWART BOBBY JOE</t>
  </si>
  <si>
    <t>STEWART ANGELIA HARMON</t>
  </si>
  <si>
    <t>173 S HAZELWOOD DR</t>
  </si>
  <si>
    <t>J4060A0009</t>
  </si>
  <si>
    <t>FULTON TARA D</t>
  </si>
  <si>
    <t>315 MAGNOLIA AVE</t>
  </si>
  <si>
    <t>E60000005302</t>
  </si>
  <si>
    <t>PECK WILLIAM MARK</t>
  </si>
  <si>
    <t>PECK KELLY A</t>
  </si>
  <si>
    <t>233 DARE LN</t>
  </si>
  <si>
    <t>27006-6800</t>
  </si>
  <si>
    <t>D9050B0007</t>
  </si>
  <si>
    <t>BUSH MARY E</t>
  </si>
  <si>
    <t>3322 BERMUDA VLG</t>
  </si>
  <si>
    <t>I400000072</t>
  </si>
  <si>
    <t>SPS REAL ESTATE HOLDING LLC</t>
  </si>
  <si>
    <t>27028-2518</t>
  </si>
  <si>
    <t>I5050B0057</t>
  </si>
  <si>
    <t>MARIN JUAN ANTONIO JR</t>
  </si>
  <si>
    <t>REYES ARIANA UDAVE</t>
  </si>
  <si>
    <t>118 BROOKVIEW CT</t>
  </si>
  <si>
    <t>E6040B0010</t>
  </si>
  <si>
    <t>KULLMAN JEFFREY MARTIN</t>
  </si>
  <si>
    <t>KULLMAN PATRICIA ANN</t>
  </si>
  <si>
    <t>222 SHALLOWBROOK DR</t>
  </si>
  <si>
    <t>E6040B0009</t>
  </si>
  <si>
    <t>O60000000702</t>
  </si>
  <si>
    <t>NARDONE HEATHER</t>
  </si>
  <si>
    <t>142 PETES LN</t>
  </si>
  <si>
    <t>B500000073</t>
  </si>
  <si>
    <t>DELPIANO NATALIA</t>
  </si>
  <si>
    <t>162 PINEVILLE RD</t>
  </si>
  <si>
    <t>I5160B0018</t>
  </si>
  <si>
    <t>BROWN ANDRIENNE ALYCE</t>
  </si>
  <si>
    <t>532 E LAKE DR</t>
  </si>
  <si>
    <t>I4140A0001</t>
  </si>
  <si>
    <t>NEWELL ALEXANDER</t>
  </si>
  <si>
    <t>NEWELL TAYLOR</t>
  </si>
  <si>
    <t>334 RIDGEVIEW DR</t>
  </si>
  <si>
    <t>27028-2064</t>
  </si>
  <si>
    <t>I5050C0009</t>
  </si>
  <si>
    <t>GRIMES SHANNON</t>
  </si>
  <si>
    <t>674 WHITNEY RD</t>
  </si>
  <si>
    <t>H5160A0025</t>
  </si>
  <si>
    <t>WILLIAMS ERIC PAUL</t>
  </si>
  <si>
    <t>WILLIAMS HEATHER LYNNE</t>
  </si>
  <si>
    <t>116 MEADOW RIDGE DR</t>
  </si>
  <si>
    <t>B50000001306</t>
  </si>
  <si>
    <t>HUTCHENS JARETTE A</t>
  </si>
  <si>
    <t>HUTCHENS KATHERINE E</t>
  </si>
  <si>
    <t>705 PINEVILLE RD</t>
  </si>
  <si>
    <t>27028-6245</t>
  </si>
  <si>
    <t>C8020A0012</t>
  </si>
  <si>
    <t>KINDERTON INN LLC</t>
  </si>
  <si>
    <t>101 WEST THIRD ST 5TH FLOOR</t>
  </si>
  <si>
    <t>WILLIAMSPORT</t>
  </si>
  <si>
    <t>17701-0000</t>
  </si>
  <si>
    <t>H9080A0025</t>
  </si>
  <si>
    <t>J5010D0004</t>
  </si>
  <si>
    <t>I4010A0030</t>
  </si>
  <si>
    <t>D9090D0005</t>
  </si>
  <si>
    <t>OAKES JOHN JOSEPH</t>
  </si>
  <si>
    <t>OAKES PATRICIA ANN</t>
  </si>
  <si>
    <t>122 BAYBERRY PL</t>
  </si>
  <si>
    <t>L5020A0028</t>
  </si>
  <si>
    <t>TURNER LUE ANN MURPH</t>
  </si>
  <si>
    <t>162 TWIN CEDARS GOLF RD</t>
  </si>
  <si>
    <t>J6100A0999</t>
  </si>
  <si>
    <t>VILLAS AT LAKE LOUISE PROPERTY OWNERS ASSO INC</t>
  </si>
  <si>
    <t>PO BOX 26844</t>
  </si>
  <si>
    <t>28221-6844</t>
  </si>
  <si>
    <t>J60000005431</t>
  </si>
  <si>
    <t>J60000005432</t>
  </si>
  <si>
    <t>F60000000901</t>
  </si>
  <si>
    <t>BRANNON DAWSON</t>
  </si>
  <si>
    <t>ROGERS AMBER</t>
  </si>
  <si>
    <t>3140 US HIGHWAY 158</t>
  </si>
  <si>
    <t>G8140A0006  A</t>
  </si>
  <si>
    <t>SMITH WILLIAM</t>
  </si>
  <si>
    <t>SMITH KATHRYN</t>
  </si>
  <si>
    <t>177 OLD HOMEPLACE DR</t>
  </si>
  <si>
    <t>G8140A0006</t>
  </si>
  <si>
    <t>J5050B0011</t>
  </si>
  <si>
    <t>BISCARDI KRISTIN FELICIA</t>
  </si>
  <si>
    <t>208 CARRIAGE COVE CIR</t>
  </si>
  <si>
    <t>J700000020</t>
  </si>
  <si>
    <t>EVERHART CORINNE V</t>
  </si>
  <si>
    <t>219 JOE RD</t>
  </si>
  <si>
    <t>I5050C0002</t>
  </si>
  <si>
    <t>OVERCASH MATTHEW JR</t>
  </si>
  <si>
    <t>113 HALEY CT</t>
  </si>
  <si>
    <t>J4060A0018</t>
  </si>
  <si>
    <t>ROTYLIANO DANIEL MICHAEL</t>
  </si>
  <si>
    <t>ROTYLIANO CHERYL ANNE M</t>
  </si>
  <si>
    <t>230 MAGNOLIA AVE</t>
  </si>
  <si>
    <t>C8010A0200</t>
  </si>
  <si>
    <t>CAIN DAVID CHARLES</t>
  </si>
  <si>
    <t>CAIN SUSAN LYONS</t>
  </si>
  <si>
    <t>106 BRIDGEWATER DR</t>
  </si>
  <si>
    <t>E8100A0015</t>
  </si>
  <si>
    <t>WINTERS ANDREA S ETAL</t>
  </si>
  <si>
    <t>JOHNSON ALLISON S</t>
  </si>
  <si>
    <t>1750 PEOPLES CREEK RD</t>
  </si>
  <si>
    <t>E8100A0016</t>
  </si>
  <si>
    <t>J4140A0005</t>
  </si>
  <si>
    <t>CARDEN TONY R</t>
  </si>
  <si>
    <t>222 NEW HAMPSHIRE CT</t>
  </si>
  <si>
    <t>M5090A0015  A</t>
  </si>
  <si>
    <t>263 VANZANT RD</t>
  </si>
  <si>
    <t>C50000003101</t>
  </si>
  <si>
    <t>RICHARDSON JOSHUA JAMES</t>
  </si>
  <si>
    <t>113 WYATT DR</t>
  </si>
  <si>
    <t>K60000000504</t>
  </si>
  <si>
    <t>MOCTEZUMA ALFREDO SANCHEZ</t>
  </si>
  <si>
    <t>AGUIRRE JULIA</t>
  </si>
  <si>
    <t>771 TURRENTINE CHURCH RD</t>
  </si>
  <si>
    <t>J4060A0003</t>
  </si>
  <si>
    <t>ULLREY LARRY</t>
  </si>
  <si>
    <t>ULLREY-MOW SABRINA</t>
  </si>
  <si>
    <t>344 MAGNOLIA AVE</t>
  </si>
  <si>
    <t>27028-2912</t>
  </si>
  <si>
    <t>C8010B0373</t>
  </si>
  <si>
    <t>MCKINNEY BARBARA</t>
  </si>
  <si>
    <t>MCKINNEY TERRY</t>
  </si>
  <si>
    <t>235 BIG OAK DR</t>
  </si>
  <si>
    <t>BUTLER</t>
  </si>
  <si>
    <t>37640-5035</t>
  </si>
  <si>
    <t>M4050B0005</t>
  </si>
  <si>
    <t>WALLER MARY ANN</t>
  </si>
  <si>
    <t>WALLER JARED A</t>
  </si>
  <si>
    <t>151 STONE WOOD RD</t>
  </si>
  <si>
    <t>F800000053</t>
  </si>
  <si>
    <t>DAVIS KYREE</t>
  </si>
  <si>
    <t>117 PEYTON PLACE LN</t>
  </si>
  <si>
    <t>27006-7662</t>
  </si>
  <si>
    <t>M5100B000301</t>
  </si>
  <si>
    <t>ELLIS KIMBERLY ANN</t>
  </si>
  <si>
    <t>240 SPRINGHILL DR</t>
  </si>
  <si>
    <t>H5170A0050</t>
  </si>
  <si>
    <t>TAYLOR JAMES</t>
  </si>
  <si>
    <t>TAYLOR LAURA</t>
  </si>
  <si>
    <t>126 ARBOR HILL AVE</t>
  </si>
  <si>
    <t>J5050B0010</t>
  </si>
  <si>
    <t>BOWMAN CAROLYN ELAINE</t>
  </si>
  <si>
    <t>212 CARRIAGE COVE CIR</t>
  </si>
  <si>
    <t>B30000005202</t>
  </si>
  <si>
    <t>DURHAM ROBERT SCOTT</t>
  </si>
  <si>
    <t>DURHAM TERESA K</t>
  </si>
  <si>
    <t>366 BLEVINS RD</t>
  </si>
  <si>
    <t>F4010A0007</t>
  </si>
  <si>
    <t>MICKIEWICZ MICHAEL A TRUSTEE</t>
  </si>
  <si>
    <t>MICKIEWICZ JACQUELINE ANNE</t>
  </si>
  <si>
    <t>202 SUMMERLYN DR</t>
  </si>
  <si>
    <t>J5040A0017</t>
  </si>
  <si>
    <t>FIORE THOMAS L</t>
  </si>
  <si>
    <t>FIORE BONNIE R</t>
  </si>
  <si>
    <t>108 CARRIE CIRCLE</t>
  </si>
  <si>
    <t>I5050A0024</t>
  </si>
  <si>
    <t>MCCLAMROCK LUCY SHAFFER</t>
  </si>
  <si>
    <t>586 MAIN CHURCH RD</t>
  </si>
  <si>
    <t>B50000004103</t>
  </si>
  <si>
    <t>BOGER HUNTER JACOB</t>
  </si>
  <si>
    <t>I6140A0041</t>
  </si>
  <si>
    <t>MILLER JEFFERY T II</t>
  </si>
  <si>
    <t>MILLER GLENDA B</t>
  </si>
  <si>
    <t>164 LAKEVIEW RD</t>
  </si>
  <si>
    <t>B500000012</t>
  </si>
  <si>
    <t>COLLINS SANDRA DIANE</t>
  </si>
  <si>
    <t>COLLINS BRUCE DARRELL</t>
  </si>
  <si>
    <t>750 WYO RD</t>
  </si>
  <si>
    <t>27028-6306</t>
  </si>
  <si>
    <t>O60000001101</t>
  </si>
  <si>
    <t>HOSCH PHYLLIS ANN</t>
  </si>
  <si>
    <t>144 HOSCH LANE</t>
  </si>
  <si>
    <t>J700000074</t>
  </si>
  <si>
    <t>MYERS JAMES RANDALL</t>
  </si>
  <si>
    <t>205 ARAMINTA DR</t>
  </si>
  <si>
    <t>27104-4604</t>
  </si>
  <si>
    <t>K70000004501</t>
  </si>
  <si>
    <t>E20000001905</t>
  </si>
  <si>
    <t>WHITTAKER MARK L</t>
  </si>
  <si>
    <t>21119 NORMAN SHORES DR</t>
  </si>
  <si>
    <t>28031-6691</t>
  </si>
  <si>
    <t>H4140A0014</t>
  </si>
  <si>
    <t>TYLER WILLIAM</t>
  </si>
  <si>
    <t>TYLER JANET</t>
  </si>
  <si>
    <t>902 NEWBERN AVE</t>
  </si>
  <si>
    <t>27205-7701</t>
  </si>
  <si>
    <t>J7120A0008</t>
  </si>
  <si>
    <t>RANKER KIM E BOWERS</t>
  </si>
  <si>
    <t>2420 US HIGHWAY 64 E</t>
  </si>
  <si>
    <t>J5010D0129</t>
  </si>
  <si>
    <t>WEAVER MIRANDA M</t>
  </si>
  <si>
    <t>WEAVER KEITH Z</t>
  </si>
  <si>
    <t>147 CHARLESTON MEADOW LOOP</t>
  </si>
  <si>
    <t>C70000001801</t>
  </si>
  <si>
    <t>NOVACK TYLER</t>
  </si>
  <si>
    <t>1881 YADKIN VALLEY RD</t>
  </si>
  <si>
    <t>I500000036</t>
  </si>
  <si>
    <t>301 ZIMA LLC</t>
  </si>
  <si>
    <t>103 LAKESIDE DR</t>
  </si>
  <si>
    <t>KATONAH</t>
  </si>
  <si>
    <t>10536-1603</t>
  </si>
  <si>
    <t>C70000008908</t>
  </si>
  <si>
    <t>RON MILLER PROPERTIES LLC</t>
  </si>
  <si>
    <t>340 BRIDLE LN</t>
  </si>
  <si>
    <t>H300000044</t>
  </si>
  <si>
    <t>HAMM TAMMY</t>
  </si>
  <si>
    <t>1969 US HIGHWAY 64 W</t>
  </si>
  <si>
    <t>27028-8437</t>
  </si>
  <si>
    <t>K20000002710</t>
  </si>
  <si>
    <t>MACLEAN ELIJAH VANCE</t>
  </si>
  <si>
    <t>MACLEAN DESIREE LYNN</t>
  </si>
  <si>
    <t>771 JUNCTION RD</t>
  </si>
  <si>
    <t>D9090D0013</t>
  </si>
  <si>
    <t>MOBLEY LORA LOUISE</t>
  </si>
  <si>
    <t>102 MULBERRY PL</t>
  </si>
  <si>
    <t>27006-8409</t>
  </si>
  <si>
    <t>D9090D0007</t>
  </si>
  <si>
    <t>ADKINS JOHN R</t>
  </si>
  <si>
    <t>ADKINS NOELIE B</t>
  </si>
  <si>
    <t>113 BAYBERRY PL</t>
  </si>
  <si>
    <t>H100000010</t>
  </si>
  <si>
    <t>MORGAN KENNETH ALAN JR</t>
  </si>
  <si>
    <t>636 COUNTY LINE RD</t>
  </si>
  <si>
    <t>I5050C0001</t>
  </si>
  <si>
    <t>BELL LATOYA</t>
  </si>
  <si>
    <t>107 HALEY CT</t>
  </si>
  <si>
    <t>H900000009</t>
  </si>
  <si>
    <t>TAYLOR JILL</t>
  </si>
  <si>
    <t>807 PEOPLES CREEK RD</t>
  </si>
  <si>
    <t>F80000002233</t>
  </si>
  <si>
    <t>BODENHEIMER DAVID</t>
  </si>
  <si>
    <t>BODENHEIMER BRENDA F</t>
  </si>
  <si>
    <t>118 LANTERN DR</t>
  </si>
  <si>
    <t>C8010A0127</t>
  </si>
  <si>
    <t>PADILLA JORGE LUIS</t>
  </si>
  <si>
    <t>PADILLA IRIS JUDITH</t>
  </si>
  <si>
    <t>111 AVALON ST</t>
  </si>
  <si>
    <t>J5050B0002</t>
  </si>
  <si>
    <t>BISHOP BRIE ELIZABETH</t>
  </si>
  <si>
    <t>113 CARRIAGE COVE CIR</t>
  </si>
  <si>
    <t>I5050A0030</t>
  </si>
  <si>
    <t>C600000061</t>
  </si>
  <si>
    <t>MEDFORD RALPH W</t>
  </si>
  <si>
    <t>MEDFORD SHIRLEY W</t>
  </si>
  <si>
    <t>1426 MILLER STREET</t>
  </si>
  <si>
    <t>I5090D0012</t>
  </si>
  <si>
    <t>JIF HOLDINGS LLC</t>
  </si>
  <si>
    <t>F100000056</t>
  </si>
  <si>
    <t>SMITH THOMAS KYLE</t>
  </si>
  <si>
    <t>SMITH APRIL LYNN</t>
  </si>
  <si>
    <t>238 HARDY RD</t>
  </si>
  <si>
    <t>28634-9156</t>
  </si>
  <si>
    <t>D30000006503</t>
  </si>
  <si>
    <t>COMPTON ERIC ORREN</t>
  </si>
  <si>
    <t>ROLLINS TAMMY ANN</t>
  </si>
  <si>
    <t>3779 US HIGHWAY 601 N</t>
  </si>
  <si>
    <t>27028-6271</t>
  </si>
  <si>
    <t>E40000004204</t>
  </si>
  <si>
    <t>SMITH GROUP HOLDINGS LLC</t>
  </si>
  <si>
    <t>K5100A002402</t>
  </si>
  <si>
    <t>BYRNE ROBERT REVOCABLE TRUST</t>
  </si>
  <si>
    <t>PO BOX 1025</t>
  </si>
  <si>
    <t>27028-1025</t>
  </si>
  <si>
    <t>D8100A0016</t>
  </si>
  <si>
    <t>BOOE THOMAS N JR</t>
  </si>
  <si>
    <t>713 RIVERBEND DR</t>
  </si>
  <si>
    <t>K5100A0026</t>
  </si>
  <si>
    <t>J4050D0015</t>
  </si>
  <si>
    <t>N4040A0039</t>
  </si>
  <si>
    <t>K5100A0028</t>
  </si>
  <si>
    <t>K5100A0029</t>
  </si>
  <si>
    <t>K5100A0027</t>
  </si>
  <si>
    <t>J5020A0011</t>
  </si>
  <si>
    <t>E400000009</t>
  </si>
  <si>
    <t>FRACK KEVIN C</t>
  </si>
  <si>
    <t>FRACK BETH V</t>
  </si>
  <si>
    <t>146 OLD WAGON TRL</t>
  </si>
  <si>
    <t>D9050B0009</t>
  </si>
  <si>
    <t>FORBES WENDE MOORE</t>
  </si>
  <si>
    <t>3326 BERMUDA VLG</t>
  </si>
  <si>
    <t>K60000003305</t>
  </si>
  <si>
    <t>WALSH JONATHAN EUGENE</t>
  </si>
  <si>
    <t>WALSH ADDIE KEETON</t>
  </si>
  <si>
    <t>166 PINE ST</t>
  </si>
  <si>
    <t>G7070A0011</t>
  </si>
  <si>
    <t>WILLIAMS JEFFREY LEE</t>
  </si>
  <si>
    <t>WILLIAMS ABIGAIL CHRISTINE</t>
  </si>
  <si>
    <t>169 BROWDER LN</t>
  </si>
  <si>
    <t>27006-7994</t>
  </si>
  <si>
    <t>I6080A0001</t>
  </si>
  <si>
    <t>NUDD ANDREW</t>
  </si>
  <si>
    <t>SAUNDERS MARY R</t>
  </si>
  <si>
    <t>695 WHITNEY RD</t>
  </si>
  <si>
    <t>E70000006503</t>
  </si>
  <si>
    <t>PEREZ YANELA DOURAL</t>
  </si>
  <si>
    <t>349 BEAUCHAMP RD</t>
  </si>
  <si>
    <t>G8140A0026</t>
  </si>
  <si>
    <t>CALAMUSA JOSHUA S</t>
  </si>
  <si>
    <t>107 WINDCHASE CT</t>
  </si>
  <si>
    <t>M50000004501</t>
  </si>
  <si>
    <t>ALLEN JANE KAREN TRUSTEE</t>
  </si>
  <si>
    <t>915 S FULTON ST</t>
  </si>
  <si>
    <t>28144-5361</t>
  </si>
  <si>
    <t>M5060B000501</t>
  </si>
  <si>
    <t>M5060B0006</t>
  </si>
  <si>
    <t>I600000012</t>
  </si>
  <si>
    <t>DANT STEPHEN T</t>
  </si>
  <si>
    <t>DANT APRIL</t>
  </si>
  <si>
    <t>892 CORNATZER RD</t>
  </si>
  <si>
    <t>N600000038</t>
  </si>
  <si>
    <t>E40000002801</t>
  </si>
  <si>
    <t>UPDEGRAFF DAHLGREN ETCHISON</t>
  </si>
  <si>
    <t>1196 CANA RD</t>
  </si>
  <si>
    <t>B3020A0007</t>
  </si>
  <si>
    <t>LONG VANESSA ANN</t>
  </si>
  <si>
    <t>5175 US HIGHWAY 601 N</t>
  </si>
  <si>
    <t>F60000009901</t>
  </si>
  <si>
    <t>NANNEY GINGER JAMES</t>
  </si>
  <si>
    <t>HUMPHRIES JULIE JAMES</t>
  </si>
  <si>
    <t>168 MORGAN BLUFF ROAD</t>
  </si>
  <si>
    <t>F60000009401</t>
  </si>
  <si>
    <t>J6100A0018</t>
  </si>
  <si>
    <t>NORMAN STEVEN M</t>
  </si>
  <si>
    <t>NORMAN ELIZABETH T</t>
  </si>
  <si>
    <t>169 N LAKE LOUISE DR</t>
  </si>
  <si>
    <t>H4140B0214</t>
  </si>
  <si>
    <t>MERITAGE HOMES OF THE CAROLINAS INC</t>
  </si>
  <si>
    <t>13925 BALLANTYNE CORPORATE PL</t>
  </si>
  <si>
    <t>28277-2704</t>
  </si>
  <si>
    <t>H4140B0222</t>
  </si>
  <si>
    <t>H4140B0215</t>
  </si>
  <si>
    <t>H4140B0216</t>
  </si>
  <si>
    <t>H4140B0229</t>
  </si>
  <si>
    <t>H4140B0230</t>
  </si>
  <si>
    <t>H4140B0200</t>
  </si>
  <si>
    <t>H4140B0201</t>
  </si>
  <si>
    <t>H4140B0236</t>
  </si>
  <si>
    <t>H4140B0232</t>
  </si>
  <si>
    <t>H4140B0233</t>
  </si>
  <si>
    <t>H4140B0234</t>
  </si>
  <si>
    <t>H4140B0235</t>
  </si>
  <si>
    <t>H4140B0242</t>
  </si>
  <si>
    <t>H4140B0243</t>
  </si>
  <si>
    <t>H4140B0199</t>
  </si>
  <si>
    <t>H4140B0376</t>
  </si>
  <si>
    <t>H4140B0377</t>
  </si>
  <si>
    <t>H4140B0231</t>
  </si>
  <si>
    <t>H4140B0244</t>
  </si>
  <si>
    <t>H4140B0381</t>
  </si>
  <si>
    <t>H4140B0382</t>
  </si>
  <si>
    <t>H4140B0383</t>
  </si>
  <si>
    <t>H4140B0378</t>
  </si>
  <si>
    <t>H4140B0379</t>
  </si>
  <si>
    <t>H4140B0380</t>
  </si>
  <si>
    <t>H4140B0203</t>
  </si>
  <si>
    <t>H4140B0204</t>
  </si>
  <si>
    <t>H4140B0205</t>
  </si>
  <si>
    <t>H4140B0206</t>
  </si>
  <si>
    <t>H4140B0207</t>
  </si>
  <si>
    <t>H4140B0208</t>
  </si>
  <si>
    <t>F100000057</t>
  </si>
  <si>
    <t>G9090B0071</t>
  </si>
  <si>
    <t>LAPORTE LEE</t>
  </si>
  <si>
    <t>GRAVELY KELLY HAZELWOOD</t>
  </si>
  <si>
    <t>130 OAK HILL RD</t>
  </si>
  <si>
    <t>I4120D0011</t>
  </si>
  <si>
    <t>WRIGHT JUSTIN ANDREW</t>
  </si>
  <si>
    <t>165 W CHURCH ST</t>
  </si>
  <si>
    <t>G200000074</t>
  </si>
  <si>
    <t>CAVE CHRISTOPHER</t>
  </si>
  <si>
    <t>WILES BROOKE</t>
  </si>
  <si>
    <t>161 SPARROW LN</t>
  </si>
  <si>
    <t>I5010B0007</t>
  </si>
  <si>
    <t>NOA MANUELO M JR</t>
  </si>
  <si>
    <t>936 S PEACE HAVEN RD</t>
  </si>
  <si>
    <t>27103-9786</t>
  </si>
  <si>
    <t>G8050A0007</t>
  </si>
  <si>
    <t>CUMMINGS TODD BENTLEY</t>
  </si>
  <si>
    <t>1080 SMALL CREEK WAY RD</t>
  </si>
  <si>
    <t>27053-8410</t>
  </si>
  <si>
    <t>G30000001401</t>
  </si>
  <si>
    <t>BENTLEY COREY JAMES</t>
  </si>
  <si>
    <t>BENTLEY MORGAN</t>
  </si>
  <si>
    <t>184 GRANNAMAN DR</t>
  </si>
  <si>
    <t>G300000014</t>
  </si>
  <si>
    <t>J40000003619</t>
  </si>
  <si>
    <t>MCBRIDE RAWLEY R JR</t>
  </si>
  <si>
    <t>MCBRIDE CYNTHIA B</t>
  </si>
  <si>
    <t>187 LANDING TRL</t>
  </si>
  <si>
    <t>MOUNT GILEAD</t>
  </si>
  <si>
    <t>27306-8736</t>
  </si>
  <si>
    <t>C600000024</t>
  </si>
  <si>
    <t>ALDER BRYAN CHASE</t>
  </si>
  <si>
    <t>ALDER CLAIRE</t>
  </si>
  <si>
    <t>1520 BROCK RD</t>
  </si>
  <si>
    <t>27055-7336</t>
  </si>
  <si>
    <t>D8100C0012</t>
  </si>
  <si>
    <t>THOMERSON ELIZABETH</t>
  </si>
  <si>
    <t>THOMERSON TIMOTHY</t>
  </si>
  <si>
    <t>108 SPYGLASS DR</t>
  </si>
  <si>
    <t>J5010D0135</t>
  </si>
  <si>
    <t>BODENHEIMER HANAH LEIGH</t>
  </si>
  <si>
    <t>MILLER GESTIN DENARD</t>
  </si>
  <si>
    <t>175 CHARLESTON MEADOW LOOP</t>
  </si>
  <si>
    <t>E200000008  A</t>
  </si>
  <si>
    <t>C&amp;H REAL ESTATE HOLDINGS LLC</t>
  </si>
  <si>
    <t>99 NESBIT ST</t>
  </si>
  <si>
    <t>PUNTA GORDA</t>
  </si>
  <si>
    <t>33950-3636</t>
  </si>
  <si>
    <t>M5100B0009</t>
  </si>
  <si>
    <t>TRACEY JOSEPH ANDREW JR</t>
  </si>
  <si>
    <t>TRACEY PATRICE ANN</t>
  </si>
  <si>
    <t>2 LARKIN ST</t>
  </si>
  <si>
    <t>SCOTIA</t>
  </si>
  <si>
    <t>12302-2102</t>
  </si>
  <si>
    <t>G600000077</t>
  </si>
  <si>
    <t>BRAKE PATRICK DAMIAN</t>
  </si>
  <si>
    <t>BRAKE SIERRA A</t>
  </si>
  <si>
    <t>2103 MILLING RD</t>
  </si>
  <si>
    <t>J5030A0010</t>
  </si>
  <si>
    <t>201 FAIRMONT DR</t>
  </si>
  <si>
    <t>27028-2686</t>
  </si>
  <si>
    <t>D50000006902</t>
  </si>
  <si>
    <t>BOUGHTON NICHOLAS</t>
  </si>
  <si>
    <t>BOUGHTON CHRISTEN</t>
  </si>
  <si>
    <t>1345 FARMINGTON RD</t>
  </si>
  <si>
    <t>H90000002510</t>
  </si>
  <si>
    <t>OMARA MARK E</t>
  </si>
  <si>
    <t>116 ROBINSON CT</t>
  </si>
  <si>
    <t>28642-2303</t>
  </si>
  <si>
    <t>J80000001315</t>
  </si>
  <si>
    <t>PENNINGTON MATTHEW</t>
  </si>
  <si>
    <t>PENNINGTON JENNIFER</t>
  </si>
  <si>
    <t>314 FULTON RD</t>
  </si>
  <si>
    <t>H70000006801</t>
  </si>
  <si>
    <t>BLACKWELL BRYAN</t>
  </si>
  <si>
    <t>255 BAILEYS CHAPEL RD</t>
  </si>
  <si>
    <t>I400000077</t>
  </si>
  <si>
    <t>H4140B0202</t>
  </si>
  <si>
    <t>H90000002511</t>
  </si>
  <si>
    <t>F80000006902</t>
  </si>
  <si>
    <t>WILSON MASON JEFFREY</t>
  </si>
  <si>
    <t>347 HILLCREST DR</t>
  </si>
  <si>
    <t>H4140B0209</t>
  </si>
  <si>
    <t>H4140B0210</t>
  </si>
  <si>
    <t>H4140B0211</t>
  </si>
  <si>
    <t>H4140B0212</t>
  </si>
  <si>
    <t>H4140B0213</t>
  </si>
  <si>
    <t>H4140B0223</t>
  </si>
  <si>
    <t>H4140B0224</t>
  </si>
  <si>
    <t>H4140B0248</t>
  </si>
  <si>
    <t>H4140B0249</t>
  </si>
  <si>
    <t>H4140B0375</t>
  </si>
  <si>
    <t>H4140B0217</t>
  </si>
  <si>
    <t>H4140B0218</t>
  </si>
  <si>
    <t>H4140B0219</t>
  </si>
  <si>
    <t>H4140B0220</t>
  </si>
  <si>
    <t>H4140B0221</t>
  </si>
  <si>
    <t>H4140B0225</t>
  </si>
  <si>
    <t>H4140B0226</t>
  </si>
  <si>
    <t>H4140B0227</t>
  </si>
  <si>
    <t>H4140B0228</t>
  </si>
  <si>
    <t>H4140B0245</t>
  </si>
  <si>
    <t>H4140B0246</t>
  </si>
  <si>
    <t>H4140B0247</t>
  </si>
  <si>
    <t>H4140B0238</t>
  </si>
  <si>
    <t>H4140B0239</t>
  </si>
  <si>
    <t>H4140B0240</t>
  </si>
  <si>
    <t>H4140B0241</t>
  </si>
  <si>
    <t>H4140B0237</t>
  </si>
  <si>
    <t>B300000025</t>
  </si>
  <si>
    <t>REYNOLDS RETHA MAE</t>
  </si>
  <si>
    <t>445 CHILDRENS HOME RD</t>
  </si>
  <si>
    <t>J5050B0013</t>
  </si>
  <si>
    <t>EARLY DEBORAH JOANNA</t>
  </si>
  <si>
    <t>RIVERA MARIA EUGENIA REYES</t>
  </si>
  <si>
    <t>202 CARRIAGE COVE CIR</t>
  </si>
  <si>
    <t>J7080B0038</t>
  </si>
  <si>
    <t>WADDLE ADAM DANIEL</t>
  </si>
  <si>
    <t>WADDLE MORGAN RENEE</t>
  </si>
  <si>
    <t>121 OAKSHIRE CT</t>
  </si>
  <si>
    <t>H60000007603</t>
  </si>
  <si>
    <t>LITTLE CLINTON DAVID</t>
  </si>
  <si>
    <t>LITTLE QUINN TESH</t>
  </si>
  <si>
    <t>3251 HARPER RD</t>
  </si>
  <si>
    <t>27012-8649</t>
  </si>
  <si>
    <t>C400000025</t>
  </si>
  <si>
    <t>DOBY KENDRA DENISE</t>
  </si>
  <si>
    <t>3752 NC HIGHWAY 801 N</t>
  </si>
  <si>
    <t>E8100B0030</t>
  </si>
  <si>
    <t>SMITHDEAL FOSS T JR</t>
  </si>
  <si>
    <t>SMITH DEBRA J</t>
  </si>
  <si>
    <t>489 CROOKED OAK DR</t>
  </si>
  <si>
    <t>PAWLEYS ISL</t>
  </si>
  <si>
    <t>29585-8084</t>
  </si>
  <si>
    <t>J5010D0136</t>
  </si>
  <si>
    <t>JONES JASMINE KENISE</t>
  </si>
  <si>
    <t>JONES CORY JAMELLE</t>
  </si>
  <si>
    <t>179 CHARLESTON MEADOW LOOP</t>
  </si>
  <si>
    <t>D8010A0002</t>
  </si>
  <si>
    <t>FIRST HORIZON BANK</t>
  </si>
  <si>
    <t>PO BOX 2078</t>
  </si>
  <si>
    <t>ATTN: CORPORATE PROPERTIES</t>
  </si>
  <si>
    <t>38101-2078</t>
  </si>
  <si>
    <t>J5010C0041</t>
  </si>
  <si>
    <t>LIFE RESTORED BY FAITH OUTREACH MINISTRY</t>
  </si>
  <si>
    <t>113 MILL ST</t>
  </si>
  <si>
    <t>27028-2615</t>
  </si>
  <si>
    <t>L60000002107</t>
  </si>
  <si>
    <t>LINK JOHN R JR</t>
  </si>
  <si>
    <t>LINK DENISE BECK</t>
  </si>
  <si>
    <t>114 GLOUCESTER LANE</t>
  </si>
  <si>
    <t>J700000069</t>
  </si>
  <si>
    <t>BLANCHARD CRAIG D</t>
  </si>
  <si>
    <t>ADYDAN DIANE L</t>
  </si>
  <si>
    <t>2812 US HIGHWAY 64 E</t>
  </si>
  <si>
    <t>I4120C0016</t>
  </si>
  <si>
    <t>MCCLAMROCK RONALD JAMES</t>
  </si>
  <si>
    <t>% JAMES RONALD MCCLAMROCK</t>
  </si>
  <si>
    <t>263 WILKESBORO STREET</t>
  </si>
  <si>
    <t>J5010C0001</t>
  </si>
  <si>
    <t>E60000002405</t>
  </si>
  <si>
    <t>KENDALL JOANNE E</t>
  </si>
  <si>
    <t>OGDEN SHERRI L</t>
  </si>
  <si>
    <t>141 FERNHAVEN LANE</t>
  </si>
  <si>
    <t>M5090B0015</t>
  </si>
  <si>
    <t>HARDING EVELYN N</t>
  </si>
  <si>
    <t>626 CLINTON STREET</t>
  </si>
  <si>
    <t>APT 3B</t>
  </si>
  <si>
    <t>11231-0000</t>
  </si>
  <si>
    <t>M4130A0035</t>
  </si>
  <si>
    <t>PARKER HENDERSON HEIRS</t>
  </si>
  <si>
    <t>318 HAIRSTON ROAD</t>
  </si>
  <si>
    <t>B50000003002</t>
  </si>
  <si>
    <t>856 NC HIGHWAY 801 N</t>
  </si>
  <si>
    <t>J5050A0010</t>
  </si>
  <si>
    <t>SALES GERALDINE E</t>
  </si>
  <si>
    <t>8428 JEFFERSONS WAY</t>
  </si>
  <si>
    <t>LANTANA</t>
  </si>
  <si>
    <t>76226-0000</t>
  </si>
  <si>
    <t>I5010B0021</t>
  </si>
  <si>
    <t>111 HOLMAN ST</t>
  </si>
  <si>
    <t>D600000042</t>
  </si>
  <si>
    <t>SMITH WILLIAM D HEIRS</t>
  </si>
  <si>
    <t>114 DUNN TRAIL</t>
  </si>
  <si>
    <t>J5090A0003</t>
  </si>
  <si>
    <t>MIRA ROSIBEL DEL CARMEN</t>
  </si>
  <si>
    <t>3338 PARSONS BLVD APT 5C</t>
  </si>
  <si>
    <t>FLUSHING</t>
  </si>
  <si>
    <t>11354-3121</t>
  </si>
  <si>
    <t>D9010D0011</t>
  </si>
  <si>
    <t>CHAMBERLAIN DARREN WAYNE</t>
  </si>
  <si>
    <t>CHAMBERLAIN DONNA SIZEMORE</t>
  </si>
  <si>
    <t>158 HAMILTON CT</t>
  </si>
  <si>
    <t>G8120B001601</t>
  </si>
  <si>
    <t>ROBERTSON CHARLES RONALD 2023 TRUST</t>
  </si>
  <si>
    <t>ROBERTSON CHARLES RONALD TRSTE</t>
  </si>
  <si>
    <t>FBO STEVEN ROBERTSON</t>
  </si>
  <si>
    <t>K200000050</t>
  </si>
  <si>
    <t>MOORE BEN H</t>
  </si>
  <si>
    <t>MOORE RUBY C</t>
  </si>
  <si>
    <t>3135 NEEDMORE RD</t>
  </si>
  <si>
    <t>27054-9749</t>
  </si>
  <si>
    <t>D60000002503</t>
  </si>
  <si>
    <t>WELCH WILLIAM REECE</t>
  </si>
  <si>
    <t>206 SPEAKS RD</t>
  </si>
  <si>
    <t>E500000013</t>
  </si>
  <si>
    <t>HOWELL CHARLES R AND SANDRA B REV LIV TRUST</t>
  </si>
  <si>
    <t>181 HOLLY LN</t>
  </si>
  <si>
    <t>E500000030</t>
  </si>
  <si>
    <t>E500000010</t>
  </si>
  <si>
    <t>E50000001402</t>
  </si>
  <si>
    <t>J5090A001201</t>
  </si>
  <si>
    <t>J4030B0009</t>
  </si>
  <si>
    <t>J4030B001101</t>
  </si>
  <si>
    <t>E50000001408</t>
  </si>
  <si>
    <t>E50000001415</t>
  </si>
  <si>
    <t>K50000009803</t>
  </si>
  <si>
    <t>WATKINS CHAD A</t>
  </si>
  <si>
    <t>170 IRONHORSE LN</t>
  </si>
  <si>
    <t>27028-5507</t>
  </si>
  <si>
    <t>K5150A000102</t>
  </si>
  <si>
    <t>J6050B0002</t>
  </si>
  <si>
    <t>150 SHADYBROOK RD</t>
  </si>
  <si>
    <t>N500000091</t>
  </si>
  <si>
    <t>RWC ENTERPRISE LLC</t>
  </si>
  <si>
    <t>D9090C0011</t>
  </si>
  <si>
    <t>PACHEY MARTIN DOUGLAS</t>
  </si>
  <si>
    <t>PACHEY BILLIE JOAN</t>
  </si>
  <si>
    <t>125 LINDEN PL</t>
  </si>
  <si>
    <t>J70000002101</t>
  </si>
  <si>
    <t>SMOOT RITA A</t>
  </si>
  <si>
    <t>223 JOE RD</t>
  </si>
  <si>
    <t>G9090B0001</t>
  </si>
  <si>
    <t>COMBS MICHAEL KENNETH</t>
  </si>
  <si>
    <t>COMBS CAROLYN FAUCETTE</t>
  </si>
  <si>
    <t>110 OLD MARCH RD</t>
  </si>
  <si>
    <t>C8010B0393</t>
  </si>
  <si>
    <t>DOIT 2 TRUST</t>
  </si>
  <si>
    <t>VOGLER DEBORAH S</t>
  </si>
  <si>
    <t>146 RIVERBEND DR</t>
  </si>
  <si>
    <t>C8010A0026</t>
  </si>
  <si>
    <t>KUSEK PETER THOMAS</t>
  </si>
  <si>
    <t>212 BRIDGEWATER DR</t>
  </si>
  <si>
    <t>G400000004</t>
  </si>
  <si>
    <t>191 SHEFFIELD FARMS TRL</t>
  </si>
  <si>
    <t>28634-9192</t>
  </si>
  <si>
    <t>C500000073</t>
  </si>
  <si>
    <t>SEATS LINDA W</t>
  </si>
  <si>
    <t>2278 NC HIGHWAY 801 N</t>
  </si>
  <si>
    <t>C8030B0014</t>
  </si>
  <si>
    <t>WHITE HEATHER H</t>
  </si>
  <si>
    <t>HODGES CAROLYN R</t>
  </si>
  <si>
    <t>304 TOWN PARK DR UNIT 201</t>
  </si>
  <si>
    <t>27006-8629</t>
  </si>
  <si>
    <t>H500000058</t>
  </si>
  <si>
    <t>MCCLAMROCK FRANCES W</t>
  </si>
  <si>
    <t>1740 US HIGHWAY 158</t>
  </si>
  <si>
    <t>H500000066</t>
  </si>
  <si>
    <t>N600000086</t>
  </si>
  <si>
    <t>SHUBLE MICHAEL</t>
  </si>
  <si>
    <t>SHUBLE DANA</t>
  </si>
  <si>
    <t>291 HOUSTON RD</t>
  </si>
  <si>
    <t>D9050C0039</t>
  </si>
  <si>
    <t>SUGG MARIANNE R TRUSTEE</t>
  </si>
  <si>
    <t>SUGG FAMILY LIV TRUST</t>
  </si>
  <si>
    <t>2323 BERMUDA VLG</t>
  </si>
  <si>
    <t>B40000002004</t>
  </si>
  <si>
    <t>WHITE JOANN W</t>
  </si>
  <si>
    <t>868 E HOUSTONVILLE RD</t>
  </si>
  <si>
    <t>28634-9452</t>
  </si>
  <si>
    <t>E50000003205</t>
  </si>
  <si>
    <t>TUCKER JOSEPH W JR</t>
  </si>
  <si>
    <t>TUCKER DEBORA</t>
  </si>
  <si>
    <t>I5050C0006</t>
  </si>
  <si>
    <t>BULATKO DUSTIN</t>
  </si>
  <si>
    <t>BULATKO KELBI</t>
  </si>
  <si>
    <t>112 HALEY CT</t>
  </si>
  <si>
    <t>D9010D0013</t>
  </si>
  <si>
    <t>GREGORY LOUISE PIERCE REV FAM TRUST</t>
  </si>
  <si>
    <t>150 HAMILTON CT</t>
  </si>
  <si>
    <t>H600000009</t>
  </si>
  <si>
    <t>CHANDLER ANNIE MARIE</t>
  </si>
  <si>
    <t>HENDREN ANGELIA FRYE</t>
  </si>
  <si>
    <t>852 SAIN RD</t>
  </si>
  <si>
    <t>D8080D0012</t>
  </si>
  <si>
    <t>SCHNEIDER JEFFREY L</t>
  </si>
  <si>
    <t>SCHNEIDER BILLIE T</t>
  </si>
  <si>
    <t>465 IVY CIR</t>
  </si>
  <si>
    <t>D8080D001201</t>
  </si>
  <si>
    <t>J5050B0008</t>
  </si>
  <si>
    <t>MCCOY CHARLES EDWARD</t>
  </si>
  <si>
    <t>220 CARRIAGE COVE CIR</t>
  </si>
  <si>
    <t>C90000000304</t>
  </si>
  <si>
    <t>PISCES 2 LLC</t>
  </si>
  <si>
    <t>% ARTHA ASSOCIATES LLC</t>
  </si>
  <si>
    <t>195 KIMEL PARK DR STE 200</t>
  </si>
  <si>
    <t>27103-6967</t>
  </si>
  <si>
    <t>C600000002</t>
  </si>
  <si>
    <t>HOWELL PAULINE MILLER</t>
  </si>
  <si>
    <t>1919 NC HIGHWAY 801 N</t>
  </si>
  <si>
    <t>27028-7733</t>
  </si>
  <si>
    <t>J60000005434</t>
  </si>
  <si>
    <t>COLIN CREEK GOLF CLUB LLC</t>
  </si>
  <si>
    <t>2247 US HIGHWAY 64 E</t>
  </si>
  <si>
    <t>J60000005425</t>
  </si>
  <si>
    <t>J60000005426</t>
  </si>
  <si>
    <t>J60000005423</t>
  </si>
  <si>
    <t>DUNCAN DAVID A</t>
  </si>
  <si>
    <t>J5010D0137</t>
  </si>
  <si>
    <t>JOHNSON DAVID JACKSON</t>
  </si>
  <si>
    <t>JOHNSON MARLA HERLINDA</t>
  </si>
  <si>
    <t>183 CHARLESTON MEADOW LOOP</t>
  </si>
  <si>
    <t>J5010D0123</t>
  </si>
  <si>
    <t>PRYCE EUGENE JR</t>
  </si>
  <si>
    <t>121 CHARLESTON MEADOW LOOP</t>
  </si>
  <si>
    <t>I30000005801</t>
  </si>
  <si>
    <t>FORREST CHAD AUSTIN</t>
  </si>
  <si>
    <t>151 VETERANS DR</t>
  </si>
  <si>
    <t>27028-4409</t>
  </si>
  <si>
    <t>I300000059</t>
  </si>
  <si>
    <t>C8030A000801</t>
  </si>
  <si>
    <t>HARRIS LARRY J</t>
  </si>
  <si>
    <t>HARRIS SHANA ANN</t>
  </si>
  <si>
    <t>189 PINEWOOD LN UNIT 101</t>
  </si>
  <si>
    <t>J5050B0015</t>
  </si>
  <si>
    <t>TATUM SAMUEL</t>
  </si>
  <si>
    <t>TATUM MCKINLEY</t>
  </si>
  <si>
    <t>196 CARRIAGE COVE CIR</t>
  </si>
  <si>
    <t>I5080E0004</t>
  </si>
  <si>
    <t>LAWRENCE DONNA D</t>
  </si>
  <si>
    <t>120 OAK ST</t>
  </si>
  <si>
    <t>27028-2220</t>
  </si>
  <si>
    <t>K70000005605</t>
  </si>
  <si>
    <t>MCGEE DAVID</t>
  </si>
  <si>
    <t>MCGEE RANDY</t>
  </si>
  <si>
    <t>4777 NC HIGHWAY 801 S</t>
  </si>
  <si>
    <t>I6080A0039</t>
  </si>
  <si>
    <t>MCELRATH JESSICA LEANN</t>
  </si>
  <si>
    <t>115 ISLEE CT</t>
  </si>
  <si>
    <t>27028-2971</t>
  </si>
  <si>
    <t>J5050B0004</t>
  </si>
  <si>
    <t>ROBINSON DEMARIO</t>
  </si>
  <si>
    <t>234 CARRIAGE COVE CIR</t>
  </si>
  <si>
    <t>J5010D0125</t>
  </si>
  <si>
    <t>VALENCIA REBECCA</t>
  </si>
  <si>
    <t>131 CHARLESTON MEADOW LOOP</t>
  </si>
  <si>
    <t>I6080A0040</t>
  </si>
  <si>
    <t>MCCRAE RODNEY</t>
  </si>
  <si>
    <t>MCCRAE RONDA</t>
  </si>
  <si>
    <t>116 ISLEE CT</t>
  </si>
  <si>
    <t>J5010D0126</t>
  </si>
  <si>
    <t>BOYKIN JUSTICE SINCERE</t>
  </si>
  <si>
    <t>BOYKIN SHEREEAH DANIELLE</t>
  </si>
  <si>
    <t>133 CHARLESTON MEADOW LOOP</t>
  </si>
  <si>
    <t>L5090B000301</t>
  </si>
  <si>
    <t>GINGERICH FAMILY REAL ESTATE LLC</t>
  </si>
  <si>
    <t>F60000005001</t>
  </si>
  <si>
    <t>JOLO BRANDS LLC</t>
  </si>
  <si>
    <t>219 JOLO WINERY LN</t>
  </si>
  <si>
    <t>27041-8717</t>
  </si>
  <si>
    <t>F60000005002</t>
  </si>
  <si>
    <t>J5010D0121</t>
  </si>
  <si>
    <t>MORRIS DAWN</t>
  </si>
  <si>
    <t>HYDE DWAYNE</t>
  </si>
  <si>
    <t>132 CHARLESTON MEADOW LOOP</t>
  </si>
  <si>
    <t>J4060D0029</t>
  </si>
  <si>
    <t>GRIMALDI STEPHEN A</t>
  </si>
  <si>
    <t>GRIMALDI REBECCA M</t>
  </si>
  <si>
    <t>277 BEECHWOOD DR</t>
  </si>
  <si>
    <t>I6080A0005</t>
  </si>
  <si>
    <t>LANDPHIER LAURA</t>
  </si>
  <si>
    <t>723 WHITNEY RD</t>
  </si>
  <si>
    <t>27028-2967</t>
  </si>
  <si>
    <t>B500000051</t>
  </si>
  <si>
    <t>WISEMAN SARAH</t>
  </si>
  <si>
    <t>6045 NEAL TRAIL CIR APT 204</t>
  </si>
  <si>
    <t>27051-3013</t>
  </si>
  <si>
    <t>F80000001105</t>
  </si>
  <si>
    <t>TOLLENAER JOSH</t>
  </si>
  <si>
    <t>G70000010501</t>
  </si>
  <si>
    <t>CORNATZER THOMAS DALE</t>
  </si>
  <si>
    <t>CORNATZER CYNTHIA L</t>
  </si>
  <si>
    <t>977 JOE ROAD</t>
  </si>
  <si>
    <t>K70000001901</t>
  </si>
  <si>
    <t>G30000001501</t>
  </si>
  <si>
    <t>KILLIAN GARY L JR</t>
  </si>
  <si>
    <t>830 IJAMES CHURCH RD</t>
  </si>
  <si>
    <t>27028-4828</t>
  </si>
  <si>
    <t>E8150A0005</t>
  </si>
  <si>
    <t>VOGLER NORMA FRYE</t>
  </si>
  <si>
    <t>1010 NC HIGHWAY 801 S</t>
  </si>
  <si>
    <t>I4050A0010</t>
  </si>
  <si>
    <t>HORN HENRY</t>
  </si>
  <si>
    <t>RICHARDSON LISA</t>
  </si>
  <si>
    <t>201 WANDERING LN</t>
  </si>
  <si>
    <t>G800000225</t>
  </si>
  <si>
    <t>WAGNER ROBERT FOSTER</t>
  </si>
  <si>
    <t>WAGNER MARILYN JONES</t>
  </si>
  <si>
    <t>247 RABBIT FARM TRL</t>
  </si>
  <si>
    <t>27006-7328</t>
  </si>
  <si>
    <t>L60000006501</t>
  </si>
  <si>
    <t>COATES PATRICIA J</t>
  </si>
  <si>
    <t>PERDUE TAMMY L</t>
  </si>
  <si>
    <t>167 BOONE LN</t>
  </si>
  <si>
    <t>D7070A0014</t>
  </si>
  <si>
    <t>WILSON CATHERINE MARSHALL</t>
  </si>
  <si>
    <t>WILSON MATTHEW</t>
  </si>
  <si>
    <t>198 GINNY LN</t>
  </si>
  <si>
    <t>J6050C0006</t>
  </si>
  <si>
    <t>PIMIENTO YORK</t>
  </si>
  <si>
    <t>192 HAWTHORNE RD</t>
  </si>
  <si>
    <t>J30000002502</t>
  </si>
  <si>
    <t>GREEN BRYAN DAVID</t>
  </si>
  <si>
    <t>GREEN DONNA</t>
  </si>
  <si>
    <t>792 GREENHILL RD</t>
  </si>
  <si>
    <t>D8100B0006</t>
  </si>
  <si>
    <t>BELL ROBERT BENJAMIN</t>
  </si>
  <si>
    <t>BELL DONNA RIVERS</t>
  </si>
  <si>
    <t>622 RIVERBEND DR</t>
  </si>
  <si>
    <t>I6080A0006</t>
  </si>
  <si>
    <t>JONES ZHAIBRIAN KEIOCHA</t>
  </si>
  <si>
    <t>729 WHITNEY RD</t>
  </si>
  <si>
    <t>H5200A0022</t>
  </si>
  <si>
    <t>FOLINO ERNEST</t>
  </si>
  <si>
    <t>124 DRAYTON CT</t>
  </si>
  <si>
    <t>27028-7281</t>
  </si>
  <si>
    <t>C8010A0067</t>
  </si>
  <si>
    <t>ONEILL JUDY B</t>
  </si>
  <si>
    <t>122 LAKESIDE XING</t>
  </si>
  <si>
    <t>F20000002601</t>
  </si>
  <si>
    <t>DILLOW JEREMIAH D</t>
  </si>
  <si>
    <t>KRAMER SAMANTHA M</t>
  </si>
  <si>
    <t>202 ASH DR</t>
  </si>
  <si>
    <t>J5050B0046</t>
  </si>
  <si>
    <t>BLAKE BRANDON CLAY</t>
  </si>
  <si>
    <t>BLAKE HAILEY ALEXUS</t>
  </si>
  <si>
    <t>221 CARRIAGE COVE CIR</t>
  </si>
  <si>
    <t>M400000004</t>
  </si>
  <si>
    <t>KEATON JONATHAN</t>
  </si>
  <si>
    <t>933 WALLACE STREET</t>
  </si>
  <si>
    <t>D9090D0021</t>
  </si>
  <si>
    <t>MCGUIRE DE'AN HALL</t>
  </si>
  <si>
    <t>285 HOLLYBROOK DR</t>
  </si>
  <si>
    <t>J60000005421</t>
  </si>
  <si>
    <t>DAVIE COUNTY ECONOMIC DEVELOPMENT COMMISSION INC</t>
  </si>
  <si>
    <t>135 S SALISBURY ST</t>
  </si>
  <si>
    <t>27028-2337</t>
  </si>
  <si>
    <t>H7120B0001</t>
  </si>
  <si>
    <t>GREG PARRISH BUILDERS INC</t>
  </si>
  <si>
    <t>207 TURNER ST</t>
  </si>
  <si>
    <t>27104-3733</t>
  </si>
  <si>
    <t>C8010A0010</t>
  </si>
  <si>
    <t>REYNOLDS SHELIA</t>
  </si>
  <si>
    <t>139 WINDSOR CIR</t>
  </si>
  <si>
    <t>I6080A0009</t>
  </si>
  <si>
    <t>HARPER APRIL</t>
  </si>
  <si>
    <t>HARPER JEREMY</t>
  </si>
  <si>
    <t>747 WHITNEY RD</t>
  </si>
  <si>
    <t>D9090D0027</t>
  </si>
  <si>
    <t>CRAIN BRADFORD LEE</t>
  </si>
  <si>
    <t>CRAIN ALICE RHINEHARDT</t>
  </si>
  <si>
    <t>351 HOLLYBROOK DR</t>
  </si>
  <si>
    <t>I700000048</t>
  </si>
  <si>
    <t>MYERS FALON ALEXANDRA</t>
  </si>
  <si>
    <t>317 STAPLEWOOD RD</t>
  </si>
  <si>
    <t>27295-6326</t>
  </si>
  <si>
    <t>H60000000401</t>
  </si>
  <si>
    <t>WATTS CURTIS KEITH</t>
  </si>
  <si>
    <t>WATTS MARY ELIZABETH</t>
  </si>
  <si>
    <t>147 STONY FIELD TRL</t>
  </si>
  <si>
    <t>H500000003</t>
  </si>
  <si>
    <t>2021 US HIGHWAY 158</t>
  </si>
  <si>
    <t>M5090B0017</t>
  </si>
  <si>
    <t>H8060A0029</t>
  </si>
  <si>
    <t>WALKER CAROLINE B</t>
  </si>
  <si>
    <t>148 S HEMINGWAY CT</t>
  </si>
  <si>
    <t>J5010D0131</t>
  </si>
  <si>
    <t>ATKINSON TALETHA</t>
  </si>
  <si>
    <t>155 CHARLESTON MEADOW LOOP</t>
  </si>
  <si>
    <t>I5050B0058</t>
  </si>
  <si>
    <t>COPPEDGE SAMANTHA JACQUELINE</t>
  </si>
  <si>
    <t>COPPEDGE TRACEY LAMAR</t>
  </si>
  <si>
    <t>687 WHITNEY RD</t>
  </si>
  <si>
    <t>G7040B0014</t>
  </si>
  <si>
    <t>SWIERGIEL MARSHALL JOSEPH III</t>
  </si>
  <si>
    <t>233 GRANADA DRIVE</t>
  </si>
  <si>
    <t>J600000081</t>
  </si>
  <si>
    <t>DOMUS HOLDINGS LLC</t>
  </si>
  <si>
    <t>3735 CHEROKEE ST NW</t>
  </si>
  <si>
    <t>KENNESAW</t>
  </si>
  <si>
    <t>30144-2081</t>
  </si>
  <si>
    <t>I6080A0042</t>
  </si>
  <si>
    <t>NELSON TYLER</t>
  </si>
  <si>
    <t>108 ISLEE CT</t>
  </si>
  <si>
    <t>I5110A0012</t>
  </si>
  <si>
    <t>STANLEY BERNICE ROBBINS</t>
  </si>
  <si>
    <t>255 MOUNTVIEW DRIVE</t>
  </si>
  <si>
    <t>M50000000301</t>
  </si>
  <si>
    <t>SPILLMAN DONALD</t>
  </si>
  <si>
    <t>366 HOBSON DR</t>
  </si>
  <si>
    <t>27028-6659</t>
  </si>
  <si>
    <t>H9080B0010</t>
  </si>
  <si>
    <t>KEETON PAUL G</t>
  </si>
  <si>
    <t>KEETON DAWN E</t>
  </si>
  <si>
    <t>139 SHERWOOD CT</t>
  </si>
  <si>
    <t>C50000007301</t>
  </si>
  <si>
    <t>I6080A0004</t>
  </si>
  <si>
    <t>BUSH TYSON</t>
  </si>
  <si>
    <t>BUSH LAUREN</t>
  </si>
  <si>
    <t>715 WHITNEY RD</t>
  </si>
  <si>
    <t>H50000003102</t>
  </si>
  <si>
    <t>JONES REGINALD EUGENE II</t>
  </si>
  <si>
    <t>JONES BRANDI RENEE REAVIS</t>
  </si>
  <si>
    <t>264 OAK GROVE CHURCH RD</t>
  </si>
  <si>
    <t>J5010D0108</t>
  </si>
  <si>
    <t>STEWART CASHAWN</t>
  </si>
  <si>
    <t>194 CHARLESTON MEADOW LOOP</t>
  </si>
  <si>
    <t>E7130A0007</t>
  </si>
  <si>
    <t>MORGAN SHAYNA TURNER</t>
  </si>
  <si>
    <t>MORGAN JOSHUA RHYAN</t>
  </si>
  <si>
    <t>120 SOMERSET CT</t>
  </si>
  <si>
    <t>K80000002085</t>
  </si>
  <si>
    <t>FRANK ERNEST R</t>
  </si>
  <si>
    <t>FRANK RENEE M</t>
  </si>
  <si>
    <t>215 WILD FLOWER LN</t>
  </si>
  <si>
    <t>30114-7177</t>
  </si>
  <si>
    <t>N5010B0034</t>
  </si>
  <si>
    <t>MULLIS KELLY</t>
  </si>
  <si>
    <t>TAYLOR MATTHEW GIBSON</t>
  </si>
  <si>
    <t>162 DUKE ST</t>
  </si>
  <si>
    <t>G500000076</t>
  </si>
  <si>
    <t>SMITH PATSY</t>
  </si>
  <si>
    <t>KAREN FIELDS</t>
  </si>
  <si>
    <t>2678 US HIGHWAY 158</t>
  </si>
  <si>
    <t>D7030C0014</t>
  </si>
  <si>
    <t>GANTT DRUCILLA HALLUMS</t>
  </si>
  <si>
    <t>GANTT ZACHARY THOMAS</t>
  </si>
  <si>
    <t>221 S CLAYBON DR</t>
  </si>
  <si>
    <t>C40000001001</t>
  </si>
  <si>
    <t>HEDRICK NATHAN</t>
  </si>
  <si>
    <t>HEDRICK KELLI MCDONALD</t>
  </si>
  <si>
    <t>3535 NC HIGHWAY 801 N</t>
  </si>
  <si>
    <t>27028-6330</t>
  </si>
  <si>
    <t>J5050B0014</t>
  </si>
  <si>
    <t>WALKER JAMIE RAY</t>
  </si>
  <si>
    <t>WALKER SHANNON CASEY</t>
  </si>
  <si>
    <t>198 CARRIAGE COVE CIR</t>
  </si>
  <si>
    <t>D9090A0006</t>
  </si>
  <si>
    <t>BRILLHART ELAINE M</t>
  </si>
  <si>
    <t>121 WILLOWBROOK PL</t>
  </si>
  <si>
    <t>M40000001015</t>
  </si>
  <si>
    <t>M4010A0003</t>
  </si>
  <si>
    <t>M4010A0004</t>
  </si>
  <si>
    <t>M4010A0005</t>
  </si>
  <si>
    <t>M4010A0001</t>
  </si>
  <si>
    <t>M4010A0002</t>
  </si>
  <si>
    <t>M4010A0021</t>
  </si>
  <si>
    <t>M5100B002202</t>
  </si>
  <si>
    <t>M5100C0025</t>
  </si>
  <si>
    <t>N5020A0005</t>
  </si>
  <si>
    <t>M50000000703</t>
  </si>
  <si>
    <t>G500000004</t>
  </si>
  <si>
    <t>G30000001603</t>
  </si>
  <si>
    <t>L5020B0001</t>
  </si>
  <si>
    <t>I4120B0004</t>
  </si>
  <si>
    <t>M5070A0009</t>
  </si>
  <si>
    <t>M5100A0006</t>
  </si>
  <si>
    <t>M5100A000701</t>
  </si>
  <si>
    <t>M40000001002</t>
  </si>
  <si>
    <t>M5100B0023</t>
  </si>
  <si>
    <t>J4050D0013</t>
  </si>
  <si>
    <t>I400000039</t>
  </si>
  <si>
    <t>J4040D0008</t>
  </si>
  <si>
    <t>J30000001105</t>
  </si>
  <si>
    <t>N60000007107</t>
  </si>
  <si>
    <t>J30000001106</t>
  </si>
  <si>
    <t>L5070A0028  A</t>
  </si>
  <si>
    <t>M5020A0028</t>
  </si>
  <si>
    <t>M5020A0029</t>
  </si>
  <si>
    <t>M5020A0021</t>
  </si>
  <si>
    <t>M5020A0002</t>
  </si>
  <si>
    <t>M4050B0009</t>
  </si>
  <si>
    <t>G500000070</t>
  </si>
  <si>
    <t>L5020B0002</t>
  </si>
  <si>
    <t>M4010A0007</t>
  </si>
  <si>
    <t>M4010A0012</t>
  </si>
  <si>
    <t>M4010A0009</t>
  </si>
  <si>
    <t>M4010A0010</t>
  </si>
  <si>
    <t>M4010A0018</t>
  </si>
  <si>
    <t>L5020B0012</t>
  </si>
  <si>
    <t>L5020B0013</t>
  </si>
  <si>
    <t>M4010A0014</t>
  </si>
  <si>
    <t>M4010A0015</t>
  </si>
  <si>
    <t>M4010A0019</t>
  </si>
  <si>
    <t>M40000001001</t>
  </si>
  <si>
    <t>I40000003802</t>
  </si>
  <si>
    <t>K500000006</t>
  </si>
  <si>
    <t>M40000001020</t>
  </si>
  <si>
    <t>L5070A002802</t>
  </si>
  <si>
    <t>M40000001019</t>
  </si>
  <si>
    <t>M40000001016</t>
  </si>
  <si>
    <t>M40000001017</t>
  </si>
  <si>
    <t>M4010A0008</t>
  </si>
  <si>
    <t>M4010A0016</t>
  </si>
  <si>
    <t>M4010A0022</t>
  </si>
  <si>
    <t>M4010A0017</t>
  </si>
  <si>
    <t>M4010A0020  A</t>
  </si>
  <si>
    <t>M5150A000401</t>
  </si>
  <si>
    <t>M400000059</t>
  </si>
  <si>
    <t>M400000065</t>
  </si>
  <si>
    <t>H400000106</t>
  </si>
  <si>
    <t>NEW COVENANT PARTNERS XI LLC</t>
  </si>
  <si>
    <t>216 ANGELL KNOLL RD</t>
  </si>
  <si>
    <t>27028-1929</t>
  </si>
  <si>
    <t>E8170A0705</t>
  </si>
  <si>
    <t>WOLD KENT LEE</t>
  </si>
  <si>
    <t>WOLD SUE JANE</t>
  </si>
  <si>
    <t>119 LEGACY DR</t>
  </si>
  <si>
    <t>I5030A0034</t>
  </si>
  <si>
    <t>THE GROFF FAMILY TRUST</t>
  </si>
  <si>
    <t>2903 CAXTON GROVE DR</t>
  </si>
  <si>
    <t>89052-4567</t>
  </si>
  <si>
    <t>I5030A0025</t>
  </si>
  <si>
    <t>J5010D0122</t>
  </si>
  <si>
    <t>SEVILLE RICHARD II</t>
  </si>
  <si>
    <t>SEVILLE COURTNEY</t>
  </si>
  <si>
    <t>117 CHARLESTON MEADOW LOOP</t>
  </si>
  <si>
    <t>K300000034  A</t>
  </si>
  <si>
    <t>GAITHER AGUSTA A</t>
  </si>
  <si>
    <t>293 DAVIE ACADEMY RD</t>
  </si>
  <si>
    <t>C500000046</t>
  </si>
  <si>
    <t>HARTMAN BETTY R</t>
  </si>
  <si>
    <t>7002 HAMPTON RD</t>
  </si>
  <si>
    <t>27012-7120</t>
  </si>
  <si>
    <t>K500000049</t>
  </si>
  <si>
    <t>PALMER CASEY</t>
  </si>
  <si>
    <t>PALMER CHRISTOPHER</t>
  </si>
  <si>
    <t>673 DEADMON RD</t>
  </si>
  <si>
    <t>M50000001103</t>
  </si>
  <si>
    <t>MACLEAN ROGER AND LIBBY REV TRUST</t>
  </si>
  <si>
    <t>221 MAC LN</t>
  </si>
  <si>
    <t>27028-8363</t>
  </si>
  <si>
    <t>M50000001102</t>
  </si>
  <si>
    <t>K20000002706</t>
  </si>
  <si>
    <t>K20000002707</t>
  </si>
  <si>
    <t>C40000003806</t>
  </si>
  <si>
    <t>NORTH PINO LAND &amp; CATTLE COMPANY LLC</t>
  </si>
  <si>
    <t>L500000019</t>
  </si>
  <si>
    <t>DILLINGHAM LINDA S</t>
  </si>
  <si>
    <t>PO BOX 5</t>
  </si>
  <si>
    <t>27006-0005</t>
  </si>
  <si>
    <t>G3060E0003</t>
  </si>
  <si>
    <t>K10000001702</t>
  </si>
  <si>
    <t>MILLER MITCHELL PARRISH</t>
  </si>
  <si>
    <t>27028-0611</t>
  </si>
  <si>
    <t>M5160B0006</t>
  </si>
  <si>
    <t>DILLINGHAM NORMAN C</t>
  </si>
  <si>
    <t>N5010C0067</t>
  </si>
  <si>
    <t>C300000034  A</t>
  </si>
  <si>
    <t>C30000003402</t>
  </si>
  <si>
    <t>D9010C0009</t>
  </si>
  <si>
    <t>B500000100</t>
  </si>
  <si>
    <t>DILLINGHAM NORMAN</t>
  </si>
  <si>
    <t>DILLINGHAM LINDA</t>
  </si>
  <si>
    <t>B50000010002</t>
  </si>
  <si>
    <t>C40000006402</t>
  </si>
  <si>
    <t>C500000091</t>
  </si>
  <si>
    <t>B50000010003</t>
  </si>
  <si>
    <t>G3030A0066</t>
  </si>
  <si>
    <t>G3050A0011</t>
  </si>
  <si>
    <t>G3050A0005</t>
  </si>
  <si>
    <t>N5010B0026</t>
  </si>
  <si>
    <t>J600000089</t>
  </si>
  <si>
    <t>H800000016</t>
  </si>
  <si>
    <t>J7120A0006</t>
  </si>
  <si>
    <t>C700000071  A</t>
  </si>
  <si>
    <t>WEST BILLY F</t>
  </si>
  <si>
    <t>417 RAINBOW RD</t>
  </si>
  <si>
    <t>E600000055</t>
  </si>
  <si>
    <t>E60000005303</t>
  </si>
  <si>
    <t>G80000003304</t>
  </si>
  <si>
    <t>CAROWAY JOHNSON</t>
  </si>
  <si>
    <t>CONSTRUCTION LLC</t>
  </si>
  <si>
    <t>2428 LANSFORD CT</t>
  </si>
  <si>
    <t>27012-9731</t>
  </si>
  <si>
    <t>G80000003305</t>
  </si>
  <si>
    <t>J5050B0050</t>
  </si>
  <si>
    <t>TWINBROOK VILLAGE COMMUNITY ASSOCIATION INC</t>
  </si>
  <si>
    <t>2000 AERIAL CENTER PKWY</t>
  </si>
  <si>
    <t>SUITE 110</t>
  </si>
  <si>
    <t>27560-9294</t>
  </si>
  <si>
    <t>K10000001701</t>
  </si>
  <si>
    <t>MILLER ZACHARY SHEEK</t>
  </si>
  <si>
    <t>MILLER JOY RENEE</t>
  </si>
  <si>
    <t>5694 MISTY HILL CIR</t>
  </si>
  <si>
    <t>27012-9698</t>
  </si>
  <si>
    <t>J4140A0017</t>
  </si>
  <si>
    <t>BRANNOCK RUTH J</t>
  </si>
  <si>
    <t>148 NEW HAMPSHIRE CT</t>
  </si>
  <si>
    <t>I300000078</t>
  </si>
  <si>
    <t>NICHOLS JAIME C</t>
  </si>
  <si>
    <t>NICHOLS LEMUEL D</t>
  </si>
  <si>
    <t>152 BOONE FARM RD</t>
  </si>
  <si>
    <t>G700000067</t>
  </si>
  <si>
    <t>PLITT CHARLES WILLIAMS III</t>
  </si>
  <si>
    <t>2523 CORNATZER RD</t>
  </si>
  <si>
    <t>N60000005305</t>
  </si>
  <si>
    <t>HARRIS DANIEL E ETAL</t>
  </si>
  <si>
    <t>HARRIS NANCY B</t>
  </si>
  <si>
    <t>27028-6828</t>
  </si>
  <si>
    <t>N600000053</t>
  </si>
  <si>
    <t>G50000005601</t>
  </si>
  <si>
    <t>WHITAKER SAMANTHA W</t>
  </si>
  <si>
    <t>288 FOSTER DAIRY RD</t>
  </si>
  <si>
    <t>G50000005604</t>
  </si>
  <si>
    <t>G500000058</t>
  </si>
  <si>
    <t>D500000066</t>
  </si>
  <si>
    <t>PILCHER REBECCA B</t>
  </si>
  <si>
    <t>1288 FARMINGTON RD</t>
  </si>
  <si>
    <t>27028-7646</t>
  </si>
  <si>
    <t>B500000024</t>
  </si>
  <si>
    <t>E60000005604</t>
  </si>
  <si>
    <t>DIXSON PHILIP</t>
  </si>
  <si>
    <t>DIXSON MANDY</t>
  </si>
  <si>
    <t>157 OLD MARCH RD</t>
  </si>
  <si>
    <t>B20000001602</t>
  </si>
  <si>
    <t>MITCHELL LAURA WHITAKER</t>
  </si>
  <si>
    <t>MITCHELL CHARLES DAVID</t>
  </si>
  <si>
    <t>B20000001604</t>
  </si>
  <si>
    <t>KEATON SHERRY W</t>
  </si>
  <si>
    <t>KEATON CHARLES A</t>
  </si>
  <si>
    <t>1115 POWELL BRIDGE RD</t>
  </si>
  <si>
    <t>28634-9234</t>
  </si>
  <si>
    <t>B20000001603</t>
  </si>
  <si>
    <t>SWAIM SELENA K</t>
  </si>
  <si>
    <t>SWAIM ANDREW</t>
  </si>
  <si>
    <t>G50000000205</t>
  </si>
  <si>
    <t>PENN WILLIAM</t>
  </si>
  <si>
    <t>4209 KENDALL FARMS WAY</t>
  </si>
  <si>
    <t>27107-6886</t>
  </si>
  <si>
    <t>H2050B0012</t>
  </si>
  <si>
    <t>WILSON NATALIE</t>
  </si>
  <si>
    <t>2360 US HIGHWAY 64 W</t>
  </si>
  <si>
    <t>I40000004002</t>
  </si>
  <si>
    <t>ANGELL JUNKER LLC</t>
  </si>
  <si>
    <t>751 W 4TH ST</t>
  </si>
  <si>
    <t>27101-2791</t>
  </si>
  <si>
    <t>I40000003804</t>
  </si>
  <si>
    <t>I40000003801</t>
  </si>
  <si>
    <t>H40000010608</t>
  </si>
  <si>
    <t>H400000094</t>
  </si>
  <si>
    <t>GINTHER ROBERT C REV LIV TR</t>
  </si>
  <si>
    <t>320 GWYN ST</t>
  </si>
  <si>
    <t>I4120A0003</t>
  </si>
  <si>
    <t>I5090E000202</t>
  </si>
  <si>
    <t>GINTHER ROBERT C</t>
  </si>
  <si>
    <t>J80000001310</t>
  </si>
  <si>
    <t>CANTIN KENNETH J</t>
  </si>
  <si>
    <t>NORTON MARTA F</t>
  </si>
  <si>
    <t>304 FULTON RD</t>
  </si>
  <si>
    <t>G8140A0057</t>
  </si>
  <si>
    <t>GAMBLE CHRISTOPHER SCOTT</t>
  </si>
  <si>
    <t>GAMBLE CAROL J</t>
  </si>
  <si>
    <t>167 OAKCREST DR</t>
  </si>
  <si>
    <t>C300000023</t>
  </si>
  <si>
    <t>BARKER HEATHER FEATHERSTONE</t>
  </si>
  <si>
    <t>213 MARVIN BLVD</t>
  </si>
  <si>
    <t>27105-2619</t>
  </si>
  <si>
    <t>D9090B0014</t>
  </si>
  <si>
    <t>KOLTERMAN WENDA A</t>
  </si>
  <si>
    <t>141 OLEANDER DR</t>
  </si>
  <si>
    <t>I5090E000201</t>
  </si>
  <si>
    <t>I5090C0016</t>
  </si>
  <si>
    <t>I5090E000203</t>
  </si>
  <si>
    <t>I5090E0002</t>
  </si>
  <si>
    <t>J4050C0015</t>
  </si>
  <si>
    <t>I4060B0017</t>
  </si>
  <si>
    <t>L600000042</t>
  </si>
  <si>
    <t>J600000094</t>
  </si>
  <si>
    <t>ROBERT C GINTHER REV LIVING TRUST</t>
  </si>
  <si>
    <t>G700000047</t>
  </si>
  <si>
    <t>BR 2016 CORNATZER ROAD DST</t>
  </si>
  <si>
    <t>% BLUEROCK REAL ESTATE LLC</t>
  </si>
  <si>
    <t>1345 AVENUE OF THE AMERICAS</t>
  </si>
  <si>
    <t>32ND FLOOR SUITE B</t>
  </si>
  <si>
    <t>10105-0302</t>
  </si>
  <si>
    <t>J300000045</t>
  </si>
  <si>
    <t>BREWER TARA G</t>
  </si>
  <si>
    <t>1668 COUNTY HOME RD</t>
  </si>
  <si>
    <t>27028-8140</t>
  </si>
  <si>
    <t>G30000000206</t>
  </si>
  <si>
    <t>PFAFF ENTERPRISES LLC</t>
  </si>
  <si>
    <t>2041 ERVIN DR</t>
  </si>
  <si>
    <t>27020-7775</t>
  </si>
  <si>
    <t>H400000006</t>
  </si>
  <si>
    <t>N5020A0012</t>
  </si>
  <si>
    <t>RIDENHOUR MITCHELL W</t>
  </si>
  <si>
    <t>PO BOX 965</t>
  </si>
  <si>
    <t>27014-0965</t>
  </si>
  <si>
    <t>N500000011</t>
  </si>
  <si>
    <t>H300000056</t>
  </si>
  <si>
    <t>JOHNSON MARIAH</t>
  </si>
  <si>
    <t>2105 US HIGHWAY 64 W</t>
  </si>
  <si>
    <t>C70000003302</t>
  </si>
  <si>
    <t>WILLARD HAROLD DEAN</t>
  </si>
  <si>
    <t>768 REDLAND RD</t>
  </si>
  <si>
    <t>F60000005201</t>
  </si>
  <si>
    <t>SAYLOR TANYA LYNN</t>
  </si>
  <si>
    <t>SAYLOR ROBERT LEE</t>
  </si>
  <si>
    <t>3706 US HIGHWAY 158</t>
  </si>
  <si>
    <t>G500000103</t>
  </si>
  <si>
    <t>SHUTT LYLE</t>
  </si>
  <si>
    <t>SHUTT TRACIE</t>
  </si>
  <si>
    <t>308 MCCLAMROCK RD</t>
  </si>
  <si>
    <t>I4110A000607</t>
  </si>
  <si>
    <t>SALEEBY JEFF</t>
  </si>
  <si>
    <t>411 PRESCOTT DR</t>
  </si>
  <si>
    <t>28144-7781</t>
  </si>
  <si>
    <t>G3050A0009</t>
  </si>
  <si>
    <t>DUNAWAY LAURA FLYNN</t>
  </si>
  <si>
    <t>128 ROY DAVIS RD</t>
  </si>
  <si>
    <t>27028-5912</t>
  </si>
  <si>
    <t>I200000032</t>
  </si>
  <si>
    <t>MAC HONEY REVOCABLE TRUST</t>
  </si>
  <si>
    <t>743 GODBEY RD</t>
  </si>
  <si>
    <t>27028-8241</t>
  </si>
  <si>
    <t>C300000069</t>
  </si>
  <si>
    <t>HOFFNER ROSSIE DEAN</t>
  </si>
  <si>
    <t>4566 US HIGHWAY 601 N</t>
  </si>
  <si>
    <t>F30000005701</t>
  </si>
  <si>
    <t>KRUEGER KIMBERLY RENEE</t>
  </si>
  <si>
    <t>M500000020</t>
  </si>
  <si>
    <t>SQUARE INVESTMENTS LLC</t>
  </si>
  <si>
    <t>E7140A0006</t>
  </si>
  <si>
    <t>FROST JESSICA</t>
  </si>
  <si>
    <t>120 GRAYWOOD CT</t>
  </si>
  <si>
    <t>D60000002502</t>
  </si>
  <si>
    <t>ELLIOTT KELLY LLOYD</t>
  </si>
  <si>
    <t>125 S MAIN ST</t>
  </si>
  <si>
    <t>27284-2757</t>
  </si>
  <si>
    <t>G8010D0013</t>
  </si>
  <si>
    <t>MCGEE JOHN WAYNE</t>
  </si>
  <si>
    <t>MCGEE DAWN MARIE</t>
  </si>
  <si>
    <t>149 FOX TROT LN</t>
  </si>
  <si>
    <t>27006-7399</t>
  </si>
  <si>
    <t>J5010D0127</t>
  </si>
  <si>
    <t>HERNANDEZ MAYELI GARCIA</t>
  </si>
  <si>
    <t>MONCZEWSKI COLE</t>
  </si>
  <si>
    <t>139 CHARLESTON MEADOW LOOP</t>
  </si>
  <si>
    <t>J5090A001405</t>
  </si>
  <si>
    <t>EHRLICH WHEEL WORKS LLC</t>
  </si>
  <si>
    <t>119 CUSTOM DR</t>
  </si>
  <si>
    <t>27028-2564</t>
  </si>
  <si>
    <t>J5010D0140</t>
  </si>
  <si>
    <t>WILSON KEBRIA</t>
  </si>
  <si>
    <t>WILSON MAURICE VAUGHN</t>
  </si>
  <si>
    <t>197 CHARLESTON MEADOW LOOP</t>
  </si>
  <si>
    <t>E900000723</t>
  </si>
  <si>
    <t>129 CAUDLE MEADOWS DR</t>
  </si>
  <si>
    <t>D20000003004</t>
  </si>
  <si>
    <t>IRELAND DEWILLA MAE ETAL</t>
  </si>
  <si>
    <t>SINK JOHNATHAN KYLE</t>
  </si>
  <si>
    <t>4743 OLD US HIGHWAY 52</t>
  </si>
  <si>
    <t>27295-2365</t>
  </si>
  <si>
    <t>K200000014</t>
  </si>
  <si>
    <t>WILLIAMS WELESKA J</t>
  </si>
  <si>
    <t>692 BETHESDA RD</t>
  </si>
  <si>
    <t>28677-9724</t>
  </si>
  <si>
    <t>J800000042</t>
  </si>
  <si>
    <t>SMITH SARAH G</t>
  </si>
  <si>
    <t>PO BOX 884</t>
  </si>
  <si>
    <t>27293-0884</t>
  </si>
  <si>
    <t>J5010D0141</t>
  </si>
  <si>
    <t>WESTRICH RUSSELL JOHN</t>
  </si>
  <si>
    <t>WESTRICH MERRI JANE</t>
  </si>
  <si>
    <t>201 CHARLESTON MEADOW LOOP</t>
  </si>
  <si>
    <t>27028-2963</t>
  </si>
  <si>
    <t>J800000043</t>
  </si>
  <si>
    <t>D700000104</t>
  </si>
  <si>
    <t>ROGERS WILLIAM T SR</t>
  </si>
  <si>
    <t>I4010A0072</t>
  </si>
  <si>
    <t>PARDUE CHRISTOPHER A</t>
  </si>
  <si>
    <t>I4010A0045</t>
  </si>
  <si>
    <t>D8100D0017</t>
  </si>
  <si>
    <t>COLEY ROBERT E</t>
  </si>
  <si>
    <t>COLEY KAREN M</t>
  </si>
  <si>
    <t>263 SPYGLASS DR</t>
  </si>
  <si>
    <t>I6080A0003</t>
  </si>
  <si>
    <t>BUTLER SHARIEA</t>
  </si>
  <si>
    <t>709 WHITNEY RD</t>
  </si>
  <si>
    <t>E70000005001</t>
  </si>
  <si>
    <t>HORST KEVIN CHARLES</t>
  </si>
  <si>
    <t>HORST RUTH ANN</t>
  </si>
  <si>
    <t>176 PARDUE LOOP</t>
  </si>
  <si>
    <t>I6080A0041</t>
  </si>
  <si>
    <t>HAY MASON DAVID</t>
  </si>
  <si>
    <t>114 ISLEE CT</t>
  </si>
  <si>
    <t>I4010A0007</t>
  </si>
  <si>
    <t>PRUITT LIBBY</t>
  </si>
  <si>
    <t>169 TURNBERRY DR</t>
  </si>
  <si>
    <t>G90000001606</t>
  </si>
  <si>
    <t>THOMPSON ANGIE ETAL</t>
  </si>
  <si>
    <t>BYRD ANDREA OWENS</t>
  </si>
  <si>
    <t>173 COYETTE LN</t>
  </si>
  <si>
    <t>27006-7458</t>
  </si>
  <si>
    <t>J700000101</t>
  </si>
  <si>
    <t>RIVERVIEW LAND CO</t>
  </si>
  <si>
    <t>3313 US HIGHWAY 64 E</t>
  </si>
  <si>
    <t>J700000100</t>
  </si>
  <si>
    <t>L80000000602</t>
  </si>
  <si>
    <t>C600000093</t>
  </si>
  <si>
    <t>JOSEPH GRANVILLE WARREN REV TR</t>
  </si>
  <si>
    <t>94 HICKORY LEAF CT</t>
  </si>
  <si>
    <t>ROXBORO</t>
  </si>
  <si>
    <t>27573-5898</t>
  </si>
  <si>
    <t>C600000094</t>
  </si>
  <si>
    <t>N5020A001202</t>
  </si>
  <si>
    <t>SPRY KATHLEEN HEIRS OF</t>
  </si>
  <si>
    <t>H5190A0999</t>
  </si>
  <si>
    <t>MCALLISTER PARK HOMEOWNERS</t>
  </si>
  <si>
    <t>27028-7282</t>
  </si>
  <si>
    <t>O60000005901</t>
  </si>
  <si>
    <t>CLARK FRANK</t>
  </si>
  <si>
    <t>1529 UNDERPASS RD</t>
  </si>
  <si>
    <t>O60000005904</t>
  </si>
  <si>
    <t>CLARK GENEVA ESTATE</t>
  </si>
  <si>
    <t>O600000059</t>
  </si>
  <si>
    <t>H40000000703</t>
  </si>
  <si>
    <t>J50000003208</t>
  </si>
  <si>
    <t>H300000090</t>
  </si>
  <si>
    <t>G80000000507</t>
  </si>
  <si>
    <t>GUERRA EIMY A REYES</t>
  </si>
  <si>
    <t>2669 CORNATZER RD</t>
  </si>
  <si>
    <t>M5160B0034</t>
  </si>
  <si>
    <t>HILL ALAN TRAVIS</t>
  </si>
  <si>
    <t>106 YADKIN ST</t>
  </si>
  <si>
    <t>I6080A0037</t>
  </si>
  <si>
    <t>RIVERA ANABEL</t>
  </si>
  <si>
    <t>740 WHITNEY RD</t>
  </si>
  <si>
    <t>I6080A0007</t>
  </si>
  <si>
    <t>PRITCHARD LAURIE</t>
  </si>
  <si>
    <t>735 WHITNEY RD</t>
  </si>
  <si>
    <t>I90000000907</t>
  </si>
  <si>
    <t>BARNES CHAD ERIC</t>
  </si>
  <si>
    <t>167 FANTASIA LN</t>
  </si>
  <si>
    <t>27006-7508</t>
  </si>
  <si>
    <t>C70000009201</t>
  </si>
  <si>
    <t>SAM LAND HOLDINGS LLC</t>
  </si>
  <si>
    <t>230 WOODLEE DR</t>
  </si>
  <si>
    <t>J5160C0009</t>
  </si>
  <si>
    <t>GENTRY TRAVIS CRAIG</t>
  </si>
  <si>
    <t>LANE KELSEY MARIE</t>
  </si>
  <si>
    <t>261 RANDOM RD</t>
  </si>
  <si>
    <t>E30000002001</t>
  </si>
  <si>
    <t>SMITH KIMBERLY SLOAN</t>
  </si>
  <si>
    <t>191 EARL RD</t>
  </si>
  <si>
    <t>I30000003005</t>
  </si>
  <si>
    <t>O600000034</t>
  </si>
  <si>
    <t>SLEDGE LOUDETTA B HEIRS</t>
  </si>
  <si>
    <t>500 OAKWOOD DR</t>
  </si>
  <si>
    <t>SPENCER</t>
  </si>
  <si>
    <t>28159-1724</t>
  </si>
  <si>
    <t>K5100A0031</t>
  </si>
  <si>
    <t>E70000012707</t>
  </si>
  <si>
    <t>JEWELL WILLIAM ELLIOTT</t>
  </si>
  <si>
    <t>JEWELL DANIELA M</t>
  </si>
  <si>
    <t>1356 BEAUCHAMP RD</t>
  </si>
  <si>
    <t>G3060B0021</t>
  </si>
  <si>
    <t>MAST LAVERN DANIEL</t>
  </si>
  <si>
    <t>445 IJAMES CHURCH RD</t>
  </si>
  <si>
    <t>C8010A0223</t>
  </si>
  <si>
    <t>BARNHARDT JAMES MATTHEW</t>
  </si>
  <si>
    <t>BARNHARDT LORRAINE TERESA</t>
  </si>
  <si>
    <t>228 N FORKE DR</t>
  </si>
  <si>
    <t>I6080A0015</t>
  </si>
  <si>
    <t>MERCADANTE MATHEW</t>
  </si>
  <si>
    <t>770 WHITNEY RD</t>
  </si>
  <si>
    <t>B50000000902</t>
  </si>
  <si>
    <t>HIGH PERFORMANCE HOLDINGS LLC</t>
  </si>
  <si>
    <t>E20000002814</t>
  </si>
  <si>
    <t>STRICKLAND HEATHER B</t>
  </si>
  <si>
    <t>STRICKLAND CHRISTOPHER BRUCE</t>
  </si>
  <si>
    <t>251 BEAR CREEK CHURCH RD</t>
  </si>
  <si>
    <t>B50000001501</t>
  </si>
  <si>
    <t>ALLEN DEBBIE PENAFLOR</t>
  </si>
  <si>
    <t>2315 KAYWOOD LN</t>
  </si>
  <si>
    <t>27103-4810</t>
  </si>
  <si>
    <t>D8100C0021</t>
  </si>
  <si>
    <t>VENUTO JASON SCHELLENGER TR</t>
  </si>
  <si>
    <t>VENUTO LAURIE WINGATE TR</t>
  </si>
  <si>
    <t>156 SPYGLASS DR</t>
  </si>
  <si>
    <t>F8030A0015</t>
  </si>
  <si>
    <t>DONNA JONES AND CAROL I SHROBA</t>
  </si>
  <si>
    <t>JOINT REVOCABLE TRUST</t>
  </si>
  <si>
    <t>215 ESSEX FARM RD</t>
  </si>
  <si>
    <t>I6080A0036</t>
  </si>
  <si>
    <t>FUCHS JOSHUA</t>
  </si>
  <si>
    <t>FUCHS VERONICA</t>
  </si>
  <si>
    <t>746 WHITNEY RD</t>
  </si>
  <si>
    <t>I6080A0016</t>
  </si>
  <si>
    <t>DAVYDOV RUBEN</t>
  </si>
  <si>
    <t>DAVYDOV ELENA</t>
  </si>
  <si>
    <t>758 WHITNEY RD</t>
  </si>
  <si>
    <t>H40000004302</t>
  </si>
  <si>
    <t>RODRIGUEZ-ENRIQUEZ JAVIER</t>
  </si>
  <si>
    <t>RAMIREZ-VASQUEZ MELANIA ZIOMAR</t>
  </si>
  <si>
    <t>618 MARTIN LUTHER KING JR RD</t>
  </si>
  <si>
    <t>27028-7784</t>
  </si>
  <si>
    <t>J5010D0124</t>
  </si>
  <si>
    <t>EDWARDS DILLON</t>
  </si>
  <si>
    <t>EDWARDS LAUREN</t>
  </si>
  <si>
    <t>125 CHARLESTON MEADOW LOOP</t>
  </si>
  <si>
    <t>G600000039</t>
  </si>
  <si>
    <t>NAIL JAMES W REV LIV TRUST</t>
  </si>
  <si>
    <t>NAIL JAMES W TRUSTEE</t>
  </si>
  <si>
    <t>247 HOWARDTOWN RD</t>
  </si>
  <si>
    <t>H9080A0024</t>
  </si>
  <si>
    <t>142 E ROLLINGMEADOW RD</t>
  </si>
  <si>
    <t>F80000003503</t>
  </si>
  <si>
    <t>JOHNSON ZACHARY A</t>
  </si>
  <si>
    <t>JOHNSON ANGELA M</t>
  </si>
  <si>
    <t>188 PENNY LN</t>
  </si>
  <si>
    <t>27006-7637</t>
  </si>
  <si>
    <t>G200000084</t>
  </si>
  <si>
    <t>SMITH RANDY L</t>
  </si>
  <si>
    <t>648 FRED LANIER RD</t>
  </si>
  <si>
    <t>I4060A0025</t>
  </si>
  <si>
    <t>COLLETTE KATIE ELIZABETH</t>
  </si>
  <si>
    <t>B40000002303</t>
  </si>
  <si>
    <t>J6100A0005</t>
  </si>
  <si>
    <t>HILL MICHAEL DUDLEY</t>
  </si>
  <si>
    <t>MARDIS VICTORIA SUSAN</t>
  </si>
  <si>
    <t>127 N LAKE LOUISE DR</t>
  </si>
  <si>
    <t>J80000001317</t>
  </si>
  <si>
    <t>HERRERA ALBERTO SANDINO</t>
  </si>
  <si>
    <t>HERRERA ELIZABETH</t>
  </si>
  <si>
    <t>330 FULTON RD</t>
  </si>
  <si>
    <t>H5170A0030</t>
  </si>
  <si>
    <t>TIM AND ANDREA ROSE REV TRUST</t>
  </si>
  <si>
    <t>296 CANYON RD</t>
  </si>
  <si>
    <t>D500000091</t>
  </si>
  <si>
    <t>CAUDLE ROSE TAYLOR</t>
  </si>
  <si>
    <t>1728 FARMINGTON ROAD</t>
  </si>
  <si>
    <t>C600000101</t>
  </si>
  <si>
    <t>COMPTON TIMOTHY</t>
  </si>
  <si>
    <t>1212 NC HIGHWAY 801 N</t>
  </si>
  <si>
    <t>M4130A0008</t>
  </si>
  <si>
    <t>SALAZAR ALEXIS</t>
  </si>
  <si>
    <t>TERAN OLIVIA BASAN</t>
  </si>
  <si>
    <t>2030 JUNCTION RD</t>
  </si>
  <si>
    <t>I4010A0011</t>
  </si>
  <si>
    <t>HILTON DONNA</t>
  </si>
  <si>
    <t>183 TURNBERRY DR</t>
  </si>
  <si>
    <t>I4010A0006</t>
  </si>
  <si>
    <t>BARNES MARY Q</t>
  </si>
  <si>
    <t>165 TURNBERRY DR</t>
  </si>
  <si>
    <t>J700000018</t>
  </si>
  <si>
    <t>SCHWARZ PETER</t>
  </si>
  <si>
    <t>SCHWARZ MYRA</t>
  </si>
  <si>
    <t>171 JOE RD</t>
  </si>
  <si>
    <t>J5010D0005</t>
  </si>
  <si>
    <t>HERNANDEZ JOSE A</t>
  </si>
  <si>
    <t>HERNANDEZ AMALIA</t>
  </si>
  <si>
    <t>C7140A0042</t>
  </si>
  <si>
    <t>MOREN CORA HEALY</t>
  </si>
  <si>
    <t>MOREN GARY</t>
  </si>
  <si>
    <t>148 MORAVIAN CT</t>
  </si>
  <si>
    <t>27006-8014</t>
  </si>
  <si>
    <t>B500000101</t>
  </si>
  <si>
    <t>RAMOS CARLOS ALBERTO HECHAVARRIA</t>
  </si>
  <si>
    <t>FERNANDEZ ANNALIEN BAEZ</t>
  </si>
  <si>
    <t>2600 FARMINGTON RD</t>
  </si>
  <si>
    <t>27028-6209</t>
  </si>
  <si>
    <t>H30000008601</t>
  </si>
  <si>
    <t>DOUBLE J INVESTMENT PROPERTIES LLC</t>
  </si>
  <si>
    <t>H30000009101</t>
  </si>
  <si>
    <t>H30000009103</t>
  </si>
  <si>
    <t>B10000000601</t>
  </si>
  <si>
    <t>WARREN THOMAS FRANKLIN</t>
  </si>
  <si>
    <t>19008 COUR ESTATES</t>
  </si>
  <si>
    <t>LUTZ</t>
  </si>
  <si>
    <t>33558-2857</t>
  </si>
  <si>
    <t>B100000006</t>
  </si>
  <si>
    <t>B30000005304</t>
  </si>
  <si>
    <t>WHITAKER JAMES W</t>
  </si>
  <si>
    <t>WHITAKER HEATHER H</t>
  </si>
  <si>
    <t>128 EDISON ST</t>
  </si>
  <si>
    <t>27028-2110</t>
  </si>
  <si>
    <t>I5050D0024</t>
  </si>
  <si>
    <t>VARONA MANUEL</t>
  </si>
  <si>
    <t>VARONA PAULA</t>
  </si>
  <si>
    <t>431 MORSE ST</t>
  </si>
  <si>
    <t>27028-2829</t>
  </si>
  <si>
    <t>H300000042</t>
  </si>
  <si>
    <t>MYERS JAMES DWIGHT</t>
  </si>
  <si>
    <t>1915 US HIGHWAY 64 WEST</t>
  </si>
  <si>
    <t>C7140A0049</t>
  </si>
  <si>
    <t>POSTELL ANNA LYNN</t>
  </si>
  <si>
    <t>POSTELL MICHAEL</t>
  </si>
  <si>
    <t>111 MORAVIAN CT</t>
  </si>
  <si>
    <t>J5050B0045</t>
  </si>
  <si>
    <t>JENNINGS JERRY W</t>
  </si>
  <si>
    <t>JENNINGS WANDA D</t>
  </si>
  <si>
    <t>225 CARRIAGE COVE CIR</t>
  </si>
  <si>
    <t>M500000013</t>
  </si>
  <si>
    <t>TRITT KIM L</t>
  </si>
  <si>
    <t>1027 MIDWAY DR</t>
  </si>
  <si>
    <t>27055-5444</t>
  </si>
  <si>
    <t>J5010D0139</t>
  </si>
  <si>
    <t>GARLAND WESLEY HEATH</t>
  </si>
  <si>
    <t>GARLAND CHASITY BROOKE</t>
  </si>
  <si>
    <t>193 CHARLESTON MEADOW LOOP</t>
  </si>
  <si>
    <t>L5100A0023</t>
  </si>
  <si>
    <t>HUNTER MARY</t>
  </si>
  <si>
    <t>155 LIBERTY RD</t>
  </si>
  <si>
    <t>C8010A0111</t>
  </si>
  <si>
    <t>TEPER ROBERT</t>
  </si>
  <si>
    <t>191 BROOKSTONE DR</t>
  </si>
  <si>
    <t>G8130B000701</t>
  </si>
  <si>
    <t>MYERS ROBERT H ETAL</t>
  </si>
  <si>
    <t>MYERS TONI N</t>
  </si>
  <si>
    <t>163 SAM COPE RD</t>
  </si>
  <si>
    <t>I6080A0013</t>
  </si>
  <si>
    <t>COX TRYPHENA M</t>
  </si>
  <si>
    <t>769 WHITNEY RD</t>
  </si>
  <si>
    <t>E30000011101</t>
  </si>
  <si>
    <t>WHICKER ASHLEY BURD</t>
  </si>
  <si>
    <t>H4200A0013</t>
  </si>
  <si>
    <t>MONTGOMERY GUY</t>
  </si>
  <si>
    <t>MONTGOMERY KELLY</t>
  </si>
  <si>
    <t>151 EDGEWATER CT</t>
  </si>
  <si>
    <t>C700000147</t>
  </si>
  <si>
    <t>BRYANT BARBARA S</t>
  </si>
  <si>
    <t>127 WILLS RD</t>
  </si>
  <si>
    <t>D7030A0010</t>
  </si>
  <si>
    <t>REEVES KATHLEEN A</t>
  </si>
  <si>
    <t>COCKMAN JOSHUA C</t>
  </si>
  <si>
    <t>158 BRENTWOOD DR</t>
  </si>
  <si>
    <t>J5010D0144</t>
  </si>
  <si>
    <t>MEDLEY TARA NICOLE</t>
  </si>
  <si>
    <t>215 CHARLESTON MEADOW LOOP</t>
  </si>
  <si>
    <t>D500000104</t>
  </si>
  <si>
    <t>THOMPSON SARAH</t>
  </si>
  <si>
    <t>821 BOBBIT RD</t>
  </si>
  <si>
    <t>27028-7616</t>
  </si>
  <si>
    <t>C90000000305</t>
  </si>
  <si>
    <t>BRILLIG II LLC</t>
  </si>
  <si>
    <t>418 N TRADE ST</t>
  </si>
  <si>
    <t>27101-2830</t>
  </si>
  <si>
    <t>N5110A0008</t>
  </si>
  <si>
    <t>MILLER JASON E</t>
  </si>
  <si>
    <t>MILLER KATHERINE Z</t>
  </si>
  <si>
    <t>661 PINE RIDGE RD</t>
  </si>
  <si>
    <t>G50000001902</t>
  </si>
  <si>
    <t>EASTER DARLENE ETAL</t>
  </si>
  <si>
    <t>FOOTE LAVONDA</t>
  </si>
  <si>
    <t>262 MAIN CHURCH RD</t>
  </si>
  <si>
    <t>C300000109</t>
  </si>
  <si>
    <t>MOORE ADAM B TR AND CURTIS JOSHUA C TR</t>
  </si>
  <si>
    <t>416 JACK BOOE RD</t>
  </si>
  <si>
    <t>F50000000701</t>
  </si>
  <si>
    <t>MCCLAMROCK TONY RANDALL</t>
  </si>
  <si>
    <t>225 STACEY ST</t>
  </si>
  <si>
    <t>27360-9421</t>
  </si>
  <si>
    <t>N5110A000804</t>
  </si>
  <si>
    <t>H10000000602</t>
  </si>
  <si>
    <t>BAILEY GARY STEVEN</t>
  </si>
  <si>
    <t>BAILEY TERESA RUSSELL</t>
  </si>
  <si>
    <t>485 LUCY LAKE RD</t>
  </si>
  <si>
    <t>27054-9762</t>
  </si>
  <si>
    <t>I700000047</t>
  </si>
  <si>
    <t>STEWART RICKY LEE ETAL</t>
  </si>
  <si>
    <t>STEWART ELISA LONG</t>
  </si>
  <si>
    <t>1131 WILLIAMS RD</t>
  </si>
  <si>
    <t>J60000005433</t>
  </si>
  <si>
    <t>MEK MARKETING LLC</t>
  </si>
  <si>
    <t>8008 GLENGARRIFF RD</t>
  </si>
  <si>
    <t>27012-8829</t>
  </si>
  <si>
    <t>I30000005602</t>
  </si>
  <si>
    <t>MCCARTHY LANA C</t>
  </si>
  <si>
    <t>368 GREENHILL RD</t>
  </si>
  <si>
    <t>I6080A0014</t>
  </si>
  <si>
    <t>WALKER JOHN WILLIAM</t>
  </si>
  <si>
    <t>772 WHITNEY RD</t>
  </si>
  <si>
    <t>J60000005414</t>
  </si>
  <si>
    <t>I6080A0038</t>
  </si>
  <si>
    <t>KOCH CYNTHIA</t>
  </si>
  <si>
    <t>732 WHITNEY RD</t>
  </si>
  <si>
    <t>J5010D0133</t>
  </si>
  <si>
    <t>YOUNG DERRICK VICTOR</t>
  </si>
  <si>
    <t>YOUNG KAYLEIGH</t>
  </si>
  <si>
    <t>165 CHARLESTON MEADOW LOOP</t>
  </si>
  <si>
    <t>J10000001506</t>
  </si>
  <si>
    <t>BENFIELD JOHNNY EUGENE</t>
  </si>
  <si>
    <t>BENFIELD PATRICIA DIANE</t>
  </si>
  <si>
    <t>1835 RIDGE RD</t>
  </si>
  <si>
    <t>M5160B0029</t>
  </si>
  <si>
    <t>E30000012305</t>
  </si>
  <si>
    <t>SMITH WILLIAM EMMANUEL</t>
  </si>
  <si>
    <t>LAUCKS LAURIE ANN</t>
  </si>
  <si>
    <t>253 ROCKY SPRINGS TRL</t>
  </si>
  <si>
    <t>27028-5893</t>
  </si>
  <si>
    <t>J6100A0001</t>
  </si>
  <si>
    <t>DEAN NELSON M TR AND DEAN PATRICIA S TR</t>
  </si>
  <si>
    <t>NELSON AND PATRICIA DEAN REV T</t>
  </si>
  <si>
    <t>111 N LAKE LOUISE DR</t>
  </si>
  <si>
    <t>J5050B0037</t>
  </si>
  <si>
    <t>DUNN RICKY</t>
  </si>
  <si>
    <t>125 CARRIAGE COVE CIR</t>
  </si>
  <si>
    <t>I500000027</t>
  </si>
  <si>
    <t>CARLSON DONALD J</t>
  </si>
  <si>
    <t>211 KILBOURNE DR</t>
  </si>
  <si>
    <t>E900000684</t>
  </si>
  <si>
    <t>GIANNOPOULOS HELEN</t>
  </si>
  <si>
    <t>FIGG DARRIN G</t>
  </si>
  <si>
    <t>443 N HIDDENBROOKE DR</t>
  </si>
  <si>
    <t>E300000016</t>
  </si>
  <si>
    <t>WILKES DEBBIE S TR</t>
  </si>
  <si>
    <t>DEBBIE S WILKES LIVING TRUST</t>
  </si>
  <si>
    <t>J5010D0130</t>
  </si>
  <si>
    <t>CAMERON JENNIFER TR AND CAMERON THOMAS TR</t>
  </si>
  <si>
    <t>JENNIFER MARIE CAMERON TRUST</t>
  </si>
  <si>
    <t>51225 AMBER AVE</t>
  </si>
  <si>
    <t>STANCHFIELD</t>
  </si>
  <si>
    <t>55080-5137</t>
  </si>
  <si>
    <t>G50000001901</t>
  </si>
  <si>
    <t>C80000017705</t>
  </si>
  <si>
    <t>KINDERTON VILLAGE THREE LLC</t>
  </si>
  <si>
    <t>C80000017704</t>
  </si>
  <si>
    <t>N500000016  A</t>
  </si>
  <si>
    <t>SHORE JOE STEPHEN JR</t>
  </si>
  <si>
    <t>904 pineridge rd</t>
  </si>
  <si>
    <t>N500000016  B</t>
  </si>
  <si>
    <t>J5010D0132</t>
  </si>
  <si>
    <t>EPPS ROSALIND F</t>
  </si>
  <si>
    <t>161 CHARLESTON MEADOW LOOP</t>
  </si>
  <si>
    <t>D500000068</t>
  </si>
  <si>
    <t>BOGER BRENDA FAYE TRUSTEE</t>
  </si>
  <si>
    <t>211 FANCY BUTTONS LN</t>
  </si>
  <si>
    <t>D70000000301</t>
  </si>
  <si>
    <t>JONES JANET NOVAS</t>
  </si>
  <si>
    <t>JONES RICHARD BURKE</t>
  </si>
  <si>
    <t>729 REDLAND RD</t>
  </si>
  <si>
    <t>K50000002803</t>
  </si>
  <si>
    <t>HORN CLAUDE M</t>
  </si>
  <si>
    <t>129 TURRENTINE CHURCH RD</t>
  </si>
  <si>
    <t>N5010A0006</t>
  </si>
  <si>
    <t>THE BOARD OF TTEE WESTERN NC CONFERENCE UMC INC</t>
  </si>
  <si>
    <t>PO BOX 2757</t>
  </si>
  <si>
    <t>28070-2757</t>
  </si>
  <si>
    <t>C7140A0036</t>
  </si>
  <si>
    <t>YOUNG BEN DOUGLAS</t>
  </si>
  <si>
    <t>YOUNG KATHRYN SOBON</t>
  </si>
  <si>
    <t>118 MORAVIAN CT</t>
  </si>
  <si>
    <t>C8010B0337</t>
  </si>
  <si>
    <t>VANDEWEERD MICHAEL J</t>
  </si>
  <si>
    <t>215 KILBOURNE DR</t>
  </si>
  <si>
    <t>F80000002235</t>
  </si>
  <si>
    <t>ANCIL AND NANCIE JONES LIV TRU</t>
  </si>
  <si>
    <t>107 LANTERN DR</t>
  </si>
  <si>
    <t>J5010D0138</t>
  </si>
  <si>
    <t>DIXON OSCAR</t>
  </si>
  <si>
    <t>189 CHARLESTON MEADOW LOOP</t>
  </si>
  <si>
    <t>I700000046</t>
  </si>
  <si>
    <t>ROBERTSON NICHOLAS TIMOTHY</t>
  </si>
  <si>
    <t>1103 WILLIAMS ROAD</t>
  </si>
  <si>
    <t>H400000091</t>
  </si>
  <si>
    <t>TRAN CHAU</t>
  </si>
  <si>
    <t>TRAN LINHDA</t>
  </si>
  <si>
    <t>1679 PROSPECT RD</t>
  </si>
  <si>
    <t>30043-2754</t>
  </si>
  <si>
    <t>I5160A0043</t>
  </si>
  <si>
    <t>HOUSE OF WINDSOR LLC</t>
  </si>
  <si>
    <t>531 RABBIT FARM TRL</t>
  </si>
  <si>
    <t>I300000037</t>
  </si>
  <si>
    <t>TUTTEROW RAY CHARLES</t>
  </si>
  <si>
    <t>198 GREENHILL RD</t>
  </si>
  <si>
    <t>I300000036</t>
  </si>
  <si>
    <t>H300000076</t>
  </si>
  <si>
    <t>M5090B0018</t>
  </si>
  <si>
    <t>WHITE JESSIE</t>
  </si>
  <si>
    <t>27292-3949</t>
  </si>
  <si>
    <t>C100000017</t>
  </si>
  <si>
    <t>DOWNS CAROL A</t>
  </si>
  <si>
    <t>911 BEN ANDERSON RD</t>
  </si>
  <si>
    <t>B30000000613A</t>
  </si>
  <si>
    <t>PERRELL CLIFFORD O</t>
  </si>
  <si>
    <t>785 PETREE FARM LN</t>
  </si>
  <si>
    <t>27045-9895</t>
  </si>
  <si>
    <t>G600000001</t>
  </si>
  <si>
    <t>LEITH CHRISTOPHER MICHAEL</t>
  </si>
  <si>
    <t>LEITH KIMBERLY CONNER</t>
  </si>
  <si>
    <t>2428 ACANTHUS DR</t>
  </si>
  <si>
    <t>WAKE FOREST</t>
  </si>
  <si>
    <t>27587-7356</t>
  </si>
  <si>
    <t>G60000000101</t>
  </si>
  <si>
    <t>M500000001  A</t>
  </si>
  <si>
    <t>RUSSO SANDRA JEAN</t>
  </si>
  <si>
    <t>BURNS STEPHEN MICHAEL</t>
  </si>
  <si>
    <t>% GINA ANTALOCI</t>
  </si>
  <si>
    <t>PO BOX 624</t>
  </si>
  <si>
    <t>27014-0624</t>
  </si>
  <si>
    <t>J5050B0012</t>
  </si>
  <si>
    <t>LEBOUDEC-MATTHEWS VIRGINIE MARIE</t>
  </si>
  <si>
    <t>204 CARRIAGE COVE CIR</t>
  </si>
  <si>
    <t>J5090A0014</t>
  </si>
  <si>
    <t>MCCLAMROCK LARRY JOE</t>
  </si>
  <si>
    <t>1355 N MAIN ST</t>
  </si>
  <si>
    <t>M5160D0006</t>
  </si>
  <si>
    <t>MARSHALL AMY</t>
  </si>
  <si>
    <t>MARSHALL JAMES E</t>
  </si>
  <si>
    <t>1119 YADKINVILLE RD</t>
  </si>
  <si>
    <t>UNIT 682</t>
  </si>
  <si>
    <t>27028-2566</t>
  </si>
  <si>
    <t>M5090B0035</t>
  </si>
  <si>
    <t>E900000033</t>
  </si>
  <si>
    <t>BOLES DONALD R ETAL</t>
  </si>
  <si>
    <t>CALLOWAY WYNN B</t>
  </si>
  <si>
    <t>151 OAKMONT DR</t>
  </si>
  <si>
    <t>H600000072</t>
  </si>
  <si>
    <t>CAUDLE WILLIAM A III ETAL</t>
  </si>
  <si>
    <t>CAUDLE DANIEL LESLIE</t>
  </si>
  <si>
    <t>306 BRIGHTS LAKE RD</t>
  </si>
  <si>
    <t>HINESVILLE</t>
  </si>
  <si>
    <t>31313-1510</t>
  </si>
  <si>
    <t>O600000041</t>
  </si>
  <si>
    <t>SHOAF NATHAN C</t>
  </si>
  <si>
    <t>7766 NELSON LOOP</t>
  </si>
  <si>
    <t>FORT MEADE</t>
  </si>
  <si>
    <t>20755-1033</t>
  </si>
  <si>
    <t>F40000001601</t>
  </si>
  <si>
    <t>STONE MICHAEL J</t>
  </si>
  <si>
    <t>STONE VALERIE L</t>
  </si>
  <si>
    <t>907 CANA RD</t>
  </si>
  <si>
    <t>H30000005802</t>
  </si>
  <si>
    <t>CHAVEZ ROSA DELMI</t>
  </si>
  <si>
    <t>CHAVEZ SELENA</t>
  </si>
  <si>
    <t>2074 US HIGHWAY 64 W</t>
  </si>
  <si>
    <t>G3060A0012</t>
  </si>
  <si>
    <t>MAYES ANGELA</t>
  </si>
  <si>
    <t>137 NORTHBROOK DR</t>
  </si>
  <si>
    <t>J80000001316</t>
  </si>
  <si>
    <t>SAMUEL JUSTIN</t>
  </si>
  <si>
    <t>SAMUEL WHITNEY</t>
  </si>
  <si>
    <t>322 FULTON RD</t>
  </si>
  <si>
    <t>J5010D0145</t>
  </si>
  <si>
    <t>MILLER KEVIN ETAL</t>
  </si>
  <si>
    <t>LORA GABRIELA PAULINO</t>
  </si>
  <si>
    <t>219 CHARLESTON MEADOW LOOP</t>
  </si>
  <si>
    <t>C50000005712</t>
  </si>
  <si>
    <t>CHARLES PAUL J ETAL</t>
  </si>
  <si>
    <t>CHARLES LINDA LEE</t>
  </si>
  <si>
    <t>249 PINEVILLE RD</t>
  </si>
  <si>
    <t>K30000005302</t>
  </si>
  <si>
    <t>POE CYNTHIA GREEN</t>
  </si>
  <si>
    <t>119 WHITE DR</t>
  </si>
  <si>
    <t>27028-5476</t>
  </si>
  <si>
    <t>E50000001406</t>
  </si>
  <si>
    <t>N5080A0002</t>
  </si>
  <si>
    <t>289 DUKE ST</t>
  </si>
  <si>
    <t>B50000005701</t>
  </si>
  <si>
    <t>SALAZAR JUAN FRANCIXCO CHIQUITO</t>
  </si>
  <si>
    <t>298 PINEVILLE RD</t>
  </si>
  <si>
    <t>F60000000801</t>
  </si>
  <si>
    <t>STALEY RICHARD H</t>
  </si>
  <si>
    <t>STALEY M ELIZABETH</t>
  </si>
  <si>
    <t>118 CHAL SMITH RD</t>
  </si>
  <si>
    <t>27028-7624</t>
  </si>
  <si>
    <t>H3010B0001</t>
  </si>
  <si>
    <t>WILLIAMS PAUL HAUSER</t>
  </si>
  <si>
    <t>2246 US HIGHWAY 64 W</t>
  </si>
  <si>
    <t>J6050D0013</t>
  </si>
  <si>
    <t>MUSSELMAN PERCE ALAN</t>
  </si>
  <si>
    <t>113 CEDAR RIDGE RD</t>
  </si>
  <si>
    <t>D500000022</t>
  </si>
  <si>
    <t>TATUM RYAN ANTHONY</t>
  </si>
  <si>
    <t>612 CEDAR CREEK ROAD</t>
  </si>
  <si>
    <t>L3010A0015</t>
  </si>
  <si>
    <t>WEAVER CHAD D</t>
  </si>
  <si>
    <t>WEAVER YOLANDA</t>
  </si>
  <si>
    <t>134 GLENWOOD RD</t>
  </si>
  <si>
    <t>K60000000507</t>
  </si>
  <si>
    <t>KARL ENAN J</t>
  </si>
  <si>
    <t>KARL ANGELA</t>
  </si>
  <si>
    <t>991 DEADMON RD</t>
  </si>
  <si>
    <t>F80000003504</t>
  </si>
  <si>
    <t>JOHNSON ZACHARY A AND JOHNSON ANGELA M</t>
  </si>
  <si>
    <t>J100000062</t>
  </si>
  <si>
    <t>GRIFFITH MICHAEL W</t>
  </si>
  <si>
    <t>D9050C0041</t>
  </si>
  <si>
    <t>MCCRAY GORDON EUGENE</t>
  </si>
  <si>
    <t>MCCRAY FREIDA TAYLOR</t>
  </si>
  <si>
    <t>8335 RIVERWALK DR</t>
  </si>
  <si>
    <t>27012-8575</t>
  </si>
  <si>
    <t>D9030A0042</t>
  </si>
  <si>
    <t>HARTUNG THOMAS L</t>
  </si>
  <si>
    <t>HARTUNG KATHY T</t>
  </si>
  <si>
    <t>137 JAMES WAY</t>
  </si>
  <si>
    <t>E40000003209</t>
  </si>
  <si>
    <t>CUJAS ALBERT RODGER JR</t>
  </si>
  <si>
    <t>I8110A0014</t>
  </si>
  <si>
    <t>KEETON MATTHEW DEAN</t>
  </si>
  <si>
    <t>KEETON MICHELLE DENITTIS</t>
  </si>
  <si>
    <t>3218 NC HIGHWAY 801 S</t>
  </si>
  <si>
    <t>B400000048</t>
  </si>
  <si>
    <t>SINK JAMES AARON</t>
  </si>
  <si>
    <t>SINK JENNIFER LUESCHER</t>
  </si>
  <si>
    <t>3524 WYO RD</t>
  </si>
  <si>
    <t>I5080C0005</t>
  </si>
  <si>
    <t>FRYE JOSEPH</t>
  </si>
  <si>
    <t>1100 N MAIN ST</t>
  </si>
  <si>
    <t>D8070A0063</t>
  </si>
  <si>
    <t>CHAMBERS JOSEPH B</t>
  </si>
  <si>
    <t>CHAMBERS LAURA A</t>
  </si>
  <si>
    <t>140 GOLFVIEW DR</t>
  </si>
  <si>
    <t>H400000152</t>
  </si>
  <si>
    <t>H40000008201</t>
  </si>
  <si>
    <t>ACEDEUCE PROPERTIES LLC</t>
  </si>
  <si>
    <t>104 MULL STREET</t>
  </si>
  <si>
    <t>N6010A0008</t>
  </si>
  <si>
    <t>BOXWOOD ESTATES LLC</t>
  </si>
  <si>
    <t>PO BOX 4124</t>
  </si>
  <si>
    <t>28145-4124</t>
  </si>
  <si>
    <t>N6010A0007</t>
  </si>
  <si>
    <t>N6010A0009</t>
  </si>
  <si>
    <t>H40000000614</t>
  </si>
  <si>
    <t>3405 CLEMMONS LLC</t>
  </si>
  <si>
    <t>2588 W CLEMMONSVILLE RD</t>
  </si>
  <si>
    <t>H40000000609</t>
  </si>
  <si>
    <t>H40000000611</t>
  </si>
  <si>
    <t>H40000000702</t>
  </si>
  <si>
    <t>F500000035  A</t>
  </si>
  <si>
    <t>ROGERS &amp; ROGERS PROPERTIES LLC</t>
  </si>
  <si>
    <t>373 MAE ZIMMERMAN DRIVE</t>
  </si>
  <si>
    <t>C700000165</t>
  </si>
  <si>
    <t>HILO ENTERPRISES LLC</t>
  </si>
  <si>
    <t>C700000166</t>
  </si>
  <si>
    <t>N4040A002704</t>
  </si>
  <si>
    <t>SOUTH YADKIN POWER INC</t>
  </si>
  <si>
    <t>1324 COLTRANE MILL ROAD</t>
  </si>
  <si>
    <t>RANDLEMAN</t>
  </si>
  <si>
    <t>27317-0000</t>
  </si>
  <si>
    <t>H400000085</t>
  </si>
  <si>
    <t>N6010A0002</t>
  </si>
  <si>
    <t>N6010A0003</t>
  </si>
  <si>
    <t>N6010A0004</t>
  </si>
  <si>
    <t>N6010A0005</t>
  </si>
  <si>
    <t>I5090E0010</t>
  </si>
  <si>
    <t>HARDING MATTHEW AARON</t>
  </si>
  <si>
    <t>J4040C001101</t>
  </si>
  <si>
    <t>C7140A0022</t>
  </si>
  <si>
    <t>COE DONALD R JR</t>
  </si>
  <si>
    <t>KIM HEENA</t>
  </si>
  <si>
    <t>148 BRAYDEN DR</t>
  </si>
  <si>
    <t>27006-8012</t>
  </si>
  <si>
    <t>J6100B0012</t>
  </si>
  <si>
    <t>NGUYEN TAN T</t>
  </si>
  <si>
    <t>NGUYEN HIEU T</t>
  </si>
  <si>
    <t>107 FINING CT</t>
  </si>
  <si>
    <t>27295-2195</t>
  </si>
  <si>
    <t>E600000059</t>
  </si>
  <si>
    <t>NEGRETE RICARDO BUENO</t>
  </si>
  <si>
    <t>MENDOZA MARIA CARINA</t>
  </si>
  <si>
    <t>6776 HAMPTON RD</t>
  </si>
  <si>
    <t>27012-7117</t>
  </si>
  <si>
    <t>D9090C0006</t>
  </si>
  <si>
    <t>BOYD ESTHER GILKISON</t>
  </si>
  <si>
    <t>BOYD WILLIAM</t>
  </si>
  <si>
    <t>124 LAUREL PL</t>
  </si>
  <si>
    <t>I4010A0042</t>
  </si>
  <si>
    <t>ENGELHARDT DEBRA N</t>
  </si>
  <si>
    <t>ENGELHARDT ROBERT A</t>
  </si>
  <si>
    <t>110 S WENTWORTH DR</t>
  </si>
  <si>
    <t>27028-2096</t>
  </si>
  <si>
    <t>B50000001304</t>
  </si>
  <si>
    <t>HUTCHENS LUGINA P</t>
  </si>
  <si>
    <t>648 PINEVILLE RD</t>
  </si>
  <si>
    <t>E900000999</t>
  </si>
  <si>
    <t>BALTIMORE RE LLC</t>
  </si>
  <si>
    <t>N5110A001503</t>
  </si>
  <si>
    <t>VANDYKE JUSTIN ETAL</t>
  </si>
  <si>
    <t>VANDYKE LACEY</t>
  </si>
  <si>
    <t>134 FORD TRL</t>
  </si>
  <si>
    <t>27028-6782</t>
  </si>
  <si>
    <t>G800000213</t>
  </si>
  <si>
    <t>YAMAOKA FAMILY LIVING TRUST</t>
  </si>
  <si>
    <t>B10000001902</t>
  </si>
  <si>
    <t>SWAIM MORGAN NICOLE</t>
  </si>
  <si>
    <t>STOKES DENVER CHASE</t>
  </si>
  <si>
    <t>2629 FISH BRANDON RD</t>
  </si>
  <si>
    <t>27055-6209</t>
  </si>
  <si>
    <t>D30000000601</t>
  </si>
  <si>
    <t>J-MAC PROPERTIES LLC</t>
  </si>
  <si>
    <t>PO BOX 4367</t>
  </si>
  <si>
    <t>27204-4367</t>
  </si>
  <si>
    <t>D9090E0007</t>
  </si>
  <si>
    <t>BRADY WILLIAM ALEX</t>
  </si>
  <si>
    <t>BRADY SUSAN DECKER</t>
  </si>
  <si>
    <t>367 HOLLYBROOK DR</t>
  </si>
  <si>
    <t>J6100A0008</t>
  </si>
  <si>
    <t>FOSTER JANE J TR</t>
  </si>
  <si>
    <t>JANE J FOSTER LIVING TRUST</t>
  </si>
  <si>
    <t>137 N LAKE LOUISE DR</t>
  </si>
  <si>
    <t>N6010A0006</t>
  </si>
  <si>
    <t>N6010A0001</t>
  </si>
  <si>
    <t>C8030A000991</t>
  </si>
  <si>
    <t>MISLANG JAMES JOHN II</t>
  </si>
  <si>
    <t>179 PINEWOOD LN</t>
  </si>
  <si>
    <t>J5010D0143</t>
  </si>
  <si>
    <t>VANDEWEERD ERIN</t>
  </si>
  <si>
    <t>211 CHARLESTON MEADOW LOOP</t>
  </si>
  <si>
    <t>B7010A0005</t>
  </si>
  <si>
    <t>MAYSE MATTHEW C</t>
  </si>
  <si>
    <t>6200 HACKERS BEND CT</t>
  </si>
  <si>
    <t>D8070B0004</t>
  </si>
  <si>
    <t>CAPPS CURTIS W</t>
  </si>
  <si>
    <t>CARTWRIGHT DEBORAH F</t>
  </si>
  <si>
    <t>137 FESCUE DRIVE</t>
  </si>
  <si>
    <t>D8080A0009</t>
  </si>
  <si>
    <t>STEARNS INVESTMENTS 11 LLC</t>
  </si>
  <si>
    <t>208 JANALYN CIRCLE</t>
  </si>
  <si>
    <t>GOLDEN VALLEY</t>
  </si>
  <si>
    <t>I4130C0009</t>
  </si>
  <si>
    <t>SWICEGOOD DEVELOPMENT LLC</t>
  </si>
  <si>
    <t>C30000007215</t>
  </si>
  <si>
    <t>BLAKLEY HOLDINGS LLC</t>
  </si>
  <si>
    <t>D100000020</t>
  </si>
  <si>
    <t>D10000001903</t>
  </si>
  <si>
    <t>O60000002105</t>
  </si>
  <si>
    <t>HOLLMON FRANCES</t>
  </si>
  <si>
    <t>PO BOX 1229</t>
  </si>
  <si>
    <t>28070-1229</t>
  </si>
  <si>
    <t>J10000004004</t>
  </si>
  <si>
    <t>JIMENEZ ISIDRO OLEA</t>
  </si>
  <si>
    <t>156 WILLIAMS ST</t>
  </si>
  <si>
    <t>J10000004005</t>
  </si>
  <si>
    <t>N5010B0025</t>
  </si>
  <si>
    <t>GUERRERO DANIEL I</t>
  </si>
  <si>
    <t>HERNANDEZ DELMY MARTINEZ</t>
  </si>
  <si>
    <t>M5150A0002</t>
  </si>
  <si>
    <t>C500000004</t>
  </si>
  <si>
    <t>YOUNG JUSTIN DANIEL</t>
  </si>
  <si>
    <t>115 MINTORA LN</t>
  </si>
  <si>
    <t>M50000000106</t>
  </si>
  <si>
    <t>SATURNINO BULMARO BARBONIO</t>
  </si>
  <si>
    <t>8223 TOWERPOINT DR</t>
  </si>
  <si>
    <t>C7140A0085</t>
  </si>
  <si>
    <t>KAMRATH AMY S</t>
  </si>
  <si>
    <t>112 MORNING STAR DR</t>
  </si>
  <si>
    <t>27006-8015</t>
  </si>
  <si>
    <t>G30000000424</t>
  </si>
  <si>
    <t>ALVAREZ IAN</t>
  </si>
  <si>
    <t>ROSE MARTHA K</t>
  </si>
  <si>
    <t>144 ARGYLE CT</t>
  </si>
  <si>
    <t>D700000230</t>
  </si>
  <si>
    <t>FORMAN LIV TRUST</t>
  </si>
  <si>
    <t>14875 VIA DEL CANON</t>
  </si>
  <si>
    <t>DEL MAR</t>
  </si>
  <si>
    <t>92014-4203</t>
  </si>
  <si>
    <t>G30000008416</t>
  </si>
  <si>
    <t>NC DEVELOPMENT STRATEGIES I LLC</t>
  </si>
  <si>
    <t>1311 WOODLAND ST</t>
  </si>
  <si>
    <t>37206-2820</t>
  </si>
  <si>
    <t>I5010A0021</t>
  </si>
  <si>
    <t>WEZZY'S HOLDING COMPANY</t>
  </si>
  <si>
    <t>I5080B0020</t>
  </si>
  <si>
    <t>H50000000104</t>
  </si>
  <si>
    <t>H50000000101</t>
  </si>
  <si>
    <t>H50000000102</t>
  </si>
  <si>
    <t>J60000003301</t>
  </si>
  <si>
    <t>J600000030  A</t>
  </si>
  <si>
    <t>J5010C0038</t>
  </si>
  <si>
    <t>J5010C0037</t>
  </si>
  <si>
    <t>J5010C0036</t>
  </si>
  <si>
    <t>G40000003307</t>
  </si>
  <si>
    <t>ANDERSON AGGREGATES LLC</t>
  </si>
  <si>
    <t>1227 BEAR CREEK CHURCH ROAD</t>
  </si>
  <si>
    <t>C40000000301</t>
  </si>
  <si>
    <t>WOWAC LLC</t>
  </si>
  <si>
    <t>C400000005</t>
  </si>
  <si>
    <t>C400000003</t>
  </si>
  <si>
    <t>C4160A0025</t>
  </si>
  <si>
    <t>G40000003308</t>
  </si>
  <si>
    <t>D9010E0001</t>
  </si>
  <si>
    <t>LIVENGOOD NANCY</t>
  </si>
  <si>
    <t>102 S RIVER HILL DR</t>
  </si>
  <si>
    <t>P700000001</t>
  </si>
  <si>
    <t>THREE RIVERS LAND TRUST INC</t>
  </si>
  <si>
    <t>204 E INNES ST STE 280</t>
  </si>
  <si>
    <t>28144-5191</t>
  </si>
  <si>
    <t>P70000000202</t>
  </si>
  <si>
    <t>I600000074</t>
  </si>
  <si>
    <t>E900000532</t>
  </si>
  <si>
    <t>DOBBINS CLARENCE WILLIAM</t>
  </si>
  <si>
    <t>DOBBINS ALTHEA</t>
  </si>
  <si>
    <t>271 N HIDDENBROOKE DR</t>
  </si>
  <si>
    <t>H4130A0127</t>
  </si>
  <si>
    <t>KENNEDY STEVEN</t>
  </si>
  <si>
    <t>114 GUMTREE CT</t>
  </si>
  <si>
    <t>D8060B0015</t>
  </si>
  <si>
    <t>GRAHAM FRED KENT</t>
  </si>
  <si>
    <t>GRAHAM LYNNE YATES</t>
  </si>
  <si>
    <t>204 TIFTON STREET</t>
  </si>
  <si>
    <t>27006-8543</t>
  </si>
  <si>
    <t>C70000016702</t>
  </si>
  <si>
    <t>H &amp; L VOYAGER PROPERTIES LLC</t>
  </si>
  <si>
    <t>149 YADKIN VALLEY RD</t>
  </si>
  <si>
    <t>27006-8782</t>
  </si>
  <si>
    <t>L5070A0029</t>
  </si>
  <si>
    <t>ELLIS FRED O</t>
  </si>
  <si>
    <t>E40000004602</t>
  </si>
  <si>
    <t>TDK LAND MANAGEMENT INC</t>
  </si>
  <si>
    <t>721 PUDDING RIDGE RD</t>
  </si>
  <si>
    <t>E40000004601</t>
  </si>
  <si>
    <t>C30000007216</t>
  </si>
  <si>
    <t>J10000004001</t>
  </si>
  <si>
    <t>J10000004002</t>
  </si>
  <si>
    <t>J10000004003</t>
  </si>
  <si>
    <t>I400000100</t>
  </si>
  <si>
    <t>WILSON BUILDING INC</t>
  </si>
  <si>
    <t>PO BOX 6658</t>
  </si>
  <si>
    <t>28687-6658</t>
  </si>
  <si>
    <t>J40000003605</t>
  </si>
  <si>
    <t>COCKERHAM WILLIAM C</t>
  </si>
  <si>
    <t>COCKERHAM ALESIA D</t>
  </si>
  <si>
    <t>po box 326</t>
  </si>
  <si>
    <t>D9010B0028</t>
  </si>
  <si>
    <t>MEADOWS JOHN A TR</t>
  </si>
  <si>
    <t>THE JOHN A MEADOWS FAM TRUST</t>
  </si>
  <si>
    <t>2734 PARK OAK DR</t>
  </si>
  <si>
    <t>27012-8619</t>
  </si>
  <si>
    <t>C70000011918</t>
  </si>
  <si>
    <t>RAY TENNILLE</t>
  </si>
  <si>
    <t>128 HAYWOOD DR</t>
  </si>
  <si>
    <t>D500000027</t>
  </si>
  <si>
    <t>GARRICK SEAN</t>
  </si>
  <si>
    <t>19415 WATERBRIDGE DR</t>
  </si>
  <si>
    <t>G600000048</t>
  </si>
  <si>
    <t>MCDANIEL JANICE JAMES</t>
  </si>
  <si>
    <t>386 HOWARDTOWN CIR</t>
  </si>
  <si>
    <t>G60000004801</t>
  </si>
  <si>
    <t>I5010C0003</t>
  </si>
  <si>
    <t>BENITEZ ABASITA VARGAS</t>
  </si>
  <si>
    <t>411 MARTIN LUTHER KING JR RD</t>
  </si>
  <si>
    <t>27028-7782</t>
  </si>
  <si>
    <t>J6100B0004</t>
  </si>
  <si>
    <t>NELSON AUSTIN</t>
  </si>
  <si>
    <t>NELSON ELISE</t>
  </si>
  <si>
    <t>148 RESERVE DR</t>
  </si>
  <si>
    <t>L5010A0002</t>
  </si>
  <si>
    <t>THOMAS MIRON D</t>
  </si>
  <si>
    <t>SPORS KERRYANNE</t>
  </si>
  <si>
    <t>2006 US HIGHWAY 601 S</t>
  </si>
  <si>
    <t>J4140B0052</t>
  </si>
  <si>
    <t>HENDRIX COMMERCIAL &amp; INDUSTRIAL ENTERPRISES INC</t>
  </si>
  <si>
    <t>6350 CEPHIS DR</t>
  </si>
  <si>
    <t>27012-9230</t>
  </si>
  <si>
    <t>D8080A0004</t>
  </si>
  <si>
    <t>I80000001803</t>
  </si>
  <si>
    <t>WEBB ISAAC DEAN</t>
  </si>
  <si>
    <t>204 LIVENGOOD RD</t>
  </si>
  <si>
    <t>L60000002103</t>
  </si>
  <si>
    <t>BRASON PROPERTIES LLC</t>
  </si>
  <si>
    <t>5014 CASTING WAY</t>
  </si>
  <si>
    <t>27455-3435</t>
  </si>
  <si>
    <t>N5010C0054</t>
  </si>
  <si>
    <t>BARRIOS SASHA</t>
  </si>
  <si>
    <t>8315 RIVERBIRCH DR</t>
  </si>
  <si>
    <t>APT 105</t>
  </si>
  <si>
    <t>28210-5992</t>
  </si>
  <si>
    <t>F30000006202</t>
  </si>
  <si>
    <t>NIVENS JANE RUMPLE</t>
  </si>
  <si>
    <t>NIVENS KIMBERLY LAVADA</t>
  </si>
  <si>
    <t>917 HOWARDTOWN RD</t>
  </si>
  <si>
    <t>27028-7244</t>
  </si>
  <si>
    <t>F300000061</t>
  </si>
  <si>
    <t>NIVENS LEROY JR</t>
  </si>
  <si>
    <t>NIVENS LAVADA JANE RUMPLE</t>
  </si>
  <si>
    <t>G700000016</t>
  </si>
  <si>
    <t>G700000018</t>
  </si>
  <si>
    <t>C400000006</t>
  </si>
  <si>
    <t>B200000014</t>
  </si>
  <si>
    <t>WEATHERMAN ARNOLD G ETAL</t>
  </si>
  <si>
    <t>271 BELL BRANCH RD</t>
  </si>
  <si>
    <t>O60000007002</t>
  </si>
  <si>
    <t>H7120B0002</t>
  </si>
  <si>
    <t>EMERT BOBBY GENE</t>
  </si>
  <si>
    <t>EMERT DEBORAH O'QUINN</t>
  </si>
  <si>
    <t>118 OLD DUTCH RD</t>
  </si>
  <si>
    <t>L40000003707</t>
  </si>
  <si>
    <t>LAGLE PENNY ALLEN</t>
  </si>
  <si>
    <t>245 DOWN YONDER TRL</t>
  </si>
  <si>
    <t>L40000003001</t>
  </si>
  <si>
    <t>F70000002311</t>
  </si>
  <si>
    <t>TUCKER SUNNI L</t>
  </si>
  <si>
    <t>464 BRUSHY MOUNTAIN TRL</t>
  </si>
  <si>
    <t>27006-7871</t>
  </si>
  <si>
    <t>E300000048</t>
  </si>
  <si>
    <t>SNYDER D LINDSAY</t>
  </si>
  <si>
    <t>250 PAUL EATON ROAD</t>
  </si>
  <si>
    <t>N60000007708</t>
  </si>
  <si>
    <t>VERNON RICHARD S</t>
  </si>
  <si>
    <t>M60000005302</t>
  </si>
  <si>
    <t>SHETLER ANNIE</t>
  </si>
  <si>
    <t>C8010C0027</t>
  </si>
  <si>
    <t>WHITE JAMES E</t>
  </si>
  <si>
    <t>WHITE PATRICIA P</t>
  </si>
  <si>
    <t>10008 VAIL DR</t>
  </si>
  <si>
    <t>27517-7400</t>
  </si>
  <si>
    <t>D8070D0027</t>
  </si>
  <si>
    <t>MILLER JAMES P</t>
  </si>
  <si>
    <t>MILLER ELLYNE</t>
  </si>
  <si>
    <t>192 FAIRWAY DR</t>
  </si>
  <si>
    <t>J6100B0016</t>
  </si>
  <si>
    <t>REVOCABLE LIVING TRUST</t>
  </si>
  <si>
    <t>169 RESERVE DR</t>
  </si>
  <si>
    <t>D8080A0003</t>
  </si>
  <si>
    <t>L30000001101</t>
  </si>
  <si>
    <t>HAMILTON KEVIN D</t>
  </si>
  <si>
    <t>HAMILTON KRISTINA L</t>
  </si>
  <si>
    <t>G90000001605</t>
  </si>
  <si>
    <t>ALLEN KEVIN WAYNE</t>
  </si>
  <si>
    <t>147 COYETTE LN</t>
  </si>
  <si>
    <t>G900000015</t>
  </si>
  <si>
    <t>G900000014</t>
  </si>
  <si>
    <t>B60000002001</t>
  </si>
  <si>
    <t>LASHMIT BETH AMANDA</t>
  </si>
  <si>
    <t>591 SPILLMAN RD</t>
  </si>
  <si>
    <t>27028-7817</t>
  </si>
  <si>
    <t>B600000020  A</t>
  </si>
  <si>
    <t>K500000088</t>
  </si>
  <si>
    <t>COUCH TANNER</t>
  </si>
  <si>
    <t>SPENCER MARIE</t>
  </si>
  <si>
    <t>546 DEADMON RD</t>
  </si>
  <si>
    <t>C7140A0080</t>
  </si>
  <si>
    <t>BEDICK ROBERT CHARLES</t>
  </si>
  <si>
    <t>BEDICK JENNIFER GRAY</t>
  </si>
  <si>
    <t>119 MORNING STAR DR</t>
  </si>
  <si>
    <t>J60000005428</t>
  </si>
  <si>
    <t>SHELTON JOSEPH CONWAY</t>
  </si>
  <si>
    <t>SHELTON RAYMONDA SAUNDERS</t>
  </si>
  <si>
    <t>152 OLD SIX WAY</t>
  </si>
  <si>
    <t>27028-7382</t>
  </si>
  <si>
    <t>O600000070</t>
  </si>
  <si>
    <t>NAYLOR JACK ANTHONY</t>
  </si>
  <si>
    <t>NAYLOR CHRISTINE SWANSON</t>
  </si>
  <si>
    <t>351 COUNTRY LN</t>
  </si>
  <si>
    <t>G10000004202</t>
  </si>
  <si>
    <t>ALLEN STEVEN</t>
  </si>
  <si>
    <t>ALLEN LINDA M</t>
  </si>
  <si>
    <t>189 CLAUDE RATLEDGE ROAD</t>
  </si>
  <si>
    <t>K60000002701</t>
  </si>
  <si>
    <t>LAWSON JOHN E III</t>
  </si>
  <si>
    <t>LAWSON JODI</t>
  </si>
  <si>
    <t>1286 DEADMON RD</t>
  </si>
  <si>
    <t>27028-5150</t>
  </si>
  <si>
    <t>M60000003101</t>
  </si>
  <si>
    <t>ALLEN TONY E</t>
  </si>
  <si>
    <t>ALLEN BARBARA C</t>
  </si>
  <si>
    <t>137 WOLF LANE</t>
  </si>
  <si>
    <t>J7010A0003</t>
  </si>
  <si>
    <t>LEAR WILLIAM JOSEPH</t>
  </si>
  <si>
    <t>121 HICKORY TREE ROAD</t>
  </si>
  <si>
    <t>H5170A0043</t>
  </si>
  <si>
    <t>LEIMONE BRIAN</t>
  </si>
  <si>
    <t>LEIMONE SARAH</t>
  </si>
  <si>
    <t>195 CANYON RD</t>
  </si>
  <si>
    <t>H40000003601</t>
  </si>
  <si>
    <t>CARTER LARRY DEAN</t>
  </si>
  <si>
    <t>CARTER PATRICIA A</t>
  </si>
  <si>
    <t>9704 AGILE CIRCLE</t>
  </si>
  <si>
    <t>H70000005003</t>
  </si>
  <si>
    <t>LAIRD DEBBIE</t>
  </si>
  <si>
    <t>191 WILDWOOD LANE</t>
  </si>
  <si>
    <t>H4130A0008</t>
  </si>
  <si>
    <t>LANDRETH BRENDA</t>
  </si>
  <si>
    <t>LANDRETH DAMON</t>
  </si>
  <si>
    <t>117 SUMMIT DRIVE</t>
  </si>
  <si>
    <t>L70000001206</t>
  </si>
  <si>
    <t>ANGELL BARBARA JEAN</t>
  </si>
  <si>
    <t>5555 NC HIGHWAY 801 S</t>
  </si>
  <si>
    <t>L700000012</t>
  </si>
  <si>
    <t>J4050D0010</t>
  </si>
  <si>
    <t>D7020A0015</t>
  </si>
  <si>
    <t>LANE HERMAN JR</t>
  </si>
  <si>
    <t>LANE DECOMA LOVE</t>
  </si>
  <si>
    <t>213 BRENTWOOD DRIVE</t>
  </si>
  <si>
    <t>H600000050</t>
  </si>
  <si>
    <t>ALBERTY RAYMOND DONALD</t>
  </si>
  <si>
    <t>ALBERTY MARY LOUISE</t>
  </si>
  <si>
    <t>2416 MILLING ROAD</t>
  </si>
  <si>
    <t>E600000074</t>
  </si>
  <si>
    <t>ALLEN CHARLIE HEIRS</t>
  </si>
  <si>
    <t>ALLEN V</t>
  </si>
  <si>
    <t>% ROBERT W ALLEN</t>
  </si>
  <si>
    <t>1402 WHEATON LN</t>
  </si>
  <si>
    <t>20902-3662</t>
  </si>
  <si>
    <t>L5070A0017</t>
  </si>
  <si>
    <t>ARNOLD STACEY R</t>
  </si>
  <si>
    <t>14070 CLAYBORN ST</t>
  </si>
  <si>
    <t>MIDLAND</t>
  </si>
  <si>
    <t>F60000010607</t>
  </si>
  <si>
    <t>ALLEN GERALD DOUGLAS</t>
  </si>
  <si>
    <t>617 HOWARDTOWN CIRCLE</t>
  </si>
  <si>
    <t>G90000001601</t>
  </si>
  <si>
    <t>ALLEN REBECCA E</t>
  </si>
  <si>
    <t>147 COYETTE LANE</t>
  </si>
  <si>
    <t>G90000001603</t>
  </si>
  <si>
    <t>G500000071</t>
  </si>
  <si>
    <t>SEATS CLYDE F JR</t>
  </si>
  <si>
    <t>J60000001002</t>
  </si>
  <si>
    <t>LIPSCOMB CHAD ALLEN</t>
  </si>
  <si>
    <t>1601 US HIGHWAY 64 EAST</t>
  </si>
  <si>
    <t>E600000017</t>
  </si>
  <si>
    <t>LIPSCOMB JAMES CLYDE</t>
  </si>
  <si>
    <t>F500000054</t>
  </si>
  <si>
    <t>N500000020</t>
  </si>
  <si>
    <t>PHELPS DENA B</t>
  </si>
  <si>
    <t>27014-0684</t>
  </si>
  <si>
    <t>I800000048</t>
  </si>
  <si>
    <t>BAILEY DON MICHAEL</t>
  </si>
  <si>
    <t>3205 NC HIGHWAY 801 S</t>
  </si>
  <si>
    <t>J800000030</t>
  </si>
  <si>
    <t>J80000003101</t>
  </si>
  <si>
    <t>C10000000206</t>
  </si>
  <si>
    <t>BAILEY ELIZABETH CULLER ETAL</t>
  </si>
  <si>
    <t>CULLER DONAVAN DUANE</t>
  </si>
  <si>
    <t>905 OLLIE HARKEY RD</t>
  </si>
  <si>
    <t>27028-5908</t>
  </si>
  <si>
    <t>C7140A0007</t>
  </si>
  <si>
    <t>BAILEY PEGGY D</t>
  </si>
  <si>
    <t>BAILEY BILLY RAY</t>
  </si>
  <si>
    <t>171 N CLAYBON DR</t>
  </si>
  <si>
    <t>D7030B0007</t>
  </si>
  <si>
    <t>LONGO DION A</t>
  </si>
  <si>
    <t>LONGO LINDA F</t>
  </si>
  <si>
    <t>221 CREEKWOOD DRIVE</t>
  </si>
  <si>
    <t>B30000005303</t>
  </si>
  <si>
    <t>BAITY TERRY RANDY</t>
  </si>
  <si>
    <t>3345 BAITY RD</t>
  </si>
  <si>
    <t>B400000006</t>
  </si>
  <si>
    <t>LOVERA SAUL PINA</t>
  </si>
  <si>
    <t>LOVERA CHARLOTTE PINA</t>
  </si>
  <si>
    <t>307 PEARL STREET</t>
  </si>
  <si>
    <t>K300000054</t>
  </si>
  <si>
    <t>SLOGICK NICHOLAS ALAN</t>
  </si>
  <si>
    <t>341 MAGNOLIA AVE</t>
  </si>
  <si>
    <t>J4060A0007</t>
  </si>
  <si>
    <t>I500000068</t>
  </si>
  <si>
    <t>ADAMS EUGENE</t>
  </si>
  <si>
    <t>401 MILLING ROAD</t>
  </si>
  <si>
    <t>M40000000902</t>
  </si>
  <si>
    <t>LOY SONYA HAMPTON</t>
  </si>
  <si>
    <t>276 KNOLL CREST ROAD</t>
  </si>
  <si>
    <t>I500000015</t>
  </si>
  <si>
    <t>L400000037</t>
  </si>
  <si>
    <t>LAGLE THOMAS JACKSON III</t>
  </si>
  <si>
    <t>246 DOWN YONDER TRL</t>
  </si>
  <si>
    <t>J400000011</t>
  </si>
  <si>
    <t>LYERLY ROBERT W</t>
  </si>
  <si>
    <t>341 TROUT VALLEY ROAD</t>
  </si>
  <si>
    <t>27587-5500</t>
  </si>
  <si>
    <t>J400000012</t>
  </si>
  <si>
    <t>C700000076</t>
  </si>
  <si>
    <t>BARNEY MARCIA LYNN</t>
  </si>
  <si>
    <t>827 NC HIGHWAY 801 N</t>
  </si>
  <si>
    <t>I700000043</t>
  </si>
  <si>
    <t>LYON RONALD LEE</t>
  </si>
  <si>
    <t>LYON PATRICA SMITH</t>
  </si>
  <si>
    <t>1064 WILLIAMS ROAD</t>
  </si>
  <si>
    <t>H700000103</t>
  </si>
  <si>
    <t>E70000010805</t>
  </si>
  <si>
    <t>ADAMS KEVIN JOSEPH</t>
  </si>
  <si>
    <t>ADAMS LISA BENNICK</t>
  </si>
  <si>
    <t>295 ARMSWORTHY RD</t>
  </si>
  <si>
    <t>F60000010608</t>
  </si>
  <si>
    <t>ALLEN PAULA S</t>
  </si>
  <si>
    <t>171 SAM ALLENS WAY</t>
  </si>
  <si>
    <t>27028-7765</t>
  </si>
  <si>
    <t>G500000012</t>
  </si>
  <si>
    <t>BARNHARDT EDWARD C</t>
  </si>
  <si>
    <t>BARNHARDT DORIS W</t>
  </si>
  <si>
    <t>693 MAIN CHURCH ROAD</t>
  </si>
  <si>
    <t>G40000003306</t>
  </si>
  <si>
    <t>G40000003304</t>
  </si>
  <si>
    <t>G40000003102</t>
  </si>
  <si>
    <t>E700000011</t>
  </si>
  <si>
    <t>LYONS RUBY</t>
  </si>
  <si>
    <t>4264 US HIGHWAY 158</t>
  </si>
  <si>
    <t>I90000002114</t>
  </si>
  <si>
    <t>MABE JASON ANDREW</t>
  </si>
  <si>
    <t>389 ZIMMERMAN ROAD</t>
  </si>
  <si>
    <t>E800000005</t>
  </si>
  <si>
    <t>BARR SAMUEL F</t>
  </si>
  <si>
    <t>114 BARR LN</t>
  </si>
  <si>
    <t>27006-7455</t>
  </si>
  <si>
    <t>D8020A0006</t>
  </si>
  <si>
    <t>ALLEN RANDAL BRIAN</t>
  </si>
  <si>
    <t>ALLEN HANNAH P</t>
  </si>
  <si>
    <t>281 IVY CIRCLE</t>
  </si>
  <si>
    <t>J4040G0004</t>
  </si>
  <si>
    <t>MAGAN WILLIAM E</t>
  </si>
  <si>
    <t>MAGAN BERNADETTE E</t>
  </si>
  <si>
    <t>519 S SALISBURY ST</t>
  </si>
  <si>
    <t>G700000060</t>
  </si>
  <si>
    <t>BEAL VIOLA RANSOM ESTATE</t>
  </si>
  <si>
    <t>1363 COUNTY HOME RD</t>
  </si>
  <si>
    <t>G700000088</t>
  </si>
  <si>
    <t>LAWSON DAVID E</t>
  </si>
  <si>
    <t>LAWSON HILDA G</t>
  </si>
  <si>
    <t>27265-1125</t>
  </si>
  <si>
    <t>E600000076</t>
  </si>
  <si>
    <t>ALLEN ROSE HEIRS</t>
  </si>
  <si>
    <t>20902-0000</t>
  </si>
  <si>
    <t>D100000018</t>
  </si>
  <si>
    <t>ANDERSON CHRISTOPHER W</t>
  </si>
  <si>
    <t>ANDERSON ERIN E</t>
  </si>
  <si>
    <t>F600000060</t>
  </si>
  <si>
    <t>BEDARD EDWIN C</t>
  </si>
  <si>
    <t>3406 US HIGHWAY 158</t>
  </si>
  <si>
    <t>27028-7841</t>
  </si>
  <si>
    <t>F300000011</t>
  </si>
  <si>
    <t>ARCOS ABDON IZAIR CASTORENA</t>
  </si>
  <si>
    <t>114 BUCKWHEAT DR</t>
  </si>
  <si>
    <t>28625-8502</t>
  </si>
  <si>
    <t>C70000009301</t>
  </si>
  <si>
    <t>LINEBERRY ERVIN W</t>
  </si>
  <si>
    <t>LINEBERRY JOY</t>
  </si>
  <si>
    <t>1221 FALCON ROAD</t>
  </si>
  <si>
    <t>27055-5633</t>
  </si>
  <si>
    <t>L5070A0006</t>
  </si>
  <si>
    <t>ARNOLD BEATRICE</t>
  </si>
  <si>
    <t>%ARNOLD JIMMY%</t>
  </si>
  <si>
    <t>134 EXCALIBUR LN</t>
  </si>
  <si>
    <t>27028-6645</t>
  </si>
  <si>
    <t>N60000007503</t>
  </si>
  <si>
    <t>BERRY ELIZABETH MILLER</t>
  </si>
  <si>
    <t>180 WINTERLOCKEN ROAD</t>
  </si>
  <si>
    <t>M50000001305</t>
  </si>
  <si>
    <t>LINK DAVID</t>
  </si>
  <si>
    <t>157 CREPE MYRTLE CIRCLE</t>
  </si>
  <si>
    <t>L600000023</t>
  </si>
  <si>
    <t>114 GLOUCESTER LN</t>
  </si>
  <si>
    <t>27028-5300</t>
  </si>
  <si>
    <t>L60000002104</t>
  </si>
  <si>
    <t>J4060D0035</t>
  </si>
  <si>
    <t>LINVILLE BRIAN LEE</t>
  </si>
  <si>
    <t>LINVILLE KIMBERLY H</t>
  </si>
  <si>
    <t>201 BEECHWOOD DRIVE</t>
  </si>
  <si>
    <t>K300000020</t>
  </si>
  <si>
    <t>AUSTIN WALTER PATRICK</t>
  </si>
  <si>
    <t>527 DAVIE ACADEMY RD</t>
  </si>
  <si>
    <t>I10000005002</t>
  </si>
  <si>
    <t>LLEWELLYN KELLY STROUD</t>
  </si>
  <si>
    <t>4070 US HWY 64 W</t>
  </si>
  <si>
    <t>J5160B0010</t>
  </si>
  <si>
    <t>LOGAN TERRY</t>
  </si>
  <si>
    <t>150 ROCKY KNOLL LN</t>
  </si>
  <si>
    <t>28634-9479</t>
  </si>
  <si>
    <t>B600000014</t>
  </si>
  <si>
    <t>LOWE EDWARD</t>
  </si>
  <si>
    <t>CAMPBELL KIMBERLY</t>
  </si>
  <si>
    <t>335 REDFIELD RD</t>
  </si>
  <si>
    <t>K60000001101</t>
  </si>
  <si>
    <t>LOY ERNEST BOBLEE</t>
  </si>
  <si>
    <t>N600000045</t>
  </si>
  <si>
    <t>BARKER RODNEY GREY</t>
  </si>
  <si>
    <t>BARKER SELENEA F</t>
  </si>
  <si>
    <t>312 BOXWOOD CHURCH ROAD</t>
  </si>
  <si>
    <t>I80000005602</t>
  </si>
  <si>
    <t>D20000003813</t>
  </si>
  <si>
    <t>LUSK CARL BRIAN</t>
  </si>
  <si>
    <t>229 MEADOW GLEN LN</t>
  </si>
  <si>
    <t>27028-0184</t>
  </si>
  <si>
    <t>E3070A0001</t>
  </si>
  <si>
    <t>G50000013301</t>
  </si>
  <si>
    <t>M400000077</t>
  </si>
  <si>
    <t>MAGALLANES JASON PAUL</t>
  </si>
  <si>
    <t>141 CLYDES TRL</t>
  </si>
  <si>
    <t>M500000019  A</t>
  </si>
  <si>
    <t>LEFLER MARGARET BAILEY</t>
  </si>
  <si>
    <t>7284 NC HWY 801 S</t>
  </si>
  <si>
    <t>H7030A0039</t>
  </si>
  <si>
    <t>LESTER JACQUELYN M</t>
  </si>
  <si>
    <t>164 HODSONS MHP RD</t>
  </si>
  <si>
    <t>27006-6629</t>
  </si>
  <si>
    <t>E40000004605</t>
  </si>
  <si>
    <t>MARKELL JAMES H</t>
  </si>
  <si>
    <t>MACK PAMELA N</t>
  </si>
  <si>
    <t>246 BUCKEYE TRAIL</t>
  </si>
  <si>
    <t>F50000003002</t>
  </si>
  <si>
    <t>SMITH GROVE CHURCH</t>
  </si>
  <si>
    <t>3492 US HIGHWAY 158</t>
  </si>
  <si>
    <t>F600000055</t>
  </si>
  <si>
    <t>D10000001801</t>
  </si>
  <si>
    <t>F10000005201</t>
  </si>
  <si>
    <t>BELK LINDSEY HUFFSTETLER</t>
  </si>
  <si>
    <t>194 EDWARDS RD</t>
  </si>
  <si>
    <t>28634-8913</t>
  </si>
  <si>
    <t>J700000092</t>
  </si>
  <si>
    <t>BOOIE JOAN BARNEY</t>
  </si>
  <si>
    <t>389 FORK BIXBY ROAD</t>
  </si>
  <si>
    <t>H60000001201</t>
  </si>
  <si>
    <t>BOOIE TALIA</t>
  </si>
  <si>
    <t>131 FISH FACE LANE</t>
  </si>
  <si>
    <t>H600000012</t>
  </si>
  <si>
    <t>J200000065</t>
  </si>
  <si>
    <t>BOSTICK ARTHUR L</t>
  </si>
  <si>
    <t>BOSTICK EVA S</t>
  </si>
  <si>
    <t>191 JONES ROAD-3</t>
  </si>
  <si>
    <t>D9010E0009</t>
  </si>
  <si>
    <t>BOTROS NADER R</t>
  </si>
  <si>
    <t>BOTROS HEBA K</t>
  </si>
  <si>
    <t>179 RIVER HILL DR</t>
  </si>
  <si>
    <t>J7010A0011</t>
  </si>
  <si>
    <t>187 HICKORY TREE ROAD</t>
  </si>
  <si>
    <t>D20000002506</t>
  </si>
  <si>
    <t>BRACKEN ALBERT THOMAS</t>
  </si>
  <si>
    <t>BRACKEN JUNE</t>
  </si>
  <si>
    <t>176 DUARD REAVIS ROAD</t>
  </si>
  <si>
    <t>D20000002501</t>
  </si>
  <si>
    <t>D20000002504</t>
  </si>
  <si>
    <t>N60000004707</t>
  </si>
  <si>
    <t>BENSON WALLACE JR</t>
  </si>
  <si>
    <t>200 BOXWOOD CHURCH RD</t>
  </si>
  <si>
    <t>H100000008</t>
  </si>
  <si>
    <t>BRACKEN ROBERT GLENN</t>
  </si>
  <si>
    <t>748 COUNTY LINE ROAD</t>
  </si>
  <si>
    <t>B300000031</t>
  </si>
  <si>
    <t>BRAGG DENNIS A</t>
  </si>
  <si>
    <t>5153 US HIGHWAY 601 NORTH</t>
  </si>
  <si>
    <t>G60000006403</t>
  </si>
  <si>
    <t>BRAQUET RAY M</t>
  </si>
  <si>
    <t>BRAQUET STEPHANIE C</t>
  </si>
  <si>
    <t>2245 MILLING ROAD</t>
  </si>
  <si>
    <t>G60000008204</t>
  </si>
  <si>
    <t>I5120B0018</t>
  </si>
  <si>
    <t>BETHEA CLEVELAND L</t>
  </si>
  <si>
    <t>242 WINWARD CIRCLE</t>
  </si>
  <si>
    <t>C30000007212</t>
  </si>
  <si>
    <t>BRIGGS NANCY G</t>
  </si>
  <si>
    <t>192 KENT L</t>
  </si>
  <si>
    <t>WEST PALM BEACH</t>
  </si>
  <si>
    <t>33417-1723</t>
  </si>
  <si>
    <t>N500000023</t>
  </si>
  <si>
    <t>BROADWAY ADAM DALE</t>
  </si>
  <si>
    <t>234 BROADWAY RD</t>
  </si>
  <si>
    <t>J400000041</t>
  </si>
  <si>
    <t>BROCK JOHN T</t>
  </si>
  <si>
    <t>27028-0241</t>
  </si>
  <si>
    <t>J40000004101</t>
  </si>
  <si>
    <t>D500000005  A</t>
  </si>
  <si>
    <t>D500000018</t>
  </si>
  <si>
    <t>M5100C0016</t>
  </si>
  <si>
    <t>BROOKS CHARLES RANDALL</t>
  </si>
  <si>
    <t>M4130A0034</t>
  </si>
  <si>
    <t>BLACKWELL LINDA</t>
  </si>
  <si>
    <t>C200000041</t>
  </si>
  <si>
    <t>BLEDSOE DEBBIE L</t>
  </si>
  <si>
    <t>561 JACK BOOE ROAD</t>
  </si>
  <si>
    <t>I5110C0004</t>
  </si>
  <si>
    <t>BROWN ELEANOR I</t>
  </si>
  <si>
    <t>142 WINDWARD CIRCLE</t>
  </si>
  <si>
    <t>I800000053</t>
  </si>
  <si>
    <t>MARKLAND CARLETON L</t>
  </si>
  <si>
    <t>MARKLAND SHIRLEY W</t>
  </si>
  <si>
    <t>P O BOX 2142</t>
  </si>
  <si>
    <t>G8120B0002</t>
  </si>
  <si>
    <t>G8120B000201</t>
  </si>
  <si>
    <t>G8120B0001</t>
  </si>
  <si>
    <t>G8050B0028</t>
  </si>
  <si>
    <t>H90000002505</t>
  </si>
  <si>
    <t>C30000010702</t>
  </si>
  <si>
    <t>C300000045</t>
  </si>
  <si>
    <t>BLEDSOE GARY DEAN</t>
  </si>
  <si>
    <t>4652 US HIGHWAY 601 N</t>
  </si>
  <si>
    <t>C30000004701</t>
  </si>
  <si>
    <t>BLEDSOE HAROLD</t>
  </si>
  <si>
    <t>BLEDSOE LUCILLE M</t>
  </si>
  <si>
    <t>4668 US HIGHWAY 601 NORTH</t>
  </si>
  <si>
    <t>I4120C000501</t>
  </si>
  <si>
    <t>BOGER FRANKLIN C</t>
  </si>
  <si>
    <t>BOGER LINDA S</t>
  </si>
  <si>
    <t>612 GARNER STREET</t>
  </si>
  <si>
    <t>I4120C0006</t>
  </si>
  <si>
    <t>I4120C0007</t>
  </si>
  <si>
    <t>G7050A0011</t>
  </si>
  <si>
    <t>MAKAS SHEILA RENEE</t>
  </si>
  <si>
    <t>170 PRINCETON COURT</t>
  </si>
  <si>
    <t>G3060A0034</t>
  </si>
  <si>
    <t>MALPASS ALVIN</t>
  </si>
  <si>
    <t>MALPASS BETTY</t>
  </si>
  <si>
    <t>153 STONY BROOK TRAIL</t>
  </si>
  <si>
    <t>G3060A003401</t>
  </si>
  <si>
    <t>G800000063</t>
  </si>
  <si>
    <t>MANDARANO APRIL GREEMAN TRUSTE</t>
  </si>
  <si>
    <t>142 WHITEHEAD DR</t>
  </si>
  <si>
    <t>G80000006504</t>
  </si>
  <si>
    <t>F3010A0007</t>
  </si>
  <si>
    <t>MARION ARVIL SCOTT</t>
  </si>
  <si>
    <t>MARION LORI S</t>
  </si>
  <si>
    <t>157 CITADEL RD</t>
  </si>
  <si>
    <t>C60000003602</t>
  </si>
  <si>
    <t>BEAUCHAMP PHILIP ANTHONY</t>
  </si>
  <si>
    <t>340 SPILLMAN ROAD</t>
  </si>
  <si>
    <t>E30000002105</t>
  </si>
  <si>
    <t>BECK MICHAEL W</t>
  </si>
  <si>
    <t>BECK TIFFANY B</t>
  </si>
  <si>
    <t>209 EARL ROAD</t>
  </si>
  <si>
    <t>E30000002103</t>
  </si>
  <si>
    <t>F3010A0008</t>
  </si>
  <si>
    <t>E900000288</t>
  </si>
  <si>
    <t>BOYD ROBERT W JR</t>
  </si>
  <si>
    <t>BOYD CONNIE S</t>
  </si>
  <si>
    <t>170 SAWGRASS DRIVE</t>
  </si>
  <si>
    <t>D200000025</t>
  </si>
  <si>
    <t>BRACKEN LOIS W HEIRS</t>
  </si>
  <si>
    <t>176 DUARD REAVIS RD</t>
  </si>
  <si>
    <t>E60000008001</t>
  </si>
  <si>
    <t>BREWER JOSEPH ALLEN</t>
  </si>
  <si>
    <t>BREWER KIMESIA L</t>
  </si>
  <si>
    <t>258 HOWARDTOWN CIRCLE</t>
  </si>
  <si>
    <t>E70000000401</t>
  </si>
  <si>
    <t>I4130F0006</t>
  </si>
  <si>
    <t>BROWN ANDREW D</t>
  </si>
  <si>
    <t>29 COURT SQUARE</t>
  </si>
  <si>
    <t>27028-2414</t>
  </si>
  <si>
    <t>J10000001701</t>
  </si>
  <si>
    <t>BROWN DIANNE Z</t>
  </si>
  <si>
    <t>9601 KERNS ROAD</t>
  </si>
  <si>
    <t>B400000040</t>
  </si>
  <si>
    <t>I5010B0010</t>
  </si>
  <si>
    <t>BOOE BOBBY</t>
  </si>
  <si>
    <t>I5020A0007</t>
  </si>
  <si>
    <t>MATLOCK CLEMENTEEN ROBBINS</t>
  </si>
  <si>
    <t>1346 NORTH MAIN STREET</t>
  </si>
  <si>
    <t>B400000034  A</t>
  </si>
  <si>
    <t>MCCLANNON BILLY WAYNE</t>
  </si>
  <si>
    <t>433 NORTH PINO ROAD</t>
  </si>
  <si>
    <t>B40000003404</t>
  </si>
  <si>
    <t>E6050A0006</t>
  </si>
  <si>
    <t>MCCRAW TIMOTHY WAYNE SR</t>
  </si>
  <si>
    <t>161 SHALLOWBROOK DRIVE</t>
  </si>
  <si>
    <t>E6050A0023</t>
  </si>
  <si>
    <t>I5060C0010</t>
  </si>
  <si>
    <t>CARTER FRANCES JEAN</t>
  </si>
  <si>
    <t>181 MARCONI STREET</t>
  </si>
  <si>
    <t>D70000008902</t>
  </si>
  <si>
    <t>MATTHEWS EDNA L</t>
  </si>
  <si>
    <t>3036 ROCKFORD ROAD</t>
  </si>
  <si>
    <t>BOONEVILLE</t>
  </si>
  <si>
    <t>L40000004104A</t>
  </si>
  <si>
    <t>MAUL BETH RENEE</t>
  </si>
  <si>
    <t>MAUL SHANNON WALTER</t>
  </si>
  <si>
    <t>148 KLUENIE ROAD</t>
  </si>
  <si>
    <t>O600000055</t>
  </si>
  <si>
    <t>WILLIAMS ANGELA &amp; ANYA</t>
  </si>
  <si>
    <t>574 BOXWOOD CHURCH ROAD</t>
  </si>
  <si>
    <t>E6040A000101</t>
  </si>
  <si>
    <t>MCKENZIE TARA</t>
  </si>
  <si>
    <t>BLAS PATRICK II</t>
  </si>
  <si>
    <t>211 SHALLOWBROOK DR</t>
  </si>
  <si>
    <t>E6040A0002</t>
  </si>
  <si>
    <t>F70000002304</t>
  </si>
  <si>
    <t>MCKNIGHT SUNNI TUCKER</t>
  </si>
  <si>
    <t>464 BRUSHY MOUNTAIN TRAIL</t>
  </si>
  <si>
    <t>B5010A0002</t>
  </si>
  <si>
    <t>HENDERSON MICHAEL</t>
  </si>
  <si>
    <t>467 PINEVILLE RD</t>
  </si>
  <si>
    <t>M5160A0009</t>
  </si>
  <si>
    <t>MCCAIN EDGAR</t>
  </si>
  <si>
    <t>MCCAIN DOLLY</t>
  </si>
  <si>
    <t>N60000007305</t>
  </si>
  <si>
    <t>BRYSON VICKIE S</t>
  </si>
  <si>
    <t>J600000012  A</t>
  </si>
  <si>
    <t>CAMPBELL BRIAN</t>
  </si>
  <si>
    <t>CAMPBELL LISA</t>
  </si>
  <si>
    <t>162 FAIRFAX LN</t>
  </si>
  <si>
    <t>G500000122</t>
  </si>
  <si>
    <t>MOXLEY DANIEL RAY</t>
  </si>
  <si>
    <t>MOXLEY MERCEDEZ KATHERINE</t>
  </si>
  <si>
    <t>2182 US HIGHWAY 158</t>
  </si>
  <si>
    <t>G500000123</t>
  </si>
  <si>
    <t>G8050B0011</t>
  </si>
  <si>
    <t>CARTER JACK M</t>
  </si>
  <si>
    <t>CARTER JANE W</t>
  </si>
  <si>
    <t>142 OLD MILL ROAD</t>
  </si>
  <si>
    <t>27006-7538</t>
  </si>
  <si>
    <t>F700000024</t>
  </si>
  <si>
    <t>G8050B0018</t>
  </si>
  <si>
    <t>G8050B0017</t>
  </si>
  <si>
    <t>N60000007306</t>
  </si>
  <si>
    <t>F800000096</t>
  </si>
  <si>
    <t>MARKLAND CARLTON</t>
  </si>
  <si>
    <t>1619 HIGHWAY 801 SOUTH</t>
  </si>
  <si>
    <t>J20000003502</t>
  </si>
  <si>
    <t>MARKLAND DANIEL LEE</t>
  </si>
  <si>
    <t>MARKLAND MEGAN JORDAN</t>
  </si>
  <si>
    <t>367 SHADY KNOLL LN</t>
  </si>
  <si>
    <t>F8020B0037</t>
  </si>
  <si>
    <t>MELENDEZ-BERRIOS AMANDA</t>
  </si>
  <si>
    <t>121 N HIGH FIELD ROAD</t>
  </si>
  <si>
    <t>H600000095</t>
  </si>
  <si>
    <t>H60000003003</t>
  </si>
  <si>
    <t>D9030A0008</t>
  </si>
  <si>
    <t>READER JASON</t>
  </si>
  <si>
    <t>READER JENNIFER</t>
  </si>
  <si>
    <t>198 JAMES WAY</t>
  </si>
  <si>
    <t>G70000014506</t>
  </si>
  <si>
    <t>BURGESS ANGELA LYNN</t>
  </si>
  <si>
    <t>316 GRANADA DRIVE</t>
  </si>
  <si>
    <t>E5020A0029</t>
  </si>
  <si>
    <t>BUTZBACK JOSEPH J</t>
  </si>
  <si>
    <t>BUTZBACK YVONNE S</t>
  </si>
  <si>
    <t>201 CORNWALLIS DRIVE</t>
  </si>
  <si>
    <t>H700000027</t>
  </si>
  <si>
    <t>MESSER JIMMY E JR</t>
  </si>
  <si>
    <t>MESSER KAREN R</t>
  </si>
  <si>
    <t>136 NAIL LANE</t>
  </si>
  <si>
    <t>M5100B0021</t>
  </si>
  <si>
    <t>MILLER ELBERT STEVENSON</t>
  </si>
  <si>
    <t>2010 US HIGHWAY 601 S</t>
  </si>
  <si>
    <t>L5010A0001</t>
  </si>
  <si>
    <t>MILLER JOHN CICERO JR</t>
  </si>
  <si>
    <t>2010 US HIGHWAY 601 SOUTH</t>
  </si>
  <si>
    <t>E7140A0001</t>
  </si>
  <si>
    <t>MARTIN GARY C SR</t>
  </si>
  <si>
    <t>MARTIN CAROLYN S</t>
  </si>
  <si>
    <t>195 REDLAND ROAD</t>
  </si>
  <si>
    <t>B300000021</t>
  </si>
  <si>
    <t>CAIN FRANK</t>
  </si>
  <si>
    <t>Peter Blaetz</t>
  </si>
  <si>
    <t>PO DRAWER 59</t>
  </si>
  <si>
    <t>K60000001702</t>
  </si>
  <si>
    <t>CHAFFIN CANDIS ANN CARTER</t>
  </si>
  <si>
    <t>2010 US HWY 64 EAST</t>
  </si>
  <si>
    <t>G50000006301</t>
  </si>
  <si>
    <t>CALL TIMOTHY LANCE</t>
  </si>
  <si>
    <t>3689 HEATHROW DR</t>
  </si>
  <si>
    <t>27127-4669</t>
  </si>
  <si>
    <t>G7040A0072</t>
  </si>
  <si>
    <t>MITCHEM MELISSA ANN</t>
  </si>
  <si>
    <t>270 LA QUINTA DR</t>
  </si>
  <si>
    <t>I4110C0014</t>
  </si>
  <si>
    <t>MOCK ELIZABETH</t>
  </si>
  <si>
    <t>499 RAYMOND ST</t>
  </si>
  <si>
    <t>27028-2017</t>
  </si>
  <si>
    <t>I200000002</t>
  </si>
  <si>
    <t>F70000000901</t>
  </si>
  <si>
    <t>MOCK GEORGE FRANK III</t>
  </si>
  <si>
    <t>390 OAK GROVE CHURCH ROAD</t>
  </si>
  <si>
    <t>H50000002904</t>
  </si>
  <si>
    <t>MOCK MARY D</t>
  </si>
  <si>
    <t>I5060A0022</t>
  </si>
  <si>
    <t>CAMPBELL MARY R</t>
  </si>
  <si>
    <t>314 MORSE STREET</t>
  </si>
  <si>
    <t>H50000002907</t>
  </si>
  <si>
    <t>MOCK MARY DEE LITTLE</t>
  </si>
  <si>
    <t>LITTLE MARTHA CECILE HEIRS</t>
  </si>
  <si>
    <t>390 OAK GROVE ROAD</t>
  </si>
  <si>
    <t>B40000001803</t>
  </si>
  <si>
    <t>HAYES DANNICA NICOLE</t>
  </si>
  <si>
    <t>MONTGOMERY BOBBY GRAY II</t>
  </si>
  <si>
    <t>164 MEADOWS EDGE DRIVE</t>
  </si>
  <si>
    <t>E8160A0016</t>
  </si>
  <si>
    <t>H10000000302</t>
  </si>
  <si>
    <t>CAMPBELL MICHAEL TODD</t>
  </si>
  <si>
    <t>175 DOBY ROAD</t>
  </si>
  <si>
    <t>K60000000301</t>
  </si>
  <si>
    <t>CAMPBELL REBA GAIL</t>
  </si>
  <si>
    <t>789 TURRENTINE CHURCH RD</t>
  </si>
  <si>
    <t>B30000000801</t>
  </si>
  <si>
    <t>MARTINEZ ELIZABETH B</t>
  </si>
  <si>
    <t>229 LEISURE LANE</t>
  </si>
  <si>
    <t>J70000000102</t>
  </si>
  <si>
    <t>MASON OCTAVIA Y JOHNSON</t>
  </si>
  <si>
    <t>349 NO CREEK ROAD</t>
  </si>
  <si>
    <t>J70000000105</t>
  </si>
  <si>
    <t>J4040B0004</t>
  </si>
  <si>
    <t>J4040B0005</t>
  </si>
  <si>
    <t>H600000074</t>
  </si>
  <si>
    <t>MCCLAMROCK ADAM WESLEY</t>
  </si>
  <si>
    <t>MCCLAMROCK FELICIA MYERS</t>
  </si>
  <si>
    <t>189 HEARTHSIDE LN</t>
  </si>
  <si>
    <t>27028-7222</t>
  </si>
  <si>
    <t>H600000075</t>
  </si>
  <si>
    <t>K60000001911</t>
  </si>
  <si>
    <t>MCDANIEL JONATHAN DAVID</t>
  </si>
  <si>
    <t>MCDANIEL JULIA BAKER</t>
  </si>
  <si>
    <t>337 FRANK SHORT RD</t>
  </si>
  <si>
    <t>K60000001901</t>
  </si>
  <si>
    <t>G800000224</t>
  </si>
  <si>
    <t>MOWBRAY LOUISE JAQUETTE</t>
  </si>
  <si>
    <t>317 RABBIT FARM TRAIL</t>
  </si>
  <si>
    <t>E6040A0001</t>
  </si>
  <si>
    <t>D60000006101A</t>
  </si>
  <si>
    <t>MCNEW FRED M HEIRS</t>
  </si>
  <si>
    <t>MCNEW BESSIE M HEIRS</t>
  </si>
  <si>
    <t>328 HARPER ROAD</t>
  </si>
  <si>
    <t>C700000060</t>
  </si>
  <si>
    <t>COLLINS MICHELLE</t>
  </si>
  <si>
    <t>890 NC HIGHWAY 801 N</t>
  </si>
  <si>
    <t>G200000052</t>
  </si>
  <si>
    <t>CARTER JANE WHITE</t>
  </si>
  <si>
    <t>G600000037</t>
  </si>
  <si>
    <t>CARTER SCOTTY TILDON</t>
  </si>
  <si>
    <t>148 TERRACE LANE</t>
  </si>
  <si>
    <t>G600000040</t>
  </si>
  <si>
    <t>N5010B0009</t>
  </si>
  <si>
    <t>WRIGHT JESSICA BELL</t>
  </si>
  <si>
    <t>PO BOX 585</t>
  </si>
  <si>
    <t>L400000010</t>
  </si>
  <si>
    <t>WEAVER BRIDGET</t>
  </si>
  <si>
    <t>WEAVER GARY LYNN</t>
  </si>
  <si>
    <t>762 JUNCTION RD</t>
  </si>
  <si>
    <t>C600000052</t>
  </si>
  <si>
    <t>MILLS MICHELLE AMBER</t>
  </si>
  <si>
    <t>703 East Main Street</t>
  </si>
  <si>
    <t>Little Chute</t>
  </si>
  <si>
    <t>J600000074</t>
  </si>
  <si>
    <t>H9070A0022</t>
  </si>
  <si>
    <t>MITCHELL KIMBERLY C</t>
  </si>
  <si>
    <t>MITCHELL WILLIAM</t>
  </si>
  <si>
    <t>155 IRISHMAN PLACE</t>
  </si>
  <si>
    <t>C8010A0192</t>
  </si>
  <si>
    <t>MOCK GEORGE J</t>
  </si>
  <si>
    <t>MOCK MALVINA G</t>
  </si>
  <si>
    <t>163 PARKVIEW LANE</t>
  </si>
  <si>
    <t>K10000001403</t>
  </si>
  <si>
    <t>383 VILLAGE ROAD</t>
  </si>
  <si>
    <t>G800000044</t>
  </si>
  <si>
    <t>MOONEYHAM DAVID WAYNE</t>
  </si>
  <si>
    <t>MOONEYHAM SANDRA JAMES</t>
  </si>
  <si>
    <t>185 FEED MILL ROAD</t>
  </si>
  <si>
    <t>M5100B0019</t>
  </si>
  <si>
    <t>NAIL JOSHUA J</t>
  </si>
  <si>
    <t>NAIL JENNIFER G</t>
  </si>
  <si>
    <t>7531 NC HIGHWAY 801 S</t>
  </si>
  <si>
    <t>H4140A0021</t>
  </si>
  <si>
    <t>NAYLOR JACK DOYLE</t>
  </si>
  <si>
    <t>NAYLOR MARCLE T</t>
  </si>
  <si>
    <t>351 COUNTRY LANE</t>
  </si>
  <si>
    <t>G700000066</t>
  </si>
  <si>
    <t>NETHERLAND NICHOLAS A</t>
  </si>
  <si>
    <t>1416 BALTIMORE RD</t>
  </si>
  <si>
    <t>G70000006701</t>
  </si>
  <si>
    <t>G70000006703</t>
  </si>
  <si>
    <t>NETHERLAND AMY C</t>
  </si>
  <si>
    <t>1416 BALTIMORE ROAD</t>
  </si>
  <si>
    <t>C8010A0248</t>
  </si>
  <si>
    <t>MOORE BARBARA</t>
  </si>
  <si>
    <t>223 BRIDGEWATER DRIVE</t>
  </si>
  <si>
    <t>D500000114</t>
  </si>
  <si>
    <t>MOORE JASON D</t>
  </si>
  <si>
    <t>MOORE GINGER L</t>
  </si>
  <si>
    <t>341 KENNEN KREST ROAD</t>
  </si>
  <si>
    <t>O600000058</t>
  </si>
  <si>
    <t>CLARK PAULETTE M ETAL</t>
  </si>
  <si>
    <t>CLARK JENNIFER M</t>
  </si>
  <si>
    <t>515 BOXWOOD CHURCH RD</t>
  </si>
  <si>
    <t>27028-6670</t>
  </si>
  <si>
    <t>O60000005906</t>
  </si>
  <si>
    <t>K600000038</t>
  </si>
  <si>
    <t>MOORE ROBIN CROTTS</t>
  </si>
  <si>
    <t>I60000004301</t>
  </si>
  <si>
    <t>MOORE SANDRA</t>
  </si>
  <si>
    <t>MOORE LARRY</t>
  </si>
  <si>
    <t>2950 PARKHURST DR</t>
  </si>
  <si>
    <t>27103-9737</t>
  </si>
  <si>
    <t>L40000003408</t>
  </si>
  <si>
    <t>CLAWSON TERESA C</t>
  </si>
  <si>
    <t>159 CABLE LANE</t>
  </si>
  <si>
    <t>H50000002903</t>
  </si>
  <si>
    <t>CLEMENT DAVID ANDREW</t>
  </si>
  <si>
    <t>CLEMENT APRIL DAWN VANOVER</t>
  </si>
  <si>
    <t>361 OAK GROVE CHURCH RD</t>
  </si>
  <si>
    <t>I300000023  A</t>
  </si>
  <si>
    <t>1693 US HIGHWAY 64 WEST</t>
  </si>
  <si>
    <t>O60000002107</t>
  </si>
  <si>
    <t>COLLINS DEWAYNE ELLIOTT</t>
  </si>
  <si>
    <t>TEAHAN DESIREE NICOLE</t>
  </si>
  <si>
    <t>3835 US HIGHWAY 601 S</t>
  </si>
  <si>
    <t>G3030A0057</t>
  </si>
  <si>
    <t>MORENO RICARDO</t>
  </si>
  <si>
    <t>MORENO ALEJANDRA</t>
  </si>
  <si>
    <t>202 MURPHY ROAD</t>
  </si>
  <si>
    <t>E20000001601</t>
  </si>
  <si>
    <t>CLINE ALLEN SR</t>
  </si>
  <si>
    <t>174 BUCKINGHAM LN</t>
  </si>
  <si>
    <t>G300000015</t>
  </si>
  <si>
    <t>CLONTS HANNAH MARIE</t>
  </si>
  <si>
    <t>183 GRANNAMAN DR</t>
  </si>
  <si>
    <t>F60000005104</t>
  </si>
  <si>
    <t>MORGAN ERNEST</t>
  </si>
  <si>
    <t>DIXON EMILIE V</t>
  </si>
  <si>
    <t>71 NORTH WEST 93 STREET</t>
  </si>
  <si>
    <t>MIAMI SHORES</t>
  </si>
  <si>
    <t>33150-0000</t>
  </si>
  <si>
    <t>D60000007101</t>
  </si>
  <si>
    <t>MOSER MICHAEL</t>
  </si>
  <si>
    <t>DROUILLARD-MOSER GABRIELLA S</t>
  </si>
  <si>
    <t>190 BOBBIT RD</t>
  </si>
  <si>
    <t>27006-6662</t>
  </si>
  <si>
    <t>D60000007105</t>
  </si>
  <si>
    <t>L60000000403</t>
  </si>
  <si>
    <t>MOSES DESIRAE NICHOLE</t>
  </si>
  <si>
    <t>4612 US HWY 601 N</t>
  </si>
  <si>
    <t>G500000077</t>
  </si>
  <si>
    <t>MULLIS JIMMIE GUY</t>
  </si>
  <si>
    <t>2670 US HIGHWAY 158</t>
  </si>
  <si>
    <t>L4130A0023</t>
  </si>
  <si>
    <t>MUNOZ CONSEULO ABAD</t>
  </si>
  <si>
    <t>1028 MILLCREEK CT</t>
  </si>
  <si>
    <t>27018-8797</t>
  </si>
  <si>
    <t>K50000005403</t>
  </si>
  <si>
    <t>MYERS AMY C</t>
  </si>
  <si>
    <t>MYERS JOHN EDWARD</t>
  </si>
  <si>
    <t>196 KNOLL CREST RD</t>
  </si>
  <si>
    <t>F800000080</t>
  </si>
  <si>
    <t>MYERS DONALD RAY</t>
  </si>
  <si>
    <t>1447 NC HIGHWAY 801 S</t>
  </si>
  <si>
    <t>I5010C0001</t>
  </si>
  <si>
    <t>COFIELD LAURA</t>
  </si>
  <si>
    <t>208 HARVARD STREET</t>
  </si>
  <si>
    <t>DORCHESTER</t>
  </si>
  <si>
    <t>02124-0000</t>
  </si>
  <si>
    <t>M60000002403</t>
  </si>
  <si>
    <t>COLLIER DUSTIN MAJOR</t>
  </si>
  <si>
    <t>COLLIER KAYLA GRUBB</t>
  </si>
  <si>
    <t>H80000001007</t>
  </si>
  <si>
    <t>COLLINS ANDREW P</t>
  </si>
  <si>
    <t>COLLINS SHANNON S</t>
  </si>
  <si>
    <t>971 MARKLAND ROAD</t>
  </si>
  <si>
    <t>27006-7027</t>
  </si>
  <si>
    <t>G90000001604</t>
  </si>
  <si>
    <t>OSBORNE DARON K</t>
  </si>
  <si>
    <t>OSBORNE MANDA D</t>
  </si>
  <si>
    <t>E8100C0010</t>
  </si>
  <si>
    <t>NICHOLS MARIE M</t>
  </si>
  <si>
    <t>223 OVERLOOK DRIVE</t>
  </si>
  <si>
    <t>F8020A0006</t>
  </si>
  <si>
    <t>NICHOLS TONY D</t>
  </si>
  <si>
    <t>NICHOLS SHANNA B</t>
  </si>
  <si>
    <t>153 WINDEMERE DRIVE</t>
  </si>
  <si>
    <t>G8010C0002</t>
  </si>
  <si>
    <t>NOBLES SHANNON J</t>
  </si>
  <si>
    <t>2537 CORNATZER ROAD</t>
  </si>
  <si>
    <t>H600000052</t>
  </si>
  <si>
    <t>NORMAN MELINDA E</t>
  </si>
  <si>
    <t>2448 MILLING ROAD</t>
  </si>
  <si>
    <t>J70000011102</t>
  </si>
  <si>
    <t>NORTH J STEVAN</t>
  </si>
  <si>
    <t>NORTH KATHRYN F</t>
  </si>
  <si>
    <t>125 PROVIDENCE TRAIL</t>
  </si>
  <si>
    <t>H7020A0006</t>
  </si>
  <si>
    <t>NUNN WENDALL DURWARD</t>
  </si>
  <si>
    <t>426 BRIER CREEK ROAD</t>
  </si>
  <si>
    <t>C70000010601</t>
  </si>
  <si>
    <t>OBYRNE GEORGE J</t>
  </si>
  <si>
    <t>6774 smithwood rd</t>
  </si>
  <si>
    <t>liberty</t>
  </si>
  <si>
    <t>27298-0000</t>
  </si>
  <si>
    <t>G7040B0003</t>
  </si>
  <si>
    <t>ODUM SAMUEL PRESTON</t>
  </si>
  <si>
    <t>169 GRANADA DR</t>
  </si>
  <si>
    <t>27006-7238</t>
  </si>
  <si>
    <t>J400000018</t>
  </si>
  <si>
    <t>OLIVER SHEILA</t>
  </si>
  <si>
    <t>8017 LINVILLE RD</t>
  </si>
  <si>
    <t>OAK RIDGE</t>
  </si>
  <si>
    <t>27310-0000</t>
  </si>
  <si>
    <t>J5160B000201</t>
  </si>
  <si>
    <t>ORTIZ NANCY DEL ROCIO 91%</t>
  </si>
  <si>
    <t>CLARA JOSE OSORIO 9%</t>
  </si>
  <si>
    <t>1022 SALISBURY RD</t>
  </si>
  <si>
    <t>27028-9300</t>
  </si>
  <si>
    <t>H7030A0002</t>
  </si>
  <si>
    <t>279 BALTIMORE ROAD</t>
  </si>
  <si>
    <t>27006-7812</t>
  </si>
  <si>
    <t>K5070B0005</t>
  </si>
  <si>
    <t>CORRIHER THOMAS</t>
  </si>
  <si>
    <t>142 REDWOOD DR</t>
  </si>
  <si>
    <t>E600000030</t>
  </si>
  <si>
    <t>PAIGE ANDREW</t>
  </si>
  <si>
    <t>GLUTH KATRINA</t>
  </si>
  <si>
    <t>3868 US HWY 158</t>
  </si>
  <si>
    <t>H500000044</t>
  </si>
  <si>
    <t>CRANFILL WANDA ALLEN</t>
  </si>
  <si>
    <t>513 SAIN RD</t>
  </si>
  <si>
    <t>G8140A0064  A</t>
  </si>
  <si>
    <t>PALMER DEVAN</t>
  </si>
  <si>
    <t>165 SPRUCEWOOD CT</t>
  </si>
  <si>
    <t>G8140A0064</t>
  </si>
  <si>
    <t>H90000003002</t>
  </si>
  <si>
    <t>PALMER WENDY FINLAY</t>
  </si>
  <si>
    <t>447 PEOPLES CREEK RD</t>
  </si>
  <si>
    <t>K600000037</t>
  </si>
  <si>
    <t>CROTTS DANIEL RAY</t>
  </si>
  <si>
    <t>1490 DEDMON ROAD</t>
  </si>
  <si>
    <t>N500000007</t>
  </si>
  <si>
    <t>L60000004808</t>
  </si>
  <si>
    <t>M5160C0024</t>
  </si>
  <si>
    <t>PARK YONG H</t>
  </si>
  <si>
    <t>PARK SUNG J</t>
  </si>
  <si>
    <t>1001 NORTH SECOND STREET</t>
  </si>
  <si>
    <t>F80000013908</t>
  </si>
  <si>
    <t>PARKER CYNTHIA W</t>
  </si>
  <si>
    <t>160 JARVIS ROAD</t>
  </si>
  <si>
    <t>I5050B0001</t>
  </si>
  <si>
    <t>PARKS SARAH T</t>
  </si>
  <si>
    <t>301 WHITNEY ROAD</t>
  </si>
  <si>
    <t>L30000000301</t>
  </si>
  <si>
    <t>PARRIS JUNE M</t>
  </si>
  <si>
    <t>724 MR HENRY ROAD</t>
  </si>
  <si>
    <t>27028-5361</t>
  </si>
  <si>
    <t>E8110B0010</t>
  </si>
  <si>
    <t>CONLEY CHRISTOPHER TRUSTEE</t>
  </si>
  <si>
    <t>THE MORGAN RICHARDSON TRUST</t>
  </si>
  <si>
    <t>6720 ROLLINGWOOD DR</t>
  </si>
  <si>
    <t>27012-8494</t>
  </si>
  <si>
    <t>F80000013906</t>
  </si>
  <si>
    <t>CONRAD BRADLEY HOKE</t>
  </si>
  <si>
    <t>153 HEAVENLY LANE</t>
  </si>
  <si>
    <t>I20000000617</t>
  </si>
  <si>
    <t>COOKSON STEPHEN W</t>
  </si>
  <si>
    <t>COOKSON JOANN M</t>
  </si>
  <si>
    <t>1450 GODBEY ROAD</t>
  </si>
  <si>
    <t>E700000156</t>
  </si>
  <si>
    <t>279 BALTIMORE RD</t>
  </si>
  <si>
    <t>E700000107</t>
  </si>
  <si>
    <t>E70000010701</t>
  </si>
  <si>
    <t>H7030A0003</t>
  </si>
  <si>
    <t>F90000001803</t>
  </si>
  <si>
    <t>CORNATZER JEFFREY STEVEN</t>
  </si>
  <si>
    <t>333 MARKLAND ROAD</t>
  </si>
  <si>
    <t>J7080B0043</t>
  </si>
  <si>
    <t>CORNELIUS MONICA</t>
  </si>
  <si>
    <t>CORNELIUS ALVIS</t>
  </si>
  <si>
    <t>177 OAKSHIRE COURT</t>
  </si>
  <si>
    <t>L5140A0004</t>
  </si>
  <si>
    <t>CORRELL BARRY E</t>
  </si>
  <si>
    <t>166 HOLY CROSS ROAD</t>
  </si>
  <si>
    <t>L5020A0003</t>
  </si>
  <si>
    <t>H5060A0004</t>
  </si>
  <si>
    <t>CORRELL DARBY WILLIAM</t>
  </si>
  <si>
    <t>CORRELL BRANDI C</t>
  </si>
  <si>
    <t>137 BRADFORD PLACE</t>
  </si>
  <si>
    <t>G70000001702</t>
  </si>
  <si>
    <t>PATTON JARRED MONROE</t>
  </si>
  <si>
    <t>926 HOWARDTOWN RD</t>
  </si>
  <si>
    <t>L50000001602</t>
  </si>
  <si>
    <t>PATTON JERRY</t>
  </si>
  <si>
    <t>PATTON JANICE M</t>
  </si>
  <si>
    <t>PO BOX 1201</t>
  </si>
  <si>
    <t>27028-1201</t>
  </si>
  <si>
    <t>L50000001601</t>
  </si>
  <si>
    <t>M600000032</t>
  </si>
  <si>
    <t>CORRELL JOYCE CHRISTINE</t>
  </si>
  <si>
    <t>422 BECKTOWN RD</t>
  </si>
  <si>
    <t>G8130A0003</t>
  </si>
  <si>
    <t>COX CAROLINE S</t>
  </si>
  <si>
    <t>2238 NC HIGHWAY 801 S</t>
  </si>
  <si>
    <t>L60000000902</t>
  </si>
  <si>
    <t>CROSS TONY RAY</t>
  </si>
  <si>
    <t>6488 HIGHWAY 801 SOUTH</t>
  </si>
  <si>
    <t>L600000048</t>
  </si>
  <si>
    <t>L60000004804</t>
  </si>
  <si>
    <t>G40000003104</t>
  </si>
  <si>
    <t>WILLARD JONATHAN SCOTT</t>
  </si>
  <si>
    <t>VILLAVICENCIO PEDRO ENRIQUE</t>
  </si>
  <si>
    <t>113 MILO LN</t>
  </si>
  <si>
    <t>27028-5890</t>
  </si>
  <si>
    <t>E60000001905</t>
  </si>
  <si>
    <t>DESNOYERS DANIEL PAUL</t>
  </si>
  <si>
    <t>DESNOYERS MELODEE HAMILTON</t>
  </si>
  <si>
    <t>PO BOX 1207</t>
  </si>
  <si>
    <t>27028-1207</t>
  </si>
  <si>
    <t>F600000126</t>
  </si>
  <si>
    <t>C8010A0135</t>
  </si>
  <si>
    <t>DESNOYERS DANIEL P</t>
  </si>
  <si>
    <t>DESNOYERS MELODEE H</t>
  </si>
  <si>
    <t>239 OLD TOWNE DRIVE</t>
  </si>
  <si>
    <t>D400000023</t>
  </si>
  <si>
    <t>DILL LOUISE L</t>
  </si>
  <si>
    <t>2009 CANA ROAD</t>
  </si>
  <si>
    <t>C8010A0168</t>
  </si>
  <si>
    <t>COPE JUANITA M</t>
  </si>
  <si>
    <t>131 TOWN PARK DR</t>
  </si>
  <si>
    <t>J5160A000904</t>
  </si>
  <si>
    <t>SPS REAL ESTATE HOLDINGS LLC</t>
  </si>
  <si>
    <t>E600000008</t>
  </si>
  <si>
    <t>B500000089</t>
  </si>
  <si>
    <t>CUTHRELL JOHN</t>
  </si>
  <si>
    <t>137 WHARTON TRL</t>
  </si>
  <si>
    <t>H10000000313</t>
  </si>
  <si>
    <t>DOBSON JOYCE C</t>
  </si>
  <si>
    <t>1167 E MEMORIAL HWY</t>
  </si>
  <si>
    <t>B30000003105</t>
  </si>
  <si>
    <t>DALTON ROGER LEE</t>
  </si>
  <si>
    <t>DALTON GEORGIA MAE</t>
  </si>
  <si>
    <t>235 CHILDRENS HOME ROAD</t>
  </si>
  <si>
    <t>J100000014</t>
  </si>
  <si>
    <t>DANIEL MARK S</t>
  </si>
  <si>
    <t>DANIEL TAMMY B</t>
  </si>
  <si>
    <t>4489 US HIGHWAY 64 WEST</t>
  </si>
  <si>
    <t>H40000000603</t>
  </si>
  <si>
    <t>DAUGHERTY JAMES A</t>
  </si>
  <si>
    <t>DAUGHERTY KARYN K</t>
  </si>
  <si>
    <t>5449 HUNDLEY ROAD</t>
  </si>
  <si>
    <t>M5160B0003</t>
  </si>
  <si>
    <t>DAVENPORT ERIC P</t>
  </si>
  <si>
    <t>DAVENPORT SHANNON K</t>
  </si>
  <si>
    <t>128 WATT STREET</t>
  </si>
  <si>
    <t>PO BOX 864</t>
  </si>
  <si>
    <t>27014-0864</t>
  </si>
  <si>
    <t>M5150A0018</t>
  </si>
  <si>
    <t>DURHAM DWIGHT JUDSON</t>
  </si>
  <si>
    <t>110 CHICKEN STEW WAY</t>
  </si>
  <si>
    <t>27028-6854</t>
  </si>
  <si>
    <t>N5010B0042</t>
  </si>
  <si>
    <t>DAVIS ERIC</t>
  </si>
  <si>
    <t>PO BOX 22</t>
  </si>
  <si>
    <t>27014-0022</t>
  </si>
  <si>
    <t>N5010B0043</t>
  </si>
  <si>
    <t>J6050A000402</t>
  </si>
  <si>
    <t>DAVIS MICHAEL SCOTT</t>
  </si>
  <si>
    <t>204 PINE VALLEY RD</t>
  </si>
  <si>
    <t>L40000003404</t>
  </si>
  <si>
    <t>COBLE APRIL E</t>
  </si>
  <si>
    <t>155 NANCY EASTER LOOP</t>
  </si>
  <si>
    <t>L5020B0026</t>
  </si>
  <si>
    <t>DE MELO DANNY R</t>
  </si>
  <si>
    <t>BASDEO MARCIA S</t>
  </si>
  <si>
    <t>102 N BENSON LN</t>
  </si>
  <si>
    <t>27028-5187</t>
  </si>
  <si>
    <t>B100000016</t>
  </si>
  <si>
    <t>ELDRED MALINDA</t>
  </si>
  <si>
    <t>530 AMBER HILL ROAD</t>
  </si>
  <si>
    <t>L500000047</t>
  </si>
  <si>
    <t>27014-1018</t>
  </si>
  <si>
    <t>L50000004701</t>
  </si>
  <si>
    <t>L5100A003401</t>
  </si>
  <si>
    <t>L500000066</t>
  </si>
  <si>
    <t>D30000002103</t>
  </si>
  <si>
    <t>ELMORE WILLIE C</t>
  </si>
  <si>
    <t>E20000002807</t>
  </si>
  <si>
    <t>ENGLAND RACHEL B</t>
  </si>
  <si>
    <t>263 BEAR CREEK CHURCH RD</t>
  </si>
  <si>
    <t>L5020B0024</t>
  </si>
  <si>
    <t>L5020B0025</t>
  </si>
  <si>
    <t>L5020B0027</t>
  </si>
  <si>
    <t>L5020B0028</t>
  </si>
  <si>
    <t>L50000000701</t>
  </si>
  <si>
    <t>L5020B0022</t>
  </si>
  <si>
    <t>L5020B002801</t>
  </si>
  <si>
    <t>I50000004001</t>
  </si>
  <si>
    <t>STOREHOUSE FOR JESUS</t>
  </si>
  <si>
    <t>675 E LEXINGTON RD</t>
  </si>
  <si>
    <t>I50000004002</t>
  </si>
  <si>
    <t>J5010B0015</t>
  </si>
  <si>
    <t>L5020B0023</t>
  </si>
  <si>
    <t>DEMELO DANNY R</t>
  </si>
  <si>
    <t>G500000138</t>
  </si>
  <si>
    <t>STEPHENS JEFFREY K</t>
  </si>
  <si>
    <t>STEPHENS ELIZABETH</t>
  </si>
  <si>
    <t>G30000000417</t>
  </si>
  <si>
    <t>HOLCOMB NATHAN WILLIAMS</t>
  </si>
  <si>
    <t>HOLCOMB STEPHANIE LORRAINE</t>
  </si>
  <si>
    <t>143 CULLODEN DR</t>
  </si>
  <si>
    <t>G500000139</t>
  </si>
  <si>
    <t>DILLON WILLIAM K</t>
  </si>
  <si>
    <t>DILLON PEGGY W</t>
  </si>
  <si>
    <t>181 OAK GROVE CHURCH ROAD</t>
  </si>
  <si>
    <t>H80000002004</t>
  </si>
  <si>
    <t>DIXON JILL CARTER</t>
  </si>
  <si>
    <t>2404 NC HIGHWAY 801 S</t>
  </si>
  <si>
    <t>H80000002006</t>
  </si>
  <si>
    <t>DIXON JILL</t>
  </si>
  <si>
    <t>C50000005711</t>
  </si>
  <si>
    <t>DONLEY ROBERT C</t>
  </si>
  <si>
    <t>DONLEY CRYSTAL R</t>
  </si>
  <si>
    <t>251 POTTER'S RIDGE DRIVE</t>
  </si>
  <si>
    <t>F800000137</t>
  </si>
  <si>
    <t>FOSTER BENJAMIN</t>
  </si>
  <si>
    <t>619 MOTOR RD</t>
  </si>
  <si>
    <t>27105-2246</t>
  </si>
  <si>
    <t>D70000005306</t>
  </si>
  <si>
    <t>FOSTER TREVA KAY</t>
  </si>
  <si>
    <t>138 POPLAR HILL LANE</t>
  </si>
  <si>
    <t>D70000005307</t>
  </si>
  <si>
    <t>B500000056</t>
  </si>
  <si>
    <t>FOWLER RACHEL B</t>
  </si>
  <si>
    <t>302 PINEVILLE RD</t>
  </si>
  <si>
    <t>J5040A0009</t>
  </si>
  <si>
    <t>TED AND JAN LLC</t>
  </si>
  <si>
    <t>J6050C0016</t>
  </si>
  <si>
    <t>FRITTS JEFFREY P</t>
  </si>
  <si>
    <t>FRITTS DONNA R</t>
  </si>
  <si>
    <t>239 PINE VALLEY RD</t>
  </si>
  <si>
    <t>E100000006  A</t>
  </si>
  <si>
    <t>PAYNE PATRICIA DIANE</t>
  </si>
  <si>
    <t>837 TURKEY FOOT RD</t>
  </si>
  <si>
    <t>E10000002702</t>
  </si>
  <si>
    <t>PAYNE PATRICIA D</t>
  </si>
  <si>
    <t>PAYNE DONALD GRAY</t>
  </si>
  <si>
    <t>112 BRIGHTLEAF LANE</t>
  </si>
  <si>
    <t>I5010B0004</t>
  </si>
  <si>
    <t>DRAKE TRENA L</t>
  </si>
  <si>
    <t>27028-7361</t>
  </si>
  <si>
    <t>F800000131</t>
  </si>
  <si>
    <t>PEEBLES EDWARD W</t>
  </si>
  <si>
    <t>3029 NC HIGHWAY 801 SOUTH</t>
  </si>
  <si>
    <t>I800000061</t>
  </si>
  <si>
    <t>J600000053</t>
  </si>
  <si>
    <t>PEOPLES MARY P</t>
  </si>
  <si>
    <t>J60000005301</t>
  </si>
  <si>
    <t>I6160A0001</t>
  </si>
  <si>
    <t>PEPPER ELIZABETH SPIVEY</t>
  </si>
  <si>
    <t>487 JOHN CROTTS ROAD</t>
  </si>
  <si>
    <t>K3130B0007</t>
  </si>
  <si>
    <t>PEREIRA BLANCA CECILIA</t>
  </si>
  <si>
    <t>536 JUNCTION ROAD</t>
  </si>
  <si>
    <t>27025-5318</t>
  </si>
  <si>
    <t>I5050A0002</t>
  </si>
  <si>
    <t>PEREZ REYNALDO</t>
  </si>
  <si>
    <t>MEZA GUADALUPE</t>
  </si>
  <si>
    <t>360 ROLLING HILLS LN</t>
  </si>
  <si>
    <t>K5100A0017</t>
  </si>
  <si>
    <t>REDMOND TIMOTHY O'BRIAN</t>
  </si>
  <si>
    <t>REDMOND DANETTE LARAINE</t>
  </si>
  <si>
    <t>129 STILL WATER DR</t>
  </si>
  <si>
    <t>I90000000705</t>
  </si>
  <si>
    <t>PHARES WILLIAM E</t>
  </si>
  <si>
    <t>PHARES TERESA A</t>
  </si>
  <si>
    <t>321 BURTON ROAD</t>
  </si>
  <si>
    <t>I90000000706</t>
  </si>
  <si>
    <t>B70000008001</t>
  </si>
  <si>
    <t>PHIBBS JOHNATHAN R</t>
  </si>
  <si>
    <t>PHIBBS LAURA M WHISENANT</t>
  </si>
  <si>
    <t>202 HORSE VALLEY LN</t>
  </si>
  <si>
    <t>M5090A0008</t>
  </si>
  <si>
    <t>PHIFER ELMA LUCILLE</t>
  </si>
  <si>
    <t>PO BOX 274</t>
  </si>
  <si>
    <t>27014-0274</t>
  </si>
  <si>
    <t>I5110C0008</t>
  </si>
  <si>
    <t>PHIFER MILDRED W</t>
  </si>
  <si>
    <t>100 WINWARD CIRCLE</t>
  </si>
  <si>
    <t>L40000004701</t>
  </si>
  <si>
    <t>PHILLIPPE WILLIAM FRANKLIN II</t>
  </si>
  <si>
    <t>182 VALHALLA TRL</t>
  </si>
  <si>
    <t>27028-5465</t>
  </si>
  <si>
    <t>H60000000204</t>
  </si>
  <si>
    <t>PHILLIPS EDWIN SCOTT</t>
  </si>
  <si>
    <t>278 WINDING BROOK TRAIL</t>
  </si>
  <si>
    <t>K400000005</t>
  </si>
  <si>
    <t>PHILLIPS THOMAS E</t>
  </si>
  <si>
    <t>PHILLIPS ELLA M</t>
  </si>
  <si>
    <t>1669 JERICHO CHURCH ROAD</t>
  </si>
  <si>
    <t>B10000000803</t>
  </si>
  <si>
    <t>DYER TONY</t>
  </si>
  <si>
    <t>DYER RACHEL BOOE</t>
  </si>
  <si>
    <t>1008 STANTON PLACE</t>
  </si>
  <si>
    <t>27260-7546</t>
  </si>
  <si>
    <t>E20000000805</t>
  </si>
  <si>
    <t>584 DUKE WHITTAKER RD</t>
  </si>
  <si>
    <t>E200000048</t>
  </si>
  <si>
    <t>627 DUKE WHITAKER ROAD</t>
  </si>
  <si>
    <t>D500000032</t>
  </si>
  <si>
    <t>EATON DONALD LEE</t>
  </si>
  <si>
    <t>20687 SUFFOLK COURT</t>
  </si>
  <si>
    <t>RIVERSIDE</t>
  </si>
  <si>
    <t>92508-0000</t>
  </si>
  <si>
    <t>L800000026</t>
  </si>
  <si>
    <t>GADDY JAMES Q</t>
  </si>
  <si>
    <t>GADDY EDWINA B</t>
  </si>
  <si>
    <t>204 SEAFORD ROAD</t>
  </si>
  <si>
    <t>K80000001801</t>
  </si>
  <si>
    <t>GADDY JAMES QUINTIN</t>
  </si>
  <si>
    <t>K800000018</t>
  </si>
  <si>
    <t>K80000001701</t>
  </si>
  <si>
    <t>K80000001802</t>
  </si>
  <si>
    <t>M5030A000106</t>
  </si>
  <si>
    <t>EDWARDS ROBERT D</t>
  </si>
  <si>
    <t>EDWARDS KATHY G</t>
  </si>
  <si>
    <t>PO BOX 247</t>
  </si>
  <si>
    <t>27014-0247</t>
  </si>
  <si>
    <t>I5080B0024</t>
  </si>
  <si>
    <t>GAITHER FRANCES ESTATE</t>
  </si>
  <si>
    <t>% ELLA DALTON</t>
  </si>
  <si>
    <t>I5080B0031</t>
  </si>
  <si>
    <t>GAITHER JULIAN D</t>
  </si>
  <si>
    <t>1041 LAPLATA DR</t>
  </si>
  <si>
    <t>kernersville</t>
  </si>
  <si>
    <t>F20000001502</t>
  </si>
  <si>
    <t>GAITHER KATHY ELIZABETH</t>
  </si>
  <si>
    <t>PO BOX 1532</t>
  </si>
  <si>
    <t>27028-1532</t>
  </si>
  <si>
    <t>J60000009501</t>
  </si>
  <si>
    <t>GALLIHER CHARLES G</t>
  </si>
  <si>
    <t>GALLIHER JUDY S</t>
  </si>
  <si>
    <t>1728 US HIGHWAY 64 EAST</t>
  </si>
  <si>
    <t>G500000130</t>
  </si>
  <si>
    <t>EVANS JOHN ALLEN</t>
  </si>
  <si>
    <t>EVANS JAMES ALBERT</t>
  </si>
  <si>
    <t>164 WHITAKER RD</t>
  </si>
  <si>
    <t>J200000020</t>
  </si>
  <si>
    <t>EVANS SUSAN</t>
  </si>
  <si>
    <t>260 STAGE COACH RD</t>
  </si>
  <si>
    <t>D8070D0034</t>
  </si>
  <si>
    <t>EVERHART LAWRENCE C</t>
  </si>
  <si>
    <t>EVERHART NANCY V</t>
  </si>
  <si>
    <t>164 FAIRWAY DRIVE</t>
  </si>
  <si>
    <t>B300000100</t>
  </si>
  <si>
    <t>FAIRCLOTH ROBERT LEE</t>
  </si>
  <si>
    <t>211 SCARLETT LANE</t>
  </si>
  <si>
    <t>E900000072</t>
  </si>
  <si>
    <t>QUATE RONALD CLARENCE</t>
  </si>
  <si>
    <t>124 BAYHILL DRIVE</t>
  </si>
  <si>
    <t>D8100C0002</t>
  </si>
  <si>
    <t>RAJACICH JOSEPH</t>
  </si>
  <si>
    <t>RAJACICH CAROLYN E</t>
  </si>
  <si>
    <t>272 SPYGLASS DRIVE</t>
  </si>
  <si>
    <t>B300000102</t>
  </si>
  <si>
    <t>E20000000609</t>
  </si>
  <si>
    <t>FEIMSTER MELBA DYSON</t>
  </si>
  <si>
    <t>J70000010303</t>
  </si>
  <si>
    <t>RATLIFF WILLIAM RAY JR</t>
  </si>
  <si>
    <t>RATLIFF KAITLYN WADE</t>
  </si>
  <si>
    <t>4310 NC HWY 801 S</t>
  </si>
  <si>
    <t>K20000001401</t>
  </si>
  <si>
    <t>B20000000409</t>
  </si>
  <si>
    <t>REAVIS SHERMAN BLEU</t>
  </si>
  <si>
    <t>REAVIS TAMMY L</t>
  </si>
  <si>
    <t>7060 MARSHALL RD</t>
  </si>
  <si>
    <t>27023-9474</t>
  </si>
  <si>
    <t>K5090A0045</t>
  </si>
  <si>
    <t>REDMON PATRICIA D</t>
  </si>
  <si>
    <t>221 LAKEWOOD VILLAGE ROAD</t>
  </si>
  <si>
    <t>G800000234</t>
  </si>
  <si>
    <t>FERRARO MATTHEW THOMAS</t>
  </si>
  <si>
    <t>FERRARO KIMBERLY ERIN</t>
  </si>
  <si>
    <t>2619 CORNATZER RD</t>
  </si>
  <si>
    <t>L50000001309A</t>
  </si>
  <si>
    <t>REICH LEE A</t>
  </si>
  <si>
    <t>152 M AND D LN</t>
  </si>
  <si>
    <t>27028-5275</t>
  </si>
  <si>
    <t>D100000030</t>
  </si>
  <si>
    <t>RENEGAR JO ANN</t>
  </si>
  <si>
    <t>2023 SANDY SPRINGS ROAD</t>
  </si>
  <si>
    <t>M60000001403</t>
  </si>
  <si>
    <t>BARR LEESA MAE</t>
  </si>
  <si>
    <t>REYNOLDS SCOTTY ALLEN</t>
  </si>
  <si>
    <t>459 PLEASANT ACRE DRIVE</t>
  </si>
  <si>
    <t>M60000001401</t>
  </si>
  <si>
    <t>N5010A0011</t>
  </si>
  <si>
    <t>REYNOLDS LEESA</t>
  </si>
  <si>
    <t>N5080A0019</t>
  </si>
  <si>
    <t>N4040A0028</t>
  </si>
  <si>
    <t>C60000010010</t>
  </si>
  <si>
    <t>FISHER PHILLIP A</t>
  </si>
  <si>
    <t>FISHER YVONNE L WOOD</t>
  </si>
  <si>
    <t>1260 NC HWY 801 N</t>
  </si>
  <si>
    <t>C600000100</t>
  </si>
  <si>
    <t>C60000010009</t>
  </si>
  <si>
    <t>G4080A0012</t>
  </si>
  <si>
    <t>FOLDS CHARLES E</t>
  </si>
  <si>
    <t>FOLDS EVELYN A</t>
  </si>
  <si>
    <t>256 WHITNEY RD</t>
  </si>
  <si>
    <t>F400000056</t>
  </si>
  <si>
    <t>ANORVE REBECA PEREZ</t>
  </si>
  <si>
    <t>GARCIA NIBARDO ABARCA</t>
  </si>
  <si>
    <t>1238 ANGELL ROAD</t>
  </si>
  <si>
    <t>N60000004708</t>
  </si>
  <si>
    <t>N60000004701</t>
  </si>
  <si>
    <t>E900000035</t>
  </si>
  <si>
    <t>GARNER ROBERT</t>
  </si>
  <si>
    <t>GARNER CHRISTY</t>
  </si>
  <si>
    <t>135 OAKMONT DRIVE</t>
  </si>
  <si>
    <t>G7040A0038</t>
  </si>
  <si>
    <t>GILLASPIE ANGELA</t>
  </si>
  <si>
    <t>F20000005201</t>
  </si>
  <si>
    <t>GOBBLE PENNY DEANNA</t>
  </si>
  <si>
    <t>430 RALPH RATLEDGE ROAD</t>
  </si>
  <si>
    <t>E900000589</t>
  </si>
  <si>
    <t>FORD SHANNON SHINAULT</t>
  </si>
  <si>
    <t>FORD STEVEN RICHARD</t>
  </si>
  <si>
    <t>115 OLD COURSE DR</t>
  </si>
  <si>
    <t>C300000096</t>
  </si>
  <si>
    <t>GODBEY ROGER DALE</t>
  </si>
  <si>
    <t>GODBEY JUDY P</t>
  </si>
  <si>
    <t>184 FOSTALL DRIVE</t>
  </si>
  <si>
    <t>H30000003701</t>
  </si>
  <si>
    <t>GOFORTH GARY</t>
  </si>
  <si>
    <t>337 POWELL ROAD</t>
  </si>
  <si>
    <t>H2050B0006</t>
  </si>
  <si>
    <t>GOFORTH MARQUIETTA S</t>
  </si>
  <si>
    <t>167 CENTER CIRCLE</t>
  </si>
  <si>
    <t>I5120A0024</t>
  </si>
  <si>
    <t>GOINS MARTY W</t>
  </si>
  <si>
    <t>311 E HOLLY GROVE RD</t>
  </si>
  <si>
    <t>27292-6028</t>
  </si>
  <si>
    <t>F20000002303</t>
  </si>
  <si>
    <t>GOLDING DEBRA LEE LUEBCHOW</t>
  </si>
  <si>
    <t>428 GEORGIA ROAD</t>
  </si>
  <si>
    <t>27028-0868</t>
  </si>
  <si>
    <t>G400000051</t>
  </si>
  <si>
    <t>GOMEZ RAMON ANTONIO CUBAS</t>
  </si>
  <si>
    <t>5203 ELCAR DR</t>
  </si>
  <si>
    <t>28214-3434</t>
  </si>
  <si>
    <t>E300000065</t>
  </si>
  <si>
    <t>GOSNELL GINA</t>
  </si>
  <si>
    <t>178 BUGLE LANE</t>
  </si>
  <si>
    <t>K500000052</t>
  </si>
  <si>
    <t>GRANADERO MAQUEDA VALENTIN</t>
  </si>
  <si>
    <t>LUQUE LOPEZ ADRIANA CECELIA</t>
  </si>
  <si>
    <t>108 EMERALD LN</t>
  </si>
  <si>
    <t>O60000002902</t>
  </si>
  <si>
    <t>FORTIN DAVID</t>
  </si>
  <si>
    <t>4082 US HIGHWAY 601 S</t>
  </si>
  <si>
    <t>C8010E0050</t>
  </si>
  <si>
    <t>HOUVER RONALD R</t>
  </si>
  <si>
    <t>HOUVER JUDITH A</t>
  </si>
  <si>
    <t>254 KILBOURNE DR</t>
  </si>
  <si>
    <t>F1020A0009</t>
  </si>
  <si>
    <t>FREEMAN VICKIE LYNN</t>
  </si>
  <si>
    <t>344 SHEFFIELD FARMS ROAD</t>
  </si>
  <si>
    <t>F800000129</t>
  </si>
  <si>
    <t>M4120A0019</t>
  </si>
  <si>
    <t>PETTEWAY KENYATTA</t>
  </si>
  <si>
    <t>202 RIDGECREST DR</t>
  </si>
  <si>
    <t>M4050B0012</t>
  </si>
  <si>
    <t>POLICARPO NORMA RODRIGUEZ</t>
  </si>
  <si>
    <t>B50000001302</t>
  </si>
  <si>
    <t>GROCE LILLIAN A</t>
  </si>
  <si>
    <t>GROCE ELMER L</t>
  </si>
  <si>
    <t>4141 WYO ROAD</t>
  </si>
  <si>
    <t>27055-8726</t>
  </si>
  <si>
    <t>B500000013</t>
  </si>
  <si>
    <t>H20000001101</t>
  </si>
  <si>
    <t>GRUBB JULIE MILAM</t>
  </si>
  <si>
    <t>213 CALAHALN ROAD</t>
  </si>
  <si>
    <t>M40000000101</t>
  </si>
  <si>
    <t>POMPEY CURTIS</t>
  </si>
  <si>
    <t>POMPEY KAREN</t>
  </si>
  <si>
    <t>1116 JUNCTION RD</t>
  </si>
  <si>
    <t>27028-5324</t>
  </si>
  <si>
    <t>J70000002104A</t>
  </si>
  <si>
    <t>POPLIN CAROL MYERS</t>
  </si>
  <si>
    <t>177 EVERHART ROAD</t>
  </si>
  <si>
    <t>D60000004901</t>
  </si>
  <si>
    <t>GRUBBS DONALD W</t>
  </si>
  <si>
    <t>GRUBBS BEVERLY D</t>
  </si>
  <si>
    <t>133 PLOWMAN LANE</t>
  </si>
  <si>
    <t>E200000018</t>
  </si>
  <si>
    <t>GUEVARA PEDRO B</t>
  </si>
  <si>
    <t>GUEVARA ANA LOPEZ</t>
  </si>
  <si>
    <t>784 DUKE WHITTAKER ROAD</t>
  </si>
  <si>
    <t>F70000001803</t>
  </si>
  <si>
    <t>GUITON CARL WENDELL</t>
  </si>
  <si>
    <t>GUITON KAREN MYERS</t>
  </si>
  <si>
    <t>205 MEGANS WAY</t>
  </si>
  <si>
    <t>E400000044</t>
  </si>
  <si>
    <t>MACOMBER THOMAS K</t>
  </si>
  <si>
    <t>CANNON SHELLEY G</t>
  </si>
  <si>
    <t>2412 E YUCCA ST</t>
  </si>
  <si>
    <t>85028-2555</t>
  </si>
  <si>
    <t>J70000004102</t>
  </si>
  <si>
    <t>HACKETT TONY DEAN</t>
  </si>
  <si>
    <t>HACKETT REBECCA J</t>
  </si>
  <si>
    <t>160 EVERHART RD</t>
  </si>
  <si>
    <t>J600000062</t>
  </si>
  <si>
    <t>HACKETT WALTER F</t>
  </si>
  <si>
    <t>HACKETT TONY DIAN ROBERTSON</t>
  </si>
  <si>
    <t>J70000002108</t>
  </si>
  <si>
    <t>I5010A0019</t>
  </si>
  <si>
    <t>G100000010</t>
  </si>
  <si>
    <t>PRESNELL DENNIS R</t>
  </si>
  <si>
    <t>PRESNELL HELEN R</t>
  </si>
  <si>
    <t>223 WINDSOR DRIVE</t>
  </si>
  <si>
    <t>L60000002108</t>
  </si>
  <si>
    <t>HANES ASHLEY E</t>
  </si>
  <si>
    <t>SMITH DUSTIN O</t>
  </si>
  <si>
    <t>92 HIBRITEN DR</t>
  </si>
  <si>
    <t>H30000003299</t>
  </si>
  <si>
    <t>DAVIS LINDA A</t>
  </si>
  <si>
    <t>276 POWELL RD</t>
  </si>
  <si>
    <t>C7140A0047</t>
  </si>
  <si>
    <t>MCGINNIS LOIS J</t>
  </si>
  <si>
    <t>121 MORAVIAN CT</t>
  </si>
  <si>
    <t>D8060A0028</t>
  </si>
  <si>
    <t>WILMOTH JENA</t>
  </si>
  <si>
    <t>WILMOTH CASEY</t>
  </si>
  <si>
    <t>225 TIFTON ST</t>
  </si>
  <si>
    <t>D20000003011</t>
  </si>
  <si>
    <t>CMH HOMES INC</t>
  </si>
  <si>
    <t>5000 CLAYTON ROAD</t>
  </si>
  <si>
    <t>MARYVILLE</t>
  </si>
  <si>
    <t>I600000046</t>
  </si>
  <si>
    <t>G30000001502</t>
  </si>
  <si>
    <t>H40000004301</t>
  </si>
  <si>
    <t>H40000000801</t>
  </si>
  <si>
    <t>L70000000801</t>
  </si>
  <si>
    <t>C600000035</t>
  </si>
  <si>
    <t>BOLYARD DANIEL BURTON</t>
  </si>
  <si>
    <t>BOLYARD JILLIAN SABRINA</t>
  </si>
  <si>
    <t>368 SPILLMAN RD</t>
  </si>
  <si>
    <t>I4110B0013</t>
  </si>
  <si>
    <t>PRIETO RAYMOND</t>
  </si>
  <si>
    <t>PRIETO TERRI</t>
  </si>
  <si>
    <t>630 WILKESBORO STREET</t>
  </si>
  <si>
    <t>F300000118</t>
  </si>
  <si>
    <t>HARDMAN GARRY L</t>
  </si>
  <si>
    <t>HARDMAN BRENDA J</t>
  </si>
  <si>
    <t>235 PASO LANE</t>
  </si>
  <si>
    <t>27028-4915</t>
  </si>
  <si>
    <t>F300000117</t>
  </si>
  <si>
    <t>F300000116</t>
  </si>
  <si>
    <t>D20000000503</t>
  </si>
  <si>
    <t>HARRIS BRENDA SHORE</t>
  </si>
  <si>
    <t>265 BEN ANDERSON ROAD</t>
  </si>
  <si>
    <t>G500000065</t>
  </si>
  <si>
    <t>HARRIS CALVIN D</t>
  </si>
  <si>
    <t>HARRIS PAMELA D</t>
  </si>
  <si>
    <t>2868 US HIGHWAY 158</t>
  </si>
  <si>
    <t>D9090A0008</t>
  </si>
  <si>
    <t>HARRIS DAISY C</t>
  </si>
  <si>
    <t>115 WILLOWBROOK PL</t>
  </si>
  <si>
    <t>K5060A0027</t>
  </si>
  <si>
    <t>HARRIS DAVID LESTER</t>
  </si>
  <si>
    <t>117 E CHINABERRY CT</t>
  </si>
  <si>
    <t>27028-5175</t>
  </si>
  <si>
    <t>N600000049</t>
  </si>
  <si>
    <t>HARRIS JUSTIS ANTONIO</t>
  </si>
  <si>
    <t>HARRIS SABRINA</t>
  </si>
  <si>
    <t>602 FERNDALE DR</t>
  </si>
  <si>
    <t>28147-7117</t>
  </si>
  <si>
    <t>B5010A0003</t>
  </si>
  <si>
    <t>PRUDE LEORA</t>
  </si>
  <si>
    <t>467 PINEVILLE ROAD</t>
  </si>
  <si>
    <t>L30000002609</t>
  </si>
  <si>
    <t>HARRIS PATRICIA TUTTEROW</t>
  </si>
  <si>
    <t>149 BOWLING LANE</t>
  </si>
  <si>
    <t>H90000000702</t>
  </si>
  <si>
    <t>HARTER HANNAH GRACE</t>
  </si>
  <si>
    <t>SHIN CODY AUSTIN</t>
  </si>
  <si>
    <t>217 MELOLDY LANE</t>
  </si>
  <si>
    <t>G500000099</t>
  </si>
  <si>
    <t>HARTER OTTO PAUL</t>
  </si>
  <si>
    <t>365 MCCLAMROCK RD</t>
  </si>
  <si>
    <t>I90000000101</t>
  </si>
  <si>
    <t>HARTSELL JEFFEREY MARK</t>
  </si>
  <si>
    <t>535 TODD RD</t>
  </si>
  <si>
    <t>C70000012502</t>
  </si>
  <si>
    <t>HAUSER JOHN R</t>
  </si>
  <si>
    <t>105 WEE LOCH DR</t>
  </si>
  <si>
    <t>27511-0000</t>
  </si>
  <si>
    <t>B700000088</t>
  </si>
  <si>
    <t>C30000013701</t>
  </si>
  <si>
    <t>HAUSER JOHN CLAYTON</t>
  </si>
  <si>
    <t>HILL BRENDA BOTTIGER</t>
  </si>
  <si>
    <t>1020 HOWELL RD</t>
  </si>
  <si>
    <t>M5090C000901</t>
  </si>
  <si>
    <t>PRUITT ESTELLE P</t>
  </si>
  <si>
    <t>J400000043</t>
  </si>
  <si>
    <t>RANDALL DAVID JASON ETAL</t>
  </si>
  <si>
    <t>RANDALL STEVEN PRESTON</t>
  </si>
  <si>
    <t>9807 TALLWOOD DRIVE</t>
  </si>
  <si>
    <t>INDIAN TRAIL</t>
  </si>
  <si>
    <t>28079-0000</t>
  </si>
  <si>
    <t>J70000010310</t>
  </si>
  <si>
    <t>I10000001702</t>
  </si>
  <si>
    <t>REDMOND NIKITA C</t>
  </si>
  <si>
    <t>1818 PINEDALE DR</t>
  </si>
  <si>
    <t>27105-3069</t>
  </si>
  <si>
    <t>C400000011</t>
  </si>
  <si>
    <t>FLEMING PHILLIP A</t>
  </si>
  <si>
    <t>FLEMING SUSAN P</t>
  </si>
  <si>
    <t>3484 NC HIGHWAY 801 NORTH</t>
  </si>
  <si>
    <t>27028-6329</t>
  </si>
  <si>
    <t>I80000003701</t>
  </si>
  <si>
    <t>HENDRIX RONNIE JOE</t>
  </si>
  <si>
    <t>172 TODD ROAD</t>
  </si>
  <si>
    <t>C600000028</t>
  </si>
  <si>
    <t>HENLEY LOLETA L</t>
  </si>
  <si>
    <t>329 SPILLMAN RD</t>
  </si>
  <si>
    <t>H7020A003501</t>
  </si>
  <si>
    <t>HENSDALE MARK ANDREW</t>
  </si>
  <si>
    <t>221 JAMES ROAD</t>
  </si>
  <si>
    <t>G60000009905</t>
  </si>
  <si>
    <t>HEPLER JARED</t>
  </si>
  <si>
    <t>HEPLER ANGELA</t>
  </si>
  <si>
    <t>132 GLASGOW LN</t>
  </si>
  <si>
    <t>27028-7231</t>
  </si>
  <si>
    <t>G60000009906</t>
  </si>
  <si>
    <t>G60000009903</t>
  </si>
  <si>
    <t>HEPLER SAMUEL RAY SR</t>
  </si>
  <si>
    <t>HEPLER BETTY</t>
  </si>
  <si>
    <t>301 HEPLER RD</t>
  </si>
  <si>
    <t>27028-7227</t>
  </si>
  <si>
    <t>C5130B0019</t>
  </si>
  <si>
    <t>FLETCHER MICHAEL</t>
  </si>
  <si>
    <t>FLETCHER SABRINA</t>
  </si>
  <si>
    <t>168 DROKE CIR</t>
  </si>
  <si>
    <t>C30000009601</t>
  </si>
  <si>
    <t>I60000002601</t>
  </si>
  <si>
    <t>GREGORY JANE CLONTZ</t>
  </si>
  <si>
    <t>321 WILLIAMS ROAD</t>
  </si>
  <si>
    <t>E700000046</t>
  </si>
  <si>
    <t>HICKS RICHARD C</t>
  </si>
  <si>
    <t>HICKS JOY CARTER</t>
  </si>
  <si>
    <t>383 JUNEY BEAUCHAMP ROAD</t>
  </si>
  <si>
    <t>I5060B0012</t>
  </si>
  <si>
    <t>HICKS STACY GLENN</t>
  </si>
  <si>
    <t>143 WHITNEY RD</t>
  </si>
  <si>
    <t>F600000074</t>
  </si>
  <si>
    <t>GRIFFEY SHARON</t>
  </si>
  <si>
    <t>149 GRIFFEY TRAIL</t>
  </si>
  <si>
    <t>27028-7663</t>
  </si>
  <si>
    <t>H50000002914</t>
  </si>
  <si>
    <t>HOLMES KENNETH</t>
  </si>
  <si>
    <t>231 SAIN ROAD</t>
  </si>
  <si>
    <t>G50000000802</t>
  </si>
  <si>
    <t>HOOVER JOE CARL</t>
  </si>
  <si>
    <t>315 WOODWARD ROAD</t>
  </si>
  <si>
    <t>G50000000801</t>
  </si>
  <si>
    <t>HOOVER LISA SMITH</t>
  </si>
  <si>
    <t>315 WOODWARD RD</t>
  </si>
  <si>
    <t>27028-4951</t>
  </si>
  <si>
    <t>H70000007003</t>
  </si>
  <si>
    <t>GROCE EMILY E</t>
  </si>
  <si>
    <t>B50000001309</t>
  </si>
  <si>
    <t>B500000007</t>
  </si>
  <si>
    <t>B50000001305</t>
  </si>
  <si>
    <t>G8140A0016  A</t>
  </si>
  <si>
    <t>GRUBB ZACHARY</t>
  </si>
  <si>
    <t>GRUBB MACY E</t>
  </si>
  <si>
    <t>122 SCOTCH MOSS DR</t>
  </si>
  <si>
    <t>G8140A0016</t>
  </si>
  <si>
    <t>J50000002301</t>
  </si>
  <si>
    <t>HALL MICHAEL STEVEN</t>
  </si>
  <si>
    <t>132 PHIL LANE</t>
  </si>
  <si>
    <t>L5020A0032</t>
  </si>
  <si>
    <t>HANCOCK DAVID WALTER</t>
  </si>
  <si>
    <t>HANCOCK PATRICIA D</t>
  </si>
  <si>
    <t>132 TWIN CEDARS GOLF ROAD</t>
  </si>
  <si>
    <t>M600000003</t>
  </si>
  <si>
    <t>F30000011801</t>
  </si>
  <si>
    <t>L30000002613</t>
  </si>
  <si>
    <t>D7070A0007</t>
  </si>
  <si>
    <t>HAYES CHARLES R JR</t>
  </si>
  <si>
    <t>187 GINNY LANE</t>
  </si>
  <si>
    <t>J6090A0003</t>
  </si>
  <si>
    <t>HOWELL TURNER ORLANDA</t>
  </si>
  <si>
    <t>HOWELL MARSHA L</t>
  </si>
  <si>
    <t>121 ERIC ROAD</t>
  </si>
  <si>
    <t>G70000014504</t>
  </si>
  <si>
    <t>HAYES TERRY RAY</t>
  </si>
  <si>
    <t>316 GRANADA DR</t>
  </si>
  <si>
    <t>27006-7240</t>
  </si>
  <si>
    <t>H80000006103A</t>
  </si>
  <si>
    <t>HUNTER RICHARD EUGENE</t>
  </si>
  <si>
    <t>317 BAILEYS CHAPEL ROAD</t>
  </si>
  <si>
    <t>D700000020</t>
  </si>
  <si>
    <t>HUPP CHARLES MICHAEL</t>
  </si>
  <si>
    <t>405 GORDON DRIVE</t>
  </si>
  <si>
    <t>I5090E0006</t>
  </si>
  <si>
    <t>MASON AMY J</t>
  </si>
  <si>
    <t>LEWIS WILBERT R</t>
  </si>
  <si>
    <t>534 N MAIN ST</t>
  </si>
  <si>
    <t>27028-2120</t>
  </si>
  <si>
    <t>F20000002307</t>
  </si>
  <si>
    <t>HURT DANIEL L</t>
  </si>
  <si>
    <t>HURT DONNA J</t>
  </si>
  <si>
    <t>329 GEORGIA RD</t>
  </si>
  <si>
    <t>D20000000111</t>
  </si>
  <si>
    <t>HEDRICK LARRY DANIEL</t>
  </si>
  <si>
    <t>WILSON GARRY WAYNE</t>
  </si>
  <si>
    <t>446 MAIN CHURCH RD</t>
  </si>
  <si>
    <t>M4040A0005</t>
  </si>
  <si>
    <t>HUTCHENS KENNETH E</t>
  </si>
  <si>
    <t>HUTCHENS DEBBIE S</t>
  </si>
  <si>
    <t>127 LEGION HUT ROAD</t>
  </si>
  <si>
    <t>D700000100</t>
  </si>
  <si>
    <t>HUTCHINS PATRICIA</t>
  </si>
  <si>
    <t>419 REDLAND RD</t>
  </si>
  <si>
    <t>M4130A0031</t>
  </si>
  <si>
    <t>IJAMES ANNELLE</t>
  </si>
  <si>
    <t>IJAMES LINDA J</t>
  </si>
  <si>
    <t>176 CLARK RD</t>
  </si>
  <si>
    <t>27028-0914</t>
  </si>
  <si>
    <t>F10000004809</t>
  </si>
  <si>
    <t>RAMSEY WENDY</t>
  </si>
  <si>
    <t>1661 COUNTY LINE RD</t>
  </si>
  <si>
    <t>I800000037</t>
  </si>
  <si>
    <t>HENDRIX RONNIE</t>
  </si>
  <si>
    <t>HENDRIX ANGELIA</t>
  </si>
  <si>
    <t>172 TODD RD</t>
  </si>
  <si>
    <t>J100000051</t>
  </si>
  <si>
    <t>RICHARDSON BETTY</t>
  </si>
  <si>
    <t>2131 DAVIE ACADEMY ROAD</t>
  </si>
  <si>
    <t>H7030A0014</t>
  </si>
  <si>
    <t>IRELAND JACK G</t>
  </si>
  <si>
    <t>IRELAND DONNA B</t>
  </si>
  <si>
    <t>223 BRIER CREEK ROAD</t>
  </si>
  <si>
    <t>H7030A0013</t>
  </si>
  <si>
    <t>D600000049</t>
  </si>
  <si>
    <t>JACKSON DENNIS M</t>
  </si>
  <si>
    <t>JACKSON TERRY C</t>
  </si>
  <si>
    <t>147 PLOWMAN LANE</t>
  </si>
  <si>
    <t>27006-0323</t>
  </si>
  <si>
    <t>N50000004101</t>
  </si>
  <si>
    <t>RIDDLE BILLY STAN SR</t>
  </si>
  <si>
    <t>RIDDLE CELESTE MARTIN</t>
  </si>
  <si>
    <t>D70000002402</t>
  </si>
  <si>
    <t>RIDDLE LONNIE B</t>
  </si>
  <si>
    <t>RIDDLE ELIZABETH SMITH</t>
  </si>
  <si>
    <t>566 GORDON DR</t>
  </si>
  <si>
    <t>C5130B0032</t>
  </si>
  <si>
    <t>JARVIS THURMAN LOWDER JR</t>
  </si>
  <si>
    <t>JARVIS KATHY W</t>
  </si>
  <si>
    <t>2163 NC HIGHWAY 801 NORTH</t>
  </si>
  <si>
    <t>H90000000705</t>
  </si>
  <si>
    <t>JENKINS NANCY NORMAN</t>
  </si>
  <si>
    <t>935 PEOPLES CREEK RD</t>
  </si>
  <si>
    <t>G60000004101</t>
  </si>
  <si>
    <t>JETT ERIC</t>
  </si>
  <si>
    <t>JETT ALEXIS</t>
  </si>
  <si>
    <t>147 HOWARDTOWN RD</t>
  </si>
  <si>
    <t>G600000041</t>
  </si>
  <si>
    <t>G60000004501</t>
  </si>
  <si>
    <t>G3050A0002</t>
  </si>
  <si>
    <t>H3010B0002</t>
  </si>
  <si>
    <t>HICKS GARY RAY</t>
  </si>
  <si>
    <t>HICKS AMBER</t>
  </si>
  <si>
    <t>2240 US HWY 64 W</t>
  </si>
  <si>
    <t>G5100A0001</t>
  </si>
  <si>
    <t>JOHNSON STEVEN MICHAEL</t>
  </si>
  <si>
    <t>JOHNSON EMILY S</t>
  </si>
  <si>
    <t>828 S SALISBURY ST</t>
  </si>
  <si>
    <t>I5160B0028</t>
  </si>
  <si>
    <t>HOLMAN MARY D</t>
  </si>
  <si>
    <t>127 NORMA LANE</t>
  </si>
  <si>
    <t>C400000027</t>
  </si>
  <si>
    <t>HORTON WILLIAM T</t>
  </si>
  <si>
    <t>HORTON TONI J</t>
  </si>
  <si>
    <t>326 PINO ROAD</t>
  </si>
  <si>
    <t>27028-4920</t>
  </si>
  <si>
    <t>N500000048</t>
  </si>
  <si>
    <t>MILLER RANDY E</t>
  </si>
  <si>
    <t>MILLER REGINA H</t>
  </si>
  <si>
    <t>295 MILLER ROAD</t>
  </si>
  <si>
    <t>27028-6726</t>
  </si>
  <si>
    <t>M400000085</t>
  </si>
  <si>
    <t>JONES KEITH ERIC</t>
  </si>
  <si>
    <t>183 BUBS WAY</t>
  </si>
  <si>
    <t>M40000004702</t>
  </si>
  <si>
    <t>M50000002601</t>
  </si>
  <si>
    <t>G700000130</t>
  </si>
  <si>
    <t>HOWARD DAVID WAYNE</t>
  </si>
  <si>
    <t>189 BARNEY ROAD</t>
  </si>
  <si>
    <t>I80000000106</t>
  </si>
  <si>
    <t>JONES RONALD G</t>
  </si>
  <si>
    <t>JONES SANDRA A</t>
  </si>
  <si>
    <t>142 CEDAR HILL LANE</t>
  </si>
  <si>
    <t>I80000000105</t>
  </si>
  <si>
    <t>I80000000107</t>
  </si>
  <si>
    <t>I800000001</t>
  </si>
  <si>
    <t>C7100A0016</t>
  </si>
  <si>
    <t>JONES SANFORD R</t>
  </si>
  <si>
    <t>JONES DONNA H</t>
  </si>
  <si>
    <t>L500000055</t>
  </si>
  <si>
    <t>JORDAN GERALDINE G</t>
  </si>
  <si>
    <t>5060 SMITHFIELD</t>
  </si>
  <si>
    <t>MELBOURNE</t>
  </si>
  <si>
    <t>32934-7867</t>
  </si>
  <si>
    <t>L500000054</t>
  </si>
  <si>
    <t>H900000007</t>
  </si>
  <si>
    <t>ROBERTSON DANIEL GRAY</t>
  </si>
  <si>
    <t>758 PEOPLES CREEK RD</t>
  </si>
  <si>
    <t>H90000000704</t>
  </si>
  <si>
    <t>H900000018</t>
  </si>
  <si>
    <t>I80000002001</t>
  </si>
  <si>
    <t>HOWARD GEORGE ALVIN</t>
  </si>
  <si>
    <t>622 FORK BIXBY RD</t>
  </si>
  <si>
    <t>I700000084</t>
  </si>
  <si>
    <t>E8110C0008</t>
  </si>
  <si>
    <t>HOWARD KIMBERLY LEMMONS</t>
  </si>
  <si>
    <t>127 MACY LANGSTON LANE</t>
  </si>
  <si>
    <t>D30000003203</t>
  </si>
  <si>
    <t>D30000003604</t>
  </si>
  <si>
    <t>HOWARD TODD LANGSTON</t>
  </si>
  <si>
    <t>J60000002002</t>
  </si>
  <si>
    <t>HOWELL CHRISTIAN XAVIER</t>
  </si>
  <si>
    <t>J60000002009</t>
  </si>
  <si>
    <t>J6090A0004</t>
  </si>
  <si>
    <t>C500000024</t>
  </si>
  <si>
    <t>HUFF DONALD LEE</t>
  </si>
  <si>
    <t>2740 NC HIGHWAY 801 NORTH</t>
  </si>
  <si>
    <t>27028-6313</t>
  </si>
  <si>
    <t>F90000002801</t>
  </si>
  <si>
    <t>HUTCHENS DORIS H</t>
  </si>
  <si>
    <t>180 VOGLER ROAD</t>
  </si>
  <si>
    <t>I5110A0015</t>
  </si>
  <si>
    <t>IJAMES JOHN A</t>
  </si>
  <si>
    <t>289 MONTVIEW DRIVE</t>
  </si>
  <si>
    <t>D8070A0068</t>
  </si>
  <si>
    <t>KENDRICK JAMES P</t>
  </si>
  <si>
    <t>KENDRICK SUSAN C</t>
  </si>
  <si>
    <t>120 GOLFVIEW DRIVE</t>
  </si>
  <si>
    <t>N5110A0007</t>
  </si>
  <si>
    <t>IJAMES JOHN</t>
  </si>
  <si>
    <t>649 PINE RIDGE RD</t>
  </si>
  <si>
    <t>M5090A0007</t>
  </si>
  <si>
    <t>IJAMES MILDRED</t>
  </si>
  <si>
    <t>100 WINDWARD CIR</t>
  </si>
  <si>
    <t>E8020A0003</t>
  </si>
  <si>
    <t>JACKSON WILLIAM CRAIG</t>
  </si>
  <si>
    <t>JACKSON KATHRYN H</t>
  </si>
  <si>
    <t>109 RAINTREE ROAD</t>
  </si>
  <si>
    <t>F10000002501</t>
  </si>
  <si>
    <t>ROLLINGS GLENN</t>
  </si>
  <si>
    <t>ROLLINGS LATANYA</t>
  </si>
  <si>
    <t>200 JOHN IJAMES RD</t>
  </si>
  <si>
    <t>27028-5818</t>
  </si>
  <si>
    <t>G800000043</t>
  </si>
  <si>
    <t>JAMES BETTY T</t>
  </si>
  <si>
    <t>185 FEED MILL RD</t>
  </si>
  <si>
    <t>D9050B0025</t>
  </si>
  <si>
    <t>HERIOT RICHARD MORRISON</t>
  </si>
  <si>
    <t>HERIOT ELIZABETH ROWLAND</t>
  </si>
  <si>
    <t>2116 BERMUDA VILLAGE DRIVE</t>
  </si>
  <si>
    <t>C600000026  A</t>
  </si>
  <si>
    <t>ROMINGER WILLIAM E</t>
  </si>
  <si>
    <t>ROMINGER PATRICIA I</t>
  </si>
  <si>
    <t>241 SPILLMAN ROAD</t>
  </si>
  <si>
    <t>27028-7814</t>
  </si>
  <si>
    <t>J50000001902</t>
  </si>
  <si>
    <t>ROMO-HAZELWOOD LAURA CRISTINA</t>
  </si>
  <si>
    <t>1257 US HIGHWAY 64 E</t>
  </si>
  <si>
    <t>L40000004802</t>
  </si>
  <si>
    <t>H300000027</t>
  </si>
  <si>
    <t>ROSE BRENDA D</t>
  </si>
  <si>
    <t>154 ASH DRIVE</t>
  </si>
  <si>
    <t>H4130A0043</t>
  </si>
  <si>
    <t>C60000005607</t>
  </si>
  <si>
    <t>ROTEN WILLIAM BRYAN</t>
  </si>
  <si>
    <t>ROTEN MELINDA SUE</t>
  </si>
  <si>
    <t>116 SPILLMAN RD</t>
  </si>
  <si>
    <t>C60000005605</t>
  </si>
  <si>
    <t>C60000005608</t>
  </si>
  <si>
    <t>G300000028</t>
  </si>
  <si>
    <t>HIATT RUTH ANNE</t>
  </si>
  <si>
    <t>237 IJAMES CHURCH ROAD</t>
  </si>
  <si>
    <t>F300000053</t>
  </si>
  <si>
    <t>JOLLY LLOYD DENTON</t>
  </si>
  <si>
    <t>221 JOLLEY ROAD</t>
  </si>
  <si>
    <t>27028-5821</t>
  </si>
  <si>
    <t>B300000047</t>
  </si>
  <si>
    <t>KITCHENE THOMAS E</t>
  </si>
  <si>
    <t>KITCHENE TERESA R</t>
  </si>
  <si>
    <t>143 MORTGAGE HILL WAY</t>
  </si>
  <si>
    <t>K300000014</t>
  </si>
  <si>
    <t>KOONTZ ERNEST THEODORE JR</t>
  </si>
  <si>
    <t>27360-1112</t>
  </si>
  <si>
    <t>K300000015</t>
  </si>
  <si>
    <t>K200000077</t>
  </si>
  <si>
    <t>K30000000801</t>
  </si>
  <si>
    <t>K200000059</t>
  </si>
  <si>
    <t>K20000005804</t>
  </si>
  <si>
    <t>F300000046</t>
  </si>
  <si>
    <t>D8060A0014</t>
  </si>
  <si>
    <t>RIGSBY TIMOTHY A</t>
  </si>
  <si>
    <t>RIGSBY ANN T</t>
  </si>
  <si>
    <t>328 RIVERBEND DR</t>
  </si>
  <si>
    <t>I700000099</t>
  </si>
  <si>
    <t>I80000000104</t>
  </si>
  <si>
    <t>L60000000204</t>
  </si>
  <si>
    <t>ROBERTSON JILL ANNETTE</t>
  </si>
  <si>
    <t>L60000000206</t>
  </si>
  <si>
    <t>L60000000205</t>
  </si>
  <si>
    <t>F600000095</t>
  </si>
  <si>
    <t>ROBERTSON KEVIN CARTER</t>
  </si>
  <si>
    <t>4778 LAYLA LN</t>
  </si>
  <si>
    <t>HAHIRA</t>
  </si>
  <si>
    <t>31632-0000</t>
  </si>
  <si>
    <t>D8100D0015</t>
  </si>
  <si>
    <t>ROBERTSON THOMAS W</t>
  </si>
  <si>
    <t>ROBERTSON LISA</t>
  </si>
  <si>
    <t>257 SPYGLASS DR</t>
  </si>
  <si>
    <t>B300000103</t>
  </si>
  <si>
    <t>SCARLETT MARISA</t>
  </si>
  <si>
    <t>27028-4931</t>
  </si>
  <si>
    <t>B300000104</t>
  </si>
  <si>
    <t>B300000101</t>
  </si>
  <si>
    <t>C300000001</t>
  </si>
  <si>
    <t>K200000044</t>
  </si>
  <si>
    <t>SCHUERMAN BRIAN K</t>
  </si>
  <si>
    <t>177 LITTLE CREEK LANE</t>
  </si>
  <si>
    <t>C600000076</t>
  </si>
  <si>
    <t>KAPP WESLEY ADAM</t>
  </si>
  <si>
    <t>K600000004</t>
  </si>
  <si>
    <t>SEAMAN RUTH WILLIAMS</t>
  </si>
  <si>
    <t>655 BAKER MILL ROAD</t>
  </si>
  <si>
    <t>K60000000402</t>
  </si>
  <si>
    <t>L5140A0012  A</t>
  </si>
  <si>
    <t>SEAMON SUSAN R</t>
  </si>
  <si>
    <t>179 WHETSTONE DR</t>
  </si>
  <si>
    <t>D9010B0030</t>
  </si>
  <si>
    <t>KARPINSKI CARLTON W</t>
  </si>
  <si>
    <t>KARPINSKI LESLIE W</t>
  </si>
  <si>
    <t>165 WARWICKE PLACE</t>
  </si>
  <si>
    <t>L5140A0023</t>
  </si>
  <si>
    <t>L5140A001301</t>
  </si>
  <si>
    <t>I4110B001001</t>
  </si>
  <si>
    <t>SHAW BRIAN KELLY</t>
  </si>
  <si>
    <t>SHAW VICKI BARNHARDT</t>
  </si>
  <si>
    <t>249 MERONEY ST</t>
  </si>
  <si>
    <t>I30000000401</t>
  </si>
  <si>
    <t>SHEESLEY ADAM D</t>
  </si>
  <si>
    <t>391 POWELL ROAD</t>
  </si>
  <si>
    <t>J4040A0009</t>
  </si>
  <si>
    <t>SHEETS GALE</t>
  </si>
  <si>
    <t>SHEETS BARBARA</t>
  </si>
  <si>
    <t>410 LOCUST STREET</t>
  </si>
  <si>
    <t>L5100A0012</t>
  </si>
  <si>
    <t>SHEETS JOHNNY RAY</t>
  </si>
  <si>
    <t>2229 US HIGHWAY 601 SOUTH</t>
  </si>
  <si>
    <t>L5100A001201</t>
  </si>
  <si>
    <t>I1110C0002</t>
  </si>
  <si>
    <t>SHEETS KEITH VINCENT</t>
  </si>
  <si>
    <t>SHEETS DARLENE C</t>
  </si>
  <si>
    <t>193 OAK TREE DRIVE</t>
  </si>
  <si>
    <t>G7040A0037</t>
  </si>
  <si>
    <t>SHELL BARRY W</t>
  </si>
  <si>
    <t>SHELL BOBBIE O</t>
  </si>
  <si>
    <t>127 CASABELLA DRIVE</t>
  </si>
  <si>
    <t>G7040A0036</t>
  </si>
  <si>
    <t>L40000004803</t>
  </si>
  <si>
    <t>ROCHA ARMANDO DOMINGUEZ</t>
  </si>
  <si>
    <t>992 DANIEL ROAD</t>
  </si>
  <si>
    <t>E700000059</t>
  </si>
  <si>
    <t>RODGERS TESSA ALLEN</t>
  </si>
  <si>
    <t>165 REECE WAY</t>
  </si>
  <si>
    <t>J700000025</t>
  </si>
  <si>
    <t>SIMMONS SUSANNA HAIRSTON</t>
  </si>
  <si>
    <t>2394 MIDDLETON CT</t>
  </si>
  <si>
    <t>28306-4531</t>
  </si>
  <si>
    <t>L5020A0038</t>
  </si>
  <si>
    <t>SINGLETON MARGARET NANCE</t>
  </si>
  <si>
    <t>1115 MOCKSVILLE HWY</t>
  </si>
  <si>
    <t>28625-8282</t>
  </si>
  <si>
    <t>I80000006701</t>
  </si>
  <si>
    <t>SINGLETON MICHAEL</t>
  </si>
  <si>
    <t>2871 US HIGHWAY 801 SOUTH</t>
  </si>
  <si>
    <t>K50000007102</t>
  </si>
  <si>
    <t>RODRIGUEZ CESAR HERRERA</t>
  </si>
  <si>
    <t>TREJO DIANA ACENCIO</t>
  </si>
  <si>
    <t>444 WILL BOONE RD</t>
  </si>
  <si>
    <t>B200000033</t>
  </si>
  <si>
    <t>SIZEMORE JEFFERY DEAN</t>
  </si>
  <si>
    <t>779 CHINQUAPIN ROAD</t>
  </si>
  <si>
    <t>J400000046</t>
  </si>
  <si>
    <t>SKAGGS RICHARD L</t>
  </si>
  <si>
    <t>SKAGGS JUDITH L</t>
  </si>
  <si>
    <t>1380 JERICHO CHURCH ROAD</t>
  </si>
  <si>
    <t>B200000002</t>
  </si>
  <si>
    <t>KOPY NICHOLAS III</t>
  </si>
  <si>
    <t>LAKE JENNIFER N</t>
  </si>
  <si>
    <t>H7030A0004</t>
  </si>
  <si>
    <t>SMILEY SAMANTHA M</t>
  </si>
  <si>
    <t>157 BRIER CREEK ROAD</t>
  </si>
  <si>
    <t>H7030A0006</t>
  </si>
  <si>
    <t>H7030A0007</t>
  </si>
  <si>
    <t>H7030A0005</t>
  </si>
  <si>
    <t>I80000004104</t>
  </si>
  <si>
    <t>WARD ANTHONY C</t>
  </si>
  <si>
    <t>WARD STACY B</t>
  </si>
  <si>
    <t>212 TODD RD</t>
  </si>
  <si>
    <t>27006-7249</t>
  </si>
  <si>
    <t>I6140A0056</t>
  </si>
  <si>
    <t>WARD JEFFREY A JR</t>
  </si>
  <si>
    <t>WARD LAURA C</t>
  </si>
  <si>
    <t>115 LEVIN COURT</t>
  </si>
  <si>
    <t>27028-7379</t>
  </si>
  <si>
    <t>I6140A0055</t>
  </si>
  <si>
    <t>I60000007001</t>
  </si>
  <si>
    <t>N5010C0006</t>
  </si>
  <si>
    <t>WARD SANDRA S</t>
  </si>
  <si>
    <t>P O BOX 576</t>
  </si>
  <si>
    <t>27014-0576</t>
  </si>
  <si>
    <t>D9050A0022</t>
  </si>
  <si>
    <t>KEISER MARLENE H</t>
  </si>
  <si>
    <t>3105 BERMUDA VILLAGE DRIVE</t>
  </si>
  <si>
    <t>M500000049</t>
  </si>
  <si>
    <t>KETCHIE DESTINY AUTUMN</t>
  </si>
  <si>
    <t>KETCHIE JOSEPH ADAM</t>
  </si>
  <si>
    <t>6548 NC HIGHWAY 801 S</t>
  </si>
  <si>
    <t>B3020A0011</t>
  </si>
  <si>
    <t>WARZUN GARY L</t>
  </si>
  <si>
    <t>146 OLD OAK LANE</t>
  </si>
  <si>
    <t>M60000004004</t>
  </si>
  <si>
    <t>SMITH JEFFREY WAYNE</t>
  </si>
  <si>
    <t>SMITH LYNN BOSTIAN</t>
  </si>
  <si>
    <t>428 CHERRY HILL ROAD</t>
  </si>
  <si>
    <t>E30000000601</t>
  </si>
  <si>
    <t>WATSON CHARLES WAYNE</t>
  </si>
  <si>
    <t>564 LIBERTY CHURCH ROAD</t>
  </si>
  <si>
    <t>L60000000903</t>
  </si>
  <si>
    <t>KETCHIE DESTINY R</t>
  </si>
  <si>
    <t>REINHARDT KAYLA ETTAMAE</t>
  </si>
  <si>
    <t>242 HOBSON DRIVE</t>
  </si>
  <si>
    <t>I5110A0024</t>
  </si>
  <si>
    <t>KIMBROUGH BERTHA L</t>
  </si>
  <si>
    <t>KIMBROUGH SHANTA S</t>
  </si>
  <si>
    <t>379 MOUNTVIEW DRIVE</t>
  </si>
  <si>
    <t>F60000008403</t>
  </si>
  <si>
    <t>F600000071</t>
  </si>
  <si>
    <t>KING SHERRY LYNN SHEEK</t>
  </si>
  <si>
    <t>KING CHARLES KELLY</t>
  </si>
  <si>
    <t>J5010C0034</t>
  </si>
  <si>
    <t>JOHNSON JOSEPH STUART</t>
  </si>
  <si>
    <t>195 MILL ST</t>
  </si>
  <si>
    <t>G50000000203</t>
  </si>
  <si>
    <t>WEST WILLIE MAY SCOTT</t>
  </si>
  <si>
    <t>178 CLAIRMONT LANE</t>
  </si>
  <si>
    <t>H300000046</t>
  </si>
  <si>
    <t>WHARTON WILLIAM T</t>
  </si>
  <si>
    <t>WHARTON WALTINA H</t>
  </si>
  <si>
    <t>L5100B000102</t>
  </si>
  <si>
    <t>SMITH MONTY GRAY</t>
  </si>
  <si>
    <t>129 HONEY HILL LANE</t>
  </si>
  <si>
    <t>B300000092</t>
  </si>
  <si>
    <t>WHITAKER DENISE C</t>
  </si>
  <si>
    <t>3505 WYO RD</t>
  </si>
  <si>
    <t>L30000002707</t>
  </si>
  <si>
    <t>WHITAKER JAY</t>
  </si>
  <si>
    <t>673 JUNCTION ROAD</t>
  </si>
  <si>
    <t>L30000002703</t>
  </si>
  <si>
    <t>E200000045</t>
  </si>
  <si>
    <t>PACITTO THERESA</t>
  </si>
  <si>
    <t>1813 SAFFRON PL</t>
  </si>
  <si>
    <t>27127-7550</t>
  </si>
  <si>
    <t>E20000002818</t>
  </si>
  <si>
    <t>E60000009202</t>
  </si>
  <si>
    <t>SMITH NANCY BATES</t>
  </si>
  <si>
    <t>4172 US HIGHWAY 158</t>
  </si>
  <si>
    <t>D300000023</t>
  </si>
  <si>
    <t>WHITE ANN</t>
  </si>
  <si>
    <t>WHITE EDWARD</t>
  </si>
  <si>
    <t>197 CRABTREE RD</t>
  </si>
  <si>
    <t>M5020A0025</t>
  </si>
  <si>
    <t>WHITE DONALD J JR</t>
  </si>
  <si>
    <t>WHITE KAREN B</t>
  </si>
  <si>
    <t>355 MICHAELS ROAD</t>
  </si>
  <si>
    <t>K80000001906</t>
  </si>
  <si>
    <t>WHITE DONALD ODELL</t>
  </si>
  <si>
    <t>173 PHELPS WAY</t>
  </si>
  <si>
    <t>27006-7087</t>
  </si>
  <si>
    <t>WHITE  DONALD ODELL</t>
  </si>
  <si>
    <t>K80000001904</t>
  </si>
  <si>
    <t>J4050D0022</t>
  </si>
  <si>
    <t>E900000241</t>
  </si>
  <si>
    <t>KORCZYK RICHARD J</t>
  </si>
  <si>
    <t>KORCZYK SHARON S</t>
  </si>
  <si>
    <t>131 ISLEWORTH DRIVE</t>
  </si>
  <si>
    <t>F400000009  A</t>
  </si>
  <si>
    <t>WHITE JOHN FRANK</t>
  </si>
  <si>
    <t>165 CANTERBURY LANE</t>
  </si>
  <si>
    <t>27028-4660</t>
  </si>
  <si>
    <t>D300000022</t>
  </si>
  <si>
    <t>WHITE JOHN SHANNON</t>
  </si>
  <si>
    <t>WHITE ANGELA POTTS</t>
  </si>
  <si>
    <t>182 CRABTREE RD</t>
  </si>
  <si>
    <t>D30000002302</t>
  </si>
  <si>
    <t>C700000019  A</t>
  </si>
  <si>
    <t>SMITH PEARL HEIRS</t>
  </si>
  <si>
    <t>1913 YADKIN VALLEY ROAD</t>
  </si>
  <si>
    <t>D9050A0009</t>
  </si>
  <si>
    <t>SMITH STEPHEN ALLEN</t>
  </si>
  <si>
    <t>3126 BERMUDA VLG</t>
  </si>
  <si>
    <t>D9090C0005</t>
  </si>
  <si>
    <t>HUGGINS MICHAEL BRADFORD</t>
  </si>
  <si>
    <t>HUGGINS LISA BETH</t>
  </si>
  <si>
    <t>115 LAUREL PL</t>
  </si>
  <si>
    <t>I5080C000201</t>
  </si>
  <si>
    <t>MOREHEAD JAMES</t>
  </si>
  <si>
    <t>138 MARTIN LUTHER KING JR RD</t>
  </si>
  <si>
    <t>27028-7780</t>
  </si>
  <si>
    <t>H4140A0003</t>
  </si>
  <si>
    <t>RAVENEY DANIEL</t>
  </si>
  <si>
    <t>RAVENEY LOUISE</t>
  </si>
  <si>
    <t>475 COUNTRY LN</t>
  </si>
  <si>
    <t>B700000004</t>
  </si>
  <si>
    <t>SMITH TERRY GRAY</t>
  </si>
  <si>
    <t>188 CENTENARY CHURCH RD</t>
  </si>
  <si>
    <t>27012-7335</t>
  </si>
  <si>
    <t>J800000003</t>
  </si>
  <si>
    <t>SMITH TIMOTHY W</t>
  </si>
  <si>
    <t>478 FORK BIXBY RD</t>
  </si>
  <si>
    <t>27006-7220</t>
  </si>
  <si>
    <t>J80000000301</t>
  </si>
  <si>
    <t>SMITH TIMOTHY WAYNE</t>
  </si>
  <si>
    <t>SMITH CATHY FOSTER</t>
  </si>
  <si>
    <t>J800000002</t>
  </si>
  <si>
    <t>I4130H0041</t>
  </si>
  <si>
    <t>SMITH VIRGIL RAY</t>
  </si>
  <si>
    <t>SMITH JANE O</t>
  </si>
  <si>
    <t>348 AVON STREET</t>
  </si>
  <si>
    <t>K60000001301</t>
  </si>
  <si>
    <t>D800000022</t>
  </si>
  <si>
    <t>SADAT SAID MOHAMMAD</t>
  </si>
  <si>
    <t>149 RIVERVIEW TOWNHOUSE DRIVE</t>
  </si>
  <si>
    <t>E100000007</t>
  </si>
  <si>
    <t>SNYDER THELMA T</t>
  </si>
  <si>
    <t>837 TURKEY FOOT ROAD</t>
  </si>
  <si>
    <t>N600000063</t>
  </si>
  <si>
    <t>SOCKWELL ALEXIS T</t>
  </si>
  <si>
    <t>PO BOX 50922</t>
  </si>
  <si>
    <t>34232-0307</t>
  </si>
  <si>
    <t>J20000004802</t>
  </si>
  <si>
    <t>SOTO LUIS A</t>
  </si>
  <si>
    <t>SOTO SARA L</t>
  </si>
  <si>
    <t>310 BERRY LN</t>
  </si>
  <si>
    <t>27028-8104</t>
  </si>
  <si>
    <t>K5090A0003</t>
  </si>
  <si>
    <t>SOUTHERN HARLAN W</t>
  </si>
  <si>
    <t>BOONE WANDA G</t>
  </si>
  <si>
    <t>1698 US HIGHWAY 601 SOUTH</t>
  </si>
  <si>
    <t>C30000011601</t>
  </si>
  <si>
    <t>SOUTHERN JEAN LEAZER</t>
  </si>
  <si>
    <t>114 JACK BOOE ROAD</t>
  </si>
  <si>
    <t>I6150A0002</t>
  </si>
  <si>
    <t>SAIN TAMMY W</t>
  </si>
  <si>
    <t>425 CORNATZER ROAD</t>
  </si>
  <si>
    <t>I5170C0018</t>
  </si>
  <si>
    <t>SAIN PATRICIA HOWELL</t>
  </si>
  <si>
    <t>113 E BRICK WALK CT</t>
  </si>
  <si>
    <t>N5010A0015</t>
  </si>
  <si>
    <t>SALE CASEY LYNN</t>
  </si>
  <si>
    <t>SANCHEZ MARTIN PEDRO FRAUSTO</t>
  </si>
  <si>
    <t>J400000009</t>
  </si>
  <si>
    <t>SPILLMAN EDDIE</t>
  </si>
  <si>
    <t>168 WILLOW LN</t>
  </si>
  <si>
    <t>27028-5489</t>
  </si>
  <si>
    <t>J40000000901</t>
  </si>
  <si>
    <t>J400000025</t>
  </si>
  <si>
    <t>B30000004405</t>
  </si>
  <si>
    <t>SPILLMAN PATRICK LEE</t>
  </si>
  <si>
    <t>151 SPILLMAN FARM TRAIL</t>
  </si>
  <si>
    <t>J50000000902</t>
  </si>
  <si>
    <t>BEAVERS INA M</t>
  </si>
  <si>
    <t>M400000079</t>
  </si>
  <si>
    <t>SPILLMAN ROGER PHILLIP</t>
  </si>
  <si>
    <t>M40000002405</t>
  </si>
  <si>
    <t>M400000080</t>
  </si>
  <si>
    <t>M40000002408</t>
  </si>
  <si>
    <t>M400000076</t>
  </si>
  <si>
    <t>K600000041</t>
  </si>
  <si>
    <t>L60000003701</t>
  </si>
  <si>
    <t>M50000001617</t>
  </si>
  <si>
    <t>M4140A0005</t>
  </si>
  <si>
    <t>M5070A0001</t>
  </si>
  <si>
    <t>M4140A0006</t>
  </si>
  <si>
    <t>M4140A0010</t>
  </si>
  <si>
    <t>M4140A0001</t>
  </si>
  <si>
    <t>M4140A0008</t>
  </si>
  <si>
    <t>M4140A0002</t>
  </si>
  <si>
    <t>M4140A0007</t>
  </si>
  <si>
    <t>M4140A0009</t>
  </si>
  <si>
    <t>M4140A0003</t>
  </si>
  <si>
    <t>M4140A0004</t>
  </si>
  <si>
    <t>M50000001618</t>
  </si>
  <si>
    <t>M50000001608A</t>
  </si>
  <si>
    <t>M40000002412</t>
  </si>
  <si>
    <t>M50000001616</t>
  </si>
  <si>
    <t>M400000082</t>
  </si>
  <si>
    <t>N5010C0056</t>
  </si>
  <si>
    <t>N5010A0021</t>
  </si>
  <si>
    <t>M50000000701</t>
  </si>
  <si>
    <t>G4080A0028</t>
  </si>
  <si>
    <t>SANDERS ARCHIE B JR</t>
  </si>
  <si>
    <t>1312 MAIN CHURCH ROAD</t>
  </si>
  <si>
    <t>I4130H0030</t>
  </si>
  <si>
    <t>SANTOS-SALAS LEXI MICHELLE</t>
  </si>
  <si>
    <t>222 AVON ST</t>
  </si>
  <si>
    <t>27028-2304</t>
  </si>
  <si>
    <t>I5050D0019</t>
  </si>
  <si>
    <t>SCALES ALVIN LOUIS</t>
  </si>
  <si>
    <t>SCALES CASSANDRA F</t>
  </si>
  <si>
    <t>356 WHITNEY ROAD</t>
  </si>
  <si>
    <t>G5100A0004</t>
  </si>
  <si>
    <t>SCOTT JOHN CEDRIC</t>
  </si>
  <si>
    <t>226 S ANGELL ROAD</t>
  </si>
  <si>
    <t>L5140A001302</t>
  </si>
  <si>
    <t>L60000002109</t>
  </si>
  <si>
    <t>SIFFORD JODI</t>
  </si>
  <si>
    <t>6280 NC HIGHWAY 801 S</t>
  </si>
  <si>
    <t>I5040A0003</t>
  </si>
  <si>
    <t>SIMMONS FLORENCE STEELE</t>
  </si>
  <si>
    <t>1001 MILLING ROAD</t>
  </si>
  <si>
    <t>F300000007</t>
  </si>
  <si>
    <t>FBO ARIC SINYARD</t>
  </si>
  <si>
    <t>F600000007</t>
  </si>
  <si>
    <t>SMITH D C</t>
  </si>
  <si>
    <t>189 CHAL SMITH ROAD</t>
  </si>
  <si>
    <t>J4030B0008</t>
  </si>
  <si>
    <t>SMITH DOROTHY HEIRS OF</t>
  </si>
  <si>
    <t>558 SANFORD AVE</t>
  </si>
  <si>
    <t>J600000088</t>
  </si>
  <si>
    <t>SMITH MARK A</t>
  </si>
  <si>
    <t>SMITH EVELYN M</t>
  </si>
  <si>
    <t>91 SANDWICH ROAD</t>
  </si>
  <si>
    <t>WAREHAM</t>
  </si>
  <si>
    <t>02571-0000</t>
  </si>
  <si>
    <t>B40000002301</t>
  </si>
  <si>
    <t>SMITH MICHAEL THOMAS</t>
  </si>
  <si>
    <t>G50000006202</t>
  </si>
  <si>
    <t>WELCH DEL E</t>
  </si>
  <si>
    <t>WELCH TERESA P</t>
  </si>
  <si>
    <t>268 ROCK HOUSE ROAD</t>
  </si>
  <si>
    <t>J5160B0012</t>
  </si>
  <si>
    <t>1147 BARRINGER RD</t>
  </si>
  <si>
    <t>28147-9511</t>
  </si>
  <si>
    <t>J5160B000901</t>
  </si>
  <si>
    <t>H70000006409</t>
  </si>
  <si>
    <t>ROTHROCK LAWRENCE H</t>
  </si>
  <si>
    <t>155 JAMES ROAD</t>
  </si>
  <si>
    <t>H70000006404</t>
  </si>
  <si>
    <t>K10000000401</t>
  </si>
  <si>
    <t>SNIDER ROGER BRYAN</t>
  </si>
  <si>
    <t>302 MIDWAY DRIVE</t>
  </si>
  <si>
    <t>M4130B0010</t>
  </si>
  <si>
    <t>WARD SANDY SNYDER</t>
  </si>
  <si>
    <t>PO BOX 576</t>
  </si>
  <si>
    <t>F800000018</t>
  </si>
  <si>
    <t>SPAUGH ROBERT</t>
  </si>
  <si>
    <t>SPAUGH LINDA FAYE</t>
  </si>
  <si>
    <t>436 BEAUCHAMP ROAD</t>
  </si>
  <si>
    <t>J4050D0008</t>
  </si>
  <si>
    <t>SPEASE GENEVA S</t>
  </si>
  <si>
    <t>715 SOUTH MAIN STREET</t>
  </si>
  <si>
    <t>K3130A001801</t>
  </si>
  <si>
    <t>F400000010</t>
  </si>
  <si>
    <t>G300000013</t>
  </si>
  <si>
    <t>M50000000704</t>
  </si>
  <si>
    <t>M5160D0009</t>
  </si>
  <si>
    <t>N5010B001401</t>
  </si>
  <si>
    <t>N5010C0057</t>
  </si>
  <si>
    <t>N5010C0058</t>
  </si>
  <si>
    <t>M5160D0013</t>
  </si>
  <si>
    <t>E700000019  A</t>
  </si>
  <si>
    <t>E70000001902</t>
  </si>
  <si>
    <t>M5160D0020</t>
  </si>
  <si>
    <t>M5160D0012</t>
  </si>
  <si>
    <t>M40000005602</t>
  </si>
  <si>
    <t>M5160D0018</t>
  </si>
  <si>
    <t>N4040A002703</t>
  </si>
  <si>
    <t>M50000000705</t>
  </si>
  <si>
    <t>M50000000706</t>
  </si>
  <si>
    <t>M50000000707</t>
  </si>
  <si>
    <t>M50000000708A</t>
  </si>
  <si>
    <t>M50000000709A</t>
  </si>
  <si>
    <t>M50000000710</t>
  </si>
  <si>
    <t>M500000016</t>
  </si>
  <si>
    <t>M50000001607</t>
  </si>
  <si>
    <t>M50000001609</t>
  </si>
  <si>
    <t>M50000001610</t>
  </si>
  <si>
    <t>M50000001611</t>
  </si>
  <si>
    <t>M50000001612</t>
  </si>
  <si>
    <t>M5070A0027</t>
  </si>
  <si>
    <t>SPRY RUSSELL SCOTT</t>
  </si>
  <si>
    <t>PO BOX 542</t>
  </si>
  <si>
    <t>L70000001201</t>
  </si>
  <si>
    <t>OLMEDO JESUS</t>
  </si>
  <si>
    <t>OLMEDO SIDNEE</t>
  </si>
  <si>
    <t>M5090B0020</t>
  </si>
  <si>
    <t>WHITE MARY ANN CLEMENT HEIRS</t>
  </si>
  <si>
    <t>443 OAKLAND AVE</t>
  </si>
  <si>
    <t>M4130A0029</t>
  </si>
  <si>
    <t>WHITE ROSA LEE G</t>
  </si>
  <si>
    <t>171 CLARK ROAD</t>
  </si>
  <si>
    <t>M4120A0015</t>
  </si>
  <si>
    <t>WHITE SYLVIA ANN</t>
  </si>
  <si>
    <t>1155 WARP DR</t>
  </si>
  <si>
    <t>F50000000209</t>
  </si>
  <si>
    <t>WHITLEY DAVEY L</t>
  </si>
  <si>
    <t>WHITLEY YVONNE R</t>
  </si>
  <si>
    <t>148 ASHLEY LANE</t>
  </si>
  <si>
    <t>F50000000208</t>
  </si>
  <si>
    <t>E8020A0015</t>
  </si>
  <si>
    <t>WHITNEY MERLE C III</t>
  </si>
  <si>
    <t>196 RAINTREE ROAD</t>
  </si>
  <si>
    <t>E8020A0016</t>
  </si>
  <si>
    <t>E8020A0017</t>
  </si>
  <si>
    <t>G7040A0075</t>
  </si>
  <si>
    <t>WHITTINGTON ADRIAN</t>
  </si>
  <si>
    <t>161 GRANADA DR</t>
  </si>
  <si>
    <t>G7040B0001</t>
  </si>
  <si>
    <t>G7040A0027</t>
  </si>
  <si>
    <t>WHITTINGTON TIMOTHY</t>
  </si>
  <si>
    <t>326 GRANADA DR</t>
  </si>
  <si>
    <t>I5090C0034</t>
  </si>
  <si>
    <t>WHITTINGTON ERLINE BAKER</t>
  </si>
  <si>
    <t>432 WEST AVE W</t>
  </si>
  <si>
    <t>28166-8618</t>
  </si>
  <si>
    <t>F7060A0007</t>
  </si>
  <si>
    <t>WILES TRACIE HOLT</t>
  </si>
  <si>
    <t>140 QUAIL HOLLOW ROAD</t>
  </si>
  <si>
    <t>H50000003002</t>
  </si>
  <si>
    <t>WILKERSON JENNIFER L</t>
  </si>
  <si>
    <t>CAMPBELL CHRISTOPHER VON</t>
  </si>
  <si>
    <t>212 OAK GROVE CHURCH ROAD</t>
  </si>
  <si>
    <t>J100000039  A</t>
  </si>
  <si>
    <t>WILLIAMS BARBARA LACKEY</t>
  </si>
  <si>
    <t>586 RIDGE RD</t>
  </si>
  <si>
    <t>K200000026</t>
  </si>
  <si>
    <t>E600000057</t>
  </si>
  <si>
    <t>WILLIAMS DONNA GAYE</t>
  </si>
  <si>
    <t>PO BOX 1088</t>
  </si>
  <si>
    <t>27012-1088</t>
  </si>
  <si>
    <t>D9050B0039</t>
  </si>
  <si>
    <t>WILLIAMS FRANK</t>
  </si>
  <si>
    <t>2123 BERMUDA VLG</t>
  </si>
  <si>
    <t>M60000004602A</t>
  </si>
  <si>
    <t>WILLIAMS JAMES H</t>
  </si>
  <si>
    <t>661 CHERRY HILL RD</t>
  </si>
  <si>
    <t>M60000004601</t>
  </si>
  <si>
    <t>G9090B0058</t>
  </si>
  <si>
    <t>WRIGHT ROY D</t>
  </si>
  <si>
    <t>WRIGHT JESSICA L</t>
  </si>
  <si>
    <t>288 OLD MARCH ROAD</t>
  </si>
  <si>
    <t>G7040A0048</t>
  </si>
  <si>
    <t>STANLEY INAS M</t>
  </si>
  <si>
    <t>196 SONORA DRIVE</t>
  </si>
  <si>
    <t>27006-9600</t>
  </si>
  <si>
    <t>D9090D0003</t>
  </si>
  <si>
    <t>STATEN KAREN ANN</t>
  </si>
  <si>
    <t>293 HOLLYBROOK DRIVE</t>
  </si>
  <si>
    <t>K50000001402</t>
  </si>
  <si>
    <t>STEELE ABNER ALGERNON</t>
  </si>
  <si>
    <t>185 DEADMON ROAD</t>
  </si>
  <si>
    <t>C50000003001</t>
  </si>
  <si>
    <t>YORK DENNIS F</t>
  </si>
  <si>
    <t>2511 HIGHWAY 801 NORTH</t>
  </si>
  <si>
    <t>J600000015</t>
  </si>
  <si>
    <t>STEELE MARSHALL A</t>
  </si>
  <si>
    <t>STEELE PATRICIA D</t>
  </si>
  <si>
    <t>205 DALTON ROAD</t>
  </si>
  <si>
    <t>L50000001405</t>
  </si>
  <si>
    <t>STEELE TIMOTHY</t>
  </si>
  <si>
    <t>STEELE VICKIE H</t>
  </si>
  <si>
    <t>243 LOIS LANE</t>
  </si>
  <si>
    <t>L50000001403</t>
  </si>
  <si>
    <t>L50000001411</t>
  </si>
  <si>
    <t>K5150A000506</t>
  </si>
  <si>
    <t>ZAPATA ARIEL</t>
  </si>
  <si>
    <t>DE LOURDES MARIA</t>
  </si>
  <si>
    <t>149 HINKLE DRIVE</t>
  </si>
  <si>
    <t>N50000002802</t>
  </si>
  <si>
    <t>STEPP DONALD LEE</t>
  </si>
  <si>
    <t>140 BROADWAY RD</t>
  </si>
  <si>
    <t>N50000002801</t>
  </si>
  <si>
    <t>G7040A0057</t>
  </si>
  <si>
    <t>J4050B001401</t>
  </si>
  <si>
    <t>STANLEY GLEN E JR</t>
  </si>
  <si>
    <t>STANLEY DEBRA M</t>
  </si>
  <si>
    <t>450 RIDGEVIEW DRIVE</t>
  </si>
  <si>
    <t>27028-2066</t>
  </si>
  <si>
    <t>J4160A0003</t>
  </si>
  <si>
    <t>I400000075</t>
  </si>
  <si>
    <t>L40000004101</t>
  </si>
  <si>
    <t>WOJAHN PATSY LYNN</t>
  </si>
  <si>
    <t>132 KLUENIE RD</t>
  </si>
  <si>
    <t>G800000056</t>
  </si>
  <si>
    <t>MURPHY JAMES MICHAEL</t>
  </si>
  <si>
    <t>BURTON SUSAN JUDD</t>
  </si>
  <si>
    <t>167 SOWERS LN</t>
  </si>
  <si>
    <t>27006-7488</t>
  </si>
  <si>
    <t>I10000000401</t>
  </si>
  <si>
    <t>STROUD JACQUALYNN DONNA</t>
  </si>
  <si>
    <t>HARRIS RICKY R</t>
  </si>
  <si>
    <t>284 NC HWY 901 W</t>
  </si>
  <si>
    <t>L30000001701</t>
  </si>
  <si>
    <t>STROUD JAMES RICHARD</t>
  </si>
  <si>
    <t>2596 LANDMARK DRIVE</t>
  </si>
  <si>
    <t>E700000007</t>
  </si>
  <si>
    <t>STUDEVENT IRENE N</t>
  </si>
  <si>
    <t>4234 US HIGHWAY 158</t>
  </si>
  <si>
    <t>B600000026</t>
  </si>
  <si>
    <t>STUTTS RICK</t>
  </si>
  <si>
    <t>199 JESSIE KING RD</t>
  </si>
  <si>
    <t>B700000016</t>
  </si>
  <si>
    <t>E900000058</t>
  </si>
  <si>
    <t>SURRATT BRYAN ERIC</t>
  </si>
  <si>
    <t>SURRATT AMY L</t>
  </si>
  <si>
    <t>141 SUNTREE ROAD</t>
  </si>
  <si>
    <t>C50000005716</t>
  </si>
  <si>
    <t>SWEAT RALPH A ETAL</t>
  </si>
  <si>
    <t>DERIAN RICHARD S</t>
  </si>
  <si>
    <t>251 POTTERS RIDGE DRIVE</t>
  </si>
  <si>
    <t>D50000007002</t>
  </si>
  <si>
    <t>SWEAT RITA CARPENTER</t>
  </si>
  <si>
    <t>180 SWEAT TRAIL</t>
  </si>
  <si>
    <t>27028-7831</t>
  </si>
  <si>
    <t>B70000005101</t>
  </si>
  <si>
    <t>WISHON RONDA G</t>
  </si>
  <si>
    <t>397 GRIFFITH ROAD</t>
  </si>
  <si>
    <t>B700000034</t>
  </si>
  <si>
    <t>H7020A0026</t>
  </si>
  <si>
    <t>WISHON RONDA GRIFFITH</t>
  </si>
  <si>
    <t>WISHON PAUL DENNIS</t>
  </si>
  <si>
    <t>397  GRIFFITH ROAD</t>
  </si>
  <si>
    <t>J700000079</t>
  </si>
  <si>
    <t>WISECARVER ROBERT C</t>
  </si>
  <si>
    <t>WISECARVER WANDA C</t>
  </si>
  <si>
    <t>2975 US HIGHWAY 64 EAST</t>
  </si>
  <si>
    <t>27028-7424</t>
  </si>
  <si>
    <t>J80000000401</t>
  </si>
  <si>
    <t>E900000321</t>
  </si>
  <si>
    <t>WINTERS STEVEN DAVID</t>
  </si>
  <si>
    <t>110 WOODLANDS COURT</t>
  </si>
  <si>
    <t>N60000004113</t>
  </si>
  <si>
    <t>WINSLOW RICHARD</t>
  </si>
  <si>
    <t>WINSLOW MINDY</t>
  </si>
  <si>
    <t>119 CORRIES LN</t>
  </si>
  <si>
    <t>D9010D0009</t>
  </si>
  <si>
    <t>TAYLOR CHARLES T</t>
  </si>
  <si>
    <t>TAYLOR DEBORAH D</t>
  </si>
  <si>
    <t>168 HAMILTON COURT</t>
  </si>
  <si>
    <t>M5160B0008</t>
  </si>
  <si>
    <t>TAYLOR JEFFREY WYNN</t>
  </si>
  <si>
    <t>TAYLOR AMY M</t>
  </si>
  <si>
    <t>112 MOCKINGBIRD LANE</t>
  </si>
  <si>
    <t>I70000009503</t>
  </si>
  <si>
    <t>WILLIAMS TOBY LEE</t>
  </si>
  <si>
    <t>M60000003003</t>
  </si>
  <si>
    <t>TESH LARRY E</t>
  </si>
  <si>
    <t>213 HOUSTON RD</t>
  </si>
  <si>
    <t>C100000010</t>
  </si>
  <si>
    <t>THARINGTON JAMES MICHAEL</t>
  </si>
  <si>
    <t>4908 WOODVIEW LN</t>
  </si>
  <si>
    <t>MYRTLE BEACH</t>
  </si>
  <si>
    <t>M500000039</t>
  </si>
  <si>
    <t>THOMPSON STEVEN A</t>
  </si>
  <si>
    <t>319 W 12TH ST</t>
  </si>
  <si>
    <t>28144-3509</t>
  </si>
  <si>
    <t>K300000018</t>
  </si>
  <si>
    <t>THOMPSON THOMAS D</t>
  </si>
  <si>
    <t>K300000017</t>
  </si>
  <si>
    <t>D8080A0011  A</t>
  </si>
  <si>
    <t>THORNE NANCY S</t>
  </si>
  <si>
    <t>705 LAKESTONE DRIVE</t>
  </si>
  <si>
    <t>I70000009502</t>
  </si>
  <si>
    <t>M5100B0018</t>
  </si>
  <si>
    <t>ANDERSON KATHY PRESNELL</t>
  </si>
  <si>
    <t>147 SWICEGOOD ST</t>
  </si>
  <si>
    <t>M5100B001801</t>
  </si>
  <si>
    <t>F10000002902</t>
  </si>
  <si>
    <t>WILLIAMS PHYLLIS R</t>
  </si>
  <si>
    <t>1629 SHEFFIELD RD</t>
  </si>
  <si>
    <t>27028-5918</t>
  </si>
  <si>
    <t>C100000020</t>
  </si>
  <si>
    <t>TROUTMAN BONNIE SHAW</t>
  </si>
  <si>
    <t>301 OLLIE HARKEY ROAD</t>
  </si>
  <si>
    <t>E100000008</t>
  </si>
  <si>
    <t>E100000010</t>
  </si>
  <si>
    <t>D50000009501</t>
  </si>
  <si>
    <t>WILLIAMS MICHAEL JOE</t>
  </si>
  <si>
    <t>WILLIAMS LORETTA JEAN</t>
  </si>
  <si>
    <t>1793 FARMINGTON RD</t>
  </si>
  <si>
    <t>D50000009502</t>
  </si>
  <si>
    <t>WILLIAMS MICHAEL</t>
  </si>
  <si>
    <t>1793 FARMINGTON ROAD</t>
  </si>
  <si>
    <t>I1120A0012</t>
  </si>
  <si>
    <t>YANES DIONICIO REBOLLAR</t>
  </si>
  <si>
    <t>DELOBRA ESBEYDI ARELIANO</t>
  </si>
  <si>
    <t>338 OAKLAND AVE</t>
  </si>
  <si>
    <t>B60000001109</t>
  </si>
  <si>
    <t>TURNER CLAUDIA</t>
  </si>
  <si>
    <t>SWAIN GAYLE</t>
  </si>
  <si>
    <t>193 ARROWHEAD RD</t>
  </si>
  <si>
    <t>B60000001108</t>
  </si>
  <si>
    <t>N5010A0009</t>
  </si>
  <si>
    <t>TUWAMO SITO</t>
  </si>
  <si>
    <t>PO BOX 117</t>
  </si>
  <si>
    <t>27014-0117</t>
  </si>
  <si>
    <t>D9090C0013</t>
  </si>
  <si>
    <t>TWYMAN DONALD CLAYTON</t>
  </si>
  <si>
    <t>PO BOX 403</t>
  </si>
  <si>
    <t>J60000005420</t>
  </si>
  <si>
    <t>STEVENS HARMON W</t>
  </si>
  <si>
    <t>429 NO CREEK ROAD</t>
  </si>
  <si>
    <t>I70000001801A</t>
  </si>
  <si>
    <t>M400000005</t>
  </si>
  <si>
    <t>STOCKTON AZALEE PRUITT</t>
  </si>
  <si>
    <t>K30000001701</t>
  </si>
  <si>
    <t>VIERS SAMANTHA B</t>
  </si>
  <si>
    <t>BROWN MICHAEL SHANE</t>
  </si>
  <si>
    <t>D9050A0031</t>
  </si>
  <si>
    <t>VOGEN AUDREY E</t>
  </si>
  <si>
    <t>3201 BERMUDA VILLAGE DR</t>
  </si>
  <si>
    <t>I4060B001602</t>
  </si>
  <si>
    <t>STOLTZFUS KEVIN PATRICK</t>
  </si>
  <si>
    <t>708 MOUNT BETHEL CHURCH RD</t>
  </si>
  <si>
    <t>G30000004801</t>
  </si>
  <si>
    <t>WALKER BEVERLY B</t>
  </si>
  <si>
    <t>2559 US HIGHWAY 601 NORTH</t>
  </si>
  <si>
    <t>C70000013405</t>
  </si>
  <si>
    <t>WALKER STEPHEN WAYNE</t>
  </si>
  <si>
    <t>287 SANDPIT ROAD</t>
  </si>
  <si>
    <t>B500000103</t>
  </si>
  <si>
    <t>1171 SPILLMAN RD</t>
  </si>
  <si>
    <t>M5030A0016</t>
  </si>
  <si>
    <t>TUTTEROW JAMES W</t>
  </si>
  <si>
    <t>PO BOX 129</t>
  </si>
  <si>
    <t>27028-0129</t>
  </si>
  <si>
    <t>M5030A0014</t>
  </si>
  <si>
    <t>TUTTEROW JAMES WARREN</t>
  </si>
  <si>
    <t>B600000021</t>
  </si>
  <si>
    <t>SPARKS PAUL BUKER</t>
  </si>
  <si>
    <t>231 HIDDEN CREEK DR</t>
  </si>
  <si>
    <t>G100000026</t>
  </si>
  <si>
    <t>MCCORKLE SHANNON CLAY</t>
  </si>
  <si>
    <t>288 CRYSTAL RIDGE DR</t>
  </si>
  <si>
    <t>27295-5374</t>
  </si>
  <si>
    <t>J600000018</t>
  </si>
  <si>
    <t>VANDYKE SEAN BRANTLEY</t>
  </si>
  <si>
    <t>277 DALTON RD</t>
  </si>
  <si>
    <t>K50000005110</t>
  </si>
  <si>
    <t>K50000005104</t>
  </si>
  <si>
    <t>K50000005106</t>
  </si>
  <si>
    <t>K50000005115</t>
  </si>
  <si>
    <t>K50000005116</t>
  </si>
  <si>
    <t>K50000005126</t>
  </si>
  <si>
    <t>K50000005127</t>
  </si>
  <si>
    <t>K50000005128</t>
  </si>
  <si>
    <t>K50000005125</t>
  </si>
  <si>
    <t>K50000005121</t>
  </si>
  <si>
    <t>K50000005122</t>
  </si>
  <si>
    <t>K50000005124</t>
  </si>
  <si>
    <t>K50000005111</t>
  </si>
  <si>
    <t>K50000005123</t>
  </si>
  <si>
    <t>K50000005114</t>
  </si>
  <si>
    <t>K50000005113</t>
  </si>
  <si>
    <t>K50000005117</t>
  </si>
  <si>
    <t>K50000005118</t>
  </si>
  <si>
    <t>K50000005112</t>
  </si>
  <si>
    <t>K50000005119</t>
  </si>
  <si>
    <t>K50000005120</t>
  </si>
  <si>
    <t>F8020B0026</t>
  </si>
  <si>
    <t>LYONS SCOTTIE ALVIN SR</t>
  </si>
  <si>
    <t>184 HIGH MEADOWS RD</t>
  </si>
  <si>
    <t>B300000079</t>
  </si>
  <si>
    <t>STRADER GREG</t>
  </si>
  <si>
    <t>4190 NC HIGHWAY 801 NORTH</t>
  </si>
  <si>
    <t>L800000003</t>
  </si>
  <si>
    <t>WILKINSON FRANCES FOSTER</t>
  </si>
  <si>
    <t>WILKINSON EDWARD LYNN</t>
  </si>
  <si>
    <t>151 EASTABOGA LN</t>
  </si>
  <si>
    <t>L40000004306</t>
  </si>
  <si>
    <t>ANGELL REVOCABLE LIVING TRUST</t>
  </si>
  <si>
    <t>ELISE B ANGELL TRUSTEE</t>
  </si>
  <si>
    <t>276 MADISON ROAD</t>
  </si>
  <si>
    <t>H40000003902</t>
  </si>
  <si>
    <t>G40000002502</t>
  </si>
  <si>
    <t>G50000001809</t>
  </si>
  <si>
    <t>I4110A0010</t>
  </si>
  <si>
    <t>G7040B0013</t>
  </si>
  <si>
    <t>SWIERGIEL MARSHALL J</t>
  </si>
  <si>
    <t>SWIERGIEL TINA</t>
  </si>
  <si>
    <t>233 GRANADA DR</t>
  </si>
  <si>
    <t>M4120A0012</t>
  </si>
  <si>
    <t>TENOR CHARLES T</t>
  </si>
  <si>
    <t>M5090B0034  A</t>
  </si>
  <si>
    <t>WILSON JESSIE M</t>
  </si>
  <si>
    <t>PO BOX 763</t>
  </si>
  <si>
    <t>27014-0763</t>
  </si>
  <si>
    <t>G10000000806</t>
  </si>
  <si>
    <t>WILSON ELIZABETH RACHEL REEVES</t>
  </si>
  <si>
    <t>171 OAK TREE DR</t>
  </si>
  <si>
    <t>E70000016608</t>
  </si>
  <si>
    <t>19129 SERENITY POINT LN</t>
  </si>
  <si>
    <t>28031-8812</t>
  </si>
  <si>
    <t>H5150B0020</t>
  </si>
  <si>
    <t>E70000016611</t>
  </si>
  <si>
    <t>F400000052</t>
  </si>
  <si>
    <t>BUNN CHRISTOPER JASON</t>
  </si>
  <si>
    <t>MITCHELL ANGELA DAWN</t>
  </si>
  <si>
    <t>173 KODIAK TRL</t>
  </si>
  <si>
    <t>L500000086</t>
  </si>
  <si>
    <t>MCCALL STEVEN DALE</t>
  </si>
  <si>
    <t>GONZALES MARIA OFELIA MURILLO</t>
  </si>
  <si>
    <t>142 DAISY LN</t>
  </si>
  <si>
    <t>K50000002002</t>
  </si>
  <si>
    <t>WILLIS MATTHEW FRANKLIN</t>
  </si>
  <si>
    <t>431 DEADMON RD</t>
  </si>
  <si>
    <t>H80000004801</t>
  </si>
  <si>
    <t>BARNES TIMOTHY CHANCE</t>
  </si>
  <si>
    <t>234 CRUMP TRL</t>
  </si>
  <si>
    <t>G5100A000101</t>
  </si>
  <si>
    <t>CRUZ JOSE PEREZ ETAL</t>
  </si>
  <si>
    <t>ROMERO NOE PEREZ</t>
  </si>
  <si>
    <t>170 S ANGELL RD</t>
  </si>
  <si>
    <t>H800000017</t>
  </si>
  <si>
    <t>WILLIAMS TRACY JEANINE</t>
  </si>
  <si>
    <t>2344 NC HIGHWAY 801 S</t>
  </si>
  <si>
    <t>M40000003004</t>
  </si>
  <si>
    <t>TREXLER DAVID CLAY</t>
  </si>
  <si>
    <t>TREXLER PATRICIA H</t>
  </si>
  <si>
    <t>1802 JUNCTION RD</t>
  </si>
  <si>
    <t>C7140A0038</t>
  </si>
  <si>
    <t>RIPPLE CHARLES CHRISTOPHER</t>
  </si>
  <si>
    <t>RIPPLE ANN BROWN</t>
  </si>
  <si>
    <t>128 MORAVIAN CT</t>
  </si>
  <si>
    <t>H9090A0005</t>
  </si>
  <si>
    <t>WATSON CHRISTOPHER</t>
  </si>
  <si>
    <t>WATSON ASHLEY</t>
  </si>
  <si>
    <t>225 PALOMINO RD</t>
  </si>
  <si>
    <t>27006-7565</t>
  </si>
  <si>
    <t>D30000002601</t>
  </si>
  <si>
    <t>J400000049</t>
  </si>
  <si>
    <t>EDWARDS KEVIN EUGENE</t>
  </si>
  <si>
    <t>1324 PINEBLUFF RD</t>
  </si>
  <si>
    <t>27103-4729</t>
  </si>
  <si>
    <t>K40000002001</t>
  </si>
  <si>
    <t>123 SCENIC DR</t>
  </si>
  <si>
    <t>K40000001901</t>
  </si>
  <si>
    <t>H7120B0017</t>
  </si>
  <si>
    <t>BRANCH JOSEPH</t>
  </si>
  <si>
    <t>MICHAEL NICOLE</t>
  </si>
  <si>
    <t>137 OLD DUTCH RD</t>
  </si>
  <si>
    <t>B10000001203</t>
  </si>
  <si>
    <t>B10000001201</t>
  </si>
  <si>
    <t>B100000012</t>
  </si>
  <si>
    <t>J5010A0010</t>
  </si>
  <si>
    <t>VARGAS BIBIANA ARROYO</t>
  </si>
  <si>
    <t>356 GASKEY RD</t>
  </si>
  <si>
    <t>28147-8951</t>
  </si>
  <si>
    <t>M4130A0014</t>
  </si>
  <si>
    <t>FRANKLIN GARY LEON JR</t>
  </si>
  <si>
    <t>168 WESTVIEW AVE</t>
  </si>
  <si>
    <t>J5050B0030</t>
  </si>
  <si>
    <t>SHEETS BRADLEY</t>
  </si>
  <si>
    <t>SHEETS SUMER</t>
  </si>
  <si>
    <t>144 CARRIAGE COVE CIR</t>
  </si>
  <si>
    <t>K500000048</t>
  </si>
  <si>
    <t>VERMILLION WENDY B</t>
  </si>
  <si>
    <t>655 DEADMON RD</t>
  </si>
  <si>
    <t>I30000000203</t>
  </si>
  <si>
    <t>TURNER WILLIAM CRAIG</t>
  </si>
  <si>
    <t>TURNER BARBARA</t>
  </si>
  <si>
    <t>6319 CREEK BREEZE RD</t>
  </si>
  <si>
    <t>28269-0691</t>
  </si>
  <si>
    <t>D50000003701</t>
  </si>
  <si>
    <t>JOHNSON CAREY DUSTIN II</t>
  </si>
  <si>
    <t>JOHNSON MELISSA GAIL</t>
  </si>
  <si>
    <t>390 Cedar Creek Rd</t>
  </si>
  <si>
    <t>D500000037</t>
  </si>
  <si>
    <t>D500000040</t>
  </si>
  <si>
    <t>M40000006904</t>
  </si>
  <si>
    <t>ROBBINS JEFFREY SHANNON</t>
  </si>
  <si>
    <t>27014-0403</t>
  </si>
  <si>
    <t>N5010C0060</t>
  </si>
  <si>
    <t>CONOVER CODY S</t>
  </si>
  <si>
    <t>P O BOX 803</t>
  </si>
  <si>
    <t>J6050C0003</t>
  </si>
  <si>
    <t>MITCHELL GEORGE CHRISTOPHER</t>
  </si>
  <si>
    <t>MITCHELL DERRICK EMMANUEL</t>
  </si>
  <si>
    <t>129 AUSTINE LN</t>
  </si>
  <si>
    <t>H7030A0022</t>
  </si>
  <si>
    <t>E900000451</t>
  </si>
  <si>
    <t>GAMBLE MARY CAROLINE</t>
  </si>
  <si>
    <t>2010 MERLIN CT</t>
  </si>
  <si>
    <t>NAPLES</t>
  </si>
  <si>
    <t>34105-8517</t>
  </si>
  <si>
    <t>E900000452</t>
  </si>
  <si>
    <t>K500000061</t>
  </si>
  <si>
    <t>K700000063</t>
  </si>
  <si>
    <t>WAGNER CAROL M</t>
  </si>
  <si>
    <t>5262 NC HIGHWAY 801 S</t>
  </si>
  <si>
    <t>27006-7195</t>
  </si>
  <si>
    <t>G8120B0016</t>
  </si>
  <si>
    <t>CHARLES RONALD ROBERTSON 2023 TRUST</t>
  </si>
  <si>
    <t>F200000028</t>
  </si>
  <si>
    <t>DOSSMAN KENNETH JAMES</t>
  </si>
  <si>
    <t>DOSSMAN ROZLYN ROCKMAN</t>
  </si>
  <si>
    <t>296 TALL TIMBERS DR</t>
  </si>
  <si>
    <t>27028-5923</t>
  </si>
  <si>
    <t>C7140A0026</t>
  </si>
  <si>
    <t>MACIEL OLIVIA R</t>
  </si>
  <si>
    <t>REEVES NONA JO</t>
  </si>
  <si>
    <t>175 BRAYDEN DR</t>
  </si>
  <si>
    <t>E30000012304</t>
  </si>
  <si>
    <t>KEPICH JOHN A</t>
  </si>
  <si>
    <t>KEPICH GRETCHEN D</t>
  </si>
  <si>
    <t>161 ROCKY SPRINGS TRL</t>
  </si>
  <si>
    <t>I70000009102</t>
  </si>
  <si>
    <t>PERKINS MICHAEL L</t>
  </si>
  <si>
    <t>PERKINS RHONDA C</t>
  </si>
  <si>
    <t>7134 CHANNEL II SW</t>
  </si>
  <si>
    <t>OCEAN ISL BCH</t>
  </si>
  <si>
    <t>28469-5406</t>
  </si>
  <si>
    <t>C700000068</t>
  </si>
  <si>
    <t>HOCKADAY MARK L</t>
  </si>
  <si>
    <t>HOCKADAY BARBARA DEAL</t>
  </si>
  <si>
    <t>2337 Addison Blvd</t>
  </si>
  <si>
    <t>High point</t>
  </si>
  <si>
    <t>H400000043</t>
  </si>
  <si>
    <t>WALKER CAMILLA</t>
  </si>
  <si>
    <t>732 COUNTRY LANE</t>
  </si>
  <si>
    <t>G700000017</t>
  </si>
  <si>
    <t>NELSON BOBBI</t>
  </si>
  <si>
    <t>912 HOWARDTOWN RD</t>
  </si>
  <si>
    <t>G70000001701</t>
  </si>
  <si>
    <t>E900000027</t>
  </si>
  <si>
    <t>HORTON WILLIAM ROBERT</t>
  </si>
  <si>
    <t>OBRIEN NICHOLE ANGELLYNN HORTO</t>
  </si>
  <si>
    <t>116 OAKMONT CT</t>
  </si>
  <si>
    <t>F80000007410</t>
  </si>
  <si>
    <t>KRICK ROBERT EDWARD</t>
  </si>
  <si>
    <t>KRICK SUSAN MARGARET</t>
  </si>
  <si>
    <t>115 SADDLEBROOK DR</t>
  </si>
  <si>
    <t>E7060A0004</t>
  </si>
  <si>
    <t>STRONG BUFFY D</t>
  </si>
  <si>
    <t>STRONG SCOTT D</t>
  </si>
  <si>
    <t>145 WINCHESTER RD</t>
  </si>
  <si>
    <t>B70000000902</t>
  </si>
  <si>
    <t>MUSTIN MYCA LANCE</t>
  </si>
  <si>
    <t>MUSTIN TAMMY LEE</t>
  </si>
  <si>
    <t>1397 YADKIN VALLEY RD</t>
  </si>
  <si>
    <t>J40000003618</t>
  </si>
  <si>
    <t>MINER MICHAEL</t>
  </si>
  <si>
    <t>MINER STEPHANIE</t>
  </si>
  <si>
    <t>295 RHODE ISLAND CT</t>
  </si>
  <si>
    <t>E700000166</t>
  </si>
  <si>
    <t>K20000000903</t>
  </si>
  <si>
    <t>GAINES ENTERPRISES LLC</t>
  </si>
  <si>
    <t>3637 W CLUB COLONY DR</t>
  </si>
  <si>
    <t>GASTONIA</t>
  </si>
  <si>
    <t>28056-1627</t>
  </si>
  <si>
    <t>F60000011209</t>
  </si>
  <si>
    <t>BOGER MATTHEW TRAVIS</t>
  </si>
  <si>
    <t>BOGER ASHLEY BROOKE</t>
  </si>
  <si>
    <t>480 HOWARDTOWN CIR</t>
  </si>
  <si>
    <t>E8170A0695</t>
  </si>
  <si>
    <t>MCNITT JOHN C</t>
  </si>
  <si>
    <t>MCNITT ANNE B</t>
  </si>
  <si>
    <t>128 LEGACY DR</t>
  </si>
  <si>
    <t>D9010A0029</t>
  </si>
  <si>
    <t>MAHARAJH SHAKUNTALA</t>
  </si>
  <si>
    <t>4408 WOODLARK CT</t>
  </si>
  <si>
    <t>27012-8437</t>
  </si>
  <si>
    <t>B500000098</t>
  </si>
  <si>
    <t>TUCKER PHYLLIS G</t>
  </si>
  <si>
    <t>2678 FARMINGTON ROAD</t>
  </si>
  <si>
    <t>K700000042</t>
  </si>
  <si>
    <t>SMITH DONNA GORDON</t>
  </si>
  <si>
    <t>421 SCOTTSDALE LN</t>
  </si>
  <si>
    <t>27012-7243</t>
  </si>
  <si>
    <t>F600000036</t>
  </si>
  <si>
    <t>BRUCE BETTY RIDENHOUR</t>
  </si>
  <si>
    <t>BRUCE MICHAEL SCOTT</t>
  </si>
  <si>
    <t>361 PINEBROOK SCHOOL RD</t>
  </si>
  <si>
    <t>K20000002005</t>
  </si>
  <si>
    <t>BROWN DON W SR</t>
  </si>
  <si>
    <t>302 FOSTER RD</t>
  </si>
  <si>
    <t>N5010B0032</t>
  </si>
  <si>
    <t>GME 4 LLC</t>
  </si>
  <si>
    <t>2602 RIVERTOWNE PKWY</t>
  </si>
  <si>
    <t>29466-8676</t>
  </si>
  <si>
    <t>L5140A001401</t>
  </si>
  <si>
    <t>IJAMES INVESTMENTS LLC</t>
  </si>
  <si>
    <t>PATEL JAYDEEP K</t>
  </si>
  <si>
    <t>27014-0760</t>
  </si>
  <si>
    <t>E70000000902A</t>
  </si>
  <si>
    <t>TURLEY MICAH WAYNE</t>
  </si>
  <si>
    <t>3725 W 78TH AVE</t>
  </si>
  <si>
    <t>WESTMINSTER</t>
  </si>
  <si>
    <t>80030-4512</t>
  </si>
  <si>
    <t>I30000000202</t>
  </si>
  <si>
    <t>CHANDLER SHAWN</t>
  </si>
  <si>
    <t>CHANDLER MALENE</t>
  </si>
  <si>
    <t>6335 CREEK BREEZE RD</t>
  </si>
  <si>
    <t>B500000006</t>
  </si>
  <si>
    <t>GREGORY LARRY R</t>
  </si>
  <si>
    <t>GREGORY STACY I</t>
  </si>
  <si>
    <t>869 S BUNKER HILL RD</t>
  </si>
  <si>
    <t>27235-9738</t>
  </si>
  <si>
    <t>E60000006007</t>
  </si>
  <si>
    <t>ARMFIELD ELLISON MCKISSICK</t>
  </si>
  <si>
    <t>N600000014</t>
  </si>
  <si>
    <t>BREWER BRIAN MATTHEW</t>
  </si>
  <si>
    <t>3414 US HIGHWAY 601 S</t>
  </si>
  <si>
    <t>E900000442</t>
  </si>
  <si>
    <t>DUKE MICHAEL</t>
  </si>
  <si>
    <t>BOBBITT JULIA KATHLEEN</t>
  </si>
  <si>
    <t>257 SCOTTSDALE DR</t>
  </si>
  <si>
    <t>C700000167</t>
  </si>
  <si>
    <t>TRAVCO-BRT LIMITED PARTNERSHP</t>
  </si>
  <si>
    <t>7140 WEDDINGTON RD NW STE 140</t>
  </si>
  <si>
    <t>28027-3467</t>
  </si>
  <si>
    <t>C700000168</t>
  </si>
  <si>
    <t>N50000002312</t>
  </si>
  <si>
    <t>GRIFFIN CHARLES A OLMEDO</t>
  </si>
  <si>
    <t>OLMEDO CASSIDY</t>
  </si>
  <si>
    <t>117 BROADWAY RD</t>
  </si>
  <si>
    <t>M4130A0017</t>
  </si>
  <si>
    <t>HABITAT FOR HUMANITY OF DAVIE COUNTY INC</t>
  </si>
  <si>
    <t>5385 US HIGHWAY 158</t>
  </si>
  <si>
    <t>E900000257</t>
  </si>
  <si>
    <t>RATLEDGE FRED BRIAN</t>
  </si>
  <si>
    <t>BURLESON JENNIFER L</t>
  </si>
  <si>
    <t>135 ISLEWORTH CT</t>
  </si>
  <si>
    <t>I4060B0016</t>
  </si>
  <si>
    <t>B40000001902</t>
  </si>
  <si>
    <t>BRANDMAHL DAVID M</t>
  </si>
  <si>
    <t>BRANDMAHL RAMONA F</t>
  </si>
  <si>
    <t>M5160A0010</t>
  </si>
  <si>
    <t>PHILLIPS JUDITH F</t>
  </si>
  <si>
    <t>PO BOX 986</t>
  </si>
  <si>
    <t>C8010A0055</t>
  </si>
  <si>
    <t>ARNOLD ROBERT W</t>
  </si>
  <si>
    <t>ARNOLD SUSAN J</t>
  </si>
  <si>
    <t>500 WESTOVER DR</t>
  </si>
  <si>
    <t># 30599</t>
  </si>
  <si>
    <t>L600000021</t>
  </si>
  <si>
    <t>LINK BRADY WAYNE</t>
  </si>
  <si>
    <t>LINK ANGELA ANN</t>
  </si>
  <si>
    <t>131 GLOUCESTER LANE</t>
  </si>
  <si>
    <t>B50000009401</t>
  </si>
  <si>
    <t>BOLES KIMBERLY KIMMER</t>
  </si>
  <si>
    <t>BOLES JEFFREY LEE</t>
  </si>
  <si>
    <t>2645 FARMINGTON RD</t>
  </si>
  <si>
    <t>H600000011</t>
  </si>
  <si>
    <t>ATKINS TARA SMITH</t>
  </si>
  <si>
    <t>280 VICTORY LN</t>
  </si>
  <si>
    <t>27028-8166</t>
  </si>
  <si>
    <t>C70000010002</t>
  </si>
  <si>
    <t>CARTER RHONDA D</t>
  </si>
  <si>
    <t>659 NC HIGHWAY 801 N</t>
  </si>
  <si>
    <t>M50000005301</t>
  </si>
  <si>
    <t>MARTIN-FALLER FAM LIV TRUST</t>
  </si>
  <si>
    <t>C7140A0087</t>
  </si>
  <si>
    <t>MOTE PAUL S</t>
  </si>
  <si>
    <t>MOTE MARGIE V</t>
  </si>
  <si>
    <t>122 MORNING STAR DR</t>
  </si>
  <si>
    <t>I5080B0001</t>
  </si>
  <si>
    <t>THOMASON DEVELOPMENT LLC</t>
  </si>
  <si>
    <t>PO BOX 820</t>
  </si>
  <si>
    <t>SOUTHMONT</t>
  </si>
  <si>
    <t>27351-0820</t>
  </si>
  <si>
    <t>I5080B0010</t>
  </si>
  <si>
    <t>I800000008</t>
  </si>
  <si>
    <t>EIDSON MICHAEL</t>
  </si>
  <si>
    <t>EIDSON STACY</t>
  </si>
  <si>
    <t>225 SEAWALL TRL</t>
  </si>
  <si>
    <t>K5030A0013</t>
  </si>
  <si>
    <t>JUSTICE JESSICA M</t>
  </si>
  <si>
    <t>PREVETTE DILLON H</t>
  </si>
  <si>
    <t>247 DEACON WAY</t>
  </si>
  <si>
    <t>C20000002201</t>
  </si>
  <si>
    <t>ADAMS JOHN WAYNE</t>
  </si>
  <si>
    <t>ADAMS PATRICIA D</t>
  </si>
  <si>
    <t>948 DECKER HOLLOW RD</t>
  </si>
  <si>
    <t>TYRONE</t>
  </si>
  <si>
    <t>16686-2520</t>
  </si>
  <si>
    <t>I5010B0017</t>
  </si>
  <si>
    <t>DRY LAWANDA F ETAL</t>
  </si>
  <si>
    <t>FOOTE WINDELL LEWIS</t>
  </si>
  <si>
    <t>319 CAMPBELL RD</t>
  </si>
  <si>
    <t>F60000012301</t>
  </si>
  <si>
    <t>ALLEN JERRY LEE</t>
  </si>
  <si>
    <t>ALLEN AYAKO</t>
  </si>
  <si>
    <t>141 SAM ALLENS WAY</t>
  </si>
  <si>
    <t>F600000123</t>
  </si>
  <si>
    <t>I5010B0018</t>
  </si>
  <si>
    <t>C600000056</t>
  </si>
  <si>
    <t>MCNEELY BENJAMIN</t>
  </si>
  <si>
    <t>MCNEELY DEBORAH</t>
  </si>
  <si>
    <t>148 MYERS RD</t>
  </si>
  <si>
    <t>D8070A0012</t>
  </si>
  <si>
    <t>HEGE W EDWARD III TRUSTEE</t>
  </si>
  <si>
    <t>HEGE W EDWARD III TRUST</t>
  </si>
  <si>
    <t>1106 RIVERBEND DR</t>
  </si>
  <si>
    <t>F10000000501</t>
  </si>
  <si>
    <t>ALMAZAN JAIME A</t>
  </si>
  <si>
    <t>149 HARDY RD</t>
  </si>
  <si>
    <t>I800000032</t>
  </si>
  <si>
    <t>ALMOND SONIA S</t>
  </si>
  <si>
    <t>APT 11566</t>
  </si>
  <si>
    <t>27330-8941</t>
  </si>
  <si>
    <t>J6100A0007</t>
  </si>
  <si>
    <t>SEELEY FRED E JR</t>
  </si>
  <si>
    <t>SEELEY CHERYL A</t>
  </si>
  <si>
    <t>133 N LAKE LOUISE DR</t>
  </si>
  <si>
    <t>H60000005702</t>
  </si>
  <si>
    <t>COIL ROBERT F TR</t>
  </si>
  <si>
    <t>ROBERT F COIL REV TRUST</t>
  </si>
  <si>
    <t>2160B COUNTRY CLUB RD</t>
  </si>
  <si>
    <t>27104-4208</t>
  </si>
  <si>
    <t>D70000013301</t>
  </si>
  <si>
    <t>LINKOUS BETHANY</t>
  </si>
  <si>
    <t>169 KING ARTHUR LN</t>
  </si>
  <si>
    <t>27006-6634</t>
  </si>
  <si>
    <t>B60000000307</t>
  </si>
  <si>
    <t>HEDRICK JOHNNY BRENT TR</t>
  </si>
  <si>
    <t>JOHNNY BRENT HEDRICK REV TRUST</t>
  </si>
  <si>
    <t>982 SPILLMAN RD</t>
  </si>
  <si>
    <t>J20000003903</t>
  </si>
  <si>
    <t>MESSICK JOANNA CAMPBELL</t>
  </si>
  <si>
    <t>MESSICK TIMOTHY BRANDEN</t>
  </si>
  <si>
    <t>181 HILTON LN</t>
  </si>
  <si>
    <t>C50000005702</t>
  </si>
  <si>
    <t>APPELL SCOTT</t>
  </si>
  <si>
    <t>APPELL MARIANNE</t>
  </si>
  <si>
    <t>134 POTTERS RIDGE DR</t>
  </si>
  <si>
    <t>M4050A0011</t>
  </si>
  <si>
    <t>PAGE RICHARD JAMES III</t>
  </si>
  <si>
    <t>KANOUS MAKAYLA</t>
  </si>
  <si>
    <t>873 GLADSTONE RD</t>
  </si>
  <si>
    <t>E900000375</t>
  </si>
  <si>
    <t>MILLER BRENDA JEAN</t>
  </si>
  <si>
    <t>MILLER BRIAN LAYNE</t>
  </si>
  <si>
    <t>202 BROADMOOR DR</t>
  </si>
  <si>
    <t>E70000006103</t>
  </si>
  <si>
    <t>SMITH SHERRIE R</t>
  </si>
  <si>
    <t>H5190A0011</t>
  </si>
  <si>
    <t>M4130A001501</t>
  </si>
  <si>
    <t>L4050A0005</t>
  </si>
  <si>
    <t>GRANADERO-MAQUEDA JORGE LUIS</t>
  </si>
  <si>
    <t>MUNOZ MIRIAM RIOS</t>
  </si>
  <si>
    <t>114 HUFFMAN RD</t>
  </si>
  <si>
    <t>D600000021</t>
  </si>
  <si>
    <t>E30000004301</t>
  </si>
  <si>
    <t>LUND RAY A</t>
  </si>
  <si>
    <t>638 RICHIE RD</t>
  </si>
  <si>
    <t>27028-4927</t>
  </si>
  <si>
    <t>B20000002409</t>
  </si>
  <si>
    <t>REAVIS MATTHEW GERALD</t>
  </si>
  <si>
    <t>REAVIS DAPHNE GAIL</t>
  </si>
  <si>
    <t>1042 EDNA LN</t>
  </si>
  <si>
    <t>27055-6156</t>
  </si>
  <si>
    <t>D700000053</t>
  </si>
  <si>
    <t>SMITH HOLLIS HEIRS</t>
  </si>
  <si>
    <t>137 POPLAR HILL LN</t>
  </si>
  <si>
    <t>H8060A0049</t>
  </si>
  <si>
    <t>PECK DWIGHT C</t>
  </si>
  <si>
    <t>PECK ANNE O</t>
  </si>
  <si>
    <t>121 ROXBURY CT</t>
  </si>
  <si>
    <t>C7140A0037</t>
  </si>
  <si>
    <t>ADAMS JAMES</t>
  </si>
  <si>
    <t>ADAMS SUSAN</t>
  </si>
  <si>
    <t>122 MORAVIAN CT</t>
  </si>
  <si>
    <t>G7050A0008</t>
  </si>
  <si>
    <t>ALEXANDER RAYVON</t>
  </si>
  <si>
    <t>181 PRINCETON CT</t>
  </si>
  <si>
    <t>G20000002001</t>
  </si>
  <si>
    <t>ALLEN PHYLLIS R</t>
  </si>
  <si>
    <t>1052 SHEFFIELD ROAD</t>
  </si>
  <si>
    <t>C600000136</t>
  </si>
  <si>
    <t>BEAUCHAMP PHILIP A</t>
  </si>
  <si>
    <t>L5100A000401</t>
  </si>
  <si>
    <t>BEAVER DONALD M JR</t>
  </si>
  <si>
    <t>132 GRASSY COVE TRAIL</t>
  </si>
  <si>
    <t>F30000001001</t>
  </si>
  <si>
    <t>BEAVER RICHARD LEE</t>
  </si>
  <si>
    <t>242 RALPH RATLEDGE ROAD</t>
  </si>
  <si>
    <t>F200000043</t>
  </si>
  <si>
    <t>I30000004902</t>
  </si>
  <si>
    <t>STREET JENNIFER HANES</t>
  </si>
  <si>
    <t>159 MCALLISTER RD</t>
  </si>
  <si>
    <t>M400000075</t>
  </si>
  <si>
    <t>AMARO KELLYMI RODRIGUEZ</t>
  </si>
  <si>
    <t>122 YANKEE LN</t>
  </si>
  <si>
    <t>27028-5271</t>
  </si>
  <si>
    <t>E30000001603</t>
  </si>
  <si>
    <t>BECK MEGAN LARIE</t>
  </si>
  <si>
    <t>166 EDWARD BECK RD</t>
  </si>
  <si>
    <t>M4130A0027  A</t>
  </si>
  <si>
    <t>BEIZA PEREZ MARIA ISABEL</t>
  </si>
  <si>
    <t>159 CLARK RD</t>
  </si>
  <si>
    <t>J10000002913</t>
  </si>
  <si>
    <t>BELCHER ANGELA</t>
  </si>
  <si>
    <t>BELCHER JAMES A</t>
  </si>
  <si>
    <t>2146 SHEFFIELD ROAD</t>
  </si>
  <si>
    <t>F100000063</t>
  </si>
  <si>
    <t>G70000005003</t>
  </si>
  <si>
    <t>MYERS BURR B</t>
  </si>
  <si>
    <t>MYERS CHRISTINA L</t>
  </si>
  <si>
    <t>174 JOE MYERS ROAD</t>
  </si>
  <si>
    <t>G70000011702</t>
  </si>
  <si>
    <t>J4040F0005</t>
  </si>
  <si>
    <t>AMB HOMES CORP</t>
  </si>
  <si>
    <t>279 DUKE ST</t>
  </si>
  <si>
    <t>G50000013303</t>
  </si>
  <si>
    <t>ANORVE GUILLERMO PEREZ</t>
  </si>
  <si>
    <t>DIEGO MARICRUZ VILLANUEVA</t>
  </si>
  <si>
    <t>2018 US HIGHWAY 158</t>
  </si>
  <si>
    <t>G50000005401</t>
  </si>
  <si>
    <t>BERGHORN VERNON J</t>
  </si>
  <si>
    <t>2581 US HIGHWAY 158</t>
  </si>
  <si>
    <t>B300000046</t>
  </si>
  <si>
    <t>BERNAL-MARIN BRIAN</t>
  </si>
  <si>
    <t>238 E MONMOUTH STREET</t>
  </si>
  <si>
    <t>H900000055</t>
  </si>
  <si>
    <t>GILBERT JEFFREY W</t>
  </si>
  <si>
    <t>232 ODELL MYERS RD</t>
  </si>
  <si>
    <t>H90000004205</t>
  </si>
  <si>
    <t>J700000077</t>
  </si>
  <si>
    <t>BISHOP BRIAN ALAN</t>
  </si>
  <si>
    <t>BISHOP MICHELE ANN</t>
  </si>
  <si>
    <t>173 HICKORY TREE ROAD</t>
  </si>
  <si>
    <t>J7010A0009</t>
  </si>
  <si>
    <t>M50000003203</t>
  </si>
  <si>
    <t>BLACKWELL DAVID F</t>
  </si>
  <si>
    <t>2997 US HIGHWAY 601 SOUTH</t>
  </si>
  <si>
    <t>M500000033</t>
  </si>
  <si>
    <t>B20000000408</t>
  </si>
  <si>
    <t>ROBERTSON CHASITY REAVIS</t>
  </si>
  <si>
    <t>2496 LIBERTY CHURCH RD</t>
  </si>
  <si>
    <t>27055-6232</t>
  </si>
  <si>
    <t>L5100A0005</t>
  </si>
  <si>
    <t>REDMON STEPHANIE GRANT</t>
  </si>
  <si>
    <t>D60000002303</t>
  </si>
  <si>
    <t>D30000005505</t>
  </si>
  <si>
    <t>BARKER SHANNON</t>
  </si>
  <si>
    <t>BARKER MARILYN HOPE</t>
  </si>
  <si>
    <t>115 HARBAN COURT</t>
  </si>
  <si>
    <t>G40000003408</t>
  </si>
  <si>
    <t>BOGER TAMMY S</t>
  </si>
  <si>
    <t>1513 EAST FORK DRIVE</t>
  </si>
  <si>
    <t>N5080B0013</t>
  </si>
  <si>
    <t>BOGER WOODY HERMAN</t>
  </si>
  <si>
    <t>BOGER GOLDIE ROSELLA</t>
  </si>
  <si>
    <t>P O BOX 202</t>
  </si>
  <si>
    <t>27014-0202</t>
  </si>
  <si>
    <t>C30000011602</t>
  </si>
  <si>
    <t>BOHENSTIELTRAVERS KLOOTE</t>
  </si>
  <si>
    <t>134 JACK BOOE ROAD</t>
  </si>
  <si>
    <t>K400000035</t>
  </si>
  <si>
    <t>SEAFORD DARRELL THOMAS</t>
  </si>
  <si>
    <t>285 BUCK SEAFORD RD</t>
  </si>
  <si>
    <t>D700000084</t>
  </si>
  <si>
    <t>GRIFFEY ROBERT W</t>
  </si>
  <si>
    <t>L4130A0028</t>
  </si>
  <si>
    <t>HAYES DANNY WILSON</t>
  </si>
  <si>
    <t>HAYES DEBRA ANN</t>
  </si>
  <si>
    <t>504 GLADSTONE ROAD</t>
  </si>
  <si>
    <t>H800000044</t>
  </si>
  <si>
    <t>BARNES JERRY THOMAS</t>
  </si>
  <si>
    <t>BARNES MELINDA D</t>
  </si>
  <si>
    <t>826 BAILEYS CHAPEL ROAD</t>
  </si>
  <si>
    <t>27006-7145</t>
  </si>
  <si>
    <t>H800000001</t>
  </si>
  <si>
    <t>H60000008205</t>
  </si>
  <si>
    <t>BARRIER RANDY LEE</t>
  </si>
  <si>
    <t>BARRIER JULIA HEGE</t>
  </si>
  <si>
    <t>326 JAMESTOWNE DR</t>
  </si>
  <si>
    <t>J70000004108</t>
  </si>
  <si>
    <t>BRANNON CRAIG</t>
  </si>
  <si>
    <t>BRANNON SHERRY C</t>
  </si>
  <si>
    <t>470 JEFFERSON DRIVE</t>
  </si>
  <si>
    <t>27295-5519</t>
  </si>
  <si>
    <t>F30000009602</t>
  </si>
  <si>
    <t>BRAWLEY RANDY</t>
  </si>
  <si>
    <t>3717 COURTNEY CHURCH RD</t>
  </si>
  <si>
    <t>27055-8703</t>
  </si>
  <si>
    <t>G700000104</t>
  </si>
  <si>
    <t>POPE MICHAEL ANTHONY SR</t>
  </si>
  <si>
    <t>POPE PATRICIA JANE MARSHALL</t>
  </si>
  <si>
    <t>1690 FORK BIXBY ROAD</t>
  </si>
  <si>
    <t>G600000030</t>
  </si>
  <si>
    <t>LAMB WANDA H</t>
  </si>
  <si>
    <t>3289 US HIGHWAY 158</t>
  </si>
  <si>
    <t>F600000018</t>
  </si>
  <si>
    <t>F600000019</t>
  </si>
  <si>
    <t>N600000095</t>
  </si>
  <si>
    <t>BRINKLEY PRESTON OTTO</t>
  </si>
  <si>
    <t>BRINKLEY MARY A</t>
  </si>
  <si>
    <t>224 BEAN RD</t>
  </si>
  <si>
    <t>B700000043</t>
  </si>
  <si>
    <t>BEAUCHAMP DEBRA S</t>
  </si>
  <si>
    <t>178 JESSE KING ROAD</t>
  </si>
  <si>
    <t>M40000007204A</t>
  </si>
  <si>
    <t>BEAVER WADE FRANKLIN III</t>
  </si>
  <si>
    <t>311 NOLLEY ROAD</t>
  </si>
  <si>
    <t>C60000010701</t>
  </si>
  <si>
    <t>BECK CASSIE L</t>
  </si>
  <si>
    <t>M60000003201</t>
  </si>
  <si>
    <t>173 HOUSTON ROAD</t>
  </si>
  <si>
    <t>B30000000703</t>
  </si>
  <si>
    <t>BENITEZ MARIA DELIA GOMEZ</t>
  </si>
  <si>
    <t>URBINA HERMINIA BENITEZ</t>
  </si>
  <si>
    <t>1220 INDIAN CREEK TRL</t>
  </si>
  <si>
    <t>27529-9373</t>
  </si>
  <si>
    <t>G500000054</t>
  </si>
  <si>
    <t>I600000024</t>
  </si>
  <si>
    <t>ARNOLD JUDY</t>
  </si>
  <si>
    <t>237 WILLIAMS ROAD</t>
  </si>
  <si>
    <t>C600000009</t>
  </si>
  <si>
    <t>WILLIAM-MORALES DANIEL A S</t>
  </si>
  <si>
    <t>MORALES AMANDA KAY JONES</t>
  </si>
  <si>
    <t>1786 NC HIGHWAY 801 N</t>
  </si>
  <si>
    <t>J70000002107A</t>
  </si>
  <si>
    <t>SPEER JOSEPHINE C</t>
  </si>
  <si>
    <t>153 STEPPING STONES LN</t>
  </si>
  <si>
    <t>JBAXLEY</t>
  </si>
  <si>
    <t>K600000040</t>
  </si>
  <si>
    <t>CABLE CHRISTOPHER M</t>
  </si>
  <si>
    <t>CABLE ANGELA S</t>
  </si>
  <si>
    <t>288 MOORE TRL</t>
  </si>
  <si>
    <t>27028-5354</t>
  </si>
  <si>
    <t>M600000031</t>
  </si>
  <si>
    <t>CABLE SAMUEL T</t>
  </si>
  <si>
    <t>CABLE PEGGY J</t>
  </si>
  <si>
    <t>214 WOLF LANE</t>
  </si>
  <si>
    <t>G7040A0030</t>
  </si>
  <si>
    <t>EVERHART NATALIE BOWEN</t>
  </si>
  <si>
    <t>SCOTT ROSEMARY ANGEL</t>
  </si>
  <si>
    <t>126 CASA BELLA DR</t>
  </si>
  <si>
    <t>L5070A0030</t>
  </si>
  <si>
    <t>I70000009501</t>
  </si>
  <si>
    <t>WILLIAMS JAMES FRANKLIN</t>
  </si>
  <si>
    <t>1202 WILLIAMS RD</t>
  </si>
  <si>
    <t>D500000059</t>
  </si>
  <si>
    <t>CARTER ALAN THOMAS</t>
  </si>
  <si>
    <t>3145 PUGH ROAD</t>
  </si>
  <si>
    <t>D500000060</t>
  </si>
  <si>
    <t>E800000020</t>
  </si>
  <si>
    <t>CARTER BETTY W</t>
  </si>
  <si>
    <t>360 HILLCREST DRIVE</t>
  </si>
  <si>
    <t>K50000000406</t>
  </si>
  <si>
    <t>CARTNER JOHN FRANK JR</t>
  </si>
  <si>
    <t>28262-0000</t>
  </si>
  <si>
    <t>J50000003703</t>
  </si>
  <si>
    <t>G3040A0002</t>
  </si>
  <si>
    <t>DUDLEY RANDY K</t>
  </si>
  <si>
    <t>DUDLEY BELINDA R</t>
  </si>
  <si>
    <t>2431 US HIGHWAY 601 NORTH</t>
  </si>
  <si>
    <t>E70000006703</t>
  </si>
  <si>
    <t>CUTHRELL SANDRA DULIN</t>
  </si>
  <si>
    <t>171 JUNEY BEAUCHAMP RD</t>
  </si>
  <si>
    <t>E700000045</t>
  </si>
  <si>
    <t>HEAGGANS SUSAN DULIN</t>
  </si>
  <si>
    <t>J5010C0039</t>
  </si>
  <si>
    <t>IJAMES BARBER NETTYE</t>
  </si>
  <si>
    <t>27028-0334</t>
  </si>
  <si>
    <t>I300000008</t>
  </si>
  <si>
    <t>BARBER PAUL J</t>
  </si>
  <si>
    <t>BARBER BONNIE W</t>
  </si>
  <si>
    <t>181 COMMUNITY LANE</t>
  </si>
  <si>
    <t>27028-8130</t>
  </si>
  <si>
    <t>I4050A0007</t>
  </si>
  <si>
    <t>BOWEN ROY ANDERSON</t>
  </si>
  <si>
    <t>229 WANDERING LANE</t>
  </si>
  <si>
    <t>I60000002604</t>
  </si>
  <si>
    <t>FOSTER JANE C</t>
  </si>
  <si>
    <t>N500000042</t>
  </si>
  <si>
    <t>BRANHAM CHRISTOPHER J</t>
  </si>
  <si>
    <t>BRANHAM JESSICA R</t>
  </si>
  <si>
    <t>N500000044</t>
  </si>
  <si>
    <t>C300000135</t>
  </si>
  <si>
    <t>BREWER HAROLD DEAN</t>
  </si>
  <si>
    <t>BREWER SANDRA H</t>
  </si>
  <si>
    <t>981 HOWELL ROAD</t>
  </si>
  <si>
    <t>K700000038</t>
  </si>
  <si>
    <t>BROWN CHRISTOPHER B</t>
  </si>
  <si>
    <t>531 CEDAR GROVE CHURCH RD</t>
  </si>
  <si>
    <t>L5020A0007</t>
  </si>
  <si>
    <t>DWIGGINS ROBERT B JR</t>
  </si>
  <si>
    <t>DWIGGINS RENEE B</t>
  </si>
  <si>
    <t>110 HOLY CROSS CHURCH ROAD</t>
  </si>
  <si>
    <t>I5110A0006</t>
  </si>
  <si>
    <t>BROWN LARRY DARNELL</t>
  </si>
  <si>
    <t>BROWN BARBARA H</t>
  </si>
  <si>
    <t>164 HOLLOW HILL CT</t>
  </si>
  <si>
    <t>E700000102</t>
  </si>
  <si>
    <t>BROWN SARAH L ESTATE</t>
  </si>
  <si>
    <t>216 BALTIMORE ROAD</t>
  </si>
  <si>
    <t>I5170A0108</t>
  </si>
  <si>
    <t>BULLARD GARY STEVEN</t>
  </si>
  <si>
    <t>108 MILL RUN DRIVE</t>
  </si>
  <si>
    <t>L5090A0003</t>
  </si>
  <si>
    <t>BONILLA CARLOS VILLATORO</t>
  </si>
  <si>
    <t>28 ASH ST</t>
  </si>
  <si>
    <t>CENTRAL ISLIP</t>
  </si>
  <si>
    <t>11722-3827</t>
  </si>
  <si>
    <t>G60000009801</t>
  </si>
  <si>
    <t>HELPLER SHIRLEY C</t>
  </si>
  <si>
    <t>307 HEPLER RD</t>
  </si>
  <si>
    <t>L40000004103</t>
  </si>
  <si>
    <t>BOBBITT KENNETH BERT</t>
  </si>
  <si>
    <t>BOBBIT ALLEN EUGENE</t>
  </si>
  <si>
    <t>4040 US HIGHWAY 601 S</t>
  </si>
  <si>
    <t>J4030A0009</t>
  </si>
  <si>
    <t>BOGER BAXTER A JR</t>
  </si>
  <si>
    <t>BOGER FRANCES S</t>
  </si>
  <si>
    <t>645 SANFORD AVENUE</t>
  </si>
  <si>
    <t>K60000004002</t>
  </si>
  <si>
    <t>M5160B0007</t>
  </si>
  <si>
    <t>CAMPBELL PAULA J</t>
  </si>
  <si>
    <t>H800000019</t>
  </si>
  <si>
    <t>LUXE FRONTIER LLC</t>
  </si>
  <si>
    <t>3601 CLEMMONS RD</t>
  </si>
  <si>
    <t>27012-8724</t>
  </si>
  <si>
    <t>L50000001413</t>
  </si>
  <si>
    <t>DAMERON BETTY SUE ETAL</t>
  </si>
  <si>
    <t>329 HILTON RD</t>
  </si>
  <si>
    <t>L500000014</t>
  </si>
  <si>
    <t>D20000003806</t>
  </si>
  <si>
    <t>VELASQUEZ MARIO MERIDA</t>
  </si>
  <si>
    <t>CHEGUE MARIA DE LOURDES</t>
  </si>
  <si>
    <t>1230 LIBERTY CHURCH RD</t>
  </si>
  <si>
    <t>I4060B0009</t>
  </si>
  <si>
    <t>EATON BUDDY</t>
  </si>
  <si>
    <t>2286 ANGELL ROAD</t>
  </si>
  <si>
    <t>E300000098</t>
  </si>
  <si>
    <t>E30000009101</t>
  </si>
  <si>
    <t>E30000007501</t>
  </si>
  <si>
    <t>E300000050</t>
  </si>
  <si>
    <t>E300000092</t>
  </si>
  <si>
    <t>E300000093</t>
  </si>
  <si>
    <t>D20000003902</t>
  </si>
  <si>
    <t>C500000092</t>
  </si>
  <si>
    <t>FENDER BILL W</t>
  </si>
  <si>
    <t>B100000021</t>
  </si>
  <si>
    <t>COWDEN H NELSON</t>
  </si>
  <si>
    <t>COWDEN CHRISTI T</t>
  </si>
  <si>
    <t>210 AMBER HILL ROAD</t>
  </si>
  <si>
    <t>B100000022</t>
  </si>
  <si>
    <t>L60000004106</t>
  </si>
  <si>
    <t>CROTTS ANGELA W</t>
  </si>
  <si>
    <t>L60000004107</t>
  </si>
  <si>
    <t>L60000004104</t>
  </si>
  <si>
    <t>CROTTS RICHARD H ETAL</t>
  </si>
  <si>
    <t>CROTTS MARK A</t>
  </si>
  <si>
    <t>L60000004102</t>
  </si>
  <si>
    <t>M60000003002</t>
  </si>
  <si>
    <t>CLARK NATHANIEL</t>
  </si>
  <si>
    <t>CLARK KELSEY</t>
  </si>
  <si>
    <t>J600000029</t>
  </si>
  <si>
    <t>DALTON JOSEPHINE C</t>
  </si>
  <si>
    <t>127 VIRCASDELL DRIVE</t>
  </si>
  <si>
    <t>27028-5467</t>
  </si>
  <si>
    <t>J60000002802</t>
  </si>
  <si>
    <t>I4110A0012</t>
  </si>
  <si>
    <t>PRINCE CINDY LEIGH CHARLES</t>
  </si>
  <si>
    <t>PRINCE RANDY WILLIAM</t>
  </si>
  <si>
    <t>564 HOSPITAL STREET EXT</t>
  </si>
  <si>
    <t>I5010C0007  A</t>
  </si>
  <si>
    <t>DULIN RICHARD JR</t>
  </si>
  <si>
    <t>3632 EVANSTON WAY</t>
  </si>
  <si>
    <t>E700000021</t>
  </si>
  <si>
    <t>CLEMENT DELLA B</t>
  </si>
  <si>
    <t>186 LAIRD ROAD</t>
  </si>
  <si>
    <t>M5090A0016</t>
  </si>
  <si>
    <t>CLEMENT MARY KATHERINE</t>
  </si>
  <si>
    <t>PO BOX 831</t>
  </si>
  <si>
    <t>J5010C0035</t>
  </si>
  <si>
    <t>COCKERHAM ALICE FAYE HEIRS</t>
  </si>
  <si>
    <t>% BRYANT WILSON</t>
  </si>
  <si>
    <t>229 LEISURE LN</t>
  </si>
  <si>
    <t>C600000048</t>
  </si>
  <si>
    <t>LEONARD DAVID D</t>
  </si>
  <si>
    <t>LEONARD ANGIE F</t>
  </si>
  <si>
    <t>280 MYERS RD</t>
  </si>
  <si>
    <t>I5010C001201</t>
  </si>
  <si>
    <t>COCKERHAM JERMEIL TYRESS</t>
  </si>
  <si>
    <t>133 WILHAVEN DR APT 108</t>
  </si>
  <si>
    <t>27028-1937</t>
  </si>
  <si>
    <t>L4130A0019</t>
  </si>
  <si>
    <t>COLLIER MARGIE S ET AL</t>
  </si>
  <si>
    <t>SPAUGH MARVIN E</t>
  </si>
  <si>
    <t>126 SPAUGH LANE</t>
  </si>
  <si>
    <t>I5010C0011</t>
  </si>
  <si>
    <t>FOOTE LULA G</t>
  </si>
  <si>
    <t>209 ASH DR</t>
  </si>
  <si>
    <t>27028-4640</t>
  </si>
  <si>
    <t>L70000001209</t>
  </si>
  <si>
    <t>CAUDLE GARY WAYNE</t>
  </si>
  <si>
    <t>1620 UNION GROVE CHURCH RD</t>
  </si>
  <si>
    <t>27055-7328</t>
  </si>
  <si>
    <t>G3040A0003</t>
  </si>
  <si>
    <t>CAUDLE JOYCE</t>
  </si>
  <si>
    <t>2441 US HIGHWAY 601 N</t>
  </si>
  <si>
    <t>G50000006304</t>
  </si>
  <si>
    <t>CHAMBERLAIN MICHAEL A</t>
  </si>
  <si>
    <t>133 CUSTOM DR</t>
  </si>
  <si>
    <t>K50000005402</t>
  </si>
  <si>
    <t>CHAMP KEVIN W</t>
  </si>
  <si>
    <t>CHAMP TOSHA L BRANUM</t>
  </si>
  <si>
    <t>222 KNOLL CREST RD</t>
  </si>
  <si>
    <t>D7070A0003</t>
  </si>
  <si>
    <t>CHEEK MARTHA P TRUSTEE</t>
  </si>
  <si>
    <t>MARTHAN P CHEEK TRUST</t>
  </si>
  <si>
    <t>125 GINNEY LANE</t>
  </si>
  <si>
    <t>D600000085</t>
  </si>
  <si>
    <t>C300000019</t>
  </si>
  <si>
    <t>HOWELL ETHEL ESTATE</t>
  </si>
  <si>
    <t>110 BRAMBLEWOOD LANE</t>
  </si>
  <si>
    <t>I70000001704</t>
  </si>
  <si>
    <t>HOWELL MARK S</t>
  </si>
  <si>
    <t>HOWELL RENEE S</t>
  </si>
  <si>
    <t>130 HICKORY TREE ROAD</t>
  </si>
  <si>
    <t>J7010A0018</t>
  </si>
  <si>
    <t>K50000008302</t>
  </si>
  <si>
    <t>J400000056</t>
  </si>
  <si>
    <t>COUCH DOROTHY JOANN</t>
  </si>
  <si>
    <t>COUCH WESLEY ALLEN</t>
  </si>
  <si>
    <t>244 TOWERY RD</t>
  </si>
  <si>
    <t>N500000059</t>
  </si>
  <si>
    <t>GAUDET SCOTT</t>
  </si>
  <si>
    <t>438 PINE RIDGE RD</t>
  </si>
  <si>
    <t>F300000092</t>
  </si>
  <si>
    <t>COTHREN JAMES F</t>
  </si>
  <si>
    <t>COTHREN PATRICIA A</t>
  </si>
  <si>
    <t>263 DANNER ROAD</t>
  </si>
  <si>
    <t>F300000090</t>
  </si>
  <si>
    <t>B10000001202</t>
  </si>
  <si>
    <t>J600000028</t>
  </si>
  <si>
    <t>G4080A0010</t>
  </si>
  <si>
    <t>DAVIDSON SCOT T</t>
  </si>
  <si>
    <t>DAVIDSON SARAH L</t>
  </si>
  <si>
    <t>253 CANA ROAD</t>
  </si>
  <si>
    <t>J50000003211</t>
  </si>
  <si>
    <t>GINGERICH JASON W</t>
  </si>
  <si>
    <t>GINERICH KIMBERLY</t>
  </si>
  <si>
    <t>174 SHANNON LN</t>
  </si>
  <si>
    <t>PRIEST RIVER</t>
  </si>
  <si>
    <t>ID</t>
  </si>
  <si>
    <t>83856-5043</t>
  </si>
  <si>
    <t>M5090B0001</t>
  </si>
  <si>
    <t>FOWLER ANSLO M</t>
  </si>
  <si>
    <t>FOWLER FRANCES</t>
  </si>
  <si>
    <t>H60000008001</t>
  </si>
  <si>
    <t>FRANK LARRIE S</t>
  </si>
  <si>
    <t>27006-0364</t>
  </si>
  <si>
    <t>D8070D0006</t>
  </si>
  <si>
    <t>DOHERTY BEPPIE C</t>
  </si>
  <si>
    <t>135 FAIRWAY DRIVE</t>
  </si>
  <si>
    <t>I5080B0015</t>
  </si>
  <si>
    <t>HERNANDEZ NOLBERTO</t>
  </si>
  <si>
    <t>144 HARMONY BLEND DR</t>
  </si>
  <si>
    <t>28634-9199</t>
  </si>
  <si>
    <t>F300000013</t>
  </si>
  <si>
    <t>FROGGE ARTHUR E</t>
  </si>
  <si>
    <t>FROGGE BETTY NICKELS</t>
  </si>
  <si>
    <t>281 RALPH RATLEDGE ROAD</t>
  </si>
  <si>
    <t>M5030A0012</t>
  </si>
  <si>
    <t>HOLLAND DALE</t>
  </si>
  <si>
    <t>N600000066</t>
  </si>
  <si>
    <t>HOSCH WILLIE ALEXANDER</t>
  </si>
  <si>
    <t>HOSCH KIMBERLY SIMONE</t>
  </si>
  <si>
    <t>575 SIXTH AVENUE UNIT # 701</t>
  </si>
  <si>
    <t>92101-0000</t>
  </si>
  <si>
    <t>M50000002502</t>
  </si>
  <si>
    <t>CORRELL JEFFREY WAYNE</t>
  </si>
  <si>
    <t>CORRELL ROBIN</t>
  </si>
  <si>
    <t>171 CORRELL RD</t>
  </si>
  <si>
    <t>J200000048</t>
  </si>
  <si>
    <t>SLATE BRANDON E</t>
  </si>
  <si>
    <t>SLATE LORRIE A</t>
  </si>
  <si>
    <t>326 BERRY LN</t>
  </si>
  <si>
    <t>K5100A002002</t>
  </si>
  <si>
    <t>ALLEN PHILLIP D</t>
  </si>
  <si>
    <t>ALLEN ERICKA B</t>
  </si>
  <si>
    <t>171 BEAN RD</t>
  </si>
  <si>
    <t>K5100A0022</t>
  </si>
  <si>
    <t>N60000000403</t>
  </si>
  <si>
    <t>K50000000702</t>
  </si>
  <si>
    <t>N600000070</t>
  </si>
  <si>
    <t>H7120B0018</t>
  </si>
  <si>
    <t>HOLT RICHARD</t>
  </si>
  <si>
    <t>HOLT REBEKAH</t>
  </si>
  <si>
    <t>127 OLD DUTCH RD</t>
  </si>
  <si>
    <t>J7010A0015</t>
  </si>
  <si>
    <t>AKERS BRYAN K</t>
  </si>
  <si>
    <t>160 HICKORY TREE RD</t>
  </si>
  <si>
    <t>D600000086</t>
  </si>
  <si>
    <t>K5090A001104</t>
  </si>
  <si>
    <t>ALLEN P D</t>
  </si>
  <si>
    <t>K5090A001201</t>
  </si>
  <si>
    <t>ALLEN PHILLIP DUDLEY</t>
  </si>
  <si>
    <t>ALLEN ERICKA</t>
  </si>
  <si>
    <t>D700000021</t>
  </si>
  <si>
    <t>HUTCHINS VICTORIA RIDDLE</t>
  </si>
  <si>
    <t>198 SANDY LN</t>
  </si>
  <si>
    <t>27006-6921</t>
  </si>
  <si>
    <t>J700000030</t>
  </si>
  <si>
    <t>HUTCHINSON JEANIE HAIRSTON</t>
  </si>
  <si>
    <t>712 PEABODY STREET NW</t>
  </si>
  <si>
    <t>J5010D0001</t>
  </si>
  <si>
    <t>M5100A0002</t>
  </si>
  <si>
    <t>HEREDIA JAVIER HERNANDEZ</t>
  </si>
  <si>
    <t>N60000006303</t>
  </si>
  <si>
    <t>HUNTER GENDLYON</t>
  </si>
  <si>
    <t>3890 US HIGHWAY 601 S</t>
  </si>
  <si>
    <t>I5160D0005</t>
  </si>
  <si>
    <t>4110 CONTINENTAL DR</t>
  </si>
  <si>
    <t>OAKWOOD</t>
  </si>
  <si>
    <t>30566-2800</t>
  </si>
  <si>
    <t>J5010A0009</t>
  </si>
  <si>
    <t>F30000005301</t>
  </si>
  <si>
    <t>SMYERS MARK A JR</t>
  </si>
  <si>
    <t>3175 US HIGHWAY 601 N</t>
  </si>
  <si>
    <t>J5010D0142</t>
  </si>
  <si>
    <t>KHALES GITAR</t>
  </si>
  <si>
    <t>OKHOVATI MILAD MEYARI</t>
  </si>
  <si>
    <t>1061 LOVE LN</t>
  </si>
  <si>
    <t>APOPKA</t>
  </si>
  <si>
    <t>I5110B0022</t>
  </si>
  <si>
    <t>IJAMES JERRI ETTA</t>
  </si>
  <si>
    <t>147 WINWARD CIRCLE</t>
  </si>
  <si>
    <t>M4130A0048</t>
  </si>
  <si>
    <t>CORNATZER JEAN H ETAL</t>
  </si>
  <si>
    <t>239 MAGNOLIA AVE</t>
  </si>
  <si>
    <t>N5110A0006</t>
  </si>
  <si>
    <t>IJAMES JOHN MARTIN</t>
  </si>
  <si>
    <t>F30000003602</t>
  </si>
  <si>
    <t>IJAMES LEON FURCHES</t>
  </si>
  <si>
    <t>PO BOX 1621</t>
  </si>
  <si>
    <t>D300000055</t>
  </si>
  <si>
    <t>INMAN JAMES DOUGLAS</t>
  </si>
  <si>
    <t>1067 EATONS CHURCH ROAD</t>
  </si>
  <si>
    <t>D30000005509</t>
  </si>
  <si>
    <t>E9150A0059</t>
  </si>
  <si>
    <t>JACKSON IVEY N</t>
  </si>
  <si>
    <t>JACKSON COREY D</t>
  </si>
  <si>
    <t>145 TALWOOD DR</t>
  </si>
  <si>
    <t>E50000001409</t>
  </si>
  <si>
    <t>147 PUDDING RIDGE RD</t>
  </si>
  <si>
    <t>E900000122</t>
  </si>
  <si>
    <t>SKURTU TATYANA</t>
  </si>
  <si>
    <t>6188 CHAMBERLAIN PL</t>
  </si>
  <si>
    <t>UNIT 102</t>
  </si>
  <si>
    <t>27103-7123</t>
  </si>
  <si>
    <t>B3020A0012</t>
  </si>
  <si>
    <t>HOOTS RICHARD S</t>
  </si>
  <si>
    <t>HOOTS DONNA M</t>
  </si>
  <si>
    <t>171 CHILDRENS HOME ROAD</t>
  </si>
  <si>
    <t>G100000039</t>
  </si>
  <si>
    <t>JOHNSON DAPHNE T</t>
  </si>
  <si>
    <t>805 CALAHALN RD</t>
  </si>
  <si>
    <t>27028-8113</t>
  </si>
  <si>
    <t>C7140A0088</t>
  </si>
  <si>
    <t>HOLCOMB MICHAEL CAIN</t>
  </si>
  <si>
    <t>HOLCOMB KRISTA DIANE</t>
  </si>
  <si>
    <t>126 MORNING STAR DR</t>
  </si>
  <si>
    <t>G300000032</t>
  </si>
  <si>
    <t>BURGESS KIMBERLY ANGELL</t>
  </si>
  <si>
    <t>I5160B0037</t>
  </si>
  <si>
    <t>ROBERTSON NANCY JANE ETAL</t>
  </si>
  <si>
    <t>ROBERTSON RONALD DEAN</t>
  </si>
  <si>
    <t>335 RAILROAD ST</t>
  </si>
  <si>
    <t>27028-2231</t>
  </si>
  <si>
    <t>I5110C0025</t>
  </si>
  <si>
    <t>GOBBLE CINDY ROBERSON ETAL</t>
  </si>
  <si>
    <t>1055 MEADOW VIEW DR</t>
  </si>
  <si>
    <t>TOBACCOVILLE</t>
  </si>
  <si>
    <t>27050-9105</t>
  </si>
  <si>
    <t>F10000000305</t>
  </si>
  <si>
    <t>WARREN MICHAEL ADOLFO ROBERT</t>
  </si>
  <si>
    <t>216 DEER RUN DR</t>
  </si>
  <si>
    <t>27028-8905</t>
  </si>
  <si>
    <t>M400000069</t>
  </si>
  <si>
    <t>GONZALEZ GLORIA INES MURILLO</t>
  </si>
  <si>
    <t>114 ARCHDALE DR</t>
  </si>
  <si>
    <t>28016-7666</t>
  </si>
  <si>
    <t>D600000066</t>
  </si>
  <si>
    <t>PRICE GRIFIN</t>
  </si>
  <si>
    <t>WILLIAMS AMANDA</t>
  </si>
  <si>
    <t>305 HILTON RD</t>
  </si>
  <si>
    <t>H60000006101</t>
  </si>
  <si>
    <t>MCDANIEL REVOCABLE LIV TRUST</t>
  </si>
  <si>
    <t>2548 MILLING RD</t>
  </si>
  <si>
    <t>O600000044</t>
  </si>
  <si>
    <t>DOWNS JUSTIN B</t>
  </si>
  <si>
    <t>626 BOXWOOD CHURCH RD</t>
  </si>
  <si>
    <t>27028-6616</t>
  </si>
  <si>
    <t>H4180A0005</t>
  </si>
  <si>
    <t>BOWYER CLINT AARON</t>
  </si>
  <si>
    <t>6221 RAMADA DR</t>
  </si>
  <si>
    <t>27012-9216</t>
  </si>
  <si>
    <t>G8140A0029</t>
  </si>
  <si>
    <t>WHITTAKER DUKE W</t>
  </si>
  <si>
    <t>WHITTAKER KAMRYN O</t>
  </si>
  <si>
    <t>126 CRESTWOOD CT</t>
  </si>
  <si>
    <t>H2050A0004</t>
  </si>
  <si>
    <t>TEOFILO JEDIDIAH FAAFETAI</t>
  </si>
  <si>
    <t>POLO ANDREA STEPHANIE RODRIGUE</t>
  </si>
  <si>
    <t>166 CENTER CIR</t>
  </si>
  <si>
    <t>L4130A000302</t>
  </si>
  <si>
    <t>MAGALLANES AUSTIN LEE</t>
  </si>
  <si>
    <t>ROHR MADISON ROSEMARY</t>
  </si>
  <si>
    <t>533 GLADSTONE RD</t>
  </si>
  <si>
    <t>F700000003</t>
  </si>
  <si>
    <t>ALLEN BILLY GENE</t>
  </si>
  <si>
    <t>ALLEN LENA H</t>
  </si>
  <si>
    <t>191 BLUE BIRD LANE</t>
  </si>
  <si>
    <t>E60000007005</t>
  </si>
  <si>
    <t>H4130A0101</t>
  </si>
  <si>
    <t>SCHLARP LIVING TRUST</t>
  </si>
  <si>
    <t>214 ASH DR</t>
  </si>
  <si>
    <t>J5150E0004</t>
  </si>
  <si>
    <t>WILLARD KAREN BAITY</t>
  </si>
  <si>
    <t>306 ROLLINGWOOD DR</t>
  </si>
  <si>
    <t>J60000004501</t>
  </si>
  <si>
    <t>KAHRS JORDON F</t>
  </si>
  <si>
    <t>KAHRS DANIELLE M</t>
  </si>
  <si>
    <t>293 GARWOOD RD</t>
  </si>
  <si>
    <t>J600000049</t>
  </si>
  <si>
    <t>J5050B0029</t>
  </si>
  <si>
    <t>LEONARD GINGER</t>
  </si>
  <si>
    <t>148 CARRIAGE COVE CIR</t>
  </si>
  <si>
    <t>H80000005803</t>
  </si>
  <si>
    <t>KIMBRELL MARTHA BEAUCHAMP</t>
  </si>
  <si>
    <t>394 BAILEYS CHAPEL ROAD</t>
  </si>
  <si>
    <t>H80000005802</t>
  </si>
  <si>
    <t>H4140B0003</t>
  </si>
  <si>
    <t>KING TIMOTHY B</t>
  </si>
  <si>
    <t>KING WENDY H</t>
  </si>
  <si>
    <t>360 COUNTRY LANE</t>
  </si>
  <si>
    <t>H4140B0002</t>
  </si>
  <si>
    <t>C300000136</t>
  </si>
  <si>
    <t>DIAZ ELSA NOHEMI QUINONEZ</t>
  </si>
  <si>
    <t>AVILA ELMER AUGUSTO MENENDEZ</t>
  </si>
  <si>
    <t>3390 HARPER RD</t>
  </si>
  <si>
    <t>27012-8679</t>
  </si>
  <si>
    <t>G20000005509</t>
  </si>
  <si>
    <t>WATTS ANTONIO</t>
  </si>
  <si>
    <t>WATTS JANAE</t>
  </si>
  <si>
    <t>112 SHEFFIELD RD</t>
  </si>
  <si>
    <t>B50000008105</t>
  </si>
  <si>
    <t>GREENE KEISHA D</t>
  </si>
  <si>
    <t>CHILDRESS KIM T</t>
  </si>
  <si>
    <t>995 SPILLMAN ROAD</t>
  </si>
  <si>
    <t>D600000092</t>
  </si>
  <si>
    <t>JENKINS BOBBY JOE</t>
  </si>
  <si>
    <t>JENKINS BETTY GADDY</t>
  </si>
  <si>
    <t>140 NAENAE LANE</t>
  </si>
  <si>
    <t>M600000014</t>
  </si>
  <si>
    <t>WYATT NICHOLAS</t>
  </si>
  <si>
    <t>477 PLEASANT ACRE DR</t>
  </si>
  <si>
    <t>G20000005511</t>
  </si>
  <si>
    <t>HOLLOWAY SHAQUAN BRIAN KASHEF</t>
  </si>
  <si>
    <t>HOLLOWAY ARIEL LYNN</t>
  </si>
  <si>
    <t>124 SHEFFIELD RD</t>
  </si>
  <si>
    <t>L5020B0015</t>
  </si>
  <si>
    <t>BOLLINGER MONICA JEAN</t>
  </si>
  <si>
    <t>BOLLINGER CHRISTOPHER GEORGE</t>
  </si>
  <si>
    <t>157 S BENSON LN</t>
  </si>
  <si>
    <t>H80000006001</t>
  </si>
  <si>
    <t>MCNEIL BETTY M HEIRS</t>
  </si>
  <si>
    <t>202 N FORKE DR</t>
  </si>
  <si>
    <t>D8100A0017</t>
  </si>
  <si>
    <t>KROUSTALIS KATINA HAMBERIS</t>
  </si>
  <si>
    <t>109 JUNIPER CIR</t>
  </si>
  <si>
    <t>N5010A0028</t>
  </si>
  <si>
    <t>GUTIERREZ GRISELDA</t>
  </si>
  <si>
    <t>78 CENTRAL AVE</t>
  </si>
  <si>
    <t>28023-2304</t>
  </si>
  <si>
    <t>E300000091</t>
  </si>
  <si>
    <t>EIBELER RYAN J</t>
  </si>
  <si>
    <t>2189 ANGELL RD</t>
  </si>
  <si>
    <t>M50000000712</t>
  </si>
  <si>
    <t>HAIRSTON LISA</t>
  </si>
  <si>
    <t>G30000008415</t>
  </si>
  <si>
    <t>MOCKSVILLE RE HOLDINGS LLC</t>
  </si>
  <si>
    <t>400 WATER ST STE 203</t>
  </si>
  <si>
    <t>ROCHESTER</t>
  </si>
  <si>
    <t>48307-2090</t>
  </si>
  <si>
    <t>B300000009</t>
  </si>
  <si>
    <t>GENTRY JAMES H ETAL</t>
  </si>
  <si>
    <t>DULLIN SHARON G</t>
  </si>
  <si>
    <t>189 BOWMAN RD</t>
  </si>
  <si>
    <t>L40000003003</t>
  </si>
  <si>
    <t>LAGLE SUSAN D</t>
  </si>
  <si>
    <t>152 DOWN YONDER TRL</t>
  </si>
  <si>
    <t>E50000001428</t>
  </si>
  <si>
    <t>E50000001420</t>
  </si>
  <si>
    <t>D60000000801</t>
  </si>
  <si>
    <t>HANES ADAM CHASE</t>
  </si>
  <si>
    <t>316 BOBBIT RD</t>
  </si>
  <si>
    <t>G8140A0069</t>
  </si>
  <si>
    <t>LATOUR AMANDA MARIE</t>
  </si>
  <si>
    <t>LATOUR DAVID ADRIAN JR</t>
  </si>
  <si>
    <t>135 SPRUCEWOOD CT</t>
  </si>
  <si>
    <t>I5060A0011</t>
  </si>
  <si>
    <t>LEON JOSE EDUARDO LOPEZ</t>
  </si>
  <si>
    <t>152 MORSE STREET</t>
  </si>
  <si>
    <t>H500000001  A</t>
  </si>
  <si>
    <t>JONES CHARLENE COCKERHAM</t>
  </si>
  <si>
    <t>160 HILLCREST ST</t>
  </si>
  <si>
    <t>G80000004202</t>
  </si>
  <si>
    <t>LONG MICHAEL DAVIS</t>
  </si>
  <si>
    <t>LONG GENA ROBERTSON</t>
  </si>
  <si>
    <t>180 FEED MILL ROAD</t>
  </si>
  <si>
    <t>O60000000801</t>
  </si>
  <si>
    <t>MILLER RANDY</t>
  </si>
  <si>
    <t>MILLER REGINA</t>
  </si>
  <si>
    <t>295 MILLER RD</t>
  </si>
  <si>
    <t>F800000055</t>
  </si>
  <si>
    <t>BRUEBAKER EDWARD RAY</t>
  </si>
  <si>
    <t>219 HILLCREST DRIVE</t>
  </si>
  <si>
    <t>F80000005503</t>
  </si>
  <si>
    <t>I600000035</t>
  </si>
  <si>
    <t>COLE CHRISTOPHER L</t>
  </si>
  <si>
    <t>COLE KRISTINA A</t>
  </si>
  <si>
    <t>116 WILLIAMS ROAD</t>
  </si>
  <si>
    <t>K4010A0019</t>
  </si>
  <si>
    <t>LOWERY JOHNNY NEWTON JR</t>
  </si>
  <si>
    <t>219 SUNSET CIRCLE</t>
  </si>
  <si>
    <t>K4010A0017</t>
  </si>
  <si>
    <t>H300000072</t>
  </si>
  <si>
    <t>LYERLY CAROLYN LATHAM</t>
  </si>
  <si>
    <t>HAYES JOHNNA CHARLENE</t>
  </si>
  <si>
    <t>158 SAND CLAY LN</t>
  </si>
  <si>
    <t>H300000071</t>
  </si>
  <si>
    <t>C8010A0180</t>
  </si>
  <si>
    <t>BUNCH KELLY D</t>
  </si>
  <si>
    <t>104 GREENWAY ST</t>
  </si>
  <si>
    <t>I30000003001</t>
  </si>
  <si>
    <t>MINTON MARK SHANE</t>
  </si>
  <si>
    <t>515 BOONE FARM RD</t>
  </si>
  <si>
    <t>I80000000601</t>
  </si>
  <si>
    <t>MARKLAND LARRY STACY</t>
  </si>
  <si>
    <t>132 MYERS FARM TRAIL</t>
  </si>
  <si>
    <t>I80000000603</t>
  </si>
  <si>
    <t>K200000015</t>
  </si>
  <si>
    <t>JOSEY TODD RANDALL</t>
  </si>
  <si>
    <t>JOSEY KAREN WILLIAMS</t>
  </si>
  <si>
    <t>1138 RIDGE RD</t>
  </si>
  <si>
    <t>K200000001</t>
  </si>
  <si>
    <t>B300000013</t>
  </si>
  <si>
    <t>KEATON JOHN WILLIAM JR</t>
  </si>
  <si>
    <t>KEATON CHARLENE MARIE</t>
  </si>
  <si>
    <t>1651 COUNTY LINE RD</t>
  </si>
  <si>
    <t>H50000002917</t>
  </si>
  <si>
    <t>MCGOWN TIMOTHY JR</t>
  </si>
  <si>
    <t>MCGOWN KRYSTLE</t>
  </si>
  <si>
    <t>391 OAK GROVE CHURCH RD</t>
  </si>
  <si>
    <t>K5150A0009</t>
  </si>
  <si>
    <t>MARTINEZ JOSE HERNAN</t>
  </si>
  <si>
    <t>MARTINEZ MARIA A</t>
  </si>
  <si>
    <t>1773 HIGHWAY 601 SOUTH</t>
  </si>
  <si>
    <t>F7120B0012</t>
  </si>
  <si>
    <t>COCKERHAM HAL PHILLIPS JR</t>
  </si>
  <si>
    <t>300 MONTCLAIR DR</t>
  </si>
  <si>
    <t>27006-7332</t>
  </si>
  <si>
    <t>E20000001701</t>
  </si>
  <si>
    <t>CHILDRESS PENNY M</t>
  </si>
  <si>
    <t>F20000002310</t>
  </si>
  <si>
    <t>MCBRIDE MARTHA C</t>
  </si>
  <si>
    <t>429 GEORGIA ROAD</t>
  </si>
  <si>
    <t>F20000002311</t>
  </si>
  <si>
    <t>H80000003001</t>
  </si>
  <si>
    <t>VANDYKE WALTER CODY</t>
  </si>
  <si>
    <t>186 ODELL MYERS RD</t>
  </si>
  <si>
    <t>I5090C0009</t>
  </si>
  <si>
    <t>39521 N 10TH ST</t>
  </si>
  <si>
    <t>85086-0933</t>
  </si>
  <si>
    <t>H50000002005</t>
  </si>
  <si>
    <t>MCKNIGHT MATTHEW</t>
  </si>
  <si>
    <t>MCKNIGHT ANGELIA</t>
  </si>
  <si>
    <t>138 PLOTT LANE</t>
  </si>
  <si>
    <t>N600000054</t>
  </si>
  <si>
    <t>MCLAUGHLIN WALTER ALSTON III</t>
  </si>
  <si>
    <t>195 RIVERDALE RD</t>
  </si>
  <si>
    <t>27028-6825</t>
  </si>
  <si>
    <t>G3030A0062</t>
  </si>
  <si>
    <t>NORMAN LISA HOLT</t>
  </si>
  <si>
    <t>NORMAN DANNY G</t>
  </si>
  <si>
    <t>738 TEAGUE RD</t>
  </si>
  <si>
    <t>27107-6985</t>
  </si>
  <si>
    <t>E7060B0003</t>
  </si>
  <si>
    <t>PEARCE NATHAN</t>
  </si>
  <si>
    <t>PEARCE NATALIE</t>
  </si>
  <si>
    <t>129 TIMBER CREEK RD</t>
  </si>
  <si>
    <t>C300000088</t>
  </si>
  <si>
    <t>CARRION WILLIAM</t>
  </si>
  <si>
    <t>CARRION ELSIE V</t>
  </si>
  <si>
    <t>127 FOSTALL DRIVE</t>
  </si>
  <si>
    <t>C300000089</t>
  </si>
  <si>
    <t>C30000009001</t>
  </si>
  <si>
    <t>H800000060</t>
  </si>
  <si>
    <t>MCNEIL COLEMAN</t>
  </si>
  <si>
    <t>363 BAILEYS CHAPEL RD</t>
  </si>
  <si>
    <t>C8010A0182</t>
  </si>
  <si>
    <t>MOLITORIS THEODORE</t>
  </si>
  <si>
    <t>193 OLD TOWNE DR</t>
  </si>
  <si>
    <t>H20000001604</t>
  </si>
  <si>
    <t>C &amp; M FAMILY LIMITED PARTNERSHIP</t>
  </si>
  <si>
    <t>180 GOLDEN BEAR LN</t>
  </si>
  <si>
    <t>27012-9624</t>
  </si>
  <si>
    <t>I600000002</t>
  </si>
  <si>
    <t>G9090A0007</t>
  </si>
  <si>
    <t>WALLING CHRISTOPHER O</t>
  </si>
  <si>
    <t>KUDLA LISA L</t>
  </si>
  <si>
    <t>1541 PEOPLES CREEK RD</t>
  </si>
  <si>
    <t>M5150A0011</t>
  </si>
  <si>
    <t>WILLIAMS WILLIAM B</t>
  </si>
  <si>
    <t>WILLIAMS JOEY</t>
  </si>
  <si>
    <t>110 SW WIND CIR</t>
  </si>
  <si>
    <t>PORT ST LUCIE</t>
  </si>
  <si>
    <t>34953-5947</t>
  </si>
  <si>
    <t>H700000060</t>
  </si>
  <si>
    <t>BOGER PAUL F JR</t>
  </si>
  <si>
    <t>266 GLADSTONE RD</t>
  </si>
  <si>
    <t>J50000004403</t>
  </si>
  <si>
    <t>LAGLE TODD F</t>
  </si>
  <si>
    <t>LAGLE MICHELLE</t>
  </si>
  <si>
    <t>410 TURRENTINE CHURCH ROAD</t>
  </si>
  <si>
    <t>G8140A0069  A</t>
  </si>
  <si>
    <t>C8010A0122</t>
  </si>
  <si>
    <t>LIVENGOOD BETTY B</t>
  </si>
  <si>
    <t>110 SWEETWATER CIR</t>
  </si>
  <si>
    <t>F80000005501</t>
  </si>
  <si>
    <t>F40000005704</t>
  </si>
  <si>
    <t>BROWN KRYSTLE POPE</t>
  </si>
  <si>
    <t>BROWN BOBBY JOE JR</t>
  </si>
  <si>
    <t>1223 ANGELL RD</t>
  </si>
  <si>
    <t>M5090B0004</t>
  </si>
  <si>
    <t>FOWLER ANGELA</t>
  </si>
  <si>
    <t>125 N WENTWORTH DR</t>
  </si>
  <si>
    <t>D70000010002</t>
  </si>
  <si>
    <t>MARTIN CHARLES KENNETH</t>
  </si>
  <si>
    <t>121 MARTIN LANE</t>
  </si>
  <si>
    <t>D70000010001</t>
  </si>
  <si>
    <t>H30000003294</t>
  </si>
  <si>
    <t>N5010B0045</t>
  </si>
  <si>
    <t>MAYHEW DAVID G JR</t>
  </si>
  <si>
    <t>E900000283</t>
  </si>
  <si>
    <t>PAWA SWATI</t>
  </si>
  <si>
    <t>122 SAWGRASS DR</t>
  </si>
  <si>
    <t>G20000005513</t>
  </si>
  <si>
    <t>PORTERFIELD JAQUINA</t>
  </si>
  <si>
    <t>142 SHEFFIELD RD</t>
  </si>
  <si>
    <t>H500000004</t>
  </si>
  <si>
    <t>MCMAHAN MANDY LOUISE</t>
  </si>
  <si>
    <t>% BETTY ANN MCMAHAN</t>
  </si>
  <si>
    <t>820 W 14TH ST</t>
  </si>
  <si>
    <t>27105-5856</t>
  </si>
  <si>
    <t>C300000047</t>
  </si>
  <si>
    <t>EDWARDS TODD Z</t>
  </si>
  <si>
    <t>4612 US HIGHWAY 601 NORTH</t>
  </si>
  <si>
    <t>I10000004504</t>
  </si>
  <si>
    <t>CHURCH PALMER JR</t>
  </si>
  <si>
    <t>318 STROUD MILL ROAD</t>
  </si>
  <si>
    <t>D9090A0014</t>
  </si>
  <si>
    <t>ELDRIDGE JOHN CHARLES</t>
  </si>
  <si>
    <t>ELDRIDGE PATSY ANN HUDLER</t>
  </si>
  <si>
    <t>136 WILLOWBROOK PL</t>
  </si>
  <si>
    <t>H7030A0028</t>
  </si>
  <si>
    <t>COLLINS LUCRETIA A</t>
  </si>
  <si>
    <t>251 BRIER CREEK RD</t>
  </si>
  <si>
    <t>C4160A0032</t>
  </si>
  <si>
    <t>MEADER CORTLAND J JR</t>
  </si>
  <si>
    <t>MEADER ELIZABETH H</t>
  </si>
  <si>
    <t>284 BRANGUS WAY</t>
  </si>
  <si>
    <t>H7020A0008</t>
  </si>
  <si>
    <t>PIERCE JAMES ALLEN</t>
  </si>
  <si>
    <t>166 BROCKLAND DR</t>
  </si>
  <si>
    <t>G20000005516</t>
  </si>
  <si>
    <t>OXENDINE ZACHARY PIERCE</t>
  </si>
  <si>
    <t>OXENDINE EMILY BRANNON</t>
  </si>
  <si>
    <t>164 SHEFFIELD RD</t>
  </si>
  <si>
    <t>L5020B0016</t>
  </si>
  <si>
    <t>TALLEY WAYNE</t>
  </si>
  <si>
    <t>TALLEY SHARRI</t>
  </si>
  <si>
    <t>141 S BENSON LN</t>
  </si>
  <si>
    <t>J7080B0029</t>
  </si>
  <si>
    <t>DONIVANT JAMES H JR</t>
  </si>
  <si>
    <t>DONIVANT KAY C</t>
  </si>
  <si>
    <t>163 S HAZELWOOD DR</t>
  </si>
  <si>
    <t>F80000011012</t>
  </si>
  <si>
    <t>GRAY JUSTIN ERIC</t>
  </si>
  <si>
    <t>371 ANIKEN CIR</t>
  </si>
  <si>
    <t>BOILING SPGS</t>
  </si>
  <si>
    <t>29316-5166</t>
  </si>
  <si>
    <t>N60000006101</t>
  </si>
  <si>
    <t>RAY JAMES</t>
  </si>
  <si>
    <t>RAY TARA</t>
  </si>
  <si>
    <t>236 CENTER ST</t>
  </si>
  <si>
    <t>27028-6830</t>
  </si>
  <si>
    <t>I6140A001401</t>
  </si>
  <si>
    <t>SHELTON RAYMONDA S</t>
  </si>
  <si>
    <t>I6140A001303</t>
  </si>
  <si>
    <t>J60000005422</t>
  </si>
  <si>
    <t>J600000054</t>
  </si>
  <si>
    <t>I6140A001304</t>
  </si>
  <si>
    <t>C4160A0033</t>
  </si>
  <si>
    <t>G20000005512</t>
  </si>
  <si>
    <t>CHA EDDIE BRIAN</t>
  </si>
  <si>
    <t>VANG SAVANANACOLE NHIAWA</t>
  </si>
  <si>
    <t>134 SHEFFIELD RD</t>
  </si>
  <si>
    <t>G20000005514</t>
  </si>
  <si>
    <t>PARASHIS ANGELA M</t>
  </si>
  <si>
    <t>PARASHIS ANTHONY C</t>
  </si>
  <si>
    <t>150 SHEFFIELD RD</t>
  </si>
  <si>
    <t>I4120B0006</t>
  </si>
  <si>
    <t>ESTEP DAVID</t>
  </si>
  <si>
    <t>479 WILKESBORO ST</t>
  </si>
  <si>
    <t>C7140A0074</t>
  </si>
  <si>
    <t>CLARY DONALD JACOB ETAL</t>
  </si>
  <si>
    <t>SEAGLE MADELINE P</t>
  </si>
  <si>
    <t>153 MORNING STAR DR</t>
  </si>
  <si>
    <t>E900000082</t>
  </si>
  <si>
    <t>ROBIN ANDREW R</t>
  </si>
  <si>
    <t>ROBIN BRITTANY B</t>
  </si>
  <si>
    <t>176 TOWN PARK DR</t>
  </si>
  <si>
    <t>C8010A0131</t>
  </si>
  <si>
    <t>C7140A0075</t>
  </si>
  <si>
    <t>ARCHER JAMES</t>
  </si>
  <si>
    <t>ARCHER JUDY</t>
  </si>
  <si>
    <t>149 MORNING STAR DR</t>
  </si>
  <si>
    <t>C7140A0078</t>
  </si>
  <si>
    <t>CARTNER LAURA JANE</t>
  </si>
  <si>
    <t>135 MORNING STAR DR</t>
  </si>
  <si>
    <t>H7120B0008</t>
  </si>
  <si>
    <t>MUELLER EDWARD LEE</t>
  </si>
  <si>
    <t>FULLER EMILY</t>
  </si>
  <si>
    <t>176 OLD DUTCH RD</t>
  </si>
  <si>
    <t>H80000000604</t>
  </si>
  <si>
    <t>MINOR JOHN FRANKLIN</t>
  </si>
  <si>
    <t>MINOR FRANKIE VIRGINIA COPE</t>
  </si>
  <si>
    <t>782 MARKLAND ROAD</t>
  </si>
  <si>
    <t>E9150A0024</t>
  </si>
  <si>
    <t>HOWARD CHRISTIN M</t>
  </si>
  <si>
    <t>157 PINEWOOD LN UNIT 102</t>
  </si>
  <si>
    <t>H4130A0024</t>
  </si>
  <si>
    <t>OCHOA JORGE</t>
  </si>
  <si>
    <t>BONILLA DEYSI</t>
  </si>
  <si>
    <t>H70000001501</t>
  </si>
  <si>
    <t>OBRIEN ZACHARY S</t>
  </si>
  <si>
    <t>199 LIVELIKEKATIE WAY</t>
  </si>
  <si>
    <t>27006-7374</t>
  </si>
  <si>
    <t>N5010D0021</t>
  </si>
  <si>
    <t>RIDENHOUR PERRY W</t>
  </si>
  <si>
    <t>STILLER PATRICIA R</t>
  </si>
  <si>
    <t>18 PALMETTO COVE</t>
  </si>
  <si>
    <t>JACKSON</t>
  </si>
  <si>
    <t>38305-0000</t>
  </si>
  <si>
    <t>J800000008  A</t>
  </si>
  <si>
    <t>BAUBERGER KAILA C ETAL</t>
  </si>
  <si>
    <t>JOHNSON ANGELIA H</t>
  </si>
  <si>
    <t>202 FULTON RD</t>
  </si>
  <si>
    <t>27006-7235</t>
  </si>
  <si>
    <t>B500000018</t>
  </si>
  <si>
    <t>MONDY MICHAEL E</t>
  </si>
  <si>
    <t>655 PINEVILLE RD</t>
  </si>
  <si>
    <t>K40000003401</t>
  </si>
  <si>
    <t>SEAFORD SETH E</t>
  </si>
  <si>
    <t>K400000016</t>
  </si>
  <si>
    <t>SECOR LANCE ROBERT</t>
  </si>
  <si>
    <t>L5100B001001</t>
  </si>
  <si>
    <t>SHEETS JOHNNY</t>
  </si>
  <si>
    <t>2229 HWY 601 SOUTH</t>
  </si>
  <si>
    <t>L5100B0009</t>
  </si>
  <si>
    <t>F40000001207</t>
  </si>
  <si>
    <t>MONTOYA LUIS DEMETRIO RIVERA</t>
  </si>
  <si>
    <t>3799 HIGH POINT RD</t>
  </si>
  <si>
    <t>27107-4505</t>
  </si>
  <si>
    <t>F40000001201</t>
  </si>
  <si>
    <t>J5050B0038</t>
  </si>
  <si>
    <t>ROBERTS KAREN HONEYCUTT</t>
  </si>
  <si>
    <t>ALLEN KATELYN REBECCA</t>
  </si>
  <si>
    <t>129 CARRIAGE COVE CIR</t>
  </si>
  <si>
    <t>C7140A0076</t>
  </si>
  <si>
    <t>KALE JOHN WENDELL</t>
  </si>
  <si>
    <t>KALE ROBIN D</t>
  </si>
  <si>
    <t>145 MORNING STAR DR</t>
  </si>
  <si>
    <t>G30000003305</t>
  </si>
  <si>
    <t>MYERS GLENDA</t>
  </si>
  <si>
    <t>176 IJAMES CHURCH RD</t>
  </si>
  <si>
    <t>G30000003306</t>
  </si>
  <si>
    <t>D9050A0028</t>
  </si>
  <si>
    <t>RICCIARDI LORETTA</t>
  </si>
  <si>
    <t>3212 BERMUDA VILLAGE DRIVE</t>
  </si>
  <si>
    <t>I5070D0001</t>
  </si>
  <si>
    <t>MOSLEY WESTON</t>
  </si>
  <si>
    <t>232 MILLING RD</t>
  </si>
  <si>
    <t>27028-2703</t>
  </si>
  <si>
    <t>J600000051</t>
  </si>
  <si>
    <t>JOHN P SHERDEN III REV TRUST</t>
  </si>
  <si>
    <t>31 GREENHOUSE DR</t>
  </si>
  <si>
    <t>PRINCETON</t>
  </si>
  <si>
    <t>08540-4802</t>
  </si>
  <si>
    <t>J600000052</t>
  </si>
  <si>
    <t>E9150B0004</t>
  </si>
  <si>
    <t>SIMPKINS JEFFREY A</t>
  </si>
  <si>
    <t>MAYHEW JOHN PERRY</t>
  </si>
  <si>
    <t>139 CEDAR LN</t>
  </si>
  <si>
    <t>G7040B0009</t>
  </si>
  <si>
    <t>RODRIQUEZ JESUS ASCENCIO</t>
  </si>
  <si>
    <t>MARQUEZ CONSUELO RODRIQUEZ</t>
  </si>
  <si>
    <t>148 RIVERVIEW TOWNHOUSE DR</t>
  </si>
  <si>
    <t>27006-7651</t>
  </si>
  <si>
    <t>I1120A0010</t>
  </si>
  <si>
    <t>CHAPMAN DANIEL LEE SR</t>
  </si>
  <si>
    <t>1211 JUNCTION RD</t>
  </si>
  <si>
    <t>I1110E0011</t>
  </si>
  <si>
    <t>HOUSTON VICTORIA LAVONE</t>
  </si>
  <si>
    <t>PO BOX 1571</t>
  </si>
  <si>
    <t>27028-1571</t>
  </si>
  <si>
    <t>C60000007303</t>
  </si>
  <si>
    <t>DOBY KIM MCKNIGHT</t>
  </si>
  <si>
    <t>1351 NC HIGHWAY 801 NORTH</t>
  </si>
  <si>
    <t>K60000001806</t>
  </si>
  <si>
    <t>CROTTS RODNEY</t>
  </si>
  <si>
    <t>462 FRANK SHORT RD</t>
  </si>
  <si>
    <t>E20000000301</t>
  </si>
  <si>
    <t>DOBY GROVER J</t>
  </si>
  <si>
    <t>DOBY AUDREY C</t>
  </si>
  <si>
    <t>342 SALMONS ROAD</t>
  </si>
  <si>
    <t>H30000003296</t>
  </si>
  <si>
    <t>BETUS JOHN W</t>
  </si>
  <si>
    <t>CHENEY WAYNE T</t>
  </si>
  <si>
    <t>390 S RIVERSIDE DR</t>
  </si>
  <si>
    <t>W JEFFERSON</t>
  </si>
  <si>
    <t>28694-8242</t>
  </si>
  <si>
    <t>C60000004103</t>
  </si>
  <si>
    <t>SMITH NAAMAN UZZIAH</t>
  </si>
  <si>
    <t>125 NAAMAN LN</t>
  </si>
  <si>
    <t>27028-7728</t>
  </si>
  <si>
    <t>C60000004104</t>
  </si>
  <si>
    <t>D8070A0033</t>
  </si>
  <si>
    <t>ROMBERG KLAS D</t>
  </si>
  <si>
    <t>117 GOLFVIEW DR</t>
  </si>
  <si>
    <t>H5200A0020</t>
  </si>
  <si>
    <t>PALMER AMY MEREDITH</t>
  </si>
  <si>
    <t>133 DRAYTON CT</t>
  </si>
  <si>
    <t>H90000003001</t>
  </si>
  <si>
    <t>CARTER FRANK</t>
  </si>
  <si>
    <t>CARTER JENNIFER</t>
  </si>
  <si>
    <t>G3060A0021</t>
  </si>
  <si>
    <t>DALTON SYLVIA LEJEAN TR</t>
  </si>
  <si>
    <t>THE DALTON REVOCABLE TRUST</t>
  </si>
  <si>
    <t>178 NORTHBROOK DR</t>
  </si>
  <si>
    <t>G300000087</t>
  </si>
  <si>
    <t>G600000086</t>
  </si>
  <si>
    <t>KIMREY RALPH</t>
  </si>
  <si>
    <t>6103 RACHEL CT</t>
  </si>
  <si>
    <t>JULIAN</t>
  </si>
  <si>
    <t>27283-9254</t>
  </si>
  <si>
    <t>G600000055</t>
  </si>
  <si>
    <t>SHERMER JERRY LEE JR</t>
  </si>
  <si>
    <t>291 HOWARDTOWN RD</t>
  </si>
  <si>
    <t>J5050B0031</t>
  </si>
  <si>
    <t>CARPENTER KACI ANN</t>
  </si>
  <si>
    <t>KINGREA TY ALLEN</t>
  </si>
  <si>
    <t>142 CARRIAGE COVE CIR</t>
  </si>
  <si>
    <t>D7020A0011</t>
  </si>
  <si>
    <t>SHIVES DAVID E</t>
  </si>
  <si>
    <t>SHIVES TRACEY B</t>
  </si>
  <si>
    <t>189 BRENTWOOD DRIVE</t>
  </si>
  <si>
    <t>C20000001301A</t>
  </si>
  <si>
    <t>SHOFFNER LARRY D</t>
  </si>
  <si>
    <t>171 SHOFFNER LN</t>
  </si>
  <si>
    <t>C20000001302</t>
  </si>
  <si>
    <t>I5020B0014</t>
  </si>
  <si>
    <t>ROMERO HORASIO</t>
  </si>
  <si>
    <t>CUADRA FIDELA REYES</t>
  </si>
  <si>
    <t>1484 N MAIN ST</t>
  </si>
  <si>
    <t>H300000068</t>
  </si>
  <si>
    <t>O'NEAL TAMMY LYNETTE</t>
  </si>
  <si>
    <t>173 SAND CLAY LN</t>
  </si>
  <si>
    <t>C70000008912</t>
  </si>
  <si>
    <t>SNIDER JUDITH ELLIS</t>
  </si>
  <si>
    <t>400 WOODLEE DRIVE</t>
  </si>
  <si>
    <t>C7100B0008</t>
  </si>
  <si>
    <t>HAYES PATRICIA B</t>
  </si>
  <si>
    <t>148 EAST RENEE DRIVE</t>
  </si>
  <si>
    <t>C7100B0009</t>
  </si>
  <si>
    <t>H80000004322</t>
  </si>
  <si>
    <t>AUGUSTINE NOAH</t>
  </si>
  <si>
    <t>KOURES ALEXA</t>
  </si>
  <si>
    <t>1130 BAILEYS CHAPEL RD</t>
  </si>
  <si>
    <t>K3130A0014</t>
  </si>
  <si>
    <t>SPILLMAN EDDIE AUSTIN</t>
  </si>
  <si>
    <t>168 WILLOW LANE</t>
  </si>
  <si>
    <t>K3130A0001</t>
  </si>
  <si>
    <t>K3130A0002</t>
  </si>
  <si>
    <t>K3130A0012</t>
  </si>
  <si>
    <t>K3130A0016</t>
  </si>
  <si>
    <t>K3130A0017</t>
  </si>
  <si>
    <t>K3130A0003</t>
  </si>
  <si>
    <t>K3130A0004</t>
  </si>
  <si>
    <t>K3130A0005</t>
  </si>
  <si>
    <t>K3130A0006</t>
  </si>
  <si>
    <t>K3130A0007</t>
  </si>
  <si>
    <t>K3130A0008</t>
  </si>
  <si>
    <t>K3130A0009</t>
  </si>
  <si>
    <t>K3130A0010</t>
  </si>
  <si>
    <t>K3130A0015</t>
  </si>
  <si>
    <t>H400000045</t>
  </si>
  <si>
    <t>IJAMES ANGELA W</t>
  </si>
  <si>
    <t>131 SHADY GROVE LN</t>
  </si>
  <si>
    <t>L60000000301</t>
  </si>
  <si>
    <t>HOLLEMAN NADINE F</t>
  </si>
  <si>
    <t>HOLLEMAN EDWARD RAY</t>
  </si>
  <si>
    <t>186 WILL BOONE ROAD</t>
  </si>
  <si>
    <t>M4130A0046</t>
  </si>
  <si>
    <t>MARTINEZ MILTON LORENZO</t>
  </si>
  <si>
    <t>RECENDIZ ADEAXIS RODRIGUEZ</t>
  </si>
  <si>
    <t>139 WESTVIEW AVE</t>
  </si>
  <si>
    <t>M5070A0046</t>
  </si>
  <si>
    <t>CUTRER ERIC WARD</t>
  </si>
  <si>
    <t>CUTRER JENNIFER</t>
  </si>
  <si>
    <t>7410 NC HIGHWAY 801 S</t>
  </si>
  <si>
    <t>K500000070</t>
  </si>
  <si>
    <t>HELLARD JACKIE GRAY</t>
  </si>
  <si>
    <t>J5050B0039</t>
  </si>
  <si>
    <t>SPROUT DINEEN</t>
  </si>
  <si>
    <t>SPROUT RONALD JR</t>
  </si>
  <si>
    <t>135 CARRIAGE COVE CIR</t>
  </si>
  <si>
    <t>G60000000304</t>
  </si>
  <si>
    <t>SAARM LEO</t>
  </si>
  <si>
    <t>393 FOSTER DAIRY RD</t>
  </si>
  <si>
    <t>27028-1088</t>
  </si>
  <si>
    <t>I4050C0006</t>
  </si>
  <si>
    <t>LANGLEY JANICE</t>
  </si>
  <si>
    <t>101 WOODPARK DR</t>
  </si>
  <si>
    <t>B50000008003</t>
  </si>
  <si>
    <t>HUTCHINS KAITLYN</t>
  </si>
  <si>
    <t>I5060C0035</t>
  </si>
  <si>
    <t>C &amp; H REAL ESTATE HOLDINGS LLC</t>
  </si>
  <si>
    <t>E70000006513</t>
  </si>
  <si>
    <t>RICHARDS STEVEN R</t>
  </si>
  <si>
    <t>RICHARDS TERESA S</t>
  </si>
  <si>
    <t>135 BEAUCHAMP OAKS CT</t>
  </si>
  <si>
    <t>C7140A0086</t>
  </si>
  <si>
    <t>KETNER JONATHAN TODD</t>
  </si>
  <si>
    <t>KETNER LYNN KIMEL</t>
  </si>
  <si>
    <t>118 MORNING STAR DR</t>
  </si>
  <si>
    <t>J20000002101</t>
  </si>
  <si>
    <t>HENDRICKS BRANDON</t>
  </si>
  <si>
    <t>HENDRICKS ADRIANNA NORMAN</t>
  </si>
  <si>
    <t>297 MORSE ST</t>
  </si>
  <si>
    <t>27028-2825</t>
  </si>
  <si>
    <t>D700000036</t>
  </si>
  <si>
    <t>MELTON LINDA C</t>
  </si>
  <si>
    <t>PO BOX 1894</t>
  </si>
  <si>
    <t>27285-1894</t>
  </si>
  <si>
    <t>I5160B0014</t>
  </si>
  <si>
    <t>I5160B0013</t>
  </si>
  <si>
    <t>J4050A0013</t>
  </si>
  <si>
    <t>BAGGETT DUDSON HEATH</t>
  </si>
  <si>
    <t>BAGGETT TRACY LYNN</t>
  </si>
  <si>
    <t>579 S SALISBURY ST</t>
  </si>
  <si>
    <t>M40000004201</t>
  </si>
  <si>
    <t>DIRECT LAND BUYERS LLC</t>
  </si>
  <si>
    <t>475 JAKE ALEXANDER BLVD W</t>
  </si>
  <si>
    <t>STE 102 PMB 105</t>
  </si>
  <si>
    <t>28147-1420</t>
  </si>
  <si>
    <t>E9150B0140</t>
  </si>
  <si>
    <t>CASTLES DONNA C TR</t>
  </si>
  <si>
    <t>THE DONNA CASTLES TRUST</t>
  </si>
  <si>
    <t>120 BRIDGEWOOD LN</t>
  </si>
  <si>
    <t>L400000054</t>
  </si>
  <si>
    <t>GOLAZO INVESTMENTS LLC</t>
  </si>
  <si>
    <t>1967 SHERWOOD ST</t>
  </si>
  <si>
    <t>28144-6829</t>
  </si>
  <si>
    <t>D20000003804</t>
  </si>
  <si>
    <t>HARRY &amp; JANET DINKINS REV TRUS</t>
  </si>
  <si>
    <t>1266 LIBERTY CHURCH RD</t>
  </si>
  <si>
    <t>D20000003805</t>
  </si>
  <si>
    <t>G600000043</t>
  </si>
  <si>
    <t>HAWKS REVOCABLE TRUST</t>
  </si>
  <si>
    <t>162 HOWARDTOWN RD</t>
  </si>
  <si>
    <t>D200000044</t>
  </si>
  <si>
    <t>MITCHELL RICHARD L TR</t>
  </si>
  <si>
    <t>RICHARD L MITCHELL REV TRUST</t>
  </si>
  <si>
    <t>1110 LIBERTY CHURCH RD</t>
  </si>
  <si>
    <t>I6080A0034</t>
  </si>
  <si>
    <t>WALLER BRANDY</t>
  </si>
  <si>
    <t>120 ARIEL CT</t>
  </si>
  <si>
    <t>27028-2969</t>
  </si>
  <si>
    <t>I5050C0018</t>
  </si>
  <si>
    <t>GUSTAFSON JEFFREY ETAL</t>
  </si>
  <si>
    <t>MILLER KATHY</t>
  </si>
  <si>
    <t>610 WHITNEY RD</t>
  </si>
  <si>
    <t>L30000001002</t>
  </si>
  <si>
    <t>EDWARDS COURTNEY PREVETTE</t>
  </si>
  <si>
    <t>EDWARDS BRADLEY MALCOM</t>
  </si>
  <si>
    <t>811 RATLEDGE RD</t>
  </si>
  <si>
    <t>C7050A0006</t>
  </si>
  <si>
    <t>SEES JOHN H ETAL</t>
  </si>
  <si>
    <t>SEES BOBBIE C</t>
  </si>
  <si>
    <t>293 YADKIN VALLEY RD</t>
  </si>
  <si>
    <t>I5050A0056</t>
  </si>
  <si>
    <t>SMITH ADAM ROBINSON</t>
  </si>
  <si>
    <t>686 WINDING STAIRS RD</t>
  </si>
  <si>
    <t>TOPTON</t>
  </si>
  <si>
    <t>28781-7415</t>
  </si>
  <si>
    <t>G9090A0005</t>
  </si>
  <si>
    <t>HERPFER DEBORAH</t>
  </si>
  <si>
    <t>1617 PEOPLES CREEK RD</t>
  </si>
  <si>
    <t>G30000008004</t>
  </si>
  <si>
    <t>SMITH PATRICK KEITH</t>
  </si>
  <si>
    <t>348 AVON ST</t>
  </si>
  <si>
    <t>K3130A0018</t>
  </si>
  <si>
    <t>K3130A0011</t>
  </si>
  <si>
    <t>K3130A0013</t>
  </si>
  <si>
    <t>C30000009502</t>
  </si>
  <si>
    <t>GENTRY KENA DENEE</t>
  </si>
  <si>
    <t>G70000004901</t>
  </si>
  <si>
    <t>MYERS BILLY R</t>
  </si>
  <si>
    <t>180 JOE MYERS RD</t>
  </si>
  <si>
    <t>J400000054</t>
  </si>
  <si>
    <t>206 FEEZOR RD</t>
  </si>
  <si>
    <t>J300000023</t>
  </si>
  <si>
    <t>PUFFER JAMES</t>
  </si>
  <si>
    <t>PUFFER ANNALIESE</t>
  </si>
  <si>
    <t>249 PERSIMMON GROVE LN</t>
  </si>
  <si>
    <t>27028-5510</t>
  </si>
  <si>
    <t>J5010A0007</t>
  </si>
  <si>
    <t>I5060A0006</t>
  </si>
  <si>
    <t>PROFITA TIFFANY</t>
  </si>
  <si>
    <t>PROFITA ROBERT</t>
  </si>
  <si>
    <t>2191 SILVER PALM RD</t>
  </si>
  <si>
    <t>34288-8631</t>
  </si>
  <si>
    <t>C30000009503</t>
  </si>
  <si>
    <t>E900000126</t>
  </si>
  <si>
    <t>AUSTIN HANNAH MACKENZIE</t>
  </si>
  <si>
    <t>251 KINGSMILL DR</t>
  </si>
  <si>
    <t>D60000004902</t>
  </si>
  <si>
    <t>JACKSON SCOTT</t>
  </si>
  <si>
    <t>I5050B0055</t>
  </si>
  <si>
    <t>KING AUSTIN MCKINLEY ETAL</t>
  </si>
  <si>
    <t>LIMBACK BRIANNA</t>
  </si>
  <si>
    <t>126 BROOKVIEW CT</t>
  </si>
  <si>
    <t>M5160D0011</t>
  </si>
  <si>
    <t>STEELE EVAN D</t>
  </si>
  <si>
    <t>STEELE WILLIAM L JR</t>
  </si>
  <si>
    <t>PO BOX 997</t>
  </si>
  <si>
    <t>27014-0997</t>
  </si>
  <si>
    <t>C7140A0048</t>
  </si>
  <si>
    <t>PENA ROSMARY FERNANDEZ</t>
  </si>
  <si>
    <t>MACHADO JONATHAN COLINA</t>
  </si>
  <si>
    <t>115 MORAVIAN CT</t>
  </si>
  <si>
    <t>H8060A0072</t>
  </si>
  <si>
    <t>HAVENS EDISON III</t>
  </si>
  <si>
    <t>HAVENS WENDY</t>
  </si>
  <si>
    <t>410 COVINGTON DR</t>
  </si>
  <si>
    <t>I5160D0006</t>
  </si>
  <si>
    <t>L400000053</t>
  </si>
  <si>
    <t>C8010A0116</t>
  </si>
  <si>
    <t>BRYANT PARKER</t>
  </si>
  <si>
    <t>SIGMON AVERY</t>
  </si>
  <si>
    <t>128 SWEETWATER CIR</t>
  </si>
  <si>
    <t>B30000000617</t>
  </si>
  <si>
    <t>CASSIDY TONYA M</t>
  </si>
  <si>
    <t>227 PRATT FARM LN</t>
  </si>
  <si>
    <t>J10000003902</t>
  </si>
  <si>
    <t>KNIGHT BARBARA LACKEY</t>
  </si>
  <si>
    <t>586 RIDGE ROAD</t>
  </si>
  <si>
    <t>I6080A0017</t>
  </si>
  <si>
    <t>GOLDFARB HANNAH SUSANNA</t>
  </si>
  <si>
    <t>117 ARIEL CT</t>
  </si>
  <si>
    <t>D7090A0005</t>
  </si>
  <si>
    <t>MULLIS AMANDA A</t>
  </si>
  <si>
    <t>134 IDLEWILD ROAD</t>
  </si>
  <si>
    <t>D7090A0006</t>
  </si>
  <si>
    <t>M40000004703</t>
  </si>
  <si>
    <t>TRAN ANGELA JONES</t>
  </si>
  <si>
    <t>TRAN THANH JR</t>
  </si>
  <si>
    <t>130 CREASON RD</t>
  </si>
  <si>
    <t>27028-5112</t>
  </si>
  <si>
    <t>C70000011915</t>
  </si>
  <si>
    <t>PLASK PROPERTY MANAGEMENT LLC</t>
  </si>
  <si>
    <t>175 HAYWOOD DR</t>
  </si>
  <si>
    <t>G70000005001A</t>
  </si>
  <si>
    <t>M5090B003302</t>
  </si>
  <si>
    <t>STOUT MICHAEL L JR</t>
  </si>
  <si>
    <t>PAYNE SAVANNAH H</t>
  </si>
  <si>
    <t>553 W KIRK ST</t>
  </si>
  <si>
    <t>28023-0000</t>
  </si>
  <si>
    <t>C20000002205</t>
  </si>
  <si>
    <t>1238 ANGELL RD</t>
  </si>
  <si>
    <t>G100000032</t>
  </si>
  <si>
    <t>SWISHER PATTY MAE</t>
  </si>
  <si>
    <t>450 MOLL HODGSON ROAD</t>
  </si>
  <si>
    <t>28634-8919</t>
  </si>
  <si>
    <t>C30000000203</t>
  </si>
  <si>
    <t>TATUM CHARLES</t>
  </si>
  <si>
    <t>TATUM LEATRICE R</t>
  </si>
  <si>
    <t>3005 RENT RD</t>
  </si>
  <si>
    <t>27055-6155</t>
  </si>
  <si>
    <t>B300000038</t>
  </si>
  <si>
    <t>TAYLOR LUTHER LEE</t>
  </si>
  <si>
    <t>511 SHADY OAKS DR</t>
  </si>
  <si>
    <t>STANLEY</t>
  </si>
  <si>
    <t>28164-9412</t>
  </si>
  <si>
    <t>G3140A0006</t>
  </si>
  <si>
    <t>BARRINGER JACLYN M</t>
  </si>
  <si>
    <t>BARRINGER TIMOTHY R</t>
  </si>
  <si>
    <t>155 PARTRIDGE RUN</t>
  </si>
  <si>
    <t>28147-8840</t>
  </si>
  <si>
    <t>C7140A0030</t>
  </si>
  <si>
    <t>DAVIS LYNN C</t>
  </si>
  <si>
    <t>111 CANDLE LIGHT CT</t>
  </si>
  <si>
    <t>27006-8017</t>
  </si>
  <si>
    <t>C7140A0061</t>
  </si>
  <si>
    <t>BROWNING CHARLES BRYANT IV</t>
  </si>
  <si>
    <t>231 BRAYDEN DR</t>
  </si>
  <si>
    <t>27006-8013</t>
  </si>
  <si>
    <t>C7140A0062</t>
  </si>
  <si>
    <t>PENDLEY MELISSA JO</t>
  </si>
  <si>
    <t>223 BRAYDEN DR</t>
  </si>
  <si>
    <t>K50000007803</t>
  </si>
  <si>
    <t>MARTINEZ ELMER J</t>
  </si>
  <si>
    <t>CUELLAR SAHARA</t>
  </si>
  <si>
    <t>449 WILL BOONE RD</t>
  </si>
  <si>
    <t>K50000007801</t>
  </si>
  <si>
    <t>G60000005501</t>
  </si>
  <si>
    <t>GONZALEZ NICHOLAS N</t>
  </si>
  <si>
    <t>292 HOWARDTOWN ROAD</t>
  </si>
  <si>
    <t>C7140A0031</t>
  </si>
  <si>
    <t>BILDERBACK NANCIE</t>
  </si>
  <si>
    <t>105 CANDLE LIGHT CT</t>
  </si>
  <si>
    <t>C7140A0032</t>
  </si>
  <si>
    <t>SQUIRES ANDRE</t>
  </si>
  <si>
    <t>SQUIRES HAYLEY</t>
  </si>
  <si>
    <t>186 BRAYDEN DR</t>
  </si>
  <si>
    <t>I6080A0018</t>
  </si>
  <si>
    <t>REVILLA JESUS MANUEL RODRIGUEZ</t>
  </si>
  <si>
    <t>127 ARIEL CT</t>
  </si>
  <si>
    <t>C500000020</t>
  </si>
  <si>
    <t>CHURCH JAMES PHILLIP</t>
  </si>
  <si>
    <t>E8070A0016</t>
  </si>
  <si>
    <t>HILL TERRY</t>
  </si>
  <si>
    <t>128 WHITEHEAD DR</t>
  </si>
  <si>
    <t>D9050A0003</t>
  </si>
  <si>
    <t>BARKO LINDA A TR</t>
  </si>
  <si>
    <t>LINDA A BARKO LIVING TRUST</t>
  </si>
  <si>
    <t>3114 BERMUDA VLG</t>
  </si>
  <si>
    <t>J700000093  A</t>
  </si>
  <si>
    <t>MORSE JONATHAN</t>
  </si>
  <si>
    <t>MORSE CHERIE DANIELLE</t>
  </si>
  <si>
    <t>148 CRICKET LN</t>
  </si>
  <si>
    <t>J500000002</t>
  </si>
  <si>
    <t>2155 LEWISVILLE CLEMMONS RD</t>
  </si>
  <si>
    <t>27012-8836</t>
  </si>
  <si>
    <t>C7140A0035</t>
  </si>
  <si>
    <t>MENDENHALL LANDON CHASE</t>
  </si>
  <si>
    <t>VOGLER KRISTEN LYNN</t>
  </si>
  <si>
    <t>110 MORAVIAN CT</t>
  </si>
  <si>
    <t>C7140A0039</t>
  </si>
  <si>
    <t>GRACIEN STEVEN</t>
  </si>
  <si>
    <t>GRACIEN ROBIN</t>
  </si>
  <si>
    <t>134 MORAVIAN CT</t>
  </si>
  <si>
    <t>C7140A0041</t>
  </si>
  <si>
    <t>ENGLER JAYNE LISA</t>
  </si>
  <si>
    <t>142 MORAVIAN CT</t>
  </si>
  <si>
    <t>C7140A0043</t>
  </si>
  <si>
    <t>HOSTETLER ZACHARY</t>
  </si>
  <si>
    <t>HOSTETLER REBECCA RECCHION</t>
  </si>
  <si>
    <t>156 MORAVIAN CT</t>
  </si>
  <si>
    <t>D3010A0028</t>
  </si>
  <si>
    <t>HALL MARIA E</t>
  </si>
  <si>
    <t>125 LANDIS CT</t>
  </si>
  <si>
    <t>G7040A0065</t>
  </si>
  <si>
    <t>LONG CHARLOTTE O</t>
  </si>
  <si>
    <t>ORREN DANNY LEE</t>
  </si>
  <si>
    <t>332 LA QUINTA DR</t>
  </si>
  <si>
    <t>G700000146  A</t>
  </si>
  <si>
    <t>H20000001706</t>
  </si>
  <si>
    <t>LAURENTINA DE LABRA-BERROSPE</t>
  </si>
  <si>
    <t>1033 HENRY ST</t>
  </si>
  <si>
    <t>27055-7836</t>
  </si>
  <si>
    <t>M5060B0028</t>
  </si>
  <si>
    <t>TUTTEROW BOBBIE FAYE</t>
  </si>
  <si>
    <t>249 HOBSON DR</t>
  </si>
  <si>
    <t>C7140A0045</t>
  </si>
  <si>
    <t>SHORT JESSICA</t>
  </si>
  <si>
    <t>166 MORAVIAN CT</t>
  </si>
  <si>
    <t>C7140A0050</t>
  </si>
  <si>
    <t>MANN ROY</t>
  </si>
  <si>
    <t>105 MORAVIAN CT</t>
  </si>
  <si>
    <t>C7140A0051</t>
  </si>
  <si>
    <t>BOWERS WILLIAM</t>
  </si>
  <si>
    <t>BOWERS MARTHA</t>
  </si>
  <si>
    <t>226 BRAYDEN DR</t>
  </si>
  <si>
    <t>D9050B0021</t>
  </si>
  <si>
    <t>SMITH VIRGINIA CORNELL</t>
  </si>
  <si>
    <t>3305 BERMUDA VLG</t>
  </si>
  <si>
    <t>I50000001102</t>
  </si>
  <si>
    <t>CAMBRIDGE CREEK NC LLC</t>
  </si>
  <si>
    <t>1515 MOCKINGBIRD LN</t>
  </si>
  <si>
    <t>SUITE 1010</t>
  </si>
  <si>
    <t>28209-3236</t>
  </si>
  <si>
    <t>G500000062</t>
  </si>
  <si>
    <t>PO BOX 429</t>
  </si>
  <si>
    <t>G500000060</t>
  </si>
  <si>
    <t>B500000039</t>
  </si>
  <si>
    <t>WHARTON GEORGIA A ETAL</t>
  </si>
  <si>
    <t>WHARTON KHIRY DOMINQUE</t>
  </si>
  <si>
    <t>440 PINEVILLE ROAD</t>
  </si>
  <si>
    <t>B40000004502</t>
  </si>
  <si>
    <t>WHITE ADAM CLAY</t>
  </si>
  <si>
    <t>F20000004601</t>
  </si>
  <si>
    <t>WHITE TIMOTHY FRANKLIN</t>
  </si>
  <si>
    <t>147 FRANKLIN LANE</t>
  </si>
  <si>
    <t>27028-8372</t>
  </si>
  <si>
    <t>D600000067</t>
  </si>
  <si>
    <t>PLOWMAN STACY RENEE</t>
  </si>
  <si>
    <t>1080 MAIN CHURCH RD</t>
  </si>
  <si>
    <t>G70000013103</t>
  </si>
  <si>
    <t>MUELLER JON</t>
  </si>
  <si>
    <t>144 BARNEY RD</t>
  </si>
  <si>
    <t>I300000003</t>
  </si>
  <si>
    <t>TURNER DANIEL</t>
  </si>
  <si>
    <t>TURNER TINA</t>
  </si>
  <si>
    <t>% JOHN TURNER</t>
  </si>
  <si>
    <t>11651 157TH ST APT 7A</t>
  </si>
  <si>
    <t>JAMAICA</t>
  </si>
  <si>
    <t>11434-1624</t>
  </si>
  <si>
    <t>D30000003206</t>
  </si>
  <si>
    <t>UNTZ KAYLA NICOLE</t>
  </si>
  <si>
    <t>300 PLEASANT ACRE DR</t>
  </si>
  <si>
    <t>F600000040</t>
  </si>
  <si>
    <t>VANDER SLUIS DARRELL ROY</t>
  </si>
  <si>
    <t>DVS TRANSPORTATION LLC</t>
  </si>
  <si>
    <t>G90000000812</t>
  </si>
  <si>
    <t>1568 PEOPLES CREEK RD</t>
  </si>
  <si>
    <t>L5020B0004</t>
  </si>
  <si>
    <t>MILES FRANCIS CHARLES II</t>
  </si>
  <si>
    <t>MILES SHERRIE ROBBIN</t>
  </si>
  <si>
    <t>126 S BENSON LN</t>
  </si>
  <si>
    <t>G50000004806</t>
  </si>
  <si>
    <t>OWEN PERRY FRANKLIN</t>
  </si>
  <si>
    <t>2471 US HIGHWAY 158</t>
  </si>
  <si>
    <t>D3010B0006</t>
  </si>
  <si>
    <t>SHEIL KYLE</t>
  </si>
  <si>
    <t>185 WADE EATON DR</t>
  </si>
  <si>
    <t>F20000001901</t>
  </si>
  <si>
    <t>POTTS GLANIA HEIRS</t>
  </si>
  <si>
    <t>515 DUKE WHITTAKER ROAD</t>
  </si>
  <si>
    <t>C7140A0025</t>
  </si>
  <si>
    <t>GRAFF ARTHUR G JR</t>
  </si>
  <si>
    <t>GRAFF LAUREL P</t>
  </si>
  <si>
    <t>171 BRAYDEN DR</t>
  </si>
  <si>
    <t>C7140A0028</t>
  </si>
  <si>
    <t>WARD ANNE MARIE</t>
  </si>
  <si>
    <t>123 CANDLE LIGHT CT</t>
  </si>
  <si>
    <t>N5010C0071</t>
  </si>
  <si>
    <t>SMITH GEORGE ROBERT</t>
  </si>
  <si>
    <t>SMITH DIANA COURTNEY</t>
  </si>
  <si>
    <t>PO BOX 1214</t>
  </si>
  <si>
    <t>27014-1214</t>
  </si>
  <si>
    <t>G700000127</t>
  </si>
  <si>
    <t>JOHNSON SARAH ROLLAND</t>
  </si>
  <si>
    <t>220 BARNEY RD</t>
  </si>
  <si>
    <t>27006-7149</t>
  </si>
  <si>
    <t>D8070C0004</t>
  </si>
  <si>
    <t>KENNETH &amp; LYNN HEDRICK REV TR</t>
  </si>
  <si>
    <t>985 RIVERBEND DR</t>
  </si>
  <si>
    <t>G20000005510</t>
  </si>
  <si>
    <t>VARGAS MARIA DE JESUS SANCHEZ</t>
  </si>
  <si>
    <t>118 SHEFFIELD RD</t>
  </si>
  <si>
    <t>C500000039</t>
  </si>
  <si>
    <t>JOHNSON HILDA SPILLMAN</t>
  </si>
  <si>
    <t>24604 HARBOUR VIEW DR</t>
  </si>
  <si>
    <t>PONTE VEDRA</t>
  </si>
  <si>
    <t>32082-1501</t>
  </si>
  <si>
    <t>D50000004801</t>
  </si>
  <si>
    <t>LOGAN AMY BETH</t>
  </si>
  <si>
    <t>332 CEDAR CREEK RD</t>
  </si>
  <si>
    <t>D50000004804</t>
  </si>
  <si>
    <t>G20000005508</t>
  </si>
  <si>
    <t>TWIN PHOENIX LLC</t>
  </si>
  <si>
    <t>203 BAKER ST</t>
  </si>
  <si>
    <t>28655-6663</t>
  </si>
  <si>
    <t>G30000007208</t>
  </si>
  <si>
    <t>MENDEZ APOLINAR</t>
  </si>
  <si>
    <t>M5090A002202</t>
  </si>
  <si>
    <t>RICE JOHNNY RAY JR</t>
  </si>
  <si>
    <t>360 TIMBERWOLF LN</t>
  </si>
  <si>
    <t>28147-7793</t>
  </si>
  <si>
    <t>G10000002101</t>
  </si>
  <si>
    <t>REEVES MARY LISA</t>
  </si>
  <si>
    <t>126 SNOW BECK TRL</t>
  </si>
  <si>
    <t>28634-8925</t>
  </si>
  <si>
    <t>J6090A0011</t>
  </si>
  <si>
    <t>K50000008310</t>
  </si>
  <si>
    <t>G50000000202</t>
  </si>
  <si>
    <t>WEST HERMAN L</t>
  </si>
  <si>
    <t>C7140A0052</t>
  </si>
  <si>
    <t>TRONSEN LEE ANDERS</t>
  </si>
  <si>
    <t>TRONSEN JULIE ANN</t>
  </si>
  <si>
    <t>232 BRAYDEN DR</t>
  </si>
  <si>
    <t>G400000020</t>
  </si>
  <si>
    <t>M4120B0003</t>
  </si>
  <si>
    <t>NEWELL DUANE L</t>
  </si>
  <si>
    <t>109 SUNBURST LN</t>
  </si>
  <si>
    <t>O600000007</t>
  </si>
  <si>
    <t>COE NANCY JANE FRYE</t>
  </si>
  <si>
    <t>484 RIVERDALE RD</t>
  </si>
  <si>
    <t>C70000010003</t>
  </si>
  <si>
    <t>DOSS FRANKLIN D ETAL</t>
  </si>
  <si>
    <t>DOSS LINDA DARNELL</t>
  </si>
  <si>
    <t>645 NC HIGHWAY 801 N</t>
  </si>
  <si>
    <t>H500000217</t>
  </si>
  <si>
    <t>RENKO ANNETTE</t>
  </si>
  <si>
    <t>RENKO TRACY</t>
  </si>
  <si>
    <t>2120 POTNECK ROAD</t>
  </si>
  <si>
    <t>E30000011301</t>
  </si>
  <si>
    <t>DURRELL DARRIN</t>
  </si>
  <si>
    <t>DURRELL ALISHA M</t>
  </si>
  <si>
    <t>1147 WAGNER RD</t>
  </si>
  <si>
    <t>G300000011</t>
  </si>
  <si>
    <t>TUTTEROW MILTON E ETAL</t>
  </si>
  <si>
    <t>TUTTEROW LARRY M</t>
  </si>
  <si>
    <t>B700000005</t>
  </si>
  <si>
    <t>RIDDLE MARTHA ANN</t>
  </si>
  <si>
    <t>1446 YADKIN VALLEY ROAD</t>
  </si>
  <si>
    <t>E700000018</t>
  </si>
  <si>
    <t>CHAUDHRI RABAYAN NAWAZ</t>
  </si>
  <si>
    <t>409 LAKESHORE RIDGE</t>
  </si>
  <si>
    <t>N5010A0008</t>
  </si>
  <si>
    <t>MAYFIELD JUDY</t>
  </si>
  <si>
    <t>27014-0482</t>
  </si>
  <si>
    <t>L60000002105</t>
  </si>
  <si>
    <t>LINK ROCKY MARCELL</t>
  </si>
  <si>
    <t>130 GLOUCESTER LANE</t>
  </si>
  <si>
    <t>I30000001906</t>
  </si>
  <si>
    <t>VEGA HERANDIRA S</t>
  </si>
  <si>
    <t>166 SHULER RD</t>
  </si>
  <si>
    <t>I5010B0006</t>
  </si>
  <si>
    <t>RIVERS SANDRA</t>
  </si>
  <si>
    <t>ETCHISON ELIZABETH I</t>
  </si>
  <si>
    <t>128 HOLMAN STREET</t>
  </si>
  <si>
    <t>J7120A0024</t>
  </si>
  <si>
    <t>ROBINSON PHILLIP</t>
  </si>
  <si>
    <t>335 CEDAR GROVE CHURCH ROAD</t>
  </si>
  <si>
    <t>C7140A0053</t>
  </si>
  <si>
    <t>WARREN AMY COOKE</t>
  </si>
  <si>
    <t>238 BRAYDEN DR</t>
  </si>
  <si>
    <t>C7140A0054</t>
  </si>
  <si>
    <t>SHAPIRO LEE</t>
  </si>
  <si>
    <t>SHAPIRO CARRIE</t>
  </si>
  <si>
    <t>242 BRAYDEN DR</t>
  </si>
  <si>
    <t>C7140A0057</t>
  </si>
  <si>
    <t>EVERHARDT JIMMY</t>
  </si>
  <si>
    <t>EVERHARDT BARBARA</t>
  </si>
  <si>
    <t>251 BRAYDEN DR</t>
  </si>
  <si>
    <t>C7140A0058</t>
  </si>
  <si>
    <t>REVELS AKWIASDI</t>
  </si>
  <si>
    <t>249 BRAYDEN DR</t>
  </si>
  <si>
    <t>C7140A0059</t>
  </si>
  <si>
    <t>HALL SEAN</t>
  </si>
  <si>
    <t>HALL MAKAYLA L</t>
  </si>
  <si>
    <t>243 BRAYDEN DR</t>
  </si>
  <si>
    <t>C7140A0060</t>
  </si>
  <si>
    <t>O'RORKE PAULA JEAN</t>
  </si>
  <si>
    <t>237 BRAYDEN DR</t>
  </si>
  <si>
    <t>G100000008</t>
  </si>
  <si>
    <t>RAPE HAL Q</t>
  </si>
  <si>
    <t>RAPE DARLENE</t>
  </si>
  <si>
    <t>MINERAL SPGS</t>
  </si>
  <si>
    <t>28108-0055</t>
  </si>
  <si>
    <t>E600000018</t>
  </si>
  <si>
    <t>STEWART JASON T</t>
  </si>
  <si>
    <t>3735 US HIGHWAY 158</t>
  </si>
  <si>
    <t>C7140A0091</t>
  </si>
  <si>
    <t>LINEBACK NEAL GAMBILL</t>
  </si>
  <si>
    <t>LINEBACK KATIE STANLEY</t>
  </si>
  <si>
    <t>140 MORNING STAR DR</t>
  </si>
  <si>
    <t>J5010D0115</t>
  </si>
  <si>
    <t>AVERETTE JOSHUA THOMAS</t>
  </si>
  <si>
    <t>9217 S QUAY RD</t>
  </si>
  <si>
    <t>SUFFOLK</t>
  </si>
  <si>
    <t>23437-9408</t>
  </si>
  <si>
    <t>D8100A0022</t>
  </si>
  <si>
    <t>OAK VALLEY INVESTORS LLC</t>
  </si>
  <si>
    <t>PO BOX 25008</t>
  </si>
  <si>
    <t>27114-5008</t>
  </si>
  <si>
    <t>B200000004</t>
  </si>
  <si>
    <t>ROBERTSON CHASITY</t>
  </si>
  <si>
    <t>C80000000116</t>
  </si>
  <si>
    <t>THE TOWN OF BERMUDA RUN</t>
  </si>
  <si>
    <t>120 KINDERTON BLVD STE 100</t>
  </si>
  <si>
    <t>27006-7302</t>
  </si>
  <si>
    <t>C80000000150</t>
  </si>
  <si>
    <t>K5040A0004</t>
  </si>
  <si>
    <t>EDWARDS BRIAN DOUGLAS</t>
  </si>
  <si>
    <t>EDWARDS AMBER DAWN</t>
  </si>
  <si>
    <t>752 DEADMON RD</t>
  </si>
  <si>
    <t>E600000098</t>
  </si>
  <si>
    <t>DRS INC</t>
  </si>
  <si>
    <t>4265 US HIGHWAY 158</t>
  </si>
  <si>
    <t>D8070D0019</t>
  </si>
  <si>
    <t>JAMES LOGAN DANIEL</t>
  </si>
  <si>
    <t>171 FAIRWAY DR</t>
  </si>
  <si>
    <t>G20000005517</t>
  </si>
  <si>
    <t>ZALESKY PETER</t>
  </si>
  <si>
    <t>ZALESKY FAITH</t>
  </si>
  <si>
    <t>178 SHEFFIELD RD</t>
  </si>
  <si>
    <t>G50000008110</t>
  </si>
  <si>
    <t>BRADY MICHAEL J JR</t>
  </si>
  <si>
    <t>BRADY STACEY L</t>
  </si>
  <si>
    <t>149 EAGLES LANDING LN</t>
  </si>
  <si>
    <t>E7130A0003</t>
  </si>
  <si>
    <t>FENDLEY LIVING TRUST</t>
  </si>
  <si>
    <t>129 SOMERSET CT</t>
  </si>
  <si>
    <t>O60000000701</t>
  </si>
  <si>
    <t>B30000007505</t>
  </si>
  <si>
    <t>RICHARDSON WILLIAM KEELE JR</t>
  </si>
  <si>
    <t>180 PONDEROSA ROAD</t>
  </si>
  <si>
    <t>B30000007502</t>
  </si>
  <si>
    <t>G20000002601</t>
  </si>
  <si>
    <t>RITCHIE MICHAEL</t>
  </si>
  <si>
    <t>RITCHIE CHARLENE</t>
  </si>
  <si>
    <t>874 SHEFFIELD ROAD</t>
  </si>
  <si>
    <t>J60000003302</t>
  </si>
  <si>
    <t>DALTON CYNTHIA DENISE</t>
  </si>
  <si>
    <t>299 DALTON ROAD</t>
  </si>
  <si>
    <t>J60000002201</t>
  </si>
  <si>
    <t>F60000005310</t>
  </si>
  <si>
    <t>HINSON BENJAMIN ALAN</t>
  </si>
  <si>
    <t>128 ROBERT AUSTIN TRL</t>
  </si>
  <si>
    <t>J5010D0018</t>
  </si>
  <si>
    <t>SPINETTA JOSE SOCRATES</t>
  </si>
  <si>
    <t>185 CHARLESTON RIDGE DR</t>
  </si>
  <si>
    <t>F200000056</t>
  </si>
  <si>
    <t>POTTS JEFFREY</t>
  </si>
  <si>
    <t>B30000000603</t>
  </si>
  <si>
    <t>POWE ROBERT E JR</t>
  </si>
  <si>
    <t>POWE RUBY E</t>
  </si>
  <si>
    <t>199 BOWMAN ROAD</t>
  </si>
  <si>
    <t>G70000012301</t>
  </si>
  <si>
    <t>G10000003302</t>
  </si>
  <si>
    <t>MILLER DJUNA H ETAL</t>
  </si>
  <si>
    <t>1228 NC HIGHWAY 27 W</t>
  </si>
  <si>
    <t>BENSON</t>
  </si>
  <si>
    <t>27504-8102</t>
  </si>
  <si>
    <t>G50000009405</t>
  </si>
  <si>
    <t>JEFFRIES NICHOLAS</t>
  </si>
  <si>
    <t>CHUNN MARISSA</t>
  </si>
  <si>
    <t>315 MCCLAMROCK RD</t>
  </si>
  <si>
    <t>D500000106</t>
  </si>
  <si>
    <t>SHOAF TIMOTHY FRED</t>
  </si>
  <si>
    <t>201 KENNEN KREST ROAD</t>
  </si>
  <si>
    <t>D500000107</t>
  </si>
  <si>
    <t>MASON MARK W</t>
  </si>
  <si>
    <t>221 KENNEN KREST RD</t>
  </si>
  <si>
    <t>J4030A0005</t>
  </si>
  <si>
    <t>ALLISON KORY</t>
  </si>
  <si>
    <t>CALDWELL KAYLA</t>
  </si>
  <si>
    <t>669 SANFORD AVE</t>
  </si>
  <si>
    <t>J5010D0091</t>
  </si>
  <si>
    <t>CRALL GARRETT</t>
  </si>
  <si>
    <t>WINZELER SARAH K</t>
  </si>
  <si>
    <t>180 WINDING CREEK RD</t>
  </si>
  <si>
    <t>J70000004104</t>
  </si>
  <si>
    <t>ROYAL GERRY PAUL</t>
  </si>
  <si>
    <t>ROYAL DEBORAH A</t>
  </si>
  <si>
    <t>146 EVERHART RD</t>
  </si>
  <si>
    <t>L5010A0010</t>
  </si>
  <si>
    <t>PRESNELL DENNIS RAY ETAL</t>
  </si>
  <si>
    <t>PRESNELL DONNA ELAINE</t>
  </si>
  <si>
    <t>223 WINDSOR DR</t>
  </si>
  <si>
    <t>28144-7722</t>
  </si>
  <si>
    <t>L50000000401</t>
  </si>
  <si>
    <t>L5010B0001</t>
  </si>
  <si>
    <t>L5010B0013</t>
  </si>
  <si>
    <t>M5160A0016</t>
  </si>
  <si>
    <t>LEDFORD JAN BOWEN</t>
  </si>
  <si>
    <t>L300000002</t>
  </si>
  <si>
    <t>391 RATLEDGE RD</t>
  </si>
  <si>
    <t>27028-5426</t>
  </si>
  <si>
    <t>I4110A0017</t>
  </si>
  <si>
    <t>DOCENA REAL ESTATE INVESTMENTS LLC</t>
  </si>
  <si>
    <t>P O BOX 20197</t>
  </si>
  <si>
    <t>D400000009</t>
  </si>
  <si>
    <t>LEITE JILL DRIVER</t>
  </si>
  <si>
    <t>5009 SUNSET FAIRWAYS DR</t>
  </si>
  <si>
    <t>27540-7830</t>
  </si>
  <si>
    <t>D40000000902</t>
  </si>
  <si>
    <t>L600000032</t>
  </si>
  <si>
    <t>THOMPSON JOSHUA</t>
  </si>
  <si>
    <t>% CHRISTINE THOMPSON</t>
  </si>
  <si>
    <t>D600000035</t>
  </si>
  <si>
    <t>DIAZ SARAH D</t>
  </si>
  <si>
    <t>DIAZ BLAKE D</t>
  </si>
  <si>
    <t>951 RAINBOW RD</t>
  </si>
  <si>
    <t>E9150B0055</t>
  </si>
  <si>
    <t>BOYER TED A</t>
  </si>
  <si>
    <t>BOYER ANN W</t>
  </si>
  <si>
    <t>211 SYCAMORE RIDGE DR</t>
  </si>
  <si>
    <t>F80000001103</t>
  </si>
  <si>
    <t>MOCK AMANDA</t>
  </si>
  <si>
    <t>176 GREYSTONE WAY</t>
  </si>
  <si>
    <t>27006-7889</t>
  </si>
  <si>
    <t>J4040G0012</t>
  </si>
  <si>
    <t>WAXMAN RICHARD</t>
  </si>
  <si>
    <t>401 S SALISBURY ST</t>
  </si>
  <si>
    <t>F80000007509</t>
  </si>
  <si>
    <t>GIBLIN PHILIP JOSEPH</t>
  </si>
  <si>
    <t>GIBLIN MELISSA</t>
  </si>
  <si>
    <t>274 MOCKS CHURCH RD</t>
  </si>
  <si>
    <t>H300000052</t>
  </si>
  <si>
    <t>DOUB THOMAS</t>
  </si>
  <si>
    <t>2085 US HIGHWAY 64 W</t>
  </si>
  <si>
    <t>I4110C0019</t>
  </si>
  <si>
    <t>HESSER BARBARA</t>
  </si>
  <si>
    <t>HESSER TABITHA</t>
  </si>
  <si>
    <t>449 AVON ST</t>
  </si>
  <si>
    <t>H900000051</t>
  </si>
  <si>
    <t>DIXON ROBERT HOWARD JR</t>
  </si>
  <si>
    <t>171 PEOPLES CREEK ROAD</t>
  </si>
  <si>
    <t>H9080B0014</t>
  </si>
  <si>
    <t>E400000025</t>
  </si>
  <si>
    <t>HARRISON GLADYS ANNE TR</t>
  </si>
  <si>
    <t>RESTATED 2000 REV TRUST</t>
  </si>
  <si>
    <t>3035 SAINT CLAIRE RD</t>
  </si>
  <si>
    <t>27106-5027</t>
  </si>
  <si>
    <t>F400000014</t>
  </si>
  <si>
    <t>E20000002302</t>
  </si>
  <si>
    <t>FREEMAN JAMES</t>
  </si>
  <si>
    <t>FREEMAN VANNESSA E</t>
  </si>
  <si>
    <t>185 C V SMOOT LN</t>
  </si>
  <si>
    <t>C7140A0089</t>
  </si>
  <si>
    <t>BELL BARBARA R</t>
  </si>
  <si>
    <t>130 MORNING STAR DR</t>
  </si>
  <si>
    <t>K600000014</t>
  </si>
  <si>
    <t>SCOTT STEVEN A</t>
  </si>
  <si>
    <t>935 DEADMON RD</t>
  </si>
  <si>
    <t>I6080A0032</t>
  </si>
  <si>
    <t>AFG360 LLC</t>
  </si>
  <si>
    <t>1559 MARINERS CT</t>
  </si>
  <si>
    <t>27127-7021</t>
  </si>
  <si>
    <t>F30000000901</t>
  </si>
  <si>
    <t>HUFFMAN SONYA</t>
  </si>
  <si>
    <t>182 VOGLER RD</t>
  </si>
  <si>
    <t>I4120D0030</t>
  </si>
  <si>
    <t>IMBIMBO MICHAEL DANTE</t>
  </si>
  <si>
    <t>IMBIMBO GERALD</t>
  </si>
  <si>
    <t>344 PARK AVE</t>
  </si>
  <si>
    <t>27028-2144</t>
  </si>
  <si>
    <t>G20000002803</t>
  </si>
  <si>
    <t>MARTIN FRANK</t>
  </si>
  <si>
    <t>MARTIN VICKY</t>
  </si>
  <si>
    <t>154 APPLEGATE RD</t>
  </si>
  <si>
    <t>27284-2303</t>
  </si>
  <si>
    <t>F50000003208</t>
  </si>
  <si>
    <t>SOUTHSTAR LLC</t>
  </si>
  <si>
    <t>2410 EVERGREEN RD STE 201</t>
  </si>
  <si>
    <t>GAMBRILLS</t>
  </si>
  <si>
    <t>21054-1980</t>
  </si>
  <si>
    <t>D9050A0019</t>
  </si>
  <si>
    <t>DILLON ALFRED M</t>
  </si>
  <si>
    <t>3106 BERMUDA VLG</t>
  </si>
  <si>
    <t>D9010B0016</t>
  </si>
  <si>
    <t>FENN ANDREA L</t>
  </si>
  <si>
    <t>156 WARWICKE PL</t>
  </si>
  <si>
    <t>C8010A0037</t>
  </si>
  <si>
    <t>MARTIN ROBERT E</t>
  </si>
  <si>
    <t>MARTIN SARAH B</t>
  </si>
  <si>
    <t>226 TOWNPARK DRIVE</t>
  </si>
  <si>
    <t>I6080A0010</t>
  </si>
  <si>
    <t>E8070A0008</t>
  </si>
  <si>
    <t>BARRETT PETER</t>
  </si>
  <si>
    <t>BARRETT NATALIE</t>
  </si>
  <si>
    <t>115 WHITEHEAD DR</t>
  </si>
  <si>
    <t>F600000048</t>
  </si>
  <si>
    <t>LONG JOHN W</t>
  </si>
  <si>
    <t>LONG FAYE C</t>
  </si>
  <si>
    <t>L30000002006</t>
  </si>
  <si>
    <t>HANES MARTY SCOTT</t>
  </si>
  <si>
    <t>HANES KRISTEN HACK</t>
  </si>
  <si>
    <t>245 OAK MEADOW LN</t>
  </si>
  <si>
    <t>D7020A0016</t>
  </si>
  <si>
    <t>STANBERY COURTNEY S</t>
  </si>
  <si>
    <t>219 BRENTWOOD DR</t>
  </si>
  <si>
    <t>D9090D0009</t>
  </si>
  <si>
    <t>ROKES DAVID KENWOOD</t>
  </si>
  <si>
    <t>303 HOLLYBROOK DR</t>
  </si>
  <si>
    <t>G7040A0058</t>
  </si>
  <si>
    <t>NUNEZ HOLDINGS LLC</t>
  </si>
  <si>
    <t>8316 AINSWORTH ST</t>
  </si>
  <si>
    <t>28216-3666</t>
  </si>
  <si>
    <t>K500000060</t>
  </si>
  <si>
    <t>DAY AMY ETAL</t>
  </si>
  <si>
    <t>MONTGOMERY STEVEN</t>
  </si>
  <si>
    <t>6031 SLAB LANDING RD</t>
  </si>
  <si>
    <t>COPE</t>
  </si>
  <si>
    <t>29038-9501</t>
  </si>
  <si>
    <t>D8060B0001</t>
  </si>
  <si>
    <t>ROSALES NANCY D</t>
  </si>
  <si>
    <t>450 RIVERBEND DR</t>
  </si>
  <si>
    <t>I40000007403</t>
  </si>
  <si>
    <t>LUCK LLAMA PROPERTIES LLC</t>
  </si>
  <si>
    <t>4841 JONESTOWN TRL</t>
  </si>
  <si>
    <t>C7140A0090</t>
  </si>
  <si>
    <t>DIXON TAMARA HOLLAND</t>
  </si>
  <si>
    <t>DIXON FRED WHITE JR</t>
  </si>
  <si>
    <t>136 MORNING STAR DR</t>
  </si>
  <si>
    <t>I5120A0034</t>
  </si>
  <si>
    <t>WILSON QUINCY L</t>
  </si>
  <si>
    <t>JONES CHANTE D</t>
  </si>
  <si>
    <t>301 WINDWARD CIRCLE</t>
  </si>
  <si>
    <t>K3130B0003</t>
  </si>
  <si>
    <t>SANKEY WAYNE E III</t>
  </si>
  <si>
    <t>SANKEY KERI M</t>
  </si>
  <si>
    <t>560 JUNCTION RD</t>
  </si>
  <si>
    <t>D8030A0025</t>
  </si>
  <si>
    <t>WOOLDRIDGE DARRELL W</t>
  </si>
  <si>
    <t>WOOLDRIDGE NANCY N</t>
  </si>
  <si>
    <t>121 TIFTON ST</t>
  </si>
  <si>
    <t>C500000099</t>
  </si>
  <si>
    <t>JOHN G WILLIARD REVOCABLE TRUST</t>
  </si>
  <si>
    <t>1613 MARYLAND AVE</t>
  </si>
  <si>
    <t>27705-3237</t>
  </si>
  <si>
    <t>C500000101</t>
  </si>
  <si>
    <t>C500000100</t>
  </si>
  <si>
    <t>C500000098</t>
  </si>
  <si>
    <t>I4010A0014</t>
  </si>
  <si>
    <t>DYSON ALISON LAMBETH</t>
  </si>
  <si>
    <t>203 TURNBERRY DR</t>
  </si>
  <si>
    <t>G50000005608</t>
  </si>
  <si>
    <t>WARD MATTHEW OWEN</t>
  </si>
  <si>
    <t>I5050B0012</t>
  </si>
  <si>
    <t>DANIELS NICHOLAS K</t>
  </si>
  <si>
    <t>485 WHITNEY RD</t>
  </si>
  <si>
    <t>27028-2847</t>
  </si>
  <si>
    <t>G9090B0042</t>
  </si>
  <si>
    <t>CHURCH ALISON</t>
  </si>
  <si>
    <t>208 S MARCH FERRY RD</t>
  </si>
  <si>
    <t>H60000005703</t>
  </si>
  <si>
    <t>FORTNER RONALD J JR</t>
  </si>
  <si>
    <t>2516 MILLING ROAD</t>
  </si>
  <si>
    <t>J5050B0028</t>
  </si>
  <si>
    <t>ADAMS BRANDON TROY</t>
  </si>
  <si>
    <t>ADAMS MORGAN CHEEK</t>
  </si>
  <si>
    <t>154 CARRIAGE COVE CIR</t>
  </si>
  <si>
    <t>H5190A0024</t>
  </si>
  <si>
    <t>FUSSELBAUGH MATTHEW W</t>
  </si>
  <si>
    <t>FUSSELBAUGH KELLY M</t>
  </si>
  <si>
    <t>167 S MADERA DR</t>
  </si>
  <si>
    <t>G100000021</t>
  </si>
  <si>
    <t>YORK LISA R</t>
  </si>
  <si>
    <t>G700000091</t>
  </si>
  <si>
    <t>CORNATZER JEFFERY STEVEN</t>
  </si>
  <si>
    <t>319 MARKLAND ROAD</t>
  </si>
  <si>
    <t>G700000092</t>
  </si>
  <si>
    <t>G700000089</t>
  </si>
  <si>
    <t>D9090D0016</t>
  </si>
  <si>
    <t>YANDLE ALI G</t>
  </si>
  <si>
    <t>YANDLE PAUL E JR</t>
  </si>
  <si>
    <t>118 BAYBERRY PL</t>
  </si>
  <si>
    <t>I5050D0022</t>
  </si>
  <si>
    <t>SCOTT FLOSSIE IMES HEIRS</t>
  </si>
  <si>
    <t>420 MORSE STREET</t>
  </si>
  <si>
    <t>I5050D0023</t>
  </si>
  <si>
    <t>H70000000905</t>
  </si>
  <si>
    <t>HEPLER SAMUEL RAY JR</t>
  </si>
  <si>
    <t>HEPLER JACKIE MESSICK</t>
  </si>
  <si>
    <t>228 RALPH ROAD</t>
  </si>
  <si>
    <t>N5010D002001</t>
  </si>
  <si>
    <t>MORGAN WILLIAM RILEY</t>
  </si>
  <si>
    <t>5220 STATESVILLE BLVD</t>
  </si>
  <si>
    <t>28147-7471</t>
  </si>
  <si>
    <t>I4110B000403</t>
  </si>
  <si>
    <t>FOSTER MATTHEW HENDERSON</t>
  </si>
  <si>
    <t>I4110B0018</t>
  </si>
  <si>
    <t>M5060A0002</t>
  </si>
  <si>
    <t>FOSTER CLAUDIA MORALES</t>
  </si>
  <si>
    <t>7301 US HIGHWAY 801 SOUTH</t>
  </si>
  <si>
    <t>O600000016</t>
  </si>
  <si>
    <t>TORRES RAMIRO CHICO</t>
  </si>
  <si>
    <t>325 RIDGELAND DR</t>
  </si>
  <si>
    <t>27013-9404</t>
  </si>
  <si>
    <t>B400000020</t>
  </si>
  <si>
    <t>GERBER NILS EDWARD</t>
  </si>
  <si>
    <t>GERBER KAREN DRAPER</t>
  </si>
  <si>
    <t>3990 BURNING TREE LN</t>
  </si>
  <si>
    <t>27106-6253</t>
  </si>
  <si>
    <t>B40000002003</t>
  </si>
  <si>
    <t>M4040A0004</t>
  </si>
  <si>
    <t>MULLENAX WILLIAM JR</t>
  </si>
  <si>
    <t>MULLENAX JUNE</t>
  </si>
  <si>
    <t>125 LEGION HUT RD</t>
  </si>
  <si>
    <t>G8010B0007</t>
  </si>
  <si>
    <t>ABSHER JENNIE B</t>
  </si>
  <si>
    <t>525-B GILES RD</t>
  </si>
  <si>
    <t>E800000009</t>
  </si>
  <si>
    <t>RENO ROBERT W</t>
  </si>
  <si>
    <t>RENO RUTH E</t>
  </si>
  <si>
    <t>674 NC HWY 801 SOUTH</t>
  </si>
  <si>
    <t>D9050C0046</t>
  </si>
  <si>
    <t>COLVARD HC JR</t>
  </si>
  <si>
    <t>COLVARD BRENDA</t>
  </si>
  <si>
    <t>2303 BERMUDA VLG</t>
  </si>
  <si>
    <t>H80000004106</t>
  </si>
  <si>
    <t>ALLEN TIFFANY GRAY ETAL</t>
  </si>
  <si>
    <t>NANCE TIMOTHY</t>
  </si>
  <si>
    <t>1161 BAILEYS CHAPEL RD</t>
  </si>
  <si>
    <t>I4130E0002</t>
  </si>
  <si>
    <t>GOODWIN CABINETRY LLC</t>
  </si>
  <si>
    <t>146 MARAJO CT</t>
  </si>
  <si>
    <t>27127-9117</t>
  </si>
  <si>
    <t>I500000042</t>
  </si>
  <si>
    <t>DEVELOPMENTAL SERVICES OF NC LLC</t>
  </si>
  <si>
    <t>4182 CLEMMONS RD # 242</t>
  </si>
  <si>
    <t>E700000012</t>
  </si>
  <si>
    <t>C700000087</t>
  </si>
  <si>
    <t>ADER WILLIAM PAUL</t>
  </si>
  <si>
    <t>758 NC HIGHWAY 801 N</t>
  </si>
  <si>
    <t>M5060A0003</t>
  </si>
  <si>
    <t>ASBAH KARAM ABU</t>
  </si>
  <si>
    <t>5540 CENTERVIEW DR</t>
  </si>
  <si>
    <t>STE 204 PMB 34764</t>
  </si>
  <si>
    <t>27606-3363</t>
  </si>
  <si>
    <t>H900000032</t>
  </si>
  <si>
    <t>PEEBLES MARY ALICE HEIRS</t>
  </si>
  <si>
    <t>127 MT ZION CHURCH ROAD</t>
  </si>
  <si>
    <t>H900000033  A</t>
  </si>
  <si>
    <t>L5140A0017</t>
  </si>
  <si>
    <t>WILLIAMS ROY LYDEN</t>
  </si>
  <si>
    <t>7044 HWY 801 S</t>
  </si>
  <si>
    <t>D9010E0021</t>
  </si>
  <si>
    <t>KUHN QUINN</t>
  </si>
  <si>
    <t>8195 STYERS FERRY RD</t>
  </si>
  <si>
    <t>27012-8051</t>
  </si>
  <si>
    <t>J100000026</t>
  </si>
  <si>
    <t>BOGER DAVID CARL</t>
  </si>
  <si>
    <t>708 CRESCENT DR</t>
  </si>
  <si>
    <t>J10000002910</t>
  </si>
  <si>
    <t>I4060A0013</t>
  </si>
  <si>
    <t>PREBLE CHRISTOPHER W</t>
  </si>
  <si>
    <t>PREBLE MICHELY R</t>
  </si>
  <si>
    <t>PENNYMAC LOAN SERVICES, LLC</t>
  </si>
  <si>
    <t>K20000004202</t>
  </si>
  <si>
    <t>HINZ STEPHANIE LOREEN</t>
  </si>
  <si>
    <t>446 RIDGE ROAD</t>
  </si>
  <si>
    <t>E8020A0007</t>
  </si>
  <si>
    <t>SPARROW LARRY</t>
  </si>
  <si>
    <t>SPARROW EUNICE</t>
  </si>
  <si>
    <t>159 RAINTREE ROAD</t>
  </si>
  <si>
    <t>K400000042</t>
  </si>
  <si>
    <t>BROWNING MARGIE</t>
  </si>
  <si>
    <t>395 BUCK SEAFORD ROAD</t>
  </si>
  <si>
    <t>D8030A0023</t>
  </si>
  <si>
    <t>O'BRIEN WILLIAM E</t>
  </si>
  <si>
    <t>O'BRIEN SUSAN M</t>
  </si>
  <si>
    <t>1865 ADARE DR</t>
  </si>
  <si>
    <t>27012-7901</t>
  </si>
  <si>
    <t>N4040A0009</t>
  </si>
  <si>
    <t>ONEAL RONNY DEAN</t>
  </si>
  <si>
    <t>156 RIVERSIDE DR</t>
  </si>
  <si>
    <t>C8010B0401</t>
  </si>
  <si>
    <t>SA GUSTAVO</t>
  </si>
  <si>
    <t>SOUZA ELIANE XAVIER MACHADO LI</t>
  </si>
  <si>
    <t>132 GLENMOOR AVE</t>
  </si>
  <si>
    <t>K40000003505</t>
  </si>
  <si>
    <t>SAPP JOHN ALLEN IV</t>
  </si>
  <si>
    <t>SAPP ANDREA WARREN</t>
  </si>
  <si>
    <t>163 LONGHORN TRL</t>
  </si>
  <si>
    <t>27028-1082</t>
  </si>
  <si>
    <t>D500000079</t>
  </si>
  <si>
    <t>D40000000903</t>
  </si>
  <si>
    <t>D9020A0013</t>
  </si>
  <si>
    <t>CHAN MUI CHU</t>
  </si>
  <si>
    <t>507 BING CROSBY BLVD</t>
  </si>
  <si>
    <t>K5120A0002</t>
  </si>
  <si>
    <t>BOULANGER LEE</t>
  </si>
  <si>
    <t>I4010A0048</t>
  </si>
  <si>
    <t>AREVALO JUSTO CARLOS</t>
  </si>
  <si>
    <t>123 N WENTWORTH DR</t>
  </si>
  <si>
    <t>C7100A0021</t>
  </si>
  <si>
    <t>DAVIES HAROLD II</t>
  </si>
  <si>
    <t>DAVIES NANCY OLIVER</t>
  </si>
  <si>
    <t>170 NORMA LN</t>
  </si>
  <si>
    <t>H7120B0024</t>
  </si>
  <si>
    <t>RHODES WILLIAM BURCH</t>
  </si>
  <si>
    <t>RHODES TERESA WARD</t>
  </si>
  <si>
    <t>138 MEETING HOUSE LN</t>
  </si>
  <si>
    <t>K50000003201</t>
  </si>
  <si>
    <t>MILLER TIMOTHY G</t>
  </si>
  <si>
    <t>MILLER KATHY J</t>
  </si>
  <si>
    <t>209 TURRENTINE CHURCH ROAD</t>
  </si>
  <si>
    <t>G8130B000703</t>
  </si>
  <si>
    <t>MYERS PANSY</t>
  </si>
  <si>
    <t>MYERS HEATHER</t>
  </si>
  <si>
    <t>711 EAST MEMORIAL HWY</t>
  </si>
  <si>
    <t>H700000016</t>
  </si>
  <si>
    <t>FRANK EDDIE LEE ETAL</t>
  </si>
  <si>
    <t>FRANK DANNY RAY</t>
  </si>
  <si>
    <t>137 RALPH RD</t>
  </si>
  <si>
    <t>27028-7358</t>
  </si>
  <si>
    <t>I60000007509</t>
  </si>
  <si>
    <t>ROBERTSON CRYSTAL B</t>
  </si>
  <si>
    <t>BIVENS WILLIAM ZACHARY</t>
  </si>
  <si>
    <t>317 RALPH RD</t>
  </si>
  <si>
    <t>27028-7360</t>
  </si>
  <si>
    <t>I5090C0003</t>
  </si>
  <si>
    <t>PREVETTE CHARLES</t>
  </si>
  <si>
    <t>344 SPRING ST</t>
  </si>
  <si>
    <t>27028-2238</t>
  </si>
  <si>
    <t>G50000008107</t>
  </si>
  <si>
    <t>STONE DANIELLE</t>
  </si>
  <si>
    <t>106 EAGLES LANDING LN</t>
  </si>
  <si>
    <t>J5050B0043</t>
  </si>
  <si>
    <t>THERIAULT SCOTT A JR</t>
  </si>
  <si>
    <t>THERIAULT CHELSEA B</t>
  </si>
  <si>
    <t>161 CARRIAGE COVE CIR</t>
  </si>
  <si>
    <t>F600000023</t>
  </si>
  <si>
    <t>PEREIRA JOSE</t>
  </si>
  <si>
    <t>PEREIRA EDITH</t>
  </si>
  <si>
    <t>3327 US HIGHWAY 158</t>
  </si>
  <si>
    <t>G100000041</t>
  </si>
  <si>
    <t>C7140A0084</t>
  </si>
  <si>
    <t>JONES JASON W</t>
  </si>
  <si>
    <t>JONES STEELEY H</t>
  </si>
  <si>
    <t>106 MORNING STAR DR</t>
  </si>
  <si>
    <t>F200000041  A</t>
  </si>
  <si>
    <t>BLACKWELDER MARGIE S</t>
  </si>
  <si>
    <t>1057 SHEFFIELD RD</t>
  </si>
  <si>
    <t>I5080B0004</t>
  </si>
  <si>
    <t>CORNISH EVELYN J</t>
  </si>
  <si>
    <t>CORNISH JACQUELINE D</t>
  </si>
  <si>
    <t>PO BOX 27945</t>
  </si>
  <si>
    <t>23261-7945</t>
  </si>
  <si>
    <t>E70000008501</t>
  </si>
  <si>
    <t>TOLAR MARY A</t>
  </si>
  <si>
    <t>129 SQUIRREL LANE</t>
  </si>
  <si>
    <t>C60000002208</t>
  </si>
  <si>
    <t>RECTOR TRENT</t>
  </si>
  <si>
    <t>1633 NC HIGHWAY 801 N</t>
  </si>
  <si>
    <t>G700000094</t>
  </si>
  <si>
    <t>H700000014</t>
  </si>
  <si>
    <t>I4110B000401</t>
  </si>
  <si>
    <t>I6080A0031</t>
  </si>
  <si>
    <t>CHESTON ARLEN</t>
  </si>
  <si>
    <t>136 ARIEL CT</t>
  </si>
  <si>
    <t>H400000048</t>
  </si>
  <si>
    <t>DAUPHINAIS JONATHAN CARTER</t>
  </si>
  <si>
    <t>2530 BROOK STONE DR</t>
  </si>
  <si>
    <t>27012-7831</t>
  </si>
  <si>
    <t>I400000003</t>
  </si>
  <si>
    <t>HERNANDEZ JULIO</t>
  </si>
  <si>
    <t>1246 US HIGHWAY 64 W</t>
  </si>
  <si>
    <t>B300000010</t>
  </si>
  <si>
    <t>REVELS WILLIAM J</t>
  </si>
  <si>
    <t>REVELS EUNICE G</t>
  </si>
  <si>
    <t>F90000000305</t>
  </si>
  <si>
    <t>KNOTT WILLIAM F</t>
  </si>
  <si>
    <t>KNOTT SARA M</t>
  </si>
  <si>
    <t>424 SPRINGDALE AVENUE</t>
  </si>
  <si>
    <t>L60000002101</t>
  </si>
  <si>
    <t>LINK CLARENCE W</t>
  </si>
  <si>
    <t>LINK CAROLYN</t>
  </si>
  <si>
    <t>G8140A0071  A</t>
  </si>
  <si>
    <t>O600000045</t>
  </si>
  <si>
    <t>WILLIAMS ROBERT LEE</t>
  </si>
  <si>
    <t>WILLIAMS HATTIE LOUISE</t>
  </si>
  <si>
    <t>609 BOXWOOD CHURCH ROAD</t>
  </si>
  <si>
    <t>N5010B0030</t>
  </si>
  <si>
    <t>SMITH CARL L JR</t>
  </si>
  <si>
    <t>SMITH MELINDA B</t>
  </si>
  <si>
    <t>27014-0489</t>
  </si>
  <si>
    <t>D30000000301</t>
  </si>
  <si>
    <t>BAITY MELISSA S</t>
  </si>
  <si>
    <t>BAITY TOMMY</t>
  </si>
  <si>
    <t>474 SPEER ROAD</t>
  </si>
  <si>
    <t>C700000035</t>
  </si>
  <si>
    <t>PENLAND SHERRY ELIZABETH</t>
  </si>
  <si>
    <t>783 REDLAND RD</t>
  </si>
  <si>
    <t>D700000083</t>
  </si>
  <si>
    <t>TEAGUE TIMMY G</t>
  </si>
  <si>
    <t>TEAGUE LAURIE G</t>
  </si>
  <si>
    <t>147 FAIRWAY RD</t>
  </si>
  <si>
    <t>E60000002803</t>
  </si>
  <si>
    <t>VINING MILLARD AVERY</t>
  </si>
  <si>
    <t>3795 US HIGHWAY 158</t>
  </si>
  <si>
    <t>I40000000302</t>
  </si>
  <si>
    <t>F30000007403</t>
  </si>
  <si>
    <t>LEONARD JULIA R</t>
  </si>
  <si>
    <t>179 CANDLEWICK LANE</t>
  </si>
  <si>
    <t>H6080A000103</t>
  </si>
  <si>
    <t>DOWELL KAY WILLARD</t>
  </si>
  <si>
    <t>135 PENNINGTON LANE</t>
  </si>
  <si>
    <t>N600000059</t>
  </si>
  <si>
    <t>SEAMON DENNY DELL</t>
  </si>
  <si>
    <t>PO BOX 26</t>
  </si>
  <si>
    <t>DELTAVILLE</t>
  </si>
  <si>
    <t>23043-0026</t>
  </si>
  <si>
    <t>E8110B001001</t>
  </si>
  <si>
    <t>KING KEVIN P</t>
  </si>
  <si>
    <t>KING SANDRA</t>
  </si>
  <si>
    <t>270 RIVER RD</t>
  </si>
  <si>
    <t>K80000001301</t>
  </si>
  <si>
    <t>B-CAMPBELL LLC</t>
  </si>
  <si>
    <t>3330 COUNTRY CLUB RD</t>
  </si>
  <si>
    <t>27104-1834</t>
  </si>
  <si>
    <t>J10000002701</t>
  </si>
  <si>
    <t>STROUD FAMILY PICNIC AREA TRST</t>
  </si>
  <si>
    <t>1813 RIDGE ROAD</t>
  </si>
  <si>
    <t>M40000003801</t>
  </si>
  <si>
    <t>PUGLISE WILLIAM MICHAEL III</t>
  </si>
  <si>
    <t>1962 JUNCTION RD</t>
  </si>
  <si>
    <t>I5160C0009</t>
  </si>
  <si>
    <t>MYERS ROSA S</t>
  </si>
  <si>
    <t>MYERS ELAINE</t>
  </si>
  <si>
    <t>166 CARTNER STREET</t>
  </si>
  <si>
    <t>E300000097</t>
  </si>
  <si>
    <t>ATZS INVESTMENTS LLC</t>
  </si>
  <si>
    <t>962 MEADOWBROOK DR</t>
  </si>
  <si>
    <t>27021-8394</t>
  </si>
  <si>
    <t>K50000005129</t>
  </si>
  <si>
    <t>BYERS MICHAEL D</t>
  </si>
  <si>
    <t>BYERS HANNAH BREANN</t>
  </si>
  <si>
    <t>863 DEADMON RD</t>
  </si>
  <si>
    <t>C80000000107</t>
  </si>
  <si>
    <t>WOODLEY DAVID</t>
  </si>
  <si>
    <t>WOODLEY ETLANE</t>
  </si>
  <si>
    <t>169 FRED BAHNSON DR</t>
  </si>
  <si>
    <t>27006-8780</t>
  </si>
  <si>
    <t>I5160A0019</t>
  </si>
  <si>
    <t>JOHNSON TAMMY L</t>
  </si>
  <si>
    <t>1644 N 62ND ST</t>
  </si>
  <si>
    <t>19151-3434</t>
  </si>
  <si>
    <t>K5150A0011</t>
  </si>
  <si>
    <t>BREWER DANIEL BLAKE</t>
  </si>
  <si>
    <t>BREWER CELESTE</t>
  </si>
  <si>
    <t>1723 HARPER SPRING DR</t>
  </si>
  <si>
    <t>27012-7417</t>
  </si>
  <si>
    <t>H3010B0005</t>
  </si>
  <si>
    <t>SAKKER GLENN KEITH</t>
  </si>
  <si>
    <t>NAPLES JANICE M</t>
  </si>
  <si>
    <t>139 PARKER RD</t>
  </si>
  <si>
    <t>27028-4967</t>
  </si>
  <si>
    <t>C8030B0001</t>
  </si>
  <si>
    <t>FOSTER TERRY</t>
  </si>
  <si>
    <t>292 TOWN PARK DR UNIT 101</t>
  </si>
  <si>
    <t>27006-8620</t>
  </si>
  <si>
    <t>F400000028</t>
  </si>
  <si>
    <t>711 CANA RD</t>
  </si>
  <si>
    <t>K70000003906</t>
  </si>
  <si>
    <t>SEHLOFF THERESA</t>
  </si>
  <si>
    <t>141 DRUM LANE</t>
  </si>
  <si>
    <t>H70000005802</t>
  </si>
  <si>
    <t>RANDLEMAN COURTNEY</t>
  </si>
  <si>
    <t>354 BRIER CREEK RD</t>
  </si>
  <si>
    <t>G400000017</t>
  </si>
  <si>
    <t>REVELS INVESTMENTS LLC</t>
  </si>
  <si>
    <t>574 CHILDRENS HOME ROAD</t>
  </si>
  <si>
    <t>I5010C0025</t>
  </si>
  <si>
    <t>PHIPPS JEFFREY KARL</t>
  </si>
  <si>
    <t>PO BOX 472</t>
  </si>
  <si>
    <t>I5080B0018</t>
  </si>
  <si>
    <t>C300000002</t>
  </si>
  <si>
    <t>REVELS EUNICE M</t>
  </si>
  <si>
    <t>B300000024  A</t>
  </si>
  <si>
    <t>C100000023</t>
  </si>
  <si>
    <t>COOK DON CHRISTOPHER</t>
  </si>
  <si>
    <t>782 PETREE FARM LN</t>
  </si>
  <si>
    <t>N5080B0016</t>
  </si>
  <si>
    <t>LEONARD ALLISON LANA</t>
  </si>
  <si>
    <t>LEONARD MATTHEW LYNN</t>
  </si>
  <si>
    <t>PO BOX 238</t>
  </si>
  <si>
    <t>27014-0238</t>
  </si>
  <si>
    <t>N50000000301</t>
  </si>
  <si>
    <t>G10000001604</t>
  </si>
  <si>
    <t>POWELL DONNA K</t>
  </si>
  <si>
    <t>1460 COUNTY LINE ROAD</t>
  </si>
  <si>
    <t>L4130A000301</t>
  </si>
  <si>
    <t>BROWN ANNETTE N</t>
  </si>
  <si>
    <t>MAGALLANES DAVID</t>
  </si>
  <si>
    <t>533 GLADSTONE ROAD</t>
  </si>
  <si>
    <t>G10000001601</t>
  </si>
  <si>
    <t>G10000000801</t>
  </si>
  <si>
    <t>REEVES JONATHAN DAVID</t>
  </si>
  <si>
    <t>1524 COUNTY LINE RD</t>
  </si>
  <si>
    <t>L5090A000301</t>
  </si>
  <si>
    <t>MARTIN LISA B</t>
  </si>
  <si>
    <t>129 FLETCHER ST</t>
  </si>
  <si>
    <t>27028-5269</t>
  </si>
  <si>
    <t>K200000025</t>
  </si>
  <si>
    <t>CARLTON BRENT</t>
  </si>
  <si>
    <t>CARLTON JANNA</t>
  </si>
  <si>
    <t>536 RIDGE RD</t>
  </si>
  <si>
    <t>C60000008901</t>
  </si>
  <si>
    <t>HEGE STACY F</t>
  </si>
  <si>
    <t>7016 ORCHARD PATH DR</t>
  </si>
  <si>
    <t>27012-8222</t>
  </si>
  <si>
    <t>F90000000304</t>
  </si>
  <si>
    <t>F90000000306</t>
  </si>
  <si>
    <t>J700000085</t>
  </si>
  <si>
    <t>WYATT LEWIS MITCHELL</t>
  </si>
  <si>
    <t>3052 US HIGHWAY 64 E</t>
  </si>
  <si>
    <t>E600000029</t>
  </si>
  <si>
    <t>LAW CHRISTINA ROCHELLE</t>
  </si>
  <si>
    <t>I1110F0001</t>
  </si>
  <si>
    <t>LUCAS CHRISTINA</t>
  </si>
  <si>
    <t>167 BROOK DR</t>
  </si>
  <si>
    <t>J70000008403</t>
  </si>
  <si>
    <t>C300000126</t>
  </si>
  <si>
    <t>SMITH JANICE S</t>
  </si>
  <si>
    <t>887 HOWELL ROAD</t>
  </si>
  <si>
    <t>I1110B0014</t>
  </si>
  <si>
    <t>BOARDMAN DALE JR</t>
  </si>
  <si>
    <t>BOARDMAN SELINA MCCALL</t>
  </si>
  <si>
    <t>252 OAKLAND AVENUE</t>
  </si>
  <si>
    <t>B300000004</t>
  </si>
  <si>
    <t>STYERS ZACHARY ROBERT</t>
  </si>
  <si>
    <t>BOGGS ELIZABETH KATELYN</t>
  </si>
  <si>
    <t>5358 US 601 N</t>
  </si>
  <si>
    <t>J600000022</t>
  </si>
  <si>
    <t>BISCARRI JOHN A TR</t>
  </si>
  <si>
    <t>RAMONA E BISCARRI IRREVOCABLE</t>
  </si>
  <si>
    <t>221 HOLBROOK AVE</t>
  </si>
  <si>
    <t>LK RONKONKOMA</t>
  </si>
  <si>
    <t>11779-1808</t>
  </si>
  <si>
    <t>C60000010002</t>
  </si>
  <si>
    <t>WILSON CARMEN NEGRETE</t>
  </si>
  <si>
    <t>259 CAVALIER WAY</t>
  </si>
  <si>
    <t>APT 101</t>
  </si>
  <si>
    <t>27215-8559</t>
  </si>
  <si>
    <t>C5130B0013</t>
  </si>
  <si>
    <t>BATTLES JEFFREY W</t>
  </si>
  <si>
    <t>BATTLES DIANE P</t>
  </si>
  <si>
    <t>191 DROKE CIR</t>
  </si>
  <si>
    <t>K300000027</t>
  </si>
  <si>
    <t>CARDWELL KENNETH RAY</t>
  </si>
  <si>
    <t>374 DAVIE ACADEMY RD</t>
  </si>
  <si>
    <t>27028-5130</t>
  </si>
  <si>
    <t>E9150B0033</t>
  </si>
  <si>
    <t>FALLS BETTY CARROLL</t>
  </si>
  <si>
    <t>110 SYCAMORE RIDGE DR</t>
  </si>
  <si>
    <t>B400000028</t>
  </si>
  <si>
    <t>SMITH MILDRED PREVETTE</t>
  </si>
  <si>
    <t>207 EDGEWOOD DRIVE</t>
  </si>
  <si>
    <t>I6140A0057</t>
  </si>
  <si>
    <t>SHIRK NEVIN</t>
  </si>
  <si>
    <t>K500000077</t>
  </si>
  <si>
    <t>ROBBINS VADA JANE</t>
  </si>
  <si>
    <t>ROBBINS BOBBY E</t>
  </si>
  <si>
    <t>411 WILL BOONE RD</t>
  </si>
  <si>
    <t>K500000036</t>
  </si>
  <si>
    <t>HORNE TIFFANY A</t>
  </si>
  <si>
    <t>260 TURRENTINE CHURCH RD</t>
  </si>
  <si>
    <t>G30000007207</t>
  </si>
  <si>
    <t>DAGENHART STEVEN</t>
  </si>
  <si>
    <t>PO BOX 5473</t>
  </si>
  <si>
    <t>28687-5473</t>
  </si>
  <si>
    <t>G30000007211</t>
  </si>
  <si>
    <t>K3050A0019</t>
  </si>
  <si>
    <t>GRIVAS JESSICA</t>
  </si>
  <si>
    <t>MINNIX JAMES DOUGLAS III</t>
  </si>
  <si>
    <t>138 CAROLINA AVE</t>
  </si>
  <si>
    <t>C60000010005</t>
  </si>
  <si>
    <t>DUNN WINONA GREGORY</t>
  </si>
  <si>
    <t>1205 NC HIGHWAY 801 N</t>
  </si>
  <si>
    <t>C60000010004</t>
  </si>
  <si>
    <t>E9150B0047</t>
  </si>
  <si>
    <t>LYTLE LARRY W</t>
  </si>
  <si>
    <t>LYTLE MARTHA S</t>
  </si>
  <si>
    <t>184 SYCAMORE RIDGE DR</t>
  </si>
  <si>
    <t>I6080A0021</t>
  </si>
  <si>
    <t>MCLEAN MATTHEW</t>
  </si>
  <si>
    <t>DUTY TAYLOR</t>
  </si>
  <si>
    <t>147 ARIEL CT</t>
  </si>
  <si>
    <t>I5110A0011</t>
  </si>
  <si>
    <t>STANLEY BERNICE</t>
  </si>
  <si>
    <t>STANLEY MATTHEW DEAN</t>
  </si>
  <si>
    <t>255 MOUNTVIEW DR</t>
  </si>
  <si>
    <t>E80000001308</t>
  </si>
  <si>
    <t>ADCOCK CHRISTOPHER D</t>
  </si>
  <si>
    <t>ADCOCK STEPHANIE MACBETH</t>
  </si>
  <si>
    <t>1898 UNDERPASS RD</t>
  </si>
  <si>
    <t>E900000507</t>
  </si>
  <si>
    <t>MALLORY KEVIN PATRICK TR &amp; MALLORY JANICE LYNN TR</t>
  </si>
  <si>
    <t>KEVIN P MALLORY REV TRUST</t>
  </si>
  <si>
    <t>117 AUGUSTA CT</t>
  </si>
  <si>
    <t>D9050B0038</t>
  </si>
  <si>
    <t>WOOTON MARGARET</t>
  </si>
  <si>
    <t>SLAPPEY SHARLA WOOTON</t>
  </si>
  <si>
    <t>2125 BERMUDA VLG</t>
  </si>
  <si>
    <t>I6080A0019</t>
  </si>
  <si>
    <t>VITAL FELIPE</t>
  </si>
  <si>
    <t>GOMEZ ARIEL EMILY</t>
  </si>
  <si>
    <t>135 ARIEL CT</t>
  </si>
  <si>
    <t>J5050B0041</t>
  </si>
  <si>
    <t>TREPANIER KAREN</t>
  </si>
  <si>
    <t>TREPANIER ANDREW</t>
  </si>
  <si>
    <t>153 CARRIAGE COVE CIR</t>
  </si>
  <si>
    <t>I5080B0022</t>
  </si>
  <si>
    <t>CARDAMONE NICHOLA JOSEPH</t>
  </si>
  <si>
    <t>CARDAMONE CINDY MARIE</t>
  </si>
  <si>
    <t>129 MARTIN LUTHER KING RD</t>
  </si>
  <si>
    <t>27028-8738</t>
  </si>
  <si>
    <t>H7120B0016</t>
  </si>
  <si>
    <t>HOLT JONATHAN</t>
  </si>
  <si>
    <t>HOLT ANN</t>
  </si>
  <si>
    <t>147 OLD DUTCH RD</t>
  </si>
  <si>
    <t>G90000000803</t>
  </si>
  <si>
    <t>MITCHELL DOUGLAS</t>
  </si>
  <si>
    <t>MITCHELL JOAN</t>
  </si>
  <si>
    <t>1496 PEOPLES CREEK RD</t>
  </si>
  <si>
    <t>G90000000805</t>
  </si>
  <si>
    <t>I5160A0028</t>
  </si>
  <si>
    <t>SMOOT DENNIS ASHLEY</t>
  </si>
  <si>
    <t>284 NEELY STREET</t>
  </si>
  <si>
    <t>F1030A0014</t>
  </si>
  <si>
    <t>ROSEMAN TERESA ELAINE</t>
  </si>
  <si>
    <t>ROSEMAN BRUCE MARTAN</t>
  </si>
  <si>
    <t>107 MOLLIE RD</t>
  </si>
  <si>
    <t>K300000025</t>
  </si>
  <si>
    <t>FREIBERG MARAH K</t>
  </si>
  <si>
    <t>GUCKAVAN MATTHEW</t>
  </si>
  <si>
    <t>388 DAVIE ACADEMY RD</t>
  </si>
  <si>
    <t>F80000011106A</t>
  </si>
  <si>
    <t>MYERS THOMAS KENT</t>
  </si>
  <si>
    <t>165 PEBBLE VALLEY WAY</t>
  </si>
  <si>
    <t>I300000026</t>
  </si>
  <si>
    <t>TRIVETTE MECHELLE LYNN</t>
  </si>
  <si>
    <t>293 BOONE FARM RD</t>
  </si>
  <si>
    <t>I30000002601</t>
  </si>
  <si>
    <t>G50000006203</t>
  </si>
  <si>
    <t>HENDRIX BOBBIE B</t>
  </si>
  <si>
    <t>PO BOX 1385</t>
  </si>
  <si>
    <t>J6090A0010</t>
  </si>
  <si>
    <t>DALTON N C</t>
  </si>
  <si>
    <t>J6090A0007</t>
  </si>
  <si>
    <t>M4120A0002</t>
  </si>
  <si>
    <t>REAVIS KEITH L</t>
  </si>
  <si>
    <t>REAVIS CYNTHIA WHITLEY</t>
  </si>
  <si>
    <t>973 GLADSTONE RD</t>
  </si>
  <si>
    <t>M4120A000101</t>
  </si>
  <si>
    <t>I4110A0015</t>
  </si>
  <si>
    <t>RIVERA FRANCISCO ANTONIO</t>
  </si>
  <si>
    <t>536 HOSPITAL STREET EXT</t>
  </si>
  <si>
    <t>K5150A0005</t>
  </si>
  <si>
    <t>157 HINKLE DR</t>
  </si>
  <si>
    <t>K5150A000505</t>
  </si>
  <si>
    <t>I4130H0027</t>
  </si>
  <si>
    <t>JOYNER SAMANTHA</t>
  </si>
  <si>
    <t>D8020A0001</t>
  </si>
  <si>
    <t>HOLTON ALEX JOSEPH</t>
  </si>
  <si>
    <t>HOLTON JENNIFER ABER</t>
  </si>
  <si>
    <t>337 IVY CIR</t>
  </si>
  <si>
    <t>H9080A0008</t>
  </si>
  <si>
    <t>RITTER LYNNE MARIE</t>
  </si>
  <si>
    <t>RITTER DANIEL LOUIS</t>
  </si>
  <si>
    <t>123 W ROLLINGMEADOW RD</t>
  </si>
  <si>
    <t>I5050A0025</t>
  </si>
  <si>
    <t>MELTON CHERYL</t>
  </si>
  <si>
    <t>190 CREEKSIDE DR</t>
  </si>
  <si>
    <t>G70000014503</t>
  </si>
  <si>
    <t>FRAZIER ROBERT M JR</t>
  </si>
  <si>
    <t>FRAZIER EVELYN G</t>
  </si>
  <si>
    <t>187 SONORA DRIVE</t>
  </si>
  <si>
    <t>K5090A0004</t>
  </si>
  <si>
    <t>M &amp; D PROPERTIES OF LEXINGTON</t>
  </si>
  <si>
    <t>260 BEECH RETREAT DRIVE</t>
  </si>
  <si>
    <t>E900000360</t>
  </si>
  <si>
    <t>CRANFORD ELTON DALE</t>
  </si>
  <si>
    <t>CRANFORD ASHLEY</t>
  </si>
  <si>
    <t>114 SCOTTSDALE DR</t>
  </si>
  <si>
    <t>E9150A0038</t>
  </si>
  <si>
    <t>KAKOURAS TERESA KIM HENDRIX</t>
  </si>
  <si>
    <t>164 TALWOOD DRIVE</t>
  </si>
  <si>
    <t>C500000025</t>
  </si>
  <si>
    <t>BAYNES LUSHION W</t>
  </si>
  <si>
    <t>BAYNES GAIL M</t>
  </si>
  <si>
    <t>2684 NC HIGHWAY 801 NORTH</t>
  </si>
  <si>
    <t>G8120B0009</t>
  </si>
  <si>
    <t>MYERS DEBORAH MONTGOMERY</t>
  </si>
  <si>
    <t>MYERS RICHARD EUGENE</t>
  </si>
  <si>
    <t>2083 NC HIGHWAY 801 S</t>
  </si>
  <si>
    <t>27006-7419</t>
  </si>
  <si>
    <t>G7040A0034</t>
  </si>
  <si>
    <t>J5170A0001</t>
  </si>
  <si>
    <t>EVERHART AMY BAILEY</t>
  </si>
  <si>
    <t>104 ELBERON CT</t>
  </si>
  <si>
    <t>E5020A0036</t>
  </si>
  <si>
    <t>MARION JAMES RONALD</t>
  </si>
  <si>
    <t>MARION SANDRA S</t>
  </si>
  <si>
    <t>144 CORNWALLIS DR</t>
  </si>
  <si>
    <t>F200000046</t>
  </si>
  <si>
    <t>WHITE JERRY FRANKLIN</t>
  </si>
  <si>
    <t>WHITE VIRGINIA BARKER</t>
  </si>
  <si>
    <t>892 RALPH RATLEDGE ROAD</t>
  </si>
  <si>
    <t>L30000002801</t>
  </si>
  <si>
    <t>SWAIM WESLEY</t>
  </si>
  <si>
    <t>SWAIM NORMA</t>
  </si>
  <si>
    <t>598 MARTIN LUTHER KING JR RD</t>
  </si>
  <si>
    <t>H300000020</t>
  </si>
  <si>
    <t>WEBB JOHNATHAN CLIFFORD</t>
  </si>
  <si>
    <t>WEBB COURTNEY DAWN</t>
  </si>
  <si>
    <t>2223 US HIGHWAY 64 W</t>
  </si>
  <si>
    <t>I1110B0015</t>
  </si>
  <si>
    <t>C7140A0072</t>
  </si>
  <si>
    <t>LITTLE DONALD JR</t>
  </si>
  <si>
    <t>LITTLE PATRICIA</t>
  </si>
  <si>
    <t>161 MORNING STAR DR</t>
  </si>
  <si>
    <t>I6080A0030</t>
  </si>
  <si>
    <t>KING TYRELL N</t>
  </si>
  <si>
    <t>SAULTERS-KING SAMANTHA ROSAKIA</t>
  </si>
  <si>
    <t>140 ARIEL CT</t>
  </si>
  <si>
    <t>K3050A0018</t>
  </si>
  <si>
    <t>TUCKER CHELSEA B</t>
  </si>
  <si>
    <t>ATWELL STEVEN</t>
  </si>
  <si>
    <t>150 CAROLINA AVE</t>
  </si>
  <si>
    <t>B200000040</t>
  </si>
  <si>
    <t>BELL LESLIE G</t>
  </si>
  <si>
    <t>BELL GLENDA S</t>
  </si>
  <si>
    <t>214 GUNTER LANE</t>
  </si>
  <si>
    <t>27028-4756</t>
  </si>
  <si>
    <t>K8100A0021</t>
  </si>
  <si>
    <t>B50000010001</t>
  </si>
  <si>
    <t>LANGFORD RICK</t>
  </si>
  <si>
    <t>2626 FARMINGTON RD</t>
  </si>
  <si>
    <t>N500000084</t>
  </si>
  <si>
    <t>MCDANIEL WILLIAM JAMES</t>
  </si>
  <si>
    <t>515 PINE RIDGE RD</t>
  </si>
  <si>
    <t>G500000014</t>
  </si>
  <si>
    <t>STEELE SHIRLEY SCOTT</t>
  </si>
  <si>
    <t>% VICKIE STEELE</t>
  </si>
  <si>
    <t>136 S ANGELL RD</t>
  </si>
  <si>
    <t>B50000010102</t>
  </si>
  <si>
    <t>DEHART MELISSA DAWN</t>
  </si>
  <si>
    <t>FLOOD JUSTIN ADAM</t>
  </si>
  <si>
    <t>2692 FARMINGTON RD</t>
  </si>
  <si>
    <t>B3020A0002</t>
  </si>
  <si>
    <t>ASHBURN HELEN LYNN</t>
  </si>
  <si>
    <t>LYNCH JESSE L</t>
  </si>
  <si>
    <t>131 CHILDRENS HOME RD</t>
  </si>
  <si>
    <t>B30000000611</t>
  </si>
  <si>
    <t>CLARK DARBY</t>
  </si>
  <si>
    <t>CLARK EDWARD W</t>
  </si>
  <si>
    <t>147 BOWMAN RD</t>
  </si>
  <si>
    <t>I4130D0016</t>
  </si>
  <si>
    <t>HORNER DUSTIN</t>
  </si>
  <si>
    <t>118 KINDER LN</t>
  </si>
  <si>
    <t>I4130D0015</t>
  </si>
  <si>
    <t>I300000025</t>
  </si>
  <si>
    <t>B7010A0009</t>
  </si>
  <si>
    <t>HOUBEN JAMES HERBERT</t>
  </si>
  <si>
    <t>HOUBEN GEORGANN HEDY GOSNELL</t>
  </si>
  <si>
    <t>164 SERENITY HILLS TRL</t>
  </si>
  <si>
    <t>G80000005602</t>
  </si>
  <si>
    <t>GENTRY GRANT M</t>
  </si>
  <si>
    <t>GENTRY KARLEY B</t>
  </si>
  <si>
    <t>5185 QUAIL FOREST DR</t>
  </si>
  <si>
    <t>27012-9893</t>
  </si>
  <si>
    <t>K5160A000203</t>
  </si>
  <si>
    <t>219 MCCULLOUGH RD</t>
  </si>
  <si>
    <t>H7120B0019</t>
  </si>
  <si>
    <t>BLACK WILLIAM DAVID</t>
  </si>
  <si>
    <t>BLACK MEGAN BROWN</t>
  </si>
  <si>
    <t>117 OLD DUTCH RD</t>
  </si>
  <si>
    <t>C7140A0082</t>
  </si>
  <si>
    <t>CARPENTER WILLIAM SCOTT</t>
  </si>
  <si>
    <t>111 MORNING STAR DR</t>
  </si>
  <si>
    <t>I6080A0033</t>
  </si>
  <si>
    <t>WADE JUSTIN</t>
  </si>
  <si>
    <t>126 ARIEL CT</t>
  </si>
  <si>
    <t>H600000027</t>
  </si>
  <si>
    <t>SWARTZENTRUBER HARVEY</t>
  </si>
  <si>
    <t>SWARTZENTRUBER LYNSEY</t>
  </si>
  <si>
    <t>2027 MILLING RD</t>
  </si>
  <si>
    <t>G7040A0067</t>
  </si>
  <si>
    <t>WEST BONNIE REICH</t>
  </si>
  <si>
    <t>114 DUNSMERE LN</t>
  </si>
  <si>
    <t>28117-8474</t>
  </si>
  <si>
    <t>J5050B0027</t>
  </si>
  <si>
    <t>SUDDETH ROBERT KYLE</t>
  </si>
  <si>
    <t>SUDDETH AMANDA</t>
  </si>
  <si>
    <t>158 CARRIAGE COVE CIR</t>
  </si>
  <si>
    <t>J4040E0002</t>
  </si>
  <si>
    <t>GOMEZ KEVIN NOE MARCIA</t>
  </si>
  <si>
    <t>ALVARADO NIXIA YOJANA ESPINAL</t>
  </si>
  <si>
    <t>214 E MAPLE AVE</t>
  </si>
  <si>
    <t>E900000091</t>
  </si>
  <si>
    <t>JENKINS IAN R</t>
  </si>
  <si>
    <t>JENKINS SARAH ELIZABETH</t>
  </si>
  <si>
    <t>133 KESWICK DR</t>
  </si>
  <si>
    <t>I400000038</t>
  </si>
  <si>
    <t>THE ANGELL REV LIV TRUST</t>
  </si>
  <si>
    <t>BOWENS ELSIE FAYE TRUSTEE</t>
  </si>
  <si>
    <t>276 MADISON RD</t>
  </si>
  <si>
    <t>E200000025</t>
  </si>
  <si>
    <t>COLEY JOHN H JR</t>
  </si>
  <si>
    <t>271 C V SMOOT LANE</t>
  </si>
  <si>
    <t>I5080E0006</t>
  </si>
  <si>
    <t>DICKINSON KATHY D</t>
  </si>
  <si>
    <t>106 OAK ST</t>
  </si>
  <si>
    <t>F7110A0010</t>
  </si>
  <si>
    <t>FARLEY JAMES C</t>
  </si>
  <si>
    <t>FARLEY ROKSOLANA</t>
  </si>
  <si>
    <t>187 LONGLEAF PINE DRIVE</t>
  </si>
  <si>
    <t>E8110B0006</t>
  </si>
  <si>
    <t>FOGG RICHARD C</t>
  </si>
  <si>
    <t>FOGG VONDA L RUSSELL</t>
  </si>
  <si>
    <t>PO BOX 256</t>
  </si>
  <si>
    <t>I5030A0044</t>
  </si>
  <si>
    <t>HELTON SAMUEL D</t>
  </si>
  <si>
    <t>HELTON BARBARA A</t>
  </si>
  <si>
    <t>124 COVENANT COVE DRIVE</t>
  </si>
  <si>
    <t>27028-2944</t>
  </si>
  <si>
    <t>H60000007107</t>
  </si>
  <si>
    <t>HENDRIX G VERNON SR</t>
  </si>
  <si>
    <t>HENDRIX PATTY F</t>
  </si>
  <si>
    <t>% VERNON HENDRIX JR</t>
  </si>
  <si>
    <t>132 FOREST DR</t>
  </si>
  <si>
    <t>27006-6659</t>
  </si>
  <si>
    <t>F80000007409</t>
  </si>
  <si>
    <t>LAWSON TERRY L</t>
  </si>
  <si>
    <t>LAWSON KELLY</t>
  </si>
  <si>
    <t>119 SADDLEBROOK DR</t>
  </si>
  <si>
    <t>E8110C0028</t>
  </si>
  <si>
    <t>SWEET ROBERT L</t>
  </si>
  <si>
    <t>146 WESTRIDGE RD</t>
  </si>
  <si>
    <t>K3120A0008</t>
  </si>
  <si>
    <t>WARREN ROBERT JOSEPH JR</t>
  </si>
  <si>
    <t>380 JUNCTION RD</t>
  </si>
  <si>
    <t>G400000041</t>
  </si>
  <si>
    <t>WILLIAMS LANDWORKS INC</t>
  </si>
  <si>
    <t>F3130A0043</t>
  </si>
  <si>
    <t>SMITH TIMOTHY LAMAR</t>
  </si>
  <si>
    <t>214 DANNER RD</t>
  </si>
  <si>
    <t>I1120A0048</t>
  </si>
  <si>
    <t>MAYHLE JAMES F</t>
  </si>
  <si>
    <t>MAYHLE DARLA J</t>
  </si>
  <si>
    <t>176 KENNEL RD</t>
  </si>
  <si>
    <t>WAYNESBURG</t>
  </si>
  <si>
    <t>15370-2606</t>
  </si>
  <si>
    <t>I1120A0047</t>
  </si>
  <si>
    <t>D9050B0020</t>
  </si>
  <si>
    <t>CARTER MICHAEL</t>
  </si>
  <si>
    <t>17812 JOHN CONNOR RD</t>
  </si>
  <si>
    <t>28031-7659</t>
  </si>
  <si>
    <t>I5170C0011</t>
  </si>
  <si>
    <t>BEUTER LYNN HOPPING</t>
  </si>
  <si>
    <t>108 E BRICK WALK CT</t>
  </si>
  <si>
    <t>F300000089</t>
  </si>
  <si>
    <t>RAMIREZ HERNANDEZ</t>
  </si>
  <si>
    <t>275 DANNER RD</t>
  </si>
  <si>
    <t>E900000725</t>
  </si>
  <si>
    <t>SEDDON DAVID ALAN</t>
  </si>
  <si>
    <t>SEDDON ANDREA VALERIE</t>
  </si>
  <si>
    <t>109 CAUDLE MEADOWS DR</t>
  </si>
  <si>
    <t>D100000021</t>
  </si>
  <si>
    <t>CULLER BRENDA</t>
  </si>
  <si>
    <t>2298 SANDY SPRINGS CHURCH RD</t>
  </si>
  <si>
    <t>27028-7463</t>
  </si>
  <si>
    <t>J4140A0027</t>
  </si>
  <si>
    <t>GRIGSBY JAMES ROBERT TR &amp; GRIGSBY BONNIE AIKEN TR</t>
  </si>
  <si>
    <t>JAMES R &amp; BONNIE A GRIGSBY TRU</t>
  </si>
  <si>
    <t>307 OAK MEADOW LN</t>
  </si>
  <si>
    <t>27028-5505</t>
  </si>
  <si>
    <t>E200000044</t>
  </si>
  <si>
    <t>TAYLOR SHAWN M</t>
  </si>
  <si>
    <t>10600 BEAVER BRIDGE RD</t>
  </si>
  <si>
    <t>23838-1417</t>
  </si>
  <si>
    <t>M4050B0015</t>
  </si>
  <si>
    <t>FRYE ALAN G JR</t>
  </si>
  <si>
    <t>FRYE KAITLIN J</t>
  </si>
  <si>
    <t>126 STONEWOOD ROAD</t>
  </si>
  <si>
    <t>J20000006601</t>
  </si>
  <si>
    <t>KEATON BRENDA K</t>
  </si>
  <si>
    <t>268 MILLING RD APT 319</t>
  </si>
  <si>
    <t>27028-2785</t>
  </si>
  <si>
    <t>B3020A0003</t>
  </si>
  <si>
    <t>TUTTEROW MICHAEL EUGENE</t>
  </si>
  <si>
    <t>TUTTEROW JAMES THOMAS</t>
  </si>
  <si>
    <t>5211 US HIGHWAY 601 N</t>
  </si>
  <si>
    <t>D7020C0008</t>
  </si>
  <si>
    <t>WEAVER DOUGLAS B</t>
  </si>
  <si>
    <t>WEAVER KIMBERLY T</t>
  </si>
  <si>
    <t>143 NORTH HIDDENBROOKE DRIVE</t>
  </si>
  <si>
    <t>E900000545</t>
  </si>
  <si>
    <t>E900000025</t>
  </si>
  <si>
    <t>FLEMING JOAN ALYSON</t>
  </si>
  <si>
    <t>FLEMING DAVID WAYNE</t>
  </si>
  <si>
    <t>819 MEADOWSTONE DR</t>
  </si>
  <si>
    <t>J200000066</t>
  </si>
  <si>
    <t>KEATON BRENDA KAY ETAL</t>
  </si>
  <si>
    <t>KEATON JUSTIN</t>
  </si>
  <si>
    <t>268 MILLING RD APT 3A</t>
  </si>
  <si>
    <t>27028-2732</t>
  </si>
  <si>
    <t>K5060A0012</t>
  </si>
  <si>
    <t>ABBOTT SANDRA SHORE</t>
  </si>
  <si>
    <t>VAUGHN DEBRA L</t>
  </si>
  <si>
    <t>125 E CHINABERRY CT</t>
  </si>
  <si>
    <t>H500000002</t>
  </si>
  <si>
    <t>MCMAHAN LILLIAN A</t>
  </si>
  <si>
    <t>27105-5031</t>
  </si>
  <si>
    <t>D9020A0016</t>
  </si>
  <si>
    <t>LOIACONO GRACE A</t>
  </si>
  <si>
    <t>480 BING CROSBY BOULEVARD</t>
  </si>
  <si>
    <t>C700000097</t>
  </si>
  <si>
    <t>EVANS DONNA GAIL</t>
  </si>
  <si>
    <t>WALKER AARON LEE</t>
  </si>
  <si>
    <t>I4140A0020</t>
  </si>
  <si>
    <t>BAKER SHAWN T</t>
  </si>
  <si>
    <t>BAKER LOLA</t>
  </si>
  <si>
    <t>132 GREY ST</t>
  </si>
  <si>
    <t>L30000001401</t>
  </si>
  <si>
    <t>BONDS JESSE</t>
  </si>
  <si>
    <t>343 LITTLE EGYPT ROAD</t>
  </si>
  <si>
    <t>E20000002501</t>
  </si>
  <si>
    <t>N600000062</t>
  </si>
  <si>
    <t>BOST ANGELIA FEASTER</t>
  </si>
  <si>
    <t>3806 US HWY 601 S</t>
  </si>
  <si>
    <t>E100000017</t>
  </si>
  <si>
    <t>VEST TIMOTHY LEE SR</t>
  </si>
  <si>
    <t>VEST MARSHA LYNN</t>
  </si>
  <si>
    <t>506 TURKEY FOOT RD</t>
  </si>
  <si>
    <t>27028-5934</t>
  </si>
  <si>
    <t>C8020A0011</t>
  </si>
  <si>
    <t>SP FDS LLC</t>
  </si>
  <si>
    <t>4004 BARRETT DR STE 106</t>
  </si>
  <si>
    <t>27609-6620</t>
  </si>
  <si>
    <t>H60000000501</t>
  </si>
  <si>
    <t>REAVIS MARY R</t>
  </si>
  <si>
    <t>1425 MILLING RD</t>
  </si>
  <si>
    <t>M4130A0039</t>
  </si>
  <si>
    <t>HARRIS REBECCA R</t>
  </si>
  <si>
    <t>HILTON NOLAN R</t>
  </si>
  <si>
    <t>133 RUFFIN ST</t>
  </si>
  <si>
    <t>C7140A0092</t>
  </si>
  <si>
    <t>CHANEY CHARLES CLIFTON</t>
  </si>
  <si>
    <t>PARDUE-CHANEY CHERYL J</t>
  </si>
  <si>
    <t>144 MORNING STAR DR</t>
  </si>
  <si>
    <t>M5020A0009</t>
  </si>
  <si>
    <t>PERKINS CHELSEA</t>
  </si>
  <si>
    <t>PERKINS AUSTIN</t>
  </si>
  <si>
    <t>348 MICHAELS RD</t>
  </si>
  <si>
    <t>F800000108</t>
  </si>
  <si>
    <t>HOKE JAMES EARL</t>
  </si>
  <si>
    <t>F800000104</t>
  </si>
  <si>
    <t>G700000076</t>
  </si>
  <si>
    <t>2500 HUNTINGTON WOODS DR</t>
  </si>
  <si>
    <t>27103-6633</t>
  </si>
  <si>
    <t>C7140A0079</t>
  </si>
  <si>
    <t>BROSE DANIEL</t>
  </si>
  <si>
    <t>CHERNY LYNNETTE</t>
  </si>
  <si>
    <t>129 MORNING STAR DR</t>
  </si>
  <si>
    <t>D8100D0025</t>
  </si>
  <si>
    <t>B&amp;G COLEMAN PROPERTIES LLC</t>
  </si>
  <si>
    <t>269 RIVERBEND DR</t>
  </si>
  <si>
    <t>D9050B0045</t>
  </si>
  <si>
    <t>GRAVES WILLIAM HUGHES III</t>
  </si>
  <si>
    <t>NYBAKKEN ELIZABETH ANN</t>
  </si>
  <si>
    <t>2106 BERMUDA VLG</t>
  </si>
  <si>
    <t>N5010C0008</t>
  </si>
  <si>
    <t>N5080A0024</t>
  </si>
  <si>
    <t>E500000026</t>
  </si>
  <si>
    <t>REGENCY OAKS LLC</t>
  </si>
  <si>
    <t>2533 REYNOLDS DRIVE</t>
  </si>
  <si>
    <t>K5150A0014</t>
  </si>
  <si>
    <t>1839 US HIGHWAY 601 S</t>
  </si>
  <si>
    <t>J7080A0003</t>
  </si>
  <si>
    <t>SMITH TRACY BROWN</t>
  </si>
  <si>
    <t>341 SPRING ST</t>
  </si>
  <si>
    <t>J100000023</t>
  </si>
  <si>
    <t>JOHNSON DAVID A</t>
  </si>
  <si>
    <t>JOHNSON EDITH STROUD</t>
  </si>
  <si>
    <t>3875 S RIVER CHURCH RD</t>
  </si>
  <si>
    <t>27054-9571</t>
  </si>
  <si>
    <t>I1110D0006</t>
  </si>
  <si>
    <t>ALLISON AARON</t>
  </si>
  <si>
    <t>128 OAKRIDGE LN</t>
  </si>
  <si>
    <t>E8110A0005</t>
  </si>
  <si>
    <t>SPENCER DUANE BRENNAN</t>
  </si>
  <si>
    <t>SPENCER LAUREN</t>
  </si>
  <si>
    <t>165 WESTRIDGE RD</t>
  </si>
  <si>
    <t>H4140B0007</t>
  </si>
  <si>
    <t>FARRIOR VICKIE L</t>
  </si>
  <si>
    <t>450 COUNTRY LN</t>
  </si>
  <si>
    <t>H4140B0011</t>
  </si>
  <si>
    <t>I5070D0017</t>
  </si>
  <si>
    <t>H30000002002</t>
  </si>
  <si>
    <t>WILSON DENA F</t>
  </si>
  <si>
    <t>2223 US HIGHWAY 64 WEST</t>
  </si>
  <si>
    <t>E900000271</t>
  </si>
  <si>
    <t>HUSTON NICOLAS</t>
  </si>
  <si>
    <t>120 GRASSLANDS CT</t>
  </si>
  <si>
    <t>G500000135</t>
  </si>
  <si>
    <t>SPEAKS CAROLEEN W</t>
  </si>
  <si>
    <t>STALEY RENE SPEAKS</t>
  </si>
  <si>
    <t>2030 US HIGHWAY 158</t>
  </si>
  <si>
    <t>J5010D0017</t>
  </si>
  <si>
    <t>FRANCES FREDERIC MIGUEL JR</t>
  </si>
  <si>
    <t>286 CHARLESTON RIDGE DR</t>
  </si>
  <si>
    <t>D8070D0022</t>
  </si>
  <si>
    <t>KOUFMAN JAMIE</t>
  </si>
  <si>
    <t>177 FAIRWAY DR</t>
  </si>
  <si>
    <t>I800000029</t>
  </si>
  <si>
    <t>TANDY MATTHEW</t>
  </si>
  <si>
    <t>TANDY AMY</t>
  </si>
  <si>
    <t>3331 NC HIGHWAY 801 S</t>
  </si>
  <si>
    <t>E700000050</t>
  </si>
  <si>
    <t>PARDUE DAVID RAY</t>
  </si>
  <si>
    <t>146 PARDUE LOOP</t>
  </si>
  <si>
    <t>H600000010</t>
  </si>
  <si>
    <t>HATLEY LUCAS H</t>
  </si>
  <si>
    <t>HATLEY LAUREN B</t>
  </si>
  <si>
    <t>842 SAIN RD</t>
  </si>
  <si>
    <t>D7080A0049</t>
  </si>
  <si>
    <t>LITTLE JOSHUA R</t>
  </si>
  <si>
    <t>LITTLE KRISTEN C</t>
  </si>
  <si>
    <t>217 LONGWOOD DR</t>
  </si>
  <si>
    <t>L5020A000701</t>
  </si>
  <si>
    <t>ROBERSON PEGGY SUE</t>
  </si>
  <si>
    <t>120 HOLY CROSS CHURCH RD</t>
  </si>
  <si>
    <t>27028-6660</t>
  </si>
  <si>
    <t>G500000120</t>
  </si>
  <si>
    <t>WHITAKER LONNIE R</t>
  </si>
  <si>
    <t>E900000276</t>
  </si>
  <si>
    <t>KIMMICH RUSSELL DEAN</t>
  </si>
  <si>
    <t>GLASGOW AMY WITNER</t>
  </si>
  <si>
    <t>137 GRASSLANDS CT</t>
  </si>
  <si>
    <t>I5080D0009</t>
  </si>
  <si>
    <t>JOHNSON GWEN EVERMAN</t>
  </si>
  <si>
    <t>JOHNSON DERWOOD</t>
  </si>
  <si>
    <t>161 OAK ST</t>
  </si>
  <si>
    <t>27028-2219</t>
  </si>
  <si>
    <t>J6100B0011</t>
  </si>
  <si>
    <t>CLEARY BARBARA</t>
  </si>
  <si>
    <t>G9100A0007</t>
  </si>
  <si>
    <t>WILLOUGHBY BELINDA P</t>
  </si>
  <si>
    <t>118 SUMMER SWEET DR</t>
  </si>
  <si>
    <t>L60000000606</t>
  </si>
  <si>
    <t>MILLER KRISTI M</t>
  </si>
  <si>
    <t>HOWELL RUDY H</t>
  </si>
  <si>
    <t>756 FAIRFIELD ROAD</t>
  </si>
  <si>
    <t>K5160A0001</t>
  </si>
  <si>
    <t>SUMNER DAVID N</t>
  </si>
  <si>
    <t>PREVO SHIRLEY C</t>
  </si>
  <si>
    <t>215 MCCULLOUGH RD</t>
  </si>
  <si>
    <t>J4040F0008</t>
  </si>
  <si>
    <t>CF KL ASSETS 2019-2LLC</t>
  </si>
  <si>
    <t>320 N SANGAMON ST</t>
  </si>
  <si>
    <t>STE 1275</t>
  </si>
  <si>
    <t>J4040F000605</t>
  </si>
  <si>
    <t>J5010D0128</t>
  </si>
  <si>
    <t>CF KL ASSETS 2019-3 LLC</t>
  </si>
  <si>
    <t>C300000104</t>
  </si>
  <si>
    <t>GODBEY CHRISTOPHER ERIC</t>
  </si>
  <si>
    <t>L70000003302</t>
  </si>
  <si>
    <t>HENDRIX RICHARD B</t>
  </si>
  <si>
    <t>731 RIVERVIEW RD</t>
  </si>
  <si>
    <t>K8090A0006</t>
  </si>
  <si>
    <t>ROTHFUSS DENNIS R</t>
  </si>
  <si>
    <t>ROTHFUSS DONICE L</t>
  </si>
  <si>
    <t>169 CARTERS RIDGE RD</t>
  </si>
  <si>
    <t>E70000013608</t>
  </si>
  <si>
    <t>CHRISTENSEN HAROLD T</t>
  </si>
  <si>
    <t>CHRISTENSEN MARY LOU</t>
  </si>
  <si>
    <t>172 WELLINGTON CT</t>
  </si>
  <si>
    <t>L70000003202</t>
  </si>
  <si>
    <t>HENDRIX RICHARD BARRY</t>
  </si>
  <si>
    <t>G5100A0005</t>
  </si>
  <si>
    <t>SCOTT JOHN C</t>
  </si>
  <si>
    <t>SCOTT MARTHA A</t>
  </si>
  <si>
    <t>226 SOUTH ANGELL ROAD</t>
  </si>
  <si>
    <t>J5160C0001</t>
  </si>
  <si>
    <t>WILLIAMS BRADLEY</t>
  </si>
  <si>
    <t>181 RANDOM ROAD</t>
  </si>
  <si>
    <t>N5010D0004</t>
  </si>
  <si>
    <t>STOCKNER ROGER PRESTON</t>
  </si>
  <si>
    <t>213 CREPE MYRTLE LN</t>
  </si>
  <si>
    <t>27028-4138</t>
  </si>
  <si>
    <t>L500000071</t>
  </si>
  <si>
    <t>SCHMUCKER DANIEL</t>
  </si>
  <si>
    <t>909 AXMANN DR</t>
  </si>
  <si>
    <t>29625-5028</t>
  </si>
  <si>
    <t>G500000113</t>
  </si>
  <si>
    <t>PLATT CRAIG A</t>
  </si>
  <si>
    <t>186 MCCLAMROCK RD</t>
  </si>
  <si>
    <t>H4130A0066</t>
  </si>
  <si>
    <t>FAIRCHILD TIMOTHY G</t>
  </si>
  <si>
    <t>FAIRCHILD MARIA</t>
  </si>
  <si>
    <t>PO BOX 1282</t>
  </si>
  <si>
    <t>27285-1282</t>
  </si>
  <si>
    <t>J4050D0006</t>
  </si>
  <si>
    <t>MCCLAMROCK TONI</t>
  </si>
  <si>
    <t>2228 SHEFFIELD RD</t>
  </si>
  <si>
    <t>28634-9034</t>
  </si>
  <si>
    <t>J700000084</t>
  </si>
  <si>
    <t>REAVES TERESA</t>
  </si>
  <si>
    <t>REAVES CRAIG</t>
  </si>
  <si>
    <t>223 PASO LN</t>
  </si>
  <si>
    <t>H30000005501</t>
  </si>
  <si>
    <t>IJAMES WILLIAM E SR</t>
  </si>
  <si>
    <t>2131 US HIGHWAY 64 W</t>
  </si>
  <si>
    <t>H30000005601</t>
  </si>
  <si>
    <t>IJAMES WILLIAM E</t>
  </si>
  <si>
    <t>K8100A0008</t>
  </si>
  <si>
    <t>GATE CITY MANAGEMENT LLC</t>
  </si>
  <si>
    <t>27310-0760</t>
  </si>
  <si>
    <t>L60000000815</t>
  </si>
  <si>
    <t>H4190A000302</t>
  </si>
  <si>
    <t>GREENTREE REAL ESTATE LLC</t>
  </si>
  <si>
    <t>I5030A0019</t>
  </si>
  <si>
    <t>KAUFFMAN RYAN</t>
  </si>
  <si>
    <t>KAUFFMAN SHANNON</t>
  </si>
  <si>
    <t>D20000003010</t>
  </si>
  <si>
    <t>MYERS WALTER GLENN JR</t>
  </si>
  <si>
    <t>MYERS BETTY JEAN</t>
  </si>
  <si>
    <t>561 DUARD REAVIS RD</t>
  </si>
  <si>
    <t>L60000000505</t>
  </si>
  <si>
    <t>MARTIN JAMES</t>
  </si>
  <si>
    <t>KACEREK JENNIFER</t>
  </si>
  <si>
    <t>146 WILL BOONE RD</t>
  </si>
  <si>
    <t>G50000002302</t>
  </si>
  <si>
    <t>GRANT RHONDA SMOOT</t>
  </si>
  <si>
    <t>219 MAIN CHURCH ROAD</t>
  </si>
  <si>
    <t>L60000004501</t>
  </si>
  <si>
    <t>KARRIKER LANE P</t>
  </si>
  <si>
    <t>KARRIKER JILL M</t>
  </si>
  <si>
    <t>5940 NC HWY 801 SOUTH</t>
  </si>
  <si>
    <t>J5150C0001</t>
  </si>
  <si>
    <t>LONG ANITA P</t>
  </si>
  <si>
    <t>263 SOUTHWOOD DR</t>
  </si>
  <si>
    <t>K800000010</t>
  </si>
  <si>
    <t>CARTER RANDALL KEITH</t>
  </si>
  <si>
    <t>308 LYDIA LANE</t>
  </si>
  <si>
    <t>27006-7281</t>
  </si>
  <si>
    <t>L80000003002</t>
  </si>
  <si>
    <t>K800000015</t>
  </si>
  <si>
    <t>K8090A0020</t>
  </si>
  <si>
    <t>K8090A0003</t>
  </si>
  <si>
    <t>E700000175</t>
  </si>
  <si>
    <t>K8090A0001</t>
  </si>
  <si>
    <t>E70000012703</t>
  </si>
  <si>
    <t>K8090A0022</t>
  </si>
  <si>
    <t>M4130A0030</t>
  </si>
  <si>
    <t>ESTRADA RAUL OLIVA</t>
  </si>
  <si>
    <t>ORTIZ YESSY ISABEL ZELAYA</t>
  </si>
  <si>
    <t>519 BETHLEHEM RD</t>
  </si>
  <si>
    <t>28677-1627</t>
  </si>
  <si>
    <t>J5050B0042</t>
  </si>
  <si>
    <t>ALBERT FRANCIS O</t>
  </si>
  <si>
    <t>BERTHE-ALBERT DIATA</t>
  </si>
  <si>
    <t>157 CARRIAGE COVE CIR</t>
  </si>
  <si>
    <t>D9050B0018</t>
  </si>
  <si>
    <t>HUGENSCHMIDT JAMES</t>
  </si>
  <si>
    <t>HUGENSCHMIDT MARY</t>
  </si>
  <si>
    <t>3304 BERMUDA VLG</t>
  </si>
  <si>
    <t>B30000003108</t>
  </si>
  <si>
    <t>CABRERA LEVI ANGULO</t>
  </si>
  <si>
    <t>189 CHILDRENS HOME RD</t>
  </si>
  <si>
    <t>N50000002405</t>
  </si>
  <si>
    <t>RIDDLE BILLY S JR</t>
  </si>
  <si>
    <t>RIDDLE ALEXANDRA LYNN</t>
  </si>
  <si>
    <t>8702 KARIBUNI DR</t>
  </si>
  <si>
    <t>28173-8439</t>
  </si>
  <si>
    <t>G10000002901</t>
  </si>
  <si>
    <t>YOUNG JEFFERY PAUL</t>
  </si>
  <si>
    <t>PO BOX 17906</t>
  </si>
  <si>
    <t>NATCHEZ</t>
  </si>
  <si>
    <t>39122-7906</t>
  </si>
  <si>
    <t>F800000149</t>
  </si>
  <si>
    <t>CONNELLY KELLY P</t>
  </si>
  <si>
    <t>1215 UNDERPASS RD</t>
  </si>
  <si>
    <t>F400000024</t>
  </si>
  <si>
    <t>AUSTIN ANDREW DAVIS</t>
  </si>
  <si>
    <t>AUSTIN EMILY WATSON</t>
  </si>
  <si>
    <t>775 CANA RD</t>
  </si>
  <si>
    <t>F400000025</t>
  </si>
  <si>
    <t>C8010A0068</t>
  </si>
  <si>
    <t>MIDKIFF BECKY</t>
  </si>
  <si>
    <t>118 LAKESIDE XING</t>
  </si>
  <si>
    <t>E8140A0003</t>
  </si>
  <si>
    <t>KANEY TIMOTHY KEITH</t>
  </si>
  <si>
    <t>142 SPRINGFIELD DR</t>
  </si>
  <si>
    <t>H4130A0099</t>
  </si>
  <si>
    <t>KRAMER SAMANTHA</t>
  </si>
  <si>
    <t>M5070A0016</t>
  </si>
  <si>
    <t>KRUTH CYNTHIA ANN</t>
  </si>
  <si>
    <t>KRUTH AARON S</t>
  </si>
  <si>
    <t>212 EDGEWOOD CIR</t>
  </si>
  <si>
    <t>K3120A0006</t>
  </si>
  <si>
    <t>RUSHING ROLLAND IVAN DAVID</t>
  </si>
  <si>
    <t>RUSHING PAMELA D</t>
  </si>
  <si>
    <t>400 JUNCTION RD</t>
  </si>
  <si>
    <t>H7030A0026</t>
  </si>
  <si>
    <t>RANDLEMAN RANDY</t>
  </si>
  <si>
    <t>167 AUSTINE LN</t>
  </si>
  <si>
    <t>A70000000101</t>
  </si>
  <si>
    <t>BLACKBURN EARLY WILLIAM JR</t>
  </si>
  <si>
    <t>BLACKBURN AUDREY WALKER</t>
  </si>
  <si>
    <t>558 SANDPIT RD</t>
  </si>
  <si>
    <t>C8010A0172</t>
  </si>
  <si>
    <t>MORRIS GREGORY KEVIN</t>
  </si>
  <si>
    <t>C8010A0179</t>
  </si>
  <si>
    <t>REAGAN SUSAN</t>
  </si>
  <si>
    <t>6100 MUIRFIELD DR</t>
  </si>
  <si>
    <t>27410-9069</t>
  </si>
  <si>
    <t>D7020B0006</t>
  </si>
  <si>
    <t>222 BRENTWOOD DR</t>
  </si>
  <si>
    <t>E70000006516</t>
  </si>
  <si>
    <t>M5060B0026</t>
  </si>
  <si>
    <t>BUCHIN RICHARD C</t>
  </si>
  <si>
    <t>BUCHIN THERESA</t>
  </si>
  <si>
    <t>2696 US HIGHWAY 601 S</t>
  </si>
  <si>
    <t>D700000032</t>
  </si>
  <si>
    <t>BUCHIN THERESA N</t>
  </si>
  <si>
    <t>K600000031</t>
  </si>
  <si>
    <t>MALTON JAMES R</t>
  </si>
  <si>
    <t>MALTON ALICE A</t>
  </si>
  <si>
    <t>106 EMERALD POINT LN</t>
  </si>
  <si>
    <t>28117-5823</t>
  </si>
  <si>
    <t>D30000005601</t>
  </si>
  <si>
    <t>HURSH SAMUEL R</t>
  </si>
  <si>
    <t>HURSH EMMA J</t>
  </si>
  <si>
    <t>110 ROSEWOOD DR</t>
  </si>
  <si>
    <t>27127-9254</t>
  </si>
  <si>
    <t>G10000003101</t>
  </si>
  <si>
    <t>PARSONS RONALD D</t>
  </si>
  <si>
    <t>399 GUILFORD RD</t>
  </si>
  <si>
    <t>I5050D0015</t>
  </si>
  <si>
    <t>MARTINEZ ABEL</t>
  </si>
  <si>
    <t>MARTINEZ MIRIAM ISABEL</t>
  </si>
  <si>
    <t>M4050B0004</t>
  </si>
  <si>
    <t>AMMERMAN JEFFERY ALLEN</t>
  </si>
  <si>
    <t>AMMERMAN HOLLY FELISHIA</t>
  </si>
  <si>
    <t>K8100A0017</t>
  </si>
  <si>
    <t>MARTIN BRYAN J</t>
  </si>
  <si>
    <t>MARTIN BARBIE</t>
  </si>
  <si>
    <t>114 GLORY CT</t>
  </si>
  <si>
    <t>F3130A0035</t>
  </si>
  <si>
    <t>DEBLASIO SALLIE K</t>
  </si>
  <si>
    <t>177 PEPPERSTONE DR</t>
  </si>
  <si>
    <t>K8100A0016</t>
  </si>
  <si>
    <t>114 GLORY COURT</t>
  </si>
  <si>
    <t>H7020A0025</t>
  </si>
  <si>
    <t>ALLGOOD JACQUELYN T</t>
  </si>
  <si>
    <t>H7030A0020</t>
  </si>
  <si>
    <t>SCARBRO ANGELA LEIGH</t>
  </si>
  <si>
    <t>MARTINEZ SARITA ANNA-MARIA</t>
  </si>
  <si>
    <t>111 AUSTINE LN</t>
  </si>
  <si>
    <t>I5030A0030</t>
  </si>
  <si>
    <t>HNL INVESTMENTS LLC</t>
  </si>
  <si>
    <t>1204 MAPLE RIDGE DR</t>
  </si>
  <si>
    <t>27217-9041</t>
  </si>
  <si>
    <t>I5070B001301</t>
  </si>
  <si>
    <t>WALL JACK DENNY</t>
  </si>
  <si>
    <t>109 LAKEVIEW DR</t>
  </si>
  <si>
    <t>N5010C0025</t>
  </si>
  <si>
    <t>PEEPLES ALEXANDER KELLY</t>
  </si>
  <si>
    <t>PEEPLES MORGAN LEANN</t>
  </si>
  <si>
    <t>PO BOX 1064</t>
  </si>
  <si>
    <t>27014-1064</t>
  </si>
  <si>
    <t>I5080E0015</t>
  </si>
  <si>
    <t>INSPIRE HOME INVESTMENT &amp; MANAGEMENT LLC</t>
  </si>
  <si>
    <t>E8100B0011</t>
  </si>
  <si>
    <t>DRISCOLL ROBERT W JR</t>
  </si>
  <si>
    <t>178 OAKBROOK DR</t>
  </si>
  <si>
    <t>I4050A0008</t>
  </si>
  <si>
    <t>SANKUS STEVEN</t>
  </si>
  <si>
    <t>SANKUS JENNIFER NOLAN</t>
  </si>
  <si>
    <t>217 WANDERING LN</t>
  </si>
  <si>
    <t>J6050B0001</t>
  </si>
  <si>
    <t>DYER JAMES H TR &amp; DYER JANICE G TR</t>
  </si>
  <si>
    <t>JAMES &amp; JANICE DYER REV TR</t>
  </si>
  <si>
    <t>D8090B0007</t>
  </si>
  <si>
    <t>HOTHAM ROBERT TR &amp; HOTHAM BERTHA MARIA TR</t>
  </si>
  <si>
    <t>HOTHAM LIVING TRUST</t>
  </si>
  <si>
    <t>875 RIVERBEND DR</t>
  </si>
  <si>
    <t>J5030A0034</t>
  </si>
  <si>
    <t>FARLEY THEODORE ALAN JR</t>
  </si>
  <si>
    <t>FARLEY PATRICIA ANN</t>
  </si>
  <si>
    <t>316 E LAKE DR</t>
  </si>
  <si>
    <t>27028-2651</t>
  </si>
  <si>
    <t>E300000033</t>
  </si>
  <si>
    <t>WALLER JAMES DYLAN</t>
  </si>
  <si>
    <t>3601 US HIGHWAY 601 N</t>
  </si>
  <si>
    <t>J100000029</t>
  </si>
  <si>
    <t>K5090A000802</t>
  </si>
  <si>
    <t>SHOEMAKER ROBERT</t>
  </si>
  <si>
    <t>337 HURON LN</t>
  </si>
  <si>
    <t>HOSCHTON</t>
  </si>
  <si>
    <t>30548-4536</t>
  </si>
  <si>
    <t>C70000003603</t>
  </si>
  <si>
    <t>JONES CHRIS</t>
  </si>
  <si>
    <t>174 PARTRIDGE LN</t>
  </si>
  <si>
    <t>B500000086</t>
  </si>
  <si>
    <t>KELLEY PHILLIP D JR</t>
  </si>
  <si>
    <t>KELLEY LYNNE S</t>
  </si>
  <si>
    <t>498 PINEVILLE RD</t>
  </si>
  <si>
    <t>B500000036</t>
  </si>
  <si>
    <t>B50000004701</t>
  </si>
  <si>
    <t>B500000047</t>
  </si>
  <si>
    <t>I80000000802</t>
  </si>
  <si>
    <t>F20000003202</t>
  </si>
  <si>
    <t>CLEARY PATRICIA B</t>
  </si>
  <si>
    <t>4152 WALKER RD</t>
  </si>
  <si>
    <t>28211-1518</t>
  </si>
  <si>
    <t>L500000050</t>
  </si>
  <si>
    <t>WILLIAMS BRIAN R</t>
  </si>
  <si>
    <t>J6050C0005</t>
  </si>
  <si>
    <t>ALBON STEPHEN W</t>
  </si>
  <si>
    <t>ALBON DIANE J</t>
  </si>
  <si>
    <t>PO BOX 693</t>
  </si>
  <si>
    <t>27014-0693</t>
  </si>
  <si>
    <t>J7050B000901</t>
  </si>
  <si>
    <t>BARNES KAREN BURT</t>
  </si>
  <si>
    <t>153 FULTON RD</t>
  </si>
  <si>
    <t>I5120A0036</t>
  </si>
  <si>
    <t>SEELBACH LYNDA KAYE</t>
  </si>
  <si>
    <t>325 REBECCA AVE</t>
  </si>
  <si>
    <t>27295-9895</t>
  </si>
  <si>
    <t>J5010C0027</t>
  </si>
  <si>
    <t>RHYNEHARDT PAULETTE FOSTER</t>
  </si>
  <si>
    <t>J10000001505</t>
  </si>
  <si>
    <t>BENFIELD JOHNNY EUGENE SR</t>
  </si>
  <si>
    <t>BENFIELD PATRICIA DIANE MOOSE</t>
  </si>
  <si>
    <t>M5070A0023</t>
  </si>
  <si>
    <t>MATTHEWS DANIEL TODD</t>
  </si>
  <si>
    <t>J800000020</t>
  </si>
  <si>
    <t>LANIER JOE DEAN ETAL</t>
  </si>
  <si>
    <t>K10000001501</t>
  </si>
  <si>
    <t>CARTNER RODNEY CRAIG</t>
  </si>
  <si>
    <t>CARTNER WANDA GAITHER</t>
  </si>
  <si>
    <t>160 STROUD MILL RD</t>
  </si>
  <si>
    <t>L60000006401</t>
  </si>
  <si>
    <t>HELLARD JUAN STEVEN</t>
  </si>
  <si>
    <t>321 HOMESLY RD</t>
  </si>
  <si>
    <t>MOUNT HOLLY</t>
  </si>
  <si>
    <t>28120-9640</t>
  </si>
  <si>
    <t>I6080A0022</t>
  </si>
  <si>
    <t>OLIVA FRANKY</t>
  </si>
  <si>
    <t>OLIVA NADIA</t>
  </si>
  <si>
    <t>155 ARIEL CT</t>
  </si>
  <si>
    <t>D9010B0020</t>
  </si>
  <si>
    <t>MCGLOTHLIN NANCY D</t>
  </si>
  <si>
    <t>172 WARWICKE PL</t>
  </si>
  <si>
    <t>H400000161</t>
  </si>
  <si>
    <t>NEW COVENANT PARTNERS IX LLC</t>
  </si>
  <si>
    <t>N5110A0004</t>
  </si>
  <si>
    <t>DAVIS TERRY</t>
  </si>
  <si>
    <t>DAVIS DEBRA A</t>
  </si>
  <si>
    <t>629 PINE RIDGE RD</t>
  </si>
  <si>
    <t>E70000006514</t>
  </si>
  <si>
    <t>F80000002208</t>
  </si>
  <si>
    <t>C700000037  A</t>
  </si>
  <si>
    <t>PETERS RENTAL LLC</t>
  </si>
  <si>
    <t>5204 GREEN MEADOW RD</t>
  </si>
  <si>
    <t>24018-3304</t>
  </si>
  <si>
    <t>I5170C0027</t>
  </si>
  <si>
    <t>HENRY CARINA</t>
  </si>
  <si>
    <t>108 SWEETGUM DR</t>
  </si>
  <si>
    <t>C50000000802</t>
  </si>
  <si>
    <t>HAMILTON GEORGE H (V)</t>
  </si>
  <si>
    <t>HAMILTON LILLIAN P</t>
  </si>
  <si>
    <t>104 2ND AVE</t>
  </si>
  <si>
    <t>38401-2906</t>
  </si>
  <si>
    <t>C50000000801</t>
  </si>
  <si>
    <t>HAMILTON GEORGE V</t>
  </si>
  <si>
    <t>HAMILTON LILLIAN</t>
  </si>
  <si>
    <t>L600000003</t>
  </si>
  <si>
    <t>BECKER BETTY C TRUSTEE</t>
  </si>
  <si>
    <t>BECKER JOE D TRUSTEE</t>
  </si>
  <si>
    <t>BETTY C BECKER TRUST</t>
  </si>
  <si>
    <t>289 MENDENHALL DR</t>
  </si>
  <si>
    <t>27127-9163</t>
  </si>
  <si>
    <t>D9090C0003</t>
  </si>
  <si>
    <t>LONNQUEST MARY K TRUSTEE</t>
  </si>
  <si>
    <t>MARY K LONNQUEST TRUST</t>
  </si>
  <si>
    <t>5124 RIVER CHASE RDG</t>
  </si>
  <si>
    <t>I4010A0077</t>
  </si>
  <si>
    <t>SMITH THANNA R</t>
  </si>
  <si>
    <t>132 N WENTWORTH DR</t>
  </si>
  <si>
    <t>F60000005401</t>
  </si>
  <si>
    <t>BYERS CHARLES BRANDON</t>
  </si>
  <si>
    <t>MAGGERT MICHELLE AUSTIN</t>
  </si>
  <si>
    <t>J5050B0026</t>
  </si>
  <si>
    <t>AVENT MITCHELL</t>
  </si>
  <si>
    <t>AVENT MAGGIE</t>
  </si>
  <si>
    <t>166 CARRIAGE COVE CIR</t>
  </si>
  <si>
    <t>J6100B0020</t>
  </si>
  <si>
    <t>GIVENS LARRY W TR &amp; ARDLER PATRICIA M TR</t>
  </si>
  <si>
    <t>L GIVENS &amp; P ARDLER REV TR</t>
  </si>
  <si>
    <t>187 RESERVE DR</t>
  </si>
  <si>
    <t>I4010A0068</t>
  </si>
  <si>
    <t>QUINN JOAN M</t>
  </si>
  <si>
    <t>SHUPE CHRISTINE</t>
  </si>
  <si>
    <t>158 N WENTWORTH DR</t>
  </si>
  <si>
    <t>C7140A0016</t>
  </si>
  <si>
    <t>362 CORNWALLIS DR</t>
  </si>
  <si>
    <t>C30000006903</t>
  </si>
  <si>
    <t>WILLIAMS ERIN BAITY</t>
  </si>
  <si>
    <t>WILLIAMS JAMES DANIEL</t>
  </si>
  <si>
    <t>236 BONKIN LAKE RD</t>
  </si>
  <si>
    <t>I5160B0025</t>
  </si>
  <si>
    <t>CHAVEZ ROCIO REYES</t>
  </si>
  <si>
    <t>3560 PROSPECT DR</t>
  </si>
  <si>
    <t>27105-4040</t>
  </si>
  <si>
    <t>I5160B0024</t>
  </si>
  <si>
    <t>G9090B0005</t>
  </si>
  <si>
    <t>HARDISON JERRY</t>
  </si>
  <si>
    <t>HARDISON SHELLEY MARIE</t>
  </si>
  <si>
    <t>I6160A0018</t>
  </si>
  <si>
    <t>MORRIS CHRISTOPHER R TR &amp; MORRIS JOYCEANN TR</t>
  </si>
  <si>
    <t>CHRISTOPHER&amp;JOY MORRIS LIV TR</t>
  </si>
  <si>
    <t>145 LINDA LN</t>
  </si>
  <si>
    <t>J5050B0024</t>
  </si>
  <si>
    <t>THOMPSON FARRAH</t>
  </si>
  <si>
    <t>170 CARRIAGE COVE CIR</t>
  </si>
  <si>
    <t>N60000007104</t>
  </si>
  <si>
    <t>MARTINEZ ELMER ARNOLDO</t>
  </si>
  <si>
    <t>CRUZ KATY ONDINA</t>
  </si>
  <si>
    <t>1545 CHERRY HILL RD</t>
  </si>
  <si>
    <t>C7140A0093</t>
  </si>
  <si>
    <t>RAMANATHAN HARIHARAN</t>
  </si>
  <si>
    <t>BOBEN RAISA ROSE</t>
  </si>
  <si>
    <t>150 MORNING STAR DR</t>
  </si>
  <si>
    <t>H20000001203</t>
  </si>
  <si>
    <t>DUNLAP TAMMY M</t>
  </si>
  <si>
    <t>DUNLAP HARRY FRANK</t>
  </si>
  <si>
    <t>9396 90TH AVE</t>
  </si>
  <si>
    <t>SEMINOLE</t>
  </si>
  <si>
    <t>33777-2325</t>
  </si>
  <si>
    <t>D9050B0042</t>
  </si>
  <si>
    <t>BENSON ROY JR</t>
  </si>
  <si>
    <t>BENSON KATHLEEN L</t>
  </si>
  <si>
    <t>2103 BERMUDA VLG</t>
  </si>
  <si>
    <t>N5010C006501</t>
  </si>
  <si>
    <t>RAE PROPERTIES LLC</t>
  </si>
  <si>
    <t>716 ROLLINGWOOD DRIVE</t>
  </si>
  <si>
    <t>E700000078</t>
  </si>
  <si>
    <t>HAWOTTE MATTHEW M</t>
  </si>
  <si>
    <t>DAVIS ROSEMARY F</t>
  </si>
  <si>
    <t>4466 US HIGHWAY 158</t>
  </si>
  <si>
    <t>27006-7839</t>
  </si>
  <si>
    <t>C8010B0346</t>
  </si>
  <si>
    <t>MEDULAN MICHAEL L</t>
  </si>
  <si>
    <t>MEDULAN TAMMY R</t>
  </si>
  <si>
    <t>181 KILBOURNE DR</t>
  </si>
  <si>
    <t>E9150B0039</t>
  </si>
  <si>
    <t>CRESSWELL WILLIAM ARTHUR</t>
  </si>
  <si>
    <t>CRESSWELL CATHERINE TOMPSON</t>
  </si>
  <si>
    <t>146 SYCAMORE RIDGE DR</t>
  </si>
  <si>
    <t>E70000011111</t>
  </si>
  <si>
    <t>PITA SANTIAGO J JR</t>
  </si>
  <si>
    <t>PITA CHEVELLEY V</t>
  </si>
  <si>
    <t>383 ARMSWORTHY RD</t>
  </si>
  <si>
    <t>E9150B0060</t>
  </si>
  <si>
    <t>GRIFFIN CLYDE M</t>
  </si>
  <si>
    <t>252 SYCAMORE RIDGE DR</t>
  </si>
  <si>
    <t>F30000005702</t>
  </si>
  <si>
    <t>BLEDSOE SHANNON D</t>
  </si>
  <si>
    <t>BLEDSOE TIFFANEY</t>
  </si>
  <si>
    <t>344 BOOZIE LN</t>
  </si>
  <si>
    <t>F300000114</t>
  </si>
  <si>
    <t>N5010B0022</t>
  </si>
  <si>
    <t>HOLBIRD CODY</t>
  </si>
  <si>
    <t>HOLBIRD LORETTA</t>
  </si>
  <si>
    <t>232 DUKE ST</t>
  </si>
  <si>
    <t>L5010B0010</t>
  </si>
  <si>
    <t>NIFONG NATHAN KENT</t>
  </si>
  <si>
    <t>NIFONG BRIANNA K E</t>
  </si>
  <si>
    <t>1906 US HIGHWAY 601 S</t>
  </si>
  <si>
    <t>J5050B0025</t>
  </si>
  <si>
    <t>MORRISON TYMBER</t>
  </si>
  <si>
    <t>ARNDT JAMES</t>
  </si>
  <si>
    <t>168 CARRIAGE COVE CIR</t>
  </si>
  <si>
    <t>F3010A0005</t>
  </si>
  <si>
    <t>POWERS CELIA C</t>
  </si>
  <si>
    <t>POWERS DAVID L</t>
  </si>
  <si>
    <t>1408 SHACKTOWN RD</t>
  </si>
  <si>
    <t>27055-8106</t>
  </si>
  <si>
    <t>E50000003315</t>
  </si>
  <si>
    <t>KOSUB CHRISTOPHER</t>
  </si>
  <si>
    <t>KOSUB LEE</t>
  </si>
  <si>
    <t>138 ROCKWELL LN</t>
  </si>
  <si>
    <t>K50000005103</t>
  </si>
  <si>
    <t>SMITH DARRELL SCOTT</t>
  </si>
  <si>
    <t>SMITH LISA DOEHM</t>
  </si>
  <si>
    <t>699 DEADMON RD</t>
  </si>
  <si>
    <t>G8050A0010</t>
  </si>
  <si>
    <t>G600000009</t>
  </si>
  <si>
    <t>TONY D MULLIS REV LIV TRUST</t>
  </si>
  <si>
    <t>121 FOSTER DAIRY RD</t>
  </si>
  <si>
    <t>I6080A0024</t>
  </si>
  <si>
    <t>YELLOWTAIL TRUST INVESTMENTS LLC</t>
  </si>
  <si>
    <t>901 W 63RD ST OCEAN</t>
  </si>
  <si>
    <t>MARATHON</t>
  </si>
  <si>
    <t>33050-2711</t>
  </si>
  <si>
    <t>I6080A0028</t>
  </si>
  <si>
    <t>H600000051</t>
  </si>
  <si>
    <t>FOSTER JANE</t>
  </si>
  <si>
    <t>D70000010003</t>
  </si>
  <si>
    <t>HUTCHINS PATRICIA T</t>
  </si>
  <si>
    <t>ZIGLAR JOSEPH</t>
  </si>
  <si>
    <t>C500000090</t>
  </si>
  <si>
    <t>WATTENBURGER LINDA</t>
  </si>
  <si>
    <t>MICHAEL ALEXIS A</t>
  </si>
  <si>
    <t>2093 NC HIGHWAY 801 N</t>
  </si>
  <si>
    <t>C600000092</t>
  </si>
  <si>
    <t>HERNANDEZ CATHERINE ANN</t>
  </si>
  <si>
    <t>262 MCKNIGHT RD</t>
  </si>
  <si>
    <t>D30000003801</t>
  </si>
  <si>
    <t>HOSTIN ALETHEA</t>
  </si>
  <si>
    <t>HOSTIN LOGAN</t>
  </si>
  <si>
    <t>1324 EATONS CHURCH RD</t>
  </si>
  <si>
    <t>27028-4744</t>
  </si>
  <si>
    <t>J40000003607</t>
  </si>
  <si>
    <t>HEGGERICK JASON RYAN</t>
  </si>
  <si>
    <t>HEGGERICK GRETCHEN ELIZABETH A</t>
  </si>
  <si>
    <t>156 DELAWARE CT</t>
  </si>
  <si>
    <t>G500000086</t>
  </si>
  <si>
    <t>SOSA TAMILYN</t>
  </si>
  <si>
    <t>633 FAIRMONT RD</t>
  </si>
  <si>
    <t>29621-5933</t>
  </si>
  <si>
    <t>J6060A000902</t>
  </si>
  <si>
    <t>CUMMINGS MALCOLM S</t>
  </si>
  <si>
    <t>%GREEMANN DEBORAH%</t>
  </si>
  <si>
    <t>197 CEDAR RIDGE ROAD</t>
  </si>
  <si>
    <t>C7140A0073</t>
  </si>
  <si>
    <t>FOSTER TAMMY</t>
  </si>
  <si>
    <t>159 MORNING STAR DR</t>
  </si>
  <si>
    <t>C7140A0071</t>
  </si>
  <si>
    <t>PORTER WILEY THOMAS</t>
  </si>
  <si>
    <t>PORTER SUSAN W</t>
  </si>
  <si>
    <t>165 MORNING STAR DR</t>
  </si>
  <si>
    <t>D60000006601</t>
  </si>
  <si>
    <t>CLARK STH LLC</t>
  </si>
  <si>
    <t>4407 PROVIDENCE LN STE A</t>
  </si>
  <si>
    <t>27106-3264</t>
  </si>
  <si>
    <t>I6080A0026</t>
  </si>
  <si>
    <t>WENK GROUP LLC</t>
  </si>
  <si>
    <t>128 RIVER DR</t>
  </si>
  <si>
    <t>D200000010</t>
  </si>
  <si>
    <t>COZART DAWN INGRAM</t>
  </si>
  <si>
    <t>COZART SAM</t>
  </si>
  <si>
    <t>C7140A0077</t>
  </si>
  <si>
    <t>GUERRA KATHRYN L</t>
  </si>
  <si>
    <t>139 MORNING STAR DR</t>
  </si>
  <si>
    <t>I70000008203</t>
  </si>
  <si>
    <t>WILSON JAMES D</t>
  </si>
  <si>
    <t>WILSON BRITTANI E</t>
  </si>
  <si>
    <t>P O BOX 258</t>
  </si>
  <si>
    <t>J100000043</t>
  </si>
  <si>
    <t>KOONTZ JAMES DORSE ETAL</t>
  </si>
  <si>
    <t>169 DORSE RD</t>
  </si>
  <si>
    <t>27028-8217</t>
  </si>
  <si>
    <t>H50000000802</t>
  </si>
  <si>
    <t>DAVIE GRADING INC</t>
  </si>
  <si>
    <t>1629 US HIGHWAY 158</t>
  </si>
  <si>
    <t>27028-5941</t>
  </si>
  <si>
    <t>H50000000804</t>
  </si>
  <si>
    <t>H50000000803</t>
  </si>
  <si>
    <t>I20000000606</t>
  </si>
  <si>
    <t>I200000042</t>
  </si>
  <si>
    <t>D8080B0011</t>
  </si>
  <si>
    <t>SEIDEL REALTY INC</t>
  </si>
  <si>
    <t>142 GYPSY LN</t>
  </si>
  <si>
    <t>KNG OF PRUSSA</t>
  </si>
  <si>
    <t>19406-3721</t>
  </si>
  <si>
    <t>J5040A0003</t>
  </si>
  <si>
    <t>CARTER PHILIP E</t>
  </si>
  <si>
    <t>408 E LAKE DR</t>
  </si>
  <si>
    <t>N5110A000803</t>
  </si>
  <si>
    <t>DALE STEPHEN MATTHEW</t>
  </si>
  <si>
    <t>DALE RACHEL JOY</t>
  </si>
  <si>
    <t>1970 HARRISON RD</t>
  </si>
  <si>
    <t>28147-9032</t>
  </si>
  <si>
    <t>L500000016</t>
  </si>
  <si>
    <t>EATON ZACHARY CORUM</t>
  </si>
  <si>
    <t>EATON JORDAN DANIELLE</t>
  </si>
  <si>
    <t>268 JOHN CROTTS RD</t>
  </si>
  <si>
    <t>I300000064</t>
  </si>
  <si>
    <t>FORREST LEWIS BAILEY TR &amp; FORREST PAUL BRADLEY TR</t>
  </si>
  <si>
    <t>THE STRETCH TRUST</t>
  </si>
  <si>
    <t>5117 FOREST GARDEN LN</t>
  </si>
  <si>
    <t>27606-8941</t>
  </si>
  <si>
    <t>K3050A0001</t>
  </si>
  <si>
    <t>L60000000507</t>
  </si>
  <si>
    <t>BOWLES VICKIE</t>
  </si>
  <si>
    <t>116 WILL BOONE RD UNIT B</t>
  </si>
  <si>
    <t>G20000005518</t>
  </si>
  <si>
    <t>MARRA FRANK V</t>
  </si>
  <si>
    <t>MARRA CATHERINE M</t>
  </si>
  <si>
    <t>184 SHEFFIELD RD</t>
  </si>
  <si>
    <t>I4010A0080</t>
  </si>
  <si>
    <t>DAVIS MARY LOU</t>
  </si>
  <si>
    <t>118 N WENTWORTH DR</t>
  </si>
  <si>
    <t>E8110B001702</t>
  </si>
  <si>
    <t>BRICKEY IRIS XIOMARA</t>
  </si>
  <si>
    <t>116 RIVER CT</t>
  </si>
  <si>
    <t>27006-7932</t>
  </si>
  <si>
    <t>D8100D0028</t>
  </si>
  <si>
    <t>SHAVER KACIE JEAN</t>
  </si>
  <si>
    <t>LEAMON MICHAEL R</t>
  </si>
  <si>
    <t>127 SPYGLASS DR</t>
  </si>
  <si>
    <t>B700000054</t>
  </si>
  <si>
    <t>GARRARD STACY MIGNON</t>
  </si>
  <si>
    <t>DICKENS KAREN ZIMMERMAN</t>
  </si>
  <si>
    <t>6965 WILSON RD</t>
  </si>
  <si>
    <t>28673-7753</t>
  </si>
  <si>
    <t>C70000002001</t>
  </si>
  <si>
    <t>C700000020</t>
  </si>
  <si>
    <t>C8010A0061</t>
  </si>
  <si>
    <t>CHRISTOPHERSON HUNTER ALLEN</t>
  </si>
  <si>
    <t>CHRISTOPHERSON HANNAH</t>
  </si>
  <si>
    <t>146 BRIDGEWATER DR</t>
  </si>
  <si>
    <t>I200000027</t>
  </si>
  <si>
    <t>POWELL CATHY DEANS TR</t>
  </si>
  <si>
    <t>CATHY DEANS POWELL REV TRUST</t>
  </si>
  <si>
    <t>I20000002702</t>
  </si>
  <si>
    <t>L60000000508</t>
  </si>
  <si>
    <t>MAXCY DIANNE LYNN</t>
  </si>
  <si>
    <t>MAXCY DAVID LLOYD SR</t>
  </si>
  <si>
    <t>114 WILL BOONE RD UNIT A</t>
  </si>
  <si>
    <t>I8110A0007</t>
  </si>
  <si>
    <t>LONG JOHN S</t>
  </si>
  <si>
    <t>LONG JOHNSIE B</t>
  </si>
  <si>
    <t>3812 FORRESTGATE DR</t>
  </si>
  <si>
    <t>APT 126</t>
  </si>
  <si>
    <t>27103-3036</t>
  </si>
  <si>
    <t>I800000022</t>
  </si>
  <si>
    <t>I6080A0029</t>
  </si>
  <si>
    <t>FRIAS SOTO BESSINGER</t>
  </si>
  <si>
    <t>146 ARIEL CT</t>
  </si>
  <si>
    <t>K60000000702</t>
  </si>
  <si>
    <t>M400000058</t>
  </si>
  <si>
    <t>STOCKTON KEVIN</t>
  </si>
  <si>
    <t>POMPEY SHAMIKA</t>
  </si>
  <si>
    <t>M500000006</t>
  </si>
  <si>
    <t>C7140C0020</t>
  </si>
  <si>
    <t>H5170A0027</t>
  </si>
  <si>
    <t>HOWARTH BENJAMIN JAMES</t>
  </si>
  <si>
    <t>HOWARTH MARISA ABERLE</t>
  </si>
  <si>
    <t>274 CANYON RD</t>
  </si>
  <si>
    <t>J20000001502</t>
  </si>
  <si>
    <t>J20000001507</t>
  </si>
  <si>
    <t>K5060A0022</t>
  </si>
  <si>
    <t>JOLY BRIAN</t>
  </si>
  <si>
    <t>128 W CHINABERRY CT</t>
  </si>
  <si>
    <t>D9050B0002</t>
  </si>
  <si>
    <t>LEANDER LOUISE F TRUST</t>
  </si>
  <si>
    <t>LEANDER LOUISE F TRUSTEE</t>
  </si>
  <si>
    <t>HENRY A LEANDER</t>
  </si>
  <si>
    <t>7425 PELICAN BAY BLVD APT 404</t>
  </si>
  <si>
    <t>34108-8561</t>
  </si>
  <si>
    <t>G20000005515</t>
  </si>
  <si>
    <t>BOLDIZSAR JAMES W</t>
  </si>
  <si>
    <t>BOLDIZSAR GENIE L</t>
  </si>
  <si>
    <t>154 SHEFFIELD RD</t>
  </si>
  <si>
    <t>C8010A0027</t>
  </si>
  <si>
    <t>SECRETARY OF VETERANS AFFAIRS UNITED STATES</t>
  </si>
  <si>
    <t>3401 WEST END AVE STE 760W</t>
  </si>
  <si>
    <t>37203-1042</t>
  </si>
  <si>
    <t>I5080A0009</t>
  </si>
  <si>
    <t>LINDGREN LINDA L</t>
  </si>
  <si>
    <t>LINDGREN EDWARD R</t>
  </si>
  <si>
    <t>308 BRIDGER VIEW DR</t>
  </si>
  <si>
    <t>BELGRADE</t>
  </si>
  <si>
    <t>59714-3809</t>
  </si>
  <si>
    <t>G70000007701</t>
  </si>
  <si>
    <t>NAIL WALTER E</t>
  </si>
  <si>
    <t>K50000005105</t>
  </si>
  <si>
    <t>MILLER LAQUENZO</t>
  </si>
  <si>
    <t>709 DEADMON RD</t>
  </si>
  <si>
    <t>B30000004401</t>
  </si>
  <si>
    <t>BYRDSONGE LINDA W</t>
  </si>
  <si>
    <t>SCHRAMM SUZANNE</t>
  </si>
  <si>
    <t>3701 DERBYSHIRE RD</t>
  </si>
  <si>
    <t>27104-1602</t>
  </si>
  <si>
    <t>G8140A0008</t>
  </si>
  <si>
    <t>JUAREZ GUSTAVO</t>
  </si>
  <si>
    <t>155 OLD HOMEPLACE DR</t>
  </si>
  <si>
    <t>E30000008009</t>
  </si>
  <si>
    <t>SANCHEZ ANGEL DE JESUS DE LOS SANTOS</t>
  </si>
  <si>
    <t>4728 SHATTALON DR</t>
  </si>
  <si>
    <t>27106-1631</t>
  </si>
  <si>
    <t>H4140A0015</t>
  </si>
  <si>
    <t>MINEO ATHENA REDMOND</t>
  </si>
  <si>
    <t>ZEILER ALETA REDMOND</t>
  </si>
  <si>
    <t>2531 GLENWOOD AVE</t>
  </si>
  <si>
    <t>27608-1001</t>
  </si>
  <si>
    <t>J5050A0019</t>
  </si>
  <si>
    <t>BECK JONATHAN W</t>
  </si>
  <si>
    <t>BECK LAURIE R</t>
  </si>
  <si>
    <t>104 POLARIS DR</t>
  </si>
  <si>
    <t>G4090A0002</t>
  </si>
  <si>
    <t>NAYLOR LARRY D</t>
  </si>
  <si>
    <t>NAYLOR LEATRICE A</t>
  </si>
  <si>
    <t>10370 FALCON POINT WAY</t>
  </si>
  <si>
    <t>20110-2799</t>
  </si>
  <si>
    <t>G4090A0001</t>
  </si>
  <si>
    <t>C7100B0020</t>
  </si>
  <si>
    <t>KILLMEYER SCOTT DAVID</t>
  </si>
  <si>
    <t>KILLMEYER BONNIE DAGENHART</t>
  </si>
  <si>
    <t>154 ROBIN DR</t>
  </si>
  <si>
    <t>D8070A0041</t>
  </si>
  <si>
    <t>NEEL STEPHANY</t>
  </si>
  <si>
    <t>151 GOLFVIEW DR</t>
  </si>
  <si>
    <t>E600000079</t>
  </si>
  <si>
    <t>ROTEN JERRY FRANK</t>
  </si>
  <si>
    <t>ROTEN NANCY LAMBERT</t>
  </si>
  <si>
    <t>4067 US HIGHWAY 158</t>
  </si>
  <si>
    <t>G40000000907</t>
  </si>
  <si>
    <t>BELL KAYLA CYAN</t>
  </si>
  <si>
    <t>162 CHANNEL LN</t>
  </si>
  <si>
    <t>H7120B0030</t>
  </si>
  <si>
    <t>DERRICK DANIEL G</t>
  </si>
  <si>
    <t>DERRICK MAZIE A SWASO</t>
  </si>
  <si>
    <t>161 MEETING HOUSE LN</t>
  </si>
  <si>
    <t>27006-7671</t>
  </si>
  <si>
    <t>I70000004502</t>
  </si>
  <si>
    <t>WALSER CARLY HOWARD</t>
  </si>
  <si>
    <t>I70000005501</t>
  </si>
  <si>
    <t>G80000006404</t>
  </si>
  <si>
    <t>STANLEY GEOFFREY</t>
  </si>
  <si>
    <t>STANLEY CHERYL</t>
  </si>
  <si>
    <t>1766 PEOPLES CREEK RD</t>
  </si>
  <si>
    <t>C8010A0253</t>
  </si>
  <si>
    <t>LANE TANNHYA LYNDSEY</t>
  </si>
  <si>
    <t>LANE ELLIOT</t>
  </si>
  <si>
    <t>234 BRIDGEWATER DR</t>
  </si>
  <si>
    <t>E8020A0005</t>
  </si>
  <si>
    <t>CLARK KEITH</t>
  </si>
  <si>
    <t>BUSH JULIANE</t>
  </si>
  <si>
    <t>133 RAINTREE RD</t>
  </si>
  <si>
    <t>D200000056</t>
  </si>
  <si>
    <t>PILCHER REBECCA BOOE ETAL</t>
  </si>
  <si>
    <t>BOOE HARRY VERNON JR</t>
  </si>
  <si>
    <t>721 JACK BOOE RD</t>
  </si>
  <si>
    <t>27028-4837</t>
  </si>
  <si>
    <t>D200000039  A</t>
  </si>
  <si>
    <t>D100000028</t>
  </si>
  <si>
    <t>JOYNER LOLA H LIMITED PARTNERS</t>
  </si>
  <si>
    <t>BROWN THEA G ETAL</t>
  </si>
  <si>
    <t>189 RANDOM RD</t>
  </si>
  <si>
    <t>I6080A0023</t>
  </si>
  <si>
    <t>EDELEN ROBERT</t>
  </si>
  <si>
    <t>EDELEN PHYLLIS MARSH</t>
  </si>
  <si>
    <t>159 ARIEL CT</t>
  </si>
  <si>
    <t>L600000006</t>
  </si>
  <si>
    <t>MARTIN TAMARA SELENE</t>
  </si>
  <si>
    <t>405 PINEWOOD AVE</t>
  </si>
  <si>
    <t>28081-9753</t>
  </si>
  <si>
    <t>J5010D0084</t>
  </si>
  <si>
    <t>STEADMAN GLADYS MARIE</t>
  </si>
  <si>
    <t>THOMA MELANIE MARIE</t>
  </si>
  <si>
    <t>142 WINDING CREEK RD</t>
  </si>
  <si>
    <t>E40000001611</t>
  </si>
  <si>
    <t>MOJICA NAVOR</t>
  </si>
  <si>
    <t>MOJICA ALICIA</t>
  </si>
  <si>
    <t>140 N FEREBEE WAY</t>
  </si>
  <si>
    <t>E40000001609</t>
  </si>
  <si>
    <t>E40000001601</t>
  </si>
  <si>
    <t>E40000001605</t>
  </si>
  <si>
    <t>M40000002301</t>
  </si>
  <si>
    <t>E70000011112</t>
  </si>
  <si>
    <t>SUE B COUCH REV LIV TRUST</t>
  </si>
  <si>
    <t>115 POTTERS LN</t>
  </si>
  <si>
    <t>27028-5909</t>
  </si>
  <si>
    <t>K70000004701</t>
  </si>
  <si>
    <t>BALFREY GERALDINE TAYLOR</t>
  </si>
  <si>
    <t>BALFREY ROBERT PAUL</t>
  </si>
  <si>
    <t>469 CEDAR GROVE CHURCH RD</t>
  </si>
  <si>
    <t>C600000047</t>
  </si>
  <si>
    <t>BOWERS MOODY MANFORD</t>
  </si>
  <si>
    <t>BOWERS VIRGINIA PORTER</t>
  </si>
  <si>
    <t>CLEMMONS VILLAGE #2</t>
  </si>
  <si>
    <t>6441 HOLDER RD</t>
  </si>
  <si>
    <t>27012-9207</t>
  </si>
  <si>
    <t>K30000005501</t>
  </si>
  <si>
    <t>CARROLL NANCY M</t>
  </si>
  <si>
    <t>CARROLL DAVID L</t>
  </si>
  <si>
    <t>447 JUNCTION RD</t>
  </si>
  <si>
    <t>E900000374</t>
  </si>
  <si>
    <t>TOLLEY LAUREN</t>
  </si>
  <si>
    <t>194 BROADMOOR DR</t>
  </si>
  <si>
    <t>J6060A0009</t>
  </si>
  <si>
    <t>GREEMANN DEBORAH CUMMINGS</t>
  </si>
  <si>
    <t>197 CEDAR RIDGE RD</t>
  </si>
  <si>
    <t>E20000000308</t>
  </si>
  <si>
    <t>BROCKWAY FRED H II</t>
  </si>
  <si>
    <t>BROCKWAY SUSAN S</t>
  </si>
  <si>
    <t>397 SALMONS RD</t>
  </si>
  <si>
    <t>27028-5915</t>
  </si>
  <si>
    <t>J200000069</t>
  </si>
  <si>
    <t>HORTON BRANDON</t>
  </si>
  <si>
    <t>139 HILTON LN</t>
  </si>
  <si>
    <t>J20000003906</t>
  </si>
  <si>
    <t>I4020A0005</t>
  </si>
  <si>
    <t>BYERLY JERRY W</t>
  </si>
  <si>
    <t>806 MOUNTSHIRE TER</t>
  </si>
  <si>
    <t>CHESTER</t>
  </si>
  <si>
    <t>23836-5731</t>
  </si>
  <si>
    <t>C30000006901</t>
  </si>
  <si>
    <t>BAITY DANIEL THOMAS</t>
  </si>
  <si>
    <t>4150 HIGHPOINT RD</t>
  </si>
  <si>
    <t>F800000140</t>
  </si>
  <si>
    <t>ALLEN MARY KATHERINE</t>
  </si>
  <si>
    <t>ALLEN STEVEN WAYNE JR</t>
  </si>
  <si>
    <t>1245 UNDERPASS RD</t>
  </si>
  <si>
    <t>E9150B0061</t>
  </si>
  <si>
    <t>REVELLE WILLIAM D JR</t>
  </si>
  <si>
    <t>258 SYCAMORE RIDGE DR</t>
  </si>
  <si>
    <t>H7030A0029</t>
  </si>
  <si>
    <t>HARRIS JESSICA DELANA</t>
  </si>
  <si>
    <t>256 BRIER CREEK RD</t>
  </si>
  <si>
    <t>J4140A0022</t>
  </si>
  <si>
    <t>MOSER COURTNEY</t>
  </si>
  <si>
    <t>SIMPSON CAROL</t>
  </si>
  <si>
    <t>160 NEW HAMPSHIRE CT</t>
  </si>
  <si>
    <t>J4140A0021</t>
  </si>
  <si>
    <t>C70000011604</t>
  </si>
  <si>
    <t>STEELMAN ROSIE H</t>
  </si>
  <si>
    <t>STEELMAN WILLIAM H</t>
  </si>
  <si>
    <t>="C/O PORSHIA N. BURESH</t>
  </si>
  <si>
    <t xml:space="preserve"> ATTY"</t>
  </si>
  <si>
    <t>250 W 1ST ST STE 211</t>
  </si>
  <si>
    <t>27101-4055</t>
  </si>
  <si>
    <t>B50000006902</t>
  </si>
  <si>
    <t>KESSLER BRADLEY TODD</t>
  </si>
  <si>
    <t>KESSLER JENNA MARIE</t>
  </si>
  <si>
    <t>118 ALDER LN</t>
  </si>
  <si>
    <t>J5050B0049</t>
  </si>
  <si>
    <t>RIVERA GRACIELA</t>
  </si>
  <si>
    <t>173 CARRIAGE COVE CIR</t>
  </si>
  <si>
    <t>H9090A0003</t>
  </si>
  <si>
    <t>BOGER JUSTIN</t>
  </si>
  <si>
    <t>N4040A0012</t>
  </si>
  <si>
    <t>RYDER BRENDA A</t>
  </si>
  <si>
    <t>RYDER RICHARD T</t>
  </si>
  <si>
    <t>130 MAIN ST</t>
  </si>
  <si>
    <t>L60000005901</t>
  </si>
  <si>
    <t>CROTTS PAMELA</t>
  </si>
  <si>
    <t>CONNELL MOLLY</t>
  </si>
  <si>
    <t>L60000004502</t>
  </si>
  <si>
    <t>L60000004505</t>
  </si>
  <si>
    <t>B500000113</t>
  </si>
  <si>
    <t>BAILEY FINANCIAL GROUP</t>
  </si>
  <si>
    <t>6406 E SHIRE WAY</t>
  </si>
  <si>
    <t>LONG BEACH</t>
  </si>
  <si>
    <t>90815-4742</t>
  </si>
  <si>
    <t>B50000000901</t>
  </si>
  <si>
    <t>B500000116</t>
  </si>
  <si>
    <t>I5090C0007</t>
  </si>
  <si>
    <t>REEVES CHRISTIAN AARON</t>
  </si>
  <si>
    <t>100 BINGHAM ST</t>
  </si>
  <si>
    <t>H2050A0001</t>
  </si>
  <si>
    <t>HOWELL LAURA ELAINE</t>
  </si>
  <si>
    <t>188 CENTER CIR</t>
  </si>
  <si>
    <t>E900000219</t>
  </si>
  <si>
    <t>RUSSELL BARBARA S</t>
  </si>
  <si>
    <t>RUSSELL NELSON THOMAS III</t>
  </si>
  <si>
    <t>298 KINGSMILL DR</t>
  </si>
  <si>
    <t>B50000008501</t>
  </si>
  <si>
    <t>COUNCIL DOUGLAS</t>
  </si>
  <si>
    <t>COUNCIL JUNE</t>
  </si>
  <si>
    <t>2519 FARMINGTON ROAD</t>
  </si>
  <si>
    <t>E900000188</t>
  </si>
  <si>
    <t>FORSYTH CHRISTINA A</t>
  </si>
  <si>
    <t>438 KINGSMILL DR</t>
  </si>
  <si>
    <t>I5120A0012</t>
  </si>
  <si>
    <t>FUENTES ALDO ALEJANDRO</t>
  </si>
  <si>
    <t>GONZALEZ LUZ ELENA JAIMES</t>
  </si>
  <si>
    <t>164 BLUE BONNET CT</t>
  </si>
  <si>
    <t>L5100A0016</t>
  </si>
  <si>
    <t>BRELIA JESSICA</t>
  </si>
  <si>
    <t>119 LIBERTY CIR</t>
  </si>
  <si>
    <t>27028-6714</t>
  </si>
  <si>
    <t>J5050B0048</t>
  </si>
  <si>
    <t>SHOKOYA MOSES OLADIPO</t>
  </si>
  <si>
    <t>SHOKOYA ANNAKAYE</t>
  </si>
  <si>
    <t>169 CARRIAGE COVE CIR</t>
  </si>
  <si>
    <t>E300000107</t>
  </si>
  <si>
    <t>EMMINIZER JUDY COOK</t>
  </si>
  <si>
    <t>COOK LARRY W</t>
  </si>
  <si>
    <t>127 LIBERTY CHURCH RD</t>
  </si>
  <si>
    <t>27028-5826</t>
  </si>
  <si>
    <t>J6050A0003</t>
  </si>
  <si>
    <t>CHAPMAN BARBARA DUNN</t>
  </si>
  <si>
    <t>CHAPMAN ALLAN EUGENE</t>
  </si>
  <si>
    <t>218 PINE VALLEY RD</t>
  </si>
  <si>
    <t>G4080A0025</t>
  </si>
  <si>
    <t>TERRY MARK WAYNE</t>
  </si>
  <si>
    <t>TERRY TOMMIE RICHARDSON</t>
  </si>
  <si>
    <t>1482 MAIN CHURCH ROAD EXT</t>
  </si>
  <si>
    <t>G3050A0007</t>
  </si>
  <si>
    <t>J5050B0040</t>
  </si>
  <si>
    <t>LITTLE LANYIA</t>
  </si>
  <si>
    <t>149 CARRIAGE COVE CIR</t>
  </si>
  <si>
    <t>G50000008114</t>
  </si>
  <si>
    <t>WATKINS PETER THOMAS</t>
  </si>
  <si>
    <t>WATKINS AMANDA JORDAN</t>
  </si>
  <si>
    <t>179 EAGLES LANDING LN</t>
  </si>
  <si>
    <t>I5050C0015</t>
  </si>
  <si>
    <t>RAMOS ESDRAS JR</t>
  </si>
  <si>
    <t>RAMOS LEDA BELLINI</t>
  </si>
  <si>
    <t>632 WHITNEY RD</t>
  </si>
  <si>
    <t>G20000005519</t>
  </si>
  <si>
    <t>CASTRO JOSE</t>
  </si>
  <si>
    <t>194 SHEFFIELD RD</t>
  </si>
  <si>
    <t>E900000103</t>
  </si>
  <si>
    <t>LECOMPTE JAMES L</t>
  </si>
  <si>
    <t>LECOMPTE SHERRI</t>
  </si>
  <si>
    <t>138 KESWICK DR</t>
  </si>
  <si>
    <t>E40000001606</t>
  </si>
  <si>
    <t>H400000026</t>
  </si>
  <si>
    <t>BAUER NICHOLAS</t>
  </si>
  <si>
    <t>143 W MARANTA RD</t>
  </si>
  <si>
    <t>28117-6337</t>
  </si>
  <si>
    <t>I4130H0038</t>
  </si>
  <si>
    <t>PICKARD INARA</t>
  </si>
  <si>
    <t>320 AVON ST</t>
  </si>
  <si>
    <t>C700000140</t>
  </si>
  <si>
    <t>BERNZOTT DELORES E</t>
  </si>
  <si>
    <t>TOLLESBORO</t>
  </si>
  <si>
    <t>41189-0373</t>
  </si>
  <si>
    <t>K3050B0002</t>
  </si>
  <si>
    <t>TWEEDIE ALEXANDER</t>
  </si>
  <si>
    <t>106 CAROLINA AVE</t>
  </si>
  <si>
    <t>K3050B0001</t>
  </si>
  <si>
    <t>K3050A0022</t>
  </si>
  <si>
    <t>N600000027</t>
  </si>
  <si>
    <t>FALCON TAMMY ANN</t>
  </si>
  <si>
    <t>REASNER DANIEL JASON</t>
  </si>
  <si>
    <t>125 OLD FARM LN</t>
  </si>
  <si>
    <t>M60000000701</t>
  </si>
  <si>
    <t>DAUGHERTY PHILLIP</t>
  </si>
  <si>
    <t>DAUGHERTY TABETHA DAWN</t>
  </si>
  <si>
    <t>356 PLEASANT ACRE DR</t>
  </si>
  <si>
    <t>J60000009302</t>
  </si>
  <si>
    <t>RYAN JANELEE TR</t>
  </si>
  <si>
    <t>JANELEE RYAN REV LIV TRUST</t>
  </si>
  <si>
    <t>1761 US HIGHWAY 64 E</t>
  </si>
  <si>
    <t>C7140A0070</t>
  </si>
  <si>
    <t>ONEAL MALLORY</t>
  </si>
  <si>
    <t>ONEAL GRANT</t>
  </si>
  <si>
    <t>169 MORNING STAR DR</t>
  </si>
  <si>
    <t>G400000042</t>
  </si>
  <si>
    <t>HICKS WILLIAM</t>
  </si>
  <si>
    <t>140 AUTUMN LN</t>
  </si>
  <si>
    <t>27006-6748</t>
  </si>
  <si>
    <t>C60000000803</t>
  </si>
  <si>
    <t>SNYDER REID JAMES JR</t>
  </si>
  <si>
    <t>SNYDER LYNN C</t>
  </si>
  <si>
    <t>1804 NC HIGHWAY 801 N</t>
  </si>
  <si>
    <t>M5160C0026</t>
  </si>
  <si>
    <t>AGREE CENTRAL LLC</t>
  </si>
  <si>
    <t>32301 WOODWARD AVE</t>
  </si>
  <si>
    <t>ROYAL OAK</t>
  </si>
  <si>
    <t>48073-0946</t>
  </si>
  <si>
    <t>I5050A0015</t>
  </si>
  <si>
    <t>SWOPE JOSHUA LUKE</t>
  </si>
  <si>
    <t>SWOPE ELIZABETH JOY</t>
  </si>
  <si>
    <t>344 CREEKSIDE DR</t>
  </si>
  <si>
    <t>27028-2878</t>
  </si>
  <si>
    <t>J30000001708</t>
  </si>
  <si>
    <t>MASON ZACHARY HARRISON</t>
  </si>
  <si>
    <t>MASON MELISSA JEAN</t>
  </si>
  <si>
    <t>937 GREENHILL RD</t>
  </si>
  <si>
    <t>27028-4208</t>
  </si>
  <si>
    <t>F80000013910</t>
  </si>
  <si>
    <t>WENTZ DAVID MICHAEL</t>
  </si>
  <si>
    <t>WENTZ KARYN LANE</t>
  </si>
  <si>
    <t>151 OUTATHA WAY</t>
  </si>
  <si>
    <t>27006-7400</t>
  </si>
  <si>
    <t>M5160C002501</t>
  </si>
  <si>
    <t>C40000002902</t>
  </si>
  <si>
    <t>TRIVETTE MARLENE D</t>
  </si>
  <si>
    <t>CALLVIN &amp; MARLENE TRIVETTE REV</t>
  </si>
  <si>
    <t>308 PINO RD</t>
  </si>
  <si>
    <t>L40000001202</t>
  </si>
  <si>
    <t>H2050A0012</t>
  </si>
  <si>
    <t>THOMAS MARK SMITH</t>
  </si>
  <si>
    <t>FRANKLIN BRENT SMITH</t>
  </si>
  <si>
    <t>103 BRECKENRIDGE LN</t>
  </si>
  <si>
    <t>28625-2227</t>
  </si>
  <si>
    <t>K5160A0007</t>
  </si>
  <si>
    <t>RENNIX JEFFREY TODD</t>
  </si>
  <si>
    <t>PAINCHAUD MELISSA R</t>
  </si>
  <si>
    <t>2127 LESLIE AVE</t>
  </si>
  <si>
    <t>28602-9213</t>
  </si>
  <si>
    <t>D500000012</t>
  </si>
  <si>
    <t>CAIN LILLIAN A</t>
  </si>
  <si>
    <t>4419 BARTON CREEK LN</t>
  </si>
  <si>
    <t>32210-0466</t>
  </si>
  <si>
    <t>N5010C0045</t>
  </si>
  <si>
    <t>HORNE LESLIE</t>
  </si>
  <si>
    <t>21891 PINEYWOOD LOOP</t>
  </si>
  <si>
    <t>LAND O LAKES</t>
  </si>
  <si>
    <t>34639-3753</t>
  </si>
  <si>
    <t>N600000030</t>
  </si>
  <si>
    <t>I5110A0004</t>
  </si>
  <si>
    <t>J5010C0018</t>
  </si>
  <si>
    <t>I500000054</t>
  </si>
  <si>
    <t>FRYE PATRICIA LYNN FOSTER</t>
  </si>
  <si>
    <t>RANDY ALAN FOSTER</t>
  </si>
  <si>
    <t>689 CORNATZER RD</t>
  </si>
  <si>
    <t>H7120B0020</t>
  </si>
  <si>
    <t>PERT RANDY</t>
  </si>
  <si>
    <t>PERT SUSAN</t>
  </si>
  <si>
    <t>107 OLD DUTCH RD</t>
  </si>
  <si>
    <t>F7120B0003</t>
  </si>
  <si>
    <t>LAMBERT JOSEPH</t>
  </si>
  <si>
    <t>ATWOOD LINDSEY</t>
  </si>
  <si>
    <t>238 MONTCLAIR DR</t>
  </si>
  <si>
    <t>I700000020</t>
  </si>
  <si>
    <t>FREEMAN AUDREY B</t>
  </si>
  <si>
    <t>581 NO CREEK RD</t>
  </si>
  <si>
    <t>I700000019</t>
  </si>
  <si>
    <t>J4040C0001</t>
  </si>
  <si>
    <t>SALISBURY ST PROPERTY LLC</t>
  </si>
  <si>
    <t>5511 PALERMO TRL</t>
  </si>
  <si>
    <t>27310-9537</t>
  </si>
  <si>
    <t>I4110A0003</t>
  </si>
  <si>
    <t>COLEY CHRISTOPHER E</t>
  </si>
  <si>
    <t>COLEY SANDRA M</t>
  </si>
  <si>
    <t>1522 26TH AVE N</t>
  </si>
  <si>
    <t>N MYRTLE BCH</t>
  </si>
  <si>
    <t>29582-6106</t>
  </si>
  <si>
    <t>F30000010501</t>
  </si>
  <si>
    <t>MURPHY MICHAEL PATRICK</t>
  </si>
  <si>
    <t>2697 US HIGHWAY 601 N</t>
  </si>
  <si>
    <t>27028-5951</t>
  </si>
  <si>
    <t>H4130A0103</t>
  </si>
  <si>
    <t>SIGMON MEGAN ALISE</t>
  </si>
  <si>
    <t>HOCKADAY KENNETH LEE</t>
  </si>
  <si>
    <t>226 ASH DR</t>
  </si>
  <si>
    <t>D3010B0007</t>
  </si>
  <si>
    <t>STEWART NICHOLAS</t>
  </si>
  <si>
    <t>189 WADE EATON DR</t>
  </si>
  <si>
    <t>J5170A0011</t>
  </si>
  <si>
    <t>CREWS DANIEL</t>
  </si>
  <si>
    <t>CREWS KAREN</t>
  </si>
  <si>
    <t>149 ELBERON CT</t>
  </si>
  <si>
    <t>E9150A0010</t>
  </si>
  <si>
    <t>SCALISE MARK A REV TRUST</t>
  </si>
  <si>
    <t>FLOYD CATHEY M REV TRUST</t>
  </si>
  <si>
    <t>380 STANAFORD RD</t>
  </si>
  <si>
    <t>27104-1520</t>
  </si>
  <si>
    <t>D200000049</t>
  </si>
  <si>
    <t>HARRIS BETTY PHILLIPS</t>
  </si>
  <si>
    <t>431 ELMORE RD</t>
  </si>
  <si>
    <t>E300000036</t>
  </si>
  <si>
    <t>D300000031</t>
  </si>
  <si>
    <t>D300000017</t>
  </si>
  <si>
    <t>E300000004</t>
  </si>
  <si>
    <t>G8060A0012</t>
  </si>
  <si>
    <t>FALLS CHASTITY N</t>
  </si>
  <si>
    <t>183 BENTBROOK DR</t>
  </si>
  <si>
    <t>N60000005301</t>
  </si>
  <si>
    <t>LORENZO LEO</t>
  </si>
  <si>
    <t>145 RIVERDALE RD</t>
  </si>
  <si>
    <t>J5050B0020</t>
  </si>
  <si>
    <t>TAYLOR TASHAUN SANTONIO</t>
  </si>
  <si>
    <t>186 CARRIAGE COVE CIR</t>
  </si>
  <si>
    <t>N5020A000301</t>
  </si>
  <si>
    <t>GARITA ANGELINO</t>
  </si>
  <si>
    <t>GARITA CARMEN E</t>
  </si>
  <si>
    <t>K5160B0001</t>
  </si>
  <si>
    <t>WOOD MICHELL</t>
  </si>
  <si>
    <t>203 MCCULLOUGH RD</t>
  </si>
  <si>
    <t>K50000005102</t>
  </si>
  <si>
    <t>DUREN RECO M</t>
  </si>
  <si>
    <t>SMOOT SHAWN D</t>
  </si>
  <si>
    <t>693 DEADMON RD</t>
  </si>
  <si>
    <t>K50000005101</t>
  </si>
  <si>
    <t>PRATER LYNZIE NICOLE</t>
  </si>
  <si>
    <t>CARTER DOMINICK JOSEPH</t>
  </si>
  <si>
    <t>687 DEADMON RD</t>
  </si>
  <si>
    <t>J5050B0001</t>
  </si>
  <si>
    <t>MACK KIRK</t>
  </si>
  <si>
    <t>MACK BRENDA</t>
  </si>
  <si>
    <t>109 CARRIAGE COVE CIR</t>
  </si>
  <si>
    <t>G20000005521</t>
  </si>
  <si>
    <t>SWEET MICHAEL J</t>
  </si>
  <si>
    <t>164 CANVASBACK RD</t>
  </si>
  <si>
    <t>28117-8108</t>
  </si>
  <si>
    <t>G80000000510</t>
  </si>
  <si>
    <t>MOCCIA WILLIAM</t>
  </si>
  <si>
    <t>MOCCIA TERRY</t>
  </si>
  <si>
    <t>162 FINN HOLLOW LN</t>
  </si>
  <si>
    <t>H5200A0002</t>
  </si>
  <si>
    <t>TENNEY MARY CYNTHIA</t>
  </si>
  <si>
    <t>120 GALLOWAY DR</t>
  </si>
  <si>
    <t>28803-3271</t>
  </si>
  <si>
    <t>K300000022</t>
  </si>
  <si>
    <t>MARTINEZ-ORTIZ J ASUNCION</t>
  </si>
  <si>
    <t>MARTINEZ JENNIFER HULLET</t>
  </si>
  <si>
    <t>279 SHADY KNOLL LANE</t>
  </si>
  <si>
    <t>I70000006404</t>
  </si>
  <si>
    <t>WARD CHRISTOPHER D</t>
  </si>
  <si>
    <t>287 MOHAWK LN</t>
  </si>
  <si>
    <t>E8060A0009</t>
  </si>
  <si>
    <t>DOUB JEREMIAH MCKINDREY</t>
  </si>
  <si>
    <t>DOUB ROBY DAVIS</t>
  </si>
  <si>
    <t>241 RIVER RD</t>
  </si>
  <si>
    <t>I700000050</t>
  </si>
  <si>
    <t>RABON DAVID JUNIOR</t>
  </si>
  <si>
    <t>905 FORK BIXBY RD</t>
  </si>
  <si>
    <t>27006-7225</t>
  </si>
  <si>
    <t>L3010A0011</t>
  </si>
  <si>
    <t>FLANNER NICHOLAS L</t>
  </si>
  <si>
    <t>FLANNER COURTNEY R</t>
  </si>
  <si>
    <t>131 GLENWOOD RD</t>
  </si>
  <si>
    <t>H800000007</t>
  </si>
  <si>
    <t>MINOR CHARLIE LEE</t>
  </si>
  <si>
    <t>PO BOX 2004</t>
  </si>
  <si>
    <t>I40000009901</t>
  </si>
  <si>
    <t>PLAN B FOR ME LLC</t>
  </si>
  <si>
    <t>I400000099</t>
  </si>
  <si>
    <t>K50000000404</t>
  </si>
  <si>
    <t>MOCKSVILLE EXPRESS PROPERTY LL</t>
  </si>
  <si>
    <t>I6140A0011</t>
  </si>
  <si>
    <t>GRAYSON JOHN R</t>
  </si>
  <si>
    <t>297 LAKEVIEW RD</t>
  </si>
  <si>
    <t>27028-7367</t>
  </si>
  <si>
    <t>G800000066</t>
  </si>
  <si>
    <t>CREWS BELVA JEAN</t>
  </si>
  <si>
    <t>131 COUNTY ROAD 723</t>
  </si>
  <si>
    <t>37303-5216</t>
  </si>
  <si>
    <t>C200000009</t>
  </si>
  <si>
    <t>SHOFFNER ROY RICHARD</t>
  </si>
  <si>
    <t>SHOFFNER TROY FILMORE</t>
  </si>
  <si>
    <t>191 SHOFFNER RD</t>
  </si>
  <si>
    <t>27028-5920</t>
  </si>
  <si>
    <t>N5080A0011</t>
  </si>
  <si>
    <t>ONEAL ARNOLD G JR</t>
  </si>
  <si>
    <t>506 UPLAND PL</t>
  </si>
  <si>
    <t>29464-9787</t>
  </si>
  <si>
    <t>N5010D001001</t>
  </si>
  <si>
    <t>D8100D0005</t>
  </si>
  <si>
    <t>PENDERGRASS CAROLE HOOTS</t>
  </si>
  <si>
    <t>108 PLACE DR</t>
  </si>
  <si>
    <t>27021-9216</t>
  </si>
  <si>
    <t>E900000423</t>
  </si>
  <si>
    <t>VOGLER KASEY</t>
  </si>
  <si>
    <t>VOGLER BENJAMIN</t>
  </si>
  <si>
    <t>135 BROADMOOR DR</t>
  </si>
  <si>
    <t>L40000000112</t>
  </si>
  <si>
    <t>MCDANIEL JOSHUA</t>
  </si>
  <si>
    <t>G3060C0003</t>
  </si>
  <si>
    <t>KERLEY MARIE</t>
  </si>
  <si>
    <t>260 ALLEN RD</t>
  </si>
  <si>
    <t>J50000001002</t>
  </si>
  <si>
    <t>BOGER CHAD</t>
  </si>
  <si>
    <t>BOGER BRETT</t>
  </si>
  <si>
    <t>184 JOHN CROTTS RD</t>
  </si>
  <si>
    <t>27028-7300</t>
  </si>
  <si>
    <t>I6160A0021</t>
  </si>
  <si>
    <t>BRAKE GAVIN</t>
  </si>
  <si>
    <t>BRAKE JACLENE</t>
  </si>
  <si>
    <t>115 LINDA LN</t>
  </si>
  <si>
    <t>B30000008501</t>
  </si>
  <si>
    <t>VEST CHRISTOPHER ANDREW</t>
  </si>
  <si>
    <t>VEST STEPHANIE MYERS</t>
  </si>
  <si>
    <t>4803 HWY 801 N</t>
  </si>
  <si>
    <t>B300000084</t>
  </si>
  <si>
    <t>B300000086</t>
  </si>
  <si>
    <t>L60000000506</t>
  </si>
  <si>
    <t>BOLDIN RALPH EDWIN</t>
  </si>
  <si>
    <t>BOLDIN SIEW YONG</t>
  </si>
  <si>
    <t>1582 INDIAN HILLS DR</t>
  </si>
  <si>
    <t>28645-9552</t>
  </si>
  <si>
    <t>K500000014</t>
  </si>
  <si>
    <t>GUEVARA FIDELINA SALMERON DE</t>
  </si>
  <si>
    <t>I5070D0003</t>
  </si>
  <si>
    <t>AYALA CAMILO</t>
  </si>
  <si>
    <t>GARCIA KENY D GUERRERO</t>
  </si>
  <si>
    <t>4922 MARY ST</t>
  </si>
  <si>
    <t>27409-2810</t>
  </si>
  <si>
    <t>G40000003403</t>
  </si>
  <si>
    <t>STUDEVENT RICKIE</t>
  </si>
  <si>
    <t>STUDEVENT MARY</t>
  </si>
  <si>
    <t>140 BELAIRE LN</t>
  </si>
  <si>
    <t>G8010A0001</t>
  </si>
  <si>
    <t>COX PAUL W</t>
  </si>
  <si>
    <t>H500000211</t>
  </si>
  <si>
    <t>FREDDIE MAC</t>
  </si>
  <si>
    <t>7730 SOUTH UNION PARK AVE</t>
  </si>
  <si>
    <t>SUITE 400</t>
  </si>
  <si>
    <t>MIDVALE</t>
  </si>
  <si>
    <t>UT</t>
  </si>
  <si>
    <t>G8130B000401</t>
  </si>
  <si>
    <t>LEBLANC ALIA ELAINE</t>
  </si>
  <si>
    <t>LEBLANC MICAH JEREMY</t>
  </si>
  <si>
    <t>2177 NC HIGHWAY 801 S</t>
  </si>
  <si>
    <t>C7140A0044</t>
  </si>
  <si>
    <t>HENDRIX THOMAS EUGENE JR</t>
  </si>
  <si>
    <t>HENDRIX GINGER IRBY</t>
  </si>
  <si>
    <t>162 MORAVIAN CT</t>
  </si>
  <si>
    <t>D9090B0013</t>
  </si>
  <si>
    <t>KELLER KATHLEEN E</t>
  </si>
  <si>
    <t>135 OLEANDER DRIVE</t>
  </si>
  <si>
    <t>F80000007504</t>
  </si>
  <si>
    <t>CAILLOUETTE LATHA F TR &amp; CAILLOUETTE REAGEN K TR</t>
  </si>
  <si>
    <t>LATHA R &amp; REAGEN K CAILLOUETTE</t>
  </si>
  <si>
    <t>240 MOCKS CHURCH RD</t>
  </si>
  <si>
    <t>F8030A0069</t>
  </si>
  <si>
    <t>PLEASANT KARL ANTHONY</t>
  </si>
  <si>
    <t>PLEASANT JENNIFER JONES</t>
  </si>
  <si>
    <t>104 TYLER CT</t>
  </si>
  <si>
    <t>D8100B0002</t>
  </si>
  <si>
    <t>TANGLEWOOD 7406 LLC</t>
  </si>
  <si>
    <t>6950 HARPER VIEW CT</t>
  </si>
  <si>
    <t>27012-9633</t>
  </si>
  <si>
    <t>J5050B0018</t>
  </si>
  <si>
    <t>BECHARD SEAN</t>
  </si>
  <si>
    <t>BECHARD JENNIFER DELATINA</t>
  </si>
  <si>
    <t>190 CARRIAGE COVE CIR</t>
  </si>
  <si>
    <t>M5090B0031</t>
  </si>
  <si>
    <t>IMES BRIAN</t>
  </si>
  <si>
    <t>122 LONNIES WAY</t>
  </si>
  <si>
    <t>27028-6832</t>
  </si>
  <si>
    <t>J5050B0022</t>
  </si>
  <si>
    <t>SORROSA WILLIAM</t>
  </si>
  <si>
    <t>STEWART MORGAN JESSICA</t>
  </si>
  <si>
    <t>178 CARRIAGE COVE CIR</t>
  </si>
  <si>
    <t>F4010A0024</t>
  </si>
  <si>
    <t>JENKS LISA</t>
  </si>
  <si>
    <t>JENKS NATHAN</t>
  </si>
  <si>
    <t>129 ARRENDAL CT</t>
  </si>
  <si>
    <t>E9150B0156</t>
  </si>
  <si>
    <t>BURCHETT ALTON GARY</t>
  </si>
  <si>
    <t>BURCHETT BONNIE WELSH</t>
  </si>
  <si>
    <t>110 LINKS COURSE LN</t>
  </si>
  <si>
    <t>27006-7479</t>
  </si>
  <si>
    <t>E300000081</t>
  </si>
  <si>
    <t>STEPHENSON CYNTHIA M</t>
  </si>
  <si>
    <t>1870 ANGELL RD</t>
  </si>
  <si>
    <t>27028-4604</t>
  </si>
  <si>
    <t>D700000233</t>
  </si>
  <si>
    <t>SIGMON STEPHEN D</t>
  </si>
  <si>
    <t>SIGMON TABITHA S</t>
  </si>
  <si>
    <t>123 ALVIS TRAIL</t>
  </si>
  <si>
    <t>D7070A0002</t>
  </si>
  <si>
    <t>WALKER TRAVIS DALTON</t>
  </si>
  <si>
    <t>WALKER FERNANDA PINEROS</t>
  </si>
  <si>
    <t>171 RIDDLE CIR</t>
  </si>
  <si>
    <t>F600000047</t>
  </si>
  <si>
    <t>ALSTON MARCI</t>
  </si>
  <si>
    <t>ALSTON MELVIN</t>
  </si>
  <si>
    <t>160 GETER RD</t>
  </si>
  <si>
    <t>27054-9109</t>
  </si>
  <si>
    <t>I5090C0038</t>
  </si>
  <si>
    <t>WATKINS DEBRA DALTON</t>
  </si>
  <si>
    <t>3202 VENUS DR</t>
  </si>
  <si>
    <t>27703-2548</t>
  </si>
  <si>
    <t>I5110A0002</t>
  </si>
  <si>
    <t>CRI SOLUTIONS LLC</t>
  </si>
  <si>
    <t>PO BOX 1323</t>
  </si>
  <si>
    <t>27012-1323</t>
  </si>
  <si>
    <t>B7140A0017</t>
  </si>
  <si>
    <t>CANUP TIMOTHY A</t>
  </si>
  <si>
    <t>CANUP CYNTHIA L</t>
  </si>
  <si>
    <t>154 VALLEY OAKS DR</t>
  </si>
  <si>
    <t>H4130A0094</t>
  </si>
  <si>
    <t>MCCLELAND WENDY I</t>
  </si>
  <si>
    <t>MCCLELAND MORGAN S</t>
  </si>
  <si>
    <t>191 ASH DR</t>
  </si>
  <si>
    <t>I4030A0004</t>
  </si>
  <si>
    <t>HENRY SHANNON MARIE BATES TR &amp; HENRY BRUCE REA TR</t>
  </si>
  <si>
    <t>SHANNON MARIE BATES REV TRUST</t>
  </si>
  <si>
    <t>334 PUDDING RIDGE RD</t>
  </si>
  <si>
    <t>27028-7758</t>
  </si>
  <si>
    <t>I5110B0023</t>
  </si>
  <si>
    <t>G800000032</t>
  </si>
  <si>
    <t>HUTCHINS TONY R</t>
  </si>
  <si>
    <t>HUTCHINS BRENDA O</t>
  </si>
  <si>
    <t>1651 NC HIGHWAY 801 SOUTH</t>
  </si>
  <si>
    <t>N5010D0003</t>
  </si>
  <si>
    <t>SPRY LARRY MICHAEL</t>
  </si>
  <si>
    <t>SPRY ANN MILLER</t>
  </si>
  <si>
    <t>27014-0603</t>
  </si>
  <si>
    <t>N5010D000201</t>
  </si>
  <si>
    <t>K50000005108</t>
  </si>
  <si>
    <t>POTTS CYNTHIA G</t>
  </si>
  <si>
    <t>POTTS JULIE L</t>
  </si>
  <si>
    <t>729 DEADMON RD</t>
  </si>
  <si>
    <t>G100000034</t>
  </si>
  <si>
    <t>WHITE JAY</t>
  </si>
  <si>
    <t>MCLAUGHLIN DIANA</t>
  </si>
  <si>
    <t>1100 E BROAD ST</t>
  </si>
  <si>
    <t>28677-5418</t>
  </si>
  <si>
    <t>D8010A0007</t>
  </si>
  <si>
    <t>ADVANCENC DRE LLC</t>
  </si>
  <si>
    <t>4117 PARK RD # 11428</t>
  </si>
  <si>
    <t>28220-0020</t>
  </si>
  <si>
    <t>F100000031</t>
  </si>
  <si>
    <t>SMITH J T JR</t>
  </si>
  <si>
    <t>BPARKER</t>
  </si>
  <si>
    <t>F100000030</t>
  </si>
  <si>
    <t>F100000032</t>
  </si>
  <si>
    <t>F10000003201</t>
  </si>
  <si>
    <t>F10000001205</t>
  </si>
  <si>
    <t>SMITH MARTHA S</t>
  </si>
  <si>
    <t>F20000000201</t>
  </si>
  <si>
    <t>F100000033</t>
  </si>
  <si>
    <t>N60000007601</t>
  </si>
  <si>
    <t>K5100A0024</t>
  </si>
  <si>
    <t>BROWELL FELICIA D</t>
  </si>
  <si>
    <t>192 DEADMON RD</t>
  </si>
  <si>
    <t>J5050B0016</t>
  </si>
  <si>
    <t>CORDOVA RODRIGO</t>
  </si>
  <si>
    <t>CORDOVA MICHELLE</t>
  </si>
  <si>
    <t>194 CARRIAGE COVE CIR</t>
  </si>
  <si>
    <t>J4140A0039</t>
  </si>
  <si>
    <t>PHOMMAVANH THIM JILL</t>
  </si>
  <si>
    <t>PHOMMAVANH OUDONE</t>
  </si>
  <si>
    <t>211 NEW HAMPSHIRE CT</t>
  </si>
  <si>
    <t>I5170C0012</t>
  </si>
  <si>
    <t>KEEGAN CHARLES D III</t>
  </si>
  <si>
    <t>KEEGAN ANITA J</t>
  </si>
  <si>
    <t>5584 BEECHWOOD DR</t>
  </si>
  <si>
    <t>30087-0000</t>
  </si>
  <si>
    <t>E300000061</t>
  </si>
  <si>
    <t>C7140A0069</t>
  </si>
  <si>
    <t>COPE WILLIAM RYAN</t>
  </si>
  <si>
    <t>COPE KATHRYN JOY</t>
  </si>
  <si>
    <t>173 MORNING STAR DR</t>
  </si>
  <si>
    <t>J50000004203</t>
  </si>
  <si>
    <t>COZART BRYCESON WILLIAM</t>
  </si>
  <si>
    <t>COZART SHEA WOODY</t>
  </si>
  <si>
    <t>286 TURRENTINE CHURCH RD</t>
  </si>
  <si>
    <t>K70000001902</t>
  </si>
  <si>
    <t>NICHOLS ROBIN VANDIVER</t>
  </si>
  <si>
    <t>NICHOLS KIMBERLY NICOLE</t>
  </si>
  <si>
    <t>971 JOE ROAD</t>
  </si>
  <si>
    <t>D300000062</t>
  </si>
  <si>
    <t>MYERS JERRY KERMIT</t>
  </si>
  <si>
    <t>MYERS EUGENIA</t>
  </si>
  <si>
    <t>M5030A0024</t>
  </si>
  <si>
    <t>GARCIA MILAGRO URIAS</t>
  </si>
  <si>
    <t>5247 LITTLE NECK PKWY</t>
  </si>
  <si>
    <t>LITTLE NECK</t>
  </si>
  <si>
    <t>11362-1851</t>
  </si>
  <si>
    <t>M5030A0023</t>
  </si>
  <si>
    <t>M5030A0022</t>
  </si>
  <si>
    <t>K50000005107</t>
  </si>
  <si>
    <t>RUTHERFORD JULIE</t>
  </si>
  <si>
    <t>RUTHERFORD WILLIAM HARRISON</t>
  </si>
  <si>
    <t>721 DEADMON RD</t>
  </si>
  <si>
    <t>D200000001</t>
  </si>
  <si>
    <t>CASTRO HUGO</t>
  </si>
  <si>
    <t>D20000000109</t>
  </si>
  <si>
    <t>N500000080</t>
  </si>
  <si>
    <t>IBRAHAM JACOB</t>
  </si>
  <si>
    <t>4635 DUFFER CT</t>
  </si>
  <si>
    <t>27040-9722</t>
  </si>
  <si>
    <t>I6140A0001</t>
  </si>
  <si>
    <t>HOLMES ASHLEY E</t>
  </si>
  <si>
    <t>SIZEMORE DENISE M</t>
  </si>
  <si>
    <t>147 LAKEVIEW RD</t>
  </si>
  <si>
    <t>27028-7366</t>
  </si>
  <si>
    <t>D9020A0007</t>
  </si>
  <si>
    <t>GRANDE PHILIP C</t>
  </si>
  <si>
    <t>GRANDE AMY J</t>
  </si>
  <si>
    <t>481 BING CROSBY BLVD</t>
  </si>
  <si>
    <t>J7050A0005  A</t>
  </si>
  <si>
    <t>HILLEBRAND MARY DEAN</t>
  </si>
  <si>
    <t>231 FORK BIXBY ROAD</t>
  </si>
  <si>
    <t>I800000039</t>
  </si>
  <si>
    <t>THOMPSON WESLEY TODD</t>
  </si>
  <si>
    <t>THOMPSON AUDREY NIFONG</t>
  </si>
  <si>
    <t>153 BIG OPOSSUM LN</t>
  </si>
  <si>
    <t>C700000143</t>
  </si>
  <si>
    <t>SANCHEZ-TREJO ROSA</t>
  </si>
  <si>
    <t>OBANDO HUBERT</t>
  </si>
  <si>
    <t>112 WILLS RD</t>
  </si>
  <si>
    <t>O60000000201</t>
  </si>
  <si>
    <t>BLAKE JAMES RAY</t>
  </si>
  <si>
    <t>369 DEER RUN DR</t>
  </si>
  <si>
    <t>27028-8907</t>
  </si>
  <si>
    <t>H400000155</t>
  </si>
  <si>
    <t>MCDONVILLE LLC</t>
  </si>
  <si>
    <t>% MCDONALD'S CORP (32-1318)</t>
  </si>
  <si>
    <t>110 N CARPENTER ST</t>
  </si>
  <si>
    <t>60607-4106</t>
  </si>
  <si>
    <t>N5020A0001</t>
  </si>
  <si>
    <t>N5010D0002</t>
  </si>
  <si>
    <t>J50000003709</t>
  </si>
  <si>
    <t>FEARNSIDE SHAWN CURTIS</t>
  </si>
  <si>
    <t>362 EATON RD</t>
  </si>
  <si>
    <t>E900000678</t>
  </si>
  <si>
    <t>NEUFER PETER DARRELL</t>
  </si>
  <si>
    <t>NEUFER ROBIN L</t>
  </si>
  <si>
    <t>464 N HIDDENBROOKE DR</t>
  </si>
  <si>
    <t>H4180A0009</t>
  </si>
  <si>
    <t>ROBELLO ANNETTE CARTER</t>
  </si>
  <si>
    <t>134 STERLING DR</t>
  </si>
  <si>
    <t>I5160B0022</t>
  </si>
  <si>
    <t>WESTCAR PROPERTIES LLC</t>
  </si>
  <si>
    <t>2544 HARVEL SCHOOL RD</t>
  </si>
  <si>
    <t>27055-6639</t>
  </si>
  <si>
    <t>F500000040</t>
  </si>
  <si>
    <t>GORE MELISSA M</t>
  </si>
  <si>
    <t>459 FARMINGTON RD</t>
  </si>
  <si>
    <t>27028-7639</t>
  </si>
  <si>
    <t>M5090A002201</t>
  </si>
  <si>
    <t>ALLEN ROSA CARTER</t>
  </si>
  <si>
    <t>1235 NC 801 HWY</t>
  </si>
  <si>
    <t>27054-9409</t>
  </si>
  <si>
    <t>E30000006903</t>
  </si>
  <si>
    <t>GARCIA EVELYN</t>
  </si>
  <si>
    <t>1025 CHRIS DR</t>
  </si>
  <si>
    <t>PORTLAND</t>
  </si>
  <si>
    <t>37148-2437</t>
  </si>
  <si>
    <t>E8070B0003</t>
  </si>
  <si>
    <t>NEWSOME GAY SPENCER</t>
  </si>
  <si>
    <t>139 ASHBURTON RD</t>
  </si>
  <si>
    <t>N60000005306</t>
  </si>
  <si>
    <t>144 RIVERDALE RD</t>
  </si>
  <si>
    <t>D400000027</t>
  </si>
  <si>
    <t>LUTZ KAREN HOWARD</t>
  </si>
  <si>
    <t>300 LUTZ LN</t>
  </si>
  <si>
    <t>27028-4903</t>
  </si>
  <si>
    <t>D40000002601</t>
  </si>
  <si>
    <t>G700000140</t>
  </si>
  <si>
    <t>ALL-PHASE SERVICES LLC</t>
  </si>
  <si>
    <t>7590 RINEHART LN</t>
  </si>
  <si>
    <t>27012-8864</t>
  </si>
  <si>
    <t>D8100B0016</t>
  </si>
  <si>
    <t>MURPHY BETTY JEAN</t>
  </si>
  <si>
    <t>PO BOX 24192</t>
  </si>
  <si>
    <t>E600000045</t>
  </si>
  <si>
    <t>PIPES WILLIAM ROBERT</t>
  </si>
  <si>
    <t>PIPES MONICA LYNN</t>
  </si>
  <si>
    <t>317 LIVINGSTON RD</t>
  </si>
  <si>
    <t>27028-7723</t>
  </si>
  <si>
    <t>F800000054</t>
  </si>
  <si>
    <t>OVERMAN SARAH</t>
  </si>
  <si>
    <t>210 HILLCREST DR</t>
  </si>
  <si>
    <t>27006-7607</t>
  </si>
  <si>
    <t>H40000000502</t>
  </si>
  <si>
    <t>ORSILLO JOHN ROBERT</t>
  </si>
  <si>
    <t>KOONTZ BRANDY E</t>
  </si>
  <si>
    <t>H8060A0066</t>
  </si>
  <si>
    <t>WEEKS JOHN MICHAEL</t>
  </si>
  <si>
    <t>WEEKS SARAH KATHERINE</t>
  </si>
  <si>
    <t>350 COVINGTON DR</t>
  </si>
  <si>
    <t>J30000001707</t>
  </si>
  <si>
    <t>WEAVER ABRAHAM TR &amp; WEAVER DAVID ABE TR</t>
  </si>
  <si>
    <t>ABRAHAM WEAVER REV TRUST</t>
  </si>
  <si>
    <t>C8010C0012</t>
  </si>
  <si>
    <t>TOWNSEND PATRICIA K TR</t>
  </si>
  <si>
    <t>PATRICIA K TOWNSEND REV TRUST</t>
  </si>
  <si>
    <t>5050 SALEMTOWNE DR APT 171</t>
  </si>
  <si>
    <t>27106-3894</t>
  </si>
  <si>
    <t>I5170C0026</t>
  </si>
  <si>
    <t>HONEYCUTT PHYLLIS S</t>
  </si>
  <si>
    <t>TAYLOR EUGENIA H</t>
  </si>
  <si>
    <t>144 MILLWRIGHT CT</t>
  </si>
  <si>
    <t>G9090B0045</t>
  </si>
  <si>
    <t>GEDDES KIMBERLY ANN</t>
  </si>
  <si>
    <t>180 S MARCH FERRY RD</t>
  </si>
  <si>
    <t>C7150A0016</t>
  </si>
  <si>
    <t>BURNETTE KARIN LUSK</t>
  </si>
  <si>
    <t>BURNETTE MARK WAYNE</t>
  </si>
  <si>
    <t>204 WOODBURN PL</t>
  </si>
  <si>
    <t>J600000017</t>
  </si>
  <si>
    <t>DALTON JOSEPHINE</t>
  </si>
  <si>
    <t>I300000020</t>
  </si>
  <si>
    <t>AGARWAL RAJ</t>
  </si>
  <si>
    <t>AGARWAL DARSHAN</t>
  </si>
  <si>
    <t>883 N CANYON MOONLIGHT PL</t>
  </si>
  <si>
    <t>85745-1588</t>
  </si>
  <si>
    <t>J60000002008</t>
  </si>
  <si>
    <t>DALTON STANLEY ELLA H</t>
  </si>
  <si>
    <t>G300000026</t>
  </si>
  <si>
    <t>DURHAM MONA LISA ADAMS</t>
  </si>
  <si>
    <t>334 IJAMES CHURCH RD</t>
  </si>
  <si>
    <t>H300000037</t>
  </si>
  <si>
    <t>GOFORTH GEORGE HUGH JR</t>
  </si>
  <si>
    <t>GOFORTH FLORENCE LUCY</t>
  </si>
  <si>
    <t>305 POWELL RD</t>
  </si>
  <si>
    <t>B700000101</t>
  </si>
  <si>
    <t>HANES DAVID M</t>
  </si>
  <si>
    <t>2615 KING GEORGE CT NE</t>
  </si>
  <si>
    <t>CONYERS</t>
  </si>
  <si>
    <t>30012-0000</t>
  </si>
  <si>
    <t>O600000021</t>
  </si>
  <si>
    <t>HARGROVE HENRY ELTON</t>
  </si>
  <si>
    <t>1306 N 31ST ST</t>
  </si>
  <si>
    <t>19121-4425</t>
  </si>
  <si>
    <t>C50000005703</t>
  </si>
  <si>
    <t>FROST SHANNON</t>
  </si>
  <si>
    <t>HEGE VIOLET</t>
  </si>
  <si>
    <t>143 SPRINGWOOD TRL</t>
  </si>
  <si>
    <t>27028-6168</t>
  </si>
  <si>
    <t>L60000000504</t>
  </si>
  <si>
    <t>ASHLEY WAY PROPERTY OWNERS</t>
  </si>
  <si>
    <t>27028-0043</t>
  </si>
  <si>
    <t>L60000000503</t>
  </si>
  <si>
    <t>I5050A0054</t>
  </si>
  <si>
    <t>M5030A0003</t>
  </si>
  <si>
    <t>HEAD CLARENCE WILLIAM ETAL</t>
  </si>
  <si>
    <t>BEAUCHAMP MARGIE HEAD</t>
  </si>
  <si>
    <t>C300000026</t>
  </si>
  <si>
    <t>HOWELL MAZIE HEIRS</t>
  </si>
  <si>
    <t>5108 ALASKA DRIVE</t>
  </si>
  <si>
    <t>L70000000502</t>
  </si>
  <si>
    <t>MILLSAPS TYLER PAKE</t>
  </si>
  <si>
    <t>BEAL MAKAYLA</t>
  </si>
  <si>
    <t>5655 NC HIGHWAY 801 S</t>
  </si>
  <si>
    <t>27028-5403</t>
  </si>
  <si>
    <t>D9050C0043</t>
  </si>
  <si>
    <t>MCCALL MARY W TR</t>
  </si>
  <si>
    <t>MARY W MCCALL REV LIV TRUST</t>
  </si>
  <si>
    <t>2306 BERMUDA VLG</t>
  </si>
  <si>
    <t>H700000050  A</t>
  </si>
  <si>
    <t>JONES MARC</t>
  </si>
  <si>
    <t>128 FALCON LN</t>
  </si>
  <si>
    <t>E8070B0009</t>
  </si>
  <si>
    <t>MAY SHANNON L</t>
  </si>
  <si>
    <t>MAY JUSTIN D</t>
  </si>
  <si>
    <t>139 RIVER RD</t>
  </si>
  <si>
    <t>E8070B0010</t>
  </si>
  <si>
    <t>G3020A0008</t>
  </si>
  <si>
    <t>JOHNSON GREGG ALAN</t>
  </si>
  <si>
    <t>JOHNSON PATRICIA WOLLITZ</t>
  </si>
  <si>
    <t>219 WHITE DOVE WAY</t>
  </si>
  <si>
    <t>C8010A0090</t>
  </si>
  <si>
    <t>SMITH LISBETH</t>
  </si>
  <si>
    <t>108 LAKEPOINT DR</t>
  </si>
  <si>
    <t>J5050B0017</t>
  </si>
  <si>
    <t>KUNJBEHARI BHOAJ</t>
  </si>
  <si>
    <t>GHANSHAM LATCHMIN</t>
  </si>
  <si>
    <t>192 CARRIAGE COVE CIR</t>
  </si>
  <si>
    <t>I5030A0043</t>
  </si>
  <si>
    <t>SNYDER JAMES KEITH</t>
  </si>
  <si>
    <t>SNYDER TAMARA G</t>
  </si>
  <si>
    <t>128 COVENANT COVE DR</t>
  </si>
  <si>
    <t>I5030A0042</t>
  </si>
  <si>
    <t>J4040A0006</t>
  </si>
  <si>
    <t>MARTINEZ MILTON</t>
  </si>
  <si>
    <t>MARTINEZ KATIE BONILLA</t>
  </si>
  <si>
    <t>319 W MAPLE AVE</t>
  </si>
  <si>
    <t>I4130A0010</t>
  </si>
  <si>
    <t>STANLEY JENNIFER CAROL</t>
  </si>
  <si>
    <t>308 TOT ST</t>
  </si>
  <si>
    <t>G8050B0021</t>
  </si>
  <si>
    <t>JORDAN SUSAN KIRK</t>
  </si>
  <si>
    <t>204 UNDERPASS RD</t>
  </si>
  <si>
    <t>27006-7521</t>
  </si>
  <si>
    <t>E400000043</t>
  </si>
  <si>
    <t>THOMAS BRIAN EUGENE</t>
  </si>
  <si>
    <t>THOMAS LISA RAMOS</t>
  </si>
  <si>
    <t>E40000004407</t>
  </si>
  <si>
    <t>E40000004408</t>
  </si>
  <si>
    <t>G30000000408</t>
  </si>
  <si>
    <t>BURTON MICHAEL WAYNE JR</t>
  </si>
  <si>
    <t>220 WAGNER RD</t>
  </si>
  <si>
    <t>J600000098</t>
  </si>
  <si>
    <t>G20000006904</t>
  </si>
  <si>
    <t>ATKINS CHRISTOPHER C</t>
  </si>
  <si>
    <t>ATKINS TARA S</t>
  </si>
  <si>
    <t>G20000006903</t>
  </si>
  <si>
    <t>G20000006901</t>
  </si>
  <si>
    <t>E50000003316</t>
  </si>
  <si>
    <t>MCCASKILL THOMAS G</t>
  </si>
  <si>
    <t>MCCASKILL JESSICA ANN</t>
  </si>
  <si>
    <t>D20000000102</t>
  </si>
  <si>
    <t>WISE NATASHA</t>
  </si>
  <si>
    <t>156 OSBORNE ST</t>
  </si>
  <si>
    <t>28642-2111</t>
  </si>
  <si>
    <t>F600000081</t>
  </si>
  <si>
    <t>GREGORY LINDA ROBERTSON</t>
  </si>
  <si>
    <t>176 DULIN RD</t>
  </si>
  <si>
    <t>F600000082</t>
  </si>
  <si>
    <t>H5150A001802</t>
  </si>
  <si>
    <t>TYNER E KYLE</t>
  </si>
  <si>
    <t>228 BAYMOUNT DR</t>
  </si>
  <si>
    <t>28625-9547</t>
  </si>
  <si>
    <t>I400000084</t>
  </si>
  <si>
    <t>KOONTZ JOHN M</t>
  </si>
  <si>
    <t>180 LAKEVIEW DRIVE</t>
  </si>
  <si>
    <t>I400000085</t>
  </si>
  <si>
    <t>G20000005520</t>
  </si>
  <si>
    <t>PETERKIN LEATTA JEANNE</t>
  </si>
  <si>
    <t>202 SHEFFIELD RD</t>
  </si>
  <si>
    <t>M600000021</t>
  </si>
  <si>
    <t>GRUBB CARL CLIFTON</t>
  </si>
  <si>
    <t>H400000016</t>
  </si>
  <si>
    <t>WILSON STEPHEN</t>
  </si>
  <si>
    <t>3001 FOX ST APT 121</t>
  </si>
  <si>
    <t>80202-7119</t>
  </si>
  <si>
    <t>I70000000701</t>
  </si>
  <si>
    <t>DARTT VERNON RICHARD</t>
  </si>
  <si>
    <t>DARTT LELIA ANN B</t>
  </si>
  <si>
    <t>5639 E HIGHWAY 150</t>
  </si>
  <si>
    <t>ATTN: JOY MILLER</t>
  </si>
  <si>
    <t>28092-8322</t>
  </si>
  <si>
    <t>B30000003701</t>
  </si>
  <si>
    <t>MOORE KATHY H</t>
  </si>
  <si>
    <t>MOORE JASON W</t>
  </si>
  <si>
    <t>3553 MAYFAIR ST</t>
  </si>
  <si>
    <t>27707-0044</t>
  </si>
  <si>
    <t>C4160A0014</t>
  </si>
  <si>
    <t>MITTELMAN DAVID RODRIGO</t>
  </si>
  <si>
    <t>216 BRADFORD PLACE LN</t>
  </si>
  <si>
    <t>27023-8640</t>
  </si>
  <si>
    <t>C40000000302</t>
  </si>
  <si>
    <t>C40000000303</t>
  </si>
  <si>
    <t>D9090E0016</t>
  </si>
  <si>
    <t>THOMPSON BRYAN C TRSTEE</t>
  </si>
  <si>
    <t>JACQUELINE P RIDER IRREV TRST</t>
  </si>
  <si>
    <t>110 OAKWOOD DR STE 200</t>
  </si>
  <si>
    <t>27103-1958</t>
  </si>
  <si>
    <t>I5050B0006</t>
  </si>
  <si>
    <t>ROJAS PATRIA YARELIS PEREZ</t>
  </si>
  <si>
    <t>417 WHITNEY RD</t>
  </si>
  <si>
    <t>G900000026</t>
  </si>
  <si>
    <t>AKINS TIMOTHY W</t>
  </si>
  <si>
    <t>AKINS NANCY L</t>
  </si>
  <si>
    <t>PO BOX 2185</t>
  </si>
  <si>
    <t>27006-2185</t>
  </si>
  <si>
    <t>I5110C0006</t>
  </si>
  <si>
    <t>MAYFIELD BERNICE A</t>
  </si>
  <si>
    <t>% CAROLYN TATUM</t>
  </si>
  <si>
    <t>120 WINDWARD CIRCLE</t>
  </si>
  <si>
    <t>M5070A002402</t>
  </si>
  <si>
    <t>GUERRERO DORA MAIRENE</t>
  </si>
  <si>
    <t>BARILLAS JONATHAN ALEXANDER</t>
  </si>
  <si>
    <t>187 EDGEWOOD CIR</t>
  </si>
  <si>
    <t>E70000000202</t>
  </si>
  <si>
    <t>MCDANIEL EMMA</t>
  </si>
  <si>
    <t>360 HOWARDTOWN CIR</t>
  </si>
  <si>
    <t>D7020A0005</t>
  </si>
  <si>
    <t>ARMSTRONG DAVID JOSEPH</t>
  </si>
  <si>
    <t>ARMSTRONG TARA LYNN</t>
  </si>
  <si>
    <t>471 GORDON DR</t>
  </si>
  <si>
    <t>E900000476</t>
  </si>
  <si>
    <t>OGHALAI RAHIM</t>
  </si>
  <si>
    <t>OGHALAI KAREN</t>
  </si>
  <si>
    <t>190 NORTH HIDDENBROOKE DRIVE</t>
  </si>
  <si>
    <t>H500000022</t>
  </si>
  <si>
    <t>MCCULLOH LONNIE RAY JR</t>
  </si>
  <si>
    <t>MCCULLOH SUSAN W</t>
  </si>
  <si>
    <t>1925 US HIGHWAY 158</t>
  </si>
  <si>
    <t>F80000011008A</t>
  </si>
  <si>
    <t>MABE DAVID RICHARD</t>
  </si>
  <si>
    <t>220 PINE VISTA DR</t>
  </si>
  <si>
    <t>28374-9208</t>
  </si>
  <si>
    <t>E9150B0013</t>
  </si>
  <si>
    <t>JAMES I &amp; BARBARA H GRAY TRUST</t>
  </si>
  <si>
    <t>PO BOX 7</t>
  </si>
  <si>
    <t>27006-0007</t>
  </si>
  <si>
    <t>C70000006705</t>
  </si>
  <si>
    <t>MCCUNE HALEY</t>
  </si>
  <si>
    <t>852 NC HIGHWAY 801 N</t>
  </si>
  <si>
    <t>D8060A0013</t>
  </si>
  <si>
    <t>THE JEWEL COPE CARRUTHERS REV LIV TRUST</t>
  </si>
  <si>
    <t>CARRUTHERS JEWEL COPE</t>
  </si>
  <si>
    <t>354 RIVERBEND DR</t>
  </si>
  <si>
    <t>H7120B0012</t>
  </si>
  <si>
    <t>MCKAIN CLAIRE</t>
  </si>
  <si>
    <t>MCKAIN TAYLOR</t>
  </si>
  <si>
    <t>183 OLD DUTCH RD</t>
  </si>
  <si>
    <t>C7140A0097</t>
  </si>
  <si>
    <t>SAMBASIVAM KAAVIYA</t>
  </si>
  <si>
    <t>178 MORNING STAR DR</t>
  </si>
  <si>
    <t>K50000005109</t>
  </si>
  <si>
    <t>RICHARDSON LINDA R SPEARS</t>
  </si>
  <si>
    <t>RICHARDSON TIMOTHY L</t>
  </si>
  <si>
    <t>735 DEADMON RD</t>
  </si>
  <si>
    <t>E9150B0114</t>
  </si>
  <si>
    <t>LUCE ANTHONY DOMINICK</t>
  </si>
  <si>
    <t>LUCE BETSY TURBYFILL</t>
  </si>
  <si>
    <t>379 ORCHARD PARK DR</t>
  </si>
  <si>
    <t>B10000000401</t>
  </si>
  <si>
    <t>MAURER BRANDON ROSS</t>
  </si>
  <si>
    <t>MAURER LAUREN TAYLOR</t>
  </si>
  <si>
    <t>203 EDWARD BECK RD</t>
  </si>
  <si>
    <t>D70000016001</t>
  </si>
  <si>
    <t>FGMJMP LLC</t>
  </si>
  <si>
    <t>G40000002901</t>
  </si>
  <si>
    <t>MCCULLOH BENJAMIN ELI</t>
  </si>
  <si>
    <t>D3010B0008</t>
  </si>
  <si>
    <t>DAVIDSON CHRISTOPHER</t>
  </si>
  <si>
    <t>190 WADE EATON DR</t>
  </si>
  <si>
    <t>M5160D0014</t>
  </si>
  <si>
    <t>PERAZA JOSE MIGUEL JIMENEZ</t>
  </si>
  <si>
    <t>230 AUDREY LN</t>
  </si>
  <si>
    <t>28147-8964</t>
  </si>
  <si>
    <t>I5160A0016</t>
  </si>
  <si>
    <t>RJB PROPERTY SOLUTIONS LLC</t>
  </si>
  <si>
    <t>5325 ASHTON CT</t>
  </si>
  <si>
    <t>34233-3402</t>
  </si>
  <si>
    <t>C7140A0055</t>
  </si>
  <si>
    <t>POONNEN RANJIT</t>
  </si>
  <si>
    <t>POONNEN AMANDA SUMRALL</t>
  </si>
  <si>
    <t>246 BRAYDEN DR</t>
  </si>
  <si>
    <t>F100000025</t>
  </si>
  <si>
    <t>ALLEN DAVID ROBERT</t>
  </si>
  <si>
    <t>ALLEN DAWN</t>
  </si>
  <si>
    <t>192 JOHN IJAMES RD</t>
  </si>
  <si>
    <t>27028-5817</t>
  </si>
  <si>
    <t>J5050B0019</t>
  </si>
  <si>
    <t>MILLS HARRIS PROPERTIES LLC</t>
  </si>
  <si>
    <t>3424 KILCASH DR</t>
  </si>
  <si>
    <t>27012-8600</t>
  </si>
  <si>
    <t>C7140A0081</t>
  </si>
  <si>
    <t>DEBALD MATTHEW</t>
  </si>
  <si>
    <t>MARZANO KAELEY</t>
  </si>
  <si>
    <t>115 MORNING STAR DR</t>
  </si>
  <si>
    <t>C60000001701</t>
  </si>
  <si>
    <t>THE EDWARD OTTO MARX LIVING TRUST</t>
  </si>
  <si>
    <t>MARX EDWARD OTTO</t>
  </si>
  <si>
    <t>923 UNION ST</t>
  </si>
  <si>
    <t>CHERRY VALLEY</t>
  </si>
  <si>
    <t>92223-4071</t>
  </si>
  <si>
    <t>F80000011002</t>
  </si>
  <si>
    <t>POTTER ROW TRUST</t>
  </si>
  <si>
    <t>PO BOX 849</t>
  </si>
  <si>
    <t>27204-0849</t>
  </si>
  <si>
    <t>D7030C0012</t>
  </si>
  <si>
    <t>TRACY TRACY L</t>
  </si>
  <si>
    <t>130 FREEDOM DR</t>
  </si>
  <si>
    <t>H400000020</t>
  </si>
  <si>
    <t>QUINN MICHAEL P</t>
  </si>
  <si>
    <t>1511 UNION RD</t>
  </si>
  <si>
    <t>28104-3282</t>
  </si>
  <si>
    <t>H40000009302</t>
  </si>
  <si>
    <t>H40000009303</t>
  </si>
  <si>
    <t>F3130A0014</t>
  </si>
  <si>
    <t>AMH 2015-1 BORROWER LLC</t>
  </si>
  <si>
    <t>ATTN: PRPERTY TAX DEPT.</t>
  </si>
  <si>
    <t>F8020B0035</t>
  </si>
  <si>
    <t>H4130A0112</t>
  </si>
  <si>
    <t>I5050B0040</t>
  </si>
  <si>
    <t>H40000010901</t>
  </si>
  <si>
    <t>KUVAR LLC</t>
  </si>
  <si>
    <t>1183 YADKINVILLE RD</t>
  </si>
  <si>
    <t>27028-2042</t>
  </si>
  <si>
    <t>I5040A0014</t>
  </si>
  <si>
    <t>FINGAR BRYON G</t>
  </si>
  <si>
    <t>FINGAR NINA M</t>
  </si>
  <si>
    <t>290 ROLLING HILLS LN</t>
  </si>
  <si>
    <t>H800000037  A</t>
  </si>
  <si>
    <t>BOULOS HOLDINGS LLC</t>
  </si>
  <si>
    <t>J5150B0009</t>
  </si>
  <si>
    <t>I6080A0025</t>
  </si>
  <si>
    <t>ARNOLD JAMIESE</t>
  </si>
  <si>
    <t>164 ARIEL CT</t>
  </si>
  <si>
    <t>D3010A0012</t>
  </si>
  <si>
    <t>GLOVER XAVIER K</t>
  </si>
  <si>
    <t>GLOVER DONDRIA D</t>
  </si>
  <si>
    <t>132 GREENFIELD RD</t>
  </si>
  <si>
    <t>F3130A0032</t>
  </si>
  <si>
    <t>KEMPE LINDA LEE</t>
  </si>
  <si>
    <t>207 PEPPERSTONE DR</t>
  </si>
  <si>
    <t>G9090C0001</t>
  </si>
  <si>
    <t>ROGERS ADAM</t>
  </si>
  <si>
    <t>ROGERS JESSICA</t>
  </si>
  <si>
    <t>1291 PEOPLES CREEK RD</t>
  </si>
  <si>
    <t>G50000008106</t>
  </si>
  <si>
    <t>DAVIS LORI TR &amp; HARTLEY STEPHANIE TR</t>
  </si>
  <si>
    <t>HEPLER FAMILY IRREVOCABLE TRUS</t>
  </si>
  <si>
    <t>2550 US HIGHWAY 158</t>
  </si>
  <si>
    <t>H8060A0003</t>
  </si>
  <si>
    <t>FKH SFR PROPCO G, LP</t>
  </si>
  <si>
    <t>ATTN FIRSTKEY HOMES LLC</t>
  </si>
  <si>
    <t>600 GALLERIA PKWY STE 300</t>
  </si>
  <si>
    <t>30339-8146</t>
  </si>
  <si>
    <t>H4130A0034</t>
  </si>
  <si>
    <t>FKH SFR C GP LLC</t>
  </si>
  <si>
    <t>% CERBERUS CAPITAL MGMT LLC</t>
  </si>
  <si>
    <t>600 GALLERIA PARKWAY SUITE 300</t>
  </si>
  <si>
    <t>F8020A0009</t>
  </si>
  <si>
    <t>E900000137</t>
  </si>
  <si>
    <t>FKH SFR PROPCO A LP</t>
  </si>
  <si>
    <t>% FIRST KEY HOMES LLC</t>
  </si>
  <si>
    <t>E900000228</t>
  </si>
  <si>
    <t>C8010A0407</t>
  </si>
  <si>
    <t>C8010A0249</t>
  </si>
  <si>
    <t>C8010A0060</t>
  </si>
  <si>
    <t>C8010A0063</t>
  </si>
  <si>
    <t>FKH SFR PROPCO K LP</t>
  </si>
  <si>
    <t>FIRSTKEY HOMES LLC</t>
  </si>
  <si>
    <t>C8010A0274</t>
  </si>
  <si>
    <t>E7140A0014</t>
  </si>
  <si>
    <t>C8010B0389</t>
  </si>
  <si>
    <t>D7080A0053</t>
  </si>
  <si>
    <t>G8140A0041</t>
  </si>
  <si>
    <t>FKH SFR C2 LP</t>
  </si>
  <si>
    <t>C8010A0142</t>
  </si>
  <si>
    <t>C8010A0161</t>
  </si>
  <si>
    <t>C8010A0226</t>
  </si>
  <si>
    <t>E900000350</t>
  </si>
  <si>
    <t>E900000668</t>
  </si>
  <si>
    <t>E900000174</t>
  </si>
  <si>
    <t>FKH SFR PROPCO I LP</t>
  </si>
  <si>
    <t>C8010A0232</t>
  </si>
  <si>
    <t>C8010B0386</t>
  </si>
  <si>
    <t>C8010A0418</t>
  </si>
  <si>
    <t>C8010B0339</t>
  </si>
  <si>
    <t>C8010C0006</t>
  </si>
  <si>
    <t>C8010D0041</t>
  </si>
  <si>
    <t>C8010D0034</t>
  </si>
  <si>
    <t>C8010C0007</t>
  </si>
  <si>
    <t>C8010C0003</t>
  </si>
  <si>
    <t>FKH SFR PROPCO G LP</t>
  </si>
  <si>
    <t>ATTN: FIRSTKEY HOMES LLC</t>
  </si>
  <si>
    <t>C8010A0350</t>
  </si>
  <si>
    <t>F8020B0045</t>
  </si>
  <si>
    <t>C8010B0390</t>
  </si>
  <si>
    <t>FKH SFR PROPCO J LP</t>
  </si>
  <si>
    <t>ATTN:FIRSTKEY HOMES LLC</t>
  </si>
  <si>
    <t>600 GALLERIA PKWY SE STE 300</t>
  </si>
  <si>
    <t>C7140A0056</t>
  </si>
  <si>
    <t>MILLER RYAN</t>
  </si>
  <si>
    <t>MILLER HANNAH SHAPIRO</t>
  </si>
  <si>
    <t>248 BRAYDEN DR</t>
  </si>
  <si>
    <t>J100000031</t>
  </si>
  <si>
    <t>KEATON SARAH</t>
  </si>
  <si>
    <t>KEATON FRANKIE III</t>
  </si>
  <si>
    <t>1633 RIDGE RD</t>
  </si>
  <si>
    <t>27028-8350</t>
  </si>
  <si>
    <t>L80000000202</t>
  </si>
  <si>
    <t>WALTERS LAUREN ANN</t>
  </si>
  <si>
    <t>WALTERS PAUL CLINTON</t>
  </si>
  <si>
    <t>686 RIVERVIEW RD</t>
  </si>
  <si>
    <t>I100000019</t>
  </si>
  <si>
    <t>CHAPUT GABRIEL</t>
  </si>
  <si>
    <t>CHAPUT JENNIFER</t>
  </si>
  <si>
    <t>210 NC HIGHWAY 901 W</t>
  </si>
  <si>
    <t>D400000026</t>
  </si>
  <si>
    <t>D'AMATO THOMAS J ETAL</t>
  </si>
  <si>
    <t>304 BALLYBUNION LN</t>
  </si>
  <si>
    <t>TOMS RIVER</t>
  </si>
  <si>
    <t>08755-3113</t>
  </si>
  <si>
    <t>N60000006105</t>
  </si>
  <si>
    <t>SMITH SHAWNA</t>
  </si>
  <si>
    <t>335 RIVERDALE RD</t>
  </si>
  <si>
    <t>27028-6827</t>
  </si>
  <si>
    <t>H500000009</t>
  </si>
  <si>
    <t>GOODSON GAVIN</t>
  </si>
  <si>
    <t>GOODSON DARIEN</t>
  </si>
  <si>
    <t>2255 VINELAND LN</t>
  </si>
  <si>
    <t>27103-9798</t>
  </si>
  <si>
    <t>D3010A0021</t>
  </si>
  <si>
    <t>WEST MICHAEL G</t>
  </si>
  <si>
    <t>WEST BONNY</t>
  </si>
  <si>
    <t>108 HIGHLAND RD</t>
  </si>
  <si>
    <t>G70000014301</t>
  </si>
  <si>
    <t>BURGESS RONALD GARY</t>
  </si>
  <si>
    <t>258 GRANADA DR</t>
  </si>
  <si>
    <t>G8140A0040</t>
  </si>
  <si>
    <t>ZINAMAN KYLE NATHAN</t>
  </si>
  <si>
    <t>157 SCOTCH MOSS DR</t>
  </si>
  <si>
    <t>M5070A0026</t>
  </si>
  <si>
    <t>D8100B0019</t>
  </si>
  <si>
    <t>ISLEY LISA SUE</t>
  </si>
  <si>
    <t>8921 HARPERS GROVE LN</t>
  </si>
  <si>
    <t>27012-9722</t>
  </si>
  <si>
    <t>L600000066</t>
  </si>
  <si>
    <t>LINK JOHN RICHARD JR</t>
  </si>
  <si>
    <t>E400000012</t>
  </si>
  <si>
    <t>KING RICKY L</t>
  </si>
  <si>
    <t>KING LISA R</t>
  </si>
  <si>
    <t>145 OLD WAGON TRL</t>
  </si>
  <si>
    <t>27028-4782</t>
  </si>
  <si>
    <t>E400000018</t>
  </si>
  <si>
    <t>J70000007903</t>
  </si>
  <si>
    <t>SHIV SHAMBHU INC</t>
  </si>
  <si>
    <t>3212 STEPHEN PACE TRL</t>
  </si>
  <si>
    <t>28078-3911</t>
  </si>
  <si>
    <t>J40000002205</t>
  </si>
  <si>
    <t>CHARSLEY DAVID GEORGE</t>
  </si>
  <si>
    <t>CHARSLEY ASHLEY STEPHEN FRASER</t>
  </si>
  <si>
    <t>1162 COUNTY HOME RD</t>
  </si>
  <si>
    <t>E900000194</t>
  </si>
  <si>
    <t>BROWN KIMBERLY P</t>
  </si>
  <si>
    <t>131 LONETREE CIR</t>
  </si>
  <si>
    <t>J4050E0005</t>
  </si>
  <si>
    <t>DRYE CYNTHIA C</t>
  </si>
  <si>
    <t>705 S SALISBURY ST</t>
  </si>
  <si>
    <t>I5170A0120</t>
  </si>
  <si>
    <t>ROONEY JOHN MAURICE</t>
  </si>
  <si>
    <t>120 MILL RUN DR</t>
  </si>
  <si>
    <t>H300000019</t>
  </si>
  <si>
    <t>GOBBLE LOREAN H</t>
  </si>
  <si>
    <t>785 SHEFFIELD RD</t>
  </si>
  <si>
    <t>G200000026</t>
  </si>
  <si>
    <t>H30000001701</t>
  </si>
  <si>
    <t>F10000002502</t>
  </si>
  <si>
    <t>G9090B0009</t>
  </si>
  <si>
    <t>D7080A0008</t>
  </si>
  <si>
    <t>C8010C0005</t>
  </si>
  <si>
    <t>FKH SFR L LP</t>
  </si>
  <si>
    <t>C8010C0013</t>
  </si>
  <si>
    <t>C8010D0032</t>
  </si>
  <si>
    <t>FKH SFR PROPCO H LP</t>
  </si>
  <si>
    <t>E900000158</t>
  </si>
  <si>
    <t>FKH SFR N LP</t>
  </si>
  <si>
    <t>E900000434</t>
  </si>
  <si>
    <t>RM1 SFR PROPCO A LP</t>
  </si>
  <si>
    <t>F8030A0054</t>
  </si>
  <si>
    <t>G8140A0078</t>
  </si>
  <si>
    <t>RM1 SFR PROPCO B LP</t>
  </si>
  <si>
    <t>D7080A0033</t>
  </si>
  <si>
    <t>C8010B0344</t>
  </si>
  <si>
    <t>C30000012101</t>
  </si>
  <si>
    <t>WILSON S WALLACE REV LIV TRUST</t>
  </si>
  <si>
    <t>WALLACE WILSON S TR</t>
  </si>
  <si>
    <t>D20000003807</t>
  </si>
  <si>
    <t>KIMBERLY LOFT BAITINGER REV TRUST</t>
  </si>
  <si>
    <t>BAITINGER KIMBERLY LOFT TR</t>
  </si>
  <si>
    <t>209 MEADOW GLEN LN</t>
  </si>
  <si>
    <t>C7140A0095</t>
  </si>
  <si>
    <t>GAUSSOIN ROCH</t>
  </si>
  <si>
    <t>GAUSSOIN PRISCILLA</t>
  </si>
  <si>
    <t>162 MORNING STAR DR</t>
  </si>
  <si>
    <t>D7080A0006</t>
  </si>
  <si>
    <t>WILSON JOSHUA</t>
  </si>
  <si>
    <t>159 LONGWOOD DR</t>
  </si>
  <si>
    <t>C7140A0068</t>
  </si>
  <si>
    <t>DOMINGO MATTHEW PAUL</t>
  </si>
  <si>
    <t>DOMINGO JENNIFER ANNE</t>
  </si>
  <si>
    <t>177 MORNING STAR DR</t>
  </si>
  <si>
    <t>D600000019</t>
  </si>
  <si>
    <t>GOOD DOG FARM LLC</t>
  </si>
  <si>
    <t>D600000020</t>
  </si>
  <si>
    <t>E600000011</t>
  </si>
  <si>
    <t>E60000000401</t>
  </si>
  <si>
    <t>J4040G0019</t>
  </si>
  <si>
    <t>RAMIREZ MELLISA ANN</t>
  </si>
  <si>
    <t>354 W MAPLE AVE</t>
  </si>
  <si>
    <t>27028-2550</t>
  </si>
  <si>
    <t>L500000106</t>
  </si>
  <si>
    <t>ZIMBARDO JANICE L</t>
  </si>
  <si>
    <t>ZIMBARDO CARMELO J</t>
  </si>
  <si>
    <t>C300000123</t>
  </si>
  <si>
    <t>BENFIELD DAVID</t>
  </si>
  <si>
    <t>765 HOWELL RD</t>
  </si>
  <si>
    <t>J5010D0090</t>
  </si>
  <si>
    <t>IAVARONI JOSEPH</t>
  </si>
  <si>
    <t>IAVARONI LAURA</t>
  </si>
  <si>
    <t>176 WINDING CREEK ROAD</t>
  </si>
  <si>
    <t>I5060B0017</t>
  </si>
  <si>
    <t>FOSTER-JACKSON ROBIN</t>
  </si>
  <si>
    <t>265 FULTON STREET</t>
  </si>
  <si>
    <t>27028-2805</t>
  </si>
  <si>
    <t>J4040G0006</t>
  </si>
  <si>
    <t>CENTER METHODIST CHURCH OF MOCKSVILLE</t>
  </si>
  <si>
    <t>1857 US HIGHWAY 64 W</t>
  </si>
  <si>
    <t>27028-8436</t>
  </si>
  <si>
    <t>H30000003901</t>
  </si>
  <si>
    <t>F30000008203</t>
  </si>
  <si>
    <t>BRIGGS SHAFFNER ACQUISITION COMPANY</t>
  </si>
  <si>
    <t>27055-0067</t>
  </si>
  <si>
    <t>F300000103</t>
  </si>
  <si>
    <t>F30000008201</t>
  </si>
  <si>
    <t>D9010D0001</t>
  </si>
  <si>
    <t>PAINLEY REGIS T</t>
  </si>
  <si>
    <t>PAINLEY VERA M</t>
  </si>
  <si>
    <t>204 HAMILTON CT</t>
  </si>
  <si>
    <t>27006-9589</t>
  </si>
  <si>
    <t>K5150A0008</t>
  </si>
  <si>
    <t>APARICIO ARIEL ZAPATA</t>
  </si>
  <si>
    <t>PEREZ ANORVE MA DE LOURDES</t>
  </si>
  <si>
    <t>149 HINKLE DR</t>
  </si>
  <si>
    <t>D7020C0014</t>
  </si>
  <si>
    <t>WJH LLC</t>
  </si>
  <si>
    <t>2325 LAKEVIEW PKWY STE 600</t>
  </si>
  <si>
    <t>ALPHARETTA</t>
  </si>
  <si>
    <t>30009-7941</t>
  </si>
  <si>
    <t>D7020C0019</t>
  </si>
  <si>
    <t>D7020C0018</t>
  </si>
  <si>
    <t>D7020C0020</t>
  </si>
  <si>
    <t>D7020C0021</t>
  </si>
  <si>
    <t>D7020C0022</t>
  </si>
  <si>
    <t>D7020C0030</t>
  </si>
  <si>
    <t>D7020C0034</t>
  </si>
  <si>
    <t>D7020C0035</t>
  </si>
  <si>
    <t>D7020C0036</t>
  </si>
  <si>
    <t>D7020C0037</t>
  </si>
  <si>
    <t>D7020C0028</t>
  </si>
  <si>
    <t>D7020C0023</t>
  </si>
  <si>
    <t>D7020C0024</t>
  </si>
  <si>
    <t>D7020C0029</t>
  </si>
  <si>
    <t>D7020C0031</t>
  </si>
  <si>
    <t>D7020C0032</t>
  </si>
  <si>
    <t>D7020C0033</t>
  </si>
  <si>
    <t>D7020C0027</t>
  </si>
  <si>
    <t>D7020C0026</t>
  </si>
  <si>
    <t>D7020C0025</t>
  </si>
  <si>
    <t>I5050C0004</t>
  </si>
  <si>
    <t>D700000187</t>
  </si>
  <si>
    <t>L60000000909</t>
  </si>
  <si>
    <t>I50000001104</t>
  </si>
  <si>
    <t>REPUBLIC SERVICES OF NORTH CAROLINA LLC</t>
  </si>
  <si>
    <t>% REPUBLIC SERV INC</t>
  </si>
  <si>
    <t>ATTN: CHIEF LEGAL OFFICER</t>
  </si>
  <si>
    <t>18500 NORTH ALLIED WAY</t>
  </si>
  <si>
    <t>M4050B0011</t>
  </si>
  <si>
    <t>POLICARPO CECILIA RODRIGUEZ</t>
  </si>
  <si>
    <t>M5020A0026</t>
  </si>
  <si>
    <t>I4130A0001</t>
  </si>
  <si>
    <t>MENDEZ CIPRIANO CHIQUITO</t>
  </si>
  <si>
    <t>VALDEZ APOLINAR PAOLA MENDEZ</t>
  </si>
  <si>
    <t>236 BOXWOOD CHURCH RD</t>
  </si>
  <si>
    <t>N60000004704A</t>
  </si>
  <si>
    <t>I5160A0033</t>
  </si>
  <si>
    <t>I5080B0021</t>
  </si>
  <si>
    <t>H20000004401</t>
  </si>
  <si>
    <t>SCHOPEN KEVIN S</t>
  </si>
  <si>
    <t>SCHOPEN CYNTHIA A</t>
  </si>
  <si>
    <t>J200000068</t>
  </si>
  <si>
    <t>TOWELL JOSEPH H</t>
  </si>
  <si>
    <t>TOWELL DEBORAH M</t>
  </si>
  <si>
    <t>1797 DAVIE ACADEMY RD</t>
  </si>
  <si>
    <t>J20000002003</t>
  </si>
  <si>
    <t>J20000001301</t>
  </si>
  <si>
    <t>J20000001402</t>
  </si>
  <si>
    <t>J20000001403</t>
  </si>
  <si>
    <t>J200000025</t>
  </si>
  <si>
    <t>J20000001401</t>
  </si>
  <si>
    <t>K200000019</t>
  </si>
  <si>
    <t>FRANK H DANIEL TESTAMENTARY TRUST</t>
  </si>
  <si>
    <t>%PHILIPS SUSAN D TRUSTEE</t>
  </si>
  <si>
    <t>211 LIVINGSTONE DR</t>
  </si>
  <si>
    <t>27513-2916</t>
  </si>
  <si>
    <t>O600000057  A</t>
  </si>
  <si>
    <t>JONES DELLA MAE</t>
  </si>
  <si>
    <t>523 BOXWOOD CHURCH RD</t>
  </si>
  <si>
    <t>O60000005701</t>
  </si>
  <si>
    <t>J700000120</t>
  </si>
  <si>
    <t>DIGGS MCGEE BRANDY NATASSIA</t>
  </si>
  <si>
    <t>2503 PEMBROOK PT</t>
  </si>
  <si>
    <t>CHAMPAIGN</t>
  </si>
  <si>
    <t>61821-6949</t>
  </si>
  <si>
    <t>I4010A0013</t>
  </si>
  <si>
    <t>GILMOUR THOMAS</t>
  </si>
  <si>
    <t>GILMOUR SHARMAN</t>
  </si>
  <si>
    <t>193 TURNBERRY DR</t>
  </si>
  <si>
    <t>J4140B0058</t>
  </si>
  <si>
    <t>242 N CAROLINA CIR</t>
  </si>
  <si>
    <t>L5020A001304</t>
  </si>
  <si>
    <t>COFFMAN WILLIAM LUCAS</t>
  </si>
  <si>
    <t>147 TWIN CEDARS GOLF RD</t>
  </si>
  <si>
    <t>J5010A0017</t>
  </si>
  <si>
    <t>MCBRIDE BARBARA B</t>
  </si>
  <si>
    <t>M4120A0007</t>
  </si>
  <si>
    <t>DANIELS BOBBY LEE HEIRS OF</t>
  </si>
  <si>
    <t>132 FLAT ROCK RD</t>
  </si>
  <si>
    <t>E9150A0002</t>
  </si>
  <si>
    <t>CROUSE LARRY WAYNE</t>
  </si>
  <si>
    <t>CROUSE GLENDA F</t>
  </si>
  <si>
    <t>1306 DORR DR</t>
  </si>
  <si>
    <t>SUGAR GROVE</t>
  </si>
  <si>
    <t>60554-5477</t>
  </si>
  <si>
    <t>G40000000903</t>
  </si>
  <si>
    <t>DULA KIMBERLY</t>
  </si>
  <si>
    <t>363 CANA RD</t>
  </si>
  <si>
    <t>J4050F0001</t>
  </si>
  <si>
    <t>HERNANDEZ ALFONSO ESPITIA</t>
  </si>
  <si>
    <t>MORENO MARINA JASSO</t>
  </si>
  <si>
    <t>1018 HOWARD ST</t>
  </si>
  <si>
    <t>27028-2551</t>
  </si>
  <si>
    <t>J4120B0001</t>
  </si>
  <si>
    <t>ESPITIA-HERNANDEZ ALFONSO</t>
  </si>
  <si>
    <t>G30000000451</t>
  </si>
  <si>
    <t>LLOYD SPENCER</t>
  </si>
  <si>
    <t>DALE SAVANNAH</t>
  </si>
  <si>
    <t>263 CULLODEN DR</t>
  </si>
  <si>
    <t>C200000032</t>
  </si>
  <si>
    <t>WEATHERMAN BILLY G ETAL</t>
  </si>
  <si>
    <t>205 BELL BRANCH RD</t>
  </si>
  <si>
    <t>D9050A0023</t>
  </si>
  <si>
    <t>LUTES JOHN N</t>
  </si>
  <si>
    <t>LUTES MARY DIANE</t>
  </si>
  <si>
    <t>3107 BERMUDA VLG</t>
  </si>
  <si>
    <t>C600000132</t>
  </si>
  <si>
    <t>LEE HUGH A JR</t>
  </si>
  <si>
    <t>130 APPLE ACRES RD</t>
  </si>
  <si>
    <t>27006-6682</t>
  </si>
  <si>
    <t>G50000003902</t>
  </si>
  <si>
    <t>CONDIA MERILYN ALICIA BEAVER</t>
  </si>
  <si>
    <t>119 LOWDER LN</t>
  </si>
  <si>
    <t>G50000003904</t>
  </si>
  <si>
    <t>J5160B0005</t>
  </si>
  <si>
    <t>TAPIA RAFAEL MEJIA</t>
  </si>
  <si>
    <t>BAUTISTA CLARA ROSE</t>
  </si>
  <si>
    <t>1009 HELENS DR</t>
  </si>
  <si>
    <t>27020-7954</t>
  </si>
  <si>
    <t>F300000022</t>
  </si>
  <si>
    <t>DOUB TANNER W</t>
  </si>
  <si>
    <t>SWISHER BRANDI</t>
  </si>
  <si>
    <t>875 WAGNER RD</t>
  </si>
  <si>
    <t>E40000001607</t>
  </si>
  <si>
    <t>COGGINS PENNY F</t>
  </si>
  <si>
    <t>WHITED BRUCE R</t>
  </si>
  <si>
    <t>1726 ANGELL RD</t>
  </si>
  <si>
    <t>E200000034</t>
  </si>
  <si>
    <t>REIBER WILLIAM GRAYSON</t>
  </si>
  <si>
    <t>643 LIBERTY CHURCH RD</t>
  </si>
  <si>
    <t>D500000021</t>
  </si>
  <si>
    <t>GONZALEZ MARIO E</t>
  </si>
  <si>
    <t>1650 KETCHIE RD</t>
  </si>
  <si>
    <t>28125-9624</t>
  </si>
  <si>
    <t>D9090B0010</t>
  </si>
  <si>
    <t>EGAN TERENCE K</t>
  </si>
  <si>
    <t>EGAN HELEN W</t>
  </si>
  <si>
    <t>120 OLEANDER DR</t>
  </si>
  <si>
    <t>G20000002805</t>
  </si>
  <si>
    <t>MARTIN FRANK E</t>
  </si>
  <si>
    <t>MARTIN VICKY B</t>
  </si>
  <si>
    <t>D70000004909</t>
  </si>
  <si>
    <t>ADAMS IVAN DENNIS</t>
  </si>
  <si>
    <t>122 ALVIS TRL</t>
  </si>
  <si>
    <t>J700000070</t>
  </si>
  <si>
    <t>OSBORNE JILL LEIGH</t>
  </si>
  <si>
    <t>2811 US 64 E</t>
  </si>
  <si>
    <t>D9030A0033</t>
  </si>
  <si>
    <t>J5150B0007</t>
  </si>
  <si>
    <t>GRAHAM KENNETH J</t>
  </si>
  <si>
    <t>GRAHAM JESSICA L</t>
  </si>
  <si>
    <t>224 RANDOM RD</t>
  </si>
  <si>
    <t>G50000008118</t>
  </si>
  <si>
    <t>PAULINO EDWIN JOSE JIMENEZ</t>
  </si>
  <si>
    <t>SALINAS ASTRID FERNANDA REYES</t>
  </si>
  <si>
    <t>7376 DEERHURST LN</t>
  </si>
  <si>
    <t>27284-6861</t>
  </si>
  <si>
    <t>D700000076</t>
  </si>
  <si>
    <t>GALINDO JOSE DE JESUS GARCIA</t>
  </si>
  <si>
    <t>GALINDO TAYLOR KAY GARCIA</t>
  </si>
  <si>
    <t>1265 RAINBOW RD</t>
  </si>
  <si>
    <t>D500000039  A</t>
  </si>
  <si>
    <t>HOLSENBACK RICKY MELVIN</t>
  </si>
  <si>
    <t>D500000038</t>
  </si>
  <si>
    <t>G3060B0014</t>
  </si>
  <si>
    <t>WHITAKER CHRISTOPHER L</t>
  </si>
  <si>
    <t>WHITAKER AUDREY BLAIR</t>
  </si>
  <si>
    <t>359 IJAMES CHURCH RD</t>
  </si>
  <si>
    <t>C8010A0118</t>
  </si>
  <si>
    <t>KLIMCZYK BRANDI DANIELLE</t>
  </si>
  <si>
    <t>120 SWEETWATER CIR</t>
  </si>
  <si>
    <t>D7030A0024</t>
  </si>
  <si>
    <t>KLIMCZYK CHRISTIAN</t>
  </si>
  <si>
    <t>250 CREEKWOOD DR</t>
  </si>
  <si>
    <t>K5080A0006</t>
  </si>
  <si>
    <t>WASHINGTON TRAVELL M</t>
  </si>
  <si>
    <t>399 FULTON ST</t>
  </si>
  <si>
    <t>N500000055</t>
  </si>
  <si>
    <t>WHITT JOHN GAVIN</t>
  </si>
  <si>
    <t>WHITT MAE BETH</t>
  </si>
  <si>
    <t>34 MILL ST APT A</t>
  </si>
  <si>
    <t>SPRINGVALE</t>
  </si>
  <si>
    <t>04083-1052</t>
  </si>
  <si>
    <t>J4060D0047</t>
  </si>
  <si>
    <t>WHITTAKER MITCHELL L</t>
  </si>
  <si>
    <t>WHITTAKER JULIE C</t>
  </si>
  <si>
    <t>210 BEECHWOOD DRIVE</t>
  </si>
  <si>
    <t>B500000057  A</t>
  </si>
  <si>
    <t>BUENO ELEAZAR</t>
  </si>
  <si>
    <t>CHIQUITO DIANA</t>
  </si>
  <si>
    <t>356 PINEVILLE RD</t>
  </si>
  <si>
    <t>J70000000104</t>
  </si>
  <si>
    <t>STROTHERS FELICIA DARNELL</t>
  </si>
  <si>
    <t>% WILSON FELICIA DARNELL</t>
  </si>
  <si>
    <t>12515 LYTTON AVE</t>
  </si>
  <si>
    <t>BRANDYWINE</t>
  </si>
  <si>
    <t>20613-9072</t>
  </si>
  <si>
    <t>J700000001</t>
  </si>
  <si>
    <t>F60000008404</t>
  </si>
  <si>
    <t>LAGLE AMANDA S</t>
  </si>
  <si>
    <t>LAGLE BRADLEY SCOTT</t>
  </si>
  <si>
    <t>207 DULIN ROAD</t>
  </si>
  <si>
    <t>F60000008406</t>
  </si>
  <si>
    <t>F600000084</t>
  </si>
  <si>
    <t>C300000113</t>
  </si>
  <si>
    <t>CLARKE NATHANIEL TODD</t>
  </si>
  <si>
    <t>BLEDSOE ASHLEY DAWN</t>
  </si>
  <si>
    <t>212 JACK BOOE RD</t>
  </si>
  <si>
    <t>N5010D0014</t>
  </si>
  <si>
    <t>SEA BS ENTERPRISES LLC</t>
  </si>
  <si>
    <t>154 PATTERSONS BRG</t>
  </si>
  <si>
    <t>28127-9199</t>
  </si>
  <si>
    <t>E9150B0026</t>
  </si>
  <si>
    <t>STAINBACK ERWIN R</t>
  </si>
  <si>
    <t>STAINBACK SUSAN P</t>
  </si>
  <si>
    <t>164 ORCHARD PARK DR</t>
  </si>
  <si>
    <t>I5110B0015</t>
  </si>
  <si>
    <t>DIRKS LAUREN</t>
  </si>
  <si>
    <t>DIRKS KEALAND</t>
  </si>
  <si>
    <t>340 MOUNTVIEW DR</t>
  </si>
  <si>
    <t>N600000068  A</t>
  </si>
  <si>
    <t>HOSCH PARTHENIA ANN</t>
  </si>
  <si>
    <t>PO BOX 892</t>
  </si>
  <si>
    <t>27014-0892</t>
  </si>
  <si>
    <t>L50000009301</t>
  </si>
  <si>
    <t>POP HOMES GSO LLC</t>
  </si>
  <si>
    <t>464 RICKARD DR</t>
  </si>
  <si>
    <t>27101-2332</t>
  </si>
  <si>
    <t>I5160A0048</t>
  </si>
  <si>
    <t>HOMEISTER LISA</t>
  </si>
  <si>
    <t>E700000005</t>
  </si>
  <si>
    <t>THE WENK GROUP LLC</t>
  </si>
  <si>
    <t>4401 BRYN MAWR LN</t>
  </si>
  <si>
    <t>27103-5911</t>
  </si>
  <si>
    <t>L5090B000601</t>
  </si>
  <si>
    <t>HANCOCK PAMELA PLUMMER</t>
  </si>
  <si>
    <t>243 GLADSTONE RD</t>
  </si>
  <si>
    <t>D8100C001002</t>
  </si>
  <si>
    <t>MCCABE ANTHONY PAUL TR &amp; MCCABE LYDIA SINK TR</t>
  </si>
  <si>
    <t>ANTHONY &amp; LYDIA MCCABE REV TR</t>
  </si>
  <si>
    <t>210 SPYGLASS DR</t>
  </si>
  <si>
    <t>G30000003701</t>
  </si>
  <si>
    <t>MELTON COMPANY HOLDINGS LLC</t>
  </si>
  <si>
    <t>G300000037</t>
  </si>
  <si>
    <t>G30000003702</t>
  </si>
  <si>
    <t>I5090E0014</t>
  </si>
  <si>
    <t>GILBERT MEAGAN LYNN</t>
  </si>
  <si>
    <t>243 CHERRY ST</t>
  </si>
  <si>
    <t>L500000088</t>
  </si>
  <si>
    <t>OFFER OUT LLC</t>
  </si>
  <si>
    <t>316 KEATING DR</t>
  </si>
  <si>
    <t>27104-3906</t>
  </si>
  <si>
    <t>C7140A0027</t>
  </si>
  <si>
    <t>BOWLES MELISSA</t>
  </si>
  <si>
    <t>124 CANDLE LIGHT CT</t>
  </si>
  <si>
    <t>F80000014005</t>
  </si>
  <si>
    <t>RYE BRADFORD C TR &amp; RYE GINA L TR</t>
  </si>
  <si>
    <t>THE WAYNE MANOR REV TRUST</t>
  </si>
  <si>
    <t>J50000001003</t>
  </si>
  <si>
    <t>CORDERO ABEL</t>
  </si>
  <si>
    <t>E900000182</t>
  </si>
  <si>
    <t>POTTS KATHERYNE RHYS</t>
  </si>
  <si>
    <t>466 KINGSMILL DR</t>
  </si>
  <si>
    <t>H900000030</t>
  </si>
  <si>
    <t>BLAKE JUDY</t>
  </si>
  <si>
    <t>BLAKE TIMOTHY</t>
  </si>
  <si>
    <t>523 PEOPLES CREEK RD</t>
  </si>
  <si>
    <t>C600000131</t>
  </si>
  <si>
    <t>DELLINGER MARIANNE L COCHRAN</t>
  </si>
  <si>
    <t>DELLINGER RICKEY G</t>
  </si>
  <si>
    <t>118 APPLE ACRES RD</t>
  </si>
  <si>
    <t>G100000043</t>
  </si>
  <si>
    <t>REID APRIL DRIVER</t>
  </si>
  <si>
    <t>261 CLAUDE RATLEDGE RD</t>
  </si>
  <si>
    <t>H300000010</t>
  </si>
  <si>
    <t>DOOLEY HERBERT TR &amp; DOOLEY JETTY TR</t>
  </si>
  <si>
    <t>HERBERT &amp; JETTY DOOLEY REV LIV</t>
  </si>
  <si>
    <t>214 PARKER RD</t>
  </si>
  <si>
    <t>E10000001701</t>
  </si>
  <si>
    <t>ORTT TRYSTAN JAMES</t>
  </si>
  <si>
    <t>120 TWINPINES CIR</t>
  </si>
  <si>
    <t>27028-5969</t>
  </si>
  <si>
    <t>C700000163</t>
  </si>
  <si>
    <t>SMITH GARY THOMAS</t>
  </si>
  <si>
    <t>SMITH MARY ROYALS</t>
  </si>
  <si>
    <t>1100 CAMBRIDGE LINKS CT</t>
  </si>
  <si>
    <t>27107-6098</t>
  </si>
  <si>
    <t>N5010C0043</t>
  </si>
  <si>
    <t>SPILLMAN JOSEPH ANDREW JR</t>
  </si>
  <si>
    <t>N600000025</t>
  </si>
  <si>
    <t>255 PINE RIDGE RD</t>
  </si>
  <si>
    <t>27028-6750</t>
  </si>
  <si>
    <t>N600000026</t>
  </si>
  <si>
    <t>I4120A0008</t>
  </si>
  <si>
    <t>STANLEY RANDY</t>
  </si>
  <si>
    <t>248 WILKESBORO ST</t>
  </si>
  <si>
    <t>E900000424</t>
  </si>
  <si>
    <t>WEBB CARLEE VANIA</t>
  </si>
  <si>
    <t>SCARBOROUGH</t>
  </si>
  <si>
    <t>131 BROADMOOR DR</t>
  </si>
  <si>
    <t>M4130A0016</t>
  </si>
  <si>
    <t>BRUSHWOOD JENISEN M</t>
  </si>
  <si>
    <t>HECKER CHRISTOPHER T</t>
  </si>
  <si>
    <t>162 WESTVIEW AVE</t>
  </si>
  <si>
    <t>K30000000401</t>
  </si>
  <si>
    <t>BOARD OF TRUST W NC CONF UNITED METH CH INC</t>
  </si>
  <si>
    <t>G800000072</t>
  </si>
  <si>
    <t>WIDENER KEITH EDWARD</t>
  </si>
  <si>
    <t>WIDENER LESHIA</t>
  </si>
  <si>
    <t>111 KEN HOOTS LN</t>
  </si>
  <si>
    <t>L5100A0026</t>
  </si>
  <si>
    <t>WEST CHRISTOPHER SCOTT</t>
  </si>
  <si>
    <t>187 LIBERTY RD</t>
  </si>
  <si>
    <t>K8100A0001</t>
  </si>
  <si>
    <t>KEVIN YOUNG BUILDERS LLC</t>
  </si>
  <si>
    <t>1534 LAKESHORE DR</t>
  </si>
  <si>
    <t>28127-6611</t>
  </si>
  <si>
    <t>G8010C0004</t>
  </si>
  <si>
    <t>CASH BRYAN</t>
  </si>
  <si>
    <t>CASH ELIZABETH</t>
  </si>
  <si>
    <t>L5020A0012</t>
  </si>
  <si>
    <t>NICHOLSON AMBER L</t>
  </si>
  <si>
    <t>NICHOLSON BRITTANY N</t>
  </si>
  <si>
    <t>1977 US HIGHWAY 601 S</t>
  </si>
  <si>
    <t>M4130A000201</t>
  </si>
  <si>
    <t>WEST LOGAN RAY</t>
  </si>
  <si>
    <t>WEST MADISON RIDDLE</t>
  </si>
  <si>
    <t>1927 JUNCTION RD</t>
  </si>
  <si>
    <t>M4130A0002</t>
  </si>
  <si>
    <t>C8030A0009</t>
  </si>
  <si>
    <t>EASTWOOD CONSTRUCTION PARTNERS LLC</t>
  </si>
  <si>
    <t>278 REDLAND RD</t>
  </si>
  <si>
    <t>27006-6720</t>
  </si>
  <si>
    <t>C8030A0010</t>
  </si>
  <si>
    <t>C8030A0011</t>
  </si>
  <si>
    <t>D700000114</t>
  </si>
  <si>
    <t>D70000011413</t>
  </si>
  <si>
    <t>D70000011414</t>
  </si>
  <si>
    <t>D70000011411</t>
  </si>
  <si>
    <t>D70000011408</t>
  </si>
  <si>
    <t>D70000011409</t>
  </si>
  <si>
    <t>D70000011410</t>
  </si>
  <si>
    <t>D70000011412</t>
  </si>
  <si>
    <t>D70000011415</t>
  </si>
  <si>
    <t>D70000011407</t>
  </si>
  <si>
    <t>D70000011403</t>
  </si>
  <si>
    <t>D70000011404</t>
  </si>
  <si>
    <t>D70000011405</t>
  </si>
  <si>
    <t>D70000011406</t>
  </si>
  <si>
    <t>D70000011402</t>
  </si>
  <si>
    <t>D70000011401</t>
  </si>
  <si>
    <t>K60000003901</t>
  </si>
  <si>
    <t>MASON DAMON</t>
  </si>
  <si>
    <t>H20000001708</t>
  </si>
  <si>
    <t>FOSTER JOE D JR</t>
  </si>
  <si>
    <t>187 FRED LANIER RD</t>
  </si>
  <si>
    <t>C10000000203</t>
  </si>
  <si>
    <t>BROWN PAMELA R</t>
  </si>
  <si>
    <t>1213 RIVERBIRCH DR</t>
  </si>
  <si>
    <t>KNIGHTDALE</t>
  </si>
  <si>
    <t>27545-8851</t>
  </si>
  <si>
    <t>C20000001101</t>
  </si>
  <si>
    <t>MILLER JULIANA MATHIS</t>
  </si>
  <si>
    <t>F10000001218</t>
  </si>
  <si>
    <t>J5050A0013</t>
  </si>
  <si>
    <t>MILEM ABIGAIL ELIZABETH</t>
  </si>
  <si>
    <t>MILEM MICHAEL J</t>
  </si>
  <si>
    <t>156 POLARIS DR</t>
  </si>
  <si>
    <t>D800000032</t>
  </si>
  <si>
    <t>GASKINS SHERMAN L</t>
  </si>
  <si>
    <t>GASKINS AMY B</t>
  </si>
  <si>
    <t>279 JAMES WAY</t>
  </si>
  <si>
    <t>F100000043</t>
  </si>
  <si>
    <t>BABCOCK ADAM</t>
  </si>
  <si>
    <t>BABCOCK STACI</t>
  </si>
  <si>
    <t>1592 COUNTY LINE RD</t>
  </si>
  <si>
    <t>F100000051</t>
  </si>
  <si>
    <t>J5040A0007</t>
  </si>
  <si>
    <t>STROCKY DAVID</t>
  </si>
  <si>
    <t>27028-0214</t>
  </si>
  <si>
    <t>D60000000205</t>
  </si>
  <si>
    <t>BLAKE CODY CLINTON</t>
  </si>
  <si>
    <t>629 GREENHILL RD</t>
  </si>
  <si>
    <t>L700000002</t>
  </si>
  <si>
    <t>HOWARD CARLA G</t>
  </si>
  <si>
    <t>GRUBBS CHERIE G</t>
  </si>
  <si>
    <t>C7140A0066</t>
  </si>
  <si>
    <t>DERINGER KATHLEEN MICHELLE</t>
  </si>
  <si>
    <t>187 MORNING STAR DR</t>
  </si>
  <si>
    <t>G200000011</t>
  </si>
  <si>
    <t>BRANHAM PAMELA T</t>
  </si>
  <si>
    <t>G50000000805</t>
  </si>
  <si>
    <t>SPENCER ALYSSA LEIGH</t>
  </si>
  <si>
    <t>SPENCER GAVIN HICKS</t>
  </si>
  <si>
    <t>172 WOODWARD RD</t>
  </si>
  <si>
    <t>27028-4949</t>
  </si>
  <si>
    <t>D800000005</t>
  </si>
  <si>
    <t>OWINGS JAMES R</t>
  </si>
  <si>
    <t>OWINGS JANICE A</t>
  </si>
  <si>
    <t>3846 NC HIGHWAY 801 S</t>
  </si>
  <si>
    <t>27006-7115</t>
  </si>
  <si>
    <t>D80000000301</t>
  </si>
  <si>
    <t>D800000003</t>
  </si>
  <si>
    <t>J80000001502</t>
  </si>
  <si>
    <t>D800000004</t>
  </si>
  <si>
    <t>J800000015</t>
  </si>
  <si>
    <t>J4050C0005</t>
  </si>
  <si>
    <t>PARKER DEACON J</t>
  </si>
  <si>
    <t>PARKER BREANNA R</t>
  </si>
  <si>
    <t>137 HARDING ST</t>
  </si>
  <si>
    <t>I5170C0004</t>
  </si>
  <si>
    <t>DRAUGHN ERVIN</t>
  </si>
  <si>
    <t>131 MILLWRIGHT CT</t>
  </si>
  <si>
    <t>K5100A0003</t>
  </si>
  <si>
    <t>MAYO ROSSIE W</t>
  </si>
  <si>
    <t>249 DEADMON RD</t>
  </si>
  <si>
    <t>H50000005302</t>
  </si>
  <si>
    <t>MIERBETH ROSE MARIE</t>
  </si>
  <si>
    <t>568 SAIN RD</t>
  </si>
  <si>
    <t>E100000025</t>
  </si>
  <si>
    <t>DYSON JOHN C ETAL</t>
  </si>
  <si>
    <t>% JOHN C DYSON</t>
  </si>
  <si>
    <t>822 N EUGENE ST</t>
  </si>
  <si>
    <t>27401-1609</t>
  </si>
  <si>
    <t>I6080A0020</t>
  </si>
  <si>
    <t>MORENO LORENA</t>
  </si>
  <si>
    <t>141 ARIEL CT</t>
  </si>
  <si>
    <t>G40000004503</t>
  </si>
  <si>
    <t>COLLINS JOSHUA CALEB</t>
  </si>
  <si>
    <t>COLLINS BRIANNA MAE</t>
  </si>
  <si>
    <t>1111 MAIN CHURCH RD</t>
  </si>
  <si>
    <t>I20000003703</t>
  </si>
  <si>
    <t>KEIGER JOSHUA ANDREW</t>
  </si>
  <si>
    <t>KEIGER STEPHANIE N</t>
  </si>
  <si>
    <t>2229 OLD WILKESBORO RD</t>
  </si>
  <si>
    <t>28625-9332</t>
  </si>
  <si>
    <t>G400000008</t>
  </si>
  <si>
    <t>BYERLY FARMS &amp; TREES LLC</t>
  </si>
  <si>
    <t>972 US HIGHWAY 64 W</t>
  </si>
  <si>
    <t>I400000055</t>
  </si>
  <si>
    <t>I4120A0009</t>
  </si>
  <si>
    <t>BYERLY PROPERTIES LLC</t>
  </si>
  <si>
    <t>G4080A0033</t>
  </si>
  <si>
    <t>G4080A0029</t>
  </si>
  <si>
    <t>G4080A0023</t>
  </si>
  <si>
    <t>G4080A0015</t>
  </si>
  <si>
    <t>I400000057</t>
  </si>
  <si>
    <t>I400000058</t>
  </si>
  <si>
    <t>I4020A0004</t>
  </si>
  <si>
    <t>I4130F0008</t>
  </si>
  <si>
    <t>I5060C0015</t>
  </si>
  <si>
    <t>POWELL AMBER</t>
  </si>
  <si>
    <t>81 MARCONI ST</t>
  </si>
  <si>
    <t>27028-2880</t>
  </si>
  <si>
    <t>I20000000612</t>
  </si>
  <si>
    <t>ADDISON PAUL A JR</t>
  </si>
  <si>
    <t>ADDISON CYNTHIA</t>
  </si>
  <si>
    <t>254 DAVIE FARMS TRL</t>
  </si>
  <si>
    <t>F80000005402</t>
  </si>
  <si>
    <t>HERDLIFE INVESTMENTS LLC</t>
  </si>
  <si>
    <t>1266 NC HIGHWAY 801 S</t>
  </si>
  <si>
    <t>27006-7808</t>
  </si>
  <si>
    <t>F800000052</t>
  </si>
  <si>
    <t>F800000071</t>
  </si>
  <si>
    <t>I40000004801</t>
  </si>
  <si>
    <t>WEBB JODY NATHAN</t>
  </si>
  <si>
    <t>WEBB ASHLEIGH NECHOLE</t>
  </si>
  <si>
    <t>I400000045</t>
  </si>
  <si>
    <t>J5160C0006</t>
  </si>
  <si>
    <t>F1030A0001</t>
  </si>
  <si>
    <t>ENGLAND CHARLES L</t>
  </si>
  <si>
    <t>2725 ROUTE 75</t>
  </si>
  <si>
    <t>KENOVA</t>
  </si>
  <si>
    <t>25530-9793</t>
  </si>
  <si>
    <t>E40000002301</t>
  </si>
  <si>
    <t>SMITH BETTY SUE</t>
  </si>
  <si>
    <t>1554 ANGELL ROAD</t>
  </si>
  <si>
    <t>27028-4601</t>
  </si>
  <si>
    <t>E40000002303</t>
  </si>
  <si>
    <t>D8060B0029</t>
  </si>
  <si>
    <t>MCBRIDE DAVID R</t>
  </si>
  <si>
    <t>MCBRIDE SUSAN L</t>
  </si>
  <si>
    <t>26 VINTAGE AVE</t>
  </si>
  <si>
    <t>27127-2914</t>
  </si>
  <si>
    <t>J5010C0013</t>
  </si>
  <si>
    <t>BROWN DEBBIE</t>
  </si>
  <si>
    <t>175 HILLCREST CT</t>
  </si>
  <si>
    <t>F3130A0010</t>
  </si>
  <si>
    <t>VEST VIRGINIA ANN</t>
  </si>
  <si>
    <t>180 PEPPERSTONE DR</t>
  </si>
  <si>
    <t>B70000000803</t>
  </si>
  <si>
    <t>NEWMAN PETER J</t>
  </si>
  <si>
    <t>TURNER BRONWYN A</t>
  </si>
  <si>
    <t>158 SPARKS RD</t>
  </si>
  <si>
    <t>I5040A0007</t>
  </si>
  <si>
    <t>SHOAF LISA GREGORY</t>
  </si>
  <si>
    <t>SHOAF MICHAEL VINCENT</t>
  </si>
  <si>
    <t>167 WILLS RD</t>
  </si>
  <si>
    <t>I5050D0012</t>
  </si>
  <si>
    <t>MORGAN ANDREW</t>
  </si>
  <si>
    <t>MORGAN MARIA DARLENE</t>
  </si>
  <si>
    <t>527 MOUNTVIEW DR</t>
  </si>
  <si>
    <t>E900000305</t>
  </si>
  <si>
    <t>SCHNEIDER ANNA LAYNE</t>
  </si>
  <si>
    <t>SCHNEIDER BRANDON J</t>
  </si>
  <si>
    <t>630 OAK VALLEY BLVD</t>
  </si>
  <si>
    <t>H6070A0007</t>
  </si>
  <si>
    <t>MCBRIDE MARTHA S</t>
  </si>
  <si>
    <t>843 SAIN RD</t>
  </si>
  <si>
    <t>H4100A0003</t>
  </si>
  <si>
    <t>NESBIT THOMAS</t>
  </si>
  <si>
    <t>NESBIT NANCY</t>
  </si>
  <si>
    <t>149 CARDINAL ST</t>
  </si>
  <si>
    <t>D9090A0015</t>
  </si>
  <si>
    <t>JONES ROBERT E</t>
  </si>
  <si>
    <t>JONES RACHEL J</t>
  </si>
  <si>
    <t>144 WILLOWBROOK PL</t>
  </si>
  <si>
    <t>D9010A0003</t>
  </si>
  <si>
    <t>FREER JOSEPH F</t>
  </si>
  <si>
    <t>105 PEMBROOKE RIDGE CT</t>
  </si>
  <si>
    <t>C7140A0083</t>
  </si>
  <si>
    <t>DEWITT PATRICIA K</t>
  </si>
  <si>
    <t>105 MORNING STAR DR</t>
  </si>
  <si>
    <t>J7080B0045</t>
  </si>
  <si>
    <t>CARRINGTON MORTGAGE SERVICES LLC</t>
  </si>
  <si>
    <t>1600 S DOUGLASS RD</t>
  </si>
  <si>
    <t>SUITE 200-B</t>
  </si>
  <si>
    <t>ANAHEIM</t>
  </si>
  <si>
    <t>92806-5948</t>
  </si>
  <si>
    <t>E5020A0033</t>
  </si>
  <si>
    <t>HIBNER KEITH</t>
  </si>
  <si>
    <t>HOLDEN MELISSA RAGSDALE</t>
  </si>
  <si>
    <t>139 CORNWALLIS DR</t>
  </si>
  <si>
    <t>M700000005</t>
  </si>
  <si>
    <t>THE DONALD H SMITH &amp; MARY C SMITH REVOCABLE TRUST</t>
  </si>
  <si>
    <t>SMITH JASON BRIAN TR</t>
  </si>
  <si>
    <t>303 APPLEWOOD RD</t>
  </si>
  <si>
    <t>27028-6705</t>
  </si>
  <si>
    <t>K5060A0026</t>
  </si>
  <si>
    <t>IZZO LINDA A</t>
  </si>
  <si>
    <t>109 E CHINABERRY CT</t>
  </si>
  <si>
    <t>F50000001010</t>
  </si>
  <si>
    <t>BEAM NOAH S</t>
  </si>
  <si>
    <t>BEAM KAY M</t>
  </si>
  <si>
    <t>180 DUSTY HILL RD</t>
  </si>
  <si>
    <t>F60000008408</t>
  </si>
  <si>
    <t>LAGLE CARTER</t>
  </si>
  <si>
    <t>LAGLE SIDNEY</t>
  </si>
  <si>
    <t>127 JIMS WAY</t>
  </si>
  <si>
    <t>27028-7284</t>
  </si>
  <si>
    <t>M5160C0008</t>
  </si>
  <si>
    <t>GRILLO GIUSEPPE ANGELO</t>
  </si>
  <si>
    <t>GRILLO MIRANDA H</t>
  </si>
  <si>
    <t>134 JOYNER RD</t>
  </si>
  <si>
    <t>27028-5822</t>
  </si>
  <si>
    <t>K60000000101</t>
  </si>
  <si>
    <t>TROXELL KAREN S</t>
  </si>
  <si>
    <t>622 TURRENTINE CHURCH RD</t>
  </si>
  <si>
    <t>J600000055  A</t>
  </si>
  <si>
    <t>DUGGINS WAYNE O JR</t>
  </si>
  <si>
    <t>330 JOE RD</t>
  </si>
  <si>
    <t>I300000075</t>
  </si>
  <si>
    <t>OLMEDO JANET</t>
  </si>
  <si>
    <t>1306 US HIGHWAY 64 W</t>
  </si>
  <si>
    <t>F80000007401</t>
  </si>
  <si>
    <t>KUES GEORGE JACOB III</t>
  </si>
  <si>
    <t>KUES BRITTANY</t>
  </si>
  <si>
    <t>112 SADDLEBROOK DR</t>
  </si>
  <si>
    <t>E500000043</t>
  </si>
  <si>
    <t>KSRV LLC</t>
  </si>
  <si>
    <t>E8110A0002</t>
  </si>
  <si>
    <t>YOUNG DANA</t>
  </si>
  <si>
    <t>137 WESTRIDGE RD</t>
  </si>
  <si>
    <t>K3050A0005</t>
  </si>
  <si>
    <t>CALLISON JERRY L</t>
  </si>
  <si>
    <t>CALLISON LINDA SUE</t>
  </si>
  <si>
    <t>153 JUNCTION RD</t>
  </si>
  <si>
    <t>J40000002209</t>
  </si>
  <si>
    <t>SAVAGE SHAWN DEREK JR</t>
  </si>
  <si>
    <t>SAVAGE KENDAL DREW</t>
  </si>
  <si>
    <t>1160 COUNTY HOME RD</t>
  </si>
  <si>
    <t>I100000013</t>
  </si>
  <si>
    <t>CHUNN DEWAYNE ERIC</t>
  </si>
  <si>
    <t>184 FONSO WAY</t>
  </si>
  <si>
    <t>27028-5381</t>
  </si>
  <si>
    <t>M600000059</t>
  </si>
  <si>
    <t>SELLERS JESSABEL NICOLE OBRERO</t>
  </si>
  <si>
    <t>H8060A0042</t>
  </si>
  <si>
    <t>PRESTIFILIPPO ALEC P</t>
  </si>
  <si>
    <t>123 CUMBERLAND CT</t>
  </si>
  <si>
    <t>C8030A000104</t>
  </si>
  <si>
    <t>OGDEN ROBERT G</t>
  </si>
  <si>
    <t>132 PINEWOOD LN UNIT 104</t>
  </si>
  <si>
    <t>I20000002803</t>
  </si>
  <si>
    <t>HODGES JAMES RICHARD</t>
  </si>
  <si>
    <t>213 HODGES DR</t>
  </si>
  <si>
    <t>K3050A0021</t>
  </si>
  <si>
    <t>THACH BRANDON E</t>
  </si>
  <si>
    <t>THACH AMBER M</t>
  </si>
  <si>
    <t>122 CAROLINA AVE</t>
  </si>
  <si>
    <t>H8060A0076</t>
  </si>
  <si>
    <t>KRABBENHOFT CATHY LYNN</t>
  </si>
  <si>
    <t>405 COVINGTON DR</t>
  </si>
  <si>
    <t>I4130C000903</t>
  </si>
  <si>
    <t>ZY88 LLC</t>
  </si>
  <si>
    <t>3320 SILAS CREEK PKWY</t>
  </si>
  <si>
    <t>27103-3011</t>
  </si>
  <si>
    <t>I5050A0038</t>
  </si>
  <si>
    <t>J D ETCHISON BUILDING COMPANY LLC</t>
  </si>
  <si>
    <t>220 MOUNTVIEW DR</t>
  </si>
  <si>
    <t>I5110C0014</t>
  </si>
  <si>
    <t>I5110C0015</t>
  </si>
  <si>
    <t>I5110C0016</t>
  </si>
  <si>
    <t>I5050A0037</t>
  </si>
  <si>
    <t>G70000013206</t>
  </si>
  <si>
    <t>WYATT MADISON S</t>
  </si>
  <si>
    <t>G700000136</t>
  </si>
  <si>
    <t>J20000003403</t>
  </si>
  <si>
    <t>JONES ALEX CHRISTIAN</t>
  </si>
  <si>
    <t>BAYSINGER JONES HANNAH JAYNE</t>
  </si>
  <si>
    <t>1684 DAVIE ACADEMY RD</t>
  </si>
  <si>
    <t>D8060A0025</t>
  </si>
  <si>
    <t>WENDT KYLE TR &amp; WENDT CATHY LYNN TR</t>
  </si>
  <si>
    <t>WENDT FAMILY TRUST</t>
  </si>
  <si>
    <t>189 TIFTON ST</t>
  </si>
  <si>
    <t>C7140A0098</t>
  </si>
  <si>
    <t>COTTER DEBORA JOYCE</t>
  </si>
  <si>
    <t>182 MORNING STAR DR</t>
  </si>
  <si>
    <t>I5050A0029</t>
  </si>
  <si>
    <t>LEWIS JEREMY LEE</t>
  </si>
  <si>
    <t>144 CREEKSIDE DR</t>
  </si>
  <si>
    <t>H60000007602</t>
  </si>
  <si>
    <t>BRW INVESTMENTS LLC</t>
  </si>
  <si>
    <t>6201 TOWNCENTER DR</t>
  </si>
  <si>
    <t>SUITE 230</t>
  </si>
  <si>
    <t>27012-9383</t>
  </si>
  <si>
    <t>J7080B0025</t>
  </si>
  <si>
    <t>HOUSEHOLDER SANDRA LEE TR</t>
  </si>
  <si>
    <t>SANDRA LEE HOUSEHOLDER IRREVOC</t>
  </si>
  <si>
    <t>125 S HAZELWOOD DR</t>
  </si>
  <si>
    <t>K50000001401</t>
  </si>
  <si>
    <t>FIGGE JACOB</t>
  </si>
  <si>
    <t>FIGGE ANNA NICOLE</t>
  </si>
  <si>
    <t>157 DEADMON RD</t>
  </si>
  <si>
    <t>D7080A0035</t>
  </si>
  <si>
    <t>OPENDOOR PROPERTY J LLC</t>
  </si>
  <si>
    <t>410 N SCOTTSDALE RD</t>
  </si>
  <si>
    <t>SUITE 1600</t>
  </si>
  <si>
    <t>TEMPE</t>
  </si>
  <si>
    <t>85288-7094</t>
  </si>
  <si>
    <t>C8010E0065</t>
  </si>
  <si>
    <t>WATSON TIFFANY</t>
  </si>
  <si>
    <t>353 TOWN PARK DR</t>
  </si>
  <si>
    <t>I5070B000501</t>
  </si>
  <si>
    <t>AGUERO REBECCA TR</t>
  </si>
  <si>
    <t>ELAINE MALAVE ASSET MANAGEMENT</t>
  </si>
  <si>
    <t>314 ARTIST LAKE DR</t>
  </si>
  <si>
    <t>MIDDLE ISLAND</t>
  </si>
  <si>
    <t>11953-2325</t>
  </si>
  <si>
    <t>E900000123</t>
  </si>
  <si>
    <t>LYON BRANDON SCOTT</t>
  </si>
  <si>
    <t>LYON KAYLA TRIVETTE</t>
  </si>
  <si>
    <t>118 KINGSMILL CT</t>
  </si>
  <si>
    <t>27006-7013</t>
  </si>
  <si>
    <t>N50000002311</t>
  </si>
  <si>
    <t>KLUTTZ MICAH DALE</t>
  </si>
  <si>
    <t>KLUTTZ JADA CELESTE</t>
  </si>
  <si>
    <t>442 RIVERDALE RD</t>
  </si>
  <si>
    <t>H700000022</t>
  </si>
  <si>
    <t>THOMPSON TIMOTHY RAY</t>
  </si>
  <si>
    <t>136 STATION LN</t>
  </si>
  <si>
    <t>27028-7411</t>
  </si>
  <si>
    <t>N500000024</t>
  </si>
  <si>
    <t>PAULSON EUNICE TR</t>
  </si>
  <si>
    <t>THE PAULSON LIVING TRUST</t>
  </si>
  <si>
    <t>H9070A0011</t>
  </si>
  <si>
    <t>DONAHUE KURT R</t>
  </si>
  <si>
    <t>241 DUBLIN RD</t>
  </si>
  <si>
    <t>D8030A0033</t>
  </si>
  <si>
    <t>HEFNER CAROL SESSIONS</t>
  </si>
  <si>
    <t>F80000002204</t>
  </si>
  <si>
    <t>GIERKE CARLA LEE TR</t>
  </si>
  <si>
    <t>CARLA L GIERKE TRUST</t>
  </si>
  <si>
    <t>139 LANTERN DR</t>
  </si>
  <si>
    <t>D500000109</t>
  </si>
  <si>
    <t>DIETERICH KELLY TRAVISON</t>
  </si>
  <si>
    <t>DIETERICH BRIAN EVAN</t>
  </si>
  <si>
    <t>124 BERMUDA RUN DR S</t>
  </si>
  <si>
    <t>D50000010801</t>
  </si>
  <si>
    <t>E900000635</t>
  </si>
  <si>
    <t>MCDEVITT VIRGINIA A</t>
  </si>
  <si>
    <t>MCDEVITT PETER M</t>
  </si>
  <si>
    <t>144 N NIBLICK CT</t>
  </si>
  <si>
    <t>E500000046</t>
  </si>
  <si>
    <t>MAY ALISA</t>
  </si>
  <si>
    <t>981 FARMINGTON RD</t>
  </si>
  <si>
    <t>K20000004001</t>
  </si>
  <si>
    <t>PHIPPS STEPHANIE M</t>
  </si>
  <si>
    <t>276 KETCHIE CREEK RD</t>
  </si>
  <si>
    <t>27028-8304</t>
  </si>
  <si>
    <t>H80000004316</t>
  </si>
  <si>
    <t>MAURO KURT S</t>
  </si>
  <si>
    <t>MAURO JACQUELINE M</t>
  </si>
  <si>
    <t>1026 BAILEYS CHAPEL RD</t>
  </si>
  <si>
    <t>G9100A0017</t>
  </si>
  <si>
    <t>CREPINSEK ANTON J III</t>
  </si>
  <si>
    <t>CREPINSEK BAILEY E</t>
  </si>
  <si>
    <t>151 TULIP MAGNOLIA DR</t>
  </si>
  <si>
    <t>C7140A0046</t>
  </si>
  <si>
    <t>WESTCOTT LEE JAN</t>
  </si>
  <si>
    <t>WESTCOTT SCOTT DANIEL</t>
  </si>
  <si>
    <t>129 MORAVIAN CT</t>
  </si>
  <si>
    <t>C8030C0017</t>
  </si>
  <si>
    <t>BVG INVESTMENTS LLC</t>
  </si>
  <si>
    <t>4230 SPRING ROCK CT</t>
  </si>
  <si>
    <t>27104-5001</t>
  </si>
  <si>
    <t>L60000000810</t>
  </si>
  <si>
    <t>SESSIONS SAMUEL</t>
  </si>
  <si>
    <t>SESSIONS SHANNON</t>
  </si>
  <si>
    <t>6501 NC HIGHWAY 801 S</t>
  </si>
  <si>
    <t>I1120B0015</t>
  </si>
  <si>
    <t>WILLIAMS TIANDRA R</t>
  </si>
  <si>
    <t>126 OAK LEAF CT</t>
  </si>
  <si>
    <t>H2050A0010</t>
  </si>
  <si>
    <t>CLASEN ELISABETH LOUISE</t>
  </si>
  <si>
    <t>124 CENTER CIR</t>
  </si>
  <si>
    <t>G3030A0059</t>
  </si>
  <si>
    <t>PARKS DWAYNE</t>
  </si>
  <si>
    <t>BARRANTES MELINA OBANDO</t>
  </si>
  <si>
    <t>188 MURPHY RD</t>
  </si>
  <si>
    <t>F8020B0043</t>
  </si>
  <si>
    <t>MILLER TIMOTHY ALMON BENNETT</t>
  </si>
  <si>
    <t>MILLER KATIE BLACKWELL</t>
  </si>
  <si>
    <t>240 HIGH MEADOWS RD</t>
  </si>
  <si>
    <t>F600000101</t>
  </si>
  <si>
    <t>JAMES AUDREY CARTER ET AL</t>
  </si>
  <si>
    <t>JAMES KIM ANTHONY</t>
  </si>
  <si>
    <t>1386 PERRYMAN RD</t>
  </si>
  <si>
    <t>27295-9792</t>
  </si>
  <si>
    <t>F600000091</t>
  </si>
  <si>
    <t>H3040A0008</t>
  </si>
  <si>
    <t>HICKS KIMBERLY S</t>
  </si>
  <si>
    <t>230 ASHLEY BROOK LANE</t>
  </si>
  <si>
    <t>F800000056</t>
  </si>
  <si>
    <t>HAYDEN MICHAEL C</t>
  </si>
  <si>
    <t>HAYDEN KIMBERLY KURTZ</t>
  </si>
  <si>
    <t>218 HILLCREST DR</t>
  </si>
  <si>
    <t>H90000000501</t>
  </si>
  <si>
    <t>ENGEBRETSON JOSHUA CRAIG</t>
  </si>
  <si>
    <t>ENGEBRETSON MARY MIRANDA</t>
  </si>
  <si>
    <t>919 PEOPLES CREEK RD</t>
  </si>
  <si>
    <t>B50000003902</t>
  </si>
  <si>
    <t>JONES TAMARA</t>
  </si>
  <si>
    <t>115 COOK TRL</t>
  </si>
  <si>
    <t>27028-6773</t>
  </si>
  <si>
    <t>B50000003903</t>
  </si>
  <si>
    <t>B50000003801</t>
  </si>
  <si>
    <t>D600000062</t>
  </si>
  <si>
    <t>TUCKER MICHAEL G</t>
  </si>
  <si>
    <t>C100000002</t>
  </si>
  <si>
    <t>BROWN PAMELA REAVIS ETAL</t>
  </si>
  <si>
    <t>JONES PATRICA REAVIS</t>
  </si>
  <si>
    <t>I700000098</t>
  </si>
  <si>
    <t>BUNKER TIMOTHY MAX</t>
  </si>
  <si>
    <t>BUNKER BARBARA JANE</t>
  </si>
  <si>
    <t>134 LIVENGOOD ROAD</t>
  </si>
  <si>
    <t>B700000062</t>
  </si>
  <si>
    <t>HEPLER LEISA G</t>
  </si>
  <si>
    <t>184 REX LANE</t>
  </si>
  <si>
    <t>J6060A0007</t>
  </si>
  <si>
    <t>ALLEN MARK</t>
  </si>
  <si>
    <t>ALLEN TAMARA</t>
  </si>
  <si>
    <t>194 CEDAR RIDGE RD</t>
  </si>
  <si>
    <t>C300000084</t>
  </si>
  <si>
    <t>I4120D0032</t>
  </si>
  <si>
    <t>DOWNING CHARLES JR</t>
  </si>
  <si>
    <t>DOWNING DEBRA</t>
  </si>
  <si>
    <t>F200000020</t>
  </si>
  <si>
    <t>KATREN STEVEN W</t>
  </si>
  <si>
    <t>P O BOX 1381</t>
  </si>
  <si>
    <t>K5090A000707</t>
  </si>
  <si>
    <t>ALLEN PHILLIP COLE</t>
  </si>
  <si>
    <t>204 MCCULLOUGH RD</t>
  </si>
  <si>
    <t>L5020B0014</t>
  </si>
  <si>
    <t>ALLEN CARLI MADISON</t>
  </si>
  <si>
    <t>187 S BENSON LN</t>
  </si>
  <si>
    <t>J4120C0009</t>
  </si>
  <si>
    <t>MARKLIN FAMILY PROPERTIES LLC</t>
  </si>
  <si>
    <t>J4110A0001</t>
  </si>
  <si>
    <t>J4120C0010</t>
  </si>
  <si>
    <t>J4120C0011</t>
  </si>
  <si>
    <t>J4120C0012</t>
  </si>
  <si>
    <t>J4050C0003</t>
  </si>
  <si>
    <t>I5160A0050</t>
  </si>
  <si>
    <t>J5160A0001</t>
  </si>
  <si>
    <t>I4060A000601</t>
  </si>
  <si>
    <t>J4040G0020</t>
  </si>
  <si>
    <t>D70000000903</t>
  </si>
  <si>
    <t>J5010D0134</t>
  </si>
  <si>
    <t>CARLSON TAYLOR</t>
  </si>
  <si>
    <t>171 CHARLESTON MEADOW LOOP</t>
  </si>
  <si>
    <t>H2050A0008</t>
  </si>
  <si>
    <t>RAPER JEFFERY LYNN TR &amp; RAPER DEBRA PLOWMAN TR</t>
  </si>
  <si>
    <t>JEFFERY &amp; DEBRA RAPER LIV TRUS</t>
  </si>
  <si>
    <t>150 SPORTSMAN DR</t>
  </si>
  <si>
    <t>28625-1674</t>
  </si>
  <si>
    <t>G3140A0008</t>
  </si>
  <si>
    <t>DAVIS GRIMES LEE JR</t>
  </si>
  <si>
    <t>DAVIS KAREN</t>
  </si>
  <si>
    <t>221 HIDDEN VALLEY LN</t>
  </si>
  <si>
    <t>D8100C000204</t>
  </si>
  <si>
    <t>MILLER CHARLES WILLIAM</t>
  </si>
  <si>
    <t>MILLER JOYOUS M</t>
  </si>
  <si>
    <t>543 RIVERBEND DR</t>
  </si>
  <si>
    <t>J4040E0014</t>
  </si>
  <si>
    <t>WILLEY RICHARD</t>
  </si>
  <si>
    <t>412 S MAIN ST</t>
  </si>
  <si>
    <t>27028-2608</t>
  </si>
  <si>
    <t>I30000001101</t>
  </si>
  <si>
    <t>BOSTICK RICHARD LEO ETAL</t>
  </si>
  <si>
    <t>I1110D0002</t>
  </si>
  <si>
    <t>FOWLER JAMES JR</t>
  </si>
  <si>
    <t>FOWLER WANDA</t>
  </si>
  <si>
    <t>I1110D0003</t>
  </si>
  <si>
    <t>F90000000309</t>
  </si>
  <si>
    <t>ETHERIDGE KRISTI LYNN ETAL</t>
  </si>
  <si>
    <t>MYERS ALAN LOUIS</t>
  </si>
  <si>
    <t>188 EVERGREEN LN</t>
  </si>
  <si>
    <t>F90000000308</t>
  </si>
  <si>
    <t>D9050C003901</t>
  </si>
  <si>
    <t>RUSH STEPHEN PATE</t>
  </si>
  <si>
    <t>2321 BERMUDA VLG</t>
  </si>
  <si>
    <t>H5150A0002</t>
  </si>
  <si>
    <t>BMS INVESTMENT PROPERTIES LLC</t>
  </si>
  <si>
    <t>C7130A0001</t>
  </si>
  <si>
    <t>JOHNSON HEATHER SMITH</t>
  </si>
  <si>
    <t>109 MCGEE CT</t>
  </si>
  <si>
    <t>I6150A0004</t>
  </si>
  <si>
    <t>HELLARD MORGAN</t>
  </si>
  <si>
    <t>407 CORNATZER RD</t>
  </si>
  <si>
    <t>L60000000806</t>
  </si>
  <si>
    <t>PAZ BRYAN EDUARDO CABALLERO</t>
  </si>
  <si>
    <t>6477 NC HIGHWAY 801 S</t>
  </si>
  <si>
    <t>F8030A0023</t>
  </si>
  <si>
    <t>BUTLER TERRY BLAKE</t>
  </si>
  <si>
    <t>BUTLER AMBER LYNN</t>
  </si>
  <si>
    <t>248 ESSEX FARM RD</t>
  </si>
  <si>
    <t>F8030A0022</t>
  </si>
  <si>
    <t>F7120B0011</t>
  </si>
  <si>
    <t>MAZANTI ALEXANDER CAMERON</t>
  </si>
  <si>
    <t>MAZANTI DANIELLE ELIZABETH</t>
  </si>
  <si>
    <t>292 MONTCLAIR DR</t>
  </si>
  <si>
    <t>J5090A000203</t>
  </si>
  <si>
    <t>FETHERBAY LAUREN</t>
  </si>
  <si>
    <t>260 EATON RD</t>
  </si>
  <si>
    <t>I4120B000901</t>
  </si>
  <si>
    <t>KISSINGER KAITLIN M</t>
  </si>
  <si>
    <t>KISSINGER JOSEPH A</t>
  </si>
  <si>
    <t>L3080A0001</t>
  </si>
  <si>
    <t>SAVARESE SCOT LOUIS</t>
  </si>
  <si>
    <t>205 TRUSS BRIDGE ST</t>
  </si>
  <si>
    <t>27526-1994</t>
  </si>
  <si>
    <t>M5160B0013</t>
  </si>
  <si>
    <t>SECURE INC</t>
  </si>
  <si>
    <t>27603-1739</t>
  </si>
  <si>
    <t>D9050A0006</t>
  </si>
  <si>
    <t>MANOS RENIE TR &amp; MANOS STEVEN TR</t>
  </si>
  <si>
    <t>RENIE MANOS LIVING TRUST</t>
  </si>
  <si>
    <t>3113 BERMUDA VLG</t>
  </si>
  <si>
    <t>H7120B0028</t>
  </si>
  <si>
    <t>CABALLERO JUAN JOSE GALVEZ</t>
  </si>
  <si>
    <t>JAIMES JOCELYN</t>
  </si>
  <si>
    <t>164 MEETING HOUSE LN</t>
  </si>
  <si>
    <t>H4140A0013</t>
  </si>
  <si>
    <t>COLLIER GARY STEVEN</t>
  </si>
  <si>
    <t>COLLIER KIMBERLY MICHELLE</t>
  </si>
  <si>
    <t>377 COUNTRY LN</t>
  </si>
  <si>
    <t>27028-8658</t>
  </si>
  <si>
    <t>C70000006303</t>
  </si>
  <si>
    <t>LYNCH JEFFREY BRANNON</t>
  </si>
  <si>
    <t>142 ELLIS LN</t>
  </si>
  <si>
    <t>J6100B0002</t>
  </si>
  <si>
    <t>AGNER JANE NICOLE</t>
  </si>
  <si>
    <t>GOODARD MARK</t>
  </si>
  <si>
    <t>136 RESERVE DR</t>
  </si>
  <si>
    <t>K8090A0024</t>
  </si>
  <si>
    <t>THOMPSON HANNAH LEANN</t>
  </si>
  <si>
    <t>203 RAMSEY CT</t>
  </si>
  <si>
    <t>28677-4181</t>
  </si>
  <si>
    <t>E30000008002</t>
  </si>
  <si>
    <t>BLUEWAVE CUSTOM BUILDERS INC</t>
  </si>
  <si>
    <t>8503 NOAH HELMS RD</t>
  </si>
  <si>
    <t>28079-8734</t>
  </si>
  <si>
    <t>C8010A0258</t>
  </si>
  <si>
    <t>ANHAEUSER ROLF D TR &amp; ANHAEUSER ELFRIEDA C TR</t>
  </si>
  <si>
    <t>ROLF &amp; ELFRIEDA ANHAEUSER REV</t>
  </si>
  <si>
    <t>149 N FIELD DR</t>
  </si>
  <si>
    <t>D9050B0036</t>
  </si>
  <si>
    <t>GAMBLE WENDY S</t>
  </si>
  <si>
    <t>2129 BERMUDA VLG</t>
  </si>
  <si>
    <t>D9090B0018</t>
  </si>
  <si>
    <t>PELLOCK JOHN M JR TR &amp; PELLOCK CAREY REBECCA P TR</t>
  </si>
  <si>
    <t>PELLOCK REV FAMILY TRUST</t>
  </si>
  <si>
    <t>201 OLEANDER DR</t>
  </si>
  <si>
    <t>E7130A0005</t>
  </si>
  <si>
    <t>LUEBCHOW KATIE M</t>
  </si>
  <si>
    <t>132 SOMERSET CT</t>
  </si>
  <si>
    <t>F50000000210</t>
  </si>
  <si>
    <t>SPAINHOUR TAMMY HOUR</t>
  </si>
  <si>
    <t>956 ANGELL RD</t>
  </si>
  <si>
    <t>27028-5613</t>
  </si>
  <si>
    <t>G4080A0001</t>
  </si>
  <si>
    <t>GWYN HELEN ATKINS</t>
  </si>
  <si>
    <t>181 CANA RD</t>
  </si>
  <si>
    <t>H40000012801</t>
  </si>
  <si>
    <t>PERROTTE THOMAS M</t>
  </si>
  <si>
    <t>PERROTTE CHERYL P</t>
  </si>
  <si>
    <t>601 MARTIN LUTHER KING JR RD</t>
  </si>
  <si>
    <t>C8020A0009</t>
  </si>
  <si>
    <t>LA CARRETA NC PROPERTIES LLC</t>
  </si>
  <si>
    <t>1445 WILLOW WOODS WAY</t>
  </si>
  <si>
    <t>27104-1227</t>
  </si>
  <si>
    <t>K500000072</t>
  </si>
  <si>
    <t>FOSTER JULIA M HELLARD</t>
  </si>
  <si>
    <t>L60000001802</t>
  </si>
  <si>
    <t>ZANDER ALBERT</t>
  </si>
  <si>
    <t>905 MONTEREY CT</t>
  </si>
  <si>
    <t>DOTHAN</t>
  </si>
  <si>
    <t>36303-2024</t>
  </si>
  <si>
    <t>D7070A0023</t>
  </si>
  <si>
    <t>C60000005101</t>
  </si>
  <si>
    <t>F30000005801</t>
  </si>
  <si>
    <t>F300000058</t>
  </si>
  <si>
    <t>F30000005802</t>
  </si>
  <si>
    <t>F80000002802</t>
  </si>
  <si>
    <t>JONES JESSICA CARTER</t>
  </si>
  <si>
    <t>369 BEAUCHAMP ROAD</t>
  </si>
  <si>
    <t>G20000005503</t>
  </si>
  <si>
    <t>CHAFFIN SHARON</t>
  </si>
  <si>
    <t>1465 US HIGHWAY 64 WEST</t>
  </si>
  <si>
    <t>I300000065</t>
  </si>
  <si>
    <t>K200000023</t>
  </si>
  <si>
    <t>ARRINGTON DAVID ANTHONY</t>
  </si>
  <si>
    <t>39 KINGSRIDGE DR N</t>
  </si>
  <si>
    <t>COUNCIL BLFS</t>
  </si>
  <si>
    <t>51503-8419</t>
  </si>
  <si>
    <t>K20000002301</t>
  </si>
  <si>
    <t>D10000000202</t>
  </si>
  <si>
    <t>SMITH JOLENE REA</t>
  </si>
  <si>
    <t>% SCOTT WINEBARGER</t>
  </si>
  <si>
    <t>1055 TURKEY FOOT RD</t>
  </si>
  <si>
    <t>27028-5939</t>
  </si>
  <si>
    <t>I4110C0029</t>
  </si>
  <si>
    <t>SMITH JOLENE R</t>
  </si>
  <si>
    <t>I4110C0031</t>
  </si>
  <si>
    <t>I4110C0030</t>
  </si>
  <si>
    <t>I4140A0011</t>
  </si>
  <si>
    <t>I4140A0012</t>
  </si>
  <si>
    <t>I4110C0032</t>
  </si>
  <si>
    <t>I4140A0008</t>
  </si>
  <si>
    <t>I4140A0009</t>
  </si>
  <si>
    <t>I4140A0010</t>
  </si>
  <si>
    <t>D100000001</t>
  </si>
  <si>
    <t>E100000027</t>
  </si>
  <si>
    <t>D100000002</t>
  </si>
  <si>
    <t>D100000037</t>
  </si>
  <si>
    <t>C7100B001701</t>
  </si>
  <si>
    <t>HART DAVID C</t>
  </si>
  <si>
    <t>HART KIMBERLY R</t>
  </si>
  <si>
    <t>123 EAST ROBIN DRIVE</t>
  </si>
  <si>
    <t>C7100B0017</t>
  </si>
  <si>
    <t>F600000085</t>
  </si>
  <si>
    <t>LEONARD BARRY J</t>
  </si>
  <si>
    <t>LEONARD RODNEY L</t>
  </si>
  <si>
    <t>230 DULIN RD</t>
  </si>
  <si>
    <t>F600000088</t>
  </si>
  <si>
    <t>F60000008702</t>
  </si>
  <si>
    <t>F60000008701</t>
  </si>
  <si>
    <t>I5030A0008</t>
  </si>
  <si>
    <t>STRONG JOHNNY MACK</t>
  </si>
  <si>
    <t>STRONG SALLIE MARGARET</t>
  </si>
  <si>
    <t>130 CYPRESS COVE DRIVE</t>
  </si>
  <si>
    <t>B700000020</t>
  </si>
  <si>
    <t>HUTCHINS JOSEPH DANIEL</t>
  </si>
  <si>
    <t>D600000032</t>
  </si>
  <si>
    <t>WINN DANA RENEE</t>
  </si>
  <si>
    <t>WINN MICHAEL</t>
  </si>
  <si>
    <t>862 RAINBOW RD</t>
  </si>
  <si>
    <t>D60000001401</t>
  </si>
  <si>
    <t>D60000001402</t>
  </si>
  <si>
    <t>B200000047  A</t>
  </si>
  <si>
    <t>DZESKEWICZ BAILEY FAITH</t>
  </si>
  <si>
    <t>492 CHINQUAPIN RD</t>
  </si>
  <si>
    <t>J400000051</t>
  </si>
  <si>
    <t>525 S TRYON ST</t>
  </si>
  <si>
    <t>28202-1839</t>
  </si>
  <si>
    <t>J400000053</t>
  </si>
  <si>
    <t>J40000005103</t>
  </si>
  <si>
    <t>D2010A0006</t>
  </si>
  <si>
    <t>SCHMITZ JANICE LEE</t>
  </si>
  <si>
    <t>HOLUB BRANDI LYNN</t>
  </si>
  <si>
    <t>295 TIMBER TRAILS LN</t>
  </si>
  <si>
    <t>E900000514</t>
  </si>
  <si>
    <t>PICKENS AARON W</t>
  </si>
  <si>
    <t>PICKENS STEPHANIE D</t>
  </si>
  <si>
    <t>124 LATROBE CT</t>
  </si>
  <si>
    <t>E60000000404</t>
  </si>
  <si>
    <t>WILSON CYNTHIA D TR</t>
  </si>
  <si>
    <t>CYNTHIA WILSON REV TRUST</t>
  </si>
  <si>
    <t>120 SUGAR VALLEY TRL</t>
  </si>
  <si>
    <t>27028-7829</t>
  </si>
  <si>
    <t>I5090E0003</t>
  </si>
  <si>
    <t>MUELLER SARAH LITTLE</t>
  </si>
  <si>
    <t>178 POPLAR ST</t>
  </si>
  <si>
    <t>E20000003101</t>
  </si>
  <si>
    <t>MURPHY JACKIE DEAN</t>
  </si>
  <si>
    <t>MURPHY MANDY CASEY</t>
  </si>
  <si>
    <t>601 LIBERTY CHURCH RD</t>
  </si>
  <si>
    <t>E700000086</t>
  </si>
  <si>
    <t>WILSON HELEN ARMSWORTHY TR</t>
  </si>
  <si>
    <t>WILSON HELEN ARMSWORTHY REV</t>
  </si>
  <si>
    <t>4488 US HIGHWAY 158</t>
  </si>
  <si>
    <t>H9090A0001</t>
  </si>
  <si>
    <t>ROBERTSON STEPHEN L</t>
  </si>
  <si>
    <t>ROBERTSON JEAN P</t>
  </si>
  <si>
    <t>115 N FIELD DR</t>
  </si>
  <si>
    <t>L500000012</t>
  </si>
  <si>
    <t>DAVIS ROBERT C</t>
  </si>
  <si>
    <t>DAVIS CYNTHIA C</t>
  </si>
  <si>
    <t>119 DREXEL LN</t>
  </si>
  <si>
    <t>27028-5201</t>
  </si>
  <si>
    <t>L500000109</t>
  </si>
  <si>
    <t>K600000008</t>
  </si>
  <si>
    <t>G600000073</t>
  </si>
  <si>
    <t>WILLIAMS MARY F</t>
  </si>
  <si>
    <t>G60000007401</t>
  </si>
  <si>
    <t>WILLIAMS MARY FOSTER ETAL</t>
  </si>
  <si>
    <t>EVEREST GLENDA ELIZABETH</t>
  </si>
  <si>
    <t>G60000007402A</t>
  </si>
  <si>
    <t>G3060A0001</t>
  </si>
  <si>
    <t>DWIGGINS DONALD F</t>
  </si>
  <si>
    <t>HILTON VIRGINIA A</t>
  </si>
  <si>
    <t>113 NORTHBROOK DR</t>
  </si>
  <si>
    <t>E700000080</t>
  </si>
  <si>
    <t>E700000079</t>
  </si>
  <si>
    <t>H80000003304</t>
  </si>
  <si>
    <t>CARTER GRUBB INVESTMENTS LLC</t>
  </si>
  <si>
    <t>27028-6708</t>
  </si>
  <si>
    <t>H80000003303</t>
  </si>
  <si>
    <t>H80000003301</t>
  </si>
  <si>
    <t>H80000003302</t>
  </si>
  <si>
    <t>N50000003702</t>
  </si>
  <si>
    <t>I5090A000801</t>
  </si>
  <si>
    <t>N5110A0015</t>
  </si>
  <si>
    <t>H80000003306</t>
  </si>
  <si>
    <t>I5090A0003</t>
  </si>
  <si>
    <t>I40000007601</t>
  </si>
  <si>
    <t>INGERSOLL-RAND INDUSTRIAL US INC</t>
  </si>
  <si>
    <t>525 HARBOUR PLACE DR STE 600</t>
  </si>
  <si>
    <t>DAVIDSON</t>
  </si>
  <si>
    <t>28036-7444</t>
  </si>
  <si>
    <t>I400000076  A</t>
  </si>
  <si>
    <t>J4030B0002</t>
  </si>
  <si>
    <t>J4030B0001</t>
  </si>
  <si>
    <t>J4030A0007</t>
  </si>
  <si>
    <t>J4040A0018</t>
  </si>
  <si>
    <t>J4030B000301</t>
  </si>
  <si>
    <t>I400000076  B</t>
  </si>
  <si>
    <t>J60000002001A</t>
  </si>
  <si>
    <t>DALTON LILLIE C ESTATE</t>
  </si>
  <si>
    <t>193 DALTON ROAD</t>
  </si>
  <si>
    <t>E900000631</t>
  </si>
  <si>
    <t>WEISS ROXANNE</t>
  </si>
  <si>
    <t>FOSTER GINA L</t>
  </si>
  <si>
    <t>4661 SW HALLMARK ST</t>
  </si>
  <si>
    <t>34953-6630</t>
  </si>
  <si>
    <t>L700000006</t>
  </si>
  <si>
    <t>CASSIDY BETTY G ETAL</t>
  </si>
  <si>
    <t>J300000051</t>
  </si>
  <si>
    <t>TOWN LAKE INC</t>
  </si>
  <si>
    <t>K4010A0001</t>
  </si>
  <si>
    <t>SMITH TREVOR WESLEY</t>
  </si>
  <si>
    <t>1858 JERICHO CHURCH RD</t>
  </si>
  <si>
    <t>G20000002804</t>
  </si>
  <si>
    <t>KALISH KRISTINE P</t>
  </si>
  <si>
    <t>KALISH JOHN FRANKLIN SR</t>
  </si>
  <si>
    <t>E20000000102</t>
  </si>
  <si>
    <t>GROOMS TERESA SHULER</t>
  </si>
  <si>
    <t>813 JOE RD</t>
  </si>
  <si>
    <t>E100000014</t>
  </si>
  <si>
    <t>E10000001406</t>
  </si>
  <si>
    <t>K700000011</t>
  </si>
  <si>
    <t>K70000001101</t>
  </si>
  <si>
    <t>H8060A0062</t>
  </si>
  <si>
    <t>THORNTON KENYA</t>
  </si>
  <si>
    <t>131 COVINGTON DR</t>
  </si>
  <si>
    <t>H70000009402</t>
  </si>
  <si>
    <t>CARTER DAVID B TR &amp; CARTER PATRICIA M TR</t>
  </si>
  <si>
    <t>DAVID &amp; PATRICIA CARTER REV TR</t>
  </si>
  <si>
    <t>172 APACHE RD</t>
  </si>
  <si>
    <t>H70000009403</t>
  </si>
  <si>
    <t>E10000001401</t>
  </si>
  <si>
    <t>RATLEDGE MORRIS R</t>
  </si>
  <si>
    <t>RATLEDGE TRACY L</t>
  </si>
  <si>
    <t>370 LOG CABIN RD</t>
  </si>
  <si>
    <t>27028-5841</t>
  </si>
  <si>
    <t>E10000001404</t>
  </si>
  <si>
    <t>E10000001405</t>
  </si>
  <si>
    <t>C8010A0356</t>
  </si>
  <si>
    <t>CRISTIANO MARIE B</t>
  </si>
  <si>
    <t>CRISTIANO NICHOLAS A</t>
  </si>
  <si>
    <t>143 KILBOURNE DR</t>
  </si>
  <si>
    <t>E40000001610</t>
  </si>
  <si>
    <t>COLLINS JAMES</t>
  </si>
  <si>
    <t>COLLINS LAURA</t>
  </si>
  <si>
    <t>130 N FEREBEE WAY</t>
  </si>
  <si>
    <t>27028-5676</t>
  </si>
  <si>
    <t>M400000054</t>
  </si>
  <si>
    <t>OWENS NICHOLE</t>
  </si>
  <si>
    <t>175 J AND L FARM LANE</t>
  </si>
  <si>
    <t>B50000008106</t>
  </si>
  <si>
    <t>ENVIRONMENTAL BANC &amp; EXCHANGE LLC</t>
  </si>
  <si>
    <t>RES NORTH CAROLINA LLC</t>
  </si>
  <si>
    <t>6575 WEST LOOP S</t>
  </si>
  <si>
    <t>BELLAIRE</t>
  </si>
  <si>
    <t>77401-3521</t>
  </si>
  <si>
    <t>D100000006</t>
  </si>
  <si>
    <t>VADNEY SHERRY R ETAL</t>
  </si>
  <si>
    <t>GREECH JANEECE R</t>
  </si>
  <si>
    <t>7636 APPLEWOOD LANE</t>
  </si>
  <si>
    <t>28227-4911</t>
  </si>
  <si>
    <t>C200000029  A</t>
  </si>
  <si>
    <t>C200000024</t>
  </si>
  <si>
    <t>E700000033</t>
  </si>
  <si>
    <t>BLUE GATE WINSTON SALEM OWNER LLC</t>
  </si>
  <si>
    <t>6805 CARNEGIE BLVD STE 120</t>
  </si>
  <si>
    <t>28211-3551</t>
  </si>
  <si>
    <t>E700000041</t>
  </si>
  <si>
    <t>E700000071</t>
  </si>
  <si>
    <t>F80000002220</t>
  </si>
  <si>
    <t>ADCOCK JACOB J</t>
  </si>
  <si>
    <t>ADCOCK JAMIE LYNN</t>
  </si>
  <si>
    <t>175 ARROW GLENN CT</t>
  </si>
  <si>
    <t>D500000125</t>
  </si>
  <si>
    <t>REKLIS MICHAEL PETER</t>
  </si>
  <si>
    <t>REKLIS KENNA NICOLE</t>
  </si>
  <si>
    <t>897 BOBBIT RD</t>
  </si>
  <si>
    <t>G50000008104</t>
  </si>
  <si>
    <t>COOPER FLETCHER ALLEN JR</t>
  </si>
  <si>
    <t>COOPER RONDA JONES</t>
  </si>
  <si>
    <t>140 SWEETWOOD LN</t>
  </si>
  <si>
    <t>27028-4342</t>
  </si>
  <si>
    <t>C30000000901</t>
  </si>
  <si>
    <t>ALBRIGHT CORY</t>
  </si>
  <si>
    <t>G500000085</t>
  </si>
  <si>
    <t>LEONARD DORA E</t>
  </si>
  <si>
    <t>D8100C0011</t>
  </si>
  <si>
    <t>CHILDRESS KIM</t>
  </si>
  <si>
    <t>CHILDRESS ALISHA</t>
  </si>
  <si>
    <t>104 SPYGLASS DR</t>
  </si>
  <si>
    <t>D9050A0034</t>
  </si>
  <si>
    <t>MELTON DEAN</t>
  </si>
  <si>
    <t>MELTON LEIGH</t>
  </si>
  <si>
    <t>3226 BERMUDA VLG</t>
  </si>
  <si>
    <t>H300000031</t>
  </si>
  <si>
    <t>ELLIS VICKIE PROTHE</t>
  </si>
  <si>
    <t>2142 US HIGHWAY 64 W</t>
  </si>
  <si>
    <t>H30000005801</t>
  </si>
  <si>
    <t>M5070A0038</t>
  </si>
  <si>
    <t>MORRISON LANCE</t>
  </si>
  <si>
    <t>7348 NC HIGHWAY 801 S</t>
  </si>
  <si>
    <t>G8120A000101</t>
  </si>
  <si>
    <t>JONES JEFFREY</t>
  </si>
  <si>
    <t>HARVEY JONES SUSAN</t>
  </si>
  <si>
    <t>M5100B002201</t>
  </si>
  <si>
    <t>ASQUITH CARL M</t>
  </si>
  <si>
    <t>245 SWICEGOOD ST</t>
  </si>
  <si>
    <t>I50000004401</t>
  </si>
  <si>
    <t>HUDSON GLEN COMMUNITY ASSOCIATION INC</t>
  </si>
  <si>
    <t>J5010C0011</t>
  </si>
  <si>
    <t>SARMIENTO DIEGO F JR</t>
  </si>
  <si>
    <t>RODRIGUEZ LUQUE CECILIA</t>
  </si>
  <si>
    <t>118 BENSON ST</t>
  </si>
  <si>
    <t>27028-2648</t>
  </si>
  <si>
    <t>E70000006511</t>
  </si>
  <si>
    <t>CARLETON CHRISTOPHER</t>
  </si>
  <si>
    <t>CARLETON KAYLA</t>
  </si>
  <si>
    <t>109 BEAUCHAMP OAKS CT</t>
  </si>
  <si>
    <t>C7140A0103</t>
  </si>
  <si>
    <t>SHELTON ROBERT MICHAEL</t>
  </si>
  <si>
    <t>ORORKE KIMBERLY S</t>
  </si>
  <si>
    <t>176 MORAVIAN CT</t>
  </si>
  <si>
    <t>C500000117</t>
  </si>
  <si>
    <t>ROHR TROY L</t>
  </si>
  <si>
    <t>ROHR VICKI D</t>
  </si>
  <si>
    <t>2270 NC HIGHWAY 801 N</t>
  </si>
  <si>
    <t>C50000001804</t>
  </si>
  <si>
    <t>SHAWCROSS NANCY NICHOLSON</t>
  </si>
  <si>
    <t>184 WYO RD</t>
  </si>
  <si>
    <t>E9150B0122</t>
  </si>
  <si>
    <t>DAVIS DIANA UNDERWOOD</t>
  </si>
  <si>
    <t>415 ORCHARD PARK DR</t>
  </si>
  <si>
    <t>I800000060</t>
  </si>
  <si>
    <t>BROWN RUBY MAE</t>
  </si>
  <si>
    <t>3037 US HWY 801 SOUTH</t>
  </si>
  <si>
    <t>G7050A0015</t>
  </si>
  <si>
    <t>GOUDY DENA S</t>
  </si>
  <si>
    <t>128 PRINCETON CT</t>
  </si>
  <si>
    <t>D80000002505</t>
  </si>
  <si>
    <t>SMITH GIGI ANGELICA</t>
  </si>
  <si>
    <t>336 JAMES WAY</t>
  </si>
  <si>
    <t>F7120A0012</t>
  </si>
  <si>
    <t>GARRETT ROBERT FRANK ETAL</t>
  </si>
  <si>
    <t>GARRETT VICKIE ADCOCK</t>
  </si>
  <si>
    <t>184 MONTCLAIR DR</t>
  </si>
  <si>
    <t>F600000114</t>
  </si>
  <si>
    <t>PAIGE JACK DAVID</t>
  </si>
  <si>
    <t>PAIGE JUDY D</t>
  </si>
  <si>
    <t>3472 US HIGHWAY 158</t>
  </si>
  <si>
    <t>H80000003305</t>
  </si>
  <si>
    <t>MJW HOMES LLC</t>
  </si>
  <si>
    <t>H30000001702</t>
  </si>
  <si>
    <t>AARAV INVESTMENTS LLC</t>
  </si>
  <si>
    <t>595 ARBOR HILL RD STE C</t>
  </si>
  <si>
    <t>J60000000209</t>
  </si>
  <si>
    <t>FOOTHILLS BUILDING GROUP LLP</t>
  </si>
  <si>
    <t>109 E MOUNTAIN ST</t>
  </si>
  <si>
    <t>SUITE D</t>
  </si>
  <si>
    <t>27284-2794</t>
  </si>
  <si>
    <t>C700000070</t>
  </si>
  <si>
    <t>MICKEY TIMOTHY RICHARD</t>
  </si>
  <si>
    <t>MICKEY MOLLY MORTON</t>
  </si>
  <si>
    <t>1561 EVER SPRING DR</t>
  </si>
  <si>
    <t>27103-6328</t>
  </si>
  <si>
    <t>I5000A0049</t>
  </si>
  <si>
    <t>RAMIREZ JOSEPH</t>
  </si>
  <si>
    <t>RAMIREZ MARLENE</t>
  </si>
  <si>
    <t>114 NICKEL PLATE DR</t>
  </si>
  <si>
    <t>27028-7386</t>
  </si>
  <si>
    <t>J800000027</t>
  </si>
  <si>
    <t>HENDRIX ELIZABETH ANN FOSTER</t>
  </si>
  <si>
    <t>145 HENDRIX LN</t>
  </si>
  <si>
    <t>L800000006</t>
  </si>
  <si>
    <t>L80000000604</t>
  </si>
  <si>
    <t>L80000000606</t>
  </si>
  <si>
    <t>J80000001304</t>
  </si>
  <si>
    <t>I300000035</t>
  </si>
  <si>
    <t>GREENHILL CATTLE COMPANY LLC</t>
  </si>
  <si>
    <t>28465-6852</t>
  </si>
  <si>
    <t>J30000002704</t>
  </si>
  <si>
    <t>J30000002702</t>
  </si>
  <si>
    <t>J30000003802</t>
  </si>
  <si>
    <t>F10000001204</t>
  </si>
  <si>
    <t>HERRING DONALD GUY</t>
  </si>
  <si>
    <t>HERRING CAROL JEAN</t>
  </si>
  <si>
    <t>18601 BALMORE PINES LN</t>
  </si>
  <si>
    <t>28031-5209</t>
  </si>
  <si>
    <t>F10000001223</t>
  </si>
  <si>
    <t>E100000024</t>
  </si>
  <si>
    <t>REEVES CHARLIE CHESTER</t>
  </si>
  <si>
    <t>247 TURKEY FOOT RD</t>
  </si>
  <si>
    <t>27028-5931</t>
  </si>
  <si>
    <t>E10000002203</t>
  </si>
  <si>
    <t>E8100B0023</t>
  </si>
  <si>
    <t>LUNSFORD CHARLES HOWARD ETAL</t>
  </si>
  <si>
    <t>LUNSFORD ADAM CHARLES</t>
  </si>
  <si>
    <t>643 HILLCREST DR</t>
  </si>
  <si>
    <t>27006-7611</t>
  </si>
  <si>
    <t>E900000596</t>
  </si>
  <si>
    <t>THE BORROWED COMPASS TRUST</t>
  </si>
  <si>
    <t>PO BOX 115</t>
  </si>
  <si>
    <t>27012-0115</t>
  </si>
  <si>
    <t>H4100A0006</t>
  </si>
  <si>
    <t>BROUCEK SUZANNE E</t>
  </si>
  <si>
    <t>144 CARDINAL ST</t>
  </si>
  <si>
    <t>B70000000801</t>
  </si>
  <si>
    <t>HAYES HUBERT H JR</t>
  </si>
  <si>
    <t>189 SPARKS RD</t>
  </si>
  <si>
    <t>H30000003101</t>
  </si>
  <si>
    <t>H90000002514</t>
  </si>
  <si>
    <t>DOWNEY BILLY N</t>
  </si>
  <si>
    <t>DOWNEY MOLLIE M</t>
  </si>
  <si>
    <t>242 PEOPLES CREEK RD</t>
  </si>
  <si>
    <t>D9050B0006</t>
  </si>
  <si>
    <t>MANOS RENIE LIVING TRUST</t>
  </si>
  <si>
    <t>I500000044</t>
  </si>
  <si>
    <t>D8100C0017</t>
  </si>
  <si>
    <t>NOWELL PAULINE ELIZABETH</t>
  </si>
  <si>
    <t>138 SPYGLASS DR</t>
  </si>
  <si>
    <t>D9020A0003</t>
  </si>
  <si>
    <t>KRICKA FILIP TR &amp; GANGOPADHYAY PAULA TR</t>
  </si>
  <si>
    <t>KRICKA FAMILY REVOCABLE TRUST</t>
  </si>
  <si>
    <t>445 BING CROSBY BLVD</t>
  </si>
  <si>
    <t>G9090B0006</t>
  </si>
  <si>
    <t>B30000003107</t>
  </si>
  <si>
    <t>GENTRY BARBARA ANN</t>
  </si>
  <si>
    <t>135 LEISURE LN</t>
  </si>
  <si>
    <t>H90000005402</t>
  </si>
  <si>
    <t>HOWARD WILLIAM FRANKLIN</t>
  </si>
  <si>
    <t>HOWARD BARBARA BOYCE</t>
  </si>
  <si>
    <t>G7010A0009</t>
  </si>
  <si>
    <t>CLAYTON MARK A</t>
  </si>
  <si>
    <t>ROSS-CLAYTON ARICIA C</t>
  </si>
  <si>
    <t>145 W KINDERTON WAY APT 204</t>
  </si>
  <si>
    <t>MAILBOX 156</t>
  </si>
  <si>
    <t>27006-7390</t>
  </si>
  <si>
    <t>G4090A0006</t>
  </si>
  <si>
    <t>MULCAHY GERARD E</t>
  </si>
  <si>
    <t>MULCAHY JEAN A</t>
  </si>
  <si>
    <t>845 MAIN CHURCH RD</t>
  </si>
  <si>
    <t>27028-5851</t>
  </si>
  <si>
    <t>G4090A0005</t>
  </si>
  <si>
    <t>H5150A0012</t>
  </si>
  <si>
    <t>POE WILLIAM TODD</t>
  </si>
  <si>
    <t>187 ELM ST</t>
  </si>
  <si>
    <t>27028-2740</t>
  </si>
  <si>
    <t>F600000057</t>
  </si>
  <si>
    <t>F600000116</t>
  </si>
  <si>
    <t>I4110C0034</t>
  </si>
  <si>
    <t>MOCKSVILLE APL MP LLC</t>
  </si>
  <si>
    <t>% MB REAL ESTATE</t>
  </si>
  <si>
    <t>800 W MADISON ST</t>
  </si>
  <si>
    <t>60607-2481</t>
  </si>
  <si>
    <t>I5040A0011</t>
  </si>
  <si>
    <t>BROWN ROSALIND OPHELIA</t>
  </si>
  <si>
    <t>7129 ROCK RIDGE LN APT F</t>
  </si>
  <si>
    <t>22315-5153</t>
  </si>
  <si>
    <t>J4110A0006</t>
  </si>
  <si>
    <t>CEDAR RIDGE APARTMENTS LTD</t>
  </si>
  <si>
    <t>DBA: CEDAR RIDGE APTS #092</t>
  </si>
  <si>
    <t>STE 1010</t>
  </si>
  <si>
    <t>J70000000103</t>
  </si>
  <si>
    <t>JOHNSON CHRISTOPHER LEE</t>
  </si>
  <si>
    <t>347 NO CREEK RD</t>
  </si>
  <si>
    <t>F10000001215</t>
  </si>
  <si>
    <t>CAROLINA PRODUCTS GROUP LLC</t>
  </si>
  <si>
    <t>2621 FINES CREEK DR</t>
  </si>
  <si>
    <t>28625-4442</t>
  </si>
  <si>
    <t>F80000002214</t>
  </si>
  <si>
    <t>PEERENBOOM JOSEPH T</t>
  </si>
  <si>
    <t>PEERENBOOM DONNE</t>
  </si>
  <si>
    <t>111 ARROW GLENN CT</t>
  </si>
  <si>
    <t>J4060C0006</t>
  </si>
  <si>
    <t>LANE KERRI</t>
  </si>
  <si>
    <t>860 HARDISON ST</t>
  </si>
  <si>
    <t>J4060C000601</t>
  </si>
  <si>
    <t>I4140A0002</t>
  </si>
  <si>
    <t>LANE KERRI A</t>
  </si>
  <si>
    <t>D20000005101</t>
  </si>
  <si>
    <t>PETERS BENOY</t>
  </si>
  <si>
    <t>138 GRAND BAY DR</t>
  </si>
  <si>
    <t>28117-8800</t>
  </si>
  <si>
    <t>E9150B0076</t>
  </si>
  <si>
    <t>DUVALL JOEL R TR &amp; DUVALL KELLY BUTLER TR</t>
  </si>
  <si>
    <t>DUVALL REVOCABLE LIVING TRUST</t>
  </si>
  <si>
    <t>105 SYCAMORE COMMONS LN</t>
  </si>
  <si>
    <t>27006-7480</t>
  </si>
  <si>
    <t>I5110C0017</t>
  </si>
  <si>
    <t>THOMAS RICKEY DAVID JR</t>
  </si>
  <si>
    <t>178 MOUNTVIEW DR</t>
  </si>
  <si>
    <t>I30000000402</t>
  </si>
  <si>
    <t>MENZEL JENNIFER RENE</t>
  </si>
  <si>
    <t>MENZEL LUKE NATHAN</t>
  </si>
  <si>
    <t>718 MILLING RD</t>
  </si>
  <si>
    <t>27028-2858</t>
  </si>
  <si>
    <t>J800000013</t>
  </si>
  <si>
    <t>HENDRIX ROBERT LEE</t>
  </si>
  <si>
    <t>HENDRIX ELIZABETH FOSTER</t>
  </si>
  <si>
    <t>J800000025</t>
  </si>
  <si>
    <t>J5050B0021</t>
  </si>
  <si>
    <t>ASTLE MARK J TR</t>
  </si>
  <si>
    <t>THE JOSEPH C ASTLE TRUST ORG</t>
  </si>
  <si>
    <t>18022 DOG BAR RD</t>
  </si>
  <si>
    <t>GRASS VALLEY</t>
  </si>
  <si>
    <t>95949-9510</t>
  </si>
  <si>
    <t>K5160A000202</t>
  </si>
  <si>
    <t>MORSE JOSHUA</t>
  </si>
  <si>
    <t>225 MCCULLOUGH RD</t>
  </si>
  <si>
    <t>H60000005708</t>
  </si>
  <si>
    <t>WARNER ELIZABETH E</t>
  </si>
  <si>
    <t>WARNER SIDNEY BRIAN JR</t>
  </si>
  <si>
    <t>179 CREEKWOOD DR</t>
  </si>
  <si>
    <t>D7030B0005</t>
  </si>
  <si>
    <t>C200000008</t>
  </si>
  <si>
    <t>IRELAND NANNIE SUE ETAL</t>
  </si>
  <si>
    <t>316 ROCK SPRINGS CHURCH ROAD</t>
  </si>
  <si>
    <t>C20000000803</t>
  </si>
  <si>
    <t>J5010C0008</t>
  </si>
  <si>
    <t>CARRILLO CHECO JOSE</t>
  </si>
  <si>
    <t>RANDOLPH JESSICA M</t>
  </si>
  <si>
    <t>119 BENSON ST</t>
  </si>
  <si>
    <t>J40000003614</t>
  </si>
  <si>
    <t>HOPKINS STEPHEN ALAN</t>
  </si>
  <si>
    <t>HOPKINS DONNA MARIE</t>
  </si>
  <si>
    <t>7550 BROOKFIELD FOREST CT</t>
  </si>
  <si>
    <t>27023-9670</t>
  </si>
  <si>
    <t>N5080A0013</t>
  </si>
  <si>
    <t>LYONS ERICA D</t>
  </si>
  <si>
    <t>% HABITAT FOR HUMANITY</t>
  </si>
  <si>
    <t>145 GROVE ST</t>
  </si>
  <si>
    <t>27028-6789</t>
  </si>
  <si>
    <t>D9050B0024</t>
  </si>
  <si>
    <t>NOWELL MARINA HAWKINS</t>
  </si>
  <si>
    <t>F7120B0008</t>
  </si>
  <si>
    <t>QUESINBERRY PAUL WILLIAM</t>
  </si>
  <si>
    <t>268 MONTCLAIR DR</t>
  </si>
  <si>
    <t>G200000063</t>
  </si>
  <si>
    <t>JONES MICHAEL</t>
  </si>
  <si>
    <t>JONES CHERYL</t>
  </si>
  <si>
    <t>583 FRED LANIER RD</t>
  </si>
  <si>
    <t>D9090D0031</t>
  </si>
  <si>
    <t>BRALLIER STANLEY E TR &amp; BRALLIER SANDRA L TR</t>
  </si>
  <si>
    <t>STAN &amp; SANDY BRALLIER FAM TRUS</t>
  </si>
  <si>
    <t>315 HOLLYBROOK DR</t>
  </si>
  <si>
    <t>E900000129</t>
  </si>
  <si>
    <t>POE DONNA MAYBERRY</t>
  </si>
  <si>
    <t>267 KINGSMILL DR</t>
  </si>
  <si>
    <t>I5170B0114</t>
  </si>
  <si>
    <t>HADLEY SANDRA M</t>
  </si>
  <si>
    <t>114 W BRICK WALK CT</t>
  </si>
  <si>
    <t>J6100B0005</t>
  </si>
  <si>
    <t>LIFESTYLE BUILDERS OF DAVIE INC</t>
  </si>
  <si>
    <t>112 SAND SPUR DR</t>
  </si>
  <si>
    <t>28117-6074</t>
  </si>
  <si>
    <t>I4110A000608</t>
  </si>
  <si>
    <t>AVENUE LLC</t>
  </si>
  <si>
    <t>562 VALLEY RD</t>
  </si>
  <si>
    <t>27028-2091</t>
  </si>
  <si>
    <t>C70000011913</t>
  </si>
  <si>
    <t>JACKSON SHANNON LEE</t>
  </si>
  <si>
    <t>JACKSON TONI BETH</t>
  </si>
  <si>
    <t>211 HAYWOOD DR</t>
  </si>
  <si>
    <t>I5000A0058</t>
  </si>
  <si>
    <t>DR HORTON INC</t>
  </si>
  <si>
    <t>4150 MENDENHALL OAKS PKWY</t>
  </si>
  <si>
    <t>27265-8419</t>
  </si>
  <si>
    <t>I5000A0007</t>
  </si>
  <si>
    <t>I5000A0008</t>
  </si>
  <si>
    <t>I5000A0009</t>
  </si>
  <si>
    <t>I5000A0010</t>
  </si>
  <si>
    <t>I5000A0011</t>
  </si>
  <si>
    <t>I5000A0035</t>
  </si>
  <si>
    <t>I5000A0036</t>
  </si>
  <si>
    <t>I5000A0037</t>
  </si>
  <si>
    <t>I5000A0038</t>
  </si>
  <si>
    <t>I5000A0039</t>
  </si>
  <si>
    <t>I5000A0040</t>
  </si>
  <si>
    <t>I5000A0041</t>
  </si>
  <si>
    <t>I5000A0055</t>
  </si>
  <si>
    <t>I5000A0057</t>
  </si>
  <si>
    <t>I5000A0056</t>
  </si>
  <si>
    <t>I5000A0059</t>
  </si>
  <si>
    <t>I5000A0061</t>
  </si>
  <si>
    <t>I5000A0062</t>
  </si>
  <si>
    <t>I5000A0063</t>
  </si>
  <si>
    <t>I5000A0064</t>
  </si>
  <si>
    <t>I5000A0065</t>
  </si>
  <si>
    <t>I5000A0066</t>
  </si>
  <si>
    <t>J80000001307</t>
  </si>
  <si>
    <t>J800000014</t>
  </si>
  <si>
    <t>H40000011603</t>
  </si>
  <si>
    <t>NELSONS CREEK HOMEOWNERS ASSOCIATION INC</t>
  </si>
  <si>
    <t>F80000014003A</t>
  </si>
  <si>
    <t>BERRIER LINDA H</t>
  </si>
  <si>
    <t>BERRIER ROBY G</t>
  </si>
  <si>
    <t>1267 UNDERPASS RD</t>
  </si>
  <si>
    <t>M4130A0051</t>
  </si>
  <si>
    <t>EARNHARDT SUE</t>
  </si>
  <si>
    <t>27014-0526</t>
  </si>
  <si>
    <t>N5010B0001</t>
  </si>
  <si>
    <t>TROYER GENEVA</t>
  </si>
  <si>
    <t>135 DAVIE ST</t>
  </si>
  <si>
    <t>I5000A0047</t>
  </si>
  <si>
    <t>LOPEZ LISA ANNETTE</t>
  </si>
  <si>
    <t>LOPEZ ANGELO LUIS</t>
  </si>
  <si>
    <t>124 NICKEL PLATE DR</t>
  </si>
  <si>
    <t>H4190A000303</t>
  </si>
  <si>
    <t>MAVIS SOUTHEAST LLC</t>
  </si>
  <si>
    <t>358 SAW MILL RIVER RD</t>
  </si>
  <si>
    <t>MILLWOOD</t>
  </si>
  <si>
    <t>10546-1014</t>
  </si>
  <si>
    <t>E600000041</t>
  </si>
  <si>
    <t>FRYE MINNIE L</t>
  </si>
  <si>
    <t>147 RAINBOW RD</t>
  </si>
  <si>
    <t>K5060A0017</t>
  </si>
  <si>
    <t>THOMAS AKEEM</t>
  </si>
  <si>
    <t>104 BEECHWOOD CIR</t>
  </si>
  <si>
    <t>GREENWOOD</t>
  </si>
  <si>
    <t>29646-3702</t>
  </si>
  <si>
    <t>G500000013  A</t>
  </si>
  <si>
    <t>IJAMES SMITH HEIRS</t>
  </si>
  <si>
    <t>% JODIE HORTON</t>
  </si>
  <si>
    <t>1618 SECRET GARDEN CT</t>
  </si>
  <si>
    <t>28146-4778</t>
  </si>
  <si>
    <t>H40000011604</t>
  </si>
  <si>
    <t>H400000122</t>
  </si>
  <si>
    <t>H40000011602</t>
  </si>
  <si>
    <t>H40000011605</t>
  </si>
  <si>
    <t>N5010C0031</t>
  </si>
  <si>
    <t>SOUTHER JACOB</t>
  </si>
  <si>
    <t>316 RIVERDALE RD</t>
  </si>
  <si>
    <t>L500000091</t>
  </si>
  <si>
    <t>WILLIAMS WAYNE A JR</t>
  </si>
  <si>
    <t>563 FAIRFIELD RD</t>
  </si>
  <si>
    <t>I6140A0053</t>
  </si>
  <si>
    <t>POWELL CAROL OSEN</t>
  </si>
  <si>
    <t>117 LAKEVIEW ROAD</t>
  </si>
  <si>
    <t>I5050B0014</t>
  </si>
  <si>
    <t>RUSSELL RICHARD A</t>
  </si>
  <si>
    <t>ARMSTRONG RUSSELL WILMA R</t>
  </si>
  <si>
    <t>525 WHITNEY RD</t>
  </si>
  <si>
    <t>I50000001105</t>
  </si>
  <si>
    <t>MANGROVE HOLDINGS LLC</t>
  </si>
  <si>
    <t>C8010A0085</t>
  </si>
  <si>
    <t>HARRIS JEAN MARIE</t>
  </si>
  <si>
    <t>HARRIS STEPHEN DEAN</t>
  </si>
  <si>
    <t>108 GENE SARAZEN DR</t>
  </si>
  <si>
    <t>MEBANE</t>
  </si>
  <si>
    <t>27302-7161</t>
  </si>
  <si>
    <t>J40000004803</t>
  </si>
  <si>
    <t>HOLBROOK SHANNAH PAULINE</t>
  </si>
  <si>
    <t>1428 JERICHO CHURCH RD</t>
  </si>
  <si>
    <t>J40000004802</t>
  </si>
  <si>
    <t>J40000004801</t>
  </si>
  <si>
    <t>I4010A0010</t>
  </si>
  <si>
    <t>MCGANN BRADFORD Y</t>
  </si>
  <si>
    <t>MOYCE BARBARA A</t>
  </si>
  <si>
    <t>393 OLD BOULDER RD</t>
  </si>
  <si>
    <t>BIG TIMBER</t>
  </si>
  <si>
    <t>59011-8020</t>
  </si>
  <si>
    <t>J700000059</t>
  </si>
  <si>
    <t>MILLER BRIAN DAVID TR &amp; MILLER DONNA MELISSA TR</t>
  </si>
  <si>
    <t>BRIAN &amp; DONNA MILLER REV TRUST</t>
  </si>
  <si>
    <t>398 MERRELLS LAKE RD</t>
  </si>
  <si>
    <t>J70000005903</t>
  </si>
  <si>
    <t>D8100D0024</t>
  </si>
  <si>
    <t>BAXLEY CAROLINE</t>
  </si>
  <si>
    <t>112 MIMOSA PL</t>
  </si>
  <si>
    <t>27006-8518</t>
  </si>
  <si>
    <t>E9150B0079</t>
  </si>
  <si>
    <t>LLOYD CHARLES A</t>
  </si>
  <si>
    <t>LLOYD CHERYL T</t>
  </si>
  <si>
    <t>125 SYCAMORE COMMONS LN</t>
  </si>
  <si>
    <t>K70000000602</t>
  </si>
  <si>
    <t>ANGLIN ALAN D</t>
  </si>
  <si>
    <t>ANGLIN SHERRY S</t>
  </si>
  <si>
    <t>673 JOE RD</t>
  </si>
  <si>
    <t>I5000A0069</t>
  </si>
  <si>
    <t>GOINS JOSEPH BURCHAM</t>
  </si>
  <si>
    <t>LAYTON SARAH TYLER</t>
  </si>
  <si>
    <t>115 NICKEL PLATE DR</t>
  </si>
  <si>
    <t>E30000006504</t>
  </si>
  <si>
    <t>KENNEDY CHRISTOPHER R</t>
  </si>
  <si>
    <t>3523 NC HWY 601</t>
  </si>
  <si>
    <t>L3080A0009</t>
  </si>
  <si>
    <t>COLE JAMES K</t>
  </si>
  <si>
    <t>924 MR HENRY RD</t>
  </si>
  <si>
    <t>G60000009402</t>
  </si>
  <si>
    <t>HEMMINGS ELIZABETH YOKLEY</t>
  </si>
  <si>
    <t>3763 US HIGHWAY 158</t>
  </si>
  <si>
    <t>B200000035</t>
  </si>
  <si>
    <t>PRIM BUDDY WAYNE</t>
  </si>
  <si>
    <t>751 CHINQUAPIN RD</t>
  </si>
  <si>
    <t>27028-4713</t>
  </si>
  <si>
    <t>B200000049</t>
  </si>
  <si>
    <t>J70000000106</t>
  </si>
  <si>
    <t>H5170A0004</t>
  </si>
  <si>
    <t>KRAMER JASON ALLEN</t>
  </si>
  <si>
    <t>KRAMER LINDSAY ALLISON</t>
  </si>
  <si>
    <t>122 BLOSSOM HILL CT</t>
  </si>
  <si>
    <t>H500000053</t>
  </si>
  <si>
    <t>HICKS DAVID GRANT</t>
  </si>
  <si>
    <t>HICKS LINDA JEAN</t>
  </si>
  <si>
    <t>235 RED BUD LN</t>
  </si>
  <si>
    <t>27028-4361</t>
  </si>
  <si>
    <t>L5090B0016</t>
  </si>
  <si>
    <t>COLEMAN WILLIAM GRANT JR</t>
  </si>
  <si>
    <t>387 GLADSTONE RD</t>
  </si>
  <si>
    <t>J100000042</t>
  </si>
  <si>
    <t>DWIGGINS CLAYTON JAMES</t>
  </si>
  <si>
    <t>292 SHADY KNOLL LN</t>
  </si>
  <si>
    <t>J6050D0011</t>
  </si>
  <si>
    <t>AVENUE REALTY GROUP LLC</t>
  </si>
  <si>
    <t>5955 CARNEGIE BLVD</t>
  </si>
  <si>
    <t>SUITE 350</t>
  </si>
  <si>
    <t>28209-4664</t>
  </si>
  <si>
    <t>H400000063</t>
  </si>
  <si>
    <t>C300000005</t>
  </si>
  <si>
    <t>B700000092</t>
  </si>
  <si>
    <t>LPR PROPERTIES LLC</t>
  </si>
  <si>
    <t>952 YADKIN VALLEY RD</t>
  </si>
  <si>
    <t>B70000009204</t>
  </si>
  <si>
    <t>F3130A0042</t>
  </si>
  <si>
    <t>HREP III NC LLC</t>
  </si>
  <si>
    <t>10 GRAND ST STE 700</t>
  </si>
  <si>
    <t>11249-4251</t>
  </si>
  <si>
    <t>H400000070</t>
  </si>
  <si>
    <t>D8070A0049</t>
  </si>
  <si>
    <t>SZELIGA KENDALL T</t>
  </si>
  <si>
    <t>SZELIGA MELINDA W</t>
  </si>
  <si>
    <t>187 GOLFVIEW DR</t>
  </si>
  <si>
    <t>B500000025</t>
  </si>
  <si>
    <t>WISHON CHARLES EDGAR</t>
  </si>
  <si>
    <t>WISHON SHELBY ANN</t>
  </si>
  <si>
    <t>577 PINEVILLE RD</t>
  </si>
  <si>
    <t>D9010D0010</t>
  </si>
  <si>
    <t>WILLIAMS CHARLES L TR &amp; WILLIAMS LU DAVIS TR</t>
  </si>
  <si>
    <t>CHARLES L WILLIAMS REV TRUST</t>
  </si>
  <si>
    <t>164 HAMILTON CT</t>
  </si>
  <si>
    <t>F600000050</t>
  </si>
  <si>
    <t>MOORE MURMON MARCUS JR</t>
  </si>
  <si>
    <t>119 BOGER RD</t>
  </si>
  <si>
    <t>C7140A0104</t>
  </si>
  <si>
    <t>TURPIN THOMAS CHANDLER</t>
  </si>
  <si>
    <t>TURPIN ELISABETH CORRENA</t>
  </si>
  <si>
    <t>180 MORAVIAN CT</t>
  </si>
  <si>
    <t>H9080B0004</t>
  </si>
  <si>
    <t>HARPE BRENT</t>
  </si>
  <si>
    <t>HARPE KATHERINE</t>
  </si>
  <si>
    <t>138 SHERWOOD CT</t>
  </si>
  <si>
    <t>D700000193</t>
  </si>
  <si>
    <t>ENDR REAL ESTATE LLC</t>
  </si>
  <si>
    <t>G8120A0006</t>
  </si>
  <si>
    <t>D700000188</t>
  </si>
  <si>
    <t>MURPHY TINA DENISE</t>
  </si>
  <si>
    <t>1461 N CLODFELTER RD</t>
  </si>
  <si>
    <t>27265-7313</t>
  </si>
  <si>
    <t>D700000192</t>
  </si>
  <si>
    <t>B700000028</t>
  </si>
  <si>
    <t>H80000003003</t>
  </si>
  <si>
    <t>CHANEY JOSHUA</t>
  </si>
  <si>
    <t>CHANEY BRITTANY</t>
  </si>
  <si>
    <t>200 ODELL MYERS RD</t>
  </si>
  <si>
    <t>H400000082</t>
  </si>
  <si>
    <t>TRAN PHILLIP</t>
  </si>
  <si>
    <t>427 N GREENBRIAR RD</t>
  </si>
  <si>
    <t>28625-4538</t>
  </si>
  <si>
    <t>I40000006401</t>
  </si>
  <si>
    <t>SAFLEY NANCY B</t>
  </si>
  <si>
    <t>5410 NESTLEWAY DR</t>
  </si>
  <si>
    <t>27012-9430</t>
  </si>
  <si>
    <t>D600000033</t>
  </si>
  <si>
    <t>MYERS CLIFF BRADLEY JR</t>
  </si>
  <si>
    <t>MYERS RYAN CALEB</t>
  </si>
  <si>
    <t>875 RAINBOW RD</t>
  </si>
  <si>
    <t>F40000002201</t>
  </si>
  <si>
    <t>BROWN LLOYD H JR</t>
  </si>
  <si>
    <t>BROWN CHRISTINE H</t>
  </si>
  <si>
    <t>780 CANA ROAD</t>
  </si>
  <si>
    <t>M50000000104</t>
  </si>
  <si>
    <t>WALTERMAN DERRYK EUGENE</t>
  </si>
  <si>
    <t>WALTERMAN STACEY J</t>
  </si>
  <si>
    <t>283 LEGION HUT RD</t>
  </si>
  <si>
    <t>M5150A0024</t>
  </si>
  <si>
    <t>CHILDERS JOSEPH R</t>
  </si>
  <si>
    <t>SIMPSON FRANKLIN</t>
  </si>
  <si>
    <t>1618 ANGELL RD</t>
  </si>
  <si>
    <t>I5000A0068</t>
  </si>
  <si>
    <t>NABORS WILLIAM</t>
  </si>
  <si>
    <t>NABORS RACHEL</t>
  </si>
  <si>
    <t>119 NICKEL PLATE DR</t>
  </si>
  <si>
    <t>E900000078</t>
  </si>
  <si>
    <t>CLARK CASEY</t>
  </si>
  <si>
    <t>CLARK PEYTON</t>
  </si>
  <si>
    <t>127 AVIARA DR</t>
  </si>
  <si>
    <t>C7140A0094</t>
  </si>
  <si>
    <t>GALLOWAY JOAN</t>
  </si>
  <si>
    <t>GALLOWAY JOHN</t>
  </si>
  <si>
    <t>154 MORNING STAR DR</t>
  </si>
  <si>
    <t>I5080E0026</t>
  </si>
  <si>
    <t>H7120B0023</t>
  </si>
  <si>
    <t>HANGER KIM M</t>
  </si>
  <si>
    <t>128 MEETING HOUSE LN</t>
  </si>
  <si>
    <t>C7140A0064</t>
  </si>
  <si>
    <t>FOLSOM SCOTT A</t>
  </si>
  <si>
    <t>FOLSOM BARBARA G</t>
  </si>
  <si>
    <t>197 MORNING STAR DR</t>
  </si>
  <si>
    <t>D8100A0004</t>
  </si>
  <si>
    <t>PATEL JAYANT</t>
  </si>
  <si>
    <t>PATEL RAKHIBEN</t>
  </si>
  <si>
    <t>D600000015</t>
  </si>
  <si>
    <t>D60000001403</t>
  </si>
  <si>
    <t>E70000008101</t>
  </si>
  <si>
    <t>ARMSWORTHY JEFFREY C</t>
  </si>
  <si>
    <t>SQUIER SHERRI KAY</t>
  </si>
  <si>
    <t>212 SQUIRREL LN</t>
  </si>
  <si>
    <t>27006-7881</t>
  </si>
  <si>
    <t>N5010C0065</t>
  </si>
  <si>
    <t>PO BOX 445</t>
  </si>
  <si>
    <t>27014-0445</t>
  </si>
  <si>
    <t>C300000021</t>
  </si>
  <si>
    <t>C8010A0240</t>
  </si>
  <si>
    <t>DAVIS STANFORD E</t>
  </si>
  <si>
    <t>DAVIS TERRY L</t>
  </si>
  <si>
    <t>128 MILLSTONE LN</t>
  </si>
  <si>
    <t>D3010B0010</t>
  </si>
  <si>
    <t>KAZAN ALAN ROBERT ETAL</t>
  </si>
  <si>
    <t>KAZAN DIANNE KAY</t>
  </si>
  <si>
    <t>150 WADE EATON DR</t>
  </si>
  <si>
    <t>I5050C0019</t>
  </si>
  <si>
    <t>BALL RICHARD</t>
  </si>
  <si>
    <t>BALL IMINJA P</t>
  </si>
  <si>
    <t>604 WHITNEY RD</t>
  </si>
  <si>
    <t>I90000001701</t>
  </si>
  <si>
    <t>BRANCH CHARLES L JR</t>
  </si>
  <si>
    <t>BRANCH LESA W</t>
  </si>
  <si>
    <t>690 BURTON RD</t>
  </si>
  <si>
    <t>I900000017</t>
  </si>
  <si>
    <t>BRANCH RIVER RANCH LLC</t>
  </si>
  <si>
    <t>I900000015</t>
  </si>
  <si>
    <t>I900000016</t>
  </si>
  <si>
    <t>I90000002401</t>
  </si>
  <si>
    <t>I900000024</t>
  </si>
  <si>
    <t>E900000169</t>
  </si>
  <si>
    <t>CLAIRMONT RICHARD D</t>
  </si>
  <si>
    <t>CLAIRMONT SUSAN F</t>
  </si>
  <si>
    <t>114 LONETREE CT</t>
  </si>
  <si>
    <t>E30000005601</t>
  </si>
  <si>
    <t>STUMBO DYLAN W</t>
  </si>
  <si>
    <t>STUMBO LISA A BOGER</t>
  </si>
  <si>
    <t>487 RICHIE RD</t>
  </si>
  <si>
    <t>H5150B0002</t>
  </si>
  <si>
    <t>NICHOLSON KENT W ETAL</t>
  </si>
  <si>
    <t>NICHOLSON SHERRY S</t>
  </si>
  <si>
    <t>930 ARGYLE CT</t>
  </si>
  <si>
    <t>28677-3564</t>
  </si>
  <si>
    <t>E300000133</t>
  </si>
  <si>
    <t>CABANA PROPERTIES LLC</t>
  </si>
  <si>
    <t>F800000147</t>
  </si>
  <si>
    <t>F80000014009</t>
  </si>
  <si>
    <t>H40000001001</t>
  </si>
  <si>
    <t>PH 15 PORTFOLIO PROPCO LLC</t>
  </si>
  <si>
    <t>6201 W PLANO PKWY</t>
  </si>
  <si>
    <t>75093-4914</t>
  </si>
  <si>
    <t>F400000022</t>
  </si>
  <si>
    <t>F80000005202</t>
  </si>
  <si>
    <t>KISS CONNIE JOHNSON</t>
  </si>
  <si>
    <t>192 HILLCREST DR</t>
  </si>
  <si>
    <t>G70000013207</t>
  </si>
  <si>
    <t>HOWARD BENNY MICHAEL</t>
  </si>
  <si>
    <t>157 TRAVELER LN</t>
  </si>
  <si>
    <t>27006-7599</t>
  </si>
  <si>
    <t>G70000013209</t>
  </si>
  <si>
    <t>D600000040</t>
  </si>
  <si>
    <t>DUMAINE NICHOLAS MICHAEL</t>
  </si>
  <si>
    <t>HUTCHENS HANNA ANN</t>
  </si>
  <si>
    <t>186 DUNN TRL</t>
  </si>
  <si>
    <t>27006-6609</t>
  </si>
  <si>
    <t>D8030A0007</t>
  </si>
  <si>
    <t>SUNBURST HOLDING CO INC TRUSTE</t>
  </si>
  <si>
    <t>501 HARVEY ST</t>
  </si>
  <si>
    <t>27103-1604</t>
  </si>
  <si>
    <t>G500000040</t>
  </si>
  <si>
    <t>MCCLAMROCK LOUISE WARD TRUST</t>
  </si>
  <si>
    <t>MCLAMROCK LOUISE WARD TRUSTEE</t>
  </si>
  <si>
    <t>245 SAW RD</t>
  </si>
  <si>
    <t>F50000002002</t>
  </si>
  <si>
    <t>G500000005</t>
  </si>
  <si>
    <t>O60000002106</t>
  </si>
  <si>
    <t>HARGROVE ERIC</t>
  </si>
  <si>
    <t>4465 CLARKSBURG RD</t>
  </si>
  <si>
    <t>27012-7156</t>
  </si>
  <si>
    <t>H80000005311</t>
  </si>
  <si>
    <t>KUSHNER KEITH J</t>
  </si>
  <si>
    <t>KUSHNER MARY R</t>
  </si>
  <si>
    <t>1617 BLOOM ST</t>
  </si>
  <si>
    <t>29466-7351</t>
  </si>
  <si>
    <t>H80000006601</t>
  </si>
  <si>
    <t>E900000495</t>
  </si>
  <si>
    <t>BLAND W DOUGLAS</t>
  </si>
  <si>
    <t>BLAND DEIDRE R</t>
  </si>
  <si>
    <t>270 NORTH HIDDENBROOKE DRIVE</t>
  </si>
  <si>
    <t>I4110C0022</t>
  </si>
  <si>
    <t>GRUBB ALEX</t>
  </si>
  <si>
    <t>ALEX GRUBB ENTERPRISES</t>
  </si>
  <si>
    <t>166 KENT LN</t>
  </si>
  <si>
    <t>I4110C002201</t>
  </si>
  <si>
    <t>ALEX GRUBB ENTERPRISES LLC</t>
  </si>
  <si>
    <t>G800000011  A</t>
  </si>
  <si>
    <t>C &amp; R POTTS LATHAM FAMILY LLC</t>
  </si>
  <si>
    <t>3055 CORNATZER RD</t>
  </si>
  <si>
    <t>H7030A0045</t>
  </si>
  <si>
    <t>CUSTER DONNA K</t>
  </si>
  <si>
    <t>120 BRIER CREEK RD</t>
  </si>
  <si>
    <t>H7030A0044</t>
  </si>
  <si>
    <t>D9090A0010</t>
  </si>
  <si>
    <t>HUFFMAN DONALD</t>
  </si>
  <si>
    <t>HUFFMAN BETTY</t>
  </si>
  <si>
    <t>109 WILLOWBROOK PL</t>
  </si>
  <si>
    <t>J300000026</t>
  </si>
  <si>
    <t>YADKIN VALLEY ECONOMIC DEVELOPMENT DISTRICT INC</t>
  </si>
  <si>
    <t>PO BOX 309</t>
  </si>
  <si>
    <t>27011-0309</t>
  </si>
  <si>
    <t>J70000011301</t>
  </si>
  <si>
    <t>COPE ROGER DALE</t>
  </si>
  <si>
    <t>2845 RUTH EVANS DR</t>
  </si>
  <si>
    <t>27837-0000</t>
  </si>
  <si>
    <t>M60000002413</t>
  </si>
  <si>
    <t>GRUBB RANDALL D</t>
  </si>
  <si>
    <t>M60000002411</t>
  </si>
  <si>
    <t>M60000002410</t>
  </si>
  <si>
    <t>J60000009403</t>
  </si>
  <si>
    <t>J4050C001101</t>
  </si>
  <si>
    <t>C300000018</t>
  </si>
  <si>
    <t>CHINQUAPIN BAPTIST CHURCH</t>
  </si>
  <si>
    <t>PO BOX 822</t>
  </si>
  <si>
    <t>J100000044</t>
  </si>
  <si>
    <t>SWISHER WILLIAM F</t>
  </si>
  <si>
    <t>200 CRESCENT DR</t>
  </si>
  <si>
    <t>27028-8153</t>
  </si>
  <si>
    <t>E900000284</t>
  </si>
  <si>
    <t>IRELAND VINCENT ALBERT III TR &amp; IRELAND JETTE TR</t>
  </si>
  <si>
    <t>130 SAWGRASS DR</t>
  </si>
  <si>
    <t>J4060D0041</t>
  </si>
  <si>
    <t>151 BIRCHWOOD LN</t>
  </si>
  <si>
    <t>27028-2925</t>
  </si>
  <si>
    <t>L5100B0005</t>
  </si>
  <si>
    <t>LAMBE JOHN THOMAS</t>
  </si>
  <si>
    <t>G50000009101</t>
  </si>
  <si>
    <t>HAUSER RANDALL CRAIG ETAL</t>
  </si>
  <si>
    <t>HAUSER DARA HUNTER</t>
  </si>
  <si>
    <t>117 GARDEN LN</t>
  </si>
  <si>
    <t>M4040A0002</t>
  </si>
  <si>
    <t>ALMAZAN RUANO ANA AMY</t>
  </si>
  <si>
    <t>167 GLENVIEW LN</t>
  </si>
  <si>
    <t>27028-5254</t>
  </si>
  <si>
    <t>D8070D0011</t>
  </si>
  <si>
    <t>STANLEY ROBERT B JR</t>
  </si>
  <si>
    <t>155 FAIRWAY DR</t>
  </si>
  <si>
    <t>E7140A0018</t>
  </si>
  <si>
    <t>VAUGHAN CHRISTOPHER KEITH</t>
  </si>
  <si>
    <t>VAUGHAN MELISSA</t>
  </si>
  <si>
    <t>175 GRAYWOOD CT</t>
  </si>
  <si>
    <t>F600000100  A</t>
  </si>
  <si>
    <t>POLLARD LAND LLC</t>
  </si>
  <si>
    <t>5075 LOWER VALLEY RD</t>
  </si>
  <si>
    <t>ATGLEN</t>
  </si>
  <si>
    <t>19310-1774</t>
  </si>
  <si>
    <t>H50000005304</t>
  </si>
  <si>
    <t>SNYDER KEITH DAWAYNE</t>
  </si>
  <si>
    <t>SNYDER JUDITH ANN</t>
  </si>
  <si>
    <t>526 SAIN RD</t>
  </si>
  <si>
    <t>K70000006202</t>
  </si>
  <si>
    <t>GRUBB CINDY CARTER</t>
  </si>
  <si>
    <t>1104 JOE RD</t>
  </si>
  <si>
    <t>K70000006203</t>
  </si>
  <si>
    <t>K70000006204</t>
  </si>
  <si>
    <t>CARTER ALAN RICKY</t>
  </si>
  <si>
    <t>CARTER SUSAN</t>
  </si>
  <si>
    <t>696 SINGLETON ROAD</t>
  </si>
  <si>
    <t>N70000000402</t>
  </si>
  <si>
    <t>N70000000401</t>
  </si>
  <si>
    <t>E60000001202</t>
  </si>
  <si>
    <t>WILLIAMS DAVID B</t>
  </si>
  <si>
    <t>WILLIAMS LUANNE K</t>
  </si>
  <si>
    <t>355 CHESTNUT KNOB RD</t>
  </si>
  <si>
    <t>28607-7990</t>
  </si>
  <si>
    <t>E70000009003</t>
  </si>
  <si>
    <t>D7030B0017</t>
  </si>
  <si>
    <t>HANNAH MELISSA DANIELLE</t>
  </si>
  <si>
    <t>131 BRENTWOOD DR</t>
  </si>
  <si>
    <t>C7140A0118</t>
  </si>
  <si>
    <t>CHAPMAN BARBARA C</t>
  </si>
  <si>
    <t>213 MORAVIAN CT</t>
  </si>
  <si>
    <t>27006-8019</t>
  </si>
  <si>
    <t>D30000005202</t>
  </si>
  <si>
    <t>MILLER GREGORY BRYANT TR &amp; MILLER AMANDA LYNN TR</t>
  </si>
  <si>
    <t>GABJ FAMILY LIVING TRUST</t>
  </si>
  <si>
    <t>149 CAYUGA DR</t>
  </si>
  <si>
    <t>28117-8341</t>
  </si>
  <si>
    <t>F30000009903</t>
  </si>
  <si>
    <t>WOMBLE MICAH D</t>
  </si>
  <si>
    <t>WOMBLE BRITTANY D</t>
  </si>
  <si>
    <t>122 DANNER RD</t>
  </si>
  <si>
    <t>E9150B0106</t>
  </si>
  <si>
    <t>CHAMI ROBERT G</t>
  </si>
  <si>
    <t>YEZBAK RAMONA T</t>
  </si>
  <si>
    <t>345 ORCHARD PARK DR</t>
  </si>
  <si>
    <t>J5030A0033</t>
  </si>
  <si>
    <t>LEVESQUE BRITTANY</t>
  </si>
  <si>
    <t>310 E LAKE DR</t>
  </si>
  <si>
    <t>D50000002302</t>
  </si>
  <si>
    <t>THOMAS AUGDENE K</t>
  </si>
  <si>
    <t>4105 LORD JEFF DR</t>
  </si>
  <si>
    <t>27405-6366</t>
  </si>
  <si>
    <t>G30000000415</t>
  </si>
  <si>
    <t>MUSE TREVAUN JACKSON</t>
  </si>
  <si>
    <t>MUSE TYLER</t>
  </si>
  <si>
    <t>158 CULLODEN DR</t>
  </si>
  <si>
    <t>C8010A0244</t>
  </si>
  <si>
    <t>ZARRELLA BARBARA G TR</t>
  </si>
  <si>
    <t>BARBARA G ZARRELLA TRUST</t>
  </si>
  <si>
    <t>243 BRIDGEWATER DR</t>
  </si>
  <si>
    <t>I5120B0019</t>
  </si>
  <si>
    <t>RAMIREZ JOSE ISMAEL</t>
  </si>
  <si>
    <t>238 WINDWARD CIR</t>
  </si>
  <si>
    <t>B30000004703</t>
  </si>
  <si>
    <t>WHITLEY MICHAEL S</t>
  </si>
  <si>
    <t>WHITLEY CATHERINE K</t>
  </si>
  <si>
    <t>128 MORTGAGE HILL WAY</t>
  </si>
  <si>
    <t>D500000046</t>
  </si>
  <si>
    <t>I4020A0011</t>
  </si>
  <si>
    <t>BLACKWELDER INVESTMENTS LLC</t>
  </si>
  <si>
    <t>2703 WINDSOR RD</t>
  </si>
  <si>
    <t>27104-3043</t>
  </si>
  <si>
    <t>I4020A0001  A</t>
  </si>
  <si>
    <t>I4020A0002</t>
  </si>
  <si>
    <t>I4120A001201</t>
  </si>
  <si>
    <t>M60000002406</t>
  </si>
  <si>
    <t>M60000002103</t>
  </si>
  <si>
    <t>M60000002407</t>
  </si>
  <si>
    <t>M60000002404</t>
  </si>
  <si>
    <t>M5090C0006</t>
  </si>
  <si>
    <t>KEY MICHAEL JAMAEL BEARDABEAST</t>
  </si>
  <si>
    <t>146 JERUSALEM AVE</t>
  </si>
  <si>
    <t>M5090C0003</t>
  </si>
  <si>
    <t>M5090C0002</t>
  </si>
  <si>
    <t>F3130A0025</t>
  </si>
  <si>
    <t>HOWELL LOUIS TRENTON</t>
  </si>
  <si>
    <t>271 PEPPERSTONE DR</t>
  </si>
  <si>
    <t>H4180A0015</t>
  </si>
  <si>
    <t>SHARP JANIS K</t>
  </si>
  <si>
    <t>141 STERLING DR</t>
  </si>
  <si>
    <t>I5030A0022</t>
  </si>
  <si>
    <t>WESCHLER JOHN</t>
  </si>
  <si>
    <t>WESCHLER SARAH</t>
  </si>
  <si>
    <t>112 ELI AVE</t>
  </si>
  <si>
    <t>I5000A0050</t>
  </si>
  <si>
    <t>TUGGLE AMANDA</t>
  </si>
  <si>
    <t>TUGGLE DOUGLAS</t>
  </si>
  <si>
    <t>108 NICKEL PLATE DR</t>
  </si>
  <si>
    <t>I5070C0001</t>
  </si>
  <si>
    <t>SLOGICK JENNIFER CAMPBELL</t>
  </si>
  <si>
    <t>CAMPBELL THOMAS FOSTER</t>
  </si>
  <si>
    <t>172 FOX RUN DR</t>
  </si>
  <si>
    <t>I5070C0002</t>
  </si>
  <si>
    <t>I5070C0007</t>
  </si>
  <si>
    <t>I5070C0006</t>
  </si>
  <si>
    <t>I5070C0005</t>
  </si>
  <si>
    <t>E20000000604</t>
  </si>
  <si>
    <t>BROWN JASON DEAN</t>
  </si>
  <si>
    <t>7410 LANCASHIRE DR</t>
  </si>
  <si>
    <t>28227-4319</t>
  </si>
  <si>
    <t>I6140A0012</t>
  </si>
  <si>
    <t>MELE DONNA M</t>
  </si>
  <si>
    <t>303 LAKEVIEW RD</t>
  </si>
  <si>
    <t>E30000008010</t>
  </si>
  <si>
    <t>JONES JOSHUA RHYS</t>
  </si>
  <si>
    <t>JONES DAVID</t>
  </si>
  <si>
    <t>1904 ANGELL RD</t>
  </si>
  <si>
    <t>K5060A0021</t>
  </si>
  <si>
    <t>RUTHERFORD JACOB S</t>
  </si>
  <si>
    <t>RUTHERFORD DANA</t>
  </si>
  <si>
    <t>132 W CHINABERRY CT</t>
  </si>
  <si>
    <t>L60000000509</t>
  </si>
  <si>
    <t>SCHWARZ ROBERT C</t>
  </si>
  <si>
    <t>114 WILL BOONE RD</t>
  </si>
  <si>
    <t>N60000004103</t>
  </si>
  <si>
    <t>FLORA HERBERT III</t>
  </si>
  <si>
    <t>138 BOXWOOD CHURCH ROAD</t>
  </si>
  <si>
    <t>I5000A0060</t>
  </si>
  <si>
    <t>CEDAR CREEK RE LLC</t>
  </si>
  <si>
    <t>I5000A0012</t>
  </si>
  <si>
    <t>I5000A0031</t>
  </si>
  <si>
    <t>I5000A0032</t>
  </si>
  <si>
    <t>I5000A0033</t>
  </si>
  <si>
    <t>I5000A0034</t>
  </si>
  <si>
    <t>I5000A0013</t>
  </si>
  <si>
    <t>I5000A0027</t>
  </si>
  <si>
    <t>I5000A0028</t>
  </si>
  <si>
    <t>I5000A0029</t>
  </si>
  <si>
    <t>I5000A0030</t>
  </si>
  <si>
    <t>I5000A0014</t>
  </si>
  <si>
    <t>I5000A0015</t>
  </si>
  <si>
    <t>I5000A0019</t>
  </si>
  <si>
    <t>I5000A0023</t>
  </si>
  <si>
    <t>I5000A0020</t>
  </si>
  <si>
    <t>I5000A0021</t>
  </si>
  <si>
    <t>I5000A0022</t>
  </si>
  <si>
    <t>I5000A0018</t>
  </si>
  <si>
    <t>I5000A0016</t>
  </si>
  <si>
    <t>I5000A0017</t>
  </si>
  <si>
    <t>I5000A0024</t>
  </si>
  <si>
    <t>I5000A0025</t>
  </si>
  <si>
    <t>I5000A0026</t>
  </si>
  <si>
    <t>H400000013</t>
  </si>
  <si>
    <t>ELLIS MARK STEPHEN ETAL</t>
  </si>
  <si>
    <t>ELLIS TIMOTHY DAVID</t>
  </si>
  <si>
    <t>I5010C0028</t>
  </si>
  <si>
    <t>H4130A0078</t>
  </si>
  <si>
    <t>HAIRSTON STEPHANIE WRIGHT</t>
  </si>
  <si>
    <t>HAIRSTON TIMOTHY WELLS</t>
  </si>
  <si>
    <t>266 SUMMIT DR</t>
  </si>
  <si>
    <t>I6080A0035</t>
  </si>
  <si>
    <t>GONZALES GIANE CARLO</t>
  </si>
  <si>
    <t>116 ARIEL CT</t>
  </si>
  <si>
    <t>D7020C0001</t>
  </si>
  <si>
    <t>CARLETON RICHARD</t>
  </si>
  <si>
    <t>CARLETON WANDA</t>
  </si>
  <si>
    <t>6161 RIVER SOUND CIR</t>
  </si>
  <si>
    <t>28461-3141</t>
  </si>
  <si>
    <t>D50000005401</t>
  </si>
  <si>
    <t>HENRY BRUCE REA TR &amp; HENRY SHANNON MARIE BATES TR</t>
  </si>
  <si>
    <t>BRUCE REA HENRY REVOCABLE TRUS</t>
  </si>
  <si>
    <t>E20000002815</t>
  </si>
  <si>
    <t>K40000004005</t>
  </si>
  <si>
    <t>SCOTT RICKY GRAY</t>
  </si>
  <si>
    <t>SCOTT SHEILA MARIE</t>
  </si>
  <si>
    <t>316 BUCK SEAFORD ROAD</t>
  </si>
  <si>
    <t>C500000070</t>
  </si>
  <si>
    <t>REESE HENRY K</t>
  </si>
  <si>
    <t>REESE TRACY M</t>
  </si>
  <si>
    <t>1469 OBRIEN DR</t>
  </si>
  <si>
    <t>NEWTON</t>
  </si>
  <si>
    <t>28658-3860</t>
  </si>
  <si>
    <t>C500000069</t>
  </si>
  <si>
    <t>L5070A0010</t>
  </si>
  <si>
    <t>TORRES JHOAN MAURICIO GARAVITO</t>
  </si>
  <si>
    <t>LUNA KARLA G MORENO</t>
  </si>
  <si>
    <t>2057 US HIGHWAY 601 S</t>
  </si>
  <si>
    <t>D50000002304</t>
  </si>
  <si>
    <t>D500000025</t>
  </si>
  <si>
    <t>M5090B0021</t>
  </si>
  <si>
    <t>CHARLESTON ANDRAY S</t>
  </si>
  <si>
    <t>3021 GLEN LAUREL DR</t>
  </si>
  <si>
    <t>28025-1614</t>
  </si>
  <si>
    <t>G8010A0003</t>
  </si>
  <si>
    <t>GRUBB INVESTMENT PROPERTIES LLC</t>
  </si>
  <si>
    <t>157 LA QUINTA DR</t>
  </si>
  <si>
    <t>D9010C0005</t>
  </si>
  <si>
    <t>GRAHAM KAREN BRAME TR</t>
  </si>
  <si>
    <t>KAREN BRAME GRAHAM FAMILY TRUS</t>
  </si>
  <si>
    <t>107 SAINT GEORGE PL</t>
  </si>
  <si>
    <t>C7140A0102</t>
  </si>
  <si>
    <t>TRAVISON FRAN LEE</t>
  </si>
  <si>
    <t>TRAVISON LAURA ANN</t>
  </si>
  <si>
    <t>172 MORAVIAN CT</t>
  </si>
  <si>
    <t>I5000A0004</t>
  </si>
  <si>
    <t>HARDIN SARAH</t>
  </si>
  <si>
    <t>121 BIG LAUREL LN</t>
  </si>
  <si>
    <t>27028-7385</t>
  </si>
  <si>
    <t>J700000068</t>
  </si>
  <si>
    <t>MADER KELLY NICOLE</t>
  </si>
  <si>
    <t>2788 US HIGHWAY 64 E</t>
  </si>
  <si>
    <t>L4130A0005</t>
  </si>
  <si>
    <t>SCHULER HARRIET J DULL</t>
  </si>
  <si>
    <t>B600000005</t>
  </si>
  <si>
    <t>HOOKER MORGAN</t>
  </si>
  <si>
    <t>B600000006</t>
  </si>
  <si>
    <t>D8100B0020</t>
  </si>
  <si>
    <t>HARMON KITSIE L</t>
  </si>
  <si>
    <t>584 RIVERBEND DR</t>
  </si>
  <si>
    <t>C8010A0363</t>
  </si>
  <si>
    <t>SWAN SUSAN GLOEDE</t>
  </si>
  <si>
    <t>104 KILBOURNE DR</t>
  </si>
  <si>
    <t>J5150B0011</t>
  </si>
  <si>
    <t>LEE BRYSON W</t>
  </si>
  <si>
    <t>LEE ALEASIA A</t>
  </si>
  <si>
    <t>153 WOODHAVEN LN</t>
  </si>
  <si>
    <t>I400000009</t>
  </si>
  <si>
    <t>DEVENEY CHRISTINE</t>
  </si>
  <si>
    <t>DEVENEY THOMAS</t>
  </si>
  <si>
    <t>165 VALE RD</t>
  </si>
  <si>
    <t>I5000A0052</t>
  </si>
  <si>
    <t>STANFIELD AUSTIN</t>
  </si>
  <si>
    <t>STANFIELD COURTNEY</t>
  </si>
  <si>
    <t>120 BIG LAUREL LN</t>
  </si>
  <si>
    <t>E60000009203</t>
  </si>
  <si>
    <t>STASINSKI CINDY</t>
  </si>
  <si>
    <t>4162 US HIGHWAY 158</t>
  </si>
  <si>
    <t>H7120B0026</t>
  </si>
  <si>
    <t>BODARY DANA G ETAL</t>
  </si>
  <si>
    <t>BODARY KATHLEEN</t>
  </si>
  <si>
    <t>156 MEETING HOUSE LN</t>
  </si>
  <si>
    <t>I4010A0040</t>
  </si>
  <si>
    <t>HARTUNG DONNA JASALTIS</t>
  </si>
  <si>
    <t>128 TURNBERRY DR</t>
  </si>
  <si>
    <t>H400000031</t>
  </si>
  <si>
    <t>1504 EMBERS DR</t>
  </si>
  <si>
    <t>29582-6157</t>
  </si>
  <si>
    <t>H400000034</t>
  </si>
  <si>
    <t>D8070D0008</t>
  </si>
  <si>
    <t>WHITE GINA LYNN</t>
  </si>
  <si>
    <t>143 FAIRWAY DR</t>
  </si>
  <si>
    <t>H500000065</t>
  </si>
  <si>
    <t>INSPIRE COMMERCIAL LLC</t>
  </si>
  <si>
    <t>1124 GROGANS MILL DR</t>
  </si>
  <si>
    <t>27519-9472</t>
  </si>
  <si>
    <t>D7020C0005</t>
  </si>
  <si>
    <t>WOODSON MICHAEL ALLEN JR</t>
  </si>
  <si>
    <t>105 SLOPE LANE</t>
  </si>
  <si>
    <t>D7020C0002</t>
  </si>
  <si>
    <t>CASTELLI HERMAN ETAL</t>
  </si>
  <si>
    <t>CASTELLI MIRIAM</t>
  </si>
  <si>
    <t>111 SLOPE LANE</t>
  </si>
  <si>
    <t>D8070D0031</t>
  </si>
  <si>
    <t>ROBERTS ANN MARGARET</t>
  </si>
  <si>
    <t>RAYMOND JOE HOWARD</t>
  </si>
  <si>
    <t>176 FAIRWAY DR</t>
  </si>
  <si>
    <t>J70000002701</t>
  </si>
  <si>
    <t>1070 OLD STONE LN</t>
  </si>
  <si>
    <t>27284-3852</t>
  </si>
  <si>
    <t>J700000027</t>
  </si>
  <si>
    <t>H50000002401A</t>
  </si>
  <si>
    <t>G50000013304</t>
  </si>
  <si>
    <t>F20000002402</t>
  </si>
  <si>
    <t>F80000012201</t>
  </si>
  <si>
    <t>C40000006601</t>
  </si>
  <si>
    <t>C400000065</t>
  </si>
  <si>
    <t>C400000066</t>
  </si>
  <si>
    <t>C500000095</t>
  </si>
  <si>
    <t>K500000068</t>
  </si>
  <si>
    <t>H700000072</t>
  </si>
  <si>
    <t>MYERS VIRGINIA D</t>
  </si>
  <si>
    <t>153 BIXBY SCHOOL RD</t>
  </si>
  <si>
    <t>27006-7469</t>
  </si>
  <si>
    <t>H800000056</t>
  </si>
  <si>
    <t>G200000001</t>
  </si>
  <si>
    <t>MAULDIN JAMES TODD</t>
  </si>
  <si>
    <t>1590 CATTLE DR</t>
  </si>
  <si>
    <t>28023-8826</t>
  </si>
  <si>
    <t>G20000000101</t>
  </si>
  <si>
    <t>H30000000202</t>
  </si>
  <si>
    <t>IJAMES VERTIE MAE C ETAL</t>
  </si>
  <si>
    <t>H30000000204</t>
  </si>
  <si>
    <t>H30000000301</t>
  </si>
  <si>
    <t>C8010B0406</t>
  </si>
  <si>
    <t>HARDISTER PATRICIA H ETAL</t>
  </si>
  <si>
    <t>ANGEL JENNIFER H</t>
  </si>
  <si>
    <t>112 GLENMOOR AVE</t>
  </si>
  <si>
    <t>D7020C0012</t>
  </si>
  <si>
    <t>CHAPMAN JERRY</t>
  </si>
  <si>
    <t>H4130A0079</t>
  </si>
  <si>
    <t>CANTANIO ANTHONY</t>
  </si>
  <si>
    <t>HAYMOND ALYSSA</t>
  </si>
  <si>
    <t>270 SUMMIT DR</t>
  </si>
  <si>
    <t>F100000017</t>
  </si>
  <si>
    <t>UFP REAL ESTATE LLC</t>
  </si>
  <si>
    <t>2801 E BELTLINE AVE NE</t>
  </si>
  <si>
    <t>GRAND RAPIDS</t>
  </si>
  <si>
    <t>49525-9680</t>
  </si>
  <si>
    <t>H7120B0009</t>
  </si>
  <si>
    <t>FRANK DANIEL</t>
  </si>
  <si>
    <t>FRANK BOBBI</t>
  </si>
  <si>
    <t>182 OLD DUTCH RD</t>
  </si>
  <si>
    <t>B50000010101</t>
  </si>
  <si>
    <t>LANNING MATTHEW SCOTT</t>
  </si>
  <si>
    <t>250 SHADY BROOK LN</t>
  </si>
  <si>
    <t>27023-9306</t>
  </si>
  <si>
    <t>B70000004908</t>
  </si>
  <si>
    <t>MILES JOSEPH M</t>
  </si>
  <si>
    <t>MILES JANE V</t>
  </si>
  <si>
    <t>244 JESSE KING RD</t>
  </si>
  <si>
    <t>E900000081</t>
  </si>
  <si>
    <t>LANKESTER CARLA</t>
  </si>
  <si>
    <t>LANKESTER TOBY</t>
  </si>
  <si>
    <t>147 AVIARA DR</t>
  </si>
  <si>
    <t>G40000003416</t>
  </si>
  <si>
    <t>SHORES JAMES L</t>
  </si>
  <si>
    <t>179 BELAIRE LN</t>
  </si>
  <si>
    <t>G400000053</t>
  </si>
  <si>
    <t>G40000003406</t>
  </si>
  <si>
    <t>G40000003409</t>
  </si>
  <si>
    <t>D700000070</t>
  </si>
  <si>
    <t>BURTON JULIA H</t>
  </si>
  <si>
    <t>488 REDLAND RD</t>
  </si>
  <si>
    <t>L300000005</t>
  </si>
  <si>
    <t>WALKER JOHN STEPHEN ETAL</t>
  </si>
  <si>
    <t>CROOK JILL M WALKER</t>
  </si>
  <si>
    <t>118 KELLY AVENUE</t>
  </si>
  <si>
    <t>D7020C0006</t>
  </si>
  <si>
    <t>FULLER PHILLIP JR</t>
  </si>
  <si>
    <t>FULLER DARLENE</t>
  </si>
  <si>
    <t>292 BUCK SEAFORD RD</t>
  </si>
  <si>
    <t>27028-4121</t>
  </si>
  <si>
    <t>H300000070</t>
  </si>
  <si>
    <t>ROY DEBORAH</t>
  </si>
  <si>
    <t>1962 US HIGHWAY 64 W</t>
  </si>
  <si>
    <t>H7120B0032</t>
  </si>
  <si>
    <t>I4120D000201</t>
  </si>
  <si>
    <t>H7120B0027</t>
  </si>
  <si>
    <t>J4050A0010</t>
  </si>
  <si>
    <t>WALKER TAMELA LYNN</t>
  </si>
  <si>
    <t>118 KELLY AVE</t>
  </si>
  <si>
    <t>D300000032</t>
  </si>
  <si>
    <t>REVIVE NC PROPERTIES LLC</t>
  </si>
  <si>
    <t>E400000016</t>
  </si>
  <si>
    <t>I600000039</t>
  </si>
  <si>
    <t>LAGLE LANETTE</t>
  </si>
  <si>
    <t>SHEETS TENA</t>
  </si>
  <si>
    <t>309 TURRENTINE CHURCH RD</t>
  </si>
  <si>
    <t>I60000003607</t>
  </si>
  <si>
    <t>M400000008  A</t>
  </si>
  <si>
    <t>CLARK MELANIE ETAL</t>
  </si>
  <si>
    <t>CLARK JEFFREY S</t>
  </si>
  <si>
    <t>I300000028</t>
  </si>
  <si>
    <t>F300000096</t>
  </si>
  <si>
    <t>HINSDALE GARY WAYNE</t>
  </si>
  <si>
    <t>HINSDALE WILLIAM GRAY</t>
  </si>
  <si>
    <t>169 CAMELLIA LN</t>
  </si>
  <si>
    <t>J500000055</t>
  </si>
  <si>
    <t>IJAMES JAMES EDWARD SR</t>
  </si>
  <si>
    <t>EDWARDS JASON LEE</t>
  </si>
  <si>
    <t>J50000005601</t>
  </si>
  <si>
    <t>G700000115</t>
  </si>
  <si>
    <t>HUNTER MITZI RUTH CORNATZER ETAL</t>
  </si>
  <si>
    <t>CORNATZER KIM BEAUCHAMP</t>
  </si>
  <si>
    <t>121 RAINTREE RD</t>
  </si>
  <si>
    <t>G70000011701</t>
  </si>
  <si>
    <t>G70000011703</t>
  </si>
  <si>
    <t>F70000002305</t>
  </si>
  <si>
    <t>WESTBROOK PATRICIA E</t>
  </si>
  <si>
    <t>1171 BALTIMORE RD</t>
  </si>
  <si>
    <t>27006-7821</t>
  </si>
  <si>
    <t>D7020C0009</t>
  </si>
  <si>
    <t>HENRY JAMES</t>
  </si>
  <si>
    <t>D7020C0003</t>
  </si>
  <si>
    <t>SEA DAZE PROPERTIES LLC</t>
  </si>
  <si>
    <t>1551 21ST AVE N STE 14</t>
  </si>
  <si>
    <t>29577-7495</t>
  </si>
  <si>
    <t>H400000068</t>
  </si>
  <si>
    <t>HURSEY CINDY M</t>
  </si>
  <si>
    <t>284 COUNTRY LN</t>
  </si>
  <si>
    <t>H40000006801</t>
  </si>
  <si>
    <t>D7020C0011</t>
  </si>
  <si>
    <t>FEARRINGTON MINDY</t>
  </si>
  <si>
    <t>114 SLOPE LANE</t>
  </si>
  <si>
    <t>C40000005101</t>
  </si>
  <si>
    <t>NEWSOM EDWIN RANDALL JR</t>
  </si>
  <si>
    <t>NEWSOM DIANE THOMAS</t>
  </si>
  <si>
    <t>215 KAYLA TRL</t>
  </si>
  <si>
    <t>C40000005103</t>
  </si>
  <si>
    <t>K300000001</t>
  </si>
  <si>
    <t>POWELL LAURA</t>
  </si>
  <si>
    <t>BRINKLEY TRAVIS</t>
  </si>
  <si>
    <t>135 BYERLYS CHAPEL RD</t>
  </si>
  <si>
    <t>27028-5103</t>
  </si>
  <si>
    <t>D3010A0011</t>
  </si>
  <si>
    <t>COOK TERESA W</t>
  </si>
  <si>
    <t>BUMGARNER JAMES L</t>
  </si>
  <si>
    <t>219 LAUREN LN</t>
  </si>
  <si>
    <t>28694-7543</t>
  </si>
  <si>
    <t>D7020C0004</t>
  </si>
  <si>
    <t>NORMAN VINCENT DEAN</t>
  </si>
  <si>
    <t>NORMAN PATRICIA WILSON</t>
  </si>
  <si>
    <t>28613-0672</t>
  </si>
  <si>
    <t>I6140A0002</t>
  </si>
  <si>
    <t>FITZGERALD PAMELA</t>
  </si>
  <si>
    <t>FITZGERALD SHAWN</t>
  </si>
  <si>
    <t>216 ANDOVER DR</t>
  </si>
  <si>
    <t>G50000006206</t>
  </si>
  <si>
    <t>E600000006</t>
  </si>
  <si>
    <t>G50000006205</t>
  </si>
  <si>
    <t>BARNHARDT NICHOLAS J</t>
  </si>
  <si>
    <t>H7120B0022</t>
  </si>
  <si>
    <t>SCHORTZ JOSEPH RICHARD</t>
  </si>
  <si>
    <t>SCHORTZ LYNDA ANN</t>
  </si>
  <si>
    <t>120 MEETING HOUSE LN</t>
  </si>
  <si>
    <t>D7020C0017</t>
  </si>
  <si>
    <t>LARD KENNETH N</t>
  </si>
  <si>
    <t>LARD KERRI B</t>
  </si>
  <si>
    <t>109 HOLLY CR</t>
  </si>
  <si>
    <t>D8070A0013</t>
  </si>
  <si>
    <t>H400000151</t>
  </si>
  <si>
    <t>WONDER HOUSE PROPERTIES LLC</t>
  </si>
  <si>
    <t>PO BOX 970</t>
  </si>
  <si>
    <t>39342-0970</t>
  </si>
  <si>
    <t>I80000001610</t>
  </si>
  <si>
    <t>BARNEY GRADY EDWIN TR &amp; BARNEY CHRISTAL C TR</t>
  </si>
  <si>
    <t>GRADY &amp; CHRISTAL BARNEY REV TR</t>
  </si>
  <si>
    <t>136 WORKHORSE LN</t>
  </si>
  <si>
    <t>27006-7280</t>
  </si>
  <si>
    <t>I800000016</t>
  </si>
  <si>
    <t>H30000009701</t>
  </si>
  <si>
    <t>GILDAN YARNS LLC</t>
  </si>
  <si>
    <t>1823 BOONE TRAIL RD</t>
  </si>
  <si>
    <t>27330-8662</t>
  </si>
  <si>
    <t>H30000009604</t>
  </si>
  <si>
    <t>L30000002005</t>
  </si>
  <si>
    <t>SWICEGOOD T KYLE</t>
  </si>
  <si>
    <t>SWICEGOOD ELIZABETH S</t>
  </si>
  <si>
    <t>125 OAK MEADOW LANE</t>
  </si>
  <si>
    <t>L30000002004</t>
  </si>
  <si>
    <t>D9010C0002</t>
  </si>
  <si>
    <t>FREEMAN WILLIAM H</t>
  </si>
  <si>
    <t>101 ST GEORGE PLACE</t>
  </si>
  <si>
    <t>J5010B0007</t>
  </si>
  <si>
    <t>MEADWELL HANNAH W</t>
  </si>
  <si>
    <t>MEADWELL ANDREW J</t>
  </si>
  <si>
    <t>141 CENTER STREET</t>
  </si>
  <si>
    <t>I5050A0046</t>
  </si>
  <si>
    <t>GINTHER REALTY LLC</t>
  </si>
  <si>
    <t>108 META BREEZE LN</t>
  </si>
  <si>
    <t>J6050C0010</t>
  </si>
  <si>
    <t>PRATT DAVID</t>
  </si>
  <si>
    <t>CUTRIGHT DEBORAH</t>
  </si>
  <si>
    <t>134 CEDAR RIDGE ROAD</t>
  </si>
  <si>
    <t>L70000000203</t>
  </si>
  <si>
    <t>CASSIDY BETTY G</t>
  </si>
  <si>
    <t>246 MCCLAMROCK RD</t>
  </si>
  <si>
    <t>G500000107</t>
  </si>
  <si>
    <t>G500000108</t>
  </si>
  <si>
    <t>D7020C0010</t>
  </si>
  <si>
    <t>CASTLES DONNA CRESS</t>
  </si>
  <si>
    <t>112 SLOPE LANE</t>
  </si>
  <si>
    <t>D7020C0015</t>
  </si>
  <si>
    <t>JOHNSON AMANDA CHERRELLE</t>
  </si>
  <si>
    <t>107 KNOB LANE</t>
  </si>
  <si>
    <t>D7020C0013</t>
  </si>
  <si>
    <t>STRICKLAND PAMELA JEAN</t>
  </si>
  <si>
    <t>STRICKLAND CONNIE JOE</t>
  </si>
  <si>
    <t>6017 IVERLEIGH CIRCLE</t>
  </si>
  <si>
    <t>D7020C0007</t>
  </si>
  <si>
    <t>CHAPMAN JERRY R</t>
  </si>
  <si>
    <t>CHAPMAN SUSAN T</t>
  </si>
  <si>
    <t>901 63RD ST OCEAN W</t>
  </si>
  <si>
    <t>I4140A0006</t>
  </si>
  <si>
    <t>ROBERTS FUNERAL SERVICES INC</t>
  </si>
  <si>
    <t>701 N MAIN STREET</t>
  </si>
  <si>
    <t>G600000071</t>
  </si>
  <si>
    <t>SMITH NATHAN F</t>
  </si>
  <si>
    <t>214 VINEYARD LN</t>
  </si>
  <si>
    <t>27028-7444</t>
  </si>
  <si>
    <t>H60000002401A</t>
  </si>
  <si>
    <t>H60000002403</t>
  </si>
  <si>
    <t>H60000002404</t>
  </si>
  <si>
    <t>H600000026</t>
  </si>
  <si>
    <t>I5080E0002</t>
  </si>
  <si>
    <t>SNOWDEN BREANNA</t>
  </si>
  <si>
    <t>372 DUKE ST</t>
  </si>
  <si>
    <t>H50000006701</t>
  </si>
  <si>
    <t>FRIZZELL DEBORAH M TR</t>
  </si>
  <si>
    <t>DEBORAH FRIZZELL REV TRUST</t>
  </si>
  <si>
    <t>1626 US HIGHWAY 158</t>
  </si>
  <si>
    <t>J4040C0004</t>
  </si>
  <si>
    <t>MORRIS GREGORY K</t>
  </si>
  <si>
    <t>H60000007110</t>
  </si>
  <si>
    <t>IDOL JACOB STEVEN</t>
  </si>
  <si>
    <t>IDOL ASHLEY MARIE</t>
  </si>
  <si>
    <t>117 IDOL ACRES LN</t>
  </si>
  <si>
    <t>27028-7283</t>
  </si>
  <si>
    <t>G700000010</t>
  </si>
  <si>
    <t>POTTS CLETUS A LIVING TRUST</t>
  </si>
  <si>
    <t>POTTS CORINNE J LIVING TRUST</t>
  </si>
  <si>
    <t>664 HOWARDTOWN RD</t>
  </si>
  <si>
    <t>G700000151</t>
  </si>
  <si>
    <t>G700000011</t>
  </si>
  <si>
    <t>G700000007</t>
  </si>
  <si>
    <t>G700000008</t>
  </si>
  <si>
    <t>F800000123</t>
  </si>
  <si>
    <t>RAY WILSON SOLAR LLC</t>
  </si>
  <si>
    <t>ATTN: DEVELOPMENT</t>
  </si>
  <si>
    <t>5970 FAIRVIEW RD</t>
  </si>
  <si>
    <t>28210-3167</t>
  </si>
  <si>
    <t>M40000007205</t>
  </si>
  <si>
    <t>PEACOCK SAMANTHA</t>
  </si>
  <si>
    <t>HAMILTON JOSEPH</t>
  </si>
  <si>
    <t>323 NOLLEY ROAD</t>
  </si>
  <si>
    <t>M40000007207</t>
  </si>
  <si>
    <t>G7040B0011</t>
  </si>
  <si>
    <t>MCCRACKEN DONALD JR</t>
  </si>
  <si>
    <t>209 GRANADA DR</t>
  </si>
  <si>
    <t>G7040B0010</t>
  </si>
  <si>
    <t>B400000054</t>
  </si>
  <si>
    <t>SMITH MICHAEL T</t>
  </si>
  <si>
    <t>438 BONKIN LAKE ROAD</t>
  </si>
  <si>
    <t>D80000003401</t>
  </si>
  <si>
    <t>ML BERMUDA VILLAGE LLC</t>
  </si>
  <si>
    <t>2410 DUNAVANT ST</t>
  </si>
  <si>
    <t>28203-5032</t>
  </si>
  <si>
    <t>D80000002315</t>
  </si>
  <si>
    <t>D80000002308</t>
  </si>
  <si>
    <t>D80000002309</t>
  </si>
  <si>
    <t>D800000034</t>
  </si>
  <si>
    <t>D80000002306</t>
  </si>
  <si>
    <t>D9050B0023</t>
  </si>
  <si>
    <t>D80000002301</t>
  </si>
  <si>
    <t>D80000002314</t>
  </si>
  <si>
    <t>D9050C0012</t>
  </si>
  <si>
    <t>D9050B0047</t>
  </si>
  <si>
    <t>D9050A0020</t>
  </si>
  <si>
    <t>D9050A0042</t>
  </si>
  <si>
    <t>D9050B0014</t>
  </si>
  <si>
    <t>D9050C0016</t>
  </si>
  <si>
    <t>D9050C0009</t>
  </si>
  <si>
    <t>D9050C0010</t>
  </si>
  <si>
    <t>D9050C0011</t>
  </si>
  <si>
    <t>D9050C0005</t>
  </si>
  <si>
    <t>D9050C0006</t>
  </si>
  <si>
    <t>D9050C0007</t>
  </si>
  <si>
    <t>D9050C0008</t>
  </si>
  <si>
    <t>D9050C0003</t>
  </si>
  <si>
    <t>D9050C0004</t>
  </si>
  <si>
    <t>D9050C0013</t>
  </si>
  <si>
    <t>D9050C0014</t>
  </si>
  <si>
    <t>D9050C0015</t>
  </si>
  <si>
    <t>D9050C0017</t>
  </si>
  <si>
    <t>D9050C0018</t>
  </si>
  <si>
    <t>D9050C0020</t>
  </si>
  <si>
    <t>D9050C0021</t>
  </si>
  <si>
    <t>D9050C0022</t>
  </si>
  <si>
    <t>D9050C0023</t>
  </si>
  <si>
    <t>D9050C0045</t>
  </si>
  <si>
    <t>D9050C0032</t>
  </si>
  <si>
    <t>D9050C0033</t>
  </si>
  <si>
    <t>D9050A0038</t>
  </si>
  <si>
    <t>D9050A0033</t>
  </si>
  <si>
    <t>D9050A0037</t>
  </si>
  <si>
    <t>D9050A0030</t>
  </si>
  <si>
    <t>D9050A0026</t>
  </si>
  <si>
    <t>D9050A0029</t>
  </si>
  <si>
    <t>D9050A0040</t>
  </si>
  <si>
    <t>D9090A0001</t>
  </si>
  <si>
    <t>D9090D0004</t>
  </si>
  <si>
    <t>D800000033</t>
  </si>
  <si>
    <t>D9090D0011</t>
  </si>
  <si>
    <t>D9050C0001</t>
  </si>
  <si>
    <t>D9050C0002</t>
  </si>
  <si>
    <t>D9050C0019</t>
  </si>
  <si>
    <t>D9050C0024</t>
  </si>
  <si>
    <t>N4040A0011</t>
  </si>
  <si>
    <t>TRUETT VALERIE E P</t>
  </si>
  <si>
    <t>J70000007710</t>
  </si>
  <si>
    <t>EVERHART DAVID WAYNE</t>
  </si>
  <si>
    <t>EVERHART TAMMY H</t>
  </si>
  <si>
    <t>2521 HIGHWAY 64 E</t>
  </si>
  <si>
    <t>J70000007711</t>
  </si>
  <si>
    <t>J70000007706</t>
  </si>
  <si>
    <t>J70000007709</t>
  </si>
  <si>
    <t>J70000007712</t>
  </si>
  <si>
    <t>J70000007707</t>
  </si>
  <si>
    <t>J70000007708</t>
  </si>
  <si>
    <t>J700000078</t>
  </si>
  <si>
    <t>J70000007715</t>
  </si>
  <si>
    <t>J70000007713</t>
  </si>
  <si>
    <t>J70000007714</t>
  </si>
  <si>
    <t>J700000014</t>
  </si>
  <si>
    <t>E900000379</t>
  </si>
  <si>
    <t>PURSER KENNETH H JR</t>
  </si>
  <si>
    <t>PURSER JANET C</t>
  </si>
  <si>
    <t>126 N WILDCAT RUN COURT</t>
  </si>
  <si>
    <t>E900000541</t>
  </si>
  <si>
    <t>ONEYEAR JON DENNIS</t>
  </si>
  <si>
    <t>ONEYEAR ANN MARIE</t>
  </si>
  <si>
    <t>181 NORTH HIDDENBROOKE DRIVE</t>
  </si>
  <si>
    <t>I4130G0006</t>
  </si>
  <si>
    <t>WALSER MARK</t>
  </si>
  <si>
    <t>27028-0462</t>
  </si>
  <si>
    <t>I4130D0010</t>
  </si>
  <si>
    <t>I4130D000601</t>
  </si>
  <si>
    <t>I4130D002301</t>
  </si>
  <si>
    <t>C70000012405</t>
  </si>
  <si>
    <t>KRING JAY A</t>
  </si>
  <si>
    <t>KRING DARIA L</t>
  </si>
  <si>
    <t>777 YADKIN VALLEY RD</t>
  </si>
  <si>
    <t>D50000005001</t>
  </si>
  <si>
    <t>GRANITE RIDGE FARMS LLC</t>
  </si>
  <si>
    <t>162 RED CEDAR WAY</t>
  </si>
  <si>
    <t>27028-7762</t>
  </si>
  <si>
    <t>D9030A0022</t>
  </si>
  <si>
    <t>KELLEY THOMAS MICHAEL</t>
  </si>
  <si>
    <t>290 JAMES WAY</t>
  </si>
  <si>
    <t>D8060A0027</t>
  </si>
  <si>
    <t>PAGE CRAVEN B</t>
  </si>
  <si>
    <t>PAGE MARLENE H</t>
  </si>
  <si>
    <t>209 TIFTON STREET</t>
  </si>
  <si>
    <t>D8110A0010</t>
  </si>
  <si>
    <t>CAMPOS SERGIO REGALADO</t>
  </si>
  <si>
    <t>REGALADO RAUNA L</t>
  </si>
  <si>
    <t>494 RIVERBEND DR</t>
  </si>
  <si>
    <t>H40000009609</t>
  </si>
  <si>
    <t>SIGNORINO CHARLES E II TR</t>
  </si>
  <si>
    <t>4521 W STERLING RANCH RD</t>
  </si>
  <si>
    <t>PRESCOTT</t>
  </si>
  <si>
    <t>86305-2291</t>
  </si>
  <si>
    <t>I5090C0024</t>
  </si>
  <si>
    <t>SMITH NAYREX</t>
  </si>
  <si>
    <t>SMITH ALICIA</t>
  </si>
  <si>
    <t>162 KNOLLCREST ROAD</t>
  </si>
  <si>
    <t>K50000005502</t>
  </si>
  <si>
    <t>C70000016701</t>
  </si>
  <si>
    <t>D.L. HOFFMAN LLC</t>
  </si>
  <si>
    <t>7 HILLCREST PL</t>
  </si>
  <si>
    <t>27262-3039</t>
  </si>
  <si>
    <t>E900000249</t>
  </si>
  <si>
    <t>HENNESSEY GARY D</t>
  </si>
  <si>
    <t>HENNESSEY DONNA M</t>
  </si>
  <si>
    <t>186 ISLEWORTH DRIVE</t>
  </si>
  <si>
    <t>I8110A0001</t>
  </si>
  <si>
    <t>HARRIS DONNA</t>
  </si>
  <si>
    <t>169 MERRY LN</t>
  </si>
  <si>
    <t>27006-7070</t>
  </si>
  <si>
    <t>J400000033</t>
  </si>
  <si>
    <t>SWICEGOOD JERRY F REV TRUST</t>
  </si>
  <si>
    <t>K400000007</t>
  </si>
  <si>
    <t>I4130B0003</t>
  </si>
  <si>
    <t>N5080B0011</t>
  </si>
  <si>
    <t>J4110A0005</t>
  </si>
  <si>
    <t>J4120B000701</t>
  </si>
  <si>
    <t>I4010A0087</t>
  </si>
  <si>
    <t>I4110B0002</t>
  </si>
  <si>
    <t>E30000006507</t>
  </si>
  <si>
    <t>GALE CLAUDE JR</t>
  </si>
  <si>
    <t>GALE TRACIE</t>
  </si>
  <si>
    <t>162 BUGLE LANE</t>
  </si>
  <si>
    <t>E30000006506</t>
  </si>
  <si>
    <t>H90000002507</t>
  </si>
  <si>
    <t>O'MARA MICHAEL CODY</t>
  </si>
  <si>
    <t>194 DUBLIN RD</t>
  </si>
  <si>
    <t>E8140A0005</t>
  </si>
  <si>
    <t>MANG JEFFREY</t>
  </si>
  <si>
    <t>172 SPRINGFIELD DR</t>
  </si>
  <si>
    <t>C80000000103</t>
  </si>
  <si>
    <t>DUPONT LAURENCE</t>
  </si>
  <si>
    <t>DUPONT VERONICA</t>
  </si>
  <si>
    <t>331 FRED BAHNSON DR.</t>
  </si>
  <si>
    <t>27006-8749</t>
  </si>
  <si>
    <t>I500000026</t>
  </si>
  <si>
    <t>LAIRD ANGELICA PATRICIA</t>
  </si>
  <si>
    <t>1157 MILLING RD</t>
  </si>
  <si>
    <t>I40000007705</t>
  </si>
  <si>
    <t>MARTINEZ ROMO PROPERTIES LLC</t>
  </si>
  <si>
    <t>1745 ARDMORE RD</t>
  </si>
  <si>
    <t>27127-7508</t>
  </si>
  <si>
    <t>M4130A0052</t>
  </si>
  <si>
    <t>BLACKWOOD LORAINE M</t>
  </si>
  <si>
    <t>1510 JUNCTION RD</t>
  </si>
  <si>
    <t>M40000002001</t>
  </si>
  <si>
    <t>M40000002002</t>
  </si>
  <si>
    <t>M400000018</t>
  </si>
  <si>
    <t>M400000016</t>
  </si>
  <si>
    <t>M400000017</t>
  </si>
  <si>
    <t>D8020A0027</t>
  </si>
  <si>
    <t>GREENE CHAD DAYTON</t>
  </si>
  <si>
    <t>G70000013203</t>
  </si>
  <si>
    <t>CHEAL BRANDON JAMES</t>
  </si>
  <si>
    <t>109 TRAVELER LN</t>
  </si>
  <si>
    <t>J5010A0019</t>
  </si>
  <si>
    <t>VISHNU PROPERTIES INC</t>
  </si>
  <si>
    <t>1020 E CHURCH ST</t>
  </si>
  <si>
    <t>CHERRYVILLE</t>
  </si>
  <si>
    <t>28021-2901</t>
  </si>
  <si>
    <t>J5010A0018</t>
  </si>
  <si>
    <t>C4160A0002</t>
  </si>
  <si>
    <t>PRYSIAZNIUK SAMPSON JR</t>
  </si>
  <si>
    <t>PRYSIAZNIUK KRISTINA KAPP</t>
  </si>
  <si>
    <t>174 EQUESTRIAN LANE</t>
  </si>
  <si>
    <t>27028-4760</t>
  </si>
  <si>
    <t>M60000003704</t>
  </si>
  <si>
    <t>BARBEE JOE E JR</t>
  </si>
  <si>
    <t>BARBEE AMY O</t>
  </si>
  <si>
    <t>570 BECKTOWN ROAD</t>
  </si>
  <si>
    <t>M400000038</t>
  </si>
  <si>
    <t>SPRY ROSS MILLER</t>
  </si>
  <si>
    <t>1950 JUNCTION ROAD</t>
  </si>
  <si>
    <t>N60000004116</t>
  </si>
  <si>
    <t>N4040A0015</t>
  </si>
  <si>
    <t>G8130B0009</t>
  </si>
  <si>
    <t>G800000209</t>
  </si>
  <si>
    <t>CLARK J DELVIN JR</t>
  </si>
  <si>
    <t>BRIDGES SHEILA HODGE</t>
  </si>
  <si>
    <t>470 RABBIT FARM TRL</t>
  </si>
  <si>
    <t>E900000289</t>
  </si>
  <si>
    <t>PATEL ANIL</t>
  </si>
  <si>
    <t>PATEL VILAS</t>
  </si>
  <si>
    <t>167 SAWGRASS DR</t>
  </si>
  <si>
    <t>I4110A0006</t>
  </si>
  <si>
    <t>MEHDER LOIS DELAINE G ETAL</t>
  </si>
  <si>
    <t>SCHRODER CYNTHIA JANE G</t>
  </si>
  <si>
    <t>120 LOG BRIDGE CIRCLE</t>
  </si>
  <si>
    <t>HIGHLANDS</t>
  </si>
  <si>
    <t>28741-0000</t>
  </si>
  <si>
    <t>I4110A0007</t>
  </si>
  <si>
    <t>I4110A0008</t>
  </si>
  <si>
    <t>D9010E0010</t>
  </si>
  <si>
    <t>PENFOLD RUSSELL BARTON</t>
  </si>
  <si>
    <t>PENFOLD JULIE TAYLOR</t>
  </si>
  <si>
    <t>175 RIVER HILL DR</t>
  </si>
  <si>
    <t>F800000141</t>
  </si>
  <si>
    <t>JONES KEITH L</t>
  </si>
  <si>
    <t>JONES DEBORA K</t>
  </si>
  <si>
    <t>126 CATTLE WAY</t>
  </si>
  <si>
    <t>27028-5272</t>
  </si>
  <si>
    <t>K60000001914</t>
  </si>
  <si>
    <t>I500000043</t>
  </si>
  <si>
    <t>D &amp; R ASSOCIATES</t>
  </si>
  <si>
    <t>#1121</t>
  </si>
  <si>
    <t>D8100A0001</t>
  </si>
  <si>
    <t>TWYMAN GREGORY DEAN</t>
  </si>
  <si>
    <t>TWYMAN SUSAN M</t>
  </si>
  <si>
    <t>116 FESCUE DRIVE</t>
  </si>
  <si>
    <t>G200000034</t>
  </si>
  <si>
    <t>ELDER CORY</t>
  </si>
  <si>
    <t>G9090A0006</t>
  </si>
  <si>
    <t>WORSLEY JOSEPH M REV TRUST</t>
  </si>
  <si>
    <t>WORSLEY JOSEPH M JR TRUSTEE</t>
  </si>
  <si>
    <t>PO BOX 350</t>
  </si>
  <si>
    <t>K40000004316</t>
  </si>
  <si>
    <t>CHURCH ALBERT M</t>
  </si>
  <si>
    <t>CHURCH LISA</t>
  </si>
  <si>
    <t>454 BUCK SEAFORD RD</t>
  </si>
  <si>
    <t>K40000004307</t>
  </si>
  <si>
    <t>K40000004315</t>
  </si>
  <si>
    <t>J50000003201</t>
  </si>
  <si>
    <t>MCCLAMROCK JAMES RONALD</t>
  </si>
  <si>
    <t>600 EAST LEXINGTON RD</t>
  </si>
  <si>
    <t>J5010C0003</t>
  </si>
  <si>
    <t>I4120C0014</t>
  </si>
  <si>
    <t>I4120A000301</t>
  </si>
  <si>
    <t>K400000019</t>
  </si>
  <si>
    <t>F30000009501</t>
  </si>
  <si>
    <t>E20000002303</t>
  </si>
  <si>
    <t>BACOT GREGORY</t>
  </si>
  <si>
    <t>591 BEAR CREEK CHURCH RD</t>
  </si>
  <si>
    <t>B200000024</t>
  </si>
  <si>
    <t>MCCABE LYNN REV TRUST</t>
  </si>
  <si>
    <t>485 BELL BRANCH RD</t>
  </si>
  <si>
    <t>27028-4617</t>
  </si>
  <si>
    <t>E900000178</t>
  </si>
  <si>
    <t>BLACKWELL PROPERTIES LLC</t>
  </si>
  <si>
    <t>% RENU PROPERTY MANAGEMENT LLC</t>
  </si>
  <si>
    <t>H4130A0122</t>
  </si>
  <si>
    <t>E900000494</t>
  </si>
  <si>
    <t>RIVERS ANDREW J</t>
  </si>
  <si>
    <t>RIVERS KATIE A</t>
  </si>
  <si>
    <t>264 NORTH HIDDENBROOKE DRIVE</t>
  </si>
  <si>
    <t>H40000010601</t>
  </si>
  <si>
    <t>ENR INVESTMENTS LLC</t>
  </si>
  <si>
    <t>148 BRADFORD PLACE LANE</t>
  </si>
  <si>
    <t>G30000008412</t>
  </si>
  <si>
    <t>SCOTT BADER INC</t>
  </si>
  <si>
    <t>176 MINE LAKE CT</t>
  </si>
  <si>
    <t>27615-6417</t>
  </si>
  <si>
    <t>D7020C0016</t>
  </si>
  <si>
    <t>RODRIGUEZ DE LEON KAREM MADELYN MARIA</t>
  </si>
  <si>
    <t>ALTARAC DANIEL</t>
  </si>
  <si>
    <t>105 KNOB LANE</t>
  </si>
  <si>
    <t>E6110A0014</t>
  </si>
  <si>
    <t>KOHNEN MARSHALL J</t>
  </si>
  <si>
    <t>KOHNEN ELIZABETH M</t>
  </si>
  <si>
    <t>189 CRESTVIEW DR</t>
  </si>
  <si>
    <t>J5030A0003</t>
  </si>
  <si>
    <t>I5160A0026</t>
  </si>
  <si>
    <t>PHELPS CALVIN ARTHUR</t>
  </si>
  <si>
    <t>195 KEN DWIGGINS DR</t>
  </si>
  <si>
    <t>27028-2453</t>
  </si>
  <si>
    <t>I5160A0042</t>
  </si>
  <si>
    <t>I5160A0025</t>
  </si>
  <si>
    <t>I5160A0039</t>
  </si>
  <si>
    <t>B30000007802</t>
  </si>
  <si>
    <t>SMITH DARLA GARMON</t>
  </si>
  <si>
    <t>4183 NC HIGHWAY 801 N</t>
  </si>
  <si>
    <t>J600000107</t>
  </si>
  <si>
    <t>BESTLER ANDREW</t>
  </si>
  <si>
    <t>BESTLER JUSTINE</t>
  </si>
  <si>
    <t>302 COLIN CREEK TRL</t>
  </si>
  <si>
    <t>27028-7174</t>
  </si>
  <si>
    <t>J100000006</t>
  </si>
  <si>
    <t>GANTT STANLEY JOE</t>
  </si>
  <si>
    <t>4551 US HIGHWAY 64 W</t>
  </si>
  <si>
    <t>N500000032</t>
  </si>
  <si>
    <t>SPILLMAN LINDA M</t>
  </si>
  <si>
    <t>BAILEY ERIC</t>
  </si>
  <si>
    <t>796 PINE RIDGE ROAD</t>
  </si>
  <si>
    <t>K5040A0003</t>
  </si>
  <si>
    <t>LEMUS MELVIN DANILO ROMERO</t>
  </si>
  <si>
    <t>736 DEADMON RD</t>
  </si>
  <si>
    <t>I300000048</t>
  </si>
  <si>
    <t>HARRIS MICHELLE KIMMER ETAL</t>
  </si>
  <si>
    <t>ROTEN KENDRA RIDDLE</t>
  </si>
  <si>
    <t>207 MCALLISTER RD</t>
  </si>
  <si>
    <t>27028-4261</t>
  </si>
  <si>
    <t>C50000005901</t>
  </si>
  <si>
    <t>BROCK WILLIAM F JR</t>
  </si>
  <si>
    <t>379 PINEVILLE ROAD</t>
  </si>
  <si>
    <t>L5070A000303</t>
  </si>
  <si>
    <t>CLEMENT BEATRICE A</t>
  </si>
  <si>
    <t>%JAMES ARNOLD%</t>
  </si>
  <si>
    <t>G800000069</t>
  </si>
  <si>
    <t>MOCK LIZZIE HEIRS</t>
  </si>
  <si>
    <t>3615 WILLOW RIDGE LN</t>
  </si>
  <si>
    <t>27105-6959</t>
  </si>
  <si>
    <t>M5100A001501</t>
  </si>
  <si>
    <t>HOLLEMAN GARLAND S</t>
  </si>
  <si>
    <t>124 GUINEVERE LANE</t>
  </si>
  <si>
    <t>I5160A003601</t>
  </si>
  <si>
    <t>ALEXANDER GWENDOLYN M</t>
  </si>
  <si>
    <t>1121 CHILLUM MANOR ROAD</t>
  </si>
  <si>
    <t>HYATTSVILLE</t>
  </si>
  <si>
    <t>20783-0000</t>
  </si>
  <si>
    <t>I5160A0035</t>
  </si>
  <si>
    <t>I5160B0011</t>
  </si>
  <si>
    <t>I5160A0013</t>
  </si>
  <si>
    <t>E200000033</t>
  </si>
  <si>
    <t>INGRAM DONNA S</t>
  </si>
  <si>
    <t>INGRAM PHILLIP</t>
  </si>
  <si>
    <t>1416 US HWY 601 S</t>
  </si>
  <si>
    <t>K3050A0020</t>
  </si>
  <si>
    <t>NISLEY JACOB N</t>
  </si>
  <si>
    <t>FILBRUN MARY OLIVE</t>
  </si>
  <si>
    <t>132 CAROLINA AVE</t>
  </si>
  <si>
    <t>C90000000306</t>
  </si>
  <si>
    <t>LFV-146 DORNACH WAY LLC</t>
  </si>
  <si>
    <t>5400 GLENWOOD AVE</t>
  </si>
  <si>
    <t>STE 310</t>
  </si>
  <si>
    <t>27612-3228</t>
  </si>
  <si>
    <t>H200000008</t>
  </si>
  <si>
    <t>CALL LOIS B ESTATE</t>
  </si>
  <si>
    <t>L5020A0034</t>
  </si>
  <si>
    <t>LANKFORD TERRY WAYNE</t>
  </si>
  <si>
    <t>LANKFORD DEIDRA TUTTEROW</t>
  </si>
  <si>
    <t>342 CAMELOT DR</t>
  </si>
  <si>
    <t>28144-9415</t>
  </si>
  <si>
    <t>K70000002903</t>
  </si>
  <si>
    <t>FORD LUCILLE BLANCHE 99%</t>
  </si>
  <si>
    <t>FORD VERA 1%</t>
  </si>
  <si>
    <t>1 LONDON CT</t>
  </si>
  <si>
    <t>apt b</t>
  </si>
  <si>
    <t>27292-4070</t>
  </si>
  <si>
    <t>I5050A0018</t>
  </si>
  <si>
    <t>BILLUPS BRIAN</t>
  </si>
  <si>
    <t>BILLUPS PAMELA</t>
  </si>
  <si>
    <t>284 CREEKSIDE DRIVE</t>
  </si>
  <si>
    <t>I5050A0057</t>
  </si>
  <si>
    <t>CHATMON ALISA F</t>
  </si>
  <si>
    <t>PO BOX 474</t>
  </si>
  <si>
    <t>27028-0474</t>
  </si>
  <si>
    <t>N4040A0018</t>
  </si>
  <si>
    <t>ALBON STEPHEN WILLIAM TRUSTEE</t>
  </si>
  <si>
    <t>ALBON DIAN JOAN TRUSTEE</t>
  </si>
  <si>
    <t>M5160C0004</t>
  </si>
  <si>
    <t>E100000028</t>
  </si>
  <si>
    <t>410 ROCK SPRINGS ROAD</t>
  </si>
  <si>
    <t>H4200A0020</t>
  </si>
  <si>
    <t>TORRES JUAN CARLOS FERNANDEZ</t>
  </si>
  <si>
    <t>FLORES LAURA OLIVA</t>
  </si>
  <si>
    <t>152 COPPERFIELD DR</t>
  </si>
  <si>
    <t>O600000069</t>
  </si>
  <si>
    <t>BRANECKY PATRICIA A</t>
  </si>
  <si>
    <t>174 RIDENHOUR RD</t>
  </si>
  <si>
    <t>27028-6823</t>
  </si>
  <si>
    <t>B7140A0007</t>
  </si>
  <si>
    <t>HERCHENRODER MICHAEL FRANCIS</t>
  </si>
  <si>
    <t>HERCHENRODER CHRISTINA HARRON</t>
  </si>
  <si>
    <t>134 TERRILYNN WAY</t>
  </si>
  <si>
    <t>ELIZABETH CTY</t>
  </si>
  <si>
    <t>27909-7719</t>
  </si>
  <si>
    <t>G20000002008</t>
  </si>
  <si>
    <t>MORTON JOHN MICHAEL</t>
  </si>
  <si>
    <t>EAVES CASSANDRA CAROL</t>
  </si>
  <si>
    <t>967 SHEFFIELD RD</t>
  </si>
  <si>
    <t>27028-8410</t>
  </si>
  <si>
    <t>J4040A0004</t>
  </si>
  <si>
    <t>VILLATORO EFRAIN</t>
  </si>
  <si>
    <t>343 W MAPLE AVE</t>
  </si>
  <si>
    <t>D7030B0010</t>
  </si>
  <si>
    <t>2920 BUTNER MILL RD</t>
  </si>
  <si>
    <t>27018-7126</t>
  </si>
  <si>
    <t>E8100B0008</t>
  </si>
  <si>
    <t>DELANEY REBECCA K</t>
  </si>
  <si>
    <t>35683 MCLEAN CT</t>
  </si>
  <si>
    <t>ROUND HILL</t>
  </si>
  <si>
    <t>20141-4421</t>
  </si>
  <si>
    <t>N5010C0014</t>
  </si>
  <si>
    <t>STEWART CHAD RAVEN</t>
  </si>
  <si>
    <t>107 ARAMINTA DR</t>
  </si>
  <si>
    <t>27104-4602</t>
  </si>
  <si>
    <t>C50000003106</t>
  </si>
  <si>
    <t>KIBLER WILLIAM A</t>
  </si>
  <si>
    <t>KIBLER HANNAH G</t>
  </si>
  <si>
    <t>2395 NC HIGHWAY 801 N</t>
  </si>
  <si>
    <t>27028-7737</t>
  </si>
  <si>
    <t>F10000001602</t>
  </si>
  <si>
    <t>BUSTLE LEIGHA ANN</t>
  </si>
  <si>
    <t>546 RABBIT HWY</t>
  </si>
  <si>
    <t>28634-9243</t>
  </si>
  <si>
    <t>G9090B0049</t>
  </si>
  <si>
    <t>SCALA JOHN C</t>
  </si>
  <si>
    <t>151 CAPITAL AVE APT 4308</t>
  </si>
  <si>
    <t>28117-5660</t>
  </si>
  <si>
    <t>C8040A0731</t>
  </si>
  <si>
    <t>BRENNAN LISA F</t>
  </si>
  <si>
    <t>5338 VILLAS DR</t>
  </si>
  <si>
    <t>27103-6462</t>
  </si>
  <si>
    <t>G400000059</t>
  </si>
  <si>
    <t>G40000000402</t>
  </si>
  <si>
    <t>G500000132</t>
  </si>
  <si>
    <t>BOGER DUSTIN SHANE ALLEN</t>
  </si>
  <si>
    <t>2150 US HIGHWAY 158</t>
  </si>
  <si>
    <t>G500000125</t>
  </si>
  <si>
    <t>E8110C0004</t>
  </si>
  <si>
    <t>VALENTINI LISA DIANE</t>
  </si>
  <si>
    <t>PO BOX 1526</t>
  </si>
  <si>
    <t>RUNNING SPGS</t>
  </si>
  <si>
    <t>92382-1526</t>
  </si>
  <si>
    <t>F400000021</t>
  </si>
  <si>
    <t>WATSON EMILY ELIZABETH</t>
  </si>
  <si>
    <t>F400000023</t>
  </si>
  <si>
    <t>F3130A0012</t>
  </si>
  <si>
    <t>TRUSTEE OF DEBBIE S WILKES LIV</t>
  </si>
  <si>
    <t>J5050B0023</t>
  </si>
  <si>
    <t>CAPASSO JOHN</t>
  </si>
  <si>
    <t>CAPASSO MARY</t>
  </si>
  <si>
    <t>174 CARRIAGE COVE CIR</t>
  </si>
  <si>
    <t>E9150A0044</t>
  </si>
  <si>
    <t>ROEDIGER LARRY TR &amp; ROEDIGER JOYCE ELIZABETH TR</t>
  </si>
  <si>
    <t>ROEDIGER REVOCABLE TRUST</t>
  </si>
  <si>
    <t>119 SELDOM FARM LN</t>
  </si>
  <si>
    <t>27006-8775</t>
  </si>
  <si>
    <t>O60000003501</t>
  </si>
  <si>
    <t>JOHNSON JEANETTE F</t>
  </si>
  <si>
    <t>4029 US HIGHWAY 601 S</t>
  </si>
  <si>
    <t>E9150B0046</t>
  </si>
  <si>
    <t>FRITZ ROBERT D JR</t>
  </si>
  <si>
    <t>FRITZ KATHERINE W</t>
  </si>
  <si>
    <t>178 SYCAMORE RIDGE DR</t>
  </si>
  <si>
    <t>J4060A0023</t>
  </si>
  <si>
    <t>WALKER KENDALL DERRICK</t>
  </si>
  <si>
    <t>363 DEE FARRELL RD</t>
  </si>
  <si>
    <t>27312-9748</t>
  </si>
  <si>
    <t>J4060A0027</t>
  </si>
  <si>
    <t>H80000005201</t>
  </si>
  <si>
    <t>STUMP FRANKLIN A JR</t>
  </si>
  <si>
    <t>STUMP MARY B</t>
  </si>
  <si>
    <t>624 BAILEYS CHAPEL RD</t>
  </si>
  <si>
    <t>27006-7143</t>
  </si>
  <si>
    <t>H800000051</t>
  </si>
  <si>
    <t>STUMP MARY FRANCES BOOSE</t>
  </si>
  <si>
    <t>C600000008</t>
  </si>
  <si>
    <t>DAUGHERTY STEPHEN P</t>
  </si>
  <si>
    <t>DAUGHERTY KAREN D</t>
  </si>
  <si>
    <t>1806 NC HWY 801 N</t>
  </si>
  <si>
    <t>H9070A0010</t>
  </si>
  <si>
    <t>WEINREICH JOHN F</t>
  </si>
  <si>
    <t>WEINREICH MARIALYCE</t>
  </si>
  <si>
    <t>229 DUBLIN RD</t>
  </si>
  <si>
    <t>F7120A0007</t>
  </si>
  <si>
    <t>LOGGINS WILLIAM WAYNE</t>
  </si>
  <si>
    <t>LOGGINS TOMMIE TUTTLE</t>
  </si>
  <si>
    <t>108 MONTCLAIR DRIVE</t>
  </si>
  <si>
    <t>I80000006801</t>
  </si>
  <si>
    <t>JARVIS MYRA W</t>
  </si>
  <si>
    <t>232 ELYSIAN DR</t>
  </si>
  <si>
    <t>28117-8126</t>
  </si>
  <si>
    <t>F300000028</t>
  </si>
  <si>
    <t>BLACKWELDER CATHY BROWN</t>
  </si>
  <si>
    <t>583 WAGNER ROAD</t>
  </si>
  <si>
    <t>F30000002703</t>
  </si>
  <si>
    <t>N60000007105</t>
  </si>
  <si>
    <t>BELL MARY LAMBERT</t>
  </si>
  <si>
    <t>HARKER GREG E</t>
  </si>
  <si>
    <t>360 BOXWOOD CHURCH RD</t>
  </si>
  <si>
    <t>E700000168</t>
  </si>
  <si>
    <t>BREMER RICHARD J</t>
  </si>
  <si>
    <t>4698 US HIGHWAY 158</t>
  </si>
  <si>
    <t>F100000036</t>
  </si>
  <si>
    <t>ALEXANDER JOHN D</t>
  </si>
  <si>
    <t>1820 COUNTY LINE RD</t>
  </si>
  <si>
    <t>28634-8938</t>
  </si>
  <si>
    <t>L5070A0012</t>
  </si>
  <si>
    <t>103 QUIET OAK CT</t>
  </si>
  <si>
    <t>HARVEST</t>
  </si>
  <si>
    <t>35749-9673</t>
  </si>
  <si>
    <t>L5150A0015</t>
  </si>
  <si>
    <t>27028-2312</t>
  </si>
  <si>
    <t>B300000033</t>
  </si>
  <si>
    <t>PORTER SCOTT S</t>
  </si>
  <si>
    <t>PORTER RHONDA C</t>
  </si>
  <si>
    <t>E900000327</t>
  </si>
  <si>
    <t>NURSE KENNETH P</t>
  </si>
  <si>
    <t>NURSE LORI J</t>
  </si>
  <si>
    <t>111 WOODLANDS COURT</t>
  </si>
  <si>
    <t>I4130G0004</t>
  </si>
  <si>
    <t>LINCREST PLACE LLC</t>
  </si>
  <si>
    <t>315 N HIDDENBROOKE DR</t>
  </si>
  <si>
    <t>G70000005302</t>
  </si>
  <si>
    <t>HODGE LESLIE MEAGAN</t>
  </si>
  <si>
    <t>167 DANDELION LN</t>
  </si>
  <si>
    <t>G700000053</t>
  </si>
  <si>
    <t>J5010D0027</t>
  </si>
  <si>
    <t>HARRINGTON STEVEN KYLE</t>
  </si>
  <si>
    <t>HARRINGTON DEANNA CHRISTINE</t>
  </si>
  <si>
    <t>107 CHARLESTON RIDGE DR</t>
  </si>
  <si>
    <t>K5070B0003</t>
  </si>
  <si>
    <t>O'RORKE PAULA</t>
  </si>
  <si>
    <t>H70000007010</t>
  </si>
  <si>
    <t>ROELS JERRY</t>
  </si>
  <si>
    <t>ROELS CHRISTY</t>
  </si>
  <si>
    <t>300 BAILEYS CHAPEL ROAD</t>
  </si>
  <si>
    <t>F8030A0058</t>
  </si>
  <si>
    <t>WOODALL WESLEY THOMPSON</t>
  </si>
  <si>
    <t>WOODALL MARY KATHRYN</t>
  </si>
  <si>
    <t>977 WILLIAMS RD</t>
  </si>
  <si>
    <t>F50000003205</t>
  </si>
  <si>
    <t>E40000004206</t>
  </si>
  <si>
    <t>C40000003804</t>
  </si>
  <si>
    <t>D500000062</t>
  </si>
  <si>
    <t>I400000030</t>
  </si>
  <si>
    <t>C400000038</t>
  </si>
  <si>
    <t>C5130A0007</t>
  </si>
  <si>
    <t>UMBERGER ERIN L</t>
  </si>
  <si>
    <t>CEDAR FOREST LANE</t>
  </si>
  <si>
    <t>J80000001707</t>
  </si>
  <si>
    <t>CROTTS SHANE C</t>
  </si>
  <si>
    <t>CROTTS TINA L.</t>
  </si>
  <si>
    <t>142 WHITE TAIL LANE</t>
  </si>
  <si>
    <t>H600000015</t>
  </si>
  <si>
    <t>ANCHOR PROPERTIES OF RALEIGH LLC</t>
  </si>
  <si>
    <t>503 WRENNSTONE CT</t>
  </si>
  <si>
    <t>27539-5109</t>
  </si>
  <si>
    <t>H600000007</t>
  </si>
  <si>
    <t>F600000006</t>
  </si>
  <si>
    <t>SMITH GWENDOLYN C</t>
  </si>
  <si>
    <t>KIMBROUGH LAZORA S HEIRS</t>
  </si>
  <si>
    <t>J60000002004</t>
  </si>
  <si>
    <t>TANN NICOLE DALTON ETAL</t>
  </si>
  <si>
    <t>LAMBERTON NATALIE DALTON</t>
  </si>
  <si>
    <t>1777 LARIMER ST</t>
  </si>
  <si>
    <t>APT 1910</t>
  </si>
  <si>
    <t>80202-1592</t>
  </si>
  <si>
    <t>C80000000132</t>
  </si>
  <si>
    <t>DC RISE RE LLC</t>
  </si>
  <si>
    <t>D7080A0039</t>
  </si>
  <si>
    <t>BRIZEK CATHY L</t>
  </si>
  <si>
    <t>BRIZEK JOEL SCOTT</t>
  </si>
  <si>
    <t>120 RIVER DR</t>
  </si>
  <si>
    <t>28461-4106</t>
  </si>
  <si>
    <t>G8140A0075</t>
  </si>
  <si>
    <t>GARIBAY ENRIQUE</t>
  </si>
  <si>
    <t>GARIBAY ESMERALDA</t>
  </si>
  <si>
    <t>1140 HORSELEG CREEK RD SW</t>
  </si>
  <si>
    <t>ROME</t>
  </si>
  <si>
    <t>30165-6534</t>
  </si>
  <si>
    <t>H5150A0011</t>
  </si>
  <si>
    <t>OSBORNE IMOGENE</t>
  </si>
  <si>
    <t>486 CHERRY HILL RD</t>
  </si>
  <si>
    <t>H5150A0019</t>
  </si>
  <si>
    <t>G10000001502</t>
  </si>
  <si>
    <t>WF FARM LLC</t>
  </si>
  <si>
    <t>PO BOX 711</t>
  </si>
  <si>
    <t>27285-0711</t>
  </si>
  <si>
    <t>F100000042</t>
  </si>
  <si>
    <t>B600000027</t>
  </si>
  <si>
    <t>WF INVESTMENTS OF DAVIE COUNTY LLC</t>
  </si>
  <si>
    <t>I4060A001401</t>
  </si>
  <si>
    <t>GREGORY AMANDA</t>
  </si>
  <si>
    <t>GREGORY DANIEL</t>
  </si>
  <si>
    <t>764 YADKINVILLE RD</t>
  </si>
  <si>
    <t>I4060A0011</t>
  </si>
  <si>
    <t>H900000041</t>
  </si>
  <si>
    <t>CREWS HAROLD EUGENE</t>
  </si>
  <si>
    <t>217 CEDAR GROVE CHURCH RD</t>
  </si>
  <si>
    <t>J700000106</t>
  </si>
  <si>
    <t>F800000106</t>
  </si>
  <si>
    <t>J4050B0014</t>
  </si>
  <si>
    <t>BRIGHT FUTURES ENRICHMENT CENTER LLC</t>
  </si>
  <si>
    <t>184 COUNCIL ST</t>
  </si>
  <si>
    <t>27028-2639</t>
  </si>
  <si>
    <t>M5160C0029</t>
  </si>
  <si>
    <t>BARNETTE MARJORIE</t>
  </si>
  <si>
    <t>P O BOX 582</t>
  </si>
  <si>
    <t>B500000011</t>
  </si>
  <si>
    <t>SMITH MICHAEL A</t>
  </si>
  <si>
    <t>5880 TWIN MEADOWS DR</t>
  </si>
  <si>
    <t>27040-9286</t>
  </si>
  <si>
    <t>F40000001205</t>
  </si>
  <si>
    <t>K30000001001</t>
  </si>
  <si>
    <t>RICKLES KENNETH R JR</t>
  </si>
  <si>
    <t>RICKLES KATHERINE R</t>
  </si>
  <si>
    <t>168 DWIGGINS RD</t>
  </si>
  <si>
    <t>27028-5204</t>
  </si>
  <si>
    <t>E50000003311</t>
  </si>
  <si>
    <t>HUMAN SERVICE ALLIANCE</t>
  </si>
  <si>
    <t>249 GILBERT RD</t>
  </si>
  <si>
    <t>E50000003309</t>
  </si>
  <si>
    <t>E60000000405</t>
  </si>
  <si>
    <t>J4040F0024</t>
  </si>
  <si>
    <t>BRYANT JUDITH S</t>
  </si>
  <si>
    <t>PARKER MARGARET S</t>
  </si>
  <si>
    <t>515 S MAIN ST</t>
  </si>
  <si>
    <t>27028-2609</t>
  </si>
  <si>
    <t>B200000006</t>
  </si>
  <si>
    <t>CHURCH LESLEY EUGENE ETAL</t>
  </si>
  <si>
    <t>CHURCH TRACY LYNN</t>
  </si>
  <si>
    <t>6035 NEWPORT AVE</t>
  </si>
  <si>
    <t>23505-4701</t>
  </si>
  <si>
    <t>D700000087</t>
  </si>
  <si>
    <t>WOOD CONNIE ETAL</t>
  </si>
  <si>
    <t>BAUBERGER KAILA</t>
  </si>
  <si>
    <t>104 MIMOSA PL</t>
  </si>
  <si>
    <t>F50000001101</t>
  </si>
  <si>
    <t>MCKEE BRENDA S ETAL</t>
  </si>
  <si>
    <t>DEEL PAMELA S</t>
  </si>
  <si>
    <t>230 FULTON RD</t>
  </si>
  <si>
    <t>K70000004201</t>
  </si>
  <si>
    <t>MEDVES JANELLA MARIE SMITH</t>
  </si>
  <si>
    <t>116 ACRES LN</t>
  </si>
  <si>
    <t>27028-7168</t>
  </si>
  <si>
    <t>C700000103</t>
  </si>
  <si>
    <t>HILL LISA</t>
  </si>
  <si>
    <t>159 ANDREW RD</t>
  </si>
  <si>
    <t>27006-7915</t>
  </si>
  <si>
    <t>D9010A0005</t>
  </si>
  <si>
    <t>SHERIDAN JOSEPH</t>
  </si>
  <si>
    <t>235 WILLIAMS RD</t>
  </si>
  <si>
    <t>28409-4831</t>
  </si>
  <si>
    <t>N5080A0023</t>
  </si>
  <si>
    <t>BINGHAM BRIAN JAMES</t>
  </si>
  <si>
    <t>6570 NC HWY 801 S</t>
  </si>
  <si>
    <t>G8010D0001</t>
  </si>
  <si>
    <t>TALBOTT WESLEY GAINES</t>
  </si>
  <si>
    <t>TALBOTT ASHLEY LESCANEC</t>
  </si>
  <si>
    <t>150 FOX TROT LN</t>
  </si>
  <si>
    <t>I1120A0038</t>
  </si>
  <si>
    <t>DIAMOND CHRISTINE COLBURN</t>
  </si>
  <si>
    <t>1450 OLD BUCK CREEK CHURCH RD</t>
  </si>
  <si>
    <t>CALHOUN</t>
  </si>
  <si>
    <t>42327-9685</t>
  </si>
  <si>
    <t>H2060A0005</t>
  </si>
  <si>
    <t>HALL TED</t>
  </si>
  <si>
    <t>HALL CECILIA</t>
  </si>
  <si>
    <t>21960 ELWELL ROAD</t>
  </si>
  <si>
    <t>BELLEVILLE</t>
  </si>
  <si>
    <t>48111-0000</t>
  </si>
  <si>
    <t>D30000003302</t>
  </si>
  <si>
    <t>BRASELLS KEITH R</t>
  </si>
  <si>
    <t>BRASELLS MELISSA A</t>
  </si>
  <si>
    <t>4207 US HIGHWAY 601 N</t>
  </si>
  <si>
    <t>G100000003</t>
  </si>
  <si>
    <t>WILKINSON WOODROW ALBERT JR</t>
  </si>
  <si>
    <t>9291 ABERT CT</t>
  </si>
  <si>
    <t>ELK GROVE</t>
  </si>
  <si>
    <t>95758-4043</t>
  </si>
  <si>
    <t>H50000002906</t>
  </si>
  <si>
    <t>LEMUS-HERNANDEZ ANA R</t>
  </si>
  <si>
    <t>137 SAIN RD</t>
  </si>
  <si>
    <t>C8010B0347</t>
  </si>
  <si>
    <t>HIATT CHRISTINA BETH</t>
  </si>
  <si>
    <t>230 NANZETTA WAY</t>
  </si>
  <si>
    <t>G40000000703</t>
  </si>
  <si>
    <t>SANDERS AMANDA J</t>
  </si>
  <si>
    <t>1312 MAIN CHURCH ROAD EXT</t>
  </si>
  <si>
    <t>N5010B0003</t>
  </si>
  <si>
    <t>MIKKILINENI NAVYA CHOWDARY</t>
  </si>
  <si>
    <t>1400 SANDY BOTTOM DR NW</t>
  </si>
  <si>
    <t>28027-2619</t>
  </si>
  <si>
    <t>I50000003102</t>
  </si>
  <si>
    <t>FAST TRACK CARPORTS LLC</t>
  </si>
  <si>
    <t>81 WRIGHT LN</t>
  </si>
  <si>
    <t>E200000022</t>
  </si>
  <si>
    <t>BEAR CREEK BAPTIST CHURCH</t>
  </si>
  <si>
    <t>492 BEAR CREEK CHURCH ROAD</t>
  </si>
  <si>
    <t>G100000040</t>
  </si>
  <si>
    <t>BENNETT MARY AMELIA TRUSTEE</t>
  </si>
  <si>
    <t>PETTY BRADFORD JAY TRUSTEE</t>
  </si>
  <si>
    <t>PSC 817 BOX 1533</t>
  </si>
  <si>
    <t>FPO AE</t>
  </si>
  <si>
    <t>09622-0016</t>
  </si>
  <si>
    <t>G10000004001</t>
  </si>
  <si>
    <t>M500000015</t>
  </si>
  <si>
    <t>HANSEN PETER ROGER II</t>
  </si>
  <si>
    <t>HANSEN CATHY DAWN</t>
  </si>
  <si>
    <t>152 GUINEVERE LANE</t>
  </si>
  <si>
    <t>E8100A0012</t>
  </si>
  <si>
    <t>POTTS GARRY RAY</t>
  </si>
  <si>
    <t>194 OVERLOOK DRIVE</t>
  </si>
  <si>
    <t>E8100A0013</t>
  </si>
  <si>
    <t>F900000005</t>
  </si>
  <si>
    <t>GRUBBS AMANDA HARTMAN</t>
  </si>
  <si>
    <t>136 VOGLER RD</t>
  </si>
  <si>
    <t>G4080A003202</t>
  </si>
  <si>
    <t>ELLIS RONALD ALEXANDER</t>
  </si>
  <si>
    <t>1190 ROY LAWSON RD</t>
  </si>
  <si>
    <t>27053-0000</t>
  </si>
  <si>
    <t>C700000148</t>
  </si>
  <si>
    <t>CARDWELL DWIGHT</t>
  </si>
  <si>
    <t>CARDWELL DORIS</t>
  </si>
  <si>
    <t>135 WILLS ROAD</t>
  </si>
  <si>
    <t>K70000006601</t>
  </si>
  <si>
    <t>HALE GLORIA J</t>
  </si>
  <si>
    <t>1127 JOE RD</t>
  </si>
  <si>
    <t>27006-7063</t>
  </si>
  <si>
    <t>E8110C0015</t>
  </si>
  <si>
    <t>HUFFMAN BARBRA JAN</t>
  </si>
  <si>
    <t>5804 SPRINGMEADOW KNOLL CT</t>
  </si>
  <si>
    <t>27103-9750</t>
  </si>
  <si>
    <t>M600000056</t>
  </si>
  <si>
    <t>WARD JAMES E</t>
  </si>
  <si>
    <t>WARD PATRICIA ROMINGER</t>
  </si>
  <si>
    <t>M600000062</t>
  </si>
  <si>
    <t>M60000004803</t>
  </si>
  <si>
    <t>D50000006901</t>
  </si>
  <si>
    <t>BELLIOTTI CHARLES J</t>
  </si>
  <si>
    <t>BELLIOTTI LYNN</t>
  </si>
  <si>
    <t>168 HUBERT RD</t>
  </si>
  <si>
    <t>27028-7712</t>
  </si>
  <si>
    <t>J5010C0014</t>
  </si>
  <si>
    <t>COCKERHAM PRISCILLA ROSE</t>
  </si>
  <si>
    <t>COCKERHAM WILLIAM C JR</t>
  </si>
  <si>
    <t>119 TRAILBLAZER LN</t>
  </si>
  <si>
    <t>C70000008701</t>
  </si>
  <si>
    <t>129 WOODLEE DRIVE</t>
  </si>
  <si>
    <t>D700000202</t>
  </si>
  <si>
    <t>E400000017</t>
  </si>
  <si>
    <t>NICHOLS FREDDIE W</t>
  </si>
  <si>
    <t>NICHOLS TAMMY L</t>
  </si>
  <si>
    <t>118 WILLOW CREEK LN</t>
  </si>
  <si>
    <t>27028-5887</t>
  </si>
  <si>
    <t>E50000002404</t>
  </si>
  <si>
    <t>BLACK HAZEL MARIE</t>
  </si>
  <si>
    <t>I5050B0045</t>
  </si>
  <si>
    <t>440 PARK AVE</t>
  </si>
  <si>
    <t>G400000015</t>
  </si>
  <si>
    <t>79 PROPERTIES LLC</t>
  </si>
  <si>
    <t>6221 RAMADA DRIVE</t>
  </si>
  <si>
    <t>C8010C0017</t>
  </si>
  <si>
    <t>KELLY FRANK J</t>
  </si>
  <si>
    <t>KELLY KELLY S</t>
  </si>
  <si>
    <t>329 KILBOURNE DR</t>
  </si>
  <si>
    <t>H50000002403</t>
  </si>
  <si>
    <t>HUNTER W R HEIRS OF</t>
  </si>
  <si>
    <t>167 ELISHA CREEK DR</t>
  </si>
  <si>
    <t>27028-2781</t>
  </si>
  <si>
    <t>I5030A0001</t>
  </si>
  <si>
    <t>HUNTER KENNETH LEE</t>
  </si>
  <si>
    <t>M5030A000105</t>
  </si>
  <si>
    <t>BRACKEN KAREN WOOTEN</t>
  </si>
  <si>
    <t>7255 NC HIGHWAY 801 SOUTH</t>
  </si>
  <si>
    <t>I30000003502</t>
  </si>
  <si>
    <t>NUCKOLS EDDIE L</t>
  </si>
  <si>
    <t>NUCKOLS BELINDA E</t>
  </si>
  <si>
    <t>128 FERNS WAY</t>
  </si>
  <si>
    <t>I30000003509</t>
  </si>
  <si>
    <t>H500000006</t>
  </si>
  <si>
    <t>MCMAHAN MAMIE HEIRS</t>
  </si>
  <si>
    <t>H80000005301</t>
  </si>
  <si>
    <t>WEBB MATTIE SUE</t>
  </si>
  <si>
    <t>543 BAILEYS CHAPEL ROAD</t>
  </si>
  <si>
    <t>E300000043</t>
  </si>
  <si>
    <t>REAVIS EDNA LEE N</t>
  </si>
  <si>
    <t>3350 COOK PLACE DR</t>
  </si>
  <si>
    <t>APT 204</t>
  </si>
  <si>
    <t>27012-7633</t>
  </si>
  <si>
    <t>E60000007501</t>
  </si>
  <si>
    <t>EVANS BARBARA ANN</t>
  </si>
  <si>
    <t>4054 US HIGHWAY 158</t>
  </si>
  <si>
    <t>E600000075</t>
  </si>
  <si>
    <t>K90000000101</t>
  </si>
  <si>
    <t>THOUSAND TRAILS INC</t>
  </si>
  <si>
    <t>% B&amp;D EQUITY PROP TAX GROUP</t>
  </si>
  <si>
    <t>75001-2629</t>
  </si>
  <si>
    <t>H20000001603A</t>
  </si>
  <si>
    <t>MHC LAKE MYERS LLC</t>
  </si>
  <si>
    <t>K50000007101</t>
  </si>
  <si>
    <t>GROSE AYLISA HELLARD</t>
  </si>
  <si>
    <t>608 DOGWOOD RD</t>
  </si>
  <si>
    <t>28677-3419</t>
  </si>
  <si>
    <t>G100000002</t>
  </si>
  <si>
    <t>PEARCE TIMOTHY D</t>
  </si>
  <si>
    <t>PEARCE PAMELA P</t>
  </si>
  <si>
    <t>288 EDWARDS RD</t>
  </si>
  <si>
    <t>28634-8914</t>
  </si>
  <si>
    <t>G100000001</t>
  </si>
  <si>
    <t>G10000000301</t>
  </si>
  <si>
    <t>G10000000201</t>
  </si>
  <si>
    <t>B700000029</t>
  </si>
  <si>
    <t>MONEY RICKY E</t>
  </si>
  <si>
    <t>MONEY AMANDA</t>
  </si>
  <si>
    <t>344 PEACEFUL VALLEY RD</t>
  </si>
  <si>
    <t>E40000004611</t>
  </si>
  <si>
    <t>SCHERER NINA CELESTE</t>
  </si>
  <si>
    <t>656 PUDDING RIDGE RD</t>
  </si>
  <si>
    <t>D20000000902</t>
  </si>
  <si>
    <t>CLEARY DARRELL WAYNE</t>
  </si>
  <si>
    <t>465 LOG CABIN ROAD</t>
  </si>
  <si>
    <t>D200000009</t>
  </si>
  <si>
    <t>D20000000901</t>
  </si>
  <si>
    <t>G300000045</t>
  </si>
  <si>
    <t>NICHOLSON GEORGIA AYERS</t>
  </si>
  <si>
    <t>133 CARAVAN LN</t>
  </si>
  <si>
    <t>27028-5713</t>
  </si>
  <si>
    <t>E600000040</t>
  </si>
  <si>
    <t>GREEN ALICE B</t>
  </si>
  <si>
    <t>162 RAINBOW ROAD</t>
  </si>
  <si>
    <t>E60000006201</t>
  </si>
  <si>
    <t>E600000064</t>
  </si>
  <si>
    <t>CLEMENT SAMMIE B</t>
  </si>
  <si>
    <t>I70000008207</t>
  </si>
  <si>
    <t>HUTCHINS MARK</t>
  </si>
  <si>
    <t>159 GREY FOX TRL</t>
  </si>
  <si>
    <t>27006-7355</t>
  </si>
  <si>
    <t>G70000001301</t>
  </si>
  <si>
    <t>G70000001401</t>
  </si>
  <si>
    <t>H60000008210</t>
  </si>
  <si>
    <t>SHAVER JOHN</t>
  </si>
  <si>
    <t>226 RALPH RD</t>
  </si>
  <si>
    <t>N5010B0048</t>
  </si>
  <si>
    <t>BIVINS GAIL NORMAN</t>
  </si>
  <si>
    <t>168 ERWIN ST</t>
  </si>
  <si>
    <t>F30000008701</t>
  </si>
  <si>
    <t>305 DANNER RD</t>
  </si>
  <si>
    <t>J60000002010</t>
  </si>
  <si>
    <t>MARTIN HELEN</t>
  </si>
  <si>
    <t>3081 HYDE PLACE CIR</t>
  </si>
  <si>
    <t>27103-3448</t>
  </si>
  <si>
    <t>N60000007705A</t>
  </si>
  <si>
    <t>PRATER LYNZIE</t>
  </si>
  <si>
    <t>CARTER DOMINICK</t>
  </si>
  <si>
    <t>H70000004401</t>
  </si>
  <si>
    <t>BARRINGER BRYAN K</t>
  </si>
  <si>
    <t>291 LEATHERWOOD TRL</t>
  </si>
  <si>
    <t>27028-7167</t>
  </si>
  <si>
    <t>H70000003806</t>
  </si>
  <si>
    <t>J40000001802</t>
  </si>
  <si>
    <t>BAILEY DAVID</t>
  </si>
  <si>
    <t>BAILEY AUBURN LAKEY BAILEY</t>
  </si>
  <si>
    <t>1391 COUNTY HOME RD</t>
  </si>
  <si>
    <t>C500000089</t>
  </si>
  <si>
    <t>YOUNG CRAWFORD ALEXANDER</t>
  </si>
  <si>
    <t>YOUNG VICKEY PHILLIPS</t>
  </si>
  <si>
    <t>2087 NC HIGHWAY 801 N</t>
  </si>
  <si>
    <t>J50000003216</t>
  </si>
  <si>
    <t>CVB PARTNERS</t>
  </si>
  <si>
    <t>110 W DEPOT ST</t>
  </si>
  <si>
    <t>27028-2328</t>
  </si>
  <si>
    <t>J50000003215</t>
  </si>
  <si>
    <t>J50000003207</t>
  </si>
  <si>
    <t>I5050A0048</t>
  </si>
  <si>
    <t>CAROLINA E E HOMES INC</t>
  </si>
  <si>
    <t>I5050A0047</t>
  </si>
  <si>
    <t>K5100A0016</t>
  </si>
  <si>
    <t>ARELLANO NORMA</t>
  </si>
  <si>
    <t>179 CHEYENNE LN</t>
  </si>
  <si>
    <t>J80000001104</t>
  </si>
  <si>
    <t>MILLER JEFFREY T II</t>
  </si>
  <si>
    <t>I700000093</t>
  </si>
  <si>
    <t>B500000069</t>
  </si>
  <si>
    <t>GRACHEN JOSEPH T</t>
  </si>
  <si>
    <t>GRACHEN JENNIFER L</t>
  </si>
  <si>
    <t>256 PINEVILLE RD</t>
  </si>
  <si>
    <t>27028-6240</t>
  </si>
  <si>
    <t>B50000006904</t>
  </si>
  <si>
    <t>B50000006903</t>
  </si>
  <si>
    <t>H300000012</t>
  </si>
  <si>
    <t>BARNEY JEFFREY M</t>
  </si>
  <si>
    <t>BARNEY AMANDA S</t>
  </si>
  <si>
    <t>2206 HWY 64 W</t>
  </si>
  <si>
    <t>J800000010</t>
  </si>
  <si>
    <t>WRIGHT DANIEL RAY</t>
  </si>
  <si>
    <t>259 FULTON RD</t>
  </si>
  <si>
    <t>C600000044</t>
  </si>
  <si>
    <t>GROCE DARYL K</t>
  </si>
  <si>
    <t>115 CARPET RD</t>
  </si>
  <si>
    <t>28625-9444</t>
  </si>
  <si>
    <t>H40000009608</t>
  </si>
  <si>
    <t>SS JL MOCKSVILLE LLC</t>
  </si>
  <si>
    <t>13799 PARK BLVD PMB 246</t>
  </si>
  <si>
    <t>33776-3402</t>
  </si>
  <si>
    <t>D10000001902</t>
  </si>
  <si>
    <t>TOMEL JOHN J JR</t>
  </si>
  <si>
    <t>TOMEL CAROL B</t>
  </si>
  <si>
    <t>1993 OAKLAND DR SW</t>
  </si>
  <si>
    <t>28469-5713</t>
  </si>
  <si>
    <t>I5060A0007</t>
  </si>
  <si>
    <t>ETCHISON ERIC M</t>
  </si>
  <si>
    <t>877 MILLING ROAD</t>
  </si>
  <si>
    <t>L700000004</t>
  </si>
  <si>
    <t>GUZMAN RODRIGO ARELLANO</t>
  </si>
  <si>
    <t>5650 S NC HWY 801</t>
  </si>
  <si>
    <t>H40000004701</t>
  </si>
  <si>
    <t>ETCHISON LUCINDY Y</t>
  </si>
  <si>
    <t>I300000072</t>
  </si>
  <si>
    <t>EVANS BRADLEY S</t>
  </si>
  <si>
    <t>EVANS RODNEY F</t>
  </si>
  <si>
    <t>1356 US HWY 64 W</t>
  </si>
  <si>
    <t>I5060A0023</t>
  </si>
  <si>
    <t>ETCHISON CRYSTAL</t>
  </si>
  <si>
    <t>356 MORSE ST</t>
  </si>
  <si>
    <t>I5010C0020</t>
  </si>
  <si>
    <t>ETCHISON BARRY CORNELIUS</t>
  </si>
  <si>
    <t>ETCHISON GENANN STROUD</t>
  </si>
  <si>
    <t>I6080A0027</t>
  </si>
  <si>
    <t>GARGANO MARIE KETLY</t>
  </si>
  <si>
    <t>156 ARIEL CT</t>
  </si>
  <si>
    <t>M60000004701</t>
  </si>
  <si>
    <t>BARNHARDT CHRISTOPHER MICHAEL A</t>
  </si>
  <si>
    <t>BARNHARDT MADISON NICOLE E</t>
  </si>
  <si>
    <t>B3010A0004</t>
  </si>
  <si>
    <t>BARTOLO MARY A</t>
  </si>
  <si>
    <t>BARTOLO JUAN N</t>
  </si>
  <si>
    <t>110 WELCOME SPRINGS ROAD</t>
  </si>
  <si>
    <t>J400000020</t>
  </si>
  <si>
    <t>BEAL LOUIE JR</t>
  </si>
  <si>
    <t>BEAL JUNE J</t>
  </si>
  <si>
    <t>F800000125</t>
  </si>
  <si>
    <t>PARKER CYNTHIA MARLENA</t>
  </si>
  <si>
    <t>D50000001401</t>
  </si>
  <si>
    <t>ERNEST ROBERT</t>
  </si>
  <si>
    <t>ERNEST SANDRA</t>
  </si>
  <si>
    <t>696 CEDAR CREEK RD</t>
  </si>
  <si>
    <t>27028-6136</t>
  </si>
  <si>
    <t>M600000028</t>
  </si>
  <si>
    <t>BECK CLAUDE H</t>
  </si>
  <si>
    <t>BECK NANCY K</t>
  </si>
  <si>
    <t>406 BECKTOWN ROAD</t>
  </si>
  <si>
    <t>L50000008601</t>
  </si>
  <si>
    <t>BEDDINGTON ROBERT JOSEPH</t>
  </si>
  <si>
    <t>BEDDINGTON DONNIE JOAN</t>
  </si>
  <si>
    <t>539 HILLCREST DR</t>
  </si>
  <si>
    <t>G8130B0008</t>
  </si>
  <si>
    <t>BELCHER RONALD J</t>
  </si>
  <si>
    <t>BELCHER BESSIE M</t>
  </si>
  <si>
    <t>142 SAM COPE ROAD</t>
  </si>
  <si>
    <t>D500000013</t>
  </si>
  <si>
    <t>B700000052</t>
  </si>
  <si>
    <t>CARTER JOHN RAY JR</t>
  </si>
  <si>
    <t>CARTER JUDY LUTZ</t>
  </si>
  <si>
    <t>182 BILLS WAY</t>
  </si>
  <si>
    <t>D800000016</t>
  </si>
  <si>
    <t>D60000007201</t>
  </si>
  <si>
    <t>I50000001106</t>
  </si>
  <si>
    <t>SHARPCO LLC</t>
  </si>
  <si>
    <t>279 NORTH MAIN ST</t>
  </si>
  <si>
    <t>E3070A0004</t>
  </si>
  <si>
    <t>BENSON SHIRLEY R</t>
  </si>
  <si>
    <t>% SHIRLEY ANNE REAVIS</t>
  </si>
  <si>
    <t>3516 HIGHWAY 601 N</t>
  </si>
  <si>
    <t>27028-0912</t>
  </si>
  <si>
    <t>B30000000616</t>
  </si>
  <si>
    <t>BISHOP JOHN</t>
  </si>
  <si>
    <t>243 BONKIN LAKE ROAD</t>
  </si>
  <si>
    <t>C7140A0067</t>
  </si>
  <si>
    <t>KENNEY WILLIAM CECIL III</t>
  </si>
  <si>
    <t>183 MORNING STAR DR</t>
  </si>
  <si>
    <t>C700000041</t>
  </si>
  <si>
    <t>FOLDS MARTHA Z ETAL</t>
  </si>
  <si>
    <t>ZIMMERMAN LINDA</t>
  </si>
  <si>
    <t>C600000114</t>
  </si>
  <si>
    <t>FOSTER ALVIN G</t>
  </si>
  <si>
    <t>1772 YADKIN VALLEY RD</t>
  </si>
  <si>
    <t>M4050B0003</t>
  </si>
  <si>
    <t>FOSTER ANGELA</t>
  </si>
  <si>
    <t>127 STONE WOOD RD</t>
  </si>
  <si>
    <t>L5070A001701</t>
  </si>
  <si>
    <t>FOSTER KATHY ARNOLD</t>
  </si>
  <si>
    <t>126 FIRESIDE LANE</t>
  </si>
  <si>
    <t>G500000131</t>
  </si>
  <si>
    <t>FOSTER NELLIE T</t>
  </si>
  <si>
    <t>140 WHITTAKER ROAD</t>
  </si>
  <si>
    <t>I5010A0017</t>
  </si>
  <si>
    <t>FOWLER GEORGE C</t>
  </si>
  <si>
    <t>2460 SEDALIA DR</t>
  </si>
  <si>
    <t>27012-9256</t>
  </si>
  <si>
    <t>D7060A0010</t>
  </si>
  <si>
    <t>AYERS DWIGHT T</t>
  </si>
  <si>
    <t>AYERS CHERYL E</t>
  </si>
  <si>
    <t>598 GORDON DRIVE</t>
  </si>
  <si>
    <t>D700000022</t>
  </si>
  <si>
    <t>I500000057</t>
  </si>
  <si>
    <t>AYALA CAMILLO</t>
  </si>
  <si>
    <t>GARCIA KENY DANIEL GUERRERO</t>
  </si>
  <si>
    <t>149 MILLWRIGHT CT</t>
  </si>
  <si>
    <t>C300000046</t>
  </si>
  <si>
    <t>ANORVE MARIA ELIZABETH PEREZ</t>
  </si>
  <si>
    <t>4620 US HIGHWAY 601 N</t>
  </si>
  <si>
    <t>F400000041</t>
  </si>
  <si>
    <t>BOGER B EDWIN</t>
  </si>
  <si>
    <t>BOGER IVEY NELL</t>
  </si>
  <si>
    <t>688 CANA ROAD</t>
  </si>
  <si>
    <t>F40000003502</t>
  </si>
  <si>
    <t>F40000002801</t>
  </si>
  <si>
    <t>L70000001202A</t>
  </si>
  <si>
    <t>ANGELL BRANNON G</t>
  </si>
  <si>
    <t>161 DOGTROT ROAD</t>
  </si>
  <si>
    <t>I5090C0021</t>
  </si>
  <si>
    <t>ECKHART BRIAN</t>
  </si>
  <si>
    <t>ECKHART LISA</t>
  </si>
  <si>
    <t>204 SPRING STREET</t>
  </si>
  <si>
    <t>G20000003709</t>
  </si>
  <si>
    <t>BOSTIC JASON WILLIAM</t>
  </si>
  <si>
    <t>1831 NEELLEY RD</t>
  </si>
  <si>
    <t>PLEASANT GDN</t>
  </si>
  <si>
    <t>27313-9227</t>
  </si>
  <si>
    <t>D70000002003</t>
  </si>
  <si>
    <t>BOWLES BRIAN CURTIS</t>
  </si>
  <si>
    <t>263 BRENTWOOD DR</t>
  </si>
  <si>
    <t>D8090B0009</t>
  </si>
  <si>
    <t>HARRISON AUSTIN WAYNE</t>
  </si>
  <si>
    <t>849 RIVERBEND DR</t>
  </si>
  <si>
    <t>G400000045</t>
  </si>
  <si>
    <t>BREEDLOVE FORREST REID</t>
  </si>
  <si>
    <t>P O BOX 468</t>
  </si>
  <si>
    <t>C60000005606</t>
  </si>
  <si>
    <t>CLIFTON WILLIAM D JR</t>
  </si>
  <si>
    <t>CLIFTON STEPHANIE</t>
  </si>
  <si>
    <t>230 SPILLMAN RD</t>
  </si>
  <si>
    <t>E80000001302</t>
  </si>
  <si>
    <t>LIVELY TIMOTHY JAMES</t>
  </si>
  <si>
    <t>LIVELY STARLA HUIE</t>
  </si>
  <si>
    <t>106 LYBROOK RD</t>
  </si>
  <si>
    <t>I5160A0024</t>
  </si>
  <si>
    <t>AJ COMMUNITY INVESTMENTS LLC</t>
  </si>
  <si>
    <t>4047 5TH ST NW</t>
  </si>
  <si>
    <t>28601-9025</t>
  </si>
  <si>
    <t>E600000077</t>
  </si>
  <si>
    <t>ALLEN MARGARET D</t>
  </si>
  <si>
    <t>SILVER SPRINGS</t>
  </si>
  <si>
    <t>F60000010610</t>
  </si>
  <si>
    <t>ALLEN DAVID LEE</t>
  </si>
  <si>
    <t>4647 GREENDALE WAY</t>
  </si>
  <si>
    <t>27103-9775</t>
  </si>
  <si>
    <t>H400000121</t>
  </si>
  <si>
    <t>PAPAROUPAS STEVE ETAL</t>
  </si>
  <si>
    <t>PAPAROUPAS CHRISTO</t>
  </si>
  <si>
    <t>J100000005</t>
  </si>
  <si>
    <t>ALLEN PAUL CALVIN</t>
  </si>
  <si>
    <t>4563 HIGHWAY 64 WEST</t>
  </si>
  <si>
    <t>H30000003293</t>
  </si>
  <si>
    <t>ALLISON KENNETH L JR</t>
  </si>
  <si>
    <t>ALLISON GRETA K</t>
  </si>
  <si>
    <t>296 POWELL RD</t>
  </si>
  <si>
    <t>D7030A0019</t>
  </si>
  <si>
    <t>OPENDOOR PROPERTY TRUST I</t>
  </si>
  <si>
    <t>STE 1600</t>
  </si>
  <si>
    <t>I5120B0002</t>
  </si>
  <si>
    <t>J7080B0047</t>
  </si>
  <si>
    <t>I4130A001102</t>
  </si>
  <si>
    <t>C20000000502</t>
  </si>
  <si>
    <t>ANDERSON JAMES EDWARD</t>
  </si>
  <si>
    <t>737 BEN ANDERSON ROAD</t>
  </si>
  <si>
    <t>E60000009201</t>
  </si>
  <si>
    <t>AGIENTAS MARK</t>
  </si>
  <si>
    <t>4156 US HIGHWAY 158</t>
  </si>
  <si>
    <t>K5060A0024</t>
  </si>
  <si>
    <t>BAILEY ANN L</t>
  </si>
  <si>
    <t>114 WEST CHINABERRY COURT</t>
  </si>
  <si>
    <t>APT 24</t>
  </si>
  <si>
    <t>I90000000902</t>
  </si>
  <si>
    <t>BARNES ARNOLD LEE</t>
  </si>
  <si>
    <t>216 FANTASIA LANE</t>
  </si>
  <si>
    <t>27006-7554</t>
  </si>
  <si>
    <t>B30000000702</t>
  </si>
  <si>
    <t>BARTOLO GAUDENCIO</t>
  </si>
  <si>
    <t>MAYA MARIA ESTHELA</t>
  </si>
  <si>
    <t>176 CHEYENNE LN</t>
  </si>
  <si>
    <t>J4030B0015</t>
  </si>
  <si>
    <t>PREVETTE KRISTIE</t>
  </si>
  <si>
    <t>144 AZALEA DR</t>
  </si>
  <si>
    <t>27028-2902</t>
  </si>
  <si>
    <t>M5090B0016</t>
  </si>
  <si>
    <t>G30000002902</t>
  </si>
  <si>
    <t>BOOIE W DAVID III</t>
  </si>
  <si>
    <t>BOOIE TERESA R</t>
  </si>
  <si>
    <t>120 CRICKET LANE</t>
  </si>
  <si>
    <t>J70000009202</t>
  </si>
  <si>
    <t>G3060B0016</t>
  </si>
  <si>
    <t>205 DOGWOOD LN</t>
  </si>
  <si>
    <t>J70000010306</t>
  </si>
  <si>
    <t>BOWMAN LARRY</t>
  </si>
  <si>
    <t>2078 MONTEVIDEO RD</t>
  </si>
  <si>
    <t>JESSUP</t>
  </si>
  <si>
    <t>20794-9737</t>
  </si>
  <si>
    <t>E70000005103</t>
  </si>
  <si>
    <t>BRADSHAW ERIC</t>
  </si>
  <si>
    <t>BRADSHAW DEBBIE</t>
  </si>
  <si>
    <t>142 PARDUE LOOP</t>
  </si>
  <si>
    <t>J4040D0006</t>
  </si>
  <si>
    <t>BRAKE KELLY LORAINE</t>
  </si>
  <si>
    <t>O600000078</t>
  </si>
  <si>
    <t>BRIGHT DOROTHY H</t>
  </si>
  <si>
    <t>BRIGHT VIRGIL S</t>
  </si>
  <si>
    <t>4136 US HIGHWAY 601 SOUTH</t>
  </si>
  <si>
    <t>O60000003519</t>
  </si>
  <si>
    <t>G800000068</t>
  </si>
  <si>
    <t>FAULKNER KENNETH EUGENE</t>
  </si>
  <si>
    <t>FAULKNER DARNELL J</t>
  </si>
  <si>
    <t>190 JAMES SMILE LN</t>
  </si>
  <si>
    <t>G10000002001</t>
  </si>
  <si>
    <t>FERGUSON TIMOTHY A</t>
  </si>
  <si>
    <t>1360 COUNTY LINE RD</t>
  </si>
  <si>
    <t>L600000064</t>
  </si>
  <si>
    <t>FREEMAN MICHAEL</t>
  </si>
  <si>
    <t>FREEMAN TRACY</t>
  </si>
  <si>
    <t>L700000013</t>
  </si>
  <si>
    <t>FREEMAN OPAL WHITEN</t>
  </si>
  <si>
    <t>199 DOGTROT ROAD</t>
  </si>
  <si>
    <t>J10000000106</t>
  </si>
  <si>
    <t>BEAVER JEFFREY DAVID</t>
  </si>
  <si>
    <t>447 STROUD MILL RD</t>
  </si>
  <si>
    <t>I5160B0008</t>
  </si>
  <si>
    <t>FISHER FRANKLIN E</t>
  </si>
  <si>
    <t>379 PINE STREET</t>
  </si>
  <si>
    <t>N60000007302</t>
  </si>
  <si>
    <t>FLANAGAN DANA MICHELE</t>
  </si>
  <si>
    <t>1490 CHERRY HILL RD</t>
  </si>
  <si>
    <t>N60000007303</t>
  </si>
  <si>
    <t>POTTS DANA MICHELLE FLANAGAN</t>
  </si>
  <si>
    <t>FLANAGAN CHRISTOPHER TODD</t>
  </si>
  <si>
    <t>27028-6632</t>
  </si>
  <si>
    <t>F300000068</t>
  </si>
  <si>
    <t>FLANAGAN SUSAN</t>
  </si>
  <si>
    <t>259 BRACKEN RD</t>
  </si>
  <si>
    <t>N5010C0030</t>
  </si>
  <si>
    <t>FLEMING BILLY</t>
  </si>
  <si>
    <t>FLEMING KAREN</t>
  </si>
  <si>
    <t>453 STEWART ST</t>
  </si>
  <si>
    <t>WELCH</t>
  </si>
  <si>
    <t>24801-2119</t>
  </si>
  <si>
    <t>E700000020  A</t>
  </si>
  <si>
    <t>BLACKWELL NORMA JEAN</t>
  </si>
  <si>
    <t>4116 SUNFLOWER CIRCLE</t>
  </si>
  <si>
    <t>J5160A0008</t>
  </si>
  <si>
    <t>GADDY TOMMY RAY</t>
  </si>
  <si>
    <t>GADDY JULIE S</t>
  </si>
  <si>
    <t>224 SEAFORD RD</t>
  </si>
  <si>
    <t>K800000020</t>
  </si>
  <si>
    <t>F400000031</t>
  </si>
  <si>
    <t>F400000040</t>
  </si>
  <si>
    <t>F400000017</t>
  </si>
  <si>
    <t>F400000039</t>
  </si>
  <si>
    <t>L5100A0022</t>
  </si>
  <si>
    <t>BOGER GARDENIA G</t>
  </si>
  <si>
    <t>BOGER EUGENE L</t>
  </si>
  <si>
    <t>139 LIBERTY ROAD</t>
  </si>
  <si>
    <t>G200000075</t>
  </si>
  <si>
    <t>M50000000102</t>
  </si>
  <si>
    <t>KEYSTONE FLIPS INC</t>
  </si>
  <si>
    <t>1589 SKEET CLUB RD</t>
  </si>
  <si>
    <t>STE 102 #336</t>
  </si>
  <si>
    <t>27265-8817</t>
  </si>
  <si>
    <t>K8090A0021</t>
  </si>
  <si>
    <t>PENNINGTON TYLER LEGRAND</t>
  </si>
  <si>
    <t>159 NORTHBROOK DR</t>
  </si>
  <si>
    <t>F20000003001</t>
  </si>
  <si>
    <t>CARTER ROGER WILLIAM</t>
  </si>
  <si>
    <t>166 TALL TIMBERS DRIVE</t>
  </si>
  <si>
    <t>27028-5922</t>
  </si>
  <si>
    <t>L60000000908</t>
  </si>
  <si>
    <t>CATALAN RODRIGUEZ JOSE BEDEL</t>
  </si>
  <si>
    <t>CATALAN MONICA</t>
  </si>
  <si>
    <t>6554 NC HIGHWAY 801 S</t>
  </si>
  <si>
    <t>K500000074</t>
  </si>
  <si>
    <t>BURGESS PHYLLIS</t>
  </si>
  <si>
    <t>389 WILL BOONE ROAD</t>
  </si>
  <si>
    <t>G300000031</t>
  </si>
  <si>
    <t>601 BURGERS AND BREWS LLC</t>
  </si>
  <si>
    <t>2203 US HIGHWAY 601 S</t>
  </si>
  <si>
    <t>E30000000602</t>
  </si>
  <si>
    <t>ALEXANDER KENNETH RAY</t>
  </si>
  <si>
    <t>ALEXANDER LISA ANN</t>
  </si>
  <si>
    <t>540 LIBERTY CHURCH RD</t>
  </si>
  <si>
    <t>G900000016</t>
  </si>
  <si>
    <t>ALLEN ALICIA MARIE</t>
  </si>
  <si>
    <t>G90000001607</t>
  </si>
  <si>
    <t>L60000002403</t>
  </si>
  <si>
    <t>ANTONY KATHRYN JEAN</t>
  </si>
  <si>
    <t>M4130A0045</t>
  </si>
  <si>
    <t>STEVENSON BROOKS C</t>
  </si>
  <si>
    <t>STEVENSON MARY V</t>
  </si>
  <si>
    <t>1154 GLADSTONE RD</t>
  </si>
  <si>
    <t>27028-5242</t>
  </si>
  <si>
    <t>E60000007011</t>
  </si>
  <si>
    <t>CLARK WILLIAM DOUGLAS JR</t>
  </si>
  <si>
    <t>151 LAURENS CT</t>
  </si>
  <si>
    <t>M60000005304</t>
  </si>
  <si>
    <t>CLENDENIN JAMES A ETAL</t>
  </si>
  <si>
    <t>STENNETT MICHAEL ANDREW</t>
  </si>
  <si>
    <t>775 CHERRY HILL RD</t>
  </si>
  <si>
    <t>H40000000601</t>
  </si>
  <si>
    <t>THE PARC INVESTMENT GROUP INC</t>
  </si>
  <si>
    <t>H50000000103</t>
  </si>
  <si>
    <t>COCKERHAM VINCENT TYRONE</t>
  </si>
  <si>
    <t>411 MORSE ST</t>
  </si>
  <si>
    <t>M5090B0002</t>
  </si>
  <si>
    <t>FOWLER MARK JEROME</t>
  </si>
  <si>
    <t>PO BOX 942</t>
  </si>
  <si>
    <t>27014-0942</t>
  </si>
  <si>
    <t>B300000015</t>
  </si>
  <si>
    <t>CAIN JEWELL</t>
  </si>
  <si>
    <t>PO BOX 1607</t>
  </si>
  <si>
    <t>27302-1607</t>
  </si>
  <si>
    <t>J40000002901</t>
  </si>
  <si>
    <t>DAVIE COUNTY GROUP HOME INC</t>
  </si>
  <si>
    <t>%IMPACT OF PIEDMONT%</t>
  </si>
  <si>
    <t>184 GAITHER ST</t>
  </si>
  <si>
    <t>J4050F0002</t>
  </si>
  <si>
    <t>I4010A0050</t>
  </si>
  <si>
    <t>BOYD PATSY B</t>
  </si>
  <si>
    <t>129 NORTH WENTWORTH DRIVE</t>
  </si>
  <si>
    <t>E900000443</t>
  </si>
  <si>
    <t>LOGAN CHRISTINA R</t>
  </si>
  <si>
    <t>249 SCOTTSDALE DR</t>
  </si>
  <si>
    <t>H80000005901</t>
  </si>
  <si>
    <t>CALDWELL JACQUELINE LYNN</t>
  </si>
  <si>
    <t>372 BAILEYS CHAPEL ROAD</t>
  </si>
  <si>
    <t>I70000003203</t>
  </si>
  <si>
    <t>WILLIAMS TINA ELAINE</t>
  </si>
  <si>
    <t>774 WILLIAMS RD</t>
  </si>
  <si>
    <t>I4120B0015</t>
  </si>
  <si>
    <t>GODBEY RUSTY GROVER</t>
  </si>
  <si>
    <t>JONES ESTHER OLETHA</t>
  </si>
  <si>
    <t>518 CHURCH STREET EXTENSION</t>
  </si>
  <si>
    <t>B7010A0006</t>
  </si>
  <si>
    <t>TING SHI TIEN</t>
  </si>
  <si>
    <t>TING DYNICE H</t>
  </si>
  <si>
    <t>167 OVERLOOK DR</t>
  </si>
  <si>
    <t>K300000050</t>
  </si>
  <si>
    <t>EDWARDS JAMES KIRK</t>
  </si>
  <si>
    <t>241 JUNCTION RD</t>
  </si>
  <si>
    <t>H800000058</t>
  </si>
  <si>
    <t>I5070C0009</t>
  </si>
  <si>
    <t>CAMPBELL JAMES ROBERT</t>
  </si>
  <si>
    <t>2600 piney grove church rd</t>
  </si>
  <si>
    <t>danbury</t>
  </si>
  <si>
    <t>27016-0000</t>
  </si>
  <si>
    <t>K5100A001103</t>
  </si>
  <si>
    <t>CALLAHAN AMY JO</t>
  </si>
  <si>
    <t>236 WALT WILSON RD</t>
  </si>
  <si>
    <t>K5100A001104</t>
  </si>
  <si>
    <t>K5150A0002  A</t>
  </si>
  <si>
    <t>K5100A001102</t>
  </si>
  <si>
    <t>C7140A0023</t>
  </si>
  <si>
    <t>NIFONG ROLAND ALFRED</t>
  </si>
  <si>
    <t>NIFONG SUSAN HENDRIX</t>
  </si>
  <si>
    <t>154 BRAYDEN DR</t>
  </si>
  <si>
    <t>M5160C0006</t>
  </si>
  <si>
    <t>CAMPBELL PAMELA KEENAN</t>
  </si>
  <si>
    <t>CAMPBELL ROGER</t>
  </si>
  <si>
    <t>PO BOX 495</t>
  </si>
  <si>
    <t>27014-0495</t>
  </si>
  <si>
    <t>K30000000602</t>
  </si>
  <si>
    <t>K5070A0012</t>
  </si>
  <si>
    <t>GALLINA ENTERPRISES LLC</t>
  </si>
  <si>
    <t>3613 FLINT CIR</t>
  </si>
  <si>
    <t>28677-5662</t>
  </si>
  <si>
    <t>G50000002403</t>
  </si>
  <si>
    <t>PATTERSON KIMMIE LYNN</t>
  </si>
  <si>
    <t>10647 PARTRIDGEBERRY DR</t>
  </si>
  <si>
    <t>28213-0000</t>
  </si>
  <si>
    <t>G50000000206</t>
  </si>
  <si>
    <t>G500000024</t>
  </si>
  <si>
    <t>O600000036</t>
  </si>
  <si>
    <t>CARSON A C HEIRS</t>
  </si>
  <si>
    <t>L60000000906</t>
  </si>
  <si>
    <t>CRISCO JEFFREY SCOTT</t>
  </si>
  <si>
    <t>E20000001501</t>
  </si>
  <si>
    <t>GUEVARA BRIANA</t>
  </si>
  <si>
    <t>784 DUKE WHITTAKER RD</t>
  </si>
  <si>
    <t>G7040A0025</t>
  </si>
  <si>
    <t>GUNTER TOMMY MATTHEW</t>
  </si>
  <si>
    <t>GUNTER BILLIE JO</t>
  </si>
  <si>
    <t>168 CASA BELLA DR</t>
  </si>
  <si>
    <t>I5040A0005</t>
  </si>
  <si>
    <t>CULPEPPER TANGELA B</t>
  </si>
  <si>
    <t>975 MILLING RD</t>
  </si>
  <si>
    <t>K50000008306</t>
  </si>
  <si>
    <t>CARSWELL REX A</t>
  </si>
  <si>
    <t>149 DRAUGHN LANE</t>
  </si>
  <si>
    <t>27028-2715</t>
  </si>
  <si>
    <t>K5080A0005</t>
  </si>
  <si>
    <t>CARTER GWENDOLYN S</t>
  </si>
  <si>
    <t>18917 TRIBUTARY LN</t>
  </si>
  <si>
    <t>GAITHERSBURG</t>
  </si>
  <si>
    <t>20879-3409</t>
  </si>
  <si>
    <t>G900000011</t>
  </si>
  <si>
    <t>BOBBITT JEFFREY THOMAS</t>
  </si>
  <si>
    <t>BOBBITT MARY KATHLEEN</t>
  </si>
  <si>
    <t>212 HAWKS RIDGE DR</t>
  </si>
  <si>
    <t>27006-2146</t>
  </si>
  <si>
    <t>E6110A0006</t>
  </si>
  <si>
    <t>HPA BORROWER 2016-2 LLC</t>
  </si>
  <si>
    <t>PO BOX 4900</t>
  </si>
  <si>
    <t>SCOTTSDALE</t>
  </si>
  <si>
    <t>85261-4900</t>
  </si>
  <si>
    <t>B500000015</t>
  </si>
  <si>
    <t>ANDRON NICOLAI</t>
  </si>
  <si>
    <t>ANDRON RODICA</t>
  </si>
  <si>
    <t>C8010A0091</t>
  </si>
  <si>
    <t>HPA BORROWER 2018-1 MS LLC</t>
  </si>
  <si>
    <t>I4050B0008</t>
  </si>
  <si>
    <t>WHITTAKER BARRY G</t>
  </si>
  <si>
    <t>301 E LAKE DR</t>
  </si>
  <si>
    <t>27028-2688</t>
  </si>
  <si>
    <t>G50000002301</t>
  </si>
  <si>
    <t>MCCLELLAND PATRICIA</t>
  </si>
  <si>
    <t>171 MAIN CHURCH ROAD</t>
  </si>
  <si>
    <t>D200000033</t>
  </si>
  <si>
    <t>BOOE HARRY V JR TRUSTEE</t>
  </si>
  <si>
    <t>HARRY V BOOE JR REV LIV TRST</t>
  </si>
  <si>
    <t>G3060A0014</t>
  </si>
  <si>
    <t>J4110A0002</t>
  </si>
  <si>
    <t>BEAVER CLINTON ANTHONY</t>
  </si>
  <si>
    <t>945 SHEFFIELD RD</t>
  </si>
  <si>
    <t>H70000000302</t>
  </si>
  <si>
    <t>BULLARD ELIZABETH JANE</t>
  </si>
  <si>
    <t>141 BUTTERFLY HILL TRL</t>
  </si>
  <si>
    <t>O60000002104</t>
  </si>
  <si>
    <t>CARR SALLIE MARIE</t>
  </si>
  <si>
    <t>39 MEADOWOOD GLEN WAY APT A</t>
  </si>
  <si>
    <t>27409-2386</t>
  </si>
  <si>
    <t>E300000017</t>
  </si>
  <si>
    <t>CARROLL SEAN THOMAS</t>
  </si>
  <si>
    <t>CARROLL SYLVINA ARLENE</t>
  </si>
  <si>
    <t>366 LIBERTY CHURCH RD</t>
  </si>
  <si>
    <t>27028-5828</t>
  </si>
  <si>
    <t>J70000000702</t>
  </si>
  <si>
    <t>CARTER DUSTIN</t>
  </si>
  <si>
    <t>CARTER SAMANTHA</t>
  </si>
  <si>
    <t>242 NO CREEK ROAD</t>
  </si>
  <si>
    <t>F300000091</t>
  </si>
  <si>
    <t>BOLIN MICHAEL LYNN</t>
  </si>
  <si>
    <t>255 DANNER RD</t>
  </si>
  <si>
    <t>L40000003407</t>
  </si>
  <si>
    <t>COLE MILDRED CHRISTINE RIDDLE</t>
  </si>
  <si>
    <t>149 CABLE LANE</t>
  </si>
  <si>
    <t>G7040A006102</t>
  </si>
  <si>
    <t>COLLINS RICHARD L</t>
  </si>
  <si>
    <t>G8130A0005  A</t>
  </si>
  <si>
    <t>CORNATZER CHARLES JUSTIN</t>
  </si>
  <si>
    <t>2208 NC HIGHWAY  801 SOUTH</t>
  </si>
  <si>
    <t>G8130A000503</t>
  </si>
  <si>
    <t>I700000032</t>
  </si>
  <si>
    <t>M5100C0005</t>
  </si>
  <si>
    <t>GRANADOS DINALIA RAQUEL</t>
  </si>
  <si>
    <t>ALVARENGA EUSEBIA GRANADOS</t>
  </si>
  <si>
    <t>190 SWICEGOOD ST</t>
  </si>
  <si>
    <t>G30000007209</t>
  </si>
  <si>
    <t>CRUZ NOEMI</t>
  </si>
  <si>
    <t>137 AMORY ST</t>
  </si>
  <si>
    <t>unit 414</t>
  </si>
  <si>
    <t>BOSTON</t>
  </si>
  <si>
    <t>02119-4139</t>
  </si>
  <si>
    <t>G50000000204</t>
  </si>
  <si>
    <t>CUNNINGHAM DEVORIA ANN SCOTT</t>
  </si>
  <si>
    <t>E5020A0032</t>
  </si>
  <si>
    <t>CUNNINGS CHRISTOPHER EDWARD</t>
  </si>
  <si>
    <t>CUNNINGS PATRICIA ANN</t>
  </si>
  <si>
    <t>153 CORNWALLIS DR</t>
  </si>
  <si>
    <t>G60000001402</t>
  </si>
  <si>
    <t>BURTON SHERREE PARDON</t>
  </si>
  <si>
    <t>1023 SEASHORE DR</t>
  </si>
  <si>
    <t>ATLANTIC</t>
  </si>
  <si>
    <t>28511-9603</t>
  </si>
  <si>
    <t>B300000020</t>
  </si>
  <si>
    <t>CAIN DISHON FRANKLIN</t>
  </si>
  <si>
    <t>1506 COPPER CIR</t>
  </si>
  <si>
    <t>27302-8883</t>
  </si>
  <si>
    <t>I100000036</t>
  </si>
  <si>
    <t>BANDURRAGA ANITA</t>
  </si>
  <si>
    <t>POTTS REGINALD GENE</t>
  </si>
  <si>
    <t>2725 MILLBROOK RD</t>
  </si>
  <si>
    <t>28303-5205</t>
  </si>
  <si>
    <t>G30000000426</t>
  </si>
  <si>
    <t>PANAGIOTIDIS DIMITRIOS</t>
  </si>
  <si>
    <t>PANAGIOTIDIS KONSTANDINA</t>
  </si>
  <si>
    <t>145 ARGYLE CT</t>
  </si>
  <si>
    <t>J6090A0016</t>
  </si>
  <si>
    <t>LAMBERTON RORY D</t>
  </si>
  <si>
    <t>LAMBERTON NATALIE D</t>
  </si>
  <si>
    <t>J6090A0017</t>
  </si>
  <si>
    <t>LAMBERTON RORY DAVID</t>
  </si>
  <si>
    <t>6343 EAST GIRARD PL #304</t>
  </si>
  <si>
    <t>denver</t>
  </si>
  <si>
    <t>co</t>
  </si>
  <si>
    <t>L600000057</t>
  </si>
  <si>
    <t>CONDRA AMY ANNETTE</t>
  </si>
  <si>
    <t>178 RICHARDSON TRL</t>
  </si>
  <si>
    <t>N5010C0049</t>
  </si>
  <si>
    <t>REYES ISAIAS POLICARPO</t>
  </si>
  <si>
    <t>131 DECK CIR</t>
  </si>
  <si>
    <t>27028-7158</t>
  </si>
  <si>
    <t>M40000004501</t>
  </si>
  <si>
    <t>D70000000201</t>
  </si>
  <si>
    <t>TUCKER THOMAS G</t>
  </si>
  <si>
    <t>TUCKER CAROL H</t>
  </si>
  <si>
    <t>118 HILTON RD</t>
  </si>
  <si>
    <t>D70000000307</t>
  </si>
  <si>
    <t>C700000156</t>
  </si>
  <si>
    <t>CORNATZER CHAD MATTHEW</t>
  </si>
  <si>
    <t>116 MATTS PLACE</t>
  </si>
  <si>
    <t>I5170C0007</t>
  </si>
  <si>
    <t>GRETKA WALTER J</t>
  </si>
  <si>
    <t>GRETKA SALLY A</t>
  </si>
  <si>
    <t>130 BIG LAUREL DR</t>
  </si>
  <si>
    <t>H4130A0025</t>
  </si>
  <si>
    <t>MILLER MICHAEL GAVIN</t>
  </si>
  <si>
    <t>193 ELMWOOD STREET</t>
  </si>
  <si>
    <t>K50000002807</t>
  </si>
  <si>
    <t>CORRELL TYLER</t>
  </si>
  <si>
    <t>CORRELL JODI</t>
  </si>
  <si>
    <t>119 TURRENTINE CHURCH RD</t>
  </si>
  <si>
    <t>D30000002802</t>
  </si>
  <si>
    <t>HARRIS RONNIE S</t>
  </si>
  <si>
    <t>HARRIS HELEN H</t>
  </si>
  <si>
    <t>465 BRANDY HILL AVENUE</t>
  </si>
  <si>
    <t>PICKERINGTON</t>
  </si>
  <si>
    <t>43147-0000</t>
  </si>
  <si>
    <t>D20000000203</t>
  </si>
  <si>
    <t>LATHAM MARTHA D BOGER ETAL</t>
  </si>
  <si>
    <t>BOGER JUANITA M</t>
  </si>
  <si>
    <t>B3010A0007</t>
  </si>
  <si>
    <t>108 ASPEN ST</t>
  </si>
  <si>
    <t>27055-5163</t>
  </si>
  <si>
    <t>C70000011501</t>
  </si>
  <si>
    <t>BERMUDA RUN INVESTMENTS LLC</t>
  </si>
  <si>
    <t>7 CORPORATE CENTER CT</t>
  </si>
  <si>
    <t>27408-3878</t>
  </si>
  <si>
    <t>C700000115</t>
  </si>
  <si>
    <t>F80000006501</t>
  </si>
  <si>
    <t>FRYE BARBARA O</t>
  </si>
  <si>
    <t>4425 CLARKSBURG RD</t>
  </si>
  <si>
    <t>F800000064</t>
  </si>
  <si>
    <t>F800000065</t>
  </si>
  <si>
    <t>G70000007001</t>
  </si>
  <si>
    <t>G700000070</t>
  </si>
  <si>
    <t>I40000006101</t>
  </si>
  <si>
    <t>SHELL MICHAEL</t>
  </si>
  <si>
    <t>SHELL JOYCE</t>
  </si>
  <si>
    <t>810 SANFORD AVE</t>
  </si>
  <si>
    <t>D10000000108</t>
  </si>
  <si>
    <t>CLEMO TANYA LEANNE</t>
  </si>
  <si>
    <t>1147 BEAR CREEK CHURCH RD</t>
  </si>
  <si>
    <t>B500000003</t>
  </si>
  <si>
    <t>976 WYO ROAD</t>
  </si>
  <si>
    <t>I5030A0026</t>
  </si>
  <si>
    <t>PUROHIT PIYUSH</t>
  </si>
  <si>
    <t>709 MEDINAH CT APT C</t>
  </si>
  <si>
    <t>DIXON</t>
  </si>
  <si>
    <t>61021-9250</t>
  </si>
  <si>
    <t>G10000001501</t>
  </si>
  <si>
    <t>OLIVE VICTORIA</t>
  </si>
  <si>
    <t>OLIVE ROBERT</t>
  </si>
  <si>
    <t>1478 COUNTRY LINE RD</t>
  </si>
  <si>
    <t>27637-8127</t>
  </si>
  <si>
    <t>M5020A0034</t>
  </si>
  <si>
    <t>LOCKWOOD GAYLE ELAINE</t>
  </si>
  <si>
    <t>801 HOWELL RD</t>
  </si>
  <si>
    <t>L50000001306</t>
  </si>
  <si>
    <t>SPRY JOSEPH</t>
  </si>
  <si>
    <t>304 GLADSTONE RD</t>
  </si>
  <si>
    <t>B30000004709</t>
  </si>
  <si>
    <t>WELCH CAROLYN T</t>
  </si>
  <si>
    <t>2945 REYNOLDA RD APT 137</t>
  </si>
  <si>
    <t>27106-3058</t>
  </si>
  <si>
    <t>I5170A0122</t>
  </si>
  <si>
    <t>WESTRICH RUSSELL</t>
  </si>
  <si>
    <t>WESTRICH MERRI JAYNE</t>
  </si>
  <si>
    <t>H70000007801</t>
  </si>
  <si>
    <t>BARNES LISSA PAIGE</t>
  </si>
  <si>
    <t>BARNES HADLEY GRACE</t>
  </si>
  <si>
    <t>495 ORCHARD FALLS DR</t>
  </si>
  <si>
    <t>K5150A000503</t>
  </si>
  <si>
    <t>CARTER BAILEE DENISE</t>
  </si>
  <si>
    <t>1749 US HIGHWAY 601 S</t>
  </si>
  <si>
    <t>K500000012</t>
  </si>
  <si>
    <t>J &amp; E ENTERPRISES LLC</t>
  </si>
  <si>
    <t>E70000011601</t>
  </si>
  <si>
    <t>LONGLEAF PINE SOLAR LLC</t>
  </si>
  <si>
    <t>GREENGO ENERGY US INC</t>
  </si>
  <si>
    <t>1290 N BROADWAY STE 520</t>
  </si>
  <si>
    <t>80203-5601</t>
  </si>
  <si>
    <t>E40000003210</t>
  </si>
  <si>
    <t>MICHALSKI MISSY CUJAS</t>
  </si>
  <si>
    <t>MICHALSKI DAVID ROBERT</t>
  </si>
  <si>
    <t>K60000003302</t>
  </si>
  <si>
    <t>RANDALL BENNETT KYLE</t>
  </si>
  <si>
    <t>RANDALL KEISHA KAY</t>
  </si>
  <si>
    <t>3833 W US HWY 64</t>
  </si>
  <si>
    <t>I50000001103</t>
  </si>
  <si>
    <t>THE OAKS PHASE II</t>
  </si>
  <si>
    <t>GEM MANAGEMENT INCORPORATED</t>
  </si>
  <si>
    <t>1515 MOCKINGBIRD LN STE 1010</t>
  </si>
  <si>
    <t>28209-0000</t>
  </si>
  <si>
    <t>E8110C0002</t>
  </si>
  <si>
    <t>REVIS SHERRY</t>
  </si>
  <si>
    <t>P O BOX 1372</t>
  </si>
  <si>
    <t>CLAMMONS</t>
  </si>
  <si>
    <t>E200000037</t>
  </si>
  <si>
    <t>ELLER CHADWICK WAYNE</t>
  </si>
  <si>
    <t>ELLER KIMBERLY WILLIAMS</t>
  </si>
  <si>
    <t>PO BOX 1848</t>
  </si>
  <si>
    <t>27055-1848</t>
  </si>
  <si>
    <t>F400000057  A</t>
  </si>
  <si>
    <t>B10000001901</t>
  </si>
  <si>
    <t>F70000000402</t>
  </si>
  <si>
    <t>HANELINE SEBRINA MARIE</t>
  </si>
  <si>
    <t>235 GLENN ALLEN RD</t>
  </si>
  <si>
    <t>27028-7662</t>
  </si>
  <si>
    <t>J4140A0004</t>
  </si>
  <si>
    <t>SEYMOUR LYNDA D</t>
  </si>
  <si>
    <t>216 NEW HAMPSHIRE CT</t>
  </si>
  <si>
    <t>L5150A0014</t>
  </si>
  <si>
    <t>CONNELL ANNIE M</t>
  </si>
  <si>
    <t>GAMBLE CANDANCE DEANNE</t>
  </si>
  <si>
    <t>2324 US HIGHWAY 601 S</t>
  </si>
  <si>
    <t>H700000015</t>
  </si>
  <si>
    <t>OBRIEN SCOTT R</t>
  </si>
  <si>
    <t>OBRIEN LISA L</t>
  </si>
  <si>
    <t>G700000051</t>
  </si>
  <si>
    <t>GILLASPIE BARBARA S ETAL</t>
  </si>
  <si>
    <t>SPAUGH MICKEY GRAY</t>
  </si>
  <si>
    <t>173 JOE MYERS RD</t>
  </si>
  <si>
    <t>G4080A000201</t>
  </si>
  <si>
    <t>SHERRILL TODD H</t>
  </si>
  <si>
    <t>1018 ANGELL RD</t>
  </si>
  <si>
    <t>F40000004901</t>
  </si>
  <si>
    <t>F7120A0002</t>
  </si>
  <si>
    <t>GORDON JAMES KENNETH JR</t>
  </si>
  <si>
    <t>GORDON CHRISTIE MICHELLE</t>
  </si>
  <si>
    <t>1060 WOODLAWN</t>
  </si>
  <si>
    <t>APPOMATTOX</t>
  </si>
  <si>
    <t>O60000000802</t>
  </si>
  <si>
    <t>FOSTER FRIEDA JANE</t>
  </si>
  <si>
    <t>189 BRAMBLE TRL</t>
  </si>
  <si>
    <t>28144-8905</t>
  </si>
  <si>
    <t>I5060C0020</t>
  </si>
  <si>
    <t>PARIS JAMES RAY JR</t>
  </si>
  <si>
    <t>40 WRIGHT LN</t>
  </si>
  <si>
    <t>I5090D0003</t>
  </si>
  <si>
    <t>JAMES WILLIAM DWIGHT</t>
  </si>
  <si>
    <t>171 N LAKEWOOD DR</t>
  </si>
  <si>
    <t>FLORENCE</t>
  </si>
  <si>
    <t>29501-7322</t>
  </si>
  <si>
    <t>N60000004902</t>
  </si>
  <si>
    <t>FITCH LINDA</t>
  </si>
  <si>
    <t>3675 US HIGHWAY 601 S</t>
  </si>
  <si>
    <t>I6140A0005</t>
  </si>
  <si>
    <t>HUGHES JOAN</t>
  </si>
  <si>
    <t>203 LAKEVIEW RD</t>
  </si>
  <si>
    <t>G30000000454</t>
  </si>
  <si>
    <t>FARRELL BRIANNA M</t>
  </si>
  <si>
    <t>FARRELL ZACHARY A</t>
  </si>
  <si>
    <t>221 CULLODEN DR</t>
  </si>
  <si>
    <t>I6080A0011</t>
  </si>
  <si>
    <t>GROFF CHRISTOPHER F TR AND GROFF MARCELA TR</t>
  </si>
  <si>
    <t>G200000066</t>
  </si>
  <si>
    <t>COHEN PRESTON SETH</t>
  </si>
  <si>
    <t>543 FRED LANIER RD</t>
  </si>
  <si>
    <t>G90000001101</t>
  </si>
  <si>
    <t>J700000118</t>
  </si>
  <si>
    <t>BROWN JUANITA</t>
  </si>
  <si>
    <t>204 CEDAR GROVE CHURCH ROAD</t>
  </si>
  <si>
    <t>J4050E000901</t>
  </si>
  <si>
    <t>PAYTON RANDALL</t>
  </si>
  <si>
    <t>649 S SALISBURY ST</t>
  </si>
  <si>
    <t>F60000011206</t>
  </si>
  <si>
    <t>BROWN MELISSA A</t>
  </si>
  <si>
    <t>482 HOWARDTOWN CIRCLE</t>
  </si>
  <si>
    <t>K30000003402</t>
  </si>
  <si>
    <t>GAITHER ROSETTA</t>
  </si>
  <si>
    <t>302 DAVIE ACADEMY RD</t>
  </si>
  <si>
    <t>M5100C0001</t>
  </si>
  <si>
    <t>CHATTIN DONNIE RAY</t>
  </si>
  <si>
    <t>221 WEST SHORE DR</t>
  </si>
  <si>
    <t>28697-7499</t>
  </si>
  <si>
    <t>M5100B0022</t>
  </si>
  <si>
    <t>J5050B0003</t>
  </si>
  <si>
    <t>GANTT JOHN</t>
  </si>
  <si>
    <t>TUMMEL JEFFREY</t>
  </si>
  <si>
    <t>117 CARRIAGE COVE CIR</t>
  </si>
  <si>
    <t>G70000000501</t>
  </si>
  <si>
    <t>DIAZ JUVENAL PONCE</t>
  </si>
  <si>
    <t>PO BOX 96</t>
  </si>
  <si>
    <t>27006-1956</t>
  </si>
  <si>
    <t>J70000004103</t>
  </si>
  <si>
    <t>DIXON MARK A</t>
  </si>
  <si>
    <t>DIXON DONNA J</t>
  </si>
  <si>
    <t>116 EVERHART ROAD</t>
  </si>
  <si>
    <t>I5070A0010</t>
  </si>
  <si>
    <t>DIXON ROGER GAIL</t>
  </si>
  <si>
    <t>DIXON CATHY JO</t>
  </si>
  <si>
    <t>223 CAROLINA ST</t>
  </si>
  <si>
    <t>L500000020</t>
  </si>
  <si>
    <t>GARRETSON CHERISE THOMAS</t>
  </si>
  <si>
    <t>592 WHITNEY RD</t>
  </si>
  <si>
    <t>J10000001001</t>
  </si>
  <si>
    <t>DWIGGINS KATRINA HOLLAR</t>
  </si>
  <si>
    <t>4554 US HIGHWAY 64 W</t>
  </si>
  <si>
    <t>H70000005101</t>
  </si>
  <si>
    <t>E60000007006</t>
  </si>
  <si>
    <t>K5150A000302</t>
  </si>
  <si>
    <t>CHANDLER LUTHER W</t>
  </si>
  <si>
    <t>CHANDLER PHYLLIS D</t>
  </si>
  <si>
    <t>129 NEWFOUND LANE</t>
  </si>
  <si>
    <t>G80000000108</t>
  </si>
  <si>
    <t>MDB PROPERTIES LLC</t>
  </si>
  <si>
    <t>3628 FORSYTHIA TRL</t>
  </si>
  <si>
    <t>27012-3001</t>
  </si>
  <si>
    <t>C900000002</t>
  </si>
  <si>
    <t>C8010A0167</t>
  </si>
  <si>
    <t>WEATHERS GAIL D</t>
  </si>
  <si>
    <t>28164-0545</t>
  </si>
  <si>
    <t>H5150B0007</t>
  </si>
  <si>
    <t>BURNEY SAVANNAH</t>
  </si>
  <si>
    <t>CAREY JAMES</t>
  </si>
  <si>
    <t>126 LIBERTY CIRCLE</t>
  </si>
  <si>
    <t>G500000053</t>
  </si>
  <si>
    <t>PEREIRA EDWIN I</t>
  </si>
  <si>
    <t>PEREIRA SANTANA</t>
  </si>
  <si>
    <t>E80000001306</t>
  </si>
  <si>
    <t>ALEXANDER PEGGY</t>
  </si>
  <si>
    <t>C7140C0012</t>
  </si>
  <si>
    <t>COX KELLI REICH</t>
  </si>
  <si>
    <t>3408 TUKWILA CT</t>
  </si>
  <si>
    <t>D200000053</t>
  </si>
  <si>
    <t>CRANFILL HELEN LEWIS ESTATE</t>
  </si>
  <si>
    <t>817 LIBERTY CHURCH ROAD</t>
  </si>
  <si>
    <t>D200000035</t>
  </si>
  <si>
    <t>TOM RANDALL</t>
  </si>
  <si>
    <t>167 W KINDERTON WAY</t>
  </si>
  <si>
    <t>APT 107</t>
  </si>
  <si>
    <t>27006-7376</t>
  </si>
  <si>
    <t>J4120A000101</t>
  </si>
  <si>
    <t>1007 HOWARD STREET LLC</t>
  </si>
  <si>
    <t>450 W HANES MILL RD STE 222</t>
  </si>
  <si>
    <t>27105-7404</t>
  </si>
  <si>
    <t>J4120A0001</t>
  </si>
  <si>
    <t>I5080B0009</t>
  </si>
  <si>
    <t>NAYLOR JERRY MICHAEL ETAL</t>
  </si>
  <si>
    <t>NAYLOR LARRY DEAN</t>
  </si>
  <si>
    <t>6217 HAMPTON RIDGE RD</t>
  </si>
  <si>
    <t>27603-9288</t>
  </si>
  <si>
    <t>H9070A0016</t>
  </si>
  <si>
    <t>GODSCHALK TERESA E</t>
  </si>
  <si>
    <t>PORTER ELIZABETH</t>
  </si>
  <si>
    <t>408 ALLEGIANCE ST</t>
  </si>
  <si>
    <t>RAEFORD</t>
  </si>
  <si>
    <t>28376-6393</t>
  </si>
  <si>
    <t>K10000000501</t>
  </si>
  <si>
    <t>JENKINS JOCELYN N</t>
  </si>
  <si>
    <t>114 MIDWAY DR</t>
  </si>
  <si>
    <t>28625-1436</t>
  </si>
  <si>
    <t>K100000005</t>
  </si>
  <si>
    <t>B70000004703</t>
  </si>
  <si>
    <t>JOHNSEN JAMES ERIC</t>
  </si>
  <si>
    <t>149 GRIFFITH RD</t>
  </si>
  <si>
    <t>D30000003603</t>
  </si>
  <si>
    <t>GOBBLE TINA D</t>
  </si>
  <si>
    <t>260 MACY LANGSTON LN</t>
  </si>
  <si>
    <t>L5070A0016</t>
  </si>
  <si>
    <t>JONES PEGGY C</t>
  </si>
  <si>
    <t>JONES CICERO HENRY</t>
  </si>
  <si>
    <t>139 FAIRFIELD ROAD</t>
  </si>
  <si>
    <t>K200000007</t>
  </si>
  <si>
    <t>JONES DAVID EUGENE</t>
  </si>
  <si>
    <t>217 MORRISON ROAD</t>
  </si>
  <si>
    <t>D30000004505</t>
  </si>
  <si>
    <t>JONES JAMES ERIC</t>
  </si>
  <si>
    <t>JONES KELLY L</t>
  </si>
  <si>
    <t>319 HOWELL ROAD</t>
  </si>
  <si>
    <t>J70000004106</t>
  </si>
  <si>
    <t>DIXON MARK ANTHONY</t>
  </si>
  <si>
    <t>116 EVERHART RD</t>
  </si>
  <si>
    <t>I5080D0007</t>
  </si>
  <si>
    <t>KARLEK MARK T</t>
  </si>
  <si>
    <t>KARLEK KRISTINE</t>
  </si>
  <si>
    <t>F100000048</t>
  </si>
  <si>
    <t>KEATON HILDA B</t>
  </si>
  <si>
    <t>D30000006004</t>
  </si>
  <si>
    <t>E8070A0017</t>
  </si>
  <si>
    <t>THE DELANEY FAMILY TRUST</t>
  </si>
  <si>
    <t>DELANEY CHARLES F TRUSTEE ETAL</t>
  </si>
  <si>
    <t>20141-9425</t>
  </si>
  <si>
    <t>M5060B0004</t>
  </si>
  <si>
    <t>FENDER BILLY W</t>
  </si>
  <si>
    <t>G30000001102</t>
  </si>
  <si>
    <t>TUTTEROW ERIC K</t>
  </si>
  <si>
    <t>11 LEA LN</t>
  </si>
  <si>
    <t>NEW MILFORD</t>
  </si>
  <si>
    <t>06776-3064</t>
  </si>
  <si>
    <t>G200000042</t>
  </si>
  <si>
    <t>I4010A0081</t>
  </si>
  <si>
    <t>BOXRUD ROBERT L</t>
  </si>
  <si>
    <t>114 N WENTWORTH DR</t>
  </si>
  <si>
    <t>J5030A0029</t>
  </si>
  <si>
    <t>KISER TED M</t>
  </si>
  <si>
    <t>179 SUNNYDELL LN</t>
  </si>
  <si>
    <t>G4080A0017</t>
  </si>
  <si>
    <t>KNIGHT BILLY R JR</t>
  </si>
  <si>
    <t>KNIGHT MICHELLE L</t>
  </si>
  <si>
    <t>H300000026</t>
  </si>
  <si>
    <t>KNIGHT LARRY DEAN</t>
  </si>
  <si>
    <t>KNIGHT MARIA W</t>
  </si>
  <si>
    <t>2173 US HIGHWAY 64 WEST</t>
  </si>
  <si>
    <t>N60000004901</t>
  </si>
  <si>
    <t>ELKINS JACKIE L</t>
  </si>
  <si>
    <t>308 BRIDLE PATH FARM RD</t>
  </si>
  <si>
    <t>27013-8155</t>
  </si>
  <si>
    <t>D700000214</t>
  </si>
  <si>
    <t>MILLER WILLIE FAYE</t>
  </si>
  <si>
    <t>149 SPARKS CT</t>
  </si>
  <si>
    <t>WINSTOON-SALEM</t>
  </si>
  <si>
    <t>C8030C0003</t>
  </si>
  <si>
    <t>ERCOL KYLE</t>
  </si>
  <si>
    <t>107 OAK WIND DR UNIT 301</t>
  </si>
  <si>
    <t>I5080E0017</t>
  </si>
  <si>
    <t>SHEPHERD EXECUTIVE REALTY INC</t>
  </si>
  <si>
    <t>F90000001804</t>
  </si>
  <si>
    <t>HARTMAN TANYA G</t>
  </si>
  <si>
    <t>434 VOGLER RD</t>
  </si>
  <si>
    <t>F900000029</t>
  </si>
  <si>
    <t>I600000031</t>
  </si>
  <si>
    <t>SHORT NATHAN E</t>
  </si>
  <si>
    <t>SHORT JESSICA N</t>
  </si>
  <si>
    <t>260 WILLIAMS RD</t>
  </si>
  <si>
    <t>I6080A0008</t>
  </si>
  <si>
    <t>GROFF CHRISTOPHER F TR AND GROFF MARCELA G TR</t>
  </si>
  <si>
    <t>C300000007</t>
  </si>
  <si>
    <t>BLAIR JOHN M</t>
  </si>
  <si>
    <t>BLAIR DONNA S</t>
  </si>
  <si>
    <t>4741 US HIGHWAY 601 N</t>
  </si>
  <si>
    <t>C500000048</t>
  </si>
  <si>
    <t>LASHLEY CHARLES M</t>
  </si>
  <si>
    <t>LASHLEY LORENE D</t>
  </si>
  <si>
    <t>2041 FARMINGTON ROAD</t>
  </si>
  <si>
    <t>C500000047</t>
  </si>
  <si>
    <t>C50000004701</t>
  </si>
  <si>
    <t>C100000022</t>
  </si>
  <si>
    <t>ANDERSON JAMEY</t>
  </si>
  <si>
    <t>1049 BEN ANDERSON ROAD</t>
  </si>
  <si>
    <t>G8050A0008</t>
  </si>
  <si>
    <t>A FULL MEASURE CATERING INC</t>
  </si>
  <si>
    <t>1995 NC HIGHWAY 801 S</t>
  </si>
  <si>
    <t>27006-7418</t>
  </si>
  <si>
    <t>K5090A0043</t>
  </si>
  <si>
    <t>LEDFORD LYNDA M ETAL</t>
  </si>
  <si>
    <t>% RODNEY S MILLER</t>
  </si>
  <si>
    <t>209 LAKEWOOD VILLAGE ROAD</t>
  </si>
  <si>
    <t>I90000000905</t>
  </si>
  <si>
    <t>LEWIS PHYLLIS BARNES</t>
  </si>
  <si>
    <t>221 FANTASIA LANE</t>
  </si>
  <si>
    <t>G40000004601</t>
  </si>
  <si>
    <t>CARLTON BENTLEY</t>
  </si>
  <si>
    <t>CARLTON LORRI</t>
  </si>
  <si>
    <t>1177 MAIN CHURCH ROAD</t>
  </si>
  <si>
    <t>G30000007210</t>
  </si>
  <si>
    <t>LOPEZ PENO MARVIN RANDOLFO</t>
  </si>
  <si>
    <t>ORTIZ VAEQUEZ NATIVIDAD</t>
  </si>
  <si>
    <t>169 CARAVAN LN</t>
  </si>
  <si>
    <t>J60000002801</t>
  </si>
  <si>
    <t>DALTON SHANIKA</t>
  </si>
  <si>
    <t>2006 NE 24TH ST</t>
  </si>
  <si>
    <t>27105-5514</t>
  </si>
  <si>
    <t>G700000155</t>
  </si>
  <si>
    <t>J100000010</t>
  </si>
  <si>
    <t>N5010C0033</t>
  </si>
  <si>
    <t>CARTER MARY ANN BRINDLE</t>
  </si>
  <si>
    <t>M5020A0023</t>
  </si>
  <si>
    <t>ALLEN JASON SAMUEL</t>
  </si>
  <si>
    <t>ALLEN EXIE MARIE</t>
  </si>
  <si>
    <t>373 MICHAELS ROAD</t>
  </si>
  <si>
    <t>J10000002903</t>
  </si>
  <si>
    <t>WARNER DAVIDA EVERHARDT</t>
  </si>
  <si>
    <t>CARPENTER GEORGE RAY</t>
  </si>
  <si>
    <t>1782 RIDGE ROAD</t>
  </si>
  <si>
    <t>27028-8351</t>
  </si>
  <si>
    <t>H4130A0119</t>
  </si>
  <si>
    <t>2372 MILLING RD</t>
  </si>
  <si>
    <t>H900000029</t>
  </si>
  <si>
    <t>MT SINAI AME ZION CHURCH</t>
  </si>
  <si>
    <t>488 PEOPLES CREEK ROAD</t>
  </si>
  <si>
    <t>H900000031</t>
  </si>
  <si>
    <t>G70000014104</t>
  </si>
  <si>
    <t>PATTON RODNEY</t>
  </si>
  <si>
    <t>PATTON CHARITY</t>
  </si>
  <si>
    <t>3365 HYDE PLACE CIR</t>
  </si>
  <si>
    <t>27103-6839</t>
  </si>
  <si>
    <t>E700000034</t>
  </si>
  <si>
    <t>CASS JAMIE CHARLES</t>
  </si>
  <si>
    <t>CASS TRACEY F</t>
  </si>
  <si>
    <t>4360 US HIGHWAY 158</t>
  </si>
  <si>
    <t>M60000005305</t>
  </si>
  <si>
    <t>BERG DOUGLAS WAYNE</t>
  </si>
  <si>
    <t>BERG BRYTTNY MARIE</t>
  </si>
  <si>
    <t>780 CHERRY HILL RD</t>
  </si>
  <si>
    <t>M5030A0019</t>
  </si>
  <si>
    <t>ELLIS RICHARD</t>
  </si>
  <si>
    <t>7111 NC HIGHWAY 801 S</t>
  </si>
  <si>
    <t>27028-6736</t>
  </si>
  <si>
    <t>M5030A0018</t>
  </si>
  <si>
    <t>G4080A003203</t>
  </si>
  <si>
    <t>JOHNSON MICHAEL DALE</t>
  </si>
  <si>
    <t>1390 MAIN CHURCH ROAD EXT</t>
  </si>
  <si>
    <t>G8130B000702</t>
  </si>
  <si>
    <t>FINNEY JEFFREY D</t>
  </si>
  <si>
    <t>1256 POPLAR SPRINGS RD</t>
  </si>
  <si>
    <t>28621-6100</t>
  </si>
  <si>
    <t>G40000003418</t>
  </si>
  <si>
    <t>BRUNGARDT JACOB</t>
  </si>
  <si>
    <t>BRUNGARDT JAMIE</t>
  </si>
  <si>
    <t>173 COLONIAL LN</t>
  </si>
  <si>
    <t>G40000003407</t>
  </si>
  <si>
    <t>M5020A0017  A</t>
  </si>
  <si>
    <t>FRYE JOHN JOSEPH</t>
  </si>
  <si>
    <t>FRYE CHERRY C</t>
  </si>
  <si>
    <t>156 SPRINGHILL DRIVE</t>
  </si>
  <si>
    <t>M5070A0028</t>
  </si>
  <si>
    <t>J400000001</t>
  </si>
  <si>
    <t>M5060B0025</t>
  </si>
  <si>
    <t>JONES LEESA RHEA</t>
  </si>
  <si>
    <t>118 HOBSON DRIVE</t>
  </si>
  <si>
    <t>I100000016  A</t>
  </si>
  <si>
    <t>GAITHER STEVEN LAMONTH</t>
  </si>
  <si>
    <t>3622 US HWY 64 WEST</t>
  </si>
  <si>
    <t>K5020A0002</t>
  </si>
  <si>
    <t>HALPIN ASHLEY</t>
  </si>
  <si>
    <t>RAMOS ROBERT ALARCON</t>
  </si>
  <si>
    <t>220 SOUTHWOOD DR</t>
  </si>
  <si>
    <t>D50000007003</t>
  </si>
  <si>
    <t>WHITE JACKALYN SPENCE</t>
  </si>
  <si>
    <t>1338 FARMINGTON RD</t>
  </si>
  <si>
    <t>E300000015</t>
  </si>
  <si>
    <t>CRANFILL DOROTHY B</t>
  </si>
  <si>
    <t>378 LAKEVIEW RD</t>
  </si>
  <si>
    <t>I5060B0002</t>
  </si>
  <si>
    <t>F100000049</t>
  </si>
  <si>
    <t>KEATON JOHN W</t>
  </si>
  <si>
    <t>1651 COUNTY LINE ROAD</t>
  </si>
  <si>
    <t>G200000041</t>
  </si>
  <si>
    <t>G20000004102</t>
  </si>
  <si>
    <t>J5030A0028</t>
  </si>
  <si>
    <t>J700000004</t>
  </si>
  <si>
    <t>LANIER BARRY MATTHEW</t>
  </si>
  <si>
    <t>296 NO CREEK ROAD</t>
  </si>
  <si>
    <t>I20000000603</t>
  </si>
  <si>
    <t>COOKSON DWAYNE S</t>
  </si>
  <si>
    <t>COOKSON TERESA L</t>
  </si>
  <si>
    <t>236 COOKSON LANE</t>
  </si>
  <si>
    <t>M5100C002802</t>
  </si>
  <si>
    <t>COPE ANTHONY FOYELL</t>
  </si>
  <si>
    <t>153 LOOP ST</t>
  </si>
  <si>
    <t>M50000002501</t>
  </si>
  <si>
    <t>CORRELL TONY FREDERICK</t>
  </si>
  <si>
    <t>CORRELL LAURA WILLIS</t>
  </si>
  <si>
    <t>11815 STOKES FERRY RD</t>
  </si>
  <si>
    <t>GOLD HILL</t>
  </si>
  <si>
    <t>28071-7690</t>
  </si>
  <si>
    <t>J70000000301</t>
  </si>
  <si>
    <t>J700000003</t>
  </si>
  <si>
    <t>M5150A0019</t>
  </si>
  <si>
    <t>FOSTER TIMOTHY MATTHEW</t>
  </si>
  <si>
    <t>174 BOOTLEG ALY</t>
  </si>
  <si>
    <t>C30000000701</t>
  </si>
  <si>
    <t>C300000044</t>
  </si>
  <si>
    <t>BLEDSOE MICHAEL</t>
  </si>
  <si>
    <t>4658 HIGHWAY 601 NORTH</t>
  </si>
  <si>
    <t>G7040A0049</t>
  </si>
  <si>
    <t>BELLOS CERVANTES LLUVIA ESTHER</t>
  </si>
  <si>
    <t>BELLO ROMERO GABRIEL</t>
  </si>
  <si>
    <t>190 SONORA DR</t>
  </si>
  <si>
    <t>J60000001003</t>
  </si>
  <si>
    <t>LIPSCOMB CHAD A</t>
  </si>
  <si>
    <t>LIPSCOMB JAMES C JR &amp; NANCY</t>
  </si>
  <si>
    <t>E600000016</t>
  </si>
  <si>
    <t>I5050B0022</t>
  </si>
  <si>
    <t>PUGLIESE GIACOMO</t>
  </si>
  <si>
    <t>718 RIDGEWORTH AVE</t>
  </si>
  <si>
    <t>27265-1233</t>
  </si>
  <si>
    <t>K5060A0002</t>
  </si>
  <si>
    <t>JORDAN TANYA W</t>
  </si>
  <si>
    <t>136 BRITTANY ROAD</t>
  </si>
  <si>
    <t>GAFFNEY</t>
  </si>
  <si>
    <t>K5060A0001</t>
  </si>
  <si>
    <t>M4120A000201</t>
  </si>
  <si>
    <t>JOYAL JEANETTE L</t>
  </si>
  <si>
    <t>JOYAL ROBERT W</t>
  </si>
  <si>
    <t>991 GLADSTONE ROAD</t>
  </si>
  <si>
    <t>B40000003405</t>
  </si>
  <si>
    <t>MARSHALL KIMBERLY</t>
  </si>
  <si>
    <t>L4130A0030</t>
  </si>
  <si>
    <t>DALEB THOMAS EDWARD</t>
  </si>
  <si>
    <t>DALEB CANDACE ROSE</t>
  </si>
  <si>
    <t>1014 DANIEL RD</t>
  </si>
  <si>
    <t>I90000002105</t>
  </si>
  <si>
    <t>MABE JESSE C</t>
  </si>
  <si>
    <t>405 ZIMMERMAN ROAD</t>
  </si>
  <si>
    <t>F60000010902</t>
  </si>
  <si>
    <t>KISER JAMES</t>
  </si>
  <si>
    <t>KISER TRACIE WORLEY</t>
  </si>
  <si>
    <t>133 GRAYWOOD CT</t>
  </si>
  <si>
    <t>F60000010911</t>
  </si>
  <si>
    <t>L50000001305</t>
  </si>
  <si>
    <t>MARRS MICHAEL EUGENE</t>
  </si>
  <si>
    <t>129 M &amp; D LANE</t>
  </si>
  <si>
    <t>H5150B0009</t>
  </si>
  <si>
    <t>MCCLAMROCK JEWEL</t>
  </si>
  <si>
    <t>G8140A0007  A</t>
  </si>
  <si>
    <t>MCCULLAR WILLIAM L</t>
  </si>
  <si>
    <t>MCCULLAR LEAH P</t>
  </si>
  <si>
    <t>167 OLD HOMEPLACE DRIVE</t>
  </si>
  <si>
    <t>G8140A0007</t>
  </si>
  <si>
    <t>H4130A0004</t>
  </si>
  <si>
    <t>GUZMAN RAUL</t>
  </si>
  <si>
    <t>101 RAINBOW DR # 12359</t>
  </si>
  <si>
    <t>LIVINGSTON</t>
  </si>
  <si>
    <t>77399-9301</t>
  </si>
  <si>
    <t>M5100A000902</t>
  </si>
  <si>
    <t>MCDANIEL BOBBY DEAN JR</t>
  </si>
  <si>
    <t>PO BOX 512</t>
  </si>
  <si>
    <t>27014-0518</t>
  </si>
  <si>
    <t>J5010C0032</t>
  </si>
  <si>
    <t>MARTIN ROSA LEE</t>
  </si>
  <si>
    <t>3411 OLD VINEYARD RD APT A2</t>
  </si>
  <si>
    <t>27103-1452</t>
  </si>
  <si>
    <t>H3090A0001</t>
  </si>
  <si>
    <t>BEIZA ANICETO</t>
  </si>
  <si>
    <t>HERNANDEZ DANIELA P CARRILLO</t>
  </si>
  <si>
    <t>135 POWELL RD</t>
  </si>
  <si>
    <t>C7140A0101</t>
  </si>
  <si>
    <t>BRAYDEN HOA INC</t>
  </si>
  <si>
    <t>RESOURCE PROPERTY MANAGEMENT</t>
  </si>
  <si>
    <t>PO BOX 25</t>
  </si>
  <si>
    <t>ROBBINS</t>
  </si>
  <si>
    <t>27325-0025</t>
  </si>
  <si>
    <t>F10000001201</t>
  </si>
  <si>
    <t>DYSON ALISON L</t>
  </si>
  <si>
    <t>I5110C0022</t>
  </si>
  <si>
    <t>WALKER PEARL C HEIRS</t>
  </si>
  <si>
    <t>54 PARHAM RD</t>
  </si>
  <si>
    <t>LEICESTER</t>
  </si>
  <si>
    <t>28748-9647</t>
  </si>
  <si>
    <t>L5150A0007</t>
  </si>
  <si>
    <t>GODBEY RUSTY</t>
  </si>
  <si>
    <t>518 CHURCH STREET EXT</t>
  </si>
  <si>
    <t>I5050C0027</t>
  </si>
  <si>
    <t>HORNE BRIAN W</t>
  </si>
  <si>
    <t>HORNE LESLIE L</t>
  </si>
  <si>
    <t>I5050C0041</t>
  </si>
  <si>
    <t>J5010C0028</t>
  </si>
  <si>
    <t>C30000003301</t>
  </si>
  <si>
    <t>HORNE BRIAN</t>
  </si>
  <si>
    <t>E900000031</t>
  </si>
  <si>
    <t>D60000000901</t>
  </si>
  <si>
    <t>HANES DIANNE S</t>
  </si>
  <si>
    <t>228 BOBBIT RD</t>
  </si>
  <si>
    <t>D600000010</t>
  </si>
  <si>
    <t>D60000000803</t>
  </si>
  <si>
    <t>D600000009</t>
  </si>
  <si>
    <t>G30000007205</t>
  </si>
  <si>
    <t>ROMERO JOSE LUIS</t>
  </si>
  <si>
    <t>110 WORTHDALE DR</t>
  </si>
  <si>
    <t>27103-5328</t>
  </si>
  <si>
    <t>L5150A0006</t>
  </si>
  <si>
    <t>K5090A000201</t>
  </si>
  <si>
    <t>GAITAN JOSE ANTONIO</t>
  </si>
  <si>
    <t>GAITAN ANA GLADIS</t>
  </si>
  <si>
    <t>2823 US HIGHWAY 601 S</t>
  </si>
  <si>
    <t>F80000006903</t>
  </si>
  <si>
    <t>GOULD BENNETT PRATER</t>
  </si>
  <si>
    <t>ANDERSON MEGAN SARAH</t>
  </si>
  <si>
    <t>327 HILLCREST DR</t>
  </si>
  <si>
    <t>G300000005</t>
  </si>
  <si>
    <t>MARY ANNE GLASS MULL LIV TRUST</t>
  </si>
  <si>
    <t>2681 OLD MOCKSVILLE RD</t>
  </si>
  <si>
    <t>H4190A0008</t>
  </si>
  <si>
    <t>COMBAT ATHLETICS LLC</t>
  </si>
  <si>
    <t>131 SAWGRASS DR</t>
  </si>
  <si>
    <t>H9080A0004</t>
  </si>
  <si>
    <t>BYRNES TYLER DANIEL</t>
  </si>
  <si>
    <t>BYRNES LAURA SHELTON</t>
  </si>
  <si>
    <t>203 MORAVIAN CT</t>
  </si>
  <si>
    <t>H700000115</t>
  </si>
  <si>
    <t>HOUSE FARMERS LLC</t>
  </si>
  <si>
    <t>H700000089</t>
  </si>
  <si>
    <t>H7120B0031</t>
  </si>
  <si>
    <t>ARENA BUILDERS ASSOCIATES LLC</t>
  </si>
  <si>
    <t>3445 WYO RD</t>
  </si>
  <si>
    <t>27055-8719</t>
  </si>
  <si>
    <t>H7120B0035</t>
  </si>
  <si>
    <t>N5010D0024</t>
  </si>
  <si>
    <t>CLARK GREGORY E</t>
  </si>
  <si>
    <t>CLARK RENEE L</t>
  </si>
  <si>
    <t>237 CENTER ST</t>
  </si>
  <si>
    <t>E60000005301</t>
  </si>
  <si>
    <t>SMITH JUSTIN DEAN</t>
  </si>
  <si>
    <t>BARNHARDT MORGAN DARE ETAL</t>
  </si>
  <si>
    <t>1163 ASHEFORD GREEN AVE NW</t>
  </si>
  <si>
    <t>N50000000603</t>
  </si>
  <si>
    <t>MILLER BARRY W</t>
  </si>
  <si>
    <t>160 ADMILL WAY</t>
  </si>
  <si>
    <t>27028-6600</t>
  </si>
  <si>
    <t>H40000010604</t>
  </si>
  <si>
    <t>C L TRAN INC</t>
  </si>
  <si>
    <t>1421 YADKINVILLE RD</t>
  </si>
  <si>
    <t>27028-1909</t>
  </si>
  <si>
    <t>E900000531</t>
  </si>
  <si>
    <t>MCDOWELL JEFFREY F</t>
  </si>
  <si>
    <t>MCDOWELL KATHERINE F</t>
  </si>
  <si>
    <t>285 N HIDDENBROOKE DRIVE</t>
  </si>
  <si>
    <t>H400000107</t>
  </si>
  <si>
    <t>REYNOLDS DANIEL J</t>
  </si>
  <si>
    <t>REYNOLDS BETH A</t>
  </si>
  <si>
    <t>552 BUCK SEAFORD RD</t>
  </si>
  <si>
    <t>E200000043</t>
  </si>
  <si>
    <t>THOMAS MATTHEW R</t>
  </si>
  <si>
    <t>THOMAS MITZI</t>
  </si>
  <si>
    <t>524 FAIRFIELD RD</t>
  </si>
  <si>
    <t>H200000035</t>
  </si>
  <si>
    <t>CHAFFIN BRYAN KEVIN</t>
  </si>
  <si>
    <t>CHAFFIN KARLENE</t>
  </si>
  <si>
    <t>I80000003901</t>
  </si>
  <si>
    <t>MORTON CHRISTOPHER LEE</t>
  </si>
  <si>
    <t>MORTON SHEILA W</t>
  </si>
  <si>
    <t>359 TODD ROAD</t>
  </si>
  <si>
    <t>I800000040</t>
  </si>
  <si>
    <t>G7040B0012</t>
  </si>
  <si>
    <t>MYERS GLEN</t>
  </si>
  <si>
    <t>301 GRANADA DR</t>
  </si>
  <si>
    <t>D700000047</t>
  </si>
  <si>
    <t>G20000005504</t>
  </si>
  <si>
    <t>CHAFFIN MORGAN KEITH</t>
  </si>
  <si>
    <t>P O BOX 1533</t>
  </si>
  <si>
    <t>H80000005004</t>
  </si>
  <si>
    <t>BARNES BETTY EUDENE SPRY</t>
  </si>
  <si>
    <t>6024 HOLDER ROAD</t>
  </si>
  <si>
    <t>K500000103</t>
  </si>
  <si>
    <t>BRAWLEY MARIA FLORINDA</t>
  </si>
  <si>
    <t>2724 BRAWLEY RD</t>
  </si>
  <si>
    <t>27055-6614</t>
  </si>
  <si>
    <t>I1120A0006</t>
  </si>
  <si>
    <t>LEWALLEN ARNOLD R</t>
  </si>
  <si>
    <t>2252 BLUE HERON DR</t>
  </si>
  <si>
    <t>27834-2025</t>
  </si>
  <si>
    <t>J70000011801</t>
  </si>
  <si>
    <t>LEWIS ONELLE B</t>
  </si>
  <si>
    <t>127 BRANCHVIEW LANE</t>
  </si>
  <si>
    <t>J60000005430</t>
  </si>
  <si>
    <t>DUNCAN SHERRY A</t>
  </si>
  <si>
    <t>J60000005401</t>
  </si>
  <si>
    <t>J6100B0024</t>
  </si>
  <si>
    <t>J6100B0023</t>
  </si>
  <si>
    <t>J6100B0022</t>
  </si>
  <si>
    <t>J6100B099902</t>
  </si>
  <si>
    <t>J60000005427</t>
  </si>
  <si>
    <t>J6100B099901</t>
  </si>
  <si>
    <t>J60000005429</t>
  </si>
  <si>
    <t>J60000005409</t>
  </si>
  <si>
    <t>C600000077</t>
  </si>
  <si>
    <t>DROUILLARD PAUL T</t>
  </si>
  <si>
    <t>DROUILLARD HEATHER J</t>
  </si>
  <si>
    <t>1328 NC HIGHWAY 801 N</t>
  </si>
  <si>
    <t>I70000006201</t>
  </si>
  <si>
    <t>LANIER MICHAEL BURL</t>
  </si>
  <si>
    <t>LANIER DOROTHY J</t>
  </si>
  <si>
    <t>145 SEMINOLE WAY</t>
  </si>
  <si>
    <t>K10000000502</t>
  </si>
  <si>
    <t>NEUMANN MARY LEE M</t>
  </si>
  <si>
    <t>178 MIDWAY DRIVE</t>
  </si>
  <si>
    <t>I100000010</t>
  </si>
  <si>
    <t>NICHOLSON CONNIE ESTATE</t>
  </si>
  <si>
    <t>205 COUNTY LINE RD</t>
  </si>
  <si>
    <t>28634-8934</t>
  </si>
  <si>
    <t>F20000002005</t>
  </si>
  <si>
    <t>ROBERTS KATHY POTTS</t>
  </si>
  <si>
    <t>483 DUKE WHITTAKER ROAD</t>
  </si>
  <si>
    <t>I5160B0036</t>
  </si>
  <si>
    <t>OVERCASH PHILLIP</t>
  </si>
  <si>
    <t>281 CHERRY ST</t>
  </si>
  <si>
    <t>L5100A003001</t>
  </si>
  <si>
    <t>PARRISH ROGER WILLIAM</t>
  </si>
  <si>
    <t>PO BOX 1423</t>
  </si>
  <si>
    <t>27055-1423</t>
  </si>
  <si>
    <t>I10000005302</t>
  </si>
  <si>
    <t>DALTON SHANIKA SHEVONE</t>
  </si>
  <si>
    <t>J5010C0024</t>
  </si>
  <si>
    <t>PEEBLES CAROLYN M</t>
  </si>
  <si>
    <t>M5030A0015</t>
  </si>
  <si>
    <t>I4110B0003</t>
  </si>
  <si>
    <t>643 WILKESBORO ST</t>
  </si>
  <si>
    <t>H300000043</t>
  </si>
  <si>
    <t>PEEBLES JAMES ELMER JR</t>
  </si>
  <si>
    <t>1961 US HIGHWAY 64 WEST</t>
  </si>
  <si>
    <t>B50000010801</t>
  </si>
  <si>
    <t>DEHART MELISSA D</t>
  </si>
  <si>
    <t>2692 FARMINGTON ROAD</t>
  </si>
  <si>
    <t>B500000108</t>
  </si>
  <si>
    <t>M4120A0011</t>
  </si>
  <si>
    <t>HARGROVE FAMILY TRUST</t>
  </si>
  <si>
    <t>HARGROVE ERIC L TRUSTEE</t>
  </si>
  <si>
    <t>PO BOX 544</t>
  </si>
  <si>
    <t>27014-0544</t>
  </si>
  <si>
    <t>I5000A0053</t>
  </si>
  <si>
    <t>NYQUIST JEFFREY RICHARD</t>
  </si>
  <si>
    <t>126 BIG LAUREL DR</t>
  </si>
  <si>
    <t>H7120B0033</t>
  </si>
  <si>
    <t>K500000079</t>
  </si>
  <si>
    <t>MILLER ESTHER L</t>
  </si>
  <si>
    <t>533 WILL BOONE ROAD</t>
  </si>
  <si>
    <t>N5080B0022</t>
  </si>
  <si>
    <t>MONKEY WORKS INC</t>
  </si>
  <si>
    <t>C50000002803</t>
  </si>
  <si>
    <t>MCCUNE DAVID WAYNE</t>
  </si>
  <si>
    <t>MCCUNE MELODY S</t>
  </si>
  <si>
    <t>2657 NC HIGHWAY 801 NORTH</t>
  </si>
  <si>
    <t>F600000059</t>
  </si>
  <si>
    <t>F80000001102</t>
  </si>
  <si>
    <t>MOCK WILLIAM C</t>
  </si>
  <si>
    <t>MOCK JACKIE C</t>
  </si>
  <si>
    <t>F800000011</t>
  </si>
  <si>
    <t>M4130B0016</t>
  </si>
  <si>
    <t>MCCRARY JOSHUA EDWARD</t>
  </si>
  <si>
    <t>MCCRARY LORENA</t>
  </si>
  <si>
    <t>J500000029</t>
  </si>
  <si>
    <t>MOCKSVILLE CHURCH OF GOD</t>
  </si>
  <si>
    <t>844 US HIGHWAY 64 E</t>
  </si>
  <si>
    <t>27028-5456</t>
  </si>
  <si>
    <t>J50000002901</t>
  </si>
  <si>
    <t>F20000003003</t>
  </si>
  <si>
    <t>MOORE BRADLEY S</t>
  </si>
  <si>
    <t>240 TALL TIMBERS DR</t>
  </si>
  <si>
    <t>I4130H0035</t>
  </si>
  <si>
    <t>MORALES-ROMERO ARTURO</t>
  </si>
  <si>
    <t>IBARRA-VARGAS ERIKA</t>
  </si>
  <si>
    <t>1781 KREFT ST NE</t>
  </si>
  <si>
    <t>49525-2872</t>
  </si>
  <si>
    <t>I4130G0007</t>
  </si>
  <si>
    <t>J6050C000101</t>
  </si>
  <si>
    <t>MORGAN ROBERT ARNOLD</t>
  </si>
  <si>
    <t>169 HAWTHORNE ROAD</t>
  </si>
  <si>
    <t>G500000048</t>
  </si>
  <si>
    <t>OWEN LORETTA COATES</t>
  </si>
  <si>
    <t>G50000004805</t>
  </si>
  <si>
    <t>G50000004804</t>
  </si>
  <si>
    <t>I4130G0005</t>
  </si>
  <si>
    <t>CULNEN REALTY LLC</t>
  </si>
  <si>
    <t>M5090B0013</t>
  </si>
  <si>
    <t>PATTERSON LINDSEY L &amp; MARY S</t>
  </si>
  <si>
    <t>PATTERSON STEVE L</t>
  </si>
  <si>
    <t>8740 US HIGHWAY 601</t>
  </si>
  <si>
    <t>28147-9726</t>
  </si>
  <si>
    <t>M5090B0014</t>
  </si>
  <si>
    <t>PATTERSON LINDSAY L</t>
  </si>
  <si>
    <t>109 LONNIES WAY</t>
  </si>
  <si>
    <t>N50000005301</t>
  </si>
  <si>
    <t>J6050C0001</t>
  </si>
  <si>
    <t>I90000002112</t>
  </si>
  <si>
    <t>MABE RICHARD K</t>
  </si>
  <si>
    <t>MABE PENNY M</t>
  </si>
  <si>
    <t>PO BOX 2117</t>
  </si>
  <si>
    <t>27006-2117</t>
  </si>
  <si>
    <t>F200000019</t>
  </si>
  <si>
    <t>POTTS PAUL MICHAEL</t>
  </si>
  <si>
    <t>513 DUKE WHITTAKER ROAD</t>
  </si>
  <si>
    <t>I1120A0023</t>
  </si>
  <si>
    <t>PRATT KATHLEEN O</t>
  </si>
  <si>
    <t>307 OAKLAND AVENUE</t>
  </si>
  <si>
    <t>I1120A0024</t>
  </si>
  <si>
    <t>L5020B0006</t>
  </si>
  <si>
    <t>PRES CLEVIR ALEXIS</t>
  </si>
  <si>
    <t>REYES JOSEPH</t>
  </si>
  <si>
    <t>30 WHITNEY ROAD</t>
  </si>
  <si>
    <t>I90000002106</t>
  </si>
  <si>
    <t>I90000002113</t>
  </si>
  <si>
    <t>F80000011007</t>
  </si>
  <si>
    <t>MABE KEVIN D</t>
  </si>
  <si>
    <t>345 POTTS ROAD</t>
  </si>
  <si>
    <t>J60000005435</t>
  </si>
  <si>
    <t>F200000002</t>
  </si>
  <si>
    <t>WILLIAMS JAMIE L</t>
  </si>
  <si>
    <t>1552 SHEFFIELD RD</t>
  </si>
  <si>
    <t>F20000000202</t>
  </si>
  <si>
    <t>N5010C0009</t>
  </si>
  <si>
    <t>OSBORNE DEBORAH RENAE</t>
  </si>
  <si>
    <t>CARLSEN LISA DAWN</t>
  </si>
  <si>
    <t>PO BOX 824</t>
  </si>
  <si>
    <t>27014-0824</t>
  </si>
  <si>
    <t>G7040A0059</t>
  </si>
  <si>
    <t>MCFREDERICK KARL</t>
  </si>
  <si>
    <t>174 GRANADA DR</t>
  </si>
  <si>
    <t>N5020A0009</t>
  </si>
  <si>
    <t>SNIPES DIANNE EVERHARDT</t>
  </si>
  <si>
    <t>728 KLUMAC RD</t>
  </si>
  <si>
    <t>APT 108A</t>
  </si>
  <si>
    <t>28144-5720</t>
  </si>
  <si>
    <t>J80000001501</t>
  </si>
  <si>
    <t>OWINGS JAMES R JR</t>
  </si>
  <si>
    <t>3899 NC HIGHWAY 801 S</t>
  </si>
  <si>
    <t>I500000033</t>
  </si>
  <si>
    <t>FUN APPLE LLC</t>
  </si>
  <si>
    <t>ATTN: CHRISTOPHER WESTERBEEK</t>
  </si>
  <si>
    <t>1853 EISENHOWER DR S</t>
  </si>
  <si>
    <t>GOSHEN</t>
  </si>
  <si>
    <t>D700000156</t>
  </si>
  <si>
    <t>LAIRD MALCOLM ASBURY</t>
  </si>
  <si>
    <t>2704 KNOB HILL DR</t>
  </si>
  <si>
    <t>27012-9259</t>
  </si>
  <si>
    <t>C500000068</t>
  </si>
  <si>
    <t>MCNALLY ROBYN</t>
  </si>
  <si>
    <t>MCNALLY SHAWN</t>
  </si>
  <si>
    <t>2000 FARMINGTON RD</t>
  </si>
  <si>
    <t>F300000065</t>
  </si>
  <si>
    <t>COOK ERIC BERNARD</t>
  </si>
  <si>
    <t>COOK ANTHONY BARRYMORE</t>
  </si>
  <si>
    <t>173 BRACKEN ROAD</t>
  </si>
  <si>
    <t>23728-0000</t>
  </si>
  <si>
    <t>D8030A0006</t>
  </si>
  <si>
    <t>JCMNC LLC</t>
  </si>
  <si>
    <t>1000 21ST AVE N STE 3</t>
  </si>
  <si>
    <t>29577-7415</t>
  </si>
  <si>
    <t>I4110C0008</t>
  </si>
  <si>
    <t>INSPIRA PROPERTIES LLC</t>
  </si>
  <si>
    <t>I4110C0009</t>
  </si>
  <si>
    <t>B300000023</t>
  </si>
  <si>
    <t>REVELS JIMMY</t>
  </si>
  <si>
    <t>REVELS MARY SPEAKS</t>
  </si>
  <si>
    <t>455 LUZELLE DR</t>
  </si>
  <si>
    <t>27103-6465</t>
  </si>
  <si>
    <t>D7030A0002</t>
  </si>
  <si>
    <t>H20000001607</t>
  </si>
  <si>
    <t>DOANE CINDY</t>
  </si>
  <si>
    <t>252 FRED LANIER RD</t>
  </si>
  <si>
    <t>J700000029</t>
  </si>
  <si>
    <t>HERNANDEZ JUANGEL SR</t>
  </si>
  <si>
    <t>HERNANDEZ YUDELKA</t>
  </si>
  <si>
    <t>290 EVERHART RD</t>
  </si>
  <si>
    <t>G200000065</t>
  </si>
  <si>
    <t>CHAFFIN TIMOTHY DEAN</t>
  </si>
  <si>
    <t>555 FRED LANIER ROAD</t>
  </si>
  <si>
    <t>G30000000203</t>
  </si>
  <si>
    <t>I200000040</t>
  </si>
  <si>
    <t>DOOLEY GREGORY WESLEY</t>
  </si>
  <si>
    <t>692 GODBEY ROAD</t>
  </si>
  <si>
    <t>G400000006</t>
  </si>
  <si>
    <t>HENDON JOHN F</t>
  </si>
  <si>
    <t>308 CANA ROAD</t>
  </si>
  <si>
    <t>27028-4128</t>
  </si>
  <si>
    <t>G400000054</t>
  </si>
  <si>
    <t>G40000000601</t>
  </si>
  <si>
    <t>I4130D0018</t>
  </si>
  <si>
    <t>E600000009</t>
  </si>
  <si>
    <t>JOHNSON DONALD LEE JR</t>
  </si>
  <si>
    <t>B300000041  A</t>
  </si>
  <si>
    <t>RATLEDGE AUSHANTE NASHA</t>
  </si>
  <si>
    <t>4402 NC HIGHWAY 801 NORTH</t>
  </si>
  <si>
    <t>B30000004106</t>
  </si>
  <si>
    <t>C7140C0028</t>
  </si>
  <si>
    <t>SHIELDS JOE R</t>
  </si>
  <si>
    <t>PO BOX 772</t>
  </si>
  <si>
    <t>E9150A0030</t>
  </si>
  <si>
    <t>TILLMAN WILLENE J</t>
  </si>
  <si>
    <t>137 HIDDEN CREEK DR</t>
  </si>
  <si>
    <t>D500000088</t>
  </si>
  <si>
    <t>TOLLISON A LEROY JR</t>
  </si>
  <si>
    <t>6638 GENTRY CIR APT 201</t>
  </si>
  <si>
    <t>27012-9823</t>
  </si>
  <si>
    <t>D500000084</t>
  </si>
  <si>
    <t>N60000007703</t>
  </si>
  <si>
    <t>BRADFORD JONATHAN PAUL</t>
  </si>
  <si>
    <t>2229 NC HIGHWAY 801 SOUTH</t>
  </si>
  <si>
    <t>L40000004102</t>
  </si>
  <si>
    <t>LORY SHAYNE</t>
  </si>
  <si>
    <t>758 DANIEL ROAD</t>
  </si>
  <si>
    <t>G40000003105</t>
  </si>
  <si>
    <t>LIVENGOOD PAULA W</t>
  </si>
  <si>
    <t>LIVENGOOD ALLEN D</t>
  </si>
  <si>
    <t>605 MAIN CHURCH RD</t>
  </si>
  <si>
    <t>L4130A0016</t>
  </si>
  <si>
    <t>MANCIA SONIA ESPERANZA</t>
  </si>
  <si>
    <t>2112 CHENAULT RD</t>
  </si>
  <si>
    <t>27013-8201</t>
  </si>
  <si>
    <t>D500000011</t>
  </si>
  <si>
    <t>IVATAN LLC</t>
  </si>
  <si>
    <t>2474 WALNUT ST # 256</t>
  </si>
  <si>
    <t>27518-9212</t>
  </si>
  <si>
    <t>D500000010</t>
  </si>
  <si>
    <t>C50000002805</t>
  </si>
  <si>
    <t>B50000002801</t>
  </si>
  <si>
    <t>NORMAN CARLOS W</t>
  </si>
  <si>
    <t>NORMAN SABRINA C</t>
  </si>
  <si>
    <t>294 BEAR WOODS TRL</t>
  </si>
  <si>
    <t>M5160B0038</t>
  </si>
  <si>
    <t>OSBORNE JAMES KELLY</t>
  </si>
  <si>
    <t>OSBORNE MELINDA STUBBS</t>
  </si>
  <si>
    <t>608 7TH ST</t>
  </si>
  <si>
    <t>28159-1530</t>
  </si>
  <si>
    <t>G200000061</t>
  </si>
  <si>
    <t>PORTER FAYE L</t>
  </si>
  <si>
    <t>610 FRED LANIER ROAD</t>
  </si>
  <si>
    <t>M5090C0017</t>
  </si>
  <si>
    <t>REEVES CARL RICHARD</t>
  </si>
  <si>
    <t>PO BOX 547</t>
  </si>
  <si>
    <t>27014-0547</t>
  </si>
  <si>
    <t>M5090C0015</t>
  </si>
  <si>
    <t>M5090C0016</t>
  </si>
  <si>
    <t>D200000055</t>
  </si>
  <si>
    <t>POTTS ANGELA MICHELLE</t>
  </si>
  <si>
    <t>E30000007401</t>
  </si>
  <si>
    <t>PRESTON THOMAS DONALD III</t>
  </si>
  <si>
    <t>2220 ANGELL RD</t>
  </si>
  <si>
    <t>E300000074</t>
  </si>
  <si>
    <t>M5100C001301</t>
  </si>
  <si>
    <t>PRUITT ESTELLA P</t>
  </si>
  <si>
    <t>DICKERSON NICOLE P</t>
  </si>
  <si>
    <t>C8010B0349</t>
  </si>
  <si>
    <t>MARTIN JAMES KEITH</t>
  </si>
  <si>
    <t>MARTIN DEBRA JEAN-GRILLO</t>
  </si>
  <si>
    <t>171 KILBOURNE DR</t>
  </si>
  <si>
    <t>N60000007103</t>
  </si>
  <si>
    <t>ROLLINS SHAUN</t>
  </si>
  <si>
    <t>412 BOXWOOD CHURCH RD</t>
  </si>
  <si>
    <t>27028-6614</t>
  </si>
  <si>
    <t>J40000002501</t>
  </si>
  <si>
    <t>IBARRA ERIKA</t>
  </si>
  <si>
    <t>I4130C0005</t>
  </si>
  <si>
    <t>CARCIATI LUIGI</t>
  </si>
  <si>
    <t>577 WHITNEY RD</t>
  </si>
  <si>
    <t>L5100A0024</t>
  </si>
  <si>
    <t>H300000007</t>
  </si>
  <si>
    <t>JOHNSON RUTH E</t>
  </si>
  <si>
    <t>332 PARKER RD</t>
  </si>
  <si>
    <t>H300000005</t>
  </si>
  <si>
    <t>I50000003301</t>
  </si>
  <si>
    <t>I800000058</t>
  </si>
  <si>
    <t>PEEBLES DARREN J</t>
  </si>
  <si>
    <t>COOPER ANGELA P</t>
  </si>
  <si>
    <t>3055 NC HIGHWAY 801 SOUTH</t>
  </si>
  <si>
    <t>J5010C0006</t>
  </si>
  <si>
    <t>C50000007801</t>
  </si>
  <si>
    <t>AFH PROPERTIES LLC</t>
  </si>
  <si>
    <t>2212 NC HIGHWAY 801 N</t>
  </si>
  <si>
    <t>N4040A0027</t>
  </si>
  <si>
    <t>BULLOCK DEVELOPMENT PROPERTIES LLC</t>
  </si>
  <si>
    <t>1324 COLTRANE MILL RD</t>
  </si>
  <si>
    <t>27317-8020</t>
  </si>
  <si>
    <t>G40000003401</t>
  </si>
  <si>
    <t>SHORES LONNIE DEAN</t>
  </si>
  <si>
    <t>945 MAIN CHURCH ROAD</t>
  </si>
  <si>
    <t>L5150A001401</t>
  </si>
  <si>
    <t>GAMBLE CANDANCE</t>
  </si>
  <si>
    <t>N5080A000401</t>
  </si>
  <si>
    <t>H600000005</t>
  </si>
  <si>
    <t>SNIDER SUSAN R &amp; CHRISTOPER W</t>
  </si>
  <si>
    <t>388 WOODLEE DR</t>
  </si>
  <si>
    <t>B500000114</t>
  </si>
  <si>
    <t>RAGLAND HOLDINGS LLC</t>
  </si>
  <si>
    <t>239 E BROAD ST</t>
  </si>
  <si>
    <t>28677-5324</t>
  </si>
  <si>
    <t>I20000000619</t>
  </si>
  <si>
    <t>COOKSON GARRETT SCOTT</t>
  </si>
  <si>
    <t>236 COOKSON LN</t>
  </si>
  <si>
    <t>D30000003102</t>
  </si>
  <si>
    <t>HANNA JOSHUA</t>
  </si>
  <si>
    <t>HANNA HEATHER</t>
  </si>
  <si>
    <t>4075 US HIGHWAY 601 N</t>
  </si>
  <si>
    <t>D30000003104</t>
  </si>
  <si>
    <t>I5010A0023</t>
  </si>
  <si>
    <t>FOWLER LEOTHA D HEIRS OF</t>
  </si>
  <si>
    <t>401 N MAIN ST APT 5B</t>
  </si>
  <si>
    <t>27028-2153</t>
  </si>
  <si>
    <t>D9010C0008</t>
  </si>
  <si>
    <t>SLOANE MICHAEL T</t>
  </si>
  <si>
    <t>125 SAINT GEORGE PL</t>
  </si>
  <si>
    <t>C600000042</t>
  </si>
  <si>
    <t>SMITH ARTHUR G</t>
  </si>
  <si>
    <t>119 ARBOR LANE</t>
  </si>
  <si>
    <t>L5070A000301</t>
  </si>
  <si>
    <t>REDMOND SHARON DENISE</t>
  </si>
  <si>
    <t>M5090B0027</t>
  </si>
  <si>
    <t>M5090C0012</t>
  </si>
  <si>
    <t>M40000004601</t>
  </si>
  <si>
    <t>LINK CALEB</t>
  </si>
  <si>
    <t>130 GLOUCESTER LN</t>
  </si>
  <si>
    <t>C70000008902</t>
  </si>
  <si>
    <t>SNIDER ROBERT WAYNE</t>
  </si>
  <si>
    <t>SNIDER JUDITH E</t>
  </si>
  <si>
    <t>J60000002015</t>
  </si>
  <si>
    <t>SOUKUP BRUCE J</t>
  </si>
  <si>
    <t>SOUKUP CHRISTINA</t>
  </si>
  <si>
    <t>171 VIRCASSDELL LANE</t>
  </si>
  <si>
    <t>J60000001601</t>
  </si>
  <si>
    <t>D400000007</t>
  </si>
  <si>
    <t>SOWERS DONALD WAYNE</t>
  </si>
  <si>
    <t>142 HORTON LN</t>
  </si>
  <si>
    <t>27028-4808</t>
  </si>
  <si>
    <t>D800000008</t>
  </si>
  <si>
    <t>SPARKS SCOTT MILLICENT</t>
  </si>
  <si>
    <t>204 BURLAGE CIR</t>
  </si>
  <si>
    <t>27514-2700</t>
  </si>
  <si>
    <t>F80000010901</t>
  </si>
  <si>
    <t>MABE KEVIN</t>
  </si>
  <si>
    <t>MABE SHERRY</t>
  </si>
  <si>
    <t>345 POTTS RD</t>
  </si>
  <si>
    <t>G700000013</t>
  </si>
  <si>
    <t>ROBERTSON TIMOTHY MARK</t>
  </si>
  <si>
    <t>882 HOWARDTOWN RD</t>
  </si>
  <si>
    <t>H7030A0027</t>
  </si>
  <si>
    <t>PIFER CAROLYN</t>
  </si>
  <si>
    <t>175 AUSTINE LANE</t>
  </si>
  <si>
    <t>M5100C0003</t>
  </si>
  <si>
    <t>CHATTIN RONALD K</t>
  </si>
  <si>
    <t>CHATTIN TERESA C</t>
  </si>
  <si>
    <t>112 JERUSALEM AVE</t>
  </si>
  <si>
    <t>27028-6772</t>
  </si>
  <si>
    <t>H50000002913</t>
  </si>
  <si>
    <t>STANLEY JOSHUA GEOFFREY</t>
  </si>
  <si>
    <t>STANLEY ASHLEY LEE</t>
  </si>
  <si>
    <t>153 SAIN RD</t>
  </si>
  <si>
    <t>D700000101</t>
  </si>
  <si>
    <t>DOBY LOUIE</t>
  </si>
  <si>
    <t>DOBY KAREN B</t>
  </si>
  <si>
    <t>116 HARPER RD</t>
  </si>
  <si>
    <t>L50000001401</t>
  </si>
  <si>
    <t>RAMEY ROBERT</t>
  </si>
  <si>
    <t>254 LOIS LN</t>
  </si>
  <si>
    <t>J60000007405</t>
  </si>
  <si>
    <t>RAMIREZ CAYLA BROOKE CARTER SA</t>
  </si>
  <si>
    <t>108 FOXCROFT DR</t>
  </si>
  <si>
    <t>27103-5312</t>
  </si>
  <si>
    <t>D70000002406</t>
  </si>
  <si>
    <t>RIDDLE LONNIE BENJAMIN</t>
  </si>
  <si>
    <t>318 LORI LN</t>
  </si>
  <si>
    <t>27127-9002</t>
  </si>
  <si>
    <t>I30000003504</t>
  </si>
  <si>
    <t>RIVERA SAMANTHA YDAI</t>
  </si>
  <si>
    <t>155 BOONE FARM RD</t>
  </si>
  <si>
    <t>N60000006301</t>
  </si>
  <si>
    <t>ROBINSON CHESTER</t>
  </si>
  <si>
    <t>413 CANDLEWICK DRIVE</t>
  </si>
  <si>
    <t>28147-7880</t>
  </si>
  <si>
    <t>H30000005803</t>
  </si>
  <si>
    <t>ROBINSON DONALD R</t>
  </si>
  <si>
    <t>2100 US HIGHWAY 64 W</t>
  </si>
  <si>
    <t>I90000002103</t>
  </si>
  <si>
    <t>RODRIGUEZ ABIGAIL</t>
  </si>
  <si>
    <t>ESPINOZA EZEQUIEL RODRIGUEZ</t>
  </si>
  <si>
    <t>418 ZIMMERMAN RD</t>
  </si>
  <si>
    <t>G30000007206</t>
  </si>
  <si>
    <t>RODRIGUEZ VERONICA GARCIA</t>
  </si>
  <si>
    <t>104 SUNSET DR</t>
  </si>
  <si>
    <t>D70000010102</t>
  </si>
  <si>
    <t>G7010A0003</t>
  </si>
  <si>
    <t>JOHNSON CELESTE L</t>
  </si>
  <si>
    <t>138 BALTIMORE DOWNS RD</t>
  </si>
  <si>
    <t>N5080A0039</t>
  </si>
  <si>
    <t>3802A CLEMMONS RD</t>
  </si>
  <si>
    <t>G7040A0062</t>
  </si>
  <si>
    <t>LEWIS LORI ANN</t>
  </si>
  <si>
    <t>161 SONORA DRIVE</t>
  </si>
  <si>
    <t>G40000003417</t>
  </si>
  <si>
    <t>SHORES JAMES DEAN</t>
  </si>
  <si>
    <t>956 MAIN CHURCH ROAD</t>
  </si>
  <si>
    <t>D30000004509</t>
  </si>
  <si>
    <t>SMITH KELLY LEE</t>
  </si>
  <si>
    <t>C700000013</t>
  </si>
  <si>
    <t>SMITH LARRY LEE</t>
  </si>
  <si>
    <t>1801 YADKIN VALLEY ROAD</t>
  </si>
  <si>
    <t>C700000149</t>
  </si>
  <si>
    <t>SPAINHOUR RONALD B</t>
  </si>
  <si>
    <t>SPAINHOUR KATHY C</t>
  </si>
  <si>
    <t>141 WILLS ROAD</t>
  </si>
  <si>
    <t>H400000046</t>
  </si>
  <si>
    <t>SCOTT PURA YESENIA</t>
  </si>
  <si>
    <t>I5030A0006</t>
  </si>
  <si>
    <t>CLINE SHANA S</t>
  </si>
  <si>
    <t>136 CANTON RD</t>
  </si>
  <si>
    <t>L5070A0021</t>
  </si>
  <si>
    <t>TDMM INC</t>
  </si>
  <si>
    <t>3625 ABBOTTS CREEK CHURCH RD</t>
  </si>
  <si>
    <t>J20000003802</t>
  </si>
  <si>
    <t>B300000088</t>
  </si>
  <si>
    <t>SMITH HILDA CAIN</t>
  </si>
  <si>
    <t>358 KENDALL DR</t>
  </si>
  <si>
    <t>27107-6883</t>
  </si>
  <si>
    <t>I5080B0028</t>
  </si>
  <si>
    <t>HARDISON MALCOLM R JR</t>
  </si>
  <si>
    <t>HARDISON JULIE</t>
  </si>
  <si>
    <t>4031 HARDISON LN</t>
  </si>
  <si>
    <t>27055-6409</t>
  </si>
  <si>
    <t>H80000000602</t>
  </si>
  <si>
    <t>HARP DAVID L JR</t>
  </si>
  <si>
    <t>138 DAISY RIDGE LN</t>
  </si>
  <si>
    <t>27006-7325</t>
  </si>
  <si>
    <t>H80000000606</t>
  </si>
  <si>
    <t>HARP DAVID</t>
  </si>
  <si>
    <t>HARP KAREN M</t>
  </si>
  <si>
    <t>138 DAISY RIDGE LANE</t>
  </si>
  <si>
    <t>L30000002614</t>
  </si>
  <si>
    <t>148 BOWLING LANE</t>
  </si>
  <si>
    <t>K3120A0010</t>
  </si>
  <si>
    <t>HARRIS PHILLIP A</t>
  </si>
  <si>
    <t>111 WILLOW LN</t>
  </si>
  <si>
    <t>I5060C0027</t>
  </si>
  <si>
    <t>HARRISON CALVIN E JR</t>
  </si>
  <si>
    <t>HARRISON KAREN L</t>
  </si>
  <si>
    <t>90 WHITNEY ROAD</t>
  </si>
  <si>
    <t>B30000008802</t>
  </si>
  <si>
    <t>B30000008803</t>
  </si>
  <si>
    <t>G50000002303</t>
  </si>
  <si>
    <t>SMOOT WILLIAM E</t>
  </si>
  <si>
    <t>183 MAIN CHURCH RD</t>
  </si>
  <si>
    <t>27028-5844</t>
  </si>
  <si>
    <t>G8010A0006</t>
  </si>
  <si>
    <t>SPAUGH TAMMY ANNETTE</t>
  </si>
  <si>
    <t>1020 NANCY LN</t>
  </si>
  <si>
    <t>27107-5404</t>
  </si>
  <si>
    <t>J70000005103</t>
  </si>
  <si>
    <t>HATLEY SUMMER KING</t>
  </si>
  <si>
    <t>HATLEY JERRY TODD</t>
  </si>
  <si>
    <t>208 MERRELLS LAKE RD</t>
  </si>
  <si>
    <t>J600000068</t>
  </si>
  <si>
    <t>HAUSER BARRY DEAN</t>
  </si>
  <si>
    <t>OWENS KRISTY DIANE</t>
  </si>
  <si>
    <t>2410 US HIGHWAY 64 E</t>
  </si>
  <si>
    <t>B30000000610</t>
  </si>
  <si>
    <t>HAUSER CHARLES RANDALL</t>
  </si>
  <si>
    <t>HAUSER MARCIA</t>
  </si>
  <si>
    <t>1540 LEWISBURG POINTE DR</t>
  </si>
  <si>
    <t>27012-8391</t>
  </si>
  <si>
    <t>J70000008401</t>
  </si>
  <si>
    <t>HAWKS BRENDA WYATT</t>
  </si>
  <si>
    <t>HAWKS GARY WAYNE</t>
  </si>
  <si>
    <t>3038 US HIGHWAY 64 E</t>
  </si>
  <si>
    <t>E500000022</t>
  </si>
  <si>
    <t>HAYES ANGELA RENEE</t>
  </si>
  <si>
    <t>829 FARMINGTON RD</t>
  </si>
  <si>
    <t>L600000063</t>
  </si>
  <si>
    <t>164 MEADOWS EDGE DR</t>
  </si>
  <si>
    <t>27006-5404</t>
  </si>
  <si>
    <t>L70000000202</t>
  </si>
  <si>
    <t>E200000032</t>
  </si>
  <si>
    <t>HANOLD CHRISTOPHER H</t>
  </si>
  <si>
    <t>HANOLD ANNETTE</t>
  </si>
  <si>
    <t>611 LIBERTY CHURCH ROAD</t>
  </si>
  <si>
    <t>H5200A0999</t>
  </si>
  <si>
    <t>THE OAKS MCALLISTER PK HOA INC</t>
  </si>
  <si>
    <t>M50000005201</t>
  </si>
  <si>
    <t>MELOY BARBARA F</t>
  </si>
  <si>
    <t>2918 US HIGHWAY 601 S</t>
  </si>
  <si>
    <t>N60000006801</t>
  </si>
  <si>
    <t>R &amp; M WOODLAND COMPANY LLC</t>
  </si>
  <si>
    <t>G40000003101</t>
  </si>
  <si>
    <t>SALAZAR MARCOS</t>
  </si>
  <si>
    <t>653 MAIN CHURCH RD</t>
  </si>
  <si>
    <t>M4130A0019</t>
  </si>
  <si>
    <t>HERNANDEZ JUAN H DOMINGUEZ</t>
  </si>
  <si>
    <t>CHICO ALEJANDRA CARRILLO</t>
  </si>
  <si>
    <t>746 WOODCOTE DR</t>
  </si>
  <si>
    <t>27107-4126</t>
  </si>
  <si>
    <t>D20000002704</t>
  </si>
  <si>
    <t>HILL AUSTIN</t>
  </si>
  <si>
    <t>HILL CASEY</t>
  </si>
  <si>
    <t>E20000000309</t>
  </si>
  <si>
    <t>SALMONS THOMAS RICH</t>
  </si>
  <si>
    <t>123 TWINPINES CIR</t>
  </si>
  <si>
    <t>J800000031</t>
  </si>
  <si>
    <t>SANDERS MELISSA SMITH</t>
  </si>
  <si>
    <t>3365 US HIGHWAY 64 EAST</t>
  </si>
  <si>
    <t>E20000002202</t>
  </si>
  <si>
    <t>SAUNDERS BRUCE W</t>
  </si>
  <si>
    <t>SAUNDERS SUSAN L</t>
  </si>
  <si>
    <t>1001 DUKE WHITTAKER ROAD</t>
  </si>
  <si>
    <t>K70000000101</t>
  </si>
  <si>
    <t>10999 PIPING ROCK CIR</t>
  </si>
  <si>
    <t>32817-2946</t>
  </si>
  <si>
    <t>N5010C0012</t>
  </si>
  <si>
    <t>ALVAREZ VICTOR MANUEL BONILLA</t>
  </si>
  <si>
    <t>153 GLADSTONE RD</t>
  </si>
  <si>
    <t>K30000000802</t>
  </si>
  <si>
    <t>BOWLES ALAN MARTIN</t>
  </si>
  <si>
    <t>446 MR HENRY ROAD</t>
  </si>
  <si>
    <t>C300000029</t>
  </si>
  <si>
    <t>BRELIA MATTHEW</t>
  </si>
  <si>
    <t>BRELIA SHELLEY</t>
  </si>
  <si>
    <t>C300000030</t>
  </si>
  <si>
    <t>C300000028</t>
  </si>
  <si>
    <t>G3140A0002</t>
  </si>
  <si>
    <t>BYERS ARVILLE DARRAIN</t>
  </si>
  <si>
    <t>424 ALLEN ROAD</t>
  </si>
  <si>
    <t>C800000166</t>
  </si>
  <si>
    <t>CARTER KENNETH R</t>
  </si>
  <si>
    <t>CARTER JEAN E</t>
  </si>
  <si>
    <t>167 PARKVIEW LANE</t>
  </si>
  <si>
    <t>E20000002301</t>
  </si>
  <si>
    <t>I5020B0013</t>
  </si>
  <si>
    <t>SCOTT KAREEM JAMAL</t>
  </si>
  <si>
    <t>100 SUNSET DR</t>
  </si>
  <si>
    <t>C300000067</t>
  </si>
  <si>
    <t>CAVE CLINTON EUGENE</t>
  </si>
  <si>
    <t>CAVE DENISE MOSS</t>
  </si>
  <si>
    <t>143 R SHORE DR</t>
  </si>
  <si>
    <t>C300000057</t>
  </si>
  <si>
    <t>C300000055</t>
  </si>
  <si>
    <t>C300000054</t>
  </si>
  <si>
    <t>C300000058</t>
  </si>
  <si>
    <t>D9050A0027</t>
  </si>
  <si>
    <t>CHEE ALAN</t>
  </si>
  <si>
    <t>CHEE RUTH KWOK FAI</t>
  </si>
  <si>
    <t>3215 BERMUDA VLG</t>
  </si>
  <si>
    <t>G8130A000501</t>
  </si>
  <si>
    <t>CORNATZER MARTY JASON</t>
  </si>
  <si>
    <t>2222 NC HIGHWAY 801 SOUTH</t>
  </si>
  <si>
    <t>H60000000213</t>
  </si>
  <si>
    <t>K20000000702</t>
  </si>
  <si>
    <t>POLLAK PATRICIA A</t>
  </si>
  <si>
    <t>POLLAK GAGE T</t>
  </si>
  <si>
    <t>219 MORRISON ROAD</t>
  </si>
  <si>
    <t>J4060C000104</t>
  </si>
  <si>
    <t>WOOTEN AMY L</t>
  </si>
  <si>
    <t>928 HARDISON ST</t>
  </si>
  <si>
    <t>K5070B0004</t>
  </si>
  <si>
    <t>CORRIHER C THOMAS</t>
  </si>
  <si>
    <t>142 REDWOOD DRIVE</t>
  </si>
  <si>
    <t>K5070B0006</t>
  </si>
  <si>
    <t>K5070B0007</t>
  </si>
  <si>
    <t>K5070B0008</t>
  </si>
  <si>
    <t>I5060B0014</t>
  </si>
  <si>
    <t>EVANS JAMES THOMAS JR</t>
  </si>
  <si>
    <t>EVANS MARTHA MARLOWE</t>
  </si>
  <si>
    <t>801 MILLING ROAD</t>
  </si>
  <si>
    <t>27028-2862</t>
  </si>
  <si>
    <t>M5030A000801</t>
  </si>
  <si>
    <t>FARRELL TERRY LANE</t>
  </si>
  <si>
    <t>FARRELL CONNIE JEAN</t>
  </si>
  <si>
    <t>7132 NC HIGHWAY 801 SOUTH</t>
  </si>
  <si>
    <t>M5160D0019</t>
  </si>
  <si>
    <t>FERRELL CANDACE BROOKE</t>
  </si>
  <si>
    <t>N600000073</t>
  </si>
  <si>
    <t>FLANAGAN DANA MICHELLE</t>
  </si>
  <si>
    <t>I5010A0005</t>
  </si>
  <si>
    <t>GAITHER THOMASINE ALICIA</t>
  </si>
  <si>
    <t>148 HILLCREST ST</t>
  </si>
  <si>
    <t>H5150A0015</t>
  </si>
  <si>
    <t>GOUGH TRACEY G</t>
  </si>
  <si>
    <t>136 ROSEWOOD LANE</t>
  </si>
  <si>
    <t>27028-2741</t>
  </si>
  <si>
    <t>L80000001901</t>
  </si>
  <si>
    <t>SEAFORD MICHAEL LLOYD</t>
  </si>
  <si>
    <t>111 TOPCAT LN</t>
  </si>
  <si>
    <t>D9010A0024</t>
  </si>
  <si>
    <t>TIBBS CONNIE</t>
  </si>
  <si>
    <t>690 E ROHDE DR</t>
  </si>
  <si>
    <t>PORT CLINTON</t>
  </si>
  <si>
    <t>43452-9619</t>
  </si>
  <si>
    <t>H4190A000301</t>
  </si>
  <si>
    <t>LECONTE EQUITIES GROUP LLC</t>
  </si>
  <si>
    <t>PO BOX 1390</t>
  </si>
  <si>
    <t>KNOXVILLE</t>
  </si>
  <si>
    <t>37901-1390</t>
  </si>
  <si>
    <t>H4190A0006</t>
  </si>
  <si>
    <t>H4190A0005</t>
  </si>
  <si>
    <t>H4190A0009</t>
  </si>
  <si>
    <t>H4190A0003</t>
  </si>
  <si>
    <t>H400000149</t>
  </si>
  <si>
    <t>L80000001906</t>
  </si>
  <si>
    <t>J4120A0002</t>
  </si>
  <si>
    <t>BETHAMY HOLDINGS LLC</t>
  </si>
  <si>
    <t>506 S SALISBURY AVE</t>
  </si>
  <si>
    <t>28159-2102</t>
  </si>
  <si>
    <t>D8080D0005</t>
  </si>
  <si>
    <t>YOUNGER KEITH</t>
  </si>
  <si>
    <t>423 IVY CIRCLE</t>
  </si>
  <si>
    <t>I5080B002701</t>
  </si>
  <si>
    <t>C30000011016</t>
  </si>
  <si>
    <t>SIDDEN AMBER BROOK</t>
  </si>
  <si>
    <t>144 COTTON LN</t>
  </si>
  <si>
    <t>K3050B0012</t>
  </si>
  <si>
    <t>STARNES KELLY</t>
  </si>
  <si>
    <t>STARNES ELIZABETH J</t>
  </si>
  <si>
    <t>191 CAROLINA AVENUE</t>
  </si>
  <si>
    <t>C10000000403</t>
  </si>
  <si>
    <t>STEELMAN BRIAN KEITH</t>
  </si>
  <si>
    <t>STEELMAN CYNTHIA LYNN</t>
  </si>
  <si>
    <t>702 OLLIE HARKEY ROAD</t>
  </si>
  <si>
    <t>F30000010102</t>
  </si>
  <si>
    <t>CRANFILL DONALD G</t>
  </si>
  <si>
    <t>CRANFILL HELEN P</t>
  </si>
  <si>
    <t>2514 US HWY 601 N</t>
  </si>
  <si>
    <t>G8140A0086</t>
  </si>
  <si>
    <t>HARRISON CASEY DANIEL</t>
  </si>
  <si>
    <t>218 OLD HOMEPLACE DR</t>
  </si>
  <si>
    <t>J700000063</t>
  </si>
  <si>
    <t>E700000180</t>
  </si>
  <si>
    <t>HAYES JEFFREY</t>
  </si>
  <si>
    <t>1165 WILLIAMS RD</t>
  </si>
  <si>
    <t>M5160A0012</t>
  </si>
  <si>
    <t>HELMSMAN HOMES LLC</t>
  </si>
  <si>
    <t>PO BOX 3965</t>
  </si>
  <si>
    <t>28117-3965</t>
  </si>
  <si>
    <t>J4040C0005</t>
  </si>
  <si>
    <t>HOFFNER SAUNDRA M</t>
  </si>
  <si>
    <t>SLOOP BRANDI L</t>
  </si>
  <si>
    <t>2714 BEAR POPLAR RD</t>
  </si>
  <si>
    <t>28125-8694</t>
  </si>
  <si>
    <t>H7120B0034</t>
  </si>
  <si>
    <t>GREG PARRISH BUILDERS INC OF NC</t>
  </si>
  <si>
    <t>H7120B0021</t>
  </si>
  <si>
    <t>H7120B0029</t>
  </si>
  <si>
    <t>I5090C0019</t>
  </si>
  <si>
    <t>MORRIS JANICE</t>
  </si>
  <si>
    <t>232 SPRING ST</t>
  </si>
  <si>
    <t>27028-2236</t>
  </si>
  <si>
    <t>H30000007201</t>
  </si>
  <si>
    <t>H2050B0017</t>
  </si>
  <si>
    <t>HEINER JANE R</t>
  </si>
  <si>
    <t>145 SHEFFIELD ROAD</t>
  </si>
  <si>
    <t>H100000006</t>
  </si>
  <si>
    <t>FRYE TERRY L SR</t>
  </si>
  <si>
    <t>FRYE PHYLLIS ANN</t>
  </si>
  <si>
    <t>883 COUNTY LINE RD</t>
  </si>
  <si>
    <t>J200000060</t>
  </si>
  <si>
    <t>KOONTZ SAMUEL A &amp; KOONTZ BARBARA C</t>
  </si>
  <si>
    <t>REN JOHN D &amp; REN KARIN C</t>
  </si>
  <si>
    <t>H700000009</t>
  </si>
  <si>
    <t>FRANK SAMANTHA</t>
  </si>
  <si>
    <t>885 CORNATZER RD</t>
  </si>
  <si>
    <t>G60000009904</t>
  </si>
  <si>
    <t>HEPLER MITCHELL</t>
  </si>
  <si>
    <t>I5090B000601</t>
  </si>
  <si>
    <t>TOWN OF MOCKSVILLE</t>
  </si>
  <si>
    <t>171 S CLEMENT ST</t>
  </si>
  <si>
    <t>27028-2335</t>
  </si>
  <si>
    <t>I4130H0018</t>
  </si>
  <si>
    <t>I4130H0016</t>
  </si>
  <si>
    <t>I4130H0019</t>
  </si>
  <si>
    <t>I4130H0020</t>
  </si>
  <si>
    <t>J4040B0008</t>
  </si>
  <si>
    <t>I4130H0014</t>
  </si>
  <si>
    <t>I5080A0015</t>
  </si>
  <si>
    <t>I4130H0013</t>
  </si>
  <si>
    <t>I4130H0015</t>
  </si>
  <si>
    <t>K50000000307</t>
  </si>
  <si>
    <t>C7140C0009</t>
  </si>
  <si>
    <t>TREDWELL KENNETH S</t>
  </si>
  <si>
    <t>TREDWELL BLAIR P</t>
  </si>
  <si>
    <t>112 THE HOLLOW</t>
  </si>
  <si>
    <t>27516-4606</t>
  </si>
  <si>
    <t>H70000002401</t>
  </si>
  <si>
    <t>H90000002503</t>
  </si>
  <si>
    <t>TUCKER JAMES MARSHALL</t>
  </si>
  <si>
    <t>144 SHAMROCK LN</t>
  </si>
  <si>
    <t>M4130A0020</t>
  </si>
  <si>
    <t>N5110A001502</t>
  </si>
  <si>
    <t>MORENO ASUSENA</t>
  </si>
  <si>
    <t>125 FORD TRL</t>
  </si>
  <si>
    <t>N4040A002708</t>
  </si>
  <si>
    <t>I4110A0001</t>
  </si>
  <si>
    <t>H80000001904</t>
  </si>
  <si>
    <t>J50000005801</t>
  </si>
  <si>
    <t>I5160D0017</t>
  </si>
  <si>
    <t>J50000003504</t>
  </si>
  <si>
    <t>I5160D0018</t>
  </si>
  <si>
    <t>J50000003505</t>
  </si>
  <si>
    <t>I50000003402</t>
  </si>
  <si>
    <t>F50000004106</t>
  </si>
  <si>
    <t>E50000002407</t>
  </si>
  <si>
    <t>F50000004107</t>
  </si>
  <si>
    <t>E50000002403</t>
  </si>
  <si>
    <t>D50000009401</t>
  </si>
  <si>
    <t>C80000017804</t>
  </si>
  <si>
    <t>G50000001801</t>
  </si>
  <si>
    <t>G70000002001</t>
  </si>
  <si>
    <t>G80000000107</t>
  </si>
  <si>
    <t>E300000032</t>
  </si>
  <si>
    <t>G50000000201</t>
  </si>
  <si>
    <t>E80000001402</t>
  </si>
  <si>
    <t>I4110B0014</t>
  </si>
  <si>
    <t>I4110C0026</t>
  </si>
  <si>
    <t>H90000003401</t>
  </si>
  <si>
    <t>PEEBLES DARRELL KEITH</t>
  </si>
  <si>
    <t>PEEBLES TRACY DELOATCH</t>
  </si>
  <si>
    <t>H60000004002</t>
  </si>
  <si>
    <t>MCDANIEL CORY R</t>
  </si>
  <si>
    <t>118 CORA JOLLY LANE</t>
  </si>
  <si>
    <t>D300000004</t>
  </si>
  <si>
    <t>CARTER MICAH</t>
  </si>
  <si>
    <t>CARTER ANDREA NICOLE SPEER</t>
  </si>
  <si>
    <t>1824 IRON HORSE DR</t>
  </si>
  <si>
    <t>27284-7180</t>
  </si>
  <si>
    <t>I70000005802</t>
  </si>
  <si>
    <t>CARTER PAUL E</t>
  </si>
  <si>
    <t>CARTER VICKIE W</t>
  </si>
  <si>
    <t>193 INDIAN HILLS ROAD</t>
  </si>
  <si>
    <t>C7140A0040</t>
  </si>
  <si>
    <t>COATES LEONARD</t>
  </si>
  <si>
    <t>COATES PATTI</t>
  </si>
  <si>
    <t>113 LAKESIDE XING</t>
  </si>
  <si>
    <t>G200000072</t>
  </si>
  <si>
    <t>ROGERS ROBERT SHANE</t>
  </si>
  <si>
    <t>615 FRED LANIER RD</t>
  </si>
  <si>
    <t>H30000003208</t>
  </si>
  <si>
    <t>SCOTT VANESSA M</t>
  </si>
  <si>
    <t>168 POWELL RD</t>
  </si>
  <si>
    <t>D500000074</t>
  </si>
  <si>
    <t>SHIELDS JESSICA DAVIS</t>
  </si>
  <si>
    <t>1597 FARMINGTON RD</t>
  </si>
  <si>
    <t>L5150A0009</t>
  </si>
  <si>
    <t>SILVAROLI LEE</t>
  </si>
  <si>
    <t>2354 US HIGHWAY 601 S</t>
  </si>
  <si>
    <t>I90000002108</t>
  </si>
  <si>
    <t>SMITH BROOKE M</t>
  </si>
  <si>
    <t>375 ZIMMERMAN ROAD</t>
  </si>
  <si>
    <t>G600000092</t>
  </si>
  <si>
    <t>BLODGETT TAMMIE GREGORY</t>
  </si>
  <si>
    <t>696 DULIN RD</t>
  </si>
  <si>
    <t>27028-7205</t>
  </si>
  <si>
    <t>K5150A0013</t>
  </si>
  <si>
    <t>SHEETS JUDY</t>
  </si>
  <si>
    <t>2229 US HWY 601 S</t>
  </si>
  <si>
    <t>K5150A0012</t>
  </si>
  <si>
    <t>L5100B0007</t>
  </si>
  <si>
    <t>L5100B0004</t>
  </si>
  <si>
    <t>J700000073</t>
  </si>
  <si>
    <t>WARD JUSTIN COLTON</t>
  </si>
  <si>
    <t>WARD KATIE</t>
  </si>
  <si>
    <t>190 HOMESTEAD LN</t>
  </si>
  <si>
    <t>J70000007302</t>
  </si>
  <si>
    <t>N5080B0002</t>
  </si>
  <si>
    <t>SPILLMAN TRACY LYNN</t>
  </si>
  <si>
    <t>PO BOX 494</t>
  </si>
  <si>
    <t>27014-0494</t>
  </si>
  <si>
    <t>K3050B0011</t>
  </si>
  <si>
    <t>D9090C0010</t>
  </si>
  <si>
    <t>SULLIVAN BRIAN PATRICK</t>
  </si>
  <si>
    <t>119 LINDEN PL</t>
  </si>
  <si>
    <t>D500000014</t>
  </si>
  <si>
    <t>KULP JAMES E</t>
  </si>
  <si>
    <t>698 CEDAR CREEK ROAD</t>
  </si>
  <si>
    <t>D50000001402</t>
  </si>
  <si>
    <t>O600000028</t>
  </si>
  <si>
    <t>JOHNSON THEDOSIA</t>
  </si>
  <si>
    <t>28147-9730</t>
  </si>
  <si>
    <t>D50000002308</t>
  </si>
  <si>
    <t>TAYLOR ANTIONETTE</t>
  </si>
  <si>
    <t>7730 PLANTATION BAY DR</t>
  </si>
  <si>
    <t>#201</t>
  </si>
  <si>
    <t>32244-5197</t>
  </si>
  <si>
    <t>I700000091</t>
  </si>
  <si>
    <t>TAYLOR TERRY RAY</t>
  </si>
  <si>
    <t>1312 ROCKFISH DR</t>
  </si>
  <si>
    <t>MANNING</t>
  </si>
  <si>
    <t>29102-5735</t>
  </si>
  <si>
    <t>M5160A001201</t>
  </si>
  <si>
    <t>M5030A000107</t>
  </si>
  <si>
    <t>SEAMON CLETUS DANIEL JR</t>
  </si>
  <si>
    <t>SEAMON SUSAN</t>
  </si>
  <si>
    <t>135 HARNESS LN</t>
  </si>
  <si>
    <t>M5030A000104</t>
  </si>
  <si>
    <t>I5160B001201</t>
  </si>
  <si>
    <t>B700000080</t>
  </si>
  <si>
    <t>GRIFFIN MAZIE W</t>
  </si>
  <si>
    <t>WHISENANT SHARRON GRIFFIN</t>
  </si>
  <si>
    <t>215 HORSE VALLEY LN</t>
  </si>
  <si>
    <t>B50000009801</t>
  </si>
  <si>
    <t>TUCKER BETTY J</t>
  </si>
  <si>
    <t>163 JESSICA TRL</t>
  </si>
  <si>
    <t>27028-7714</t>
  </si>
  <si>
    <t>B200000046</t>
  </si>
  <si>
    <t>APPERSON TROY L</t>
  </si>
  <si>
    <t>571 CHINQUAPIN ROAD</t>
  </si>
  <si>
    <t>B300000093</t>
  </si>
  <si>
    <t>C30000000304</t>
  </si>
  <si>
    <t>B200000043</t>
  </si>
  <si>
    <t>H40000009601</t>
  </si>
  <si>
    <t>V P WHEELERSBURG LLC</t>
  </si>
  <si>
    <t>28697-0843</t>
  </si>
  <si>
    <t>C500000042</t>
  </si>
  <si>
    <t>SPILLMAN TERRY S</t>
  </si>
  <si>
    <t>SPILLMAN DEBORAH C</t>
  </si>
  <si>
    <t>1959 FARMINGTON ROAD</t>
  </si>
  <si>
    <t>M5100C0011</t>
  </si>
  <si>
    <t>HAMBY RICKEY LEE</t>
  </si>
  <si>
    <t>122 SWICEGOOD ST</t>
  </si>
  <si>
    <t>I4130H002401</t>
  </si>
  <si>
    <t>IGLESIA EMMANUEL CRISTO SALVA</t>
  </si>
  <si>
    <t>127 N SALISBURY ST</t>
  </si>
  <si>
    <t>C6120A0006</t>
  </si>
  <si>
    <t>SULLIVAN RICHARD M</t>
  </si>
  <si>
    <t>151 JUSTIN COURT</t>
  </si>
  <si>
    <t>C6120A0008</t>
  </si>
  <si>
    <t>C6120A0007</t>
  </si>
  <si>
    <t>B500000070</t>
  </si>
  <si>
    <t>SWEAT JACK KELLY</t>
  </si>
  <si>
    <t>SWEAT SHARON LYNN</t>
  </si>
  <si>
    <t>193 PINEVILLE ROAD</t>
  </si>
  <si>
    <t>F40000005204</t>
  </si>
  <si>
    <t>TOMAINO NICOLE BETH</t>
  </si>
  <si>
    <t>158 KODIAK TRL</t>
  </si>
  <si>
    <t>D700000201</t>
  </si>
  <si>
    <t>D70000021101</t>
  </si>
  <si>
    <t>D70000021102</t>
  </si>
  <si>
    <t>J5050B0047</t>
  </si>
  <si>
    <t>I5000A0001</t>
  </si>
  <si>
    <t>I5000A0070</t>
  </si>
  <si>
    <t>I5000A0067</t>
  </si>
  <si>
    <t>I5000A0046</t>
  </si>
  <si>
    <t>I5000A0045</t>
  </si>
  <si>
    <t>I5000A0044</t>
  </si>
  <si>
    <t>I5000A0003</t>
  </si>
  <si>
    <t>I5000A0043</t>
  </si>
  <si>
    <t>I5000A0042</t>
  </si>
  <si>
    <t>I5000A0051</t>
  </si>
  <si>
    <t>I5000A0002</t>
  </si>
  <si>
    <t>I5000A0006</t>
  </si>
  <si>
    <t>I5000A0005</t>
  </si>
  <si>
    <t>I5000A0054</t>
  </si>
  <si>
    <t>I5000A0048</t>
  </si>
  <si>
    <t>I4130H0024</t>
  </si>
  <si>
    <t>I4130H002501</t>
  </si>
  <si>
    <t>I5160B0012</t>
  </si>
  <si>
    <t>RIVERS MARSHALL LEE</t>
  </si>
  <si>
    <t>203 PINE STREET</t>
  </si>
  <si>
    <t>E20000000812</t>
  </si>
  <si>
    <t>HAIRE ELIZABETH FAYE</t>
  </si>
  <si>
    <t>181 CHIGGER LN</t>
  </si>
  <si>
    <t>N60000007106</t>
  </si>
  <si>
    <t>KOPETZKY THOMAS HANS</t>
  </si>
  <si>
    <t>KOPETZKY CHERYL</t>
  </si>
  <si>
    <t>386 BOXWOOD CHURCH ROAD</t>
  </si>
  <si>
    <t>N60000007102</t>
  </si>
  <si>
    <t>C70000006301</t>
  </si>
  <si>
    <t>LYNCH JEFFREY BOB</t>
  </si>
  <si>
    <t>LYNCH CHARLYNN ELLIS</t>
  </si>
  <si>
    <t>161 ANTLER LANE</t>
  </si>
  <si>
    <t>27006-6760</t>
  </si>
  <si>
    <t>I5160B000401</t>
  </si>
  <si>
    <t>I5010A0015</t>
  </si>
  <si>
    <t>RIVERS JAMES THOMAS ETAL</t>
  </si>
  <si>
    <t>114 OAKRIDGE LN</t>
  </si>
  <si>
    <t>E900000100</t>
  </si>
  <si>
    <t>PASSERO NICHOLAS J</t>
  </si>
  <si>
    <t>PASSERO MARY SUZANNE</t>
  </si>
  <si>
    <t>164 KESWICK DRIVE</t>
  </si>
  <si>
    <t>J10000001601</t>
  </si>
  <si>
    <t>PERROW JOSEPH A</t>
  </si>
  <si>
    <t>4427 HIGHWAY 64 WEST</t>
  </si>
  <si>
    <t>J10000001502</t>
  </si>
  <si>
    <t>K60000001803</t>
  </si>
  <si>
    <t>POPLIN TIMOTHY E</t>
  </si>
  <si>
    <t>441 FRANK SHORT ROAD</t>
  </si>
  <si>
    <t>I5170B0126</t>
  </si>
  <si>
    <t>CLAYTON SARAH MORGAN ETAL</t>
  </si>
  <si>
    <t>MORGAN AMANDA VANN</t>
  </si>
  <si>
    <t>117 BELMONT DR</t>
  </si>
  <si>
    <t>HENDERSONVLLE</t>
  </si>
  <si>
    <t>28739-4735</t>
  </si>
  <si>
    <t>M400000084</t>
  </si>
  <si>
    <t>PRUITT RICHARD DOUGLAS</t>
  </si>
  <si>
    <t>PRUITT GLORIA R</t>
  </si>
  <si>
    <t>1246 JUNCTION ROAD</t>
  </si>
  <si>
    <t>M40000000702</t>
  </si>
  <si>
    <t>L5020A000107</t>
  </si>
  <si>
    <t>SEYMOUR KAREN L</t>
  </si>
  <si>
    <t>SANTA LUCIA CHRISTOPHER</t>
  </si>
  <si>
    <t>137 HOLY CROSS CHURCH RD</t>
  </si>
  <si>
    <t>L5020A000106</t>
  </si>
  <si>
    <t>L5020A000105</t>
  </si>
  <si>
    <t>L5020A000103</t>
  </si>
  <si>
    <t>L5020A000104</t>
  </si>
  <si>
    <t>L5020A000102</t>
  </si>
  <si>
    <t>L5020A000101</t>
  </si>
  <si>
    <t>E9150B0025</t>
  </si>
  <si>
    <t>BREWER RAY N</t>
  </si>
  <si>
    <t>BREWER JEAN W</t>
  </si>
  <si>
    <t>K80000000107</t>
  </si>
  <si>
    <t>RAGAN JOANNE</t>
  </si>
  <si>
    <t>235 SHADOW LN</t>
  </si>
  <si>
    <t>27006-2125</t>
  </si>
  <si>
    <t>M5090B003304</t>
  </si>
  <si>
    <t>WATKINS SHELLY RAY</t>
  </si>
  <si>
    <t>WATKINS KAY ESTER</t>
  </si>
  <si>
    <t>202 JERUSALEM AVE</t>
  </si>
  <si>
    <t>D700000162</t>
  </si>
  <si>
    <t>HARPE JEFFREY BRYAN</t>
  </si>
  <si>
    <t>HARPE JOHN LEE JR</t>
  </si>
  <si>
    <t>1212 HORSESHOE NECK RD</t>
  </si>
  <si>
    <t>27295-5145</t>
  </si>
  <si>
    <t>D70000016101</t>
  </si>
  <si>
    <t>D70000016102</t>
  </si>
  <si>
    <t>G500000015</t>
  </si>
  <si>
    <t>WEST JOHN E</t>
  </si>
  <si>
    <t>WEST WILLIE SCOTT</t>
  </si>
  <si>
    <t>C50000001201</t>
  </si>
  <si>
    <t>PORTER MICHAEL</t>
  </si>
  <si>
    <t>261 N PINO RD</t>
  </si>
  <si>
    <t>H70000001601</t>
  </si>
  <si>
    <t>FRANK PHARRIS RAY</t>
  </si>
  <si>
    <t>2986 NC HWY 801 S</t>
  </si>
  <si>
    <t>H600000080</t>
  </si>
  <si>
    <t>L4130A0020</t>
  </si>
  <si>
    <t>SPAUGH MICHAEL WAYNE</t>
  </si>
  <si>
    <t>1058 DANIEL RD</t>
  </si>
  <si>
    <t>L5100A0028</t>
  </si>
  <si>
    <t>HEAD LEE K</t>
  </si>
  <si>
    <t>CO HILDA KENNEDY</t>
  </si>
  <si>
    <t>166 LIBERTY ROAD</t>
  </si>
  <si>
    <t>G7040A0032</t>
  </si>
  <si>
    <t>HILL FRANCES</t>
  </si>
  <si>
    <t>112 CASA BELLA DR</t>
  </si>
  <si>
    <t>G7040A0022</t>
  </si>
  <si>
    <t>HAGER JERRY WAYNE</t>
  </si>
  <si>
    <t>190 CASA BELLA DRIVE</t>
  </si>
  <si>
    <t>M5020A0004  A</t>
  </si>
  <si>
    <t>HARGRO DREAMER L</t>
  </si>
  <si>
    <t>312 MICHAELS ROAD</t>
  </si>
  <si>
    <t>E700000067</t>
  </si>
  <si>
    <t>GRAY SHARON DULIN</t>
  </si>
  <si>
    <t>244 JUNEY BEAUCHAMP RD</t>
  </si>
  <si>
    <t>E70000006101</t>
  </si>
  <si>
    <t>GREER HALI NICHOLE</t>
  </si>
  <si>
    <t>GREER THOMAS ALLEN</t>
  </si>
  <si>
    <t>368 JUNEY BEAUCHAMP RD</t>
  </si>
  <si>
    <t>27006-7829</t>
  </si>
  <si>
    <t>K200000016</t>
  </si>
  <si>
    <t>WILLIAMS KENNETH R</t>
  </si>
  <si>
    <t>PO BOX 1301</t>
  </si>
  <si>
    <t>B20000004401</t>
  </si>
  <si>
    <t>GUNTER TINA</t>
  </si>
  <si>
    <t>360 CHESTNUT GROVE RD</t>
  </si>
  <si>
    <t>B30000000202</t>
  </si>
  <si>
    <t>SPEAKS SAMUEL STEPHEN</t>
  </si>
  <si>
    <t>SPEAKS MISTY RENAE</t>
  </si>
  <si>
    <t>1020 US 601 HWY</t>
  </si>
  <si>
    <t>27055-8711</t>
  </si>
  <si>
    <t>N5010B0035</t>
  </si>
  <si>
    <t>ROBINSON DANIEL B</t>
  </si>
  <si>
    <t>110 POWLAS ROAD</t>
  </si>
  <si>
    <t>B40000004402</t>
  </si>
  <si>
    <t>ROBINSON RYAN</t>
  </si>
  <si>
    <t>ROBINSON ERICA</t>
  </si>
  <si>
    <t>3528 DAVIE RD</t>
  </si>
  <si>
    <t>N500000087</t>
  </si>
  <si>
    <t>533 PINE RIDGE RD</t>
  </si>
  <si>
    <t>H40000009603</t>
  </si>
  <si>
    <t>FFC LIMITED PARTNERSHIP</t>
  </si>
  <si>
    <t>WENDY'S</t>
  </si>
  <si>
    <t>166 SOUTHGATE DRIVE #10</t>
  </si>
  <si>
    <t>28607-0000</t>
  </si>
  <si>
    <t>E8100B0012</t>
  </si>
  <si>
    <t>WILLIAMS DON</t>
  </si>
  <si>
    <t>WILLIAMS ESSIE</t>
  </si>
  <si>
    <t>168 OAKBROOK DR</t>
  </si>
  <si>
    <t>M5160D0005</t>
  </si>
  <si>
    <t>WILLIAMS NELLIE C</t>
  </si>
  <si>
    <t>27014-0154</t>
  </si>
  <si>
    <t>G7040A006101</t>
  </si>
  <si>
    <t>WHITTINGTON ADRIAN ALEXANDER</t>
  </si>
  <si>
    <t>B500000055</t>
  </si>
  <si>
    <t>WRIGHT LOUISE CUTHRELL</t>
  </si>
  <si>
    <t>555 OCEAN AVE APT 5C</t>
  </si>
  <si>
    <t>11226-3817</t>
  </si>
  <si>
    <t>H80000005312</t>
  </si>
  <si>
    <t>ZIMMERMAN TODD C</t>
  </si>
  <si>
    <t>569 MARKLAND RD</t>
  </si>
  <si>
    <t>E900000708</t>
  </si>
  <si>
    <t>LAPIEJKO KENNETH J</t>
  </si>
  <si>
    <t>LAPIEJKO LINDA J</t>
  </si>
  <si>
    <t>156 ORCHARD PARK DR</t>
  </si>
  <si>
    <t>B700000009</t>
  </si>
  <si>
    <t>RIDDLE PEGGY J</t>
  </si>
  <si>
    <t>G8120B0015</t>
  </si>
  <si>
    <t>I60000007503</t>
  </si>
  <si>
    <t>SHREWSBURY DONNA M</t>
  </si>
  <si>
    <t>569 CORNATZER ROAD</t>
  </si>
  <si>
    <t>E30000007301</t>
  </si>
  <si>
    <t>STANLEY JASON DOUGLAS</t>
  </si>
  <si>
    <t>STANLEY MYRA JOHNSON</t>
  </si>
  <si>
    <t>2256 ANGELL RD</t>
  </si>
  <si>
    <t>I4060B001201</t>
  </si>
  <si>
    <t>WALKER JILL MICHELLE</t>
  </si>
  <si>
    <t>771 YADKINVILLE RD</t>
  </si>
  <si>
    <t>J60000002011</t>
  </si>
  <si>
    <t>DALTON CHARLES JAMES JR</t>
  </si>
  <si>
    <t>DALTON LANCE JOAQUIN</t>
  </si>
  <si>
    <t>J5010C0033</t>
  </si>
  <si>
    <t>SCOTT CLYDE E</t>
  </si>
  <si>
    <t>SEAWRIGHT BARBARA PARKS HEIRS</t>
  </si>
  <si>
    <t>K700000033</t>
  </si>
  <si>
    <t>DALTON JUDITH ROBERTS</t>
  </si>
  <si>
    <t>242 MASON DRIVE</t>
  </si>
  <si>
    <t>PO BOX 1232</t>
  </si>
  <si>
    <t>H700000061</t>
  </si>
  <si>
    <t>MILLER PATRICIA D</t>
  </si>
  <si>
    <t>203 JAMES ROAD</t>
  </si>
  <si>
    <t>H80000004101</t>
  </si>
  <si>
    <t>MOON BOBBY J</t>
  </si>
  <si>
    <t>PO BOX 146</t>
  </si>
  <si>
    <t>27006-0146</t>
  </si>
  <si>
    <t>H7020A0009</t>
  </si>
  <si>
    <t>BAKER DONALD VERN</t>
  </si>
  <si>
    <t>BAKER KIM LEE</t>
  </si>
  <si>
    <t>158 BROCKLAND DRIVE</t>
  </si>
  <si>
    <t>H7020A0010</t>
  </si>
  <si>
    <t>BAKER DONALD V</t>
  </si>
  <si>
    <t>152 BROCKLAND DRIVE</t>
  </si>
  <si>
    <t>G40000004501</t>
  </si>
  <si>
    <t>FOSTER ROBIN BARNHARDT</t>
  </si>
  <si>
    <t>FOSTER THOMAS A</t>
  </si>
  <si>
    <t>1135 MAIN CHURCH RD</t>
  </si>
  <si>
    <t>G800000205</t>
  </si>
  <si>
    <t>LIEBO GARY WAYNE</t>
  </si>
  <si>
    <t>LIEBO MELANIE MARIE</t>
  </si>
  <si>
    <t>392 RABBIT FARM TRL</t>
  </si>
  <si>
    <t>I4120B0022</t>
  </si>
  <si>
    <t>RUANO ERICK ADOLFO BARRON ETAL</t>
  </si>
  <si>
    <t>200 EDISON ST</t>
  </si>
  <si>
    <t>27028-2552</t>
  </si>
  <si>
    <t>L5100B0003</t>
  </si>
  <si>
    <t>F900000008</t>
  </si>
  <si>
    <t>POTTS MARY J</t>
  </si>
  <si>
    <t>POTTS EDWARDS J</t>
  </si>
  <si>
    <t>165 VOGLER RD</t>
  </si>
  <si>
    <t>J600000042</t>
  </si>
  <si>
    <t>GALLIHER JUDY SWICEGOOD</t>
  </si>
  <si>
    <t>1174 DEADMON RD</t>
  </si>
  <si>
    <t>E70000006005</t>
  </si>
  <si>
    <t>JOHNSON ROBERT DONALD</t>
  </si>
  <si>
    <t>JOHNSON DEANNA LEIGH</t>
  </si>
  <si>
    <t>120 DOVE CREEK TRL</t>
  </si>
  <si>
    <t>27006-8018</t>
  </si>
  <si>
    <t>E70000006006</t>
  </si>
  <si>
    <t>J600000095  A</t>
  </si>
  <si>
    <t>K60000002502</t>
  </si>
  <si>
    <t>K600000025</t>
  </si>
  <si>
    <t>K60000002501</t>
  </si>
  <si>
    <t>K100000011</t>
  </si>
  <si>
    <t>E60000004102</t>
  </si>
  <si>
    <t>VARGAS LUIS GONZALEZ</t>
  </si>
  <si>
    <t>218 LIVINGSTON RD</t>
  </si>
  <si>
    <t>M5160D000902</t>
  </si>
  <si>
    <t>TREJO JOSE</t>
  </si>
  <si>
    <t>PO BOX 983</t>
  </si>
  <si>
    <t>27014-0983</t>
  </si>
  <si>
    <t>N5010A0026</t>
  </si>
  <si>
    <t>TESTMAN JOSHUA</t>
  </si>
  <si>
    <t>1207 MOUNT WESLEY CHURCH RD</t>
  </si>
  <si>
    <t>28636-9369</t>
  </si>
  <si>
    <t>F40000003603</t>
  </si>
  <si>
    <t>TABOR BARRIE A</t>
  </si>
  <si>
    <t>9308 MAGNOLIA ESTATES DR</t>
  </si>
  <si>
    <t>28031-7856</t>
  </si>
  <si>
    <t>F40000003602</t>
  </si>
  <si>
    <t>K800000017</t>
  </si>
  <si>
    <t>YOKLEY TIFFANY</t>
  </si>
  <si>
    <t>O60000003201</t>
  </si>
  <si>
    <t>SERRANO EDGAR OMAR</t>
  </si>
  <si>
    <t>120 MOHEGAN TRL</t>
  </si>
  <si>
    <t>M5100C0024</t>
  </si>
  <si>
    <t>SMYERS DARLA</t>
  </si>
  <si>
    <t>HANCOCK RUSSELL DAVID</t>
  </si>
  <si>
    <t>G700000022</t>
  </si>
  <si>
    <t>SNOW RAYMOND</t>
  </si>
  <si>
    <t>SNOW MICHELLE</t>
  </si>
  <si>
    <t>135 ROYALL LN</t>
  </si>
  <si>
    <t>27028-5866</t>
  </si>
  <si>
    <t>D30000000401</t>
  </si>
  <si>
    <t>SPEER ROGER DALE</t>
  </si>
  <si>
    <t>438 SPEER ROAD</t>
  </si>
  <si>
    <t>D30000000402</t>
  </si>
  <si>
    <t>I5090B0012</t>
  </si>
  <si>
    <t>SCHAMBACH MARK X</t>
  </si>
  <si>
    <t>SCHAMBACH ANN B</t>
  </si>
  <si>
    <t>739 NORTH MAIN STREET</t>
  </si>
  <si>
    <t>M5160D0007</t>
  </si>
  <si>
    <t>CARTER MELVIN EDWARD</t>
  </si>
  <si>
    <t>CARTER WANDA ROSE</t>
  </si>
  <si>
    <t>PO BOX 1031</t>
  </si>
  <si>
    <t>27014-1031</t>
  </si>
  <si>
    <t>I80000006506</t>
  </si>
  <si>
    <t>STEELMAN AMANDA TUCKER</t>
  </si>
  <si>
    <t>2986 NC HIGHWAY 801 S</t>
  </si>
  <si>
    <t>I80000006505</t>
  </si>
  <si>
    <t>I800000065</t>
  </si>
  <si>
    <t>I80000006502</t>
  </si>
  <si>
    <t>J10000002907</t>
  </si>
  <si>
    <t>STROUD ROBERT E</t>
  </si>
  <si>
    <t>1664 RIDGE ROAD</t>
  </si>
  <si>
    <t>H40000012201</t>
  </si>
  <si>
    <t>C2C LAND DEVELOPMENT LLC</t>
  </si>
  <si>
    <t>1673 PERTH RD</t>
  </si>
  <si>
    <t>28117-8443</t>
  </si>
  <si>
    <t>G800000217</t>
  </si>
  <si>
    <t>J100000063</t>
  </si>
  <si>
    <t>STROUD JAMES RANDAL</t>
  </si>
  <si>
    <t>1800 RIDGE ROAD</t>
  </si>
  <si>
    <t>J20000006310</t>
  </si>
  <si>
    <t>WAGNER RICKY D</t>
  </si>
  <si>
    <t>WAGNER SHARON GENTRY</t>
  </si>
  <si>
    <t>246 JONES ROAD</t>
  </si>
  <si>
    <t>E20000000305</t>
  </si>
  <si>
    <t>1334 US HWY 64 W</t>
  </si>
  <si>
    <t>D30000002101</t>
  </si>
  <si>
    <t>HURT DANIEL</t>
  </si>
  <si>
    <t>1974 US HIGHWAY 64 W</t>
  </si>
  <si>
    <t>D8100D0030</t>
  </si>
  <si>
    <t>WILLIAMS ALAN CONRAD</t>
  </si>
  <si>
    <t>121 SPYGLASS DR</t>
  </si>
  <si>
    <t>I30000006401</t>
  </si>
  <si>
    <t>JONES MICHAEL FORREST</t>
  </si>
  <si>
    <t>1474 US HWY 64 W</t>
  </si>
  <si>
    <t>G80000000901</t>
  </si>
  <si>
    <t>TRIPLETT DENNIS MICHAEL SR</t>
  </si>
  <si>
    <t>TRIPLETT WENDY</t>
  </si>
  <si>
    <t>PO BOX 2014</t>
  </si>
  <si>
    <t>27006-2014</t>
  </si>
  <si>
    <t>L5090A0009</t>
  </si>
  <si>
    <t>BOGER PAUL FREDRICK JR</t>
  </si>
  <si>
    <t>H600000067</t>
  </si>
  <si>
    <t>HORTON DAVID CHRISTOPHER</t>
  </si>
  <si>
    <t>HORTON KRISTY GAIL CHAMBERS</t>
  </si>
  <si>
    <t>1381 CORNATZER ROAD</t>
  </si>
  <si>
    <t>H600000066</t>
  </si>
  <si>
    <t>H600000065</t>
  </si>
  <si>
    <t>J70000000706</t>
  </si>
  <si>
    <t>DOE BROOKE</t>
  </si>
  <si>
    <t>DOE SHAWN</t>
  </si>
  <si>
    <t>294 NO CREEK RD</t>
  </si>
  <si>
    <t>K100000008</t>
  </si>
  <si>
    <t>BOSWELL JAKE E JR</t>
  </si>
  <si>
    <t>906 OLD MOCKSVILLE RD</t>
  </si>
  <si>
    <t>28625-1566</t>
  </si>
  <si>
    <t>I600000010</t>
  </si>
  <si>
    <t>NICKELS JOHN N</t>
  </si>
  <si>
    <t>184 JAMESTOWNE DR</t>
  </si>
  <si>
    <t>G900000040</t>
  </si>
  <si>
    <t>YOUNG HARVEY JAMES</t>
  </si>
  <si>
    <t>YOUNG BARBARA E</t>
  </si>
  <si>
    <t>219 CROSSWIND DR</t>
  </si>
  <si>
    <t>27006-7588</t>
  </si>
  <si>
    <t>D60000006701</t>
  </si>
  <si>
    <t>THE HABITAT HOMELESS VETERANS PROJECT</t>
  </si>
  <si>
    <t>%DAN BEAM%</t>
  </si>
  <si>
    <t>PO BOX 288</t>
  </si>
  <si>
    <t>27006-0288</t>
  </si>
  <si>
    <t>F60000006401</t>
  </si>
  <si>
    <t>WHISENHUNT ROY W</t>
  </si>
  <si>
    <t>WHISENHUNT LINDA S</t>
  </si>
  <si>
    <t>3374 US HIGHWAY 158</t>
  </si>
  <si>
    <t>K70000006303</t>
  </si>
  <si>
    <t>WAGNER ANDREW EDWARD</t>
  </si>
  <si>
    <t>M5090A0011</t>
  </si>
  <si>
    <t>MANCERA FRANCISCO</t>
  </si>
  <si>
    <t>HERNANDEZ RONI GARCIA</t>
  </si>
  <si>
    <t>75 PINE ST NW</t>
  </si>
  <si>
    <t>28025-4923</t>
  </si>
  <si>
    <t>F600000064  A</t>
  </si>
  <si>
    <t>G90000003801</t>
  </si>
  <si>
    <t>SHIPTON DONALD L</t>
  </si>
  <si>
    <t>SHIPTON VICTORIA S</t>
  </si>
  <si>
    <t>303 MARCHMONT DR</t>
  </si>
  <si>
    <t>27006-7586</t>
  </si>
  <si>
    <t>G80000000603</t>
  </si>
  <si>
    <t>ZIMMERMAN MICHAEL DAVID</t>
  </si>
  <si>
    <t>27006-0053</t>
  </si>
  <si>
    <t>J60000002003</t>
  </si>
  <si>
    <t>J60000002006</t>
  </si>
  <si>
    <t>J60000002012</t>
  </si>
  <si>
    <t>I5060C0007</t>
  </si>
  <si>
    <t>CLARK SUSAN C</t>
  </si>
  <si>
    <t>140 MARCONI STREET</t>
  </si>
  <si>
    <t>J5010D0021</t>
  </si>
  <si>
    <t>SNYDER DEBBIE</t>
  </si>
  <si>
    <t>PO BOX 224</t>
  </si>
  <si>
    <t>B500000046</t>
  </si>
  <si>
    <t>WISEMAN T M HEIRS</t>
  </si>
  <si>
    <t>G900000032</t>
  </si>
  <si>
    <t>WELCH RANDY ALAN</t>
  </si>
  <si>
    <t>WELCH JODY H (BARBARA H)</t>
  </si>
  <si>
    <t>173 CROSSWIND DR</t>
  </si>
  <si>
    <t>M5090B0010</t>
  </si>
  <si>
    <t>WILSON LONNIE A</t>
  </si>
  <si>
    <t>WILSON BESSIE C</t>
  </si>
  <si>
    <t>6385 LAMSHIRE RD</t>
  </si>
  <si>
    <t>27284-8356</t>
  </si>
  <si>
    <t>M5090B003303</t>
  </si>
  <si>
    <t>M5090B0032</t>
  </si>
  <si>
    <t>C300000130</t>
  </si>
  <si>
    <t>SHULENBERGER TONI KEPLEY</t>
  </si>
  <si>
    <t>SHULENBERGER DARRIN TODD</t>
  </si>
  <si>
    <t>1033 HOWELL RD</t>
  </si>
  <si>
    <t>M60000003302</t>
  </si>
  <si>
    <t>BOLDT JAMES</t>
  </si>
  <si>
    <t>BOLDT TRESA</t>
  </si>
  <si>
    <t>494 BECKTOWN ROAD</t>
  </si>
  <si>
    <t>C50000002601</t>
  </si>
  <si>
    <t>VAUGHN MATTHEW M</t>
  </si>
  <si>
    <t>2660 NC HIGHWAY 801 NORTH</t>
  </si>
  <si>
    <t>C500000026</t>
  </si>
  <si>
    <t>N5010C0051</t>
  </si>
  <si>
    <t>SERRANO OMAR</t>
  </si>
  <si>
    <t>F800000037</t>
  </si>
  <si>
    <t>C20000000701</t>
  </si>
  <si>
    <t>ANDERSON MICHAEL THOMAS</t>
  </si>
  <si>
    <t>190 FORK BIXBY RD</t>
  </si>
  <si>
    <t>H300000028</t>
  </si>
  <si>
    <t>PARKER ANNIE MAE</t>
  </si>
  <si>
    <t>2180 US HIGHWAY 64 W</t>
  </si>
  <si>
    <t>D8070A0043</t>
  </si>
  <si>
    <t>TERRA HALL SNIDER AMENDED &amp; RESTATED DEC OF TRUST</t>
  </si>
  <si>
    <t>DATED AUGUST 28 2018</t>
  </si>
  <si>
    <t>171 GOLFVIEW DR</t>
  </si>
  <si>
    <t>G600000098</t>
  </si>
  <si>
    <t>HEPLER JESSE G &amp; SHIRLEY C</t>
  </si>
  <si>
    <t>HEPLER MITCHELL GRAY</t>
  </si>
  <si>
    <t>G60000009802</t>
  </si>
  <si>
    <t>H20000004701</t>
  </si>
  <si>
    <t>TRIPLETT B STEPHEN</t>
  </si>
  <si>
    <t>TRIPLETT CAROLYN L</t>
  </si>
  <si>
    <t>128 BERMUDA RUN DRIVE</t>
  </si>
  <si>
    <t>H2060A0006</t>
  </si>
  <si>
    <t>H2060A0007</t>
  </si>
  <si>
    <t>D8020A0021</t>
  </si>
  <si>
    <t>H600000064</t>
  </si>
  <si>
    <t>1393 CORNATZER ROAD</t>
  </si>
  <si>
    <t>I700000003</t>
  </si>
  <si>
    <t>WARD JERRY CALUM</t>
  </si>
  <si>
    <t>594 NO CREEK RD</t>
  </si>
  <si>
    <t>J4060D0014</t>
  </si>
  <si>
    <t>HOPKINS DESHAWN</t>
  </si>
  <si>
    <t>HOPKINS STEPHANIE</t>
  </si>
  <si>
    <t>136 HARMON MILL RD</t>
  </si>
  <si>
    <t>27284-8815</t>
  </si>
  <si>
    <t>I4110A000603</t>
  </si>
  <si>
    <t>BROWN JOHN</t>
  </si>
  <si>
    <t>BROWN SUZANNE</t>
  </si>
  <si>
    <t>6469 LUCERNA PL</t>
  </si>
  <si>
    <t>28451-4524</t>
  </si>
  <si>
    <t>E6050A0022</t>
  </si>
  <si>
    <t>AGEJEW MARK</t>
  </si>
  <si>
    <t>4087 US 158</t>
  </si>
  <si>
    <t>I5160A0005</t>
  </si>
  <si>
    <t>NEWELL SHAUNA</t>
  </si>
  <si>
    <t>273 S DEPOT ST</t>
  </si>
  <si>
    <t>G900000042</t>
  </si>
  <si>
    <t>ADAIR NORMAN E</t>
  </si>
  <si>
    <t>ADAIR SANDY M</t>
  </si>
  <si>
    <t>237 CROSSWIND DR</t>
  </si>
  <si>
    <t>C600000095</t>
  </si>
  <si>
    <t>BUTCHER TRAMPESS</t>
  </si>
  <si>
    <t>133 WILLOW OAK LN</t>
  </si>
  <si>
    <t>27006-6644</t>
  </si>
  <si>
    <t>D9090C0008</t>
  </si>
  <si>
    <t>AMOS LORETTA</t>
  </si>
  <si>
    <t>AMOS ROBERT</t>
  </si>
  <si>
    <t>133 LAUREL PL</t>
  </si>
  <si>
    <t>I1120A0009</t>
  </si>
  <si>
    <t>WILLIAMS TONYA P</t>
  </si>
  <si>
    <t>3501 HYDE PARK ST</t>
  </si>
  <si>
    <t>APT C</t>
  </si>
  <si>
    <t>27106-4457</t>
  </si>
  <si>
    <t>N5010C0068</t>
  </si>
  <si>
    <t>SMITH KRYSTAL</t>
  </si>
  <si>
    <t>M40000004704</t>
  </si>
  <si>
    <t>JONES ANGELA DAWN</t>
  </si>
  <si>
    <t>130 CREASON ROAD</t>
  </si>
  <si>
    <t>M400000047</t>
  </si>
  <si>
    <t>I5110A0017</t>
  </si>
  <si>
    <t>LEWIS CHRISTINA</t>
  </si>
  <si>
    <t>SELLERS SHIRLEY</t>
  </si>
  <si>
    <t>315 MOUNTVIEW DR</t>
  </si>
  <si>
    <t>M40000003002</t>
  </si>
  <si>
    <t>THOMASON SUSAN B</t>
  </si>
  <si>
    <t>1760 JUNCTION ROAD</t>
  </si>
  <si>
    <t>B500000058</t>
  </si>
  <si>
    <t>ANTONIO ADIEL LOPEZ</t>
  </si>
  <si>
    <t>LASCANO PRISCILA MENDEZ</t>
  </si>
  <si>
    <t>409 WALES ST</t>
  </si>
  <si>
    <t>27101-2043</t>
  </si>
  <si>
    <t>I5060C0012</t>
  </si>
  <si>
    <t>STEVENSON ATLAS D ETAL</t>
  </si>
  <si>
    <t>WHITE EMMA STEVENSON</t>
  </si>
  <si>
    <t>133 WILHAVEN DR</t>
  </si>
  <si>
    <t>27028-1936</t>
  </si>
  <si>
    <t>STEVENSON ATLAS D  ETAL</t>
  </si>
  <si>
    <t>M4120A0018</t>
  </si>
  <si>
    <t>STEVENSON JUDITH MAXINE ETAL</t>
  </si>
  <si>
    <t>STEVENSON ALEASE ORA LEE</t>
  </si>
  <si>
    <t>G300000047</t>
  </si>
  <si>
    <t>BECK RONALD GENE</t>
  </si>
  <si>
    <t>222 SPEER RD</t>
  </si>
  <si>
    <t>F100000052</t>
  </si>
  <si>
    <t>GEORGE JAMES</t>
  </si>
  <si>
    <t>GEORGE NORMA</t>
  </si>
  <si>
    <t>152 PEACH FARM TRL</t>
  </si>
  <si>
    <t>J4060A0017</t>
  </si>
  <si>
    <t>BALDWIN DENNIS</t>
  </si>
  <si>
    <t>231 MAGNOLIA AVENUE</t>
  </si>
  <si>
    <t>K70000006305</t>
  </si>
  <si>
    <t>G80000000602</t>
  </si>
  <si>
    <t>G800000006</t>
  </si>
  <si>
    <t>D30000002105</t>
  </si>
  <si>
    <t>C70000013404</t>
  </si>
  <si>
    <t>WALKER STEPHEN W</t>
  </si>
  <si>
    <t>A70000000201</t>
  </si>
  <si>
    <t>G700000042</t>
  </si>
  <si>
    <t>SHORE JAMES M</t>
  </si>
  <si>
    <t>1859 CORNATZER RD</t>
  </si>
  <si>
    <t>G600000032</t>
  </si>
  <si>
    <t>EBRIGHT SHARON ANNE</t>
  </si>
  <si>
    <t>1233 HOWARDTOWN CIR</t>
  </si>
  <si>
    <t>I5080E0003</t>
  </si>
  <si>
    <t>JOYNER NOAH ADAM</t>
  </si>
  <si>
    <t>140 OAK ST</t>
  </si>
  <si>
    <t>E700000049</t>
  </si>
  <si>
    <t>VARONA OSCAR</t>
  </si>
  <si>
    <t>NORIEGA YADIRA GUADARRAMA</t>
  </si>
  <si>
    <t>E700000047</t>
  </si>
  <si>
    <t>I80000004103</t>
  </si>
  <si>
    <t>WARD JOHN EVERETTE III</t>
  </si>
  <si>
    <t>475 OAKDALE RD NE</t>
  </si>
  <si>
    <t>APT 13B</t>
  </si>
  <si>
    <t>30307-5104</t>
  </si>
  <si>
    <t>N60000004801</t>
  </si>
  <si>
    <t>WAUGH MELISSA F</t>
  </si>
  <si>
    <t>WAUGH ROBERT N</t>
  </si>
  <si>
    <t>292 BOXWOOD CHURCH ROAD</t>
  </si>
  <si>
    <t>L500000105</t>
  </si>
  <si>
    <t>GRAHAM MANNIE JAMES</t>
  </si>
  <si>
    <t>GRAHAM KELLY P</t>
  </si>
  <si>
    <t>717 EDGEWOOD AVE</t>
  </si>
  <si>
    <t>27360-5469</t>
  </si>
  <si>
    <t>G4080A0006</t>
  </si>
  <si>
    <t>SANDERS HOWARD L</t>
  </si>
  <si>
    <t>181 CANA ROAD</t>
  </si>
  <si>
    <t>J50000003213</t>
  </si>
  <si>
    <t>CHARLESTON RIDGE SECTION FOUR HOA INC</t>
  </si>
  <si>
    <t>PO BOX 49443</t>
  </si>
  <si>
    <t>28277-0079</t>
  </si>
  <si>
    <t>I4120C0032</t>
  </si>
  <si>
    <t>PARKER MICHAEL J</t>
  </si>
  <si>
    <t>PARKER JULIE A</t>
  </si>
  <si>
    <t>280 W CHURCH ST</t>
  </si>
  <si>
    <t>E70000006002</t>
  </si>
  <si>
    <t>E70000006004</t>
  </si>
  <si>
    <t>N4040A0029</t>
  </si>
  <si>
    <t>WHITE WENSDEE</t>
  </si>
  <si>
    <t>27014-0673</t>
  </si>
  <si>
    <t>M4130A0028</t>
  </si>
  <si>
    <t>CLEMENT JAMES ODELL</t>
  </si>
  <si>
    <t>% ANDREW WILSON</t>
  </si>
  <si>
    <t>158 HARDING ST</t>
  </si>
  <si>
    <t>27028-2604</t>
  </si>
  <si>
    <t>C10000001702</t>
  </si>
  <si>
    <t>DANNER DIETZ A</t>
  </si>
  <si>
    <t>172 CHESTNUT TRL</t>
  </si>
  <si>
    <t>C200000005</t>
  </si>
  <si>
    <t>C20000000504</t>
  </si>
  <si>
    <t>I5080B0026</t>
  </si>
  <si>
    <t>WILLIAMS MILTON A</t>
  </si>
  <si>
    <t>WILLIAMS LULA G</t>
  </si>
  <si>
    <t>3120 STILES WAY</t>
  </si>
  <si>
    <t>W FRIENDSHIP</t>
  </si>
  <si>
    <t>21794-9217</t>
  </si>
  <si>
    <t>I5070B000103</t>
  </si>
  <si>
    <t>FOSTER RONALD EUGENE</t>
  </si>
  <si>
    <t>339 NE 45TH ST</t>
  </si>
  <si>
    <t>28465-5332</t>
  </si>
  <si>
    <t>M5060B0024</t>
  </si>
  <si>
    <t>COPE MICHAEL</t>
  </si>
  <si>
    <t>126 HOBSON DRIVE</t>
  </si>
  <si>
    <t>N50000000601</t>
  </si>
  <si>
    <t>IJAMES JOSHUA BILL</t>
  </si>
  <si>
    <t>IJAMES LELA RAE</t>
  </si>
  <si>
    <t>N500000004</t>
  </si>
  <si>
    <t>N5010B0054</t>
  </si>
  <si>
    <t>N500000005</t>
  </si>
  <si>
    <t>N5010B0038</t>
  </si>
  <si>
    <t>E9150A0046</t>
  </si>
  <si>
    <t>JAMES TAYATE D</t>
  </si>
  <si>
    <t>WRIGHT KISHAH N</t>
  </si>
  <si>
    <t>223 TALWOOD DR</t>
  </si>
  <si>
    <t>E9150A0047</t>
  </si>
  <si>
    <t>G800000045</t>
  </si>
  <si>
    <t>WELBORN MARY G TRUST</t>
  </si>
  <si>
    <t>234 FEED MILL RD</t>
  </si>
  <si>
    <t>27006-7427</t>
  </si>
  <si>
    <t>N5010D0022</t>
  </si>
  <si>
    <t>WENSIL MARY LEE G</t>
  </si>
  <si>
    <t>247 CENTER ST</t>
  </si>
  <si>
    <t>B30000003403</t>
  </si>
  <si>
    <t>WHITE BILLY H</t>
  </si>
  <si>
    <t>WHITE JOANNE W</t>
  </si>
  <si>
    <t>G70000014501</t>
  </si>
  <si>
    <t>WHITTINGTON KELLIE</t>
  </si>
  <si>
    <t>G70000014508</t>
  </si>
  <si>
    <t>G3030A0065</t>
  </si>
  <si>
    <t>M40000003808</t>
  </si>
  <si>
    <t>CAMPBELL ASHLEY W ETAL</t>
  </si>
  <si>
    <t>CAMPBELL JESSICA M</t>
  </si>
  <si>
    <t>237 WINFIELD DR</t>
  </si>
  <si>
    <t>27021-9444</t>
  </si>
  <si>
    <t>I5110C0009</t>
  </si>
  <si>
    <t>SLOAN LORETTA</t>
  </si>
  <si>
    <t>1931 LEIGHT ST</t>
  </si>
  <si>
    <t>STE A</t>
  </si>
  <si>
    <t>27107-2471</t>
  </si>
  <si>
    <t>D7070A0015</t>
  </si>
  <si>
    <t>MILEVOI APRIL RAE-MARIE</t>
  </si>
  <si>
    <t>190 GINNY LANE</t>
  </si>
  <si>
    <t>J400000055</t>
  </si>
  <si>
    <t>LATHAM MARTHA B</t>
  </si>
  <si>
    <t>284 TOWERY RD</t>
  </si>
  <si>
    <t>K5100A0032</t>
  </si>
  <si>
    <t>M4050B0014</t>
  </si>
  <si>
    <t>ZEOCK SAMUEL WILLIS CULLEN</t>
  </si>
  <si>
    <t>ZEOCK AMANDA SUZANNE</t>
  </si>
  <si>
    <t>140 STONE WOOD RD</t>
  </si>
  <si>
    <t>I100000053</t>
  </si>
  <si>
    <t>GAITHER BRUCE COREY</t>
  </si>
  <si>
    <t>300 COUNTY LINE ROAD</t>
  </si>
  <si>
    <t>I5080B0006</t>
  </si>
  <si>
    <t>6217 HAMPTON RIDGE ROAD</t>
  </si>
  <si>
    <t>D7030A0017</t>
  </si>
  <si>
    <t>ALLEN THOMAS H</t>
  </si>
  <si>
    <t>ALLEN PATRICIA E</t>
  </si>
  <si>
    <t>172 CHARLOTTE PLACE</t>
  </si>
  <si>
    <t>I5010B0001</t>
  </si>
  <si>
    <t>GRANT SHIRLEY GREGORY</t>
  </si>
  <si>
    <t>891 YADKINVILLE RD APT 102</t>
  </si>
  <si>
    <t>27028-2093</t>
  </si>
  <si>
    <t>K10000002603</t>
  </si>
  <si>
    <t>BRODAUF DEBRA ETAL</t>
  </si>
  <si>
    <t>BRODUAF ROBERT ALAN</t>
  </si>
  <si>
    <t>302 CAMPGROUND RD</t>
  </si>
  <si>
    <t>K10000003001</t>
  </si>
  <si>
    <t>J80000002202</t>
  </si>
  <si>
    <t>JONES RICHARD DAVID II</t>
  </si>
  <si>
    <t>3632 NC HIGHWAY 801 S</t>
  </si>
  <si>
    <t>B30000000802</t>
  </si>
  <si>
    <t>BROCK ROSE MARY</t>
  </si>
  <si>
    <t>255 LEISURE LANE</t>
  </si>
  <si>
    <t>E700000105</t>
  </si>
  <si>
    <t>CARTER TANYA STANLEY</t>
  </si>
  <si>
    <t>240 BALTIMORE ROAD</t>
  </si>
  <si>
    <t>H70000000908</t>
  </si>
  <si>
    <t>JOHNSON MARGARET JO</t>
  </si>
  <si>
    <t>JOHNSON KEVIN M</t>
  </si>
  <si>
    <t>214 RALPH RD</t>
  </si>
  <si>
    <t>27028-3581</t>
  </si>
  <si>
    <t>H70000000903</t>
  </si>
  <si>
    <t>K50000008304</t>
  </si>
  <si>
    <t>DANIELS JULIA IRENE HACK</t>
  </si>
  <si>
    <t>LEBARRON GARY RALPH JR</t>
  </si>
  <si>
    <t>103 DRAUGHN LN</t>
  </si>
  <si>
    <t>C8010A0024</t>
  </si>
  <si>
    <t>DEL GUERCIO LISETTA</t>
  </si>
  <si>
    <t>207 BRIDGEWATER DRIVE</t>
  </si>
  <si>
    <t>G50000001201</t>
  </si>
  <si>
    <t>WILLARD KENNETH M</t>
  </si>
  <si>
    <t>H50000002918</t>
  </si>
  <si>
    <t>J5160C0004</t>
  </si>
  <si>
    <t>D20000000103</t>
  </si>
  <si>
    <t>HEDRICK BRIAN MATTHEW</t>
  </si>
  <si>
    <t>HEDRICK TONYA MARIE</t>
  </si>
  <si>
    <t>158 HOPE LANE</t>
  </si>
  <si>
    <t>E8160A0041</t>
  </si>
  <si>
    <t>DEAS BARRY M</t>
  </si>
  <si>
    <t>DEAS TRACY E</t>
  </si>
  <si>
    <t>107 MEADOW BROOK CT</t>
  </si>
  <si>
    <t>G60000002201</t>
  </si>
  <si>
    <t>SMITH BYRON LEE</t>
  </si>
  <si>
    <t>130 HARTFORD LANE</t>
  </si>
  <si>
    <t>K8100A0003</t>
  </si>
  <si>
    <t>BIVENS APRIL</t>
  </si>
  <si>
    <t>2130 1ST AVE</t>
  </si>
  <si>
    <t>APT 3203</t>
  </si>
  <si>
    <t>10029-3321</t>
  </si>
  <si>
    <t>G100000006</t>
  </si>
  <si>
    <t>CHEEKS LORI</t>
  </si>
  <si>
    <t>179 EDWARDS ROAD</t>
  </si>
  <si>
    <t>J30000003401</t>
  </si>
  <si>
    <t>CUDD LISA F</t>
  </si>
  <si>
    <t>494 GREENHILL RD</t>
  </si>
  <si>
    <t>E9150A0056</t>
  </si>
  <si>
    <t>HARRISON WILLIAM H III</t>
  </si>
  <si>
    <t>HARRISON KAREN K</t>
  </si>
  <si>
    <t>I5060C0029</t>
  </si>
  <si>
    <t>SPINETTA JOSE</t>
  </si>
  <si>
    <t>I5030A0052</t>
  </si>
  <si>
    <t>FYR SFR BORROWER LLC</t>
  </si>
  <si>
    <t>% HAVENBROOK HOMES</t>
  </si>
  <si>
    <t>3505 KOGER BLVD STE 400</t>
  </si>
  <si>
    <t>po box 4090</t>
  </si>
  <si>
    <t>30096-7672</t>
  </si>
  <si>
    <t>H6070A0006</t>
  </si>
  <si>
    <t>C70000009001</t>
  </si>
  <si>
    <t>CHINCHILLA OSCAR</t>
  </si>
  <si>
    <t>186 KERR LN</t>
  </si>
  <si>
    <t>H70000006402</t>
  </si>
  <si>
    <t>J5010C0029</t>
  </si>
  <si>
    <t>TURNER GLORIA COCKERHAM ETAL</t>
  </si>
  <si>
    <t>TURNER HYSHIA SHANNAY D</t>
  </si>
  <si>
    <t>K60000001804</t>
  </si>
  <si>
    <t>POPLIN SHANE LEE</t>
  </si>
  <si>
    <t>531 FRANK SHORT RD</t>
  </si>
  <si>
    <t>I700000105</t>
  </si>
  <si>
    <t>MURRAY JACQUELYN</t>
  </si>
  <si>
    <t>MURRAY ROBERT GUY</t>
  </si>
  <si>
    <t>455 MERRELLS LAKE RD</t>
  </si>
  <si>
    <t>J300000043</t>
  </si>
  <si>
    <t>GRUBB BARRY WAYNE</t>
  </si>
  <si>
    <t>733 GREENHILL RD</t>
  </si>
  <si>
    <t>D8110A0012</t>
  </si>
  <si>
    <t>TRANQUILLE YVONTE B</t>
  </si>
  <si>
    <t>TRANQUILLE RACHELE</t>
  </si>
  <si>
    <t>1 MCNEESE DR</t>
  </si>
  <si>
    <t>29605-2735</t>
  </si>
  <si>
    <t>G400000035</t>
  </si>
  <si>
    <t>IJAMES WILMA SPEAS</t>
  </si>
  <si>
    <t>% VANESSA I BARKER</t>
  </si>
  <si>
    <t>100 DUNWOODY ROAD APT- 112</t>
  </si>
  <si>
    <t>H80000005103</t>
  </si>
  <si>
    <t>LC RENTAL COMPANY LLC</t>
  </si>
  <si>
    <t>267 VICTORY LN</t>
  </si>
  <si>
    <t>K200000036</t>
  </si>
  <si>
    <t>BOGER GERALDINE</t>
  </si>
  <si>
    <t>395 RIDGE RD</t>
  </si>
  <si>
    <t>K200000037</t>
  </si>
  <si>
    <t>I80000001605</t>
  </si>
  <si>
    <t>ROWE DEBRA L</t>
  </si>
  <si>
    <t>170 HEATHER CIR</t>
  </si>
  <si>
    <t>NOTTINGHAM</t>
  </si>
  <si>
    <t>19362-9077</t>
  </si>
  <si>
    <t>C300000037</t>
  </si>
  <si>
    <t>WARNER REX LEE</t>
  </si>
  <si>
    <t>N5010B0019</t>
  </si>
  <si>
    <t>WHITE MICHAEL B</t>
  </si>
  <si>
    <t>WHITE JENNIFER G</t>
  </si>
  <si>
    <t>250 DUKE STREET</t>
  </si>
  <si>
    <t>PO BOX 842</t>
  </si>
  <si>
    <t>E8100B0029</t>
  </si>
  <si>
    <t>BURES CHRISTI MARSHALL</t>
  </si>
  <si>
    <t>110 WESTRIDGE RD</t>
  </si>
  <si>
    <t>E100000015</t>
  </si>
  <si>
    <t>MOORE ELIZABETH ANN</t>
  </si>
  <si>
    <t>551 TURKEY FOOT RD</t>
  </si>
  <si>
    <t>E10000001503</t>
  </si>
  <si>
    <t>G20000006902</t>
  </si>
  <si>
    <t>ATKINS LAUREN</t>
  </si>
  <si>
    <t>M400000002</t>
  </si>
  <si>
    <t>STOWE MICHELLE</t>
  </si>
  <si>
    <t>KENNEDY KIMBERLY</t>
  </si>
  <si>
    <t>516 WILLOW RD</t>
  </si>
  <si>
    <t>28147-7750</t>
  </si>
  <si>
    <t>D80000000611</t>
  </si>
  <si>
    <t>WP PROPERTY GROUP LLC</t>
  </si>
  <si>
    <t>16220 N SCOTTSDALE RD STE 650</t>
  </si>
  <si>
    <t>85254-1806</t>
  </si>
  <si>
    <t>F8030A0060</t>
  </si>
  <si>
    <t>STROUPE RONALD J</t>
  </si>
  <si>
    <t>STROUPE PENNY R</t>
  </si>
  <si>
    <t>PO BOX 2240</t>
  </si>
  <si>
    <t>27006-2240</t>
  </si>
  <si>
    <t>I1120A0007</t>
  </si>
  <si>
    <t>SUTTON JOHNATON RAY</t>
  </si>
  <si>
    <t>SUTTON LAUREN CASSADY</t>
  </si>
  <si>
    <t>370 OAKLAND AVE</t>
  </si>
  <si>
    <t>E700000173</t>
  </si>
  <si>
    <t>TEDDER CHRISTOPHER DUDLEY</t>
  </si>
  <si>
    <t>TEDDER ROBBIE ELAINA</t>
  </si>
  <si>
    <t>397 ARMSWORTHY RD</t>
  </si>
  <si>
    <t>I1120A0040</t>
  </si>
  <si>
    <t>WOOD MARLA MICHELLE</t>
  </si>
  <si>
    <t>PO BOX 174</t>
  </si>
  <si>
    <t>27013-0174</t>
  </si>
  <si>
    <t>K300000009</t>
  </si>
  <si>
    <t>199 OLLIE HARKEY RD</t>
  </si>
  <si>
    <t>F40000001204</t>
  </si>
  <si>
    <t>COUCH RODNEY LEE</t>
  </si>
  <si>
    <t>1509 ANGELL RD</t>
  </si>
  <si>
    <t>J200000017</t>
  </si>
  <si>
    <t>KOONTZ MELANIE C</t>
  </si>
  <si>
    <t>180 LAKEVIEW DR</t>
  </si>
  <si>
    <t>27028-2735</t>
  </si>
  <si>
    <t>I400000083</t>
  </si>
  <si>
    <t>I5070B0010</t>
  </si>
  <si>
    <t>H400000135</t>
  </si>
  <si>
    <t>K50000007702</t>
  </si>
  <si>
    <t>STANLEY BERNICE R</t>
  </si>
  <si>
    <t>STANLEY RICKEY DALE</t>
  </si>
  <si>
    <t>K50000007703</t>
  </si>
  <si>
    <t>J50000003205</t>
  </si>
  <si>
    <t>THE J RYAN GROUP LLC</t>
  </si>
  <si>
    <t>L50000001801</t>
  </si>
  <si>
    <t>J50000003214</t>
  </si>
  <si>
    <t>G60000005802</t>
  </si>
  <si>
    <t>WEST STEVEN</t>
  </si>
  <si>
    <t>E70000008503</t>
  </si>
  <si>
    <t>ARMSWORTHY WILLIAM RAY</t>
  </si>
  <si>
    <t>127 SQUIRREL LANE</t>
  </si>
  <si>
    <t>N500000036</t>
  </si>
  <si>
    <t>ZVETKOV JANY</t>
  </si>
  <si>
    <t>PAHOMOVA KAROLINA</t>
  </si>
  <si>
    <t>692 PINE RIDGE RD</t>
  </si>
  <si>
    <t>C10000000207</t>
  </si>
  <si>
    <t>WINDSOR DANIEL LEE</t>
  </si>
  <si>
    <t>WINDSOR GEORGIA</t>
  </si>
  <si>
    <t>887 OLLIE HARKEY RD</t>
  </si>
  <si>
    <t>27028-5907</t>
  </si>
  <si>
    <t>K100000006</t>
  </si>
  <si>
    <t>K100000030</t>
  </si>
  <si>
    <t>D9050A0014</t>
  </si>
  <si>
    <t>BEAUBIEN PAMELA</t>
  </si>
  <si>
    <t>229 HALCYON AVE</t>
  </si>
  <si>
    <t>27104-3107</t>
  </si>
  <si>
    <t>I500000023</t>
  </si>
  <si>
    <t>WADE PROPERTY HOLDING MOCKSVILLE LLC</t>
  </si>
  <si>
    <t>PO BOX 7287</t>
  </si>
  <si>
    <t>M5150A0004</t>
  </si>
  <si>
    <t>DURRELL DARRIN B</t>
  </si>
  <si>
    <t>M5150A000402</t>
  </si>
  <si>
    <t>E8140A0006</t>
  </si>
  <si>
    <t>CHILDRESS ALISHA D</t>
  </si>
  <si>
    <t>167 SPRINGFIELD DRIVE</t>
  </si>
  <si>
    <t>C600000063</t>
  </si>
  <si>
    <t>ELLIS JAMES MONDELL JR</t>
  </si>
  <si>
    <t>211 JOE LANGSTON RD</t>
  </si>
  <si>
    <t>27006-6631</t>
  </si>
  <si>
    <t>C300000082</t>
  </si>
  <si>
    <t>STROUD WAYNE E</t>
  </si>
  <si>
    <t>STROUD SHARON C</t>
  </si>
  <si>
    <t>4453 US HIGHWAY 601 NORTH</t>
  </si>
  <si>
    <t>C30000008301</t>
  </si>
  <si>
    <t>C300000081</t>
  </si>
  <si>
    <t>L5100A0030</t>
  </si>
  <si>
    <t>THIES KATHERINE MICHELE</t>
  </si>
  <si>
    <t>110 LIBERTY CIRCLE</t>
  </si>
  <si>
    <t>E300000057</t>
  </si>
  <si>
    <t>REAVIS MICKEY</t>
  </si>
  <si>
    <t>503 RICHIE RD</t>
  </si>
  <si>
    <t>K600000048</t>
  </si>
  <si>
    <t>J5040A0008</t>
  </si>
  <si>
    <t>HOLLENS TERRY</t>
  </si>
  <si>
    <t>505 E LAKE DR</t>
  </si>
  <si>
    <t>27028-2655</t>
  </si>
  <si>
    <t>L700000028</t>
  </si>
  <si>
    <t>VINES ELIZABETH</t>
  </si>
  <si>
    <t>5203 NC HIGHWAY 801 SOUTH</t>
  </si>
  <si>
    <t>H40000009604</t>
  </si>
  <si>
    <t>MANN SUSAN W</t>
  </si>
  <si>
    <t>E7140A0008</t>
  </si>
  <si>
    <t>ROOPE DELILAH</t>
  </si>
  <si>
    <t>134 GRAYWOOD CT</t>
  </si>
  <si>
    <t>G7050A0005</t>
  </si>
  <si>
    <t>BENDER TIMOTHY J</t>
  </si>
  <si>
    <t>BENDER LESLIE M</t>
  </si>
  <si>
    <t>167 SPRINGFIELD DR</t>
  </si>
  <si>
    <t>F700000008</t>
  </si>
  <si>
    <t>DS LANDING INVESTMENTS LLC</t>
  </si>
  <si>
    <t>E900000653</t>
  </si>
  <si>
    <t>MORRISSEY WILLIAM G REV TRST</t>
  </si>
  <si>
    <t>MORRISSEY FRANCENA K REV TRST</t>
  </si>
  <si>
    <t>160 N SAINT ANDREWS DR</t>
  </si>
  <si>
    <t>N5010B0029</t>
  </si>
  <si>
    <t>SMITH CARL LEE JR</t>
  </si>
  <si>
    <t>SMITH MELINDA BALL</t>
  </si>
  <si>
    <t>1394 S NC HIGHWAY 150</t>
  </si>
  <si>
    <t>27295-5025</t>
  </si>
  <si>
    <t>N5010B0028</t>
  </si>
  <si>
    <t>K5060A0016</t>
  </si>
  <si>
    <t>WOODWARD RODWELL T</t>
  </si>
  <si>
    <t>WOODWARD BETTY SUE HAYNES</t>
  </si>
  <si>
    <t>800 JODY RD</t>
  </si>
  <si>
    <t>CARTHAGE</t>
  </si>
  <si>
    <t>28327-9656</t>
  </si>
  <si>
    <t>H4010A0001</t>
  </si>
  <si>
    <t>POTTER HERBERT S TRUSTEE</t>
  </si>
  <si>
    <t>HERBERT S POTTER REV TRUST</t>
  </si>
  <si>
    <t>534 MARIN AVE</t>
  </si>
  <si>
    <t>MILL VALLEY</t>
  </si>
  <si>
    <t>94941-3944</t>
  </si>
  <si>
    <t>I5050A0044</t>
  </si>
  <si>
    <t>STEWART PAUL LINCOLN</t>
  </si>
  <si>
    <t>112 META BREEZE LN</t>
  </si>
  <si>
    <t>G70000014505</t>
  </si>
  <si>
    <t>SMITH KIMBERLY DORSETT</t>
  </si>
  <si>
    <t>176 GALADRIM WAY</t>
  </si>
  <si>
    <t>H5190A0036</t>
  </si>
  <si>
    <t>H5190A0008</t>
  </si>
  <si>
    <t>H5190A0002</t>
  </si>
  <si>
    <t>F80000003502</t>
  </si>
  <si>
    <t>PHELPS TRISTAN C</t>
  </si>
  <si>
    <t>127 PENNY LN</t>
  </si>
  <si>
    <t>E8020A0006</t>
  </si>
  <si>
    <t>KOURMANOVA AIGERIM BAKHIT JANOVNA</t>
  </si>
  <si>
    <t>141 RAINTREE RD</t>
  </si>
  <si>
    <t>C7140B0002</t>
  </si>
  <si>
    <t>I4110A000609</t>
  </si>
  <si>
    <t>DULANEY GROUP LLC</t>
  </si>
  <si>
    <t>1908 PIEDMONT HILLS PL</t>
  </si>
  <si>
    <t>APT 832</t>
  </si>
  <si>
    <t>28217-6714</t>
  </si>
  <si>
    <t>I4120B0014</t>
  </si>
  <si>
    <t>MOODY NATHANIEL GRAY</t>
  </si>
  <si>
    <t>514 CHURCH STREET EXT</t>
  </si>
  <si>
    <t>27028-2174</t>
  </si>
  <si>
    <t>L50000001404</t>
  </si>
  <si>
    <t>PLAYER SYLVIA B</t>
  </si>
  <si>
    <t>163 LOIS LANE</t>
  </si>
  <si>
    <t>L50000001410</t>
  </si>
  <si>
    <t>NICHOLS PHYLLIS B &amp; JACK ETAL</t>
  </si>
  <si>
    <t>PLAYER SYLVIA B &amp; TOMMY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</si>
</sst>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898"/>
  <sheetViews>
    <sheetView tabSelected="1" workbookViewId="0"/>
  </sheetViews>
  <sheetFormatPr defaultRowHeight="15" x14ac:dyDescent="0.25"/>
  <sheetData>
    <row r="1" spans="1:2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</row>
    <row r="2" spans="1:25" x14ac:dyDescent="0.25">
      <c r="A2" t="str">
        <f>"3037436"</f>
        <v>3037436</v>
      </c>
      <c r="B2" t="s">
        <v>25</v>
      </c>
      <c r="C2" t="str">
        <f>"54000000"</f>
        <v>54000000</v>
      </c>
      <c r="D2" t="s">
        <v>26</v>
      </c>
      <c r="E2" t="s">
        <v>27</v>
      </c>
      <c r="F2" t="s">
        <v>28</v>
      </c>
      <c r="I2" t="s">
        <v>29</v>
      </c>
      <c r="J2" t="s">
        <v>30</v>
      </c>
      <c r="K2" t="s">
        <v>31</v>
      </c>
      <c r="M2" t="s">
        <v>32</v>
      </c>
      <c r="N2" t="str">
        <f>"6/23/2005 12:00:00 AM"</f>
        <v>6/23/2005 12:00:00 AM</v>
      </c>
      <c r="O2" t="s">
        <v>26</v>
      </c>
      <c r="T2" t="s">
        <v>27</v>
      </c>
    </row>
    <row r="3" spans="1:25" x14ac:dyDescent="0.25">
      <c r="A3" t="str">
        <f>"3037612"</f>
        <v>3037612</v>
      </c>
      <c r="B3" t="s">
        <v>33</v>
      </c>
      <c r="C3" t="str">
        <f>"82519285"</f>
        <v>82519285</v>
      </c>
      <c r="D3" t="s">
        <v>34</v>
      </c>
      <c r="F3" t="s">
        <v>28</v>
      </c>
      <c r="I3" t="s">
        <v>29</v>
      </c>
      <c r="J3" t="s">
        <v>30</v>
      </c>
      <c r="K3" t="s">
        <v>31</v>
      </c>
      <c r="M3" t="s">
        <v>32</v>
      </c>
      <c r="N3" t="str">
        <f>"8/8/2002 12:00:00 AM"</f>
        <v>8/8/2002 12:00:00 AM</v>
      </c>
      <c r="O3" t="s">
        <v>34</v>
      </c>
    </row>
    <row r="4" spans="1:25" x14ac:dyDescent="0.25">
      <c r="A4" t="str">
        <f>"3037650"</f>
        <v>3037650</v>
      </c>
      <c r="B4" t="s">
        <v>35</v>
      </c>
      <c r="C4" t="str">
        <f>"31712000"</f>
        <v>31712000</v>
      </c>
      <c r="D4" t="s">
        <v>36</v>
      </c>
      <c r="F4" t="s">
        <v>37</v>
      </c>
      <c r="I4" t="s">
        <v>29</v>
      </c>
      <c r="J4" t="s">
        <v>30</v>
      </c>
      <c r="K4" t="s">
        <v>38</v>
      </c>
      <c r="M4" t="s">
        <v>32</v>
      </c>
      <c r="N4" t="str">
        <f>"1/17/2006 12:00:00 AM"</f>
        <v>1/17/2006 12:00:00 AM</v>
      </c>
      <c r="O4" t="s">
        <v>36</v>
      </c>
    </row>
    <row r="5" spans="1:25" x14ac:dyDescent="0.25">
      <c r="A5" t="str">
        <f>"3037697"</f>
        <v>3037697</v>
      </c>
      <c r="B5" t="s">
        <v>39</v>
      </c>
      <c r="C5" t="str">
        <f>"82524404"</f>
        <v>82524404</v>
      </c>
      <c r="D5" t="s">
        <v>40</v>
      </c>
      <c r="E5" t="s">
        <v>41</v>
      </c>
      <c r="F5" t="s">
        <v>42</v>
      </c>
      <c r="G5" t="s">
        <v>43</v>
      </c>
      <c r="I5" t="s">
        <v>29</v>
      </c>
      <c r="J5" t="s">
        <v>30</v>
      </c>
      <c r="K5" t="s">
        <v>44</v>
      </c>
      <c r="M5" t="s">
        <v>32</v>
      </c>
      <c r="N5" t="str">
        <f>"1/25/2006 12:00:00 AM"</f>
        <v>1/25/2006 12:00:00 AM</v>
      </c>
      <c r="O5" t="s">
        <v>40</v>
      </c>
      <c r="T5" t="s">
        <v>41</v>
      </c>
    </row>
    <row r="6" spans="1:25" x14ac:dyDescent="0.25">
      <c r="A6" t="str">
        <f>"3037723"</f>
        <v>3037723</v>
      </c>
      <c r="B6" t="s">
        <v>45</v>
      </c>
      <c r="C6" t="str">
        <f>"82524821"</f>
        <v>82524821</v>
      </c>
      <c r="D6" t="s">
        <v>46</v>
      </c>
      <c r="E6" t="s">
        <v>47</v>
      </c>
      <c r="F6" t="s">
        <v>48</v>
      </c>
      <c r="I6" t="s">
        <v>49</v>
      </c>
      <c r="J6" t="s">
        <v>30</v>
      </c>
      <c r="K6" t="s">
        <v>50</v>
      </c>
      <c r="M6" t="s">
        <v>32</v>
      </c>
      <c r="N6" t="str">
        <f>"7/12/2005 12:00:00 AM"</f>
        <v>7/12/2005 12:00:00 AM</v>
      </c>
      <c r="O6" t="s">
        <v>46</v>
      </c>
      <c r="T6" t="s">
        <v>47</v>
      </c>
    </row>
    <row r="7" spans="1:25" x14ac:dyDescent="0.25">
      <c r="A7" t="str">
        <f>"3037751"</f>
        <v>3037751</v>
      </c>
      <c r="B7" t="s">
        <v>51</v>
      </c>
      <c r="C7" t="str">
        <f>"54000000"</f>
        <v>54000000</v>
      </c>
      <c r="D7" t="s">
        <v>26</v>
      </c>
      <c r="E7" t="s">
        <v>27</v>
      </c>
      <c r="F7" t="s">
        <v>28</v>
      </c>
      <c r="I7" t="s">
        <v>29</v>
      </c>
      <c r="J7" t="s">
        <v>30</v>
      </c>
      <c r="K7" t="s">
        <v>31</v>
      </c>
      <c r="M7" t="s">
        <v>32</v>
      </c>
      <c r="N7" t="str">
        <f>"6/23/2005 12:00:00 AM"</f>
        <v>6/23/2005 12:00:00 AM</v>
      </c>
      <c r="O7" t="s">
        <v>26</v>
      </c>
      <c r="T7" t="s">
        <v>27</v>
      </c>
    </row>
    <row r="8" spans="1:25" x14ac:dyDescent="0.25">
      <c r="A8" t="str">
        <f>"3037622"</f>
        <v>3037622</v>
      </c>
      <c r="B8" t="s">
        <v>52</v>
      </c>
      <c r="C8" t="str">
        <f>"82518090"</f>
        <v>82518090</v>
      </c>
      <c r="D8" t="s">
        <v>53</v>
      </c>
      <c r="F8" t="s">
        <v>54</v>
      </c>
      <c r="I8" t="s">
        <v>29</v>
      </c>
      <c r="J8" t="s">
        <v>30</v>
      </c>
      <c r="K8" t="s">
        <v>31</v>
      </c>
      <c r="M8" t="s">
        <v>32</v>
      </c>
      <c r="N8" t="str">
        <f>"4/8/2002 12:00:00 AM"</f>
        <v>4/8/2002 12:00:00 AM</v>
      </c>
      <c r="O8" t="s">
        <v>53</v>
      </c>
    </row>
    <row r="9" spans="1:25" x14ac:dyDescent="0.25">
      <c r="A9" t="str">
        <f>"3037711"</f>
        <v>3037711</v>
      </c>
      <c r="B9" t="s">
        <v>55</v>
      </c>
      <c r="C9" t="str">
        <f>"56322000"</f>
        <v>56322000</v>
      </c>
      <c r="D9" t="s">
        <v>56</v>
      </c>
      <c r="F9" t="s">
        <v>57</v>
      </c>
      <c r="I9" t="s">
        <v>49</v>
      </c>
      <c r="J9" t="s">
        <v>30</v>
      </c>
      <c r="K9" t="s">
        <v>58</v>
      </c>
      <c r="M9" t="s">
        <v>32</v>
      </c>
      <c r="N9" t="str">
        <f>"1/17/2007 12:00:00 AM"</f>
        <v>1/17/2007 12:00:00 AM</v>
      </c>
      <c r="O9" t="s">
        <v>56</v>
      </c>
    </row>
    <row r="10" spans="1:25" x14ac:dyDescent="0.25">
      <c r="A10" t="str">
        <f>"3037775"</f>
        <v>3037775</v>
      </c>
      <c r="B10" t="s">
        <v>59</v>
      </c>
      <c r="C10" t="str">
        <f>"82525366"</f>
        <v>82525366</v>
      </c>
      <c r="D10" t="s">
        <v>60</v>
      </c>
      <c r="E10" t="s">
        <v>61</v>
      </c>
      <c r="F10" t="s">
        <v>62</v>
      </c>
      <c r="I10" t="s">
        <v>29</v>
      </c>
      <c r="J10" t="s">
        <v>30</v>
      </c>
      <c r="K10" t="s">
        <v>31</v>
      </c>
      <c r="M10" t="s">
        <v>32</v>
      </c>
      <c r="N10" t="str">
        <f>"11/28/2007 12:00:00 AM"</f>
        <v>11/28/2007 12:00:00 AM</v>
      </c>
      <c r="O10" t="s">
        <v>60</v>
      </c>
      <c r="T10" t="s">
        <v>61</v>
      </c>
    </row>
    <row r="11" spans="1:25" x14ac:dyDescent="0.25">
      <c r="A11" t="str">
        <f>"3037551"</f>
        <v>3037551</v>
      </c>
      <c r="B11" t="s">
        <v>63</v>
      </c>
      <c r="C11" t="str">
        <f>"82525366"</f>
        <v>82525366</v>
      </c>
      <c r="D11" t="s">
        <v>60</v>
      </c>
      <c r="E11" t="s">
        <v>61</v>
      </c>
      <c r="F11" t="s">
        <v>62</v>
      </c>
      <c r="I11" t="s">
        <v>29</v>
      </c>
      <c r="J11" t="s">
        <v>30</v>
      </c>
      <c r="K11" t="s">
        <v>31</v>
      </c>
      <c r="M11" t="s">
        <v>32</v>
      </c>
      <c r="N11" t="str">
        <f>"11/28/2007 12:00:00 AM"</f>
        <v>11/28/2007 12:00:00 AM</v>
      </c>
      <c r="O11" t="s">
        <v>60</v>
      </c>
      <c r="T11" t="s">
        <v>61</v>
      </c>
    </row>
    <row r="12" spans="1:25" x14ac:dyDescent="0.25">
      <c r="A12" t="str">
        <f>"3037553"</f>
        <v>3037553</v>
      </c>
      <c r="B12" t="s">
        <v>64</v>
      </c>
      <c r="C12" t="str">
        <f>"82525366"</f>
        <v>82525366</v>
      </c>
      <c r="D12" t="s">
        <v>60</v>
      </c>
      <c r="E12" t="s">
        <v>61</v>
      </c>
      <c r="F12" t="s">
        <v>62</v>
      </c>
      <c r="I12" t="s">
        <v>29</v>
      </c>
      <c r="J12" t="s">
        <v>30</v>
      </c>
      <c r="K12" t="s">
        <v>31</v>
      </c>
      <c r="M12" t="s">
        <v>32</v>
      </c>
      <c r="N12" t="str">
        <f>"11/28/2007 12:00:00 AM"</f>
        <v>11/28/2007 12:00:00 AM</v>
      </c>
      <c r="O12" t="s">
        <v>60</v>
      </c>
      <c r="T12" t="s">
        <v>61</v>
      </c>
    </row>
    <row r="13" spans="1:25" x14ac:dyDescent="0.25">
      <c r="A13" t="str">
        <f>"3079103"</f>
        <v>3079103</v>
      </c>
      <c r="B13" t="s">
        <v>65</v>
      </c>
      <c r="C13" t="str">
        <f>"24316500"</f>
        <v>24316500</v>
      </c>
      <c r="D13" t="s">
        <v>60</v>
      </c>
      <c r="F13" t="s">
        <v>66</v>
      </c>
      <c r="I13" t="s">
        <v>29</v>
      </c>
      <c r="J13" t="s">
        <v>30</v>
      </c>
      <c r="K13" t="s">
        <v>31</v>
      </c>
      <c r="M13" t="s">
        <v>32</v>
      </c>
      <c r="N13" t="str">
        <f>"1/25/2010 12:00:00 AM"</f>
        <v>1/25/2010 12:00:00 AM</v>
      </c>
      <c r="O13" t="s">
        <v>60</v>
      </c>
    </row>
    <row r="14" spans="1:25" x14ac:dyDescent="0.25">
      <c r="A14" t="str">
        <f>"3037768"</f>
        <v>3037768</v>
      </c>
      <c r="B14" t="s">
        <v>67</v>
      </c>
      <c r="C14" t="str">
        <f>"77151000"</f>
        <v>77151000</v>
      </c>
      <c r="D14" t="s">
        <v>68</v>
      </c>
      <c r="F14" t="s">
        <v>69</v>
      </c>
      <c r="I14" t="s">
        <v>29</v>
      </c>
      <c r="J14" t="s">
        <v>30</v>
      </c>
      <c r="K14" t="s">
        <v>70</v>
      </c>
      <c r="M14" t="s">
        <v>32</v>
      </c>
      <c r="N14" t="str">
        <f>"2/21/2005 12:00:00 AM"</f>
        <v>2/21/2005 12:00:00 AM</v>
      </c>
      <c r="O14" t="s">
        <v>68</v>
      </c>
    </row>
    <row r="15" spans="1:25" x14ac:dyDescent="0.25">
      <c r="A15" t="str">
        <f>"3037769"</f>
        <v>3037769</v>
      </c>
      <c r="B15" t="s">
        <v>71</v>
      </c>
      <c r="C15" t="str">
        <f>"77151000"</f>
        <v>77151000</v>
      </c>
      <c r="D15" t="s">
        <v>68</v>
      </c>
      <c r="F15" t="s">
        <v>69</v>
      </c>
      <c r="I15" t="s">
        <v>29</v>
      </c>
      <c r="J15" t="s">
        <v>30</v>
      </c>
      <c r="K15" t="s">
        <v>70</v>
      </c>
      <c r="M15" t="s">
        <v>32</v>
      </c>
      <c r="N15" t="str">
        <f>"2/21/2005 12:00:00 AM"</f>
        <v>2/21/2005 12:00:00 AM</v>
      </c>
      <c r="O15" t="s">
        <v>68</v>
      </c>
    </row>
    <row r="16" spans="1:25" x14ac:dyDescent="0.25">
      <c r="A16" t="str">
        <f>"3037759"</f>
        <v>3037759</v>
      </c>
      <c r="B16" t="s">
        <v>72</v>
      </c>
      <c r="C16" t="str">
        <f>"77151000"</f>
        <v>77151000</v>
      </c>
      <c r="D16" t="s">
        <v>68</v>
      </c>
      <c r="F16" t="s">
        <v>69</v>
      </c>
      <c r="I16" t="s">
        <v>29</v>
      </c>
      <c r="J16" t="s">
        <v>30</v>
      </c>
      <c r="K16" t="s">
        <v>70</v>
      </c>
      <c r="M16" t="s">
        <v>32</v>
      </c>
      <c r="N16" t="str">
        <f>"2/21/2005 12:00:00 AM"</f>
        <v>2/21/2005 12:00:00 AM</v>
      </c>
      <c r="O16" t="s">
        <v>68</v>
      </c>
    </row>
    <row r="17" spans="1:20" x14ac:dyDescent="0.25">
      <c r="A17" t="str">
        <f>"3037455"</f>
        <v>3037455</v>
      </c>
      <c r="B17" t="s">
        <v>73</v>
      </c>
      <c r="C17" t="str">
        <f>"82521127"</f>
        <v>82521127</v>
      </c>
      <c r="D17" t="s">
        <v>74</v>
      </c>
      <c r="E17" t="s">
        <v>75</v>
      </c>
      <c r="F17" t="s">
        <v>76</v>
      </c>
      <c r="I17" t="s">
        <v>49</v>
      </c>
      <c r="J17" t="s">
        <v>30</v>
      </c>
      <c r="K17" t="s">
        <v>77</v>
      </c>
      <c r="M17" t="s">
        <v>32</v>
      </c>
      <c r="N17" t="str">
        <f>"8/21/2008 12:00:00 AM"</f>
        <v>8/21/2008 12:00:00 AM</v>
      </c>
      <c r="O17" t="s">
        <v>74</v>
      </c>
      <c r="T17" t="s">
        <v>75</v>
      </c>
    </row>
    <row r="18" spans="1:20" x14ac:dyDescent="0.25">
      <c r="A18" t="str">
        <f>"3037707"</f>
        <v>3037707</v>
      </c>
      <c r="B18" t="s">
        <v>78</v>
      </c>
      <c r="C18" t="str">
        <f>"56928000"</f>
        <v>56928000</v>
      </c>
      <c r="D18" t="s">
        <v>79</v>
      </c>
      <c r="F18" t="s">
        <v>80</v>
      </c>
      <c r="I18" t="s">
        <v>29</v>
      </c>
      <c r="J18" t="s">
        <v>30</v>
      </c>
      <c r="K18" t="s">
        <v>31</v>
      </c>
      <c r="M18" t="s">
        <v>32</v>
      </c>
      <c r="N18" t="str">
        <f>"2/17/2010 12:00:00 AM"</f>
        <v>2/17/2010 12:00:00 AM</v>
      </c>
      <c r="O18" t="s">
        <v>79</v>
      </c>
    </row>
    <row r="19" spans="1:20" x14ac:dyDescent="0.25">
      <c r="A19" t="str">
        <f>"3037457"</f>
        <v>3037457</v>
      </c>
      <c r="B19" t="s">
        <v>81</v>
      </c>
      <c r="C19" t="str">
        <f>"82521127"</f>
        <v>82521127</v>
      </c>
      <c r="D19" t="s">
        <v>74</v>
      </c>
      <c r="E19" t="s">
        <v>75</v>
      </c>
      <c r="F19" t="s">
        <v>76</v>
      </c>
      <c r="I19" t="s">
        <v>49</v>
      </c>
      <c r="J19" t="s">
        <v>30</v>
      </c>
      <c r="K19" t="s">
        <v>77</v>
      </c>
      <c r="M19" t="s">
        <v>32</v>
      </c>
      <c r="N19" t="str">
        <f>"8/21/2008 12:00:00 AM"</f>
        <v>8/21/2008 12:00:00 AM</v>
      </c>
      <c r="O19" t="s">
        <v>74</v>
      </c>
      <c r="T19" t="s">
        <v>75</v>
      </c>
    </row>
    <row r="20" spans="1:20" x14ac:dyDescent="0.25">
      <c r="A20" t="str">
        <f>"3037672"</f>
        <v>3037672</v>
      </c>
      <c r="B20" t="s">
        <v>82</v>
      </c>
      <c r="C20" t="str">
        <f>"21084000"</f>
        <v>21084000</v>
      </c>
      <c r="D20" t="s">
        <v>83</v>
      </c>
      <c r="E20" t="s">
        <v>84</v>
      </c>
      <c r="F20" t="s">
        <v>85</v>
      </c>
      <c r="I20" t="s">
        <v>49</v>
      </c>
      <c r="J20" t="s">
        <v>30</v>
      </c>
      <c r="K20" t="s">
        <v>50</v>
      </c>
      <c r="M20" t="s">
        <v>32</v>
      </c>
      <c r="N20" t="str">
        <f>"7/21/2003 12:00:00 AM"</f>
        <v>7/21/2003 12:00:00 AM</v>
      </c>
      <c r="O20" t="s">
        <v>83</v>
      </c>
      <c r="T20" t="s">
        <v>84</v>
      </c>
    </row>
    <row r="21" spans="1:20" x14ac:dyDescent="0.25">
      <c r="A21" t="str">
        <f>"3066278"</f>
        <v>3066278</v>
      </c>
      <c r="B21" t="s">
        <v>86</v>
      </c>
      <c r="C21" t="str">
        <f>"49613000"</f>
        <v>49613000</v>
      </c>
      <c r="D21" t="s">
        <v>87</v>
      </c>
      <c r="F21" t="s">
        <v>88</v>
      </c>
      <c r="I21" t="s">
        <v>29</v>
      </c>
      <c r="J21" t="s">
        <v>30</v>
      </c>
      <c r="K21" t="s">
        <v>31</v>
      </c>
      <c r="M21" t="s">
        <v>32</v>
      </c>
      <c r="N21" t="str">
        <f>"8/18/2011 12:00:00 AM"</f>
        <v>8/18/2011 12:00:00 AM</v>
      </c>
      <c r="O21" t="s">
        <v>87</v>
      </c>
    </row>
    <row r="22" spans="1:20" x14ac:dyDescent="0.25">
      <c r="A22" t="str">
        <f>"3037714"</f>
        <v>3037714</v>
      </c>
      <c r="B22" t="s">
        <v>89</v>
      </c>
      <c r="C22" t="str">
        <f>"82523433"</f>
        <v>82523433</v>
      </c>
      <c r="D22" t="s">
        <v>90</v>
      </c>
      <c r="F22" t="s">
        <v>91</v>
      </c>
      <c r="I22" t="s">
        <v>29</v>
      </c>
      <c r="J22" t="s">
        <v>30</v>
      </c>
      <c r="K22" t="s">
        <v>92</v>
      </c>
      <c r="M22" t="s">
        <v>32</v>
      </c>
      <c r="N22" t="str">
        <f>"2/23/2005 12:00:00 AM"</f>
        <v>2/23/2005 12:00:00 AM</v>
      </c>
      <c r="O22" t="s">
        <v>90</v>
      </c>
    </row>
    <row r="23" spans="1:20" x14ac:dyDescent="0.25">
      <c r="A23" t="str">
        <f>"3037705"</f>
        <v>3037705</v>
      </c>
      <c r="B23" t="s">
        <v>93</v>
      </c>
      <c r="C23" t="str">
        <f>"49595250"</f>
        <v>49595250</v>
      </c>
      <c r="D23" t="s">
        <v>94</v>
      </c>
      <c r="E23" t="s">
        <v>95</v>
      </c>
      <c r="F23" t="s">
        <v>96</v>
      </c>
      <c r="I23" t="s">
        <v>29</v>
      </c>
      <c r="J23" t="s">
        <v>30</v>
      </c>
      <c r="K23" t="s">
        <v>31</v>
      </c>
      <c r="M23" t="s">
        <v>32</v>
      </c>
      <c r="N23" t="str">
        <f>"3/5/2002 12:00:00 AM"</f>
        <v>3/5/2002 12:00:00 AM</v>
      </c>
      <c r="O23" t="s">
        <v>94</v>
      </c>
      <c r="T23" t="s">
        <v>95</v>
      </c>
    </row>
    <row r="24" spans="1:20" x14ac:dyDescent="0.25">
      <c r="A24" t="str">
        <f>"3037549"</f>
        <v>3037549</v>
      </c>
      <c r="B24" t="s">
        <v>97</v>
      </c>
      <c r="C24" t="str">
        <f>"21378500"</f>
        <v>21378500</v>
      </c>
      <c r="D24" t="s">
        <v>98</v>
      </c>
      <c r="F24" t="s">
        <v>99</v>
      </c>
      <c r="I24" t="s">
        <v>29</v>
      </c>
      <c r="J24" t="s">
        <v>30</v>
      </c>
      <c r="K24" t="s">
        <v>100</v>
      </c>
      <c r="M24" t="s">
        <v>32</v>
      </c>
      <c r="N24" t="str">
        <f>"7/22/2003 12:00:00 AM"</f>
        <v>7/22/2003 12:00:00 AM</v>
      </c>
      <c r="O24" t="s">
        <v>98</v>
      </c>
    </row>
    <row r="25" spans="1:20" x14ac:dyDescent="0.25">
      <c r="A25" t="str">
        <f>"3065125"</f>
        <v>3065125</v>
      </c>
      <c r="B25" t="s">
        <v>101</v>
      </c>
      <c r="C25" t="str">
        <f>"82521115"</f>
        <v>82521115</v>
      </c>
      <c r="D25" t="s">
        <v>102</v>
      </c>
      <c r="E25" t="s">
        <v>103</v>
      </c>
      <c r="F25" t="s">
        <v>104</v>
      </c>
      <c r="I25" t="s">
        <v>29</v>
      </c>
      <c r="J25" t="s">
        <v>30</v>
      </c>
      <c r="K25" t="s">
        <v>31</v>
      </c>
      <c r="M25" t="s">
        <v>32</v>
      </c>
      <c r="N25" t="str">
        <f>"1/22/2004 12:00:00 AM"</f>
        <v>1/22/2004 12:00:00 AM</v>
      </c>
      <c r="O25" t="s">
        <v>102</v>
      </c>
      <c r="T25" t="s">
        <v>103</v>
      </c>
    </row>
    <row r="26" spans="1:20" x14ac:dyDescent="0.25">
      <c r="A26" t="str">
        <f>"3037613"</f>
        <v>3037613</v>
      </c>
      <c r="B26" t="s">
        <v>105</v>
      </c>
      <c r="C26" t="str">
        <f>"82527780"</f>
        <v>82527780</v>
      </c>
      <c r="D26" t="s">
        <v>106</v>
      </c>
      <c r="F26" t="s">
        <v>107</v>
      </c>
      <c r="I26" t="s">
        <v>29</v>
      </c>
      <c r="J26" t="s">
        <v>30</v>
      </c>
      <c r="K26" t="s">
        <v>31</v>
      </c>
      <c r="M26" t="s">
        <v>32</v>
      </c>
      <c r="N26" t="str">
        <f>"10/29/2008 12:00:00 AM"</f>
        <v>10/29/2008 12:00:00 AM</v>
      </c>
      <c r="O26" t="s">
        <v>106</v>
      </c>
    </row>
    <row r="27" spans="1:20" x14ac:dyDescent="0.25">
      <c r="A27" t="str">
        <f>"3037739"</f>
        <v>3037739</v>
      </c>
      <c r="B27" t="s">
        <v>108</v>
      </c>
      <c r="C27" t="str">
        <f>"82517475"</f>
        <v>82517475</v>
      </c>
      <c r="D27" t="s">
        <v>109</v>
      </c>
      <c r="E27" t="s">
        <v>110</v>
      </c>
      <c r="F27" t="s">
        <v>111</v>
      </c>
      <c r="I27" t="s">
        <v>29</v>
      </c>
      <c r="J27" t="s">
        <v>30</v>
      </c>
      <c r="K27" t="s">
        <v>112</v>
      </c>
      <c r="M27" t="s">
        <v>32</v>
      </c>
      <c r="N27" t="str">
        <f>"3/4/2005 12:00:00 AM"</f>
        <v>3/4/2005 12:00:00 AM</v>
      </c>
      <c r="O27" t="s">
        <v>109</v>
      </c>
      <c r="T27" t="s">
        <v>110</v>
      </c>
    </row>
    <row r="28" spans="1:20" x14ac:dyDescent="0.25">
      <c r="A28" t="str">
        <f>"3039154"</f>
        <v>3039154</v>
      </c>
      <c r="B28" t="s">
        <v>113</v>
      </c>
      <c r="C28" t="str">
        <f>"29049250"</f>
        <v>29049250</v>
      </c>
      <c r="D28" t="s">
        <v>114</v>
      </c>
      <c r="E28" t="s">
        <v>115</v>
      </c>
      <c r="F28" t="s">
        <v>116</v>
      </c>
      <c r="I28" t="s">
        <v>29</v>
      </c>
      <c r="J28" t="s">
        <v>30</v>
      </c>
      <c r="K28" t="s">
        <v>31</v>
      </c>
      <c r="M28" t="s">
        <v>32</v>
      </c>
      <c r="N28" t="str">
        <f>"3/17/2005 12:00:00 AM"</f>
        <v>3/17/2005 12:00:00 AM</v>
      </c>
      <c r="O28" t="s">
        <v>114</v>
      </c>
      <c r="T28" t="s">
        <v>115</v>
      </c>
    </row>
    <row r="29" spans="1:20" x14ac:dyDescent="0.25">
      <c r="A29" t="str">
        <f>"3039136"</f>
        <v>3039136</v>
      </c>
      <c r="B29" t="s">
        <v>117</v>
      </c>
      <c r="C29" t="str">
        <f>"77865000"</f>
        <v>77865000</v>
      </c>
      <c r="D29" t="s">
        <v>118</v>
      </c>
      <c r="E29" t="s">
        <v>119</v>
      </c>
      <c r="F29" t="s">
        <v>120</v>
      </c>
      <c r="I29" t="s">
        <v>29</v>
      </c>
      <c r="J29" t="s">
        <v>30</v>
      </c>
      <c r="K29" t="s">
        <v>31</v>
      </c>
      <c r="M29" t="s">
        <v>32</v>
      </c>
      <c r="N29" t="str">
        <f>"2/10/2004 12:00:00 AM"</f>
        <v>2/10/2004 12:00:00 AM</v>
      </c>
      <c r="O29" t="s">
        <v>118</v>
      </c>
      <c r="T29" t="s">
        <v>119</v>
      </c>
    </row>
    <row r="30" spans="1:20" x14ac:dyDescent="0.25">
      <c r="A30" t="str">
        <f>"3037668"</f>
        <v>3037668</v>
      </c>
      <c r="B30" t="s">
        <v>121</v>
      </c>
      <c r="C30" t="str">
        <f>"63490350"</f>
        <v>63490350</v>
      </c>
      <c r="D30" t="s">
        <v>122</v>
      </c>
      <c r="E30" t="s">
        <v>123</v>
      </c>
      <c r="F30" t="s">
        <v>124</v>
      </c>
      <c r="I30" t="s">
        <v>29</v>
      </c>
      <c r="J30" t="s">
        <v>30</v>
      </c>
      <c r="K30" t="s">
        <v>31</v>
      </c>
      <c r="M30" t="s">
        <v>32</v>
      </c>
      <c r="N30" t="str">
        <f>"3/5/2002 12:00:00 AM"</f>
        <v>3/5/2002 12:00:00 AM</v>
      </c>
      <c r="O30" t="s">
        <v>122</v>
      </c>
      <c r="T30" t="s">
        <v>123</v>
      </c>
    </row>
    <row r="31" spans="1:20" x14ac:dyDescent="0.25">
      <c r="A31" t="str">
        <f>"3037716"</f>
        <v>3037716</v>
      </c>
      <c r="B31" t="s">
        <v>125</v>
      </c>
      <c r="C31" t="str">
        <f>"60544000"</f>
        <v>60544000</v>
      </c>
      <c r="D31" t="s">
        <v>126</v>
      </c>
      <c r="F31" t="s">
        <v>127</v>
      </c>
      <c r="I31" t="s">
        <v>29</v>
      </c>
      <c r="J31" t="s">
        <v>30</v>
      </c>
      <c r="K31" t="s">
        <v>31</v>
      </c>
      <c r="M31" t="s">
        <v>32</v>
      </c>
      <c r="N31" t="str">
        <f>"4/8/2004 12:00:00 AM"</f>
        <v>4/8/2004 12:00:00 AM</v>
      </c>
      <c r="O31" t="s">
        <v>126</v>
      </c>
    </row>
    <row r="32" spans="1:20" x14ac:dyDescent="0.25">
      <c r="A32" t="str">
        <f>"3037596"</f>
        <v>3037596</v>
      </c>
      <c r="B32" t="s">
        <v>128</v>
      </c>
      <c r="C32" t="str">
        <f>"2938000"</f>
        <v>2938000</v>
      </c>
      <c r="D32" t="s">
        <v>129</v>
      </c>
      <c r="E32" t="s">
        <v>130</v>
      </c>
      <c r="F32" t="s">
        <v>131</v>
      </c>
      <c r="I32" t="s">
        <v>49</v>
      </c>
      <c r="J32" t="s">
        <v>30</v>
      </c>
      <c r="K32" t="s">
        <v>58</v>
      </c>
      <c r="M32" t="s">
        <v>32</v>
      </c>
      <c r="N32" t="str">
        <f>"1/20/2006 12:00:00 AM"</f>
        <v>1/20/2006 12:00:00 AM</v>
      </c>
      <c r="O32" t="s">
        <v>129</v>
      </c>
      <c r="T32" t="s">
        <v>130</v>
      </c>
    </row>
    <row r="33" spans="1:20" x14ac:dyDescent="0.25">
      <c r="A33" t="str">
        <f>"3040152"</f>
        <v>3040152</v>
      </c>
      <c r="B33" t="s">
        <v>132</v>
      </c>
      <c r="C33" t="str">
        <f>"22444000"</f>
        <v>22444000</v>
      </c>
      <c r="D33" t="s">
        <v>133</v>
      </c>
      <c r="E33" t="s">
        <v>134</v>
      </c>
      <c r="F33" t="s">
        <v>135</v>
      </c>
      <c r="I33" t="s">
        <v>29</v>
      </c>
      <c r="J33" t="s">
        <v>30</v>
      </c>
      <c r="K33" t="s">
        <v>136</v>
      </c>
      <c r="M33" t="s">
        <v>32</v>
      </c>
      <c r="N33" t="str">
        <f>"2/1/2006 12:00:00 AM"</f>
        <v>2/1/2006 12:00:00 AM</v>
      </c>
      <c r="O33" t="s">
        <v>133</v>
      </c>
      <c r="T33" t="s">
        <v>134</v>
      </c>
    </row>
    <row r="34" spans="1:20" x14ac:dyDescent="0.25">
      <c r="A34" t="str">
        <f>"3037415"</f>
        <v>3037415</v>
      </c>
      <c r="B34" t="s">
        <v>137</v>
      </c>
      <c r="C34" t="str">
        <f>"82526847"</f>
        <v>82526847</v>
      </c>
      <c r="D34" t="s">
        <v>138</v>
      </c>
      <c r="E34" t="s">
        <v>139</v>
      </c>
      <c r="F34" t="s">
        <v>140</v>
      </c>
      <c r="I34" t="s">
        <v>29</v>
      </c>
      <c r="J34" t="s">
        <v>30</v>
      </c>
      <c r="K34" t="s">
        <v>31</v>
      </c>
      <c r="M34" t="s">
        <v>32</v>
      </c>
      <c r="N34" t="str">
        <f>"1/24/2007 12:00:00 AM"</f>
        <v>1/24/2007 12:00:00 AM</v>
      </c>
      <c r="O34" t="s">
        <v>138</v>
      </c>
      <c r="T34" t="s">
        <v>139</v>
      </c>
    </row>
    <row r="35" spans="1:20" x14ac:dyDescent="0.25">
      <c r="A35" t="str">
        <f>"3037597"</f>
        <v>3037597</v>
      </c>
      <c r="B35" t="s">
        <v>141</v>
      </c>
      <c r="C35" t="str">
        <f>"82526847"</f>
        <v>82526847</v>
      </c>
      <c r="D35" t="s">
        <v>138</v>
      </c>
      <c r="E35" t="s">
        <v>139</v>
      </c>
      <c r="F35" t="s">
        <v>140</v>
      </c>
      <c r="I35" t="s">
        <v>29</v>
      </c>
      <c r="J35" t="s">
        <v>30</v>
      </c>
      <c r="K35" t="s">
        <v>31</v>
      </c>
      <c r="M35" t="s">
        <v>32</v>
      </c>
      <c r="N35" t="str">
        <f>"1/24/2007 12:00:00 AM"</f>
        <v>1/24/2007 12:00:00 AM</v>
      </c>
      <c r="O35" t="s">
        <v>138</v>
      </c>
      <c r="T35" t="s">
        <v>139</v>
      </c>
    </row>
    <row r="36" spans="1:20" x14ac:dyDescent="0.25">
      <c r="A36" t="str">
        <f>"3037521"</f>
        <v>3037521</v>
      </c>
      <c r="B36" t="s">
        <v>142</v>
      </c>
      <c r="C36" t="str">
        <f>"82526847"</f>
        <v>82526847</v>
      </c>
      <c r="D36" t="s">
        <v>138</v>
      </c>
      <c r="E36" t="s">
        <v>139</v>
      </c>
      <c r="F36" t="s">
        <v>140</v>
      </c>
      <c r="I36" t="s">
        <v>29</v>
      </c>
      <c r="J36" t="s">
        <v>30</v>
      </c>
      <c r="K36" t="s">
        <v>31</v>
      </c>
      <c r="M36" t="s">
        <v>32</v>
      </c>
      <c r="N36" t="str">
        <f>"1/24/2007 12:00:00 AM"</f>
        <v>1/24/2007 12:00:00 AM</v>
      </c>
      <c r="O36" t="s">
        <v>138</v>
      </c>
      <c r="T36" t="s">
        <v>139</v>
      </c>
    </row>
    <row r="37" spans="1:20" x14ac:dyDescent="0.25">
      <c r="A37" t="str">
        <f>"3037631"</f>
        <v>3037631</v>
      </c>
      <c r="B37" t="s">
        <v>143</v>
      </c>
      <c r="C37" t="str">
        <f>"15110000"</f>
        <v>15110000</v>
      </c>
      <c r="D37" t="s">
        <v>144</v>
      </c>
      <c r="F37" t="s">
        <v>145</v>
      </c>
      <c r="I37" t="s">
        <v>29</v>
      </c>
      <c r="J37" t="s">
        <v>30</v>
      </c>
      <c r="K37" t="s">
        <v>31</v>
      </c>
      <c r="M37" t="s">
        <v>32</v>
      </c>
      <c r="N37" t="str">
        <f>"3/6/2002 12:00:00 AM"</f>
        <v>3/6/2002 12:00:00 AM</v>
      </c>
      <c r="O37" t="s">
        <v>144</v>
      </c>
    </row>
    <row r="38" spans="1:20" x14ac:dyDescent="0.25">
      <c r="A38" t="str">
        <f>"3037464"</f>
        <v>3037464</v>
      </c>
      <c r="B38" t="s">
        <v>146</v>
      </c>
      <c r="C38" t="str">
        <f>"15110000"</f>
        <v>15110000</v>
      </c>
      <c r="D38" t="s">
        <v>144</v>
      </c>
      <c r="F38" t="s">
        <v>145</v>
      </c>
      <c r="I38" t="s">
        <v>29</v>
      </c>
      <c r="J38" t="s">
        <v>30</v>
      </c>
      <c r="K38" t="s">
        <v>31</v>
      </c>
      <c r="M38" t="s">
        <v>32</v>
      </c>
      <c r="N38" t="str">
        <f>"3/6/2002 12:00:00 AM"</f>
        <v>3/6/2002 12:00:00 AM</v>
      </c>
      <c r="O38" t="s">
        <v>144</v>
      </c>
    </row>
    <row r="39" spans="1:20" x14ac:dyDescent="0.25">
      <c r="A39" t="str">
        <f>"3037721"</f>
        <v>3037721</v>
      </c>
      <c r="B39" t="s">
        <v>147</v>
      </c>
      <c r="C39" t="str">
        <f>"22444000"</f>
        <v>22444000</v>
      </c>
      <c r="D39" t="s">
        <v>133</v>
      </c>
      <c r="E39" t="s">
        <v>134</v>
      </c>
      <c r="F39" t="s">
        <v>135</v>
      </c>
      <c r="I39" t="s">
        <v>29</v>
      </c>
      <c r="J39" t="s">
        <v>30</v>
      </c>
      <c r="K39" t="s">
        <v>136</v>
      </c>
      <c r="M39" t="s">
        <v>32</v>
      </c>
      <c r="N39" t="str">
        <f>"2/1/2006 12:00:00 AM"</f>
        <v>2/1/2006 12:00:00 AM</v>
      </c>
      <c r="O39" t="s">
        <v>133</v>
      </c>
      <c r="T39" t="s">
        <v>134</v>
      </c>
    </row>
    <row r="40" spans="1:20" x14ac:dyDescent="0.25">
      <c r="A40" t="str">
        <f>"3037738"</f>
        <v>3037738</v>
      </c>
      <c r="B40" t="s">
        <v>148</v>
      </c>
      <c r="C40" t="str">
        <f>"82526442"</f>
        <v>82526442</v>
      </c>
      <c r="D40" t="s">
        <v>149</v>
      </c>
      <c r="E40" t="s">
        <v>150</v>
      </c>
      <c r="F40" t="s">
        <v>151</v>
      </c>
      <c r="I40" t="s">
        <v>49</v>
      </c>
      <c r="J40" t="s">
        <v>30</v>
      </c>
      <c r="K40" t="s">
        <v>50</v>
      </c>
      <c r="M40" t="s">
        <v>32</v>
      </c>
      <c r="N40" t="str">
        <f>"2/15/2007 12:00:00 AM"</f>
        <v>2/15/2007 12:00:00 AM</v>
      </c>
      <c r="O40" t="s">
        <v>149</v>
      </c>
      <c r="T40" t="s">
        <v>150</v>
      </c>
    </row>
    <row r="41" spans="1:20" x14ac:dyDescent="0.25">
      <c r="A41" t="str">
        <f>"3037576"</f>
        <v>3037576</v>
      </c>
      <c r="B41" t="s">
        <v>152</v>
      </c>
      <c r="C41" t="str">
        <f>"65804000"</f>
        <v>65804000</v>
      </c>
      <c r="D41" t="s">
        <v>153</v>
      </c>
      <c r="E41" t="s">
        <v>154</v>
      </c>
      <c r="F41" t="s">
        <v>155</v>
      </c>
      <c r="I41" t="s">
        <v>49</v>
      </c>
      <c r="J41" t="s">
        <v>30</v>
      </c>
      <c r="K41" t="s">
        <v>50</v>
      </c>
      <c r="M41" t="s">
        <v>32</v>
      </c>
      <c r="N41" t="str">
        <f>"5/6/2004 12:00:00 AM"</f>
        <v>5/6/2004 12:00:00 AM</v>
      </c>
      <c r="O41" t="s">
        <v>153</v>
      </c>
      <c r="T41" t="s">
        <v>154</v>
      </c>
    </row>
    <row r="42" spans="1:20" x14ac:dyDescent="0.25">
      <c r="A42" t="str">
        <f>"3063714"</f>
        <v>3063714</v>
      </c>
      <c r="B42" t="s">
        <v>156</v>
      </c>
      <c r="C42" t="str">
        <f>"12826340"</f>
        <v>12826340</v>
      </c>
      <c r="D42" t="s">
        <v>157</v>
      </c>
      <c r="E42" t="s">
        <v>158</v>
      </c>
      <c r="F42" t="s">
        <v>159</v>
      </c>
      <c r="I42" t="s">
        <v>29</v>
      </c>
      <c r="J42" t="s">
        <v>30</v>
      </c>
      <c r="K42" t="s">
        <v>31</v>
      </c>
      <c r="M42" t="s">
        <v>32</v>
      </c>
      <c r="N42" t="str">
        <f>"6/18/2003 12:00:00 AM"</f>
        <v>6/18/2003 12:00:00 AM</v>
      </c>
      <c r="O42" t="s">
        <v>157</v>
      </c>
      <c r="T42" t="s">
        <v>158</v>
      </c>
    </row>
    <row r="43" spans="1:20" x14ac:dyDescent="0.25">
      <c r="A43" t="str">
        <f>"3052792"</f>
        <v>3052792</v>
      </c>
      <c r="B43" t="s">
        <v>160</v>
      </c>
      <c r="C43" t="str">
        <f>"82513153"</f>
        <v>82513153</v>
      </c>
      <c r="D43" t="s">
        <v>161</v>
      </c>
      <c r="F43" t="s">
        <v>162</v>
      </c>
      <c r="I43" t="s">
        <v>163</v>
      </c>
      <c r="J43" t="s">
        <v>30</v>
      </c>
      <c r="K43" t="s">
        <v>164</v>
      </c>
      <c r="M43" t="s">
        <v>32</v>
      </c>
      <c r="N43" t="str">
        <f>"1/13/2006 12:00:00 AM"</f>
        <v>1/13/2006 12:00:00 AM</v>
      </c>
      <c r="O43" t="s">
        <v>161</v>
      </c>
    </row>
    <row r="44" spans="1:20" x14ac:dyDescent="0.25">
      <c r="A44" t="str">
        <f>"3039221"</f>
        <v>3039221</v>
      </c>
      <c r="B44" t="s">
        <v>165</v>
      </c>
      <c r="C44" t="str">
        <f>"78972000"</f>
        <v>78972000</v>
      </c>
      <c r="D44" t="s">
        <v>166</v>
      </c>
      <c r="F44" t="s">
        <v>167</v>
      </c>
      <c r="I44" t="s">
        <v>29</v>
      </c>
      <c r="J44" t="s">
        <v>30</v>
      </c>
      <c r="K44" t="s">
        <v>168</v>
      </c>
      <c r="M44" t="s">
        <v>32</v>
      </c>
      <c r="N44" t="str">
        <f>"2/4/2010 12:00:00 AM"</f>
        <v>2/4/2010 12:00:00 AM</v>
      </c>
      <c r="O44" t="s">
        <v>166</v>
      </c>
    </row>
    <row r="45" spans="1:20" x14ac:dyDescent="0.25">
      <c r="A45" t="str">
        <f>"3037931"</f>
        <v>3037931</v>
      </c>
      <c r="B45" t="s">
        <v>169</v>
      </c>
      <c r="C45" t="str">
        <f>"82523737"</f>
        <v>82523737</v>
      </c>
      <c r="D45" t="s">
        <v>170</v>
      </c>
      <c r="E45" t="s">
        <v>171</v>
      </c>
      <c r="F45" t="s">
        <v>172</v>
      </c>
      <c r="I45" t="s">
        <v>29</v>
      </c>
      <c r="J45" t="s">
        <v>30</v>
      </c>
      <c r="K45" t="s">
        <v>173</v>
      </c>
      <c r="M45" t="s">
        <v>32</v>
      </c>
      <c r="N45" t="str">
        <f>"1/6/2006 12:00:00 AM"</f>
        <v>1/6/2006 12:00:00 AM</v>
      </c>
      <c r="O45" t="s">
        <v>170</v>
      </c>
      <c r="T45" t="s">
        <v>171</v>
      </c>
    </row>
    <row r="46" spans="1:20" x14ac:dyDescent="0.25">
      <c r="A46" t="str">
        <f>"3070614"</f>
        <v>3070614</v>
      </c>
      <c r="B46" t="s">
        <v>174</v>
      </c>
      <c r="C46" t="str">
        <f>"82523737"</f>
        <v>82523737</v>
      </c>
      <c r="D46" t="s">
        <v>170</v>
      </c>
      <c r="E46" t="s">
        <v>171</v>
      </c>
      <c r="F46" t="s">
        <v>172</v>
      </c>
      <c r="I46" t="s">
        <v>29</v>
      </c>
      <c r="J46" t="s">
        <v>30</v>
      </c>
      <c r="K46" t="s">
        <v>173</v>
      </c>
      <c r="M46" t="s">
        <v>32</v>
      </c>
      <c r="N46" t="str">
        <f>"1/6/2006 12:00:00 AM"</f>
        <v>1/6/2006 12:00:00 AM</v>
      </c>
      <c r="O46" t="s">
        <v>170</v>
      </c>
      <c r="T46" t="s">
        <v>171</v>
      </c>
    </row>
    <row r="47" spans="1:20" x14ac:dyDescent="0.25">
      <c r="A47" t="str">
        <f>"3038709"</f>
        <v>3038709</v>
      </c>
      <c r="B47" t="s">
        <v>175</v>
      </c>
      <c r="C47" t="str">
        <f>"26115250"</f>
        <v>26115250</v>
      </c>
      <c r="D47" t="s">
        <v>176</v>
      </c>
      <c r="F47" t="s">
        <v>177</v>
      </c>
      <c r="I47" t="s">
        <v>29</v>
      </c>
      <c r="J47" t="s">
        <v>30</v>
      </c>
      <c r="K47" t="s">
        <v>178</v>
      </c>
      <c r="M47" t="s">
        <v>32</v>
      </c>
      <c r="N47" t="str">
        <f>"1/17/2006 12:00:00 AM"</f>
        <v>1/17/2006 12:00:00 AM</v>
      </c>
      <c r="O47" t="s">
        <v>176</v>
      </c>
    </row>
    <row r="48" spans="1:20" x14ac:dyDescent="0.25">
      <c r="A48" t="str">
        <f>"3037547"</f>
        <v>3037547</v>
      </c>
      <c r="B48" t="s">
        <v>179</v>
      </c>
      <c r="C48" t="str">
        <f>"82513153"</f>
        <v>82513153</v>
      </c>
      <c r="D48" t="s">
        <v>161</v>
      </c>
      <c r="F48" t="s">
        <v>162</v>
      </c>
      <c r="I48" t="s">
        <v>163</v>
      </c>
      <c r="J48" t="s">
        <v>30</v>
      </c>
      <c r="K48" t="s">
        <v>164</v>
      </c>
      <c r="M48" t="s">
        <v>32</v>
      </c>
      <c r="N48" t="str">
        <f>"1/13/2006 12:00:00 AM"</f>
        <v>1/13/2006 12:00:00 AM</v>
      </c>
      <c r="O48" t="s">
        <v>161</v>
      </c>
    </row>
    <row r="49" spans="1:20" x14ac:dyDescent="0.25">
      <c r="A49" t="str">
        <f>"3077095"</f>
        <v>3077095</v>
      </c>
      <c r="B49" t="s">
        <v>180</v>
      </c>
      <c r="C49" t="str">
        <f>"76052000"</f>
        <v>76052000</v>
      </c>
      <c r="D49" t="s">
        <v>181</v>
      </c>
      <c r="E49" t="s">
        <v>182</v>
      </c>
      <c r="F49" t="s">
        <v>183</v>
      </c>
      <c r="I49" t="s">
        <v>184</v>
      </c>
      <c r="J49" t="s">
        <v>30</v>
      </c>
      <c r="K49" t="s">
        <v>185</v>
      </c>
      <c r="M49" t="s">
        <v>32</v>
      </c>
      <c r="N49" t="str">
        <f>"5/8/2008 12:00:00 AM"</f>
        <v>5/8/2008 12:00:00 AM</v>
      </c>
      <c r="O49" t="s">
        <v>181</v>
      </c>
      <c r="T49" t="s">
        <v>182</v>
      </c>
    </row>
    <row r="50" spans="1:20" x14ac:dyDescent="0.25">
      <c r="A50" t="str">
        <f>"3038989"</f>
        <v>3038989</v>
      </c>
      <c r="B50" t="s">
        <v>186</v>
      </c>
      <c r="C50" t="str">
        <f>"82519432"</f>
        <v>82519432</v>
      </c>
      <c r="D50" t="s">
        <v>187</v>
      </c>
      <c r="F50" t="s">
        <v>188</v>
      </c>
      <c r="I50" t="s">
        <v>29</v>
      </c>
      <c r="J50" t="s">
        <v>30</v>
      </c>
      <c r="K50" t="s">
        <v>31</v>
      </c>
      <c r="M50" t="s">
        <v>32</v>
      </c>
      <c r="N50" t="str">
        <f>"9/9/2002 12:00:00 AM"</f>
        <v>9/9/2002 12:00:00 AM</v>
      </c>
      <c r="O50" t="s">
        <v>187</v>
      </c>
    </row>
    <row r="51" spans="1:20" x14ac:dyDescent="0.25">
      <c r="A51" t="str">
        <f>"3038964"</f>
        <v>3038964</v>
      </c>
      <c r="B51" t="s">
        <v>189</v>
      </c>
      <c r="C51" t="str">
        <f>"44839500"</f>
        <v>44839500</v>
      </c>
      <c r="D51" t="s">
        <v>190</v>
      </c>
      <c r="E51" t="s">
        <v>191</v>
      </c>
      <c r="F51" t="s">
        <v>192</v>
      </c>
      <c r="I51" t="s">
        <v>29</v>
      </c>
      <c r="J51" t="s">
        <v>30</v>
      </c>
      <c r="K51" t="s">
        <v>31</v>
      </c>
      <c r="M51" t="s">
        <v>32</v>
      </c>
      <c r="N51" t="str">
        <f>"12/12/2003 12:00:00 AM"</f>
        <v>12/12/2003 12:00:00 AM</v>
      </c>
      <c r="O51" t="s">
        <v>190</v>
      </c>
      <c r="T51" t="s">
        <v>191</v>
      </c>
    </row>
    <row r="52" spans="1:20" x14ac:dyDescent="0.25">
      <c r="A52" t="str">
        <f>"3076639"</f>
        <v>3076639</v>
      </c>
      <c r="B52" t="s">
        <v>193</v>
      </c>
      <c r="C52" t="str">
        <f>"44839500"</f>
        <v>44839500</v>
      </c>
      <c r="D52" t="s">
        <v>190</v>
      </c>
      <c r="E52" t="s">
        <v>191</v>
      </c>
      <c r="F52" t="s">
        <v>192</v>
      </c>
      <c r="I52" t="s">
        <v>29</v>
      </c>
      <c r="J52" t="s">
        <v>30</v>
      </c>
      <c r="K52" t="s">
        <v>31</v>
      </c>
      <c r="M52" t="s">
        <v>32</v>
      </c>
      <c r="N52" t="str">
        <f>"12/12/2003 12:00:00 AM"</f>
        <v>12/12/2003 12:00:00 AM</v>
      </c>
      <c r="O52" t="s">
        <v>190</v>
      </c>
      <c r="T52" t="s">
        <v>191</v>
      </c>
    </row>
    <row r="53" spans="1:20" x14ac:dyDescent="0.25">
      <c r="A53" t="str">
        <f>"3070080"</f>
        <v>3070080</v>
      </c>
      <c r="B53" t="s">
        <v>194</v>
      </c>
      <c r="C53" t="str">
        <f t="shared" ref="C53:C58" si="0">"47068000"</f>
        <v>47068000</v>
      </c>
      <c r="D53" t="s">
        <v>195</v>
      </c>
      <c r="E53" t="s">
        <v>196</v>
      </c>
      <c r="F53" t="s">
        <v>197</v>
      </c>
      <c r="I53" t="s">
        <v>29</v>
      </c>
      <c r="J53" t="s">
        <v>30</v>
      </c>
      <c r="K53" t="s">
        <v>198</v>
      </c>
      <c r="M53" t="s">
        <v>32</v>
      </c>
      <c r="N53" t="str">
        <f t="shared" ref="N53:N58" si="1">"1/29/2010 12:00:00 AM"</f>
        <v>1/29/2010 12:00:00 AM</v>
      </c>
      <c r="O53" t="s">
        <v>195</v>
      </c>
      <c r="T53" t="s">
        <v>196</v>
      </c>
    </row>
    <row r="54" spans="1:20" x14ac:dyDescent="0.25">
      <c r="A54" t="str">
        <f>"3039080"</f>
        <v>3039080</v>
      </c>
      <c r="B54" t="s">
        <v>199</v>
      </c>
      <c r="C54" t="str">
        <f t="shared" si="0"/>
        <v>47068000</v>
      </c>
      <c r="D54" t="s">
        <v>195</v>
      </c>
      <c r="E54" t="s">
        <v>196</v>
      </c>
      <c r="F54" t="s">
        <v>197</v>
      </c>
      <c r="I54" t="s">
        <v>29</v>
      </c>
      <c r="J54" t="s">
        <v>30</v>
      </c>
      <c r="K54" t="s">
        <v>198</v>
      </c>
      <c r="M54" t="s">
        <v>32</v>
      </c>
      <c r="N54" t="str">
        <f t="shared" si="1"/>
        <v>1/29/2010 12:00:00 AM</v>
      </c>
      <c r="O54" t="s">
        <v>195</v>
      </c>
      <c r="T54" t="s">
        <v>196</v>
      </c>
    </row>
    <row r="55" spans="1:20" x14ac:dyDescent="0.25">
      <c r="A55" t="str">
        <f>"3038788"</f>
        <v>3038788</v>
      </c>
      <c r="B55" t="s">
        <v>200</v>
      </c>
      <c r="C55" t="str">
        <f t="shared" si="0"/>
        <v>47068000</v>
      </c>
      <c r="D55" t="s">
        <v>195</v>
      </c>
      <c r="E55" t="s">
        <v>196</v>
      </c>
      <c r="F55" t="s">
        <v>197</v>
      </c>
      <c r="I55" t="s">
        <v>29</v>
      </c>
      <c r="J55" t="s">
        <v>30</v>
      </c>
      <c r="K55" t="s">
        <v>198</v>
      </c>
      <c r="M55" t="s">
        <v>32</v>
      </c>
      <c r="N55" t="str">
        <f t="shared" si="1"/>
        <v>1/29/2010 12:00:00 AM</v>
      </c>
      <c r="O55" t="s">
        <v>195</v>
      </c>
      <c r="T55" t="s">
        <v>196</v>
      </c>
    </row>
    <row r="56" spans="1:20" x14ac:dyDescent="0.25">
      <c r="A56" t="str">
        <f>"3038285"</f>
        <v>3038285</v>
      </c>
      <c r="B56" t="s">
        <v>201</v>
      </c>
      <c r="C56" t="str">
        <f t="shared" si="0"/>
        <v>47068000</v>
      </c>
      <c r="D56" t="s">
        <v>195</v>
      </c>
      <c r="E56" t="s">
        <v>196</v>
      </c>
      <c r="F56" t="s">
        <v>197</v>
      </c>
      <c r="I56" t="s">
        <v>29</v>
      </c>
      <c r="J56" t="s">
        <v>30</v>
      </c>
      <c r="K56" t="s">
        <v>198</v>
      </c>
      <c r="M56" t="s">
        <v>32</v>
      </c>
      <c r="N56" t="str">
        <f t="shared" si="1"/>
        <v>1/29/2010 12:00:00 AM</v>
      </c>
      <c r="O56" t="s">
        <v>195</v>
      </c>
      <c r="T56" t="s">
        <v>196</v>
      </c>
    </row>
    <row r="57" spans="1:20" x14ac:dyDescent="0.25">
      <c r="A57" t="str">
        <f>"3038286"</f>
        <v>3038286</v>
      </c>
      <c r="B57" t="s">
        <v>202</v>
      </c>
      <c r="C57" t="str">
        <f t="shared" si="0"/>
        <v>47068000</v>
      </c>
      <c r="D57" t="s">
        <v>195</v>
      </c>
      <c r="E57" t="s">
        <v>196</v>
      </c>
      <c r="F57" t="s">
        <v>197</v>
      </c>
      <c r="I57" t="s">
        <v>29</v>
      </c>
      <c r="J57" t="s">
        <v>30</v>
      </c>
      <c r="K57" t="s">
        <v>198</v>
      </c>
      <c r="M57" t="s">
        <v>32</v>
      </c>
      <c r="N57" t="str">
        <f t="shared" si="1"/>
        <v>1/29/2010 12:00:00 AM</v>
      </c>
      <c r="O57" t="s">
        <v>195</v>
      </c>
      <c r="T57" t="s">
        <v>196</v>
      </c>
    </row>
    <row r="58" spans="1:20" x14ac:dyDescent="0.25">
      <c r="A58" t="str">
        <f>"3050579"</f>
        <v>3050579</v>
      </c>
      <c r="B58" t="s">
        <v>203</v>
      </c>
      <c r="C58" t="str">
        <f t="shared" si="0"/>
        <v>47068000</v>
      </c>
      <c r="D58" t="s">
        <v>195</v>
      </c>
      <c r="E58" t="s">
        <v>196</v>
      </c>
      <c r="F58" t="s">
        <v>197</v>
      </c>
      <c r="I58" t="s">
        <v>29</v>
      </c>
      <c r="J58" t="s">
        <v>30</v>
      </c>
      <c r="K58" t="s">
        <v>198</v>
      </c>
      <c r="M58" t="s">
        <v>32</v>
      </c>
      <c r="N58" t="str">
        <f t="shared" si="1"/>
        <v>1/29/2010 12:00:00 AM</v>
      </c>
      <c r="O58" t="s">
        <v>195</v>
      </c>
      <c r="T58" t="s">
        <v>196</v>
      </c>
    </row>
    <row r="59" spans="1:20" x14ac:dyDescent="0.25">
      <c r="A59" t="str">
        <f>"3038905"</f>
        <v>3038905</v>
      </c>
      <c r="B59" t="s">
        <v>204</v>
      </c>
      <c r="C59" t="str">
        <f>"15450000"</f>
        <v>15450000</v>
      </c>
      <c r="D59" t="s">
        <v>205</v>
      </c>
      <c r="E59" t="s">
        <v>206</v>
      </c>
      <c r="F59" t="s">
        <v>207</v>
      </c>
      <c r="I59" t="s">
        <v>29</v>
      </c>
      <c r="J59" t="s">
        <v>30</v>
      </c>
      <c r="K59" t="s">
        <v>208</v>
      </c>
      <c r="M59" t="s">
        <v>32</v>
      </c>
      <c r="N59" t="str">
        <f>"2/9/2005 12:00:00 AM"</f>
        <v>2/9/2005 12:00:00 AM</v>
      </c>
      <c r="O59" t="s">
        <v>205</v>
      </c>
      <c r="T59" t="s">
        <v>206</v>
      </c>
    </row>
    <row r="60" spans="1:20" x14ac:dyDescent="0.25">
      <c r="A60" t="str">
        <f>"3064251"</f>
        <v>3064251</v>
      </c>
      <c r="B60" t="s">
        <v>209</v>
      </c>
      <c r="C60" t="str">
        <f t="shared" ref="C60:C69" si="2">"76052000"</f>
        <v>76052000</v>
      </c>
      <c r="D60" t="s">
        <v>181</v>
      </c>
      <c r="E60" t="s">
        <v>182</v>
      </c>
      <c r="F60" t="s">
        <v>183</v>
      </c>
      <c r="I60" t="s">
        <v>184</v>
      </c>
      <c r="J60" t="s">
        <v>30</v>
      </c>
      <c r="K60" t="s">
        <v>185</v>
      </c>
      <c r="M60" t="s">
        <v>32</v>
      </c>
      <c r="N60" t="str">
        <f t="shared" ref="N60:N69" si="3">"5/8/2008 12:00:00 AM"</f>
        <v>5/8/2008 12:00:00 AM</v>
      </c>
      <c r="O60" t="s">
        <v>181</v>
      </c>
      <c r="T60" t="s">
        <v>182</v>
      </c>
    </row>
    <row r="61" spans="1:20" x14ac:dyDescent="0.25">
      <c r="A61" t="str">
        <f>"3043081"</f>
        <v>3043081</v>
      </c>
      <c r="B61" t="s">
        <v>210</v>
      </c>
      <c r="C61" t="str">
        <f t="shared" si="2"/>
        <v>76052000</v>
      </c>
      <c r="D61" t="s">
        <v>181</v>
      </c>
      <c r="E61" t="s">
        <v>182</v>
      </c>
      <c r="F61" t="s">
        <v>183</v>
      </c>
      <c r="I61" t="s">
        <v>184</v>
      </c>
      <c r="J61" t="s">
        <v>30</v>
      </c>
      <c r="K61" t="s">
        <v>185</v>
      </c>
      <c r="M61" t="s">
        <v>32</v>
      </c>
      <c r="N61" t="str">
        <f t="shared" si="3"/>
        <v>5/8/2008 12:00:00 AM</v>
      </c>
      <c r="O61" t="s">
        <v>181</v>
      </c>
      <c r="T61" t="s">
        <v>182</v>
      </c>
    </row>
    <row r="62" spans="1:20" x14ac:dyDescent="0.25">
      <c r="A62" t="str">
        <f>"3043074"</f>
        <v>3043074</v>
      </c>
      <c r="B62" t="s">
        <v>211</v>
      </c>
      <c r="C62" t="str">
        <f t="shared" si="2"/>
        <v>76052000</v>
      </c>
      <c r="D62" t="s">
        <v>181</v>
      </c>
      <c r="E62" t="s">
        <v>182</v>
      </c>
      <c r="F62" t="s">
        <v>183</v>
      </c>
      <c r="I62" t="s">
        <v>184</v>
      </c>
      <c r="J62" t="s">
        <v>30</v>
      </c>
      <c r="K62" t="s">
        <v>185</v>
      </c>
      <c r="M62" t="s">
        <v>32</v>
      </c>
      <c r="N62" t="str">
        <f t="shared" si="3"/>
        <v>5/8/2008 12:00:00 AM</v>
      </c>
      <c r="O62" t="s">
        <v>181</v>
      </c>
      <c r="T62" t="s">
        <v>182</v>
      </c>
    </row>
    <row r="63" spans="1:20" x14ac:dyDescent="0.25">
      <c r="A63" t="str">
        <f>"3039203"</f>
        <v>3039203</v>
      </c>
      <c r="B63" t="s">
        <v>212</v>
      </c>
      <c r="C63" t="str">
        <f t="shared" si="2"/>
        <v>76052000</v>
      </c>
      <c r="D63" t="s">
        <v>181</v>
      </c>
      <c r="E63" t="s">
        <v>182</v>
      </c>
      <c r="F63" t="s">
        <v>183</v>
      </c>
      <c r="I63" t="s">
        <v>184</v>
      </c>
      <c r="J63" t="s">
        <v>30</v>
      </c>
      <c r="K63" t="s">
        <v>185</v>
      </c>
      <c r="M63" t="s">
        <v>32</v>
      </c>
      <c r="N63" t="str">
        <f t="shared" si="3"/>
        <v>5/8/2008 12:00:00 AM</v>
      </c>
      <c r="O63" t="s">
        <v>181</v>
      </c>
      <c r="T63" t="s">
        <v>182</v>
      </c>
    </row>
    <row r="64" spans="1:20" x14ac:dyDescent="0.25">
      <c r="A64" t="str">
        <f>"3037407"</f>
        <v>3037407</v>
      </c>
      <c r="B64" t="s">
        <v>213</v>
      </c>
      <c r="C64" t="str">
        <f t="shared" si="2"/>
        <v>76052000</v>
      </c>
      <c r="D64" t="s">
        <v>181</v>
      </c>
      <c r="E64" t="s">
        <v>182</v>
      </c>
      <c r="F64" t="s">
        <v>183</v>
      </c>
      <c r="I64" t="s">
        <v>184</v>
      </c>
      <c r="J64" t="s">
        <v>30</v>
      </c>
      <c r="K64" t="s">
        <v>185</v>
      </c>
      <c r="M64" t="s">
        <v>32</v>
      </c>
      <c r="N64" t="str">
        <f t="shared" si="3"/>
        <v>5/8/2008 12:00:00 AM</v>
      </c>
      <c r="O64" t="s">
        <v>181</v>
      </c>
      <c r="T64" t="s">
        <v>182</v>
      </c>
    </row>
    <row r="65" spans="1:20" x14ac:dyDescent="0.25">
      <c r="A65" t="str">
        <f>"3037413"</f>
        <v>3037413</v>
      </c>
      <c r="B65" t="s">
        <v>214</v>
      </c>
      <c r="C65" t="str">
        <f t="shared" si="2"/>
        <v>76052000</v>
      </c>
      <c r="D65" t="s">
        <v>181</v>
      </c>
      <c r="E65" t="s">
        <v>182</v>
      </c>
      <c r="F65" t="s">
        <v>183</v>
      </c>
      <c r="I65" t="s">
        <v>184</v>
      </c>
      <c r="J65" t="s">
        <v>30</v>
      </c>
      <c r="K65" t="s">
        <v>185</v>
      </c>
      <c r="M65" t="s">
        <v>32</v>
      </c>
      <c r="N65" t="str">
        <f t="shared" si="3"/>
        <v>5/8/2008 12:00:00 AM</v>
      </c>
      <c r="O65" t="s">
        <v>181</v>
      </c>
      <c r="T65" t="s">
        <v>182</v>
      </c>
    </row>
    <row r="66" spans="1:20" x14ac:dyDescent="0.25">
      <c r="A66" t="str">
        <f>"3037394"</f>
        <v>3037394</v>
      </c>
      <c r="B66" t="s">
        <v>215</v>
      </c>
      <c r="C66" t="str">
        <f t="shared" si="2"/>
        <v>76052000</v>
      </c>
      <c r="D66" t="s">
        <v>181</v>
      </c>
      <c r="E66" t="s">
        <v>182</v>
      </c>
      <c r="F66" t="s">
        <v>183</v>
      </c>
      <c r="I66" t="s">
        <v>184</v>
      </c>
      <c r="J66" t="s">
        <v>30</v>
      </c>
      <c r="K66" t="s">
        <v>185</v>
      </c>
      <c r="M66" t="s">
        <v>32</v>
      </c>
      <c r="N66" t="str">
        <f t="shared" si="3"/>
        <v>5/8/2008 12:00:00 AM</v>
      </c>
      <c r="O66" t="s">
        <v>181</v>
      </c>
      <c r="T66" t="s">
        <v>182</v>
      </c>
    </row>
    <row r="67" spans="1:20" x14ac:dyDescent="0.25">
      <c r="A67" t="str">
        <f>"3037274"</f>
        <v>3037274</v>
      </c>
      <c r="B67" t="s">
        <v>216</v>
      </c>
      <c r="C67" t="str">
        <f t="shared" si="2"/>
        <v>76052000</v>
      </c>
      <c r="D67" t="s">
        <v>181</v>
      </c>
      <c r="E67" t="s">
        <v>182</v>
      </c>
      <c r="F67" t="s">
        <v>183</v>
      </c>
      <c r="I67" t="s">
        <v>184</v>
      </c>
      <c r="J67" t="s">
        <v>30</v>
      </c>
      <c r="K67" t="s">
        <v>185</v>
      </c>
      <c r="M67" t="s">
        <v>32</v>
      </c>
      <c r="N67" t="str">
        <f t="shared" si="3"/>
        <v>5/8/2008 12:00:00 AM</v>
      </c>
      <c r="O67" t="s">
        <v>181</v>
      </c>
      <c r="T67" t="s">
        <v>182</v>
      </c>
    </row>
    <row r="68" spans="1:20" x14ac:dyDescent="0.25">
      <c r="A68" t="str">
        <f>"3037244"</f>
        <v>3037244</v>
      </c>
      <c r="B68" t="s">
        <v>217</v>
      </c>
      <c r="C68" t="str">
        <f t="shared" si="2"/>
        <v>76052000</v>
      </c>
      <c r="D68" t="s">
        <v>181</v>
      </c>
      <c r="E68" t="s">
        <v>182</v>
      </c>
      <c r="F68" t="s">
        <v>183</v>
      </c>
      <c r="I68" t="s">
        <v>184</v>
      </c>
      <c r="J68" t="s">
        <v>30</v>
      </c>
      <c r="K68" t="s">
        <v>185</v>
      </c>
      <c r="M68" t="s">
        <v>32</v>
      </c>
      <c r="N68" t="str">
        <f t="shared" si="3"/>
        <v>5/8/2008 12:00:00 AM</v>
      </c>
      <c r="O68" t="s">
        <v>181</v>
      </c>
      <c r="T68" t="s">
        <v>182</v>
      </c>
    </row>
    <row r="69" spans="1:20" x14ac:dyDescent="0.25">
      <c r="A69" t="str">
        <f>"3037203"</f>
        <v>3037203</v>
      </c>
      <c r="B69" t="s">
        <v>218</v>
      </c>
      <c r="C69" t="str">
        <f t="shared" si="2"/>
        <v>76052000</v>
      </c>
      <c r="D69" t="s">
        <v>181</v>
      </c>
      <c r="E69" t="s">
        <v>182</v>
      </c>
      <c r="F69" t="s">
        <v>183</v>
      </c>
      <c r="I69" t="s">
        <v>184</v>
      </c>
      <c r="J69" t="s">
        <v>30</v>
      </c>
      <c r="K69" t="s">
        <v>185</v>
      </c>
      <c r="M69" t="s">
        <v>32</v>
      </c>
      <c r="N69" t="str">
        <f t="shared" si="3"/>
        <v>5/8/2008 12:00:00 AM</v>
      </c>
      <c r="O69" t="s">
        <v>181</v>
      </c>
      <c r="T69" t="s">
        <v>182</v>
      </c>
    </row>
    <row r="70" spans="1:20" x14ac:dyDescent="0.25">
      <c r="A70" t="str">
        <f>"3037590"</f>
        <v>3037590</v>
      </c>
      <c r="B70" t="s">
        <v>219</v>
      </c>
      <c r="C70" t="str">
        <f>"82514569"</f>
        <v>82514569</v>
      </c>
      <c r="D70" t="s">
        <v>220</v>
      </c>
      <c r="F70" t="s">
        <v>221</v>
      </c>
      <c r="I70" t="s">
        <v>29</v>
      </c>
      <c r="J70" t="s">
        <v>30</v>
      </c>
      <c r="K70" t="s">
        <v>31</v>
      </c>
      <c r="M70" t="s">
        <v>32</v>
      </c>
      <c r="N70" t="str">
        <f>"11/19/2001 12:00:00 AM"</f>
        <v>11/19/2001 12:00:00 AM</v>
      </c>
      <c r="O70" t="s">
        <v>220</v>
      </c>
    </row>
    <row r="71" spans="1:20" x14ac:dyDescent="0.25">
      <c r="A71" t="str">
        <f>"3037550"</f>
        <v>3037550</v>
      </c>
      <c r="B71" t="s">
        <v>222</v>
      </c>
      <c r="C71" t="str">
        <f>"82514569"</f>
        <v>82514569</v>
      </c>
      <c r="D71" t="s">
        <v>220</v>
      </c>
      <c r="F71" t="s">
        <v>221</v>
      </c>
      <c r="I71" t="s">
        <v>29</v>
      </c>
      <c r="J71" t="s">
        <v>30</v>
      </c>
      <c r="K71" t="s">
        <v>31</v>
      </c>
      <c r="M71" t="s">
        <v>32</v>
      </c>
      <c r="N71" t="str">
        <f>"11/19/2001 12:00:00 AM"</f>
        <v>11/19/2001 12:00:00 AM</v>
      </c>
      <c r="O71" t="s">
        <v>220</v>
      </c>
    </row>
    <row r="72" spans="1:20" x14ac:dyDescent="0.25">
      <c r="A72" t="str">
        <f>"3037554"</f>
        <v>3037554</v>
      </c>
      <c r="B72" t="s">
        <v>223</v>
      </c>
      <c r="C72" t="str">
        <f>"76316000"</f>
        <v>76316000</v>
      </c>
      <c r="D72" t="s">
        <v>224</v>
      </c>
      <c r="F72" t="s">
        <v>225</v>
      </c>
      <c r="I72" t="s">
        <v>49</v>
      </c>
      <c r="J72" t="s">
        <v>30</v>
      </c>
      <c r="K72" t="s">
        <v>50</v>
      </c>
      <c r="M72" t="s">
        <v>32</v>
      </c>
      <c r="N72" t="str">
        <f>"3/5/2002 12:00:00 AM"</f>
        <v>3/5/2002 12:00:00 AM</v>
      </c>
      <c r="O72" t="s">
        <v>224</v>
      </c>
    </row>
    <row r="73" spans="1:20" x14ac:dyDescent="0.25">
      <c r="A73" t="str">
        <f>"3076640"</f>
        <v>3076640</v>
      </c>
      <c r="B73" t="s">
        <v>226</v>
      </c>
      <c r="C73" t="str">
        <f>"78568000"</f>
        <v>78568000</v>
      </c>
      <c r="D73" t="s">
        <v>227</v>
      </c>
      <c r="F73" t="s">
        <v>228</v>
      </c>
      <c r="I73" t="s">
        <v>29</v>
      </c>
      <c r="J73" t="s">
        <v>30</v>
      </c>
      <c r="K73" t="s">
        <v>31</v>
      </c>
      <c r="M73" t="s">
        <v>32</v>
      </c>
      <c r="N73" t="str">
        <f>"1/4/2008 12:00:00 AM"</f>
        <v>1/4/2008 12:00:00 AM</v>
      </c>
      <c r="O73" t="s">
        <v>227</v>
      </c>
      <c r="T73" t="s">
        <v>227</v>
      </c>
    </row>
    <row r="74" spans="1:20" x14ac:dyDescent="0.25">
      <c r="A74" t="str">
        <f>"3039220"</f>
        <v>3039220</v>
      </c>
      <c r="B74" t="s">
        <v>229</v>
      </c>
      <c r="C74" t="str">
        <f>"24355750"</f>
        <v>24355750</v>
      </c>
      <c r="D74" t="s">
        <v>230</v>
      </c>
      <c r="F74" t="s">
        <v>231</v>
      </c>
      <c r="I74" t="s">
        <v>29</v>
      </c>
      <c r="J74" t="s">
        <v>30</v>
      </c>
      <c r="K74" t="s">
        <v>232</v>
      </c>
      <c r="M74" t="s">
        <v>32</v>
      </c>
      <c r="N74" t="str">
        <f>"1/25/2006 12:00:00 AM"</f>
        <v>1/25/2006 12:00:00 AM</v>
      </c>
      <c r="O74" t="s">
        <v>230</v>
      </c>
    </row>
    <row r="75" spans="1:20" x14ac:dyDescent="0.25">
      <c r="A75" t="str">
        <f>"3038798"</f>
        <v>3038798</v>
      </c>
      <c r="B75" t="s">
        <v>233</v>
      </c>
      <c r="C75" t="str">
        <f>"82522849"</f>
        <v>82522849</v>
      </c>
      <c r="D75" t="s">
        <v>234</v>
      </c>
      <c r="F75" t="s">
        <v>235</v>
      </c>
      <c r="G75" t="s">
        <v>231</v>
      </c>
      <c r="I75" t="s">
        <v>29</v>
      </c>
      <c r="J75" t="s">
        <v>30</v>
      </c>
      <c r="K75" t="s">
        <v>232</v>
      </c>
      <c r="M75" t="s">
        <v>32</v>
      </c>
      <c r="N75" t="str">
        <f>"1/25/2006 12:00:00 AM"</f>
        <v>1/25/2006 12:00:00 AM</v>
      </c>
      <c r="O75" t="s">
        <v>234</v>
      </c>
    </row>
    <row r="76" spans="1:20" x14ac:dyDescent="0.25">
      <c r="A76" t="str">
        <f>"3066085"</f>
        <v>3066085</v>
      </c>
      <c r="B76" t="s">
        <v>236</v>
      </c>
      <c r="C76" t="str">
        <f>"82522849"</f>
        <v>82522849</v>
      </c>
      <c r="D76" t="s">
        <v>234</v>
      </c>
      <c r="F76" t="s">
        <v>235</v>
      </c>
      <c r="G76" t="s">
        <v>231</v>
      </c>
      <c r="I76" t="s">
        <v>29</v>
      </c>
      <c r="J76" t="s">
        <v>30</v>
      </c>
      <c r="K76" t="s">
        <v>232</v>
      </c>
      <c r="M76" t="s">
        <v>32</v>
      </c>
      <c r="N76" t="str">
        <f>"1/25/2006 12:00:00 AM"</f>
        <v>1/25/2006 12:00:00 AM</v>
      </c>
      <c r="O76" t="s">
        <v>234</v>
      </c>
    </row>
    <row r="77" spans="1:20" x14ac:dyDescent="0.25">
      <c r="A77" t="str">
        <f>"3039354"</f>
        <v>3039354</v>
      </c>
      <c r="B77" t="s">
        <v>237</v>
      </c>
      <c r="C77" t="str">
        <f t="shared" ref="C77:C100" si="4">"81240750"</f>
        <v>81240750</v>
      </c>
      <c r="D77" t="s">
        <v>238</v>
      </c>
      <c r="F77" t="s">
        <v>239</v>
      </c>
      <c r="I77" t="s">
        <v>49</v>
      </c>
      <c r="J77" t="s">
        <v>30</v>
      </c>
      <c r="K77" t="s">
        <v>50</v>
      </c>
      <c r="M77" t="s">
        <v>32</v>
      </c>
      <c r="N77" t="str">
        <f t="shared" ref="N77:N100" si="5">"4/10/2003 12:00:00 AM"</f>
        <v>4/10/2003 12:00:00 AM</v>
      </c>
      <c r="O77" t="s">
        <v>238</v>
      </c>
    </row>
    <row r="78" spans="1:20" x14ac:dyDescent="0.25">
      <c r="A78" t="str">
        <f>"3037847"</f>
        <v>3037847</v>
      </c>
      <c r="B78" t="s">
        <v>240</v>
      </c>
      <c r="C78" t="str">
        <f t="shared" si="4"/>
        <v>81240750</v>
      </c>
      <c r="D78" t="s">
        <v>238</v>
      </c>
      <c r="F78" t="s">
        <v>239</v>
      </c>
      <c r="I78" t="s">
        <v>49</v>
      </c>
      <c r="J78" t="s">
        <v>30</v>
      </c>
      <c r="K78" t="s">
        <v>50</v>
      </c>
      <c r="M78" t="s">
        <v>32</v>
      </c>
      <c r="N78" t="str">
        <f t="shared" si="5"/>
        <v>4/10/2003 12:00:00 AM</v>
      </c>
      <c r="O78" t="s">
        <v>238</v>
      </c>
    </row>
    <row r="79" spans="1:20" x14ac:dyDescent="0.25">
      <c r="A79" t="str">
        <f>"3038196"</f>
        <v>3038196</v>
      </c>
      <c r="B79" t="s">
        <v>241</v>
      </c>
      <c r="C79" t="str">
        <f t="shared" si="4"/>
        <v>81240750</v>
      </c>
      <c r="D79" t="s">
        <v>238</v>
      </c>
      <c r="F79" t="s">
        <v>239</v>
      </c>
      <c r="I79" t="s">
        <v>49</v>
      </c>
      <c r="J79" t="s">
        <v>30</v>
      </c>
      <c r="K79" t="s">
        <v>50</v>
      </c>
      <c r="M79" t="s">
        <v>32</v>
      </c>
      <c r="N79" t="str">
        <f t="shared" si="5"/>
        <v>4/10/2003 12:00:00 AM</v>
      </c>
      <c r="O79" t="s">
        <v>238</v>
      </c>
    </row>
    <row r="80" spans="1:20" x14ac:dyDescent="0.25">
      <c r="A80" t="str">
        <f>"3037212"</f>
        <v>3037212</v>
      </c>
      <c r="B80" t="s">
        <v>242</v>
      </c>
      <c r="C80" t="str">
        <f t="shared" si="4"/>
        <v>81240750</v>
      </c>
      <c r="D80" t="s">
        <v>238</v>
      </c>
      <c r="F80" t="s">
        <v>239</v>
      </c>
      <c r="I80" t="s">
        <v>49</v>
      </c>
      <c r="J80" t="s">
        <v>30</v>
      </c>
      <c r="K80" t="s">
        <v>50</v>
      </c>
      <c r="M80" t="s">
        <v>32</v>
      </c>
      <c r="N80" t="str">
        <f t="shared" si="5"/>
        <v>4/10/2003 12:00:00 AM</v>
      </c>
      <c r="O80" t="s">
        <v>238</v>
      </c>
    </row>
    <row r="81" spans="1:15" x14ac:dyDescent="0.25">
      <c r="A81" t="str">
        <f>"3040277"</f>
        <v>3040277</v>
      </c>
      <c r="B81" t="s">
        <v>243</v>
      </c>
      <c r="C81" t="str">
        <f t="shared" si="4"/>
        <v>81240750</v>
      </c>
      <c r="D81" t="s">
        <v>238</v>
      </c>
      <c r="F81" t="s">
        <v>239</v>
      </c>
      <c r="I81" t="s">
        <v>49</v>
      </c>
      <c r="J81" t="s">
        <v>30</v>
      </c>
      <c r="K81" t="s">
        <v>50</v>
      </c>
      <c r="M81" t="s">
        <v>32</v>
      </c>
      <c r="N81" t="str">
        <f t="shared" si="5"/>
        <v>4/10/2003 12:00:00 AM</v>
      </c>
      <c r="O81" t="s">
        <v>238</v>
      </c>
    </row>
    <row r="82" spans="1:15" x14ac:dyDescent="0.25">
      <c r="A82" t="str">
        <f>"3039990"</f>
        <v>3039990</v>
      </c>
      <c r="B82" t="s">
        <v>244</v>
      </c>
      <c r="C82" t="str">
        <f t="shared" si="4"/>
        <v>81240750</v>
      </c>
      <c r="D82" t="s">
        <v>238</v>
      </c>
      <c r="F82" t="s">
        <v>239</v>
      </c>
      <c r="I82" t="s">
        <v>49</v>
      </c>
      <c r="J82" t="s">
        <v>30</v>
      </c>
      <c r="K82" t="s">
        <v>50</v>
      </c>
      <c r="M82" t="s">
        <v>32</v>
      </c>
      <c r="N82" t="str">
        <f t="shared" si="5"/>
        <v>4/10/2003 12:00:00 AM</v>
      </c>
      <c r="O82" t="s">
        <v>238</v>
      </c>
    </row>
    <row r="83" spans="1:15" x14ac:dyDescent="0.25">
      <c r="A83" t="str">
        <f>"3041065"</f>
        <v>3041065</v>
      </c>
      <c r="B83" t="s">
        <v>245</v>
      </c>
      <c r="C83" t="str">
        <f t="shared" si="4"/>
        <v>81240750</v>
      </c>
      <c r="D83" t="s">
        <v>238</v>
      </c>
      <c r="F83" t="s">
        <v>239</v>
      </c>
      <c r="I83" t="s">
        <v>49</v>
      </c>
      <c r="J83" t="s">
        <v>30</v>
      </c>
      <c r="K83" t="s">
        <v>50</v>
      </c>
      <c r="M83" t="s">
        <v>32</v>
      </c>
      <c r="N83" t="str">
        <f t="shared" si="5"/>
        <v>4/10/2003 12:00:00 AM</v>
      </c>
      <c r="O83" t="s">
        <v>238</v>
      </c>
    </row>
    <row r="84" spans="1:15" x14ac:dyDescent="0.25">
      <c r="A84" t="str">
        <f>"3041584"</f>
        <v>3041584</v>
      </c>
      <c r="B84" t="s">
        <v>246</v>
      </c>
      <c r="C84" t="str">
        <f t="shared" si="4"/>
        <v>81240750</v>
      </c>
      <c r="D84" t="s">
        <v>238</v>
      </c>
      <c r="F84" t="s">
        <v>239</v>
      </c>
      <c r="I84" t="s">
        <v>49</v>
      </c>
      <c r="J84" t="s">
        <v>30</v>
      </c>
      <c r="K84" t="s">
        <v>50</v>
      </c>
      <c r="M84" t="s">
        <v>32</v>
      </c>
      <c r="N84" t="str">
        <f t="shared" si="5"/>
        <v>4/10/2003 12:00:00 AM</v>
      </c>
      <c r="O84" t="s">
        <v>238</v>
      </c>
    </row>
    <row r="85" spans="1:15" x14ac:dyDescent="0.25">
      <c r="A85" t="str">
        <f>"3043186"</f>
        <v>3043186</v>
      </c>
      <c r="B85" t="s">
        <v>247</v>
      </c>
      <c r="C85" t="str">
        <f t="shared" si="4"/>
        <v>81240750</v>
      </c>
      <c r="D85" t="s">
        <v>238</v>
      </c>
      <c r="F85" t="s">
        <v>239</v>
      </c>
      <c r="I85" t="s">
        <v>49</v>
      </c>
      <c r="J85" t="s">
        <v>30</v>
      </c>
      <c r="K85" t="s">
        <v>50</v>
      </c>
      <c r="M85" t="s">
        <v>32</v>
      </c>
      <c r="N85" t="str">
        <f t="shared" si="5"/>
        <v>4/10/2003 12:00:00 AM</v>
      </c>
      <c r="O85" t="s">
        <v>238</v>
      </c>
    </row>
    <row r="86" spans="1:15" x14ac:dyDescent="0.25">
      <c r="A86" t="str">
        <f>"3043237"</f>
        <v>3043237</v>
      </c>
      <c r="B86" t="s">
        <v>248</v>
      </c>
      <c r="C86" t="str">
        <f t="shared" si="4"/>
        <v>81240750</v>
      </c>
      <c r="D86" t="s">
        <v>238</v>
      </c>
      <c r="F86" t="s">
        <v>239</v>
      </c>
      <c r="I86" t="s">
        <v>49</v>
      </c>
      <c r="J86" t="s">
        <v>30</v>
      </c>
      <c r="K86" t="s">
        <v>50</v>
      </c>
      <c r="M86" t="s">
        <v>32</v>
      </c>
      <c r="N86" t="str">
        <f t="shared" si="5"/>
        <v>4/10/2003 12:00:00 AM</v>
      </c>
      <c r="O86" t="s">
        <v>238</v>
      </c>
    </row>
    <row r="87" spans="1:15" x14ac:dyDescent="0.25">
      <c r="A87" t="str">
        <f>"3043937"</f>
        <v>3043937</v>
      </c>
      <c r="B87" t="s">
        <v>249</v>
      </c>
      <c r="C87" t="str">
        <f t="shared" si="4"/>
        <v>81240750</v>
      </c>
      <c r="D87" t="s">
        <v>238</v>
      </c>
      <c r="F87" t="s">
        <v>239</v>
      </c>
      <c r="I87" t="s">
        <v>49</v>
      </c>
      <c r="J87" t="s">
        <v>30</v>
      </c>
      <c r="K87" t="s">
        <v>50</v>
      </c>
      <c r="M87" t="s">
        <v>32</v>
      </c>
      <c r="N87" t="str">
        <f t="shared" si="5"/>
        <v>4/10/2003 12:00:00 AM</v>
      </c>
      <c r="O87" t="s">
        <v>238</v>
      </c>
    </row>
    <row r="88" spans="1:15" x14ac:dyDescent="0.25">
      <c r="A88" t="str">
        <f>"3043933"</f>
        <v>3043933</v>
      </c>
      <c r="B88" t="s">
        <v>250</v>
      </c>
      <c r="C88" t="str">
        <f t="shared" si="4"/>
        <v>81240750</v>
      </c>
      <c r="D88" t="s">
        <v>238</v>
      </c>
      <c r="F88" t="s">
        <v>239</v>
      </c>
      <c r="I88" t="s">
        <v>49</v>
      </c>
      <c r="J88" t="s">
        <v>30</v>
      </c>
      <c r="K88" t="s">
        <v>50</v>
      </c>
      <c r="M88" t="s">
        <v>32</v>
      </c>
      <c r="N88" t="str">
        <f t="shared" si="5"/>
        <v>4/10/2003 12:00:00 AM</v>
      </c>
      <c r="O88" t="s">
        <v>238</v>
      </c>
    </row>
    <row r="89" spans="1:15" x14ac:dyDescent="0.25">
      <c r="A89" t="str">
        <f>"3045442"</f>
        <v>3045442</v>
      </c>
      <c r="B89" t="s">
        <v>251</v>
      </c>
      <c r="C89" t="str">
        <f t="shared" si="4"/>
        <v>81240750</v>
      </c>
      <c r="D89" t="s">
        <v>238</v>
      </c>
      <c r="F89" t="s">
        <v>239</v>
      </c>
      <c r="I89" t="s">
        <v>49</v>
      </c>
      <c r="J89" t="s">
        <v>30</v>
      </c>
      <c r="K89" t="s">
        <v>50</v>
      </c>
      <c r="M89" t="s">
        <v>32</v>
      </c>
      <c r="N89" t="str">
        <f t="shared" si="5"/>
        <v>4/10/2003 12:00:00 AM</v>
      </c>
      <c r="O89" t="s">
        <v>238</v>
      </c>
    </row>
    <row r="90" spans="1:15" x14ac:dyDescent="0.25">
      <c r="A90" t="str">
        <f>"3046583"</f>
        <v>3046583</v>
      </c>
      <c r="B90" t="s">
        <v>252</v>
      </c>
      <c r="C90" t="str">
        <f t="shared" si="4"/>
        <v>81240750</v>
      </c>
      <c r="D90" t="s">
        <v>238</v>
      </c>
      <c r="F90" t="s">
        <v>239</v>
      </c>
      <c r="I90" t="s">
        <v>49</v>
      </c>
      <c r="J90" t="s">
        <v>30</v>
      </c>
      <c r="K90" t="s">
        <v>50</v>
      </c>
      <c r="M90" t="s">
        <v>32</v>
      </c>
      <c r="N90" t="str">
        <f t="shared" si="5"/>
        <v>4/10/2003 12:00:00 AM</v>
      </c>
      <c r="O90" t="s">
        <v>238</v>
      </c>
    </row>
    <row r="91" spans="1:15" x14ac:dyDescent="0.25">
      <c r="A91" t="str">
        <f>"3046660"</f>
        <v>3046660</v>
      </c>
      <c r="B91" t="s">
        <v>253</v>
      </c>
      <c r="C91" t="str">
        <f t="shared" si="4"/>
        <v>81240750</v>
      </c>
      <c r="D91" t="s">
        <v>238</v>
      </c>
      <c r="F91" t="s">
        <v>239</v>
      </c>
      <c r="I91" t="s">
        <v>49</v>
      </c>
      <c r="J91" t="s">
        <v>30</v>
      </c>
      <c r="K91" t="s">
        <v>50</v>
      </c>
      <c r="M91" t="s">
        <v>32</v>
      </c>
      <c r="N91" t="str">
        <f t="shared" si="5"/>
        <v>4/10/2003 12:00:00 AM</v>
      </c>
      <c r="O91" t="s">
        <v>238</v>
      </c>
    </row>
    <row r="92" spans="1:15" x14ac:dyDescent="0.25">
      <c r="A92" t="str">
        <f>"3046749"</f>
        <v>3046749</v>
      </c>
      <c r="B92" t="s">
        <v>254</v>
      </c>
      <c r="C92" t="str">
        <f t="shared" si="4"/>
        <v>81240750</v>
      </c>
      <c r="D92" t="s">
        <v>238</v>
      </c>
      <c r="F92" t="s">
        <v>239</v>
      </c>
      <c r="I92" t="s">
        <v>49</v>
      </c>
      <c r="J92" t="s">
        <v>30</v>
      </c>
      <c r="K92" t="s">
        <v>50</v>
      </c>
      <c r="M92" t="s">
        <v>32</v>
      </c>
      <c r="N92" t="str">
        <f t="shared" si="5"/>
        <v>4/10/2003 12:00:00 AM</v>
      </c>
      <c r="O92" t="s">
        <v>238</v>
      </c>
    </row>
    <row r="93" spans="1:15" x14ac:dyDescent="0.25">
      <c r="A93" t="str">
        <f>"3047661"</f>
        <v>3047661</v>
      </c>
      <c r="B93" t="s">
        <v>255</v>
      </c>
      <c r="C93" t="str">
        <f t="shared" si="4"/>
        <v>81240750</v>
      </c>
      <c r="D93" t="s">
        <v>238</v>
      </c>
      <c r="F93" t="s">
        <v>239</v>
      </c>
      <c r="I93" t="s">
        <v>49</v>
      </c>
      <c r="J93" t="s">
        <v>30</v>
      </c>
      <c r="K93" t="s">
        <v>50</v>
      </c>
      <c r="M93" t="s">
        <v>32</v>
      </c>
      <c r="N93" t="str">
        <f t="shared" si="5"/>
        <v>4/10/2003 12:00:00 AM</v>
      </c>
      <c r="O93" t="s">
        <v>238</v>
      </c>
    </row>
    <row r="94" spans="1:15" x14ac:dyDescent="0.25">
      <c r="A94" t="str">
        <f>"3047668"</f>
        <v>3047668</v>
      </c>
      <c r="B94" t="s">
        <v>256</v>
      </c>
      <c r="C94" t="str">
        <f t="shared" si="4"/>
        <v>81240750</v>
      </c>
      <c r="D94" t="s">
        <v>238</v>
      </c>
      <c r="F94" t="s">
        <v>239</v>
      </c>
      <c r="I94" t="s">
        <v>49</v>
      </c>
      <c r="J94" t="s">
        <v>30</v>
      </c>
      <c r="K94" t="s">
        <v>50</v>
      </c>
      <c r="M94" t="s">
        <v>32</v>
      </c>
      <c r="N94" t="str">
        <f t="shared" si="5"/>
        <v>4/10/2003 12:00:00 AM</v>
      </c>
      <c r="O94" t="s">
        <v>238</v>
      </c>
    </row>
    <row r="95" spans="1:15" x14ac:dyDescent="0.25">
      <c r="A95" t="str">
        <f>"3050610"</f>
        <v>3050610</v>
      </c>
      <c r="B95" t="s">
        <v>257</v>
      </c>
      <c r="C95" t="str">
        <f t="shared" si="4"/>
        <v>81240750</v>
      </c>
      <c r="D95" t="s">
        <v>238</v>
      </c>
      <c r="F95" t="s">
        <v>239</v>
      </c>
      <c r="I95" t="s">
        <v>49</v>
      </c>
      <c r="J95" t="s">
        <v>30</v>
      </c>
      <c r="K95" t="s">
        <v>50</v>
      </c>
      <c r="M95" t="s">
        <v>32</v>
      </c>
      <c r="N95" t="str">
        <f t="shared" si="5"/>
        <v>4/10/2003 12:00:00 AM</v>
      </c>
      <c r="O95" t="s">
        <v>238</v>
      </c>
    </row>
    <row r="96" spans="1:15" x14ac:dyDescent="0.25">
      <c r="A96" t="str">
        <f>"3051186"</f>
        <v>3051186</v>
      </c>
      <c r="B96" t="s">
        <v>258</v>
      </c>
      <c r="C96" t="str">
        <f t="shared" si="4"/>
        <v>81240750</v>
      </c>
      <c r="D96" t="s">
        <v>238</v>
      </c>
      <c r="F96" t="s">
        <v>239</v>
      </c>
      <c r="I96" t="s">
        <v>49</v>
      </c>
      <c r="J96" t="s">
        <v>30</v>
      </c>
      <c r="K96" t="s">
        <v>50</v>
      </c>
      <c r="M96" t="s">
        <v>32</v>
      </c>
      <c r="N96" t="str">
        <f t="shared" si="5"/>
        <v>4/10/2003 12:00:00 AM</v>
      </c>
      <c r="O96" t="s">
        <v>238</v>
      </c>
    </row>
    <row r="97" spans="1:20" x14ac:dyDescent="0.25">
      <c r="A97" t="str">
        <f>"3047865"</f>
        <v>3047865</v>
      </c>
      <c r="B97" t="s">
        <v>259</v>
      </c>
      <c r="C97" t="str">
        <f t="shared" si="4"/>
        <v>81240750</v>
      </c>
      <c r="D97" t="s">
        <v>238</v>
      </c>
      <c r="F97" t="s">
        <v>239</v>
      </c>
      <c r="I97" t="s">
        <v>49</v>
      </c>
      <c r="J97" t="s">
        <v>30</v>
      </c>
      <c r="K97" t="s">
        <v>50</v>
      </c>
      <c r="M97" t="s">
        <v>32</v>
      </c>
      <c r="N97" t="str">
        <f t="shared" si="5"/>
        <v>4/10/2003 12:00:00 AM</v>
      </c>
      <c r="O97" t="s">
        <v>238</v>
      </c>
    </row>
    <row r="98" spans="1:20" x14ac:dyDescent="0.25">
      <c r="A98" t="str">
        <f>"3049660"</f>
        <v>3049660</v>
      </c>
      <c r="B98" t="s">
        <v>260</v>
      </c>
      <c r="C98" t="str">
        <f t="shared" si="4"/>
        <v>81240750</v>
      </c>
      <c r="D98" t="s">
        <v>238</v>
      </c>
      <c r="F98" t="s">
        <v>239</v>
      </c>
      <c r="I98" t="s">
        <v>49</v>
      </c>
      <c r="J98" t="s">
        <v>30</v>
      </c>
      <c r="K98" t="s">
        <v>50</v>
      </c>
      <c r="M98" t="s">
        <v>32</v>
      </c>
      <c r="N98" t="str">
        <f t="shared" si="5"/>
        <v>4/10/2003 12:00:00 AM</v>
      </c>
      <c r="O98" t="s">
        <v>238</v>
      </c>
    </row>
    <row r="99" spans="1:20" x14ac:dyDescent="0.25">
      <c r="A99" t="str">
        <f>"3055803"</f>
        <v>3055803</v>
      </c>
      <c r="B99" t="s">
        <v>261</v>
      </c>
      <c r="C99" t="str">
        <f t="shared" si="4"/>
        <v>81240750</v>
      </c>
      <c r="D99" t="s">
        <v>238</v>
      </c>
      <c r="F99" t="s">
        <v>239</v>
      </c>
      <c r="I99" t="s">
        <v>49</v>
      </c>
      <c r="J99" t="s">
        <v>30</v>
      </c>
      <c r="K99" t="s">
        <v>50</v>
      </c>
      <c r="M99" t="s">
        <v>32</v>
      </c>
      <c r="N99" t="str">
        <f t="shared" si="5"/>
        <v>4/10/2003 12:00:00 AM</v>
      </c>
      <c r="O99" t="s">
        <v>238</v>
      </c>
    </row>
    <row r="100" spans="1:20" x14ac:dyDescent="0.25">
      <c r="A100" t="str">
        <f>"3056251"</f>
        <v>3056251</v>
      </c>
      <c r="B100" t="s">
        <v>262</v>
      </c>
      <c r="C100" t="str">
        <f t="shared" si="4"/>
        <v>81240750</v>
      </c>
      <c r="D100" t="s">
        <v>238</v>
      </c>
      <c r="F100" t="s">
        <v>239</v>
      </c>
      <c r="I100" t="s">
        <v>49</v>
      </c>
      <c r="J100" t="s">
        <v>30</v>
      </c>
      <c r="K100" t="s">
        <v>50</v>
      </c>
      <c r="M100" t="s">
        <v>32</v>
      </c>
      <c r="N100" t="str">
        <f t="shared" si="5"/>
        <v>4/10/2003 12:00:00 AM</v>
      </c>
      <c r="O100" t="s">
        <v>238</v>
      </c>
    </row>
    <row r="101" spans="1:20" x14ac:dyDescent="0.25">
      <c r="A101" t="str">
        <f>"3037728"</f>
        <v>3037728</v>
      </c>
      <c r="B101" t="s">
        <v>263</v>
      </c>
      <c r="C101" t="str">
        <f>"82530448"</f>
        <v>82530448</v>
      </c>
      <c r="D101" t="s">
        <v>264</v>
      </c>
      <c r="E101" t="s">
        <v>265</v>
      </c>
      <c r="F101" t="s">
        <v>266</v>
      </c>
      <c r="I101" t="s">
        <v>29</v>
      </c>
      <c r="J101" t="s">
        <v>30</v>
      </c>
      <c r="K101" t="s">
        <v>31</v>
      </c>
      <c r="M101" t="s">
        <v>32</v>
      </c>
      <c r="N101" t="str">
        <f>"1/12/2010 12:00:00 AM"</f>
        <v>1/12/2010 12:00:00 AM</v>
      </c>
      <c r="O101" t="s">
        <v>264</v>
      </c>
      <c r="T101" t="s">
        <v>265</v>
      </c>
    </row>
    <row r="102" spans="1:20" x14ac:dyDescent="0.25">
      <c r="A102" t="str">
        <f>"3039131"</f>
        <v>3039131</v>
      </c>
      <c r="B102" t="s">
        <v>267</v>
      </c>
      <c r="C102" t="str">
        <f>"82520700"</f>
        <v>82520700</v>
      </c>
      <c r="D102" t="s">
        <v>268</v>
      </c>
      <c r="F102" t="s">
        <v>269</v>
      </c>
      <c r="I102" t="s">
        <v>29</v>
      </c>
      <c r="J102" t="s">
        <v>30</v>
      </c>
      <c r="K102" t="s">
        <v>31</v>
      </c>
      <c r="M102" t="s">
        <v>32</v>
      </c>
      <c r="N102" t="str">
        <f>"4/14/2004 12:00:00 AM"</f>
        <v>4/14/2004 12:00:00 AM</v>
      </c>
      <c r="O102" t="s">
        <v>268</v>
      </c>
    </row>
    <row r="103" spans="1:20" x14ac:dyDescent="0.25">
      <c r="A103" t="str">
        <f>"3039623"</f>
        <v>3039623</v>
      </c>
      <c r="B103" t="s">
        <v>270</v>
      </c>
      <c r="C103" t="str">
        <f t="shared" ref="C103:C133" si="6">"20118500"</f>
        <v>20118500</v>
      </c>
      <c r="D103" t="s">
        <v>271</v>
      </c>
      <c r="F103" t="s">
        <v>272</v>
      </c>
      <c r="G103" t="s">
        <v>273</v>
      </c>
      <c r="I103" t="s">
        <v>29</v>
      </c>
      <c r="J103" t="s">
        <v>30</v>
      </c>
      <c r="K103" t="s">
        <v>31</v>
      </c>
      <c r="M103" t="s">
        <v>32</v>
      </c>
      <c r="N103" t="str">
        <f t="shared" ref="N103:N133" si="7">"4/23/2007 12:00:00 AM"</f>
        <v>4/23/2007 12:00:00 AM</v>
      </c>
      <c r="O103" t="s">
        <v>271</v>
      </c>
    </row>
    <row r="104" spans="1:20" x14ac:dyDescent="0.25">
      <c r="A104" t="str">
        <f>"3039624"</f>
        <v>3039624</v>
      </c>
      <c r="B104" t="s">
        <v>274</v>
      </c>
      <c r="C104" t="str">
        <f t="shared" si="6"/>
        <v>20118500</v>
      </c>
      <c r="D104" t="s">
        <v>271</v>
      </c>
      <c r="F104" t="s">
        <v>272</v>
      </c>
      <c r="G104" t="s">
        <v>273</v>
      </c>
      <c r="I104" t="s">
        <v>29</v>
      </c>
      <c r="J104" t="s">
        <v>30</v>
      </c>
      <c r="K104" t="s">
        <v>31</v>
      </c>
      <c r="M104" t="s">
        <v>32</v>
      </c>
      <c r="N104" t="str">
        <f t="shared" si="7"/>
        <v>4/23/2007 12:00:00 AM</v>
      </c>
      <c r="O104" t="s">
        <v>271</v>
      </c>
    </row>
    <row r="105" spans="1:20" x14ac:dyDescent="0.25">
      <c r="A105" t="str">
        <f>"3039650"</f>
        <v>3039650</v>
      </c>
      <c r="B105" t="s">
        <v>275</v>
      </c>
      <c r="C105" t="str">
        <f t="shared" si="6"/>
        <v>20118500</v>
      </c>
      <c r="D105" t="s">
        <v>271</v>
      </c>
      <c r="F105" t="s">
        <v>272</v>
      </c>
      <c r="G105" t="s">
        <v>273</v>
      </c>
      <c r="I105" t="s">
        <v>29</v>
      </c>
      <c r="J105" t="s">
        <v>30</v>
      </c>
      <c r="K105" t="s">
        <v>31</v>
      </c>
      <c r="M105" t="s">
        <v>32</v>
      </c>
      <c r="N105" t="str">
        <f t="shared" si="7"/>
        <v>4/23/2007 12:00:00 AM</v>
      </c>
      <c r="O105" t="s">
        <v>271</v>
      </c>
    </row>
    <row r="106" spans="1:20" x14ac:dyDescent="0.25">
      <c r="A106" t="str">
        <f>"3038288"</f>
        <v>3038288</v>
      </c>
      <c r="B106" t="s">
        <v>276</v>
      </c>
      <c r="C106" t="str">
        <f t="shared" si="6"/>
        <v>20118500</v>
      </c>
      <c r="D106" t="s">
        <v>271</v>
      </c>
      <c r="F106" t="s">
        <v>272</v>
      </c>
      <c r="G106" t="s">
        <v>273</v>
      </c>
      <c r="I106" t="s">
        <v>29</v>
      </c>
      <c r="J106" t="s">
        <v>30</v>
      </c>
      <c r="K106" t="s">
        <v>31</v>
      </c>
      <c r="M106" t="s">
        <v>32</v>
      </c>
      <c r="N106" t="str">
        <f t="shared" si="7"/>
        <v>4/23/2007 12:00:00 AM</v>
      </c>
      <c r="O106" t="s">
        <v>271</v>
      </c>
    </row>
    <row r="107" spans="1:20" x14ac:dyDescent="0.25">
      <c r="A107" t="str">
        <f>"3037884"</f>
        <v>3037884</v>
      </c>
      <c r="B107" t="s">
        <v>277</v>
      </c>
      <c r="C107" t="str">
        <f t="shared" si="6"/>
        <v>20118500</v>
      </c>
      <c r="D107" t="s">
        <v>271</v>
      </c>
      <c r="F107" t="s">
        <v>272</v>
      </c>
      <c r="G107" t="s">
        <v>273</v>
      </c>
      <c r="I107" t="s">
        <v>29</v>
      </c>
      <c r="J107" t="s">
        <v>30</v>
      </c>
      <c r="K107" t="s">
        <v>31</v>
      </c>
      <c r="M107" t="s">
        <v>32</v>
      </c>
      <c r="N107" t="str">
        <f t="shared" si="7"/>
        <v>4/23/2007 12:00:00 AM</v>
      </c>
      <c r="O107" t="s">
        <v>271</v>
      </c>
    </row>
    <row r="108" spans="1:20" x14ac:dyDescent="0.25">
      <c r="A108" t="str">
        <f>"3042010"</f>
        <v>3042010</v>
      </c>
      <c r="B108" t="s">
        <v>278</v>
      </c>
      <c r="C108" t="str">
        <f t="shared" si="6"/>
        <v>20118500</v>
      </c>
      <c r="D108" t="s">
        <v>271</v>
      </c>
      <c r="F108" t="s">
        <v>272</v>
      </c>
      <c r="G108" t="s">
        <v>273</v>
      </c>
      <c r="I108" t="s">
        <v>29</v>
      </c>
      <c r="J108" t="s">
        <v>30</v>
      </c>
      <c r="K108" t="s">
        <v>31</v>
      </c>
      <c r="M108" t="s">
        <v>32</v>
      </c>
      <c r="N108" t="str">
        <f t="shared" si="7"/>
        <v>4/23/2007 12:00:00 AM</v>
      </c>
      <c r="O108" t="s">
        <v>271</v>
      </c>
    </row>
    <row r="109" spans="1:20" x14ac:dyDescent="0.25">
      <c r="A109" t="str">
        <f>"3042171"</f>
        <v>3042171</v>
      </c>
      <c r="B109" t="s">
        <v>279</v>
      </c>
      <c r="C109" t="str">
        <f t="shared" si="6"/>
        <v>20118500</v>
      </c>
      <c r="D109" t="s">
        <v>271</v>
      </c>
      <c r="F109" t="s">
        <v>272</v>
      </c>
      <c r="G109" t="s">
        <v>273</v>
      </c>
      <c r="I109" t="s">
        <v>29</v>
      </c>
      <c r="J109" t="s">
        <v>30</v>
      </c>
      <c r="K109" t="s">
        <v>31</v>
      </c>
      <c r="M109" t="s">
        <v>32</v>
      </c>
      <c r="N109" t="str">
        <f t="shared" si="7"/>
        <v>4/23/2007 12:00:00 AM</v>
      </c>
      <c r="O109" t="s">
        <v>271</v>
      </c>
    </row>
    <row r="110" spans="1:20" x14ac:dyDescent="0.25">
      <c r="A110" t="str">
        <f>"3042321"</f>
        <v>3042321</v>
      </c>
      <c r="B110" t="s">
        <v>280</v>
      </c>
      <c r="C110" t="str">
        <f t="shared" si="6"/>
        <v>20118500</v>
      </c>
      <c r="D110" t="s">
        <v>271</v>
      </c>
      <c r="F110" t="s">
        <v>272</v>
      </c>
      <c r="G110" t="s">
        <v>273</v>
      </c>
      <c r="I110" t="s">
        <v>29</v>
      </c>
      <c r="J110" t="s">
        <v>30</v>
      </c>
      <c r="K110" t="s">
        <v>31</v>
      </c>
      <c r="M110" t="s">
        <v>32</v>
      </c>
      <c r="N110" t="str">
        <f t="shared" si="7"/>
        <v>4/23/2007 12:00:00 AM</v>
      </c>
      <c r="O110" t="s">
        <v>271</v>
      </c>
    </row>
    <row r="111" spans="1:20" x14ac:dyDescent="0.25">
      <c r="A111" t="str">
        <f>"3039924"</f>
        <v>3039924</v>
      </c>
      <c r="B111" t="s">
        <v>281</v>
      </c>
      <c r="C111" t="str">
        <f t="shared" si="6"/>
        <v>20118500</v>
      </c>
      <c r="D111" t="s">
        <v>271</v>
      </c>
      <c r="F111" t="s">
        <v>272</v>
      </c>
      <c r="G111" t="s">
        <v>273</v>
      </c>
      <c r="I111" t="s">
        <v>29</v>
      </c>
      <c r="J111" t="s">
        <v>30</v>
      </c>
      <c r="K111" t="s">
        <v>31</v>
      </c>
      <c r="M111" t="s">
        <v>32</v>
      </c>
      <c r="N111" t="str">
        <f t="shared" si="7"/>
        <v>4/23/2007 12:00:00 AM</v>
      </c>
      <c r="O111" t="s">
        <v>271</v>
      </c>
    </row>
    <row r="112" spans="1:20" x14ac:dyDescent="0.25">
      <c r="A112" t="str">
        <f>"3040273"</f>
        <v>3040273</v>
      </c>
      <c r="B112" t="s">
        <v>282</v>
      </c>
      <c r="C112" t="str">
        <f t="shared" si="6"/>
        <v>20118500</v>
      </c>
      <c r="D112" t="s">
        <v>271</v>
      </c>
      <c r="F112" t="s">
        <v>272</v>
      </c>
      <c r="G112" t="s">
        <v>273</v>
      </c>
      <c r="I112" t="s">
        <v>29</v>
      </c>
      <c r="J112" t="s">
        <v>30</v>
      </c>
      <c r="K112" t="s">
        <v>31</v>
      </c>
      <c r="M112" t="s">
        <v>32</v>
      </c>
      <c r="N112" t="str">
        <f t="shared" si="7"/>
        <v>4/23/2007 12:00:00 AM</v>
      </c>
      <c r="O112" t="s">
        <v>271</v>
      </c>
    </row>
    <row r="113" spans="1:15" x14ac:dyDescent="0.25">
      <c r="A113" t="str">
        <f>"3040289"</f>
        <v>3040289</v>
      </c>
      <c r="B113" t="s">
        <v>283</v>
      </c>
      <c r="C113" t="str">
        <f t="shared" si="6"/>
        <v>20118500</v>
      </c>
      <c r="D113" t="s">
        <v>271</v>
      </c>
      <c r="F113" t="s">
        <v>272</v>
      </c>
      <c r="G113" t="s">
        <v>273</v>
      </c>
      <c r="I113" t="s">
        <v>29</v>
      </c>
      <c r="J113" t="s">
        <v>30</v>
      </c>
      <c r="K113" t="s">
        <v>31</v>
      </c>
      <c r="M113" t="s">
        <v>32</v>
      </c>
      <c r="N113" t="str">
        <f t="shared" si="7"/>
        <v>4/23/2007 12:00:00 AM</v>
      </c>
      <c r="O113" t="s">
        <v>271</v>
      </c>
    </row>
    <row r="114" spans="1:15" x14ac:dyDescent="0.25">
      <c r="A114" t="str">
        <f>"3046053"</f>
        <v>3046053</v>
      </c>
      <c r="B114" t="s">
        <v>284</v>
      </c>
      <c r="C114" t="str">
        <f t="shared" si="6"/>
        <v>20118500</v>
      </c>
      <c r="D114" t="s">
        <v>271</v>
      </c>
      <c r="F114" t="s">
        <v>272</v>
      </c>
      <c r="G114" t="s">
        <v>273</v>
      </c>
      <c r="I114" t="s">
        <v>29</v>
      </c>
      <c r="J114" t="s">
        <v>30</v>
      </c>
      <c r="K114" t="s">
        <v>31</v>
      </c>
      <c r="M114" t="s">
        <v>32</v>
      </c>
      <c r="N114" t="str">
        <f t="shared" si="7"/>
        <v>4/23/2007 12:00:00 AM</v>
      </c>
      <c r="O114" t="s">
        <v>271</v>
      </c>
    </row>
    <row r="115" spans="1:15" x14ac:dyDescent="0.25">
      <c r="A115" t="str">
        <f>"3043987"</f>
        <v>3043987</v>
      </c>
      <c r="B115" t="s">
        <v>285</v>
      </c>
      <c r="C115" t="str">
        <f t="shared" si="6"/>
        <v>20118500</v>
      </c>
      <c r="D115" t="s">
        <v>271</v>
      </c>
      <c r="F115" t="s">
        <v>272</v>
      </c>
      <c r="G115" t="s">
        <v>273</v>
      </c>
      <c r="I115" t="s">
        <v>29</v>
      </c>
      <c r="J115" t="s">
        <v>30</v>
      </c>
      <c r="K115" t="s">
        <v>31</v>
      </c>
      <c r="M115" t="s">
        <v>32</v>
      </c>
      <c r="N115" t="str">
        <f t="shared" si="7"/>
        <v>4/23/2007 12:00:00 AM</v>
      </c>
      <c r="O115" t="s">
        <v>271</v>
      </c>
    </row>
    <row r="116" spans="1:15" x14ac:dyDescent="0.25">
      <c r="A116" t="str">
        <f>"3056058"</f>
        <v>3056058</v>
      </c>
      <c r="B116" t="s">
        <v>286</v>
      </c>
      <c r="C116" t="str">
        <f t="shared" si="6"/>
        <v>20118500</v>
      </c>
      <c r="D116" t="s">
        <v>271</v>
      </c>
      <c r="F116" t="s">
        <v>272</v>
      </c>
      <c r="G116" t="s">
        <v>273</v>
      </c>
      <c r="I116" t="s">
        <v>29</v>
      </c>
      <c r="J116" t="s">
        <v>30</v>
      </c>
      <c r="K116" t="s">
        <v>31</v>
      </c>
      <c r="M116" t="s">
        <v>32</v>
      </c>
      <c r="N116" t="str">
        <f t="shared" si="7"/>
        <v>4/23/2007 12:00:00 AM</v>
      </c>
      <c r="O116" t="s">
        <v>271</v>
      </c>
    </row>
    <row r="117" spans="1:15" x14ac:dyDescent="0.25">
      <c r="A117" t="str">
        <f>"3056059"</f>
        <v>3056059</v>
      </c>
      <c r="B117" t="s">
        <v>287</v>
      </c>
      <c r="C117" t="str">
        <f t="shared" si="6"/>
        <v>20118500</v>
      </c>
      <c r="D117" t="s">
        <v>271</v>
      </c>
      <c r="F117" t="s">
        <v>272</v>
      </c>
      <c r="G117" t="s">
        <v>273</v>
      </c>
      <c r="I117" t="s">
        <v>29</v>
      </c>
      <c r="J117" t="s">
        <v>30</v>
      </c>
      <c r="K117" t="s">
        <v>31</v>
      </c>
      <c r="M117" t="s">
        <v>32</v>
      </c>
      <c r="N117" t="str">
        <f t="shared" si="7"/>
        <v>4/23/2007 12:00:00 AM</v>
      </c>
      <c r="O117" t="s">
        <v>271</v>
      </c>
    </row>
    <row r="118" spans="1:15" x14ac:dyDescent="0.25">
      <c r="A118" t="str">
        <f>"3056060"</f>
        <v>3056060</v>
      </c>
      <c r="B118" t="s">
        <v>288</v>
      </c>
      <c r="C118" t="str">
        <f t="shared" si="6"/>
        <v>20118500</v>
      </c>
      <c r="D118" t="s">
        <v>271</v>
      </c>
      <c r="F118" t="s">
        <v>272</v>
      </c>
      <c r="G118" t="s">
        <v>273</v>
      </c>
      <c r="I118" t="s">
        <v>29</v>
      </c>
      <c r="J118" t="s">
        <v>30</v>
      </c>
      <c r="K118" t="s">
        <v>31</v>
      </c>
      <c r="M118" t="s">
        <v>32</v>
      </c>
      <c r="N118" t="str">
        <f t="shared" si="7"/>
        <v>4/23/2007 12:00:00 AM</v>
      </c>
      <c r="O118" t="s">
        <v>271</v>
      </c>
    </row>
    <row r="119" spans="1:15" x14ac:dyDescent="0.25">
      <c r="A119" t="str">
        <f>"3056069"</f>
        <v>3056069</v>
      </c>
      <c r="B119" t="s">
        <v>289</v>
      </c>
      <c r="C119" t="str">
        <f t="shared" si="6"/>
        <v>20118500</v>
      </c>
      <c r="D119" t="s">
        <v>271</v>
      </c>
      <c r="F119" t="s">
        <v>272</v>
      </c>
      <c r="G119" t="s">
        <v>273</v>
      </c>
      <c r="I119" t="s">
        <v>29</v>
      </c>
      <c r="J119" t="s">
        <v>30</v>
      </c>
      <c r="K119" t="s">
        <v>31</v>
      </c>
      <c r="M119" t="s">
        <v>32</v>
      </c>
      <c r="N119" t="str">
        <f t="shared" si="7"/>
        <v>4/23/2007 12:00:00 AM</v>
      </c>
      <c r="O119" t="s">
        <v>271</v>
      </c>
    </row>
    <row r="120" spans="1:15" x14ac:dyDescent="0.25">
      <c r="A120" t="str">
        <f>"3056070"</f>
        <v>3056070</v>
      </c>
      <c r="B120" t="s">
        <v>290</v>
      </c>
      <c r="C120" t="str">
        <f t="shared" si="6"/>
        <v>20118500</v>
      </c>
      <c r="D120" t="s">
        <v>271</v>
      </c>
      <c r="F120" t="s">
        <v>272</v>
      </c>
      <c r="G120" t="s">
        <v>273</v>
      </c>
      <c r="I120" t="s">
        <v>29</v>
      </c>
      <c r="J120" t="s">
        <v>30</v>
      </c>
      <c r="K120" t="s">
        <v>31</v>
      </c>
      <c r="M120" t="s">
        <v>32</v>
      </c>
      <c r="N120" t="str">
        <f t="shared" si="7"/>
        <v>4/23/2007 12:00:00 AM</v>
      </c>
      <c r="O120" t="s">
        <v>271</v>
      </c>
    </row>
    <row r="121" spans="1:15" x14ac:dyDescent="0.25">
      <c r="A121" t="str">
        <f>"3055801"</f>
        <v>3055801</v>
      </c>
      <c r="B121" t="s">
        <v>291</v>
      </c>
      <c r="C121" t="str">
        <f t="shared" si="6"/>
        <v>20118500</v>
      </c>
      <c r="D121" t="s">
        <v>271</v>
      </c>
      <c r="F121" t="s">
        <v>272</v>
      </c>
      <c r="G121" t="s">
        <v>273</v>
      </c>
      <c r="I121" t="s">
        <v>29</v>
      </c>
      <c r="J121" t="s">
        <v>30</v>
      </c>
      <c r="K121" t="s">
        <v>31</v>
      </c>
      <c r="M121" t="s">
        <v>32</v>
      </c>
      <c r="N121" t="str">
        <f t="shared" si="7"/>
        <v>4/23/2007 12:00:00 AM</v>
      </c>
      <c r="O121" t="s">
        <v>271</v>
      </c>
    </row>
    <row r="122" spans="1:15" x14ac:dyDescent="0.25">
      <c r="A122" t="str">
        <f>"3056603"</f>
        <v>3056603</v>
      </c>
      <c r="B122" t="s">
        <v>292</v>
      </c>
      <c r="C122" t="str">
        <f t="shared" si="6"/>
        <v>20118500</v>
      </c>
      <c r="D122" t="s">
        <v>271</v>
      </c>
      <c r="F122" t="s">
        <v>272</v>
      </c>
      <c r="G122" t="s">
        <v>273</v>
      </c>
      <c r="I122" t="s">
        <v>29</v>
      </c>
      <c r="J122" t="s">
        <v>30</v>
      </c>
      <c r="K122" t="s">
        <v>31</v>
      </c>
      <c r="M122" t="s">
        <v>32</v>
      </c>
      <c r="N122" t="str">
        <f t="shared" si="7"/>
        <v>4/23/2007 12:00:00 AM</v>
      </c>
      <c r="O122" t="s">
        <v>271</v>
      </c>
    </row>
    <row r="123" spans="1:15" x14ac:dyDescent="0.25">
      <c r="A123" t="str">
        <f>"3057457"</f>
        <v>3057457</v>
      </c>
      <c r="B123" t="s">
        <v>293</v>
      </c>
      <c r="C123" t="str">
        <f t="shared" si="6"/>
        <v>20118500</v>
      </c>
      <c r="D123" t="s">
        <v>271</v>
      </c>
      <c r="F123" t="s">
        <v>272</v>
      </c>
      <c r="G123" t="s">
        <v>273</v>
      </c>
      <c r="I123" t="s">
        <v>29</v>
      </c>
      <c r="J123" t="s">
        <v>30</v>
      </c>
      <c r="K123" t="s">
        <v>31</v>
      </c>
      <c r="M123" t="s">
        <v>32</v>
      </c>
      <c r="N123" t="str">
        <f t="shared" si="7"/>
        <v>4/23/2007 12:00:00 AM</v>
      </c>
      <c r="O123" t="s">
        <v>271</v>
      </c>
    </row>
    <row r="124" spans="1:15" x14ac:dyDescent="0.25">
      <c r="A124" t="str">
        <f>"3057465"</f>
        <v>3057465</v>
      </c>
      <c r="B124" t="s">
        <v>294</v>
      </c>
      <c r="C124" t="str">
        <f t="shared" si="6"/>
        <v>20118500</v>
      </c>
      <c r="D124" t="s">
        <v>271</v>
      </c>
      <c r="F124" t="s">
        <v>272</v>
      </c>
      <c r="G124" t="s">
        <v>273</v>
      </c>
      <c r="I124" t="s">
        <v>29</v>
      </c>
      <c r="J124" t="s">
        <v>30</v>
      </c>
      <c r="K124" t="s">
        <v>31</v>
      </c>
      <c r="M124" t="s">
        <v>32</v>
      </c>
      <c r="N124" t="str">
        <f t="shared" si="7"/>
        <v>4/23/2007 12:00:00 AM</v>
      </c>
      <c r="O124" t="s">
        <v>271</v>
      </c>
    </row>
    <row r="125" spans="1:15" x14ac:dyDescent="0.25">
      <c r="A125" t="str">
        <f>"3049330"</f>
        <v>3049330</v>
      </c>
      <c r="B125" t="s">
        <v>295</v>
      </c>
      <c r="C125" t="str">
        <f t="shared" si="6"/>
        <v>20118500</v>
      </c>
      <c r="D125" t="s">
        <v>271</v>
      </c>
      <c r="F125" t="s">
        <v>272</v>
      </c>
      <c r="G125" t="s">
        <v>273</v>
      </c>
      <c r="I125" t="s">
        <v>29</v>
      </c>
      <c r="J125" t="s">
        <v>30</v>
      </c>
      <c r="K125" t="s">
        <v>31</v>
      </c>
      <c r="M125" t="s">
        <v>32</v>
      </c>
      <c r="N125" t="str">
        <f t="shared" si="7"/>
        <v>4/23/2007 12:00:00 AM</v>
      </c>
      <c r="O125" t="s">
        <v>271</v>
      </c>
    </row>
    <row r="126" spans="1:15" x14ac:dyDescent="0.25">
      <c r="A126" t="str">
        <f>"3049449"</f>
        <v>3049449</v>
      </c>
      <c r="B126" t="s">
        <v>296</v>
      </c>
      <c r="C126" t="str">
        <f t="shared" si="6"/>
        <v>20118500</v>
      </c>
      <c r="D126" t="s">
        <v>271</v>
      </c>
      <c r="F126" t="s">
        <v>272</v>
      </c>
      <c r="G126" t="s">
        <v>273</v>
      </c>
      <c r="I126" t="s">
        <v>29</v>
      </c>
      <c r="J126" t="s">
        <v>30</v>
      </c>
      <c r="K126" t="s">
        <v>31</v>
      </c>
      <c r="M126" t="s">
        <v>32</v>
      </c>
      <c r="N126" t="str">
        <f t="shared" si="7"/>
        <v>4/23/2007 12:00:00 AM</v>
      </c>
      <c r="O126" t="s">
        <v>271</v>
      </c>
    </row>
    <row r="127" spans="1:15" x14ac:dyDescent="0.25">
      <c r="A127" t="str">
        <f>"3048396"</f>
        <v>3048396</v>
      </c>
      <c r="B127" t="s">
        <v>297</v>
      </c>
      <c r="C127" t="str">
        <f t="shared" si="6"/>
        <v>20118500</v>
      </c>
      <c r="D127" t="s">
        <v>271</v>
      </c>
      <c r="F127" t="s">
        <v>272</v>
      </c>
      <c r="G127" t="s">
        <v>273</v>
      </c>
      <c r="I127" t="s">
        <v>29</v>
      </c>
      <c r="J127" t="s">
        <v>30</v>
      </c>
      <c r="K127" t="s">
        <v>31</v>
      </c>
      <c r="M127" t="s">
        <v>32</v>
      </c>
      <c r="N127" t="str">
        <f t="shared" si="7"/>
        <v>4/23/2007 12:00:00 AM</v>
      </c>
      <c r="O127" t="s">
        <v>271</v>
      </c>
    </row>
    <row r="128" spans="1:15" x14ac:dyDescent="0.25">
      <c r="A128" t="str">
        <f>"3049113"</f>
        <v>3049113</v>
      </c>
      <c r="B128" t="s">
        <v>298</v>
      </c>
      <c r="C128" t="str">
        <f t="shared" si="6"/>
        <v>20118500</v>
      </c>
      <c r="D128" t="s">
        <v>271</v>
      </c>
      <c r="F128" t="s">
        <v>272</v>
      </c>
      <c r="G128" t="s">
        <v>273</v>
      </c>
      <c r="I128" t="s">
        <v>29</v>
      </c>
      <c r="J128" t="s">
        <v>30</v>
      </c>
      <c r="K128" t="s">
        <v>31</v>
      </c>
      <c r="M128" t="s">
        <v>32</v>
      </c>
      <c r="N128" t="str">
        <f t="shared" si="7"/>
        <v>4/23/2007 12:00:00 AM</v>
      </c>
      <c r="O128" t="s">
        <v>271</v>
      </c>
    </row>
    <row r="129" spans="1:20" x14ac:dyDescent="0.25">
      <c r="A129" t="str">
        <f>"3049114"</f>
        <v>3049114</v>
      </c>
      <c r="B129" t="s">
        <v>299</v>
      </c>
      <c r="C129" t="str">
        <f t="shared" si="6"/>
        <v>20118500</v>
      </c>
      <c r="D129" t="s">
        <v>271</v>
      </c>
      <c r="F129" t="s">
        <v>272</v>
      </c>
      <c r="G129" t="s">
        <v>273</v>
      </c>
      <c r="I129" t="s">
        <v>29</v>
      </c>
      <c r="J129" t="s">
        <v>30</v>
      </c>
      <c r="K129" t="s">
        <v>31</v>
      </c>
      <c r="M129" t="s">
        <v>32</v>
      </c>
      <c r="N129" t="str">
        <f t="shared" si="7"/>
        <v>4/23/2007 12:00:00 AM</v>
      </c>
      <c r="O129" t="s">
        <v>271</v>
      </c>
    </row>
    <row r="130" spans="1:20" x14ac:dyDescent="0.25">
      <c r="A130" t="str">
        <f>"3052750"</f>
        <v>3052750</v>
      </c>
      <c r="B130" t="s">
        <v>300</v>
      </c>
      <c r="C130" t="str">
        <f t="shared" si="6"/>
        <v>20118500</v>
      </c>
      <c r="D130" t="s">
        <v>271</v>
      </c>
      <c r="F130" t="s">
        <v>272</v>
      </c>
      <c r="G130" t="s">
        <v>273</v>
      </c>
      <c r="I130" t="s">
        <v>29</v>
      </c>
      <c r="J130" t="s">
        <v>30</v>
      </c>
      <c r="K130" t="s">
        <v>31</v>
      </c>
      <c r="M130" t="s">
        <v>32</v>
      </c>
      <c r="N130" t="str">
        <f t="shared" si="7"/>
        <v>4/23/2007 12:00:00 AM</v>
      </c>
      <c r="O130" t="s">
        <v>271</v>
      </c>
    </row>
    <row r="131" spans="1:20" x14ac:dyDescent="0.25">
      <c r="A131" t="str">
        <f>"3052883"</f>
        <v>3052883</v>
      </c>
      <c r="B131" t="s">
        <v>301</v>
      </c>
      <c r="C131" t="str">
        <f t="shared" si="6"/>
        <v>20118500</v>
      </c>
      <c r="D131" t="s">
        <v>271</v>
      </c>
      <c r="F131" t="s">
        <v>272</v>
      </c>
      <c r="G131" t="s">
        <v>273</v>
      </c>
      <c r="I131" t="s">
        <v>29</v>
      </c>
      <c r="J131" t="s">
        <v>30</v>
      </c>
      <c r="K131" t="s">
        <v>31</v>
      </c>
      <c r="M131" t="s">
        <v>32</v>
      </c>
      <c r="N131" t="str">
        <f t="shared" si="7"/>
        <v>4/23/2007 12:00:00 AM</v>
      </c>
      <c r="O131" t="s">
        <v>271</v>
      </c>
    </row>
    <row r="132" spans="1:20" x14ac:dyDescent="0.25">
      <c r="A132" t="str">
        <f>"3052694"</f>
        <v>3052694</v>
      </c>
      <c r="B132" t="s">
        <v>302</v>
      </c>
      <c r="C132" t="str">
        <f t="shared" si="6"/>
        <v>20118500</v>
      </c>
      <c r="D132" t="s">
        <v>271</v>
      </c>
      <c r="F132" t="s">
        <v>272</v>
      </c>
      <c r="G132" t="s">
        <v>273</v>
      </c>
      <c r="I132" t="s">
        <v>29</v>
      </c>
      <c r="J132" t="s">
        <v>30</v>
      </c>
      <c r="K132" t="s">
        <v>31</v>
      </c>
      <c r="M132" t="s">
        <v>32</v>
      </c>
      <c r="N132" t="str">
        <f t="shared" si="7"/>
        <v>4/23/2007 12:00:00 AM</v>
      </c>
      <c r="O132" t="s">
        <v>271</v>
      </c>
    </row>
    <row r="133" spans="1:20" x14ac:dyDescent="0.25">
      <c r="A133" t="str">
        <f>"3051795"</f>
        <v>3051795</v>
      </c>
      <c r="B133" t="s">
        <v>303</v>
      </c>
      <c r="C133" t="str">
        <f t="shared" si="6"/>
        <v>20118500</v>
      </c>
      <c r="D133" t="s">
        <v>271</v>
      </c>
      <c r="F133" t="s">
        <v>272</v>
      </c>
      <c r="G133" t="s">
        <v>273</v>
      </c>
      <c r="I133" t="s">
        <v>29</v>
      </c>
      <c r="J133" t="s">
        <v>30</v>
      </c>
      <c r="K133" t="s">
        <v>31</v>
      </c>
      <c r="M133" t="s">
        <v>32</v>
      </c>
      <c r="N133" t="str">
        <f t="shared" si="7"/>
        <v>4/23/2007 12:00:00 AM</v>
      </c>
      <c r="O133" t="s">
        <v>271</v>
      </c>
    </row>
    <row r="134" spans="1:20" x14ac:dyDescent="0.25">
      <c r="A134" t="str">
        <f>"3037435"</f>
        <v>3037435</v>
      </c>
      <c r="B134" t="s">
        <v>304</v>
      </c>
      <c r="C134" t="str">
        <f>"82525472"</f>
        <v>82525472</v>
      </c>
      <c r="D134" t="s">
        <v>305</v>
      </c>
      <c r="F134" t="s">
        <v>306</v>
      </c>
      <c r="I134" t="s">
        <v>49</v>
      </c>
      <c r="J134" t="s">
        <v>30</v>
      </c>
      <c r="K134" t="s">
        <v>50</v>
      </c>
      <c r="M134" t="s">
        <v>32</v>
      </c>
      <c r="N134" t="str">
        <f>"4/22/2008 12:00:00 AM"</f>
        <v>4/22/2008 12:00:00 AM</v>
      </c>
      <c r="O134" t="s">
        <v>305</v>
      </c>
    </row>
    <row r="135" spans="1:20" x14ac:dyDescent="0.25">
      <c r="A135" t="str">
        <f>"3037667"</f>
        <v>3037667</v>
      </c>
      <c r="B135" t="s">
        <v>307</v>
      </c>
      <c r="C135" t="str">
        <f>"15994350"</f>
        <v>15994350</v>
      </c>
      <c r="D135" t="s">
        <v>308</v>
      </c>
      <c r="E135" t="s">
        <v>309</v>
      </c>
      <c r="F135" t="s">
        <v>310</v>
      </c>
      <c r="I135" t="s">
        <v>29</v>
      </c>
      <c r="J135" t="s">
        <v>30</v>
      </c>
      <c r="K135" t="s">
        <v>31</v>
      </c>
      <c r="M135" t="s">
        <v>32</v>
      </c>
      <c r="N135" t="str">
        <f>"3/5/2002 12:00:00 AM"</f>
        <v>3/5/2002 12:00:00 AM</v>
      </c>
      <c r="O135" t="s">
        <v>308</v>
      </c>
      <c r="T135" t="s">
        <v>309</v>
      </c>
    </row>
    <row r="136" spans="1:20" x14ac:dyDescent="0.25">
      <c r="A136" t="str">
        <f>"3037737"</f>
        <v>3037737</v>
      </c>
      <c r="B136" t="s">
        <v>311</v>
      </c>
      <c r="C136" t="str">
        <f>"82516338"</f>
        <v>82516338</v>
      </c>
      <c r="D136" t="s">
        <v>312</v>
      </c>
      <c r="F136" t="s">
        <v>313</v>
      </c>
      <c r="I136" t="s">
        <v>29</v>
      </c>
      <c r="J136" t="s">
        <v>30</v>
      </c>
      <c r="K136" t="s">
        <v>314</v>
      </c>
      <c r="M136" t="s">
        <v>32</v>
      </c>
      <c r="N136" t="str">
        <f>"8/26/2011 12:00:00 AM"</f>
        <v>8/26/2011 12:00:00 AM</v>
      </c>
      <c r="O136" t="s">
        <v>312</v>
      </c>
    </row>
    <row r="137" spans="1:20" x14ac:dyDescent="0.25">
      <c r="A137" t="str">
        <f>"3037437"</f>
        <v>3037437</v>
      </c>
      <c r="B137" t="s">
        <v>315</v>
      </c>
      <c r="C137" t="str">
        <f>"82528701"</f>
        <v>82528701</v>
      </c>
      <c r="D137" t="s">
        <v>144</v>
      </c>
      <c r="E137" t="s">
        <v>316</v>
      </c>
      <c r="F137" t="s">
        <v>145</v>
      </c>
      <c r="I137" t="s">
        <v>29</v>
      </c>
      <c r="J137" t="s">
        <v>30</v>
      </c>
      <c r="K137" t="s">
        <v>31</v>
      </c>
      <c r="M137" t="s">
        <v>32</v>
      </c>
      <c r="N137" t="str">
        <f>"10/9/2007 12:00:00 AM"</f>
        <v>10/9/2007 12:00:00 AM</v>
      </c>
      <c r="O137" t="s">
        <v>144</v>
      </c>
      <c r="T137" t="s">
        <v>316</v>
      </c>
    </row>
    <row r="138" spans="1:20" x14ac:dyDescent="0.25">
      <c r="A138" t="str">
        <f>"3037655"</f>
        <v>3037655</v>
      </c>
      <c r="B138" t="s">
        <v>317</v>
      </c>
      <c r="C138" t="str">
        <f>"82528018"</f>
        <v>82528018</v>
      </c>
      <c r="D138" t="s">
        <v>318</v>
      </c>
      <c r="E138" t="s">
        <v>319</v>
      </c>
      <c r="F138" t="s">
        <v>320</v>
      </c>
      <c r="I138" t="s">
        <v>29</v>
      </c>
      <c r="J138" t="s">
        <v>30</v>
      </c>
      <c r="K138" t="s">
        <v>31</v>
      </c>
      <c r="M138" t="s">
        <v>32</v>
      </c>
      <c r="N138" t="str">
        <f>"5/22/2007 12:00:00 AM"</f>
        <v>5/22/2007 12:00:00 AM</v>
      </c>
      <c r="O138" t="s">
        <v>318</v>
      </c>
      <c r="T138" t="s">
        <v>319</v>
      </c>
    </row>
    <row r="139" spans="1:20" x14ac:dyDescent="0.25">
      <c r="A139" t="str">
        <f>"3037561"</f>
        <v>3037561</v>
      </c>
      <c r="B139" t="s">
        <v>321</v>
      </c>
      <c r="C139" t="str">
        <f>"39643000"</f>
        <v>39643000</v>
      </c>
      <c r="D139" t="s">
        <v>322</v>
      </c>
      <c r="E139" t="s">
        <v>323</v>
      </c>
      <c r="F139" t="s">
        <v>324</v>
      </c>
      <c r="I139" t="s">
        <v>29</v>
      </c>
      <c r="J139" t="s">
        <v>30</v>
      </c>
      <c r="K139" t="s">
        <v>168</v>
      </c>
      <c r="M139" t="s">
        <v>32</v>
      </c>
      <c r="N139" t="str">
        <f>"1/25/2006 12:00:00 AM"</f>
        <v>1/25/2006 12:00:00 AM</v>
      </c>
      <c r="O139" t="s">
        <v>322</v>
      </c>
      <c r="T139" t="s">
        <v>323</v>
      </c>
    </row>
    <row r="140" spans="1:20" x14ac:dyDescent="0.25">
      <c r="A140" t="str">
        <f>"3037447"</f>
        <v>3037447</v>
      </c>
      <c r="B140" t="s">
        <v>325</v>
      </c>
      <c r="C140" t="str">
        <f>"39643000"</f>
        <v>39643000</v>
      </c>
      <c r="D140" t="s">
        <v>322</v>
      </c>
      <c r="E140" t="s">
        <v>323</v>
      </c>
      <c r="F140" t="s">
        <v>324</v>
      </c>
      <c r="I140" t="s">
        <v>29</v>
      </c>
      <c r="J140" t="s">
        <v>30</v>
      </c>
      <c r="K140" t="s">
        <v>168</v>
      </c>
      <c r="M140" t="s">
        <v>32</v>
      </c>
      <c r="N140" t="str">
        <f>"1/25/2006 12:00:00 AM"</f>
        <v>1/25/2006 12:00:00 AM</v>
      </c>
      <c r="O140" t="s">
        <v>322</v>
      </c>
      <c r="T140" t="s">
        <v>323</v>
      </c>
    </row>
    <row r="141" spans="1:20" x14ac:dyDescent="0.25">
      <c r="A141" t="str">
        <f>"3039096"</f>
        <v>3039096</v>
      </c>
      <c r="B141" t="s">
        <v>326</v>
      </c>
      <c r="C141" t="str">
        <f>"82519422"</f>
        <v>82519422</v>
      </c>
      <c r="D141" t="s">
        <v>327</v>
      </c>
      <c r="E141" t="s">
        <v>328</v>
      </c>
      <c r="F141" t="s">
        <v>329</v>
      </c>
      <c r="I141" t="s">
        <v>29</v>
      </c>
      <c r="J141" t="s">
        <v>30</v>
      </c>
      <c r="K141" t="s">
        <v>31</v>
      </c>
      <c r="M141" t="s">
        <v>32</v>
      </c>
      <c r="N141" t="str">
        <f>"7/29/2005 12:00:00 AM"</f>
        <v>7/29/2005 12:00:00 AM</v>
      </c>
      <c r="O141" t="s">
        <v>327</v>
      </c>
      <c r="T141" t="s">
        <v>328</v>
      </c>
    </row>
    <row r="142" spans="1:20" x14ac:dyDescent="0.25">
      <c r="A142" t="str">
        <f>"3038290"</f>
        <v>3038290</v>
      </c>
      <c r="B142" t="s">
        <v>330</v>
      </c>
      <c r="C142" t="str">
        <f>"70020000"</f>
        <v>70020000</v>
      </c>
      <c r="D142" t="s">
        <v>331</v>
      </c>
      <c r="E142" t="s">
        <v>332</v>
      </c>
      <c r="F142" t="s">
        <v>333</v>
      </c>
      <c r="I142" t="s">
        <v>49</v>
      </c>
      <c r="J142" t="s">
        <v>30</v>
      </c>
      <c r="K142" t="s">
        <v>334</v>
      </c>
      <c r="M142" t="s">
        <v>32</v>
      </c>
      <c r="N142" t="str">
        <f>"1/3/2006 12:00:00 AM"</f>
        <v>1/3/2006 12:00:00 AM</v>
      </c>
      <c r="O142" t="s">
        <v>331</v>
      </c>
      <c r="T142" t="s">
        <v>332</v>
      </c>
    </row>
    <row r="143" spans="1:20" x14ac:dyDescent="0.25">
      <c r="A143" t="str">
        <f>"3038313"</f>
        <v>3038313</v>
      </c>
      <c r="B143" t="s">
        <v>335</v>
      </c>
      <c r="C143" t="str">
        <f>"70020000"</f>
        <v>70020000</v>
      </c>
      <c r="D143" t="s">
        <v>331</v>
      </c>
      <c r="E143" t="s">
        <v>332</v>
      </c>
      <c r="F143" t="s">
        <v>333</v>
      </c>
      <c r="I143" t="s">
        <v>49</v>
      </c>
      <c r="J143" t="s">
        <v>30</v>
      </c>
      <c r="K143" t="s">
        <v>334</v>
      </c>
      <c r="M143" t="s">
        <v>32</v>
      </c>
      <c r="N143" t="str">
        <f>"1/3/2006 12:00:00 AM"</f>
        <v>1/3/2006 12:00:00 AM</v>
      </c>
      <c r="O143" t="s">
        <v>331</v>
      </c>
      <c r="T143" t="s">
        <v>332</v>
      </c>
    </row>
    <row r="144" spans="1:20" x14ac:dyDescent="0.25">
      <c r="A144" t="str">
        <f>"3038112"</f>
        <v>3038112</v>
      </c>
      <c r="B144" t="s">
        <v>336</v>
      </c>
      <c r="C144" t="str">
        <f>"78568000"</f>
        <v>78568000</v>
      </c>
      <c r="D144" t="s">
        <v>227</v>
      </c>
      <c r="F144" t="s">
        <v>228</v>
      </c>
      <c r="I144" t="s">
        <v>29</v>
      </c>
      <c r="J144" t="s">
        <v>30</v>
      </c>
      <c r="K144" t="s">
        <v>31</v>
      </c>
      <c r="M144" t="s">
        <v>32</v>
      </c>
      <c r="N144" t="str">
        <f>"1/4/2008 12:00:00 AM"</f>
        <v>1/4/2008 12:00:00 AM</v>
      </c>
      <c r="O144" t="s">
        <v>227</v>
      </c>
      <c r="T144" t="s">
        <v>227</v>
      </c>
    </row>
    <row r="145" spans="1:20" x14ac:dyDescent="0.25">
      <c r="A145" t="str">
        <f>"3038114"</f>
        <v>3038114</v>
      </c>
      <c r="B145" t="s">
        <v>337</v>
      </c>
      <c r="C145" t="str">
        <f>"78568000"</f>
        <v>78568000</v>
      </c>
      <c r="D145" t="s">
        <v>227</v>
      </c>
      <c r="F145" t="s">
        <v>228</v>
      </c>
      <c r="I145" t="s">
        <v>29</v>
      </c>
      <c r="J145" t="s">
        <v>30</v>
      </c>
      <c r="K145" t="s">
        <v>31</v>
      </c>
      <c r="M145" t="s">
        <v>32</v>
      </c>
      <c r="N145" t="str">
        <f>"1/4/2008 12:00:00 AM"</f>
        <v>1/4/2008 12:00:00 AM</v>
      </c>
      <c r="O145" t="s">
        <v>227</v>
      </c>
      <c r="T145" t="s">
        <v>227</v>
      </c>
    </row>
    <row r="146" spans="1:20" x14ac:dyDescent="0.25">
      <c r="A146" t="str">
        <f>"3039143"</f>
        <v>3039143</v>
      </c>
      <c r="B146" t="s">
        <v>338</v>
      </c>
      <c r="C146" t="str">
        <f>"82517286"</f>
        <v>82517286</v>
      </c>
      <c r="D146" t="s">
        <v>339</v>
      </c>
      <c r="E146" t="s">
        <v>340</v>
      </c>
      <c r="F146" t="s">
        <v>341</v>
      </c>
      <c r="I146" t="s">
        <v>29</v>
      </c>
      <c r="J146" t="s">
        <v>30</v>
      </c>
      <c r="K146" t="s">
        <v>31</v>
      </c>
      <c r="M146" t="s">
        <v>32</v>
      </c>
      <c r="N146" t="str">
        <f>"1/6/2004 12:00:00 AM"</f>
        <v>1/6/2004 12:00:00 AM</v>
      </c>
      <c r="O146" t="s">
        <v>339</v>
      </c>
      <c r="T146" t="s">
        <v>340</v>
      </c>
    </row>
    <row r="147" spans="1:20" x14ac:dyDescent="0.25">
      <c r="A147" t="str">
        <f>"3038291"</f>
        <v>3038291</v>
      </c>
      <c r="B147" t="s">
        <v>342</v>
      </c>
      <c r="C147" t="str">
        <f>"15582000"</f>
        <v>15582000</v>
      </c>
      <c r="D147" t="s">
        <v>343</v>
      </c>
      <c r="E147" t="s">
        <v>344</v>
      </c>
      <c r="F147" t="s">
        <v>345</v>
      </c>
      <c r="I147" t="s">
        <v>49</v>
      </c>
      <c r="J147" t="s">
        <v>30</v>
      </c>
      <c r="K147" t="s">
        <v>50</v>
      </c>
      <c r="M147" t="s">
        <v>32</v>
      </c>
      <c r="N147" t="str">
        <f>"3/6/2002 12:00:00 AM"</f>
        <v>3/6/2002 12:00:00 AM</v>
      </c>
      <c r="O147" t="s">
        <v>343</v>
      </c>
      <c r="T147" t="s">
        <v>344</v>
      </c>
    </row>
    <row r="148" spans="1:20" x14ac:dyDescent="0.25">
      <c r="A148" t="str">
        <f>"3038266"</f>
        <v>3038266</v>
      </c>
      <c r="B148" t="s">
        <v>346</v>
      </c>
      <c r="C148" t="str">
        <f>"15582000"</f>
        <v>15582000</v>
      </c>
      <c r="D148" t="s">
        <v>343</v>
      </c>
      <c r="E148" t="s">
        <v>344</v>
      </c>
      <c r="F148" t="s">
        <v>345</v>
      </c>
      <c r="I148" t="s">
        <v>49</v>
      </c>
      <c r="J148" t="s">
        <v>30</v>
      </c>
      <c r="K148" t="s">
        <v>50</v>
      </c>
      <c r="M148" t="s">
        <v>32</v>
      </c>
      <c r="N148" t="str">
        <f>"3/6/2002 12:00:00 AM"</f>
        <v>3/6/2002 12:00:00 AM</v>
      </c>
      <c r="O148" t="s">
        <v>343</v>
      </c>
      <c r="T148" t="s">
        <v>344</v>
      </c>
    </row>
    <row r="149" spans="1:20" x14ac:dyDescent="0.25">
      <c r="A149" t="str">
        <f>"3059728"</f>
        <v>3059728</v>
      </c>
      <c r="B149" t="s">
        <v>347</v>
      </c>
      <c r="C149" t="str">
        <f>"15582000"</f>
        <v>15582000</v>
      </c>
      <c r="D149" t="s">
        <v>343</v>
      </c>
      <c r="E149" t="s">
        <v>344</v>
      </c>
      <c r="F149" t="s">
        <v>345</v>
      </c>
      <c r="I149" t="s">
        <v>49</v>
      </c>
      <c r="J149" t="s">
        <v>30</v>
      </c>
      <c r="K149" t="s">
        <v>50</v>
      </c>
      <c r="M149" t="s">
        <v>32</v>
      </c>
      <c r="N149" t="str">
        <f>"3/6/2002 12:00:00 AM"</f>
        <v>3/6/2002 12:00:00 AM</v>
      </c>
      <c r="O149" t="s">
        <v>343</v>
      </c>
      <c r="T149" t="s">
        <v>344</v>
      </c>
    </row>
    <row r="150" spans="1:20" x14ac:dyDescent="0.25">
      <c r="A150" t="str">
        <f>"3059767"</f>
        <v>3059767</v>
      </c>
      <c r="B150" t="s">
        <v>348</v>
      </c>
      <c r="C150" t="str">
        <f>"15582000"</f>
        <v>15582000</v>
      </c>
      <c r="D150" t="s">
        <v>343</v>
      </c>
      <c r="E150" t="s">
        <v>344</v>
      </c>
      <c r="F150" t="s">
        <v>345</v>
      </c>
      <c r="I150" t="s">
        <v>49</v>
      </c>
      <c r="J150" t="s">
        <v>30</v>
      </c>
      <c r="K150" t="s">
        <v>50</v>
      </c>
      <c r="M150" t="s">
        <v>32</v>
      </c>
      <c r="N150" t="str">
        <f>"3/6/2002 12:00:00 AM"</f>
        <v>3/6/2002 12:00:00 AM</v>
      </c>
      <c r="O150" t="s">
        <v>343</v>
      </c>
      <c r="T150" t="s">
        <v>344</v>
      </c>
    </row>
    <row r="151" spans="1:20" x14ac:dyDescent="0.25">
      <c r="A151" t="str">
        <f>"3038675"</f>
        <v>3038675</v>
      </c>
      <c r="B151" t="s">
        <v>349</v>
      </c>
      <c r="C151" t="str">
        <f>"82525124"</f>
        <v>82525124</v>
      </c>
      <c r="D151" t="s">
        <v>350</v>
      </c>
      <c r="F151" t="s">
        <v>351</v>
      </c>
      <c r="I151" t="s">
        <v>29</v>
      </c>
      <c r="J151" t="s">
        <v>30</v>
      </c>
      <c r="K151" t="s">
        <v>31</v>
      </c>
      <c r="M151" t="s">
        <v>32</v>
      </c>
      <c r="N151" t="str">
        <f>"5/22/2008 12:00:00 AM"</f>
        <v>5/22/2008 12:00:00 AM</v>
      </c>
      <c r="O151" t="s">
        <v>350</v>
      </c>
    </row>
    <row r="152" spans="1:20" x14ac:dyDescent="0.25">
      <c r="A152" t="str">
        <f>"3038149"</f>
        <v>3038149</v>
      </c>
      <c r="B152" t="s">
        <v>352</v>
      </c>
      <c r="C152" t="str">
        <f>"56060000"</f>
        <v>56060000</v>
      </c>
      <c r="D152" t="s">
        <v>353</v>
      </c>
      <c r="E152" t="s">
        <v>354</v>
      </c>
      <c r="F152" t="s">
        <v>355</v>
      </c>
      <c r="I152" t="s">
        <v>49</v>
      </c>
      <c r="J152" t="s">
        <v>30</v>
      </c>
      <c r="K152" t="s">
        <v>356</v>
      </c>
      <c r="M152" t="s">
        <v>32</v>
      </c>
      <c r="N152" t="str">
        <f>"2/17/2005 12:00:00 AM"</f>
        <v>2/17/2005 12:00:00 AM</v>
      </c>
      <c r="O152" t="s">
        <v>353</v>
      </c>
      <c r="T152" t="s">
        <v>354</v>
      </c>
    </row>
    <row r="153" spans="1:20" x14ac:dyDescent="0.25">
      <c r="A153" t="str">
        <f>"3038721"</f>
        <v>3038721</v>
      </c>
      <c r="B153" t="s">
        <v>357</v>
      </c>
      <c r="C153" t="str">
        <f>"9900000"</f>
        <v>9900000</v>
      </c>
      <c r="D153" t="s">
        <v>358</v>
      </c>
      <c r="E153" t="s">
        <v>359</v>
      </c>
      <c r="F153" t="s">
        <v>360</v>
      </c>
      <c r="I153" t="s">
        <v>29</v>
      </c>
      <c r="J153" t="s">
        <v>30</v>
      </c>
      <c r="K153" t="s">
        <v>31</v>
      </c>
      <c r="M153" t="s">
        <v>32</v>
      </c>
      <c r="N153" t="str">
        <f>"6/10/2003 12:00:00 AM"</f>
        <v>6/10/2003 12:00:00 AM</v>
      </c>
      <c r="O153" t="s">
        <v>358</v>
      </c>
      <c r="T153" t="s">
        <v>359</v>
      </c>
    </row>
    <row r="154" spans="1:20" x14ac:dyDescent="0.25">
      <c r="A154" t="str">
        <f>"3038639"</f>
        <v>3038639</v>
      </c>
      <c r="B154" t="s">
        <v>361</v>
      </c>
      <c r="C154" t="str">
        <f>"78568000"</f>
        <v>78568000</v>
      </c>
      <c r="D154" t="s">
        <v>227</v>
      </c>
      <c r="F154" t="s">
        <v>228</v>
      </c>
      <c r="I154" t="s">
        <v>29</v>
      </c>
      <c r="J154" t="s">
        <v>30</v>
      </c>
      <c r="K154" t="s">
        <v>31</v>
      </c>
      <c r="M154" t="s">
        <v>32</v>
      </c>
      <c r="N154" t="str">
        <f>"1/4/2008 12:00:00 AM"</f>
        <v>1/4/2008 12:00:00 AM</v>
      </c>
      <c r="O154" t="s">
        <v>227</v>
      </c>
      <c r="T154" t="s">
        <v>227</v>
      </c>
    </row>
    <row r="155" spans="1:20" x14ac:dyDescent="0.25">
      <c r="A155" t="str">
        <f>"3038827"</f>
        <v>3038827</v>
      </c>
      <c r="B155" t="s">
        <v>362</v>
      </c>
      <c r="C155" t="str">
        <f>"78568000"</f>
        <v>78568000</v>
      </c>
      <c r="D155" t="s">
        <v>227</v>
      </c>
      <c r="F155" t="s">
        <v>228</v>
      </c>
      <c r="I155" t="s">
        <v>29</v>
      </c>
      <c r="J155" t="s">
        <v>30</v>
      </c>
      <c r="K155" t="s">
        <v>31</v>
      </c>
      <c r="M155" t="s">
        <v>32</v>
      </c>
      <c r="N155" t="str">
        <f>"1/4/2008 12:00:00 AM"</f>
        <v>1/4/2008 12:00:00 AM</v>
      </c>
      <c r="O155" t="s">
        <v>227</v>
      </c>
      <c r="T155" t="s">
        <v>227</v>
      </c>
    </row>
    <row r="156" spans="1:20" x14ac:dyDescent="0.25">
      <c r="A156" t="str">
        <f>"3039194"</f>
        <v>3039194</v>
      </c>
      <c r="B156" t="s">
        <v>363</v>
      </c>
      <c r="C156" t="str">
        <f>"78568000"</f>
        <v>78568000</v>
      </c>
      <c r="D156" t="s">
        <v>227</v>
      </c>
      <c r="F156" t="s">
        <v>228</v>
      </c>
      <c r="I156" t="s">
        <v>29</v>
      </c>
      <c r="J156" t="s">
        <v>30</v>
      </c>
      <c r="K156" t="s">
        <v>31</v>
      </c>
      <c r="M156" t="s">
        <v>32</v>
      </c>
      <c r="N156" t="str">
        <f>"1/4/2008 12:00:00 AM"</f>
        <v>1/4/2008 12:00:00 AM</v>
      </c>
      <c r="O156" t="s">
        <v>227</v>
      </c>
      <c r="T156" t="s">
        <v>227</v>
      </c>
    </row>
    <row r="157" spans="1:20" x14ac:dyDescent="0.25">
      <c r="A157" t="str">
        <f>"3038086"</f>
        <v>3038086</v>
      </c>
      <c r="B157" t="s">
        <v>364</v>
      </c>
      <c r="C157" t="str">
        <f>"78568000"</f>
        <v>78568000</v>
      </c>
      <c r="D157" t="s">
        <v>227</v>
      </c>
      <c r="F157" t="s">
        <v>228</v>
      </c>
      <c r="I157" t="s">
        <v>29</v>
      </c>
      <c r="J157" t="s">
        <v>30</v>
      </c>
      <c r="K157" t="s">
        <v>31</v>
      </c>
      <c r="M157" t="s">
        <v>32</v>
      </c>
      <c r="N157" t="str">
        <f>"1/4/2008 12:00:00 AM"</f>
        <v>1/4/2008 12:00:00 AM</v>
      </c>
      <c r="O157" t="s">
        <v>227</v>
      </c>
      <c r="T157" t="s">
        <v>227</v>
      </c>
    </row>
    <row r="158" spans="1:20" x14ac:dyDescent="0.25">
      <c r="A158" t="str">
        <f>"3051796"</f>
        <v>3051796</v>
      </c>
      <c r="B158" t="s">
        <v>365</v>
      </c>
      <c r="C158" t="str">
        <f t="shared" ref="C158:C166" si="8">"20118500"</f>
        <v>20118500</v>
      </c>
      <c r="D158" t="s">
        <v>271</v>
      </c>
      <c r="F158" t="s">
        <v>272</v>
      </c>
      <c r="G158" t="s">
        <v>273</v>
      </c>
      <c r="I158" t="s">
        <v>29</v>
      </c>
      <c r="J158" t="s">
        <v>30</v>
      </c>
      <c r="K158" t="s">
        <v>31</v>
      </c>
      <c r="M158" t="s">
        <v>32</v>
      </c>
      <c r="N158" t="str">
        <f t="shared" ref="N158:N166" si="9">"4/23/2007 12:00:00 AM"</f>
        <v>4/23/2007 12:00:00 AM</v>
      </c>
      <c r="O158" t="s">
        <v>271</v>
      </c>
    </row>
    <row r="159" spans="1:20" x14ac:dyDescent="0.25">
      <c r="A159" t="str">
        <f>"3051823"</f>
        <v>3051823</v>
      </c>
      <c r="B159" t="s">
        <v>366</v>
      </c>
      <c r="C159" t="str">
        <f t="shared" si="8"/>
        <v>20118500</v>
      </c>
      <c r="D159" t="s">
        <v>271</v>
      </c>
      <c r="F159" t="s">
        <v>272</v>
      </c>
      <c r="G159" t="s">
        <v>273</v>
      </c>
      <c r="I159" t="s">
        <v>29</v>
      </c>
      <c r="J159" t="s">
        <v>30</v>
      </c>
      <c r="K159" t="s">
        <v>31</v>
      </c>
      <c r="M159" t="s">
        <v>32</v>
      </c>
      <c r="N159" t="str">
        <f t="shared" si="9"/>
        <v>4/23/2007 12:00:00 AM</v>
      </c>
      <c r="O159" t="s">
        <v>271</v>
      </c>
    </row>
    <row r="160" spans="1:20" x14ac:dyDescent="0.25">
      <c r="A160" t="str">
        <f>"3052081"</f>
        <v>3052081</v>
      </c>
      <c r="B160" t="s">
        <v>367</v>
      </c>
      <c r="C160" t="str">
        <f t="shared" si="8"/>
        <v>20118500</v>
      </c>
      <c r="D160" t="s">
        <v>271</v>
      </c>
      <c r="F160" t="s">
        <v>272</v>
      </c>
      <c r="G160" t="s">
        <v>273</v>
      </c>
      <c r="I160" t="s">
        <v>29</v>
      </c>
      <c r="J160" t="s">
        <v>30</v>
      </c>
      <c r="K160" t="s">
        <v>31</v>
      </c>
      <c r="M160" t="s">
        <v>32</v>
      </c>
      <c r="N160" t="str">
        <f t="shared" si="9"/>
        <v>4/23/2007 12:00:00 AM</v>
      </c>
      <c r="O160" t="s">
        <v>271</v>
      </c>
    </row>
    <row r="161" spans="1:20" x14ac:dyDescent="0.25">
      <c r="A161" t="str">
        <f>"3052173"</f>
        <v>3052173</v>
      </c>
      <c r="B161" t="s">
        <v>368</v>
      </c>
      <c r="C161" t="str">
        <f t="shared" si="8"/>
        <v>20118500</v>
      </c>
      <c r="D161" t="s">
        <v>271</v>
      </c>
      <c r="F161" t="s">
        <v>272</v>
      </c>
      <c r="G161" t="s">
        <v>273</v>
      </c>
      <c r="I161" t="s">
        <v>29</v>
      </c>
      <c r="J161" t="s">
        <v>30</v>
      </c>
      <c r="K161" t="s">
        <v>31</v>
      </c>
      <c r="M161" t="s">
        <v>32</v>
      </c>
      <c r="N161" t="str">
        <f t="shared" si="9"/>
        <v>4/23/2007 12:00:00 AM</v>
      </c>
      <c r="O161" t="s">
        <v>271</v>
      </c>
    </row>
    <row r="162" spans="1:20" x14ac:dyDescent="0.25">
      <c r="A162" t="str">
        <f>"3052286"</f>
        <v>3052286</v>
      </c>
      <c r="B162" t="s">
        <v>369</v>
      </c>
      <c r="C162" t="str">
        <f t="shared" si="8"/>
        <v>20118500</v>
      </c>
      <c r="D162" t="s">
        <v>271</v>
      </c>
      <c r="F162" t="s">
        <v>272</v>
      </c>
      <c r="G162" t="s">
        <v>273</v>
      </c>
      <c r="I162" t="s">
        <v>29</v>
      </c>
      <c r="J162" t="s">
        <v>30</v>
      </c>
      <c r="K162" t="s">
        <v>31</v>
      </c>
      <c r="M162" t="s">
        <v>32</v>
      </c>
      <c r="N162" t="str">
        <f t="shared" si="9"/>
        <v>4/23/2007 12:00:00 AM</v>
      </c>
      <c r="O162" t="s">
        <v>271</v>
      </c>
    </row>
    <row r="163" spans="1:20" x14ac:dyDescent="0.25">
      <c r="A163" t="str">
        <f>"3052300"</f>
        <v>3052300</v>
      </c>
      <c r="B163" t="s">
        <v>370</v>
      </c>
      <c r="C163" t="str">
        <f t="shared" si="8"/>
        <v>20118500</v>
      </c>
      <c r="D163" t="s">
        <v>271</v>
      </c>
      <c r="F163" t="s">
        <v>272</v>
      </c>
      <c r="G163" t="s">
        <v>273</v>
      </c>
      <c r="I163" t="s">
        <v>29</v>
      </c>
      <c r="J163" t="s">
        <v>30</v>
      </c>
      <c r="K163" t="s">
        <v>31</v>
      </c>
      <c r="M163" t="s">
        <v>32</v>
      </c>
      <c r="N163" t="str">
        <f t="shared" si="9"/>
        <v>4/23/2007 12:00:00 AM</v>
      </c>
      <c r="O163" t="s">
        <v>271</v>
      </c>
    </row>
    <row r="164" spans="1:20" x14ac:dyDescent="0.25">
      <c r="A164" t="str">
        <f>"3052343"</f>
        <v>3052343</v>
      </c>
      <c r="B164" t="s">
        <v>371</v>
      </c>
      <c r="C164" t="str">
        <f t="shared" si="8"/>
        <v>20118500</v>
      </c>
      <c r="D164" t="s">
        <v>271</v>
      </c>
      <c r="F164" t="s">
        <v>272</v>
      </c>
      <c r="G164" t="s">
        <v>273</v>
      </c>
      <c r="I164" t="s">
        <v>29</v>
      </c>
      <c r="J164" t="s">
        <v>30</v>
      </c>
      <c r="K164" t="s">
        <v>31</v>
      </c>
      <c r="M164" t="s">
        <v>32</v>
      </c>
      <c r="N164" t="str">
        <f t="shared" si="9"/>
        <v>4/23/2007 12:00:00 AM</v>
      </c>
      <c r="O164" t="s">
        <v>271</v>
      </c>
    </row>
    <row r="165" spans="1:20" x14ac:dyDescent="0.25">
      <c r="A165" t="str">
        <f>"3071326"</f>
        <v>3071326</v>
      </c>
      <c r="B165" t="s">
        <v>372</v>
      </c>
      <c r="C165" t="str">
        <f t="shared" si="8"/>
        <v>20118500</v>
      </c>
      <c r="D165" t="s">
        <v>271</v>
      </c>
      <c r="F165" t="s">
        <v>272</v>
      </c>
      <c r="G165" t="s">
        <v>273</v>
      </c>
      <c r="I165" t="s">
        <v>29</v>
      </c>
      <c r="J165" t="s">
        <v>30</v>
      </c>
      <c r="K165" t="s">
        <v>31</v>
      </c>
      <c r="M165" t="s">
        <v>32</v>
      </c>
      <c r="N165" t="str">
        <f t="shared" si="9"/>
        <v>4/23/2007 12:00:00 AM</v>
      </c>
      <c r="O165" t="s">
        <v>271</v>
      </c>
    </row>
    <row r="166" spans="1:20" x14ac:dyDescent="0.25">
      <c r="A166" t="str">
        <f>"3078961"</f>
        <v>3078961</v>
      </c>
      <c r="B166" t="s">
        <v>373</v>
      </c>
      <c r="C166" t="str">
        <f t="shared" si="8"/>
        <v>20118500</v>
      </c>
      <c r="D166" t="s">
        <v>271</v>
      </c>
      <c r="F166" t="s">
        <v>272</v>
      </c>
      <c r="G166" t="s">
        <v>273</v>
      </c>
      <c r="I166" t="s">
        <v>29</v>
      </c>
      <c r="J166" t="s">
        <v>30</v>
      </c>
      <c r="K166" t="s">
        <v>31</v>
      </c>
      <c r="M166" t="s">
        <v>32</v>
      </c>
      <c r="N166" t="str">
        <f t="shared" si="9"/>
        <v>4/23/2007 12:00:00 AM</v>
      </c>
      <c r="O166" t="s">
        <v>271</v>
      </c>
    </row>
    <row r="167" spans="1:20" x14ac:dyDescent="0.25">
      <c r="A167" t="str">
        <f>"3038816"</f>
        <v>3038816</v>
      </c>
      <c r="B167" t="s">
        <v>374</v>
      </c>
      <c r="C167" t="str">
        <f>"82524502"</f>
        <v>82524502</v>
      </c>
      <c r="D167" t="s">
        <v>375</v>
      </c>
      <c r="E167" t="s">
        <v>376</v>
      </c>
      <c r="F167" t="s">
        <v>377</v>
      </c>
      <c r="I167" t="s">
        <v>29</v>
      </c>
      <c r="J167" t="s">
        <v>30</v>
      </c>
      <c r="K167" t="s">
        <v>378</v>
      </c>
      <c r="M167" t="s">
        <v>32</v>
      </c>
      <c r="N167" t="str">
        <f>"1/25/2007 12:00:00 AM"</f>
        <v>1/25/2007 12:00:00 AM</v>
      </c>
      <c r="O167" t="s">
        <v>375</v>
      </c>
      <c r="T167" t="s">
        <v>376</v>
      </c>
    </row>
    <row r="168" spans="1:20" x14ac:dyDescent="0.25">
      <c r="A168" t="str">
        <f>"3038969"</f>
        <v>3038969</v>
      </c>
      <c r="B168" t="s">
        <v>379</v>
      </c>
      <c r="C168" t="str">
        <f>"82523606"</f>
        <v>82523606</v>
      </c>
      <c r="D168" t="s">
        <v>380</v>
      </c>
      <c r="E168" t="s">
        <v>381</v>
      </c>
      <c r="F168" t="s">
        <v>382</v>
      </c>
      <c r="I168" t="s">
        <v>29</v>
      </c>
      <c r="J168" t="s">
        <v>30</v>
      </c>
      <c r="K168" t="s">
        <v>31</v>
      </c>
      <c r="M168" t="s">
        <v>32</v>
      </c>
      <c r="N168" t="str">
        <f>"4/10/2007 12:00:00 AM"</f>
        <v>4/10/2007 12:00:00 AM</v>
      </c>
      <c r="O168" t="s">
        <v>380</v>
      </c>
      <c r="T168" t="s">
        <v>381</v>
      </c>
    </row>
    <row r="169" spans="1:20" x14ac:dyDescent="0.25">
      <c r="A169" t="str">
        <f>"3048493"</f>
        <v>3048493</v>
      </c>
      <c r="B169" t="s">
        <v>383</v>
      </c>
      <c r="C169" t="str">
        <f>"13700000"</f>
        <v>13700000</v>
      </c>
      <c r="D169" t="s">
        <v>384</v>
      </c>
      <c r="E169" t="s">
        <v>385</v>
      </c>
      <c r="F169" t="s">
        <v>386</v>
      </c>
      <c r="I169" t="s">
        <v>29</v>
      </c>
      <c r="J169" t="s">
        <v>30</v>
      </c>
      <c r="K169" t="s">
        <v>387</v>
      </c>
      <c r="M169" t="s">
        <v>32</v>
      </c>
      <c r="N169" t="str">
        <f>"2/14/2007 12:00:00 AM"</f>
        <v>2/14/2007 12:00:00 AM</v>
      </c>
      <c r="O169" t="s">
        <v>384</v>
      </c>
      <c r="T169" t="s">
        <v>385</v>
      </c>
    </row>
    <row r="170" spans="1:20" x14ac:dyDescent="0.25">
      <c r="A170" t="str">
        <f>"3048741"</f>
        <v>3048741</v>
      </c>
      <c r="B170" t="s">
        <v>388</v>
      </c>
      <c r="C170" t="str">
        <f>"13700000"</f>
        <v>13700000</v>
      </c>
      <c r="D170" t="s">
        <v>384</v>
      </c>
      <c r="E170" t="s">
        <v>385</v>
      </c>
      <c r="F170" t="s">
        <v>386</v>
      </c>
      <c r="I170" t="s">
        <v>29</v>
      </c>
      <c r="J170" t="s">
        <v>30</v>
      </c>
      <c r="K170" t="s">
        <v>387</v>
      </c>
      <c r="M170" t="s">
        <v>32</v>
      </c>
      <c r="N170" t="str">
        <f>"2/14/2007 12:00:00 AM"</f>
        <v>2/14/2007 12:00:00 AM</v>
      </c>
      <c r="O170" t="s">
        <v>384</v>
      </c>
      <c r="T170" t="s">
        <v>385</v>
      </c>
    </row>
    <row r="171" spans="1:20" x14ac:dyDescent="0.25">
      <c r="A171" t="str">
        <f>"3066274"</f>
        <v>3066274</v>
      </c>
      <c r="B171" t="s">
        <v>389</v>
      </c>
      <c r="C171" t="str">
        <f>"13700000"</f>
        <v>13700000</v>
      </c>
      <c r="D171" t="s">
        <v>384</v>
      </c>
      <c r="E171" t="s">
        <v>385</v>
      </c>
      <c r="F171" t="s">
        <v>386</v>
      </c>
      <c r="I171" t="s">
        <v>29</v>
      </c>
      <c r="J171" t="s">
        <v>30</v>
      </c>
      <c r="K171" t="s">
        <v>387</v>
      </c>
      <c r="M171" t="s">
        <v>32</v>
      </c>
      <c r="N171" t="str">
        <f>"2/14/2007 12:00:00 AM"</f>
        <v>2/14/2007 12:00:00 AM</v>
      </c>
      <c r="O171" t="s">
        <v>384</v>
      </c>
      <c r="T171" t="s">
        <v>385</v>
      </c>
    </row>
    <row r="172" spans="1:20" x14ac:dyDescent="0.25">
      <c r="A172" t="str">
        <f>"3059730"</f>
        <v>3059730</v>
      </c>
      <c r="B172" t="s">
        <v>390</v>
      </c>
      <c r="C172" t="str">
        <f>"82526415"</f>
        <v>82526415</v>
      </c>
      <c r="D172" t="s">
        <v>391</v>
      </c>
      <c r="E172" t="s">
        <v>392</v>
      </c>
      <c r="F172" t="s">
        <v>393</v>
      </c>
      <c r="I172" t="s">
        <v>29</v>
      </c>
      <c r="J172" t="s">
        <v>30</v>
      </c>
      <c r="K172" t="s">
        <v>31</v>
      </c>
      <c r="M172" t="s">
        <v>32</v>
      </c>
      <c r="N172" t="str">
        <f>"2/20/2007 12:00:00 AM"</f>
        <v>2/20/2007 12:00:00 AM</v>
      </c>
      <c r="O172" t="s">
        <v>391</v>
      </c>
      <c r="T172" t="s">
        <v>392</v>
      </c>
    </row>
    <row r="173" spans="1:20" x14ac:dyDescent="0.25">
      <c r="A173" t="str">
        <f>"3063717"</f>
        <v>3063717</v>
      </c>
      <c r="B173" t="s">
        <v>394</v>
      </c>
      <c r="C173" t="str">
        <f>"82525152"</f>
        <v>82525152</v>
      </c>
      <c r="D173" t="s">
        <v>395</v>
      </c>
      <c r="F173" t="s">
        <v>396</v>
      </c>
      <c r="I173" t="s">
        <v>29</v>
      </c>
      <c r="J173" t="s">
        <v>30</v>
      </c>
      <c r="K173" t="s">
        <v>397</v>
      </c>
      <c r="M173" t="s">
        <v>32</v>
      </c>
      <c r="N173" t="str">
        <f>"4/7/2006 12:00:00 AM"</f>
        <v>4/7/2006 12:00:00 AM</v>
      </c>
      <c r="O173" t="s">
        <v>395</v>
      </c>
    </row>
    <row r="174" spans="1:20" x14ac:dyDescent="0.25">
      <c r="A174" t="str">
        <f>"3063708"</f>
        <v>3063708</v>
      </c>
      <c r="B174" t="s">
        <v>398</v>
      </c>
      <c r="C174" t="str">
        <f>"21901540"</f>
        <v>21901540</v>
      </c>
      <c r="D174" t="s">
        <v>399</v>
      </c>
      <c r="E174" t="s">
        <v>400</v>
      </c>
      <c r="F174" t="s">
        <v>401</v>
      </c>
      <c r="I174" t="s">
        <v>402</v>
      </c>
      <c r="J174" t="s">
        <v>30</v>
      </c>
      <c r="K174" t="s">
        <v>403</v>
      </c>
      <c r="M174" t="s">
        <v>32</v>
      </c>
      <c r="N174" t="str">
        <f>"5/6/2003 12:00:00 AM"</f>
        <v>5/6/2003 12:00:00 AM</v>
      </c>
      <c r="O174" t="s">
        <v>399</v>
      </c>
      <c r="T174" t="s">
        <v>400</v>
      </c>
    </row>
    <row r="175" spans="1:20" x14ac:dyDescent="0.25">
      <c r="A175" t="str">
        <f>"3063727"</f>
        <v>3063727</v>
      </c>
      <c r="B175" t="s">
        <v>404</v>
      </c>
      <c r="C175" t="str">
        <f>"21901540"</f>
        <v>21901540</v>
      </c>
      <c r="D175" t="s">
        <v>399</v>
      </c>
      <c r="E175" t="s">
        <v>400</v>
      </c>
      <c r="F175" t="s">
        <v>401</v>
      </c>
      <c r="I175" t="s">
        <v>402</v>
      </c>
      <c r="J175" t="s">
        <v>30</v>
      </c>
      <c r="K175" t="s">
        <v>403</v>
      </c>
      <c r="M175" t="s">
        <v>32</v>
      </c>
      <c r="N175" t="str">
        <f>"5/6/2003 12:00:00 AM"</f>
        <v>5/6/2003 12:00:00 AM</v>
      </c>
      <c r="O175" t="s">
        <v>399</v>
      </c>
      <c r="T175" t="s">
        <v>400</v>
      </c>
    </row>
    <row r="176" spans="1:20" x14ac:dyDescent="0.25">
      <c r="A176" t="str">
        <f>"3063720"</f>
        <v>3063720</v>
      </c>
      <c r="B176" t="s">
        <v>405</v>
      </c>
      <c r="C176" t="str">
        <f>"82523641"</f>
        <v>82523641</v>
      </c>
      <c r="D176" t="s">
        <v>399</v>
      </c>
      <c r="F176" t="s">
        <v>401</v>
      </c>
      <c r="I176" t="s">
        <v>402</v>
      </c>
      <c r="J176" t="s">
        <v>30</v>
      </c>
      <c r="K176" t="s">
        <v>403</v>
      </c>
      <c r="M176" t="s">
        <v>32</v>
      </c>
      <c r="N176" t="str">
        <f>"1/12/2005 12:00:00 AM"</f>
        <v>1/12/2005 12:00:00 AM</v>
      </c>
      <c r="O176" t="s">
        <v>399</v>
      </c>
    </row>
    <row r="177" spans="1:20" x14ac:dyDescent="0.25">
      <c r="A177" t="str">
        <f>"3038468"</f>
        <v>3038468</v>
      </c>
      <c r="B177" t="s">
        <v>406</v>
      </c>
      <c r="C177" t="str">
        <f>"66548000"</f>
        <v>66548000</v>
      </c>
      <c r="D177" t="s">
        <v>407</v>
      </c>
      <c r="E177" t="s">
        <v>408</v>
      </c>
      <c r="F177" t="s">
        <v>409</v>
      </c>
      <c r="I177" t="s">
        <v>29</v>
      </c>
      <c r="J177" t="s">
        <v>30</v>
      </c>
      <c r="K177" t="s">
        <v>410</v>
      </c>
      <c r="M177" t="s">
        <v>32</v>
      </c>
      <c r="N177" t="str">
        <f>"1/25/2006 12:00:00 AM"</f>
        <v>1/25/2006 12:00:00 AM</v>
      </c>
      <c r="O177" t="s">
        <v>407</v>
      </c>
      <c r="T177" t="s">
        <v>408</v>
      </c>
    </row>
    <row r="178" spans="1:20" x14ac:dyDescent="0.25">
      <c r="A178" t="str">
        <f>"3037973"</f>
        <v>3037973</v>
      </c>
      <c r="B178" t="s">
        <v>411</v>
      </c>
      <c r="C178" t="str">
        <f>"66548000"</f>
        <v>66548000</v>
      </c>
      <c r="D178" t="s">
        <v>407</v>
      </c>
      <c r="E178" t="s">
        <v>408</v>
      </c>
      <c r="F178" t="s">
        <v>409</v>
      </c>
      <c r="I178" t="s">
        <v>29</v>
      </c>
      <c r="J178" t="s">
        <v>30</v>
      </c>
      <c r="K178" t="s">
        <v>410</v>
      </c>
      <c r="M178" t="s">
        <v>32</v>
      </c>
      <c r="N178" t="str">
        <f>"1/25/2006 12:00:00 AM"</f>
        <v>1/25/2006 12:00:00 AM</v>
      </c>
      <c r="O178" t="s">
        <v>407</v>
      </c>
      <c r="T178" t="s">
        <v>408</v>
      </c>
    </row>
    <row r="179" spans="1:20" x14ac:dyDescent="0.25">
      <c r="A179" t="str">
        <f>"3038002"</f>
        <v>3038002</v>
      </c>
      <c r="B179" t="s">
        <v>412</v>
      </c>
      <c r="C179" t="str">
        <f>"66548000"</f>
        <v>66548000</v>
      </c>
      <c r="D179" t="s">
        <v>407</v>
      </c>
      <c r="E179" t="s">
        <v>408</v>
      </c>
      <c r="F179" t="s">
        <v>409</v>
      </c>
      <c r="I179" t="s">
        <v>29</v>
      </c>
      <c r="J179" t="s">
        <v>30</v>
      </c>
      <c r="K179" t="s">
        <v>410</v>
      </c>
      <c r="M179" t="s">
        <v>32</v>
      </c>
      <c r="N179" t="str">
        <f>"1/25/2006 12:00:00 AM"</f>
        <v>1/25/2006 12:00:00 AM</v>
      </c>
      <c r="O179" t="s">
        <v>407</v>
      </c>
      <c r="T179" t="s">
        <v>408</v>
      </c>
    </row>
    <row r="180" spans="1:20" x14ac:dyDescent="0.25">
      <c r="A180" t="str">
        <f>"3038435"</f>
        <v>3038435</v>
      </c>
      <c r="B180" t="s">
        <v>413</v>
      </c>
      <c r="C180" t="str">
        <f>"82516971"</f>
        <v>82516971</v>
      </c>
      <c r="D180" t="s">
        <v>414</v>
      </c>
      <c r="F180" t="s">
        <v>415</v>
      </c>
      <c r="I180" t="s">
        <v>29</v>
      </c>
      <c r="J180" t="s">
        <v>30</v>
      </c>
      <c r="K180" t="s">
        <v>410</v>
      </c>
      <c r="M180" t="s">
        <v>32</v>
      </c>
      <c r="N180" t="str">
        <f>"1/23/2006 12:00:00 AM"</f>
        <v>1/23/2006 12:00:00 AM</v>
      </c>
      <c r="O180" t="s">
        <v>414</v>
      </c>
    </row>
    <row r="181" spans="1:20" x14ac:dyDescent="0.25">
      <c r="A181" t="str">
        <f>"3038593"</f>
        <v>3038593</v>
      </c>
      <c r="B181" t="s">
        <v>416</v>
      </c>
      <c r="C181" t="str">
        <f>"13807000"</f>
        <v>13807000</v>
      </c>
      <c r="D181" t="s">
        <v>417</v>
      </c>
      <c r="E181" t="s">
        <v>418</v>
      </c>
      <c r="F181" t="s">
        <v>419</v>
      </c>
      <c r="I181" t="s">
        <v>29</v>
      </c>
      <c r="J181" t="s">
        <v>30</v>
      </c>
      <c r="K181" t="s">
        <v>31</v>
      </c>
      <c r="M181" t="s">
        <v>32</v>
      </c>
      <c r="N181" t="str">
        <f>"6/19/2003 12:00:00 AM"</f>
        <v>6/19/2003 12:00:00 AM</v>
      </c>
      <c r="O181" t="s">
        <v>417</v>
      </c>
      <c r="T181" t="s">
        <v>418</v>
      </c>
    </row>
    <row r="182" spans="1:20" x14ac:dyDescent="0.25">
      <c r="A182" t="str">
        <f>"3053809"</f>
        <v>3053809</v>
      </c>
      <c r="B182" t="s">
        <v>420</v>
      </c>
      <c r="C182" t="str">
        <f>"13807000"</f>
        <v>13807000</v>
      </c>
      <c r="D182" t="s">
        <v>417</v>
      </c>
      <c r="E182" t="s">
        <v>418</v>
      </c>
      <c r="F182" t="s">
        <v>419</v>
      </c>
      <c r="I182" t="s">
        <v>29</v>
      </c>
      <c r="J182" t="s">
        <v>30</v>
      </c>
      <c r="K182" t="s">
        <v>31</v>
      </c>
      <c r="M182" t="s">
        <v>32</v>
      </c>
      <c r="N182" t="str">
        <f>"6/19/2003 12:00:00 AM"</f>
        <v>6/19/2003 12:00:00 AM</v>
      </c>
      <c r="O182" t="s">
        <v>417</v>
      </c>
      <c r="T182" t="s">
        <v>418</v>
      </c>
    </row>
    <row r="183" spans="1:20" x14ac:dyDescent="0.25">
      <c r="A183" t="str">
        <f>"3038459"</f>
        <v>3038459</v>
      </c>
      <c r="B183" t="s">
        <v>421</v>
      </c>
      <c r="C183" t="str">
        <f>"21487000"</f>
        <v>21487000</v>
      </c>
      <c r="D183" t="s">
        <v>422</v>
      </c>
      <c r="E183" t="s">
        <v>423</v>
      </c>
      <c r="F183" t="s">
        <v>424</v>
      </c>
      <c r="I183" t="s">
        <v>29</v>
      </c>
      <c r="J183" t="s">
        <v>30</v>
      </c>
      <c r="K183" t="s">
        <v>31</v>
      </c>
      <c r="M183" t="s">
        <v>32</v>
      </c>
      <c r="N183" t="str">
        <f>"1/22/2004 12:00:00 AM"</f>
        <v>1/22/2004 12:00:00 AM</v>
      </c>
      <c r="O183" t="s">
        <v>422</v>
      </c>
      <c r="T183" t="s">
        <v>423</v>
      </c>
    </row>
    <row r="184" spans="1:20" x14ac:dyDescent="0.25">
      <c r="A184" t="str">
        <f>"3038420"</f>
        <v>3038420</v>
      </c>
      <c r="B184" t="s">
        <v>425</v>
      </c>
      <c r="C184" t="str">
        <f>"32920000"</f>
        <v>32920000</v>
      </c>
      <c r="D184" t="s">
        <v>426</v>
      </c>
      <c r="F184" t="s">
        <v>427</v>
      </c>
      <c r="I184" t="s">
        <v>29</v>
      </c>
      <c r="J184" t="s">
        <v>30</v>
      </c>
      <c r="K184" t="s">
        <v>31</v>
      </c>
      <c r="M184" t="s">
        <v>32</v>
      </c>
      <c r="N184" t="str">
        <f>"9/12/2003 12:00:00 AM"</f>
        <v>9/12/2003 12:00:00 AM</v>
      </c>
      <c r="O184" t="s">
        <v>426</v>
      </c>
    </row>
    <row r="185" spans="1:20" x14ac:dyDescent="0.25">
      <c r="A185" t="str">
        <f>"3037879"</f>
        <v>3037879</v>
      </c>
      <c r="B185" t="s">
        <v>428</v>
      </c>
      <c r="C185" t="str">
        <f>"32920000"</f>
        <v>32920000</v>
      </c>
      <c r="D185" t="s">
        <v>426</v>
      </c>
      <c r="F185" t="s">
        <v>427</v>
      </c>
      <c r="I185" t="s">
        <v>29</v>
      </c>
      <c r="J185" t="s">
        <v>30</v>
      </c>
      <c r="K185" t="s">
        <v>31</v>
      </c>
      <c r="M185" t="s">
        <v>32</v>
      </c>
      <c r="N185" t="str">
        <f>"9/12/2003 12:00:00 AM"</f>
        <v>9/12/2003 12:00:00 AM</v>
      </c>
      <c r="O185" t="s">
        <v>426</v>
      </c>
    </row>
    <row r="186" spans="1:20" x14ac:dyDescent="0.25">
      <c r="A186" t="str">
        <f>"3038529"</f>
        <v>3038529</v>
      </c>
      <c r="B186" t="s">
        <v>429</v>
      </c>
      <c r="C186" t="str">
        <f>"39690500"</f>
        <v>39690500</v>
      </c>
      <c r="D186" t="s">
        <v>430</v>
      </c>
      <c r="F186" t="s">
        <v>431</v>
      </c>
      <c r="I186" t="s">
        <v>29</v>
      </c>
      <c r="J186" t="s">
        <v>30</v>
      </c>
      <c r="K186" t="s">
        <v>31</v>
      </c>
      <c r="M186" t="s">
        <v>32</v>
      </c>
      <c r="N186" t="str">
        <f>"7/21/2011 12:00:00 AM"</f>
        <v>7/21/2011 12:00:00 AM</v>
      </c>
      <c r="O186" t="s">
        <v>430</v>
      </c>
    </row>
    <row r="187" spans="1:20" x14ac:dyDescent="0.25">
      <c r="A187" t="str">
        <f>"3038614"</f>
        <v>3038614</v>
      </c>
      <c r="B187" t="s">
        <v>432</v>
      </c>
      <c r="C187" t="str">
        <f>"82520879"</f>
        <v>82520879</v>
      </c>
      <c r="D187" t="s">
        <v>433</v>
      </c>
      <c r="E187" t="s">
        <v>434</v>
      </c>
      <c r="F187" t="s">
        <v>435</v>
      </c>
      <c r="I187" t="s">
        <v>29</v>
      </c>
      <c r="J187" t="s">
        <v>30</v>
      </c>
      <c r="K187" t="s">
        <v>436</v>
      </c>
      <c r="M187" t="s">
        <v>32</v>
      </c>
      <c r="N187" t="str">
        <f>"2/21/2005 12:00:00 AM"</f>
        <v>2/21/2005 12:00:00 AM</v>
      </c>
      <c r="O187" t="s">
        <v>433</v>
      </c>
      <c r="T187" t="s">
        <v>434</v>
      </c>
    </row>
    <row r="188" spans="1:20" x14ac:dyDescent="0.25">
      <c r="A188" t="str">
        <f>"3038343"</f>
        <v>3038343</v>
      </c>
      <c r="B188" t="s">
        <v>437</v>
      </c>
      <c r="C188" t="str">
        <f>"82522442"</f>
        <v>82522442</v>
      </c>
      <c r="D188" t="s">
        <v>438</v>
      </c>
      <c r="E188" t="s">
        <v>439</v>
      </c>
      <c r="F188" t="s">
        <v>440</v>
      </c>
      <c r="I188" t="s">
        <v>29</v>
      </c>
      <c r="J188" t="s">
        <v>30</v>
      </c>
      <c r="K188" t="s">
        <v>436</v>
      </c>
      <c r="M188" t="s">
        <v>32</v>
      </c>
      <c r="N188" t="str">
        <f>"1/11/2006 12:00:00 AM"</f>
        <v>1/11/2006 12:00:00 AM</v>
      </c>
      <c r="O188" t="s">
        <v>438</v>
      </c>
      <c r="T188" t="s">
        <v>439</v>
      </c>
    </row>
    <row r="189" spans="1:20" x14ac:dyDescent="0.25">
      <c r="A189" t="str">
        <f>"3037947"</f>
        <v>3037947</v>
      </c>
      <c r="B189" t="s">
        <v>441</v>
      </c>
      <c r="C189" t="str">
        <f>"4306000"</f>
        <v>4306000</v>
      </c>
      <c r="D189" t="s">
        <v>442</v>
      </c>
      <c r="F189" t="s">
        <v>443</v>
      </c>
      <c r="I189" t="s">
        <v>444</v>
      </c>
      <c r="J189" t="s">
        <v>30</v>
      </c>
      <c r="K189" t="s">
        <v>445</v>
      </c>
      <c r="M189" t="s">
        <v>32</v>
      </c>
      <c r="N189" t="str">
        <f>"5/19/2003 12:00:00 AM"</f>
        <v>5/19/2003 12:00:00 AM</v>
      </c>
      <c r="O189" t="s">
        <v>442</v>
      </c>
    </row>
    <row r="190" spans="1:20" x14ac:dyDescent="0.25">
      <c r="A190" t="str">
        <f>"3038421"</f>
        <v>3038421</v>
      </c>
      <c r="B190" t="s">
        <v>446</v>
      </c>
      <c r="C190" t="str">
        <f>"82515329"</f>
        <v>82515329</v>
      </c>
      <c r="D190" t="s">
        <v>447</v>
      </c>
      <c r="F190" t="s">
        <v>448</v>
      </c>
      <c r="I190" t="s">
        <v>29</v>
      </c>
      <c r="J190" t="s">
        <v>30</v>
      </c>
      <c r="K190" t="s">
        <v>31</v>
      </c>
      <c r="M190" t="s">
        <v>32</v>
      </c>
      <c r="N190" t="str">
        <f>"1/23/2004 12:00:00 AM"</f>
        <v>1/23/2004 12:00:00 AM</v>
      </c>
      <c r="O190" t="s">
        <v>447</v>
      </c>
    </row>
    <row r="191" spans="1:20" x14ac:dyDescent="0.25">
      <c r="A191" t="str">
        <f>"3038619"</f>
        <v>3038619</v>
      </c>
      <c r="B191" t="s">
        <v>449</v>
      </c>
      <c r="C191" t="str">
        <f>"82515860"</f>
        <v>82515860</v>
      </c>
      <c r="D191" t="s">
        <v>450</v>
      </c>
      <c r="E191" t="s">
        <v>451</v>
      </c>
      <c r="F191" t="s">
        <v>452</v>
      </c>
      <c r="I191" t="s">
        <v>29</v>
      </c>
      <c r="J191" t="s">
        <v>30</v>
      </c>
      <c r="K191" t="s">
        <v>453</v>
      </c>
      <c r="M191" t="s">
        <v>32</v>
      </c>
      <c r="N191" t="str">
        <f>"8/30/2004 12:00:00 AM"</f>
        <v>8/30/2004 12:00:00 AM</v>
      </c>
      <c r="O191" t="s">
        <v>450</v>
      </c>
      <c r="T191" t="s">
        <v>451</v>
      </c>
    </row>
    <row r="192" spans="1:20" x14ac:dyDescent="0.25">
      <c r="A192" t="str">
        <f>"3038604"</f>
        <v>3038604</v>
      </c>
      <c r="B192" t="s">
        <v>454</v>
      </c>
      <c r="C192" t="str">
        <f>"66414500"</f>
        <v>66414500</v>
      </c>
      <c r="D192" t="s">
        <v>455</v>
      </c>
      <c r="E192" t="s">
        <v>456</v>
      </c>
      <c r="F192" t="s">
        <v>457</v>
      </c>
      <c r="I192" t="s">
        <v>49</v>
      </c>
      <c r="J192" t="s">
        <v>30</v>
      </c>
      <c r="K192" t="s">
        <v>458</v>
      </c>
      <c r="M192" t="s">
        <v>32</v>
      </c>
      <c r="N192" t="str">
        <f>"2/1/2006 12:00:00 AM"</f>
        <v>2/1/2006 12:00:00 AM</v>
      </c>
      <c r="O192" t="s">
        <v>455</v>
      </c>
      <c r="T192" t="s">
        <v>456</v>
      </c>
    </row>
    <row r="193" spans="1:20" x14ac:dyDescent="0.25">
      <c r="A193" t="str">
        <f>"3060388"</f>
        <v>3060388</v>
      </c>
      <c r="B193" t="s">
        <v>459</v>
      </c>
      <c r="C193" t="str">
        <f>"61688000"</f>
        <v>61688000</v>
      </c>
      <c r="D193" t="s">
        <v>460</v>
      </c>
      <c r="E193" t="s">
        <v>461</v>
      </c>
      <c r="F193" t="s">
        <v>462</v>
      </c>
      <c r="I193" t="s">
        <v>29</v>
      </c>
      <c r="J193" t="s">
        <v>30</v>
      </c>
      <c r="K193" t="s">
        <v>31</v>
      </c>
      <c r="M193" t="s">
        <v>32</v>
      </c>
      <c r="N193" t="str">
        <f>"4/13/2004 12:00:00 AM"</f>
        <v>4/13/2004 12:00:00 AM</v>
      </c>
      <c r="O193" t="s">
        <v>460</v>
      </c>
      <c r="T193" t="s">
        <v>461</v>
      </c>
    </row>
    <row r="194" spans="1:20" x14ac:dyDescent="0.25">
      <c r="A194" t="str">
        <f>"3040638"</f>
        <v>3040638</v>
      </c>
      <c r="B194" t="s">
        <v>463</v>
      </c>
      <c r="C194" t="str">
        <f>"82525626"</f>
        <v>82525626</v>
      </c>
      <c r="D194" t="s">
        <v>464</v>
      </c>
      <c r="F194" t="s">
        <v>465</v>
      </c>
      <c r="G194" t="s">
        <v>466</v>
      </c>
      <c r="I194" t="s">
        <v>184</v>
      </c>
      <c r="J194" t="s">
        <v>30</v>
      </c>
      <c r="K194" t="s">
        <v>185</v>
      </c>
      <c r="M194" t="s">
        <v>32</v>
      </c>
      <c r="N194" t="str">
        <f>"1/11/2008 12:00:00 AM"</f>
        <v>1/11/2008 12:00:00 AM</v>
      </c>
      <c r="O194" t="s">
        <v>464</v>
      </c>
    </row>
    <row r="195" spans="1:20" x14ac:dyDescent="0.25">
      <c r="A195" t="str">
        <f>"3057474"</f>
        <v>3057474</v>
      </c>
      <c r="B195" t="s">
        <v>467</v>
      </c>
      <c r="C195" t="str">
        <f>"82525626"</f>
        <v>82525626</v>
      </c>
      <c r="D195" t="s">
        <v>464</v>
      </c>
      <c r="F195" t="s">
        <v>465</v>
      </c>
      <c r="G195" t="s">
        <v>466</v>
      </c>
      <c r="I195" t="s">
        <v>184</v>
      </c>
      <c r="J195" t="s">
        <v>30</v>
      </c>
      <c r="K195" t="s">
        <v>185</v>
      </c>
      <c r="M195" t="s">
        <v>32</v>
      </c>
      <c r="N195" t="str">
        <f>"1/11/2008 12:00:00 AM"</f>
        <v>1/11/2008 12:00:00 AM</v>
      </c>
      <c r="O195" t="s">
        <v>464</v>
      </c>
    </row>
    <row r="196" spans="1:20" x14ac:dyDescent="0.25">
      <c r="A196" t="str">
        <f>"3057488"</f>
        <v>3057488</v>
      </c>
      <c r="B196" t="s">
        <v>468</v>
      </c>
      <c r="C196" t="str">
        <f>"648000"</f>
        <v>648000</v>
      </c>
      <c r="D196" t="s">
        <v>469</v>
      </c>
      <c r="F196" t="s">
        <v>470</v>
      </c>
      <c r="I196" t="s">
        <v>471</v>
      </c>
      <c r="J196" t="s">
        <v>30</v>
      </c>
      <c r="K196" t="s">
        <v>472</v>
      </c>
      <c r="M196" t="s">
        <v>32</v>
      </c>
      <c r="N196" t="str">
        <f>"2/18/2003 12:00:00 AM"</f>
        <v>2/18/2003 12:00:00 AM</v>
      </c>
      <c r="O196" t="s">
        <v>469</v>
      </c>
    </row>
    <row r="197" spans="1:20" x14ac:dyDescent="0.25">
      <c r="A197" t="str">
        <f>"3060386"</f>
        <v>3060386</v>
      </c>
      <c r="B197" t="s">
        <v>473</v>
      </c>
      <c r="C197" t="str">
        <f>"82518008"</f>
        <v>82518008</v>
      </c>
      <c r="D197" t="s">
        <v>474</v>
      </c>
      <c r="E197" t="s">
        <v>475</v>
      </c>
      <c r="F197" t="s">
        <v>476</v>
      </c>
      <c r="I197" t="s">
        <v>29</v>
      </c>
      <c r="J197" t="s">
        <v>30</v>
      </c>
      <c r="K197" t="s">
        <v>477</v>
      </c>
      <c r="M197" t="s">
        <v>32</v>
      </c>
      <c r="N197" t="str">
        <f>"2/21/2006 12:00:00 AM"</f>
        <v>2/21/2006 12:00:00 AM</v>
      </c>
      <c r="O197" t="s">
        <v>474</v>
      </c>
      <c r="T197" t="s">
        <v>475</v>
      </c>
    </row>
    <row r="198" spans="1:20" x14ac:dyDescent="0.25">
      <c r="A198" t="str">
        <f>"3038209"</f>
        <v>3038209</v>
      </c>
      <c r="B198" t="s">
        <v>478</v>
      </c>
      <c r="C198" t="str">
        <f>"80512500"</f>
        <v>80512500</v>
      </c>
      <c r="D198" t="s">
        <v>479</v>
      </c>
      <c r="F198" t="s">
        <v>480</v>
      </c>
      <c r="I198" t="s">
        <v>29</v>
      </c>
      <c r="J198" t="s">
        <v>30</v>
      </c>
      <c r="K198" t="s">
        <v>31</v>
      </c>
      <c r="M198" t="s">
        <v>32</v>
      </c>
      <c r="N198" t="str">
        <f>"10/18/1991 12:00:00 AM"</f>
        <v>10/18/1991 12:00:00 AM</v>
      </c>
      <c r="O198" t="s">
        <v>479</v>
      </c>
    </row>
    <row r="199" spans="1:20" x14ac:dyDescent="0.25">
      <c r="A199" t="str">
        <f>"3057450"</f>
        <v>3057450</v>
      </c>
      <c r="B199" t="s">
        <v>481</v>
      </c>
      <c r="C199" t="str">
        <f>"40299500"</f>
        <v>40299500</v>
      </c>
      <c r="D199" t="s">
        <v>482</v>
      </c>
      <c r="F199" t="s">
        <v>483</v>
      </c>
      <c r="I199" t="s">
        <v>29</v>
      </c>
      <c r="J199" t="s">
        <v>30</v>
      </c>
      <c r="K199" t="s">
        <v>31</v>
      </c>
      <c r="M199" t="s">
        <v>32</v>
      </c>
      <c r="N199" t="str">
        <f>"11/17/2003 12:00:00 AM"</f>
        <v>11/17/2003 12:00:00 AM</v>
      </c>
      <c r="O199" t="s">
        <v>482</v>
      </c>
    </row>
    <row r="200" spans="1:20" x14ac:dyDescent="0.25">
      <c r="A200" t="str">
        <f>"3038997"</f>
        <v>3038997</v>
      </c>
      <c r="B200" t="s">
        <v>484</v>
      </c>
      <c r="C200" t="str">
        <f>"82518000"</f>
        <v>82518000</v>
      </c>
      <c r="D200" t="s">
        <v>485</v>
      </c>
      <c r="E200" t="s">
        <v>486</v>
      </c>
      <c r="F200" t="s">
        <v>487</v>
      </c>
      <c r="I200" t="s">
        <v>29</v>
      </c>
      <c r="J200" t="s">
        <v>30</v>
      </c>
      <c r="K200" t="s">
        <v>488</v>
      </c>
      <c r="M200" t="s">
        <v>32</v>
      </c>
      <c r="N200" t="str">
        <f>"8/29/2005 12:00:00 AM"</f>
        <v>8/29/2005 12:00:00 AM</v>
      </c>
      <c r="O200" t="s">
        <v>485</v>
      </c>
      <c r="T200" t="s">
        <v>486</v>
      </c>
    </row>
    <row r="201" spans="1:20" x14ac:dyDescent="0.25">
      <c r="A201" t="str">
        <f>"3039744"</f>
        <v>3039744</v>
      </c>
      <c r="B201" t="s">
        <v>489</v>
      </c>
      <c r="C201" t="str">
        <f>"27746000"</f>
        <v>27746000</v>
      </c>
      <c r="D201" t="s">
        <v>490</v>
      </c>
      <c r="F201" t="s">
        <v>491</v>
      </c>
      <c r="I201" t="s">
        <v>29</v>
      </c>
      <c r="J201" t="s">
        <v>30</v>
      </c>
      <c r="K201" t="s">
        <v>31</v>
      </c>
      <c r="M201" t="s">
        <v>32</v>
      </c>
      <c r="N201" t="str">
        <f>"6/18/2009 12:00:00 AM"</f>
        <v>6/18/2009 12:00:00 AM</v>
      </c>
      <c r="O201" t="s">
        <v>490</v>
      </c>
    </row>
    <row r="202" spans="1:20" x14ac:dyDescent="0.25">
      <c r="A202" t="str">
        <f>"3060369"</f>
        <v>3060369</v>
      </c>
      <c r="B202" t="s">
        <v>492</v>
      </c>
      <c r="C202" t="str">
        <f>"82529551"</f>
        <v>82529551</v>
      </c>
      <c r="D202" t="s">
        <v>493</v>
      </c>
      <c r="F202" t="s">
        <v>494</v>
      </c>
      <c r="I202" t="s">
        <v>29</v>
      </c>
      <c r="J202" t="s">
        <v>30</v>
      </c>
      <c r="K202" t="s">
        <v>31</v>
      </c>
      <c r="M202" t="s">
        <v>32</v>
      </c>
      <c r="N202" t="str">
        <f>"5/7/2008 12:00:00 AM"</f>
        <v>5/7/2008 12:00:00 AM</v>
      </c>
      <c r="O202" t="s">
        <v>493</v>
      </c>
    </row>
    <row r="203" spans="1:20" x14ac:dyDescent="0.25">
      <c r="A203" t="str">
        <f>"3060372"</f>
        <v>3060372</v>
      </c>
      <c r="B203" t="s">
        <v>495</v>
      </c>
      <c r="C203" t="str">
        <f>"81484250"</f>
        <v>81484250</v>
      </c>
      <c r="D203" t="s">
        <v>496</v>
      </c>
      <c r="F203" t="s">
        <v>497</v>
      </c>
      <c r="I203" t="s">
        <v>29</v>
      </c>
      <c r="J203" t="s">
        <v>30</v>
      </c>
      <c r="K203" t="s">
        <v>31</v>
      </c>
      <c r="M203" t="s">
        <v>32</v>
      </c>
      <c r="N203" t="str">
        <f>"7/20/2004 12:00:00 AM"</f>
        <v>7/20/2004 12:00:00 AM</v>
      </c>
      <c r="O203" t="s">
        <v>496</v>
      </c>
    </row>
    <row r="204" spans="1:20" x14ac:dyDescent="0.25">
      <c r="A204" t="str">
        <f>"3039447"</f>
        <v>3039447</v>
      </c>
      <c r="B204" t="s">
        <v>498</v>
      </c>
      <c r="C204" t="str">
        <f t="shared" ref="C204:C251" si="10">"58158000"</f>
        <v>58158000</v>
      </c>
      <c r="D204" t="s">
        <v>499</v>
      </c>
      <c r="F204" t="str">
        <f t="shared" ref="F204:F251" si="11">"C/O DIANE H POTTS"</f>
        <v>C/O DIANE H POTTS</v>
      </c>
      <c r="G204" t="s">
        <v>500</v>
      </c>
      <c r="I204" t="s">
        <v>184</v>
      </c>
      <c r="J204" t="s">
        <v>30</v>
      </c>
      <c r="K204" t="s">
        <v>501</v>
      </c>
      <c r="M204" t="s">
        <v>32</v>
      </c>
      <c r="N204" t="str">
        <f t="shared" ref="N204:N251" si="12">"8/26/2011 12:00:00 AM"</f>
        <v>8/26/2011 12:00:00 AM</v>
      </c>
      <c r="O204" t="s">
        <v>499</v>
      </c>
    </row>
    <row r="205" spans="1:20" x14ac:dyDescent="0.25">
      <c r="A205" t="str">
        <f>"3040816"</f>
        <v>3040816</v>
      </c>
      <c r="B205" t="s">
        <v>502</v>
      </c>
      <c r="C205" t="str">
        <f t="shared" si="10"/>
        <v>58158000</v>
      </c>
      <c r="D205" t="s">
        <v>499</v>
      </c>
      <c r="F205" t="str">
        <f t="shared" si="11"/>
        <v>C/O DIANE H POTTS</v>
      </c>
      <c r="G205" t="s">
        <v>500</v>
      </c>
      <c r="I205" t="s">
        <v>184</v>
      </c>
      <c r="J205" t="s">
        <v>30</v>
      </c>
      <c r="K205" t="s">
        <v>501</v>
      </c>
      <c r="M205" t="s">
        <v>32</v>
      </c>
      <c r="N205" t="str">
        <f t="shared" si="12"/>
        <v>8/26/2011 12:00:00 AM</v>
      </c>
      <c r="O205" t="s">
        <v>499</v>
      </c>
    </row>
    <row r="206" spans="1:20" x14ac:dyDescent="0.25">
      <c r="A206" t="str">
        <f>"3041009"</f>
        <v>3041009</v>
      </c>
      <c r="B206" t="s">
        <v>503</v>
      </c>
      <c r="C206" t="str">
        <f t="shared" si="10"/>
        <v>58158000</v>
      </c>
      <c r="D206" t="s">
        <v>499</v>
      </c>
      <c r="F206" t="str">
        <f t="shared" si="11"/>
        <v>C/O DIANE H POTTS</v>
      </c>
      <c r="G206" t="s">
        <v>500</v>
      </c>
      <c r="I206" t="s">
        <v>184</v>
      </c>
      <c r="J206" t="s">
        <v>30</v>
      </c>
      <c r="K206" t="s">
        <v>501</v>
      </c>
      <c r="M206" t="s">
        <v>32</v>
      </c>
      <c r="N206" t="str">
        <f t="shared" si="12"/>
        <v>8/26/2011 12:00:00 AM</v>
      </c>
      <c r="O206" t="s">
        <v>499</v>
      </c>
    </row>
    <row r="207" spans="1:20" x14ac:dyDescent="0.25">
      <c r="A207" t="str">
        <f>"3040319"</f>
        <v>3040319</v>
      </c>
      <c r="B207" t="s">
        <v>504</v>
      </c>
      <c r="C207" t="str">
        <f t="shared" si="10"/>
        <v>58158000</v>
      </c>
      <c r="D207" t="s">
        <v>499</v>
      </c>
      <c r="F207" t="str">
        <f t="shared" si="11"/>
        <v>C/O DIANE H POTTS</v>
      </c>
      <c r="G207" t="s">
        <v>500</v>
      </c>
      <c r="I207" t="s">
        <v>184</v>
      </c>
      <c r="J207" t="s">
        <v>30</v>
      </c>
      <c r="K207" t="s">
        <v>501</v>
      </c>
      <c r="M207" t="s">
        <v>32</v>
      </c>
      <c r="N207" t="str">
        <f t="shared" si="12"/>
        <v>8/26/2011 12:00:00 AM</v>
      </c>
      <c r="O207" t="s">
        <v>499</v>
      </c>
    </row>
    <row r="208" spans="1:20" x14ac:dyDescent="0.25">
      <c r="A208" t="str">
        <f>"3040320"</f>
        <v>3040320</v>
      </c>
      <c r="B208" t="s">
        <v>505</v>
      </c>
      <c r="C208" t="str">
        <f t="shared" si="10"/>
        <v>58158000</v>
      </c>
      <c r="D208" t="s">
        <v>499</v>
      </c>
      <c r="F208" t="str">
        <f t="shared" si="11"/>
        <v>C/O DIANE H POTTS</v>
      </c>
      <c r="G208" t="s">
        <v>500</v>
      </c>
      <c r="I208" t="s">
        <v>184</v>
      </c>
      <c r="J208" t="s">
        <v>30</v>
      </c>
      <c r="K208" t="s">
        <v>501</v>
      </c>
      <c r="M208" t="s">
        <v>32</v>
      </c>
      <c r="N208" t="str">
        <f t="shared" si="12"/>
        <v>8/26/2011 12:00:00 AM</v>
      </c>
      <c r="O208" t="s">
        <v>499</v>
      </c>
    </row>
    <row r="209" spans="1:15" x14ac:dyDescent="0.25">
      <c r="A209" t="str">
        <f>"3040369"</f>
        <v>3040369</v>
      </c>
      <c r="B209" t="s">
        <v>506</v>
      </c>
      <c r="C209" t="str">
        <f t="shared" si="10"/>
        <v>58158000</v>
      </c>
      <c r="D209" t="s">
        <v>499</v>
      </c>
      <c r="F209" t="str">
        <f t="shared" si="11"/>
        <v>C/O DIANE H POTTS</v>
      </c>
      <c r="G209" t="s">
        <v>500</v>
      </c>
      <c r="I209" t="s">
        <v>184</v>
      </c>
      <c r="J209" t="s">
        <v>30</v>
      </c>
      <c r="K209" t="s">
        <v>501</v>
      </c>
      <c r="M209" t="s">
        <v>32</v>
      </c>
      <c r="N209" t="str">
        <f t="shared" si="12"/>
        <v>8/26/2011 12:00:00 AM</v>
      </c>
      <c r="O209" t="s">
        <v>499</v>
      </c>
    </row>
    <row r="210" spans="1:15" x14ac:dyDescent="0.25">
      <c r="A210" t="str">
        <f>"3043988"</f>
        <v>3043988</v>
      </c>
      <c r="B210" t="s">
        <v>507</v>
      </c>
      <c r="C210" t="str">
        <f t="shared" si="10"/>
        <v>58158000</v>
      </c>
      <c r="D210" t="s">
        <v>499</v>
      </c>
      <c r="F210" t="str">
        <f t="shared" si="11"/>
        <v>C/O DIANE H POTTS</v>
      </c>
      <c r="G210" t="s">
        <v>500</v>
      </c>
      <c r="I210" t="s">
        <v>184</v>
      </c>
      <c r="J210" t="s">
        <v>30</v>
      </c>
      <c r="K210" t="s">
        <v>501</v>
      </c>
      <c r="M210" t="s">
        <v>32</v>
      </c>
      <c r="N210" t="str">
        <f t="shared" si="12"/>
        <v>8/26/2011 12:00:00 AM</v>
      </c>
      <c r="O210" t="s">
        <v>499</v>
      </c>
    </row>
    <row r="211" spans="1:15" x14ac:dyDescent="0.25">
      <c r="A211" t="str">
        <f>"3043976"</f>
        <v>3043976</v>
      </c>
      <c r="B211" t="s">
        <v>508</v>
      </c>
      <c r="C211" t="str">
        <f t="shared" si="10"/>
        <v>58158000</v>
      </c>
      <c r="D211" t="s">
        <v>499</v>
      </c>
      <c r="F211" t="str">
        <f t="shared" si="11"/>
        <v>C/O DIANE H POTTS</v>
      </c>
      <c r="G211" t="s">
        <v>500</v>
      </c>
      <c r="I211" t="s">
        <v>184</v>
      </c>
      <c r="J211" t="s">
        <v>30</v>
      </c>
      <c r="K211" t="s">
        <v>501</v>
      </c>
      <c r="M211" t="s">
        <v>32</v>
      </c>
      <c r="N211" t="str">
        <f t="shared" si="12"/>
        <v>8/26/2011 12:00:00 AM</v>
      </c>
      <c r="O211" t="s">
        <v>499</v>
      </c>
    </row>
    <row r="212" spans="1:15" x14ac:dyDescent="0.25">
      <c r="A212" t="str">
        <f>"3043977"</f>
        <v>3043977</v>
      </c>
      <c r="B212" t="s">
        <v>509</v>
      </c>
      <c r="C212" t="str">
        <f t="shared" si="10"/>
        <v>58158000</v>
      </c>
      <c r="D212" t="s">
        <v>499</v>
      </c>
      <c r="F212" t="str">
        <f t="shared" si="11"/>
        <v>C/O DIANE H POTTS</v>
      </c>
      <c r="G212" t="s">
        <v>500</v>
      </c>
      <c r="I212" t="s">
        <v>184</v>
      </c>
      <c r="J212" t="s">
        <v>30</v>
      </c>
      <c r="K212" t="s">
        <v>501</v>
      </c>
      <c r="M212" t="s">
        <v>32</v>
      </c>
      <c r="N212" t="str">
        <f t="shared" si="12"/>
        <v>8/26/2011 12:00:00 AM</v>
      </c>
      <c r="O212" t="s">
        <v>499</v>
      </c>
    </row>
    <row r="213" spans="1:15" x14ac:dyDescent="0.25">
      <c r="A213" t="str">
        <f>"3045854"</f>
        <v>3045854</v>
      </c>
      <c r="B213" t="s">
        <v>510</v>
      </c>
      <c r="C213" t="str">
        <f t="shared" si="10"/>
        <v>58158000</v>
      </c>
      <c r="D213" t="s">
        <v>499</v>
      </c>
      <c r="F213" t="str">
        <f t="shared" si="11"/>
        <v>C/O DIANE H POTTS</v>
      </c>
      <c r="G213" t="s">
        <v>500</v>
      </c>
      <c r="I213" t="s">
        <v>184</v>
      </c>
      <c r="J213" t="s">
        <v>30</v>
      </c>
      <c r="K213" t="s">
        <v>501</v>
      </c>
      <c r="M213" t="s">
        <v>32</v>
      </c>
      <c r="N213" t="str">
        <f t="shared" si="12"/>
        <v>8/26/2011 12:00:00 AM</v>
      </c>
      <c r="O213" t="s">
        <v>499</v>
      </c>
    </row>
    <row r="214" spans="1:15" x14ac:dyDescent="0.25">
      <c r="A214" t="str">
        <f>"3047629"</f>
        <v>3047629</v>
      </c>
      <c r="B214" t="s">
        <v>511</v>
      </c>
      <c r="C214" t="str">
        <f t="shared" si="10"/>
        <v>58158000</v>
      </c>
      <c r="D214" t="s">
        <v>499</v>
      </c>
      <c r="F214" t="str">
        <f t="shared" si="11"/>
        <v>C/O DIANE H POTTS</v>
      </c>
      <c r="G214" t="s">
        <v>500</v>
      </c>
      <c r="I214" t="s">
        <v>184</v>
      </c>
      <c r="J214" t="s">
        <v>30</v>
      </c>
      <c r="K214" t="s">
        <v>501</v>
      </c>
      <c r="M214" t="s">
        <v>32</v>
      </c>
      <c r="N214" t="str">
        <f t="shared" si="12"/>
        <v>8/26/2011 12:00:00 AM</v>
      </c>
      <c r="O214" t="s">
        <v>499</v>
      </c>
    </row>
    <row r="215" spans="1:15" x14ac:dyDescent="0.25">
      <c r="A215" t="str">
        <f>"3047220"</f>
        <v>3047220</v>
      </c>
      <c r="B215" t="s">
        <v>512</v>
      </c>
      <c r="C215" t="str">
        <f t="shared" si="10"/>
        <v>58158000</v>
      </c>
      <c r="D215" t="s">
        <v>499</v>
      </c>
      <c r="F215" t="str">
        <f t="shared" si="11"/>
        <v>C/O DIANE H POTTS</v>
      </c>
      <c r="G215" t="s">
        <v>500</v>
      </c>
      <c r="I215" t="s">
        <v>184</v>
      </c>
      <c r="J215" t="s">
        <v>30</v>
      </c>
      <c r="K215" t="s">
        <v>501</v>
      </c>
      <c r="M215" t="s">
        <v>32</v>
      </c>
      <c r="N215" t="str">
        <f t="shared" si="12"/>
        <v>8/26/2011 12:00:00 AM</v>
      </c>
      <c r="O215" t="s">
        <v>499</v>
      </c>
    </row>
    <row r="216" spans="1:15" x14ac:dyDescent="0.25">
      <c r="A216" t="str">
        <f>"3047221"</f>
        <v>3047221</v>
      </c>
      <c r="B216" t="s">
        <v>513</v>
      </c>
      <c r="C216" t="str">
        <f t="shared" si="10"/>
        <v>58158000</v>
      </c>
      <c r="D216" t="s">
        <v>499</v>
      </c>
      <c r="F216" t="str">
        <f t="shared" si="11"/>
        <v>C/O DIANE H POTTS</v>
      </c>
      <c r="G216" t="s">
        <v>500</v>
      </c>
      <c r="I216" t="s">
        <v>184</v>
      </c>
      <c r="J216" t="s">
        <v>30</v>
      </c>
      <c r="K216" t="s">
        <v>501</v>
      </c>
      <c r="M216" t="s">
        <v>32</v>
      </c>
      <c r="N216" t="str">
        <f t="shared" si="12"/>
        <v>8/26/2011 12:00:00 AM</v>
      </c>
      <c r="O216" t="s">
        <v>499</v>
      </c>
    </row>
    <row r="217" spans="1:15" x14ac:dyDescent="0.25">
      <c r="A217" t="str">
        <f>"3047222"</f>
        <v>3047222</v>
      </c>
      <c r="B217" t="s">
        <v>514</v>
      </c>
      <c r="C217" t="str">
        <f t="shared" si="10"/>
        <v>58158000</v>
      </c>
      <c r="D217" t="s">
        <v>499</v>
      </c>
      <c r="F217" t="str">
        <f t="shared" si="11"/>
        <v>C/O DIANE H POTTS</v>
      </c>
      <c r="G217" t="s">
        <v>500</v>
      </c>
      <c r="I217" t="s">
        <v>184</v>
      </c>
      <c r="J217" t="s">
        <v>30</v>
      </c>
      <c r="K217" t="s">
        <v>501</v>
      </c>
      <c r="M217" t="s">
        <v>32</v>
      </c>
      <c r="N217" t="str">
        <f t="shared" si="12"/>
        <v>8/26/2011 12:00:00 AM</v>
      </c>
      <c r="O217" t="s">
        <v>499</v>
      </c>
    </row>
    <row r="218" spans="1:15" x14ac:dyDescent="0.25">
      <c r="A218" t="str">
        <f>"3047215"</f>
        <v>3047215</v>
      </c>
      <c r="B218" t="s">
        <v>515</v>
      </c>
      <c r="C218" t="str">
        <f t="shared" si="10"/>
        <v>58158000</v>
      </c>
      <c r="D218" t="s">
        <v>499</v>
      </c>
      <c r="F218" t="str">
        <f t="shared" si="11"/>
        <v>C/O DIANE H POTTS</v>
      </c>
      <c r="G218" t="s">
        <v>500</v>
      </c>
      <c r="I218" t="s">
        <v>184</v>
      </c>
      <c r="J218" t="s">
        <v>30</v>
      </c>
      <c r="K218" t="s">
        <v>501</v>
      </c>
      <c r="M218" t="s">
        <v>32</v>
      </c>
      <c r="N218" t="str">
        <f t="shared" si="12"/>
        <v>8/26/2011 12:00:00 AM</v>
      </c>
      <c r="O218" t="s">
        <v>499</v>
      </c>
    </row>
    <row r="219" spans="1:15" x14ac:dyDescent="0.25">
      <c r="A219" t="str">
        <f>"3047217"</f>
        <v>3047217</v>
      </c>
      <c r="B219" t="s">
        <v>516</v>
      </c>
      <c r="C219" t="str">
        <f t="shared" si="10"/>
        <v>58158000</v>
      </c>
      <c r="D219" t="s">
        <v>499</v>
      </c>
      <c r="F219" t="str">
        <f t="shared" si="11"/>
        <v>C/O DIANE H POTTS</v>
      </c>
      <c r="G219" t="s">
        <v>500</v>
      </c>
      <c r="I219" t="s">
        <v>184</v>
      </c>
      <c r="J219" t="s">
        <v>30</v>
      </c>
      <c r="K219" t="s">
        <v>501</v>
      </c>
      <c r="M219" t="s">
        <v>32</v>
      </c>
      <c r="N219" t="str">
        <f t="shared" si="12"/>
        <v>8/26/2011 12:00:00 AM</v>
      </c>
      <c r="O219" t="s">
        <v>499</v>
      </c>
    </row>
    <row r="220" spans="1:15" x14ac:dyDescent="0.25">
      <c r="A220" t="str">
        <f>"3047218"</f>
        <v>3047218</v>
      </c>
      <c r="B220" t="s">
        <v>517</v>
      </c>
      <c r="C220" t="str">
        <f t="shared" si="10"/>
        <v>58158000</v>
      </c>
      <c r="D220" t="s">
        <v>499</v>
      </c>
      <c r="F220" t="str">
        <f t="shared" si="11"/>
        <v>C/O DIANE H POTTS</v>
      </c>
      <c r="G220" t="s">
        <v>500</v>
      </c>
      <c r="I220" t="s">
        <v>184</v>
      </c>
      <c r="J220" t="s">
        <v>30</v>
      </c>
      <c r="K220" t="s">
        <v>501</v>
      </c>
      <c r="M220" t="s">
        <v>32</v>
      </c>
      <c r="N220" t="str">
        <f t="shared" si="12"/>
        <v>8/26/2011 12:00:00 AM</v>
      </c>
      <c r="O220" t="s">
        <v>499</v>
      </c>
    </row>
    <row r="221" spans="1:15" x14ac:dyDescent="0.25">
      <c r="A221" t="str">
        <f>"3047219"</f>
        <v>3047219</v>
      </c>
      <c r="B221" t="s">
        <v>518</v>
      </c>
      <c r="C221" t="str">
        <f t="shared" si="10"/>
        <v>58158000</v>
      </c>
      <c r="D221" t="s">
        <v>499</v>
      </c>
      <c r="F221" t="str">
        <f t="shared" si="11"/>
        <v>C/O DIANE H POTTS</v>
      </c>
      <c r="G221" t="s">
        <v>500</v>
      </c>
      <c r="I221" t="s">
        <v>184</v>
      </c>
      <c r="J221" t="s">
        <v>30</v>
      </c>
      <c r="K221" t="s">
        <v>501</v>
      </c>
      <c r="M221" t="s">
        <v>32</v>
      </c>
      <c r="N221" t="str">
        <f t="shared" si="12"/>
        <v>8/26/2011 12:00:00 AM</v>
      </c>
      <c r="O221" t="s">
        <v>499</v>
      </c>
    </row>
    <row r="222" spans="1:15" x14ac:dyDescent="0.25">
      <c r="A222" t="str">
        <f>"3047225"</f>
        <v>3047225</v>
      </c>
      <c r="B222" t="s">
        <v>519</v>
      </c>
      <c r="C222" t="str">
        <f t="shared" si="10"/>
        <v>58158000</v>
      </c>
      <c r="D222" t="s">
        <v>499</v>
      </c>
      <c r="F222" t="str">
        <f t="shared" si="11"/>
        <v>C/O DIANE H POTTS</v>
      </c>
      <c r="G222" t="s">
        <v>500</v>
      </c>
      <c r="I222" t="s">
        <v>184</v>
      </c>
      <c r="J222" t="s">
        <v>30</v>
      </c>
      <c r="K222" t="s">
        <v>501</v>
      </c>
      <c r="M222" t="s">
        <v>32</v>
      </c>
      <c r="N222" t="str">
        <f t="shared" si="12"/>
        <v>8/26/2011 12:00:00 AM</v>
      </c>
      <c r="O222" t="s">
        <v>499</v>
      </c>
    </row>
    <row r="223" spans="1:15" x14ac:dyDescent="0.25">
      <c r="A223" t="str">
        <f>"3047226"</f>
        <v>3047226</v>
      </c>
      <c r="B223" t="s">
        <v>520</v>
      </c>
      <c r="C223" t="str">
        <f t="shared" si="10"/>
        <v>58158000</v>
      </c>
      <c r="D223" t="s">
        <v>499</v>
      </c>
      <c r="F223" t="str">
        <f t="shared" si="11"/>
        <v>C/O DIANE H POTTS</v>
      </c>
      <c r="G223" t="s">
        <v>500</v>
      </c>
      <c r="I223" t="s">
        <v>184</v>
      </c>
      <c r="J223" t="s">
        <v>30</v>
      </c>
      <c r="K223" t="s">
        <v>501</v>
      </c>
      <c r="M223" t="s">
        <v>32</v>
      </c>
      <c r="N223" t="str">
        <f t="shared" si="12"/>
        <v>8/26/2011 12:00:00 AM</v>
      </c>
      <c r="O223" t="s">
        <v>499</v>
      </c>
    </row>
    <row r="224" spans="1:15" x14ac:dyDescent="0.25">
      <c r="A224" t="str">
        <f>"3047224"</f>
        <v>3047224</v>
      </c>
      <c r="B224" t="s">
        <v>521</v>
      </c>
      <c r="C224" t="str">
        <f t="shared" si="10"/>
        <v>58158000</v>
      </c>
      <c r="D224" t="s">
        <v>499</v>
      </c>
      <c r="F224" t="str">
        <f t="shared" si="11"/>
        <v>C/O DIANE H POTTS</v>
      </c>
      <c r="G224" t="s">
        <v>500</v>
      </c>
      <c r="I224" t="s">
        <v>184</v>
      </c>
      <c r="J224" t="s">
        <v>30</v>
      </c>
      <c r="K224" t="s">
        <v>501</v>
      </c>
      <c r="M224" t="s">
        <v>32</v>
      </c>
      <c r="N224" t="str">
        <f t="shared" si="12"/>
        <v>8/26/2011 12:00:00 AM</v>
      </c>
      <c r="O224" t="s">
        <v>499</v>
      </c>
    </row>
    <row r="225" spans="1:15" x14ac:dyDescent="0.25">
      <c r="A225" t="str">
        <f>"3047236"</f>
        <v>3047236</v>
      </c>
      <c r="B225" t="s">
        <v>522</v>
      </c>
      <c r="C225" t="str">
        <f t="shared" si="10"/>
        <v>58158000</v>
      </c>
      <c r="D225" t="s">
        <v>499</v>
      </c>
      <c r="F225" t="str">
        <f t="shared" si="11"/>
        <v>C/O DIANE H POTTS</v>
      </c>
      <c r="G225" t="s">
        <v>500</v>
      </c>
      <c r="I225" t="s">
        <v>184</v>
      </c>
      <c r="J225" t="s">
        <v>30</v>
      </c>
      <c r="K225" t="s">
        <v>501</v>
      </c>
      <c r="M225" t="s">
        <v>32</v>
      </c>
      <c r="N225" t="str">
        <f t="shared" si="12"/>
        <v>8/26/2011 12:00:00 AM</v>
      </c>
      <c r="O225" t="s">
        <v>499</v>
      </c>
    </row>
    <row r="226" spans="1:15" x14ac:dyDescent="0.25">
      <c r="A226" t="str">
        <f>"3047237"</f>
        <v>3047237</v>
      </c>
      <c r="B226" t="s">
        <v>523</v>
      </c>
      <c r="C226" t="str">
        <f t="shared" si="10"/>
        <v>58158000</v>
      </c>
      <c r="D226" t="s">
        <v>499</v>
      </c>
      <c r="F226" t="str">
        <f t="shared" si="11"/>
        <v>C/O DIANE H POTTS</v>
      </c>
      <c r="G226" t="s">
        <v>500</v>
      </c>
      <c r="I226" t="s">
        <v>184</v>
      </c>
      <c r="J226" t="s">
        <v>30</v>
      </c>
      <c r="K226" t="s">
        <v>501</v>
      </c>
      <c r="M226" t="s">
        <v>32</v>
      </c>
      <c r="N226" t="str">
        <f t="shared" si="12"/>
        <v>8/26/2011 12:00:00 AM</v>
      </c>
      <c r="O226" t="s">
        <v>499</v>
      </c>
    </row>
    <row r="227" spans="1:15" x14ac:dyDescent="0.25">
      <c r="A227" t="str">
        <f>"3047238"</f>
        <v>3047238</v>
      </c>
      <c r="B227" t="s">
        <v>524</v>
      </c>
      <c r="C227" t="str">
        <f t="shared" si="10"/>
        <v>58158000</v>
      </c>
      <c r="D227" t="s">
        <v>499</v>
      </c>
      <c r="F227" t="str">
        <f t="shared" si="11"/>
        <v>C/O DIANE H POTTS</v>
      </c>
      <c r="G227" t="s">
        <v>500</v>
      </c>
      <c r="I227" t="s">
        <v>184</v>
      </c>
      <c r="J227" t="s">
        <v>30</v>
      </c>
      <c r="K227" t="s">
        <v>501</v>
      </c>
      <c r="M227" t="s">
        <v>32</v>
      </c>
      <c r="N227" t="str">
        <f t="shared" si="12"/>
        <v>8/26/2011 12:00:00 AM</v>
      </c>
      <c r="O227" t="s">
        <v>499</v>
      </c>
    </row>
    <row r="228" spans="1:15" x14ac:dyDescent="0.25">
      <c r="A228" t="str">
        <f>"3047244"</f>
        <v>3047244</v>
      </c>
      <c r="B228" t="s">
        <v>525</v>
      </c>
      <c r="C228" t="str">
        <f t="shared" si="10"/>
        <v>58158000</v>
      </c>
      <c r="D228" t="s">
        <v>499</v>
      </c>
      <c r="F228" t="str">
        <f t="shared" si="11"/>
        <v>C/O DIANE H POTTS</v>
      </c>
      <c r="G228" t="s">
        <v>500</v>
      </c>
      <c r="I228" t="s">
        <v>184</v>
      </c>
      <c r="J228" t="s">
        <v>30</v>
      </c>
      <c r="K228" t="s">
        <v>501</v>
      </c>
      <c r="M228" t="s">
        <v>32</v>
      </c>
      <c r="N228" t="str">
        <f t="shared" si="12"/>
        <v>8/26/2011 12:00:00 AM</v>
      </c>
      <c r="O228" t="s">
        <v>499</v>
      </c>
    </row>
    <row r="229" spans="1:15" x14ac:dyDescent="0.25">
      <c r="A229" t="str">
        <f>"3047257"</f>
        <v>3047257</v>
      </c>
      <c r="B229" t="s">
        <v>526</v>
      </c>
      <c r="C229" t="str">
        <f t="shared" si="10"/>
        <v>58158000</v>
      </c>
      <c r="D229" t="s">
        <v>499</v>
      </c>
      <c r="F229" t="str">
        <f t="shared" si="11"/>
        <v>C/O DIANE H POTTS</v>
      </c>
      <c r="G229" t="s">
        <v>500</v>
      </c>
      <c r="I229" t="s">
        <v>184</v>
      </c>
      <c r="J229" t="s">
        <v>30</v>
      </c>
      <c r="K229" t="s">
        <v>501</v>
      </c>
      <c r="M229" t="s">
        <v>32</v>
      </c>
      <c r="N229" t="str">
        <f t="shared" si="12"/>
        <v>8/26/2011 12:00:00 AM</v>
      </c>
      <c r="O229" t="s">
        <v>499</v>
      </c>
    </row>
    <row r="230" spans="1:15" x14ac:dyDescent="0.25">
      <c r="A230" t="str">
        <f>"3047258"</f>
        <v>3047258</v>
      </c>
      <c r="B230" t="s">
        <v>527</v>
      </c>
      <c r="C230" t="str">
        <f t="shared" si="10"/>
        <v>58158000</v>
      </c>
      <c r="D230" t="s">
        <v>499</v>
      </c>
      <c r="F230" t="str">
        <f t="shared" si="11"/>
        <v>C/O DIANE H POTTS</v>
      </c>
      <c r="G230" t="s">
        <v>500</v>
      </c>
      <c r="I230" t="s">
        <v>184</v>
      </c>
      <c r="J230" t="s">
        <v>30</v>
      </c>
      <c r="K230" t="s">
        <v>501</v>
      </c>
      <c r="M230" t="s">
        <v>32</v>
      </c>
      <c r="N230" t="str">
        <f t="shared" si="12"/>
        <v>8/26/2011 12:00:00 AM</v>
      </c>
      <c r="O230" t="s">
        <v>499</v>
      </c>
    </row>
    <row r="231" spans="1:15" x14ac:dyDescent="0.25">
      <c r="A231" t="str">
        <f>"3047256"</f>
        <v>3047256</v>
      </c>
      <c r="B231" t="s">
        <v>528</v>
      </c>
      <c r="C231" t="str">
        <f t="shared" si="10"/>
        <v>58158000</v>
      </c>
      <c r="D231" t="s">
        <v>499</v>
      </c>
      <c r="F231" t="str">
        <f t="shared" si="11"/>
        <v>C/O DIANE H POTTS</v>
      </c>
      <c r="G231" t="s">
        <v>500</v>
      </c>
      <c r="I231" t="s">
        <v>184</v>
      </c>
      <c r="J231" t="s">
        <v>30</v>
      </c>
      <c r="K231" t="s">
        <v>501</v>
      </c>
      <c r="M231" t="s">
        <v>32</v>
      </c>
      <c r="N231" t="str">
        <f t="shared" si="12"/>
        <v>8/26/2011 12:00:00 AM</v>
      </c>
      <c r="O231" t="s">
        <v>499</v>
      </c>
    </row>
    <row r="232" spans="1:15" x14ac:dyDescent="0.25">
      <c r="A232" t="str">
        <f>"3047278"</f>
        <v>3047278</v>
      </c>
      <c r="B232" t="s">
        <v>529</v>
      </c>
      <c r="C232" t="str">
        <f t="shared" si="10"/>
        <v>58158000</v>
      </c>
      <c r="D232" t="s">
        <v>499</v>
      </c>
      <c r="F232" t="str">
        <f t="shared" si="11"/>
        <v>C/O DIANE H POTTS</v>
      </c>
      <c r="G232" t="s">
        <v>500</v>
      </c>
      <c r="I232" t="s">
        <v>184</v>
      </c>
      <c r="J232" t="s">
        <v>30</v>
      </c>
      <c r="K232" t="s">
        <v>501</v>
      </c>
      <c r="M232" t="s">
        <v>32</v>
      </c>
      <c r="N232" t="str">
        <f t="shared" si="12"/>
        <v>8/26/2011 12:00:00 AM</v>
      </c>
      <c r="O232" t="s">
        <v>499</v>
      </c>
    </row>
    <row r="233" spans="1:15" x14ac:dyDescent="0.25">
      <c r="A233" t="str">
        <f>"3047279"</f>
        <v>3047279</v>
      </c>
      <c r="B233" t="s">
        <v>530</v>
      </c>
      <c r="C233" t="str">
        <f t="shared" si="10"/>
        <v>58158000</v>
      </c>
      <c r="D233" t="s">
        <v>499</v>
      </c>
      <c r="F233" t="str">
        <f t="shared" si="11"/>
        <v>C/O DIANE H POTTS</v>
      </c>
      <c r="G233" t="s">
        <v>500</v>
      </c>
      <c r="I233" t="s">
        <v>184</v>
      </c>
      <c r="J233" t="s">
        <v>30</v>
      </c>
      <c r="K233" t="s">
        <v>501</v>
      </c>
      <c r="M233" t="s">
        <v>32</v>
      </c>
      <c r="N233" t="str">
        <f t="shared" si="12"/>
        <v>8/26/2011 12:00:00 AM</v>
      </c>
      <c r="O233" t="s">
        <v>499</v>
      </c>
    </row>
    <row r="234" spans="1:15" x14ac:dyDescent="0.25">
      <c r="A234" t="str">
        <f>"3047260"</f>
        <v>3047260</v>
      </c>
      <c r="B234" t="s">
        <v>531</v>
      </c>
      <c r="C234" t="str">
        <f t="shared" si="10"/>
        <v>58158000</v>
      </c>
      <c r="D234" t="s">
        <v>499</v>
      </c>
      <c r="F234" t="str">
        <f t="shared" si="11"/>
        <v>C/O DIANE H POTTS</v>
      </c>
      <c r="G234" t="s">
        <v>500</v>
      </c>
      <c r="I234" t="s">
        <v>184</v>
      </c>
      <c r="J234" t="s">
        <v>30</v>
      </c>
      <c r="K234" t="s">
        <v>501</v>
      </c>
      <c r="M234" t="s">
        <v>32</v>
      </c>
      <c r="N234" t="str">
        <f t="shared" si="12"/>
        <v>8/26/2011 12:00:00 AM</v>
      </c>
      <c r="O234" t="s">
        <v>499</v>
      </c>
    </row>
    <row r="235" spans="1:15" x14ac:dyDescent="0.25">
      <c r="A235" t="str">
        <f>"3047270"</f>
        <v>3047270</v>
      </c>
      <c r="B235" t="s">
        <v>532</v>
      </c>
      <c r="C235" t="str">
        <f t="shared" si="10"/>
        <v>58158000</v>
      </c>
      <c r="D235" t="s">
        <v>499</v>
      </c>
      <c r="F235" t="str">
        <f t="shared" si="11"/>
        <v>C/O DIANE H POTTS</v>
      </c>
      <c r="G235" t="s">
        <v>500</v>
      </c>
      <c r="I235" t="s">
        <v>184</v>
      </c>
      <c r="J235" t="s">
        <v>30</v>
      </c>
      <c r="K235" t="s">
        <v>501</v>
      </c>
      <c r="M235" t="s">
        <v>32</v>
      </c>
      <c r="N235" t="str">
        <f t="shared" si="12"/>
        <v>8/26/2011 12:00:00 AM</v>
      </c>
      <c r="O235" t="s">
        <v>499</v>
      </c>
    </row>
    <row r="236" spans="1:15" x14ac:dyDescent="0.25">
      <c r="A236" t="str">
        <f>"3047271"</f>
        <v>3047271</v>
      </c>
      <c r="B236" t="s">
        <v>533</v>
      </c>
      <c r="C236" t="str">
        <f t="shared" si="10"/>
        <v>58158000</v>
      </c>
      <c r="D236" t="s">
        <v>499</v>
      </c>
      <c r="F236" t="str">
        <f t="shared" si="11"/>
        <v>C/O DIANE H POTTS</v>
      </c>
      <c r="G236" t="s">
        <v>500</v>
      </c>
      <c r="I236" t="s">
        <v>184</v>
      </c>
      <c r="J236" t="s">
        <v>30</v>
      </c>
      <c r="K236" t="s">
        <v>501</v>
      </c>
      <c r="M236" t="s">
        <v>32</v>
      </c>
      <c r="N236" t="str">
        <f t="shared" si="12"/>
        <v>8/26/2011 12:00:00 AM</v>
      </c>
      <c r="O236" t="s">
        <v>499</v>
      </c>
    </row>
    <row r="237" spans="1:15" x14ac:dyDescent="0.25">
      <c r="A237" t="str">
        <f>"3047276"</f>
        <v>3047276</v>
      </c>
      <c r="B237" t="s">
        <v>534</v>
      </c>
      <c r="C237" t="str">
        <f t="shared" si="10"/>
        <v>58158000</v>
      </c>
      <c r="D237" t="s">
        <v>499</v>
      </c>
      <c r="F237" t="str">
        <f t="shared" si="11"/>
        <v>C/O DIANE H POTTS</v>
      </c>
      <c r="G237" t="s">
        <v>500</v>
      </c>
      <c r="I237" t="s">
        <v>184</v>
      </c>
      <c r="J237" t="s">
        <v>30</v>
      </c>
      <c r="K237" t="s">
        <v>501</v>
      </c>
      <c r="M237" t="s">
        <v>32</v>
      </c>
      <c r="N237" t="str">
        <f t="shared" si="12"/>
        <v>8/26/2011 12:00:00 AM</v>
      </c>
      <c r="O237" t="s">
        <v>499</v>
      </c>
    </row>
    <row r="238" spans="1:15" x14ac:dyDescent="0.25">
      <c r="A238" t="str">
        <f>"3047277"</f>
        <v>3047277</v>
      </c>
      <c r="B238" t="s">
        <v>535</v>
      </c>
      <c r="C238" t="str">
        <f t="shared" si="10"/>
        <v>58158000</v>
      </c>
      <c r="D238" t="s">
        <v>499</v>
      </c>
      <c r="F238" t="str">
        <f t="shared" si="11"/>
        <v>C/O DIANE H POTTS</v>
      </c>
      <c r="G238" t="s">
        <v>500</v>
      </c>
      <c r="I238" t="s">
        <v>184</v>
      </c>
      <c r="J238" t="s">
        <v>30</v>
      </c>
      <c r="K238" t="s">
        <v>501</v>
      </c>
      <c r="M238" t="s">
        <v>32</v>
      </c>
      <c r="N238" t="str">
        <f t="shared" si="12"/>
        <v>8/26/2011 12:00:00 AM</v>
      </c>
      <c r="O238" t="s">
        <v>499</v>
      </c>
    </row>
    <row r="239" spans="1:15" x14ac:dyDescent="0.25">
      <c r="A239" t="str">
        <f>"3047280"</f>
        <v>3047280</v>
      </c>
      <c r="B239" t="s">
        <v>536</v>
      </c>
      <c r="C239" t="str">
        <f t="shared" si="10"/>
        <v>58158000</v>
      </c>
      <c r="D239" t="s">
        <v>499</v>
      </c>
      <c r="F239" t="str">
        <f t="shared" si="11"/>
        <v>C/O DIANE H POTTS</v>
      </c>
      <c r="G239" t="s">
        <v>500</v>
      </c>
      <c r="I239" t="s">
        <v>184</v>
      </c>
      <c r="J239" t="s">
        <v>30</v>
      </c>
      <c r="K239" t="s">
        <v>501</v>
      </c>
      <c r="M239" t="s">
        <v>32</v>
      </c>
      <c r="N239" t="str">
        <f t="shared" si="12"/>
        <v>8/26/2011 12:00:00 AM</v>
      </c>
      <c r="O239" t="s">
        <v>499</v>
      </c>
    </row>
    <row r="240" spans="1:15" x14ac:dyDescent="0.25">
      <c r="A240" t="str">
        <f>"3047283"</f>
        <v>3047283</v>
      </c>
      <c r="B240" t="s">
        <v>537</v>
      </c>
      <c r="C240" t="str">
        <f t="shared" si="10"/>
        <v>58158000</v>
      </c>
      <c r="D240" t="s">
        <v>499</v>
      </c>
      <c r="F240" t="str">
        <f t="shared" si="11"/>
        <v>C/O DIANE H POTTS</v>
      </c>
      <c r="G240" t="s">
        <v>500</v>
      </c>
      <c r="I240" t="s">
        <v>184</v>
      </c>
      <c r="J240" t="s">
        <v>30</v>
      </c>
      <c r="K240" t="s">
        <v>501</v>
      </c>
      <c r="M240" t="s">
        <v>32</v>
      </c>
      <c r="N240" t="str">
        <f t="shared" si="12"/>
        <v>8/26/2011 12:00:00 AM</v>
      </c>
      <c r="O240" t="s">
        <v>499</v>
      </c>
    </row>
    <row r="241" spans="1:20" x14ac:dyDescent="0.25">
      <c r="A241" t="str">
        <f>"3047305"</f>
        <v>3047305</v>
      </c>
      <c r="B241" t="s">
        <v>538</v>
      </c>
      <c r="C241" t="str">
        <f t="shared" si="10"/>
        <v>58158000</v>
      </c>
      <c r="D241" t="s">
        <v>499</v>
      </c>
      <c r="F241" t="str">
        <f t="shared" si="11"/>
        <v>C/O DIANE H POTTS</v>
      </c>
      <c r="G241" t="s">
        <v>500</v>
      </c>
      <c r="I241" t="s">
        <v>184</v>
      </c>
      <c r="J241" t="s">
        <v>30</v>
      </c>
      <c r="K241" t="s">
        <v>501</v>
      </c>
      <c r="M241" t="s">
        <v>32</v>
      </c>
      <c r="N241" t="str">
        <f t="shared" si="12"/>
        <v>8/26/2011 12:00:00 AM</v>
      </c>
      <c r="O241" t="s">
        <v>499</v>
      </c>
    </row>
    <row r="242" spans="1:20" x14ac:dyDescent="0.25">
      <c r="A242" t="str">
        <f>"3047298"</f>
        <v>3047298</v>
      </c>
      <c r="B242" t="s">
        <v>539</v>
      </c>
      <c r="C242" t="str">
        <f t="shared" si="10"/>
        <v>58158000</v>
      </c>
      <c r="D242" t="s">
        <v>499</v>
      </c>
      <c r="F242" t="str">
        <f t="shared" si="11"/>
        <v>C/O DIANE H POTTS</v>
      </c>
      <c r="G242" t="s">
        <v>500</v>
      </c>
      <c r="I242" t="s">
        <v>184</v>
      </c>
      <c r="J242" t="s">
        <v>30</v>
      </c>
      <c r="K242" t="s">
        <v>501</v>
      </c>
      <c r="M242" t="s">
        <v>32</v>
      </c>
      <c r="N242" t="str">
        <f t="shared" si="12"/>
        <v>8/26/2011 12:00:00 AM</v>
      </c>
      <c r="O242" t="s">
        <v>499</v>
      </c>
    </row>
    <row r="243" spans="1:20" x14ac:dyDescent="0.25">
      <c r="A243" t="str">
        <f>"3047313"</f>
        <v>3047313</v>
      </c>
      <c r="B243" t="s">
        <v>540</v>
      </c>
      <c r="C243" t="str">
        <f t="shared" si="10"/>
        <v>58158000</v>
      </c>
      <c r="D243" t="s">
        <v>499</v>
      </c>
      <c r="F243" t="str">
        <f t="shared" si="11"/>
        <v>C/O DIANE H POTTS</v>
      </c>
      <c r="G243" t="s">
        <v>500</v>
      </c>
      <c r="I243" t="s">
        <v>184</v>
      </c>
      <c r="J243" t="s">
        <v>30</v>
      </c>
      <c r="K243" t="s">
        <v>501</v>
      </c>
      <c r="M243" t="s">
        <v>32</v>
      </c>
      <c r="N243" t="str">
        <f t="shared" si="12"/>
        <v>8/26/2011 12:00:00 AM</v>
      </c>
      <c r="O243" t="s">
        <v>499</v>
      </c>
    </row>
    <row r="244" spans="1:20" x14ac:dyDescent="0.25">
      <c r="A244" t="str">
        <f>"3047312"</f>
        <v>3047312</v>
      </c>
      <c r="B244" t="s">
        <v>541</v>
      </c>
      <c r="C244" t="str">
        <f t="shared" si="10"/>
        <v>58158000</v>
      </c>
      <c r="D244" t="s">
        <v>499</v>
      </c>
      <c r="F244" t="str">
        <f t="shared" si="11"/>
        <v>C/O DIANE H POTTS</v>
      </c>
      <c r="G244" t="s">
        <v>500</v>
      </c>
      <c r="I244" t="s">
        <v>184</v>
      </c>
      <c r="J244" t="s">
        <v>30</v>
      </c>
      <c r="K244" t="s">
        <v>501</v>
      </c>
      <c r="M244" t="s">
        <v>32</v>
      </c>
      <c r="N244" t="str">
        <f t="shared" si="12"/>
        <v>8/26/2011 12:00:00 AM</v>
      </c>
      <c r="O244" t="s">
        <v>499</v>
      </c>
    </row>
    <row r="245" spans="1:20" x14ac:dyDescent="0.25">
      <c r="A245" t="str">
        <f>"3047315"</f>
        <v>3047315</v>
      </c>
      <c r="B245" t="s">
        <v>542</v>
      </c>
      <c r="C245" t="str">
        <f t="shared" si="10"/>
        <v>58158000</v>
      </c>
      <c r="D245" t="s">
        <v>499</v>
      </c>
      <c r="F245" t="str">
        <f t="shared" si="11"/>
        <v>C/O DIANE H POTTS</v>
      </c>
      <c r="G245" t="s">
        <v>500</v>
      </c>
      <c r="I245" t="s">
        <v>184</v>
      </c>
      <c r="J245" t="s">
        <v>30</v>
      </c>
      <c r="K245" t="s">
        <v>501</v>
      </c>
      <c r="M245" t="s">
        <v>32</v>
      </c>
      <c r="N245" t="str">
        <f t="shared" si="12"/>
        <v>8/26/2011 12:00:00 AM</v>
      </c>
      <c r="O245" t="s">
        <v>499</v>
      </c>
    </row>
    <row r="246" spans="1:20" x14ac:dyDescent="0.25">
      <c r="A246" t="str">
        <f>"3047316"</f>
        <v>3047316</v>
      </c>
      <c r="B246" t="s">
        <v>543</v>
      </c>
      <c r="C246" t="str">
        <f t="shared" si="10"/>
        <v>58158000</v>
      </c>
      <c r="D246" t="s">
        <v>499</v>
      </c>
      <c r="F246" t="str">
        <f t="shared" si="11"/>
        <v>C/O DIANE H POTTS</v>
      </c>
      <c r="G246" t="s">
        <v>500</v>
      </c>
      <c r="I246" t="s">
        <v>184</v>
      </c>
      <c r="J246" t="s">
        <v>30</v>
      </c>
      <c r="K246" t="s">
        <v>501</v>
      </c>
      <c r="M246" t="s">
        <v>32</v>
      </c>
      <c r="N246" t="str">
        <f t="shared" si="12"/>
        <v>8/26/2011 12:00:00 AM</v>
      </c>
      <c r="O246" t="s">
        <v>499</v>
      </c>
    </row>
    <row r="247" spans="1:20" x14ac:dyDescent="0.25">
      <c r="A247" t="str">
        <f>"3047317"</f>
        <v>3047317</v>
      </c>
      <c r="B247" t="s">
        <v>544</v>
      </c>
      <c r="C247" t="str">
        <f t="shared" si="10"/>
        <v>58158000</v>
      </c>
      <c r="D247" t="s">
        <v>499</v>
      </c>
      <c r="F247" t="str">
        <f t="shared" si="11"/>
        <v>C/O DIANE H POTTS</v>
      </c>
      <c r="G247" t="s">
        <v>500</v>
      </c>
      <c r="I247" t="s">
        <v>184</v>
      </c>
      <c r="J247" t="s">
        <v>30</v>
      </c>
      <c r="K247" t="s">
        <v>501</v>
      </c>
      <c r="M247" t="s">
        <v>32</v>
      </c>
      <c r="N247" t="str">
        <f t="shared" si="12"/>
        <v>8/26/2011 12:00:00 AM</v>
      </c>
      <c r="O247" t="s">
        <v>499</v>
      </c>
    </row>
    <row r="248" spans="1:20" x14ac:dyDescent="0.25">
      <c r="A248" t="str">
        <f>"3047326"</f>
        <v>3047326</v>
      </c>
      <c r="B248" t="s">
        <v>545</v>
      </c>
      <c r="C248" t="str">
        <f t="shared" si="10"/>
        <v>58158000</v>
      </c>
      <c r="D248" t="s">
        <v>499</v>
      </c>
      <c r="F248" t="str">
        <f t="shared" si="11"/>
        <v>C/O DIANE H POTTS</v>
      </c>
      <c r="G248" t="s">
        <v>500</v>
      </c>
      <c r="I248" t="s">
        <v>184</v>
      </c>
      <c r="J248" t="s">
        <v>30</v>
      </c>
      <c r="K248" t="s">
        <v>501</v>
      </c>
      <c r="M248" t="s">
        <v>32</v>
      </c>
      <c r="N248" t="str">
        <f t="shared" si="12"/>
        <v>8/26/2011 12:00:00 AM</v>
      </c>
      <c r="O248" t="s">
        <v>499</v>
      </c>
    </row>
    <row r="249" spans="1:20" x14ac:dyDescent="0.25">
      <c r="A249" t="str">
        <f>"3047339"</f>
        <v>3047339</v>
      </c>
      <c r="B249" t="s">
        <v>546</v>
      </c>
      <c r="C249" t="str">
        <f t="shared" si="10"/>
        <v>58158000</v>
      </c>
      <c r="D249" t="s">
        <v>499</v>
      </c>
      <c r="F249" t="str">
        <f t="shared" si="11"/>
        <v>C/O DIANE H POTTS</v>
      </c>
      <c r="G249" t="s">
        <v>500</v>
      </c>
      <c r="I249" t="s">
        <v>184</v>
      </c>
      <c r="J249" t="s">
        <v>30</v>
      </c>
      <c r="K249" t="s">
        <v>501</v>
      </c>
      <c r="M249" t="s">
        <v>32</v>
      </c>
      <c r="N249" t="str">
        <f t="shared" si="12"/>
        <v>8/26/2011 12:00:00 AM</v>
      </c>
      <c r="O249" t="s">
        <v>499</v>
      </c>
    </row>
    <row r="250" spans="1:20" x14ac:dyDescent="0.25">
      <c r="A250" t="str">
        <f>"3047340"</f>
        <v>3047340</v>
      </c>
      <c r="B250" t="s">
        <v>547</v>
      </c>
      <c r="C250" t="str">
        <f t="shared" si="10"/>
        <v>58158000</v>
      </c>
      <c r="D250" t="s">
        <v>499</v>
      </c>
      <c r="F250" t="str">
        <f t="shared" si="11"/>
        <v>C/O DIANE H POTTS</v>
      </c>
      <c r="G250" t="s">
        <v>500</v>
      </c>
      <c r="I250" t="s">
        <v>184</v>
      </c>
      <c r="J250" t="s">
        <v>30</v>
      </c>
      <c r="K250" t="s">
        <v>501</v>
      </c>
      <c r="M250" t="s">
        <v>32</v>
      </c>
      <c r="N250" t="str">
        <f t="shared" si="12"/>
        <v>8/26/2011 12:00:00 AM</v>
      </c>
      <c r="O250" t="s">
        <v>499</v>
      </c>
    </row>
    <row r="251" spans="1:20" x14ac:dyDescent="0.25">
      <c r="A251" t="str">
        <f>"3047356"</f>
        <v>3047356</v>
      </c>
      <c r="B251" t="s">
        <v>548</v>
      </c>
      <c r="C251" t="str">
        <f t="shared" si="10"/>
        <v>58158000</v>
      </c>
      <c r="D251" t="s">
        <v>499</v>
      </c>
      <c r="F251" t="str">
        <f t="shared" si="11"/>
        <v>C/O DIANE H POTTS</v>
      </c>
      <c r="G251" t="s">
        <v>500</v>
      </c>
      <c r="I251" t="s">
        <v>184</v>
      </c>
      <c r="J251" t="s">
        <v>30</v>
      </c>
      <c r="K251" t="s">
        <v>501</v>
      </c>
      <c r="M251" t="s">
        <v>32</v>
      </c>
      <c r="N251" t="str">
        <f t="shared" si="12"/>
        <v>8/26/2011 12:00:00 AM</v>
      </c>
      <c r="O251" t="s">
        <v>499</v>
      </c>
    </row>
    <row r="252" spans="1:20" x14ac:dyDescent="0.25">
      <c r="A252" t="str">
        <f>"3057475"</f>
        <v>3057475</v>
      </c>
      <c r="B252" t="s">
        <v>549</v>
      </c>
      <c r="C252" t="str">
        <f>"8376000"</f>
        <v>8376000</v>
      </c>
      <c r="D252" t="s">
        <v>550</v>
      </c>
      <c r="F252" t="s">
        <v>551</v>
      </c>
      <c r="I252" t="s">
        <v>49</v>
      </c>
      <c r="J252" t="s">
        <v>30</v>
      </c>
      <c r="K252" t="s">
        <v>50</v>
      </c>
      <c r="M252" t="s">
        <v>32</v>
      </c>
      <c r="N252" t="str">
        <f>"3/7/2002 12:00:00 AM"</f>
        <v>3/7/2002 12:00:00 AM</v>
      </c>
      <c r="O252" t="s">
        <v>550</v>
      </c>
    </row>
    <row r="253" spans="1:20" x14ac:dyDescent="0.25">
      <c r="A253" t="str">
        <f>"3060330"</f>
        <v>3060330</v>
      </c>
      <c r="B253" t="s">
        <v>552</v>
      </c>
      <c r="C253" t="str">
        <f>"58966250"</f>
        <v>58966250</v>
      </c>
      <c r="D253" t="s">
        <v>553</v>
      </c>
      <c r="F253" t="s">
        <v>554</v>
      </c>
      <c r="I253" t="s">
        <v>29</v>
      </c>
      <c r="J253" t="s">
        <v>30</v>
      </c>
      <c r="K253" t="s">
        <v>31</v>
      </c>
      <c r="M253" t="s">
        <v>32</v>
      </c>
      <c r="N253" t="str">
        <f>"4/6/2004 12:00:00 AM"</f>
        <v>4/6/2004 12:00:00 AM</v>
      </c>
      <c r="O253" t="s">
        <v>553</v>
      </c>
    </row>
    <row r="254" spans="1:20" x14ac:dyDescent="0.25">
      <c r="A254" t="str">
        <f>"3060310"</f>
        <v>3060310</v>
      </c>
      <c r="B254" t="s">
        <v>555</v>
      </c>
      <c r="C254" t="str">
        <f>"34876000"</f>
        <v>34876000</v>
      </c>
      <c r="D254" t="s">
        <v>556</v>
      </c>
      <c r="E254" t="s">
        <v>557</v>
      </c>
      <c r="F254" t="s">
        <v>558</v>
      </c>
      <c r="I254" t="s">
        <v>29</v>
      </c>
      <c r="J254" t="s">
        <v>30</v>
      </c>
      <c r="K254" t="s">
        <v>559</v>
      </c>
      <c r="M254" t="s">
        <v>32</v>
      </c>
      <c r="N254" t="str">
        <f>"1/7/2010 12:00:00 AM"</f>
        <v>1/7/2010 12:00:00 AM</v>
      </c>
      <c r="O254" t="s">
        <v>556</v>
      </c>
      <c r="T254" t="s">
        <v>557</v>
      </c>
    </row>
    <row r="255" spans="1:20" x14ac:dyDescent="0.25">
      <c r="A255" t="str">
        <f>"3077975"</f>
        <v>3077975</v>
      </c>
      <c r="B255" t="s">
        <v>560</v>
      </c>
      <c r="C255" t="str">
        <f>"34876000"</f>
        <v>34876000</v>
      </c>
      <c r="D255" t="s">
        <v>556</v>
      </c>
      <c r="E255" t="s">
        <v>557</v>
      </c>
      <c r="F255" t="s">
        <v>558</v>
      </c>
      <c r="I255" t="s">
        <v>29</v>
      </c>
      <c r="J255" t="s">
        <v>30</v>
      </c>
      <c r="K255" t="s">
        <v>559</v>
      </c>
      <c r="M255" t="s">
        <v>32</v>
      </c>
      <c r="N255" t="str">
        <f>"1/7/2010 12:00:00 AM"</f>
        <v>1/7/2010 12:00:00 AM</v>
      </c>
      <c r="O255" t="s">
        <v>556</v>
      </c>
      <c r="T255" t="s">
        <v>557</v>
      </c>
    </row>
    <row r="256" spans="1:20" x14ac:dyDescent="0.25">
      <c r="A256" t="str">
        <f>"3057468"</f>
        <v>3057468</v>
      </c>
      <c r="B256" t="s">
        <v>561</v>
      </c>
      <c r="C256" t="str">
        <f>"34876000"</f>
        <v>34876000</v>
      </c>
      <c r="D256" t="s">
        <v>556</v>
      </c>
      <c r="E256" t="s">
        <v>557</v>
      </c>
      <c r="F256" t="s">
        <v>558</v>
      </c>
      <c r="I256" t="s">
        <v>29</v>
      </c>
      <c r="J256" t="s">
        <v>30</v>
      </c>
      <c r="K256" t="s">
        <v>559</v>
      </c>
      <c r="M256" t="s">
        <v>32</v>
      </c>
      <c r="N256" t="str">
        <f>"1/7/2010 12:00:00 AM"</f>
        <v>1/7/2010 12:00:00 AM</v>
      </c>
      <c r="O256" t="s">
        <v>556</v>
      </c>
      <c r="T256" t="s">
        <v>557</v>
      </c>
    </row>
    <row r="257" spans="1:20" x14ac:dyDescent="0.25">
      <c r="A257" t="str">
        <f>"3046969"</f>
        <v>3046969</v>
      </c>
      <c r="B257" t="s">
        <v>562</v>
      </c>
      <c r="C257" t="str">
        <f>"34876000"</f>
        <v>34876000</v>
      </c>
      <c r="D257" t="s">
        <v>556</v>
      </c>
      <c r="E257" t="s">
        <v>557</v>
      </c>
      <c r="F257" t="s">
        <v>558</v>
      </c>
      <c r="I257" t="s">
        <v>29</v>
      </c>
      <c r="J257" t="s">
        <v>30</v>
      </c>
      <c r="K257" t="s">
        <v>559</v>
      </c>
      <c r="M257" t="s">
        <v>32</v>
      </c>
      <c r="N257" t="str">
        <f>"1/7/2010 12:00:00 AM"</f>
        <v>1/7/2010 12:00:00 AM</v>
      </c>
      <c r="O257" t="s">
        <v>556</v>
      </c>
      <c r="T257" t="s">
        <v>557</v>
      </c>
    </row>
    <row r="258" spans="1:20" x14ac:dyDescent="0.25">
      <c r="A258" t="str">
        <f>"3039007"</f>
        <v>3039007</v>
      </c>
      <c r="B258" t="s">
        <v>563</v>
      </c>
      <c r="C258" t="str">
        <f>"82525131"</f>
        <v>82525131</v>
      </c>
      <c r="D258" t="s">
        <v>564</v>
      </c>
      <c r="E258" t="s">
        <v>565</v>
      </c>
      <c r="F258" t="s">
        <v>566</v>
      </c>
      <c r="I258" t="s">
        <v>29</v>
      </c>
      <c r="J258" t="s">
        <v>30</v>
      </c>
      <c r="K258" t="s">
        <v>567</v>
      </c>
      <c r="M258" t="s">
        <v>32</v>
      </c>
      <c r="N258" t="str">
        <f>"1/8/2008 12:00:00 AM"</f>
        <v>1/8/2008 12:00:00 AM</v>
      </c>
      <c r="O258" t="s">
        <v>564</v>
      </c>
      <c r="T258" t="s">
        <v>565</v>
      </c>
    </row>
    <row r="259" spans="1:20" x14ac:dyDescent="0.25">
      <c r="A259" t="str">
        <f>"3039023"</f>
        <v>3039023</v>
      </c>
      <c r="B259" t="s">
        <v>568</v>
      </c>
      <c r="C259" t="str">
        <f>"82520823"</f>
        <v>82520823</v>
      </c>
      <c r="D259" t="s">
        <v>569</v>
      </c>
      <c r="E259" t="s">
        <v>570</v>
      </c>
      <c r="F259" t="s">
        <v>571</v>
      </c>
      <c r="I259" t="s">
        <v>29</v>
      </c>
      <c r="J259" t="s">
        <v>30</v>
      </c>
      <c r="K259" t="s">
        <v>572</v>
      </c>
      <c r="M259" t="s">
        <v>32</v>
      </c>
      <c r="N259" t="str">
        <f>"2/25/2010 12:00:00 AM"</f>
        <v>2/25/2010 12:00:00 AM</v>
      </c>
      <c r="O259" t="s">
        <v>569</v>
      </c>
      <c r="T259" t="s">
        <v>570</v>
      </c>
    </row>
    <row r="260" spans="1:20" x14ac:dyDescent="0.25">
      <c r="A260" t="str">
        <f>"3039022"</f>
        <v>3039022</v>
      </c>
      <c r="B260" t="s">
        <v>573</v>
      </c>
      <c r="C260" t="str">
        <f>"40300000"</f>
        <v>40300000</v>
      </c>
      <c r="D260" t="s">
        <v>482</v>
      </c>
      <c r="E260" t="s">
        <v>574</v>
      </c>
      <c r="F260" t="s">
        <v>483</v>
      </c>
      <c r="I260" t="s">
        <v>29</v>
      </c>
      <c r="J260" t="s">
        <v>30</v>
      </c>
      <c r="K260" t="s">
        <v>488</v>
      </c>
      <c r="M260" t="s">
        <v>32</v>
      </c>
      <c r="N260" t="str">
        <f>"1/12/2010 12:00:00 AM"</f>
        <v>1/12/2010 12:00:00 AM</v>
      </c>
      <c r="O260" t="s">
        <v>482</v>
      </c>
      <c r="T260" t="s">
        <v>574</v>
      </c>
    </row>
    <row r="261" spans="1:20" x14ac:dyDescent="0.25">
      <c r="A261" t="str">
        <f>"3066996"</f>
        <v>3066996</v>
      </c>
      <c r="B261" t="s">
        <v>575</v>
      </c>
      <c r="C261" t="str">
        <f>"79099750"</f>
        <v>79099750</v>
      </c>
      <c r="D261" t="s">
        <v>576</v>
      </c>
      <c r="F261" t="s">
        <v>577</v>
      </c>
      <c r="I261" t="s">
        <v>29</v>
      </c>
      <c r="J261" t="s">
        <v>30</v>
      </c>
      <c r="K261" t="s">
        <v>31</v>
      </c>
      <c r="M261" t="s">
        <v>32</v>
      </c>
      <c r="N261" t="str">
        <f>"7/1/2004 12:00:00 AM"</f>
        <v>7/1/2004 12:00:00 AM</v>
      </c>
      <c r="O261" t="s">
        <v>576</v>
      </c>
    </row>
    <row r="262" spans="1:20" x14ac:dyDescent="0.25">
      <c r="A262" t="str">
        <f>"3057453"</f>
        <v>3057453</v>
      </c>
      <c r="B262" t="s">
        <v>578</v>
      </c>
      <c r="C262" t="str">
        <f>"82529371"</f>
        <v>82529371</v>
      </c>
      <c r="D262" t="s">
        <v>579</v>
      </c>
      <c r="F262" t="str">
        <f>"C/O MARION W BROWN"</f>
        <v>C/O MARION W BROWN</v>
      </c>
      <c r="G262" t="s">
        <v>580</v>
      </c>
      <c r="I262" t="s">
        <v>581</v>
      </c>
      <c r="J262" t="s">
        <v>582</v>
      </c>
      <c r="K262" t="s">
        <v>583</v>
      </c>
      <c r="M262" t="s">
        <v>32</v>
      </c>
      <c r="N262" t="str">
        <f>"8/26/2011 12:00:00 AM"</f>
        <v>8/26/2011 12:00:00 AM</v>
      </c>
      <c r="O262" t="s">
        <v>579</v>
      </c>
    </row>
    <row r="263" spans="1:20" x14ac:dyDescent="0.25">
      <c r="A263" t="str">
        <f>"3057449"</f>
        <v>3057449</v>
      </c>
      <c r="B263" t="s">
        <v>584</v>
      </c>
      <c r="C263" t="str">
        <f>"12418000"</f>
        <v>12418000</v>
      </c>
      <c r="D263" t="s">
        <v>585</v>
      </c>
      <c r="K263" t="s">
        <v>586</v>
      </c>
      <c r="M263" t="s">
        <v>32</v>
      </c>
      <c r="N263" t="str">
        <f>"8/22/1985 12:00:00 AM"</f>
        <v>8/22/1985 12:00:00 AM</v>
      </c>
      <c r="O263" t="s">
        <v>585</v>
      </c>
    </row>
    <row r="264" spans="1:20" x14ac:dyDescent="0.25">
      <c r="A264" t="str">
        <f>"3039033"</f>
        <v>3039033</v>
      </c>
      <c r="B264" t="s">
        <v>587</v>
      </c>
      <c r="C264" t="str">
        <f>"56934000"</f>
        <v>56934000</v>
      </c>
      <c r="D264" t="s">
        <v>588</v>
      </c>
      <c r="F264" t="s">
        <v>589</v>
      </c>
      <c r="I264" t="s">
        <v>29</v>
      </c>
      <c r="J264" t="s">
        <v>30</v>
      </c>
      <c r="K264" t="s">
        <v>31</v>
      </c>
      <c r="M264" t="s">
        <v>32</v>
      </c>
      <c r="N264" t="str">
        <f>"3/31/2004 12:00:00 AM"</f>
        <v>3/31/2004 12:00:00 AM</v>
      </c>
      <c r="O264" t="s">
        <v>588</v>
      </c>
    </row>
    <row r="265" spans="1:20" x14ac:dyDescent="0.25">
      <c r="A265" t="str">
        <f>"3038212"</f>
        <v>3038212</v>
      </c>
      <c r="B265" t="s">
        <v>590</v>
      </c>
      <c r="C265" t="str">
        <f>"82522380"</f>
        <v>82522380</v>
      </c>
      <c r="D265" t="s">
        <v>591</v>
      </c>
      <c r="E265" t="s">
        <v>592</v>
      </c>
      <c r="F265" t="s">
        <v>593</v>
      </c>
      <c r="I265" t="s">
        <v>29</v>
      </c>
      <c r="J265" t="s">
        <v>30</v>
      </c>
      <c r="K265" t="s">
        <v>594</v>
      </c>
      <c r="M265" t="s">
        <v>32</v>
      </c>
      <c r="N265" t="str">
        <f>"2/18/2005 12:00:00 AM"</f>
        <v>2/18/2005 12:00:00 AM</v>
      </c>
      <c r="O265" t="s">
        <v>591</v>
      </c>
      <c r="T265" t="s">
        <v>592</v>
      </c>
    </row>
    <row r="266" spans="1:20" x14ac:dyDescent="0.25">
      <c r="A266" t="str">
        <f>"3038998"</f>
        <v>3038998</v>
      </c>
      <c r="B266" t="s">
        <v>595</v>
      </c>
      <c r="C266" t="str">
        <f>"82529913"</f>
        <v>82529913</v>
      </c>
      <c r="D266" t="s">
        <v>596</v>
      </c>
      <c r="F266" t="s">
        <v>597</v>
      </c>
      <c r="I266" t="s">
        <v>29</v>
      </c>
      <c r="J266" t="s">
        <v>30</v>
      </c>
      <c r="K266" t="s">
        <v>31</v>
      </c>
      <c r="M266" t="s">
        <v>32</v>
      </c>
      <c r="N266" t="str">
        <f>"7/28/2008 12:00:00 AM"</f>
        <v>7/28/2008 12:00:00 AM</v>
      </c>
      <c r="O266" t="s">
        <v>596</v>
      </c>
    </row>
    <row r="267" spans="1:20" x14ac:dyDescent="0.25">
      <c r="A267" t="str">
        <f>"3038351"</f>
        <v>3038351</v>
      </c>
      <c r="B267" t="s">
        <v>598</v>
      </c>
      <c r="C267" t="str">
        <f>"51013570"</f>
        <v>51013570</v>
      </c>
      <c r="D267" t="s">
        <v>599</v>
      </c>
      <c r="F267" t="s">
        <v>600</v>
      </c>
      <c r="I267" t="s">
        <v>29</v>
      </c>
      <c r="J267" t="s">
        <v>30</v>
      </c>
      <c r="K267" t="s">
        <v>31</v>
      </c>
      <c r="M267" t="s">
        <v>32</v>
      </c>
      <c r="N267" t="str">
        <f>"2/23/2004 12:00:00 AM"</f>
        <v>2/23/2004 12:00:00 AM</v>
      </c>
      <c r="O267" t="s">
        <v>599</v>
      </c>
    </row>
    <row r="268" spans="1:20" x14ac:dyDescent="0.25">
      <c r="A268" t="str">
        <f>"3039703"</f>
        <v>3039703</v>
      </c>
      <c r="B268" t="s">
        <v>601</v>
      </c>
      <c r="C268" t="str">
        <f>"69952000"</f>
        <v>69952000</v>
      </c>
      <c r="D268" t="s">
        <v>602</v>
      </c>
      <c r="E268" t="s">
        <v>603</v>
      </c>
      <c r="F268" t="s">
        <v>604</v>
      </c>
      <c r="I268" t="s">
        <v>29</v>
      </c>
      <c r="J268" t="s">
        <v>30</v>
      </c>
      <c r="K268" t="s">
        <v>605</v>
      </c>
      <c r="M268" t="s">
        <v>32</v>
      </c>
      <c r="N268" t="str">
        <f>"3/11/2005 12:00:00 AM"</f>
        <v>3/11/2005 12:00:00 AM</v>
      </c>
      <c r="O268" t="s">
        <v>602</v>
      </c>
      <c r="T268" t="s">
        <v>603</v>
      </c>
    </row>
    <row r="269" spans="1:20" x14ac:dyDescent="0.25">
      <c r="A269" t="str">
        <f>"3039714"</f>
        <v>3039714</v>
      </c>
      <c r="B269" t="s">
        <v>606</v>
      </c>
      <c r="C269" t="str">
        <f>"57281000"</f>
        <v>57281000</v>
      </c>
      <c r="D269" t="s">
        <v>607</v>
      </c>
      <c r="E269" t="s">
        <v>608</v>
      </c>
      <c r="F269" t="s">
        <v>609</v>
      </c>
      <c r="I269" t="s">
        <v>29</v>
      </c>
      <c r="J269" t="s">
        <v>30</v>
      </c>
      <c r="K269" t="s">
        <v>610</v>
      </c>
      <c r="M269" t="s">
        <v>32</v>
      </c>
      <c r="N269" t="str">
        <f>"2/14/2007 12:00:00 AM"</f>
        <v>2/14/2007 12:00:00 AM</v>
      </c>
      <c r="O269" t="s">
        <v>607</v>
      </c>
      <c r="T269" t="s">
        <v>608</v>
      </c>
    </row>
    <row r="270" spans="1:20" x14ac:dyDescent="0.25">
      <c r="A270" t="str">
        <f>"3039692"</f>
        <v>3039692</v>
      </c>
      <c r="B270" t="s">
        <v>611</v>
      </c>
      <c r="C270" t="str">
        <f>"20643000"</f>
        <v>20643000</v>
      </c>
      <c r="D270" t="s">
        <v>612</v>
      </c>
      <c r="E270" t="s">
        <v>613</v>
      </c>
      <c r="F270" t="s">
        <v>614</v>
      </c>
      <c r="I270" t="s">
        <v>29</v>
      </c>
      <c r="J270" t="s">
        <v>30</v>
      </c>
      <c r="K270" t="s">
        <v>31</v>
      </c>
      <c r="M270" t="s">
        <v>32</v>
      </c>
      <c r="N270" t="str">
        <f>"3/7/2002 12:00:00 AM"</f>
        <v>3/7/2002 12:00:00 AM</v>
      </c>
      <c r="O270" t="s">
        <v>612</v>
      </c>
      <c r="T270" t="s">
        <v>613</v>
      </c>
    </row>
    <row r="271" spans="1:20" x14ac:dyDescent="0.25">
      <c r="A271" t="str">
        <f>"3039392"</f>
        <v>3039392</v>
      </c>
      <c r="B271" t="s">
        <v>615</v>
      </c>
      <c r="C271" t="str">
        <f>"20643000"</f>
        <v>20643000</v>
      </c>
      <c r="D271" t="s">
        <v>612</v>
      </c>
      <c r="E271" t="s">
        <v>613</v>
      </c>
      <c r="F271" t="s">
        <v>614</v>
      </c>
      <c r="I271" t="s">
        <v>29</v>
      </c>
      <c r="J271" t="s">
        <v>30</v>
      </c>
      <c r="K271" t="s">
        <v>31</v>
      </c>
      <c r="M271" t="s">
        <v>32</v>
      </c>
      <c r="N271" t="str">
        <f>"3/7/2002 12:00:00 AM"</f>
        <v>3/7/2002 12:00:00 AM</v>
      </c>
      <c r="O271" t="s">
        <v>612</v>
      </c>
      <c r="T271" t="s">
        <v>613</v>
      </c>
    </row>
    <row r="272" spans="1:20" x14ac:dyDescent="0.25">
      <c r="A272" t="str">
        <f>"3039454"</f>
        <v>3039454</v>
      </c>
      <c r="B272" t="s">
        <v>616</v>
      </c>
      <c r="C272" t="str">
        <f>"82523465"</f>
        <v>82523465</v>
      </c>
      <c r="D272" t="s">
        <v>617</v>
      </c>
      <c r="E272" t="s">
        <v>618</v>
      </c>
      <c r="F272" t="s">
        <v>619</v>
      </c>
      <c r="G272" t="s">
        <v>620</v>
      </c>
      <c r="I272" t="s">
        <v>29</v>
      </c>
      <c r="J272" t="s">
        <v>30</v>
      </c>
      <c r="K272" t="s">
        <v>621</v>
      </c>
      <c r="M272" t="s">
        <v>32</v>
      </c>
      <c r="N272" t="str">
        <f>"1/31/2005 12:00:00 AM"</f>
        <v>1/31/2005 12:00:00 AM</v>
      </c>
      <c r="O272" t="s">
        <v>617</v>
      </c>
      <c r="T272" t="s">
        <v>618</v>
      </c>
    </row>
    <row r="273" spans="1:20" x14ac:dyDescent="0.25">
      <c r="A273" t="str">
        <f>"3039311"</f>
        <v>3039311</v>
      </c>
      <c r="B273" t="s">
        <v>622</v>
      </c>
      <c r="C273" t="str">
        <f>"82522999"</f>
        <v>82522999</v>
      </c>
      <c r="D273" t="s">
        <v>623</v>
      </c>
      <c r="F273" t="s">
        <v>624</v>
      </c>
      <c r="I273" t="s">
        <v>471</v>
      </c>
      <c r="J273" t="s">
        <v>30</v>
      </c>
      <c r="K273" t="s">
        <v>625</v>
      </c>
      <c r="M273" t="s">
        <v>32</v>
      </c>
      <c r="N273" t="str">
        <f>"7/1/2004 12:00:00 AM"</f>
        <v>7/1/2004 12:00:00 AM</v>
      </c>
      <c r="O273" t="s">
        <v>623</v>
      </c>
    </row>
    <row r="274" spans="1:20" x14ac:dyDescent="0.25">
      <c r="A274" t="str">
        <f>"3039690"</f>
        <v>3039690</v>
      </c>
      <c r="B274" t="s">
        <v>626</v>
      </c>
      <c r="C274" t="str">
        <f>"27559630"</f>
        <v>27559630</v>
      </c>
      <c r="D274" t="s">
        <v>627</v>
      </c>
      <c r="F274" t="s">
        <v>628</v>
      </c>
      <c r="I274" t="s">
        <v>29</v>
      </c>
      <c r="J274" t="s">
        <v>30</v>
      </c>
      <c r="K274" t="s">
        <v>31</v>
      </c>
      <c r="M274" t="s">
        <v>32</v>
      </c>
      <c r="N274" t="str">
        <f>"1/22/2004 12:00:00 AM"</f>
        <v>1/22/2004 12:00:00 AM</v>
      </c>
      <c r="O274" t="s">
        <v>627</v>
      </c>
    </row>
    <row r="275" spans="1:20" x14ac:dyDescent="0.25">
      <c r="A275" t="str">
        <f>"3039715"</f>
        <v>3039715</v>
      </c>
      <c r="B275" t="s">
        <v>629</v>
      </c>
      <c r="C275" t="str">
        <f>"655500"</f>
        <v>655500</v>
      </c>
      <c r="D275" t="s">
        <v>630</v>
      </c>
      <c r="E275" t="s">
        <v>631</v>
      </c>
      <c r="F275" t="s">
        <v>632</v>
      </c>
      <c r="I275" t="s">
        <v>29</v>
      </c>
      <c r="J275" t="s">
        <v>30</v>
      </c>
      <c r="K275" t="s">
        <v>31</v>
      </c>
      <c r="M275" t="s">
        <v>32</v>
      </c>
      <c r="N275" t="str">
        <f>"2/28/2002 12:00:00 AM"</f>
        <v>2/28/2002 12:00:00 AM</v>
      </c>
      <c r="O275" t="s">
        <v>630</v>
      </c>
      <c r="T275" t="s">
        <v>631</v>
      </c>
    </row>
    <row r="276" spans="1:20" x14ac:dyDescent="0.25">
      <c r="A276" t="str">
        <f>"3039491"</f>
        <v>3039491</v>
      </c>
      <c r="B276" t="s">
        <v>633</v>
      </c>
      <c r="C276" t="str">
        <f>"655500"</f>
        <v>655500</v>
      </c>
      <c r="D276" t="s">
        <v>630</v>
      </c>
      <c r="E276" t="s">
        <v>631</v>
      </c>
      <c r="F276" t="s">
        <v>632</v>
      </c>
      <c r="I276" t="s">
        <v>29</v>
      </c>
      <c r="J276" t="s">
        <v>30</v>
      </c>
      <c r="K276" t="s">
        <v>31</v>
      </c>
      <c r="M276" t="s">
        <v>32</v>
      </c>
      <c r="N276" t="str">
        <f>"2/28/2002 12:00:00 AM"</f>
        <v>2/28/2002 12:00:00 AM</v>
      </c>
      <c r="O276" t="s">
        <v>630</v>
      </c>
      <c r="T276" t="s">
        <v>631</v>
      </c>
    </row>
    <row r="277" spans="1:20" x14ac:dyDescent="0.25">
      <c r="A277" t="str">
        <f>"3039335"</f>
        <v>3039335</v>
      </c>
      <c r="B277" t="s">
        <v>634</v>
      </c>
      <c r="C277" t="str">
        <f>"655500"</f>
        <v>655500</v>
      </c>
      <c r="D277" t="s">
        <v>630</v>
      </c>
      <c r="E277" t="s">
        <v>631</v>
      </c>
      <c r="F277" t="s">
        <v>632</v>
      </c>
      <c r="I277" t="s">
        <v>29</v>
      </c>
      <c r="J277" t="s">
        <v>30</v>
      </c>
      <c r="K277" t="s">
        <v>31</v>
      </c>
      <c r="M277" t="s">
        <v>32</v>
      </c>
      <c r="N277" t="str">
        <f>"2/28/2002 12:00:00 AM"</f>
        <v>2/28/2002 12:00:00 AM</v>
      </c>
      <c r="O277" t="s">
        <v>630</v>
      </c>
      <c r="T277" t="s">
        <v>631</v>
      </c>
    </row>
    <row r="278" spans="1:20" x14ac:dyDescent="0.25">
      <c r="A278" t="str">
        <f>"3038197"</f>
        <v>3038197</v>
      </c>
      <c r="B278" t="s">
        <v>635</v>
      </c>
      <c r="C278" t="str">
        <f>"69464000"</f>
        <v>69464000</v>
      </c>
      <c r="D278" t="s">
        <v>636</v>
      </c>
      <c r="F278" t="s">
        <v>637</v>
      </c>
      <c r="I278" t="s">
        <v>184</v>
      </c>
      <c r="J278" t="s">
        <v>30</v>
      </c>
      <c r="K278" t="s">
        <v>185</v>
      </c>
      <c r="M278" t="s">
        <v>32</v>
      </c>
      <c r="N278" t="str">
        <f>"1/15/2004 12:00:00 AM"</f>
        <v>1/15/2004 12:00:00 AM</v>
      </c>
      <c r="O278" t="s">
        <v>636</v>
      </c>
    </row>
    <row r="279" spans="1:20" x14ac:dyDescent="0.25">
      <c r="A279" t="str">
        <f>"3039960"</f>
        <v>3039960</v>
      </c>
      <c r="B279" t="s">
        <v>638</v>
      </c>
      <c r="C279" t="str">
        <f>"69464000"</f>
        <v>69464000</v>
      </c>
      <c r="D279" t="s">
        <v>636</v>
      </c>
      <c r="F279" t="s">
        <v>637</v>
      </c>
      <c r="I279" t="s">
        <v>184</v>
      </c>
      <c r="J279" t="s">
        <v>30</v>
      </c>
      <c r="K279" t="s">
        <v>185</v>
      </c>
      <c r="M279" t="s">
        <v>32</v>
      </c>
      <c r="N279" t="str">
        <f>"1/15/2004 12:00:00 AM"</f>
        <v>1/15/2004 12:00:00 AM</v>
      </c>
      <c r="O279" t="s">
        <v>636</v>
      </c>
    </row>
    <row r="280" spans="1:20" x14ac:dyDescent="0.25">
      <c r="A280" t="str">
        <f>"3039954"</f>
        <v>3039954</v>
      </c>
      <c r="B280" t="s">
        <v>639</v>
      </c>
      <c r="C280" t="str">
        <f>"25244000"</f>
        <v>25244000</v>
      </c>
      <c r="D280" t="s">
        <v>640</v>
      </c>
      <c r="F280" t="s">
        <v>641</v>
      </c>
      <c r="I280" t="s">
        <v>471</v>
      </c>
      <c r="J280" t="s">
        <v>30</v>
      </c>
      <c r="K280" t="s">
        <v>642</v>
      </c>
      <c r="M280" t="s">
        <v>32</v>
      </c>
      <c r="N280" t="str">
        <f>"1/24/2006 12:00:00 AM"</f>
        <v>1/24/2006 12:00:00 AM</v>
      </c>
      <c r="O280" t="s">
        <v>640</v>
      </c>
    </row>
    <row r="281" spans="1:20" x14ac:dyDescent="0.25">
      <c r="A281" t="str">
        <f>"3039563"</f>
        <v>3039563</v>
      </c>
      <c r="B281" t="s">
        <v>643</v>
      </c>
      <c r="C281" t="str">
        <f>"82521811"</f>
        <v>82521811</v>
      </c>
      <c r="D281" t="s">
        <v>644</v>
      </c>
      <c r="F281" t="s">
        <v>645</v>
      </c>
      <c r="I281" t="s">
        <v>184</v>
      </c>
      <c r="J281" t="s">
        <v>30</v>
      </c>
      <c r="K281" t="s">
        <v>646</v>
      </c>
      <c r="M281" t="s">
        <v>32</v>
      </c>
      <c r="N281" t="str">
        <f>"1/26/2006 12:00:00 AM"</f>
        <v>1/26/2006 12:00:00 AM</v>
      </c>
      <c r="O281" t="s">
        <v>644</v>
      </c>
    </row>
    <row r="282" spans="1:20" x14ac:dyDescent="0.25">
      <c r="A282" t="str">
        <f>"3039678"</f>
        <v>3039678</v>
      </c>
      <c r="B282" t="s">
        <v>647</v>
      </c>
      <c r="C282" t="str">
        <f>"82521811"</f>
        <v>82521811</v>
      </c>
      <c r="D282" t="s">
        <v>644</v>
      </c>
      <c r="F282" t="s">
        <v>645</v>
      </c>
      <c r="I282" t="s">
        <v>184</v>
      </c>
      <c r="J282" t="s">
        <v>30</v>
      </c>
      <c r="K282" t="s">
        <v>646</v>
      </c>
      <c r="M282" t="s">
        <v>32</v>
      </c>
      <c r="N282" t="str">
        <f>"1/26/2006 12:00:00 AM"</f>
        <v>1/26/2006 12:00:00 AM</v>
      </c>
      <c r="O282" t="s">
        <v>644</v>
      </c>
    </row>
    <row r="283" spans="1:20" x14ac:dyDescent="0.25">
      <c r="A283" t="str">
        <f>"3039974"</f>
        <v>3039974</v>
      </c>
      <c r="B283" t="s">
        <v>648</v>
      </c>
      <c r="C283" t="str">
        <f>"82518980"</f>
        <v>82518980</v>
      </c>
      <c r="D283" t="s">
        <v>649</v>
      </c>
      <c r="F283" t="s">
        <v>650</v>
      </c>
      <c r="I283" t="s">
        <v>471</v>
      </c>
      <c r="J283" t="s">
        <v>30</v>
      </c>
      <c r="K283" t="s">
        <v>651</v>
      </c>
      <c r="M283" t="s">
        <v>32</v>
      </c>
      <c r="N283" t="str">
        <f>"2/18/2005 12:00:00 AM"</f>
        <v>2/18/2005 12:00:00 AM</v>
      </c>
      <c r="O283" t="s">
        <v>649</v>
      </c>
    </row>
    <row r="284" spans="1:20" x14ac:dyDescent="0.25">
      <c r="A284" t="str">
        <f>"3039500"</f>
        <v>3039500</v>
      </c>
      <c r="B284" t="s">
        <v>652</v>
      </c>
      <c r="C284" t="str">
        <f>"80060000"</f>
        <v>80060000</v>
      </c>
      <c r="D284" t="s">
        <v>653</v>
      </c>
      <c r="E284" t="s">
        <v>654</v>
      </c>
      <c r="F284" t="s">
        <v>655</v>
      </c>
      <c r="I284" t="s">
        <v>184</v>
      </c>
      <c r="J284" t="s">
        <v>30</v>
      </c>
      <c r="K284" t="s">
        <v>185</v>
      </c>
      <c r="M284" t="s">
        <v>32</v>
      </c>
      <c r="N284" t="str">
        <f>"7/15/2004 12:00:00 AM"</f>
        <v>7/15/2004 12:00:00 AM</v>
      </c>
      <c r="O284" t="s">
        <v>653</v>
      </c>
      <c r="T284" t="s">
        <v>654</v>
      </c>
    </row>
    <row r="285" spans="1:20" x14ac:dyDescent="0.25">
      <c r="A285" t="str">
        <f>"3039320"</f>
        <v>3039320</v>
      </c>
      <c r="B285" t="s">
        <v>656</v>
      </c>
      <c r="C285" t="str">
        <f>"82528538"</f>
        <v>82528538</v>
      </c>
      <c r="D285" t="s">
        <v>657</v>
      </c>
      <c r="F285" t="s">
        <v>658</v>
      </c>
      <c r="I285" t="s">
        <v>184</v>
      </c>
      <c r="J285" t="s">
        <v>30</v>
      </c>
      <c r="K285" t="s">
        <v>185</v>
      </c>
      <c r="M285" t="s">
        <v>32</v>
      </c>
      <c r="N285" t="str">
        <f>"8/31/2007 12:00:00 AM"</f>
        <v>8/31/2007 12:00:00 AM</v>
      </c>
      <c r="O285" t="s">
        <v>657</v>
      </c>
    </row>
    <row r="286" spans="1:20" x14ac:dyDescent="0.25">
      <c r="A286" t="str">
        <f>"3039553"</f>
        <v>3039553</v>
      </c>
      <c r="B286" t="s">
        <v>659</v>
      </c>
      <c r="C286" t="str">
        <f>"20556890"</f>
        <v>20556890</v>
      </c>
      <c r="D286" t="s">
        <v>660</v>
      </c>
      <c r="E286" t="s">
        <v>661</v>
      </c>
      <c r="F286" t="s">
        <v>662</v>
      </c>
      <c r="I286" t="s">
        <v>184</v>
      </c>
      <c r="J286" t="s">
        <v>30</v>
      </c>
      <c r="K286" t="s">
        <v>663</v>
      </c>
      <c r="M286" t="s">
        <v>32</v>
      </c>
      <c r="N286" t="str">
        <f>"6/22/2007 12:00:00 AM"</f>
        <v>6/22/2007 12:00:00 AM</v>
      </c>
      <c r="O286" t="s">
        <v>660</v>
      </c>
      <c r="T286" t="s">
        <v>661</v>
      </c>
    </row>
    <row r="287" spans="1:20" x14ac:dyDescent="0.25">
      <c r="A287" t="str">
        <f>"3039513"</f>
        <v>3039513</v>
      </c>
      <c r="B287" t="s">
        <v>664</v>
      </c>
      <c r="C287" t="str">
        <f>"46220000"</f>
        <v>46220000</v>
      </c>
      <c r="D287" t="s">
        <v>665</v>
      </c>
      <c r="E287" t="s">
        <v>666</v>
      </c>
      <c r="F287" t="s">
        <v>667</v>
      </c>
      <c r="I287" t="s">
        <v>184</v>
      </c>
      <c r="J287" t="s">
        <v>30</v>
      </c>
      <c r="K287" t="s">
        <v>663</v>
      </c>
      <c r="M287" t="s">
        <v>32</v>
      </c>
      <c r="N287" t="str">
        <f>"1/30/2006 12:00:00 AM"</f>
        <v>1/30/2006 12:00:00 AM</v>
      </c>
      <c r="O287" t="s">
        <v>665</v>
      </c>
      <c r="T287" t="s">
        <v>666</v>
      </c>
    </row>
    <row r="288" spans="1:20" x14ac:dyDescent="0.25">
      <c r="A288" t="str">
        <f>"3039712"</f>
        <v>3039712</v>
      </c>
      <c r="B288" t="s">
        <v>668</v>
      </c>
      <c r="C288" t="str">
        <f>"68484000"</f>
        <v>68484000</v>
      </c>
      <c r="D288" t="s">
        <v>669</v>
      </c>
      <c r="E288" t="s">
        <v>670</v>
      </c>
      <c r="F288" t="s">
        <v>671</v>
      </c>
      <c r="I288" t="s">
        <v>184</v>
      </c>
      <c r="J288" t="s">
        <v>30</v>
      </c>
      <c r="K288" t="s">
        <v>672</v>
      </c>
      <c r="M288" t="s">
        <v>32</v>
      </c>
      <c r="N288" t="str">
        <f>"2/24/2005 12:00:00 AM"</f>
        <v>2/24/2005 12:00:00 AM</v>
      </c>
      <c r="O288" t="s">
        <v>669</v>
      </c>
      <c r="T288" t="s">
        <v>670</v>
      </c>
    </row>
    <row r="289" spans="1:20" x14ac:dyDescent="0.25">
      <c r="A289" t="str">
        <f>"3039393"</f>
        <v>3039393</v>
      </c>
      <c r="B289" t="s">
        <v>673</v>
      </c>
      <c r="C289" t="str">
        <f>"68484000"</f>
        <v>68484000</v>
      </c>
      <c r="D289" t="s">
        <v>669</v>
      </c>
      <c r="E289" t="s">
        <v>670</v>
      </c>
      <c r="F289" t="s">
        <v>671</v>
      </c>
      <c r="I289" t="s">
        <v>184</v>
      </c>
      <c r="J289" t="s">
        <v>30</v>
      </c>
      <c r="K289" t="s">
        <v>672</v>
      </c>
      <c r="M289" t="s">
        <v>32</v>
      </c>
      <c r="N289" t="str">
        <f>"2/24/2005 12:00:00 AM"</f>
        <v>2/24/2005 12:00:00 AM</v>
      </c>
      <c r="O289" t="s">
        <v>669</v>
      </c>
      <c r="T289" t="s">
        <v>670</v>
      </c>
    </row>
    <row r="290" spans="1:20" x14ac:dyDescent="0.25">
      <c r="A290" t="str">
        <f>"3039424"</f>
        <v>3039424</v>
      </c>
      <c r="B290" t="s">
        <v>674</v>
      </c>
      <c r="C290" t="str">
        <f>"68484000"</f>
        <v>68484000</v>
      </c>
      <c r="D290" t="s">
        <v>669</v>
      </c>
      <c r="E290" t="s">
        <v>670</v>
      </c>
      <c r="F290" t="s">
        <v>671</v>
      </c>
      <c r="I290" t="s">
        <v>184</v>
      </c>
      <c r="J290" t="s">
        <v>30</v>
      </c>
      <c r="K290" t="s">
        <v>672</v>
      </c>
      <c r="M290" t="s">
        <v>32</v>
      </c>
      <c r="N290" t="str">
        <f>"2/24/2005 12:00:00 AM"</f>
        <v>2/24/2005 12:00:00 AM</v>
      </c>
      <c r="O290" t="s">
        <v>669</v>
      </c>
      <c r="T290" t="s">
        <v>670</v>
      </c>
    </row>
    <row r="291" spans="1:20" x14ac:dyDescent="0.25">
      <c r="A291" t="str">
        <f>"3039290"</f>
        <v>3039290</v>
      </c>
      <c r="B291" t="s">
        <v>675</v>
      </c>
      <c r="C291" t="str">
        <f>"68484000"</f>
        <v>68484000</v>
      </c>
      <c r="D291" t="s">
        <v>669</v>
      </c>
      <c r="E291" t="s">
        <v>670</v>
      </c>
      <c r="F291" t="s">
        <v>671</v>
      </c>
      <c r="I291" t="s">
        <v>184</v>
      </c>
      <c r="J291" t="s">
        <v>30</v>
      </c>
      <c r="K291" t="s">
        <v>672</v>
      </c>
      <c r="M291" t="s">
        <v>32</v>
      </c>
      <c r="N291" t="str">
        <f>"2/24/2005 12:00:00 AM"</f>
        <v>2/24/2005 12:00:00 AM</v>
      </c>
      <c r="O291" t="s">
        <v>669</v>
      </c>
      <c r="T291" t="s">
        <v>670</v>
      </c>
    </row>
    <row r="292" spans="1:20" x14ac:dyDescent="0.25">
      <c r="A292" t="str">
        <f>"3039565"</f>
        <v>3039565</v>
      </c>
      <c r="B292" t="s">
        <v>676</v>
      </c>
      <c r="C292" t="str">
        <f>"82517697"</f>
        <v>82517697</v>
      </c>
      <c r="D292" t="s">
        <v>677</v>
      </c>
      <c r="F292" t="s">
        <v>678</v>
      </c>
      <c r="I292" t="s">
        <v>184</v>
      </c>
      <c r="J292" t="s">
        <v>30</v>
      </c>
      <c r="K292" t="s">
        <v>185</v>
      </c>
      <c r="M292" t="s">
        <v>32</v>
      </c>
      <c r="N292" t="str">
        <f>"2/8/2002 12:00:00 AM"</f>
        <v>2/8/2002 12:00:00 AM</v>
      </c>
      <c r="O292" t="s">
        <v>677</v>
      </c>
    </row>
    <row r="293" spans="1:20" x14ac:dyDescent="0.25">
      <c r="A293" t="str">
        <f>"3039601"</f>
        <v>3039601</v>
      </c>
      <c r="B293" t="s">
        <v>679</v>
      </c>
      <c r="C293" t="str">
        <f>"51145750"</f>
        <v>51145750</v>
      </c>
      <c r="D293" t="s">
        <v>680</v>
      </c>
      <c r="E293" t="s">
        <v>681</v>
      </c>
      <c r="F293" t="s">
        <v>682</v>
      </c>
      <c r="I293" t="s">
        <v>184</v>
      </c>
      <c r="J293" t="s">
        <v>30</v>
      </c>
      <c r="K293" t="s">
        <v>185</v>
      </c>
      <c r="M293" t="s">
        <v>32</v>
      </c>
      <c r="N293" t="str">
        <f>"3/11/2002 12:00:00 AM"</f>
        <v>3/11/2002 12:00:00 AM</v>
      </c>
      <c r="O293" t="s">
        <v>680</v>
      </c>
      <c r="T293" t="s">
        <v>681</v>
      </c>
    </row>
    <row r="294" spans="1:20" x14ac:dyDescent="0.25">
      <c r="A294" t="str">
        <f>"3039606"</f>
        <v>3039606</v>
      </c>
      <c r="B294" t="s">
        <v>683</v>
      </c>
      <c r="C294" t="str">
        <f>"51145750"</f>
        <v>51145750</v>
      </c>
      <c r="D294" t="s">
        <v>680</v>
      </c>
      <c r="E294" t="s">
        <v>681</v>
      </c>
      <c r="F294" t="s">
        <v>682</v>
      </c>
      <c r="I294" t="s">
        <v>184</v>
      </c>
      <c r="J294" t="s">
        <v>30</v>
      </c>
      <c r="K294" t="s">
        <v>185</v>
      </c>
      <c r="M294" t="s">
        <v>32</v>
      </c>
      <c r="N294" t="str">
        <f>"3/11/2002 12:00:00 AM"</f>
        <v>3/11/2002 12:00:00 AM</v>
      </c>
      <c r="O294" t="s">
        <v>680</v>
      </c>
      <c r="T294" t="s">
        <v>681</v>
      </c>
    </row>
    <row r="295" spans="1:20" x14ac:dyDescent="0.25">
      <c r="A295" t="str">
        <f>"3039552"</f>
        <v>3039552</v>
      </c>
      <c r="B295" t="s">
        <v>684</v>
      </c>
      <c r="C295" t="str">
        <f>"82530033"</f>
        <v>82530033</v>
      </c>
      <c r="D295" t="s">
        <v>685</v>
      </c>
      <c r="E295" t="s">
        <v>686</v>
      </c>
      <c r="F295" t="s">
        <v>687</v>
      </c>
      <c r="I295" t="s">
        <v>184</v>
      </c>
      <c r="J295" t="s">
        <v>30</v>
      </c>
      <c r="K295" t="s">
        <v>185</v>
      </c>
      <c r="M295" t="s">
        <v>32</v>
      </c>
      <c r="N295" t="str">
        <f>"9/8/2008 12:00:00 AM"</f>
        <v>9/8/2008 12:00:00 AM</v>
      </c>
      <c r="O295" t="s">
        <v>685</v>
      </c>
      <c r="T295" t="s">
        <v>686</v>
      </c>
    </row>
    <row r="296" spans="1:20" x14ac:dyDescent="0.25">
      <c r="A296" t="str">
        <f>"3067555"</f>
        <v>3067555</v>
      </c>
      <c r="B296" t="s">
        <v>688</v>
      </c>
      <c r="C296" t="str">
        <f>"82518085"</f>
        <v>82518085</v>
      </c>
      <c r="D296" t="s">
        <v>689</v>
      </c>
      <c r="F296" t="s">
        <v>690</v>
      </c>
      <c r="I296" t="s">
        <v>184</v>
      </c>
      <c r="J296" t="s">
        <v>30</v>
      </c>
      <c r="K296" t="s">
        <v>185</v>
      </c>
      <c r="M296" t="s">
        <v>32</v>
      </c>
      <c r="N296" t="str">
        <f>"1/22/2003 12:00:00 AM"</f>
        <v>1/22/2003 12:00:00 AM</v>
      </c>
      <c r="O296" t="s">
        <v>689</v>
      </c>
    </row>
    <row r="297" spans="1:20" x14ac:dyDescent="0.25">
      <c r="A297" t="str">
        <f>"3039711"</f>
        <v>3039711</v>
      </c>
      <c r="B297" t="s">
        <v>691</v>
      </c>
      <c r="C297" t="str">
        <f t="shared" ref="C297:C302" si="13">"82514422"</f>
        <v>82514422</v>
      </c>
      <c r="D297" t="s">
        <v>692</v>
      </c>
      <c r="F297" t="s">
        <v>693</v>
      </c>
      <c r="I297" t="s">
        <v>184</v>
      </c>
      <c r="J297" t="s">
        <v>30</v>
      </c>
      <c r="K297" t="s">
        <v>694</v>
      </c>
      <c r="M297" t="s">
        <v>32</v>
      </c>
      <c r="N297" t="str">
        <f t="shared" ref="N297:N302" si="14">"2/1/2006 12:00:00 AM"</f>
        <v>2/1/2006 12:00:00 AM</v>
      </c>
      <c r="O297" t="s">
        <v>692</v>
      </c>
    </row>
    <row r="298" spans="1:20" x14ac:dyDescent="0.25">
      <c r="A298" t="str">
        <f>"3039425"</f>
        <v>3039425</v>
      </c>
      <c r="B298" t="s">
        <v>695</v>
      </c>
      <c r="C298" t="str">
        <f t="shared" si="13"/>
        <v>82514422</v>
      </c>
      <c r="D298" t="s">
        <v>692</v>
      </c>
      <c r="F298" t="s">
        <v>693</v>
      </c>
      <c r="I298" t="s">
        <v>184</v>
      </c>
      <c r="J298" t="s">
        <v>30</v>
      </c>
      <c r="K298" t="s">
        <v>694</v>
      </c>
      <c r="M298" t="s">
        <v>32</v>
      </c>
      <c r="N298" t="str">
        <f t="shared" si="14"/>
        <v>2/1/2006 12:00:00 AM</v>
      </c>
      <c r="O298" t="s">
        <v>692</v>
      </c>
    </row>
    <row r="299" spans="1:20" x14ac:dyDescent="0.25">
      <c r="A299" t="str">
        <f>"3039428"</f>
        <v>3039428</v>
      </c>
      <c r="B299" t="s">
        <v>696</v>
      </c>
      <c r="C299" t="str">
        <f t="shared" si="13"/>
        <v>82514422</v>
      </c>
      <c r="D299" t="s">
        <v>692</v>
      </c>
      <c r="F299" t="s">
        <v>693</v>
      </c>
      <c r="I299" t="s">
        <v>184</v>
      </c>
      <c r="J299" t="s">
        <v>30</v>
      </c>
      <c r="K299" t="s">
        <v>694</v>
      </c>
      <c r="M299" t="s">
        <v>32</v>
      </c>
      <c r="N299" t="str">
        <f t="shared" si="14"/>
        <v>2/1/2006 12:00:00 AM</v>
      </c>
      <c r="O299" t="s">
        <v>692</v>
      </c>
    </row>
    <row r="300" spans="1:20" x14ac:dyDescent="0.25">
      <c r="A300" t="str">
        <f>"3039412"</f>
        <v>3039412</v>
      </c>
      <c r="B300" t="s">
        <v>697</v>
      </c>
      <c r="C300" t="str">
        <f t="shared" si="13"/>
        <v>82514422</v>
      </c>
      <c r="D300" t="s">
        <v>692</v>
      </c>
      <c r="F300" t="s">
        <v>693</v>
      </c>
      <c r="I300" t="s">
        <v>184</v>
      </c>
      <c r="J300" t="s">
        <v>30</v>
      </c>
      <c r="K300" t="s">
        <v>694</v>
      </c>
      <c r="M300" t="s">
        <v>32</v>
      </c>
      <c r="N300" t="str">
        <f t="shared" si="14"/>
        <v>2/1/2006 12:00:00 AM</v>
      </c>
      <c r="O300" t="s">
        <v>692</v>
      </c>
    </row>
    <row r="301" spans="1:20" x14ac:dyDescent="0.25">
      <c r="A301" t="str">
        <f>"3039443"</f>
        <v>3039443</v>
      </c>
      <c r="B301" t="s">
        <v>698</v>
      </c>
      <c r="C301" t="str">
        <f t="shared" si="13"/>
        <v>82514422</v>
      </c>
      <c r="D301" t="s">
        <v>692</v>
      </c>
      <c r="F301" t="s">
        <v>693</v>
      </c>
      <c r="I301" t="s">
        <v>184</v>
      </c>
      <c r="J301" t="s">
        <v>30</v>
      </c>
      <c r="K301" t="s">
        <v>694</v>
      </c>
      <c r="M301" t="s">
        <v>32</v>
      </c>
      <c r="N301" t="str">
        <f t="shared" si="14"/>
        <v>2/1/2006 12:00:00 AM</v>
      </c>
      <c r="O301" t="s">
        <v>692</v>
      </c>
    </row>
    <row r="302" spans="1:20" x14ac:dyDescent="0.25">
      <c r="A302" t="str">
        <f>"3037353"</f>
        <v>3037353</v>
      </c>
      <c r="B302" t="s">
        <v>699</v>
      </c>
      <c r="C302" t="str">
        <f t="shared" si="13"/>
        <v>82514422</v>
      </c>
      <c r="D302" t="s">
        <v>692</v>
      </c>
      <c r="F302" t="s">
        <v>693</v>
      </c>
      <c r="I302" t="s">
        <v>184</v>
      </c>
      <c r="J302" t="s">
        <v>30</v>
      </c>
      <c r="K302" t="s">
        <v>694</v>
      </c>
      <c r="M302" t="s">
        <v>32</v>
      </c>
      <c r="N302" t="str">
        <f t="shared" si="14"/>
        <v>2/1/2006 12:00:00 AM</v>
      </c>
      <c r="O302" t="s">
        <v>692</v>
      </c>
    </row>
    <row r="303" spans="1:20" x14ac:dyDescent="0.25">
      <c r="A303" t="str">
        <f>"3037379"</f>
        <v>3037379</v>
      </c>
      <c r="B303" t="s">
        <v>700</v>
      </c>
      <c r="C303" t="str">
        <f>"37777000"</f>
        <v>37777000</v>
      </c>
      <c r="D303" t="s">
        <v>701</v>
      </c>
      <c r="F303" t="s">
        <v>702</v>
      </c>
      <c r="I303" t="s">
        <v>184</v>
      </c>
      <c r="J303" t="s">
        <v>30</v>
      </c>
      <c r="K303" t="s">
        <v>185</v>
      </c>
      <c r="M303" t="s">
        <v>32</v>
      </c>
      <c r="N303" t="str">
        <f>"10/27/2003 12:00:00 AM"</f>
        <v>10/27/2003 12:00:00 AM</v>
      </c>
      <c r="O303" t="s">
        <v>701</v>
      </c>
    </row>
    <row r="304" spans="1:20" x14ac:dyDescent="0.25">
      <c r="A304" t="str">
        <f>"3039405"</f>
        <v>3039405</v>
      </c>
      <c r="B304" t="s">
        <v>703</v>
      </c>
      <c r="C304" t="str">
        <f>"37777000"</f>
        <v>37777000</v>
      </c>
      <c r="D304" t="s">
        <v>701</v>
      </c>
      <c r="F304" t="s">
        <v>702</v>
      </c>
      <c r="I304" t="s">
        <v>184</v>
      </c>
      <c r="J304" t="s">
        <v>30</v>
      </c>
      <c r="K304" t="s">
        <v>185</v>
      </c>
      <c r="M304" t="s">
        <v>32</v>
      </c>
      <c r="N304" t="str">
        <f>"10/27/2003 12:00:00 AM"</f>
        <v>10/27/2003 12:00:00 AM</v>
      </c>
      <c r="O304" t="s">
        <v>701</v>
      </c>
    </row>
    <row r="305" spans="1:20" x14ac:dyDescent="0.25">
      <c r="A305" t="str">
        <f>"3039297"</f>
        <v>3039297</v>
      </c>
      <c r="B305" t="s">
        <v>704</v>
      </c>
      <c r="C305" t="str">
        <f t="shared" ref="C305:C311" si="15">"58160000"</f>
        <v>58160000</v>
      </c>
      <c r="D305" t="s">
        <v>705</v>
      </c>
      <c r="F305" t="s">
        <v>500</v>
      </c>
      <c r="I305" t="s">
        <v>184</v>
      </c>
      <c r="J305" t="s">
        <v>30</v>
      </c>
      <c r="K305" t="s">
        <v>185</v>
      </c>
      <c r="M305" t="s">
        <v>32</v>
      </c>
      <c r="N305" t="str">
        <f t="shared" ref="N305:N311" si="16">"1/15/2009 12:00:00 AM"</f>
        <v>1/15/2009 12:00:00 AM</v>
      </c>
      <c r="O305" t="s">
        <v>705</v>
      </c>
    </row>
    <row r="306" spans="1:20" x14ac:dyDescent="0.25">
      <c r="A306" t="str">
        <f>"3040993"</f>
        <v>3040993</v>
      </c>
      <c r="B306" t="s">
        <v>706</v>
      </c>
      <c r="C306" t="str">
        <f t="shared" si="15"/>
        <v>58160000</v>
      </c>
      <c r="D306" t="s">
        <v>705</v>
      </c>
      <c r="F306" t="s">
        <v>500</v>
      </c>
      <c r="I306" t="s">
        <v>184</v>
      </c>
      <c r="J306" t="s">
        <v>30</v>
      </c>
      <c r="K306" t="s">
        <v>185</v>
      </c>
      <c r="M306" t="s">
        <v>32</v>
      </c>
      <c r="N306" t="str">
        <f t="shared" si="16"/>
        <v>1/15/2009 12:00:00 AM</v>
      </c>
      <c r="O306" t="s">
        <v>705</v>
      </c>
    </row>
    <row r="307" spans="1:20" x14ac:dyDescent="0.25">
      <c r="A307" t="str">
        <f>"3047324"</f>
        <v>3047324</v>
      </c>
      <c r="B307" t="s">
        <v>707</v>
      </c>
      <c r="C307" t="str">
        <f t="shared" si="15"/>
        <v>58160000</v>
      </c>
      <c r="D307" t="s">
        <v>705</v>
      </c>
      <c r="F307" t="s">
        <v>500</v>
      </c>
      <c r="I307" t="s">
        <v>184</v>
      </c>
      <c r="J307" t="s">
        <v>30</v>
      </c>
      <c r="K307" t="s">
        <v>185</v>
      </c>
      <c r="M307" t="s">
        <v>32</v>
      </c>
      <c r="N307" t="str">
        <f t="shared" si="16"/>
        <v>1/15/2009 12:00:00 AM</v>
      </c>
      <c r="O307" t="s">
        <v>705</v>
      </c>
    </row>
    <row r="308" spans="1:20" x14ac:dyDescent="0.25">
      <c r="A308" t="str">
        <f>"3047273"</f>
        <v>3047273</v>
      </c>
      <c r="B308" t="s">
        <v>708</v>
      </c>
      <c r="C308" t="str">
        <f t="shared" si="15"/>
        <v>58160000</v>
      </c>
      <c r="D308" t="s">
        <v>705</v>
      </c>
      <c r="F308" t="s">
        <v>500</v>
      </c>
      <c r="I308" t="s">
        <v>184</v>
      </c>
      <c r="J308" t="s">
        <v>30</v>
      </c>
      <c r="K308" t="s">
        <v>185</v>
      </c>
      <c r="M308" t="s">
        <v>32</v>
      </c>
      <c r="N308" t="str">
        <f t="shared" si="16"/>
        <v>1/15/2009 12:00:00 AM</v>
      </c>
      <c r="O308" t="s">
        <v>705</v>
      </c>
    </row>
    <row r="309" spans="1:20" x14ac:dyDescent="0.25">
      <c r="A309" t="str">
        <f>"3062235"</f>
        <v>3062235</v>
      </c>
      <c r="B309" t="s">
        <v>709</v>
      </c>
      <c r="C309" t="str">
        <f t="shared" si="15"/>
        <v>58160000</v>
      </c>
      <c r="D309" t="s">
        <v>705</v>
      </c>
      <c r="F309" t="s">
        <v>500</v>
      </c>
      <c r="I309" t="s">
        <v>184</v>
      </c>
      <c r="J309" t="s">
        <v>30</v>
      </c>
      <c r="K309" t="s">
        <v>185</v>
      </c>
      <c r="M309" t="s">
        <v>32</v>
      </c>
      <c r="N309" t="str">
        <f t="shared" si="16"/>
        <v>1/15/2009 12:00:00 AM</v>
      </c>
      <c r="O309" t="s">
        <v>705</v>
      </c>
    </row>
    <row r="310" spans="1:20" x14ac:dyDescent="0.25">
      <c r="A310" t="str">
        <f>"3062269"</f>
        <v>3062269</v>
      </c>
      <c r="B310" t="s">
        <v>710</v>
      </c>
      <c r="C310" t="str">
        <f t="shared" si="15"/>
        <v>58160000</v>
      </c>
      <c r="D310" t="s">
        <v>705</v>
      </c>
      <c r="F310" t="s">
        <v>500</v>
      </c>
      <c r="I310" t="s">
        <v>184</v>
      </c>
      <c r="J310" t="s">
        <v>30</v>
      </c>
      <c r="K310" t="s">
        <v>185</v>
      </c>
      <c r="M310" t="s">
        <v>32</v>
      </c>
      <c r="N310" t="str">
        <f t="shared" si="16"/>
        <v>1/15/2009 12:00:00 AM</v>
      </c>
      <c r="O310" t="s">
        <v>705</v>
      </c>
    </row>
    <row r="311" spans="1:20" x14ac:dyDescent="0.25">
      <c r="A311" t="str">
        <f>"3062270"</f>
        <v>3062270</v>
      </c>
      <c r="B311" t="s">
        <v>711</v>
      </c>
      <c r="C311" t="str">
        <f t="shared" si="15"/>
        <v>58160000</v>
      </c>
      <c r="D311" t="s">
        <v>705</v>
      </c>
      <c r="F311" t="s">
        <v>500</v>
      </c>
      <c r="I311" t="s">
        <v>184</v>
      </c>
      <c r="J311" t="s">
        <v>30</v>
      </c>
      <c r="K311" t="s">
        <v>185</v>
      </c>
      <c r="M311" t="s">
        <v>32</v>
      </c>
      <c r="N311" t="str">
        <f t="shared" si="16"/>
        <v>1/15/2009 12:00:00 AM</v>
      </c>
      <c r="O311" t="s">
        <v>705</v>
      </c>
    </row>
    <row r="312" spans="1:20" x14ac:dyDescent="0.25">
      <c r="A312" t="str">
        <f>"3039585"</f>
        <v>3039585</v>
      </c>
      <c r="B312" t="s">
        <v>712</v>
      </c>
      <c r="C312" t="str">
        <f>"82530287"</f>
        <v>82530287</v>
      </c>
      <c r="D312" t="s">
        <v>713</v>
      </c>
      <c r="F312" t="s">
        <v>714</v>
      </c>
      <c r="I312" t="s">
        <v>184</v>
      </c>
      <c r="J312" t="s">
        <v>30</v>
      </c>
      <c r="K312" t="s">
        <v>715</v>
      </c>
      <c r="M312" t="s">
        <v>32</v>
      </c>
      <c r="N312" t="str">
        <f>"12/8/2008 12:00:00 AM"</f>
        <v>12/8/2008 12:00:00 AM</v>
      </c>
      <c r="O312" t="s">
        <v>713</v>
      </c>
    </row>
    <row r="313" spans="1:20" x14ac:dyDescent="0.25">
      <c r="A313" t="str">
        <f>"3039596"</f>
        <v>3039596</v>
      </c>
      <c r="B313" t="s">
        <v>716</v>
      </c>
      <c r="C313" t="str">
        <f>"82518955"</f>
        <v>82518955</v>
      </c>
      <c r="D313" t="s">
        <v>717</v>
      </c>
      <c r="F313" t="s">
        <v>718</v>
      </c>
      <c r="I313" t="s">
        <v>184</v>
      </c>
      <c r="J313" t="s">
        <v>30</v>
      </c>
      <c r="K313" t="s">
        <v>185</v>
      </c>
      <c r="M313" t="s">
        <v>32</v>
      </c>
      <c r="N313" t="str">
        <f>"5/5/2003 12:00:00 AM"</f>
        <v>5/5/2003 12:00:00 AM</v>
      </c>
      <c r="O313" t="s">
        <v>717</v>
      </c>
    </row>
    <row r="314" spans="1:20" x14ac:dyDescent="0.25">
      <c r="A314" t="str">
        <f>"3039653"</f>
        <v>3039653</v>
      </c>
      <c r="B314" t="s">
        <v>719</v>
      </c>
      <c r="C314" t="str">
        <f>"82518715"</f>
        <v>82518715</v>
      </c>
      <c r="D314" t="s">
        <v>720</v>
      </c>
      <c r="F314" t="s">
        <v>721</v>
      </c>
      <c r="I314" t="s">
        <v>184</v>
      </c>
      <c r="J314" t="s">
        <v>30</v>
      </c>
      <c r="K314" t="s">
        <v>185</v>
      </c>
      <c r="M314" t="s">
        <v>32</v>
      </c>
      <c r="N314" t="str">
        <f>"6/12/2002 12:00:00 AM"</f>
        <v>6/12/2002 12:00:00 AM</v>
      </c>
      <c r="O314" t="s">
        <v>720</v>
      </c>
    </row>
    <row r="315" spans="1:20" x14ac:dyDescent="0.25">
      <c r="A315" t="str">
        <f>"3039409"</f>
        <v>3039409</v>
      </c>
      <c r="B315" t="s">
        <v>722</v>
      </c>
      <c r="C315" t="str">
        <f>"11878850"</f>
        <v>11878850</v>
      </c>
      <c r="D315" t="s">
        <v>723</v>
      </c>
      <c r="F315" t="s">
        <v>724</v>
      </c>
      <c r="I315" t="s">
        <v>184</v>
      </c>
      <c r="J315" t="s">
        <v>30</v>
      </c>
      <c r="K315" t="s">
        <v>185</v>
      </c>
      <c r="M315" t="s">
        <v>32</v>
      </c>
      <c r="N315" t="str">
        <f>"3/11/2002 12:00:00 AM"</f>
        <v>3/11/2002 12:00:00 AM</v>
      </c>
      <c r="O315" t="s">
        <v>723</v>
      </c>
    </row>
    <row r="316" spans="1:20" x14ac:dyDescent="0.25">
      <c r="A316" t="str">
        <f>"3039422"</f>
        <v>3039422</v>
      </c>
      <c r="B316" t="s">
        <v>725</v>
      </c>
      <c r="C316" t="str">
        <f>"11878850"</f>
        <v>11878850</v>
      </c>
      <c r="D316" t="s">
        <v>723</v>
      </c>
      <c r="F316" t="s">
        <v>724</v>
      </c>
      <c r="I316" t="s">
        <v>184</v>
      </c>
      <c r="J316" t="s">
        <v>30</v>
      </c>
      <c r="K316" t="s">
        <v>185</v>
      </c>
      <c r="M316" t="s">
        <v>32</v>
      </c>
      <c r="N316" t="str">
        <f>"3/11/2002 12:00:00 AM"</f>
        <v>3/11/2002 12:00:00 AM</v>
      </c>
      <c r="O316" t="s">
        <v>723</v>
      </c>
    </row>
    <row r="317" spans="1:20" x14ac:dyDescent="0.25">
      <c r="A317" t="str">
        <f>"3037376"</f>
        <v>3037376</v>
      </c>
      <c r="B317" t="s">
        <v>726</v>
      </c>
      <c r="C317" t="str">
        <f>"82521034"</f>
        <v>82521034</v>
      </c>
      <c r="D317" t="s">
        <v>727</v>
      </c>
      <c r="F317" t="s">
        <v>724</v>
      </c>
      <c r="I317" t="s">
        <v>184</v>
      </c>
      <c r="J317" t="s">
        <v>30</v>
      </c>
      <c r="K317" t="s">
        <v>728</v>
      </c>
      <c r="M317" t="s">
        <v>32</v>
      </c>
      <c r="N317" t="str">
        <f>"1/28/2009 12:00:00 AM"</f>
        <v>1/28/2009 12:00:00 AM</v>
      </c>
      <c r="O317" t="s">
        <v>727</v>
      </c>
      <c r="T317" t="s">
        <v>727</v>
      </c>
    </row>
    <row r="318" spans="1:20" x14ac:dyDescent="0.25">
      <c r="A318" t="str">
        <f>"3037304"</f>
        <v>3037304</v>
      </c>
      <c r="B318" t="s">
        <v>729</v>
      </c>
      <c r="C318" t="str">
        <f>"82521034"</f>
        <v>82521034</v>
      </c>
      <c r="D318" t="s">
        <v>727</v>
      </c>
      <c r="F318" t="s">
        <v>724</v>
      </c>
      <c r="I318" t="s">
        <v>184</v>
      </c>
      <c r="J318" t="s">
        <v>30</v>
      </c>
      <c r="K318" t="s">
        <v>728</v>
      </c>
      <c r="M318" t="s">
        <v>32</v>
      </c>
      <c r="N318" t="str">
        <f>"1/28/2009 12:00:00 AM"</f>
        <v>1/28/2009 12:00:00 AM</v>
      </c>
      <c r="O318" t="s">
        <v>727</v>
      </c>
      <c r="T318" t="s">
        <v>727</v>
      </c>
    </row>
    <row r="319" spans="1:20" x14ac:dyDescent="0.25">
      <c r="A319" t="str">
        <f>"3037286"</f>
        <v>3037286</v>
      </c>
      <c r="B319" t="s">
        <v>730</v>
      </c>
      <c r="C319" t="str">
        <f>"35476000"</f>
        <v>35476000</v>
      </c>
      <c r="D319" t="s">
        <v>731</v>
      </c>
      <c r="E319" t="s">
        <v>732</v>
      </c>
      <c r="F319" t="s">
        <v>733</v>
      </c>
      <c r="I319" t="s">
        <v>184</v>
      </c>
      <c r="J319" t="s">
        <v>30</v>
      </c>
      <c r="K319" t="s">
        <v>734</v>
      </c>
      <c r="M319" t="s">
        <v>32</v>
      </c>
      <c r="N319" t="str">
        <f>"2/3/2006 12:00:00 AM"</f>
        <v>2/3/2006 12:00:00 AM</v>
      </c>
      <c r="O319" t="s">
        <v>731</v>
      </c>
      <c r="T319" t="s">
        <v>732</v>
      </c>
    </row>
    <row r="320" spans="1:20" x14ac:dyDescent="0.25">
      <c r="A320" t="str">
        <f>"3037218"</f>
        <v>3037218</v>
      </c>
      <c r="B320" t="s">
        <v>735</v>
      </c>
      <c r="C320" t="str">
        <f>"35476000"</f>
        <v>35476000</v>
      </c>
      <c r="D320" t="s">
        <v>731</v>
      </c>
      <c r="E320" t="s">
        <v>732</v>
      </c>
      <c r="F320" t="s">
        <v>733</v>
      </c>
      <c r="I320" t="s">
        <v>184</v>
      </c>
      <c r="J320" t="s">
        <v>30</v>
      </c>
      <c r="K320" t="s">
        <v>734</v>
      </c>
      <c r="M320" t="s">
        <v>32</v>
      </c>
      <c r="N320" t="str">
        <f>"2/3/2006 12:00:00 AM"</f>
        <v>2/3/2006 12:00:00 AM</v>
      </c>
      <c r="O320" t="s">
        <v>731</v>
      </c>
      <c r="T320" t="s">
        <v>732</v>
      </c>
    </row>
    <row r="321" spans="1:20" x14ac:dyDescent="0.25">
      <c r="A321" t="str">
        <f>"3037171"</f>
        <v>3037171</v>
      </c>
      <c r="B321" t="s">
        <v>736</v>
      </c>
      <c r="C321" t="str">
        <f>"35476000"</f>
        <v>35476000</v>
      </c>
      <c r="D321" t="s">
        <v>731</v>
      </c>
      <c r="E321" t="s">
        <v>732</v>
      </c>
      <c r="F321" t="s">
        <v>733</v>
      </c>
      <c r="I321" t="s">
        <v>184</v>
      </c>
      <c r="J321" t="s">
        <v>30</v>
      </c>
      <c r="K321" t="s">
        <v>734</v>
      </c>
      <c r="M321" t="s">
        <v>32</v>
      </c>
      <c r="N321" t="str">
        <f>"2/3/2006 12:00:00 AM"</f>
        <v>2/3/2006 12:00:00 AM</v>
      </c>
      <c r="O321" t="s">
        <v>731</v>
      </c>
      <c r="T321" t="s">
        <v>732</v>
      </c>
    </row>
    <row r="322" spans="1:20" x14ac:dyDescent="0.25">
      <c r="A322" t="str">
        <f>"3037199"</f>
        <v>3037199</v>
      </c>
      <c r="B322" t="s">
        <v>737</v>
      </c>
      <c r="C322" t="str">
        <f>"35476000"</f>
        <v>35476000</v>
      </c>
      <c r="D322" t="s">
        <v>731</v>
      </c>
      <c r="E322" t="s">
        <v>732</v>
      </c>
      <c r="F322" t="s">
        <v>733</v>
      </c>
      <c r="I322" t="s">
        <v>184</v>
      </c>
      <c r="J322" t="s">
        <v>30</v>
      </c>
      <c r="K322" t="s">
        <v>734</v>
      </c>
      <c r="M322" t="s">
        <v>32</v>
      </c>
      <c r="N322" t="str">
        <f>"2/3/2006 12:00:00 AM"</f>
        <v>2/3/2006 12:00:00 AM</v>
      </c>
      <c r="O322" t="s">
        <v>731</v>
      </c>
      <c r="T322" t="s">
        <v>732</v>
      </c>
    </row>
    <row r="323" spans="1:20" x14ac:dyDescent="0.25">
      <c r="A323" t="str">
        <f>"3077729"</f>
        <v>3077729</v>
      </c>
      <c r="B323" t="s">
        <v>738</v>
      </c>
      <c r="C323" t="str">
        <f>"35476000"</f>
        <v>35476000</v>
      </c>
      <c r="D323" t="s">
        <v>731</v>
      </c>
      <c r="E323" t="s">
        <v>732</v>
      </c>
      <c r="F323" t="s">
        <v>733</v>
      </c>
      <c r="I323" t="s">
        <v>184</v>
      </c>
      <c r="J323" t="s">
        <v>30</v>
      </c>
      <c r="K323" t="s">
        <v>734</v>
      </c>
      <c r="M323" t="s">
        <v>32</v>
      </c>
      <c r="N323" t="str">
        <f>"2/3/2006 12:00:00 AM"</f>
        <v>2/3/2006 12:00:00 AM</v>
      </c>
      <c r="O323" t="s">
        <v>731</v>
      </c>
      <c r="T323" t="s">
        <v>732</v>
      </c>
    </row>
    <row r="324" spans="1:20" x14ac:dyDescent="0.25">
      <c r="A324" t="str">
        <f>"3037197"</f>
        <v>3037197</v>
      </c>
      <c r="B324" t="s">
        <v>739</v>
      </c>
      <c r="C324" t="str">
        <f>"82518455"</f>
        <v>82518455</v>
      </c>
      <c r="D324" t="s">
        <v>740</v>
      </c>
      <c r="E324" t="s">
        <v>741</v>
      </c>
      <c r="F324" t="s">
        <v>742</v>
      </c>
      <c r="I324" t="s">
        <v>184</v>
      </c>
      <c r="J324" t="s">
        <v>30</v>
      </c>
      <c r="K324" t="s">
        <v>743</v>
      </c>
      <c r="M324" t="s">
        <v>32</v>
      </c>
      <c r="N324" t="str">
        <f>"2/1/2010 12:00:00 AM"</f>
        <v>2/1/2010 12:00:00 AM</v>
      </c>
      <c r="O324" t="s">
        <v>740</v>
      </c>
      <c r="T324" t="s">
        <v>741</v>
      </c>
    </row>
    <row r="325" spans="1:20" x14ac:dyDescent="0.25">
      <c r="A325" t="str">
        <f>"3037276"</f>
        <v>3037276</v>
      </c>
      <c r="B325" t="s">
        <v>744</v>
      </c>
      <c r="C325" t="str">
        <f>"82518455"</f>
        <v>82518455</v>
      </c>
      <c r="D325" t="s">
        <v>740</v>
      </c>
      <c r="E325" t="s">
        <v>741</v>
      </c>
      <c r="F325" t="s">
        <v>742</v>
      </c>
      <c r="I325" t="s">
        <v>184</v>
      </c>
      <c r="J325" t="s">
        <v>30</v>
      </c>
      <c r="K325" t="s">
        <v>743</v>
      </c>
      <c r="M325" t="s">
        <v>32</v>
      </c>
      <c r="N325" t="str">
        <f>"2/1/2010 12:00:00 AM"</f>
        <v>2/1/2010 12:00:00 AM</v>
      </c>
      <c r="O325" t="s">
        <v>740</v>
      </c>
      <c r="T325" t="s">
        <v>741</v>
      </c>
    </row>
    <row r="326" spans="1:20" x14ac:dyDescent="0.25">
      <c r="A326" t="str">
        <f>"3037324"</f>
        <v>3037324</v>
      </c>
      <c r="B326" t="s">
        <v>745</v>
      </c>
      <c r="C326" t="str">
        <f>"82518455"</f>
        <v>82518455</v>
      </c>
      <c r="D326" t="s">
        <v>740</v>
      </c>
      <c r="E326" t="s">
        <v>741</v>
      </c>
      <c r="F326" t="s">
        <v>742</v>
      </c>
      <c r="I326" t="s">
        <v>184</v>
      </c>
      <c r="J326" t="s">
        <v>30</v>
      </c>
      <c r="K326" t="s">
        <v>743</v>
      </c>
      <c r="M326" t="s">
        <v>32</v>
      </c>
      <c r="N326" t="str">
        <f>"2/1/2010 12:00:00 AM"</f>
        <v>2/1/2010 12:00:00 AM</v>
      </c>
      <c r="O326" t="s">
        <v>740</v>
      </c>
      <c r="T326" t="s">
        <v>741</v>
      </c>
    </row>
    <row r="327" spans="1:20" x14ac:dyDescent="0.25">
      <c r="A327" t="str">
        <f>"3041914"</f>
        <v>3041914</v>
      </c>
      <c r="B327" t="s">
        <v>746</v>
      </c>
      <c r="C327" t="str">
        <f>"65013000"</f>
        <v>65013000</v>
      </c>
      <c r="D327" t="s">
        <v>747</v>
      </c>
      <c r="F327" t="str">
        <f>"C/O ANNIE S HEPLER"</f>
        <v>C/O ANNIE S HEPLER</v>
      </c>
      <c r="G327" t="s">
        <v>733</v>
      </c>
      <c r="I327" t="s">
        <v>184</v>
      </c>
      <c r="J327" t="s">
        <v>30</v>
      </c>
      <c r="K327" t="s">
        <v>185</v>
      </c>
      <c r="M327" t="s">
        <v>32</v>
      </c>
      <c r="N327" t="str">
        <f>"5/3/2004 12:00:00 AM"</f>
        <v>5/3/2004 12:00:00 AM</v>
      </c>
      <c r="O327" t="s">
        <v>747</v>
      </c>
    </row>
    <row r="328" spans="1:20" x14ac:dyDescent="0.25">
      <c r="A328" t="str">
        <f>"3037282"</f>
        <v>3037282</v>
      </c>
      <c r="B328" t="s">
        <v>748</v>
      </c>
      <c r="C328" t="str">
        <f>"13312000"</f>
        <v>13312000</v>
      </c>
      <c r="D328" t="s">
        <v>749</v>
      </c>
      <c r="F328" t="s">
        <v>750</v>
      </c>
      <c r="I328" t="s">
        <v>184</v>
      </c>
      <c r="J328" t="s">
        <v>30</v>
      </c>
      <c r="K328" t="s">
        <v>185</v>
      </c>
      <c r="M328" t="s">
        <v>32</v>
      </c>
      <c r="N328" t="str">
        <f>"5/11/1998 12:00:00 AM"</f>
        <v>5/11/1998 12:00:00 AM</v>
      </c>
      <c r="O328" t="s">
        <v>749</v>
      </c>
    </row>
    <row r="329" spans="1:20" x14ac:dyDescent="0.25">
      <c r="A329" t="str">
        <f>"3037183"</f>
        <v>3037183</v>
      </c>
      <c r="B329" t="s">
        <v>751</v>
      </c>
      <c r="C329" t="str">
        <f>"82518475"</f>
        <v>82518475</v>
      </c>
      <c r="D329" t="s">
        <v>752</v>
      </c>
      <c r="F329" t="s">
        <v>753</v>
      </c>
      <c r="I329" t="s">
        <v>184</v>
      </c>
      <c r="J329" t="s">
        <v>30</v>
      </c>
      <c r="K329" t="s">
        <v>754</v>
      </c>
      <c r="M329" t="s">
        <v>32</v>
      </c>
      <c r="N329" t="str">
        <f>"2/18/2005 12:00:00 AM"</f>
        <v>2/18/2005 12:00:00 AM</v>
      </c>
      <c r="O329" t="s">
        <v>752</v>
      </c>
    </row>
    <row r="330" spans="1:20" x14ac:dyDescent="0.25">
      <c r="A330" t="str">
        <f>"3037365"</f>
        <v>3037365</v>
      </c>
      <c r="B330" t="s">
        <v>755</v>
      </c>
      <c r="C330" t="str">
        <f>"82518475"</f>
        <v>82518475</v>
      </c>
      <c r="D330" t="s">
        <v>752</v>
      </c>
      <c r="F330" t="s">
        <v>753</v>
      </c>
      <c r="I330" t="s">
        <v>184</v>
      </c>
      <c r="J330" t="s">
        <v>30</v>
      </c>
      <c r="K330" t="s">
        <v>754</v>
      </c>
      <c r="M330" t="s">
        <v>32</v>
      </c>
      <c r="N330" t="str">
        <f>"2/18/2005 12:00:00 AM"</f>
        <v>2/18/2005 12:00:00 AM</v>
      </c>
      <c r="O330" t="s">
        <v>752</v>
      </c>
    </row>
    <row r="331" spans="1:20" x14ac:dyDescent="0.25">
      <c r="A331" t="str">
        <f>"3039684"</f>
        <v>3039684</v>
      </c>
      <c r="B331" t="s">
        <v>756</v>
      </c>
      <c r="C331" t="str">
        <f>"82518475"</f>
        <v>82518475</v>
      </c>
      <c r="D331" t="s">
        <v>752</v>
      </c>
      <c r="F331" t="s">
        <v>753</v>
      </c>
      <c r="I331" t="s">
        <v>184</v>
      </c>
      <c r="J331" t="s">
        <v>30</v>
      </c>
      <c r="K331" t="s">
        <v>754</v>
      </c>
      <c r="M331" t="s">
        <v>32</v>
      </c>
      <c r="N331" t="str">
        <f>"2/18/2005 12:00:00 AM"</f>
        <v>2/18/2005 12:00:00 AM</v>
      </c>
      <c r="O331" t="s">
        <v>752</v>
      </c>
    </row>
    <row r="332" spans="1:20" x14ac:dyDescent="0.25">
      <c r="A332" t="str">
        <f>"3039284"</f>
        <v>3039284</v>
      </c>
      <c r="B332" t="s">
        <v>757</v>
      </c>
      <c r="C332" t="str">
        <f>"82518916"</f>
        <v>82518916</v>
      </c>
      <c r="D332" t="s">
        <v>758</v>
      </c>
      <c r="F332" t="str">
        <f>"C/O JERRY HAUSER"</f>
        <v>C/O JERRY HAUSER</v>
      </c>
      <c r="G332" t="s">
        <v>759</v>
      </c>
      <c r="I332" t="s">
        <v>184</v>
      </c>
      <c r="J332" t="s">
        <v>30</v>
      </c>
      <c r="K332" t="s">
        <v>760</v>
      </c>
      <c r="M332" t="s">
        <v>32</v>
      </c>
      <c r="N332" t="str">
        <f>"6/16/2005 12:00:00 AM"</f>
        <v>6/16/2005 12:00:00 AM</v>
      </c>
      <c r="O332" t="s">
        <v>758</v>
      </c>
    </row>
    <row r="333" spans="1:20" x14ac:dyDescent="0.25">
      <c r="A333" t="str">
        <f>"3037361"</f>
        <v>3037361</v>
      </c>
      <c r="B333" t="s">
        <v>761</v>
      </c>
      <c r="C333" t="str">
        <f>"82529675"</f>
        <v>82529675</v>
      </c>
      <c r="D333" t="s">
        <v>762</v>
      </c>
      <c r="F333" t="s">
        <v>763</v>
      </c>
      <c r="I333" t="s">
        <v>184</v>
      </c>
      <c r="J333" t="s">
        <v>30</v>
      </c>
      <c r="K333" t="s">
        <v>185</v>
      </c>
      <c r="M333" t="s">
        <v>32</v>
      </c>
      <c r="N333" t="str">
        <f>"6/3/2008 12:00:00 AM"</f>
        <v>6/3/2008 12:00:00 AM</v>
      </c>
      <c r="O333" t="s">
        <v>762</v>
      </c>
    </row>
    <row r="334" spans="1:20" x14ac:dyDescent="0.25">
      <c r="A334" t="str">
        <f>"3037272"</f>
        <v>3037272</v>
      </c>
      <c r="B334" t="s">
        <v>764</v>
      </c>
      <c r="C334" t="str">
        <f>"82529675"</f>
        <v>82529675</v>
      </c>
      <c r="D334" t="s">
        <v>762</v>
      </c>
      <c r="F334" t="s">
        <v>763</v>
      </c>
      <c r="I334" t="s">
        <v>184</v>
      </c>
      <c r="J334" t="s">
        <v>30</v>
      </c>
      <c r="K334" t="s">
        <v>185</v>
      </c>
      <c r="M334" t="s">
        <v>32</v>
      </c>
      <c r="N334" t="str">
        <f>"6/3/2008 12:00:00 AM"</f>
        <v>6/3/2008 12:00:00 AM</v>
      </c>
      <c r="O334" t="s">
        <v>762</v>
      </c>
    </row>
    <row r="335" spans="1:20" x14ac:dyDescent="0.25">
      <c r="A335" t="str">
        <f>"3037250"</f>
        <v>3037250</v>
      </c>
      <c r="B335" t="s">
        <v>765</v>
      </c>
      <c r="C335" t="str">
        <f>"30896000"</f>
        <v>30896000</v>
      </c>
      <c r="D335" t="s">
        <v>766</v>
      </c>
      <c r="F335" t="s">
        <v>767</v>
      </c>
      <c r="I335" t="s">
        <v>184</v>
      </c>
      <c r="J335" t="s">
        <v>30</v>
      </c>
      <c r="K335" t="s">
        <v>185</v>
      </c>
      <c r="M335" t="s">
        <v>32</v>
      </c>
      <c r="N335" t="str">
        <f>"10/29/1998 12:00:00 AM"</f>
        <v>10/29/1998 12:00:00 AM</v>
      </c>
      <c r="O335" t="s">
        <v>766</v>
      </c>
    </row>
    <row r="336" spans="1:20" x14ac:dyDescent="0.25">
      <c r="A336" t="str">
        <f>"3037219"</f>
        <v>3037219</v>
      </c>
      <c r="B336" t="s">
        <v>768</v>
      </c>
      <c r="C336" t="str">
        <f>"30896000"</f>
        <v>30896000</v>
      </c>
      <c r="D336" t="s">
        <v>766</v>
      </c>
      <c r="F336" t="s">
        <v>767</v>
      </c>
      <c r="I336" t="s">
        <v>184</v>
      </c>
      <c r="J336" t="s">
        <v>30</v>
      </c>
      <c r="K336" t="s">
        <v>185</v>
      </c>
      <c r="M336" t="s">
        <v>32</v>
      </c>
      <c r="N336" t="str">
        <f>"10/29/1998 12:00:00 AM"</f>
        <v>10/29/1998 12:00:00 AM</v>
      </c>
      <c r="O336" t="s">
        <v>766</v>
      </c>
    </row>
    <row r="337" spans="1:20" x14ac:dyDescent="0.25">
      <c r="A337" t="str">
        <f>"3037238"</f>
        <v>3037238</v>
      </c>
      <c r="B337" t="s">
        <v>769</v>
      </c>
      <c r="C337" t="str">
        <f>"82517909"</f>
        <v>82517909</v>
      </c>
      <c r="D337" t="s">
        <v>770</v>
      </c>
      <c r="F337" t="s">
        <v>771</v>
      </c>
      <c r="I337" t="s">
        <v>471</v>
      </c>
      <c r="J337" t="s">
        <v>30</v>
      </c>
      <c r="K337" t="s">
        <v>772</v>
      </c>
      <c r="M337" t="s">
        <v>32</v>
      </c>
      <c r="N337" t="str">
        <f>"6/13/2003 12:00:00 AM"</f>
        <v>6/13/2003 12:00:00 AM</v>
      </c>
      <c r="O337" t="s">
        <v>770</v>
      </c>
    </row>
    <row r="338" spans="1:20" x14ac:dyDescent="0.25">
      <c r="A338" t="str">
        <f>"3037412"</f>
        <v>3037412</v>
      </c>
      <c r="B338" t="s">
        <v>773</v>
      </c>
      <c r="C338" t="str">
        <f>"82517909"</f>
        <v>82517909</v>
      </c>
      <c r="D338" t="s">
        <v>770</v>
      </c>
      <c r="F338" t="s">
        <v>771</v>
      </c>
      <c r="I338" t="s">
        <v>471</v>
      </c>
      <c r="J338" t="s">
        <v>30</v>
      </c>
      <c r="K338" t="s">
        <v>772</v>
      </c>
      <c r="M338" t="s">
        <v>32</v>
      </c>
      <c r="N338" t="str">
        <f>"6/13/2003 12:00:00 AM"</f>
        <v>6/13/2003 12:00:00 AM</v>
      </c>
      <c r="O338" t="s">
        <v>770</v>
      </c>
    </row>
    <row r="339" spans="1:20" x14ac:dyDescent="0.25">
      <c r="A339" t="str">
        <f>"3037254"</f>
        <v>3037254</v>
      </c>
      <c r="B339" t="s">
        <v>774</v>
      </c>
      <c r="C339" t="str">
        <f>"13252000"</f>
        <v>13252000</v>
      </c>
      <c r="D339" t="s">
        <v>775</v>
      </c>
      <c r="E339" t="s">
        <v>776</v>
      </c>
      <c r="F339" t="s">
        <v>777</v>
      </c>
      <c r="I339" t="s">
        <v>184</v>
      </c>
      <c r="J339" t="s">
        <v>30</v>
      </c>
      <c r="K339" t="s">
        <v>778</v>
      </c>
      <c r="M339" t="s">
        <v>32</v>
      </c>
      <c r="N339" t="str">
        <f>"1/30/2006 12:00:00 AM"</f>
        <v>1/30/2006 12:00:00 AM</v>
      </c>
      <c r="O339" t="s">
        <v>775</v>
      </c>
      <c r="T339" t="s">
        <v>776</v>
      </c>
    </row>
    <row r="340" spans="1:20" x14ac:dyDescent="0.25">
      <c r="A340" t="str">
        <f>"3037184"</f>
        <v>3037184</v>
      </c>
      <c r="B340" t="s">
        <v>779</v>
      </c>
      <c r="C340" t="str">
        <f>"32201000"</f>
        <v>32201000</v>
      </c>
      <c r="D340" t="s">
        <v>780</v>
      </c>
      <c r="E340" t="s">
        <v>781</v>
      </c>
      <c r="F340" t="s">
        <v>782</v>
      </c>
      <c r="I340" t="s">
        <v>184</v>
      </c>
      <c r="J340" t="s">
        <v>30</v>
      </c>
      <c r="K340" t="s">
        <v>783</v>
      </c>
      <c r="M340" t="s">
        <v>32</v>
      </c>
      <c r="N340" t="str">
        <f>"3/21/2005 12:00:00 AM"</f>
        <v>3/21/2005 12:00:00 AM</v>
      </c>
      <c r="O340" t="s">
        <v>780</v>
      </c>
      <c r="T340" t="s">
        <v>781</v>
      </c>
    </row>
    <row r="341" spans="1:20" x14ac:dyDescent="0.25">
      <c r="A341" t="str">
        <f>"3037358"</f>
        <v>3037358</v>
      </c>
      <c r="B341" t="s">
        <v>784</v>
      </c>
      <c r="C341" t="str">
        <f>"47248000"</f>
        <v>47248000</v>
      </c>
      <c r="D341" t="s">
        <v>785</v>
      </c>
      <c r="F341" t="s">
        <v>786</v>
      </c>
      <c r="I341" t="s">
        <v>184</v>
      </c>
      <c r="J341" t="s">
        <v>30</v>
      </c>
      <c r="K341" t="s">
        <v>185</v>
      </c>
      <c r="M341" t="s">
        <v>32</v>
      </c>
      <c r="N341" t="str">
        <f>"12/19/2003 12:00:00 AM"</f>
        <v>12/19/2003 12:00:00 AM</v>
      </c>
      <c r="O341" t="s">
        <v>785</v>
      </c>
    </row>
    <row r="342" spans="1:20" x14ac:dyDescent="0.25">
      <c r="A342" t="str">
        <f>"3037398"</f>
        <v>3037398</v>
      </c>
      <c r="B342" t="s">
        <v>787</v>
      </c>
      <c r="C342" t="str">
        <f t="shared" ref="C342:C349" si="17">"772000"</f>
        <v>772000</v>
      </c>
      <c r="D342" t="s">
        <v>788</v>
      </c>
      <c r="E342" t="s">
        <v>789</v>
      </c>
      <c r="F342" t="s">
        <v>790</v>
      </c>
      <c r="I342" t="s">
        <v>184</v>
      </c>
      <c r="J342" t="s">
        <v>30</v>
      </c>
      <c r="K342" t="s">
        <v>185</v>
      </c>
      <c r="M342" t="s">
        <v>32</v>
      </c>
      <c r="N342" t="str">
        <f t="shared" ref="N342:N349" si="18">"5/9/2003 12:00:00 AM"</f>
        <v>5/9/2003 12:00:00 AM</v>
      </c>
      <c r="O342" t="s">
        <v>788</v>
      </c>
      <c r="T342" t="s">
        <v>789</v>
      </c>
    </row>
    <row r="343" spans="1:20" x14ac:dyDescent="0.25">
      <c r="A343" t="str">
        <f>"3037176"</f>
        <v>3037176</v>
      </c>
      <c r="B343" t="s">
        <v>791</v>
      </c>
      <c r="C343" t="str">
        <f t="shared" si="17"/>
        <v>772000</v>
      </c>
      <c r="D343" t="s">
        <v>788</v>
      </c>
      <c r="E343" t="s">
        <v>789</v>
      </c>
      <c r="F343" t="s">
        <v>790</v>
      </c>
      <c r="I343" t="s">
        <v>184</v>
      </c>
      <c r="J343" t="s">
        <v>30</v>
      </c>
      <c r="K343" t="s">
        <v>185</v>
      </c>
      <c r="M343" t="s">
        <v>32</v>
      </c>
      <c r="N343" t="str">
        <f t="shared" si="18"/>
        <v>5/9/2003 12:00:00 AM</v>
      </c>
      <c r="O343" t="s">
        <v>788</v>
      </c>
      <c r="T343" t="s">
        <v>789</v>
      </c>
    </row>
    <row r="344" spans="1:20" x14ac:dyDescent="0.25">
      <c r="A344" t="str">
        <f>"3037175"</f>
        <v>3037175</v>
      </c>
      <c r="B344" t="s">
        <v>792</v>
      </c>
      <c r="C344" t="str">
        <f t="shared" si="17"/>
        <v>772000</v>
      </c>
      <c r="D344" t="s">
        <v>788</v>
      </c>
      <c r="E344" t="s">
        <v>789</v>
      </c>
      <c r="F344" t="s">
        <v>790</v>
      </c>
      <c r="I344" t="s">
        <v>184</v>
      </c>
      <c r="J344" t="s">
        <v>30</v>
      </c>
      <c r="K344" t="s">
        <v>185</v>
      </c>
      <c r="M344" t="s">
        <v>32</v>
      </c>
      <c r="N344" t="str">
        <f t="shared" si="18"/>
        <v>5/9/2003 12:00:00 AM</v>
      </c>
      <c r="O344" t="s">
        <v>788</v>
      </c>
      <c r="T344" t="s">
        <v>789</v>
      </c>
    </row>
    <row r="345" spans="1:20" x14ac:dyDescent="0.25">
      <c r="A345" t="str">
        <f>"3037206"</f>
        <v>3037206</v>
      </c>
      <c r="B345" t="s">
        <v>793</v>
      </c>
      <c r="C345" t="str">
        <f t="shared" si="17"/>
        <v>772000</v>
      </c>
      <c r="D345" t="s">
        <v>788</v>
      </c>
      <c r="E345" t="s">
        <v>789</v>
      </c>
      <c r="F345" t="s">
        <v>790</v>
      </c>
      <c r="I345" t="s">
        <v>184</v>
      </c>
      <c r="J345" t="s">
        <v>30</v>
      </c>
      <c r="K345" t="s">
        <v>185</v>
      </c>
      <c r="M345" t="s">
        <v>32</v>
      </c>
      <c r="N345" t="str">
        <f t="shared" si="18"/>
        <v>5/9/2003 12:00:00 AM</v>
      </c>
      <c r="O345" t="s">
        <v>788</v>
      </c>
      <c r="T345" t="s">
        <v>789</v>
      </c>
    </row>
    <row r="346" spans="1:20" x14ac:dyDescent="0.25">
      <c r="A346" t="str">
        <f>"3037233"</f>
        <v>3037233</v>
      </c>
      <c r="B346" t="s">
        <v>794</v>
      </c>
      <c r="C346" t="str">
        <f t="shared" si="17"/>
        <v>772000</v>
      </c>
      <c r="D346" t="s">
        <v>788</v>
      </c>
      <c r="E346" t="s">
        <v>789</v>
      </c>
      <c r="F346" t="s">
        <v>790</v>
      </c>
      <c r="I346" t="s">
        <v>184</v>
      </c>
      <c r="J346" t="s">
        <v>30</v>
      </c>
      <c r="K346" t="s">
        <v>185</v>
      </c>
      <c r="M346" t="s">
        <v>32</v>
      </c>
      <c r="N346" t="str">
        <f t="shared" si="18"/>
        <v>5/9/2003 12:00:00 AM</v>
      </c>
      <c r="O346" t="s">
        <v>788</v>
      </c>
      <c r="T346" t="s">
        <v>789</v>
      </c>
    </row>
    <row r="347" spans="1:20" x14ac:dyDescent="0.25">
      <c r="A347" t="str">
        <f>"3037207"</f>
        <v>3037207</v>
      </c>
      <c r="B347" t="s">
        <v>795</v>
      </c>
      <c r="C347" t="str">
        <f t="shared" si="17"/>
        <v>772000</v>
      </c>
      <c r="D347" t="s">
        <v>788</v>
      </c>
      <c r="E347" t="s">
        <v>789</v>
      </c>
      <c r="F347" t="s">
        <v>790</v>
      </c>
      <c r="I347" t="s">
        <v>184</v>
      </c>
      <c r="J347" t="s">
        <v>30</v>
      </c>
      <c r="K347" t="s">
        <v>185</v>
      </c>
      <c r="M347" t="s">
        <v>32</v>
      </c>
      <c r="N347" t="str">
        <f t="shared" si="18"/>
        <v>5/9/2003 12:00:00 AM</v>
      </c>
      <c r="O347" t="s">
        <v>788</v>
      </c>
      <c r="T347" t="s">
        <v>789</v>
      </c>
    </row>
    <row r="348" spans="1:20" x14ac:dyDescent="0.25">
      <c r="A348" t="str">
        <f>"3037210"</f>
        <v>3037210</v>
      </c>
      <c r="B348" t="s">
        <v>796</v>
      </c>
      <c r="C348" t="str">
        <f t="shared" si="17"/>
        <v>772000</v>
      </c>
      <c r="D348" t="s">
        <v>788</v>
      </c>
      <c r="E348" t="s">
        <v>789</v>
      </c>
      <c r="F348" t="s">
        <v>790</v>
      </c>
      <c r="I348" t="s">
        <v>184</v>
      </c>
      <c r="J348" t="s">
        <v>30</v>
      </c>
      <c r="K348" t="s">
        <v>185</v>
      </c>
      <c r="M348" t="s">
        <v>32</v>
      </c>
      <c r="N348" t="str">
        <f t="shared" si="18"/>
        <v>5/9/2003 12:00:00 AM</v>
      </c>
      <c r="O348" t="s">
        <v>788</v>
      </c>
      <c r="T348" t="s">
        <v>789</v>
      </c>
    </row>
    <row r="349" spans="1:20" x14ac:dyDescent="0.25">
      <c r="A349" t="str">
        <f>"3037297"</f>
        <v>3037297</v>
      </c>
      <c r="B349" t="s">
        <v>797</v>
      </c>
      <c r="C349" t="str">
        <f t="shared" si="17"/>
        <v>772000</v>
      </c>
      <c r="D349" t="s">
        <v>788</v>
      </c>
      <c r="E349" t="s">
        <v>789</v>
      </c>
      <c r="F349" t="s">
        <v>790</v>
      </c>
      <c r="I349" t="s">
        <v>184</v>
      </c>
      <c r="J349" t="s">
        <v>30</v>
      </c>
      <c r="K349" t="s">
        <v>185</v>
      </c>
      <c r="M349" t="s">
        <v>32</v>
      </c>
      <c r="N349" t="str">
        <f t="shared" si="18"/>
        <v>5/9/2003 12:00:00 AM</v>
      </c>
      <c r="O349" t="s">
        <v>788</v>
      </c>
      <c r="T349" t="s">
        <v>789</v>
      </c>
    </row>
    <row r="350" spans="1:20" x14ac:dyDescent="0.25">
      <c r="A350" t="str">
        <f>"3037225"</f>
        <v>3037225</v>
      </c>
      <c r="B350" t="s">
        <v>798</v>
      </c>
      <c r="C350" t="str">
        <f>"13802000"</f>
        <v>13802000</v>
      </c>
      <c r="D350" t="s">
        <v>799</v>
      </c>
      <c r="E350" t="s">
        <v>800</v>
      </c>
      <c r="F350" t="s">
        <v>801</v>
      </c>
      <c r="I350" t="s">
        <v>184</v>
      </c>
      <c r="J350" t="s">
        <v>30</v>
      </c>
      <c r="K350" t="s">
        <v>185</v>
      </c>
      <c r="M350" t="s">
        <v>32</v>
      </c>
      <c r="N350" t="str">
        <f>"11/9/2010 12:00:00 AM"</f>
        <v>11/9/2010 12:00:00 AM</v>
      </c>
      <c r="O350" t="s">
        <v>799</v>
      </c>
      <c r="T350" t="s">
        <v>800</v>
      </c>
    </row>
    <row r="351" spans="1:20" x14ac:dyDescent="0.25">
      <c r="A351" t="str">
        <f>"3037354"</f>
        <v>3037354</v>
      </c>
      <c r="B351" t="s">
        <v>802</v>
      </c>
      <c r="C351" t="str">
        <f>"13802000"</f>
        <v>13802000</v>
      </c>
      <c r="D351" t="s">
        <v>799</v>
      </c>
      <c r="E351" t="s">
        <v>800</v>
      </c>
      <c r="F351" t="s">
        <v>801</v>
      </c>
      <c r="I351" t="s">
        <v>184</v>
      </c>
      <c r="J351" t="s">
        <v>30</v>
      </c>
      <c r="K351" t="s">
        <v>185</v>
      </c>
      <c r="M351" t="s">
        <v>32</v>
      </c>
      <c r="N351" t="str">
        <f>"11/9/2010 12:00:00 AM"</f>
        <v>11/9/2010 12:00:00 AM</v>
      </c>
      <c r="O351" t="s">
        <v>799</v>
      </c>
      <c r="T351" t="s">
        <v>800</v>
      </c>
    </row>
    <row r="352" spans="1:20" x14ac:dyDescent="0.25">
      <c r="A352" t="str">
        <f>"3037355"</f>
        <v>3037355</v>
      </c>
      <c r="B352" t="s">
        <v>803</v>
      </c>
      <c r="C352" t="str">
        <f>"30589000"</f>
        <v>30589000</v>
      </c>
      <c r="D352" t="s">
        <v>804</v>
      </c>
      <c r="E352" t="s">
        <v>805</v>
      </c>
      <c r="F352" t="s">
        <v>806</v>
      </c>
      <c r="I352" t="s">
        <v>184</v>
      </c>
      <c r="J352" t="s">
        <v>30</v>
      </c>
      <c r="K352" t="s">
        <v>185</v>
      </c>
      <c r="M352" t="s">
        <v>32</v>
      </c>
      <c r="N352" t="str">
        <f>"9/8/2003 12:00:00 AM"</f>
        <v>9/8/2003 12:00:00 AM</v>
      </c>
      <c r="O352" t="s">
        <v>804</v>
      </c>
      <c r="T352" t="s">
        <v>805</v>
      </c>
    </row>
    <row r="353" spans="1:20" x14ac:dyDescent="0.25">
      <c r="A353" t="str">
        <f>"3037209"</f>
        <v>3037209</v>
      </c>
      <c r="B353" t="s">
        <v>807</v>
      </c>
      <c r="C353" t="str">
        <f>"82514680"</f>
        <v>82514680</v>
      </c>
      <c r="D353" t="s">
        <v>808</v>
      </c>
      <c r="F353" t="s">
        <v>809</v>
      </c>
      <c r="I353" t="s">
        <v>184</v>
      </c>
      <c r="J353" t="s">
        <v>30</v>
      </c>
      <c r="K353" t="s">
        <v>185</v>
      </c>
      <c r="M353" t="s">
        <v>32</v>
      </c>
      <c r="N353" t="str">
        <f>"11/5/2001 12:00:00 AM"</f>
        <v>11/5/2001 12:00:00 AM</v>
      </c>
      <c r="O353" t="s">
        <v>808</v>
      </c>
    </row>
    <row r="354" spans="1:20" x14ac:dyDescent="0.25">
      <c r="A354" t="str">
        <f>"3037174"</f>
        <v>3037174</v>
      </c>
      <c r="B354" t="s">
        <v>810</v>
      </c>
      <c r="C354" t="str">
        <f>"82514680"</f>
        <v>82514680</v>
      </c>
      <c r="D354" t="s">
        <v>808</v>
      </c>
      <c r="F354" t="s">
        <v>809</v>
      </c>
      <c r="I354" t="s">
        <v>184</v>
      </c>
      <c r="J354" t="s">
        <v>30</v>
      </c>
      <c r="K354" t="s">
        <v>185</v>
      </c>
      <c r="M354" t="s">
        <v>32</v>
      </c>
      <c r="N354" t="str">
        <f>"11/5/2001 12:00:00 AM"</f>
        <v>11/5/2001 12:00:00 AM</v>
      </c>
      <c r="O354" t="s">
        <v>808</v>
      </c>
    </row>
    <row r="355" spans="1:20" x14ac:dyDescent="0.25">
      <c r="A355" t="str">
        <f>"3037178"</f>
        <v>3037178</v>
      </c>
      <c r="B355" t="s">
        <v>811</v>
      </c>
      <c r="C355" t="str">
        <f>"50964000"</f>
        <v>50964000</v>
      </c>
      <c r="D355" t="s">
        <v>812</v>
      </c>
      <c r="F355" t="s">
        <v>813</v>
      </c>
      <c r="I355" t="s">
        <v>184</v>
      </c>
      <c r="J355" t="s">
        <v>30</v>
      </c>
      <c r="K355" t="s">
        <v>185</v>
      </c>
      <c r="M355" t="s">
        <v>32</v>
      </c>
      <c r="N355" t="str">
        <f>"9/21/2010 12:00:00 AM"</f>
        <v>9/21/2010 12:00:00 AM</v>
      </c>
      <c r="O355" t="s">
        <v>812</v>
      </c>
      <c r="T355" t="s">
        <v>812</v>
      </c>
    </row>
    <row r="356" spans="1:20" x14ac:dyDescent="0.25">
      <c r="A356" t="str">
        <f>"3037222"</f>
        <v>3037222</v>
      </c>
      <c r="B356" t="s">
        <v>814</v>
      </c>
      <c r="C356" t="str">
        <f>"50964000"</f>
        <v>50964000</v>
      </c>
      <c r="D356" t="s">
        <v>812</v>
      </c>
      <c r="F356" t="s">
        <v>813</v>
      </c>
      <c r="I356" t="s">
        <v>184</v>
      </c>
      <c r="J356" t="s">
        <v>30</v>
      </c>
      <c r="K356" t="s">
        <v>185</v>
      </c>
      <c r="M356" t="s">
        <v>32</v>
      </c>
      <c r="N356" t="str">
        <f>"9/21/2010 12:00:00 AM"</f>
        <v>9/21/2010 12:00:00 AM</v>
      </c>
      <c r="O356" t="s">
        <v>812</v>
      </c>
      <c r="T356" t="s">
        <v>812</v>
      </c>
    </row>
    <row r="357" spans="1:20" x14ac:dyDescent="0.25">
      <c r="A357" t="str">
        <f>"3070871"</f>
        <v>3070871</v>
      </c>
      <c r="B357" t="s">
        <v>815</v>
      </c>
      <c r="C357" t="str">
        <f>"10948000"</f>
        <v>10948000</v>
      </c>
      <c r="D357" t="s">
        <v>816</v>
      </c>
      <c r="E357" t="s">
        <v>817</v>
      </c>
      <c r="F357" t="s">
        <v>818</v>
      </c>
      <c r="I357" t="s">
        <v>184</v>
      </c>
      <c r="J357" t="s">
        <v>30</v>
      </c>
      <c r="K357" t="s">
        <v>819</v>
      </c>
      <c r="M357" t="s">
        <v>32</v>
      </c>
      <c r="N357" t="str">
        <f>"2/25/2010 12:00:00 AM"</f>
        <v>2/25/2010 12:00:00 AM</v>
      </c>
      <c r="O357" t="s">
        <v>816</v>
      </c>
      <c r="T357" t="s">
        <v>817</v>
      </c>
    </row>
    <row r="358" spans="1:20" x14ac:dyDescent="0.25">
      <c r="A358" t="str">
        <f>"3037294"</f>
        <v>3037294</v>
      </c>
      <c r="B358" t="s">
        <v>820</v>
      </c>
      <c r="C358" t="str">
        <f>"40090000"</f>
        <v>40090000</v>
      </c>
      <c r="D358" t="s">
        <v>821</v>
      </c>
      <c r="E358" t="s">
        <v>822</v>
      </c>
      <c r="F358" t="s">
        <v>823</v>
      </c>
      <c r="I358" t="s">
        <v>184</v>
      </c>
      <c r="J358" t="s">
        <v>30</v>
      </c>
      <c r="K358" t="s">
        <v>185</v>
      </c>
      <c r="M358" t="s">
        <v>32</v>
      </c>
      <c r="N358" t="str">
        <f>"3/12/2002 12:00:00 AM"</f>
        <v>3/12/2002 12:00:00 AM</v>
      </c>
      <c r="O358" t="s">
        <v>821</v>
      </c>
      <c r="T358" t="s">
        <v>822</v>
      </c>
    </row>
    <row r="359" spans="1:20" x14ac:dyDescent="0.25">
      <c r="A359" t="str">
        <f>"3037328"</f>
        <v>3037328</v>
      </c>
      <c r="B359" t="s">
        <v>824</v>
      </c>
      <c r="C359" t="str">
        <f>"61216000"</f>
        <v>61216000</v>
      </c>
      <c r="D359" t="s">
        <v>825</v>
      </c>
      <c r="E359" t="s">
        <v>826</v>
      </c>
      <c r="F359" t="s">
        <v>827</v>
      </c>
      <c r="I359" t="s">
        <v>184</v>
      </c>
      <c r="J359" t="s">
        <v>30</v>
      </c>
      <c r="K359" t="s">
        <v>185</v>
      </c>
      <c r="M359" t="s">
        <v>32</v>
      </c>
      <c r="N359" t="str">
        <f>"4/13/2004 12:00:00 AM"</f>
        <v>4/13/2004 12:00:00 AM</v>
      </c>
      <c r="O359" t="s">
        <v>825</v>
      </c>
      <c r="T359" t="s">
        <v>826</v>
      </c>
    </row>
    <row r="360" spans="1:20" x14ac:dyDescent="0.25">
      <c r="A360" t="str">
        <f>"3037321"</f>
        <v>3037321</v>
      </c>
      <c r="B360" t="s">
        <v>828</v>
      </c>
      <c r="C360" t="str">
        <f>"47252000"</f>
        <v>47252000</v>
      </c>
      <c r="D360" t="s">
        <v>829</v>
      </c>
      <c r="F360" t="s">
        <v>830</v>
      </c>
      <c r="I360" t="s">
        <v>184</v>
      </c>
      <c r="J360" t="s">
        <v>30</v>
      </c>
      <c r="K360" t="s">
        <v>831</v>
      </c>
      <c r="M360" t="s">
        <v>32</v>
      </c>
      <c r="N360" t="str">
        <f>"2/10/2005 12:00:00 AM"</f>
        <v>2/10/2005 12:00:00 AM</v>
      </c>
      <c r="O360" t="s">
        <v>829</v>
      </c>
    </row>
    <row r="361" spans="1:20" x14ac:dyDescent="0.25">
      <c r="A361" t="str">
        <f>"3037342"</f>
        <v>3037342</v>
      </c>
      <c r="B361" t="s">
        <v>832</v>
      </c>
      <c r="C361" t="str">
        <f>"26160000"</f>
        <v>26160000</v>
      </c>
      <c r="D361" t="s">
        <v>833</v>
      </c>
      <c r="F361" t="s">
        <v>834</v>
      </c>
      <c r="I361" t="s">
        <v>184</v>
      </c>
      <c r="J361" t="s">
        <v>30</v>
      </c>
      <c r="K361" t="s">
        <v>835</v>
      </c>
      <c r="M361" t="s">
        <v>32</v>
      </c>
      <c r="N361" t="str">
        <f>"1/13/2006 12:00:00 AM"</f>
        <v>1/13/2006 12:00:00 AM</v>
      </c>
      <c r="O361" t="s">
        <v>833</v>
      </c>
    </row>
    <row r="362" spans="1:20" x14ac:dyDescent="0.25">
      <c r="A362" t="str">
        <f>"3041080"</f>
        <v>3041080</v>
      </c>
      <c r="B362" t="s">
        <v>836</v>
      </c>
      <c r="C362" t="str">
        <f>"82524432"</f>
        <v>82524432</v>
      </c>
      <c r="D362" t="s">
        <v>837</v>
      </c>
      <c r="E362" t="s">
        <v>838</v>
      </c>
      <c r="F362" t="s">
        <v>839</v>
      </c>
      <c r="I362" t="s">
        <v>184</v>
      </c>
      <c r="J362" t="s">
        <v>30</v>
      </c>
      <c r="K362" t="s">
        <v>840</v>
      </c>
      <c r="M362" t="s">
        <v>32</v>
      </c>
      <c r="N362" t="str">
        <f>"1/22/2010 12:00:00 AM"</f>
        <v>1/22/2010 12:00:00 AM</v>
      </c>
      <c r="O362" t="s">
        <v>837</v>
      </c>
      <c r="T362" t="s">
        <v>838</v>
      </c>
    </row>
    <row r="363" spans="1:20" x14ac:dyDescent="0.25">
      <c r="A363" t="str">
        <f>"3041134"</f>
        <v>3041134</v>
      </c>
      <c r="B363" t="s">
        <v>841</v>
      </c>
      <c r="C363" t="str">
        <f>"82524432"</f>
        <v>82524432</v>
      </c>
      <c r="D363" t="s">
        <v>837</v>
      </c>
      <c r="E363" t="s">
        <v>838</v>
      </c>
      <c r="F363" t="s">
        <v>839</v>
      </c>
      <c r="I363" t="s">
        <v>184</v>
      </c>
      <c r="J363" t="s">
        <v>30</v>
      </c>
      <c r="K363" t="s">
        <v>840</v>
      </c>
      <c r="M363" t="s">
        <v>32</v>
      </c>
      <c r="N363" t="str">
        <f>"1/22/2010 12:00:00 AM"</f>
        <v>1/22/2010 12:00:00 AM</v>
      </c>
      <c r="O363" t="s">
        <v>837</v>
      </c>
      <c r="T363" t="s">
        <v>838</v>
      </c>
    </row>
    <row r="364" spans="1:20" x14ac:dyDescent="0.25">
      <c r="A364" t="str">
        <f>"3057682"</f>
        <v>3057682</v>
      </c>
      <c r="B364" t="s">
        <v>842</v>
      </c>
      <c r="C364" t="str">
        <f>"82524432"</f>
        <v>82524432</v>
      </c>
      <c r="D364" t="s">
        <v>837</v>
      </c>
      <c r="E364" t="s">
        <v>838</v>
      </c>
      <c r="F364" t="s">
        <v>839</v>
      </c>
      <c r="I364" t="s">
        <v>184</v>
      </c>
      <c r="J364" t="s">
        <v>30</v>
      </c>
      <c r="K364" t="s">
        <v>840</v>
      </c>
      <c r="M364" t="s">
        <v>32</v>
      </c>
      <c r="N364" t="str">
        <f>"1/22/2010 12:00:00 AM"</f>
        <v>1/22/2010 12:00:00 AM</v>
      </c>
      <c r="O364" t="s">
        <v>837</v>
      </c>
      <c r="T364" t="s">
        <v>838</v>
      </c>
    </row>
    <row r="365" spans="1:20" x14ac:dyDescent="0.25">
      <c r="A365" t="str">
        <f>"3057695"</f>
        <v>3057695</v>
      </c>
      <c r="B365" t="s">
        <v>843</v>
      </c>
      <c r="C365" t="str">
        <f>"50152000"</f>
        <v>50152000</v>
      </c>
      <c r="D365" t="s">
        <v>844</v>
      </c>
      <c r="E365" t="s">
        <v>845</v>
      </c>
      <c r="F365" t="s">
        <v>846</v>
      </c>
      <c r="I365" t="s">
        <v>184</v>
      </c>
      <c r="J365" t="s">
        <v>30</v>
      </c>
      <c r="K365" t="s">
        <v>185</v>
      </c>
      <c r="M365" t="s">
        <v>32</v>
      </c>
      <c r="N365" t="str">
        <f>"8/4/2005 12:00:00 AM"</f>
        <v>8/4/2005 12:00:00 AM</v>
      </c>
      <c r="O365" t="s">
        <v>844</v>
      </c>
      <c r="T365" t="s">
        <v>845</v>
      </c>
    </row>
    <row r="366" spans="1:20" x14ac:dyDescent="0.25">
      <c r="A366" t="str">
        <f>"3057680"</f>
        <v>3057680</v>
      </c>
      <c r="B366" t="s">
        <v>847</v>
      </c>
      <c r="C366" t="str">
        <f>"59040000"</f>
        <v>59040000</v>
      </c>
      <c r="D366" t="s">
        <v>848</v>
      </c>
      <c r="E366" t="s">
        <v>849</v>
      </c>
      <c r="F366" t="s">
        <v>850</v>
      </c>
      <c r="I366" t="s">
        <v>184</v>
      </c>
      <c r="J366" t="s">
        <v>30</v>
      </c>
      <c r="K366" t="s">
        <v>851</v>
      </c>
      <c r="M366" t="s">
        <v>32</v>
      </c>
      <c r="N366" t="str">
        <f>"1/15/2009 12:00:00 AM"</f>
        <v>1/15/2009 12:00:00 AM</v>
      </c>
      <c r="O366" t="s">
        <v>848</v>
      </c>
      <c r="T366" t="s">
        <v>849</v>
      </c>
    </row>
    <row r="367" spans="1:20" x14ac:dyDescent="0.25">
      <c r="A367" t="str">
        <f>"3061051"</f>
        <v>3061051</v>
      </c>
      <c r="B367" t="s">
        <v>852</v>
      </c>
      <c r="C367" t="str">
        <f>"82520177"</f>
        <v>82520177</v>
      </c>
      <c r="D367" t="s">
        <v>853</v>
      </c>
      <c r="E367" t="s">
        <v>854</v>
      </c>
      <c r="F367" t="s">
        <v>855</v>
      </c>
      <c r="I367" t="s">
        <v>29</v>
      </c>
      <c r="J367" t="s">
        <v>30</v>
      </c>
      <c r="K367" t="s">
        <v>856</v>
      </c>
      <c r="M367" t="s">
        <v>32</v>
      </c>
      <c r="N367" t="str">
        <f>"1/11/2006 12:00:00 AM"</f>
        <v>1/11/2006 12:00:00 AM</v>
      </c>
      <c r="O367" t="s">
        <v>853</v>
      </c>
      <c r="T367" t="s">
        <v>854</v>
      </c>
    </row>
    <row r="368" spans="1:20" x14ac:dyDescent="0.25">
      <c r="A368" t="str">
        <f>"3060749"</f>
        <v>3060749</v>
      </c>
      <c r="B368" t="s">
        <v>857</v>
      </c>
      <c r="C368" t="str">
        <f>"82526680"</f>
        <v>82526680</v>
      </c>
      <c r="D368" t="s">
        <v>858</v>
      </c>
      <c r="E368" t="s">
        <v>859</v>
      </c>
      <c r="F368" t="s">
        <v>860</v>
      </c>
      <c r="I368" t="s">
        <v>184</v>
      </c>
      <c r="J368" t="s">
        <v>30</v>
      </c>
      <c r="K368" t="s">
        <v>185</v>
      </c>
      <c r="M368" t="s">
        <v>32</v>
      </c>
      <c r="N368" t="str">
        <f>"1/11/2007 12:00:00 AM"</f>
        <v>1/11/2007 12:00:00 AM</v>
      </c>
      <c r="O368" t="s">
        <v>858</v>
      </c>
      <c r="T368" t="s">
        <v>859</v>
      </c>
    </row>
    <row r="369" spans="1:20" x14ac:dyDescent="0.25">
      <c r="A369" t="str">
        <f>"3068610"</f>
        <v>3068610</v>
      </c>
      <c r="B369" t="s">
        <v>861</v>
      </c>
      <c r="C369" t="str">
        <f>"1083000"</f>
        <v>1083000</v>
      </c>
      <c r="D369" t="s">
        <v>862</v>
      </c>
      <c r="E369" t="s">
        <v>863</v>
      </c>
      <c r="F369" t="s">
        <v>864</v>
      </c>
      <c r="I369" t="s">
        <v>184</v>
      </c>
      <c r="J369" t="s">
        <v>30</v>
      </c>
      <c r="K369" t="s">
        <v>185</v>
      </c>
      <c r="M369" t="s">
        <v>32</v>
      </c>
      <c r="N369" t="str">
        <f>"10/30/2003 12:00:00 AM"</f>
        <v>10/30/2003 12:00:00 AM</v>
      </c>
      <c r="O369" t="s">
        <v>862</v>
      </c>
      <c r="T369" t="s">
        <v>863</v>
      </c>
    </row>
    <row r="370" spans="1:20" x14ac:dyDescent="0.25">
      <c r="A370" t="str">
        <f>"3049262"</f>
        <v>3049262</v>
      </c>
      <c r="B370" t="s">
        <v>865</v>
      </c>
      <c r="C370" t="str">
        <f>"21260500"</f>
        <v>21260500</v>
      </c>
      <c r="D370" t="s">
        <v>866</v>
      </c>
      <c r="E370" t="s">
        <v>867</v>
      </c>
      <c r="F370" t="s">
        <v>868</v>
      </c>
      <c r="I370" t="s">
        <v>184</v>
      </c>
      <c r="J370" t="s">
        <v>30</v>
      </c>
      <c r="K370" t="s">
        <v>185</v>
      </c>
      <c r="M370" t="s">
        <v>32</v>
      </c>
      <c r="N370" t="str">
        <f>"2/9/2010 12:00:00 AM"</f>
        <v>2/9/2010 12:00:00 AM</v>
      </c>
      <c r="O370" t="s">
        <v>866</v>
      </c>
      <c r="T370" t="s">
        <v>867</v>
      </c>
    </row>
    <row r="371" spans="1:20" x14ac:dyDescent="0.25">
      <c r="A371" t="str">
        <f>"3060787"</f>
        <v>3060787</v>
      </c>
      <c r="B371" t="s">
        <v>869</v>
      </c>
      <c r="C371" t="str">
        <f>"43589600"</f>
        <v>43589600</v>
      </c>
      <c r="D371" t="s">
        <v>870</v>
      </c>
      <c r="E371" t="s">
        <v>871</v>
      </c>
      <c r="F371" t="s">
        <v>872</v>
      </c>
      <c r="I371" t="s">
        <v>184</v>
      </c>
      <c r="J371" t="s">
        <v>30</v>
      </c>
      <c r="K371" t="s">
        <v>185</v>
      </c>
      <c r="M371" t="s">
        <v>32</v>
      </c>
      <c r="N371" t="str">
        <f>"12/13/2004 12:00:00 AM"</f>
        <v>12/13/2004 12:00:00 AM</v>
      </c>
      <c r="O371" t="s">
        <v>870</v>
      </c>
      <c r="T371" t="s">
        <v>871</v>
      </c>
    </row>
    <row r="372" spans="1:20" x14ac:dyDescent="0.25">
      <c r="A372" t="str">
        <f>"3060777"</f>
        <v>3060777</v>
      </c>
      <c r="B372" t="s">
        <v>873</v>
      </c>
      <c r="C372" t="str">
        <f>"8416000"</f>
        <v>8416000</v>
      </c>
      <c r="D372" t="s">
        <v>874</v>
      </c>
      <c r="E372" t="s">
        <v>875</v>
      </c>
      <c r="F372" t="s">
        <v>876</v>
      </c>
      <c r="I372" t="s">
        <v>184</v>
      </c>
      <c r="J372" t="s">
        <v>30</v>
      </c>
      <c r="K372" t="s">
        <v>185</v>
      </c>
      <c r="M372" t="s">
        <v>32</v>
      </c>
      <c r="N372" t="str">
        <f>"6/5/2003 12:00:00 AM"</f>
        <v>6/5/2003 12:00:00 AM</v>
      </c>
      <c r="O372" t="s">
        <v>874</v>
      </c>
      <c r="T372" t="s">
        <v>875</v>
      </c>
    </row>
    <row r="373" spans="1:20" x14ac:dyDescent="0.25">
      <c r="A373" t="str">
        <f>"3060774"</f>
        <v>3060774</v>
      </c>
      <c r="B373" t="s">
        <v>877</v>
      </c>
      <c r="C373" t="str">
        <f>"82520962"</f>
        <v>82520962</v>
      </c>
      <c r="D373" t="s">
        <v>878</v>
      </c>
      <c r="E373" t="s">
        <v>879</v>
      </c>
      <c r="F373" t="s">
        <v>880</v>
      </c>
      <c r="I373" t="s">
        <v>184</v>
      </c>
      <c r="J373" t="s">
        <v>30</v>
      </c>
      <c r="K373" t="s">
        <v>819</v>
      </c>
      <c r="M373" t="s">
        <v>32</v>
      </c>
      <c r="N373" t="str">
        <f>"1/13/2006 12:00:00 AM"</f>
        <v>1/13/2006 12:00:00 AM</v>
      </c>
      <c r="O373" t="s">
        <v>878</v>
      </c>
      <c r="T373" t="s">
        <v>879</v>
      </c>
    </row>
    <row r="374" spans="1:20" x14ac:dyDescent="0.25">
      <c r="A374" t="str">
        <f>"3068609"</f>
        <v>3068609</v>
      </c>
      <c r="B374" t="s">
        <v>881</v>
      </c>
      <c r="C374" t="str">
        <f>"67594500"</f>
        <v>67594500</v>
      </c>
      <c r="D374" t="s">
        <v>882</v>
      </c>
      <c r="F374" t="s">
        <v>883</v>
      </c>
      <c r="I374" t="s">
        <v>184</v>
      </c>
      <c r="J374" t="s">
        <v>30</v>
      </c>
      <c r="K374" t="s">
        <v>819</v>
      </c>
      <c r="M374" t="s">
        <v>32</v>
      </c>
      <c r="N374" t="str">
        <f>"1/23/2006 12:00:00 AM"</f>
        <v>1/23/2006 12:00:00 AM</v>
      </c>
      <c r="O374" t="s">
        <v>882</v>
      </c>
    </row>
    <row r="375" spans="1:20" x14ac:dyDescent="0.25">
      <c r="A375" t="str">
        <f>"3047393"</f>
        <v>3047393</v>
      </c>
      <c r="B375" t="s">
        <v>884</v>
      </c>
      <c r="C375" t="str">
        <f>"67594500"</f>
        <v>67594500</v>
      </c>
      <c r="D375" t="s">
        <v>882</v>
      </c>
      <c r="F375" t="s">
        <v>883</v>
      </c>
      <c r="I375" t="s">
        <v>184</v>
      </c>
      <c r="J375" t="s">
        <v>30</v>
      </c>
      <c r="K375" t="s">
        <v>819</v>
      </c>
      <c r="M375" t="s">
        <v>32</v>
      </c>
      <c r="N375" t="str">
        <f>"1/23/2006 12:00:00 AM"</f>
        <v>1/23/2006 12:00:00 AM</v>
      </c>
      <c r="O375" t="s">
        <v>882</v>
      </c>
    </row>
    <row r="376" spans="1:20" x14ac:dyDescent="0.25">
      <c r="A376" t="str">
        <f>"3047427"</f>
        <v>3047427</v>
      </c>
      <c r="B376" t="s">
        <v>885</v>
      </c>
      <c r="C376" t="str">
        <f>"67594500"</f>
        <v>67594500</v>
      </c>
      <c r="D376" t="s">
        <v>882</v>
      </c>
      <c r="F376" t="s">
        <v>883</v>
      </c>
      <c r="I376" t="s">
        <v>184</v>
      </c>
      <c r="J376" t="s">
        <v>30</v>
      </c>
      <c r="K376" t="s">
        <v>819</v>
      </c>
      <c r="M376" t="s">
        <v>32</v>
      </c>
      <c r="N376" t="str">
        <f>"1/23/2006 12:00:00 AM"</f>
        <v>1/23/2006 12:00:00 AM</v>
      </c>
      <c r="O376" t="s">
        <v>882</v>
      </c>
    </row>
    <row r="377" spans="1:20" x14ac:dyDescent="0.25">
      <c r="A377" t="str">
        <f>"3060794"</f>
        <v>3060794</v>
      </c>
      <c r="B377" t="s">
        <v>886</v>
      </c>
      <c r="C377" t="str">
        <f>"56829000"</f>
        <v>56829000</v>
      </c>
      <c r="D377" t="s">
        <v>887</v>
      </c>
      <c r="F377" t="s">
        <v>888</v>
      </c>
      <c r="I377" t="s">
        <v>184</v>
      </c>
      <c r="J377" t="s">
        <v>30</v>
      </c>
      <c r="K377" t="s">
        <v>185</v>
      </c>
      <c r="M377" t="s">
        <v>32</v>
      </c>
      <c r="N377" t="str">
        <f>"3/13/2002 12:00:00 AM"</f>
        <v>3/13/2002 12:00:00 AM</v>
      </c>
      <c r="O377" t="s">
        <v>887</v>
      </c>
    </row>
    <row r="378" spans="1:20" x14ac:dyDescent="0.25">
      <c r="A378" t="str">
        <f>"3037524"</f>
        <v>3037524</v>
      </c>
      <c r="B378" t="s">
        <v>889</v>
      </c>
      <c r="C378" t="str">
        <f>"70936500"</f>
        <v>70936500</v>
      </c>
      <c r="D378" t="s">
        <v>890</v>
      </c>
      <c r="F378" t="str">
        <f>"C/O ELDEN D STEELMAN"</f>
        <v>C/O ELDEN D STEELMAN</v>
      </c>
      <c r="G378" t="s">
        <v>891</v>
      </c>
      <c r="I378" t="s">
        <v>29</v>
      </c>
      <c r="J378" t="s">
        <v>30</v>
      </c>
      <c r="K378" t="s">
        <v>31</v>
      </c>
      <c r="M378" t="s">
        <v>32</v>
      </c>
      <c r="N378" t="str">
        <f>"5/24/2004 12:00:00 AM"</f>
        <v>5/24/2004 12:00:00 AM</v>
      </c>
      <c r="O378" t="s">
        <v>890</v>
      </c>
    </row>
    <row r="379" spans="1:20" x14ac:dyDescent="0.25">
      <c r="A379" t="str">
        <f>"3048912"</f>
        <v>3048912</v>
      </c>
      <c r="B379" t="s">
        <v>892</v>
      </c>
      <c r="C379" t="str">
        <f>"80612000"</f>
        <v>80612000</v>
      </c>
      <c r="D379" t="s">
        <v>893</v>
      </c>
      <c r="E379" t="s">
        <v>894</v>
      </c>
      <c r="F379" t="s">
        <v>895</v>
      </c>
      <c r="I379" t="s">
        <v>29</v>
      </c>
      <c r="J379" t="s">
        <v>30</v>
      </c>
      <c r="K379" t="s">
        <v>31</v>
      </c>
      <c r="M379" t="s">
        <v>32</v>
      </c>
      <c r="N379" t="str">
        <f>"7/16/2004 12:00:00 AM"</f>
        <v>7/16/2004 12:00:00 AM</v>
      </c>
      <c r="O379" t="s">
        <v>893</v>
      </c>
      <c r="T379" t="s">
        <v>894</v>
      </c>
    </row>
    <row r="380" spans="1:20" x14ac:dyDescent="0.25">
      <c r="A380" t="str">
        <f>"3062939"</f>
        <v>3062939</v>
      </c>
      <c r="B380" t="s">
        <v>896</v>
      </c>
      <c r="C380" t="str">
        <f>"80612000"</f>
        <v>80612000</v>
      </c>
      <c r="D380" t="s">
        <v>893</v>
      </c>
      <c r="E380" t="s">
        <v>894</v>
      </c>
      <c r="F380" t="s">
        <v>895</v>
      </c>
      <c r="I380" t="s">
        <v>29</v>
      </c>
      <c r="J380" t="s">
        <v>30</v>
      </c>
      <c r="K380" t="s">
        <v>31</v>
      </c>
      <c r="M380" t="s">
        <v>32</v>
      </c>
      <c r="N380" t="str">
        <f>"7/16/2004 12:00:00 AM"</f>
        <v>7/16/2004 12:00:00 AM</v>
      </c>
      <c r="O380" t="s">
        <v>893</v>
      </c>
      <c r="T380" t="s">
        <v>894</v>
      </c>
    </row>
    <row r="381" spans="1:20" x14ac:dyDescent="0.25">
      <c r="A381" t="str">
        <f>"3037712"</f>
        <v>3037712</v>
      </c>
      <c r="B381" t="s">
        <v>897</v>
      </c>
      <c r="C381" t="str">
        <f>"41820000"</f>
        <v>41820000</v>
      </c>
      <c r="D381" t="s">
        <v>898</v>
      </c>
      <c r="E381" t="s">
        <v>899</v>
      </c>
      <c r="F381" t="s">
        <v>900</v>
      </c>
      <c r="I381" t="s">
        <v>29</v>
      </c>
      <c r="J381" t="s">
        <v>30</v>
      </c>
      <c r="K381" t="s">
        <v>901</v>
      </c>
      <c r="M381" t="s">
        <v>32</v>
      </c>
      <c r="N381" t="str">
        <f>"2/10/2005 12:00:00 AM"</f>
        <v>2/10/2005 12:00:00 AM</v>
      </c>
      <c r="O381" t="s">
        <v>898</v>
      </c>
      <c r="T381" t="s">
        <v>899</v>
      </c>
    </row>
    <row r="382" spans="1:20" x14ac:dyDescent="0.25">
      <c r="A382" t="str">
        <f>"3037462"</f>
        <v>3037462</v>
      </c>
      <c r="B382" t="s">
        <v>902</v>
      </c>
      <c r="C382" t="str">
        <f>"39418000"</f>
        <v>39418000</v>
      </c>
      <c r="D382" t="s">
        <v>903</v>
      </c>
      <c r="F382" t="s">
        <v>904</v>
      </c>
      <c r="I382" t="s">
        <v>29</v>
      </c>
      <c r="J382" t="s">
        <v>30</v>
      </c>
      <c r="K382" t="s">
        <v>905</v>
      </c>
      <c r="M382" t="s">
        <v>32</v>
      </c>
      <c r="N382" t="str">
        <f>"11/20/2007 12:00:00 AM"</f>
        <v>11/20/2007 12:00:00 AM</v>
      </c>
      <c r="O382" t="s">
        <v>903</v>
      </c>
    </row>
    <row r="383" spans="1:20" x14ac:dyDescent="0.25">
      <c r="A383" t="str">
        <f>"3037476"</f>
        <v>3037476</v>
      </c>
      <c r="B383" t="s">
        <v>906</v>
      </c>
      <c r="C383" t="str">
        <f>"1973940"</f>
        <v>1973940</v>
      </c>
      <c r="D383" t="s">
        <v>907</v>
      </c>
      <c r="F383" t="s">
        <v>908</v>
      </c>
      <c r="I383" t="s">
        <v>29</v>
      </c>
      <c r="J383" t="s">
        <v>30</v>
      </c>
      <c r="K383" t="s">
        <v>31</v>
      </c>
      <c r="M383" t="s">
        <v>32</v>
      </c>
      <c r="N383" t="str">
        <f>"3/1/2002 12:00:00 AM"</f>
        <v>3/1/2002 12:00:00 AM</v>
      </c>
      <c r="O383" t="s">
        <v>907</v>
      </c>
    </row>
    <row r="384" spans="1:20" x14ac:dyDescent="0.25">
      <c r="A384" t="str">
        <f>"3037646"</f>
        <v>3037646</v>
      </c>
      <c r="B384" t="s">
        <v>909</v>
      </c>
      <c r="C384" t="str">
        <f>"1973940"</f>
        <v>1973940</v>
      </c>
      <c r="D384" t="s">
        <v>907</v>
      </c>
      <c r="F384" t="s">
        <v>908</v>
      </c>
      <c r="I384" t="s">
        <v>29</v>
      </c>
      <c r="J384" t="s">
        <v>30</v>
      </c>
      <c r="K384" t="s">
        <v>31</v>
      </c>
      <c r="M384" t="s">
        <v>32</v>
      </c>
      <c r="N384" t="str">
        <f>"3/1/2002 12:00:00 AM"</f>
        <v>3/1/2002 12:00:00 AM</v>
      </c>
      <c r="O384" t="s">
        <v>907</v>
      </c>
    </row>
    <row r="385" spans="1:20" x14ac:dyDescent="0.25">
      <c r="A385" t="str">
        <f>"3037720"</f>
        <v>3037720</v>
      </c>
      <c r="B385" t="s">
        <v>910</v>
      </c>
      <c r="C385" t="str">
        <f>"1798800"</f>
        <v>1798800</v>
      </c>
      <c r="D385" t="s">
        <v>911</v>
      </c>
      <c r="F385" t="s">
        <v>912</v>
      </c>
      <c r="I385" t="s">
        <v>29</v>
      </c>
      <c r="J385" t="s">
        <v>30</v>
      </c>
      <c r="K385" t="s">
        <v>31</v>
      </c>
      <c r="M385" t="s">
        <v>32</v>
      </c>
      <c r="N385" t="str">
        <f>"3/1/2002 12:00:00 AM"</f>
        <v>3/1/2002 12:00:00 AM</v>
      </c>
      <c r="O385" t="s">
        <v>911</v>
      </c>
    </row>
    <row r="386" spans="1:20" x14ac:dyDescent="0.25">
      <c r="A386" t="str">
        <f>"3037688"</f>
        <v>3037688</v>
      </c>
      <c r="B386" t="s">
        <v>913</v>
      </c>
      <c r="C386" t="str">
        <f>"82513079"</f>
        <v>82513079</v>
      </c>
      <c r="D386" t="s">
        <v>914</v>
      </c>
      <c r="E386" t="s">
        <v>915</v>
      </c>
      <c r="F386" t="s">
        <v>916</v>
      </c>
      <c r="I386" t="s">
        <v>29</v>
      </c>
      <c r="J386" t="s">
        <v>30</v>
      </c>
      <c r="K386" t="s">
        <v>917</v>
      </c>
      <c r="M386" t="s">
        <v>32</v>
      </c>
      <c r="N386" t="str">
        <f>"1/31/2006 12:00:00 AM"</f>
        <v>1/31/2006 12:00:00 AM</v>
      </c>
      <c r="O386" t="s">
        <v>914</v>
      </c>
      <c r="T386" t="s">
        <v>915</v>
      </c>
    </row>
    <row r="387" spans="1:20" x14ac:dyDescent="0.25">
      <c r="A387" t="str">
        <f>"3037448"</f>
        <v>3037448</v>
      </c>
      <c r="B387" t="s">
        <v>918</v>
      </c>
      <c r="C387" t="str">
        <f>"82513079"</f>
        <v>82513079</v>
      </c>
      <c r="D387" t="s">
        <v>914</v>
      </c>
      <c r="E387" t="s">
        <v>915</v>
      </c>
      <c r="F387" t="s">
        <v>916</v>
      </c>
      <c r="I387" t="s">
        <v>29</v>
      </c>
      <c r="J387" t="s">
        <v>30</v>
      </c>
      <c r="K387" t="s">
        <v>917</v>
      </c>
      <c r="M387" t="s">
        <v>32</v>
      </c>
      <c r="N387" t="str">
        <f>"1/31/2006 12:00:00 AM"</f>
        <v>1/31/2006 12:00:00 AM</v>
      </c>
      <c r="O387" t="s">
        <v>914</v>
      </c>
      <c r="T387" t="s">
        <v>915</v>
      </c>
    </row>
    <row r="388" spans="1:20" x14ac:dyDescent="0.25">
      <c r="A388" t="str">
        <f>"3037647"</f>
        <v>3037647</v>
      </c>
      <c r="B388" t="s">
        <v>919</v>
      </c>
      <c r="C388" t="str">
        <f>"82521080"</f>
        <v>82521080</v>
      </c>
      <c r="D388" t="s">
        <v>920</v>
      </c>
      <c r="E388" t="s">
        <v>921</v>
      </c>
      <c r="F388" t="s">
        <v>922</v>
      </c>
      <c r="I388" t="s">
        <v>29</v>
      </c>
      <c r="J388" t="s">
        <v>30</v>
      </c>
      <c r="K388" t="s">
        <v>31</v>
      </c>
      <c r="M388" t="s">
        <v>32</v>
      </c>
      <c r="N388" t="str">
        <f>"6/27/2003 12:00:00 AM"</f>
        <v>6/27/2003 12:00:00 AM</v>
      </c>
      <c r="O388" t="s">
        <v>920</v>
      </c>
      <c r="T388" t="s">
        <v>921</v>
      </c>
    </row>
    <row r="389" spans="1:20" x14ac:dyDescent="0.25">
      <c r="A389" t="str">
        <f>"3040160"</f>
        <v>3040160</v>
      </c>
      <c r="B389" t="s">
        <v>923</v>
      </c>
      <c r="C389" t="str">
        <f>"62500710"</f>
        <v>62500710</v>
      </c>
      <c r="D389" t="s">
        <v>924</v>
      </c>
      <c r="E389" t="s">
        <v>925</v>
      </c>
      <c r="F389" t="s">
        <v>926</v>
      </c>
      <c r="I389" t="s">
        <v>29</v>
      </c>
      <c r="J389" t="s">
        <v>30</v>
      </c>
      <c r="K389" t="s">
        <v>31</v>
      </c>
      <c r="M389" t="s">
        <v>32</v>
      </c>
      <c r="N389" t="str">
        <f>"3/27/2008 12:00:00 AM"</f>
        <v>3/27/2008 12:00:00 AM</v>
      </c>
      <c r="O389" t="s">
        <v>924</v>
      </c>
      <c r="T389" t="s">
        <v>925</v>
      </c>
    </row>
    <row r="390" spans="1:20" x14ac:dyDescent="0.25">
      <c r="A390" t="str">
        <f>"3037574"</f>
        <v>3037574</v>
      </c>
      <c r="B390" t="s">
        <v>927</v>
      </c>
      <c r="C390" t="str">
        <f>"79920000"</f>
        <v>79920000</v>
      </c>
      <c r="D390" t="s">
        <v>928</v>
      </c>
      <c r="E390" t="s">
        <v>929</v>
      </c>
      <c r="F390" t="s">
        <v>930</v>
      </c>
      <c r="I390" t="s">
        <v>29</v>
      </c>
      <c r="J390" t="s">
        <v>30</v>
      </c>
      <c r="K390" t="s">
        <v>931</v>
      </c>
      <c r="M390" t="s">
        <v>32</v>
      </c>
      <c r="N390" t="str">
        <f>"2/21/2005 12:00:00 AM"</f>
        <v>2/21/2005 12:00:00 AM</v>
      </c>
      <c r="O390" t="s">
        <v>928</v>
      </c>
      <c r="T390" t="s">
        <v>929</v>
      </c>
    </row>
    <row r="391" spans="1:20" x14ac:dyDescent="0.25">
      <c r="A391" t="str">
        <f>"3037478"</f>
        <v>3037478</v>
      </c>
      <c r="B391" t="s">
        <v>932</v>
      </c>
      <c r="C391" t="str">
        <f>"79920000"</f>
        <v>79920000</v>
      </c>
      <c r="D391" t="s">
        <v>928</v>
      </c>
      <c r="E391" t="s">
        <v>929</v>
      </c>
      <c r="F391" t="s">
        <v>930</v>
      </c>
      <c r="I391" t="s">
        <v>29</v>
      </c>
      <c r="J391" t="s">
        <v>30</v>
      </c>
      <c r="K391" t="s">
        <v>931</v>
      </c>
      <c r="M391" t="s">
        <v>32</v>
      </c>
      <c r="N391" t="str">
        <f>"2/21/2005 12:00:00 AM"</f>
        <v>2/21/2005 12:00:00 AM</v>
      </c>
      <c r="O391" t="s">
        <v>928</v>
      </c>
      <c r="T391" t="s">
        <v>929</v>
      </c>
    </row>
    <row r="392" spans="1:20" x14ac:dyDescent="0.25">
      <c r="A392" t="str">
        <f>"3037652"</f>
        <v>3037652</v>
      </c>
      <c r="B392" t="s">
        <v>933</v>
      </c>
      <c r="C392" t="str">
        <f>"51725500"</f>
        <v>51725500</v>
      </c>
      <c r="D392" t="s">
        <v>934</v>
      </c>
      <c r="E392" t="s">
        <v>935</v>
      </c>
      <c r="F392" t="s">
        <v>936</v>
      </c>
      <c r="I392" t="s">
        <v>29</v>
      </c>
      <c r="J392" t="s">
        <v>30</v>
      </c>
      <c r="K392" t="s">
        <v>31</v>
      </c>
      <c r="M392" t="s">
        <v>32</v>
      </c>
      <c r="N392" t="str">
        <f>"3/4/2004 12:00:00 AM"</f>
        <v>3/4/2004 12:00:00 AM</v>
      </c>
      <c r="O392" t="s">
        <v>934</v>
      </c>
      <c r="T392" t="s">
        <v>935</v>
      </c>
    </row>
    <row r="393" spans="1:20" x14ac:dyDescent="0.25">
      <c r="A393" t="str">
        <f>"3037450"</f>
        <v>3037450</v>
      </c>
      <c r="B393" t="s">
        <v>937</v>
      </c>
      <c r="C393" t="str">
        <f>"1604000"</f>
        <v>1604000</v>
      </c>
      <c r="D393" t="s">
        <v>938</v>
      </c>
      <c r="E393" t="s">
        <v>939</v>
      </c>
      <c r="F393" t="s">
        <v>940</v>
      </c>
      <c r="I393" t="s">
        <v>29</v>
      </c>
      <c r="J393" t="s">
        <v>30</v>
      </c>
      <c r="K393" t="s">
        <v>31</v>
      </c>
      <c r="M393" t="s">
        <v>32</v>
      </c>
      <c r="N393" t="str">
        <f>"5/12/2003 12:00:00 AM"</f>
        <v>5/12/2003 12:00:00 AM</v>
      </c>
      <c r="O393" t="s">
        <v>938</v>
      </c>
      <c r="T393" t="s">
        <v>939</v>
      </c>
    </row>
    <row r="394" spans="1:20" x14ac:dyDescent="0.25">
      <c r="A394" t="str">
        <f>"3065666"</f>
        <v>3065666</v>
      </c>
      <c r="B394" t="s">
        <v>941</v>
      </c>
      <c r="C394" t="str">
        <f>"1604000"</f>
        <v>1604000</v>
      </c>
      <c r="D394" t="s">
        <v>938</v>
      </c>
      <c r="E394" t="s">
        <v>939</v>
      </c>
      <c r="F394" t="s">
        <v>940</v>
      </c>
      <c r="I394" t="s">
        <v>29</v>
      </c>
      <c r="J394" t="s">
        <v>30</v>
      </c>
      <c r="K394" t="s">
        <v>31</v>
      </c>
      <c r="M394" t="s">
        <v>32</v>
      </c>
      <c r="N394" t="str">
        <f>"5/12/2003 12:00:00 AM"</f>
        <v>5/12/2003 12:00:00 AM</v>
      </c>
      <c r="O394" t="s">
        <v>938</v>
      </c>
      <c r="T394" t="s">
        <v>939</v>
      </c>
    </row>
    <row r="395" spans="1:20" x14ac:dyDescent="0.25">
      <c r="A395" t="str">
        <f>"3040046"</f>
        <v>3040046</v>
      </c>
      <c r="B395" t="s">
        <v>942</v>
      </c>
      <c r="C395" t="str">
        <f>"65631000"</f>
        <v>65631000</v>
      </c>
      <c r="D395" t="s">
        <v>943</v>
      </c>
      <c r="E395" t="s">
        <v>944</v>
      </c>
      <c r="F395" t="s">
        <v>945</v>
      </c>
      <c r="I395" t="s">
        <v>29</v>
      </c>
      <c r="J395" t="s">
        <v>30</v>
      </c>
      <c r="K395" t="s">
        <v>31</v>
      </c>
      <c r="M395" t="s">
        <v>32</v>
      </c>
      <c r="N395" t="str">
        <f>"3/13/2002 12:00:00 AM"</f>
        <v>3/13/2002 12:00:00 AM</v>
      </c>
      <c r="O395" t="s">
        <v>943</v>
      </c>
      <c r="T395" t="s">
        <v>944</v>
      </c>
    </row>
    <row r="396" spans="1:20" x14ac:dyDescent="0.25">
      <c r="A396" t="str">
        <f>"3040194"</f>
        <v>3040194</v>
      </c>
      <c r="B396" t="s">
        <v>946</v>
      </c>
      <c r="C396" t="str">
        <f>"6680000"</f>
        <v>6680000</v>
      </c>
      <c r="D396" t="s">
        <v>947</v>
      </c>
      <c r="E396" t="s">
        <v>948</v>
      </c>
      <c r="F396" t="s">
        <v>949</v>
      </c>
      <c r="I396" t="s">
        <v>29</v>
      </c>
      <c r="J396" t="s">
        <v>30</v>
      </c>
      <c r="K396" t="s">
        <v>31</v>
      </c>
      <c r="M396" t="s">
        <v>32</v>
      </c>
      <c r="N396" t="str">
        <f>"8/10/2005 12:00:00 AM"</f>
        <v>8/10/2005 12:00:00 AM</v>
      </c>
      <c r="O396" t="s">
        <v>947</v>
      </c>
      <c r="T396" t="s">
        <v>948</v>
      </c>
    </row>
    <row r="397" spans="1:20" x14ac:dyDescent="0.25">
      <c r="A397" t="str">
        <f>"3039350"</f>
        <v>3039350</v>
      </c>
      <c r="B397" t="s">
        <v>950</v>
      </c>
      <c r="C397" t="str">
        <f>"6680000"</f>
        <v>6680000</v>
      </c>
      <c r="D397" t="s">
        <v>947</v>
      </c>
      <c r="E397" t="s">
        <v>948</v>
      </c>
      <c r="F397" t="s">
        <v>949</v>
      </c>
      <c r="I397" t="s">
        <v>29</v>
      </c>
      <c r="J397" t="s">
        <v>30</v>
      </c>
      <c r="K397" t="s">
        <v>31</v>
      </c>
      <c r="M397" t="s">
        <v>32</v>
      </c>
      <c r="N397" t="str">
        <f>"8/10/2005 12:00:00 AM"</f>
        <v>8/10/2005 12:00:00 AM</v>
      </c>
      <c r="O397" t="s">
        <v>947</v>
      </c>
      <c r="T397" t="s">
        <v>948</v>
      </c>
    </row>
    <row r="398" spans="1:20" x14ac:dyDescent="0.25">
      <c r="A398" t="str">
        <f>"3039351"</f>
        <v>3039351</v>
      </c>
      <c r="B398" t="s">
        <v>951</v>
      </c>
      <c r="C398" t="str">
        <f>"6680000"</f>
        <v>6680000</v>
      </c>
      <c r="D398" t="s">
        <v>947</v>
      </c>
      <c r="E398" t="s">
        <v>948</v>
      </c>
      <c r="F398" t="s">
        <v>949</v>
      </c>
      <c r="I398" t="s">
        <v>29</v>
      </c>
      <c r="J398" t="s">
        <v>30</v>
      </c>
      <c r="K398" t="s">
        <v>31</v>
      </c>
      <c r="M398" t="s">
        <v>32</v>
      </c>
      <c r="N398" t="str">
        <f>"8/10/2005 12:00:00 AM"</f>
        <v>8/10/2005 12:00:00 AM</v>
      </c>
      <c r="O398" t="s">
        <v>947</v>
      </c>
      <c r="T398" t="s">
        <v>948</v>
      </c>
    </row>
    <row r="399" spans="1:20" x14ac:dyDescent="0.25">
      <c r="A399" t="str">
        <f>"3040126"</f>
        <v>3040126</v>
      </c>
      <c r="B399" t="s">
        <v>952</v>
      </c>
      <c r="C399" t="str">
        <f>"82523232"</f>
        <v>82523232</v>
      </c>
      <c r="D399" t="s">
        <v>953</v>
      </c>
      <c r="F399" t="s">
        <v>954</v>
      </c>
      <c r="I399" t="s">
        <v>29</v>
      </c>
      <c r="J399" t="s">
        <v>30</v>
      </c>
      <c r="K399" t="s">
        <v>955</v>
      </c>
      <c r="M399" t="s">
        <v>32</v>
      </c>
      <c r="N399" t="str">
        <f>"2/9/2011 12:00:00 AM"</f>
        <v>2/9/2011 12:00:00 AM</v>
      </c>
      <c r="O399" t="s">
        <v>953</v>
      </c>
    </row>
    <row r="400" spans="1:20" x14ac:dyDescent="0.25">
      <c r="A400" t="str">
        <f>"3037532"</f>
        <v>3037532</v>
      </c>
      <c r="B400" t="s">
        <v>956</v>
      </c>
      <c r="C400" t="str">
        <f>"78055000"</f>
        <v>78055000</v>
      </c>
      <c r="D400" t="s">
        <v>957</v>
      </c>
      <c r="F400" t="s">
        <v>958</v>
      </c>
      <c r="I400" t="s">
        <v>29</v>
      </c>
      <c r="J400" t="s">
        <v>30</v>
      </c>
      <c r="K400" t="s">
        <v>31</v>
      </c>
      <c r="M400" t="s">
        <v>32</v>
      </c>
      <c r="N400" t="str">
        <f>"6/28/2004 12:00:00 AM"</f>
        <v>6/28/2004 12:00:00 AM</v>
      </c>
      <c r="O400" t="s">
        <v>957</v>
      </c>
    </row>
    <row r="401" spans="1:20" x14ac:dyDescent="0.25">
      <c r="A401" t="str">
        <f>"3037511"</f>
        <v>3037511</v>
      </c>
      <c r="B401" t="s">
        <v>959</v>
      </c>
      <c r="C401" t="str">
        <f>"78055000"</f>
        <v>78055000</v>
      </c>
      <c r="D401" t="s">
        <v>957</v>
      </c>
      <c r="F401" t="s">
        <v>958</v>
      </c>
      <c r="I401" t="s">
        <v>29</v>
      </c>
      <c r="J401" t="s">
        <v>30</v>
      </c>
      <c r="K401" t="s">
        <v>31</v>
      </c>
      <c r="M401" t="s">
        <v>32</v>
      </c>
      <c r="N401" t="str">
        <f>"6/28/2004 12:00:00 AM"</f>
        <v>6/28/2004 12:00:00 AM</v>
      </c>
      <c r="O401" t="s">
        <v>957</v>
      </c>
    </row>
    <row r="402" spans="1:20" x14ac:dyDescent="0.25">
      <c r="A402" t="str">
        <f>"3037600"</f>
        <v>3037600</v>
      </c>
      <c r="B402" t="s">
        <v>960</v>
      </c>
      <c r="C402" t="str">
        <f>"78055000"</f>
        <v>78055000</v>
      </c>
      <c r="D402" t="s">
        <v>957</v>
      </c>
      <c r="F402" t="s">
        <v>958</v>
      </c>
      <c r="I402" t="s">
        <v>29</v>
      </c>
      <c r="J402" t="s">
        <v>30</v>
      </c>
      <c r="K402" t="s">
        <v>31</v>
      </c>
      <c r="M402" t="s">
        <v>32</v>
      </c>
      <c r="N402" t="str">
        <f>"6/28/2004 12:00:00 AM"</f>
        <v>6/28/2004 12:00:00 AM</v>
      </c>
      <c r="O402" t="s">
        <v>957</v>
      </c>
    </row>
    <row r="403" spans="1:20" x14ac:dyDescent="0.25">
      <c r="A403" t="str">
        <f>"3037513"</f>
        <v>3037513</v>
      </c>
      <c r="B403" t="s">
        <v>961</v>
      </c>
      <c r="C403" t="str">
        <f>"82523545"</f>
        <v>82523545</v>
      </c>
      <c r="D403" t="s">
        <v>962</v>
      </c>
      <c r="F403" t="s">
        <v>963</v>
      </c>
      <c r="I403" t="s">
        <v>964</v>
      </c>
      <c r="J403" t="s">
        <v>30</v>
      </c>
      <c r="K403" t="s">
        <v>965</v>
      </c>
      <c r="M403" t="s">
        <v>32</v>
      </c>
      <c r="N403" t="str">
        <f>"1/3/2005 12:00:00 AM"</f>
        <v>1/3/2005 12:00:00 AM</v>
      </c>
      <c r="O403" t="s">
        <v>962</v>
      </c>
    </row>
    <row r="404" spans="1:20" x14ac:dyDescent="0.25">
      <c r="A404" t="str">
        <f>"3037496"</f>
        <v>3037496</v>
      </c>
      <c r="B404" t="s">
        <v>966</v>
      </c>
      <c r="C404" t="str">
        <f>"82523545"</f>
        <v>82523545</v>
      </c>
      <c r="D404" t="s">
        <v>962</v>
      </c>
      <c r="F404" t="s">
        <v>963</v>
      </c>
      <c r="I404" t="s">
        <v>964</v>
      </c>
      <c r="J404" t="s">
        <v>30</v>
      </c>
      <c r="K404" t="s">
        <v>965</v>
      </c>
      <c r="M404" t="s">
        <v>32</v>
      </c>
      <c r="N404" t="str">
        <f>"1/3/2005 12:00:00 AM"</f>
        <v>1/3/2005 12:00:00 AM</v>
      </c>
      <c r="O404" t="s">
        <v>962</v>
      </c>
    </row>
    <row r="405" spans="1:20" x14ac:dyDescent="0.25">
      <c r="A405" t="str">
        <f>"3037497"</f>
        <v>3037497</v>
      </c>
      <c r="B405" t="s">
        <v>967</v>
      </c>
      <c r="C405" t="str">
        <f>"40212000"</f>
        <v>40212000</v>
      </c>
      <c r="D405" t="s">
        <v>968</v>
      </c>
      <c r="E405" t="s">
        <v>969</v>
      </c>
      <c r="F405" t="s">
        <v>970</v>
      </c>
      <c r="I405" t="s">
        <v>29</v>
      </c>
      <c r="J405" t="s">
        <v>30</v>
      </c>
      <c r="K405" t="s">
        <v>971</v>
      </c>
      <c r="M405" t="s">
        <v>32</v>
      </c>
      <c r="N405" t="str">
        <f>"1/13/2006 12:00:00 AM"</f>
        <v>1/13/2006 12:00:00 AM</v>
      </c>
      <c r="O405" t="s">
        <v>968</v>
      </c>
      <c r="T405" t="s">
        <v>969</v>
      </c>
    </row>
    <row r="406" spans="1:20" x14ac:dyDescent="0.25">
      <c r="A406" t="str">
        <f>"3037623"</f>
        <v>3037623</v>
      </c>
      <c r="B406" t="s">
        <v>972</v>
      </c>
      <c r="C406" t="str">
        <f>"40212000"</f>
        <v>40212000</v>
      </c>
      <c r="D406" t="s">
        <v>968</v>
      </c>
      <c r="E406" t="s">
        <v>969</v>
      </c>
      <c r="F406" t="s">
        <v>970</v>
      </c>
      <c r="I406" t="s">
        <v>29</v>
      </c>
      <c r="J406" t="s">
        <v>30</v>
      </c>
      <c r="K406" t="s">
        <v>971</v>
      </c>
      <c r="M406" t="s">
        <v>32</v>
      </c>
      <c r="N406" t="str">
        <f>"1/13/2006 12:00:00 AM"</f>
        <v>1/13/2006 12:00:00 AM</v>
      </c>
      <c r="O406" t="s">
        <v>968</v>
      </c>
      <c r="T406" t="s">
        <v>969</v>
      </c>
    </row>
    <row r="407" spans="1:20" x14ac:dyDescent="0.25">
      <c r="A407" t="str">
        <f>"3037449"</f>
        <v>3037449</v>
      </c>
      <c r="B407" t="s">
        <v>973</v>
      </c>
      <c r="C407" t="str">
        <f>"82530389"</f>
        <v>82530389</v>
      </c>
      <c r="D407" t="s">
        <v>974</v>
      </c>
      <c r="E407" t="s">
        <v>975</v>
      </c>
      <c r="F407" t="s">
        <v>976</v>
      </c>
      <c r="I407" t="s">
        <v>29</v>
      </c>
      <c r="J407" t="s">
        <v>30</v>
      </c>
      <c r="K407" t="s">
        <v>31</v>
      </c>
      <c r="M407" t="s">
        <v>32</v>
      </c>
      <c r="N407" t="str">
        <f>"2/4/2009 12:00:00 AM"</f>
        <v>2/4/2009 12:00:00 AM</v>
      </c>
      <c r="O407" t="s">
        <v>974</v>
      </c>
      <c r="T407" t="s">
        <v>975</v>
      </c>
    </row>
    <row r="408" spans="1:20" x14ac:dyDescent="0.25">
      <c r="A408" t="str">
        <f>"3037606"</f>
        <v>3037606</v>
      </c>
      <c r="B408" t="s">
        <v>977</v>
      </c>
      <c r="C408" t="str">
        <f>"32928000"</f>
        <v>32928000</v>
      </c>
      <c r="D408" t="s">
        <v>978</v>
      </c>
      <c r="F408" t="s">
        <v>979</v>
      </c>
      <c r="I408" t="s">
        <v>29</v>
      </c>
      <c r="J408" t="s">
        <v>30</v>
      </c>
      <c r="K408" t="s">
        <v>980</v>
      </c>
      <c r="M408" t="s">
        <v>32</v>
      </c>
      <c r="N408" t="str">
        <f>"1/7/2009 12:00:00 AM"</f>
        <v>1/7/2009 12:00:00 AM</v>
      </c>
      <c r="O408" t="s">
        <v>978</v>
      </c>
      <c r="T408" t="s">
        <v>978</v>
      </c>
    </row>
    <row r="409" spans="1:20" x14ac:dyDescent="0.25">
      <c r="A409" t="str">
        <f>"3037537"</f>
        <v>3037537</v>
      </c>
      <c r="B409" t="s">
        <v>981</v>
      </c>
      <c r="C409" t="str">
        <f>"32928000"</f>
        <v>32928000</v>
      </c>
      <c r="D409" t="s">
        <v>978</v>
      </c>
      <c r="F409" t="s">
        <v>979</v>
      </c>
      <c r="I409" t="s">
        <v>29</v>
      </c>
      <c r="J409" t="s">
        <v>30</v>
      </c>
      <c r="K409" t="s">
        <v>980</v>
      </c>
      <c r="M409" t="s">
        <v>32</v>
      </c>
      <c r="N409" t="str">
        <f>"1/7/2009 12:00:00 AM"</f>
        <v>1/7/2009 12:00:00 AM</v>
      </c>
      <c r="O409" t="s">
        <v>978</v>
      </c>
      <c r="T409" t="s">
        <v>978</v>
      </c>
    </row>
    <row r="410" spans="1:20" x14ac:dyDescent="0.25">
      <c r="A410" t="str">
        <f>"3038752"</f>
        <v>3038752</v>
      </c>
      <c r="B410" t="s">
        <v>982</v>
      </c>
      <c r="C410" t="str">
        <f>"32928000"</f>
        <v>32928000</v>
      </c>
      <c r="D410" t="s">
        <v>978</v>
      </c>
      <c r="F410" t="s">
        <v>979</v>
      </c>
      <c r="I410" t="s">
        <v>29</v>
      </c>
      <c r="J410" t="s">
        <v>30</v>
      </c>
      <c r="K410" t="s">
        <v>980</v>
      </c>
      <c r="M410" t="s">
        <v>32</v>
      </c>
      <c r="N410" t="str">
        <f>"1/7/2009 12:00:00 AM"</f>
        <v>1/7/2009 12:00:00 AM</v>
      </c>
      <c r="O410" t="s">
        <v>978</v>
      </c>
      <c r="T410" t="s">
        <v>978</v>
      </c>
    </row>
    <row r="411" spans="1:20" x14ac:dyDescent="0.25">
      <c r="A411" t="str">
        <f>"3040024"</f>
        <v>3040024</v>
      </c>
      <c r="B411" t="s">
        <v>983</v>
      </c>
      <c r="C411" t="str">
        <f>"32928000"</f>
        <v>32928000</v>
      </c>
      <c r="D411" t="s">
        <v>978</v>
      </c>
      <c r="F411" t="s">
        <v>979</v>
      </c>
      <c r="I411" t="s">
        <v>29</v>
      </c>
      <c r="J411" t="s">
        <v>30</v>
      </c>
      <c r="K411" t="s">
        <v>980</v>
      </c>
      <c r="M411" t="s">
        <v>32</v>
      </c>
      <c r="N411" t="str">
        <f>"1/7/2009 12:00:00 AM"</f>
        <v>1/7/2009 12:00:00 AM</v>
      </c>
      <c r="O411" t="s">
        <v>978</v>
      </c>
      <c r="T411" t="s">
        <v>978</v>
      </c>
    </row>
    <row r="412" spans="1:20" x14ac:dyDescent="0.25">
      <c r="A412" t="str">
        <f>"3039321"</f>
        <v>3039321</v>
      </c>
      <c r="B412" t="s">
        <v>984</v>
      </c>
      <c r="C412" t="str">
        <f>"82517867"</f>
        <v>82517867</v>
      </c>
      <c r="D412" t="s">
        <v>985</v>
      </c>
      <c r="F412" t="s">
        <v>986</v>
      </c>
      <c r="I412" t="s">
        <v>29</v>
      </c>
      <c r="J412" t="s">
        <v>30</v>
      </c>
      <c r="K412" t="s">
        <v>31</v>
      </c>
      <c r="M412" t="s">
        <v>32</v>
      </c>
      <c r="N412" t="str">
        <f>"1/23/2004 12:00:00 AM"</f>
        <v>1/23/2004 12:00:00 AM</v>
      </c>
      <c r="O412" t="s">
        <v>985</v>
      </c>
    </row>
    <row r="413" spans="1:20" x14ac:dyDescent="0.25">
      <c r="A413" t="str">
        <f>"3039306"</f>
        <v>3039306</v>
      </c>
      <c r="B413" t="s">
        <v>987</v>
      </c>
      <c r="C413" t="str">
        <f>"82517867"</f>
        <v>82517867</v>
      </c>
      <c r="D413" t="s">
        <v>985</v>
      </c>
      <c r="F413" t="s">
        <v>986</v>
      </c>
      <c r="I413" t="s">
        <v>29</v>
      </c>
      <c r="J413" t="s">
        <v>30</v>
      </c>
      <c r="K413" t="s">
        <v>31</v>
      </c>
      <c r="M413" t="s">
        <v>32</v>
      </c>
      <c r="N413" t="str">
        <f>"1/23/2004 12:00:00 AM"</f>
        <v>1/23/2004 12:00:00 AM</v>
      </c>
      <c r="O413" t="s">
        <v>985</v>
      </c>
    </row>
    <row r="414" spans="1:20" x14ac:dyDescent="0.25">
      <c r="A414" t="str">
        <f>"3037514"</f>
        <v>3037514</v>
      </c>
      <c r="B414" t="s">
        <v>988</v>
      </c>
      <c r="C414" t="str">
        <f>"82517867"</f>
        <v>82517867</v>
      </c>
      <c r="D414" t="s">
        <v>985</v>
      </c>
      <c r="F414" t="s">
        <v>986</v>
      </c>
      <c r="I414" t="s">
        <v>29</v>
      </c>
      <c r="J414" t="s">
        <v>30</v>
      </c>
      <c r="K414" t="s">
        <v>31</v>
      </c>
      <c r="M414" t="s">
        <v>32</v>
      </c>
      <c r="N414" t="str">
        <f>"1/23/2004 12:00:00 AM"</f>
        <v>1/23/2004 12:00:00 AM</v>
      </c>
      <c r="O414" t="s">
        <v>985</v>
      </c>
    </row>
    <row r="415" spans="1:20" x14ac:dyDescent="0.25">
      <c r="A415" t="str">
        <f>"3037929"</f>
        <v>3037929</v>
      </c>
      <c r="B415" t="s">
        <v>989</v>
      </c>
      <c r="C415" t="str">
        <f>"82517867"</f>
        <v>82517867</v>
      </c>
      <c r="D415" t="s">
        <v>985</v>
      </c>
      <c r="F415" t="s">
        <v>986</v>
      </c>
      <c r="I415" t="s">
        <v>29</v>
      </c>
      <c r="J415" t="s">
        <v>30</v>
      </c>
      <c r="K415" t="s">
        <v>31</v>
      </c>
      <c r="M415" t="s">
        <v>32</v>
      </c>
      <c r="N415" t="str">
        <f>"1/23/2004 12:00:00 AM"</f>
        <v>1/23/2004 12:00:00 AM</v>
      </c>
      <c r="O415" t="s">
        <v>985</v>
      </c>
    </row>
    <row r="416" spans="1:20" x14ac:dyDescent="0.25">
      <c r="A416" t="str">
        <f>"3037674"</f>
        <v>3037674</v>
      </c>
      <c r="B416" t="s">
        <v>990</v>
      </c>
      <c r="C416" t="str">
        <f>"82515369"</f>
        <v>82515369</v>
      </c>
      <c r="D416" t="s">
        <v>991</v>
      </c>
      <c r="E416" t="s">
        <v>992</v>
      </c>
      <c r="F416" t="s">
        <v>993</v>
      </c>
      <c r="I416" t="s">
        <v>29</v>
      </c>
      <c r="J416" t="s">
        <v>30</v>
      </c>
      <c r="K416" t="s">
        <v>994</v>
      </c>
      <c r="M416" t="s">
        <v>32</v>
      </c>
      <c r="N416" t="str">
        <f>"4/9/2010 12:00:00 AM"</f>
        <v>4/9/2010 12:00:00 AM</v>
      </c>
      <c r="O416" t="s">
        <v>991</v>
      </c>
      <c r="T416" t="s">
        <v>992</v>
      </c>
    </row>
    <row r="417" spans="1:20" x14ac:dyDescent="0.25">
      <c r="A417" t="str">
        <f>"3080187"</f>
        <v>3080187</v>
      </c>
      <c r="B417" t="s">
        <v>995</v>
      </c>
      <c r="C417" t="str">
        <f>"82515369"</f>
        <v>82515369</v>
      </c>
      <c r="D417" t="s">
        <v>991</v>
      </c>
      <c r="E417" t="s">
        <v>992</v>
      </c>
      <c r="F417" t="s">
        <v>993</v>
      </c>
      <c r="I417" t="s">
        <v>29</v>
      </c>
      <c r="J417" t="s">
        <v>30</v>
      </c>
      <c r="K417" t="s">
        <v>994</v>
      </c>
      <c r="M417" t="s">
        <v>32</v>
      </c>
      <c r="N417" t="str">
        <f>"4/9/2010 12:00:00 AM"</f>
        <v>4/9/2010 12:00:00 AM</v>
      </c>
      <c r="O417" t="s">
        <v>991</v>
      </c>
      <c r="T417" t="s">
        <v>992</v>
      </c>
    </row>
    <row r="418" spans="1:20" x14ac:dyDescent="0.25">
      <c r="A418" t="str">
        <f>"3037718"</f>
        <v>3037718</v>
      </c>
      <c r="B418" t="s">
        <v>996</v>
      </c>
      <c r="C418" t="str">
        <f>"60392000"</f>
        <v>60392000</v>
      </c>
      <c r="D418" t="s">
        <v>997</v>
      </c>
      <c r="F418" t="s">
        <v>998</v>
      </c>
      <c r="I418" t="s">
        <v>29</v>
      </c>
      <c r="J418" t="s">
        <v>30</v>
      </c>
      <c r="K418" t="s">
        <v>31</v>
      </c>
      <c r="M418" t="s">
        <v>32</v>
      </c>
      <c r="N418" t="str">
        <f>"5/12/2010 12:00:00 AM"</f>
        <v>5/12/2010 12:00:00 AM</v>
      </c>
      <c r="O418" t="s">
        <v>997</v>
      </c>
    </row>
    <row r="419" spans="1:20" x14ac:dyDescent="0.25">
      <c r="A419" t="str">
        <f>"3037677"</f>
        <v>3037677</v>
      </c>
      <c r="B419" t="s">
        <v>999</v>
      </c>
      <c r="C419" t="str">
        <f>"23719500"</f>
        <v>23719500</v>
      </c>
      <c r="D419" t="s">
        <v>1000</v>
      </c>
      <c r="F419" t="s">
        <v>1001</v>
      </c>
      <c r="I419" t="s">
        <v>29</v>
      </c>
      <c r="J419" t="s">
        <v>30</v>
      </c>
      <c r="K419" t="s">
        <v>31</v>
      </c>
      <c r="M419" t="s">
        <v>32</v>
      </c>
      <c r="N419" t="str">
        <f>"8/12/2003 12:00:00 AM"</f>
        <v>8/12/2003 12:00:00 AM</v>
      </c>
      <c r="O419" t="s">
        <v>1000</v>
      </c>
    </row>
    <row r="420" spans="1:20" x14ac:dyDescent="0.25">
      <c r="A420" t="str">
        <f>"3070913"</f>
        <v>3070913</v>
      </c>
      <c r="B420" t="s">
        <v>1002</v>
      </c>
      <c r="C420" t="str">
        <f>"23719500"</f>
        <v>23719500</v>
      </c>
      <c r="D420" t="s">
        <v>1000</v>
      </c>
      <c r="F420" t="s">
        <v>1001</v>
      </c>
      <c r="I420" t="s">
        <v>29</v>
      </c>
      <c r="J420" t="s">
        <v>30</v>
      </c>
      <c r="K420" t="s">
        <v>31</v>
      </c>
      <c r="M420" t="s">
        <v>32</v>
      </c>
      <c r="N420" t="str">
        <f>"8/12/2003 12:00:00 AM"</f>
        <v>8/12/2003 12:00:00 AM</v>
      </c>
      <c r="O420" t="s">
        <v>1000</v>
      </c>
    </row>
    <row r="421" spans="1:20" x14ac:dyDescent="0.25">
      <c r="A421" t="str">
        <f>"3039988"</f>
        <v>3039988</v>
      </c>
      <c r="B421" t="s">
        <v>1003</v>
      </c>
      <c r="C421" t="str">
        <f>"60420000"</f>
        <v>60420000</v>
      </c>
      <c r="D421" t="s">
        <v>1004</v>
      </c>
      <c r="F421" t="s">
        <v>1005</v>
      </c>
      <c r="I421" t="s">
        <v>29</v>
      </c>
      <c r="J421" t="s">
        <v>30</v>
      </c>
      <c r="K421" t="s">
        <v>1006</v>
      </c>
      <c r="M421" t="s">
        <v>32</v>
      </c>
      <c r="N421" t="str">
        <f>"1/13/2010 12:00:00 AM"</f>
        <v>1/13/2010 12:00:00 AM</v>
      </c>
      <c r="O421" t="s">
        <v>1004</v>
      </c>
    </row>
    <row r="422" spans="1:20" x14ac:dyDescent="0.25">
      <c r="A422" t="str">
        <f>"3040069"</f>
        <v>3040069</v>
      </c>
      <c r="B422" t="s">
        <v>1007</v>
      </c>
      <c r="C422" t="str">
        <f>"82525364"</f>
        <v>82525364</v>
      </c>
      <c r="D422" t="s">
        <v>1008</v>
      </c>
      <c r="F422" t="s">
        <v>1009</v>
      </c>
      <c r="I422" t="s">
        <v>29</v>
      </c>
      <c r="J422" t="s">
        <v>30</v>
      </c>
      <c r="K422" t="s">
        <v>1010</v>
      </c>
      <c r="M422" t="s">
        <v>32</v>
      </c>
      <c r="N422" t="str">
        <f>"1/12/2006 12:00:00 AM"</f>
        <v>1/12/2006 12:00:00 AM</v>
      </c>
      <c r="O422" t="s">
        <v>1008</v>
      </c>
    </row>
    <row r="423" spans="1:20" x14ac:dyDescent="0.25">
      <c r="A423" t="str">
        <f>"3040088"</f>
        <v>3040088</v>
      </c>
      <c r="B423" t="s">
        <v>1011</v>
      </c>
      <c r="C423" t="str">
        <f>"11332880"</f>
        <v>11332880</v>
      </c>
      <c r="D423" t="s">
        <v>1012</v>
      </c>
      <c r="F423" t="s">
        <v>1013</v>
      </c>
      <c r="I423" t="s">
        <v>29</v>
      </c>
      <c r="J423" t="s">
        <v>30</v>
      </c>
      <c r="K423" t="s">
        <v>1014</v>
      </c>
      <c r="M423" t="s">
        <v>32</v>
      </c>
      <c r="N423" t="str">
        <f>"2/1/2006 12:00:00 AM"</f>
        <v>2/1/2006 12:00:00 AM</v>
      </c>
      <c r="O423" t="s">
        <v>1012</v>
      </c>
      <c r="T423" t="s">
        <v>1012</v>
      </c>
    </row>
    <row r="424" spans="1:20" x14ac:dyDescent="0.25">
      <c r="A424" t="str">
        <f>"3076631"</f>
        <v>3076631</v>
      </c>
      <c r="B424" t="s">
        <v>1015</v>
      </c>
      <c r="C424" t="str">
        <f>"11332880"</f>
        <v>11332880</v>
      </c>
      <c r="D424" t="s">
        <v>1012</v>
      </c>
      <c r="F424" t="s">
        <v>1013</v>
      </c>
      <c r="I424" t="s">
        <v>29</v>
      </c>
      <c r="J424" t="s">
        <v>30</v>
      </c>
      <c r="K424" t="s">
        <v>1014</v>
      </c>
      <c r="M424" t="s">
        <v>32</v>
      </c>
      <c r="N424" t="str">
        <f>"2/1/2006 12:00:00 AM"</f>
        <v>2/1/2006 12:00:00 AM</v>
      </c>
      <c r="O424" t="s">
        <v>1012</v>
      </c>
      <c r="T424" t="s">
        <v>1012</v>
      </c>
    </row>
    <row r="425" spans="1:20" x14ac:dyDescent="0.25">
      <c r="A425" t="str">
        <f>"3076632"</f>
        <v>3076632</v>
      </c>
      <c r="B425" t="s">
        <v>1016</v>
      </c>
      <c r="C425" t="str">
        <f>"11332880"</f>
        <v>11332880</v>
      </c>
      <c r="D425" t="s">
        <v>1012</v>
      </c>
      <c r="F425" t="s">
        <v>1013</v>
      </c>
      <c r="I425" t="s">
        <v>29</v>
      </c>
      <c r="J425" t="s">
        <v>30</v>
      </c>
      <c r="K425" t="s">
        <v>1014</v>
      </c>
      <c r="M425" t="s">
        <v>32</v>
      </c>
      <c r="N425" t="str">
        <f>"2/1/2006 12:00:00 AM"</f>
        <v>2/1/2006 12:00:00 AM</v>
      </c>
      <c r="O425" t="s">
        <v>1012</v>
      </c>
      <c r="T425" t="s">
        <v>1012</v>
      </c>
    </row>
    <row r="426" spans="1:20" x14ac:dyDescent="0.25">
      <c r="A426" t="str">
        <f>"3037734"</f>
        <v>3037734</v>
      </c>
      <c r="B426" t="s">
        <v>1017</v>
      </c>
      <c r="C426" t="str">
        <f>"82525661"</f>
        <v>82525661</v>
      </c>
      <c r="D426" t="s">
        <v>1018</v>
      </c>
      <c r="F426" t="s">
        <v>1019</v>
      </c>
      <c r="I426" t="s">
        <v>29</v>
      </c>
      <c r="J426" t="s">
        <v>30</v>
      </c>
      <c r="K426" t="s">
        <v>31</v>
      </c>
      <c r="M426" t="s">
        <v>32</v>
      </c>
      <c r="N426" t="str">
        <f>"4/16/2007 12:00:00 AM"</f>
        <v>4/16/2007 12:00:00 AM</v>
      </c>
      <c r="O426" t="s">
        <v>1018</v>
      </c>
    </row>
    <row r="427" spans="1:20" x14ac:dyDescent="0.25">
      <c r="A427" t="str">
        <f>"3037658"</f>
        <v>3037658</v>
      </c>
      <c r="B427" t="s">
        <v>1020</v>
      </c>
      <c r="C427" t="str">
        <f>"60547000"</f>
        <v>60547000</v>
      </c>
      <c r="D427" t="s">
        <v>1021</v>
      </c>
      <c r="F427" t="s">
        <v>1022</v>
      </c>
      <c r="I427" t="s">
        <v>29</v>
      </c>
      <c r="J427" t="s">
        <v>30</v>
      </c>
      <c r="K427" t="s">
        <v>1023</v>
      </c>
      <c r="M427" t="s">
        <v>32</v>
      </c>
      <c r="N427" t="str">
        <f>"6/25/2007 12:00:00 AM"</f>
        <v>6/25/2007 12:00:00 AM</v>
      </c>
      <c r="O427" t="s">
        <v>1021</v>
      </c>
    </row>
    <row r="428" spans="1:20" x14ac:dyDescent="0.25">
      <c r="A428" t="str">
        <f>"3075010"</f>
        <v>3075010</v>
      </c>
      <c r="B428" t="s">
        <v>1024</v>
      </c>
      <c r="C428" t="str">
        <f>"60547000"</f>
        <v>60547000</v>
      </c>
      <c r="D428" t="s">
        <v>1021</v>
      </c>
      <c r="F428" t="s">
        <v>1022</v>
      </c>
      <c r="I428" t="s">
        <v>29</v>
      </c>
      <c r="J428" t="s">
        <v>30</v>
      </c>
      <c r="K428" t="s">
        <v>1023</v>
      </c>
      <c r="M428" t="s">
        <v>32</v>
      </c>
      <c r="N428" t="str">
        <f>"6/25/2007 12:00:00 AM"</f>
        <v>6/25/2007 12:00:00 AM</v>
      </c>
      <c r="O428" t="s">
        <v>1021</v>
      </c>
    </row>
    <row r="429" spans="1:20" x14ac:dyDescent="0.25">
      <c r="A429" t="str">
        <f>"3037664"</f>
        <v>3037664</v>
      </c>
      <c r="B429" t="s">
        <v>1025</v>
      </c>
      <c r="C429" t="str">
        <f>"82519406"</f>
        <v>82519406</v>
      </c>
      <c r="D429" t="s">
        <v>1026</v>
      </c>
      <c r="E429" t="s">
        <v>1027</v>
      </c>
      <c r="F429" t="s">
        <v>1028</v>
      </c>
      <c r="I429" t="s">
        <v>29</v>
      </c>
      <c r="J429" t="s">
        <v>30</v>
      </c>
      <c r="K429" t="s">
        <v>1029</v>
      </c>
      <c r="M429" t="s">
        <v>32</v>
      </c>
      <c r="N429" t="str">
        <f>"1/30/2006 12:00:00 AM"</f>
        <v>1/30/2006 12:00:00 AM</v>
      </c>
      <c r="O429" t="s">
        <v>1026</v>
      </c>
      <c r="T429" t="s">
        <v>1027</v>
      </c>
    </row>
    <row r="430" spans="1:20" x14ac:dyDescent="0.25">
      <c r="A430" t="str">
        <f>"3037987"</f>
        <v>3037987</v>
      </c>
      <c r="B430" t="s">
        <v>1030</v>
      </c>
      <c r="C430" t="str">
        <f t="shared" ref="C430:C439" si="19">"82528627"</f>
        <v>82528627</v>
      </c>
      <c r="D430" t="s">
        <v>1031</v>
      </c>
      <c r="F430" t="s">
        <v>1032</v>
      </c>
      <c r="I430" t="s">
        <v>29</v>
      </c>
      <c r="J430" t="s">
        <v>30</v>
      </c>
      <c r="K430" t="s">
        <v>31</v>
      </c>
      <c r="M430" t="s">
        <v>32</v>
      </c>
      <c r="N430" t="str">
        <f t="shared" ref="N430:N439" si="20">"9/18/2007 12:00:00 AM"</f>
        <v>9/18/2007 12:00:00 AM</v>
      </c>
      <c r="O430" t="s">
        <v>1031</v>
      </c>
    </row>
    <row r="431" spans="1:20" x14ac:dyDescent="0.25">
      <c r="A431" t="str">
        <f>"3038143"</f>
        <v>3038143</v>
      </c>
      <c r="B431" t="s">
        <v>1033</v>
      </c>
      <c r="C431" t="str">
        <f t="shared" si="19"/>
        <v>82528627</v>
      </c>
      <c r="D431" t="s">
        <v>1031</v>
      </c>
      <c r="F431" t="s">
        <v>1032</v>
      </c>
      <c r="I431" t="s">
        <v>29</v>
      </c>
      <c r="J431" t="s">
        <v>30</v>
      </c>
      <c r="K431" t="s">
        <v>31</v>
      </c>
      <c r="M431" t="s">
        <v>32</v>
      </c>
      <c r="N431" t="str">
        <f t="shared" si="20"/>
        <v>9/18/2007 12:00:00 AM</v>
      </c>
      <c r="O431" t="s">
        <v>1031</v>
      </c>
    </row>
    <row r="432" spans="1:20" x14ac:dyDescent="0.25">
      <c r="A432" t="str">
        <f>"3038825"</f>
        <v>3038825</v>
      </c>
      <c r="B432" t="s">
        <v>1034</v>
      </c>
      <c r="C432" t="str">
        <f t="shared" si="19"/>
        <v>82528627</v>
      </c>
      <c r="D432" t="s">
        <v>1031</v>
      </c>
      <c r="F432" t="s">
        <v>1032</v>
      </c>
      <c r="I432" t="s">
        <v>29</v>
      </c>
      <c r="J432" t="s">
        <v>30</v>
      </c>
      <c r="K432" t="s">
        <v>31</v>
      </c>
      <c r="M432" t="s">
        <v>32</v>
      </c>
      <c r="N432" t="str">
        <f t="shared" si="20"/>
        <v>9/18/2007 12:00:00 AM</v>
      </c>
      <c r="O432" t="s">
        <v>1031</v>
      </c>
    </row>
    <row r="433" spans="1:20" x14ac:dyDescent="0.25">
      <c r="A433" t="str">
        <f>"3051843"</f>
        <v>3051843</v>
      </c>
      <c r="B433" t="s">
        <v>1035</v>
      </c>
      <c r="C433" t="str">
        <f t="shared" si="19"/>
        <v>82528627</v>
      </c>
      <c r="D433" t="s">
        <v>1031</v>
      </c>
      <c r="F433" t="s">
        <v>1032</v>
      </c>
      <c r="I433" t="s">
        <v>29</v>
      </c>
      <c r="J433" t="s">
        <v>30</v>
      </c>
      <c r="K433" t="s">
        <v>31</v>
      </c>
      <c r="M433" t="s">
        <v>32</v>
      </c>
      <c r="N433" t="str">
        <f t="shared" si="20"/>
        <v>9/18/2007 12:00:00 AM</v>
      </c>
      <c r="O433" t="s">
        <v>1031</v>
      </c>
    </row>
    <row r="434" spans="1:20" x14ac:dyDescent="0.25">
      <c r="A434" t="str">
        <f>"3051846"</f>
        <v>3051846</v>
      </c>
      <c r="B434" t="s">
        <v>1036</v>
      </c>
      <c r="C434" t="str">
        <f t="shared" si="19"/>
        <v>82528627</v>
      </c>
      <c r="D434" t="s">
        <v>1031</v>
      </c>
      <c r="F434" t="s">
        <v>1032</v>
      </c>
      <c r="I434" t="s">
        <v>29</v>
      </c>
      <c r="J434" t="s">
        <v>30</v>
      </c>
      <c r="K434" t="s">
        <v>31</v>
      </c>
      <c r="M434" t="s">
        <v>32</v>
      </c>
      <c r="N434" t="str">
        <f t="shared" si="20"/>
        <v>9/18/2007 12:00:00 AM</v>
      </c>
      <c r="O434" t="s">
        <v>1031</v>
      </c>
    </row>
    <row r="435" spans="1:20" x14ac:dyDescent="0.25">
      <c r="A435" t="str">
        <f>"3051851"</f>
        <v>3051851</v>
      </c>
      <c r="B435" t="s">
        <v>1037</v>
      </c>
      <c r="C435" t="str">
        <f t="shared" si="19"/>
        <v>82528627</v>
      </c>
      <c r="D435" t="s">
        <v>1031</v>
      </c>
      <c r="F435" t="s">
        <v>1032</v>
      </c>
      <c r="I435" t="s">
        <v>29</v>
      </c>
      <c r="J435" t="s">
        <v>30</v>
      </c>
      <c r="K435" t="s">
        <v>31</v>
      </c>
      <c r="M435" t="s">
        <v>32</v>
      </c>
      <c r="N435" t="str">
        <f t="shared" si="20"/>
        <v>9/18/2007 12:00:00 AM</v>
      </c>
      <c r="O435" t="s">
        <v>1031</v>
      </c>
    </row>
    <row r="436" spans="1:20" x14ac:dyDescent="0.25">
      <c r="A436" t="str">
        <f>"3051892"</f>
        <v>3051892</v>
      </c>
      <c r="B436" t="s">
        <v>1038</v>
      </c>
      <c r="C436" t="str">
        <f t="shared" si="19"/>
        <v>82528627</v>
      </c>
      <c r="D436" t="s">
        <v>1031</v>
      </c>
      <c r="F436" t="s">
        <v>1032</v>
      </c>
      <c r="I436" t="s">
        <v>29</v>
      </c>
      <c r="J436" t="s">
        <v>30</v>
      </c>
      <c r="K436" t="s">
        <v>31</v>
      </c>
      <c r="M436" t="s">
        <v>32</v>
      </c>
      <c r="N436" t="str">
        <f t="shared" si="20"/>
        <v>9/18/2007 12:00:00 AM</v>
      </c>
      <c r="O436" t="s">
        <v>1031</v>
      </c>
    </row>
    <row r="437" spans="1:20" x14ac:dyDescent="0.25">
      <c r="A437" t="str">
        <f>"3051789"</f>
        <v>3051789</v>
      </c>
      <c r="B437" t="s">
        <v>1039</v>
      </c>
      <c r="C437" t="str">
        <f t="shared" si="19"/>
        <v>82528627</v>
      </c>
      <c r="D437" t="s">
        <v>1031</v>
      </c>
      <c r="F437" t="s">
        <v>1032</v>
      </c>
      <c r="I437" t="s">
        <v>29</v>
      </c>
      <c r="J437" t="s">
        <v>30</v>
      </c>
      <c r="K437" t="s">
        <v>31</v>
      </c>
      <c r="M437" t="s">
        <v>32</v>
      </c>
      <c r="N437" t="str">
        <f t="shared" si="20"/>
        <v>9/18/2007 12:00:00 AM</v>
      </c>
      <c r="O437" t="s">
        <v>1031</v>
      </c>
    </row>
    <row r="438" spans="1:20" x14ac:dyDescent="0.25">
      <c r="A438" t="str">
        <f>"3056903"</f>
        <v>3056903</v>
      </c>
      <c r="B438" t="s">
        <v>1040</v>
      </c>
      <c r="C438" t="str">
        <f t="shared" si="19"/>
        <v>82528627</v>
      </c>
      <c r="D438" t="s">
        <v>1031</v>
      </c>
      <c r="F438" t="s">
        <v>1032</v>
      </c>
      <c r="I438" t="s">
        <v>29</v>
      </c>
      <c r="J438" t="s">
        <v>30</v>
      </c>
      <c r="K438" t="s">
        <v>31</v>
      </c>
      <c r="M438" t="s">
        <v>32</v>
      </c>
      <c r="N438" t="str">
        <f t="shared" si="20"/>
        <v>9/18/2007 12:00:00 AM</v>
      </c>
      <c r="O438" t="s">
        <v>1031</v>
      </c>
    </row>
    <row r="439" spans="1:20" x14ac:dyDescent="0.25">
      <c r="A439" t="str">
        <f>"3056937"</f>
        <v>3056937</v>
      </c>
      <c r="B439" t="s">
        <v>1041</v>
      </c>
      <c r="C439" t="str">
        <f t="shared" si="19"/>
        <v>82528627</v>
      </c>
      <c r="D439" t="s">
        <v>1031</v>
      </c>
      <c r="F439" t="s">
        <v>1032</v>
      </c>
      <c r="I439" t="s">
        <v>29</v>
      </c>
      <c r="J439" t="s">
        <v>30</v>
      </c>
      <c r="K439" t="s">
        <v>31</v>
      </c>
      <c r="M439" t="s">
        <v>32</v>
      </c>
      <c r="N439" t="str">
        <f t="shared" si="20"/>
        <v>9/18/2007 12:00:00 AM</v>
      </c>
      <c r="O439" t="s">
        <v>1031</v>
      </c>
    </row>
    <row r="440" spans="1:20" x14ac:dyDescent="0.25">
      <c r="A440" t="str">
        <f>"3039134"</f>
        <v>3039134</v>
      </c>
      <c r="B440" t="s">
        <v>1042</v>
      </c>
      <c r="C440" t="str">
        <f>"82526256"</f>
        <v>82526256</v>
      </c>
      <c r="D440" t="s">
        <v>1043</v>
      </c>
      <c r="F440" t="s">
        <v>1044</v>
      </c>
      <c r="I440" t="s">
        <v>1045</v>
      </c>
      <c r="J440" t="s">
        <v>1046</v>
      </c>
      <c r="K440" t="s">
        <v>1047</v>
      </c>
      <c r="M440" t="s">
        <v>32</v>
      </c>
      <c r="N440" t="str">
        <f>"5/31/2006 12:00:00 AM"</f>
        <v>5/31/2006 12:00:00 AM</v>
      </c>
      <c r="O440" t="s">
        <v>1043</v>
      </c>
    </row>
    <row r="441" spans="1:20" x14ac:dyDescent="0.25">
      <c r="A441" t="str">
        <f>"3039110"</f>
        <v>3039110</v>
      </c>
      <c r="B441" t="s">
        <v>1048</v>
      </c>
      <c r="C441" t="str">
        <f>"82522115"</f>
        <v>82522115</v>
      </c>
      <c r="D441" t="s">
        <v>1049</v>
      </c>
      <c r="F441" t="s">
        <v>1050</v>
      </c>
      <c r="I441" t="s">
        <v>29</v>
      </c>
      <c r="J441" t="s">
        <v>30</v>
      </c>
      <c r="K441" t="s">
        <v>1051</v>
      </c>
      <c r="M441" t="s">
        <v>32</v>
      </c>
      <c r="N441" t="str">
        <f>"1/6/2006 12:00:00 AM"</f>
        <v>1/6/2006 12:00:00 AM</v>
      </c>
      <c r="O441" t="s">
        <v>1049</v>
      </c>
      <c r="T441" t="s">
        <v>1049</v>
      </c>
    </row>
    <row r="442" spans="1:20" x14ac:dyDescent="0.25">
      <c r="A442" t="str">
        <f>"3037595"</f>
        <v>3037595</v>
      </c>
      <c r="B442" t="s">
        <v>1052</v>
      </c>
      <c r="C442" t="str">
        <f>"82520293"</f>
        <v>82520293</v>
      </c>
      <c r="D442" t="s">
        <v>1053</v>
      </c>
      <c r="E442" t="s">
        <v>1054</v>
      </c>
      <c r="F442" t="s">
        <v>1055</v>
      </c>
      <c r="I442" t="s">
        <v>29</v>
      </c>
      <c r="J442" t="s">
        <v>30</v>
      </c>
      <c r="K442" t="s">
        <v>1056</v>
      </c>
      <c r="M442" t="s">
        <v>32</v>
      </c>
      <c r="N442" t="str">
        <f>"1/12/2006 12:00:00 AM"</f>
        <v>1/12/2006 12:00:00 AM</v>
      </c>
      <c r="O442" t="s">
        <v>1053</v>
      </c>
      <c r="T442" t="s">
        <v>1054</v>
      </c>
    </row>
    <row r="443" spans="1:20" x14ac:dyDescent="0.25">
      <c r="A443" t="str">
        <f>"3037454"</f>
        <v>3037454</v>
      </c>
      <c r="B443" t="s">
        <v>1057</v>
      </c>
      <c r="C443" t="str">
        <f>"82520293"</f>
        <v>82520293</v>
      </c>
      <c r="D443" t="s">
        <v>1053</v>
      </c>
      <c r="E443" t="s">
        <v>1054</v>
      </c>
      <c r="F443" t="s">
        <v>1055</v>
      </c>
      <c r="I443" t="s">
        <v>29</v>
      </c>
      <c r="J443" t="s">
        <v>30</v>
      </c>
      <c r="K443" t="s">
        <v>1056</v>
      </c>
      <c r="M443" t="s">
        <v>32</v>
      </c>
      <c r="N443" t="str">
        <f>"1/12/2006 12:00:00 AM"</f>
        <v>1/12/2006 12:00:00 AM</v>
      </c>
      <c r="O443" t="s">
        <v>1053</v>
      </c>
      <c r="T443" t="s">
        <v>1054</v>
      </c>
    </row>
    <row r="444" spans="1:20" x14ac:dyDescent="0.25">
      <c r="A444" t="str">
        <f>"3037343"</f>
        <v>3037343</v>
      </c>
      <c r="B444" t="s">
        <v>1058</v>
      </c>
      <c r="C444" t="str">
        <f>"82519328"</f>
        <v>82519328</v>
      </c>
      <c r="D444" t="s">
        <v>1059</v>
      </c>
      <c r="F444" t="s">
        <v>1060</v>
      </c>
      <c r="I444" t="s">
        <v>29</v>
      </c>
      <c r="J444" t="s">
        <v>30</v>
      </c>
      <c r="K444" t="s">
        <v>31</v>
      </c>
      <c r="M444" t="s">
        <v>32</v>
      </c>
      <c r="N444" t="str">
        <f>"6/23/2005 12:00:00 AM"</f>
        <v>6/23/2005 12:00:00 AM</v>
      </c>
      <c r="O444" t="s">
        <v>1059</v>
      </c>
    </row>
    <row r="445" spans="1:20" x14ac:dyDescent="0.25">
      <c r="A445" t="str">
        <f>"3038660"</f>
        <v>3038660</v>
      </c>
      <c r="B445" t="s">
        <v>1061</v>
      </c>
      <c r="C445" t="str">
        <f>"24246000"</f>
        <v>24246000</v>
      </c>
      <c r="D445" t="s">
        <v>1062</v>
      </c>
      <c r="F445" t="s">
        <v>1063</v>
      </c>
      <c r="I445" t="s">
        <v>29</v>
      </c>
      <c r="J445" t="s">
        <v>30</v>
      </c>
      <c r="K445" t="s">
        <v>1056</v>
      </c>
      <c r="M445" t="s">
        <v>32</v>
      </c>
      <c r="N445" t="str">
        <f>"3/15/2006 12:00:00 AM"</f>
        <v>3/15/2006 12:00:00 AM</v>
      </c>
      <c r="O445" t="s">
        <v>1062</v>
      </c>
      <c r="T445" t="s">
        <v>1062</v>
      </c>
    </row>
    <row r="446" spans="1:20" x14ac:dyDescent="0.25">
      <c r="A446" t="str">
        <f>"3078915"</f>
        <v>3078915</v>
      </c>
      <c r="B446" t="s">
        <v>1064</v>
      </c>
      <c r="C446" t="str">
        <f>"24246000"</f>
        <v>24246000</v>
      </c>
      <c r="D446" t="s">
        <v>1062</v>
      </c>
      <c r="F446" t="s">
        <v>1063</v>
      </c>
      <c r="I446" t="s">
        <v>29</v>
      </c>
      <c r="J446" t="s">
        <v>30</v>
      </c>
      <c r="K446" t="s">
        <v>1056</v>
      </c>
      <c r="M446" t="s">
        <v>32</v>
      </c>
      <c r="N446" t="str">
        <f>"3/15/2006 12:00:00 AM"</f>
        <v>3/15/2006 12:00:00 AM</v>
      </c>
      <c r="O446" t="s">
        <v>1062</v>
      </c>
      <c r="T446" t="s">
        <v>1062</v>
      </c>
    </row>
    <row r="447" spans="1:20" x14ac:dyDescent="0.25">
      <c r="A447" t="str">
        <f>"3062094"</f>
        <v>3062094</v>
      </c>
      <c r="B447" t="s">
        <v>1065</v>
      </c>
      <c r="C447" t="str">
        <f>"56804000"</f>
        <v>56804000</v>
      </c>
      <c r="D447" t="s">
        <v>1066</v>
      </c>
      <c r="E447" t="s">
        <v>1067</v>
      </c>
      <c r="F447" t="s">
        <v>1068</v>
      </c>
      <c r="I447" t="s">
        <v>29</v>
      </c>
      <c r="J447" t="s">
        <v>30</v>
      </c>
      <c r="K447" t="s">
        <v>31</v>
      </c>
      <c r="M447" t="s">
        <v>32</v>
      </c>
      <c r="N447" t="str">
        <f>"3/31/2004 12:00:00 AM"</f>
        <v>3/31/2004 12:00:00 AM</v>
      </c>
      <c r="O447" t="s">
        <v>1066</v>
      </c>
      <c r="T447" t="s">
        <v>1067</v>
      </c>
    </row>
    <row r="448" spans="1:20" x14ac:dyDescent="0.25">
      <c r="A448" t="str">
        <f>"3062101"</f>
        <v>3062101</v>
      </c>
      <c r="B448" t="s">
        <v>1069</v>
      </c>
      <c r="C448" t="str">
        <f>"56772000"</f>
        <v>56772000</v>
      </c>
      <c r="D448" t="s">
        <v>1070</v>
      </c>
      <c r="F448" t="s">
        <v>1068</v>
      </c>
      <c r="I448" t="s">
        <v>29</v>
      </c>
      <c r="J448" t="s">
        <v>30</v>
      </c>
      <c r="K448" t="s">
        <v>31</v>
      </c>
      <c r="M448" t="s">
        <v>32</v>
      </c>
      <c r="N448" t="str">
        <f>"3/31/2004 12:00:00 AM"</f>
        <v>3/31/2004 12:00:00 AM</v>
      </c>
      <c r="O448" t="s">
        <v>1070</v>
      </c>
    </row>
    <row r="449" spans="1:20" x14ac:dyDescent="0.25">
      <c r="A449" t="str">
        <f>"3062096"</f>
        <v>3062096</v>
      </c>
      <c r="B449" t="s">
        <v>1071</v>
      </c>
      <c r="C449" t="str">
        <f>"30787000"</f>
        <v>30787000</v>
      </c>
      <c r="D449" t="s">
        <v>1072</v>
      </c>
      <c r="E449" t="s">
        <v>1073</v>
      </c>
      <c r="F449" t="s">
        <v>1074</v>
      </c>
      <c r="I449" t="s">
        <v>29</v>
      </c>
      <c r="J449" t="s">
        <v>30</v>
      </c>
      <c r="K449" t="s">
        <v>1075</v>
      </c>
      <c r="M449" t="s">
        <v>32</v>
      </c>
      <c r="N449" t="str">
        <f>"3/4/2005 12:00:00 AM"</f>
        <v>3/4/2005 12:00:00 AM</v>
      </c>
      <c r="O449" t="s">
        <v>1072</v>
      </c>
      <c r="T449" t="s">
        <v>1073</v>
      </c>
    </row>
    <row r="450" spans="1:20" x14ac:dyDescent="0.25">
      <c r="A450" t="str">
        <f>"3059613"</f>
        <v>3059613</v>
      </c>
      <c r="B450" t="s">
        <v>1076</v>
      </c>
      <c r="C450" t="str">
        <f>"82515444"</f>
        <v>82515444</v>
      </c>
      <c r="D450" t="s">
        <v>1077</v>
      </c>
      <c r="E450" t="s">
        <v>1078</v>
      </c>
      <c r="F450" t="s">
        <v>1079</v>
      </c>
      <c r="I450" t="s">
        <v>29</v>
      </c>
      <c r="J450" t="s">
        <v>30</v>
      </c>
      <c r="K450" t="s">
        <v>31</v>
      </c>
      <c r="M450" t="s">
        <v>32</v>
      </c>
      <c r="N450" t="str">
        <f>"1/18/2011 12:00:00 AM"</f>
        <v>1/18/2011 12:00:00 AM</v>
      </c>
      <c r="O450" t="s">
        <v>1077</v>
      </c>
      <c r="T450" t="s">
        <v>1078</v>
      </c>
    </row>
    <row r="451" spans="1:20" x14ac:dyDescent="0.25">
      <c r="A451" t="str">
        <f>"3038738"</f>
        <v>3038738</v>
      </c>
      <c r="B451" t="s">
        <v>1080</v>
      </c>
      <c r="C451" t="str">
        <f>"3676000"</f>
        <v>3676000</v>
      </c>
      <c r="D451" t="s">
        <v>1081</v>
      </c>
      <c r="E451" t="s">
        <v>1082</v>
      </c>
      <c r="F451" t="s">
        <v>1083</v>
      </c>
      <c r="I451" t="s">
        <v>29</v>
      </c>
      <c r="J451" t="s">
        <v>30</v>
      </c>
      <c r="K451" t="s">
        <v>31</v>
      </c>
      <c r="M451" t="s">
        <v>32</v>
      </c>
      <c r="N451" t="str">
        <f>"5/16/2003 12:00:00 AM"</f>
        <v>5/16/2003 12:00:00 AM</v>
      </c>
      <c r="O451" t="s">
        <v>1081</v>
      </c>
      <c r="T451" t="s">
        <v>1082</v>
      </c>
    </row>
    <row r="452" spans="1:20" x14ac:dyDescent="0.25">
      <c r="A452" t="str">
        <f>"3070476"</f>
        <v>3070476</v>
      </c>
      <c r="B452" t="s">
        <v>1084</v>
      </c>
      <c r="C452" t="str">
        <f>"3712000"</f>
        <v>3712000</v>
      </c>
      <c r="D452" t="s">
        <v>1085</v>
      </c>
      <c r="F452" t="s">
        <v>1086</v>
      </c>
      <c r="I452" t="s">
        <v>29</v>
      </c>
      <c r="J452" t="s">
        <v>30</v>
      </c>
      <c r="K452" t="s">
        <v>1087</v>
      </c>
      <c r="M452" t="s">
        <v>32</v>
      </c>
      <c r="N452" t="str">
        <f>"2/25/2005 12:00:00 AM"</f>
        <v>2/25/2005 12:00:00 AM</v>
      </c>
      <c r="O452" t="s">
        <v>1085</v>
      </c>
    </row>
    <row r="453" spans="1:20" x14ac:dyDescent="0.25">
      <c r="A453" t="str">
        <f>"3038082"</f>
        <v>3038082</v>
      </c>
      <c r="B453" t="s">
        <v>1088</v>
      </c>
      <c r="C453" t="str">
        <f>"82521501"</f>
        <v>82521501</v>
      </c>
      <c r="D453" t="s">
        <v>1085</v>
      </c>
      <c r="E453" t="s">
        <v>1089</v>
      </c>
      <c r="F453" t="s">
        <v>1086</v>
      </c>
      <c r="I453" t="s">
        <v>29</v>
      </c>
      <c r="J453" t="s">
        <v>30</v>
      </c>
      <c r="K453" t="s">
        <v>31</v>
      </c>
      <c r="M453" t="s">
        <v>32</v>
      </c>
      <c r="N453" t="str">
        <f>"10/6/2003 12:00:00 AM"</f>
        <v>10/6/2003 12:00:00 AM</v>
      </c>
      <c r="O453" t="s">
        <v>1085</v>
      </c>
      <c r="T453" t="s">
        <v>1089</v>
      </c>
    </row>
    <row r="454" spans="1:20" x14ac:dyDescent="0.25">
      <c r="A454" t="str">
        <f>"3037919"</f>
        <v>3037919</v>
      </c>
      <c r="B454" t="s">
        <v>1090</v>
      </c>
      <c r="C454" t="str">
        <f>"82521501"</f>
        <v>82521501</v>
      </c>
      <c r="D454" t="s">
        <v>1085</v>
      </c>
      <c r="E454" t="s">
        <v>1089</v>
      </c>
      <c r="F454" t="s">
        <v>1086</v>
      </c>
      <c r="I454" t="s">
        <v>29</v>
      </c>
      <c r="J454" t="s">
        <v>30</v>
      </c>
      <c r="K454" t="s">
        <v>31</v>
      </c>
      <c r="M454" t="s">
        <v>32</v>
      </c>
      <c r="N454" t="str">
        <f>"10/6/2003 12:00:00 AM"</f>
        <v>10/6/2003 12:00:00 AM</v>
      </c>
      <c r="O454" t="s">
        <v>1085</v>
      </c>
      <c r="T454" t="s">
        <v>1089</v>
      </c>
    </row>
    <row r="455" spans="1:20" x14ac:dyDescent="0.25">
      <c r="A455" t="str">
        <f>"3038935"</f>
        <v>3038935</v>
      </c>
      <c r="B455" t="s">
        <v>1091</v>
      </c>
      <c r="C455" t="str">
        <f>"77920370"</f>
        <v>77920370</v>
      </c>
      <c r="D455" t="s">
        <v>1092</v>
      </c>
      <c r="E455" t="s">
        <v>1093</v>
      </c>
      <c r="F455" t="s">
        <v>1094</v>
      </c>
      <c r="I455" t="s">
        <v>29</v>
      </c>
      <c r="J455" t="s">
        <v>30</v>
      </c>
      <c r="K455" t="s">
        <v>31</v>
      </c>
      <c r="M455" t="s">
        <v>32</v>
      </c>
      <c r="N455" t="str">
        <f>"6/28/2004 12:00:00 AM"</f>
        <v>6/28/2004 12:00:00 AM</v>
      </c>
      <c r="O455" t="s">
        <v>1092</v>
      </c>
      <c r="T455" t="s">
        <v>1093</v>
      </c>
    </row>
    <row r="456" spans="1:20" x14ac:dyDescent="0.25">
      <c r="A456" t="str">
        <f>"3071133"</f>
        <v>3071133</v>
      </c>
      <c r="B456" t="s">
        <v>1095</v>
      </c>
      <c r="C456" t="str">
        <f>"42165000"</f>
        <v>42165000</v>
      </c>
      <c r="D456" t="s">
        <v>1096</v>
      </c>
      <c r="E456" t="s">
        <v>1097</v>
      </c>
      <c r="F456" t="s">
        <v>1098</v>
      </c>
      <c r="I456" t="s">
        <v>29</v>
      </c>
      <c r="J456" t="s">
        <v>30</v>
      </c>
      <c r="K456" t="s">
        <v>31</v>
      </c>
      <c r="M456" t="s">
        <v>32</v>
      </c>
      <c r="N456" t="str">
        <f>"3/13/2002 12:00:00 AM"</f>
        <v>3/13/2002 12:00:00 AM</v>
      </c>
      <c r="O456" t="s">
        <v>1096</v>
      </c>
      <c r="T456" t="s">
        <v>1097</v>
      </c>
    </row>
    <row r="457" spans="1:20" x14ac:dyDescent="0.25">
      <c r="A457" t="str">
        <f>"3037682"</f>
        <v>3037682</v>
      </c>
      <c r="B457" t="s">
        <v>1099</v>
      </c>
      <c r="C457" t="str">
        <f>"82521178"</f>
        <v>82521178</v>
      </c>
      <c r="D457" t="s">
        <v>1100</v>
      </c>
      <c r="E457" t="s">
        <v>1101</v>
      </c>
      <c r="F457" t="s">
        <v>1102</v>
      </c>
      <c r="I457" t="s">
        <v>29</v>
      </c>
      <c r="J457" t="s">
        <v>30</v>
      </c>
      <c r="K457" t="s">
        <v>1103</v>
      </c>
      <c r="M457" t="s">
        <v>32</v>
      </c>
      <c r="N457" t="str">
        <f>"1/23/2007 12:00:00 AM"</f>
        <v>1/23/2007 12:00:00 AM</v>
      </c>
      <c r="O457" t="s">
        <v>1100</v>
      </c>
      <c r="T457" t="s">
        <v>1101</v>
      </c>
    </row>
    <row r="458" spans="1:20" x14ac:dyDescent="0.25">
      <c r="A458" t="str">
        <f>"3038059"</f>
        <v>3038059</v>
      </c>
      <c r="B458" t="s">
        <v>1104</v>
      </c>
      <c r="C458" t="str">
        <f t="shared" ref="C458:C465" si="21">"18892500"</f>
        <v>18892500</v>
      </c>
      <c r="D458" t="s">
        <v>1105</v>
      </c>
      <c r="F458" t="s">
        <v>1106</v>
      </c>
      <c r="I458" t="s">
        <v>1107</v>
      </c>
      <c r="J458" t="s">
        <v>30</v>
      </c>
      <c r="K458" t="s">
        <v>1108</v>
      </c>
      <c r="M458" t="s">
        <v>32</v>
      </c>
      <c r="N458" t="str">
        <f t="shared" ref="N458:N465" si="22">"4/10/2003 12:00:00 AM"</f>
        <v>4/10/2003 12:00:00 AM</v>
      </c>
      <c r="O458" t="s">
        <v>1105</v>
      </c>
    </row>
    <row r="459" spans="1:20" x14ac:dyDescent="0.25">
      <c r="A459" t="str">
        <f>"3039969"</f>
        <v>3039969</v>
      </c>
      <c r="B459" t="s">
        <v>1109</v>
      </c>
      <c r="C459" t="str">
        <f t="shared" si="21"/>
        <v>18892500</v>
      </c>
      <c r="D459" t="s">
        <v>1105</v>
      </c>
      <c r="F459" t="s">
        <v>1106</v>
      </c>
      <c r="I459" t="s">
        <v>1107</v>
      </c>
      <c r="J459" t="s">
        <v>30</v>
      </c>
      <c r="K459" t="s">
        <v>1108</v>
      </c>
      <c r="M459" t="s">
        <v>32</v>
      </c>
      <c r="N459" t="str">
        <f t="shared" si="22"/>
        <v>4/10/2003 12:00:00 AM</v>
      </c>
      <c r="O459" t="s">
        <v>1105</v>
      </c>
    </row>
    <row r="460" spans="1:20" x14ac:dyDescent="0.25">
      <c r="A460" t="str">
        <f>"3042032"</f>
        <v>3042032</v>
      </c>
      <c r="B460" t="s">
        <v>1110</v>
      </c>
      <c r="C460" t="str">
        <f t="shared" si="21"/>
        <v>18892500</v>
      </c>
      <c r="D460" t="s">
        <v>1105</v>
      </c>
      <c r="F460" t="s">
        <v>1106</v>
      </c>
      <c r="I460" t="s">
        <v>1107</v>
      </c>
      <c r="J460" t="s">
        <v>30</v>
      </c>
      <c r="K460" t="s">
        <v>1108</v>
      </c>
      <c r="M460" t="s">
        <v>32</v>
      </c>
      <c r="N460" t="str">
        <f t="shared" si="22"/>
        <v>4/10/2003 12:00:00 AM</v>
      </c>
      <c r="O460" t="s">
        <v>1105</v>
      </c>
    </row>
    <row r="461" spans="1:20" x14ac:dyDescent="0.25">
      <c r="A461" t="str">
        <f>"3057156"</f>
        <v>3057156</v>
      </c>
      <c r="B461" t="s">
        <v>1111</v>
      </c>
      <c r="C461" t="str">
        <f t="shared" si="21"/>
        <v>18892500</v>
      </c>
      <c r="D461" t="s">
        <v>1105</v>
      </c>
      <c r="F461" t="s">
        <v>1106</v>
      </c>
      <c r="I461" t="s">
        <v>1107</v>
      </c>
      <c r="J461" t="s">
        <v>30</v>
      </c>
      <c r="K461" t="s">
        <v>1108</v>
      </c>
      <c r="M461" t="s">
        <v>32</v>
      </c>
      <c r="N461" t="str">
        <f t="shared" si="22"/>
        <v>4/10/2003 12:00:00 AM</v>
      </c>
      <c r="O461" t="s">
        <v>1105</v>
      </c>
    </row>
    <row r="462" spans="1:20" x14ac:dyDescent="0.25">
      <c r="A462" t="str">
        <f>"3051704"</f>
        <v>3051704</v>
      </c>
      <c r="B462" t="s">
        <v>1112</v>
      </c>
      <c r="C462" t="str">
        <f t="shared" si="21"/>
        <v>18892500</v>
      </c>
      <c r="D462" t="s">
        <v>1105</v>
      </c>
      <c r="F462" t="s">
        <v>1106</v>
      </c>
      <c r="I462" t="s">
        <v>1107</v>
      </c>
      <c r="J462" t="s">
        <v>30</v>
      </c>
      <c r="K462" t="s">
        <v>1108</v>
      </c>
      <c r="M462" t="s">
        <v>32</v>
      </c>
      <c r="N462" t="str">
        <f t="shared" si="22"/>
        <v>4/10/2003 12:00:00 AM</v>
      </c>
      <c r="O462" t="s">
        <v>1105</v>
      </c>
    </row>
    <row r="463" spans="1:20" x14ac:dyDescent="0.25">
      <c r="A463" t="str">
        <f>"3052345"</f>
        <v>3052345</v>
      </c>
      <c r="B463" t="s">
        <v>1113</v>
      </c>
      <c r="C463" t="str">
        <f t="shared" si="21"/>
        <v>18892500</v>
      </c>
      <c r="D463" t="s">
        <v>1105</v>
      </c>
      <c r="F463" t="s">
        <v>1106</v>
      </c>
      <c r="I463" t="s">
        <v>1107</v>
      </c>
      <c r="J463" t="s">
        <v>30</v>
      </c>
      <c r="K463" t="s">
        <v>1108</v>
      </c>
      <c r="M463" t="s">
        <v>32</v>
      </c>
      <c r="N463" t="str">
        <f t="shared" si="22"/>
        <v>4/10/2003 12:00:00 AM</v>
      </c>
      <c r="O463" t="s">
        <v>1105</v>
      </c>
    </row>
    <row r="464" spans="1:20" x14ac:dyDescent="0.25">
      <c r="A464" t="str">
        <f>"3049669"</f>
        <v>3049669</v>
      </c>
      <c r="B464" t="s">
        <v>1114</v>
      </c>
      <c r="C464" t="str">
        <f t="shared" si="21"/>
        <v>18892500</v>
      </c>
      <c r="D464" t="s">
        <v>1105</v>
      </c>
      <c r="F464" t="s">
        <v>1106</v>
      </c>
      <c r="I464" t="s">
        <v>1107</v>
      </c>
      <c r="J464" t="s">
        <v>30</v>
      </c>
      <c r="K464" t="s">
        <v>1108</v>
      </c>
      <c r="M464" t="s">
        <v>32</v>
      </c>
      <c r="N464" t="str">
        <f t="shared" si="22"/>
        <v>4/10/2003 12:00:00 AM</v>
      </c>
      <c r="O464" t="s">
        <v>1105</v>
      </c>
    </row>
    <row r="465" spans="1:20" x14ac:dyDescent="0.25">
      <c r="A465" t="str">
        <f>"3078959"</f>
        <v>3078959</v>
      </c>
      <c r="B465" t="s">
        <v>1115</v>
      </c>
      <c r="C465" t="str">
        <f t="shared" si="21"/>
        <v>18892500</v>
      </c>
      <c r="D465" t="s">
        <v>1105</v>
      </c>
      <c r="F465" t="s">
        <v>1106</v>
      </c>
      <c r="I465" t="s">
        <v>1107</v>
      </c>
      <c r="J465" t="s">
        <v>30</v>
      </c>
      <c r="K465" t="s">
        <v>1108</v>
      </c>
      <c r="M465" t="s">
        <v>32</v>
      </c>
      <c r="N465" t="str">
        <f t="shared" si="22"/>
        <v>4/10/2003 12:00:00 AM</v>
      </c>
      <c r="O465" t="s">
        <v>1105</v>
      </c>
    </row>
    <row r="466" spans="1:20" x14ac:dyDescent="0.25">
      <c r="A466" t="str">
        <f>"3062079"</f>
        <v>3062079</v>
      </c>
      <c r="B466" t="s">
        <v>1116</v>
      </c>
      <c r="C466" t="str">
        <f>"82517745"</f>
        <v>82517745</v>
      </c>
      <c r="D466" t="s">
        <v>1117</v>
      </c>
      <c r="F466" t="s">
        <v>1118</v>
      </c>
      <c r="I466" t="s">
        <v>29</v>
      </c>
      <c r="J466" t="s">
        <v>30</v>
      </c>
      <c r="K466" t="s">
        <v>1119</v>
      </c>
      <c r="M466" t="s">
        <v>32</v>
      </c>
      <c r="N466" t="str">
        <f>"1/23/2006 12:00:00 AM"</f>
        <v>1/23/2006 12:00:00 AM</v>
      </c>
      <c r="O466" t="s">
        <v>1117</v>
      </c>
    </row>
    <row r="467" spans="1:20" x14ac:dyDescent="0.25">
      <c r="A467" t="str">
        <f>"3050245"</f>
        <v>3050245</v>
      </c>
      <c r="B467" t="s">
        <v>1120</v>
      </c>
      <c r="C467" t="str">
        <f>"82517745"</f>
        <v>82517745</v>
      </c>
      <c r="D467" t="s">
        <v>1117</v>
      </c>
      <c r="F467" t="s">
        <v>1118</v>
      </c>
      <c r="I467" t="s">
        <v>29</v>
      </c>
      <c r="J467" t="s">
        <v>30</v>
      </c>
      <c r="K467" t="s">
        <v>1119</v>
      </c>
      <c r="M467" t="s">
        <v>32</v>
      </c>
      <c r="N467" t="str">
        <f>"1/23/2006 12:00:00 AM"</f>
        <v>1/23/2006 12:00:00 AM</v>
      </c>
      <c r="O467" t="s">
        <v>1117</v>
      </c>
    </row>
    <row r="468" spans="1:20" x14ac:dyDescent="0.25">
      <c r="A468" t="str">
        <f>"3062072"</f>
        <v>3062072</v>
      </c>
      <c r="B468" t="s">
        <v>1121</v>
      </c>
      <c r="C468" t="str">
        <f>"25408000"</f>
        <v>25408000</v>
      </c>
      <c r="D468" t="s">
        <v>1122</v>
      </c>
      <c r="F468" t="s">
        <v>1123</v>
      </c>
      <c r="I468" t="s">
        <v>29</v>
      </c>
      <c r="J468" t="s">
        <v>30</v>
      </c>
      <c r="K468" t="s">
        <v>1124</v>
      </c>
      <c r="M468" t="s">
        <v>32</v>
      </c>
      <c r="N468" t="str">
        <f>"1/24/2005 12:00:00 AM"</f>
        <v>1/24/2005 12:00:00 AM</v>
      </c>
      <c r="O468" t="s">
        <v>1122</v>
      </c>
    </row>
    <row r="469" spans="1:20" x14ac:dyDescent="0.25">
      <c r="A469" t="str">
        <f>"3062082"</f>
        <v>3062082</v>
      </c>
      <c r="B469" t="s">
        <v>1125</v>
      </c>
      <c r="C469" t="str">
        <f>"25408000"</f>
        <v>25408000</v>
      </c>
      <c r="D469" t="s">
        <v>1122</v>
      </c>
      <c r="F469" t="s">
        <v>1123</v>
      </c>
      <c r="I469" t="s">
        <v>29</v>
      </c>
      <c r="J469" t="s">
        <v>30</v>
      </c>
      <c r="K469" t="s">
        <v>1124</v>
      </c>
      <c r="M469" t="s">
        <v>32</v>
      </c>
      <c r="N469" t="str">
        <f>"1/24/2005 12:00:00 AM"</f>
        <v>1/24/2005 12:00:00 AM</v>
      </c>
      <c r="O469" t="s">
        <v>1122</v>
      </c>
    </row>
    <row r="470" spans="1:20" x14ac:dyDescent="0.25">
      <c r="A470" t="str">
        <f>"3062084"</f>
        <v>3062084</v>
      </c>
      <c r="B470" t="s">
        <v>1126</v>
      </c>
      <c r="C470" t="str">
        <f>"65321750"</f>
        <v>65321750</v>
      </c>
      <c r="D470" t="s">
        <v>1127</v>
      </c>
      <c r="E470" t="s">
        <v>1128</v>
      </c>
      <c r="F470" t="s">
        <v>1129</v>
      </c>
      <c r="I470" t="s">
        <v>29</v>
      </c>
      <c r="J470" t="s">
        <v>30</v>
      </c>
      <c r="K470" t="s">
        <v>31</v>
      </c>
      <c r="M470" t="s">
        <v>32</v>
      </c>
      <c r="N470" t="str">
        <f>"3/13/2002 12:00:00 AM"</f>
        <v>3/13/2002 12:00:00 AM</v>
      </c>
      <c r="O470" t="s">
        <v>1127</v>
      </c>
      <c r="T470" t="s">
        <v>1128</v>
      </c>
    </row>
    <row r="471" spans="1:20" x14ac:dyDescent="0.25">
      <c r="A471" t="str">
        <f>"3062087"</f>
        <v>3062087</v>
      </c>
      <c r="B471" t="s">
        <v>1130</v>
      </c>
      <c r="C471" t="str">
        <f>"59002150"</f>
        <v>59002150</v>
      </c>
      <c r="D471" t="s">
        <v>1131</v>
      </c>
      <c r="E471" t="s">
        <v>1132</v>
      </c>
      <c r="F471" t="s">
        <v>1133</v>
      </c>
      <c r="I471" t="s">
        <v>29</v>
      </c>
      <c r="J471" t="s">
        <v>30</v>
      </c>
      <c r="K471" t="s">
        <v>31</v>
      </c>
      <c r="M471" t="s">
        <v>32</v>
      </c>
      <c r="N471" t="str">
        <f>"4/6/2004 12:00:00 AM"</f>
        <v>4/6/2004 12:00:00 AM</v>
      </c>
      <c r="O471" t="s">
        <v>1131</v>
      </c>
      <c r="T471" t="s">
        <v>1132</v>
      </c>
    </row>
    <row r="472" spans="1:20" x14ac:dyDescent="0.25">
      <c r="A472" t="str">
        <f>"3039352"</f>
        <v>3039352</v>
      </c>
      <c r="B472" t="s">
        <v>1134</v>
      </c>
      <c r="C472" t="str">
        <f>"6048000"</f>
        <v>6048000</v>
      </c>
      <c r="D472" t="s">
        <v>1135</v>
      </c>
      <c r="E472" t="s">
        <v>1136</v>
      </c>
      <c r="F472" t="s">
        <v>1137</v>
      </c>
      <c r="I472" t="s">
        <v>402</v>
      </c>
      <c r="J472" t="s">
        <v>30</v>
      </c>
      <c r="K472" t="s">
        <v>403</v>
      </c>
      <c r="M472" t="s">
        <v>32</v>
      </c>
      <c r="N472" t="str">
        <f>"3/14/2003 12:00:00 AM"</f>
        <v>3/14/2003 12:00:00 AM</v>
      </c>
      <c r="O472" t="s">
        <v>1135</v>
      </c>
      <c r="T472" t="s">
        <v>1136</v>
      </c>
    </row>
    <row r="473" spans="1:20" x14ac:dyDescent="0.25">
      <c r="A473" t="str">
        <f>"3040122"</f>
        <v>3040122</v>
      </c>
      <c r="B473" t="s">
        <v>1138</v>
      </c>
      <c r="C473" t="str">
        <f>"82514570"</f>
        <v>82514570</v>
      </c>
      <c r="D473" t="s">
        <v>1139</v>
      </c>
      <c r="E473" t="s">
        <v>1140</v>
      </c>
      <c r="F473" t="s">
        <v>1141</v>
      </c>
      <c r="I473" t="s">
        <v>29</v>
      </c>
      <c r="J473" t="s">
        <v>30</v>
      </c>
      <c r="K473" t="s">
        <v>31</v>
      </c>
      <c r="M473" t="s">
        <v>32</v>
      </c>
      <c r="N473" t="str">
        <f>"7/27/2004 12:00:00 AM"</f>
        <v>7/27/2004 12:00:00 AM</v>
      </c>
      <c r="O473" t="s">
        <v>1139</v>
      </c>
      <c r="T473" t="s">
        <v>1140</v>
      </c>
    </row>
    <row r="474" spans="1:20" x14ac:dyDescent="0.25">
      <c r="A474" t="str">
        <f>"3043268"</f>
        <v>3043268</v>
      </c>
      <c r="B474" t="s">
        <v>1142</v>
      </c>
      <c r="C474" t="str">
        <f>"82522040"</f>
        <v>82522040</v>
      </c>
      <c r="D474" t="s">
        <v>1143</v>
      </c>
      <c r="F474" t="s">
        <v>1144</v>
      </c>
      <c r="I474" t="s">
        <v>29</v>
      </c>
      <c r="J474" t="s">
        <v>30</v>
      </c>
      <c r="K474" t="s">
        <v>31</v>
      </c>
      <c r="M474" t="s">
        <v>32</v>
      </c>
      <c r="N474" t="str">
        <f>"1/16/2004 12:00:00 AM"</f>
        <v>1/16/2004 12:00:00 AM</v>
      </c>
      <c r="O474" t="s">
        <v>1143</v>
      </c>
    </row>
    <row r="475" spans="1:20" x14ac:dyDescent="0.25">
      <c r="A475" t="str">
        <f>"3043488"</f>
        <v>3043488</v>
      </c>
      <c r="B475" t="s">
        <v>1145</v>
      </c>
      <c r="C475" t="str">
        <f>"82522040"</f>
        <v>82522040</v>
      </c>
      <c r="D475" t="s">
        <v>1143</v>
      </c>
      <c r="F475" t="s">
        <v>1144</v>
      </c>
      <c r="I475" t="s">
        <v>29</v>
      </c>
      <c r="J475" t="s">
        <v>30</v>
      </c>
      <c r="K475" t="s">
        <v>31</v>
      </c>
      <c r="M475" t="s">
        <v>32</v>
      </c>
      <c r="N475" t="str">
        <f>"1/16/2004 12:00:00 AM"</f>
        <v>1/16/2004 12:00:00 AM</v>
      </c>
      <c r="O475" t="s">
        <v>1143</v>
      </c>
    </row>
    <row r="476" spans="1:20" x14ac:dyDescent="0.25">
      <c r="A476" t="str">
        <f>"3040172"</f>
        <v>3040172</v>
      </c>
      <c r="B476" t="s">
        <v>1146</v>
      </c>
      <c r="C476" t="str">
        <f>"82519968"</f>
        <v>82519968</v>
      </c>
      <c r="D476" t="s">
        <v>1147</v>
      </c>
      <c r="F476" t="s">
        <v>1148</v>
      </c>
      <c r="I476" t="s">
        <v>1149</v>
      </c>
      <c r="J476" t="s">
        <v>30</v>
      </c>
      <c r="K476" t="s">
        <v>1150</v>
      </c>
      <c r="M476" t="s">
        <v>32</v>
      </c>
      <c r="N476" t="str">
        <f>"1/13/2003 12:00:00 AM"</f>
        <v>1/13/2003 12:00:00 AM</v>
      </c>
      <c r="O476" t="s">
        <v>1147</v>
      </c>
    </row>
    <row r="477" spans="1:20" x14ac:dyDescent="0.25">
      <c r="A477" t="str">
        <f>"3040217"</f>
        <v>3040217</v>
      </c>
      <c r="B477" t="s">
        <v>1151</v>
      </c>
      <c r="C477" t="str">
        <f>"42914560"</f>
        <v>42914560</v>
      </c>
      <c r="D477" t="s">
        <v>1152</v>
      </c>
      <c r="E477" t="s">
        <v>1153</v>
      </c>
      <c r="F477" t="s">
        <v>1154</v>
      </c>
      <c r="I477" t="s">
        <v>29</v>
      </c>
      <c r="J477" t="s">
        <v>30</v>
      </c>
      <c r="K477" t="s">
        <v>31</v>
      </c>
      <c r="M477" t="s">
        <v>32</v>
      </c>
      <c r="N477" t="str">
        <f>"11/21/2003 12:00:00 AM"</f>
        <v>11/21/2003 12:00:00 AM</v>
      </c>
      <c r="O477" t="s">
        <v>1152</v>
      </c>
      <c r="T477" t="s">
        <v>1153</v>
      </c>
    </row>
    <row r="478" spans="1:20" x14ac:dyDescent="0.25">
      <c r="A478" t="str">
        <f>"3039996"</f>
        <v>3039996</v>
      </c>
      <c r="B478" t="s">
        <v>1155</v>
      </c>
      <c r="C478" t="str">
        <f>"42914560"</f>
        <v>42914560</v>
      </c>
      <c r="D478" t="s">
        <v>1152</v>
      </c>
      <c r="E478" t="s">
        <v>1153</v>
      </c>
      <c r="F478" t="s">
        <v>1154</v>
      </c>
      <c r="I478" t="s">
        <v>29</v>
      </c>
      <c r="J478" t="s">
        <v>30</v>
      </c>
      <c r="K478" t="s">
        <v>31</v>
      </c>
      <c r="M478" t="s">
        <v>32</v>
      </c>
      <c r="N478" t="str">
        <f>"11/21/2003 12:00:00 AM"</f>
        <v>11/21/2003 12:00:00 AM</v>
      </c>
      <c r="O478" t="s">
        <v>1152</v>
      </c>
      <c r="T478" t="s">
        <v>1153</v>
      </c>
    </row>
    <row r="479" spans="1:20" x14ac:dyDescent="0.25">
      <c r="A479" t="str">
        <f>"3040173"</f>
        <v>3040173</v>
      </c>
      <c r="B479" t="s">
        <v>1156</v>
      </c>
      <c r="C479" t="str">
        <f>"78352000"</f>
        <v>78352000</v>
      </c>
      <c r="D479" t="s">
        <v>1157</v>
      </c>
      <c r="E479" t="s">
        <v>1158</v>
      </c>
      <c r="F479" t="s">
        <v>1159</v>
      </c>
      <c r="I479" t="s">
        <v>29</v>
      </c>
      <c r="J479" t="s">
        <v>30</v>
      </c>
      <c r="K479" t="s">
        <v>31</v>
      </c>
      <c r="M479" t="s">
        <v>32</v>
      </c>
      <c r="N479" t="str">
        <f>"3/13/2002 12:00:00 AM"</f>
        <v>3/13/2002 12:00:00 AM</v>
      </c>
      <c r="O479" t="s">
        <v>1157</v>
      </c>
      <c r="T479" t="s">
        <v>1158</v>
      </c>
    </row>
    <row r="480" spans="1:20" x14ac:dyDescent="0.25">
      <c r="A480" t="str">
        <f>"3069707"</f>
        <v>3069707</v>
      </c>
      <c r="B480" t="s">
        <v>1160</v>
      </c>
      <c r="C480" t="str">
        <f>"8568000"</f>
        <v>8568000</v>
      </c>
      <c r="D480" t="s">
        <v>1161</v>
      </c>
      <c r="F480" t="s">
        <v>1162</v>
      </c>
      <c r="I480" t="s">
        <v>29</v>
      </c>
      <c r="J480" t="s">
        <v>30</v>
      </c>
      <c r="K480" t="s">
        <v>31</v>
      </c>
      <c r="M480" t="s">
        <v>32</v>
      </c>
      <c r="N480" t="str">
        <f>"6/6/2003 12:00:00 AM"</f>
        <v>6/6/2003 12:00:00 AM</v>
      </c>
      <c r="O480" t="s">
        <v>1161</v>
      </c>
    </row>
    <row r="481" spans="1:20" x14ac:dyDescent="0.25">
      <c r="A481" t="str">
        <f>"3040050"</f>
        <v>3040050</v>
      </c>
      <c r="B481" t="s">
        <v>1163</v>
      </c>
      <c r="C481" t="str">
        <f>"77922620"</f>
        <v>77922620</v>
      </c>
      <c r="D481" t="s">
        <v>1164</v>
      </c>
      <c r="F481" t="s">
        <v>1165</v>
      </c>
      <c r="I481" t="s">
        <v>29</v>
      </c>
      <c r="J481" t="s">
        <v>30</v>
      </c>
      <c r="K481" t="s">
        <v>1166</v>
      </c>
      <c r="M481" t="s">
        <v>32</v>
      </c>
      <c r="N481" t="str">
        <f>"1/8/2010 12:00:00 AM"</f>
        <v>1/8/2010 12:00:00 AM</v>
      </c>
      <c r="O481" t="s">
        <v>1164</v>
      </c>
      <c r="T481" t="s">
        <v>1164</v>
      </c>
    </row>
    <row r="482" spans="1:20" x14ac:dyDescent="0.25">
      <c r="A482" t="str">
        <f>"3040059"</f>
        <v>3040059</v>
      </c>
      <c r="B482" t="s">
        <v>1167</v>
      </c>
      <c r="C482" t="str">
        <f>"51064200"</f>
        <v>51064200</v>
      </c>
      <c r="D482" t="s">
        <v>1168</v>
      </c>
      <c r="E482" t="s">
        <v>1169</v>
      </c>
      <c r="F482" t="s">
        <v>1170</v>
      </c>
      <c r="I482" t="s">
        <v>29</v>
      </c>
      <c r="J482" t="s">
        <v>30</v>
      </c>
      <c r="K482" t="s">
        <v>1171</v>
      </c>
      <c r="M482" t="s">
        <v>32</v>
      </c>
      <c r="N482" t="str">
        <f>"2/12/2007 12:00:00 AM"</f>
        <v>2/12/2007 12:00:00 AM</v>
      </c>
      <c r="O482" t="s">
        <v>1168</v>
      </c>
      <c r="T482" t="s">
        <v>1169</v>
      </c>
    </row>
    <row r="483" spans="1:20" x14ac:dyDescent="0.25">
      <c r="A483" t="str">
        <f>"3040146"</f>
        <v>3040146</v>
      </c>
      <c r="B483" t="s">
        <v>1172</v>
      </c>
      <c r="C483" t="str">
        <f t="shared" ref="C483:C491" si="23">"14017250"</f>
        <v>14017250</v>
      </c>
      <c r="D483" t="s">
        <v>1173</v>
      </c>
      <c r="E483" t="s">
        <v>1174</v>
      </c>
      <c r="F483" t="s">
        <v>1175</v>
      </c>
      <c r="I483" t="s">
        <v>1176</v>
      </c>
      <c r="J483" t="s">
        <v>30</v>
      </c>
      <c r="K483" t="s">
        <v>1177</v>
      </c>
      <c r="M483" t="s">
        <v>32</v>
      </c>
      <c r="N483" t="str">
        <f t="shared" ref="N483:N491" si="24">"9/4/2002 12:00:00 AM"</f>
        <v>9/4/2002 12:00:00 AM</v>
      </c>
      <c r="O483" t="s">
        <v>1173</v>
      </c>
      <c r="T483" t="s">
        <v>1174</v>
      </c>
    </row>
    <row r="484" spans="1:20" x14ac:dyDescent="0.25">
      <c r="A484" t="str">
        <f>"3046274"</f>
        <v>3046274</v>
      </c>
      <c r="B484" t="s">
        <v>1178</v>
      </c>
      <c r="C484" t="str">
        <f t="shared" si="23"/>
        <v>14017250</v>
      </c>
      <c r="D484" t="s">
        <v>1173</v>
      </c>
      <c r="E484" t="s">
        <v>1174</v>
      </c>
      <c r="F484" t="s">
        <v>1175</v>
      </c>
      <c r="I484" t="s">
        <v>1176</v>
      </c>
      <c r="J484" t="s">
        <v>30</v>
      </c>
      <c r="K484" t="s">
        <v>1177</v>
      </c>
      <c r="M484" t="s">
        <v>32</v>
      </c>
      <c r="N484" t="str">
        <f t="shared" si="24"/>
        <v>9/4/2002 12:00:00 AM</v>
      </c>
      <c r="O484" t="s">
        <v>1173</v>
      </c>
      <c r="T484" t="s">
        <v>1174</v>
      </c>
    </row>
    <row r="485" spans="1:20" x14ac:dyDescent="0.25">
      <c r="A485" t="str">
        <f>"3051880"</f>
        <v>3051880</v>
      </c>
      <c r="B485" t="s">
        <v>1179</v>
      </c>
      <c r="C485" t="str">
        <f t="shared" si="23"/>
        <v>14017250</v>
      </c>
      <c r="D485" t="s">
        <v>1173</v>
      </c>
      <c r="E485" t="s">
        <v>1174</v>
      </c>
      <c r="F485" t="s">
        <v>1175</v>
      </c>
      <c r="I485" t="s">
        <v>1176</v>
      </c>
      <c r="J485" t="s">
        <v>30</v>
      </c>
      <c r="K485" t="s">
        <v>1177</v>
      </c>
      <c r="M485" t="s">
        <v>32</v>
      </c>
      <c r="N485" t="str">
        <f t="shared" si="24"/>
        <v>9/4/2002 12:00:00 AM</v>
      </c>
      <c r="O485" t="s">
        <v>1173</v>
      </c>
      <c r="T485" t="s">
        <v>1174</v>
      </c>
    </row>
    <row r="486" spans="1:20" x14ac:dyDescent="0.25">
      <c r="A486" t="str">
        <f>"3051936"</f>
        <v>3051936</v>
      </c>
      <c r="B486" t="s">
        <v>1180</v>
      </c>
      <c r="C486" t="str">
        <f t="shared" si="23"/>
        <v>14017250</v>
      </c>
      <c r="D486" t="s">
        <v>1173</v>
      </c>
      <c r="E486" t="s">
        <v>1174</v>
      </c>
      <c r="F486" t="s">
        <v>1175</v>
      </c>
      <c r="I486" t="s">
        <v>1176</v>
      </c>
      <c r="J486" t="s">
        <v>30</v>
      </c>
      <c r="K486" t="s">
        <v>1177</v>
      </c>
      <c r="M486" t="s">
        <v>32</v>
      </c>
      <c r="N486" t="str">
        <f t="shared" si="24"/>
        <v>9/4/2002 12:00:00 AM</v>
      </c>
      <c r="O486" t="s">
        <v>1173</v>
      </c>
      <c r="T486" t="s">
        <v>1174</v>
      </c>
    </row>
    <row r="487" spans="1:20" x14ac:dyDescent="0.25">
      <c r="A487" t="str">
        <f>"3051770"</f>
        <v>3051770</v>
      </c>
      <c r="B487" t="s">
        <v>1181</v>
      </c>
      <c r="C487" t="str">
        <f t="shared" si="23"/>
        <v>14017250</v>
      </c>
      <c r="D487" t="s">
        <v>1173</v>
      </c>
      <c r="E487" t="s">
        <v>1174</v>
      </c>
      <c r="F487" t="s">
        <v>1175</v>
      </c>
      <c r="I487" t="s">
        <v>1176</v>
      </c>
      <c r="J487" t="s">
        <v>30</v>
      </c>
      <c r="K487" t="s">
        <v>1177</v>
      </c>
      <c r="M487" t="s">
        <v>32</v>
      </c>
      <c r="N487" t="str">
        <f t="shared" si="24"/>
        <v>9/4/2002 12:00:00 AM</v>
      </c>
      <c r="O487" t="s">
        <v>1173</v>
      </c>
      <c r="T487" t="s">
        <v>1174</v>
      </c>
    </row>
    <row r="488" spans="1:20" x14ac:dyDescent="0.25">
      <c r="A488" t="str">
        <f>"3055462"</f>
        <v>3055462</v>
      </c>
      <c r="B488" t="s">
        <v>1182</v>
      </c>
      <c r="C488" t="str">
        <f t="shared" si="23"/>
        <v>14017250</v>
      </c>
      <c r="D488" t="s">
        <v>1173</v>
      </c>
      <c r="E488" t="s">
        <v>1174</v>
      </c>
      <c r="F488" t="s">
        <v>1175</v>
      </c>
      <c r="I488" t="s">
        <v>1176</v>
      </c>
      <c r="J488" t="s">
        <v>30</v>
      </c>
      <c r="K488" t="s">
        <v>1177</v>
      </c>
      <c r="M488" t="s">
        <v>32</v>
      </c>
      <c r="N488" t="str">
        <f t="shared" si="24"/>
        <v>9/4/2002 12:00:00 AM</v>
      </c>
      <c r="O488" t="s">
        <v>1173</v>
      </c>
      <c r="T488" t="s">
        <v>1174</v>
      </c>
    </row>
    <row r="489" spans="1:20" x14ac:dyDescent="0.25">
      <c r="A489" t="str">
        <f>"3059401"</f>
        <v>3059401</v>
      </c>
      <c r="B489" t="s">
        <v>1183</v>
      </c>
      <c r="C489" t="str">
        <f t="shared" si="23"/>
        <v>14017250</v>
      </c>
      <c r="D489" t="s">
        <v>1173</v>
      </c>
      <c r="E489" t="s">
        <v>1174</v>
      </c>
      <c r="F489" t="s">
        <v>1175</v>
      </c>
      <c r="I489" t="s">
        <v>1176</v>
      </c>
      <c r="J489" t="s">
        <v>30</v>
      </c>
      <c r="K489" t="s">
        <v>1177</v>
      </c>
      <c r="M489" t="s">
        <v>32</v>
      </c>
      <c r="N489" t="str">
        <f t="shared" si="24"/>
        <v>9/4/2002 12:00:00 AM</v>
      </c>
      <c r="O489" t="s">
        <v>1173</v>
      </c>
      <c r="T489" t="s">
        <v>1174</v>
      </c>
    </row>
    <row r="490" spans="1:20" x14ac:dyDescent="0.25">
      <c r="A490" t="str">
        <f>"3059418"</f>
        <v>3059418</v>
      </c>
      <c r="B490" t="s">
        <v>1184</v>
      </c>
      <c r="C490" t="str">
        <f t="shared" si="23"/>
        <v>14017250</v>
      </c>
      <c r="D490" t="s">
        <v>1173</v>
      </c>
      <c r="E490" t="s">
        <v>1174</v>
      </c>
      <c r="F490" t="s">
        <v>1175</v>
      </c>
      <c r="I490" t="s">
        <v>1176</v>
      </c>
      <c r="J490" t="s">
        <v>30</v>
      </c>
      <c r="K490" t="s">
        <v>1177</v>
      </c>
      <c r="M490" t="s">
        <v>32</v>
      </c>
      <c r="N490" t="str">
        <f t="shared" si="24"/>
        <v>9/4/2002 12:00:00 AM</v>
      </c>
      <c r="O490" t="s">
        <v>1173</v>
      </c>
      <c r="T490" t="s">
        <v>1174</v>
      </c>
    </row>
    <row r="491" spans="1:20" x14ac:dyDescent="0.25">
      <c r="A491" t="str">
        <f>"3059463"</f>
        <v>3059463</v>
      </c>
      <c r="B491" t="s">
        <v>1185</v>
      </c>
      <c r="C491" t="str">
        <f t="shared" si="23"/>
        <v>14017250</v>
      </c>
      <c r="D491" t="s">
        <v>1173</v>
      </c>
      <c r="E491" t="s">
        <v>1174</v>
      </c>
      <c r="F491" t="s">
        <v>1175</v>
      </c>
      <c r="I491" t="s">
        <v>1176</v>
      </c>
      <c r="J491" t="s">
        <v>30</v>
      </c>
      <c r="K491" t="s">
        <v>1177</v>
      </c>
      <c r="M491" t="s">
        <v>32</v>
      </c>
      <c r="N491" t="str">
        <f t="shared" si="24"/>
        <v>9/4/2002 12:00:00 AM</v>
      </c>
      <c r="O491" t="s">
        <v>1173</v>
      </c>
      <c r="T491" t="s">
        <v>1174</v>
      </c>
    </row>
    <row r="492" spans="1:20" x14ac:dyDescent="0.25">
      <c r="A492" t="str">
        <f>"3067739"</f>
        <v>3067739</v>
      </c>
      <c r="B492" t="s">
        <v>1186</v>
      </c>
      <c r="C492" t="str">
        <f>"81723000"</f>
        <v>81723000</v>
      </c>
      <c r="D492" t="s">
        <v>1187</v>
      </c>
      <c r="F492" t="s">
        <v>1188</v>
      </c>
      <c r="I492" t="s">
        <v>29</v>
      </c>
      <c r="J492" t="s">
        <v>30</v>
      </c>
      <c r="K492" t="s">
        <v>1189</v>
      </c>
      <c r="M492" t="s">
        <v>32</v>
      </c>
      <c r="N492" t="str">
        <f>"1/17/2006 12:00:00 AM"</f>
        <v>1/17/2006 12:00:00 AM</v>
      </c>
      <c r="O492" t="s">
        <v>1187</v>
      </c>
    </row>
    <row r="493" spans="1:20" x14ac:dyDescent="0.25">
      <c r="A493" t="str">
        <f>"3038851"</f>
        <v>3038851</v>
      </c>
      <c r="B493" t="s">
        <v>1190</v>
      </c>
      <c r="C493" t="str">
        <f>"47579800"</f>
        <v>47579800</v>
      </c>
      <c r="D493" t="s">
        <v>1191</v>
      </c>
      <c r="F493" t="s">
        <v>1192</v>
      </c>
      <c r="I493" t="s">
        <v>29</v>
      </c>
      <c r="J493" t="s">
        <v>30</v>
      </c>
      <c r="K493" t="s">
        <v>31</v>
      </c>
      <c r="M493" t="s">
        <v>32</v>
      </c>
      <c r="N493" t="str">
        <f>"5/24/2010 12:00:00 AM"</f>
        <v>5/24/2010 12:00:00 AM</v>
      </c>
      <c r="O493" t="s">
        <v>1191</v>
      </c>
    </row>
    <row r="494" spans="1:20" x14ac:dyDescent="0.25">
      <c r="A494" t="str">
        <f>"3038661"</f>
        <v>3038661</v>
      </c>
      <c r="B494" t="s">
        <v>1193</v>
      </c>
      <c r="C494" t="str">
        <f>"82529010"</f>
        <v>82529010</v>
      </c>
      <c r="D494" t="s">
        <v>1194</v>
      </c>
      <c r="E494" t="s">
        <v>1195</v>
      </c>
      <c r="F494" t="s">
        <v>1196</v>
      </c>
      <c r="I494" t="s">
        <v>29</v>
      </c>
      <c r="J494" t="s">
        <v>30</v>
      </c>
      <c r="K494" t="s">
        <v>31</v>
      </c>
      <c r="M494" t="s">
        <v>32</v>
      </c>
      <c r="N494" t="str">
        <f>"1/20/2011 12:00:00 AM"</f>
        <v>1/20/2011 12:00:00 AM</v>
      </c>
      <c r="O494" t="s">
        <v>1194</v>
      </c>
      <c r="T494" t="s">
        <v>1195</v>
      </c>
    </row>
    <row r="495" spans="1:20" x14ac:dyDescent="0.25">
      <c r="A495" t="str">
        <f>"3037998"</f>
        <v>3037998</v>
      </c>
      <c r="B495" t="s">
        <v>1197</v>
      </c>
      <c r="C495" t="str">
        <f>"82515410"</f>
        <v>82515410</v>
      </c>
      <c r="D495" t="s">
        <v>1198</v>
      </c>
      <c r="E495" t="s">
        <v>1199</v>
      </c>
      <c r="F495" t="s">
        <v>1200</v>
      </c>
      <c r="I495" t="s">
        <v>471</v>
      </c>
      <c r="J495" t="s">
        <v>30</v>
      </c>
      <c r="K495" t="s">
        <v>1201</v>
      </c>
      <c r="M495" t="s">
        <v>32</v>
      </c>
      <c r="N495" t="str">
        <f>"1/21/2010 12:00:00 AM"</f>
        <v>1/21/2010 12:00:00 AM</v>
      </c>
      <c r="O495" t="s">
        <v>1198</v>
      </c>
      <c r="T495" t="s">
        <v>1199</v>
      </c>
    </row>
    <row r="496" spans="1:20" x14ac:dyDescent="0.25">
      <c r="A496" t="str">
        <f>"3038126"</f>
        <v>3038126</v>
      </c>
      <c r="B496" t="s">
        <v>1202</v>
      </c>
      <c r="C496" t="str">
        <f>"82515410"</f>
        <v>82515410</v>
      </c>
      <c r="D496" t="s">
        <v>1198</v>
      </c>
      <c r="E496" t="s">
        <v>1199</v>
      </c>
      <c r="F496" t="s">
        <v>1200</v>
      </c>
      <c r="I496" t="s">
        <v>471</v>
      </c>
      <c r="J496" t="s">
        <v>30</v>
      </c>
      <c r="K496" t="s">
        <v>1201</v>
      </c>
      <c r="M496" t="s">
        <v>32</v>
      </c>
      <c r="N496" t="str">
        <f>"1/21/2010 12:00:00 AM"</f>
        <v>1/21/2010 12:00:00 AM</v>
      </c>
      <c r="O496" t="s">
        <v>1198</v>
      </c>
      <c r="T496" t="s">
        <v>1199</v>
      </c>
    </row>
    <row r="497" spans="1:20" x14ac:dyDescent="0.25">
      <c r="A497" t="str">
        <f>"3040333"</f>
        <v>3040333</v>
      </c>
      <c r="B497" t="s">
        <v>1203</v>
      </c>
      <c r="C497" t="str">
        <f>"82515410"</f>
        <v>82515410</v>
      </c>
      <c r="D497" t="s">
        <v>1198</v>
      </c>
      <c r="E497" t="s">
        <v>1199</v>
      </c>
      <c r="F497" t="s">
        <v>1200</v>
      </c>
      <c r="I497" t="s">
        <v>471</v>
      </c>
      <c r="J497" t="s">
        <v>30</v>
      </c>
      <c r="K497" t="s">
        <v>1201</v>
      </c>
      <c r="M497" t="s">
        <v>32</v>
      </c>
      <c r="N497" t="str">
        <f>"1/21/2010 12:00:00 AM"</f>
        <v>1/21/2010 12:00:00 AM</v>
      </c>
      <c r="O497" t="s">
        <v>1198</v>
      </c>
      <c r="T497" t="s">
        <v>1199</v>
      </c>
    </row>
    <row r="498" spans="1:20" x14ac:dyDescent="0.25">
      <c r="A498" t="str">
        <f>"3040468"</f>
        <v>3040468</v>
      </c>
      <c r="B498" t="s">
        <v>1204</v>
      </c>
      <c r="C498" t="str">
        <f>"82515410"</f>
        <v>82515410</v>
      </c>
      <c r="D498" t="s">
        <v>1198</v>
      </c>
      <c r="E498" t="s">
        <v>1199</v>
      </c>
      <c r="F498" t="s">
        <v>1200</v>
      </c>
      <c r="I498" t="s">
        <v>471</v>
      </c>
      <c r="J498" t="s">
        <v>30</v>
      </c>
      <c r="K498" t="s">
        <v>1201</v>
      </c>
      <c r="M498" t="s">
        <v>32</v>
      </c>
      <c r="N498" t="str">
        <f>"1/21/2010 12:00:00 AM"</f>
        <v>1/21/2010 12:00:00 AM</v>
      </c>
      <c r="O498" t="s">
        <v>1198</v>
      </c>
      <c r="T498" t="s">
        <v>1199</v>
      </c>
    </row>
    <row r="499" spans="1:20" x14ac:dyDescent="0.25">
      <c r="A499" t="str">
        <f>"3076662"</f>
        <v>3076662</v>
      </c>
      <c r="B499" t="s">
        <v>1205</v>
      </c>
      <c r="C499" t="str">
        <f>"82515410"</f>
        <v>82515410</v>
      </c>
      <c r="D499" t="s">
        <v>1198</v>
      </c>
      <c r="E499" t="s">
        <v>1199</v>
      </c>
      <c r="F499" t="s">
        <v>1200</v>
      </c>
      <c r="I499" t="s">
        <v>471</v>
      </c>
      <c r="J499" t="s">
        <v>30</v>
      </c>
      <c r="K499" t="s">
        <v>1201</v>
      </c>
      <c r="M499" t="s">
        <v>32</v>
      </c>
      <c r="N499" t="str">
        <f>"1/21/2010 12:00:00 AM"</f>
        <v>1/21/2010 12:00:00 AM</v>
      </c>
      <c r="O499" t="s">
        <v>1198</v>
      </c>
      <c r="T499" t="s">
        <v>1199</v>
      </c>
    </row>
    <row r="500" spans="1:20" x14ac:dyDescent="0.25">
      <c r="A500" t="str">
        <f>"3038739"</f>
        <v>3038739</v>
      </c>
      <c r="B500" t="s">
        <v>1206</v>
      </c>
      <c r="C500" t="str">
        <f>"82513128"</f>
        <v>82513128</v>
      </c>
      <c r="D500" t="s">
        <v>1207</v>
      </c>
      <c r="E500" t="s">
        <v>1208</v>
      </c>
      <c r="F500" t="s">
        <v>1209</v>
      </c>
      <c r="I500" t="s">
        <v>471</v>
      </c>
      <c r="J500" t="s">
        <v>30</v>
      </c>
      <c r="K500" t="s">
        <v>1210</v>
      </c>
      <c r="M500" t="s">
        <v>32</v>
      </c>
      <c r="N500" t="str">
        <f>"3/14/2002 12:00:00 AM"</f>
        <v>3/14/2002 12:00:00 AM</v>
      </c>
      <c r="O500" t="s">
        <v>1207</v>
      </c>
      <c r="T500" t="s">
        <v>1208</v>
      </c>
    </row>
    <row r="501" spans="1:20" x14ac:dyDescent="0.25">
      <c r="A501" t="str">
        <f>"3038717"</f>
        <v>3038717</v>
      </c>
      <c r="B501" t="s">
        <v>1211</v>
      </c>
      <c r="C501" t="str">
        <f>"17395500"</f>
        <v>17395500</v>
      </c>
      <c r="D501" t="s">
        <v>1212</v>
      </c>
      <c r="E501" t="s">
        <v>1213</v>
      </c>
      <c r="F501" t="s">
        <v>1214</v>
      </c>
      <c r="I501" t="s">
        <v>29</v>
      </c>
      <c r="J501" t="s">
        <v>30</v>
      </c>
      <c r="K501" t="s">
        <v>1215</v>
      </c>
      <c r="M501" t="s">
        <v>32</v>
      </c>
      <c r="N501" t="str">
        <f>"1/11/2006 12:00:00 AM"</f>
        <v>1/11/2006 12:00:00 AM</v>
      </c>
      <c r="O501" t="s">
        <v>1212</v>
      </c>
      <c r="T501" t="s">
        <v>1213</v>
      </c>
    </row>
    <row r="502" spans="1:20" x14ac:dyDescent="0.25">
      <c r="A502" t="str">
        <f>"3038803"</f>
        <v>3038803</v>
      </c>
      <c r="B502" t="s">
        <v>1216</v>
      </c>
      <c r="C502" t="str">
        <f>"21219440"</f>
        <v>21219440</v>
      </c>
      <c r="D502" t="s">
        <v>1217</v>
      </c>
      <c r="E502" t="s">
        <v>1218</v>
      </c>
      <c r="F502" t="s">
        <v>1219</v>
      </c>
      <c r="I502" t="s">
        <v>29</v>
      </c>
      <c r="J502" t="s">
        <v>30</v>
      </c>
      <c r="K502" t="s">
        <v>1220</v>
      </c>
      <c r="M502" t="s">
        <v>32</v>
      </c>
      <c r="N502" t="str">
        <f>"2/9/2010 12:00:00 AM"</f>
        <v>2/9/2010 12:00:00 AM</v>
      </c>
      <c r="O502" t="s">
        <v>1217</v>
      </c>
      <c r="T502" t="s">
        <v>1218</v>
      </c>
    </row>
    <row r="503" spans="1:20" x14ac:dyDescent="0.25">
      <c r="A503" t="str">
        <f>"3038723"</f>
        <v>3038723</v>
      </c>
      <c r="B503" t="s">
        <v>1221</v>
      </c>
      <c r="C503" t="str">
        <f>"82529037"</f>
        <v>82529037</v>
      </c>
      <c r="D503" t="s">
        <v>1222</v>
      </c>
      <c r="E503" t="s">
        <v>1223</v>
      </c>
      <c r="F503" t="s">
        <v>1224</v>
      </c>
      <c r="I503" t="s">
        <v>29</v>
      </c>
      <c r="J503" t="s">
        <v>30</v>
      </c>
      <c r="K503" t="s">
        <v>31</v>
      </c>
      <c r="M503" t="s">
        <v>32</v>
      </c>
      <c r="N503" t="str">
        <f>"2/4/2010 12:00:00 AM"</f>
        <v>2/4/2010 12:00:00 AM</v>
      </c>
      <c r="O503" t="s">
        <v>1222</v>
      </c>
      <c r="T503" t="s">
        <v>1223</v>
      </c>
    </row>
    <row r="504" spans="1:20" x14ac:dyDescent="0.25">
      <c r="A504" t="str">
        <f>"3038138"</f>
        <v>3038138</v>
      </c>
      <c r="B504" t="s">
        <v>1225</v>
      </c>
      <c r="C504" t="str">
        <f>"82529037"</f>
        <v>82529037</v>
      </c>
      <c r="D504" t="s">
        <v>1222</v>
      </c>
      <c r="E504" t="s">
        <v>1223</v>
      </c>
      <c r="F504" t="s">
        <v>1224</v>
      </c>
      <c r="I504" t="s">
        <v>29</v>
      </c>
      <c r="J504" t="s">
        <v>30</v>
      </c>
      <c r="K504" t="s">
        <v>31</v>
      </c>
      <c r="M504" t="s">
        <v>32</v>
      </c>
      <c r="N504" t="str">
        <f>"2/4/2010 12:00:00 AM"</f>
        <v>2/4/2010 12:00:00 AM</v>
      </c>
      <c r="O504" t="s">
        <v>1222</v>
      </c>
      <c r="T504" t="s">
        <v>1223</v>
      </c>
    </row>
    <row r="505" spans="1:20" x14ac:dyDescent="0.25">
      <c r="A505" t="str">
        <f>"3065601"</f>
        <v>3065601</v>
      </c>
      <c r="B505" t="s">
        <v>1226</v>
      </c>
      <c r="C505" t="str">
        <f>"21262000"</f>
        <v>21262000</v>
      </c>
      <c r="D505" t="s">
        <v>1227</v>
      </c>
      <c r="F505" t="s">
        <v>1228</v>
      </c>
      <c r="I505" t="s">
        <v>29</v>
      </c>
      <c r="J505" t="s">
        <v>30</v>
      </c>
      <c r="K505" t="s">
        <v>31</v>
      </c>
      <c r="M505" t="s">
        <v>32</v>
      </c>
      <c r="N505" t="str">
        <f>"3/14/2002 12:00:00 AM"</f>
        <v>3/14/2002 12:00:00 AM</v>
      </c>
      <c r="O505" t="s">
        <v>1227</v>
      </c>
    </row>
    <row r="506" spans="1:20" x14ac:dyDescent="0.25">
      <c r="A506" t="str">
        <f>"3038183"</f>
        <v>3038183</v>
      </c>
      <c r="B506" t="s">
        <v>1229</v>
      </c>
      <c r="C506" t="str">
        <f>"77528000"</f>
        <v>77528000</v>
      </c>
      <c r="D506" t="s">
        <v>1230</v>
      </c>
      <c r="E506" t="s">
        <v>1231</v>
      </c>
      <c r="F506" t="s">
        <v>1232</v>
      </c>
      <c r="I506" t="s">
        <v>29</v>
      </c>
      <c r="J506" t="s">
        <v>30</v>
      </c>
      <c r="K506" t="s">
        <v>31</v>
      </c>
      <c r="M506" t="s">
        <v>32</v>
      </c>
      <c r="N506" t="str">
        <f>"3/14/2002 12:00:00 AM"</f>
        <v>3/14/2002 12:00:00 AM</v>
      </c>
      <c r="O506" t="s">
        <v>1230</v>
      </c>
      <c r="T506" t="s">
        <v>1231</v>
      </c>
    </row>
    <row r="507" spans="1:20" x14ac:dyDescent="0.25">
      <c r="A507" t="str">
        <f>"3069628"</f>
        <v>3069628</v>
      </c>
      <c r="B507" t="s">
        <v>1233</v>
      </c>
      <c r="C507" t="str">
        <f>"77596000"</f>
        <v>77596000</v>
      </c>
      <c r="D507" t="s">
        <v>1234</v>
      </c>
      <c r="E507" t="s">
        <v>1235</v>
      </c>
      <c r="F507" t="s">
        <v>1236</v>
      </c>
      <c r="I507" t="s">
        <v>29</v>
      </c>
      <c r="J507" t="s">
        <v>30</v>
      </c>
      <c r="K507" t="s">
        <v>31</v>
      </c>
      <c r="M507" t="s">
        <v>32</v>
      </c>
      <c r="N507" t="str">
        <f>"6/25/2004 12:00:00 AM"</f>
        <v>6/25/2004 12:00:00 AM</v>
      </c>
      <c r="O507" t="s">
        <v>1234</v>
      </c>
      <c r="T507" t="s">
        <v>1235</v>
      </c>
    </row>
    <row r="508" spans="1:20" x14ac:dyDescent="0.25">
      <c r="A508" t="str">
        <f>"3038179"</f>
        <v>3038179</v>
      </c>
      <c r="B508" t="s">
        <v>1237</v>
      </c>
      <c r="C508" t="str">
        <f>"82520491"</f>
        <v>82520491</v>
      </c>
      <c r="D508" t="s">
        <v>1238</v>
      </c>
      <c r="E508" t="s">
        <v>1239</v>
      </c>
      <c r="F508" t="s">
        <v>1240</v>
      </c>
      <c r="I508" t="s">
        <v>29</v>
      </c>
      <c r="J508" t="s">
        <v>30</v>
      </c>
      <c r="K508" t="s">
        <v>1241</v>
      </c>
      <c r="M508" t="s">
        <v>32</v>
      </c>
      <c r="N508" t="str">
        <f>"2/21/2005 12:00:00 AM"</f>
        <v>2/21/2005 12:00:00 AM</v>
      </c>
      <c r="O508" t="s">
        <v>1238</v>
      </c>
      <c r="T508" t="s">
        <v>1239</v>
      </c>
    </row>
    <row r="509" spans="1:20" x14ac:dyDescent="0.25">
      <c r="A509" t="str">
        <f>"3037889"</f>
        <v>3037889</v>
      </c>
      <c r="B509" t="s">
        <v>1242</v>
      </c>
      <c r="C509" t="str">
        <f>"82520491"</f>
        <v>82520491</v>
      </c>
      <c r="D509" t="s">
        <v>1238</v>
      </c>
      <c r="E509" t="s">
        <v>1239</v>
      </c>
      <c r="F509" t="s">
        <v>1240</v>
      </c>
      <c r="I509" t="s">
        <v>29</v>
      </c>
      <c r="J509" t="s">
        <v>30</v>
      </c>
      <c r="K509" t="s">
        <v>1241</v>
      </c>
      <c r="M509" t="s">
        <v>32</v>
      </c>
      <c r="N509" t="str">
        <f>"2/21/2005 12:00:00 AM"</f>
        <v>2/21/2005 12:00:00 AM</v>
      </c>
      <c r="O509" t="s">
        <v>1238</v>
      </c>
      <c r="T509" t="s">
        <v>1239</v>
      </c>
    </row>
    <row r="510" spans="1:20" x14ac:dyDescent="0.25">
      <c r="A510" t="str">
        <f>"3037791"</f>
        <v>3037791</v>
      </c>
      <c r="B510" t="s">
        <v>1243</v>
      </c>
      <c r="C510" t="str">
        <f>"82520491"</f>
        <v>82520491</v>
      </c>
      <c r="D510" t="s">
        <v>1238</v>
      </c>
      <c r="E510" t="s">
        <v>1239</v>
      </c>
      <c r="F510" t="s">
        <v>1240</v>
      </c>
      <c r="I510" t="s">
        <v>29</v>
      </c>
      <c r="J510" t="s">
        <v>30</v>
      </c>
      <c r="K510" t="s">
        <v>1241</v>
      </c>
      <c r="M510" t="s">
        <v>32</v>
      </c>
      <c r="N510" t="str">
        <f>"2/21/2005 12:00:00 AM"</f>
        <v>2/21/2005 12:00:00 AM</v>
      </c>
      <c r="O510" t="s">
        <v>1238</v>
      </c>
      <c r="T510" t="s">
        <v>1239</v>
      </c>
    </row>
    <row r="511" spans="1:20" x14ac:dyDescent="0.25">
      <c r="A511" t="str">
        <f>"3038965"</f>
        <v>3038965</v>
      </c>
      <c r="B511" t="s">
        <v>1244</v>
      </c>
      <c r="C511" t="str">
        <f>"79640000"</f>
        <v>79640000</v>
      </c>
      <c r="D511" t="s">
        <v>1245</v>
      </c>
      <c r="F511" t="s">
        <v>1240</v>
      </c>
      <c r="I511" t="s">
        <v>29</v>
      </c>
      <c r="J511" t="s">
        <v>30</v>
      </c>
      <c r="K511" t="s">
        <v>31</v>
      </c>
      <c r="M511" t="s">
        <v>32</v>
      </c>
      <c r="N511" t="str">
        <f>"7/15/2004 12:00:00 AM"</f>
        <v>7/15/2004 12:00:00 AM</v>
      </c>
      <c r="O511" t="s">
        <v>1245</v>
      </c>
    </row>
    <row r="512" spans="1:20" x14ac:dyDescent="0.25">
      <c r="A512" t="str">
        <f>"3076680"</f>
        <v>3076680</v>
      </c>
      <c r="B512" t="s">
        <v>1246</v>
      </c>
      <c r="C512" t="str">
        <f>"79640000"</f>
        <v>79640000</v>
      </c>
      <c r="D512" t="s">
        <v>1245</v>
      </c>
      <c r="F512" t="s">
        <v>1240</v>
      </c>
      <c r="I512" t="s">
        <v>29</v>
      </c>
      <c r="J512" t="s">
        <v>30</v>
      </c>
      <c r="K512" t="s">
        <v>31</v>
      </c>
      <c r="M512" t="s">
        <v>32</v>
      </c>
      <c r="N512" t="str">
        <f>"7/15/2004 12:00:00 AM"</f>
        <v>7/15/2004 12:00:00 AM</v>
      </c>
      <c r="O512" t="s">
        <v>1245</v>
      </c>
    </row>
    <row r="513" spans="1:20" x14ac:dyDescent="0.25">
      <c r="A513" t="str">
        <f>"3037914"</f>
        <v>3037914</v>
      </c>
      <c r="B513" t="s">
        <v>1247</v>
      </c>
      <c r="C513" t="str">
        <f>"82529668"</f>
        <v>82529668</v>
      </c>
      <c r="D513" t="s">
        <v>1248</v>
      </c>
      <c r="E513" t="s">
        <v>1249</v>
      </c>
      <c r="F513" t="s">
        <v>1250</v>
      </c>
      <c r="I513" t="s">
        <v>471</v>
      </c>
      <c r="J513" t="s">
        <v>30</v>
      </c>
      <c r="K513" t="s">
        <v>1210</v>
      </c>
      <c r="M513" t="s">
        <v>32</v>
      </c>
      <c r="N513" t="str">
        <f>"1/12/2009 12:00:00 AM"</f>
        <v>1/12/2009 12:00:00 AM</v>
      </c>
      <c r="O513" t="s">
        <v>1248</v>
      </c>
      <c r="T513" t="s">
        <v>1249</v>
      </c>
    </row>
    <row r="514" spans="1:20" x14ac:dyDescent="0.25">
      <c r="A514" t="str">
        <f>"3038180"</f>
        <v>3038180</v>
      </c>
      <c r="B514" t="s">
        <v>1251</v>
      </c>
      <c r="C514" t="str">
        <f>"22128000"</f>
        <v>22128000</v>
      </c>
      <c r="D514" t="s">
        <v>1248</v>
      </c>
      <c r="F514" t="s">
        <v>1252</v>
      </c>
      <c r="I514" t="s">
        <v>471</v>
      </c>
      <c r="J514" t="s">
        <v>30</v>
      </c>
      <c r="K514" t="s">
        <v>1210</v>
      </c>
      <c r="M514" t="s">
        <v>32</v>
      </c>
      <c r="N514" t="str">
        <f>"3/14/2002 12:00:00 AM"</f>
        <v>3/14/2002 12:00:00 AM</v>
      </c>
      <c r="O514" t="s">
        <v>1248</v>
      </c>
    </row>
    <row r="515" spans="1:20" x14ac:dyDescent="0.25">
      <c r="A515" t="str">
        <f>"3038425"</f>
        <v>3038425</v>
      </c>
      <c r="B515" t="s">
        <v>1253</v>
      </c>
      <c r="C515" t="str">
        <f>"82517711"</f>
        <v>82517711</v>
      </c>
      <c r="D515" t="s">
        <v>1254</v>
      </c>
      <c r="E515" t="s">
        <v>1255</v>
      </c>
      <c r="F515" t="s">
        <v>1256</v>
      </c>
      <c r="I515" t="s">
        <v>29</v>
      </c>
      <c r="J515" t="s">
        <v>30</v>
      </c>
      <c r="K515" t="s">
        <v>1257</v>
      </c>
      <c r="M515" t="s">
        <v>32</v>
      </c>
      <c r="N515" t="str">
        <f>"1/31/2006 12:00:00 AM"</f>
        <v>1/31/2006 12:00:00 AM</v>
      </c>
      <c r="O515" t="s">
        <v>1254</v>
      </c>
      <c r="T515" t="s">
        <v>1255</v>
      </c>
    </row>
    <row r="516" spans="1:20" x14ac:dyDescent="0.25">
      <c r="A516" t="str">
        <f>"3038590"</f>
        <v>3038590</v>
      </c>
      <c r="B516" t="s">
        <v>1258</v>
      </c>
      <c r="C516" t="str">
        <f>"78712000"</f>
        <v>78712000</v>
      </c>
      <c r="D516" t="s">
        <v>1259</v>
      </c>
      <c r="E516" t="s">
        <v>1260</v>
      </c>
      <c r="F516" t="s">
        <v>1261</v>
      </c>
      <c r="I516" t="s">
        <v>471</v>
      </c>
      <c r="J516" t="s">
        <v>30</v>
      </c>
      <c r="K516" t="s">
        <v>1262</v>
      </c>
      <c r="M516" t="s">
        <v>32</v>
      </c>
      <c r="N516" t="str">
        <f>"3/14/2002 12:00:00 AM"</f>
        <v>3/14/2002 12:00:00 AM</v>
      </c>
      <c r="O516" t="s">
        <v>1259</v>
      </c>
      <c r="T516" t="s">
        <v>1260</v>
      </c>
    </row>
    <row r="517" spans="1:20" x14ac:dyDescent="0.25">
      <c r="A517" t="str">
        <f>"3038516"</f>
        <v>3038516</v>
      </c>
      <c r="B517" t="s">
        <v>1263</v>
      </c>
      <c r="C517" t="str">
        <f>"884000"</f>
        <v>884000</v>
      </c>
      <c r="D517" t="s">
        <v>1264</v>
      </c>
      <c r="E517" t="s">
        <v>1265</v>
      </c>
      <c r="F517" t="s">
        <v>1266</v>
      </c>
      <c r="I517" t="s">
        <v>29</v>
      </c>
      <c r="J517" t="s">
        <v>30</v>
      </c>
      <c r="K517" t="s">
        <v>31</v>
      </c>
      <c r="M517" t="s">
        <v>32</v>
      </c>
      <c r="N517" t="str">
        <f>"5/9/2003 12:00:00 AM"</f>
        <v>5/9/2003 12:00:00 AM</v>
      </c>
      <c r="O517" t="s">
        <v>1264</v>
      </c>
      <c r="T517" t="s">
        <v>1265</v>
      </c>
    </row>
    <row r="518" spans="1:20" x14ac:dyDescent="0.25">
      <c r="A518" t="str">
        <f>"3038568"</f>
        <v>3038568</v>
      </c>
      <c r="B518" t="s">
        <v>1267</v>
      </c>
      <c r="C518" t="str">
        <f>"82527581"</f>
        <v>82527581</v>
      </c>
      <c r="D518" t="s">
        <v>1268</v>
      </c>
      <c r="F518" t="s">
        <v>1269</v>
      </c>
      <c r="I518" t="s">
        <v>29</v>
      </c>
      <c r="J518" t="s">
        <v>30</v>
      </c>
      <c r="K518" t="s">
        <v>31</v>
      </c>
      <c r="M518" t="s">
        <v>32</v>
      </c>
      <c r="N518" t="str">
        <f>"2/17/2010 12:00:00 AM"</f>
        <v>2/17/2010 12:00:00 AM</v>
      </c>
      <c r="O518" t="s">
        <v>1268</v>
      </c>
    </row>
    <row r="519" spans="1:20" x14ac:dyDescent="0.25">
      <c r="A519" t="str">
        <f>"3038626"</f>
        <v>3038626</v>
      </c>
      <c r="B519" t="s">
        <v>1270</v>
      </c>
      <c r="C519" t="str">
        <f>"53854950"</f>
        <v>53854950</v>
      </c>
      <c r="D519" t="s">
        <v>1271</v>
      </c>
      <c r="E519" t="s">
        <v>1272</v>
      </c>
      <c r="F519" t="s">
        <v>1273</v>
      </c>
      <c r="I519" t="s">
        <v>29</v>
      </c>
      <c r="J519" t="s">
        <v>30</v>
      </c>
      <c r="K519" t="s">
        <v>1274</v>
      </c>
      <c r="M519" t="s">
        <v>32</v>
      </c>
      <c r="N519" t="str">
        <f>"1/15/2008 12:00:00 AM"</f>
        <v>1/15/2008 12:00:00 AM</v>
      </c>
      <c r="O519" t="s">
        <v>1271</v>
      </c>
      <c r="T519" t="s">
        <v>1272</v>
      </c>
    </row>
    <row r="520" spans="1:20" x14ac:dyDescent="0.25">
      <c r="A520" t="str">
        <f>"3038170"</f>
        <v>3038170</v>
      </c>
      <c r="B520" t="s">
        <v>1275</v>
      </c>
      <c r="C520" t="str">
        <f>"51047550"</f>
        <v>51047550</v>
      </c>
      <c r="D520" t="s">
        <v>1276</v>
      </c>
      <c r="F520" t="s">
        <v>1277</v>
      </c>
      <c r="I520" t="s">
        <v>29</v>
      </c>
      <c r="J520" t="s">
        <v>30</v>
      </c>
      <c r="K520" t="s">
        <v>31</v>
      </c>
      <c r="M520" t="s">
        <v>32</v>
      </c>
      <c r="N520" t="str">
        <f>"3/1/2011 12:00:00 AM"</f>
        <v>3/1/2011 12:00:00 AM</v>
      </c>
      <c r="O520" t="s">
        <v>1276</v>
      </c>
    </row>
    <row r="521" spans="1:20" x14ac:dyDescent="0.25">
      <c r="A521" t="str">
        <f>"3076685"</f>
        <v>3076685</v>
      </c>
      <c r="B521" t="s">
        <v>1278</v>
      </c>
      <c r="C521" t="str">
        <f>"51047550"</f>
        <v>51047550</v>
      </c>
      <c r="D521" t="s">
        <v>1276</v>
      </c>
      <c r="F521" t="s">
        <v>1277</v>
      </c>
      <c r="I521" t="s">
        <v>29</v>
      </c>
      <c r="J521" t="s">
        <v>30</v>
      </c>
      <c r="K521" t="s">
        <v>31</v>
      </c>
      <c r="M521" t="s">
        <v>32</v>
      </c>
      <c r="N521" t="str">
        <f>"3/1/2011 12:00:00 AM"</f>
        <v>3/1/2011 12:00:00 AM</v>
      </c>
      <c r="O521" t="s">
        <v>1276</v>
      </c>
    </row>
    <row r="522" spans="1:20" x14ac:dyDescent="0.25">
      <c r="A522" t="str">
        <f>"3076686"</f>
        <v>3076686</v>
      </c>
      <c r="B522" t="s">
        <v>1279</v>
      </c>
      <c r="C522" t="str">
        <f>"51047550"</f>
        <v>51047550</v>
      </c>
      <c r="D522" t="s">
        <v>1276</v>
      </c>
      <c r="F522" t="s">
        <v>1277</v>
      </c>
      <c r="I522" t="s">
        <v>29</v>
      </c>
      <c r="J522" t="s">
        <v>30</v>
      </c>
      <c r="K522" t="s">
        <v>31</v>
      </c>
      <c r="M522" t="s">
        <v>32</v>
      </c>
      <c r="N522" t="str">
        <f>"3/1/2011 12:00:00 AM"</f>
        <v>3/1/2011 12:00:00 AM</v>
      </c>
      <c r="O522" t="s">
        <v>1276</v>
      </c>
    </row>
    <row r="523" spans="1:20" x14ac:dyDescent="0.25">
      <c r="A523" t="str">
        <f>"3076687"</f>
        <v>3076687</v>
      </c>
      <c r="B523" t="s">
        <v>1280</v>
      </c>
      <c r="C523" t="str">
        <f>"51047550"</f>
        <v>51047550</v>
      </c>
      <c r="D523" t="s">
        <v>1276</v>
      </c>
      <c r="F523" t="s">
        <v>1277</v>
      </c>
      <c r="I523" t="s">
        <v>29</v>
      </c>
      <c r="J523" t="s">
        <v>30</v>
      </c>
      <c r="K523" t="s">
        <v>31</v>
      </c>
      <c r="M523" t="s">
        <v>32</v>
      </c>
      <c r="N523" t="str">
        <f>"3/1/2011 12:00:00 AM"</f>
        <v>3/1/2011 12:00:00 AM</v>
      </c>
      <c r="O523" t="s">
        <v>1276</v>
      </c>
    </row>
    <row r="524" spans="1:20" x14ac:dyDescent="0.25">
      <c r="A524" t="str">
        <f>"3038172"</f>
        <v>3038172</v>
      </c>
      <c r="B524" t="s">
        <v>1281</v>
      </c>
      <c r="C524" t="str">
        <f>"69338000"</f>
        <v>69338000</v>
      </c>
      <c r="D524" t="s">
        <v>1282</v>
      </c>
      <c r="F524" t="s">
        <v>1283</v>
      </c>
      <c r="I524" t="s">
        <v>29</v>
      </c>
      <c r="J524" t="s">
        <v>30</v>
      </c>
      <c r="K524" t="s">
        <v>31</v>
      </c>
      <c r="M524" t="s">
        <v>32</v>
      </c>
      <c r="N524" t="str">
        <f>"12/29/2004 12:00:00 AM"</f>
        <v>12/29/2004 12:00:00 AM</v>
      </c>
      <c r="O524" t="s">
        <v>1282</v>
      </c>
    </row>
    <row r="525" spans="1:20" x14ac:dyDescent="0.25">
      <c r="A525" t="str">
        <f>"3067957"</f>
        <v>3067957</v>
      </c>
      <c r="B525" t="s">
        <v>1284</v>
      </c>
      <c r="C525" t="str">
        <f>"82513089"</f>
        <v>82513089</v>
      </c>
      <c r="D525" t="s">
        <v>1285</v>
      </c>
      <c r="E525" t="s">
        <v>1286</v>
      </c>
      <c r="F525" t="s">
        <v>1287</v>
      </c>
      <c r="I525" t="s">
        <v>29</v>
      </c>
      <c r="J525" t="s">
        <v>30</v>
      </c>
      <c r="K525" t="s">
        <v>31</v>
      </c>
      <c r="M525" t="s">
        <v>32</v>
      </c>
      <c r="N525" t="str">
        <f>"11/14/2001 12:00:00 AM"</f>
        <v>11/14/2001 12:00:00 AM</v>
      </c>
      <c r="O525" t="s">
        <v>1285</v>
      </c>
      <c r="T525" t="s">
        <v>1286</v>
      </c>
    </row>
    <row r="526" spans="1:20" x14ac:dyDescent="0.25">
      <c r="A526" t="str">
        <f>"3040455"</f>
        <v>3040455</v>
      </c>
      <c r="B526" t="s">
        <v>1288</v>
      </c>
      <c r="C526" t="str">
        <f>"82524929"</f>
        <v>82524929</v>
      </c>
      <c r="D526" t="s">
        <v>1289</v>
      </c>
      <c r="E526" t="s">
        <v>1290</v>
      </c>
      <c r="F526" t="s">
        <v>1291</v>
      </c>
      <c r="I526" t="s">
        <v>29</v>
      </c>
      <c r="J526" t="s">
        <v>30</v>
      </c>
      <c r="K526" t="s">
        <v>31</v>
      </c>
      <c r="M526" t="s">
        <v>32</v>
      </c>
      <c r="N526" t="str">
        <f>"9/1/2005 12:00:00 AM"</f>
        <v>9/1/2005 12:00:00 AM</v>
      </c>
      <c r="O526" t="s">
        <v>1289</v>
      </c>
      <c r="T526" t="s">
        <v>1290</v>
      </c>
    </row>
    <row r="527" spans="1:20" x14ac:dyDescent="0.25">
      <c r="A527" t="str">
        <f>"3040458"</f>
        <v>3040458</v>
      </c>
      <c r="B527" t="s">
        <v>1292</v>
      </c>
      <c r="C527" t="str">
        <f>"57896000"</f>
        <v>57896000</v>
      </c>
      <c r="D527" t="s">
        <v>1293</v>
      </c>
      <c r="E527" t="s">
        <v>1294</v>
      </c>
      <c r="F527" t="s">
        <v>1295</v>
      </c>
      <c r="I527" t="s">
        <v>29</v>
      </c>
      <c r="J527" t="s">
        <v>30</v>
      </c>
      <c r="K527" t="s">
        <v>31</v>
      </c>
      <c r="M527" t="s">
        <v>32</v>
      </c>
      <c r="N527" t="str">
        <f>"3/15/2002 12:00:00 AM"</f>
        <v>3/15/2002 12:00:00 AM</v>
      </c>
      <c r="O527" t="s">
        <v>1293</v>
      </c>
      <c r="T527" t="s">
        <v>1294</v>
      </c>
    </row>
    <row r="528" spans="1:20" x14ac:dyDescent="0.25">
      <c r="A528" t="str">
        <f>"3040354"</f>
        <v>3040354</v>
      </c>
      <c r="B528" t="s">
        <v>1296</v>
      </c>
      <c r="C528" t="str">
        <f>"82513199"</f>
        <v>82513199</v>
      </c>
      <c r="D528" t="s">
        <v>1297</v>
      </c>
      <c r="F528" t="s">
        <v>1298</v>
      </c>
      <c r="I528" t="s">
        <v>471</v>
      </c>
      <c r="J528" t="s">
        <v>30</v>
      </c>
      <c r="K528" t="s">
        <v>1262</v>
      </c>
      <c r="M528" t="s">
        <v>32</v>
      </c>
      <c r="N528" t="str">
        <f>"6/18/2003 12:00:00 AM"</f>
        <v>6/18/2003 12:00:00 AM</v>
      </c>
      <c r="O528" t="s">
        <v>1297</v>
      </c>
    </row>
    <row r="529" spans="1:20" x14ac:dyDescent="0.25">
      <c r="A529" t="str">
        <f>"3040467"</f>
        <v>3040467</v>
      </c>
      <c r="B529" t="s">
        <v>1299</v>
      </c>
      <c r="C529" t="str">
        <f>"82515582"</f>
        <v>82515582</v>
      </c>
      <c r="D529" t="s">
        <v>1300</v>
      </c>
      <c r="F529" t="s">
        <v>1301</v>
      </c>
      <c r="I529" t="s">
        <v>29</v>
      </c>
      <c r="J529" t="s">
        <v>30</v>
      </c>
      <c r="K529" t="s">
        <v>31</v>
      </c>
      <c r="M529" t="s">
        <v>32</v>
      </c>
      <c r="N529" t="str">
        <f>"1/21/2003 12:00:00 AM"</f>
        <v>1/21/2003 12:00:00 AM</v>
      </c>
      <c r="O529" t="s">
        <v>1300</v>
      </c>
    </row>
    <row r="530" spans="1:20" x14ac:dyDescent="0.25">
      <c r="A530" t="str">
        <f>"3040464"</f>
        <v>3040464</v>
      </c>
      <c r="B530" t="s">
        <v>1302</v>
      </c>
      <c r="C530" t="str">
        <f>"15078000"</f>
        <v>15078000</v>
      </c>
      <c r="D530" t="s">
        <v>1303</v>
      </c>
      <c r="E530" t="s">
        <v>1304</v>
      </c>
      <c r="F530" t="s">
        <v>1305</v>
      </c>
      <c r="I530" t="s">
        <v>29</v>
      </c>
      <c r="J530" t="s">
        <v>30</v>
      </c>
      <c r="K530" t="s">
        <v>31</v>
      </c>
      <c r="M530" t="s">
        <v>32</v>
      </c>
      <c r="N530" t="str">
        <f>"3/15/2002 12:00:00 AM"</f>
        <v>3/15/2002 12:00:00 AM</v>
      </c>
      <c r="O530" t="s">
        <v>1303</v>
      </c>
      <c r="T530" t="s">
        <v>1304</v>
      </c>
    </row>
    <row r="531" spans="1:20" x14ac:dyDescent="0.25">
      <c r="A531" t="str">
        <f>"3040465"</f>
        <v>3040465</v>
      </c>
      <c r="B531" t="s">
        <v>1306</v>
      </c>
      <c r="C531" t="str">
        <f>"82515824"</f>
        <v>82515824</v>
      </c>
      <c r="D531" t="s">
        <v>1307</v>
      </c>
      <c r="E531" t="s">
        <v>1308</v>
      </c>
      <c r="F531" t="s">
        <v>1309</v>
      </c>
      <c r="I531" t="s">
        <v>29</v>
      </c>
      <c r="J531" t="s">
        <v>30</v>
      </c>
      <c r="K531" t="s">
        <v>31</v>
      </c>
      <c r="M531" t="s">
        <v>32</v>
      </c>
      <c r="N531" t="str">
        <f>"2/3/2004 12:00:00 AM"</f>
        <v>2/3/2004 12:00:00 AM</v>
      </c>
      <c r="O531" t="s">
        <v>1307</v>
      </c>
      <c r="T531" t="s">
        <v>1308</v>
      </c>
    </row>
    <row r="532" spans="1:20" x14ac:dyDescent="0.25">
      <c r="A532" t="str">
        <f>"3040466"</f>
        <v>3040466</v>
      </c>
      <c r="B532" t="s">
        <v>1310</v>
      </c>
      <c r="C532" t="str">
        <f>"82518406"</f>
        <v>82518406</v>
      </c>
      <c r="D532" t="s">
        <v>1311</v>
      </c>
      <c r="E532" t="s">
        <v>1312</v>
      </c>
      <c r="F532" t="s">
        <v>1313</v>
      </c>
      <c r="I532" t="s">
        <v>29</v>
      </c>
      <c r="J532" t="s">
        <v>30</v>
      </c>
      <c r="K532" t="s">
        <v>567</v>
      </c>
      <c r="M532" t="s">
        <v>32</v>
      </c>
      <c r="N532" t="str">
        <f>"5/10/2010 12:00:00 AM"</f>
        <v>5/10/2010 12:00:00 AM</v>
      </c>
      <c r="O532" t="s">
        <v>1311</v>
      </c>
      <c r="T532" t="s">
        <v>1312</v>
      </c>
    </row>
    <row r="533" spans="1:20" x14ac:dyDescent="0.25">
      <c r="A533" t="str">
        <f>"3040447"</f>
        <v>3040447</v>
      </c>
      <c r="B533" t="s">
        <v>1314</v>
      </c>
      <c r="C533" t="str">
        <f>"82522174"</f>
        <v>82522174</v>
      </c>
      <c r="D533" t="s">
        <v>1315</v>
      </c>
      <c r="E533" t="s">
        <v>1316</v>
      </c>
      <c r="F533" t="s">
        <v>1317</v>
      </c>
      <c r="G533" t="s">
        <v>1318</v>
      </c>
      <c r="I533" t="s">
        <v>402</v>
      </c>
      <c r="J533" t="s">
        <v>30</v>
      </c>
      <c r="K533" t="s">
        <v>1319</v>
      </c>
      <c r="M533" t="s">
        <v>32</v>
      </c>
      <c r="N533" t="str">
        <f>"2/9/2010 12:00:00 AM"</f>
        <v>2/9/2010 12:00:00 AM</v>
      </c>
      <c r="O533" t="s">
        <v>1315</v>
      </c>
      <c r="T533" t="s">
        <v>1316</v>
      </c>
    </row>
    <row r="534" spans="1:20" x14ac:dyDescent="0.25">
      <c r="A534" t="str">
        <f>"3040451"</f>
        <v>3040451</v>
      </c>
      <c r="B534" t="s">
        <v>1320</v>
      </c>
      <c r="C534" t="str">
        <f>"82514479"</f>
        <v>82514479</v>
      </c>
      <c r="D534" t="s">
        <v>1321</v>
      </c>
      <c r="E534" t="s">
        <v>1322</v>
      </c>
      <c r="F534" t="s">
        <v>1323</v>
      </c>
      <c r="I534" t="s">
        <v>29</v>
      </c>
      <c r="J534" t="s">
        <v>30</v>
      </c>
      <c r="K534" t="s">
        <v>1324</v>
      </c>
      <c r="M534" t="s">
        <v>32</v>
      </c>
      <c r="N534" t="str">
        <f>"1/11/2007 12:00:00 AM"</f>
        <v>1/11/2007 12:00:00 AM</v>
      </c>
      <c r="O534" t="s">
        <v>1321</v>
      </c>
      <c r="T534" t="s">
        <v>1322</v>
      </c>
    </row>
    <row r="535" spans="1:20" x14ac:dyDescent="0.25">
      <c r="A535" t="str">
        <f>"3055431"</f>
        <v>3055431</v>
      </c>
      <c r="B535" t="s">
        <v>1325</v>
      </c>
      <c r="C535" t="str">
        <f>"40540000"</f>
        <v>40540000</v>
      </c>
      <c r="D535" t="s">
        <v>1326</v>
      </c>
      <c r="E535" t="s">
        <v>1327</v>
      </c>
      <c r="F535" t="s">
        <v>1328</v>
      </c>
      <c r="I535" t="s">
        <v>29</v>
      </c>
      <c r="J535" t="s">
        <v>30</v>
      </c>
      <c r="K535" t="s">
        <v>1329</v>
      </c>
      <c r="M535" t="s">
        <v>32</v>
      </c>
      <c r="N535" t="str">
        <f>"1/24/2007 12:00:00 AM"</f>
        <v>1/24/2007 12:00:00 AM</v>
      </c>
      <c r="O535" t="s">
        <v>1326</v>
      </c>
      <c r="T535" t="s">
        <v>1327</v>
      </c>
    </row>
    <row r="536" spans="1:20" x14ac:dyDescent="0.25">
      <c r="A536" t="str">
        <f>"3078895"</f>
        <v>3078895</v>
      </c>
      <c r="B536" t="s">
        <v>1330</v>
      </c>
      <c r="C536" t="str">
        <f>"40540000"</f>
        <v>40540000</v>
      </c>
      <c r="D536" t="s">
        <v>1326</v>
      </c>
      <c r="E536" t="s">
        <v>1327</v>
      </c>
      <c r="F536" t="s">
        <v>1328</v>
      </c>
      <c r="I536" t="s">
        <v>29</v>
      </c>
      <c r="J536" t="s">
        <v>30</v>
      </c>
      <c r="K536" t="s">
        <v>1329</v>
      </c>
      <c r="M536" t="s">
        <v>32</v>
      </c>
      <c r="N536" t="str">
        <f>"1/24/2007 12:00:00 AM"</f>
        <v>1/24/2007 12:00:00 AM</v>
      </c>
      <c r="O536" t="s">
        <v>1326</v>
      </c>
      <c r="T536" t="s">
        <v>1327</v>
      </c>
    </row>
    <row r="537" spans="1:20" x14ac:dyDescent="0.25">
      <c r="A537" t="str">
        <f>"3040456"</f>
        <v>3040456</v>
      </c>
      <c r="B537" t="s">
        <v>1331</v>
      </c>
      <c r="C537" t="str">
        <f>"82522803"</f>
        <v>82522803</v>
      </c>
      <c r="D537" t="s">
        <v>1332</v>
      </c>
      <c r="E537" t="s">
        <v>1333</v>
      </c>
      <c r="F537" t="s">
        <v>1334</v>
      </c>
      <c r="I537" t="s">
        <v>29</v>
      </c>
      <c r="J537" t="s">
        <v>30</v>
      </c>
      <c r="K537" t="s">
        <v>1335</v>
      </c>
      <c r="M537" t="s">
        <v>32</v>
      </c>
      <c r="N537" t="str">
        <f>"1/11/2010 12:00:00 AM"</f>
        <v>1/11/2010 12:00:00 AM</v>
      </c>
      <c r="O537" t="s">
        <v>1332</v>
      </c>
      <c r="T537" t="s">
        <v>1333</v>
      </c>
    </row>
    <row r="538" spans="1:20" x14ac:dyDescent="0.25">
      <c r="A538" t="str">
        <f>"3038243"</f>
        <v>3038243</v>
      </c>
      <c r="B538" t="s">
        <v>1336</v>
      </c>
      <c r="C538" t="str">
        <f>"18642000"</f>
        <v>18642000</v>
      </c>
      <c r="D538" t="s">
        <v>1337</v>
      </c>
      <c r="E538" t="s">
        <v>1338</v>
      </c>
      <c r="F538" t="s">
        <v>1339</v>
      </c>
      <c r="I538" t="s">
        <v>29</v>
      </c>
      <c r="J538" t="s">
        <v>30</v>
      </c>
      <c r="K538" t="s">
        <v>1340</v>
      </c>
      <c r="M538" t="s">
        <v>32</v>
      </c>
      <c r="N538" t="str">
        <f>"1/26/2010 12:00:00 AM"</f>
        <v>1/26/2010 12:00:00 AM</v>
      </c>
      <c r="O538" t="s">
        <v>1337</v>
      </c>
      <c r="T538" t="s">
        <v>1338</v>
      </c>
    </row>
    <row r="539" spans="1:20" x14ac:dyDescent="0.25">
      <c r="A539" t="str">
        <f>"3038571"</f>
        <v>3038571</v>
      </c>
      <c r="B539" t="s">
        <v>1341</v>
      </c>
      <c r="C539" t="str">
        <f>"18642000"</f>
        <v>18642000</v>
      </c>
      <c r="D539" t="s">
        <v>1337</v>
      </c>
      <c r="E539" t="s">
        <v>1338</v>
      </c>
      <c r="F539" t="s">
        <v>1339</v>
      </c>
      <c r="I539" t="s">
        <v>29</v>
      </c>
      <c r="J539" t="s">
        <v>30</v>
      </c>
      <c r="K539" t="s">
        <v>1340</v>
      </c>
      <c r="M539" t="s">
        <v>32</v>
      </c>
      <c r="N539" t="str">
        <f>"1/26/2010 12:00:00 AM"</f>
        <v>1/26/2010 12:00:00 AM</v>
      </c>
      <c r="O539" t="s">
        <v>1337</v>
      </c>
      <c r="T539" t="s">
        <v>1338</v>
      </c>
    </row>
    <row r="540" spans="1:20" x14ac:dyDescent="0.25">
      <c r="A540" t="str">
        <f>"3038570"</f>
        <v>3038570</v>
      </c>
      <c r="B540" t="s">
        <v>1342</v>
      </c>
      <c r="C540" t="str">
        <f>"64202000"</f>
        <v>64202000</v>
      </c>
      <c r="D540" t="s">
        <v>1343</v>
      </c>
      <c r="E540" t="s">
        <v>1344</v>
      </c>
      <c r="F540" t="s">
        <v>1345</v>
      </c>
      <c r="I540" t="s">
        <v>29</v>
      </c>
      <c r="J540" t="s">
        <v>30</v>
      </c>
      <c r="K540" t="s">
        <v>31</v>
      </c>
      <c r="M540" t="s">
        <v>32</v>
      </c>
      <c r="N540" t="str">
        <f>"4/30/2004 12:00:00 AM"</f>
        <v>4/30/2004 12:00:00 AM</v>
      </c>
      <c r="O540" t="s">
        <v>1343</v>
      </c>
      <c r="T540" t="s">
        <v>1344</v>
      </c>
    </row>
    <row r="541" spans="1:20" x14ac:dyDescent="0.25">
      <c r="A541" t="str">
        <f>"3038597"</f>
        <v>3038597</v>
      </c>
      <c r="B541" t="s">
        <v>1346</v>
      </c>
      <c r="C541" t="str">
        <f>"82523849"</f>
        <v>82523849</v>
      </c>
      <c r="D541" t="s">
        <v>1347</v>
      </c>
      <c r="F541" t="s">
        <v>1345</v>
      </c>
      <c r="I541" t="s">
        <v>29</v>
      </c>
      <c r="J541" t="s">
        <v>30</v>
      </c>
      <c r="K541" t="s">
        <v>31</v>
      </c>
      <c r="M541" t="s">
        <v>32</v>
      </c>
      <c r="N541" t="str">
        <f>"1/24/2008 12:00:00 AM"</f>
        <v>1/24/2008 12:00:00 AM</v>
      </c>
      <c r="O541" t="s">
        <v>1347</v>
      </c>
    </row>
    <row r="542" spans="1:20" x14ac:dyDescent="0.25">
      <c r="A542" t="str">
        <f>"3038388"</f>
        <v>3038388</v>
      </c>
      <c r="B542" t="s">
        <v>1348</v>
      </c>
      <c r="C542" t="str">
        <f>"82525689"</f>
        <v>82525689</v>
      </c>
      <c r="D542" t="s">
        <v>1349</v>
      </c>
      <c r="E542" t="s">
        <v>1350</v>
      </c>
      <c r="F542" t="s">
        <v>1351</v>
      </c>
      <c r="I542" t="s">
        <v>29</v>
      </c>
      <c r="J542" t="s">
        <v>30</v>
      </c>
      <c r="K542" t="s">
        <v>1352</v>
      </c>
      <c r="M542" t="s">
        <v>32</v>
      </c>
      <c r="N542" t="str">
        <f>"2/14/2007 12:00:00 AM"</f>
        <v>2/14/2007 12:00:00 AM</v>
      </c>
      <c r="O542" t="s">
        <v>1349</v>
      </c>
      <c r="T542" t="s">
        <v>1350</v>
      </c>
    </row>
    <row r="543" spans="1:20" x14ac:dyDescent="0.25">
      <c r="A543" t="str">
        <f>"3062159"</f>
        <v>3062159</v>
      </c>
      <c r="B543" t="s">
        <v>1353</v>
      </c>
      <c r="C543" t="str">
        <f>"82517056"</f>
        <v>82517056</v>
      </c>
      <c r="D543" t="s">
        <v>1354</v>
      </c>
      <c r="E543" t="s">
        <v>1355</v>
      </c>
      <c r="F543" t="s">
        <v>1356</v>
      </c>
      <c r="I543" t="s">
        <v>49</v>
      </c>
      <c r="J543" t="s">
        <v>30</v>
      </c>
      <c r="K543" t="s">
        <v>50</v>
      </c>
      <c r="M543" t="s">
        <v>32</v>
      </c>
      <c r="N543" t="str">
        <f>"8/9/2001 12:00:00 AM"</f>
        <v>8/9/2001 12:00:00 AM</v>
      </c>
      <c r="O543" t="s">
        <v>1354</v>
      </c>
      <c r="T543" t="s">
        <v>1355</v>
      </c>
    </row>
    <row r="544" spans="1:20" x14ac:dyDescent="0.25">
      <c r="A544" t="str">
        <f>"3038542"</f>
        <v>3038542</v>
      </c>
      <c r="B544" t="s">
        <v>1357</v>
      </c>
      <c r="C544" t="str">
        <f>"32548000"</f>
        <v>32548000</v>
      </c>
      <c r="D544" t="s">
        <v>1358</v>
      </c>
      <c r="F544" t="s">
        <v>1359</v>
      </c>
      <c r="I544" t="s">
        <v>29</v>
      </c>
      <c r="J544" t="s">
        <v>30</v>
      </c>
      <c r="K544" t="s">
        <v>1360</v>
      </c>
      <c r="M544" t="s">
        <v>32</v>
      </c>
      <c r="N544" t="str">
        <f>"1/11/2006 12:00:00 AM"</f>
        <v>1/11/2006 12:00:00 AM</v>
      </c>
      <c r="O544" t="s">
        <v>1358</v>
      </c>
    </row>
    <row r="545" spans="1:20" x14ac:dyDescent="0.25">
      <c r="A545" t="str">
        <f>"3038453"</f>
        <v>3038453</v>
      </c>
      <c r="B545" t="s">
        <v>1361</v>
      </c>
      <c r="C545" t="str">
        <f>"6298000"</f>
        <v>6298000</v>
      </c>
      <c r="D545" t="s">
        <v>1362</v>
      </c>
      <c r="E545" t="s">
        <v>1363</v>
      </c>
      <c r="F545" t="s">
        <v>1364</v>
      </c>
      <c r="I545" t="s">
        <v>29</v>
      </c>
      <c r="J545" t="s">
        <v>30</v>
      </c>
      <c r="K545" t="s">
        <v>1365</v>
      </c>
      <c r="M545" t="s">
        <v>32</v>
      </c>
      <c r="N545" t="str">
        <f>"2/8/2006 12:00:00 AM"</f>
        <v>2/8/2006 12:00:00 AM</v>
      </c>
      <c r="O545" t="s">
        <v>1362</v>
      </c>
      <c r="T545" t="s">
        <v>1363</v>
      </c>
    </row>
    <row r="546" spans="1:20" x14ac:dyDescent="0.25">
      <c r="A546" t="str">
        <f>"3037953"</f>
        <v>3037953</v>
      </c>
      <c r="B546" t="s">
        <v>1366</v>
      </c>
      <c r="C546" t="str">
        <f>"6298000"</f>
        <v>6298000</v>
      </c>
      <c r="D546" t="s">
        <v>1362</v>
      </c>
      <c r="E546" t="s">
        <v>1363</v>
      </c>
      <c r="F546" t="s">
        <v>1364</v>
      </c>
      <c r="I546" t="s">
        <v>29</v>
      </c>
      <c r="J546" t="s">
        <v>30</v>
      </c>
      <c r="K546" t="s">
        <v>1365</v>
      </c>
      <c r="M546" t="s">
        <v>32</v>
      </c>
      <c r="N546" t="str">
        <f>"2/8/2006 12:00:00 AM"</f>
        <v>2/8/2006 12:00:00 AM</v>
      </c>
      <c r="O546" t="s">
        <v>1362</v>
      </c>
      <c r="T546" t="s">
        <v>1363</v>
      </c>
    </row>
    <row r="547" spans="1:20" x14ac:dyDescent="0.25">
      <c r="A547" t="str">
        <f>"3060399"</f>
        <v>3060399</v>
      </c>
      <c r="B547" t="s">
        <v>1367</v>
      </c>
      <c r="C547" t="str">
        <f>"82519476"</f>
        <v>82519476</v>
      </c>
      <c r="D547" t="s">
        <v>1368</v>
      </c>
      <c r="E547" t="s">
        <v>1369</v>
      </c>
      <c r="F547" t="s">
        <v>1370</v>
      </c>
      <c r="I547" t="s">
        <v>29</v>
      </c>
      <c r="J547" t="s">
        <v>30</v>
      </c>
      <c r="K547" t="s">
        <v>1365</v>
      </c>
      <c r="M547" t="s">
        <v>32</v>
      </c>
      <c r="N547" t="str">
        <f>"6/24/2005 12:00:00 AM"</f>
        <v>6/24/2005 12:00:00 AM</v>
      </c>
      <c r="O547" t="s">
        <v>1368</v>
      </c>
      <c r="T547" t="s">
        <v>1369</v>
      </c>
    </row>
    <row r="548" spans="1:20" x14ac:dyDescent="0.25">
      <c r="A548" t="str">
        <f>"3039846"</f>
        <v>3039846</v>
      </c>
      <c r="B548" t="s">
        <v>1371</v>
      </c>
      <c r="C548" t="str">
        <f>"82523332"</f>
        <v>82523332</v>
      </c>
      <c r="D548" t="s">
        <v>1372</v>
      </c>
      <c r="F548" t="s">
        <v>1373</v>
      </c>
      <c r="I548" t="s">
        <v>29</v>
      </c>
      <c r="J548" t="s">
        <v>30</v>
      </c>
      <c r="K548" t="s">
        <v>1374</v>
      </c>
      <c r="M548" t="s">
        <v>32</v>
      </c>
      <c r="N548" t="str">
        <f>"2/23/2005 12:00:00 AM"</f>
        <v>2/23/2005 12:00:00 AM</v>
      </c>
      <c r="O548" t="s">
        <v>1372</v>
      </c>
    </row>
    <row r="549" spans="1:20" x14ac:dyDescent="0.25">
      <c r="A549" t="str">
        <f>"3039896"</f>
        <v>3039896</v>
      </c>
      <c r="B549" t="s">
        <v>1375</v>
      </c>
      <c r="C549" t="str">
        <f>"81363000"</f>
        <v>81363000</v>
      </c>
      <c r="D549" t="s">
        <v>1376</v>
      </c>
      <c r="E549" t="s">
        <v>1377</v>
      </c>
      <c r="F549" t="s">
        <v>1378</v>
      </c>
      <c r="I549" t="s">
        <v>29</v>
      </c>
      <c r="J549" t="s">
        <v>30</v>
      </c>
      <c r="K549" t="s">
        <v>31</v>
      </c>
      <c r="M549" t="s">
        <v>32</v>
      </c>
      <c r="N549" t="str">
        <f>"7/19/2004 12:00:00 AM"</f>
        <v>7/19/2004 12:00:00 AM</v>
      </c>
      <c r="O549" t="s">
        <v>1376</v>
      </c>
      <c r="T549" t="s">
        <v>1377</v>
      </c>
    </row>
    <row r="550" spans="1:20" x14ac:dyDescent="0.25">
      <c r="A550" t="str">
        <f>"3060349"</f>
        <v>3060349</v>
      </c>
      <c r="B550" t="s">
        <v>1379</v>
      </c>
      <c r="C550" t="str">
        <f>"25066870"</f>
        <v>25066870</v>
      </c>
      <c r="D550" t="s">
        <v>1380</v>
      </c>
      <c r="F550" t="str">
        <f>"C/O JAMES HOWARD"</f>
        <v>C/O JAMES HOWARD</v>
      </c>
      <c r="G550" t="s">
        <v>1381</v>
      </c>
      <c r="I550" t="s">
        <v>184</v>
      </c>
      <c r="J550" t="s">
        <v>30</v>
      </c>
      <c r="K550" t="s">
        <v>185</v>
      </c>
      <c r="M550" t="s">
        <v>32</v>
      </c>
      <c r="N550" t="str">
        <f>"8/15/2003 12:00:00 AM"</f>
        <v>8/15/2003 12:00:00 AM</v>
      </c>
      <c r="O550" t="s">
        <v>1380</v>
      </c>
    </row>
    <row r="551" spans="1:20" x14ac:dyDescent="0.25">
      <c r="A551" t="str">
        <f>"3057482"</f>
        <v>3057482</v>
      </c>
      <c r="B551" t="s">
        <v>1382</v>
      </c>
      <c r="C551" t="str">
        <f>"25066250"</f>
        <v>25066250</v>
      </c>
      <c r="D551" t="s">
        <v>1383</v>
      </c>
      <c r="F551" t="s">
        <v>1384</v>
      </c>
      <c r="G551" t="s">
        <v>1385</v>
      </c>
      <c r="I551" t="s">
        <v>29</v>
      </c>
      <c r="J551" t="s">
        <v>30</v>
      </c>
      <c r="K551" t="s">
        <v>31</v>
      </c>
      <c r="M551" t="s">
        <v>32</v>
      </c>
      <c r="N551" t="str">
        <f>"8/15/2003 12:00:00 AM"</f>
        <v>8/15/2003 12:00:00 AM</v>
      </c>
      <c r="O551" t="s">
        <v>1383</v>
      </c>
    </row>
    <row r="552" spans="1:20" x14ac:dyDescent="0.25">
      <c r="A552" t="str">
        <f>"3060350"</f>
        <v>3060350</v>
      </c>
      <c r="B552" t="s">
        <v>1386</v>
      </c>
      <c r="C552" t="str">
        <f>"72792180"</f>
        <v>72792180</v>
      </c>
      <c r="D552" t="s">
        <v>1387</v>
      </c>
      <c r="E552" t="s">
        <v>1388</v>
      </c>
      <c r="F552" t="s">
        <v>1389</v>
      </c>
      <c r="I552" t="s">
        <v>29</v>
      </c>
      <c r="J552" t="s">
        <v>30</v>
      </c>
      <c r="K552" t="s">
        <v>1390</v>
      </c>
      <c r="M552" t="s">
        <v>32</v>
      </c>
      <c r="N552" t="str">
        <f>"1/9/2006 12:00:00 AM"</f>
        <v>1/9/2006 12:00:00 AM</v>
      </c>
      <c r="O552" t="s">
        <v>1387</v>
      </c>
      <c r="T552" t="s">
        <v>1388</v>
      </c>
    </row>
    <row r="553" spans="1:20" x14ac:dyDescent="0.25">
      <c r="A553" t="str">
        <f>"3076698"</f>
        <v>3076698</v>
      </c>
      <c r="B553" t="s">
        <v>1391</v>
      </c>
      <c r="C553" t="str">
        <f>"82517392"</f>
        <v>82517392</v>
      </c>
      <c r="D553" t="s">
        <v>1392</v>
      </c>
      <c r="E553" t="s">
        <v>1393</v>
      </c>
      <c r="F553" t="s">
        <v>1394</v>
      </c>
      <c r="I553" t="s">
        <v>29</v>
      </c>
      <c r="J553" t="s">
        <v>30</v>
      </c>
      <c r="K553" t="s">
        <v>31</v>
      </c>
      <c r="M553" t="s">
        <v>32</v>
      </c>
      <c r="N553" t="str">
        <f>"3/15/2002 12:00:00 AM"</f>
        <v>3/15/2002 12:00:00 AM</v>
      </c>
      <c r="O553" t="s">
        <v>1392</v>
      </c>
      <c r="T553" t="s">
        <v>1393</v>
      </c>
    </row>
    <row r="554" spans="1:20" x14ac:dyDescent="0.25">
      <c r="A554" t="str">
        <f>"3060344"</f>
        <v>3060344</v>
      </c>
      <c r="B554" t="s">
        <v>1395</v>
      </c>
      <c r="C554" t="str">
        <f>"82529079"</f>
        <v>82529079</v>
      </c>
      <c r="D554" t="s">
        <v>1396</v>
      </c>
      <c r="E554" t="s">
        <v>1397</v>
      </c>
      <c r="F554" t="s">
        <v>1398</v>
      </c>
      <c r="I554" t="s">
        <v>29</v>
      </c>
      <c r="J554" t="s">
        <v>30</v>
      </c>
      <c r="K554" t="s">
        <v>31</v>
      </c>
      <c r="M554" t="s">
        <v>32</v>
      </c>
      <c r="N554" t="str">
        <f>"1/8/2008 12:00:00 AM"</f>
        <v>1/8/2008 12:00:00 AM</v>
      </c>
      <c r="O554" t="s">
        <v>1396</v>
      </c>
      <c r="T554" t="s">
        <v>1397</v>
      </c>
    </row>
    <row r="555" spans="1:20" x14ac:dyDescent="0.25">
      <c r="A555" t="str">
        <f>"3060326"</f>
        <v>3060326</v>
      </c>
      <c r="B555" t="s">
        <v>1399</v>
      </c>
      <c r="C555" t="str">
        <f>"33352000"</f>
        <v>33352000</v>
      </c>
      <c r="D555" t="s">
        <v>1400</v>
      </c>
      <c r="E555" t="s">
        <v>1401</v>
      </c>
      <c r="F555" t="s">
        <v>1402</v>
      </c>
      <c r="I555" t="s">
        <v>29</v>
      </c>
      <c r="J555" t="s">
        <v>30</v>
      </c>
      <c r="K555" t="s">
        <v>31</v>
      </c>
      <c r="M555" t="s">
        <v>32</v>
      </c>
      <c r="N555" t="str">
        <f>"9/12/2003 12:00:00 AM"</f>
        <v>9/12/2003 12:00:00 AM</v>
      </c>
      <c r="O555" t="s">
        <v>1400</v>
      </c>
      <c r="T555" t="s">
        <v>1401</v>
      </c>
    </row>
    <row r="556" spans="1:20" x14ac:dyDescent="0.25">
      <c r="A556" t="str">
        <f>"3058705"</f>
        <v>3058705</v>
      </c>
      <c r="B556" t="s">
        <v>1403</v>
      </c>
      <c r="C556" t="str">
        <f>"82515128"</f>
        <v>82515128</v>
      </c>
      <c r="D556" t="s">
        <v>1404</v>
      </c>
      <c r="F556" t="s">
        <v>1405</v>
      </c>
      <c r="I556" t="s">
        <v>49</v>
      </c>
      <c r="J556" t="s">
        <v>30</v>
      </c>
      <c r="K556" t="s">
        <v>50</v>
      </c>
      <c r="M556" t="s">
        <v>32</v>
      </c>
      <c r="N556" t="str">
        <f>"7/30/2004 12:00:00 AM"</f>
        <v>7/30/2004 12:00:00 AM</v>
      </c>
      <c r="O556" t="s">
        <v>1404</v>
      </c>
    </row>
    <row r="557" spans="1:20" x14ac:dyDescent="0.25">
      <c r="A557" t="str">
        <f>"3057567"</f>
        <v>3057567</v>
      </c>
      <c r="B557" t="s">
        <v>1406</v>
      </c>
      <c r="C557" t="str">
        <f>"82515117"</f>
        <v>82515117</v>
      </c>
      <c r="D557" t="s">
        <v>1407</v>
      </c>
      <c r="F557" t="s">
        <v>1408</v>
      </c>
      <c r="I557" t="s">
        <v>29</v>
      </c>
      <c r="J557" t="s">
        <v>30</v>
      </c>
      <c r="K557" t="s">
        <v>31</v>
      </c>
      <c r="M557" t="s">
        <v>32</v>
      </c>
      <c r="N557" t="str">
        <f>"7/30/2004 12:00:00 AM"</f>
        <v>7/30/2004 12:00:00 AM</v>
      </c>
      <c r="O557" t="s">
        <v>1407</v>
      </c>
    </row>
    <row r="558" spans="1:20" x14ac:dyDescent="0.25">
      <c r="A558" t="str">
        <f>"3060450"</f>
        <v>3060450</v>
      </c>
      <c r="B558" t="s">
        <v>1409</v>
      </c>
      <c r="C558" t="str">
        <f>"10292000"</f>
        <v>10292000</v>
      </c>
      <c r="D558" t="s">
        <v>1410</v>
      </c>
      <c r="E558" t="s">
        <v>1411</v>
      </c>
      <c r="F558" t="s">
        <v>1412</v>
      </c>
      <c r="I558" t="s">
        <v>29</v>
      </c>
      <c r="J558" t="s">
        <v>30</v>
      </c>
      <c r="K558" t="s">
        <v>1413</v>
      </c>
      <c r="M558" t="s">
        <v>32</v>
      </c>
      <c r="N558" t="str">
        <f>"2/13/2007 12:00:00 AM"</f>
        <v>2/13/2007 12:00:00 AM</v>
      </c>
      <c r="O558" t="s">
        <v>1410</v>
      </c>
      <c r="T558" t="s">
        <v>1411</v>
      </c>
    </row>
    <row r="559" spans="1:20" x14ac:dyDescent="0.25">
      <c r="A559" t="str">
        <f>"3039769"</f>
        <v>3039769</v>
      </c>
      <c r="B559" t="s">
        <v>1414</v>
      </c>
      <c r="C559" t="str">
        <f>"10220000"</f>
        <v>10220000</v>
      </c>
      <c r="D559" t="s">
        <v>1415</v>
      </c>
      <c r="F559" t="s">
        <v>1416</v>
      </c>
      <c r="I559" t="s">
        <v>29</v>
      </c>
      <c r="J559" t="s">
        <v>30</v>
      </c>
      <c r="K559" t="s">
        <v>31</v>
      </c>
      <c r="M559" t="s">
        <v>32</v>
      </c>
      <c r="N559" t="str">
        <f>"3/15/2002 12:00:00 AM"</f>
        <v>3/15/2002 12:00:00 AM</v>
      </c>
      <c r="O559" t="s">
        <v>1415</v>
      </c>
    </row>
    <row r="560" spans="1:20" x14ac:dyDescent="0.25">
      <c r="A560" t="str">
        <f>"3060322"</f>
        <v>3060322</v>
      </c>
      <c r="B560" t="s">
        <v>1417</v>
      </c>
      <c r="C560" t="str">
        <f>"21128750"</f>
        <v>21128750</v>
      </c>
      <c r="D560" t="s">
        <v>1418</v>
      </c>
      <c r="E560" t="s">
        <v>1419</v>
      </c>
      <c r="F560" t="s">
        <v>1420</v>
      </c>
      <c r="I560" t="s">
        <v>29</v>
      </c>
      <c r="J560" t="s">
        <v>30</v>
      </c>
      <c r="K560" t="s">
        <v>31</v>
      </c>
      <c r="M560" t="s">
        <v>32</v>
      </c>
      <c r="N560" t="str">
        <f>"9/6/2005 12:00:00 AM"</f>
        <v>9/6/2005 12:00:00 AM</v>
      </c>
      <c r="O560" t="s">
        <v>1418</v>
      </c>
      <c r="T560" t="s">
        <v>1419</v>
      </c>
    </row>
    <row r="561" spans="1:20" x14ac:dyDescent="0.25">
      <c r="A561" t="str">
        <f>"3060332"</f>
        <v>3060332</v>
      </c>
      <c r="B561" t="s">
        <v>1421</v>
      </c>
      <c r="C561" t="str">
        <f>"80854000"</f>
        <v>80854000</v>
      </c>
      <c r="D561" t="s">
        <v>1422</v>
      </c>
      <c r="F561" t="s">
        <v>1423</v>
      </c>
      <c r="I561" t="s">
        <v>29</v>
      </c>
      <c r="J561" t="s">
        <v>30</v>
      </c>
      <c r="K561" t="s">
        <v>31</v>
      </c>
      <c r="M561" t="s">
        <v>32</v>
      </c>
      <c r="N561" t="str">
        <f>"9/1/2006 12:00:00 AM"</f>
        <v>9/1/2006 12:00:00 AM</v>
      </c>
      <c r="O561" t="s">
        <v>1422</v>
      </c>
    </row>
    <row r="562" spans="1:20" x14ac:dyDescent="0.25">
      <c r="A562" t="str">
        <f>"3060363"</f>
        <v>3060363</v>
      </c>
      <c r="B562" t="s">
        <v>1424</v>
      </c>
      <c r="C562" t="str">
        <f>"52240750"</f>
        <v>52240750</v>
      </c>
      <c r="D562" t="s">
        <v>1425</v>
      </c>
      <c r="E562" t="s">
        <v>1426</v>
      </c>
      <c r="F562" t="s">
        <v>1427</v>
      </c>
      <c r="I562" t="s">
        <v>29</v>
      </c>
      <c r="J562" t="s">
        <v>30</v>
      </c>
      <c r="K562" t="s">
        <v>31</v>
      </c>
      <c r="M562" t="s">
        <v>32</v>
      </c>
      <c r="N562" t="str">
        <f>"3/5/2004 12:00:00 AM"</f>
        <v>3/5/2004 12:00:00 AM</v>
      </c>
      <c r="O562" t="s">
        <v>1425</v>
      </c>
      <c r="T562" t="s">
        <v>1426</v>
      </c>
    </row>
    <row r="563" spans="1:20" x14ac:dyDescent="0.25">
      <c r="A563" t="str">
        <f>"3057472"</f>
        <v>3057472</v>
      </c>
      <c r="B563" t="s">
        <v>1428</v>
      </c>
      <c r="C563" t="str">
        <f>"52240750"</f>
        <v>52240750</v>
      </c>
      <c r="D563" t="s">
        <v>1425</v>
      </c>
      <c r="E563" t="s">
        <v>1426</v>
      </c>
      <c r="F563" t="s">
        <v>1427</v>
      </c>
      <c r="I563" t="s">
        <v>29</v>
      </c>
      <c r="J563" t="s">
        <v>30</v>
      </c>
      <c r="K563" t="s">
        <v>31</v>
      </c>
      <c r="M563" t="s">
        <v>32</v>
      </c>
      <c r="N563" t="str">
        <f>"3/5/2004 12:00:00 AM"</f>
        <v>3/5/2004 12:00:00 AM</v>
      </c>
      <c r="O563" t="s">
        <v>1425</v>
      </c>
      <c r="T563" t="s">
        <v>1426</v>
      </c>
    </row>
    <row r="564" spans="1:20" x14ac:dyDescent="0.25">
      <c r="A564" t="str">
        <f>"3040251"</f>
        <v>3040251</v>
      </c>
      <c r="B564" t="s">
        <v>1429</v>
      </c>
      <c r="C564" t="str">
        <f>"37516000"</f>
        <v>37516000</v>
      </c>
      <c r="D564" t="s">
        <v>1430</v>
      </c>
      <c r="E564" t="s">
        <v>1431</v>
      </c>
      <c r="F564" t="s">
        <v>1432</v>
      </c>
      <c r="I564" t="s">
        <v>184</v>
      </c>
      <c r="J564" t="s">
        <v>30</v>
      </c>
      <c r="K564" t="s">
        <v>185</v>
      </c>
      <c r="M564" t="s">
        <v>32</v>
      </c>
      <c r="N564" t="str">
        <f>"10/23/2003 12:00:00 AM"</f>
        <v>10/23/2003 12:00:00 AM</v>
      </c>
      <c r="O564" t="s">
        <v>1430</v>
      </c>
      <c r="T564" t="s">
        <v>1431</v>
      </c>
    </row>
    <row r="565" spans="1:20" x14ac:dyDescent="0.25">
      <c r="A565" t="str">
        <f>"3040677"</f>
        <v>3040677</v>
      </c>
      <c r="B565" t="s">
        <v>1433</v>
      </c>
      <c r="C565" t="str">
        <f>"37516000"</f>
        <v>37516000</v>
      </c>
      <c r="D565" t="s">
        <v>1430</v>
      </c>
      <c r="E565" t="s">
        <v>1431</v>
      </c>
      <c r="F565" t="s">
        <v>1432</v>
      </c>
      <c r="I565" t="s">
        <v>184</v>
      </c>
      <c r="J565" t="s">
        <v>30</v>
      </c>
      <c r="K565" t="s">
        <v>185</v>
      </c>
      <c r="M565" t="s">
        <v>32</v>
      </c>
      <c r="N565" t="str">
        <f>"10/23/2003 12:00:00 AM"</f>
        <v>10/23/2003 12:00:00 AM</v>
      </c>
      <c r="O565" t="s">
        <v>1430</v>
      </c>
      <c r="T565" t="s">
        <v>1431</v>
      </c>
    </row>
    <row r="566" spans="1:20" x14ac:dyDescent="0.25">
      <c r="A566" t="str">
        <f>"3040886"</f>
        <v>3040886</v>
      </c>
      <c r="B566" t="s">
        <v>1434</v>
      </c>
      <c r="C566" t="str">
        <f>"37516000"</f>
        <v>37516000</v>
      </c>
      <c r="D566" t="s">
        <v>1430</v>
      </c>
      <c r="E566" t="s">
        <v>1431</v>
      </c>
      <c r="F566" t="s">
        <v>1432</v>
      </c>
      <c r="I566" t="s">
        <v>184</v>
      </c>
      <c r="J566" t="s">
        <v>30</v>
      </c>
      <c r="K566" t="s">
        <v>185</v>
      </c>
      <c r="M566" t="s">
        <v>32</v>
      </c>
      <c r="N566" t="str">
        <f>"10/23/2003 12:00:00 AM"</f>
        <v>10/23/2003 12:00:00 AM</v>
      </c>
      <c r="O566" t="s">
        <v>1430</v>
      </c>
      <c r="T566" t="s">
        <v>1431</v>
      </c>
    </row>
    <row r="567" spans="1:20" x14ac:dyDescent="0.25">
      <c r="A567" t="str">
        <f>"3039000"</f>
        <v>3039000</v>
      </c>
      <c r="B567" t="s">
        <v>1435</v>
      </c>
      <c r="C567" t="str">
        <f>"82517205"</f>
        <v>82517205</v>
      </c>
      <c r="D567" t="s">
        <v>1436</v>
      </c>
      <c r="E567" t="s">
        <v>1437</v>
      </c>
      <c r="F567" t="s">
        <v>1438</v>
      </c>
      <c r="I567" t="s">
        <v>49</v>
      </c>
      <c r="J567" t="s">
        <v>30</v>
      </c>
      <c r="K567" t="s">
        <v>50</v>
      </c>
      <c r="M567" t="s">
        <v>32</v>
      </c>
      <c r="N567" t="str">
        <f>"5/31/2005 12:00:00 AM"</f>
        <v>5/31/2005 12:00:00 AM</v>
      </c>
      <c r="O567" t="s">
        <v>1436</v>
      </c>
      <c r="T567" t="s">
        <v>1437</v>
      </c>
    </row>
    <row r="568" spans="1:20" x14ac:dyDescent="0.25">
      <c r="A568" t="str">
        <f>"3039044"</f>
        <v>3039044</v>
      </c>
      <c r="B568" t="s">
        <v>1439</v>
      </c>
      <c r="C568" t="str">
        <f>"20429500"</f>
        <v>20429500</v>
      </c>
      <c r="D568" t="s">
        <v>1440</v>
      </c>
      <c r="F568" t="s">
        <v>1441</v>
      </c>
      <c r="G568" t="s">
        <v>1442</v>
      </c>
      <c r="I568" t="s">
        <v>402</v>
      </c>
      <c r="J568" t="s">
        <v>30</v>
      </c>
      <c r="K568" t="s">
        <v>403</v>
      </c>
      <c r="M568" t="s">
        <v>32</v>
      </c>
      <c r="N568" t="str">
        <f>"2/22/2005 12:00:00 AM"</f>
        <v>2/22/2005 12:00:00 AM</v>
      </c>
      <c r="O568" t="s">
        <v>1440</v>
      </c>
    </row>
    <row r="569" spans="1:20" x14ac:dyDescent="0.25">
      <c r="A569" t="str">
        <f>"3040622"</f>
        <v>3040622</v>
      </c>
      <c r="B569" t="s">
        <v>1443</v>
      </c>
      <c r="C569" t="str">
        <f>"20429500"</f>
        <v>20429500</v>
      </c>
      <c r="D569" t="s">
        <v>1440</v>
      </c>
      <c r="F569" t="s">
        <v>1441</v>
      </c>
      <c r="G569" t="s">
        <v>1442</v>
      </c>
      <c r="I569" t="s">
        <v>402</v>
      </c>
      <c r="J569" t="s">
        <v>30</v>
      </c>
      <c r="K569" t="s">
        <v>403</v>
      </c>
      <c r="M569" t="s">
        <v>32</v>
      </c>
      <c r="N569" t="str">
        <f>"2/22/2005 12:00:00 AM"</f>
        <v>2/22/2005 12:00:00 AM</v>
      </c>
      <c r="O569" t="s">
        <v>1440</v>
      </c>
    </row>
    <row r="570" spans="1:20" x14ac:dyDescent="0.25">
      <c r="A570" t="str">
        <f>"3061506"</f>
        <v>3061506</v>
      </c>
      <c r="B570" t="s">
        <v>1444</v>
      </c>
      <c r="C570" t="str">
        <f>"20429500"</f>
        <v>20429500</v>
      </c>
      <c r="D570" t="s">
        <v>1440</v>
      </c>
      <c r="F570" t="s">
        <v>1441</v>
      </c>
      <c r="G570" t="s">
        <v>1442</v>
      </c>
      <c r="I570" t="s">
        <v>402</v>
      </c>
      <c r="J570" t="s">
        <v>30</v>
      </c>
      <c r="K570" t="s">
        <v>403</v>
      </c>
      <c r="M570" t="s">
        <v>32</v>
      </c>
      <c r="N570" t="str">
        <f>"2/22/2005 12:00:00 AM"</f>
        <v>2/22/2005 12:00:00 AM</v>
      </c>
      <c r="O570" t="s">
        <v>1440</v>
      </c>
    </row>
    <row r="571" spans="1:20" x14ac:dyDescent="0.25">
      <c r="A571" t="str">
        <f>"3038999"</f>
        <v>3038999</v>
      </c>
      <c r="B571" t="s">
        <v>1445</v>
      </c>
      <c r="C571" t="str">
        <f>"42300000"</f>
        <v>42300000</v>
      </c>
      <c r="D571" t="s">
        <v>1446</v>
      </c>
      <c r="E571" t="s">
        <v>1447</v>
      </c>
      <c r="F571" t="s">
        <v>1448</v>
      </c>
      <c r="I571" t="s">
        <v>29</v>
      </c>
      <c r="J571" t="s">
        <v>30</v>
      </c>
      <c r="K571" t="s">
        <v>1449</v>
      </c>
      <c r="M571" t="s">
        <v>32</v>
      </c>
      <c r="N571" t="str">
        <f>"2/14/2007 12:00:00 AM"</f>
        <v>2/14/2007 12:00:00 AM</v>
      </c>
      <c r="O571" t="s">
        <v>1446</v>
      </c>
      <c r="T571" t="s">
        <v>1447</v>
      </c>
    </row>
    <row r="572" spans="1:20" x14ac:dyDescent="0.25">
      <c r="A572" t="str">
        <f>"3039064"</f>
        <v>3039064</v>
      </c>
      <c r="B572" t="s">
        <v>1450</v>
      </c>
      <c r="C572" t="str">
        <f t="shared" ref="C572:C577" si="25">"82520009"</f>
        <v>82520009</v>
      </c>
      <c r="D572" t="s">
        <v>1451</v>
      </c>
      <c r="F572" t="s">
        <v>1452</v>
      </c>
      <c r="I572" t="s">
        <v>29</v>
      </c>
      <c r="J572" t="s">
        <v>30</v>
      </c>
      <c r="K572" t="s">
        <v>31</v>
      </c>
      <c r="M572" t="s">
        <v>32</v>
      </c>
      <c r="N572" t="str">
        <f t="shared" ref="N572:N577" si="26">"1/6/2004 12:00:00 AM"</f>
        <v>1/6/2004 12:00:00 AM</v>
      </c>
      <c r="O572" t="s">
        <v>1451</v>
      </c>
    </row>
    <row r="573" spans="1:20" x14ac:dyDescent="0.25">
      <c r="A573" t="str">
        <f>"3039053"</f>
        <v>3039053</v>
      </c>
      <c r="B573" t="s">
        <v>1453</v>
      </c>
      <c r="C573" t="str">
        <f t="shared" si="25"/>
        <v>82520009</v>
      </c>
      <c r="D573" t="s">
        <v>1451</v>
      </c>
      <c r="F573" t="s">
        <v>1452</v>
      </c>
      <c r="I573" t="s">
        <v>29</v>
      </c>
      <c r="J573" t="s">
        <v>30</v>
      </c>
      <c r="K573" t="s">
        <v>31</v>
      </c>
      <c r="M573" t="s">
        <v>32</v>
      </c>
      <c r="N573" t="str">
        <f t="shared" si="26"/>
        <v>1/6/2004 12:00:00 AM</v>
      </c>
      <c r="O573" t="s">
        <v>1451</v>
      </c>
    </row>
    <row r="574" spans="1:20" x14ac:dyDescent="0.25">
      <c r="A574" t="str">
        <f>"3039054"</f>
        <v>3039054</v>
      </c>
      <c r="B574" t="s">
        <v>1454</v>
      </c>
      <c r="C574" t="str">
        <f t="shared" si="25"/>
        <v>82520009</v>
      </c>
      <c r="D574" t="s">
        <v>1451</v>
      </c>
      <c r="F574" t="s">
        <v>1452</v>
      </c>
      <c r="I574" t="s">
        <v>29</v>
      </c>
      <c r="J574" t="s">
        <v>30</v>
      </c>
      <c r="K574" t="s">
        <v>31</v>
      </c>
      <c r="M574" t="s">
        <v>32</v>
      </c>
      <c r="N574" t="str">
        <f t="shared" si="26"/>
        <v>1/6/2004 12:00:00 AM</v>
      </c>
      <c r="O574" t="s">
        <v>1451</v>
      </c>
    </row>
    <row r="575" spans="1:20" x14ac:dyDescent="0.25">
      <c r="A575" t="str">
        <f>"3039770"</f>
        <v>3039770</v>
      </c>
      <c r="B575" t="s">
        <v>1455</v>
      </c>
      <c r="C575" t="str">
        <f t="shared" si="25"/>
        <v>82520009</v>
      </c>
      <c r="D575" t="s">
        <v>1451</v>
      </c>
      <c r="F575" t="s">
        <v>1452</v>
      </c>
      <c r="I575" t="s">
        <v>29</v>
      </c>
      <c r="J575" t="s">
        <v>30</v>
      </c>
      <c r="K575" t="s">
        <v>31</v>
      </c>
      <c r="M575" t="s">
        <v>32</v>
      </c>
      <c r="N575" t="str">
        <f t="shared" si="26"/>
        <v>1/6/2004 12:00:00 AM</v>
      </c>
      <c r="O575" t="s">
        <v>1451</v>
      </c>
    </row>
    <row r="576" spans="1:20" x14ac:dyDescent="0.25">
      <c r="A576" t="str">
        <f>"3039346"</f>
        <v>3039346</v>
      </c>
      <c r="B576" t="s">
        <v>1456</v>
      </c>
      <c r="C576" t="str">
        <f t="shared" si="25"/>
        <v>82520009</v>
      </c>
      <c r="D576" t="s">
        <v>1451</v>
      </c>
      <c r="F576" t="s">
        <v>1452</v>
      </c>
      <c r="I576" t="s">
        <v>29</v>
      </c>
      <c r="J576" t="s">
        <v>30</v>
      </c>
      <c r="K576" t="s">
        <v>31</v>
      </c>
      <c r="M576" t="s">
        <v>32</v>
      </c>
      <c r="N576" t="str">
        <f t="shared" si="26"/>
        <v>1/6/2004 12:00:00 AM</v>
      </c>
      <c r="O576" t="s">
        <v>1451</v>
      </c>
    </row>
    <row r="577" spans="1:20" x14ac:dyDescent="0.25">
      <c r="A577" t="str">
        <f>"3039365"</f>
        <v>3039365</v>
      </c>
      <c r="B577" t="s">
        <v>1457</v>
      </c>
      <c r="C577" t="str">
        <f t="shared" si="25"/>
        <v>82520009</v>
      </c>
      <c r="D577" t="s">
        <v>1451</v>
      </c>
      <c r="F577" t="s">
        <v>1452</v>
      </c>
      <c r="I577" t="s">
        <v>29</v>
      </c>
      <c r="J577" t="s">
        <v>30</v>
      </c>
      <c r="K577" t="s">
        <v>31</v>
      </c>
      <c r="M577" t="s">
        <v>32</v>
      </c>
      <c r="N577" t="str">
        <f t="shared" si="26"/>
        <v>1/6/2004 12:00:00 AM</v>
      </c>
      <c r="O577" t="s">
        <v>1451</v>
      </c>
    </row>
    <row r="578" spans="1:20" x14ac:dyDescent="0.25">
      <c r="A578" t="str">
        <f>"3039788"</f>
        <v>3039788</v>
      </c>
      <c r="B578" t="s">
        <v>1458</v>
      </c>
      <c r="C578" t="str">
        <f>"45540000"</f>
        <v>45540000</v>
      </c>
      <c r="D578" t="s">
        <v>1459</v>
      </c>
      <c r="F578" t="s">
        <v>1460</v>
      </c>
      <c r="I578" t="s">
        <v>29</v>
      </c>
      <c r="J578" t="s">
        <v>30</v>
      </c>
      <c r="K578" t="s">
        <v>1461</v>
      </c>
      <c r="M578" t="s">
        <v>32</v>
      </c>
      <c r="N578" t="str">
        <f>"1/21/2010 12:00:00 AM"</f>
        <v>1/21/2010 12:00:00 AM</v>
      </c>
      <c r="O578" t="s">
        <v>1459</v>
      </c>
      <c r="T578" t="s">
        <v>1459</v>
      </c>
    </row>
    <row r="579" spans="1:20" x14ac:dyDescent="0.25">
      <c r="A579" t="str">
        <f>"3062203"</f>
        <v>3062203</v>
      </c>
      <c r="B579" t="s">
        <v>1462</v>
      </c>
      <c r="C579" t="str">
        <f>"29846800"</f>
        <v>29846800</v>
      </c>
      <c r="D579" t="s">
        <v>1463</v>
      </c>
      <c r="E579" t="s">
        <v>1464</v>
      </c>
      <c r="F579" t="s">
        <v>1465</v>
      </c>
      <c r="I579" t="s">
        <v>29</v>
      </c>
      <c r="J579" t="s">
        <v>30</v>
      </c>
      <c r="K579" t="s">
        <v>31</v>
      </c>
      <c r="M579" t="s">
        <v>32</v>
      </c>
      <c r="N579" t="str">
        <f>"9/3/2003 12:00:00 AM"</f>
        <v>9/3/2003 12:00:00 AM</v>
      </c>
      <c r="O579" t="s">
        <v>1463</v>
      </c>
      <c r="T579" t="s">
        <v>1464</v>
      </c>
    </row>
    <row r="580" spans="1:20" x14ac:dyDescent="0.25">
      <c r="A580" t="str">
        <f>"3062238"</f>
        <v>3062238</v>
      </c>
      <c r="B580" t="s">
        <v>1466</v>
      </c>
      <c r="C580" t="str">
        <f>"29846800"</f>
        <v>29846800</v>
      </c>
      <c r="D580" t="s">
        <v>1463</v>
      </c>
      <c r="E580" t="s">
        <v>1464</v>
      </c>
      <c r="F580" t="s">
        <v>1465</v>
      </c>
      <c r="I580" t="s">
        <v>29</v>
      </c>
      <c r="J580" t="s">
        <v>30</v>
      </c>
      <c r="K580" t="s">
        <v>31</v>
      </c>
      <c r="M580" t="s">
        <v>32</v>
      </c>
      <c r="N580" t="str">
        <f>"9/3/2003 12:00:00 AM"</f>
        <v>9/3/2003 12:00:00 AM</v>
      </c>
      <c r="O580" t="s">
        <v>1463</v>
      </c>
      <c r="T580" t="s">
        <v>1464</v>
      </c>
    </row>
    <row r="581" spans="1:20" x14ac:dyDescent="0.25">
      <c r="A581" t="str">
        <f>"3039897"</f>
        <v>3039897</v>
      </c>
      <c r="B581" t="s">
        <v>1467</v>
      </c>
      <c r="C581" t="str">
        <f>"25066000"</f>
        <v>25066000</v>
      </c>
      <c r="D581" t="s">
        <v>1468</v>
      </c>
      <c r="F581" t="s">
        <v>1469</v>
      </c>
      <c r="I581" t="s">
        <v>29</v>
      </c>
      <c r="J581" t="s">
        <v>30</v>
      </c>
      <c r="K581" t="s">
        <v>31</v>
      </c>
      <c r="M581" t="s">
        <v>32</v>
      </c>
      <c r="N581" t="str">
        <f>"8/15/2003 12:00:00 AM"</f>
        <v>8/15/2003 12:00:00 AM</v>
      </c>
      <c r="O581" t="s">
        <v>1468</v>
      </c>
    </row>
    <row r="582" spans="1:20" x14ac:dyDescent="0.25">
      <c r="A582" t="str">
        <f>"3039719"</f>
        <v>3039719</v>
      </c>
      <c r="B582" t="s">
        <v>1470</v>
      </c>
      <c r="C582" t="str">
        <f>"82517254"</f>
        <v>82517254</v>
      </c>
      <c r="D582" t="s">
        <v>1471</v>
      </c>
      <c r="E582" t="s">
        <v>1472</v>
      </c>
      <c r="F582" t="s">
        <v>1473</v>
      </c>
      <c r="I582" t="s">
        <v>29</v>
      </c>
      <c r="J582" t="s">
        <v>30</v>
      </c>
      <c r="K582" t="s">
        <v>1474</v>
      </c>
      <c r="M582" t="s">
        <v>32</v>
      </c>
      <c r="N582" t="str">
        <f>"2/7/2006 12:00:00 AM"</f>
        <v>2/7/2006 12:00:00 AM</v>
      </c>
      <c r="O582" t="s">
        <v>1471</v>
      </c>
      <c r="T582" t="s">
        <v>1472</v>
      </c>
    </row>
    <row r="583" spans="1:20" x14ac:dyDescent="0.25">
      <c r="A583" t="str">
        <f>"3039755"</f>
        <v>3039755</v>
      </c>
      <c r="B583" t="s">
        <v>1475</v>
      </c>
      <c r="C583" t="str">
        <f>"82522701"</f>
        <v>82522701</v>
      </c>
      <c r="D583" t="s">
        <v>1476</v>
      </c>
      <c r="E583" t="s">
        <v>1477</v>
      </c>
      <c r="F583" t="s">
        <v>1478</v>
      </c>
      <c r="I583" t="s">
        <v>29</v>
      </c>
      <c r="J583" t="s">
        <v>30</v>
      </c>
      <c r="K583" t="s">
        <v>1479</v>
      </c>
      <c r="M583" t="s">
        <v>32</v>
      </c>
      <c r="N583" t="str">
        <f>"1/20/2010 12:00:00 AM"</f>
        <v>1/20/2010 12:00:00 AM</v>
      </c>
      <c r="O583" t="s">
        <v>1476</v>
      </c>
      <c r="T583" t="s">
        <v>1477</v>
      </c>
    </row>
    <row r="584" spans="1:20" x14ac:dyDescent="0.25">
      <c r="A584" t="str">
        <f>"3060206"</f>
        <v>3060206</v>
      </c>
      <c r="B584" t="s">
        <v>1480</v>
      </c>
      <c r="C584" t="str">
        <f>"51729300"</f>
        <v>51729300</v>
      </c>
      <c r="D584" t="s">
        <v>1481</v>
      </c>
      <c r="F584" t="s">
        <v>1482</v>
      </c>
      <c r="I584" t="s">
        <v>29</v>
      </c>
      <c r="J584" t="s">
        <v>30</v>
      </c>
      <c r="K584" t="s">
        <v>31</v>
      </c>
      <c r="M584" t="s">
        <v>32</v>
      </c>
      <c r="N584" t="str">
        <f>"9/6/2005 12:00:00 AM"</f>
        <v>9/6/2005 12:00:00 AM</v>
      </c>
      <c r="O584" t="s">
        <v>1481</v>
      </c>
    </row>
    <row r="585" spans="1:20" x14ac:dyDescent="0.25">
      <c r="A585" t="str">
        <f>"3060188"</f>
        <v>3060188</v>
      </c>
      <c r="B585" t="s">
        <v>1483</v>
      </c>
      <c r="C585" t="str">
        <f>"44861000"</f>
        <v>44861000</v>
      </c>
      <c r="D585" t="s">
        <v>1484</v>
      </c>
      <c r="F585" t="s">
        <v>1485</v>
      </c>
      <c r="I585" t="s">
        <v>29</v>
      </c>
      <c r="J585" t="s">
        <v>30</v>
      </c>
      <c r="K585" t="s">
        <v>31</v>
      </c>
      <c r="M585" t="s">
        <v>32</v>
      </c>
      <c r="N585" t="str">
        <f>"12/12/2003 12:00:00 AM"</f>
        <v>12/12/2003 12:00:00 AM</v>
      </c>
      <c r="O585" t="s">
        <v>1484</v>
      </c>
    </row>
    <row r="586" spans="1:20" x14ac:dyDescent="0.25">
      <c r="A586" t="str">
        <f>"3060190"</f>
        <v>3060190</v>
      </c>
      <c r="B586" t="s">
        <v>1486</v>
      </c>
      <c r="C586" t="str">
        <f>"32459000"</f>
        <v>32459000</v>
      </c>
      <c r="D586" t="s">
        <v>1487</v>
      </c>
      <c r="F586" t="s">
        <v>1488</v>
      </c>
      <c r="I586" t="s">
        <v>29</v>
      </c>
      <c r="J586" t="s">
        <v>30</v>
      </c>
      <c r="K586" t="s">
        <v>31</v>
      </c>
      <c r="M586" t="s">
        <v>32</v>
      </c>
      <c r="N586" t="str">
        <f>"12/10/2007 12:00:00 AM"</f>
        <v>12/10/2007 12:00:00 AM</v>
      </c>
      <c r="O586" t="s">
        <v>1487</v>
      </c>
    </row>
    <row r="587" spans="1:20" x14ac:dyDescent="0.25">
      <c r="A587" t="str">
        <f>"3060193"</f>
        <v>3060193</v>
      </c>
      <c r="B587" t="s">
        <v>1489</v>
      </c>
      <c r="C587" t="str">
        <f>"82523021"</f>
        <v>82523021</v>
      </c>
      <c r="D587" t="s">
        <v>1490</v>
      </c>
      <c r="E587" t="s">
        <v>1491</v>
      </c>
      <c r="F587" t="s">
        <v>1492</v>
      </c>
      <c r="I587" t="s">
        <v>29</v>
      </c>
      <c r="J587" t="s">
        <v>30</v>
      </c>
      <c r="K587" t="s">
        <v>31</v>
      </c>
      <c r="M587" t="s">
        <v>32</v>
      </c>
      <c r="N587" t="str">
        <f>"5/21/2008 12:00:00 AM"</f>
        <v>5/21/2008 12:00:00 AM</v>
      </c>
      <c r="O587" t="s">
        <v>1490</v>
      </c>
      <c r="T587" t="s">
        <v>1491</v>
      </c>
    </row>
    <row r="588" spans="1:20" x14ac:dyDescent="0.25">
      <c r="A588" t="str">
        <f>"3062239"</f>
        <v>3062239</v>
      </c>
      <c r="B588" t="s">
        <v>1493</v>
      </c>
      <c r="C588" t="str">
        <f>"82523021"</f>
        <v>82523021</v>
      </c>
      <c r="D588" t="s">
        <v>1490</v>
      </c>
      <c r="E588" t="s">
        <v>1491</v>
      </c>
      <c r="F588" t="s">
        <v>1492</v>
      </c>
      <c r="I588" t="s">
        <v>29</v>
      </c>
      <c r="J588" t="s">
        <v>30</v>
      </c>
      <c r="K588" t="s">
        <v>31</v>
      </c>
      <c r="M588" t="s">
        <v>32</v>
      </c>
      <c r="N588" t="str">
        <f>"5/21/2008 12:00:00 AM"</f>
        <v>5/21/2008 12:00:00 AM</v>
      </c>
      <c r="O588" t="s">
        <v>1490</v>
      </c>
      <c r="T588" t="s">
        <v>1491</v>
      </c>
    </row>
    <row r="589" spans="1:20" x14ac:dyDescent="0.25">
      <c r="A589" t="str">
        <f>"3062240"</f>
        <v>3062240</v>
      </c>
      <c r="B589" t="s">
        <v>1494</v>
      </c>
      <c r="C589" t="str">
        <f>"82523021"</f>
        <v>82523021</v>
      </c>
      <c r="D589" t="s">
        <v>1490</v>
      </c>
      <c r="E589" t="s">
        <v>1491</v>
      </c>
      <c r="F589" t="s">
        <v>1492</v>
      </c>
      <c r="I589" t="s">
        <v>29</v>
      </c>
      <c r="J589" t="s">
        <v>30</v>
      </c>
      <c r="K589" t="s">
        <v>31</v>
      </c>
      <c r="M589" t="s">
        <v>32</v>
      </c>
      <c r="N589" t="str">
        <f>"5/21/2008 12:00:00 AM"</f>
        <v>5/21/2008 12:00:00 AM</v>
      </c>
      <c r="O589" t="s">
        <v>1490</v>
      </c>
      <c r="T589" t="s">
        <v>1491</v>
      </c>
    </row>
    <row r="590" spans="1:20" x14ac:dyDescent="0.25">
      <c r="A590" t="str">
        <f>"3062244"</f>
        <v>3062244</v>
      </c>
      <c r="B590" t="s">
        <v>1495</v>
      </c>
      <c r="C590" t="str">
        <f>"82523021"</f>
        <v>82523021</v>
      </c>
      <c r="D590" t="s">
        <v>1490</v>
      </c>
      <c r="E590" t="s">
        <v>1491</v>
      </c>
      <c r="F590" t="s">
        <v>1492</v>
      </c>
      <c r="I590" t="s">
        <v>29</v>
      </c>
      <c r="J590" t="s">
        <v>30</v>
      </c>
      <c r="K590" t="s">
        <v>31</v>
      </c>
      <c r="M590" t="s">
        <v>32</v>
      </c>
      <c r="N590" t="str">
        <f>"5/21/2008 12:00:00 AM"</f>
        <v>5/21/2008 12:00:00 AM</v>
      </c>
      <c r="O590" t="s">
        <v>1490</v>
      </c>
      <c r="T590" t="s">
        <v>1491</v>
      </c>
    </row>
    <row r="591" spans="1:20" x14ac:dyDescent="0.25">
      <c r="A591" t="str">
        <f>"3062212"</f>
        <v>3062212</v>
      </c>
      <c r="B591" t="s">
        <v>1496</v>
      </c>
      <c r="C591" t="str">
        <f>"82523021"</f>
        <v>82523021</v>
      </c>
      <c r="D591" t="s">
        <v>1490</v>
      </c>
      <c r="E591" t="s">
        <v>1491</v>
      </c>
      <c r="F591" t="s">
        <v>1492</v>
      </c>
      <c r="I591" t="s">
        <v>29</v>
      </c>
      <c r="J591" t="s">
        <v>30</v>
      </c>
      <c r="K591" t="s">
        <v>31</v>
      </c>
      <c r="M591" t="s">
        <v>32</v>
      </c>
      <c r="N591" t="str">
        <f>"5/21/2008 12:00:00 AM"</f>
        <v>5/21/2008 12:00:00 AM</v>
      </c>
      <c r="O591" t="s">
        <v>1490</v>
      </c>
      <c r="T591" t="s">
        <v>1491</v>
      </c>
    </row>
    <row r="592" spans="1:20" x14ac:dyDescent="0.25">
      <c r="A592" t="str">
        <f>"3060191"</f>
        <v>3060191</v>
      </c>
      <c r="B592" t="s">
        <v>1497</v>
      </c>
      <c r="C592" t="str">
        <f>"66552000"</f>
        <v>66552000</v>
      </c>
      <c r="D592" t="s">
        <v>1498</v>
      </c>
      <c r="E592" t="s">
        <v>1499</v>
      </c>
      <c r="F592" t="s">
        <v>1500</v>
      </c>
      <c r="I592" t="s">
        <v>29</v>
      </c>
      <c r="J592" t="s">
        <v>30</v>
      </c>
      <c r="K592" t="s">
        <v>31</v>
      </c>
      <c r="M592" t="s">
        <v>32</v>
      </c>
      <c r="N592" t="str">
        <f>"5/12/2004 12:00:00 AM"</f>
        <v>5/12/2004 12:00:00 AM</v>
      </c>
      <c r="O592" t="s">
        <v>1498</v>
      </c>
      <c r="T592" t="s">
        <v>1499</v>
      </c>
    </row>
    <row r="593" spans="1:20" x14ac:dyDescent="0.25">
      <c r="A593" t="str">
        <f>"3060185"</f>
        <v>3060185</v>
      </c>
      <c r="B593" t="s">
        <v>1501</v>
      </c>
      <c r="C593" t="str">
        <f>"82523402"</f>
        <v>82523402</v>
      </c>
      <c r="D593" t="s">
        <v>1502</v>
      </c>
      <c r="E593" t="s">
        <v>1503</v>
      </c>
      <c r="F593" t="s">
        <v>1504</v>
      </c>
      <c r="I593" t="s">
        <v>29</v>
      </c>
      <c r="J593" t="s">
        <v>30</v>
      </c>
      <c r="K593" t="s">
        <v>1505</v>
      </c>
      <c r="M593" t="s">
        <v>32</v>
      </c>
      <c r="N593" t="str">
        <f>"2/9/2005 12:00:00 AM"</f>
        <v>2/9/2005 12:00:00 AM</v>
      </c>
      <c r="O593" t="s">
        <v>1502</v>
      </c>
      <c r="T593" t="s">
        <v>1503</v>
      </c>
    </row>
    <row r="594" spans="1:20" x14ac:dyDescent="0.25">
      <c r="A594" t="str">
        <f>"3062242"</f>
        <v>3062242</v>
      </c>
      <c r="B594" t="s">
        <v>1506</v>
      </c>
      <c r="C594" t="str">
        <f>"82523402"</f>
        <v>82523402</v>
      </c>
      <c r="D594" t="s">
        <v>1502</v>
      </c>
      <c r="E594" t="s">
        <v>1503</v>
      </c>
      <c r="F594" t="s">
        <v>1504</v>
      </c>
      <c r="I594" t="s">
        <v>29</v>
      </c>
      <c r="J594" t="s">
        <v>30</v>
      </c>
      <c r="K594" t="s">
        <v>1505</v>
      </c>
      <c r="M594" t="s">
        <v>32</v>
      </c>
      <c r="N594" t="str">
        <f>"2/9/2005 12:00:00 AM"</f>
        <v>2/9/2005 12:00:00 AM</v>
      </c>
      <c r="O594" t="s">
        <v>1502</v>
      </c>
      <c r="T594" t="s">
        <v>1503</v>
      </c>
    </row>
    <row r="595" spans="1:20" x14ac:dyDescent="0.25">
      <c r="A595" t="str">
        <f>"3062198"</f>
        <v>3062198</v>
      </c>
      <c r="B595" t="s">
        <v>1507</v>
      </c>
      <c r="C595" t="str">
        <f>"82523402"</f>
        <v>82523402</v>
      </c>
      <c r="D595" t="s">
        <v>1502</v>
      </c>
      <c r="E595" t="s">
        <v>1503</v>
      </c>
      <c r="F595" t="s">
        <v>1504</v>
      </c>
      <c r="I595" t="s">
        <v>29</v>
      </c>
      <c r="J595" t="s">
        <v>30</v>
      </c>
      <c r="K595" t="s">
        <v>1505</v>
      </c>
      <c r="M595" t="s">
        <v>32</v>
      </c>
      <c r="N595" t="str">
        <f>"2/9/2005 12:00:00 AM"</f>
        <v>2/9/2005 12:00:00 AM</v>
      </c>
      <c r="O595" t="s">
        <v>1502</v>
      </c>
      <c r="T595" t="s">
        <v>1503</v>
      </c>
    </row>
    <row r="596" spans="1:20" x14ac:dyDescent="0.25">
      <c r="A596" t="str">
        <f>"3060204"</f>
        <v>3060204</v>
      </c>
      <c r="B596" t="s">
        <v>1508</v>
      </c>
      <c r="C596" t="str">
        <f>"36226620"</f>
        <v>36226620</v>
      </c>
      <c r="D596" t="s">
        <v>1509</v>
      </c>
      <c r="F596" t="s">
        <v>1510</v>
      </c>
      <c r="I596" t="s">
        <v>29</v>
      </c>
      <c r="J596" t="s">
        <v>30</v>
      </c>
      <c r="K596" t="s">
        <v>1511</v>
      </c>
      <c r="M596" t="s">
        <v>32</v>
      </c>
      <c r="N596" t="str">
        <f>"2/17/2005 12:00:00 AM"</f>
        <v>2/17/2005 12:00:00 AM</v>
      </c>
      <c r="O596" t="s">
        <v>1509</v>
      </c>
    </row>
    <row r="597" spans="1:20" x14ac:dyDescent="0.25">
      <c r="A597" t="str">
        <f>"3039482"</f>
        <v>3039482</v>
      </c>
      <c r="B597" t="s">
        <v>1512</v>
      </c>
      <c r="C597" t="str">
        <f>"82526932"</f>
        <v>82526932</v>
      </c>
      <c r="D597" t="s">
        <v>1513</v>
      </c>
      <c r="E597" t="s">
        <v>1514</v>
      </c>
      <c r="F597" t="s">
        <v>1515</v>
      </c>
      <c r="I597" t="s">
        <v>29</v>
      </c>
      <c r="J597" t="s">
        <v>30</v>
      </c>
      <c r="K597" t="s">
        <v>31</v>
      </c>
      <c r="M597" t="s">
        <v>32</v>
      </c>
      <c r="N597" t="str">
        <f>"2/6/2007 12:00:00 AM"</f>
        <v>2/6/2007 12:00:00 AM</v>
      </c>
      <c r="O597" t="s">
        <v>1513</v>
      </c>
      <c r="T597" t="s">
        <v>1514</v>
      </c>
    </row>
    <row r="598" spans="1:20" x14ac:dyDescent="0.25">
      <c r="A598" t="str">
        <f>"3039866"</f>
        <v>3039866</v>
      </c>
      <c r="B598" t="s">
        <v>1516</v>
      </c>
      <c r="C598" t="str">
        <f>"82526932"</f>
        <v>82526932</v>
      </c>
      <c r="D598" t="s">
        <v>1513</v>
      </c>
      <c r="E598" t="s">
        <v>1514</v>
      </c>
      <c r="F598" t="s">
        <v>1515</v>
      </c>
      <c r="I598" t="s">
        <v>29</v>
      </c>
      <c r="J598" t="s">
        <v>30</v>
      </c>
      <c r="K598" t="s">
        <v>31</v>
      </c>
      <c r="M598" t="s">
        <v>32</v>
      </c>
      <c r="N598" t="str">
        <f>"2/6/2007 12:00:00 AM"</f>
        <v>2/6/2007 12:00:00 AM</v>
      </c>
      <c r="O598" t="s">
        <v>1513</v>
      </c>
      <c r="T598" t="s">
        <v>1514</v>
      </c>
    </row>
    <row r="599" spans="1:20" x14ac:dyDescent="0.25">
      <c r="A599" t="str">
        <f>"3039867"</f>
        <v>3039867</v>
      </c>
      <c r="B599" t="s">
        <v>1517</v>
      </c>
      <c r="C599" t="str">
        <f>"82526932"</f>
        <v>82526932</v>
      </c>
      <c r="D599" t="s">
        <v>1513</v>
      </c>
      <c r="E599" t="s">
        <v>1514</v>
      </c>
      <c r="F599" t="s">
        <v>1515</v>
      </c>
      <c r="I599" t="s">
        <v>29</v>
      </c>
      <c r="J599" t="s">
        <v>30</v>
      </c>
      <c r="K599" t="s">
        <v>31</v>
      </c>
      <c r="M599" t="s">
        <v>32</v>
      </c>
      <c r="N599" t="str">
        <f>"2/6/2007 12:00:00 AM"</f>
        <v>2/6/2007 12:00:00 AM</v>
      </c>
      <c r="O599" t="s">
        <v>1513</v>
      </c>
      <c r="T599" t="s">
        <v>1514</v>
      </c>
    </row>
    <row r="600" spans="1:20" x14ac:dyDescent="0.25">
      <c r="A600" t="str">
        <f>"3039418"</f>
        <v>3039418</v>
      </c>
      <c r="B600" t="s">
        <v>1518</v>
      </c>
      <c r="C600" t="str">
        <f>"82522606"</f>
        <v>82522606</v>
      </c>
      <c r="D600" t="s">
        <v>1519</v>
      </c>
      <c r="E600" t="s">
        <v>1520</v>
      </c>
      <c r="F600" t="s">
        <v>1521</v>
      </c>
      <c r="I600" t="s">
        <v>29</v>
      </c>
      <c r="J600" t="s">
        <v>30</v>
      </c>
      <c r="K600" t="s">
        <v>31</v>
      </c>
      <c r="M600" t="s">
        <v>32</v>
      </c>
      <c r="N600" t="str">
        <f>"2/21/2005 12:00:00 AM"</f>
        <v>2/21/2005 12:00:00 AM</v>
      </c>
      <c r="O600" t="s">
        <v>1519</v>
      </c>
      <c r="T600" t="s">
        <v>1520</v>
      </c>
    </row>
    <row r="601" spans="1:20" x14ac:dyDescent="0.25">
      <c r="A601" t="str">
        <f>"3039216"</f>
        <v>3039216</v>
      </c>
      <c r="B601" t="s">
        <v>1522</v>
      </c>
      <c r="C601" t="str">
        <f>"82522606"</f>
        <v>82522606</v>
      </c>
      <c r="D601" t="s">
        <v>1519</v>
      </c>
      <c r="E601" t="s">
        <v>1520</v>
      </c>
      <c r="F601" t="s">
        <v>1521</v>
      </c>
      <c r="I601" t="s">
        <v>29</v>
      </c>
      <c r="J601" t="s">
        <v>30</v>
      </c>
      <c r="K601" t="s">
        <v>31</v>
      </c>
      <c r="M601" t="s">
        <v>32</v>
      </c>
      <c r="N601" t="str">
        <f>"2/21/2005 12:00:00 AM"</f>
        <v>2/21/2005 12:00:00 AM</v>
      </c>
      <c r="O601" t="s">
        <v>1519</v>
      </c>
      <c r="T601" t="s">
        <v>1520</v>
      </c>
    </row>
    <row r="602" spans="1:20" x14ac:dyDescent="0.25">
      <c r="A602" t="str">
        <f>"3039829"</f>
        <v>3039829</v>
      </c>
      <c r="B602" t="s">
        <v>1523</v>
      </c>
      <c r="C602" t="str">
        <f>"14452000"</f>
        <v>14452000</v>
      </c>
      <c r="D602" t="s">
        <v>1524</v>
      </c>
      <c r="F602" t="s">
        <v>1525</v>
      </c>
      <c r="I602" t="s">
        <v>29</v>
      </c>
      <c r="J602" t="s">
        <v>30</v>
      </c>
      <c r="K602" t="s">
        <v>31</v>
      </c>
      <c r="M602" t="s">
        <v>32</v>
      </c>
      <c r="N602" t="str">
        <f>"6/24/2003 12:00:00 AM"</f>
        <v>6/24/2003 12:00:00 AM</v>
      </c>
      <c r="O602" t="s">
        <v>1524</v>
      </c>
    </row>
    <row r="603" spans="1:20" x14ac:dyDescent="0.25">
      <c r="A603" t="str">
        <f>"3037881"</f>
        <v>3037881</v>
      </c>
      <c r="B603" t="s">
        <v>1526</v>
      </c>
      <c r="C603" t="str">
        <f>"82528688"</f>
        <v>82528688</v>
      </c>
      <c r="D603" t="s">
        <v>1527</v>
      </c>
      <c r="E603" t="s">
        <v>1528</v>
      </c>
      <c r="F603" t="s">
        <v>1529</v>
      </c>
      <c r="I603" t="s">
        <v>471</v>
      </c>
      <c r="J603" t="s">
        <v>30</v>
      </c>
      <c r="K603" t="s">
        <v>625</v>
      </c>
      <c r="M603" t="s">
        <v>32</v>
      </c>
      <c r="N603" t="str">
        <f>"1/7/2008 12:00:00 AM"</f>
        <v>1/7/2008 12:00:00 AM</v>
      </c>
      <c r="O603" t="s">
        <v>1527</v>
      </c>
      <c r="T603" t="s">
        <v>1528</v>
      </c>
    </row>
    <row r="604" spans="1:20" x14ac:dyDescent="0.25">
      <c r="A604" t="str">
        <f>"3039487"</f>
        <v>3039487</v>
      </c>
      <c r="B604" t="s">
        <v>1530</v>
      </c>
      <c r="C604" t="str">
        <f>"60684000"</f>
        <v>60684000</v>
      </c>
      <c r="D604" t="s">
        <v>1531</v>
      </c>
      <c r="E604" t="s">
        <v>1532</v>
      </c>
      <c r="F604" t="s">
        <v>1533</v>
      </c>
      <c r="I604" t="s">
        <v>184</v>
      </c>
      <c r="J604" t="s">
        <v>30</v>
      </c>
      <c r="K604" t="s">
        <v>185</v>
      </c>
      <c r="M604" t="s">
        <v>32</v>
      </c>
      <c r="N604" t="str">
        <f>"4/12/2004 12:00:00 AM"</f>
        <v>4/12/2004 12:00:00 AM</v>
      </c>
      <c r="O604" t="s">
        <v>1531</v>
      </c>
      <c r="T604" t="s">
        <v>1532</v>
      </c>
    </row>
    <row r="605" spans="1:20" x14ac:dyDescent="0.25">
      <c r="A605" t="str">
        <f>"3039736"</f>
        <v>3039736</v>
      </c>
      <c r="B605" t="s">
        <v>1534</v>
      </c>
      <c r="C605" t="str">
        <f>"60684000"</f>
        <v>60684000</v>
      </c>
      <c r="D605" t="s">
        <v>1531</v>
      </c>
      <c r="E605" t="s">
        <v>1532</v>
      </c>
      <c r="F605" t="s">
        <v>1533</v>
      </c>
      <c r="I605" t="s">
        <v>184</v>
      </c>
      <c r="J605" t="s">
        <v>30</v>
      </c>
      <c r="K605" t="s">
        <v>185</v>
      </c>
      <c r="M605" t="s">
        <v>32</v>
      </c>
      <c r="N605" t="str">
        <f>"4/12/2004 12:00:00 AM"</f>
        <v>4/12/2004 12:00:00 AM</v>
      </c>
      <c r="O605" t="s">
        <v>1531</v>
      </c>
      <c r="T605" t="s">
        <v>1532</v>
      </c>
    </row>
    <row r="606" spans="1:20" x14ac:dyDescent="0.25">
      <c r="A606" t="str">
        <f>"3040981"</f>
        <v>3040981</v>
      </c>
      <c r="B606" t="s">
        <v>1535</v>
      </c>
      <c r="C606" t="str">
        <f>"60684000"</f>
        <v>60684000</v>
      </c>
      <c r="D606" t="s">
        <v>1531</v>
      </c>
      <c r="E606" t="s">
        <v>1532</v>
      </c>
      <c r="F606" t="s">
        <v>1533</v>
      </c>
      <c r="I606" t="s">
        <v>184</v>
      </c>
      <c r="J606" t="s">
        <v>30</v>
      </c>
      <c r="K606" t="s">
        <v>185</v>
      </c>
      <c r="M606" t="s">
        <v>32</v>
      </c>
      <c r="N606" t="str">
        <f>"4/12/2004 12:00:00 AM"</f>
        <v>4/12/2004 12:00:00 AM</v>
      </c>
      <c r="O606" t="s">
        <v>1531</v>
      </c>
      <c r="T606" t="s">
        <v>1532</v>
      </c>
    </row>
    <row r="607" spans="1:20" x14ac:dyDescent="0.25">
      <c r="A607" t="str">
        <f>"3039910"</f>
        <v>3039910</v>
      </c>
      <c r="B607" t="s">
        <v>1536</v>
      </c>
      <c r="C607" t="str">
        <f>"82514606"</f>
        <v>82514606</v>
      </c>
      <c r="D607" t="s">
        <v>1537</v>
      </c>
      <c r="F607" t="s">
        <v>1538</v>
      </c>
      <c r="I607" t="s">
        <v>49</v>
      </c>
      <c r="J607" t="s">
        <v>30</v>
      </c>
      <c r="K607" t="s">
        <v>50</v>
      </c>
      <c r="M607" t="s">
        <v>32</v>
      </c>
      <c r="N607" t="str">
        <f>"9/13/2010 12:00:00 AM"</f>
        <v>9/13/2010 12:00:00 AM</v>
      </c>
      <c r="O607" t="s">
        <v>1537</v>
      </c>
    </row>
    <row r="608" spans="1:20" x14ac:dyDescent="0.25">
      <c r="A608" t="str">
        <f>"3039364"</f>
        <v>3039364</v>
      </c>
      <c r="B608" t="s">
        <v>1539</v>
      </c>
      <c r="C608" t="str">
        <f>"10192000"</f>
        <v>10192000</v>
      </c>
      <c r="D608" t="s">
        <v>1540</v>
      </c>
      <c r="F608" t="s">
        <v>1541</v>
      </c>
      <c r="I608" t="s">
        <v>1542</v>
      </c>
      <c r="J608" t="s">
        <v>1543</v>
      </c>
      <c r="K608" t="s">
        <v>1544</v>
      </c>
      <c r="M608" t="s">
        <v>32</v>
      </c>
      <c r="N608" t="str">
        <f>"9/19/2002 12:00:00 AM"</f>
        <v>9/19/2002 12:00:00 AM</v>
      </c>
      <c r="O608" t="s">
        <v>1540</v>
      </c>
    </row>
    <row r="609" spans="1:20" x14ac:dyDescent="0.25">
      <c r="A609" t="str">
        <f>"3076711"</f>
        <v>3076711</v>
      </c>
      <c r="B609" t="s">
        <v>1545</v>
      </c>
      <c r="C609" t="str">
        <f>"82520833"</f>
        <v>82520833</v>
      </c>
      <c r="D609" t="s">
        <v>1546</v>
      </c>
      <c r="F609" t="s">
        <v>1547</v>
      </c>
      <c r="I609" t="s">
        <v>29</v>
      </c>
      <c r="J609" t="s">
        <v>30</v>
      </c>
      <c r="K609" t="s">
        <v>31</v>
      </c>
      <c r="M609" t="s">
        <v>32</v>
      </c>
      <c r="N609" t="str">
        <f>"5/9/2003 12:00:00 AM"</f>
        <v>5/9/2003 12:00:00 AM</v>
      </c>
      <c r="O609" t="s">
        <v>1546</v>
      </c>
    </row>
    <row r="610" spans="1:20" x14ac:dyDescent="0.25">
      <c r="A610" t="str">
        <f>"3039315"</f>
        <v>3039315</v>
      </c>
      <c r="B610" t="s">
        <v>1548</v>
      </c>
      <c r="C610" t="str">
        <f>"82523627"</f>
        <v>82523627</v>
      </c>
      <c r="D610" t="s">
        <v>1549</v>
      </c>
      <c r="F610" t="s">
        <v>1550</v>
      </c>
      <c r="I610" t="s">
        <v>29</v>
      </c>
      <c r="J610" t="s">
        <v>30</v>
      </c>
      <c r="K610" t="s">
        <v>31</v>
      </c>
      <c r="M610" t="s">
        <v>32</v>
      </c>
      <c r="N610" t="str">
        <f>"3/3/2009 12:00:00 AM"</f>
        <v>3/3/2009 12:00:00 AM</v>
      </c>
      <c r="O610" t="s">
        <v>1549</v>
      </c>
    </row>
    <row r="611" spans="1:20" x14ac:dyDescent="0.25">
      <c r="A611" t="str">
        <f>"3039458"</f>
        <v>3039458</v>
      </c>
      <c r="B611" t="s">
        <v>1551</v>
      </c>
      <c r="C611" t="str">
        <f>"82523627"</f>
        <v>82523627</v>
      </c>
      <c r="D611" t="s">
        <v>1549</v>
      </c>
      <c r="F611" t="s">
        <v>1550</v>
      </c>
      <c r="I611" t="s">
        <v>29</v>
      </c>
      <c r="J611" t="s">
        <v>30</v>
      </c>
      <c r="K611" t="s">
        <v>31</v>
      </c>
      <c r="M611" t="s">
        <v>32</v>
      </c>
      <c r="N611" t="str">
        <f>"3/3/2009 12:00:00 AM"</f>
        <v>3/3/2009 12:00:00 AM</v>
      </c>
      <c r="O611" t="s">
        <v>1549</v>
      </c>
    </row>
    <row r="612" spans="1:20" x14ac:dyDescent="0.25">
      <c r="A612" t="str">
        <f>"3039861"</f>
        <v>3039861</v>
      </c>
      <c r="B612" t="s">
        <v>1552</v>
      </c>
      <c r="C612" t="str">
        <f>"82523627"</f>
        <v>82523627</v>
      </c>
      <c r="D612" t="s">
        <v>1549</v>
      </c>
      <c r="F612" t="s">
        <v>1550</v>
      </c>
      <c r="I612" t="s">
        <v>29</v>
      </c>
      <c r="J612" t="s">
        <v>30</v>
      </c>
      <c r="K612" t="s">
        <v>31</v>
      </c>
      <c r="M612" t="s">
        <v>32</v>
      </c>
      <c r="N612" t="str">
        <f>"3/3/2009 12:00:00 AM"</f>
        <v>3/3/2009 12:00:00 AM</v>
      </c>
      <c r="O612" t="s">
        <v>1549</v>
      </c>
    </row>
    <row r="613" spans="1:20" x14ac:dyDescent="0.25">
      <c r="A613" t="str">
        <f>"3039024"</f>
        <v>3039024</v>
      </c>
      <c r="B613" t="s">
        <v>1553</v>
      </c>
      <c r="C613" t="str">
        <f>"82519505"</f>
        <v>82519505</v>
      </c>
      <c r="D613" t="s">
        <v>1554</v>
      </c>
      <c r="F613" t="s">
        <v>1555</v>
      </c>
      <c r="I613" t="s">
        <v>29</v>
      </c>
      <c r="J613" t="s">
        <v>30</v>
      </c>
      <c r="K613" t="s">
        <v>31</v>
      </c>
      <c r="M613" t="s">
        <v>32</v>
      </c>
      <c r="N613" t="str">
        <f>"4/20/2005 12:00:00 AM"</f>
        <v>4/20/2005 12:00:00 AM</v>
      </c>
      <c r="O613" t="s">
        <v>1554</v>
      </c>
    </row>
    <row r="614" spans="1:20" x14ac:dyDescent="0.25">
      <c r="A614" t="str">
        <f>"3039030"</f>
        <v>3039030</v>
      </c>
      <c r="B614" t="s">
        <v>1556</v>
      </c>
      <c r="C614" t="str">
        <f>"47677000"</f>
        <v>47677000</v>
      </c>
      <c r="D614" t="s">
        <v>1557</v>
      </c>
      <c r="E614" t="s">
        <v>1558</v>
      </c>
      <c r="F614" t="s">
        <v>1559</v>
      </c>
      <c r="I614" t="s">
        <v>29</v>
      </c>
      <c r="J614" t="s">
        <v>30</v>
      </c>
      <c r="K614" t="s">
        <v>31</v>
      </c>
      <c r="M614" t="s">
        <v>32</v>
      </c>
      <c r="N614" t="str">
        <f>"1/16/2004 12:00:00 AM"</f>
        <v>1/16/2004 12:00:00 AM</v>
      </c>
      <c r="O614" t="s">
        <v>1557</v>
      </c>
      <c r="T614" t="s">
        <v>1558</v>
      </c>
    </row>
    <row r="615" spans="1:20" x14ac:dyDescent="0.25">
      <c r="A615" t="str">
        <f>"3039655"</f>
        <v>3039655</v>
      </c>
      <c r="B615" t="s">
        <v>1560</v>
      </c>
      <c r="C615" t="str">
        <f>"82529308"</f>
        <v>82529308</v>
      </c>
      <c r="D615" t="s">
        <v>1561</v>
      </c>
      <c r="E615" t="s">
        <v>1562</v>
      </c>
      <c r="F615" t="s">
        <v>1563</v>
      </c>
      <c r="I615" t="s">
        <v>29</v>
      </c>
      <c r="J615" t="s">
        <v>30</v>
      </c>
      <c r="K615" t="s">
        <v>31</v>
      </c>
      <c r="M615" t="s">
        <v>32</v>
      </c>
      <c r="N615" t="str">
        <f>"3/14/2008 12:00:00 AM"</f>
        <v>3/14/2008 12:00:00 AM</v>
      </c>
      <c r="O615" t="s">
        <v>1561</v>
      </c>
      <c r="T615" t="s">
        <v>1562</v>
      </c>
    </row>
    <row r="616" spans="1:20" x14ac:dyDescent="0.25">
      <c r="A616" t="str">
        <f>"3039663"</f>
        <v>3039663</v>
      </c>
      <c r="B616" t="s">
        <v>1564</v>
      </c>
      <c r="C616" t="str">
        <f>"77748620"</f>
        <v>77748620</v>
      </c>
      <c r="D616" t="s">
        <v>1565</v>
      </c>
      <c r="F616" t="s">
        <v>1566</v>
      </c>
      <c r="I616" t="s">
        <v>29</v>
      </c>
      <c r="J616" t="s">
        <v>30</v>
      </c>
      <c r="K616" t="s">
        <v>1567</v>
      </c>
      <c r="M616" t="s">
        <v>32</v>
      </c>
      <c r="N616" t="str">
        <f>"2/1/2006 12:00:00 AM"</f>
        <v>2/1/2006 12:00:00 AM</v>
      </c>
      <c r="O616" t="s">
        <v>1565</v>
      </c>
    </row>
    <row r="617" spans="1:20" x14ac:dyDescent="0.25">
      <c r="A617" t="str">
        <f>"3039494"</f>
        <v>3039494</v>
      </c>
      <c r="B617" t="s">
        <v>1568</v>
      </c>
      <c r="C617" t="str">
        <f>"21384000"</f>
        <v>21384000</v>
      </c>
      <c r="D617" t="s">
        <v>1569</v>
      </c>
      <c r="F617" t="s">
        <v>1570</v>
      </c>
      <c r="I617" t="s">
        <v>29</v>
      </c>
      <c r="J617" t="s">
        <v>30</v>
      </c>
      <c r="K617" t="s">
        <v>31</v>
      </c>
      <c r="M617" t="s">
        <v>32</v>
      </c>
      <c r="N617" t="str">
        <f>"10/21/2003 12:00:00 AM"</f>
        <v>10/21/2003 12:00:00 AM</v>
      </c>
      <c r="O617" t="s">
        <v>1569</v>
      </c>
    </row>
    <row r="618" spans="1:20" x14ac:dyDescent="0.25">
      <c r="A618" t="str">
        <f>"3039595"</f>
        <v>3039595</v>
      </c>
      <c r="B618" t="s">
        <v>1571</v>
      </c>
      <c r="C618" t="str">
        <f>"21384000"</f>
        <v>21384000</v>
      </c>
      <c r="D618" t="s">
        <v>1569</v>
      </c>
      <c r="F618" t="s">
        <v>1570</v>
      </c>
      <c r="I618" t="s">
        <v>29</v>
      </c>
      <c r="J618" t="s">
        <v>30</v>
      </c>
      <c r="K618" t="s">
        <v>31</v>
      </c>
      <c r="M618" t="s">
        <v>32</v>
      </c>
      <c r="N618" t="str">
        <f>"10/21/2003 12:00:00 AM"</f>
        <v>10/21/2003 12:00:00 AM</v>
      </c>
      <c r="O618" t="s">
        <v>1569</v>
      </c>
    </row>
    <row r="619" spans="1:20" x14ac:dyDescent="0.25">
      <c r="A619" t="str">
        <f>"3076714"</f>
        <v>3076714</v>
      </c>
      <c r="B619" t="s">
        <v>1572</v>
      </c>
      <c r="C619" t="str">
        <f>"21384000"</f>
        <v>21384000</v>
      </c>
      <c r="D619" t="s">
        <v>1569</v>
      </c>
      <c r="F619" t="s">
        <v>1570</v>
      </c>
      <c r="I619" t="s">
        <v>29</v>
      </c>
      <c r="J619" t="s">
        <v>30</v>
      </c>
      <c r="K619" t="s">
        <v>31</v>
      </c>
      <c r="M619" t="s">
        <v>32</v>
      </c>
      <c r="N619" t="str">
        <f>"10/21/2003 12:00:00 AM"</f>
        <v>10/21/2003 12:00:00 AM</v>
      </c>
      <c r="O619" t="s">
        <v>1569</v>
      </c>
    </row>
    <row r="620" spans="1:20" x14ac:dyDescent="0.25">
      <c r="A620" t="str">
        <f>"3039495"</f>
        <v>3039495</v>
      </c>
      <c r="B620" t="s">
        <v>1573</v>
      </c>
      <c r="C620" t="str">
        <f>"82525598"</f>
        <v>82525598</v>
      </c>
      <c r="D620" t="s">
        <v>1574</v>
      </c>
      <c r="F620" t="s">
        <v>1575</v>
      </c>
      <c r="I620" t="s">
        <v>29</v>
      </c>
      <c r="J620" t="s">
        <v>30</v>
      </c>
      <c r="K620" t="s">
        <v>31</v>
      </c>
      <c r="M620" t="s">
        <v>32</v>
      </c>
      <c r="N620" t="str">
        <f>"2/1/2010 12:00:00 AM"</f>
        <v>2/1/2010 12:00:00 AM</v>
      </c>
      <c r="O620" t="s">
        <v>1574</v>
      </c>
    </row>
    <row r="621" spans="1:20" x14ac:dyDescent="0.25">
      <c r="A621" t="str">
        <f>"3039505"</f>
        <v>3039505</v>
      </c>
      <c r="B621" t="s">
        <v>1576</v>
      </c>
      <c r="C621" t="str">
        <f>"82525598"</f>
        <v>82525598</v>
      </c>
      <c r="D621" t="s">
        <v>1574</v>
      </c>
      <c r="F621" t="s">
        <v>1575</v>
      </c>
      <c r="I621" t="s">
        <v>29</v>
      </c>
      <c r="J621" t="s">
        <v>30</v>
      </c>
      <c r="K621" t="s">
        <v>31</v>
      </c>
      <c r="M621" t="s">
        <v>32</v>
      </c>
      <c r="N621" t="str">
        <f>"2/1/2010 12:00:00 AM"</f>
        <v>2/1/2010 12:00:00 AM</v>
      </c>
      <c r="O621" t="s">
        <v>1574</v>
      </c>
    </row>
    <row r="622" spans="1:20" x14ac:dyDescent="0.25">
      <c r="A622" t="str">
        <f>"3061497"</f>
        <v>3061497</v>
      </c>
      <c r="B622" t="s">
        <v>1577</v>
      </c>
      <c r="C622" t="str">
        <f>"24108000"</f>
        <v>24108000</v>
      </c>
      <c r="D622" t="s">
        <v>1578</v>
      </c>
      <c r="E622" t="s">
        <v>1579</v>
      </c>
      <c r="F622" t="s">
        <v>1580</v>
      </c>
      <c r="I622" t="s">
        <v>184</v>
      </c>
      <c r="J622" t="s">
        <v>30</v>
      </c>
      <c r="K622" t="s">
        <v>185</v>
      </c>
      <c r="M622" t="s">
        <v>32</v>
      </c>
      <c r="N622" t="str">
        <f>"11/21/2002 12:00:00 AM"</f>
        <v>11/21/2002 12:00:00 AM</v>
      </c>
      <c r="O622" t="s">
        <v>1578</v>
      </c>
      <c r="T622" t="s">
        <v>1579</v>
      </c>
    </row>
    <row r="623" spans="1:20" x14ac:dyDescent="0.25">
      <c r="A623" t="str">
        <f>"3039347"</f>
        <v>3039347</v>
      </c>
      <c r="B623" t="s">
        <v>1581</v>
      </c>
      <c r="C623" t="str">
        <f>"51038000"</f>
        <v>51038000</v>
      </c>
      <c r="D623" t="s">
        <v>1582</v>
      </c>
      <c r="E623" t="s">
        <v>1583</v>
      </c>
      <c r="F623" t="s">
        <v>1584</v>
      </c>
      <c r="I623" t="s">
        <v>184</v>
      </c>
      <c r="J623" t="s">
        <v>30</v>
      </c>
      <c r="K623" t="s">
        <v>185</v>
      </c>
      <c r="M623" t="s">
        <v>32</v>
      </c>
      <c r="N623" t="str">
        <f>"2/23/2004 12:00:00 AM"</f>
        <v>2/23/2004 12:00:00 AM</v>
      </c>
      <c r="O623" t="s">
        <v>1582</v>
      </c>
      <c r="T623" t="s">
        <v>1583</v>
      </c>
    </row>
    <row r="624" spans="1:20" x14ac:dyDescent="0.25">
      <c r="A624" t="str">
        <f>"3039836"</f>
        <v>3039836</v>
      </c>
      <c r="B624" t="s">
        <v>1585</v>
      </c>
      <c r="C624" t="str">
        <f>"51038000"</f>
        <v>51038000</v>
      </c>
      <c r="D624" t="s">
        <v>1582</v>
      </c>
      <c r="E624" t="s">
        <v>1583</v>
      </c>
      <c r="F624" t="s">
        <v>1584</v>
      </c>
      <c r="I624" t="s">
        <v>184</v>
      </c>
      <c r="J624" t="s">
        <v>30</v>
      </c>
      <c r="K624" t="s">
        <v>185</v>
      </c>
      <c r="M624" t="s">
        <v>32</v>
      </c>
      <c r="N624" t="str">
        <f>"2/23/2004 12:00:00 AM"</f>
        <v>2/23/2004 12:00:00 AM</v>
      </c>
      <c r="O624" t="s">
        <v>1582</v>
      </c>
      <c r="T624" t="s">
        <v>1583</v>
      </c>
    </row>
    <row r="625" spans="1:20" x14ac:dyDescent="0.25">
      <c r="A625" t="str">
        <f>"3041173"</f>
        <v>3041173</v>
      </c>
      <c r="B625" t="s">
        <v>1586</v>
      </c>
      <c r="C625" t="str">
        <f>"2978100"</f>
        <v>2978100</v>
      </c>
      <c r="D625" t="s">
        <v>1587</v>
      </c>
      <c r="F625" t="s">
        <v>1588</v>
      </c>
      <c r="I625" t="s">
        <v>184</v>
      </c>
      <c r="J625" t="s">
        <v>30</v>
      </c>
      <c r="K625" t="s">
        <v>185</v>
      </c>
      <c r="M625" t="s">
        <v>32</v>
      </c>
      <c r="N625" t="str">
        <f>"1/29/2008 12:00:00 AM"</f>
        <v>1/29/2008 12:00:00 AM</v>
      </c>
      <c r="O625" t="s">
        <v>1587</v>
      </c>
    </row>
    <row r="626" spans="1:20" x14ac:dyDescent="0.25">
      <c r="A626" t="str">
        <f>"3039340"</f>
        <v>3039340</v>
      </c>
      <c r="B626" t="s">
        <v>1589</v>
      </c>
      <c r="C626" t="str">
        <f>"2978100"</f>
        <v>2978100</v>
      </c>
      <c r="D626" t="s">
        <v>1587</v>
      </c>
      <c r="F626" t="s">
        <v>1588</v>
      </c>
      <c r="I626" t="s">
        <v>184</v>
      </c>
      <c r="J626" t="s">
        <v>30</v>
      </c>
      <c r="K626" t="s">
        <v>185</v>
      </c>
      <c r="M626" t="s">
        <v>32</v>
      </c>
      <c r="N626" t="str">
        <f>"1/29/2008 12:00:00 AM"</f>
        <v>1/29/2008 12:00:00 AM</v>
      </c>
      <c r="O626" t="s">
        <v>1587</v>
      </c>
    </row>
    <row r="627" spans="1:20" x14ac:dyDescent="0.25">
      <c r="A627" t="str">
        <f>"3076715"</f>
        <v>3076715</v>
      </c>
      <c r="B627" t="s">
        <v>1590</v>
      </c>
      <c r="C627" t="str">
        <f>"82529464"</f>
        <v>82529464</v>
      </c>
      <c r="D627" t="s">
        <v>1591</v>
      </c>
      <c r="E627" t="s">
        <v>1592</v>
      </c>
      <c r="F627" t="s">
        <v>1593</v>
      </c>
      <c r="I627" t="s">
        <v>184</v>
      </c>
      <c r="J627" t="s">
        <v>30</v>
      </c>
      <c r="K627" t="s">
        <v>185</v>
      </c>
      <c r="M627" t="s">
        <v>32</v>
      </c>
      <c r="N627" t="str">
        <f>"4/22/2008 12:00:00 AM"</f>
        <v>4/22/2008 12:00:00 AM</v>
      </c>
      <c r="O627" t="s">
        <v>1591</v>
      </c>
      <c r="T627" t="s">
        <v>1592</v>
      </c>
    </row>
    <row r="628" spans="1:20" x14ac:dyDescent="0.25">
      <c r="A628" t="str">
        <f>"3039618"</f>
        <v>3039618</v>
      </c>
      <c r="B628" t="s">
        <v>1594</v>
      </c>
      <c r="C628" t="str">
        <f>"82529559"</f>
        <v>82529559</v>
      </c>
      <c r="D628" t="s">
        <v>1595</v>
      </c>
      <c r="E628" t="s">
        <v>1596</v>
      </c>
      <c r="F628" t="s">
        <v>1597</v>
      </c>
      <c r="I628" t="s">
        <v>184</v>
      </c>
      <c r="J628" t="s">
        <v>30</v>
      </c>
      <c r="K628" t="s">
        <v>185</v>
      </c>
      <c r="M628" t="s">
        <v>32</v>
      </c>
      <c r="N628" t="str">
        <f>"1/13/2009 12:00:00 AM"</f>
        <v>1/13/2009 12:00:00 AM</v>
      </c>
      <c r="O628" t="s">
        <v>1595</v>
      </c>
      <c r="T628" t="s">
        <v>1596</v>
      </c>
    </row>
    <row r="629" spans="1:20" x14ac:dyDescent="0.25">
      <c r="A629" t="str">
        <f>"3039417"</f>
        <v>3039417</v>
      </c>
      <c r="B629" t="s">
        <v>1598</v>
      </c>
      <c r="C629" t="str">
        <f>"49845000"</f>
        <v>49845000</v>
      </c>
      <c r="D629" t="s">
        <v>1599</v>
      </c>
      <c r="F629" t="s">
        <v>1600</v>
      </c>
      <c r="I629" t="s">
        <v>184</v>
      </c>
      <c r="J629" t="s">
        <v>30</v>
      </c>
      <c r="K629" t="s">
        <v>185</v>
      </c>
      <c r="M629" t="s">
        <v>32</v>
      </c>
      <c r="N629" t="str">
        <f>"2/19/2004 12:00:00 AM"</f>
        <v>2/19/2004 12:00:00 AM</v>
      </c>
      <c r="O629" t="s">
        <v>1599</v>
      </c>
    </row>
    <row r="630" spans="1:20" x14ac:dyDescent="0.25">
      <c r="A630" t="str">
        <f>"3040285"</f>
        <v>3040285</v>
      </c>
      <c r="B630" t="s">
        <v>1601</v>
      </c>
      <c r="C630" t="str">
        <f>"49845000"</f>
        <v>49845000</v>
      </c>
      <c r="D630" t="s">
        <v>1599</v>
      </c>
      <c r="F630" t="s">
        <v>1600</v>
      </c>
      <c r="I630" t="s">
        <v>184</v>
      </c>
      <c r="J630" t="s">
        <v>30</v>
      </c>
      <c r="K630" t="s">
        <v>185</v>
      </c>
      <c r="M630" t="s">
        <v>32</v>
      </c>
      <c r="N630" t="str">
        <f>"2/19/2004 12:00:00 AM"</f>
        <v>2/19/2004 12:00:00 AM</v>
      </c>
      <c r="O630" t="s">
        <v>1599</v>
      </c>
    </row>
    <row r="631" spans="1:20" x14ac:dyDescent="0.25">
      <c r="A631" t="str">
        <f>"3040870"</f>
        <v>3040870</v>
      </c>
      <c r="B631" t="s">
        <v>1602</v>
      </c>
      <c r="C631" t="str">
        <f>"49845000"</f>
        <v>49845000</v>
      </c>
      <c r="D631" t="s">
        <v>1599</v>
      </c>
      <c r="F631" t="s">
        <v>1600</v>
      </c>
      <c r="I631" t="s">
        <v>184</v>
      </c>
      <c r="J631" t="s">
        <v>30</v>
      </c>
      <c r="K631" t="s">
        <v>185</v>
      </c>
      <c r="M631" t="s">
        <v>32</v>
      </c>
      <c r="N631" t="str">
        <f>"2/19/2004 12:00:00 AM"</f>
        <v>2/19/2004 12:00:00 AM</v>
      </c>
      <c r="O631" t="s">
        <v>1599</v>
      </c>
    </row>
    <row r="632" spans="1:20" x14ac:dyDescent="0.25">
      <c r="A632" t="str">
        <f>"3040731"</f>
        <v>3040731</v>
      </c>
      <c r="B632" t="s">
        <v>1603</v>
      </c>
      <c r="C632" t="str">
        <f>"49845000"</f>
        <v>49845000</v>
      </c>
      <c r="D632" t="s">
        <v>1599</v>
      </c>
      <c r="F632" t="s">
        <v>1600</v>
      </c>
      <c r="I632" t="s">
        <v>184</v>
      </c>
      <c r="J632" t="s">
        <v>30</v>
      </c>
      <c r="K632" t="s">
        <v>185</v>
      </c>
      <c r="M632" t="s">
        <v>32</v>
      </c>
      <c r="N632" t="str">
        <f>"2/19/2004 12:00:00 AM"</f>
        <v>2/19/2004 12:00:00 AM</v>
      </c>
      <c r="O632" t="s">
        <v>1599</v>
      </c>
    </row>
    <row r="633" spans="1:20" x14ac:dyDescent="0.25">
      <c r="A633" t="str">
        <f>"3040853"</f>
        <v>3040853</v>
      </c>
      <c r="B633" t="s">
        <v>1604</v>
      </c>
      <c r="C633" t="str">
        <f>"78935690"</f>
        <v>78935690</v>
      </c>
      <c r="D633" t="s">
        <v>1605</v>
      </c>
      <c r="E633" t="s">
        <v>1606</v>
      </c>
      <c r="F633" t="s">
        <v>1607</v>
      </c>
      <c r="I633" t="s">
        <v>184</v>
      </c>
      <c r="J633" t="s">
        <v>30</v>
      </c>
      <c r="K633" t="s">
        <v>185</v>
      </c>
      <c r="M633" t="s">
        <v>32</v>
      </c>
      <c r="N633" t="str">
        <f>"3/18/2002 12:00:00 AM"</f>
        <v>3/18/2002 12:00:00 AM</v>
      </c>
      <c r="O633" t="s">
        <v>1605</v>
      </c>
      <c r="T633" t="s">
        <v>1606</v>
      </c>
    </row>
    <row r="634" spans="1:20" x14ac:dyDescent="0.25">
      <c r="A634" t="str">
        <f>"3076716"</f>
        <v>3076716</v>
      </c>
      <c r="B634" t="s">
        <v>1608</v>
      </c>
      <c r="C634" t="str">
        <f>"26924000"</f>
        <v>26924000</v>
      </c>
      <c r="D634" t="s">
        <v>1609</v>
      </c>
      <c r="F634" t="s">
        <v>1610</v>
      </c>
      <c r="I634" t="s">
        <v>184</v>
      </c>
      <c r="J634" t="s">
        <v>30</v>
      </c>
      <c r="K634" t="s">
        <v>185</v>
      </c>
      <c r="M634" t="s">
        <v>32</v>
      </c>
      <c r="N634" t="str">
        <f>"8/26/2003 12:00:00 AM"</f>
        <v>8/26/2003 12:00:00 AM</v>
      </c>
      <c r="O634" t="s">
        <v>1609</v>
      </c>
    </row>
    <row r="635" spans="1:20" x14ac:dyDescent="0.25">
      <c r="A635" t="str">
        <f>"3040288"</f>
        <v>3040288</v>
      </c>
      <c r="B635" t="s">
        <v>1611</v>
      </c>
      <c r="C635" t="str">
        <f>"72996000"</f>
        <v>72996000</v>
      </c>
      <c r="D635" t="s">
        <v>1612</v>
      </c>
      <c r="E635" t="s">
        <v>1613</v>
      </c>
      <c r="F635" t="s">
        <v>1614</v>
      </c>
      <c r="I635" t="s">
        <v>402</v>
      </c>
      <c r="J635" t="s">
        <v>30</v>
      </c>
      <c r="K635" t="s">
        <v>403</v>
      </c>
      <c r="M635" t="s">
        <v>32</v>
      </c>
      <c r="N635" t="str">
        <f>"6/18/2004 12:00:00 AM"</f>
        <v>6/18/2004 12:00:00 AM</v>
      </c>
      <c r="O635" t="s">
        <v>1612</v>
      </c>
      <c r="T635" t="s">
        <v>1613</v>
      </c>
    </row>
    <row r="636" spans="1:20" x14ac:dyDescent="0.25">
      <c r="A636" t="str">
        <f>"3039557"</f>
        <v>3039557</v>
      </c>
      <c r="B636" t="s">
        <v>1615</v>
      </c>
      <c r="C636" t="str">
        <f>"82526419"</f>
        <v>82526419</v>
      </c>
      <c r="D636" t="s">
        <v>1616</v>
      </c>
      <c r="E636" t="s">
        <v>1617</v>
      </c>
      <c r="F636" t="s">
        <v>1618</v>
      </c>
      <c r="I636" t="s">
        <v>184</v>
      </c>
      <c r="J636" t="s">
        <v>30</v>
      </c>
      <c r="K636" t="s">
        <v>185</v>
      </c>
      <c r="M636" t="s">
        <v>32</v>
      </c>
      <c r="N636" t="str">
        <f>"1/23/2007 12:00:00 AM"</f>
        <v>1/23/2007 12:00:00 AM</v>
      </c>
      <c r="O636" t="s">
        <v>1616</v>
      </c>
      <c r="T636" t="s">
        <v>1617</v>
      </c>
    </row>
    <row r="637" spans="1:20" x14ac:dyDescent="0.25">
      <c r="A637" t="str">
        <f>"3039673"</f>
        <v>3039673</v>
      </c>
      <c r="B637" t="s">
        <v>1619</v>
      </c>
      <c r="C637" t="str">
        <f>"8069000"</f>
        <v>8069000</v>
      </c>
      <c r="D637" t="s">
        <v>1620</v>
      </c>
      <c r="F637" t="s">
        <v>1621</v>
      </c>
      <c r="I637" t="s">
        <v>184</v>
      </c>
      <c r="J637" t="s">
        <v>30</v>
      </c>
      <c r="K637" t="s">
        <v>1622</v>
      </c>
      <c r="M637" t="s">
        <v>32</v>
      </c>
      <c r="N637" t="str">
        <f>"1/22/2008 12:00:00 AM"</f>
        <v>1/22/2008 12:00:00 AM</v>
      </c>
      <c r="O637" t="s">
        <v>1620</v>
      </c>
    </row>
    <row r="638" spans="1:20" x14ac:dyDescent="0.25">
      <c r="A638" t="str">
        <f>"3039439"</f>
        <v>3039439</v>
      </c>
      <c r="B638" t="s">
        <v>1623</v>
      </c>
      <c r="C638" t="str">
        <f>"82529061"</f>
        <v>82529061</v>
      </c>
      <c r="D638" t="s">
        <v>1624</v>
      </c>
      <c r="E638" t="s">
        <v>1625</v>
      </c>
      <c r="F638" t="s">
        <v>1626</v>
      </c>
      <c r="I638" t="s">
        <v>29</v>
      </c>
      <c r="J638" t="s">
        <v>30</v>
      </c>
      <c r="K638" t="s">
        <v>31</v>
      </c>
      <c r="M638" t="s">
        <v>32</v>
      </c>
      <c r="N638" t="str">
        <f>"12/30/2008 12:00:00 AM"</f>
        <v>12/30/2008 12:00:00 AM</v>
      </c>
      <c r="O638" t="s">
        <v>1624</v>
      </c>
      <c r="T638" t="s">
        <v>1625</v>
      </c>
    </row>
    <row r="639" spans="1:20" x14ac:dyDescent="0.25">
      <c r="A639" t="str">
        <f>"3039440"</f>
        <v>3039440</v>
      </c>
      <c r="B639" t="s">
        <v>1627</v>
      </c>
      <c r="C639" t="str">
        <f>"82529062"</f>
        <v>82529062</v>
      </c>
      <c r="D639" t="s">
        <v>1628</v>
      </c>
      <c r="E639" t="s">
        <v>1629</v>
      </c>
      <c r="F639" t="s">
        <v>1626</v>
      </c>
      <c r="I639" t="s">
        <v>29</v>
      </c>
      <c r="J639" t="s">
        <v>30</v>
      </c>
      <c r="K639" t="s">
        <v>31</v>
      </c>
      <c r="M639" t="s">
        <v>32</v>
      </c>
      <c r="N639" t="str">
        <f>"12/30/2008 12:00:00 AM"</f>
        <v>12/30/2008 12:00:00 AM</v>
      </c>
      <c r="O639" t="s">
        <v>1628</v>
      </c>
      <c r="T639" t="s">
        <v>1629</v>
      </c>
    </row>
    <row r="640" spans="1:20" x14ac:dyDescent="0.25">
      <c r="A640" t="str">
        <f>"3039619"</f>
        <v>3039619</v>
      </c>
      <c r="B640" t="s">
        <v>1630</v>
      </c>
      <c r="C640" t="str">
        <f>"1487000"</f>
        <v>1487000</v>
      </c>
      <c r="D640" t="s">
        <v>1631</v>
      </c>
      <c r="E640" t="s">
        <v>1632</v>
      </c>
      <c r="F640" t="s">
        <v>1633</v>
      </c>
      <c r="I640" t="s">
        <v>184</v>
      </c>
      <c r="J640" t="s">
        <v>30</v>
      </c>
      <c r="K640" t="s">
        <v>185</v>
      </c>
      <c r="M640" t="s">
        <v>32</v>
      </c>
      <c r="N640" t="str">
        <f>"5/12/2003 12:00:00 AM"</f>
        <v>5/12/2003 12:00:00 AM</v>
      </c>
      <c r="O640" t="s">
        <v>1631</v>
      </c>
      <c r="T640" t="s">
        <v>1632</v>
      </c>
    </row>
    <row r="641" spans="1:20" x14ac:dyDescent="0.25">
      <c r="A641" t="str">
        <f>"3039435"</f>
        <v>3039435</v>
      </c>
      <c r="B641" t="s">
        <v>1634</v>
      </c>
      <c r="C641" t="str">
        <f>"35822000"</f>
        <v>35822000</v>
      </c>
      <c r="D641" t="s">
        <v>1635</v>
      </c>
      <c r="F641" t="s">
        <v>1636</v>
      </c>
      <c r="I641" t="s">
        <v>29</v>
      </c>
      <c r="J641" t="s">
        <v>30</v>
      </c>
      <c r="K641" t="s">
        <v>1637</v>
      </c>
      <c r="M641" t="s">
        <v>32</v>
      </c>
      <c r="N641" t="str">
        <f>"1/30/2006 12:00:00 AM"</f>
        <v>1/30/2006 12:00:00 AM</v>
      </c>
      <c r="O641" t="s">
        <v>1635</v>
      </c>
    </row>
    <row r="642" spans="1:20" x14ac:dyDescent="0.25">
      <c r="A642" t="str">
        <f>"3076717"</f>
        <v>3076717</v>
      </c>
      <c r="B642" t="s">
        <v>1638</v>
      </c>
      <c r="C642" t="str">
        <f>"35822000"</f>
        <v>35822000</v>
      </c>
      <c r="D642" t="s">
        <v>1635</v>
      </c>
      <c r="F642" t="s">
        <v>1636</v>
      </c>
      <c r="I642" t="s">
        <v>29</v>
      </c>
      <c r="J642" t="s">
        <v>30</v>
      </c>
      <c r="K642" t="s">
        <v>1637</v>
      </c>
      <c r="M642" t="s">
        <v>32</v>
      </c>
      <c r="N642" t="str">
        <f>"1/30/2006 12:00:00 AM"</f>
        <v>1/30/2006 12:00:00 AM</v>
      </c>
      <c r="O642" t="s">
        <v>1635</v>
      </c>
    </row>
    <row r="643" spans="1:20" x14ac:dyDescent="0.25">
      <c r="A643" t="str">
        <f>"3039572"</f>
        <v>3039572</v>
      </c>
      <c r="B643" t="s">
        <v>1639</v>
      </c>
      <c r="C643" t="str">
        <f>"82517129"</f>
        <v>82517129</v>
      </c>
      <c r="D643" t="s">
        <v>1640</v>
      </c>
      <c r="E643" t="s">
        <v>1641</v>
      </c>
      <c r="F643" t="s">
        <v>1642</v>
      </c>
      <c r="I643" t="s">
        <v>184</v>
      </c>
      <c r="J643" t="s">
        <v>30</v>
      </c>
      <c r="K643" t="s">
        <v>185</v>
      </c>
      <c r="M643" t="s">
        <v>32</v>
      </c>
      <c r="N643" t="str">
        <f>"5/26/2005 12:00:00 AM"</f>
        <v>5/26/2005 12:00:00 AM</v>
      </c>
      <c r="O643" t="s">
        <v>1640</v>
      </c>
      <c r="T643" t="s">
        <v>1641</v>
      </c>
    </row>
    <row r="644" spans="1:20" x14ac:dyDescent="0.25">
      <c r="A644" t="str">
        <f>"3039620"</f>
        <v>3039620</v>
      </c>
      <c r="B644" t="s">
        <v>1643</v>
      </c>
      <c r="C644" t="str">
        <f>"65768000"</f>
        <v>65768000</v>
      </c>
      <c r="D644" t="s">
        <v>1644</v>
      </c>
      <c r="E644" t="s">
        <v>1645</v>
      </c>
      <c r="F644" t="s">
        <v>1646</v>
      </c>
      <c r="I644" t="s">
        <v>184</v>
      </c>
      <c r="J644" t="s">
        <v>30</v>
      </c>
      <c r="K644" t="s">
        <v>185</v>
      </c>
      <c r="M644" t="s">
        <v>32</v>
      </c>
      <c r="N644" t="str">
        <f>"5/6/2004 12:00:00 AM"</f>
        <v>5/6/2004 12:00:00 AM</v>
      </c>
      <c r="O644" t="s">
        <v>1644</v>
      </c>
      <c r="T644" t="s">
        <v>1645</v>
      </c>
    </row>
    <row r="645" spans="1:20" x14ac:dyDescent="0.25">
      <c r="A645" t="str">
        <f>"3039640"</f>
        <v>3039640</v>
      </c>
      <c r="B645" t="s">
        <v>1647</v>
      </c>
      <c r="C645" t="str">
        <f t="shared" ref="C645:C650" si="27">"46964000"</f>
        <v>46964000</v>
      </c>
      <c r="D645" t="s">
        <v>1648</v>
      </c>
      <c r="E645" t="s">
        <v>1649</v>
      </c>
      <c r="F645" t="s">
        <v>1650</v>
      </c>
      <c r="I645" t="s">
        <v>184</v>
      </c>
      <c r="J645" t="s">
        <v>30</v>
      </c>
      <c r="K645" t="s">
        <v>185</v>
      </c>
      <c r="M645" t="s">
        <v>32</v>
      </c>
      <c r="N645" t="str">
        <f t="shared" ref="N645:N651" si="28">"3/18/2002 12:00:00 AM"</f>
        <v>3/18/2002 12:00:00 AM</v>
      </c>
      <c r="O645" t="s">
        <v>1648</v>
      </c>
      <c r="T645" t="s">
        <v>1649</v>
      </c>
    </row>
    <row r="646" spans="1:20" x14ac:dyDescent="0.25">
      <c r="A646" t="str">
        <f>"3039509"</f>
        <v>3039509</v>
      </c>
      <c r="B646" t="s">
        <v>1651</v>
      </c>
      <c r="C646" t="str">
        <f t="shared" si="27"/>
        <v>46964000</v>
      </c>
      <c r="D646" t="s">
        <v>1648</v>
      </c>
      <c r="E646" t="s">
        <v>1649</v>
      </c>
      <c r="F646" t="s">
        <v>1650</v>
      </c>
      <c r="I646" t="s">
        <v>184</v>
      </c>
      <c r="J646" t="s">
        <v>30</v>
      </c>
      <c r="K646" t="s">
        <v>185</v>
      </c>
      <c r="M646" t="s">
        <v>32</v>
      </c>
      <c r="N646" t="str">
        <f t="shared" si="28"/>
        <v>3/18/2002 12:00:00 AM</v>
      </c>
      <c r="O646" t="s">
        <v>1648</v>
      </c>
      <c r="T646" t="s">
        <v>1649</v>
      </c>
    </row>
    <row r="647" spans="1:20" x14ac:dyDescent="0.25">
      <c r="A647" t="str">
        <f>"3040327"</f>
        <v>3040327</v>
      </c>
      <c r="B647" t="s">
        <v>1652</v>
      </c>
      <c r="C647" t="str">
        <f t="shared" si="27"/>
        <v>46964000</v>
      </c>
      <c r="D647" t="s">
        <v>1648</v>
      </c>
      <c r="E647" t="s">
        <v>1649</v>
      </c>
      <c r="F647" t="s">
        <v>1650</v>
      </c>
      <c r="I647" t="s">
        <v>184</v>
      </c>
      <c r="J647" t="s">
        <v>30</v>
      </c>
      <c r="K647" t="s">
        <v>185</v>
      </c>
      <c r="M647" t="s">
        <v>32</v>
      </c>
      <c r="N647" t="str">
        <f t="shared" si="28"/>
        <v>3/18/2002 12:00:00 AM</v>
      </c>
      <c r="O647" t="s">
        <v>1648</v>
      </c>
      <c r="T647" t="s">
        <v>1649</v>
      </c>
    </row>
    <row r="648" spans="1:20" x14ac:dyDescent="0.25">
      <c r="A648" t="str">
        <f>"3040375"</f>
        <v>3040375</v>
      </c>
      <c r="B648" t="s">
        <v>1653</v>
      </c>
      <c r="C648" t="str">
        <f t="shared" si="27"/>
        <v>46964000</v>
      </c>
      <c r="D648" t="s">
        <v>1648</v>
      </c>
      <c r="E648" t="s">
        <v>1649</v>
      </c>
      <c r="F648" t="s">
        <v>1650</v>
      </c>
      <c r="I648" t="s">
        <v>184</v>
      </c>
      <c r="J648" t="s">
        <v>30</v>
      </c>
      <c r="K648" t="s">
        <v>185</v>
      </c>
      <c r="M648" t="s">
        <v>32</v>
      </c>
      <c r="N648" t="str">
        <f t="shared" si="28"/>
        <v>3/18/2002 12:00:00 AM</v>
      </c>
      <c r="O648" t="s">
        <v>1648</v>
      </c>
      <c r="T648" t="s">
        <v>1649</v>
      </c>
    </row>
    <row r="649" spans="1:20" x14ac:dyDescent="0.25">
      <c r="A649" t="str">
        <f>"3040872"</f>
        <v>3040872</v>
      </c>
      <c r="B649" t="s">
        <v>1654</v>
      </c>
      <c r="C649" t="str">
        <f t="shared" si="27"/>
        <v>46964000</v>
      </c>
      <c r="D649" t="s">
        <v>1648</v>
      </c>
      <c r="E649" t="s">
        <v>1649</v>
      </c>
      <c r="F649" t="s">
        <v>1650</v>
      </c>
      <c r="I649" t="s">
        <v>184</v>
      </c>
      <c r="J649" t="s">
        <v>30</v>
      </c>
      <c r="K649" t="s">
        <v>185</v>
      </c>
      <c r="M649" t="s">
        <v>32</v>
      </c>
      <c r="N649" t="str">
        <f t="shared" si="28"/>
        <v>3/18/2002 12:00:00 AM</v>
      </c>
      <c r="O649" t="s">
        <v>1648</v>
      </c>
      <c r="T649" t="s">
        <v>1649</v>
      </c>
    </row>
    <row r="650" spans="1:20" x14ac:dyDescent="0.25">
      <c r="A650" t="str">
        <f>"3040926"</f>
        <v>3040926</v>
      </c>
      <c r="B650" t="s">
        <v>1655</v>
      </c>
      <c r="C650" t="str">
        <f t="shared" si="27"/>
        <v>46964000</v>
      </c>
      <c r="D650" t="s">
        <v>1648</v>
      </c>
      <c r="E650" t="s">
        <v>1649</v>
      </c>
      <c r="F650" t="s">
        <v>1650</v>
      </c>
      <c r="I650" t="s">
        <v>184</v>
      </c>
      <c r="J650" t="s">
        <v>30</v>
      </c>
      <c r="K650" t="s">
        <v>185</v>
      </c>
      <c r="M650" t="s">
        <v>32</v>
      </c>
      <c r="N650" t="str">
        <f t="shared" si="28"/>
        <v>3/18/2002 12:00:00 AM</v>
      </c>
      <c r="O650" t="s">
        <v>1648</v>
      </c>
      <c r="T650" t="s">
        <v>1649</v>
      </c>
    </row>
    <row r="651" spans="1:20" x14ac:dyDescent="0.25">
      <c r="A651" t="str">
        <f>"3039531"</f>
        <v>3039531</v>
      </c>
      <c r="B651" t="s">
        <v>1656</v>
      </c>
      <c r="C651" t="str">
        <f>"54121750"</f>
        <v>54121750</v>
      </c>
      <c r="D651" t="s">
        <v>1657</v>
      </c>
      <c r="E651" t="s">
        <v>1658</v>
      </c>
      <c r="F651" t="s">
        <v>1659</v>
      </c>
      <c r="I651" t="s">
        <v>184</v>
      </c>
      <c r="J651" t="s">
        <v>30</v>
      </c>
      <c r="K651" t="s">
        <v>185</v>
      </c>
      <c r="M651" t="s">
        <v>32</v>
      </c>
      <c r="N651" t="str">
        <f t="shared" si="28"/>
        <v>3/18/2002 12:00:00 AM</v>
      </c>
      <c r="O651" t="s">
        <v>1657</v>
      </c>
      <c r="T651" t="s">
        <v>1658</v>
      </c>
    </row>
    <row r="652" spans="1:20" x14ac:dyDescent="0.25">
      <c r="A652" t="str">
        <f>"3039530"</f>
        <v>3039530</v>
      </c>
      <c r="B652" t="s">
        <v>1660</v>
      </c>
      <c r="C652" t="str">
        <f>"53954000"</f>
        <v>53954000</v>
      </c>
      <c r="D652" t="s">
        <v>1661</v>
      </c>
      <c r="E652" t="s">
        <v>1662</v>
      </c>
      <c r="F652" t="s">
        <v>1663</v>
      </c>
      <c r="I652" t="s">
        <v>184</v>
      </c>
      <c r="J652" t="s">
        <v>30</v>
      </c>
      <c r="K652" t="s">
        <v>1664</v>
      </c>
      <c r="M652" t="s">
        <v>32</v>
      </c>
      <c r="N652" t="str">
        <f>"1/12/2006 12:00:00 AM"</f>
        <v>1/12/2006 12:00:00 AM</v>
      </c>
      <c r="O652" t="s">
        <v>1661</v>
      </c>
      <c r="T652" t="s">
        <v>1662</v>
      </c>
    </row>
    <row r="653" spans="1:20" x14ac:dyDescent="0.25">
      <c r="A653" t="str">
        <f>"3039525"</f>
        <v>3039525</v>
      </c>
      <c r="B653" t="s">
        <v>1665</v>
      </c>
      <c r="C653" t="str">
        <f>"7236000"</f>
        <v>7236000</v>
      </c>
      <c r="D653" t="s">
        <v>1666</v>
      </c>
      <c r="E653" t="s">
        <v>1667</v>
      </c>
      <c r="F653" t="s">
        <v>1668</v>
      </c>
      <c r="I653" t="s">
        <v>184</v>
      </c>
      <c r="J653" t="s">
        <v>30</v>
      </c>
      <c r="K653" t="s">
        <v>185</v>
      </c>
      <c r="M653" t="s">
        <v>32</v>
      </c>
      <c r="N653" t="str">
        <f>"3/18/2002 12:00:00 AM"</f>
        <v>3/18/2002 12:00:00 AM</v>
      </c>
      <c r="O653" t="s">
        <v>1666</v>
      </c>
      <c r="T653" t="s">
        <v>1667</v>
      </c>
    </row>
    <row r="654" spans="1:20" x14ac:dyDescent="0.25">
      <c r="A654" t="str">
        <f>"3039502"</f>
        <v>3039502</v>
      </c>
      <c r="B654" t="s">
        <v>1669</v>
      </c>
      <c r="C654" t="str">
        <f>"82523723"</f>
        <v>82523723</v>
      </c>
      <c r="D654" t="s">
        <v>1670</v>
      </c>
      <c r="F654" t="s">
        <v>1671</v>
      </c>
      <c r="I654" t="s">
        <v>184</v>
      </c>
      <c r="J654" t="s">
        <v>30</v>
      </c>
      <c r="K654" t="s">
        <v>185</v>
      </c>
      <c r="M654" t="s">
        <v>32</v>
      </c>
      <c r="N654" t="str">
        <f>"1/13/2005 12:00:00 AM"</f>
        <v>1/13/2005 12:00:00 AM</v>
      </c>
      <c r="O654" t="s">
        <v>1670</v>
      </c>
    </row>
    <row r="655" spans="1:20" x14ac:dyDescent="0.25">
      <c r="A655" t="str">
        <f>"3039544"</f>
        <v>3039544</v>
      </c>
      <c r="B655" t="s">
        <v>1672</v>
      </c>
      <c r="C655" t="str">
        <f>"9108000"</f>
        <v>9108000</v>
      </c>
      <c r="D655" t="s">
        <v>1673</v>
      </c>
      <c r="E655" t="s">
        <v>1674</v>
      </c>
      <c r="F655" t="s">
        <v>1675</v>
      </c>
      <c r="I655" t="s">
        <v>184</v>
      </c>
      <c r="J655" t="s">
        <v>30</v>
      </c>
      <c r="K655" t="s">
        <v>1676</v>
      </c>
      <c r="M655" t="s">
        <v>32</v>
      </c>
      <c r="N655" t="str">
        <f>"3/16/2006 12:00:00 AM"</f>
        <v>3/16/2006 12:00:00 AM</v>
      </c>
      <c r="O655" t="s">
        <v>1673</v>
      </c>
      <c r="T655" t="s">
        <v>1674</v>
      </c>
    </row>
    <row r="656" spans="1:20" x14ac:dyDescent="0.25">
      <c r="A656" t="str">
        <f>"3039710"</f>
        <v>3039710</v>
      </c>
      <c r="B656" t="s">
        <v>1677</v>
      </c>
      <c r="C656" t="str">
        <f>"9108000"</f>
        <v>9108000</v>
      </c>
      <c r="D656" t="s">
        <v>1673</v>
      </c>
      <c r="E656" t="s">
        <v>1674</v>
      </c>
      <c r="F656" t="s">
        <v>1675</v>
      </c>
      <c r="I656" t="s">
        <v>184</v>
      </c>
      <c r="J656" t="s">
        <v>30</v>
      </c>
      <c r="K656" t="s">
        <v>1676</v>
      </c>
      <c r="M656" t="s">
        <v>32</v>
      </c>
      <c r="N656" t="str">
        <f>"3/16/2006 12:00:00 AM"</f>
        <v>3/16/2006 12:00:00 AM</v>
      </c>
      <c r="O656" t="s">
        <v>1673</v>
      </c>
      <c r="T656" t="s">
        <v>1674</v>
      </c>
    </row>
    <row r="657" spans="1:20" x14ac:dyDescent="0.25">
      <c r="A657" t="str">
        <f>"3039437"</f>
        <v>3039437</v>
      </c>
      <c r="B657" t="s">
        <v>1678</v>
      </c>
      <c r="C657" t="str">
        <f>"9108000"</f>
        <v>9108000</v>
      </c>
      <c r="D657" t="s">
        <v>1673</v>
      </c>
      <c r="E657" t="s">
        <v>1674</v>
      </c>
      <c r="F657" t="s">
        <v>1675</v>
      </c>
      <c r="I657" t="s">
        <v>184</v>
      </c>
      <c r="J657" t="s">
        <v>30</v>
      </c>
      <c r="K657" t="s">
        <v>1676</v>
      </c>
      <c r="M657" t="s">
        <v>32</v>
      </c>
      <c r="N657" t="str">
        <f>"3/16/2006 12:00:00 AM"</f>
        <v>3/16/2006 12:00:00 AM</v>
      </c>
      <c r="O657" t="s">
        <v>1673</v>
      </c>
      <c r="T657" t="s">
        <v>1674</v>
      </c>
    </row>
    <row r="658" spans="1:20" x14ac:dyDescent="0.25">
      <c r="A658" t="str">
        <f>"3037863"</f>
        <v>3037863</v>
      </c>
      <c r="B658" t="s">
        <v>1679</v>
      </c>
      <c r="C658" t="str">
        <f>"9108000"</f>
        <v>9108000</v>
      </c>
      <c r="D658" t="s">
        <v>1673</v>
      </c>
      <c r="E658" t="s">
        <v>1674</v>
      </c>
      <c r="F658" t="s">
        <v>1675</v>
      </c>
      <c r="I658" t="s">
        <v>184</v>
      </c>
      <c r="J658" t="s">
        <v>30</v>
      </c>
      <c r="K658" t="s">
        <v>1676</v>
      </c>
      <c r="M658" t="s">
        <v>32</v>
      </c>
      <c r="N658" t="str">
        <f>"3/16/2006 12:00:00 AM"</f>
        <v>3/16/2006 12:00:00 AM</v>
      </c>
      <c r="O658" t="s">
        <v>1673</v>
      </c>
      <c r="T658" t="s">
        <v>1674</v>
      </c>
    </row>
    <row r="659" spans="1:20" x14ac:dyDescent="0.25">
      <c r="A659" t="str">
        <f>"3039588"</f>
        <v>3039588</v>
      </c>
      <c r="B659" t="s">
        <v>1680</v>
      </c>
      <c r="C659" t="str">
        <f>"61188000"</f>
        <v>61188000</v>
      </c>
      <c r="D659" t="s">
        <v>1681</v>
      </c>
      <c r="E659" t="s">
        <v>1682</v>
      </c>
      <c r="F659" t="s">
        <v>1683</v>
      </c>
      <c r="I659" t="s">
        <v>184</v>
      </c>
      <c r="J659" t="s">
        <v>30</v>
      </c>
      <c r="K659" t="s">
        <v>185</v>
      </c>
      <c r="M659" t="s">
        <v>32</v>
      </c>
      <c r="N659" t="str">
        <f>"4/13/2004 12:00:00 AM"</f>
        <v>4/13/2004 12:00:00 AM</v>
      </c>
      <c r="O659" t="s">
        <v>1681</v>
      </c>
      <c r="T659" t="s">
        <v>1682</v>
      </c>
    </row>
    <row r="660" spans="1:20" x14ac:dyDescent="0.25">
      <c r="A660" t="str">
        <f>"3039657"</f>
        <v>3039657</v>
      </c>
      <c r="B660" t="s">
        <v>1684</v>
      </c>
      <c r="C660" t="str">
        <f>"82521623"</f>
        <v>82521623</v>
      </c>
      <c r="D660" t="s">
        <v>1685</v>
      </c>
      <c r="E660" t="s">
        <v>1686</v>
      </c>
      <c r="F660" t="s">
        <v>1687</v>
      </c>
      <c r="I660" t="s">
        <v>184</v>
      </c>
      <c r="J660" t="s">
        <v>30</v>
      </c>
      <c r="K660" t="s">
        <v>185</v>
      </c>
      <c r="M660" t="s">
        <v>32</v>
      </c>
      <c r="N660" t="str">
        <f>"1/13/2010 12:00:00 AM"</f>
        <v>1/13/2010 12:00:00 AM</v>
      </c>
      <c r="O660" t="s">
        <v>1685</v>
      </c>
      <c r="T660" t="s">
        <v>1686</v>
      </c>
    </row>
    <row r="661" spans="1:20" x14ac:dyDescent="0.25">
      <c r="A661" t="str">
        <f>"3039445"</f>
        <v>3039445</v>
      </c>
      <c r="B661" t="s">
        <v>1688</v>
      </c>
      <c r="C661" t="str">
        <f>"82515371"</f>
        <v>82515371</v>
      </c>
      <c r="D661" t="s">
        <v>1689</v>
      </c>
      <c r="E661" t="s">
        <v>1690</v>
      </c>
      <c r="F661" t="s">
        <v>1691</v>
      </c>
      <c r="I661" t="s">
        <v>29</v>
      </c>
      <c r="J661" t="s">
        <v>30</v>
      </c>
      <c r="K661" t="s">
        <v>185</v>
      </c>
      <c r="M661" t="s">
        <v>32</v>
      </c>
      <c r="N661" t="str">
        <f>"8/17/2004 12:00:00 AM"</f>
        <v>8/17/2004 12:00:00 AM</v>
      </c>
      <c r="O661" t="s">
        <v>1689</v>
      </c>
      <c r="T661" t="s">
        <v>1690</v>
      </c>
    </row>
    <row r="662" spans="1:20" x14ac:dyDescent="0.25">
      <c r="A662" t="str">
        <f>"3039503"</f>
        <v>3039503</v>
      </c>
      <c r="B662" t="s">
        <v>1692</v>
      </c>
      <c r="C662" t="str">
        <f>"9068000"</f>
        <v>9068000</v>
      </c>
      <c r="D662" t="s">
        <v>1690</v>
      </c>
      <c r="E662" t="s">
        <v>1693</v>
      </c>
      <c r="F662" t="s">
        <v>1691</v>
      </c>
      <c r="I662" t="s">
        <v>184</v>
      </c>
      <c r="J662" t="s">
        <v>30</v>
      </c>
      <c r="K662" t="s">
        <v>185</v>
      </c>
      <c r="M662" t="s">
        <v>32</v>
      </c>
      <c r="N662" t="str">
        <f>"3/18/2002 12:00:00 AM"</f>
        <v>3/18/2002 12:00:00 AM</v>
      </c>
      <c r="O662" t="s">
        <v>1690</v>
      </c>
      <c r="T662" t="s">
        <v>1693</v>
      </c>
    </row>
    <row r="663" spans="1:20" x14ac:dyDescent="0.25">
      <c r="A663" t="str">
        <f>"3039528"</f>
        <v>3039528</v>
      </c>
      <c r="B663" t="s">
        <v>1694</v>
      </c>
      <c r="C663" t="str">
        <f>"9200000"</f>
        <v>9200000</v>
      </c>
      <c r="D663" t="s">
        <v>1695</v>
      </c>
      <c r="E663" t="s">
        <v>1696</v>
      </c>
      <c r="F663" t="s">
        <v>1697</v>
      </c>
      <c r="I663" t="s">
        <v>184</v>
      </c>
      <c r="J663" t="s">
        <v>30</v>
      </c>
      <c r="K663" t="s">
        <v>1698</v>
      </c>
      <c r="M663" t="s">
        <v>32</v>
      </c>
      <c r="N663" t="str">
        <f>"6/6/2003 12:00:00 AM"</f>
        <v>6/6/2003 12:00:00 AM</v>
      </c>
      <c r="O663" t="s">
        <v>1695</v>
      </c>
      <c r="T663" t="s">
        <v>1696</v>
      </c>
    </row>
    <row r="664" spans="1:20" x14ac:dyDescent="0.25">
      <c r="A664" t="str">
        <f>"3039658"</f>
        <v>3039658</v>
      </c>
      <c r="B664" t="s">
        <v>1699</v>
      </c>
      <c r="C664" t="str">
        <f>"48852000"</f>
        <v>48852000</v>
      </c>
      <c r="D664" t="s">
        <v>1700</v>
      </c>
      <c r="F664" t="s">
        <v>1701</v>
      </c>
      <c r="I664" t="s">
        <v>184</v>
      </c>
      <c r="J664" t="s">
        <v>30</v>
      </c>
      <c r="K664" t="s">
        <v>663</v>
      </c>
      <c r="M664" t="s">
        <v>32</v>
      </c>
      <c r="N664" t="str">
        <f>"1/25/2006 12:00:00 AM"</f>
        <v>1/25/2006 12:00:00 AM</v>
      </c>
      <c r="O664" t="s">
        <v>1700</v>
      </c>
      <c r="T664" t="s">
        <v>1700</v>
      </c>
    </row>
    <row r="665" spans="1:20" x14ac:dyDescent="0.25">
      <c r="A665" t="str">
        <f>"3039545"</f>
        <v>3039545</v>
      </c>
      <c r="B665" t="s">
        <v>1702</v>
      </c>
      <c r="C665" t="str">
        <f>"82518800"</f>
        <v>82518800</v>
      </c>
      <c r="D665" t="s">
        <v>1703</v>
      </c>
      <c r="E665" t="s">
        <v>1704</v>
      </c>
      <c r="F665" t="s">
        <v>1705</v>
      </c>
      <c r="I665" t="s">
        <v>184</v>
      </c>
      <c r="J665" t="s">
        <v>30</v>
      </c>
      <c r="K665" t="s">
        <v>663</v>
      </c>
      <c r="M665" t="s">
        <v>32</v>
      </c>
      <c r="N665" t="str">
        <f>"1/25/2006 12:00:00 AM"</f>
        <v>1/25/2006 12:00:00 AM</v>
      </c>
      <c r="O665" t="s">
        <v>1703</v>
      </c>
      <c r="T665" t="s">
        <v>1704</v>
      </c>
    </row>
    <row r="666" spans="1:20" x14ac:dyDescent="0.25">
      <c r="A666" t="str">
        <f>"3056830"</f>
        <v>3056830</v>
      </c>
      <c r="B666" t="s">
        <v>1706</v>
      </c>
      <c r="C666" t="str">
        <f>"82522390"</f>
        <v>82522390</v>
      </c>
      <c r="D666" t="s">
        <v>1707</v>
      </c>
      <c r="E666" t="s">
        <v>1708</v>
      </c>
      <c r="F666" t="s">
        <v>1709</v>
      </c>
      <c r="I666" t="s">
        <v>184</v>
      </c>
      <c r="J666" t="s">
        <v>30</v>
      </c>
      <c r="K666" t="s">
        <v>185</v>
      </c>
      <c r="M666" t="s">
        <v>32</v>
      </c>
      <c r="N666" t="str">
        <f>"9/1/2006 12:00:00 AM"</f>
        <v>9/1/2006 12:00:00 AM</v>
      </c>
      <c r="O666" t="s">
        <v>1707</v>
      </c>
      <c r="T666" t="s">
        <v>1708</v>
      </c>
    </row>
    <row r="667" spans="1:20" x14ac:dyDescent="0.25">
      <c r="A667" t="str">
        <f>"3060793"</f>
        <v>3060793</v>
      </c>
      <c r="B667" t="s">
        <v>1710</v>
      </c>
      <c r="C667" t="str">
        <f>"82522390"</f>
        <v>82522390</v>
      </c>
      <c r="D667" t="s">
        <v>1707</v>
      </c>
      <c r="E667" t="s">
        <v>1708</v>
      </c>
      <c r="F667" t="s">
        <v>1709</v>
      </c>
      <c r="I667" t="s">
        <v>184</v>
      </c>
      <c r="J667" t="s">
        <v>30</v>
      </c>
      <c r="K667" t="s">
        <v>185</v>
      </c>
      <c r="M667" t="s">
        <v>32</v>
      </c>
      <c r="N667" t="str">
        <f>"9/1/2006 12:00:00 AM"</f>
        <v>9/1/2006 12:00:00 AM</v>
      </c>
      <c r="O667" t="s">
        <v>1707</v>
      </c>
      <c r="T667" t="s">
        <v>1708</v>
      </c>
    </row>
    <row r="668" spans="1:20" x14ac:dyDescent="0.25">
      <c r="A668" t="str">
        <f>"3060767"</f>
        <v>3060767</v>
      </c>
      <c r="B668" t="s">
        <v>1711</v>
      </c>
      <c r="C668" t="str">
        <f>"46701000"</f>
        <v>46701000</v>
      </c>
      <c r="D668" t="s">
        <v>1712</v>
      </c>
      <c r="F668" t="s">
        <v>1713</v>
      </c>
      <c r="I668" t="s">
        <v>184</v>
      </c>
      <c r="J668" t="s">
        <v>30</v>
      </c>
      <c r="K668" t="s">
        <v>185</v>
      </c>
      <c r="M668" t="s">
        <v>32</v>
      </c>
      <c r="N668" t="str">
        <f>"12/17/2003 12:00:00 AM"</f>
        <v>12/17/2003 12:00:00 AM</v>
      </c>
      <c r="O668" t="s">
        <v>1712</v>
      </c>
    </row>
    <row r="669" spans="1:20" x14ac:dyDescent="0.25">
      <c r="A669" t="str">
        <f>"3060768"</f>
        <v>3060768</v>
      </c>
      <c r="B669" t="s">
        <v>1714</v>
      </c>
      <c r="C669" t="str">
        <f>"17895000"</f>
        <v>17895000</v>
      </c>
      <c r="D669" t="s">
        <v>1715</v>
      </c>
      <c r="F669" t="s">
        <v>1716</v>
      </c>
      <c r="I669" t="s">
        <v>184</v>
      </c>
      <c r="J669" t="s">
        <v>30</v>
      </c>
      <c r="K669" t="s">
        <v>185</v>
      </c>
      <c r="M669" t="s">
        <v>32</v>
      </c>
      <c r="N669" t="str">
        <f>"3/18/2002 12:00:00 AM"</f>
        <v>3/18/2002 12:00:00 AM</v>
      </c>
      <c r="O669" t="s">
        <v>1715</v>
      </c>
    </row>
    <row r="670" spans="1:20" x14ac:dyDescent="0.25">
      <c r="A670" t="str">
        <f>"3039587"</f>
        <v>3039587</v>
      </c>
      <c r="B670" t="s">
        <v>1717</v>
      </c>
      <c r="C670" t="str">
        <f>"55332000"</f>
        <v>55332000</v>
      </c>
      <c r="D670" t="s">
        <v>1718</v>
      </c>
      <c r="F670" t="s">
        <v>1719</v>
      </c>
      <c r="I670" t="s">
        <v>184</v>
      </c>
      <c r="J670" t="s">
        <v>30</v>
      </c>
      <c r="K670" t="s">
        <v>1698</v>
      </c>
      <c r="M670" t="s">
        <v>32</v>
      </c>
      <c r="N670" t="str">
        <f>"9/22/2005 12:00:00 AM"</f>
        <v>9/22/2005 12:00:00 AM</v>
      </c>
      <c r="O670" t="s">
        <v>1718</v>
      </c>
      <c r="T670" t="s">
        <v>1718</v>
      </c>
    </row>
    <row r="671" spans="1:20" x14ac:dyDescent="0.25">
      <c r="A671" t="str">
        <f>"3039915"</f>
        <v>3039915</v>
      </c>
      <c r="B671" t="s">
        <v>1720</v>
      </c>
      <c r="C671" t="str">
        <f>"55332000"</f>
        <v>55332000</v>
      </c>
      <c r="D671" t="s">
        <v>1718</v>
      </c>
      <c r="F671" t="s">
        <v>1719</v>
      </c>
      <c r="I671" t="s">
        <v>184</v>
      </c>
      <c r="J671" t="s">
        <v>30</v>
      </c>
      <c r="K671" t="s">
        <v>1698</v>
      </c>
      <c r="M671" t="s">
        <v>32</v>
      </c>
      <c r="N671" t="str">
        <f>"9/22/2005 12:00:00 AM"</f>
        <v>9/22/2005 12:00:00 AM</v>
      </c>
      <c r="O671" t="s">
        <v>1718</v>
      </c>
      <c r="T671" t="s">
        <v>1718</v>
      </c>
    </row>
    <row r="672" spans="1:20" x14ac:dyDescent="0.25">
      <c r="A672" t="str">
        <f>"3039534"</f>
        <v>3039534</v>
      </c>
      <c r="B672" t="s">
        <v>1721</v>
      </c>
      <c r="C672" t="str">
        <f>"77140000"</f>
        <v>77140000</v>
      </c>
      <c r="D672" t="s">
        <v>1722</v>
      </c>
      <c r="E672" t="s">
        <v>1723</v>
      </c>
      <c r="F672" t="s">
        <v>1724</v>
      </c>
      <c r="I672" t="s">
        <v>184</v>
      </c>
      <c r="J672" t="s">
        <v>30</v>
      </c>
      <c r="K672" t="s">
        <v>185</v>
      </c>
      <c r="M672" t="s">
        <v>32</v>
      </c>
      <c r="N672" t="str">
        <f>"3/18/2002 12:00:00 AM"</f>
        <v>3/18/2002 12:00:00 AM</v>
      </c>
      <c r="O672" t="s">
        <v>1722</v>
      </c>
      <c r="T672" t="s">
        <v>1723</v>
      </c>
    </row>
    <row r="673" spans="1:20" x14ac:dyDescent="0.25">
      <c r="A673" t="str">
        <f>"3039627"</f>
        <v>3039627</v>
      </c>
      <c r="B673" t="s">
        <v>1725</v>
      </c>
      <c r="C673" t="str">
        <f>"77140000"</f>
        <v>77140000</v>
      </c>
      <c r="D673" t="s">
        <v>1722</v>
      </c>
      <c r="E673" t="s">
        <v>1723</v>
      </c>
      <c r="F673" t="s">
        <v>1724</v>
      </c>
      <c r="I673" t="s">
        <v>184</v>
      </c>
      <c r="J673" t="s">
        <v>30</v>
      </c>
      <c r="K673" t="s">
        <v>185</v>
      </c>
      <c r="M673" t="s">
        <v>32</v>
      </c>
      <c r="N673" t="str">
        <f>"3/18/2002 12:00:00 AM"</f>
        <v>3/18/2002 12:00:00 AM</v>
      </c>
      <c r="O673" t="s">
        <v>1722</v>
      </c>
      <c r="T673" t="s">
        <v>1723</v>
      </c>
    </row>
    <row r="674" spans="1:20" x14ac:dyDescent="0.25">
      <c r="A674" t="str">
        <f>"3039407"</f>
        <v>3039407</v>
      </c>
      <c r="B674" t="s">
        <v>1726</v>
      </c>
      <c r="C674" t="str">
        <f>"77140000"</f>
        <v>77140000</v>
      </c>
      <c r="D674" t="s">
        <v>1722</v>
      </c>
      <c r="E674" t="s">
        <v>1723</v>
      </c>
      <c r="F674" t="s">
        <v>1724</v>
      </c>
      <c r="I674" t="s">
        <v>184</v>
      </c>
      <c r="J674" t="s">
        <v>30</v>
      </c>
      <c r="K674" t="s">
        <v>185</v>
      </c>
      <c r="M674" t="s">
        <v>32</v>
      </c>
      <c r="N674" t="str">
        <f>"3/18/2002 12:00:00 AM"</f>
        <v>3/18/2002 12:00:00 AM</v>
      </c>
      <c r="O674" t="s">
        <v>1722</v>
      </c>
      <c r="T674" t="s">
        <v>1723</v>
      </c>
    </row>
    <row r="675" spans="1:20" x14ac:dyDescent="0.25">
      <c r="A675" t="str">
        <f>"3039441"</f>
        <v>3039441</v>
      </c>
      <c r="B675" t="s">
        <v>1727</v>
      </c>
      <c r="C675" t="str">
        <f>"50196000"</f>
        <v>50196000</v>
      </c>
      <c r="D675" t="s">
        <v>1728</v>
      </c>
      <c r="E675" t="s">
        <v>1729</v>
      </c>
      <c r="F675" t="s">
        <v>1730</v>
      </c>
      <c r="I675" t="s">
        <v>184</v>
      </c>
      <c r="J675" t="s">
        <v>30</v>
      </c>
      <c r="K675" t="s">
        <v>185</v>
      </c>
      <c r="M675" t="s">
        <v>32</v>
      </c>
      <c r="N675" t="str">
        <f>"2/20/2004 12:00:00 AM"</f>
        <v>2/20/2004 12:00:00 AM</v>
      </c>
      <c r="O675" t="s">
        <v>1728</v>
      </c>
      <c r="T675" t="s">
        <v>1729</v>
      </c>
    </row>
    <row r="676" spans="1:20" x14ac:dyDescent="0.25">
      <c r="A676" t="str">
        <f>"3039305"</f>
        <v>3039305</v>
      </c>
      <c r="B676" t="s">
        <v>1731</v>
      </c>
      <c r="C676" t="str">
        <f>"50196000"</f>
        <v>50196000</v>
      </c>
      <c r="D676" t="s">
        <v>1728</v>
      </c>
      <c r="E676" t="s">
        <v>1729</v>
      </c>
      <c r="F676" t="s">
        <v>1730</v>
      </c>
      <c r="I676" t="s">
        <v>184</v>
      </c>
      <c r="J676" t="s">
        <v>30</v>
      </c>
      <c r="K676" t="s">
        <v>185</v>
      </c>
      <c r="M676" t="s">
        <v>32</v>
      </c>
      <c r="N676" t="str">
        <f>"2/20/2004 12:00:00 AM"</f>
        <v>2/20/2004 12:00:00 AM</v>
      </c>
      <c r="O676" t="s">
        <v>1728</v>
      </c>
      <c r="T676" t="s">
        <v>1729</v>
      </c>
    </row>
    <row r="677" spans="1:20" x14ac:dyDescent="0.25">
      <c r="A677" t="str">
        <f>"3039594"</f>
        <v>3039594</v>
      </c>
      <c r="B677" t="s">
        <v>1732</v>
      </c>
      <c r="C677" t="str">
        <f>"50196000"</f>
        <v>50196000</v>
      </c>
      <c r="D677" t="s">
        <v>1728</v>
      </c>
      <c r="E677" t="s">
        <v>1729</v>
      </c>
      <c r="F677" t="s">
        <v>1730</v>
      </c>
      <c r="I677" t="s">
        <v>184</v>
      </c>
      <c r="J677" t="s">
        <v>30</v>
      </c>
      <c r="K677" t="s">
        <v>185</v>
      </c>
      <c r="M677" t="s">
        <v>32</v>
      </c>
      <c r="N677" t="str">
        <f>"2/20/2004 12:00:00 AM"</f>
        <v>2/20/2004 12:00:00 AM</v>
      </c>
      <c r="O677" t="s">
        <v>1728</v>
      </c>
      <c r="T677" t="s">
        <v>1729</v>
      </c>
    </row>
    <row r="678" spans="1:20" x14ac:dyDescent="0.25">
      <c r="A678" t="str">
        <f>"3039442"</f>
        <v>3039442</v>
      </c>
      <c r="B678" t="s">
        <v>1733</v>
      </c>
      <c r="C678" t="str">
        <f>"82518748"</f>
        <v>82518748</v>
      </c>
      <c r="D678" t="s">
        <v>1734</v>
      </c>
      <c r="E678" t="s">
        <v>1735</v>
      </c>
      <c r="F678" t="s">
        <v>1730</v>
      </c>
      <c r="I678" t="s">
        <v>184</v>
      </c>
      <c r="J678" t="s">
        <v>30</v>
      </c>
      <c r="K678" t="s">
        <v>185</v>
      </c>
      <c r="M678" t="s">
        <v>32</v>
      </c>
      <c r="N678" t="str">
        <f>"6/16/2005 12:00:00 AM"</f>
        <v>6/16/2005 12:00:00 AM</v>
      </c>
      <c r="O678" t="s">
        <v>1734</v>
      </c>
      <c r="T678" t="s">
        <v>1735</v>
      </c>
    </row>
    <row r="679" spans="1:20" x14ac:dyDescent="0.25">
      <c r="A679" t="str">
        <f>"3039361"</f>
        <v>3039361</v>
      </c>
      <c r="B679" t="s">
        <v>1736</v>
      </c>
      <c r="C679" t="str">
        <f>"43032000"</f>
        <v>43032000</v>
      </c>
      <c r="D679" t="s">
        <v>1737</v>
      </c>
      <c r="E679" t="s">
        <v>1738</v>
      </c>
      <c r="F679" t="s">
        <v>1739</v>
      </c>
      <c r="I679" t="s">
        <v>184</v>
      </c>
      <c r="J679" t="s">
        <v>30</v>
      </c>
      <c r="K679" t="s">
        <v>185</v>
      </c>
      <c r="M679" t="s">
        <v>32</v>
      </c>
      <c r="N679" t="str">
        <f>"10/10/2005 12:00:00 AM"</f>
        <v>10/10/2005 12:00:00 AM</v>
      </c>
      <c r="O679" t="s">
        <v>1737</v>
      </c>
      <c r="T679" t="s">
        <v>1738</v>
      </c>
    </row>
    <row r="680" spans="1:20" x14ac:dyDescent="0.25">
      <c r="A680" t="str">
        <f>"3039583"</f>
        <v>3039583</v>
      </c>
      <c r="B680" t="s">
        <v>1740</v>
      </c>
      <c r="C680" t="str">
        <f>"43032000"</f>
        <v>43032000</v>
      </c>
      <c r="D680" t="s">
        <v>1737</v>
      </c>
      <c r="E680" t="s">
        <v>1738</v>
      </c>
      <c r="F680" t="s">
        <v>1739</v>
      </c>
      <c r="I680" t="s">
        <v>184</v>
      </c>
      <c r="J680" t="s">
        <v>30</v>
      </c>
      <c r="K680" t="s">
        <v>185</v>
      </c>
      <c r="M680" t="s">
        <v>32</v>
      </c>
      <c r="N680" t="str">
        <f>"10/10/2005 12:00:00 AM"</f>
        <v>10/10/2005 12:00:00 AM</v>
      </c>
      <c r="O680" t="s">
        <v>1737</v>
      </c>
      <c r="T680" t="s">
        <v>1738</v>
      </c>
    </row>
    <row r="681" spans="1:20" x14ac:dyDescent="0.25">
      <c r="A681" t="str">
        <f>"3039644"</f>
        <v>3039644</v>
      </c>
      <c r="B681" t="s">
        <v>1741</v>
      </c>
      <c r="C681" t="str">
        <f>"43032000"</f>
        <v>43032000</v>
      </c>
      <c r="D681" t="s">
        <v>1737</v>
      </c>
      <c r="E681" t="s">
        <v>1738</v>
      </c>
      <c r="F681" t="s">
        <v>1739</v>
      </c>
      <c r="I681" t="s">
        <v>184</v>
      </c>
      <c r="J681" t="s">
        <v>30</v>
      </c>
      <c r="K681" t="s">
        <v>185</v>
      </c>
      <c r="M681" t="s">
        <v>32</v>
      </c>
      <c r="N681" t="str">
        <f>"10/10/2005 12:00:00 AM"</f>
        <v>10/10/2005 12:00:00 AM</v>
      </c>
      <c r="O681" t="s">
        <v>1737</v>
      </c>
      <c r="T681" t="s">
        <v>1738</v>
      </c>
    </row>
    <row r="682" spans="1:20" x14ac:dyDescent="0.25">
      <c r="A682" t="str">
        <f>"3039614"</f>
        <v>3039614</v>
      </c>
      <c r="B682" t="s">
        <v>1742</v>
      </c>
      <c r="C682" t="str">
        <f>"77182000"</f>
        <v>77182000</v>
      </c>
      <c r="D682" t="s">
        <v>1743</v>
      </c>
      <c r="E682" t="s">
        <v>1744</v>
      </c>
      <c r="F682" t="s">
        <v>1745</v>
      </c>
      <c r="I682" t="s">
        <v>184</v>
      </c>
      <c r="J682" t="s">
        <v>30</v>
      </c>
      <c r="K682" t="s">
        <v>185</v>
      </c>
      <c r="M682" t="s">
        <v>32</v>
      </c>
      <c r="N682" t="str">
        <f>"11/19/2007 12:00:00 AM"</f>
        <v>11/19/2007 12:00:00 AM</v>
      </c>
      <c r="O682" t="s">
        <v>1743</v>
      </c>
      <c r="T682" t="s">
        <v>1744</v>
      </c>
    </row>
    <row r="683" spans="1:20" x14ac:dyDescent="0.25">
      <c r="A683" t="str">
        <f>"3040436"</f>
        <v>3040436</v>
      </c>
      <c r="B683" t="s">
        <v>1746</v>
      </c>
      <c r="C683" t="str">
        <f>"2988000"</f>
        <v>2988000</v>
      </c>
      <c r="D683" t="s">
        <v>1747</v>
      </c>
      <c r="E683" t="s">
        <v>1748</v>
      </c>
      <c r="F683" t="s">
        <v>1749</v>
      </c>
      <c r="I683" t="s">
        <v>184</v>
      </c>
      <c r="J683" t="s">
        <v>30</v>
      </c>
      <c r="K683" t="s">
        <v>185</v>
      </c>
      <c r="M683" t="s">
        <v>32</v>
      </c>
      <c r="N683" t="str">
        <f>"9/7/2010 12:00:00 AM"</f>
        <v>9/7/2010 12:00:00 AM</v>
      </c>
      <c r="O683" t="s">
        <v>1747</v>
      </c>
      <c r="T683" t="s">
        <v>1748</v>
      </c>
    </row>
    <row r="684" spans="1:20" x14ac:dyDescent="0.25">
      <c r="A684" t="str">
        <f>"3041025"</f>
        <v>3041025</v>
      </c>
      <c r="B684" t="s">
        <v>1750</v>
      </c>
      <c r="C684" t="str">
        <f t="shared" ref="C684:C690" si="29">"59012000"</f>
        <v>59012000</v>
      </c>
      <c r="D684" t="s">
        <v>1751</v>
      </c>
      <c r="F684" t="s">
        <v>1752</v>
      </c>
      <c r="I684" t="s">
        <v>471</v>
      </c>
      <c r="J684" t="s">
        <v>30</v>
      </c>
      <c r="K684" t="s">
        <v>1753</v>
      </c>
      <c r="M684" t="s">
        <v>32</v>
      </c>
      <c r="N684" t="str">
        <f t="shared" ref="N684:N690" si="30">"2/8/2006 12:00:00 AM"</f>
        <v>2/8/2006 12:00:00 AM</v>
      </c>
      <c r="O684" t="s">
        <v>1751</v>
      </c>
    </row>
    <row r="685" spans="1:20" x14ac:dyDescent="0.25">
      <c r="A685" t="str">
        <f>"3041182"</f>
        <v>3041182</v>
      </c>
      <c r="B685" t="s">
        <v>1754</v>
      </c>
      <c r="C685" t="str">
        <f t="shared" si="29"/>
        <v>59012000</v>
      </c>
      <c r="D685" t="s">
        <v>1751</v>
      </c>
      <c r="F685" t="s">
        <v>1752</v>
      </c>
      <c r="I685" t="s">
        <v>471</v>
      </c>
      <c r="J685" t="s">
        <v>30</v>
      </c>
      <c r="K685" t="s">
        <v>1753</v>
      </c>
      <c r="M685" t="s">
        <v>32</v>
      </c>
      <c r="N685" t="str">
        <f t="shared" si="30"/>
        <v>2/8/2006 12:00:00 AM</v>
      </c>
      <c r="O685" t="s">
        <v>1751</v>
      </c>
    </row>
    <row r="686" spans="1:20" x14ac:dyDescent="0.25">
      <c r="A686" t="str">
        <f>"3046691"</f>
        <v>3046691</v>
      </c>
      <c r="B686" t="s">
        <v>1755</v>
      </c>
      <c r="C686" t="str">
        <f t="shared" si="29"/>
        <v>59012000</v>
      </c>
      <c r="D686" t="s">
        <v>1751</v>
      </c>
      <c r="F686" t="s">
        <v>1752</v>
      </c>
      <c r="I686" t="s">
        <v>471</v>
      </c>
      <c r="J686" t="s">
        <v>30</v>
      </c>
      <c r="K686" t="s">
        <v>1753</v>
      </c>
      <c r="M686" t="s">
        <v>32</v>
      </c>
      <c r="N686" t="str">
        <f t="shared" si="30"/>
        <v>2/8/2006 12:00:00 AM</v>
      </c>
      <c r="O686" t="s">
        <v>1751</v>
      </c>
    </row>
    <row r="687" spans="1:20" x14ac:dyDescent="0.25">
      <c r="A687" t="str">
        <f>"3043322"</f>
        <v>3043322</v>
      </c>
      <c r="B687" t="s">
        <v>1756</v>
      </c>
      <c r="C687" t="str">
        <f t="shared" si="29"/>
        <v>59012000</v>
      </c>
      <c r="D687" t="s">
        <v>1751</v>
      </c>
      <c r="F687" t="s">
        <v>1752</v>
      </c>
      <c r="I687" t="s">
        <v>471</v>
      </c>
      <c r="J687" t="s">
        <v>30</v>
      </c>
      <c r="K687" t="s">
        <v>1753</v>
      </c>
      <c r="M687" t="s">
        <v>32</v>
      </c>
      <c r="N687" t="str">
        <f t="shared" si="30"/>
        <v>2/8/2006 12:00:00 AM</v>
      </c>
      <c r="O687" t="s">
        <v>1751</v>
      </c>
    </row>
    <row r="688" spans="1:20" x14ac:dyDescent="0.25">
      <c r="A688" t="str">
        <f>"3051752"</f>
        <v>3051752</v>
      </c>
      <c r="B688" t="s">
        <v>1757</v>
      </c>
      <c r="C688" t="str">
        <f t="shared" si="29"/>
        <v>59012000</v>
      </c>
      <c r="D688" t="s">
        <v>1751</v>
      </c>
      <c r="F688" t="s">
        <v>1752</v>
      </c>
      <c r="I688" t="s">
        <v>471</v>
      </c>
      <c r="J688" t="s">
        <v>30</v>
      </c>
      <c r="K688" t="s">
        <v>1753</v>
      </c>
      <c r="M688" t="s">
        <v>32</v>
      </c>
      <c r="N688" t="str">
        <f t="shared" si="30"/>
        <v>2/8/2006 12:00:00 AM</v>
      </c>
      <c r="O688" t="s">
        <v>1751</v>
      </c>
    </row>
    <row r="689" spans="1:20" x14ac:dyDescent="0.25">
      <c r="A689" t="str">
        <f>"3048946"</f>
        <v>3048946</v>
      </c>
      <c r="B689" t="s">
        <v>1758</v>
      </c>
      <c r="C689" t="str">
        <f t="shared" si="29"/>
        <v>59012000</v>
      </c>
      <c r="D689" t="s">
        <v>1751</v>
      </c>
      <c r="F689" t="s">
        <v>1752</v>
      </c>
      <c r="I689" t="s">
        <v>471</v>
      </c>
      <c r="J689" t="s">
        <v>30</v>
      </c>
      <c r="K689" t="s">
        <v>1753</v>
      </c>
      <c r="M689" t="s">
        <v>32</v>
      </c>
      <c r="N689" t="str">
        <f t="shared" si="30"/>
        <v>2/8/2006 12:00:00 AM</v>
      </c>
      <c r="O689" t="s">
        <v>1751</v>
      </c>
    </row>
    <row r="690" spans="1:20" x14ac:dyDescent="0.25">
      <c r="A690" t="str">
        <f>"3047873"</f>
        <v>3047873</v>
      </c>
      <c r="B690" t="s">
        <v>1759</v>
      </c>
      <c r="C690" t="str">
        <f t="shared" si="29"/>
        <v>59012000</v>
      </c>
      <c r="D690" t="s">
        <v>1751</v>
      </c>
      <c r="F690" t="s">
        <v>1752</v>
      </c>
      <c r="I690" t="s">
        <v>471</v>
      </c>
      <c r="J690" t="s">
        <v>30</v>
      </c>
      <c r="K690" t="s">
        <v>1753</v>
      </c>
      <c r="M690" t="s">
        <v>32</v>
      </c>
      <c r="N690" t="str">
        <f t="shared" si="30"/>
        <v>2/8/2006 12:00:00 AM</v>
      </c>
      <c r="O690" t="s">
        <v>1751</v>
      </c>
    </row>
    <row r="691" spans="1:20" x14ac:dyDescent="0.25">
      <c r="A691" t="str">
        <f>"3040856"</f>
        <v>3040856</v>
      </c>
      <c r="B691" t="s">
        <v>1760</v>
      </c>
      <c r="C691" t="str">
        <f>"25663660"</f>
        <v>25663660</v>
      </c>
      <c r="D691" t="s">
        <v>1761</v>
      </c>
      <c r="E691" t="s">
        <v>1762</v>
      </c>
      <c r="F691" t="s">
        <v>1763</v>
      </c>
      <c r="I691" t="s">
        <v>184</v>
      </c>
      <c r="J691" t="s">
        <v>30</v>
      </c>
      <c r="K691" t="s">
        <v>1764</v>
      </c>
      <c r="M691" t="s">
        <v>32</v>
      </c>
      <c r="N691" t="str">
        <f>"2/10/2010 12:00:00 AM"</f>
        <v>2/10/2010 12:00:00 AM</v>
      </c>
      <c r="O691" t="s">
        <v>1761</v>
      </c>
      <c r="T691" t="s">
        <v>1762</v>
      </c>
    </row>
    <row r="692" spans="1:20" x14ac:dyDescent="0.25">
      <c r="A692" t="str">
        <f>"3040920"</f>
        <v>3040920</v>
      </c>
      <c r="B692" t="s">
        <v>1765</v>
      </c>
      <c r="C692" t="str">
        <f>"67995250"</f>
        <v>67995250</v>
      </c>
      <c r="D692" t="s">
        <v>1766</v>
      </c>
      <c r="F692" t="s">
        <v>1767</v>
      </c>
      <c r="I692" t="s">
        <v>184</v>
      </c>
      <c r="J692" t="s">
        <v>30</v>
      </c>
      <c r="K692" t="s">
        <v>185</v>
      </c>
      <c r="M692" t="s">
        <v>32</v>
      </c>
      <c r="N692" t="str">
        <f>"3/19/2002 12:00:00 AM"</f>
        <v>3/19/2002 12:00:00 AM</v>
      </c>
      <c r="O692" t="s">
        <v>1766</v>
      </c>
    </row>
    <row r="693" spans="1:20" x14ac:dyDescent="0.25">
      <c r="A693" t="str">
        <f>"3040311"</f>
        <v>3040311</v>
      </c>
      <c r="B693" t="s">
        <v>1768</v>
      </c>
      <c r="C693" t="str">
        <f>"67995250"</f>
        <v>67995250</v>
      </c>
      <c r="D693" t="s">
        <v>1766</v>
      </c>
      <c r="F693" t="s">
        <v>1767</v>
      </c>
      <c r="I693" t="s">
        <v>184</v>
      </c>
      <c r="J693" t="s">
        <v>30</v>
      </c>
      <c r="K693" t="s">
        <v>185</v>
      </c>
      <c r="M693" t="s">
        <v>32</v>
      </c>
      <c r="N693" t="str">
        <f>"3/19/2002 12:00:00 AM"</f>
        <v>3/19/2002 12:00:00 AM</v>
      </c>
      <c r="O693" t="s">
        <v>1766</v>
      </c>
    </row>
    <row r="694" spans="1:20" x14ac:dyDescent="0.25">
      <c r="A694" t="str">
        <f>"3040922"</f>
        <v>3040922</v>
      </c>
      <c r="B694" t="s">
        <v>1769</v>
      </c>
      <c r="C694" t="str">
        <f>"74116000"</f>
        <v>74116000</v>
      </c>
      <c r="D694" t="s">
        <v>1770</v>
      </c>
      <c r="E694" t="s">
        <v>1771</v>
      </c>
      <c r="F694" t="s">
        <v>1772</v>
      </c>
      <c r="I694" t="s">
        <v>184</v>
      </c>
      <c r="J694" t="s">
        <v>30</v>
      </c>
      <c r="K694" t="s">
        <v>185</v>
      </c>
      <c r="M694" t="s">
        <v>32</v>
      </c>
      <c r="N694" t="str">
        <f>"6/21/2004 12:00:00 AM"</f>
        <v>6/21/2004 12:00:00 AM</v>
      </c>
      <c r="O694" t="s">
        <v>1770</v>
      </c>
      <c r="T694" t="s">
        <v>1771</v>
      </c>
    </row>
    <row r="695" spans="1:20" x14ac:dyDescent="0.25">
      <c r="A695" t="str">
        <f>"3040983"</f>
        <v>3040983</v>
      </c>
      <c r="B695" t="s">
        <v>1773</v>
      </c>
      <c r="C695" t="str">
        <f>"68228000"</f>
        <v>68228000</v>
      </c>
      <c r="D695" t="s">
        <v>1774</v>
      </c>
      <c r="F695" t="s">
        <v>1775</v>
      </c>
      <c r="I695" t="s">
        <v>184</v>
      </c>
      <c r="J695" t="s">
        <v>30</v>
      </c>
      <c r="K695" t="s">
        <v>185</v>
      </c>
      <c r="M695" t="s">
        <v>32</v>
      </c>
      <c r="N695" t="str">
        <f>"1/28/2004 12:00:00 AM"</f>
        <v>1/28/2004 12:00:00 AM</v>
      </c>
      <c r="O695" t="s">
        <v>1774</v>
      </c>
    </row>
    <row r="696" spans="1:20" x14ac:dyDescent="0.25">
      <c r="A696" t="str">
        <f>"3040888"</f>
        <v>3040888</v>
      </c>
      <c r="B696" t="s">
        <v>1776</v>
      </c>
      <c r="C696" t="str">
        <f>"82516253"</f>
        <v>82516253</v>
      </c>
      <c r="D696" t="s">
        <v>1777</v>
      </c>
      <c r="E696" t="s">
        <v>1778</v>
      </c>
      <c r="F696" t="s">
        <v>1779</v>
      </c>
      <c r="G696" t="s">
        <v>1780</v>
      </c>
      <c r="I696" t="s">
        <v>471</v>
      </c>
      <c r="J696" t="s">
        <v>30</v>
      </c>
      <c r="K696" t="s">
        <v>1210</v>
      </c>
      <c r="M696" t="s">
        <v>32</v>
      </c>
      <c r="N696" t="str">
        <f>"8/1/2002 12:00:00 AM"</f>
        <v>8/1/2002 12:00:00 AM</v>
      </c>
      <c r="O696" t="s">
        <v>1777</v>
      </c>
      <c r="T696" t="s">
        <v>1778</v>
      </c>
    </row>
    <row r="697" spans="1:20" x14ac:dyDescent="0.25">
      <c r="A697" t="str">
        <f>"3040380"</f>
        <v>3040380</v>
      </c>
      <c r="B697" t="s">
        <v>1781</v>
      </c>
      <c r="C697" t="str">
        <f>"82516253"</f>
        <v>82516253</v>
      </c>
      <c r="D697" t="s">
        <v>1777</v>
      </c>
      <c r="E697" t="s">
        <v>1778</v>
      </c>
      <c r="F697" t="s">
        <v>1779</v>
      </c>
      <c r="G697" t="s">
        <v>1780</v>
      </c>
      <c r="I697" t="s">
        <v>471</v>
      </c>
      <c r="J697" t="s">
        <v>30</v>
      </c>
      <c r="K697" t="s">
        <v>1210</v>
      </c>
      <c r="M697" t="s">
        <v>32</v>
      </c>
      <c r="N697" t="str">
        <f>"8/1/2002 12:00:00 AM"</f>
        <v>8/1/2002 12:00:00 AM</v>
      </c>
      <c r="O697" t="s">
        <v>1777</v>
      </c>
      <c r="T697" t="s">
        <v>1778</v>
      </c>
    </row>
    <row r="698" spans="1:20" x14ac:dyDescent="0.25">
      <c r="A698" t="str">
        <f>"3040271"</f>
        <v>3040271</v>
      </c>
      <c r="B698" t="s">
        <v>1782</v>
      </c>
      <c r="C698" t="str">
        <f>"82516253"</f>
        <v>82516253</v>
      </c>
      <c r="D698" t="s">
        <v>1777</v>
      </c>
      <c r="E698" t="s">
        <v>1778</v>
      </c>
      <c r="F698" t="s">
        <v>1779</v>
      </c>
      <c r="G698" t="s">
        <v>1780</v>
      </c>
      <c r="I698" t="s">
        <v>471</v>
      </c>
      <c r="J698" t="s">
        <v>30</v>
      </c>
      <c r="K698" t="s">
        <v>1210</v>
      </c>
      <c r="M698" t="s">
        <v>32</v>
      </c>
      <c r="N698" t="str">
        <f>"8/1/2002 12:00:00 AM"</f>
        <v>8/1/2002 12:00:00 AM</v>
      </c>
      <c r="O698" t="s">
        <v>1777</v>
      </c>
      <c r="T698" t="s">
        <v>1778</v>
      </c>
    </row>
    <row r="699" spans="1:20" x14ac:dyDescent="0.25">
      <c r="A699" t="str">
        <f>"3040763"</f>
        <v>3040763</v>
      </c>
      <c r="B699" t="s">
        <v>1783</v>
      </c>
      <c r="C699" t="str">
        <f>"44901000"</f>
        <v>44901000</v>
      </c>
      <c r="D699" t="s">
        <v>1784</v>
      </c>
      <c r="E699" t="s">
        <v>1785</v>
      </c>
      <c r="F699" t="s">
        <v>1786</v>
      </c>
      <c r="I699" t="s">
        <v>184</v>
      </c>
      <c r="J699" t="s">
        <v>30</v>
      </c>
      <c r="K699" t="s">
        <v>185</v>
      </c>
      <c r="M699" t="s">
        <v>32</v>
      </c>
      <c r="N699" t="str">
        <f>"12/12/2003 12:00:00 AM"</f>
        <v>12/12/2003 12:00:00 AM</v>
      </c>
      <c r="O699" t="s">
        <v>1784</v>
      </c>
      <c r="T699" t="s">
        <v>1785</v>
      </c>
    </row>
    <row r="700" spans="1:20" x14ac:dyDescent="0.25">
      <c r="A700" t="str">
        <f>"3039608"</f>
        <v>3039608</v>
      </c>
      <c r="B700" t="s">
        <v>1787</v>
      </c>
      <c r="C700" t="str">
        <f>"8256000"</f>
        <v>8256000</v>
      </c>
      <c r="D700" t="s">
        <v>1788</v>
      </c>
      <c r="E700" t="s">
        <v>1789</v>
      </c>
      <c r="F700" t="s">
        <v>1790</v>
      </c>
      <c r="I700" t="s">
        <v>184</v>
      </c>
      <c r="J700" t="s">
        <v>30</v>
      </c>
      <c r="K700" t="s">
        <v>185</v>
      </c>
      <c r="M700" t="s">
        <v>32</v>
      </c>
      <c r="N700" t="str">
        <f>"1/24/2006 12:00:00 AM"</f>
        <v>1/24/2006 12:00:00 AM</v>
      </c>
      <c r="O700" t="s">
        <v>1788</v>
      </c>
      <c r="T700" t="s">
        <v>1789</v>
      </c>
    </row>
    <row r="701" spans="1:20" x14ac:dyDescent="0.25">
      <c r="A701" t="str">
        <f>"3039508"</f>
        <v>3039508</v>
      </c>
      <c r="B701" t="s">
        <v>1791</v>
      </c>
      <c r="C701" t="str">
        <f>"8256000"</f>
        <v>8256000</v>
      </c>
      <c r="D701" t="s">
        <v>1788</v>
      </c>
      <c r="E701" t="s">
        <v>1789</v>
      </c>
      <c r="F701" t="s">
        <v>1790</v>
      </c>
      <c r="I701" t="s">
        <v>184</v>
      </c>
      <c r="J701" t="s">
        <v>30</v>
      </c>
      <c r="K701" t="s">
        <v>185</v>
      </c>
      <c r="M701" t="s">
        <v>32</v>
      </c>
      <c r="N701" t="str">
        <f>"1/24/2006 12:00:00 AM"</f>
        <v>1/24/2006 12:00:00 AM</v>
      </c>
      <c r="O701" t="s">
        <v>1788</v>
      </c>
      <c r="T701" t="s">
        <v>1789</v>
      </c>
    </row>
    <row r="702" spans="1:20" x14ac:dyDescent="0.25">
      <c r="A702" t="str">
        <f>"3076722"</f>
        <v>3076722</v>
      </c>
      <c r="B702" t="s">
        <v>1792</v>
      </c>
      <c r="C702" t="str">
        <f>"8256000"</f>
        <v>8256000</v>
      </c>
      <c r="D702" t="s">
        <v>1788</v>
      </c>
      <c r="E702" t="s">
        <v>1789</v>
      </c>
      <c r="F702" t="s">
        <v>1790</v>
      </c>
      <c r="I702" t="s">
        <v>184</v>
      </c>
      <c r="J702" t="s">
        <v>30</v>
      </c>
      <c r="K702" t="s">
        <v>185</v>
      </c>
      <c r="M702" t="s">
        <v>32</v>
      </c>
      <c r="N702" t="str">
        <f>"1/24/2006 12:00:00 AM"</f>
        <v>1/24/2006 12:00:00 AM</v>
      </c>
      <c r="O702" t="s">
        <v>1788</v>
      </c>
      <c r="T702" t="s">
        <v>1789</v>
      </c>
    </row>
    <row r="703" spans="1:20" x14ac:dyDescent="0.25">
      <c r="A703" t="str">
        <f>"3039616"</f>
        <v>3039616</v>
      </c>
      <c r="B703" t="s">
        <v>1793</v>
      </c>
      <c r="C703" t="str">
        <f>"25696000"</f>
        <v>25696000</v>
      </c>
      <c r="D703" t="s">
        <v>1794</v>
      </c>
      <c r="E703" t="s">
        <v>1795</v>
      </c>
      <c r="F703" t="s">
        <v>1796</v>
      </c>
      <c r="I703" t="s">
        <v>184</v>
      </c>
      <c r="J703" t="s">
        <v>30</v>
      </c>
      <c r="K703" t="s">
        <v>185</v>
      </c>
      <c r="M703" t="s">
        <v>32</v>
      </c>
      <c r="N703" t="str">
        <f>"3/22/2002 12:00:00 AM"</f>
        <v>3/22/2002 12:00:00 AM</v>
      </c>
      <c r="O703" t="s">
        <v>1794</v>
      </c>
      <c r="T703" t="s">
        <v>1795</v>
      </c>
    </row>
    <row r="704" spans="1:20" x14ac:dyDescent="0.25">
      <c r="A704" t="str">
        <f>"3039617"</f>
        <v>3039617</v>
      </c>
      <c r="B704" t="s">
        <v>1797</v>
      </c>
      <c r="C704" t="str">
        <f>"58469420"</f>
        <v>58469420</v>
      </c>
      <c r="D704" t="s">
        <v>1798</v>
      </c>
      <c r="E704" t="s">
        <v>1799</v>
      </c>
      <c r="F704" t="s">
        <v>1800</v>
      </c>
      <c r="I704" t="s">
        <v>184</v>
      </c>
      <c r="J704" t="s">
        <v>30</v>
      </c>
      <c r="K704" t="s">
        <v>185</v>
      </c>
      <c r="M704" t="s">
        <v>32</v>
      </c>
      <c r="N704" t="str">
        <f>"2/11/2010 12:00:00 AM"</f>
        <v>2/11/2010 12:00:00 AM</v>
      </c>
      <c r="O704" t="s">
        <v>1798</v>
      </c>
      <c r="T704" t="s">
        <v>1799</v>
      </c>
    </row>
    <row r="705" spans="1:20" x14ac:dyDescent="0.25">
      <c r="A705" t="str">
        <f>"3039686"</f>
        <v>3039686</v>
      </c>
      <c r="B705" t="s">
        <v>1801</v>
      </c>
      <c r="C705" t="str">
        <f>"58469420"</f>
        <v>58469420</v>
      </c>
      <c r="D705" t="s">
        <v>1798</v>
      </c>
      <c r="E705" t="s">
        <v>1799</v>
      </c>
      <c r="F705" t="s">
        <v>1800</v>
      </c>
      <c r="I705" t="s">
        <v>184</v>
      </c>
      <c r="J705" t="s">
        <v>30</v>
      </c>
      <c r="K705" t="s">
        <v>185</v>
      </c>
      <c r="M705" t="s">
        <v>32</v>
      </c>
      <c r="N705" t="str">
        <f>"2/11/2010 12:00:00 AM"</f>
        <v>2/11/2010 12:00:00 AM</v>
      </c>
      <c r="O705" t="s">
        <v>1798</v>
      </c>
      <c r="T705" t="s">
        <v>1799</v>
      </c>
    </row>
    <row r="706" spans="1:20" x14ac:dyDescent="0.25">
      <c r="A706" t="str">
        <f>"3039371"</f>
        <v>3039371</v>
      </c>
      <c r="B706" t="s">
        <v>1802</v>
      </c>
      <c r="C706" t="str">
        <f>"58469420"</f>
        <v>58469420</v>
      </c>
      <c r="D706" t="s">
        <v>1798</v>
      </c>
      <c r="E706" t="s">
        <v>1799</v>
      </c>
      <c r="F706" t="s">
        <v>1800</v>
      </c>
      <c r="I706" t="s">
        <v>184</v>
      </c>
      <c r="J706" t="s">
        <v>30</v>
      </c>
      <c r="K706" t="s">
        <v>185</v>
      </c>
      <c r="M706" t="s">
        <v>32</v>
      </c>
      <c r="N706" t="str">
        <f>"2/11/2010 12:00:00 AM"</f>
        <v>2/11/2010 12:00:00 AM</v>
      </c>
      <c r="O706" t="s">
        <v>1798</v>
      </c>
      <c r="T706" t="s">
        <v>1799</v>
      </c>
    </row>
    <row r="707" spans="1:20" x14ac:dyDescent="0.25">
      <c r="A707" t="str">
        <f>"3039339"</f>
        <v>3039339</v>
      </c>
      <c r="B707" t="s">
        <v>1803</v>
      </c>
      <c r="C707" t="str">
        <f>"58469420"</f>
        <v>58469420</v>
      </c>
      <c r="D707" t="s">
        <v>1798</v>
      </c>
      <c r="E707" t="s">
        <v>1799</v>
      </c>
      <c r="F707" t="s">
        <v>1800</v>
      </c>
      <c r="I707" t="s">
        <v>184</v>
      </c>
      <c r="J707" t="s">
        <v>30</v>
      </c>
      <c r="K707" t="s">
        <v>185</v>
      </c>
      <c r="M707" t="s">
        <v>32</v>
      </c>
      <c r="N707" t="str">
        <f>"2/11/2010 12:00:00 AM"</f>
        <v>2/11/2010 12:00:00 AM</v>
      </c>
      <c r="O707" t="s">
        <v>1798</v>
      </c>
      <c r="T707" t="s">
        <v>1799</v>
      </c>
    </row>
    <row r="708" spans="1:20" x14ac:dyDescent="0.25">
      <c r="A708" t="str">
        <f>"3040858"</f>
        <v>3040858</v>
      </c>
      <c r="B708" t="s">
        <v>1804</v>
      </c>
      <c r="C708" t="str">
        <f>"80740000"</f>
        <v>80740000</v>
      </c>
      <c r="D708" t="s">
        <v>1805</v>
      </c>
      <c r="E708" t="s">
        <v>1806</v>
      </c>
      <c r="F708" t="s">
        <v>1807</v>
      </c>
      <c r="I708" t="s">
        <v>184</v>
      </c>
      <c r="J708" t="s">
        <v>30</v>
      </c>
      <c r="K708" t="s">
        <v>1808</v>
      </c>
      <c r="M708" t="s">
        <v>32</v>
      </c>
      <c r="N708" t="str">
        <f>"1/4/2008 12:00:00 AM"</f>
        <v>1/4/2008 12:00:00 AM</v>
      </c>
      <c r="O708" t="s">
        <v>1805</v>
      </c>
      <c r="T708" t="s">
        <v>1806</v>
      </c>
    </row>
    <row r="709" spans="1:20" x14ac:dyDescent="0.25">
      <c r="A709" t="str">
        <f>"3057638"</f>
        <v>3057638</v>
      </c>
      <c r="B709" t="s">
        <v>1809</v>
      </c>
      <c r="C709" t="str">
        <f>"80740000"</f>
        <v>80740000</v>
      </c>
      <c r="D709" t="s">
        <v>1805</v>
      </c>
      <c r="E709" t="s">
        <v>1806</v>
      </c>
      <c r="F709" t="s">
        <v>1807</v>
      </c>
      <c r="I709" t="s">
        <v>184</v>
      </c>
      <c r="J709" t="s">
        <v>30</v>
      </c>
      <c r="K709" t="s">
        <v>1808</v>
      </c>
      <c r="M709" t="s">
        <v>32</v>
      </c>
      <c r="N709" t="str">
        <f>"1/4/2008 12:00:00 AM"</f>
        <v>1/4/2008 12:00:00 AM</v>
      </c>
      <c r="O709" t="s">
        <v>1805</v>
      </c>
      <c r="T709" t="s">
        <v>1806</v>
      </c>
    </row>
    <row r="710" spans="1:20" x14ac:dyDescent="0.25">
      <c r="A710" t="str">
        <f>"3057644"</f>
        <v>3057644</v>
      </c>
      <c r="B710" t="s">
        <v>1810</v>
      </c>
      <c r="C710" t="str">
        <f>"82527248"</f>
        <v>82527248</v>
      </c>
      <c r="D710" t="s">
        <v>1811</v>
      </c>
      <c r="E710" t="s">
        <v>1806</v>
      </c>
      <c r="F710" t="s">
        <v>1812</v>
      </c>
      <c r="I710" t="s">
        <v>184</v>
      </c>
      <c r="J710" t="s">
        <v>30</v>
      </c>
      <c r="K710" t="s">
        <v>185</v>
      </c>
      <c r="M710" t="s">
        <v>32</v>
      </c>
      <c r="N710" t="str">
        <f>"12/11/2006 12:00:00 AM"</f>
        <v>12/11/2006 12:00:00 AM</v>
      </c>
      <c r="O710" t="s">
        <v>1811</v>
      </c>
      <c r="T710" t="s">
        <v>1806</v>
      </c>
    </row>
    <row r="711" spans="1:20" x14ac:dyDescent="0.25">
      <c r="A711" t="str">
        <f>"3057636"</f>
        <v>3057636</v>
      </c>
      <c r="B711" t="s">
        <v>1813</v>
      </c>
      <c r="C711" t="str">
        <f>"82521511"</f>
        <v>82521511</v>
      </c>
      <c r="D711" t="s">
        <v>1814</v>
      </c>
      <c r="E711" t="s">
        <v>1815</v>
      </c>
      <c r="F711" t="s">
        <v>1816</v>
      </c>
      <c r="I711" t="s">
        <v>184</v>
      </c>
      <c r="J711" t="s">
        <v>30</v>
      </c>
      <c r="K711" t="s">
        <v>185</v>
      </c>
      <c r="M711" t="s">
        <v>32</v>
      </c>
      <c r="N711" t="str">
        <f>"10/7/2003 12:00:00 AM"</f>
        <v>10/7/2003 12:00:00 AM</v>
      </c>
      <c r="O711" t="s">
        <v>1814</v>
      </c>
      <c r="T711" t="s">
        <v>1815</v>
      </c>
    </row>
    <row r="712" spans="1:20" x14ac:dyDescent="0.25">
      <c r="A712" t="str">
        <f>"3057678"</f>
        <v>3057678</v>
      </c>
      <c r="B712" t="s">
        <v>1817</v>
      </c>
      <c r="C712" t="str">
        <f>"12546000"</f>
        <v>12546000</v>
      </c>
      <c r="D712" t="s">
        <v>1818</v>
      </c>
      <c r="F712" t="s">
        <v>1819</v>
      </c>
      <c r="I712" t="s">
        <v>184</v>
      </c>
      <c r="J712" t="s">
        <v>30</v>
      </c>
      <c r="K712" t="s">
        <v>185</v>
      </c>
      <c r="M712" t="s">
        <v>32</v>
      </c>
      <c r="N712" t="str">
        <f>"1/22/2004 12:00:00 AM"</f>
        <v>1/22/2004 12:00:00 AM</v>
      </c>
      <c r="O712" t="s">
        <v>1818</v>
      </c>
    </row>
    <row r="713" spans="1:20" x14ac:dyDescent="0.25">
      <c r="A713" t="str">
        <f>"3057635"</f>
        <v>3057635</v>
      </c>
      <c r="B713" t="s">
        <v>1820</v>
      </c>
      <c r="C713" t="str">
        <f>"82528738"</f>
        <v>82528738</v>
      </c>
      <c r="D713" t="s">
        <v>1821</v>
      </c>
      <c r="F713" t="s">
        <v>1822</v>
      </c>
      <c r="I713" t="s">
        <v>184</v>
      </c>
      <c r="J713" t="s">
        <v>30</v>
      </c>
      <c r="K713" t="s">
        <v>185</v>
      </c>
      <c r="M713" t="s">
        <v>32</v>
      </c>
      <c r="N713" t="str">
        <f>"1/15/2008 12:00:00 AM"</f>
        <v>1/15/2008 12:00:00 AM</v>
      </c>
      <c r="O713" t="s">
        <v>1821</v>
      </c>
    </row>
    <row r="714" spans="1:20" x14ac:dyDescent="0.25">
      <c r="A714" t="str">
        <f>"3063807"</f>
        <v>3063807</v>
      </c>
      <c r="B714" t="s">
        <v>1823</v>
      </c>
      <c r="C714" t="str">
        <f>"57192000"</f>
        <v>57192000</v>
      </c>
      <c r="D714" t="s">
        <v>1824</v>
      </c>
      <c r="F714" t="s">
        <v>1825</v>
      </c>
      <c r="I714" t="s">
        <v>184</v>
      </c>
      <c r="J714" t="s">
        <v>30</v>
      </c>
      <c r="K714" t="s">
        <v>185</v>
      </c>
      <c r="M714" t="s">
        <v>32</v>
      </c>
      <c r="N714" t="str">
        <f>"11/9/2005 12:00:00 AM"</f>
        <v>11/9/2005 12:00:00 AM</v>
      </c>
      <c r="O714" t="s">
        <v>1824</v>
      </c>
    </row>
    <row r="715" spans="1:20" x14ac:dyDescent="0.25">
      <c r="A715" t="str">
        <f>"3040973"</f>
        <v>3040973</v>
      </c>
      <c r="B715" t="s">
        <v>1826</v>
      </c>
      <c r="C715" t="str">
        <f>"24204250"</f>
        <v>24204250</v>
      </c>
      <c r="D715" t="s">
        <v>1827</v>
      </c>
      <c r="E715" t="s">
        <v>1828</v>
      </c>
      <c r="F715" t="s">
        <v>1829</v>
      </c>
      <c r="I715" t="s">
        <v>184</v>
      </c>
      <c r="J715" t="s">
        <v>30</v>
      </c>
      <c r="K715" t="s">
        <v>1808</v>
      </c>
      <c r="M715" t="s">
        <v>32</v>
      </c>
      <c r="N715" t="str">
        <f>"2/1/2006 12:00:00 AM"</f>
        <v>2/1/2006 12:00:00 AM</v>
      </c>
      <c r="O715" t="s">
        <v>1827</v>
      </c>
      <c r="T715" t="s">
        <v>1828</v>
      </c>
    </row>
    <row r="716" spans="1:20" x14ac:dyDescent="0.25">
      <c r="A716" t="str">
        <f>"3040432"</f>
        <v>3040432</v>
      </c>
      <c r="B716" t="s">
        <v>1830</v>
      </c>
      <c r="C716" t="str">
        <f>"24204250"</f>
        <v>24204250</v>
      </c>
      <c r="D716" t="s">
        <v>1827</v>
      </c>
      <c r="E716" t="s">
        <v>1828</v>
      </c>
      <c r="F716" t="s">
        <v>1829</v>
      </c>
      <c r="I716" t="s">
        <v>184</v>
      </c>
      <c r="J716" t="s">
        <v>30</v>
      </c>
      <c r="K716" t="s">
        <v>1808</v>
      </c>
      <c r="M716" t="s">
        <v>32</v>
      </c>
      <c r="N716" t="str">
        <f>"2/1/2006 12:00:00 AM"</f>
        <v>2/1/2006 12:00:00 AM</v>
      </c>
      <c r="O716" t="s">
        <v>1827</v>
      </c>
      <c r="T716" t="s">
        <v>1828</v>
      </c>
    </row>
    <row r="717" spans="1:20" x14ac:dyDescent="0.25">
      <c r="A717" t="str">
        <f>"3040852"</f>
        <v>3040852</v>
      </c>
      <c r="B717" t="s">
        <v>1831</v>
      </c>
      <c r="C717" t="str">
        <f>"23980000"</f>
        <v>23980000</v>
      </c>
      <c r="D717" t="s">
        <v>1832</v>
      </c>
      <c r="E717" t="s">
        <v>1833</v>
      </c>
      <c r="F717" t="s">
        <v>1834</v>
      </c>
      <c r="I717" t="s">
        <v>184</v>
      </c>
      <c r="J717" t="s">
        <v>30</v>
      </c>
      <c r="K717" t="s">
        <v>1835</v>
      </c>
      <c r="M717" t="s">
        <v>32</v>
      </c>
      <c r="N717" t="str">
        <f>"1/6/2006 12:00:00 AM"</f>
        <v>1/6/2006 12:00:00 AM</v>
      </c>
      <c r="O717" t="s">
        <v>1832</v>
      </c>
      <c r="T717" t="s">
        <v>1833</v>
      </c>
    </row>
    <row r="718" spans="1:20" x14ac:dyDescent="0.25">
      <c r="A718" t="str">
        <f>"3040764"</f>
        <v>3040764</v>
      </c>
      <c r="B718" t="s">
        <v>1836</v>
      </c>
      <c r="C718" t="str">
        <f>"71008000"</f>
        <v>71008000</v>
      </c>
      <c r="D718" t="s">
        <v>1837</v>
      </c>
      <c r="E718" t="s">
        <v>1838</v>
      </c>
      <c r="F718" t="s">
        <v>1839</v>
      </c>
      <c r="I718" t="s">
        <v>184</v>
      </c>
      <c r="J718" t="s">
        <v>30</v>
      </c>
      <c r="K718" t="s">
        <v>185</v>
      </c>
      <c r="M718" t="s">
        <v>32</v>
      </c>
      <c r="N718" t="str">
        <f>"5/24/2004 12:00:00 AM"</f>
        <v>5/24/2004 12:00:00 AM</v>
      </c>
      <c r="O718" t="s">
        <v>1837</v>
      </c>
      <c r="T718" t="s">
        <v>1838</v>
      </c>
    </row>
    <row r="719" spans="1:20" x14ac:dyDescent="0.25">
      <c r="A719" t="str">
        <f>"3040924"</f>
        <v>3040924</v>
      </c>
      <c r="B719" t="s">
        <v>1840</v>
      </c>
      <c r="C719" t="str">
        <f>"24126000"</f>
        <v>24126000</v>
      </c>
      <c r="D719" t="s">
        <v>1841</v>
      </c>
      <c r="F719" t="s">
        <v>1705</v>
      </c>
      <c r="I719" t="s">
        <v>184</v>
      </c>
      <c r="J719" t="s">
        <v>30</v>
      </c>
      <c r="K719" t="s">
        <v>663</v>
      </c>
      <c r="M719" t="s">
        <v>32</v>
      </c>
      <c r="N719" t="str">
        <f>"8/13/2003 12:00:00 AM"</f>
        <v>8/13/2003 12:00:00 AM</v>
      </c>
      <c r="O719" t="s">
        <v>1841</v>
      </c>
    </row>
    <row r="720" spans="1:20" x14ac:dyDescent="0.25">
      <c r="A720" t="str">
        <f>"3040308"</f>
        <v>3040308</v>
      </c>
      <c r="B720" t="s">
        <v>1842</v>
      </c>
      <c r="C720" t="str">
        <f>"24126000"</f>
        <v>24126000</v>
      </c>
      <c r="D720" t="s">
        <v>1841</v>
      </c>
      <c r="F720" t="s">
        <v>1705</v>
      </c>
      <c r="I720" t="s">
        <v>184</v>
      </c>
      <c r="J720" t="s">
        <v>30</v>
      </c>
      <c r="K720" t="s">
        <v>663</v>
      </c>
      <c r="M720" t="s">
        <v>32</v>
      </c>
      <c r="N720" t="str">
        <f>"8/13/2003 12:00:00 AM"</f>
        <v>8/13/2003 12:00:00 AM</v>
      </c>
      <c r="O720" t="s">
        <v>1841</v>
      </c>
    </row>
    <row r="721" spans="1:20" x14ac:dyDescent="0.25">
      <c r="A721" t="str">
        <f>"3040312"</f>
        <v>3040312</v>
      </c>
      <c r="B721" t="s">
        <v>1843</v>
      </c>
      <c r="C721" t="str">
        <f>"24126000"</f>
        <v>24126000</v>
      </c>
      <c r="D721" t="s">
        <v>1841</v>
      </c>
      <c r="F721" t="s">
        <v>1705</v>
      </c>
      <c r="I721" t="s">
        <v>184</v>
      </c>
      <c r="J721" t="s">
        <v>30</v>
      </c>
      <c r="K721" t="s">
        <v>663</v>
      </c>
      <c r="M721" t="s">
        <v>32</v>
      </c>
      <c r="N721" t="str">
        <f>"8/13/2003 12:00:00 AM"</f>
        <v>8/13/2003 12:00:00 AM</v>
      </c>
      <c r="O721" t="s">
        <v>1841</v>
      </c>
    </row>
    <row r="722" spans="1:20" x14ac:dyDescent="0.25">
      <c r="A722" t="str">
        <f>"3040268"</f>
        <v>3040268</v>
      </c>
      <c r="B722" t="s">
        <v>1844</v>
      </c>
      <c r="C722" t="str">
        <f>"24126000"</f>
        <v>24126000</v>
      </c>
      <c r="D722" t="s">
        <v>1841</v>
      </c>
      <c r="F722" t="s">
        <v>1705</v>
      </c>
      <c r="I722" t="s">
        <v>184</v>
      </c>
      <c r="J722" t="s">
        <v>30</v>
      </c>
      <c r="K722" t="s">
        <v>663</v>
      </c>
      <c r="M722" t="s">
        <v>32</v>
      </c>
      <c r="N722" t="str">
        <f>"8/13/2003 12:00:00 AM"</f>
        <v>8/13/2003 12:00:00 AM</v>
      </c>
      <c r="O722" t="s">
        <v>1841</v>
      </c>
    </row>
    <row r="723" spans="1:20" x14ac:dyDescent="0.25">
      <c r="A723" t="str">
        <f>"3040859"</f>
        <v>3040859</v>
      </c>
      <c r="B723" t="s">
        <v>1845</v>
      </c>
      <c r="C723" t="str">
        <f>"75160000"</f>
        <v>75160000</v>
      </c>
      <c r="D723" t="s">
        <v>1846</v>
      </c>
      <c r="E723" t="s">
        <v>1847</v>
      </c>
      <c r="F723" t="s">
        <v>1848</v>
      </c>
      <c r="I723" t="s">
        <v>184</v>
      </c>
      <c r="J723" t="s">
        <v>30</v>
      </c>
      <c r="K723" t="s">
        <v>185</v>
      </c>
      <c r="M723" t="s">
        <v>32</v>
      </c>
      <c r="N723" t="str">
        <f>"6/22/2004 12:00:00 AM"</f>
        <v>6/22/2004 12:00:00 AM</v>
      </c>
      <c r="O723" t="s">
        <v>1846</v>
      </c>
      <c r="T723" t="s">
        <v>1847</v>
      </c>
    </row>
    <row r="724" spans="1:20" x14ac:dyDescent="0.25">
      <c r="A724" t="str">
        <f>"3040754"</f>
        <v>3040754</v>
      </c>
      <c r="B724" t="s">
        <v>1849</v>
      </c>
      <c r="C724" t="str">
        <f>"38642000"</f>
        <v>38642000</v>
      </c>
      <c r="D724" t="s">
        <v>1850</v>
      </c>
      <c r="F724" t="s">
        <v>1851</v>
      </c>
      <c r="I724" t="s">
        <v>184</v>
      </c>
      <c r="J724" t="s">
        <v>30</v>
      </c>
      <c r="K724" t="s">
        <v>185</v>
      </c>
      <c r="M724" t="s">
        <v>32</v>
      </c>
      <c r="N724" t="str">
        <f>"6/20/2003 12:00:00 AM"</f>
        <v>6/20/2003 12:00:00 AM</v>
      </c>
      <c r="O724" t="s">
        <v>1850</v>
      </c>
    </row>
    <row r="725" spans="1:20" x14ac:dyDescent="0.25">
      <c r="A725" t="str">
        <f>"3040761"</f>
        <v>3040761</v>
      </c>
      <c r="B725" t="s">
        <v>1852</v>
      </c>
      <c r="C725" t="str">
        <f>"17276000"</f>
        <v>17276000</v>
      </c>
      <c r="D725" t="s">
        <v>1853</v>
      </c>
      <c r="F725" t="s">
        <v>1854</v>
      </c>
      <c r="I725" t="s">
        <v>184</v>
      </c>
      <c r="J725" t="s">
        <v>30</v>
      </c>
      <c r="K725" t="s">
        <v>185</v>
      </c>
      <c r="M725" t="s">
        <v>32</v>
      </c>
      <c r="N725" t="str">
        <f>"6/30/2003 12:00:00 AM"</f>
        <v>6/30/2003 12:00:00 AM</v>
      </c>
      <c r="O725" t="s">
        <v>1853</v>
      </c>
    </row>
    <row r="726" spans="1:20" x14ac:dyDescent="0.25">
      <c r="A726" t="str">
        <f>"3040860"</f>
        <v>3040860</v>
      </c>
      <c r="B726" t="s">
        <v>1855</v>
      </c>
      <c r="C726" t="str">
        <f>"17308000"</f>
        <v>17308000</v>
      </c>
      <c r="D726" t="s">
        <v>1856</v>
      </c>
      <c r="E726" t="s">
        <v>1857</v>
      </c>
      <c r="F726" t="s">
        <v>1858</v>
      </c>
      <c r="I726" t="s">
        <v>184</v>
      </c>
      <c r="J726" t="s">
        <v>30</v>
      </c>
      <c r="K726" t="s">
        <v>185</v>
      </c>
      <c r="M726" t="s">
        <v>32</v>
      </c>
      <c r="N726" t="str">
        <f t="shared" ref="N726:N731" si="31">"3/22/2002 12:00:00 AM"</f>
        <v>3/22/2002 12:00:00 AM</v>
      </c>
      <c r="O726" t="s">
        <v>1856</v>
      </c>
      <c r="T726" t="s">
        <v>1857</v>
      </c>
    </row>
    <row r="727" spans="1:20" x14ac:dyDescent="0.25">
      <c r="A727" t="str">
        <f>"3040248"</f>
        <v>3040248</v>
      </c>
      <c r="B727" t="s">
        <v>1859</v>
      </c>
      <c r="C727" t="str">
        <f>"20540000"</f>
        <v>20540000</v>
      </c>
      <c r="D727" t="s">
        <v>1860</v>
      </c>
      <c r="F727" t="s">
        <v>1861</v>
      </c>
      <c r="I727" t="s">
        <v>29</v>
      </c>
      <c r="J727" t="s">
        <v>30</v>
      </c>
      <c r="K727" t="s">
        <v>31</v>
      </c>
      <c r="M727" t="s">
        <v>32</v>
      </c>
      <c r="N727" t="str">
        <f t="shared" si="31"/>
        <v>3/22/2002 12:00:00 AM</v>
      </c>
      <c r="O727" t="s">
        <v>1860</v>
      </c>
    </row>
    <row r="728" spans="1:20" x14ac:dyDescent="0.25">
      <c r="A728" t="str">
        <f>"3040291"</f>
        <v>3040291</v>
      </c>
      <c r="B728" t="s">
        <v>1862</v>
      </c>
      <c r="C728" t="str">
        <f>"20540000"</f>
        <v>20540000</v>
      </c>
      <c r="D728" t="s">
        <v>1860</v>
      </c>
      <c r="F728" t="s">
        <v>1861</v>
      </c>
      <c r="I728" t="s">
        <v>29</v>
      </c>
      <c r="J728" t="s">
        <v>30</v>
      </c>
      <c r="K728" t="s">
        <v>31</v>
      </c>
      <c r="M728" t="s">
        <v>32</v>
      </c>
      <c r="N728" t="str">
        <f t="shared" si="31"/>
        <v>3/22/2002 12:00:00 AM</v>
      </c>
      <c r="O728" t="s">
        <v>1860</v>
      </c>
    </row>
    <row r="729" spans="1:20" x14ac:dyDescent="0.25">
      <c r="A729" t="str">
        <f>"3040295"</f>
        <v>3040295</v>
      </c>
      <c r="B729" t="s">
        <v>1863</v>
      </c>
      <c r="C729" t="str">
        <f>"20540000"</f>
        <v>20540000</v>
      </c>
      <c r="D729" t="s">
        <v>1860</v>
      </c>
      <c r="F729" t="s">
        <v>1861</v>
      </c>
      <c r="I729" t="s">
        <v>29</v>
      </c>
      <c r="J729" t="s">
        <v>30</v>
      </c>
      <c r="K729" t="s">
        <v>31</v>
      </c>
      <c r="M729" t="s">
        <v>32</v>
      </c>
      <c r="N729" t="str">
        <f t="shared" si="31"/>
        <v>3/22/2002 12:00:00 AM</v>
      </c>
      <c r="O729" t="s">
        <v>1860</v>
      </c>
    </row>
    <row r="730" spans="1:20" x14ac:dyDescent="0.25">
      <c r="A730" t="str">
        <f>"3076924"</f>
        <v>3076924</v>
      </c>
      <c r="B730" t="s">
        <v>1864</v>
      </c>
      <c r="C730" t="str">
        <f>"20540000"</f>
        <v>20540000</v>
      </c>
      <c r="D730" t="s">
        <v>1860</v>
      </c>
      <c r="F730" t="s">
        <v>1861</v>
      </c>
      <c r="I730" t="s">
        <v>29</v>
      </c>
      <c r="J730" t="s">
        <v>30</v>
      </c>
      <c r="K730" t="s">
        <v>31</v>
      </c>
      <c r="M730" t="s">
        <v>32</v>
      </c>
      <c r="N730" t="str">
        <f t="shared" si="31"/>
        <v>3/22/2002 12:00:00 AM</v>
      </c>
      <c r="O730" t="s">
        <v>1860</v>
      </c>
    </row>
    <row r="731" spans="1:20" x14ac:dyDescent="0.25">
      <c r="A731" t="str">
        <f>"3059094"</f>
        <v>3059094</v>
      </c>
      <c r="B731" t="s">
        <v>1865</v>
      </c>
      <c r="C731" t="str">
        <f>"20540000"</f>
        <v>20540000</v>
      </c>
      <c r="D731" t="s">
        <v>1860</v>
      </c>
      <c r="F731" t="s">
        <v>1861</v>
      </c>
      <c r="I731" t="s">
        <v>29</v>
      </c>
      <c r="J731" t="s">
        <v>30</v>
      </c>
      <c r="K731" t="s">
        <v>31</v>
      </c>
      <c r="M731" t="s">
        <v>32</v>
      </c>
      <c r="N731" t="str">
        <f t="shared" si="31"/>
        <v>3/22/2002 12:00:00 AM</v>
      </c>
      <c r="O731" t="s">
        <v>1860</v>
      </c>
    </row>
    <row r="732" spans="1:20" x14ac:dyDescent="0.25">
      <c r="A732" t="str">
        <f>"3040358"</f>
        <v>3040358</v>
      </c>
      <c r="B732" t="s">
        <v>1866</v>
      </c>
      <c r="C732" t="str">
        <f>"82525936"</f>
        <v>82525936</v>
      </c>
      <c r="D732" t="s">
        <v>1867</v>
      </c>
      <c r="F732" t="s">
        <v>1868</v>
      </c>
      <c r="I732" t="s">
        <v>184</v>
      </c>
      <c r="J732" t="s">
        <v>30</v>
      </c>
      <c r="K732" t="s">
        <v>185</v>
      </c>
      <c r="M732" t="s">
        <v>32</v>
      </c>
      <c r="N732" t="str">
        <f>"1/25/2007 12:00:00 AM"</f>
        <v>1/25/2007 12:00:00 AM</v>
      </c>
      <c r="O732" t="s">
        <v>1867</v>
      </c>
    </row>
    <row r="733" spans="1:20" x14ac:dyDescent="0.25">
      <c r="A733" t="str">
        <f>"3040868"</f>
        <v>3040868</v>
      </c>
      <c r="B733" t="s">
        <v>1869</v>
      </c>
      <c r="C733" t="str">
        <f>"82525936"</f>
        <v>82525936</v>
      </c>
      <c r="D733" t="s">
        <v>1867</v>
      </c>
      <c r="F733" t="s">
        <v>1868</v>
      </c>
      <c r="I733" t="s">
        <v>184</v>
      </c>
      <c r="J733" t="s">
        <v>30</v>
      </c>
      <c r="K733" t="s">
        <v>185</v>
      </c>
      <c r="M733" t="s">
        <v>32</v>
      </c>
      <c r="N733" t="str">
        <f>"1/25/2007 12:00:00 AM"</f>
        <v>1/25/2007 12:00:00 AM</v>
      </c>
      <c r="O733" t="s">
        <v>1867</v>
      </c>
    </row>
    <row r="734" spans="1:20" x14ac:dyDescent="0.25">
      <c r="A734" t="str">
        <f>"3037335"</f>
        <v>3037335</v>
      </c>
      <c r="B734" t="s">
        <v>1870</v>
      </c>
      <c r="C734" t="str">
        <f>"82526784"</f>
        <v>82526784</v>
      </c>
      <c r="D734" t="s">
        <v>1871</v>
      </c>
      <c r="E734" t="s">
        <v>1872</v>
      </c>
      <c r="F734" t="s">
        <v>1873</v>
      </c>
      <c r="I734" t="s">
        <v>184</v>
      </c>
      <c r="J734" t="s">
        <v>30</v>
      </c>
      <c r="K734" t="s">
        <v>185</v>
      </c>
      <c r="M734" t="s">
        <v>32</v>
      </c>
      <c r="N734" t="str">
        <f>"2/20/2007 12:00:00 AM"</f>
        <v>2/20/2007 12:00:00 AM</v>
      </c>
      <c r="O734" t="s">
        <v>1871</v>
      </c>
      <c r="T734" t="s">
        <v>1872</v>
      </c>
    </row>
    <row r="735" spans="1:20" x14ac:dyDescent="0.25">
      <c r="A735" t="str">
        <f>"3039600"</f>
        <v>3039600</v>
      </c>
      <c r="B735" t="s">
        <v>1874</v>
      </c>
      <c r="C735" t="str">
        <f>"46800880"</f>
        <v>46800880</v>
      </c>
      <c r="D735" t="s">
        <v>1875</v>
      </c>
      <c r="F735" t="s">
        <v>1876</v>
      </c>
      <c r="I735" t="s">
        <v>184</v>
      </c>
      <c r="J735" t="s">
        <v>30</v>
      </c>
      <c r="K735" t="s">
        <v>185</v>
      </c>
      <c r="M735" t="s">
        <v>32</v>
      </c>
      <c r="N735" t="str">
        <f>"3/25/2002 12:00:00 AM"</f>
        <v>3/25/2002 12:00:00 AM</v>
      </c>
      <c r="O735" t="s">
        <v>1875</v>
      </c>
    </row>
    <row r="736" spans="1:20" x14ac:dyDescent="0.25">
      <c r="A736" t="str">
        <f>"3040737"</f>
        <v>3040737</v>
      </c>
      <c r="B736" t="s">
        <v>1877</v>
      </c>
      <c r="C736" t="str">
        <f>"2726250"</f>
        <v>2726250</v>
      </c>
      <c r="D736" t="s">
        <v>1878</v>
      </c>
      <c r="E736" t="s">
        <v>1879</v>
      </c>
      <c r="F736" t="s">
        <v>1880</v>
      </c>
      <c r="I736" t="s">
        <v>184</v>
      </c>
      <c r="J736" t="s">
        <v>30</v>
      </c>
      <c r="K736" t="s">
        <v>185</v>
      </c>
      <c r="M736" t="s">
        <v>32</v>
      </c>
      <c r="N736" t="str">
        <f>"6/17/2009 12:00:00 AM"</f>
        <v>6/17/2009 12:00:00 AM</v>
      </c>
      <c r="O736" t="s">
        <v>1878</v>
      </c>
      <c r="T736" t="s">
        <v>1879</v>
      </c>
    </row>
    <row r="737" spans="1:20" x14ac:dyDescent="0.25">
      <c r="A737" t="str">
        <f>"3040708"</f>
        <v>3040708</v>
      </c>
      <c r="B737" t="s">
        <v>1881</v>
      </c>
      <c r="C737" t="str">
        <f>"53880000"</f>
        <v>53880000</v>
      </c>
      <c r="D737" t="s">
        <v>1882</v>
      </c>
      <c r="E737" t="s">
        <v>1883</v>
      </c>
      <c r="F737" t="s">
        <v>1884</v>
      </c>
      <c r="I737" t="s">
        <v>184</v>
      </c>
      <c r="J737" t="s">
        <v>30</v>
      </c>
      <c r="K737" t="s">
        <v>1885</v>
      </c>
      <c r="M737" t="s">
        <v>32</v>
      </c>
      <c r="N737" t="str">
        <f>"2/15/2005 12:00:00 AM"</f>
        <v>2/15/2005 12:00:00 AM</v>
      </c>
      <c r="O737" t="s">
        <v>1882</v>
      </c>
      <c r="T737" t="s">
        <v>1883</v>
      </c>
    </row>
    <row r="738" spans="1:20" x14ac:dyDescent="0.25">
      <c r="A738" t="str">
        <f>"3040410"</f>
        <v>3040410</v>
      </c>
      <c r="B738" t="s">
        <v>1886</v>
      </c>
      <c r="C738" t="str">
        <f>"28916000"</f>
        <v>28916000</v>
      </c>
      <c r="D738" t="s">
        <v>1887</v>
      </c>
      <c r="E738" t="s">
        <v>1888</v>
      </c>
      <c r="F738" t="s">
        <v>1889</v>
      </c>
      <c r="I738" t="s">
        <v>184</v>
      </c>
      <c r="J738" t="s">
        <v>30</v>
      </c>
      <c r="K738" t="s">
        <v>185</v>
      </c>
      <c r="M738" t="s">
        <v>32</v>
      </c>
      <c r="N738" t="str">
        <f>"11/10/2005 12:00:00 AM"</f>
        <v>11/10/2005 12:00:00 AM</v>
      </c>
      <c r="O738" t="s">
        <v>1887</v>
      </c>
      <c r="T738" t="s">
        <v>1888</v>
      </c>
    </row>
    <row r="739" spans="1:20" x14ac:dyDescent="0.25">
      <c r="A739" t="str">
        <f>"3037287"</f>
        <v>3037287</v>
      </c>
      <c r="B739" t="s">
        <v>1890</v>
      </c>
      <c r="C739" t="str">
        <f>"38180000"</f>
        <v>38180000</v>
      </c>
      <c r="D739" t="s">
        <v>1891</v>
      </c>
      <c r="E739" t="s">
        <v>1892</v>
      </c>
      <c r="F739" t="s">
        <v>1893</v>
      </c>
      <c r="I739" t="s">
        <v>184</v>
      </c>
      <c r="J739" t="s">
        <v>30</v>
      </c>
      <c r="K739" t="s">
        <v>185</v>
      </c>
      <c r="M739" t="s">
        <v>32</v>
      </c>
      <c r="N739" t="str">
        <f>"3/25/2002 12:00:00 AM"</f>
        <v>3/25/2002 12:00:00 AM</v>
      </c>
      <c r="O739" t="s">
        <v>1891</v>
      </c>
      <c r="T739" t="s">
        <v>1892</v>
      </c>
    </row>
    <row r="740" spans="1:20" x14ac:dyDescent="0.25">
      <c r="A740" t="str">
        <f>"3037200"</f>
        <v>3037200</v>
      </c>
      <c r="B740" t="s">
        <v>1894</v>
      </c>
      <c r="C740" t="str">
        <f>"38180000"</f>
        <v>38180000</v>
      </c>
      <c r="D740" t="s">
        <v>1891</v>
      </c>
      <c r="E740" t="s">
        <v>1892</v>
      </c>
      <c r="F740" t="s">
        <v>1893</v>
      </c>
      <c r="I740" t="s">
        <v>184</v>
      </c>
      <c r="J740" t="s">
        <v>30</v>
      </c>
      <c r="K740" t="s">
        <v>185</v>
      </c>
      <c r="M740" t="s">
        <v>32</v>
      </c>
      <c r="N740" t="str">
        <f>"3/25/2002 12:00:00 AM"</f>
        <v>3/25/2002 12:00:00 AM</v>
      </c>
      <c r="O740" t="s">
        <v>1891</v>
      </c>
      <c r="T740" t="s">
        <v>1892</v>
      </c>
    </row>
    <row r="741" spans="1:20" x14ac:dyDescent="0.25">
      <c r="A741" t="str">
        <f>"3037386"</f>
        <v>3037386</v>
      </c>
      <c r="B741" t="s">
        <v>1895</v>
      </c>
      <c r="C741" t="str">
        <f>"38180000"</f>
        <v>38180000</v>
      </c>
      <c r="D741" t="s">
        <v>1891</v>
      </c>
      <c r="E741" t="s">
        <v>1892</v>
      </c>
      <c r="F741" t="s">
        <v>1893</v>
      </c>
      <c r="I741" t="s">
        <v>184</v>
      </c>
      <c r="J741" t="s">
        <v>30</v>
      </c>
      <c r="K741" t="s">
        <v>185</v>
      </c>
      <c r="M741" t="s">
        <v>32</v>
      </c>
      <c r="N741" t="str">
        <f>"3/25/2002 12:00:00 AM"</f>
        <v>3/25/2002 12:00:00 AM</v>
      </c>
      <c r="O741" t="s">
        <v>1891</v>
      </c>
      <c r="T741" t="s">
        <v>1892</v>
      </c>
    </row>
    <row r="742" spans="1:20" x14ac:dyDescent="0.25">
      <c r="A742" t="str">
        <f>"3040826"</f>
        <v>3040826</v>
      </c>
      <c r="B742" t="s">
        <v>1896</v>
      </c>
      <c r="C742" t="str">
        <f>"82520035"</f>
        <v>82520035</v>
      </c>
      <c r="D742" t="s">
        <v>1897</v>
      </c>
      <c r="F742" t="s">
        <v>1898</v>
      </c>
      <c r="I742" t="s">
        <v>471</v>
      </c>
      <c r="J742" t="s">
        <v>30</v>
      </c>
      <c r="K742" t="s">
        <v>1899</v>
      </c>
      <c r="M742" t="s">
        <v>32</v>
      </c>
      <c r="N742" t="str">
        <f>"2/21/2005 12:00:00 AM"</f>
        <v>2/21/2005 12:00:00 AM</v>
      </c>
      <c r="O742" t="s">
        <v>1897</v>
      </c>
    </row>
    <row r="743" spans="1:20" x14ac:dyDescent="0.25">
      <c r="A743" t="str">
        <f>"3037329"</f>
        <v>3037329</v>
      </c>
      <c r="B743" t="s">
        <v>1900</v>
      </c>
      <c r="C743" t="str">
        <f>"82516637"</f>
        <v>82516637</v>
      </c>
      <c r="D743" t="s">
        <v>1901</v>
      </c>
      <c r="F743" t="s">
        <v>1902</v>
      </c>
      <c r="I743" t="s">
        <v>184</v>
      </c>
      <c r="J743" t="s">
        <v>30</v>
      </c>
      <c r="K743" t="s">
        <v>1903</v>
      </c>
      <c r="M743" t="s">
        <v>32</v>
      </c>
      <c r="N743" t="str">
        <f>"8/18/2006 12:00:00 AM"</f>
        <v>8/18/2006 12:00:00 AM</v>
      </c>
      <c r="O743" t="s">
        <v>1901</v>
      </c>
    </row>
    <row r="744" spans="1:20" x14ac:dyDescent="0.25">
      <c r="A744" t="str">
        <f>"3037230"</f>
        <v>3037230</v>
      </c>
      <c r="B744" t="s">
        <v>1904</v>
      </c>
      <c r="C744" t="str">
        <f>"53014000"</f>
        <v>53014000</v>
      </c>
      <c r="D744" t="s">
        <v>1905</v>
      </c>
      <c r="F744" t="s">
        <v>1906</v>
      </c>
      <c r="I744" t="s">
        <v>184</v>
      </c>
      <c r="J744" t="s">
        <v>30</v>
      </c>
      <c r="K744" t="s">
        <v>1907</v>
      </c>
      <c r="M744" t="s">
        <v>32</v>
      </c>
      <c r="N744" t="str">
        <f>"1/4/2008 12:00:00 AM"</f>
        <v>1/4/2008 12:00:00 AM</v>
      </c>
      <c r="O744" t="s">
        <v>1905</v>
      </c>
    </row>
    <row r="745" spans="1:20" x14ac:dyDescent="0.25">
      <c r="A745" t="str">
        <f>"3037267"</f>
        <v>3037267</v>
      </c>
      <c r="B745" t="s">
        <v>1908</v>
      </c>
      <c r="C745" t="str">
        <f>"82527517"</f>
        <v>82527517</v>
      </c>
      <c r="D745" t="s">
        <v>1909</v>
      </c>
      <c r="F745" t="s">
        <v>1910</v>
      </c>
      <c r="I745" t="s">
        <v>184</v>
      </c>
      <c r="J745" t="s">
        <v>30</v>
      </c>
      <c r="K745" t="s">
        <v>185</v>
      </c>
      <c r="M745" t="s">
        <v>32</v>
      </c>
      <c r="N745" t="str">
        <f>"2/8/2007 12:00:00 AM"</f>
        <v>2/8/2007 12:00:00 AM</v>
      </c>
      <c r="O745" t="s">
        <v>1909</v>
      </c>
    </row>
    <row r="746" spans="1:20" x14ac:dyDescent="0.25">
      <c r="A746" t="str">
        <f>"3037405"</f>
        <v>3037405</v>
      </c>
      <c r="B746" t="s">
        <v>1911</v>
      </c>
      <c r="C746" t="str">
        <f>"42727880"</f>
        <v>42727880</v>
      </c>
      <c r="D746" t="s">
        <v>1912</v>
      </c>
      <c r="E746" t="s">
        <v>1913</v>
      </c>
      <c r="F746" t="s">
        <v>1914</v>
      </c>
      <c r="I746" t="s">
        <v>184</v>
      </c>
      <c r="J746" t="s">
        <v>30</v>
      </c>
      <c r="K746" t="s">
        <v>1915</v>
      </c>
      <c r="M746" t="s">
        <v>32</v>
      </c>
      <c r="N746" t="str">
        <f>"2/9/2010 12:00:00 AM"</f>
        <v>2/9/2010 12:00:00 AM</v>
      </c>
      <c r="O746" t="s">
        <v>1912</v>
      </c>
      <c r="T746" t="s">
        <v>1913</v>
      </c>
    </row>
    <row r="747" spans="1:20" x14ac:dyDescent="0.25">
      <c r="A747" t="str">
        <f>"3037310"</f>
        <v>3037310</v>
      </c>
      <c r="B747" t="s">
        <v>1916</v>
      </c>
      <c r="C747" t="str">
        <f>"67762000"</f>
        <v>67762000</v>
      </c>
      <c r="D747" t="s">
        <v>1917</v>
      </c>
      <c r="E747" t="s">
        <v>1918</v>
      </c>
      <c r="F747" t="s">
        <v>1919</v>
      </c>
      <c r="I747" t="s">
        <v>184</v>
      </c>
      <c r="J747" t="s">
        <v>30</v>
      </c>
      <c r="K747" t="s">
        <v>185</v>
      </c>
      <c r="M747" t="s">
        <v>32</v>
      </c>
      <c r="N747" t="str">
        <f>"3/25/2002 12:00:00 AM"</f>
        <v>3/25/2002 12:00:00 AM</v>
      </c>
      <c r="O747" t="s">
        <v>1917</v>
      </c>
      <c r="T747" t="s">
        <v>1918</v>
      </c>
    </row>
    <row r="748" spans="1:20" x14ac:dyDescent="0.25">
      <c r="A748" t="str">
        <f>"3037300"</f>
        <v>3037300</v>
      </c>
      <c r="B748" t="s">
        <v>1920</v>
      </c>
      <c r="C748" t="str">
        <f>"82525934"</f>
        <v>82525934</v>
      </c>
      <c r="D748" t="s">
        <v>1921</v>
      </c>
      <c r="F748" t="s">
        <v>1922</v>
      </c>
      <c r="I748" t="s">
        <v>184</v>
      </c>
      <c r="J748" t="s">
        <v>30</v>
      </c>
      <c r="K748" t="s">
        <v>185</v>
      </c>
      <c r="M748" t="s">
        <v>32</v>
      </c>
      <c r="N748" t="str">
        <f>"1/11/2010 12:00:00 AM"</f>
        <v>1/11/2010 12:00:00 AM</v>
      </c>
      <c r="O748" t="s">
        <v>1921</v>
      </c>
    </row>
    <row r="749" spans="1:20" x14ac:dyDescent="0.25">
      <c r="A749" t="str">
        <f>"3037349"</f>
        <v>3037349</v>
      </c>
      <c r="B749" t="s">
        <v>1923</v>
      </c>
      <c r="C749" t="str">
        <f>"13591000"</f>
        <v>13591000</v>
      </c>
      <c r="D749" t="s">
        <v>1924</v>
      </c>
      <c r="E749" t="s">
        <v>1925</v>
      </c>
      <c r="F749" t="s">
        <v>1926</v>
      </c>
      <c r="I749" t="s">
        <v>184</v>
      </c>
      <c r="J749" t="s">
        <v>30</v>
      </c>
      <c r="K749" t="s">
        <v>1927</v>
      </c>
      <c r="M749" t="s">
        <v>32</v>
      </c>
      <c r="N749" t="str">
        <f>"1/3/2006 12:00:00 AM"</f>
        <v>1/3/2006 12:00:00 AM</v>
      </c>
      <c r="O749" t="s">
        <v>1924</v>
      </c>
      <c r="T749" t="s">
        <v>1925</v>
      </c>
    </row>
    <row r="750" spans="1:20" x14ac:dyDescent="0.25">
      <c r="A750" t="str">
        <f>"3040817"</f>
        <v>3040817</v>
      </c>
      <c r="B750" t="s">
        <v>1928</v>
      </c>
      <c r="C750" t="str">
        <f>"13591000"</f>
        <v>13591000</v>
      </c>
      <c r="D750" t="s">
        <v>1924</v>
      </c>
      <c r="E750" t="s">
        <v>1925</v>
      </c>
      <c r="F750" t="s">
        <v>1926</v>
      </c>
      <c r="I750" t="s">
        <v>184</v>
      </c>
      <c r="J750" t="s">
        <v>30</v>
      </c>
      <c r="K750" t="s">
        <v>1927</v>
      </c>
      <c r="M750" t="s">
        <v>32</v>
      </c>
      <c r="N750" t="str">
        <f>"1/3/2006 12:00:00 AM"</f>
        <v>1/3/2006 12:00:00 AM</v>
      </c>
      <c r="O750" t="s">
        <v>1924</v>
      </c>
      <c r="T750" t="s">
        <v>1925</v>
      </c>
    </row>
    <row r="751" spans="1:20" x14ac:dyDescent="0.25">
      <c r="A751" t="str">
        <f>"3066758"</f>
        <v>3066758</v>
      </c>
      <c r="B751" t="s">
        <v>1929</v>
      </c>
      <c r="C751" t="str">
        <f>"51684750"</f>
        <v>51684750</v>
      </c>
      <c r="D751" t="s">
        <v>1930</v>
      </c>
      <c r="E751" t="s">
        <v>1931</v>
      </c>
      <c r="F751" t="s">
        <v>1932</v>
      </c>
      <c r="I751" t="s">
        <v>184</v>
      </c>
      <c r="J751" t="s">
        <v>30</v>
      </c>
      <c r="K751" t="s">
        <v>185</v>
      </c>
      <c r="M751" t="s">
        <v>32</v>
      </c>
      <c r="N751" t="str">
        <f>"3/4/2004 12:00:00 AM"</f>
        <v>3/4/2004 12:00:00 AM</v>
      </c>
      <c r="O751" t="s">
        <v>1930</v>
      </c>
      <c r="T751" t="s">
        <v>1931</v>
      </c>
    </row>
    <row r="752" spans="1:20" x14ac:dyDescent="0.25">
      <c r="A752" t="str">
        <f>"3037381"</f>
        <v>3037381</v>
      </c>
      <c r="B752" t="s">
        <v>1933</v>
      </c>
      <c r="C752" t="str">
        <f>"82517294"</f>
        <v>82517294</v>
      </c>
      <c r="D752" t="s">
        <v>1934</v>
      </c>
      <c r="F752" t="s">
        <v>1935</v>
      </c>
      <c r="I752" t="s">
        <v>184</v>
      </c>
      <c r="J752" t="s">
        <v>30</v>
      </c>
      <c r="K752" t="s">
        <v>1936</v>
      </c>
      <c r="M752" t="s">
        <v>32</v>
      </c>
      <c r="N752" t="str">
        <f>"1/11/2006 12:00:00 AM"</f>
        <v>1/11/2006 12:00:00 AM</v>
      </c>
      <c r="O752" t="s">
        <v>1934</v>
      </c>
    </row>
    <row r="753" spans="1:20" x14ac:dyDescent="0.25">
      <c r="A753" t="str">
        <f>"3037319"</f>
        <v>3037319</v>
      </c>
      <c r="B753" t="s">
        <v>1937</v>
      </c>
      <c r="C753" t="str">
        <f>"62449000"</f>
        <v>62449000</v>
      </c>
      <c r="D753" t="s">
        <v>1938</v>
      </c>
      <c r="E753" t="s">
        <v>1939</v>
      </c>
      <c r="F753" t="s">
        <v>1940</v>
      </c>
      <c r="I753" t="s">
        <v>184</v>
      </c>
      <c r="J753" t="s">
        <v>30</v>
      </c>
      <c r="K753" t="s">
        <v>185</v>
      </c>
      <c r="M753" t="s">
        <v>32</v>
      </c>
      <c r="N753" t="str">
        <f>"4/23/2004 12:00:00 AM"</f>
        <v>4/23/2004 12:00:00 AM</v>
      </c>
      <c r="O753" t="s">
        <v>1938</v>
      </c>
      <c r="T753" t="s">
        <v>1939</v>
      </c>
    </row>
    <row r="754" spans="1:20" x14ac:dyDescent="0.25">
      <c r="A754" t="str">
        <f>"3037351"</f>
        <v>3037351</v>
      </c>
      <c r="B754" t="s">
        <v>1941</v>
      </c>
      <c r="C754" t="str">
        <f>"79864000"</f>
        <v>79864000</v>
      </c>
      <c r="D754" t="s">
        <v>1942</v>
      </c>
      <c r="E754" t="s">
        <v>1943</v>
      </c>
      <c r="F754" t="s">
        <v>1944</v>
      </c>
      <c r="I754" t="s">
        <v>184</v>
      </c>
      <c r="J754" t="s">
        <v>30</v>
      </c>
      <c r="K754" t="s">
        <v>185</v>
      </c>
      <c r="M754" t="s">
        <v>32</v>
      </c>
      <c r="N754" t="str">
        <f>"1/21/2003 12:00:00 AM"</f>
        <v>1/21/2003 12:00:00 AM</v>
      </c>
      <c r="O754" t="s">
        <v>1942</v>
      </c>
      <c r="T754" t="s">
        <v>1943</v>
      </c>
    </row>
    <row r="755" spans="1:20" x14ac:dyDescent="0.25">
      <c r="A755" t="str">
        <f>"3040631"</f>
        <v>3040631</v>
      </c>
      <c r="B755" t="s">
        <v>1945</v>
      </c>
      <c r="C755" t="str">
        <f>"31474000"</f>
        <v>31474000</v>
      </c>
      <c r="D755" t="s">
        <v>1946</v>
      </c>
      <c r="E755" t="s">
        <v>1947</v>
      </c>
      <c r="F755" t="s">
        <v>1948</v>
      </c>
      <c r="I755" t="s">
        <v>184</v>
      </c>
      <c r="J755" t="s">
        <v>30</v>
      </c>
      <c r="K755" t="s">
        <v>185</v>
      </c>
      <c r="M755" t="s">
        <v>32</v>
      </c>
      <c r="N755" t="str">
        <f>"4/4/2002 12:00:00 AM"</f>
        <v>4/4/2002 12:00:00 AM</v>
      </c>
      <c r="O755" t="s">
        <v>1946</v>
      </c>
      <c r="T755" t="s">
        <v>1947</v>
      </c>
    </row>
    <row r="756" spans="1:20" x14ac:dyDescent="0.25">
      <c r="A756" t="str">
        <f>"3040576"</f>
        <v>3040576</v>
      </c>
      <c r="B756" t="s">
        <v>1949</v>
      </c>
      <c r="C756" t="str">
        <f>"59000000"</f>
        <v>59000000</v>
      </c>
      <c r="D756" t="s">
        <v>1950</v>
      </c>
      <c r="E756" t="s">
        <v>1951</v>
      </c>
      <c r="F756" t="s">
        <v>1952</v>
      </c>
      <c r="I756" t="s">
        <v>184</v>
      </c>
      <c r="J756" t="s">
        <v>30</v>
      </c>
      <c r="K756" t="s">
        <v>185</v>
      </c>
      <c r="M756" t="s">
        <v>32</v>
      </c>
      <c r="N756" t="str">
        <f>"4/6/2004 12:00:00 AM"</f>
        <v>4/6/2004 12:00:00 AM</v>
      </c>
      <c r="O756" t="s">
        <v>1950</v>
      </c>
      <c r="T756" t="s">
        <v>1951</v>
      </c>
    </row>
    <row r="757" spans="1:20" x14ac:dyDescent="0.25">
      <c r="A757" t="str">
        <f>"3040518"</f>
        <v>3040518</v>
      </c>
      <c r="B757" t="s">
        <v>1953</v>
      </c>
      <c r="C757" t="str">
        <f>"82516372"</f>
        <v>82516372</v>
      </c>
      <c r="D757" t="s">
        <v>1954</v>
      </c>
      <c r="E757" t="s">
        <v>1955</v>
      </c>
      <c r="F757" t="s">
        <v>1956</v>
      </c>
      <c r="I757" t="s">
        <v>184</v>
      </c>
      <c r="J757" t="s">
        <v>30</v>
      </c>
      <c r="K757" t="s">
        <v>185</v>
      </c>
      <c r="M757" t="s">
        <v>32</v>
      </c>
      <c r="N757" t="str">
        <f>"8/2/2002 12:00:00 AM"</f>
        <v>8/2/2002 12:00:00 AM</v>
      </c>
      <c r="O757" t="s">
        <v>1954</v>
      </c>
      <c r="T757" t="s">
        <v>1955</v>
      </c>
    </row>
    <row r="758" spans="1:20" x14ac:dyDescent="0.25">
      <c r="A758" t="str">
        <f>"3040471"</f>
        <v>3040471</v>
      </c>
      <c r="B758" t="s">
        <v>1957</v>
      </c>
      <c r="C758" t="str">
        <f>"467000"</f>
        <v>467000</v>
      </c>
      <c r="D758" t="s">
        <v>1958</v>
      </c>
      <c r="E758" t="s">
        <v>1959</v>
      </c>
      <c r="F758" t="s">
        <v>1960</v>
      </c>
      <c r="I758" t="s">
        <v>184</v>
      </c>
      <c r="J758" t="s">
        <v>30</v>
      </c>
      <c r="K758" t="s">
        <v>185</v>
      </c>
      <c r="M758" t="s">
        <v>32</v>
      </c>
      <c r="N758" t="str">
        <f>"1/21/2004 12:00:00 AM"</f>
        <v>1/21/2004 12:00:00 AM</v>
      </c>
      <c r="O758" t="s">
        <v>1958</v>
      </c>
      <c r="T758" t="s">
        <v>1959</v>
      </c>
    </row>
    <row r="759" spans="1:20" x14ac:dyDescent="0.25">
      <c r="A759" t="str">
        <f>"3040652"</f>
        <v>3040652</v>
      </c>
      <c r="B759" t="s">
        <v>1961</v>
      </c>
      <c r="C759" t="str">
        <f>"43066000"</f>
        <v>43066000</v>
      </c>
      <c r="D759" t="s">
        <v>1962</v>
      </c>
      <c r="E759" t="s">
        <v>1963</v>
      </c>
      <c r="F759" t="s">
        <v>1964</v>
      </c>
      <c r="I759" t="s">
        <v>184</v>
      </c>
      <c r="J759" t="s">
        <v>30</v>
      </c>
      <c r="K759" t="s">
        <v>185</v>
      </c>
      <c r="M759" t="s">
        <v>32</v>
      </c>
      <c r="N759" t="str">
        <f>"6/21/2005 12:00:00 AM"</f>
        <v>6/21/2005 12:00:00 AM</v>
      </c>
      <c r="O759" t="s">
        <v>1962</v>
      </c>
      <c r="T759" t="s">
        <v>1963</v>
      </c>
    </row>
    <row r="760" spans="1:20" x14ac:dyDescent="0.25">
      <c r="A760" t="str">
        <f>"3061664"</f>
        <v>3061664</v>
      </c>
      <c r="B760" t="s">
        <v>1965</v>
      </c>
      <c r="C760" t="str">
        <f>"68889000"</f>
        <v>68889000</v>
      </c>
      <c r="D760" t="s">
        <v>1966</v>
      </c>
      <c r="E760" t="s">
        <v>1967</v>
      </c>
      <c r="F760" t="s">
        <v>1968</v>
      </c>
      <c r="I760" t="s">
        <v>184</v>
      </c>
      <c r="J760" t="s">
        <v>30</v>
      </c>
      <c r="K760" t="s">
        <v>185</v>
      </c>
      <c r="M760" t="s">
        <v>32</v>
      </c>
      <c r="N760" t="str">
        <f>"4/8/2002 12:00:00 AM"</f>
        <v>4/8/2002 12:00:00 AM</v>
      </c>
      <c r="O760" t="s">
        <v>1966</v>
      </c>
      <c r="T760" t="s">
        <v>1967</v>
      </c>
    </row>
    <row r="761" spans="1:20" x14ac:dyDescent="0.25">
      <c r="A761" t="str">
        <f>"3061665"</f>
        <v>3061665</v>
      </c>
      <c r="B761" t="s">
        <v>1969</v>
      </c>
      <c r="C761" t="str">
        <f>"80546000"</f>
        <v>80546000</v>
      </c>
      <c r="D761" t="s">
        <v>1970</v>
      </c>
      <c r="E761" t="s">
        <v>1971</v>
      </c>
      <c r="F761" t="s">
        <v>1972</v>
      </c>
      <c r="I761" t="s">
        <v>402</v>
      </c>
      <c r="J761" t="s">
        <v>30</v>
      </c>
      <c r="K761" t="s">
        <v>403</v>
      </c>
      <c r="M761" t="s">
        <v>32</v>
      </c>
      <c r="N761" t="str">
        <f>"9/9/2005 12:00:00 AM"</f>
        <v>9/9/2005 12:00:00 AM</v>
      </c>
      <c r="O761" t="s">
        <v>1970</v>
      </c>
      <c r="T761" t="s">
        <v>1971</v>
      </c>
    </row>
    <row r="762" spans="1:20" x14ac:dyDescent="0.25">
      <c r="A762" t="str">
        <f>"3061466"</f>
        <v>3061466</v>
      </c>
      <c r="B762" t="s">
        <v>1973</v>
      </c>
      <c r="C762" t="str">
        <f>"82516801"</f>
        <v>82516801</v>
      </c>
      <c r="D762" t="s">
        <v>1974</v>
      </c>
      <c r="E762" t="s">
        <v>1975</v>
      </c>
      <c r="F762" t="s">
        <v>1976</v>
      </c>
      <c r="I762" t="s">
        <v>184</v>
      </c>
      <c r="J762" t="s">
        <v>30</v>
      </c>
      <c r="K762" t="s">
        <v>185</v>
      </c>
      <c r="M762" t="s">
        <v>32</v>
      </c>
      <c r="N762" t="str">
        <f>"11/21/2002 12:00:00 AM"</f>
        <v>11/21/2002 12:00:00 AM</v>
      </c>
      <c r="O762" t="s">
        <v>1974</v>
      </c>
      <c r="T762" t="s">
        <v>1975</v>
      </c>
    </row>
    <row r="763" spans="1:20" x14ac:dyDescent="0.25">
      <c r="A763" t="str">
        <f>"3061468"</f>
        <v>3061468</v>
      </c>
      <c r="B763" t="s">
        <v>1977</v>
      </c>
      <c r="C763" t="str">
        <f>"628000"</f>
        <v>628000</v>
      </c>
      <c r="D763" t="s">
        <v>1978</v>
      </c>
      <c r="E763" t="s">
        <v>1979</v>
      </c>
      <c r="F763" t="s">
        <v>1980</v>
      </c>
      <c r="I763" t="s">
        <v>184</v>
      </c>
      <c r="J763" t="s">
        <v>30</v>
      </c>
      <c r="K763" t="s">
        <v>185</v>
      </c>
      <c r="M763" t="s">
        <v>32</v>
      </c>
      <c r="N763" t="str">
        <f>"2/18/2003 12:00:00 AM"</f>
        <v>2/18/2003 12:00:00 AM</v>
      </c>
      <c r="O763" t="s">
        <v>1978</v>
      </c>
      <c r="T763" t="s">
        <v>1979</v>
      </c>
    </row>
    <row r="764" spans="1:20" x14ac:dyDescent="0.25">
      <c r="A764" t="str">
        <f>"3061470"</f>
        <v>3061470</v>
      </c>
      <c r="B764" t="s">
        <v>1981</v>
      </c>
      <c r="C764" t="str">
        <f>"51120250"</f>
        <v>51120250</v>
      </c>
      <c r="D764" t="s">
        <v>1982</v>
      </c>
      <c r="F764" t="str">
        <f>"C/O GALE R REAVIS"</f>
        <v>C/O GALE R REAVIS</v>
      </c>
      <c r="G764" t="s">
        <v>1983</v>
      </c>
      <c r="I764" t="s">
        <v>184</v>
      </c>
      <c r="J764" t="s">
        <v>30</v>
      </c>
      <c r="K764" t="s">
        <v>1984</v>
      </c>
      <c r="M764" t="s">
        <v>32</v>
      </c>
      <c r="N764" t="str">
        <f>"2/9/2010 12:00:00 AM"</f>
        <v>2/9/2010 12:00:00 AM</v>
      </c>
      <c r="O764" t="s">
        <v>1982</v>
      </c>
    </row>
    <row r="765" spans="1:20" x14ac:dyDescent="0.25">
      <c r="A765" t="str">
        <f>"3061509"</f>
        <v>3061509</v>
      </c>
      <c r="B765" t="s">
        <v>1985</v>
      </c>
      <c r="C765" t="str">
        <f>"17078250"</f>
        <v>17078250</v>
      </c>
      <c r="D765" t="s">
        <v>1986</v>
      </c>
      <c r="F765" t="s">
        <v>1987</v>
      </c>
      <c r="I765" t="s">
        <v>184</v>
      </c>
      <c r="J765" t="s">
        <v>30</v>
      </c>
      <c r="K765" t="s">
        <v>185</v>
      </c>
      <c r="M765" t="s">
        <v>32</v>
      </c>
      <c r="N765" t="str">
        <f>"4/8/2002 12:00:00 AM"</f>
        <v>4/8/2002 12:00:00 AM</v>
      </c>
      <c r="O765" t="s">
        <v>1986</v>
      </c>
    </row>
    <row r="766" spans="1:20" x14ac:dyDescent="0.25">
      <c r="A766" t="str">
        <f>"3061516"</f>
        <v>3061516</v>
      </c>
      <c r="B766" t="s">
        <v>1988</v>
      </c>
      <c r="C766" t="str">
        <f>"82521755"</f>
        <v>82521755</v>
      </c>
      <c r="D766" t="s">
        <v>1989</v>
      </c>
      <c r="F766" t="s">
        <v>1990</v>
      </c>
      <c r="I766" t="s">
        <v>184</v>
      </c>
      <c r="J766" t="s">
        <v>30</v>
      </c>
      <c r="K766" t="s">
        <v>185</v>
      </c>
      <c r="M766" t="s">
        <v>32</v>
      </c>
      <c r="N766" t="str">
        <f>"5/13/2005 12:00:00 AM"</f>
        <v>5/13/2005 12:00:00 AM</v>
      </c>
      <c r="O766" t="s">
        <v>1989</v>
      </c>
    </row>
    <row r="767" spans="1:20" x14ac:dyDescent="0.25">
      <c r="A767" t="str">
        <f>"3061474"</f>
        <v>3061474</v>
      </c>
      <c r="B767" t="s">
        <v>1991</v>
      </c>
      <c r="C767" t="str">
        <f>"4704000"</f>
        <v>4704000</v>
      </c>
      <c r="D767" t="s">
        <v>1992</v>
      </c>
      <c r="F767" t="s">
        <v>1993</v>
      </c>
      <c r="I767" t="s">
        <v>184</v>
      </c>
      <c r="J767" t="s">
        <v>30</v>
      </c>
      <c r="K767" t="s">
        <v>1994</v>
      </c>
      <c r="M767" t="s">
        <v>32</v>
      </c>
      <c r="N767" t="str">
        <f>"1/12/2006 12:00:00 AM"</f>
        <v>1/12/2006 12:00:00 AM</v>
      </c>
      <c r="O767" t="s">
        <v>1992</v>
      </c>
    </row>
    <row r="768" spans="1:20" x14ac:dyDescent="0.25">
      <c r="A768" t="str">
        <f>"3056832"</f>
        <v>3056832</v>
      </c>
      <c r="B768" t="s">
        <v>1995</v>
      </c>
      <c r="C768" t="str">
        <f>"4704000"</f>
        <v>4704000</v>
      </c>
      <c r="D768" t="s">
        <v>1992</v>
      </c>
      <c r="F768" t="s">
        <v>1993</v>
      </c>
      <c r="I768" t="s">
        <v>184</v>
      </c>
      <c r="J768" t="s">
        <v>30</v>
      </c>
      <c r="K768" t="s">
        <v>1994</v>
      </c>
      <c r="M768" t="s">
        <v>32</v>
      </c>
      <c r="N768" t="str">
        <f>"1/12/2006 12:00:00 AM"</f>
        <v>1/12/2006 12:00:00 AM</v>
      </c>
      <c r="O768" t="s">
        <v>1992</v>
      </c>
    </row>
    <row r="769" spans="1:20" x14ac:dyDescent="0.25">
      <c r="A769" t="str">
        <f>"3054345"</f>
        <v>3054345</v>
      </c>
      <c r="B769" t="s">
        <v>1996</v>
      </c>
      <c r="C769" t="str">
        <f>"72156000"</f>
        <v>72156000</v>
      </c>
      <c r="D769" t="s">
        <v>1997</v>
      </c>
      <c r="F769" t="s">
        <v>1998</v>
      </c>
      <c r="I769" t="s">
        <v>184</v>
      </c>
      <c r="J769" t="s">
        <v>30</v>
      </c>
      <c r="K769" t="s">
        <v>185</v>
      </c>
      <c r="M769" t="s">
        <v>32</v>
      </c>
      <c r="N769" t="str">
        <f>"3/27/2008 12:00:00 AM"</f>
        <v>3/27/2008 12:00:00 AM</v>
      </c>
      <c r="O769" t="s">
        <v>1997</v>
      </c>
    </row>
    <row r="770" spans="1:20" x14ac:dyDescent="0.25">
      <c r="A770" t="str">
        <f>"3054346"</f>
        <v>3054346</v>
      </c>
      <c r="B770" t="s">
        <v>1999</v>
      </c>
      <c r="C770" t="str">
        <f>"72156000"</f>
        <v>72156000</v>
      </c>
      <c r="D770" t="s">
        <v>1997</v>
      </c>
      <c r="F770" t="s">
        <v>1998</v>
      </c>
      <c r="I770" t="s">
        <v>184</v>
      </c>
      <c r="J770" t="s">
        <v>30</v>
      </c>
      <c r="K770" t="s">
        <v>185</v>
      </c>
      <c r="M770" t="s">
        <v>32</v>
      </c>
      <c r="N770" t="str">
        <f>"3/27/2008 12:00:00 AM"</f>
        <v>3/27/2008 12:00:00 AM</v>
      </c>
      <c r="O770" t="s">
        <v>1997</v>
      </c>
    </row>
    <row r="771" spans="1:20" x14ac:dyDescent="0.25">
      <c r="A771" t="str">
        <f>"3052790"</f>
        <v>3052790</v>
      </c>
      <c r="B771" t="s">
        <v>2000</v>
      </c>
      <c r="C771" t="str">
        <f>"72156000"</f>
        <v>72156000</v>
      </c>
      <c r="D771" t="s">
        <v>1997</v>
      </c>
      <c r="F771" t="s">
        <v>1998</v>
      </c>
      <c r="I771" t="s">
        <v>184</v>
      </c>
      <c r="J771" t="s">
        <v>30</v>
      </c>
      <c r="K771" t="s">
        <v>185</v>
      </c>
      <c r="M771" t="s">
        <v>32</v>
      </c>
      <c r="N771" t="str">
        <f>"3/27/2008 12:00:00 AM"</f>
        <v>3/27/2008 12:00:00 AM</v>
      </c>
      <c r="O771" t="s">
        <v>1997</v>
      </c>
    </row>
    <row r="772" spans="1:20" x14ac:dyDescent="0.25">
      <c r="A772" t="str">
        <f>"3046117"</f>
        <v>3046117</v>
      </c>
      <c r="B772" t="s">
        <v>2001</v>
      </c>
      <c r="C772" t="str">
        <f>"72156000"</f>
        <v>72156000</v>
      </c>
      <c r="D772" t="s">
        <v>1997</v>
      </c>
      <c r="F772" t="s">
        <v>1998</v>
      </c>
      <c r="I772" t="s">
        <v>184</v>
      </c>
      <c r="J772" t="s">
        <v>30</v>
      </c>
      <c r="K772" t="s">
        <v>185</v>
      </c>
      <c r="M772" t="s">
        <v>32</v>
      </c>
      <c r="N772" t="str">
        <f>"3/27/2008 12:00:00 AM"</f>
        <v>3/27/2008 12:00:00 AM</v>
      </c>
      <c r="O772" t="s">
        <v>1997</v>
      </c>
    </row>
    <row r="773" spans="1:20" x14ac:dyDescent="0.25">
      <c r="A773" t="str">
        <f>"3061486"</f>
        <v>3061486</v>
      </c>
      <c r="B773" t="s">
        <v>2002</v>
      </c>
      <c r="C773" t="str">
        <f>"72156000"</f>
        <v>72156000</v>
      </c>
      <c r="D773" t="s">
        <v>1997</v>
      </c>
      <c r="F773" t="s">
        <v>1998</v>
      </c>
      <c r="I773" t="s">
        <v>184</v>
      </c>
      <c r="J773" t="s">
        <v>30</v>
      </c>
      <c r="K773" t="s">
        <v>185</v>
      </c>
      <c r="M773" t="s">
        <v>32</v>
      </c>
      <c r="N773" t="str">
        <f>"3/27/2008 12:00:00 AM"</f>
        <v>3/27/2008 12:00:00 AM</v>
      </c>
      <c r="O773" t="s">
        <v>1997</v>
      </c>
    </row>
    <row r="774" spans="1:20" x14ac:dyDescent="0.25">
      <c r="A774" t="str">
        <f>"3061477"</f>
        <v>3061477</v>
      </c>
      <c r="B774" t="s">
        <v>2003</v>
      </c>
      <c r="C774" t="str">
        <f>"82521313"</f>
        <v>82521313</v>
      </c>
      <c r="D774" t="s">
        <v>2004</v>
      </c>
      <c r="F774" t="s">
        <v>2005</v>
      </c>
      <c r="I774" t="s">
        <v>184</v>
      </c>
      <c r="J774" t="s">
        <v>30</v>
      </c>
      <c r="K774" t="s">
        <v>185</v>
      </c>
      <c r="M774" t="s">
        <v>32</v>
      </c>
      <c r="N774" t="str">
        <f>"8/14/2003 12:00:00 AM"</f>
        <v>8/14/2003 12:00:00 AM</v>
      </c>
      <c r="O774" t="s">
        <v>2004</v>
      </c>
    </row>
    <row r="775" spans="1:20" x14ac:dyDescent="0.25">
      <c r="A775" t="str">
        <f>"3057090"</f>
        <v>3057090</v>
      </c>
      <c r="B775" t="s">
        <v>2006</v>
      </c>
      <c r="C775" t="str">
        <f>"13635000"</f>
        <v>13635000</v>
      </c>
      <c r="D775" t="s">
        <v>2007</v>
      </c>
      <c r="F775" t="s">
        <v>2008</v>
      </c>
      <c r="I775" t="s">
        <v>471</v>
      </c>
      <c r="J775" t="s">
        <v>30</v>
      </c>
      <c r="K775" t="s">
        <v>625</v>
      </c>
      <c r="M775" t="s">
        <v>32</v>
      </c>
      <c r="N775" t="str">
        <f>"6/19/2003 12:00:00 AM"</f>
        <v>6/19/2003 12:00:00 AM</v>
      </c>
      <c r="O775" t="s">
        <v>2007</v>
      </c>
    </row>
    <row r="776" spans="1:20" x14ac:dyDescent="0.25">
      <c r="A776" t="str">
        <f>"3061510"</f>
        <v>3061510</v>
      </c>
      <c r="B776" t="s">
        <v>2009</v>
      </c>
      <c r="C776" t="str">
        <f>"82521046"</f>
        <v>82521046</v>
      </c>
      <c r="D776" t="s">
        <v>2010</v>
      </c>
      <c r="E776" t="s">
        <v>2011</v>
      </c>
      <c r="F776" t="s">
        <v>2012</v>
      </c>
      <c r="I776" t="s">
        <v>184</v>
      </c>
      <c r="J776" t="s">
        <v>30</v>
      </c>
      <c r="K776" t="s">
        <v>2013</v>
      </c>
      <c r="M776" t="s">
        <v>32</v>
      </c>
      <c r="N776" t="str">
        <f>"1/14/2010 12:00:00 AM"</f>
        <v>1/14/2010 12:00:00 AM</v>
      </c>
      <c r="O776" t="s">
        <v>2010</v>
      </c>
      <c r="T776" t="s">
        <v>2011</v>
      </c>
    </row>
    <row r="777" spans="1:20" x14ac:dyDescent="0.25">
      <c r="A777" t="str">
        <f>"3061481"</f>
        <v>3061481</v>
      </c>
      <c r="B777" t="s">
        <v>2014</v>
      </c>
      <c r="C777" t="str">
        <f>"20674000"</f>
        <v>20674000</v>
      </c>
      <c r="D777" t="s">
        <v>2015</v>
      </c>
      <c r="E777" t="s">
        <v>2016</v>
      </c>
      <c r="F777" t="s">
        <v>2017</v>
      </c>
      <c r="I777" t="s">
        <v>184</v>
      </c>
      <c r="J777" t="s">
        <v>30</v>
      </c>
      <c r="K777" t="s">
        <v>185</v>
      </c>
      <c r="M777" t="s">
        <v>32</v>
      </c>
      <c r="N777" t="str">
        <f>"4/8/2002 12:00:00 AM"</f>
        <v>4/8/2002 12:00:00 AM</v>
      </c>
      <c r="O777" t="s">
        <v>2015</v>
      </c>
      <c r="T777" t="s">
        <v>2016</v>
      </c>
    </row>
    <row r="778" spans="1:20" x14ac:dyDescent="0.25">
      <c r="A778" t="str">
        <f>"3061489"</f>
        <v>3061489</v>
      </c>
      <c r="B778" t="s">
        <v>2018</v>
      </c>
      <c r="C778" t="str">
        <f>"16852000"</f>
        <v>16852000</v>
      </c>
      <c r="D778" t="s">
        <v>2019</v>
      </c>
      <c r="E778" t="s">
        <v>2020</v>
      </c>
      <c r="F778" t="s">
        <v>2021</v>
      </c>
      <c r="I778" t="s">
        <v>184</v>
      </c>
      <c r="J778" t="s">
        <v>30</v>
      </c>
      <c r="K778" t="s">
        <v>185</v>
      </c>
      <c r="M778" t="s">
        <v>32</v>
      </c>
      <c r="N778" t="str">
        <f>"6/30/2003 12:00:00 AM"</f>
        <v>6/30/2003 12:00:00 AM</v>
      </c>
      <c r="O778" t="s">
        <v>2019</v>
      </c>
      <c r="T778" t="s">
        <v>2020</v>
      </c>
    </row>
    <row r="779" spans="1:20" x14ac:dyDescent="0.25">
      <c r="A779" t="str">
        <f>"3040840"</f>
        <v>3040840</v>
      </c>
      <c r="B779" t="s">
        <v>2022</v>
      </c>
      <c r="C779" t="str">
        <f>"16852000"</f>
        <v>16852000</v>
      </c>
      <c r="D779" t="s">
        <v>2019</v>
      </c>
      <c r="E779" t="s">
        <v>2020</v>
      </c>
      <c r="F779" t="s">
        <v>2021</v>
      </c>
      <c r="I779" t="s">
        <v>184</v>
      </c>
      <c r="J779" t="s">
        <v>30</v>
      </c>
      <c r="K779" t="s">
        <v>185</v>
      </c>
      <c r="M779" t="s">
        <v>32</v>
      </c>
      <c r="N779" t="str">
        <f>"6/30/2003 12:00:00 AM"</f>
        <v>6/30/2003 12:00:00 AM</v>
      </c>
      <c r="O779" t="s">
        <v>2019</v>
      </c>
      <c r="T779" t="s">
        <v>2020</v>
      </c>
    </row>
    <row r="780" spans="1:20" x14ac:dyDescent="0.25">
      <c r="A780" t="str">
        <f>"3040407"</f>
        <v>3040407</v>
      </c>
      <c r="B780" t="s">
        <v>2023</v>
      </c>
      <c r="C780" t="str">
        <f>"16852000"</f>
        <v>16852000</v>
      </c>
      <c r="D780" t="s">
        <v>2019</v>
      </c>
      <c r="E780" t="s">
        <v>2020</v>
      </c>
      <c r="F780" t="s">
        <v>2021</v>
      </c>
      <c r="I780" t="s">
        <v>184</v>
      </c>
      <c r="J780" t="s">
        <v>30</v>
      </c>
      <c r="K780" t="s">
        <v>185</v>
      </c>
      <c r="M780" t="s">
        <v>32</v>
      </c>
      <c r="N780" t="str">
        <f>"6/30/2003 12:00:00 AM"</f>
        <v>6/30/2003 12:00:00 AM</v>
      </c>
      <c r="O780" t="s">
        <v>2019</v>
      </c>
      <c r="T780" t="s">
        <v>2020</v>
      </c>
    </row>
    <row r="781" spans="1:20" x14ac:dyDescent="0.25">
      <c r="A781" t="str">
        <f>"3040538"</f>
        <v>3040538</v>
      </c>
      <c r="B781" t="s">
        <v>2024</v>
      </c>
      <c r="C781" t="str">
        <f>"42412000"</f>
        <v>42412000</v>
      </c>
      <c r="D781" t="s">
        <v>2025</v>
      </c>
      <c r="E781" t="s">
        <v>2026</v>
      </c>
      <c r="F781" t="s">
        <v>2027</v>
      </c>
      <c r="I781" t="s">
        <v>184</v>
      </c>
      <c r="J781" t="s">
        <v>30</v>
      </c>
      <c r="K781" t="s">
        <v>185</v>
      </c>
      <c r="M781" t="s">
        <v>32</v>
      </c>
      <c r="N781" t="str">
        <f>"11/20/2003 12:00:00 AM"</f>
        <v>11/20/2003 12:00:00 AM</v>
      </c>
      <c r="O781" t="s">
        <v>2025</v>
      </c>
      <c r="T781" t="s">
        <v>2026</v>
      </c>
    </row>
    <row r="782" spans="1:20" x14ac:dyDescent="0.25">
      <c r="A782" t="str">
        <f>"3040492"</f>
        <v>3040492</v>
      </c>
      <c r="B782" t="s">
        <v>2028</v>
      </c>
      <c r="C782" t="str">
        <f>"50251500"</f>
        <v>50251500</v>
      </c>
      <c r="D782" t="s">
        <v>2029</v>
      </c>
      <c r="E782" t="s">
        <v>2030</v>
      </c>
      <c r="F782" t="s">
        <v>2031</v>
      </c>
      <c r="I782" t="s">
        <v>184</v>
      </c>
      <c r="J782" t="s">
        <v>30</v>
      </c>
      <c r="K782" t="s">
        <v>185</v>
      </c>
      <c r="M782" t="s">
        <v>32</v>
      </c>
      <c r="N782" t="str">
        <f>"5/5/2004 12:00:00 AM"</f>
        <v>5/5/2004 12:00:00 AM</v>
      </c>
      <c r="O782" t="s">
        <v>2029</v>
      </c>
      <c r="T782" t="s">
        <v>2030</v>
      </c>
    </row>
    <row r="783" spans="1:20" x14ac:dyDescent="0.25">
      <c r="A783" t="str">
        <f>"3040483"</f>
        <v>3040483</v>
      </c>
      <c r="B783" t="s">
        <v>2032</v>
      </c>
      <c r="C783" t="str">
        <f>"24406000"</f>
        <v>24406000</v>
      </c>
      <c r="D783" t="s">
        <v>2033</v>
      </c>
      <c r="E783" t="s">
        <v>2034</v>
      </c>
      <c r="F783" t="s">
        <v>2035</v>
      </c>
      <c r="I783" t="s">
        <v>184</v>
      </c>
      <c r="J783" t="s">
        <v>30</v>
      </c>
      <c r="K783" t="s">
        <v>185</v>
      </c>
      <c r="M783" t="s">
        <v>32</v>
      </c>
      <c r="N783" t="str">
        <f>"4/8/2002 12:00:00 AM"</f>
        <v>4/8/2002 12:00:00 AM</v>
      </c>
      <c r="O783" t="s">
        <v>2033</v>
      </c>
      <c r="T783" t="s">
        <v>2034</v>
      </c>
    </row>
    <row r="784" spans="1:20" x14ac:dyDescent="0.25">
      <c r="A784" t="str">
        <f>"3040575"</f>
        <v>3040575</v>
      </c>
      <c r="B784" t="s">
        <v>2036</v>
      </c>
      <c r="C784" t="str">
        <f>"82519247"</f>
        <v>82519247</v>
      </c>
      <c r="D784" t="s">
        <v>2037</v>
      </c>
      <c r="E784" t="s">
        <v>2038</v>
      </c>
      <c r="F784" t="s">
        <v>2039</v>
      </c>
      <c r="I784" t="s">
        <v>184</v>
      </c>
      <c r="J784" t="s">
        <v>30</v>
      </c>
      <c r="K784" t="s">
        <v>1885</v>
      </c>
      <c r="M784" t="s">
        <v>32</v>
      </c>
      <c r="N784" t="str">
        <f>"1/26/2007 12:00:00 AM"</f>
        <v>1/26/2007 12:00:00 AM</v>
      </c>
      <c r="O784" t="s">
        <v>2037</v>
      </c>
      <c r="T784" t="s">
        <v>2038</v>
      </c>
    </row>
    <row r="785" spans="1:20" x14ac:dyDescent="0.25">
      <c r="A785" t="str">
        <f>"3040494"</f>
        <v>3040494</v>
      </c>
      <c r="B785" t="s">
        <v>2040</v>
      </c>
      <c r="C785" t="str">
        <f>"71110000"</f>
        <v>71110000</v>
      </c>
      <c r="D785" t="s">
        <v>2041</v>
      </c>
      <c r="E785" t="s">
        <v>2042</v>
      </c>
      <c r="F785" t="s">
        <v>2043</v>
      </c>
      <c r="I785" t="s">
        <v>184</v>
      </c>
      <c r="J785" t="s">
        <v>30</v>
      </c>
      <c r="K785" t="s">
        <v>185</v>
      </c>
      <c r="M785" t="s">
        <v>32</v>
      </c>
      <c r="N785" t="str">
        <f>"2/5/2010 12:00:00 AM"</f>
        <v>2/5/2010 12:00:00 AM</v>
      </c>
      <c r="O785" t="s">
        <v>2041</v>
      </c>
      <c r="T785" t="s">
        <v>2042</v>
      </c>
    </row>
    <row r="786" spans="1:20" x14ac:dyDescent="0.25">
      <c r="A786" t="str">
        <f>"3040478"</f>
        <v>3040478</v>
      </c>
      <c r="B786" t="s">
        <v>2044</v>
      </c>
      <c r="C786" t="str">
        <f>"42654000"</f>
        <v>42654000</v>
      </c>
      <c r="D786" t="s">
        <v>2045</v>
      </c>
      <c r="E786" t="s">
        <v>2046</v>
      </c>
      <c r="F786" t="s">
        <v>2047</v>
      </c>
      <c r="I786" t="s">
        <v>184</v>
      </c>
      <c r="J786" t="s">
        <v>30</v>
      </c>
      <c r="K786" t="s">
        <v>185</v>
      </c>
      <c r="M786" t="s">
        <v>32</v>
      </c>
      <c r="N786" t="str">
        <f>"4/8/2002 12:00:00 AM"</f>
        <v>4/8/2002 12:00:00 AM</v>
      </c>
      <c r="O786" t="s">
        <v>2045</v>
      </c>
      <c r="T786" t="s">
        <v>2046</v>
      </c>
    </row>
    <row r="787" spans="1:20" x14ac:dyDescent="0.25">
      <c r="A787" t="str">
        <f>"3040546"</f>
        <v>3040546</v>
      </c>
      <c r="B787" t="s">
        <v>2048</v>
      </c>
      <c r="C787" t="str">
        <f>"2570000"</f>
        <v>2570000</v>
      </c>
      <c r="D787" t="s">
        <v>2049</v>
      </c>
      <c r="E787" t="s">
        <v>2050</v>
      </c>
      <c r="F787" t="s">
        <v>2051</v>
      </c>
      <c r="I787" t="s">
        <v>184</v>
      </c>
      <c r="J787" t="s">
        <v>30</v>
      </c>
      <c r="K787" t="s">
        <v>185</v>
      </c>
      <c r="M787" t="s">
        <v>32</v>
      </c>
      <c r="N787" t="str">
        <f>"1/15/2004 12:00:00 AM"</f>
        <v>1/15/2004 12:00:00 AM</v>
      </c>
      <c r="O787" t="s">
        <v>2049</v>
      </c>
      <c r="T787" t="s">
        <v>2050</v>
      </c>
    </row>
    <row r="788" spans="1:20" x14ac:dyDescent="0.25">
      <c r="A788" t="str">
        <f>"3040507"</f>
        <v>3040507</v>
      </c>
      <c r="B788" t="s">
        <v>2052</v>
      </c>
      <c r="C788" t="str">
        <f>"82528168"</f>
        <v>82528168</v>
      </c>
      <c r="D788" t="s">
        <v>2053</v>
      </c>
      <c r="E788" t="s">
        <v>2054</v>
      </c>
      <c r="F788" t="s">
        <v>2055</v>
      </c>
      <c r="I788" t="s">
        <v>184</v>
      </c>
      <c r="J788" t="s">
        <v>30</v>
      </c>
      <c r="K788" t="s">
        <v>185</v>
      </c>
      <c r="M788" t="s">
        <v>32</v>
      </c>
      <c r="N788" t="str">
        <f>"1/23/2008 12:00:00 AM"</f>
        <v>1/23/2008 12:00:00 AM</v>
      </c>
      <c r="O788" t="s">
        <v>2053</v>
      </c>
      <c r="T788" t="s">
        <v>2054</v>
      </c>
    </row>
    <row r="789" spans="1:20" x14ac:dyDescent="0.25">
      <c r="A789" t="str">
        <f>"3040521"</f>
        <v>3040521</v>
      </c>
      <c r="B789" t="s">
        <v>2056</v>
      </c>
      <c r="C789" t="str">
        <f>"81374000"</f>
        <v>81374000</v>
      </c>
      <c r="D789" t="s">
        <v>2057</v>
      </c>
      <c r="F789" t="s">
        <v>2058</v>
      </c>
      <c r="I789" t="s">
        <v>184</v>
      </c>
      <c r="J789" t="s">
        <v>30</v>
      </c>
      <c r="K789" t="s">
        <v>185</v>
      </c>
      <c r="M789" t="s">
        <v>32</v>
      </c>
      <c r="N789" t="str">
        <f>"5/17/2005 12:00:00 AM"</f>
        <v>5/17/2005 12:00:00 AM</v>
      </c>
      <c r="O789" t="s">
        <v>2057</v>
      </c>
    </row>
    <row r="790" spans="1:20" x14ac:dyDescent="0.25">
      <c r="A790" t="str">
        <f>"3040487"</f>
        <v>3040487</v>
      </c>
      <c r="B790" t="s">
        <v>2059</v>
      </c>
      <c r="C790" t="str">
        <f>"82525594"</f>
        <v>82525594</v>
      </c>
      <c r="D790" t="s">
        <v>2060</v>
      </c>
      <c r="E790" t="s">
        <v>2061</v>
      </c>
      <c r="F790" t="s">
        <v>2062</v>
      </c>
      <c r="I790" t="s">
        <v>184</v>
      </c>
      <c r="J790" t="s">
        <v>30</v>
      </c>
      <c r="K790" t="s">
        <v>185</v>
      </c>
      <c r="M790" t="s">
        <v>32</v>
      </c>
      <c r="N790" t="str">
        <f>"1/5/2006 12:00:00 AM"</f>
        <v>1/5/2006 12:00:00 AM</v>
      </c>
      <c r="O790" t="s">
        <v>2060</v>
      </c>
      <c r="T790" t="s">
        <v>2061</v>
      </c>
    </row>
    <row r="791" spans="1:20" x14ac:dyDescent="0.25">
      <c r="A791" t="str">
        <f>"3037240"</f>
        <v>3037240</v>
      </c>
      <c r="B791" t="s">
        <v>2063</v>
      </c>
      <c r="C791" t="str">
        <f>"71445500"</f>
        <v>71445500</v>
      </c>
      <c r="D791" t="s">
        <v>2064</v>
      </c>
      <c r="F791" t="s">
        <v>2065</v>
      </c>
      <c r="I791" t="s">
        <v>184</v>
      </c>
      <c r="J791" t="s">
        <v>30</v>
      </c>
      <c r="K791" t="s">
        <v>2066</v>
      </c>
      <c r="M791" t="s">
        <v>32</v>
      </c>
      <c r="N791" t="str">
        <f>"3/9/2005 12:00:00 AM"</f>
        <v>3/9/2005 12:00:00 AM</v>
      </c>
      <c r="O791" t="s">
        <v>2064</v>
      </c>
    </row>
    <row r="792" spans="1:20" x14ac:dyDescent="0.25">
      <c r="A792" t="str">
        <f>"3037390"</f>
        <v>3037390</v>
      </c>
      <c r="B792" t="s">
        <v>2067</v>
      </c>
      <c r="C792" t="str">
        <f>"71445500"</f>
        <v>71445500</v>
      </c>
      <c r="D792" t="s">
        <v>2064</v>
      </c>
      <c r="F792" t="s">
        <v>2065</v>
      </c>
      <c r="I792" t="s">
        <v>184</v>
      </c>
      <c r="J792" t="s">
        <v>30</v>
      </c>
      <c r="K792" t="s">
        <v>2066</v>
      </c>
      <c r="M792" t="s">
        <v>32</v>
      </c>
      <c r="N792" t="str">
        <f>"3/9/2005 12:00:00 AM"</f>
        <v>3/9/2005 12:00:00 AM</v>
      </c>
      <c r="O792" t="s">
        <v>2064</v>
      </c>
    </row>
    <row r="793" spans="1:20" x14ac:dyDescent="0.25">
      <c r="A793" t="str">
        <f>"3041293"</f>
        <v>3041293</v>
      </c>
      <c r="B793" t="s">
        <v>2068</v>
      </c>
      <c r="C793" t="str">
        <f>"82521530"</f>
        <v>82521530</v>
      </c>
      <c r="D793" t="s">
        <v>2069</v>
      </c>
      <c r="F793" t="s">
        <v>2070</v>
      </c>
      <c r="I793" t="s">
        <v>2071</v>
      </c>
      <c r="J793" t="s">
        <v>30</v>
      </c>
      <c r="K793" t="s">
        <v>185</v>
      </c>
      <c r="M793" t="s">
        <v>32</v>
      </c>
      <c r="N793" t="str">
        <f>"10/7/2003 12:00:00 AM"</f>
        <v>10/7/2003 12:00:00 AM</v>
      </c>
      <c r="O793" t="s">
        <v>2069</v>
      </c>
    </row>
    <row r="794" spans="1:20" x14ac:dyDescent="0.25">
      <c r="A794" t="str">
        <f>"3041325"</f>
        <v>3041325</v>
      </c>
      <c r="B794" t="s">
        <v>2072</v>
      </c>
      <c r="C794" t="str">
        <f>"82521118"</f>
        <v>82521118</v>
      </c>
      <c r="D794" t="s">
        <v>2073</v>
      </c>
      <c r="E794" t="s">
        <v>2074</v>
      </c>
      <c r="F794" t="s">
        <v>2075</v>
      </c>
      <c r="I794" t="s">
        <v>2071</v>
      </c>
      <c r="J794" t="s">
        <v>30</v>
      </c>
      <c r="K794" t="s">
        <v>2076</v>
      </c>
      <c r="M794" t="s">
        <v>32</v>
      </c>
      <c r="N794" t="str">
        <f>"1/22/2010 12:00:00 AM"</f>
        <v>1/22/2010 12:00:00 AM</v>
      </c>
      <c r="O794" t="s">
        <v>2073</v>
      </c>
      <c r="T794" t="s">
        <v>2074</v>
      </c>
    </row>
    <row r="795" spans="1:20" x14ac:dyDescent="0.25">
      <c r="A795" t="str">
        <f>"3040525"</f>
        <v>3040525</v>
      </c>
      <c r="B795" t="s">
        <v>2077</v>
      </c>
      <c r="C795" t="str">
        <f>"69198650"</f>
        <v>69198650</v>
      </c>
      <c r="D795" t="s">
        <v>2078</v>
      </c>
      <c r="E795" t="s">
        <v>2079</v>
      </c>
      <c r="F795" t="s">
        <v>2080</v>
      </c>
      <c r="I795" t="s">
        <v>184</v>
      </c>
      <c r="J795" t="s">
        <v>30</v>
      </c>
      <c r="K795" t="s">
        <v>185</v>
      </c>
      <c r="M795" t="s">
        <v>32</v>
      </c>
      <c r="N795" t="str">
        <f>"3/4/2010 12:00:00 AM"</f>
        <v>3/4/2010 12:00:00 AM</v>
      </c>
      <c r="O795" t="s">
        <v>2078</v>
      </c>
      <c r="T795" t="s">
        <v>2079</v>
      </c>
    </row>
    <row r="796" spans="1:20" x14ac:dyDescent="0.25">
      <c r="A796" t="str">
        <f>"3040558"</f>
        <v>3040558</v>
      </c>
      <c r="B796" t="s">
        <v>2081</v>
      </c>
      <c r="C796" t="str">
        <f>"82513237"</f>
        <v>82513237</v>
      </c>
      <c r="D796" t="s">
        <v>2082</v>
      </c>
      <c r="F796" t="s">
        <v>2083</v>
      </c>
      <c r="I796" t="s">
        <v>184</v>
      </c>
      <c r="J796" t="s">
        <v>30</v>
      </c>
      <c r="K796" t="s">
        <v>185</v>
      </c>
      <c r="M796" t="s">
        <v>32</v>
      </c>
      <c r="N796" t="str">
        <f>"9/9/2005 12:00:00 AM"</f>
        <v>9/9/2005 12:00:00 AM</v>
      </c>
      <c r="O796" t="s">
        <v>2082</v>
      </c>
    </row>
    <row r="797" spans="1:20" x14ac:dyDescent="0.25">
      <c r="A797" t="str">
        <f>"3040541"</f>
        <v>3040541</v>
      </c>
      <c r="B797" t="s">
        <v>2084</v>
      </c>
      <c r="C797" t="str">
        <f>"82522401"</f>
        <v>82522401</v>
      </c>
      <c r="D797" t="s">
        <v>2085</v>
      </c>
      <c r="E797" t="s">
        <v>2086</v>
      </c>
      <c r="F797" t="s">
        <v>2087</v>
      </c>
      <c r="I797" t="s">
        <v>184</v>
      </c>
      <c r="J797" t="s">
        <v>30</v>
      </c>
      <c r="K797" t="s">
        <v>2088</v>
      </c>
      <c r="M797" t="s">
        <v>32</v>
      </c>
      <c r="N797" t="str">
        <f>"3/7/2005 12:00:00 AM"</f>
        <v>3/7/2005 12:00:00 AM</v>
      </c>
      <c r="O797" t="s">
        <v>2085</v>
      </c>
      <c r="T797" t="s">
        <v>2086</v>
      </c>
    </row>
    <row r="798" spans="1:20" x14ac:dyDescent="0.25">
      <c r="A798" t="str">
        <f>"3061535"</f>
        <v>3061535</v>
      </c>
      <c r="B798" t="s">
        <v>2089</v>
      </c>
      <c r="C798" t="str">
        <f>"31772000"</f>
        <v>31772000</v>
      </c>
      <c r="D798" t="s">
        <v>2090</v>
      </c>
      <c r="E798" t="s">
        <v>2091</v>
      </c>
      <c r="F798" t="s">
        <v>2092</v>
      </c>
      <c r="I798" t="s">
        <v>184</v>
      </c>
      <c r="J798" t="s">
        <v>30</v>
      </c>
      <c r="K798" t="s">
        <v>185</v>
      </c>
      <c r="M798" t="s">
        <v>32</v>
      </c>
      <c r="N798" t="str">
        <f>"9/10/2003 12:00:00 AM"</f>
        <v>9/10/2003 12:00:00 AM</v>
      </c>
      <c r="O798" t="s">
        <v>2090</v>
      </c>
      <c r="T798" t="s">
        <v>2091</v>
      </c>
    </row>
    <row r="799" spans="1:20" x14ac:dyDescent="0.25">
      <c r="A799" t="str">
        <f>"3061533"</f>
        <v>3061533</v>
      </c>
      <c r="B799" t="s">
        <v>2093</v>
      </c>
      <c r="C799" t="str">
        <f>"52513250"</f>
        <v>52513250</v>
      </c>
      <c r="D799" t="s">
        <v>2094</v>
      </c>
      <c r="E799" t="s">
        <v>2095</v>
      </c>
      <c r="F799" t="s">
        <v>2096</v>
      </c>
      <c r="I799" t="s">
        <v>184</v>
      </c>
      <c r="J799" t="s">
        <v>30</v>
      </c>
      <c r="K799" t="s">
        <v>2097</v>
      </c>
      <c r="M799" t="s">
        <v>32</v>
      </c>
      <c r="N799" t="str">
        <f>"1/12/2006 12:00:00 AM"</f>
        <v>1/12/2006 12:00:00 AM</v>
      </c>
      <c r="O799" t="s">
        <v>2094</v>
      </c>
      <c r="T799" t="s">
        <v>2095</v>
      </c>
    </row>
    <row r="800" spans="1:20" x14ac:dyDescent="0.25">
      <c r="A800" t="str">
        <f>"3061531"</f>
        <v>3061531</v>
      </c>
      <c r="B800" t="s">
        <v>2098</v>
      </c>
      <c r="C800" t="str">
        <f>"68108000"</f>
        <v>68108000</v>
      </c>
      <c r="D800" t="s">
        <v>2099</v>
      </c>
      <c r="E800" t="s">
        <v>2100</v>
      </c>
      <c r="F800" t="s">
        <v>2101</v>
      </c>
      <c r="I800" t="s">
        <v>184</v>
      </c>
      <c r="J800" t="s">
        <v>30</v>
      </c>
      <c r="K800" t="s">
        <v>185</v>
      </c>
      <c r="M800" t="s">
        <v>32</v>
      </c>
      <c r="N800" t="str">
        <f>"4/8/2002 12:00:00 AM"</f>
        <v>4/8/2002 12:00:00 AM</v>
      </c>
      <c r="O800" t="s">
        <v>2099</v>
      </c>
      <c r="T800" t="s">
        <v>2100</v>
      </c>
    </row>
    <row r="801" spans="1:20" x14ac:dyDescent="0.25">
      <c r="A801" t="str">
        <f>"3061557"</f>
        <v>3061557</v>
      </c>
      <c r="B801" t="s">
        <v>2102</v>
      </c>
      <c r="C801" t="str">
        <f>"82529087"</f>
        <v>82529087</v>
      </c>
      <c r="D801" t="s">
        <v>2103</v>
      </c>
      <c r="F801" t="s">
        <v>2104</v>
      </c>
      <c r="I801" t="s">
        <v>184</v>
      </c>
      <c r="J801" t="s">
        <v>30</v>
      </c>
      <c r="K801" t="s">
        <v>185</v>
      </c>
      <c r="M801" t="s">
        <v>32</v>
      </c>
      <c r="N801" t="str">
        <f>"1/14/2008 12:00:00 AM"</f>
        <v>1/14/2008 12:00:00 AM</v>
      </c>
      <c r="O801" t="s">
        <v>2103</v>
      </c>
    </row>
    <row r="802" spans="1:20" x14ac:dyDescent="0.25">
      <c r="A802" t="str">
        <f>"3062006"</f>
        <v>3062006</v>
      </c>
      <c r="B802" t="s">
        <v>2105</v>
      </c>
      <c r="C802" t="str">
        <f>"15460000"</f>
        <v>15460000</v>
      </c>
      <c r="D802" t="s">
        <v>2106</v>
      </c>
      <c r="F802" t="s">
        <v>2107</v>
      </c>
      <c r="I802" t="s">
        <v>2108</v>
      </c>
      <c r="J802" t="s">
        <v>2109</v>
      </c>
      <c r="K802" t="s">
        <v>2110</v>
      </c>
      <c r="M802" t="s">
        <v>32</v>
      </c>
      <c r="N802" t="str">
        <f>"9/7/2001 12:00:00 AM"</f>
        <v>9/7/2001 12:00:00 AM</v>
      </c>
      <c r="O802" t="s">
        <v>2106</v>
      </c>
    </row>
    <row r="803" spans="1:20" x14ac:dyDescent="0.25">
      <c r="A803" t="str">
        <f>"3041503"</f>
        <v>3041503</v>
      </c>
      <c r="B803" t="s">
        <v>2111</v>
      </c>
      <c r="C803" t="str">
        <f>"82526285"</f>
        <v>82526285</v>
      </c>
      <c r="D803" t="s">
        <v>2112</v>
      </c>
      <c r="E803" t="s">
        <v>2113</v>
      </c>
      <c r="F803" t="s">
        <v>2114</v>
      </c>
      <c r="I803" t="s">
        <v>2071</v>
      </c>
      <c r="J803" t="s">
        <v>30</v>
      </c>
      <c r="K803" t="s">
        <v>185</v>
      </c>
      <c r="M803" t="s">
        <v>32</v>
      </c>
      <c r="N803" t="str">
        <f>"1/26/2007 12:00:00 AM"</f>
        <v>1/26/2007 12:00:00 AM</v>
      </c>
      <c r="O803" t="s">
        <v>2112</v>
      </c>
      <c r="T803" t="s">
        <v>2113</v>
      </c>
    </row>
    <row r="804" spans="1:20" x14ac:dyDescent="0.25">
      <c r="A804" t="str">
        <f>"3041505"</f>
        <v>3041505</v>
      </c>
      <c r="B804" t="s">
        <v>2115</v>
      </c>
      <c r="C804" t="str">
        <f>"82529100"</f>
        <v>82529100</v>
      </c>
      <c r="D804" t="s">
        <v>2116</v>
      </c>
      <c r="E804" t="s">
        <v>2117</v>
      </c>
      <c r="F804" t="s">
        <v>2118</v>
      </c>
      <c r="I804" t="s">
        <v>2071</v>
      </c>
      <c r="J804" t="s">
        <v>30</v>
      </c>
      <c r="K804" t="s">
        <v>185</v>
      </c>
      <c r="M804" t="s">
        <v>32</v>
      </c>
      <c r="N804" t="str">
        <f>"2/3/2009 12:00:00 AM"</f>
        <v>2/3/2009 12:00:00 AM</v>
      </c>
      <c r="O804" t="s">
        <v>2116</v>
      </c>
      <c r="T804" t="s">
        <v>2117</v>
      </c>
    </row>
    <row r="805" spans="1:20" x14ac:dyDescent="0.25">
      <c r="A805" t="str">
        <f>"3041436"</f>
        <v>3041436</v>
      </c>
      <c r="B805" t="s">
        <v>2119</v>
      </c>
      <c r="C805" t="str">
        <f>"82514592"</f>
        <v>82514592</v>
      </c>
      <c r="D805" t="s">
        <v>2120</v>
      </c>
      <c r="E805" t="s">
        <v>2121</v>
      </c>
      <c r="F805" t="s">
        <v>2122</v>
      </c>
      <c r="I805" t="s">
        <v>2071</v>
      </c>
      <c r="J805" t="s">
        <v>30</v>
      </c>
      <c r="K805" t="s">
        <v>185</v>
      </c>
      <c r="M805" t="s">
        <v>32</v>
      </c>
      <c r="N805" t="str">
        <f>"12/28/2005 12:00:00 AM"</f>
        <v>12/28/2005 12:00:00 AM</v>
      </c>
      <c r="O805" t="s">
        <v>2120</v>
      </c>
      <c r="T805" t="s">
        <v>2121</v>
      </c>
    </row>
    <row r="806" spans="1:20" x14ac:dyDescent="0.25">
      <c r="A806" t="str">
        <f>"3062005"</f>
        <v>3062005</v>
      </c>
      <c r="B806" t="s">
        <v>2123</v>
      </c>
      <c r="C806" t="str">
        <f>"15460000"</f>
        <v>15460000</v>
      </c>
      <c r="D806" t="s">
        <v>2106</v>
      </c>
      <c r="F806" t="s">
        <v>2107</v>
      </c>
      <c r="I806" t="s">
        <v>2108</v>
      </c>
      <c r="J806" t="s">
        <v>2109</v>
      </c>
      <c r="K806" t="s">
        <v>2110</v>
      </c>
      <c r="M806" t="s">
        <v>32</v>
      </c>
      <c r="N806" t="str">
        <f>"9/7/2001 12:00:00 AM"</f>
        <v>9/7/2001 12:00:00 AM</v>
      </c>
      <c r="O806" t="s">
        <v>2106</v>
      </c>
    </row>
    <row r="807" spans="1:20" x14ac:dyDescent="0.25">
      <c r="A807" t="str">
        <f>"3042615"</f>
        <v>3042615</v>
      </c>
      <c r="B807" t="s">
        <v>2124</v>
      </c>
      <c r="C807" t="str">
        <f>"82524226"</f>
        <v>82524226</v>
      </c>
      <c r="D807" t="s">
        <v>2125</v>
      </c>
      <c r="E807" t="s">
        <v>2126</v>
      </c>
      <c r="F807" t="s">
        <v>2127</v>
      </c>
      <c r="I807" t="s">
        <v>29</v>
      </c>
      <c r="J807" t="s">
        <v>30</v>
      </c>
      <c r="K807" t="s">
        <v>31</v>
      </c>
      <c r="M807" t="s">
        <v>32</v>
      </c>
      <c r="N807" t="str">
        <f>"12/16/2009 12:00:00 AM"</f>
        <v>12/16/2009 12:00:00 AM</v>
      </c>
      <c r="O807" t="s">
        <v>2125</v>
      </c>
      <c r="T807" t="s">
        <v>2126</v>
      </c>
    </row>
    <row r="808" spans="1:20" x14ac:dyDescent="0.25">
      <c r="A808" t="str">
        <f>"3041509"</f>
        <v>3041509</v>
      </c>
      <c r="B808" t="s">
        <v>2128</v>
      </c>
      <c r="C808" t="str">
        <f>"82527370"</f>
        <v>82527370</v>
      </c>
      <c r="D808" t="s">
        <v>2129</v>
      </c>
      <c r="E808" t="s">
        <v>2130</v>
      </c>
      <c r="F808" t="s">
        <v>2131</v>
      </c>
      <c r="I808" t="s">
        <v>2071</v>
      </c>
      <c r="J808" t="s">
        <v>30</v>
      </c>
      <c r="K808" t="s">
        <v>185</v>
      </c>
      <c r="M808" t="s">
        <v>32</v>
      </c>
      <c r="N808" t="str">
        <f>"1/5/2007 12:00:00 AM"</f>
        <v>1/5/2007 12:00:00 AM</v>
      </c>
      <c r="O808" t="s">
        <v>2129</v>
      </c>
      <c r="T808" t="s">
        <v>2130</v>
      </c>
    </row>
    <row r="809" spans="1:20" x14ac:dyDescent="0.25">
      <c r="A809" t="str">
        <f>"3041469"</f>
        <v>3041469</v>
      </c>
      <c r="B809" t="s">
        <v>2132</v>
      </c>
      <c r="C809" t="str">
        <f>"82525055"</f>
        <v>82525055</v>
      </c>
      <c r="D809" t="s">
        <v>2133</v>
      </c>
      <c r="E809" t="s">
        <v>2134</v>
      </c>
      <c r="F809" t="s">
        <v>2135</v>
      </c>
      <c r="I809" t="s">
        <v>2071</v>
      </c>
      <c r="J809" t="s">
        <v>30</v>
      </c>
      <c r="K809" t="s">
        <v>2136</v>
      </c>
      <c r="M809" t="s">
        <v>32</v>
      </c>
      <c r="N809" t="str">
        <f>"1/17/2006 12:00:00 AM"</f>
        <v>1/17/2006 12:00:00 AM</v>
      </c>
      <c r="O809" t="s">
        <v>2133</v>
      </c>
      <c r="T809" t="s">
        <v>2134</v>
      </c>
    </row>
    <row r="810" spans="1:20" x14ac:dyDescent="0.25">
      <c r="A810" t="str">
        <f>"3061545"</f>
        <v>3061545</v>
      </c>
      <c r="B810" t="s">
        <v>2137</v>
      </c>
      <c r="C810" t="str">
        <f>"12572000"</f>
        <v>12572000</v>
      </c>
      <c r="D810" t="s">
        <v>2138</v>
      </c>
      <c r="E810" t="s">
        <v>2139</v>
      </c>
      <c r="F810" t="s">
        <v>2140</v>
      </c>
      <c r="I810" t="s">
        <v>184</v>
      </c>
      <c r="J810" t="s">
        <v>30</v>
      </c>
      <c r="K810" t="s">
        <v>185</v>
      </c>
      <c r="M810" t="s">
        <v>32</v>
      </c>
      <c r="N810" t="str">
        <f>"6/17/2003 12:00:00 AM"</f>
        <v>6/17/2003 12:00:00 AM</v>
      </c>
      <c r="O810" t="s">
        <v>2138</v>
      </c>
      <c r="T810" t="s">
        <v>2139</v>
      </c>
    </row>
    <row r="811" spans="1:20" x14ac:dyDescent="0.25">
      <c r="A811" t="str">
        <f>"3041514"</f>
        <v>3041514</v>
      </c>
      <c r="B811" t="s">
        <v>2141</v>
      </c>
      <c r="C811" t="str">
        <f>"82526284"</f>
        <v>82526284</v>
      </c>
      <c r="D811" t="s">
        <v>2142</v>
      </c>
      <c r="E811" t="s">
        <v>2143</v>
      </c>
      <c r="F811" t="s">
        <v>2144</v>
      </c>
      <c r="I811" t="s">
        <v>2071</v>
      </c>
      <c r="J811" t="s">
        <v>30</v>
      </c>
      <c r="K811" t="s">
        <v>185</v>
      </c>
      <c r="M811" t="s">
        <v>32</v>
      </c>
      <c r="N811" t="str">
        <f>"2/15/2007 12:00:00 AM"</f>
        <v>2/15/2007 12:00:00 AM</v>
      </c>
      <c r="O811" t="s">
        <v>2142</v>
      </c>
      <c r="T811" t="s">
        <v>2143</v>
      </c>
    </row>
    <row r="812" spans="1:20" x14ac:dyDescent="0.25">
      <c r="A812" t="str">
        <f>"3041450"</f>
        <v>3041450</v>
      </c>
      <c r="B812" t="s">
        <v>2145</v>
      </c>
      <c r="C812" t="str">
        <f>"82526792"</f>
        <v>82526792</v>
      </c>
      <c r="D812" t="s">
        <v>2146</v>
      </c>
      <c r="E812" t="s">
        <v>2147</v>
      </c>
      <c r="F812" t="s">
        <v>2148</v>
      </c>
      <c r="I812" t="s">
        <v>2071</v>
      </c>
      <c r="J812" t="s">
        <v>30</v>
      </c>
      <c r="K812" t="s">
        <v>185</v>
      </c>
      <c r="M812" t="s">
        <v>32</v>
      </c>
      <c r="N812" t="str">
        <f>"1/26/2007 12:00:00 AM"</f>
        <v>1/26/2007 12:00:00 AM</v>
      </c>
      <c r="O812" t="s">
        <v>2146</v>
      </c>
      <c r="T812" t="s">
        <v>2147</v>
      </c>
    </row>
    <row r="813" spans="1:20" x14ac:dyDescent="0.25">
      <c r="A813" t="str">
        <f>"3062599"</f>
        <v>3062599</v>
      </c>
      <c r="B813" t="s">
        <v>2149</v>
      </c>
      <c r="C813" t="str">
        <f>"11690750"</f>
        <v>11690750</v>
      </c>
      <c r="D813" t="s">
        <v>2150</v>
      </c>
      <c r="E813" t="s">
        <v>2151</v>
      </c>
      <c r="F813" t="s">
        <v>2152</v>
      </c>
      <c r="I813" t="s">
        <v>184</v>
      </c>
      <c r="J813" t="s">
        <v>30</v>
      </c>
      <c r="K813" t="s">
        <v>2153</v>
      </c>
      <c r="M813" t="s">
        <v>32</v>
      </c>
      <c r="N813" t="str">
        <f>"2/8/2010 12:00:00 AM"</f>
        <v>2/8/2010 12:00:00 AM</v>
      </c>
      <c r="O813" t="s">
        <v>2150</v>
      </c>
      <c r="T813" t="s">
        <v>2151</v>
      </c>
    </row>
    <row r="814" spans="1:20" x14ac:dyDescent="0.25">
      <c r="A814" t="str">
        <f>"3041458"</f>
        <v>3041458</v>
      </c>
      <c r="B814" t="s">
        <v>2154</v>
      </c>
      <c r="C814" t="str">
        <f>"82525428"</f>
        <v>82525428</v>
      </c>
      <c r="D814" t="s">
        <v>2155</v>
      </c>
      <c r="F814" t="s">
        <v>2156</v>
      </c>
      <c r="I814" t="s">
        <v>2071</v>
      </c>
      <c r="J814" t="s">
        <v>30</v>
      </c>
      <c r="K814" t="s">
        <v>185</v>
      </c>
      <c r="M814" t="s">
        <v>32</v>
      </c>
      <c r="N814" t="str">
        <f>"12/1/2005 12:00:00 AM"</f>
        <v>12/1/2005 12:00:00 AM</v>
      </c>
      <c r="O814" t="s">
        <v>2155</v>
      </c>
    </row>
    <row r="815" spans="1:20" x14ac:dyDescent="0.25">
      <c r="A815" t="str">
        <f>"3062598"</f>
        <v>3062598</v>
      </c>
      <c r="B815" t="s">
        <v>2157</v>
      </c>
      <c r="C815" t="str">
        <f>"981900"</f>
        <v>981900</v>
      </c>
      <c r="D815" t="s">
        <v>2158</v>
      </c>
      <c r="F815" t="s">
        <v>2159</v>
      </c>
      <c r="I815" t="s">
        <v>184</v>
      </c>
      <c r="J815" t="s">
        <v>30</v>
      </c>
      <c r="K815" t="s">
        <v>185</v>
      </c>
      <c r="M815" t="s">
        <v>32</v>
      </c>
      <c r="N815" t="str">
        <f>"8/31/2001 12:00:00 AM"</f>
        <v>8/31/2001 12:00:00 AM</v>
      </c>
      <c r="O815" t="s">
        <v>2158</v>
      </c>
    </row>
    <row r="816" spans="1:20" x14ac:dyDescent="0.25">
      <c r="A816" t="str">
        <f>"3041389"</f>
        <v>3041389</v>
      </c>
      <c r="B816" t="s">
        <v>2160</v>
      </c>
      <c r="C816" t="str">
        <f>"82525636"</f>
        <v>82525636</v>
      </c>
      <c r="D816" t="s">
        <v>2161</v>
      </c>
      <c r="E816" t="s">
        <v>2162</v>
      </c>
      <c r="F816" t="s">
        <v>2163</v>
      </c>
      <c r="I816" t="s">
        <v>2071</v>
      </c>
      <c r="J816" t="s">
        <v>30</v>
      </c>
      <c r="K816" t="s">
        <v>185</v>
      </c>
      <c r="M816" t="s">
        <v>32</v>
      </c>
      <c r="N816" t="str">
        <f>"8/31/2010 12:00:00 AM"</f>
        <v>8/31/2010 12:00:00 AM</v>
      </c>
      <c r="O816" t="s">
        <v>2161</v>
      </c>
      <c r="T816" t="s">
        <v>2162</v>
      </c>
    </row>
    <row r="817" spans="1:20" x14ac:dyDescent="0.25">
      <c r="A817" t="str">
        <f>"3041518"</f>
        <v>3041518</v>
      </c>
      <c r="B817" t="s">
        <v>2164</v>
      </c>
      <c r="C817" t="str">
        <f>"82530590"</f>
        <v>82530590</v>
      </c>
      <c r="D817" t="s">
        <v>2165</v>
      </c>
      <c r="F817" t="s">
        <v>2166</v>
      </c>
      <c r="I817" t="s">
        <v>2071</v>
      </c>
      <c r="J817" t="s">
        <v>30</v>
      </c>
      <c r="K817" t="s">
        <v>185</v>
      </c>
      <c r="M817" t="s">
        <v>32</v>
      </c>
      <c r="N817" t="str">
        <f>"4/27/2009 12:00:00 AM"</f>
        <v>4/27/2009 12:00:00 AM</v>
      </c>
      <c r="O817" t="s">
        <v>2165</v>
      </c>
    </row>
    <row r="818" spans="1:20" x14ac:dyDescent="0.25">
      <c r="A818" t="str">
        <f>"3061232"</f>
        <v>3061232</v>
      </c>
      <c r="B818" t="s">
        <v>2167</v>
      </c>
      <c r="C818" t="str">
        <f>"82527704"</f>
        <v>82527704</v>
      </c>
      <c r="D818" t="s">
        <v>2168</v>
      </c>
      <c r="F818" t="s">
        <v>2169</v>
      </c>
      <c r="I818" t="s">
        <v>2071</v>
      </c>
      <c r="J818" t="s">
        <v>30</v>
      </c>
      <c r="K818" t="s">
        <v>185</v>
      </c>
      <c r="M818" t="s">
        <v>32</v>
      </c>
      <c r="N818" t="str">
        <f>"3/22/2007 12:00:00 AM"</f>
        <v>3/22/2007 12:00:00 AM</v>
      </c>
      <c r="O818" t="s">
        <v>2168</v>
      </c>
    </row>
    <row r="819" spans="1:20" x14ac:dyDescent="0.25">
      <c r="A819" t="str">
        <f>"3062595"</f>
        <v>3062595</v>
      </c>
      <c r="B819" t="s">
        <v>2170</v>
      </c>
      <c r="C819" t="str">
        <f>"23983500"</f>
        <v>23983500</v>
      </c>
      <c r="D819" t="s">
        <v>2171</v>
      </c>
      <c r="E819" t="s">
        <v>2172</v>
      </c>
      <c r="F819" t="s">
        <v>2173</v>
      </c>
      <c r="I819" t="s">
        <v>184</v>
      </c>
      <c r="J819" t="s">
        <v>30</v>
      </c>
      <c r="K819" t="s">
        <v>2174</v>
      </c>
      <c r="M819" t="s">
        <v>32</v>
      </c>
      <c r="N819" t="str">
        <f>"1/27/2006 12:00:00 AM"</f>
        <v>1/27/2006 12:00:00 AM</v>
      </c>
      <c r="O819" t="s">
        <v>2171</v>
      </c>
      <c r="T819" t="s">
        <v>2172</v>
      </c>
    </row>
    <row r="820" spans="1:20" x14ac:dyDescent="0.25">
      <c r="A820" t="str">
        <f>"3061529"</f>
        <v>3061529</v>
      </c>
      <c r="B820" t="s">
        <v>2175</v>
      </c>
      <c r="C820" t="str">
        <f>"12691000"</f>
        <v>12691000</v>
      </c>
      <c r="D820" t="s">
        <v>2176</v>
      </c>
      <c r="F820" t="s">
        <v>2177</v>
      </c>
      <c r="I820" t="s">
        <v>184</v>
      </c>
      <c r="J820" t="s">
        <v>30</v>
      </c>
      <c r="K820" t="s">
        <v>185</v>
      </c>
      <c r="M820" t="s">
        <v>32</v>
      </c>
      <c r="N820" t="str">
        <f>"4/8/2002 12:00:00 AM"</f>
        <v>4/8/2002 12:00:00 AM</v>
      </c>
      <c r="O820" t="s">
        <v>2176</v>
      </c>
    </row>
    <row r="821" spans="1:20" x14ac:dyDescent="0.25">
      <c r="A821" t="str">
        <f>"3065467"</f>
        <v>3065467</v>
      </c>
      <c r="B821" t="s">
        <v>2178</v>
      </c>
      <c r="C821" t="str">
        <f>"82518459"</f>
        <v>82518459</v>
      </c>
      <c r="D821" t="s">
        <v>2179</v>
      </c>
      <c r="E821" t="s">
        <v>2180</v>
      </c>
      <c r="F821" t="s">
        <v>2181</v>
      </c>
      <c r="I821" t="s">
        <v>2071</v>
      </c>
      <c r="J821" t="s">
        <v>30</v>
      </c>
      <c r="K821" t="s">
        <v>185</v>
      </c>
      <c r="M821" t="s">
        <v>32</v>
      </c>
      <c r="N821" t="str">
        <f>"9/12/2005 12:00:00 AM"</f>
        <v>9/12/2005 12:00:00 AM</v>
      </c>
      <c r="O821" t="s">
        <v>2179</v>
      </c>
      <c r="T821" t="s">
        <v>2180</v>
      </c>
    </row>
    <row r="822" spans="1:20" x14ac:dyDescent="0.25">
      <c r="A822" t="str">
        <f>"3041342"</f>
        <v>3041342</v>
      </c>
      <c r="B822" t="s">
        <v>2182</v>
      </c>
      <c r="C822" t="str">
        <f>"82529821"</f>
        <v>82529821</v>
      </c>
      <c r="D822" t="s">
        <v>2183</v>
      </c>
      <c r="F822" t="s">
        <v>2184</v>
      </c>
      <c r="I822" t="s">
        <v>2071</v>
      </c>
      <c r="J822" t="s">
        <v>30</v>
      </c>
      <c r="K822" t="s">
        <v>185</v>
      </c>
      <c r="M822" t="s">
        <v>32</v>
      </c>
      <c r="N822" t="str">
        <f>"7/8/2008 12:00:00 AM"</f>
        <v>7/8/2008 12:00:00 AM</v>
      </c>
      <c r="O822" t="s">
        <v>2183</v>
      </c>
    </row>
    <row r="823" spans="1:20" x14ac:dyDescent="0.25">
      <c r="A823" t="str">
        <f>"3041347"</f>
        <v>3041347</v>
      </c>
      <c r="B823" t="s">
        <v>2185</v>
      </c>
      <c r="C823" t="str">
        <f>"82517610"</f>
        <v>82517610</v>
      </c>
      <c r="D823" t="s">
        <v>2186</v>
      </c>
      <c r="E823" t="s">
        <v>2187</v>
      </c>
      <c r="F823" t="s">
        <v>2188</v>
      </c>
      <c r="I823" t="s">
        <v>2071</v>
      </c>
      <c r="J823" t="s">
        <v>30</v>
      </c>
      <c r="K823" t="s">
        <v>185</v>
      </c>
      <c r="M823" t="s">
        <v>32</v>
      </c>
      <c r="N823" t="str">
        <f>"1/22/2002 12:00:00 AM"</f>
        <v>1/22/2002 12:00:00 AM</v>
      </c>
      <c r="O823" t="s">
        <v>2186</v>
      </c>
      <c r="T823" t="s">
        <v>2187</v>
      </c>
    </row>
    <row r="824" spans="1:20" x14ac:dyDescent="0.25">
      <c r="A824" t="str">
        <f>"3041348"</f>
        <v>3041348</v>
      </c>
      <c r="B824" t="s">
        <v>2189</v>
      </c>
      <c r="C824" t="str">
        <f>"82529726"</f>
        <v>82529726</v>
      </c>
      <c r="D824" t="s">
        <v>2190</v>
      </c>
      <c r="F824" t="s">
        <v>2191</v>
      </c>
      <c r="I824" t="s">
        <v>2071</v>
      </c>
      <c r="J824" t="s">
        <v>30</v>
      </c>
      <c r="K824" t="s">
        <v>185</v>
      </c>
      <c r="M824" t="s">
        <v>32</v>
      </c>
      <c r="N824" t="str">
        <f>"6/11/2008 12:00:00 AM"</f>
        <v>6/11/2008 12:00:00 AM</v>
      </c>
      <c r="O824" t="s">
        <v>2190</v>
      </c>
    </row>
    <row r="825" spans="1:20" x14ac:dyDescent="0.25">
      <c r="A825" t="str">
        <f>"3061528"</f>
        <v>3061528</v>
      </c>
      <c r="B825" t="s">
        <v>2192</v>
      </c>
      <c r="C825" t="str">
        <f>"56288000"</f>
        <v>56288000</v>
      </c>
      <c r="D825" t="s">
        <v>2193</v>
      </c>
      <c r="E825" t="s">
        <v>2194</v>
      </c>
      <c r="F825" t="s">
        <v>2195</v>
      </c>
      <c r="I825" t="s">
        <v>184</v>
      </c>
      <c r="J825" t="s">
        <v>30</v>
      </c>
      <c r="K825" t="s">
        <v>185</v>
      </c>
      <c r="M825" t="s">
        <v>32</v>
      </c>
      <c r="N825" t="str">
        <f>"3/29/2004 12:00:00 AM"</f>
        <v>3/29/2004 12:00:00 AM</v>
      </c>
      <c r="O825" t="s">
        <v>2193</v>
      </c>
      <c r="T825" t="s">
        <v>2194</v>
      </c>
    </row>
    <row r="826" spans="1:20" x14ac:dyDescent="0.25">
      <c r="A826" t="str">
        <f>"3041381"</f>
        <v>3041381</v>
      </c>
      <c r="B826" t="s">
        <v>2196</v>
      </c>
      <c r="C826" t="str">
        <f>"82519281"</f>
        <v>82519281</v>
      </c>
      <c r="D826" t="s">
        <v>2197</v>
      </c>
      <c r="E826" t="s">
        <v>2198</v>
      </c>
      <c r="F826" t="s">
        <v>2199</v>
      </c>
      <c r="I826" t="s">
        <v>2071</v>
      </c>
      <c r="J826" t="s">
        <v>30</v>
      </c>
      <c r="K826" t="s">
        <v>2200</v>
      </c>
      <c r="M826" t="s">
        <v>32</v>
      </c>
      <c r="N826" t="str">
        <f>"1/25/2006 12:00:00 AM"</f>
        <v>1/25/2006 12:00:00 AM</v>
      </c>
      <c r="O826" t="s">
        <v>2197</v>
      </c>
      <c r="T826" t="s">
        <v>2198</v>
      </c>
    </row>
    <row r="827" spans="1:20" x14ac:dyDescent="0.25">
      <c r="A827" t="str">
        <f>"3041374"</f>
        <v>3041374</v>
      </c>
      <c r="B827" t="s">
        <v>2201</v>
      </c>
      <c r="C827" t="str">
        <f>"82529667"</f>
        <v>82529667</v>
      </c>
      <c r="D827" t="s">
        <v>2202</v>
      </c>
      <c r="E827" t="s">
        <v>2203</v>
      </c>
      <c r="F827" t="s">
        <v>2204</v>
      </c>
      <c r="I827" t="s">
        <v>2071</v>
      </c>
      <c r="J827" t="s">
        <v>30</v>
      </c>
      <c r="K827" t="s">
        <v>185</v>
      </c>
      <c r="M827" t="s">
        <v>32</v>
      </c>
      <c r="N827" t="str">
        <f>"5/29/2008 12:00:00 AM"</f>
        <v>5/29/2008 12:00:00 AM</v>
      </c>
      <c r="O827" t="s">
        <v>2202</v>
      </c>
      <c r="T827" t="s">
        <v>2203</v>
      </c>
    </row>
    <row r="828" spans="1:20" x14ac:dyDescent="0.25">
      <c r="A828" t="str">
        <f>"3041396"</f>
        <v>3041396</v>
      </c>
      <c r="B828" t="s">
        <v>2205</v>
      </c>
      <c r="C828" t="str">
        <f>"82523380"</f>
        <v>82523380</v>
      </c>
      <c r="D828" t="s">
        <v>2206</v>
      </c>
      <c r="E828" t="s">
        <v>2207</v>
      </c>
      <c r="F828" t="s">
        <v>2208</v>
      </c>
      <c r="I828" t="s">
        <v>2071</v>
      </c>
      <c r="J828" t="s">
        <v>30</v>
      </c>
      <c r="K828" t="s">
        <v>2209</v>
      </c>
      <c r="M828" t="s">
        <v>32</v>
      </c>
      <c r="N828" t="str">
        <f>"2/21/2005 12:00:00 AM"</f>
        <v>2/21/2005 12:00:00 AM</v>
      </c>
      <c r="O828" t="s">
        <v>2206</v>
      </c>
      <c r="T828" t="s">
        <v>2207</v>
      </c>
    </row>
    <row r="829" spans="1:20" x14ac:dyDescent="0.25">
      <c r="A829" t="str">
        <f>"3066052"</f>
        <v>3066052</v>
      </c>
      <c r="B829" t="s">
        <v>2210</v>
      </c>
      <c r="C829" t="str">
        <f>"82521584"</f>
        <v>82521584</v>
      </c>
      <c r="D829" t="s">
        <v>2211</v>
      </c>
      <c r="F829" t="s">
        <v>2212</v>
      </c>
      <c r="I829" t="s">
        <v>2071</v>
      </c>
      <c r="J829" t="s">
        <v>30</v>
      </c>
      <c r="K829" t="s">
        <v>185</v>
      </c>
      <c r="M829" t="s">
        <v>32</v>
      </c>
      <c r="N829" t="str">
        <f>"10/9/2003 12:00:00 AM"</f>
        <v>10/9/2003 12:00:00 AM</v>
      </c>
      <c r="O829" t="s">
        <v>2211</v>
      </c>
    </row>
    <row r="830" spans="1:20" x14ac:dyDescent="0.25">
      <c r="A830" t="str">
        <f>"3041077"</f>
        <v>3041077</v>
      </c>
      <c r="B830" t="s">
        <v>2213</v>
      </c>
      <c r="C830" t="str">
        <f>"82529244"</f>
        <v>82529244</v>
      </c>
      <c r="D830" t="s">
        <v>2214</v>
      </c>
      <c r="F830" t="s">
        <v>2215</v>
      </c>
      <c r="I830" t="s">
        <v>2071</v>
      </c>
      <c r="J830" t="s">
        <v>30</v>
      </c>
      <c r="K830" t="s">
        <v>185</v>
      </c>
      <c r="M830" t="s">
        <v>32</v>
      </c>
      <c r="N830" t="str">
        <f>"3/4/2008 12:00:00 AM"</f>
        <v>3/4/2008 12:00:00 AM</v>
      </c>
      <c r="O830" t="s">
        <v>2214</v>
      </c>
    </row>
    <row r="831" spans="1:20" x14ac:dyDescent="0.25">
      <c r="A831" t="str">
        <f>"3061512"</f>
        <v>3061512</v>
      </c>
      <c r="B831" t="s">
        <v>2216</v>
      </c>
      <c r="C831" t="str">
        <f>"82523934"</f>
        <v>82523934</v>
      </c>
      <c r="D831" t="s">
        <v>2217</v>
      </c>
      <c r="F831" t="s">
        <v>2218</v>
      </c>
      <c r="I831" t="s">
        <v>184</v>
      </c>
      <c r="J831" t="s">
        <v>30</v>
      </c>
      <c r="K831" t="s">
        <v>185</v>
      </c>
      <c r="M831" t="s">
        <v>32</v>
      </c>
      <c r="N831" t="str">
        <f>"2/15/2005 12:00:00 AM"</f>
        <v>2/15/2005 12:00:00 AM</v>
      </c>
      <c r="O831" t="s">
        <v>2217</v>
      </c>
    </row>
    <row r="832" spans="1:20" x14ac:dyDescent="0.25">
      <c r="A832" t="str">
        <f>"3061521"</f>
        <v>3061521</v>
      </c>
      <c r="B832" t="s">
        <v>2219</v>
      </c>
      <c r="C832" t="str">
        <f>"6415120"</f>
        <v>6415120</v>
      </c>
      <c r="D832" t="s">
        <v>2220</v>
      </c>
      <c r="E832" t="s">
        <v>2221</v>
      </c>
      <c r="F832" t="s">
        <v>2222</v>
      </c>
      <c r="I832" t="s">
        <v>184</v>
      </c>
      <c r="J832" t="s">
        <v>30</v>
      </c>
      <c r="K832" t="s">
        <v>185</v>
      </c>
      <c r="M832" t="s">
        <v>32</v>
      </c>
      <c r="N832" t="str">
        <f>"4/8/2002 12:00:00 AM"</f>
        <v>4/8/2002 12:00:00 AM</v>
      </c>
      <c r="O832" t="s">
        <v>2220</v>
      </c>
      <c r="T832" t="s">
        <v>2221</v>
      </c>
    </row>
    <row r="833" spans="1:20" x14ac:dyDescent="0.25">
      <c r="A833" t="str">
        <f>"3061131"</f>
        <v>3061131</v>
      </c>
      <c r="B833" t="s">
        <v>2223</v>
      </c>
      <c r="C833" t="str">
        <f>"82521428"</f>
        <v>82521428</v>
      </c>
      <c r="D833" t="s">
        <v>2224</v>
      </c>
      <c r="F833" t="s">
        <v>2225</v>
      </c>
      <c r="I833" t="s">
        <v>2071</v>
      </c>
      <c r="J833" t="s">
        <v>30</v>
      </c>
      <c r="K833" t="s">
        <v>185</v>
      </c>
      <c r="M833" t="s">
        <v>32</v>
      </c>
      <c r="N833" t="str">
        <f>"8/26/2008 12:00:00 AM"</f>
        <v>8/26/2008 12:00:00 AM</v>
      </c>
      <c r="O833" t="s">
        <v>2224</v>
      </c>
    </row>
    <row r="834" spans="1:20" x14ac:dyDescent="0.25">
      <c r="A834" t="str">
        <f>"3061171"</f>
        <v>3061171</v>
      </c>
      <c r="B834" t="s">
        <v>2226</v>
      </c>
      <c r="C834" t="str">
        <f>"82524490"</f>
        <v>82524490</v>
      </c>
      <c r="D834" t="s">
        <v>2227</v>
      </c>
      <c r="E834" t="s">
        <v>2228</v>
      </c>
      <c r="F834" t="s">
        <v>2229</v>
      </c>
      <c r="I834" t="s">
        <v>2071</v>
      </c>
      <c r="J834" t="s">
        <v>30</v>
      </c>
      <c r="K834" t="s">
        <v>185</v>
      </c>
      <c r="M834" t="s">
        <v>32</v>
      </c>
      <c r="N834" t="str">
        <f>"6/3/2005 12:00:00 AM"</f>
        <v>6/3/2005 12:00:00 AM</v>
      </c>
      <c r="O834" t="s">
        <v>2227</v>
      </c>
      <c r="T834" t="s">
        <v>2228</v>
      </c>
    </row>
    <row r="835" spans="1:20" x14ac:dyDescent="0.25">
      <c r="A835" t="str">
        <f>"3061172"</f>
        <v>3061172</v>
      </c>
      <c r="B835" t="s">
        <v>2230</v>
      </c>
      <c r="C835" t="str">
        <f>"82527794"</f>
        <v>82527794</v>
      </c>
      <c r="D835" t="s">
        <v>2231</v>
      </c>
      <c r="F835" t="s">
        <v>2232</v>
      </c>
      <c r="I835" t="s">
        <v>2071</v>
      </c>
      <c r="J835" t="s">
        <v>30</v>
      </c>
      <c r="K835" t="s">
        <v>2233</v>
      </c>
      <c r="M835" t="s">
        <v>32</v>
      </c>
      <c r="N835" t="str">
        <f>"1/15/2008 12:00:00 AM"</f>
        <v>1/15/2008 12:00:00 AM</v>
      </c>
      <c r="O835" t="s">
        <v>2231</v>
      </c>
    </row>
    <row r="836" spans="1:20" x14ac:dyDescent="0.25">
      <c r="A836" t="str">
        <f>"3061502"</f>
        <v>3061502</v>
      </c>
      <c r="B836" t="s">
        <v>2234</v>
      </c>
      <c r="C836" t="str">
        <f>"73594000"</f>
        <v>73594000</v>
      </c>
      <c r="D836" t="s">
        <v>2235</v>
      </c>
      <c r="E836" t="s">
        <v>2236</v>
      </c>
      <c r="F836" t="s">
        <v>2237</v>
      </c>
      <c r="I836" t="s">
        <v>184</v>
      </c>
      <c r="J836" t="s">
        <v>30</v>
      </c>
      <c r="K836" t="s">
        <v>2238</v>
      </c>
      <c r="M836" t="s">
        <v>32</v>
      </c>
      <c r="N836" t="str">
        <f>"2/21/2006 12:00:00 AM"</f>
        <v>2/21/2006 12:00:00 AM</v>
      </c>
      <c r="O836" t="s">
        <v>2235</v>
      </c>
      <c r="T836" t="s">
        <v>2236</v>
      </c>
    </row>
    <row r="837" spans="1:20" x14ac:dyDescent="0.25">
      <c r="A837" t="str">
        <f>"3061134"</f>
        <v>3061134</v>
      </c>
      <c r="B837" t="s">
        <v>2239</v>
      </c>
      <c r="C837" t="str">
        <f>"82529462"</f>
        <v>82529462</v>
      </c>
      <c r="D837" t="s">
        <v>2240</v>
      </c>
      <c r="F837" t="s">
        <v>2241</v>
      </c>
      <c r="I837" t="s">
        <v>2071</v>
      </c>
      <c r="J837" t="s">
        <v>30</v>
      </c>
      <c r="K837" t="s">
        <v>185</v>
      </c>
      <c r="M837" t="s">
        <v>32</v>
      </c>
      <c r="N837" t="str">
        <f>"4/22/2008 12:00:00 AM"</f>
        <v>4/22/2008 12:00:00 AM</v>
      </c>
      <c r="O837" t="s">
        <v>2240</v>
      </c>
    </row>
    <row r="838" spans="1:20" x14ac:dyDescent="0.25">
      <c r="A838" t="str">
        <f>"3061186"</f>
        <v>3061186</v>
      </c>
      <c r="B838" t="s">
        <v>2242</v>
      </c>
      <c r="C838" t="str">
        <f>"82530144"</f>
        <v>82530144</v>
      </c>
      <c r="D838" t="s">
        <v>2243</v>
      </c>
      <c r="F838" t="s">
        <v>2244</v>
      </c>
      <c r="I838" t="s">
        <v>2071</v>
      </c>
      <c r="J838" t="s">
        <v>30</v>
      </c>
      <c r="K838" t="s">
        <v>185</v>
      </c>
      <c r="M838" t="s">
        <v>32</v>
      </c>
      <c r="N838" t="str">
        <f>"10/3/2008 12:00:00 AM"</f>
        <v>10/3/2008 12:00:00 AM</v>
      </c>
      <c r="O838" t="s">
        <v>2243</v>
      </c>
    </row>
    <row r="839" spans="1:20" x14ac:dyDescent="0.25">
      <c r="A839" t="str">
        <f>"3061187"</f>
        <v>3061187</v>
      </c>
      <c r="B839" t="s">
        <v>2245</v>
      </c>
      <c r="C839" t="str">
        <f>"82528992"</f>
        <v>82528992</v>
      </c>
      <c r="D839" t="s">
        <v>2246</v>
      </c>
      <c r="F839" t="s">
        <v>2247</v>
      </c>
      <c r="G839" t="s">
        <v>2248</v>
      </c>
      <c r="I839" t="s">
        <v>2071</v>
      </c>
      <c r="J839" t="s">
        <v>30</v>
      </c>
      <c r="K839" t="s">
        <v>185</v>
      </c>
      <c r="M839" t="s">
        <v>32</v>
      </c>
      <c r="N839" t="str">
        <f>"12/27/2007 12:00:00 AM"</f>
        <v>12/27/2007 12:00:00 AM</v>
      </c>
      <c r="O839" t="s">
        <v>2246</v>
      </c>
    </row>
    <row r="840" spans="1:20" x14ac:dyDescent="0.25">
      <c r="A840" t="str">
        <f>"3061190"</f>
        <v>3061190</v>
      </c>
      <c r="B840" t="s">
        <v>2249</v>
      </c>
      <c r="C840" t="str">
        <f>"82527335"</f>
        <v>82527335</v>
      </c>
      <c r="D840" t="s">
        <v>2250</v>
      </c>
      <c r="F840" t="s">
        <v>2251</v>
      </c>
      <c r="I840" t="s">
        <v>2071</v>
      </c>
      <c r="J840" t="s">
        <v>30</v>
      </c>
      <c r="K840" t="s">
        <v>185</v>
      </c>
      <c r="M840" t="s">
        <v>32</v>
      </c>
      <c r="N840" t="str">
        <f>"12/28/2006 12:00:00 AM"</f>
        <v>12/28/2006 12:00:00 AM</v>
      </c>
      <c r="O840" t="s">
        <v>2250</v>
      </c>
    </row>
    <row r="841" spans="1:20" x14ac:dyDescent="0.25">
      <c r="A841" t="str">
        <f>"3061191"</f>
        <v>3061191</v>
      </c>
      <c r="B841" t="s">
        <v>2252</v>
      </c>
      <c r="C841" t="str">
        <f>"82525635"</f>
        <v>82525635</v>
      </c>
      <c r="D841" t="s">
        <v>2253</v>
      </c>
      <c r="E841" t="s">
        <v>2254</v>
      </c>
      <c r="F841" t="s">
        <v>2255</v>
      </c>
      <c r="I841" t="s">
        <v>2071</v>
      </c>
      <c r="J841" t="s">
        <v>30</v>
      </c>
      <c r="K841" t="s">
        <v>185</v>
      </c>
      <c r="M841" t="s">
        <v>32</v>
      </c>
      <c r="N841" t="str">
        <f>"2/15/2007 12:00:00 AM"</f>
        <v>2/15/2007 12:00:00 AM</v>
      </c>
      <c r="O841" t="s">
        <v>2253</v>
      </c>
      <c r="T841" t="s">
        <v>2254</v>
      </c>
    </row>
    <row r="842" spans="1:20" x14ac:dyDescent="0.25">
      <c r="A842" t="str">
        <f>"3061138"</f>
        <v>3061138</v>
      </c>
      <c r="B842" t="s">
        <v>2256</v>
      </c>
      <c r="C842" t="str">
        <f>"82527554"</f>
        <v>82527554</v>
      </c>
      <c r="D842" t="s">
        <v>2257</v>
      </c>
      <c r="F842" t="s">
        <v>2258</v>
      </c>
      <c r="I842" t="s">
        <v>2071</v>
      </c>
      <c r="J842" t="s">
        <v>30</v>
      </c>
      <c r="K842" t="s">
        <v>185</v>
      </c>
      <c r="M842" t="s">
        <v>32</v>
      </c>
      <c r="N842" t="str">
        <f>"2/10/2010 12:00:00 AM"</f>
        <v>2/10/2010 12:00:00 AM</v>
      </c>
      <c r="O842" t="s">
        <v>2257</v>
      </c>
    </row>
    <row r="843" spans="1:20" x14ac:dyDescent="0.25">
      <c r="A843" t="str">
        <f>"3061499"</f>
        <v>3061499</v>
      </c>
      <c r="B843" t="s">
        <v>2259</v>
      </c>
      <c r="C843" t="str">
        <f>"82530134"</f>
        <v>82530134</v>
      </c>
      <c r="D843" t="s">
        <v>2260</v>
      </c>
      <c r="F843" t="s">
        <v>2261</v>
      </c>
      <c r="I843" t="s">
        <v>184</v>
      </c>
      <c r="J843" t="s">
        <v>30</v>
      </c>
      <c r="K843" t="s">
        <v>185</v>
      </c>
      <c r="M843" t="s">
        <v>32</v>
      </c>
      <c r="N843" t="str">
        <f>"9/26/2008 12:00:00 AM"</f>
        <v>9/26/2008 12:00:00 AM</v>
      </c>
      <c r="O843" t="s">
        <v>2260</v>
      </c>
    </row>
    <row r="844" spans="1:20" x14ac:dyDescent="0.25">
      <c r="A844" t="str">
        <f>"3061494"</f>
        <v>3061494</v>
      </c>
      <c r="B844" t="s">
        <v>2262</v>
      </c>
      <c r="C844" t="str">
        <f>"3432000"</f>
        <v>3432000</v>
      </c>
      <c r="D844" t="s">
        <v>2263</v>
      </c>
      <c r="E844" t="s">
        <v>2264</v>
      </c>
      <c r="F844" t="s">
        <v>2265</v>
      </c>
      <c r="I844" t="s">
        <v>184</v>
      </c>
      <c r="J844" t="s">
        <v>30</v>
      </c>
      <c r="K844" t="s">
        <v>185</v>
      </c>
      <c r="M844" t="s">
        <v>32</v>
      </c>
      <c r="N844" t="str">
        <f>"4/8/2002 12:00:00 AM"</f>
        <v>4/8/2002 12:00:00 AM</v>
      </c>
      <c r="O844" t="s">
        <v>2263</v>
      </c>
      <c r="T844" t="s">
        <v>2264</v>
      </c>
    </row>
    <row r="845" spans="1:20" x14ac:dyDescent="0.25">
      <c r="A845" t="str">
        <f>"3040485"</f>
        <v>3040485</v>
      </c>
      <c r="B845" t="s">
        <v>2266</v>
      </c>
      <c r="C845" t="str">
        <f>"1480000"</f>
        <v>1480000</v>
      </c>
      <c r="D845" t="s">
        <v>2267</v>
      </c>
      <c r="E845" t="s">
        <v>2268</v>
      </c>
      <c r="F845" t="s">
        <v>2269</v>
      </c>
      <c r="I845" t="s">
        <v>184</v>
      </c>
      <c r="J845" t="s">
        <v>30</v>
      </c>
      <c r="K845" t="s">
        <v>185</v>
      </c>
      <c r="M845" t="s">
        <v>32</v>
      </c>
      <c r="N845" t="str">
        <f>"1/12/2010 12:00:00 AM"</f>
        <v>1/12/2010 12:00:00 AM</v>
      </c>
      <c r="O845" t="s">
        <v>2267</v>
      </c>
      <c r="T845" t="s">
        <v>2268</v>
      </c>
    </row>
    <row r="846" spans="1:20" x14ac:dyDescent="0.25">
      <c r="A846" t="str">
        <f>"3037220"</f>
        <v>3037220</v>
      </c>
      <c r="B846" t="s">
        <v>2270</v>
      </c>
      <c r="C846" t="str">
        <f>"82525053"</f>
        <v>82525053</v>
      </c>
      <c r="D846" t="s">
        <v>2064</v>
      </c>
      <c r="E846" t="s">
        <v>2271</v>
      </c>
      <c r="F846" t="s">
        <v>2065</v>
      </c>
      <c r="I846" t="s">
        <v>184</v>
      </c>
      <c r="J846" t="s">
        <v>30</v>
      </c>
      <c r="K846" t="s">
        <v>185</v>
      </c>
      <c r="M846" t="s">
        <v>32</v>
      </c>
      <c r="N846" t="str">
        <f>"9/1/2005 12:00:00 AM"</f>
        <v>9/1/2005 12:00:00 AM</v>
      </c>
      <c r="O846" t="s">
        <v>2064</v>
      </c>
      <c r="T846" t="s">
        <v>2271</v>
      </c>
    </row>
    <row r="847" spans="1:20" x14ac:dyDescent="0.25">
      <c r="A847" t="str">
        <f>"3041085"</f>
        <v>3041085</v>
      </c>
      <c r="B847" t="s">
        <v>2272</v>
      </c>
      <c r="C847" t="str">
        <f>"82529081"</f>
        <v>82529081</v>
      </c>
      <c r="D847" t="s">
        <v>2273</v>
      </c>
      <c r="F847" t="s">
        <v>2274</v>
      </c>
      <c r="I847" t="s">
        <v>2275</v>
      </c>
      <c r="J847" t="s">
        <v>30</v>
      </c>
      <c r="K847" t="s">
        <v>2276</v>
      </c>
      <c r="M847" t="s">
        <v>32</v>
      </c>
      <c r="N847" t="str">
        <f>"1/9/2008 12:00:00 AM"</f>
        <v>1/9/2008 12:00:00 AM</v>
      </c>
      <c r="O847" t="s">
        <v>2273</v>
      </c>
    </row>
    <row r="848" spans="1:20" x14ac:dyDescent="0.25">
      <c r="A848" t="str">
        <f>"3041084"</f>
        <v>3041084</v>
      </c>
      <c r="B848" t="s">
        <v>2277</v>
      </c>
      <c r="C848" t="str">
        <f>"82529453"</f>
        <v>82529453</v>
      </c>
      <c r="D848" t="s">
        <v>2278</v>
      </c>
      <c r="F848" t="s">
        <v>2279</v>
      </c>
      <c r="I848" t="s">
        <v>2280</v>
      </c>
      <c r="J848" t="s">
        <v>30</v>
      </c>
      <c r="K848" t="s">
        <v>2281</v>
      </c>
      <c r="M848" t="s">
        <v>32</v>
      </c>
      <c r="N848" t="str">
        <f>"4/21/2008 12:00:00 AM"</f>
        <v>4/21/2008 12:00:00 AM</v>
      </c>
      <c r="O848" t="s">
        <v>2278</v>
      </c>
    </row>
    <row r="849" spans="1:20" x14ac:dyDescent="0.25">
      <c r="A849" t="str">
        <f>"3041109"</f>
        <v>3041109</v>
      </c>
      <c r="B849" t="s">
        <v>2282</v>
      </c>
      <c r="C849" t="str">
        <f>"82524827"</f>
        <v>82524827</v>
      </c>
      <c r="D849" t="s">
        <v>2283</v>
      </c>
      <c r="F849" t="s">
        <v>2284</v>
      </c>
      <c r="I849" t="s">
        <v>2071</v>
      </c>
      <c r="J849" t="s">
        <v>30</v>
      </c>
      <c r="K849" t="s">
        <v>185</v>
      </c>
      <c r="M849" t="s">
        <v>32</v>
      </c>
      <c r="N849" t="str">
        <f>"12/19/2008 12:00:00 AM"</f>
        <v>12/19/2008 12:00:00 AM</v>
      </c>
      <c r="O849" t="s">
        <v>2283</v>
      </c>
    </row>
    <row r="850" spans="1:20" x14ac:dyDescent="0.25">
      <c r="A850" t="str">
        <f>"3041091"</f>
        <v>3041091</v>
      </c>
      <c r="B850" t="s">
        <v>2285</v>
      </c>
      <c r="C850" t="str">
        <f>"82525394"</f>
        <v>82525394</v>
      </c>
      <c r="D850" t="s">
        <v>2286</v>
      </c>
      <c r="F850" t="str">
        <f>"C/O JOAN WOODWARD"</f>
        <v>C/O JOAN WOODWARD</v>
      </c>
      <c r="G850" t="s">
        <v>2287</v>
      </c>
      <c r="I850" t="s">
        <v>2071</v>
      </c>
      <c r="J850" t="s">
        <v>30</v>
      </c>
      <c r="K850" t="s">
        <v>185</v>
      </c>
      <c r="M850" t="s">
        <v>32</v>
      </c>
      <c r="N850" t="str">
        <f>"6/2/2008 12:00:00 AM"</f>
        <v>6/2/2008 12:00:00 AM</v>
      </c>
      <c r="O850" t="s">
        <v>2286</v>
      </c>
    </row>
    <row r="851" spans="1:20" x14ac:dyDescent="0.25">
      <c r="A851" t="str">
        <f>"3042028"</f>
        <v>3042028</v>
      </c>
      <c r="B851" t="s">
        <v>2288</v>
      </c>
      <c r="C851" t="str">
        <f>"82517463"</f>
        <v>82517463</v>
      </c>
      <c r="D851" t="s">
        <v>2289</v>
      </c>
      <c r="F851" t="s">
        <v>2290</v>
      </c>
      <c r="I851" t="s">
        <v>2291</v>
      </c>
      <c r="J851" t="s">
        <v>30</v>
      </c>
      <c r="K851" t="s">
        <v>2292</v>
      </c>
      <c r="M851" t="s">
        <v>32</v>
      </c>
      <c r="N851" t="str">
        <f>"11/16/2001 12:00:00 AM"</f>
        <v>11/16/2001 12:00:00 AM</v>
      </c>
      <c r="O851" t="s">
        <v>2289</v>
      </c>
    </row>
    <row r="852" spans="1:20" x14ac:dyDescent="0.25">
      <c r="A852" t="str">
        <f>"3042075"</f>
        <v>3042075</v>
      </c>
      <c r="B852" t="s">
        <v>2293</v>
      </c>
      <c r="C852" t="str">
        <f>"82517463"</f>
        <v>82517463</v>
      </c>
      <c r="D852" t="s">
        <v>2289</v>
      </c>
      <c r="F852" t="s">
        <v>2290</v>
      </c>
      <c r="I852" t="s">
        <v>2291</v>
      </c>
      <c r="J852" t="s">
        <v>30</v>
      </c>
      <c r="K852" t="s">
        <v>2292</v>
      </c>
      <c r="M852" t="s">
        <v>32</v>
      </c>
      <c r="N852" t="str">
        <f>"11/16/2001 12:00:00 AM"</f>
        <v>11/16/2001 12:00:00 AM</v>
      </c>
      <c r="O852" t="s">
        <v>2289</v>
      </c>
    </row>
    <row r="853" spans="1:20" x14ac:dyDescent="0.25">
      <c r="A853" t="str">
        <f>"3037208"</f>
        <v>3037208</v>
      </c>
      <c r="B853" t="s">
        <v>2294</v>
      </c>
      <c r="C853" t="str">
        <f>"82525053"</f>
        <v>82525053</v>
      </c>
      <c r="D853" t="s">
        <v>2064</v>
      </c>
      <c r="E853" t="s">
        <v>2271</v>
      </c>
      <c r="F853" t="s">
        <v>2065</v>
      </c>
      <c r="I853" t="s">
        <v>184</v>
      </c>
      <c r="J853" t="s">
        <v>30</v>
      </c>
      <c r="K853" t="s">
        <v>185</v>
      </c>
      <c r="M853" t="s">
        <v>32</v>
      </c>
      <c r="N853" t="str">
        <f>"9/1/2005 12:00:00 AM"</f>
        <v>9/1/2005 12:00:00 AM</v>
      </c>
      <c r="O853" t="s">
        <v>2064</v>
      </c>
      <c r="T853" t="s">
        <v>2271</v>
      </c>
    </row>
    <row r="854" spans="1:20" x14ac:dyDescent="0.25">
      <c r="A854" t="str">
        <f>"3066998"</f>
        <v>3066998</v>
      </c>
      <c r="B854" t="s">
        <v>2295</v>
      </c>
      <c r="C854" t="str">
        <f>"82519638"</f>
        <v>82519638</v>
      </c>
      <c r="D854" t="s">
        <v>2296</v>
      </c>
      <c r="E854" t="s">
        <v>2297</v>
      </c>
      <c r="F854" t="s">
        <v>2298</v>
      </c>
      <c r="I854" t="s">
        <v>2071</v>
      </c>
      <c r="J854" t="s">
        <v>30</v>
      </c>
      <c r="K854" t="s">
        <v>185</v>
      </c>
      <c r="M854" t="s">
        <v>32</v>
      </c>
      <c r="N854" t="str">
        <f>"10/23/2002 12:00:00 AM"</f>
        <v>10/23/2002 12:00:00 AM</v>
      </c>
      <c r="O854" t="s">
        <v>2296</v>
      </c>
      <c r="T854" t="s">
        <v>2297</v>
      </c>
    </row>
    <row r="855" spans="1:20" x14ac:dyDescent="0.25">
      <c r="A855" t="str">
        <f>"3041402"</f>
        <v>3041402</v>
      </c>
      <c r="B855" t="s">
        <v>2299</v>
      </c>
      <c r="C855" t="str">
        <f>"50118000"</f>
        <v>50118000</v>
      </c>
      <c r="D855" t="s">
        <v>2300</v>
      </c>
      <c r="F855" t="s">
        <v>2301</v>
      </c>
      <c r="I855" t="s">
        <v>2071</v>
      </c>
      <c r="J855" t="s">
        <v>30</v>
      </c>
      <c r="K855" t="s">
        <v>185</v>
      </c>
      <c r="M855" t="s">
        <v>32</v>
      </c>
      <c r="N855" t="str">
        <f>"1/7/2004 12:00:00 AM"</f>
        <v>1/7/2004 12:00:00 AM</v>
      </c>
      <c r="O855" t="s">
        <v>2300</v>
      </c>
    </row>
    <row r="856" spans="1:20" x14ac:dyDescent="0.25">
      <c r="A856" t="str">
        <f>"3042300"</f>
        <v>3042300</v>
      </c>
      <c r="B856" t="s">
        <v>2302</v>
      </c>
      <c r="C856" t="str">
        <f>"82515981"</f>
        <v>82515981</v>
      </c>
      <c r="D856" t="s">
        <v>2303</v>
      </c>
      <c r="E856" t="s">
        <v>2304</v>
      </c>
      <c r="F856" t="s">
        <v>2305</v>
      </c>
      <c r="I856" t="s">
        <v>29</v>
      </c>
      <c r="J856" t="s">
        <v>30</v>
      </c>
      <c r="K856" t="s">
        <v>31</v>
      </c>
      <c r="M856" t="s">
        <v>32</v>
      </c>
      <c r="N856" t="str">
        <f>"6/25/2007 12:00:00 AM"</f>
        <v>6/25/2007 12:00:00 AM</v>
      </c>
      <c r="O856" t="s">
        <v>2303</v>
      </c>
      <c r="T856" t="s">
        <v>2304</v>
      </c>
    </row>
    <row r="857" spans="1:20" x14ac:dyDescent="0.25">
      <c r="A857" t="str">
        <f>"3063506"</f>
        <v>3063506</v>
      </c>
      <c r="B857" t="s">
        <v>2306</v>
      </c>
      <c r="C857" t="str">
        <f>"82515981"</f>
        <v>82515981</v>
      </c>
      <c r="D857" t="s">
        <v>2303</v>
      </c>
      <c r="E857" t="s">
        <v>2304</v>
      </c>
      <c r="F857" t="s">
        <v>2305</v>
      </c>
      <c r="I857" t="s">
        <v>29</v>
      </c>
      <c r="J857" t="s">
        <v>30</v>
      </c>
      <c r="K857" t="s">
        <v>31</v>
      </c>
      <c r="M857" t="s">
        <v>32</v>
      </c>
      <c r="N857" t="str">
        <f>"6/25/2007 12:00:00 AM"</f>
        <v>6/25/2007 12:00:00 AM</v>
      </c>
      <c r="O857" t="s">
        <v>2303</v>
      </c>
      <c r="T857" t="s">
        <v>2304</v>
      </c>
    </row>
    <row r="858" spans="1:20" x14ac:dyDescent="0.25">
      <c r="A858" t="str">
        <f>"3063507"</f>
        <v>3063507</v>
      </c>
      <c r="B858" t="s">
        <v>2307</v>
      </c>
      <c r="C858" t="str">
        <f>"82515981"</f>
        <v>82515981</v>
      </c>
      <c r="D858" t="s">
        <v>2303</v>
      </c>
      <c r="E858" t="s">
        <v>2304</v>
      </c>
      <c r="F858" t="s">
        <v>2305</v>
      </c>
      <c r="I858" t="s">
        <v>29</v>
      </c>
      <c r="J858" t="s">
        <v>30</v>
      </c>
      <c r="K858" t="s">
        <v>31</v>
      </c>
      <c r="M858" t="s">
        <v>32</v>
      </c>
      <c r="N858" t="str">
        <f>"6/25/2007 12:00:00 AM"</f>
        <v>6/25/2007 12:00:00 AM</v>
      </c>
      <c r="O858" t="s">
        <v>2303</v>
      </c>
      <c r="T858" t="s">
        <v>2304</v>
      </c>
    </row>
    <row r="859" spans="1:20" x14ac:dyDescent="0.25">
      <c r="A859" t="str">
        <f>"3042301"</f>
        <v>3042301</v>
      </c>
      <c r="B859" t="s">
        <v>2308</v>
      </c>
      <c r="C859" t="str">
        <f>"82528075"</f>
        <v>82528075</v>
      </c>
      <c r="D859" t="s">
        <v>2309</v>
      </c>
      <c r="F859" t="s">
        <v>2310</v>
      </c>
      <c r="I859" t="s">
        <v>29</v>
      </c>
      <c r="J859" t="s">
        <v>30</v>
      </c>
      <c r="K859" t="s">
        <v>31</v>
      </c>
      <c r="M859" t="s">
        <v>32</v>
      </c>
      <c r="N859" t="str">
        <f>"5/31/2007 12:00:00 AM"</f>
        <v>5/31/2007 12:00:00 AM</v>
      </c>
      <c r="O859" t="s">
        <v>2309</v>
      </c>
    </row>
    <row r="860" spans="1:20" x14ac:dyDescent="0.25">
      <c r="A860" t="str">
        <f>"3070498"</f>
        <v>3070498</v>
      </c>
      <c r="B860" t="s">
        <v>2311</v>
      </c>
      <c r="C860" t="str">
        <f>"77748000"</f>
        <v>77748000</v>
      </c>
      <c r="D860" t="s">
        <v>2312</v>
      </c>
      <c r="E860" t="s">
        <v>2313</v>
      </c>
      <c r="F860" t="s">
        <v>2314</v>
      </c>
      <c r="I860" t="s">
        <v>29</v>
      </c>
      <c r="J860" t="s">
        <v>30</v>
      </c>
      <c r="K860" t="s">
        <v>2315</v>
      </c>
      <c r="M860" t="s">
        <v>32</v>
      </c>
      <c r="N860" t="str">
        <f>"1/12/2007 12:00:00 AM"</f>
        <v>1/12/2007 12:00:00 AM</v>
      </c>
      <c r="O860" t="s">
        <v>2312</v>
      </c>
      <c r="T860" t="s">
        <v>2313</v>
      </c>
    </row>
    <row r="861" spans="1:20" x14ac:dyDescent="0.25">
      <c r="A861" t="str">
        <f>"3042155"</f>
        <v>3042155</v>
      </c>
      <c r="B861" t="s">
        <v>2316</v>
      </c>
      <c r="C861" t="str">
        <f>"82524068"</f>
        <v>82524068</v>
      </c>
      <c r="D861" t="s">
        <v>2317</v>
      </c>
      <c r="F861" t="s">
        <v>2318</v>
      </c>
      <c r="I861" t="s">
        <v>29</v>
      </c>
      <c r="J861" t="s">
        <v>30</v>
      </c>
      <c r="K861" t="s">
        <v>2315</v>
      </c>
      <c r="M861" t="s">
        <v>32</v>
      </c>
      <c r="N861" t="str">
        <f>"1/17/2006 12:00:00 AM"</f>
        <v>1/17/2006 12:00:00 AM</v>
      </c>
      <c r="O861" t="s">
        <v>2317</v>
      </c>
    </row>
    <row r="862" spans="1:20" x14ac:dyDescent="0.25">
      <c r="A862" t="str">
        <f>"3041973"</f>
        <v>3041973</v>
      </c>
      <c r="B862" t="s">
        <v>2319</v>
      </c>
      <c r="C862" t="str">
        <f>"82524068"</f>
        <v>82524068</v>
      </c>
      <c r="D862" t="s">
        <v>2317</v>
      </c>
      <c r="F862" t="s">
        <v>2318</v>
      </c>
      <c r="I862" t="s">
        <v>29</v>
      </c>
      <c r="J862" t="s">
        <v>30</v>
      </c>
      <c r="K862" t="s">
        <v>2315</v>
      </c>
      <c r="M862" t="s">
        <v>32</v>
      </c>
      <c r="N862" t="str">
        <f>"1/17/2006 12:00:00 AM"</f>
        <v>1/17/2006 12:00:00 AM</v>
      </c>
      <c r="O862" t="s">
        <v>2317</v>
      </c>
    </row>
    <row r="863" spans="1:20" x14ac:dyDescent="0.25">
      <c r="A863" t="str">
        <f>"3042645"</f>
        <v>3042645</v>
      </c>
      <c r="B863" t="s">
        <v>2320</v>
      </c>
      <c r="C863" t="str">
        <f>"82524068"</f>
        <v>82524068</v>
      </c>
      <c r="D863" t="s">
        <v>2317</v>
      </c>
      <c r="F863" t="s">
        <v>2318</v>
      </c>
      <c r="I863" t="s">
        <v>29</v>
      </c>
      <c r="J863" t="s">
        <v>30</v>
      </c>
      <c r="K863" t="s">
        <v>2315</v>
      </c>
      <c r="M863" t="s">
        <v>32</v>
      </c>
      <c r="N863" t="str">
        <f>"1/17/2006 12:00:00 AM"</f>
        <v>1/17/2006 12:00:00 AM</v>
      </c>
      <c r="O863" t="s">
        <v>2317</v>
      </c>
    </row>
    <row r="864" spans="1:20" x14ac:dyDescent="0.25">
      <c r="A864" t="str">
        <f>"3042777"</f>
        <v>3042777</v>
      </c>
      <c r="B864" t="s">
        <v>2321</v>
      </c>
      <c r="C864" t="str">
        <f>"1756000"</f>
        <v>1756000</v>
      </c>
      <c r="D864" t="s">
        <v>2322</v>
      </c>
      <c r="E864" t="s">
        <v>2323</v>
      </c>
      <c r="F864" t="s">
        <v>2324</v>
      </c>
      <c r="I864" t="s">
        <v>29</v>
      </c>
      <c r="J864" t="s">
        <v>30</v>
      </c>
      <c r="K864" t="s">
        <v>31</v>
      </c>
      <c r="M864" t="s">
        <v>32</v>
      </c>
      <c r="N864" t="str">
        <f>"5/12/2003 12:00:00 AM"</f>
        <v>5/12/2003 12:00:00 AM</v>
      </c>
      <c r="O864" t="s">
        <v>2322</v>
      </c>
      <c r="T864" t="s">
        <v>2323</v>
      </c>
    </row>
    <row r="865" spans="1:20" x14ac:dyDescent="0.25">
      <c r="A865" t="str">
        <f>"3042786"</f>
        <v>3042786</v>
      </c>
      <c r="B865" t="s">
        <v>2325</v>
      </c>
      <c r="C865" t="str">
        <f>"82527999"</f>
        <v>82527999</v>
      </c>
      <c r="D865" t="s">
        <v>2326</v>
      </c>
      <c r="E865" t="s">
        <v>2327</v>
      </c>
      <c r="F865" t="s">
        <v>2328</v>
      </c>
      <c r="I865" t="s">
        <v>29</v>
      </c>
      <c r="J865" t="s">
        <v>30</v>
      </c>
      <c r="K865" t="s">
        <v>31</v>
      </c>
      <c r="M865" t="s">
        <v>32</v>
      </c>
      <c r="N865" t="str">
        <f>"5/22/2007 12:00:00 AM"</f>
        <v>5/22/2007 12:00:00 AM</v>
      </c>
      <c r="O865" t="s">
        <v>2326</v>
      </c>
      <c r="T865" t="s">
        <v>2327</v>
      </c>
    </row>
    <row r="866" spans="1:20" x14ac:dyDescent="0.25">
      <c r="A866" t="str">
        <f>"3042853"</f>
        <v>3042853</v>
      </c>
      <c r="B866" t="s">
        <v>2329</v>
      </c>
      <c r="C866" t="str">
        <f>"16363750"</f>
        <v>16363750</v>
      </c>
      <c r="D866" t="s">
        <v>2330</v>
      </c>
      <c r="E866" t="s">
        <v>2331</v>
      </c>
      <c r="F866" t="s">
        <v>2332</v>
      </c>
      <c r="I866" t="s">
        <v>29</v>
      </c>
      <c r="J866" t="s">
        <v>30</v>
      </c>
      <c r="K866" t="s">
        <v>2333</v>
      </c>
      <c r="M866" t="s">
        <v>32</v>
      </c>
      <c r="N866" t="str">
        <f>"9/17/2007 12:00:00 AM"</f>
        <v>9/17/2007 12:00:00 AM</v>
      </c>
      <c r="O866" t="s">
        <v>2330</v>
      </c>
      <c r="T866" t="s">
        <v>2331</v>
      </c>
    </row>
    <row r="867" spans="1:20" x14ac:dyDescent="0.25">
      <c r="A867" t="str">
        <f>"3038053"</f>
        <v>3038053</v>
      </c>
      <c r="B867" t="s">
        <v>2334</v>
      </c>
      <c r="C867" t="str">
        <f>"50118000"</f>
        <v>50118000</v>
      </c>
      <c r="D867" t="s">
        <v>2300</v>
      </c>
      <c r="F867" t="s">
        <v>2301</v>
      </c>
      <c r="I867" t="s">
        <v>2071</v>
      </c>
      <c r="J867" t="s">
        <v>30</v>
      </c>
      <c r="K867" t="s">
        <v>185</v>
      </c>
      <c r="M867" t="s">
        <v>32</v>
      </c>
      <c r="N867" t="str">
        <f>"1/7/2004 12:00:00 AM"</f>
        <v>1/7/2004 12:00:00 AM</v>
      </c>
      <c r="O867" t="s">
        <v>2300</v>
      </c>
    </row>
    <row r="868" spans="1:20" x14ac:dyDescent="0.25">
      <c r="A868" t="str">
        <f>"3041406"</f>
        <v>3041406</v>
      </c>
      <c r="B868" t="s">
        <v>2335</v>
      </c>
      <c r="C868" t="str">
        <f>"82521514"</f>
        <v>82521514</v>
      </c>
      <c r="D868" t="s">
        <v>2336</v>
      </c>
      <c r="F868" t="s">
        <v>2337</v>
      </c>
      <c r="I868" t="s">
        <v>2071</v>
      </c>
      <c r="J868" t="s">
        <v>30</v>
      </c>
      <c r="K868" t="s">
        <v>185</v>
      </c>
      <c r="M868" t="s">
        <v>32</v>
      </c>
      <c r="N868" t="str">
        <f>"10/7/2003 12:00:00 AM"</f>
        <v>10/7/2003 12:00:00 AM</v>
      </c>
      <c r="O868" t="s">
        <v>2336</v>
      </c>
    </row>
    <row r="869" spans="1:20" x14ac:dyDescent="0.25">
      <c r="A869" t="str">
        <f>"3041418"</f>
        <v>3041418</v>
      </c>
      <c r="B869" t="s">
        <v>2338</v>
      </c>
      <c r="C869" t="str">
        <f>"82525056"</f>
        <v>82525056</v>
      </c>
      <c r="D869" t="s">
        <v>2339</v>
      </c>
      <c r="E869" t="s">
        <v>2340</v>
      </c>
      <c r="F869" t="s">
        <v>2341</v>
      </c>
      <c r="I869" t="s">
        <v>2071</v>
      </c>
      <c r="J869" t="s">
        <v>30</v>
      </c>
      <c r="K869" t="s">
        <v>2342</v>
      </c>
      <c r="M869" t="s">
        <v>32</v>
      </c>
      <c r="N869" t="str">
        <f>"1/11/2006 12:00:00 AM"</f>
        <v>1/11/2006 12:00:00 AM</v>
      </c>
      <c r="O869" t="s">
        <v>2339</v>
      </c>
      <c r="T869" t="s">
        <v>2340</v>
      </c>
    </row>
    <row r="870" spans="1:20" x14ac:dyDescent="0.25">
      <c r="A870" t="str">
        <f>"3040228"</f>
        <v>3040228</v>
      </c>
      <c r="B870" t="s">
        <v>2343</v>
      </c>
      <c r="C870" t="str">
        <f>"82518582"</f>
        <v>82518582</v>
      </c>
      <c r="D870" t="s">
        <v>2344</v>
      </c>
      <c r="E870" t="s">
        <v>2345</v>
      </c>
      <c r="F870" t="s">
        <v>2346</v>
      </c>
      <c r="I870" t="s">
        <v>29</v>
      </c>
      <c r="J870" t="s">
        <v>30</v>
      </c>
      <c r="K870" t="s">
        <v>2347</v>
      </c>
      <c r="M870" t="s">
        <v>32</v>
      </c>
      <c r="N870" t="str">
        <f>"6/16/2005 12:00:00 AM"</f>
        <v>6/16/2005 12:00:00 AM</v>
      </c>
      <c r="O870" t="s">
        <v>2344</v>
      </c>
      <c r="T870" t="s">
        <v>2345</v>
      </c>
    </row>
    <row r="871" spans="1:20" x14ac:dyDescent="0.25">
      <c r="A871" t="str">
        <f>"3040012"</f>
        <v>3040012</v>
      </c>
      <c r="B871" t="s">
        <v>2348</v>
      </c>
      <c r="C871" t="str">
        <f>"82525322"</f>
        <v>82525322</v>
      </c>
      <c r="D871" t="s">
        <v>2349</v>
      </c>
      <c r="E871" t="s">
        <v>2350</v>
      </c>
      <c r="F871" t="s">
        <v>2351</v>
      </c>
      <c r="I871" t="s">
        <v>29</v>
      </c>
      <c r="J871" t="s">
        <v>30</v>
      </c>
      <c r="K871" t="s">
        <v>31</v>
      </c>
      <c r="M871" t="s">
        <v>32</v>
      </c>
      <c r="N871" t="str">
        <f>"11/4/2005 12:00:00 AM"</f>
        <v>11/4/2005 12:00:00 AM</v>
      </c>
      <c r="O871" t="s">
        <v>2349</v>
      </c>
      <c r="T871" t="s">
        <v>2350</v>
      </c>
    </row>
    <row r="872" spans="1:20" x14ac:dyDescent="0.25">
      <c r="A872" t="str">
        <f>"3057057"</f>
        <v>3057057</v>
      </c>
      <c r="B872" t="s">
        <v>2352</v>
      </c>
      <c r="C872" t="str">
        <f>"82522626"</f>
        <v>82522626</v>
      </c>
      <c r="D872" t="s">
        <v>2353</v>
      </c>
      <c r="E872" t="s">
        <v>2354</v>
      </c>
      <c r="F872" t="str">
        <f>"C/O DONALD M VONCANNON"</f>
        <v>C/O DONALD M VONCANNON</v>
      </c>
      <c r="G872" t="s">
        <v>2355</v>
      </c>
      <c r="I872" t="s">
        <v>163</v>
      </c>
      <c r="J872" t="s">
        <v>30</v>
      </c>
      <c r="K872" t="s">
        <v>2356</v>
      </c>
      <c r="M872" t="s">
        <v>32</v>
      </c>
      <c r="N872" t="str">
        <f>"4/14/2009 12:00:00 AM"</f>
        <v>4/14/2009 12:00:00 AM</v>
      </c>
      <c r="O872" t="s">
        <v>2353</v>
      </c>
      <c r="T872" t="s">
        <v>2354</v>
      </c>
    </row>
    <row r="873" spans="1:20" x14ac:dyDescent="0.25">
      <c r="A873" t="str">
        <f>"3069627"</f>
        <v>3069627</v>
      </c>
      <c r="B873" t="s">
        <v>2357</v>
      </c>
      <c r="C873" t="str">
        <f>"71348000"</f>
        <v>71348000</v>
      </c>
      <c r="D873" t="s">
        <v>2358</v>
      </c>
      <c r="E873" t="s">
        <v>2359</v>
      </c>
      <c r="F873" t="s">
        <v>2360</v>
      </c>
      <c r="I873" t="s">
        <v>2071</v>
      </c>
      <c r="J873" t="s">
        <v>30</v>
      </c>
      <c r="K873" t="s">
        <v>2361</v>
      </c>
      <c r="M873" t="s">
        <v>32</v>
      </c>
      <c r="N873" t="str">
        <f>"2/14/2007 12:00:00 AM"</f>
        <v>2/14/2007 12:00:00 AM</v>
      </c>
      <c r="O873" t="s">
        <v>2358</v>
      </c>
      <c r="T873" t="s">
        <v>2359</v>
      </c>
    </row>
    <row r="874" spans="1:20" x14ac:dyDescent="0.25">
      <c r="A874" t="str">
        <f>"3041497"</f>
        <v>3041497</v>
      </c>
      <c r="B874" t="s">
        <v>2362</v>
      </c>
      <c r="C874" t="str">
        <f>"82525593"</f>
        <v>82525593</v>
      </c>
      <c r="D874" t="s">
        <v>2363</v>
      </c>
      <c r="E874" t="s">
        <v>2364</v>
      </c>
      <c r="F874" t="s">
        <v>2365</v>
      </c>
      <c r="I874" t="s">
        <v>2071</v>
      </c>
      <c r="J874" t="s">
        <v>30</v>
      </c>
      <c r="K874" t="s">
        <v>185</v>
      </c>
      <c r="M874" t="s">
        <v>32</v>
      </c>
      <c r="N874" t="str">
        <f>"1/5/2006 12:00:00 AM"</f>
        <v>1/5/2006 12:00:00 AM</v>
      </c>
      <c r="O874" t="s">
        <v>2363</v>
      </c>
      <c r="T874" t="s">
        <v>2364</v>
      </c>
    </row>
    <row r="875" spans="1:20" x14ac:dyDescent="0.25">
      <c r="A875" t="str">
        <f>"3041430"</f>
        <v>3041430</v>
      </c>
      <c r="B875" t="s">
        <v>2366</v>
      </c>
      <c r="C875" t="str">
        <f>"82526497"</f>
        <v>82526497</v>
      </c>
      <c r="D875" t="s">
        <v>2367</v>
      </c>
      <c r="E875" t="s">
        <v>2368</v>
      </c>
      <c r="F875" t="s">
        <v>2369</v>
      </c>
      <c r="I875" t="s">
        <v>2071</v>
      </c>
      <c r="J875" t="s">
        <v>30</v>
      </c>
      <c r="K875" t="s">
        <v>185</v>
      </c>
      <c r="M875" t="s">
        <v>32</v>
      </c>
      <c r="N875" t="str">
        <f>"1/26/2010 12:00:00 AM"</f>
        <v>1/26/2010 12:00:00 AM</v>
      </c>
      <c r="O875" t="s">
        <v>2367</v>
      </c>
      <c r="T875" t="s">
        <v>2368</v>
      </c>
    </row>
    <row r="876" spans="1:20" x14ac:dyDescent="0.25">
      <c r="A876" t="str">
        <f>"3043015"</f>
        <v>3043015</v>
      </c>
      <c r="B876" t="s">
        <v>2370</v>
      </c>
      <c r="C876" t="str">
        <f>"8412000"</f>
        <v>8412000</v>
      </c>
      <c r="D876" t="s">
        <v>2371</v>
      </c>
      <c r="E876" t="s">
        <v>2372</v>
      </c>
      <c r="F876" t="s">
        <v>2373</v>
      </c>
      <c r="I876" t="s">
        <v>29</v>
      </c>
      <c r="J876" t="s">
        <v>30</v>
      </c>
      <c r="K876" t="s">
        <v>2374</v>
      </c>
      <c r="M876" t="s">
        <v>32</v>
      </c>
      <c r="N876" t="str">
        <f>"1/18/2005 12:00:00 AM"</f>
        <v>1/18/2005 12:00:00 AM</v>
      </c>
      <c r="O876" t="s">
        <v>2371</v>
      </c>
      <c r="T876" t="s">
        <v>2372</v>
      </c>
    </row>
    <row r="877" spans="1:20" x14ac:dyDescent="0.25">
      <c r="A877" t="str">
        <f>"3042309"</f>
        <v>3042309</v>
      </c>
      <c r="B877" t="s">
        <v>2375</v>
      </c>
      <c r="C877" t="str">
        <f>"8412000"</f>
        <v>8412000</v>
      </c>
      <c r="D877" t="s">
        <v>2371</v>
      </c>
      <c r="E877" t="s">
        <v>2372</v>
      </c>
      <c r="F877" t="s">
        <v>2373</v>
      </c>
      <c r="I877" t="s">
        <v>29</v>
      </c>
      <c r="J877" t="s">
        <v>30</v>
      </c>
      <c r="K877" t="s">
        <v>2374</v>
      </c>
      <c r="M877" t="s">
        <v>32</v>
      </c>
      <c r="N877" t="str">
        <f>"1/18/2005 12:00:00 AM"</f>
        <v>1/18/2005 12:00:00 AM</v>
      </c>
      <c r="O877" t="s">
        <v>2371</v>
      </c>
      <c r="T877" t="s">
        <v>2372</v>
      </c>
    </row>
    <row r="878" spans="1:20" x14ac:dyDescent="0.25">
      <c r="A878" t="str">
        <f>"3041983"</f>
        <v>3041983</v>
      </c>
      <c r="B878" t="s">
        <v>2376</v>
      </c>
      <c r="C878" t="str">
        <f>"8412000"</f>
        <v>8412000</v>
      </c>
      <c r="D878" t="s">
        <v>2371</v>
      </c>
      <c r="E878" t="s">
        <v>2372</v>
      </c>
      <c r="F878" t="s">
        <v>2373</v>
      </c>
      <c r="I878" t="s">
        <v>29</v>
      </c>
      <c r="J878" t="s">
        <v>30</v>
      </c>
      <c r="K878" t="s">
        <v>2374</v>
      </c>
      <c r="M878" t="s">
        <v>32</v>
      </c>
      <c r="N878" t="str">
        <f>"1/18/2005 12:00:00 AM"</f>
        <v>1/18/2005 12:00:00 AM</v>
      </c>
      <c r="O878" t="s">
        <v>2371</v>
      </c>
      <c r="T878" t="s">
        <v>2372</v>
      </c>
    </row>
    <row r="879" spans="1:20" x14ac:dyDescent="0.25">
      <c r="A879" t="str">
        <f>"3042994"</f>
        <v>3042994</v>
      </c>
      <c r="B879" t="s">
        <v>2377</v>
      </c>
      <c r="C879" t="str">
        <f>"82520527"</f>
        <v>82520527</v>
      </c>
      <c r="D879" t="s">
        <v>2378</v>
      </c>
      <c r="E879" t="s">
        <v>2379</v>
      </c>
      <c r="F879" t="s">
        <v>2380</v>
      </c>
      <c r="I879" t="s">
        <v>29</v>
      </c>
      <c r="J879" t="s">
        <v>30</v>
      </c>
      <c r="K879" t="s">
        <v>2381</v>
      </c>
      <c r="M879" t="s">
        <v>32</v>
      </c>
      <c r="N879" t="str">
        <f>"1/11/2007 12:00:00 AM"</f>
        <v>1/11/2007 12:00:00 AM</v>
      </c>
      <c r="O879" t="s">
        <v>2378</v>
      </c>
      <c r="T879" t="s">
        <v>2379</v>
      </c>
    </row>
    <row r="880" spans="1:20" x14ac:dyDescent="0.25">
      <c r="A880" t="str">
        <f>"3041468"</f>
        <v>3041468</v>
      </c>
      <c r="B880" t="s">
        <v>2382</v>
      </c>
      <c r="C880" t="str">
        <f>"82526948"</f>
        <v>82526948</v>
      </c>
      <c r="D880" t="s">
        <v>2383</v>
      </c>
      <c r="E880" t="s">
        <v>2384</v>
      </c>
      <c r="F880" t="s">
        <v>2385</v>
      </c>
      <c r="I880" t="s">
        <v>2071</v>
      </c>
      <c r="J880" t="s">
        <v>30</v>
      </c>
      <c r="K880" t="s">
        <v>185</v>
      </c>
      <c r="M880" t="s">
        <v>32</v>
      </c>
      <c r="N880" t="str">
        <f>"10/16/2006 12:00:00 AM"</f>
        <v>10/16/2006 12:00:00 AM</v>
      </c>
      <c r="O880" t="s">
        <v>2383</v>
      </c>
      <c r="T880" t="s">
        <v>2384</v>
      </c>
    </row>
    <row r="881" spans="1:20" x14ac:dyDescent="0.25">
      <c r="A881" t="str">
        <f>"3040151"</f>
        <v>3040151</v>
      </c>
      <c r="B881" t="s">
        <v>2386</v>
      </c>
      <c r="C881" t="str">
        <f>"1979750"</f>
        <v>1979750</v>
      </c>
      <c r="D881" t="s">
        <v>2387</v>
      </c>
      <c r="F881" t="s">
        <v>2388</v>
      </c>
      <c r="I881" t="s">
        <v>29</v>
      </c>
      <c r="J881" t="s">
        <v>30</v>
      </c>
      <c r="K881" t="s">
        <v>2389</v>
      </c>
      <c r="M881" t="s">
        <v>32</v>
      </c>
      <c r="N881" t="str">
        <f>"1/21/2010 12:00:00 AM"</f>
        <v>1/21/2010 12:00:00 AM</v>
      </c>
      <c r="O881" t="s">
        <v>2387</v>
      </c>
    </row>
    <row r="882" spans="1:20" x14ac:dyDescent="0.25">
      <c r="A882" t="str">
        <f>"3040106"</f>
        <v>3040106</v>
      </c>
      <c r="B882" t="s">
        <v>2390</v>
      </c>
      <c r="C882" t="str">
        <f>"82529865"</f>
        <v>82529865</v>
      </c>
      <c r="D882" t="s">
        <v>2391</v>
      </c>
      <c r="F882" t="s">
        <v>2392</v>
      </c>
      <c r="I882" t="s">
        <v>402</v>
      </c>
      <c r="J882" t="s">
        <v>30</v>
      </c>
      <c r="K882" t="s">
        <v>403</v>
      </c>
      <c r="M882" t="s">
        <v>32</v>
      </c>
      <c r="N882" t="str">
        <f>"8/20/2009 12:00:00 AM"</f>
        <v>8/20/2009 12:00:00 AM</v>
      </c>
      <c r="O882" t="s">
        <v>2391</v>
      </c>
    </row>
    <row r="883" spans="1:20" x14ac:dyDescent="0.25">
      <c r="A883" t="str">
        <f>"3040150"</f>
        <v>3040150</v>
      </c>
      <c r="B883" t="s">
        <v>2393</v>
      </c>
      <c r="C883" t="str">
        <f>"1863000"</f>
        <v>1863000</v>
      </c>
      <c r="D883" t="s">
        <v>2394</v>
      </c>
      <c r="E883" t="s">
        <v>2395</v>
      </c>
      <c r="F883" t="s">
        <v>2396</v>
      </c>
      <c r="I883" t="s">
        <v>29</v>
      </c>
      <c r="J883" t="s">
        <v>30</v>
      </c>
      <c r="K883" t="s">
        <v>31</v>
      </c>
      <c r="M883" t="s">
        <v>32</v>
      </c>
      <c r="N883" t="str">
        <f>"1/25/2005 12:00:00 AM"</f>
        <v>1/25/2005 12:00:00 AM</v>
      </c>
      <c r="O883" t="s">
        <v>2394</v>
      </c>
      <c r="T883" t="s">
        <v>2395</v>
      </c>
    </row>
    <row r="884" spans="1:20" x14ac:dyDescent="0.25">
      <c r="A884" t="str">
        <f>"3040127"</f>
        <v>3040127</v>
      </c>
      <c r="B884" t="s">
        <v>2397</v>
      </c>
      <c r="C884" t="str">
        <f>"58634000"</f>
        <v>58634000</v>
      </c>
      <c r="D884" t="s">
        <v>2398</v>
      </c>
      <c r="E884" t="s">
        <v>2399</v>
      </c>
      <c r="F884" t="s">
        <v>2400</v>
      </c>
      <c r="I884" t="s">
        <v>29</v>
      </c>
      <c r="J884" t="s">
        <v>30</v>
      </c>
      <c r="K884" t="s">
        <v>31</v>
      </c>
      <c r="M884" t="s">
        <v>32</v>
      </c>
      <c r="N884" t="str">
        <f>"4/5/2004 12:00:00 AM"</f>
        <v>4/5/2004 12:00:00 AM</v>
      </c>
      <c r="O884" t="s">
        <v>2398</v>
      </c>
      <c r="T884" t="s">
        <v>2399</v>
      </c>
    </row>
    <row r="885" spans="1:20" x14ac:dyDescent="0.25">
      <c r="A885" t="str">
        <f>"3040108"</f>
        <v>3040108</v>
      </c>
      <c r="B885" t="s">
        <v>2401</v>
      </c>
      <c r="C885" t="str">
        <f>"82526767"</f>
        <v>82526767</v>
      </c>
      <c r="D885" t="s">
        <v>2402</v>
      </c>
      <c r="E885" t="s">
        <v>2403</v>
      </c>
      <c r="F885" t="s">
        <v>2404</v>
      </c>
      <c r="I885" t="s">
        <v>29</v>
      </c>
      <c r="J885" t="s">
        <v>30</v>
      </c>
      <c r="K885" t="s">
        <v>31</v>
      </c>
      <c r="M885" t="s">
        <v>32</v>
      </c>
      <c r="N885" t="str">
        <f>"9/11/2006 12:00:00 AM"</f>
        <v>9/11/2006 12:00:00 AM</v>
      </c>
      <c r="O885" t="s">
        <v>2402</v>
      </c>
      <c r="T885" t="s">
        <v>2403</v>
      </c>
    </row>
    <row r="886" spans="1:20" x14ac:dyDescent="0.25">
      <c r="A886" t="str">
        <f>"3041461"</f>
        <v>3041461</v>
      </c>
      <c r="B886" t="s">
        <v>2405</v>
      </c>
      <c r="C886" t="str">
        <f>"82528747"</f>
        <v>82528747</v>
      </c>
      <c r="D886" t="s">
        <v>2406</v>
      </c>
      <c r="F886" t="s">
        <v>2407</v>
      </c>
      <c r="I886" t="s">
        <v>2071</v>
      </c>
      <c r="J886" t="s">
        <v>30</v>
      </c>
      <c r="K886" t="s">
        <v>185</v>
      </c>
      <c r="M886" t="s">
        <v>32</v>
      </c>
      <c r="N886" t="str">
        <f>"10/16/2007 12:00:00 AM"</f>
        <v>10/16/2007 12:00:00 AM</v>
      </c>
      <c r="O886" t="s">
        <v>2406</v>
      </c>
    </row>
    <row r="887" spans="1:20" x14ac:dyDescent="0.25">
      <c r="A887" t="str">
        <f>"3041443"</f>
        <v>3041443</v>
      </c>
      <c r="B887" t="s">
        <v>2408</v>
      </c>
      <c r="C887" t="str">
        <f>"82525568"</f>
        <v>82525568</v>
      </c>
      <c r="D887" t="s">
        <v>2409</v>
      </c>
      <c r="E887" t="s">
        <v>2410</v>
      </c>
      <c r="F887" t="s">
        <v>2411</v>
      </c>
      <c r="I887" t="s">
        <v>2071</v>
      </c>
      <c r="J887" t="s">
        <v>30</v>
      </c>
      <c r="K887" t="s">
        <v>185</v>
      </c>
      <c r="M887" t="s">
        <v>32</v>
      </c>
      <c r="N887" t="str">
        <f>"11/2/2009 12:00:00 AM"</f>
        <v>11/2/2009 12:00:00 AM</v>
      </c>
      <c r="O887" t="s">
        <v>2409</v>
      </c>
      <c r="T887" t="s">
        <v>2410</v>
      </c>
    </row>
    <row r="888" spans="1:20" x14ac:dyDescent="0.25">
      <c r="A888" t="str">
        <f>"3041420"</f>
        <v>3041420</v>
      </c>
      <c r="B888" t="s">
        <v>2412</v>
      </c>
      <c r="C888" t="str">
        <f>"82529112"</f>
        <v>82529112</v>
      </c>
      <c r="D888" t="s">
        <v>2413</v>
      </c>
      <c r="E888" t="s">
        <v>2414</v>
      </c>
      <c r="F888" t="s">
        <v>2415</v>
      </c>
      <c r="I888" t="s">
        <v>2071</v>
      </c>
      <c r="J888" t="s">
        <v>30</v>
      </c>
      <c r="K888" t="s">
        <v>185</v>
      </c>
      <c r="M888" t="s">
        <v>32</v>
      </c>
      <c r="N888" t="str">
        <f>"1/12/2009 12:00:00 AM"</f>
        <v>1/12/2009 12:00:00 AM</v>
      </c>
      <c r="O888" t="s">
        <v>2413</v>
      </c>
      <c r="T888" t="s">
        <v>2414</v>
      </c>
    </row>
    <row r="889" spans="1:20" x14ac:dyDescent="0.25">
      <c r="A889" t="str">
        <f>"3040188"</f>
        <v>3040188</v>
      </c>
      <c r="B889" t="s">
        <v>2416</v>
      </c>
      <c r="C889" t="str">
        <f>"23166350"</f>
        <v>23166350</v>
      </c>
      <c r="D889" t="s">
        <v>2417</v>
      </c>
      <c r="E889" t="s">
        <v>2418</v>
      </c>
      <c r="F889" t="s">
        <v>2419</v>
      </c>
      <c r="I889" t="s">
        <v>29</v>
      </c>
      <c r="J889" t="s">
        <v>30</v>
      </c>
      <c r="K889" t="s">
        <v>31</v>
      </c>
      <c r="M889" t="s">
        <v>32</v>
      </c>
      <c r="N889" t="str">
        <f>"4/9/2002 12:00:00 AM"</f>
        <v>4/9/2002 12:00:00 AM</v>
      </c>
      <c r="O889" t="s">
        <v>2417</v>
      </c>
      <c r="T889" t="s">
        <v>2418</v>
      </c>
    </row>
    <row r="890" spans="1:20" x14ac:dyDescent="0.25">
      <c r="A890" t="str">
        <f>"3061231"</f>
        <v>3061231</v>
      </c>
      <c r="B890" t="s">
        <v>2420</v>
      </c>
      <c r="C890" t="str">
        <f>"82529317"</f>
        <v>82529317</v>
      </c>
      <c r="D890" t="s">
        <v>2421</v>
      </c>
      <c r="F890" t="s">
        <v>2422</v>
      </c>
      <c r="I890" t="s">
        <v>29</v>
      </c>
      <c r="J890" t="s">
        <v>30</v>
      </c>
      <c r="K890" t="s">
        <v>31</v>
      </c>
      <c r="M890" t="s">
        <v>32</v>
      </c>
      <c r="N890" t="str">
        <f>"9/23/2009 12:00:00 AM"</f>
        <v>9/23/2009 12:00:00 AM</v>
      </c>
      <c r="O890" t="s">
        <v>2421</v>
      </c>
    </row>
    <row r="891" spans="1:20" x14ac:dyDescent="0.25">
      <c r="A891" t="str">
        <f>"3041330"</f>
        <v>3041330</v>
      </c>
      <c r="B891" t="s">
        <v>2423</v>
      </c>
      <c r="C891" t="str">
        <f>"82530039"</f>
        <v>82530039</v>
      </c>
      <c r="D891" t="s">
        <v>2424</v>
      </c>
      <c r="E891" t="s">
        <v>2425</v>
      </c>
      <c r="F891" t="s">
        <v>2426</v>
      </c>
      <c r="I891" t="s">
        <v>2071</v>
      </c>
      <c r="J891" t="s">
        <v>30</v>
      </c>
      <c r="K891" t="s">
        <v>185</v>
      </c>
      <c r="M891" t="s">
        <v>32</v>
      </c>
      <c r="N891" t="str">
        <f>"1/13/2009 12:00:00 AM"</f>
        <v>1/13/2009 12:00:00 AM</v>
      </c>
      <c r="O891" t="s">
        <v>2424</v>
      </c>
      <c r="T891" t="s">
        <v>2425</v>
      </c>
    </row>
    <row r="892" spans="1:20" x14ac:dyDescent="0.25">
      <c r="A892" t="str">
        <f>"3042647"</f>
        <v>3042647</v>
      </c>
      <c r="B892" t="s">
        <v>2427</v>
      </c>
      <c r="C892" t="str">
        <f>"82527413"</f>
        <v>82527413</v>
      </c>
      <c r="D892" t="s">
        <v>2428</v>
      </c>
      <c r="F892" t="s">
        <v>2429</v>
      </c>
      <c r="I892" t="s">
        <v>29</v>
      </c>
      <c r="J892" t="s">
        <v>30</v>
      </c>
      <c r="K892" t="s">
        <v>31</v>
      </c>
      <c r="M892" t="s">
        <v>32</v>
      </c>
      <c r="N892" t="str">
        <f>"1/19/2007 12:00:00 AM"</f>
        <v>1/19/2007 12:00:00 AM</v>
      </c>
      <c r="O892" t="s">
        <v>2428</v>
      </c>
    </row>
    <row r="893" spans="1:20" x14ac:dyDescent="0.25">
      <c r="A893" t="str">
        <f>"3061633"</f>
        <v>3061633</v>
      </c>
      <c r="B893" t="s">
        <v>2430</v>
      </c>
      <c r="C893" t="str">
        <f>"82525286"</f>
        <v>82525286</v>
      </c>
      <c r="D893" t="s">
        <v>2431</v>
      </c>
      <c r="E893" t="s">
        <v>2432</v>
      </c>
      <c r="F893" t="s">
        <v>2433</v>
      </c>
      <c r="I893" t="s">
        <v>29</v>
      </c>
      <c r="J893" t="s">
        <v>30</v>
      </c>
      <c r="K893" t="s">
        <v>31</v>
      </c>
      <c r="M893" t="s">
        <v>32</v>
      </c>
      <c r="N893" t="str">
        <f>"2/28/2006 12:00:00 AM"</f>
        <v>2/28/2006 12:00:00 AM</v>
      </c>
      <c r="O893" t="s">
        <v>2431</v>
      </c>
      <c r="T893" t="s">
        <v>2432</v>
      </c>
    </row>
    <row r="894" spans="1:20" x14ac:dyDescent="0.25">
      <c r="A894" t="str">
        <f>"3061634"</f>
        <v>3061634</v>
      </c>
      <c r="B894" t="s">
        <v>2434</v>
      </c>
      <c r="C894" t="str">
        <f>"82523660"</f>
        <v>82523660</v>
      </c>
      <c r="D894" t="s">
        <v>2435</v>
      </c>
      <c r="E894" t="s">
        <v>2436</v>
      </c>
      <c r="F894" t="s">
        <v>2437</v>
      </c>
      <c r="I894" t="s">
        <v>29</v>
      </c>
      <c r="J894" t="s">
        <v>30</v>
      </c>
      <c r="K894" t="s">
        <v>31</v>
      </c>
      <c r="M894" t="s">
        <v>32</v>
      </c>
      <c r="N894" t="str">
        <f>"9/30/2010 12:00:00 AM"</f>
        <v>9/30/2010 12:00:00 AM</v>
      </c>
      <c r="O894" t="s">
        <v>2435</v>
      </c>
      <c r="T894" t="s">
        <v>2436</v>
      </c>
    </row>
    <row r="895" spans="1:20" x14ac:dyDescent="0.25">
      <c r="A895" t="str">
        <f>"3061632"</f>
        <v>3061632</v>
      </c>
      <c r="B895" t="s">
        <v>2438</v>
      </c>
      <c r="C895" t="str">
        <f>"82528413"</f>
        <v>82528413</v>
      </c>
      <c r="D895" t="s">
        <v>2439</v>
      </c>
      <c r="E895" t="s">
        <v>2440</v>
      </c>
      <c r="G895" t="s">
        <v>2441</v>
      </c>
      <c r="I895" t="s">
        <v>29</v>
      </c>
      <c r="J895" t="s">
        <v>30</v>
      </c>
      <c r="K895" t="s">
        <v>31</v>
      </c>
      <c r="M895" t="s">
        <v>32</v>
      </c>
      <c r="N895" t="str">
        <f>"1/15/2010 12:00:00 AM"</f>
        <v>1/15/2010 12:00:00 AM</v>
      </c>
      <c r="O895" t="s">
        <v>2439</v>
      </c>
      <c r="T895" t="s">
        <v>2440</v>
      </c>
    </row>
    <row r="896" spans="1:20" x14ac:dyDescent="0.25">
      <c r="A896" t="str">
        <f>"3061658"</f>
        <v>3061658</v>
      </c>
      <c r="B896" t="s">
        <v>2442</v>
      </c>
      <c r="C896" t="str">
        <f>"82526312"</f>
        <v>82526312</v>
      </c>
      <c r="D896" t="s">
        <v>2443</v>
      </c>
      <c r="E896" t="s">
        <v>2444</v>
      </c>
      <c r="F896" t="s">
        <v>2445</v>
      </c>
      <c r="I896" t="s">
        <v>29</v>
      </c>
      <c r="J896" t="s">
        <v>30</v>
      </c>
      <c r="K896" t="s">
        <v>2446</v>
      </c>
      <c r="M896" t="s">
        <v>32</v>
      </c>
      <c r="N896" t="str">
        <f>"1/26/2010 12:00:00 AM"</f>
        <v>1/26/2010 12:00:00 AM</v>
      </c>
      <c r="O896" t="s">
        <v>2443</v>
      </c>
      <c r="T896" t="s">
        <v>2444</v>
      </c>
    </row>
    <row r="897" spans="1:20" x14ac:dyDescent="0.25">
      <c r="A897" t="str">
        <f>"3041356"</f>
        <v>3041356</v>
      </c>
      <c r="B897" t="s">
        <v>2447</v>
      </c>
      <c r="C897" t="str">
        <f>"82519341"</f>
        <v>82519341</v>
      </c>
      <c r="D897" t="s">
        <v>2448</v>
      </c>
      <c r="F897" t="s">
        <v>2449</v>
      </c>
      <c r="I897" t="s">
        <v>2071</v>
      </c>
      <c r="J897" t="s">
        <v>30</v>
      </c>
      <c r="K897" t="s">
        <v>185</v>
      </c>
      <c r="M897" t="s">
        <v>32</v>
      </c>
      <c r="N897" t="str">
        <f>"9/12/2005 12:00:00 AM"</f>
        <v>9/12/2005 12:00:00 AM</v>
      </c>
      <c r="O897" t="s">
        <v>2448</v>
      </c>
    </row>
    <row r="898" spans="1:20" x14ac:dyDescent="0.25">
      <c r="A898" t="str">
        <f>"3040131"</f>
        <v>3040131</v>
      </c>
      <c r="B898" t="s">
        <v>2450</v>
      </c>
      <c r="C898" t="str">
        <f>"82524522"</f>
        <v>82524522</v>
      </c>
      <c r="D898" t="s">
        <v>2451</v>
      </c>
      <c r="F898" t="s">
        <v>2452</v>
      </c>
      <c r="I898" t="s">
        <v>29</v>
      </c>
      <c r="J898" t="s">
        <v>30</v>
      </c>
      <c r="K898" t="s">
        <v>2453</v>
      </c>
      <c r="M898" t="s">
        <v>32</v>
      </c>
      <c r="N898" t="str">
        <f>"1/23/2006 12:00:00 AM"</f>
        <v>1/23/2006 12:00:00 AM</v>
      </c>
      <c r="O898" t="s">
        <v>2451</v>
      </c>
    </row>
    <row r="899" spans="1:20" x14ac:dyDescent="0.25">
      <c r="A899" t="str">
        <f>"3039344"</f>
        <v>3039344</v>
      </c>
      <c r="B899" t="s">
        <v>2454</v>
      </c>
      <c r="C899" t="str">
        <f>"82524522"</f>
        <v>82524522</v>
      </c>
      <c r="D899" t="s">
        <v>2451</v>
      </c>
      <c r="F899" t="s">
        <v>2452</v>
      </c>
      <c r="I899" t="s">
        <v>29</v>
      </c>
      <c r="J899" t="s">
        <v>30</v>
      </c>
      <c r="K899" t="s">
        <v>2453</v>
      </c>
      <c r="M899" t="s">
        <v>32</v>
      </c>
      <c r="N899" t="str">
        <f>"1/23/2006 12:00:00 AM"</f>
        <v>1/23/2006 12:00:00 AM</v>
      </c>
      <c r="O899" t="s">
        <v>2451</v>
      </c>
    </row>
    <row r="900" spans="1:20" x14ac:dyDescent="0.25">
      <c r="A900" t="str">
        <f>"3040223"</f>
        <v>3040223</v>
      </c>
      <c r="B900" t="s">
        <v>2455</v>
      </c>
      <c r="C900" t="str">
        <f>"82525458"</f>
        <v>82525458</v>
      </c>
      <c r="D900" t="s">
        <v>2456</v>
      </c>
      <c r="F900" t="s">
        <v>2457</v>
      </c>
      <c r="I900" t="s">
        <v>29</v>
      </c>
      <c r="J900" t="s">
        <v>30</v>
      </c>
      <c r="K900" t="s">
        <v>31</v>
      </c>
      <c r="M900" t="s">
        <v>32</v>
      </c>
      <c r="N900" t="str">
        <f>"12/5/2005 12:00:00 AM"</f>
        <v>12/5/2005 12:00:00 AM</v>
      </c>
      <c r="O900" t="s">
        <v>2456</v>
      </c>
    </row>
    <row r="901" spans="1:20" x14ac:dyDescent="0.25">
      <c r="A901" t="str">
        <f>"3040028"</f>
        <v>3040028</v>
      </c>
      <c r="B901" t="s">
        <v>2458</v>
      </c>
      <c r="C901" t="str">
        <f>"44435000"</f>
        <v>44435000</v>
      </c>
      <c r="D901" t="s">
        <v>2459</v>
      </c>
      <c r="F901" t="s">
        <v>2460</v>
      </c>
      <c r="I901" t="s">
        <v>29</v>
      </c>
      <c r="J901" t="s">
        <v>30</v>
      </c>
      <c r="K901" t="s">
        <v>31</v>
      </c>
      <c r="M901" t="s">
        <v>32</v>
      </c>
      <c r="N901" t="str">
        <f>"4/9/2002 12:00:00 AM"</f>
        <v>4/9/2002 12:00:00 AM</v>
      </c>
      <c r="O901" t="s">
        <v>2459</v>
      </c>
    </row>
    <row r="902" spans="1:20" x14ac:dyDescent="0.25">
      <c r="A902" t="str">
        <f>"3040032"</f>
        <v>3040032</v>
      </c>
      <c r="B902" t="s">
        <v>2461</v>
      </c>
      <c r="C902" t="str">
        <f>"82527565"</f>
        <v>82527565</v>
      </c>
      <c r="D902" t="s">
        <v>2462</v>
      </c>
      <c r="E902" t="s">
        <v>2463</v>
      </c>
      <c r="F902" t="s">
        <v>2464</v>
      </c>
      <c r="I902" t="s">
        <v>29</v>
      </c>
      <c r="J902" t="s">
        <v>30</v>
      </c>
      <c r="K902" t="s">
        <v>31</v>
      </c>
      <c r="M902" t="s">
        <v>32</v>
      </c>
      <c r="N902" t="str">
        <f>"2/13/2007 12:00:00 AM"</f>
        <v>2/13/2007 12:00:00 AM</v>
      </c>
      <c r="O902" t="s">
        <v>2462</v>
      </c>
      <c r="T902" t="s">
        <v>2463</v>
      </c>
    </row>
    <row r="903" spans="1:20" x14ac:dyDescent="0.25">
      <c r="A903" t="str">
        <f>"3040103"</f>
        <v>3040103</v>
      </c>
      <c r="B903" t="s">
        <v>2465</v>
      </c>
      <c r="C903" t="str">
        <f>"68492000"</f>
        <v>68492000</v>
      </c>
      <c r="D903" t="s">
        <v>2466</v>
      </c>
      <c r="E903" t="s">
        <v>2467</v>
      </c>
      <c r="F903" t="s">
        <v>2468</v>
      </c>
      <c r="I903" t="s">
        <v>29</v>
      </c>
      <c r="J903" t="s">
        <v>30</v>
      </c>
      <c r="K903" t="s">
        <v>31</v>
      </c>
      <c r="M903" t="s">
        <v>32</v>
      </c>
      <c r="N903" t="str">
        <f>"5/14/2004 12:00:00 AM"</f>
        <v>5/14/2004 12:00:00 AM</v>
      </c>
      <c r="O903" t="s">
        <v>2466</v>
      </c>
      <c r="T903" t="s">
        <v>2467</v>
      </c>
    </row>
    <row r="904" spans="1:20" x14ac:dyDescent="0.25">
      <c r="A904" t="str">
        <f>"3041078"</f>
        <v>3041078</v>
      </c>
      <c r="B904" t="s">
        <v>2469</v>
      </c>
      <c r="C904" t="str">
        <f>"82514470"</f>
        <v>82514470</v>
      </c>
      <c r="D904" t="s">
        <v>2470</v>
      </c>
      <c r="F904" t="s">
        <v>2471</v>
      </c>
      <c r="I904" t="s">
        <v>471</v>
      </c>
      <c r="J904" t="s">
        <v>30</v>
      </c>
      <c r="K904" t="s">
        <v>1210</v>
      </c>
      <c r="M904" t="s">
        <v>32</v>
      </c>
      <c r="N904" t="str">
        <f>"9/20/2004 12:00:00 AM"</f>
        <v>9/20/2004 12:00:00 AM</v>
      </c>
      <c r="O904" t="s">
        <v>2470</v>
      </c>
    </row>
    <row r="905" spans="1:20" x14ac:dyDescent="0.25">
      <c r="A905" t="str">
        <f>"3040029"</f>
        <v>3040029</v>
      </c>
      <c r="B905" t="s">
        <v>2472</v>
      </c>
      <c r="C905" t="str">
        <f>"6036000"</f>
        <v>6036000</v>
      </c>
      <c r="D905" t="s">
        <v>2473</v>
      </c>
      <c r="E905" t="s">
        <v>2474</v>
      </c>
      <c r="F905" t="s">
        <v>2475</v>
      </c>
      <c r="I905" t="s">
        <v>29</v>
      </c>
      <c r="J905" t="s">
        <v>30</v>
      </c>
      <c r="K905" t="s">
        <v>31</v>
      </c>
      <c r="M905" t="s">
        <v>32</v>
      </c>
      <c r="N905" t="str">
        <f>"2/25/2010 12:00:00 AM"</f>
        <v>2/25/2010 12:00:00 AM</v>
      </c>
      <c r="O905" t="s">
        <v>2473</v>
      </c>
      <c r="T905" t="s">
        <v>2474</v>
      </c>
    </row>
    <row r="906" spans="1:20" x14ac:dyDescent="0.25">
      <c r="A906" t="str">
        <f>"3040168"</f>
        <v>3040168</v>
      </c>
      <c r="B906" t="s">
        <v>2476</v>
      </c>
      <c r="C906" t="str">
        <f>"6036000"</f>
        <v>6036000</v>
      </c>
      <c r="D906" t="s">
        <v>2473</v>
      </c>
      <c r="E906" t="s">
        <v>2474</v>
      </c>
      <c r="F906" t="s">
        <v>2475</v>
      </c>
      <c r="I906" t="s">
        <v>29</v>
      </c>
      <c r="J906" t="s">
        <v>30</v>
      </c>
      <c r="K906" t="s">
        <v>31</v>
      </c>
      <c r="M906" t="s">
        <v>32</v>
      </c>
      <c r="N906" t="str">
        <f>"2/25/2010 12:00:00 AM"</f>
        <v>2/25/2010 12:00:00 AM</v>
      </c>
      <c r="O906" t="s">
        <v>2473</v>
      </c>
      <c r="T906" t="s">
        <v>2474</v>
      </c>
    </row>
    <row r="907" spans="1:20" x14ac:dyDescent="0.25">
      <c r="A907" t="str">
        <f>"3045904"</f>
        <v>3045904</v>
      </c>
      <c r="B907" t="s">
        <v>2477</v>
      </c>
      <c r="C907" t="str">
        <f>"6036000"</f>
        <v>6036000</v>
      </c>
      <c r="D907" t="s">
        <v>2473</v>
      </c>
      <c r="E907" t="s">
        <v>2474</v>
      </c>
      <c r="F907" t="s">
        <v>2475</v>
      </c>
      <c r="I907" t="s">
        <v>29</v>
      </c>
      <c r="J907" t="s">
        <v>30</v>
      </c>
      <c r="K907" t="s">
        <v>31</v>
      </c>
      <c r="M907" t="s">
        <v>32</v>
      </c>
      <c r="N907" t="str">
        <f>"2/25/2010 12:00:00 AM"</f>
        <v>2/25/2010 12:00:00 AM</v>
      </c>
      <c r="O907" t="s">
        <v>2473</v>
      </c>
      <c r="T907" t="s">
        <v>2474</v>
      </c>
    </row>
    <row r="908" spans="1:20" x14ac:dyDescent="0.25">
      <c r="A908" t="str">
        <f>"3045891"</f>
        <v>3045891</v>
      </c>
      <c r="B908" t="s">
        <v>2478</v>
      </c>
      <c r="C908" t="str">
        <f>"6036000"</f>
        <v>6036000</v>
      </c>
      <c r="D908" t="s">
        <v>2473</v>
      </c>
      <c r="E908" t="s">
        <v>2474</v>
      </c>
      <c r="F908" t="s">
        <v>2475</v>
      </c>
      <c r="I908" t="s">
        <v>29</v>
      </c>
      <c r="J908" t="s">
        <v>30</v>
      </c>
      <c r="K908" t="s">
        <v>31</v>
      </c>
      <c r="M908" t="s">
        <v>32</v>
      </c>
      <c r="N908" t="str">
        <f>"2/25/2010 12:00:00 AM"</f>
        <v>2/25/2010 12:00:00 AM</v>
      </c>
      <c r="O908" t="s">
        <v>2473</v>
      </c>
      <c r="T908" t="s">
        <v>2474</v>
      </c>
    </row>
    <row r="909" spans="1:20" x14ac:dyDescent="0.25">
      <c r="A909" t="str">
        <f>"3040135"</f>
        <v>3040135</v>
      </c>
      <c r="B909" t="s">
        <v>2479</v>
      </c>
      <c r="C909" t="str">
        <f>"32780000"</f>
        <v>32780000</v>
      </c>
      <c r="D909" t="s">
        <v>2480</v>
      </c>
      <c r="E909" t="s">
        <v>2481</v>
      </c>
      <c r="F909" t="s">
        <v>2482</v>
      </c>
      <c r="I909" t="s">
        <v>29</v>
      </c>
      <c r="J909" t="s">
        <v>30</v>
      </c>
      <c r="K909" t="s">
        <v>31</v>
      </c>
      <c r="M909" t="s">
        <v>32</v>
      </c>
      <c r="N909" t="str">
        <f>"9/11/2003 12:00:00 AM"</f>
        <v>9/11/2003 12:00:00 AM</v>
      </c>
      <c r="O909" t="s">
        <v>2480</v>
      </c>
      <c r="T909" t="s">
        <v>2481</v>
      </c>
    </row>
    <row r="910" spans="1:20" x14ac:dyDescent="0.25">
      <c r="A910" t="str">
        <f>"3040145"</f>
        <v>3040145</v>
      </c>
      <c r="B910" t="s">
        <v>2483</v>
      </c>
      <c r="C910" t="str">
        <f>"32780000"</f>
        <v>32780000</v>
      </c>
      <c r="D910" t="s">
        <v>2480</v>
      </c>
      <c r="E910" t="s">
        <v>2481</v>
      </c>
      <c r="F910" t="s">
        <v>2482</v>
      </c>
      <c r="I910" t="s">
        <v>29</v>
      </c>
      <c r="J910" t="s">
        <v>30</v>
      </c>
      <c r="K910" t="s">
        <v>31</v>
      </c>
      <c r="M910" t="s">
        <v>32</v>
      </c>
      <c r="N910" t="str">
        <f>"9/11/2003 12:00:00 AM"</f>
        <v>9/11/2003 12:00:00 AM</v>
      </c>
      <c r="O910" t="s">
        <v>2480</v>
      </c>
      <c r="T910" t="s">
        <v>2481</v>
      </c>
    </row>
    <row r="911" spans="1:20" x14ac:dyDescent="0.25">
      <c r="A911" t="str">
        <f>"3040133"</f>
        <v>3040133</v>
      </c>
      <c r="B911" t="s">
        <v>2484</v>
      </c>
      <c r="C911" t="str">
        <f>"35350500"</f>
        <v>35350500</v>
      </c>
      <c r="D911" t="s">
        <v>2485</v>
      </c>
      <c r="E911" t="s">
        <v>2486</v>
      </c>
      <c r="F911" t="s">
        <v>2487</v>
      </c>
      <c r="I911" t="s">
        <v>29</v>
      </c>
      <c r="J911" t="s">
        <v>30</v>
      </c>
      <c r="K911" t="s">
        <v>2488</v>
      </c>
      <c r="M911" t="s">
        <v>32</v>
      </c>
      <c r="N911" t="str">
        <f>"2/6/2007 12:00:00 AM"</f>
        <v>2/6/2007 12:00:00 AM</v>
      </c>
      <c r="O911" t="s">
        <v>2485</v>
      </c>
      <c r="T911" t="s">
        <v>2486</v>
      </c>
    </row>
    <row r="912" spans="1:20" x14ac:dyDescent="0.25">
      <c r="A912" t="str">
        <f>"3040007"</f>
        <v>3040007</v>
      </c>
      <c r="B912" t="s">
        <v>2489</v>
      </c>
      <c r="C912" t="str">
        <f>"35350500"</f>
        <v>35350500</v>
      </c>
      <c r="D912" t="s">
        <v>2485</v>
      </c>
      <c r="E912" t="s">
        <v>2486</v>
      </c>
      <c r="F912" t="s">
        <v>2487</v>
      </c>
      <c r="I912" t="s">
        <v>29</v>
      </c>
      <c r="J912" t="s">
        <v>30</v>
      </c>
      <c r="K912" t="s">
        <v>2488</v>
      </c>
      <c r="M912" t="s">
        <v>32</v>
      </c>
      <c r="N912" t="str">
        <f>"2/6/2007 12:00:00 AM"</f>
        <v>2/6/2007 12:00:00 AM</v>
      </c>
      <c r="O912" t="s">
        <v>2485</v>
      </c>
      <c r="T912" t="s">
        <v>2486</v>
      </c>
    </row>
    <row r="913" spans="1:20" x14ac:dyDescent="0.25">
      <c r="A913" t="str">
        <f>"3040065"</f>
        <v>3040065</v>
      </c>
      <c r="B913" t="s">
        <v>2490</v>
      </c>
      <c r="C913" t="str">
        <f>"82520782"</f>
        <v>82520782</v>
      </c>
      <c r="D913" t="s">
        <v>2491</v>
      </c>
      <c r="F913" t="s">
        <v>2492</v>
      </c>
      <c r="I913" t="s">
        <v>29</v>
      </c>
      <c r="J913" t="s">
        <v>30</v>
      </c>
      <c r="K913" t="s">
        <v>2493</v>
      </c>
      <c r="M913" t="s">
        <v>32</v>
      </c>
      <c r="N913" t="str">
        <f>"1/27/2006 12:00:00 AM"</f>
        <v>1/27/2006 12:00:00 AM</v>
      </c>
      <c r="O913" t="s">
        <v>2491</v>
      </c>
    </row>
    <row r="914" spans="1:20" x14ac:dyDescent="0.25">
      <c r="A914" t="str">
        <f>"3041079"</f>
        <v>3041079</v>
      </c>
      <c r="B914" t="s">
        <v>2494</v>
      </c>
      <c r="C914" t="str">
        <f>"82528063"</f>
        <v>82528063</v>
      </c>
      <c r="D914" t="s">
        <v>2495</v>
      </c>
      <c r="F914" t="s">
        <v>2496</v>
      </c>
      <c r="I914" t="s">
        <v>471</v>
      </c>
      <c r="J914" t="s">
        <v>30</v>
      </c>
      <c r="K914" t="s">
        <v>1210</v>
      </c>
      <c r="L914" t="s">
        <v>2497</v>
      </c>
      <c r="M914" t="s">
        <v>32</v>
      </c>
      <c r="N914" t="str">
        <f>"5/10/2011 12:00:00 AM"</f>
        <v>5/10/2011 12:00:00 AM</v>
      </c>
      <c r="O914" t="s">
        <v>2495</v>
      </c>
    </row>
    <row r="915" spans="1:20" x14ac:dyDescent="0.25">
      <c r="A915" t="str">
        <f>"3038823"</f>
        <v>3038823</v>
      </c>
      <c r="B915" t="s">
        <v>2498</v>
      </c>
      <c r="C915" t="str">
        <f>"82530388"</f>
        <v>82530388</v>
      </c>
      <c r="D915" t="s">
        <v>2499</v>
      </c>
      <c r="E915" t="s">
        <v>2500</v>
      </c>
      <c r="F915" t="s">
        <v>2501</v>
      </c>
      <c r="I915" t="s">
        <v>49</v>
      </c>
      <c r="J915" t="s">
        <v>30</v>
      </c>
      <c r="K915" t="s">
        <v>50</v>
      </c>
      <c r="M915" t="s">
        <v>32</v>
      </c>
      <c r="N915" t="str">
        <f>"2/4/2009 12:00:00 AM"</f>
        <v>2/4/2009 12:00:00 AM</v>
      </c>
      <c r="O915" t="s">
        <v>2499</v>
      </c>
      <c r="T915" t="s">
        <v>2500</v>
      </c>
    </row>
    <row r="916" spans="1:20" x14ac:dyDescent="0.25">
      <c r="A916" t="str">
        <f>"3038806"</f>
        <v>3038806</v>
      </c>
      <c r="B916" t="s">
        <v>2502</v>
      </c>
      <c r="C916" t="str">
        <f>"10555250"</f>
        <v>10555250</v>
      </c>
      <c r="D916" t="s">
        <v>2503</v>
      </c>
      <c r="E916" t="s">
        <v>2504</v>
      </c>
      <c r="F916" t="s">
        <v>2505</v>
      </c>
      <c r="I916" t="s">
        <v>29</v>
      </c>
      <c r="J916" t="s">
        <v>30</v>
      </c>
      <c r="K916" t="s">
        <v>31</v>
      </c>
      <c r="M916" t="s">
        <v>32</v>
      </c>
      <c r="N916" t="str">
        <f>"8/1/2006 12:00:00 AM"</f>
        <v>8/1/2006 12:00:00 AM</v>
      </c>
      <c r="O916" t="s">
        <v>2503</v>
      </c>
      <c r="T916" t="s">
        <v>2504</v>
      </c>
    </row>
    <row r="917" spans="1:20" x14ac:dyDescent="0.25">
      <c r="A917" t="str">
        <f>"3039158"</f>
        <v>3039158</v>
      </c>
      <c r="B917" t="s">
        <v>2506</v>
      </c>
      <c r="C917" t="str">
        <f>"82518394"</f>
        <v>82518394</v>
      </c>
      <c r="D917" t="s">
        <v>2507</v>
      </c>
      <c r="F917" t="s">
        <v>2508</v>
      </c>
      <c r="I917" t="s">
        <v>29</v>
      </c>
      <c r="J917" t="s">
        <v>30</v>
      </c>
      <c r="K917" t="s">
        <v>31</v>
      </c>
      <c r="M917" t="s">
        <v>32</v>
      </c>
      <c r="N917" t="str">
        <f>"3/4/2003 12:00:00 AM"</f>
        <v>3/4/2003 12:00:00 AM</v>
      </c>
      <c r="O917" t="s">
        <v>2507</v>
      </c>
    </row>
    <row r="918" spans="1:20" x14ac:dyDescent="0.25">
      <c r="A918" t="str">
        <f>"3040178"</f>
        <v>3040178</v>
      </c>
      <c r="B918" t="s">
        <v>2509</v>
      </c>
      <c r="C918" t="str">
        <f>"82514490"</f>
        <v>82514490</v>
      </c>
      <c r="D918" t="s">
        <v>2510</v>
      </c>
      <c r="F918" t="s">
        <v>2511</v>
      </c>
      <c r="I918" t="s">
        <v>29</v>
      </c>
      <c r="J918" t="s">
        <v>30</v>
      </c>
      <c r="K918" t="s">
        <v>31</v>
      </c>
      <c r="M918" t="s">
        <v>32</v>
      </c>
      <c r="N918" t="str">
        <f>"4/9/2002 12:00:00 AM"</f>
        <v>4/9/2002 12:00:00 AM</v>
      </c>
      <c r="O918" t="s">
        <v>2510</v>
      </c>
    </row>
    <row r="919" spans="1:20" x14ac:dyDescent="0.25">
      <c r="A919" t="str">
        <f>"3040189"</f>
        <v>3040189</v>
      </c>
      <c r="B919" t="s">
        <v>2512</v>
      </c>
      <c r="C919" t="str">
        <f>"82527300"</f>
        <v>82527300</v>
      </c>
      <c r="D919" t="s">
        <v>2513</v>
      </c>
      <c r="F919" t="s">
        <v>2514</v>
      </c>
      <c r="I919" t="s">
        <v>29</v>
      </c>
      <c r="J919" t="s">
        <v>30</v>
      </c>
      <c r="K919" t="s">
        <v>31</v>
      </c>
      <c r="M919" t="s">
        <v>32</v>
      </c>
      <c r="N919" t="str">
        <f>"12/20/2006 12:00:00 AM"</f>
        <v>12/20/2006 12:00:00 AM</v>
      </c>
      <c r="O919" t="s">
        <v>2513</v>
      </c>
    </row>
    <row r="920" spans="1:20" x14ac:dyDescent="0.25">
      <c r="A920" t="str">
        <f>"3038747"</f>
        <v>3038747</v>
      </c>
      <c r="B920" t="s">
        <v>2515</v>
      </c>
      <c r="C920" t="str">
        <f>"80200560"</f>
        <v>80200560</v>
      </c>
      <c r="D920" t="s">
        <v>2516</v>
      </c>
      <c r="E920" t="s">
        <v>2517</v>
      </c>
      <c r="F920" t="s">
        <v>2518</v>
      </c>
      <c r="I920" t="s">
        <v>29</v>
      </c>
      <c r="J920" t="s">
        <v>30</v>
      </c>
      <c r="K920" t="s">
        <v>31</v>
      </c>
      <c r="M920" t="s">
        <v>32</v>
      </c>
      <c r="N920" t="str">
        <f>"7/16/2004 12:00:00 AM"</f>
        <v>7/16/2004 12:00:00 AM</v>
      </c>
      <c r="O920" t="s">
        <v>2516</v>
      </c>
      <c r="T920" t="s">
        <v>2517</v>
      </c>
    </row>
    <row r="921" spans="1:20" x14ac:dyDescent="0.25">
      <c r="A921" t="str">
        <f>"3061199"</f>
        <v>3061199</v>
      </c>
      <c r="B921" t="s">
        <v>2519</v>
      </c>
      <c r="C921" t="str">
        <f>"82526576"</f>
        <v>82526576</v>
      </c>
      <c r="D921" t="s">
        <v>2520</v>
      </c>
      <c r="F921" t="s">
        <v>2521</v>
      </c>
      <c r="I921" t="s">
        <v>2071</v>
      </c>
      <c r="J921" t="s">
        <v>30</v>
      </c>
      <c r="K921" t="s">
        <v>185</v>
      </c>
      <c r="M921" t="s">
        <v>32</v>
      </c>
      <c r="N921" t="str">
        <f>"1/26/2007 12:00:00 AM"</f>
        <v>1/26/2007 12:00:00 AM</v>
      </c>
      <c r="O921" t="s">
        <v>2520</v>
      </c>
    </row>
    <row r="922" spans="1:20" x14ac:dyDescent="0.25">
      <c r="A922" t="str">
        <f>"3041092"</f>
        <v>3041092</v>
      </c>
      <c r="B922" t="s">
        <v>2522</v>
      </c>
      <c r="C922" t="str">
        <f>"82528048"</f>
        <v>82528048</v>
      </c>
      <c r="D922" t="s">
        <v>2523</v>
      </c>
      <c r="F922" t="s">
        <v>2524</v>
      </c>
      <c r="I922" t="s">
        <v>2525</v>
      </c>
      <c r="J922" t="s">
        <v>30</v>
      </c>
      <c r="K922" t="s">
        <v>2526</v>
      </c>
      <c r="M922" t="s">
        <v>32</v>
      </c>
      <c r="N922" t="str">
        <f>"8/15/2008 12:00:00 AM"</f>
        <v>8/15/2008 12:00:00 AM</v>
      </c>
      <c r="O922" t="s">
        <v>2523</v>
      </c>
    </row>
    <row r="923" spans="1:20" x14ac:dyDescent="0.25">
      <c r="A923" t="str">
        <f>"3038890"</f>
        <v>3038890</v>
      </c>
      <c r="B923" t="s">
        <v>2527</v>
      </c>
      <c r="C923" t="str">
        <f>"82524197"</f>
        <v>82524197</v>
      </c>
      <c r="D923" t="s">
        <v>2528</v>
      </c>
      <c r="E923" t="s">
        <v>2529</v>
      </c>
      <c r="F923" t="s">
        <v>2530</v>
      </c>
      <c r="I923" t="s">
        <v>29</v>
      </c>
      <c r="J923" t="s">
        <v>30</v>
      </c>
      <c r="K923" t="s">
        <v>2531</v>
      </c>
      <c r="M923" t="s">
        <v>32</v>
      </c>
      <c r="N923" t="str">
        <f>"1/25/2006 12:00:00 AM"</f>
        <v>1/25/2006 12:00:00 AM</v>
      </c>
      <c r="O923" t="s">
        <v>2528</v>
      </c>
      <c r="T923" t="s">
        <v>2529</v>
      </c>
    </row>
    <row r="924" spans="1:20" x14ac:dyDescent="0.25">
      <c r="A924" t="str">
        <f>"3038133"</f>
        <v>3038133</v>
      </c>
      <c r="B924" t="s">
        <v>2532</v>
      </c>
      <c r="C924" t="str">
        <f>"82524197"</f>
        <v>82524197</v>
      </c>
      <c r="D924" t="s">
        <v>2528</v>
      </c>
      <c r="E924" t="s">
        <v>2529</v>
      </c>
      <c r="F924" t="s">
        <v>2530</v>
      </c>
      <c r="I924" t="s">
        <v>29</v>
      </c>
      <c r="J924" t="s">
        <v>30</v>
      </c>
      <c r="K924" t="s">
        <v>2531</v>
      </c>
      <c r="M924" t="s">
        <v>32</v>
      </c>
      <c r="N924" t="str">
        <f>"1/25/2006 12:00:00 AM"</f>
        <v>1/25/2006 12:00:00 AM</v>
      </c>
      <c r="O924" t="s">
        <v>2528</v>
      </c>
      <c r="T924" t="s">
        <v>2529</v>
      </c>
    </row>
    <row r="925" spans="1:20" x14ac:dyDescent="0.25">
      <c r="A925" t="str">
        <f>"3076841"</f>
        <v>3076841</v>
      </c>
      <c r="B925" t="s">
        <v>2533</v>
      </c>
      <c r="C925" t="str">
        <f>"82526995"</f>
        <v>82526995</v>
      </c>
      <c r="D925" t="s">
        <v>2534</v>
      </c>
      <c r="E925" t="s">
        <v>2535</v>
      </c>
      <c r="F925" t="s">
        <v>2536</v>
      </c>
      <c r="I925" t="s">
        <v>29</v>
      </c>
      <c r="J925" t="s">
        <v>30</v>
      </c>
      <c r="K925" t="s">
        <v>31</v>
      </c>
      <c r="M925" t="s">
        <v>32</v>
      </c>
      <c r="N925" t="str">
        <f>"10/25/2006 12:00:00 AM"</f>
        <v>10/25/2006 12:00:00 AM</v>
      </c>
      <c r="O925" t="s">
        <v>2534</v>
      </c>
      <c r="T925" t="s">
        <v>2535</v>
      </c>
    </row>
    <row r="926" spans="1:20" x14ac:dyDescent="0.25">
      <c r="A926" t="str">
        <f>"3038018"</f>
        <v>3038018</v>
      </c>
      <c r="B926" t="s">
        <v>2537</v>
      </c>
      <c r="C926" t="str">
        <f>"48032620"</f>
        <v>48032620</v>
      </c>
      <c r="D926" t="s">
        <v>2538</v>
      </c>
      <c r="E926" t="s">
        <v>2539</v>
      </c>
      <c r="F926" t="s">
        <v>2540</v>
      </c>
      <c r="I926" t="s">
        <v>29</v>
      </c>
      <c r="J926" t="s">
        <v>30</v>
      </c>
      <c r="K926" t="s">
        <v>2541</v>
      </c>
      <c r="M926" t="s">
        <v>32</v>
      </c>
      <c r="N926" t="str">
        <f>"2/17/2004 12:00:00 AM"</f>
        <v>2/17/2004 12:00:00 AM</v>
      </c>
      <c r="O926" t="s">
        <v>2538</v>
      </c>
      <c r="T926" t="s">
        <v>2539</v>
      </c>
    </row>
    <row r="927" spans="1:20" x14ac:dyDescent="0.25">
      <c r="A927" t="str">
        <f>"3039090"</f>
        <v>3039090</v>
      </c>
      <c r="B927" t="s">
        <v>2542</v>
      </c>
      <c r="C927" t="str">
        <f>"48032620"</f>
        <v>48032620</v>
      </c>
      <c r="D927" t="s">
        <v>2538</v>
      </c>
      <c r="E927" t="s">
        <v>2539</v>
      </c>
      <c r="F927" t="s">
        <v>2540</v>
      </c>
      <c r="I927" t="s">
        <v>29</v>
      </c>
      <c r="J927" t="s">
        <v>30</v>
      </c>
      <c r="K927" t="s">
        <v>2541</v>
      </c>
      <c r="M927" t="s">
        <v>32</v>
      </c>
      <c r="N927" t="str">
        <f>"2/17/2004 12:00:00 AM"</f>
        <v>2/17/2004 12:00:00 AM</v>
      </c>
      <c r="O927" t="s">
        <v>2538</v>
      </c>
      <c r="T927" t="s">
        <v>2539</v>
      </c>
    </row>
    <row r="928" spans="1:20" x14ac:dyDescent="0.25">
      <c r="A928" t="str">
        <f>"3042960"</f>
        <v>3042960</v>
      </c>
      <c r="B928" t="s">
        <v>2543</v>
      </c>
      <c r="C928" t="str">
        <f>"26188000"</f>
        <v>26188000</v>
      </c>
      <c r="D928" t="s">
        <v>2544</v>
      </c>
      <c r="E928" t="s">
        <v>2545</v>
      </c>
      <c r="F928" t="s">
        <v>2546</v>
      </c>
      <c r="I928" t="s">
        <v>29</v>
      </c>
      <c r="J928" t="s">
        <v>30</v>
      </c>
      <c r="K928" t="s">
        <v>2547</v>
      </c>
      <c r="M928" t="s">
        <v>32</v>
      </c>
      <c r="N928" t="str">
        <f>"1/23/2006 12:00:00 AM"</f>
        <v>1/23/2006 12:00:00 AM</v>
      </c>
      <c r="O928" t="s">
        <v>2544</v>
      </c>
      <c r="T928" t="s">
        <v>2545</v>
      </c>
    </row>
    <row r="929" spans="1:20" x14ac:dyDescent="0.25">
      <c r="A929" t="str">
        <f>"3039126"</f>
        <v>3039126</v>
      </c>
      <c r="B929" t="s">
        <v>2548</v>
      </c>
      <c r="C929" t="str">
        <f>"82516216"</f>
        <v>82516216</v>
      </c>
      <c r="D929" t="s">
        <v>2549</v>
      </c>
      <c r="F929" t="s">
        <v>2550</v>
      </c>
      <c r="I929" t="s">
        <v>29</v>
      </c>
      <c r="J929" t="s">
        <v>30</v>
      </c>
      <c r="K929" t="s">
        <v>2551</v>
      </c>
      <c r="M929" t="s">
        <v>32</v>
      </c>
      <c r="N929" t="str">
        <f>"9/13/2005 12:00:00 AM"</f>
        <v>9/13/2005 12:00:00 AM</v>
      </c>
      <c r="O929" t="s">
        <v>2549</v>
      </c>
    </row>
    <row r="930" spans="1:20" x14ac:dyDescent="0.25">
      <c r="A930" t="str">
        <f>"3038882"</f>
        <v>3038882</v>
      </c>
      <c r="B930" t="s">
        <v>2552</v>
      </c>
      <c r="C930" t="str">
        <f>"50991000"</f>
        <v>50991000</v>
      </c>
      <c r="D930" t="s">
        <v>2553</v>
      </c>
      <c r="F930" t="s">
        <v>2554</v>
      </c>
      <c r="I930" t="s">
        <v>29</v>
      </c>
      <c r="J930" t="s">
        <v>30</v>
      </c>
      <c r="K930" t="s">
        <v>2555</v>
      </c>
      <c r="M930" t="s">
        <v>32</v>
      </c>
      <c r="N930" t="str">
        <f>"1/31/2006 12:00:00 AM"</f>
        <v>1/31/2006 12:00:00 AM</v>
      </c>
      <c r="O930" t="s">
        <v>2553</v>
      </c>
    </row>
    <row r="931" spans="1:20" x14ac:dyDescent="0.25">
      <c r="A931" t="str">
        <f>"3038756"</f>
        <v>3038756</v>
      </c>
      <c r="B931" t="s">
        <v>2556</v>
      </c>
      <c r="C931" t="str">
        <f>"23308000"</f>
        <v>23308000</v>
      </c>
      <c r="D931" t="s">
        <v>2557</v>
      </c>
      <c r="E931" t="s">
        <v>2558</v>
      </c>
      <c r="F931" t="s">
        <v>2559</v>
      </c>
      <c r="I931" t="s">
        <v>29</v>
      </c>
      <c r="J931" t="s">
        <v>30</v>
      </c>
      <c r="K931" t="s">
        <v>31</v>
      </c>
      <c r="M931" t="s">
        <v>32</v>
      </c>
      <c r="N931" t="str">
        <f>"8/8/2003 12:00:00 AM"</f>
        <v>8/8/2003 12:00:00 AM</v>
      </c>
      <c r="O931" t="s">
        <v>2557</v>
      </c>
      <c r="T931" t="s">
        <v>2558</v>
      </c>
    </row>
    <row r="932" spans="1:20" x14ac:dyDescent="0.25">
      <c r="A932" t="str">
        <f>"3076976"</f>
        <v>3076976</v>
      </c>
      <c r="B932" t="s">
        <v>2560</v>
      </c>
      <c r="C932" t="str">
        <f>"82514152"</f>
        <v>82514152</v>
      </c>
      <c r="D932" t="s">
        <v>2561</v>
      </c>
      <c r="E932" t="s">
        <v>2562</v>
      </c>
      <c r="F932" t="s">
        <v>2563</v>
      </c>
      <c r="I932" t="s">
        <v>29</v>
      </c>
      <c r="J932" t="s">
        <v>30</v>
      </c>
      <c r="K932" t="s">
        <v>2564</v>
      </c>
      <c r="M932" t="s">
        <v>32</v>
      </c>
      <c r="N932" t="str">
        <f>"7/23/2004 12:00:00 AM"</f>
        <v>7/23/2004 12:00:00 AM</v>
      </c>
      <c r="O932" t="s">
        <v>2561</v>
      </c>
      <c r="T932" t="s">
        <v>2562</v>
      </c>
    </row>
    <row r="933" spans="1:20" x14ac:dyDescent="0.25">
      <c r="A933" t="str">
        <f>"3038664"</f>
        <v>3038664</v>
      </c>
      <c r="B933" t="s">
        <v>2565</v>
      </c>
      <c r="C933" t="str">
        <f>"72036750"</f>
        <v>72036750</v>
      </c>
      <c r="D933" t="s">
        <v>2566</v>
      </c>
      <c r="E933" t="s">
        <v>2567</v>
      </c>
      <c r="F933" t="s">
        <v>2568</v>
      </c>
      <c r="I933" t="s">
        <v>29</v>
      </c>
      <c r="J933" t="s">
        <v>30</v>
      </c>
      <c r="K933" t="s">
        <v>2569</v>
      </c>
      <c r="M933" t="s">
        <v>32</v>
      </c>
      <c r="N933" t="str">
        <f>"11/30/2010 12:00:00 AM"</f>
        <v>11/30/2010 12:00:00 AM</v>
      </c>
      <c r="O933" t="s">
        <v>2566</v>
      </c>
      <c r="T933" t="s">
        <v>2567</v>
      </c>
    </row>
    <row r="934" spans="1:20" x14ac:dyDescent="0.25">
      <c r="A934" t="str">
        <f>"3076807"</f>
        <v>3076807</v>
      </c>
      <c r="B934" t="s">
        <v>2570</v>
      </c>
      <c r="C934" t="str">
        <f>"26188000"</f>
        <v>26188000</v>
      </c>
      <c r="D934" t="s">
        <v>2544</v>
      </c>
      <c r="E934" t="s">
        <v>2545</v>
      </c>
      <c r="F934" t="s">
        <v>2546</v>
      </c>
      <c r="I934" t="s">
        <v>29</v>
      </c>
      <c r="J934" t="s">
        <v>30</v>
      </c>
      <c r="K934" t="s">
        <v>2547</v>
      </c>
      <c r="M934" t="s">
        <v>32</v>
      </c>
      <c r="N934" t="str">
        <f>"1/23/2006 12:00:00 AM"</f>
        <v>1/23/2006 12:00:00 AM</v>
      </c>
      <c r="O934" t="s">
        <v>2544</v>
      </c>
      <c r="T934" t="s">
        <v>2545</v>
      </c>
    </row>
    <row r="935" spans="1:20" x14ac:dyDescent="0.25">
      <c r="A935" t="str">
        <f>"3042701"</f>
        <v>3042701</v>
      </c>
      <c r="B935" t="s">
        <v>2571</v>
      </c>
      <c r="C935" t="str">
        <f>"82529535"</f>
        <v>82529535</v>
      </c>
      <c r="D935" t="s">
        <v>2572</v>
      </c>
      <c r="F935" t="s">
        <v>2573</v>
      </c>
      <c r="I935" t="s">
        <v>29</v>
      </c>
      <c r="J935" t="s">
        <v>30</v>
      </c>
      <c r="K935" t="s">
        <v>31</v>
      </c>
      <c r="M935" t="s">
        <v>32</v>
      </c>
      <c r="N935" t="str">
        <f>"5/6/2008 12:00:00 AM"</f>
        <v>5/6/2008 12:00:00 AM</v>
      </c>
      <c r="O935" t="s">
        <v>2572</v>
      </c>
    </row>
    <row r="936" spans="1:20" x14ac:dyDescent="0.25">
      <c r="A936" t="str">
        <f>"3038141"</f>
        <v>3038141</v>
      </c>
      <c r="B936" t="s">
        <v>2574</v>
      </c>
      <c r="C936" t="str">
        <f>"82529015"</f>
        <v>82529015</v>
      </c>
      <c r="D936" t="s">
        <v>2575</v>
      </c>
      <c r="E936" t="s">
        <v>2576</v>
      </c>
      <c r="F936" t="s">
        <v>2563</v>
      </c>
      <c r="I936" t="s">
        <v>29</v>
      </c>
      <c r="J936" t="s">
        <v>30</v>
      </c>
      <c r="K936" t="s">
        <v>31</v>
      </c>
      <c r="M936" t="s">
        <v>32</v>
      </c>
      <c r="N936" t="str">
        <f>"12/31/2007 12:00:00 AM"</f>
        <v>12/31/2007 12:00:00 AM</v>
      </c>
      <c r="O936" t="s">
        <v>2575</v>
      </c>
      <c r="T936" t="s">
        <v>2576</v>
      </c>
    </row>
    <row r="937" spans="1:20" x14ac:dyDescent="0.25">
      <c r="A937" t="str">
        <f>"3076866"</f>
        <v>3076866</v>
      </c>
      <c r="B937" t="s">
        <v>2577</v>
      </c>
      <c r="C937" t="str">
        <f>"82529015"</f>
        <v>82529015</v>
      </c>
      <c r="D937" t="s">
        <v>2575</v>
      </c>
      <c r="E937" t="s">
        <v>2576</v>
      </c>
      <c r="F937" t="s">
        <v>2563</v>
      </c>
      <c r="I937" t="s">
        <v>29</v>
      </c>
      <c r="J937" t="s">
        <v>30</v>
      </c>
      <c r="K937" t="s">
        <v>31</v>
      </c>
      <c r="M937" t="s">
        <v>32</v>
      </c>
      <c r="N937" t="str">
        <f>"12/31/2007 12:00:00 AM"</f>
        <v>12/31/2007 12:00:00 AM</v>
      </c>
      <c r="O937" t="s">
        <v>2575</v>
      </c>
      <c r="T937" t="s">
        <v>2576</v>
      </c>
    </row>
    <row r="938" spans="1:20" x14ac:dyDescent="0.25">
      <c r="A938" t="str">
        <f>"3039166"</f>
        <v>3039166</v>
      </c>
      <c r="B938" t="s">
        <v>2578</v>
      </c>
      <c r="C938" t="str">
        <f>"82530181"</f>
        <v>82530181</v>
      </c>
      <c r="D938" t="s">
        <v>2579</v>
      </c>
      <c r="F938" t="s">
        <v>2580</v>
      </c>
      <c r="I938" t="s">
        <v>29</v>
      </c>
      <c r="J938" t="s">
        <v>30</v>
      </c>
      <c r="K938" t="s">
        <v>2581</v>
      </c>
      <c r="M938" t="s">
        <v>32</v>
      </c>
      <c r="N938" t="str">
        <f>"10/6/2011 12:00:00 AM"</f>
        <v>10/6/2011 12:00:00 AM</v>
      </c>
      <c r="O938" t="s">
        <v>2579</v>
      </c>
    </row>
    <row r="939" spans="1:20" x14ac:dyDescent="0.25">
      <c r="A939" t="str">
        <f>"3076849"</f>
        <v>3076849</v>
      </c>
      <c r="B939" t="s">
        <v>2582</v>
      </c>
      <c r="C939" t="str">
        <f>"7436000"</f>
        <v>7436000</v>
      </c>
      <c r="D939" t="s">
        <v>2583</v>
      </c>
      <c r="E939" t="s">
        <v>2584</v>
      </c>
      <c r="F939" t="s">
        <v>2585</v>
      </c>
      <c r="I939" t="s">
        <v>471</v>
      </c>
      <c r="J939" t="s">
        <v>30</v>
      </c>
      <c r="K939" t="s">
        <v>1210</v>
      </c>
      <c r="M939" t="s">
        <v>32</v>
      </c>
      <c r="N939" t="str">
        <f>"3/21/2003 12:00:00 AM"</f>
        <v>3/21/2003 12:00:00 AM</v>
      </c>
      <c r="O939" t="s">
        <v>2583</v>
      </c>
      <c r="T939" t="s">
        <v>2584</v>
      </c>
    </row>
    <row r="940" spans="1:20" x14ac:dyDescent="0.25">
      <c r="A940" t="str">
        <f>"3076850"</f>
        <v>3076850</v>
      </c>
      <c r="B940" t="s">
        <v>2586</v>
      </c>
      <c r="C940" t="str">
        <f>"82525318"</f>
        <v>82525318</v>
      </c>
      <c r="D940" t="s">
        <v>2587</v>
      </c>
      <c r="F940" t="s">
        <v>2588</v>
      </c>
      <c r="I940" t="s">
        <v>2589</v>
      </c>
      <c r="J940" t="s">
        <v>30</v>
      </c>
      <c r="K940" t="s">
        <v>2590</v>
      </c>
      <c r="M940" t="s">
        <v>32</v>
      </c>
      <c r="N940" t="str">
        <f>"11/3/2005 12:00:00 AM"</f>
        <v>11/3/2005 12:00:00 AM</v>
      </c>
      <c r="O940" t="s">
        <v>2587</v>
      </c>
    </row>
    <row r="941" spans="1:20" x14ac:dyDescent="0.25">
      <c r="A941" t="str">
        <f>"3038303"</f>
        <v>3038303</v>
      </c>
      <c r="B941" t="s">
        <v>2591</v>
      </c>
      <c r="C941" t="str">
        <f>"82522106"</f>
        <v>82522106</v>
      </c>
      <c r="D941" t="s">
        <v>2592</v>
      </c>
      <c r="F941" t="s">
        <v>2593</v>
      </c>
      <c r="I941" t="s">
        <v>471</v>
      </c>
      <c r="J941" t="s">
        <v>30</v>
      </c>
      <c r="K941" t="s">
        <v>2594</v>
      </c>
      <c r="M941" t="s">
        <v>32</v>
      </c>
      <c r="N941" t="str">
        <f>"1/27/2005 12:00:00 AM"</f>
        <v>1/27/2005 12:00:00 AM</v>
      </c>
      <c r="O941" t="s">
        <v>2592</v>
      </c>
    </row>
    <row r="942" spans="1:20" x14ac:dyDescent="0.25">
      <c r="A942" t="str">
        <f>"3038160"</f>
        <v>3038160</v>
      </c>
      <c r="B942" t="s">
        <v>2595</v>
      </c>
      <c r="C942" t="str">
        <f>"82527698"</f>
        <v>82527698</v>
      </c>
      <c r="D942" t="s">
        <v>2596</v>
      </c>
      <c r="E942" t="s">
        <v>2597</v>
      </c>
      <c r="F942" t="s">
        <v>2598</v>
      </c>
      <c r="I942" t="s">
        <v>29</v>
      </c>
      <c r="J942" t="s">
        <v>30</v>
      </c>
      <c r="K942" t="s">
        <v>31</v>
      </c>
      <c r="M942" t="s">
        <v>32</v>
      </c>
      <c r="N942" t="str">
        <f>"3/20/2007 12:00:00 AM"</f>
        <v>3/20/2007 12:00:00 AM</v>
      </c>
      <c r="O942" t="s">
        <v>2596</v>
      </c>
      <c r="T942" t="s">
        <v>2597</v>
      </c>
    </row>
    <row r="943" spans="1:20" x14ac:dyDescent="0.25">
      <c r="A943" t="str">
        <f>"3040119"</f>
        <v>3040119</v>
      </c>
      <c r="B943" t="s">
        <v>2599</v>
      </c>
      <c r="C943" t="str">
        <f>"44862000"</f>
        <v>44862000</v>
      </c>
      <c r="D943" t="s">
        <v>2600</v>
      </c>
      <c r="F943" t="s">
        <v>2601</v>
      </c>
      <c r="I943" t="s">
        <v>29</v>
      </c>
      <c r="J943" t="s">
        <v>30</v>
      </c>
      <c r="K943" t="s">
        <v>31</v>
      </c>
      <c r="M943" t="s">
        <v>32</v>
      </c>
      <c r="N943" t="str">
        <f>"12/12/2003 12:00:00 AM"</f>
        <v>12/12/2003 12:00:00 AM</v>
      </c>
      <c r="O943" t="s">
        <v>2600</v>
      </c>
    </row>
    <row r="944" spans="1:20" x14ac:dyDescent="0.25">
      <c r="A944" t="str">
        <f>"3076851"</f>
        <v>3076851</v>
      </c>
      <c r="B944" t="s">
        <v>2602</v>
      </c>
      <c r="C944" t="str">
        <f>"69938500"</f>
        <v>69938500</v>
      </c>
      <c r="D944" t="s">
        <v>2603</v>
      </c>
      <c r="F944" t="s">
        <v>2604</v>
      </c>
      <c r="I944" t="s">
        <v>29</v>
      </c>
      <c r="J944" t="s">
        <v>30</v>
      </c>
      <c r="K944" t="s">
        <v>31</v>
      </c>
      <c r="M944" t="s">
        <v>32</v>
      </c>
      <c r="N944" t="str">
        <f>"5/19/2004 12:00:00 AM"</f>
        <v>5/19/2004 12:00:00 AM</v>
      </c>
      <c r="O944" t="s">
        <v>2603</v>
      </c>
    </row>
    <row r="945" spans="1:20" x14ac:dyDescent="0.25">
      <c r="A945" t="str">
        <f>"3040154"</f>
        <v>3040154</v>
      </c>
      <c r="B945" t="s">
        <v>2605</v>
      </c>
      <c r="C945" t="str">
        <f>"56900000"</f>
        <v>56900000</v>
      </c>
      <c r="D945" t="s">
        <v>975</v>
      </c>
      <c r="E945" t="s">
        <v>2606</v>
      </c>
      <c r="F945" t="s">
        <v>2607</v>
      </c>
      <c r="I945" t="s">
        <v>29</v>
      </c>
      <c r="J945" t="s">
        <v>30</v>
      </c>
      <c r="K945" t="s">
        <v>31</v>
      </c>
      <c r="M945" t="s">
        <v>32</v>
      </c>
      <c r="N945" t="str">
        <f>"3/31/2004 12:00:00 AM"</f>
        <v>3/31/2004 12:00:00 AM</v>
      </c>
      <c r="O945" t="s">
        <v>975</v>
      </c>
      <c r="T945" t="s">
        <v>2606</v>
      </c>
    </row>
    <row r="946" spans="1:20" x14ac:dyDescent="0.25">
      <c r="A946" t="str">
        <f>"3063542"</f>
        <v>3063542</v>
      </c>
      <c r="B946" t="s">
        <v>2608</v>
      </c>
      <c r="C946" t="str">
        <f>"52364000"</f>
        <v>52364000</v>
      </c>
      <c r="D946" t="s">
        <v>2609</v>
      </c>
      <c r="F946" t="s">
        <v>2610</v>
      </c>
      <c r="I946" t="s">
        <v>29</v>
      </c>
      <c r="J946" t="s">
        <v>30</v>
      </c>
      <c r="K946" t="s">
        <v>2611</v>
      </c>
      <c r="M946" t="s">
        <v>32</v>
      </c>
      <c r="N946" t="str">
        <f>"5/1/2009 12:00:00 AM"</f>
        <v>5/1/2009 12:00:00 AM</v>
      </c>
      <c r="O946" t="s">
        <v>2609</v>
      </c>
    </row>
    <row r="947" spans="1:20" x14ac:dyDescent="0.25">
      <c r="A947" t="str">
        <f>"3076856"</f>
        <v>3076856</v>
      </c>
      <c r="B947" t="s">
        <v>2612</v>
      </c>
      <c r="C947" t="str">
        <f>"14017000"</f>
        <v>14017000</v>
      </c>
      <c r="D947" t="s">
        <v>1173</v>
      </c>
      <c r="F947" t="s">
        <v>1175</v>
      </c>
      <c r="I947" t="s">
        <v>1176</v>
      </c>
      <c r="J947" t="s">
        <v>30</v>
      </c>
      <c r="K947" t="s">
        <v>1177</v>
      </c>
      <c r="M947" t="s">
        <v>32</v>
      </c>
      <c r="N947" t="str">
        <f>"9/6/2002 12:00:00 AM"</f>
        <v>9/6/2002 12:00:00 AM</v>
      </c>
      <c r="O947" t="s">
        <v>1173</v>
      </c>
    </row>
    <row r="948" spans="1:20" x14ac:dyDescent="0.25">
      <c r="A948" t="str">
        <f>"3043327"</f>
        <v>3043327</v>
      </c>
      <c r="B948" t="s">
        <v>2613</v>
      </c>
      <c r="C948" t="str">
        <f>"14017000"</f>
        <v>14017000</v>
      </c>
      <c r="D948" t="s">
        <v>1173</v>
      </c>
      <c r="F948" t="s">
        <v>1175</v>
      </c>
      <c r="I948" t="s">
        <v>1176</v>
      </c>
      <c r="J948" t="s">
        <v>30</v>
      </c>
      <c r="K948" t="s">
        <v>1177</v>
      </c>
      <c r="M948" t="s">
        <v>32</v>
      </c>
      <c r="N948" t="str">
        <f>"9/6/2002 12:00:00 AM"</f>
        <v>9/6/2002 12:00:00 AM</v>
      </c>
      <c r="O948" t="s">
        <v>1173</v>
      </c>
    </row>
    <row r="949" spans="1:20" x14ac:dyDescent="0.25">
      <c r="A949" t="str">
        <f>"3051955"</f>
        <v>3051955</v>
      </c>
      <c r="B949" t="s">
        <v>2614</v>
      </c>
      <c r="C949" t="str">
        <f>"14017000"</f>
        <v>14017000</v>
      </c>
      <c r="D949" t="s">
        <v>1173</v>
      </c>
      <c r="F949" t="s">
        <v>1175</v>
      </c>
      <c r="I949" t="s">
        <v>1176</v>
      </c>
      <c r="J949" t="s">
        <v>30</v>
      </c>
      <c r="K949" t="s">
        <v>1177</v>
      </c>
      <c r="M949" t="s">
        <v>32</v>
      </c>
      <c r="N949" t="str">
        <f>"9/6/2002 12:00:00 AM"</f>
        <v>9/6/2002 12:00:00 AM</v>
      </c>
      <c r="O949" t="s">
        <v>1173</v>
      </c>
    </row>
    <row r="950" spans="1:20" x14ac:dyDescent="0.25">
      <c r="A950" t="str">
        <f>"3051771"</f>
        <v>3051771</v>
      </c>
      <c r="B950" t="s">
        <v>2615</v>
      </c>
      <c r="C950" t="str">
        <f>"14017000"</f>
        <v>14017000</v>
      </c>
      <c r="D950" t="s">
        <v>1173</v>
      </c>
      <c r="F950" t="s">
        <v>1175</v>
      </c>
      <c r="I950" t="s">
        <v>1176</v>
      </c>
      <c r="J950" t="s">
        <v>30</v>
      </c>
      <c r="K950" t="s">
        <v>1177</v>
      </c>
      <c r="M950" t="s">
        <v>32</v>
      </c>
      <c r="N950" t="str">
        <f>"9/6/2002 12:00:00 AM"</f>
        <v>9/6/2002 12:00:00 AM</v>
      </c>
      <c r="O950" t="s">
        <v>1173</v>
      </c>
    </row>
    <row r="951" spans="1:20" x14ac:dyDescent="0.25">
      <c r="A951" t="str">
        <f>"3076862"</f>
        <v>3076862</v>
      </c>
      <c r="B951" t="s">
        <v>2616</v>
      </c>
      <c r="C951" t="str">
        <f>"25284000"</f>
        <v>25284000</v>
      </c>
      <c r="D951" t="s">
        <v>2617</v>
      </c>
      <c r="E951" t="s">
        <v>2618</v>
      </c>
      <c r="F951" t="s">
        <v>2619</v>
      </c>
      <c r="I951" t="s">
        <v>29</v>
      </c>
      <c r="J951" t="s">
        <v>30</v>
      </c>
      <c r="K951" t="s">
        <v>31</v>
      </c>
      <c r="M951" t="s">
        <v>32</v>
      </c>
      <c r="N951" t="str">
        <f>"11/7/2003 12:00:00 AM"</f>
        <v>11/7/2003 12:00:00 AM</v>
      </c>
      <c r="O951" t="s">
        <v>2617</v>
      </c>
      <c r="T951" t="s">
        <v>2618</v>
      </c>
    </row>
    <row r="952" spans="1:20" x14ac:dyDescent="0.25">
      <c r="A952" t="str">
        <f>"3042255"</f>
        <v>3042255</v>
      </c>
      <c r="B952" t="s">
        <v>2620</v>
      </c>
      <c r="C952" t="str">
        <f>"82523391"</f>
        <v>82523391</v>
      </c>
      <c r="D952" t="s">
        <v>2621</v>
      </c>
      <c r="E952" t="s">
        <v>2622</v>
      </c>
      <c r="F952" t="s">
        <v>2623</v>
      </c>
      <c r="I952" t="s">
        <v>29</v>
      </c>
      <c r="J952" t="s">
        <v>30</v>
      </c>
      <c r="K952" t="s">
        <v>2624</v>
      </c>
      <c r="M952" t="s">
        <v>32</v>
      </c>
      <c r="N952" t="str">
        <f>"1/14/2010 12:00:00 AM"</f>
        <v>1/14/2010 12:00:00 AM</v>
      </c>
      <c r="O952" t="s">
        <v>2621</v>
      </c>
      <c r="T952" t="s">
        <v>2622</v>
      </c>
    </row>
    <row r="953" spans="1:20" x14ac:dyDescent="0.25">
      <c r="A953" t="str">
        <f>"3042337"</f>
        <v>3042337</v>
      </c>
      <c r="B953" t="s">
        <v>2625</v>
      </c>
      <c r="C953" t="str">
        <f>"82524384"</f>
        <v>82524384</v>
      </c>
      <c r="D953" t="s">
        <v>2626</v>
      </c>
      <c r="E953" t="s">
        <v>2627</v>
      </c>
      <c r="F953" t="s">
        <v>2628</v>
      </c>
      <c r="I953" t="s">
        <v>29</v>
      </c>
      <c r="J953" t="s">
        <v>30</v>
      </c>
      <c r="K953" t="s">
        <v>31</v>
      </c>
      <c r="M953" t="s">
        <v>32</v>
      </c>
      <c r="N953" t="str">
        <f>"5/9/2005 12:00:00 AM"</f>
        <v>5/9/2005 12:00:00 AM</v>
      </c>
      <c r="O953" t="s">
        <v>2626</v>
      </c>
      <c r="T953" t="s">
        <v>2627</v>
      </c>
    </row>
    <row r="954" spans="1:20" x14ac:dyDescent="0.25">
      <c r="A954" t="str">
        <f>"3042854"</f>
        <v>3042854</v>
      </c>
      <c r="B954" t="s">
        <v>2629</v>
      </c>
      <c r="C954" t="str">
        <f>"82521690"</f>
        <v>82521690</v>
      </c>
      <c r="D954" t="s">
        <v>2630</v>
      </c>
      <c r="F954" t="s">
        <v>2631</v>
      </c>
      <c r="I954" t="s">
        <v>29</v>
      </c>
      <c r="J954" t="s">
        <v>30</v>
      </c>
      <c r="K954" t="s">
        <v>31</v>
      </c>
      <c r="M954" t="s">
        <v>32</v>
      </c>
      <c r="N954" t="str">
        <f>"9/22/2006 12:00:00 AM"</f>
        <v>9/22/2006 12:00:00 AM</v>
      </c>
      <c r="O954" t="s">
        <v>2630</v>
      </c>
    </row>
    <row r="955" spans="1:20" x14ac:dyDescent="0.25">
      <c r="A955" t="str">
        <f>"3042335"</f>
        <v>3042335</v>
      </c>
      <c r="B955" t="s">
        <v>2632</v>
      </c>
      <c r="C955" t="str">
        <f>"82520332"</f>
        <v>82520332</v>
      </c>
      <c r="D955" t="s">
        <v>2633</v>
      </c>
      <c r="E955" t="s">
        <v>2634</v>
      </c>
      <c r="F955" t="s">
        <v>2635</v>
      </c>
      <c r="I955" t="s">
        <v>29</v>
      </c>
      <c r="J955" t="s">
        <v>30</v>
      </c>
      <c r="K955" t="s">
        <v>31</v>
      </c>
      <c r="M955" t="s">
        <v>32</v>
      </c>
      <c r="N955" t="str">
        <f>"2/2/2004 12:00:00 AM"</f>
        <v>2/2/2004 12:00:00 AM</v>
      </c>
      <c r="O955" t="s">
        <v>2633</v>
      </c>
      <c r="T955" t="s">
        <v>2634</v>
      </c>
    </row>
    <row r="956" spans="1:20" x14ac:dyDescent="0.25">
      <c r="A956" t="str">
        <f>"3042333"</f>
        <v>3042333</v>
      </c>
      <c r="B956" t="s">
        <v>2636</v>
      </c>
      <c r="C956" t="str">
        <f>"82521261"</f>
        <v>82521261</v>
      </c>
      <c r="D956" t="s">
        <v>2637</v>
      </c>
      <c r="E956" t="s">
        <v>2638</v>
      </c>
      <c r="F956" t="s">
        <v>2639</v>
      </c>
      <c r="I956" t="s">
        <v>29</v>
      </c>
      <c r="J956" t="s">
        <v>30</v>
      </c>
      <c r="K956" t="s">
        <v>185</v>
      </c>
      <c r="M956" t="s">
        <v>32</v>
      </c>
      <c r="N956" t="str">
        <f>"8/6/2003 12:00:00 AM"</f>
        <v>8/6/2003 12:00:00 AM</v>
      </c>
      <c r="O956" t="s">
        <v>2637</v>
      </c>
      <c r="T956" t="s">
        <v>2638</v>
      </c>
    </row>
    <row r="957" spans="1:20" x14ac:dyDescent="0.25">
      <c r="A957" t="str">
        <f>"3042332"</f>
        <v>3042332</v>
      </c>
      <c r="B957" t="s">
        <v>2640</v>
      </c>
      <c r="C957" t="str">
        <f>"82523001"</f>
        <v>82523001</v>
      </c>
      <c r="D957" t="s">
        <v>2641</v>
      </c>
      <c r="E957" t="s">
        <v>2642</v>
      </c>
      <c r="F957" t="s">
        <v>2643</v>
      </c>
      <c r="I957" t="s">
        <v>29</v>
      </c>
      <c r="J957" t="s">
        <v>30</v>
      </c>
      <c r="K957" t="s">
        <v>31</v>
      </c>
      <c r="M957" t="s">
        <v>32</v>
      </c>
      <c r="N957" t="str">
        <f>"11/22/2005 12:00:00 AM"</f>
        <v>11/22/2005 12:00:00 AM</v>
      </c>
      <c r="O957" t="s">
        <v>2641</v>
      </c>
      <c r="T957" t="s">
        <v>2642</v>
      </c>
    </row>
    <row r="958" spans="1:20" x14ac:dyDescent="0.25">
      <c r="A958" t="str">
        <f>"3042278"</f>
        <v>3042278</v>
      </c>
      <c r="B958" t="s">
        <v>2644</v>
      </c>
      <c r="C958" t="str">
        <f>"82522574"</f>
        <v>82522574</v>
      </c>
      <c r="D958" t="s">
        <v>2645</v>
      </c>
      <c r="E958" t="s">
        <v>2646</v>
      </c>
      <c r="F958" t="s">
        <v>2647</v>
      </c>
      <c r="I958" t="s">
        <v>29</v>
      </c>
      <c r="J958" t="s">
        <v>30</v>
      </c>
      <c r="K958" t="s">
        <v>2648</v>
      </c>
      <c r="M958" t="s">
        <v>32</v>
      </c>
      <c r="N958" t="str">
        <f>"2/21/2005 12:00:00 AM"</f>
        <v>2/21/2005 12:00:00 AM</v>
      </c>
      <c r="O958" t="s">
        <v>2645</v>
      </c>
      <c r="T958" t="s">
        <v>2646</v>
      </c>
    </row>
    <row r="959" spans="1:20" x14ac:dyDescent="0.25">
      <c r="A959" t="str">
        <f>"3042275"</f>
        <v>3042275</v>
      </c>
      <c r="B959" t="s">
        <v>2649</v>
      </c>
      <c r="C959" t="str">
        <f>"82522770"</f>
        <v>82522770</v>
      </c>
      <c r="D959" t="s">
        <v>2650</v>
      </c>
      <c r="E959" t="s">
        <v>2651</v>
      </c>
      <c r="F959" t="s">
        <v>2652</v>
      </c>
      <c r="I959" t="s">
        <v>29</v>
      </c>
      <c r="J959" t="s">
        <v>30</v>
      </c>
      <c r="K959" t="s">
        <v>2648</v>
      </c>
      <c r="M959" t="s">
        <v>32</v>
      </c>
      <c r="N959" t="str">
        <f>"1/26/2005 12:00:00 AM"</f>
        <v>1/26/2005 12:00:00 AM</v>
      </c>
      <c r="O959" t="s">
        <v>2650</v>
      </c>
      <c r="T959" t="s">
        <v>2651</v>
      </c>
    </row>
    <row r="960" spans="1:20" x14ac:dyDescent="0.25">
      <c r="A960" t="str">
        <f>"3042281"</f>
        <v>3042281</v>
      </c>
      <c r="B960" t="s">
        <v>2653</v>
      </c>
      <c r="C960" t="str">
        <f>"82519797"</f>
        <v>82519797</v>
      </c>
      <c r="D960" t="s">
        <v>2654</v>
      </c>
      <c r="F960" t="s">
        <v>2655</v>
      </c>
      <c r="I960" t="s">
        <v>29</v>
      </c>
      <c r="J960" t="s">
        <v>30</v>
      </c>
      <c r="K960" t="s">
        <v>31</v>
      </c>
      <c r="M960" t="s">
        <v>32</v>
      </c>
      <c r="N960" t="str">
        <f>"11/27/2002 12:00:00 AM"</f>
        <v>11/27/2002 12:00:00 AM</v>
      </c>
      <c r="O960" t="s">
        <v>2654</v>
      </c>
    </row>
    <row r="961" spans="1:20" x14ac:dyDescent="0.25">
      <c r="A961" t="str">
        <f>"3042000"</f>
        <v>3042000</v>
      </c>
      <c r="B961" t="s">
        <v>2656</v>
      </c>
      <c r="C961" t="str">
        <f>"82521690"</f>
        <v>82521690</v>
      </c>
      <c r="D961" t="s">
        <v>2630</v>
      </c>
      <c r="F961" t="s">
        <v>2631</v>
      </c>
      <c r="I961" t="s">
        <v>29</v>
      </c>
      <c r="J961" t="s">
        <v>30</v>
      </c>
      <c r="K961" t="s">
        <v>31</v>
      </c>
      <c r="M961" t="s">
        <v>32</v>
      </c>
      <c r="N961" t="str">
        <f>"9/22/2006 12:00:00 AM"</f>
        <v>9/22/2006 12:00:00 AM</v>
      </c>
      <c r="O961" t="s">
        <v>2630</v>
      </c>
    </row>
    <row r="962" spans="1:20" x14ac:dyDescent="0.25">
      <c r="A962" t="str">
        <f>"3076811"</f>
        <v>3076811</v>
      </c>
      <c r="B962" t="s">
        <v>2657</v>
      </c>
      <c r="C962" t="str">
        <f>"82516610"</f>
        <v>82516610</v>
      </c>
      <c r="D962" t="s">
        <v>2658</v>
      </c>
      <c r="E962" t="s">
        <v>2659</v>
      </c>
      <c r="F962" t="s">
        <v>2660</v>
      </c>
      <c r="I962" t="s">
        <v>29</v>
      </c>
      <c r="J962" t="s">
        <v>30</v>
      </c>
      <c r="K962" t="s">
        <v>31</v>
      </c>
      <c r="M962" t="s">
        <v>32</v>
      </c>
      <c r="N962" t="str">
        <f>"8/29/2001 12:00:00 AM"</f>
        <v>8/29/2001 12:00:00 AM</v>
      </c>
      <c r="O962" t="s">
        <v>2658</v>
      </c>
      <c r="T962" t="s">
        <v>2659</v>
      </c>
    </row>
    <row r="963" spans="1:20" x14ac:dyDescent="0.25">
      <c r="A963" t="str">
        <f>"3042801"</f>
        <v>3042801</v>
      </c>
      <c r="B963" t="s">
        <v>2661</v>
      </c>
      <c r="C963" t="str">
        <f>"82523074"</f>
        <v>82523074</v>
      </c>
      <c r="D963" t="s">
        <v>2662</v>
      </c>
      <c r="E963" t="s">
        <v>2663</v>
      </c>
      <c r="F963" t="s">
        <v>2664</v>
      </c>
      <c r="I963" t="s">
        <v>29</v>
      </c>
      <c r="J963" t="s">
        <v>30</v>
      </c>
      <c r="K963" t="s">
        <v>2665</v>
      </c>
      <c r="M963" t="s">
        <v>32</v>
      </c>
      <c r="N963" t="str">
        <f>"2/18/2005 12:00:00 AM"</f>
        <v>2/18/2005 12:00:00 AM</v>
      </c>
      <c r="O963" t="s">
        <v>2662</v>
      </c>
      <c r="T963" t="s">
        <v>2663</v>
      </c>
    </row>
    <row r="964" spans="1:20" x14ac:dyDescent="0.25">
      <c r="A964" t="str">
        <f>"3082936"</f>
        <v>3082936</v>
      </c>
      <c r="B964" t="s">
        <v>2666</v>
      </c>
      <c r="C964" t="str">
        <f>"65877750"</f>
        <v>65877750</v>
      </c>
      <c r="D964" t="s">
        <v>2667</v>
      </c>
      <c r="F964" t="s">
        <v>2668</v>
      </c>
      <c r="I964" t="s">
        <v>29</v>
      </c>
      <c r="J964" t="s">
        <v>30</v>
      </c>
      <c r="K964" t="s">
        <v>31</v>
      </c>
      <c r="M964" t="s">
        <v>32</v>
      </c>
      <c r="N964" t="str">
        <f>"5/6/2004 12:00:00 AM"</f>
        <v>5/6/2004 12:00:00 AM</v>
      </c>
      <c r="O964" t="s">
        <v>2667</v>
      </c>
    </row>
    <row r="965" spans="1:20" x14ac:dyDescent="0.25">
      <c r="A965" t="str">
        <f>"3069704"</f>
        <v>3069704</v>
      </c>
      <c r="B965" t="s">
        <v>2669</v>
      </c>
      <c r="C965" t="str">
        <f>"82524062"</f>
        <v>82524062</v>
      </c>
      <c r="D965" t="s">
        <v>2670</v>
      </c>
      <c r="F965" t="s">
        <v>2671</v>
      </c>
      <c r="I965" t="s">
        <v>2672</v>
      </c>
      <c r="J965" t="s">
        <v>30</v>
      </c>
      <c r="K965" t="s">
        <v>2673</v>
      </c>
      <c r="M965" t="s">
        <v>32</v>
      </c>
      <c r="N965" t="str">
        <f>"1/12/2006 12:00:00 AM"</f>
        <v>1/12/2006 12:00:00 AM</v>
      </c>
      <c r="O965" t="s">
        <v>2670</v>
      </c>
    </row>
    <row r="966" spans="1:20" x14ac:dyDescent="0.25">
      <c r="A966" t="str">
        <f>"3042802"</f>
        <v>3042802</v>
      </c>
      <c r="B966" t="s">
        <v>2674</v>
      </c>
      <c r="C966" t="str">
        <f>"4829000"</f>
        <v>4829000</v>
      </c>
      <c r="D966" t="s">
        <v>2675</v>
      </c>
      <c r="F966" t="s">
        <v>2676</v>
      </c>
      <c r="I966" t="s">
        <v>29</v>
      </c>
      <c r="J966" t="s">
        <v>30</v>
      </c>
      <c r="K966" t="s">
        <v>2677</v>
      </c>
      <c r="M966" t="s">
        <v>32</v>
      </c>
      <c r="N966" t="str">
        <f>"2/25/2005 12:00:00 AM"</f>
        <v>2/25/2005 12:00:00 AM</v>
      </c>
      <c r="O966" t="s">
        <v>2675</v>
      </c>
    </row>
    <row r="967" spans="1:20" x14ac:dyDescent="0.25">
      <c r="A967" t="str">
        <f>"3037887"</f>
        <v>3037887</v>
      </c>
      <c r="B967" t="s">
        <v>2678</v>
      </c>
      <c r="C967" t="str">
        <f>"82516746"</f>
        <v>82516746</v>
      </c>
      <c r="D967" t="s">
        <v>2679</v>
      </c>
      <c r="F967" t="s">
        <v>2680</v>
      </c>
      <c r="I967" t="s">
        <v>2681</v>
      </c>
      <c r="J967" t="s">
        <v>30</v>
      </c>
      <c r="K967" t="s">
        <v>2682</v>
      </c>
      <c r="M967" t="s">
        <v>32</v>
      </c>
      <c r="N967" t="str">
        <f>"5/25/2005 12:00:00 AM"</f>
        <v>5/25/2005 12:00:00 AM</v>
      </c>
      <c r="O967" t="s">
        <v>2679</v>
      </c>
    </row>
    <row r="968" spans="1:20" x14ac:dyDescent="0.25">
      <c r="A968" t="str">
        <f>"3037975"</f>
        <v>3037975</v>
      </c>
      <c r="B968" t="s">
        <v>2683</v>
      </c>
      <c r="C968" t="str">
        <f>"30114533"</f>
        <v>30114533</v>
      </c>
      <c r="D968" t="s">
        <v>2684</v>
      </c>
      <c r="F968" t="s">
        <v>2685</v>
      </c>
      <c r="I968" t="s">
        <v>29</v>
      </c>
      <c r="J968" t="s">
        <v>30</v>
      </c>
      <c r="K968" t="s">
        <v>31</v>
      </c>
      <c r="M968" t="s">
        <v>32</v>
      </c>
      <c r="N968" t="str">
        <f>"4/10/2002 12:00:00 AM"</f>
        <v>4/10/2002 12:00:00 AM</v>
      </c>
      <c r="O968" t="s">
        <v>2684</v>
      </c>
    </row>
    <row r="969" spans="1:20" x14ac:dyDescent="0.25">
      <c r="A969" t="str">
        <f>"3037958"</f>
        <v>3037958</v>
      </c>
      <c r="B969" t="s">
        <v>2686</v>
      </c>
      <c r="C969" t="str">
        <f>"30114533"</f>
        <v>30114533</v>
      </c>
      <c r="D969" t="s">
        <v>2684</v>
      </c>
      <c r="F969" t="s">
        <v>2685</v>
      </c>
      <c r="I969" t="s">
        <v>29</v>
      </c>
      <c r="J969" t="s">
        <v>30</v>
      </c>
      <c r="K969" t="s">
        <v>31</v>
      </c>
      <c r="M969" t="s">
        <v>32</v>
      </c>
      <c r="N969" t="str">
        <f>"4/10/2002 12:00:00 AM"</f>
        <v>4/10/2002 12:00:00 AM</v>
      </c>
      <c r="O969" t="s">
        <v>2684</v>
      </c>
    </row>
    <row r="970" spans="1:20" x14ac:dyDescent="0.25">
      <c r="A970" t="str">
        <f>"3038326"</f>
        <v>3038326</v>
      </c>
      <c r="B970" t="s">
        <v>2687</v>
      </c>
      <c r="C970" t="str">
        <f>"30114533"</f>
        <v>30114533</v>
      </c>
      <c r="D970" t="s">
        <v>2684</v>
      </c>
      <c r="F970" t="s">
        <v>2685</v>
      </c>
      <c r="I970" t="s">
        <v>29</v>
      </c>
      <c r="J970" t="s">
        <v>30</v>
      </c>
      <c r="K970" t="s">
        <v>31</v>
      </c>
      <c r="M970" t="s">
        <v>32</v>
      </c>
      <c r="N970" t="str">
        <f>"4/10/2002 12:00:00 AM"</f>
        <v>4/10/2002 12:00:00 AM</v>
      </c>
      <c r="O970" t="s">
        <v>2684</v>
      </c>
    </row>
    <row r="971" spans="1:20" x14ac:dyDescent="0.25">
      <c r="A971" t="str">
        <f>"3038567"</f>
        <v>3038567</v>
      </c>
      <c r="B971" t="s">
        <v>2688</v>
      </c>
      <c r="C971" t="str">
        <f>"30114533"</f>
        <v>30114533</v>
      </c>
      <c r="D971" t="s">
        <v>2684</v>
      </c>
      <c r="F971" t="s">
        <v>2685</v>
      </c>
      <c r="I971" t="s">
        <v>29</v>
      </c>
      <c r="J971" t="s">
        <v>30</v>
      </c>
      <c r="K971" t="s">
        <v>31</v>
      </c>
      <c r="M971" t="s">
        <v>32</v>
      </c>
      <c r="N971" t="str">
        <f>"4/10/2002 12:00:00 AM"</f>
        <v>4/10/2002 12:00:00 AM</v>
      </c>
      <c r="O971" t="s">
        <v>2684</v>
      </c>
    </row>
    <row r="972" spans="1:20" x14ac:dyDescent="0.25">
      <c r="A972" t="str">
        <f>"3042787"</f>
        <v>3042787</v>
      </c>
      <c r="B972" t="s">
        <v>2689</v>
      </c>
      <c r="C972" t="str">
        <f>"82518076"</f>
        <v>82518076</v>
      </c>
      <c r="D972" t="s">
        <v>2690</v>
      </c>
      <c r="F972" t="s">
        <v>2691</v>
      </c>
      <c r="I972" t="s">
        <v>29</v>
      </c>
      <c r="J972" t="s">
        <v>30</v>
      </c>
      <c r="K972" t="s">
        <v>31</v>
      </c>
      <c r="M972" t="s">
        <v>32</v>
      </c>
      <c r="N972" t="str">
        <f>"6/29/2006 12:00:00 AM"</f>
        <v>6/29/2006 12:00:00 AM</v>
      </c>
      <c r="O972" t="s">
        <v>2690</v>
      </c>
    </row>
    <row r="973" spans="1:20" x14ac:dyDescent="0.25">
      <c r="A973" t="str">
        <f>"3040120"</f>
        <v>3040120</v>
      </c>
      <c r="B973" t="s">
        <v>2692</v>
      </c>
      <c r="C973" t="str">
        <f>"39358000"</f>
        <v>39358000</v>
      </c>
      <c r="D973" t="s">
        <v>2693</v>
      </c>
      <c r="E973" t="s">
        <v>2694</v>
      </c>
      <c r="F973" t="s">
        <v>2695</v>
      </c>
      <c r="I973" t="s">
        <v>29</v>
      </c>
      <c r="J973" t="s">
        <v>30</v>
      </c>
      <c r="K973" t="s">
        <v>2696</v>
      </c>
      <c r="M973" t="s">
        <v>32</v>
      </c>
      <c r="N973" t="str">
        <f>"1/26/2010 12:00:00 AM"</f>
        <v>1/26/2010 12:00:00 AM</v>
      </c>
      <c r="O973" t="s">
        <v>2693</v>
      </c>
      <c r="T973" t="s">
        <v>2694</v>
      </c>
    </row>
    <row r="974" spans="1:20" x14ac:dyDescent="0.25">
      <c r="A974" t="str">
        <f>"3038547"</f>
        <v>3038547</v>
      </c>
      <c r="B974" t="s">
        <v>2697</v>
      </c>
      <c r="C974" t="str">
        <f>"82519168"</f>
        <v>82519168</v>
      </c>
      <c r="D974" t="s">
        <v>2698</v>
      </c>
      <c r="F974" t="s">
        <v>2699</v>
      </c>
      <c r="I974" t="s">
        <v>29</v>
      </c>
      <c r="J974" t="s">
        <v>30</v>
      </c>
      <c r="K974" t="s">
        <v>2700</v>
      </c>
      <c r="M974" t="s">
        <v>32</v>
      </c>
      <c r="N974" t="str">
        <f>"3/11/2005 12:00:00 AM"</f>
        <v>3/11/2005 12:00:00 AM</v>
      </c>
      <c r="O974" t="s">
        <v>2698</v>
      </c>
      <c r="T974" t="s">
        <v>2698</v>
      </c>
    </row>
    <row r="975" spans="1:20" x14ac:dyDescent="0.25">
      <c r="A975" t="str">
        <f>"3038308"</f>
        <v>3038308</v>
      </c>
      <c r="B975" t="s">
        <v>2701</v>
      </c>
      <c r="C975" t="str">
        <f>"82523004"</f>
        <v>82523004</v>
      </c>
      <c r="D975" t="s">
        <v>2702</v>
      </c>
      <c r="F975" t="s">
        <v>2703</v>
      </c>
      <c r="I975" t="s">
        <v>29</v>
      </c>
      <c r="J975" t="s">
        <v>30</v>
      </c>
      <c r="K975" t="s">
        <v>31</v>
      </c>
      <c r="M975" t="s">
        <v>32</v>
      </c>
      <c r="N975" t="str">
        <f>"1/13/2011 12:00:00 AM"</f>
        <v>1/13/2011 12:00:00 AM</v>
      </c>
      <c r="O975" t="s">
        <v>2702</v>
      </c>
      <c r="T975" t="s">
        <v>2702</v>
      </c>
    </row>
    <row r="976" spans="1:20" x14ac:dyDescent="0.25">
      <c r="A976" t="str">
        <f>"3039199"</f>
        <v>3039199</v>
      </c>
      <c r="B976" t="s">
        <v>2704</v>
      </c>
      <c r="C976" t="str">
        <f>"72900000"</f>
        <v>72900000</v>
      </c>
      <c r="D976" t="s">
        <v>2705</v>
      </c>
      <c r="F976" t="s">
        <v>2706</v>
      </c>
      <c r="I976" t="s">
        <v>29</v>
      </c>
      <c r="J976" t="s">
        <v>30</v>
      </c>
      <c r="K976" t="s">
        <v>31</v>
      </c>
      <c r="M976" t="s">
        <v>32</v>
      </c>
      <c r="N976" t="str">
        <f>"4/10/2002 12:00:00 AM"</f>
        <v>4/10/2002 12:00:00 AM</v>
      </c>
      <c r="O976" t="s">
        <v>2705</v>
      </c>
    </row>
    <row r="977" spans="1:20" x14ac:dyDescent="0.25">
      <c r="A977" t="str">
        <f>"3040115"</f>
        <v>3040115</v>
      </c>
      <c r="B977" t="s">
        <v>2707</v>
      </c>
      <c r="C977" t="str">
        <f>"82514104"</f>
        <v>82514104</v>
      </c>
      <c r="D977" t="s">
        <v>2708</v>
      </c>
      <c r="E977" t="s">
        <v>2709</v>
      </c>
      <c r="F977" t="s">
        <v>2710</v>
      </c>
      <c r="I977" t="s">
        <v>29</v>
      </c>
      <c r="J977" t="s">
        <v>30</v>
      </c>
      <c r="K977" t="s">
        <v>31</v>
      </c>
      <c r="M977" t="s">
        <v>32</v>
      </c>
      <c r="N977" t="str">
        <f>"9/13/2005 12:00:00 AM"</f>
        <v>9/13/2005 12:00:00 AM</v>
      </c>
      <c r="O977" t="s">
        <v>2708</v>
      </c>
      <c r="T977" t="s">
        <v>2709</v>
      </c>
    </row>
    <row r="978" spans="1:20" x14ac:dyDescent="0.25">
      <c r="A978" t="str">
        <f>"3038021"</f>
        <v>3038021</v>
      </c>
      <c r="B978" t="s">
        <v>2711</v>
      </c>
      <c r="C978" t="str">
        <f>"14550000"</f>
        <v>14550000</v>
      </c>
      <c r="D978" t="s">
        <v>2712</v>
      </c>
      <c r="F978" t="str">
        <f>"C/O EVERETTE EATON"</f>
        <v>C/O EVERETTE EATON</v>
      </c>
      <c r="G978" t="s">
        <v>2713</v>
      </c>
      <c r="I978" t="s">
        <v>29</v>
      </c>
      <c r="J978" t="s">
        <v>30</v>
      </c>
      <c r="K978" t="s">
        <v>31</v>
      </c>
      <c r="M978" t="s">
        <v>32</v>
      </c>
      <c r="N978" t="str">
        <f>"6/24/2003 12:00:00 AM"</f>
        <v>6/24/2003 12:00:00 AM</v>
      </c>
      <c r="O978" t="s">
        <v>2712</v>
      </c>
    </row>
    <row r="979" spans="1:20" x14ac:dyDescent="0.25">
      <c r="A979" t="str">
        <f>"3038434"</f>
        <v>3038434</v>
      </c>
      <c r="B979" t="s">
        <v>2714</v>
      </c>
      <c r="C979" t="str">
        <f>"82525396"</f>
        <v>82525396</v>
      </c>
      <c r="D979" t="s">
        <v>2715</v>
      </c>
      <c r="E979" t="s">
        <v>2716</v>
      </c>
      <c r="F979" t="s">
        <v>2717</v>
      </c>
      <c r="I979" t="s">
        <v>402</v>
      </c>
      <c r="J979" t="s">
        <v>30</v>
      </c>
      <c r="K979" t="s">
        <v>403</v>
      </c>
      <c r="M979" t="s">
        <v>32</v>
      </c>
      <c r="N979" t="str">
        <f>"2/14/2007 12:00:00 AM"</f>
        <v>2/14/2007 12:00:00 AM</v>
      </c>
      <c r="O979" t="s">
        <v>2715</v>
      </c>
      <c r="T979" t="s">
        <v>2716</v>
      </c>
    </row>
    <row r="980" spans="1:20" x14ac:dyDescent="0.25">
      <c r="A980" t="str">
        <f>"3037796"</f>
        <v>3037796</v>
      </c>
      <c r="B980" t="s">
        <v>2718</v>
      </c>
      <c r="C980" t="str">
        <f>"65824000"</f>
        <v>65824000</v>
      </c>
      <c r="D980" t="s">
        <v>2719</v>
      </c>
      <c r="E980" t="s">
        <v>2720</v>
      </c>
      <c r="F980" t="s">
        <v>2721</v>
      </c>
      <c r="I980" t="s">
        <v>29</v>
      </c>
      <c r="J980" t="s">
        <v>30</v>
      </c>
      <c r="K980" t="s">
        <v>31</v>
      </c>
      <c r="M980" t="s">
        <v>32</v>
      </c>
      <c r="N980" t="str">
        <f>"4/28/2005 12:00:00 AM"</f>
        <v>4/28/2005 12:00:00 AM</v>
      </c>
      <c r="O980" t="s">
        <v>2719</v>
      </c>
      <c r="T980" t="s">
        <v>2720</v>
      </c>
    </row>
    <row r="981" spans="1:20" x14ac:dyDescent="0.25">
      <c r="A981" t="str">
        <f>"3038024"</f>
        <v>3038024</v>
      </c>
      <c r="B981" t="s">
        <v>2722</v>
      </c>
      <c r="C981" t="str">
        <f>"82524292"</f>
        <v>82524292</v>
      </c>
      <c r="D981" t="s">
        <v>2723</v>
      </c>
      <c r="F981" t="s">
        <v>2724</v>
      </c>
      <c r="I981" t="s">
        <v>29</v>
      </c>
      <c r="J981" t="s">
        <v>30</v>
      </c>
      <c r="K981" t="s">
        <v>31</v>
      </c>
      <c r="M981" t="s">
        <v>32</v>
      </c>
      <c r="N981" t="str">
        <f>"5/2/2005 12:00:00 AM"</f>
        <v>5/2/2005 12:00:00 AM</v>
      </c>
      <c r="O981" t="s">
        <v>2723</v>
      </c>
    </row>
    <row r="982" spans="1:20" x14ac:dyDescent="0.25">
      <c r="A982" t="str">
        <f>"3038035"</f>
        <v>3038035</v>
      </c>
      <c r="B982" t="s">
        <v>2725</v>
      </c>
      <c r="C982" t="str">
        <f>"82524292"</f>
        <v>82524292</v>
      </c>
      <c r="D982" t="s">
        <v>2723</v>
      </c>
      <c r="F982" t="s">
        <v>2724</v>
      </c>
      <c r="I982" t="s">
        <v>29</v>
      </c>
      <c r="J982" t="s">
        <v>30</v>
      </c>
      <c r="K982" t="s">
        <v>31</v>
      </c>
      <c r="M982" t="s">
        <v>32</v>
      </c>
      <c r="N982" t="str">
        <f>"5/2/2005 12:00:00 AM"</f>
        <v>5/2/2005 12:00:00 AM</v>
      </c>
      <c r="O982" t="s">
        <v>2723</v>
      </c>
    </row>
    <row r="983" spans="1:20" x14ac:dyDescent="0.25">
      <c r="A983" t="str">
        <f>"3037856"</f>
        <v>3037856</v>
      </c>
      <c r="B983" t="s">
        <v>2726</v>
      </c>
      <c r="C983" t="str">
        <f>"82524292"</f>
        <v>82524292</v>
      </c>
      <c r="D983" t="s">
        <v>2723</v>
      </c>
      <c r="F983" t="s">
        <v>2724</v>
      </c>
      <c r="I983" t="s">
        <v>29</v>
      </c>
      <c r="J983" t="s">
        <v>30</v>
      </c>
      <c r="K983" t="s">
        <v>31</v>
      </c>
      <c r="M983" t="s">
        <v>32</v>
      </c>
      <c r="N983" t="str">
        <f>"5/2/2005 12:00:00 AM"</f>
        <v>5/2/2005 12:00:00 AM</v>
      </c>
      <c r="O983" t="s">
        <v>2723</v>
      </c>
    </row>
    <row r="984" spans="1:20" x14ac:dyDescent="0.25">
      <c r="A984" t="str">
        <f>"3038495"</f>
        <v>3038495</v>
      </c>
      <c r="B984" t="s">
        <v>2727</v>
      </c>
      <c r="C984" t="str">
        <f>"82524292"</f>
        <v>82524292</v>
      </c>
      <c r="D984" t="s">
        <v>2723</v>
      </c>
      <c r="F984" t="s">
        <v>2724</v>
      </c>
      <c r="I984" t="s">
        <v>29</v>
      </c>
      <c r="J984" t="s">
        <v>30</v>
      </c>
      <c r="K984" t="s">
        <v>31</v>
      </c>
      <c r="M984" t="s">
        <v>32</v>
      </c>
      <c r="N984" t="str">
        <f>"5/2/2005 12:00:00 AM"</f>
        <v>5/2/2005 12:00:00 AM</v>
      </c>
      <c r="O984" t="s">
        <v>2723</v>
      </c>
    </row>
    <row r="985" spans="1:20" x14ac:dyDescent="0.25">
      <c r="A985" t="str">
        <f>"3038038"</f>
        <v>3038038</v>
      </c>
      <c r="B985" t="s">
        <v>2728</v>
      </c>
      <c r="C985" t="str">
        <f>"63610500"</f>
        <v>63610500</v>
      </c>
      <c r="D985" t="s">
        <v>2729</v>
      </c>
      <c r="E985" t="s">
        <v>2730</v>
      </c>
      <c r="F985" t="s">
        <v>2731</v>
      </c>
      <c r="I985" t="s">
        <v>2732</v>
      </c>
      <c r="J985" t="s">
        <v>1046</v>
      </c>
      <c r="K985" t="s">
        <v>2733</v>
      </c>
      <c r="M985" t="s">
        <v>32</v>
      </c>
      <c r="N985" t="str">
        <f>"6/29/2006 12:00:00 AM"</f>
        <v>6/29/2006 12:00:00 AM</v>
      </c>
      <c r="O985" t="s">
        <v>2729</v>
      </c>
      <c r="T985" t="s">
        <v>2730</v>
      </c>
    </row>
    <row r="986" spans="1:20" x14ac:dyDescent="0.25">
      <c r="A986" t="str">
        <f>"3038025"</f>
        <v>3038025</v>
      </c>
      <c r="B986" t="s">
        <v>2734</v>
      </c>
      <c r="C986" t="str">
        <f>"23385000"</f>
        <v>23385000</v>
      </c>
      <c r="D986" t="s">
        <v>2735</v>
      </c>
      <c r="F986" t="str">
        <f>"C/O GLORIA S EATON"</f>
        <v>C/O GLORIA S EATON</v>
      </c>
      <c r="G986" t="s">
        <v>2736</v>
      </c>
      <c r="I986" t="s">
        <v>2737</v>
      </c>
      <c r="J986" t="s">
        <v>2738</v>
      </c>
      <c r="K986" t="s">
        <v>2739</v>
      </c>
      <c r="M986" t="s">
        <v>32</v>
      </c>
      <c r="N986" t="str">
        <f>"10/17/2011 12:00:00 AM"</f>
        <v>10/17/2011 12:00:00 AM</v>
      </c>
      <c r="O986" t="s">
        <v>2735</v>
      </c>
    </row>
    <row r="987" spans="1:20" x14ac:dyDescent="0.25">
      <c r="A987" t="str">
        <f>"3040175"</f>
        <v>3040175</v>
      </c>
      <c r="B987" t="s">
        <v>2740</v>
      </c>
      <c r="C987" t="str">
        <f>"60336000"</f>
        <v>60336000</v>
      </c>
      <c r="D987" t="s">
        <v>2741</v>
      </c>
      <c r="F987" t="s">
        <v>2742</v>
      </c>
      <c r="I987" t="s">
        <v>29</v>
      </c>
      <c r="J987" t="s">
        <v>30</v>
      </c>
      <c r="K987" t="s">
        <v>31</v>
      </c>
      <c r="M987" t="s">
        <v>32</v>
      </c>
      <c r="N987" t="str">
        <f>"7/24/2002 12:00:00 AM"</f>
        <v>7/24/2002 12:00:00 AM</v>
      </c>
      <c r="O987" t="s">
        <v>2741</v>
      </c>
    </row>
    <row r="988" spans="1:20" x14ac:dyDescent="0.25">
      <c r="A988" t="str">
        <f>"3038369"</f>
        <v>3038369</v>
      </c>
      <c r="B988" t="s">
        <v>2743</v>
      </c>
      <c r="C988" t="str">
        <f>"82516346"</f>
        <v>82516346</v>
      </c>
      <c r="D988" t="s">
        <v>2744</v>
      </c>
      <c r="E988" t="s">
        <v>2745</v>
      </c>
      <c r="F988" t="s">
        <v>2746</v>
      </c>
      <c r="I988" t="s">
        <v>29</v>
      </c>
      <c r="J988" t="s">
        <v>30</v>
      </c>
      <c r="K988" t="s">
        <v>2747</v>
      </c>
      <c r="M988" t="s">
        <v>32</v>
      </c>
      <c r="N988" t="str">
        <f>"2/17/2005 12:00:00 AM"</f>
        <v>2/17/2005 12:00:00 AM</v>
      </c>
      <c r="O988" t="s">
        <v>2744</v>
      </c>
      <c r="T988" t="s">
        <v>2745</v>
      </c>
    </row>
    <row r="989" spans="1:20" x14ac:dyDescent="0.25">
      <c r="A989" t="str">
        <f>"3038214"</f>
        <v>3038214</v>
      </c>
      <c r="B989" t="s">
        <v>2748</v>
      </c>
      <c r="C989" t="str">
        <f>"82516346"</f>
        <v>82516346</v>
      </c>
      <c r="D989" t="s">
        <v>2744</v>
      </c>
      <c r="E989" t="s">
        <v>2745</v>
      </c>
      <c r="F989" t="s">
        <v>2746</v>
      </c>
      <c r="I989" t="s">
        <v>29</v>
      </c>
      <c r="J989" t="s">
        <v>30</v>
      </c>
      <c r="K989" t="s">
        <v>2747</v>
      </c>
      <c r="M989" t="s">
        <v>32</v>
      </c>
      <c r="N989" t="str">
        <f>"2/17/2005 12:00:00 AM"</f>
        <v>2/17/2005 12:00:00 AM</v>
      </c>
      <c r="O989" t="s">
        <v>2744</v>
      </c>
      <c r="T989" t="s">
        <v>2745</v>
      </c>
    </row>
    <row r="990" spans="1:20" x14ac:dyDescent="0.25">
      <c r="A990" t="str">
        <f>"3038047"</f>
        <v>3038047</v>
      </c>
      <c r="B990" t="s">
        <v>2749</v>
      </c>
      <c r="C990" t="str">
        <f>"32344000"</f>
        <v>32344000</v>
      </c>
      <c r="D990" t="s">
        <v>2750</v>
      </c>
      <c r="F990" t="s">
        <v>2751</v>
      </c>
      <c r="I990" t="s">
        <v>2752</v>
      </c>
      <c r="J990" t="s">
        <v>2753</v>
      </c>
      <c r="K990" t="s">
        <v>2754</v>
      </c>
      <c r="M990" t="s">
        <v>32</v>
      </c>
      <c r="N990" t="str">
        <f>"9/11/2003 12:00:00 AM"</f>
        <v>9/11/2003 12:00:00 AM</v>
      </c>
      <c r="O990" t="s">
        <v>2750</v>
      </c>
    </row>
    <row r="991" spans="1:20" x14ac:dyDescent="0.25">
      <c r="A991" t="str">
        <f>"3038054"</f>
        <v>3038054</v>
      </c>
      <c r="B991" t="s">
        <v>2755</v>
      </c>
      <c r="C991" t="str">
        <f>"32369000"</f>
        <v>32369000</v>
      </c>
      <c r="D991" t="s">
        <v>2756</v>
      </c>
      <c r="F991" t="s">
        <v>2757</v>
      </c>
      <c r="I991" t="s">
        <v>471</v>
      </c>
      <c r="J991" t="s">
        <v>30</v>
      </c>
      <c r="K991" t="s">
        <v>2758</v>
      </c>
      <c r="M991" t="s">
        <v>32</v>
      </c>
      <c r="N991" t="str">
        <f>"4/10/2002 12:00:00 AM"</f>
        <v>4/10/2002 12:00:00 AM</v>
      </c>
      <c r="O991" t="s">
        <v>2756</v>
      </c>
    </row>
    <row r="992" spans="1:20" x14ac:dyDescent="0.25">
      <c r="A992" t="str">
        <f>"3039289"</f>
        <v>3039289</v>
      </c>
      <c r="B992" t="s">
        <v>2759</v>
      </c>
      <c r="C992" t="str">
        <f>"60336000"</f>
        <v>60336000</v>
      </c>
      <c r="D992" t="s">
        <v>2741</v>
      </c>
      <c r="F992" t="s">
        <v>2742</v>
      </c>
      <c r="I992" t="s">
        <v>29</v>
      </c>
      <c r="J992" t="s">
        <v>30</v>
      </c>
      <c r="K992" t="s">
        <v>31</v>
      </c>
      <c r="M992" t="s">
        <v>32</v>
      </c>
      <c r="N992" t="str">
        <f>"7/24/2002 12:00:00 AM"</f>
        <v>7/24/2002 12:00:00 AM</v>
      </c>
      <c r="O992" t="s">
        <v>2741</v>
      </c>
    </row>
    <row r="993" spans="1:20" x14ac:dyDescent="0.25">
      <c r="A993" t="str">
        <f>"3040222"</f>
        <v>3040222</v>
      </c>
      <c r="B993" t="s">
        <v>2760</v>
      </c>
      <c r="C993" t="str">
        <f>"74343000"</f>
        <v>74343000</v>
      </c>
      <c r="D993" t="s">
        <v>2761</v>
      </c>
      <c r="F993" t="s">
        <v>2762</v>
      </c>
      <c r="I993" t="s">
        <v>29</v>
      </c>
      <c r="J993" t="s">
        <v>30</v>
      </c>
      <c r="K993" t="s">
        <v>31</v>
      </c>
      <c r="M993" t="s">
        <v>32</v>
      </c>
      <c r="N993" t="str">
        <f>"6/21/2004 12:00:00 AM"</f>
        <v>6/21/2004 12:00:00 AM</v>
      </c>
      <c r="O993" t="s">
        <v>2761</v>
      </c>
    </row>
    <row r="994" spans="1:20" x14ac:dyDescent="0.25">
      <c r="A994" t="str">
        <f>"3040153"</f>
        <v>3040153</v>
      </c>
      <c r="B994" t="s">
        <v>2763</v>
      </c>
      <c r="C994" t="str">
        <f>"69769250"</f>
        <v>69769250</v>
      </c>
      <c r="D994" t="s">
        <v>2764</v>
      </c>
      <c r="F994" t="s">
        <v>2765</v>
      </c>
      <c r="I994" t="s">
        <v>29</v>
      </c>
      <c r="J994" t="s">
        <v>30</v>
      </c>
      <c r="K994" t="s">
        <v>31</v>
      </c>
      <c r="M994" t="s">
        <v>32</v>
      </c>
      <c r="N994" t="str">
        <f>"5/18/2004 12:00:00 AM"</f>
        <v>5/18/2004 12:00:00 AM</v>
      </c>
      <c r="O994" t="s">
        <v>2764</v>
      </c>
    </row>
    <row r="995" spans="1:20" x14ac:dyDescent="0.25">
      <c r="A995" t="str">
        <f>"3075759"</f>
        <v>3075759</v>
      </c>
      <c r="B995" t="s">
        <v>2766</v>
      </c>
      <c r="C995" t="str">
        <f>"82520773"</f>
        <v>82520773</v>
      </c>
      <c r="D995" t="s">
        <v>2767</v>
      </c>
      <c r="E995" t="s">
        <v>2768</v>
      </c>
      <c r="F995" t="s">
        <v>2769</v>
      </c>
      <c r="I995" t="s">
        <v>402</v>
      </c>
      <c r="J995" t="s">
        <v>30</v>
      </c>
      <c r="K995" t="s">
        <v>403</v>
      </c>
      <c r="M995" t="s">
        <v>32</v>
      </c>
      <c r="N995" t="str">
        <f>"1/28/2004 12:00:00 AM"</f>
        <v>1/28/2004 12:00:00 AM</v>
      </c>
      <c r="O995" t="s">
        <v>2767</v>
      </c>
      <c r="T995" t="s">
        <v>2768</v>
      </c>
    </row>
    <row r="996" spans="1:20" x14ac:dyDescent="0.25">
      <c r="A996" t="str">
        <f>"3040063"</f>
        <v>3040063</v>
      </c>
      <c r="B996" t="s">
        <v>2770</v>
      </c>
      <c r="C996" t="str">
        <f>"48212000"</f>
        <v>48212000</v>
      </c>
      <c r="D996" t="s">
        <v>2771</v>
      </c>
      <c r="E996" t="s">
        <v>2772</v>
      </c>
      <c r="F996" t="s">
        <v>2773</v>
      </c>
      <c r="I996" t="s">
        <v>29</v>
      </c>
      <c r="J996" t="s">
        <v>30</v>
      </c>
      <c r="K996" t="s">
        <v>2774</v>
      </c>
      <c r="M996" t="s">
        <v>32</v>
      </c>
      <c r="N996" t="str">
        <f>"1/20/2010 12:00:00 AM"</f>
        <v>1/20/2010 12:00:00 AM</v>
      </c>
      <c r="O996" t="s">
        <v>2771</v>
      </c>
      <c r="T996" t="s">
        <v>2772</v>
      </c>
    </row>
    <row r="997" spans="1:20" x14ac:dyDescent="0.25">
      <c r="A997" t="str">
        <f>"3076890"</f>
        <v>3076890</v>
      </c>
      <c r="B997" t="s">
        <v>2775</v>
      </c>
      <c r="C997" t="str">
        <f>"82521705"</f>
        <v>82521705</v>
      </c>
      <c r="D997" t="s">
        <v>2776</v>
      </c>
      <c r="E997" t="s">
        <v>2777</v>
      </c>
      <c r="F997" t="s">
        <v>2778</v>
      </c>
      <c r="I997" t="s">
        <v>29</v>
      </c>
      <c r="J997" t="s">
        <v>30</v>
      </c>
      <c r="K997" t="s">
        <v>2779</v>
      </c>
      <c r="M997" t="s">
        <v>32</v>
      </c>
      <c r="N997" t="str">
        <f>"9/15/2005 12:00:00 AM"</f>
        <v>9/15/2005 12:00:00 AM</v>
      </c>
      <c r="O997" t="s">
        <v>2776</v>
      </c>
      <c r="T997" t="s">
        <v>2777</v>
      </c>
    </row>
    <row r="998" spans="1:20" x14ac:dyDescent="0.25">
      <c r="A998" t="str">
        <f>"3038440"</f>
        <v>3038440</v>
      </c>
      <c r="B998" t="s">
        <v>2780</v>
      </c>
      <c r="C998" t="str">
        <f>"75008500"</f>
        <v>75008500</v>
      </c>
      <c r="D998" t="s">
        <v>2781</v>
      </c>
      <c r="E998" t="s">
        <v>2782</v>
      </c>
      <c r="F998" t="s">
        <v>2783</v>
      </c>
      <c r="I998" t="s">
        <v>29</v>
      </c>
      <c r="J998" t="s">
        <v>30</v>
      </c>
      <c r="K998" t="s">
        <v>2779</v>
      </c>
      <c r="M998" t="s">
        <v>32</v>
      </c>
      <c r="N998" t="str">
        <f>"1/12/2006 12:00:00 AM"</f>
        <v>1/12/2006 12:00:00 AM</v>
      </c>
      <c r="O998" t="s">
        <v>2781</v>
      </c>
      <c r="T998" t="s">
        <v>2782</v>
      </c>
    </row>
    <row r="999" spans="1:20" x14ac:dyDescent="0.25">
      <c r="A999" t="str">
        <f>"3038441"</f>
        <v>3038441</v>
      </c>
      <c r="B999" t="s">
        <v>2784</v>
      </c>
      <c r="C999" t="str">
        <f>"22396000"</f>
        <v>22396000</v>
      </c>
      <c r="D999" t="s">
        <v>2785</v>
      </c>
      <c r="E999" t="s">
        <v>2786</v>
      </c>
      <c r="F999" t="s">
        <v>2787</v>
      </c>
      <c r="I999" t="s">
        <v>29</v>
      </c>
      <c r="J999" t="s">
        <v>30</v>
      </c>
      <c r="K999" t="s">
        <v>31</v>
      </c>
      <c r="M999" t="s">
        <v>32</v>
      </c>
      <c r="N999" t="str">
        <f>"4/10/2002 12:00:00 AM"</f>
        <v>4/10/2002 12:00:00 AM</v>
      </c>
      <c r="O999" t="s">
        <v>2785</v>
      </c>
      <c r="T999" t="s">
        <v>2786</v>
      </c>
    </row>
    <row r="1000" spans="1:20" x14ac:dyDescent="0.25">
      <c r="A1000" t="str">
        <f>"3038442"</f>
        <v>3038442</v>
      </c>
      <c r="B1000" t="s">
        <v>2788</v>
      </c>
      <c r="C1000" t="str">
        <f>"55618000"</f>
        <v>55618000</v>
      </c>
      <c r="D1000" t="s">
        <v>2789</v>
      </c>
      <c r="E1000" t="s">
        <v>2790</v>
      </c>
      <c r="F1000" t="s">
        <v>2791</v>
      </c>
      <c r="I1000" t="s">
        <v>29</v>
      </c>
      <c r="J1000" t="s">
        <v>30</v>
      </c>
      <c r="K1000" t="s">
        <v>31</v>
      </c>
      <c r="M1000" t="s">
        <v>32</v>
      </c>
      <c r="N1000" t="str">
        <f>"3/26/2004 12:00:00 AM"</f>
        <v>3/26/2004 12:00:00 AM</v>
      </c>
      <c r="O1000" t="s">
        <v>2789</v>
      </c>
      <c r="T1000" t="s">
        <v>2790</v>
      </c>
    </row>
    <row r="1001" spans="1:20" x14ac:dyDescent="0.25">
      <c r="A1001" t="str">
        <f>"3038426"</f>
        <v>3038426</v>
      </c>
      <c r="B1001" t="s">
        <v>2792</v>
      </c>
      <c r="C1001" t="str">
        <f>"74874000"</f>
        <v>74874000</v>
      </c>
      <c r="D1001" t="s">
        <v>2793</v>
      </c>
      <c r="E1001" t="s">
        <v>2794</v>
      </c>
      <c r="F1001" t="s">
        <v>2795</v>
      </c>
      <c r="I1001" t="s">
        <v>29</v>
      </c>
      <c r="J1001" t="s">
        <v>30</v>
      </c>
      <c r="K1001" t="s">
        <v>2796</v>
      </c>
      <c r="M1001" t="s">
        <v>32</v>
      </c>
      <c r="N1001" t="str">
        <f>"2/11/2010 12:00:00 AM"</f>
        <v>2/11/2010 12:00:00 AM</v>
      </c>
      <c r="O1001" t="s">
        <v>2793</v>
      </c>
      <c r="T1001" t="s">
        <v>2794</v>
      </c>
    </row>
    <row r="1002" spans="1:20" x14ac:dyDescent="0.25">
      <c r="A1002" t="str">
        <f>"3038511"</f>
        <v>3038511</v>
      </c>
      <c r="B1002" t="s">
        <v>2797</v>
      </c>
      <c r="C1002" t="str">
        <f>"79360000"</f>
        <v>79360000</v>
      </c>
      <c r="D1002" t="s">
        <v>2798</v>
      </c>
      <c r="F1002" t="s">
        <v>2799</v>
      </c>
      <c r="I1002" t="s">
        <v>29</v>
      </c>
      <c r="J1002" t="s">
        <v>30</v>
      </c>
      <c r="K1002" t="s">
        <v>31</v>
      </c>
      <c r="M1002" t="s">
        <v>32</v>
      </c>
      <c r="N1002" t="str">
        <f>"7/1/2004 12:00:00 AM"</f>
        <v>7/1/2004 12:00:00 AM</v>
      </c>
      <c r="O1002" t="s">
        <v>2798</v>
      </c>
    </row>
    <row r="1003" spans="1:20" x14ac:dyDescent="0.25">
      <c r="A1003" t="str">
        <f>"3038372"</f>
        <v>3038372</v>
      </c>
      <c r="B1003" t="s">
        <v>2800</v>
      </c>
      <c r="C1003" t="str">
        <f>"82521763"</f>
        <v>82521763</v>
      </c>
      <c r="D1003" t="s">
        <v>2801</v>
      </c>
      <c r="F1003" t="s">
        <v>2802</v>
      </c>
      <c r="I1003" t="s">
        <v>29</v>
      </c>
      <c r="J1003" t="s">
        <v>30</v>
      </c>
      <c r="K1003" t="s">
        <v>2803</v>
      </c>
      <c r="M1003" t="s">
        <v>32</v>
      </c>
      <c r="N1003" t="str">
        <f>"3/9/2005 12:00:00 AM"</f>
        <v>3/9/2005 12:00:00 AM</v>
      </c>
      <c r="O1003" t="s">
        <v>2801</v>
      </c>
    </row>
    <row r="1004" spans="1:20" x14ac:dyDescent="0.25">
      <c r="A1004" t="str">
        <f>"3038338"</f>
        <v>3038338</v>
      </c>
      <c r="B1004" t="s">
        <v>2804</v>
      </c>
      <c r="C1004" t="str">
        <f>"24690000"</f>
        <v>24690000</v>
      </c>
      <c r="D1004" t="s">
        <v>2805</v>
      </c>
      <c r="F1004" t="s">
        <v>2806</v>
      </c>
      <c r="I1004" t="s">
        <v>29</v>
      </c>
      <c r="J1004" t="s">
        <v>30</v>
      </c>
      <c r="K1004" t="s">
        <v>31</v>
      </c>
      <c r="M1004" t="s">
        <v>32</v>
      </c>
      <c r="N1004" t="str">
        <f>"8/14/2003 12:00:00 AM"</f>
        <v>8/14/2003 12:00:00 AM</v>
      </c>
      <c r="O1004" t="s">
        <v>2805</v>
      </c>
    </row>
    <row r="1005" spans="1:20" x14ac:dyDescent="0.25">
      <c r="A1005" t="str">
        <f>"3039296"</f>
        <v>3039296</v>
      </c>
      <c r="B1005" t="s">
        <v>2807</v>
      </c>
      <c r="C1005" t="str">
        <f>"82530388"</f>
        <v>82530388</v>
      </c>
      <c r="D1005" t="s">
        <v>2499</v>
      </c>
      <c r="E1005" t="s">
        <v>2500</v>
      </c>
      <c r="F1005" t="s">
        <v>2501</v>
      </c>
      <c r="I1005" t="s">
        <v>49</v>
      </c>
      <c r="J1005" t="s">
        <v>30</v>
      </c>
      <c r="K1005" t="s">
        <v>50</v>
      </c>
      <c r="M1005" t="s">
        <v>32</v>
      </c>
      <c r="N1005" t="str">
        <f>"2/4/2009 12:00:00 AM"</f>
        <v>2/4/2009 12:00:00 AM</v>
      </c>
      <c r="O1005" t="s">
        <v>2499</v>
      </c>
      <c r="T1005" t="s">
        <v>2500</v>
      </c>
    </row>
    <row r="1006" spans="1:20" x14ac:dyDescent="0.25">
      <c r="A1006" t="str">
        <f>"3039771"</f>
        <v>3039771</v>
      </c>
      <c r="B1006" t="s">
        <v>2808</v>
      </c>
      <c r="C1006" t="str">
        <f>"78802000"</f>
        <v>78802000</v>
      </c>
      <c r="D1006" t="s">
        <v>2809</v>
      </c>
      <c r="E1006" t="s">
        <v>2810</v>
      </c>
      <c r="F1006" t="s">
        <v>2811</v>
      </c>
      <c r="I1006" t="s">
        <v>29</v>
      </c>
      <c r="J1006" t="s">
        <v>30</v>
      </c>
      <c r="K1006" t="s">
        <v>31</v>
      </c>
      <c r="M1006" t="s">
        <v>32</v>
      </c>
      <c r="N1006" t="str">
        <f>"6/29/2004 12:00:00 AM"</f>
        <v>6/29/2004 12:00:00 AM</v>
      </c>
      <c r="O1006" t="s">
        <v>2809</v>
      </c>
      <c r="T1006" t="s">
        <v>2810</v>
      </c>
    </row>
    <row r="1007" spans="1:20" x14ac:dyDescent="0.25">
      <c r="A1007" t="str">
        <f>"3038436"</f>
        <v>3038436</v>
      </c>
      <c r="B1007" t="s">
        <v>2812</v>
      </c>
      <c r="C1007" t="str">
        <f>"64439500"</f>
        <v>64439500</v>
      </c>
      <c r="D1007" t="s">
        <v>2813</v>
      </c>
      <c r="E1007" t="s">
        <v>2814</v>
      </c>
      <c r="F1007" t="s">
        <v>2815</v>
      </c>
      <c r="I1007" t="s">
        <v>29</v>
      </c>
      <c r="J1007" t="s">
        <v>30</v>
      </c>
      <c r="K1007" t="s">
        <v>31</v>
      </c>
      <c r="M1007" t="s">
        <v>32</v>
      </c>
      <c r="N1007" t="str">
        <f>"5/3/2004 12:00:00 AM"</f>
        <v>5/3/2004 12:00:00 AM</v>
      </c>
      <c r="O1007" t="s">
        <v>2813</v>
      </c>
      <c r="T1007" t="s">
        <v>2814</v>
      </c>
    </row>
    <row r="1008" spans="1:20" x14ac:dyDescent="0.25">
      <c r="A1008" t="str">
        <f>"3037832"</f>
        <v>3037832</v>
      </c>
      <c r="B1008" t="s">
        <v>2816</v>
      </c>
      <c r="C1008" t="str">
        <f>"79776000"</f>
        <v>79776000</v>
      </c>
      <c r="D1008" t="s">
        <v>2817</v>
      </c>
      <c r="E1008" t="s">
        <v>2818</v>
      </c>
      <c r="F1008" t="s">
        <v>2819</v>
      </c>
      <c r="I1008" t="s">
        <v>29</v>
      </c>
      <c r="J1008" t="s">
        <v>30</v>
      </c>
      <c r="K1008" t="s">
        <v>31</v>
      </c>
      <c r="M1008" t="s">
        <v>32</v>
      </c>
      <c r="N1008" t="str">
        <f>"12/20/2007 12:00:00 AM"</f>
        <v>12/20/2007 12:00:00 AM</v>
      </c>
      <c r="O1008" t="s">
        <v>2817</v>
      </c>
      <c r="T1008" t="s">
        <v>2818</v>
      </c>
    </row>
    <row r="1009" spans="1:20" x14ac:dyDescent="0.25">
      <c r="A1009" t="str">
        <f>"3039797"</f>
        <v>3039797</v>
      </c>
      <c r="B1009" t="s">
        <v>2820</v>
      </c>
      <c r="C1009" t="str">
        <f>"79776000"</f>
        <v>79776000</v>
      </c>
      <c r="D1009" t="s">
        <v>2817</v>
      </c>
      <c r="E1009" t="s">
        <v>2818</v>
      </c>
      <c r="F1009" t="s">
        <v>2819</v>
      </c>
      <c r="I1009" t="s">
        <v>29</v>
      </c>
      <c r="J1009" t="s">
        <v>30</v>
      </c>
      <c r="K1009" t="s">
        <v>31</v>
      </c>
      <c r="M1009" t="s">
        <v>32</v>
      </c>
      <c r="N1009" t="str">
        <f>"12/20/2007 12:00:00 AM"</f>
        <v>12/20/2007 12:00:00 AM</v>
      </c>
      <c r="O1009" t="s">
        <v>2817</v>
      </c>
      <c r="T1009" t="s">
        <v>2818</v>
      </c>
    </row>
    <row r="1010" spans="1:20" x14ac:dyDescent="0.25">
      <c r="A1010" t="str">
        <f>"3039795"</f>
        <v>3039795</v>
      </c>
      <c r="B1010" t="s">
        <v>2821</v>
      </c>
      <c r="C1010" t="str">
        <f>"27871900"</f>
        <v>27871900</v>
      </c>
      <c r="D1010" t="s">
        <v>2822</v>
      </c>
      <c r="F1010" t="s">
        <v>2823</v>
      </c>
      <c r="I1010" t="s">
        <v>29</v>
      </c>
      <c r="J1010" t="s">
        <v>30</v>
      </c>
      <c r="K1010" t="s">
        <v>31</v>
      </c>
      <c r="M1010" t="s">
        <v>32</v>
      </c>
      <c r="N1010" t="str">
        <f>"4/10/2002 12:00:00 AM"</f>
        <v>4/10/2002 12:00:00 AM</v>
      </c>
      <c r="O1010" t="s">
        <v>2822</v>
      </c>
    </row>
    <row r="1011" spans="1:20" x14ac:dyDescent="0.25">
      <c r="A1011" t="str">
        <f>"3039831"</f>
        <v>3039831</v>
      </c>
      <c r="B1011" t="s">
        <v>2824</v>
      </c>
      <c r="C1011" t="str">
        <f>"6416000"</f>
        <v>6416000</v>
      </c>
      <c r="D1011" t="s">
        <v>2825</v>
      </c>
      <c r="F1011" t="s">
        <v>2826</v>
      </c>
      <c r="I1011" t="s">
        <v>29</v>
      </c>
      <c r="J1011" t="s">
        <v>30</v>
      </c>
      <c r="K1011" t="s">
        <v>31</v>
      </c>
      <c r="M1011" t="s">
        <v>32</v>
      </c>
      <c r="N1011" t="str">
        <f>"4/10/2002 12:00:00 AM"</f>
        <v>4/10/2002 12:00:00 AM</v>
      </c>
      <c r="O1011" t="s">
        <v>2825</v>
      </c>
    </row>
    <row r="1012" spans="1:20" x14ac:dyDescent="0.25">
      <c r="A1012" t="str">
        <f>"3041211"</f>
        <v>3041211</v>
      </c>
      <c r="B1012" t="s">
        <v>2827</v>
      </c>
      <c r="C1012" t="str">
        <f>"82523610"</f>
        <v>82523610</v>
      </c>
      <c r="D1012" t="s">
        <v>2828</v>
      </c>
      <c r="F1012" t="s">
        <v>2829</v>
      </c>
      <c r="I1012" t="s">
        <v>2071</v>
      </c>
      <c r="J1012" t="s">
        <v>30</v>
      </c>
      <c r="K1012" t="s">
        <v>185</v>
      </c>
      <c r="M1012" t="s">
        <v>32</v>
      </c>
      <c r="N1012" t="str">
        <f>"1/7/2005 12:00:00 AM"</f>
        <v>1/7/2005 12:00:00 AM</v>
      </c>
      <c r="O1012" t="s">
        <v>2828</v>
      </c>
    </row>
    <row r="1013" spans="1:20" x14ac:dyDescent="0.25">
      <c r="A1013" t="str">
        <f>"3041978"</f>
        <v>3041978</v>
      </c>
      <c r="B1013" t="s">
        <v>2830</v>
      </c>
      <c r="C1013" t="str">
        <f>"25564500"</f>
        <v>25564500</v>
      </c>
      <c r="D1013" t="s">
        <v>2831</v>
      </c>
      <c r="E1013" t="s">
        <v>2832</v>
      </c>
      <c r="F1013" t="s">
        <v>2833</v>
      </c>
      <c r="I1013" t="s">
        <v>184</v>
      </c>
      <c r="J1013" t="s">
        <v>30</v>
      </c>
      <c r="K1013" t="s">
        <v>2834</v>
      </c>
      <c r="M1013" t="s">
        <v>32</v>
      </c>
      <c r="N1013" t="str">
        <f>"1/17/2006 12:00:00 AM"</f>
        <v>1/17/2006 12:00:00 AM</v>
      </c>
      <c r="O1013" t="s">
        <v>2831</v>
      </c>
      <c r="T1013" t="s">
        <v>2832</v>
      </c>
    </row>
    <row r="1014" spans="1:20" x14ac:dyDescent="0.25">
      <c r="A1014" t="str">
        <f>"3057052"</f>
        <v>3057052</v>
      </c>
      <c r="B1014" t="s">
        <v>2835</v>
      </c>
      <c r="C1014" t="str">
        <f>"25564500"</f>
        <v>25564500</v>
      </c>
      <c r="D1014" t="s">
        <v>2831</v>
      </c>
      <c r="E1014" t="s">
        <v>2832</v>
      </c>
      <c r="F1014" t="s">
        <v>2833</v>
      </c>
      <c r="I1014" t="s">
        <v>184</v>
      </c>
      <c r="J1014" t="s">
        <v>30</v>
      </c>
      <c r="K1014" t="s">
        <v>2834</v>
      </c>
      <c r="M1014" t="s">
        <v>32</v>
      </c>
      <c r="N1014" t="str">
        <f>"1/17/2006 12:00:00 AM"</f>
        <v>1/17/2006 12:00:00 AM</v>
      </c>
      <c r="O1014" t="s">
        <v>2831</v>
      </c>
      <c r="T1014" t="s">
        <v>2832</v>
      </c>
    </row>
    <row r="1015" spans="1:20" x14ac:dyDescent="0.25">
      <c r="A1015" t="str">
        <f>"3057013"</f>
        <v>3057013</v>
      </c>
      <c r="B1015" t="s">
        <v>2836</v>
      </c>
      <c r="C1015" t="str">
        <f>"25564500"</f>
        <v>25564500</v>
      </c>
      <c r="D1015" t="s">
        <v>2831</v>
      </c>
      <c r="E1015" t="s">
        <v>2832</v>
      </c>
      <c r="F1015" t="s">
        <v>2833</v>
      </c>
      <c r="I1015" t="s">
        <v>184</v>
      </c>
      <c r="J1015" t="s">
        <v>30</v>
      </c>
      <c r="K1015" t="s">
        <v>2834</v>
      </c>
      <c r="M1015" t="s">
        <v>32</v>
      </c>
      <c r="N1015" t="str">
        <f>"1/17/2006 12:00:00 AM"</f>
        <v>1/17/2006 12:00:00 AM</v>
      </c>
      <c r="O1015" t="s">
        <v>2831</v>
      </c>
      <c r="T1015" t="s">
        <v>2832</v>
      </c>
    </row>
    <row r="1016" spans="1:20" x14ac:dyDescent="0.25">
      <c r="A1016" t="str">
        <f>"3058022"</f>
        <v>3058022</v>
      </c>
      <c r="B1016" t="s">
        <v>2837</v>
      </c>
      <c r="C1016" t="str">
        <f>"25564500"</f>
        <v>25564500</v>
      </c>
      <c r="D1016" t="s">
        <v>2831</v>
      </c>
      <c r="E1016" t="s">
        <v>2832</v>
      </c>
      <c r="F1016" t="s">
        <v>2833</v>
      </c>
      <c r="I1016" t="s">
        <v>184</v>
      </c>
      <c r="J1016" t="s">
        <v>30</v>
      </c>
      <c r="K1016" t="s">
        <v>2834</v>
      </c>
      <c r="M1016" t="s">
        <v>32</v>
      </c>
      <c r="N1016" t="str">
        <f>"1/17/2006 12:00:00 AM"</f>
        <v>1/17/2006 12:00:00 AM</v>
      </c>
      <c r="O1016" t="s">
        <v>2831</v>
      </c>
      <c r="T1016" t="s">
        <v>2832</v>
      </c>
    </row>
    <row r="1017" spans="1:20" x14ac:dyDescent="0.25">
      <c r="A1017" t="str">
        <f>"3039884"</f>
        <v>3039884</v>
      </c>
      <c r="B1017" t="s">
        <v>2838</v>
      </c>
      <c r="C1017" t="str">
        <f>"36596600"</f>
        <v>36596600</v>
      </c>
      <c r="D1017" t="s">
        <v>2839</v>
      </c>
      <c r="E1017" t="s">
        <v>2840</v>
      </c>
      <c r="F1017" t="s">
        <v>2841</v>
      </c>
      <c r="I1017" t="s">
        <v>29</v>
      </c>
      <c r="J1017" t="s">
        <v>30</v>
      </c>
      <c r="K1017" t="s">
        <v>31</v>
      </c>
      <c r="M1017" t="s">
        <v>32</v>
      </c>
      <c r="N1017" t="str">
        <f>"2/12/2008 12:00:00 AM"</f>
        <v>2/12/2008 12:00:00 AM</v>
      </c>
      <c r="O1017" t="s">
        <v>2839</v>
      </c>
      <c r="T1017" t="s">
        <v>2840</v>
      </c>
    </row>
    <row r="1018" spans="1:20" x14ac:dyDescent="0.25">
      <c r="A1018" t="str">
        <f>"3039329"</f>
        <v>3039329</v>
      </c>
      <c r="B1018" t="s">
        <v>2842</v>
      </c>
      <c r="C1018" t="str">
        <f>"36596600"</f>
        <v>36596600</v>
      </c>
      <c r="D1018" t="s">
        <v>2839</v>
      </c>
      <c r="E1018" t="s">
        <v>2840</v>
      </c>
      <c r="F1018" t="s">
        <v>2841</v>
      </c>
      <c r="I1018" t="s">
        <v>29</v>
      </c>
      <c r="J1018" t="s">
        <v>30</v>
      </c>
      <c r="K1018" t="s">
        <v>31</v>
      </c>
      <c r="M1018" t="s">
        <v>32</v>
      </c>
      <c r="N1018" t="str">
        <f>"2/12/2008 12:00:00 AM"</f>
        <v>2/12/2008 12:00:00 AM</v>
      </c>
      <c r="O1018" t="s">
        <v>2839</v>
      </c>
      <c r="T1018" t="s">
        <v>2840</v>
      </c>
    </row>
    <row r="1019" spans="1:20" x14ac:dyDescent="0.25">
      <c r="A1019" t="str">
        <f>"3039728"</f>
        <v>3039728</v>
      </c>
      <c r="B1019" t="s">
        <v>2843</v>
      </c>
      <c r="C1019" t="str">
        <f>"52234300"</f>
        <v>52234300</v>
      </c>
      <c r="D1019" t="s">
        <v>2844</v>
      </c>
      <c r="E1019" t="s">
        <v>2845</v>
      </c>
      <c r="F1019" t="s">
        <v>2846</v>
      </c>
      <c r="I1019" t="s">
        <v>29</v>
      </c>
      <c r="J1019" t="s">
        <v>30</v>
      </c>
      <c r="K1019" t="s">
        <v>31</v>
      </c>
      <c r="M1019" t="s">
        <v>32</v>
      </c>
      <c r="N1019" t="str">
        <f>"4/10/2002 12:00:00 AM"</f>
        <v>4/10/2002 12:00:00 AM</v>
      </c>
      <c r="O1019" t="s">
        <v>2844</v>
      </c>
      <c r="T1019" t="s">
        <v>2845</v>
      </c>
    </row>
    <row r="1020" spans="1:20" x14ac:dyDescent="0.25">
      <c r="A1020" t="str">
        <f>"3039844"</f>
        <v>3039844</v>
      </c>
      <c r="B1020" t="s">
        <v>2847</v>
      </c>
      <c r="C1020" t="str">
        <f>"2708500"</f>
        <v>2708500</v>
      </c>
      <c r="D1020" t="s">
        <v>2848</v>
      </c>
      <c r="E1020" t="s">
        <v>2849</v>
      </c>
      <c r="F1020" t="s">
        <v>2850</v>
      </c>
      <c r="I1020" t="s">
        <v>29</v>
      </c>
      <c r="J1020" t="s">
        <v>30</v>
      </c>
      <c r="K1020" t="s">
        <v>31</v>
      </c>
      <c r="M1020" t="s">
        <v>32</v>
      </c>
      <c r="N1020" t="str">
        <f>"4/10/2002 12:00:00 AM"</f>
        <v>4/10/2002 12:00:00 AM</v>
      </c>
      <c r="O1020" t="s">
        <v>2848</v>
      </c>
      <c r="T1020" t="s">
        <v>2849</v>
      </c>
    </row>
    <row r="1021" spans="1:20" x14ac:dyDescent="0.25">
      <c r="A1021" t="str">
        <f>"3039804"</f>
        <v>3039804</v>
      </c>
      <c r="B1021" t="s">
        <v>2851</v>
      </c>
      <c r="C1021" t="str">
        <f>"9784000"</f>
        <v>9784000</v>
      </c>
      <c r="D1021" t="s">
        <v>2852</v>
      </c>
      <c r="E1021" t="s">
        <v>2853</v>
      </c>
      <c r="F1021" t="s">
        <v>2854</v>
      </c>
      <c r="I1021" t="s">
        <v>29</v>
      </c>
      <c r="J1021" t="s">
        <v>30</v>
      </c>
      <c r="K1021" t="s">
        <v>31</v>
      </c>
      <c r="M1021" t="s">
        <v>32</v>
      </c>
      <c r="N1021" t="str">
        <f>"9/15/2005 12:00:00 AM"</f>
        <v>9/15/2005 12:00:00 AM</v>
      </c>
      <c r="O1021" t="s">
        <v>2852</v>
      </c>
      <c r="T1021" t="s">
        <v>2853</v>
      </c>
    </row>
    <row r="1022" spans="1:20" x14ac:dyDescent="0.25">
      <c r="A1022" t="str">
        <f>"3039469"</f>
        <v>3039469</v>
      </c>
      <c r="B1022" t="s">
        <v>2855</v>
      </c>
      <c r="C1022" t="str">
        <f>"9784000"</f>
        <v>9784000</v>
      </c>
      <c r="D1022" t="s">
        <v>2852</v>
      </c>
      <c r="E1022" t="s">
        <v>2853</v>
      </c>
      <c r="F1022" t="s">
        <v>2854</v>
      </c>
      <c r="I1022" t="s">
        <v>29</v>
      </c>
      <c r="J1022" t="s">
        <v>30</v>
      </c>
      <c r="K1022" t="s">
        <v>31</v>
      </c>
      <c r="M1022" t="s">
        <v>32</v>
      </c>
      <c r="N1022" t="str">
        <f>"9/15/2005 12:00:00 AM"</f>
        <v>9/15/2005 12:00:00 AM</v>
      </c>
      <c r="O1022" t="s">
        <v>2852</v>
      </c>
      <c r="T1022" t="s">
        <v>2853</v>
      </c>
    </row>
    <row r="1023" spans="1:20" x14ac:dyDescent="0.25">
      <c r="A1023" t="str">
        <f>"3039470"</f>
        <v>3039470</v>
      </c>
      <c r="B1023" t="s">
        <v>2856</v>
      </c>
      <c r="C1023" t="str">
        <f>"9784000"</f>
        <v>9784000</v>
      </c>
      <c r="D1023" t="s">
        <v>2852</v>
      </c>
      <c r="E1023" t="s">
        <v>2853</v>
      </c>
      <c r="F1023" t="s">
        <v>2854</v>
      </c>
      <c r="I1023" t="s">
        <v>29</v>
      </c>
      <c r="J1023" t="s">
        <v>30</v>
      </c>
      <c r="K1023" t="s">
        <v>31</v>
      </c>
      <c r="M1023" t="s">
        <v>32</v>
      </c>
      <c r="N1023" t="str">
        <f>"9/15/2005 12:00:00 AM"</f>
        <v>9/15/2005 12:00:00 AM</v>
      </c>
      <c r="O1023" t="s">
        <v>2852</v>
      </c>
      <c r="T1023" t="s">
        <v>2853</v>
      </c>
    </row>
    <row r="1024" spans="1:20" x14ac:dyDescent="0.25">
      <c r="A1024" t="str">
        <f>"3051762"</f>
        <v>3051762</v>
      </c>
      <c r="B1024" t="s">
        <v>2857</v>
      </c>
      <c r="C1024" t="str">
        <f>"9784000"</f>
        <v>9784000</v>
      </c>
      <c r="D1024" t="s">
        <v>2852</v>
      </c>
      <c r="E1024" t="s">
        <v>2853</v>
      </c>
      <c r="F1024" t="s">
        <v>2854</v>
      </c>
      <c r="I1024" t="s">
        <v>29</v>
      </c>
      <c r="J1024" t="s">
        <v>30</v>
      </c>
      <c r="K1024" t="s">
        <v>31</v>
      </c>
      <c r="M1024" t="s">
        <v>32</v>
      </c>
      <c r="N1024" t="str">
        <f>"9/15/2005 12:00:00 AM"</f>
        <v>9/15/2005 12:00:00 AM</v>
      </c>
      <c r="O1024" t="s">
        <v>2852</v>
      </c>
      <c r="T1024" t="s">
        <v>2853</v>
      </c>
    </row>
    <row r="1025" spans="1:20" x14ac:dyDescent="0.25">
      <c r="A1025" t="str">
        <f>"3049167"</f>
        <v>3049167</v>
      </c>
      <c r="B1025" t="s">
        <v>2858</v>
      </c>
      <c r="C1025" t="str">
        <f>"9784000"</f>
        <v>9784000</v>
      </c>
      <c r="D1025" t="s">
        <v>2852</v>
      </c>
      <c r="E1025" t="s">
        <v>2853</v>
      </c>
      <c r="F1025" t="s">
        <v>2854</v>
      </c>
      <c r="I1025" t="s">
        <v>29</v>
      </c>
      <c r="J1025" t="s">
        <v>30</v>
      </c>
      <c r="K1025" t="s">
        <v>31</v>
      </c>
      <c r="M1025" t="s">
        <v>32</v>
      </c>
      <c r="N1025" t="str">
        <f>"9/15/2005 12:00:00 AM"</f>
        <v>9/15/2005 12:00:00 AM</v>
      </c>
      <c r="O1025" t="s">
        <v>2852</v>
      </c>
      <c r="T1025" t="s">
        <v>2853</v>
      </c>
    </row>
    <row r="1026" spans="1:20" x14ac:dyDescent="0.25">
      <c r="A1026" t="str">
        <f>"3039893"</f>
        <v>3039893</v>
      </c>
      <c r="B1026" t="s">
        <v>2859</v>
      </c>
      <c r="C1026" t="str">
        <f>"52056000"</f>
        <v>52056000</v>
      </c>
      <c r="D1026" t="s">
        <v>2860</v>
      </c>
      <c r="F1026" t="s">
        <v>2861</v>
      </c>
      <c r="I1026" t="s">
        <v>29</v>
      </c>
      <c r="J1026" t="s">
        <v>30</v>
      </c>
      <c r="K1026" t="s">
        <v>2862</v>
      </c>
      <c r="M1026" t="s">
        <v>32</v>
      </c>
      <c r="N1026" t="str">
        <f>"2/15/2005 12:00:00 AM"</f>
        <v>2/15/2005 12:00:00 AM</v>
      </c>
      <c r="O1026" t="s">
        <v>2860</v>
      </c>
    </row>
    <row r="1027" spans="1:20" x14ac:dyDescent="0.25">
      <c r="A1027" t="str">
        <f>"3041213"</f>
        <v>3041213</v>
      </c>
      <c r="B1027" t="s">
        <v>2863</v>
      </c>
      <c r="C1027" t="str">
        <f>"82523239"</f>
        <v>82523239</v>
      </c>
      <c r="D1027" t="s">
        <v>2864</v>
      </c>
      <c r="E1027" t="s">
        <v>2865</v>
      </c>
      <c r="F1027" t="s">
        <v>2866</v>
      </c>
      <c r="I1027" t="s">
        <v>2071</v>
      </c>
      <c r="J1027" t="s">
        <v>30</v>
      </c>
      <c r="K1027" t="s">
        <v>2342</v>
      </c>
      <c r="M1027" t="s">
        <v>32</v>
      </c>
      <c r="N1027" t="str">
        <f>"2/9/2005 12:00:00 AM"</f>
        <v>2/9/2005 12:00:00 AM</v>
      </c>
      <c r="O1027" t="s">
        <v>2864</v>
      </c>
      <c r="T1027" t="s">
        <v>2865</v>
      </c>
    </row>
    <row r="1028" spans="1:20" x14ac:dyDescent="0.25">
      <c r="A1028" t="str">
        <f>"3038855"</f>
        <v>3038855</v>
      </c>
      <c r="B1028" t="s">
        <v>2867</v>
      </c>
      <c r="C1028" t="str">
        <f>"73996000"</f>
        <v>73996000</v>
      </c>
      <c r="D1028" t="s">
        <v>2868</v>
      </c>
      <c r="E1028" t="s">
        <v>2869</v>
      </c>
      <c r="F1028" t="s">
        <v>2870</v>
      </c>
      <c r="I1028" t="s">
        <v>29</v>
      </c>
      <c r="J1028" t="s">
        <v>30</v>
      </c>
      <c r="K1028" t="s">
        <v>2871</v>
      </c>
      <c r="M1028" t="s">
        <v>32</v>
      </c>
      <c r="N1028" t="str">
        <f>"1/6/2006 12:00:00 AM"</f>
        <v>1/6/2006 12:00:00 AM</v>
      </c>
      <c r="O1028" t="s">
        <v>2868</v>
      </c>
      <c r="T1028" t="s">
        <v>2869</v>
      </c>
    </row>
    <row r="1029" spans="1:20" x14ac:dyDescent="0.25">
      <c r="A1029" t="str">
        <f>"3039822"</f>
        <v>3039822</v>
      </c>
      <c r="B1029" t="s">
        <v>2872</v>
      </c>
      <c r="C1029" t="str">
        <f>"14500000"</f>
        <v>14500000</v>
      </c>
      <c r="D1029" t="s">
        <v>2873</v>
      </c>
      <c r="E1029" t="s">
        <v>2874</v>
      </c>
      <c r="F1029" t="s">
        <v>2875</v>
      </c>
      <c r="I1029" t="s">
        <v>29</v>
      </c>
      <c r="J1029" t="s">
        <v>30</v>
      </c>
      <c r="K1029" t="s">
        <v>2862</v>
      </c>
      <c r="M1029" t="s">
        <v>32</v>
      </c>
      <c r="N1029" t="str">
        <f>"2/1/2006 12:00:00 AM"</f>
        <v>2/1/2006 12:00:00 AM</v>
      </c>
      <c r="O1029" t="s">
        <v>2873</v>
      </c>
      <c r="T1029" t="s">
        <v>2874</v>
      </c>
    </row>
    <row r="1030" spans="1:20" x14ac:dyDescent="0.25">
      <c r="A1030" t="str">
        <f>"3039787"</f>
        <v>3039787</v>
      </c>
      <c r="B1030" t="s">
        <v>2876</v>
      </c>
      <c r="C1030" t="str">
        <f>"67460000"</f>
        <v>67460000</v>
      </c>
      <c r="D1030" t="s">
        <v>2877</v>
      </c>
      <c r="E1030" t="s">
        <v>2878</v>
      </c>
      <c r="F1030" t="s">
        <v>2879</v>
      </c>
      <c r="I1030" t="s">
        <v>29</v>
      </c>
      <c r="J1030" t="s">
        <v>30</v>
      </c>
      <c r="K1030" t="s">
        <v>2880</v>
      </c>
      <c r="M1030" t="s">
        <v>32</v>
      </c>
      <c r="N1030" t="str">
        <f>"1/13/2006 12:00:00 AM"</f>
        <v>1/13/2006 12:00:00 AM</v>
      </c>
      <c r="O1030" t="s">
        <v>2877</v>
      </c>
      <c r="T1030" t="s">
        <v>2878</v>
      </c>
    </row>
    <row r="1031" spans="1:20" x14ac:dyDescent="0.25">
      <c r="A1031" t="str">
        <f>"3038621"</f>
        <v>3038621</v>
      </c>
      <c r="B1031" t="s">
        <v>2881</v>
      </c>
      <c r="C1031" t="str">
        <f>"82526908"</f>
        <v>82526908</v>
      </c>
      <c r="D1031" t="s">
        <v>2882</v>
      </c>
      <c r="E1031" t="s">
        <v>2883</v>
      </c>
      <c r="F1031" t="s">
        <v>2884</v>
      </c>
      <c r="I1031" t="s">
        <v>29</v>
      </c>
      <c r="J1031" t="s">
        <v>30</v>
      </c>
      <c r="K1031" t="s">
        <v>31</v>
      </c>
      <c r="M1031" t="s">
        <v>32</v>
      </c>
      <c r="N1031" t="str">
        <f>"2/27/2007 12:00:00 AM"</f>
        <v>2/27/2007 12:00:00 AM</v>
      </c>
      <c r="O1031" t="s">
        <v>2882</v>
      </c>
      <c r="T1031" t="s">
        <v>2883</v>
      </c>
    </row>
    <row r="1032" spans="1:20" x14ac:dyDescent="0.25">
      <c r="A1032" t="str">
        <f>"3039729"</f>
        <v>3039729</v>
      </c>
      <c r="B1032" t="s">
        <v>2885</v>
      </c>
      <c r="C1032" t="str">
        <f>"7208000"</f>
        <v>7208000</v>
      </c>
      <c r="D1032" t="s">
        <v>2886</v>
      </c>
      <c r="F1032" t="s">
        <v>2887</v>
      </c>
      <c r="I1032" t="s">
        <v>184</v>
      </c>
      <c r="J1032" t="s">
        <v>30</v>
      </c>
      <c r="K1032" t="s">
        <v>185</v>
      </c>
      <c r="M1032" t="s">
        <v>32</v>
      </c>
      <c r="N1032" t="str">
        <f>"2/12/2007 12:00:00 AM"</f>
        <v>2/12/2007 12:00:00 AM</v>
      </c>
      <c r="O1032" t="s">
        <v>2886</v>
      </c>
      <c r="T1032" t="s">
        <v>2886</v>
      </c>
    </row>
    <row r="1033" spans="1:20" x14ac:dyDescent="0.25">
      <c r="A1033" t="str">
        <f>"3039349"</f>
        <v>3039349</v>
      </c>
      <c r="B1033" t="s">
        <v>2888</v>
      </c>
      <c r="C1033" t="str">
        <f>"7208000"</f>
        <v>7208000</v>
      </c>
      <c r="D1033" t="s">
        <v>2886</v>
      </c>
      <c r="F1033" t="s">
        <v>2887</v>
      </c>
      <c r="I1033" t="s">
        <v>184</v>
      </c>
      <c r="J1033" t="s">
        <v>30</v>
      </c>
      <c r="K1033" t="s">
        <v>185</v>
      </c>
      <c r="M1033" t="s">
        <v>32</v>
      </c>
      <c r="N1033" t="str">
        <f>"2/12/2007 12:00:00 AM"</f>
        <v>2/12/2007 12:00:00 AM</v>
      </c>
      <c r="O1033" t="s">
        <v>2886</v>
      </c>
      <c r="T1033" t="s">
        <v>2886</v>
      </c>
    </row>
    <row r="1034" spans="1:20" x14ac:dyDescent="0.25">
      <c r="A1034" t="str">
        <f>"3039857"</f>
        <v>3039857</v>
      </c>
      <c r="B1034" t="s">
        <v>2889</v>
      </c>
      <c r="C1034" t="str">
        <f>"7208000"</f>
        <v>7208000</v>
      </c>
      <c r="D1034" t="s">
        <v>2886</v>
      </c>
      <c r="F1034" t="s">
        <v>2887</v>
      </c>
      <c r="I1034" t="s">
        <v>184</v>
      </c>
      <c r="J1034" t="s">
        <v>30</v>
      </c>
      <c r="K1034" t="s">
        <v>185</v>
      </c>
      <c r="M1034" t="s">
        <v>32</v>
      </c>
      <c r="N1034" t="str">
        <f>"2/12/2007 12:00:00 AM"</f>
        <v>2/12/2007 12:00:00 AM</v>
      </c>
      <c r="O1034" t="s">
        <v>2886</v>
      </c>
      <c r="T1034" t="s">
        <v>2886</v>
      </c>
    </row>
    <row r="1035" spans="1:20" x14ac:dyDescent="0.25">
      <c r="A1035" t="str">
        <f>"3039925"</f>
        <v>3039925</v>
      </c>
      <c r="B1035" t="s">
        <v>2890</v>
      </c>
      <c r="C1035" t="str">
        <f>"7208000"</f>
        <v>7208000</v>
      </c>
      <c r="D1035" t="s">
        <v>2886</v>
      </c>
      <c r="F1035" t="s">
        <v>2887</v>
      </c>
      <c r="I1035" t="s">
        <v>184</v>
      </c>
      <c r="J1035" t="s">
        <v>30</v>
      </c>
      <c r="K1035" t="s">
        <v>185</v>
      </c>
      <c r="M1035" t="s">
        <v>32</v>
      </c>
      <c r="N1035" t="str">
        <f>"2/12/2007 12:00:00 AM"</f>
        <v>2/12/2007 12:00:00 AM</v>
      </c>
      <c r="O1035" t="s">
        <v>2886</v>
      </c>
      <c r="T1035" t="s">
        <v>2886</v>
      </c>
    </row>
    <row r="1036" spans="1:20" x14ac:dyDescent="0.25">
      <c r="A1036" t="str">
        <f>"3038110"</f>
        <v>3038110</v>
      </c>
      <c r="B1036" t="s">
        <v>2891</v>
      </c>
      <c r="C1036" t="str">
        <f>"82529015"</f>
        <v>82529015</v>
      </c>
      <c r="D1036" t="s">
        <v>2575</v>
      </c>
      <c r="E1036" t="s">
        <v>2576</v>
      </c>
      <c r="F1036" t="s">
        <v>2563</v>
      </c>
      <c r="I1036" t="s">
        <v>29</v>
      </c>
      <c r="J1036" t="s">
        <v>30</v>
      </c>
      <c r="K1036" t="s">
        <v>31</v>
      </c>
      <c r="M1036" t="s">
        <v>32</v>
      </c>
      <c r="N1036" t="str">
        <f>"12/31/2007 12:00:00 AM"</f>
        <v>12/31/2007 12:00:00 AM</v>
      </c>
      <c r="O1036" t="s">
        <v>2575</v>
      </c>
      <c r="T1036" t="s">
        <v>2576</v>
      </c>
    </row>
    <row r="1037" spans="1:20" x14ac:dyDescent="0.25">
      <c r="A1037" t="str">
        <f>"3037850"</f>
        <v>3037850</v>
      </c>
      <c r="B1037" t="s">
        <v>2892</v>
      </c>
      <c r="C1037" t="str">
        <f>"82529015"</f>
        <v>82529015</v>
      </c>
      <c r="D1037" t="s">
        <v>2575</v>
      </c>
      <c r="E1037" t="s">
        <v>2576</v>
      </c>
      <c r="F1037" t="s">
        <v>2563</v>
      </c>
      <c r="I1037" t="s">
        <v>29</v>
      </c>
      <c r="J1037" t="s">
        <v>30</v>
      </c>
      <c r="K1037" t="s">
        <v>31</v>
      </c>
      <c r="M1037" t="s">
        <v>32</v>
      </c>
      <c r="N1037" t="str">
        <f>"12/31/2007 12:00:00 AM"</f>
        <v>12/31/2007 12:00:00 AM</v>
      </c>
      <c r="O1037" t="s">
        <v>2575</v>
      </c>
      <c r="T1037" t="s">
        <v>2576</v>
      </c>
    </row>
    <row r="1038" spans="1:20" x14ac:dyDescent="0.25">
      <c r="A1038" t="str">
        <f>"3076853"</f>
        <v>3076853</v>
      </c>
      <c r="B1038" t="s">
        <v>2893</v>
      </c>
      <c r="C1038" t="str">
        <f>"12296500"</f>
        <v>12296500</v>
      </c>
      <c r="D1038" t="s">
        <v>2894</v>
      </c>
      <c r="F1038" t="s">
        <v>2895</v>
      </c>
      <c r="I1038" t="s">
        <v>29</v>
      </c>
      <c r="J1038" t="s">
        <v>30</v>
      </c>
      <c r="K1038" t="s">
        <v>2896</v>
      </c>
      <c r="M1038" t="s">
        <v>32</v>
      </c>
      <c r="N1038" t="str">
        <f>"2/1/2006 12:00:00 AM"</f>
        <v>2/1/2006 12:00:00 AM</v>
      </c>
      <c r="O1038" t="s">
        <v>2894</v>
      </c>
    </row>
    <row r="1039" spans="1:20" x14ac:dyDescent="0.25">
      <c r="A1039" t="str">
        <f>"3039754"</f>
        <v>3039754</v>
      </c>
      <c r="B1039" t="s">
        <v>2897</v>
      </c>
      <c r="C1039" t="str">
        <f>"32219500"</f>
        <v>32219500</v>
      </c>
      <c r="D1039" t="s">
        <v>2898</v>
      </c>
      <c r="F1039" t="s">
        <v>2899</v>
      </c>
      <c r="I1039" t="s">
        <v>184</v>
      </c>
      <c r="J1039" t="s">
        <v>30</v>
      </c>
      <c r="K1039" t="s">
        <v>2900</v>
      </c>
      <c r="M1039" t="s">
        <v>32</v>
      </c>
      <c r="N1039" t="str">
        <f>"1/26/2010 12:00:00 AM"</f>
        <v>1/26/2010 12:00:00 AM</v>
      </c>
      <c r="O1039" t="s">
        <v>2898</v>
      </c>
    </row>
    <row r="1040" spans="1:20" x14ac:dyDescent="0.25">
      <c r="A1040" t="str">
        <f>"3076907"</f>
        <v>3076907</v>
      </c>
      <c r="B1040" t="s">
        <v>2901</v>
      </c>
      <c r="C1040" t="str">
        <f>"32219500"</f>
        <v>32219500</v>
      </c>
      <c r="D1040" t="s">
        <v>2898</v>
      </c>
      <c r="F1040" t="s">
        <v>2899</v>
      </c>
      <c r="I1040" t="s">
        <v>184</v>
      </c>
      <c r="J1040" t="s">
        <v>30</v>
      </c>
      <c r="K1040" t="s">
        <v>2900</v>
      </c>
      <c r="M1040" t="s">
        <v>32</v>
      </c>
      <c r="N1040" t="str">
        <f>"1/26/2010 12:00:00 AM"</f>
        <v>1/26/2010 12:00:00 AM</v>
      </c>
      <c r="O1040" t="s">
        <v>2898</v>
      </c>
    </row>
    <row r="1041" spans="1:20" x14ac:dyDescent="0.25">
      <c r="A1041" t="str">
        <f>"3076902"</f>
        <v>3076902</v>
      </c>
      <c r="B1041" t="s">
        <v>2902</v>
      </c>
      <c r="C1041" t="str">
        <f>"32336500"</f>
        <v>32336500</v>
      </c>
      <c r="D1041" t="s">
        <v>781</v>
      </c>
      <c r="F1041" t="s">
        <v>782</v>
      </c>
      <c r="I1041" t="s">
        <v>184</v>
      </c>
      <c r="J1041" t="s">
        <v>30</v>
      </c>
      <c r="K1041" t="s">
        <v>185</v>
      </c>
      <c r="M1041" t="s">
        <v>32</v>
      </c>
      <c r="N1041" t="str">
        <f>"4/10/2002 12:00:00 AM"</f>
        <v>4/10/2002 12:00:00 AM</v>
      </c>
      <c r="O1041" t="s">
        <v>781</v>
      </c>
    </row>
    <row r="1042" spans="1:20" x14ac:dyDescent="0.25">
      <c r="A1042" t="str">
        <f>"3040962"</f>
        <v>3040962</v>
      </c>
      <c r="B1042" t="s">
        <v>2903</v>
      </c>
      <c r="C1042" t="str">
        <f>"67836000"</f>
        <v>67836000</v>
      </c>
      <c r="D1042" t="s">
        <v>2904</v>
      </c>
      <c r="F1042" t="str">
        <f>"C/O KATHY MILLER"</f>
        <v>C/O KATHY MILLER</v>
      </c>
      <c r="G1042" t="s">
        <v>1277</v>
      </c>
      <c r="I1042" t="s">
        <v>29</v>
      </c>
      <c r="J1042" t="s">
        <v>30</v>
      </c>
      <c r="K1042" t="s">
        <v>31</v>
      </c>
      <c r="M1042" t="s">
        <v>32</v>
      </c>
      <c r="N1042" t="str">
        <f>"9/16/2005 12:00:00 AM"</f>
        <v>9/16/2005 12:00:00 AM</v>
      </c>
      <c r="O1042" t="s">
        <v>2904</v>
      </c>
    </row>
    <row r="1043" spans="1:20" x14ac:dyDescent="0.25">
      <c r="A1043" t="str">
        <f>"3039902"</f>
        <v>3039902</v>
      </c>
      <c r="B1043" t="s">
        <v>2905</v>
      </c>
      <c r="C1043" t="str">
        <f>"82528618"</f>
        <v>82528618</v>
      </c>
      <c r="D1043" t="s">
        <v>2906</v>
      </c>
      <c r="E1043" t="s">
        <v>2907</v>
      </c>
      <c r="F1043" t="s">
        <v>2908</v>
      </c>
      <c r="I1043" t="s">
        <v>184</v>
      </c>
      <c r="J1043" t="s">
        <v>30</v>
      </c>
      <c r="K1043" t="s">
        <v>185</v>
      </c>
      <c r="M1043" t="s">
        <v>32</v>
      </c>
      <c r="N1043" t="str">
        <f>"9/13/2007 12:00:00 AM"</f>
        <v>9/13/2007 12:00:00 AM</v>
      </c>
      <c r="O1043" t="s">
        <v>2906</v>
      </c>
      <c r="T1043" t="s">
        <v>2907</v>
      </c>
    </row>
    <row r="1044" spans="1:20" x14ac:dyDescent="0.25">
      <c r="A1044" t="str">
        <f>"3039871"</f>
        <v>3039871</v>
      </c>
      <c r="B1044" t="s">
        <v>2909</v>
      </c>
      <c r="C1044" t="str">
        <f>"82526418"</f>
        <v>82526418</v>
      </c>
      <c r="D1044" t="s">
        <v>2910</v>
      </c>
      <c r="E1044" t="s">
        <v>2911</v>
      </c>
      <c r="F1044" t="s">
        <v>2912</v>
      </c>
      <c r="I1044" t="s">
        <v>184</v>
      </c>
      <c r="J1044" t="s">
        <v>30</v>
      </c>
      <c r="K1044" t="s">
        <v>185</v>
      </c>
      <c r="M1044" t="s">
        <v>32</v>
      </c>
      <c r="N1044" t="str">
        <f>"7/7/2006 12:00:00 AM"</f>
        <v>7/7/2006 12:00:00 AM</v>
      </c>
      <c r="O1044" t="s">
        <v>2910</v>
      </c>
      <c r="T1044" t="s">
        <v>2911</v>
      </c>
    </row>
    <row r="1045" spans="1:20" x14ac:dyDescent="0.25">
      <c r="A1045" t="str">
        <f>"3042268"</f>
        <v>3042268</v>
      </c>
      <c r="B1045" t="s">
        <v>2913</v>
      </c>
      <c r="C1045" t="str">
        <f>"82523246"</f>
        <v>82523246</v>
      </c>
      <c r="D1045" t="s">
        <v>2914</v>
      </c>
      <c r="E1045" t="s">
        <v>2915</v>
      </c>
      <c r="F1045" t="s">
        <v>2916</v>
      </c>
      <c r="I1045" t="s">
        <v>29</v>
      </c>
      <c r="J1045" t="s">
        <v>30</v>
      </c>
      <c r="K1045" t="s">
        <v>2917</v>
      </c>
      <c r="M1045" t="s">
        <v>32</v>
      </c>
      <c r="N1045" t="str">
        <f>"1/18/2005 12:00:00 AM"</f>
        <v>1/18/2005 12:00:00 AM</v>
      </c>
      <c r="O1045" t="s">
        <v>2914</v>
      </c>
      <c r="T1045" t="s">
        <v>2915</v>
      </c>
    </row>
    <row r="1046" spans="1:20" x14ac:dyDescent="0.25">
      <c r="A1046" t="str">
        <f>"3042270"</f>
        <v>3042270</v>
      </c>
      <c r="B1046" t="s">
        <v>2918</v>
      </c>
      <c r="C1046" t="str">
        <f>"82523468"</f>
        <v>82523468</v>
      </c>
      <c r="D1046" t="s">
        <v>2919</v>
      </c>
      <c r="E1046" t="s">
        <v>2920</v>
      </c>
      <c r="F1046" t="s">
        <v>2921</v>
      </c>
      <c r="I1046" t="s">
        <v>29</v>
      </c>
      <c r="J1046" t="s">
        <v>30</v>
      </c>
      <c r="K1046" t="s">
        <v>31</v>
      </c>
      <c r="M1046" t="s">
        <v>32</v>
      </c>
      <c r="N1046" t="str">
        <f>"2/21/2005 12:00:00 AM"</f>
        <v>2/21/2005 12:00:00 AM</v>
      </c>
      <c r="O1046" t="s">
        <v>2919</v>
      </c>
      <c r="T1046" t="s">
        <v>2920</v>
      </c>
    </row>
    <row r="1047" spans="1:20" x14ac:dyDescent="0.25">
      <c r="A1047" t="str">
        <f>"3042264"</f>
        <v>3042264</v>
      </c>
      <c r="B1047" t="s">
        <v>2922</v>
      </c>
      <c r="C1047" t="str">
        <f>"82523416"</f>
        <v>82523416</v>
      </c>
      <c r="D1047" t="s">
        <v>2923</v>
      </c>
      <c r="F1047" t="s">
        <v>2924</v>
      </c>
      <c r="I1047" t="s">
        <v>29</v>
      </c>
      <c r="J1047" t="s">
        <v>30</v>
      </c>
      <c r="K1047" t="s">
        <v>2917</v>
      </c>
      <c r="M1047" t="s">
        <v>32</v>
      </c>
      <c r="N1047" t="str">
        <f>"1/26/2005 12:00:00 AM"</f>
        <v>1/26/2005 12:00:00 AM</v>
      </c>
      <c r="O1047" t="s">
        <v>2923</v>
      </c>
    </row>
    <row r="1048" spans="1:20" x14ac:dyDescent="0.25">
      <c r="A1048" t="str">
        <f>"3039805"</f>
        <v>3039805</v>
      </c>
      <c r="B1048" t="s">
        <v>2925</v>
      </c>
      <c r="C1048" t="str">
        <f>"12951370"</f>
        <v>12951370</v>
      </c>
      <c r="D1048" t="s">
        <v>2926</v>
      </c>
      <c r="E1048" t="s">
        <v>2927</v>
      </c>
      <c r="F1048" t="s">
        <v>2928</v>
      </c>
      <c r="I1048" t="s">
        <v>184</v>
      </c>
      <c r="J1048" t="s">
        <v>30</v>
      </c>
      <c r="K1048" t="s">
        <v>185</v>
      </c>
      <c r="M1048" t="s">
        <v>32</v>
      </c>
      <c r="N1048" t="str">
        <f>"12/4/2003 12:00:00 AM"</f>
        <v>12/4/2003 12:00:00 AM</v>
      </c>
      <c r="O1048" t="s">
        <v>2926</v>
      </c>
      <c r="T1048" t="s">
        <v>2927</v>
      </c>
    </row>
    <row r="1049" spans="1:20" x14ac:dyDescent="0.25">
      <c r="A1049" t="str">
        <f>"3042259"</f>
        <v>3042259</v>
      </c>
      <c r="B1049" t="s">
        <v>2929</v>
      </c>
      <c r="C1049" t="str">
        <f>"82525144"</f>
        <v>82525144</v>
      </c>
      <c r="D1049" t="s">
        <v>2930</v>
      </c>
      <c r="E1049" t="s">
        <v>2931</v>
      </c>
      <c r="F1049" t="s">
        <v>2932</v>
      </c>
      <c r="I1049" t="s">
        <v>29</v>
      </c>
      <c r="J1049" t="s">
        <v>30</v>
      </c>
      <c r="K1049" t="s">
        <v>2917</v>
      </c>
      <c r="M1049" t="s">
        <v>32</v>
      </c>
      <c r="N1049" t="str">
        <f>"1/12/2006 12:00:00 AM"</f>
        <v>1/12/2006 12:00:00 AM</v>
      </c>
      <c r="O1049" t="s">
        <v>2930</v>
      </c>
      <c r="T1049" t="s">
        <v>2931</v>
      </c>
    </row>
    <row r="1050" spans="1:20" x14ac:dyDescent="0.25">
      <c r="A1050" t="str">
        <f>"3051925"</f>
        <v>3051925</v>
      </c>
      <c r="B1050" t="s">
        <v>2933</v>
      </c>
      <c r="C1050" t="str">
        <f>"67478000"</f>
        <v>67478000</v>
      </c>
      <c r="D1050" t="s">
        <v>2934</v>
      </c>
      <c r="F1050" t="s">
        <v>2935</v>
      </c>
      <c r="I1050" t="s">
        <v>29</v>
      </c>
      <c r="J1050" t="s">
        <v>30</v>
      </c>
      <c r="K1050" t="s">
        <v>31</v>
      </c>
      <c r="M1050" t="s">
        <v>32</v>
      </c>
      <c r="N1050" t="str">
        <f>"5/12/2004 12:00:00 AM"</f>
        <v>5/12/2004 12:00:00 AM</v>
      </c>
      <c r="O1050" t="s">
        <v>2934</v>
      </c>
    </row>
    <row r="1051" spans="1:20" x14ac:dyDescent="0.25">
      <c r="A1051" t="str">
        <f>"3041013"</f>
        <v>3041013</v>
      </c>
      <c r="B1051" t="s">
        <v>2936</v>
      </c>
      <c r="C1051" t="str">
        <f>"82513286"</f>
        <v>82513286</v>
      </c>
      <c r="D1051" t="s">
        <v>2937</v>
      </c>
      <c r="E1051" t="s">
        <v>2938</v>
      </c>
      <c r="F1051" t="s">
        <v>2939</v>
      </c>
      <c r="I1051" t="s">
        <v>184</v>
      </c>
      <c r="J1051" t="s">
        <v>30</v>
      </c>
      <c r="K1051" t="s">
        <v>185</v>
      </c>
      <c r="M1051" t="s">
        <v>32</v>
      </c>
      <c r="N1051" t="str">
        <f>"9/11/2001 12:00:00 AM"</f>
        <v>9/11/2001 12:00:00 AM</v>
      </c>
      <c r="O1051" t="s">
        <v>2937</v>
      </c>
      <c r="T1051" t="s">
        <v>2938</v>
      </c>
    </row>
    <row r="1052" spans="1:20" x14ac:dyDescent="0.25">
      <c r="A1052" t="str">
        <f>"3040702"</f>
        <v>3040702</v>
      </c>
      <c r="B1052" t="s">
        <v>2940</v>
      </c>
      <c r="C1052" t="str">
        <f>"82516842"</f>
        <v>82516842</v>
      </c>
      <c r="D1052" t="s">
        <v>2941</v>
      </c>
      <c r="F1052" t="s">
        <v>2942</v>
      </c>
      <c r="I1052" t="s">
        <v>184</v>
      </c>
      <c r="J1052" t="s">
        <v>30</v>
      </c>
      <c r="K1052" t="s">
        <v>2943</v>
      </c>
      <c r="M1052" t="s">
        <v>32</v>
      </c>
      <c r="N1052" t="str">
        <f>"2/18/2005 12:00:00 AM"</f>
        <v>2/18/2005 12:00:00 AM</v>
      </c>
      <c r="O1052" t="s">
        <v>2941</v>
      </c>
    </row>
    <row r="1053" spans="1:20" x14ac:dyDescent="0.25">
      <c r="A1053" t="str">
        <f>"3040882"</f>
        <v>3040882</v>
      </c>
      <c r="B1053" t="s">
        <v>2944</v>
      </c>
      <c r="C1053" t="str">
        <f>"55524000"</f>
        <v>55524000</v>
      </c>
      <c r="D1053" t="s">
        <v>2945</v>
      </c>
      <c r="E1053" t="s">
        <v>2946</v>
      </c>
      <c r="F1053" t="s">
        <v>2947</v>
      </c>
      <c r="I1053" t="s">
        <v>184</v>
      </c>
      <c r="J1053" t="s">
        <v>30</v>
      </c>
      <c r="K1053" t="s">
        <v>185</v>
      </c>
      <c r="M1053" t="s">
        <v>32</v>
      </c>
      <c r="N1053" t="str">
        <f>"3/26/2004 12:00:00 AM"</f>
        <v>3/26/2004 12:00:00 AM</v>
      </c>
      <c r="O1053" t="s">
        <v>2945</v>
      </c>
      <c r="T1053" t="s">
        <v>2946</v>
      </c>
    </row>
    <row r="1054" spans="1:20" x14ac:dyDescent="0.25">
      <c r="A1054" t="str">
        <f>"3040765"</f>
        <v>3040765</v>
      </c>
      <c r="B1054" t="s">
        <v>2948</v>
      </c>
      <c r="C1054" t="str">
        <f>"57682950"</f>
        <v>57682950</v>
      </c>
      <c r="D1054" t="s">
        <v>2949</v>
      </c>
      <c r="E1054" t="s">
        <v>2950</v>
      </c>
      <c r="F1054" t="s">
        <v>2951</v>
      </c>
      <c r="I1054" t="s">
        <v>184</v>
      </c>
      <c r="J1054" t="s">
        <v>30</v>
      </c>
      <c r="K1054" t="s">
        <v>185</v>
      </c>
      <c r="M1054" t="s">
        <v>32</v>
      </c>
      <c r="N1054" t="str">
        <f>"4/11/2002 12:00:00 AM"</f>
        <v>4/11/2002 12:00:00 AM</v>
      </c>
      <c r="O1054" t="s">
        <v>2949</v>
      </c>
      <c r="T1054" t="s">
        <v>2950</v>
      </c>
    </row>
    <row r="1055" spans="1:20" x14ac:dyDescent="0.25">
      <c r="A1055" t="str">
        <f>"3077092"</f>
        <v>3077092</v>
      </c>
      <c r="B1055" t="s">
        <v>2952</v>
      </c>
      <c r="C1055" t="str">
        <f>"82516746"</f>
        <v>82516746</v>
      </c>
      <c r="D1055" t="s">
        <v>2679</v>
      </c>
      <c r="F1055" t="s">
        <v>2680</v>
      </c>
      <c r="I1055" t="s">
        <v>2681</v>
      </c>
      <c r="J1055" t="s">
        <v>30</v>
      </c>
      <c r="K1055" t="s">
        <v>2682</v>
      </c>
      <c r="M1055" t="s">
        <v>32</v>
      </c>
      <c r="N1055" t="str">
        <f>"5/25/2005 12:00:00 AM"</f>
        <v>5/25/2005 12:00:00 AM</v>
      </c>
      <c r="O1055" t="s">
        <v>2679</v>
      </c>
    </row>
    <row r="1056" spans="1:20" x14ac:dyDescent="0.25">
      <c r="A1056" t="str">
        <f>"3038195"</f>
        <v>3038195</v>
      </c>
      <c r="B1056" t="s">
        <v>2953</v>
      </c>
      <c r="C1056" t="str">
        <f>"76067000"</f>
        <v>76067000</v>
      </c>
      <c r="D1056" t="s">
        <v>2954</v>
      </c>
      <c r="E1056" t="s">
        <v>2955</v>
      </c>
      <c r="F1056" t="s">
        <v>2956</v>
      </c>
      <c r="I1056" t="s">
        <v>163</v>
      </c>
      <c r="J1056" t="s">
        <v>30</v>
      </c>
      <c r="K1056" t="s">
        <v>2356</v>
      </c>
      <c r="M1056" t="s">
        <v>32</v>
      </c>
      <c r="N1056" t="str">
        <f>"4/10/2002 12:00:00 AM"</f>
        <v>4/10/2002 12:00:00 AM</v>
      </c>
      <c r="O1056" t="s">
        <v>2954</v>
      </c>
      <c r="T1056" t="s">
        <v>2955</v>
      </c>
    </row>
    <row r="1057" spans="1:20" x14ac:dyDescent="0.25">
      <c r="A1057" t="str">
        <f>"3040665"</f>
        <v>3040665</v>
      </c>
      <c r="B1057" t="s">
        <v>2957</v>
      </c>
      <c r="C1057" t="str">
        <f>"82527126"</f>
        <v>82527126</v>
      </c>
      <c r="D1057" t="s">
        <v>2958</v>
      </c>
      <c r="F1057" t="s">
        <v>2959</v>
      </c>
      <c r="I1057" t="s">
        <v>184</v>
      </c>
      <c r="J1057" t="s">
        <v>30</v>
      </c>
      <c r="K1057" t="s">
        <v>185</v>
      </c>
      <c r="M1057" t="s">
        <v>32</v>
      </c>
      <c r="N1057" t="str">
        <f>"11/16/2006 12:00:00 AM"</f>
        <v>11/16/2006 12:00:00 AM</v>
      </c>
      <c r="O1057" t="s">
        <v>2958</v>
      </c>
    </row>
    <row r="1058" spans="1:20" x14ac:dyDescent="0.25">
      <c r="A1058" t="str">
        <f>"3040815"</f>
        <v>3040815</v>
      </c>
      <c r="B1058" t="s">
        <v>2960</v>
      </c>
      <c r="C1058" t="str">
        <f>"16073750"</f>
        <v>16073750</v>
      </c>
      <c r="D1058" t="s">
        <v>2961</v>
      </c>
      <c r="E1058" t="s">
        <v>2962</v>
      </c>
      <c r="F1058" t="s">
        <v>2963</v>
      </c>
      <c r="I1058" t="s">
        <v>184</v>
      </c>
      <c r="J1058" t="s">
        <v>30</v>
      </c>
      <c r="K1058" t="s">
        <v>185</v>
      </c>
      <c r="M1058" t="s">
        <v>32</v>
      </c>
      <c r="N1058" t="str">
        <f>"6/27/2003 12:00:00 AM"</f>
        <v>6/27/2003 12:00:00 AM</v>
      </c>
      <c r="O1058" t="s">
        <v>2961</v>
      </c>
      <c r="T1058" t="s">
        <v>2962</v>
      </c>
    </row>
    <row r="1059" spans="1:20" x14ac:dyDescent="0.25">
      <c r="A1059" t="str">
        <f>"3040272"</f>
        <v>3040272</v>
      </c>
      <c r="B1059" t="s">
        <v>2964</v>
      </c>
      <c r="C1059" t="str">
        <f>"16073750"</f>
        <v>16073750</v>
      </c>
      <c r="D1059" t="s">
        <v>2961</v>
      </c>
      <c r="E1059" t="s">
        <v>2962</v>
      </c>
      <c r="F1059" t="s">
        <v>2963</v>
      </c>
      <c r="I1059" t="s">
        <v>184</v>
      </c>
      <c r="J1059" t="s">
        <v>30</v>
      </c>
      <c r="K1059" t="s">
        <v>185</v>
      </c>
      <c r="M1059" t="s">
        <v>32</v>
      </c>
      <c r="N1059" t="str">
        <f>"6/27/2003 12:00:00 AM"</f>
        <v>6/27/2003 12:00:00 AM</v>
      </c>
      <c r="O1059" t="s">
        <v>2961</v>
      </c>
      <c r="T1059" t="s">
        <v>2962</v>
      </c>
    </row>
    <row r="1060" spans="1:20" x14ac:dyDescent="0.25">
      <c r="A1060" t="str">
        <f>"3040627"</f>
        <v>3040627</v>
      </c>
      <c r="B1060" t="s">
        <v>2965</v>
      </c>
      <c r="C1060" t="str">
        <f>"66352500"</f>
        <v>66352500</v>
      </c>
      <c r="D1060" t="s">
        <v>2966</v>
      </c>
      <c r="E1060" t="s">
        <v>2967</v>
      </c>
      <c r="F1060" t="s">
        <v>2968</v>
      </c>
      <c r="I1060" t="s">
        <v>184</v>
      </c>
      <c r="J1060" t="s">
        <v>30</v>
      </c>
      <c r="K1060" t="s">
        <v>2969</v>
      </c>
      <c r="M1060" t="s">
        <v>32</v>
      </c>
      <c r="N1060" t="str">
        <f>"2/10/2010 12:00:00 AM"</f>
        <v>2/10/2010 12:00:00 AM</v>
      </c>
      <c r="O1060" t="s">
        <v>2966</v>
      </c>
      <c r="T1060" t="s">
        <v>2967</v>
      </c>
    </row>
    <row r="1061" spans="1:20" x14ac:dyDescent="0.25">
      <c r="A1061" t="str">
        <f>"3038545"</f>
        <v>3038545</v>
      </c>
      <c r="B1061" t="s">
        <v>2970</v>
      </c>
      <c r="C1061" t="str">
        <f>"69338500"</f>
        <v>69338500</v>
      </c>
      <c r="D1061" t="s">
        <v>1282</v>
      </c>
      <c r="E1061" t="s">
        <v>2971</v>
      </c>
      <c r="F1061" t="s">
        <v>1283</v>
      </c>
      <c r="I1061" t="s">
        <v>29</v>
      </c>
      <c r="J1061" t="s">
        <v>30</v>
      </c>
      <c r="K1061" t="s">
        <v>2972</v>
      </c>
      <c r="M1061" t="s">
        <v>32</v>
      </c>
      <c r="N1061" t="str">
        <f>"4/27/2010 12:00:00 AM"</f>
        <v>4/27/2010 12:00:00 AM</v>
      </c>
      <c r="O1061" t="s">
        <v>1282</v>
      </c>
      <c r="T1061" t="s">
        <v>2971</v>
      </c>
    </row>
    <row r="1062" spans="1:20" x14ac:dyDescent="0.25">
      <c r="A1062" t="str">
        <f>"3042037"</f>
        <v>3042037</v>
      </c>
      <c r="B1062" t="s">
        <v>2973</v>
      </c>
      <c r="C1062" t="str">
        <f>"26341000"</f>
        <v>26341000</v>
      </c>
      <c r="D1062" t="s">
        <v>2974</v>
      </c>
      <c r="E1062" t="s">
        <v>2975</v>
      </c>
      <c r="F1062" t="s">
        <v>2976</v>
      </c>
      <c r="I1062" t="s">
        <v>184</v>
      </c>
      <c r="J1062" t="s">
        <v>30</v>
      </c>
      <c r="K1062" t="s">
        <v>2977</v>
      </c>
      <c r="M1062" t="s">
        <v>32</v>
      </c>
      <c r="N1062" t="str">
        <f>"1/25/2006 12:00:00 AM"</f>
        <v>1/25/2006 12:00:00 AM</v>
      </c>
      <c r="O1062" t="s">
        <v>2974</v>
      </c>
      <c r="T1062" t="s">
        <v>2975</v>
      </c>
    </row>
    <row r="1063" spans="1:20" x14ac:dyDescent="0.25">
      <c r="A1063" t="str">
        <f>"3040885"</f>
        <v>3040885</v>
      </c>
      <c r="B1063" t="s">
        <v>2978</v>
      </c>
      <c r="C1063" t="str">
        <f>"82527996"</f>
        <v>82527996</v>
      </c>
      <c r="D1063" t="s">
        <v>2979</v>
      </c>
      <c r="F1063" t="s">
        <v>2980</v>
      </c>
      <c r="I1063" t="s">
        <v>184</v>
      </c>
      <c r="J1063" t="s">
        <v>30</v>
      </c>
      <c r="K1063" t="s">
        <v>185</v>
      </c>
      <c r="M1063" t="s">
        <v>32</v>
      </c>
      <c r="N1063" t="str">
        <f>"5/21/2007 12:00:00 AM"</f>
        <v>5/21/2007 12:00:00 AM</v>
      </c>
      <c r="O1063" t="s">
        <v>2979</v>
      </c>
    </row>
    <row r="1064" spans="1:20" x14ac:dyDescent="0.25">
      <c r="A1064" t="str">
        <f>"3040940"</f>
        <v>3040940</v>
      </c>
      <c r="B1064" t="s">
        <v>2981</v>
      </c>
      <c r="C1064" t="str">
        <f>"22460500"</f>
        <v>22460500</v>
      </c>
      <c r="D1064" t="s">
        <v>2982</v>
      </c>
      <c r="F1064" t="s">
        <v>2983</v>
      </c>
      <c r="I1064" t="s">
        <v>184</v>
      </c>
      <c r="J1064" t="s">
        <v>30</v>
      </c>
      <c r="K1064" t="s">
        <v>2984</v>
      </c>
      <c r="M1064" t="s">
        <v>32</v>
      </c>
      <c r="N1064" t="str">
        <f>"2/27/2006 12:00:00 AM"</f>
        <v>2/27/2006 12:00:00 AM</v>
      </c>
      <c r="O1064" t="s">
        <v>2982</v>
      </c>
    </row>
    <row r="1065" spans="1:20" x14ac:dyDescent="0.25">
      <c r="A1065" t="str">
        <f>"3040971"</f>
        <v>3040971</v>
      </c>
      <c r="B1065" t="s">
        <v>2985</v>
      </c>
      <c r="C1065" t="str">
        <f>"22460500"</f>
        <v>22460500</v>
      </c>
      <c r="D1065" t="s">
        <v>2982</v>
      </c>
      <c r="F1065" t="s">
        <v>2983</v>
      </c>
      <c r="I1065" t="s">
        <v>184</v>
      </c>
      <c r="J1065" t="s">
        <v>30</v>
      </c>
      <c r="K1065" t="s">
        <v>2984</v>
      </c>
      <c r="M1065" t="s">
        <v>32</v>
      </c>
      <c r="N1065" t="str">
        <f>"2/27/2006 12:00:00 AM"</f>
        <v>2/27/2006 12:00:00 AM</v>
      </c>
      <c r="O1065" t="s">
        <v>2982</v>
      </c>
    </row>
    <row r="1066" spans="1:20" x14ac:dyDescent="0.25">
      <c r="A1066" t="str">
        <f>"3040269"</f>
        <v>3040269</v>
      </c>
      <c r="B1066" t="s">
        <v>2986</v>
      </c>
      <c r="C1066" t="str">
        <f>"37728000"</f>
        <v>37728000</v>
      </c>
      <c r="D1066" t="s">
        <v>2987</v>
      </c>
      <c r="E1066" t="s">
        <v>2988</v>
      </c>
      <c r="F1066" t="s">
        <v>2989</v>
      </c>
      <c r="I1066" t="s">
        <v>471</v>
      </c>
      <c r="J1066" t="s">
        <v>30</v>
      </c>
      <c r="K1066" t="s">
        <v>1210</v>
      </c>
      <c r="M1066" t="s">
        <v>32</v>
      </c>
      <c r="N1066" t="str">
        <f>"10/23/2003 12:00:00 AM"</f>
        <v>10/23/2003 12:00:00 AM</v>
      </c>
      <c r="O1066" t="s">
        <v>2987</v>
      </c>
      <c r="T1066" t="s">
        <v>2988</v>
      </c>
    </row>
    <row r="1067" spans="1:20" x14ac:dyDescent="0.25">
      <c r="A1067" t="str">
        <f>"3040887"</f>
        <v>3040887</v>
      </c>
      <c r="B1067" t="s">
        <v>2990</v>
      </c>
      <c r="C1067" t="str">
        <f>"82515711"</f>
        <v>82515711</v>
      </c>
      <c r="D1067" t="s">
        <v>2991</v>
      </c>
      <c r="E1067" t="s">
        <v>2992</v>
      </c>
      <c r="F1067" t="s">
        <v>2993</v>
      </c>
      <c r="I1067" t="s">
        <v>184</v>
      </c>
      <c r="J1067" t="s">
        <v>30</v>
      </c>
      <c r="K1067" t="s">
        <v>2984</v>
      </c>
      <c r="M1067" t="s">
        <v>32</v>
      </c>
      <c r="N1067" t="str">
        <f>"2/7/2006 12:00:00 AM"</f>
        <v>2/7/2006 12:00:00 AM</v>
      </c>
      <c r="O1067" t="s">
        <v>2991</v>
      </c>
      <c r="T1067" t="s">
        <v>2992</v>
      </c>
    </row>
    <row r="1068" spans="1:20" x14ac:dyDescent="0.25">
      <c r="A1068" t="str">
        <f>"3038490"</f>
        <v>3038490</v>
      </c>
      <c r="B1068" t="s">
        <v>2994</v>
      </c>
      <c r="C1068" t="str">
        <f>"14550000"</f>
        <v>14550000</v>
      </c>
      <c r="D1068" t="s">
        <v>2712</v>
      </c>
      <c r="F1068" t="str">
        <f>"C/O EVERETTE EATON"</f>
        <v>C/O EVERETTE EATON</v>
      </c>
      <c r="G1068" t="s">
        <v>2713</v>
      </c>
      <c r="I1068" t="s">
        <v>29</v>
      </c>
      <c r="J1068" t="s">
        <v>30</v>
      </c>
      <c r="K1068" t="s">
        <v>31</v>
      </c>
      <c r="M1068" t="s">
        <v>32</v>
      </c>
      <c r="N1068" t="str">
        <f>"6/24/2003 12:00:00 AM"</f>
        <v>6/24/2003 12:00:00 AM</v>
      </c>
      <c r="O1068" t="s">
        <v>2712</v>
      </c>
    </row>
    <row r="1069" spans="1:20" x14ac:dyDescent="0.25">
      <c r="A1069" t="str">
        <f>"3038628"</f>
        <v>3038628</v>
      </c>
      <c r="B1069" t="s">
        <v>2995</v>
      </c>
      <c r="C1069" t="str">
        <f>"82525296"</f>
        <v>82525296</v>
      </c>
      <c r="D1069" t="s">
        <v>2996</v>
      </c>
      <c r="E1069" t="s">
        <v>2997</v>
      </c>
      <c r="F1069" t="s">
        <v>2998</v>
      </c>
      <c r="I1069" t="s">
        <v>2999</v>
      </c>
      <c r="J1069" t="s">
        <v>30</v>
      </c>
      <c r="K1069" t="s">
        <v>2747</v>
      </c>
      <c r="M1069" t="s">
        <v>32</v>
      </c>
      <c r="N1069" t="str">
        <f>"3/30/2007 12:00:00 AM"</f>
        <v>3/30/2007 12:00:00 AM</v>
      </c>
      <c r="O1069" t="s">
        <v>2996</v>
      </c>
      <c r="T1069" t="s">
        <v>2997</v>
      </c>
    </row>
    <row r="1070" spans="1:20" x14ac:dyDescent="0.25">
      <c r="A1070" t="str">
        <f>"3040790"</f>
        <v>3040790</v>
      </c>
      <c r="B1070" t="s">
        <v>3000</v>
      </c>
      <c r="C1070" t="str">
        <f>"82520691"</f>
        <v>82520691</v>
      </c>
      <c r="D1070" t="s">
        <v>3001</v>
      </c>
      <c r="F1070" t="s">
        <v>3002</v>
      </c>
      <c r="I1070" t="s">
        <v>184</v>
      </c>
      <c r="J1070" t="s">
        <v>30</v>
      </c>
      <c r="K1070" t="s">
        <v>3003</v>
      </c>
      <c r="M1070" t="s">
        <v>32</v>
      </c>
      <c r="N1070" t="str">
        <f>"1/23/2004 12:00:00 AM"</f>
        <v>1/23/2004 12:00:00 AM</v>
      </c>
      <c r="O1070" t="s">
        <v>3001</v>
      </c>
    </row>
    <row r="1071" spans="1:20" x14ac:dyDescent="0.25">
      <c r="A1071" t="str">
        <f>"3040711"</f>
        <v>3040711</v>
      </c>
      <c r="B1071" t="s">
        <v>3004</v>
      </c>
      <c r="C1071" t="str">
        <f>"82514714"</f>
        <v>82514714</v>
      </c>
      <c r="D1071" t="s">
        <v>3005</v>
      </c>
      <c r="E1071" t="s">
        <v>3006</v>
      </c>
      <c r="F1071" t="s">
        <v>3007</v>
      </c>
      <c r="I1071" t="s">
        <v>184</v>
      </c>
      <c r="J1071" t="s">
        <v>30</v>
      </c>
      <c r="K1071" t="s">
        <v>3003</v>
      </c>
      <c r="M1071" t="s">
        <v>32</v>
      </c>
      <c r="N1071" t="str">
        <f>"4/15/2002 12:00:00 AM"</f>
        <v>4/15/2002 12:00:00 AM</v>
      </c>
      <c r="O1071" t="s">
        <v>3005</v>
      </c>
      <c r="T1071" t="s">
        <v>3006</v>
      </c>
    </row>
    <row r="1072" spans="1:20" x14ac:dyDescent="0.25">
      <c r="A1072" t="str">
        <f>"3038540"</f>
        <v>3038540</v>
      </c>
      <c r="B1072" t="s">
        <v>3008</v>
      </c>
      <c r="C1072" t="str">
        <f>"82514216"</f>
        <v>82514216</v>
      </c>
      <c r="D1072" t="s">
        <v>3009</v>
      </c>
      <c r="F1072" t="s">
        <v>3010</v>
      </c>
      <c r="I1072" t="s">
        <v>29</v>
      </c>
      <c r="J1072" t="s">
        <v>30</v>
      </c>
      <c r="K1072" t="s">
        <v>31</v>
      </c>
      <c r="M1072" t="s">
        <v>32</v>
      </c>
      <c r="N1072" t="str">
        <f>"7/26/2004 12:00:00 AM"</f>
        <v>7/26/2004 12:00:00 AM</v>
      </c>
      <c r="O1072" t="s">
        <v>3009</v>
      </c>
    </row>
    <row r="1073" spans="1:20" x14ac:dyDescent="0.25">
      <c r="A1073" t="str">
        <f>"3076922"</f>
        <v>3076922</v>
      </c>
      <c r="B1073" t="s">
        <v>3011</v>
      </c>
      <c r="C1073" t="str">
        <f>"2803000"</f>
        <v>2803000</v>
      </c>
      <c r="D1073" t="s">
        <v>3012</v>
      </c>
      <c r="E1073" t="s">
        <v>3013</v>
      </c>
      <c r="F1073" t="s">
        <v>3014</v>
      </c>
      <c r="I1073" t="s">
        <v>184</v>
      </c>
      <c r="J1073" t="s">
        <v>30</v>
      </c>
      <c r="K1073" t="s">
        <v>185</v>
      </c>
      <c r="M1073" t="s">
        <v>32</v>
      </c>
      <c r="N1073" t="str">
        <f>"1/22/2004 12:00:00 AM"</f>
        <v>1/22/2004 12:00:00 AM</v>
      </c>
      <c r="O1073" t="s">
        <v>3012</v>
      </c>
      <c r="T1073" t="s">
        <v>3013</v>
      </c>
    </row>
    <row r="1074" spans="1:20" x14ac:dyDescent="0.25">
      <c r="A1074" t="str">
        <f>"3040713"</f>
        <v>3040713</v>
      </c>
      <c r="B1074" t="s">
        <v>3015</v>
      </c>
      <c r="C1074" t="str">
        <f>"61178000"</f>
        <v>61178000</v>
      </c>
      <c r="D1074" t="s">
        <v>3016</v>
      </c>
      <c r="E1074" t="s">
        <v>3017</v>
      </c>
      <c r="F1074" t="s">
        <v>3018</v>
      </c>
      <c r="I1074" t="s">
        <v>184</v>
      </c>
      <c r="J1074" t="s">
        <v>30</v>
      </c>
      <c r="K1074" t="s">
        <v>3019</v>
      </c>
      <c r="M1074" t="s">
        <v>32</v>
      </c>
      <c r="N1074" t="str">
        <f>"5/12/2009 12:00:00 AM"</f>
        <v>5/12/2009 12:00:00 AM</v>
      </c>
      <c r="O1074" t="s">
        <v>3016</v>
      </c>
      <c r="T1074" t="s">
        <v>3017</v>
      </c>
    </row>
    <row r="1075" spans="1:20" x14ac:dyDescent="0.25">
      <c r="A1075" t="str">
        <f>"3040364"</f>
        <v>3040364</v>
      </c>
      <c r="B1075" t="s">
        <v>3020</v>
      </c>
      <c r="C1075" t="str">
        <f>"61178000"</f>
        <v>61178000</v>
      </c>
      <c r="D1075" t="s">
        <v>3016</v>
      </c>
      <c r="E1075" t="s">
        <v>3017</v>
      </c>
      <c r="F1075" t="s">
        <v>3018</v>
      </c>
      <c r="I1075" t="s">
        <v>184</v>
      </c>
      <c r="J1075" t="s">
        <v>30</v>
      </c>
      <c r="K1075" t="s">
        <v>3019</v>
      </c>
      <c r="M1075" t="s">
        <v>32</v>
      </c>
      <c r="N1075" t="str">
        <f>"5/12/2009 12:00:00 AM"</f>
        <v>5/12/2009 12:00:00 AM</v>
      </c>
      <c r="O1075" t="s">
        <v>3016</v>
      </c>
      <c r="T1075" t="s">
        <v>3017</v>
      </c>
    </row>
    <row r="1076" spans="1:20" x14ac:dyDescent="0.25">
      <c r="A1076" t="str">
        <f>"3040774"</f>
        <v>3040774</v>
      </c>
      <c r="B1076" t="s">
        <v>3021</v>
      </c>
      <c r="C1076" t="str">
        <f>"3962620"</f>
        <v>3962620</v>
      </c>
      <c r="D1076" t="s">
        <v>3022</v>
      </c>
      <c r="F1076" t="s">
        <v>3023</v>
      </c>
      <c r="I1076" t="s">
        <v>184</v>
      </c>
      <c r="J1076" t="s">
        <v>30</v>
      </c>
      <c r="K1076" t="s">
        <v>185</v>
      </c>
      <c r="M1076" t="s">
        <v>32</v>
      </c>
      <c r="N1076" t="str">
        <f>"4/15/2002 12:00:00 AM"</f>
        <v>4/15/2002 12:00:00 AM</v>
      </c>
      <c r="O1076" t="s">
        <v>3022</v>
      </c>
    </row>
    <row r="1077" spans="1:20" x14ac:dyDescent="0.25">
      <c r="A1077" t="str">
        <f>"3040890"</f>
        <v>3040890</v>
      </c>
      <c r="B1077" t="s">
        <v>3024</v>
      </c>
      <c r="C1077" t="str">
        <f>"24280000"</f>
        <v>24280000</v>
      </c>
      <c r="D1077" t="s">
        <v>3025</v>
      </c>
      <c r="E1077" t="s">
        <v>3026</v>
      </c>
      <c r="F1077" t="s">
        <v>3027</v>
      </c>
      <c r="I1077" t="s">
        <v>184</v>
      </c>
      <c r="J1077" t="s">
        <v>30</v>
      </c>
      <c r="K1077" t="s">
        <v>185</v>
      </c>
      <c r="M1077" t="s">
        <v>32</v>
      </c>
      <c r="N1077" t="str">
        <f>"1/22/2004 12:00:00 AM"</f>
        <v>1/22/2004 12:00:00 AM</v>
      </c>
      <c r="O1077" t="s">
        <v>3025</v>
      </c>
      <c r="T1077" t="s">
        <v>3026</v>
      </c>
    </row>
    <row r="1078" spans="1:20" x14ac:dyDescent="0.25">
      <c r="A1078" t="str">
        <f>"3038629"</f>
        <v>3038629</v>
      </c>
      <c r="B1078" t="s">
        <v>3028</v>
      </c>
      <c r="C1078" t="str">
        <f>"82514215"</f>
        <v>82514215</v>
      </c>
      <c r="D1078" t="s">
        <v>3029</v>
      </c>
      <c r="E1078" t="s">
        <v>3030</v>
      </c>
      <c r="F1078" t="s">
        <v>3031</v>
      </c>
      <c r="I1078" t="s">
        <v>29</v>
      </c>
      <c r="J1078" t="s">
        <v>30</v>
      </c>
      <c r="K1078" t="s">
        <v>31</v>
      </c>
      <c r="M1078" t="s">
        <v>32</v>
      </c>
      <c r="N1078" t="str">
        <f>"2/13/2007 12:00:00 AM"</f>
        <v>2/13/2007 12:00:00 AM</v>
      </c>
      <c r="O1078" t="s">
        <v>3029</v>
      </c>
      <c r="T1078" t="s">
        <v>3030</v>
      </c>
    </row>
    <row r="1079" spans="1:20" x14ac:dyDescent="0.25">
      <c r="A1079" t="str">
        <f>"3040944"</f>
        <v>3040944</v>
      </c>
      <c r="B1079" t="s">
        <v>3032</v>
      </c>
      <c r="C1079" t="str">
        <f>"52914000"</f>
        <v>52914000</v>
      </c>
      <c r="D1079" t="s">
        <v>3033</v>
      </c>
      <c r="F1079" t="s">
        <v>3034</v>
      </c>
      <c r="I1079" t="s">
        <v>184</v>
      </c>
      <c r="J1079" t="s">
        <v>30</v>
      </c>
      <c r="K1079" t="s">
        <v>185</v>
      </c>
      <c r="M1079" t="s">
        <v>32</v>
      </c>
      <c r="N1079" t="str">
        <f>"3/11/2004 12:00:00 AM"</f>
        <v>3/11/2004 12:00:00 AM</v>
      </c>
      <c r="O1079" t="s">
        <v>3033</v>
      </c>
    </row>
    <row r="1080" spans="1:20" x14ac:dyDescent="0.25">
      <c r="A1080" t="str">
        <f>"3040298"</f>
        <v>3040298</v>
      </c>
      <c r="B1080" t="s">
        <v>3035</v>
      </c>
      <c r="C1080" t="str">
        <f>"52914000"</f>
        <v>52914000</v>
      </c>
      <c r="D1080" t="s">
        <v>3033</v>
      </c>
      <c r="F1080" t="s">
        <v>3034</v>
      </c>
      <c r="I1080" t="s">
        <v>184</v>
      </c>
      <c r="J1080" t="s">
        <v>30</v>
      </c>
      <c r="K1080" t="s">
        <v>185</v>
      </c>
      <c r="M1080" t="s">
        <v>32</v>
      </c>
      <c r="N1080" t="str">
        <f>"3/11/2004 12:00:00 AM"</f>
        <v>3/11/2004 12:00:00 AM</v>
      </c>
      <c r="O1080" t="s">
        <v>3033</v>
      </c>
    </row>
    <row r="1081" spans="1:20" x14ac:dyDescent="0.25">
      <c r="A1081" t="str">
        <f>"3037913"</f>
        <v>3037913</v>
      </c>
      <c r="B1081" t="s">
        <v>3036</v>
      </c>
      <c r="C1081" t="str">
        <f>"82514215"</f>
        <v>82514215</v>
      </c>
      <c r="D1081" t="s">
        <v>3029</v>
      </c>
      <c r="E1081" t="s">
        <v>3030</v>
      </c>
      <c r="F1081" t="s">
        <v>3031</v>
      </c>
      <c r="I1081" t="s">
        <v>29</v>
      </c>
      <c r="J1081" t="s">
        <v>30</v>
      </c>
      <c r="K1081" t="s">
        <v>31</v>
      </c>
      <c r="M1081" t="s">
        <v>32</v>
      </c>
      <c r="N1081" t="str">
        <f>"2/13/2007 12:00:00 AM"</f>
        <v>2/13/2007 12:00:00 AM</v>
      </c>
      <c r="O1081" t="s">
        <v>3029</v>
      </c>
      <c r="T1081" t="s">
        <v>3030</v>
      </c>
    </row>
    <row r="1082" spans="1:20" x14ac:dyDescent="0.25">
      <c r="A1082" t="str">
        <f>"3038204"</f>
        <v>3038204</v>
      </c>
      <c r="B1082" t="s">
        <v>3037</v>
      </c>
      <c r="C1082" t="str">
        <f>"82514215"</f>
        <v>82514215</v>
      </c>
      <c r="D1082" t="s">
        <v>3029</v>
      </c>
      <c r="E1082" t="s">
        <v>3030</v>
      </c>
      <c r="F1082" t="s">
        <v>3031</v>
      </c>
      <c r="I1082" t="s">
        <v>29</v>
      </c>
      <c r="J1082" t="s">
        <v>30</v>
      </c>
      <c r="K1082" t="s">
        <v>31</v>
      </c>
      <c r="M1082" t="s">
        <v>32</v>
      </c>
      <c r="N1082" t="str">
        <f>"2/13/2007 12:00:00 AM"</f>
        <v>2/13/2007 12:00:00 AM</v>
      </c>
      <c r="O1082" t="s">
        <v>3029</v>
      </c>
      <c r="T1082" t="s">
        <v>3030</v>
      </c>
    </row>
    <row r="1083" spans="1:20" x14ac:dyDescent="0.25">
      <c r="A1083" t="str">
        <f>"3038463"</f>
        <v>3038463</v>
      </c>
      <c r="B1083" t="s">
        <v>3038</v>
      </c>
      <c r="C1083" t="str">
        <f>"82521705"</f>
        <v>82521705</v>
      </c>
      <c r="D1083" t="s">
        <v>2776</v>
      </c>
      <c r="E1083" t="s">
        <v>2777</v>
      </c>
      <c r="F1083" t="s">
        <v>2778</v>
      </c>
      <c r="I1083" t="s">
        <v>29</v>
      </c>
      <c r="J1083" t="s">
        <v>30</v>
      </c>
      <c r="K1083" t="s">
        <v>2779</v>
      </c>
      <c r="M1083" t="s">
        <v>32</v>
      </c>
      <c r="N1083" t="str">
        <f>"9/15/2005 12:00:00 AM"</f>
        <v>9/15/2005 12:00:00 AM</v>
      </c>
      <c r="O1083" t="s">
        <v>2776</v>
      </c>
      <c r="T1083" t="s">
        <v>2777</v>
      </c>
    </row>
    <row r="1084" spans="1:20" x14ac:dyDescent="0.25">
      <c r="A1084" t="str">
        <f>"3038618"</f>
        <v>3038618</v>
      </c>
      <c r="B1084" t="s">
        <v>3039</v>
      </c>
      <c r="C1084" t="str">
        <f>"82519667"</f>
        <v>82519667</v>
      </c>
      <c r="D1084" t="s">
        <v>3040</v>
      </c>
      <c r="F1084" t="s">
        <v>3041</v>
      </c>
      <c r="I1084" t="s">
        <v>29</v>
      </c>
      <c r="J1084" t="s">
        <v>30</v>
      </c>
      <c r="K1084" t="s">
        <v>31</v>
      </c>
      <c r="M1084" t="s">
        <v>32</v>
      </c>
      <c r="N1084" t="str">
        <f>"10/30/2002 12:00:00 AM"</f>
        <v>10/30/2002 12:00:00 AM</v>
      </c>
      <c r="O1084" t="s">
        <v>3040</v>
      </c>
    </row>
    <row r="1085" spans="1:20" x14ac:dyDescent="0.25">
      <c r="A1085" t="str">
        <f>"3066184"</f>
        <v>3066184</v>
      </c>
      <c r="B1085" t="s">
        <v>3042</v>
      </c>
      <c r="C1085" t="str">
        <f>"7945800"</f>
        <v>7945800</v>
      </c>
      <c r="D1085" t="s">
        <v>3043</v>
      </c>
      <c r="E1085" t="s">
        <v>3044</v>
      </c>
      <c r="F1085" t="s">
        <v>3045</v>
      </c>
      <c r="I1085" t="s">
        <v>29</v>
      </c>
      <c r="J1085" t="s">
        <v>30</v>
      </c>
      <c r="K1085" t="s">
        <v>31</v>
      </c>
      <c r="M1085" t="s">
        <v>32</v>
      </c>
      <c r="N1085" t="str">
        <f>"1/22/2004 12:00:00 AM"</f>
        <v>1/22/2004 12:00:00 AM</v>
      </c>
      <c r="O1085" t="s">
        <v>3043</v>
      </c>
      <c r="T1085" t="s">
        <v>3044</v>
      </c>
    </row>
    <row r="1086" spans="1:20" x14ac:dyDescent="0.25">
      <c r="A1086" t="str">
        <f>"3040871"</f>
        <v>3040871</v>
      </c>
      <c r="B1086" t="s">
        <v>3046</v>
      </c>
      <c r="C1086" t="str">
        <f>"82517938"</f>
        <v>82517938</v>
      </c>
      <c r="D1086" t="s">
        <v>3047</v>
      </c>
      <c r="F1086" t="s">
        <v>3048</v>
      </c>
      <c r="I1086" t="s">
        <v>184</v>
      </c>
      <c r="J1086" t="s">
        <v>30</v>
      </c>
      <c r="K1086" t="s">
        <v>185</v>
      </c>
      <c r="M1086" t="s">
        <v>32</v>
      </c>
      <c r="N1086" t="str">
        <f>"2/22/2002 12:00:00 AM"</f>
        <v>2/22/2002 12:00:00 AM</v>
      </c>
      <c r="O1086" t="s">
        <v>3047</v>
      </c>
    </row>
    <row r="1087" spans="1:20" x14ac:dyDescent="0.25">
      <c r="A1087" t="str">
        <f>"3040346"</f>
        <v>3040346</v>
      </c>
      <c r="B1087" t="s">
        <v>3049</v>
      </c>
      <c r="C1087" t="str">
        <f>"82517938"</f>
        <v>82517938</v>
      </c>
      <c r="D1087" t="s">
        <v>3047</v>
      </c>
      <c r="F1087" t="s">
        <v>3048</v>
      </c>
      <c r="I1087" t="s">
        <v>184</v>
      </c>
      <c r="J1087" t="s">
        <v>30</v>
      </c>
      <c r="K1087" t="s">
        <v>185</v>
      </c>
      <c r="M1087" t="s">
        <v>32</v>
      </c>
      <c r="N1087" t="str">
        <f>"2/22/2002 12:00:00 AM"</f>
        <v>2/22/2002 12:00:00 AM</v>
      </c>
      <c r="O1087" t="s">
        <v>3047</v>
      </c>
    </row>
    <row r="1088" spans="1:20" x14ac:dyDescent="0.25">
      <c r="A1088" t="str">
        <f>"3076928"</f>
        <v>3076928</v>
      </c>
      <c r="B1088" t="s">
        <v>3050</v>
      </c>
      <c r="C1088" t="str">
        <f>"37670000"</f>
        <v>37670000</v>
      </c>
      <c r="D1088" t="s">
        <v>3051</v>
      </c>
      <c r="F1088" t="s">
        <v>3052</v>
      </c>
      <c r="I1088" t="s">
        <v>184</v>
      </c>
      <c r="J1088" t="s">
        <v>30</v>
      </c>
      <c r="K1088" t="s">
        <v>185</v>
      </c>
      <c r="M1088" t="s">
        <v>32</v>
      </c>
      <c r="N1088" t="str">
        <f>"4/3/2009 12:00:00 AM"</f>
        <v>4/3/2009 12:00:00 AM</v>
      </c>
      <c r="O1088" t="s">
        <v>3051</v>
      </c>
    </row>
    <row r="1089" spans="1:20" x14ac:dyDescent="0.25">
      <c r="A1089" t="str">
        <f>"3040874"</f>
        <v>3040874</v>
      </c>
      <c r="B1089" t="s">
        <v>3053</v>
      </c>
      <c r="C1089" t="str">
        <f>"76909600"</f>
        <v>76909600</v>
      </c>
      <c r="D1089" t="s">
        <v>3054</v>
      </c>
      <c r="F1089" t="str">
        <f>"C/O SARAH ELIZABETH WISHON"</f>
        <v>C/O SARAH ELIZABETH WISHON</v>
      </c>
      <c r="G1089" t="s">
        <v>3055</v>
      </c>
      <c r="I1089" t="s">
        <v>184</v>
      </c>
      <c r="J1089" t="s">
        <v>30</v>
      </c>
      <c r="K1089" t="s">
        <v>3056</v>
      </c>
      <c r="M1089" t="s">
        <v>32</v>
      </c>
      <c r="N1089" t="str">
        <f>"2/21/2005 12:00:00 AM"</f>
        <v>2/21/2005 12:00:00 AM</v>
      </c>
      <c r="O1089" t="s">
        <v>3054</v>
      </c>
    </row>
    <row r="1090" spans="1:20" x14ac:dyDescent="0.25">
      <c r="A1090" t="str">
        <f>"3070433"</f>
        <v>3070433</v>
      </c>
      <c r="B1090" t="s">
        <v>3057</v>
      </c>
      <c r="C1090" t="str">
        <f>"7692250"</f>
        <v>7692250</v>
      </c>
      <c r="D1090" t="s">
        <v>3058</v>
      </c>
      <c r="E1090" t="s">
        <v>3059</v>
      </c>
      <c r="F1090" t="s">
        <v>3060</v>
      </c>
      <c r="I1090" t="s">
        <v>184</v>
      </c>
      <c r="J1090" t="s">
        <v>30</v>
      </c>
      <c r="K1090" t="s">
        <v>185</v>
      </c>
      <c r="M1090" t="s">
        <v>32</v>
      </c>
      <c r="N1090" t="str">
        <f>"6/3/2003 12:00:00 AM"</f>
        <v>6/3/2003 12:00:00 AM</v>
      </c>
      <c r="O1090" t="s">
        <v>3058</v>
      </c>
      <c r="T1090" t="s">
        <v>3059</v>
      </c>
    </row>
    <row r="1091" spans="1:20" x14ac:dyDescent="0.25">
      <c r="A1091" t="str">
        <f>"3037801"</f>
        <v>3037801</v>
      </c>
      <c r="B1091" t="s">
        <v>3061</v>
      </c>
      <c r="C1091" t="str">
        <f>"29778720"</f>
        <v>29778720</v>
      </c>
      <c r="D1091" t="s">
        <v>3062</v>
      </c>
      <c r="F1091" t="s">
        <v>3063</v>
      </c>
      <c r="I1091" t="s">
        <v>29</v>
      </c>
      <c r="J1091" t="s">
        <v>30</v>
      </c>
      <c r="K1091" t="s">
        <v>3064</v>
      </c>
      <c r="M1091" t="s">
        <v>32</v>
      </c>
      <c r="N1091" t="str">
        <f>"1/30/2006 12:00:00 AM"</f>
        <v>1/30/2006 12:00:00 AM</v>
      </c>
      <c r="O1091" t="s">
        <v>3062</v>
      </c>
      <c r="T1091" t="s">
        <v>3062</v>
      </c>
    </row>
    <row r="1092" spans="1:20" x14ac:dyDescent="0.25">
      <c r="A1092" t="str">
        <f>"3038889"</f>
        <v>3038889</v>
      </c>
      <c r="B1092" t="s">
        <v>3065</v>
      </c>
      <c r="C1092" t="str">
        <f>"73452600"</f>
        <v>73452600</v>
      </c>
      <c r="D1092" t="s">
        <v>3066</v>
      </c>
      <c r="E1092" t="s">
        <v>3067</v>
      </c>
      <c r="F1092" t="s">
        <v>3068</v>
      </c>
      <c r="I1092" t="s">
        <v>29</v>
      </c>
      <c r="J1092" t="s">
        <v>30</v>
      </c>
      <c r="K1092" t="s">
        <v>3064</v>
      </c>
      <c r="M1092" t="s">
        <v>32</v>
      </c>
      <c r="N1092" t="str">
        <f>"1/27/2006 12:00:00 AM"</f>
        <v>1/27/2006 12:00:00 AM</v>
      </c>
      <c r="O1092" t="s">
        <v>3066</v>
      </c>
      <c r="T1092" t="s">
        <v>3067</v>
      </c>
    </row>
    <row r="1093" spans="1:20" x14ac:dyDescent="0.25">
      <c r="A1093" t="str">
        <f>"3039794"</f>
        <v>3039794</v>
      </c>
      <c r="B1093" t="s">
        <v>3069</v>
      </c>
      <c r="C1093" t="str">
        <f>"25564500"</f>
        <v>25564500</v>
      </c>
      <c r="D1093" t="s">
        <v>2831</v>
      </c>
      <c r="E1093" t="s">
        <v>2832</v>
      </c>
      <c r="F1093" t="s">
        <v>2833</v>
      </c>
      <c r="I1093" t="s">
        <v>184</v>
      </c>
      <c r="J1093" t="s">
        <v>30</v>
      </c>
      <c r="K1093" t="s">
        <v>2834</v>
      </c>
      <c r="M1093" t="s">
        <v>32</v>
      </c>
      <c r="N1093" t="str">
        <f>"1/17/2006 12:00:00 AM"</f>
        <v>1/17/2006 12:00:00 AM</v>
      </c>
      <c r="O1093" t="s">
        <v>2831</v>
      </c>
      <c r="T1093" t="s">
        <v>2832</v>
      </c>
    </row>
    <row r="1094" spans="1:20" x14ac:dyDescent="0.25">
      <c r="A1094" t="str">
        <f>"3040857"</f>
        <v>3040857</v>
      </c>
      <c r="B1094" t="s">
        <v>3070</v>
      </c>
      <c r="C1094" t="str">
        <f>"32219500"</f>
        <v>32219500</v>
      </c>
      <c r="D1094" t="s">
        <v>2898</v>
      </c>
      <c r="F1094" t="s">
        <v>2899</v>
      </c>
      <c r="I1094" t="s">
        <v>184</v>
      </c>
      <c r="J1094" t="s">
        <v>30</v>
      </c>
      <c r="K1094" t="s">
        <v>2900</v>
      </c>
      <c r="M1094" t="s">
        <v>32</v>
      </c>
      <c r="N1094" t="str">
        <f>"1/26/2010 12:00:00 AM"</f>
        <v>1/26/2010 12:00:00 AM</v>
      </c>
      <c r="O1094" t="s">
        <v>2898</v>
      </c>
    </row>
    <row r="1095" spans="1:20" x14ac:dyDescent="0.25">
      <c r="A1095" t="str">
        <f>"3039382"</f>
        <v>3039382</v>
      </c>
      <c r="B1095" t="s">
        <v>3071</v>
      </c>
      <c r="C1095" t="str">
        <f>"32219500"</f>
        <v>32219500</v>
      </c>
      <c r="D1095" t="s">
        <v>2898</v>
      </c>
      <c r="F1095" t="s">
        <v>2899</v>
      </c>
      <c r="I1095" t="s">
        <v>184</v>
      </c>
      <c r="J1095" t="s">
        <v>30</v>
      </c>
      <c r="K1095" t="s">
        <v>2900</v>
      </c>
      <c r="M1095" t="s">
        <v>32</v>
      </c>
      <c r="N1095" t="str">
        <f>"1/26/2010 12:00:00 AM"</f>
        <v>1/26/2010 12:00:00 AM</v>
      </c>
      <c r="O1095" t="s">
        <v>2898</v>
      </c>
    </row>
    <row r="1096" spans="1:20" x14ac:dyDescent="0.25">
      <c r="A1096" t="str">
        <f>"3039381"</f>
        <v>3039381</v>
      </c>
      <c r="B1096" t="s">
        <v>3072</v>
      </c>
      <c r="C1096" t="str">
        <f>"32219500"</f>
        <v>32219500</v>
      </c>
      <c r="D1096" t="s">
        <v>2898</v>
      </c>
      <c r="F1096" t="s">
        <v>2899</v>
      </c>
      <c r="I1096" t="s">
        <v>184</v>
      </c>
      <c r="J1096" t="s">
        <v>30</v>
      </c>
      <c r="K1096" t="s">
        <v>2900</v>
      </c>
      <c r="M1096" t="s">
        <v>32</v>
      </c>
      <c r="N1096" t="str">
        <f>"1/26/2010 12:00:00 AM"</f>
        <v>1/26/2010 12:00:00 AM</v>
      </c>
      <c r="O1096" t="s">
        <v>2898</v>
      </c>
    </row>
    <row r="1097" spans="1:20" x14ac:dyDescent="0.25">
      <c r="A1097" t="str">
        <f>"3039800"</f>
        <v>3039800</v>
      </c>
      <c r="B1097" t="s">
        <v>3073</v>
      </c>
      <c r="C1097" t="str">
        <f>"82529182"</f>
        <v>82529182</v>
      </c>
      <c r="D1097" t="s">
        <v>3074</v>
      </c>
      <c r="E1097" t="s">
        <v>3075</v>
      </c>
      <c r="F1097" t="s">
        <v>3076</v>
      </c>
      <c r="I1097" t="s">
        <v>184</v>
      </c>
      <c r="J1097" t="s">
        <v>30</v>
      </c>
      <c r="K1097" t="s">
        <v>185</v>
      </c>
      <c r="M1097" t="s">
        <v>32</v>
      </c>
      <c r="N1097" t="str">
        <f>"2/10/2010 12:00:00 AM"</f>
        <v>2/10/2010 12:00:00 AM</v>
      </c>
      <c r="O1097" t="s">
        <v>3074</v>
      </c>
      <c r="T1097" t="s">
        <v>3075</v>
      </c>
    </row>
    <row r="1098" spans="1:20" x14ac:dyDescent="0.25">
      <c r="A1098" t="str">
        <f>"3040785"</f>
        <v>3040785</v>
      </c>
      <c r="B1098" t="s">
        <v>3077</v>
      </c>
      <c r="C1098" t="str">
        <f>"68254000"</f>
        <v>68254000</v>
      </c>
      <c r="D1098" t="s">
        <v>3078</v>
      </c>
      <c r="E1098" t="s">
        <v>3079</v>
      </c>
      <c r="F1098" t="s">
        <v>3080</v>
      </c>
      <c r="I1098" t="s">
        <v>184</v>
      </c>
      <c r="J1098" t="s">
        <v>30</v>
      </c>
      <c r="K1098" t="s">
        <v>3081</v>
      </c>
      <c r="M1098" t="s">
        <v>32</v>
      </c>
      <c r="N1098" t="str">
        <f>"1/12/2006 12:00:00 AM"</f>
        <v>1/12/2006 12:00:00 AM</v>
      </c>
      <c r="O1098" t="s">
        <v>3078</v>
      </c>
      <c r="T1098" t="s">
        <v>3079</v>
      </c>
    </row>
    <row r="1099" spans="1:20" x14ac:dyDescent="0.25">
      <c r="A1099" t="str">
        <f>"3040901"</f>
        <v>3040901</v>
      </c>
      <c r="B1099" t="s">
        <v>3082</v>
      </c>
      <c r="C1099" t="str">
        <f>"55653250"</f>
        <v>55653250</v>
      </c>
      <c r="D1099" t="s">
        <v>3083</v>
      </c>
      <c r="E1099" t="s">
        <v>3084</v>
      </c>
      <c r="F1099" t="s">
        <v>3085</v>
      </c>
      <c r="I1099" t="s">
        <v>184</v>
      </c>
      <c r="J1099" t="s">
        <v>30</v>
      </c>
      <c r="K1099" t="s">
        <v>185</v>
      </c>
      <c r="M1099" t="s">
        <v>32</v>
      </c>
      <c r="N1099" t="str">
        <f>"3/26/2004 12:00:00 AM"</f>
        <v>3/26/2004 12:00:00 AM</v>
      </c>
      <c r="O1099" t="s">
        <v>3083</v>
      </c>
      <c r="T1099" t="s">
        <v>3084</v>
      </c>
    </row>
    <row r="1100" spans="1:20" x14ac:dyDescent="0.25">
      <c r="A1100" t="str">
        <f>"3040879"</f>
        <v>3040879</v>
      </c>
      <c r="B1100" t="s">
        <v>3086</v>
      </c>
      <c r="C1100" t="str">
        <f>"37812000"</f>
        <v>37812000</v>
      </c>
      <c r="D1100" t="s">
        <v>3087</v>
      </c>
      <c r="F1100" t="s">
        <v>3088</v>
      </c>
      <c r="I1100" t="s">
        <v>184</v>
      </c>
      <c r="J1100" t="s">
        <v>30</v>
      </c>
      <c r="K1100" t="s">
        <v>185</v>
      </c>
      <c r="M1100" t="s">
        <v>32</v>
      </c>
      <c r="N1100" t="str">
        <f>"9/15/2005 12:00:00 AM"</f>
        <v>9/15/2005 12:00:00 AM</v>
      </c>
      <c r="O1100" t="s">
        <v>3087</v>
      </c>
    </row>
    <row r="1101" spans="1:20" x14ac:dyDescent="0.25">
      <c r="A1101" t="str">
        <f>"3040673"</f>
        <v>3040673</v>
      </c>
      <c r="B1101" t="s">
        <v>3089</v>
      </c>
      <c r="C1101" t="str">
        <f>"82518152"</f>
        <v>82518152</v>
      </c>
      <c r="D1101" t="s">
        <v>3090</v>
      </c>
      <c r="F1101" t="s">
        <v>3091</v>
      </c>
      <c r="I1101" t="s">
        <v>184</v>
      </c>
      <c r="J1101" t="s">
        <v>30</v>
      </c>
      <c r="K1101" t="s">
        <v>3092</v>
      </c>
      <c r="M1101" t="s">
        <v>32</v>
      </c>
      <c r="N1101" t="str">
        <f>"6/14/2005 12:00:00 AM"</f>
        <v>6/14/2005 12:00:00 AM</v>
      </c>
      <c r="O1101" t="s">
        <v>3090</v>
      </c>
    </row>
    <row r="1102" spans="1:20" x14ac:dyDescent="0.25">
      <c r="A1102" t="str">
        <f>"3062835"</f>
        <v>3062835</v>
      </c>
      <c r="B1102" t="s">
        <v>3093</v>
      </c>
      <c r="C1102" t="str">
        <f>"82529182"</f>
        <v>82529182</v>
      </c>
      <c r="D1102" t="s">
        <v>3074</v>
      </c>
      <c r="E1102" t="s">
        <v>3075</v>
      </c>
      <c r="F1102" t="s">
        <v>3076</v>
      </c>
      <c r="I1102" t="s">
        <v>184</v>
      </c>
      <c r="J1102" t="s">
        <v>30</v>
      </c>
      <c r="K1102" t="s">
        <v>185</v>
      </c>
      <c r="M1102" t="s">
        <v>32</v>
      </c>
      <c r="N1102" t="str">
        <f>"2/10/2010 12:00:00 AM"</f>
        <v>2/10/2010 12:00:00 AM</v>
      </c>
      <c r="O1102" t="s">
        <v>3074</v>
      </c>
      <c r="T1102" t="s">
        <v>3075</v>
      </c>
    </row>
    <row r="1103" spans="1:20" x14ac:dyDescent="0.25">
      <c r="A1103" t="str">
        <f>"3039852"</f>
        <v>3039852</v>
      </c>
      <c r="B1103" t="s">
        <v>3094</v>
      </c>
      <c r="C1103" t="str">
        <f>"82519631"</f>
        <v>82519631</v>
      </c>
      <c r="D1103" t="s">
        <v>3095</v>
      </c>
      <c r="E1103" t="s">
        <v>3096</v>
      </c>
      <c r="F1103" t="s">
        <v>3097</v>
      </c>
      <c r="I1103" t="s">
        <v>184</v>
      </c>
      <c r="J1103" t="s">
        <v>30</v>
      </c>
      <c r="K1103" t="s">
        <v>3098</v>
      </c>
      <c r="M1103" t="s">
        <v>32</v>
      </c>
      <c r="N1103" t="str">
        <f>"1/15/2004 12:00:00 AM"</f>
        <v>1/15/2004 12:00:00 AM</v>
      </c>
      <c r="O1103" t="s">
        <v>3095</v>
      </c>
      <c r="T1103" t="s">
        <v>3096</v>
      </c>
    </row>
    <row r="1104" spans="1:20" x14ac:dyDescent="0.25">
      <c r="A1104" t="str">
        <f>"3041017"</f>
        <v>3041017</v>
      </c>
      <c r="B1104" t="s">
        <v>3099</v>
      </c>
      <c r="C1104" t="str">
        <f>"67478000"</f>
        <v>67478000</v>
      </c>
      <c r="D1104" t="s">
        <v>2934</v>
      </c>
      <c r="F1104" t="s">
        <v>2935</v>
      </c>
      <c r="I1104" t="s">
        <v>29</v>
      </c>
      <c r="J1104" t="s">
        <v>30</v>
      </c>
      <c r="K1104" t="s">
        <v>31</v>
      </c>
      <c r="M1104" t="s">
        <v>32</v>
      </c>
      <c r="N1104" t="str">
        <f>"5/12/2004 12:00:00 AM"</f>
        <v>5/12/2004 12:00:00 AM</v>
      </c>
      <c r="O1104" t="s">
        <v>2934</v>
      </c>
    </row>
    <row r="1105" spans="1:20" x14ac:dyDescent="0.25">
      <c r="A1105" t="str">
        <f>"3066272"</f>
        <v>3066272</v>
      </c>
      <c r="B1105" t="s">
        <v>3100</v>
      </c>
      <c r="C1105" t="str">
        <f>"82527343"</f>
        <v>82527343</v>
      </c>
      <c r="D1105" t="s">
        <v>3101</v>
      </c>
      <c r="F1105" t="s">
        <v>3102</v>
      </c>
      <c r="I1105" t="s">
        <v>184</v>
      </c>
      <c r="J1105" t="s">
        <v>30</v>
      </c>
      <c r="K1105" t="s">
        <v>185</v>
      </c>
      <c r="M1105" t="s">
        <v>32</v>
      </c>
      <c r="N1105" t="str">
        <f>"12/28/2006 12:00:00 AM"</f>
        <v>12/28/2006 12:00:00 AM</v>
      </c>
      <c r="O1105" t="s">
        <v>3101</v>
      </c>
    </row>
    <row r="1106" spans="1:20" x14ac:dyDescent="0.25">
      <c r="A1106" t="str">
        <f>"3066273"</f>
        <v>3066273</v>
      </c>
      <c r="B1106" t="s">
        <v>3103</v>
      </c>
      <c r="C1106" t="str">
        <f>"82527343"</f>
        <v>82527343</v>
      </c>
      <c r="D1106" t="s">
        <v>3101</v>
      </c>
      <c r="F1106" t="s">
        <v>3102</v>
      </c>
      <c r="I1106" t="s">
        <v>184</v>
      </c>
      <c r="J1106" t="s">
        <v>30</v>
      </c>
      <c r="K1106" t="s">
        <v>185</v>
      </c>
      <c r="M1106" t="s">
        <v>32</v>
      </c>
      <c r="N1106" t="str">
        <f>"12/28/2006 12:00:00 AM"</f>
        <v>12/28/2006 12:00:00 AM</v>
      </c>
      <c r="O1106" t="s">
        <v>3101</v>
      </c>
    </row>
    <row r="1107" spans="1:20" x14ac:dyDescent="0.25">
      <c r="A1107" t="str">
        <f>"3040654"</f>
        <v>3040654</v>
      </c>
      <c r="B1107" t="s">
        <v>3104</v>
      </c>
      <c r="C1107" t="str">
        <f>"26341000"</f>
        <v>26341000</v>
      </c>
      <c r="D1107" t="s">
        <v>2974</v>
      </c>
      <c r="E1107" t="s">
        <v>2975</v>
      </c>
      <c r="F1107" t="s">
        <v>2976</v>
      </c>
      <c r="I1107" t="s">
        <v>184</v>
      </c>
      <c r="J1107" t="s">
        <v>30</v>
      </c>
      <c r="K1107" t="s">
        <v>2977</v>
      </c>
      <c r="M1107" t="s">
        <v>32</v>
      </c>
      <c r="N1107" t="str">
        <f>"1/25/2006 12:00:00 AM"</f>
        <v>1/25/2006 12:00:00 AM</v>
      </c>
      <c r="O1107" t="s">
        <v>2974</v>
      </c>
      <c r="T1107" t="s">
        <v>2975</v>
      </c>
    </row>
    <row r="1108" spans="1:20" x14ac:dyDescent="0.25">
      <c r="A1108" t="str">
        <f>"3040710"</f>
        <v>3040710</v>
      </c>
      <c r="B1108" t="s">
        <v>3105</v>
      </c>
      <c r="C1108" t="str">
        <f>"82524247"</f>
        <v>82524247</v>
      </c>
      <c r="D1108" t="s">
        <v>3106</v>
      </c>
      <c r="F1108" t="s">
        <v>3107</v>
      </c>
      <c r="I1108" t="s">
        <v>184</v>
      </c>
      <c r="J1108" t="s">
        <v>30</v>
      </c>
      <c r="K1108" t="s">
        <v>3108</v>
      </c>
      <c r="M1108" t="s">
        <v>32</v>
      </c>
      <c r="N1108" t="str">
        <f>"2/9/2010 12:00:00 AM"</f>
        <v>2/9/2010 12:00:00 AM</v>
      </c>
      <c r="O1108" t="s">
        <v>3106</v>
      </c>
    </row>
    <row r="1109" spans="1:20" x14ac:dyDescent="0.25">
      <c r="A1109" t="str">
        <f>"3040344"</f>
        <v>3040344</v>
      </c>
      <c r="B1109" t="s">
        <v>3109</v>
      </c>
      <c r="C1109" t="str">
        <f>"77490000"</f>
        <v>77490000</v>
      </c>
      <c r="D1109" t="s">
        <v>3110</v>
      </c>
      <c r="F1109" t="s">
        <v>3111</v>
      </c>
      <c r="I1109" t="s">
        <v>49</v>
      </c>
      <c r="J1109" t="s">
        <v>30</v>
      </c>
      <c r="K1109" t="s">
        <v>50</v>
      </c>
      <c r="M1109" t="s">
        <v>32</v>
      </c>
      <c r="N1109" t="str">
        <f>"9/25/2001 12:00:00 AM"</f>
        <v>9/25/2001 12:00:00 AM</v>
      </c>
      <c r="O1109" t="s">
        <v>3110</v>
      </c>
    </row>
    <row r="1110" spans="1:20" x14ac:dyDescent="0.25">
      <c r="A1110" t="str">
        <f>"3040446"</f>
        <v>3040446</v>
      </c>
      <c r="B1110" t="s">
        <v>3112</v>
      </c>
      <c r="C1110" t="str">
        <f>"2803000"</f>
        <v>2803000</v>
      </c>
      <c r="D1110" t="s">
        <v>3012</v>
      </c>
      <c r="E1110" t="s">
        <v>3013</v>
      </c>
      <c r="F1110" t="s">
        <v>3014</v>
      </c>
      <c r="I1110" t="s">
        <v>184</v>
      </c>
      <c r="J1110" t="s">
        <v>30</v>
      </c>
      <c r="K1110" t="s">
        <v>185</v>
      </c>
      <c r="M1110" t="s">
        <v>32</v>
      </c>
      <c r="N1110" t="str">
        <f>"1/22/2004 12:00:00 AM"</f>
        <v>1/22/2004 12:00:00 AM</v>
      </c>
      <c r="O1110" t="s">
        <v>3012</v>
      </c>
      <c r="T1110" t="s">
        <v>3013</v>
      </c>
    </row>
    <row r="1111" spans="1:20" x14ac:dyDescent="0.25">
      <c r="A1111" t="str">
        <f>"3040674"</f>
        <v>3040674</v>
      </c>
      <c r="B1111" t="s">
        <v>3113</v>
      </c>
      <c r="C1111" t="str">
        <f>"75119000"</f>
        <v>75119000</v>
      </c>
      <c r="D1111" t="s">
        <v>3114</v>
      </c>
      <c r="E1111" t="s">
        <v>3115</v>
      </c>
      <c r="F1111" t="s">
        <v>3116</v>
      </c>
      <c r="I1111" t="s">
        <v>184</v>
      </c>
      <c r="J1111" t="s">
        <v>30</v>
      </c>
      <c r="K1111" t="s">
        <v>3117</v>
      </c>
      <c r="M1111" t="s">
        <v>32</v>
      </c>
      <c r="N1111" t="str">
        <f>"2/28/2005 12:00:00 AM"</f>
        <v>2/28/2005 12:00:00 AM</v>
      </c>
      <c r="O1111" t="s">
        <v>3114</v>
      </c>
      <c r="T1111" t="s">
        <v>3115</v>
      </c>
    </row>
    <row r="1112" spans="1:20" x14ac:dyDescent="0.25">
      <c r="A1112" t="str">
        <f>"3040719"</f>
        <v>3040719</v>
      </c>
      <c r="B1112" t="s">
        <v>3118</v>
      </c>
      <c r="C1112" t="str">
        <f>"82528822"</f>
        <v>82528822</v>
      </c>
      <c r="D1112" t="s">
        <v>3119</v>
      </c>
      <c r="E1112" t="s">
        <v>3120</v>
      </c>
      <c r="F1112" t="s">
        <v>3121</v>
      </c>
      <c r="I1112" t="s">
        <v>184</v>
      </c>
      <c r="J1112" t="s">
        <v>30</v>
      </c>
      <c r="K1112" t="s">
        <v>185</v>
      </c>
      <c r="M1112" t="s">
        <v>32</v>
      </c>
      <c r="N1112" t="str">
        <f>"10/16/2009 12:00:00 AM"</f>
        <v>10/16/2009 12:00:00 AM</v>
      </c>
      <c r="O1112" t="s">
        <v>3119</v>
      </c>
      <c r="T1112" t="s">
        <v>3120</v>
      </c>
    </row>
    <row r="1113" spans="1:20" x14ac:dyDescent="0.25">
      <c r="A1113" t="str">
        <f>"3040950"</f>
        <v>3040950</v>
      </c>
      <c r="B1113" t="s">
        <v>3122</v>
      </c>
      <c r="C1113" t="str">
        <f>"67972000"</f>
        <v>67972000</v>
      </c>
      <c r="D1113" t="s">
        <v>3123</v>
      </c>
      <c r="F1113" t="s">
        <v>3124</v>
      </c>
      <c r="I1113" t="s">
        <v>184</v>
      </c>
      <c r="J1113" t="s">
        <v>30</v>
      </c>
      <c r="K1113" t="s">
        <v>3125</v>
      </c>
      <c r="M1113" t="s">
        <v>32</v>
      </c>
      <c r="N1113" t="str">
        <f>"2/1/2006 12:00:00 AM"</f>
        <v>2/1/2006 12:00:00 AM</v>
      </c>
      <c r="O1113" t="s">
        <v>3123</v>
      </c>
    </row>
    <row r="1114" spans="1:20" x14ac:dyDescent="0.25">
      <c r="A1114" t="str">
        <f>"3063973"</f>
        <v>3063973</v>
      </c>
      <c r="B1114" t="s">
        <v>3126</v>
      </c>
      <c r="C1114" t="str">
        <f>"67972000"</f>
        <v>67972000</v>
      </c>
      <c r="D1114" t="s">
        <v>3123</v>
      </c>
      <c r="F1114" t="s">
        <v>3124</v>
      </c>
      <c r="I1114" t="s">
        <v>184</v>
      </c>
      <c r="J1114" t="s">
        <v>30</v>
      </c>
      <c r="K1114" t="s">
        <v>3125</v>
      </c>
      <c r="M1114" t="s">
        <v>32</v>
      </c>
      <c r="N1114" t="str">
        <f>"2/1/2006 12:00:00 AM"</f>
        <v>2/1/2006 12:00:00 AM</v>
      </c>
      <c r="O1114" t="s">
        <v>3123</v>
      </c>
    </row>
    <row r="1115" spans="1:20" x14ac:dyDescent="0.25">
      <c r="A1115" t="str">
        <f>"3040907"</f>
        <v>3040907</v>
      </c>
      <c r="B1115" t="s">
        <v>3127</v>
      </c>
      <c r="C1115" t="str">
        <f>"82522862"</f>
        <v>82522862</v>
      </c>
      <c r="D1115" t="s">
        <v>3128</v>
      </c>
      <c r="E1115" t="s">
        <v>3129</v>
      </c>
      <c r="F1115" t="s">
        <v>3130</v>
      </c>
      <c r="I1115" t="s">
        <v>184</v>
      </c>
      <c r="J1115" t="s">
        <v>30</v>
      </c>
      <c r="K1115" t="s">
        <v>3131</v>
      </c>
      <c r="M1115" t="s">
        <v>32</v>
      </c>
      <c r="N1115" t="str">
        <f>"1/19/2005 12:00:00 AM"</f>
        <v>1/19/2005 12:00:00 AM</v>
      </c>
      <c r="O1115" t="s">
        <v>3128</v>
      </c>
      <c r="T1115" t="s">
        <v>3129</v>
      </c>
    </row>
    <row r="1116" spans="1:20" x14ac:dyDescent="0.25">
      <c r="A1116" t="str">
        <f>"3040908"</f>
        <v>3040908</v>
      </c>
      <c r="B1116" t="s">
        <v>3132</v>
      </c>
      <c r="C1116" t="str">
        <f>"50674750"</f>
        <v>50674750</v>
      </c>
      <c r="D1116" t="s">
        <v>3133</v>
      </c>
      <c r="F1116" t="s">
        <v>3134</v>
      </c>
      <c r="I1116" t="s">
        <v>184</v>
      </c>
      <c r="J1116" t="s">
        <v>30</v>
      </c>
      <c r="K1116" t="s">
        <v>3131</v>
      </c>
      <c r="M1116" t="s">
        <v>32</v>
      </c>
      <c r="N1116" t="str">
        <f>"1/17/2006 12:00:00 AM"</f>
        <v>1/17/2006 12:00:00 AM</v>
      </c>
      <c r="O1116" t="s">
        <v>3133</v>
      </c>
    </row>
    <row r="1117" spans="1:20" x14ac:dyDescent="0.25">
      <c r="A1117" t="str">
        <f>"3040909"</f>
        <v>3040909</v>
      </c>
      <c r="B1117" t="s">
        <v>3135</v>
      </c>
      <c r="C1117" t="str">
        <f>"48898000"</f>
        <v>48898000</v>
      </c>
      <c r="D1117" t="s">
        <v>3136</v>
      </c>
      <c r="F1117" t="s">
        <v>3137</v>
      </c>
      <c r="I1117" t="s">
        <v>184</v>
      </c>
      <c r="J1117" t="s">
        <v>30</v>
      </c>
      <c r="K1117" t="s">
        <v>3138</v>
      </c>
      <c r="M1117" t="s">
        <v>32</v>
      </c>
      <c r="N1117" t="str">
        <f>"11/4/2005 12:00:00 AM"</f>
        <v>11/4/2005 12:00:00 AM</v>
      </c>
      <c r="O1117" t="s">
        <v>3136</v>
      </c>
    </row>
    <row r="1118" spans="1:20" x14ac:dyDescent="0.25">
      <c r="A1118" t="str">
        <f>"3040772"</f>
        <v>3040772</v>
      </c>
      <c r="B1118" t="s">
        <v>3139</v>
      </c>
      <c r="C1118" t="str">
        <f>"48898000"</f>
        <v>48898000</v>
      </c>
      <c r="D1118" t="s">
        <v>3136</v>
      </c>
      <c r="F1118" t="s">
        <v>3137</v>
      </c>
      <c r="I1118" t="s">
        <v>184</v>
      </c>
      <c r="J1118" t="s">
        <v>30</v>
      </c>
      <c r="K1118" t="s">
        <v>3138</v>
      </c>
      <c r="M1118" t="s">
        <v>32</v>
      </c>
      <c r="N1118" t="str">
        <f>"11/4/2005 12:00:00 AM"</f>
        <v>11/4/2005 12:00:00 AM</v>
      </c>
      <c r="O1118" t="s">
        <v>3136</v>
      </c>
    </row>
    <row r="1119" spans="1:20" x14ac:dyDescent="0.25">
      <c r="A1119" t="str">
        <f>"3040323"</f>
        <v>3040323</v>
      </c>
      <c r="B1119" t="s">
        <v>3140</v>
      </c>
      <c r="C1119" t="str">
        <f>"48898000"</f>
        <v>48898000</v>
      </c>
      <c r="D1119" t="s">
        <v>3136</v>
      </c>
      <c r="F1119" t="s">
        <v>3137</v>
      </c>
      <c r="I1119" t="s">
        <v>184</v>
      </c>
      <c r="J1119" t="s">
        <v>30</v>
      </c>
      <c r="K1119" t="s">
        <v>3138</v>
      </c>
      <c r="M1119" t="s">
        <v>32</v>
      </c>
      <c r="N1119" t="str">
        <f>"11/4/2005 12:00:00 AM"</f>
        <v>11/4/2005 12:00:00 AM</v>
      </c>
      <c r="O1119" t="s">
        <v>3136</v>
      </c>
    </row>
    <row r="1120" spans="1:20" x14ac:dyDescent="0.25">
      <c r="A1120" t="str">
        <f>"3053799"</f>
        <v>3053799</v>
      </c>
      <c r="B1120" t="s">
        <v>3141</v>
      </c>
      <c r="C1120" t="str">
        <f>"58768100"</f>
        <v>58768100</v>
      </c>
      <c r="D1120" t="s">
        <v>3142</v>
      </c>
      <c r="F1120" t="s">
        <v>3143</v>
      </c>
      <c r="I1120" t="s">
        <v>29</v>
      </c>
      <c r="J1120" t="s">
        <v>30</v>
      </c>
      <c r="K1120" t="s">
        <v>3144</v>
      </c>
      <c r="M1120" t="s">
        <v>32</v>
      </c>
      <c r="N1120" t="str">
        <f>"1/13/2006 12:00:00 AM"</f>
        <v>1/13/2006 12:00:00 AM</v>
      </c>
      <c r="O1120" t="s">
        <v>3142</v>
      </c>
    </row>
    <row r="1121" spans="1:20" x14ac:dyDescent="0.25">
      <c r="A1121" t="str">
        <f>"3040930"</f>
        <v>3040930</v>
      </c>
      <c r="B1121" t="s">
        <v>3145</v>
      </c>
      <c r="C1121" t="str">
        <f>"82525360"</f>
        <v>82525360</v>
      </c>
      <c r="D1121" t="s">
        <v>3146</v>
      </c>
      <c r="E1121" t="s">
        <v>3147</v>
      </c>
      <c r="F1121" t="s">
        <v>3148</v>
      </c>
      <c r="I1121" t="s">
        <v>3149</v>
      </c>
      <c r="J1121" t="s">
        <v>3150</v>
      </c>
      <c r="K1121" t="s">
        <v>3151</v>
      </c>
      <c r="M1121" t="s">
        <v>32</v>
      </c>
      <c r="N1121" t="str">
        <f>"1/15/2009 12:00:00 AM"</f>
        <v>1/15/2009 12:00:00 AM</v>
      </c>
      <c r="O1121" t="s">
        <v>3146</v>
      </c>
      <c r="T1121" t="s">
        <v>3147</v>
      </c>
    </row>
    <row r="1122" spans="1:20" x14ac:dyDescent="0.25">
      <c r="A1122" t="str">
        <f>"3040387"</f>
        <v>3040387</v>
      </c>
      <c r="B1122" t="s">
        <v>3152</v>
      </c>
      <c r="C1122" t="str">
        <f>"82518698"</f>
        <v>82518698</v>
      </c>
      <c r="D1122" t="s">
        <v>3153</v>
      </c>
      <c r="F1122" t="s">
        <v>3154</v>
      </c>
      <c r="I1122" t="s">
        <v>402</v>
      </c>
      <c r="J1122" t="s">
        <v>30</v>
      </c>
      <c r="K1122" t="s">
        <v>2758</v>
      </c>
      <c r="M1122" t="s">
        <v>32</v>
      </c>
      <c r="N1122" t="str">
        <f>"2/4/2003 12:00:00 AM"</f>
        <v>2/4/2003 12:00:00 AM</v>
      </c>
      <c r="O1122" t="s">
        <v>3153</v>
      </c>
    </row>
    <row r="1123" spans="1:20" x14ac:dyDescent="0.25">
      <c r="A1123" t="str">
        <f>"3040328"</f>
        <v>3040328</v>
      </c>
      <c r="B1123" t="s">
        <v>3155</v>
      </c>
      <c r="C1123" t="str">
        <f>"56388000"</f>
        <v>56388000</v>
      </c>
      <c r="D1123" t="s">
        <v>3156</v>
      </c>
      <c r="F1123" t="s">
        <v>3157</v>
      </c>
      <c r="I1123" t="s">
        <v>471</v>
      </c>
      <c r="J1123" t="s">
        <v>30</v>
      </c>
      <c r="K1123" t="s">
        <v>472</v>
      </c>
      <c r="M1123" t="s">
        <v>32</v>
      </c>
      <c r="N1123" t="str">
        <f>"1/15/2009 12:00:00 AM"</f>
        <v>1/15/2009 12:00:00 AM</v>
      </c>
      <c r="O1123" t="s">
        <v>3156</v>
      </c>
    </row>
    <row r="1124" spans="1:20" x14ac:dyDescent="0.25">
      <c r="A1124" t="str">
        <f>"3040337"</f>
        <v>3040337</v>
      </c>
      <c r="B1124" t="s">
        <v>3158</v>
      </c>
      <c r="C1124" t="str">
        <f>"56388000"</f>
        <v>56388000</v>
      </c>
      <c r="D1124" t="s">
        <v>3156</v>
      </c>
      <c r="F1124" t="s">
        <v>3157</v>
      </c>
      <c r="I1124" t="s">
        <v>471</v>
      </c>
      <c r="J1124" t="s">
        <v>30</v>
      </c>
      <c r="K1124" t="s">
        <v>472</v>
      </c>
      <c r="M1124" t="s">
        <v>32</v>
      </c>
      <c r="N1124" t="str">
        <f>"1/15/2009 12:00:00 AM"</f>
        <v>1/15/2009 12:00:00 AM</v>
      </c>
      <c r="O1124" t="s">
        <v>3156</v>
      </c>
    </row>
    <row r="1125" spans="1:20" x14ac:dyDescent="0.25">
      <c r="A1125" t="str">
        <f>"3040834"</f>
        <v>3040834</v>
      </c>
      <c r="B1125" t="s">
        <v>3159</v>
      </c>
      <c r="C1125" t="str">
        <f>"10732000"</f>
        <v>10732000</v>
      </c>
      <c r="D1125" t="s">
        <v>3160</v>
      </c>
      <c r="F1125" t="s">
        <v>3161</v>
      </c>
      <c r="I1125" t="s">
        <v>184</v>
      </c>
      <c r="J1125" t="s">
        <v>30</v>
      </c>
      <c r="K1125" t="s">
        <v>185</v>
      </c>
      <c r="M1125" t="s">
        <v>32</v>
      </c>
      <c r="N1125" t="str">
        <f>"1/28/2004 12:00:00 AM"</f>
        <v>1/28/2004 12:00:00 AM</v>
      </c>
      <c r="O1125" t="s">
        <v>3160</v>
      </c>
    </row>
    <row r="1126" spans="1:20" x14ac:dyDescent="0.25">
      <c r="A1126" t="str">
        <f>"3040718"</f>
        <v>3040718</v>
      </c>
      <c r="B1126" t="s">
        <v>3162</v>
      </c>
      <c r="C1126" t="str">
        <f>"82529345"</f>
        <v>82529345</v>
      </c>
      <c r="D1126" t="s">
        <v>3163</v>
      </c>
      <c r="F1126" t="s">
        <v>3164</v>
      </c>
      <c r="I1126" t="s">
        <v>184</v>
      </c>
      <c r="J1126" t="s">
        <v>30</v>
      </c>
      <c r="K1126" t="s">
        <v>185</v>
      </c>
      <c r="M1126" t="s">
        <v>32</v>
      </c>
      <c r="N1126" t="str">
        <f>"1/13/2009 12:00:00 AM"</f>
        <v>1/13/2009 12:00:00 AM</v>
      </c>
      <c r="O1126" t="s">
        <v>3163</v>
      </c>
    </row>
    <row r="1127" spans="1:20" x14ac:dyDescent="0.25">
      <c r="A1127" t="str">
        <f>"3040959"</f>
        <v>3040959</v>
      </c>
      <c r="B1127" t="s">
        <v>3165</v>
      </c>
      <c r="C1127" t="str">
        <f>"58252000"</f>
        <v>58252000</v>
      </c>
      <c r="D1127" t="s">
        <v>3166</v>
      </c>
      <c r="E1127" t="s">
        <v>3167</v>
      </c>
      <c r="F1127" t="s">
        <v>3168</v>
      </c>
      <c r="I1127" t="s">
        <v>471</v>
      </c>
      <c r="J1127" t="s">
        <v>30</v>
      </c>
      <c r="K1127" t="s">
        <v>3169</v>
      </c>
      <c r="M1127" t="s">
        <v>32</v>
      </c>
      <c r="N1127" t="str">
        <f>"9/30/2009 12:00:00 AM"</f>
        <v>9/30/2009 12:00:00 AM</v>
      </c>
      <c r="O1127" t="s">
        <v>3166</v>
      </c>
      <c r="T1127" t="s">
        <v>3167</v>
      </c>
    </row>
    <row r="1128" spans="1:20" x14ac:dyDescent="0.25">
      <c r="A1128" t="str">
        <f>"3040330"</f>
        <v>3040330</v>
      </c>
      <c r="B1128" t="s">
        <v>3170</v>
      </c>
      <c r="C1128" t="str">
        <f>"58252000"</f>
        <v>58252000</v>
      </c>
      <c r="D1128" t="s">
        <v>3166</v>
      </c>
      <c r="E1128" t="s">
        <v>3167</v>
      </c>
      <c r="F1128" t="s">
        <v>3168</v>
      </c>
      <c r="I1128" t="s">
        <v>471</v>
      </c>
      <c r="J1128" t="s">
        <v>30</v>
      </c>
      <c r="K1128" t="s">
        <v>3169</v>
      </c>
      <c r="M1128" t="s">
        <v>32</v>
      </c>
      <c r="N1128" t="str">
        <f>"9/30/2009 12:00:00 AM"</f>
        <v>9/30/2009 12:00:00 AM</v>
      </c>
      <c r="O1128" t="s">
        <v>3166</v>
      </c>
      <c r="T1128" t="s">
        <v>3167</v>
      </c>
    </row>
    <row r="1129" spans="1:20" x14ac:dyDescent="0.25">
      <c r="A1129" t="str">
        <f>"3040331"</f>
        <v>3040331</v>
      </c>
      <c r="B1129" t="s">
        <v>3171</v>
      </c>
      <c r="C1129" t="str">
        <f>"49740000"</f>
        <v>49740000</v>
      </c>
      <c r="D1129" t="s">
        <v>3172</v>
      </c>
      <c r="E1129" t="s">
        <v>3173</v>
      </c>
      <c r="F1129" t="s">
        <v>3174</v>
      </c>
      <c r="I1129" t="s">
        <v>184</v>
      </c>
      <c r="J1129" t="s">
        <v>30</v>
      </c>
      <c r="K1129" t="s">
        <v>185</v>
      </c>
      <c r="M1129" t="s">
        <v>32</v>
      </c>
      <c r="N1129" t="str">
        <f>"9/19/2005 12:00:00 AM"</f>
        <v>9/19/2005 12:00:00 AM</v>
      </c>
      <c r="O1129" t="s">
        <v>3172</v>
      </c>
      <c r="T1129" t="s">
        <v>3173</v>
      </c>
    </row>
    <row r="1130" spans="1:20" x14ac:dyDescent="0.25">
      <c r="A1130" t="str">
        <f>"3040932"</f>
        <v>3040932</v>
      </c>
      <c r="B1130" t="s">
        <v>3175</v>
      </c>
      <c r="C1130" t="str">
        <f>"49740000"</f>
        <v>49740000</v>
      </c>
      <c r="D1130" t="s">
        <v>3172</v>
      </c>
      <c r="E1130" t="s">
        <v>3173</v>
      </c>
      <c r="F1130" t="s">
        <v>3174</v>
      </c>
      <c r="I1130" t="s">
        <v>184</v>
      </c>
      <c r="J1130" t="s">
        <v>30</v>
      </c>
      <c r="K1130" t="s">
        <v>185</v>
      </c>
      <c r="M1130" t="s">
        <v>32</v>
      </c>
      <c r="N1130" t="str">
        <f>"9/19/2005 12:00:00 AM"</f>
        <v>9/19/2005 12:00:00 AM</v>
      </c>
      <c r="O1130" t="s">
        <v>3172</v>
      </c>
      <c r="T1130" t="s">
        <v>3173</v>
      </c>
    </row>
    <row r="1131" spans="1:20" x14ac:dyDescent="0.25">
      <c r="A1131" t="str">
        <f>"3040933"</f>
        <v>3040933</v>
      </c>
      <c r="B1131" t="s">
        <v>3176</v>
      </c>
      <c r="C1131" t="str">
        <f>"49740000"</f>
        <v>49740000</v>
      </c>
      <c r="D1131" t="s">
        <v>3172</v>
      </c>
      <c r="E1131" t="s">
        <v>3173</v>
      </c>
      <c r="F1131" t="s">
        <v>3174</v>
      </c>
      <c r="I1131" t="s">
        <v>184</v>
      </c>
      <c r="J1131" t="s">
        <v>30</v>
      </c>
      <c r="K1131" t="s">
        <v>185</v>
      </c>
      <c r="M1131" t="s">
        <v>32</v>
      </c>
      <c r="N1131" t="str">
        <f>"9/19/2005 12:00:00 AM"</f>
        <v>9/19/2005 12:00:00 AM</v>
      </c>
      <c r="O1131" t="s">
        <v>3172</v>
      </c>
      <c r="T1131" t="s">
        <v>3173</v>
      </c>
    </row>
    <row r="1132" spans="1:20" x14ac:dyDescent="0.25">
      <c r="A1132" t="str">
        <f>"3040720"</f>
        <v>3040720</v>
      </c>
      <c r="B1132" t="s">
        <v>3177</v>
      </c>
      <c r="C1132" t="str">
        <f>"82517539"</f>
        <v>82517539</v>
      </c>
      <c r="D1132" t="s">
        <v>3178</v>
      </c>
      <c r="E1132" t="s">
        <v>3179</v>
      </c>
      <c r="F1132" t="s">
        <v>3180</v>
      </c>
      <c r="I1132" t="s">
        <v>184</v>
      </c>
      <c r="J1132" t="s">
        <v>30</v>
      </c>
      <c r="K1132" t="s">
        <v>185</v>
      </c>
      <c r="M1132" t="s">
        <v>32</v>
      </c>
      <c r="N1132" t="str">
        <f>"12/27/2001 12:00:00 AM"</f>
        <v>12/27/2001 12:00:00 AM</v>
      </c>
      <c r="O1132" t="s">
        <v>3178</v>
      </c>
      <c r="T1132" t="s">
        <v>3179</v>
      </c>
    </row>
    <row r="1133" spans="1:20" x14ac:dyDescent="0.25">
      <c r="A1133" t="str">
        <f>"3040395"</f>
        <v>3040395</v>
      </c>
      <c r="B1133" t="s">
        <v>3181</v>
      </c>
      <c r="C1133" t="str">
        <f>"82517539"</f>
        <v>82517539</v>
      </c>
      <c r="D1133" t="s">
        <v>3178</v>
      </c>
      <c r="E1133" t="s">
        <v>3179</v>
      </c>
      <c r="F1133" t="s">
        <v>3180</v>
      </c>
      <c r="I1133" t="s">
        <v>184</v>
      </c>
      <c r="J1133" t="s">
        <v>30</v>
      </c>
      <c r="K1133" t="s">
        <v>185</v>
      </c>
      <c r="M1133" t="s">
        <v>32</v>
      </c>
      <c r="N1133" t="str">
        <f>"12/27/2001 12:00:00 AM"</f>
        <v>12/27/2001 12:00:00 AM</v>
      </c>
      <c r="O1133" t="s">
        <v>3178</v>
      </c>
      <c r="T1133" t="s">
        <v>3179</v>
      </c>
    </row>
    <row r="1134" spans="1:20" x14ac:dyDescent="0.25">
      <c r="A1134" t="str">
        <f>"3040324"</f>
        <v>3040324</v>
      </c>
      <c r="B1134" t="s">
        <v>3182</v>
      </c>
      <c r="C1134" t="str">
        <f>"36610000"</f>
        <v>36610000</v>
      </c>
      <c r="D1134" t="s">
        <v>3183</v>
      </c>
      <c r="E1134" t="s">
        <v>3184</v>
      </c>
      <c r="F1134" t="s">
        <v>3185</v>
      </c>
      <c r="I1134" t="s">
        <v>184</v>
      </c>
      <c r="J1134" t="s">
        <v>30</v>
      </c>
      <c r="K1134" t="s">
        <v>3186</v>
      </c>
      <c r="M1134" t="s">
        <v>32</v>
      </c>
      <c r="N1134" t="str">
        <f>"1/24/2006 12:00:00 AM"</f>
        <v>1/24/2006 12:00:00 AM</v>
      </c>
      <c r="O1134" t="s">
        <v>3183</v>
      </c>
      <c r="T1134" t="s">
        <v>3184</v>
      </c>
    </row>
    <row r="1135" spans="1:20" x14ac:dyDescent="0.25">
      <c r="A1135" t="str">
        <f>"3040769"</f>
        <v>3040769</v>
      </c>
      <c r="B1135" t="s">
        <v>3187</v>
      </c>
      <c r="C1135" t="str">
        <f>"36610000"</f>
        <v>36610000</v>
      </c>
      <c r="D1135" t="s">
        <v>3183</v>
      </c>
      <c r="E1135" t="s">
        <v>3184</v>
      </c>
      <c r="F1135" t="s">
        <v>3185</v>
      </c>
      <c r="I1135" t="s">
        <v>184</v>
      </c>
      <c r="J1135" t="s">
        <v>30</v>
      </c>
      <c r="K1135" t="s">
        <v>3186</v>
      </c>
      <c r="M1135" t="s">
        <v>32</v>
      </c>
      <c r="N1135" t="str">
        <f>"1/24/2006 12:00:00 AM"</f>
        <v>1/24/2006 12:00:00 AM</v>
      </c>
      <c r="O1135" t="s">
        <v>3183</v>
      </c>
      <c r="T1135" t="s">
        <v>3184</v>
      </c>
    </row>
    <row r="1136" spans="1:20" x14ac:dyDescent="0.25">
      <c r="A1136" t="str">
        <f>"3040433"</f>
        <v>3040433</v>
      </c>
      <c r="B1136" t="s">
        <v>3188</v>
      </c>
      <c r="C1136" t="str">
        <f>"82529345"</f>
        <v>82529345</v>
      </c>
      <c r="D1136" t="s">
        <v>3163</v>
      </c>
      <c r="F1136" t="s">
        <v>3164</v>
      </c>
      <c r="I1136" t="s">
        <v>184</v>
      </c>
      <c r="J1136" t="s">
        <v>30</v>
      </c>
      <c r="K1136" t="s">
        <v>185</v>
      </c>
      <c r="M1136" t="s">
        <v>32</v>
      </c>
      <c r="N1136" t="str">
        <f>"1/13/2009 12:00:00 AM"</f>
        <v>1/13/2009 12:00:00 AM</v>
      </c>
      <c r="O1136" t="s">
        <v>3163</v>
      </c>
    </row>
    <row r="1137" spans="1:20" x14ac:dyDescent="0.25">
      <c r="A1137" t="str">
        <f>"3040279"</f>
        <v>3040279</v>
      </c>
      <c r="B1137" t="s">
        <v>3189</v>
      </c>
      <c r="C1137" t="str">
        <f>"82529345"</f>
        <v>82529345</v>
      </c>
      <c r="D1137" t="s">
        <v>3163</v>
      </c>
      <c r="F1137" t="s">
        <v>3164</v>
      </c>
      <c r="I1137" t="s">
        <v>184</v>
      </c>
      <c r="J1137" t="s">
        <v>30</v>
      </c>
      <c r="K1137" t="s">
        <v>185</v>
      </c>
      <c r="M1137" t="s">
        <v>32</v>
      </c>
      <c r="N1137" t="str">
        <f>"1/13/2009 12:00:00 AM"</f>
        <v>1/13/2009 12:00:00 AM</v>
      </c>
      <c r="O1137" t="s">
        <v>3163</v>
      </c>
    </row>
    <row r="1138" spans="1:20" x14ac:dyDescent="0.25">
      <c r="A1138" t="str">
        <f>"3040896"</f>
        <v>3040896</v>
      </c>
      <c r="B1138" t="s">
        <v>3190</v>
      </c>
      <c r="C1138" t="str">
        <f>"82529964"</f>
        <v>82529964</v>
      </c>
      <c r="D1138" t="s">
        <v>3191</v>
      </c>
      <c r="F1138" t="s">
        <v>3192</v>
      </c>
      <c r="I1138" t="s">
        <v>184</v>
      </c>
      <c r="J1138" t="s">
        <v>30</v>
      </c>
      <c r="K1138" t="s">
        <v>185</v>
      </c>
      <c r="M1138" t="s">
        <v>32</v>
      </c>
      <c r="N1138" t="str">
        <f>"8/13/2008 12:00:00 AM"</f>
        <v>8/13/2008 12:00:00 AM</v>
      </c>
      <c r="O1138" t="s">
        <v>3191</v>
      </c>
    </row>
    <row r="1139" spans="1:20" x14ac:dyDescent="0.25">
      <c r="A1139" t="str">
        <f>"3076938"</f>
        <v>3076938</v>
      </c>
      <c r="B1139" t="s">
        <v>3193</v>
      </c>
      <c r="C1139" t="str">
        <f>"82525943"</f>
        <v>82525943</v>
      </c>
      <c r="D1139" t="s">
        <v>3194</v>
      </c>
      <c r="F1139" t="s">
        <v>3195</v>
      </c>
      <c r="I1139" t="s">
        <v>3196</v>
      </c>
      <c r="J1139" t="s">
        <v>30</v>
      </c>
      <c r="K1139" t="s">
        <v>3197</v>
      </c>
      <c r="M1139" t="s">
        <v>32</v>
      </c>
      <c r="N1139" t="str">
        <f>"1/23/2007 12:00:00 AM"</f>
        <v>1/23/2007 12:00:00 AM</v>
      </c>
      <c r="O1139" t="s">
        <v>3194</v>
      </c>
    </row>
    <row r="1140" spans="1:20" x14ac:dyDescent="0.25">
      <c r="A1140" t="str">
        <f>"3041125"</f>
        <v>3041125</v>
      </c>
      <c r="B1140" t="s">
        <v>3198</v>
      </c>
      <c r="C1140" t="str">
        <f>"82524558"</f>
        <v>82524558</v>
      </c>
      <c r="D1140" t="s">
        <v>3199</v>
      </c>
      <c r="F1140" t="s">
        <v>3200</v>
      </c>
      <c r="I1140" t="s">
        <v>184</v>
      </c>
      <c r="J1140" t="s">
        <v>30</v>
      </c>
      <c r="K1140" t="s">
        <v>3201</v>
      </c>
      <c r="M1140" t="s">
        <v>32</v>
      </c>
      <c r="N1140" t="str">
        <f>"1/23/2006 12:00:00 AM"</f>
        <v>1/23/2006 12:00:00 AM</v>
      </c>
      <c r="O1140" t="s">
        <v>3199</v>
      </c>
      <c r="T1140" t="s">
        <v>3199</v>
      </c>
    </row>
    <row r="1141" spans="1:20" x14ac:dyDescent="0.25">
      <c r="A1141" t="str">
        <f>"3041128"</f>
        <v>3041128</v>
      </c>
      <c r="B1141" t="s">
        <v>3202</v>
      </c>
      <c r="C1141" t="str">
        <f>"82521573"</f>
        <v>82521573</v>
      </c>
      <c r="D1141" t="s">
        <v>3203</v>
      </c>
      <c r="F1141" t="s">
        <v>3204</v>
      </c>
      <c r="I1141" t="s">
        <v>184</v>
      </c>
      <c r="J1141" t="s">
        <v>30</v>
      </c>
      <c r="K1141" t="s">
        <v>3205</v>
      </c>
      <c r="M1141" t="s">
        <v>32</v>
      </c>
      <c r="N1141" t="str">
        <f>"10/9/2009 12:00:00 AM"</f>
        <v>10/9/2009 12:00:00 AM</v>
      </c>
      <c r="O1141" t="s">
        <v>3203</v>
      </c>
    </row>
    <row r="1142" spans="1:20" x14ac:dyDescent="0.25">
      <c r="A1142" t="str">
        <f>"3041154"</f>
        <v>3041154</v>
      </c>
      <c r="B1142" t="s">
        <v>3206</v>
      </c>
      <c r="C1142" t="str">
        <f>"82521573"</f>
        <v>82521573</v>
      </c>
      <c r="D1142" t="s">
        <v>3203</v>
      </c>
      <c r="F1142" t="s">
        <v>3204</v>
      </c>
      <c r="I1142" t="s">
        <v>184</v>
      </c>
      <c r="J1142" t="s">
        <v>30</v>
      </c>
      <c r="K1142" t="s">
        <v>3205</v>
      </c>
      <c r="M1142" t="s">
        <v>32</v>
      </c>
      <c r="N1142" t="str">
        <f>"10/9/2009 12:00:00 AM"</f>
        <v>10/9/2009 12:00:00 AM</v>
      </c>
      <c r="O1142" t="s">
        <v>3203</v>
      </c>
    </row>
    <row r="1143" spans="1:20" x14ac:dyDescent="0.25">
      <c r="A1143" t="str">
        <f>"3041791"</f>
        <v>3041791</v>
      </c>
      <c r="B1143" t="s">
        <v>3207</v>
      </c>
      <c r="C1143" t="str">
        <f>"48040000"</f>
        <v>48040000</v>
      </c>
      <c r="D1143" t="s">
        <v>3208</v>
      </c>
      <c r="E1143" t="s">
        <v>3209</v>
      </c>
      <c r="F1143" t="s">
        <v>3210</v>
      </c>
      <c r="I1143" t="s">
        <v>184</v>
      </c>
      <c r="J1143" t="s">
        <v>30</v>
      </c>
      <c r="K1143" t="s">
        <v>185</v>
      </c>
      <c r="M1143" t="s">
        <v>32</v>
      </c>
      <c r="N1143" t="str">
        <f>"2/18/2004 12:00:00 AM"</f>
        <v>2/18/2004 12:00:00 AM</v>
      </c>
      <c r="O1143" t="s">
        <v>3208</v>
      </c>
      <c r="T1143" t="s">
        <v>3209</v>
      </c>
    </row>
    <row r="1144" spans="1:20" x14ac:dyDescent="0.25">
      <c r="A1144" t="str">
        <f>"3039825"</f>
        <v>3039825</v>
      </c>
      <c r="B1144" t="s">
        <v>3211</v>
      </c>
      <c r="C1144" t="str">
        <f>"80662750"</f>
        <v>80662750</v>
      </c>
      <c r="D1144" t="s">
        <v>3212</v>
      </c>
      <c r="E1144" t="s">
        <v>3213</v>
      </c>
      <c r="F1144" t="s">
        <v>3214</v>
      </c>
      <c r="I1144" t="s">
        <v>29</v>
      </c>
      <c r="J1144" t="s">
        <v>30</v>
      </c>
      <c r="K1144" t="s">
        <v>3215</v>
      </c>
      <c r="M1144" t="s">
        <v>32</v>
      </c>
      <c r="N1144" t="str">
        <f>"2/24/2005 12:00:00 AM"</f>
        <v>2/24/2005 12:00:00 AM</v>
      </c>
      <c r="O1144" t="s">
        <v>3212</v>
      </c>
      <c r="T1144" t="s">
        <v>3213</v>
      </c>
    </row>
    <row r="1145" spans="1:20" x14ac:dyDescent="0.25">
      <c r="A1145" t="str">
        <f>"3041921"</f>
        <v>3041921</v>
      </c>
      <c r="B1145" t="s">
        <v>3216</v>
      </c>
      <c r="C1145" t="str">
        <f>"82530231"</f>
        <v>82530231</v>
      </c>
      <c r="D1145" t="s">
        <v>3217</v>
      </c>
      <c r="E1145" t="s">
        <v>3218</v>
      </c>
      <c r="F1145" t="s">
        <v>3219</v>
      </c>
      <c r="G1145" t="s">
        <v>3220</v>
      </c>
      <c r="I1145" t="s">
        <v>471</v>
      </c>
      <c r="J1145" t="s">
        <v>30</v>
      </c>
      <c r="K1145" t="s">
        <v>3221</v>
      </c>
      <c r="M1145" t="s">
        <v>32</v>
      </c>
      <c r="N1145" t="str">
        <f>"11/7/2008 12:00:00 AM"</f>
        <v>11/7/2008 12:00:00 AM</v>
      </c>
      <c r="O1145" t="s">
        <v>3217</v>
      </c>
      <c r="T1145" t="s">
        <v>3218</v>
      </c>
    </row>
    <row r="1146" spans="1:20" x14ac:dyDescent="0.25">
      <c r="A1146" t="str">
        <f>"3041112"</f>
        <v>3041112</v>
      </c>
      <c r="B1146" t="s">
        <v>3222</v>
      </c>
      <c r="C1146" t="str">
        <f>"82530231"</f>
        <v>82530231</v>
      </c>
      <c r="D1146" t="s">
        <v>3217</v>
      </c>
      <c r="E1146" t="s">
        <v>3218</v>
      </c>
      <c r="F1146" t="s">
        <v>3219</v>
      </c>
      <c r="G1146" t="s">
        <v>3220</v>
      </c>
      <c r="I1146" t="s">
        <v>471</v>
      </c>
      <c r="J1146" t="s">
        <v>30</v>
      </c>
      <c r="K1146" t="s">
        <v>3221</v>
      </c>
      <c r="M1146" t="s">
        <v>32</v>
      </c>
      <c r="N1146" t="str">
        <f>"11/7/2008 12:00:00 AM"</f>
        <v>11/7/2008 12:00:00 AM</v>
      </c>
      <c r="O1146" t="s">
        <v>3217</v>
      </c>
      <c r="T1146" t="s">
        <v>3218</v>
      </c>
    </row>
    <row r="1147" spans="1:20" x14ac:dyDescent="0.25">
      <c r="A1147" t="str">
        <f>"3041119"</f>
        <v>3041119</v>
      </c>
      <c r="B1147" t="s">
        <v>3223</v>
      </c>
      <c r="C1147" t="str">
        <f>"82530231"</f>
        <v>82530231</v>
      </c>
      <c r="D1147" t="s">
        <v>3217</v>
      </c>
      <c r="E1147" t="s">
        <v>3218</v>
      </c>
      <c r="F1147" t="s">
        <v>3219</v>
      </c>
      <c r="G1147" t="s">
        <v>3220</v>
      </c>
      <c r="I1147" t="s">
        <v>471</v>
      </c>
      <c r="J1147" t="s">
        <v>30</v>
      </c>
      <c r="K1147" t="s">
        <v>3221</v>
      </c>
      <c r="M1147" t="s">
        <v>32</v>
      </c>
      <c r="N1147" t="str">
        <f>"11/7/2008 12:00:00 AM"</f>
        <v>11/7/2008 12:00:00 AM</v>
      </c>
      <c r="O1147" t="s">
        <v>3217</v>
      </c>
      <c r="T1147" t="s">
        <v>3218</v>
      </c>
    </row>
    <row r="1148" spans="1:20" x14ac:dyDescent="0.25">
      <c r="A1148" t="str">
        <f>"3041120"</f>
        <v>3041120</v>
      </c>
      <c r="B1148" t="s">
        <v>3224</v>
      </c>
      <c r="C1148" t="str">
        <f>"82530231"</f>
        <v>82530231</v>
      </c>
      <c r="D1148" t="s">
        <v>3217</v>
      </c>
      <c r="E1148" t="s">
        <v>3218</v>
      </c>
      <c r="F1148" t="s">
        <v>3219</v>
      </c>
      <c r="G1148" t="s">
        <v>3220</v>
      </c>
      <c r="I1148" t="s">
        <v>471</v>
      </c>
      <c r="J1148" t="s">
        <v>30</v>
      </c>
      <c r="K1148" t="s">
        <v>3221</v>
      </c>
      <c r="M1148" t="s">
        <v>32</v>
      </c>
      <c r="N1148" t="str">
        <f>"11/7/2008 12:00:00 AM"</f>
        <v>11/7/2008 12:00:00 AM</v>
      </c>
      <c r="O1148" t="s">
        <v>3217</v>
      </c>
      <c r="T1148" t="s">
        <v>3218</v>
      </c>
    </row>
    <row r="1149" spans="1:20" x14ac:dyDescent="0.25">
      <c r="A1149" t="str">
        <f>"3064266"</f>
        <v>3064266</v>
      </c>
      <c r="B1149" t="s">
        <v>3225</v>
      </c>
      <c r="C1149" t="str">
        <f>"82530231"</f>
        <v>82530231</v>
      </c>
      <c r="D1149" t="s">
        <v>3217</v>
      </c>
      <c r="E1149" t="s">
        <v>3218</v>
      </c>
      <c r="F1149" t="s">
        <v>3219</v>
      </c>
      <c r="G1149" t="s">
        <v>3220</v>
      </c>
      <c r="I1149" t="s">
        <v>471</v>
      </c>
      <c r="J1149" t="s">
        <v>30</v>
      </c>
      <c r="K1149" t="s">
        <v>3221</v>
      </c>
      <c r="M1149" t="s">
        <v>32</v>
      </c>
      <c r="N1149" t="str">
        <f>"11/7/2008 12:00:00 AM"</f>
        <v>11/7/2008 12:00:00 AM</v>
      </c>
      <c r="O1149" t="s">
        <v>3217</v>
      </c>
      <c r="T1149" t="s">
        <v>3218</v>
      </c>
    </row>
    <row r="1150" spans="1:20" x14ac:dyDescent="0.25">
      <c r="A1150" t="str">
        <f>"3041187"</f>
        <v>3041187</v>
      </c>
      <c r="B1150" t="s">
        <v>3226</v>
      </c>
      <c r="C1150" t="str">
        <f>"82527322"</f>
        <v>82527322</v>
      </c>
      <c r="D1150" t="s">
        <v>3227</v>
      </c>
      <c r="F1150" t="s">
        <v>3228</v>
      </c>
      <c r="I1150" t="s">
        <v>184</v>
      </c>
      <c r="J1150" t="s">
        <v>30</v>
      </c>
      <c r="K1150" t="s">
        <v>185</v>
      </c>
      <c r="M1150" t="s">
        <v>32</v>
      </c>
      <c r="N1150" t="str">
        <f>"1/14/2010 12:00:00 AM"</f>
        <v>1/14/2010 12:00:00 AM</v>
      </c>
      <c r="O1150" t="s">
        <v>3227</v>
      </c>
    </row>
    <row r="1151" spans="1:20" x14ac:dyDescent="0.25">
      <c r="A1151" t="str">
        <f>"3039833"</f>
        <v>3039833</v>
      </c>
      <c r="B1151" t="s">
        <v>3229</v>
      </c>
      <c r="C1151" t="str">
        <f>"82522576"</f>
        <v>82522576</v>
      </c>
      <c r="D1151" t="s">
        <v>3230</v>
      </c>
      <c r="E1151" t="s">
        <v>3231</v>
      </c>
      <c r="F1151" t="s">
        <v>3232</v>
      </c>
      <c r="I1151" t="s">
        <v>29</v>
      </c>
      <c r="J1151" t="s">
        <v>30</v>
      </c>
      <c r="K1151" t="s">
        <v>31</v>
      </c>
      <c r="M1151" t="s">
        <v>32</v>
      </c>
      <c r="N1151" t="str">
        <f>"9/15/2005 12:00:00 AM"</f>
        <v>9/15/2005 12:00:00 AM</v>
      </c>
      <c r="O1151" t="s">
        <v>3230</v>
      </c>
      <c r="T1151" t="s">
        <v>3231</v>
      </c>
    </row>
    <row r="1152" spans="1:20" x14ac:dyDescent="0.25">
      <c r="A1152" t="str">
        <f>"3057864"</f>
        <v>3057864</v>
      </c>
      <c r="B1152" t="s">
        <v>3233</v>
      </c>
      <c r="C1152" t="str">
        <f>"82520314"</f>
        <v>82520314</v>
      </c>
      <c r="D1152" t="s">
        <v>3234</v>
      </c>
      <c r="F1152" t="s">
        <v>3235</v>
      </c>
      <c r="I1152" t="s">
        <v>184</v>
      </c>
      <c r="J1152" t="s">
        <v>30</v>
      </c>
      <c r="K1152" t="s">
        <v>3236</v>
      </c>
      <c r="M1152" t="s">
        <v>32</v>
      </c>
      <c r="N1152" t="str">
        <f>"1/17/2006 12:00:00 AM"</f>
        <v>1/17/2006 12:00:00 AM</v>
      </c>
      <c r="O1152" t="s">
        <v>3234</v>
      </c>
    </row>
    <row r="1153" spans="1:20" x14ac:dyDescent="0.25">
      <c r="A1153" t="str">
        <f>"3057871"</f>
        <v>3057871</v>
      </c>
      <c r="B1153" t="s">
        <v>3237</v>
      </c>
      <c r="C1153" t="str">
        <f>"21600000"</f>
        <v>21600000</v>
      </c>
      <c r="D1153" t="s">
        <v>3238</v>
      </c>
      <c r="E1153" t="s">
        <v>3239</v>
      </c>
      <c r="F1153" t="s">
        <v>3240</v>
      </c>
      <c r="I1153" t="s">
        <v>184</v>
      </c>
      <c r="J1153" t="s">
        <v>30</v>
      </c>
      <c r="K1153" t="s">
        <v>185</v>
      </c>
      <c r="M1153" t="s">
        <v>32</v>
      </c>
      <c r="N1153" t="str">
        <f>"7/22/2003 12:00:00 AM"</f>
        <v>7/22/2003 12:00:00 AM</v>
      </c>
      <c r="O1153" t="s">
        <v>3238</v>
      </c>
      <c r="T1153" t="s">
        <v>3239</v>
      </c>
    </row>
    <row r="1154" spans="1:20" x14ac:dyDescent="0.25">
      <c r="A1154" t="str">
        <f>"3057898"</f>
        <v>3057898</v>
      </c>
      <c r="B1154" t="s">
        <v>3241</v>
      </c>
      <c r="C1154" t="str">
        <f>"21600000"</f>
        <v>21600000</v>
      </c>
      <c r="D1154" t="s">
        <v>3238</v>
      </c>
      <c r="E1154" t="s">
        <v>3239</v>
      </c>
      <c r="F1154" t="s">
        <v>3240</v>
      </c>
      <c r="I1154" t="s">
        <v>184</v>
      </c>
      <c r="J1154" t="s">
        <v>30</v>
      </c>
      <c r="K1154" t="s">
        <v>185</v>
      </c>
      <c r="M1154" t="s">
        <v>32</v>
      </c>
      <c r="N1154" t="str">
        <f>"7/22/2003 12:00:00 AM"</f>
        <v>7/22/2003 12:00:00 AM</v>
      </c>
      <c r="O1154" t="s">
        <v>3238</v>
      </c>
      <c r="T1154" t="s">
        <v>3239</v>
      </c>
    </row>
    <row r="1155" spans="1:20" x14ac:dyDescent="0.25">
      <c r="A1155" t="str">
        <f>"3057880"</f>
        <v>3057880</v>
      </c>
      <c r="B1155" t="s">
        <v>3242</v>
      </c>
      <c r="C1155" t="str">
        <f>"82528222"</f>
        <v>82528222</v>
      </c>
      <c r="D1155" t="s">
        <v>3243</v>
      </c>
      <c r="F1155" t="s">
        <v>3244</v>
      </c>
      <c r="I1155" t="s">
        <v>184</v>
      </c>
      <c r="J1155" t="s">
        <v>30</v>
      </c>
      <c r="K1155" t="s">
        <v>185</v>
      </c>
      <c r="M1155" t="s">
        <v>32</v>
      </c>
      <c r="N1155" t="str">
        <f>"6/26/2007 12:00:00 AM"</f>
        <v>6/26/2007 12:00:00 AM</v>
      </c>
      <c r="O1155" t="s">
        <v>3243</v>
      </c>
    </row>
    <row r="1156" spans="1:20" x14ac:dyDescent="0.25">
      <c r="A1156" t="str">
        <f>"3057873"</f>
        <v>3057873</v>
      </c>
      <c r="B1156" t="s">
        <v>3245</v>
      </c>
      <c r="C1156" t="str">
        <f>"46037380"</f>
        <v>46037380</v>
      </c>
      <c r="D1156" t="s">
        <v>3246</v>
      </c>
      <c r="F1156" t="s">
        <v>3247</v>
      </c>
      <c r="I1156" t="s">
        <v>184</v>
      </c>
      <c r="J1156" t="s">
        <v>30</v>
      </c>
      <c r="K1156" t="s">
        <v>185</v>
      </c>
      <c r="M1156" t="s">
        <v>32</v>
      </c>
      <c r="N1156" t="str">
        <f>"4/16/2002 12:00:00 AM"</f>
        <v>4/16/2002 12:00:00 AM</v>
      </c>
      <c r="O1156" t="s">
        <v>3246</v>
      </c>
    </row>
    <row r="1157" spans="1:20" x14ac:dyDescent="0.25">
      <c r="A1157" t="str">
        <f>"3057874"</f>
        <v>3057874</v>
      </c>
      <c r="B1157" t="s">
        <v>3248</v>
      </c>
      <c r="C1157" t="str">
        <f>"74304250"</f>
        <v>74304250</v>
      </c>
      <c r="D1157" t="s">
        <v>3249</v>
      </c>
      <c r="E1157" t="s">
        <v>3250</v>
      </c>
      <c r="F1157" t="s">
        <v>3251</v>
      </c>
      <c r="I1157" t="s">
        <v>184</v>
      </c>
      <c r="J1157" t="s">
        <v>30</v>
      </c>
      <c r="K1157" t="s">
        <v>185</v>
      </c>
      <c r="M1157" t="s">
        <v>32</v>
      </c>
      <c r="N1157" t="str">
        <f>"4/16/2002 12:00:00 AM"</f>
        <v>4/16/2002 12:00:00 AM</v>
      </c>
      <c r="O1157" t="s">
        <v>3249</v>
      </c>
      <c r="T1157" t="s">
        <v>3250</v>
      </c>
    </row>
    <row r="1158" spans="1:20" x14ac:dyDescent="0.25">
      <c r="A1158" t="str">
        <f>"3057875"</f>
        <v>3057875</v>
      </c>
      <c r="B1158" t="s">
        <v>3252</v>
      </c>
      <c r="C1158" t="str">
        <f>"37508000"</f>
        <v>37508000</v>
      </c>
      <c r="D1158" t="s">
        <v>3253</v>
      </c>
      <c r="E1158" t="s">
        <v>3254</v>
      </c>
      <c r="F1158" t="s">
        <v>3255</v>
      </c>
      <c r="I1158" t="s">
        <v>184</v>
      </c>
      <c r="J1158" t="s">
        <v>30</v>
      </c>
      <c r="K1158" t="s">
        <v>185</v>
      </c>
      <c r="M1158" t="s">
        <v>32</v>
      </c>
      <c r="N1158" t="str">
        <f>"2/23/2005 12:00:00 AM"</f>
        <v>2/23/2005 12:00:00 AM</v>
      </c>
      <c r="O1158" t="s">
        <v>3253</v>
      </c>
      <c r="T1158" t="s">
        <v>3254</v>
      </c>
    </row>
    <row r="1159" spans="1:20" x14ac:dyDescent="0.25">
      <c r="A1159" t="str">
        <f>"3040721"</f>
        <v>3040721</v>
      </c>
      <c r="B1159" t="s">
        <v>3256</v>
      </c>
      <c r="C1159" t="str">
        <f>"82515328"</f>
        <v>82515328</v>
      </c>
      <c r="D1159" t="s">
        <v>3257</v>
      </c>
      <c r="F1159" t="s">
        <v>3258</v>
      </c>
      <c r="I1159" t="s">
        <v>184</v>
      </c>
      <c r="J1159" t="s">
        <v>30</v>
      </c>
      <c r="K1159" t="s">
        <v>185</v>
      </c>
      <c r="M1159" t="s">
        <v>32</v>
      </c>
      <c r="N1159" t="str">
        <f>"9/1/2000 12:00:00 AM"</f>
        <v>9/1/2000 12:00:00 AM</v>
      </c>
      <c r="O1159" t="s">
        <v>3257</v>
      </c>
    </row>
    <row r="1160" spans="1:20" x14ac:dyDescent="0.25">
      <c r="A1160" t="str">
        <f>"3040723"</f>
        <v>3040723</v>
      </c>
      <c r="B1160" t="s">
        <v>3259</v>
      </c>
      <c r="C1160" t="str">
        <f>"60099500"</f>
        <v>60099500</v>
      </c>
      <c r="D1160" t="s">
        <v>3260</v>
      </c>
      <c r="F1160" t="s">
        <v>3261</v>
      </c>
      <c r="I1160" t="s">
        <v>184</v>
      </c>
      <c r="J1160" t="s">
        <v>30</v>
      </c>
      <c r="K1160" t="s">
        <v>185</v>
      </c>
      <c r="M1160" t="s">
        <v>32</v>
      </c>
      <c r="N1160" t="str">
        <f>"4/16/2002 12:00:00 AM"</f>
        <v>4/16/2002 12:00:00 AM</v>
      </c>
      <c r="O1160" t="s">
        <v>3260</v>
      </c>
    </row>
    <row r="1161" spans="1:20" x14ac:dyDescent="0.25">
      <c r="A1161" t="str">
        <f>"3040263"</f>
        <v>3040263</v>
      </c>
      <c r="B1161" t="s">
        <v>3262</v>
      </c>
      <c r="C1161" t="str">
        <f>"68252000"</f>
        <v>68252000</v>
      </c>
      <c r="D1161" t="s">
        <v>3263</v>
      </c>
      <c r="E1161" t="s">
        <v>3264</v>
      </c>
      <c r="F1161" t="s">
        <v>3265</v>
      </c>
      <c r="I1161" t="s">
        <v>184</v>
      </c>
      <c r="J1161" t="s">
        <v>30</v>
      </c>
      <c r="K1161" t="s">
        <v>185</v>
      </c>
      <c r="M1161" t="s">
        <v>32</v>
      </c>
      <c r="N1161" t="str">
        <f>"5/14/2004 12:00:00 AM"</f>
        <v>5/14/2004 12:00:00 AM</v>
      </c>
      <c r="O1161" t="s">
        <v>3263</v>
      </c>
      <c r="T1161" t="s">
        <v>3264</v>
      </c>
    </row>
    <row r="1162" spans="1:20" x14ac:dyDescent="0.25">
      <c r="A1162" t="str">
        <f>"3040496"</f>
        <v>3040496</v>
      </c>
      <c r="B1162" t="s">
        <v>3266</v>
      </c>
      <c r="C1162" t="str">
        <f>"82521197"</f>
        <v>82521197</v>
      </c>
      <c r="D1162" t="s">
        <v>3267</v>
      </c>
      <c r="E1162" t="s">
        <v>3268</v>
      </c>
      <c r="F1162" t="s">
        <v>3269</v>
      </c>
      <c r="I1162" t="s">
        <v>184</v>
      </c>
      <c r="J1162" t="s">
        <v>30</v>
      </c>
      <c r="K1162" t="s">
        <v>185</v>
      </c>
      <c r="M1162" t="s">
        <v>32</v>
      </c>
      <c r="N1162" t="str">
        <f>"2/10/2006 12:00:00 AM"</f>
        <v>2/10/2006 12:00:00 AM</v>
      </c>
      <c r="O1162" t="s">
        <v>3267</v>
      </c>
      <c r="T1162" t="s">
        <v>3268</v>
      </c>
    </row>
    <row r="1163" spans="1:20" x14ac:dyDescent="0.25">
      <c r="A1163" t="str">
        <f>"3040516"</f>
        <v>3040516</v>
      </c>
      <c r="B1163" t="s">
        <v>3270</v>
      </c>
      <c r="C1163" t="str">
        <f>"5238000"</f>
        <v>5238000</v>
      </c>
      <c r="D1163" t="s">
        <v>3271</v>
      </c>
      <c r="E1163" t="s">
        <v>3272</v>
      </c>
      <c r="F1163" t="s">
        <v>3273</v>
      </c>
      <c r="I1163" t="s">
        <v>184</v>
      </c>
      <c r="J1163" t="s">
        <v>30</v>
      </c>
      <c r="K1163" t="s">
        <v>185</v>
      </c>
      <c r="M1163" t="s">
        <v>32</v>
      </c>
      <c r="N1163" t="str">
        <f>"5/21/2003 12:00:00 AM"</f>
        <v>5/21/2003 12:00:00 AM</v>
      </c>
      <c r="O1163" t="s">
        <v>3271</v>
      </c>
      <c r="T1163" t="s">
        <v>3272</v>
      </c>
    </row>
    <row r="1164" spans="1:20" x14ac:dyDescent="0.25">
      <c r="A1164" t="str">
        <f>"3040519"</f>
        <v>3040519</v>
      </c>
      <c r="B1164" t="s">
        <v>3274</v>
      </c>
      <c r="C1164" t="str">
        <f>"31746000"</f>
        <v>31746000</v>
      </c>
      <c r="D1164" t="s">
        <v>3275</v>
      </c>
      <c r="E1164" t="s">
        <v>3276</v>
      </c>
      <c r="F1164" t="s">
        <v>3277</v>
      </c>
      <c r="I1164" t="s">
        <v>184</v>
      </c>
      <c r="J1164" t="s">
        <v>30</v>
      </c>
      <c r="K1164" t="s">
        <v>185</v>
      </c>
      <c r="M1164" t="s">
        <v>32</v>
      </c>
      <c r="N1164" t="str">
        <f>"4/16/2002 12:00:00 AM"</f>
        <v>4/16/2002 12:00:00 AM</v>
      </c>
      <c r="O1164" t="s">
        <v>3275</v>
      </c>
      <c r="T1164" t="s">
        <v>3276</v>
      </c>
    </row>
    <row r="1165" spans="1:20" x14ac:dyDescent="0.25">
      <c r="A1165" t="str">
        <f>"3040511"</f>
        <v>3040511</v>
      </c>
      <c r="B1165" t="s">
        <v>3278</v>
      </c>
      <c r="C1165" t="str">
        <f>"77744000"</f>
        <v>77744000</v>
      </c>
      <c r="D1165" t="s">
        <v>3279</v>
      </c>
      <c r="F1165" t="s">
        <v>3280</v>
      </c>
      <c r="I1165" t="s">
        <v>184</v>
      </c>
      <c r="J1165" t="s">
        <v>30</v>
      </c>
      <c r="K1165" t="s">
        <v>3281</v>
      </c>
      <c r="M1165" t="s">
        <v>32</v>
      </c>
      <c r="N1165" t="str">
        <f>"4/3/2007 12:00:00 AM"</f>
        <v>4/3/2007 12:00:00 AM</v>
      </c>
      <c r="O1165" t="s">
        <v>3279</v>
      </c>
    </row>
    <row r="1166" spans="1:20" x14ac:dyDescent="0.25">
      <c r="A1166" t="str">
        <f>"3040508"</f>
        <v>3040508</v>
      </c>
      <c r="B1166" t="s">
        <v>3282</v>
      </c>
      <c r="C1166" t="str">
        <f>"63466000"</f>
        <v>63466000</v>
      </c>
      <c r="D1166" t="s">
        <v>3283</v>
      </c>
      <c r="E1166" t="s">
        <v>3284</v>
      </c>
      <c r="F1166" t="s">
        <v>3285</v>
      </c>
      <c r="I1166" t="s">
        <v>184</v>
      </c>
      <c r="J1166" t="s">
        <v>30</v>
      </c>
      <c r="K1166" t="s">
        <v>185</v>
      </c>
      <c r="M1166" t="s">
        <v>32</v>
      </c>
      <c r="N1166" t="str">
        <f>"4/29/2004 12:00:00 AM"</f>
        <v>4/29/2004 12:00:00 AM</v>
      </c>
      <c r="O1166" t="s">
        <v>3283</v>
      </c>
      <c r="T1166" t="s">
        <v>3284</v>
      </c>
    </row>
    <row r="1167" spans="1:20" x14ac:dyDescent="0.25">
      <c r="A1167" t="str">
        <f>"3040914"</f>
        <v>3040914</v>
      </c>
      <c r="B1167" t="s">
        <v>3286</v>
      </c>
      <c r="C1167" t="str">
        <f>"68252000"</f>
        <v>68252000</v>
      </c>
      <c r="D1167" t="s">
        <v>3263</v>
      </c>
      <c r="E1167" t="s">
        <v>3264</v>
      </c>
      <c r="F1167" t="s">
        <v>3265</v>
      </c>
      <c r="I1167" t="s">
        <v>184</v>
      </c>
      <c r="J1167" t="s">
        <v>30</v>
      </c>
      <c r="K1167" t="s">
        <v>185</v>
      </c>
      <c r="M1167" t="s">
        <v>32</v>
      </c>
      <c r="N1167" t="str">
        <f>"5/14/2004 12:00:00 AM"</f>
        <v>5/14/2004 12:00:00 AM</v>
      </c>
      <c r="O1167" t="s">
        <v>3263</v>
      </c>
      <c r="T1167" t="s">
        <v>3264</v>
      </c>
    </row>
    <row r="1168" spans="1:20" x14ac:dyDescent="0.25">
      <c r="A1168" t="str">
        <f>"3040915"</f>
        <v>3040915</v>
      </c>
      <c r="B1168" t="s">
        <v>3287</v>
      </c>
      <c r="C1168" t="str">
        <f>"67068000"</f>
        <v>67068000</v>
      </c>
      <c r="D1168" t="s">
        <v>3288</v>
      </c>
      <c r="E1168" t="s">
        <v>3289</v>
      </c>
      <c r="F1168" t="s">
        <v>3290</v>
      </c>
      <c r="I1168" t="s">
        <v>184</v>
      </c>
      <c r="J1168" t="s">
        <v>30</v>
      </c>
      <c r="K1168" t="s">
        <v>3081</v>
      </c>
      <c r="M1168" t="s">
        <v>32</v>
      </c>
      <c r="N1168" t="str">
        <f>"1/13/2009 12:00:00 AM"</f>
        <v>1/13/2009 12:00:00 AM</v>
      </c>
      <c r="O1168" t="s">
        <v>3288</v>
      </c>
      <c r="T1168" t="s">
        <v>3289</v>
      </c>
    </row>
    <row r="1169" spans="1:20" x14ac:dyDescent="0.25">
      <c r="A1169" t="str">
        <f>"3076930"</f>
        <v>3076930</v>
      </c>
      <c r="B1169" t="s">
        <v>3291</v>
      </c>
      <c r="C1169" t="str">
        <f>"82527348"</f>
        <v>82527348</v>
      </c>
      <c r="D1169" t="s">
        <v>3292</v>
      </c>
      <c r="F1169" t="s">
        <v>3293</v>
      </c>
      <c r="I1169" t="s">
        <v>184</v>
      </c>
      <c r="J1169" t="s">
        <v>30</v>
      </c>
      <c r="K1169" t="s">
        <v>185</v>
      </c>
      <c r="M1169" t="s">
        <v>32</v>
      </c>
      <c r="N1169" t="str">
        <f>"12/29/2006 12:00:00 AM"</f>
        <v>12/29/2006 12:00:00 AM</v>
      </c>
      <c r="O1169" t="s">
        <v>3292</v>
      </c>
    </row>
    <row r="1170" spans="1:20" x14ac:dyDescent="0.25">
      <c r="A1170" t="str">
        <f>"3040593"</f>
        <v>3040593</v>
      </c>
      <c r="B1170" t="s">
        <v>3294</v>
      </c>
      <c r="C1170" t="str">
        <f>"36793000"</f>
        <v>36793000</v>
      </c>
      <c r="D1170" t="s">
        <v>3295</v>
      </c>
      <c r="E1170" t="s">
        <v>3296</v>
      </c>
      <c r="F1170" t="s">
        <v>3297</v>
      </c>
      <c r="I1170" t="s">
        <v>184</v>
      </c>
      <c r="J1170" t="s">
        <v>30</v>
      </c>
      <c r="K1170" t="s">
        <v>185</v>
      </c>
      <c r="M1170" t="s">
        <v>32</v>
      </c>
      <c r="N1170" t="str">
        <f>"1/23/2004 12:00:00 AM"</f>
        <v>1/23/2004 12:00:00 AM</v>
      </c>
      <c r="O1170" t="s">
        <v>3295</v>
      </c>
      <c r="T1170" t="s">
        <v>3296</v>
      </c>
    </row>
    <row r="1171" spans="1:20" x14ac:dyDescent="0.25">
      <c r="A1171" t="str">
        <f>"3040597"</f>
        <v>3040597</v>
      </c>
      <c r="B1171" t="s">
        <v>3298</v>
      </c>
      <c r="C1171" t="str">
        <f>"305500"</f>
        <v>305500</v>
      </c>
      <c r="D1171" t="s">
        <v>3299</v>
      </c>
      <c r="E1171" t="s">
        <v>3300</v>
      </c>
      <c r="F1171" t="s">
        <v>3301</v>
      </c>
      <c r="I1171" t="s">
        <v>184</v>
      </c>
      <c r="J1171" t="s">
        <v>30</v>
      </c>
      <c r="K1171" t="s">
        <v>185</v>
      </c>
      <c r="M1171" t="s">
        <v>32</v>
      </c>
      <c r="N1171" t="str">
        <f>"1/21/2004 12:00:00 AM"</f>
        <v>1/21/2004 12:00:00 AM</v>
      </c>
      <c r="O1171" t="s">
        <v>3299</v>
      </c>
      <c r="T1171" t="s">
        <v>3300</v>
      </c>
    </row>
    <row r="1172" spans="1:20" x14ac:dyDescent="0.25">
      <c r="A1172" t="str">
        <f>"3040477"</f>
        <v>3040477</v>
      </c>
      <c r="B1172" t="s">
        <v>3302</v>
      </c>
      <c r="C1172" t="str">
        <f>"82526546"</f>
        <v>82526546</v>
      </c>
      <c r="D1172" t="s">
        <v>3303</v>
      </c>
      <c r="E1172" t="s">
        <v>3304</v>
      </c>
      <c r="F1172" t="s">
        <v>3305</v>
      </c>
      <c r="I1172" t="s">
        <v>184</v>
      </c>
      <c r="J1172" t="s">
        <v>30</v>
      </c>
      <c r="K1172" t="s">
        <v>185</v>
      </c>
      <c r="M1172" t="s">
        <v>32</v>
      </c>
      <c r="N1172" t="str">
        <f>"1/9/2009 12:00:00 AM"</f>
        <v>1/9/2009 12:00:00 AM</v>
      </c>
      <c r="O1172" t="s">
        <v>3303</v>
      </c>
      <c r="T1172" t="s">
        <v>3304</v>
      </c>
    </row>
    <row r="1173" spans="1:20" x14ac:dyDescent="0.25">
      <c r="A1173" t="str">
        <f>"3040951"</f>
        <v>3040951</v>
      </c>
      <c r="B1173" t="s">
        <v>3306</v>
      </c>
      <c r="C1173" t="str">
        <f>"67188000"</f>
        <v>67188000</v>
      </c>
      <c r="D1173" t="s">
        <v>3307</v>
      </c>
      <c r="E1173" t="s">
        <v>3308</v>
      </c>
      <c r="F1173" t="s">
        <v>3309</v>
      </c>
      <c r="I1173" t="s">
        <v>184</v>
      </c>
      <c r="J1173" t="s">
        <v>30</v>
      </c>
      <c r="K1173" t="s">
        <v>185</v>
      </c>
      <c r="M1173" t="s">
        <v>32</v>
      </c>
      <c r="N1173" t="str">
        <f>"4/16/2002 12:00:00 AM"</f>
        <v>4/16/2002 12:00:00 AM</v>
      </c>
      <c r="O1173" t="s">
        <v>3307</v>
      </c>
      <c r="T1173" t="s">
        <v>3308</v>
      </c>
    </row>
    <row r="1174" spans="1:20" x14ac:dyDescent="0.25">
      <c r="A1174" t="str">
        <f>"3040542"</f>
        <v>3040542</v>
      </c>
      <c r="B1174" t="s">
        <v>3310</v>
      </c>
      <c r="C1174" t="str">
        <f>"82523066"</f>
        <v>82523066</v>
      </c>
      <c r="D1174" t="s">
        <v>3311</v>
      </c>
      <c r="F1174" t="s">
        <v>3312</v>
      </c>
      <c r="I1174" t="s">
        <v>184</v>
      </c>
      <c r="J1174" t="s">
        <v>30</v>
      </c>
      <c r="K1174" t="s">
        <v>3313</v>
      </c>
      <c r="M1174" t="s">
        <v>32</v>
      </c>
      <c r="N1174" t="str">
        <f>"2/18/2005 12:00:00 AM"</f>
        <v>2/18/2005 12:00:00 AM</v>
      </c>
      <c r="O1174" t="s">
        <v>3311</v>
      </c>
    </row>
    <row r="1175" spans="1:20" x14ac:dyDescent="0.25">
      <c r="A1175" t="str">
        <f>"3040589"</f>
        <v>3040589</v>
      </c>
      <c r="B1175" t="s">
        <v>3314</v>
      </c>
      <c r="C1175" t="str">
        <f>"77118500"</f>
        <v>77118500</v>
      </c>
      <c r="D1175" t="s">
        <v>3315</v>
      </c>
      <c r="F1175" t="s">
        <v>3316</v>
      </c>
      <c r="I1175" t="s">
        <v>184</v>
      </c>
      <c r="J1175" t="s">
        <v>30</v>
      </c>
      <c r="K1175" t="s">
        <v>3317</v>
      </c>
      <c r="M1175" t="s">
        <v>32</v>
      </c>
      <c r="N1175" t="str">
        <f>"1/25/2006 12:00:00 AM"</f>
        <v>1/25/2006 12:00:00 AM</v>
      </c>
      <c r="O1175" t="s">
        <v>3315</v>
      </c>
    </row>
    <row r="1176" spans="1:20" x14ac:dyDescent="0.25">
      <c r="A1176" t="str">
        <f>"3039379"</f>
        <v>3039379</v>
      </c>
      <c r="B1176" t="s">
        <v>3318</v>
      </c>
      <c r="C1176" t="str">
        <f>"67188000"</f>
        <v>67188000</v>
      </c>
      <c r="D1176" t="s">
        <v>3307</v>
      </c>
      <c r="E1176" t="s">
        <v>3308</v>
      </c>
      <c r="F1176" t="s">
        <v>3309</v>
      </c>
      <c r="I1176" t="s">
        <v>184</v>
      </c>
      <c r="J1176" t="s">
        <v>30</v>
      </c>
      <c r="K1176" t="s">
        <v>185</v>
      </c>
      <c r="M1176" t="s">
        <v>32</v>
      </c>
      <c r="N1176" t="str">
        <f>"4/16/2002 12:00:00 AM"</f>
        <v>4/16/2002 12:00:00 AM</v>
      </c>
      <c r="O1176" t="s">
        <v>3307</v>
      </c>
      <c r="T1176" t="s">
        <v>3308</v>
      </c>
    </row>
    <row r="1177" spans="1:20" x14ac:dyDescent="0.25">
      <c r="A1177" t="str">
        <f>"3041014"</f>
        <v>3041014</v>
      </c>
      <c r="B1177" t="s">
        <v>3319</v>
      </c>
      <c r="C1177" t="str">
        <f>"5377680"</f>
        <v>5377680</v>
      </c>
      <c r="D1177" t="s">
        <v>3320</v>
      </c>
      <c r="E1177" t="s">
        <v>3321</v>
      </c>
      <c r="F1177" t="s">
        <v>3322</v>
      </c>
      <c r="I1177" t="s">
        <v>184</v>
      </c>
      <c r="J1177" t="s">
        <v>30</v>
      </c>
      <c r="K1177" t="s">
        <v>3323</v>
      </c>
      <c r="M1177" t="s">
        <v>32</v>
      </c>
      <c r="N1177" t="str">
        <f>"2/15/2007 12:00:00 AM"</f>
        <v>2/15/2007 12:00:00 AM</v>
      </c>
      <c r="O1177" t="s">
        <v>3320</v>
      </c>
      <c r="T1177" t="s">
        <v>3321</v>
      </c>
    </row>
    <row r="1178" spans="1:20" x14ac:dyDescent="0.25">
      <c r="A1178" t="str">
        <f>"3040613"</f>
        <v>3040613</v>
      </c>
      <c r="B1178" t="s">
        <v>3324</v>
      </c>
      <c r="C1178" t="str">
        <f>"19398000"</f>
        <v>19398000</v>
      </c>
      <c r="D1178" t="s">
        <v>3325</v>
      </c>
      <c r="E1178" t="s">
        <v>3326</v>
      </c>
      <c r="F1178" t="s">
        <v>3327</v>
      </c>
      <c r="I1178" t="s">
        <v>184</v>
      </c>
      <c r="J1178" t="s">
        <v>30</v>
      </c>
      <c r="K1178" t="s">
        <v>185</v>
      </c>
      <c r="M1178" t="s">
        <v>32</v>
      </c>
      <c r="N1178" t="str">
        <f>"1/22/2004 12:00:00 AM"</f>
        <v>1/22/2004 12:00:00 AM</v>
      </c>
      <c r="O1178" t="s">
        <v>3325</v>
      </c>
      <c r="T1178" t="s">
        <v>3326</v>
      </c>
    </row>
    <row r="1179" spans="1:20" x14ac:dyDescent="0.25">
      <c r="A1179" t="str">
        <f>"3066977"</f>
        <v>3066977</v>
      </c>
      <c r="B1179" t="s">
        <v>3328</v>
      </c>
      <c r="C1179" t="str">
        <f>"20370000"</f>
        <v>20370000</v>
      </c>
      <c r="D1179" t="s">
        <v>3329</v>
      </c>
      <c r="E1179" t="s">
        <v>3330</v>
      </c>
      <c r="F1179" t="s">
        <v>3331</v>
      </c>
      <c r="I1179" t="s">
        <v>184</v>
      </c>
      <c r="J1179" t="s">
        <v>30</v>
      </c>
      <c r="K1179" t="s">
        <v>3332</v>
      </c>
      <c r="M1179" t="s">
        <v>32</v>
      </c>
      <c r="N1179" t="str">
        <f>"1/13/2006 12:00:00 AM"</f>
        <v>1/13/2006 12:00:00 AM</v>
      </c>
      <c r="O1179" t="s">
        <v>3329</v>
      </c>
      <c r="T1179" t="s">
        <v>3330</v>
      </c>
    </row>
    <row r="1180" spans="1:20" x14ac:dyDescent="0.25">
      <c r="A1180" t="str">
        <f>"3040489"</f>
        <v>3040489</v>
      </c>
      <c r="B1180" t="s">
        <v>3333</v>
      </c>
      <c r="C1180" t="str">
        <f>"50540250"</f>
        <v>50540250</v>
      </c>
      <c r="D1180" t="s">
        <v>3334</v>
      </c>
      <c r="F1180" t="str">
        <f>"C/O DEBRA GUSTAFSON"</f>
        <v>C/O DEBRA GUSTAFSON</v>
      </c>
      <c r="G1180" t="s">
        <v>3335</v>
      </c>
      <c r="I1180" t="s">
        <v>184</v>
      </c>
      <c r="J1180" t="s">
        <v>30</v>
      </c>
      <c r="K1180" t="s">
        <v>185</v>
      </c>
      <c r="M1180" t="s">
        <v>32</v>
      </c>
      <c r="N1180" t="str">
        <f>"2/23/2004 12:00:00 AM"</f>
        <v>2/23/2004 12:00:00 AM</v>
      </c>
      <c r="O1180" t="s">
        <v>3334</v>
      </c>
    </row>
    <row r="1181" spans="1:20" x14ac:dyDescent="0.25">
      <c r="A1181" t="str">
        <f>"3040616"</f>
        <v>3040616</v>
      </c>
      <c r="B1181" t="s">
        <v>3336</v>
      </c>
      <c r="C1181" t="str">
        <f>"33530000"</f>
        <v>33530000</v>
      </c>
      <c r="D1181" t="s">
        <v>3337</v>
      </c>
      <c r="E1181" t="s">
        <v>3338</v>
      </c>
      <c r="F1181" t="s">
        <v>3339</v>
      </c>
      <c r="I1181" t="s">
        <v>184</v>
      </c>
      <c r="J1181" t="s">
        <v>30</v>
      </c>
      <c r="K1181" t="s">
        <v>185</v>
      </c>
      <c r="M1181" t="s">
        <v>32</v>
      </c>
      <c r="N1181" t="str">
        <f>"10/13/2003 12:00:00 AM"</f>
        <v>10/13/2003 12:00:00 AM</v>
      </c>
      <c r="O1181" t="s">
        <v>3337</v>
      </c>
      <c r="T1181" t="s">
        <v>3338</v>
      </c>
    </row>
    <row r="1182" spans="1:20" x14ac:dyDescent="0.25">
      <c r="A1182" t="str">
        <f>"3040600"</f>
        <v>3040600</v>
      </c>
      <c r="B1182" t="s">
        <v>3340</v>
      </c>
      <c r="C1182" t="str">
        <f>"288500"</f>
        <v>288500</v>
      </c>
      <c r="D1182" t="s">
        <v>3341</v>
      </c>
      <c r="E1182" t="s">
        <v>3342</v>
      </c>
      <c r="F1182" t="s">
        <v>3343</v>
      </c>
      <c r="I1182" t="s">
        <v>3344</v>
      </c>
      <c r="J1182" t="s">
        <v>2738</v>
      </c>
      <c r="K1182" t="s">
        <v>3345</v>
      </c>
      <c r="M1182" t="s">
        <v>32</v>
      </c>
      <c r="N1182" t="str">
        <f>"5/7/2003 12:00:00 AM"</f>
        <v>5/7/2003 12:00:00 AM</v>
      </c>
      <c r="O1182" t="s">
        <v>3341</v>
      </c>
      <c r="T1182" t="s">
        <v>3342</v>
      </c>
    </row>
    <row r="1183" spans="1:20" x14ac:dyDescent="0.25">
      <c r="A1183" t="str">
        <f>"3040952"</f>
        <v>3040952</v>
      </c>
      <c r="B1183" t="s">
        <v>3346</v>
      </c>
      <c r="C1183" t="str">
        <f>"6601000"</f>
        <v>6601000</v>
      </c>
      <c r="D1183" t="s">
        <v>3347</v>
      </c>
      <c r="F1183" t="s">
        <v>3348</v>
      </c>
      <c r="I1183" t="s">
        <v>184</v>
      </c>
      <c r="J1183" t="s">
        <v>30</v>
      </c>
      <c r="K1183" t="s">
        <v>3323</v>
      </c>
      <c r="M1183" t="s">
        <v>32</v>
      </c>
      <c r="N1183" t="str">
        <f>"1/18/2005 12:00:00 AM"</f>
        <v>1/18/2005 12:00:00 AM</v>
      </c>
      <c r="O1183" t="s">
        <v>3347</v>
      </c>
    </row>
    <row r="1184" spans="1:20" x14ac:dyDescent="0.25">
      <c r="A1184" t="str">
        <f>"3061537"</f>
        <v>3061537</v>
      </c>
      <c r="B1184" t="s">
        <v>3349</v>
      </c>
      <c r="C1184" t="str">
        <f>"82515293"</f>
        <v>82515293</v>
      </c>
      <c r="D1184" t="s">
        <v>3350</v>
      </c>
      <c r="F1184" t="s">
        <v>3351</v>
      </c>
      <c r="I1184" t="s">
        <v>184</v>
      </c>
      <c r="J1184" t="s">
        <v>30</v>
      </c>
      <c r="K1184" t="s">
        <v>2097</v>
      </c>
      <c r="M1184" t="s">
        <v>32</v>
      </c>
      <c r="N1184" t="str">
        <f>"2/4/2010 12:00:00 AM"</f>
        <v>2/4/2010 12:00:00 AM</v>
      </c>
      <c r="O1184" t="s">
        <v>3350</v>
      </c>
    </row>
    <row r="1185" spans="1:20" x14ac:dyDescent="0.25">
      <c r="A1185" t="str">
        <f>"3061540"</f>
        <v>3061540</v>
      </c>
      <c r="B1185" t="s">
        <v>3352</v>
      </c>
      <c r="C1185" t="str">
        <f>"82514573"</f>
        <v>82514573</v>
      </c>
      <c r="D1185" t="s">
        <v>3353</v>
      </c>
      <c r="E1185" t="s">
        <v>3354</v>
      </c>
      <c r="F1185" t="s">
        <v>3355</v>
      </c>
      <c r="I1185" t="s">
        <v>184</v>
      </c>
      <c r="J1185" t="s">
        <v>30</v>
      </c>
      <c r="K1185" t="s">
        <v>185</v>
      </c>
      <c r="M1185" t="s">
        <v>32</v>
      </c>
      <c r="N1185" t="str">
        <f>"1/31/2006 12:00:00 AM"</f>
        <v>1/31/2006 12:00:00 AM</v>
      </c>
      <c r="O1185" t="s">
        <v>3353</v>
      </c>
      <c r="T1185" t="s">
        <v>3354</v>
      </c>
    </row>
    <row r="1186" spans="1:20" x14ac:dyDescent="0.25">
      <c r="A1186" t="str">
        <f>"3061579"</f>
        <v>3061579</v>
      </c>
      <c r="B1186" t="s">
        <v>3356</v>
      </c>
      <c r="C1186" t="str">
        <f>"4022220"</f>
        <v>4022220</v>
      </c>
      <c r="D1186" t="s">
        <v>3357</v>
      </c>
      <c r="E1186" t="s">
        <v>3358</v>
      </c>
      <c r="F1186" t="s">
        <v>3359</v>
      </c>
      <c r="I1186" t="s">
        <v>184</v>
      </c>
      <c r="J1186" t="s">
        <v>30</v>
      </c>
      <c r="K1186" t="s">
        <v>3360</v>
      </c>
      <c r="M1186" t="s">
        <v>32</v>
      </c>
      <c r="N1186" t="str">
        <f>"2/1/2006 12:00:00 AM"</f>
        <v>2/1/2006 12:00:00 AM</v>
      </c>
      <c r="O1186" t="s">
        <v>3357</v>
      </c>
      <c r="T1186" t="s">
        <v>3358</v>
      </c>
    </row>
    <row r="1187" spans="1:20" x14ac:dyDescent="0.25">
      <c r="A1187" t="str">
        <f>"3040953"</f>
        <v>3040953</v>
      </c>
      <c r="B1187" t="s">
        <v>3361</v>
      </c>
      <c r="C1187" t="str">
        <f>"69172000"</f>
        <v>69172000</v>
      </c>
      <c r="D1187" t="s">
        <v>3362</v>
      </c>
      <c r="E1187" t="s">
        <v>3363</v>
      </c>
      <c r="F1187" t="s">
        <v>3364</v>
      </c>
      <c r="I1187" t="s">
        <v>184</v>
      </c>
      <c r="J1187" t="s">
        <v>30</v>
      </c>
      <c r="K1187" t="s">
        <v>3323</v>
      </c>
      <c r="M1187" t="s">
        <v>32</v>
      </c>
      <c r="N1187" t="str">
        <f>"1/12/2006 12:00:00 AM"</f>
        <v>1/12/2006 12:00:00 AM</v>
      </c>
      <c r="O1187" t="s">
        <v>3362</v>
      </c>
      <c r="T1187" t="s">
        <v>3363</v>
      </c>
    </row>
    <row r="1188" spans="1:20" x14ac:dyDescent="0.25">
      <c r="A1188" t="str">
        <f>"3061544"</f>
        <v>3061544</v>
      </c>
      <c r="B1188" t="s">
        <v>3365</v>
      </c>
      <c r="C1188" t="str">
        <f>"70591230"</f>
        <v>70591230</v>
      </c>
      <c r="D1188" t="s">
        <v>3366</v>
      </c>
      <c r="E1188" t="s">
        <v>3367</v>
      </c>
      <c r="F1188" t="s">
        <v>3368</v>
      </c>
      <c r="I1188" t="s">
        <v>184</v>
      </c>
      <c r="J1188" t="s">
        <v>30</v>
      </c>
      <c r="K1188" t="s">
        <v>185</v>
      </c>
      <c r="M1188" t="s">
        <v>32</v>
      </c>
      <c r="N1188" t="str">
        <f>"5/20/2004 12:00:00 AM"</f>
        <v>5/20/2004 12:00:00 AM</v>
      </c>
      <c r="O1188" t="s">
        <v>3366</v>
      </c>
      <c r="T1188" t="s">
        <v>3367</v>
      </c>
    </row>
    <row r="1189" spans="1:20" x14ac:dyDescent="0.25">
      <c r="A1189" t="str">
        <f>"3061550"</f>
        <v>3061550</v>
      </c>
      <c r="B1189" t="s">
        <v>3369</v>
      </c>
      <c r="C1189" t="str">
        <f>"82522289"</f>
        <v>82522289</v>
      </c>
      <c r="D1189" t="s">
        <v>3370</v>
      </c>
      <c r="E1189" t="s">
        <v>3371</v>
      </c>
      <c r="F1189" t="s">
        <v>3372</v>
      </c>
      <c r="I1189" t="s">
        <v>184</v>
      </c>
      <c r="J1189" t="s">
        <v>30</v>
      </c>
      <c r="K1189" t="s">
        <v>185</v>
      </c>
      <c r="M1189" t="s">
        <v>32</v>
      </c>
      <c r="N1189" t="str">
        <f>"9/7/2010 12:00:00 AM"</f>
        <v>9/7/2010 12:00:00 AM</v>
      </c>
      <c r="O1189" t="s">
        <v>3370</v>
      </c>
      <c r="T1189" t="s">
        <v>3371</v>
      </c>
    </row>
    <row r="1190" spans="1:20" x14ac:dyDescent="0.25">
      <c r="A1190" t="str">
        <f>"3059608"</f>
        <v>3059608</v>
      </c>
      <c r="B1190" t="s">
        <v>3373</v>
      </c>
      <c r="C1190" t="str">
        <f>"82522289"</f>
        <v>82522289</v>
      </c>
      <c r="D1190" t="s">
        <v>3370</v>
      </c>
      <c r="E1190" t="s">
        <v>3371</v>
      </c>
      <c r="F1190" t="s">
        <v>3372</v>
      </c>
      <c r="I1190" t="s">
        <v>184</v>
      </c>
      <c r="J1190" t="s">
        <v>30</v>
      </c>
      <c r="K1190" t="s">
        <v>185</v>
      </c>
      <c r="M1190" t="s">
        <v>32</v>
      </c>
      <c r="N1190" t="str">
        <f>"9/7/2010 12:00:00 AM"</f>
        <v>9/7/2010 12:00:00 AM</v>
      </c>
      <c r="O1190" t="s">
        <v>3370</v>
      </c>
      <c r="T1190" t="s">
        <v>3371</v>
      </c>
    </row>
    <row r="1191" spans="1:20" x14ac:dyDescent="0.25">
      <c r="A1191" t="str">
        <f>"3061551"</f>
        <v>3061551</v>
      </c>
      <c r="B1191" t="s">
        <v>3374</v>
      </c>
      <c r="C1191" t="str">
        <f>"82526373"</f>
        <v>82526373</v>
      </c>
      <c r="D1191" t="s">
        <v>3375</v>
      </c>
      <c r="E1191" t="s">
        <v>3376</v>
      </c>
      <c r="F1191" t="s">
        <v>3377</v>
      </c>
      <c r="I1191" t="s">
        <v>184</v>
      </c>
      <c r="J1191" t="s">
        <v>30</v>
      </c>
      <c r="K1191" t="s">
        <v>185</v>
      </c>
      <c r="M1191" t="s">
        <v>32</v>
      </c>
      <c r="N1191" t="str">
        <f>"2/12/2007 12:00:00 AM"</f>
        <v>2/12/2007 12:00:00 AM</v>
      </c>
      <c r="O1191" t="s">
        <v>3375</v>
      </c>
      <c r="T1191" t="s">
        <v>3376</v>
      </c>
    </row>
    <row r="1192" spans="1:20" x14ac:dyDescent="0.25">
      <c r="A1192" t="str">
        <f>"3040619"</f>
        <v>3040619</v>
      </c>
      <c r="B1192" t="s">
        <v>3378</v>
      </c>
      <c r="C1192" t="str">
        <f>"63490500"</f>
        <v>63490500</v>
      </c>
      <c r="D1192" t="s">
        <v>3379</v>
      </c>
      <c r="E1192" t="s">
        <v>3380</v>
      </c>
      <c r="F1192" t="s">
        <v>3381</v>
      </c>
      <c r="I1192" t="s">
        <v>184</v>
      </c>
      <c r="J1192" t="s">
        <v>30</v>
      </c>
      <c r="K1192" t="s">
        <v>185</v>
      </c>
      <c r="M1192" t="s">
        <v>32</v>
      </c>
      <c r="N1192" t="str">
        <f>"8/6/2002 12:00:00 AM"</f>
        <v>8/6/2002 12:00:00 AM</v>
      </c>
      <c r="O1192" t="s">
        <v>3379</v>
      </c>
      <c r="T1192" t="s">
        <v>3380</v>
      </c>
    </row>
    <row r="1193" spans="1:20" x14ac:dyDescent="0.25">
      <c r="A1193" t="str">
        <f>"3040634"</f>
        <v>3040634</v>
      </c>
      <c r="B1193" t="s">
        <v>3382</v>
      </c>
      <c r="C1193" t="str">
        <f>"74222000"</f>
        <v>74222000</v>
      </c>
      <c r="D1193" t="s">
        <v>3383</v>
      </c>
      <c r="F1193" t="s">
        <v>3384</v>
      </c>
      <c r="I1193" t="s">
        <v>184</v>
      </c>
      <c r="J1193" t="s">
        <v>30</v>
      </c>
      <c r="K1193" t="s">
        <v>185</v>
      </c>
      <c r="M1193" t="s">
        <v>32</v>
      </c>
      <c r="N1193" t="str">
        <f>"6/21/2004 12:00:00 AM"</f>
        <v>6/21/2004 12:00:00 AM</v>
      </c>
      <c r="O1193" t="s">
        <v>3383</v>
      </c>
    </row>
    <row r="1194" spans="1:20" x14ac:dyDescent="0.25">
      <c r="A1194" t="str">
        <f>"3040621"</f>
        <v>3040621</v>
      </c>
      <c r="B1194" t="s">
        <v>3385</v>
      </c>
      <c r="C1194" t="str">
        <f>"65182000"</f>
        <v>65182000</v>
      </c>
      <c r="D1194" t="s">
        <v>3386</v>
      </c>
      <c r="E1194" t="s">
        <v>3387</v>
      </c>
      <c r="F1194" t="s">
        <v>3388</v>
      </c>
      <c r="I1194" t="s">
        <v>184</v>
      </c>
      <c r="J1194" t="s">
        <v>30</v>
      </c>
      <c r="K1194" t="s">
        <v>185</v>
      </c>
      <c r="M1194" t="s">
        <v>32</v>
      </c>
      <c r="N1194" t="str">
        <f>"4/17/2002 12:00:00 AM"</f>
        <v>4/17/2002 12:00:00 AM</v>
      </c>
      <c r="O1194" t="s">
        <v>3386</v>
      </c>
      <c r="T1194" t="s">
        <v>3387</v>
      </c>
    </row>
    <row r="1195" spans="1:20" x14ac:dyDescent="0.25">
      <c r="A1195" t="str">
        <f>"3040411"</f>
        <v>3040411</v>
      </c>
      <c r="B1195" t="s">
        <v>3389</v>
      </c>
      <c r="C1195" t="str">
        <f>"65182000"</f>
        <v>65182000</v>
      </c>
      <c r="D1195" t="s">
        <v>3386</v>
      </c>
      <c r="E1195" t="s">
        <v>3387</v>
      </c>
      <c r="F1195" t="s">
        <v>3388</v>
      </c>
      <c r="I1195" t="s">
        <v>184</v>
      </c>
      <c r="J1195" t="s">
        <v>30</v>
      </c>
      <c r="K1195" t="s">
        <v>185</v>
      </c>
      <c r="M1195" t="s">
        <v>32</v>
      </c>
      <c r="N1195" t="str">
        <f>"4/17/2002 12:00:00 AM"</f>
        <v>4/17/2002 12:00:00 AM</v>
      </c>
      <c r="O1195" t="s">
        <v>3386</v>
      </c>
      <c r="T1195" t="s">
        <v>3387</v>
      </c>
    </row>
    <row r="1196" spans="1:20" x14ac:dyDescent="0.25">
      <c r="A1196" t="str">
        <f>"3057925"</f>
        <v>3057925</v>
      </c>
      <c r="B1196" t="s">
        <v>3390</v>
      </c>
      <c r="C1196" t="str">
        <f>"82519818"</f>
        <v>82519818</v>
      </c>
      <c r="D1196" t="s">
        <v>3391</v>
      </c>
      <c r="F1196" t="s">
        <v>3392</v>
      </c>
      <c r="I1196" t="s">
        <v>184</v>
      </c>
      <c r="J1196" t="s">
        <v>30</v>
      </c>
      <c r="K1196" t="s">
        <v>185</v>
      </c>
      <c r="M1196" t="s">
        <v>32</v>
      </c>
      <c r="N1196" t="str">
        <f>"9/8/2010 12:00:00 AM"</f>
        <v>9/8/2010 12:00:00 AM</v>
      </c>
      <c r="O1196" t="s">
        <v>3391</v>
      </c>
    </row>
    <row r="1197" spans="1:20" x14ac:dyDescent="0.25">
      <c r="A1197" t="str">
        <f>"3040954"</f>
        <v>3040954</v>
      </c>
      <c r="B1197" t="s">
        <v>3393</v>
      </c>
      <c r="C1197" t="str">
        <f>"82524947"</f>
        <v>82524947</v>
      </c>
      <c r="D1197" t="s">
        <v>3394</v>
      </c>
      <c r="E1197" t="s">
        <v>3395</v>
      </c>
      <c r="F1197" t="s">
        <v>3396</v>
      </c>
      <c r="I1197" t="s">
        <v>184</v>
      </c>
      <c r="J1197" t="s">
        <v>30</v>
      </c>
      <c r="K1197" t="s">
        <v>185</v>
      </c>
      <c r="M1197" t="s">
        <v>32</v>
      </c>
      <c r="N1197" t="str">
        <f>"5/24/2010 12:00:00 AM"</f>
        <v>5/24/2010 12:00:00 AM</v>
      </c>
      <c r="O1197" t="s">
        <v>3394</v>
      </c>
      <c r="T1197" t="s">
        <v>3395</v>
      </c>
    </row>
    <row r="1198" spans="1:20" x14ac:dyDescent="0.25">
      <c r="A1198" t="str">
        <f>"3057907"</f>
        <v>3057907</v>
      </c>
      <c r="B1198" t="s">
        <v>3397</v>
      </c>
      <c r="C1198" t="str">
        <f>"82529397"</f>
        <v>82529397</v>
      </c>
      <c r="D1198" t="s">
        <v>3398</v>
      </c>
      <c r="E1198" t="s">
        <v>3399</v>
      </c>
      <c r="F1198" t="s">
        <v>3400</v>
      </c>
      <c r="I1198" t="s">
        <v>184</v>
      </c>
      <c r="J1198" t="s">
        <v>30</v>
      </c>
      <c r="K1198" t="s">
        <v>185</v>
      </c>
      <c r="M1198" t="s">
        <v>32</v>
      </c>
      <c r="N1198" t="str">
        <f>"1/21/2009 12:00:00 AM"</f>
        <v>1/21/2009 12:00:00 AM</v>
      </c>
      <c r="O1198" t="s">
        <v>3398</v>
      </c>
      <c r="T1198" t="s">
        <v>3399</v>
      </c>
    </row>
    <row r="1199" spans="1:20" x14ac:dyDescent="0.25">
      <c r="A1199" t="str">
        <f>"3057948"</f>
        <v>3057948</v>
      </c>
      <c r="B1199" t="s">
        <v>3401</v>
      </c>
      <c r="C1199" t="str">
        <f>"25361360"</f>
        <v>25361360</v>
      </c>
      <c r="D1199" t="s">
        <v>3402</v>
      </c>
      <c r="E1199" t="s">
        <v>3403</v>
      </c>
      <c r="F1199" t="s">
        <v>3404</v>
      </c>
      <c r="I1199" t="s">
        <v>184</v>
      </c>
      <c r="J1199" t="s">
        <v>30</v>
      </c>
      <c r="K1199" t="s">
        <v>185</v>
      </c>
      <c r="M1199" t="s">
        <v>32</v>
      </c>
      <c r="N1199" t="str">
        <f>"3/9/2009 12:00:00 AM"</f>
        <v>3/9/2009 12:00:00 AM</v>
      </c>
      <c r="O1199" t="s">
        <v>3402</v>
      </c>
      <c r="T1199" t="s">
        <v>3403</v>
      </c>
    </row>
    <row r="1200" spans="1:20" x14ac:dyDescent="0.25">
      <c r="A1200" t="str">
        <f>"3057949"</f>
        <v>3057949</v>
      </c>
      <c r="B1200" t="s">
        <v>3405</v>
      </c>
      <c r="C1200" t="str">
        <f>"82526857"</f>
        <v>82526857</v>
      </c>
      <c r="D1200" t="s">
        <v>3406</v>
      </c>
      <c r="E1200" t="s">
        <v>3407</v>
      </c>
      <c r="F1200" t="s">
        <v>3408</v>
      </c>
      <c r="I1200" t="s">
        <v>184</v>
      </c>
      <c r="J1200" t="s">
        <v>30</v>
      </c>
      <c r="K1200" t="s">
        <v>185</v>
      </c>
      <c r="M1200" t="s">
        <v>32</v>
      </c>
      <c r="N1200" t="str">
        <f>"9/20/2006 12:00:00 AM"</f>
        <v>9/20/2006 12:00:00 AM</v>
      </c>
      <c r="O1200" t="s">
        <v>3406</v>
      </c>
      <c r="T1200" t="s">
        <v>3407</v>
      </c>
    </row>
    <row r="1201" spans="1:20" x14ac:dyDescent="0.25">
      <c r="A1201" t="str">
        <f>"3057951"</f>
        <v>3057951</v>
      </c>
      <c r="B1201" t="s">
        <v>3409</v>
      </c>
      <c r="C1201" t="str">
        <f>"82523209"</f>
        <v>82523209</v>
      </c>
      <c r="D1201" t="s">
        <v>3410</v>
      </c>
      <c r="F1201" t="s">
        <v>3411</v>
      </c>
      <c r="I1201" t="s">
        <v>184</v>
      </c>
      <c r="J1201" t="s">
        <v>30</v>
      </c>
      <c r="K1201" t="s">
        <v>3412</v>
      </c>
      <c r="M1201" t="s">
        <v>32</v>
      </c>
      <c r="N1201" t="str">
        <f>"2/10/2005 12:00:00 AM"</f>
        <v>2/10/2005 12:00:00 AM</v>
      </c>
      <c r="O1201" t="s">
        <v>3410</v>
      </c>
    </row>
    <row r="1202" spans="1:20" x14ac:dyDescent="0.25">
      <c r="A1202" t="str">
        <f>"3065800"</f>
        <v>3065800</v>
      </c>
      <c r="B1202" t="s">
        <v>3413</v>
      </c>
      <c r="C1202" t="str">
        <f>"82521387"</f>
        <v>82521387</v>
      </c>
      <c r="D1202" t="s">
        <v>3414</v>
      </c>
      <c r="E1202" t="s">
        <v>3415</v>
      </c>
      <c r="F1202" t="s">
        <v>3416</v>
      </c>
      <c r="I1202" t="s">
        <v>184</v>
      </c>
      <c r="J1202" t="s">
        <v>30</v>
      </c>
      <c r="K1202" t="s">
        <v>3323</v>
      </c>
      <c r="M1202" t="s">
        <v>32</v>
      </c>
      <c r="N1202" t="str">
        <f>"7/27/2005 12:00:00 AM"</f>
        <v>7/27/2005 12:00:00 AM</v>
      </c>
      <c r="O1202" t="s">
        <v>3414</v>
      </c>
      <c r="T1202" t="s">
        <v>3415</v>
      </c>
    </row>
    <row r="1203" spans="1:20" x14ac:dyDescent="0.25">
      <c r="A1203" t="str">
        <f>"3042314"</f>
        <v>3042314</v>
      </c>
      <c r="B1203" t="s">
        <v>3417</v>
      </c>
      <c r="C1203" t="str">
        <f>"82521973"</f>
        <v>82521973</v>
      </c>
      <c r="D1203" t="s">
        <v>3418</v>
      </c>
      <c r="E1203" t="s">
        <v>3419</v>
      </c>
      <c r="F1203" t="s">
        <v>3420</v>
      </c>
      <c r="I1203" t="s">
        <v>184</v>
      </c>
      <c r="J1203" t="s">
        <v>30</v>
      </c>
      <c r="K1203" t="s">
        <v>185</v>
      </c>
      <c r="M1203" t="s">
        <v>32</v>
      </c>
      <c r="N1203" t="str">
        <f>"1/12/2004 12:00:00 AM"</f>
        <v>1/12/2004 12:00:00 AM</v>
      </c>
      <c r="O1203" t="s">
        <v>3418</v>
      </c>
      <c r="T1203" t="s">
        <v>3419</v>
      </c>
    </row>
    <row r="1204" spans="1:20" x14ac:dyDescent="0.25">
      <c r="A1204" t="str">
        <f>"3040949"</f>
        <v>3040949</v>
      </c>
      <c r="B1204" t="s">
        <v>3421</v>
      </c>
      <c r="C1204" t="str">
        <f>"2495000"</f>
        <v>2495000</v>
      </c>
      <c r="D1204" t="s">
        <v>3422</v>
      </c>
      <c r="E1204" t="s">
        <v>3423</v>
      </c>
      <c r="F1204" t="s">
        <v>3424</v>
      </c>
      <c r="I1204" t="s">
        <v>184</v>
      </c>
      <c r="J1204" t="s">
        <v>30</v>
      </c>
      <c r="K1204" t="s">
        <v>185</v>
      </c>
      <c r="M1204" t="s">
        <v>32</v>
      </c>
      <c r="N1204" t="str">
        <f>"5/13/2003 12:00:00 AM"</f>
        <v>5/13/2003 12:00:00 AM</v>
      </c>
      <c r="O1204" t="s">
        <v>3422</v>
      </c>
      <c r="T1204" t="s">
        <v>3423</v>
      </c>
    </row>
    <row r="1205" spans="1:20" x14ac:dyDescent="0.25">
      <c r="A1205" t="str">
        <f>"3042345"</f>
        <v>3042345</v>
      </c>
      <c r="B1205" t="s">
        <v>3425</v>
      </c>
      <c r="C1205" t="str">
        <f>"82522228"</f>
        <v>82522228</v>
      </c>
      <c r="D1205" t="s">
        <v>3426</v>
      </c>
      <c r="E1205" t="s">
        <v>3427</v>
      </c>
      <c r="F1205" t="s">
        <v>3428</v>
      </c>
      <c r="I1205" t="s">
        <v>184</v>
      </c>
      <c r="J1205" t="s">
        <v>30</v>
      </c>
      <c r="K1205" t="s">
        <v>185</v>
      </c>
      <c r="M1205" t="s">
        <v>32</v>
      </c>
      <c r="N1205" t="str">
        <f>"2/17/2005 12:00:00 AM"</f>
        <v>2/17/2005 12:00:00 AM</v>
      </c>
      <c r="O1205" t="s">
        <v>3426</v>
      </c>
      <c r="T1205" t="s">
        <v>3427</v>
      </c>
    </row>
    <row r="1206" spans="1:20" x14ac:dyDescent="0.25">
      <c r="A1206" t="str">
        <f>"3042347"</f>
        <v>3042347</v>
      </c>
      <c r="B1206" t="s">
        <v>3429</v>
      </c>
      <c r="C1206" t="str">
        <f>"82520799"</f>
        <v>82520799</v>
      </c>
      <c r="D1206" t="s">
        <v>3430</v>
      </c>
      <c r="E1206" t="s">
        <v>3431</v>
      </c>
      <c r="F1206" t="s">
        <v>3432</v>
      </c>
      <c r="I1206" t="s">
        <v>184</v>
      </c>
      <c r="J1206" t="s">
        <v>30</v>
      </c>
      <c r="K1206" t="s">
        <v>3433</v>
      </c>
      <c r="M1206" t="s">
        <v>32</v>
      </c>
      <c r="N1206" t="str">
        <f>"1/25/2005 12:00:00 AM"</f>
        <v>1/25/2005 12:00:00 AM</v>
      </c>
      <c r="O1206" t="s">
        <v>3430</v>
      </c>
      <c r="T1206" t="s">
        <v>3431</v>
      </c>
    </row>
    <row r="1207" spans="1:20" x14ac:dyDescent="0.25">
      <c r="A1207" t="str">
        <f>"3040987"</f>
        <v>3040987</v>
      </c>
      <c r="B1207" t="s">
        <v>3434</v>
      </c>
      <c r="C1207" t="str">
        <f>"82514218"</f>
        <v>82514218</v>
      </c>
      <c r="D1207" t="s">
        <v>3435</v>
      </c>
      <c r="F1207" t="s">
        <v>3436</v>
      </c>
      <c r="I1207" t="s">
        <v>184</v>
      </c>
      <c r="J1207" t="s">
        <v>30</v>
      </c>
      <c r="K1207" t="s">
        <v>185</v>
      </c>
      <c r="M1207" t="s">
        <v>32</v>
      </c>
      <c r="N1207" t="str">
        <f>"10/10/2001 12:00:00 AM"</f>
        <v>10/10/2001 12:00:00 AM</v>
      </c>
      <c r="O1207" t="s">
        <v>3435</v>
      </c>
    </row>
    <row r="1208" spans="1:20" x14ac:dyDescent="0.25">
      <c r="A1208" t="str">
        <f>"3040383"</f>
        <v>3040383</v>
      </c>
      <c r="B1208" t="s">
        <v>3437</v>
      </c>
      <c r="C1208" t="str">
        <f>"82514218"</f>
        <v>82514218</v>
      </c>
      <c r="D1208" t="s">
        <v>3435</v>
      </c>
      <c r="F1208" t="s">
        <v>3436</v>
      </c>
      <c r="I1208" t="s">
        <v>184</v>
      </c>
      <c r="J1208" t="s">
        <v>30</v>
      </c>
      <c r="K1208" t="s">
        <v>185</v>
      </c>
      <c r="M1208" t="s">
        <v>32</v>
      </c>
      <c r="N1208" t="str">
        <f>"10/10/2001 12:00:00 AM"</f>
        <v>10/10/2001 12:00:00 AM</v>
      </c>
      <c r="O1208" t="s">
        <v>3435</v>
      </c>
    </row>
    <row r="1209" spans="1:20" x14ac:dyDescent="0.25">
      <c r="A1209" t="str">
        <f>"3040812"</f>
        <v>3040812</v>
      </c>
      <c r="B1209" t="s">
        <v>3438</v>
      </c>
      <c r="C1209" t="str">
        <f>"14758000"</f>
        <v>14758000</v>
      </c>
      <c r="D1209" t="s">
        <v>3439</v>
      </c>
      <c r="F1209" t="s">
        <v>3440</v>
      </c>
      <c r="I1209" t="s">
        <v>184</v>
      </c>
      <c r="J1209" t="s">
        <v>30</v>
      </c>
      <c r="K1209" t="s">
        <v>185</v>
      </c>
      <c r="M1209" t="s">
        <v>32</v>
      </c>
      <c r="N1209" t="str">
        <f>"4/16/2002 12:00:00 AM"</f>
        <v>4/16/2002 12:00:00 AM</v>
      </c>
      <c r="O1209" t="s">
        <v>3439</v>
      </c>
    </row>
    <row r="1210" spans="1:20" x14ac:dyDescent="0.25">
      <c r="A1210" t="str">
        <f>"3042358"</f>
        <v>3042358</v>
      </c>
      <c r="B1210" t="s">
        <v>3441</v>
      </c>
      <c r="C1210" t="str">
        <f>"82524548"</f>
        <v>82524548</v>
      </c>
      <c r="D1210" t="s">
        <v>3442</v>
      </c>
      <c r="E1210" t="s">
        <v>3443</v>
      </c>
      <c r="F1210" t="s">
        <v>3444</v>
      </c>
      <c r="I1210" t="s">
        <v>184</v>
      </c>
      <c r="J1210" t="s">
        <v>30</v>
      </c>
      <c r="K1210" t="s">
        <v>3445</v>
      </c>
      <c r="M1210" t="s">
        <v>32</v>
      </c>
      <c r="N1210" t="str">
        <f>"1/17/2006 12:00:00 AM"</f>
        <v>1/17/2006 12:00:00 AM</v>
      </c>
      <c r="O1210" t="s">
        <v>3442</v>
      </c>
      <c r="T1210" t="s">
        <v>3443</v>
      </c>
    </row>
    <row r="1211" spans="1:20" x14ac:dyDescent="0.25">
      <c r="A1211" t="str">
        <f>"3042359"</f>
        <v>3042359</v>
      </c>
      <c r="B1211" t="s">
        <v>3446</v>
      </c>
      <c r="C1211" t="str">
        <f>"82524148"</f>
        <v>82524148</v>
      </c>
      <c r="D1211" t="s">
        <v>3447</v>
      </c>
      <c r="E1211" t="s">
        <v>3448</v>
      </c>
      <c r="F1211" t="s">
        <v>3449</v>
      </c>
      <c r="I1211" t="s">
        <v>184</v>
      </c>
      <c r="J1211" t="s">
        <v>30</v>
      </c>
      <c r="K1211" t="s">
        <v>185</v>
      </c>
      <c r="M1211" t="s">
        <v>32</v>
      </c>
      <c r="N1211" t="str">
        <f>"3/30/2005 12:00:00 AM"</f>
        <v>3/30/2005 12:00:00 AM</v>
      </c>
      <c r="O1211" t="s">
        <v>3447</v>
      </c>
      <c r="T1211" t="s">
        <v>3448</v>
      </c>
    </row>
    <row r="1212" spans="1:20" x14ac:dyDescent="0.25">
      <c r="A1212" t="str">
        <f>"3042361"</f>
        <v>3042361</v>
      </c>
      <c r="B1212" t="s">
        <v>3450</v>
      </c>
      <c r="C1212" t="str">
        <f>"82529309"</f>
        <v>82529309</v>
      </c>
      <c r="D1212" t="s">
        <v>3451</v>
      </c>
      <c r="F1212" t="s">
        <v>3452</v>
      </c>
      <c r="I1212" t="s">
        <v>184</v>
      </c>
      <c r="J1212" t="s">
        <v>30</v>
      </c>
      <c r="K1212" t="s">
        <v>185</v>
      </c>
      <c r="M1212" t="s">
        <v>32</v>
      </c>
      <c r="N1212" t="str">
        <f>"3/14/2008 12:00:00 AM"</f>
        <v>3/14/2008 12:00:00 AM</v>
      </c>
      <c r="O1212" t="s">
        <v>3451</v>
      </c>
    </row>
    <row r="1213" spans="1:20" x14ac:dyDescent="0.25">
      <c r="A1213" t="str">
        <f>"3042365"</f>
        <v>3042365</v>
      </c>
      <c r="B1213" t="s">
        <v>3453</v>
      </c>
      <c r="C1213" t="str">
        <f>"82523362"</f>
        <v>82523362</v>
      </c>
      <c r="D1213" t="s">
        <v>3454</v>
      </c>
      <c r="E1213" t="s">
        <v>3455</v>
      </c>
      <c r="F1213" t="s">
        <v>3456</v>
      </c>
      <c r="I1213" t="s">
        <v>184</v>
      </c>
      <c r="J1213" t="s">
        <v>30</v>
      </c>
      <c r="K1213" t="s">
        <v>3457</v>
      </c>
      <c r="M1213" t="s">
        <v>32</v>
      </c>
      <c r="N1213" t="str">
        <f>"1/7/2008 12:00:00 AM"</f>
        <v>1/7/2008 12:00:00 AM</v>
      </c>
      <c r="O1213" t="s">
        <v>3454</v>
      </c>
      <c r="T1213" t="s">
        <v>3455</v>
      </c>
    </row>
    <row r="1214" spans="1:20" x14ac:dyDescent="0.25">
      <c r="A1214" t="str">
        <f>"3040911"</f>
        <v>3040911</v>
      </c>
      <c r="B1214" t="s">
        <v>3458</v>
      </c>
      <c r="C1214" t="str">
        <f>"26764000"</f>
        <v>26764000</v>
      </c>
      <c r="D1214" t="s">
        <v>3459</v>
      </c>
      <c r="E1214" t="s">
        <v>3460</v>
      </c>
      <c r="F1214" t="s">
        <v>3461</v>
      </c>
      <c r="I1214" t="s">
        <v>184</v>
      </c>
      <c r="J1214" t="s">
        <v>30</v>
      </c>
      <c r="K1214" t="s">
        <v>185</v>
      </c>
      <c r="M1214" t="s">
        <v>32</v>
      </c>
      <c r="N1214" t="str">
        <f>"9/19/2005 12:00:00 AM"</f>
        <v>9/19/2005 12:00:00 AM</v>
      </c>
      <c r="O1214" t="s">
        <v>3459</v>
      </c>
      <c r="T1214" t="s">
        <v>3460</v>
      </c>
    </row>
    <row r="1215" spans="1:20" x14ac:dyDescent="0.25">
      <c r="A1215" t="str">
        <f>"3040910"</f>
        <v>3040910</v>
      </c>
      <c r="B1215" t="s">
        <v>3462</v>
      </c>
      <c r="C1215" t="str">
        <f>"82521844"</f>
        <v>82521844</v>
      </c>
      <c r="D1215" t="s">
        <v>3463</v>
      </c>
      <c r="F1215" t="s">
        <v>3464</v>
      </c>
      <c r="I1215" t="s">
        <v>184</v>
      </c>
      <c r="J1215" t="s">
        <v>30</v>
      </c>
      <c r="K1215" t="s">
        <v>185</v>
      </c>
      <c r="M1215" t="s">
        <v>32</v>
      </c>
      <c r="N1215" t="str">
        <f>"12/8/2003 12:00:00 AM"</f>
        <v>12/8/2003 12:00:00 AM</v>
      </c>
      <c r="O1215" t="s">
        <v>3463</v>
      </c>
    </row>
    <row r="1216" spans="1:20" x14ac:dyDescent="0.25">
      <c r="A1216" t="str">
        <f>"3061548"</f>
        <v>3061548</v>
      </c>
      <c r="B1216" t="s">
        <v>3465</v>
      </c>
      <c r="C1216" t="str">
        <f>"82521844"</f>
        <v>82521844</v>
      </c>
      <c r="D1216" t="s">
        <v>3463</v>
      </c>
      <c r="F1216" t="s">
        <v>3464</v>
      </c>
      <c r="I1216" t="s">
        <v>184</v>
      </c>
      <c r="J1216" t="s">
        <v>30</v>
      </c>
      <c r="K1216" t="s">
        <v>185</v>
      </c>
      <c r="M1216" t="s">
        <v>32</v>
      </c>
      <c r="N1216" t="str">
        <f>"12/8/2003 12:00:00 AM"</f>
        <v>12/8/2003 12:00:00 AM</v>
      </c>
      <c r="O1216" t="s">
        <v>3463</v>
      </c>
    </row>
    <row r="1217" spans="1:20" x14ac:dyDescent="0.25">
      <c r="A1217" t="str">
        <f>"3057653"</f>
        <v>3057653</v>
      </c>
      <c r="B1217" t="s">
        <v>3466</v>
      </c>
      <c r="C1217" t="str">
        <f>"63509450"</f>
        <v>63509450</v>
      </c>
      <c r="D1217" t="s">
        <v>3467</v>
      </c>
      <c r="E1217" t="s">
        <v>3468</v>
      </c>
      <c r="F1217" t="s">
        <v>3469</v>
      </c>
      <c r="I1217" t="s">
        <v>184</v>
      </c>
      <c r="J1217" t="s">
        <v>30</v>
      </c>
      <c r="K1217" t="s">
        <v>185</v>
      </c>
      <c r="M1217" t="s">
        <v>32</v>
      </c>
      <c r="N1217" t="str">
        <f>"1/16/2007 12:00:00 AM"</f>
        <v>1/16/2007 12:00:00 AM</v>
      </c>
      <c r="O1217" t="s">
        <v>3467</v>
      </c>
      <c r="T1217" t="s">
        <v>3468</v>
      </c>
    </row>
    <row r="1218" spans="1:20" x14ac:dyDescent="0.25">
      <c r="A1218" t="str">
        <f>"3057625"</f>
        <v>3057625</v>
      </c>
      <c r="B1218" t="s">
        <v>3470</v>
      </c>
      <c r="C1218" t="str">
        <f>"82525537"</f>
        <v>82525537</v>
      </c>
      <c r="D1218" t="s">
        <v>3471</v>
      </c>
      <c r="E1218" t="s">
        <v>3472</v>
      </c>
      <c r="F1218" t="s">
        <v>3473</v>
      </c>
      <c r="I1218" t="s">
        <v>184</v>
      </c>
      <c r="J1218" t="s">
        <v>30</v>
      </c>
      <c r="K1218" t="s">
        <v>185</v>
      </c>
      <c r="M1218" t="s">
        <v>32</v>
      </c>
      <c r="N1218" t="str">
        <f>"12/28/2005 12:00:00 AM"</f>
        <v>12/28/2005 12:00:00 AM</v>
      </c>
      <c r="O1218" t="s">
        <v>3471</v>
      </c>
      <c r="T1218" t="s">
        <v>3472</v>
      </c>
    </row>
    <row r="1219" spans="1:20" x14ac:dyDescent="0.25">
      <c r="A1219" t="str">
        <f>"3057633"</f>
        <v>3057633</v>
      </c>
      <c r="B1219" t="s">
        <v>3474</v>
      </c>
      <c r="C1219" t="str">
        <f>"82527012"</f>
        <v>82527012</v>
      </c>
      <c r="D1219" t="s">
        <v>3475</v>
      </c>
      <c r="F1219" t="s">
        <v>3476</v>
      </c>
      <c r="I1219" t="s">
        <v>184</v>
      </c>
      <c r="J1219" t="s">
        <v>30</v>
      </c>
      <c r="K1219" t="s">
        <v>185</v>
      </c>
      <c r="M1219" t="s">
        <v>32</v>
      </c>
      <c r="N1219" t="str">
        <f>"2/20/2007 12:00:00 AM"</f>
        <v>2/20/2007 12:00:00 AM</v>
      </c>
      <c r="O1219" t="s">
        <v>3475</v>
      </c>
    </row>
    <row r="1220" spans="1:20" x14ac:dyDescent="0.25">
      <c r="A1220" t="str">
        <f>"3041585"</f>
        <v>3041585</v>
      </c>
      <c r="B1220" t="s">
        <v>3477</v>
      </c>
      <c r="C1220" t="str">
        <f>"12417000"</f>
        <v>12417000</v>
      </c>
      <c r="D1220" t="s">
        <v>3478</v>
      </c>
      <c r="F1220" t="s">
        <v>3479</v>
      </c>
      <c r="I1220" t="s">
        <v>471</v>
      </c>
      <c r="J1220" t="s">
        <v>30</v>
      </c>
      <c r="K1220" t="s">
        <v>1262</v>
      </c>
      <c r="M1220" t="s">
        <v>32</v>
      </c>
      <c r="N1220" t="str">
        <f>"6/17/2003 12:00:00 AM"</f>
        <v>6/17/2003 12:00:00 AM</v>
      </c>
      <c r="O1220" t="s">
        <v>3478</v>
      </c>
    </row>
    <row r="1221" spans="1:20" x14ac:dyDescent="0.25">
      <c r="A1221" t="str">
        <f>"3047654"</f>
        <v>3047654</v>
      </c>
      <c r="B1221" t="s">
        <v>3480</v>
      </c>
      <c r="C1221" t="str">
        <f>"64479000"</f>
        <v>64479000</v>
      </c>
      <c r="D1221" t="s">
        <v>3481</v>
      </c>
      <c r="F1221" t="s">
        <v>3482</v>
      </c>
      <c r="I1221" t="s">
        <v>2275</v>
      </c>
      <c r="J1221" t="s">
        <v>30</v>
      </c>
      <c r="K1221" t="s">
        <v>3483</v>
      </c>
      <c r="M1221" t="s">
        <v>32</v>
      </c>
      <c r="N1221" t="str">
        <f>"5/4/2006 12:00:00 AM"</f>
        <v>5/4/2006 12:00:00 AM</v>
      </c>
      <c r="O1221" t="s">
        <v>3481</v>
      </c>
    </row>
    <row r="1222" spans="1:20" x14ac:dyDescent="0.25">
      <c r="A1222" t="str">
        <f>"3047858"</f>
        <v>3047858</v>
      </c>
      <c r="B1222" t="s">
        <v>3484</v>
      </c>
      <c r="C1222" t="str">
        <f>"64479000"</f>
        <v>64479000</v>
      </c>
      <c r="D1222" t="s">
        <v>3481</v>
      </c>
      <c r="F1222" t="s">
        <v>3482</v>
      </c>
      <c r="I1222" t="s">
        <v>2275</v>
      </c>
      <c r="J1222" t="s">
        <v>30</v>
      </c>
      <c r="K1222" t="s">
        <v>3483</v>
      </c>
      <c r="M1222" t="s">
        <v>32</v>
      </c>
      <c r="N1222" t="str">
        <f>"5/4/2006 12:00:00 AM"</f>
        <v>5/4/2006 12:00:00 AM</v>
      </c>
      <c r="O1222" t="s">
        <v>3481</v>
      </c>
    </row>
    <row r="1223" spans="1:20" x14ac:dyDescent="0.25">
      <c r="A1223" t="str">
        <f>"3064087"</f>
        <v>3064087</v>
      </c>
      <c r="B1223" t="s">
        <v>3485</v>
      </c>
      <c r="C1223" t="str">
        <f>"80036000"</f>
        <v>80036000</v>
      </c>
      <c r="D1223" t="s">
        <v>3486</v>
      </c>
      <c r="E1223" t="s">
        <v>3487</v>
      </c>
      <c r="F1223" t="s">
        <v>3488</v>
      </c>
      <c r="I1223" t="s">
        <v>402</v>
      </c>
      <c r="J1223" t="s">
        <v>30</v>
      </c>
      <c r="K1223" t="s">
        <v>3489</v>
      </c>
      <c r="M1223" t="s">
        <v>32</v>
      </c>
      <c r="N1223" t="str">
        <f>"9/19/2005 12:00:00 AM"</f>
        <v>9/19/2005 12:00:00 AM</v>
      </c>
      <c r="O1223" t="s">
        <v>3486</v>
      </c>
      <c r="T1223" t="s">
        <v>3487</v>
      </c>
    </row>
    <row r="1224" spans="1:20" x14ac:dyDescent="0.25">
      <c r="A1224" t="str">
        <f>"3070016"</f>
        <v>3070016</v>
      </c>
      <c r="B1224" t="s">
        <v>3490</v>
      </c>
      <c r="C1224" t="str">
        <f>"82528223"</f>
        <v>82528223</v>
      </c>
      <c r="D1224" t="s">
        <v>3491</v>
      </c>
      <c r="F1224" t="s">
        <v>3492</v>
      </c>
      <c r="I1224" t="s">
        <v>3493</v>
      </c>
      <c r="J1224" t="s">
        <v>30</v>
      </c>
      <c r="K1224" t="s">
        <v>3494</v>
      </c>
      <c r="M1224" t="s">
        <v>32</v>
      </c>
      <c r="N1224" t="str">
        <f>"6/26/2007 12:00:00 AM"</f>
        <v>6/26/2007 12:00:00 AM</v>
      </c>
      <c r="O1224" t="s">
        <v>3491</v>
      </c>
    </row>
    <row r="1225" spans="1:20" x14ac:dyDescent="0.25">
      <c r="A1225" t="str">
        <f>"3076935"</f>
        <v>3076935</v>
      </c>
      <c r="B1225" t="s">
        <v>3495</v>
      </c>
      <c r="C1225" t="str">
        <f>"82525943"</f>
        <v>82525943</v>
      </c>
      <c r="D1225" t="s">
        <v>3194</v>
      </c>
      <c r="F1225" t="s">
        <v>3195</v>
      </c>
      <c r="I1225" t="s">
        <v>3196</v>
      </c>
      <c r="J1225" t="s">
        <v>30</v>
      </c>
      <c r="K1225" t="s">
        <v>3197</v>
      </c>
      <c r="M1225" t="s">
        <v>32</v>
      </c>
      <c r="N1225" t="str">
        <f>"1/23/2007 12:00:00 AM"</f>
        <v>1/23/2007 12:00:00 AM</v>
      </c>
      <c r="O1225" t="s">
        <v>3194</v>
      </c>
    </row>
    <row r="1226" spans="1:20" x14ac:dyDescent="0.25">
      <c r="A1226" t="str">
        <f>"3076936"</f>
        <v>3076936</v>
      </c>
      <c r="B1226" t="s">
        <v>3496</v>
      </c>
      <c r="C1226" t="str">
        <f>"82525943"</f>
        <v>82525943</v>
      </c>
      <c r="D1226" t="s">
        <v>3194</v>
      </c>
      <c r="F1226" t="s">
        <v>3195</v>
      </c>
      <c r="I1226" t="s">
        <v>3196</v>
      </c>
      <c r="J1226" t="s">
        <v>30</v>
      </c>
      <c r="K1226" t="s">
        <v>3197</v>
      </c>
      <c r="M1226" t="s">
        <v>32</v>
      </c>
      <c r="N1226" t="str">
        <f>"1/23/2007 12:00:00 AM"</f>
        <v>1/23/2007 12:00:00 AM</v>
      </c>
      <c r="O1226" t="s">
        <v>3194</v>
      </c>
    </row>
    <row r="1227" spans="1:20" x14ac:dyDescent="0.25">
      <c r="A1227" t="str">
        <f>"3041917"</f>
        <v>3041917</v>
      </c>
      <c r="B1227" t="s">
        <v>3497</v>
      </c>
      <c r="C1227" t="str">
        <f>"60260000"</f>
        <v>60260000</v>
      </c>
      <c r="D1227" t="s">
        <v>3498</v>
      </c>
      <c r="E1227" t="s">
        <v>3499</v>
      </c>
      <c r="F1227" t="s">
        <v>3500</v>
      </c>
      <c r="I1227" t="s">
        <v>2275</v>
      </c>
      <c r="J1227" t="s">
        <v>30</v>
      </c>
      <c r="K1227" t="s">
        <v>2276</v>
      </c>
      <c r="M1227" t="s">
        <v>32</v>
      </c>
      <c r="N1227" t="str">
        <f>"4/16/2002 12:00:00 AM"</f>
        <v>4/16/2002 12:00:00 AM</v>
      </c>
      <c r="O1227" t="s">
        <v>3498</v>
      </c>
      <c r="T1227" t="s">
        <v>3499</v>
      </c>
    </row>
    <row r="1228" spans="1:20" x14ac:dyDescent="0.25">
      <c r="A1228" t="str">
        <f>"3040803"</f>
        <v>3040803</v>
      </c>
      <c r="B1228" t="s">
        <v>3501</v>
      </c>
      <c r="C1228" t="str">
        <f>"66620000"</f>
        <v>66620000</v>
      </c>
      <c r="D1228" t="s">
        <v>3502</v>
      </c>
      <c r="E1228" t="s">
        <v>3503</v>
      </c>
      <c r="F1228" t="s">
        <v>3504</v>
      </c>
      <c r="I1228" t="s">
        <v>184</v>
      </c>
      <c r="J1228" t="s">
        <v>30</v>
      </c>
      <c r="K1228" t="s">
        <v>185</v>
      </c>
      <c r="M1228" t="s">
        <v>32</v>
      </c>
      <c r="N1228" t="str">
        <f>"5/13/2004 12:00:00 AM"</f>
        <v>5/13/2004 12:00:00 AM</v>
      </c>
      <c r="O1228" t="s">
        <v>3502</v>
      </c>
      <c r="T1228" t="s">
        <v>3503</v>
      </c>
    </row>
    <row r="1229" spans="1:20" x14ac:dyDescent="0.25">
      <c r="A1229" t="str">
        <f>"3040771"</f>
        <v>3040771</v>
      </c>
      <c r="B1229" t="s">
        <v>3505</v>
      </c>
      <c r="C1229" t="str">
        <f>"82518636"</f>
        <v>82518636</v>
      </c>
      <c r="D1229" t="s">
        <v>3506</v>
      </c>
      <c r="E1229" t="s">
        <v>3507</v>
      </c>
      <c r="F1229" t="s">
        <v>3508</v>
      </c>
      <c r="I1229" t="s">
        <v>184</v>
      </c>
      <c r="J1229" t="s">
        <v>30</v>
      </c>
      <c r="K1229" t="s">
        <v>185</v>
      </c>
      <c r="M1229" t="s">
        <v>32</v>
      </c>
      <c r="N1229" t="str">
        <f>"9/1/2011 12:00:00 AM"</f>
        <v>9/1/2011 12:00:00 AM</v>
      </c>
      <c r="O1229" t="s">
        <v>3506</v>
      </c>
      <c r="T1229" t="s">
        <v>3507</v>
      </c>
    </row>
    <row r="1230" spans="1:20" x14ac:dyDescent="0.25">
      <c r="A1230" t="str">
        <f>"3041028"</f>
        <v>3041028</v>
      </c>
      <c r="B1230" t="s">
        <v>3509</v>
      </c>
      <c r="C1230" t="str">
        <f>"72057000"</f>
        <v>72057000</v>
      </c>
      <c r="D1230" t="s">
        <v>3510</v>
      </c>
      <c r="F1230" t="s">
        <v>3511</v>
      </c>
      <c r="G1230" t="s">
        <v>3512</v>
      </c>
      <c r="I1230" t="s">
        <v>3196</v>
      </c>
      <c r="J1230" t="s">
        <v>30</v>
      </c>
      <c r="K1230" t="s">
        <v>3513</v>
      </c>
      <c r="M1230" t="s">
        <v>32</v>
      </c>
      <c r="N1230" t="str">
        <f>"7/22/2005 12:00:00 AM"</f>
        <v>7/22/2005 12:00:00 AM</v>
      </c>
      <c r="O1230" t="s">
        <v>3510</v>
      </c>
    </row>
    <row r="1231" spans="1:20" x14ac:dyDescent="0.25">
      <c r="A1231" t="str">
        <f>"3040307"</f>
        <v>3040307</v>
      </c>
      <c r="B1231" t="s">
        <v>3514</v>
      </c>
      <c r="C1231" t="str">
        <f>"44274000"</f>
        <v>44274000</v>
      </c>
      <c r="D1231" t="s">
        <v>3515</v>
      </c>
      <c r="F1231" t="s">
        <v>3516</v>
      </c>
      <c r="I1231" t="s">
        <v>184</v>
      </c>
      <c r="J1231" t="s">
        <v>30</v>
      </c>
      <c r="K1231" t="s">
        <v>3517</v>
      </c>
      <c r="M1231" t="s">
        <v>32</v>
      </c>
      <c r="N1231" t="str">
        <f>"1/20/2006 12:00:00 AM"</f>
        <v>1/20/2006 12:00:00 AM</v>
      </c>
      <c r="O1231" t="s">
        <v>3515</v>
      </c>
      <c r="T1231" t="s">
        <v>3515</v>
      </c>
    </row>
    <row r="1232" spans="1:20" x14ac:dyDescent="0.25">
      <c r="A1232" t="str">
        <f>"3057010"</f>
        <v>3057010</v>
      </c>
      <c r="B1232" t="s">
        <v>3518</v>
      </c>
      <c r="C1232" t="str">
        <f>"2917000"</f>
        <v>2917000</v>
      </c>
      <c r="D1232" t="s">
        <v>3519</v>
      </c>
      <c r="F1232" t="s">
        <v>3520</v>
      </c>
      <c r="G1232" t="s">
        <v>3521</v>
      </c>
      <c r="I1232" t="s">
        <v>402</v>
      </c>
      <c r="J1232" t="s">
        <v>30</v>
      </c>
      <c r="K1232" t="s">
        <v>403</v>
      </c>
      <c r="M1232" t="s">
        <v>32</v>
      </c>
      <c r="N1232" t="str">
        <f>"2/25/2003 12:00:00 AM"</f>
        <v>2/25/2003 12:00:00 AM</v>
      </c>
      <c r="O1232" t="s">
        <v>3519</v>
      </c>
    </row>
    <row r="1233" spans="1:20" x14ac:dyDescent="0.25">
      <c r="A1233" t="str">
        <f>"3057011"</f>
        <v>3057011</v>
      </c>
      <c r="B1233" t="s">
        <v>3522</v>
      </c>
      <c r="C1233" t="str">
        <f>"6535520"</f>
        <v>6535520</v>
      </c>
      <c r="D1233" t="s">
        <v>3523</v>
      </c>
      <c r="F1233" t="s">
        <v>3524</v>
      </c>
      <c r="I1233" t="s">
        <v>2071</v>
      </c>
      <c r="J1233" t="s">
        <v>30</v>
      </c>
      <c r="K1233" t="s">
        <v>185</v>
      </c>
      <c r="M1233" t="s">
        <v>32</v>
      </c>
      <c r="N1233" t="str">
        <f>"3/18/2003 12:00:00 AM"</f>
        <v>3/18/2003 12:00:00 AM</v>
      </c>
      <c r="O1233" t="s">
        <v>3523</v>
      </c>
    </row>
    <row r="1234" spans="1:20" x14ac:dyDescent="0.25">
      <c r="A1234" t="str">
        <f>"3058473"</f>
        <v>3058473</v>
      </c>
      <c r="B1234" t="s">
        <v>3525</v>
      </c>
      <c r="C1234" t="str">
        <f>"82530045"</f>
        <v>82530045</v>
      </c>
      <c r="D1234" t="s">
        <v>3526</v>
      </c>
      <c r="E1234" t="s">
        <v>3527</v>
      </c>
      <c r="F1234" t="s">
        <v>3528</v>
      </c>
      <c r="I1234" t="s">
        <v>2071</v>
      </c>
      <c r="J1234" t="s">
        <v>30</v>
      </c>
      <c r="K1234" t="s">
        <v>185</v>
      </c>
      <c r="M1234" t="s">
        <v>32</v>
      </c>
      <c r="N1234" t="str">
        <f>"9/9/2008 12:00:00 AM"</f>
        <v>9/9/2008 12:00:00 AM</v>
      </c>
      <c r="O1234" t="s">
        <v>3526</v>
      </c>
      <c r="T1234" t="s">
        <v>3527</v>
      </c>
    </row>
    <row r="1235" spans="1:20" x14ac:dyDescent="0.25">
      <c r="A1235" t="str">
        <f>"3040301"</f>
        <v>3040301</v>
      </c>
      <c r="B1235" t="s">
        <v>3529</v>
      </c>
      <c r="C1235" t="str">
        <f>"68252000"</f>
        <v>68252000</v>
      </c>
      <c r="D1235" t="s">
        <v>3263</v>
      </c>
      <c r="E1235" t="s">
        <v>3264</v>
      </c>
      <c r="F1235" t="s">
        <v>3265</v>
      </c>
      <c r="I1235" t="s">
        <v>184</v>
      </c>
      <c r="J1235" t="s">
        <v>30</v>
      </c>
      <c r="K1235" t="s">
        <v>185</v>
      </c>
      <c r="M1235" t="s">
        <v>32</v>
      </c>
      <c r="N1235" t="str">
        <f>"5/14/2004 12:00:00 AM"</f>
        <v>5/14/2004 12:00:00 AM</v>
      </c>
      <c r="O1235" t="s">
        <v>3263</v>
      </c>
      <c r="T1235" t="s">
        <v>3264</v>
      </c>
    </row>
    <row r="1236" spans="1:20" x14ac:dyDescent="0.25">
      <c r="A1236" t="str">
        <f>"3057870"</f>
        <v>3057870</v>
      </c>
      <c r="B1236" t="s">
        <v>3530</v>
      </c>
      <c r="C1236" t="str">
        <f>"5636000"</f>
        <v>5636000</v>
      </c>
      <c r="D1236" t="s">
        <v>3531</v>
      </c>
      <c r="E1236" t="s">
        <v>3532</v>
      </c>
      <c r="F1236" t="s">
        <v>3533</v>
      </c>
      <c r="I1236" t="s">
        <v>184</v>
      </c>
      <c r="J1236" t="s">
        <v>30</v>
      </c>
      <c r="K1236" t="s">
        <v>185</v>
      </c>
      <c r="M1236" t="s">
        <v>32</v>
      </c>
      <c r="N1236" t="str">
        <f>"5/22/2003 12:00:00 AM"</f>
        <v>5/22/2003 12:00:00 AM</v>
      </c>
      <c r="O1236" t="s">
        <v>3531</v>
      </c>
      <c r="T1236" t="s">
        <v>3532</v>
      </c>
    </row>
    <row r="1237" spans="1:20" x14ac:dyDescent="0.25">
      <c r="A1237" t="str">
        <f>"3041608"</f>
        <v>3041608</v>
      </c>
      <c r="B1237" t="s">
        <v>3534</v>
      </c>
      <c r="C1237" t="str">
        <f>"47816000"</f>
        <v>47816000</v>
      </c>
      <c r="D1237" t="s">
        <v>3535</v>
      </c>
      <c r="E1237" t="s">
        <v>3536</v>
      </c>
      <c r="F1237" t="s">
        <v>3537</v>
      </c>
      <c r="I1237" t="s">
        <v>2071</v>
      </c>
      <c r="J1237" t="s">
        <v>30</v>
      </c>
      <c r="K1237" t="s">
        <v>185</v>
      </c>
      <c r="M1237" t="s">
        <v>32</v>
      </c>
      <c r="N1237" t="str">
        <f>"4/17/2002 12:00:00 AM"</f>
        <v>4/17/2002 12:00:00 AM</v>
      </c>
      <c r="O1237" t="s">
        <v>3535</v>
      </c>
      <c r="T1237" t="s">
        <v>3536</v>
      </c>
    </row>
    <row r="1238" spans="1:20" x14ac:dyDescent="0.25">
      <c r="A1238" t="str">
        <f>"3041612"</f>
        <v>3041612</v>
      </c>
      <c r="B1238" t="s">
        <v>3538</v>
      </c>
      <c r="C1238" t="str">
        <f>"8733250"</f>
        <v>8733250</v>
      </c>
      <c r="D1238" t="s">
        <v>3539</v>
      </c>
      <c r="E1238" t="s">
        <v>3540</v>
      </c>
      <c r="F1238" t="s">
        <v>3541</v>
      </c>
      <c r="I1238" t="s">
        <v>2071</v>
      </c>
      <c r="J1238" t="s">
        <v>30</v>
      </c>
      <c r="K1238" t="s">
        <v>3542</v>
      </c>
      <c r="M1238" t="s">
        <v>32</v>
      </c>
      <c r="N1238" t="str">
        <f>"2/14/2007 12:00:00 AM"</f>
        <v>2/14/2007 12:00:00 AM</v>
      </c>
      <c r="O1238" t="s">
        <v>3539</v>
      </c>
      <c r="T1238" t="s">
        <v>3540</v>
      </c>
    </row>
    <row r="1239" spans="1:20" x14ac:dyDescent="0.25">
      <c r="A1239" t="str">
        <f>"3040584"</f>
        <v>3040584</v>
      </c>
      <c r="B1239" t="s">
        <v>3543</v>
      </c>
      <c r="C1239" t="str">
        <f>"73005500"</f>
        <v>73005500</v>
      </c>
      <c r="D1239" t="s">
        <v>3544</v>
      </c>
      <c r="E1239" t="s">
        <v>3545</v>
      </c>
      <c r="F1239" t="s">
        <v>3546</v>
      </c>
      <c r="I1239" t="s">
        <v>184</v>
      </c>
      <c r="J1239" t="s">
        <v>30</v>
      </c>
      <c r="K1239" t="s">
        <v>185</v>
      </c>
      <c r="M1239" t="s">
        <v>32</v>
      </c>
      <c r="N1239" t="str">
        <f>"4/16/2002 12:00:00 AM"</f>
        <v>4/16/2002 12:00:00 AM</v>
      </c>
      <c r="O1239" t="s">
        <v>3544</v>
      </c>
      <c r="T1239" t="s">
        <v>3545</v>
      </c>
    </row>
    <row r="1240" spans="1:20" x14ac:dyDescent="0.25">
      <c r="A1240" t="str">
        <f>"3040586"</f>
        <v>3040586</v>
      </c>
      <c r="B1240" t="s">
        <v>3547</v>
      </c>
      <c r="C1240" t="str">
        <f>"82524879"</f>
        <v>82524879</v>
      </c>
      <c r="D1240" t="s">
        <v>3548</v>
      </c>
      <c r="E1240" t="s">
        <v>812</v>
      </c>
      <c r="F1240" t="s">
        <v>3549</v>
      </c>
      <c r="I1240" t="s">
        <v>184</v>
      </c>
      <c r="J1240" t="s">
        <v>30</v>
      </c>
      <c r="K1240" t="s">
        <v>3550</v>
      </c>
      <c r="M1240" t="s">
        <v>32</v>
      </c>
      <c r="N1240" t="str">
        <f>"2/10/2010 12:00:00 AM"</f>
        <v>2/10/2010 12:00:00 AM</v>
      </c>
      <c r="O1240" t="s">
        <v>3548</v>
      </c>
      <c r="T1240" t="s">
        <v>812</v>
      </c>
    </row>
    <row r="1241" spans="1:20" x14ac:dyDescent="0.25">
      <c r="A1241" t="str">
        <f>"3040565"</f>
        <v>3040565</v>
      </c>
      <c r="B1241" t="s">
        <v>3551</v>
      </c>
      <c r="C1241" t="str">
        <f>"33490420"</f>
        <v>33490420</v>
      </c>
      <c r="D1241" t="s">
        <v>3552</v>
      </c>
      <c r="E1241" t="s">
        <v>3553</v>
      </c>
      <c r="F1241" t="s">
        <v>3554</v>
      </c>
      <c r="I1241" t="s">
        <v>184</v>
      </c>
      <c r="J1241" t="s">
        <v>30</v>
      </c>
      <c r="K1241" t="s">
        <v>185</v>
      </c>
      <c r="M1241" t="s">
        <v>32</v>
      </c>
      <c r="N1241" t="str">
        <f>"4/16/2002 12:00:00 AM"</f>
        <v>4/16/2002 12:00:00 AM</v>
      </c>
      <c r="O1241" t="s">
        <v>3552</v>
      </c>
      <c r="T1241" t="s">
        <v>3553</v>
      </c>
    </row>
    <row r="1242" spans="1:20" x14ac:dyDescent="0.25">
      <c r="A1242" t="str">
        <f>"3040603"</f>
        <v>3040603</v>
      </c>
      <c r="B1242" t="s">
        <v>3555</v>
      </c>
      <c r="C1242" t="str">
        <f>"48140500"</f>
        <v>48140500</v>
      </c>
      <c r="D1242" t="s">
        <v>3556</v>
      </c>
      <c r="E1242" t="s">
        <v>3557</v>
      </c>
      <c r="F1242" t="s">
        <v>3558</v>
      </c>
      <c r="I1242" t="s">
        <v>184</v>
      </c>
      <c r="J1242" t="s">
        <v>30</v>
      </c>
      <c r="K1242" t="s">
        <v>3559</v>
      </c>
      <c r="M1242" t="s">
        <v>32</v>
      </c>
      <c r="N1242" t="str">
        <f>"1/25/2010 12:00:00 AM"</f>
        <v>1/25/2010 12:00:00 AM</v>
      </c>
      <c r="O1242" t="s">
        <v>3556</v>
      </c>
      <c r="T1242" t="s">
        <v>3557</v>
      </c>
    </row>
    <row r="1243" spans="1:20" x14ac:dyDescent="0.25">
      <c r="A1243" t="str">
        <f>"3070303"</f>
        <v>3070303</v>
      </c>
      <c r="B1243" t="s">
        <v>3560</v>
      </c>
      <c r="C1243" t="str">
        <f>"63489660"</f>
        <v>63489660</v>
      </c>
      <c r="D1243" t="s">
        <v>3561</v>
      </c>
      <c r="E1243" t="s">
        <v>3562</v>
      </c>
      <c r="F1243" t="s">
        <v>3563</v>
      </c>
      <c r="I1243" t="s">
        <v>2071</v>
      </c>
      <c r="J1243" t="s">
        <v>30</v>
      </c>
      <c r="K1243" t="s">
        <v>185</v>
      </c>
      <c r="M1243" t="s">
        <v>32</v>
      </c>
      <c r="N1243" t="str">
        <f>"6/14/2011 12:00:00 AM"</f>
        <v>6/14/2011 12:00:00 AM</v>
      </c>
      <c r="O1243" t="s">
        <v>3561</v>
      </c>
      <c r="T1243" t="s">
        <v>3562</v>
      </c>
    </row>
    <row r="1244" spans="1:20" x14ac:dyDescent="0.25">
      <c r="A1244" t="str">
        <f>"3040497"</f>
        <v>3040497</v>
      </c>
      <c r="B1244" t="s">
        <v>3564</v>
      </c>
      <c r="C1244" t="str">
        <f>"71112000"</f>
        <v>71112000</v>
      </c>
      <c r="D1244" t="s">
        <v>3565</v>
      </c>
      <c r="E1244" t="s">
        <v>3566</v>
      </c>
      <c r="F1244" t="s">
        <v>3567</v>
      </c>
      <c r="I1244" t="s">
        <v>184</v>
      </c>
      <c r="J1244" t="s">
        <v>30</v>
      </c>
      <c r="K1244" t="s">
        <v>185</v>
      </c>
      <c r="M1244" t="s">
        <v>32</v>
      </c>
      <c r="N1244" t="str">
        <f>"4/17/2002 12:00:00 AM"</f>
        <v>4/17/2002 12:00:00 AM</v>
      </c>
      <c r="O1244" t="s">
        <v>3565</v>
      </c>
      <c r="T1244" t="s">
        <v>3566</v>
      </c>
    </row>
    <row r="1245" spans="1:20" x14ac:dyDescent="0.25">
      <c r="A1245" t="str">
        <f>"3041590"</f>
        <v>3041590</v>
      </c>
      <c r="B1245" t="s">
        <v>3568</v>
      </c>
      <c r="C1245" t="str">
        <f>"42692500"</f>
        <v>42692500</v>
      </c>
      <c r="D1245" t="s">
        <v>3569</v>
      </c>
      <c r="E1245" t="s">
        <v>3570</v>
      </c>
      <c r="F1245" t="s">
        <v>3571</v>
      </c>
      <c r="I1245" t="s">
        <v>2071</v>
      </c>
      <c r="J1245" t="s">
        <v>30</v>
      </c>
      <c r="K1245" t="s">
        <v>185</v>
      </c>
      <c r="M1245" t="s">
        <v>32</v>
      </c>
      <c r="N1245" t="str">
        <f>"11/21/2003 12:00:00 AM"</f>
        <v>11/21/2003 12:00:00 AM</v>
      </c>
      <c r="O1245" t="s">
        <v>3569</v>
      </c>
      <c r="T1245" t="s">
        <v>3570</v>
      </c>
    </row>
    <row r="1246" spans="1:20" x14ac:dyDescent="0.25">
      <c r="A1246" t="str">
        <f>"3041655"</f>
        <v>3041655</v>
      </c>
      <c r="B1246" t="s">
        <v>3572</v>
      </c>
      <c r="C1246" t="str">
        <f>"73526000"</f>
        <v>73526000</v>
      </c>
      <c r="D1246" t="s">
        <v>3573</v>
      </c>
      <c r="E1246" t="s">
        <v>3574</v>
      </c>
      <c r="F1246" t="s">
        <v>3575</v>
      </c>
      <c r="I1246" t="s">
        <v>2071</v>
      </c>
      <c r="J1246" t="s">
        <v>30</v>
      </c>
      <c r="K1246" t="s">
        <v>185</v>
      </c>
      <c r="M1246" t="s">
        <v>32</v>
      </c>
      <c r="N1246" t="str">
        <f>"6/18/2004 12:00:00 AM"</f>
        <v>6/18/2004 12:00:00 AM</v>
      </c>
      <c r="O1246" t="s">
        <v>3573</v>
      </c>
      <c r="T1246" t="s">
        <v>3574</v>
      </c>
    </row>
    <row r="1247" spans="1:20" x14ac:dyDescent="0.25">
      <c r="A1247" t="str">
        <f>"3041058"</f>
        <v>3041058</v>
      </c>
      <c r="B1247" t="s">
        <v>3576</v>
      </c>
      <c r="C1247" t="str">
        <f>"82519368"</f>
        <v>82519368</v>
      </c>
      <c r="D1247" t="s">
        <v>3577</v>
      </c>
      <c r="E1247" t="s">
        <v>3578</v>
      </c>
      <c r="F1247" t="s">
        <v>3579</v>
      </c>
      <c r="I1247" t="s">
        <v>3580</v>
      </c>
      <c r="J1247" t="s">
        <v>30</v>
      </c>
      <c r="K1247" t="s">
        <v>472</v>
      </c>
      <c r="M1247" t="s">
        <v>32</v>
      </c>
      <c r="N1247" t="str">
        <f>"9/8/2010 12:00:00 AM"</f>
        <v>9/8/2010 12:00:00 AM</v>
      </c>
      <c r="O1247" t="s">
        <v>3577</v>
      </c>
      <c r="T1247" t="s">
        <v>3578</v>
      </c>
    </row>
    <row r="1248" spans="1:20" x14ac:dyDescent="0.25">
      <c r="A1248" t="str">
        <f>"3041059"</f>
        <v>3041059</v>
      </c>
      <c r="B1248" t="s">
        <v>3581</v>
      </c>
      <c r="C1248" t="str">
        <f>"82519368"</f>
        <v>82519368</v>
      </c>
      <c r="D1248" t="s">
        <v>3577</v>
      </c>
      <c r="E1248" t="s">
        <v>3578</v>
      </c>
      <c r="F1248" t="s">
        <v>3579</v>
      </c>
      <c r="I1248" t="s">
        <v>3580</v>
      </c>
      <c r="J1248" t="s">
        <v>30</v>
      </c>
      <c r="K1248" t="s">
        <v>472</v>
      </c>
      <c r="M1248" t="s">
        <v>32</v>
      </c>
      <c r="N1248" t="str">
        <f>"9/8/2010 12:00:00 AM"</f>
        <v>9/8/2010 12:00:00 AM</v>
      </c>
      <c r="O1248" t="s">
        <v>3577</v>
      </c>
      <c r="T1248" t="s">
        <v>3578</v>
      </c>
    </row>
    <row r="1249" spans="1:20" x14ac:dyDescent="0.25">
      <c r="A1249" t="str">
        <f>"3041569"</f>
        <v>3041569</v>
      </c>
      <c r="B1249" t="s">
        <v>3582</v>
      </c>
      <c r="C1249" t="str">
        <f>"21048000"</f>
        <v>21048000</v>
      </c>
      <c r="D1249" t="s">
        <v>3583</v>
      </c>
      <c r="E1249" t="s">
        <v>3584</v>
      </c>
      <c r="F1249" t="s">
        <v>3585</v>
      </c>
      <c r="I1249" t="s">
        <v>2071</v>
      </c>
      <c r="J1249" t="s">
        <v>30</v>
      </c>
      <c r="K1249" t="s">
        <v>185</v>
      </c>
      <c r="M1249" t="s">
        <v>32</v>
      </c>
      <c r="N1249" t="str">
        <f>"4/17/2002 12:00:00 AM"</f>
        <v>4/17/2002 12:00:00 AM</v>
      </c>
      <c r="O1249" t="s">
        <v>3583</v>
      </c>
      <c r="T1249" t="s">
        <v>3584</v>
      </c>
    </row>
    <row r="1250" spans="1:20" x14ac:dyDescent="0.25">
      <c r="A1250" t="str">
        <f>"3040493"</f>
        <v>3040493</v>
      </c>
      <c r="B1250" t="s">
        <v>3586</v>
      </c>
      <c r="C1250" t="str">
        <f>"82517671"</f>
        <v>82517671</v>
      </c>
      <c r="D1250" t="s">
        <v>3587</v>
      </c>
      <c r="E1250" t="s">
        <v>3588</v>
      </c>
      <c r="F1250" t="s">
        <v>3589</v>
      </c>
      <c r="I1250" t="s">
        <v>184</v>
      </c>
      <c r="J1250" t="s">
        <v>30</v>
      </c>
      <c r="K1250" t="s">
        <v>185</v>
      </c>
      <c r="M1250" t="s">
        <v>32</v>
      </c>
      <c r="N1250" t="str">
        <f>"2/8/2002 12:00:00 AM"</f>
        <v>2/8/2002 12:00:00 AM</v>
      </c>
      <c r="O1250" t="s">
        <v>3587</v>
      </c>
      <c r="T1250" t="s">
        <v>3588</v>
      </c>
    </row>
    <row r="1251" spans="1:20" x14ac:dyDescent="0.25">
      <c r="A1251" t="str">
        <f>"3061536"</f>
        <v>3061536</v>
      </c>
      <c r="B1251" t="s">
        <v>3590</v>
      </c>
      <c r="C1251" t="str">
        <f>"82523393"</f>
        <v>82523393</v>
      </c>
      <c r="D1251" t="s">
        <v>3591</v>
      </c>
      <c r="F1251" t="s">
        <v>3592</v>
      </c>
      <c r="I1251" t="s">
        <v>184</v>
      </c>
      <c r="J1251" t="s">
        <v>30</v>
      </c>
      <c r="K1251" t="s">
        <v>2097</v>
      </c>
      <c r="M1251" t="s">
        <v>32</v>
      </c>
      <c r="N1251" t="str">
        <f>"9/13/2005 12:00:00 AM"</f>
        <v>9/13/2005 12:00:00 AM</v>
      </c>
      <c r="O1251" t="s">
        <v>3591</v>
      </c>
    </row>
    <row r="1252" spans="1:20" x14ac:dyDescent="0.25">
      <c r="A1252" t="str">
        <f>"3041665"</f>
        <v>3041665</v>
      </c>
      <c r="B1252" t="s">
        <v>3593</v>
      </c>
      <c r="C1252" t="str">
        <f>"82522081"</f>
        <v>82522081</v>
      </c>
      <c r="D1252" t="s">
        <v>3594</v>
      </c>
      <c r="E1252" t="s">
        <v>3595</v>
      </c>
      <c r="F1252" t="s">
        <v>3596</v>
      </c>
      <c r="I1252" t="s">
        <v>2071</v>
      </c>
      <c r="J1252" t="s">
        <v>30</v>
      </c>
      <c r="K1252" t="s">
        <v>3597</v>
      </c>
      <c r="M1252" t="s">
        <v>32</v>
      </c>
      <c r="N1252" t="str">
        <f>"1/25/2006 12:00:00 AM"</f>
        <v>1/25/2006 12:00:00 AM</v>
      </c>
      <c r="O1252" t="s">
        <v>3594</v>
      </c>
      <c r="T1252" t="s">
        <v>3595</v>
      </c>
    </row>
    <row r="1253" spans="1:20" x14ac:dyDescent="0.25">
      <c r="A1253" t="str">
        <f>"3041570"</f>
        <v>3041570</v>
      </c>
      <c r="B1253" t="s">
        <v>3598</v>
      </c>
      <c r="C1253" t="str">
        <f>"82525525"</f>
        <v>82525525</v>
      </c>
      <c r="D1253" t="s">
        <v>3599</v>
      </c>
      <c r="E1253" t="s">
        <v>3600</v>
      </c>
      <c r="F1253" t="s">
        <v>3601</v>
      </c>
      <c r="I1253" t="s">
        <v>2071</v>
      </c>
      <c r="J1253" t="s">
        <v>30</v>
      </c>
      <c r="K1253" t="s">
        <v>185</v>
      </c>
      <c r="M1253" t="s">
        <v>32</v>
      </c>
      <c r="N1253" t="str">
        <f>"6/30/2010 12:00:00 AM"</f>
        <v>6/30/2010 12:00:00 AM</v>
      </c>
      <c r="O1253" t="s">
        <v>3599</v>
      </c>
      <c r="T1253" t="s">
        <v>3600</v>
      </c>
    </row>
    <row r="1254" spans="1:20" x14ac:dyDescent="0.25">
      <c r="A1254" t="str">
        <f>"3041679"</f>
        <v>3041679</v>
      </c>
      <c r="B1254" t="s">
        <v>3602</v>
      </c>
      <c r="C1254" t="str">
        <f>"82522114"</f>
        <v>82522114</v>
      </c>
      <c r="D1254" t="s">
        <v>3603</v>
      </c>
      <c r="F1254" t="s">
        <v>3604</v>
      </c>
      <c r="I1254" t="s">
        <v>2071</v>
      </c>
      <c r="J1254" t="s">
        <v>30</v>
      </c>
      <c r="K1254" t="s">
        <v>3605</v>
      </c>
      <c r="M1254" t="s">
        <v>32</v>
      </c>
      <c r="N1254" t="str">
        <f>"6/30/2010 12:00:00 AM"</f>
        <v>6/30/2010 12:00:00 AM</v>
      </c>
      <c r="O1254" t="s">
        <v>3603</v>
      </c>
    </row>
    <row r="1255" spans="1:20" x14ac:dyDescent="0.25">
      <c r="A1255" t="str">
        <f>"3041683"</f>
        <v>3041683</v>
      </c>
      <c r="B1255" t="s">
        <v>3606</v>
      </c>
      <c r="C1255" t="str">
        <f>"50477000"</f>
        <v>50477000</v>
      </c>
      <c r="D1255" t="s">
        <v>3607</v>
      </c>
      <c r="E1255" t="s">
        <v>3608</v>
      </c>
      <c r="F1255" t="s">
        <v>3609</v>
      </c>
      <c r="I1255" t="s">
        <v>2071</v>
      </c>
      <c r="J1255" t="s">
        <v>30</v>
      </c>
      <c r="K1255" t="s">
        <v>185</v>
      </c>
      <c r="M1255" t="s">
        <v>32</v>
      </c>
      <c r="N1255" t="str">
        <f>"2/20/2004 12:00:00 AM"</f>
        <v>2/20/2004 12:00:00 AM</v>
      </c>
      <c r="O1255" t="s">
        <v>3607</v>
      </c>
      <c r="T1255" t="s">
        <v>3608</v>
      </c>
    </row>
    <row r="1256" spans="1:20" x14ac:dyDescent="0.25">
      <c r="A1256" t="str">
        <f>"3061527"</f>
        <v>3061527</v>
      </c>
      <c r="B1256" t="s">
        <v>3610</v>
      </c>
      <c r="C1256" t="str">
        <f>"67324000"</f>
        <v>67324000</v>
      </c>
      <c r="D1256" t="s">
        <v>3611</v>
      </c>
      <c r="E1256" t="s">
        <v>3612</v>
      </c>
      <c r="F1256" t="s">
        <v>3613</v>
      </c>
      <c r="I1256" t="s">
        <v>184</v>
      </c>
      <c r="J1256" t="s">
        <v>30</v>
      </c>
      <c r="K1256" t="s">
        <v>185</v>
      </c>
      <c r="M1256" t="s">
        <v>32</v>
      </c>
      <c r="N1256" t="str">
        <f>"5/14/2004 12:00:00 AM"</f>
        <v>5/14/2004 12:00:00 AM</v>
      </c>
      <c r="O1256" t="s">
        <v>3611</v>
      </c>
      <c r="T1256" t="s">
        <v>3612</v>
      </c>
    </row>
    <row r="1257" spans="1:20" x14ac:dyDescent="0.25">
      <c r="A1257" t="str">
        <f>"3041689"</f>
        <v>3041689</v>
      </c>
      <c r="B1257" t="s">
        <v>3614</v>
      </c>
      <c r="C1257" t="str">
        <f>"62562000"</f>
        <v>62562000</v>
      </c>
      <c r="D1257" t="s">
        <v>3615</v>
      </c>
      <c r="E1257" t="s">
        <v>3616</v>
      </c>
      <c r="F1257" t="s">
        <v>3617</v>
      </c>
      <c r="I1257" t="s">
        <v>2071</v>
      </c>
      <c r="J1257" t="s">
        <v>30</v>
      </c>
      <c r="K1257" t="s">
        <v>185</v>
      </c>
      <c r="M1257" t="s">
        <v>32</v>
      </c>
      <c r="N1257" t="str">
        <f>"4/18/2002 12:00:00 AM"</f>
        <v>4/18/2002 12:00:00 AM</v>
      </c>
      <c r="O1257" t="s">
        <v>3615</v>
      </c>
      <c r="T1257" t="s">
        <v>3616</v>
      </c>
    </row>
    <row r="1258" spans="1:20" x14ac:dyDescent="0.25">
      <c r="A1258" t="str">
        <f>"3041684"</f>
        <v>3041684</v>
      </c>
      <c r="B1258" t="s">
        <v>3618</v>
      </c>
      <c r="C1258" t="str">
        <f>"82529687"</f>
        <v>82529687</v>
      </c>
      <c r="D1258" t="s">
        <v>3619</v>
      </c>
      <c r="E1258" t="s">
        <v>3620</v>
      </c>
      <c r="F1258" t="s">
        <v>3621</v>
      </c>
      <c r="I1258" t="s">
        <v>2071</v>
      </c>
      <c r="J1258" t="s">
        <v>30</v>
      </c>
      <c r="K1258" t="s">
        <v>185</v>
      </c>
      <c r="M1258" t="s">
        <v>32</v>
      </c>
      <c r="N1258" t="str">
        <f>"6/6/2008 12:00:00 AM"</f>
        <v>6/6/2008 12:00:00 AM</v>
      </c>
      <c r="O1258" t="s">
        <v>3619</v>
      </c>
      <c r="T1258" t="s">
        <v>3620</v>
      </c>
    </row>
    <row r="1259" spans="1:20" x14ac:dyDescent="0.25">
      <c r="A1259" t="str">
        <f>"3041826"</f>
        <v>3041826</v>
      </c>
      <c r="B1259" t="s">
        <v>3622</v>
      </c>
      <c r="C1259" t="str">
        <f>"5375000"</f>
        <v>5375000</v>
      </c>
      <c r="D1259" t="s">
        <v>3623</v>
      </c>
      <c r="E1259" t="s">
        <v>3624</v>
      </c>
      <c r="F1259" t="s">
        <v>3625</v>
      </c>
      <c r="I1259" t="s">
        <v>2071</v>
      </c>
      <c r="J1259" t="s">
        <v>30</v>
      </c>
      <c r="K1259" t="s">
        <v>185</v>
      </c>
      <c r="M1259" t="s">
        <v>32</v>
      </c>
      <c r="N1259" t="str">
        <f>"3/13/2003 12:00:00 AM"</f>
        <v>3/13/2003 12:00:00 AM</v>
      </c>
      <c r="O1259" t="s">
        <v>3623</v>
      </c>
      <c r="T1259" t="s">
        <v>3624</v>
      </c>
    </row>
    <row r="1260" spans="1:20" x14ac:dyDescent="0.25">
      <c r="A1260" t="str">
        <f>"3041827"</f>
        <v>3041827</v>
      </c>
      <c r="B1260" t="s">
        <v>3626</v>
      </c>
      <c r="C1260" t="str">
        <f>"64707380"</f>
        <v>64707380</v>
      </c>
      <c r="D1260" t="s">
        <v>3627</v>
      </c>
      <c r="F1260" t="s">
        <v>3628</v>
      </c>
      <c r="I1260" t="s">
        <v>2071</v>
      </c>
      <c r="J1260" t="s">
        <v>30</v>
      </c>
      <c r="K1260" t="s">
        <v>185</v>
      </c>
      <c r="M1260" t="s">
        <v>32</v>
      </c>
      <c r="N1260" t="str">
        <f>"5/3/2004 12:00:00 AM"</f>
        <v>5/3/2004 12:00:00 AM</v>
      </c>
      <c r="O1260" t="s">
        <v>3627</v>
      </c>
    </row>
    <row r="1261" spans="1:20" x14ac:dyDescent="0.25">
      <c r="A1261" t="str">
        <f>"3057926"</f>
        <v>3057926</v>
      </c>
      <c r="B1261" t="s">
        <v>3629</v>
      </c>
      <c r="C1261" t="str">
        <f>"45678050"</f>
        <v>45678050</v>
      </c>
      <c r="D1261" t="s">
        <v>3630</v>
      </c>
      <c r="E1261" t="s">
        <v>3631</v>
      </c>
      <c r="F1261" t="s">
        <v>3632</v>
      </c>
      <c r="I1261" t="s">
        <v>184</v>
      </c>
      <c r="J1261" t="s">
        <v>30</v>
      </c>
      <c r="K1261" t="s">
        <v>185</v>
      </c>
      <c r="M1261" t="s">
        <v>32</v>
      </c>
      <c r="N1261" t="str">
        <f>"4/17/2002 12:00:00 AM"</f>
        <v>4/17/2002 12:00:00 AM</v>
      </c>
      <c r="O1261" t="s">
        <v>3630</v>
      </c>
      <c r="T1261" t="s">
        <v>3631</v>
      </c>
    </row>
    <row r="1262" spans="1:20" x14ac:dyDescent="0.25">
      <c r="A1262" t="str">
        <f>"3041817"</f>
        <v>3041817</v>
      </c>
      <c r="B1262" t="s">
        <v>3633</v>
      </c>
      <c r="C1262" t="str">
        <f>"82530473"</f>
        <v>82530473</v>
      </c>
      <c r="D1262" t="s">
        <v>3634</v>
      </c>
      <c r="E1262" t="s">
        <v>3635</v>
      </c>
      <c r="F1262" t="s">
        <v>3636</v>
      </c>
      <c r="I1262" t="s">
        <v>2071</v>
      </c>
      <c r="J1262" t="s">
        <v>30</v>
      </c>
      <c r="K1262" t="s">
        <v>185</v>
      </c>
      <c r="M1262" t="s">
        <v>32</v>
      </c>
      <c r="N1262" t="str">
        <f>"4/29/2009 12:00:00 AM"</f>
        <v>4/29/2009 12:00:00 AM</v>
      </c>
      <c r="O1262" t="s">
        <v>3634</v>
      </c>
      <c r="T1262" t="s">
        <v>3635</v>
      </c>
    </row>
    <row r="1263" spans="1:20" x14ac:dyDescent="0.25">
      <c r="A1263" t="str">
        <f>"3041630"</f>
        <v>3041630</v>
      </c>
      <c r="B1263" t="s">
        <v>3637</v>
      </c>
      <c r="C1263" t="str">
        <f>"71435940"</f>
        <v>71435940</v>
      </c>
      <c r="D1263" t="s">
        <v>3638</v>
      </c>
      <c r="E1263" t="s">
        <v>3639</v>
      </c>
      <c r="F1263" t="s">
        <v>3640</v>
      </c>
      <c r="I1263" t="s">
        <v>2071</v>
      </c>
      <c r="J1263" t="s">
        <v>30</v>
      </c>
      <c r="K1263" t="s">
        <v>3641</v>
      </c>
      <c r="M1263" t="s">
        <v>32</v>
      </c>
      <c r="N1263" t="str">
        <f>"2/10/2010 12:00:00 AM"</f>
        <v>2/10/2010 12:00:00 AM</v>
      </c>
      <c r="O1263" t="s">
        <v>3638</v>
      </c>
      <c r="T1263" t="s">
        <v>3639</v>
      </c>
    </row>
    <row r="1264" spans="1:20" x14ac:dyDescent="0.25">
      <c r="A1264" t="str">
        <f>"3042344"</f>
        <v>3042344</v>
      </c>
      <c r="B1264" t="s">
        <v>3642</v>
      </c>
      <c r="C1264" t="str">
        <f>"82521233"</f>
        <v>82521233</v>
      </c>
      <c r="D1264" t="s">
        <v>3643</v>
      </c>
      <c r="E1264" t="s">
        <v>3644</v>
      </c>
      <c r="F1264" t="s">
        <v>3645</v>
      </c>
      <c r="I1264" t="s">
        <v>184</v>
      </c>
      <c r="J1264" t="s">
        <v>30</v>
      </c>
      <c r="K1264" t="s">
        <v>185</v>
      </c>
      <c r="M1264" t="s">
        <v>32</v>
      </c>
      <c r="N1264" t="str">
        <f>"1/16/2004 12:00:00 AM"</f>
        <v>1/16/2004 12:00:00 AM</v>
      </c>
      <c r="O1264" t="s">
        <v>3643</v>
      </c>
      <c r="T1264" t="s">
        <v>3644</v>
      </c>
    </row>
    <row r="1265" spans="1:20" x14ac:dyDescent="0.25">
      <c r="A1265" t="str">
        <f>"3042353"</f>
        <v>3042353</v>
      </c>
      <c r="B1265" t="s">
        <v>3646</v>
      </c>
      <c r="C1265" t="str">
        <f>"82520383"</f>
        <v>82520383</v>
      </c>
      <c r="D1265" t="s">
        <v>3647</v>
      </c>
      <c r="E1265" t="s">
        <v>3648</v>
      </c>
      <c r="F1265" t="s">
        <v>3649</v>
      </c>
      <c r="I1265" t="s">
        <v>184</v>
      </c>
      <c r="J1265" t="s">
        <v>30</v>
      </c>
      <c r="K1265" t="s">
        <v>185</v>
      </c>
      <c r="M1265" t="s">
        <v>32</v>
      </c>
      <c r="N1265" t="str">
        <f>"3/8/2004 12:00:00 AM"</f>
        <v>3/8/2004 12:00:00 AM</v>
      </c>
      <c r="O1265" t="s">
        <v>3647</v>
      </c>
      <c r="T1265" t="s">
        <v>3648</v>
      </c>
    </row>
    <row r="1266" spans="1:20" x14ac:dyDescent="0.25">
      <c r="A1266" t="str">
        <f>"3041676"</f>
        <v>3041676</v>
      </c>
      <c r="B1266" t="s">
        <v>3650</v>
      </c>
      <c r="C1266" t="str">
        <f>"42936070"</f>
        <v>42936070</v>
      </c>
      <c r="D1266" t="s">
        <v>3651</v>
      </c>
      <c r="E1266" t="s">
        <v>3652</v>
      </c>
      <c r="F1266" t="s">
        <v>3653</v>
      </c>
      <c r="I1266" t="s">
        <v>2071</v>
      </c>
      <c r="J1266" t="s">
        <v>30</v>
      </c>
      <c r="K1266" t="s">
        <v>185</v>
      </c>
      <c r="M1266" t="s">
        <v>32</v>
      </c>
      <c r="N1266" t="str">
        <f>"4/18/2002 12:00:00 AM"</f>
        <v>4/18/2002 12:00:00 AM</v>
      </c>
      <c r="O1266" t="s">
        <v>3651</v>
      </c>
      <c r="T1266" t="s">
        <v>3652</v>
      </c>
    </row>
    <row r="1267" spans="1:20" x14ac:dyDescent="0.25">
      <c r="A1267" t="str">
        <f>"3041677"</f>
        <v>3041677</v>
      </c>
      <c r="B1267" t="s">
        <v>3654</v>
      </c>
      <c r="C1267" t="str">
        <f>"82521168"</f>
        <v>82521168</v>
      </c>
      <c r="D1267" t="s">
        <v>3655</v>
      </c>
      <c r="E1267" t="s">
        <v>3656</v>
      </c>
      <c r="F1267" t="s">
        <v>3657</v>
      </c>
      <c r="I1267" t="s">
        <v>2071</v>
      </c>
      <c r="J1267" t="s">
        <v>30</v>
      </c>
      <c r="K1267" t="s">
        <v>185</v>
      </c>
      <c r="M1267" t="s">
        <v>32</v>
      </c>
      <c r="N1267" t="str">
        <f>"6/14/2011 12:00:00 AM"</f>
        <v>6/14/2011 12:00:00 AM</v>
      </c>
      <c r="O1267" t="s">
        <v>3655</v>
      </c>
      <c r="T1267" t="s">
        <v>3656</v>
      </c>
    </row>
    <row r="1268" spans="1:20" x14ac:dyDescent="0.25">
      <c r="A1268" t="str">
        <f>"3041700"</f>
        <v>3041700</v>
      </c>
      <c r="B1268" t="s">
        <v>3658</v>
      </c>
      <c r="C1268" t="str">
        <f>"82523700"</f>
        <v>82523700</v>
      </c>
      <c r="D1268" t="s">
        <v>3659</v>
      </c>
      <c r="E1268" t="s">
        <v>3660</v>
      </c>
      <c r="G1268" t="s">
        <v>3661</v>
      </c>
      <c r="I1268" t="s">
        <v>2071</v>
      </c>
      <c r="J1268" t="s">
        <v>30</v>
      </c>
      <c r="K1268" t="s">
        <v>185</v>
      </c>
      <c r="M1268" t="s">
        <v>32</v>
      </c>
      <c r="N1268" t="str">
        <f>"12/8/2009 12:00:00 AM"</f>
        <v>12/8/2009 12:00:00 AM</v>
      </c>
      <c r="O1268" t="s">
        <v>3659</v>
      </c>
      <c r="T1268" t="s">
        <v>3660</v>
      </c>
    </row>
    <row r="1269" spans="1:20" x14ac:dyDescent="0.25">
      <c r="A1269" t="str">
        <f>"3041702"</f>
        <v>3041702</v>
      </c>
      <c r="B1269" t="s">
        <v>3662</v>
      </c>
      <c r="C1269" t="str">
        <f>"82525076"</f>
        <v>82525076</v>
      </c>
      <c r="D1269" t="s">
        <v>3663</v>
      </c>
      <c r="E1269" t="s">
        <v>3664</v>
      </c>
      <c r="F1269" t="s">
        <v>3665</v>
      </c>
      <c r="I1269" t="s">
        <v>2071</v>
      </c>
      <c r="J1269" t="s">
        <v>30</v>
      </c>
      <c r="K1269" t="s">
        <v>3666</v>
      </c>
      <c r="M1269" t="s">
        <v>32</v>
      </c>
      <c r="N1269" t="str">
        <f>"1/13/2006 12:00:00 AM"</f>
        <v>1/13/2006 12:00:00 AM</v>
      </c>
      <c r="O1269" t="s">
        <v>3663</v>
      </c>
      <c r="T1269" t="s">
        <v>3664</v>
      </c>
    </row>
    <row r="1270" spans="1:20" x14ac:dyDescent="0.25">
      <c r="A1270" t="str">
        <f>"3041691"</f>
        <v>3041691</v>
      </c>
      <c r="B1270" t="s">
        <v>3667</v>
      </c>
      <c r="C1270" t="str">
        <f>"45677120"</f>
        <v>45677120</v>
      </c>
      <c r="D1270" t="s">
        <v>3668</v>
      </c>
      <c r="E1270" t="s">
        <v>3669</v>
      </c>
      <c r="F1270" t="s">
        <v>3670</v>
      </c>
      <c r="I1270" t="s">
        <v>2071</v>
      </c>
      <c r="J1270" t="s">
        <v>30</v>
      </c>
      <c r="K1270" t="s">
        <v>185</v>
      </c>
      <c r="M1270" t="s">
        <v>32</v>
      </c>
      <c r="N1270" t="str">
        <f>"12/16/2003 12:00:00 AM"</f>
        <v>12/16/2003 12:00:00 AM</v>
      </c>
      <c r="O1270" t="s">
        <v>3668</v>
      </c>
      <c r="T1270" t="s">
        <v>3669</v>
      </c>
    </row>
    <row r="1271" spans="1:20" x14ac:dyDescent="0.25">
      <c r="A1271" t="str">
        <f>"3041717"</f>
        <v>3041717</v>
      </c>
      <c r="B1271" t="s">
        <v>3671</v>
      </c>
      <c r="C1271" t="str">
        <f>"78776000"</f>
        <v>78776000</v>
      </c>
      <c r="D1271" t="s">
        <v>3672</v>
      </c>
      <c r="F1271" t="s">
        <v>3673</v>
      </c>
      <c r="I1271" t="s">
        <v>402</v>
      </c>
      <c r="J1271" t="s">
        <v>30</v>
      </c>
      <c r="K1271" t="s">
        <v>403</v>
      </c>
      <c r="M1271" t="s">
        <v>32</v>
      </c>
      <c r="N1271" t="str">
        <f>"6/29/2004 12:00:00 AM"</f>
        <v>6/29/2004 12:00:00 AM</v>
      </c>
      <c r="O1271" t="s">
        <v>3672</v>
      </c>
    </row>
    <row r="1272" spans="1:20" x14ac:dyDescent="0.25">
      <c r="A1272" t="str">
        <f>"3041719"</f>
        <v>3041719</v>
      </c>
      <c r="B1272" t="s">
        <v>3674</v>
      </c>
      <c r="C1272" t="str">
        <f>"79963000"</f>
        <v>79963000</v>
      </c>
      <c r="D1272" t="s">
        <v>3675</v>
      </c>
      <c r="E1272" t="s">
        <v>3676</v>
      </c>
      <c r="F1272" t="s">
        <v>3677</v>
      </c>
      <c r="I1272" t="s">
        <v>2071</v>
      </c>
      <c r="J1272" t="s">
        <v>30</v>
      </c>
      <c r="K1272" t="s">
        <v>185</v>
      </c>
      <c r="M1272" t="s">
        <v>32</v>
      </c>
      <c r="N1272" t="str">
        <f>"4/18/2002 12:00:00 AM"</f>
        <v>4/18/2002 12:00:00 AM</v>
      </c>
      <c r="O1272" t="s">
        <v>3675</v>
      </c>
      <c r="T1272" t="s">
        <v>3676</v>
      </c>
    </row>
    <row r="1273" spans="1:20" x14ac:dyDescent="0.25">
      <c r="A1273" t="str">
        <f>"3062445"</f>
        <v>3062445</v>
      </c>
      <c r="B1273" t="s">
        <v>3678</v>
      </c>
      <c r="C1273" t="str">
        <f>"82530164"</f>
        <v>82530164</v>
      </c>
      <c r="D1273" t="s">
        <v>3679</v>
      </c>
      <c r="F1273" t="s">
        <v>3680</v>
      </c>
      <c r="I1273" t="s">
        <v>2071</v>
      </c>
      <c r="J1273" t="s">
        <v>30</v>
      </c>
      <c r="K1273" t="s">
        <v>185</v>
      </c>
      <c r="M1273" t="s">
        <v>32</v>
      </c>
      <c r="N1273" t="str">
        <f>"1/29/2009 12:00:00 AM"</f>
        <v>1/29/2009 12:00:00 AM</v>
      </c>
      <c r="O1273" t="s">
        <v>3679</v>
      </c>
    </row>
    <row r="1274" spans="1:20" x14ac:dyDescent="0.25">
      <c r="A1274" t="str">
        <f>"3042354"</f>
        <v>3042354</v>
      </c>
      <c r="B1274" t="s">
        <v>3681</v>
      </c>
      <c r="C1274" t="str">
        <f>"82524091"</f>
        <v>82524091</v>
      </c>
      <c r="D1274" t="s">
        <v>3682</v>
      </c>
      <c r="E1274" t="s">
        <v>3683</v>
      </c>
      <c r="F1274" t="s">
        <v>3684</v>
      </c>
      <c r="I1274" t="s">
        <v>184</v>
      </c>
      <c r="J1274" t="s">
        <v>30</v>
      </c>
      <c r="K1274" t="s">
        <v>3685</v>
      </c>
      <c r="M1274" t="s">
        <v>32</v>
      </c>
      <c r="N1274" t="str">
        <f>"8/22/2006 12:00:00 AM"</f>
        <v>8/22/2006 12:00:00 AM</v>
      </c>
      <c r="O1274" t="s">
        <v>3682</v>
      </c>
      <c r="T1274" t="s">
        <v>3683</v>
      </c>
    </row>
    <row r="1275" spans="1:20" x14ac:dyDescent="0.25">
      <c r="A1275" t="str">
        <f>"3071918"</f>
        <v>3071918</v>
      </c>
      <c r="B1275" t="s">
        <v>3686</v>
      </c>
      <c r="C1275" t="str">
        <f>"82524301"</f>
        <v>82524301</v>
      </c>
      <c r="D1275" t="s">
        <v>3687</v>
      </c>
      <c r="E1275" t="s">
        <v>3688</v>
      </c>
      <c r="F1275" t="s">
        <v>3689</v>
      </c>
      <c r="I1275" t="s">
        <v>184</v>
      </c>
      <c r="J1275" t="s">
        <v>30</v>
      </c>
      <c r="K1275" t="s">
        <v>3457</v>
      </c>
      <c r="M1275" t="s">
        <v>32</v>
      </c>
      <c r="N1275" t="str">
        <f>"1/23/2006 12:00:00 AM"</f>
        <v>1/23/2006 12:00:00 AM</v>
      </c>
      <c r="O1275" t="s">
        <v>3687</v>
      </c>
      <c r="T1275" t="s">
        <v>3688</v>
      </c>
    </row>
    <row r="1276" spans="1:20" x14ac:dyDescent="0.25">
      <c r="A1276" t="str">
        <f>"3042373"</f>
        <v>3042373</v>
      </c>
      <c r="B1276" t="s">
        <v>3690</v>
      </c>
      <c r="C1276" t="str">
        <f>"82521844"</f>
        <v>82521844</v>
      </c>
      <c r="D1276" t="s">
        <v>3463</v>
      </c>
      <c r="F1276" t="s">
        <v>3464</v>
      </c>
      <c r="I1276" t="s">
        <v>184</v>
      </c>
      <c r="J1276" t="s">
        <v>30</v>
      </c>
      <c r="K1276" t="s">
        <v>185</v>
      </c>
      <c r="M1276" t="s">
        <v>32</v>
      </c>
      <c r="N1276" t="str">
        <f>"12/8/2003 12:00:00 AM"</f>
        <v>12/8/2003 12:00:00 AM</v>
      </c>
      <c r="O1276" t="s">
        <v>3463</v>
      </c>
    </row>
    <row r="1277" spans="1:20" x14ac:dyDescent="0.25">
      <c r="A1277" t="str">
        <f>"3076726"</f>
        <v>3076726</v>
      </c>
      <c r="B1277" t="s">
        <v>3691</v>
      </c>
      <c r="C1277" t="str">
        <f>"13078000"</f>
        <v>13078000</v>
      </c>
      <c r="D1277" t="s">
        <v>3692</v>
      </c>
      <c r="F1277" t="s">
        <v>3693</v>
      </c>
      <c r="I1277" t="s">
        <v>3694</v>
      </c>
      <c r="J1277" t="s">
        <v>30</v>
      </c>
      <c r="K1277" t="s">
        <v>3695</v>
      </c>
      <c r="M1277" t="s">
        <v>32</v>
      </c>
      <c r="N1277" t="str">
        <f>"12/7/2006 12:00:00 AM"</f>
        <v>12/7/2006 12:00:00 AM</v>
      </c>
      <c r="O1277" t="s">
        <v>3692</v>
      </c>
    </row>
    <row r="1278" spans="1:20" x14ac:dyDescent="0.25">
      <c r="A1278" t="str">
        <f>"3041050"</f>
        <v>3041050</v>
      </c>
      <c r="B1278" t="s">
        <v>3696</v>
      </c>
      <c r="C1278" t="str">
        <f>"31891500"</f>
        <v>31891500</v>
      </c>
      <c r="D1278" t="s">
        <v>3697</v>
      </c>
      <c r="F1278" t="s">
        <v>3698</v>
      </c>
      <c r="I1278" t="s">
        <v>2071</v>
      </c>
      <c r="J1278" t="s">
        <v>30</v>
      </c>
      <c r="K1278" t="s">
        <v>185</v>
      </c>
      <c r="M1278" t="s">
        <v>32</v>
      </c>
      <c r="N1278" t="str">
        <f>"5/14/2003 12:00:00 AM"</f>
        <v>5/14/2003 12:00:00 AM</v>
      </c>
      <c r="O1278" t="s">
        <v>3697</v>
      </c>
    </row>
    <row r="1279" spans="1:20" x14ac:dyDescent="0.25">
      <c r="A1279" t="str">
        <f>"3041032"</f>
        <v>3041032</v>
      </c>
      <c r="B1279" t="s">
        <v>3699</v>
      </c>
      <c r="C1279" t="str">
        <f>"56075500"</f>
        <v>56075500</v>
      </c>
      <c r="D1279" t="s">
        <v>3700</v>
      </c>
      <c r="F1279" t="str">
        <f>"C/O DAVID SCHEUMANN"</f>
        <v>C/O DAVID SCHEUMANN</v>
      </c>
      <c r="G1279" t="s">
        <v>3701</v>
      </c>
      <c r="I1279" t="s">
        <v>2071</v>
      </c>
      <c r="J1279" t="s">
        <v>30</v>
      </c>
      <c r="K1279" t="s">
        <v>185</v>
      </c>
      <c r="M1279" t="s">
        <v>32</v>
      </c>
      <c r="N1279" t="str">
        <f>"8/26/2011 12:00:00 AM"</f>
        <v>8/26/2011 12:00:00 AM</v>
      </c>
      <c r="O1279" t="s">
        <v>3700</v>
      </c>
    </row>
    <row r="1280" spans="1:20" x14ac:dyDescent="0.25">
      <c r="A1280" t="str">
        <f>"3060869"</f>
        <v>3060869</v>
      </c>
      <c r="B1280" t="s">
        <v>3702</v>
      </c>
      <c r="C1280" t="str">
        <f>"82529795"</f>
        <v>82529795</v>
      </c>
      <c r="D1280" t="s">
        <v>3703</v>
      </c>
      <c r="E1280" t="s">
        <v>3704</v>
      </c>
      <c r="F1280" t="s">
        <v>3705</v>
      </c>
      <c r="I1280" t="s">
        <v>2071</v>
      </c>
      <c r="J1280" t="s">
        <v>30</v>
      </c>
      <c r="K1280" t="s">
        <v>185</v>
      </c>
      <c r="M1280" t="s">
        <v>32</v>
      </c>
      <c r="N1280" t="str">
        <f>"1/9/2009 12:00:00 AM"</f>
        <v>1/9/2009 12:00:00 AM</v>
      </c>
      <c r="O1280" t="s">
        <v>3703</v>
      </c>
      <c r="T1280" t="s">
        <v>3704</v>
      </c>
    </row>
    <row r="1281" spans="1:20" x14ac:dyDescent="0.25">
      <c r="A1281" t="str">
        <f>"3041734"</f>
        <v>3041734</v>
      </c>
      <c r="B1281" t="s">
        <v>3706</v>
      </c>
      <c r="C1281" t="str">
        <f>"72932550"</f>
        <v>72932550</v>
      </c>
      <c r="D1281" t="s">
        <v>3707</v>
      </c>
      <c r="E1281" t="s">
        <v>3708</v>
      </c>
      <c r="F1281" t="s">
        <v>3709</v>
      </c>
      <c r="I1281" t="s">
        <v>2071</v>
      </c>
      <c r="J1281" t="s">
        <v>30</v>
      </c>
      <c r="K1281" t="s">
        <v>185</v>
      </c>
      <c r="M1281" t="s">
        <v>32</v>
      </c>
      <c r="N1281" t="str">
        <f>"10/5/2011 12:00:00 AM"</f>
        <v>10/5/2011 12:00:00 AM</v>
      </c>
      <c r="O1281" t="s">
        <v>3707</v>
      </c>
      <c r="T1281" t="s">
        <v>3708</v>
      </c>
    </row>
    <row r="1282" spans="1:20" x14ac:dyDescent="0.25">
      <c r="A1282" t="str">
        <f>"3041576"</f>
        <v>3041576</v>
      </c>
      <c r="B1282" t="s">
        <v>3710</v>
      </c>
      <c r="C1282" t="str">
        <f>"71841000"</f>
        <v>71841000</v>
      </c>
      <c r="D1282" t="s">
        <v>3711</v>
      </c>
      <c r="E1282" t="s">
        <v>3712</v>
      </c>
      <c r="F1282" t="s">
        <v>3713</v>
      </c>
      <c r="I1282" t="s">
        <v>2071</v>
      </c>
      <c r="J1282" t="s">
        <v>30</v>
      </c>
      <c r="K1282" t="s">
        <v>185</v>
      </c>
      <c r="M1282" t="s">
        <v>32</v>
      </c>
      <c r="N1282" t="str">
        <f>"1/15/2010 12:00:00 AM"</f>
        <v>1/15/2010 12:00:00 AM</v>
      </c>
      <c r="O1282" t="s">
        <v>3711</v>
      </c>
      <c r="T1282" t="s">
        <v>3712</v>
      </c>
    </row>
    <row r="1283" spans="1:20" x14ac:dyDescent="0.25">
      <c r="A1283" t="str">
        <f>"3069382"</f>
        <v>3069382</v>
      </c>
      <c r="B1283" t="s">
        <v>3714</v>
      </c>
      <c r="C1283" t="str">
        <f>"60527500"</f>
        <v>60527500</v>
      </c>
      <c r="D1283" t="s">
        <v>3715</v>
      </c>
      <c r="E1283" t="s">
        <v>3716</v>
      </c>
      <c r="F1283" t="s">
        <v>3717</v>
      </c>
      <c r="I1283" t="s">
        <v>2071</v>
      </c>
      <c r="J1283" t="s">
        <v>30</v>
      </c>
      <c r="K1283" t="s">
        <v>185</v>
      </c>
      <c r="M1283" t="s">
        <v>32</v>
      </c>
      <c r="N1283" t="str">
        <f>"4/19/2002 12:00:00 AM"</f>
        <v>4/19/2002 12:00:00 AM</v>
      </c>
      <c r="O1283" t="s">
        <v>3715</v>
      </c>
      <c r="T1283" t="s">
        <v>3716</v>
      </c>
    </row>
    <row r="1284" spans="1:20" x14ac:dyDescent="0.25">
      <c r="A1284" t="str">
        <f>"3041725"</f>
        <v>3041725</v>
      </c>
      <c r="B1284" t="s">
        <v>3718</v>
      </c>
      <c r="C1284" t="str">
        <f>"71432000"</f>
        <v>71432000</v>
      </c>
      <c r="D1284" t="s">
        <v>3719</v>
      </c>
      <c r="E1284" t="s">
        <v>3720</v>
      </c>
      <c r="F1284" t="s">
        <v>3721</v>
      </c>
      <c r="I1284" t="s">
        <v>2071</v>
      </c>
      <c r="J1284" t="s">
        <v>30</v>
      </c>
      <c r="K1284" t="s">
        <v>185</v>
      </c>
      <c r="M1284" t="s">
        <v>32</v>
      </c>
      <c r="N1284" t="str">
        <f>"6/15/2004 12:00:00 AM"</f>
        <v>6/15/2004 12:00:00 AM</v>
      </c>
      <c r="O1284" t="s">
        <v>3719</v>
      </c>
      <c r="T1284" t="s">
        <v>3720</v>
      </c>
    </row>
    <row r="1285" spans="1:20" x14ac:dyDescent="0.25">
      <c r="A1285" t="str">
        <f>"3041036"</f>
        <v>3041036</v>
      </c>
      <c r="B1285" t="s">
        <v>3722</v>
      </c>
      <c r="C1285" t="str">
        <f>"77012750"</f>
        <v>77012750</v>
      </c>
      <c r="D1285" t="s">
        <v>3723</v>
      </c>
      <c r="F1285" t="s">
        <v>3724</v>
      </c>
      <c r="G1285" t="s">
        <v>2071</v>
      </c>
      <c r="I1285" t="s">
        <v>2071</v>
      </c>
      <c r="J1285" t="s">
        <v>30</v>
      </c>
      <c r="K1285" t="s">
        <v>185</v>
      </c>
      <c r="M1285" t="s">
        <v>32</v>
      </c>
      <c r="N1285" t="str">
        <f>"5/14/2003 12:00:00 AM"</f>
        <v>5/14/2003 12:00:00 AM</v>
      </c>
      <c r="O1285" t="s">
        <v>3723</v>
      </c>
    </row>
    <row r="1286" spans="1:20" x14ac:dyDescent="0.25">
      <c r="A1286" t="str">
        <f>"3058748"</f>
        <v>3058748</v>
      </c>
      <c r="B1286" t="s">
        <v>3725</v>
      </c>
      <c r="C1286" t="str">
        <f>"25025930"</f>
        <v>25025930</v>
      </c>
      <c r="D1286" t="s">
        <v>3726</v>
      </c>
      <c r="F1286" t="s">
        <v>3727</v>
      </c>
      <c r="I1286" t="s">
        <v>2071</v>
      </c>
      <c r="J1286" t="s">
        <v>30</v>
      </c>
      <c r="K1286" t="s">
        <v>3728</v>
      </c>
      <c r="M1286" t="s">
        <v>32</v>
      </c>
      <c r="N1286" t="str">
        <f>"1/6/2006 12:00:00 AM"</f>
        <v>1/6/2006 12:00:00 AM</v>
      </c>
      <c r="O1286" t="s">
        <v>3726</v>
      </c>
    </row>
    <row r="1287" spans="1:20" x14ac:dyDescent="0.25">
      <c r="A1287" t="str">
        <f>"3066809"</f>
        <v>3066809</v>
      </c>
      <c r="B1287" t="s">
        <v>3729</v>
      </c>
      <c r="C1287" t="str">
        <f>"74986500"</f>
        <v>74986500</v>
      </c>
      <c r="D1287" t="s">
        <v>3730</v>
      </c>
      <c r="F1287" t="s">
        <v>3731</v>
      </c>
      <c r="I1287" t="s">
        <v>2071</v>
      </c>
      <c r="J1287" t="s">
        <v>30</v>
      </c>
      <c r="K1287" t="s">
        <v>185</v>
      </c>
      <c r="M1287" t="s">
        <v>32</v>
      </c>
      <c r="N1287" t="str">
        <f>"6/22/2004 12:00:00 AM"</f>
        <v>6/22/2004 12:00:00 AM</v>
      </c>
      <c r="O1287" t="s">
        <v>3730</v>
      </c>
    </row>
    <row r="1288" spans="1:20" x14ac:dyDescent="0.25">
      <c r="A1288" t="str">
        <f>"3041039"</f>
        <v>3041039</v>
      </c>
      <c r="B1288" t="s">
        <v>3732</v>
      </c>
      <c r="C1288" t="str">
        <f>"77012750"</f>
        <v>77012750</v>
      </c>
      <c r="D1288" t="s">
        <v>3723</v>
      </c>
      <c r="F1288" t="s">
        <v>3724</v>
      </c>
      <c r="G1288" t="s">
        <v>2071</v>
      </c>
      <c r="I1288" t="s">
        <v>2071</v>
      </c>
      <c r="J1288" t="s">
        <v>30</v>
      </c>
      <c r="K1288" t="s">
        <v>185</v>
      </c>
      <c r="M1288" t="s">
        <v>32</v>
      </c>
      <c r="N1288" t="str">
        <f>"5/14/2003 12:00:00 AM"</f>
        <v>5/14/2003 12:00:00 AM</v>
      </c>
      <c r="O1288" t="s">
        <v>3723</v>
      </c>
    </row>
    <row r="1289" spans="1:20" x14ac:dyDescent="0.25">
      <c r="A1289" t="str">
        <f>"3045230"</f>
        <v>3045230</v>
      </c>
      <c r="B1289" t="s">
        <v>3733</v>
      </c>
      <c r="C1289" t="str">
        <f>"29978130"</f>
        <v>29978130</v>
      </c>
      <c r="D1289" t="s">
        <v>3734</v>
      </c>
      <c r="F1289" t="s">
        <v>3735</v>
      </c>
      <c r="I1289" t="s">
        <v>3736</v>
      </c>
      <c r="J1289" t="s">
        <v>3737</v>
      </c>
      <c r="K1289" t="s">
        <v>3738</v>
      </c>
      <c r="M1289" t="s">
        <v>32</v>
      </c>
      <c r="N1289" t="str">
        <f>"4/17/2002 12:00:00 AM"</f>
        <v>4/17/2002 12:00:00 AM</v>
      </c>
      <c r="O1289" t="s">
        <v>3734</v>
      </c>
    </row>
    <row r="1290" spans="1:20" x14ac:dyDescent="0.25">
      <c r="A1290" t="str">
        <f>"3041144"</f>
        <v>3041144</v>
      </c>
      <c r="B1290" t="s">
        <v>3739</v>
      </c>
      <c r="C1290" t="str">
        <f>"82530219"</f>
        <v>82530219</v>
      </c>
      <c r="D1290" t="s">
        <v>3740</v>
      </c>
      <c r="F1290" t="s">
        <v>3741</v>
      </c>
      <c r="I1290" t="s">
        <v>2071</v>
      </c>
      <c r="J1290" t="s">
        <v>30</v>
      </c>
      <c r="K1290" t="s">
        <v>185</v>
      </c>
      <c r="M1290" t="s">
        <v>32</v>
      </c>
      <c r="N1290" t="str">
        <f>"11/5/2008 12:00:00 AM"</f>
        <v>11/5/2008 12:00:00 AM</v>
      </c>
      <c r="O1290" t="s">
        <v>3740</v>
      </c>
    </row>
    <row r="1291" spans="1:20" x14ac:dyDescent="0.25">
      <c r="A1291" t="str">
        <f>"3041611"</f>
        <v>3041611</v>
      </c>
      <c r="B1291" t="s">
        <v>3742</v>
      </c>
      <c r="C1291" t="str">
        <f>"20842000"</f>
        <v>20842000</v>
      </c>
      <c r="D1291" t="s">
        <v>3743</v>
      </c>
      <c r="E1291" t="s">
        <v>3744</v>
      </c>
      <c r="F1291" t="s">
        <v>3745</v>
      </c>
      <c r="I1291" t="s">
        <v>2071</v>
      </c>
      <c r="J1291" t="s">
        <v>30</v>
      </c>
      <c r="K1291" t="s">
        <v>185</v>
      </c>
      <c r="M1291" t="s">
        <v>32</v>
      </c>
      <c r="N1291" t="str">
        <f>"7/21/2003 12:00:00 AM"</f>
        <v>7/21/2003 12:00:00 AM</v>
      </c>
      <c r="O1291" t="s">
        <v>3743</v>
      </c>
      <c r="T1291" t="s">
        <v>3744</v>
      </c>
    </row>
    <row r="1292" spans="1:20" x14ac:dyDescent="0.25">
      <c r="A1292" t="str">
        <f>"3040555"</f>
        <v>3040555</v>
      </c>
      <c r="B1292" t="s">
        <v>3746</v>
      </c>
      <c r="C1292" t="str">
        <f>"82521040"</f>
        <v>82521040</v>
      </c>
      <c r="D1292" t="s">
        <v>3747</v>
      </c>
      <c r="F1292" t="s">
        <v>3748</v>
      </c>
      <c r="I1292" t="s">
        <v>184</v>
      </c>
      <c r="J1292" t="s">
        <v>30</v>
      </c>
      <c r="K1292" t="s">
        <v>3281</v>
      </c>
      <c r="M1292" t="s">
        <v>32</v>
      </c>
      <c r="N1292" t="str">
        <f>"1/26/2007 12:00:00 AM"</f>
        <v>1/26/2007 12:00:00 AM</v>
      </c>
      <c r="O1292" t="s">
        <v>3747</v>
      </c>
    </row>
    <row r="1293" spans="1:20" x14ac:dyDescent="0.25">
      <c r="A1293" t="str">
        <f>"3041126"</f>
        <v>3041126</v>
      </c>
      <c r="B1293" t="s">
        <v>3749</v>
      </c>
      <c r="C1293" t="str">
        <f>"82515591"</f>
        <v>82515591</v>
      </c>
      <c r="D1293" t="s">
        <v>3750</v>
      </c>
      <c r="F1293" t="s">
        <v>1749</v>
      </c>
      <c r="I1293" t="s">
        <v>184</v>
      </c>
      <c r="J1293" t="s">
        <v>30</v>
      </c>
      <c r="K1293" t="s">
        <v>3751</v>
      </c>
      <c r="M1293" t="s">
        <v>32</v>
      </c>
      <c r="N1293" t="str">
        <f>"9/7/2010 12:00:00 AM"</f>
        <v>9/7/2010 12:00:00 AM</v>
      </c>
      <c r="O1293" t="s">
        <v>3750</v>
      </c>
    </row>
    <row r="1294" spans="1:20" x14ac:dyDescent="0.25">
      <c r="A1294" t="str">
        <f>"3041152"</f>
        <v>3041152</v>
      </c>
      <c r="B1294" t="s">
        <v>3752</v>
      </c>
      <c r="C1294" t="str">
        <f>"82515591"</f>
        <v>82515591</v>
      </c>
      <c r="D1294" t="s">
        <v>3750</v>
      </c>
      <c r="F1294" t="s">
        <v>1749</v>
      </c>
      <c r="I1294" t="s">
        <v>184</v>
      </c>
      <c r="J1294" t="s">
        <v>30</v>
      </c>
      <c r="K1294" t="s">
        <v>3751</v>
      </c>
      <c r="M1294" t="s">
        <v>32</v>
      </c>
      <c r="N1294" t="str">
        <f>"9/7/2010 12:00:00 AM"</f>
        <v>9/7/2010 12:00:00 AM</v>
      </c>
      <c r="O1294" t="s">
        <v>3750</v>
      </c>
    </row>
    <row r="1295" spans="1:20" x14ac:dyDescent="0.25">
      <c r="A1295" t="str">
        <f>"3047735"</f>
        <v>3047735</v>
      </c>
      <c r="B1295" t="s">
        <v>3753</v>
      </c>
      <c r="C1295" t="str">
        <f>"82515591"</f>
        <v>82515591</v>
      </c>
      <c r="D1295" t="s">
        <v>3750</v>
      </c>
      <c r="F1295" t="s">
        <v>1749</v>
      </c>
      <c r="I1295" t="s">
        <v>184</v>
      </c>
      <c r="J1295" t="s">
        <v>30</v>
      </c>
      <c r="K1295" t="s">
        <v>3751</v>
      </c>
      <c r="M1295" t="s">
        <v>32</v>
      </c>
      <c r="N1295" t="str">
        <f>"9/7/2010 12:00:00 AM"</f>
        <v>9/7/2010 12:00:00 AM</v>
      </c>
      <c r="O1295" t="s">
        <v>3750</v>
      </c>
    </row>
    <row r="1296" spans="1:20" x14ac:dyDescent="0.25">
      <c r="A1296" t="str">
        <f>"3048008"</f>
        <v>3048008</v>
      </c>
      <c r="B1296" t="s">
        <v>3754</v>
      </c>
      <c r="C1296" t="str">
        <f>"82515591"</f>
        <v>82515591</v>
      </c>
      <c r="D1296" t="s">
        <v>3750</v>
      </c>
      <c r="F1296" t="s">
        <v>1749</v>
      </c>
      <c r="I1296" t="s">
        <v>184</v>
      </c>
      <c r="J1296" t="s">
        <v>30</v>
      </c>
      <c r="K1296" t="s">
        <v>3751</v>
      </c>
      <c r="M1296" t="s">
        <v>32</v>
      </c>
      <c r="N1296" t="str">
        <f>"9/7/2010 12:00:00 AM"</f>
        <v>9/7/2010 12:00:00 AM</v>
      </c>
      <c r="O1296" t="s">
        <v>3750</v>
      </c>
    </row>
    <row r="1297" spans="1:20" x14ac:dyDescent="0.25">
      <c r="A1297" t="str">
        <f>"3041620"</f>
        <v>3041620</v>
      </c>
      <c r="B1297" t="s">
        <v>3755</v>
      </c>
      <c r="C1297" t="str">
        <f>"6540120"</f>
        <v>6540120</v>
      </c>
      <c r="D1297" t="s">
        <v>3756</v>
      </c>
      <c r="E1297" t="s">
        <v>3757</v>
      </c>
      <c r="F1297" t="s">
        <v>3758</v>
      </c>
      <c r="I1297" t="s">
        <v>2071</v>
      </c>
      <c r="J1297" t="s">
        <v>30</v>
      </c>
      <c r="K1297" t="s">
        <v>3759</v>
      </c>
      <c r="M1297" t="s">
        <v>32</v>
      </c>
      <c r="N1297" t="str">
        <f>"1/30/2008 12:00:00 AM"</f>
        <v>1/30/2008 12:00:00 AM</v>
      </c>
      <c r="O1297" t="s">
        <v>3756</v>
      </c>
      <c r="T1297" t="s">
        <v>3757</v>
      </c>
    </row>
    <row r="1298" spans="1:20" x14ac:dyDescent="0.25">
      <c r="A1298" t="str">
        <f>"3041525"</f>
        <v>3041525</v>
      </c>
      <c r="B1298" t="s">
        <v>3760</v>
      </c>
      <c r="C1298" t="str">
        <f>"82518703"</f>
        <v>82518703</v>
      </c>
      <c r="D1298" t="s">
        <v>3761</v>
      </c>
      <c r="E1298" t="s">
        <v>3762</v>
      </c>
      <c r="F1298" t="s">
        <v>3763</v>
      </c>
      <c r="I1298" t="s">
        <v>2071</v>
      </c>
      <c r="J1298" t="s">
        <v>30</v>
      </c>
      <c r="K1298" t="s">
        <v>3764</v>
      </c>
      <c r="M1298" t="s">
        <v>32</v>
      </c>
      <c r="N1298" t="str">
        <f>"2/28/2005 12:00:00 AM"</f>
        <v>2/28/2005 12:00:00 AM</v>
      </c>
      <c r="O1298" t="s">
        <v>3761</v>
      </c>
      <c r="T1298" t="s">
        <v>3762</v>
      </c>
    </row>
    <row r="1299" spans="1:20" x14ac:dyDescent="0.25">
      <c r="A1299" t="str">
        <f>"3041579"</f>
        <v>3041579</v>
      </c>
      <c r="B1299" t="s">
        <v>3765</v>
      </c>
      <c r="C1299" t="str">
        <f>"82529636"</f>
        <v>82529636</v>
      </c>
      <c r="D1299" t="s">
        <v>3766</v>
      </c>
      <c r="E1299" t="s">
        <v>3767</v>
      </c>
      <c r="F1299" t="s">
        <v>3768</v>
      </c>
      <c r="I1299" t="s">
        <v>2071</v>
      </c>
      <c r="J1299" t="s">
        <v>30</v>
      </c>
      <c r="K1299" t="s">
        <v>185</v>
      </c>
      <c r="M1299" t="s">
        <v>32</v>
      </c>
      <c r="N1299" t="str">
        <f>"5/23/2008 12:00:00 AM"</f>
        <v>5/23/2008 12:00:00 AM</v>
      </c>
      <c r="O1299" t="s">
        <v>3766</v>
      </c>
      <c r="T1299" t="s">
        <v>3767</v>
      </c>
    </row>
    <row r="1300" spans="1:20" x14ac:dyDescent="0.25">
      <c r="A1300" t="str">
        <f>"3041704"</f>
        <v>3041704</v>
      </c>
      <c r="B1300" t="s">
        <v>3769</v>
      </c>
      <c r="C1300" t="str">
        <f>"62742500"</f>
        <v>62742500</v>
      </c>
      <c r="D1300" t="s">
        <v>3770</v>
      </c>
      <c r="E1300" t="s">
        <v>3771</v>
      </c>
      <c r="F1300" t="s">
        <v>3772</v>
      </c>
      <c r="I1300" t="s">
        <v>2071</v>
      </c>
      <c r="J1300" t="s">
        <v>30</v>
      </c>
      <c r="K1300" t="s">
        <v>185</v>
      </c>
      <c r="M1300" t="s">
        <v>32</v>
      </c>
      <c r="N1300" t="str">
        <f>"4/22/2002 12:00:00 AM"</f>
        <v>4/22/2002 12:00:00 AM</v>
      </c>
      <c r="O1300" t="s">
        <v>3770</v>
      </c>
      <c r="T1300" t="s">
        <v>3771</v>
      </c>
    </row>
    <row r="1301" spans="1:20" x14ac:dyDescent="0.25">
      <c r="A1301" t="str">
        <f>"3061732"</f>
        <v>3061732</v>
      </c>
      <c r="B1301" t="s">
        <v>3773</v>
      </c>
      <c r="C1301" t="str">
        <f>"62742500"</f>
        <v>62742500</v>
      </c>
      <c r="D1301" t="s">
        <v>3770</v>
      </c>
      <c r="E1301" t="s">
        <v>3771</v>
      </c>
      <c r="F1301" t="s">
        <v>3772</v>
      </c>
      <c r="I1301" t="s">
        <v>2071</v>
      </c>
      <c r="J1301" t="s">
        <v>30</v>
      </c>
      <c r="K1301" t="s">
        <v>185</v>
      </c>
      <c r="M1301" t="s">
        <v>32</v>
      </c>
      <c r="N1301" t="str">
        <f>"4/22/2002 12:00:00 AM"</f>
        <v>4/22/2002 12:00:00 AM</v>
      </c>
      <c r="O1301" t="s">
        <v>3770</v>
      </c>
      <c r="T1301" t="s">
        <v>3771</v>
      </c>
    </row>
    <row r="1302" spans="1:20" x14ac:dyDescent="0.25">
      <c r="A1302" t="str">
        <f>"3041929"</f>
        <v>3041929</v>
      </c>
      <c r="B1302" t="s">
        <v>3774</v>
      </c>
      <c r="C1302" t="str">
        <f>"82523381"</f>
        <v>82523381</v>
      </c>
      <c r="D1302" t="s">
        <v>3775</v>
      </c>
      <c r="E1302" t="s">
        <v>3776</v>
      </c>
      <c r="F1302" t="s">
        <v>3777</v>
      </c>
      <c r="I1302" t="s">
        <v>2071</v>
      </c>
      <c r="J1302" t="s">
        <v>30</v>
      </c>
      <c r="K1302" t="s">
        <v>3778</v>
      </c>
      <c r="M1302" t="s">
        <v>32</v>
      </c>
      <c r="N1302" t="str">
        <f>"6/30/2010 12:00:00 AM"</f>
        <v>6/30/2010 12:00:00 AM</v>
      </c>
      <c r="O1302" t="s">
        <v>3775</v>
      </c>
      <c r="T1302" t="s">
        <v>3776</v>
      </c>
    </row>
    <row r="1303" spans="1:20" x14ac:dyDescent="0.25">
      <c r="A1303" t="str">
        <f>"3076947"</f>
        <v>3076947</v>
      </c>
      <c r="B1303" t="s">
        <v>3779</v>
      </c>
      <c r="C1303" t="str">
        <f>"82524222"</f>
        <v>82524222</v>
      </c>
      <c r="D1303" t="s">
        <v>3780</v>
      </c>
      <c r="F1303" t="s">
        <v>3781</v>
      </c>
      <c r="G1303" t="s">
        <v>3782</v>
      </c>
      <c r="I1303" t="s">
        <v>2071</v>
      </c>
      <c r="J1303" t="s">
        <v>30</v>
      </c>
      <c r="K1303" t="s">
        <v>3783</v>
      </c>
      <c r="M1303" t="s">
        <v>32</v>
      </c>
      <c r="N1303" t="str">
        <f>"6/22/2007 12:00:00 AM"</f>
        <v>6/22/2007 12:00:00 AM</v>
      </c>
      <c r="O1303" t="s">
        <v>3780</v>
      </c>
    </row>
    <row r="1304" spans="1:20" x14ac:dyDescent="0.25">
      <c r="A1304" t="str">
        <f>"3076949"</f>
        <v>3076949</v>
      </c>
      <c r="B1304" t="s">
        <v>3784</v>
      </c>
      <c r="C1304" t="str">
        <f>"82524222"</f>
        <v>82524222</v>
      </c>
      <c r="D1304" t="s">
        <v>3780</v>
      </c>
      <c r="F1304" t="s">
        <v>3781</v>
      </c>
      <c r="G1304" t="s">
        <v>3782</v>
      </c>
      <c r="I1304" t="s">
        <v>2071</v>
      </c>
      <c r="J1304" t="s">
        <v>30</v>
      </c>
      <c r="K1304" t="s">
        <v>3783</v>
      </c>
      <c r="M1304" t="s">
        <v>32</v>
      </c>
      <c r="N1304" t="str">
        <f>"6/22/2007 12:00:00 AM"</f>
        <v>6/22/2007 12:00:00 AM</v>
      </c>
      <c r="O1304" t="s">
        <v>3780</v>
      </c>
    </row>
    <row r="1305" spans="1:20" x14ac:dyDescent="0.25">
      <c r="A1305" t="str">
        <f>"3041557"</f>
        <v>3041557</v>
      </c>
      <c r="B1305" t="s">
        <v>3785</v>
      </c>
      <c r="C1305" t="str">
        <f>"31334000"</f>
        <v>31334000</v>
      </c>
      <c r="D1305" t="s">
        <v>3786</v>
      </c>
      <c r="E1305" t="s">
        <v>3787</v>
      </c>
      <c r="F1305" t="s">
        <v>3788</v>
      </c>
      <c r="I1305" t="s">
        <v>2071</v>
      </c>
      <c r="J1305" t="s">
        <v>30</v>
      </c>
      <c r="K1305" t="s">
        <v>3789</v>
      </c>
      <c r="M1305" t="s">
        <v>32</v>
      </c>
      <c r="N1305" t="str">
        <f>"11/20/2007 12:00:00 AM"</f>
        <v>11/20/2007 12:00:00 AM</v>
      </c>
      <c r="O1305" t="s">
        <v>3786</v>
      </c>
      <c r="T1305" t="s">
        <v>3787</v>
      </c>
    </row>
    <row r="1306" spans="1:20" x14ac:dyDescent="0.25">
      <c r="A1306" t="str">
        <f>"3041819"</f>
        <v>3041819</v>
      </c>
      <c r="B1306" t="s">
        <v>3790</v>
      </c>
      <c r="C1306" t="str">
        <f>"38005000"</f>
        <v>38005000</v>
      </c>
      <c r="D1306" t="s">
        <v>3791</v>
      </c>
      <c r="E1306" t="s">
        <v>3792</v>
      </c>
      <c r="F1306" t="s">
        <v>3793</v>
      </c>
      <c r="I1306" t="s">
        <v>2071</v>
      </c>
      <c r="J1306" t="s">
        <v>30</v>
      </c>
      <c r="K1306" t="s">
        <v>3789</v>
      </c>
      <c r="M1306" t="s">
        <v>32</v>
      </c>
      <c r="N1306" t="str">
        <f>"6/25/2007 12:00:00 AM"</f>
        <v>6/25/2007 12:00:00 AM</v>
      </c>
      <c r="O1306" t="s">
        <v>3791</v>
      </c>
      <c r="T1306" t="s">
        <v>3792</v>
      </c>
    </row>
    <row r="1307" spans="1:20" x14ac:dyDescent="0.25">
      <c r="A1307" t="str">
        <f>"3049567"</f>
        <v>3049567</v>
      </c>
      <c r="B1307" t="s">
        <v>3794</v>
      </c>
      <c r="C1307" t="str">
        <f>"38005000"</f>
        <v>38005000</v>
      </c>
      <c r="D1307" t="s">
        <v>3791</v>
      </c>
      <c r="E1307" t="s">
        <v>3792</v>
      </c>
      <c r="F1307" t="s">
        <v>3793</v>
      </c>
      <c r="I1307" t="s">
        <v>2071</v>
      </c>
      <c r="J1307" t="s">
        <v>30</v>
      </c>
      <c r="K1307" t="s">
        <v>3789</v>
      </c>
      <c r="M1307" t="s">
        <v>32</v>
      </c>
      <c r="N1307" t="str">
        <f>"6/25/2007 12:00:00 AM"</f>
        <v>6/25/2007 12:00:00 AM</v>
      </c>
      <c r="O1307" t="s">
        <v>3791</v>
      </c>
      <c r="T1307" t="s">
        <v>3792</v>
      </c>
    </row>
    <row r="1308" spans="1:20" x14ac:dyDescent="0.25">
      <c r="A1308" t="str">
        <f>"3101500"</f>
        <v>3101500</v>
      </c>
      <c r="B1308" t="s">
        <v>3795</v>
      </c>
      <c r="C1308" t="str">
        <f>"38005000"</f>
        <v>38005000</v>
      </c>
      <c r="D1308" t="s">
        <v>3791</v>
      </c>
      <c r="E1308" t="s">
        <v>3792</v>
      </c>
      <c r="F1308" t="s">
        <v>3793</v>
      </c>
      <c r="I1308" t="s">
        <v>2071</v>
      </c>
      <c r="J1308" t="s">
        <v>30</v>
      </c>
      <c r="K1308" t="s">
        <v>3789</v>
      </c>
      <c r="M1308" t="s">
        <v>32</v>
      </c>
      <c r="N1308" t="str">
        <f>"6/25/2007 12:00:00 AM"</f>
        <v>6/25/2007 12:00:00 AM</v>
      </c>
      <c r="O1308" t="s">
        <v>3791</v>
      </c>
      <c r="T1308" t="s">
        <v>3792</v>
      </c>
    </row>
    <row r="1309" spans="1:20" x14ac:dyDescent="0.25">
      <c r="A1309" t="str">
        <f>"3041656"</f>
        <v>3041656</v>
      </c>
      <c r="B1309" t="s">
        <v>3796</v>
      </c>
      <c r="C1309" t="str">
        <f>"82522004"</f>
        <v>82522004</v>
      </c>
      <c r="D1309" t="s">
        <v>3797</v>
      </c>
      <c r="F1309" t="s">
        <v>3798</v>
      </c>
      <c r="I1309" t="s">
        <v>2071</v>
      </c>
      <c r="J1309" t="s">
        <v>30</v>
      </c>
      <c r="K1309" t="s">
        <v>185</v>
      </c>
      <c r="M1309" t="s">
        <v>32</v>
      </c>
      <c r="N1309" t="str">
        <f>"1/14/2004 12:00:00 AM"</f>
        <v>1/14/2004 12:00:00 AM</v>
      </c>
      <c r="O1309" t="s">
        <v>3797</v>
      </c>
    </row>
    <row r="1310" spans="1:20" x14ac:dyDescent="0.25">
      <c r="A1310" t="str">
        <f>"3073723"</f>
        <v>3073723</v>
      </c>
      <c r="B1310" t="s">
        <v>3799</v>
      </c>
      <c r="C1310" t="str">
        <f>"56431500"</f>
        <v>56431500</v>
      </c>
      <c r="D1310" t="s">
        <v>3800</v>
      </c>
      <c r="E1310" t="s">
        <v>3801</v>
      </c>
      <c r="F1310" t="s">
        <v>3802</v>
      </c>
      <c r="G1310" t="s">
        <v>3803</v>
      </c>
      <c r="I1310" t="s">
        <v>2071</v>
      </c>
      <c r="J1310" t="s">
        <v>30</v>
      </c>
      <c r="K1310" t="s">
        <v>185</v>
      </c>
      <c r="M1310" t="s">
        <v>32</v>
      </c>
      <c r="N1310" t="str">
        <f>"3/30/2004 12:00:00 AM"</f>
        <v>3/30/2004 12:00:00 AM</v>
      </c>
      <c r="O1310" t="s">
        <v>3800</v>
      </c>
      <c r="T1310" t="s">
        <v>3801</v>
      </c>
    </row>
    <row r="1311" spans="1:20" x14ac:dyDescent="0.25">
      <c r="A1311" t="str">
        <f>"3072001"</f>
        <v>3072001</v>
      </c>
      <c r="B1311" t="s">
        <v>3804</v>
      </c>
      <c r="C1311" t="str">
        <f>"82530052"</f>
        <v>82530052</v>
      </c>
      <c r="D1311" t="s">
        <v>3805</v>
      </c>
      <c r="F1311" t="s">
        <v>3806</v>
      </c>
      <c r="I1311" t="s">
        <v>2071</v>
      </c>
      <c r="J1311" t="s">
        <v>30</v>
      </c>
      <c r="K1311" t="s">
        <v>185</v>
      </c>
      <c r="M1311" t="s">
        <v>32</v>
      </c>
      <c r="N1311" t="str">
        <f>"9/9/2008 12:00:00 AM"</f>
        <v>9/9/2008 12:00:00 AM</v>
      </c>
      <c r="O1311" t="s">
        <v>3805</v>
      </c>
    </row>
    <row r="1312" spans="1:20" x14ac:dyDescent="0.25">
      <c r="A1312" t="str">
        <f>"3041664"</f>
        <v>3041664</v>
      </c>
      <c r="B1312" t="s">
        <v>3807</v>
      </c>
      <c r="C1312" t="str">
        <f>"71373000"</f>
        <v>71373000</v>
      </c>
      <c r="D1312" t="s">
        <v>3808</v>
      </c>
      <c r="E1312" t="s">
        <v>3809</v>
      </c>
      <c r="F1312" t="s">
        <v>3810</v>
      </c>
      <c r="I1312" t="s">
        <v>2071</v>
      </c>
      <c r="J1312" t="s">
        <v>30</v>
      </c>
      <c r="K1312" t="s">
        <v>185</v>
      </c>
      <c r="M1312" t="s">
        <v>32</v>
      </c>
      <c r="N1312" t="str">
        <f>"8/19/2011 12:00:00 AM"</f>
        <v>8/19/2011 12:00:00 AM</v>
      </c>
      <c r="O1312" t="s">
        <v>3808</v>
      </c>
      <c r="T1312" t="s">
        <v>3809</v>
      </c>
    </row>
    <row r="1313" spans="1:20" x14ac:dyDescent="0.25">
      <c r="A1313" t="str">
        <f>"3072656"</f>
        <v>3072656</v>
      </c>
      <c r="B1313" t="s">
        <v>3811</v>
      </c>
      <c r="C1313" t="str">
        <f>"51212000"</f>
        <v>51212000</v>
      </c>
      <c r="D1313" t="s">
        <v>3812</v>
      </c>
      <c r="F1313" t="s">
        <v>3813</v>
      </c>
      <c r="I1313" t="s">
        <v>184</v>
      </c>
      <c r="J1313" t="s">
        <v>30</v>
      </c>
      <c r="K1313" t="s">
        <v>185</v>
      </c>
      <c r="M1313" t="s">
        <v>32</v>
      </c>
      <c r="N1313" t="str">
        <f>"4/22/2002 12:00:00 AM"</f>
        <v>4/22/2002 12:00:00 AM</v>
      </c>
      <c r="O1313" t="s">
        <v>3812</v>
      </c>
    </row>
    <row r="1314" spans="1:20" x14ac:dyDescent="0.25">
      <c r="A1314" t="str">
        <f>"3041687"</f>
        <v>3041687</v>
      </c>
      <c r="B1314" t="s">
        <v>3814</v>
      </c>
      <c r="C1314" t="str">
        <f>"82528615"</f>
        <v>82528615</v>
      </c>
      <c r="D1314" t="s">
        <v>3815</v>
      </c>
      <c r="E1314" t="s">
        <v>3816</v>
      </c>
      <c r="F1314" t="s">
        <v>3817</v>
      </c>
      <c r="I1314" t="s">
        <v>2071</v>
      </c>
      <c r="J1314" t="s">
        <v>30</v>
      </c>
      <c r="K1314" t="s">
        <v>185</v>
      </c>
      <c r="M1314" t="s">
        <v>32</v>
      </c>
      <c r="N1314" t="str">
        <f>"2/10/2010 12:00:00 AM"</f>
        <v>2/10/2010 12:00:00 AM</v>
      </c>
      <c r="O1314" t="s">
        <v>3815</v>
      </c>
      <c r="T1314" t="s">
        <v>3816</v>
      </c>
    </row>
    <row r="1315" spans="1:20" x14ac:dyDescent="0.25">
      <c r="A1315" t="str">
        <f>"3041834"</f>
        <v>3041834</v>
      </c>
      <c r="B1315" t="s">
        <v>3818</v>
      </c>
      <c r="C1315" t="str">
        <f>"82527630"</f>
        <v>82527630</v>
      </c>
      <c r="D1315" t="s">
        <v>3819</v>
      </c>
      <c r="F1315" t="s">
        <v>3820</v>
      </c>
      <c r="I1315" t="s">
        <v>2071</v>
      </c>
      <c r="J1315" t="s">
        <v>30</v>
      </c>
      <c r="K1315" t="s">
        <v>185</v>
      </c>
      <c r="M1315" t="s">
        <v>32</v>
      </c>
      <c r="N1315" t="str">
        <f>"3/5/2007 12:00:00 AM"</f>
        <v>3/5/2007 12:00:00 AM</v>
      </c>
      <c r="O1315" t="s">
        <v>3819</v>
      </c>
    </row>
    <row r="1316" spans="1:20" x14ac:dyDescent="0.25">
      <c r="A1316" t="str">
        <f>"3041695"</f>
        <v>3041695</v>
      </c>
      <c r="B1316" t="s">
        <v>3821</v>
      </c>
      <c r="C1316" t="str">
        <f>"25048000"</f>
        <v>25048000</v>
      </c>
      <c r="D1316" t="s">
        <v>3822</v>
      </c>
      <c r="E1316" t="s">
        <v>3823</v>
      </c>
      <c r="F1316" t="s">
        <v>3824</v>
      </c>
      <c r="I1316" t="s">
        <v>2071</v>
      </c>
      <c r="J1316" t="s">
        <v>30</v>
      </c>
      <c r="K1316" t="s">
        <v>185</v>
      </c>
      <c r="M1316" t="s">
        <v>32</v>
      </c>
      <c r="N1316" t="str">
        <f>"9/23/2005 12:00:00 AM"</f>
        <v>9/23/2005 12:00:00 AM</v>
      </c>
      <c r="O1316" t="s">
        <v>3822</v>
      </c>
      <c r="T1316" t="s">
        <v>3823</v>
      </c>
    </row>
    <row r="1317" spans="1:20" x14ac:dyDescent="0.25">
      <c r="A1317" t="str">
        <f>"3041696"</f>
        <v>3041696</v>
      </c>
      <c r="B1317" t="s">
        <v>3825</v>
      </c>
      <c r="C1317" t="str">
        <f>"82519995"</f>
        <v>82519995</v>
      </c>
      <c r="D1317" t="s">
        <v>3826</v>
      </c>
      <c r="E1317" t="s">
        <v>3827</v>
      </c>
      <c r="F1317" t="s">
        <v>3828</v>
      </c>
      <c r="I1317" t="s">
        <v>2071</v>
      </c>
      <c r="J1317" t="s">
        <v>30</v>
      </c>
      <c r="K1317" t="s">
        <v>185</v>
      </c>
      <c r="M1317" t="s">
        <v>32</v>
      </c>
      <c r="N1317" t="str">
        <f>"1/28/2004 12:00:00 AM"</f>
        <v>1/28/2004 12:00:00 AM</v>
      </c>
      <c r="O1317" t="s">
        <v>3826</v>
      </c>
      <c r="T1317" t="s">
        <v>3827</v>
      </c>
    </row>
    <row r="1318" spans="1:20" x14ac:dyDescent="0.25">
      <c r="A1318" t="str">
        <f>"3062466"</f>
        <v>3062466</v>
      </c>
      <c r="B1318" t="s">
        <v>3829</v>
      </c>
      <c r="C1318" t="str">
        <f>"45049000"</f>
        <v>45049000</v>
      </c>
      <c r="D1318" t="s">
        <v>3830</v>
      </c>
      <c r="E1318" t="s">
        <v>3831</v>
      </c>
      <c r="F1318" t="s">
        <v>3832</v>
      </c>
      <c r="I1318" t="s">
        <v>2071</v>
      </c>
      <c r="J1318" t="s">
        <v>30</v>
      </c>
      <c r="K1318" t="s">
        <v>185</v>
      </c>
      <c r="M1318" t="s">
        <v>32</v>
      </c>
      <c r="N1318" t="str">
        <f>"12/12/2003 12:00:00 AM"</f>
        <v>12/12/2003 12:00:00 AM</v>
      </c>
      <c r="O1318" t="s">
        <v>3830</v>
      </c>
      <c r="T1318" t="s">
        <v>3831</v>
      </c>
    </row>
    <row r="1319" spans="1:20" x14ac:dyDescent="0.25">
      <c r="A1319" t="str">
        <f>"3041566"</f>
        <v>3041566</v>
      </c>
      <c r="B1319" t="s">
        <v>3833</v>
      </c>
      <c r="C1319" t="str">
        <f>"30850000"</f>
        <v>30850000</v>
      </c>
      <c r="D1319" t="s">
        <v>3834</v>
      </c>
      <c r="E1319" t="s">
        <v>3835</v>
      </c>
      <c r="F1319" t="s">
        <v>3836</v>
      </c>
      <c r="I1319" t="s">
        <v>2071</v>
      </c>
      <c r="J1319" t="s">
        <v>30</v>
      </c>
      <c r="K1319" t="s">
        <v>3837</v>
      </c>
      <c r="M1319" t="s">
        <v>32</v>
      </c>
      <c r="N1319" t="str">
        <f>"1/16/2007 12:00:00 AM"</f>
        <v>1/16/2007 12:00:00 AM</v>
      </c>
      <c r="O1319" t="s">
        <v>3834</v>
      </c>
      <c r="T1319" t="s">
        <v>3835</v>
      </c>
    </row>
    <row r="1320" spans="1:20" x14ac:dyDescent="0.25">
      <c r="A1320" t="str">
        <f>"3062451"</f>
        <v>3062451</v>
      </c>
      <c r="B1320" t="s">
        <v>3838</v>
      </c>
      <c r="C1320" t="str">
        <f>"40468000"</f>
        <v>40468000</v>
      </c>
      <c r="D1320" t="s">
        <v>3839</v>
      </c>
      <c r="E1320" t="s">
        <v>3840</v>
      </c>
      <c r="F1320" t="s">
        <v>3841</v>
      </c>
      <c r="I1320" t="s">
        <v>2071</v>
      </c>
      <c r="J1320" t="s">
        <v>30</v>
      </c>
      <c r="K1320" t="s">
        <v>185</v>
      </c>
      <c r="M1320" t="s">
        <v>32</v>
      </c>
      <c r="N1320" t="str">
        <f>"10/28/2011 12:00:00 AM"</f>
        <v>10/28/2011 12:00:00 AM</v>
      </c>
      <c r="O1320" t="s">
        <v>3839</v>
      </c>
      <c r="T1320" t="s">
        <v>3840</v>
      </c>
    </row>
    <row r="1321" spans="1:20" x14ac:dyDescent="0.25">
      <c r="A1321" t="str">
        <f>"3061742"</f>
        <v>3061742</v>
      </c>
      <c r="B1321" t="s">
        <v>3842</v>
      </c>
      <c r="C1321" t="str">
        <f>"63489370"</f>
        <v>63489370</v>
      </c>
      <c r="D1321" t="s">
        <v>3843</v>
      </c>
      <c r="E1321" t="s">
        <v>3844</v>
      </c>
      <c r="F1321" t="s">
        <v>3845</v>
      </c>
      <c r="I1321" t="s">
        <v>2071</v>
      </c>
      <c r="J1321" t="s">
        <v>30</v>
      </c>
      <c r="K1321" t="s">
        <v>3846</v>
      </c>
      <c r="M1321" t="s">
        <v>32</v>
      </c>
      <c r="N1321" t="str">
        <f>"1/12/2006 12:00:00 AM"</f>
        <v>1/12/2006 12:00:00 AM</v>
      </c>
      <c r="O1321" t="s">
        <v>3843</v>
      </c>
      <c r="T1321" t="s">
        <v>3844</v>
      </c>
    </row>
    <row r="1322" spans="1:20" x14ac:dyDescent="0.25">
      <c r="A1322" t="str">
        <f>"3066803"</f>
        <v>3066803</v>
      </c>
      <c r="B1322" t="s">
        <v>3847</v>
      </c>
      <c r="C1322" t="str">
        <f>"28863120"</f>
        <v>28863120</v>
      </c>
      <c r="D1322" t="s">
        <v>3848</v>
      </c>
      <c r="F1322" t="s">
        <v>3849</v>
      </c>
      <c r="I1322" t="s">
        <v>2071</v>
      </c>
      <c r="J1322" t="s">
        <v>30</v>
      </c>
      <c r="K1322" t="s">
        <v>185</v>
      </c>
      <c r="M1322" t="s">
        <v>32</v>
      </c>
      <c r="N1322" t="str">
        <f>"4/22/2002 12:00:00 AM"</f>
        <v>4/22/2002 12:00:00 AM</v>
      </c>
      <c r="O1322" t="s">
        <v>3848</v>
      </c>
    </row>
    <row r="1323" spans="1:20" x14ac:dyDescent="0.25">
      <c r="A1323" t="str">
        <f>"3060715"</f>
        <v>3060715</v>
      </c>
      <c r="B1323" t="s">
        <v>3850</v>
      </c>
      <c r="C1323" t="str">
        <f>"40468000"</f>
        <v>40468000</v>
      </c>
      <c r="D1323" t="s">
        <v>3839</v>
      </c>
      <c r="E1323" t="s">
        <v>3840</v>
      </c>
      <c r="F1323" t="s">
        <v>3841</v>
      </c>
      <c r="I1323" t="s">
        <v>2071</v>
      </c>
      <c r="J1323" t="s">
        <v>30</v>
      </c>
      <c r="K1323" t="s">
        <v>185</v>
      </c>
      <c r="M1323" t="s">
        <v>32</v>
      </c>
      <c r="N1323" t="str">
        <f>"10/28/2011 12:00:00 AM"</f>
        <v>10/28/2011 12:00:00 AM</v>
      </c>
      <c r="O1323" t="s">
        <v>3839</v>
      </c>
      <c r="T1323" t="s">
        <v>3840</v>
      </c>
    </row>
    <row r="1324" spans="1:20" x14ac:dyDescent="0.25">
      <c r="A1324" t="str">
        <f>"3062461"</f>
        <v>3062461</v>
      </c>
      <c r="B1324" t="s">
        <v>3851</v>
      </c>
      <c r="C1324" t="str">
        <f>"43073350"</f>
        <v>43073350</v>
      </c>
      <c r="D1324" t="s">
        <v>3852</v>
      </c>
      <c r="E1324" t="s">
        <v>3853</v>
      </c>
      <c r="F1324" t="s">
        <v>3854</v>
      </c>
      <c r="I1324" t="s">
        <v>2071</v>
      </c>
      <c r="J1324" t="s">
        <v>30</v>
      </c>
      <c r="K1324" t="s">
        <v>185</v>
      </c>
      <c r="M1324" t="s">
        <v>32</v>
      </c>
      <c r="N1324" t="str">
        <f>"11/21/2003 12:00:00 AM"</f>
        <v>11/21/2003 12:00:00 AM</v>
      </c>
      <c r="O1324" t="s">
        <v>3852</v>
      </c>
      <c r="T1324" t="s">
        <v>3853</v>
      </c>
    </row>
    <row r="1325" spans="1:20" x14ac:dyDescent="0.25">
      <c r="A1325" t="str">
        <f>"3041044"</f>
        <v>3041044</v>
      </c>
      <c r="B1325" t="s">
        <v>3855</v>
      </c>
      <c r="C1325" t="str">
        <f>"70537250"</f>
        <v>70537250</v>
      </c>
      <c r="D1325" t="s">
        <v>3856</v>
      </c>
      <c r="F1325" t="s">
        <v>3857</v>
      </c>
      <c r="G1325" t="s">
        <v>3858</v>
      </c>
      <c r="I1325" t="s">
        <v>2071</v>
      </c>
      <c r="J1325" t="s">
        <v>30</v>
      </c>
      <c r="K1325" t="s">
        <v>185</v>
      </c>
      <c r="M1325" t="s">
        <v>32</v>
      </c>
      <c r="N1325" t="str">
        <f>"5/20/2004 12:00:00 AM"</f>
        <v>5/20/2004 12:00:00 AM</v>
      </c>
      <c r="O1325" t="s">
        <v>3856</v>
      </c>
    </row>
    <row r="1326" spans="1:20" x14ac:dyDescent="0.25">
      <c r="A1326" t="str">
        <f>"3041045"</f>
        <v>3041045</v>
      </c>
      <c r="B1326" t="s">
        <v>3859</v>
      </c>
      <c r="C1326" t="str">
        <f>"70537250"</f>
        <v>70537250</v>
      </c>
      <c r="D1326" t="s">
        <v>3856</v>
      </c>
      <c r="F1326" t="s">
        <v>3857</v>
      </c>
      <c r="G1326" t="s">
        <v>3858</v>
      </c>
      <c r="I1326" t="s">
        <v>2071</v>
      </c>
      <c r="J1326" t="s">
        <v>30</v>
      </c>
      <c r="K1326" t="s">
        <v>185</v>
      </c>
      <c r="M1326" t="s">
        <v>32</v>
      </c>
      <c r="N1326" t="str">
        <f>"5/20/2004 12:00:00 AM"</f>
        <v>5/20/2004 12:00:00 AM</v>
      </c>
      <c r="O1326" t="s">
        <v>3856</v>
      </c>
    </row>
    <row r="1327" spans="1:20" x14ac:dyDescent="0.25">
      <c r="A1327" t="str">
        <f>"3041861"</f>
        <v>3041861</v>
      </c>
      <c r="B1327" t="s">
        <v>3860</v>
      </c>
      <c r="C1327" t="str">
        <f>"82515827"</f>
        <v>82515827</v>
      </c>
      <c r="D1327" t="s">
        <v>3861</v>
      </c>
      <c r="E1327" t="s">
        <v>3862</v>
      </c>
      <c r="F1327" t="s">
        <v>3863</v>
      </c>
      <c r="I1327" t="s">
        <v>2071</v>
      </c>
      <c r="J1327" t="s">
        <v>30</v>
      </c>
      <c r="K1327" t="s">
        <v>185</v>
      </c>
      <c r="M1327" t="s">
        <v>32</v>
      </c>
      <c r="N1327" t="str">
        <f>"2/20/2004 12:00:00 AM"</f>
        <v>2/20/2004 12:00:00 AM</v>
      </c>
      <c r="O1327" t="s">
        <v>3861</v>
      </c>
      <c r="T1327" t="s">
        <v>3862</v>
      </c>
    </row>
    <row r="1328" spans="1:20" x14ac:dyDescent="0.25">
      <c r="A1328" t="str">
        <f>"3041862"</f>
        <v>3041862</v>
      </c>
      <c r="B1328" t="s">
        <v>3864</v>
      </c>
      <c r="C1328" t="str">
        <f>"31348200"</f>
        <v>31348200</v>
      </c>
      <c r="D1328" t="s">
        <v>3865</v>
      </c>
      <c r="E1328" t="s">
        <v>3866</v>
      </c>
      <c r="F1328" t="s">
        <v>3867</v>
      </c>
      <c r="I1328" t="s">
        <v>2071</v>
      </c>
      <c r="J1328" t="s">
        <v>30</v>
      </c>
      <c r="K1328" t="s">
        <v>185</v>
      </c>
      <c r="M1328" t="s">
        <v>32</v>
      </c>
      <c r="N1328" t="str">
        <f>"4/22/2002 12:00:00 AM"</f>
        <v>4/22/2002 12:00:00 AM</v>
      </c>
      <c r="O1328" t="s">
        <v>3865</v>
      </c>
      <c r="T1328" t="s">
        <v>3866</v>
      </c>
    </row>
    <row r="1329" spans="1:20" x14ac:dyDescent="0.25">
      <c r="A1329" t="str">
        <f>"3041863"</f>
        <v>3041863</v>
      </c>
      <c r="B1329" t="s">
        <v>3868</v>
      </c>
      <c r="C1329" t="str">
        <f>"82522226"</f>
        <v>82522226</v>
      </c>
      <c r="D1329" t="s">
        <v>3869</v>
      </c>
      <c r="E1329" t="s">
        <v>3870</v>
      </c>
      <c r="F1329" t="s">
        <v>3871</v>
      </c>
      <c r="I1329" t="s">
        <v>2071</v>
      </c>
      <c r="J1329" t="s">
        <v>30</v>
      </c>
      <c r="K1329" t="s">
        <v>3872</v>
      </c>
      <c r="M1329" t="s">
        <v>32</v>
      </c>
      <c r="N1329" t="str">
        <f>"1/18/2005 12:00:00 AM"</f>
        <v>1/18/2005 12:00:00 AM</v>
      </c>
      <c r="O1329" t="s">
        <v>3869</v>
      </c>
      <c r="T1329" t="s">
        <v>3870</v>
      </c>
    </row>
    <row r="1330" spans="1:20" x14ac:dyDescent="0.25">
      <c r="A1330" t="str">
        <f>"3041864"</f>
        <v>3041864</v>
      </c>
      <c r="B1330" t="s">
        <v>3873</v>
      </c>
      <c r="C1330" t="str">
        <f>"47327250"</f>
        <v>47327250</v>
      </c>
      <c r="D1330" t="s">
        <v>3874</v>
      </c>
      <c r="E1330" t="s">
        <v>3875</v>
      </c>
      <c r="F1330" t="s">
        <v>3876</v>
      </c>
      <c r="I1330" t="s">
        <v>2071</v>
      </c>
      <c r="J1330" t="s">
        <v>30</v>
      </c>
      <c r="K1330" t="s">
        <v>185</v>
      </c>
      <c r="M1330" t="s">
        <v>32</v>
      </c>
      <c r="N1330" t="str">
        <f>"4/22/2002 12:00:00 AM"</f>
        <v>4/22/2002 12:00:00 AM</v>
      </c>
      <c r="O1330" t="s">
        <v>3874</v>
      </c>
      <c r="T1330" t="s">
        <v>3875</v>
      </c>
    </row>
    <row r="1331" spans="1:20" x14ac:dyDescent="0.25">
      <c r="A1331" t="str">
        <f>"3061687"</f>
        <v>3061687</v>
      </c>
      <c r="B1331" t="s">
        <v>3877</v>
      </c>
      <c r="C1331" t="str">
        <f>"82524884"</f>
        <v>82524884</v>
      </c>
      <c r="D1331" t="s">
        <v>3878</v>
      </c>
      <c r="E1331" t="s">
        <v>3879</v>
      </c>
      <c r="F1331" t="s">
        <v>3880</v>
      </c>
      <c r="I1331" t="s">
        <v>2071</v>
      </c>
      <c r="J1331" t="s">
        <v>30</v>
      </c>
      <c r="K1331" t="s">
        <v>185</v>
      </c>
      <c r="M1331" t="s">
        <v>32</v>
      </c>
      <c r="N1331" t="str">
        <f>"2/27/2006 12:00:00 AM"</f>
        <v>2/27/2006 12:00:00 AM</v>
      </c>
      <c r="O1331" t="s">
        <v>3878</v>
      </c>
      <c r="T1331" t="s">
        <v>3879</v>
      </c>
    </row>
    <row r="1332" spans="1:20" x14ac:dyDescent="0.25">
      <c r="A1332" t="str">
        <f>"3061685"</f>
        <v>3061685</v>
      </c>
      <c r="B1332" t="s">
        <v>3881</v>
      </c>
      <c r="C1332" t="str">
        <f>"77280000"</f>
        <v>77280000</v>
      </c>
      <c r="D1332" t="s">
        <v>3882</v>
      </c>
      <c r="E1332" t="s">
        <v>3883</v>
      </c>
      <c r="F1332" t="s">
        <v>3884</v>
      </c>
      <c r="I1332" t="s">
        <v>2071</v>
      </c>
      <c r="J1332" t="s">
        <v>30</v>
      </c>
      <c r="K1332" t="s">
        <v>3885</v>
      </c>
      <c r="M1332" t="s">
        <v>32</v>
      </c>
      <c r="N1332" t="str">
        <f>"2/21/2005 12:00:00 AM"</f>
        <v>2/21/2005 12:00:00 AM</v>
      </c>
      <c r="O1332" t="s">
        <v>3882</v>
      </c>
      <c r="T1332" t="s">
        <v>3883</v>
      </c>
    </row>
    <row r="1333" spans="1:20" x14ac:dyDescent="0.25">
      <c r="A1333" t="str">
        <f>"3041600"</f>
        <v>3041600</v>
      </c>
      <c r="B1333" t="s">
        <v>3886</v>
      </c>
      <c r="C1333" t="str">
        <f>"54330360"</f>
        <v>54330360</v>
      </c>
      <c r="D1333" t="s">
        <v>3887</v>
      </c>
      <c r="E1333" t="s">
        <v>3888</v>
      </c>
      <c r="F1333" t="s">
        <v>3889</v>
      </c>
      <c r="I1333" t="s">
        <v>2071</v>
      </c>
      <c r="J1333" t="s">
        <v>30</v>
      </c>
      <c r="K1333" t="s">
        <v>3890</v>
      </c>
      <c r="M1333" t="s">
        <v>32</v>
      </c>
      <c r="N1333" t="str">
        <f>"1/23/2006 12:00:00 AM"</f>
        <v>1/23/2006 12:00:00 AM</v>
      </c>
      <c r="O1333" t="s">
        <v>3887</v>
      </c>
      <c r="T1333" t="s">
        <v>3888</v>
      </c>
    </row>
    <row r="1334" spans="1:20" x14ac:dyDescent="0.25">
      <c r="A1334" t="str">
        <f>"3060713"</f>
        <v>3060713</v>
      </c>
      <c r="B1334" t="s">
        <v>3891</v>
      </c>
      <c r="C1334" t="str">
        <f t="shared" ref="C1334:C1340" si="32">"82517418"</f>
        <v>82517418</v>
      </c>
      <c r="D1334" t="s">
        <v>3892</v>
      </c>
      <c r="E1334" t="s">
        <v>3893</v>
      </c>
      <c r="F1334" t="s">
        <v>3894</v>
      </c>
      <c r="I1334" t="s">
        <v>2071</v>
      </c>
      <c r="J1334" t="s">
        <v>30</v>
      </c>
      <c r="K1334" t="s">
        <v>185</v>
      </c>
      <c r="M1334" t="s">
        <v>32</v>
      </c>
      <c r="N1334" t="str">
        <f t="shared" ref="N1334:N1340" si="33">"12/17/2008 12:00:00 AM"</f>
        <v>12/17/2008 12:00:00 AM</v>
      </c>
      <c r="O1334" t="s">
        <v>3892</v>
      </c>
      <c r="T1334" t="s">
        <v>3893</v>
      </c>
    </row>
    <row r="1335" spans="1:20" x14ac:dyDescent="0.25">
      <c r="A1335" t="str">
        <f>"3062432"</f>
        <v>3062432</v>
      </c>
      <c r="B1335" t="s">
        <v>3895</v>
      </c>
      <c r="C1335" t="str">
        <f t="shared" si="32"/>
        <v>82517418</v>
      </c>
      <c r="D1335" t="s">
        <v>3892</v>
      </c>
      <c r="E1335" t="s">
        <v>3893</v>
      </c>
      <c r="F1335" t="s">
        <v>3894</v>
      </c>
      <c r="I1335" t="s">
        <v>2071</v>
      </c>
      <c r="J1335" t="s">
        <v>30</v>
      </c>
      <c r="K1335" t="s">
        <v>185</v>
      </c>
      <c r="M1335" t="s">
        <v>32</v>
      </c>
      <c r="N1335" t="str">
        <f t="shared" si="33"/>
        <v>12/17/2008 12:00:00 AM</v>
      </c>
      <c r="O1335" t="s">
        <v>3892</v>
      </c>
      <c r="T1335" t="s">
        <v>3893</v>
      </c>
    </row>
    <row r="1336" spans="1:20" x14ac:dyDescent="0.25">
      <c r="A1336" t="str">
        <f>"3047648"</f>
        <v>3047648</v>
      </c>
      <c r="B1336" t="s">
        <v>3896</v>
      </c>
      <c r="C1336" t="str">
        <f t="shared" si="32"/>
        <v>82517418</v>
      </c>
      <c r="D1336" t="s">
        <v>3892</v>
      </c>
      <c r="E1336" t="s">
        <v>3893</v>
      </c>
      <c r="F1336" t="s">
        <v>3894</v>
      </c>
      <c r="I1336" t="s">
        <v>2071</v>
      </c>
      <c r="J1336" t="s">
        <v>30</v>
      </c>
      <c r="K1336" t="s">
        <v>185</v>
      </c>
      <c r="M1336" t="s">
        <v>32</v>
      </c>
      <c r="N1336" t="str">
        <f t="shared" si="33"/>
        <v>12/17/2008 12:00:00 AM</v>
      </c>
      <c r="O1336" t="s">
        <v>3892</v>
      </c>
      <c r="T1336" t="s">
        <v>3893</v>
      </c>
    </row>
    <row r="1337" spans="1:20" x14ac:dyDescent="0.25">
      <c r="A1337" t="str">
        <f>"3047493"</f>
        <v>3047493</v>
      </c>
      <c r="B1337" t="s">
        <v>3897</v>
      </c>
      <c r="C1337" t="str">
        <f t="shared" si="32"/>
        <v>82517418</v>
      </c>
      <c r="D1337" t="s">
        <v>3892</v>
      </c>
      <c r="E1337" t="s">
        <v>3893</v>
      </c>
      <c r="F1337" t="s">
        <v>3894</v>
      </c>
      <c r="I1337" t="s">
        <v>2071</v>
      </c>
      <c r="J1337" t="s">
        <v>30</v>
      </c>
      <c r="K1337" t="s">
        <v>185</v>
      </c>
      <c r="M1337" t="s">
        <v>32</v>
      </c>
      <c r="N1337" t="str">
        <f t="shared" si="33"/>
        <v>12/17/2008 12:00:00 AM</v>
      </c>
      <c r="O1337" t="s">
        <v>3892</v>
      </c>
      <c r="T1337" t="s">
        <v>3893</v>
      </c>
    </row>
    <row r="1338" spans="1:20" x14ac:dyDescent="0.25">
      <c r="A1338" t="str">
        <f>"3049142"</f>
        <v>3049142</v>
      </c>
      <c r="B1338" t="s">
        <v>3898</v>
      </c>
      <c r="C1338" t="str">
        <f t="shared" si="32"/>
        <v>82517418</v>
      </c>
      <c r="D1338" t="s">
        <v>3892</v>
      </c>
      <c r="E1338" t="s">
        <v>3893</v>
      </c>
      <c r="F1338" t="s">
        <v>3894</v>
      </c>
      <c r="I1338" t="s">
        <v>2071</v>
      </c>
      <c r="J1338" t="s">
        <v>30</v>
      </c>
      <c r="K1338" t="s">
        <v>185</v>
      </c>
      <c r="M1338" t="s">
        <v>32</v>
      </c>
      <c r="N1338" t="str">
        <f t="shared" si="33"/>
        <v>12/17/2008 12:00:00 AM</v>
      </c>
      <c r="O1338" t="s">
        <v>3892</v>
      </c>
      <c r="T1338" t="s">
        <v>3893</v>
      </c>
    </row>
    <row r="1339" spans="1:20" x14ac:dyDescent="0.25">
      <c r="A1339" t="str">
        <f>"3049143"</f>
        <v>3049143</v>
      </c>
      <c r="B1339" t="s">
        <v>3899</v>
      </c>
      <c r="C1339" t="str">
        <f t="shared" si="32"/>
        <v>82517418</v>
      </c>
      <c r="D1339" t="s">
        <v>3892</v>
      </c>
      <c r="E1339" t="s">
        <v>3893</v>
      </c>
      <c r="F1339" t="s">
        <v>3894</v>
      </c>
      <c r="I1339" t="s">
        <v>2071</v>
      </c>
      <c r="J1339" t="s">
        <v>30</v>
      </c>
      <c r="K1339" t="s">
        <v>185</v>
      </c>
      <c r="M1339" t="s">
        <v>32</v>
      </c>
      <c r="N1339" t="str">
        <f t="shared" si="33"/>
        <v>12/17/2008 12:00:00 AM</v>
      </c>
      <c r="O1339" t="s">
        <v>3892</v>
      </c>
      <c r="T1339" t="s">
        <v>3893</v>
      </c>
    </row>
    <row r="1340" spans="1:20" x14ac:dyDescent="0.25">
      <c r="A1340" t="str">
        <f>"3047823"</f>
        <v>3047823</v>
      </c>
      <c r="B1340" t="s">
        <v>3900</v>
      </c>
      <c r="C1340" t="str">
        <f t="shared" si="32"/>
        <v>82517418</v>
      </c>
      <c r="D1340" t="s">
        <v>3892</v>
      </c>
      <c r="E1340" t="s">
        <v>3893</v>
      </c>
      <c r="F1340" t="s">
        <v>3894</v>
      </c>
      <c r="I1340" t="s">
        <v>2071</v>
      </c>
      <c r="J1340" t="s">
        <v>30</v>
      </c>
      <c r="K1340" t="s">
        <v>185</v>
      </c>
      <c r="M1340" t="s">
        <v>32</v>
      </c>
      <c r="N1340" t="str">
        <f t="shared" si="33"/>
        <v>12/17/2008 12:00:00 AM</v>
      </c>
      <c r="O1340" t="s">
        <v>3892</v>
      </c>
      <c r="T1340" t="s">
        <v>3893</v>
      </c>
    </row>
    <row r="1341" spans="1:20" x14ac:dyDescent="0.25">
      <c r="A1341" t="str">
        <f>"3062419"</f>
        <v>3062419</v>
      </c>
      <c r="B1341" t="s">
        <v>3901</v>
      </c>
      <c r="C1341" t="str">
        <f>"82523360"</f>
        <v>82523360</v>
      </c>
      <c r="D1341" t="s">
        <v>3902</v>
      </c>
      <c r="F1341" t="s">
        <v>3903</v>
      </c>
      <c r="I1341" t="s">
        <v>2071</v>
      </c>
      <c r="J1341" t="s">
        <v>30</v>
      </c>
      <c r="K1341" t="s">
        <v>3885</v>
      </c>
      <c r="M1341" t="s">
        <v>32</v>
      </c>
      <c r="N1341" t="str">
        <f>"1/25/2005 12:00:00 AM"</f>
        <v>1/25/2005 12:00:00 AM</v>
      </c>
      <c r="O1341" t="s">
        <v>3902</v>
      </c>
    </row>
    <row r="1342" spans="1:20" x14ac:dyDescent="0.25">
      <c r="A1342" t="str">
        <f>"3062420"</f>
        <v>3062420</v>
      </c>
      <c r="B1342" t="s">
        <v>3904</v>
      </c>
      <c r="C1342" t="str">
        <f>"82514132"</f>
        <v>82514132</v>
      </c>
      <c r="D1342" t="s">
        <v>3905</v>
      </c>
      <c r="F1342" t="s">
        <v>3906</v>
      </c>
      <c r="I1342" t="s">
        <v>2071</v>
      </c>
      <c r="J1342" t="s">
        <v>30</v>
      </c>
      <c r="K1342" t="s">
        <v>185</v>
      </c>
      <c r="M1342" t="s">
        <v>32</v>
      </c>
      <c r="N1342" t="str">
        <f>"9/23/2005 12:00:00 AM"</f>
        <v>9/23/2005 12:00:00 AM</v>
      </c>
      <c r="O1342" t="s">
        <v>3905</v>
      </c>
    </row>
    <row r="1343" spans="1:20" x14ac:dyDescent="0.25">
      <c r="A1343" t="str">
        <f>"3062423"</f>
        <v>3062423</v>
      </c>
      <c r="B1343" t="s">
        <v>3907</v>
      </c>
      <c r="C1343" t="str">
        <f>"77033250"</f>
        <v>77033250</v>
      </c>
      <c r="D1343" t="s">
        <v>3908</v>
      </c>
      <c r="F1343" t="s">
        <v>3909</v>
      </c>
      <c r="I1343" t="s">
        <v>2071</v>
      </c>
      <c r="J1343" t="s">
        <v>30</v>
      </c>
      <c r="K1343" t="s">
        <v>185</v>
      </c>
      <c r="M1343" t="s">
        <v>32</v>
      </c>
      <c r="N1343" t="str">
        <f>"9/23/2005 12:00:00 AM"</f>
        <v>9/23/2005 12:00:00 AM</v>
      </c>
      <c r="O1343" t="s">
        <v>3908</v>
      </c>
    </row>
    <row r="1344" spans="1:20" x14ac:dyDescent="0.25">
      <c r="A1344" t="str">
        <f>"3041729"</f>
        <v>3041729</v>
      </c>
      <c r="B1344" t="s">
        <v>3910</v>
      </c>
      <c r="C1344" t="str">
        <f>"77704500"</f>
        <v>77704500</v>
      </c>
      <c r="D1344" t="s">
        <v>3911</v>
      </c>
      <c r="F1344" t="s">
        <v>3912</v>
      </c>
      <c r="I1344" t="s">
        <v>2071</v>
      </c>
      <c r="J1344" t="s">
        <v>30</v>
      </c>
      <c r="K1344" t="s">
        <v>185</v>
      </c>
      <c r="M1344" t="s">
        <v>32</v>
      </c>
      <c r="N1344" t="str">
        <f>"4/19/2002 12:00:00 AM"</f>
        <v>4/19/2002 12:00:00 AM</v>
      </c>
      <c r="O1344" t="s">
        <v>3911</v>
      </c>
    </row>
    <row r="1345" spans="1:20" x14ac:dyDescent="0.25">
      <c r="A1345" t="str">
        <f>"3041730"</f>
        <v>3041730</v>
      </c>
      <c r="B1345" t="s">
        <v>3913</v>
      </c>
      <c r="C1345" t="str">
        <f>"82522836"</f>
        <v>82522836</v>
      </c>
      <c r="D1345" t="s">
        <v>3914</v>
      </c>
      <c r="E1345" t="s">
        <v>3915</v>
      </c>
      <c r="F1345" t="s">
        <v>3916</v>
      </c>
      <c r="I1345" t="s">
        <v>2071</v>
      </c>
      <c r="J1345" t="s">
        <v>30</v>
      </c>
      <c r="K1345" t="s">
        <v>3917</v>
      </c>
      <c r="M1345" t="s">
        <v>32</v>
      </c>
      <c r="N1345" t="str">
        <f>"4/18/2011 12:00:00 AM"</f>
        <v>4/18/2011 12:00:00 AM</v>
      </c>
      <c r="O1345" t="s">
        <v>3914</v>
      </c>
      <c r="T1345" t="s">
        <v>3915</v>
      </c>
    </row>
    <row r="1346" spans="1:20" x14ac:dyDescent="0.25">
      <c r="A1346" t="str">
        <f>"3060408"</f>
        <v>3060408</v>
      </c>
      <c r="B1346" t="s">
        <v>3918</v>
      </c>
      <c r="C1346" t="str">
        <f>"69198750"</f>
        <v>69198750</v>
      </c>
      <c r="D1346" t="s">
        <v>3919</v>
      </c>
      <c r="E1346" t="s">
        <v>3920</v>
      </c>
      <c r="F1346" t="s">
        <v>3921</v>
      </c>
      <c r="I1346" t="s">
        <v>2071</v>
      </c>
      <c r="J1346" t="s">
        <v>30</v>
      </c>
      <c r="K1346" t="s">
        <v>185</v>
      </c>
      <c r="M1346" t="s">
        <v>32</v>
      </c>
      <c r="N1346" t="str">
        <f>"4/19/2002 12:00:00 AM"</f>
        <v>4/19/2002 12:00:00 AM</v>
      </c>
      <c r="O1346" t="s">
        <v>3919</v>
      </c>
      <c r="T1346" t="s">
        <v>3920</v>
      </c>
    </row>
    <row r="1347" spans="1:20" x14ac:dyDescent="0.25">
      <c r="A1347" t="str">
        <f>"3060422"</f>
        <v>3060422</v>
      </c>
      <c r="B1347" t="s">
        <v>3922</v>
      </c>
      <c r="C1347" t="str">
        <f>"22887500"</f>
        <v>22887500</v>
      </c>
      <c r="D1347" t="s">
        <v>3923</v>
      </c>
      <c r="F1347" t="s">
        <v>3924</v>
      </c>
      <c r="I1347" t="s">
        <v>2071</v>
      </c>
      <c r="J1347" t="s">
        <v>30</v>
      </c>
      <c r="K1347" t="s">
        <v>185</v>
      </c>
      <c r="M1347" t="s">
        <v>32</v>
      </c>
      <c r="N1347" t="str">
        <f>"4/22/2002 12:00:00 AM"</f>
        <v>4/22/2002 12:00:00 AM</v>
      </c>
      <c r="O1347" t="s">
        <v>3923</v>
      </c>
    </row>
    <row r="1348" spans="1:20" x14ac:dyDescent="0.25">
      <c r="A1348" t="str">
        <f>"3062413"</f>
        <v>3062413</v>
      </c>
      <c r="B1348" t="s">
        <v>3925</v>
      </c>
      <c r="C1348" t="str">
        <f>"42097000"</f>
        <v>42097000</v>
      </c>
      <c r="D1348" t="s">
        <v>3926</v>
      </c>
      <c r="F1348" t="s">
        <v>3927</v>
      </c>
      <c r="I1348" t="s">
        <v>2071</v>
      </c>
      <c r="J1348" t="s">
        <v>30</v>
      </c>
      <c r="K1348" t="s">
        <v>185</v>
      </c>
      <c r="M1348" t="s">
        <v>32</v>
      </c>
      <c r="N1348" t="str">
        <f>"2/9/2010 12:00:00 AM"</f>
        <v>2/9/2010 12:00:00 AM</v>
      </c>
      <c r="O1348" t="s">
        <v>3926</v>
      </c>
    </row>
    <row r="1349" spans="1:20" x14ac:dyDescent="0.25">
      <c r="A1349" t="str">
        <f>"3062412"</f>
        <v>3062412</v>
      </c>
      <c r="B1349" t="s">
        <v>3928</v>
      </c>
      <c r="C1349" t="str">
        <f>"70893000"</f>
        <v>70893000</v>
      </c>
      <c r="D1349" t="s">
        <v>3929</v>
      </c>
      <c r="F1349" t="s">
        <v>3930</v>
      </c>
      <c r="I1349" t="s">
        <v>2071</v>
      </c>
      <c r="J1349" t="s">
        <v>30</v>
      </c>
      <c r="K1349" t="s">
        <v>185</v>
      </c>
      <c r="M1349" t="s">
        <v>32</v>
      </c>
      <c r="N1349" t="str">
        <f>"4/22/2002 12:00:00 AM"</f>
        <v>4/22/2002 12:00:00 AM</v>
      </c>
      <c r="O1349" t="s">
        <v>3929</v>
      </c>
    </row>
    <row r="1350" spans="1:20" x14ac:dyDescent="0.25">
      <c r="A1350" t="str">
        <f>"3060429"</f>
        <v>3060429</v>
      </c>
      <c r="B1350" t="s">
        <v>3931</v>
      </c>
      <c r="C1350" t="str">
        <f>"5159300"</f>
        <v>5159300</v>
      </c>
      <c r="D1350" t="s">
        <v>3932</v>
      </c>
      <c r="F1350" t="s">
        <v>3933</v>
      </c>
      <c r="I1350" t="s">
        <v>3934</v>
      </c>
      <c r="J1350" t="s">
        <v>30</v>
      </c>
      <c r="K1350" t="s">
        <v>3935</v>
      </c>
      <c r="M1350" t="s">
        <v>32</v>
      </c>
      <c r="N1350" t="str">
        <f>"2/24/2005 12:00:00 AM"</f>
        <v>2/24/2005 12:00:00 AM</v>
      </c>
      <c r="O1350" t="s">
        <v>3932</v>
      </c>
    </row>
    <row r="1351" spans="1:20" x14ac:dyDescent="0.25">
      <c r="A1351" t="str">
        <f>"3076943"</f>
        <v>3076943</v>
      </c>
      <c r="B1351" t="s">
        <v>3936</v>
      </c>
      <c r="C1351" t="str">
        <f>"25335000"</f>
        <v>25335000</v>
      </c>
      <c r="D1351" t="s">
        <v>3937</v>
      </c>
      <c r="F1351" t="s">
        <v>3938</v>
      </c>
      <c r="I1351" t="s">
        <v>2071</v>
      </c>
      <c r="J1351" t="s">
        <v>30</v>
      </c>
      <c r="K1351" t="s">
        <v>185</v>
      </c>
      <c r="M1351" t="s">
        <v>32</v>
      </c>
      <c r="N1351" t="str">
        <f>"12/29/2008 12:00:00 AM"</f>
        <v>12/29/2008 12:00:00 AM</v>
      </c>
      <c r="O1351" t="s">
        <v>3937</v>
      </c>
    </row>
    <row r="1352" spans="1:20" x14ac:dyDescent="0.25">
      <c r="A1352" t="str">
        <f>"3041772"</f>
        <v>3041772</v>
      </c>
      <c r="B1352" t="s">
        <v>3939</v>
      </c>
      <c r="C1352" t="str">
        <f>"82522860"</f>
        <v>82522860</v>
      </c>
      <c r="D1352" t="s">
        <v>3940</v>
      </c>
      <c r="F1352" t="s">
        <v>3941</v>
      </c>
      <c r="I1352" t="s">
        <v>2071</v>
      </c>
      <c r="J1352" t="s">
        <v>30</v>
      </c>
      <c r="K1352" t="s">
        <v>3942</v>
      </c>
      <c r="M1352" t="s">
        <v>32</v>
      </c>
      <c r="N1352" t="str">
        <f>"6/22/2007 12:00:00 AM"</f>
        <v>6/22/2007 12:00:00 AM</v>
      </c>
      <c r="O1352" t="s">
        <v>3940</v>
      </c>
    </row>
    <row r="1353" spans="1:20" x14ac:dyDescent="0.25">
      <c r="A1353" t="str">
        <f>"3041165"</f>
        <v>3041165</v>
      </c>
      <c r="B1353" t="s">
        <v>3943</v>
      </c>
      <c r="C1353" t="str">
        <f>"82515591"</f>
        <v>82515591</v>
      </c>
      <c r="D1353" t="s">
        <v>3750</v>
      </c>
      <c r="F1353" t="s">
        <v>1749</v>
      </c>
      <c r="I1353" t="s">
        <v>184</v>
      </c>
      <c r="J1353" t="s">
        <v>30</v>
      </c>
      <c r="K1353" t="s">
        <v>3751</v>
      </c>
      <c r="M1353" t="s">
        <v>32</v>
      </c>
      <c r="N1353" t="str">
        <f>"9/7/2010 12:00:00 AM"</f>
        <v>9/7/2010 12:00:00 AM</v>
      </c>
      <c r="O1353" t="s">
        <v>3750</v>
      </c>
    </row>
    <row r="1354" spans="1:20" x14ac:dyDescent="0.25">
      <c r="A1354" t="str">
        <f>"3041127"</f>
        <v>3041127</v>
      </c>
      <c r="B1354" t="s">
        <v>3944</v>
      </c>
      <c r="C1354" t="str">
        <f>"82515591"</f>
        <v>82515591</v>
      </c>
      <c r="D1354" t="s">
        <v>3750</v>
      </c>
      <c r="F1354" t="s">
        <v>1749</v>
      </c>
      <c r="I1354" t="s">
        <v>184</v>
      </c>
      <c r="J1354" t="s">
        <v>30</v>
      </c>
      <c r="K1354" t="s">
        <v>3751</v>
      </c>
      <c r="M1354" t="s">
        <v>32</v>
      </c>
      <c r="N1354" t="str">
        <f>"9/7/2010 12:00:00 AM"</f>
        <v>9/7/2010 12:00:00 AM</v>
      </c>
      <c r="O1354" t="s">
        <v>3750</v>
      </c>
    </row>
    <row r="1355" spans="1:20" x14ac:dyDescent="0.25">
      <c r="A1355" t="str">
        <f>"3041616"</f>
        <v>3041616</v>
      </c>
      <c r="B1355" t="s">
        <v>3945</v>
      </c>
      <c r="C1355" t="str">
        <f>"31475760"</f>
        <v>31475760</v>
      </c>
      <c r="D1355" t="s">
        <v>3946</v>
      </c>
      <c r="E1355" t="s">
        <v>3947</v>
      </c>
      <c r="F1355" t="s">
        <v>3948</v>
      </c>
      <c r="I1355" t="s">
        <v>2071</v>
      </c>
      <c r="J1355" t="s">
        <v>30</v>
      </c>
      <c r="K1355" t="s">
        <v>185</v>
      </c>
      <c r="M1355" t="s">
        <v>32</v>
      </c>
      <c r="N1355" t="str">
        <f>"6/30/2010 12:00:00 AM"</f>
        <v>6/30/2010 12:00:00 AM</v>
      </c>
      <c r="O1355" t="s">
        <v>3946</v>
      </c>
      <c r="T1355" t="s">
        <v>3947</v>
      </c>
    </row>
    <row r="1356" spans="1:20" x14ac:dyDescent="0.25">
      <c r="A1356" t="str">
        <f>"3041727"</f>
        <v>3041727</v>
      </c>
      <c r="B1356" t="s">
        <v>3949</v>
      </c>
      <c r="C1356" t="str">
        <f>"3748000"</f>
        <v>3748000</v>
      </c>
      <c r="D1356" t="s">
        <v>3950</v>
      </c>
      <c r="E1356" t="s">
        <v>3951</v>
      </c>
      <c r="F1356" t="s">
        <v>3952</v>
      </c>
      <c r="I1356" t="s">
        <v>2071</v>
      </c>
      <c r="J1356" t="s">
        <v>30</v>
      </c>
      <c r="K1356" t="s">
        <v>185</v>
      </c>
      <c r="M1356" t="s">
        <v>32</v>
      </c>
      <c r="N1356" t="str">
        <f>"5/16/2003 12:00:00 AM"</f>
        <v>5/16/2003 12:00:00 AM</v>
      </c>
      <c r="O1356" t="s">
        <v>3950</v>
      </c>
      <c r="T1356" t="s">
        <v>3951</v>
      </c>
    </row>
    <row r="1357" spans="1:20" x14ac:dyDescent="0.25">
      <c r="A1357" t="str">
        <f>"3041742"</f>
        <v>3041742</v>
      </c>
      <c r="B1357" t="s">
        <v>3953</v>
      </c>
      <c r="C1357" t="str">
        <f>"81448000"</f>
        <v>81448000</v>
      </c>
      <c r="D1357" t="s">
        <v>3954</v>
      </c>
      <c r="F1357" t="s">
        <v>3955</v>
      </c>
      <c r="I1357" t="s">
        <v>2071</v>
      </c>
      <c r="J1357" t="s">
        <v>30</v>
      </c>
      <c r="K1357" t="s">
        <v>185</v>
      </c>
      <c r="M1357" t="s">
        <v>32</v>
      </c>
      <c r="N1357" t="str">
        <f>"9/23/2005 12:00:00 AM"</f>
        <v>9/23/2005 12:00:00 AM</v>
      </c>
      <c r="O1357" t="s">
        <v>3954</v>
      </c>
    </row>
    <row r="1358" spans="1:20" x14ac:dyDescent="0.25">
      <c r="A1358" t="str">
        <f>"3066901"</f>
        <v>3066901</v>
      </c>
      <c r="B1358" t="s">
        <v>3956</v>
      </c>
      <c r="C1358" t="str">
        <f>"82524493"</f>
        <v>82524493</v>
      </c>
      <c r="D1358" t="s">
        <v>3957</v>
      </c>
      <c r="E1358" t="s">
        <v>3958</v>
      </c>
      <c r="F1358" t="s">
        <v>3959</v>
      </c>
      <c r="I1358" t="s">
        <v>2071</v>
      </c>
      <c r="J1358" t="s">
        <v>30</v>
      </c>
      <c r="K1358" t="s">
        <v>3960</v>
      </c>
      <c r="M1358" t="s">
        <v>32</v>
      </c>
      <c r="N1358" t="str">
        <f>"1/10/2006 12:00:00 AM"</f>
        <v>1/10/2006 12:00:00 AM</v>
      </c>
      <c r="O1358" t="s">
        <v>3957</v>
      </c>
      <c r="T1358" t="s">
        <v>3958</v>
      </c>
    </row>
    <row r="1359" spans="1:20" x14ac:dyDescent="0.25">
      <c r="A1359" t="str">
        <f>"3061783"</f>
        <v>3061783</v>
      </c>
      <c r="B1359" t="s">
        <v>3961</v>
      </c>
      <c r="C1359" t="str">
        <f>"82526173"</f>
        <v>82526173</v>
      </c>
      <c r="D1359" t="s">
        <v>3962</v>
      </c>
      <c r="E1359" t="s">
        <v>3963</v>
      </c>
      <c r="F1359" t="s">
        <v>3964</v>
      </c>
      <c r="I1359" t="s">
        <v>2071</v>
      </c>
      <c r="J1359" t="s">
        <v>30</v>
      </c>
      <c r="K1359" t="s">
        <v>185</v>
      </c>
      <c r="M1359" t="s">
        <v>32</v>
      </c>
      <c r="N1359" t="str">
        <f>"1/16/2007 12:00:00 AM"</f>
        <v>1/16/2007 12:00:00 AM</v>
      </c>
      <c r="O1359" t="s">
        <v>3962</v>
      </c>
      <c r="T1359" t="s">
        <v>3963</v>
      </c>
    </row>
    <row r="1360" spans="1:20" x14ac:dyDescent="0.25">
      <c r="A1360" t="str">
        <f>"3061795"</f>
        <v>3061795</v>
      </c>
      <c r="B1360" t="s">
        <v>3965</v>
      </c>
      <c r="C1360" t="str">
        <f>"28225750"</f>
        <v>28225750</v>
      </c>
      <c r="D1360" t="s">
        <v>3966</v>
      </c>
      <c r="E1360" t="s">
        <v>3967</v>
      </c>
      <c r="F1360" t="s">
        <v>3968</v>
      </c>
      <c r="I1360" t="s">
        <v>2071</v>
      </c>
      <c r="J1360" t="s">
        <v>30</v>
      </c>
      <c r="K1360" t="s">
        <v>185</v>
      </c>
      <c r="M1360" t="s">
        <v>32</v>
      </c>
      <c r="N1360" t="str">
        <f>"4/23/2002 12:00:00 AM"</f>
        <v>4/23/2002 12:00:00 AM</v>
      </c>
      <c r="O1360" t="s">
        <v>3966</v>
      </c>
      <c r="T1360" t="s">
        <v>3967</v>
      </c>
    </row>
    <row r="1361" spans="1:20" x14ac:dyDescent="0.25">
      <c r="A1361" t="str">
        <f>"3041743"</f>
        <v>3041743</v>
      </c>
      <c r="B1361" t="s">
        <v>3969</v>
      </c>
      <c r="C1361" t="str">
        <f>"66365000"</f>
        <v>66365000</v>
      </c>
      <c r="D1361" t="s">
        <v>3970</v>
      </c>
      <c r="E1361" t="s">
        <v>3971</v>
      </c>
      <c r="F1361" t="s">
        <v>3972</v>
      </c>
      <c r="I1361" t="s">
        <v>2071</v>
      </c>
      <c r="J1361" t="s">
        <v>30</v>
      </c>
      <c r="K1361" t="s">
        <v>3973</v>
      </c>
      <c r="M1361" t="s">
        <v>32</v>
      </c>
      <c r="N1361" t="str">
        <f>"2/10/2010 12:00:00 AM"</f>
        <v>2/10/2010 12:00:00 AM</v>
      </c>
      <c r="O1361" t="s">
        <v>3970</v>
      </c>
      <c r="T1361" t="s">
        <v>3971</v>
      </c>
    </row>
    <row r="1362" spans="1:20" x14ac:dyDescent="0.25">
      <c r="A1362" t="str">
        <f>"3077198"</f>
        <v>3077198</v>
      </c>
      <c r="B1362" t="s">
        <v>3974</v>
      </c>
      <c r="C1362" t="str">
        <f>"51212000"</f>
        <v>51212000</v>
      </c>
      <c r="D1362" t="s">
        <v>3812</v>
      </c>
      <c r="F1362" t="s">
        <v>3813</v>
      </c>
      <c r="I1362" t="s">
        <v>184</v>
      </c>
      <c r="J1362" t="s">
        <v>30</v>
      </c>
      <c r="K1362" t="s">
        <v>185</v>
      </c>
      <c r="M1362" t="s">
        <v>32</v>
      </c>
      <c r="N1362" t="str">
        <f>"4/22/2002 12:00:00 AM"</f>
        <v>4/22/2002 12:00:00 AM</v>
      </c>
      <c r="O1362" t="s">
        <v>3812</v>
      </c>
    </row>
    <row r="1363" spans="1:20" x14ac:dyDescent="0.25">
      <c r="A1363" t="str">
        <f>"3072503"</f>
        <v>3072503</v>
      </c>
      <c r="B1363" t="s">
        <v>3975</v>
      </c>
      <c r="C1363" t="str">
        <f>"51212000"</f>
        <v>51212000</v>
      </c>
      <c r="D1363" t="s">
        <v>3812</v>
      </c>
      <c r="F1363" t="s">
        <v>3813</v>
      </c>
      <c r="I1363" t="s">
        <v>184</v>
      </c>
      <c r="J1363" t="s">
        <v>30</v>
      </c>
      <c r="K1363" t="s">
        <v>185</v>
      </c>
      <c r="M1363" t="s">
        <v>32</v>
      </c>
      <c r="N1363" t="str">
        <f>"4/22/2002 12:00:00 AM"</f>
        <v>4/22/2002 12:00:00 AM</v>
      </c>
      <c r="O1363" t="s">
        <v>3812</v>
      </c>
    </row>
    <row r="1364" spans="1:20" x14ac:dyDescent="0.25">
      <c r="A1364" t="str">
        <f>"3041757"</f>
        <v>3041757</v>
      </c>
      <c r="B1364" t="s">
        <v>3976</v>
      </c>
      <c r="C1364" t="str">
        <f>"27672000"</f>
        <v>27672000</v>
      </c>
      <c r="D1364" t="s">
        <v>3977</v>
      </c>
      <c r="E1364" t="s">
        <v>3978</v>
      </c>
      <c r="F1364" t="s">
        <v>3979</v>
      </c>
      <c r="I1364" t="s">
        <v>2071</v>
      </c>
      <c r="J1364" t="s">
        <v>30</v>
      </c>
      <c r="K1364" t="s">
        <v>185</v>
      </c>
      <c r="M1364" t="s">
        <v>32</v>
      </c>
      <c r="N1364" t="str">
        <f>"6/30/2010 12:00:00 AM"</f>
        <v>6/30/2010 12:00:00 AM</v>
      </c>
      <c r="O1364" t="s">
        <v>3977</v>
      </c>
      <c r="T1364" t="s">
        <v>3978</v>
      </c>
    </row>
    <row r="1365" spans="1:20" x14ac:dyDescent="0.25">
      <c r="A1365" t="str">
        <f>"3041699"</f>
        <v>3041699</v>
      </c>
      <c r="B1365" t="s">
        <v>3980</v>
      </c>
      <c r="C1365" t="str">
        <f>"82515259"</f>
        <v>82515259</v>
      </c>
      <c r="D1365" t="s">
        <v>3981</v>
      </c>
      <c r="F1365" t="s">
        <v>3982</v>
      </c>
      <c r="I1365" t="s">
        <v>2071</v>
      </c>
      <c r="J1365" t="s">
        <v>30</v>
      </c>
      <c r="K1365" t="s">
        <v>185</v>
      </c>
      <c r="M1365" t="s">
        <v>32</v>
      </c>
      <c r="N1365" t="str">
        <f>"8/29/2000 12:00:00 AM"</f>
        <v>8/29/2000 12:00:00 AM</v>
      </c>
      <c r="O1365" t="s">
        <v>3981</v>
      </c>
    </row>
    <row r="1366" spans="1:20" x14ac:dyDescent="0.25">
      <c r="A1366" t="str">
        <f>"3041712"</f>
        <v>3041712</v>
      </c>
      <c r="B1366" t="s">
        <v>3983</v>
      </c>
      <c r="C1366" t="str">
        <f>"82521043"</f>
        <v>82521043</v>
      </c>
      <c r="D1366" t="s">
        <v>3984</v>
      </c>
      <c r="F1366" t="s">
        <v>3985</v>
      </c>
      <c r="G1366" t="s">
        <v>3986</v>
      </c>
      <c r="I1366" t="s">
        <v>2071</v>
      </c>
      <c r="J1366" t="s">
        <v>30</v>
      </c>
      <c r="K1366" t="s">
        <v>185</v>
      </c>
      <c r="M1366" t="s">
        <v>32</v>
      </c>
      <c r="N1366" t="str">
        <f>"6/20/2003 12:00:00 AM"</f>
        <v>6/20/2003 12:00:00 AM</v>
      </c>
      <c r="O1366" t="s">
        <v>3984</v>
      </c>
    </row>
    <row r="1367" spans="1:20" x14ac:dyDescent="0.25">
      <c r="A1367" t="str">
        <f>"3041800"</f>
        <v>3041800</v>
      </c>
      <c r="B1367" t="s">
        <v>3987</v>
      </c>
      <c r="C1367" t="str">
        <f>"82517364"</f>
        <v>82517364</v>
      </c>
      <c r="D1367" t="s">
        <v>3988</v>
      </c>
      <c r="E1367" t="s">
        <v>3989</v>
      </c>
      <c r="F1367" t="s">
        <v>3512</v>
      </c>
      <c r="I1367" t="s">
        <v>3196</v>
      </c>
      <c r="J1367" t="s">
        <v>3990</v>
      </c>
      <c r="K1367" t="s">
        <v>3513</v>
      </c>
      <c r="M1367" t="s">
        <v>32</v>
      </c>
      <c r="N1367" t="str">
        <f>"1/7/2003 12:00:00 AM"</f>
        <v>1/7/2003 12:00:00 AM</v>
      </c>
      <c r="O1367" t="s">
        <v>3988</v>
      </c>
      <c r="T1367" t="s">
        <v>3989</v>
      </c>
    </row>
    <row r="1368" spans="1:20" x14ac:dyDescent="0.25">
      <c r="A1368" t="str">
        <f>"3041776"</f>
        <v>3041776</v>
      </c>
      <c r="B1368" t="s">
        <v>3991</v>
      </c>
      <c r="C1368" t="str">
        <f>"82526269"</f>
        <v>82526269</v>
      </c>
      <c r="D1368" t="s">
        <v>3992</v>
      </c>
      <c r="E1368" t="s">
        <v>3993</v>
      </c>
      <c r="F1368" t="s">
        <v>3994</v>
      </c>
      <c r="I1368" t="s">
        <v>2071</v>
      </c>
      <c r="J1368" t="s">
        <v>30</v>
      </c>
      <c r="K1368" t="s">
        <v>185</v>
      </c>
      <c r="M1368" t="s">
        <v>32</v>
      </c>
      <c r="N1368" t="str">
        <f>"2/14/2007 12:00:00 AM"</f>
        <v>2/14/2007 12:00:00 AM</v>
      </c>
      <c r="O1368" t="s">
        <v>3992</v>
      </c>
      <c r="T1368" t="s">
        <v>3993</v>
      </c>
    </row>
    <row r="1369" spans="1:20" x14ac:dyDescent="0.25">
      <c r="A1369" t="str">
        <f>"3041778"</f>
        <v>3041778</v>
      </c>
      <c r="B1369" t="s">
        <v>3995</v>
      </c>
      <c r="C1369" t="str">
        <f>"56949000"</f>
        <v>56949000</v>
      </c>
      <c r="D1369" t="s">
        <v>3996</v>
      </c>
      <c r="E1369" t="s">
        <v>3997</v>
      </c>
      <c r="F1369" t="s">
        <v>3998</v>
      </c>
      <c r="I1369" t="s">
        <v>2071</v>
      </c>
      <c r="J1369" t="s">
        <v>30</v>
      </c>
      <c r="K1369" t="s">
        <v>185</v>
      </c>
      <c r="M1369" t="s">
        <v>32</v>
      </c>
      <c r="N1369" t="str">
        <f>"4/23/2002 12:00:00 AM"</f>
        <v>4/23/2002 12:00:00 AM</v>
      </c>
      <c r="O1369" t="s">
        <v>3996</v>
      </c>
      <c r="T1369" t="s">
        <v>3997</v>
      </c>
    </row>
    <row r="1370" spans="1:20" x14ac:dyDescent="0.25">
      <c r="A1370" t="str">
        <f>"3066815"</f>
        <v>3066815</v>
      </c>
      <c r="B1370" t="s">
        <v>3999</v>
      </c>
      <c r="C1370" t="str">
        <f>"45809120"</f>
        <v>45809120</v>
      </c>
      <c r="D1370" t="s">
        <v>4000</v>
      </c>
      <c r="E1370" t="s">
        <v>4001</v>
      </c>
      <c r="F1370" t="s">
        <v>4002</v>
      </c>
      <c r="I1370" t="s">
        <v>2071</v>
      </c>
      <c r="J1370" t="s">
        <v>30</v>
      </c>
      <c r="K1370" t="s">
        <v>185</v>
      </c>
      <c r="M1370" t="s">
        <v>32</v>
      </c>
      <c r="N1370" t="str">
        <f>"6/20/2003 12:00:00 AM"</f>
        <v>6/20/2003 12:00:00 AM</v>
      </c>
      <c r="O1370" t="s">
        <v>4000</v>
      </c>
      <c r="T1370" t="s">
        <v>4001</v>
      </c>
    </row>
    <row r="1371" spans="1:20" x14ac:dyDescent="0.25">
      <c r="A1371" t="str">
        <f>"3041758"</f>
        <v>3041758</v>
      </c>
      <c r="B1371" t="s">
        <v>4003</v>
      </c>
      <c r="C1371" t="str">
        <f>"58325800"</f>
        <v>58325800</v>
      </c>
      <c r="D1371" t="s">
        <v>4004</v>
      </c>
      <c r="F1371" t="s">
        <v>4005</v>
      </c>
      <c r="I1371" t="s">
        <v>2071</v>
      </c>
      <c r="J1371" t="s">
        <v>30</v>
      </c>
      <c r="K1371" t="s">
        <v>185</v>
      </c>
      <c r="M1371" t="s">
        <v>32</v>
      </c>
      <c r="N1371" t="str">
        <f>"1/15/2004 12:00:00 AM"</f>
        <v>1/15/2004 12:00:00 AM</v>
      </c>
      <c r="O1371" t="s">
        <v>4004</v>
      </c>
    </row>
    <row r="1372" spans="1:20" x14ac:dyDescent="0.25">
      <c r="A1372" t="str">
        <f>"3041820"</f>
        <v>3041820</v>
      </c>
      <c r="B1372" t="s">
        <v>4006</v>
      </c>
      <c r="C1372" t="str">
        <f>"82525257"</f>
        <v>82525257</v>
      </c>
      <c r="D1372" t="s">
        <v>4007</v>
      </c>
      <c r="E1372" t="s">
        <v>4008</v>
      </c>
      <c r="F1372" t="s">
        <v>4009</v>
      </c>
      <c r="I1372" t="s">
        <v>2071</v>
      </c>
      <c r="J1372" t="s">
        <v>30</v>
      </c>
      <c r="K1372" t="s">
        <v>4010</v>
      </c>
      <c r="M1372" t="s">
        <v>32</v>
      </c>
      <c r="N1372" t="str">
        <f>"1/23/2006 12:00:00 AM"</f>
        <v>1/23/2006 12:00:00 AM</v>
      </c>
      <c r="O1372" t="s">
        <v>4007</v>
      </c>
      <c r="T1372" t="s">
        <v>4008</v>
      </c>
    </row>
    <row r="1373" spans="1:20" x14ac:dyDescent="0.25">
      <c r="A1373" t="str">
        <f>"3041755"</f>
        <v>3041755</v>
      </c>
      <c r="B1373" t="s">
        <v>4011</v>
      </c>
      <c r="C1373" t="str">
        <f>"62394500"</f>
        <v>62394500</v>
      </c>
      <c r="D1373" t="s">
        <v>4012</v>
      </c>
      <c r="E1373" t="s">
        <v>4013</v>
      </c>
      <c r="F1373" t="s">
        <v>4014</v>
      </c>
      <c r="I1373" t="s">
        <v>2071</v>
      </c>
      <c r="J1373" t="s">
        <v>30</v>
      </c>
      <c r="K1373" t="s">
        <v>3837</v>
      </c>
      <c r="M1373" t="s">
        <v>32</v>
      </c>
      <c r="N1373" t="str">
        <f>"1/11/2006 12:00:00 AM"</f>
        <v>1/11/2006 12:00:00 AM</v>
      </c>
      <c r="O1373" t="s">
        <v>4012</v>
      </c>
      <c r="T1373" t="s">
        <v>4013</v>
      </c>
    </row>
    <row r="1374" spans="1:20" x14ac:dyDescent="0.25">
      <c r="A1374" t="str">
        <f>"3061689"</f>
        <v>3061689</v>
      </c>
      <c r="B1374" t="s">
        <v>4015</v>
      </c>
      <c r="C1374" t="str">
        <f>"7318120"</f>
        <v>7318120</v>
      </c>
      <c r="D1374" t="s">
        <v>4016</v>
      </c>
      <c r="F1374" t="s">
        <v>4017</v>
      </c>
      <c r="I1374" t="s">
        <v>2071</v>
      </c>
      <c r="J1374" t="s">
        <v>30</v>
      </c>
      <c r="K1374" t="s">
        <v>4010</v>
      </c>
      <c r="M1374" t="s">
        <v>32</v>
      </c>
      <c r="N1374" t="str">
        <f>"1/18/2005 12:00:00 AM"</f>
        <v>1/18/2005 12:00:00 AM</v>
      </c>
      <c r="O1374" t="s">
        <v>4016</v>
      </c>
    </row>
    <row r="1375" spans="1:20" x14ac:dyDescent="0.25">
      <c r="A1375" t="str">
        <f>"3041138"</f>
        <v>3041138</v>
      </c>
      <c r="B1375" t="s">
        <v>4018</v>
      </c>
      <c r="C1375" t="str">
        <f>"70537250"</f>
        <v>70537250</v>
      </c>
      <c r="D1375" t="s">
        <v>3856</v>
      </c>
      <c r="F1375" t="s">
        <v>3857</v>
      </c>
      <c r="G1375" t="s">
        <v>3858</v>
      </c>
      <c r="I1375" t="s">
        <v>2071</v>
      </c>
      <c r="J1375" t="s">
        <v>30</v>
      </c>
      <c r="K1375" t="s">
        <v>185</v>
      </c>
      <c r="M1375" t="s">
        <v>32</v>
      </c>
      <c r="N1375" t="str">
        <f>"5/20/2004 12:00:00 AM"</f>
        <v>5/20/2004 12:00:00 AM</v>
      </c>
      <c r="O1375" t="s">
        <v>3856</v>
      </c>
    </row>
    <row r="1376" spans="1:20" x14ac:dyDescent="0.25">
      <c r="A1376" t="str">
        <f>"3041043"</f>
        <v>3041043</v>
      </c>
      <c r="B1376" t="s">
        <v>4019</v>
      </c>
      <c r="C1376" t="str">
        <f>"70537250"</f>
        <v>70537250</v>
      </c>
      <c r="D1376" t="s">
        <v>3856</v>
      </c>
      <c r="F1376" t="s">
        <v>3857</v>
      </c>
      <c r="G1376" t="s">
        <v>3858</v>
      </c>
      <c r="I1376" t="s">
        <v>2071</v>
      </c>
      <c r="J1376" t="s">
        <v>30</v>
      </c>
      <c r="K1376" t="s">
        <v>185</v>
      </c>
      <c r="M1376" t="s">
        <v>32</v>
      </c>
      <c r="N1376" t="str">
        <f>"5/20/2004 12:00:00 AM"</f>
        <v>5/20/2004 12:00:00 AM</v>
      </c>
      <c r="O1376" t="s">
        <v>3856</v>
      </c>
    </row>
    <row r="1377" spans="1:20" x14ac:dyDescent="0.25">
      <c r="A1377" t="str">
        <f>"3061736"</f>
        <v>3061736</v>
      </c>
      <c r="B1377" t="s">
        <v>4020</v>
      </c>
      <c r="C1377" t="str">
        <f>"82512900"</f>
        <v>82512900</v>
      </c>
      <c r="D1377" t="s">
        <v>4021</v>
      </c>
      <c r="E1377" t="s">
        <v>4022</v>
      </c>
      <c r="F1377" t="s">
        <v>4023</v>
      </c>
      <c r="I1377" t="s">
        <v>2071</v>
      </c>
      <c r="J1377" t="s">
        <v>30</v>
      </c>
      <c r="K1377" t="s">
        <v>185</v>
      </c>
      <c r="M1377" t="s">
        <v>32</v>
      </c>
      <c r="N1377" t="str">
        <f>"7/8/2005 12:00:00 AM"</f>
        <v>7/8/2005 12:00:00 AM</v>
      </c>
      <c r="O1377" t="s">
        <v>4021</v>
      </c>
      <c r="T1377" t="s">
        <v>4022</v>
      </c>
    </row>
    <row r="1378" spans="1:20" x14ac:dyDescent="0.25">
      <c r="A1378" t="str">
        <f>"3062428"</f>
        <v>3062428</v>
      </c>
      <c r="B1378" t="s">
        <v>4024</v>
      </c>
      <c r="C1378" t="str">
        <f>"19280440"</f>
        <v>19280440</v>
      </c>
      <c r="D1378" t="s">
        <v>4025</v>
      </c>
      <c r="E1378" t="s">
        <v>4026</v>
      </c>
      <c r="F1378" t="s">
        <v>4027</v>
      </c>
      <c r="I1378" t="s">
        <v>471</v>
      </c>
      <c r="J1378" t="s">
        <v>30</v>
      </c>
      <c r="K1378" t="s">
        <v>1210</v>
      </c>
      <c r="M1378" t="s">
        <v>32</v>
      </c>
      <c r="N1378" t="str">
        <f>"4/22/2002 12:00:00 AM"</f>
        <v>4/22/2002 12:00:00 AM</v>
      </c>
      <c r="O1378" t="s">
        <v>4025</v>
      </c>
      <c r="T1378" t="s">
        <v>4026</v>
      </c>
    </row>
    <row r="1379" spans="1:20" x14ac:dyDescent="0.25">
      <c r="A1379" t="str">
        <f>"3061931"</f>
        <v>3061931</v>
      </c>
      <c r="B1379" t="s">
        <v>4028</v>
      </c>
      <c r="C1379" t="str">
        <f>"82526308"</f>
        <v>82526308</v>
      </c>
      <c r="D1379" t="s">
        <v>4029</v>
      </c>
      <c r="E1379" t="s">
        <v>4030</v>
      </c>
      <c r="F1379" t="s">
        <v>4031</v>
      </c>
      <c r="I1379" t="s">
        <v>2071</v>
      </c>
      <c r="J1379" t="s">
        <v>30</v>
      </c>
      <c r="K1379" t="s">
        <v>185</v>
      </c>
      <c r="M1379" t="s">
        <v>32</v>
      </c>
      <c r="N1379" t="str">
        <f>"2/28/2007 12:00:00 AM"</f>
        <v>2/28/2007 12:00:00 AM</v>
      </c>
      <c r="O1379" t="s">
        <v>4029</v>
      </c>
      <c r="T1379" t="s">
        <v>4030</v>
      </c>
    </row>
    <row r="1380" spans="1:20" x14ac:dyDescent="0.25">
      <c r="A1380" t="str">
        <f>"3062433"</f>
        <v>3062433</v>
      </c>
      <c r="B1380" t="s">
        <v>4032</v>
      </c>
      <c r="C1380" t="str">
        <f>"66748250"</f>
        <v>66748250</v>
      </c>
      <c r="D1380" t="s">
        <v>4033</v>
      </c>
      <c r="E1380" t="s">
        <v>4034</v>
      </c>
      <c r="F1380" t="s">
        <v>4035</v>
      </c>
      <c r="I1380" t="s">
        <v>2071</v>
      </c>
      <c r="J1380" t="s">
        <v>30</v>
      </c>
      <c r="K1380" t="s">
        <v>185</v>
      </c>
      <c r="M1380" t="s">
        <v>32</v>
      </c>
      <c r="N1380" t="str">
        <f>"4/22/2002 12:00:00 AM"</f>
        <v>4/22/2002 12:00:00 AM</v>
      </c>
      <c r="O1380" t="s">
        <v>4033</v>
      </c>
      <c r="T1380" t="s">
        <v>4034</v>
      </c>
    </row>
    <row r="1381" spans="1:20" x14ac:dyDescent="0.25">
      <c r="A1381" t="str">
        <f>"3062434"</f>
        <v>3062434</v>
      </c>
      <c r="B1381" t="s">
        <v>4036</v>
      </c>
      <c r="C1381" t="str">
        <f>"39225000"</f>
        <v>39225000</v>
      </c>
      <c r="D1381" t="s">
        <v>4037</v>
      </c>
      <c r="F1381" t="s">
        <v>4038</v>
      </c>
      <c r="I1381" t="s">
        <v>2071</v>
      </c>
      <c r="J1381" t="s">
        <v>30</v>
      </c>
      <c r="K1381" t="s">
        <v>185</v>
      </c>
      <c r="M1381" t="s">
        <v>32</v>
      </c>
      <c r="N1381" t="str">
        <f>"9/23/2005 12:00:00 AM"</f>
        <v>9/23/2005 12:00:00 AM</v>
      </c>
      <c r="O1381" t="s">
        <v>4037</v>
      </c>
    </row>
    <row r="1382" spans="1:20" x14ac:dyDescent="0.25">
      <c r="A1382" t="str">
        <f>"3062438"</f>
        <v>3062438</v>
      </c>
      <c r="B1382" t="s">
        <v>4039</v>
      </c>
      <c r="C1382" t="str">
        <f>"44111900"</f>
        <v>44111900</v>
      </c>
      <c r="D1382" t="s">
        <v>4040</v>
      </c>
      <c r="F1382" t="s">
        <v>4041</v>
      </c>
      <c r="I1382" t="s">
        <v>2071</v>
      </c>
      <c r="J1382" t="s">
        <v>30</v>
      </c>
      <c r="K1382" t="s">
        <v>3885</v>
      </c>
      <c r="M1382" t="s">
        <v>32</v>
      </c>
      <c r="N1382" t="str">
        <f>"1/23/2006 12:00:00 AM"</f>
        <v>1/23/2006 12:00:00 AM</v>
      </c>
      <c r="O1382" t="s">
        <v>4040</v>
      </c>
    </row>
    <row r="1383" spans="1:20" x14ac:dyDescent="0.25">
      <c r="A1383" t="str">
        <f>"3041781"</f>
        <v>3041781</v>
      </c>
      <c r="B1383" t="s">
        <v>4042</v>
      </c>
      <c r="C1383" t="str">
        <f>"82529033"</f>
        <v>82529033</v>
      </c>
      <c r="D1383" t="s">
        <v>4043</v>
      </c>
      <c r="E1383" t="s">
        <v>4044</v>
      </c>
      <c r="F1383" t="s">
        <v>4045</v>
      </c>
      <c r="I1383" t="s">
        <v>2071</v>
      </c>
      <c r="J1383" t="s">
        <v>30</v>
      </c>
      <c r="K1383" t="s">
        <v>185</v>
      </c>
      <c r="M1383" t="s">
        <v>32</v>
      </c>
      <c r="N1383" t="str">
        <f>"1/2/2008 12:00:00 AM"</f>
        <v>1/2/2008 12:00:00 AM</v>
      </c>
      <c r="O1383" t="s">
        <v>4043</v>
      </c>
      <c r="T1383" t="s">
        <v>4044</v>
      </c>
    </row>
    <row r="1384" spans="1:20" x14ac:dyDescent="0.25">
      <c r="A1384" t="str">
        <f>"3076981"</f>
        <v>3076981</v>
      </c>
      <c r="B1384" t="s">
        <v>4046</v>
      </c>
      <c r="C1384" t="str">
        <f>"74020000"</f>
        <v>74020000</v>
      </c>
      <c r="D1384" t="s">
        <v>4047</v>
      </c>
      <c r="E1384" t="s">
        <v>4048</v>
      </c>
      <c r="F1384" t="s">
        <v>4049</v>
      </c>
      <c r="I1384" t="s">
        <v>29</v>
      </c>
      <c r="J1384" t="s">
        <v>30</v>
      </c>
      <c r="K1384" t="s">
        <v>4050</v>
      </c>
      <c r="M1384" t="s">
        <v>32</v>
      </c>
      <c r="N1384" t="str">
        <f>"1/20/2010 12:00:00 AM"</f>
        <v>1/20/2010 12:00:00 AM</v>
      </c>
      <c r="O1384" t="s">
        <v>4047</v>
      </c>
      <c r="T1384" t="s">
        <v>4048</v>
      </c>
    </row>
    <row r="1385" spans="1:20" x14ac:dyDescent="0.25">
      <c r="A1385" t="str">
        <f>"3068307"</f>
        <v>3068307</v>
      </c>
      <c r="B1385" t="s">
        <v>4051</v>
      </c>
      <c r="C1385" t="str">
        <f>"82521649"</f>
        <v>82521649</v>
      </c>
      <c r="D1385" t="s">
        <v>4052</v>
      </c>
      <c r="E1385" t="s">
        <v>4053</v>
      </c>
      <c r="F1385" t="s">
        <v>4054</v>
      </c>
      <c r="I1385" t="s">
        <v>29</v>
      </c>
      <c r="J1385" t="s">
        <v>30</v>
      </c>
      <c r="K1385" t="s">
        <v>4055</v>
      </c>
      <c r="M1385" t="s">
        <v>32</v>
      </c>
      <c r="N1385" t="str">
        <f>"2/17/2005 12:00:00 AM"</f>
        <v>2/17/2005 12:00:00 AM</v>
      </c>
      <c r="O1385" t="s">
        <v>4052</v>
      </c>
      <c r="T1385" t="s">
        <v>4053</v>
      </c>
    </row>
    <row r="1386" spans="1:20" x14ac:dyDescent="0.25">
      <c r="A1386" t="str">
        <f>"3068057"</f>
        <v>3068057</v>
      </c>
      <c r="B1386" t="s">
        <v>4056</v>
      </c>
      <c r="C1386" t="str">
        <f>"82530335"</f>
        <v>82530335</v>
      </c>
      <c r="D1386" t="s">
        <v>4057</v>
      </c>
      <c r="E1386" t="s">
        <v>4058</v>
      </c>
      <c r="F1386" t="s">
        <v>4059</v>
      </c>
      <c r="I1386" t="s">
        <v>1149</v>
      </c>
      <c r="J1386" t="s">
        <v>30</v>
      </c>
      <c r="K1386" t="s">
        <v>1150</v>
      </c>
      <c r="M1386" t="s">
        <v>32</v>
      </c>
      <c r="N1386" t="str">
        <f>"12/31/2008 12:00:00 AM"</f>
        <v>12/31/2008 12:00:00 AM</v>
      </c>
      <c r="O1386" t="s">
        <v>4057</v>
      </c>
      <c r="T1386" t="s">
        <v>4058</v>
      </c>
    </row>
    <row r="1387" spans="1:20" x14ac:dyDescent="0.25">
      <c r="A1387" t="str">
        <f>"3068050"</f>
        <v>3068050</v>
      </c>
      <c r="B1387" t="s">
        <v>4060</v>
      </c>
      <c r="C1387" t="str">
        <f>"82530335"</f>
        <v>82530335</v>
      </c>
      <c r="D1387" t="s">
        <v>4057</v>
      </c>
      <c r="E1387" t="s">
        <v>4058</v>
      </c>
      <c r="F1387" t="s">
        <v>4059</v>
      </c>
      <c r="I1387" t="s">
        <v>1149</v>
      </c>
      <c r="J1387" t="s">
        <v>30</v>
      </c>
      <c r="K1387" t="s">
        <v>1150</v>
      </c>
      <c r="M1387" t="s">
        <v>32</v>
      </c>
      <c r="N1387" t="str">
        <f>"12/31/2008 12:00:00 AM"</f>
        <v>12/31/2008 12:00:00 AM</v>
      </c>
      <c r="O1387" t="s">
        <v>4057</v>
      </c>
      <c r="T1387" t="s">
        <v>4058</v>
      </c>
    </row>
    <row r="1388" spans="1:20" x14ac:dyDescent="0.25">
      <c r="A1388" t="str">
        <f>"3041966"</f>
        <v>3041966</v>
      </c>
      <c r="B1388" t="s">
        <v>4061</v>
      </c>
      <c r="C1388" t="str">
        <f>"82530335"</f>
        <v>82530335</v>
      </c>
      <c r="D1388" t="s">
        <v>4057</v>
      </c>
      <c r="E1388" t="s">
        <v>4058</v>
      </c>
      <c r="F1388" t="s">
        <v>4059</v>
      </c>
      <c r="I1388" t="s">
        <v>1149</v>
      </c>
      <c r="J1388" t="s">
        <v>30</v>
      </c>
      <c r="K1388" t="s">
        <v>1150</v>
      </c>
      <c r="M1388" t="s">
        <v>32</v>
      </c>
      <c r="N1388" t="str">
        <f>"12/31/2008 12:00:00 AM"</f>
        <v>12/31/2008 12:00:00 AM</v>
      </c>
      <c r="O1388" t="s">
        <v>4057</v>
      </c>
      <c r="T1388" t="s">
        <v>4058</v>
      </c>
    </row>
    <row r="1389" spans="1:20" x14ac:dyDescent="0.25">
      <c r="A1389" t="str">
        <f>"3042018"</f>
        <v>3042018</v>
      </c>
      <c r="B1389" t="s">
        <v>4062</v>
      </c>
      <c r="C1389" t="str">
        <f>"82530335"</f>
        <v>82530335</v>
      </c>
      <c r="D1389" t="s">
        <v>4057</v>
      </c>
      <c r="E1389" t="s">
        <v>4058</v>
      </c>
      <c r="F1389" t="s">
        <v>4059</v>
      </c>
      <c r="I1389" t="s">
        <v>1149</v>
      </c>
      <c r="J1389" t="s">
        <v>30</v>
      </c>
      <c r="K1389" t="s">
        <v>1150</v>
      </c>
      <c r="M1389" t="s">
        <v>32</v>
      </c>
      <c r="N1389" t="str">
        <f>"12/31/2008 12:00:00 AM"</f>
        <v>12/31/2008 12:00:00 AM</v>
      </c>
      <c r="O1389" t="s">
        <v>4057</v>
      </c>
      <c r="T1389" t="s">
        <v>4058</v>
      </c>
    </row>
    <row r="1390" spans="1:20" x14ac:dyDescent="0.25">
      <c r="A1390" t="str">
        <f>"3042106"</f>
        <v>3042106</v>
      </c>
      <c r="B1390" t="s">
        <v>4063</v>
      </c>
      <c r="C1390" t="str">
        <f>"21874600"</f>
        <v>21874600</v>
      </c>
      <c r="D1390" t="s">
        <v>4057</v>
      </c>
      <c r="F1390" t="s">
        <v>4059</v>
      </c>
      <c r="I1390" t="s">
        <v>1149</v>
      </c>
      <c r="J1390" t="s">
        <v>30</v>
      </c>
      <c r="K1390" t="s">
        <v>1150</v>
      </c>
      <c r="M1390" t="s">
        <v>32</v>
      </c>
      <c r="N1390" t="str">
        <f>"7/22/2003 12:00:00 AM"</f>
        <v>7/22/2003 12:00:00 AM</v>
      </c>
      <c r="O1390" t="s">
        <v>4057</v>
      </c>
    </row>
    <row r="1391" spans="1:20" x14ac:dyDescent="0.25">
      <c r="A1391" t="str">
        <f>"3076991"</f>
        <v>3076991</v>
      </c>
      <c r="B1391" t="s">
        <v>4064</v>
      </c>
      <c r="C1391" t="str">
        <f>"38932000"</f>
        <v>38932000</v>
      </c>
      <c r="D1391" t="s">
        <v>4065</v>
      </c>
      <c r="E1391" t="s">
        <v>4066</v>
      </c>
      <c r="F1391" t="s">
        <v>4067</v>
      </c>
      <c r="I1391" t="s">
        <v>29</v>
      </c>
      <c r="J1391" t="s">
        <v>30</v>
      </c>
      <c r="K1391" t="s">
        <v>4068</v>
      </c>
      <c r="M1391" t="s">
        <v>32</v>
      </c>
      <c r="N1391" t="str">
        <f>"1/13/2006 12:00:00 AM"</f>
        <v>1/13/2006 12:00:00 AM</v>
      </c>
      <c r="O1391" t="s">
        <v>4065</v>
      </c>
      <c r="T1391" t="s">
        <v>4066</v>
      </c>
    </row>
    <row r="1392" spans="1:20" x14ac:dyDescent="0.25">
      <c r="A1392" t="str">
        <f>"3078073"</f>
        <v>3078073</v>
      </c>
      <c r="B1392" t="s">
        <v>4069</v>
      </c>
      <c r="C1392" t="str">
        <f>"38932000"</f>
        <v>38932000</v>
      </c>
      <c r="D1392" t="s">
        <v>4065</v>
      </c>
      <c r="E1392" t="s">
        <v>4066</v>
      </c>
      <c r="F1392" t="s">
        <v>4067</v>
      </c>
      <c r="I1392" t="s">
        <v>29</v>
      </c>
      <c r="J1392" t="s">
        <v>30</v>
      </c>
      <c r="K1392" t="s">
        <v>4068</v>
      </c>
      <c r="M1392" t="s">
        <v>32</v>
      </c>
      <c r="N1392" t="str">
        <f>"1/13/2006 12:00:00 AM"</f>
        <v>1/13/2006 12:00:00 AM</v>
      </c>
      <c r="O1392" t="s">
        <v>4065</v>
      </c>
      <c r="T1392" t="s">
        <v>4066</v>
      </c>
    </row>
    <row r="1393" spans="1:20" x14ac:dyDescent="0.25">
      <c r="A1393" t="str">
        <f>"3041771"</f>
        <v>3041771</v>
      </c>
      <c r="B1393" t="s">
        <v>4070</v>
      </c>
      <c r="C1393" t="str">
        <f>"49776000"</f>
        <v>49776000</v>
      </c>
      <c r="D1393" t="s">
        <v>4071</v>
      </c>
      <c r="F1393" t="str">
        <f>"C/O REBECCA C TOLLEY"</f>
        <v>C/O REBECCA C TOLLEY</v>
      </c>
      <c r="G1393" t="s">
        <v>4072</v>
      </c>
      <c r="I1393" t="s">
        <v>2071</v>
      </c>
      <c r="J1393" t="s">
        <v>30</v>
      </c>
      <c r="K1393" t="s">
        <v>185</v>
      </c>
      <c r="M1393" t="s">
        <v>32</v>
      </c>
      <c r="N1393" t="str">
        <f>"2/19/2004 12:00:00 AM"</f>
        <v>2/19/2004 12:00:00 AM</v>
      </c>
      <c r="O1393" t="s">
        <v>4071</v>
      </c>
    </row>
    <row r="1394" spans="1:20" x14ac:dyDescent="0.25">
      <c r="A1394" t="str">
        <f>"3042732"</f>
        <v>3042732</v>
      </c>
      <c r="B1394" t="s">
        <v>4073</v>
      </c>
      <c r="C1394" t="str">
        <f>"64939750"</f>
        <v>64939750</v>
      </c>
      <c r="D1394" t="s">
        <v>4074</v>
      </c>
      <c r="F1394" t="str">
        <f>"C/O LARRY DYSON"</f>
        <v>C/O LARRY DYSON</v>
      </c>
      <c r="G1394" t="s">
        <v>4075</v>
      </c>
      <c r="I1394" t="s">
        <v>29</v>
      </c>
      <c r="J1394" t="s">
        <v>30</v>
      </c>
      <c r="K1394" t="s">
        <v>31</v>
      </c>
      <c r="M1394" t="s">
        <v>32</v>
      </c>
      <c r="N1394" t="str">
        <f>"7/10/2008 12:00:00 AM"</f>
        <v>7/10/2008 12:00:00 AM</v>
      </c>
      <c r="O1394" t="s">
        <v>4074</v>
      </c>
    </row>
    <row r="1395" spans="1:20" x14ac:dyDescent="0.25">
      <c r="A1395" t="str">
        <f>"3042995"</f>
        <v>3042995</v>
      </c>
      <c r="B1395" t="s">
        <v>4076</v>
      </c>
      <c r="C1395" t="str">
        <f>"64939750"</f>
        <v>64939750</v>
      </c>
      <c r="D1395" t="s">
        <v>4074</v>
      </c>
      <c r="F1395" t="str">
        <f>"C/O LARRY DYSON"</f>
        <v>C/O LARRY DYSON</v>
      </c>
      <c r="G1395" t="s">
        <v>4075</v>
      </c>
      <c r="I1395" t="s">
        <v>29</v>
      </c>
      <c r="J1395" t="s">
        <v>30</v>
      </c>
      <c r="K1395" t="s">
        <v>31</v>
      </c>
      <c r="M1395" t="s">
        <v>32</v>
      </c>
      <c r="N1395" t="str">
        <f>"7/10/2008 12:00:00 AM"</f>
        <v>7/10/2008 12:00:00 AM</v>
      </c>
      <c r="O1395" t="s">
        <v>4074</v>
      </c>
    </row>
    <row r="1396" spans="1:20" x14ac:dyDescent="0.25">
      <c r="A1396" t="str">
        <f>"3061722"</f>
        <v>3061722</v>
      </c>
      <c r="B1396" t="s">
        <v>4077</v>
      </c>
      <c r="C1396" t="str">
        <f>"82515927"</f>
        <v>82515927</v>
      </c>
      <c r="D1396" t="s">
        <v>4078</v>
      </c>
      <c r="F1396" t="s">
        <v>4079</v>
      </c>
      <c r="I1396" t="s">
        <v>2071</v>
      </c>
      <c r="J1396" t="s">
        <v>30</v>
      </c>
      <c r="K1396" t="s">
        <v>185</v>
      </c>
      <c r="M1396" t="s">
        <v>32</v>
      </c>
      <c r="N1396" t="str">
        <f>"8/26/2011 12:00:00 AM"</f>
        <v>8/26/2011 12:00:00 AM</v>
      </c>
      <c r="O1396" t="s">
        <v>4078</v>
      </c>
    </row>
    <row r="1397" spans="1:20" x14ac:dyDescent="0.25">
      <c r="A1397" t="str">
        <f>"3061726"</f>
        <v>3061726</v>
      </c>
      <c r="B1397" t="s">
        <v>4080</v>
      </c>
      <c r="C1397" t="str">
        <f>"82528481"</f>
        <v>82528481</v>
      </c>
      <c r="D1397" t="s">
        <v>4081</v>
      </c>
      <c r="F1397" t="s">
        <v>4082</v>
      </c>
      <c r="I1397" t="s">
        <v>29</v>
      </c>
      <c r="J1397" t="s">
        <v>30</v>
      </c>
      <c r="K1397" t="s">
        <v>31</v>
      </c>
      <c r="M1397" t="s">
        <v>32</v>
      </c>
      <c r="N1397" t="str">
        <f>"8/10/2007 12:00:00 AM"</f>
        <v>8/10/2007 12:00:00 AM</v>
      </c>
      <c r="O1397" t="s">
        <v>4081</v>
      </c>
    </row>
    <row r="1398" spans="1:20" x14ac:dyDescent="0.25">
      <c r="A1398" t="str">
        <f>"3042806"</f>
        <v>3042806</v>
      </c>
      <c r="B1398" t="s">
        <v>4083</v>
      </c>
      <c r="C1398" t="str">
        <f>"82520033"</f>
        <v>82520033</v>
      </c>
      <c r="D1398" t="s">
        <v>4084</v>
      </c>
      <c r="E1398" t="s">
        <v>4085</v>
      </c>
      <c r="F1398" t="s">
        <v>4086</v>
      </c>
      <c r="I1398" t="s">
        <v>29</v>
      </c>
      <c r="J1398" t="s">
        <v>30</v>
      </c>
      <c r="K1398" t="s">
        <v>4087</v>
      </c>
      <c r="M1398" t="s">
        <v>32</v>
      </c>
      <c r="N1398" t="str">
        <f>"2/15/2007 12:00:00 AM"</f>
        <v>2/15/2007 12:00:00 AM</v>
      </c>
      <c r="O1398" t="s">
        <v>4084</v>
      </c>
      <c r="T1398" t="s">
        <v>4085</v>
      </c>
    </row>
    <row r="1399" spans="1:20" x14ac:dyDescent="0.25">
      <c r="A1399" t="str">
        <f>"3042894"</f>
        <v>3042894</v>
      </c>
      <c r="B1399" t="s">
        <v>4088</v>
      </c>
      <c r="C1399" t="str">
        <f>"82524452"</f>
        <v>82524452</v>
      </c>
      <c r="D1399" t="s">
        <v>4089</v>
      </c>
      <c r="E1399" t="s">
        <v>4090</v>
      </c>
      <c r="F1399" t="s">
        <v>4091</v>
      </c>
      <c r="I1399" t="s">
        <v>29</v>
      </c>
      <c r="J1399" t="s">
        <v>30</v>
      </c>
      <c r="K1399" t="s">
        <v>31</v>
      </c>
      <c r="M1399" t="s">
        <v>32</v>
      </c>
      <c r="N1399" t="str">
        <f>"6/25/2007 12:00:00 AM"</f>
        <v>6/25/2007 12:00:00 AM</v>
      </c>
      <c r="O1399" t="s">
        <v>4089</v>
      </c>
      <c r="T1399" t="s">
        <v>4090</v>
      </c>
    </row>
    <row r="1400" spans="1:20" x14ac:dyDescent="0.25">
      <c r="A1400" t="str">
        <f>"3042844"</f>
        <v>3042844</v>
      </c>
      <c r="B1400" t="s">
        <v>4092</v>
      </c>
      <c r="C1400" t="str">
        <f>"82513206"</f>
        <v>82513206</v>
      </c>
      <c r="D1400" t="s">
        <v>4093</v>
      </c>
      <c r="F1400" t="s">
        <v>4094</v>
      </c>
      <c r="I1400" t="s">
        <v>29</v>
      </c>
      <c r="J1400" t="s">
        <v>30</v>
      </c>
      <c r="K1400" t="s">
        <v>31</v>
      </c>
      <c r="M1400" t="s">
        <v>32</v>
      </c>
      <c r="N1400" t="str">
        <f>"11/8/2005 12:00:00 AM"</f>
        <v>11/8/2005 12:00:00 AM</v>
      </c>
      <c r="O1400" t="s">
        <v>4093</v>
      </c>
    </row>
    <row r="1401" spans="1:20" x14ac:dyDescent="0.25">
      <c r="A1401" t="str">
        <f>"3061777"</f>
        <v>3061777</v>
      </c>
      <c r="B1401" t="s">
        <v>4095</v>
      </c>
      <c r="C1401" t="str">
        <f>"62601000"</f>
        <v>62601000</v>
      </c>
      <c r="D1401" t="s">
        <v>4096</v>
      </c>
      <c r="E1401" t="s">
        <v>4097</v>
      </c>
      <c r="F1401" t="s">
        <v>4098</v>
      </c>
      <c r="I1401" t="s">
        <v>2071</v>
      </c>
      <c r="J1401" t="s">
        <v>30</v>
      </c>
      <c r="K1401" t="s">
        <v>185</v>
      </c>
      <c r="M1401" t="s">
        <v>32</v>
      </c>
      <c r="N1401" t="str">
        <f>"4/23/2004 12:00:00 AM"</f>
        <v>4/23/2004 12:00:00 AM</v>
      </c>
      <c r="O1401" t="s">
        <v>4096</v>
      </c>
      <c r="T1401" t="s">
        <v>4097</v>
      </c>
    </row>
    <row r="1402" spans="1:20" x14ac:dyDescent="0.25">
      <c r="A1402" t="str">
        <f>"3041156"</f>
        <v>3041156</v>
      </c>
      <c r="B1402" t="s">
        <v>4099</v>
      </c>
      <c r="C1402" t="str">
        <f>"13816500"</f>
        <v>13816500</v>
      </c>
      <c r="D1402" t="s">
        <v>4100</v>
      </c>
      <c r="E1402" t="s">
        <v>4101</v>
      </c>
      <c r="F1402" t="s">
        <v>4102</v>
      </c>
      <c r="I1402" t="s">
        <v>2071</v>
      </c>
      <c r="J1402" t="s">
        <v>30</v>
      </c>
      <c r="K1402" t="s">
        <v>4103</v>
      </c>
      <c r="M1402" t="s">
        <v>32</v>
      </c>
      <c r="N1402" t="str">
        <f>"2/28/2005 12:00:00 AM"</f>
        <v>2/28/2005 12:00:00 AM</v>
      </c>
      <c r="O1402" t="s">
        <v>4100</v>
      </c>
      <c r="T1402" t="s">
        <v>4101</v>
      </c>
    </row>
    <row r="1403" spans="1:20" x14ac:dyDescent="0.25">
      <c r="A1403" t="str">
        <f>"3061767"</f>
        <v>3061767</v>
      </c>
      <c r="B1403" t="s">
        <v>4104</v>
      </c>
      <c r="C1403" t="str">
        <f>"82520821"</f>
        <v>82520821</v>
      </c>
      <c r="D1403" t="s">
        <v>4105</v>
      </c>
      <c r="E1403" t="s">
        <v>4106</v>
      </c>
      <c r="F1403" t="s">
        <v>4107</v>
      </c>
      <c r="I1403" t="s">
        <v>2071</v>
      </c>
      <c r="J1403" t="s">
        <v>30</v>
      </c>
      <c r="K1403" t="s">
        <v>3960</v>
      </c>
      <c r="M1403" t="s">
        <v>32</v>
      </c>
      <c r="N1403" t="str">
        <f>"2/14/2007 12:00:00 AM"</f>
        <v>2/14/2007 12:00:00 AM</v>
      </c>
      <c r="O1403" t="s">
        <v>4105</v>
      </c>
      <c r="T1403" t="s">
        <v>4106</v>
      </c>
    </row>
    <row r="1404" spans="1:20" x14ac:dyDescent="0.25">
      <c r="A1404" t="str">
        <f>"3061804"</f>
        <v>3061804</v>
      </c>
      <c r="B1404" t="s">
        <v>4108</v>
      </c>
      <c r="C1404" t="str">
        <f>"20979000"</f>
        <v>20979000</v>
      </c>
      <c r="D1404" t="s">
        <v>4109</v>
      </c>
      <c r="E1404" t="s">
        <v>4110</v>
      </c>
      <c r="F1404" t="s">
        <v>4111</v>
      </c>
      <c r="I1404" t="s">
        <v>2071</v>
      </c>
      <c r="J1404" t="s">
        <v>30</v>
      </c>
      <c r="K1404" t="s">
        <v>185</v>
      </c>
      <c r="M1404" t="s">
        <v>32</v>
      </c>
      <c r="N1404" t="str">
        <f>"4/23/2002 12:00:00 AM"</f>
        <v>4/23/2002 12:00:00 AM</v>
      </c>
      <c r="O1404" t="s">
        <v>4109</v>
      </c>
      <c r="T1404" t="s">
        <v>4110</v>
      </c>
    </row>
    <row r="1405" spans="1:20" x14ac:dyDescent="0.25">
      <c r="A1405" t="str">
        <f>"3053374"</f>
        <v>3053374</v>
      </c>
      <c r="B1405" t="s">
        <v>4112</v>
      </c>
      <c r="C1405" t="str">
        <f>"82519478"</f>
        <v>82519478</v>
      </c>
      <c r="D1405" t="s">
        <v>4113</v>
      </c>
      <c r="F1405" t="s">
        <v>4114</v>
      </c>
      <c r="I1405" t="s">
        <v>29</v>
      </c>
      <c r="J1405" t="s">
        <v>30</v>
      </c>
      <c r="K1405" t="s">
        <v>31</v>
      </c>
      <c r="M1405" t="s">
        <v>32</v>
      </c>
      <c r="N1405" t="str">
        <f>"9/1/2011 12:00:00 AM"</f>
        <v>9/1/2011 12:00:00 AM</v>
      </c>
      <c r="O1405" t="s">
        <v>4113</v>
      </c>
    </row>
    <row r="1406" spans="1:20" x14ac:dyDescent="0.25">
      <c r="A1406" t="str">
        <f>"3053625"</f>
        <v>3053625</v>
      </c>
      <c r="B1406" t="s">
        <v>4115</v>
      </c>
      <c r="C1406" t="str">
        <f>"82519478"</f>
        <v>82519478</v>
      </c>
      <c r="D1406" t="s">
        <v>4113</v>
      </c>
      <c r="F1406" t="s">
        <v>4114</v>
      </c>
      <c r="I1406" t="s">
        <v>29</v>
      </c>
      <c r="J1406" t="s">
        <v>30</v>
      </c>
      <c r="K1406" t="s">
        <v>31</v>
      </c>
      <c r="M1406" t="s">
        <v>32</v>
      </c>
      <c r="N1406" t="str">
        <f>"9/1/2011 12:00:00 AM"</f>
        <v>9/1/2011 12:00:00 AM</v>
      </c>
      <c r="O1406" t="s">
        <v>4113</v>
      </c>
    </row>
    <row r="1407" spans="1:20" x14ac:dyDescent="0.25">
      <c r="A1407" t="str">
        <f>"3061739"</f>
        <v>3061739</v>
      </c>
      <c r="B1407" t="s">
        <v>4116</v>
      </c>
      <c r="C1407" t="str">
        <f>"29845690"</f>
        <v>29845690</v>
      </c>
      <c r="D1407" t="s">
        <v>4117</v>
      </c>
      <c r="E1407" t="s">
        <v>4118</v>
      </c>
      <c r="F1407" t="s">
        <v>4119</v>
      </c>
      <c r="I1407" t="s">
        <v>2071</v>
      </c>
      <c r="J1407" t="s">
        <v>30</v>
      </c>
      <c r="K1407" t="s">
        <v>185</v>
      </c>
      <c r="M1407" t="s">
        <v>32</v>
      </c>
      <c r="N1407" t="str">
        <f>"1/23/2007 12:00:00 AM"</f>
        <v>1/23/2007 12:00:00 AM</v>
      </c>
      <c r="O1407" t="s">
        <v>4117</v>
      </c>
      <c r="T1407" t="s">
        <v>4118</v>
      </c>
    </row>
    <row r="1408" spans="1:20" x14ac:dyDescent="0.25">
      <c r="A1408" t="str">
        <f>"3061672"</f>
        <v>3061672</v>
      </c>
      <c r="B1408" t="s">
        <v>4120</v>
      </c>
      <c r="C1408" t="str">
        <f>"21776000"</f>
        <v>21776000</v>
      </c>
      <c r="D1408" t="s">
        <v>4121</v>
      </c>
      <c r="E1408" t="s">
        <v>4122</v>
      </c>
      <c r="F1408" t="s">
        <v>4123</v>
      </c>
      <c r="I1408" t="s">
        <v>2071</v>
      </c>
      <c r="J1408" t="s">
        <v>30</v>
      </c>
      <c r="K1408" t="s">
        <v>4124</v>
      </c>
      <c r="M1408" t="s">
        <v>32</v>
      </c>
      <c r="N1408" t="str">
        <f>"1/17/2006 12:00:00 AM"</f>
        <v>1/17/2006 12:00:00 AM</v>
      </c>
      <c r="O1408" t="s">
        <v>4121</v>
      </c>
      <c r="T1408" t="s">
        <v>4122</v>
      </c>
    </row>
    <row r="1409" spans="1:20" x14ac:dyDescent="0.25">
      <c r="A1409" t="str">
        <f>"3042804"</f>
        <v>3042804</v>
      </c>
      <c r="B1409" t="s">
        <v>4125</v>
      </c>
      <c r="C1409" t="str">
        <f>"82526623"</f>
        <v>82526623</v>
      </c>
      <c r="D1409" t="s">
        <v>4126</v>
      </c>
      <c r="F1409" t="s">
        <v>4127</v>
      </c>
      <c r="I1409" t="s">
        <v>49</v>
      </c>
      <c r="J1409" t="s">
        <v>30</v>
      </c>
      <c r="K1409" t="s">
        <v>50</v>
      </c>
      <c r="M1409" t="s">
        <v>32</v>
      </c>
      <c r="N1409" t="str">
        <f>"1/9/2008 12:00:00 AM"</f>
        <v>1/9/2008 12:00:00 AM</v>
      </c>
      <c r="O1409" t="s">
        <v>4126</v>
      </c>
      <c r="T1409" t="s">
        <v>4126</v>
      </c>
    </row>
    <row r="1410" spans="1:20" x14ac:dyDescent="0.25">
      <c r="A1410" t="str">
        <f>"3042111"</f>
        <v>3042111</v>
      </c>
      <c r="B1410" t="s">
        <v>4128</v>
      </c>
      <c r="C1410" t="str">
        <f>"16252000"</f>
        <v>16252000</v>
      </c>
      <c r="D1410" t="s">
        <v>4129</v>
      </c>
      <c r="F1410" t="s">
        <v>4130</v>
      </c>
      <c r="I1410" t="s">
        <v>4131</v>
      </c>
      <c r="J1410" t="s">
        <v>4132</v>
      </c>
      <c r="K1410" t="s">
        <v>4133</v>
      </c>
      <c r="M1410" t="s">
        <v>32</v>
      </c>
      <c r="N1410" t="str">
        <f>"2/8/2006 12:00:00 AM"</f>
        <v>2/8/2006 12:00:00 AM</v>
      </c>
      <c r="O1410" t="s">
        <v>4129</v>
      </c>
    </row>
    <row r="1411" spans="1:20" x14ac:dyDescent="0.25">
      <c r="A1411" t="str">
        <f>"3041697"</f>
        <v>3041697</v>
      </c>
      <c r="B1411" t="s">
        <v>4134</v>
      </c>
      <c r="C1411" t="str">
        <f>"82526007"</f>
        <v>82526007</v>
      </c>
      <c r="D1411" t="s">
        <v>4135</v>
      </c>
      <c r="E1411" t="s">
        <v>4136</v>
      </c>
      <c r="F1411" t="s">
        <v>4137</v>
      </c>
      <c r="I1411" t="s">
        <v>2071</v>
      </c>
      <c r="J1411" t="s">
        <v>30</v>
      </c>
      <c r="K1411" t="s">
        <v>185</v>
      </c>
      <c r="M1411" t="s">
        <v>32</v>
      </c>
      <c r="N1411" t="str">
        <f>"2/13/2007 12:00:00 AM"</f>
        <v>2/13/2007 12:00:00 AM</v>
      </c>
      <c r="O1411" t="s">
        <v>4135</v>
      </c>
      <c r="T1411" t="s">
        <v>4136</v>
      </c>
    </row>
    <row r="1412" spans="1:20" x14ac:dyDescent="0.25">
      <c r="A1412" t="str">
        <f>"3041713"</f>
        <v>3041713</v>
      </c>
      <c r="B1412" t="s">
        <v>4138</v>
      </c>
      <c r="C1412" t="str">
        <f>"40666000"</f>
        <v>40666000</v>
      </c>
      <c r="D1412" t="s">
        <v>4139</v>
      </c>
      <c r="E1412" t="s">
        <v>4140</v>
      </c>
      <c r="F1412" t="s">
        <v>4141</v>
      </c>
      <c r="I1412" t="s">
        <v>2071</v>
      </c>
      <c r="J1412" t="s">
        <v>30</v>
      </c>
      <c r="K1412" t="s">
        <v>4142</v>
      </c>
      <c r="M1412" t="s">
        <v>32</v>
      </c>
      <c r="N1412" t="str">
        <f>"2/9/2010 12:00:00 AM"</f>
        <v>2/9/2010 12:00:00 AM</v>
      </c>
      <c r="O1412" t="s">
        <v>4139</v>
      </c>
      <c r="T1412" t="s">
        <v>4140</v>
      </c>
    </row>
    <row r="1413" spans="1:20" x14ac:dyDescent="0.25">
      <c r="A1413" t="str">
        <f>"3060705"</f>
        <v>3060705</v>
      </c>
      <c r="B1413" t="s">
        <v>4143</v>
      </c>
      <c r="C1413" t="str">
        <f>"73827120"</f>
        <v>73827120</v>
      </c>
      <c r="D1413" t="s">
        <v>4144</v>
      </c>
      <c r="E1413" t="s">
        <v>4145</v>
      </c>
      <c r="F1413" t="s">
        <v>4146</v>
      </c>
      <c r="I1413" t="s">
        <v>1107</v>
      </c>
      <c r="J1413" t="s">
        <v>30</v>
      </c>
      <c r="K1413" t="s">
        <v>4147</v>
      </c>
      <c r="M1413" t="s">
        <v>32</v>
      </c>
      <c r="N1413" t="str">
        <f>"6/21/2004 12:00:00 AM"</f>
        <v>6/21/2004 12:00:00 AM</v>
      </c>
      <c r="O1413" t="s">
        <v>4144</v>
      </c>
      <c r="T1413" t="s">
        <v>4145</v>
      </c>
    </row>
    <row r="1414" spans="1:20" x14ac:dyDescent="0.25">
      <c r="A1414" t="str">
        <f>"3042745"</f>
        <v>3042745</v>
      </c>
      <c r="B1414" t="s">
        <v>4148</v>
      </c>
      <c r="C1414" t="str">
        <f>"22104000"</f>
        <v>22104000</v>
      </c>
      <c r="D1414" t="s">
        <v>4149</v>
      </c>
      <c r="E1414" t="s">
        <v>4150</v>
      </c>
      <c r="F1414" t="s">
        <v>4151</v>
      </c>
      <c r="I1414" t="s">
        <v>29</v>
      </c>
      <c r="J1414" t="s">
        <v>30</v>
      </c>
      <c r="K1414" t="s">
        <v>4152</v>
      </c>
      <c r="M1414" t="s">
        <v>32</v>
      </c>
      <c r="N1414" t="str">
        <f>"1/15/2010 12:00:00 AM"</f>
        <v>1/15/2010 12:00:00 AM</v>
      </c>
      <c r="O1414" t="s">
        <v>4149</v>
      </c>
      <c r="T1414" t="s">
        <v>4150</v>
      </c>
    </row>
    <row r="1415" spans="1:20" x14ac:dyDescent="0.25">
      <c r="A1415" t="str">
        <f>"3042936"</f>
        <v>3042936</v>
      </c>
      <c r="B1415" t="s">
        <v>4153</v>
      </c>
      <c r="C1415" t="str">
        <f>"22104000"</f>
        <v>22104000</v>
      </c>
      <c r="D1415" t="s">
        <v>4149</v>
      </c>
      <c r="E1415" t="s">
        <v>4150</v>
      </c>
      <c r="F1415" t="s">
        <v>4151</v>
      </c>
      <c r="I1415" t="s">
        <v>29</v>
      </c>
      <c r="J1415" t="s">
        <v>30</v>
      </c>
      <c r="K1415" t="s">
        <v>4152</v>
      </c>
      <c r="M1415" t="s">
        <v>32</v>
      </c>
      <c r="N1415" t="str">
        <f>"1/15/2010 12:00:00 AM"</f>
        <v>1/15/2010 12:00:00 AM</v>
      </c>
      <c r="O1415" t="s">
        <v>4149</v>
      </c>
      <c r="T1415" t="s">
        <v>4150</v>
      </c>
    </row>
    <row r="1416" spans="1:20" x14ac:dyDescent="0.25">
      <c r="A1416" t="str">
        <f>"3052567"</f>
        <v>3052567</v>
      </c>
      <c r="B1416" t="s">
        <v>4154</v>
      </c>
      <c r="C1416" t="str">
        <f>"22104000"</f>
        <v>22104000</v>
      </c>
      <c r="D1416" t="s">
        <v>4149</v>
      </c>
      <c r="E1416" t="s">
        <v>4150</v>
      </c>
      <c r="F1416" t="s">
        <v>4151</v>
      </c>
      <c r="I1416" t="s">
        <v>29</v>
      </c>
      <c r="J1416" t="s">
        <v>30</v>
      </c>
      <c r="K1416" t="s">
        <v>4152</v>
      </c>
      <c r="M1416" t="s">
        <v>32</v>
      </c>
      <c r="N1416" t="str">
        <f>"1/15/2010 12:00:00 AM"</f>
        <v>1/15/2010 12:00:00 AM</v>
      </c>
      <c r="O1416" t="s">
        <v>4149</v>
      </c>
      <c r="T1416" t="s">
        <v>4150</v>
      </c>
    </row>
    <row r="1417" spans="1:20" x14ac:dyDescent="0.25">
      <c r="A1417" t="str">
        <f>"3042851"</f>
        <v>3042851</v>
      </c>
      <c r="B1417" t="s">
        <v>4155</v>
      </c>
      <c r="C1417" t="str">
        <f>"44107000"</f>
        <v>44107000</v>
      </c>
      <c r="D1417" t="s">
        <v>4156</v>
      </c>
      <c r="E1417" t="s">
        <v>4157</v>
      </c>
      <c r="F1417" t="s">
        <v>4158</v>
      </c>
      <c r="I1417" t="s">
        <v>29</v>
      </c>
      <c r="J1417" t="s">
        <v>30</v>
      </c>
      <c r="K1417" t="s">
        <v>4159</v>
      </c>
      <c r="M1417" t="s">
        <v>32</v>
      </c>
      <c r="N1417" t="str">
        <f>"1/31/2006 12:00:00 AM"</f>
        <v>1/31/2006 12:00:00 AM</v>
      </c>
      <c r="O1417" t="s">
        <v>4156</v>
      </c>
      <c r="T1417" t="s">
        <v>4157</v>
      </c>
    </row>
    <row r="1418" spans="1:20" x14ac:dyDescent="0.25">
      <c r="A1418" t="str">
        <f>"3042114"</f>
        <v>3042114</v>
      </c>
      <c r="B1418" t="s">
        <v>4160</v>
      </c>
      <c r="C1418" t="str">
        <f>"44107000"</f>
        <v>44107000</v>
      </c>
      <c r="D1418" t="s">
        <v>4156</v>
      </c>
      <c r="E1418" t="s">
        <v>4157</v>
      </c>
      <c r="F1418" t="s">
        <v>4158</v>
      </c>
      <c r="I1418" t="s">
        <v>29</v>
      </c>
      <c r="J1418" t="s">
        <v>30</v>
      </c>
      <c r="K1418" t="s">
        <v>4159</v>
      </c>
      <c r="M1418" t="s">
        <v>32</v>
      </c>
      <c r="N1418" t="str">
        <f>"1/31/2006 12:00:00 AM"</f>
        <v>1/31/2006 12:00:00 AM</v>
      </c>
      <c r="O1418" t="s">
        <v>4156</v>
      </c>
      <c r="T1418" t="s">
        <v>4157</v>
      </c>
    </row>
    <row r="1419" spans="1:20" x14ac:dyDescent="0.25">
      <c r="A1419" t="str">
        <f>"3042113"</f>
        <v>3042113</v>
      </c>
      <c r="B1419" t="s">
        <v>4161</v>
      </c>
      <c r="C1419" t="str">
        <f>"44107000"</f>
        <v>44107000</v>
      </c>
      <c r="D1419" t="s">
        <v>4156</v>
      </c>
      <c r="E1419" t="s">
        <v>4157</v>
      </c>
      <c r="F1419" t="s">
        <v>4158</v>
      </c>
      <c r="I1419" t="s">
        <v>29</v>
      </c>
      <c r="J1419" t="s">
        <v>30</v>
      </c>
      <c r="K1419" t="s">
        <v>4159</v>
      </c>
      <c r="M1419" t="s">
        <v>32</v>
      </c>
      <c r="N1419" t="str">
        <f>"1/31/2006 12:00:00 AM"</f>
        <v>1/31/2006 12:00:00 AM</v>
      </c>
      <c r="O1419" t="s">
        <v>4156</v>
      </c>
      <c r="T1419" t="s">
        <v>4157</v>
      </c>
    </row>
    <row r="1420" spans="1:20" x14ac:dyDescent="0.25">
      <c r="A1420" t="str">
        <f>"3042845"</f>
        <v>3042845</v>
      </c>
      <c r="B1420" t="s">
        <v>4162</v>
      </c>
      <c r="C1420" t="str">
        <f>"82525154"</f>
        <v>82525154</v>
      </c>
      <c r="D1420" t="s">
        <v>4163</v>
      </c>
      <c r="E1420" t="s">
        <v>4164</v>
      </c>
      <c r="F1420" t="s">
        <v>4158</v>
      </c>
      <c r="I1420" t="s">
        <v>29</v>
      </c>
      <c r="J1420" t="s">
        <v>30</v>
      </c>
      <c r="K1420" t="s">
        <v>31</v>
      </c>
      <c r="M1420" t="s">
        <v>32</v>
      </c>
      <c r="N1420" t="str">
        <f>"9/27/2005 12:00:00 AM"</f>
        <v>9/27/2005 12:00:00 AM</v>
      </c>
      <c r="O1420" t="s">
        <v>4163</v>
      </c>
      <c r="T1420" t="s">
        <v>4164</v>
      </c>
    </row>
    <row r="1421" spans="1:20" x14ac:dyDescent="0.25">
      <c r="A1421" t="str">
        <f>"3042973"</f>
        <v>3042973</v>
      </c>
      <c r="B1421" t="s">
        <v>4165</v>
      </c>
      <c r="C1421" t="str">
        <f>"2800000"</f>
        <v>2800000</v>
      </c>
      <c r="D1421" t="s">
        <v>4166</v>
      </c>
      <c r="E1421" t="s">
        <v>4167</v>
      </c>
      <c r="F1421" t="s">
        <v>4168</v>
      </c>
      <c r="I1421" t="s">
        <v>29</v>
      </c>
      <c r="J1421" t="s">
        <v>30</v>
      </c>
      <c r="K1421" t="s">
        <v>4169</v>
      </c>
      <c r="M1421" t="s">
        <v>32</v>
      </c>
      <c r="N1421" t="str">
        <f>"1/3/2006 12:00:00 AM"</f>
        <v>1/3/2006 12:00:00 AM</v>
      </c>
      <c r="O1421" t="s">
        <v>4166</v>
      </c>
      <c r="T1421" t="s">
        <v>4167</v>
      </c>
    </row>
    <row r="1422" spans="1:20" x14ac:dyDescent="0.25">
      <c r="A1422" t="str">
        <f>"3041994"</f>
        <v>3041994</v>
      </c>
      <c r="B1422" t="s">
        <v>4170</v>
      </c>
      <c r="C1422" t="str">
        <f>"2800000"</f>
        <v>2800000</v>
      </c>
      <c r="D1422" t="s">
        <v>4166</v>
      </c>
      <c r="E1422" t="s">
        <v>4167</v>
      </c>
      <c r="F1422" t="s">
        <v>4168</v>
      </c>
      <c r="I1422" t="s">
        <v>29</v>
      </c>
      <c r="J1422" t="s">
        <v>30</v>
      </c>
      <c r="K1422" t="s">
        <v>4169</v>
      </c>
      <c r="M1422" t="s">
        <v>32</v>
      </c>
      <c r="N1422" t="str">
        <f>"1/3/2006 12:00:00 AM"</f>
        <v>1/3/2006 12:00:00 AM</v>
      </c>
      <c r="O1422" t="s">
        <v>4166</v>
      </c>
      <c r="T1422" t="s">
        <v>4167</v>
      </c>
    </row>
    <row r="1423" spans="1:20" x14ac:dyDescent="0.25">
      <c r="A1423" t="str">
        <f>"3077055"</f>
        <v>3077055</v>
      </c>
      <c r="B1423" t="s">
        <v>4171</v>
      </c>
      <c r="C1423" t="str">
        <f>"2800000"</f>
        <v>2800000</v>
      </c>
      <c r="D1423" t="s">
        <v>4166</v>
      </c>
      <c r="E1423" t="s">
        <v>4167</v>
      </c>
      <c r="F1423" t="s">
        <v>4168</v>
      </c>
      <c r="I1423" t="s">
        <v>29</v>
      </c>
      <c r="J1423" t="s">
        <v>30</v>
      </c>
      <c r="K1423" t="s">
        <v>4169</v>
      </c>
      <c r="M1423" t="s">
        <v>32</v>
      </c>
      <c r="N1423" t="str">
        <f>"1/3/2006 12:00:00 AM"</f>
        <v>1/3/2006 12:00:00 AM</v>
      </c>
      <c r="O1423" t="s">
        <v>4166</v>
      </c>
      <c r="T1423" t="s">
        <v>4167</v>
      </c>
    </row>
    <row r="1424" spans="1:20" x14ac:dyDescent="0.25">
      <c r="A1424" t="str">
        <f>"3077052"</f>
        <v>3077052</v>
      </c>
      <c r="B1424" t="s">
        <v>4172</v>
      </c>
      <c r="C1424" t="str">
        <f>"2800000"</f>
        <v>2800000</v>
      </c>
      <c r="D1424" t="s">
        <v>4166</v>
      </c>
      <c r="E1424" t="s">
        <v>4167</v>
      </c>
      <c r="F1424" t="s">
        <v>4168</v>
      </c>
      <c r="I1424" t="s">
        <v>29</v>
      </c>
      <c r="J1424" t="s">
        <v>30</v>
      </c>
      <c r="K1424" t="s">
        <v>4169</v>
      </c>
      <c r="M1424" t="s">
        <v>32</v>
      </c>
      <c r="N1424" t="str">
        <f>"1/3/2006 12:00:00 AM"</f>
        <v>1/3/2006 12:00:00 AM</v>
      </c>
      <c r="O1424" t="s">
        <v>4166</v>
      </c>
      <c r="T1424" t="s">
        <v>4167</v>
      </c>
    </row>
    <row r="1425" spans="1:20" x14ac:dyDescent="0.25">
      <c r="A1425" t="str">
        <f>"3042865"</f>
        <v>3042865</v>
      </c>
      <c r="B1425" t="s">
        <v>4173</v>
      </c>
      <c r="C1425" t="str">
        <f>"2805000"</f>
        <v>2805000</v>
      </c>
      <c r="D1425" t="s">
        <v>4174</v>
      </c>
      <c r="F1425" t="s">
        <v>4175</v>
      </c>
      <c r="I1425" t="s">
        <v>29</v>
      </c>
      <c r="J1425" t="s">
        <v>30</v>
      </c>
      <c r="K1425" t="s">
        <v>31</v>
      </c>
      <c r="M1425" t="s">
        <v>32</v>
      </c>
      <c r="N1425" t="str">
        <f>"9/29/2005 12:00:00 AM"</f>
        <v>9/29/2005 12:00:00 AM</v>
      </c>
      <c r="O1425" t="s">
        <v>4174</v>
      </c>
    </row>
    <row r="1426" spans="1:20" x14ac:dyDescent="0.25">
      <c r="A1426" t="str">
        <f>"3043046"</f>
        <v>3043046</v>
      </c>
      <c r="B1426" t="s">
        <v>4176</v>
      </c>
      <c r="C1426" t="str">
        <f>"42219500"</f>
        <v>42219500</v>
      </c>
      <c r="D1426" t="s">
        <v>4177</v>
      </c>
      <c r="F1426" t="s">
        <v>4178</v>
      </c>
      <c r="I1426" t="s">
        <v>29</v>
      </c>
      <c r="J1426" t="s">
        <v>30</v>
      </c>
      <c r="K1426" t="s">
        <v>31</v>
      </c>
      <c r="M1426" t="s">
        <v>32</v>
      </c>
      <c r="N1426" t="str">
        <f>"4/25/2002 12:00:00 AM"</f>
        <v>4/25/2002 12:00:00 AM</v>
      </c>
      <c r="O1426" t="s">
        <v>4177</v>
      </c>
    </row>
    <row r="1427" spans="1:20" x14ac:dyDescent="0.25">
      <c r="A1427" t="str">
        <f>"3060706"</f>
        <v>3060706</v>
      </c>
      <c r="B1427" t="s">
        <v>4179</v>
      </c>
      <c r="C1427" t="str">
        <f>"66644000"</f>
        <v>66644000</v>
      </c>
      <c r="D1427" t="s">
        <v>4180</v>
      </c>
      <c r="E1427" t="s">
        <v>4181</v>
      </c>
      <c r="F1427" t="s">
        <v>4182</v>
      </c>
      <c r="I1427" t="s">
        <v>2071</v>
      </c>
      <c r="J1427" t="s">
        <v>30</v>
      </c>
      <c r="K1427" t="s">
        <v>4183</v>
      </c>
      <c r="M1427" t="s">
        <v>32</v>
      </c>
      <c r="N1427" t="str">
        <f>"1/13/2006 12:00:00 AM"</f>
        <v>1/13/2006 12:00:00 AM</v>
      </c>
      <c r="O1427" t="s">
        <v>4180</v>
      </c>
      <c r="T1427" t="s">
        <v>4181</v>
      </c>
    </row>
    <row r="1428" spans="1:20" x14ac:dyDescent="0.25">
      <c r="A1428" t="str">
        <f>"3043236"</f>
        <v>3043236</v>
      </c>
      <c r="B1428" t="s">
        <v>4184</v>
      </c>
      <c r="C1428" t="str">
        <f>"70588000"</f>
        <v>70588000</v>
      </c>
      <c r="D1428" t="s">
        <v>4185</v>
      </c>
      <c r="E1428" t="s">
        <v>4186</v>
      </c>
      <c r="F1428" t="s">
        <v>4187</v>
      </c>
      <c r="I1428" t="s">
        <v>29</v>
      </c>
      <c r="J1428" t="s">
        <v>30</v>
      </c>
      <c r="K1428" t="s">
        <v>31</v>
      </c>
      <c r="M1428" t="s">
        <v>32</v>
      </c>
      <c r="N1428" t="str">
        <f>"5/20/2004 12:00:00 AM"</f>
        <v>5/20/2004 12:00:00 AM</v>
      </c>
      <c r="O1428" t="s">
        <v>4185</v>
      </c>
      <c r="T1428" t="s">
        <v>4186</v>
      </c>
    </row>
    <row r="1429" spans="1:20" x14ac:dyDescent="0.25">
      <c r="A1429" t="str">
        <f>"3043557"</f>
        <v>3043557</v>
      </c>
      <c r="B1429" t="s">
        <v>4188</v>
      </c>
      <c r="C1429" t="str">
        <f>"70588000"</f>
        <v>70588000</v>
      </c>
      <c r="D1429" t="s">
        <v>4185</v>
      </c>
      <c r="E1429" t="s">
        <v>4186</v>
      </c>
      <c r="F1429" t="s">
        <v>4187</v>
      </c>
      <c r="I1429" t="s">
        <v>29</v>
      </c>
      <c r="J1429" t="s">
        <v>30</v>
      </c>
      <c r="K1429" t="s">
        <v>31</v>
      </c>
      <c r="M1429" t="s">
        <v>32</v>
      </c>
      <c r="N1429" t="str">
        <f>"5/20/2004 12:00:00 AM"</f>
        <v>5/20/2004 12:00:00 AM</v>
      </c>
      <c r="O1429" t="s">
        <v>4185</v>
      </c>
      <c r="T1429" t="s">
        <v>4186</v>
      </c>
    </row>
    <row r="1430" spans="1:20" x14ac:dyDescent="0.25">
      <c r="A1430" t="str">
        <f>"3043575"</f>
        <v>3043575</v>
      </c>
      <c r="B1430" t="s">
        <v>4189</v>
      </c>
      <c r="C1430" t="str">
        <f>"70588000"</f>
        <v>70588000</v>
      </c>
      <c r="D1430" t="s">
        <v>4185</v>
      </c>
      <c r="E1430" t="s">
        <v>4186</v>
      </c>
      <c r="F1430" t="s">
        <v>4187</v>
      </c>
      <c r="I1430" t="s">
        <v>29</v>
      </c>
      <c r="J1430" t="s">
        <v>30</v>
      </c>
      <c r="K1430" t="s">
        <v>31</v>
      </c>
      <c r="M1430" t="s">
        <v>32</v>
      </c>
      <c r="N1430" t="str">
        <f>"5/20/2004 12:00:00 AM"</f>
        <v>5/20/2004 12:00:00 AM</v>
      </c>
      <c r="O1430" t="s">
        <v>4185</v>
      </c>
      <c r="T1430" t="s">
        <v>4186</v>
      </c>
    </row>
    <row r="1431" spans="1:20" x14ac:dyDescent="0.25">
      <c r="A1431" t="str">
        <f>"3042783"</f>
        <v>3042783</v>
      </c>
      <c r="B1431" t="s">
        <v>4190</v>
      </c>
      <c r="C1431" t="str">
        <f>"8524000"</f>
        <v>8524000</v>
      </c>
      <c r="D1431" t="s">
        <v>4191</v>
      </c>
      <c r="E1431" t="s">
        <v>4192</v>
      </c>
      <c r="F1431" t="s">
        <v>4193</v>
      </c>
      <c r="I1431" t="s">
        <v>29</v>
      </c>
      <c r="J1431" t="s">
        <v>30</v>
      </c>
      <c r="K1431" t="s">
        <v>31</v>
      </c>
      <c r="M1431" t="s">
        <v>32</v>
      </c>
      <c r="N1431" t="str">
        <f>"1/22/2010 12:00:00 AM"</f>
        <v>1/22/2010 12:00:00 AM</v>
      </c>
      <c r="O1431" t="s">
        <v>4191</v>
      </c>
      <c r="T1431" t="s">
        <v>4192</v>
      </c>
    </row>
    <row r="1432" spans="1:20" x14ac:dyDescent="0.25">
      <c r="A1432" t="str">
        <f>"3042323"</f>
        <v>3042323</v>
      </c>
      <c r="B1432" t="s">
        <v>4194</v>
      </c>
      <c r="C1432" t="str">
        <f>"82516747"</f>
        <v>82516747</v>
      </c>
      <c r="D1432" t="s">
        <v>4195</v>
      </c>
      <c r="F1432" t="s">
        <v>4196</v>
      </c>
      <c r="I1432" t="s">
        <v>29</v>
      </c>
      <c r="J1432" t="s">
        <v>30</v>
      </c>
      <c r="K1432" t="s">
        <v>31</v>
      </c>
      <c r="M1432" t="s">
        <v>32</v>
      </c>
      <c r="N1432" t="str">
        <f>"7/26/2002 12:00:00 AM"</f>
        <v>7/26/2002 12:00:00 AM</v>
      </c>
      <c r="O1432" t="s">
        <v>4195</v>
      </c>
    </row>
    <row r="1433" spans="1:20" x14ac:dyDescent="0.25">
      <c r="A1433" t="str">
        <f>"3077054"</f>
        <v>3077054</v>
      </c>
      <c r="B1433" t="s">
        <v>4197</v>
      </c>
      <c r="C1433" t="str">
        <f>"82516747"</f>
        <v>82516747</v>
      </c>
      <c r="D1433" t="s">
        <v>4195</v>
      </c>
      <c r="F1433" t="s">
        <v>4196</v>
      </c>
      <c r="I1433" t="s">
        <v>29</v>
      </c>
      <c r="J1433" t="s">
        <v>30</v>
      </c>
      <c r="K1433" t="s">
        <v>31</v>
      </c>
      <c r="M1433" t="s">
        <v>32</v>
      </c>
      <c r="N1433" t="str">
        <f>"7/26/2002 12:00:00 AM"</f>
        <v>7/26/2002 12:00:00 AM</v>
      </c>
      <c r="O1433" t="s">
        <v>4195</v>
      </c>
    </row>
    <row r="1434" spans="1:20" x14ac:dyDescent="0.25">
      <c r="A1434" t="str">
        <f>"3042158"</f>
        <v>3042158</v>
      </c>
      <c r="B1434" t="s">
        <v>4198</v>
      </c>
      <c r="C1434" t="str">
        <f>"6116000"</f>
        <v>6116000</v>
      </c>
      <c r="D1434" t="s">
        <v>4199</v>
      </c>
      <c r="E1434" t="s">
        <v>4200</v>
      </c>
      <c r="F1434" t="s">
        <v>4201</v>
      </c>
      <c r="I1434" t="s">
        <v>29</v>
      </c>
      <c r="J1434" t="s">
        <v>30</v>
      </c>
      <c r="K1434" t="s">
        <v>4169</v>
      </c>
      <c r="M1434" t="s">
        <v>32</v>
      </c>
      <c r="N1434" t="str">
        <f>"1/25/2006 12:00:00 AM"</f>
        <v>1/25/2006 12:00:00 AM</v>
      </c>
      <c r="O1434" t="s">
        <v>4199</v>
      </c>
      <c r="T1434" t="s">
        <v>4200</v>
      </c>
    </row>
    <row r="1435" spans="1:20" x14ac:dyDescent="0.25">
      <c r="A1435" t="str">
        <f>"3042707"</f>
        <v>3042707</v>
      </c>
      <c r="B1435" t="s">
        <v>4202</v>
      </c>
      <c r="C1435" t="str">
        <f>"82515849"</f>
        <v>82515849</v>
      </c>
      <c r="D1435" t="s">
        <v>4203</v>
      </c>
      <c r="F1435" t="s">
        <v>4204</v>
      </c>
      <c r="I1435" t="s">
        <v>29</v>
      </c>
      <c r="J1435" t="s">
        <v>30</v>
      </c>
      <c r="K1435" t="s">
        <v>31</v>
      </c>
      <c r="M1435" t="s">
        <v>32</v>
      </c>
      <c r="N1435" t="str">
        <f>"12/22/2000 12:00:00 AM"</f>
        <v>12/22/2000 12:00:00 AM</v>
      </c>
      <c r="O1435" t="s">
        <v>4203</v>
      </c>
    </row>
    <row r="1436" spans="1:20" x14ac:dyDescent="0.25">
      <c r="A1436" t="str">
        <f>"3042622"</f>
        <v>3042622</v>
      </c>
      <c r="B1436" t="s">
        <v>4205</v>
      </c>
      <c r="C1436" t="str">
        <f>"20318000"</f>
        <v>20318000</v>
      </c>
      <c r="D1436" t="s">
        <v>4206</v>
      </c>
      <c r="F1436" t="s">
        <v>4207</v>
      </c>
      <c r="G1436" t="s">
        <v>4208</v>
      </c>
      <c r="I1436" t="s">
        <v>29</v>
      </c>
      <c r="J1436" t="s">
        <v>30</v>
      </c>
      <c r="K1436" t="s">
        <v>31</v>
      </c>
      <c r="M1436" t="s">
        <v>32</v>
      </c>
      <c r="N1436" t="str">
        <f>"7/17/2003 12:00:00 AM"</f>
        <v>7/17/2003 12:00:00 AM</v>
      </c>
      <c r="O1436" t="s">
        <v>4206</v>
      </c>
    </row>
    <row r="1437" spans="1:20" x14ac:dyDescent="0.25">
      <c r="A1437" t="str">
        <f>"3040181"</f>
        <v>3040181</v>
      </c>
      <c r="B1437" t="s">
        <v>4209</v>
      </c>
      <c r="C1437" t="str">
        <f>"48143000"</f>
        <v>48143000</v>
      </c>
      <c r="D1437" t="s">
        <v>4210</v>
      </c>
      <c r="E1437" t="s">
        <v>4211</v>
      </c>
      <c r="F1437" t="s">
        <v>4212</v>
      </c>
      <c r="I1437" t="s">
        <v>29</v>
      </c>
      <c r="J1437" t="s">
        <v>30</v>
      </c>
      <c r="K1437" t="s">
        <v>4213</v>
      </c>
      <c r="M1437" t="s">
        <v>32</v>
      </c>
      <c r="N1437" t="str">
        <f>"1/9/2008 12:00:00 AM"</f>
        <v>1/9/2008 12:00:00 AM</v>
      </c>
      <c r="O1437" t="s">
        <v>4210</v>
      </c>
      <c r="T1437" t="s">
        <v>4211</v>
      </c>
    </row>
    <row r="1438" spans="1:20" x14ac:dyDescent="0.25">
      <c r="A1438" t="str">
        <f>"3038057"</f>
        <v>3038057</v>
      </c>
      <c r="B1438" t="s">
        <v>4214</v>
      </c>
      <c r="C1438" t="str">
        <f>"82530343"</f>
        <v>82530343</v>
      </c>
      <c r="D1438" t="s">
        <v>4215</v>
      </c>
      <c r="F1438" t="s">
        <v>4216</v>
      </c>
      <c r="I1438" t="s">
        <v>29</v>
      </c>
      <c r="J1438" t="s">
        <v>30</v>
      </c>
      <c r="K1438" t="s">
        <v>31</v>
      </c>
      <c r="M1438" t="s">
        <v>32</v>
      </c>
      <c r="N1438" t="str">
        <f>"7/8/2010 12:00:00 AM"</f>
        <v>7/8/2010 12:00:00 AM</v>
      </c>
      <c r="O1438" t="s">
        <v>4215</v>
      </c>
    </row>
    <row r="1439" spans="1:20" x14ac:dyDescent="0.25">
      <c r="A1439" t="str">
        <f>"3077056"</f>
        <v>3077056</v>
      </c>
      <c r="B1439" t="s">
        <v>4217</v>
      </c>
      <c r="C1439" t="str">
        <f>"82517106"</f>
        <v>82517106</v>
      </c>
      <c r="D1439" t="s">
        <v>4215</v>
      </c>
      <c r="F1439" t="s">
        <v>4218</v>
      </c>
      <c r="I1439" t="s">
        <v>29</v>
      </c>
      <c r="J1439" t="s">
        <v>30</v>
      </c>
      <c r="K1439" t="s">
        <v>31</v>
      </c>
      <c r="M1439" t="s">
        <v>32</v>
      </c>
      <c r="N1439" t="str">
        <f>"4/25/2002 12:00:00 AM"</f>
        <v>4/25/2002 12:00:00 AM</v>
      </c>
      <c r="O1439" t="s">
        <v>4215</v>
      </c>
    </row>
    <row r="1440" spans="1:20" x14ac:dyDescent="0.25">
      <c r="A1440" t="str">
        <f>"3077065"</f>
        <v>3077065</v>
      </c>
      <c r="B1440" t="s">
        <v>4219</v>
      </c>
      <c r="C1440" t="str">
        <f>"61052000"</f>
        <v>61052000</v>
      </c>
      <c r="D1440" t="s">
        <v>4220</v>
      </c>
      <c r="F1440" t="s">
        <v>4221</v>
      </c>
      <c r="I1440" t="s">
        <v>29</v>
      </c>
      <c r="J1440" t="s">
        <v>30</v>
      </c>
      <c r="K1440" t="s">
        <v>31</v>
      </c>
      <c r="M1440" t="s">
        <v>32</v>
      </c>
      <c r="N1440" t="str">
        <f>"4/25/2002 12:00:00 AM"</f>
        <v>4/25/2002 12:00:00 AM</v>
      </c>
      <c r="O1440" t="s">
        <v>4220</v>
      </c>
    </row>
    <row r="1441" spans="1:20" x14ac:dyDescent="0.25">
      <c r="A1441" t="str">
        <f>"3077066"</f>
        <v>3077066</v>
      </c>
      <c r="B1441" t="s">
        <v>4222</v>
      </c>
      <c r="C1441" t="str">
        <f>"61052000"</f>
        <v>61052000</v>
      </c>
      <c r="D1441" t="s">
        <v>4220</v>
      </c>
      <c r="F1441" t="s">
        <v>4221</v>
      </c>
      <c r="I1441" t="s">
        <v>29</v>
      </c>
      <c r="J1441" t="s">
        <v>30</v>
      </c>
      <c r="K1441" t="s">
        <v>31</v>
      </c>
      <c r="M1441" t="s">
        <v>32</v>
      </c>
      <c r="N1441" t="str">
        <f>"4/25/2002 12:00:00 AM"</f>
        <v>4/25/2002 12:00:00 AM</v>
      </c>
      <c r="O1441" t="s">
        <v>4220</v>
      </c>
    </row>
    <row r="1442" spans="1:20" x14ac:dyDescent="0.25">
      <c r="A1442" t="str">
        <f>"3038860"</f>
        <v>3038860</v>
      </c>
      <c r="B1442" t="s">
        <v>4223</v>
      </c>
      <c r="C1442" t="str">
        <f>"61052000"</f>
        <v>61052000</v>
      </c>
      <c r="D1442" t="s">
        <v>4220</v>
      </c>
      <c r="F1442" t="s">
        <v>4221</v>
      </c>
      <c r="I1442" t="s">
        <v>29</v>
      </c>
      <c r="J1442" t="s">
        <v>30</v>
      </c>
      <c r="K1442" t="s">
        <v>31</v>
      </c>
      <c r="M1442" t="s">
        <v>32</v>
      </c>
      <c r="N1442" t="str">
        <f>"4/25/2002 12:00:00 AM"</f>
        <v>4/25/2002 12:00:00 AM</v>
      </c>
      <c r="O1442" t="s">
        <v>4220</v>
      </c>
    </row>
    <row r="1443" spans="1:20" x14ac:dyDescent="0.25">
      <c r="A1443" t="str">
        <f>"3038839"</f>
        <v>3038839</v>
      </c>
      <c r="B1443" t="s">
        <v>4224</v>
      </c>
      <c r="C1443" t="str">
        <f>"47923000"</f>
        <v>47923000</v>
      </c>
      <c r="D1443" t="s">
        <v>4225</v>
      </c>
      <c r="E1443" t="s">
        <v>4226</v>
      </c>
      <c r="F1443" t="s">
        <v>4227</v>
      </c>
      <c r="I1443" t="s">
        <v>29</v>
      </c>
      <c r="J1443" t="s">
        <v>30</v>
      </c>
      <c r="K1443" t="s">
        <v>31</v>
      </c>
      <c r="M1443" t="s">
        <v>32</v>
      </c>
      <c r="N1443" t="str">
        <f>"2/17/2004 12:00:00 AM"</f>
        <v>2/17/2004 12:00:00 AM</v>
      </c>
      <c r="O1443" t="s">
        <v>4225</v>
      </c>
      <c r="T1443" t="s">
        <v>4226</v>
      </c>
    </row>
    <row r="1444" spans="1:20" x14ac:dyDescent="0.25">
      <c r="A1444" t="str">
        <f>"3060722"</f>
        <v>3060722</v>
      </c>
      <c r="B1444" t="s">
        <v>4228</v>
      </c>
      <c r="C1444" t="str">
        <f>"82514764"</f>
        <v>82514764</v>
      </c>
      <c r="D1444" t="s">
        <v>4229</v>
      </c>
      <c r="F1444" t="s">
        <v>4230</v>
      </c>
      <c r="I1444" t="s">
        <v>2071</v>
      </c>
      <c r="J1444" t="s">
        <v>30</v>
      </c>
      <c r="K1444" t="s">
        <v>4231</v>
      </c>
      <c r="M1444" t="s">
        <v>32</v>
      </c>
      <c r="N1444" t="str">
        <f>"2/14/2005 12:00:00 AM"</f>
        <v>2/14/2005 12:00:00 AM</v>
      </c>
      <c r="O1444" t="s">
        <v>4229</v>
      </c>
    </row>
    <row r="1445" spans="1:20" x14ac:dyDescent="0.25">
      <c r="A1445" t="str">
        <f>"3038719"</f>
        <v>3038719</v>
      </c>
      <c r="B1445" t="s">
        <v>4232</v>
      </c>
      <c r="C1445" t="str">
        <f>"11142000"</f>
        <v>11142000</v>
      </c>
      <c r="D1445" t="s">
        <v>4233</v>
      </c>
      <c r="F1445" t="s">
        <v>4234</v>
      </c>
      <c r="I1445" t="s">
        <v>29</v>
      </c>
      <c r="J1445" t="s">
        <v>30</v>
      </c>
      <c r="K1445" t="s">
        <v>31</v>
      </c>
      <c r="M1445" t="s">
        <v>32</v>
      </c>
      <c r="N1445" t="str">
        <f>"6/13/2003 12:00:00 AM"</f>
        <v>6/13/2003 12:00:00 AM</v>
      </c>
      <c r="O1445" t="s">
        <v>4233</v>
      </c>
    </row>
    <row r="1446" spans="1:20" x14ac:dyDescent="0.25">
      <c r="A1446" t="str">
        <f>"3042179"</f>
        <v>3042179</v>
      </c>
      <c r="B1446" t="s">
        <v>4235</v>
      </c>
      <c r="C1446" t="str">
        <f>"11142000"</f>
        <v>11142000</v>
      </c>
      <c r="D1446" t="s">
        <v>4233</v>
      </c>
      <c r="F1446" t="s">
        <v>4234</v>
      </c>
      <c r="I1446" t="s">
        <v>29</v>
      </c>
      <c r="J1446" t="s">
        <v>30</v>
      </c>
      <c r="K1446" t="s">
        <v>31</v>
      </c>
      <c r="M1446" t="s">
        <v>32</v>
      </c>
      <c r="N1446" t="str">
        <f>"6/13/2003 12:00:00 AM"</f>
        <v>6/13/2003 12:00:00 AM</v>
      </c>
      <c r="O1446" t="s">
        <v>4233</v>
      </c>
    </row>
    <row r="1447" spans="1:20" x14ac:dyDescent="0.25">
      <c r="A1447" t="str">
        <f>"3042969"</f>
        <v>3042969</v>
      </c>
      <c r="B1447" t="s">
        <v>4236</v>
      </c>
      <c r="C1447" t="str">
        <f>"11142000"</f>
        <v>11142000</v>
      </c>
      <c r="D1447" t="s">
        <v>4233</v>
      </c>
      <c r="F1447" t="s">
        <v>4234</v>
      </c>
      <c r="I1447" t="s">
        <v>29</v>
      </c>
      <c r="J1447" t="s">
        <v>30</v>
      </c>
      <c r="K1447" t="s">
        <v>31</v>
      </c>
      <c r="M1447" t="s">
        <v>32</v>
      </c>
      <c r="N1447" t="str">
        <f>"6/13/2003 12:00:00 AM"</f>
        <v>6/13/2003 12:00:00 AM</v>
      </c>
      <c r="O1447" t="s">
        <v>4233</v>
      </c>
    </row>
    <row r="1448" spans="1:20" x14ac:dyDescent="0.25">
      <c r="A1448" t="str">
        <f>"3077071"</f>
        <v>3077071</v>
      </c>
      <c r="B1448" t="s">
        <v>4237</v>
      </c>
      <c r="C1448" t="str">
        <f>"11142000"</f>
        <v>11142000</v>
      </c>
      <c r="D1448" t="s">
        <v>4233</v>
      </c>
      <c r="F1448" t="s">
        <v>4234</v>
      </c>
      <c r="I1448" t="s">
        <v>29</v>
      </c>
      <c r="J1448" t="s">
        <v>30</v>
      </c>
      <c r="K1448" t="s">
        <v>31</v>
      </c>
      <c r="M1448" t="s">
        <v>32</v>
      </c>
      <c r="N1448" t="str">
        <f>"6/13/2003 12:00:00 AM"</f>
        <v>6/13/2003 12:00:00 AM</v>
      </c>
      <c r="O1448" t="s">
        <v>4233</v>
      </c>
    </row>
    <row r="1449" spans="1:20" x14ac:dyDescent="0.25">
      <c r="A1449" t="str">
        <f>"3077658"</f>
        <v>3077658</v>
      </c>
      <c r="B1449" t="s">
        <v>4238</v>
      </c>
      <c r="C1449" t="str">
        <f>"11142000"</f>
        <v>11142000</v>
      </c>
      <c r="D1449" t="s">
        <v>4233</v>
      </c>
      <c r="F1449" t="s">
        <v>4234</v>
      </c>
      <c r="I1449" t="s">
        <v>29</v>
      </c>
      <c r="J1449" t="s">
        <v>30</v>
      </c>
      <c r="K1449" t="s">
        <v>31</v>
      </c>
      <c r="M1449" t="s">
        <v>32</v>
      </c>
      <c r="N1449" t="str">
        <f>"6/13/2003 12:00:00 AM"</f>
        <v>6/13/2003 12:00:00 AM</v>
      </c>
      <c r="O1449" t="s">
        <v>4233</v>
      </c>
    </row>
    <row r="1450" spans="1:20" x14ac:dyDescent="0.25">
      <c r="A1450" t="str">
        <f>"3038763"</f>
        <v>3038763</v>
      </c>
      <c r="B1450" t="s">
        <v>4239</v>
      </c>
      <c r="C1450" t="str">
        <f>"82525106"</f>
        <v>82525106</v>
      </c>
      <c r="D1450" t="s">
        <v>4240</v>
      </c>
      <c r="E1450" t="s">
        <v>4241</v>
      </c>
      <c r="F1450" t="s">
        <v>4242</v>
      </c>
      <c r="I1450" t="s">
        <v>49</v>
      </c>
      <c r="J1450" t="s">
        <v>30</v>
      </c>
      <c r="K1450" t="s">
        <v>4243</v>
      </c>
      <c r="M1450" t="s">
        <v>32</v>
      </c>
      <c r="N1450" t="str">
        <f>"1/25/2006 12:00:00 AM"</f>
        <v>1/25/2006 12:00:00 AM</v>
      </c>
      <c r="O1450" t="s">
        <v>4240</v>
      </c>
      <c r="T1450" t="s">
        <v>4241</v>
      </c>
    </row>
    <row r="1451" spans="1:20" x14ac:dyDescent="0.25">
      <c r="A1451" t="str">
        <f>"3039149"</f>
        <v>3039149</v>
      </c>
      <c r="B1451" t="s">
        <v>4244</v>
      </c>
      <c r="C1451" t="str">
        <f>"25140000"</f>
        <v>25140000</v>
      </c>
      <c r="D1451" t="s">
        <v>4245</v>
      </c>
      <c r="F1451" t="s">
        <v>4246</v>
      </c>
      <c r="I1451" t="s">
        <v>29</v>
      </c>
      <c r="J1451" t="s">
        <v>30</v>
      </c>
      <c r="K1451" t="s">
        <v>4247</v>
      </c>
      <c r="M1451" t="s">
        <v>32</v>
      </c>
      <c r="N1451" t="str">
        <f>"3/2/2005 12:00:00 AM"</f>
        <v>3/2/2005 12:00:00 AM</v>
      </c>
      <c r="O1451" t="s">
        <v>4245</v>
      </c>
    </row>
    <row r="1452" spans="1:20" x14ac:dyDescent="0.25">
      <c r="A1452" t="str">
        <f>"3077681"</f>
        <v>3077681</v>
      </c>
      <c r="B1452" t="s">
        <v>4248</v>
      </c>
      <c r="C1452" t="str">
        <f>"2026750"</f>
        <v>2026750</v>
      </c>
      <c r="D1452" t="s">
        <v>4249</v>
      </c>
      <c r="E1452" t="s">
        <v>4250</v>
      </c>
      <c r="F1452" t="s">
        <v>4251</v>
      </c>
      <c r="I1452" t="s">
        <v>29</v>
      </c>
      <c r="J1452" t="s">
        <v>30</v>
      </c>
      <c r="K1452" t="s">
        <v>31</v>
      </c>
      <c r="M1452" t="s">
        <v>32</v>
      </c>
      <c r="N1452" t="str">
        <f>"1/15/2004 12:00:00 AM"</f>
        <v>1/15/2004 12:00:00 AM</v>
      </c>
      <c r="O1452" t="s">
        <v>4249</v>
      </c>
      <c r="T1452" t="s">
        <v>4250</v>
      </c>
    </row>
    <row r="1453" spans="1:20" x14ac:dyDescent="0.25">
      <c r="A1453" t="str">
        <f>"3067276"</f>
        <v>3067276</v>
      </c>
      <c r="B1453" t="s">
        <v>4252</v>
      </c>
      <c r="C1453" t="str">
        <f>"82514549"</f>
        <v>82514549</v>
      </c>
      <c r="D1453" t="s">
        <v>4253</v>
      </c>
      <c r="E1453" t="s">
        <v>4254</v>
      </c>
      <c r="F1453" t="s">
        <v>4255</v>
      </c>
      <c r="I1453" t="s">
        <v>2071</v>
      </c>
      <c r="J1453" t="s">
        <v>30</v>
      </c>
      <c r="K1453" t="s">
        <v>185</v>
      </c>
      <c r="M1453" t="s">
        <v>32</v>
      </c>
      <c r="N1453" t="str">
        <f>"12/12/2008 12:00:00 AM"</f>
        <v>12/12/2008 12:00:00 AM</v>
      </c>
      <c r="O1453" t="s">
        <v>4253</v>
      </c>
      <c r="T1453" t="s">
        <v>4254</v>
      </c>
    </row>
    <row r="1454" spans="1:20" x14ac:dyDescent="0.25">
      <c r="A1454" t="str">
        <f>"3041031"</f>
        <v>3041031</v>
      </c>
      <c r="B1454" t="s">
        <v>4256</v>
      </c>
      <c r="C1454" t="str">
        <f>"35691250"</f>
        <v>35691250</v>
      </c>
      <c r="D1454" t="s">
        <v>4257</v>
      </c>
      <c r="F1454" t="s">
        <v>4258</v>
      </c>
      <c r="G1454" t="s">
        <v>4259</v>
      </c>
      <c r="I1454" t="s">
        <v>2280</v>
      </c>
      <c r="J1454" t="s">
        <v>30</v>
      </c>
      <c r="K1454" t="s">
        <v>4260</v>
      </c>
      <c r="M1454" t="s">
        <v>32</v>
      </c>
      <c r="N1454" t="str">
        <f>"5/14/2003 12:00:00 AM"</f>
        <v>5/14/2003 12:00:00 AM</v>
      </c>
      <c r="O1454" t="s">
        <v>4257</v>
      </c>
    </row>
    <row r="1455" spans="1:20" x14ac:dyDescent="0.25">
      <c r="A1455" t="str">
        <f>"3060697"</f>
        <v>3060697</v>
      </c>
      <c r="B1455" t="s">
        <v>4261</v>
      </c>
      <c r="C1455" t="str">
        <f>"82528311"</f>
        <v>82528311</v>
      </c>
      <c r="D1455" t="s">
        <v>4262</v>
      </c>
      <c r="E1455" t="s">
        <v>4263</v>
      </c>
      <c r="F1455" t="s">
        <v>4264</v>
      </c>
      <c r="I1455" t="s">
        <v>2071</v>
      </c>
      <c r="J1455" t="s">
        <v>30</v>
      </c>
      <c r="K1455" t="s">
        <v>185</v>
      </c>
      <c r="M1455" t="s">
        <v>32</v>
      </c>
      <c r="N1455" t="str">
        <f>"2/9/2010 12:00:00 AM"</f>
        <v>2/9/2010 12:00:00 AM</v>
      </c>
      <c r="O1455" t="s">
        <v>4262</v>
      </c>
      <c r="T1455" t="s">
        <v>4263</v>
      </c>
    </row>
    <row r="1456" spans="1:20" x14ac:dyDescent="0.25">
      <c r="A1456" t="str">
        <f>"3060714"</f>
        <v>3060714</v>
      </c>
      <c r="B1456" t="s">
        <v>4265</v>
      </c>
      <c r="C1456" t="str">
        <f>"82526494"</f>
        <v>82526494</v>
      </c>
      <c r="D1456" t="s">
        <v>4266</v>
      </c>
      <c r="E1456" t="s">
        <v>4267</v>
      </c>
      <c r="F1456" t="s">
        <v>4268</v>
      </c>
      <c r="I1456" t="s">
        <v>2071</v>
      </c>
      <c r="J1456" t="s">
        <v>30</v>
      </c>
      <c r="K1456" t="s">
        <v>4269</v>
      </c>
      <c r="M1456" t="s">
        <v>32</v>
      </c>
      <c r="N1456" t="str">
        <f>"2/13/2007 12:00:00 AM"</f>
        <v>2/13/2007 12:00:00 AM</v>
      </c>
      <c r="O1456" t="s">
        <v>4266</v>
      </c>
      <c r="T1456" t="s">
        <v>4267</v>
      </c>
    </row>
    <row r="1457" spans="1:20" x14ac:dyDescent="0.25">
      <c r="A1457" t="str">
        <f>"3060795"</f>
        <v>3060795</v>
      </c>
      <c r="B1457" t="s">
        <v>4270</v>
      </c>
      <c r="C1457" t="str">
        <f>"82529815"</f>
        <v>82529815</v>
      </c>
      <c r="D1457" t="s">
        <v>4271</v>
      </c>
      <c r="E1457" t="s">
        <v>4272</v>
      </c>
      <c r="F1457" t="s">
        <v>4273</v>
      </c>
      <c r="I1457" t="s">
        <v>2071</v>
      </c>
      <c r="J1457" t="s">
        <v>30</v>
      </c>
      <c r="K1457" t="s">
        <v>185</v>
      </c>
      <c r="M1457" t="s">
        <v>32</v>
      </c>
      <c r="N1457" t="str">
        <f>"1/12/2009 12:00:00 AM"</f>
        <v>1/12/2009 12:00:00 AM</v>
      </c>
      <c r="O1457" t="s">
        <v>4271</v>
      </c>
      <c r="T1457" t="s">
        <v>4272</v>
      </c>
    </row>
    <row r="1458" spans="1:20" x14ac:dyDescent="0.25">
      <c r="A1458" t="str">
        <f>"3058402"</f>
        <v>3058402</v>
      </c>
      <c r="B1458" t="s">
        <v>4274</v>
      </c>
      <c r="C1458" t="str">
        <f>"82527376"</f>
        <v>82527376</v>
      </c>
      <c r="D1458" t="s">
        <v>4275</v>
      </c>
      <c r="E1458" t="s">
        <v>4276</v>
      </c>
      <c r="F1458" t="s">
        <v>4277</v>
      </c>
      <c r="I1458" t="s">
        <v>2071</v>
      </c>
      <c r="J1458" t="s">
        <v>30</v>
      </c>
      <c r="K1458" t="s">
        <v>185</v>
      </c>
      <c r="M1458" t="s">
        <v>32</v>
      </c>
      <c r="N1458" t="str">
        <f>"1/5/2007 12:00:00 AM"</f>
        <v>1/5/2007 12:00:00 AM</v>
      </c>
      <c r="O1458" t="s">
        <v>4275</v>
      </c>
      <c r="T1458" t="s">
        <v>4276</v>
      </c>
    </row>
    <row r="1459" spans="1:20" x14ac:dyDescent="0.25">
      <c r="A1459" t="str">
        <f>"3038938"</f>
        <v>3038938</v>
      </c>
      <c r="B1459" t="s">
        <v>4278</v>
      </c>
      <c r="C1459" t="str">
        <f>"82519702"</f>
        <v>82519702</v>
      </c>
      <c r="D1459" t="s">
        <v>4279</v>
      </c>
      <c r="F1459" t="s">
        <v>4280</v>
      </c>
      <c r="I1459" t="s">
        <v>29</v>
      </c>
      <c r="J1459" t="s">
        <v>30</v>
      </c>
      <c r="K1459" t="s">
        <v>31</v>
      </c>
      <c r="M1459" t="s">
        <v>32</v>
      </c>
      <c r="N1459" t="str">
        <f>"11/6/2002 12:00:00 AM"</f>
        <v>11/6/2002 12:00:00 AM</v>
      </c>
      <c r="O1459" t="s">
        <v>4279</v>
      </c>
    </row>
    <row r="1460" spans="1:20" x14ac:dyDescent="0.25">
      <c r="A1460" t="str">
        <f>"3077077"</f>
        <v>3077077</v>
      </c>
      <c r="B1460" t="s">
        <v>4281</v>
      </c>
      <c r="C1460" t="str">
        <f>"44692000"</f>
        <v>44692000</v>
      </c>
      <c r="D1460" t="s">
        <v>4282</v>
      </c>
      <c r="F1460" t="s">
        <v>4283</v>
      </c>
      <c r="I1460" t="s">
        <v>29</v>
      </c>
      <c r="J1460" t="s">
        <v>30</v>
      </c>
      <c r="K1460" t="s">
        <v>4284</v>
      </c>
      <c r="M1460" t="s">
        <v>32</v>
      </c>
      <c r="N1460" t="str">
        <f>"2/10/2005 12:00:00 AM"</f>
        <v>2/10/2005 12:00:00 AM</v>
      </c>
      <c r="O1460" t="s">
        <v>4282</v>
      </c>
    </row>
    <row r="1461" spans="1:20" x14ac:dyDescent="0.25">
      <c r="A1461" t="str">
        <f>"3075108"</f>
        <v>3075108</v>
      </c>
      <c r="B1461" t="s">
        <v>4285</v>
      </c>
      <c r="C1461" t="str">
        <f>"44692000"</f>
        <v>44692000</v>
      </c>
      <c r="D1461" t="s">
        <v>4282</v>
      </c>
      <c r="F1461" t="s">
        <v>4283</v>
      </c>
      <c r="I1461" t="s">
        <v>29</v>
      </c>
      <c r="J1461" t="s">
        <v>30</v>
      </c>
      <c r="K1461" t="s">
        <v>4284</v>
      </c>
      <c r="M1461" t="s">
        <v>32</v>
      </c>
      <c r="N1461" t="str">
        <f>"2/10/2005 12:00:00 AM"</f>
        <v>2/10/2005 12:00:00 AM</v>
      </c>
      <c r="O1461" t="s">
        <v>4282</v>
      </c>
    </row>
    <row r="1462" spans="1:20" x14ac:dyDescent="0.25">
      <c r="A1462" t="str">
        <f>"3075085"</f>
        <v>3075085</v>
      </c>
      <c r="B1462" t="s">
        <v>4286</v>
      </c>
      <c r="C1462" t="str">
        <f>"44692000"</f>
        <v>44692000</v>
      </c>
      <c r="D1462" t="s">
        <v>4282</v>
      </c>
      <c r="F1462" t="s">
        <v>4283</v>
      </c>
      <c r="I1462" t="s">
        <v>29</v>
      </c>
      <c r="J1462" t="s">
        <v>30</v>
      </c>
      <c r="K1462" t="s">
        <v>4284</v>
      </c>
      <c r="M1462" t="s">
        <v>32</v>
      </c>
      <c r="N1462" t="str">
        <f>"2/10/2005 12:00:00 AM"</f>
        <v>2/10/2005 12:00:00 AM</v>
      </c>
      <c r="O1462" t="s">
        <v>4282</v>
      </c>
    </row>
    <row r="1463" spans="1:20" x14ac:dyDescent="0.25">
      <c r="A1463" t="str">
        <f>"3038725"</f>
        <v>3038725</v>
      </c>
      <c r="B1463" t="s">
        <v>4287</v>
      </c>
      <c r="C1463" t="str">
        <f>"31980000"</f>
        <v>31980000</v>
      </c>
      <c r="D1463" t="s">
        <v>4288</v>
      </c>
      <c r="E1463" t="s">
        <v>4289</v>
      </c>
      <c r="F1463" t="s">
        <v>4290</v>
      </c>
      <c r="I1463" t="s">
        <v>29</v>
      </c>
      <c r="J1463" t="s">
        <v>30</v>
      </c>
      <c r="K1463" t="s">
        <v>31</v>
      </c>
      <c r="M1463" t="s">
        <v>32</v>
      </c>
      <c r="N1463" t="str">
        <f>"9/11/2003 12:00:00 AM"</f>
        <v>9/11/2003 12:00:00 AM</v>
      </c>
      <c r="O1463" t="s">
        <v>4288</v>
      </c>
      <c r="T1463" t="s">
        <v>4289</v>
      </c>
    </row>
    <row r="1464" spans="1:20" x14ac:dyDescent="0.25">
      <c r="A1464" t="str">
        <f>"3039059"</f>
        <v>3039059</v>
      </c>
      <c r="B1464" t="s">
        <v>4291</v>
      </c>
      <c r="C1464" t="str">
        <f>"82516388"</f>
        <v>82516388</v>
      </c>
      <c r="D1464" t="s">
        <v>4292</v>
      </c>
      <c r="E1464" t="s">
        <v>4293</v>
      </c>
      <c r="F1464" t="s">
        <v>4294</v>
      </c>
      <c r="I1464" t="s">
        <v>29</v>
      </c>
      <c r="J1464" t="s">
        <v>30</v>
      </c>
      <c r="K1464" t="s">
        <v>31</v>
      </c>
      <c r="M1464" t="s">
        <v>32</v>
      </c>
      <c r="N1464" t="str">
        <f>"5/23/2005 12:00:00 AM"</f>
        <v>5/23/2005 12:00:00 AM</v>
      </c>
      <c r="O1464" t="s">
        <v>4292</v>
      </c>
      <c r="T1464" t="s">
        <v>4293</v>
      </c>
    </row>
    <row r="1465" spans="1:20" x14ac:dyDescent="0.25">
      <c r="A1465" t="str">
        <f>"3068058"</f>
        <v>3068058</v>
      </c>
      <c r="B1465" t="s">
        <v>4295</v>
      </c>
      <c r="C1465" t="str">
        <f>"82520292"</f>
        <v>82520292</v>
      </c>
      <c r="D1465" t="s">
        <v>4296</v>
      </c>
      <c r="E1465" t="s">
        <v>4297</v>
      </c>
      <c r="F1465" t="s">
        <v>4298</v>
      </c>
      <c r="I1465" t="s">
        <v>29</v>
      </c>
      <c r="J1465" t="s">
        <v>30</v>
      </c>
      <c r="K1465" t="s">
        <v>31</v>
      </c>
      <c r="M1465" t="s">
        <v>32</v>
      </c>
      <c r="N1465" t="str">
        <f>"3/8/2004 12:00:00 AM"</f>
        <v>3/8/2004 12:00:00 AM</v>
      </c>
      <c r="O1465" t="s">
        <v>4296</v>
      </c>
      <c r="T1465" t="s">
        <v>4297</v>
      </c>
    </row>
    <row r="1466" spans="1:20" x14ac:dyDescent="0.25">
      <c r="A1466" t="str">
        <f>"3069623"</f>
        <v>3069623</v>
      </c>
      <c r="B1466" t="s">
        <v>4299</v>
      </c>
      <c r="C1466" t="str">
        <f>"42830000"</f>
        <v>42830000</v>
      </c>
      <c r="D1466" t="s">
        <v>4300</v>
      </c>
      <c r="E1466" t="s">
        <v>4301</v>
      </c>
      <c r="F1466" t="s">
        <v>4302</v>
      </c>
      <c r="I1466" t="s">
        <v>29</v>
      </c>
      <c r="J1466" t="s">
        <v>30</v>
      </c>
      <c r="K1466" t="s">
        <v>4303</v>
      </c>
      <c r="M1466" t="s">
        <v>32</v>
      </c>
      <c r="N1466" t="str">
        <f>"1/26/2007 12:00:00 AM"</f>
        <v>1/26/2007 12:00:00 AM</v>
      </c>
      <c r="O1466" t="s">
        <v>4300</v>
      </c>
      <c r="T1466" t="s">
        <v>4301</v>
      </c>
    </row>
    <row r="1467" spans="1:20" x14ac:dyDescent="0.25">
      <c r="A1467" t="str">
        <f>"3060933"</f>
        <v>3060933</v>
      </c>
      <c r="B1467" t="s">
        <v>4304</v>
      </c>
      <c r="C1467" t="str">
        <f>"43595500"</f>
        <v>43595500</v>
      </c>
      <c r="D1467" t="s">
        <v>4305</v>
      </c>
      <c r="E1467" t="s">
        <v>4306</v>
      </c>
      <c r="F1467" t="s">
        <v>4307</v>
      </c>
      <c r="I1467" t="s">
        <v>2071</v>
      </c>
      <c r="J1467" t="s">
        <v>30</v>
      </c>
      <c r="K1467" t="s">
        <v>4308</v>
      </c>
      <c r="M1467" t="s">
        <v>32</v>
      </c>
      <c r="N1467" t="str">
        <f>"8/24/2006 12:00:00 AM"</f>
        <v>8/24/2006 12:00:00 AM</v>
      </c>
      <c r="O1467" t="s">
        <v>4305</v>
      </c>
      <c r="T1467" t="s">
        <v>4306</v>
      </c>
    </row>
    <row r="1468" spans="1:20" x14ac:dyDescent="0.25">
      <c r="A1468" t="str">
        <f>"3037871"</f>
        <v>3037871</v>
      </c>
      <c r="B1468" t="s">
        <v>4309</v>
      </c>
      <c r="C1468" t="str">
        <f>"82518328"</f>
        <v>82518328</v>
      </c>
      <c r="D1468" t="s">
        <v>4310</v>
      </c>
      <c r="E1468" t="s">
        <v>4311</v>
      </c>
      <c r="F1468" t="s">
        <v>4312</v>
      </c>
      <c r="I1468" t="s">
        <v>29</v>
      </c>
      <c r="J1468" t="s">
        <v>30</v>
      </c>
      <c r="K1468" t="s">
        <v>4303</v>
      </c>
      <c r="M1468" t="s">
        <v>32</v>
      </c>
      <c r="N1468" t="str">
        <f>"1/30/2003 12:00:00 AM"</f>
        <v>1/30/2003 12:00:00 AM</v>
      </c>
      <c r="O1468" t="s">
        <v>4310</v>
      </c>
      <c r="T1468" t="s">
        <v>4311</v>
      </c>
    </row>
    <row r="1469" spans="1:20" x14ac:dyDescent="0.25">
      <c r="A1469" t="str">
        <f>"3037937"</f>
        <v>3037937</v>
      </c>
      <c r="B1469" t="s">
        <v>4313</v>
      </c>
      <c r="C1469" t="str">
        <f>"82525156"</f>
        <v>82525156</v>
      </c>
      <c r="D1469" t="s">
        <v>4314</v>
      </c>
      <c r="F1469" t="s">
        <v>4315</v>
      </c>
      <c r="I1469" t="s">
        <v>184</v>
      </c>
      <c r="J1469" t="s">
        <v>30</v>
      </c>
      <c r="K1469" t="s">
        <v>185</v>
      </c>
      <c r="M1469" t="s">
        <v>32</v>
      </c>
      <c r="N1469" t="str">
        <f>"1/15/2009 12:00:00 AM"</f>
        <v>1/15/2009 12:00:00 AM</v>
      </c>
      <c r="O1469" t="s">
        <v>4314</v>
      </c>
    </row>
    <row r="1470" spans="1:20" x14ac:dyDescent="0.25">
      <c r="A1470" t="str">
        <f>"3037837"</f>
        <v>3037837</v>
      </c>
      <c r="B1470" t="s">
        <v>4316</v>
      </c>
      <c r="C1470" t="str">
        <f>"44700000"</f>
        <v>44700000</v>
      </c>
      <c r="D1470" t="s">
        <v>4282</v>
      </c>
      <c r="E1470" t="s">
        <v>4317</v>
      </c>
      <c r="F1470" t="s">
        <v>4283</v>
      </c>
      <c r="I1470" t="s">
        <v>29</v>
      </c>
      <c r="J1470" t="s">
        <v>30</v>
      </c>
      <c r="K1470" t="s">
        <v>4284</v>
      </c>
      <c r="M1470" t="s">
        <v>32</v>
      </c>
      <c r="N1470" t="str">
        <f>"7/10/2006 12:00:00 AM"</f>
        <v>7/10/2006 12:00:00 AM</v>
      </c>
      <c r="O1470" t="s">
        <v>4282</v>
      </c>
      <c r="T1470" t="s">
        <v>4317</v>
      </c>
    </row>
    <row r="1471" spans="1:20" x14ac:dyDescent="0.25">
      <c r="A1471" t="str">
        <f>"3038136"</f>
        <v>3038136</v>
      </c>
      <c r="B1471" t="s">
        <v>4318</v>
      </c>
      <c r="C1471" t="str">
        <f>"44696000"</f>
        <v>44696000</v>
      </c>
      <c r="D1471" t="s">
        <v>4282</v>
      </c>
      <c r="E1471" t="s">
        <v>4319</v>
      </c>
      <c r="F1471" t="s">
        <v>4283</v>
      </c>
      <c r="I1471" t="s">
        <v>29</v>
      </c>
      <c r="J1471" t="s">
        <v>30</v>
      </c>
      <c r="K1471" t="s">
        <v>31</v>
      </c>
      <c r="M1471" t="s">
        <v>32</v>
      </c>
      <c r="N1471" t="str">
        <f>"4/25/2002 12:00:00 AM"</f>
        <v>4/25/2002 12:00:00 AM</v>
      </c>
      <c r="O1471" t="s">
        <v>4282</v>
      </c>
      <c r="T1471" t="s">
        <v>4319</v>
      </c>
    </row>
    <row r="1472" spans="1:20" x14ac:dyDescent="0.25">
      <c r="A1472" t="str">
        <f>"3038786"</f>
        <v>3038786</v>
      </c>
      <c r="B1472" t="s">
        <v>4320</v>
      </c>
      <c r="C1472" t="str">
        <f>"44696000"</f>
        <v>44696000</v>
      </c>
      <c r="D1472" t="s">
        <v>4282</v>
      </c>
      <c r="E1472" t="s">
        <v>4319</v>
      </c>
      <c r="F1472" t="s">
        <v>4283</v>
      </c>
      <c r="I1472" t="s">
        <v>29</v>
      </c>
      <c r="J1472" t="s">
        <v>30</v>
      </c>
      <c r="K1472" t="s">
        <v>31</v>
      </c>
      <c r="M1472" t="s">
        <v>32</v>
      </c>
      <c r="N1472" t="str">
        <f>"4/25/2002 12:00:00 AM"</f>
        <v>4/25/2002 12:00:00 AM</v>
      </c>
      <c r="O1472" t="s">
        <v>4282</v>
      </c>
      <c r="T1472" t="s">
        <v>4319</v>
      </c>
    </row>
    <row r="1473" spans="1:20" x14ac:dyDescent="0.25">
      <c r="A1473" t="str">
        <f>"3075084"</f>
        <v>3075084</v>
      </c>
      <c r="B1473" t="s">
        <v>4321</v>
      </c>
      <c r="C1473" t="str">
        <f>"82528165"</f>
        <v>82528165</v>
      </c>
      <c r="D1473" t="s">
        <v>4322</v>
      </c>
      <c r="E1473" t="s">
        <v>4323</v>
      </c>
      <c r="F1473" t="s">
        <v>4324</v>
      </c>
      <c r="I1473" t="s">
        <v>29</v>
      </c>
      <c r="J1473" t="s">
        <v>30</v>
      </c>
      <c r="K1473" t="s">
        <v>31</v>
      </c>
      <c r="M1473" t="s">
        <v>32</v>
      </c>
      <c r="N1473" t="str">
        <f>"6/13/2007 12:00:00 AM"</f>
        <v>6/13/2007 12:00:00 AM</v>
      </c>
      <c r="O1473" t="s">
        <v>4322</v>
      </c>
      <c r="T1473" t="s">
        <v>4323</v>
      </c>
    </row>
    <row r="1474" spans="1:20" x14ac:dyDescent="0.25">
      <c r="A1474" t="str">
        <f>"3038797"</f>
        <v>3038797</v>
      </c>
      <c r="B1474" t="s">
        <v>4325</v>
      </c>
      <c r="C1474" t="str">
        <f>"80288000"</f>
        <v>80288000</v>
      </c>
      <c r="D1474" t="s">
        <v>4326</v>
      </c>
      <c r="E1474" t="s">
        <v>4327</v>
      </c>
      <c r="F1474" t="s">
        <v>4328</v>
      </c>
      <c r="I1474" t="s">
        <v>29</v>
      </c>
      <c r="J1474" t="s">
        <v>30</v>
      </c>
      <c r="K1474" t="s">
        <v>31</v>
      </c>
      <c r="M1474" t="s">
        <v>32</v>
      </c>
      <c r="N1474" t="str">
        <f>"7/16/2004 12:00:00 AM"</f>
        <v>7/16/2004 12:00:00 AM</v>
      </c>
      <c r="O1474" t="s">
        <v>4326</v>
      </c>
      <c r="T1474" t="s">
        <v>4327</v>
      </c>
    </row>
    <row r="1475" spans="1:20" x14ac:dyDescent="0.25">
      <c r="A1475" t="str">
        <f>"3076982"</f>
        <v>3076982</v>
      </c>
      <c r="B1475" t="s">
        <v>4329</v>
      </c>
      <c r="C1475" t="str">
        <f>"82519480"</f>
        <v>82519480</v>
      </c>
      <c r="D1475" t="s">
        <v>4330</v>
      </c>
      <c r="F1475" t="s">
        <v>4331</v>
      </c>
      <c r="I1475" t="s">
        <v>1149</v>
      </c>
      <c r="J1475" t="s">
        <v>30</v>
      </c>
      <c r="K1475" t="s">
        <v>1150</v>
      </c>
      <c r="M1475" t="s">
        <v>32</v>
      </c>
      <c r="N1475" t="str">
        <f>"9/20/2002 12:00:00 AM"</f>
        <v>9/20/2002 12:00:00 AM</v>
      </c>
      <c r="O1475" t="s">
        <v>4330</v>
      </c>
    </row>
    <row r="1476" spans="1:20" x14ac:dyDescent="0.25">
      <c r="A1476" t="str">
        <f>"3038713"</f>
        <v>3038713</v>
      </c>
      <c r="B1476" t="s">
        <v>4332</v>
      </c>
      <c r="C1476" t="str">
        <f>"26368000"</f>
        <v>26368000</v>
      </c>
      <c r="D1476" t="s">
        <v>4333</v>
      </c>
      <c r="E1476" t="s">
        <v>4334</v>
      </c>
      <c r="F1476" t="s">
        <v>4335</v>
      </c>
      <c r="I1476" t="s">
        <v>29</v>
      </c>
      <c r="J1476" t="s">
        <v>30</v>
      </c>
      <c r="K1476" t="s">
        <v>31</v>
      </c>
      <c r="M1476" t="s">
        <v>32</v>
      </c>
      <c r="N1476" t="str">
        <f>"7/26/2002 12:00:00 AM"</f>
        <v>7/26/2002 12:00:00 AM</v>
      </c>
      <c r="O1476" t="s">
        <v>4333</v>
      </c>
      <c r="T1476" t="s">
        <v>4334</v>
      </c>
    </row>
    <row r="1477" spans="1:20" x14ac:dyDescent="0.25">
      <c r="A1477" t="str">
        <f>"3038761"</f>
        <v>3038761</v>
      </c>
      <c r="B1477" t="s">
        <v>4336</v>
      </c>
      <c r="C1477" t="str">
        <f>"26368000"</f>
        <v>26368000</v>
      </c>
      <c r="D1477" t="s">
        <v>4333</v>
      </c>
      <c r="E1477" t="s">
        <v>4334</v>
      </c>
      <c r="F1477" t="s">
        <v>4335</v>
      </c>
      <c r="I1477" t="s">
        <v>29</v>
      </c>
      <c r="J1477" t="s">
        <v>30</v>
      </c>
      <c r="K1477" t="s">
        <v>31</v>
      </c>
      <c r="M1477" t="s">
        <v>32</v>
      </c>
      <c r="N1477" t="str">
        <f>"7/26/2002 12:00:00 AM"</f>
        <v>7/26/2002 12:00:00 AM</v>
      </c>
      <c r="O1477" t="s">
        <v>4333</v>
      </c>
      <c r="T1477" t="s">
        <v>4334</v>
      </c>
    </row>
    <row r="1478" spans="1:20" x14ac:dyDescent="0.25">
      <c r="A1478" t="str">
        <f>"3037964"</f>
        <v>3037964</v>
      </c>
      <c r="B1478" t="s">
        <v>4337</v>
      </c>
      <c r="C1478" t="str">
        <f>"26368000"</f>
        <v>26368000</v>
      </c>
      <c r="D1478" t="s">
        <v>4333</v>
      </c>
      <c r="E1478" t="s">
        <v>4334</v>
      </c>
      <c r="F1478" t="s">
        <v>4335</v>
      </c>
      <c r="I1478" t="s">
        <v>29</v>
      </c>
      <c r="J1478" t="s">
        <v>30</v>
      </c>
      <c r="K1478" t="s">
        <v>31</v>
      </c>
      <c r="M1478" t="s">
        <v>32</v>
      </c>
      <c r="N1478" t="str">
        <f>"7/26/2002 12:00:00 AM"</f>
        <v>7/26/2002 12:00:00 AM</v>
      </c>
      <c r="O1478" t="s">
        <v>4333</v>
      </c>
      <c r="T1478" t="s">
        <v>4334</v>
      </c>
    </row>
    <row r="1479" spans="1:20" x14ac:dyDescent="0.25">
      <c r="A1479" t="str">
        <f>"3046705"</f>
        <v>3046705</v>
      </c>
      <c r="B1479" t="s">
        <v>4338</v>
      </c>
      <c r="C1479" t="str">
        <f>"26368000"</f>
        <v>26368000</v>
      </c>
      <c r="D1479" t="s">
        <v>4333</v>
      </c>
      <c r="E1479" t="s">
        <v>4334</v>
      </c>
      <c r="F1479" t="s">
        <v>4335</v>
      </c>
      <c r="I1479" t="s">
        <v>29</v>
      </c>
      <c r="J1479" t="s">
        <v>30</v>
      </c>
      <c r="K1479" t="s">
        <v>31</v>
      </c>
      <c r="M1479" t="s">
        <v>32</v>
      </c>
      <c r="N1479" t="str">
        <f>"7/26/2002 12:00:00 AM"</f>
        <v>7/26/2002 12:00:00 AM</v>
      </c>
      <c r="O1479" t="s">
        <v>4333</v>
      </c>
      <c r="T1479" t="s">
        <v>4334</v>
      </c>
    </row>
    <row r="1480" spans="1:20" x14ac:dyDescent="0.25">
      <c r="A1480" t="str">
        <f>"3038837"</f>
        <v>3038837</v>
      </c>
      <c r="B1480" t="s">
        <v>4339</v>
      </c>
      <c r="C1480" t="str">
        <f>"40732000"</f>
        <v>40732000</v>
      </c>
      <c r="D1480" t="s">
        <v>4340</v>
      </c>
      <c r="E1480" t="s">
        <v>4341</v>
      </c>
      <c r="F1480" t="s">
        <v>4342</v>
      </c>
      <c r="I1480" t="s">
        <v>29</v>
      </c>
      <c r="J1480" t="s">
        <v>30</v>
      </c>
      <c r="K1480" t="s">
        <v>4343</v>
      </c>
      <c r="M1480" t="s">
        <v>32</v>
      </c>
      <c r="N1480" t="str">
        <f>"1/24/2007 12:00:00 AM"</f>
        <v>1/24/2007 12:00:00 AM</v>
      </c>
      <c r="O1480" t="s">
        <v>4340</v>
      </c>
      <c r="T1480" t="s">
        <v>4341</v>
      </c>
    </row>
    <row r="1481" spans="1:20" x14ac:dyDescent="0.25">
      <c r="A1481" t="str">
        <f>"3038829"</f>
        <v>3038829</v>
      </c>
      <c r="B1481" t="s">
        <v>4344</v>
      </c>
      <c r="C1481" t="str">
        <f>"62412000"</f>
        <v>62412000</v>
      </c>
      <c r="D1481" t="s">
        <v>4345</v>
      </c>
      <c r="E1481" t="s">
        <v>4346</v>
      </c>
      <c r="F1481" t="s">
        <v>4347</v>
      </c>
      <c r="I1481" t="s">
        <v>29</v>
      </c>
      <c r="J1481" t="s">
        <v>30</v>
      </c>
      <c r="K1481" t="s">
        <v>31</v>
      </c>
      <c r="M1481" t="s">
        <v>32</v>
      </c>
      <c r="N1481" t="str">
        <f>"9/29/2005 12:00:00 AM"</f>
        <v>9/29/2005 12:00:00 AM</v>
      </c>
      <c r="O1481" t="s">
        <v>4345</v>
      </c>
      <c r="T1481" t="s">
        <v>4346</v>
      </c>
    </row>
    <row r="1482" spans="1:20" x14ac:dyDescent="0.25">
      <c r="A1482" t="str">
        <f>"3038817"</f>
        <v>3038817</v>
      </c>
      <c r="B1482" t="s">
        <v>4348</v>
      </c>
      <c r="C1482" t="str">
        <f>"64988000"</f>
        <v>64988000</v>
      </c>
      <c r="D1482" t="s">
        <v>4349</v>
      </c>
      <c r="F1482" t="s">
        <v>4350</v>
      </c>
      <c r="I1482" t="s">
        <v>29</v>
      </c>
      <c r="J1482" t="s">
        <v>30</v>
      </c>
      <c r="K1482" t="s">
        <v>31</v>
      </c>
      <c r="M1482" t="s">
        <v>32</v>
      </c>
      <c r="N1482" t="str">
        <f>"5/3/2004 12:00:00 AM"</f>
        <v>5/3/2004 12:00:00 AM</v>
      </c>
      <c r="O1482" t="s">
        <v>4349</v>
      </c>
    </row>
    <row r="1483" spans="1:20" x14ac:dyDescent="0.25">
      <c r="A1483" t="str">
        <f>"3042725"</f>
        <v>3042725</v>
      </c>
      <c r="B1483" t="s">
        <v>4351</v>
      </c>
      <c r="C1483" t="str">
        <f>"82519452"</f>
        <v>82519452</v>
      </c>
      <c r="D1483" t="s">
        <v>4352</v>
      </c>
      <c r="F1483" t="s">
        <v>4353</v>
      </c>
      <c r="I1483" t="s">
        <v>29</v>
      </c>
      <c r="J1483" t="s">
        <v>30</v>
      </c>
      <c r="K1483" t="s">
        <v>4354</v>
      </c>
      <c r="M1483" t="s">
        <v>32</v>
      </c>
      <c r="N1483" t="str">
        <f>"2/15/2005 12:00:00 AM"</f>
        <v>2/15/2005 12:00:00 AM</v>
      </c>
      <c r="O1483" t="s">
        <v>4352</v>
      </c>
    </row>
    <row r="1484" spans="1:20" x14ac:dyDescent="0.25">
      <c r="A1484" t="str">
        <f>"3042688"</f>
        <v>3042688</v>
      </c>
      <c r="B1484" t="s">
        <v>4355</v>
      </c>
      <c r="C1484" t="str">
        <f>"78708000"</f>
        <v>78708000</v>
      </c>
      <c r="D1484" t="s">
        <v>4356</v>
      </c>
      <c r="E1484" t="s">
        <v>4357</v>
      </c>
      <c r="F1484" t="s">
        <v>4358</v>
      </c>
      <c r="I1484" t="s">
        <v>29</v>
      </c>
      <c r="J1484" t="s">
        <v>30</v>
      </c>
      <c r="K1484" t="s">
        <v>4354</v>
      </c>
      <c r="M1484" t="s">
        <v>32</v>
      </c>
      <c r="N1484" t="str">
        <f>"1/9/2006 12:00:00 AM"</f>
        <v>1/9/2006 12:00:00 AM</v>
      </c>
      <c r="O1484" t="s">
        <v>4356</v>
      </c>
      <c r="T1484" t="s">
        <v>4357</v>
      </c>
    </row>
    <row r="1485" spans="1:20" x14ac:dyDescent="0.25">
      <c r="A1485" t="str">
        <f>"3042713"</f>
        <v>3042713</v>
      </c>
      <c r="B1485" t="s">
        <v>4359</v>
      </c>
      <c r="C1485" t="str">
        <f>"62396000"</f>
        <v>62396000</v>
      </c>
      <c r="D1485" t="s">
        <v>4360</v>
      </c>
      <c r="E1485" t="s">
        <v>4361</v>
      </c>
      <c r="F1485" t="s">
        <v>4362</v>
      </c>
      <c r="I1485" t="s">
        <v>29</v>
      </c>
      <c r="J1485" t="s">
        <v>30</v>
      </c>
      <c r="K1485" t="s">
        <v>31</v>
      </c>
      <c r="M1485" t="s">
        <v>32</v>
      </c>
      <c r="N1485" t="str">
        <f>"4/23/2004 12:00:00 AM"</f>
        <v>4/23/2004 12:00:00 AM</v>
      </c>
      <c r="O1485" t="s">
        <v>4360</v>
      </c>
      <c r="T1485" t="s">
        <v>4361</v>
      </c>
    </row>
    <row r="1486" spans="1:20" x14ac:dyDescent="0.25">
      <c r="A1486" t="str">
        <f>"3043060"</f>
        <v>3043060</v>
      </c>
      <c r="B1486" t="s">
        <v>4363</v>
      </c>
      <c r="C1486" t="str">
        <f>"56942000"</f>
        <v>56942000</v>
      </c>
      <c r="D1486" t="s">
        <v>4364</v>
      </c>
      <c r="E1486" t="s">
        <v>4365</v>
      </c>
      <c r="F1486" t="s">
        <v>4366</v>
      </c>
      <c r="I1486" t="s">
        <v>29</v>
      </c>
      <c r="J1486" t="s">
        <v>30</v>
      </c>
      <c r="K1486" t="s">
        <v>31</v>
      </c>
      <c r="M1486" t="s">
        <v>32</v>
      </c>
      <c r="N1486" t="str">
        <f>"4/25/2002 12:00:00 AM"</f>
        <v>4/25/2002 12:00:00 AM</v>
      </c>
      <c r="O1486" t="s">
        <v>4364</v>
      </c>
      <c r="T1486" t="s">
        <v>4365</v>
      </c>
    </row>
    <row r="1487" spans="1:20" x14ac:dyDescent="0.25">
      <c r="A1487" t="str">
        <f>"3076985"</f>
        <v>3076985</v>
      </c>
      <c r="B1487" t="s">
        <v>4367</v>
      </c>
      <c r="C1487" t="str">
        <f>"74020000"</f>
        <v>74020000</v>
      </c>
      <c r="D1487" t="s">
        <v>4047</v>
      </c>
      <c r="E1487" t="s">
        <v>4048</v>
      </c>
      <c r="F1487" t="s">
        <v>4049</v>
      </c>
      <c r="I1487" t="s">
        <v>29</v>
      </c>
      <c r="J1487" t="s">
        <v>30</v>
      </c>
      <c r="K1487" t="s">
        <v>4050</v>
      </c>
      <c r="M1487" t="s">
        <v>32</v>
      </c>
      <c r="N1487" t="str">
        <f>"1/20/2010 12:00:00 AM"</f>
        <v>1/20/2010 12:00:00 AM</v>
      </c>
      <c r="O1487" t="s">
        <v>4047</v>
      </c>
      <c r="T1487" t="s">
        <v>4048</v>
      </c>
    </row>
    <row r="1488" spans="1:20" x14ac:dyDescent="0.25">
      <c r="A1488" t="str">
        <f>"3042676"</f>
        <v>3042676</v>
      </c>
      <c r="B1488" t="s">
        <v>4368</v>
      </c>
      <c r="C1488" t="str">
        <f>"82529788"</f>
        <v>82529788</v>
      </c>
      <c r="D1488" t="s">
        <v>4369</v>
      </c>
      <c r="E1488" t="s">
        <v>4370</v>
      </c>
      <c r="F1488" t="s">
        <v>4371</v>
      </c>
      <c r="I1488" t="s">
        <v>29</v>
      </c>
      <c r="J1488" t="s">
        <v>30</v>
      </c>
      <c r="K1488" t="s">
        <v>31</v>
      </c>
      <c r="M1488" t="s">
        <v>32</v>
      </c>
      <c r="N1488" t="str">
        <f>"11/8/2010 12:00:00 AM"</f>
        <v>11/8/2010 12:00:00 AM</v>
      </c>
      <c r="O1488" t="s">
        <v>4369</v>
      </c>
      <c r="T1488" t="s">
        <v>4370</v>
      </c>
    </row>
    <row r="1489" spans="1:20" x14ac:dyDescent="0.25">
      <c r="A1489" t="str">
        <f>"3042784"</f>
        <v>3042784</v>
      </c>
      <c r="B1489" t="s">
        <v>4372</v>
      </c>
      <c r="C1489" t="str">
        <f>"25164000"</f>
        <v>25164000</v>
      </c>
      <c r="D1489" t="s">
        <v>4373</v>
      </c>
      <c r="E1489" t="s">
        <v>4374</v>
      </c>
      <c r="F1489" t="s">
        <v>4375</v>
      </c>
      <c r="I1489" t="s">
        <v>29</v>
      </c>
      <c r="J1489" t="s">
        <v>30</v>
      </c>
      <c r="K1489" t="s">
        <v>4376</v>
      </c>
      <c r="M1489" t="s">
        <v>32</v>
      </c>
      <c r="N1489" t="str">
        <f>"1/24/2005 12:00:00 AM"</f>
        <v>1/24/2005 12:00:00 AM</v>
      </c>
      <c r="O1489" t="s">
        <v>4373</v>
      </c>
      <c r="T1489" t="s">
        <v>4374</v>
      </c>
    </row>
    <row r="1490" spans="1:20" x14ac:dyDescent="0.25">
      <c r="A1490" t="str">
        <f>"3077004"</f>
        <v>3077004</v>
      </c>
      <c r="B1490" t="s">
        <v>4377</v>
      </c>
      <c r="C1490" t="str">
        <f>"23085000"</f>
        <v>23085000</v>
      </c>
      <c r="D1490" t="s">
        <v>4378</v>
      </c>
      <c r="F1490" t="s">
        <v>4379</v>
      </c>
      <c r="I1490" t="s">
        <v>29</v>
      </c>
      <c r="J1490" t="s">
        <v>30</v>
      </c>
      <c r="K1490" t="s">
        <v>31</v>
      </c>
      <c r="M1490" t="s">
        <v>32</v>
      </c>
      <c r="N1490" t="str">
        <f>"4/24/2002 12:00:00 AM"</f>
        <v>4/24/2002 12:00:00 AM</v>
      </c>
      <c r="O1490" t="s">
        <v>4378</v>
      </c>
    </row>
    <row r="1491" spans="1:20" x14ac:dyDescent="0.25">
      <c r="A1491" t="str">
        <f>"3038163"</f>
        <v>3038163</v>
      </c>
      <c r="B1491" t="s">
        <v>4380</v>
      </c>
      <c r="C1491" t="str">
        <f>"39116000"</f>
        <v>39116000</v>
      </c>
      <c r="D1491" t="s">
        <v>4381</v>
      </c>
      <c r="E1491" t="s">
        <v>4382</v>
      </c>
      <c r="F1491" t="s">
        <v>4383</v>
      </c>
      <c r="I1491" t="s">
        <v>29</v>
      </c>
      <c r="J1491" t="s">
        <v>30</v>
      </c>
      <c r="K1491" t="s">
        <v>4384</v>
      </c>
      <c r="M1491" t="s">
        <v>32</v>
      </c>
      <c r="N1491" t="str">
        <f>"2/5/2010 12:00:00 AM"</f>
        <v>2/5/2010 12:00:00 AM</v>
      </c>
      <c r="O1491" t="s">
        <v>4381</v>
      </c>
      <c r="T1491" t="s">
        <v>4382</v>
      </c>
    </row>
    <row r="1492" spans="1:20" x14ac:dyDescent="0.25">
      <c r="A1492" t="str">
        <f>"3070922"</f>
        <v>3070922</v>
      </c>
      <c r="B1492" t="s">
        <v>4385</v>
      </c>
      <c r="C1492" t="str">
        <f>"39116000"</f>
        <v>39116000</v>
      </c>
      <c r="D1492" t="s">
        <v>4381</v>
      </c>
      <c r="E1492" t="s">
        <v>4382</v>
      </c>
      <c r="F1492" t="s">
        <v>4383</v>
      </c>
      <c r="I1492" t="s">
        <v>29</v>
      </c>
      <c r="J1492" t="s">
        <v>30</v>
      </c>
      <c r="K1492" t="s">
        <v>4384</v>
      </c>
      <c r="M1492" t="s">
        <v>32</v>
      </c>
      <c r="N1492" t="str">
        <f>"2/5/2010 12:00:00 AM"</f>
        <v>2/5/2010 12:00:00 AM</v>
      </c>
      <c r="O1492" t="s">
        <v>4381</v>
      </c>
      <c r="T1492" t="s">
        <v>4382</v>
      </c>
    </row>
    <row r="1493" spans="1:20" x14ac:dyDescent="0.25">
      <c r="A1493" t="str">
        <f>"3077085"</f>
        <v>3077085</v>
      </c>
      <c r="B1493" t="s">
        <v>4386</v>
      </c>
      <c r="C1493" t="str">
        <f>"21782500"</f>
        <v>21782500</v>
      </c>
      <c r="D1493" t="s">
        <v>4387</v>
      </c>
      <c r="F1493" t="s">
        <v>4388</v>
      </c>
      <c r="I1493" t="s">
        <v>4389</v>
      </c>
      <c r="J1493" t="s">
        <v>30</v>
      </c>
      <c r="K1493" t="s">
        <v>4390</v>
      </c>
      <c r="M1493" t="s">
        <v>32</v>
      </c>
      <c r="N1493" t="str">
        <f>"5/21/2008 12:00:00 AM"</f>
        <v>5/21/2008 12:00:00 AM</v>
      </c>
      <c r="O1493" t="s">
        <v>4387</v>
      </c>
    </row>
    <row r="1494" spans="1:20" x14ac:dyDescent="0.25">
      <c r="A1494" t="str">
        <f>"3038835"</f>
        <v>3038835</v>
      </c>
      <c r="B1494" t="s">
        <v>4391</v>
      </c>
      <c r="C1494" t="str">
        <f>"23525000"</f>
        <v>23525000</v>
      </c>
      <c r="D1494" t="s">
        <v>4392</v>
      </c>
      <c r="F1494" t="s">
        <v>4393</v>
      </c>
      <c r="I1494" t="s">
        <v>29</v>
      </c>
      <c r="J1494" t="s">
        <v>30</v>
      </c>
      <c r="K1494" t="s">
        <v>31</v>
      </c>
      <c r="M1494" t="s">
        <v>32</v>
      </c>
      <c r="N1494" t="str">
        <f>"8/12/2003 12:00:00 AM"</f>
        <v>8/12/2003 12:00:00 AM</v>
      </c>
      <c r="O1494" t="s">
        <v>4392</v>
      </c>
    </row>
    <row r="1495" spans="1:20" x14ac:dyDescent="0.25">
      <c r="A1495" t="str">
        <f>"3042168"</f>
        <v>3042168</v>
      </c>
      <c r="B1495" t="s">
        <v>4394</v>
      </c>
      <c r="C1495" t="str">
        <f>"23525000"</f>
        <v>23525000</v>
      </c>
      <c r="D1495" t="s">
        <v>4392</v>
      </c>
      <c r="F1495" t="s">
        <v>4393</v>
      </c>
      <c r="I1495" t="s">
        <v>29</v>
      </c>
      <c r="J1495" t="s">
        <v>30</v>
      </c>
      <c r="K1495" t="s">
        <v>31</v>
      </c>
      <c r="M1495" t="s">
        <v>32</v>
      </c>
      <c r="N1495" t="str">
        <f>"8/12/2003 12:00:00 AM"</f>
        <v>8/12/2003 12:00:00 AM</v>
      </c>
      <c r="O1495" t="s">
        <v>4392</v>
      </c>
    </row>
    <row r="1496" spans="1:20" x14ac:dyDescent="0.25">
      <c r="A1496" t="str">
        <f>"3039057"</f>
        <v>3039057</v>
      </c>
      <c r="B1496" t="s">
        <v>4395</v>
      </c>
      <c r="C1496" t="str">
        <f>"51728000"</f>
        <v>51728000</v>
      </c>
      <c r="D1496" t="s">
        <v>4396</v>
      </c>
      <c r="E1496" t="s">
        <v>4397</v>
      </c>
      <c r="F1496" t="s">
        <v>4398</v>
      </c>
      <c r="I1496" t="s">
        <v>49</v>
      </c>
      <c r="J1496" t="s">
        <v>30</v>
      </c>
      <c r="K1496" t="s">
        <v>4399</v>
      </c>
      <c r="M1496" t="s">
        <v>32</v>
      </c>
      <c r="N1496" t="str">
        <f>"1/11/2006 12:00:00 AM"</f>
        <v>1/11/2006 12:00:00 AM</v>
      </c>
      <c r="O1496" t="s">
        <v>4396</v>
      </c>
      <c r="T1496" t="s">
        <v>4397</v>
      </c>
    </row>
    <row r="1497" spans="1:20" x14ac:dyDescent="0.25">
      <c r="A1497" t="str">
        <f>"3061759"</f>
        <v>3061759</v>
      </c>
      <c r="B1497" t="s">
        <v>4400</v>
      </c>
      <c r="C1497" t="str">
        <f>"3996000"</f>
        <v>3996000</v>
      </c>
      <c r="D1497" t="s">
        <v>4401</v>
      </c>
      <c r="E1497" t="s">
        <v>4402</v>
      </c>
      <c r="F1497" t="s">
        <v>4403</v>
      </c>
      <c r="I1497" t="s">
        <v>2071</v>
      </c>
      <c r="J1497" t="s">
        <v>30</v>
      </c>
      <c r="K1497" t="s">
        <v>185</v>
      </c>
      <c r="M1497" t="s">
        <v>32</v>
      </c>
      <c r="N1497" t="str">
        <f>"7/8/2005 12:00:00 AM"</f>
        <v>7/8/2005 12:00:00 AM</v>
      </c>
      <c r="O1497" t="s">
        <v>4401</v>
      </c>
      <c r="T1497" t="s">
        <v>4402</v>
      </c>
    </row>
    <row r="1498" spans="1:20" x14ac:dyDescent="0.25">
      <c r="A1498" t="str">
        <f>"3043047"</f>
        <v>3043047</v>
      </c>
      <c r="B1498" t="s">
        <v>4404</v>
      </c>
      <c r="C1498" t="str">
        <f>"82527695"</f>
        <v>82527695</v>
      </c>
      <c r="D1498" t="s">
        <v>4405</v>
      </c>
      <c r="E1498" t="s">
        <v>4406</v>
      </c>
      <c r="F1498" t="s">
        <v>4407</v>
      </c>
      <c r="I1498" t="s">
        <v>29</v>
      </c>
      <c r="J1498" t="s">
        <v>30</v>
      </c>
      <c r="K1498" t="s">
        <v>31</v>
      </c>
      <c r="M1498" t="s">
        <v>32</v>
      </c>
      <c r="N1498" t="str">
        <f>"2/1/2008 12:00:00 AM"</f>
        <v>2/1/2008 12:00:00 AM</v>
      </c>
      <c r="O1498" t="s">
        <v>4405</v>
      </c>
      <c r="T1498" t="s">
        <v>4406</v>
      </c>
    </row>
    <row r="1499" spans="1:20" x14ac:dyDescent="0.25">
      <c r="A1499" t="str">
        <f>"3042980"</f>
        <v>3042980</v>
      </c>
      <c r="B1499" t="s">
        <v>4408</v>
      </c>
      <c r="C1499" t="str">
        <f>"79933000"</f>
        <v>79933000</v>
      </c>
      <c r="D1499" t="s">
        <v>4409</v>
      </c>
      <c r="E1499" t="s">
        <v>4410</v>
      </c>
      <c r="F1499" t="s">
        <v>4411</v>
      </c>
      <c r="I1499" t="s">
        <v>49</v>
      </c>
      <c r="J1499" t="s">
        <v>30</v>
      </c>
      <c r="K1499" t="s">
        <v>50</v>
      </c>
      <c r="M1499" t="s">
        <v>32</v>
      </c>
      <c r="N1499" t="str">
        <f>"7/15/2004 12:00:00 AM"</f>
        <v>7/15/2004 12:00:00 AM</v>
      </c>
      <c r="O1499" t="s">
        <v>4409</v>
      </c>
      <c r="T1499" t="s">
        <v>4410</v>
      </c>
    </row>
    <row r="1500" spans="1:20" x14ac:dyDescent="0.25">
      <c r="A1500" t="str">
        <f>"3038934"</f>
        <v>3038934</v>
      </c>
      <c r="B1500" t="s">
        <v>4412</v>
      </c>
      <c r="C1500" t="str">
        <f>"82526782"</f>
        <v>82526782</v>
      </c>
      <c r="D1500" t="s">
        <v>4413</v>
      </c>
      <c r="F1500" t="s">
        <v>4414</v>
      </c>
      <c r="I1500" t="s">
        <v>29</v>
      </c>
      <c r="J1500" t="s">
        <v>30</v>
      </c>
      <c r="K1500" t="s">
        <v>31</v>
      </c>
      <c r="M1500" t="s">
        <v>32</v>
      </c>
      <c r="N1500" t="str">
        <f>"9/12/2006 12:00:00 AM"</f>
        <v>9/12/2006 12:00:00 AM</v>
      </c>
      <c r="O1500" t="s">
        <v>4413</v>
      </c>
    </row>
    <row r="1501" spans="1:20" x14ac:dyDescent="0.25">
      <c r="A1501" t="str">
        <f>"3038920"</f>
        <v>3038920</v>
      </c>
      <c r="B1501" t="s">
        <v>4415</v>
      </c>
      <c r="C1501" t="str">
        <f>"28780000"</f>
        <v>28780000</v>
      </c>
      <c r="D1501" t="s">
        <v>4416</v>
      </c>
      <c r="E1501" t="s">
        <v>4417</v>
      </c>
      <c r="F1501" t="s">
        <v>4418</v>
      </c>
      <c r="I1501" t="s">
        <v>29</v>
      </c>
      <c r="J1501" t="s">
        <v>30</v>
      </c>
      <c r="K1501" t="s">
        <v>31</v>
      </c>
      <c r="M1501" t="s">
        <v>32</v>
      </c>
      <c r="N1501" t="str">
        <f>"4/25/2002 12:00:00 AM"</f>
        <v>4/25/2002 12:00:00 AM</v>
      </c>
      <c r="O1501" t="s">
        <v>4416</v>
      </c>
      <c r="T1501" t="s">
        <v>4417</v>
      </c>
    </row>
    <row r="1502" spans="1:20" x14ac:dyDescent="0.25">
      <c r="A1502" t="str">
        <f>"3042942"</f>
        <v>3042942</v>
      </c>
      <c r="B1502" t="s">
        <v>4419</v>
      </c>
      <c r="C1502" t="str">
        <f>"82526191"</f>
        <v>82526191</v>
      </c>
      <c r="D1502" t="s">
        <v>4420</v>
      </c>
      <c r="F1502" t="s">
        <v>4421</v>
      </c>
      <c r="I1502" t="s">
        <v>29</v>
      </c>
      <c r="J1502" t="s">
        <v>30</v>
      </c>
      <c r="K1502" t="s">
        <v>4422</v>
      </c>
      <c r="M1502" t="s">
        <v>32</v>
      </c>
      <c r="N1502" t="str">
        <f>"2/12/2007 12:00:00 AM"</f>
        <v>2/12/2007 12:00:00 AM</v>
      </c>
      <c r="O1502" t="s">
        <v>4420</v>
      </c>
    </row>
    <row r="1503" spans="1:20" x14ac:dyDescent="0.25">
      <c r="A1503" t="str">
        <f>"3038364"</f>
        <v>3038364</v>
      </c>
      <c r="B1503" t="s">
        <v>4423</v>
      </c>
      <c r="C1503" t="str">
        <f>"82523710"</f>
        <v>82523710</v>
      </c>
      <c r="D1503" t="s">
        <v>4424</v>
      </c>
      <c r="F1503" t="s">
        <v>4425</v>
      </c>
      <c r="I1503" t="s">
        <v>29</v>
      </c>
      <c r="J1503" t="s">
        <v>30</v>
      </c>
      <c r="K1503" t="s">
        <v>31</v>
      </c>
      <c r="M1503" t="s">
        <v>32</v>
      </c>
      <c r="N1503" t="str">
        <f>"8/4/2011 12:00:00 AM"</f>
        <v>8/4/2011 12:00:00 AM</v>
      </c>
      <c r="O1503" t="s">
        <v>4424</v>
      </c>
    </row>
    <row r="1504" spans="1:20" x14ac:dyDescent="0.25">
      <c r="A1504" t="str">
        <f>"3042631"</f>
        <v>3042631</v>
      </c>
      <c r="B1504" t="s">
        <v>4426</v>
      </c>
      <c r="C1504" t="str">
        <f>"468000"</f>
        <v>468000</v>
      </c>
      <c r="D1504" t="s">
        <v>4427</v>
      </c>
      <c r="E1504" t="s">
        <v>4428</v>
      </c>
      <c r="F1504" t="s">
        <v>4429</v>
      </c>
      <c r="I1504" t="s">
        <v>29</v>
      </c>
      <c r="J1504" t="s">
        <v>30</v>
      </c>
      <c r="K1504" t="s">
        <v>4430</v>
      </c>
      <c r="M1504" t="s">
        <v>32</v>
      </c>
      <c r="N1504" t="str">
        <f>"1/25/2006 12:00:00 AM"</f>
        <v>1/25/2006 12:00:00 AM</v>
      </c>
      <c r="O1504" t="s">
        <v>4427</v>
      </c>
      <c r="T1504" t="s">
        <v>4428</v>
      </c>
    </row>
    <row r="1505" spans="1:20" x14ac:dyDescent="0.25">
      <c r="A1505" t="str">
        <f>"3038379"</f>
        <v>3038379</v>
      </c>
      <c r="B1505" t="s">
        <v>4431</v>
      </c>
      <c r="C1505" t="str">
        <f>"12586000"</f>
        <v>12586000</v>
      </c>
      <c r="D1505" t="s">
        <v>4432</v>
      </c>
      <c r="E1505" t="s">
        <v>4433</v>
      </c>
      <c r="F1505" t="s">
        <v>4434</v>
      </c>
      <c r="I1505" t="s">
        <v>29</v>
      </c>
      <c r="J1505" t="s">
        <v>30</v>
      </c>
      <c r="K1505" t="s">
        <v>31</v>
      </c>
      <c r="M1505" t="s">
        <v>32</v>
      </c>
      <c r="N1505" t="str">
        <f>"6/17/2003 12:00:00 AM"</f>
        <v>6/17/2003 12:00:00 AM</v>
      </c>
      <c r="O1505" t="s">
        <v>4432</v>
      </c>
      <c r="T1505" t="s">
        <v>4433</v>
      </c>
    </row>
    <row r="1506" spans="1:20" x14ac:dyDescent="0.25">
      <c r="A1506" t="str">
        <f>"3038460"</f>
        <v>3038460</v>
      </c>
      <c r="B1506" t="s">
        <v>4435</v>
      </c>
      <c r="C1506" t="str">
        <f>"82528876"</f>
        <v>82528876</v>
      </c>
      <c r="D1506" t="s">
        <v>4436</v>
      </c>
      <c r="E1506" t="s">
        <v>4437</v>
      </c>
      <c r="F1506" t="s">
        <v>4438</v>
      </c>
      <c r="I1506" t="s">
        <v>29</v>
      </c>
      <c r="J1506" t="s">
        <v>30</v>
      </c>
      <c r="K1506" t="s">
        <v>31</v>
      </c>
      <c r="M1506" t="s">
        <v>32</v>
      </c>
      <c r="N1506" t="str">
        <f>"11/30/2007 12:00:00 AM"</f>
        <v>11/30/2007 12:00:00 AM</v>
      </c>
      <c r="O1506" t="s">
        <v>4436</v>
      </c>
      <c r="T1506" t="s">
        <v>4437</v>
      </c>
    </row>
    <row r="1507" spans="1:20" x14ac:dyDescent="0.25">
      <c r="A1507" t="str">
        <f>"3038458"</f>
        <v>3038458</v>
      </c>
      <c r="B1507" t="s">
        <v>4439</v>
      </c>
      <c r="C1507" t="str">
        <f>"12966500"</f>
        <v>12966500</v>
      </c>
      <c r="D1507" t="s">
        <v>4440</v>
      </c>
      <c r="F1507" t="s">
        <v>4441</v>
      </c>
      <c r="I1507" t="s">
        <v>29</v>
      </c>
      <c r="J1507" t="s">
        <v>30</v>
      </c>
      <c r="K1507" t="s">
        <v>31</v>
      </c>
      <c r="M1507" t="s">
        <v>32</v>
      </c>
      <c r="N1507" t="str">
        <f>"6/18/2003 12:00:00 AM"</f>
        <v>6/18/2003 12:00:00 AM</v>
      </c>
      <c r="O1507" t="s">
        <v>4440</v>
      </c>
    </row>
    <row r="1508" spans="1:20" x14ac:dyDescent="0.25">
      <c r="A1508" t="str">
        <f>"3038419"</f>
        <v>3038419</v>
      </c>
      <c r="B1508" t="s">
        <v>4442</v>
      </c>
      <c r="C1508" t="str">
        <f>"82514643"</f>
        <v>82514643</v>
      </c>
      <c r="D1508" t="s">
        <v>4443</v>
      </c>
      <c r="F1508" t="s">
        <v>4444</v>
      </c>
      <c r="I1508" t="s">
        <v>29</v>
      </c>
      <c r="J1508" t="s">
        <v>30</v>
      </c>
      <c r="K1508" t="s">
        <v>31</v>
      </c>
      <c r="M1508" t="s">
        <v>32</v>
      </c>
      <c r="N1508" t="str">
        <f>"4/24/2002 12:00:00 AM"</f>
        <v>4/24/2002 12:00:00 AM</v>
      </c>
      <c r="O1508" t="s">
        <v>4443</v>
      </c>
    </row>
    <row r="1509" spans="1:20" x14ac:dyDescent="0.25">
      <c r="A1509" t="str">
        <f>"3038613"</f>
        <v>3038613</v>
      </c>
      <c r="B1509" t="s">
        <v>4445</v>
      </c>
      <c r="C1509" t="str">
        <f>"82518255"</f>
        <v>82518255</v>
      </c>
      <c r="D1509" t="s">
        <v>4446</v>
      </c>
      <c r="E1509" t="s">
        <v>4447</v>
      </c>
      <c r="F1509" t="s">
        <v>4448</v>
      </c>
      <c r="I1509" t="s">
        <v>29</v>
      </c>
      <c r="J1509" t="s">
        <v>30</v>
      </c>
      <c r="K1509" t="s">
        <v>31</v>
      </c>
      <c r="M1509" t="s">
        <v>32</v>
      </c>
      <c r="N1509" t="str">
        <f>"11/27/2007 12:00:00 AM"</f>
        <v>11/27/2007 12:00:00 AM</v>
      </c>
      <c r="O1509" t="s">
        <v>4446</v>
      </c>
      <c r="T1509" t="s">
        <v>4447</v>
      </c>
    </row>
    <row r="1510" spans="1:20" x14ac:dyDescent="0.25">
      <c r="A1510" t="str">
        <f>"3038427"</f>
        <v>3038427</v>
      </c>
      <c r="B1510" t="s">
        <v>4449</v>
      </c>
      <c r="C1510" t="str">
        <f>"71185000"</f>
        <v>71185000</v>
      </c>
      <c r="D1510" t="s">
        <v>4450</v>
      </c>
      <c r="E1510" t="s">
        <v>4451</v>
      </c>
      <c r="F1510" t="s">
        <v>4452</v>
      </c>
      <c r="I1510" t="s">
        <v>29</v>
      </c>
      <c r="J1510" t="s">
        <v>30</v>
      </c>
      <c r="K1510" t="s">
        <v>4453</v>
      </c>
      <c r="M1510" t="s">
        <v>32</v>
      </c>
      <c r="N1510" t="str">
        <f>"2/14/2007 12:00:00 AM"</f>
        <v>2/14/2007 12:00:00 AM</v>
      </c>
      <c r="O1510" t="s">
        <v>4450</v>
      </c>
      <c r="T1510" t="s">
        <v>4451</v>
      </c>
    </row>
    <row r="1511" spans="1:20" x14ac:dyDescent="0.25">
      <c r="A1511" t="str">
        <f>"3043059"</f>
        <v>3043059</v>
      </c>
      <c r="B1511" t="s">
        <v>4454</v>
      </c>
      <c r="C1511" t="str">
        <f>"82521733"</f>
        <v>82521733</v>
      </c>
      <c r="D1511" t="s">
        <v>4455</v>
      </c>
      <c r="F1511" t="s">
        <v>4456</v>
      </c>
      <c r="I1511" t="s">
        <v>29</v>
      </c>
      <c r="J1511" t="s">
        <v>30</v>
      </c>
      <c r="K1511" t="s">
        <v>31</v>
      </c>
      <c r="M1511" t="s">
        <v>32</v>
      </c>
      <c r="N1511" t="str">
        <f>"11/10/2003 12:00:00 AM"</f>
        <v>11/10/2003 12:00:00 AM</v>
      </c>
      <c r="O1511" t="s">
        <v>4455</v>
      </c>
    </row>
    <row r="1512" spans="1:20" x14ac:dyDescent="0.25">
      <c r="A1512" t="str">
        <f>"3038470"</f>
        <v>3038470</v>
      </c>
      <c r="B1512" t="s">
        <v>4457</v>
      </c>
      <c r="C1512" t="str">
        <f>"82525141"</f>
        <v>82525141</v>
      </c>
      <c r="D1512" t="s">
        <v>4458</v>
      </c>
      <c r="F1512" t="s">
        <v>4459</v>
      </c>
      <c r="I1512" t="s">
        <v>29</v>
      </c>
      <c r="J1512" t="s">
        <v>30</v>
      </c>
      <c r="K1512" t="s">
        <v>4460</v>
      </c>
      <c r="M1512" t="s">
        <v>32</v>
      </c>
      <c r="N1512" t="str">
        <f>"1/25/2006 12:00:00 AM"</f>
        <v>1/25/2006 12:00:00 AM</v>
      </c>
      <c r="O1512" t="s">
        <v>4458</v>
      </c>
    </row>
    <row r="1513" spans="1:20" x14ac:dyDescent="0.25">
      <c r="A1513" t="str">
        <f>"3038471"</f>
        <v>3038471</v>
      </c>
      <c r="B1513" t="s">
        <v>4461</v>
      </c>
      <c r="C1513" t="str">
        <f>"48332000"</f>
        <v>48332000</v>
      </c>
      <c r="D1513" t="s">
        <v>4462</v>
      </c>
      <c r="E1513" t="s">
        <v>4463</v>
      </c>
      <c r="F1513" t="s">
        <v>4464</v>
      </c>
      <c r="I1513" t="s">
        <v>29</v>
      </c>
      <c r="J1513" t="s">
        <v>30</v>
      </c>
      <c r="K1513" t="s">
        <v>31</v>
      </c>
      <c r="M1513" t="s">
        <v>32</v>
      </c>
      <c r="N1513" t="str">
        <f>"2/3/2003 12:00:00 AM"</f>
        <v>2/3/2003 12:00:00 AM</v>
      </c>
      <c r="O1513" t="s">
        <v>4462</v>
      </c>
      <c r="T1513" t="s">
        <v>4463</v>
      </c>
    </row>
    <row r="1514" spans="1:20" x14ac:dyDescent="0.25">
      <c r="A1514" t="str">
        <f>"3038443"</f>
        <v>3038443</v>
      </c>
      <c r="B1514" t="s">
        <v>4465</v>
      </c>
      <c r="C1514" t="str">
        <f>"67568000"</f>
        <v>67568000</v>
      </c>
      <c r="D1514" t="s">
        <v>4466</v>
      </c>
      <c r="E1514" t="s">
        <v>4467</v>
      </c>
      <c r="F1514" t="s">
        <v>4468</v>
      </c>
      <c r="I1514" t="s">
        <v>29</v>
      </c>
      <c r="J1514" t="s">
        <v>30</v>
      </c>
      <c r="K1514" t="s">
        <v>31</v>
      </c>
      <c r="M1514" t="s">
        <v>32</v>
      </c>
      <c r="N1514" t="str">
        <f>"9/30/2005 12:00:00 AM"</f>
        <v>9/30/2005 12:00:00 AM</v>
      </c>
      <c r="O1514" t="s">
        <v>4466</v>
      </c>
      <c r="T1514" t="s">
        <v>4467</v>
      </c>
    </row>
    <row r="1515" spans="1:20" x14ac:dyDescent="0.25">
      <c r="A1515" t="str">
        <f>"3042686"</f>
        <v>3042686</v>
      </c>
      <c r="B1515" t="s">
        <v>4469</v>
      </c>
      <c r="C1515" t="str">
        <f>"13817000"</f>
        <v>13817000</v>
      </c>
      <c r="D1515" t="s">
        <v>4470</v>
      </c>
      <c r="F1515" t="s">
        <v>4471</v>
      </c>
      <c r="I1515" t="s">
        <v>29</v>
      </c>
      <c r="J1515" t="s">
        <v>30</v>
      </c>
      <c r="K1515" t="s">
        <v>31</v>
      </c>
      <c r="M1515" t="s">
        <v>32</v>
      </c>
      <c r="N1515" t="str">
        <f>"4/25/2002 12:00:00 AM"</f>
        <v>4/25/2002 12:00:00 AM</v>
      </c>
      <c r="O1515" t="s">
        <v>4470</v>
      </c>
    </row>
    <row r="1516" spans="1:20" x14ac:dyDescent="0.25">
      <c r="A1516" t="str">
        <f>"3038363"</f>
        <v>3038363</v>
      </c>
      <c r="B1516" t="s">
        <v>4472</v>
      </c>
      <c r="C1516" t="str">
        <f>"51853400"</f>
        <v>51853400</v>
      </c>
      <c r="D1516" t="s">
        <v>4473</v>
      </c>
      <c r="E1516" t="s">
        <v>4474</v>
      </c>
      <c r="F1516" t="s">
        <v>4475</v>
      </c>
      <c r="I1516" t="s">
        <v>29</v>
      </c>
      <c r="J1516" t="s">
        <v>30</v>
      </c>
      <c r="K1516" t="s">
        <v>4476</v>
      </c>
      <c r="M1516" t="s">
        <v>32</v>
      </c>
      <c r="N1516" t="str">
        <f>"1/31/2006 12:00:00 AM"</f>
        <v>1/31/2006 12:00:00 AM</v>
      </c>
      <c r="O1516" t="s">
        <v>4473</v>
      </c>
      <c r="T1516" t="s">
        <v>4474</v>
      </c>
    </row>
    <row r="1517" spans="1:20" x14ac:dyDescent="0.25">
      <c r="A1517" t="str">
        <f>"3038361"</f>
        <v>3038361</v>
      </c>
      <c r="B1517" t="s">
        <v>4477</v>
      </c>
      <c r="C1517" t="str">
        <f>"62796500"</f>
        <v>62796500</v>
      </c>
      <c r="D1517" t="s">
        <v>4478</v>
      </c>
      <c r="E1517" t="s">
        <v>4479</v>
      </c>
      <c r="F1517" t="s">
        <v>4480</v>
      </c>
      <c r="I1517" t="s">
        <v>29</v>
      </c>
      <c r="J1517" t="s">
        <v>30</v>
      </c>
      <c r="K1517" t="s">
        <v>4476</v>
      </c>
      <c r="M1517" t="s">
        <v>32</v>
      </c>
      <c r="N1517" t="str">
        <f>"2/21/2007 12:00:00 AM"</f>
        <v>2/21/2007 12:00:00 AM</v>
      </c>
      <c r="O1517" t="s">
        <v>4478</v>
      </c>
      <c r="T1517" t="s">
        <v>4479</v>
      </c>
    </row>
    <row r="1518" spans="1:20" x14ac:dyDescent="0.25">
      <c r="A1518" t="str">
        <f>"3038342"</f>
        <v>3038342</v>
      </c>
      <c r="B1518" t="s">
        <v>4481</v>
      </c>
      <c r="C1518" t="str">
        <f>"82520701"</f>
        <v>82520701</v>
      </c>
      <c r="D1518" t="s">
        <v>4482</v>
      </c>
      <c r="E1518" t="s">
        <v>4483</v>
      </c>
      <c r="F1518" t="s">
        <v>4484</v>
      </c>
      <c r="I1518" t="s">
        <v>29</v>
      </c>
      <c r="J1518" t="s">
        <v>30</v>
      </c>
      <c r="K1518" t="s">
        <v>4476</v>
      </c>
      <c r="M1518" t="s">
        <v>32</v>
      </c>
      <c r="N1518" t="str">
        <f>"2/21/2005 12:00:00 AM"</f>
        <v>2/21/2005 12:00:00 AM</v>
      </c>
      <c r="O1518" t="s">
        <v>4482</v>
      </c>
      <c r="T1518" t="s">
        <v>4483</v>
      </c>
    </row>
    <row r="1519" spans="1:20" x14ac:dyDescent="0.25">
      <c r="A1519" t="str">
        <f>"3038380"</f>
        <v>3038380</v>
      </c>
      <c r="B1519" t="s">
        <v>4485</v>
      </c>
      <c r="C1519" t="str">
        <f>"82527222"</f>
        <v>82527222</v>
      </c>
      <c r="D1519" t="s">
        <v>4486</v>
      </c>
      <c r="E1519" t="s">
        <v>4487</v>
      </c>
      <c r="F1519" t="s">
        <v>4488</v>
      </c>
      <c r="I1519" t="s">
        <v>29</v>
      </c>
      <c r="J1519" t="s">
        <v>30</v>
      </c>
      <c r="K1519" t="s">
        <v>31</v>
      </c>
      <c r="M1519" t="s">
        <v>32</v>
      </c>
      <c r="N1519" t="str">
        <f>"12/8/2006 12:00:00 AM"</f>
        <v>12/8/2006 12:00:00 AM</v>
      </c>
      <c r="O1519" t="s">
        <v>4486</v>
      </c>
      <c r="T1519" t="s">
        <v>4487</v>
      </c>
    </row>
    <row r="1520" spans="1:20" x14ac:dyDescent="0.25">
      <c r="A1520" t="str">
        <f>"3038414"</f>
        <v>3038414</v>
      </c>
      <c r="B1520" t="s">
        <v>4489</v>
      </c>
      <c r="C1520" t="str">
        <f>"82516009"</f>
        <v>82516009</v>
      </c>
      <c r="D1520" t="s">
        <v>4490</v>
      </c>
      <c r="E1520" t="s">
        <v>4491</v>
      </c>
      <c r="F1520" t="s">
        <v>4492</v>
      </c>
      <c r="I1520" t="s">
        <v>29</v>
      </c>
      <c r="J1520" t="s">
        <v>30</v>
      </c>
      <c r="K1520" t="s">
        <v>31</v>
      </c>
      <c r="M1520" t="s">
        <v>32</v>
      </c>
      <c r="N1520" t="str">
        <f>"8/2/2005 12:00:00 AM"</f>
        <v>8/2/2005 12:00:00 AM</v>
      </c>
      <c r="O1520" t="s">
        <v>4490</v>
      </c>
      <c r="T1520" t="s">
        <v>4491</v>
      </c>
    </row>
    <row r="1521" spans="1:20" x14ac:dyDescent="0.25">
      <c r="A1521" t="str">
        <f>"3042104"</f>
        <v>3042104</v>
      </c>
      <c r="B1521" t="s">
        <v>4493</v>
      </c>
      <c r="C1521" t="str">
        <f>"42147000"</f>
        <v>42147000</v>
      </c>
      <c r="D1521" t="s">
        <v>4494</v>
      </c>
      <c r="F1521" t="str">
        <f>"C/O MICHAEL L KEATON"</f>
        <v>C/O MICHAEL L KEATON</v>
      </c>
      <c r="G1521" t="s">
        <v>4178</v>
      </c>
      <c r="I1521" t="s">
        <v>29</v>
      </c>
      <c r="J1521" t="s">
        <v>30</v>
      </c>
      <c r="K1521" t="s">
        <v>31</v>
      </c>
      <c r="M1521" t="s">
        <v>32</v>
      </c>
      <c r="N1521" t="str">
        <f>"11/20/2003 12:00:00 AM"</f>
        <v>11/20/2003 12:00:00 AM</v>
      </c>
      <c r="O1521" t="s">
        <v>4494</v>
      </c>
    </row>
    <row r="1522" spans="1:20" x14ac:dyDescent="0.25">
      <c r="A1522" t="str">
        <f>"3038466"</f>
        <v>3038466</v>
      </c>
      <c r="B1522" t="s">
        <v>4495</v>
      </c>
      <c r="C1522" t="str">
        <f>"1066090"</f>
        <v>1066090</v>
      </c>
      <c r="D1522" t="s">
        <v>4496</v>
      </c>
      <c r="E1522" t="s">
        <v>4497</v>
      </c>
      <c r="F1522" t="s">
        <v>4498</v>
      </c>
      <c r="I1522" t="s">
        <v>29</v>
      </c>
      <c r="J1522" t="s">
        <v>30</v>
      </c>
      <c r="K1522" t="s">
        <v>31</v>
      </c>
      <c r="M1522" t="s">
        <v>32</v>
      </c>
      <c r="N1522" t="str">
        <f>"10/16/2006 12:00:00 AM"</f>
        <v>10/16/2006 12:00:00 AM</v>
      </c>
      <c r="O1522" t="s">
        <v>4496</v>
      </c>
      <c r="T1522" t="s">
        <v>4497</v>
      </c>
    </row>
    <row r="1523" spans="1:20" x14ac:dyDescent="0.25">
      <c r="A1523" t="str">
        <f>"3043225"</f>
        <v>3043225</v>
      </c>
      <c r="B1523" t="s">
        <v>4499</v>
      </c>
      <c r="C1523" t="str">
        <f>"82518395"</f>
        <v>82518395</v>
      </c>
      <c r="D1523" t="s">
        <v>4500</v>
      </c>
      <c r="F1523" t="s">
        <v>4501</v>
      </c>
      <c r="I1523" t="s">
        <v>4502</v>
      </c>
      <c r="J1523" t="s">
        <v>30</v>
      </c>
      <c r="K1523" t="s">
        <v>4503</v>
      </c>
      <c r="M1523" t="s">
        <v>32</v>
      </c>
      <c r="N1523" t="str">
        <f>"5/3/2002 12:00:00 AM"</f>
        <v>5/3/2002 12:00:00 AM</v>
      </c>
      <c r="O1523" t="s">
        <v>4500</v>
      </c>
    </row>
    <row r="1524" spans="1:20" x14ac:dyDescent="0.25">
      <c r="A1524" t="str">
        <f>"3043113"</f>
        <v>3043113</v>
      </c>
      <c r="B1524" t="s">
        <v>4504</v>
      </c>
      <c r="C1524" t="str">
        <f>"82518395"</f>
        <v>82518395</v>
      </c>
      <c r="D1524" t="s">
        <v>4500</v>
      </c>
      <c r="F1524" t="s">
        <v>4501</v>
      </c>
      <c r="I1524" t="s">
        <v>4502</v>
      </c>
      <c r="J1524" t="s">
        <v>30</v>
      </c>
      <c r="K1524" t="s">
        <v>4503</v>
      </c>
      <c r="M1524" t="s">
        <v>32</v>
      </c>
      <c r="N1524" t="str">
        <f>"5/3/2002 12:00:00 AM"</f>
        <v>5/3/2002 12:00:00 AM</v>
      </c>
      <c r="O1524" t="s">
        <v>4500</v>
      </c>
    </row>
    <row r="1525" spans="1:20" x14ac:dyDescent="0.25">
      <c r="A1525" t="str">
        <f>"3039270"</f>
        <v>3039270</v>
      </c>
      <c r="B1525" t="s">
        <v>4505</v>
      </c>
      <c r="C1525" t="str">
        <f>"82526965"</f>
        <v>82526965</v>
      </c>
      <c r="D1525" t="s">
        <v>4506</v>
      </c>
      <c r="F1525" t="s">
        <v>4507</v>
      </c>
      <c r="I1525" t="s">
        <v>29</v>
      </c>
      <c r="J1525" t="s">
        <v>30</v>
      </c>
      <c r="K1525" t="s">
        <v>31</v>
      </c>
      <c r="M1525" t="s">
        <v>32</v>
      </c>
      <c r="N1525" t="str">
        <f>"10/20/2006 12:00:00 AM"</f>
        <v>10/20/2006 12:00:00 AM</v>
      </c>
      <c r="O1525" t="s">
        <v>4506</v>
      </c>
    </row>
    <row r="1526" spans="1:20" x14ac:dyDescent="0.25">
      <c r="A1526" t="str">
        <f>"3039092"</f>
        <v>3039092</v>
      </c>
      <c r="B1526" t="s">
        <v>4508</v>
      </c>
      <c r="C1526" t="str">
        <f>"53637000"</f>
        <v>53637000</v>
      </c>
      <c r="D1526" t="s">
        <v>4509</v>
      </c>
      <c r="F1526" t="s">
        <v>4510</v>
      </c>
      <c r="I1526" t="s">
        <v>29</v>
      </c>
      <c r="J1526" t="s">
        <v>30</v>
      </c>
      <c r="K1526" t="s">
        <v>31</v>
      </c>
      <c r="M1526" t="s">
        <v>32</v>
      </c>
      <c r="N1526" t="str">
        <f>"5/5/1998 12:00:00 AM"</f>
        <v>5/5/1998 12:00:00 AM</v>
      </c>
      <c r="O1526" t="s">
        <v>4509</v>
      </c>
    </row>
    <row r="1527" spans="1:20" x14ac:dyDescent="0.25">
      <c r="A1527" t="str">
        <f>"3039295"</f>
        <v>3039295</v>
      </c>
      <c r="B1527" t="s">
        <v>4511</v>
      </c>
      <c r="C1527" t="str">
        <f>"82521843"</f>
        <v>82521843</v>
      </c>
      <c r="D1527" t="s">
        <v>4512</v>
      </c>
      <c r="E1527" t="s">
        <v>4513</v>
      </c>
      <c r="F1527" t="s">
        <v>4514</v>
      </c>
      <c r="I1527" t="s">
        <v>29</v>
      </c>
      <c r="J1527" t="s">
        <v>30</v>
      </c>
      <c r="K1527" t="s">
        <v>4515</v>
      </c>
      <c r="M1527" t="s">
        <v>32</v>
      </c>
      <c r="N1527" t="str">
        <f>"2/24/2005 12:00:00 AM"</f>
        <v>2/24/2005 12:00:00 AM</v>
      </c>
      <c r="O1527" t="s">
        <v>4512</v>
      </c>
      <c r="T1527" t="s">
        <v>4513</v>
      </c>
    </row>
    <row r="1528" spans="1:20" x14ac:dyDescent="0.25">
      <c r="A1528" t="str">
        <f>"3040110"</f>
        <v>3040110</v>
      </c>
      <c r="B1528" t="s">
        <v>4516</v>
      </c>
      <c r="C1528" t="str">
        <f>"82521843"</f>
        <v>82521843</v>
      </c>
      <c r="D1528" t="s">
        <v>4512</v>
      </c>
      <c r="E1528" t="s">
        <v>4513</v>
      </c>
      <c r="F1528" t="s">
        <v>4514</v>
      </c>
      <c r="I1528" t="s">
        <v>29</v>
      </c>
      <c r="J1528" t="s">
        <v>30</v>
      </c>
      <c r="K1528" t="s">
        <v>4515</v>
      </c>
      <c r="M1528" t="s">
        <v>32</v>
      </c>
      <c r="N1528" t="str">
        <f>"2/24/2005 12:00:00 AM"</f>
        <v>2/24/2005 12:00:00 AM</v>
      </c>
      <c r="O1528" t="s">
        <v>4512</v>
      </c>
      <c r="T1528" t="s">
        <v>4513</v>
      </c>
    </row>
    <row r="1529" spans="1:20" x14ac:dyDescent="0.25">
      <c r="A1529" t="str">
        <f>"3038939"</f>
        <v>3038939</v>
      </c>
      <c r="B1529" t="s">
        <v>4517</v>
      </c>
      <c r="C1529" t="str">
        <f>"71085000"</f>
        <v>71085000</v>
      </c>
      <c r="D1529" t="s">
        <v>4518</v>
      </c>
      <c r="F1529" t="s">
        <v>4519</v>
      </c>
      <c r="I1529" t="s">
        <v>29</v>
      </c>
      <c r="J1529" t="s">
        <v>30</v>
      </c>
      <c r="K1529" t="s">
        <v>4520</v>
      </c>
      <c r="M1529" t="s">
        <v>32</v>
      </c>
      <c r="N1529" t="str">
        <f>"2/1/2008 12:00:00 AM"</f>
        <v>2/1/2008 12:00:00 AM</v>
      </c>
      <c r="O1529" t="s">
        <v>4518</v>
      </c>
    </row>
    <row r="1530" spans="1:20" x14ac:dyDescent="0.25">
      <c r="A1530" t="str">
        <f>"3039151"</f>
        <v>3039151</v>
      </c>
      <c r="B1530" t="s">
        <v>4521</v>
      </c>
      <c r="C1530" t="str">
        <f>"82517669"</f>
        <v>82517669</v>
      </c>
      <c r="D1530" t="s">
        <v>4522</v>
      </c>
      <c r="E1530" t="s">
        <v>4523</v>
      </c>
      <c r="F1530" t="s">
        <v>4524</v>
      </c>
      <c r="I1530" t="s">
        <v>29</v>
      </c>
      <c r="J1530" t="s">
        <v>30</v>
      </c>
      <c r="K1530" t="s">
        <v>31</v>
      </c>
      <c r="M1530" t="s">
        <v>32</v>
      </c>
      <c r="N1530" t="str">
        <f>"2/8/2002 12:00:00 AM"</f>
        <v>2/8/2002 12:00:00 AM</v>
      </c>
      <c r="O1530" t="s">
        <v>4522</v>
      </c>
      <c r="T1530" t="s">
        <v>4523</v>
      </c>
    </row>
    <row r="1531" spans="1:20" x14ac:dyDescent="0.25">
      <c r="A1531" t="str">
        <f>"3043381"</f>
        <v>3043381</v>
      </c>
      <c r="B1531" t="s">
        <v>4525</v>
      </c>
      <c r="C1531" t="str">
        <f>"82525415"</f>
        <v>82525415</v>
      </c>
      <c r="D1531" t="s">
        <v>4526</v>
      </c>
      <c r="E1531" t="s">
        <v>4527</v>
      </c>
      <c r="F1531" t="s">
        <v>4528</v>
      </c>
      <c r="I1531" t="s">
        <v>29</v>
      </c>
      <c r="J1531" t="s">
        <v>30</v>
      </c>
      <c r="K1531" t="s">
        <v>31</v>
      </c>
      <c r="M1531" t="s">
        <v>32</v>
      </c>
      <c r="N1531" t="str">
        <f>"11/30/2005 12:00:00 AM"</f>
        <v>11/30/2005 12:00:00 AM</v>
      </c>
      <c r="O1531" t="s">
        <v>4526</v>
      </c>
      <c r="T1531" t="s">
        <v>4527</v>
      </c>
    </row>
    <row r="1532" spans="1:20" x14ac:dyDescent="0.25">
      <c r="A1532" t="str">
        <f>"3043374"</f>
        <v>3043374</v>
      </c>
      <c r="B1532" t="s">
        <v>4529</v>
      </c>
      <c r="C1532" t="str">
        <f>"82521891"</f>
        <v>82521891</v>
      </c>
      <c r="D1532" t="s">
        <v>4530</v>
      </c>
      <c r="E1532" t="s">
        <v>4531</v>
      </c>
      <c r="F1532" t="s">
        <v>4532</v>
      </c>
      <c r="I1532" t="s">
        <v>29</v>
      </c>
      <c r="J1532" t="s">
        <v>30</v>
      </c>
      <c r="K1532" t="s">
        <v>31</v>
      </c>
      <c r="M1532" t="s">
        <v>32</v>
      </c>
      <c r="N1532" t="str">
        <f>"9/30/2005 12:00:00 AM"</f>
        <v>9/30/2005 12:00:00 AM</v>
      </c>
      <c r="O1532" t="s">
        <v>4530</v>
      </c>
      <c r="T1532" t="s">
        <v>4531</v>
      </c>
    </row>
    <row r="1533" spans="1:20" x14ac:dyDescent="0.25">
      <c r="A1533" t="str">
        <f>"3043232"</f>
        <v>3043232</v>
      </c>
      <c r="B1533" t="s">
        <v>4533</v>
      </c>
      <c r="C1533" t="str">
        <f>"82521891"</f>
        <v>82521891</v>
      </c>
      <c r="D1533" t="s">
        <v>4530</v>
      </c>
      <c r="E1533" t="s">
        <v>4531</v>
      </c>
      <c r="F1533" t="s">
        <v>4532</v>
      </c>
      <c r="I1533" t="s">
        <v>29</v>
      </c>
      <c r="J1533" t="s">
        <v>30</v>
      </c>
      <c r="K1533" t="s">
        <v>31</v>
      </c>
      <c r="M1533" t="s">
        <v>32</v>
      </c>
      <c r="N1533" t="str">
        <f>"9/30/2005 12:00:00 AM"</f>
        <v>9/30/2005 12:00:00 AM</v>
      </c>
      <c r="O1533" t="s">
        <v>4530</v>
      </c>
      <c r="T1533" t="s">
        <v>4531</v>
      </c>
    </row>
    <row r="1534" spans="1:20" x14ac:dyDescent="0.25">
      <c r="A1534" t="str">
        <f>"3043373"</f>
        <v>3043373</v>
      </c>
      <c r="B1534" t="s">
        <v>4534</v>
      </c>
      <c r="C1534" t="str">
        <f>"82523997"</f>
        <v>82523997</v>
      </c>
      <c r="D1534" t="s">
        <v>4535</v>
      </c>
      <c r="E1534" t="s">
        <v>4536</v>
      </c>
      <c r="F1534" t="s">
        <v>4537</v>
      </c>
      <c r="I1534" t="s">
        <v>29</v>
      </c>
      <c r="J1534" t="s">
        <v>30</v>
      </c>
      <c r="K1534" t="s">
        <v>4538</v>
      </c>
      <c r="M1534" t="s">
        <v>32</v>
      </c>
      <c r="N1534" t="str">
        <f>"2/13/2007 12:00:00 AM"</f>
        <v>2/13/2007 12:00:00 AM</v>
      </c>
      <c r="O1534" t="s">
        <v>4535</v>
      </c>
      <c r="T1534" t="s">
        <v>4536</v>
      </c>
    </row>
    <row r="1535" spans="1:20" x14ac:dyDescent="0.25">
      <c r="A1535" t="str">
        <f>"3043365"</f>
        <v>3043365</v>
      </c>
      <c r="B1535" t="s">
        <v>4539</v>
      </c>
      <c r="C1535" t="str">
        <f>"82514498"</f>
        <v>82514498</v>
      </c>
      <c r="D1535" t="s">
        <v>4540</v>
      </c>
      <c r="E1535" t="s">
        <v>4541</v>
      </c>
      <c r="F1535" t="s">
        <v>4542</v>
      </c>
      <c r="I1535" t="s">
        <v>29</v>
      </c>
      <c r="J1535" t="s">
        <v>30</v>
      </c>
      <c r="K1535" t="s">
        <v>31</v>
      </c>
      <c r="M1535" t="s">
        <v>32</v>
      </c>
      <c r="N1535" t="str">
        <f>"7/27/2004 12:00:00 AM"</f>
        <v>7/27/2004 12:00:00 AM</v>
      </c>
      <c r="O1535" t="s">
        <v>4540</v>
      </c>
      <c r="T1535" t="s">
        <v>4541</v>
      </c>
    </row>
    <row r="1536" spans="1:20" x14ac:dyDescent="0.25">
      <c r="A1536" t="str">
        <f>"3038830"</f>
        <v>3038830</v>
      </c>
      <c r="B1536" t="s">
        <v>4543</v>
      </c>
      <c r="C1536" t="str">
        <f>"82514794"</f>
        <v>82514794</v>
      </c>
      <c r="D1536" t="s">
        <v>4544</v>
      </c>
      <c r="F1536" t="s">
        <v>4545</v>
      </c>
      <c r="I1536" t="s">
        <v>4546</v>
      </c>
      <c r="J1536" t="s">
        <v>30</v>
      </c>
      <c r="K1536" t="s">
        <v>4547</v>
      </c>
      <c r="M1536" t="s">
        <v>32</v>
      </c>
      <c r="N1536" t="str">
        <f>"4/25/2002 12:00:00 AM"</f>
        <v>4/25/2002 12:00:00 AM</v>
      </c>
      <c r="O1536" t="s">
        <v>4544</v>
      </c>
    </row>
    <row r="1537" spans="1:20" x14ac:dyDescent="0.25">
      <c r="A1537" t="str">
        <f>"3039816"</f>
        <v>3039816</v>
      </c>
      <c r="B1537" t="s">
        <v>4548</v>
      </c>
      <c r="C1537" t="str">
        <f>"60651200"</f>
        <v>60651200</v>
      </c>
      <c r="D1537" t="s">
        <v>4549</v>
      </c>
      <c r="E1537" t="s">
        <v>4550</v>
      </c>
      <c r="F1537" t="s">
        <v>4551</v>
      </c>
      <c r="I1537" t="s">
        <v>29</v>
      </c>
      <c r="J1537" t="s">
        <v>30</v>
      </c>
      <c r="K1537" t="s">
        <v>31</v>
      </c>
      <c r="M1537" t="s">
        <v>32</v>
      </c>
      <c r="N1537" t="str">
        <f>"4/26/2002 12:00:00 AM"</f>
        <v>4/26/2002 12:00:00 AM</v>
      </c>
      <c r="O1537" t="s">
        <v>4549</v>
      </c>
      <c r="T1537" t="s">
        <v>4550</v>
      </c>
    </row>
    <row r="1538" spans="1:20" x14ac:dyDescent="0.25">
      <c r="A1538" t="str">
        <f>"3065880"</f>
        <v>3065880</v>
      </c>
      <c r="B1538" t="s">
        <v>4552</v>
      </c>
      <c r="C1538" t="str">
        <f>"75884000"</f>
        <v>75884000</v>
      </c>
      <c r="D1538" t="s">
        <v>4553</v>
      </c>
      <c r="E1538" t="s">
        <v>4554</v>
      </c>
      <c r="F1538" t="s">
        <v>4555</v>
      </c>
      <c r="I1538" t="s">
        <v>29</v>
      </c>
      <c r="J1538" t="s">
        <v>30</v>
      </c>
      <c r="K1538" t="s">
        <v>31</v>
      </c>
      <c r="M1538" t="s">
        <v>32</v>
      </c>
      <c r="N1538" t="str">
        <f>"4/25/2002 12:00:00 AM"</f>
        <v>4/25/2002 12:00:00 AM</v>
      </c>
      <c r="O1538" t="s">
        <v>4553</v>
      </c>
      <c r="T1538" t="s">
        <v>4554</v>
      </c>
    </row>
    <row r="1539" spans="1:20" x14ac:dyDescent="0.25">
      <c r="A1539" t="str">
        <f>"3043664"</f>
        <v>3043664</v>
      </c>
      <c r="B1539" t="s">
        <v>4556</v>
      </c>
      <c r="C1539" t="str">
        <f>"82520053"</f>
        <v>82520053</v>
      </c>
      <c r="D1539" t="s">
        <v>4557</v>
      </c>
      <c r="F1539" t="s">
        <v>4558</v>
      </c>
      <c r="I1539" t="s">
        <v>29</v>
      </c>
      <c r="J1539" t="s">
        <v>30</v>
      </c>
      <c r="K1539" t="s">
        <v>31</v>
      </c>
      <c r="M1539" t="s">
        <v>32</v>
      </c>
      <c r="N1539" t="str">
        <f>"3/5/2004 12:00:00 AM"</f>
        <v>3/5/2004 12:00:00 AM</v>
      </c>
      <c r="O1539" t="s">
        <v>4557</v>
      </c>
    </row>
    <row r="1540" spans="1:20" x14ac:dyDescent="0.25">
      <c r="A1540" t="str">
        <f>"3043732"</f>
        <v>3043732</v>
      </c>
      <c r="B1540" t="s">
        <v>4559</v>
      </c>
      <c r="C1540" t="str">
        <f>"82514282"</f>
        <v>82514282</v>
      </c>
      <c r="D1540" t="s">
        <v>4560</v>
      </c>
      <c r="E1540" t="s">
        <v>4561</v>
      </c>
      <c r="F1540" t="s">
        <v>4562</v>
      </c>
      <c r="I1540" t="s">
        <v>29</v>
      </c>
      <c r="J1540" t="s">
        <v>30</v>
      </c>
      <c r="K1540" t="s">
        <v>31</v>
      </c>
      <c r="M1540" t="s">
        <v>32</v>
      </c>
      <c r="N1540" t="str">
        <f>"3/1/2006 12:00:00 AM"</f>
        <v>3/1/2006 12:00:00 AM</v>
      </c>
      <c r="O1540" t="s">
        <v>4560</v>
      </c>
      <c r="T1540" t="s">
        <v>4561</v>
      </c>
    </row>
    <row r="1541" spans="1:20" x14ac:dyDescent="0.25">
      <c r="A1541" t="str">
        <f>"3039894"</f>
        <v>3039894</v>
      </c>
      <c r="B1541" t="s">
        <v>4563</v>
      </c>
      <c r="C1541" t="str">
        <f>"79144000"</f>
        <v>79144000</v>
      </c>
      <c r="D1541" t="s">
        <v>4564</v>
      </c>
      <c r="E1541" t="s">
        <v>4565</v>
      </c>
      <c r="F1541" t="s">
        <v>4566</v>
      </c>
      <c r="I1541" t="s">
        <v>184</v>
      </c>
      <c r="J1541" t="s">
        <v>30</v>
      </c>
      <c r="K1541" t="s">
        <v>185</v>
      </c>
      <c r="M1541" t="s">
        <v>32</v>
      </c>
      <c r="N1541" t="str">
        <f>"10/3/2005 12:00:00 AM"</f>
        <v>10/3/2005 12:00:00 AM</v>
      </c>
      <c r="O1541" t="s">
        <v>4564</v>
      </c>
      <c r="T1541" t="s">
        <v>4565</v>
      </c>
    </row>
    <row r="1542" spans="1:20" x14ac:dyDescent="0.25">
      <c r="A1542" t="str">
        <f>"3039978"</f>
        <v>3039978</v>
      </c>
      <c r="B1542" t="s">
        <v>4567</v>
      </c>
      <c r="C1542" t="str">
        <f>"79144000"</f>
        <v>79144000</v>
      </c>
      <c r="D1542" t="s">
        <v>4564</v>
      </c>
      <c r="E1542" t="s">
        <v>4565</v>
      </c>
      <c r="F1542" t="s">
        <v>4566</v>
      </c>
      <c r="I1542" t="s">
        <v>184</v>
      </c>
      <c r="J1542" t="s">
        <v>30</v>
      </c>
      <c r="K1542" t="s">
        <v>185</v>
      </c>
      <c r="M1542" t="s">
        <v>32</v>
      </c>
      <c r="N1542" t="str">
        <f>"10/3/2005 12:00:00 AM"</f>
        <v>10/3/2005 12:00:00 AM</v>
      </c>
      <c r="O1542" t="s">
        <v>4564</v>
      </c>
      <c r="T1542" t="s">
        <v>4565</v>
      </c>
    </row>
    <row r="1543" spans="1:20" x14ac:dyDescent="0.25">
      <c r="A1543" t="str">
        <f>"3068075"</f>
        <v>3068075</v>
      </c>
      <c r="B1543" t="s">
        <v>4568</v>
      </c>
      <c r="C1543" t="str">
        <f>"79144000"</f>
        <v>79144000</v>
      </c>
      <c r="D1543" t="s">
        <v>4564</v>
      </c>
      <c r="E1543" t="s">
        <v>4565</v>
      </c>
      <c r="F1543" t="s">
        <v>4566</v>
      </c>
      <c r="I1543" t="s">
        <v>184</v>
      </c>
      <c r="J1543" t="s">
        <v>30</v>
      </c>
      <c r="K1543" t="s">
        <v>185</v>
      </c>
      <c r="M1543" t="s">
        <v>32</v>
      </c>
      <c r="N1543" t="str">
        <f>"10/3/2005 12:00:00 AM"</f>
        <v>10/3/2005 12:00:00 AM</v>
      </c>
      <c r="O1543" t="s">
        <v>4564</v>
      </c>
      <c r="T1543" t="s">
        <v>4565</v>
      </c>
    </row>
    <row r="1544" spans="1:20" x14ac:dyDescent="0.25">
      <c r="A1544" t="str">
        <f>"3043741"</f>
        <v>3043741</v>
      </c>
      <c r="B1544" t="s">
        <v>4569</v>
      </c>
      <c r="C1544" t="str">
        <f>"67271000"</f>
        <v>67271000</v>
      </c>
      <c r="D1544" t="s">
        <v>4570</v>
      </c>
      <c r="F1544" t="s">
        <v>4571</v>
      </c>
      <c r="I1544" t="s">
        <v>29</v>
      </c>
      <c r="J1544" t="s">
        <v>30</v>
      </c>
      <c r="K1544" t="s">
        <v>31</v>
      </c>
      <c r="M1544" t="s">
        <v>32</v>
      </c>
      <c r="N1544" t="str">
        <f>"11/13/2007 12:00:00 AM"</f>
        <v>11/13/2007 12:00:00 AM</v>
      </c>
      <c r="O1544" t="s">
        <v>4570</v>
      </c>
    </row>
    <row r="1545" spans="1:20" x14ac:dyDescent="0.25">
      <c r="A1545" t="str">
        <f>"3038623"</f>
        <v>3038623</v>
      </c>
      <c r="B1545" t="s">
        <v>4572</v>
      </c>
      <c r="C1545" t="str">
        <f>"82518328"</f>
        <v>82518328</v>
      </c>
      <c r="D1545" t="s">
        <v>4310</v>
      </c>
      <c r="E1545" t="s">
        <v>4311</v>
      </c>
      <c r="F1545" t="s">
        <v>4312</v>
      </c>
      <c r="I1545" t="s">
        <v>29</v>
      </c>
      <c r="J1545" t="s">
        <v>30</v>
      </c>
      <c r="K1545" t="s">
        <v>4303</v>
      </c>
      <c r="M1545" t="s">
        <v>32</v>
      </c>
      <c r="N1545" t="str">
        <f>"1/30/2003 12:00:00 AM"</f>
        <v>1/30/2003 12:00:00 AM</v>
      </c>
      <c r="O1545" t="s">
        <v>4310</v>
      </c>
      <c r="T1545" t="s">
        <v>4311</v>
      </c>
    </row>
    <row r="1546" spans="1:20" x14ac:dyDescent="0.25">
      <c r="A1546" t="str">
        <f>"3038873"</f>
        <v>3038873</v>
      </c>
      <c r="B1546" t="s">
        <v>4573</v>
      </c>
      <c r="C1546" t="str">
        <f>"26368000"</f>
        <v>26368000</v>
      </c>
      <c r="D1546" t="s">
        <v>4333</v>
      </c>
      <c r="E1546" t="s">
        <v>4334</v>
      </c>
      <c r="F1546" t="s">
        <v>4335</v>
      </c>
      <c r="I1546" t="s">
        <v>29</v>
      </c>
      <c r="J1546" t="s">
        <v>30</v>
      </c>
      <c r="K1546" t="s">
        <v>31</v>
      </c>
      <c r="M1546" t="s">
        <v>32</v>
      </c>
      <c r="N1546" t="str">
        <f>"7/26/2002 12:00:00 AM"</f>
        <v>7/26/2002 12:00:00 AM</v>
      </c>
      <c r="O1546" t="s">
        <v>4333</v>
      </c>
      <c r="T1546" t="s">
        <v>4334</v>
      </c>
    </row>
    <row r="1547" spans="1:20" x14ac:dyDescent="0.25">
      <c r="A1547" t="str">
        <f>"3043061"</f>
        <v>3043061</v>
      </c>
      <c r="B1547" t="s">
        <v>4574</v>
      </c>
      <c r="C1547" t="str">
        <f>"51048000"</f>
        <v>51048000</v>
      </c>
      <c r="D1547" t="s">
        <v>4575</v>
      </c>
      <c r="E1547" t="s">
        <v>4576</v>
      </c>
      <c r="F1547" t="s">
        <v>4577</v>
      </c>
      <c r="I1547" t="s">
        <v>29</v>
      </c>
      <c r="J1547" t="s">
        <v>30</v>
      </c>
      <c r="K1547" t="s">
        <v>31</v>
      </c>
      <c r="M1547" t="s">
        <v>32</v>
      </c>
      <c r="N1547" t="str">
        <f>"2/23/2004 12:00:00 AM"</f>
        <v>2/23/2004 12:00:00 AM</v>
      </c>
      <c r="O1547" t="s">
        <v>4575</v>
      </c>
      <c r="T1547" t="s">
        <v>4576</v>
      </c>
    </row>
    <row r="1548" spans="1:20" x14ac:dyDescent="0.25">
      <c r="A1548" t="str">
        <f>"3042964"</f>
        <v>3042964</v>
      </c>
      <c r="B1548" t="s">
        <v>4578</v>
      </c>
      <c r="C1548" t="str">
        <f>"82528405"</f>
        <v>82528405</v>
      </c>
      <c r="D1548" t="s">
        <v>4579</v>
      </c>
      <c r="E1548" t="s">
        <v>4580</v>
      </c>
      <c r="F1548" t="s">
        <v>4581</v>
      </c>
      <c r="I1548" t="s">
        <v>29</v>
      </c>
      <c r="J1548" t="s">
        <v>30</v>
      </c>
      <c r="K1548" t="s">
        <v>31</v>
      </c>
      <c r="M1548" t="s">
        <v>32</v>
      </c>
      <c r="N1548" t="str">
        <f>"7/24/2007 12:00:00 AM"</f>
        <v>7/24/2007 12:00:00 AM</v>
      </c>
      <c r="O1548" t="s">
        <v>4579</v>
      </c>
      <c r="T1548" t="s">
        <v>4580</v>
      </c>
    </row>
    <row r="1549" spans="1:20" x14ac:dyDescent="0.25">
      <c r="A1549" t="str">
        <f>"3039102"</f>
        <v>3039102</v>
      </c>
      <c r="B1549" t="s">
        <v>4582</v>
      </c>
      <c r="C1549" t="str">
        <f>"39116000"</f>
        <v>39116000</v>
      </c>
      <c r="D1549" t="s">
        <v>4381</v>
      </c>
      <c r="E1549" t="s">
        <v>4382</v>
      </c>
      <c r="F1549" t="s">
        <v>4383</v>
      </c>
      <c r="I1549" t="s">
        <v>29</v>
      </c>
      <c r="J1549" t="s">
        <v>30</v>
      </c>
      <c r="K1549" t="s">
        <v>4384</v>
      </c>
      <c r="M1549" t="s">
        <v>32</v>
      </c>
      <c r="N1549" t="str">
        <f>"2/5/2010 12:00:00 AM"</f>
        <v>2/5/2010 12:00:00 AM</v>
      </c>
      <c r="O1549" t="s">
        <v>4381</v>
      </c>
      <c r="T1549" t="s">
        <v>4382</v>
      </c>
    </row>
    <row r="1550" spans="1:20" x14ac:dyDescent="0.25">
      <c r="A1550" t="str">
        <f>"3038051"</f>
        <v>3038051</v>
      </c>
      <c r="B1550" t="s">
        <v>4583</v>
      </c>
      <c r="C1550" t="str">
        <f>"39116000"</f>
        <v>39116000</v>
      </c>
      <c r="D1550" t="s">
        <v>4381</v>
      </c>
      <c r="E1550" t="s">
        <v>4382</v>
      </c>
      <c r="F1550" t="s">
        <v>4383</v>
      </c>
      <c r="I1550" t="s">
        <v>29</v>
      </c>
      <c r="J1550" t="s">
        <v>30</v>
      </c>
      <c r="K1550" t="s">
        <v>4384</v>
      </c>
      <c r="M1550" t="s">
        <v>32</v>
      </c>
      <c r="N1550" t="str">
        <f>"2/5/2010 12:00:00 AM"</f>
        <v>2/5/2010 12:00:00 AM</v>
      </c>
      <c r="O1550" t="s">
        <v>4381</v>
      </c>
      <c r="T1550" t="s">
        <v>4382</v>
      </c>
    </row>
    <row r="1551" spans="1:20" x14ac:dyDescent="0.25">
      <c r="A1551" t="str">
        <f>"3042838"</f>
        <v>3042838</v>
      </c>
      <c r="B1551" t="s">
        <v>4584</v>
      </c>
      <c r="C1551" t="str">
        <f>"45997250"</f>
        <v>45997250</v>
      </c>
      <c r="D1551" t="s">
        <v>4585</v>
      </c>
      <c r="F1551" t="s">
        <v>4586</v>
      </c>
      <c r="I1551" t="s">
        <v>29</v>
      </c>
      <c r="J1551" t="s">
        <v>30</v>
      </c>
      <c r="K1551" t="s">
        <v>31</v>
      </c>
      <c r="M1551" t="s">
        <v>32</v>
      </c>
      <c r="N1551" t="str">
        <f>"11/8/2005 12:00:00 AM"</f>
        <v>11/8/2005 12:00:00 AM</v>
      </c>
      <c r="O1551" t="s">
        <v>4585</v>
      </c>
    </row>
    <row r="1552" spans="1:20" x14ac:dyDescent="0.25">
      <c r="A1552" t="str">
        <f>"3042041"</f>
        <v>3042041</v>
      </c>
      <c r="B1552" t="s">
        <v>4587</v>
      </c>
      <c r="C1552" t="str">
        <f>"82519905"</f>
        <v>82519905</v>
      </c>
      <c r="D1552" t="s">
        <v>4588</v>
      </c>
      <c r="F1552" t="s">
        <v>4589</v>
      </c>
      <c r="I1552" t="s">
        <v>29</v>
      </c>
      <c r="J1552" t="s">
        <v>30</v>
      </c>
      <c r="K1552" t="s">
        <v>31</v>
      </c>
      <c r="M1552" t="s">
        <v>32</v>
      </c>
      <c r="N1552" t="str">
        <f>"12/31/2002 12:00:00 AM"</f>
        <v>12/31/2002 12:00:00 AM</v>
      </c>
      <c r="O1552" t="s">
        <v>4588</v>
      </c>
    </row>
    <row r="1553" spans="1:20" x14ac:dyDescent="0.25">
      <c r="A1553" t="str">
        <f>"3039927"</f>
        <v>3039927</v>
      </c>
      <c r="B1553" t="s">
        <v>4590</v>
      </c>
      <c r="C1553" t="str">
        <f>"82529381"</f>
        <v>82529381</v>
      </c>
      <c r="D1553" t="s">
        <v>4591</v>
      </c>
      <c r="E1553" t="s">
        <v>4592</v>
      </c>
      <c r="F1553" t="s">
        <v>4593</v>
      </c>
      <c r="I1553" t="s">
        <v>4594</v>
      </c>
      <c r="J1553" t="s">
        <v>1046</v>
      </c>
      <c r="K1553" t="s">
        <v>4595</v>
      </c>
      <c r="M1553" t="s">
        <v>32</v>
      </c>
      <c r="N1553" t="str">
        <f>"4/3/2008 12:00:00 AM"</f>
        <v>4/3/2008 12:00:00 AM</v>
      </c>
      <c r="O1553" t="s">
        <v>4591</v>
      </c>
      <c r="T1553" t="s">
        <v>4592</v>
      </c>
    </row>
    <row r="1554" spans="1:20" x14ac:dyDescent="0.25">
      <c r="A1554" t="str">
        <f>"3039301"</f>
        <v>3039301</v>
      </c>
      <c r="B1554" t="s">
        <v>4596</v>
      </c>
      <c r="C1554" t="str">
        <f>"82526274"</f>
        <v>82526274</v>
      </c>
      <c r="D1554" t="s">
        <v>4597</v>
      </c>
      <c r="F1554" t="s">
        <v>4598</v>
      </c>
      <c r="I1554" t="s">
        <v>163</v>
      </c>
      <c r="J1554" t="s">
        <v>30</v>
      </c>
      <c r="K1554" t="s">
        <v>2356</v>
      </c>
      <c r="M1554" t="s">
        <v>32</v>
      </c>
      <c r="N1554" t="str">
        <f>"2/19/2010 12:00:00 AM"</f>
        <v>2/19/2010 12:00:00 AM</v>
      </c>
      <c r="O1554" t="s">
        <v>4597</v>
      </c>
    </row>
    <row r="1555" spans="1:20" x14ac:dyDescent="0.25">
      <c r="A1555" t="str">
        <f>"3050970"</f>
        <v>3050970</v>
      </c>
      <c r="B1555" t="s">
        <v>4599</v>
      </c>
      <c r="C1555" t="str">
        <f>"82526274"</f>
        <v>82526274</v>
      </c>
      <c r="D1555" t="s">
        <v>4597</v>
      </c>
      <c r="F1555" t="s">
        <v>4598</v>
      </c>
      <c r="I1555" t="s">
        <v>163</v>
      </c>
      <c r="J1555" t="s">
        <v>30</v>
      </c>
      <c r="K1555" t="s">
        <v>2356</v>
      </c>
      <c r="M1555" t="s">
        <v>32</v>
      </c>
      <c r="N1555" t="str">
        <f>"2/19/2010 12:00:00 AM"</f>
        <v>2/19/2010 12:00:00 AM</v>
      </c>
      <c r="O1555" t="s">
        <v>4597</v>
      </c>
    </row>
    <row r="1556" spans="1:20" x14ac:dyDescent="0.25">
      <c r="A1556" t="str">
        <f>"3042867"</f>
        <v>3042867</v>
      </c>
      <c r="B1556" t="s">
        <v>4600</v>
      </c>
      <c r="C1556" t="str">
        <f>"82523329"</f>
        <v>82523329</v>
      </c>
      <c r="D1556" t="s">
        <v>4601</v>
      </c>
      <c r="E1556" t="s">
        <v>4602</v>
      </c>
      <c r="F1556" t="s">
        <v>4603</v>
      </c>
      <c r="I1556" t="s">
        <v>29</v>
      </c>
      <c r="J1556" t="s">
        <v>30</v>
      </c>
      <c r="K1556" t="s">
        <v>31</v>
      </c>
      <c r="M1556" t="s">
        <v>32</v>
      </c>
      <c r="N1556" t="str">
        <f>"9/16/2011 12:00:00 AM"</f>
        <v>9/16/2011 12:00:00 AM</v>
      </c>
      <c r="O1556" t="s">
        <v>4601</v>
      </c>
      <c r="T1556" t="s">
        <v>4602</v>
      </c>
    </row>
    <row r="1557" spans="1:20" x14ac:dyDescent="0.25">
      <c r="A1557" t="str">
        <f>"3077112"</f>
        <v>3077112</v>
      </c>
      <c r="B1557" t="s">
        <v>4604</v>
      </c>
      <c r="C1557" t="str">
        <f>"82523763"</f>
        <v>82523763</v>
      </c>
      <c r="D1557" t="s">
        <v>4605</v>
      </c>
      <c r="F1557" t="s">
        <v>4606</v>
      </c>
      <c r="I1557" t="s">
        <v>184</v>
      </c>
      <c r="J1557" t="s">
        <v>30</v>
      </c>
      <c r="K1557" t="s">
        <v>185</v>
      </c>
      <c r="M1557" t="s">
        <v>32</v>
      </c>
      <c r="N1557" t="str">
        <f>"1/21/2005 12:00:00 AM"</f>
        <v>1/21/2005 12:00:00 AM</v>
      </c>
      <c r="O1557" t="s">
        <v>4605</v>
      </c>
    </row>
    <row r="1558" spans="1:20" x14ac:dyDescent="0.25">
      <c r="A1558" t="str">
        <f>"3067740"</f>
        <v>3067740</v>
      </c>
      <c r="B1558" t="s">
        <v>4607</v>
      </c>
      <c r="C1558" t="str">
        <f>"82517036"</f>
        <v>82517036</v>
      </c>
      <c r="D1558" t="s">
        <v>4608</v>
      </c>
      <c r="F1558" t="s">
        <v>4609</v>
      </c>
      <c r="I1558" t="s">
        <v>184</v>
      </c>
      <c r="J1558" t="s">
        <v>30</v>
      </c>
      <c r="K1558" t="s">
        <v>185</v>
      </c>
      <c r="M1558" t="s">
        <v>32</v>
      </c>
      <c r="N1558" t="str">
        <f>"9/1/2004 12:00:00 AM"</f>
        <v>9/1/2004 12:00:00 AM</v>
      </c>
      <c r="O1558" t="s">
        <v>4608</v>
      </c>
    </row>
    <row r="1559" spans="1:20" x14ac:dyDescent="0.25">
      <c r="A1559" t="str">
        <f>"3039880"</f>
        <v>3039880</v>
      </c>
      <c r="B1559" t="s">
        <v>4610</v>
      </c>
      <c r="C1559" t="str">
        <f>"5070000"</f>
        <v>5070000</v>
      </c>
      <c r="D1559" t="s">
        <v>4611</v>
      </c>
      <c r="E1559" t="s">
        <v>4612</v>
      </c>
      <c r="F1559" t="s">
        <v>4613</v>
      </c>
      <c r="I1559" t="s">
        <v>184</v>
      </c>
      <c r="J1559" t="s">
        <v>30</v>
      </c>
      <c r="K1559" t="s">
        <v>4614</v>
      </c>
      <c r="M1559" t="s">
        <v>32</v>
      </c>
      <c r="N1559" t="str">
        <f>"1/11/2006 12:00:00 AM"</f>
        <v>1/11/2006 12:00:00 AM</v>
      </c>
      <c r="O1559" t="s">
        <v>4611</v>
      </c>
      <c r="T1559" t="s">
        <v>4612</v>
      </c>
    </row>
    <row r="1560" spans="1:20" x14ac:dyDescent="0.25">
      <c r="A1560" t="str">
        <f>"3039763"</f>
        <v>3039763</v>
      </c>
      <c r="B1560" t="s">
        <v>4615</v>
      </c>
      <c r="C1560" t="str">
        <f>"70697560"</f>
        <v>70697560</v>
      </c>
      <c r="D1560" t="s">
        <v>4616</v>
      </c>
      <c r="E1560" t="s">
        <v>4617</v>
      </c>
      <c r="F1560" t="s">
        <v>4618</v>
      </c>
      <c r="I1560" t="s">
        <v>184</v>
      </c>
      <c r="J1560" t="s">
        <v>30</v>
      </c>
      <c r="K1560" t="s">
        <v>185</v>
      </c>
      <c r="M1560" t="s">
        <v>32</v>
      </c>
      <c r="N1560" t="str">
        <f>"4/26/2002 12:00:00 AM"</f>
        <v>4/26/2002 12:00:00 AM</v>
      </c>
      <c r="O1560" t="s">
        <v>4616</v>
      </c>
      <c r="T1560" t="s">
        <v>4617</v>
      </c>
    </row>
    <row r="1561" spans="1:20" x14ac:dyDescent="0.25">
      <c r="A1561" t="str">
        <f>"3040759"</f>
        <v>3040759</v>
      </c>
      <c r="B1561" t="s">
        <v>4619</v>
      </c>
      <c r="C1561" t="str">
        <f>"82524988"</f>
        <v>82524988</v>
      </c>
      <c r="D1561" t="s">
        <v>4620</v>
      </c>
      <c r="F1561" t="s">
        <v>4621</v>
      </c>
      <c r="I1561" t="s">
        <v>184</v>
      </c>
      <c r="J1561" t="s">
        <v>30</v>
      </c>
      <c r="K1561" t="s">
        <v>185</v>
      </c>
      <c r="M1561" t="s">
        <v>32</v>
      </c>
      <c r="N1561" t="str">
        <f>"8/16/2005 12:00:00 AM"</f>
        <v>8/16/2005 12:00:00 AM</v>
      </c>
      <c r="O1561" t="s">
        <v>4620</v>
      </c>
    </row>
    <row r="1562" spans="1:20" x14ac:dyDescent="0.25">
      <c r="A1562" t="str">
        <f>"3040775"</f>
        <v>3040775</v>
      </c>
      <c r="B1562" t="s">
        <v>4622</v>
      </c>
      <c r="C1562" t="str">
        <f>"7068000"</f>
        <v>7068000</v>
      </c>
      <c r="D1562" t="s">
        <v>4623</v>
      </c>
      <c r="F1562" t="s">
        <v>4624</v>
      </c>
      <c r="I1562" t="s">
        <v>29</v>
      </c>
      <c r="J1562" t="s">
        <v>30</v>
      </c>
      <c r="K1562" t="s">
        <v>31</v>
      </c>
      <c r="M1562" t="s">
        <v>32</v>
      </c>
      <c r="N1562" t="str">
        <f>"4/26/2002 12:00:00 AM"</f>
        <v>4/26/2002 12:00:00 AM</v>
      </c>
      <c r="O1562" t="s">
        <v>4623</v>
      </c>
    </row>
    <row r="1563" spans="1:20" x14ac:dyDescent="0.25">
      <c r="A1563" t="str">
        <f>"3040912"</f>
        <v>3040912</v>
      </c>
      <c r="B1563" t="s">
        <v>4625</v>
      </c>
      <c r="C1563" t="str">
        <f>"7068000"</f>
        <v>7068000</v>
      </c>
      <c r="D1563" t="s">
        <v>4623</v>
      </c>
      <c r="F1563" t="s">
        <v>4624</v>
      </c>
      <c r="I1563" t="s">
        <v>29</v>
      </c>
      <c r="J1563" t="s">
        <v>30</v>
      </c>
      <c r="K1563" t="s">
        <v>31</v>
      </c>
      <c r="M1563" t="s">
        <v>32</v>
      </c>
      <c r="N1563" t="str">
        <f>"4/26/2002 12:00:00 AM"</f>
        <v>4/26/2002 12:00:00 AM</v>
      </c>
      <c r="O1563" t="s">
        <v>4623</v>
      </c>
    </row>
    <row r="1564" spans="1:20" x14ac:dyDescent="0.25">
      <c r="A1564" t="str">
        <f>"3040351"</f>
        <v>3040351</v>
      </c>
      <c r="B1564" t="s">
        <v>4626</v>
      </c>
      <c r="C1564" t="str">
        <f>"7068000"</f>
        <v>7068000</v>
      </c>
      <c r="D1564" t="s">
        <v>4623</v>
      </c>
      <c r="F1564" t="s">
        <v>4624</v>
      </c>
      <c r="I1564" t="s">
        <v>29</v>
      </c>
      <c r="J1564" t="s">
        <v>30</v>
      </c>
      <c r="K1564" t="s">
        <v>31</v>
      </c>
      <c r="M1564" t="s">
        <v>32</v>
      </c>
      <c r="N1564" t="str">
        <f>"4/26/2002 12:00:00 AM"</f>
        <v>4/26/2002 12:00:00 AM</v>
      </c>
      <c r="O1564" t="s">
        <v>4623</v>
      </c>
    </row>
    <row r="1565" spans="1:20" x14ac:dyDescent="0.25">
      <c r="A1565" t="str">
        <f>"3041977"</f>
        <v>3041977</v>
      </c>
      <c r="B1565" t="s">
        <v>4627</v>
      </c>
      <c r="C1565" t="str">
        <f>"7068000"</f>
        <v>7068000</v>
      </c>
      <c r="D1565" t="s">
        <v>4623</v>
      </c>
      <c r="F1565" t="s">
        <v>4624</v>
      </c>
      <c r="I1565" t="s">
        <v>29</v>
      </c>
      <c r="J1565" t="s">
        <v>30</v>
      </c>
      <c r="K1565" t="s">
        <v>31</v>
      </c>
      <c r="M1565" t="s">
        <v>32</v>
      </c>
      <c r="N1565" t="str">
        <f>"4/26/2002 12:00:00 AM"</f>
        <v>4/26/2002 12:00:00 AM</v>
      </c>
      <c r="O1565" t="s">
        <v>4623</v>
      </c>
    </row>
    <row r="1566" spans="1:20" x14ac:dyDescent="0.25">
      <c r="A1566" t="str">
        <f>"3043574"</f>
        <v>3043574</v>
      </c>
      <c r="B1566" t="s">
        <v>4628</v>
      </c>
      <c r="C1566" t="str">
        <f>"7068000"</f>
        <v>7068000</v>
      </c>
      <c r="D1566" t="s">
        <v>4623</v>
      </c>
      <c r="F1566" t="s">
        <v>4624</v>
      </c>
      <c r="I1566" t="s">
        <v>29</v>
      </c>
      <c r="J1566" t="s">
        <v>30</v>
      </c>
      <c r="K1566" t="s">
        <v>31</v>
      </c>
      <c r="M1566" t="s">
        <v>32</v>
      </c>
      <c r="N1566" t="str">
        <f>"4/26/2002 12:00:00 AM"</f>
        <v>4/26/2002 12:00:00 AM</v>
      </c>
      <c r="O1566" t="s">
        <v>4623</v>
      </c>
    </row>
    <row r="1567" spans="1:20" x14ac:dyDescent="0.25">
      <c r="A1567" t="str">
        <f>"3077060"</f>
        <v>3077060</v>
      </c>
      <c r="B1567" t="s">
        <v>4629</v>
      </c>
      <c r="C1567" t="str">
        <f>"82526782"</f>
        <v>82526782</v>
      </c>
      <c r="D1567" t="s">
        <v>4413</v>
      </c>
      <c r="F1567" t="s">
        <v>4414</v>
      </c>
      <c r="I1567" t="s">
        <v>29</v>
      </c>
      <c r="J1567" t="s">
        <v>30</v>
      </c>
      <c r="K1567" t="s">
        <v>31</v>
      </c>
      <c r="M1567" t="s">
        <v>32</v>
      </c>
      <c r="N1567" t="str">
        <f>"9/12/2006 12:00:00 AM"</f>
        <v>9/12/2006 12:00:00 AM</v>
      </c>
      <c r="O1567" t="s">
        <v>4413</v>
      </c>
    </row>
    <row r="1568" spans="1:20" x14ac:dyDescent="0.25">
      <c r="A1568" t="str">
        <f>"3043471"</f>
        <v>3043471</v>
      </c>
      <c r="B1568" t="s">
        <v>4630</v>
      </c>
      <c r="C1568" t="str">
        <f>"74907400"</f>
        <v>74907400</v>
      </c>
      <c r="D1568" t="s">
        <v>4631</v>
      </c>
      <c r="F1568" t="s">
        <v>4632</v>
      </c>
      <c r="I1568" t="s">
        <v>29</v>
      </c>
      <c r="J1568" t="s">
        <v>30</v>
      </c>
      <c r="K1568" t="s">
        <v>31</v>
      </c>
      <c r="M1568" t="s">
        <v>32</v>
      </c>
      <c r="N1568" t="str">
        <f>"4/25/2002 12:00:00 AM"</f>
        <v>4/25/2002 12:00:00 AM</v>
      </c>
      <c r="O1568" t="s">
        <v>4631</v>
      </c>
    </row>
    <row r="1569" spans="1:20" x14ac:dyDescent="0.25">
      <c r="A1569" t="str">
        <f>"3042049"</f>
        <v>3042049</v>
      </c>
      <c r="B1569" t="s">
        <v>4633</v>
      </c>
      <c r="C1569" t="str">
        <f>"584000"</f>
        <v>584000</v>
      </c>
      <c r="D1569" t="s">
        <v>4634</v>
      </c>
      <c r="F1569" t="s">
        <v>2833</v>
      </c>
      <c r="I1569" t="s">
        <v>184</v>
      </c>
      <c r="J1569" t="s">
        <v>30</v>
      </c>
      <c r="K1569" t="s">
        <v>185</v>
      </c>
      <c r="M1569" t="s">
        <v>32</v>
      </c>
      <c r="N1569" t="str">
        <f>"12/29/2003 12:00:00 AM"</f>
        <v>12/29/2003 12:00:00 AM</v>
      </c>
      <c r="O1569" t="s">
        <v>4634</v>
      </c>
    </row>
    <row r="1570" spans="1:20" x14ac:dyDescent="0.25">
      <c r="A1570" t="str">
        <f>"3043692"</f>
        <v>3043692</v>
      </c>
      <c r="B1570" t="s">
        <v>4635</v>
      </c>
      <c r="C1570" t="str">
        <f>"82516700"</f>
        <v>82516700</v>
      </c>
      <c r="D1570" t="s">
        <v>4636</v>
      </c>
      <c r="F1570" t="s">
        <v>4637</v>
      </c>
      <c r="I1570" t="s">
        <v>29</v>
      </c>
      <c r="J1570" t="s">
        <v>30</v>
      </c>
      <c r="K1570" t="s">
        <v>4638</v>
      </c>
      <c r="M1570" t="s">
        <v>32</v>
      </c>
      <c r="N1570" t="str">
        <f>"5/24/2005 12:00:00 AM"</f>
        <v>5/24/2005 12:00:00 AM</v>
      </c>
      <c r="O1570" t="s">
        <v>4636</v>
      </c>
    </row>
    <row r="1571" spans="1:20" x14ac:dyDescent="0.25">
      <c r="A1571" t="str">
        <f>"3043100"</f>
        <v>3043100</v>
      </c>
      <c r="B1571" t="s">
        <v>4639</v>
      </c>
      <c r="C1571" t="str">
        <f>"82516700"</f>
        <v>82516700</v>
      </c>
      <c r="D1571" t="s">
        <v>4636</v>
      </c>
      <c r="F1571" t="s">
        <v>4637</v>
      </c>
      <c r="I1571" t="s">
        <v>29</v>
      </c>
      <c r="J1571" t="s">
        <v>30</v>
      </c>
      <c r="K1571" t="s">
        <v>4638</v>
      </c>
      <c r="M1571" t="s">
        <v>32</v>
      </c>
      <c r="N1571" t="str">
        <f>"5/24/2005 12:00:00 AM"</f>
        <v>5/24/2005 12:00:00 AM</v>
      </c>
      <c r="O1571" t="s">
        <v>4636</v>
      </c>
    </row>
    <row r="1572" spans="1:20" x14ac:dyDescent="0.25">
      <c r="A1572" t="str">
        <f>"3038450"</f>
        <v>3038450</v>
      </c>
      <c r="B1572" t="s">
        <v>4640</v>
      </c>
      <c r="C1572" t="str">
        <f>"82524011"</f>
        <v>82524011</v>
      </c>
      <c r="D1572" t="s">
        <v>4641</v>
      </c>
      <c r="F1572" t="s">
        <v>4642</v>
      </c>
      <c r="I1572" t="s">
        <v>29</v>
      </c>
      <c r="J1572" t="s">
        <v>30</v>
      </c>
      <c r="K1572" t="s">
        <v>4643</v>
      </c>
      <c r="M1572" t="s">
        <v>32</v>
      </c>
      <c r="N1572" t="str">
        <f>"1/13/2006 12:00:00 AM"</f>
        <v>1/13/2006 12:00:00 AM</v>
      </c>
      <c r="O1572" t="s">
        <v>4641</v>
      </c>
    </row>
    <row r="1573" spans="1:20" x14ac:dyDescent="0.25">
      <c r="A1573" t="str">
        <f>"3037433"</f>
        <v>3037433</v>
      </c>
      <c r="B1573" t="s">
        <v>4644</v>
      </c>
      <c r="C1573" t="str">
        <f>"44836840"</f>
        <v>44836840</v>
      </c>
      <c r="D1573" t="s">
        <v>4645</v>
      </c>
      <c r="F1573" t="s">
        <v>4646</v>
      </c>
      <c r="I1573" t="s">
        <v>184</v>
      </c>
      <c r="J1573" t="s">
        <v>30</v>
      </c>
      <c r="K1573" t="s">
        <v>185</v>
      </c>
      <c r="M1573" t="s">
        <v>32</v>
      </c>
      <c r="N1573" t="str">
        <f>"4/26/2002 12:00:00 AM"</f>
        <v>4/26/2002 12:00:00 AM</v>
      </c>
      <c r="O1573" t="s">
        <v>4645</v>
      </c>
    </row>
    <row r="1574" spans="1:20" x14ac:dyDescent="0.25">
      <c r="A1574" t="str">
        <f>"3040678"</f>
        <v>3040678</v>
      </c>
      <c r="B1574" t="s">
        <v>4647</v>
      </c>
      <c r="C1574" t="str">
        <f>"21872580"</f>
        <v>21872580</v>
      </c>
      <c r="D1574" t="s">
        <v>4648</v>
      </c>
      <c r="F1574" t="s">
        <v>4649</v>
      </c>
      <c r="I1574" t="s">
        <v>184</v>
      </c>
      <c r="J1574" t="s">
        <v>30</v>
      </c>
      <c r="K1574" t="s">
        <v>185</v>
      </c>
      <c r="M1574" t="s">
        <v>32</v>
      </c>
      <c r="N1574" t="str">
        <f>"4/26/2002 12:00:00 AM"</f>
        <v>4/26/2002 12:00:00 AM</v>
      </c>
      <c r="O1574" t="s">
        <v>4648</v>
      </c>
    </row>
    <row r="1575" spans="1:20" x14ac:dyDescent="0.25">
      <c r="A1575" t="str">
        <f>"3064080"</f>
        <v>3064080</v>
      </c>
      <c r="B1575" t="s">
        <v>4650</v>
      </c>
      <c r="C1575" t="str">
        <f>"5132000"</f>
        <v>5132000</v>
      </c>
      <c r="D1575" t="s">
        <v>4651</v>
      </c>
      <c r="E1575" t="s">
        <v>4652</v>
      </c>
      <c r="F1575" t="s">
        <v>4653</v>
      </c>
      <c r="I1575" t="s">
        <v>184</v>
      </c>
      <c r="J1575" t="s">
        <v>30</v>
      </c>
      <c r="K1575" t="s">
        <v>4654</v>
      </c>
      <c r="M1575" t="s">
        <v>32</v>
      </c>
      <c r="N1575" t="str">
        <f>"1/10/2006 12:00:00 AM"</f>
        <v>1/10/2006 12:00:00 AM</v>
      </c>
      <c r="O1575" t="s">
        <v>4651</v>
      </c>
      <c r="T1575" t="s">
        <v>4652</v>
      </c>
    </row>
    <row r="1576" spans="1:20" x14ac:dyDescent="0.25">
      <c r="A1576" t="str">
        <f>"3040864"</f>
        <v>3040864</v>
      </c>
      <c r="B1576" t="s">
        <v>4655</v>
      </c>
      <c r="C1576" t="str">
        <f>"67271940"</f>
        <v>67271940</v>
      </c>
      <c r="D1576" t="s">
        <v>4656</v>
      </c>
      <c r="F1576" t="s">
        <v>4657</v>
      </c>
      <c r="I1576" t="s">
        <v>184</v>
      </c>
      <c r="J1576" t="s">
        <v>30</v>
      </c>
      <c r="K1576" t="s">
        <v>185</v>
      </c>
      <c r="M1576" t="s">
        <v>32</v>
      </c>
      <c r="N1576" t="str">
        <f>"7/16/2003 12:00:00 AM"</f>
        <v>7/16/2003 12:00:00 AM</v>
      </c>
      <c r="O1576" t="s">
        <v>4656</v>
      </c>
    </row>
    <row r="1577" spans="1:20" x14ac:dyDescent="0.25">
      <c r="A1577" t="str">
        <f>"3064043"</f>
        <v>3064043</v>
      </c>
      <c r="B1577" t="s">
        <v>4658</v>
      </c>
      <c r="C1577" t="str">
        <f>"81606000"</f>
        <v>81606000</v>
      </c>
      <c r="D1577" t="s">
        <v>4659</v>
      </c>
      <c r="F1577" t="s">
        <v>4660</v>
      </c>
      <c r="I1577" t="s">
        <v>184</v>
      </c>
      <c r="J1577" t="s">
        <v>30</v>
      </c>
      <c r="K1577" t="s">
        <v>185</v>
      </c>
      <c r="M1577" t="s">
        <v>32</v>
      </c>
      <c r="N1577" t="str">
        <f>"7/20/2004 12:00:00 AM"</f>
        <v>7/20/2004 12:00:00 AM</v>
      </c>
      <c r="O1577" t="s">
        <v>4659</v>
      </c>
    </row>
    <row r="1578" spans="1:20" x14ac:dyDescent="0.25">
      <c r="A1578" t="str">
        <f>"3040916"</f>
        <v>3040916</v>
      </c>
      <c r="B1578" t="s">
        <v>4661</v>
      </c>
      <c r="C1578" t="str">
        <f>"15528000"</f>
        <v>15528000</v>
      </c>
      <c r="D1578" t="s">
        <v>4662</v>
      </c>
      <c r="E1578" t="s">
        <v>4663</v>
      </c>
      <c r="F1578" t="s">
        <v>4664</v>
      </c>
      <c r="I1578" t="s">
        <v>184</v>
      </c>
      <c r="J1578" t="s">
        <v>30</v>
      </c>
      <c r="K1578" t="s">
        <v>185</v>
      </c>
      <c r="M1578" t="s">
        <v>32</v>
      </c>
      <c r="N1578" t="str">
        <f>"6/26/2003 12:00:00 AM"</f>
        <v>6/26/2003 12:00:00 AM</v>
      </c>
      <c r="O1578" t="s">
        <v>4662</v>
      </c>
      <c r="T1578" t="s">
        <v>4663</v>
      </c>
    </row>
    <row r="1579" spans="1:20" x14ac:dyDescent="0.25">
      <c r="A1579" t="str">
        <f>"3038611"</f>
        <v>3038611</v>
      </c>
      <c r="B1579" t="s">
        <v>4665</v>
      </c>
      <c r="C1579" t="str">
        <f>"82524159"</f>
        <v>82524159</v>
      </c>
      <c r="D1579" t="s">
        <v>4666</v>
      </c>
      <c r="E1579" t="s">
        <v>4667</v>
      </c>
      <c r="F1579" t="s">
        <v>4668</v>
      </c>
      <c r="I1579" t="s">
        <v>29</v>
      </c>
      <c r="J1579" t="s">
        <v>30</v>
      </c>
      <c r="K1579" t="s">
        <v>31</v>
      </c>
      <c r="M1579" t="s">
        <v>32</v>
      </c>
      <c r="N1579" t="str">
        <f>"4/25/2008 12:00:00 AM"</f>
        <v>4/25/2008 12:00:00 AM</v>
      </c>
      <c r="O1579" t="s">
        <v>4666</v>
      </c>
      <c r="T1579" t="s">
        <v>4667</v>
      </c>
    </row>
    <row r="1580" spans="1:20" x14ac:dyDescent="0.25">
      <c r="A1580" t="str">
        <f>"3057997"</f>
        <v>3057997</v>
      </c>
      <c r="B1580" t="s">
        <v>4669</v>
      </c>
      <c r="C1580" t="str">
        <f>"71984000"</f>
        <v>71984000</v>
      </c>
      <c r="D1580" t="s">
        <v>4670</v>
      </c>
      <c r="E1580" t="s">
        <v>4671</v>
      </c>
      <c r="F1580" t="s">
        <v>4672</v>
      </c>
      <c r="I1580" t="s">
        <v>184</v>
      </c>
      <c r="J1580" t="s">
        <v>30</v>
      </c>
      <c r="K1580" t="s">
        <v>4673</v>
      </c>
      <c r="M1580" t="s">
        <v>32</v>
      </c>
      <c r="N1580" t="str">
        <f>"1/23/2006 12:00:00 AM"</f>
        <v>1/23/2006 12:00:00 AM</v>
      </c>
      <c r="O1580" t="s">
        <v>4670</v>
      </c>
      <c r="T1580" t="s">
        <v>4671</v>
      </c>
    </row>
    <row r="1581" spans="1:20" x14ac:dyDescent="0.25">
      <c r="A1581" t="str">
        <f>"3057998"</f>
        <v>3057998</v>
      </c>
      <c r="B1581" t="s">
        <v>4674</v>
      </c>
      <c r="C1581" t="str">
        <f>"34385490"</f>
        <v>34385490</v>
      </c>
      <c r="D1581" t="s">
        <v>4675</v>
      </c>
      <c r="E1581" t="s">
        <v>4676</v>
      </c>
      <c r="F1581" t="s">
        <v>4677</v>
      </c>
      <c r="I1581" t="s">
        <v>184</v>
      </c>
      <c r="J1581" t="s">
        <v>30</v>
      </c>
      <c r="K1581" t="s">
        <v>4673</v>
      </c>
      <c r="M1581" t="s">
        <v>32</v>
      </c>
      <c r="N1581" t="str">
        <f>"2/1/2006 12:00:00 AM"</f>
        <v>2/1/2006 12:00:00 AM</v>
      </c>
      <c r="O1581" t="s">
        <v>4675</v>
      </c>
      <c r="T1581" t="s">
        <v>4676</v>
      </c>
    </row>
    <row r="1582" spans="1:20" x14ac:dyDescent="0.25">
      <c r="A1582" t="str">
        <f>"3057991"</f>
        <v>3057991</v>
      </c>
      <c r="B1582" t="s">
        <v>4678</v>
      </c>
      <c r="C1582" t="str">
        <f>"82523897"</f>
        <v>82523897</v>
      </c>
      <c r="D1582" t="s">
        <v>4679</v>
      </c>
      <c r="F1582" t="s">
        <v>4680</v>
      </c>
      <c r="I1582" t="s">
        <v>471</v>
      </c>
      <c r="J1582" t="s">
        <v>30</v>
      </c>
      <c r="K1582" t="s">
        <v>4681</v>
      </c>
      <c r="M1582" t="s">
        <v>32</v>
      </c>
      <c r="N1582" t="str">
        <f>"6/14/2006 12:00:00 AM"</f>
        <v>6/14/2006 12:00:00 AM</v>
      </c>
      <c r="O1582" t="s">
        <v>4679</v>
      </c>
    </row>
    <row r="1583" spans="1:20" x14ac:dyDescent="0.25">
      <c r="A1583" t="str">
        <f>"3057992"</f>
        <v>3057992</v>
      </c>
      <c r="B1583" t="s">
        <v>4682</v>
      </c>
      <c r="C1583" t="str">
        <f>"82525693"</f>
        <v>82525693</v>
      </c>
      <c r="D1583" t="s">
        <v>4683</v>
      </c>
      <c r="F1583" t="s">
        <v>4684</v>
      </c>
      <c r="I1583" t="s">
        <v>184</v>
      </c>
      <c r="J1583" t="s">
        <v>30</v>
      </c>
      <c r="K1583" t="s">
        <v>185</v>
      </c>
      <c r="M1583" t="s">
        <v>32</v>
      </c>
      <c r="N1583" t="str">
        <f>"1/11/2007 12:00:00 AM"</f>
        <v>1/11/2007 12:00:00 AM</v>
      </c>
      <c r="O1583" t="s">
        <v>4683</v>
      </c>
    </row>
    <row r="1584" spans="1:20" x14ac:dyDescent="0.25">
      <c r="A1584" t="str">
        <f>"3058020"</f>
        <v>3058020</v>
      </c>
      <c r="B1584" t="s">
        <v>4685</v>
      </c>
      <c r="C1584" t="str">
        <f>"63511750"</f>
        <v>63511750</v>
      </c>
      <c r="D1584" t="s">
        <v>4686</v>
      </c>
      <c r="E1584" t="s">
        <v>4687</v>
      </c>
      <c r="F1584" t="s">
        <v>4688</v>
      </c>
      <c r="I1584" t="s">
        <v>184</v>
      </c>
      <c r="J1584" t="s">
        <v>30</v>
      </c>
      <c r="K1584" t="s">
        <v>4689</v>
      </c>
      <c r="M1584" t="s">
        <v>32</v>
      </c>
      <c r="N1584" t="str">
        <f>"6/21/2010 12:00:00 AM"</f>
        <v>6/21/2010 12:00:00 AM</v>
      </c>
      <c r="O1584" t="s">
        <v>4686</v>
      </c>
      <c r="T1584" t="s">
        <v>4687</v>
      </c>
    </row>
    <row r="1585" spans="1:20" x14ac:dyDescent="0.25">
      <c r="A1585" t="str">
        <f>"3057015"</f>
        <v>3057015</v>
      </c>
      <c r="B1585" t="s">
        <v>4690</v>
      </c>
      <c r="C1585" t="str">
        <f>"63511750"</f>
        <v>63511750</v>
      </c>
      <c r="D1585" t="s">
        <v>4686</v>
      </c>
      <c r="E1585" t="s">
        <v>4687</v>
      </c>
      <c r="F1585" t="s">
        <v>4688</v>
      </c>
      <c r="I1585" t="s">
        <v>184</v>
      </c>
      <c r="J1585" t="s">
        <v>30</v>
      </c>
      <c r="K1585" t="s">
        <v>4689</v>
      </c>
      <c r="M1585" t="s">
        <v>32</v>
      </c>
      <c r="N1585" t="str">
        <f>"6/21/2010 12:00:00 AM"</f>
        <v>6/21/2010 12:00:00 AM</v>
      </c>
      <c r="O1585" t="s">
        <v>4686</v>
      </c>
      <c r="T1585" t="s">
        <v>4687</v>
      </c>
    </row>
    <row r="1586" spans="1:20" x14ac:dyDescent="0.25">
      <c r="A1586" t="str">
        <f>"3057049"</f>
        <v>3057049</v>
      </c>
      <c r="B1586" t="s">
        <v>4691</v>
      </c>
      <c r="C1586" t="str">
        <f>"63511750"</f>
        <v>63511750</v>
      </c>
      <c r="D1586" t="s">
        <v>4686</v>
      </c>
      <c r="E1586" t="s">
        <v>4687</v>
      </c>
      <c r="F1586" t="s">
        <v>4688</v>
      </c>
      <c r="I1586" t="s">
        <v>184</v>
      </c>
      <c r="J1586" t="s">
        <v>30</v>
      </c>
      <c r="K1586" t="s">
        <v>4689</v>
      </c>
      <c r="M1586" t="s">
        <v>32</v>
      </c>
      <c r="N1586" t="str">
        <f>"6/21/2010 12:00:00 AM"</f>
        <v>6/21/2010 12:00:00 AM</v>
      </c>
      <c r="O1586" t="s">
        <v>4686</v>
      </c>
      <c r="T1586" t="s">
        <v>4687</v>
      </c>
    </row>
    <row r="1587" spans="1:20" x14ac:dyDescent="0.25">
      <c r="A1587" t="str">
        <f>"3057039"</f>
        <v>3057039</v>
      </c>
      <c r="B1587" t="s">
        <v>4692</v>
      </c>
      <c r="C1587" t="str">
        <f>"63511750"</f>
        <v>63511750</v>
      </c>
      <c r="D1587" t="s">
        <v>4686</v>
      </c>
      <c r="E1587" t="s">
        <v>4687</v>
      </c>
      <c r="F1587" t="s">
        <v>4688</v>
      </c>
      <c r="I1587" t="s">
        <v>184</v>
      </c>
      <c r="J1587" t="s">
        <v>30</v>
      </c>
      <c r="K1587" t="s">
        <v>4689</v>
      </c>
      <c r="M1587" t="s">
        <v>32</v>
      </c>
      <c r="N1587" t="str">
        <f>"6/21/2010 12:00:00 AM"</f>
        <v>6/21/2010 12:00:00 AM</v>
      </c>
      <c r="O1587" t="s">
        <v>4686</v>
      </c>
      <c r="T1587" t="s">
        <v>4687</v>
      </c>
    </row>
    <row r="1588" spans="1:20" x14ac:dyDescent="0.25">
      <c r="A1588" t="str">
        <f>"3057042"</f>
        <v>3057042</v>
      </c>
      <c r="B1588" t="s">
        <v>4693</v>
      </c>
      <c r="C1588" t="str">
        <f>"63511750"</f>
        <v>63511750</v>
      </c>
      <c r="D1588" t="s">
        <v>4686</v>
      </c>
      <c r="E1588" t="s">
        <v>4687</v>
      </c>
      <c r="F1588" t="s">
        <v>4688</v>
      </c>
      <c r="I1588" t="s">
        <v>184</v>
      </c>
      <c r="J1588" t="s">
        <v>30</v>
      </c>
      <c r="K1588" t="s">
        <v>4689</v>
      </c>
      <c r="M1588" t="s">
        <v>32</v>
      </c>
      <c r="N1588" t="str">
        <f>"6/21/2010 12:00:00 AM"</f>
        <v>6/21/2010 12:00:00 AM</v>
      </c>
      <c r="O1588" t="s">
        <v>4686</v>
      </c>
      <c r="T1588" t="s">
        <v>4687</v>
      </c>
    </row>
    <row r="1589" spans="1:20" x14ac:dyDescent="0.25">
      <c r="A1589" t="str">
        <f>"3057993"</f>
        <v>3057993</v>
      </c>
      <c r="B1589" t="s">
        <v>4694</v>
      </c>
      <c r="C1589" t="str">
        <f>"82529550"</f>
        <v>82529550</v>
      </c>
      <c r="D1589" t="s">
        <v>4695</v>
      </c>
      <c r="F1589" t="s">
        <v>4696</v>
      </c>
      <c r="I1589" t="s">
        <v>184</v>
      </c>
      <c r="J1589" t="s">
        <v>30</v>
      </c>
      <c r="K1589" t="s">
        <v>4697</v>
      </c>
      <c r="M1589" t="s">
        <v>32</v>
      </c>
      <c r="N1589" t="str">
        <f>"1/2/2009 12:00:00 AM"</f>
        <v>1/2/2009 12:00:00 AM</v>
      </c>
      <c r="O1589" t="s">
        <v>4695</v>
      </c>
    </row>
    <row r="1590" spans="1:20" x14ac:dyDescent="0.25">
      <c r="A1590" t="str">
        <f>"3058021"</f>
        <v>3058021</v>
      </c>
      <c r="B1590" t="s">
        <v>4698</v>
      </c>
      <c r="C1590" t="str">
        <f>"49009000"</f>
        <v>49009000</v>
      </c>
      <c r="D1590" t="s">
        <v>4699</v>
      </c>
      <c r="F1590" t="s">
        <v>4700</v>
      </c>
      <c r="I1590" t="s">
        <v>184</v>
      </c>
      <c r="J1590" t="s">
        <v>30</v>
      </c>
      <c r="K1590" t="s">
        <v>2834</v>
      </c>
      <c r="M1590" t="s">
        <v>32</v>
      </c>
      <c r="N1590" t="str">
        <f>"2/2/2006 12:00:00 AM"</f>
        <v>2/2/2006 12:00:00 AM</v>
      </c>
      <c r="O1590" t="s">
        <v>4699</v>
      </c>
    </row>
    <row r="1591" spans="1:20" x14ac:dyDescent="0.25">
      <c r="A1591" t="str">
        <f>"3057050"</f>
        <v>3057050</v>
      </c>
      <c r="B1591" t="s">
        <v>4701</v>
      </c>
      <c r="C1591" t="str">
        <f>"49009000"</f>
        <v>49009000</v>
      </c>
      <c r="D1591" t="s">
        <v>4699</v>
      </c>
      <c r="F1591" t="s">
        <v>4700</v>
      </c>
      <c r="I1591" t="s">
        <v>184</v>
      </c>
      <c r="J1591" t="s">
        <v>30</v>
      </c>
      <c r="K1591" t="s">
        <v>2834</v>
      </c>
      <c r="M1591" t="s">
        <v>32</v>
      </c>
      <c r="N1591" t="str">
        <f>"2/2/2006 12:00:00 AM"</f>
        <v>2/2/2006 12:00:00 AM</v>
      </c>
      <c r="O1591" t="s">
        <v>4699</v>
      </c>
    </row>
    <row r="1592" spans="1:20" x14ac:dyDescent="0.25">
      <c r="A1592" t="str">
        <f>"3057053"</f>
        <v>3057053</v>
      </c>
      <c r="B1592" t="s">
        <v>4702</v>
      </c>
      <c r="C1592" t="str">
        <f>"82517890"</f>
        <v>82517890</v>
      </c>
      <c r="D1592" t="s">
        <v>4703</v>
      </c>
      <c r="F1592" t="s">
        <v>4704</v>
      </c>
      <c r="I1592" t="s">
        <v>184</v>
      </c>
      <c r="J1592" t="s">
        <v>30</v>
      </c>
      <c r="K1592" t="s">
        <v>185</v>
      </c>
      <c r="M1592" t="s">
        <v>32</v>
      </c>
      <c r="N1592" t="str">
        <f>"2/19/2002 12:00:00 AM"</f>
        <v>2/19/2002 12:00:00 AM</v>
      </c>
      <c r="O1592" t="s">
        <v>4703</v>
      </c>
    </row>
    <row r="1593" spans="1:20" x14ac:dyDescent="0.25">
      <c r="A1593" t="str">
        <f>"3058024"</f>
        <v>3058024</v>
      </c>
      <c r="B1593" t="s">
        <v>4705</v>
      </c>
      <c r="C1593" t="str">
        <f>"82517890"</f>
        <v>82517890</v>
      </c>
      <c r="D1593" t="s">
        <v>4703</v>
      </c>
      <c r="F1593" t="s">
        <v>4704</v>
      </c>
      <c r="I1593" t="s">
        <v>184</v>
      </c>
      <c r="J1593" t="s">
        <v>30</v>
      </c>
      <c r="K1593" t="s">
        <v>185</v>
      </c>
      <c r="M1593" t="s">
        <v>32</v>
      </c>
      <c r="N1593" t="str">
        <f>"2/19/2002 12:00:00 AM"</f>
        <v>2/19/2002 12:00:00 AM</v>
      </c>
      <c r="O1593" t="s">
        <v>4703</v>
      </c>
    </row>
    <row r="1594" spans="1:20" x14ac:dyDescent="0.25">
      <c r="A1594" t="str">
        <f>"3058025"</f>
        <v>3058025</v>
      </c>
      <c r="B1594" t="s">
        <v>4706</v>
      </c>
      <c r="C1594" t="str">
        <f>"80660500"</f>
        <v>80660500</v>
      </c>
      <c r="D1594" t="s">
        <v>4707</v>
      </c>
      <c r="E1594" t="s">
        <v>4708</v>
      </c>
      <c r="F1594" t="s">
        <v>4709</v>
      </c>
      <c r="I1594" t="s">
        <v>184</v>
      </c>
      <c r="J1594" t="s">
        <v>30</v>
      </c>
      <c r="K1594" t="s">
        <v>185</v>
      </c>
      <c r="M1594" t="s">
        <v>32</v>
      </c>
      <c r="N1594" t="str">
        <f>"4/26/2002 12:00:00 AM"</f>
        <v>4/26/2002 12:00:00 AM</v>
      </c>
      <c r="O1594" t="s">
        <v>4707</v>
      </c>
      <c r="T1594" t="s">
        <v>4708</v>
      </c>
    </row>
    <row r="1595" spans="1:20" x14ac:dyDescent="0.25">
      <c r="A1595" t="str">
        <f>"3057054"</f>
        <v>3057054</v>
      </c>
      <c r="B1595" t="s">
        <v>4710</v>
      </c>
      <c r="C1595" t="str">
        <f>"80660500"</f>
        <v>80660500</v>
      </c>
      <c r="D1595" t="s">
        <v>4707</v>
      </c>
      <c r="E1595" t="s">
        <v>4708</v>
      </c>
      <c r="F1595" t="s">
        <v>4709</v>
      </c>
      <c r="I1595" t="s">
        <v>184</v>
      </c>
      <c r="J1595" t="s">
        <v>30</v>
      </c>
      <c r="K1595" t="s">
        <v>185</v>
      </c>
      <c r="M1595" t="s">
        <v>32</v>
      </c>
      <c r="N1595" t="str">
        <f>"4/26/2002 12:00:00 AM"</f>
        <v>4/26/2002 12:00:00 AM</v>
      </c>
      <c r="O1595" t="s">
        <v>4707</v>
      </c>
      <c r="T1595" t="s">
        <v>4708</v>
      </c>
    </row>
    <row r="1596" spans="1:20" x14ac:dyDescent="0.25">
      <c r="A1596" t="str">
        <f>"3057056"</f>
        <v>3057056</v>
      </c>
      <c r="B1596" t="s">
        <v>4711</v>
      </c>
      <c r="C1596" t="str">
        <f>"80660500"</f>
        <v>80660500</v>
      </c>
      <c r="D1596" t="s">
        <v>4707</v>
      </c>
      <c r="E1596" t="s">
        <v>4708</v>
      </c>
      <c r="F1596" t="s">
        <v>4709</v>
      </c>
      <c r="I1596" t="s">
        <v>184</v>
      </c>
      <c r="J1596" t="s">
        <v>30</v>
      </c>
      <c r="K1596" t="s">
        <v>185</v>
      </c>
      <c r="M1596" t="s">
        <v>32</v>
      </c>
      <c r="N1596" t="str">
        <f>"4/26/2002 12:00:00 AM"</f>
        <v>4/26/2002 12:00:00 AM</v>
      </c>
      <c r="O1596" t="s">
        <v>4707</v>
      </c>
      <c r="T1596" t="s">
        <v>4708</v>
      </c>
    </row>
    <row r="1597" spans="1:20" x14ac:dyDescent="0.25">
      <c r="A1597" t="str">
        <f>"3057059"</f>
        <v>3057059</v>
      </c>
      <c r="B1597" t="s">
        <v>4712</v>
      </c>
      <c r="C1597" t="str">
        <f>"82526661"</f>
        <v>82526661</v>
      </c>
      <c r="D1597" t="s">
        <v>4645</v>
      </c>
      <c r="E1597" t="s">
        <v>4713</v>
      </c>
      <c r="F1597" t="s">
        <v>4646</v>
      </c>
      <c r="I1597" t="s">
        <v>184</v>
      </c>
      <c r="J1597" t="s">
        <v>30</v>
      </c>
      <c r="K1597" t="s">
        <v>185</v>
      </c>
      <c r="M1597" t="s">
        <v>32</v>
      </c>
      <c r="N1597" t="str">
        <f>"1/24/2007 12:00:00 AM"</f>
        <v>1/24/2007 12:00:00 AM</v>
      </c>
      <c r="O1597" t="s">
        <v>4645</v>
      </c>
      <c r="T1597" t="s">
        <v>4713</v>
      </c>
    </row>
    <row r="1598" spans="1:20" x14ac:dyDescent="0.25">
      <c r="A1598" t="str">
        <f>"3058027"</f>
        <v>3058027</v>
      </c>
      <c r="B1598" t="s">
        <v>4714</v>
      </c>
      <c r="C1598" t="str">
        <f>"82526661"</f>
        <v>82526661</v>
      </c>
      <c r="D1598" t="s">
        <v>4645</v>
      </c>
      <c r="E1598" t="s">
        <v>4713</v>
      </c>
      <c r="F1598" t="s">
        <v>4646</v>
      </c>
      <c r="I1598" t="s">
        <v>184</v>
      </c>
      <c r="J1598" t="s">
        <v>30</v>
      </c>
      <c r="K1598" t="s">
        <v>185</v>
      </c>
      <c r="M1598" t="s">
        <v>32</v>
      </c>
      <c r="N1598" t="str">
        <f>"1/24/2007 12:00:00 AM"</f>
        <v>1/24/2007 12:00:00 AM</v>
      </c>
      <c r="O1598" t="s">
        <v>4645</v>
      </c>
      <c r="T1598" t="s">
        <v>4713</v>
      </c>
    </row>
    <row r="1599" spans="1:20" x14ac:dyDescent="0.25">
      <c r="A1599" t="str">
        <f>"3038418"</f>
        <v>3038418</v>
      </c>
      <c r="B1599" t="s">
        <v>4715</v>
      </c>
      <c r="C1599" t="str">
        <f>"63606000"</f>
        <v>63606000</v>
      </c>
      <c r="D1599" t="s">
        <v>4716</v>
      </c>
      <c r="E1599" t="s">
        <v>4717</v>
      </c>
      <c r="F1599" t="s">
        <v>4718</v>
      </c>
      <c r="I1599" t="s">
        <v>29</v>
      </c>
      <c r="J1599" t="s">
        <v>30</v>
      </c>
      <c r="K1599" t="s">
        <v>31</v>
      </c>
      <c r="M1599" t="s">
        <v>32</v>
      </c>
      <c r="N1599" t="str">
        <f>"4/30/2004 12:00:00 AM"</f>
        <v>4/30/2004 12:00:00 AM</v>
      </c>
      <c r="O1599" t="s">
        <v>4716</v>
      </c>
      <c r="T1599" t="s">
        <v>4717</v>
      </c>
    </row>
    <row r="1600" spans="1:20" x14ac:dyDescent="0.25">
      <c r="A1600" t="str">
        <f>"3058010"</f>
        <v>3058010</v>
      </c>
      <c r="B1600" t="s">
        <v>4719</v>
      </c>
      <c r="C1600" t="str">
        <f>"82525990"</f>
        <v>82525990</v>
      </c>
      <c r="D1600" t="s">
        <v>4720</v>
      </c>
      <c r="E1600" t="s">
        <v>4721</v>
      </c>
      <c r="F1600" t="s">
        <v>4722</v>
      </c>
      <c r="I1600" t="s">
        <v>184</v>
      </c>
      <c r="J1600" t="s">
        <v>30</v>
      </c>
      <c r="K1600" t="s">
        <v>185</v>
      </c>
      <c r="M1600" t="s">
        <v>32</v>
      </c>
      <c r="N1600" t="str">
        <f>"2/10/2010 12:00:00 AM"</f>
        <v>2/10/2010 12:00:00 AM</v>
      </c>
      <c r="O1600" t="s">
        <v>4720</v>
      </c>
      <c r="T1600" t="s">
        <v>4721</v>
      </c>
    </row>
    <row r="1601" spans="1:20" x14ac:dyDescent="0.25">
      <c r="A1601" t="str">
        <f>"3058017"</f>
        <v>3058017</v>
      </c>
      <c r="B1601" t="s">
        <v>4723</v>
      </c>
      <c r="C1601" t="str">
        <f>"82526058"</f>
        <v>82526058</v>
      </c>
      <c r="D1601" t="s">
        <v>4724</v>
      </c>
      <c r="F1601" t="s">
        <v>4725</v>
      </c>
      <c r="I1601" t="s">
        <v>184</v>
      </c>
      <c r="J1601" t="s">
        <v>30</v>
      </c>
      <c r="K1601" t="s">
        <v>185</v>
      </c>
      <c r="M1601" t="s">
        <v>32</v>
      </c>
      <c r="N1601" t="str">
        <f>"1/26/2007 12:00:00 AM"</f>
        <v>1/26/2007 12:00:00 AM</v>
      </c>
      <c r="O1601" t="s">
        <v>4724</v>
      </c>
    </row>
    <row r="1602" spans="1:20" x14ac:dyDescent="0.25">
      <c r="A1602" t="str">
        <f>"3062774"</f>
        <v>3062774</v>
      </c>
      <c r="B1602" t="s">
        <v>4726</v>
      </c>
      <c r="C1602" t="str">
        <f>"48090250"</f>
        <v>48090250</v>
      </c>
      <c r="D1602" t="s">
        <v>4727</v>
      </c>
      <c r="E1602" t="s">
        <v>4728</v>
      </c>
      <c r="F1602" t="s">
        <v>4729</v>
      </c>
      <c r="I1602" t="s">
        <v>29</v>
      </c>
      <c r="J1602" t="s">
        <v>30</v>
      </c>
      <c r="K1602" t="s">
        <v>31</v>
      </c>
      <c r="M1602" t="s">
        <v>32</v>
      </c>
      <c r="N1602" t="str">
        <f>"2/18/2004 12:00:00 AM"</f>
        <v>2/18/2004 12:00:00 AM</v>
      </c>
      <c r="O1602" t="s">
        <v>4727</v>
      </c>
      <c r="T1602" t="s">
        <v>4728</v>
      </c>
    </row>
    <row r="1603" spans="1:20" x14ac:dyDescent="0.25">
      <c r="A1603" t="str">
        <f>"3062790"</f>
        <v>3062790</v>
      </c>
      <c r="B1603" t="s">
        <v>4730</v>
      </c>
      <c r="C1603" t="str">
        <f>"66555660"</f>
        <v>66555660</v>
      </c>
      <c r="D1603" t="s">
        <v>4731</v>
      </c>
      <c r="E1603" t="s">
        <v>4732</v>
      </c>
      <c r="F1603" t="s">
        <v>4733</v>
      </c>
      <c r="I1603" t="s">
        <v>29</v>
      </c>
      <c r="J1603" t="s">
        <v>30</v>
      </c>
      <c r="K1603" t="s">
        <v>31</v>
      </c>
      <c r="M1603" t="s">
        <v>32</v>
      </c>
      <c r="N1603" t="str">
        <f>"5/12/2004 12:00:00 AM"</f>
        <v>5/12/2004 12:00:00 AM</v>
      </c>
      <c r="O1603" t="s">
        <v>4731</v>
      </c>
      <c r="T1603" t="s">
        <v>4732</v>
      </c>
    </row>
    <row r="1604" spans="1:20" x14ac:dyDescent="0.25">
      <c r="A1604" t="str">
        <f>"3062784"</f>
        <v>3062784</v>
      </c>
      <c r="B1604" t="s">
        <v>4734</v>
      </c>
      <c r="C1604" t="str">
        <f>"82529706"</f>
        <v>82529706</v>
      </c>
      <c r="D1604" t="s">
        <v>4735</v>
      </c>
      <c r="F1604" t="s">
        <v>4736</v>
      </c>
      <c r="I1604" t="s">
        <v>29</v>
      </c>
      <c r="J1604" t="s">
        <v>30</v>
      </c>
      <c r="K1604" t="s">
        <v>31</v>
      </c>
      <c r="M1604" t="s">
        <v>32</v>
      </c>
      <c r="N1604" t="str">
        <f>"6/10/2008 12:00:00 AM"</f>
        <v>6/10/2008 12:00:00 AM</v>
      </c>
      <c r="O1604" t="s">
        <v>4735</v>
      </c>
    </row>
    <row r="1605" spans="1:20" x14ac:dyDescent="0.25">
      <c r="A1605" t="str">
        <f>"3037821"</f>
        <v>3037821</v>
      </c>
      <c r="B1605" t="s">
        <v>4737</v>
      </c>
      <c r="C1605" t="str">
        <f>"1066090"</f>
        <v>1066090</v>
      </c>
      <c r="D1605" t="s">
        <v>4496</v>
      </c>
      <c r="E1605" t="s">
        <v>4497</v>
      </c>
      <c r="F1605" t="s">
        <v>4498</v>
      </c>
      <c r="I1605" t="s">
        <v>29</v>
      </c>
      <c r="J1605" t="s">
        <v>30</v>
      </c>
      <c r="K1605" t="s">
        <v>31</v>
      </c>
      <c r="M1605" t="s">
        <v>32</v>
      </c>
      <c r="N1605" t="str">
        <f>"10/16/2006 12:00:00 AM"</f>
        <v>10/16/2006 12:00:00 AM</v>
      </c>
      <c r="O1605" t="s">
        <v>4496</v>
      </c>
      <c r="T1605" t="s">
        <v>4497</v>
      </c>
    </row>
    <row r="1606" spans="1:20" x14ac:dyDescent="0.25">
      <c r="A1606" t="str">
        <f>"3038445"</f>
        <v>3038445</v>
      </c>
      <c r="B1606" t="s">
        <v>4738</v>
      </c>
      <c r="C1606" t="str">
        <f>"42919500"</f>
        <v>42919500</v>
      </c>
      <c r="D1606" t="s">
        <v>4506</v>
      </c>
      <c r="E1606" t="s">
        <v>4739</v>
      </c>
      <c r="F1606" t="s">
        <v>4507</v>
      </c>
      <c r="I1606" t="s">
        <v>29</v>
      </c>
      <c r="J1606" t="s">
        <v>30</v>
      </c>
      <c r="K1606" t="s">
        <v>31</v>
      </c>
      <c r="M1606" t="s">
        <v>32</v>
      </c>
      <c r="N1606" t="str">
        <f>"9/27/2005 12:00:00 AM"</f>
        <v>9/27/2005 12:00:00 AM</v>
      </c>
      <c r="O1606" t="s">
        <v>4506</v>
      </c>
      <c r="T1606" t="s">
        <v>4739</v>
      </c>
    </row>
    <row r="1607" spans="1:20" x14ac:dyDescent="0.25">
      <c r="A1607" t="str">
        <f>"3077101"</f>
        <v>3077101</v>
      </c>
      <c r="B1607" t="s">
        <v>4740</v>
      </c>
      <c r="C1607" t="str">
        <f>"74208000"</f>
        <v>74208000</v>
      </c>
      <c r="D1607" t="s">
        <v>4741</v>
      </c>
      <c r="E1607" t="s">
        <v>4742</v>
      </c>
      <c r="F1607" t="s">
        <v>4743</v>
      </c>
      <c r="I1607" t="s">
        <v>29</v>
      </c>
      <c r="J1607" t="s">
        <v>30</v>
      </c>
      <c r="K1607" t="s">
        <v>31</v>
      </c>
      <c r="M1607" t="s">
        <v>32</v>
      </c>
      <c r="N1607" t="str">
        <f>"6/21/2004 12:00:00 AM"</f>
        <v>6/21/2004 12:00:00 AM</v>
      </c>
      <c r="O1607" t="s">
        <v>4741</v>
      </c>
      <c r="T1607" t="s">
        <v>4742</v>
      </c>
    </row>
    <row r="1608" spans="1:20" x14ac:dyDescent="0.25">
      <c r="A1608" t="str">
        <f>"3062794"</f>
        <v>3062794</v>
      </c>
      <c r="B1608" t="s">
        <v>4744</v>
      </c>
      <c r="C1608" t="str">
        <f>"47300500"</f>
        <v>47300500</v>
      </c>
      <c r="D1608" t="s">
        <v>4745</v>
      </c>
      <c r="E1608" t="s">
        <v>4746</v>
      </c>
      <c r="F1608" t="s">
        <v>4747</v>
      </c>
      <c r="I1608" t="s">
        <v>29</v>
      </c>
      <c r="J1608" t="s">
        <v>30</v>
      </c>
      <c r="K1608" t="s">
        <v>4748</v>
      </c>
      <c r="M1608" t="s">
        <v>32</v>
      </c>
      <c r="N1608" t="str">
        <f>"1/23/2008 12:00:00 AM"</f>
        <v>1/23/2008 12:00:00 AM</v>
      </c>
      <c r="O1608" t="s">
        <v>4745</v>
      </c>
      <c r="T1608" t="s">
        <v>4746</v>
      </c>
    </row>
    <row r="1609" spans="1:20" x14ac:dyDescent="0.25">
      <c r="A1609" t="str">
        <f>"3053191"</f>
        <v>3053191</v>
      </c>
      <c r="B1609" t="s">
        <v>4749</v>
      </c>
      <c r="C1609" t="str">
        <f>"82523744"</f>
        <v>82523744</v>
      </c>
      <c r="D1609" t="s">
        <v>4750</v>
      </c>
      <c r="E1609" t="s">
        <v>4751</v>
      </c>
      <c r="F1609" t="s">
        <v>4752</v>
      </c>
      <c r="I1609" t="s">
        <v>29</v>
      </c>
      <c r="J1609" t="s">
        <v>30</v>
      </c>
      <c r="K1609" t="s">
        <v>31</v>
      </c>
      <c r="M1609" t="s">
        <v>32</v>
      </c>
      <c r="N1609" t="str">
        <f>"1/7/2008 12:00:00 AM"</f>
        <v>1/7/2008 12:00:00 AM</v>
      </c>
      <c r="O1609" t="s">
        <v>4750</v>
      </c>
      <c r="T1609" t="s">
        <v>4751</v>
      </c>
    </row>
    <row r="1610" spans="1:20" x14ac:dyDescent="0.25">
      <c r="A1610" t="str">
        <f>"3043091"</f>
        <v>3043091</v>
      </c>
      <c r="B1610" t="s">
        <v>4753</v>
      </c>
      <c r="C1610" t="str">
        <f>"82523744"</f>
        <v>82523744</v>
      </c>
      <c r="D1610" t="s">
        <v>4750</v>
      </c>
      <c r="E1610" t="s">
        <v>4751</v>
      </c>
      <c r="F1610" t="s">
        <v>4752</v>
      </c>
      <c r="I1610" t="s">
        <v>29</v>
      </c>
      <c r="J1610" t="s">
        <v>30</v>
      </c>
      <c r="K1610" t="s">
        <v>31</v>
      </c>
      <c r="M1610" t="s">
        <v>32</v>
      </c>
      <c r="N1610" t="str">
        <f>"1/7/2008 12:00:00 AM"</f>
        <v>1/7/2008 12:00:00 AM</v>
      </c>
      <c r="O1610" t="s">
        <v>4750</v>
      </c>
      <c r="T1610" t="s">
        <v>4751</v>
      </c>
    </row>
    <row r="1611" spans="1:20" x14ac:dyDescent="0.25">
      <c r="A1611" t="str">
        <f>"3043299"</f>
        <v>3043299</v>
      </c>
      <c r="B1611" t="s">
        <v>4754</v>
      </c>
      <c r="C1611" t="str">
        <f>"82523744"</f>
        <v>82523744</v>
      </c>
      <c r="D1611" t="s">
        <v>4750</v>
      </c>
      <c r="E1611" t="s">
        <v>4751</v>
      </c>
      <c r="F1611" t="s">
        <v>4752</v>
      </c>
      <c r="I1611" t="s">
        <v>29</v>
      </c>
      <c r="J1611" t="s">
        <v>30</v>
      </c>
      <c r="K1611" t="s">
        <v>31</v>
      </c>
      <c r="M1611" t="s">
        <v>32</v>
      </c>
      <c r="N1611" t="str">
        <f>"1/7/2008 12:00:00 AM"</f>
        <v>1/7/2008 12:00:00 AM</v>
      </c>
      <c r="O1611" t="s">
        <v>4750</v>
      </c>
      <c r="T1611" t="s">
        <v>4751</v>
      </c>
    </row>
    <row r="1612" spans="1:20" x14ac:dyDescent="0.25">
      <c r="A1612" t="str">
        <f>"3043234"</f>
        <v>3043234</v>
      </c>
      <c r="B1612" t="s">
        <v>4755</v>
      </c>
      <c r="C1612" t="str">
        <f>"82523744"</f>
        <v>82523744</v>
      </c>
      <c r="D1612" t="s">
        <v>4750</v>
      </c>
      <c r="E1612" t="s">
        <v>4751</v>
      </c>
      <c r="F1612" t="s">
        <v>4752</v>
      </c>
      <c r="I1612" t="s">
        <v>29</v>
      </c>
      <c r="J1612" t="s">
        <v>30</v>
      </c>
      <c r="K1612" t="s">
        <v>31</v>
      </c>
      <c r="M1612" t="s">
        <v>32</v>
      </c>
      <c r="N1612" t="str">
        <f>"1/7/2008 12:00:00 AM"</f>
        <v>1/7/2008 12:00:00 AM</v>
      </c>
      <c r="O1612" t="s">
        <v>4750</v>
      </c>
      <c r="T1612" t="s">
        <v>4751</v>
      </c>
    </row>
    <row r="1613" spans="1:20" x14ac:dyDescent="0.25">
      <c r="A1613" t="str">
        <f>"3042403"</f>
        <v>3042403</v>
      </c>
      <c r="B1613" t="s">
        <v>4756</v>
      </c>
      <c r="C1613" t="str">
        <f>"46883000"</f>
        <v>46883000</v>
      </c>
      <c r="D1613" t="s">
        <v>4757</v>
      </c>
      <c r="E1613" t="s">
        <v>4758</v>
      </c>
      <c r="F1613" t="s">
        <v>4759</v>
      </c>
      <c r="I1613" t="s">
        <v>29</v>
      </c>
      <c r="J1613" t="s">
        <v>30</v>
      </c>
      <c r="K1613" t="s">
        <v>4760</v>
      </c>
      <c r="M1613" t="s">
        <v>32</v>
      </c>
      <c r="N1613" t="str">
        <f>"2/10/2010 12:00:00 AM"</f>
        <v>2/10/2010 12:00:00 AM</v>
      </c>
      <c r="O1613" t="s">
        <v>4757</v>
      </c>
      <c r="T1613" t="s">
        <v>4758</v>
      </c>
    </row>
    <row r="1614" spans="1:20" x14ac:dyDescent="0.25">
      <c r="A1614" t="str">
        <f>"3053084"</f>
        <v>3053084</v>
      </c>
      <c r="B1614" t="s">
        <v>4761</v>
      </c>
      <c r="C1614" t="str">
        <f>"46883000"</f>
        <v>46883000</v>
      </c>
      <c r="D1614" t="s">
        <v>4757</v>
      </c>
      <c r="E1614" t="s">
        <v>4758</v>
      </c>
      <c r="F1614" t="s">
        <v>4759</v>
      </c>
      <c r="I1614" t="s">
        <v>29</v>
      </c>
      <c r="J1614" t="s">
        <v>30</v>
      </c>
      <c r="K1614" t="s">
        <v>4760</v>
      </c>
      <c r="M1614" t="s">
        <v>32</v>
      </c>
      <c r="N1614" t="str">
        <f>"2/10/2010 12:00:00 AM"</f>
        <v>2/10/2010 12:00:00 AM</v>
      </c>
      <c r="O1614" t="s">
        <v>4757</v>
      </c>
      <c r="T1614" t="s">
        <v>4758</v>
      </c>
    </row>
    <row r="1615" spans="1:20" x14ac:dyDescent="0.25">
      <c r="A1615" t="str">
        <f>"3039863"</f>
        <v>3039863</v>
      </c>
      <c r="B1615" t="s">
        <v>4762</v>
      </c>
      <c r="C1615" t="str">
        <f>"82530226"</f>
        <v>82530226</v>
      </c>
      <c r="D1615" t="s">
        <v>4763</v>
      </c>
      <c r="F1615" t="s">
        <v>4764</v>
      </c>
      <c r="I1615" t="s">
        <v>402</v>
      </c>
      <c r="J1615" t="s">
        <v>30</v>
      </c>
      <c r="K1615" t="s">
        <v>403</v>
      </c>
      <c r="M1615" t="s">
        <v>32</v>
      </c>
      <c r="N1615" t="str">
        <f>"1/9/2009 12:00:00 AM"</f>
        <v>1/9/2009 12:00:00 AM</v>
      </c>
      <c r="O1615" t="s">
        <v>4763</v>
      </c>
    </row>
    <row r="1616" spans="1:20" x14ac:dyDescent="0.25">
      <c r="A1616" t="str">
        <f>"3041985"</f>
        <v>3041985</v>
      </c>
      <c r="B1616" t="s">
        <v>4765</v>
      </c>
      <c r="C1616" t="str">
        <f>"71916000"</f>
        <v>71916000</v>
      </c>
      <c r="D1616" t="s">
        <v>4766</v>
      </c>
      <c r="E1616" t="s">
        <v>4767</v>
      </c>
      <c r="F1616" t="s">
        <v>4768</v>
      </c>
      <c r="I1616" t="s">
        <v>184</v>
      </c>
      <c r="J1616" t="s">
        <v>30</v>
      </c>
      <c r="K1616" t="s">
        <v>185</v>
      </c>
      <c r="M1616" t="s">
        <v>32</v>
      </c>
      <c r="N1616" t="str">
        <f>"6/16/2004 12:00:00 AM"</f>
        <v>6/16/2004 12:00:00 AM</v>
      </c>
      <c r="O1616" t="s">
        <v>4766</v>
      </c>
      <c r="T1616" t="s">
        <v>4767</v>
      </c>
    </row>
    <row r="1617" spans="1:20" x14ac:dyDescent="0.25">
      <c r="A1617" t="str">
        <f>"3077152"</f>
        <v>3077152</v>
      </c>
      <c r="B1617" t="s">
        <v>4769</v>
      </c>
      <c r="C1617" t="str">
        <f>"71916000"</f>
        <v>71916000</v>
      </c>
      <c r="D1617" t="s">
        <v>4766</v>
      </c>
      <c r="E1617" t="s">
        <v>4767</v>
      </c>
      <c r="F1617" t="s">
        <v>4768</v>
      </c>
      <c r="I1617" t="s">
        <v>184</v>
      </c>
      <c r="J1617" t="s">
        <v>30</v>
      </c>
      <c r="K1617" t="s">
        <v>185</v>
      </c>
      <c r="M1617" t="s">
        <v>32</v>
      </c>
      <c r="N1617" t="str">
        <f>"6/16/2004 12:00:00 AM"</f>
        <v>6/16/2004 12:00:00 AM</v>
      </c>
      <c r="O1617" t="s">
        <v>4766</v>
      </c>
      <c r="T1617" t="s">
        <v>4767</v>
      </c>
    </row>
    <row r="1618" spans="1:20" x14ac:dyDescent="0.25">
      <c r="A1618" t="str">
        <f>"3042194"</f>
        <v>3042194</v>
      </c>
      <c r="B1618" t="s">
        <v>4770</v>
      </c>
      <c r="C1618" t="str">
        <f>"22569000"</f>
        <v>22569000</v>
      </c>
      <c r="D1618" t="s">
        <v>4771</v>
      </c>
      <c r="F1618" t="s">
        <v>4772</v>
      </c>
      <c r="I1618" t="s">
        <v>184</v>
      </c>
      <c r="J1618" t="s">
        <v>30</v>
      </c>
      <c r="K1618" t="s">
        <v>4773</v>
      </c>
      <c r="M1618" t="s">
        <v>32</v>
      </c>
      <c r="N1618" t="str">
        <f>"11/10/2005 12:00:00 AM"</f>
        <v>11/10/2005 12:00:00 AM</v>
      </c>
      <c r="O1618" t="s">
        <v>4771</v>
      </c>
    </row>
    <row r="1619" spans="1:20" x14ac:dyDescent="0.25">
      <c r="A1619" t="str">
        <f>"3039920"</f>
        <v>3039920</v>
      </c>
      <c r="B1619" t="s">
        <v>4774</v>
      </c>
      <c r="C1619" t="str">
        <f>"78358000"</f>
        <v>78358000</v>
      </c>
      <c r="D1619" t="s">
        <v>4775</v>
      </c>
      <c r="F1619" t="s">
        <v>4776</v>
      </c>
      <c r="I1619" t="s">
        <v>471</v>
      </c>
      <c r="J1619" t="s">
        <v>30</v>
      </c>
      <c r="K1619" t="s">
        <v>472</v>
      </c>
      <c r="M1619" t="s">
        <v>32</v>
      </c>
      <c r="N1619" t="str">
        <f>"12/31/2003 12:00:00 AM"</f>
        <v>12/31/2003 12:00:00 AM</v>
      </c>
      <c r="O1619" t="s">
        <v>4775</v>
      </c>
    </row>
    <row r="1620" spans="1:20" x14ac:dyDescent="0.25">
      <c r="A1620" t="str">
        <f>"3043392"</f>
        <v>3043392</v>
      </c>
      <c r="B1620" t="s">
        <v>4777</v>
      </c>
      <c r="C1620" t="str">
        <f>"57606000"</f>
        <v>57606000</v>
      </c>
      <c r="D1620" t="s">
        <v>4778</v>
      </c>
      <c r="E1620" t="s">
        <v>4779</v>
      </c>
      <c r="F1620" t="s">
        <v>4780</v>
      </c>
      <c r="I1620" t="s">
        <v>29</v>
      </c>
      <c r="J1620" t="s">
        <v>30</v>
      </c>
      <c r="K1620" t="s">
        <v>31</v>
      </c>
      <c r="M1620" t="s">
        <v>32</v>
      </c>
      <c r="N1620" t="str">
        <f>"4/2/2004 12:00:00 AM"</f>
        <v>4/2/2004 12:00:00 AM</v>
      </c>
      <c r="O1620" t="s">
        <v>4778</v>
      </c>
      <c r="T1620" t="s">
        <v>4779</v>
      </c>
    </row>
    <row r="1621" spans="1:20" x14ac:dyDescent="0.25">
      <c r="A1621" t="str">
        <f>"3060843"</f>
        <v>3060843</v>
      </c>
      <c r="B1621" t="s">
        <v>4781</v>
      </c>
      <c r="C1621" t="str">
        <f>"82523667"</f>
        <v>82523667</v>
      </c>
      <c r="D1621" t="s">
        <v>4782</v>
      </c>
      <c r="E1621" t="s">
        <v>4783</v>
      </c>
      <c r="F1621" t="s">
        <v>4784</v>
      </c>
      <c r="I1621" t="s">
        <v>184</v>
      </c>
      <c r="J1621" t="s">
        <v>30</v>
      </c>
      <c r="K1621" t="s">
        <v>185</v>
      </c>
      <c r="M1621" t="s">
        <v>32</v>
      </c>
      <c r="N1621" t="str">
        <f>"1/12/2005 12:00:00 AM"</f>
        <v>1/12/2005 12:00:00 AM</v>
      </c>
      <c r="O1621" t="s">
        <v>4782</v>
      </c>
      <c r="T1621" t="s">
        <v>4783</v>
      </c>
    </row>
    <row r="1622" spans="1:20" x14ac:dyDescent="0.25">
      <c r="A1622" t="str">
        <f>"3060839"</f>
        <v>3060839</v>
      </c>
      <c r="B1622" t="s">
        <v>4785</v>
      </c>
      <c r="C1622" t="str">
        <f>"82523254"</f>
        <v>82523254</v>
      </c>
      <c r="D1622" t="s">
        <v>4786</v>
      </c>
      <c r="E1622" t="s">
        <v>4787</v>
      </c>
      <c r="F1622" t="s">
        <v>4788</v>
      </c>
      <c r="I1622" t="s">
        <v>184</v>
      </c>
      <c r="J1622" t="s">
        <v>30</v>
      </c>
      <c r="K1622" t="s">
        <v>4789</v>
      </c>
      <c r="M1622" t="s">
        <v>32</v>
      </c>
      <c r="N1622" t="str">
        <f>"1/20/2005 12:00:00 AM"</f>
        <v>1/20/2005 12:00:00 AM</v>
      </c>
      <c r="O1622" t="s">
        <v>4786</v>
      </c>
      <c r="T1622" t="s">
        <v>4787</v>
      </c>
    </row>
    <row r="1623" spans="1:20" x14ac:dyDescent="0.25">
      <c r="A1623" t="str">
        <f>"3066659"</f>
        <v>3066659</v>
      </c>
      <c r="B1623" t="s">
        <v>4790</v>
      </c>
      <c r="C1623" t="str">
        <f>"82517603"</f>
        <v>82517603</v>
      </c>
      <c r="D1623" t="s">
        <v>4791</v>
      </c>
      <c r="E1623" t="s">
        <v>4792</v>
      </c>
      <c r="F1623" t="s">
        <v>4793</v>
      </c>
      <c r="I1623" t="s">
        <v>29</v>
      </c>
      <c r="J1623" t="s">
        <v>30</v>
      </c>
      <c r="K1623" t="s">
        <v>31</v>
      </c>
      <c r="M1623" t="s">
        <v>32</v>
      </c>
      <c r="N1623" t="str">
        <f>"2/10/2004 12:00:00 AM"</f>
        <v>2/10/2004 12:00:00 AM</v>
      </c>
      <c r="O1623" t="s">
        <v>4791</v>
      </c>
      <c r="T1623" t="s">
        <v>4792</v>
      </c>
    </row>
    <row r="1624" spans="1:20" x14ac:dyDescent="0.25">
      <c r="A1624" t="str">
        <f>"3043791"</f>
        <v>3043791</v>
      </c>
      <c r="B1624" t="s">
        <v>4794</v>
      </c>
      <c r="C1624" t="str">
        <f>"82529350"</f>
        <v>82529350</v>
      </c>
      <c r="D1624" t="s">
        <v>4795</v>
      </c>
      <c r="F1624" t="s">
        <v>4796</v>
      </c>
      <c r="I1624" t="s">
        <v>29</v>
      </c>
      <c r="J1624" t="s">
        <v>30</v>
      </c>
      <c r="K1624" t="s">
        <v>31</v>
      </c>
      <c r="M1624" t="s">
        <v>32</v>
      </c>
      <c r="N1624" t="str">
        <f>"3/27/2008 12:00:00 AM"</f>
        <v>3/27/2008 12:00:00 AM</v>
      </c>
      <c r="O1624" t="s">
        <v>4795</v>
      </c>
    </row>
    <row r="1625" spans="1:20" x14ac:dyDescent="0.25">
      <c r="A1625" t="str">
        <f>"3060861"</f>
        <v>3060861</v>
      </c>
      <c r="B1625" t="s">
        <v>4797</v>
      </c>
      <c r="C1625" t="str">
        <f>"82527023"</f>
        <v>82527023</v>
      </c>
      <c r="D1625" t="s">
        <v>4798</v>
      </c>
      <c r="F1625" t="s">
        <v>4799</v>
      </c>
      <c r="I1625" t="s">
        <v>184</v>
      </c>
      <c r="J1625" t="s">
        <v>30</v>
      </c>
      <c r="K1625" t="s">
        <v>185</v>
      </c>
      <c r="M1625" t="s">
        <v>32</v>
      </c>
      <c r="N1625" t="str">
        <f>"1/12/2007 12:00:00 AM"</f>
        <v>1/12/2007 12:00:00 AM</v>
      </c>
      <c r="O1625" t="s">
        <v>4798</v>
      </c>
    </row>
    <row r="1626" spans="1:20" x14ac:dyDescent="0.25">
      <c r="A1626" t="str">
        <f>"3061887"</f>
        <v>3061887</v>
      </c>
      <c r="B1626" t="s">
        <v>4800</v>
      </c>
      <c r="C1626" t="str">
        <f>"82523626"</f>
        <v>82523626</v>
      </c>
      <c r="D1626" t="s">
        <v>4801</v>
      </c>
      <c r="E1626" t="s">
        <v>4802</v>
      </c>
      <c r="F1626" t="s">
        <v>4803</v>
      </c>
      <c r="I1626" t="s">
        <v>184</v>
      </c>
      <c r="J1626" t="s">
        <v>30</v>
      </c>
      <c r="K1626" t="s">
        <v>185</v>
      </c>
      <c r="M1626" t="s">
        <v>32</v>
      </c>
      <c r="N1626" t="str">
        <f>"1/7/2005 12:00:00 AM"</f>
        <v>1/7/2005 12:00:00 AM</v>
      </c>
      <c r="O1626" t="s">
        <v>4801</v>
      </c>
      <c r="T1626" t="s">
        <v>4802</v>
      </c>
    </row>
    <row r="1627" spans="1:20" x14ac:dyDescent="0.25">
      <c r="A1627" t="str">
        <f>"3060862"</f>
        <v>3060862</v>
      </c>
      <c r="B1627" t="s">
        <v>4804</v>
      </c>
      <c r="C1627" t="str">
        <f>"82523408"</f>
        <v>82523408</v>
      </c>
      <c r="D1627" t="s">
        <v>4805</v>
      </c>
      <c r="E1627" t="s">
        <v>4806</v>
      </c>
      <c r="F1627" t="s">
        <v>4807</v>
      </c>
      <c r="I1627" t="s">
        <v>184</v>
      </c>
      <c r="J1627" t="s">
        <v>30</v>
      </c>
      <c r="K1627" t="s">
        <v>4808</v>
      </c>
      <c r="M1627" t="s">
        <v>32</v>
      </c>
      <c r="N1627" t="str">
        <f>"1/27/2005 12:00:00 AM"</f>
        <v>1/27/2005 12:00:00 AM</v>
      </c>
      <c r="O1627" t="s">
        <v>4805</v>
      </c>
      <c r="T1627" t="s">
        <v>4806</v>
      </c>
    </row>
    <row r="1628" spans="1:20" x14ac:dyDescent="0.25">
      <c r="A1628" t="str">
        <f>"3060856"</f>
        <v>3060856</v>
      </c>
      <c r="B1628" t="s">
        <v>4809</v>
      </c>
      <c r="C1628" t="str">
        <f>"82530040"</f>
        <v>82530040</v>
      </c>
      <c r="D1628" t="s">
        <v>4810</v>
      </c>
      <c r="E1628" t="s">
        <v>4811</v>
      </c>
      <c r="F1628" t="s">
        <v>4812</v>
      </c>
      <c r="I1628" t="s">
        <v>184</v>
      </c>
      <c r="J1628" t="s">
        <v>30</v>
      </c>
      <c r="K1628" t="s">
        <v>185</v>
      </c>
      <c r="M1628" t="s">
        <v>32</v>
      </c>
      <c r="N1628" t="str">
        <f>"9/8/2008 12:00:00 AM"</f>
        <v>9/8/2008 12:00:00 AM</v>
      </c>
      <c r="O1628" t="s">
        <v>4810</v>
      </c>
      <c r="T1628" t="s">
        <v>4811</v>
      </c>
    </row>
    <row r="1629" spans="1:20" x14ac:dyDescent="0.25">
      <c r="A1629" t="str">
        <f>"3077106"</f>
        <v>3077106</v>
      </c>
      <c r="B1629" t="s">
        <v>4813</v>
      </c>
      <c r="C1629" t="str">
        <f>"82516228"</f>
        <v>82516228</v>
      </c>
      <c r="D1629" t="s">
        <v>4814</v>
      </c>
      <c r="F1629" t="str">
        <f>"C/O JAMES T WARD"</f>
        <v>C/O JAMES T WARD</v>
      </c>
      <c r="G1629" t="s">
        <v>4815</v>
      </c>
      <c r="I1629" t="s">
        <v>4816</v>
      </c>
      <c r="J1629" t="s">
        <v>30</v>
      </c>
      <c r="K1629" t="s">
        <v>4817</v>
      </c>
      <c r="M1629" t="s">
        <v>32</v>
      </c>
      <c r="N1629" t="str">
        <f>"6/24/2004 12:00:00 AM"</f>
        <v>6/24/2004 12:00:00 AM</v>
      </c>
      <c r="O1629" t="s">
        <v>4814</v>
      </c>
    </row>
    <row r="1630" spans="1:20" x14ac:dyDescent="0.25">
      <c r="A1630" t="str">
        <f>"3077161"</f>
        <v>3077161</v>
      </c>
      <c r="B1630" t="s">
        <v>4818</v>
      </c>
      <c r="C1630" t="str">
        <f>"14250750"</f>
        <v>14250750</v>
      </c>
      <c r="D1630" t="s">
        <v>4819</v>
      </c>
      <c r="E1630" t="s">
        <v>4820</v>
      </c>
      <c r="F1630" t="s">
        <v>4821</v>
      </c>
      <c r="I1630" t="s">
        <v>184</v>
      </c>
      <c r="J1630" t="s">
        <v>30</v>
      </c>
      <c r="K1630" t="s">
        <v>185</v>
      </c>
      <c r="M1630" t="s">
        <v>32</v>
      </c>
      <c r="N1630" t="str">
        <f>"11/10/2005 12:00:00 AM"</f>
        <v>11/10/2005 12:00:00 AM</v>
      </c>
      <c r="O1630" t="s">
        <v>4819</v>
      </c>
      <c r="T1630" t="s">
        <v>4820</v>
      </c>
    </row>
    <row r="1631" spans="1:20" x14ac:dyDescent="0.25">
      <c r="A1631" t="str">
        <f>"3063988"</f>
        <v>3063988</v>
      </c>
      <c r="B1631" t="s">
        <v>4822</v>
      </c>
      <c r="C1631" t="str">
        <f>"3258000"</f>
        <v>3258000</v>
      </c>
      <c r="D1631" t="s">
        <v>4823</v>
      </c>
      <c r="E1631" t="s">
        <v>4824</v>
      </c>
      <c r="F1631" t="s">
        <v>4825</v>
      </c>
      <c r="I1631" t="s">
        <v>184</v>
      </c>
      <c r="J1631" t="s">
        <v>30</v>
      </c>
      <c r="K1631" t="s">
        <v>185</v>
      </c>
      <c r="M1631" t="s">
        <v>32</v>
      </c>
      <c r="N1631" t="str">
        <f>"4/29/2002 12:00:00 AM"</f>
        <v>4/29/2002 12:00:00 AM</v>
      </c>
      <c r="O1631" t="s">
        <v>4823</v>
      </c>
      <c r="T1631" t="s">
        <v>4824</v>
      </c>
    </row>
    <row r="1632" spans="1:20" x14ac:dyDescent="0.25">
      <c r="A1632" t="str">
        <f>"3063998"</f>
        <v>3063998</v>
      </c>
      <c r="B1632" t="s">
        <v>4826</v>
      </c>
      <c r="C1632" t="str">
        <f>"11985000"</f>
        <v>11985000</v>
      </c>
      <c r="D1632" t="s">
        <v>4827</v>
      </c>
      <c r="E1632" t="s">
        <v>4828</v>
      </c>
      <c r="F1632" t="s">
        <v>4829</v>
      </c>
      <c r="I1632" t="s">
        <v>184</v>
      </c>
      <c r="J1632" t="s">
        <v>30</v>
      </c>
      <c r="K1632" t="s">
        <v>185</v>
      </c>
      <c r="M1632" t="s">
        <v>32</v>
      </c>
      <c r="N1632" t="str">
        <f>"6/16/2003 12:00:00 AM"</f>
        <v>6/16/2003 12:00:00 AM</v>
      </c>
      <c r="O1632" t="s">
        <v>4827</v>
      </c>
      <c r="T1632" t="s">
        <v>4828</v>
      </c>
    </row>
    <row r="1633" spans="1:20" x14ac:dyDescent="0.25">
      <c r="A1633" t="str">
        <f>"3043667"</f>
        <v>3043667</v>
      </c>
      <c r="B1633" t="s">
        <v>4830</v>
      </c>
      <c r="C1633" t="str">
        <f>"82524986"</f>
        <v>82524986</v>
      </c>
      <c r="D1633" t="s">
        <v>4831</v>
      </c>
      <c r="E1633" t="s">
        <v>4832</v>
      </c>
      <c r="F1633" t="s">
        <v>4833</v>
      </c>
      <c r="I1633" t="s">
        <v>29</v>
      </c>
      <c r="J1633" t="s">
        <v>30</v>
      </c>
      <c r="K1633" t="s">
        <v>4834</v>
      </c>
      <c r="M1633" t="s">
        <v>32</v>
      </c>
      <c r="N1633" t="str">
        <f>"2/25/2010 12:00:00 AM"</f>
        <v>2/25/2010 12:00:00 AM</v>
      </c>
      <c r="O1633" t="s">
        <v>4831</v>
      </c>
      <c r="T1633" t="s">
        <v>4832</v>
      </c>
    </row>
    <row r="1634" spans="1:20" x14ac:dyDescent="0.25">
      <c r="A1634" t="str">
        <f>"3064019"</f>
        <v>3064019</v>
      </c>
      <c r="B1634" t="s">
        <v>4835</v>
      </c>
      <c r="C1634" t="str">
        <f>"82524245"</f>
        <v>82524245</v>
      </c>
      <c r="D1634" t="s">
        <v>4836</v>
      </c>
      <c r="E1634" t="s">
        <v>4837</v>
      </c>
      <c r="F1634" t="s">
        <v>4838</v>
      </c>
      <c r="I1634" t="s">
        <v>184</v>
      </c>
      <c r="J1634" t="s">
        <v>30</v>
      </c>
      <c r="K1634" t="s">
        <v>185</v>
      </c>
      <c r="M1634" t="s">
        <v>32</v>
      </c>
      <c r="N1634" t="str">
        <f>"2/11/2010 12:00:00 AM"</f>
        <v>2/11/2010 12:00:00 AM</v>
      </c>
      <c r="O1634" t="s">
        <v>4836</v>
      </c>
      <c r="T1634" t="s">
        <v>4837</v>
      </c>
    </row>
    <row r="1635" spans="1:20" x14ac:dyDescent="0.25">
      <c r="A1635" t="str">
        <f>"3063999"</f>
        <v>3063999</v>
      </c>
      <c r="B1635" t="s">
        <v>4839</v>
      </c>
      <c r="C1635" t="str">
        <f>"36784000"</f>
        <v>36784000</v>
      </c>
      <c r="D1635" t="s">
        <v>4840</v>
      </c>
      <c r="E1635" t="s">
        <v>4841</v>
      </c>
      <c r="F1635" t="s">
        <v>4842</v>
      </c>
      <c r="I1635" t="s">
        <v>184</v>
      </c>
      <c r="J1635" t="s">
        <v>30</v>
      </c>
      <c r="K1635" t="s">
        <v>4843</v>
      </c>
      <c r="M1635" t="s">
        <v>32</v>
      </c>
      <c r="N1635" t="str">
        <f>"1/17/2006 12:00:00 AM"</f>
        <v>1/17/2006 12:00:00 AM</v>
      </c>
      <c r="O1635" t="s">
        <v>4840</v>
      </c>
      <c r="T1635" t="s">
        <v>4841</v>
      </c>
    </row>
    <row r="1636" spans="1:20" x14ac:dyDescent="0.25">
      <c r="A1636" t="str">
        <f>"3063963"</f>
        <v>3063963</v>
      </c>
      <c r="B1636" t="s">
        <v>4844</v>
      </c>
      <c r="C1636" t="str">
        <f>"6674500"</f>
        <v>6674500</v>
      </c>
      <c r="D1636" t="s">
        <v>4845</v>
      </c>
      <c r="F1636" t="s">
        <v>4846</v>
      </c>
      <c r="I1636" t="s">
        <v>184</v>
      </c>
      <c r="J1636" t="s">
        <v>30</v>
      </c>
      <c r="K1636" t="s">
        <v>185</v>
      </c>
      <c r="M1636" t="s">
        <v>32</v>
      </c>
      <c r="N1636" t="str">
        <f>"11/10/2005 12:00:00 AM"</f>
        <v>11/10/2005 12:00:00 AM</v>
      </c>
      <c r="O1636" t="s">
        <v>4845</v>
      </c>
    </row>
    <row r="1637" spans="1:20" x14ac:dyDescent="0.25">
      <c r="A1637" t="str">
        <f>"3063985"</f>
        <v>3063985</v>
      </c>
      <c r="B1637" t="s">
        <v>4847</v>
      </c>
      <c r="C1637" t="str">
        <f>"82526899"</f>
        <v>82526899</v>
      </c>
      <c r="D1637" t="s">
        <v>4848</v>
      </c>
      <c r="F1637" t="s">
        <v>4849</v>
      </c>
      <c r="I1637" t="s">
        <v>184</v>
      </c>
      <c r="J1637" t="s">
        <v>30</v>
      </c>
      <c r="K1637" t="s">
        <v>185</v>
      </c>
      <c r="M1637" t="s">
        <v>32</v>
      </c>
      <c r="N1637" t="str">
        <f>"1/23/2007 12:00:00 AM"</f>
        <v>1/23/2007 12:00:00 AM</v>
      </c>
      <c r="O1637" t="s">
        <v>4848</v>
      </c>
    </row>
    <row r="1638" spans="1:20" x14ac:dyDescent="0.25">
      <c r="A1638" t="str">
        <f>"3042062"</f>
        <v>3042062</v>
      </c>
      <c r="B1638" t="s">
        <v>4850</v>
      </c>
      <c r="C1638" t="str">
        <f>"82526899"</f>
        <v>82526899</v>
      </c>
      <c r="D1638" t="s">
        <v>4848</v>
      </c>
      <c r="F1638" t="s">
        <v>4849</v>
      </c>
      <c r="I1638" t="s">
        <v>184</v>
      </c>
      <c r="J1638" t="s">
        <v>30</v>
      </c>
      <c r="K1638" t="s">
        <v>185</v>
      </c>
      <c r="M1638" t="s">
        <v>32</v>
      </c>
      <c r="N1638" t="str">
        <f>"1/23/2007 12:00:00 AM"</f>
        <v>1/23/2007 12:00:00 AM</v>
      </c>
      <c r="O1638" t="s">
        <v>4848</v>
      </c>
    </row>
    <row r="1639" spans="1:20" x14ac:dyDescent="0.25">
      <c r="A1639" t="str">
        <f>"3063995"</f>
        <v>3063995</v>
      </c>
      <c r="B1639" t="s">
        <v>4851</v>
      </c>
      <c r="C1639" t="str">
        <f>"30244250"</f>
        <v>30244250</v>
      </c>
      <c r="D1639" t="s">
        <v>4852</v>
      </c>
      <c r="E1639" t="s">
        <v>4853</v>
      </c>
      <c r="F1639" t="s">
        <v>4854</v>
      </c>
      <c r="I1639" t="s">
        <v>184</v>
      </c>
      <c r="J1639" t="s">
        <v>30</v>
      </c>
      <c r="K1639" t="s">
        <v>185</v>
      </c>
      <c r="M1639" t="s">
        <v>32</v>
      </c>
      <c r="N1639" t="str">
        <f>"4/29/2002 12:00:00 AM"</f>
        <v>4/29/2002 12:00:00 AM</v>
      </c>
      <c r="O1639" t="s">
        <v>4852</v>
      </c>
      <c r="T1639" t="s">
        <v>4853</v>
      </c>
    </row>
    <row r="1640" spans="1:20" x14ac:dyDescent="0.25">
      <c r="A1640" t="str">
        <f>"3043668"</f>
        <v>3043668</v>
      </c>
      <c r="B1640" t="s">
        <v>4855</v>
      </c>
      <c r="C1640" t="str">
        <f>"82527693"</f>
        <v>82527693</v>
      </c>
      <c r="D1640" t="s">
        <v>4856</v>
      </c>
      <c r="E1640" t="s">
        <v>4857</v>
      </c>
      <c r="F1640" t="s">
        <v>4858</v>
      </c>
      <c r="I1640" t="s">
        <v>29</v>
      </c>
      <c r="J1640" t="s">
        <v>30</v>
      </c>
      <c r="K1640" t="s">
        <v>31</v>
      </c>
      <c r="M1640" t="s">
        <v>32</v>
      </c>
      <c r="N1640" t="str">
        <f>"3/16/2007 12:00:00 AM"</f>
        <v>3/16/2007 12:00:00 AM</v>
      </c>
      <c r="O1640" t="s">
        <v>4856</v>
      </c>
      <c r="T1640" t="s">
        <v>4857</v>
      </c>
    </row>
    <row r="1641" spans="1:20" x14ac:dyDescent="0.25">
      <c r="A1641" t="str">
        <f>"3043621"</f>
        <v>3043621</v>
      </c>
      <c r="B1641" t="s">
        <v>4859</v>
      </c>
      <c r="C1641" t="str">
        <f>"47310000"</f>
        <v>47310000</v>
      </c>
      <c r="D1641" t="s">
        <v>4860</v>
      </c>
      <c r="F1641" t="s">
        <v>4861</v>
      </c>
      <c r="I1641" t="s">
        <v>29</v>
      </c>
      <c r="J1641" t="s">
        <v>30</v>
      </c>
      <c r="K1641" t="s">
        <v>31</v>
      </c>
      <c r="M1641" t="s">
        <v>32</v>
      </c>
      <c r="N1641" t="str">
        <f>"10/19/2010 12:00:00 AM"</f>
        <v>10/19/2010 12:00:00 AM</v>
      </c>
      <c r="O1641" t="s">
        <v>4860</v>
      </c>
    </row>
    <row r="1642" spans="1:20" x14ac:dyDescent="0.25">
      <c r="A1642" t="str">
        <f>"3066094"</f>
        <v>3066094</v>
      </c>
      <c r="B1642" t="s">
        <v>4862</v>
      </c>
      <c r="C1642" t="str">
        <f>"49004750"</f>
        <v>49004750</v>
      </c>
      <c r="D1642" t="s">
        <v>4863</v>
      </c>
      <c r="E1642" t="s">
        <v>4864</v>
      </c>
      <c r="F1642" t="s">
        <v>4865</v>
      </c>
      <c r="I1642" t="s">
        <v>184</v>
      </c>
      <c r="J1642" t="s">
        <v>30</v>
      </c>
      <c r="K1642" t="s">
        <v>4866</v>
      </c>
      <c r="M1642" t="s">
        <v>32</v>
      </c>
      <c r="N1642" t="str">
        <f>"1/20/2010 12:00:00 AM"</f>
        <v>1/20/2010 12:00:00 AM</v>
      </c>
      <c r="O1642" t="s">
        <v>4863</v>
      </c>
      <c r="T1642" t="s">
        <v>4864</v>
      </c>
    </row>
    <row r="1643" spans="1:20" x14ac:dyDescent="0.25">
      <c r="A1643" t="str">
        <f>"3063966"</f>
        <v>3063966</v>
      </c>
      <c r="B1643" t="s">
        <v>4867</v>
      </c>
      <c r="C1643" t="str">
        <f>"82514493"</f>
        <v>82514493</v>
      </c>
      <c r="D1643" t="s">
        <v>4868</v>
      </c>
      <c r="E1643" t="s">
        <v>4869</v>
      </c>
      <c r="F1643" t="s">
        <v>4870</v>
      </c>
      <c r="I1643" t="s">
        <v>184</v>
      </c>
      <c r="J1643" t="s">
        <v>30</v>
      </c>
      <c r="K1643" t="s">
        <v>4871</v>
      </c>
      <c r="M1643" t="s">
        <v>32</v>
      </c>
      <c r="N1643" t="str">
        <f>"10/21/2003 12:00:00 AM"</f>
        <v>10/21/2003 12:00:00 AM</v>
      </c>
      <c r="O1643" t="s">
        <v>4868</v>
      </c>
      <c r="T1643" t="s">
        <v>4869</v>
      </c>
    </row>
    <row r="1644" spans="1:20" x14ac:dyDescent="0.25">
      <c r="A1644" t="str">
        <f>"3042098"</f>
        <v>3042098</v>
      </c>
      <c r="B1644" t="s">
        <v>4872</v>
      </c>
      <c r="C1644" t="str">
        <f>"82514493"</f>
        <v>82514493</v>
      </c>
      <c r="D1644" t="s">
        <v>4868</v>
      </c>
      <c r="E1644" t="s">
        <v>4869</v>
      </c>
      <c r="F1644" t="s">
        <v>4870</v>
      </c>
      <c r="I1644" t="s">
        <v>184</v>
      </c>
      <c r="J1644" t="s">
        <v>30</v>
      </c>
      <c r="K1644" t="s">
        <v>4871</v>
      </c>
      <c r="M1644" t="s">
        <v>32</v>
      </c>
      <c r="N1644" t="str">
        <f>"10/21/2003 12:00:00 AM"</f>
        <v>10/21/2003 12:00:00 AM</v>
      </c>
      <c r="O1644" t="s">
        <v>4868</v>
      </c>
      <c r="T1644" t="s">
        <v>4869</v>
      </c>
    </row>
    <row r="1645" spans="1:20" x14ac:dyDescent="0.25">
      <c r="A1645" t="str">
        <f>"3046545"</f>
        <v>3046545</v>
      </c>
      <c r="B1645" t="s">
        <v>4873</v>
      </c>
      <c r="C1645" t="str">
        <f>"82526809"</f>
        <v>82526809</v>
      </c>
      <c r="D1645" t="s">
        <v>4874</v>
      </c>
      <c r="E1645" t="s">
        <v>4875</v>
      </c>
      <c r="F1645" t="s">
        <v>4876</v>
      </c>
      <c r="I1645" t="s">
        <v>184</v>
      </c>
      <c r="J1645" t="s">
        <v>30</v>
      </c>
      <c r="K1645" t="s">
        <v>185</v>
      </c>
      <c r="M1645" t="s">
        <v>32</v>
      </c>
      <c r="N1645" t="str">
        <f>"2/1/2010 12:00:00 AM"</f>
        <v>2/1/2010 12:00:00 AM</v>
      </c>
      <c r="O1645" t="s">
        <v>4874</v>
      </c>
      <c r="T1645" t="s">
        <v>4875</v>
      </c>
    </row>
    <row r="1646" spans="1:20" x14ac:dyDescent="0.25">
      <c r="A1646" t="str">
        <f>"3057231"</f>
        <v>3057231</v>
      </c>
      <c r="B1646" t="s">
        <v>4877</v>
      </c>
      <c r="C1646" t="str">
        <f>"82526809"</f>
        <v>82526809</v>
      </c>
      <c r="D1646" t="s">
        <v>4874</v>
      </c>
      <c r="E1646" t="s">
        <v>4875</v>
      </c>
      <c r="F1646" t="s">
        <v>4876</v>
      </c>
      <c r="I1646" t="s">
        <v>184</v>
      </c>
      <c r="J1646" t="s">
        <v>30</v>
      </c>
      <c r="K1646" t="s">
        <v>185</v>
      </c>
      <c r="M1646" t="s">
        <v>32</v>
      </c>
      <c r="N1646" t="str">
        <f>"2/1/2010 12:00:00 AM"</f>
        <v>2/1/2010 12:00:00 AM</v>
      </c>
      <c r="O1646" t="s">
        <v>4874</v>
      </c>
      <c r="T1646" t="s">
        <v>4875</v>
      </c>
    </row>
    <row r="1647" spans="1:20" x14ac:dyDescent="0.25">
      <c r="A1647" t="str">
        <f>"3063889"</f>
        <v>3063889</v>
      </c>
      <c r="B1647" t="s">
        <v>4878</v>
      </c>
      <c r="C1647" t="str">
        <f>"82526809"</f>
        <v>82526809</v>
      </c>
      <c r="D1647" t="s">
        <v>4874</v>
      </c>
      <c r="E1647" t="s">
        <v>4875</v>
      </c>
      <c r="F1647" t="s">
        <v>4876</v>
      </c>
      <c r="I1647" t="s">
        <v>184</v>
      </c>
      <c r="J1647" t="s">
        <v>30</v>
      </c>
      <c r="K1647" t="s">
        <v>185</v>
      </c>
      <c r="M1647" t="s">
        <v>32</v>
      </c>
      <c r="N1647" t="str">
        <f>"2/1/2010 12:00:00 AM"</f>
        <v>2/1/2010 12:00:00 AM</v>
      </c>
      <c r="O1647" t="s">
        <v>4874</v>
      </c>
      <c r="T1647" t="s">
        <v>4875</v>
      </c>
    </row>
    <row r="1648" spans="1:20" x14ac:dyDescent="0.25">
      <c r="A1648" t="str">
        <f>"3043789"</f>
        <v>3043789</v>
      </c>
      <c r="B1648" t="s">
        <v>4879</v>
      </c>
      <c r="C1648" t="str">
        <f>"62544800"</f>
        <v>62544800</v>
      </c>
      <c r="D1648" t="s">
        <v>4880</v>
      </c>
      <c r="E1648" t="s">
        <v>4881</v>
      </c>
      <c r="F1648" t="s">
        <v>4882</v>
      </c>
      <c r="I1648" t="s">
        <v>29</v>
      </c>
      <c r="J1648" t="s">
        <v>30</v>
      </c>
      <c r="K1648" t="s">
        <v>31</v>
      </c>
      <c r="M1648" t="s">
        <v>32</v>
      </c>
      <c r="N1648" t="str">
        <f>"11/25/2002 12:00:00 AM"</f>
        <v>11/25/2002 12:00:00 AM</v>
      </c>
      <c r="O1648" t="s">
        <v>4880</v>
      </c>
      <c r="T1648" t="s">
        <v>4881</v>
      </c>
    </row>
    <row r="1649" spans="1:20" x14ac:dyDescent="0.25">
      <c r="A1649" t="str">
        <f>"3042500"</f>
        <v>3042500</v>
      </c>
      <c r="B1649" t="s">
        <v>4883</v>
      </c>
      <c r="C1649" t="str">
        <f>"60062000"</f>
        <v>60062000</v>
      </c>
      <c r="D1649" t="s">
        <v>4884</v>
      </c>
      <c r="F1649" t="s">
        <v>4885</v>
      </c>
      <c r="I1649" t="s">
        <v>184</v>
      </c>
      <c r="J1649" t="s">
        <v>30</v>
      </c>
      <c r="K1649" t="s">
        <v>185</v>
      </c>
      <c r="M1649" t="s">
        <v>32</v>
      </c>
      <c r="N1649" t="str">
        <f>"6/26/2003 12:00:00 AM"</f>
        <v>6/26/2003 12:00:00 AM</v>
      </c>
      <c r="O1649" t="s">
        <v>4884</v>
      </c>
    </row>
    <row r="1650" spans="1:20" x14ac:dyDescent="0.25">
      <c r="A1650" t="str">
        <f>"3042204"</f>
        <v>3042204</v>
      </c>
      <c r="B1650" t="s">
        <v>4886</v>
      </c>
      <c r="C1650" t="str">
        <f>"60062000"</f>
        <v>60062000</v>
      </c>
      <c r="D1650" t="s">
        <v>4884</v>
      </c>
      <c r="F1650" t="s">
        <v>4885</v>
      </c>
      <c r="I1650" t="s">
        <v>184</v>
      </c>
      <c r="J1650" t="s">
        <v>30</v>
      </c>
      <c r="K1650" t="s">
        <v>185</v>
      </c>
      <c r="M1650" t="s">
        <v>32</v>
      </c>
      <c r="N1650" t="str">
        <f>"6/26/2003 12:00:00 AM"</f>
        <v>6/26/2003 12:00:00 AM</v>
      </c>
      <c r="O1650" t="s">
        <v>4884</v>
      </c>
    </row>
    <row r="1651" spans="1:20" x14ac:dyDescent="0.25">
      <c r="A1651" t="str">
        <f>"3041990"</f>
        <v>3041990</v>
      </c>
      <c r="B1651" t="s">
        <v>4887</v>
      </c>
      <c r="C1651" t="str">
        <f>"60062000"</f>
        <v>60062000</v>
      </c>
      <c r="D1651" t="s">
        <v>4884</v>
      </c>
      <c r="F1651" t="s">
        <v>4885</v>
      </c>
      <c r="I1651" t="s">
        <v>184</v>
      </c>
      <c r="J1651" t="s">
        <v>30</v>
      </c>
      <c r="K1651" t="s">
        <v>185</v>
      </c>
      <c r="M1651" t="s">
        <v>32</v>
      </c>
      <c r="N1651" t="str">
        <f>"6/26/2003 12:00:00 AM"</f>
        <v>6/26/2003 12:00:00 AM</v>
      </c>
      <c r="O1651" t="s">
        <v>4884</v>
      </c>
    </row>
    <row r="1652" spans="1:20" x14ac:dyDescent="0.25">
      <c r="A1652" t="str">
        <f>"3064084"</f>
        <v>3064084</v>
      </c>
      <c r="B1652" t="s">
        <v>4888</v>
      </c>
      <c r="C1652" t="str">
        <f>"48200000"</f>
        <v>48200000</v>
      </c>
      <c r="D1652" t="s">
        <v>4889</v>
      </c>
      <c r="E1652" t="s">
        <v>4890</v>
      </c>
      <c r="F1652" t="s">
        <v>4891</v>
      </c>
      <c r="I1652" t="s">
        <v>184</v>
      </c>
      <c r="J1652" t="s">
        <v>30</v>
      </c>
      <c r="K1652" t="s">
        <v>4892</v>
      </c>
      <c r="M1652" t="s">
        <v>32</v>
      </c>
      <c r="N1652" t="str">
        <f>"2/24/2010 12:00:00 AM"</f>
        <v>2/24/2010 12:00:00 AM</v>
      </c>
      <c r="O1652" t="s">
        <v>4889</v>
      </c>
      <c r="T1652" t="s">
        <v>4890</v>
      </c>
    </row>
    <row r="1653" spans="1:20" x14ac:dyDescent="0.25">
      <c r="A1653" t="str">
        <f>"3063941"</f>
        <v>3063941</v>
      </c>
      <c r="B1653" t="s">
        <v>4893</v>
      </c>
      <c r="C1653" t="str">
        <f>"82516214"</f>
        <v>82516214</v>
      </c>
      <c r="D1653" t="s">
        <v>4894</v>
      </c>
      <c r="F1653" t="s">
        <v>4895</v>
      </c>
      <c r="I1653" t="s">
        <v>4896</v>
      </c>
      <c r="J1653" t="s">
        <v>30</v>
      </c>
      <c r="K1653" t="s">
        <v>4897</v>
      </c>
      <c r="M1653" t="s">
        <v>32</v>
      </c>
      <c r="N1653" t="str">
        <f>"8/26/2005 12:00:00 AM"</f>
        <v>8/26/2005 12:00:00 AM</v>
      </c>
      <c r="O1653" t="s">
        <v>4894</v>
      </c>
    </row>
    <row r="1654" spans="1:20" x14ac:dyDescent="0.25">
      <c r="A1654" t="str">
        <f>"3042290"</f>
        <v>3042290</v>
      </c>
      <c r="B1654" t="s">
        <v>4898</v>
      </c>
      <c r="C1654" t="str">
        <f>"82516214"</f>
        <v>82516214</v>
      </c>
      <c r="D1654" t="s">
        <v>4894</v>
      </c>
      <c r="F1654" t="s">
        <v>4895</v>
      </c>
      <c r="I1654" t="s">
        <v>4896</v>
      </c>
      <c r="J1654" t="s">
        <v>30</v>
      </c>
      <c r="K1654" t="s">
        <v>4897</v>
      </c>
      <c r="M1654" t="s">
        <v>32</v>
      </c>
      <c r="N1654" t="str">
        <f>"8/26/2005 12:00:00 AM"</f>
        <v>8/26/2005 12:00:00 AM</v>
      </c>
      <c r="O1654" t="s">
        <v>4894</v>
      </c>
    </row>
    <row r="1655" spans="1:20" x14ac:dyDescent="0.25">
      <c r="A1655" t="str">
        <f>"3042911"</f>
        <v>3042911</v>
      </c>
      <c r="B1655" t="s">
        <v>4899</v>
      </c>
      <c r="C1655" t="str">
        <f>"82516214"</f>
        <v>82516214</v>
      </c>
      <c r="D1655" t="s">
        <v>4894</v>
      </c>
      <c r="F1655" t="s">
        <v>4895</v>
      </c>
      <c r="I1655" t="s">
        <v>4896</v>
      </c>
      <c r="J1655" t="s">
        <v>30</v>
      </c>
      <c r="K1655" t="s">
        <v>4897</v>
      </c>
      <c r="M1655" t="s">
        <v>32</v>
      </c>
      <c r="N1655" t="str">
        <f>"8/26/2005 12:00:00 AM"</f>
        <v>8/26/2005 12:00:00 AM</v>
      </c>
      <c r="O1655" t="s">
        <v>4894</v>
      </c>
    </row>
    <row r="1656" spans="1:20" x14ac:dyDescent="0.25">
      <c r="A1656" t="str">
        <f>"3043620"</f>
        <v>3043620</v>
      </c>
      <c r="B1656" t="s">
        <v>4900</v>
      </c>
      <c r="C1656" t="str">
        <f>"82518581"</f>
        <v>82518581</v>
      </c>
      <c r="D1656" t="s">
        <v>4901</v>
      </c>
      <c r="F1656" t="s">
        <v>4902</v>
      </c>
      <c r="I1656" t="s">
        <v>29</v>
      </c>
      <c r="J1656" t="s">
        <v>30</v>
      </c>
      <c r="K1656" t="s">
        <v>4903</v>
      </c>
      <c r="M1656" t="s">
        <v>32</v>
      </c>
      <c r="N1656" t="str">
        <f>"2/24/2005 12:00:00 AM"</f>
        <v>2/24/2005 12:00:00 AM</v>
      </c>
      <c r="O1656" t="s">
        <v>4901</v>
      </c>
    </row>
    <row r="1657" spans="1:20" x14ac:dyDescent="0.25">
      <c r="A1657" t="str">
        <f>"3077683"</f>
        <v>3077683</v>
      </c>
      <c r="B1657" t="s">
        <v>4904</v>
      </c>
      <c r="C1657" t="str">
        <f>"2508000"</f>
        <v>2508000</v>
      </c>
      <c r="D1657" t="s">
        <v>4905</v>
      </c>
      <c r="E1657" t="s">
        <v>4906</v>
      </c>
      <c r="F1657" t="s">
        <v>4907</v>
      </c>
      <c r="I1657" t="s">
        <v>184</v>
      </c>
      <c r="J1657" t="s">
        <v>30</v>
      </c>
      <c r="K1657" t="s">
        <v>185</v>
      </c>
      <c r="M1657" t="s">
        <v>32</v>
      </c>
      <c r="N1657" t="str">
        <f>"4/29/2002 12:00:00 AM"</f>
        <v>4/29/2002 12:00:00 AM</v>
      </c>
      <c r="O1657" t="s">
        <v>4905</v>
      </c>
      <c r="T1657" t="s">
        <v>4906</v>
      </c>
    </row>
    <row r="1658" spans="1:20" x14ac:dyDescent="0.25">
      <c r="A1658" t="str">
        <f>"3057657"</f>
        <v>3057657</v>
      </c>
      <c r="B1658" t="s">
        <v>4908</v>
      </c>
      <c r="C1658" t="str">
        <f>"82526936"</f>
        <v>82526936</v>
      </c>
      <c r="D1658" t="s">
        <v>4909</v>
      </c>
      <c r="E1658" t="s">
        <v>4910</v>
      </c>
      <c r="F1658" t="s">
        <v>4911</v>
      </c>
      <c r="I1658" t="s">
        <v>184</v>
      </c>
      <c r="J1658" t="s">
        <v>30</v>
      </c>
      <c r="K1658" t="s">
        <v>185</v>
      </c>
      <c r="M1658" t="s">
        <v>32</v>
      </c>
      <c r="N1658" t="str">
        <f>"1/16/2007 12:00:00 AM"</f>
        <v>1/16/2007 12:00:00 AM</v>
      </c>
      <c r="O1658" t="s">
        <v>4909</v>
      </c>
      <c r="T1658" t="s">
        <v>4910</v>
      </c>
    </row>
    <row r="1659" spans="1:20" x14ac:dyDescent="0.25">
      <c r="A1659" t="str">
        <f>"3057659"</f>
        <v>3057659</v>
      </c>
      <c r="B1659" t="s">
        <v>4912</v>
      </c>
      <c r="C1659" t="str">
        <f>"82522762"</f>
        <v>82522762</v>
      </c>
      <c r="D1659" t="s">
        <v>4913</v>
      </c>
      <c r="F1659" t="s">
        <v>4914</v>
      </c>
      <c r="I1659" t="s">
        <v>184</v>
      </c>
      <c r="J1659" t="s">
        <v>30</v>
      </c>
      <c r="K1659" t="s">
        <v>185</v>
      </c>
      <c r="M1659" t="s">
        <v>32</v>
      </c>
      <c r="N1659" t="str">
        <f>"2/21/2005 12:00:00 AM"</f>
        <v>2/21/2005 12:00:00 AM</v>
      </c>
      <c r="O1659" t="s">
        <v>4913</v>
      </c>
    </row>
    <row r="1660" spans="1:20" x14ac:dyDescent="0.25">
      <c r="A1660" t="str">
        <f>"3057631"</f>
        <v>3057631</v>
      </c>
      <c r="B1660" t="s">
        <v>4915</v>
      </c>
      <c r="C1660" t="str">
        <f>"82523019"</f>
        <v>82523019</v>
      </c>
      <c r="D1660" t="s">
        <v>4916</v>
      </c>
      <c r="F1660" t="s">
        <v>4917</v>
      </c>
      <c r="I1660" t="s">
        <v>184</v>
      </c>
      <c r="J1660" t="s">
        <v>30</v>
      </c>
      <c r="K1660" t="s">
        <v>4918</v>
      </c>
      <c r="M1660" t="s">
        <v>32</v>
      </c>
      <c r="N1660" t="str">
        <f>"11/10/2005 12:00:00 AM"</f>
        <v>11/10/2005 12:00:00 AM</v>
      </c>
      <c r="O1660" t="s">
        <v>4916</v>
      </c>
    </row>
    <row r="1661" spans="1:20" x14ac:dyDescent="0.25">
      <c r="A1661" t="str">
        <f>"3057627"</f>
        <v>3057627</v>
      </c>
      <c r="B1661" t="s">
        <v>4919</v>
      </c>
      <c r="C1661" t="str">
        <f>"82524898"</f>
        <v>82524898</v>
      </c>
      <c r="D1661" t="s">
        <v>4920</v>
      </c>
      <c r="E1661" t="s">
        <v>4921</v>
      </c>
      <c r="F1661" t="s">
        <v>4922</v>
      </c>
      <c r="I1661" t="s">
        <v>184</v>
      </c>
      <c r="J1661" t="s">
        <v>30</v>
      </c>
      <c r="K1661" t="s">
        <v>4918</v>
      </c>
      <c r="M1661" t="s">
        <v>32</v>
      </c>
      <c r="N1661" t="str">
        <f>"1/17/2006 12:00:00 AM"</f>
        <v>1/17/2006 12:00:00 AM</v>
      </c>
      <c r="O1661" t="s">
        <v>4920</v>
      </c>
      <c r="T1661" t="s">
        <v>4921</v>
      </c>
    </row>
    <row r="1662" spans="1:20" x14ac:dyDescent="0.25">
      <c r="A1662" t="str">
        <f>"3063916"</f>
        <v>3063916</v>
      </c>
      <c r="B1662" t="s">
        <v>4923</v>
      </c>
      <c r="C1662" t="str">
        <f>"52956000"</f>
        <v>52956000</v>
      </c>
      <c r="D1662" t="s">
        <v>4924</v>
      </c>
      <c r="E1662" t="s">
        <v>4925</v>
      </c>
      <c r="F1662" t="s">
        <v>4926</v>
      </c>
      <c r="I1662" t="s">
        <v>184</v>
      </c>
      <c r="J1662" t="s">
        <v>30</v>
      </c>
      <c r="K1662" t="s">
        <v>185</v>
      </c>
      <c r="M1662" t="s">
        <v>32</v>
      </c>
      <c r="N1662" t="str">
        <f>"3/12/2004 12:00:00 AM"</f>
        <v>3/12/2004 12:00:00 AM</v>
      </c>
      <c r="O1662" t="s">
        <v>4924</v>
      </c>
      <c r="T1662" t="s">
        <v>4925</v>
      </c>
    </row>
    <row r="1663" spans="1:20" x14ac:dyDescent="0.25">
      <c r="A1663" t="str">
        <f>"3043586"</f>
        <v>3043586</v>
      </c>
      <c r="B1663" t="s">
        <v>4927</v>
      </c>
      <c r="C1663" t="str">
        <f>"57228000"</f>
        <v>57228000</v>
      </c>
      <c r="D1663" t="s">
        <v>4928</v>
      </c>
      <c r="F1663" t="s">
        <v>4929</v>
      </c>
      <c r="I1663" t="s">
        <v>29</v>
      </c>
      <c r="J1663" t="s">
        <v>30</v>
      </c>
      <c r="K1663" t="s">
        <v>31</v>
      </c>
      <c r="M1663" t="s">
        <v>32</v>
      </c>
      <c r="N1663" t="str">
        <f>"10/3/2005 12:00:00 AM"</f>
        <v>10/3/2005 12:00:00 AM</v>
      </c>
      <c r="O1663" t="s">
        <v>4928</v>
      </c>
    </row>
    <row r="1664" spans="1:20" x14ac:dyDescent="0.25">
      <c r="A1664" t="str">
        <f>"3038980"</f>
        <v>3038980</v>
      </c>
      <c r="B1664" t="s">
        <v>4930</v>
      </c>
      <c r="C1664" t="str">
        <f>"44656000"</f>
        <v>44656000</v>
      </c>
      <c r="D1664" t="s">
        <v>4931</v>
      </c>
      <c r="E1664" t="s">
        <v>4932</v>
      </c>
      <c r="F1664" t="s">
        <v>4933</v>
      </c>
      <c r="I1664" t="s">
        <v>29</v>
      </c>
      <c r="J1664" t="s">
        <v>30</v>
      </c>
      <c r="K1664" t="s">
        <v>31</v>
      </c>
      <c r="M1664" t="s">
        <v>32</v>
      </c>
      <c r="N1664" t="str">
        <f>"4/25/2002 12:00:00 AM"</f>
        <v>4/25/2002 12:00:00 AM</v>
      </c>
      <c r="O1664" t="s">
        <v>4931</v>
      </c>
      <c r="T1664" t="s">
        <v>4932</v>
      </c>
    </row>
    <row r="1665" spans="1:20" x14ac:dyDescent="0.25">
      <c r="A1665" t="str">
        <f>"3042377"</f>
        <v>3042377</v>
      </c>
      <c r="B1665" t="s">
        <v>4934</v>
      </c>
      <c r="C1665" t="str">
        <f>"26320000"</f>
        <v>26320000</v>
      </c>
      <c r="D1665" t="s">
        <v>4935</v>
      </c>
      <c r="E1665" t="s">
        <v>4936</v>
      </c>
      <c r="F1665" t="s">
        <v>4937</v>
      </c>
      <c r="I1665" t="s">
        <v>184</v>
      </c>
      <c r="J1665" t="s">
        <v>30</v>
      </c>
      <c r="K1665" t="s">
        <v>185</v>
      </c>
      <c r="M1665" t="s">
        <v>32</v>
      </c>
      <c r="N1665" t="str">
        <f>"4/29/2002 12:00:00 AM"</f>
        <v>4/29/2002 12:00:00 AM</v>
      </c>
      <c r="O1665" t="s">
        <v>4935</v>
      </c>
      <c r="T1665" t="s">
        <v>4936</v>
      </c>
    </row>
    <row r="1666" spans="1:20" x14ac:dyDescent="0.25">
      <c r="A1666" t="str">
        <f>"3042223"</f>
        <v>3042223</v>
      </c>
      <c r="B1666" t="s">
        <v>4938</v>
      </c>
      <c r="C1666" t="str">
        <f>"82525622"</f>
        <v>82525622</v>
      </c>
      <c r="D1666" t="s">
        <v>4939</v>
      </c>
      <c r="F1666" t="s">
        <v>4940</v>
      </c>
      <c r="I1666" t="s">
        <v>184</v>
      </c>
      <c r="J1666" t="s">
        <v>30</v>
      </c>
      <c r="K1666" t="s">
        <v>185</v>
      </c>
      <c r="M1666" t="s">
        <v>32</v>
      </c>
      <c r="N1666" t="str">
        <f>"12/28/2007 12:00:00 AM"</f>
        <v>12/28/2007 12:00:00 AM</v>
      </c>
      <c r="O1666" t="s">
        <v>4939</v>
      </c>
    </row>
    <row r="1667" spans="1:20" x14ac:dyDescent="0.25">
      <c r="A1667" t="str">
        <f>"3068375"</f>
        <v>3068375</v>
      </c>
      <c r="B1667" t="s">
        <v>4941</v>
      </c>
      <c r="C1667" t="str">
        <f>"82517352"</f>
        <v>82517352</v>
      </c>
      <c r="D1667" t="s">
        <v>4942</v>
      </c>
      <c r="E1667" t="s">
        <v>4943</v>
      </c>
      <c r="F1667" t="s">
        <v>4944</v>
      </c>
      <c r="I1667" t="s">
        <v>184</v>
      </c>
      <c r="J1667" t="s">
        <v>30</v>
      </c>
      <c r="K1667" t="s">
        <v>185</v>
      </c>
      <c r="M1667" t="s">
        <v>32</v>
      </c>
      <c r="N1667" t="str">
        <f>"1/26/2010 12:00:00 AM"</f>
        <v>1/26/2010 12:00:00 AM</v>
      </c>
      <c r="O1667" t="s">
        <v>4942</v>
      </c>
      <c r="T1667" t="s">
        <v>4943</v>
      </c>
    </row>
    <row r="1668" spans="1:20" x14ac:dyDescent="0.25">
      <c r="A1668" t="str">
        <f>"3068376"</f>
        <v>3068376</v>
      </c>
      <c r="B1668" t="s">
        <v>4945</v>
      </c>
      <c r="C1668" t="str">
        <f>"82517352"</f>
        <v>82517352</v>
      </c>
      <c r="D1668" t="s">
        <v>4942</v>
      </c>
      <c r="E1668" t="s">
        <v>4943</v>
      </c>
      <c r="F1668" t="s">
        <v>4944</v>
      </c>
      <c r="I1668" t="s">
        <v>184</v>
      </c>
      <c r="J1668" t="s">
        <v>30</v>
      </c>
      <c r="K1668" t="s">
        <v>185</v>
      </c>
      <c r="M1668" t="s">
        <v>32</v>
      </c>
      <c r="N1668" t="str">
        <f>"1/26/2010 12:00:00 AM"</f>
        <v>1/26/2010 12:00:00 AM</v>
      </c>
      <c r="O1668" t="s">
        <v>4942</v>
      </c>
      <c r="T1668" t="s">
        <v>4943</v>
      </c>
    </row>
    <row r="1669" spans="1:20" x14ac:dyDescent="0.25">
      <c r="A1669" t="str">
        <f>"3068383"</f>
        <v>3068383</v>
      </c>
      <c r="B1669" t="s">
        <v>4946</v>
      </c>
      <c r="C1669" t="str">
        <f>"82517352"</f>
        <v>82517352</v>
      </c>
      <c r="D1669" t="s">
        <v>4942</v>
      </c>
      <c r="E1669" t="s">
        <v>4943</v>
      </c>
      <c r="F1669" t="s">
        <v>4944</v>
      </c>
      <c r="I1669" t="s">
        <v>184</v>
      </c>
      <c r="J1669" t="s">
        <v>30</v>
      </c>
      <c r="K1669" t="s">
        <v>185</v>
      </c>
      <c r="M1669" t="s">
        <v>32</v>
      </c>
      <c r="N1669" t="str">
        <f>"1/26/2010 12:00:00 AM"</f>
        <v>1/26/2010 12:00:00 AM</v>
      </c>
      <c r="O1669" t="s">
        <v>4942</v>
      </c>
      <c r="T1669" t="s">
        <v>4943</v>
      </c>
    </row>
    <row r="1670" spans="1:20" x14ac:dyDescent="0.25">
      <c r="A1670" t="str">
        <f>"3068379"</f>
        <v>3068379</v>
      </c>
      <c r="B1670" t="s">
        <v>4947</v>
      </c>
      <c r="C1670" t="str">
        <f>"82517352"</f>
        <v>82517352</v>
      </c>
      <c r="D1670" t="s">
        <v>4942</v>
      </c>
      <c r="E1670" t="s">
        <v>4943</v>
      </c>
      <c r="F1670" t="s">
        <v>4944</v>
      </c>
      <c r="I1670" t="s">
        <v>184</v>
      </c>
      <c r="J1670" t="s">
        <v>30</v>
      </c>
      <c r="K1670" t="s">
        <v>185</v>
      </c>
      <c r="M1670" t="s">
        <v>32</v>
      </c>
      <c r="N1670" t="str">
        <f>"1/26/2010 12:00:00 AM"</f>
        <v>1/26/2010 12:00:00 AM</v>
      </c>
      <c r="O1670" t="s">
        <v>4942</v>
      </c>
      <c r="T1670" t="s">
        <v>4943</v>
      </c>
    </row>
    <row r="1671" spans="1:20" x14ac:dyDescent="0.25">
      <c r="A1671" t="str">
        <f>"3068381"</f>
        <v>3068381</v>
      </c>
      <c r="B1671" t="s">
        <v>4948</v>
      </c>
      <c r="C1671" t="str">
        <f>"82517352"</f>
        <v>82517352</v>
      </c>
      <c r="D1671" t="s">
        <v>4942</v>
      </c>
      <c r="E1671" t="s">
        <v>4943</v>
      </c>
      <c r="F1671" t="s">
        <v>4944</v>
      </c>
      <c r="I1671" t="s">
        <v>184</v>
      </c>
      <c r="J1671" t="s">
        <v>30</v>
      </c>
      <c r="K1671" t="s">
        <v>185</v>
      </c>
      <c r="M1671" t="s">
        <v>32</v>
      </c>
      <c r="N1671" t="str">
        <f>"1/26/2010 12:00:00 AM"</f>
        <v>1/26/2010 12:00:00 AM</v>
      </c>
      <c r="O1671" t="s">
        <v>4942</v>
      </c>
      <c r="T1671" t="s">
        <v>4943</v>
      </c>
    </row>
    <row r="1672" spans="1:20" x14ac:dyDescent="0.25">
      <c r="A1672" t="str">
        <f>"3064021"</f>
        <v>3064021</v>
      </c>
      <c r="B1672" t="s">
        <v>4949</v>
      </c>
      <c r="C1672" t="str">
        <f>"21515620"</f>
        <v>21515620</v>
      </c>
      <c r="D1672" t="s">
        <v>4950</v>
      </c>
      <c r="E1672" t="s">
        <v>4951</v>
      </c>
      <c r="F1672" t="s">
        <v>4952</v>
      </c>
      <c r="I1672" t="s">
        <v>184</v>
      </c>
      <c r="J1672" t="s">
        <v>30</v>
      </c>
      <c r="K1672" t="s">
        <v>185</v>
      </c>
      <c r="M1672" t="s">
        <v>32</v>
      </c>
      <c r="N1672" t="str">
        <f>"7/22/2003 12:00:00 AM"</f>
        <v>7/22/2003 12:00:00 AM</v>
      </c>
      <c r="O1672" t="s">
        <v>4950</v>
      </c>
      <c r="T1672" t="s">
        <v>4951</v>
      </c>
    </row>
    <row r="1673" spans="1:20" x14ac:dyDescent="0.25">
      <c r="A1673" t="str">
        <f>"3042073"</f>
        <v>3042073</v>
      </c>
      <c r="B1673" t="s">
        <v>4953</v>
      </c>
      <c r="C1673" t="str">
        <f>"82521923"</f>
        <v>82521923</v>
      </c>
      <c r="D1673" t="s">
        <v>4954</v>
      </c>
      <c r="E1673" t="s">
        <v>4955</v>
      </c>
      <c r="F1673" t="s">
        <v>4956</v>
      </c>
      <c r="I1673" t="s">
        <v>184</v>
      </c>
      <c r="J1673" t="s">
        <v>30</v>
      </c>
      <c r="K1673" t="s">
        <v>4957</v>
      </c>
      <c r="M1673" t="s">
        <v>32</v>
      </c>
      <c r="N1673" t="str">
        <f>"11/10/2005 12:00:00 AM"</f>
        <v>11/10/2005 12:00:00 AM</v>
      </c>
      <c r="O1673" t="s">
        <v>4954</v>
      </c>
      <c r="T1673" t="s">
        <v>4955</v>
      </c>
    </row>
    <row r="1674" spans="1:20" x14ac:dyDescent="0.25">
      <c r="A1674" t="str">
        <f>"3042585"</f>
        <v>3042585</v>
      </c>
      <c r="B1674" t="s">
        <v>4958</v>
      </c>
      <c r="C1674" t="str">
        <f>"82521923"</f>
        <v>82521923</v>
      </c>
      <c r="D1674" t="s">
        <v>4954</v>
      </c>
      <c r="E1674" t="s">
        <v>4955</v>
      </c>
      <c r="F1674" t="s">
        <v>4956</v>
      </c>
      <c r="I1674" t="s">
        <v>184</v>
      </c>
      <c r="J1674" t="s">
        <v>30</v>
      </c>
      <c r="K1674" t="s">
        <v>4957</v>
      </c>
      <c r="M1674" t="s">
        <v>32</v>
      </c>
      <c r="N1674" t="str">
        <f>"11/10/2005 12:00:00 AM"</f>
        <v>11/10/2005 12:00:00 AM</v>
      </c>
      <c r="O1674" t="s">
        <v>4954</v>
      </c>
      <c r="T1674" t="s">
        <v>4955</v>
      </c>
    </row>
    <row r="1675" spans="1:20" x14ac:dyDescent="0.25">
      <c r="A1675" t="str">
        <f>"3063885"</f>
        <v>3063885</v>
      </c>
      <c r="B1675" t="s">
        <v>4959</v>
      </c>
      <c r="C1675" t="str">
        <f>"82523930"</f>
        <v>82523930</v>
      </c>
      <c r="D1675" t="s">
        <v>4960</v>
      </c>
      <c r="E1675" t="s">
        <v>4961</v>
      </c>
      <c r="F1675" t="s">
        <v>4962</v>
      </c>
      <c r="I1675" t="s">
        <v>184</v>
      </c>
      <c r="J1675" t="s">
        <v>30</v>
      </c>
      <c r="K1675" t="s">
        <v>185</v>
      </c>
      <c r="M1675" t="s">
        <v>32</v>
      </c>
      <c r="N1675" t="str">
        <f>"2/4/2010 12:00:00 AM"</f>
        <v>2/4/2010 12:00:00 AM</v>
      </c>
      <c r="O1675" t="s">
        <v>4960</v>
      </c>
      <c r="T1675" t="s">
        <v>4961</v>
      </c>
    </row>
    <row r="1676" spans="1:20" x14ac:dyDescent="0.25">
      <c r="A1676" t="str">
        <f>"3042203"</f>
        <v>3042203</v>
      </c>
      <c r="B1676" t="s">
        <v>4963</v>
      </c>
      <c r="C1676" t="str">
        <f>"78769500"</f>
        <v>78769500</v>
      </c>
      <c r="D1676" t="s">
        <v>4964</v>
      </c>
      <c r="E1676" t="s">
        <v>4965</v>
      </c>
      <c r="F1676" t="s">
        <v>4966</v>
      </c>
      <c r="I1676" t="s">
        <v>402</v>
      </c>
      <c r="J1676" t="s">
        <v>30</v>
      </c>
      <c r="K1676" t="s">
        <v>4967</v>
      </c>
      <c r="M1676" t="s">
        <v>32</v>
      </c>
      <c r="N1676" t="str">
        <f>"1/6/2006 12:00:00 AM"</f>
        <v>1/6/2006 12:00:00 AM</v>
      </c>
      <c r="O1676" t="s">
        <v>4964</v>
      </c>
      <c r="T1676" t="s">
        <v>4965</v>
      </c>
    </row>
    <row r="1677" spans="1:20" x14ac:dyDescent="0.25">
      <c r="A1677" t="str">
        <f>"3043628"</f>
        <v>3043628</v>
      </c>
      <c r="B1677" t="s">
        <v>4968</v>
      </c>
      <c r="C1677" t="str">
        <f>"46252000"</f>
        <v>46252000</v>
      </c>
      <c r="D1677" t="s">
        <v>4969</v>
      </c>
      <c r="E1677" t="s">
        <v>4970</v>
      </c>
      <c r="F1677" t="s">
        <v>4971</v>
      </c>
      <c r="I1677" t="s">
        <v>184</v>
      </c>
      <c r="J1677" t="s">
        <v>30</v>
      </c>
      <c r="K1677" t="s">
        <v>185</v>
      </c>
      <c r="M1677" t="s">
        <v>32</v>
      </c>
      <c r="N1677" t="str">
        <f>"1/21/2006 12:00:00 AM"</f>
        <v>1/21/2006 12:00:00 AM</v>
      </c>
      <c r="O1677" t="s">
        <v>4969</v>
      </c>
      <c r="T1677" t="s">
        <v>4970</v>
      </c>
    </row>
    <row r="1678" spans="1:20" x14ac:dyDescent="0.25">
      <c r="A1678" t="str">
        <f>"3042419"</f>
        <v>3042419</v>
      </c>
      <c r="B1678" t="s">
        <v>4972</v>
      </c>
      <c r="C1678" t="str">
        <f>"82515846"</f>
        <v>82515846</v>
      </c>
      <c r="D1678" t="s">
        <v>4973</v>
      </c>
      <c r="E1678" t="s">
        <v>4974</v>
      </c>
      <c r="F1678" t="s">
        <v>3952</v>
      </c>
      <c r="I1678" t="s">
        <v>184</v>
      </c>
      <c r="J1678" t="s">
        <v>30</v>
      </c>
      <c r="K1678" t="s">
        <v>185</v>
      </c>
      <c r="M1678" t="s">
        <v>32</v>
      </c>
      <c r="N1678" t="str">
        <f>"8/27/2004 12:00:00 AM"</f>
        <v>8/27/2004 12:00:00 AM</v>
      </c>
      <c r="O1678" t="s">
        <v>4973</v>
      </c>
      <c r="T1678" t="s">
        <v>4974</v>
      </c>
    </row>
    <row r="1679" spans="1:20" x14ac:dyDescent="0.25">
      <c r="A1679" t="str">
        <f>"3047106"</f>
        <v>3047106</v>
      </c>
      <c r="B1679" t="s">
        <v>4975</v>
      </c>
      <c r="C1679" t="str">
        <f t="shared" ref="C1679:C1686" si="34">"4708000"</f>
        <v>4708000</v>
      </c>
      <c r="D1679" t="s">
        <v>4976</v>
      </c>
      <c r="E1679" t="s">
        <v>4977</v>
      </c>
      <c r="F1679" t="s">
        <v>4978</v>
      </c>
      <c r="I1679" t="s">
        <v>184</v>
      </c>
      <c r="J1679" t="s">
        <v>30</v>
      </c>
      <c r="K1679" t="s">
        <v>4979</v>
      </c>
      <c r="M1679" t="s">
        <v>32</v>
      </c>
      <c r="N1679" t="str">
        <f t="shared" ref="N1679:N1686" si="35">"1/9/2006 12:00:00 AM"</f>
        <v>1/9/2006 12:00:00 AM</v>
      </c>
      <c r="O1679" t="s">
        <v>4976</v>
      </c>
      <c r="T1679" t="s">
        <v>4977</v>
      </c>
    </row>
    <row r="1680" spans="1:20" x14ac:dyDescent="0.25">
      <c r="A1680" t="str">
        <f>"3046474"</f>
        <v>3046474</v>
      </c>
      <c r="B1680" t="s">
        <v>4980</v>
      </c>
      <c r="C1680" t="str">
        <f t="shared" si="34"/>
        <v>4708000</v>
      </c>
      <c r="D1680" t="s">
        <v>4976</v>
      </c>
      <c r="E1680" t="s">
        <v>4977</v>
      </c>
      <c r="F1680" t="s">
        <v>4978</v>
      </c>
      <c r="I1680" t="s">
        <v>184</v>
      </c>
      <c r="J1680" t="s">
        <v>30</v>
      </c>
      <c r="K1680" t="s">
        <v>4979</v>
      </c>
      <c r="M1680" t="s">
        <v>32</v>
      </c>
      <c r="N1680" t="str">
        <f t="shared" si="35"/>
        <v>1/9/2006 12:00:00 AM</v>
      </c>
      <c r="O1680" t="s">
        <v>4976</v>
      </c>
      <c r="T1680" t="s">
        <v>4977</v>
      </c>
    </row>
    <row r="1681" spans="1:20" x14ac:dyDescent="0.25">
      <c r="A1681" t="str">
        <f>"3041988"</f>
        <v>3041988</v>
      </c>
      <c r="B1681" t="s">
        <v>4981</v>
      </c>
      <c r="C1681" t="str">
        <f t="shared" si="34"/>
        <v>4708000</v>
      </c>
      <c r="D1681" t="s">
        <v>4976</v>
      </c>
      <c r="E1681" t="s">
        <v>4977</v>
      </c>
      <c r="F1681" t="s">
        <v>4978</v>
      </c>
      <c r="I1681" t="s">
        <v>184</v>
      </c>
      <c r="J1681" t="s">
        <v>30</v>
      </c>
      <c r="K1681" t="s">
        <v>4979</v>
      </c>
      <c r="M1681" t="s">
        <v>32</v>
      </c>
      <c r="N1681" t="str">
        <f t="shared" si="35"/>
        <v>1/9/2006 12:00:00 AM</v>
      </c>
      <c r="O1681" t="s">
        <v>4976</v>
      </c>
      <c r="T1681" t="s">
        <v>4977</v>
      </c>
    </row>
    <row r="1682" spans="1:20" x14ac:dyDescent="0.25">
      <c r="A1682" t="str">
        <f>"3063928"</f>
        <v>3063928</v>
      </c>
      <c r="B1682" t="s">
        <v>4982</v>
      </c>
      <c r="C1682" t="str">
        <f t="shared" si="34"/>
        <v>4708000</v>
      </c>
      <c r="D1682" t="s">
        <v>4976</v>
      </c>
      <c r="E1682" t="s">
        <v>4977</v>
      </c>
      <c r="F1682" t="s">
        <v>4978</v>
      </c>
      <c r="I1682" t="s">
        <v>184</v>
      </c>
      <c r="J1682" t="s">
        <v>30</v>
      </c>
      <c r="K1682" t="s">
        <v>4979</v>
      </c>
      <c r="M1682" t="s">
        <v>32</v>
      </c>
      <c r="N1682" t="str">
        <f t="shared" si="35"/>
        <v>1/9/2006 12:00:00 AM</v>
      </c>
      <c r="O1682" t="s">
        <v>4976</v>
      </c>
      <c r="T1682" t="s">
        <v>4977</v>
      </c>
    </row>
    <row r="1683" spans="1:20" x14ac:dyDescent="0.25">
      <c r="A1683" t="str">
        <f>"3063931"</f>
        <v>3063931</v>
      </c>
      <c r="B1683" t="s">
        <v>4983</v>
      </c>
      <c r="C1683" t="str">
        <f t="shared" si="34"/>
        <v>4708000</v>
      </c>
      <c r="D1683" t="s">
        <v>4976</v>
      </c>
      <c r="E1683" t="s">
        <v>4977</v>
      </c>
      <c r="F1683" t="s">
        <v>4978</v>
      </c>
      <c r="I1683" t="s">
        <v>184</v>
      </c>
      <c r="J1683" t="s">
        <v>30</v>
      </c>
      <c r="K1683" t="s">
        <v>4979</v>
      </c>
      <c r="M1683" t="s">
        <v>32</v>
      </c>
      <c r="N1683" t="str">
        <f t="shared" si="35"/>
        <v>1/9/2006 12:00:00 AM</v>
      </c>
      <c r="O1683" t="s">
        <v>4976</v>
      </c>
      <c r="T1683" t="s">
        <v>4977</v>
      </c>
    </row>
    <row r="1684" spans="1:20" x14ac:dyDescent="0.25">
      <c r="A1684" t="str">
        <f>"3063932"</f>
        <v>3063932</v>
      </c>
      <c r="B1684" t="s">
        <v>4984</v>
      </c>
      <c r="C1684" t="str">
        <f t="shared" si="34"/>
        <v>4708000</v>
      </c>
      <c r="D1684" t="s">
        <v>4976</v>
      </c>
      <c r="E1684" t="s">
        <v>4977</v>
      </c>
      <c r="F1684" t="s">
        <v>4978</v>
      </c>
      <c r="I1684" t="s">
        <v>184</v>
      </c>
      <c r="J1684" t="s">
        <v>30</v>
      </c>
      <c r="K1684" t="s">
        <v>4979</v>
      </c>
      <c r="M1684" t="s">
        <v>32</v>
      </c>
      <c r="N1684" t="str">
        <f t="shared" si="35"/>
        <v>1/9/2006 12:00:00 AM</v>
      </c>
      <c r="O1684" t="s">
        <v>4976</v>
      </c>
      <c r="T1684" t="s">
        <v>4977</v>
      </c>
    </row>
    <row r="1685" spans="1:20" x14ac:dyDescent="0.25">
      <c r="A1685" t="str">
        <f>"3063982"</f>
        <v>3063982</v>
      </c>
      <c r="B1685" t="s">
        <v>4985</v>
      </c>
      <c r="C1685" t="str">
        <f t="shared" si="34"/>
        <v>4708000</v>
      </c>
      <c r="D1685" t="s">
        <v>4976</v>
      </c>
      <c r="E1685" t="s">
        <v>4977</v>
      </c>
      <c r="F1685" t="s">
        <v>4978</v>
      </c>
      <c r="I1685" t="s">
        <v>184</v>
      </c>
      <c r="J1685" t="s">
        <v>30</v>
      </c>
      <c r="K1685" t="s">
        <v>4979</v>
      </c>
      <c r="M1685" t="s">
        <v>32</v>
      </c>
      <c r="N1685" t="str">
        <f t="shared" si="35"/>
        <v>1/9/2006 12:00:00 AM</v>
      </c>
      <c r="O1685" t="s">
        <v>4976</v>
      </c>
      <c r="T1685" t="s">
        <v>4977</v>
      </c>
    </row>
    <row r="1686" spans="1:20" x14ac:dyDescent="0.25">
      <c r="A1686" t="str">
        <f>"3063983"</f>
        <v>3063983</v>
      </c>
      <c r="B1686" t="s">
        <v>4986</v>
      </c>
      <c r="C1686" t="str">
        <f t="shared" si="34"/>
        <v>4708000</v>
      </c>
      <c r="D1686" t="s">
        <v>4976</v>
      </c>
      <c r="E1686" t="s">
        <v>4977</v>
      </c>
      <c r="F1686" t="s">
        <v>4978</v>
      </c>
      <c r="I1686" t="s">
        <v>184</v>
      </c>
      <c r="J1686" t="s">
        <v>30</v>
      </c>
      <c r="K1686" t="s">
        <v>4979</v>
      </c>
      <c r="M1686" t="s">
        <v>32</v>
      </c>
      <c r="N1686" t="str">
        <f t="shared" si="35"/>
        <v>1/9/2006 12:00:00 AM</v>
      </c>
      <c r="O1686" t="s">
        <v>4976</v>
      </c>
      <c r="T1686" t="s">
        <v>4977</v>
      </c>
    </row>
    <row r="1687" spans="1:20" x14ac:dyDescent="0.25">
      <c r="A1687" t="str">
        <f>"3042412"</f>
        <v>3042412</v>
      </c>
      <c r="B1687" t="s">
        <v>4987</v>
      </c>
      <c r="C1687" t="str">
        <f>"18206000"</f>
        <v>18206000</v>
      </c>
      <c r="D1687" t="s">
        <v>4988</v>
      </c>
      <c r="E1687" t="s">
        <v>4989</v>
      </c>
      <c r="F1687" t="s">
        <v>4990</v>
      </c>
      <c r="I1687" t="s">
        <v>184</v>
      </c>
      <c r="J1687" t="s">
        <v>30</v>
      </c>
      <c r="K1687" t="s">
        <v>185</v>
      </c>
      <c r="M1687" t="s">
        <v>32</v>
      </c>
      <c r="N1687" t="str">
        <f>"1/23/2003 12:00:00 AM"</f>
        <v>1/23/2003 12:00:00 AM</v>
      </c>
      <c r="O1687" t="s">
        <v>4988</v>
      </c>
      <c r="T1687" t="s">
        <v>4989</v>
      </c>
    </row>
    <row r="1688" spans="1:20" x14ac:dyDescent="0.25">
      <c r="A1688" t="str">
        <f>"3039839"</f>
        <v>3039839</v>
      </c>
      <c r="B1688" t="s">
        <v>4991</v>
      </c>
      <c r="C1688" t="str">
        <f>"7942000"</f>
        <v>7942000</v>
      </c>
      <c r="D1688" t="s">
        <v>4992</v>
      </c>
      <c r="E1688" t="s">
        <v>4993</v>
      </c>
      <c r="F1688" t="s">
        <v>4994</v>
      </c>
      <c r="I1688" t="s">
        <v>184</v>
      </c>
      <c r="J1688" t="s">
        <v>30</v>
      </c>
      <c r="K1688" t="s">
        <v>185</v>
      </c>
      <c r="M1688" t="s">
        <v>32</v>
      </c>
      <c r="N1688" t="str">
        <f>"11/7/2003 12:00:00 AM"</f>
        <v>11/7/2003 12:00:00 AM</v>
      </c>
      <c r="O1688" t="s">
        <v>4992</v>
      </c>
      <c r="T1688" t="s">
        <v>4993</v>
      </c>
    </row>
    <row r="1689" spans="1:20" x14ac:dyDescent="0.25">
      <c r="A1689" t="str">
        <f>"3043955"</f>
        <v>3043955</v>
      </c>
      <c r="B1689" t="s">
        <v>4995</v>
      </c>
      <c r="C1689" t="str">
        <f>"82519413"</f>
        <v>82519413</v>
      </c>
      <c r="D1689" t="s">
        <v>4996</v>
      </c>
      <c r="E1689" t="s">
        <v>4997</v>
      </c>
      <c r="F1689" t="s">
        <v>4998</v>
      </c>
      <c r="I1689" t="s">
        <v>184</v>
      </c>
      <c r="J1689" t="s">
        <v>30</v>
      </c>
      <c r="K1689" t="s">
        <v>4999</v>
      </c>
      <c r="M1689" t="s">
        <v>32</v>
      </c>
      <c r="N1689" t="str">
        <f>"1/21/2010 12:00:00 AM"</f>
        <v>1/21/2010 12:00:00 AM</v>
      </c>
      <c r="O1689" t="s">
        <v>4996</v>
      </c>
      <c r="T1689" t="s">
        <v>4997</v>
      </c>
    </row>
    <row r="1690" spans="1:20" x14ac:dyDescent="0.25">
      <c r="A1690" t="str">
        <f>"3055112"</f>
        <v>3055112</v>
      </c>
      <c r="B1690" t="s">
        <v>5000</v>
      </c>
      <c r="C1690" t="str">
        <f>"82519413"</f>
        <v>82519413</v>
      </c>
      <c r="D1690" t="s">
        <v>4996</v>
      </c>
      <c r="E1690" t="s">
        <v>4997</v>
      </c>
      <c r="F1690" t="s">
        <v>4998</v>
      </c>
      <c r="I1690" t="s">
        <v>184</v>
      </c>
      <c r="J1690" t="s">
        <v>30</v>
      </c>
      <c r="K1690" t="s">
        <v>4999</v>
      </c>
      <c r="M1690" t="s">
        <v>32</v>
      </c>
      <c r="N1690" t="str">
        <f>"1/21/2010 12:00:00 AM"</f>
        <v>1/21/2010 12:00:00 AM</v>
      </c>
      <c r="O1690" t="s">
        <v>4996</v>
      </c>
      <c r="T1690" t="s">
        <v>4997</v>
      </c>
    </row>
    <row r="1691" spans="1:20" x14ac:dyDescent="0.25">
      <c r="A1691" t="str">
        <f>"3055115"</f>
        <v>3055115</v>
      </c>
      <c r="B1691" t="s">
        <v>5001</v>
      </c>
      <c r="C1691" t="str">
        <f>"82519413"</f>
        <v>82519413</v>
      </c>
      <c r="D1691" t="s">
        <v>4996</v>
      </c>
      <c r="E1691" t="s">
        <v>4997</v>
      </c>
      <c r="F1691" t="s">
        <v>4998</v>
      </c>
      <c r="I1691" t="s">
        <v>184</v>
      </c>
      <c r="J1691" t="s">
        <v>30</v>
      </c>
      <c r="K1691" t="s">
        <v>4999</v>
      </c>
      <c r="M1691" t="s">
        <v>32</v>
      </c>
      <c r="N1691" t="str">
        <f>"1/21/2010 12:00:00 AM"</f>
        <v>1/21/2010 12:00:00 AM</v>
      </c>
      <c r="O1691" t="s">
        <v>4996</v>
      </c>
      <c r="T1691" t="s">
        <v>4997</v>
      </c>
    </row>
    <row r="1692" spans="1:20" x14ac:dyDescent="0.25">
      <c r="A1692" t="str">
        <f>"3055254"</f>
        <v>3055254</v>
      </c>
      <c r="B1692" t="s">
        <v>5002</v>
      </c>
      <c r="C1692" t="str">
        <f>"82519413"</f>
        <v>82519413</v>
      </c>
      <c r="D1692" t="s">
        <v>4996</v>
      </c>
      <c r="E1692" t="s">
        <v>4997</v>
      </c>
      <c r="F1692" t="s">
        <v>4998</v>
      </c>
      <c r="I1692" t="s">
        <v>184</v>
      </c>
      <c r="J1692" t="s">
        <v>30</v>
      </c>
      <c r="K1692" t="s">
        <v>4999</v>
      </c>
      <c r="M1692" t="s">
        <v>32</v>
      </c>
      <c r="N1692" t="str">
        <f>"1/21/2010 12:00:00 AM"</f>
        <v>1/21/2010 12:00:00 AM</v>
      </c>
      <c r="O1692" t="s">
        <v>4996</v>
      </c>
      <c r="T1692" t="s">
        <v>4997</v>
      </c>
    </row>
    <row r="1693" spans="1:20" x14ac:dyDescent="0.25">
      <c r="A1693" t="str">
        <f>"3063957"</f>
        <v>3063957</v>
      </c>
      <c r="B1693" t="s">
        <v>5003</v>
      </c>
      <c r="C1693" t="str">
        <f>"82519413"</f>
        <v>82519413</v>
      </c>
      <c r="D1693" t="s">
        <v>4996</v>
      </c>
      <c r="E1693" t="s">
        <v>4997</v>
      </c>
      <c r="F1693" t="s">
        <v>4998</v>
      </c>
      <c r="I1693" t="s">
        <v>184</v>
      </c>
      <c r="J1693" t="s">
        <v>30</v>
      </c>
      <c r="K1693" t="s">
        <v>4999</v>
      </c>
      <c r="M1693" t="s">
        <v>32</v>
      </c>
      <c r="N1693" t="str">
        <f>"1/21/2010 12:00:00 AM"</f>
        <v>1/21/2010 12:00:00 AM</v>
      </c>
      <c r="O1693" t="s">
        <v>4996</v>
      </c>
      <c r="T1693" t="s">
        <v>4997</v>
      </c>
    </row>
    <row r="1694" spans="1:20" x14ac:dyDescent="0.25">
      <c r="A1694" t="str">
        <f>"3042600"</f>
        <v>3042600</v>
      </c>
      <c r="B1694" t="s">
        <v>5004</v>
      </c>
      <c r="C1694" t="str">
        <f>"15145000"</f>
        <v>15145000</v>
      </c>
      <c r="D1694" t="s">
        <v>5005</v>
      </c>
      <c r="F1694" t="s">
        <v>5006</v>
      </c>
      <c r="I1694" t="s">
        <v>184</v>
      </c>
      <c r="J1694" t="s">
        <v>30</v>
      </c>
      <c r="K1694" t="s">
        <v>185</v>
      </c>
      <c r="M1694" t="s">
        <v>32</v>
      </c>
      <c r="N1694" t="str">
        <f>"4/29/2002 12:00:00 AM"</f>
        <v>4/29/2002 12:00:00 AM</v>
      </c>
      <c r="O1694" t="s">
        <v>5005</v>
      </c>
    </row>
    <row r="1695" spans="1:20" x14ac:dyDescent="0.25">
      <c r="A1695" t="str">
        <f>"3042205"</f>
        <v>3042205</v>
      </c>
      <c r="B1695" t="s">
        <v>5007</v>
      </c>
      <c r="C1695" t="str">
        <f>"82518835"</f>
        <v>82518835</v>
      </c>
      <c r="D1695" t="s">
        <v>5008</v>
      </c>
      <c r="F1695" t="s">
        <v>5009</v>
      </c>
      <c r="I1695" t="s">
        <v>184</v>
      </c>
      <c r="J1695" t="s">
        <v>30</v>
      </c>
      <c r="K1695" t="s">
        <v>5010</v>
      </c>
      <c r="M1695" t="s">
        <v>32</v>
      </c>
      <c r="N1695" t="str">
        <f>"1/19/2005 12:00:00 AM"</f>
        <v>1/19/2005 12:00:00 AM</v>
      </c>
      <c r="O1695" t="s">
        <v>5008</v>
      </c>
    </row>
    <row r="1696" spans="1:20" x14ac:dyDescent="0.25">
      <c r="A1696" t="str">
        <f>"3063984"</f>
        <v>3063984</v>
      </c>
      <c r="B1696" t="s">
        <v>5011</v>
      </c>
      <c r="C1696" t="str">
        <f>"82518835"</f>
        <v>82518835</v>
      </c>
      <c r="D1696" t="s">
        <v>5008</v>
      </c>
      <c r="F1696" t="s">
        <v>5009</v>
      </c>
      <c r="I1696" t="s">
        <v>184</v>
      </c>
      <c r="J1696" t="s">
        <v>30</v>
      </c>
      <c r="K1696" t="s">
        <v>5010</v>
      </c>
      <c r="M1696" t="s">
        <v>32</v>
      </c>
      <c r="N1696" t="str">
        <f>"1/19/2005 12:00:00 AM"</f>
        <v>1/19/2005 12:00:00 AM</v>
      </c>
      <c r="O1696" t="s">
        <v>5008</v>
      </c>
    </row>
    <row r="1697" spans="1:20" x14ac:dyDescent="0.25">
      <c r="A1697" t="str">
        <f>"3077088"</f>
        <v>3077088</v>
      </c>
      <c r="B1697" t="s">
        <v>5012</v>
      </c>
      <c r="C1697" t="str">
        <f>"82517233"</f>
        <v>82517233</v>
      </c>
      <c r="D1697" t="s">
        <v>5013</v>
      </c>
      <c r="E1697" t="s">
        <v>5014</v>
      </c>
      <c r="F1697" t="s">
        <v>2559</v>
      </c>
      <c r="I1697" t="s">
        <v>29</v>
      </c>
      <c r="J1697" t="s">
        <v>30</v>
      </c>
      <c r="K1697" t="s">
        <v>2564</v>
      </c>
      <c r="M1697" t="s">
        <v>32</v>
      </c>
      <c r="N1697" t="str">
        <f>"1/23/2006 12:00:00 AM"</f>
        <v>1/23/2006 12:00:00 AM</v>
      </c>
      <c r="O1697" t="s">
        <v>5013</v>
      </c>
      <c r="T1697" t="s">
        <v>5014</v>
      </c>
    </row>
    <row r="1698" spans="1:20" x14ac:dyDescent="0.25">
      <c r="A1698" t="str">
        <f>"3043681"</f>
        <v>3043681</v>
      </c>
      <c r="B1698" t="s">
        <v>5015</v>
      </c>
      <c r="C1698" t="str">
        <f>"82516702"</f>
        <v>82516702</v>
      </c>
      <c r="D1698" t="s">
        <v>5016</v>
      </c>
      <c r="E1698" t="s">
        <v>5017</v>
      </c>
      <c r="F1698" t="s">
        <v>4752</v>
      </c>
      <c r="I1698" t="s">
        <v>29</v>
      </c>
      <c r="J1698" t="s">
        <v>30</v>
      </c>
      <c r="K1698" t="s">
        <v>31</v>
      </c>
      <c r="M1698" t="s">
        <v>32</v>
      </c>
      <c r="N1698" t="str">
        <f>"2/21/2003 12:00:00 AM"</f>
        <v>2/21/2003 12:00:00 AM</v>
      </c>
      <c r="O1698" t="s">
        <v>5016</v>
      </c>
      <c r="T1698" t="s">
        <v>5017</v>
      </c>
    </row>
    <row r="1699" spans="1:20" x14ac:dyDescent="0.25">
      <c r="A1699" t="str">
        <f>"3040281"</f>
        <v>3040281</v>
      </c>
      <c r="B1699" t="s">
        <v>5018</v>
      </c>
      <c r="C1699" t="str">
        <f>"44836840"</f>
        <v>44836840</v>
      </c>
      <c r="D1699" t="s">
        <v>4645</v>
      </c>
      <c r="F1699" t="s">
        <v>4646</v>
      </c>
      <c r="I1699" t="s">
        <v>184</v>
      </c>
      <c r="J1699" t="s">
        <v>30</v>
      </c>
      <c r="K1699" t="s">
        <v>185</v>
      </c>
      <c r="M1699" t="s">
        <v>32</v>
      </c>
      <c r="N1699" t="str">
        <f>"4/26/2002 12:00:00 AM"</f>
        <v>4/26/2002 12:00:00 AM</v>
      </c>
      <c r="O1699" t="s">
        <v>4645</v>
      </c>
    </row>
    <row r="1700" spans="1:20" x14ac:dyDescent="0.25">
      <c r="A1700" t="str">
        <f>"3057995"</f>
        <v>3057995</v>
      </c>
      <c r="B1700" t="s">
        <v>5019</v>
      </c>
      <c r="C1700" t="str">
        <f>"9298000"</f>
        <v>9298000</v>
      </c>
      <c r="D1700" t="s">
        <v>5020</v>
      </c>
      <c r="F1700" t="s">
        <v>5021</v>
      </c>
      <c r="I1700" t="s">
        <v>184</v>
      </c>
      <c r="J1700" t="s">
        <v>30</v>
      </c>
      <c r="K1700" t="s">
        <v>4673</v>
      </c>
      <c r="M1700" t="s">
        <v>32</v>
      </c>
      <c r="N1700" t="str">
        <f>"1/25/2010 12:00:00 AM"</f>
        <v>1/25/2010 12:00:00 AM</v>
      </c>
      <c r="O1700" t="s">
        <v>5020</v>
      </c>
    </row>
    <row r="1701" spans="1:20" x14ac:dyDescent="0.25">
      <c r="A1701" t="str">
        <f>"3060808"</f>
        <v>3060808</v>
      </c>
      <c r="B1701" t="s">
        <v>5022</v>
      </c>
      <c r="C1701" t="str">
        <f>"56808500"</f>
        <v>56808500</v>
      </c>
      <c r="D1701" t="s">
        <v>5023</v>
      </c>
      <c r="E1701" t="s">
        <v>5024</v>
      </c>
      <c r="F1701" t="s">
        <v>5025</v>
      </c>
      <c r="I1701" t="s">
        <v>184</v>
      </c>
      <c r="J1701" t="s">
        <v>30</v>
      </c>
      <c r="K1701" t="s">
        <v>5026</v>
      </c>
      <c r="M1701" t="s">
        <v>32</v>
      </c>
      <c r="N1701" t="str">
        <f>"4/29/2002 12:00:00 AM"</f>
        <v>4/29/2002 12:00:00 AM</v>
      </c>
      <c r="O1701" t="s">
        <v>5023</v>
      </c>
      <c r="T1701" t="s">
        <v>5024</v>
      </c>
    </row>
    <row r="1702" spans="1:20" x14ac:dyDescent="0.25">
      <c r="A1702" t="str">
        <f>"3057655"</f>
        <v>3057655</v>
      </c>
      <c r="B1702" t="s">
        <v>5027</v>
      </c>
      <c r="C1702" t="str">
        <f>"29045570"</f>
        <v>29045570</v>
      </c>
      <c r="D1702" t="s">
        <v>5028</v>
      </c>
      <c r="F1702" t="s">
        <v>5029</v>
      </c>
      <c r="I1702" t="s">
        <v>184</v>
      </c>
      <c r="J1702" t="s">
        <v>30</v>
      </c>
      <c r="K1702" t="s">
        <v>185</v>
      </c>
      <c r="M1702" t="s">
        <v>32</v>
      </c>
      <c r="N1702" t="str">
        <f>"4/29/2002 12:00:00 AM"</f>
        <v>4/29/2002 12:00:00 AM</v>
      </c>
      <c r="O1702" t="s">
        <v>5028</v>
      </c>
    </row>
    <row r="1703" spans="1:20" x14ac:dyDescent="0.25">
      <c r="A1703" t="str">
        <f>"3057665"</f>
        <v>3057665</v>
      </c>
      <c r="B1703" t="s">
        <v>5030</v>
      </c>
      <c r="C1703" t="str">
        <f>"4706500"</f>
        <v>4706500</v>
      </c>
      <c r="D1703" t="s">
        <v>5031</v>
      </c>
      <c r="F1703" t="s">
        <v>5032</v>
      </c>
      <c r="I1703" t="s">
        <v>184</v>
      </c>
      <c r="J1703" t="s">
        <v>30</v>
      </c>
      <c r="K1703" t="s">
        <v>185</v>
      </c>
      <c r="M1703" t="s">
        <v>32</v>
      </c>
      <c r="N1703" t="str">
        <f>"4/29/2002 12:00:00 AM"</f>
        <v>4/29/2002 12:00:00 AM</v>
      </c>
      <c r="O1703" t="s">
        <v>5031</v>
      </c>
    </row>
    <row r="1704" spans="1:20" x14ac:dyDescent="0.25">
      <c r="A1704" t="str">
        <f>"3057647"</f>
        <v>3057647</v>
      </c>
      <c r="B1704" t="s">
        <v>5033</v>
      </c>
      <c r="C1704" t="str">
        <f>"71475000"</f>
        <v>71475000</v>
      </c>
      <c r="D1704" t="s">
        <v>5034</v>
      </c>
      <c r="E1704" t="s">
        <v>5035</v>
      </c>
      <c r="F1704" t="s">
        <v>5036</v>
      </c>
      <c r="I1704" t="s">
        <v>184</v>
      </c>
      <c r="J1704" t="s">
        <v>30</v>
      </c>
      <c r="K1704" t="s">
        <v>185</v>
      </c>
      <c r="M1704" t="s">
        <v>32</v>
      </c>
      <c r="N1704" t="str">
        <f>"4/29/2002 12:00:00 AM"</f>
        <v>4/29/2002 12:00:00 AM</v>
      </c>
      <c r="O1704" t="s">
        <v>5034</v>
      </c>
      <c r="T1704" t="s">
        <v>5035</v>
      </c>
    </row>
    <row r="1705" spans="1:20" x14ac:dyDescent="0.25">
      <c r="A1705" t="str">
        <f>"3060731"</f>
        <v>3060731</v>
      </c>
      <c r="B1705" t="s">
        <v>5037</v>
      </c>
      <c r="C1705" t="str">
        <f>"28221000"</f>
        <v>28221000</v>
      </c>
      <c r="D1705" t="s">
        <v>5038</v>
      </c>
      <c r="E1705" t="s">
        <v>5039</v>
      </c>
      <c r="F1705" t="s">
        <v>5040</v>
      </c>
      <c r="I1705" t="s">
        <v>184</v>
      </c>
      <c r="J1705" t="s">
        <v>30</v>
      </c>
      <c r="K1705" t="s">
        <v>5041</v>
      </c>
      <c r="M1705" t="s">
        <v>32</v>
      </c>
      <c r="N1705" t="str">
        <f>"1/24/2007 12:00:00 AM"</f>
        <v>1/24/2007 12:00:00 AM</v>
      </c>
      <c r="O1705" t="s">
        <v>5038</v>
      </c>
      <c r="T1705" t="s">
        <v>5039</v>
      </c>
    </row>
    <row r="1706" spans="1:20" x14ac:dyDescent="0.25">
      <c r="A1706" t="str">
        <f>"3058023"</f>
        <v>3058023</v>
      </c>
      <c r="B1706" t="s">
        <v>5042</v>
      </c>
      <c r="C1706" t="str">
        <f>"82521113"</f>
        <v>82521113</v>
      </c>
      <c r="D1706" t="s">
        <v>5043</v>
      </c>
      <c r="E1706" t="s">
        <v>5044</v>
      </c>
      <c r="F1706" t="s">
        <v>5045</v>
      </c>
      <c r="I1706" t="s">
        <v>184</v>
      </c>
      <c r="J1706" t="s">
        <v>30</v>
      </c>
      <c r="K1706" t="s">
        <v>185</v>
      </c>
      <c r="M1706" t="s">
        <v>32</v>
      </c>
      <c r="N1706" t="str">
        <f>"7/8/2003 12:00:00 AM"</f>
        <v>7/8/2003 12:00:00 AM</v>
      </c>
      <c r="O1706" t="s">
        <v>5043</v>
      </c>
      <c r="T1706" t="s">
        <v>5044</v>
      </c>
    </row>
    <row r="1707" spans="1:20" x14ac:dyDescent="0.25">
      <c r="A1707" t="str">
        <f>"3060740"</f>
        <v>3060740</v>
      </c>
      <c r="B1707" t="s">
        <v>5046</v>
      </c>
      <c r="C1707" t="str">
        <f>"82526853"</f>
        <v>82526853</v>
      </c>
      <c r="D1707" t="s">
        <v>5047</v>
      </c>
      <c r="E1707" t="s">
        <v>5048</v>
      </c>
      <c r="F1707" t="s">
        <v>5049</v>
      </c>
      <c r="I1707" t="s">
        <v>184</v>
      </c>
      <c r="J1707" t="s">
        <v>30</v>
      </c>
      <c r="K1707" t="s">
        <v>185</v>
      </c>
      <c r="M1707" t="s">
        <v>32</v>
      </c>
      <c r="N1707" t="str">
        <f>"1/11/2007 12:00:00 AM"</f>
        <v>1/11/2007 12:00:00 AM</v>
      </c>
      <c r="O1707" t="s">
        <v>5047</v>
      </c>
      <c r="T1707" t="s">
        <v>5048</v>
      </c>
    </row>
    <row r="1708" spans="1:20" x14ac:dyDescent="0.25">
      <c r="A1708" t="str">
        <f>"3060757"</f>
        <v>3060757</v>
      </c>
      <c r="B1708" t="s">
        <v>5050</v>
      </c>
      <c r="C1708" t="str">
        <f>"82529718"</f>
        <v>82529718</v>
      </c>
      <c r="D1708" t="s">
        <v>5051</v>
      </c>
      <c r="F1708" t="s">
        <v>5052</v>
      </c>
      <c r="I1708" t="s">
        <v>184</v>
      </c>
      <c r="J1708" t="s">
        <v>30</v>
      </c>
      <c r="K1708" t="s">
        <v>185</v>
      </c>
      <c r="M1708" t="s">
        <v>32</v>
      </c>
      <c r="N1708" t="str">
        <f>"1/8/2009 12:00:00 AM"</f>
        <v>1/8/2009 12:00:00 AM</v>
      </c>
      <c r="O1708" t="s">
        <v>5051</v>
      </c>
    </row>
    <row r="1709" spans="1:20" x14ac:dyDescent="0.25">
      <c r="A1709" t="str">
        <f>"3060744"</f>
        <v>3060744</v>
      </c>
      <c r="B1709" t="s">
        <v>5053</v>
      </c>
      <c r="C1709" t="str">
        <f>"82524189"</f>
        <v>82524189</v>
      </c>
      <c r="D1709" t="s">
        <v>5054</v>
      </c>
      <c r="E1709" t="s">
        <v>5055</v>
      </c>
      <c r="F1709" t="s">
        <v>5056</v>
      </c>
      <c r="I1709" t="s">
        <v>184</v>
      </c>
      <c r="J1709" t="s">
        <v>30</v>
      </c>
      <c r="K1709" t="s">
        <v>5057</v>
      </c>
      <c r="M1709" t="s">
        <v>32</v>
      </c>
      <c r="N1709" t="str">
        <f>"1/27/2010 12:00:00 AM"</f>
        <v>1/27/2010 12:00:00 AM</v>
      </c>
      <c r="O1709" t="s">
        <v>5054</v>
      </c>
      <c r="T1709" t="s">
        <v>5055</v>
      </c>
    </row>
    <row r="1710" spans="1:20" x14ac:dyDescent="0.25">
      <c r="A1710" t="str">
        <f>"3067553"</f>
        <v>3067553</v>
      </c>
      <c r="B1710" t="s">
        <v>5058</v>
      </c>
      <c r="C1710" t="str">
        <f>"71167430"</f>
        <v>71167430</v>
      </c>
      <c r="D1710" t="s">
        <v>5059</v>
      </c>
      <c r="E1710" t="s">
        <v>5060</v>
      </c>
      <c r="F1710" t="s">
        <v>5061</v>
      </c>
      <c r="I1710" t="s">
        <v>184</v>
      </c>
      <c r="J1710" t="s">
        <v>30</v>
      </c>
      <c r="K1710" t="s">
        <v>185</v>
      </c>
      <c r="M1710" t="s">
        <v>32</v>
      </c>
      <c r="N1710" t="str">
        <f>"4/29/2002 12:00:00 AM"</f>
        <v>4/29/2002 12:00:00 AM</v>
      </c>
      <c r="O1710" t="s">
        <v>5059</v>
      </c>
      <c r="T1710" t="s">
        <v>5060</v>
      </c>
    </row>
    <row r="1711" spans="1:20" x14ac:dyDescent="0.25">
      <c r="A1711" t="str">
        <f>"3057522"</f>
        <v>3057522</v>
      </c>
      <c r="B1711" t="s">
        <v>5062</v>
      </c>
      <c r="C1711" t="str">
        <f>"82530155"</f>
        <v>82530155</v>
      </c>
      <c r="D1711" t="s">
        <v>5063</v>
      </c>
      <c r="E1711" t="s">
        <v>5064</v>
      </c>
      <c r="F1711" t="s">
        <v>5065</v>
      </c>
      <c r="I1711" t="s">
        <v>184</v>
      </c>
      <c r="J1711" t="s">
        <v>30</v>
      </c>
      <c r="K1711" t="s">
        <v>185</v>
      </c>
      <c r="M1711" t="s">
        <v>32</v>
      </c>
      <c r="N1711" t="str">
        <f>"12/8/2008 12:00:00 AM"</f>
        <v>12/8/2008 12:00:00 AM</v>
      </c>
      <c r="O1711" t="s">
        <v>5063</v>
      </c>
      <c r="T1711" t="s">
        <v>5064</v>
      </c>
    </row>
    <row r="1712" spans="1:20" x14ac:dyDescent="0.25">
      <c r="A1712" t="str">
        <f>"3057525"</f>
        <v>3057525</v>
      </c>
      <c r="B1712" t="s">
        <v>5066</v>
      </c>
      <c r="C1712" t="str">
        <f>"82525688"</f>
        <v>82525688</v>
      </c>
      <c r="D1712" t="s">
        <v>5067</v>
      </c>
      <c r="E1712" t="s">
        <v>5068</v>
      </c>
      <c r="F1712" t="s">
        <v>5069</v>
      </c>
      <c r="I1712" t="s">
        <v>184</v>
      </c>
      <c r="J1712" t="s">
        <v>30</v>
      </c>
      <c r="K1712" t="s">
        <v>185</v>
      </c>
      <c r="M1712" t="s">
        <v>32</v>
      </c>
      <c r="N1712" t="str">
        <f>"2/15/2007 12:00:00 AM"</f>
        <v>2/15/2007 12:00:00 AM</v>
      </c>
      <c r="O1712" t="s">
        <v>5067</v>
      </c>
      <c r="T1712" t="s">
        <v>5068</v>
      </c>
    </row>
    <row r="1713" spans="1:20" x14ac:dyDescent="0.25">
      <c r="A1713" t="str">
        <f>"3057494"</f>
        <v>3057494</v>
      </c>
      <c r="B1713" t="s">
        <v>5070</v>
      </c>
      <c r="C1713" t="str">
        <f>"82525183"</f>
        <v>82525183</v>
      </c>
      <c r="D1713" t="s">
        <v>5071</v>
      </c>
      <c r="E1713" t="s">
        <v>5072</v>
      </c>
      <c r="F1713" t="s">
        <v>5073</v>
      </c>
      <c r="I1713" t="s">
        <v>184</v>
      </c>
      <c r="J1713" t="s">
        <v>30</v>
      </c>
      <c r="K1713" t="s">
        <v>185</v>
      </c>
      <c r="M1713" t="s">
        <v>32</v>
      </c>
      <c r="N1713" t="str">
        <f>"1/25/2007 12:00:00 AM"</f>
        <v>1/25/2007 12:00:00 AM</v>
      </c>
      <c r="O1713" t="s">
        <v>5071</v>
      </c>
      <c r="T1713" t="s">
        <v>5072</v>
      </c>
    </row>
    <row r="1714" spans="1:20" x14ac:dyDescent="0.25">
      <c r="A1714" t="str">
        <f>"3062779"</f>
        <v>3062779</v>
      </c>
      <c r="B1714" t="s">
        <v>5074</v>
      </c>
      <c r="C1714" t="str">
        <f>"82517282"</f>
        <v>82517282</v>
      </c>
      <c r="D1714" t="s">
        <v>5075</v>
      </c>
      <c r="E1714" t="s">
        <v>5076</v>
      </c>
      <c r="F1714" t="s">
        <v>5077</v>
      </c>
      <c r="I1714" t="s">
        <v>29</v>
      </c>
      <c r="J1714" t="s">
        <v>30</v>
      </c>
      <c r="K1714" t="s">
        <v>5078</v>
      </c>
      <c r="M1714" t="s">
        <v>32</v>
      </c>
      <c r="N1714" t="str">
        <f>"2/25/2005 12:00:00 AM"</f>
        <v>2/25/2005 12:00:00 AM</v>
      </c>
      <c r="O1714" t="s">
        <v>5075</v>
      </c>
      <c r="T1714" t="s">
        <v>5076</v>
      </c>
    </row>
    <row r="1715" spans="1:20" x14ac:dyDescent="0.25">
      <c r="A1715" t="str">
        <f>"3062776"</f>
        <v>3062776</v>
      </c>
      <c r="B1715" t="s">
        <v>5079</v>
      </c>
      <c r="C1715" t="str">
        <f>"82524698"</f>
        <v>82524698</v>
      </c>
      <c r="D1715" t="s">
        <v>5080</v>
      </c>
      <c r="E1715" t="s">
        <v>5081</v>
      </c>
      <c r="F1715" t="s">
        <v>5082</v>
      </c>
      <c r="I1715" t="s">
        <v>29</v>
      </c>
      <c r="J1715" t="s">
        <v>30</v>
      </c>
      <c r="K1715" t="s">
        <v>4748</v>
      </c>
      <c r="M1715" t="s">
        <v>32</v>
      </c>
      <c r="N1715" t="str">
        <f>"1/9/2008 12:00:00 AM"</f>
        <v>1/9/2008 12:00:00 AM</v>
      </c>
      <c r="O1715" t="s">
        <v>5080</v>
      </c>
      <c r="T1715" t="s">
        <v>5081</v>
      </c>
    </row>
    <row r="1716" spans="1:20" x14ac:dyDescent="0.25">
      <c r="A1716" t="str">
        <f>"3077194"</f>
        <v>3077194</v>
      </c>
      <c r="B1716" t="s">
        <v>5083</v>
      </c>
      <c r="C1716" t="str">
        <f>"52686000"</f>
        <v>52686000</v>
      </c>
      <c r="D1716" t="s">
        <v>5084</v>
      </c>
      <c r="F1716" t="s">
        <v>5085</v>
      </c>
      <c r="I1716" t="s">
        <v>184</v>
      </c>
      <c r="J1716" t="s">
        <v>30</v>
      </c>
      <c r="K1716" t="s">
        <v>185</v>
      </c>
      <c r="M1716" t="s">
        <v>32</v>
      </c>
      <c r="N1716" t="str">
        <f>"3/11/2004 12:00:00 AM"</f>
        <v>3/11/2004 12:00:00 AM</v>
      </c>
      <c r="O1716" t="s">
        <v>5084</v>
      </c>
    </row>
    <row r="1717" spans="1:20" x14ac:dyDescent="0.25">
      <c r="A1717" t="str">
        <f>"3060837"</f>
        <v>3060837</v>
      </c>
      <c r="B1717" t="s">
        <v>5086</v>
      </c>
      <c r="C1717" t="str">
        <f>"82525311"</f>
        <v>82525311</v>
      </c>
      <c r="D1717" t="s">
        <v>5087</v>
      </c>
      <c r="E1717" t="s">
        <v>5088</v>
      </c>
      <c r="F1717" t="s">
        <v>5089</v>
      </c>
      <c r="I1717" t="s">
        <v>184</v>
      </c>
      <c r="J1717" t="s">
        <v>30</v>
      </c>
      <c r="K1717" t="s">
        <v>185</v>
      </c>
      <c r="M1717" t="s">
        <v>32</v>
      </c>
      <c r="N1717" t="str">
        <f>"1/27/2006 12:00:00 AM"</f>
        <v>1/27/2006 12:00:00 AM</v>
      </c>
      <c r="O1717" t="s">
        <v>5087</v>
      </c>
      <c r="T1717" t="s">
        <v>5088</v>
      </c>
    </row>
    <row r="1718" spans="1:20" x14ac:dyDescent="0.25">
      <c r="A1718" t="str">
        <f>"3060830"</f>
        <v>3060830</v>
      </c>
      <c r="B1718" t="s">
        <v>5090</v>
      </c>
      <c r="C1718" t="str">
        <f>"82526980"</f>
        <v>82526980</v>
      </c>
      <c r="D1718" t="s">
        <v>5091</v>
      </c>
      <c r="E1718" t="s">
        <v>5092</v>
      </c>
      <c r="F1718" t="s">
        <v>5093</v>
      </c>
      <c r="I1718" t="s">
        <v>184</v>
      </c>
      <c r="J1718" t="s">
        <v>30</v>
      </c>
      <c r="K1718" t="s">
        <v>185</v>
      </c>
      <c r="M1718" t="s">
        <v>32</v>
      </c>
      <c r="N1718" t="str">
        <f>"1/11/2007 12:00:00 AM"</f>
        <v>1/11/2007 12:00:00 AM</v>
      </c>
      <c r="O1718" t="s">
        <v>5091</v>
      </c>
      <c r="T1718" t="s">
        <v>5092</v>
      </c>
    </row>
    <row r="1719" spans="1:20" x14ac:dyDescent="0.25">
      <c r="A1719" t="str">
        <f>"3060831"</f>
        <v>3060831</v>
      </c>
      <c r="B1719" t="s">
        <v>5094</v>
      </c>
      <c r="C1719" t="str">
        <f>"82527159"</f>
        <v>82527159</v>
      </c>
      <c r="D1719" t="s">
        <v>5095</v>
      </c>
      <c r="E1719" t="s">
        <v>5096</v>
      </c>
      <c r="F1719" t="s">
        <v>5097</v>
      </c>
      <c r="I1719" t="s">
        <v>184</v>
      </c>
      <c r="J1719" t="s">
        <v>30</v>
      </c>
      <c r="K1719" t="s">
        <v>185</v>
      </c>
      <c r="M1719" t="s">
        <v>32</v>
      </c>
      <c r="N1719" t="str">
        <f>"2/15/2007 12:00:00 AM"</f>
        <v>2/15/2007 12:00:00 AM</v>
      </c>
      <c r="O1719" t="s">
        <v>5095</v>
      </c>
      <c r="T1719" t="s">
        <v>5096</v>
      </c>
    </row>
    <row r="1720" spans="1:20" x14ac:dyDescent="0.25">
      <c r="A1720" t="str">
        <f>"3060878"</f>
        <v>3060878</v>
      </c>
      <c r="B1720" t="s">
        <v>5098</v>
      </c>
      <c r="C1720" t="str">
        <f>"82526401"</f>
        <v>82526401</v>
      </c>
      <c r="D1720" t="s">
        <v>5099</v>
      </c>
      <c r="E1720" t="s">
        <v>5100</v>
      </c>
      <c r="F1720" t="s">
        <v>5101</v>
      </c>
      <c r="I1720" t="s">
        <v>184</v>
      </c>
      <c r="J1720" t="s">
        <v>30</v>
      </c>
      <c r="K1720" t="s">
        <v>185</v>
      </c>
      <c r="M1720" t="s">
        <v>32</v>
      </c>
      <c r="N1720" t="str">
        <f>"1/26/2007 12:00:00 AM"</f>
        <v>1/26/2007 12:00:00 AM</v>
      </c>
      <c r="O1720" t="s">
        <v>5099</v>
      </c>
      <c r="T1720" t="s">
        <v>5100</v>
      </c>
    </row>
    <row r="1721" spans="1:20" x14ac:dyDescent="0.25">
      <c r="A1721" t="str">
        <f>"3060828"</f>
        <v>3060828</v>
      </c>
      <c r="B1721" t="s">
        <v>5102</v>
      </c>
      <c r="C1721" t="str">
        <f>"82530046"</f>
        <v>82530046</v>
      </c>
      <c r="D1721" t="s">
        <v>5103</v>
      </c>
      <c r="E1721" t="s">
        <v>5104</v>
      </c>
      <c r="F1721" t="s">
        <v>5105</v>
      </c>
      <c r="I1721" t="s">
        <v>184</v>
      </c>
      <c r="J1721" t="s">
        <v>30</v>
      </c>
      <c r="K1721" t="s">
        <v>185</v>
      </c>
      <c r="M1721" t="s">
        <v>32</v>
      </c>
      <c r="N1721" t="str">
        <f>"1/14/2010 12:00:00 AM"</f>
        <v>1/14/2010 12:00:00 AM</v>
      </c>
      <c r="O1721" t="s">
        <v>5103</v>
      </c>
      <c r="T1721" t="s">
        <v>5104</v>
      </c>
    </row>
    <row r="1722" spans="1:20" x14ac:dyDescent="0.25">
      <c r="A1722" t="str">
        <f>"3060822"</f>
        <v>3060822</v>
      </c>
      <c r="B1722" t="s">
        <v>5106</v>
      </c>
      <c r="C1722" t="str">
        <f>"82528043"</f>
        <v>82528043</v>
      </c>
      <c r="D1722" t="s">
        <v>5107</v>
      </c>
      <c r="E1722" t="s">
        <v>5108</v>
      </c>
      <c r="F1722" t="s">
        <v>5109</v>
      </c>
      <c r="I1722" t="s">
        <v>184</v>
      </c>
      <c r="J1722" t="s">
        <v>30</v>
      </c>
      <c r="K1722" t="s">
        <v>185</v>
      </c>
      <c r="M1722" t="s">
        <v>32</v>
      </c>
      <c r="N1722" t="str">
        <f>"1/20/2010 12:00:00 AM"</f>
        <v>1/20/2010 12:00:00 AM</v>
      </c>
      <c r="O1722" t="s">
        <v>5107</v>
      </c>
      <c r="T1722" t="s">
        <v>5108</v>
      </c>
    </row>
    <row r="1723" spans="1:20" x14ac:dyDescent="0.25">
      <c r="A1723" t="str">
        <f>"3062797"</f>
        <v>3062797</v>
      </c>
      <c r="B1723" t="s">
        <v>5110</v>
      </c>
      <c r="C1723" t="str">
        <f>"38399320"</f>
        <v>38399320</v>
      </c>
      <c r="D1723" t="s">
        <v>5111</v>
      </c>
      <c r="E1723" t="s">
        <v>5112</v>
      </c>
      <c r="F1723" t="s">
        <v>5113</v>
      </c>
      <c r="I1723" t="s">
        <v>29</v>
      </c>
      <c r="J1723" t="s">
        <v>30</v>
      </c>
      <c r="K1723" t="s">
        <v>31</v>
      </c>
      <c r="M1723" t="s">
        <v>32</v>
      </c>
      <c r="N1723" t="str">
        <f>"11/7/2003 12:00:00 AM"</f>
        <v>11/7/2003 12:00:00 AM</v>
      </c>
      <c r="O1723" t="s">
        <v>5111</v>
      </c>
      <c r="T1723" t="s">
        <v>5112</v>
      </c>
    </row>
    <row r="1724" spans="1:20" x14ac:dyDescent="0.25">
      <c r="A1724" t="str">
        <f>"3044022"</f>
        <v>3044022</v>
      </c>
      <c r="B1724" t="s">
        <v>5114</v>
      </c>
      <c r="C1724" t="str">
        <f>"54301200"</f>
        <v>54301200</v>
      </c>
      <c r="D1724" t="s">
        <v>5115</v>
      </c>
      <c r="F1724" t="s">
        <v>5116</v>
      </c>
      <c r="G1724" t="s">
        <v>5117</v>
      </c>
      <c r="I1724" t="s">
        <v>2525</v>
      </c>
      <c r="J1724" t="s">
        <v>30</v>
      </c>
      <c r="K1724" t="s">
        <v>5118</v>
      </c>
      <c r="M1724" t="s">
        <v>32</v>
      </c>
      <c r="N1724" t="str">
        <f>"7/14/2003 12:00:00 AM"</f>
        <v>7/14/2003 12:00:00 AM</v>
      </c>
      <c r="O1724" t="s">
        <v>5115</v>
      </c>
    </row>
    <row r="1725" spans="1:20" x14ac:dyDescent="0.25">
      <c r="A1725" t="str">
        <f>"3043852"</f>
        <v>3043852</v>
      </c>
      <c r="B1725" t="s">
        <v>5119</v>
      </c>
      <c r="C1725" t="str">
        <f>"54301200"</f>
        <v>54301200</v>
      </c>
      <c r="D1725" t="s">
        <v>5115</v>
      </c>
      <c r="F1725" t="s">
        <v>5116</v>
      </c>
      <c r="G1725" t="s">
        <v>5117</v>
      </c>
      <c r="I1725" t="s">
        <v>2525</v>
      </c>
      <c r="J1725" t="s">
        <v>30</v>
      </c>
      <c r="K1725" t="s">
        <v>5118</v>
      </c>
      <c r="M1725" t="s">
        <v>32</v>
      </c>
      <c r="N1725" t="str">
        <f>"7/14/2003 12:00:00 AM"</f>
        <v>7/14/2003 12:00:00 AM</v>
      </c>
      <c r="O1725" t="s">
        <v>5115</v>
      </c>
    </row>
    <row r="1726" spans="1:20" x14ac:dyDescent="0.25">
      <c r="A1726" t="str">
        <f>"3043847"</f>
        <v>3043847</v>
      </c>
      <c r="B1726" t="s">
        <v>5120</v>
      </c>
      <c r="C1726" t="str">
        <f>"54301200"</f>
        <v>54301200</v>
      </c>
      <c r="D1726" t="s">
        <v>5115</v>
      </c>
      <c r="F1726" t="s">
        <v>5116</v>
      </c>
      <c r="G1726" t="s">
        <v>5117</v>
      </c>
      <c r="I1726" t="s">
        <v>2525</v>
      </c>
      <c r="J1726" t="s">
        <v>30</v>
      </c>
      <c r="K1726" t="s">
        <v>5118</v>
      </c>
      <c r="M1726" t="s">
        <v>32</v>
      </c>
      <c r="N1726" t="str">
        <f>"7/14/2003 12:00:00 AM"</f>
        <v>7/14/2003 12:00:00 AM</v>
      </c>
      <c r="O1726" t="s">
        <v>5115</v>
      </c>
    </row>
    <row r="1727" spans="1:20" x14ac:dyDescent="0.25">
      <c r="A1727" t="str">
        <f>"3043851"</f>
        <v>3043851</v>
      </c>
      <c r="B1727" t="s">
        <v>5121</v>
      </c>
      <c r="C1727" t="str">
        <f>"54301200"</f>
        <v>54301200</v>
      </c>
      <c r="D1727" t="s">
        <v>5115</v>
      </c>
      <c r="F1727" t="s">
        <v>5116</v>
      </c>
      <c r="G1727" t="s">
        <v>5117</v>
      </c>
      <c r="I1727" t="s">
        <v>2525</v>
      </c>
      <c r="J1727" t="s">
        <v>30</v>
      </c>
      <c r="K1727" t="s">
        <v>5118</v>
      </c>
      <c r="M1727" t="s">
        <v>32</v>
      </c>
      <c r="N1727" t="str">
        <f>"7/14/2003 12:00:00 AM"</f>
        <v>7/14/2003 12:00:00 AM</v>
      </c>
      <c r="O1727" t="s">
        <v>5115</v>
      </c>
    </row>
    <row r="1728" spans="1:20" x14ac:dyDescent="0.25">
      <c r="A1728" t="str">
        <f>"3057048"</f>
        <v>3057048</v>
      </c>
      <c r="B1728" t="s">
        <v>5122</v>
      </c>
      <c r="C1728" t="str">
        <f>"54301200"</f>
        <v>54301200</v>
      </c>
      <c r="D1728" t="s">
        <v>5115</v>
      </c>
      <c r="F1728" t="s">
        <v>5116</v>
      </c>
      <c r="G1728" t="s">
        <v>5117</v>
      </c>
      <c r="I1728" t="s">
        <v>2525</v>
      </c>
      <c r="J1728" t="s">
        <v>30</v>
      </c>
      <c r="K1728" t="s">
        <v>5118</v>
      </c>
      <c r="M1728" t="s">
        <v>32</v>
      </c>
      <c r="N1728" t="str">
        <f>"7/14/2003 12:00:00 AM"</f>
        <v>7/14/2003 12:00:00 AM</v>
      </c>
      <c r="O1728" t="s">
        <v>5115</v>
      </c>
    </row>
    <row r="1729" spans="1:20" x14ac:dyDescent="0.25">
      <c r="A1729" t="str">
        <f>"3056834"</f>
        <v>3056834</v>
      </c>
      <c r="B1729" t="s">
        <v>5123</v>
      </c>
      <c r="C1729" t="str">
        <f>"82526051"</f>
        <v>82526051</v>
      </c>
      <c r="D1729" t="s">
        <v>5124</v>
      </c>
      <c r="F1729" t="s">
        <v>5125</v>
      </c>
      <c r="I1729" t="s">
        <v>402</v>
      </c>
      <c r="J1729" t="s">
        <v>30</v>
      </c>
      <c r="K1729" t="s">
        <v>5126</v>
      </c>
      <c r="M1729" t="s">
        <v>32</v>
      </c>
      <c r="N1729" t="str">
        <f>"9/3/2008 12:00:00 AM"</f>
        <v>9/3/2008 12:00:00 AM</v>
      </c>
      <c r="O1729" t="s">
        <v>5124</v>
      </c>
    </row>
    <row r="1730" spans="1:20" x14ac:dyDescent="0.25">
      <c r="A1730" t="str">
        <f>"3058101"</f>
        <v>3058101</v>
      </c>
      <c r="B1730" t="s">
        <v>5127</v>
      </c>
      <c r="C1730" t="str">
        <f>"82527344"</f>
        <v>82527344</v>
      </c>
      <c r="D1730" t="s">
        <v>5128</v>
      </c>
      <c r="F1730" t="s">
        <v>5129</v>
      </c>
      <c r="I1730" t="s">
        <v>184</v>
      </c>
      <c r="J1730" t="s">
        <v>30</v>
      </c>
      <c r="K1730" t="s">
        <v>185</v>
      </c>
      <c r="M1730" t="s">
        <v>32</v>
      </c>
      <c r="N1730" t="str">
        <f>"12/28/2006 12:00:00 AM"</f>
        <v>12/28/2006 12:00:00 AM</v>
      </c>
      <c r="O1730" t="s">
        <v>5128</v>
      </c>
    </row>
    <row r="1731" spans="1:20" x14ac:dyDescent="0.25">
      <c r="A1731" t="str">
        <f>"3042090"</f>
        <v>3042090</v>
      </c>
      <c r="B1731" t="s">
        <v>5130</v>
      </c>
      <c r="C1731" t="str">
        <f>"71916000"</f>
        <v>71916000</v>
      </c>
      <c r="D1731" t="s">
        <v>4766</v>
      </c>
      <c r="E1731" t="s">
        <v>4767</v>
      </c>
      <c r="F1731" t="s">
        <v>4768</v>
      </c>
      <c r="I1731" t="s">
        <v>184</v>
      </c>
      <c r="J1731" t="s">
        <v>30</v>
      </c>
      <c r="K1731" t="s">
        <v>185</v>
      </c>
      <c r="M1731" t="s">
        <v>32</v>
      </c>
      <c r="N1731" t="str">
        <f>"6/16/2004 12:00:00 AM"</f>
        <v>6/16/2004 12:00:00 AM</v>
      </c>
      <c r="O1731" t="s">
        <v>4766</v>
      </c>
      <c r="T1731" t="s">
        <v>4767</v>
      </c>
    </row>
    <row r="1732" spans="1:20" x14ac:dyDescent="0.25">
      <c r="A1732" t="str">
        <f>"3060882"</f>
        <v>3060882</v>
      </c>
      <c r="B1732" t="s">
        <v>5131</v>
      </c>
      <c r="C1732" t="str">
        <f>"82523512"</f>
        <v>82523512</v>
      </c>
      <c r="D1732" t="s">
        <v>5132</v>
      </c>
      <c r="E1732" t="s">
        <v>5133</v>
      </c>
      <c r="F1732" t="s">
        <v>5134</v>
      </c>
      <c r="I1732" t="s">
        <v>184</v>
      </c>
      <c r="J1732" t="s">
        <v>30</v>
      </c>
      <c r="K1732" t="s">
        <v>185</v>
      </c>
      <c r="M1732" t="s">
        <v>32</v>
      </c>
      <c r="N1732" t="str">
        <f>"12/13/2004 12:00:00 AM"</f>
        <v>12/13/2004 12:00:00 AM</v>
      </c>
      <c r="O1732" t="s">
        <v>5132</v>
      </c>
      <c r="T1732" t="s">
        <v>5133</v>
      </c>
    </row>
    <row r="1733" spans="1:20" x14ac:dyDescent="0.25">
      <c r="A1733" t="str">
        <f>"3060842"</f>
        <v>3060842</v>
      </c>
      <c r="B1733" t="s">
        <v>5135</v>
      </c>
      <c r="C1733" t="str">
        <f>"82528007"</f>
        <v>82528007</v>
      </c>
      <c r="D1733" t="s">
        <v>5136</v>
      </c>
      <c r="E1733" t="s">
        <v>5137</v>
      </c>
      <c r="F1733" t="s">
        <v>5138</v>
      </c>
      <c r="I1733" t="s">
        <v>184</v>
      </c>
      <c r="J1733" t="s">
        <v>30</v>
      </c>
      <c r="K1733" t="s">
        <v>185</v>
      </c>
      <c r="M1733" t="s">
        <v>32</v>
      </c>
      <c r="N1733" t="str">
        <f>"1/9/2008 12:00:00 AM"</f>
        <v>1/9/2008 12:00:00 AM</v>
      </c>
      <c r="O1733" t="s">
        <v>5136</v>
      </c>
      <c r="T1733" t="s">
        <v>5137</v>
      </c>
    </row>
    <row r="1734" spans="1:20" x14ac:dyDescent="0.25">
      <c r="A1734" t="str">
        <f>"3068566"</f>
        <v>3068566</v>
      </c>
      <c r="B1734" t="s">
        <v>5139</v>
      </c>
      <c r="C1734" t="str">
        <f>"82523395"</f>
        <v>82523395</v>
      </c>
      <c r="D1734" t="s">
        <v>5140</v>
      </c>
      <c r="E1734" t="s">
        <v>5141</v>
      </c>
      <c r="F1734" t="s">
        <v>5142</v>
      </c>
      <c r="I1734" t="s">
        <v>184</v>
      </c>
      <c r="J1734" t="s">
        <v>30</v>
      </c>
      <c r="K1734" t="s">
        <v>5143</v>
      </c>
      <c r="M1734" t="s">
        <v>32</v>
      </c>
      <c r="N1734" t="str">
        <f>"1/12/2007 12:00:00 AM"</f>
        <v>1/12/2007 12:00:00 AM</v>
      </c>
      <c r="O1734" t="s">
        <v>5140</v>
      </c>
      <c r="T1734" t="s">
        <v>5141</v>
      </c>
    </row>
    <row r="1735" spans="1:20" x14ac:dyDescent="0.25">
      <c r="A1735" t="str">
        <f>"3060844"</f>
        <v>3060844</v>
      </c>
      <c r="B1735" t="s">
        <v>5144</v>
      </c>
      <c r="C1735" t="str">
        <f>"82523470"</f>
        <v>82523470</v>
      </c>
      <c r="D1735" t="s">
        <v>5145</v>
      </c>
      <c r="E1735" t="s">
        <v>5146</v>
      </c>
      <c r="F1735" t="s">
        <v>5147</v>
      </c>
      <c r="I1735" t="s">
        <v>184</v>
      </c>
      <c r="J1735" t="s">
        <v>30</v>
      </c>
      <c r="K1735" t="s">
        <v>5143</v>
      </c>
      <c r="M1735" t="s">
        <v>32</v>
      </c>
      <c r="N1735" t="str">
        <f>"11/10/2005 12:00:00 AM"</f>
        <v>11/10/2005 12:00:00 AM</v>
      </c>
      <c r="O1735" t="s">
        <v>5145</v>
      </c>
      <c r="T1735" t="s">
        <v>5146</v>
      </c>
    </row>
    <row r="1736" spans="1:20" x14ac:dyDescent="0.25">
      <c r="A1736" t="str">
        <f>"3058094"</f>
        <v>3058094</v>
      </c>
      <c r="B1736" t="s">
        <v>5148</v>
      </c>
      <c r="C1736" t="str">
        <f>"82527841"</f>
        <v>82527841</v>
      </c>
      <c r="D1736" t="s">
        <v>5149</v>
      </c>
      <c r="E1736" t="s">
        <v>5150</v>
      </c>
      <c r="F1736" t="s">
        <v>5151</v>
      </c>
      <c r="I1736" t="s">
        <v>184</v>
      </c>
      <c r="J1736" t="s">
        <v>30</v>
      </c>
      <c r="K1736" t="s">
        <v>185</v>
      </c>
      <c r="M1736" t="s">
        <v>32</v>
      </c>
      <c r="N1736" t="str">
        <f>"2/5/2010 12:00:00 AM"</f>
        <v>2/5/2010 12:00:00 AM</v>
      </c>
      <c r="O1736" t="s">
        <v>5149</v>
      </c>
      <c r="T1736" t="s">
        <v>5150</v>
      </c>
    </row>
    <row r="1737" spans="1:20" x14ac:dyDescent="0.25">
      <c r="A1737" t="str">
        <f>"3058095"</f>
        <v>3058095</v>
      </c>
      <c r="B1737" t="s">
        <v>5152</v>
      </c>
      <c r="C1737" t="str">
        <f>"43220000"</f>
        <v>43220000</v>
      </c>
      <c r="D1737" t="s">
        <v>5153</v>
      </c>
      <c r="E1737" t="s">
        <v>5154</v>
      </c>
      <c r="F1737" t="s">
        <v>5155</v>
      </c>
      <c r="I1737" t="s">
        <v>184</v>
      </c>
      <c r="J1737" t="s">
        <v>30</v>
      </c>
      <c r="K1737" t="s">
        <v>185</v>
      </c>
      <c r="M1737" t="s">
        <v>32</v>
      </c>
      <c r="N1737" t="str">
        <f>"1/26/2006 12:00:00 AM"</f>
        <v>1/26/2006 12:00:00 AM</v>
      </c>
      <c r="O1737" t="s">
        <v>5153</v>
      </c>
      <c r="T1737" t="s">
        <v>5154</v>
      </c>
    </row>
    <row r="1738" spans="1:20" x14ac:dyDescent="0.25">
      <c r="A1738" t="str">
        <f>"3058063"</f>
        <v>3058063</v>
      </c>
      <c r="B1738" t="s">
        <v>5156</v>
      </c>
      <c r="C1738" t="str">
        <f>"82523859"</f>
        <v>82523859</v>
      </c>
      <c r="D1738" t="s">
        <v>5157</v>
      </c>
      <c r="E1738" t="s">
        <v>5158</v>
      </c>
      <c r="F1738" t="s">
        <v>5159</v>
      </c>
      <c r="I1738" t="s">
        <v>184</v>
      </c>
      <c r="J1738" t="s">
        <v>30</v>
      </c>
      <c r="K1738" t="s">
        <v>5160</v>
      </c>
      <c r="M1738" t="s">
        <v>32</v>
      </c>
      <c r="N1738" t="str">
        <f>"1/11/2010 12:00:00 AM"</f>
        <v>1/11/2010 12:00:00 AM</v>
      </c>
      <c r="O1738" t="s">
        <v>5157</v>
      </c>
      <c r="T1738" t="s">
        <v>5158</v>
      </c>
    </row>
    <row r="1739" spans="1:20" x14ac:dyDescent="0.25">
      <c r="A1739" t="str">
        <f>"3058096"</f>
        <v>3058096</v>
      </c>
      <c r="B1739" t="s">
        <v>5161</v>
      </c>
      <c r="C1739" t="str">
        <f>"74804250"</f>
        <v>74804250</v>
      </c>
      <c r="D1739" t="s">
        <v>5162</v>
      </c>
      <c r="E1739" t="s">
        <v>5163</v>
      </c>
      <c r="F1739" t="s">
        <v>5164</v>
      </c>
      <c r="I1739" t="s">
        <v>184</v>
      </c>
      <c r="J1739" t="s">
        <v>30</v>
      </c>
      <c r="K1739" t="s">
        <v>5160</v>
      </c>
      <c r="M1739" t="s">
        <v>32</v>
      </c>
      <c r="N1739" t="str">
        <f>"1/12/2006 12:00:00 AM"</f>
        <v>1/12/2006 12:00:00 AM</v>
      </c>
      <c r="O1739" t="s">
        <v>5162</v>
      </c>
      <c r="T1739" t="s">
        <v>5163</v>
      </c>
    </row>
    <row r="1740" spans="1:20" x14ac:dyDescent="0.25">
      <c r="A1740" t="str">
        <f>"3063903"</f>
        <v>3063903</v>
      </c>
      <c r="B1740" t="s">
        <v>5165</v>
      </c>
      <c r="C1740" t="str">
        <f>"12951750"</f>
        <v>12951750</v>
      </c>
      <c r="D1740" t="s">
        <v>5166</v>
      </c>
      <c r="F1740" t="s">
        <v>5167</v>
      </c>
      <c r="I1740" t="s">
        <v>471</v>
      </c>
      <c r="J1740" t="s">
        <v>30</v>
      </c>
      <c r="K1740" t="s">
        <v>2758</v>
      </c>
      <c r="M1740" t="s">
        <v>32</v>
      </c>
      <c r="N1740" t="str">
        <f>"4/29/2002 12:00:00 AM"</f>
        <v>4/29/2002 12:00:00 AM</v>
      </c>
      <c r="O1740" t="s">
        <v>5166</v>
      </c>
    </row>
    <row r="1741" spans="1:20" x14ac:dyDescent="0.25">
      <c r="A1741" t="str">
        <f>"3063961"</f>
        <v>3063961</v>
      </c>
      <c r="B1741" t="s">
        <v>5168</v>
      </c>
      <c r="C1741" t="str">
        <f>"22269000"</f>
        <v>22269000</v>
      </c>
      <c r="D1741" t="s">
        <v>5169</v>
      </c>
      <c r="E1741" t="s">
        <v>5170</v>
      </c>
      <c r="F1741" t="s">
        <v>5171</v>
      </c>
      <c r="I1741" t="s">
        <v>184</v>
      </c>
      <c r="J1741" t="s">
        <v>30</v>
      </c>
      <c r="K1741" t="s">
        <v>185</v>
      </c>
      <c r="M1741" t="s">
        <v>32</v>
      </c>
      <c r="N1741" t="str">
        <f>"1/12/2007 12:00:00 AM"</f>
        <v>1/12/2007 12:00:00 AM</v>
      </c>
      <c r="O1741" t="s">
        <v>5169</v>
      </c>
      <c r="T1741" t="s">
        <v>5170</v>
      </c>
    </row>
    <row r="1742" spans="1:20" x14ac:dyDescent="0.25">
      <c r="A1742" t="str">
        <f>"3058099"</f>
        <v>3058099</v>
      </c>
      <c r="B1742" t="s">
        <v>5172</v>
      </c>
      <c r="C1742" t="str">
        <f>"82522778"</f>
        <v>82522778</v>
      </c>
      <c r="D1742" t="s">
        <v>5173</v>
      </c>
      <c r="E1742" t="s">
        <v>5174</v>
      </c>
      <c r="F1742" t="s">
        <v>5175</v>
      </c>
      <c r="I1742" t="s">
        <v>184</v>
      </c>
      <c r="J1742" t="s">
        <v>30</v>
      </c>
      <c r="K1742" t="s">
        <v>5176</v>
      </c>
      <c r="M1742" t="s">
        <v>32</v>
      </c>
      <c r="N1742" t="str">
        <f>"1/26/2005 12:00:00 AM"</f>
        <v>1/26/2005 12:00:00 AM</v>
      </c>
      <c r="O1742" t="s">
        <v>5173</v>
      </c>
      <c r="T1742" t="s">
        <v>5174</v>
      </c>
    </row>
    <row r="1743" spans="1:20" x14ac:dyDescent="0.25">
      <c r="A1743" t="str">
        <f>"3050582"</f>
        <v>3050582</v>
      </c>
      <c r="B1743" t="s">
        <v>5177</v>
      </c>
      <c r="C1743" t="str">
        <f>"63832000"</f>
        <v>63832000</v>
      </c>
      <c r="D1743" t="s">
        <v>5178</v>
      </c>
      <c r="E1743" t="s">
        <v>5179</v>
      </c>
      <c r="F1743" t="s">
        <v>5180</v>
      </c>
      <c r="I1743" t="s">
        <v>184</v>
      </c>
      <c r="J1743" t="s">
        <v>30</v>
      </c>
      <c r="K1743" t="s">
        <v>5181</v>
      </c>
      <c r="M1743" t="s">
        <v>32</v>
      </c>
      <c r="N1743" t="str">
        <f>"1/31/2006 12:00:00 AM"</f>
        <v>1/31/2006 12:00:00 AM</v>
      </c>
      <c r="O1743" t="s">
        <v>5178</v>
      </c>
      <c r="T1743" t="s">
        <v>5179</v>
      </c>
    </row>
    <row r="1744" spans="1:20" x14ac:dyDescent="0.25">
      <c r="A1744" t="str">
        <f>"3065025"</f>
        <v>3065025</v>
      </c>
      <c r="B1744" t="s">
        <v>5182</v>
      </c>
      <c r="C1744" t="str">
        <f>"63832000"</f>
        <v>63832000</v>
      </c>
      <c r="D1744" t="s">
        <v>5178</v>
      </c>
      <c r="E1744" t="s">
        <v>5179</v>
      </c>
      <c r="F1744" t="s">
        <v>5180</v>
      </c>
      <c r="I1744" t="s">
        <v>184</v>
      </c>
      <c r="J1744" t="s">
        <v>30</v>
      </c>
      <c r="K1744" t="s">
        <v>5181</v>
      </c>
      <c r="M1744" t="s">
        <v>32</v>
      </c>
      <c r="N1744" t="str">
        <f>"1/31/2006 12:00:00 AM"</f>
        <v>1/31/2006 12:00:00 AM</v>
      </c>
      <c r="O1744" t="s">
        <v>5178</v>
      </c>
      <c r="T1744" t="s">
        <v>5179</v>
      </c>
    </row>
    <row r="1745" spans="1:20" x14ac:dyDescent="0.25">
      <c r="A1745" t="str">
        <f>"3065040"</f>
        <v>3065040</v>
      </c>
      <c r="B1745" t="s">
        <v>5183</v>
      </c>
      <c r="C1745" t="str">
        <f>"17801000"</f>
        <v>17801000</v>
      </c>
      <c r="D1745" t="s">
        <v>5184</v>
      </c>
      <c r="F1745" t="s">
        <v>5185</v>
      </c>
      <c r="I1745" t="s">
        <v>184</v>
      </c>
      <c r="J1745" t="s">
        <v>30</v>
      </c>
      <c r="K1745" t="s">
        <v>185</v>
      </c>
      <c r="M1745" t="s">
        <v>32</v>
      </c>
      <c r="N1745" t="str">
        <f>"7/2/2003 12:00:00 AM"</f>
        <v>7/2/2003 12:00:00 AM</v>
      </c>
      <c r="O1745" t="s">
        <v>5184</v>
      </c>
    </row>
    <row r="1746" spans="1:20" x14ac:dyDescent="0.25">
      <c r="A1746" t="str">
        <f>"3077195"</f>
        <v>3077195</v>
      </c>
      <c r="B1746" t="s">
        <v>5186</v>
      </c>
      <c r="C1746" t="str">
        <f>"17801000"</f>
        <v>17801000</v>
      </c>
      <c r="D1746" t="s">
        <v>5184</v>
      </c>
      <c r="F1746" t="s">
        <v>5185</v>
      </c>
      <c r="I1746" t="s">
        <v>184</v>
      </c>
      <c r="J1746" t="s">
        <v>30</v>
      </c>
      <c r="K1746" t="s">
        <v>185</v>
      </c>
      <c r="M1746" t="s">
        <v>32</v>
      </c>
      <c r="N1746" t="str">
        <f>"7/2/2003 12:00:00 AM"</f>
        <v>7/2/2003 12:00:00 AM</v>
      </c>
      <c r="O1746" t="s">
        <v>5184</v>
      </c>
    </row>
    <row r="1747" spans="1:20" x14ac:dyDescent="0.25">
      <c r="A1747" t="str">
        <f>"3044224"</f>
        <v>3044224</v>
      </c>
      <c r="B1747" t="s">
        <v>5187</v>
      </c>
      <c r="C1747" t="str">
        <f>"82521242"</f>
        <v>82521242</v>
      </c>
      <c r="D1747" t="s">
        <v>5188</v>
      </c>
      <c r="E1747" t="s">
        <v>5189</v>
      </c>
      <c r="F1747" t="s">
        <v>5190</v>
      </c>
      <c r="I1747" t="s">
        <v>184</v>
      </c>
      <c r="J1747" t="s">
        <v>30</v>
      </c>
      <c r="K1747" t="s">
        <v>5191</v>
      </c>
      <c r="M1747" t="s">
        <v>32</v>
      </c>
      <c r="N1747" t="str">
        <f>"1/9/2006 12:00:00 AM"</f>
        <v>1/9/2006 12:00:00 AM</v>
      </c>
      <c r="O1747" t="s">
        <v>5188</v>
      </c>
      <c r="T1747" t="s">
        <v>5189</v>
      </c>
    </row>
    <row r="1748" spans="1:20" x14ac:dyDescent="0.25">
      <c r="A1748" t="str">
        <f>"3044277"</f>
        <v>3044277</v>
      </c>
      <c r="B1748" t="s">
        <v>5192</v>
      </c>
      <c r="C1748" t="str">
        <f>"64252000"</f>
        <v>64252000</v>
      </c>
      <c r="D1748" t="s">
        <v>5193</v>
      </c>
      <c r="E1748" t="s">
        <v>5194</v>
      </c>
      <c r="F1748" t="s">
        <v>5195</v>
      </c>
      <c r="I1748" t="s">
        <v>184</v>
      </c>
      <c r="J1748" t="s">
        <v>30</v>
      </c>
      <c r="K1748" t="s">
        <v>185</v>
      </c>
      <c r="M1748" t="s">
        <v>32</v>
      </c>
      <c r="N1748" t="str">
        <f>"11/10/2005 12:00:00 AM"</f>
        <v>11/10/2005 12:00:00 AM</v>
      </c>
      <c r="O1748" t="s">
        <v>5193</v>
      </c>
      <c r="T1748" t="s">
        <v>5194</v>
      </c>
    </row>
    <row r="1749" spans="1:20" x14ac:dyDescent="0.25">
      <c r="A1749" t="str">
        <f>"3045764"</f>
        <v>3045764</v>
      </c>
      <c r="B1749" t="s">
        <v>5196</v>
      </c>
      <c r="C1749" t="str">
        <f>"6660500"</f>
        <v>6660500</v>
      </c>
      <c r="D1749" t="s">
        <v>5197</v>
      </c>
      <c r="E1749" t="s">
        <v>5198</v>
      </c>
      <c r="F1749" t="s">
        <v>5199</v>
      </c>
      <c r="I1749" t="s">
        <v>184</v>
      </c>
      <c r="J1749" t="s">
        <v>30</v>
      </c>
      <c r="K1749" t="s">
        <v>5200</v>
      </c>
      <c r="M1749" t="s">
        <v>32</v>
      </c>
      <c r="N1749" t="str">
        <f>"1/9/2006 12:00:00 AM"</f>
        <v>1/9/2006 12:00:00 AM</v>
      </c>
      <c r="O1749" t="s">
        <v>5197</v>
      </c>
      <c r="T1749" t="s">
        <v>5198</v>
      </c>
    </row>
    <row r="1750" spans="1:20" x14ac:dyDescent="0.25">
      <c r="A1750" t="str">
        <f>"3050958"</f>
        <v>3050958</v>
      </c>
      <c r="B1750" t="s">
        <v>5201</v>
      </c>
      <c r="C1750" t="str">
        <f>"6660500"</f>
        <v>6660500</v>
      </c>
      <c r="D1750" t="s">
        <v>5197</v>
      </c>
      <c r="E1750" t="s">
        <v>5198</v>
      </c>
      <c r="F1750" t="s">
        <v>5199</v>
      </c>
      <c r="I1750" t="s">
        <v>184</v>
      </c>
      <c r="J1750" t="s">
        <v>30</v>
      </c>
      <c r="K1750" t="s">
        <v>5200</v>
      </c>
      <c r="M1750" t="s">
        <v>32</v>
      </c>
      <c r="N1750" t="str">
        <f>"1/9/2006 12:00:00 AM"</f>
        <v>1/9/2006 12:00:00 AM</v>
      </c>
      <c r="O1750" t="s">
        <v>5197</v>
      </c>
      <c r="T1750" t="s">
        <v>5198</v>
      </c>
    </row>
    <row r="1751" spans="1:20" x14ac:dyDescent="0.25">
      <c r="A1751" t="str">
        <f>"3078644"</f>
        <v>3078644</v>
      </c>
      <c r="B1751" t="s">
        <v>5202</v>
      </c>
      <c r="C1751" t="str">
        <f>"6660500"</f>
        <v>6660500</v>
      </c>
      <c r="D1751" t="s">
        <v>5197</v>
      </c>
      <c r="E1751" t="s">
        <v>5198</v>
      </c>
      <c r="F1751" t="s">
        <v>5199</v>
      </c>
      <c r="I1751" t="s">
        <v>184</v>
      </c>
      <c r="J1751" t="s">
        <v>30</v>
      </c>
      <c r="K1751" t="s">
        <v>5200</v>
      </c>
      <c r="M1751" t="s">
        <v>32</v>
      </c>
      <c r="N1751" t="str">
        <f>"1/9/2006 12:00:00 AM"</f>
        <v>1/9/2006 12:00:00 AM</v>
      </c>
      <c r="O1751" t="s">
        <v>5197</v>
      </c>
      <c r="T1751" t="s">
        <v>5198</v>
      </c>
    </row>
    <row r="1752" spans="1:20" x14ac:dyDescent="0.25">
      <c r="A1752" t="str">
        <f>"3042120"</f>
        <v>3042120</v>
      </c>
      <c r="B1752" t="s">
        <v>5203</v>
      </c>
      <c r="C1752" t="str">
        <f>"2487000"</f>
        <v>2487000</v>
      </c>
      <c r="D1752" t="s">
        <v>5204</v>
      </c>
      <c r="E1752" t="s">
        <v>5205</v>
      </c>
      <c r="F1752" t="s">
        <v>5206</v>
      </c>
      <c r="I1752" t="s">
        <v>184</v>
      </c>
      <c r="J1752" t="s">
        <v>30</v>
      </c>
      <c r="K1752" t="s">
        <v>185</v>
      </c>
      <c r="M1752" t="s">
        <v>32</v>
      </c>
      <c r="N1752" t="str">
        <f>"3/5/2002 12:00:00 AM"</f>
        <v>3/5/2002 12:00:00 AM</v>
      </c>
      <c r="O1752" t="s">
        <v>5204</v>
      </c>
      <c r="T1752" t="s">
        <v>5205</v>
      </c>
    </row>
    <row r="1753" spans="1:20" x14ac:dyDescent="0.25">
      <c r="A1753" t="str">
        <f>"3061323"</f>
        <v>3061323</v>
      </c>
      <c r="B1753" t="s">
        <v>5207</v>
      </c>
      <c r="C1753" t="str">
        <f>"47846000"</f>
        <v>47846000</v>
      </c>
      <c r="D1753" t="s">
        <v>5208</v>
      </c>
      <c r="E1753" t="s">
        <v>5209</v>
      </c>
      <c r="F1753" t="s">
        <v>5210</v>
      </c>
      <c r="I1753" t="s">
        <v>184</v>
      </c>
      <c r="J1753" t="s">
        <v>30</v>
      </c>
      <c r="K1753" t="s">
        <v>185</v>
      </c>
      <c r="M1753" t="s">
        <v>32</v>
      </c>
      <c r="N1753" t="str">
        <f>"2/17/2004 12:00:00 AM"</f>
        <v>2/17/2004 12:00:00 AM</v>
      </c>
      <c r="O1753" t="s">
        <v>5208</v>
      </c>
      <c r="T1753" t="s">
        <v>5209</v>
      </c>
    </row>
    <row r="1754" spans="1:20" x14ac:dyDescent="0.25">
      <c r="A1754" t="str">
        <f>"3061324"</f>
        <v>3061324</v>
      </c>
      <c r="B1754" t="s">
        <v>5211</v>
      </c>
      <c r="C1754" t="str">
        <f>"82522677"</f>
        <v>82522677</v>
      </c>
      <c r="D1754" t="s">
        <v>5212</v>
      </c>
      <c r="F1754" t="s">
        <v>5213</v>
      </c>
      <c r="I1754" t="s">
        <v>184</v>
      </c>
      <c r="J1754" t="s">
        <v>30</v>
      </c>
      <c r="K1754" t="s">
        <v>5214</v>
      </c>
      <c r="M1754" t="s">
        <v>32</v>
      </c>
      <c r="N1754" t="str">
        <f>"2/28/2005 12:00:00 AM"</f>
        <v>2/28/2005 12:00:00 AM</v>
      </c>
      <c r="O1754" t="s">
        <v>5212</v>
      </c>
    </row>
    <row r="1755" spans="1:20" x14ac:dyDescent="0.25">
      <c r="A1755" t="str">
        <f>"3061326"</f>
        <v>3061326</v>
      </c>
      <c r="B1755" t="s">
        <v>5215</v>
      </c>
      <c r="C1755" t="str">
        <f>"82513143"</f>
        <v>82513143</v>
      </c>
      <c r="D1755" t="s">
        <v>5216</v>
      </c>
      <c r="E1755" t="s">
        <v>5217</v>
      </c>
      <c r="F1755" t="s">
        <v>5218</v>
      </c>
      <c r="I1755" t="s">
        <v>184</v>
      </c>
      <c r="J1755" t="s">
        <v>30</v>
      </c>
      <c r="K1755" t="s">
        <v>185</v>
      </c>
      <c r="M1755" t="s">
        <v>32</v>
      </c>
      <c r="N1755" t="str">
        <f>"7/22/2004 12:00:00 AM"</f>
        <v>7/22/2004 12:00:00 AM</v>
      </c>
      <c r="O1755" t="s">
        <v>5216</v>
      </c>
      <c r="T1755" t="s">
        <v>5217</v>
      </c>
    </row>
    <row r="1756" spans="1:20" x14ac:dyDescent="0.25">
      <c r="A1756" t="str">
        <f>"3061327"</f>
        <v>3061327</v>
      </c>
      <c r="B1756" t="s">
        <v>5219</v>
      </c>
      <c r="C1756" t="str">
        <f>"82528213"</f>
        <v>82528213</v>
      </c>
      <c r="D1756" t="s">
        <v>5220</v>
      </c>
      <c r="F1756" t="s">
        <v>5221</v>
      </c>
      <c r="I1756" t="s">
        <v>184</v>
      </c>
      <c r="J1756" t="s">
        <v>30</v>
      </c>
      <c r="K1756" t="s">
        <v>185</v>
      </c>
      <c r="M1756" t="s">
        <v>32</v>
      </c>
      <c r="N1756" t="str">
        <f>"6/26/2007 12:00:00 AM"</f>
        <v>6/26/2007 12:00:00 AM</v>
      </c>
      <c r="O1756" t="s">
        <v>5220</v>
      </c>
    </row>
    <row r="1757" spans="1:20" x14ac:dyDescent="0.25">
      <c r="A1757" t="str">
        <f>"3072665"</f>
        <v>3072665</v>
      </c>
      <c r="B1757" t="s">
        <v>5222</v>
      </c>
      <c r="C1757" t="str">
        <f>"82528213"</f>
        <v>82528213</v>
      </c>
      <c r="D1757" t="s">
        <v>5220</v>
      </c>
      <c r="F1757" t="s">
        <v>5221</v>
      </c>
      <c r="I1757" t="s">
        <v>184</v>
      </c>
      <c r="J1757" t="s">
        <v>30</v>
      </c>
      <c r="K1757" t="s">
        <v>185</v>
      </c>
      <c r="M1757" t="s">
        <v>32</v>
      </c>
      <c r="N1757" t="str">
        <f>"6/26/2007 12:00:00 AM"</f>
        <v>6/26/2007 12:00:00 AM</v>
      </c>
      <c r="O1757" t="s">
        <v>5220</v>
      </c>
    </row>
    <row r="1758" spans="1:20" x14ac:dyDescent="0.25">
      <c r="A1758" t="str">
        <f>"3061330"</f>
        <v>3061330</v>
      </c>
      <c r="B1758" t="s">
        <v>5223</v>
      </c>
      <c r="C1758" t="str">
        <f>"82529096"</f>
        <v>82529096</v>
      </c>
      <c r="D1758" t="s">
        <v>5224</v>
      </c>
      <c r="E1758" t="s">
        <v>5225</v>
      </c>
      <c r="F1758" t="s">
        <v>5226</v>
      </c>
      <c r="I1758" t="s">
        <v>184</v>
      </c>
      <c r="J1758" t="s">
        <v>30</v>
      </c>
      <c r="K1758" t="s">
        <v>185</v>
      </c>
      <c r="M1758" t="s">
        <v>32</v>
      </c>
      <c r="N1758" t="str">
        <f>"2/25/2010 12:00:00 AM"</f>
        <v>2/25/2010 12:00:00 AM</v>
      </c>
      <c r="O1758" t="s">
        <v>5224</v>
      </c>
      <c r="T1758" t="s">
        <v>5225</v>
      </c>
    </row>
    <row r="1759" spans="1:20" x14ac:dyDescent="0.25">
      <c r="A1759" t="str">
        <f>"3061331"</f>
        <v>3061331</v>
      </c>
      <c r="B1759" t="s">
        <v>5227</v>
      </c>
      <c r="C1759" t="str">
        <f>"82523520"</f>
        <v>82523520</v>
      </c>
      <c r="D1759" t="s">
        <v>5228</v>
      </c>
      <c r="E1759" t="s">
        <v>5229</v>
      </c>
      <c r="F1759" t="s">
        <v>5230</v>
      </c>
      <c r="I1759" t="s">
        <v>184</v>
      </c>
      <c r="J1759" t="s">
        <v>30</v>
      </c>
      <c r="K1759" t="s">
        <v>185</v>
      </c>
      <c r="M1759" t="s">
        <v>32</v>
      </c>
      <c r="N1759" t="str">
        <f>"11/10/2005 12:00:00 AM"</f>
        <v>11/10/2005 12:00:00 AM</v>
      </c>
      <c r="O1759" t="s">
        <v>5228</v>
      </c>
      <c r="T1759" t="s">
        <v>5229</v>
      </c>
    </row>
    <row r="1760" spans="1:20" x14ac:dyDescent="0.25">
      <c r="A1760" t="str">
        <f>"3042598"</f>
        <v>3042598</v>
      </c>
      <c r="B1760" t="s">
        <v>5231</v>
      </c>
      <c r="C1760" t="str">
        <f>"49096000"</f>
        <v>49096000</v>
      </c>
      <c r="D1760" t="s">
        <v>5232</v>
      </c>
      <c r="E1760" t="s">
        <v>5233</v>
      </c>
      <c r="F1760" t="s">
        <v>5234</v>
      </c>
      <c r="I1760" t="s">
        <v>5235</v>
      </c>
      <c r="J1760" t="s">
        <v>30</v>
      </c>
      <c r="K1760" t="s">
        <v>5236</v>
      </c>
      <c r="M1760" t="s">
        <v>32</v>
      </c>
      <c r="N1760" t="str">
        <f>"2/1/2006 12:00:00 AM"</f>
        <v>2/1/2006 12:00:00 AM</v>
      </c>
      <c r="O1760" t="s">
        <v>5232</v>
      </c>
      <c r="T1760" t="s">
        <v>5233</v>
      </c>
    </row>
    <row r="1761" spans="1:20" x14ac:dyDescent="0.25">
      <c r="A1761" t="str">
        <f>"3061335"</f>
        <v>3061335</v>
      </c>
      <c r="B1761" t="s">
        <v>5237</v>
      </c>
      <c r="C1761" t="str">
        <f>"60648000"</f>
        <v>60648000</v>
      </c>
      <c r="D1761" t="s">
        <v>5238</v>
      </c>
      <c r="E1761" t="s">
        <v>5239</v>
      </c>
      <c r="F1761" t="s">
        <v>5240</v>
      </c>
      <c r="I1761" t="s">
        <v>184</v>
      </c>
      <c r="J1761" t="s">
        <v>30</v>
      </c>
      <c r="K1761" t="s">
        <v>185</v>
      </c>
      <c r="M1761" t="s">
        <v>32</v>
      </c>
      <c r="N1761" t="str">
        <f>"4/12/2004 12:00:00 AM"</f>
        <v>4/12/2004 12:00:00 AM</v>
      </c>
      <c r="O1761" t="s">
        <v>5238</v>
      </c>
      <c r="T1761" t="s">
        <v>5239</v>
      </c>
    </row>
    <row r="1762" spans="1:20" x14ac:dyDescent="0.25">
      <c r="A1762" t="str">
        <f>"3057118"</f>
        <v>3057118</v>
      </c>
      <c r="B1762" t="s">
        <v>5241</v>
      </c>
      <c r="C1762" t="str">
        <f>"60648000"</f>
        <v>60648000</v>
      </c>
      <c r="D1762" t="s">
        <v>5238</v>
      </c>
      <c r="E1762" t="s">
        <v>5239</v>
      </c>
      <c r="F1762" t="s">
        <v>5240</v>
      </c>
      <c r="I1762" t="s">
        <v>184</v>
      </c>
      <c r="J1762" t="s">
        <v>30</v>
      </c>
      <c r="K1762" t="s">
        <v>185</v>
      </c>
      <c r="M1762" t="s">
        <v>32</v>
      </c>
      <c r="N1762" t="str">
        <f>"4/12/2004 12:00:00 AM"</f>
        <v>4/12/2004 12:00:00 AM</v>
      </c>
      <c r="O1762" t="s">
        <v>5238</v>
      </c>
      <c r="T1762" t="s">
        <v>5239</v>
      </c>
    </row>
    <row r="1763" spans="1:20" x14ac:dyDescent="0.25">
      <c r="A1763" t="str">
        <f>"3043739"</f>
        <v>3043739</v>
      </c>
      <c r="B1763" t="s">
        <v>5242</v>
      </c>
      <c r="C1763" t="str">
        <f>"60648000"</f>
        <v>60648000</v>
      </c>
      <c r="D1763" t="s">
        <v>5238</v>
      </c>
      <c r="E1763" t="s">
        <v>5239</v>
      </c>
      <c r="F1763" t="s">
        <v>5240</v>
      </c>
      <c r="I1763" t="s">
        <v>184</v>
      </c>
      <c r="J1763" t="s">
        <v>30</v>
      </c>
      <c r="K1763" t="s">
        <v>185</v>
      </c>
      <c r="M1763" t="s">
        <v>32</v>
      </c>
      <c r="N1763" t="str">
        <f>"4/12/2004 12:00:00 AM"</f>
        <v>4/12/2004 12:00:00 AM</v>
      </c>
      <c r="O1763" t="s">
        <v>5238</v>
      </c>
      <c r="T1763" t="s">
        <v>5239</v>
      </c>
    </row>
    <row r="1764" spans="1:20" x14ac:dyDescent="0.25">
      <c r="A1764" t="str">
        <f>"3037518"</f>
        <v>3037518</v>
      </c>
      <c r="B1764" t="s">
        <v>5243</v>
      </c>
      <c r="C1764" t="str">
        <f>"60648000"</f>
        <v>60648000</v>
      </c>
      <c r="D1764" t="s">
        <v>5238</v>
      </c>
      <c r="E1764" t="s">
        <v>5239</v>
      </c>
      <c r="F1764" t="s">
        <v>5240</v>
      </c>
      <c r="I1764" t="s">
        <v>184</v>
      </c>
      <c r="J1764" t="s">
        <v>30</v>
      </c>
      <c r="K1764" t="s">
        <v>185</v>
      </c>
      <c r="M1764" t="s">
        <v>32</v>
      </c>
      <c r="N1764" t="str">
        <f>"4/12/2004 12:00:00 AM"</f>
        <v>4/12/2004 12:00:00 AM</v>
      </c>
      <c r="O1764" t="s">
        <v>5238</v>
      </c>
      <c r="T1764" t="s">
        <v>5239</v>
      </c>
    </row>
    <row r="1765" spans="1:20" x14ac:dyDescent="0.25">
      <c r="A1765" t="str">
        <f>"3057545"</f>
        <v>3057545</v>
      </c>
      <c r="B1765" t="s">
        <v>5244</v>
      </c>
      <c r="C1765" t="str">
        <f>"36337000"</f>
        <v>36337000</v>
      </c>
      <c r="D1765" t="s">
        <v>5245</v>
      </c>
      <c r="E1765" t="s">
        <v>5246</v>
      </c>
      <c r="F1765" t="s">
        <v>5247</v>
      </c>
      <c r="I1765" t="s">
        <v>184</v>
      </c>
      <c r="J1765" t="s">
        <v>30</v>
      </c>
      <c r="K1765" t="s">
        <v>185</v>
      </c>
      <c r="M1765" t="s">
        <v>32</v>
      </c>
      <c r="N1765" t="str">
        <f>"8/14/2008 12:00:00 AM"</f>
        <v>8/14/2008 12:00:00 AM</v>
      </c>
      <c r="O1765" t="s">
        <v>5245</v>
      </c>
      <c r="T1765" t="s">
        <v>5246</v>
      </c>
    </row>
    <row r="1766" spans="1:20" x14ac:dyDescent="0.25">
      <c r="A1766" t="str">
        <f>"3061350"</f>
        <v>3061350</v>
      </c>
      <c r="B1766" t="s">
        <v>5248</v>
      </c>
      <c r="C1766" t="str">
        <f>"82521283"</f>
        <v>82521283</v>
      </c>
      <c r="D1766" t="s">
        <v>5249</v>
      </c>
      <c r="F1766" t="s">
        <v>5250</v>
      </c>
      <c r="I1766" t="s">
        <v>184</v>
      </c>
      <c r="J1766" t="s">
        <v>30</v>
      </c>
      <c r="K1766" t="s">
        <v>185</v>
      </c>
      <c r="M1766" t="s">
        <v>32</v>
      </c>
      <c r="N1766" t="str">
        <f>"1/8/2004 12:00:00 AM"</f>
        <v>1/8/2004 12:00:00 AM</v>
      </c>
      <c r="O1766" t="s">
        <v>5249</v>
      </c>
    </row>
    <row r="1767" spans="1:20" x14ac:dyDescent="0.25">
      <c r="A1767" t="str">
        <f>"3061351"</f>
        <v>3061351</v>
      </c>
      <c r="B1767" t="s">
        <v>5251</v>
      </c>
      <c r="C1767" t="str">
        <f>"82515218"</f>
        <v>82515218</v>
      </c>
      <c r="D1767" t="s">
        <v>5252</v>
      </c>
      <c r="E1767" t="s">
        <v>5253</v>
      </c>
      <c r="F1767" t="s">
        <v>5254</v>
      </c>
      <c r="I1767" t="s">
        <v>184</v>
      </c>
      <c r="J1767" t="s">
        <v>30</v>
      </c>
      <c r="K1767" t="s">
        <v>185</v>
      </c>
      <c r="M1767" t="s">
        <v>32</v>
      </c>
      <c r="N1767" t="str">
        <f>"7/30/2004 12:00:00 AM"</f>
        <v>7/30/2004 12:00:00 AM</v>
      </c>
      <c r="O1767" t="s">
        <v>5252</v>
      </c>
      <c r="T1767" t="s">
        <v>5253</v>
      </c>
    </row>
    <row r="1768" spans="1:20" x14ac:dyDescent="0.25">
      <c r="A1768" t="str">
        <f>"3061353"</f>
        <v>3061353</v>
      </c>
      <c r="B1768" t="s">
        <v>5255</v>
      </c>
      <c r="C1768" t="str">
        <f>"82529897"</f>
        <v>82529897</v>
      </c>
      <c r="D1768" t="s">
        <v>5256</v>
      </c>
      <c r="F1768" t="s">
        <v>5257</v>
      </c>
      <c r="I1768" t="s">
        <v>184</v>
      </c>
      <c r="J1768" t="s">
        <v>30</v>
      </c>
      <c r="K1768" t="s">
        <v>185</v>
      </c>
      <c r="M1768" t="s">
        <v>32</v>
      </c>
      <c r="N1768" t="str">
        <f>"7/28/2008 12:00:00 AM"</f>
        <v>7/28/2008 12:00:00 AM</v>
      </c>
      <c r="O1768" t="s">
        <v>5256</v>
      </c>
    </row>
    <row r="1769" spans="1:20" x14ac:dyDescent="0.25">
      <c r="A1769" t="str">
        <f>"3061346"</f>
        <v>3061346</v>
      </c>
      <c r="B1769" t="s">
        <v>5258</v>
      </c>
      <c r="C1769" t="str">
        <f>"82526775"</f>
        <v>82526775</v>
      </c>
      <c r="D1769" t="s">
        <v>5259</v>
      </c>
      <c r="E1769" t="s">
        <v>5260</v>
      </c>
      <c r="F1769" t="s">
        <v>5261</v>
      </c>
      <c r="I1769" t="s">
        <v>184</v>
      </c>
      <c r="J1769" t="s">
        <v>30</v>
      </c>
      <c r="K1769" t="s">
        <v>185</v>
      </c>
      <c r="M1769" t="s">
        <v>32</v>
      </c>
      <c r="N1769" t="str">
        <f>"1/22/2010 12:00:00 AM"</f>
        <v>1/22/2010 12:00:00 AM</v>
      </c>
      <c r="O1769" t="s">
        <v>5259</v>
      </c>
      <c r="T1769" t="s">
        <v>5260</v>
      </c>
    </row>
    <row r="1770" spans="1:20" x14ac:dyDescent="0.25">
      <c r="A1770" t="str">
        <f>"3061347"</f>
        <v>3061347</v>
      </c>
      <c r="B1770" t="s">
        <v>5262</v>
      </c>
      <c r="C1770" t="str">
        <f>"82520397"</f>
        <v>82520397</v>
      </c>
      <c r="D1770" t="s">
        <v>5263</v>
      </c>
      <c r="E1770" t="s">
        <v>5264</v>
      </c>
      <c r="F1770" t="s">
        <v>5265</v>
      </c>
      <c r="I1770" t="s">
        <v>184</v>
      </c>
      <c r="J1770" t="s">
        <v>30</v>
      </c>
      <c r="K1770" t="s">
        <v>5266</v>
      </c>
      <c r="M1770" t="s">
        <v>32</v>
      </c>
      <c r="N1770" t="str">
        <f>"2/8/2005 12:00:00 AM"</f>
        <v>2/8/2005 12:00:00 AM</v>
      </c>
      <c r="O1770" t="s">
        <v>5263</v>
      </c>
      <c r="T1770" t="s">
        <v>5264</v>
      </c>
    </row>
    <row r="1771" spans="1:20" x14ac:dyDescent="0.25">
      <c r="A1771" t="str">
        <f>"3063882"</f>
        <v>3063882</v>
      </c>
      <c r="B1771" t="s">
        <v>5267</v>
      </c>
      <c r="C1771" t="str">
        <f>"60062000"</f>
        <v>60062000</v>
      </c>
      <c r="D1771" t="s">
        <v>4884</v>
      </c>
      <c r="F1771" t="s">
        <v>4885</v>
      </c>
      <c r="I1771" t="s">
        <v>184</v>
      </c>
      <c r="J1771" t="s">
        <v>30</v>
      </c>
      <c r="K1771" t="s">
        <v>185</v>
      </c>
      <c r="M1771" t="s">
        <v>32</v>
      </c>
      <c r="N1771" t="str">
        <f>"6/26/2003 12:00:00 AM"</f>
        <v>6/26/2003 12:00:00 AM</v>
      </c>
      <c r="O1771" t="s">
        <v>4884</v>
      </c>
    </row>
    <row r="1772" spans="1:20" x14ac:dyDescent="0.25">
      <c r="A1772" t="str">
        <f>"3063976"</f>
        <v>3063976</v>
      </c>
      <c r="B1772" t="s">
        <v>5268</v>
      </c>
      <c r="C1772" t="str">
        <f>"2508000"</f>
        <v>2508000</v>
      </c>
      <c r="D1772" t="s">
        <v>4905</v>
      </c>
      <c r="E1772" t="s">
        <v>4906</v>
      </c>
      <c r="F1772" t="s">
        <v>4907</v>
      </c>
      <c r="I1772" t="s">
        <v>184</v>
      </c>
      <c r="J1772" t="s">
        <v>30</v>
      </c>
      <c r="K1772" t="s">
        <v>185</v>
      </c>
      <c r="M1772" t="s">
        <v>32</v>
      </c>
      <c r="N1772" t="str">
        <f>"4/29/2002 12:00:00 AM"</f>
        <v>4/29/2002 12:00:00 AM</v>
      </c>
      <c r="O1772" t="s">
        <v>4905</v>
      </c>
      <c r="T1772" t="s">
        <v>4906</v>
      </c>
    </row>
    <row r="1773" spans="1:20" x14ac:dyDescent="0.25">
      <c r="A1773" t="str">
        <f>"3063977"</f>
        <v>3063977</v>
      </c>
      <c r="B1773" t="s">
        <v>5269</v>
      </c>
      <c r="C1773" t="str">
        <f>"82518027"</f>
        <v>82518027</v>
      </c>
      <c r="D1773" t="s">
        <v>5270</v>
      </c>
      <c r="F1773" t="s">
        <v>5271</v>
      </c>
      <c r="I1773" t="s">
        <v>184</v>
      </c>
      <c r="J1773" t="s">
        <v>30</v>
      </c>
      <c r="K1773" t="s">
        <v>185</v>
      </c>
      <c r="M1773" t="s">
        <v>32</v>
      </c>
      <c r="N1773" t="str">
        <f>"7/30/2003 12:00:00 AM"</f>
        <v>7/30/2003 12:00:00 AM</v>
      </c>
      <c r="O1773" t="s">
        <v>5270</v>
      </c>
    </row>
    <row r="1774" spans="1:20" x14ac:dyDescent="0.25">
      <c r="A1774" t="str">
        <f>"3063997"</f>
        <v>3063997</v>
      </c>
      <c r="B1774" t="s">
        <v>5272</v>
      </c>
      <c r="C1774" t="str">
        <f>"26320000"</f>
        <v>26320000</v>
      </c>
      <c r="D1774" t="s">
        <v>4935</v>
      </c>
      <c r="E1774" t="s">
        <v>4936</v>
      </c>
      <c r="F1774" t="s">
        <v>4937</v>
      </c>
      <c r="I1774" t="s">
        <v>184</v>
      </c>
      <c r="J1774" t="s">
        <v>30</v>
      </c>
      <c r="K1774" t="s">
        <v>185</v>
      </c>
      <c r="M1774" t="s">
        <v>32</v>
      </c>
      <c r="N1774" t="str">
        <f>"4/29/2002 12:00:00 AM"</f>
        <v>4/29/2002 12:00:00 AM</v>
      </c>
      <c r="O1774" t="s">
        <v>4935</v>
      </c>
      <c r="T1774" t="s">
        <v>4936</v>
      </c>
    </row>
    <row r="1775" spans="1:20" x14ac:dyDescent="0.25">
      <c r="A1775" t="str">
        <f>"3063934"</f>
        <v>3063934</v>
      </c>
      <c r="B1775" t="s">
        <v>5273</v>
      </c>
      <c r="C1775" t="str">
        <f>"82523549"</f>
        <v>82523549</v>
      </c>
      <c r="D1775" t="s">
        <v>5274</v>
      </c>
      <c r="E1775" t="s">
        <v>5275</v>
      </c>
      <c r="F1775" t="s">
        <v>5276</v>
      </c>
      <c r="I1775" t="s">
        <v>184</v>
      </c>
      <c r="J1775" t="s">
        <v>30</v>
      </c>
      <c r="K1775" t="s">
        <v>185</v>
      </c>
      <c r="M1775" t="s">
        <v>32</v>
      </c>
      <c r="N1775" t="str">
        <f>"1/3/2005 12:00:00 AM"</f>
        <v>1/3/2005 12:00:00 AM</v>
      </c>
      <c r="O1775" t="s">
        <v>5274</v>
      </c>
      <c r="T1775" t="s">
        <v>5275</v>
      </c>
    </row>
    <row r="1776" spans="1:20" x14ac:dyDescent="0.25">
      <c r="A1776" t="str">
        <f>"3043953"</f>
        <v>3043953</v>
      </c>
      <c r="B1776" t="s">
        <v>5277</v>
      </c>
      <c r="C1776" t="str">
        <f>"82519413"</f>
        <v>82519413</v>
      </c>
      <c r="D1776" t="s">
        <v>4996</v>
      </c>
      <c r="E1776" t="s">
        <v>4997</v>
      </c>
      <c r="F1776" t="s">
        <v>4998</v>
      </c>
      <c r="I1776" t="s">
        <v>184</v>
      </c>
      <c r="J1776" t="s">
        <v>30</v>
      </c>
      <c r="K1776" t="s">
        <v>4999</v>
      </c>
      <c r="M1776" t="s">
        <v>32</v>
      </c>
      <c r="N1776" t="str">
        <f>"1/21/2010 12:00:00 AM"</f>
        <v>1/21/2010 12:00:00 AM</v>
      </c>
      <c r="O1776" t="s">
        <v>4996</v>
      </c>
      <c r="T1776" t="s">
        <v>4997</v>
      </c>
    </row>
    <row r="1777" spans="1:20" x14ac:dyDescent="0.25">
      <c r="A1777" t="str">
        <f>"3040671"</f>
        <v>3040671</v>
      </c>
      <c r="B1777" t="s">
        <v>5278</v>
      </c>
      <c r="C1777" t="str">
        <f>"82523884"</f>
        <v>82523884</v>
      </c>
      <c r="D1777" t="s">
        <v>5279</v>
      </c>
      <c r="F1777" t="s">
        <v>5280</v>
      </c>
      <c r="I1777" t="s">
        <v>29</v>
      </c>
      <c r="J1777" t="s">
        <v>30</v>
      </c>
      <c r="K1777" t="s">
        <v>5281</v>
      </c>
      <c r="M1777" t="s">
        <v>32</v>
      </c>
      <c r="N1777" t="str">
        <f>"2/8/2010 12:00:00 AM"</f>
        <v>2/8/2010 12:00:00 AM</v>
      </c>
      <c r="O1777" t="s">
        <v>5279</v>
      </c>
    </row>
    <row r="1778" spans="1:20" x14ac:dyDescent="0.25">
      <c r="A1778" t="str">
        <f>"3060813"</f>
        <v>3060813</v>
      </c>
      <c r="B1778" t="s">
        <v>5282</v>
      </c>
      <c r="C1778" t="str">
        <f>"46033200"</f>
        <v>46033200</v>
      </c>
      <c r="D1778" t="s">
        <v>5283</v>
      </c>
      <c r="F1778" t="s">
        <v>5284</v>
      </c>
      <c r="I1778" t="s">
        <v>184</v>
      </c>
      <c r="J1778" t="s">
        <v>30</v>
      </c>
      <c r="K1778" t="s">
        <v>5026</v>
      </c>
      <c r="M1778" t="s">
        <v>32</v>
      </c>
      <c r="N1778" t="str">
        <f>"3/7/2005 12:00:00 AM"</f>
        <v>3/7/2005 12:00:00 AM</v>
      </c>
      <c r="O1778" t="s">
        <v>5283</v>
      </c>
    </row>
    <row r="1779" spans="1:20" x14ac:dyDescent="0.25">
      <c r="A1779" t="str">
        <f>"3061388"</f>
        <v>3061388</v>
      </c>
      <c r="B1779" t="s">
        <v>5285</v>
      </c>
      <c r="C1779" t="str">
        <f>"73460720"</f>
        <v>73460720</v>
      </c>
      <c r="D1779" t="s">
        <v>5286</v>
      </c>
      <c r="F1779" t="s">
        <v>5287</v>
      </c>
      <c r="I1779" t="s">
        <v>184</v>
      </c>
      <c r="J1779" t="s">
        <v>30</v>
      </c>
      <c r="K1779" t="s">
        <v>185</v>
      </c>
      <c r="M1779" t="s">
        <v>32</v>
      </c>
      <c r="N1779" t="str">
        <f>"6/18/2004 12:00:00 AM"</f>
        <v>6/18/2004 12:00:00 AM</v>
      </c>
      <c r="O1779" t="s">
        <v>5286</v>
      </c>
    </row>
    <row r="1780" spans="1:20" x14ac:dyDescent="0.25">
      <c r="A1780" t="str">
        <f>"3061389"</f>
        <v>3061389</v>
      </c>
      <c r="B1780" t="s">
        <v>5288</v>
      </c>
      <c r="C1780" t="str">
        <f>"30530500"</f>
        <v>30530500</v>
      </c>
      <c r="D1780" t="s">
        <v>5289</v>
      </c>
      <c r="E1780" t="s">
        <v>5290</v>
      </c>
      <c r="F1780" t="s">
        <v>5291</v>
      </c>
      <c r="I1780" t="s">
        <v>184</v>
      </c>
      <c r="J1780" t="s">
        <v>30</v>
      </c>
      <c r="K1780" t="s">
        <v>5292</v>
      </c>
      <c r="M1780" t="s">
        <v>32</v>
      </c>
      <c r="N1780" t="str">
        <f>"1/20/2010 12:00:00 AM"</f>
        <v>1/20/2010 12:00:00 AM</v>
      </c>
      <c r="O1780" t="s">
        <v>5289</v>
      </c>
      <c r="T1780" t="s">
        <v>5290</v>
      </c>
    </row>
    <row r="1781" spans="1:20" x14ac:dyDescent="0.25">
      <c r="A1781" t="str">
        <f>"3061390"</f>
        <v>3061390</v>
      </c>
      <c r="B1781" t="s">
        <v>5293</v>
      </c>
      <c r="C1781" t="str">
        <f>"82527029"</f>
        <v>82527029</v>
      </c>
      <c r="D1781" t="s">
        <v>5294</v>
      </c>
      <c r="F1781" t="s">
        <v>5295</v>
      </c>
      <c r="I1781" t="s">
        <v>184</v>
      </c>
      <c r="J1781" t="s">
        <v>30</v>
      </c>
      <c r="K1781" t="s">
        <v>185</v>
      </c>
      <c r="M1781" t="s">
        <v>32</v>
      </c>
      <c r="N1781" t="str">
        <f>"10/26/2006 12:00:00 AM"</f>
        <v>10/26/2006 12:00:00 AM</v>
      </c>
      <c r="O1781" t="s">
        <v>5294</v>
      </c>
    </row>
    <row r="1782" spans="1:20" x14ac:dyDescent="0.25">
      <c r="A1782" t="str">
        <f>"3061392"</f>
        <v>3061392</v>
      </c>
      <c r="B1782" t="s">
        <v>5296</v>
      </c>
      <c r="C1782" t="str">
        <f>"82523443"</f>
        <v>82523443</v>
      </c>
      <c r="D1782" t="s">
        <v>5297</v>
      </c>
      <c r="F1782" t="s">
        <v>5298</v>
      </c>
      <c r="I1782" t="s">
        <v>184</v>
      </c>
      <c r="J1782" t="s">
        <v>30</v>
      </c>
      <c r="K1782" t="s">
        <v>5299</v>
      </c>
      <c r="M1782" t="s">
        <v>32</v>
      </c>
      <c r="N1782" t="str">
        <f>"2/9/2005 12:00:00 AM"</f>
        <v>2/9/2005 12:00:00 AM</v>
      </c>
      <c r="O1782" t="s">
        <v>5297</v>
      </c>
    </row>
    <row r="1783" spans="1:20" x14ac:dyDescent="0.25">
      <c r="A1783" t="str">
        <f>"3061393"</f>
        <v>3061393</v>
      </c>
      <c r="B1783" t="s">
        <v>5300</v>
      </c>
      <c r="C1783" t="str">
        <f>"50876000"</f>
        <v>50876000</v>
      </c>
      <c r="D1783" t="s">
        <v>5301</v>
      </c>
      <c r="E1783" t="s">
        <v>5302</v>
      </c>
      <c r="F1783" t="s">
        <v>5303</v>
      </c>
      <c r="I1783" t="s">
        <v>184</v>
      </c>
      <c r="J1783" t="s">
        <v>30</v>
      </c>
      <c r="K1783" t="s">
        <v>5292</v>
      </c>
      <c r="M1783" t="s">
        <v>32</v>
      </c>
      <c r="N1783" t="str">
        <f>"2/13/2007 12:00:00 AM"</f>
        <v>2/13/2007 12:00:00 AM</v>
      </c>
      <c r="O1783" t="s">
        <v>5301</v>
      </c>
      <c r="T1783" t="s">
        <v>5302</v>
      </c>
    </row>
    <row r="1784" spans="1:20" x14ac:dyDescent="0.25">
      <c r="A1784" t="str">
        <f>"3062034"</f>
        <v>3062034</v>
      </c>
      <c r="B1784" t="s">
        <v>5304</v>
      </c>
      <c r="C1784" t="str">
        <f>"38536000"</f>
        <v>38536000</v>
      </c>
      <c r="D1784" t="s">
        <v>5305</v>
      </c>
      <c r="E1784" t="s">
        <v>5306</v>
      </c>
      <c r="F1784" t="s">
        <v>5307</v>
      </c>
      <c r="I1784" t="s">
        <v>184</v>
      </c>
      <c r="J1784" t="s">
        <v>30</v>
      </c>
      <c r="K1784" t="s">
        <v>185</v>
      </c>
      <c r="M1784" t="s">
        <v>32</v>
      </c>
      <c r="N1784" t="str">
        <f>"1/22/2004 12:00:00 AM"</f>
        <v>1/22/2004 12:00:00 AM</v>
      </c>
      <c r="O1784" t="s">
        <v>5305</v>
      </c>
      <c r="T1784" t="s">
        <v>5306</v>
      </c>
    </row>
    <row r="1785" spans="1:20" x14ac:dyDescent="0.25">
      <c r="A1785" t="str">
        <f>"3061462"</f>
        <v>3061462</v>
      </c>
      <c r="B1785" t="s">
        <v>5308</v>
      </c>
      <c r="C1785" t="str">
        <f>"50087000"</f>
        <v>50087000</v>
      </c>
      <c r="D1785" t="s">
        <v>5309</v>
      </c>
      <c r="E1785" t="s">
        <v>5310</v>
      </c>
      <c r="F1785" t="s">
        <v>5311</v>
      </c>
      <c r="I1785" t="s">
        <v>184</v>
      </c>
      <c r="J1785" t="s">
        <v>30</v>
      </c>
      <c r="K1785" t="s">
        <v>5312</v>
      </c>
      <c r="M1785" t="s">
        <v>32</v>
      </c>
      <c r="N1785" t="str">
        <f>"1/20/2006 12:00:00 AM"</f>
        <v>1/20/2006 12:00:00 AM</v>
      </c>
      <c r="O1785" t="s">
        <v>5309</v>
      </c>
      <c r="T1785" t="s">
        <v>5310</v>
      </c>
    </row>
    <row r="1786" spans="1:20" x14ac:dyDescent="0.25">
      <c r="A1786" t="str">
        <f>"3061396"</f>
        <v>3061396</v>
      </c>
      <c r="B1786" t="s">
        <v>5313</v>
      </c>
      <c r="C1786" t="str">
        <f>"63368880"</f>
        <v>63368880</v>
      </c>
      <c r="D1786" t="s">
        <v>5314</v>
      </c>
      <c r="E1786" t="s">
        <v>5315</v>
      </c>
      <c r="F1786" t="s">
        <v>5316</v>
      </c>
      <c r="I1786" t="s">
        <v>184</v>
      </c>
      <c r="J1786" t="s">
        <v>30</v>
      </c>
      <c r="K1786" t="s">
        <v>185</v>
      </c>
      <c r="M1786" t="s">
        <v>32</v>
      </c>
      <c r="N1786" t="str">
        <f>"4/29/2004 12:00:00 AM"</f>
        <v>4/29/2004 12:00:00 AM</v>
      </c>
      <c r="O1786" t="s">
        <v>5314</v>
      </c>
      <c r="T1786" t="s">
        <v>5315</v>
      </c>
    </row>
    <row r="1787" spans="1:20" x14ac:dyDescent="0.25">
      <c r="A1787" t="str">
        <f>"3061397"</f>
        <v>3061397</v>
      </c>
      <c r="B1787" t="s">
        <v>5317</v>
      </c>
      <c r="C1787" t="str">
        <f>"42504500"</f>
        <v>42504500</v>
      </c>
      <c r="D1787" t="s">
        <v>5318</v>
      </c>
      <c r="E1787" t="s">
        <v>5319</v>
      </c>
      <c r="F1787" t="s">
        <v>5320</v>
      </c>
      <c r="I1787" t="s">
        <v>184</v>
      </c>
      <c r="J1787" t="s">
        <v>30</v>
      </c>
      <c r="K1787" t="s">
        <v>5321</v>
      </c>
      <c r="M1787" t="s">
        <v>32</v>
      </c>
      <c r="N1787" t="str">
        <f>"11/10/2005 12:00:00 AM"</f>
        <v>11/10/2005 12:00:00 AM</v>
      </c>
      <c r="O1787" t="s">
        <v>5318</v>
      </c>
      <c r="T1787" t="s">
        <v>5319</v>
      </c>
    </row>
    <row r="1788" spans="1:20" x14ac:dyDescent="0.25">
      <c r="A1788" t="str">
        <f>"3060806"</f>
        <v>3060806</v>
      </c>
      <c r="B1788" t="s">
        <v>5322</v>
      </c>
      <c r="C1788" t="str">
        <f>"82525433"</f>
        <v>82525433</v>
      </c>
      <c r="D1788" t="s">
        <v>5323</v>
      </c>
      <c r="F1788" t="s">
        <v>5324</v>
      </c>
      <c r="I1788" t="s">
        <v>184</v>
      </c>
      <c r="J1788" t="s">
        <v>30</v>
      </c>
      <c r="K1788" t="s">
        <v>185</v>
      </c>
      <c r="M1788" t="s">
        <v>32</v>
      </c>
      <c r="N1788" t="str">
        <f>"12/2/2005 12:00:00 AM"</f>
        <v>12/2/2005 12:00:00 AM</v>
      </c>
      <c r="O1788" t="s">
        <v>5323</v>
      </c>
    </row>
    <row r="1789" spans="1:20" x14ac:dyDescent="0.25">
      <c r="A1789" t="str">
        <f>"3061400"</f>
        <v>3061400</v>
      </c>
      <c r="B1789" t="s">
        <v>5325</v>
      </c>
      <c r="C1789" t="str">
        <f>"59216000"</f>
        <v>59216000</v>
      </c>
      <c r="D1789" t="s">
        <v>5326</v>
      </c>
      <c r="E1789" t="s">
        <v>5327</v>
      </c>
      <c r="F1789" t="s">
        <v>5328</v>
      </c>
      <c r="I1789" t="s">
        <v>184</v>
      </c>
      <c r="J1789" t="s">
        <v>30</v>
      </c>
      <c r="K1789" t="s">
        <v>5329</v>
      </c>
      <c r="M1789" t="s">
        <v>32</v>
      </c>
      <c r="N1789" t="str">
        <f>"4/29/2002 12:00:00 AM"</f>
        <v>4/29/2002 12:00:00 AM</v>
      </c>
      <c r="O1789" t="s">
        <v>5326</v>
      </c>
      <c r="T1789" t="s">
        <v>5327</v>
      </c>
    </row>
    <row r="1790" spans="1:20" x14ac:dyDescent="0.25">
      <c r="A1790" t="str">
        <f>"3061401"</f>
        <v>3061401</v>
      </c>
      <c r="B1790" t="s">
        <v>5330</v>
      </c>
      <c r="C1790" t="str">
        <f>"18516000"</f>
        <v>18516000</v>
      </c>
      <c r="D1790" t="s">
        <v>5331</v>
      </c>
      <c r="E1790" t="s">
        <v>5332</v>
      </c>
      <c r="F1790" t="s">
        <v>5333</v>
      </c>
      <c r="I1790" t="s">
        <v>184</v>
      </c>
      <c r="J1790" t="s">
        <v>30</v>
      </c>
      <c r="K1790" t="s">
        <v>5334</v>
      </c>
      <c r="M1790" t="s">
        <v>32</v>
      </c>
      <c r="N1790" t="str">
        <f>"1/19/2005 12:00:00 AM"</f>
        <v>1/19/2005 12:00:00 AM</v>
      </c>
      <c r="O1790" t="s">
        <v>5331</v>
      </c>
      <c r="T1790" t="s">
        <v>5332</v>
      </c>
    </row>
    <row r="1791" spans="1:20" x14ac:dyDescent="0.25">
      <c r="A1791" t="str">
        <f>"3061403"</f>
        <v>3061403</v>
      </c>
      <c r="B1791" t="s">
        <v>5335</v>
      </c>
      <c r="C1791" t="str">
        <f>"15968000"</f>
        <v>15968000</v>
      </c>
      <c r="D1791" t="s">
        <v>5336</v>
      </c>
      <c r="E1791" t="s">
        <v>5337</v>
      </c>
      <c r="F1791" t="s">
        <v>5338</v>
      </c>
      <c r="I1791" t="s">
        <v>184</v>
      </c>
      <c r="J1791" t="s">
        <v>30</v>
      </c>
      <c r="K1791" t="s">
        <v>5339</v>
      </c>
      <c r="M1791" t="s">
        <v>32</v>
      </c>
      <c r="N1791" t="str">
        <f>"1/11/2010 12:00:00 AM"</f>
        <v>1/11/2010 12:00:00 AM</v>
      </c>
      <c r="O1791" t="s">
        <v>5336</v>
      </c>
      <c r="T1791" t="s">
        <v>5337</v>
      </c>
    </row>
    <row r="1792" spans="1:20" x14ac:dyDescent="0.25">
      <c r="A1792" t="str">
        <f>"3057143"</f>
        <v>3057143</v>
      </c>
      <c r="B1792" t="s">
        <v>5340</v>
      </c>
      <c r="C1792" t="str">
        <f>"15968000"</f>
        <v>15968000</v>
      </c>
      <c r="D1792" t="s">
        <v>5336</v>
      </c>
      <c r="E1792" t="s">
        <v>5337</v>
      </c>
      <c r="F1792" t="s">
        <v>5338</v>
      </c>
      <c r="I1792" t="s">
        <v>184</v>
      </c>
      <c r="J1792" t="s">
        <v>30</v>
      </c>
      <c r="K1792" t="s">
        <v>5339</v>
      </c>
      <c r="M1792" t="s">
        <v>32</v>
      </c>
      <c r="N1792" t="str">
        <f>"1/11/2010 12:00:00 AM"</f>
        <v>1/11/2010 12:00:00 AM</v>
      </c>
      <c r="O1792" t="s">
        <v>5336</v>
      </c>
      <c r="T1792" t="s">
        <v>5337</v>
      </c>
    </row>
    <row r="1793" spans="1:20" x14ac:dyDescent="0.25">
      <c r="A1793" t="str">
        <f>"3061404"</f>
        <v>3061404</v>
      </c>
      <c r="B1793" t="s">
        <v>5341</v>
      </c>
      <c r="C1793" t="str">
        <f>"82517725"</f>
        <v>82517725</v>
      </c>
      <c r="D1793" t="s">
        <v>5342</v>
      </c>
      <c r="E1793" t="s">
        <v>5343</v>
      </c>
      <c r="F1793" t="s">
        <v>5344</v>
      </c>
      <c r="I1793" t="s">
        <v>184</v>
      </c>
      <c r="J1793" t="s">
        <v>30</v>
      </c>
      <c r="K1793" t="s">
        <v>185</v>
      </c>
      <c r="M1793" t="s">
        <v>32</v>
      </c>
      <c r="N1793" t="str">
        <f>"2/11/2002 12:00:00 AM"</f>
        <v>2/11/2002 12:00:00 AM</v>
      </c>
      <c r="O1793" t="s">
        <v>5342</v>
      </c>
      <c r="T1793" t="s">
        <v>5343</v>
      </c>
    </row>
    <row r="1794" spans="1:20" x14ac:dyDescent="0.25">
      <c r="A1794" t="str">
        <f>"3061440"</f>
        <v>3061440</v>
      </c>
      <c r="B1794" t="s">
        <v>5345</v>
      </c>
      <c r="C1794" t="str">
        <f>"14369000"</f>
        <v>14369000</v>
      </c>
      <c r="D1794" t="s">
        <v>5346</v>
      </c>
      <c r="E1794" t="s">
        <v>5347</v>
      </c>
      <c r="F1794" t="s">
        <v>5348</v>
      </c>
      <c r="I1794" t="s">
        <v>184</v>
      </c>
      <c r="J1794" t="s">
        <v>30</v>
      </c>
      <c r="K1794" t="s">
        <v>5349</v>
      </c>
      <c r="M1794" t="s">
        <v>32</v>
      </c>
      <c r="N1794" t="str">
        <f>"1/7/2010 12:00:00 AM"</f>
        <v>1/7/2010 12:00:00 AM</v>
      </c>
      <c r="O1794" t="s">
        <v>5346</v>
      </c>
      <c r="T1794" t="s">
        <v>5347</v>
      </c>
    </row>
    <row r="1795" spans="1:20" x14ac:dyDescent="0.25">
      <c r="A1795" t="str">
        <f>"3061442"</f>
        <v>3061442</v>
      </c>
      <c r="B1795" t="s">
        <v>5350</v>
      </c>
      <c r="C1795" t="str">
        <f>"4382500"</f>
        <v>4382500</v>
      </c>
      <c r="D1795" t="s">
        <v>5351</v>
      </c>
      <c r="E1795" t="s">
        <v>5352</v>
      </c>
      <c r="F1795" t="s">
        <v>5353</v>
      </c>
      <c r="I1795" t="s">
        <v>184</v>
      </c>
      <c r="J1795" t="s">
        <v>30</v>
      </c>
      <c r="K1795" t="s">
        <v>185</v>
      </c>
      <c r="M1795" t="s">
        <v>32</v>
      </c>
      <c r="N1795" t="str">
        <f>"10/30/2006 12:00:00 AM"</f>
        <v>10/30/2006 12:00:00 AM</v>
      </c>
      <c r="O1795" t="s">
        <v>5351</v>
      </c>
      <c r="T1795" t="s">
        <v>5352</v>
      </c>
    </row>
    <row r="1796" spans="1:20" x14ac:dyDescent="0.25">
      <c r="A1796" t="str">
        <f>"3062684"</f>
        <v>3062684</v>
      </c>
      <c r="B1796" t="s">
        <v>5354</v>
      </c>
      <c r="C1796" t="str">
        <f>"11059500"</f>
        <v>11059500</v>
      </c>
      <c r="D1796" t="s">
        <v>5355</v>
      </c>
      <c r="E1796" t="s">
        <v>5356</v>
      </c>
      <c r="F1796" t="s">
        <v>5357</v>
      </c>
      <c r="I1796" t="s">
        <v>184</v>
      </c>
      <c r="J1796" t="s">
        <v>30</v>
      </c>
      <c r="K1796" t="s">
        <v>185</v>
      </c>
      <c r="M1796" t="s">
        <v>32</v>
      </c>
      <c r="N1796" t="str">
        <f>"6/13/2003 12:00:00 AM"</f>
        <v>6/13/2003 12:00:00 AM</v>
      </c>
      <c r="O1796" t="s">
        <v>5355</v>
      </c>
      <c r="T1796" t="s">
        <v>5356</v>
      </c>
    </row>
    <row r="1797" spans="1:20" x14ac:dyDescent="0.25">
      <c r="A1797" t="str">
        <f>"3065121"</f>
        <v>3065121</v>
      </c>
      <c r="B1797" t="s">
        <v>5358</v>
      </c>
      <c r="C1797" t="str">
        <f>"82527254"</f>
        <v>82527254</v>
      </c>
      <c r="D1797" t="s">
        <v>5359</v>
      </c>
      <c r="E1797" t="s">
        <v>5360</v>
      </c>
      <c r="F1797" t="s">
        <v>5361</v>
      </c>
      <c r="I1797" t="s">
        <v>184</v>
      </c>
      <c r="J1797" t="s">
        <v>30</v>
      </c>
      <c r="K1797" t="s">
        <v>185</v>
      </c>
      <c r="M1797" t="s">
        <v>32</v>
      </c>
      <c r="N1797" t="str">
        <f>"12/12/2006 12:00:00 AM"</f>
        <v>12/12/2006 12:00:00 AM</v>
      </c>
      <c r="O1797" t="s">
        <v>5359</v>
      </c>
      <c r="T1797" t="s">
        <v>5360</v>
      </c>
    </row>
    <row r="1798" spans="1:20" x14ac:dyDescent="0.25">
      <c r="A1798" t="str">
        <f>"3043929"</f>
        <v>3043929</v>
      </c>
      <c r="B1798" t="s">
        <v>5362</v>
      </c>
      <c r="C1798" t="str">
        <f>"52686000"</f>
        <v>52686000</v>
      </c>
      <c r="D1798" t="s">
        <v>5084</v>
      </c>
      <c r="F1798" t="s">
        <v>5085</v>
      </c>
      <c r="I1798" t="s">
        <v>184</v>
      </c>
      <c r="J1798" t="s">
        <v>30</v>
      </c>
      <c r="K1798" t="s">
        <v>185</v>
      </c>
      <c r="M1798" t="s">
        <v>32</v>
      </c>
      <c r="N1798" t="str">
        <f>"3/11/2004 12:00:00 AM"</f>
        <v>3/11/2004 12:00:00 AM</v>
      </c>
      <c r="O1798" t="s">
        <v>5084</v>
      </c>
    </row>
    <row r="1799" spans="1:20" x14ac:dyDescent="0.25">
      <c r="A1799" t="str">
        <f>"3077193"</f>
        <v>3077193</v>
      </c>
      <c r="B1799" t="s">
        <v>5363</v>
      </c>
      <c r="C1799" t="str">
        <f>"52686000"</f>
        <v>52686000</v>
      </c>
      <c r="D1799" t="s">
        <v>5084</v>
      </c>
      <c r="F1799" t="s">
        <v>5085</v>
      </c>
      <c r="I1799" t="s">
        <v>184</v>
      </c>
      <c r="J1799" t="s">
        <v>30</v>
      </c>
      <c r="K1799" t="s">
        <v>185</v>
      </c>
      <c r="M1799" t="s">
        <v>32</v>
      </c>
      <c r="N1799" t="str">
        <f>"3/11/2004 12:00:00 AM"</f>
        <v>3/11/2004 12:00:00 AM</v>
      </c>
      <c r="O1799" t="s">
        <v>5084</v>
      </c>
    </row>
    <row r="1800" spans="1:20" x14ac:dyDescent="0.25">
      <c r="A1800" t="str">
        <f>"3044229"</f>
        <v>3044229</v>
      </c>
      <c r="B1800" t="s">
        <v>5364</v>
      </c>
      <c r="C1800" t="str">
        <f>"18584000"</f>
        <v>18584000</v>
      </c>
      <c r="D1800" t="s">
        <v>4996</v>
      </c>
      <c r="F1800" t="s">
        <v>4998</v>
      </c>
      <c r="I1800" t="s">
        <v>184</v>
      </c>
      <c r="J1800" t="s">
        <v>30</v>
      </c>
      <c r="K1800" t="s">
        <v>4999</v>
      </c>
      <c r="M1800" t="s">
        <v>32</v>
      </c>
      <c r="N1800" t="str">
        <f>"1/30/2006 12:00:00 AM"</f>
        <v>1/30/2006 12:00:00 AM</v>
      </c>
      <c r="O1800" t="s">
        <v>4996</v>
      </c>
      <c r="T1800" t="s">
        <v>4996</v>
      </c>
    </row>
    <row r="1801" spans="1:20" x14ac:dyDescent="0.25">
      <c r="A1801" t="str">
        <f>"3058102"</f>
        <v>3058102</v>
      </c>
      <c r="B1801" t="s">
        <v>5365</v>
      </c>
      <c r="C1801" t="str">
        <f>"82525018"</f>
        <v>82525018</v>
      </c>
      <c r="D1801" t="s">
        <v>5366</v>
      </c>
      <c r="E1801" t="s">
        <v>5367</v>
      </c>
      <c r="F1801" t="s">
        <v>5368</v>
      </c>
      <c r="I1801" t="s">
        <v>184</v>
      </c>
      <c r="J1801" t="s">
        <v>30</v>
      </c>
      <c r="K1801" t="s">
        <v>5369</v>
      </c>
      <c r="M1801" t="s">
        <v>32</v>
      </c>
      <c r="N1801" t="str">
        <f>"1/11/2006 12:00:00 AM"</f>
        <v>1/11/2006 12:00:00 AM</v>
      </c>
      <c r="O1801" t="s">
        <v>5366</v>
      </c>
      <c r="T1801" t="s">
        <v>5367</v>
      </c>
    </row>
    <row r="1802" spans="1:20" x14ac:dyDescent="0.25">
      <c r="A1802" t="str">
        <f>"3058061"</f>
        <v>3058061</v>
      </c>
      <c r="B1802" t="s">
        <v>5370</v>
      </c>
      <c r="C1802" t="str">
        <f>"82523145"</f>
        <v>82523145</v>
      </c>
      <c r="D1802" t="s">
        <v>5371</v>
      </c>
      <c r="E1802" t="s">
        <v>5372</v>
      </c>
      <c r="F1802" t="s">
        <v>5373</v>
      </c>
      <c r="I1802" t="s">
        <v>184</v>
      </c>
      <c r="J1802" t="s">
        <v>30</v>
      </c>
      <c r="K1802" t="s">
        <v>185</v>
      </c>
      <c r="M1802" t="s">
        <v>32</v>
      </c>
      <c r="N1802" t="str">
        <f>"12/1/2005 12:00:00 AM"</f>
        <v>12/1/2005 12:00:00 AM</v>
      </c>
      <c r="O1802" t="s">
        <v>5371</v>
      </c>
      <c r="T1802" t="s">
        <v>5372</v>
      </c>
    </row>
    <row r="1803" spans="1:20" x14ac:dyDescent="0.25">
      <c r="A1803" t="str">
        <f>"3044806"</f>
        <v>3044806</v>
      </c>
      <c r="B1803" t="s">
        <v>5374</v>
      </c>
      <c r="C1803" t="str">
        <f>"82523145"</f>
        <v>82523145</v>
      </c>
      <c r="D1803" t="s">
        <v>5371</v>
      </c>
      <c r="E1803" t="s">
        <v>5372</v>
      </c>
      <c r="F1803" t="s">
        <v>5373</v>
      </c>
      <c r="I1803" t="s">
        <v>184</v>
      </c>
      <c r="J1803" t="s">
        <v>30</v>
      </c>
      <c r="K1803" t="s">
        <v>185</v>
      </c>
      <c r="M1803" t="s">
        <v>32</v>
      </c>
      <c r="N1803" t="str">
        <f>"12/1/2005 12:00:00 AM"</f>
        <v>12/1/2005 12:00:00 AM</v>
      </c>
      <c r="O1803" t="s">
        <v>5371</v>
      </c>
      <c r="T1803" t="s">
        <v>5372</v>
      </c>
    </row>
    <row r="1804" spans="1:20" x14ac:dyDescent="0.25">
      <c r="A1804" t="str">
        <f>"3058084"</f>
        <v>3058084</v>
      </c>
      <c r="B1804" t="s">
        <v>5375</v>
      </c>
      <c r="C1804" t="str">
        <f>"82523161"</f>
        <v>82523161</v>
      </c>
      <c r="D1804" t="s">
        <v>5376</v>
      </c>
      <c r="E1804" t="s">
        <v>5377</v>
      </c>
      <c r="F1804" t="s">
        <v>5378</v>
      </c>
      <c r="I1804" t="s">
        <v>184</v>
      </c>
      <c r="J1804" t="s">
        <v>30</v>
      </c>
      <c r="K1804" t="s">
        <v>5369</v>
      </c>
      <c r="M1804" t="s">
        <v>32</v>
      </c>
      <c r="N1804" t="str">
        <f>"1/25/2005 12:00:00 AM"</f>
        <v>1/25/2005 12:00:00 AM</v>
      </c>
      <c r="O1804" t="s">
        <v>5376</v>
      </c>
      <c r="T1804" t="s">
        <v>5377</v>
      </c>
    </row>
    <row r="1805" spans="1:20" x14ac:dyDescent="0.25">
      <c r="A1805" t="str">
        <f>"3058092"</f>
        <v>3058092</v>
      </c>
      <c r="B1805" t="s">
        <v>5379</v>
      </c>
      <c r="C1805" t="str">
        <f>"82527692"</f>
        <v>82527692</v>
      </c>
      <c r="D1805" t="s">
        <v>5380</v>
      </c>
      <c r="F1805" t="s">
        <v>5381</v>
      </c>
      <c r="I1805" t="s">
        <v>184</v>
      </c>
      <c r="J1805" t="s">
        <v>30</v>
      </c>
      <c r="K1805" t="s">
        <v>185</v>
      </c>
      <c r="M1805" t="s">
        <v>32</v>
      </c>
      <c r="N1805" t="str">
        <f>"3/16/2007 12:00:00 AM"</f>
        <v>3/16/2007 12:00:00 AM</v>
      </c>
      <c r="O1805" t="s">
        <v>5380</v>
      </c>
    </row>
    <row r="1806" spans="1:20" x14ac:dyDescent="0.25">
      <c r="A1806" t="str">
        <f>"3062509"</f>
        <v>3062509</v>
      </c>
      <c r="B1806" t="s">
        <v>5382</v>
      </c>
      <c r="C1806" t="str">
        <f>"53729250"</f>
        <v>53729250</v>
      </c>
      <c r="D1806" t="s">
        <v>5383</v>
      </c>
      <c r="F1806" t="s">
        <v>5384</v>
      </c>
      <c r="I1806" t="s">
        <v>184</v>
      </c>
      <c r="J1806" t="s">
        <v>30</v>
      </c>
      <c r="K1806" t="s">
        <v>185</v>
      </c>
      <c r="M1806" t="s">
        <v>32</v>
      </c>
      <c r="N1806" t="str">
        <f>"3/17/2004 12:00:00 AM"</f>
        <v>3/17/2004 12:00:00 AM</v>
      </c>
      <c r="O1806" t="s">
        <v>5383</v>
      </c>
    </row>
    <row r="1807" spans="1:20" x14ac:dyDescent="0.25">
      <c r="A1807" t="str">
        <f>"3062510"</f>
        <v>3062510</v>
      </c>
      <c r="B1807" t="s">
        <v>5385</v>
      </c>
      <c r="C1807" t="str">
        <f>"82516890"</f>
        <v>82516890</v>
      </c>
      <c r="D1807" t="s">
        <v>5386</v>
      </c>
      <c r="F1807" t="s">
        <v>5387</v>
      </c>
      <c r="I1807" t="s">
        <v>184</v>
      </c>
      <c r="J1807" t="s">
        <v>30</v>
      </c>
      <c r="K1807" t="s">
        <v>185</v>
      </c>
      <c r="M1807" t="s">
        <v>32</v>
      </c>
      <c r="N1807" t="str">
        <f>"5/25/2005 12:00:00 AM"</f>
        <v>5/25/2005 12:00:00 AM</v>
      </c>
      <c r="O1807" t="s">
        <v>5386</v>
      </c>
    </row>
    <row r="1808" spans="1:20" x14ac:dyDescent="0.25">
      <c r="A1808" t="str">
        <f>"3062512"</f>
        <v>3062512</v>
      </c>
      <c r="B1808" t="s">
        <v>5388</v>
      </c>
      <c r="C1808" t="str">
        <f>"82525422"</f>
        <v>82525422</v>
      </c>
      <c r="D1808" t="s">
        <v>5389</v>
      </c>
      <c r="E1808" t="s">
        <v>5390</v>
      </c>
      <c r="F1808" t="s">
        <v>5391</v>
      </c>
      <c r="I1808" t="s">
        <v>184</v>
      </c>
      <c r="J1808" t="s">
        <v>30</v>
      </c>
      <c r="K1808" t="s">
        <v>185</v>
      </c>
      <c r="M1808" t="s">
        <v>32</v>
      </c>
      <c r="N1808" t="str">
        <f>"12/1/2005 12:00:00 AM"</f>
        <v>12/1/2005 12:00:00 AM</v>
      </c>
      <c r="O1808" t="s">
        <v>5389</v>
      </c>
      <c r="T1808" t="s">
        <v>5390</v>
      </c>
    </row>
    <row r="1809" spans="1:20" x14ac:dyDescent="0.25">
      <c r="A1809" t="str">
        <f>"3062491"</f>
        <v>3062491</v>
      </c>
      <c r="B1809" t="s">
        <v>5392</v>
      </c>
      <c r="C1809" t="str">
        <f>"68872000"</f>
        <v>68872000</v>
      </c>
      <c r="D1809" t="s">
        <v>5393</v>
      </c>
      <c r="E1809" t="s">
        <v>5394</v>
      </c>
      <c r="F1809" t="s">
        <v>5395</v>
      </c>
      <c r="I1809" t="s">
        <v>184</v>
      </c>
      <c r="J1809" t="s">
        <v>30</v>
      </c>
      <c r="K1809" t="s">
        <v>185</v>
      </c>
      <c r="M1809" t="s">
        <v>32</v>
      </c>
      <c r="N1809" t="str">
        <f>"5/17/2004 12:00:00 AM"</f>
        <v>5/17/2004 12:00:00 AM</v>
      </c>
      <c r="O1809" t="s">
        <v>5393</v>
      </c>
      <c r="T1809" t="s">
        <v>5394</v>
      </c>
    </row>
    <row r="1810" spans="1:20" x14ac:dyDescent="0.25">
      <c r="A1810" t="str">
        <f>"3058097"</f>
        <v>3058097</v>
      </c>
      <c r="B1810" t="s">
        <v>5396</v>
      </c>
      <c r="C1810" t="str">
        <f>"82524325"</f>
        <v>82524325</v>
      </c>
      <c r="D1810" t="s">
        <v>5397</v>
      </c>
      <c r="E1810" t="s">
        <v>5398</v>
      </c>
      <c r="F1810" t="s">
        <v>5399</v>
      </c>
      <c r="I1810" t="s">
        <v>184</v>
      </c>
      <c r="J1810" t="s">
        <v>30</v>
      </c>
      <c r="K1810" t="s">
        <v>5176</v>
      </c>
      <c r="M1810" t="s">
        <v>32</v>
      </c>
      <c r="N1810" t="str">
        <f>"1/24/2006 12:00:00 AM"</f>
        <v>1/24/2006 12:00:00 AM</v>
      </c>
      <c r="O1810" t="s">
        <v>5397</v>
      </c>
      <c r="T1810" t="s">
        <v>5398</v>
      </c>
    </row>
    <row r="1811" spans="1:20" x14ac:dyDescent="0.25">
      <c r="A1811" t="str">
        <f>"3058098"</f>
        <v>3058098</v>
      </c>
      <c r="B1811" t="s">
        <v>5400</v>
      </c>
      <c r="C1811" t="str">
        <f>"82513158"</f>
        <v>82513158</v>
      </c>
      <c r="D1811" t="s">
        <v>5401</v>
      </c>
      <c r="E1811" t="s">
        <v>5402</v>
      </c>
      <c r="F1811" t="s">
        <v>5403</v>
      </c>
      <c r="I1811" t="s">
        <v>184</v>
      </c>
      <c r="J1811" t="s">
        <v>30</v>
      </c>
      <c r="K1811" t="s">
        <v>5176</v>
      </c>
      <c r="M1811" t="s">
        <v>32</v>
      </c>
      <c r="N1811" t="str">
        <f>"1/12/2007 12:00:00 AM"</f>
        <v>1/12/2007 12:00:00 AM</v>
      </c>
      <c r="O1811" t="s">
        <v>5401</v>
      </c>
      <c r="T1811" t="s">
        <v>5402</v>
      </c>
    </row>
    <row r="1812" spans="1:20" x14ac:dyDescent="0.25">
      <c r="A1812" t="str">
        <f>"3061430"</f>
        <v>3061430</v>
      </c>
      <c r="B1812" t="s">
        <v>5404</v>
      </c>
      <c r="C1812" t="str">
        <f>"82522552"</f>
        <v>82522552</v>
      </c>
      <c r="D1812" t="s">
        <v>5405</v>
      </c>
      <c r="E1812" t="s">
        <v>5406</v>
      </c>
      <c r="F1812" t="s">
        <v>5407</v>
      </c>
      <c r="I1812" t="s">
        <v>184</v>
      </c>
      <c r="J1812" t="s">
        <v>30</v>
      </c>
      <c r="K1812" t="s">
        <v>5408</v>
      </c>
      <c r="M1812" t="s">
        <v>32</v>
      </c>
      <c r="N1812" t="str">
        <f>"3/21/2005 12:00:00 AM"</f>
        <v>3/21/2005 12:00:00 AM</v>
      </c>
      <c r="O1812" t="s">
        <v>5405</v>
      </c>
      <c r="T1812" t="s">
        <v>5406</v>
      </c>
    </row>
    <row r="1813" spans="1:20" x14ac:dyDescent="0.25">
      <c r="A1813" t="str">
        <f>"3067742"</f>
        <v>3067742</v>
      </c>
      <c r="B1813" t="s">
        <v>5409</v>
      </c>
      <c r="C1813" t="str">
        <f>"52131250"</f>
        <v>52131250</v>
      </c>
      <c r="D1813" t="s">
        <v>5410</v>
      </c>
      <c r="E1813" t="s">
        <v>5411</v>
      </c>
      <c r="F1813" t="s">
        <v>5412</v>
      </c>
      <c r="I1813" t="s">
        <v>184</v>
      </c>
      <c r="J1813" t="s">
        <v>30</v>
      </c>
      <c r="K1813" t="s">
        <v>5413</v>
      </c>
      <c r="M1813" t="s">
        <v>32</v>
      </c>
      <c r="N1813" t="str">
        <f>"1/13/2006 12:00:00 AM"</f>
        <v>1/13/2006 12:00:00 AM</v>
      </c>
      <c r="O1813" t="s">
        <v>5410</v>
      </c>
      <c r="T1813" t="s">
        <v>5411</v>
      </c>
    </row>
    <row r="1814" spans="1:20" x14ac:dyDescent="0.25">
      <c r="A1814" t="str">
        <f>"3061461"</f>
        <v>3061461</v>
      </c>
      <c r="B1814" t="s">
        <v>5414</v>
      </c>
      <c r="C1814" t="str">
        <f>"38450000"</f>
        <v>38450000</v>
      </c>
      <c r="D1814" t="s">
        <v>5415</v>
      </c>
      <c r="E1814" t="s">
        <v>5416</v>
      </c>
      <c r="F1814" t="s">
        <v>5417</v>
      </c>
      <c r="I1814" t="s">
        <v>184</v>
      </c>
      <c r="J1814" t="s">
        <v>30</v>
      </c>
      <c r="K1814" t="s">
        <v>185</v>
      </c>
      <c r="M1814" t="s">
        <v>32</v>
      </c>
      <c r="N1814" t="str">
        <f>"4/30/2002 12:00:00 AM"</f>
        <v>4/30/2002 12:00:00 AM</v>
      </c>
      <c r="O1814" t="s">
        <v>5415</v>
      </c>
      <c r="T1814" t="s">
        <v>5416</v>
      </c>
    </row>
    <row r="1815" spans="1:20" x14ac:dyDescent="0.25">
      <c r="A1815" t="str">
        <f>"3061433"</f>
        <v>3061433</v>
      </c>
      <c r="B1815" t="s">
        <v>5418</v>
      </c>
      <c r="C1815" t="str">
        <f>"82517154"</f>
        <v>82517154</v>
      </c>
      <c r="D1815" t="s">
        <v>5419</v>
      </c>
      <c r="E1815" t="s">
        <v>5420</v>
      </c>
      <c r="F1815" t="s">
        <v>5421</v>
      </c>
      <c r="I1815" t="s">
        <v>184</v>
      </c>
      <c r="J1815" t="s">
        <v>30</v>
      </c>
      <c r="K1815" t="s">
        <v>185</v>
      </c>
      <c r="M1815" t="s">
        <v>32</v>
      </c>
      <c r="N1815" t="str">
        <f>"7/31/2002 12:00:00 AM"</f>
        <v>7/31/2002 12:00:00 AM</v>
      </c>
      <c r="O1815" t="s">
        <v>5419</v>
      </c>
      <c r="T1815" t="s">
        <v>5420</v>
      </c>
    </row>
    <row r="1816" spans="1:20" x14ac:dyDescent="0.25">
      <c r="A1816" t="str">
        <f>"3061322"</f>
        <v>3061322</v>
      </c>
      <c r="B1816" t="s">
        <v>5422</v>
      </c>
      <c r="C1816" t="str">
        <f>"29986500"</f>
        <v>29986500</v>
      </c>
      <c r="D1816" t="s">
        <v>5423</v>
      </c>
      <c r="E1816" t="s">
        <v>5424</v>
      </c>
      <c r="F1816" t="s">
        <v>3355</v>
      </c>
      <c r="I1816" t="s">
        <v>184</v>
      </c>
      <c r="J1816" t="s">
        <v>30</v>
      </c>
      <c r="K1816" t="s">
        <v>185</v>
      </c>
      <c r="M1816" t="s">
        <v>32</v>
      </c>
      <c r="N1816" t="str">
        <f>"4/29/2002 12:00:00 AM"</f>
        <v>4/29/2002 12:00:00 AM</v>
      </c>
      <c r="O1816" t="s">
        <v>5423</v>
      </c>
      <c r="T1816" t="s">
        <v>5424</v>
      </c>
    </row>
    <row r="1817" spans="1:20" x14ac:dyDescent="0.25">
      <c r="A1817" t="str">
        <f>"3061334"</f>
        <v>3061334</v>
      </c>
      <c r="B1817" t="s">
        <v>5425</v>
      </c>
      <c r="C1817" t="str">
        <f>"72918750"</f>
        <v>72918750</v>
      </c>
      <c r="D1817" t="s">
        <v>5426</v>
      </c>
      <c r="E1817" t="s">
        <v>5427</v>
      </c>
      <c r="F1817" t="s">
        <v>5428</v>
      </c>
      <c r="I1817" t="s">
        <v>184</v>
      </c>
      <c r="J1817" t="s">
        <v>30</v>
      </c>
      <c r="K1817" t="s">
        <v>185</v>
      </c>
      <c r="M1817" t="s">
        <v>32</v>
      </c>
      <c r="N1817" t="str">
        <f>"4/29/2002 12:00:00 AM"</f>
        <v>4/29/2002 12:00:00 AM</v>
      </c>
      <c r="O1817" t="s">
        <v>5426</v>
      </c>
      <c r="T1817" t="s">
        <v>5427</v>
      </c>
    </row>
    <row r="1818" spans="1:20" x14ac:dyDescent="0.25">
      <c r="A1818" t="str">
        <f>"3061356"</f>
        <v>3061356</v>
      </c>
      <c r="B1818" t="s">
        <v>5429</v>
      </c>
      <c r="C1818" t="str">
        <f>"82527599"</f>
        <v>82527599</v>
      </c>
      <c r="D1818" t="s">
        <v>5430</v>
      </c>
      <c r="F1818" t="str">
        <f>"C/O MARILYN L CREWS"</f>
        <v>C/O MARILYN L CREWS</v>
      </c>
      <c r="G1818" t="s">
        <v>5431</v>
      </c>
      <c r="I1818" t="s">
        <v>184</v>
      </c>
      <c r="J1818" t="s">
        <v>30</v>
      </c>
      <c r="K1818" t="s">
        <v>5432</v>
      </c>
      <c r="M1818" t="s">
        <v>32</v>
      </c>
      <c r="N1818" t="str">
        <f>"2/11/2010 12:00:00 AM"</f>
        <v>2/11/2010 12:00:00 AM</v>
      </c>
      <c r="O1818" t="s">
        <v>5430</v>
      </c>
    </row>
    <row r="1819" spans="1:20" x14ac:dyDescent="0.25">
      <c r="A1819" t="str">
        <f>"3044673"</f>
        <v>3044673</v>
      </c>
      <c r="B1819" t="s">
        <v>5433</v>
      </c>
      <c r="C1819" t="str">
        <f>"82521065"</f>
        <v>82521065</v>
      </c>
      <c r="D1819" t="s">
        <v>5434</v>
      </c>
      <c r="E1819" t="s">
        <v>5435</v>
      </c>
      <c r="F1819" t="s">
        <v>5436</v>
      </c>
      <c r="I1819" t="s">
        <v>184</v>
      </c>
      <c r="J1819" t="s">
        <v>30</v>
      </c>
      <c r="K1819" t="s">
        <v>185</v>
      </c>
      <c r="M1819" t="s">
        <v>32</v>
      </c>
      <c r="N1819" t="str">
        <f>"1/8/2010 12:00:00 AM"</f>
        <v>1/8/2010 12:00:00 AM</v>
      </c>
      <c r="O1819" t="s">
        <v>5434</v>
      </c>
      <c r="T1819" t="s">
        <v>5435</v>
      </c>
    </row>
    <row r="1820" spans="1:20" x14ac:dyDescent="0.25">
      <c r="A1820" t="str">
        <f>"3062487"</f>
        <v>3062487</v>
      </c>
      <c r="B1820" t="s">
        <v>5437</v>
      </c>
      <c r="C1820" t="str">
        <f>"12154000"</f>
        <v>12154000</v>
      </c>
      <c r="D1820" t="s">
        <v>5438</v>
      </c>
      <c r="E1820" t="s">
        <v>5439</v>
      </c>
      <c r="F1820" t="s">
        <v>5440</v>
      </c>
      <c r="I1820" t="s">
        <v>184</v>
      </c>
      <c r="J1820" t="s">
        <v>30</v>
      </c>
      <c r="K1820" t="s">
        <v>185</v>
      </c>
      <c r="M1820" t="s">
        <v>32</v>
      </c>
      <c r="N1820" t="str">
        <f>"6/17/2003 12:00:00 AM"</f>
        <v>6/17/2003 12:00:00 AM</v>
      </c>
      <c r="O1820" t="s">
        <v>5438</v>
      </c>
      <c r="T1820" t="s">
        <v>5439</v>
      </c>
    </row>
    <row r="1821" spans="1:20" x14ac:dyDescent="0.25">
      <c r="A1821" t="str">
        <f>"3062488"</f>
        <v>3062488</v>
      </c>
      <c r="B1821" t="s">
        <v>5441</v>
      </c>
      <c r="C1821" t="str">
        <f>"82528612"</f>
        <v>82528612</v>
      </c>
      <c r="D1821" t="s">
        <v>5442</v>
      </c>
      <c r="E1821" t="s">
        <v>5443</v>
      </c>
      <c r="F1821" t="s">
        <v>5444</v>
      </c>
      <c r="I1821" t="s">
        <v>184</v>
      </c>
      <c r="J1821" t="s">
        <v>30</v>
      </c>
      <c r="K1821" t="s">
        <v>185</v>
      </c>
      <c r="M1821" t="s">
        <v>32</v>
      </c>
      <c r="N1821" t="str">
        <f>"1/17/2008 12:00:00 AM"</f>
        <v>1/17/2008 12:00:00 AM</v>
      </c>
      <c r="O1821" t="s">
        <v>5442</v>
      </c>
      <c r="T1821" t="s">
        <v>5443</v>
      </c>
    </row>
    <row r="1822" spans="1:20" x14ac:dyDescent="0.25">
      <c r="A1822" t="str">
        <f>"3061357"</f>
        <v>3061357</v>
      </c>
      <c r="B1822" t="s">
        <v>5445</v>
      </c>
      <c r="C1822" t="str">
        <f>"15306250"</f>
        <v>15306250</v>
      </c>
      <c r="D1822" t="s">
        <v>5446</v>
      </c>
      <c r="F1822" t="s">
        <v>5447</v>
      </c>
      <c r="I1822" t="s">
        <v>184</v>
      </c>
      <c r="J1822" t="s">
        <v>30</v>
      </c>
      <c r="K1822" t="s">
        <v>5432</v>
      </c>
      <c r="M1822" t="s">
        <v>32</v>
      </c>
      <c r="N1822" t="str">
        <f>"1/25/2006 12:00:00 AM"</f>
        <v>1/25/2006 12:00:00 AM</v>
      </c>
      <c r="O1822" t="s">
        <v>5446</v>
      </c>
      <c r="T1822" t="s">
        <v>5446</v>
      </c>
    </row>
    <row r="1823" spans="1:20" x14ac:dyDescent="0.25">
      <c r="A1823" t="str">
        <f>"3062529"</f>
        <v>3062529</v>
      </c>
      <c r="B1823" t="s">
        <v>5448</v>
      </c>
      <c r="C1823" t="str">
        <f>"39151750"</f>
        <v>39151750</v>
      </c>
      <c r="D1823" t="s">
        <v>5449</v>
      </c>
      <c r="F1823" t="s">
        <v>5450</v>
      </c>
      <c r="I1823" t="s">
        <v>184</v>
      </c>
      <c r="J1823" t="s">
        <v>30</v>
      </c>
      <c r="K1823" t="s">
        <v>185</v>
      </c>
      <c r="M1823" t="s">
        <v>32</v>
      </c>
      <c r="N1823" t="str">
        <f>"11/10/2003 12:00:00 AM"</f>
        <v>11/10/2003 12:00:00 AM</v>
      </c>
      <c r="O1823" t="s">
        <v>5449</v>
      </c>
    </row>
    <row r="1824" spans="1:20" x14ac:dyDescent="0.25">
      <c r="A1824" t="str">
        <f>"3057717"</f>
        <v>3057717</v>
      </c>
      <c r="B1824" t="s">
        <v>5451</v>
      </c>
      <c r="C1824" t="str">
        <f>"82520684"</f>
        <v>82520684</v>
      </c>
      <c r="D1824" t="s">
        <v>5452</v>
      </c>
      <c r="E1824" t="s">
        <v>5453</v>
      </c>
      <c r="F1824" t="s">
        <v>5454</v>
      </c>
      <c r="I1824" t="s">
        <v>184</v>
      </c>
      <c r="J1824" t="s">
        <v>30</v>
      </c>
      <c r="K1824" t="s">
        <v>185</v>
      </c>
      <c r="M1824" t="s">
        <v>32</v>
      </c>
      <c r="N1824" t="str">
        <f>"1/15/2004 12:00:00 AM"</f>
        <v>1/15/2004 12:00:00 AM</v>
      </c>
      <c r="O1824" t="s">
        <v>5452</v>
      </c>
      <c r="T1824" t="s">
        <v>5453</v>
      </c>
    </row>
    <row r="1825" spans="1:20" x14ac:dyDescent="0.25">
      <c r="A1825" t="str">
        <f>"3057685"</f>
        <v>3057685</v>
      </c>
      <c r="B1825" t="s">
        <v>5455</v>
      </c>
      <c r="C1825" t="str">
        <f>"82528908"</f>
        <v>82528908</v>
      </c>
      <c r="D1825" t="s">
        <v>5456</v>
      </c>
      <c r="E1825" t="s">
        <v>5457</v>
      </c>
      <c r="F1825" t="s">
        <v>5458</v>
      </c>
      <c r="I1825" t="s">
        <v>184</v>
      </c>
      <c r="J1825" t="s">
        <v>30</v>
      </c>
      <c r="K1825" t="s">
        <v>185</v>
      </c>
      <c r="M1825" t="s">
        <v>32</v>
      </c>
      <c r="N1825" t="str">
        <f>"2/1/2008 12:00:00 AM"</f>
        <v>2/1/2008 12:00:00 AM</v>
      </c>
      <c r="O1825" t="s">
        <v>5456</v>
      </c>
      <c r="T1825" t="s">
        <v>5457</v>
      </c>
    </row>
    <row r="1826" spans="1:20" x14ac:dyDescent="0.25">
      <c r="A1826" t="str">
        <f>"3057686"</f>
        <v>3057686</v>
      </c>
      <c r="B1826" t="s">
        <v>5459</v>
      </c>
      <c r="C1826" t="str">
        <f>"82520070"</f>
        <v>82520070</v>
      </c>
      <c r="D1826" t="s">
        <v>5460</v>
      </c>
      <c r="E1826" t="s">
        <v>5461</v>
      </c>
      <c r="F1826" t="s">
        <v>5462</v>
      </c>
      <c r="I1826" t="s">
        <v>184</v>
      </c>
      <c r="J1826" t="s">
        <v>30</v>
      </c>
      <c r="K1826" t="s">
        <v>185</v>
      </c>
      <c r="M1826" t="s">
        <v>32</v>
      </c>
      <c r="N1826" t="str">
        <f>"1/16/2004 12:00:00 AM"</f>
        <v>1/16/2004 12:00:00 AM</v>
      </c>
      <c r="O1826" t="s">
        <v>5460</v>
      </c>
      <c r="T1826" t="s">
        <v>5461</v>
      </c>
    </row>
    <row r="1827" spans="1:20" x14ac:dyDescent="0.25">
      <c r="A1827" t="str">
        <f>"3057687"</f>
        <v>3057687</v>
      </c>
      <c r="B1827" t="s">
        <v>5463</v>
      </c>
      <c r="C1827" t="str">
        <f>"56330460"</f>
        <v>56330460</v>
      </c>
      <c r="D1827" t="s">
        <v>5464</v>
      </c>
      <c r="E1827" t="s">
        <v>5465</v>
      </c>
      <c r="F1827" t="s">
        <v>5466</v>
      </c>
      <c r="I1827" t="s">
        <v>184</v>
      </c>
      <c r="J1827" t="s">
        <v>30</v>
      </c>
      <c r="K1827" t="s">
        <v>185</v>
      </c>
      <c r="M1827" t="s">
        <v>32</v>
      </c>
      <c r="N1827" t="str">
        <f>"3/30/2004 12:00:00 AM"</f>
        <v>3/30/2004 12:00:00 AM</v>
      </c>
      <c r="O1827" t="s">
        <v>5464</v>
      </c>
      <c r="T1827" t="s">
        <v>5465</v>
      </c>
    </row>
    <row r="1828" spans="1:20" x14ac:dyDescent="0.25">
      <c r="A1828" t="str">
        <f>"3041394"</f>
        <v>3041394</v>
      </c>
      <c r="B1828" t="s">
        <v>5467</v>
      </c>
      <c r="C1828" t="str">
        <f>"15306250"</f>
        <v>15306250</v>
      </c>
      <c r="D1828" t="s">
        <v>5446</v>
      </c>
      <c r="F1828" t="s">
        <v>5447</v>
      </c>
      <c r="I1828" t="s">
        <v>184</v>
      </c>
      <c r="J1828" t="s">
        <v>30</v>
      </c>
      <c r="K1828" t="s">
        <v>5432</v>
      </c>
      <c r="M1828" t="s">
        <v>32</v>
      </c>
      <c r="N1828" t="str">
        <f>"1/25/2006 12:00:00 AM"</f>
        <v>1/25/2006 12:00:00 AM</v>
      </c>
      <c r="O1828" t="s">
        <v>5446</v>
      </c>
      <c r="T1828" t="s">
        <v>5446</v>
      </c>
    </row>
    <row r="1829" spans="1:20" x14ac:dyDescent="0.25">
      <c r="A1829" t="str">
        <f>"3061358"</f>
        <v>3061358</v>
      </c>
      <c r="B1829" t="s">
        <v>5468</v>
      </c>
      <c r="C1829" t="str">
        <f>"82518426"</f>
        <v>82518426</v>
      </c>
      <c r="D1829" t="s">
        <v>5469</v>
      </c>
      <c r="F1829" t="s">
        <v>5470</v>
      </c>
      <c r="I1829" t="s">
        <v>184</v>
      </c>
      <c r="J1829" t="s">
        <v>30</v>
      </c>
      <c r="K1829" t="s">
        <v>185</v>
      </c>
      <c r="M1829" t="s">
        <v>32</v>
      </c>
      <c r="N1829" t="str">
        <f>"1/21/2003 12:00:00 AM"</f>
        <v>1/21/2003 12:00:00 AM</v>
      </c>
      <c r="O1829" t="s">
        <v>5469</v>
      </c>
    </row>
    <row r="1830" spans="1:20" x14ac:dyDescent="0.25">
      <c r="A1830" t="str">
        <f>"3049146"</f>
        <v>3049146</v>
      </c>
      <c r="B1830" t="s">
        <v>5471</v>
      </c>
      <c r="C1830" t="str">
        <f>"81625000"</f>
        <v>81625000</v>
      </c>
      <c r="D1830" t="s">
        <v>5472</v>
      </c>
      <c r="E1830" t="s">
        <v>5473</v>
      </c>
      <c r="F1830" t="s">
        <v>5474</v>
      </c>
      <c r="I1830" t="s">
        <v>184</v>
      </c>
      <c r="J1830" t="s">
        <v>30</v>
      </c>
      <c r="K1830" t="s">
        <v>185</v>
      </c>
      <c r="M1830" t="s">
        <v>32</v>
      </c>
      <c r="N1830" t="str">
        <f>"7/8/2003 12:00:00 AM"</f>
        <v>7/8/2003 12:00:00 AM</v>
      </c>
      <c r="O1830" t="s">
        <v>5472</v>
      </c>
      <c r="T1830" t="s">
        <v>5473</v>
      </c>
    </row>
    <row r="1831" spans="1:20" x14ac:dyDescent="0.25">
      <c r="A1831" t="str">
        <f>"3057942"</f>
        <v>3057942</v>
      </c>
      <c r="B1831" t="s">
        <v>5475</v>
      </c>
      <c r="C1831" t="str">
        <f>"183500"</f>
        <v>183500</v>
      </c>
      <c r="D1831" t="s">
        <v>5476</v>
      </c>
      <c r="E1831" t="s">
        <v>5477</v>
      </c>
      <c r="F1831" t="s">
        <v>5478</v>
      </c>
      <c r="I1831" t="s">
        <v>184</v>
      </c>
      <c r="J1831" t="s">
        <v>30</v>
      </c>
      <c r="K1831" t="s">
        <v>185</v>
      </c>
      <c r="M1831" t="s">
        <v>32</v>
      </c>
      <c r="N1831" t="str">
        <f>"8/1/2006 12:00:00 AM"</f>
        <v>8/1/2006 12:00:00 AM</v>
      </c>
      <c r="O1831" t="s">
        <v>5476</v>
      </c>
      <c r="T1831" t="s">
        <v>5477</v>
      </c>
    </row>
    <row r="1832" spans="1:20" x14ac:dyDescent="0.25">
      <c r="A1832" t="str">
        <f>"3040514"</f>
        <v>3040514</v>
      </c>
      <c r="B1832" t="s">
        <v>5479</v>
      </c>
      <c r="C1832" t="str">
        <f>"15293500"</f>
        <v>15293500</v>
      </c>
      <c r="D1832" t="s">
        <v>5480</v>
      </c>
      <c r="E1832" t="s">
        <v>5481</v>
      </c>
      <c r="F1832" t="s">
        <v>5482</v>
      </c>
      <c r="I1832" t="s">
        <v>184</v>
      </c>
      <c r="J1832" t="s">
        <v>30</v>
      </c>
      <c r="K1832" t="s">
        <v>185</v>
      </c>
      <c r="M1832" t="s">
        <v>32</v>
      </c>
      <c r="N1832" t="str">
        <f>"1/26/2010 12:00:00 AM"</f>
        <v>1/26/2010 12:00:00 AM</v>
      </c>
      <c r="O1832" t="s">
        <v>5480</v>
      </c>
      <c r="T1832" t="s">
        <v>5481</v>
      </c>
    </row>
    <row r="1833" spans="1:20" x14ac:dyDescent="0.25">
      <c r="A1833" t="str">
        <f>"3057945"</f>
        <v>3057945</v>
      </c>
      <c r="B1833" t="s">
        <v>5483</v>
      </c>
      <c r="C1833" t="str">
        <f>"66326250"</f>
        <v>66326250</v>
      </c>
      <c r="D1833" t="s">
        <v>5484</v>
      </c>
      <c r="E1833" t="s">
        <v>5485</v>
      </c>
      <c r="F1833" t="s">
        <v>5486</v>
      </c>
      <c r="I1833" t="s">
        <v>184</v>
      </c>
      <c r="J1833" t="s">
        <v>30</v>
      </c>
      <c r="K1833" t="s">
        <v>185</v>
      </c>
      <c r="M1833" t="s">
        <v>32</v>
      </c>
      <c r="N1833" t="str">
        <f>"5/12/2004 12:00:00 AM"</f>
        <v>5/12/2004 12:00:00 AM</v>
      </c>
      <c r="O1833" t="s">
        <v>5484</v>
      </c>
      <c r="T1833" t="s">
        <v>5485</v>
      </c>
    </row>
    <row r="1834" spans="1:20" x14ac:dyDescent="0.25">
      <c r="A1834" t="str">
        <f>"3057922"</f>
        <v>3057922</v>
      </c>
      <c r="B1834" t="s">
        <v>5487</v>
      </c>
      <c r="C1834" t="str">
        <f>"5221750"</f>
        <v>5221750</v>
      </c>
      <c r="D1834" t="s">
        <v>5488</v>
      </c>
      <c r="E1834" t="s">
        <v>5489</v>
      </c>
      <c r="F1834" t="s">
        <v>5490</v>
      </c>
      <c r="I1834" t="s">
        <v>184</v>
      </c>
      <c r="J1834" t="s">
        <v>30</v>
      </c>
      <c r="K1834" t="s">
        <v>5491</v>
      </c>
      <c r="M1834" t="s">
        <v>32</v>
      </c>
      <c r="N1834" t="str">
        <f>"1/12/2006 12:00:00 AM"</f>
        <v>1/12/2006 12:00:00 AM</v>
      </c>
      <c r="O1834" t="s">
        <v>5488</v>
      </c>
      <c r="T1834" t="s">
        <v>5489</v>
      </c>
    </row>
    <row r="1835" spans="1:20" x14ac:dyDescent="0.25">
      <c r="A1835" t="str">
        <f>"3058667"</f>
        <v>3058667</v>
      </c>
      <c r="B1835" t="s">
        <v>5492</v>
      </c>
      <c r="C1835" t="str">
        <f>"82512917"</f>
        <v>82512917</v>
      </c>
      <c r="D1835" t="s">
        <v>5493</v>
      </c>
      <c r="E1835" t="s">
        <v>5494</v>
      </c>
      <c r="F1835" t="s">
        <v>5495</v>
      </c>
      <c r="I1835" t="s">
        <v>184</v>
      </c>
      <c r="J1835" t="s">
        <v>30</v>
      </c>
      <c r="K1835" t="s">
        <v>5491</v>
      </c>
      <c r="M1835" t="s">
        <v>32</v>
      </c>
      <c r="N1835" t="str">
        <f>"4/1/2002 12:00:00 AM"</f>
        <v>4/1/2002 12:00:00 AM</v>
      </c>
      <c r="O1835" t="s">
        <v>5493</v>
      </c>
      <c r="T1835" t="s">
        <v>5494</v>
      </c>
    </row>
    <row r="1836" spans="1:20" x14ac:dyDescent="0.25">
      <c r="A1836" t="str">
        <f>"3061369"</f>
        <v>3061369</v>
      </c>
      <c r="B1836" t="s">
        <v>5496</v>
      </c>
      <c r="C1836" t="str">
        <f>"82517288"</f>
        <v>82517288</v>
      </c>
      <c r="D1836" t="s">
        <v>5497</v>
      </c>
      <c r="E1836" t="s">
        <v>5498</v>
      </c>
      <c r="F1836" t="s">
        <v>5499</v>
      </c>
      <c r="I1836" t="s">
        <v>184</v>
      </c>
      <c r="J1836" t="s">
        <v>30</v>
      </c>
      <c r="K1836" t="s">
        <v>185</v>
      </c>
      <c r="M1836" t="s">
        <v>32</v>
      </c>
      <c r="N1836" t="str">
        <f>"4/29/2002 12:00:00 AM"</f>
        <v>4/29/2002 12:00:00 AM</v>
      </c>
      <c r="O1836" t="s">
        <v>5497</v>
      </c>
      <c r="T1836" t="s">
        <v>5498</v>
      </c>
    </row>
    <row r="1837" spans="1:20" x14ac:dyDescent="0.25">
      <c r="A1837" t="str">
        <f>"3057953"</f>
        <v>3057953</v>
      </c>
      <c r="B1837" t="s">
        <v>5500</v>
      </c>
      <c r="C1837" t="str">
        <f>"25582000"</f>
        <v>25582000</v>
      </c>
      <c r="D1837" t="s">
        <v>5501</v>
      </c>
      <c r="E1837" t="s">
        <v>5502</v>
      </c>
      <c r="F1837" t="s">
        <v>5503</v>
      </c>
      <c r="I1837" t="s">
        <v>184</v>
      </c>
      <c r="J1837" t="s">
        <v>30</v>
      </c>
      <c r="K1837" t="s">
        <v>185</v>
      </c>
      <c r="M1837" t="s">
        <v>32</v>
      </c>
      <c r="N1837" t="str">
        <f>"8/21/2003 12:00:00 AM"</f>
        <v>8/21/2003 12:00:00 AM</v>
      </c>
      <c r="O1837" t="s">
        <v>5501</v>
      </c>
      <c r="T1837" t="s">
        <v>5502</v>
      </c>
    </row>
    <row r="1838" spans="1:20" x14ac:dyDescent="0.25">
      <c r="A1838" t="str">
        <f>"3044267"</f>
        <v>3044267</v>
      </c>
      <c r="B1838" t="s">
        <v>5504</v>
      </c>
      <c r="C1838" t="str">
        <f>"44931000"</f>
        <v>44931000</v>
      </c>
      <c r="D1838" t="s">
        <v>5505</v>
      </c>
      <c r="F1838" t="s">
        <v>5506</v>
      </c>
      <c r="I1838" t="s">
        <v>184</v>
      </c>
      <c r="J1838" t="s">
        <v>30</v>
      </c>
      <c r="K1838" t="s">
        <v>5507</v>
      </c>
      <c r="M1838" t="s">
        <v>32</v>
      </c>
      <c r="N1838" t="str">
        <f>"1/16/2007 12:00:00 AM"</f>
        <v>1/16/2007 12:00:00 AM</v>
      </c>
      <c r="O1838" t="s">
        <v>5505</v>
      </c>
      <c r="T1838" t="s">
        <v>5505</v>
      </c>
    </row>
    <row r="1839" spans="1:20" x14ac:dyDescent="0.25">
      <c r="A1839" t="str">
        <f>"3044085"</f>
        <v>3044085</v>
      </c>
      <c r="B1839" t="s">
        <v>5508</v>
      </c>
      <c r="C1839" t="str">
        <f>"11323000"</f>
        <v>11323000</v>
      </c>
      <c r="D1839" t="s">
        <v>5509</v>
      </c>
      <c r="F1839" t="s">
        <v>5510</v>
      </c>
      <c r="I1839" t="s">
        <v>184</v>
      </c>
      <c r="J1839" t="s">
        <v>30</v>
      </c>
      <c r="K1839" t="s">
        <v>185</v>
      </c>
      <c r="M1839" t="s">
        <v>32</v>
      </c>
      <c r="N1839" t="str">
        <f>"6/13/2003 12:00:00 AM"</f>
        <v>6/13/2003 12:00:00 AM</v>
      </c>
      <c r="O1839" t="s">
        <v>5509</v>
      </c>
    </row>
    <row r="1840" spans="1:20" x14ac:dyDescent="0.25">
      <c r="A1840" t="str">
        <f>"3061382"</f>
        <v>3061382</v>
      </c>
      <c r="B1840" t="s">
        <v>5511</v>
      </c>
      <c r="C1840" t="str">
        <f>"82517259"</f>
        <v>82517259</v>
      </c>
      <c r="D1840" t="s">
        <v>5512</v>
      </c>
      <c r="E1840" t="s">
        <v>5513</v>
      </c>
      <c r="F1840" t="s">
        <v>5514</v>
      </c>
      <c r="I1840" t="s">
        <v>184</v>
      </c>
      <c r="J1840" t="s">
        <v>30</v>
      </c>
      <c r="K1840" t="s">
        <v>5515</v>
      </c>
      <c r="M1840" t="s">
        <v>32</v>
      </c>
      <c r="N1840" t="str">
        <f>"10/13/2006 12:00:00 AM"</f>
        <v>10/13/2006 12:00:00 AM</v>
      </c>
      <c r="O1840" t="s">
        <v>5512</v>
      </c>
      <c r="T1840" t="s">
        <v>5513</v>
      </c>
    </row>
    <row r="1841" spans="1:20" x14ac:dyDescent="0.25">
      <c r="A1841" t="str">
        <f>"3077199"</f>
        <v>3077199</v>
      </c>
      <c r="B1841" t="s">
        <v>5516</v>
      </c>
      <c r="C1841" t="str">
        <f>"82515564"</f>
        <v>82515564</v>
      </c>
      <c r="D1841" t="s">
        <v>5517</v>
      </c>
      <c r="E1841" t="s">
        <v>5518</v>
      </c>
      <c r="F1841" t="s">
        <v>5519</v>
      </c>
      <c r="I1841" t="s">
        <v>184</v>
      </c>
      <c r="J1841" t="s">
        <v>30</v>
      </c>
      <c r="K1841" t="s">
        <v>5520</v>
      </c>
      <c r="M1841" t="s">
        <v>32</v>
      </c>
      <c r="N1841" t="str">
        <f>"1/27/2005 12:00:00 AM"</f>
        <v>1/27/2005 12:00:00 AM</v>
      </c>
      <c r="O1841" t="s">
        <v>5517</v>
      </c>
      <c r="T1841" t="s">
        <v>5518</v>
      </c>
    </row>
    <row r="1842" spans="1:20" x14ac:dyDescent="0.25">
      <c r="A1842" t="str">
        <f>"3077200"</f>
        <v>3077200</v>
      </c>
      <c r="B1842" t="s">
        <v>5521</v>
      </c>
      <c r="C1842" t="str">
        <f>"82515564"</f>
        <v>82515564</v>
      </c>
      <c r="D1842" t="s">
        <v>5517</v>
      </c>
      <c r="E1842" t="s">
        <v>5518</v>
      </c>
      <c r="F1842" t="s">
        <v>5519</v>
      </c>
      <c r="I1842" t="s">
        <v>184</v>
      </c>
      <c r="J1842" t="s">
        <v>30</v>
      </c>
      <c r="K1842" t="s">
        <v>5520</v>
      </c>
      <c r="M1842" t="s">
        <v>32</v>
      </c>
      <c r="N1842" t="str">
        <f>"1/27/2005 12:00:00 AM"</f>
        <v>1/27/2005 12:00:00 AM</v>
      </c>
      <c r="O1842" t="s">
        <v>5517</v>
      </c>
      <c r="T1842" t="s">
        <v>5518</v>
      </c>
    </row>
    <row r="1843" spans="1:20" x14ac:dyDescent="0.25">
      <c r="A1843" t="str">
        <f>"3077201"</f>
        <v>3077201</v>
      </c>
      <c r="B1843" t="s">
        <v>5522</v>
      </c>
      <c r="C1843" t="str">
        <f>"82515564"</f>
        <v>82515564</v>
      </c>
      <c r="D1843" t="s">
        <v>5517</v>
      </c>
      <c r="E1843" t="s">
        <v>5518</v>
      </c>
      <c r="F1843" t="s">
        <v>5519</v>
      </c>
      <c r="I1843" t="s">
        <v>184</v>
      </c>
      <c r="J1843" t="s">
        <v>30</v>
      </c>
      <c r="K1843" t="s">
        <v>5520</v>
      </c>
      <c r="M1843" t="s">
        <v>32</v>
      </c>
      <c r="N1843" t="str">
        <f>"1/27/2005 12:00:00 AM"</f>
        <v>1/27/2005 12:00:00 AM</v>
      </c>
      <c r="O1843" t="s">
        <v>5517</v>
      </c>
      <c r="T1843" t="s">
        <v>5518</v>
      </c>
    </row>
    <row r="1844" spans="1:20" x14ac:dyDescent="0.25">
      <c r="A1844" t="str">
        <f>"3061928"</f>
        <v>3061928</v>
      </c>
      <c r="B1844" t="s">
        <v>5523</v>
      </c>
      <c r="C1844" t="str">
        <f>"82529601"</f>
        <v>82529601</v>
      </c>
      <c r="D1844" t="s">
        <v>5524</v>
      </c>
      <c r="E1844" t="s">
        <v>5525</v>
      </c>
      <c r="F1844" t="s">
        <v>5526</v>
      </c>
      <c r="I1844" t="s">
        <v>184</v>
      </c>
      <c r="J1844" t="s">
        <v>30</v>
      </c>
      <c r="K1844" t="s">
        <v>185</v>
      </c>
      <c r="M1844" t="s">
        <v>32</v>
      </c>
      <c r="N1844" t="str">
        <f>"1/28/2009 12:00:00 AM"</f>
        <v>1/28/2009 12:00:00 AM</v>
      </c>
      <c r="O1844" t="s">
        <v>5524</v>
      </c>
      <c r="T1844" t="s">
        <v>5525</v>
      </c>
    </row>
    <row r="1845" spans="1:20" x14ac:dyDescent="0.25">
      <c r="A1845" t="str">
        <f>"3044416"</f>
        <v>3044416</v>
      </c>
      <c r="B1845" t="s">
        <v>5527</v>
      </c>
      <c r="C1845" t="str">
        <f>"82523217"</f>
        <v>82523217</v>
      </c>
      <c r="D1845" t="s">
        <v>5528</v>
      </c>
      <c r="E1845" t="s">
        <v>5529</v>
      </c>
      <c r="F1845" t="s">
        <v>5530</v>
      </c>
      <c r="I1845" t="s">
        <v>184</v>
      </c>
      <c r="J1845" t="s">
        <v>30</v>
      </c>
      <c r="K1845" t="s">
        <v>5531</v>
      </c>
      <c r="M1845" t="s">
        <v>32</v>
      </c>
      <c r="N1845" t="str">
        <f>"1/18/2005 12:00:00 AM"</f>
        <v>1/18/2005 12:00:00 AM</v>
      </c>
      <c r="O1845" t="s">
        <v>5528</v>
      </c>
      <c r="T1845" t="s">
        <v>5529</v>
      </c>
    </row>
    <row r="1846" spans="1:20" x14ac:dyDescent="0.25">
      <c r="A1846" t="str">
        <f>"3044420"</f>
        <v>3044420</v>
      </c>
      <c r="B1846" t="s">
        <v>5532</v>
      </c>
      <c r="C1846" t="str">
        <f>"70694350"</f>
        <v>70694350</v>
      </c>
      <c r="D1846" t="s">
        <v>5533</v>
      </c>
      <c r="E1846" t="s">
        <v>5534</v>
      </c>
      <c r="F1846" t="s">
        <v>5535</v>
      </c>
      <c r="I1846" t="s">
        <v>184</v>
      </c>
      <c r="J1846" t="s">
        <v>30</v>
      </c>
      <c r="K1846" t="s">
        <v>185</v>
      </c>
      <c r="M1846" t="s">
        <v>32</v>
      </c>
      <c r="N1846" t="str">
        <f>"4/30/2002 12:00:00 AM"</f>
        <v>4/30/2002 12:00:00 AM</v>
      </c>
      <c r="O1846" t="s">
        <v>5533</v>
      </c>
      <c r="T1846" t="s">
        <v>5534</v>
      </c>
    </row>
    <row r="1847" spans="1:20" x14ac:dyDescent="0.25">
      <c r="A1847" t="str">
        <f>"3043931"</f>
        <v>3043931</v>
      </c>
      <c r="B1847" t="s">
        <v>5536</v>
      </c>
      <c r="C1847" t="str">
        <f>"70694350"</f>
        <v>70694350</v>
      </c>
      <c r="D1847" t="s">
        <v>5533</v>
      </c>
      <c r="E1847" t="s">
        <v>5534</v>
      </c>
      <c r="F1847" t="s">
        <v>5535</v>
      </c>
      <c r="I1847" t="s">
        <v>184</v>
      </c>
      <c r="J1847" t="s">
        <v>30</v>
      </c>
      <c r="K1847" t="s">
        <v>185</v>
      </c>
      <c r="M1847" t="s">
        <v>32</v>
      </c>
      <c r="N1847" t="str">
        <f>"4/30/2002 12:00:00 AM"</f>
        <v>4/30/2002 12:00:00 AM</v>
      </c>
      <c r="O1847" t="s">
        <v>5533</v>
      </c>
      <c r="T1847" t="s">
        <v>5534</v>
      </c>
    </row>
    <row r="1848" spans="1:20" x14ac:dyDescent="0.25">
      <c r="A1848" t="str">
        <f>"3044422"</f>
        <v>3044422</v>
      </c>
      <c r="B1848" t="s">
        <v>5537</v>
      </c>
      <c r="C1848" t="str">
        <f>"38854850"</f>
        <v>38854850</v>
      </c>
      <c r="D1848" t="s">
        <v>5538</v>
      </c>
      <c r="E1848" t="s">
        <v>5539</v>
      </c>
      <c r="F1848" t="s">
        <v>5540</v>
      </c>
      <c r="I1848" t="s">
        <v>184</v>
      </c>
      <c r="J1848" t="s">
        <v>30</v>
      </c>
      <c r="K1848" t="s">
        <v>185</v>
      </c>
      <c r="M1848" t="s">
        <v>32</v>
      </c>
      <c r="N1848" t="str">
        <f>"11/7/2003 12:00:00 AM"</f>
        <v>11/7/2003 12:00:00 AM</v>
      </c>
      <c r="O1848" t="s">
        <v>5538</v>
      </c>
      <c r="T1848" t="s">
        <v>5539</v>
      </c>
    </row>
    <row r="1849" spans="1:20" x14ac:dyDescent="0.25">
      <c r="A1849" t="str">
        <f>"3044852"</f>
        <v>3044852</v>
      </c>
      <c r="B1849" t="s">
        <v>5541</v>
      </c>
      <c r="C1849" t="str">
        <f>"82523507"</f>
        <v>82523507</v>
      </c>
      <c r="D1849" t="s">
        <v>5542</v>
      </c>
      <c r="E1849" t="s">
        <v>5543</v>
      </c>
      <c r="F1849" t="s">
        <v>5544</v>
      </c>
      <c r="I1849" t="s">
        <v>184</v>
      </c>
      <c r="J1849" t="s">
        <v>30</v>
      </c>
      <c r="K1849" t="s">
        <v>185</v>
      </c>
      <c r="M1849" t="s">
        <v>32</v>
      </c>
      <c r="N1849" t="str">
        <f>"12/10/2004 12:00:00 AM"</f>
        <v>12/10/2004 12:00:00 AM</v>
      </c>
      <c r="O1849" t="s">
        <v>5542</v>
      </c>
      <c r="T1849" t="s">
        <v>5543</v>
      </c>
    </row>
    <row r="1850" spans="1:20" x14ac:dyDescent="0.25">
      <c r="A1850" t="str">
        <f>"3063920"</f>
        <v>3063920</v>
      </c>
      <c r="B1850" t="s">
        <v>5545</v>
      </c>
      <c r="C1850" t="str">
        <f>"19296870"</f>
        <v>19296870</v>
      </c>
      <c r="D1850" t="s">
        <v>5546</v>
      </c>
      <c r="E1850" t="s">
        <v>5547</v>
      </c>
      <c r="F1850" t="s">
        <v>5548</v>
      </c>
      <c r="I1850" t="s">
        <v>184</v>
      </c>
      <c r="J1850" t="s">
        <v>30</v>
      </c>
      <c r="K1850" t="s">
        <v>185</v>
      </c>
      <c r="M1850" t="s">
        <v>32</v>
      </c>
      <c r="N1850" t="str">
        <f>"7/10/2003 12:00:00 AM"</f>
        <v>7/10/2003 12:00:00 AM</v>
      </c>
      <c r="O1850" t="s">
        <v>5546</v>
      </c>
      <c r="T1850" t="s">
        <v>5547</v>
      </c>
    </row>
    <row r="1851" spans="1:20" x14ac:dyDescent="0.25">
      <c r="A1851" t="str">
        <f>"3044425"</f>
        <v>3044425</v>
      </c>
      <c r="B1851" t="s">
        <v>5549</v>
      </c>
      <c r="C1851" t="str">
        <f>"82526433"</f>
        <v>82526433</v>
      </c>
      <c r="D1851" t="s">
        <v>5550</v>
      </c>
      <c r="E1851" t="s">
        <v>5551</v>
      </c>
      <c r="F1851" t="s">
        <v>5552</v>
      </c>
      <c r="I1851" t="s">
        <v>184</v>
      </c>
      <c r="J1851" t="s">
        <v>30</v>
      </c>
      <c r="K1851" t="s">
        <v>185</v>
      </c>
      <c r="M1851" t="s">
        <v>32</v>
      </c>
      <c r="N1851" t="str">
        <f>"1/11/2007 12:00:00 AM"</f>
        <v>1/11/2007 12:00:00 AM</v>
      </c>
      <c r="O1851" t="s">
        <v>5550</v>
      </c>
      <c r="T1851" t="s">
        <v>5551</v>
      </c>
    </row>
    <row r="1852" spans="1:20" x14ac:dyDescent="0.25">
      <c r="A1852" t="str">
        <f>"3044399"</f>
        <v>3044399</v>
      </c>
      <c r="B1852" t="s">
        <v>5553</v>
      </c>
      <c r="C1852" t="str">
        <f>"82518136"</f>
        <v>82518136</v>
      </c>
      <c r="D1852" t="s">
        <v>5554</v>
      </c>
      <c r="E1852" t="s">
        <v>5555</v>
      </c>
      <c r="F1852" t="s">
        <v>5556</v>
      </c>
      <c r="I1852" t="s">
        <v>184</v>
      </c>
      <c r="J1852" t="s">
        <v>30</v>
      </c>
      <c r="K1852" t="s">
        <v>5557</v>
      </c>
      <c r="M1852" t="s">
        <v>32</v>
      </c>
      <c r="N1852" t="str">
        <f>"1/17/2006 12:00:00 AM"</f>
        <v>1/17/2006 12:00:00 AM</v>
      </c>
      <c r="O1852" t="s">
        <v>5554</v>
      </c>
      <c r="T1852" t="s">
        <v>5555</v>
      </c>
    </row>
    <row r="1853" spans="1:20" x14ac:dyDescent="0.25">
      <c r="A1853" t="str">
        <f>"3044701"</f>
        <v>3044701</v>
      </c>
      <c r="B1853" t="s">
        <v>5558</v>
      </c>
      <c r="C1853" t="str">
        <f>"82518324"</f>
        <v>82518324</v>
      </c>
      <c r="D1853" t="s">
        <v>5559</v>
      </c>
      <c r="E1853" t="s">
        <v>5560</v>
      </c>
      <c r="F1853" t="s">
        <v>5561</v>
      </c>
      <c r="I1853" t="s">
        <v>184</v>
      </c>
      <c r="J1853" t="s">
        <v>30</v>
      </c>
      <c r="K1853" t="s">
        <v>185</v>
      </c>
      <c r="M1853" t="s">
        <v>32</v>
      </c>
      <c r="N1853" t="str">
        <f>"2/14/2003 12:00:00 AM"</f>
        <v>2/14/2003 12:00:00 AM</v>
      </c>
      <c r="O1853" t="s">
        <v>5559</v>
      </c>
      <c r="T1853" t="s">
        <v>5560</v>
      </c>
    </row>
    <row r="1854" spans="1:20" x14ac:dyDescent="0.25">
      <c r="A1854" t="str">
        <f>"3044703"</f>
        <v>3044703</v>
      </c>
      <c r="B1854" t="s">
        <v>5562</v>
      </c>
      <c r="C1854" t="str">
        <f>"82527255"</f>
        <v>82527255</v>
      </c>
      <c r="D1854" t="s">
        <v>5563</v>
      </c>
      <c r="E1854" t="s">
        <v>5564</v>
      </c>
      <c r="F1854" t="s">
        <v>5565</v>
      </c>
      <c r="I1854" t="s">
        <v>184</v>
      </c>
      <c r="J1854" t="s">
        <v>30</v>
      </c>
      <c r="K1854" t="s">
        <v>185</v>
      </c>
      <c r="M1854" t="s">
        <v>32</v>
      </c>
      <c r="N1854" t="str">
        <f>"12/12/2006 12:00:00 AM"</f>
        <v>12/12/2006 12:00:00 AM</v>
      </c>
      <c r="O1854" t="s">
        <v>5563</v>
      </c>
      <c r="T1854" t="s">
        <v>5564</v>
      </c>
    </row>
    <row r="1855" spans="1:20" x14ac:dyDescent="0.25">
      <c r="A1855" t="str">
        <f>"3044406"</f>
        <v>3044406</v>
      </c>
      <c r="B1855" t="s">
        <v>5566</v>
      </c>
      <c r="C1855" t="str">
        <f>"82520796"</f>
        <v>82520796</v>
      </c>
      <c r="D1855" t="s">
        <v>5567</v>
      </c>
      <c r="E1855" t="s">
        <v>5568</v>
      </c>
      <c r="F1855" t="s">
        <v>5569</v>
      </c>
      <c r="I1855" t="s">
        <v>184</v>
      </c>
      <c r="J1855" t="s">
        <v>30</v>
      </c>
      <c r="K1855" t="s">
        <v>185</v>
      </c>
      <c r="M1855" t="s">
        <v>32</v>
      </c>
      <c r="N1855" t="str">
        <f>"5/5/2003 12:00:00 AM"</f>
        <v>5/5/2003 12:00:00 AM</v>
      </c>
      <c r="O1855" t="s">
        <v>5567</v>
      </c>
      <c r="T1855" t="s">
        <v>5568</v>
      </c>
    </row>
    <row r="1856" spans="1:20" x14ac:dyDescent="0.25">
      <c r="A1856" t="str">
        <f>"3044433"</f>
        <v>3044433</v>
      </c>
      <c r="B1856" t="s">
        <v>5570</v>
      </c>
      <c r="C1856" t="str">
        <f>"82513254"</f>
        <v>82513254</v>
      </c>
      <c r="D1856" t="s">
        <v>5571</v>
      </c>
      <c r="F1856" t="s">
        <v>5572</v>
      </c>
      <c r="I1856" t="s">
        <v>184</v>
      </c>
      <c r="J1856" t="s">
        <v>30</v>
      </c>
      <c r="K1856" t="s">
        <v>185</v>
      </c>
      <c r="M1856" t="s">
        <v>32</v>
      </c>
      <c r="N1856" t="str">
        <f>"11/19/1999 12:00:00 AM"</f>
        <v>11/19/1999 12:00:00 AM</v>
      </c>
      <c r="O1856" t="s">
        <v>5571</v>
      </c>
    </row>
    <row r="1857" spans="1:20" x14ac:dyDescent="0.25">
      <c r="A1857" t="str">
        <f>"3063881"</f>
        <v>3063881</v>
      </c>
      <c r="B1857" t="s">
        <v>5573</v>
      </c>
      <c r="C1857" t="str">
        <f>"68323000"</f>
        <v>68323000</v>
      </c>
      <c r="D1857" t="s">
        <v>5574</v>
      </c>
      <c r="F1857" t="s">
        <v>5575</v>
      </c>
      <c r="I1857" t="s">
        <v>184</v>
      </c>
      <c r="J1857" t="s">
        <v>30</v>
      </c>
      <c r="K1857" t="s">
        <v>185</v>
      </c>
      <c r="M1857" t="s">
        <v>32</v>
      </c>
      <c r="N1857" t="str">
        <f>"4/29/2002 12:00:00 AM"</f>
        <v>4/29/2002 12:00:00 AM</v>
      </c>
      <c r="O1857" t="s">
        <v>5574</v>
      </c>
    </row>
    <row r="1858" spans="1:20" x14ac:dyDescent="0.25">
      <c r="A1858" t="str">
        <f>"3044441"</f>
        <v>3044441</v>
      </c>
      <c r="B1858" t="s">
        <v>5576</v>
      </c>
      <c r="C1858" t="str">
        <f>"72650800"</f>
        <v>72650800</v>
      </c>
      <c r="D1858" t="s">
        <v>5577</v>
      </c>
      <c r="E1858" t="s">
        <v>5578</v>
      </c>
      <c r="F1858" t="s">
        <v>5579</v>
      </c>
      <c r="I1858" t="s">
        <v>184</v>
      </c>
      <c r="J1858" t="s">
        <v>30</v>
      </c>
      <c r="K1858" t="s">
        <v>185</v>
      </c>
      <c r="M1858" t="s">
        <v>32</v>
      </c>
      <c r="N1858" t="str">
        <f>"11/25/2002 12:00:00 AM"</f>
        <v>11/25/2002 12:00:00 AM</v>
      </c>
      <c r="O1858" t="s">
        <v>5577</v>
      </c>
      <c r="T1858" t="s">
        <v>5578</v>
      </c>
    </row>
    <row r="1859" spans="1:20" x14ac:dyDescent="0.25">
      <c r="A1859" t="str">
        <f>"3044445"</f>
        <v>3044445</v>
      </c>
      <c r="B1859" t="s">
        <v>5580</v>
      </c>
      <c r="C1859" t="str">
        <f>"50406000"</f>
        <v>50406000</v>
      </c>
      <c r="D1859" t="s">
        <v>5581</v>
      </c>
      <c r="E1859" t="s">
        <v>5582</v>
      </c>
      <c r="F1859" t="s">
        <v>5583</v>
      </c>
      <c r="I1859" t="s">
        <v>184</v>
      </c>
      <c r="J1859" t="s">
        <v>30</v>
      </c>
      <c r="K1859" t="s">
        <v>185</v>
      </c>
      <c r="M1859" t="s">
        <v>32</v>
      </c>
      <c r="N1859" t="str">
        <f>"2/20/2004 12:00:00 AM"</f>
        <v>2/20/2004 12:00:00 AM</v>
      </c>
      <c r="O1859" t="s">
        <v>5581</v>
      </c>
      <c r="T1859" t="s">
        <v>5582</v>
      </c>
    </row>
    <row r="1860" spans="1:20" x14ac:dyDescent="0.25">
      <c r="A1860" t="str">
        <f>"3044456"</f>
        <v>3044456</v>
      </c>
      <c r="B1860" t="s">
        <v>5584</v>
      </c>
      <c r="C1860" t="str">
        <f>"82519619"</f>
        <v>82519619</v>
      </c>
      <c r="D1860" t="s">
        <v>5585</v>
      </c>
      <c r="E1860" t="s">
        <v>5586</v>
      </c>
      <c r="F1860" t="s">
        <v>5587</v>
      </c>
      <c r="I1860" t="s">
        <v>184</v>
      </c>
      <c r="J1860" t="s">
        <v>30</v>
      </c>
      <c r="K1860" t="s">
        <v>185</v>
      </c>
      <c r="M1860" t="s">
        <v>32</v>
      </c>
      <c r="N1860" t="str">
        <f>"10/17/2002 12:00:00 AM"</f>
        <v>10/17/2002 12:00:00 AM</v>
      </c>
      <c r="O1860" t="s">
        <v>5585</v>
      </c>
      <c r="T1860" t="s">
        <v>5586</v>
      </c>
    </row>
    <row r="1861" spans="1:20" x14ac:dyDescent="0.25">
      <c r="A1861" t="str">
        <f>"3044457"</f>
        <v>3044457</v>
      </c>
      <c r="B1861" t="s">
        <v>5588</v>
      </c>
      <c r="C1861" t="str">
        <f>"82518845"</f>
        <v>82518845</v>
      </c>
      <c r="D1861" t="s">
        <v>5589</v>
      </c>
      <c r="E1861" t="s">
        <v>5590</v>
      </c>
      <c r="F1861" t="s">
        <v>5591</v>
      </c>
      <c r="I1861" t="s">
        <v>184</v>
      </c>
      <c r="J1861" t="s">
        <v>30</v>
      </c>
      <c r="K1861" t="s">
        <v>185</v>
      </c>
      <c r="M1861" t="s">
        <v>32</v>
      </c>
      <c r="N1861" t="str">
        <f>"1/21/2003 12:00:00 AM"</f>
        <v>1/21/2003 12:00:00 AM</v>
      </c>
      <c r="O1861" t="s">
        <v>5589</v>
      </c>
      <c r="T1861" t="s">
        <v>5590</v>
      </c>
    </row>
    <row r="1862" spans="1:20" x14ac:dyDescent="0.25">
      <c r="A1862" t="str">
        <f>"3044438"</f>
        <v>3044438</v>
      </c>
      <c r="B1862" t="s">
        <v>5592</v>
      </c>
      <c r="C1862" t="str">
        <f>"46327000"</f>
        <v>46327000</v>
      </c>
      <c r="D1862" t="s">
        <v>5593</v>
      </c>
      <c r="E1862" t="s">
        <v>5594</v>
      </c>
      <c r="F1862" t="s">
        <v>5595</v>
      </c>
      <c r="I1862" t="s">
        <v>184</v>
      </c>
      <c r="J1862" t="s">
        <v>30</v>
      </c>
      <c r="K1862" t="s">
        <v>185</v>
      </c>
      <c r="M1862" t="s">
        <v>32</v>
      </c>
      <c r="N1862" t="str">
        <f>"10/16/2007 12:00:00 AM"</f>
        <v>10/16/2007 12:00:00 AM</v>
      </c>
      <c r="O1862" t="s">
        <v>5593</v>
      </c>
      <c r="T1862" t="s">
        <v>5594</v>
      </c>
    </row>
    <row r="1863" spans="1:20" x14ac:dyDescent="0.25">
      <c r="A1863" t="str">
        <f>"3061378"</f>
        <v>3061378</v>
      </c>
      <c r="B1863" t="s">
        <v>5596</v>
      </c>
      <c r="C1863" t="str">
        <f>"4016800"</f>
        <v>4016800</v>
      </c>
      <c r="D1863" t="s">
        <v>5597</v>
      </c>
      <c r="E1863" t="s">
        <v>5598</v>
      </c>
      <c r="F1863" t="s">
        <v>5599</v>
      </c>
      <c r="I1863" t="s">
        <v>184</v>
      </c>
      <c r="J1863" t="s">
        <v>30</v>
      </c>
      <c r="K1863" t="s">
        <v>5432</v>
      </c>
      <c r="M1863" t="s">
        <v>32</v>
      </c>
      <c r="N1863" t="str">
        <f>"1/12/2007 12:00:00 AM"</f>
        <v>1/12/2007 12:00:00 AM</v>
      </c>
      <c r="O1863" t="s">
        <v>5597</v>
      </c>
      <c r="T1863" t="s">
        <v>5598</v>
      </c>
    </row>
    <row r="1864" spans="1:20" x14ac:dyDescent="0.25">
      <c r="A1864" t="str">
        <f>"3044459"</f>
        <v>3044459</v>
      </c>
      <c r="B1864" t="s">
        <v>5600</v>
      </c>
      <c r="C1864" t="str">
        <f>"42292200"</f>
        <v>42292200</v>
      </c>
      <c r="D1864" t="s">
        <v>5601</v>
      </c>
      <c r="E1864" t="s">
        <v>5602</v>
      </c>
      <c r="F1864" t="s">
        <v>5603</v>
      </c>
      <c r="I1864" t="s">
        <v>184</v>
      </c>
      <c r="J1864" t="s">
        <v>30</v>
      </c>
      <c r="K1864" t="s">
        <v>185</v>
      </c>
      <c r="M1864" t="s">
        <v>32</v>
      </c>
      <c r="N1864" t="str">
        <f>"1/23/2004 12:00:00 AM"</f>
        <v>1/23/2004 12:00:00 AM</v>
      </c>
      <c r="O1864" t="s">
        <v>5601</v>
      </c>
      <c r="T1864" t="s">
        <v>5602</v>
      </c>
    </row>
    <row r="1865" spans="1:20" x14ac:dyDescent="0.25">
      <c r="A1865" t="str">
        <f>"3044678"</f>
        <v>3044678</v>
      </c>
      <c r="B1865" t="s">
        <v>5604</v>
      </c>
      <c r="C1865" t="str">
        <f>"82514820"</f>
        <v>82514820</v>
      </c>
      <c r="D1865" t="s">
        <v>5605</v>
      </c>
      <c r="E1865" t="s">
        <v>5606</v>
      </c>
      <c r="F1865" t="s">
        <v>5607</v>
      </c>
      <c r="I1865" t="s">
        <v>184</v>
      </c>
      <c r="J1865" t="s">
        <v>30</v>
      </c>
      <c r="K1865" t="s">
        <v>5608</v>
      </c>
      <c r="M1865" t="s">
        <v>32</v>
      </c>
      <c r="N1865" t="str">
        <f>"11/30/2005 12:00:00 AM"</f>
        <v>11/30/2005 12:00:00 AM</v>
      </c>
      <c r="O1865" t="s">
        <v>5605</v>
      </c>
      <c r="T1865" t="s">
        <v>5606</v>
      </c>
    </row>
    <row r="1866" spans="1:20" x14ac:dyDescent="0.25">
      <c r="A1866" t="str">
        <f>"3044437"</f>
        <v>3044437</v>
      </c>
      <c r="B1866" t="s">
        <v>5609</v>
      </c>
      <c r="C1866" t="str">
        <f>"52132500"</f>
        <v>52132500</v>
      </c>
      <c r="D1866" t="s">
        <v>5610</v>
      </c>
      <c r="E1866" t="s">
        <v>5611</v>
      </c>
      <c r="F1866" t="s">
        <v>5612</v>
      </c>
      <c r="I1866" t="s">
        <v>184</v>
      </c>
      <c r="J1866" t="s">
        <v>30</v>
      </c>
      <c r="K1866" t="s">
        <v>5608</v>
      </c>
      <c r="M1866" t="s">
        <v>32</v>
      </c>
      <c r="N1866" t="str">
        <f>"2/11/2010 12:00:00 AM"</f>
        <v>2/11/2010 12:00:00 AM</v>
      </c>
      <c r="O1866" t="s">
        <v>5610</v>
      </c>
      <c r="T1866" t="s">
        <v>5611</v>
      </c>
    </row>
    <row r="1867" spans="1:20" x14ac:dyDescent="0.25">
      <c r="A1867" t="str">
        <f>"3044467"</f>
        <v>3044467</v>
      </c>
      <c r="B1867" t="s">
        <v>5613</v>
      </c>
      <c r="C1867" t="str">
        <f>"56828650"</f>
        <v>56828650</v>
      </c>
      <c r="D1867" t="s">
        <v>5614</v>
      </c>
      <c r="E1867" t="s">
        <v>5615</v>
      </c>
      <c r="F1867" t="s">
        <v>5616</v>
      </c>
      <c r="I1867" t="s">
        <v>184</v>
      </c>
      <c r="J1867" t="s">
        <v>30</v>
      </c>
      <c r="K1867" t="s">
        <v>185</v>
      </c>
      <c r="M1867" t="s">
        <v>32</v>
      </c>
      <c r="N1867" t="str">
        <f>"4/30/2002 12:00:00 AM"</f>
        <v>4/30/2002 12:00:00 AM</v>
      </c>
      <c r="O1867" t="s">
        <v>5614</v>
      </c>
      <c r="T1867" t="s">
        <v>5615</v>
      </c>
    </row>
    <row r="1868" spans="1:20" x14ac:dyDescent="0.25">
      <c r="A1868" t="str">
        <f>"3061447"</f>
        <v>3061447</v>
      </c>
      <c r="B1868" t="s">
        <v>5617</v>
      </c>
      <c r="C1868" t="str">
        <f>"31325000"</f>
        <v>31325000</v>
      </c>
      <c r="D1868" t="s">
        <v>5618</v>
      </c>
      <c r="E1868" t="s">
        <v>5619</v>
      </c>
      <c r="F1868" t="s">
        <v>5620</v>
      </c>
      <c r="I1868" t="s">
        <v>184</v>
      </c>
      <c r="J1868" t="s">
        <v>30</v>
      </c>
      <c r="K1868" t="s">
        <v>5408</v>
      </c>
      <c r="M1868" t="s">
        <v>32</v>
      </c>
      <c r="N1868" t="str">
        <f>"1/11/2006 12:00:00 AM"</f>
        <v>1/11/2006 12:00:00 AM</v>
      </c>
      <c r="O1868" t="s">
        <v>5618</v>
      </c>
      <c r="T1868" t="s">
        <v>5619</v>
      </c>
    </row>
    <row r="1869" spans="1:20" x14ac:dyDescent="0.25">
      <c r="A1869" t="str">
        <f>"3044472"</f>
        <v>3044472</v>
      </c>
      <c r="B1869" t="s">
        <v>5621</v>
      </c>
      <c r="C1869" t="str">
        <f>"14887000"</f>
        <v>14887000</v>
      </c>
      <c r="D1869" t="s">
        <v>5622</v>
      </c>
      <c r="E1869" t="s">
        <v>5623</v>
      </c>
      <c r="F1869" t="s">
        <v>5624</v>
      </c>
      <c r="I1869" t="s">
        <v>184</v>
      </c>
      <c r="J1869" t="s">
        <v>30</v>
      </c>
      <c r="K1869" t="s">
        <v>185</v>
      </c>
      <c r="M1869" t="s">
        <v>32</v>
      </c>
      <c r="N1869" t="str">
        <f>"6/25/2003 12:00:00 AM"</f>
        <v>6/25/2003 12:00:00 AM</v>
      </c>
      <c r="O1869" t="s">
        <v>5622</v>
      </c>
      <c r="T1869" t="s">
        <v>5623</v>
      </c>
    </row>
    <row r="1870" spans="1:20" x14ac:dyDescent="0.25">
      <c r="A1870" t="str">
        <f>"3044473"</f>
        <v>3044473</v>
      </c>
      <c r="B1870" t="s">
        <v>5625</v>
      </c>
      <c r="C1870" t="str">
        <f>"40851500"</f>
        <v>40851500</v>
      </c>
      <c r="D1870" t="s">
        <v>5626</v>
      </c>
      <c r="E1870" t="s">
        <v>5627</v>
      </c>
      <c r="F1870" t="s">
        <v>5628</v>
      </c>
      <c r="I1870" t="s">
        <v>184</v>
      </c>
      <c r="J1870" t="s">
        <v>30</v>
      </c>
      <c r="K1870" t="s">
        <v>5629</v>
      </c>
      <c r="M1870" t="s">
        <v>32</v>
      </c>
      <c r="N1870" t="str">
        <f>"2/10/2010 12:00:00 AM"</f>
        <v>2/10/2010 12:00:00 AM</v>
      </c>
      <c r="O1870" t="s">
        <v>5626</v>
      </c>
      <c r="T1870" t="s">
        <v>5627</v>
      </c>
    </row>
    <row r="1871" spans="1:20" x14ac:dyDescent="0.25">
      <c r="A1871" t="str">
        <f>"3044474"</f>
        <v>3044474</v>
      </c>
      <c r="B1871" t="s">
        <v>5630</v>
      </c>
      <c r="C1871" t="str">
        <f>"82525146"</f>
        <v>82525146</v>
      </c>
      <c r="D1871" t="s">
        <v>5631</v>
      </c>
      <c r="E1871" t="s">
        <v>5632</v>
      </c>
      <c r="F1871" t="s">
        <v>5633</v>
      </c>
      <c r="I1871" t="s">
        <v>184</v>
      </c>
      <c r="J1871" t="s">
        <v>30</v>
      </c>
      <c r="K1871" t="s">
        <v>5629</v>
      </c>
      <c r="M1871" t="s">
        <v>32</v>
      </c>
      <c r="N1871" t="str">
        <f>"8/26/2011 12:00:00 AM"</f>
        <v>8/26/2011 12:00:00 AM</v>
      </c>
      <c r="O1871" t="s">
        <v>5631</v>
      </c>
      <c r="T1871" t="s">
        <v>5632</v>
      </c>
    </row>
    <row r="1872" spans="1:20" x14ac:dyDescent="0.25">
      <c r="A1872" t="str">
        <f>"3044478"</f>
        <v>3044478</v>
      </c>
      <c r="B1872" t="s">
        <v>5634</v>
      </c>
      <c r="C1872" t="str">
        <f>"82525925"</f>
        <v>82525925</v>
      </c>
      <c r="D1872" t="s">
        <v>5635</v>
      </c>
      <c r="F1872" t="s">
        <v>5636</v>
      </c>
      <c r="I1872" t="s">
        <v>184</v>
      </c>
      <c r="J1872" t="s">
        <v>30</v>
      </c>
      <c r="K1872" t="s">
        <v>185</v>
      </c>
      <c r="M1872" t="s">
        <v>32</v>
      </c>
      <c r="N1872" t="str">
        <f>"2/14/2007 12:00:00 AM"</f>
        <v>2/14/2007 12:00:00 AM</v>
      </c>
      <c r="O1872" t="s">
        <v>5635</v>
      </c>
      <c r="T1872" t="s">
        <v>5635</v>
      </c>
    </row>
    <row r="1873" spans="1:20" x14ac:dyDescent="0.25">
      <c r="A1873" t="str">
        <f>"3044480"</f>
        <v>3044480</v>
      </c>
      <c r="B1873" t="s">
        <v>5637</v>
      </c>
      <c r="C1873" t="str">
        <f>"56400950"</f>
        <v>56400950</v>
      </c>
      <c r="D1873" t="s">
        <v>5638</v>
      </c>
      <c r="E1873" t="s">
        <v>5639</v>
      </c>
      <c r="F1873" t="s">
        <v>5640</v>
      </c>
      <c r="I1873" t="s">
        <v>184</v>
      </c>
      <c r="J1873" t="s">
        <v>30</v>
      </c>
      <c r="K1873" t="s">
        <v>185</v>
      </c>
      <c r="M1873" t="s">
        <v>32</v>
      </c>
      <c r="N1873" t="str">
        <f>"7/29/2002 12:00:00 AM"</f>
        <v>7/29/2002 12:00:00 AM</v>
      </c>
      <c r="O1873" t="s">
        <v>5638</v>
      </c>
      <c r="T1873" t="s">
        <v>5639</v>
      </c>
    </row>
    <row r="1874" spans="1:20" x14ac:dyDescent="0.25">
      <c r="A1874" t="str">
        <f>"3044464"</f>
        <v>3044464</v>
      </c>
      <c r="B1874" t="s">
        <v>5641</v>
      </c>
      <c r="C1874" t="str">
        <f>"7474740"</f>
        <v>7474740</v>
      </c>
      <c r="D1874" t="s">
        <v>5642</v>
      </c>
      <c r="E1874" t="s">
        <v>5643</v>
      </c>
      <c r="F1874" t="s">
        <v>5644</v>
      </c>
      <c r="I1874" t="s">
        <v>184</v>
      </c>
      <c r="J1874" t="s">
        <v>30</v>
      </c>
      <c r="K1874" t="s">
        <v>185</v>
      </c>
      <c r="M1874" t="s">
        <v>32</v>
      </c>
      <c r="N1874" t="str">
        <f>"1/22/2004 12:00:00 AM"</f>
        <v>1/22/2004 12:00:00 AM</v>
      </c>
      <c r="O1874" t="s">
        <v>5642</v>
      </c>
      <c r="T1874" t="s">
        <v>5643</v>
      </c>
    </row>
    <row r="1875" spans="1:20" x14ac:dyDescent="0.25">
      <c r="A1875" t="str">
        <f>"3044465"</f>
        <v>3044465</v>
      </c>
      <c r="B1875" t="s">
        <v>5645</v>
      </c>
      <c r="C1875" t="str">
        <f>"82523617"</f>
        <v>82523617</v>
      </c>
      <c r="D1875" t="s">
        <v>5646</v>
      </c>
      <c r="E1875" t="s">
        <v>5647</v>
      </c>
      <c r="F1875" t="s">
        <v>5648</v>
      </c>
      <c r="I1875" t="s">
        <v>184</v>
      </c>
      <c r="J1875" t="s">
        <v>30</v>
      </c>
      <c r="K1875" t="s">
        <v>185</v>
      </c>
      <c r="M1875" t="s">
        <v>32</v>
      </c>
      <c r="N1875" t="str">
        <f>"1/7/2005 12:00:00 AM"</f>
        <v>1/7/2005 12:00:00 AM</v>
      </c>
      <c r="O1875" t="s">
        <v>5646</v>
      </c>
      <c r="T1875" t="s">
        <v>5647</v>
      </c>
    </row>
    <row r="1876" spans="1:20" x14ac:dyDescent="0.25">
      <c r="A1876" t="str">
        <f>"3067738"</f>
        <v>3067738</v>
      </c>
      <c r="B1876" t="s">
        <v>5649</v>
      </c>
      <c r="C1876" t="str">
        <f>"21018900"</f>
        <v>21018900</v>
      </c>
      <c r="D1876" t="s">
        <v>5650</v>
      </c>
      <c r="F1876" t="s">
        <v>5651</v>
      </c>
      <c r="I1876" t="s">
        <v>184</v>
      </c>
      <c r="J1876" t="s">
        <v>30</v>
      </c>
      <c r="K1876" t="s">
        <v>185</v>
      </c>
      <c r="M1876" t="s">
        <v>32</v>
      </c>
      <c r="N1876" t="str">
        <f>"7/21/2003 12:00:00 AM"</f>
        <v>7/21/2003 12:00:00 AM</v>
      </c>
      <c r="O1876" t="s">
        <v>5650</v>
      </c>
    </row>
    <row r="1877" spans="1:20" x14ac:dyDescent="0.25">
      <c r="A1877" t="str">
        <f>"3064740"</f>
        <v>3064740</v>
      </c>
      <c r="B1877" t="s">
        <v>5652</v>
      </c>
      <c r="C1877" t="str">
        <f>"46982300"</f>
        <v>46982300</v>
      </c>
      <c r="D1877" t="s">
        <v>5653</v>
      </c>
      <c r="E1877" t="s">
        <v>5654</v>
      </c>
      <c r="F1877" t="s">
        <v>5655</v>
      </c>
      <c r="I1877" t="s">
        <v>184</v>
      </c>
      <c r="J1877" t="s">
        <v>30</v>
      </c>
      <c r="K1877" t="s">
        <v>5408</v>
      </c>
      <c r="M1877" t="s">
        <v>32</v>
      </c>
      <c r="N1877" t="str">
        <f>"2/10/2005 12:00:00 AM"</f>
        <v>2/10/2005 12:00:00 AM</v>
      </c>
      <c r="O1877" t="s">
        <v>5653</v>
      </c>
      <c r="T1877" t="s">
        <v>5654</v>
      </c>
    </row>
    <row r="1878" spans="1:20" x14ac:dyDescent="0.25">
      <c r="A1878" t="str">
        <f>"3062506"</f>
        <v>3062506</v>
      </c>
      <c r="B1878" t="s">
        <v>5656</v>
      </c>
      <c r="C1878" t="str">
        <f>"49775000"</f>
        <v>49775000</v>
      </c>
      <c r="D1878" t="s">
        <v>5657</v>
      </c>
      <c r="E1878" t="s">
        <v>5658</v>
      </c>
      <c r="F1878" t="s">
        <v>5659</v>
      </c>
      <c r="I1878" t="s">
        <v>184</v>
      </c>
      <c r="J1878" t="s">
        <v>30</v>
      </c>
      <c r="K1878" t="s">
        <v>185</v>
      </c>
      <c r="M1878" t="s">
        <v>32</v>
      </c>
      <c r="N1878" t="str">
        <f>"2/19/2004 12:00:00 AM"</f>
        <v>2/19/2004 12:00:00 AM</v>
      </c>
      <c r="O1878" t="s">
        <v>5657</v>
      </c>
      <c r="T1878" t="s">
        <v>5658</v>
      </c>
    </row>
    <row r="1879" spans="1:20" x14ac:dyDescent="0.25">
      <c r="A1879" t="str">
        <f>"3061412"</f>
        <v>3061412</v>
      </c>
      <c r="B1879" t="s">
        <v>5660</v>
      </c>
      <c r="C1879" t="str">
        <f>"82520955"</f>
        <v>82520955</v>
      </c>
      <c r="D1879" t="s">
        <v>5661</v>
      </c>
      <c r="E1879" t="s">
        <v>5662</v>
      </c>
      <c r="F1879" t="s">
        <v>5663</v>
      </c>
      <c r="I1879" t="s">
        <v>184</v>
      </c>
      <c r="J1879" t="s">
        <v>30</v>
      </c>
      <c r="K1879" t="s">
        <v>5664</v>
      </c>
      <c r="M1879" t="s">
        <v>32</v>
      </c>
      <c r="N1879" t="str">
        <f>"1/11/2007 12:00:00 AM"</f>
        <v>1/11/2007 12:00:00 AM</v>
      </c>
      <c r="O1879" t="s">
        <v>5661</v>
      </c>
      <c r="T1879" t="s">
        <v>5662</v>
      </c>
    </row>
    <row r="1880" spans="1:20" x14ac:dyDescent="0.25">
      <c r="A1880" t="str">
        <f>"3048177"</f>
        <v>3048177</v>
      </c>
      <c r="B1880" t="s">
        <v>5665</v>
      </c>
      <c r="C1880" t="str">
        <f>"82515984"</f>
        <v>82515984</v>
      </c>
      <c r="D1880" t="s">
        <v>5666</v>
      </c>
      <c r="E1880" t="s">
        <v>5667</v>
      </c>
      <c r="F1880" t="s">
        <v>5668</v>
      </c>
      <c r="I1880" t="s">
        <v>184</v>
      </c>
      <c r="J1880" t="s">
        <v>30</v>
      </c>
      <c r="K1880" t="s">
        <v>185</v>
      </c>
      <c r="M1880" t="s">
        <v>32</v>
      </c>
      <c r="N1880" t="str">
        <f>"11/12/2002 12:00:00 AM"</f>
        <v>11/12/2002 12:00:00 AM</v>
      </c>
      <c r="O1880" t="s">
        <v>5666</v>
      </c>
      <c r="T1880" t="s">
        <v>5667</v>
      </c>
    </row>
    <row r="1881" spans="1:20" x14ac:dyDescent="0.25">
      <c r="A1881" t="str">
        <f>"3065016"</f>
        <v>3065016</v>
      </c>
      <c r="B1881" t="s">
        <v>5669</v>
      </c>
      <c r="C1881" t="str">
        <f>"82515984"</f>
        <v>82515984</v>
      </c>
      <c r="D1881" t="s">
        <v>5666</v>
      </c>
      <c r="E1881" t="s">
        <v>5667</v>
      </c>
      <c r="F1881" t="s">
        <v>5668</v>
      </c>
      <c r="I1881" t="s">
        <v>184</v>
      </c>
      <c r="J1881" t="s">
        <v>30</v>
      </c>
      <c r="K1881" t="s">
        <v>185</v>
      </c>
      <c r="M1881" t="s">
        <v>32</v>
      </c>
      <c r="N1881" t="str">
        <f>"11/12/2002 12:00:00 AM"</f>
        <v>11/12/2002 12:00:00 AM</v>
      </c>
      <c r="O1881" t="s">
        <v>5666</v>
      </c>
      <c r="T1881" t="s">
        <v>5667</v>
      </c>
    </row>
    <row r="1882" spans="1:20" x14ac:dyDescent="0.25">
      <c r="A1882" t="str">
        <f>"3044488"</f>
        <v>3044488</v>
      </c>
      <c r="B1882" t="s">
        <v>5670</v>
      </c>
      <c r="C1882" t="str">
        <f>"82519645"</f>
        <v>82519645</v>
      </c>
      <c r="D1882" t="s">
        <v>5671</v>
      </c>
      <c r="E1882" t="s">
        <v>5672</v>
      </c>
      <c r="F1882" t="s">
        <v>5673</v>
      </c>
      <c r="I1882" t="s">
        <v>184</v>
      </c>
      <c r="J1882" t="s">
        <v>30</v>
      </c>
      <c r="K1882" t="s">
        <v>185</v>
      </c>
      <c r="M1882" t="s">
        <v>32</v>
      </c>
      <c r="N1882" t="str">
        <f>"10/23/2002 12:00:00 AM"</f>
        <v>10/23/2002 12:00:00 AM</v>
      </c>
      <c r="O1882" t="s">
        <v>5671</v>
      </c>
      <c r="T1882" t="s">
        <v>5672</v>
      </c>
    </row>
    <row r="1883" spans="1:20" x14ac:dyDescent="0.25">
      <c r="A1883" t="str">
        <f>"3044497"</f>
        <v>3044497</v>
      </c>
      <c r="B1883" t="s">
        <v>5674</v>
      </c>
      <c r="C1883" t="str">
        <f>"76726000"</f>
        <v>76726000</v>
      </c>
      <c r="D1883" t="s">
        <v>5675</v>
      </c>
      <c r="E1883" t="s">
        <v>5676</v>
      </c>
      <c r="F1883" t="s">
        <v>5677</v>
      </c>
      <c r="I1883" t="s">
        <v>184</v>
      </c>
      <c r="J1883" t="s">
        <v>30</v>
      </c>
      <c r="K1883" t="s">
        <v>185</v>
      </c>
      <c r="M1883" t="s">
        <v>32</v>
      </c>
      <c r="N1883" t="str">
        <f>"6/24/2004 12:00:00 AM"</f>
        <v>6/24/2004 12:00:00 AM</v>
      </c>
      <c r="O1883" t="s">
        <v>5675</v>
      </c>
      <c r="T1883" t="s">
        <v>5676</v>
      </c>
    </row>
    <row r="1884" spans="1:20" x14ac:dyDescent="0.25">
      <c r="A1884" t="str">
        <f>"3044498"</f>
        <v>3044498</v>
      </c>
      <c r="B1884" t="s">
        <v>5678</v>
      </c>
      <c r="C1884" t="str">
        <f>"55501560"</f>
        <v>55501560</v>
      </c>
      <c r="D1884" t="s">
        <v>5679</v>
      </c>
      <c r="E1884" t="s">
        <v>5680</v>
      </c>
      <c r="F1884" t="s">
        <v>5681</v>
      </c>
      <c r="I1884" t="s">
        <v>184</v>
      </c>
      <c r="J1884" t="s">
        <v>30</v>
      </c>
      <c r="K1884" t="s">
        <v>5682</v>
      </c>
      <c r="M1884" t="s">
        <v>32</v>
      </c>
      <c r="N1884" t="str">
        <f>"2/17/2005 12:00:00 AM"</f>
        <v>2/17/2005 12:00:00 AM</v>
      </c>
      <c r="O1884" t="s">
        <v>5679</v>
      </c>
      <c r="T1884" t="s">
        <v>5680</v>
      </c>
    </row>
    <row r="1885" spans="1:20" x14ac:dyDescent="0.25">
      <c r="A1885" t="str">
        <f>"3044499"</f>
        <v>3044499</v>
      </c>
      <c r="B1885" t="s">
        <v>5683</v>
      </c>
      <c r="C1885" t="str">
        <f>"82528763"</f>
        <v>82528763</v>
      </c>
      <c r="D1885" t="s">
        <v>5684</v>
      </c>
      <c r="E1885" t="s">
        <v>5685</v>
      </c>
      <c r="F1885" t="s">
        <v>5686</v>
      </c>
      <c r="I1885" t="s">
        <v>184</v>
      </c>
      <c r="J1885" t="s">
        <v>30</v>
      </c>
      <c r="K1885" t="s">
        <v>185</v>
      </c>
      <c r="M1885" t="s">
        <v>32</v>
      </c>
      <c r="N1885" t="str">
        <f>"2/2/2010 12:00:00 AM"</f>
        <v>2/2/2010 12:00:00 AM</v>
      </c>
      <c r="O1885" t="s">
        <v>5684</v>
      </c>
      <c r="T1885" t="s">
        <v>5685</v>
      </c>
    </row>
    <row r="1886" spans="1:20" x14ac:dyDescent="0.25">
      <c r="A1886" t="str">
        <f>"3044682"</f>
        <v>3044682</v>
      </c>
      <c r="B1886" t="s">
        <v>5687</v>
      </c>
      <c r="C1886" t="str">
        <f>"24423100"</f>
        <v>24423100</v>
      </c>
      <c r="D1886" t="s">
        <v>5688</v>
      </c>
      <c r="E1886" t="s">
        <v>5689</v>
      </c>
      <c r="F1886" t="s">
        <v>5690</v>
      </c>
      <c r="I1886" t="s">
        <v>184</v>
      </c>
      <c r="J1886" t="s">
        <v>30</v>
      </c>
      <c r="K1886" t="s">
        <v>5682</v>
      </c>
      <c r="M1886" t="s">
        <v>32</v>
      </c>
      <c r="N1886" t="str">
        <f>"8/21/2006 12:00:00 AM"</f>
        <v>8/21/2006 12:00:00 AM</v>
      </c>
      <c r="O1886" t="s">
        <v>5688</v>
      </c>
      <c r="T1886" t="s">
        <v>5689</v>
      </c>
    </row>
    <row r="1887" spans="1:20" x14ac:dyDescent="0.25">
      <c r="A1887" t="str">
        <f>"3044502"</f>
        <v>3044502</v>
      </c>
      <c r="B1887" t="s">
        <v>5691</v>
      </c>
      <c r="C1887" t="str">
        <f>"22275750"</f>
        <v>22275750</v>
      </c>
      <c r="D1887" t="s">
        <v>5692</v>
      </c>
      <c r="E1887" t="s">
        <v>5693</v>
      </c>
      <c r="F1887" t="s">
        <v>5694</v>
      </c>
      <c r="I1887" t="s">
        <v>184</v>
      </c>
      <c r="J1887" t="s">
        <v>30</v>
      </c>
      <c r="K1887" t="s">
        <v>185</v>
      </c>
      <c r="M1887" t="s">
        <v>32</v>
      </c>
      <c r="N1887" t="str">
        <f>"5/1/2002 12:00:00 AM"</f>
        <v>5/1/2002 12:00:00 AM</v>
      </c>
      <c r="O1887" t="s">
        <v>5692</v>
      </c>
      <c r="T1887" t="s">
        <v>5693</v>
      </c>
    </row>
    <row r="1888" spans="1:20" x14ac:dyDescent="0.25">
      <c r="A1888" t="str">
        <f>"3044503"</f>
        <v>3044503</v>
      </c>
      <c r="B1888" t="s">
        <v>5695</v>
      </c>
      <c r="C1888" t="str">
        <f>"82525585"</f>
        <v>82525585</v>
      </c>
      <c r="D1888" t="s">
        <v>5696</v>
      </c>
      <c r="E1888" t="s">
        <v>5697</v>
      </c>
      <c r="F1888" t="s">
        <v>5698</v>
      </c>
      <c r="I1888" t="s">
        <v>184</v>
      </c>
      <c r="J1888" t="s">
        <v>30</v>
      </c>
      <c r="K1888" t="s">
        <v>185</v>
      </c>
      <c r="M1888" t="s">
        <v>32</v>
      </c>
      <c r="N1888" t="str">
        <f>"1/5/2006 12:00:00 AM"</f>
        <v>1/5/2006 12:00:00 AM</v>
      </c>
      <c r="O1888" t="s">
        <v>5696</v>
      </c>
      <c r="T1888" t="s">
        <v>5697</v>
      </c>
    </row>
    <row r="1889" spans="1:20" x14ac:dyDescent="0.25">
      <c r="A1889" t="str">
        <f>"3061423"</f>
        <v>3061423</v>
      </c>
      <c r="B1889" t="s">
        <v>5699</v>
      </c>
      <c r="C1889" t="str">
        <f>"82520307"</f>
        <v>82520307</v>
      </c>
      <c r="D1889" t="s">
        <v>5700</v>
      </c>
      <c r="E1889" t="s">
        <v>5701</v>
      </c>
      <c r="F1889" t="s">
        <v>5702</v>
      </c>
      <c r="I1889" t="s">
        <v>184</v>
      </c>
      <c r="J1889" t="s">
        <v>30</v>
      </c>
      <c r="K1889" t="s">
        <v>185</v>
      </c>
      <c r="M1889" t="s">
        <v>32</v>
      </c>
      <c r="N1889" t="str">
        <f>"1/8/2004 12:00:00 AM"</f>
        <v>1/8/2004 12:00:00 AM</v>
      </c>
      <c r="O1889" t="s">
        <v>5700</v>
      </c>
      <c r="T1889" t="s">
        <v>5701</v>
      </c>
    </row>
    <row r="1890" spans="1:20" x14ac:dyDescent="0.25">
      <c r="A1890" t="str">
        <f>"3044711"</f>
        <v>3044711</v>
      </c>
      <c r="B1890" t="s">
        <v>5703</v>
      </c>
      <c r="C1890" t="str">
        <f>"12022500"</f>
        <v>12022500</v>
      </c>
      <c r="D1890" t="s">
        <v>5704</v>
      </c>
      <c r="E1890" t="s">
        <v>5705</v>
      </c>
      <c r="F1890" t="s">
        <v>5706</v>
      </c>
      <c r="I1890" t="s">
        <v>184</v>
      </c>
      <c r="J1890" t="s">
        <v>30</v>
      </c>
      <c r="K1890" t="s">
        <v>5707</v>
      </c>
      <c r="M1890" t="s">
        <v>32</v>
      </c>
      <c r="N1890" t="str">
        <f>"1/20/2005 12:00:00 AM"</f>
        <v>1/20/2005 12:00:00 AM</v>
      </c>
      <c r="O1890" t="s">
        <v>5704</v>
      </c>
      <c r="T1890" t="s">
        <v>5705</v>
      </c>
    </row>
    <row r="1891" spans="1:20" x14ac:dyDescent="0.25">
      <c r="A1891" t="str">
        <f>"3044494"</f>
        <v>3044494</v>
      </c>
      <c r="B1891" t="s">
        <v>5708</v>
      </c>
      <c r="C1891" t="str">
        <f>"71991200"</f>
        <v>71991200</v>
      </c>
      <c r="D1891" t="s">
        <v>5709</v>
      </c>
      <c r="E1891" t="s">
        <v>5710</v>
      </c>
      <c r="F1891" t="s">
        <v>5711</v>
      </c>
      <c r="I1891" t="s">
        <v>184</v>
      </c>
      <c r="J1891" t="s">
        <v>30</v>
      </c>
      <c r="K1891" t="s">
        <v>185</v>
      </c>
      <c r="M1891" t="s">
        <v>32</v>
      </c>
      <c r="N1891" t="str">
        <f>"5/1/2002 12:00:00 AM"</f>
        <v>5/1/2002 12:00:00 AM</v>
      </c>
      <c r="O1891" t="s">
        <v>5709</v>
      </c>
      <c r="T1891" t="s">
        <v>5710</v>
      </c>
    </row>
    <row r="1892" spans="1:20" x14ac:dyDescent="0.25">
      <c r="A1892" t="str">
        <f>"3044515"</f>
        <v>3044515</v>
      </c>
      <c r="B1892" t="s">
        <v>5712</v>
      </c>
      <c r="C1892" t="str">
        <f>"82523252"</f>
        <v>82523252</v>
      </c>
      <c r="D1892" t="s">
        <v>5713</v>
      </c>
      <c r="F1892" t="s">
        <v>5714</v>
      </c>
      <c r="I1892" t="s">
        <v>184</v>
      </c>
      <c r="J1892" t="s">
        <v>30</v>
      </c>
      <c r="K1892" t="s">
        <v>5715</v>
      </c>
      <c r="M1892" t="s">
        <v>32</v>
      </c>
      <c r="N1892" t="str">
        <f>"2/18/2005 12:00:00 AM"</f>
        <v>2/18/2005 12:00:00 AM</v>
      </c>
      <c r="O1892" t="s">
        <v>5713</v>
      </c>
    </row>
    <row r="1893" spans="1:20" x14ac:dyDescent="0.25">
      <c r="A1893" t="str">
        <f>"3044517"</f>
        <v>3044517</v>
      </c>
      <c r="B1893" t="s">
        <v>5716</v>
      </c>
      <c r="C1893" t="str">
        <f>"46800920"</f>
        <v>46800920</v>
      </c>
      <c r="D1893" t="s">
        <v>5717</v>
      </c>
      <c r="E1893" t="s">
        <v>5718</v>
      </c>
      <c r="F1893" t="s">
        <v>5719</v>
      </c>
      <c r="I1893" t="s">
        <v>184</v>
      </c>
      <c r="J1893" t="s">
        <v>30</v>
      </c>
      <c r="K1893" t="s">
        <v>185</v>
      </c>
      <c r="M1893" t="s">
        <v>32</v>
      </c>
      <c r="N1893" t="str">
        <f>"5/1/2002 12:00:00 AM"</f>
        <v>5/1/2002 12:00:00 AM</v>
      </c>
      <c r="O1893" t="s">
        <v>5717</v>
      </c>
      <c r="T1893" t="s">
        <v>5718</v>
      </c>
    </row>
    <row r="1894" spans="1:20" x14ac:dyDescent="0.25">
      <c r="A1894" t="str">
        <f>"3044491"</f>
        <v>3044491</v>
      </c>
      <c r="B1894" t="s">
        <v>5720</v>
      </c>
      <c r="C1894" t="str">
        <f>"82525111"</f>
        <v>82525111</v>
      </c>
      <c r="D1894" t="s">
        <v>5721</v>
      </c>
      <c r="E1894" t="s">
        <v>5722</v>
      </c>
      <c r="F1894" t="s">
        <v>5723</v>
      </c>
      <c r="I1894" t="s">
        <v>184</v>
      </c>
      <c r="J1894" t="s">
        <v>30</v>
      </c>
      <c r="K1894" t="s">
        <v>5724</v>
      </c>
      <c r="M1894" t="s">
        <v>32</v>
      </c>
      <c r="N1894" t="str">
        <f>"2/7/2008 12:00:00 AM"</f>
        <v>2/7/2008 12:00:00 AM</v>
      </c>
      <c r="O1894" t="s">
        <v>5721</v>
      </c>
      <c r="T1894" t="s">
        <v>5722</v>
      </c>
    </row>
    <row r="1895" spans="1:20" x14ac:dyDescent="0.25">
      <c r="A1895" t="str">
        <f>"3065750"</f>
        <v>3065750</v>
      </c>
      <c r="B1895" t="s">
        <v>5725</v>
      </c>
      <c r="C1895" t="str">
        <f>"53856000"</f>
        <v>53856000</v>
      </c>
      <c r="D1895" t="s">
        <v>5726</v>
      </c>
      <c r="E1895" t="s">
        <v>5727</v>
      </c>
      <c r="F1895" t="s">
        <v>5728</v>
      </c>
      <c r="I1895" t="s">
        <v>184</v>
      </c>
      <c r="J1895" t="s">
        <v>30</v>
      </c>
      <c r="K1895" t="s">
        <v>5339</v>
      </c>
      <c r="M1895" t="s">
        <v>32</v>
      </c>
      <c r="N1895" t="str">
        <f>"1/12/2006 12:00:00 AM"</f>
        <v>1/12/2006 12:00:00 AM</v>
      </c>
      <c r="O1895" t="s">
        <v>5726</v>
      </c>
      <c r="T1895" t="s">
        <v>5727</v>
      </c>
    </row>
    <row r="1896" spans="1:20" x14ac:dyDescent="0.25">
      <c r="A1896" t="str">
        <f>"3044520"</f>
        <v>3044520</v>
      </c>
      <c r="B1896" t="s">
        <v>5729</v>
      </c>
      <c r="C1896" t="str">
        <f>"41968500"</f>
        <v>41968500</v>
      </c>
      <c r="D1896" t="s">
        <v>5730</v>
      </c>
      <c r="F1896" t="s">
        <v>5731</v>
      </c>
      <c r="I1896" t="s">
        <v>184</v>
      </c>
      <c r="J1896" t="s">
        <v>30</v>
      </c>
      <c r="K1896" t="s">
        <v>185</v>
      </c>
      <c r="M1896" t="s">
        <v>32</v>
      </c>
      <c r="N1896" t="str">
        <f>"5/1/2002 12:00:00 AM"</f>
        <v>5/1/2002 12:00:00 AM</v>
      </c>
      <c r="O1896" t="s">
        <v>5730</v>
      </c>
    </row>
    <row r="1897" spans="1:20" x14ac:dyDescent="0.25">
      <c r="A1897" t="str">
        <f>"3044521"</f>
        <v>3044521</v>
      </c>
      <c r="B1897" t="s">
        <v>5732</v>
      </c>
      <c r="C1897" t="str">
        <f>"82520912"</f>
        <v>82520912</v>
      </c>
      <c r="D1897" t="s">
        <v>5733</v>
      </c>
      <c r="E1897" t="s">
        <v>5734</v>
      </c>
      <c r="F1897" t="s">
        <v>5735</v>
      </c>
      <c r="I1897" t="s">
        <v>184</v>
      </c>
      <c r="J1897" t="s">
        <v>30</v>
      </c>
      <c r="K1897" t="s">
        <v>185</v>
      </c>
      <c r="M1897" t="s">
        <v>32</v>
      </c>
      <c r="N1897" t="str">
        <f>"2/2/2004 12:00:00 AM"</f>
        <v>2/2/2004 12:00:00 AM</v>
      </c>
      <c r="O1897" t="s">
        <v>5733</v>
      </c>
      <c r="T1897" t="s">
        <v>5734</v>
      </c>
    </row>
    <row r="1898" spans="1:20" x14ac:dyDescent="0.25">
      <c r="A1898" t="str">
        <f>"3044553"</f>
        <v>3044553</v>
      </c>
      <c r="B1898" t="s">
        <v>5736</v>
      </c>
      <c r="C1898" t="str">
        <f>"28796000"</f>
        <v>28796000</v>
      </c>
      <c r="D1898" t="s">
        <v>5737</v>
      </c>
      <c r="F1898" t="s">
        <v>5738</v>
      </c>
      <c r="I1898" t="s">
        <v>184</v>
      </c>
      <c r="J1898" t="s">
        <v>30</v>
      </c>
      <c r="K1898" t="s">
        <v>185</v>
      </c>
      <c r="M1898" t="s">
        <v>32</v>
      </c>
      <c r="N1898" t="str">
        <f>"8/28/2003 12:00:00 AM"</f>
        <v>8/28/2003 12:00:00 AM</v>
      </c>
      <c r="O1898" t="s">
        <v>5737</v>
      </c>
    </row>
    <row r="1899" spans="1:20" x14ac:dyDescent="0.25">
      <c r="A1899" t="str">
        <f>"3044907"</f>
        <v>3044907</v>
      </c>
      <c r="B1899" t="s">
        <v>5739</v>
      </c>
      <c r="C1899" t="str">
        <f>"82520757"</f>
        <v>82520757</v>
      </c>
      <c r="D1899" t="s">
        <v>5740</v>
      </c>
      <c r="E1899" t="s">
        <v>5741</v>
      </c>
      <c r="F1899" t="s">
        <v>5742</v>
      </c>
      <c r="I1899" t="s">
        <v>184</v>
      </c>
      <c r="J1899" t="s">
        <v>30</v>
      </c>
      <c r="K1899" t="s">
        <v>185</v>
      </c>
      <c r="M1899" t="s">
        <v>32</v>
      </c>
      <c r="N1899" t="str">
        <f>"2/1/2010 12:00:00 AM"</f>
        <v>2/1/2010 12:00:00 AM</v>
      </c>
      <c r="O1899" t="s">
        <v>5740</v>
      </c>
      <c r="T1899" t="s">
        <v>5741</v>
      </c>
    </row>
    <row r="1900" spans="1:20" x14ac:dyDescent="0.25">
      <c r="A1900" t="str">
        <f>"3044555"</f>
        <v>3044555</v>
      </c>
      <c r="B1900" t="s">
        <v>5743</v>
      </c>
      <c r="C1900" t="str">
        <f>"82520739"</f>
        <v>82520739</v>
      </c>
      <c r="D1900" t="s">
        <v>5744</v>
      </c>
      <c r="F1900" t="s">
        <v>5745</v>
      </c>
      <c r="I1900" t="s">
        <v>184</v>
      </c>
      <c r="J1900" t="s">
        <v>30</v>
      </c>
      <c r="K1900" t="s">
        <v>185</v>
      </c>
      <c r="M1900" t="s">
        <v>32</v>
      </c>
      <c r="N1900" t="str">
        <f>"4/17/2003 12:00:00 AM"</f>
        <v>4/17/2003 12:00:00 AM</v>
      </c>
      <c r="O1900" t="s">
        <v>5744</v>
      </c>
    </row>
    <row r="1901" spans="1:20" x14ac:dyDescent="0.25">
      <c r="A1901" t="str">
        <f>"3044556"</f>
        <v>3044556</v>
      </c>
      <c r="B1901" t="s">
        <v>5746</v>
      </c>
      <c r="C1901" t="str">
        <f>"16351500"</f>
        <v>16351500</v>
      </c>
      <c r="D1901" t="s">
        <v>5747</v>
      </c>
      <c r="E1901" t="s">
        <v>5748</v>
      </c>
      <c r="F1901" t="s">
        <v>5749</v>
      </c>
      <c r="I1901" t="s">
        <v>184</v>
      </c>
      <c r="J1901" t="s">
        <v>30</v>
      </c>
      <c r="K1901" t="s">
        <v>185</v>
      </c>
      <c r="M1901" t="s">
        <v>32</v>
      </c>
      <c r="N1901" t="str">
        <f>"5/1/2002 12:00:00 AM"</f>
        <v>5/1/2002 12:00:00 AM</v>
      </c>
      <c r="O1901" t="s">
        <v>5747</v>
      </c>
      <c r="T1901" t="s">
        <v>5748</v>
      </c>
    </row>
    <row r="1902" spans="1:20" x14ac:dyDescent="0.25">
      <c r="A1902" t="str">
        <f>"3061425"</f>
        <v>3061425</v>
      </c>
      <c r="B1902" t="s">
        <v>5750</v>
      </c>
      <c r="C1902" t="str">
        <f>"33250100"</f>
        <v>33250100</v>
      </c>
      <c r="D1902" t="s">
        <v>5751</v>
      </c>
      <c r="F1902" t="s">
        <v>5752</v>
      </c>
      <c r="I1902" t="s">
        <v>184</v>
      </c>
      <c r="J1902" t="s">
        <v>30</v>
      </c>
      <c r="K1902" t="s">
        <v>185</v>
      </c>
      <c r="M1902" t="s">
        <v>32</v>
      </c>
      <c r="N1902" t="str">
        <f>"1/21/2003 12:00:00 AM"</f>
        <v>1/21/2003 12:00:00 AM</v>
      </c>
      <c r="O1902" t="s">
        <v>5751</v>
      </c>
    </row>
    <row r="1903" spans="1:20" x14ac:dyDescent="0.25">
      <c r="A1903" t="str">
        <f>"3044531"</f>
        <v>3044531</v>
      </c>
      <c r="B1903" t="s">
        <v>5753</v>
      </c>
      <c r="C1903" t="str">
        <f>"77362200"</f>
        <v>77362200</v>
      </c>
      <c r="D1903" t="s">
        <v>5754</v>
      </c>
      <c r="E1903" t="s">
        <v>5755</v>
      </c>
      <c r="F1903" t="s">
        <v>5756</v>
      </c>
      <c r="I1903" t="s">
        <v>184</v>
      </c>
      <c r="J1903" t="s">
        <v>30</v>
      </c>
      <c r="K1903" t="s">
        <v>5724</v>
      </c>
      <c r="M1903" t="s">
        <v>32</v>
      </c>
      <c r="N1903" t="str">
        <f>"1/10/2008 12:00:00 AM"</f>
        <v>1/10/2008 12:00:00 AM</v>
      </c>
      <c r="O1903" t="s">
        <v>5754</v>
      </c>
      <c r="T1903" t="s">
        <v>5755</v>
      </c>
    </row>
    <row r="1904" spans="1:20" x14ac:dyDescent="0.25">
      <c r="A1904" t="str">
        <f>"3044712"</f>
        <v>3044712</v>
      </c>
      <c r="B1904" t="s">
        <v>5757</v>
      </c>
      <c r="C1904" t="str">
        <f>"82524130"</f>
        <v>82524130</v>
      </c>
      <c r="D1904" t="s">
        <v>5758</v>
      </c>
      <c r="E1904" t="s">
        <v>5759</v>
      </c>
      <c r="F1904" t="s">
        <v>5760</v>
      </c>
      <c r="I1904" t="s">
        <v>184</v>
      </c>
      <c r="J1904" t="s">
        <v>30</v>
      </c>
      <c r="K1904" t="s">
        <v>5724</v>
      </c>
      <c r="M1904" t="s">
        <v>32</v>
      </c>
      <c r="N1904" t="str">
        <f>"1/6/2006 12:00:00 AM"</f>
        <v>1/6/2006 12:00:00 AM</v>
      </c>
      <c r="O1904" t="s">
        <v>5758</v>
      </c>
      <c r="T1904" t="s">
        <v>5759</v>
      </c>
    </row>
    <row r="1905" spans="1:20" x14ac:dyDescent="0.25">
      <c r="A1905" t="str">
        <f>"3044532"</f>
        <v>3044532</v>
      </c>
      <c r="B1905" t="s">
        <v>5761</v>
      </c>
      <c r="C1905" t="str">
        <f>"82517420"</f>
        <v>82517420</v>
      </c>
      <c r="D1905" t="s">
        <v>5762</v>
      </c>
      <c r="E1905" t="s">
        <v>5763</v>
      </c>
      <c r="F1905" t="s">
        <v>5764</v>
      </c>
      <c r="I1905" t="s">
        <v>184</v>
      </c>
      <c r="J1905" t="s">
        <v>30</v>
      </c>
      <c r="K1905" t="s">
        <v>5724</v>
      </c>
      <c r="M1905" t="s">
        <v>32</v>
      </c>
      <c r="N1905" t="str">
        <f>"2/10/2010 12:00:00 AM"</f>
        <v>2/10/2010 12:00:00 AM</v>
      </c>
      <c r="O1905" t="s">
        <v>5762</v>
      </c>
      <c r="T1905" t="s">
        <v>5763</v>
      </c>
    </row>
    <row r="1906" spans="1:20" x14ac:dyDescent="0.25">
      <c r="A1906" t="str">
        <f>"3057124"</f>
        <v>3057124</v>
      </c>
      <c r="B1906" t="s">
        <v>5765</v>
      </c>
      <c r="C1906" t="str">
        <f>"33250100"</f>
        <v>33250100</v>
      </c>
      <c r="D1906" t="s">
        <v>5751</v>
      </c>
      <c r="F1906" t="s">
        <v>5752</v>
      </c>
      <c r="I1906" t="s">
        <v>184</v>
      </c>
      <c r="J1906" t="s">
        <v>30</v>
      </c>
      <c r="K1906" t="s">
        <v>185</v>
      </c>
      <c r="M1906" t="s">
        <v>32</v>
      </c>
      <c r="N1906" t="str">
        <f>"1/21/2003 12:00:00 AM"</f>
        <v>1/21/2003 12:00:00 AM</v>
      </c>
      <c r="O1906" t="s">
        <v>5751</v>
      </c>
    </row>
    <row r="1907" spans="1:20" x14ac:dyDescent="0.25">
      <c r="A1907" t="str">
        <f>"3062508"</f>
        <v>3062508</v>
      </c>
      <c r="B1907" t="s">
        <v>5766</v>
      </c>
      <c r="C1907" t="str">
        <f>"82521210"</f>
        <v>82521210</v>
      </c>
      <c r="D1907" t="s">
        <v>5767</v>
      </c>
      <c r="E1907" t="s">
        <v>5768</v>
      </c>
      <c r="F1907" t="s">
        <v>5769</v>
      </c>
      <c r="I1907" t="s">
        <v>184</v>
      </c>
      <c r="J1907" t="s">
        <v>30</v>
      </c>
      <c r="K1907" t="s">
        <v>185</v>
      </c>
      <c r="M1907" t="s">
        <v>32</v>
      </c>
      <c r="N1907" t="str">
        <f>"1/28/2004 12:00:00 AM"</f>
        <v>1/28/2004 12:00:00 AM</v>
      </c>
      <c r="O1907" t="s">
        <v>5767</v>
      </c>
      <c r="T1907" t="s">
        <v>5768</v>
      </c>
    </row>
    <row r="1908" spans="1:20" x14ac:dyDescent="0.25">
      <c r="A1908" t="str">
        <f>"3062494"</f>
        <v>3062494</v>
      </c>
      <c r="B1908" t="s">
        <v>5770</v>
      </c>
      <c r="C1908" t="str">
        <f>"82512914"</f>
        <v>82512914</v>
      </c>
      <c r="D1908" t="s">
        <v>5771</v>
      </c>
      <c r="F1908" t="s">
        <v>5772</v>
      </c>
      <c r="I1908" t="s">
        <v>184</v>
      </c>
      <c r="J1908" t="s">
        <v>30</v>
      </c>
      <c r="K1908" t="s">
        <v>185</v>
      </c>
      <c r="M1908" t="s">
        <v>32</v>
      </c>
      <c r="N1908" t="str">
        <f>"9/25/2001 12:00:00 AM"</f>
        <v>9/25/2001 12:00:00 AM</v>
      </c>
      <c r="O1908" t="s">
        <v>5771</v>
      </c>
    </row>
    <row r="1909" spans="1:20" x14ac:dyDescent="0.25">
      <c r="A1909" t="str">
        <f>"3044557"</f>
        <v>3044557</v>
      </c>
      <c r="B1909" t="s">
        <v>5773</v>
      </c>
      <c r="C1909" t="str">
        <f>"35412850"</f>
        <v>35412850</v>
      </c>
      <c r="D1909" t="s">
        <v>5774</v>
      </c>
      <c r="E1909" t="s">
        <v>5775</v>
      </c>
      <c r="F1909" t="s">
        <v>5776</v>
      </c>
      <c r="I1909" t="s">
        <v>184</v>
      </c>
      <c r="J1909" t="s">
        <v>30</v>
      </c>
      <c r="K1909" t="s">
        <v>185</v>
      </c>
      <c r="M1909" t="s">
        <v>32</v>
      </c>
      <c r="N1909" t="str">
        <f>"5/1/2002 12:00:00 AM"</f>
        <v>5/1/2002 12:00:00 AM</v>
      </c>
      <c r="O1909" t="s">
        <v>5774</v>
      </c>
      <c r="T1909" t="s">
        <v>5775</v>
      </c>
    </row>
    <row r="1910" spans="1:20" x14ac:dyDescent="0.25">
      <c r="A1910" t="str">
        <f>"3044558"</f>
        <v>3044558</v>
      </c>
      <c r="B1910" t="s">
        <v>5777</v>
      </c>
      <c r="C1910" t="str">
        <f>"82524946"</f>
        <v>82524946</v>
      </c>
      <c r="D1910" t="s">
        <v>5778</v>
      </c>
      <c r="E1910" t="s">
        <v>5779</v>
      </c>
      <c r="F1910" t="s">
        <v>5780</v>
      </c>
      <c r="I1910" t="s">
        <v>184</v>
      </c>
      <c r="J1910" t="s">
        <v>30</v>
      </c>
      <c r="K1910" t="s">
        <v>5707</v>
      </c>
      <c r="M1910" t="s">
        <v>32</v>
      </c>
      <c r="N1910" t="str">
        <f>"2/2/2010 12:00:00 AM"</f>
        <v>2/2/2010 12:00:00 AM</v>
      </c>
      <c r="O1910" t="s">
        <v>5778</v>
      </c>
      <c r="T1910" t="s">
        <v>5779</v>
      </c>
    </row>
    <row r="1911" spans="1:20" x14ac:dyDescent="0.25">
      <c r="A1911" t="str">
        <f>"3044560"</f>
        <v>3044560</v>
      </c>
      <c r="B1911" t="s">
        <v>5781</v>
      </c>
      <c r="C1911" t="str">
        <f>"51555700"</f>
        <v>51555700</v>
      </c>
      <c r="D1911" t="s">
        <v>5782</v>
      </c>
      <c r="E1911" t="s">
        <v>5783</v>
      </c>
      <c r="F1911" t="s">
        <v>5784</v>
      </c>
      <c r="I1911" t="s">
        <v>184</v>
      </c>
      <c r="J1911" t="s">
        <v>30</v>
      </c>
      <c r="K1911" t="s">
        <v>185</v>
      </c>
      <c r="M1911" t="s">
        <v>32</v>
      </c>
      <c r="N1911" t="str">
        <f>"3/4/2004 12:00:00 AM"</f>
        <v>3/4/2004 12:00:00 AM</v>
      </c>
      <c r="O1911" t="s">
        <v>5782</v>
      </c>
      <c r="T1911" t="s">
        <v>5783</v>
      </c>
    </row>
    <row r="1912" spans="1:20" x14ac:dyDescent="0.25">
      <c r="A1912" t="str">
        <f>"3044564"</f>
        <v>3044564</v>
      </c>
      <c r="B1912" t="s">
        <v>5785</v>
      </c>
      <c r="C1912" t="str">
        <f>"82521203"</f>
        <v>82521203</v>
      </c>
      <c r="D1912" t="s">
        <v>5786</v>
      </c>
      <c r="F1912" t="s">
        <v>5787</v>
      </c>
      <c r="I1912" t="s">
        <v>184</v>
      </c>
      <c r="J1912" t="s">
        <v>30</v>
      </c>
      <c r="K1912" t="s">
        <v>5707</v>
      </c>
      <c r="M1912" t="s">
        <v>32</v>
      </c>
      <c r="N1912" t="str">
        <f>"2/8/2005 12:00:00 AM"</f>
        <v>2/8/2005 12:00:00 AM</v>
      </c>
      <c r="O1912" t="s">
        <v>5786</v>
      </c>
    </row>
    <row r="1913" spans="1:20" x14ac:dyDescent="0.25">
      <c r="A1913" t="str">
        <f>"3061428"</f>
        <v>3061428</v>
      </c>
      <c r="B1913" t="s">
        <v>5788</v>
      </c>
      <c r="C1913" t="str">
        <f>"75353750"</f>
        <v>75353750</v>
      </c>
      <c r="D1913" t="s">
        <v>5789</v>
      </c>
      <c r="F1913" t="s">
        <v>5790</v>
      </c>
      <c r="I1913" t="s">
        <v>184</v>
      </c>
      <c r="J1913" t="s">
        <v>30</v>
      </c>
      <c r="K1913" t="s">
        <v>185</v>
      </c>
      <c r="M1913" t="s">
        <v>32</v>
      </c>
      <c r="N1913" t="str">
        <f>"6/22/2004 12:00:00 AM"</f>
        <v>6/22/2004 12:00:00 AM</v>
      </c>
      <c r="O1913" t="s">
        <v>5789</v>
      </c>
    </row>
    <row r="1914" spans="1:20" x14ac:dyDescent="0.25">
      <c r="A1914" t="str">
        <f>"3061464"</f>
        <v>3061464</v>
      </c>
      <c r="B1914" t="s">
        <v>5791</v>
      </c>
      <c r="C1914" t="str">
        <f>"82528966"</f>
        <v>82528966</v>
      </c>
      <c r="D1914" t="s">
        <v>5792</v>
      </c>
      <c r="E1914" t="s">
        <v>5793</v>
      </c>
      <c r="F1914" t="s">
        <v>5794</v>
      </c>
      <c r="I1914" t="s">
        <v>184</v>
      </c>
      <c r="J1914" t="s">
        <v>30</v>
      </c>
      <c r="K1914" t="s">
        <v>185</v>
      </c>
      <c r="M1914" t="s">
        <v>32</v>
      </c>
      <c r="N1914" t="str">
        <f>"12/18/2007 12:00:00 AM"</f>
        <v>12/18/2007 12:00:00 AM</v>
      </c>
      <c r="O1914" t="s">
        <v>5792</v>
      </c>
      <c r="T1914" t="s">
        <v>5793</v>
      </c>
    </row>
    <row r="1915" spans="1:20" x14ac:dyDescent="0.25">
      <c r="A1915" t="str">
        <f>"3044569"</f>
        <v>3044569</v>
      </c>
      <c r="B1915" t="s">
        <v>5795</v>
      </c>
      <c r="C1915" t="str">
        <f>"82517245"</f>
        <v>82517245</v>
      </c>
      <c r="D1915" t="s">
        <v>5796</v>
      </c>
      <c r="E1915" t="s">
        <v>5797</v>
      </c>
      <c r="F1915" t="s">
        <v>5798</v>
      </c>
      <c r="I1915" t="s">
        <v>184</v>
      </c>
      <c r="J1915" t="s">
        <v>30</v>
      </c>
      <c r="K1915" t="s">
        <v>185</v>
      </c>
      <c r="M1915" t="s">
        <v>32</v>
      </c>
      <c r="N1915" t="str">
        <f>"7/29/2002 12:00:00 AM"</f>
        <v>7/29/2002 12:00:00 AM</v>
      </c>
      <c r="O1915" t="s">
        <v>5796</v>
      </c>
      <c r="T1915" t="s">
        <v>5797</v>
      </c>
    </row>
    <row r="1916" spans="1:20" x14ac:dyDescent="0.25">
      <c r="A1916" t="str">
        <f>"3044417"</f>
        <v>3044417</v>
      </c>
      <c r="B1916" t="s">
        <v>5799</v>
      </c>
      <c r="C1916" t="str">
        <f>"82515573"</f>
        <v>82515573</v>
      </c>
      <c r="D1916" t="s">
        <v>5800</v>
      </c>
      <c r="E1916" t="s">
        <v>5801</v>
      </c>
      <c r="F1916" t="s">
        <v>5802</v>
      </c>
      <c r="I1916" t="s">
        <v>184</v>
      </c>
      <c r="J1916" t="s">
        <v>30</v>
      </c>
      <c r="K1916" t="s">
        <v>185</v>
      </c>
      <c r="M1916" t="s">
        <v>32</v>
      </c>
      <c r="N1916" t="str">
        <f>"1/22/2004 12:00:00 AM"</f>
        <v>1/22/2004 12:00:00 AM</v>
      </c>
      <c r="O1916" t="s">
        <v>5800</v>
      </c>
      <c r="T1916" t="s">
        <v>5801</v>
      </c>
    </row>
    <row r="1917" spans="1:20" x14ac:dyDescent="0.25">
      <c r="A1917" t="str">
        <f>"3044572"</f>
        <v>3044572</v>
      </c>
      <c r="B1917" t="s">
        <v>5803</v>
      </c>
      <c r="C1917" t="str">
        <f>"82512923"</f>
        <v>82512923</v>
      </c>
      <c r="D1917" t="s">
        <v>5804</v>
      </c>
      <c r="E1917" t="s">
        <v>5805</v>
      </c>
      <c r="F1917" t="s">
        <v>5806</v>
      </c>
      <c r="I1917" t="s">
        <v>184</v>
      </c>
      <c r="J1917" t="s">
        <v>30</v>
      </c>
      <c r="K1917" t="s">
        <v>185</v>
      </c>
      <c r="M1917" t="s">
        <v>32</v>
      </c>
      <c r="N1917" t="str">
        <f>"9/12/2001 12:00:00 AM"</f>
        <v>9/12/2001 12:00:00 AM</v>
      </c>
      <c r="O1917" t="s">
        <v>5804</v>
      </c>
      <c r="T1917" t="s">
        <v>5805</v>
      </c>
    </row>
    <row r="1918" spans="1:20" x14ac:dyDescent="0.25">
      <c r="A1918" t="str">
        <f>"3044570"</f>
        <v>3044570</v>
      </c>
      <c r="B1918" t="s">
        <v>5807</v>
      </c>
      <c r="C1918" t="str">
        <f>"82523152"</f>
        <v>82523152</v>
      </c>
      <c r="D1918" t="s">
        <v>5808</v>
      </c>
      <c r="E1918" t="s">
        <v>5809</v>
      </c>
      <c r="F1918" t="s">
        <v>5810</v>
      </c>
      <c r="I1918" t="s">
        <v>184</v>
      </c>
      <c r="J1918" t="s">
        <v>30</v>
      </c>
      <c r="K1918" t="s">
        <v>5811</v>
      </c>
      <c r="M1918" t="s">
        <v>32</v>
      </c>
      <c r="N1918" t="str">
        <f>"2/15/2005 12:00:00 AM"</f>
        <v>2/15/2005 12:00:00 AM</v>
      </c>
      <c r="O1918" t="s">
        <v>5808</v>
      </c>
      <c r="T1918" t="s">
        <v>5809</v>
      </c>
    </row>
    <row r="1919" spans="1:20" x14ac:dyDescent="0.25">
      <c r="A1919" t="str">
        <f>"3044575"</f>
        <v>3044575</v>
      </c>
      <c r="B1919" t="s">
        <v>5812</v>
      </c>
      <c r="C1919" t="str">
        <f>"82515557"</f>
        <v>82515557</v>
      </c>
      <c r="D1919" t="s">
        <v>5813</v>
      </c>
      <c r="E1919" t="s">
        <v>5814</v>
      </c>
      <c r="F1919" t="s">
        <v>5815</v>
      </c>
      <c r="I1919" t="s">
        <v>184</v>
      </c>
      <c r="J1919" t="s">
        <v>30</v>
      </c>
      <c r="K1919" t="s">
        <v>5811</v>
      </c>
      <c r="M1919" t="s">
        <v>32</v>
      </c>
      <c r="N1919" t="str">
        <f>"2/23/2006 12:00:00 AM"</f>
        <v>2/23/2006 12:00:00 AM</v>
      </c>
      <c r="O1919" t="s">
        <v>5813</v>
      </c>
      <c r="T1919" t="s">
        <v>5814</v>
      </c>
    </row>
    <row r="1920" spans="1:20" x14ac:dyDescent="0.25">
      <c r="A1920" t="str">
        <f>"3044576"</f>
        <v>3044576</v>
      </c>
      <c r="B1920" t="s">
        <v>5816</v>
      </c>
      <c r="C1920" t="str">
        <f>"82519559"</f>
        <v>82519559</v>
      </c>
      <c r="D1920" t="s">
        <v>5817</v>
      </c>
      <c r="E1920" t="s">
        <v>5818</v>
      </c>
      <c r="F1920" t="s">
        <v>5819</v>
      </c>
      <c r="I1920" t="s">
        <v>184</v>
      </c>
      <c r="J1920" t="s">
        <v>30</v>
      </c>
      <c r="K1920" t="s">
        <v>185</v>
      </c>
      <c r="M1920" t="s">
        <v>32</v>
      </c>
      <c r="N1920" t="str">
        <f>"2/13/2003 12:00:00 AM"</f>
        <v>2/13/2003 12:00:00 AM</v>
      </c>
      <c r="O1920" t="s">
        <v>5817</v>
      </c>
      <c r="T1920" t="s">
        <v>5818</v>
      </c>
    </row>
    <row r="1921" spans="1:20" x14ac:dyDescent="0.25">
      <c r="A1921" t="str">
        <f>"3044577"</f>
        <v>3044577</v>
      </c>
      <c r="B1921" t="s">
        <v>5820</v>
      </c>
      <c r="C1921" t="str">
        <f>"64508580"</f>
        <v>64508580</v>
      </c>
      <c r="D1921" t="s">
        <v>5821</v>
      </c>
      <c r="E1921" t="s">
        <v>5822</v>
      </c>
      <c r="F1921" t="s">
        <v>5823</v>
      </c>
      <c r="I1921" t="s">
        <v>184</v>
      </c>
      <c r="J1921" t="s">
        <v>30</v>
      </c>
      <c r="K1921" t="s">
        <v>5811</v>
      </c>
      <c r="M1921" t="s">
        <v>32</v>
      </c>
      <c r="N1921" t="str">
        <f>"2/9/2010 12:00:00 AM"</f>
        <v>2/9/2010 12:00:00 AM</v>
      </c>
      <c r="O1921" t="s">
        <v>5821</v>
      </c>
      <c r="T1921" t="s">
        <v>5822</v>
      </c>
    </row>
    <row r="1922" spans="1:20" x14ac:dyDescent="0.25">
      <c r="A1922" t="str">
        <f>"3044578"</f>
        <v>3044578</v>
      </c>
      <c r="B1922" t="s">
        <v>5824</v>
      </c>
      <c r="C1922" t="str">
        <f>"82515800"</f>
        <v>82515800</v>
      </c>
      <c r="D1922" t="s">
        <v>5825</v>
      </c>
      <c r="E1922" t="s">
        <v>5826</v>
      </c>
      <c r="F1922" t="s">
        <v>5827</v>
      </c>
      <c r="I1922" t="s">
        <v>184</v>
      </c>
      <c r="J1922" t="s">
        <v>30</v>
      </c>
      <c r="K1922" t="s">
        <v>185</v>
      </c>
      <c r="M1922" t="s">
        <v>32</v>
      </c>
      <c r="N1922" t="str">
        <f>"11/28/2001 12:00:00 AM"</f>
        <v>11/28/2001 12:00:00 AM</v>
      </c>
      <c r="O1922" t="s">
        <v>5825</v>
      </c>
      <c r="T1922" t="s">
        <v>5826</v>
      </c>
    </row>
    <row r="1923" spans="1:20" x14ac:dyDescent="0.25">
      <c r="A1923" t="str">
        <f>"3044548"</f>
        <v>3044548</v>
      </c>
      <c r="B1923" t="s">
        <v>5828</v>
      </c>
      <c r="C1923" t="str">
        <f>"54599440"</f>
        <v>54599440</v>
      </c>
      <c r="D1923" t="s">
        <v>5829</v>
      </c>
      <c r="E1923" t="s">
        <v>5830</v>
      </c>
      <c r="F1923" t="s">
        <v>5831</v>
      </c>
      <c r="I1923" t="s">
        <v>184</v>
      </c>
      <c r="J1923" t="s">
        <v>30</v>
      </c>
      <c r="K1923" t="s">
        <v>185</v>
      </c>
      <c r="M1923" t="s">
        <v>32</v>
      </c>
      <c r="N1923" t="str">
        <f>"5/1/2002 12:00:00 AM"</f>
        <v>5/1/2002 12:00:00 AM</v>
      </c>
      <c r="O1923" t="s">
        <v>5829</v>
      </c>
      <c r="T1923" t="s">
        <v>5830</v>
      </c>
    </row>
    <row r="1924" spans="1:20" x14ac:dyDescent="0.25">
      <c r="A1924" t="str">
        <f>"3062485"</f>
        <v>3062485</v>
      </c>
      <c r="B1924" t="s">
        <v>5832</v>
      </c>
      <c r="C1924" t="str">
        <f>"15320000"</f>
        <v>15320000</v>
      </c>
      <c r="D1924" t="s">
        <v>5833</v>
      </c>
      <c r="E1924" t="s">
        <v>5834</v>
      </c>
      <c r="F1924" t="s">
        <v>5835</v>
      </c>
      <c r="I1924" t="s">
        <v>184</v>
      </c>
      <c r="J1924" t="s">
        <v>30</v>
      </c>
      <c r="K1924" t="s">
        <v>185</v>
      </c>
      <c r="M1924" t="s">
        <v>32</v>
      </c>
      <c r="N1924" t="str">
        <f>"1/4/2011 12:00:00 AM"</f>
        <v>1/4/2011 12:00:00 AM</v>
      </c>
      <c r="O1924" t="s">
        <v>5833</v>
      </c>
      <c r="T1924" t="s">
        <v>5834</v>
      </c>
    </row>
    <row r="1925" spans="1:20" x14ac:dyDescent="0.25">
      <c r="A1925" t="str">
        <f>"3044634"</f>
        <v>3044634</v>
      </c>
      <c r="B1925" t="s">
        <v>5836</v>
      </c>
      <c r="C1925" t="str">
        <f>"63500000"</f>
        <v>63500000</v>
      </c>
      <c r="D1925" t="s">
        <v>5837</v>
      </c>
      <c r="E1925" t="s">
        <v>5838</v>
      </c>
      <c r="F1925" t="s">
        <v>5839</v>
      </c>
      <c r="I1925" t="s">
        <v>184</v>
      </c>
      <c r="J1925" t="s">
        <v>30</v>
      </c>
      <c r="K1925" t="s">
        <v>5840</v>
      </c>
      <c r="M1925" t="s">
        <v>32</v>
      </c>
      <c r="N1925" t="str">
        <f>"2/8/2010 12:00:00 AM"</f>
        <v>2/8/2010 12:00:00 AM</v>
      </c>
      <c r="O1925" t="s">
        <v>5837</v>
      </c>
      <c r="T1925" t="s">
        <v>5838</v>
      </c>
    </row>
    <row r="1926" spans="1:20" x14ac:dyDescent="0.25">
      <c r="A1926" t="str">
        <f>"3044635"</f>
        <v>3044635</v>
      </c>
      <c r="B1926" t="s">
        <v>5841</v>
      </c>
      <c r="C1926" t="str">
        <f>"79773500"</f>
        <v>79773500</v>
      </c>
      <c r="D1926" t="s">
        <v>5842</v>
      </c>
      <c r="E1926" t="s">
        <v>5843</v>
      </c>
      <c r="F1926" t="s">
        <v>5844</v>
      </c>
      <c r="I1926" t="s">
        <v>184</v>
      </c>
      <c r="J1926" t="s">
        <v>30</v>
      </c>
      <c r="K1926" t="s">
        <v>185</v>
      </c>
      <c r="M1926" t="s">
        <v>32</v>
      </c>
      <c r="N1926" t="str">
        <f>"7/15/2004 12:00:00 AM"</f>
        <v>7/15/2004 12:00:00 AM</v>
      </c>
      <c r="O1926" t="s">
        <v>5842</v>
      </c>
      <c r="T1926" t="s">
        <v>5843</v>
      </c>
    </row>
    <row r="1927" spans="1:20" x14ac:dyDescent="0.25">
      <c r="A1927" t="str">
        <f>"3044639"</f>
        <v>3044639</v>
      </c>
      <c r="B1927" t="s">
        <v>5845</v>
      </c>
      <c r="C1927" t="str">
        <f>"82523061"</f>
        <v>82523061</v>
      </c>
      <c r="D1927" t="s">
        <v>5846</v>
      </c>
      <c r="E1927" t="s">
        <v>5847</v>
      </c>
      <c r="F1927" t="s">
        <v>5848</v>
      </c>
      <c r="I1927" t="s">
        <v>184</v>
      </c>
      <c r="J1927" t="s">
        <v>30</v>
      </c>
      <c r="K1927" t="s">
        <v>185</v>
      </c>
      <c r="M1927" t="s">
        <v>32</v>
      </c>
      <c r="N1927" t="str">
        <f>"2/18/2005 12:00:00 AM"</f>
        <v>2/18/2005 12:00:00 AM</v>
      </c>
      <c r="O1927" t="s">
        <v>5846</v>
      </c>
      <c r="T1927" t="s">
        <v>5847</v>
      </c>
    </row>
    <row r="1928" spans="1:20" x14ac:dyDescent="0.25">
      <c r="A1928" t="str">
        <f>"3044640"</f>
        <v>3044640</v>
      </c>
      <c r="B1928" t="s">
        <v>5849</v>
      </c>
      <c r="C1928" t="str">
        <f>"82514567"</f>
        <v>82514567</v>
      </c>
      <c r="D1928" t="s">
        <v>5850</v>
      </c>
      <c r="E1928" t="s">
        <v>5851</v>
      </c>
      <c r="F1928" t="s">
        <v>5852</v>
      </c>
      <c r="I1928" t="s">
        <v>184</v>
      </c>
      <c r="J1928" t="s">
        <v>30</v>
      </c>
      <c r="K1928" t="s">
        <v>185</v>
      </c>
      <c r="M1928" t="s">
        <v>32</v>
      </c>
      <c r="N1928" t="str">
        <f>"1/17/2008 12:00:00 AM"</f>
        <v>1/17/2008 12:00:00 AM</v>
      </c>
      <c r="O1928" t="s">
        <v>5850</v>
      </c>
      <c r="T1928" t="s">
        <v>5851</v>
      </c>
    </row>
    <row r="1929" spans="1:20" x14ac:dyDescent="0.25">
      <c r="A1929" t="str">
        <f>"3044641"</f>
        <v>3044641</v>
      </c>
      <c r="B1929" t="s">
        <v>5853</v>
      </c>
      <c r="C1929" t="str">
        <f>"82530215"</f>
        <v>82530215</v>
      </c>
      <c r="D1929" t="s">
        <v>5854</v>
      </c>
      <c r="E1929" t="s">
        <v>5855</v>
      </c>
      <c r="F1929" t="s">
        <v>5856</v>
      </c>
      <c r="I1929" t="s">
        <v>184</v>
      </c>
      <c r="J1929" t="s">
        <v>30</v>
      </c>
      <c r="K1929" t="s">
        <v>185</v>
      </c>
      <c r="M1929" t="s">
        <v>32</v>
      </c>
      <c r="N1929" t="str">
        <f>"1/22/2010 12:00:00 AM"</f>
        <v>1/22/2010 12:00:00 AM</v>
      </c>
      <c r="O1929" t="s">
        <v>5854</v>
      </c>
      <c r="T1929" t="s">
        <v>5855</v>
      </c>
    </row>
    <row r="1930" spans="1:20" x14ac:dyDescent="0.25">
      <c r="A1930" t="str">
        <f>"3044583"</f>
        <v>3044583</v>
      </c>
      <c r="B1930" t="s">
        <v>5857</v>
      </c>
      <c r="C1930" t="str">
        <f>"82523687"</f>
        <v>82523687</v>
      </c>
      <c r="D1930" t="s">
        <v>5858</v>
      </c>
      <c r="F1930" t="s">
        <v>5859</v>
      </c>
      <c r="I1930" t="s">
        <v>184</v>
      </c>
      <c r="J1930" t="s">
        <v>30</v>
      </c>
      <c r="K1930" t="s">
        <v>185</v>
      </c>
      <c r="M1930" t="s">
        <v>32</v>
      </c>
      <c r="N1930" t="str">
        <f>"1/12/2005 12:00:00 AM"</f>
        <v>1/12/2005 12:00:00 AM</v>
      </c>
      <c r="O1930" t="s">
        <v>5858</v>
      </c>
    </row>
    <row r="1931" spans="1:20" x14ac:dyDescent="0.25">
      <c r="A1931" t="str">
        <f>"3044585"</f>
        <v>3044585</v>
      </c>
      <c r="B1931" t="s">
        <v>5860</v>
      </c>
      <c r="C1931" t="str">
        <f>"48843000"</f>
        <v>48843000</v>
      </c>
      <c r="D1931" t="s">
        <v>5861</v>
      </c>
      <c r="E1931" t="s">
        <v>5862</v>
      </c>
      <c r="F1931" t="s">
        <v>5863</v>
      </c>
      <c r="I1931" t="s">
        <v>184</v>
      </c>
      <c r="J1931" t="s">
        <v>30</v>
      </c>
      <c r="K1931" t="s">
        <v>185</v>
      </c>
      <c r="M1931" t="s">
        <v>32</v>
      </c>
      <c r="N1931" t="str">
        <f>"4/30/2002 12:00:00 AM"</f>
        <v>4/30/2002 12:00:00 AM</v>
      </c>
      <c r="O1931" t="s">
        <v>5861</v>
      </c>
      <c r="T1931" t="s">
        <v>5862</v>
      </c>
    </row>
    <row r="1932" spans="1:20" x14ac:dyDescent="0.25">
      <c r="A1932" t="str">
        <f>"3056373"</f>
        <v>3056373</v>
      </c>
      <c r="B1932" t="s">
        <v>5864</v>
      </c>
      <c r="C1932" t="str">
        <f>"15320000"</f>
        <v>15320000</v>
      </c>
      <c r="D1932" t="s">
        <v>5833</v>
      </c>
      <c r="E1932" t="s">
        <v>5834</v>
      </c>
      <c r="F1932" t="s">
        <v>5835</v>
      </c>
      <c r="I1932" t="s">
        <v>184</v>
      </c>
      <c r="J1932" t="s">
        <v>30</v>
      </c>
      <c r="K1932" t="s">
        <v>185</v>
      </c>
      <c r="M1932" t="s">
        <v>32</v>
      </c>
      <c r="N1932" t="str">
        <f>"1/4/2011 12:00:00 AM"</f>
        <v>1/4/2011 12:00:00 AM</v>
      </c>
      <c r="O1932" t="s">
        <v>5833</v>
      </c>
      <c r="T1932" t="s">
        <v>5834</v>
      </c>
    </row>
    <row r="1933" spans="1:20" x14ac:dyDescent="0.25">
      <c r="A1933" t="str">
        <f>"3062523"</f>
        <v>3062523</v>
      </c>
      <c r="B1933" t="s">
        <v>5865</v>
      </c>
      <c r="C1933" t="str">
        <f>"31638000"</f>
        <v>31638000</v>
      </c>
      <c r="D1933" t="s">
        <v>5866</v>
      </c>
      <c r="E1933" t="s">
        <v>5867</v>
      </c>
      <c r="F1933" t="s">
        <v>5868</v>
      </c>
      <c r="I1933" t="s">
        <v>184</v>
      </c>
      <c r="J1933" t="s">
        <v>30</v>
      </c>
      <c r="K1933" t="s">
        <v>185</v>
      </c>
      <c r="M1933" t="s">
        <v>32</v>
      </c>
      <c r="N1933" t="str">
        <f>"9/10/2003 12:00:00 AM"</f>
        <v>9/10/2003 12:00:00 AM</v>
      </c>
      <c r="O1933" t="s">
        <v>5866</v>
      </c>
      <c r="T1933" t="s">
        <v>5867</v>
      </c>
    </row>
    <row r="1934" spans="1:20" x14ac:dyDescent="0.25">
      <c r="A1934" t="str">
        <f>"3044598"</f>
        <v>3044598</v>
      </c>
      <c r="B1934" t="s">
        <v>5869</v>
      </c>
      <c r="C1934" t="str">
        <f>"82515498"</f>
        <v>82515498</v>
      </c>
      <c r="D1934" t="s">
        <v>5870</v>
      </c>
      <c r="E1934" t="s">
        <v>5871</v>
      </c>
      <c r="F1934" t="s">
        <v>5872</v>
      </c>
      <c r="I1934" t="s">
        <v>184</v>
      </c>
      <c r="J1934" t="s">
        <v>30</v>
      </c>
      <c r="K1934" t="s">
        <v>185</v>
      </c>
      <c r="M1934" t="s">
        <v>32</v>
      </c>
      <c r="N1934" t="str">
        <f>"5/1/2002 12:00:00 AM"</f>
        <v>5/1/2002 12:00:00 AM</v>
      </c>
      <c r="O1934" t="s">
        <v>5870</v>
      </c>
      <c r="T1934" t="s">
        <v>5871</v>
      </c>
    </row>
    <row r="1935" spans="1:20" x14ac:dyDescent="0.25">
      <c r="A1935" t="str">
        <f>"3044590"</f>
        <v>3044590</v>
      </c>
      <c r="B1935" t="s">
        <v>5873</v>
      </c>
      <c r="C1935" t="str">
        <f>"82512929"</f>
        <v>82512929</v>
      </c>
      <c r="D1935" t="s">
        <v>5874</v>
      </c>
      <c r="E1935" t="s">
        <v>5875</v>
      </c>
      <c r="F1935" t="s">
        <v>5876</v>
      </c>
      <c r="I1935" t="s">
        <v>184</v>
      </c>
      <c r="J1935" t="s">
        <v>30</v>
      </c>
      <c r="K1935" t="s">
        <v>185</v>
      </c>
      <c r="M1935" t="s">
        <v>32</v>
      </c>
      <c r="N1935" t="str">
        <f>"5/1/2002 12:00:00 AM"</f>
        <v>5/1/2002 12:00:00 AM</v>
      </c>
      <c r="O1935" t="s">
        <v>5874</v>
      </c>
      <c r="T1935" t="s">
        <v>5875</v>
      </c>
    </row>
    <row r="1936" spans="1:20" x14ac:dyDescent="0.25">
      <c r="A1936" t="str">
        <f>"3043934"</f>
        <v>3043934</v>
      </c>
      <c r="B1936" t="s">
        <v>5877</v>
      </c>
      <c r="C1936" t="str">
        <f>"82512929"</f>
        <v>82512929</v>
      </c>
      <c r="D1936" t="s">
        <v>5874</v>
      </c>
      <c r="E1936" t="s">
        <v>5875</v>
      </c>
      <c r="F1936" t="s">
        <v>5876</v>
      </c>
      <c r="I1936" t="s">
        <v>184</v>
      </c>
      <c r="J1936" t="s">
        <v>30</v>
      </c>
      <c r="K1936" t="s">
        <v>185</v>
      </c>
      <c r="M1936" t="s">
        <v>32</v>
      </c>
      <c r="N1936" t="str">
        <f>"5/1/2002 12:00:00 AM"</f>
        <v>5/1/2002 12:00:00 AM</v>
      </c>
      <c r="O1936" t="s">
        <v>5874</v>
      </c>
      <c r="T1936" t="s">
        <v>5875</v>
      </c>
    </row>
    <row r="1937" spans="1:20" x14ac:dyDescent="0.25">
      <c r="A1937" t="str">
        <f>"3057938"</f>
        <v>3057938</v>
      </c>
      <c r="B1937" t="s">
        <v>5878</v>
      </c>
      <c r="C1937" t="str">
        <f>"40058620"</f>
        <v>40058620</v>
      </c>
      <c r="D1937" t="s">
        <v>5879</v>
      </c>
      <c r="E1937" t="s">
        <v>5880</v>
      </c>
      <c r="F1937" t="s">
        <v>5881</v>
      </c>
      <c r="I1937" t="s">
        <v>184</v>
      </c>
      <c r="J1937" t="s">
        <v>30</v>
      </c>
      <c r="K1937" t="s">
        <v>185</v>
      </c>
      <c r="M1937" t="s">
        <v>32</v>
      </c>
      <c r="N1937" t="str">
        <f>"11/18/2005 12:00:00 AM"</f>
        <v>11/18/2005 12:00:00 AM</v>
      </c>
      <c r="O1937" t="s">
        <v>5879</v>
      </c>
      <c r="T1937" t="s">
        <v>5880</v>
      </c>
    </row>
    <row r="1938" spans="1:20" x14ac:dyDescent="0.25">
      <c r="A1938" t="str">
        <f>"3044780"</f>
        <v>3044780</v>
      </c>
      <c r="B1938" t="s">
        <v>5882</v>
      </c>
      <c r="C1938" t="str">
        <f>"18559750"</f>
        <v>18559750</v>
      </c>
      <c r="D1938" t="s">
        <v>5883</v>
      </c>
      <c r="E1938" t="s">
        <v>5884</v>
      </c>
      <c r="F1938" t="s">
        <v>5885</v>
      </c>
      <c r="I1938" t="s">
        <v>184</v>
      </c>
      <c r="J1938" t="s">
        <v>30</v>
      </c>
      <c r="K1938" t="s">
        <v>5886</v>
      </c>
      <c r="M1938" t="s">
        <v>32</v>
      </c>
      <c r="N1938" t="str">
        <f>"1/10/2006 12:00:00 AM"</f>
        <v>1/10/2006 12:00:00 AM</v>
      </c>
      <c r="O1938" t="s">
        <v>5883</v>
      </c>
      <c r="T1938" t="s">
        <v>5884</v>
      </c>
    </row>
    <row r="1939" spans="1:20" x14ac:dyDescent="0.25">
      <c r="A1939" t="str">
        <f>"3044609"</f>
        <v>3044609</v>
      </c>
      <c r="B1939" t="s">
        <v>5887</v>
      </c>
      <c r="C1939" t="str">
        <f>"82528309"</f>
        <v>82528309</v>
      </c>
      <c r="D1939" t="s">
        <v>5888</v>
      </c>
      <c r="F1939" t="s">
        <v>5889</v>
      </c>
      <c r="I1939" t="s">
        <v>184</v>
      </c>
      <c r="J1939" t="s">
        <v>30</v>
      </c>
      <c r="K1939" t="s">
        <v>185</v>
      </c>
      <c r="M1939" t="s">
        <v>32</v>
      </c>
      <c r="N1939" t="str">
        <f>"7/9/2007 12:00:00 AM"</f>
        <v>7/9/2007 12:00:00 AM</v>
      </c>
      <c r="O1939" t="s">
        <v>5888</v>
      </c>
    </row>
    <row r="1940" spans="1:20" x14ac:dyDescent="0.25">
      <c r="A1940" t="str">
        <f>"3044611"</f>
        <v>3044611</v>
      </c>
      <c r="B1940" t="s">
        <v>5890</v>
      </c>
      <c r="C1940" t="str">
        <f>"29162070"</f>
        <v>29162070</v>
      </c>
      <c r="D1940" t="s">
        <v>5891</v>
      </c>
      <c r="F1940" t="s">
        <v>5892</v>
      </c>
      <c r="I1940" t="s">
        <v>184</v>
      </c>
      <c r="J1940" t="s">
        <v>30</v>
      </c>
      <c r="K1940" t="s">
        <v>185</v>
      </c>
      <c r="M1940" t="s">
        <v>32</v>
      </c>
      <c r="N1940" t="str">
        <f>"7/26/2002 12:00:00 AM"</f>
        <v>7/26/2002 12:00:00 AM</v>
      </c>
      <c r="O1940" t="s">
        <v>5891</v>
      </c>
    </row>
    <row r="1941" spans="1:20" x14ac:dyDescent="0.25">
      <c r="A1941" t="str">
        <f>"3044616"</f>
        <v>3044616</v>
      </c>
      <c r="B1941" t="s">
        <v>5893</v>
      </c>
      <c r="C1941" t="str">
        <f>"51555640"</f>
        <v>51555640</v>
      </c>
      <c r="D1941" t="s">
        <v>5894</v>
      </c>
      <c r="E1941" t="s">
        <v>5895</v>
      </c>
      <c r="F1941" t="s">
        <v>5896</v>
      </c>
      <c r="I1941" t="s">
        <v>184</v>
      </c>
      <c r="J1941" t="s">
        <v>30</v>
      </c>
      <c r="K1941" t="s">
        <v>185</v>
      </c>
      <c r="M1941" t="s">
        <v>32</v>
      </c>
      <c r="N1941" t="str">
        <f>"5/2/2002 12:00:00 AM"</f>
        <v>5/2/2002 12:00:00 AM</v>
      </c>
      <c r="O1941" t="s">
        <v>5894</v>
      </c>
      <c r="T1941" t="s">
        <v>5895</v>
      </c>
    </row>
    <row r="1942" spans="1:20" x14ac:dyDescent="0.25">
      <c r="A1942" t="str">
        <f>"3044612"</f>
        <v>3044612</v>
      </c>
      <c r="B1942" t="s">
        <v>5897</v>
      </c>
      <c r="C1942" t="str">
        <f>"82519537"</f>
        <v>82519537</v>
      </c>
      <c r="D1942" t="s">
        <v>5898</v>
      </c>
      <c r="E1942" t="s">
        <v>5899</v>
      </c>
      <c r="F1942" t="s">
        <v>5900</v>
      </c>
      <c r="I1942" t="s">
        <v>184</v>
      </c>
      <c r="J1942" t="s">
        <v>30</v>
      </c>
      <c r="K1942" t="s">
        <v>185</v>
      </c>
      <c r="M1942" t="s">
        <v>32</v>
      </c>
      <c r="N1942" t="str">
        <f>"2/24/2005 12:00:00 AM"</f>
        <v>2/24/2005 12:00:00 AM</v>
      </c>
      <c r="O1942" t="s">
        <v>5898</v>
      </c>
      <c r="T1942" t="s">
        <v>5899</v>
      </c>
    </row>
    <row r="1943" spans="1:20" x14ac:dyDescent="0.25">
      <c r="A1943" t="str">
        <f>"3044613"</f>
        <v>3044613</v>
      </c>
      <c r="B1943" t="s">
        <v>5901</v>
      </c>
      <c r="C1943" t="str">
        <f>"82514262"</f>
        <v>82514262</v>
      </c>
      <c r="D1943" t="s">
        <v>5902</v>
      </c>
      <c r="E1943" t="s">
        <v>5903</v>
      </c>
      <c r="F1943" t="s">
        <v>5904</v>
      </c>
      <c r="I1943" t="s">
        <v>184</v>
      </c>
      <c r="J1943" t="s">
        <v>30</v>
      </c>
      <c r="K1943" t="s">
        <v>185</v>
      </c>
      <c r="M1943" t="s">
        <v>32</v>
      </c>
      <c r="N1943" t="str">
        <f>"3/5/2002 12:00:00 AM"</f>
        <v>3/5/2002 12:00:00 AM</v>
      </c>
      <c r="O1943" t="s">
        <v>5902</v>
      </c>
      <c r="T1943" t="s">
        <v>5903</v>
      </c>
    </row>
    <row r="1944" spans="1:20" x14ac:dyDescent="0.25">
      <c r="A1944" t="str">
        <f>"3057939"</f>
        <v>3057939</v>
      </c>
      <c r="B1944" t="s">
        <v>5905</v>
      </c>
      <c r="C1944" t="str">
        <f>"25644000"</f>
        <v>25644000</v>
      </c>
      <c r="D1944" t="s">
        <v>5906</v>
      </c>
      <c r="E1944" t="s">
        <v>5907</v>
      </c>
      <c r="F1944" t="s">
        <v>5908</v>
      </c>
      <c r="I1944" t="s">
        <v>184</v>
      </c>
      <c r="J1944" t="s">
        <v>30</v>
      </c>
      <c r="K1944" t="s">
        <v>5909</v>
      </c>
      <c r="M1944" t="s">
        <v>32</v>
      </c>
      <c r="N1944" t="str">
        <f>"1/17/2006 12:00:00 AM"</f>
        <v>1/17/2006 12:00:00 AM</v>
      </c>
      <c r="O1944" t="s">
        <v>5906</v>
      </c>
      <c r="T1944" t="s">
        <v>5907</v>
      </c>
    </row>
    <row r="1945" spans="1:20" x14ac:dyDescent="0.25">
      <c r="A1945" t="str">
        <f>"3044619"</f>
        <v>3044619</v>
      </c>
      <c r="B1945" t="s">
        <v>5910</v>
      </c>
      <c r="C1945" t="str">
        <f>"82515225"</f>
        <v>82515225</v>
      </c>
      <c r="D1945" t="s">
        <v>5911</v>
      </c>
      <c r="E1945" t="s">
        <v>5912</v>
      </c>
      <c r="F1945" t="s">
        <v>5913</v>
      </c>
      <c r="I1945" t="s">
        <v>184</v>
      </c>
      <c r="J1945" t="s">
        <v>30</v>
      </c>
      <c r="K1945" t="s">
        <v>185</v>
      </c>
      <c r="M1945" t="s">
        <v>32</v>
      </c>
      <c r="N1945" t="str">
        <f>"5/2/2002 12:00:00 AM"</f>
        <v>5/2/2002 12:00:00 AM</v>
      </c>
      <c r="O1945" t="s">
        <v>5911</v>
      </c>
      <c r="T1945" t="s">
        <v>5912</v>
      </c>
    </row>
    <row r="1946" spans="1:20" x14ac:dyDescent="0.25">
      <c r="A1946" t="str">
        <f>"3044625"</f>
        <v>3044625</v>
      </c>
      <c r="B1946" t="s">
        <v>5914</v>
      </c>
      <c r="C1946" t="str">
        <f>"49735000"</f>
        <v>49735000</v>
      </c>
      <c r="D1946" t="s">
        <v>5915</v>
      </c>
      <c r="E1946" t="s">
        <v>5916</v>
      </c>
      <c r="F1946" t="s">
        <v>5917</v>
      </c>
      <c r="I1946" t="s">
        <v>184</v>
      </c>
      <c r="J1946" t="s">
        <v>30</v>
      </c>
      <c r="K1946" t="s">
        <v>185</v>
      </c>
      <c r="M1946" t="s">
        <v>32</v>
      </c>
      <c r="N1946" t="str">
        <f>"2/19/2004 12:00:00 AM"</f>
        <v>2/19/2004 12:00:00 AM</v>
      </c>
      <c r="O1946" t="s">
        <v>5915</v>
      </c>
      <c r="T1946" t="s">
        <v>5916</v>
      </c>
    </row>
    <row r="1947" spans="1:20" x14ac:dyDescent="0.25">
      <c r="A1947" t="str">
        <f>"3044650"</f>
        <v>3044650</v>
      </c>
      <c r="B1947" t="s">
        <v>5918</v>
      </c>
      <c r="C1947" t="str">
        <f>"82528802"</f>
        <v>82528802</v>
      </c>
      <c r="D1947" t="s">
        <v>5919</v>
      </c>
      <c r="F1947" t="s">
        <v>5920</v>
      </c>
      <c r="I1947" t="s">
        <v>184</v>
      </c>
      <c r="J1947" t="s">
        <v>30</v>
      </c>
      <c r="K1947" t="s">
        <v>185</v>
      </c>
      <c r="M1947" t="s">
        <v>32</v>
      </c>
      <c r="N1947" t="str">
        <f>"1/14/2008 12:00:00 AM"</f>
        <v>1/14/2008 12:00:00 AM</v>
      </c>
      <c r="O1947" t="s">
        <v>5919</v>
      </c>
    </row>
    <row r="1948" spans="1:20" x14ac:dyDescent="0.25">
      <c r="A1948" t="str">
        <f>"3044627"</f>
        <v>3044627</v>
      </c>
      <c r="B1948" t="s">
        <v>5921</v>
      </c>
      <c r="C1948" t="str">
        <f>"82523666"</f>
        <v>82523666</v>
      </c>
      <c r="D1948" t="s">
        <v>5922</v>
      </c>
      <c r="E1948" t="s">
        <v>5923</v>
      </c>
      <c r="F1948" t="s">
        <v>5924</v>
      </c>
      <c r="I1948" t="s">
        <v>184</v>
      </c>
      <c r="J1948" t="s">
        <v>30</v>
      </c>
      <c r="K1948" t="s">
        <v>185</v>
      </c>
      <c r="M1948" t="s">
        <v>32</v>
      </c>
      <c r="N1948" t="str">
        <f>"1/12/2005 12:00:00 AM"</f>
        <v>1/12/2005 12:00:00 AM</v>
      </c>
      <c r="O1948" t="s">
        <v>5922</v>
      </c>
      <c r="T1948" t="s">
        <v>5923</v>
      </c>
    </row>
    <row r="1949" spans="1:20" x14ac:dyDescent="0.25">
      <c r="A1949" t="str">
        <f>"3044607"</f>
        <v>3044607</v>
      </c>
      <c r="B1949" t="s">
        <v>5925</v>
      </c>
      <c r="C1949" t="str">
        <f>"78934250"</f>
        <v>78934250</v>
      </c>
      <c r="D1949" t="s">
        <v>5926</v>
      </c>
      <c r="E1949" t="s">
        <v>5927</v>
      </c>
      <c r="F1949" t="s">
        <v>5928</v>
      </c>
      <c r="I1949" t="s">
        <v>184</v>
      </c>
      <c r="J1949" t="s">
        <v>30</v>
      </c>
      <c r="K1949" t="s">
        <v>5929</v>
      </c>
      <c r="M1949" t="s">
        <v>32</v>
      </c>
      <c r="N1949" t="str">
        <f>"2/21/2005 12:00:00 AM"</f>
        <v>2/21/2005 12:00:00 AM</v>
      </c>
      <c r="O1949" t="s">
        <v>5926</v>
      </c>
      <c r="T1949" t="s">
        <v>5927</v>
      </c>
    </row>
    <row r="1950" spans="1:20" x14ac:dyDescent="0.25">
      <c r="A1950" t="str">
        <f>"3057924"</f>
        <v>3057924</v>
      </c>
      <c r="B1950" t="s">
        <v>5930</v>
      </c>
      <c r="C1950" t="str">
        <f>"82523457"</f>
        <v>82523457</v>
      </c>
      <c r="D1950" t="s">
        <v>5931</v>
      </c>
      <c r="F1950" t="s">
        <v>5932</v>
      </c>
      <c r="I1950" t="s">
        <v>184</v>
      </c>
      <c r="J1950" t="s">
        <v>30</v>
      </c>
      <c r="K1950" t="s">
        <v>5933</v>
      </c>
      <c r="M1950" t="s">
        <v>32</v>
      </c>
      <c r="N1950" t="str">
        <f>"2/28/2005 12:00:00 AM"</f>
        <v>2/28/2005 12:00:00 AM</v>
      </c>
      <c r="O1950" t="s">
        <v>5931</v>
      </c>
    </row>
    <row r="1951" spans="1:20" x14ac:dyDescent="0.25">
      <c r="A1951" t="str">
        <f>"3044651"</f>
        <v>3044651</v>
      </c>
      <c r="B1951" t="s">
        <v>5934</v>
      </c>
      <c r="C1951" t="str">
        <f>"82530148"</f>
        <v>82530148</v>
      </c>
      <c r="D1951" t="s">
        <v>5935</v>
      </c>
      <c r="E1951" t="s">
        <v>5936</v>
      </c>
      <c r="F1951" t="s">
        <v>5937</v>
      </c>
      <c r="I1951" t="s">
        <v>184</v>
      </c>
      <c r="J1951" t="s">
        <v>30</v>
      </c>
      <c r="K1951" t="s">
        <v>185</v>
      </c>
      <c r="M1951" t="s">
        <v>32</v>
      </c>
      <c r="N1951" t="str">
        <f>"1/28/2009 12:00:00 AM"</f>
        <v>1/28/2009 12:00:00 AM</v>
      </c>
      <c r="O1951" t="s">
        <v>5935</v>
      </c>
      <c r="T1951" t="s">
        <v>5936</v>
      </c>
    </row>
    <row r="1952" spans="1:20" x14ac:dyDescent="0.25">
      <c r="A1952" t="str">
        <f>"3044652"</f>
        <v>3044652</v>
      </c>
      <c r="B1952" t="s">
        <v>5938</v>
      </c>
      <c r="C1952" t="str">
        <f>"27592000"</f>
        <v>27592000</v>
      </c>
      <c r="D1952" t="s">
        <v>5939</v>
      </c>
      <c r="F1952" t="s">
        <v>5940</v>
      </c>
      <c r="I1952" t="s">
        <v>184</v>
      </c>
      <c r="J1952" t="s">
        <v>30</v>
      </c>
      <c r="K1952" t="s">
        <v>185</v>
      </c>
      <c r="M1952" t="s">
        <v>32</v>
      </c>
      <c r="N1952" t="str">
        <f>"8/27/2003 12:00:00 AM"</f>
        <v>8/27/2003 12:00:00 AM</v>
      </c>
      <c r="O1952" t="s">
        <v>5939</v>
      </c>
    </row>
    <row r="1953" spans="1:20" x14ac:dyDescent="0.25">
      <c r="A1953" t="str">
        <f>"3044653"</f>
        <v>3044653</v>
      </c>
      <c r="B1953" t="s">
        <v>5941</v>
      </c>
      <c r="C1953" t="str">
        <f>"20336000"</f>
        <v>20336000</v>
      </c>
      <c r="D1953" t="s">
        <v>5942</v>
      </c>
      <c r="E1953" t="s">
        <v>5943</v>
      </c>
      <c r="F1953" t="s">
        <v>5944</v>
      </c>
      <c r="I1953" t="s">
        <v>184</v>
      </c>
      <c r="J1953" t="s">
        <v>30</v>
      </c>
      <c r="K1953" t="s">
        <v>185</v>
      </c>
      <c r="M1953" t="s">
        <v>32</v>
      </c>
      <c r="N1953" t="str">
        <f>"1/22/2004 12:00:00 AM"</f>
        <v>1/22/2004 12:00:00 AM</v>
      </c>
      <c r="O1953" t="s">
        <v>5942</v>
      </c>
      <c r="T1953" t="s">
        <v>5943</v>
      </c>
    </row>
    <row r="1954" spans="1:20" x14ac:dyDescent="0.25">
      <c r="A1954" t="str">
        <f>"3044654"</f>
        <v>3044654</v>
      </c>
      <c r="B1954" t="s">
        <v>5945</v>
      </c>
      <c r="C1954" t="str">
        <f>"82514147"</f>
        <v>82514147</v>
      </c>
      <c r="D1954" t="s">
        <v>5946</v>
      </c>
      <c r="E1954" t="s">
        <v>5947</v>
      </c>
      <c r="F1954" t="s">
        <v>5948</v>
      </c>
      <c r="I1954" t="s">
        <v>184</v>
      </c>
      <c r="J1954" t="s">
        <v>30</v>
      </c>
      <c r="K1954" t="s">
        <v>5929</v>
      </c>
      <c r="M1954" t="s">
        <v>32</v>
      </c>
      <c r="N1954" t="str">
        <f>"1/17/2008 12:00:00 AM"</f>
        <v>1/17/2008 12:00:00 AM</v>
      </c>
      <c r="O1954" t="s">
        <v>5946</v>
      </c>
      <c r="T1954" t="s">
        <v>5947</v>
      </c>
    </row>
    <row r="1955" spans="1:20" x14ac:dyDescent="0.25">
      <c r="A1955" t="str">
        <f>"3044696"</f>
        <v>3044696</v>
      </c>
      <c r="B1955" t="s">
        <v>5949</v>
      </c>
      <c r="C1955" t="str">
        <f>"82514449"</f>
        <v>82514449</v>
      </c>
      <c r="D1955" t="s">
        <v>5950</v>
      </c>
      <c r="E1955" t="s">
        <v>5951</v>
      </c>
      <c r="F1955" t="s">
        <v>5952</v>
      </c>
      <c r="I1955" t="s">
        <v>184</v>
      </c>
      <c r="J1955" t="s">
        <v>30</v>
      </c>
      <c r="K1955" t="s">
        <v>185</v>
      </c>
      <c r="M1955" t="s">
        <v>32</v>
      </c>
      <c r="N1955" t="str">
        <f>"7/24/2002 12:00:00 AM"</f>
        <v>7/24/2002 12:00:00 AM</v>
      </c>
      <c r="O1955" t="s">
        <v>5950</v>
      </c>
      <c r="T1955" t="s">
        <v>5951</v>
      </c>
    </row>
    <row r="1956" spans="1:20" x14ac:dyDescent="0.25">
      <c r="A1956" t="str">
        <f>"3044374"</f>
        <v>3044374</v>
      </c>
      <c r="B1956" t="s">
        <v>5953</v>
      </c>
      <c r="C1956" t="str">
        <f>"82523568"</f>
        <v>82523568</v>
      </c>
      <c r="D1956" t="s">
        <v>5954</v>
      </c>
      <c r="E1956" t="s">
        <v>5955</v>
      </c>
      <c r="F1956" t="s">
        <v>5956</v>
      </c>
      <c r="I1956" t="s">
        <v>184</v>
      </c>
      <c r="J1956" t="s">
        <v>30</v>
      </c>
      <c r="K1956" t="s">
        <v>185</v>
      </c>
      <c r="M1956" t="s">
        <v>32</v>
      </c>
      <c r="N1956" t="str">
        <f>"11/30/2005 12:00:00 AM"</f>
        <v>11/30/2005 12:00:00 AM</v>
      </c>
      <c r="O1956" t="s">
        <v>5954</v>
      </c>
      <c r="T1956" t="s">
        <v>5955</v>
      </c>
    </row>
    <row r="1957" spans="1:20" x14ac:dyDescent="0.25">
      <c r="A1957" t="str">
        <f>"3044737"</f>
        <v>3044737</v>
      </c>
      <c r="B1957" t="s">
        <v>5957</v>
      </c>
      <c r="C1957" t="str">
        <f>"82518122"</f>
        <v>82518122</v>
      </c>
      <c r="D1957" t="s">
        <v>5958</v>
      </c>
      <c r="E1957" t="s">
        <v>5959</v>
      </c>
      <c r="F1957" t="s">
        <v>5960</v>
      </c>
      <c r="I1957" t="s">
        <v>184</v>
      </c>
      <c r="J1957" t="s">
        <v>30</v>
      </c>
      <c r="K1957" t="s">
        <v>185</v>
      </c>
      <c r="M1957" t="s">
        <v>32</v>
      </c>
      <c r="N1957" t="str">
        <f>"4/11/2002 12:00:00 AM"</f>
        <v>4/11/2002 12:00:00 AM</v>
      </c>
      <c r="O1957" t="s">
        <v>5958</v>
      </c>
      <c r="T1957" t="s">
        <v>5959</v>
      </c>
    </row>
    <row r="1958" spans="1:20" x14ac:dyDescent="0.25">
      <c r="A1958" t="str">
        <f>"3044402"</f>
        <v>3044402</v>
      </c>
      <c r="B1958" t="s">
        <v>5961</v>
      </c>
      <c r="C1958" t="str">
        <f>"82516697"</f>
        <v>82516697</v>
      </c>
      <c r="D1958" t="s">
        <v>5962</v>
      </c>
      <c r="E1958" t="s">
        <v>5963</v>
      </c>
      <c r="F1958" t="s">
        <v>5964</v>
      </c>
      <c r="I1958" t="s">
        <v>184</v>
      </c>
      <c r="J1958" t="s">
        <v>30</v>
      </c>
      <c r="K1958" t="s">
        <v>185</v>
      </c>
      <c r="M1958" t="s">
        <v>32</v>
      </c>
      <c r="N1958" t="str">
        <f>"7/25/2001 12:00:00 AM"</f>
        <v>7/25/2001 12:00:00 AM</v>
      </c>
      <c r="O1958" t="s">
        <v>5962</v>
      </c>
      <c r="T1958" t="s">
        <v>5963</v>
      </c>
    </row>
    <row r="1959" spans="1:20" x14ac:dyDescent="0.25">
      <c r="A1959" t="str">
        <f>"3044156"</f>
        <v>3044156</v>
      </c>
      <c r="B1959" t="s">
        <v>5965</v>
      </c>
      <c r="C1959" t="str">
        <f>"76181620"</f>
        <v>76181620</v>
      </c>
      <c r="D1959" t="s">
        <v>5966</v>
      </c>
      <c r="F1959" t="s">
        <v>5967</v>
      </c>
      <c r="I1959" t="s">
        <v>184</v>
      </c>
      <c r="J1959" t="s">
        <v>30</v>
      </c>
      <c r="K1959" t="s">
        <v>185</v>
      </c>
      <c r="M1959" t="s">
        <v>32</v>
      </c>
      <c r="N1959" t="str">
        <f>"4/30/2002 12:00:00 AM"</f>
        <v>4/30/2002 12:00:00 AM</v>
      </c>
      <c r="O1959" t="s">
        <v>5966</v>
      </c>
    </row>
    <row r="1960" spans="1:20" x14ac:dyDescent="0.25">
      <c r="A1960" t="str">
        <f>"3044376"</f>
        <v>3044376</v>
      </c>
      <c r="B1960" t="s">
        <v>5968</v>
      </c>
      <c r="C1960" t="str">
        <f>"82526777"</f>
        <v>82526777</v>
      </c>
      <c r="D1960" t="s">
        <v>5969</v>
      </c>
      <c r="E1960" t="s">
        <v>5970</v>
      </c>
      <c r="F1960" t="s">
        <v>5971</v>
      </c>
      <c r="I1960" t="s">
        <v>184</v>
      </c>
      <c r="J1960" t="s">
        <v>30</v>
      </c>
      <c r="K1960" t="s">
        <v>185</v>
      </c>
      <c r="M1960" t="s">
        <v>32</v>
      </c>
      <c r="N1960" t="str">
        <f>"2/13/2007 12:00:00 AM"</f>
        <v>2/13/2007 12:00:00 AM</v>
      </c>
      <c r="O1960" t="s">
        <v>5969</v>
      </c>
      <c r="T1960" t="s">
        <v>5970</v>
      </c>
    </row>
    <row r="1961" spans="1:20" x14ac:dyDescent="0.25">
      <c r="A1961" t="str">
        <f>"3044739"</f>
        <v>3044739</v>
      </c>
      <c r="B1961" t="s">
        <v>5972</v>
      </c>
      <c r="C1961" t="str">
        <f>"82524595"</f>
        <v>82524595</v>
      </c>
      <c r="D1961" t="s">
        <v>5973</v>
      </c>
      <c r="E1961" t="s">
        <v>5974</v>
      </c>
      <c r="F1961" t="s">
        <v>5975</v>
      </c>
      <c r="I1961" t="s">
        <v>184</v>
      </c>
      <c r="J1961" t="s">
        <v>30</v>
      </c>
      <c r="K1961" t="s">
        <v>5976</v>
      </c>
      <c r="M1961" t="s">
        <v>32</v>
      </c>
      <c r="N1961" t="str">
        <f>"1/17/2006 12:00:00 AM"</f>
        <v>1/17/2006 12:00:00 AM</v>
      </c>
      <c r="O1961" t="s">
        <v>5973</v>
      </c>
      <c r="T1961" t="s">
        <v>5974</v>
      </c>
    </row>
    <row r="1962" spans="1:20" x14ac:dyDescent="0.25">
      <c r="A1962" t="str">
        <f>"3044372"</f>
        <v>3044372</v>
      </c>
      <c r="B1962" t="s">
        <v>5977</v>
      </c>
      <c r="C1962" t="str">
        <f>"82523243"</f>
        <v>82523243</v>
      </c>
      <c r="D1962" t="s">
        <v>5978</v>
      </c>
      <c r="E1962" t="s">
        <v>5979</v>
      </c>
      <c r="F1962" t="s">
        <v>5980</v>
      </c>
      <c r="I1962" t="s">
        <v>184</v>
      </c>
      <c r="J1962" t="s">
        <v>30</v>
      </c>
      <c r="K1962" t="s">
        <v>185</v>
      </c>
      <c r="M1962" t="s">
        <v>32</v>
      </c>
      <c r="N1962" t="str">
        <f>"11/30/2005 12:00:00 AM"</f>
        <v>11/30/2005 12:00:00 AM</v>
      </c>
      <c r="O1962" t="s">
        <v>5978</v>
      </c>
      <c r="T1962" t="s">
        <v>5979</v>
      </c>
    </row>
    <row r="1963" spans="1:20" x14ac:dyDescent="0.25">
      <c r="A1963" t="str">
        <f>"3044423"</f>
        <v>3044423</v>
      </c>
      <c r="B1963" t="s">
        <v>5981</v>
      </c>
      <c r="C1963" t="str">
        <f>"11419550"</f>
        <v>11419550</v>
      </c>
      <c r="D1963" t="s">
        <v>5982</v>
      </c>
      <c r="E1963" t="s">
        <v>5983</v>
      </c>
      <c r="F1963" t="s">
        <v>5984</v>
      </c>
      <c r="I1963" t="s">
        <v>184</v>
      </c>
      <c r="J1963" t="s">
        <v>30</v>
      </c>
      <c r="K1963" t="s">
        <v>185</v>
      </c>
      <c r="M1963" t="s">
        <v>32</v>
      </c>
      <c r="N1963" t="str">
        <f>"10/2/2003 12:00:00 AM"</f>
        <v>10/2/2003 12:00:00 AM</v>
      </c>
      <c r="O1963" t="s">
        <v>5982</v>
      </c>
      <c r="T1963" t="s">
        <v>5983</v>
      </c>
    </row>
    <row r="1964" spans="1:20" x14ac:dyDescent="0.25">
      <c r="A1964" t="str">
        <f>"3044710"</f>
        <v>3044710</v>
      </c>
      <c r="B1964" t="s">
        <v>5985</v>
      </c>
      <c r="C1964" t="str">
        <f>"82524557"</f>
        <v>82524557</v>
      </c>
      <c r="D1964" t="s">
        <v>5986</v>
      </c>
      <c r="E1964" t="s">
        <v>5987</v>
      </c>
      <c r="F1964" t="s">
        <v>5988</v>
      </c>
      <c r="I1964" t="s">
        <v>184</v>
      </c>
      <c r="J1964" t="s">
        <v>30</v>
      </c>
      <c r="K1964" t="s">
        <v>5976</v>
      </c>
      <c r="M1964" t="s">
        <v>32</v>
      </c>
      <c r="N1964" t="str">
        <f>"1/12/2006 12:00:00 AM"</f>
        <v>1/12/2006 12:00:00 AM</v>
      </c>
      <c r="O1964" t="s">
        <v>5986</v>
      </c>
      <c r="T1964" t="s">
        <v>5987</v>
      </c>
    </row>
    <row r="1965" spans="1:20" x14ac:dyDescent="0.25">
      <c r="A1965" t="str">
        <f>"3044726"</f>
        <v>3044726</v>
      </c>
      <c r="B1965" t="s">
        <v>5989</v>
      </c>
      <c r="C1965" t="str">
        <f>"82523407"</f>
        <v>82523407</v>
      </c>
      <c r="D1965" t="s">
        <v>5990</v>
      </c>
      <c r="E1965" t="s">
        <v>5991</v>
      </c>
      <c r="F1965" t="s">
        <v>5992</v>
      </c>
      <c r="I1965" t="s">
        <v>184</v>
      </c>
      <c r="J1965" t="s">
        <v>30</v>
      </c>
      <c r="K1965" t="s">
        <v>5929</v>
      </c>
      <c r="M1965" t="s">
        <v>32</v>
      </c>
      <c r="N1965" t="str">
        <f>"1/17/2006 12:00:00 AM"</f>
        <v>1/17/2006 12:00:00 AM</v>
      </c>
      <c r="O1965" t="s">
        <v>5990</v>
      </c>
      <c r="T1965" t="s">
        <v>5991</v>
      </c>
    </row>
    <row r="1966" spans="1:20" x14ac:dyDescent="0.25">
      <c r="A1966" t="str">
        <f>"3044729"</f>
        <v>3044729</v>
      </c>
      <c r="B1966" t="s">
        <v>5993</v>
      </c>
      <c r="C1966" t="str">
        <f>"82523865"</f>
        <v>82523865</v>
      </c>
      <c r="D1966" t="s">
        <v>5994</v>
      </c>
      <c r="E1966" t="s">
        <v>5995</v>
      </c>
      <c r="F1966" t="s">
        <v>5996</v>
      </c>
      <c r="I1966" t="s">
        <v>184</v>
      </c>
      <c r="J1966" t="s">
        <v>30</v>
      </c>
      <c r="K1966" t="s">
        <v>5929</v>
      </c>
      <c r="M1966" t="s">
        <v>32</v>
      </c>
      <c r="N1966" t="str">
        <f>"1/23/2006 12:00:00 AM"</f>
        <v>1/23/2006 12:00:00 AM</v>
      </c>
      <c r="O1966" t="s">
        <v>5994</v>
      </c>
      <c r="T1966" t="s">
        <v>5995</v>
      </c>
    </row>
    <row r="1967" spans="1:20" x14ac:dyDescent="0.25">
      <c r="A1967" t="str">
        <f>"3044730"</f>
        <v>3044730</v>
      </c>
      <c r="B1967" t="s">
        <v>5997</v>
      </c>
      <c r="C1967" t="str">
        <f>"82523401"</f>
        <v>82523401</v>
      </c>
      <c r="D1967" t="s">
        <v>5998</v>
      </c>
      <c r="E1967" t="s">
        <v>5999</v>
      </c>
      <c r="F1967" t="s">
        <v>6000</v>
      </c>
      <c r="I1967" t="s">
        <v>184</v>
      </c>
      <c r="J1967" t="s">
        <v>30</v>
      </c>
      <c r="K1967" t="s">
        <v>5929</v>
      </c>
      <c r="M1967" t="s">
        <v>32</v>
      </c>
      <c r="N1967" t="str">
        <f>"1/12/2006 12:00:00 AM"</f>
        <v>1/12/2006 12:00:00 AM</v>
      </c>
      <c r="O1967" t="s">
        <v>5998</v>
      </c>
      <c r="T1967" t="s">
        <v>5999</v>
      </c>
    </row>
    <row r="1968" spans="1:20" x14ac:dyDescent="0.25">
      <c r="A1968" t="str">
        <f>"3044662"</f>
        <v>3044662</v>
      </c>
      <c r="B1968" t="s">
        <v>6001</v>
      </c>
      <c r="C1968" t="str">
        <f>"82524143"</f>
        <v>82524143</v>
      </c>
      <c r="D1968" t="s">
        <v>6002</v>
      </c>
      <c r="E1968" t="s">
        <v>6003</v>
      </c>
      <c r="F1968" t="s">
        <v>6004</v>
      </c>
      <c r="I1968" t="s">
        <v>184</v>
      </c>
      <c r="J1968" t="s">
        <v>30</v>
      </c>
      <c r="K1968" t="s">
        <v>5929</v>
      </c>
      <c r="M1968" t="s">
        <v>32</v>
      </c>
      <c r="N1968" t="str">
        <f>"2/10/2010 12:00:00 AM"</f>
        <v>2/10/2010 12:00:00 AM</v>
      </c>
      <c r="O1968" t="s">
        <v>6002</v>
      </c>
      <c r="T1968" t="s">
        <v>6003</v>
      </c>
    </row>
    <row r="1969" spans="1:20" x14ac:dyDescent="0.25">
      <c r="A1969" t="str">
        <f>"3044663"</f>
        <v>3044663</v>
      </c>
      <c r="B1969" t="s">
        <v>6005</v>
      </c>
      <c r="C1969" t="str">
        <f>"82526239"</f>
        <v>82526239</v>
      </c>
      <c r="D1969" t="s">
        <v>6006</v>
      </c>
      <c r="E1969" t="s">
        <v>6007</v>
      </c>
      <c r="F1969" t="s">
        <v>6008</v>
      </c>
      <c r="I1969" t="s">
        <v>184</v>
      </c>
      <c r="J1969" t="s">
        <v>30</v>
      </c>
      <c r="K1969" t="s">
        <v>185</v>
      </c>
      <c r="M1969" t="s">
        <v>32</v>
      </c>
      <c r="N1969" t="str">
        <f>"1/7/2009 12:00:00 AM"</f>
        <v>1/7/2009 12:00:00 AM</v>
      </c>
      <c r="O1969" t="s">
        <v>6006</v>
      </c>
      <c r="T1969" t="s">
        <v>6007</v>
      </c>
    </row>
    <row r="1970" spans="1:20" x14ac:dyDescent="0.25">
      <c r="A1970" t="str">
        <f>"3044666"</f>
        <v>3044666</v>
      </c>
      <c r="B1970" t="s">
        <v>6009</v>
      </c>
      <c r="C1970" t="str">
        <f>"82523614"</f>
        <v>82523614</v>
      </c>
      <c r="D1970" t="s">
        <v>6010</v>
      </c>
      <c r="F1970" t="s">
        <v>6011</v>
      </c>
      <c r="I1970" t="s">
        <v>184</v>
      </c>
      <c r="J1970" t="s">
        <v>30</v>
      </c>
      <c r="K1970" t="s">
        <v>185</v>
      </c>
      <c r="M1970" t="s">
        <v>32</v>
      </c>
      <c r="N1970" t="str">
        <f>"11/30/2005 12:00:00 AM"</f>
        <v>11/30/2005 12:00:00 AM</v>
      </c>
      <c r="O1970" t="s">
        <v>6010</v>
      </c>
    </row>
    <row r="1971" spans="1:20" x14ac:dyDescent="0.25">
      <c r="A1971" t="str">
        <f>"3061383"</f>
        <v>3061383</v>
      </c>
      <c r="B1971" t="s">
        <v>6012</v>
      </c>
      <c r="C1971" t="str">
        <f>"79768000"</f>
        <v>79768000</v>
      </c>
      <c r="D1971" t="s">
        <v>6013</v>
      </c>
      <c r="E1971" t="s">
        <v>6014</v>
      </c>
      <c r="F1971" t="s">
        <v>6015</v>
      </c>
      <c r="I1971" t="s">
        <v>184</v>
      </c>
      <c r="J1971" t="s">
        <v>30</v>
      </c>
      <c r="K1971" t="s">
        <v>185</v>
      </c>
      <c r="M1971" t="s">
        <v>32</v>
      </c>
      <c r="N1971" t="str">
        <f>"10/21/2003 12:00:00 AM"</f>
        <v>10/21/2003 12:00:00 AM</v>
      </c>
      <c r="O1971" t="s">
        <v>6013</v>
      </c>
      <c r="T1971" t="s">
        <v>6014</v>
      </c>
    </row>
    <row r="1972" spans="1:20" x14ac:dyDescent="0.25">
      <c r="A1972" t="str">
        <f>"3044429"</f>
        <v>3044429</v>
      </c>
      <c r="B1972" t="s">
        <v>6016</v>
      </c>
      <c r="C1972" t="str">
        <f>"59141920"</f>
        <v>59141920</v>
      </c>
      <c r="D1972" t="s">
        <v>6017</v>
      </c>
      <c r="E1972" t="s">
        <v>6018</v>
      </c>
      <c r="F1972" t="s">
        <v>6019</v>
      </c>
      <c r="I1972" t="s">
        <v>184</v>
      </c>
      <c r="J1972" t="s">
        <v>30</v>
      </c>
      <c r="K1972" t="s">
        <v>5557</v>
      </c>
      <c r="M1972" t="s">
        <v>32</v>
      </c>
      <c r="N1972" t="str">
        <f>"2/5/2009 12:00:00 AM"</f>
        <v>2/5/2009 12:00:00 AM</v>
      </c>
      <c r="O1972" t="s">
        <v>6017</v>
      </c>
      <c r="T1972" t="s">
        <v>6018</v>
      </c>
    </row>
    <row r="1973" spans="1:20" x14ac:dyDescent="0.25">
      <c r="A1973" t="str">
        <f>"3044395"</f>
        <v>3044395</v>
      </c>
      <c r="B1973" t="s">
        <v>6020</v>
      </c>
      <c r="C1973" t="str">
        <f>"82517382"</f>
        <v>82517382</v>
      </c>
      <c r="D1973" t="s">
        <v>6021</v>
      </c>
      <c r="E1973" t="s">
        <v>6022</v>
      </c>
      <c r="F1973" t="s">
        <v>6023</v>
      </c>
      <c r="I1973" t="s">
        <v>184</v>
      </c>
      <c r="J1973" t="s">
        <v>30</v>
      </c>
      <c r="K1973" t="s">
        <v>185</v>
      </c>
      <c r="M1973" t="s">
        <v>32</v>
      </c>
      <c r="N1973" t="str">
        <f>"8/5/2002 12:00:00 AM"</f>
        <v>8/5/2002 12:00:00 AM</v>
      </c>
      <c r="O1973" t="s">
        <v>6021</v>
      </c>
      <c r="T1973" t="s">
        <v>6022</v>
      </c>
    </row>
    <row r="1974" spans="1:20" x14ac:dyDescent="0.25">
      <c r="A1974" t="str">
        <f>"3044747"</f>
        <v>3044747</v>
      </c>
      <c r="B1974" t="s">
        <v>6024</v>
      </c>
      <c r="C1974" t="str">
        <f>"82523680"</f>
        <v>82523680</v>
      </c>
      <c r="D1974" t="s">
        <v>6025</v>
      </c>
      <c r="E1974" t="s">
        <v>6026</v>
      </c>
      <c r="F1974" t="s">
        <v>6027</v>
      </c>
      <c r="I1974" t="s">
        <v>184</v>
      </c>
      <c r="J1974" t="s">
        <v>30</v>
      </c>
      <c r="K1974" t="s">
        <v>185</v>
      </c>
      <c r="M1974" t="s">
        <v>32</v>
      </c>
      <c r="N1974" t="str">
        <f>"1/12/2005 12:00:00 AM"</f>
        <v>1/12/2005 12:00:00 AM</v>
      </c>
      <c r="O1974" t="s">
        <v>6025</v>
      </c>
      <c r="T1974" t="s">
        <v>6026</v>
      </c>
    </row>
    <row r="1975" spans="1:20" x14ac:dyDescent="0.25">
      <c r="A1975" t="str">
        <f>"3044384"</f>
        <v>3044384</v>
      </c>
      <c r="B1975" t="s">
        <v>6028</v>
      </c>
      <c r="C1975" t="str">
        <f>"82516190"</f>
        <v>82516190</v>
      </c>
      <c r="D1975" t="s">
        <v>6029</v>
      </c>
      <c r="E1975" t="s">
        <v>6030</v>
      </c>
      <c r="F1975" t="s">
        <v>6031</v>
      </c>
      <c r="I1975" t="s">
        <v>184</v>
      </c>
      <c r="J1975" t="s">
        <v>30</v>
      </c>
      <c r="K1975" t="s">
        <v>185</v>
      </c>
      <c r="M1975" t="s">
        <v>32</v>
      </c>
      <c r="N1975" t="str">
        <f>"8/9/2002 12:00:00 AM"</f>
        <v>8/9/2002 12:00:00 AM</v>
      </c>
      <c r="O1975" t="s">
        <v>6029</v>
      </c>
      <c r="T1975" t="s">
        <v>6030</v>
      </c>
    </row>
    <row r="1976" spans="1:20" x14ac:dyDescent="0.25">
      <c r="A1976" t="str">
        <f>"3044717"</f>
        <v>3044717</v>
      </c>
      <c r="B1976" t="s">
        <v>6032</v>
      </c>
      <c r="C1976" t="str">
        <f>"82520850"</f>
        <v>82520850</v>
      </c>
      <c r="D1976" t="s">
        <v>6033</v>
      </c>
      <c r="E1976" t="s">
        <v>6034</v>
      </c>
      <c r="F1976" t="s">
        <v>6035</v>
      </c>
      <c r="I1976" t="s">
        <v>184</v>
      </c>
      <c r="J1976" t="s">
        <v>30</v>
      </c>
      <c r="K1976" t="s">
        <v>6036</v>
      </c>
      <c r="M1976" t="s">
        <v>32</v>
      </c>
      <c r="N1976" t="str">
        <f>"11/30/2005 12:00:00 AM"</f>
        <v>11/30/2005 12:00:00 AM</v>
      </c>
      <c r="O1976" t="s">
        <v>6033</v>
      </c>
      <c r="T1976" t="s">
        <v>6034</v>
      </c>
    </row>
    <row r="1977" spans="1:20" x14ac:dyDescent="0.25">
      <c r="A1977" t="str">
        <f>"3042579"</f>
        <v>3042579</v>
      </c>
      <c r="B1977" t="s">
        <v>6037</v>
      </c>
      <c r="C1977" t="str">
        <f>"82520850"</f>
        <v>82520850</v>
      </c>
      <c r="D1977" t="s">
        <v>6033</v>
      </c>
      <c r="E1977" t="s">
        <v>6034</v>
      </c>
      <c r="F1977" t="s">
        <v>6035</v>
      </c>
      <c r="I1977" t="s">
        <v>184</v>
      </c>
      <c r="J1977" t="s">
        <v>30</v>
      </c>
      <c r="K1977" t="s">
        <v>6036</v>
      </c>
      <c r="M1977" t="s">
        <v>32</v>
      </c>
      <c r="N1977" t="str">
        <f>"11/30/2005 12:00:00 AM"</f>
        <v>11/30/2005 12:00:00 AM</v>
      </c>
      <c r="O1977" t="s">
        <v>6033</v>
      </c>
      <c r="T1977" t="s">
        <v>6034</v>
      </c>
    </row>
    <row r="1978" spans="1:20" x14ac:dyDescent="0.25">
      <c r="A1978" t="str">
        <f>"3044385"</f>
        <v>3044385</v>
      </c>
      <c r="B1978" t="s">
        <v>6038</v>
      </c>
      <c r="C1978" t="str">
        <f>"82519536"</f>
        <v>82519536</v>
      </c>
      <c r="D1978" t="s">
        <v>6039</v>
      </c>
      <c r="E1978" t="s">
        <v>6040</v>
      </c>
      <c r="F1978" t="s">
        <v>6041</v>
      </c>
      <c r="I1978" t="s">
        <v>184</v>
      </c>
      <c r="J1978" t="s">
        <v>30</v>
      </c>
      <c r="K1978" t="s">
        <v>6036</v>
      </c>
      <c r="M1978" t="s">
        <v>32</v>
      </c>
      <c r="N1978" t="str">
        <f>"2/24/2005 12:00:00 AM"</f>
        <v>2/24/2005 12:00:00 AM</v>
      </c>
      <c r="O1978" t="s">
        <v>6039</v>
      </c>
      <c r="T1978" t="s">
        <v>6040</v>
      </c>
    </row>
    <row r="1979" spans="1:20" x14ac:dyDescent="0.25">
      <c r="A1979" t="str">
        <f>"3044671"</f>
        <v>3044671</v>
      </c>
      <c r="B1979" t="s">
        <v>6042</v>
      </c>
      <c r="C1979" t="str">
        <f>"82517189"</f>
        <v>82517189</v>
      </c>
      <c r="D1979" t="s">
        <v>6043</v>
      </c>
      <c r="E1979" t="s">
        <v>6044</v>
      </c>
      <c r="F1979" t="s">
        <v>6045</v>
      </c>
      <c r="I1979" t="s">
        <v>184</v>
      </c>
      <c r="J1979" t="s">
        <v>30</v>
      </c>
      <c r="K1979" t="s">
        <v>6046</v>
      </c>
      <c r="M1979" t="s">
        <v>32</v>
      </c>
      <c r="N1979" t="str">
        <f>"2/15/2007 12:00:00 AM"</f>
        <v>2/15/2007 12:00:00 AM</v>
      </c>
      <c r="O1979" t="s">
        <v>6043</v>
      </c>
      <c r="T1979" t="s">
        <v>6044</v>
      </c>
    </row>
    <row r="1980" spans="1:20" x14ac:dyDescent="0.25">
      <c r="A1980" t="str">
        <f>"3044675"</f>
        <v>3044675</v>
      </c>
      <c r="B1980" t="s">
        <v>6047</v>
      </c>
      <c r="C1980" t="str">
        <f>"82512931"</f>
        <v>82512931</v>
      </c>
      <c r="D1980" t="s">
        <v>6048</v>
      </c>
      <c r="E1980" t="s">
        <v>6049</v>
      </c>
      <c r="F1980" t="s">
        <v>6050</v>
      </c>
      <c r="I1980" t="s">
        <v>184</v>
      </c>
      <c r="J1980" t="s">
        <v>30</v>
      </c>
      <c r="K1980" t="s">
        <v>185</v>
      </c>
      <c r="M1980" t="s">
        <v>32</v>
      </c>
      <c r="N1980" t="str">
        <f>"5/2/2002 12:00:00 AM"</f>
        <v>5/2/2002 12:00:00 AM</v>
      </c>
      <c r="O1980" t="s">
        <v>6048</v>
      </c>
      <c r="T1980" t="s">
        <v>6049</v>
      </c>
    </row>
    <row r="1981" spans="1:20" x14ac:dyDescent="0.25">
      <c r="A1981" t="str">
        <f>"3044676"</f>
        <v>3044676</v>
      </c>
      <c r="B1981" t="s">
        <v>6051</v>
      </c>
      <c r="C1981" t="str">
        <f>"82527020"</f>
        <v>82527020</v>
      </c>
      <c r="D1981" t="s">
        <v>6052</v>
      </c>
      <c r="E1981" t="s">
        <v>6053</v>
      </c>
      <c r="F1981" t="s">
        <v>6054</v>
      </c>
      <c r="I1981" t="s">
        <v>184</v>
      </c>
      <c r="J1981" t="s">
        <v>30</v>
      </c>
      <c r="K1981" t="s">
        <v>185</v>
      </c>
      <c r="M1981" t="s">
        <v>32</v>
      </c>
      <c r="N1981" t="str">
        <f>"1/18/2007 12:00:00 AM"</f>
        <v>1/18/2007 12:00:00 AM</v>
      </c>
      <c r="O1981" t="s">
        <v>6052</v>
      </c>
      <c r="T1981" t="s">
        <v>6053</v>
      </c>
    </row>
    <row r="1982" spans="1:20" x14ac:dyDescent="0.25">
      <c r="A1982" t="str">
        <f>"3061385"</f>
        <v>3061385</v>
      </c>
      <c r="B1982" t="s">
        <v>6055</v>
      </c>
      <c r="C1982" t="str">
        <f>"63368270"</f>
        <v>63368270</v>
      </c>
      <c r="D1982" t="s">
        <v>6056</v>
      </c>
      <c r="E1982" t="s">
        <v>6057</v>
      </c>
      <c r="F1982" t="s">
        <v>6058</v>
      </c>
      <c r="I1982" t="s">
        <v>184</v>
      </c>
      <c r="J1982" t="s">
        <v>30</v>
      </c>
      <c r="K1982" t="s">
        <v>6059</v>
      </c>
      <c r="M1982" t="s">
        <v>32</v>
      </c>
      <c r="N1982" t="str">
        <f>"2/18/2005 12:00:00 AM"</f>
        <v>2/18/2005 12:00:00 AM</v>
      </c>
      <c r="O1982" t="s">
        <v>6056</v>
      </c>
      <c r="T1982" t="s">
        <v>6057</v>
      </c>
    </row>
    <row r="1983" spans="1:20" x14ac:dyDescent="0.25">
      <c r="A1983" t="str">
        <f>"3044685"</f>
        <v>3044685</v>
      </c>
      <c r="B1983" t="s">
        <v>6060</v>
      </c>
      <c r="C1983" t="str">
        <f>"82514751"</f>
        <v>82514751</v>
      </c>
      <c r="D1983" t="s">
        <v>6061</v>
      </c>
      <c r="E1983" t="s">
        <v>6062</v>
      </c>
      <c r="F1983" t="s">
        <v>6063</v>
      </c>
      <c r="I1983" t="s">
        <v>184</v>
      </c>
      <c r="J1983" t="s">
        <v>30</v>
      </c>
      <c r="K1983" t="s">
        <v>185</v>
      </c>
      <c r="M1983" t="s">
        <v>32</v>
      </c>
      <c r="N1983" t="str">
        <f>"5/2/2002 12:00:00 AM"</f>
        <v>5/2/2002 12:00:00 AM</v>
      </c>
      <c r="O1983" t="s">
        <v>6061</v>
      </c>
      <c r="T1983" t="s">
        <v>6062</v>
      </c>
    </row>
    <row r="1984" spans="1:20" x14ac:dyDescent="0.25">
      <c r="A1984" t="str">
        <f>"3048556"</f>
        <v>3048556</v>
      </c>
      <c r="B1984" t="s">
        <v>6064</v>
      </c>
      <c r="C1984" t="str">
        <f>"82514751"</f>
        <v>82514751</v>
      </c>
      <c r="D1984" t="s">
        <v>6061</v>
      </c>
      <c r="E1984" t="s">
        <v>6062</v>
      </c>
      <c r="F1984" t="s">
        <v>6063</v>
      </c>
      <c r="I1984" t="s">
        <v>184</v>
      </c>
      <c r="J1984" t="s">
        <v>30</v>
      </c>
      <c r="K1984" t="s">
        <v>185</v>
      </c>
      <c r="M1984" t="s">
        <v>32</v>
      </c>
      <c r="N1984" t="str">
        <f>"5/2/2002 12:00:00 AM"</f>
        <v>5/2/2002 12:00:00 AM</v>
      </c>
      <c r="O1984" t="s">
        <v>6061</v>
      </c>
      <c r="T1984" t="s">
        <v>6062</v>
      </c>
    </row>
    <row r="1985" spans="1:20" x14ac:dyDescent="0.25">
      <c r="A1985" t="str">
        <f>"3044753"</f>
        <v>3044753</v>
      </c>
      <c r="B1985" t="s">
        <v>6065</v>
      </c>
      <c r="C1985" t="str">
        <f>"69070500"</f>
        <v>69070500</v>
      </c>
      <c r="D1985" t="s">
        <v>6066</v>
      </c>
      <c r="E1985" t="s">
        <v>6067</v>
      </c>
      <c r="F1985" t="s">
        <v>6068</v>
      </c>
      <c r="I1985" t="s">
        <v>184</v>
      </c>
      <c r="J1985" t="s">
        <v>30</v>
      </c>
      <c r="K1985" t="s">
        <v>185</v>
      </c>
      <c r="M1985" t="s">
        <v>32</v>
      </c>
      <c r="N1985" t="str">
        <f>"9/10/2007 12:00:00 AM"</f>
        <v>9/10/2007 12:00:00 AM</v>
      </c>
      <c r="O1985" t="s">
        <v>6066</v>
      </c>
      <c r="T1985" t="s">
        <v>6067</v>
      </c>
    </row>
    <row r="1986" spans="1:20" x14ac:dyDescent="0.25">
      <c r="A1986" t="str">
        <f>"3044659"</f>
        <v>3044659</v>
      </c>
      <c r="B1986" t="s">
        <v>6069</v>
      </c>
      <c r="C1986" t="str">
        <f>"82525801"</f>
        <v>82525801</v>
      </c>
      <c r="D1986" t="s">
        <v>6070</v>
      </c>
      <c r="E1986" t="s">
        <v>6071</v>
      </c>
      <c r="F1986" t="s">
        <v>6072</v>
      </c>
      <c r="I1986" t="s">
        <v>184</v>
      </c>
      <c r="J1986" t="s">
        <v>30</v>
      </c>
      <c r="K1986" t="s">
        <v>185</v>
      </c>
      <c r="M1986" t="s">
        <v>32</v>
      </c>
      <c r="N1986" t="str">
        <f>"2/14/2007 12:00:00 AM"</f>
        <v>2/14/2007 12:00:00 AM</v>
      </c>
      <c r="O1986" t="s">
        <v>6070</v>
      </c>
      <c r="T1986" t="s">
        <v>6071</v>
      </c>
    </row>
    <row r="1987" spans="1:20" x14ac:dyDescent="0.25">
      <c r="A1987" t="str">
        <f>"3044660"</f>
        <v>3044660</v>
      </c>
      <c r="B1987" t="s">
        <v>6073</v>
      </c>
      <c r="C1987" t="str">
        <f>"82519488"</f>
        <v>82519488</v>
      </c>
      <c r="D1987" t="s">
        <v>6074</v>
      </c>
      <c r="E1987" t="s">
        <v>6075</v>
      </c>
      <c r="F1987" t="s">
        <v>6076</v>
      </c>
      <c r="I1987" t="s">
        <v>184</v>
      </c>
      <c r="J1987" t="s">
        <v>30</v>
      </c>
      <c r="K1987" t="s">
        <v>6077</v>
      </c>
      <c r="M1987" t="s">
        <v>32</v>
      </c>
      <c r="N1987" t="str">
        <f>"1/31/2006 12:00:00 AM"</f>
        <v>1/31/2006 12:00:00 AM</v>
      </c>
      <c r="O1987" t="s">
        <v>6074</v>
      </c>
      <c r="T1987" t="s">
        <v>6075</v>
      </c>
    </row>
    <row r="1988" spans="1:20" x14ac:dyDescent="0.25">
      <c r="A1988" t="str">
        <f>"3044759"</f>
        <v>3044759</v>
      </c>
      <c r="B1988" t="s">
        <v>6078</v>
      </c>
      <c r="C1988" t="str">
        <f>"82525222"</f>
        <v>82525222</v>
      </c>
      <c r="D1988" t="s">
        <v>6079</v>
      </c>
      <c r="E1988" t="s">
        <v>6080</v>
      </c>
      <c r="F1988" t="s">
        <v>6081</v>
      </c>
      <c r="I1988" t="s">
        <v>184</v>
      </c>
      <c r="J1988" t="s">
        <v>30</v>
      </c>
      <c r="K1988" t="s">
        <v>6077</v>
      </c>
      <c r="M1988" t="s">
        <v>32</v>
      </c>
      <c r="N1988" t="str">
        <f>"1/25/2007 12:00:00 AM"</f>
        <v>1/25/2007 12:00:00 AM</v>
      </c>
      <c r="O1988" t="s">
        <v>6079</v>
      </c>
      <c r="T1988" t="s">
        <v>6080</v>
      </c>
    </row>
    <row r="1989" spans="1:20" x14ac:dyDescent="0.25">
      <c r="A1989" t="str">
        <f>"3044760"</f>
        <v>3044760</v>
      </c>
      <c r="B1989" t="s">
        <v>6082</v>
      </c>
      <c r="C1989" t="str">
        <f>"82521295"</f>
        <v>82521295</v>
      </c>
      <c r="D1989" t="s">
        <v>6083</v>
      </c>
      <c r="E1989" t="s">
        <v>6084</v>
      </c>
      <c r="F1989" t="s">
        <v>6085</v>
      </c>
      <c r="I1989" t="s">
        <v>184</v>
      </c>
      <c r="J1989" t="s">
        <v>30</v>
      </c>
      <c r="K1989" t="s">
        <v>185</v>
      </c>
      <c r="M1989" t="s">
        <v>32</v>
      </c>
      <c r="N1989" t="str">
        <f>"8/12/2003 12:00:00 AM"</f>
        <v>8/12/2003 12:00:00 AM</v>
      </c>
      <c r="O1989" t="s">
        <v>6083</v>
      </c>
      <c r="T1989" t="s">
        <v>6084</v>
      </c>
    </row>
    <row r="1990" spans="1:20" x14ac:dyDescent="0.25">
      <c r="A1990" t="str">
        <f>"3044858"</f>
        <v>3044858</v>
      </c>
      <c r="B1990" t="s">
        <v>6086</v>
      </c>
      <c r="C1990" t="str">
        <f>"5089930"</f>
        <v>5089930</v>
      </c>
      <c r="D1990" t="s">
        <v>6087</v>
      </c>
      <c r="E1990" t="s">
        <v>6088</v>
      </c>
      <c r="F1990" t="s">
        <v>6089</v>
      </c>
      <c r="I1990" t="s">
        <v>184</v>
      </c>
      <c r="J1990" t="s">
        <v>30</v>
      </c>
      <c r="K1990" t="s">
        <v>6077</v>
      </c>
      <c r="M1990" t="s">
        <v>32</v>
      </c>
      <c r="N1990" t="str">
        <f>"1/22/2007 12:00:00 AM"</f>
        <v>1/22/2007 12:00:00 AM</v>
      </c>
      <c r="O1990" t="s">
        <v>6087</v>
      </c>
      <c r="T1990" t="s">
        <v>6088</v>
      </c>
    </row>
    <row r="1991" spans="1:20" x14ac:dyDescent="0.25">
      <c r="A1991" t="str">
        <f>"3044763"</f>
        <v>3044763</v>
      </c>
      <c r="B1991" t="s">
        <v>6090</v>
      </c>
      <c r="C1991" t="str">
        <f>"82512878"</f>
        <v>82512878</v>
      </c>
      <c r="D1991" t="s">
        <v>6091</v>
      </c>
      <c r="E1991" t="s">
        <v>6092</v>
      </c>
      <c r="F1991" t="s">
        <v>6093</v>
      </c>
      <c r="I1991" t="s">
        <v>184</v>
      </c>
      <c r="J1991" t="s">
        <v>30</v>
      </c>
      <c r="K1991" t="s">
        <v>6094</v>
      </c>
      <c r="M1991" t="s">
        <v>32</v>
      </c>
      <c r="N1991" t="str">
        <f>"1/17/2006 12:00:00 AM"</f>
        <v>1/17/2006 12:00:00 AM</v>
      </c>
      <c r="O1991" t="s">
        <v>6091</v>
      </c>
      <c r="T1991" t="s">
        <v>6092</v>
      </c>
    </row>
    <row r="1992" spans="1:20" x14ac:dyDescent="0.25">
      <c r="A1992" t="str">
        <f>"3044765"</f>
        <v>3044765</v>
      </c>
      <c r="B1992" t="s">
        <v>6095</v>
      </c>
      <c r="C1992" t="str">
        <f>"82521837"</f>
        <v>82521837</v>
      </c>
      <c r="D1992" t="s">
        <v>6096</v>
      </c>
      <c r="E1992" t="s">
        <v>6097</v>
      </c>
      <c r="F1992" t="s">
        <v>6098</v>
      </c>
      <c r="I1992" t="s">
        <v>184</v>
      </c>
      <c r="J1992" t="s">
        <v>30</v>
      </c>
      <c r="K1992" t="s">
        <v>185</v>
      </c>
      <c r="M1992" t="s">
        <v>32</v>
      </c>
      <c r="N1992" t="str">
        <f>"11/30/2005 12:00:00 AM"</f>
        <v>11/30/2005 12:00:00 AM</v>
      </c>
      <c r="O1992" t="s">
        <v>6096</v>
      </c>
      <c r="T1992" t="s">
        <v>6097</v>
      </c>
    </row>
    <row r="1993" spans="1:20" x14ac:dyDescent="0.25">
      <c r="A1993" t="str">
        <f>"3044471"</f>
        <v>3044471</v>
      </c>
      <c r="B1993" t="s">
        <v>6099</v>
      </c>
      <c r="C1993" t="str">
        <f>"82518542"</f>
        <v>82518542</v>
      </c>
      <c r="D1993" t="s">
        <v>6100</v>
      </c>
      <c r="E1993" t="s">
        <v>6101</v>
      </c>
      <c r="F1993" t="s">
        <v>6102</v>
      </c>
      <c r="I1993" t="s">
        <v>184</v>
      </c>
      <c r="J1993" t="s">
        <v>30</v>
      </c>
      <c r="K1993" t="s">
        <v>6103</v>
      </c>
      <c r="M1993" t="s">
        <v>32</v>
      </c>
      <c r="N1993" t="str">
        <f>"2/1/2006 12:00:00 AM"</f>
        <v>2/1/2006 12:00:00 AM</v>
      </c>
      <c r="O1993" t="s">
        <v>6100</v>
      </c>
      <c r="T1993" t="s">
        <v>6101</v>
      </c>
    </row>
    <row r="1994" spans="1:20" x14ac:dyDescent="0.25">
      <c r="A1994" t="str">
        <f>"3044483"</f>
        <v>3044483</v>
      </c>
      <c r="B1994" t="s">
        <v>6104</v>
      </c>
      <c r="C1994" t="str">
        <f>"82526633"</f>
        <v>82526633</v>
      </c>
      <c r="D1994" t="s">
        <v>6105</v>
      </c>
      <c r="E1994" t="s">
        <v>6106</v>
      </c>
      <c r="F1994" t="s">
        <v>6107</v>
      </c>
      <c r="I1994" t="s">
        <v>184</v>
      </c>
      <c r="J1994" t="s">
        <v>30</v>
      </c>
      <c r="K1994" t="s">
        <v>185</v>
      </c>
      <c r="M1994" t="s">
        <v>32</v>
      </c>
      <c r="N1994" t="str">
        <f>"1/11/2007 12:00:00 AM"</f>
        <v>1/11/2007 12:00:00 AM</v>
      </c>
      <c r="O1994" t="s">
        <v>6105</v>
      </c>
      <c r="T1994" t="s">
        <v>6106</v>
      </c>
    </row>
    <row r="1995" spans="1:20" x14ac:dyDescent="0.25">
      <c r="A1995" t="str">
        <f>"3044769"</f>
        <v>3044769</v>
      </c>
      <c r="B1995" t="s">
        <v>6108</v>
      </c>
      <c r="C1995" t="str">
        <f>"82518950"</f>
        <v>82518950</v>
      </c>
      <c r="D1995" t="s">
        <v>6109</v>
      </c>
      <c r="F1995" t="s">
        <v>6110</v>
      </c>
      <c r="I1995" t="s">
        <v>184</v>
      </c>
      <c r="J1995" t="s">
        <v>30</v>
      </c>
      <c r="K1995" t="s">
        <v>6111</v>
      </c>
      <c r="M1995" t="s">
        <v>32</v>
      </c>
      <c r="N1995" t="str">
        <f>"1/10/2006 12:00:00 AM"</f>
        <v>1/10/2006 12:00:00 AM</v>
      </c>
      <c r="O1995" t="s">
        <v>6109</v>
      </c>
    </row>
    <row r="1996" spans="1:20" x14ac:dyDescent="0.25">
      <c r="A1996" t="str">
        <f>"3044756"</f>
        <v>3044756</v>
      </c>
      <c r="B1996" t="s">
        <v>6112</v>
      </c>
      <c r="C1996" t="str">
        <f>"82521616"</f>
        <v>82521616</v>
      </c>
      <c r="D1996" t="s">
        <v>6113</v>
      </c>
      <c r="E1996" t="s">
        <v>6114</v>
      </c>
      <c r="F1996" t="s">
        <v>6115</v>
      </c>
      <c r="I1996" t="s">
        <v>184</v>
      </c>
      <c r="J1996" t="s">
        <v>30</v>
      </c>
      <c r="K1996" t="s">
        <v>185</v>
      </c>
      <c r="M1996" t="s">
        <v>32</v>
      </c>
      <c r="N1996" t="str">
        <f>"2/13/2007 12:00:00 AM"</f>
        <v>2/13/2007 12:00:00 AM</v>
      </c>
      <c r="O1996" t="s">
        <v>6113</v>
      </c>
      <c r="T1996" t="s">
        <v>6114</v>
      </c>
    </row>
    <row r="1997" spans="1:20" x14ac:dyDescent="0.25">
      <c r="A1997" t="str">
        <f>"3044758"</f>
        <v>3044758</v>
      </c>
      <c r="B1997" t="s">
        <v>6116</v>
      </c>
      <c r="C1997" t="str">
        <f>"82523135"</f>
        <v>82523135</v>
      </c>
      <c r="D1997" t="s">
        <v>6117</v>
      </c>
      <c r="E1997" t="s">
        <v>6118</v>
      </c>
      <c r="F1997" t="s">
        <v>6119</v>
      </c>
      <c r="I1997" t="s">
        <v>184</v>
      </c>
      <c r="J1997" t="s">
        <v>30</v>
      </c>
      <c r="K1997" t="s">
        <v>6111</v>
      </c>
      <c r="M1997" t="s">
        <v>32</v>
      </c>
      <c r="N1997" t="str">
        <f>"1/27/2005 12:00:00 AM"</f>
        <v>1/27/2005 12:00:00 AM</v>
      </c>
      <c r="O1997" t="s">
        <v>6117</v>
      </c>
      <c r="T1997" t="s">
        <v>6118</v>
      </c>
    </row>
    <row r="1998" spans="1:20" x14ac:dyDescent="0.25">
      <c r="A1998" t="str">
        <f>"3044788"</f>
        <v>3044788</v>
      </c>
      <c r="B1998" t="s">
        <v>6120</v>
      </c>
      <c r="C1998" t="str">
        <f>"82517826"</f>
        <v>82517826</v>
      </c>
      <c r="D1998" t="s">
        <v>6121</v>
      </c>
      <c r="E1998" t="s">
        <v>6122</v>
      </c>
      <c r="F1998" t="s">
        <v>6123</v>
      </c>
      <c r="I1998" t="s">
        <v>184</v>
      </c>
      <c r="J1998" t="s">
        <v>30</v>
      </c>
      <c r="K1998" t="s">
        <v>185</v>
      </c>
      <c r="M1998" t="s">
        <v>32</v>
      </c>
      <c r="N1998" t="str">
        <f>"2/15/2002 12:00:00 AM"</f>
        <v>2/15/2002 12:00:00 AM</v>
      </c>
      <c r="O1998" t="s">
        <v>6121</v>
      </c>
      <c r="T1998" t="s">
        <v>6122</v>
      </c>
    </row>
    <row r="1999" spans="1:20" x14ac:dyDescent="0.25">
      <c r="A1999" t="str">
        <f>"3044166"</f>
        <v>3044166</v>
      </c>
      <c r="B1999" t="s">
        <v>6124</v>
      </c>
      <c r="C1999" t="str">
        <f>"82515984"</f>
        <v>82515984</v>
      </c>
      <c r="D1999" t="s">
        <v>5666</v>
      </c>
      <c r="E1999" t="s">
        <v>5667</v>
      </c>
      <c r="F1999" t="s">
        <v>5668</v>
      </c>
      <c r="I1999" t="s">
        <v>184</v>
      </c>
      <c r="J1999" t="s">
        <v>30</v>
      </c>
      <c r="K1999" t="s">
        <v>185</v>
      </c>
      <c r="M1999" t="s">
        <v>32</v>
      </c>
      <c r="N1999" t="str">
        <f>"11/12/2002 12:00:00 AM"</f>
        <v>11/12/2002 12:00:00 AM</v>
      </c>
      <c r="O1999" t="s">
        <v>5666</v>
      </c>
      <c r="T1999" t="s">
        <v>5667</v>
      </c>
    </row>
    <row r="2000" spans="1:20" x14ac:dyDescent="0.25">
      <c r="A2000" t="str">
        <f>"3044681"</f>
        <v>3044681</v>
      </c>
      <c r="B2000" t="s">
        <v>6125</v>
      </c>
      <c r="C2000" t="str">
        <f>"82515984"</f>
        <v>82515984</v>
      </c>
      <c r="D2000" t="s">
        <v>5666</v>
      </c>
      <c r="E2000" t="s">
        <v>5667</v>
      </c>
      <c r="F2000" t="s">
        <v>5668</v>
      </c>
      <c r="I2000" t="s">
        <v>184</v>
      </c>
      <c r="J2000" t="s">
        <v>30</v>
      </c>
      <c r="K2000" t="s">
        <v>185</v>
      </c>
      <c r="M2000" t="s">
        <v>32</v>
      </c>
      <c r="N2000" t="str">
        <f>"11/12/2002 12:00:00 AM"</f>
        <v>11/12/2002 12:00:00 AM</v>
      </c>
      <c r="O2000" t="s">
        <v>5666</v>
      </c>
      <c r="T2000" t="s">
        <v>5667</v>
      </c>
    </row>
    <row r="2001" spans="1:20" x14ac:dyDescent="0.25">
      <c r="A2001" t="str">
        <f>"3044506"</f>
        <v>3044506</v>
      </c>
      <c r="B2001" t="s">
        <v>6126</v>
      </c>
      <c r="C2001" t="str">
        <f>"82524816"</f>
        <v>82524816</v>
      </c>
      <c r="D2001" t="s">
        <v>6127</v>
      </c>
      <c r="F2001" t="s">
        <v>6128</v>
      </c>
      <c r="I2001" t="s">
        <v>184</v>
      </c>
      <c r="J2001" t="s">
        <v>30</v>
      </c>
      <c r="K2001" t="s">
        <v>5682</v>
      </c>
      <c r="M2001" t="s">
        <v>32</v>
      </c>
      <c r="N2001" t="str">
        <f>"1/12/2010 12:00:00 AM"</f>
        <v>1/12/2010 12:00:00 AM</v>
      </c>
      <c r="O2001" t="s">
        <v>6127</v>
      </c>
    </row>
    <row r="2002" spans="1:20" x14ac:dyDescent="0.25">
      <c r="A2002" t="str">
        <f>"3044518"</f>
        <v>3044518</v>
      </c>
      <c r="B2002" t="s">
        <v>6129</v>
      </c>
      <c r="C2002" t="str">
        <f>"56334000"</f>
        <v>56334000</v>
      </c>
      <c r="D2002" t="s">
        <v>6130</v>
      </c>
      <c r="F2002" t="s">
        <v>6131</v>
      </c>
      <c r="I2002" t="s">
        <v>184</v>
      </c>
      <c r="J2002" t="s">
        <v>30</v>
      </c>
      <c r="K2002" t="s">
        <v>185</v>
      </c>
      <c r="M2002" t="s">
        <v>32</v>
      </c>
      <c r="N2002" t="str">
        <f>"5/1/2002 12:00:00 AM"</f>
        <v>5/1/2002 12:00:00 AM</v>
      </c>
      <c r="O2002" t="s">
        <v>6130</v>
      </c>
    </row>
    <row r="2003" spans="1:20" x14ac:dyDescent="0.25">
      <c r="A2003" t="str">
        <f>"3044799"</f>
        <v>3044799</v>
      </c>
      <c r="B2003" t="s">
        <v>6132</v>
      </c>
      <c r="C2003" t="str">
        <f>"82518679"</f>
        <v>82518679</v>
      </c>
      <c r="D2003" t="s">
        <v>6133</v>
      </c>
      <c r="E2003" t="s">
        <v>6134</v>
      </c>
      <c r="F2003" t="s">
        <v>6135</v>
      </c>
      <c r="I2003" t="s">
        <v>184</v>
      </c>
      <c r="J2003" t="s">
        <v>30</v>
      </c>
      <c r="K2003" t="s">
        <v>6136</v>
      </c>
      <c r="M2003" t="s">
        <v>32</v>
      </c>
      <c r="N2003" t="str">
        <f>"1/24/2007 12:00:00 AM"</f>
        <v>1/24/2007 12:00:00 AM</v>
      </c>
      <c r="O2003" t="s">
        <v>6133</v>
      </c>
      <c r="T2003" t="s">
        <v>6134</v>
      </c>
    </row>
    <row r="2004" spans="1:20" x14ac:dyDescent="0.25">
      <c r="A2004" t="str">
        <f>"3044801"</f>
        <v>3044801</v>
      </c>
      <c r="B2004" t="s">
        <v>6137</v>
      </c>
      <c r="C2004" t="str">
        <f>"82530183"</f>
        <v>82530183</v>
      </c>
      <c r="D2004" t="s">
        <v>6138</v>
      </c>
      <c r="E2004" t="s">
        <v>6139</v>
      </c>
      <c r="F2004" t="s">
        <v>6140</v>
      </c>
      <c r="I2004" t="s">
        <v>184</v>
      </c>
      <c r="J2004" t="s">
        <v>30</v>
      </c>
      <c r="K2004" t="s">
        <v>185</v>
      </c>
      <c r="M2004" t="s">
        <v>32</v>
      </c>
      <c r="N2004" t="str">
        <f>"1/26/2009 12:00:00 AM"</f>
        <v>1/26/2009 12:00:00 AM</v>
      </c>
      <c r="O2004" t="s">
        <v>6138</v>
      </c>
      <c r="T2004" t="s">
        <v>6139</v>
      </c>
    </row>
    <row r="2005" spans="1:20" x14ac:dyDescent="0.25">
      <c r="A2005" t="str">
        <f>"3044527"</f>
        <v>3044527</v>
      </c>
      <c r="B2005" t="s">
        <v>6141</v>
      </c>
      <c r="C2005" t="str">
        <f>"80264000"</f>
        <v>80264000</v>
      </c>
      <c r="D2005" t="s">
        <v>6142</v>
      </c>
      <c r="E2005" t="s">
        <v>6143</v>
      </c>
      <c r="F2005" t="s">
        <v>6144</v>
      </c>
      <c r="I2005" t="s">
        <v>184</v>
      </c>
      <c r="J2005" t="s">
        <v>30</v>
      </c>
      <c r="K2005" t="s">
        <v>185</v>
      </c>
      <c r="M2005" t="s">
        <v>32</v>
      </c>
      <c r="N2005" t="str">
        <f>"8/18/2009 12:00:00 AM"</f>
        <v>8/18/2009 12:00:00 AM</v>
      </c>
      <c r="O2005" t="s">
        <v>6142</v>
      </c>
      <c r="T2005" t="s">
        <v>6143</v>
      </c>
    </row>
    <row r="2006" spans="1:20" x14ac:dyDescent="0.25">
      <c r="A2006" t="str">
        <f>"3044773"</f>
        <v>3044773</v>
      </c>
      <c r="B2006" t="s">
        <v>6145</v>
      </c>
      <c r="C2006" t="str">
        <f>"82520897"</f>
        <v>82520897</v>
      </c>
      <c r="D2006" t="s">
        <v>6146</v>
      </c>
      <c r="E2006" t="s">
        <v>6147</v>
      </c>
      <c r="F2006" t="s">
        <v>6148</v>
      </c>
      <c r="I2006" t="s">
        <v>184</v>
      </c>
      <c r="J2006" t="s">
        <v>30</v>
      </c>
      <c r="K2006" t="s">
        <v>6149</v>
      </c>
      <c r="M2006" t="s">
        <v>32</v>
      </c>
      <c r="N2006" t="str">
        <f>"2/14/2005 12:00:00 AM"</f>
        <v>2/14/2005 12:00:00 AM</v>
      </c>
      <c r="O2006" t="s">
        <v>6146</v>
      </c>
      <c r="T2006" t="s">
        <v>6147</v>
      </c>
    </row>
    <row r="2007" spans="1:20" x14ac:dyDescent="0.25">
      <c r="A2007" t="str">
        <f>"3044397"</f>
        <v>3044397</v>
      </c>
      <c r="B2007" t="s">
        <v>6150</v>
      </c>
      <c r="C2007" t="str">
        <f>"43586370"</f>
        <v>43586370</v>
      </c>
      <c r="D2007" t="s">
        <v>6151</v>
      </c>
      <c r="E2007" t="s">
        <v>6152</v>
      </c>
      <c r="F2007" t="s">
        <v>6153</v>
      </c>
      <c r="I2007" t="s">
        <v>184</v>
      </c>
      <c r="J2007" t="s">
        <v>30</v>
      </c>
      <c r="K2007" t="s">
        <v>185</v>
      </c>
      <c r="M2007" t="s">
        <v>32</v>
      </c>
      <c r="N2007" t="str">
        <f>"7/26/2002 12:00:00 AM"</f>
        <v>7/26/2002 12:00:00 AM</v>
      </c>
      <c r="O2007" t="s">
        <v>6151</v>
      </c>
      <c r="T2007" t="s">
        <v>6152</v>
      </c>
    </row>
    <row r="2008" spans="1:20" x14ac:dyDescent="0.25">
      <c r="A2008" t="str">
        <f>"3043940"</f>
        <v>3043940</v>
      </c>
      <c r="B2008" t="s">
        <v>6154</v>
      </c>
      <c r="C2008" t="str">
        <f>"43586370"</f>
        <v>43586370</v>
      </c>
      <c r="D2008" t="s">
        <v>6151</v>
      </c>
      <c r="E2008" t="s">
        <v>6152</v>
      </c>
      <c r="F2008" t="s">
        <v>6153</v>
      </c>
      <c r="I2008" t="s">
        <v>184</v>
      </c>
      <c r="J2008" t="s">
        <v>30</v>
      </c>
      <c r="K2008" t="s">
        <v>185</v>
      </c>
      <c r="M2008" t="s">
        <v>32</v>
      </c>
      <c r="N2008" t="str">
        <f>"7/26/2002 12:00:00 AM"</f>
        <v>7/26/2002 12:00:00 AM</v>
      </c>
      <c r="O2008" t="s">
        <v>6151</v>
      </c>
      <c r="T2008" t="s">
        <v>6152</v>
      </c>
    </row>
    <row r="2009" spans="1:20" x14ac:dyDescent="0.25">
      <c r="A2009" t="str">
        <f>"3044804"</f>
        <v>3044804</v>
      </c>
      <c r="B2009" t="s">
        <v>6155</v>
      </c>
      <c r="C2009" t="str">
        <f>"82520927"</f>
        <v>82520927</v>
      </c>
      <c r="D2009" t="s">
        <v>6156</v>
      </c>
      <c r="E2009" t="s">
        <v>6157</v>
      </c>
      <c r="F2009" t="s">
        <v>6158</v>
      </c>
      <c r="I2009" t="s">
        <v>184</v>
      </c>
      <c r="J2009" t="s">
        <v>30</v>
      </c>
      <c r="K2009" t="s">
        <v>185</v>
      </c>
      <c r="M2009" t="s">
        <v>32</v>
      </c>
      <c r="N2009" t="str">
        <f>"11/8/2004 12:00:00 AM"</f>
        <v>11/8/2004 12:00:00 AM</v>
      </c>
      <c r="O2009" t="s">
        <v>6156</v>
      </c>
      <c r="T2009" t="s">
        <v>6157</v>
      </c>
    </row>
    <row r="2010" spans="1:20" x14ac:dyDescent="0.25">
      <c r="A2010" t="str">
        <f>"3044805"</f>
        <v>3044805</v>
      </c>
      <c r="B2010" t="s">
        <v>6159</v>
      </c>
      <c r="C2010" t="str">
        <f>"82529943"</f>
        <v>82529943</v>
      </c>
      <c r="D2010" t="s">
        <v>6160</v>
      </c>
      <c r="E2010" t="s">
        <v>6161</v>
      </c>
      <c r="F2010" t="s">
        <v>6162</v>
      </c>
      <c r="I2010" t="s">
        <v>184</v>
      </c>
      <c r="J2010" t="s">
        <v>30</v>
      </c>
      <c r="K2010" t="s">
        <v>185</v>
      </c>
      <c r="M2010" t="s">
        <v>32</v>
      </c>
      <c r="N2010" t="str">
        <f>"1/7/2009 12:00:00 AM"</f>
        <v>1/7/2009 12:00:00 AM</v>
      </c>
      <c r="O2010" t="s">
        <v>6160</v>
      </c>
      <c r="T2010" t="s">
        <v>6161</v>
      </c>
    </row>
    <row r="2011" spans="1:20" x14ac:dyDescent="0.25">
      <c r="A2011" t="str">
        <f>"3044535"</f>
        <v>3044535</v>
      </c>
      <c r="B2011" t="s">
        <v>6163</v>
      </c>
      <c r="C2011" t="str">
        <f>"82527022"</f>
        <v>82527022</v>
      </c>
      <c r="D2011" t="s">
        <v>6164</v>
      </c>
      <c r="E2011" t="s">
        <v>6165</v>
      </c>
      <c r="F2011" t="s">
        <v>6166</v>
      </c>
      <c r="I2011" t="s">
        <v>184</v>
      </c>
      <c r="J2011" t="s">
        <v>30</v>
      </c>
      <c r="K2011" t="s">
        <v>185</v>
      </c>
      <c r="M2011" t="s">
        <v>32</v>
      </c>
      <c r="N2011" t="str">
        <f>"10/25/2006 12:00:00 AM"</f>
        <v>10/25/2006 12:00:00 AM</v>
      </c>
      <c r="O2011" t="s">
        <v>6164</v>
      </c>
      <c r="T2011" t="s">
        <v>6165</v>
      </c>
    </row>
    <row r="2012" spans="1:20" x14ac:dyDescent="0.25">
      <c r="A2012" t="str">
        <f>"3044410"</f>
        <v>3044410</v>
      </c>
      <c r="B2012" t="s">
        <v>6167</v>
      </c>
      <c r="C2012" t="str">
        <f>"82515223"</f>
        <v>82515223</v>
      </c>
      <c r="D2012" t="s">
        <v>6168</v>
      </c>
      <c r="E2012" t="s">
        <v>6169</v>
      </c>
      <c r="F2012" t="s">
        <v>6170</v>
      </c>
      <c r="I2012" t="s">
        <v>184</v>
      </c>
      <c r="J2012" t="s">
        <v>30</v>
      </c>
      <c r="K2012" t="s">
        <v>185</v>
      </c>
      <c r="M2012" t="s">
        <v>32</v>
      </c>
      <c r="N2012" t="str">
        <f>"7/30/2004 12:00:00 AM"</f>
        <v>7/30/2004 12:00:00 AM</v>
      </c>
      <c r="O2012" t="s">
        <v>6168</v>
      </c>
      <c r="T2012" t="s">
        <v>6169</v>
      </c>
    </row>
    <row r="2013" spans="1:20" x14ac:dyDescent="0.25">
      <c r="A2013" t="str">
        <f>"3044537"</f>
        <v>3044537</v>
      </c>
      <c r="B2013" t="s">
        <v>6171</v>
      </c>
      <c r="C2013" t="str">
        <f>"27742000"</f>
        <v>27742000</v>
      </c>
      <c r="D2013" t="s">
        <v>6172</v>
      </c>
      <c r="E2013" t="s">
        <v>6173</v>
      </c>
      <c r="F2013" t="s">
        <v>6174</v>
      </c>
      <c r="I2013" t="s">
        <v>184</v>
      </c>
      <c r="J2013" t="s">
        <v>30</v>
      </c>
      <c r="K2013" t="s">
        <v>185</v>
      </c>
      <c r="M2013" t="s">
        <v>32</v>
      </c>
      <c r="N2013" t="str">
        <f>"5/1/2002 12:00:00 AM"</f>
        <v>5/1/2002 12:00:00 AM</v>
      </c>
      <c r="O2013" t="s">
        <v>6172</v>
      </c>
      <c r="T2013" t="s">
        <v>6173</v>
      </c>
    </row>
    <row r="2014" spans="1:20" x14ac:dyDescent="0.25">
      <c r="A2014" t="str">
        <f>"3058068"</f>
        <v>3058068</v>
      </c>
      <c r="B2014" t="s">
        <v>6175</v>
      </c>
      <c r="C2014" t="str">
        <f>"82527151"</f>
        <v>82527151</v>
      </c>
      <c r="D2014" t="s">
        <v>6176</v>
      </c>
      <c r="E2014" t="s">
        <v>6177</v>
      </c>
      <c r="F2014" t="s">
        <v>6178</v>
      </c>
      <c r="I2014" t="s">
        <v>184</v>
      </c>
      <c r="J2014" t="s">
        <v>30</v>
      </c>
      <c r="K2014" t="s">
        <v>185</v>
      </c>
      <c r="M2014" t="s">
        <v>32</v>
      </c>
      <c r="N2014" t="str">
        <f>"2/12/2007 12:00:00 AM"</f>
        <v>2/12/2007 12:00:00 AM</v>
      </c>
      <c r="O2014" t="s">
        <v>6176</v>
      </c>
      <c r="T2014" t="s">
        <v>6177</v>
      </c>
    </row>
    <row r="2015" spans="1:20" x14ac:dyDescent="0.25">
      <c r="A2015" t="str">
        <f>"3058107"</f>
        <v>3058107</v>
      </c>
      <c r="B2015" t="s">
        <v>6179</v>
      </c>
      <c r="C2015" t="str">
        <f>"64377250"</f>
        <v>64377250</v>
      </c>
      <c r="D2015" t="s">
        <v>6180</v>
      </c>
      <c r="E2015" t="s">
        <v>6181</v>
      </c>
      <c r="F2015" t="s">
        <v>6182</v>
      </c>
      <c r="I2015" t="s">
        <v>184</v>
      </c>
      <c r="J2015" t="s">
        <v>30</v>
      </c>
      <c r="K2015" t="s">
        <v>185</v>
      </c>
      <c r="M2015" t="s">
        <v>32</v>
      </c>
      <c r="N2015" t="str">
        <f>"10/15/2003 12:00:00 AM"</f>
        <v>10/15/2003 12:00:00 AM</v>
      </c>
      <c r="O2015" t="s">
        <v>6180</v>
      </c>
      <c r="T2015" t="s">
        <v>6181</v>
      </c>
    </row>
    <row r="2016" spans="1:20" x14ac:dyDescent="0.25">
      <c r="A2016" t="str">
        <f>"3044566"</f>
        <v>3044566</v>
      </c>
      <c r="B2016" t="s">
        <v>6183</v>
      </c>
      <c r="C2016" t="str">
        <f>"82512921"</f>
        <v>82512921</v>
      </c>
      <c r="D2016" t="s">
        <v>6184</v>
      </c>
      <c r="E2016" t="s">
        <v>6185</v>
      </c>
      <c r="F2016" t="s">
        <v>6186</v>
      </c>
      <c r="I2016" t="s">
        <v>184</v>
      </c>
      <c r="J2016" t="s">
        <v>30</v>
      </c>
      <c r="K2016" t="s">
        <v>185</v>
      </c>
      <c r="M2016" t="s">
        <v>32</v>
      </c>
      <c r="N2016" t="str">
        <f>"9/21/1999 12:00:00 AM"</f>
        <v>9/21/1999 12:00:00 AM</v>
      </c>
      <c r="O2016" t="s">
        <v>6184</v>
      </c>
      <c r="T2016" t="s">
        <v>6185</v>
      </c>
    </row>
    <row r="2017" spans="1:20" x14ac:dyDescent="0.25">
      <c r="A2017" t="str">
        <f>"3058112"</f>
        <v>3058112</v>
      </c>
      <c r="B2017" t="s">
        <v>6187</v>
      </c>
      <c r="C2017" t="str">
        <f>"82521096"</f>
        <v>82521096</v>
      </c>
      <c r="D2017" t="s">
        <v>6188</v>
      </c>
      <c r="E2017" t="s">
        <v>6189</v>
      </c>
      <c r="F2017" t="s">
        <v>6190</v>
      </c>
      <c r="I2017" t="s">
        <v>184</v>
      </c>
      <c r="J2017" t="s">
        <v>30</v>
      </c>
      <c r="K2017" t="s">
        <v>185</v>
      </c>
      <c r="M2017" t="s">
        <v>32</v>
      </c>
      <c r="N2017" t="str">
        <f>"1/22/2004 12:00:00 AM"</f>
        <v>1/22/2004 12:00:00 AM</v>
      </c>
      <c r="O2017" t="s">
        <v>6188</v>
      </c>
      <c r="T2017" t="s">
        <v>6189</v>
      </c>
    </row>
    <row r="2018" spans="1:20" x14ac:dyDescent="0.25">
      <c r="A2018" t="str">
        <f>"3058089"</f>
        <v>3058089</v>
      </c>
      <c r="B2018" t="s">
        <v>6191</v>
      </c>
      <c r="C2018" t="str">
        <f>"82515508"</f>
        <v>82515508</v>
      </c>
      <c r="D2018" t="s">
        <v>6192</v>
      </c>
      <c r="E2018" t="s">
        <v>6193</v>
      </c>
      <c r="F2018" t="s">
        <v>6194</v>
      </c>
      <c r="I2018" t="s">
        <v>184</v>
      </c>
      <c r="J2018" t="s">
        <v>30</v>
      </c>
      <c r="K2018" t="s">
        <v>185</v>
      </c>
      <c r="M2018" t="s">
        <v>32</v>
      </c>
      <c r="N2018" t="str">
        <f>"5/2/2002 12:00:00 AM"</f>
        <v>5/2/2002 12:00:00 AM</v>
      </c>
      <c r="O2018" t="s">
        <v>6192</v>
      </c>
      <c r="T2018" t="s">
        <v>6193</v>
      </c>
    </row>
    <row r="2019" spans="1:20" x14ac:dyDescent="0.25">
      <c r="A2019" t="str">
        <f>"3058090"</f>
        <v>3058090</v>
      </c>
      <c r="B2019" t="s">
        <v>6195</v>
      </c>
      <c r="C2019" t="str">
        <f>"82515919"</f>
        <v>82515919</v>
      </c>
      <c r="D2019" t="s">
        <v>6196</v>
      </c>
      <c r="E2019" t="s">
        <v>6197</v>
      </c>
      <c r="F2019" t="s">
        <v>6198</v>
      </c>
      <c r="I2019" t="s">
        <v>184</v>
      </c>
      <c r="J2019" t="s">
        <v>30</v>
      </c>
      <c r="K2019" t="s">
        <v>185</v>
      </c>
      <c r="M2019" t="s">
        <v>32</v>
      </c>
      <c r="N2019" t="str">
        <f>"5/2/2002 12:00:00 AM"</f>
        <v>5/2/2002 12:00:00 AM</v>
      </c>
      <c r="O2019" t="s">
        <v>6196</v>
      </c>
      <c r="T2019" t="s">
        <v>6197</v>
      </c>
    </row>
    <row r="2020" spans="1:20" x14ac:dyDescent="0.25">
      <c r="A2020" t="str">
        <f>"3058154"</f>
        <v>3058154</v>
      </c>
      <c r="B2020" t="s">
        <v>6199</v>
      </c>
      <c r="C2020" t="str">
        <f>"82524717"</f>
        <v>82524717</v>
      </c>
      <c r="D2020" t="s">
        <v>6200</v>
      </c>
      <c r="E2020" t="s">
        <v>6201</v>
      </c>
      <c r="F2020" t="s">
        <v>6202</v>
      </c>
      <c r="I2020" t="s">
        <v>184</v>
      </c>
      <c r="J2020" t="s">
        <v>30</v>
      </c>
      <c r="K2020" t="s">
        <v>6203</v>
      </c>
      <c r="M2020" t="s">
        <v>32</v>
      </c>
      <c r="N2020" t="str">
        <f>"1/17/2006 12:00:00 AM"</f>
        <v>1/17/2006 12:00:00 AM</v>
      </c>
      <c r="O2020" t="s">
        <v>6200</v>
      </c>
      <c r="T2020" t="s">
        <v>6201</v>
      </c>
    </row>
    <row r="2021" spans="1:20" x14ac:dyDescent="0.25">
      <c r="A2021" t="str">
        <f>"3044568"</f>
        <v>3044568</v>
      </c>
      <c r="B2021" t="s">
        <v>6204</v>
      </c>
      <c r="C2021" t="str">
        <f>"82520924"</f>
        <v>82520924</v>
      </c>
      <c r="D2021" t="s">
        <v>6205</v>
      </c>
      <c r="E2021" t="s">
        <v>6206</v>
      </c>
      <c r="F2021" t="s">
        <v>6207</v>
      </c>
      <c r="I2021" t="s">
        <v>184</v>
      </c>
      <c r="J2021" t="s">
        <v>30</v>
      </c>
      <c r="K2021" t="s">
        <v>185</v>
      </c>
      <c r="M2021" t="s">
        <v>32</v>
      </c>
      <c r="N2021" t="str">
        <f>"2/2/2004 12:00:00 AM"</f>
        <v>2/2/2004 12:00:00 AM</v>
      </c>
      <c r="O2021" t="s">
        <v>6205</v>
      </c>
      <c r="T2021" t="s">
        <v>6206</v>
      </c>
    </row>
    <row r="2022" spans="1:20" x14ac:dyDescent="0.25">
      <c r="A2022" t="str">
        <f>"3058052"</f>
        <v>3058052</v>
      </c>
      <c r="B2022" t="s">
        <v>6208</v>
      </c>
      <c r="C2022" t="str">
        <f>"82515777"</f>
        <v>82515777</v>
      </c>
      <c r="D2022" t="s">
        <v>6209</v>
      </c>
      <c r="F2022" t="s">
        <v>6210</v>
      </c>
      <c r="I2022" t="s">
        <v>184</v>
      </c>
      <c r="J2022" t="s">
        <v>30</v>
      </c>
      <c r="K2022" t="s">
        <v>185</v>
      </c>
      <c r="M2022" t="s">
        <v>32</v>
      </c>
      <c r="N2022" t="str">
        <f>"2/9/2010 12:00:00 AM"</f>
        <v>2/9/2010 12:00:00 AM</v>
      </c>
      <c r="O2022" t="s">
        <v>6209</v>
      </c>
    </row>
    <row r="2023" spans="1:20" x14ac:dyDescent="0.25">
      <c r="A2023" t="str">
        <f>"3058053"</f>
        <v>3058053</v>
      </c>
      <c r="B2023" t="s">
        <v>6211</v>
      </c>
      <c r="C2023" t="str">
        <f>"82523554"</f>
        <v>82523554</v>
      </c>
      <c r="D2023" t="s">
        <v>6212</v>
      </c>
      <c r="E2023" t="s">
        <v>6213</v>
      </c>
      <c r="F2023" t="s">
        <v>6214</v>
      </c>
      <c r="I2023" t="s">
        <v>184</v>
      </c>
      <c r="J2023" t="s">
        <v>30</v>
      </c>
      <c r="K2023" t="s">
        <v>185</v>
      </c>
      <c r="M2023" t="s">
        <v>32</v>
      </c>
      <c r="N2023" t="str">
        <f>"12/6/2005 12:00:00 AM"</f>
        <v>12/6/2005 12:00:00 AM</v>
      </c>
      <c r="O2023" t="s">
        <v>6212</v>
      </c>
      <c r="T2023" t="s">
        <v>6213</v>
      </c>
    </row>
    <row r="2024" spans="1:20" x14ac:dyDescent="0.25">
      <c r="A2024" t="str">
        <f>"3058054"</f>
        <v>3058054</v>
      </c>
      <c r="B2024" t="s">
        <v>6215</v>
      </c>
      <c r="C2024" t="str">
        <f>"82514480"</f>
        <v>82514480</v>
      </c>
      <c r="D2024" t="s">
        <v>6216</v>
      </c>
      <c r="E2024" t="s">
        <v>6217</v>
      </c>
      <c r="F2024" t="s">
        <v>6218</v>
      </c>
      <c r="I2024" t="s">
        <v>184</v>
      </c>
      <c r="J2024" t="s">
        <v>30</v>
      </c>
      <c r="K2024" t="s">
        <v>185</v>
      </c>
      <c r="M2024" t="s">
        <v>32</v>
      </c>
      <c r="N2024" t="str">
        <f>"12/6/2005 12:00:00 AM"</f>
        <v>12/6/2005 12:00:00 AM</v>
      </c>
      <c r="O2024" t="s">
        <v>6216</v>
      </c>
      <c r="T2024" t="s">
        <v>6217</v>
      </c>
    </row>
    <row r="2025" spans="1:20" x14ac:dyDescent="0.25">
      <c r="A2025" t="str">
        <f>"3058047"</f>
        <v>3058047</v>
      </c>
      <c r="B2025" t="s">
        <v>6219</v>
      </c>
      <c r="C2025" t="str">
        <f>"82521581"</f>
        <v>82521581</v>
      </c>
      <c r="D2025" t="s">
        <v>6220</v>
      </c>
      <c r="E2025" t="s">
        <v>6221</v>
      </c>
      <c r="F2025" t="s">
        <v>6222</v>
      </c>
      <c r="I2025" t="s">
        <v>184</v>
      </c>
      <c r="J2025" t="s">
        <v>30</v>
      </c>
      <c r="K2025" t="s">
        <v>185</v>
      </c>
      <c r="M2025" t="s">
        <v>32</v>
      </c>
      <c r="N2025" t="str">
        <f>"11/19/2010 12:00:00 AM"</f>
        <v>11/19/2010 12:00:00 AM</v>
      </c>
      <c r="O2025" t="s">
        <v>6220</v>
      </c>
      <c r="T2025" t="s">
        <v>6221</v>
      </c>
    </row>
    <row r="2026" spans="1:20" x14ac:dyDescent="0.25">
      <c r="A2026" t="str">
        <f>"3044629"</f>
        <v>3044629</v>
      </c>
      <c r="B2026" t="s">
        <v>6223</v>
      </c>
      <c r="C2026" t="str">
        <f>"82518624"</f>
        <v>82518624</v>
      </c>
      <c r="D2026" t="s">
        <v>6224</v>
      </c>
      <c r="F2026" t="s">
        <v>6225</v>
      </c>
      <c r="I2026" t="s">
        <v>184</v>
      </c>
      <c r="J2026" t="s">
        <v>30</v>
      </c>
      <c r="K2026" t="s">
        <v>185</v>
      </c>
      <c r="M2026" t="s">
        <v>32</v>
      </c>
      <c r="N2026" t="str">
        <f>"1/17/2003 12:00:00 AM"</f>
        <v>1/17/2003 12:00:00 AM</v>
      </c>
      <c r="O2026" t="s">
        <v>6224</v>
      </c>
    </row>
    <row r="2027" spans="1:20" x14ac:dyDescent="0.25">
      <c r="A2027" t="str">
        <f>"3058108"</f>
        <v>3058108</v>
      </c>
      <c r="B2027" t="s">
        <v>6226</v>
      </c>
      <c r="C2027" t="str">
        <f>"82516987"</f>
        <v>82516987</v>
      </c>
      <c r="D2027" t="s">
        <v>6227</v>
      </c>
      <c r="F2027" t="s">
        <v>6228</v>
      </c>
      <c r="I2027" t="s">
        <v>184</v>
      </c>
      <c r="J2027" t="s">
        <v>30</v>
      </c>
      <c r="K2027" t="s">
        <v>185</v>
      </c>
      <c r="M2027" t="s">
        <v>32</v>
      </c>
      <c r="N2027" t="str">
        <f>"12/6/2005 12:00:00 AM"</f>
        <v>12/6/2005 12:00:00 AM</v>
      </c>
      <c r="O2027" t="s">
        <v>6227</v>
      </c>
    </row>
    <row r="2028" spans="1:20" x14ac:dyDescent="0.25">
      <c r="A2028" t="str">
        <f>"3044815"</f>
        <v>3044815</v>
      </c>
      <c r="B2028" t="s">
        <v>6229</v>
      </c>
      <c r="C2028" t="str">
        <f>"82525705"</f>
        <v>82525705</v>
      </c>
      <c r="D2028" t="s">
        <v>6230</v>
      </c>
      <c r="E2028" t="s">
        <v>6231</v>
      </c>
      <c r="F2028" t="s">
        <v>6232</v>
      </c>
      <c r="I2028" t="s">
        <v>184</v>
      </c>
      <c r="J2028" t="s">
        <v>30</v>
      </c>
      <c r="K2028" t="s">
        <v>185</v>
      </c>
      <c r="M2028" t="s">
        <v>32</v>
      </c>
      <c r="N2028" t="str">
        <f>"1/26/2007 12:00:00 AM"</f>
        <v>1/26/2007 12:00:00 AM</v>
      </c>
      <c r="O2028" t="s">
        <v>6230</v>
      </c>
      <c r="T2028" t="s">
        <v>6231</v>
      </c>
    </row>
    <row r="2029" spans="1:20" x14ac:dyDescent="0.25">
      <c r="A2029" t="str">
        <f>"3044811"</f>
        <v>3044811</v>
      </c>
      <c r="B2029" t="s">
        <v>6233</v>
      </c>
      <c r="C2029" t="str">
        <f>"82526655"</f>
        <v>82526655</v>
      </c>
      <c r="D2029" t="s">
        <v>6234</v>
      </c>
      <c r="E2029" t="s">
        <v>6235</v>
      </c>
      <c r="F2029" t="s">
        <v>6236</v>
      </c>
      <c r="I2029" t="s">
        <v>184</v>
      </c>
      <c r="J2029" t="s">
        <v>30</v>
      </c>
      <c r="K2029" t="s">
        <v>185</v>
      </c>
      <c r="M2029" t="s">
        <v>32</v>
      </c>
      <c r="N2029" t="str">
        <f>"1/30/2007 12:00:00 AM"</f>
        <v>1/30/2007 12:00:00 AM</v>
      </c>
      <c r="O2029" t="s">
        <v>6234</v>
      </c>
      <c r="T2029" t="s">
        <v>6235</v>
      </c>
    </row>
    <row r="2030" spans="1:20" x14ac:dyDescent="0.25">
      <c r="A2030" t="str">
        <f>"3044802"</f>
        <v>3044802</v>
      </c>
      <c r="B2030" t="s">
        <v>6237</v>
      </c>
      <c r="C2030" t="str">
        <f>"82523093"</f>
        <v>82523093</v>
      </c>
      <c r="D2030" t="s">
        <v>6238</v>
      </c>
      <c r="E2030" t="s">
        <v>6239</v>
      </c>
      <c r="F2030" t="s">
        <v>6240</v>
      </c>
      <c r="I2030" t="s">
        <v>184</v>
      </c>
      <c r="J2030" t="s">
        <v>30</v>
      </c>
      <c r="K2030" t="s">
        <v>6241</v>
      </c>
      <c r="M2030" t="s">
        <v>32</v>
      </c>
      <c r="N2030" t="str">
        <f>"2/25/2010 12:00:00 AM"</f>
        <v>2/25/2010 12:00:00 AM</v>
      </c>
      <c r="O2030" t="s">
        <v>6238</v>
      </c>
      <c r="T2030" t="s">
        <v>6239</v>
      </c>
    </row>
    <row r="2031" spans="1:20" x14ac:dyDescent="0.25">
      <c r="A2031" t="str">
        <f>"3044579"</f>
        <v>3044579</v>
      </c>
      <c r="B2031" t="s">
        <v>6242</v>
      </c>
      <c r="C2031" t="str">
        <f>"82527028"</f>
        <v>82527028</v>
      </c>
      <c r="D2031" t="s">
        <v>6243</v>
      </c>
      <c r="F2031" t="s">
        <v>6244</v>
      </c>
      <c r="I2031" t="s">
        <v>184</v>
      </c>
      <c r="J2031" t="s">
        <v>30</v>
      </c>
      <c r="K2031" t="s">
        <v>185</v>
      </c>
      <c r="M2031" t="s">
        <v>32</v>
      </c>
      <c r="N2031" t="str">
        <f>"1/12/2007 12:00:00 AM"</f>
        <v>1/12/2007 12:00:00 AM</v>
      </c>
      <c r="O2031" t="s">
        <v>6243</v>
      </c>
    </row>
    <row r="2032" spans="1:20" x14ac:dyDescent="0.25">
      <c r="A2032" t="str">
        <f>"3044580"</f>
        <v>3044580</v>
      </c>
      <c r="B2032" t="s">
        <v>6245</v>
      </c>
      <c r="C2032" t="str">
        <f>"62539500"</f>
        <v>62539500</v>
      </c>
      <c r="D2032" t="s">
        <v>6246</v>
      </c>
      <c r="E2032" t="s">
        <v>6247</v>
      </c>
      <c r="F2032" t="s">
        <v>6248</v>
      </c>
      <c r="I2032" t="s">
        <v>184</v>
      </c>
      <c r="J2032" t="s">
        <v>30</v>
      </c>
      <c r="K2032" t="s">
        <v>185</v>
      </c>
      <c r="M2032" t="s">
        <v>32</v>
      </c>
      <c r="N2032" t="str">
        <f>"5/1/2002 12:00:00 AM"</f>
        <v>5/1/2002 12:00:00 AM</v>
      </c>
      <c r="O2032" t="s">
        <v>6246</v>
      </c>
      <c r="T2032" t="s">
        <v>6247</v>
      </c>
    </row>
    <row r="2033" spans="1:20" x14ac:dyDescent="0.25">
      <c r="A2033" t="str">
        <f>"3044185"</f>
        <v>3044185</v>
      </c>
      <c r="B2033" t="s">
        <v>6249</v>
      </c>
      <c r="C2033" t="str">
        <f>"82521401"</f>
        <v>82521401</v>
      </c>
      <c r="D2033" t="s">
        <v>6250</v>
      </c>
      <c r="E2033" t="s">
        <v>6251</v>
      </c>
      <c r="F2033" t="s">
        <v>6252</v>
      </c>
      <c r="I2033" t="s">
        <v>184</v>
      </c>
      <c r="J2033" t="s">
        <v>30</v>
      </c>
      <c r="K2033" t="s">
        <v>185</v>
      </c>
      <c r="M2033" t="s">
        <v>32</v>
      </c>
      <c r="N2033" t="str">
        <f>"2/3/2004 12:00:00 AM"</f>
        <v>2/3/2004 12:00:00 AM</v>
      </c>
      <c r="O2033" t="s">
        <v>6250</v>
      </c>
      <c r="T2033" t="s">
        <v>6251</v>
      </c>
    </row>
    <row r="2034" spans="1:20" x14ac:dyDescent="0.25">
      <c r="A2034" t="str">
        <f>"3061972"</f>
        <v>3061972</v>
      </c>
      <c r="B2034" t="s">
        <v>6253</v>
      </c>
      <c r="C2034" t="str">
        <f>"82521401"</f>
        <v>82521401</v>
      </c>
      <c r="D2034" t="s">
        <v>6250</v>
      </c>
      <c r="E2034" t="s">
        <v>6251</v>
      </c>
      <c r="F2034" t="s">
        <v>6252</v>
      </c>
      <c r="I2034" t="s">
        <v>184</v>
      </c>
      <c r="J2034" t="s">
        <v>30</v>
      </c>
      <c r="K2034" t="s">
        <v>185</v>
      </c>
      <c r="M2034" t="s">
        <v>32</v>
      </c>
      <c r="N2034" t="str">
        <f>"2/3/2004 12:00:00 AM"</f>
        <v>2/3/2004 12:00:00 AM</v>
      </c>
      <c r="O2034" t="s">
        <v>6250</v>
      </c>
      <c r="T2034" t="s">
        <v>6251</v>
      </c>
    </row>
    <row r="2035" spans="1:20" x14ac:dyDescent="0.25">
      <c r="A2035" t="str">
        <f>"3061949"</f>
        <v>3061949</v>
      </c>
      <c r="B2035" t="s">
        <v>6254</v>
      </c>
      <c r="C2035" t="str">
        <f>"82526280"</f>
        <v>82526280</v>
      </c>
      <c r="D2035" t="s">
        <v>6255</v>
      </c>
      <c r="F2035" t="s">
        <v>6256</v>
      </c>
      <c r="I2035" t="s">
        <v>184</v>
      </c>
      <c r="J2035" t="s">
        <v>30</v>
      </c>
      <c r="K2035" t="s">
        <v>185</v>
      </c>
      <c r="M2035" t="s">
        <v>32</v>
      </c>
      <c r="N2035" t="str">
        <f>"5/30/2006 12:00:00 AM"</f>
        <v>5/30/2006 12:00:00 AM</v>
      </c>
      <c r="O2035" t="s">
        <v>6255</v>
      </c>
    </row>
    <row r="2036" spans="1:20" x14ac:dyDescent="0.25">
      <c r="A2036" t="str">
        <f>"3057324"</f>
        <v>3057324</v>
      </c>
      <c r="B2036" t="s">
        <v>6257</v>
      </c>
      <c r="C2036" t="str">
        <f>"82526280"</f>
        <v>82526280</v>
      </c>
      <c r="D2036" t="s">
        <v>6255</v>
      </c>
      <c r="F2036" t="s">
        <v>6256</v>
      </c>
      <c r="I2036" t="s">
        <v>184</v>
      </c>
      <c r="J2036" t="s">
        <v>30</v>
      </c>
      <c r="K2036" t="s">
        <v>185</v>
      </c>
      <c r="M2036" t="s">
        <v>32</v>
      </c>
      <c r="N2036" t="str">
        <f>"5/30/2006 12:00:00 AM"</f>
        <v>5/30/2006 12:00:00 AM</v>
      </c>
      <c r="O2036" t="s">
        <v>6255</v>
      </c>
    </row>
    <row r="2037" spans="1:20" x14ac:dyDescent="0.25">
      <c r="A2037" t="str">
        <f>"3061101"</f>
        <v>3061101</v>
      </c>
      <c r="B2037" t="s">
        <v>6258</v>
      </c>
      <c r="C2037" t="str">
        <f>"82525803"</f>
        <v>82525803</v>
      </c>
      <c r="D2037" t="s">
        <v>6259</v>
      </c>
      <c r="E2037" t="s">
        <v>6260</v>
      </c>
      <c r="F2037" t="s">
        <v>6261</v>
      </c>
      <c r="I2037" t="s">
        <v>184</v>
      </c>
      <c r="J2037" t="s">
        <v>30</v>
      </c>
      <c r="K2037" t="s">
        <v>185</v>
      </c>
      <c r="M2037" t="s">
        <v>32</v>
      </c>
      <c r="N2037" t="str">
        <f>"1/11/2007 12:00:00 AM"</f>
        <v>1/11/2007 12:00:00 AM</v>
      </c>
      <c r="O2037" t="s">
        <v>6259</v>
      </c>
      <c r="T2037" t="s">
        <v>6260</v>
      </c>
    </row>
    <row r="2038" spans="1:20" x14ac:dyDescent="0.25">
      <c r="A2038" t="str">
        <f>"3061163"</f>
        <v>3061163</v>
      </c>
      <c r="B2038" t="s">
        <v>6262</v>
      </c>
      <c r="C2038" t="str">
        <f>"29238750"</f>
        <v>29238750</v>
      </c>
      <c r="D2038" t="s">
        <v>6263</v>
      </c>
      <c r="F2038" t="s">
        <v>6264</v>
      </c>
      <c r="I2038" t="s">
        <v>184</v>
      </c>
      <c r="J2038" t="s">
        <v>30</v>
      </c>
      <c r="K2038" t="s">
        <v>185</v>
      </c>
      <c r="M2038" t="s">
        <v>32</v>
      </c>
      <c r="N2038" t="str">
        <f>"10/20/2009 12:00:00 AM"</f>
        <v>10/20/2009 12:00:00 AM</v>
      </c>
      <c r="O2038" t="s">
        <v>6263</v>
      </c>
    </row>
    <row r="2039" spans="1:20" x14ac:dyDescent="0.25">
      <c r="A2039" t="str">
        <f>"3061166"</f>
        <v>3061166</v>
      </c>
      <c r="B2039" t="s">
        <v>6265</v>
      </c>
      <c r="C2039" t="str">
        <f>"42015000"</f>
        <v>42015000</v>
      </c>
      <c r="D2039" t="s">
        <v>6266</v>
      </c>
      <c r="E2039" t="s">
        <v>6267</v>
      </c>
      <c r="F2039" t="s">
        <v>6268</v>
      </c>
      <c r="I2039" t="s">
        <v>184</v>
      </c>
      <c r="J2039" t="s">
        <v>30</v>
      </c>
      <c r="K2039" t="s">
        <v>185</v>
      </c>
      <c r="M2039" t="s">
        <v>32</v>
      </c>
      <c r="N2039" t="str">
        <f>"1/18/2008 12:00:00 AM"</f>
        <v>1/18/2008 12:00:00 AM</v>
      </c>
      <c r="O2039" t="s">
        <v>6266</v>
      </c>
      <c r="T2039" t="s">
        <v>6267</v>
      </c>
    </row>
    <row r="2040" spans="1:20" x14ac:dyDescent="0.25">
      <c r="A2040" t="str">
        <f>"3043936"</f>
        <v>3043936</v>
      </c>
      <c r="B2040" t="s">
        <v>6269</v>
      </c>
      <c r="C2040" t="str">
        <f>"18559750"</f>
        <v>18559750</v>
      </c>
      <c r="D2040" t="s">
        <v>5883</v>
      </c>
      <c r="E2040" t="s">
        <v>5884</v>
      </c>
      <c r="F2040" t="s">
        <v>5885</v>
      </c>
      <c r="I2040" t="s">
        <v>184</v>
      </c>
      <c r="J2040" t="s">
        <v>30</v>
      </c>
      <c r="K2040" t="s">
        <v>5886</v>
      </c>
      <c r="M2040" t="s">
        <v>32</v>
      </c>
      <c r="N2040" t="str">
        <f>"1/10/2006 12:00:00 AM"</f>
        <v>1/10/2006 12:00:00 AM</v>
      </c>
      <c r="O2040" t="s">
        <v>5883</v>
      </c>
      <c r="T2040" t="s">
        <v>5884</v>
      </c>
    </row>
    <row r="2041" spans="1:20" x14ac:dyDescent="0.25">
      <c r="A2041" t="str">
        <f>"3044623"</f>
        <v>3044623</v>
      </c>
      <c r="B2041" t="s">
        <v>6270</v>
      </c>
      <c r="C2041" t="str">
        <f>"82524752"</f>
        <v>82524752</v>
      </c>
      <c r="D2041" t="s">
        <v>6271</v>
      </c>
      <c r="E2041" t="s">
        <v>6272</v>
      </c>
      <c r="F2041" t="s">
        <v>6273</v>
      </c>
      <c r="I2041" t="s">
        <v>184</v>
      </c>
      <c r="J2041" t="s">
        <v>30</v>
      </c>
      <c r="K2041" t="s">
        <v>6274</v>
      </c>
      <c r="M2041" t="s">
        <v>32</v>
      </c>
      <c r="N2041" t="str">
        <f>"1/12/2006 12:00:00 AM"</f>
        <v>1/12/2006 12:00:00 AM</v>
      </c>
      <c r="O2041" t="s">
        <v>6271</v>
      </c>
      <c r="T2041" t="s">
        <v>6272</v>
      </c>
    </row>
    <row r="2042" spans="1:20" x14ac:dyDescent="0.25">
      <c r="A2042" t="str">
        <f>"3077688"</f>
        <v>3077688</v>
      </c>
      <c r="B2042" t="s">
        <v>6275</v>
      </c>
      <c r="C2042" t="str">
        <f>"18819000"</f>
        <v>18819000</v>
      </c>
      <c r="D2042" t="s">
        <v>6276</v>
      </c>
      <c r="F2042" t="s">
        <v>6277</v>
      </c>
      <c r="I2042" t="s">
        <v>184</v>
      </c>
      <c r="J2042" t="s">
        <v>30</v>
      </c>
      <c r="K2042" t="s">
        <v>185</v>
      </c>
      <c r="M2042" t="s">
        <v>32</v>
      </c>
      <c r="N2042" t="str">
        <f>"2/19/2008 12:00:00 AM"</f>
        <v>2/19/2008 12:00:00 AM</v>
      </c>
      <c r="O2042" t="s">
        <v>6276</v>
      </c>
    </row>
    <row r="2043" spans="1:20" x14ac:dyDescent="0.25">
      <c r="A2043" t="str">
        <f>"3061106"</f>
        <v>3061106</v>
      </c>
      <c r="B2043" t="s">
        <v>6278</v>
      </c>
      <c r="C2043" t="str">
        <f>"82515267"</f>
        <v>82515267</v>
      </c>
      <c r="D2043" t="s">
        <v>6279</v>
      </c>
      <c r="E2043" t="s">
        <v>6280</v>
      </c>
      <c r="F2043" t="s">
        <v>6281</v>
      </c>
      <c r="I2043" t="s">
        <v>184</v>
      </c>
      <c r="J2043" t="s">
        <v>30</v>
      </c>
      <c r="K2043" t="s">
        <v>185</v>
      </c>
      <c r="M2043" t="s">
        <v>32</v>
      </c>
      <c r="N2043" t="str">
        <f>"2/22/2011 12:00:00 AM"</f>
        <v>2/22/2011 12:00:00 AM</v>
      </c>
      <c r="O2043" t="s">
        <v>6279</v>
      </c>
      <c r="T2043" t="s">
        <v>6280</v>
      </c>
    </row>
    <row r="2044" spans="1:20" x14ac:dyDescent="0.25">
      <c r="A2044" t="str">
        <f>"3061090"</f>
        <v>3061090</v>
      </c>
      <c r="B2044" t="s">
        <v>6282</v>
      </c>
      <c r="C2044" t="str">
        <f>"82525182"</f>
        <v>82525182</v>
      </c>
      <c r="D2044" t="s">
        <v>6283</v>
      </c>
      <c r="E2044" t="s">
        <v>6284</v>
      </c>
      <c r="F2044" t="s">
        <v>637</v>
      </c>
      <c r="I2044" t="s">
        <v>184</v>
      </c>
      <c r="J2044" t="s">
        <v>30</v>
      </c>
      <c r="K2044" t="s">
        <v>6285</v>
      </c>
      <c r="M2044" t="s">
        <v>32</v>
      </c>
      <c r="N2044" t="str">
        <f>"1/12/2006 12:00:00 AM"</f>
        <v>1/12/2006 12:00:00 AM</v>
      </c>
      <c r="O2044" t="s">
        <v>6283</v>
      </c>
      <c r="T2044" t="s">
        <v>6284</v>
      </c>
    </row>
    <row r="2045" spans="1:20" x14ac:dyDescent="0.25">
      <c r="A2045" t="str">
        <f>"3061095"</f>
        <v>3061095</v>
      </c>
      <c r="B2045" t="s">
        <v>6286</v>
      </c>
      <c r="C2045" t="str">
        <f>"45527900"</f>
        <v>45527900</v>
      </c>
      <c r="D2045" t="s">
        <v>6287</v>
      </c>
      <c r="E2045" t="s">
        <v>6288</v>
      </c>
      <c r="F2045" t="s">
        <v>6289</v>
      </c>
      <c r="I2045" t="s">
        <v>184</v>
      </c>
      <c r="J2045" t="s">
        <v>30</v>
      </c>
      <c r="K2045" t="s">
        <v>185</v>
      </c>
      <c r="M2045" t="s">
        <v>32</v>
      </c>
      <c r="N2045" t="str">
        <f>"12/15/2003 12:00:00 AM"</f>
        <v>12/15/2003 12:00:00 AM</v>
      </c>
      <c r="O2045" t="s">
        <v>6287</v>
      </c>
      <c r="T2045" t="s">
        <v>6288</v>
      </c>
    </row>
    <row r="2046" spans="1:20" x14ac:dyDescent="0.25">
      <c r="A2046" t="str">
        <f>"3061951"</f>
        <v>3061951</v>
      </c>
      <c r="B2046" t="s">
        <v>6290</v>
      </c>
      <c r="C2046" t="str">
        <f>"82528160"</f>
        <v>82528160</v>
      </c>
      <c r="D2046" t="s">
        <v>6291</v>
      </c>
      <c r="E2046" t="s">
        <v>6292</v>
      </c>
      <c r="F2046" t="s">
        <v>6293</v>
      </c>
      <c r="I2046" t="s">
        <v>184</v>
      </c>
      <c r="J2046" t="s">
        <v>30</v>
      </c>
      <c r="K2046" t="s">
        <v>185</v>
      </c>
      <c r="M2046" t="s">
        <v>32</v>
      </c>
      <c r="N2046" t="str">
        <f>"6/13/2007 12:00:00 AM"</f>
        <v>6/13/2007 12:00:00 AM</v>
      </c>
      <c r="O2046" t="s">
        <v>6291</v>
      </c>
      <c r="T2046" t="s">
        <v>6292</v>
      </c>
    </row>
    <row r="2047" spans="1:20" x14ac:dyDescent="0.25">
      <c r="A2047" t="str">
        <f>"3061118"</f>
        <v>3061118</v>
      </c>
      <c r="B2047" t="s">
        <v>6294</v>
      </c>
      <c r="C2047" t="str">
        <f>"82520533"</f>
        <v>82520533</v>
      </c>
      <c r="D2047" t="s">
        <v>6295</v>
      </c>
      <c r="F2047" t="s">
        <v>6296</v>
      </c>
      <c r="I2047" t="s">
        <v>184</v>
      </c>
      <c r="J2047" t="s">
        <v>30</v>
      </c>
      <c r="K2047" t="s">
        <v>6297</v>
      </c>
      <c r="M2047" t="s">
        <v>32</v>
      </c>
      <c r="N2047" t="str">
        <f>"1/4/2008 12:00:00 AM"</f>
        <v>1/4/2008 12:00:00 AM</v>
      </c>
      <c r="O2047" t="s">
        <v>6295</v>
      </c>
    </row>
    <row r="2048" spans="1:20" x14ac:dyDescent="0.25">
      <c r="A2048" t="str">
        <f>"3044626"</f>
        <v>3044626</v>
      </c>
      <c r="B2048" t="s">
        <v>6298</v>
      </c>
      <c r="C2048" t="str">
        <f>"82528584"</f>
        <v>82528584</v>
      </c>
      <c r="D2048" t="s">
        <v>6299</v>
      </c>
      <c r="E2048" t="s">
        <v>6300</v>
      </c>
      <c r="F2048" t="s">
        <v>6301</v>
      </c>
      <c r="I2048" t="s">
        <v>184</v>
      </c>
      <c r="J2048" t="s">
        <v>30</v>
      </c>
      <c r="K2048" t="s">
        <v>185</v>
      </c>
      <c r="M2048" t="s">
        <v>32</v>
      </c>
      <c r="N2048" t="str">
        <f>"1/7/2008 12:00:00 AM"</f>
        <v>1/7/2008 12:00:00 AM</v>
      </c>
      <c r="O2048" t="s">
        <v>6299</v>
      </c>
      <c r="T2048" t="s">
        <v>6300</v>
      </c>
    </row>
    <row r="2049" spans="1:20" x14ac:dyDescent="0.25">
      <c r="A2049" t="str">
        <f>"3061120"</f>
        <v>3061120</v>
      </c>
      <c r="B2049" t="s">
        <v>6302</v>
      </c>
      <c r="C2049" t="str">
        <f>"82527099"</f>
        <v>82527099</v>
      </c>
      <c r="D2049" t="s">
        <v>6303</v>
      </c>
      <c r="E2049" t="s">
        <v>6304</v>
      </c>
      <c r="F2049" t="s">
        <v>6305</v>
      </c>
      <c r="I2049" t="s">
        <v>184</v>
      </c>
      <c r="J2049" t="s">
        <v>30</v>
      </c>
      <c r="K2049" t="s">
        <v>185</v>
      </c>
      <c r="M2049" t="s">
        <v>32</v>
      </c>
      <c r="N2049" t="str">
        <f>"11/9/2006 12:00:00 AM"</f>
        <v>11/9/2006 12:00:00 AM</v>
      </c>
      <c r="O2049" t="s">
        <v>6303</v>
      </c>
      <c r="T2049" t="s">
        <v>6304</v>
      </c>
    </row>
    <row r="2050" spans="1:20" x14ac:dyDescent="0.25">
      <c r="A2050" t="str">
        <f>"3061122"</f>
        <v>3061122</v>
      </c>
      <c r="B2050" t="s">
        <v>6306</v>
      </c>
      <c r="C2050" t="str">
        <f>"43104440"</f>
        <v>43104440</v>
      </c>
      <c r="D2050" t="s">
        <v>6307</v>
      </c>
      <c r="E2050" t="s">
        <v>6308</v>
      </c>
      <c r="F2050" t="s">
        <v>6309</v>
      </c>
      <c r="I2050" t="s">
        <v>184</v>
      </c>
      <c r="J2050" t="s">
        <v>30</v>
      </c>
      <c r="K2050" t="s">
        <v>185</v>
      </c>
      <c r="M2050" t="s">
        <v>32</v>
      </c>
      <c r="N2050" t="str">
        <f>"5/3/2002 12:00:00 AM"</f>
        <v>5/3/2002 12:00:00 AM</v>
      </c>
      <c r="O2050" t="s">
        <v>6307</v>
      </c>
      <c r="T2050" t="s">
        <v>6308</v>
      </c>
    </row>
    <row r="2051" spans="1:20" x14ac:dyDescent="0.25">
      <c r="A2051" t="str">
        <f>"3058041"</f>
        <v>3058041</v>
      </c>
      <c r="B2051" t="s">
        <v>6310</v>
      </c>
      <c r="C2051" t="str">
        <f>"82524573"</f>
        <v>82524573</v>
      </c>
      <c r="D2051" t="s">
        <v>6311</v>
      </c>
      <c r="E2051" t="s">
        <v>6312</v>
      </c>
      <c r="F2051" t="s">
        <v>6313</v>
      </c>
      <c r="I2051" t="s">
        <v>184</v>
      </c>
      <c r="J2051" t="s">
        <v>30</v>
      </c>
      <c r="K2051" t="s">
        <v>6297</v>
      </c>
      <c r="M2051" t="s">
        <v>32</v>
      </c>
      <c r="N2051" t="str">
        <f>"8/24/2006 12:00:00 AM"</f>
        <v>8/24/2006 12:00:00 AM</v>
      </c>
      <c r="O2051" t="s">
        <v>6311</v>
      </c>
      <c r="T2051" t="s">
        <v>6312</v>
      </c>
    </row>
    <row r="2052" spans="1:20" x14ac:dyDescent="0.25">
      <c r="A2052" t="str">
        <f>"3058032"</f>
        <v>3058032</v>
      </c>
      <c r="B2052" t="s">
        <v>6314</v>
      </c>
      <c r="C2052" t="str">
        <f>"65034500"</f>
        <v>65034500</v>
      </c>
      <c r="D2052" t="s">
        <v>6315</v>
      </c>
      <c r="E2052" t="s">
        <v>6316</v>
      </c>
      <c r="F2052" t="s">
        <v>6317</v>
      </c>
      <c r="I2052" t="s">
        <v>184</v>
      </c>
      <c r="J2052" t="s">
        <v>30</v>
      </c>
      <c r="K2052" t="s">
        <v>185</v>
      </c>
      <c r="M2052" t="s">
        <v>32</v>
      </c>
      <c r="N2052" t="str">
        <f>"5/3/2004 12:00:00 AM"</f>
        <v>5/3/2004 12:00:00 AM</v>
      </c>
      <c r="O2052" t="s">
        <v>6315</v>
      </c>
      <c r="T2052" t="s">
        <v>6316</v>
      </c>
    </row>
    <row r="2053" spans="1:20" x14ac:dyDescent="0.25">
      <c r="A2053" t="str">
        <f>"3058033"</f>
        <v>3058033</v>
      </c>
      <c r="B2053" t="s">
        <v>6318</v>
      </c>
      <c r="C2053" t="str">
        <f>"82526753"</f>
        <v>82526753</v>
      </c>
      <c r="D2053" t="s">
        <v>6319</v>
      </c>
      <c r="E2053" t="s">
        <v>6320</v>
      </c>
      <c r="F2053" t="s">
        <v>6321</v>
      </c>
      <c r="I2053" t="s">
        <v>184</v>
      </c>
      <c r="J2053" t="s">
        <v>30</v>
      </c>
      <c r="K2053" t="s">
        <v>185</v>
      </c>
      <c r="M2053" t="s">
        <v>32</v>
      </c>
      <c r="N2053" t="str">
        <f>"1/23/2007 12:00:00 AM"</f>
        <v>1/23/2007 12:00:00 AM</v>
      </c>
      <c r="O2053" t="s">
        <v>6319</v>
      </c>
      <c r="T2053" t="s">
        <v>6320</v>
      </c>
    </row>
    <row r="2054" spans="1:20" x14ac:dyDescent="0.25">
      <c r="A2054" t="str">
        <f>"3058049"</f>
        <v>3058049</v>
      </c>
      <c r="B2054" t="s">
        <v>6322</v>
      </c>
      <c r="C2054" t="str">
        <f>"30708000"</f>
        <v>30708000</v>
      </c>
      <c r="D2054" t="s">
        <v>6323</v>
      </c>
      <c r="E2054" t="s">
        <v>6324</v>
      </c>
      <c r="F2054" t="s">
        <v>6325</v>
      </c>
      <c r="I2054" t="s">
        <v>184</v>
      </c>
      <c r="J2054" t="s">
        <v>30</v>
      </c>
      <c r="K2054" t="s">
        <v>185</v>
      </c>
      <c r="M2054" t="s">
        <v>32</v>
      </c>
      <c r="N2054" t="str">
        <f>"12/8/2003 12:00:00 AM"</f>
        <v>12/8/2003 12:00:00 AM</v>
      </c>
      <c r="O2054" t="s">
        <v>6323</v>
      </c>
      <c r="T2054" t="s">
        <v>6324</v>
      </c>
    </row>
    <row r="2055" spans="1:20" x14ac:dyDescent="0.25">
      <c r="A2055" t="str">
        <f>"3047979"</f>
        <v>3047979</v>
      </c>
      <c r="B2055" t="s">
        <v>6326</v>
      </c>
      <c r="C2055" t="str">
        <f>"30708000"</f>
        <v>30708000</v>
      </c>
      <c r="D2055" t="s">
        <v>6323</v>
      </c>
      <c r="E2055" t="s">
        <v>6324</v>
      </c>
      <c r="F2055" t="s">
        <v>6325</v>
      </c>
      <c r="I2055" t="s">
        <v>184</v>
      </c>
      <c r="J2055" t="s">
        <v>30</v>
      </c>
      <c r="K2055" t="s">
        <v>185</v>
      </c>
      <c r="M2055" t="s">
        <v>32</v>
      </c>
      <c r="N2055" t="str">
        <f>"12/8/2003 12:00:00 AM"</f>
        <v>12/8/2003 12:00:00 AM</v>
      </c>
      <c r="O2055" t="s">
        <v>6323</v>
      </c>
      <c r="T2055" t="s">
        <v>6324</v>
      </c>
    </row>
    <row r="2056" spans="1:20" x14ac:dyDescent="0.25">
      <c r="A2056" t="str">
        <f>"3044632"</f>
        <v>3044632</v>
      </c>
      <c r="B2056" t="s">
        <v>6327</v>
      </c>
      <c r="C2056" t="str">
        <f>"82514456"</f>
        <v>82514456</v>
      </c>
      <c r="D2056" t="s">
        <v>6328</v>
      </c>
      <c r="E2056" t="s">
        <v>6329</v>
      </c>
      <c r="F2056" t="s">
        <v>6330</v>
      </c>
      <c r="I2056" t="s">
        <v>184</v>
      </c>
      <c r="J2056" t="s">
        <v>30</v>
      </c>
      <c r="K2056" t="s">
        <v>185</v>
      </c>
      <c r="M2056" t="s">
        <v>32</v>
      </c>
      <c r="N2056" t="str">
        <f>"7/27/2004 12:00:00 AM"</f>
        <v>7/27/2004 12:00:00 AM</v>
      </c>
      <c r="O2056" t="s">
        <v>6328</v>
      </c>
      <c r="T2056" t="s">
        <v>6329</v>
      </c>
    </row>
    <row r="2057" spans="1:20" x14ac:dyDescent="0.25">
      <c r="A2057" t="str">
        <f>"3044706"</f>
        <v>3044706</v>
      </c>
      <c r="B2057" t="s">
        <v>6331</v>
      </c>
      <c r="C2057" t="str">
        <f>"82525868"</f>
        <v>82525868</v>
      </c>
      <c r="D2057" t="s">
        <v>6332</v>
      </c>
      <c r="F2057" t="s">
        <v>6333</v>
      </c>
      <c r="I2057" t="s">
        <v>184</v>
      </c>
      <c r="J2057" t="s">
        <v>30</v>
      </c>
      <c r="K2057" t="s">
        <v>185</v>
      </c>
      <c r="M2057" t="s">
        <v>32</v>
      </c>
      <c r="N2057" t="str">
        <f>"1/24/2007 12:00:00 AM"</f>
        <v>1/24/2007 12:00:00 AM</v>
      </c>
      <c r="O2057" t="s">
        <v>6332</v>
      </c>
    </row>
    <row r="2058" spans="1:20" x14ac:dyDescent="0.25">
      <c r="A2058" t="str">
        <f>"3060584"</f>
        <v>3060584</v>
      </c>
      <c r="B2058" t="s">
        <v>6334</v>
      </c>
      <c r="C2058" t="str">
        <f>"82527776"</f>
        <v>82527776</v>
      </c>
      <c r="D2058" t="s">
        <v>6335</v>
      </c>
      <c r="E2058" t="s">
        <v>6336</v>
      </c>
      <c r="F2058" t="s">
        <v>6337</v>
      </c>
      <c r="I2058" t="s">
        <v>2071</v>
      </c>
      <c r="J2058" t="s">
        <v>30</v>
      </c>
      <c r="K2058" t="s">
        <v>185</v>
      </c>
      <c r="M2058" t="s">
        <v>32</v>
      </c>
      <c r="N2058" t="str">
        <f>"4/3/2007 12:00:00 AM"</f>
        <v>4/3/2007 12:00:00 AM</v>
      </c>
      <c r="O2058" t="s">
        <v>6335</v>
      </c>
      <c r="T2058" t="s">
        <v>6336</v>
      </c>
    </row>
    <row r="2059" spans="1:20" x14ac:dyDescent="0.25">
      <c r="A2059" t="str">
        <f>"3070000"</f>
        <v>3070000</v>
      </c>
      <c r="B2059" t="s">
        <v>6338</v>
      </c>
      <c r="C2059" t="str">
        <f>"82525590"</f>
        <v>82525590</v>
      </c>
      <c r="D2059" t="s">
        <v>6339</v>
      </c>
      <c r="E2059" t="s">
        <v>6340</v>
      </c>
      <c r="F2059" t="s">
        <v>6341</v>
      </c>
      <c r="I2059" t="s">
        <v>2071</v>
      </c>
      <c r="J2059" t="s">
        <v>30</v>
      </c>
      <c r="K2059" t="s">
        <v>6342</v>
      </c>
      <c r="M2059" t="s">
        <v>32</v>
      </c>
      <c r="N2059" t="str">
        <f>"1/9/2009 12:00:00 AM"</f>
        <v>1/9/2009 12:00:00 AM</v>
      </c>
      <c r="O2059" t="s">
        <v>6339</v>
      </c>
      <c r="T2059" t="s">
        <v>6340</v>
      </c>
    </row>
    <row r="2060" spans="1:20" x14ac:dyDescent="0.25">
      <c r="A2060" t="str">
        <f>"3069997"</f>
        <v>3069997</v>
      </c>
      <c r="B2060" t="s">
        <v>6343</v>
      </c>
      <c r="C2060" t="str">
        <f>"82519195"</f>
        <v>82519195</v>
      </c>
      <c r="D2060" t="s">
        <v>6344</v>
      </c>
      <c r="F2060" t="s">
        <v>6345</v>
      </c>
      <c r="I2060" t="s">
        <v>2071</v>
      </c>
      <c r="J2060" t="s">
        <v>30</v>
      </c>
      <c r="K2060" t="s">
        <v>185</v>
      </c>
      <c r="M2060" t="s">
        <v>32</v>
      </c>
      <c r="N2060" t="str">
        <f>"6/23/2005 12:00:00 AM"</f>
        <v>6/23/2005 12:00:00 AM</v>
      </c>
      <c r="O2060" t="s">
        <v>6344</v>
      </c>
    </row>
    <row r="2061" spans="1:20" x14ac:dyDescent="0.25">
      <c r="A2061" t="str">
        <f>"3060544"</f>
        <v>3060544</v>
      </c>
      <c r="B2061" t="s">
        <v>6346</v>
      </c>
      <c r="C2061" t="str">
        <f>"82524764"</f>
        <v>82524764</v>
      </c>
      <c r="D2061" t="s">
        <v>6347</v>
      </c>
      <c r="E2061" t="s">
        <v>6348</v>
      </c>
      <c r="F2061" t="s">
        <v>6349</v>
      </c>
      <c r="I2061" t="s">
        <v>2071</v>
      </c>
      <c r="J2061" t="s">
        <v>30</v>
      </c>
      <c r="K2061" t="s">
        <v>6350</v>
      </c>
      <c r="M2061" t="s">
        <v>32</v>
      </c>
      <c r="N2061" t="str">
        <f>"5/21/2008 12:00:00 AM"</f>
        <v>5/21/2008 12:00:00 AM</v>
      </c>
      <c r="O2061" t="s">
        <v>6347</v>
      </c>
      <c r="T2061" t="s">
        <v>6348</v>
      </c>
    </row>
    <row r="2062" spans="1:20" x14ac:dyDescent="0.25">
      <c r="A2062" t="str">
        <f>"3060561"</f>
        <v>3060561</v>
      </c>
      <c r="B2062" t="s">
        <v>6351</v>
      </c>
      <c r="C2062" t="str">
        <f>"9756000"</f>
        <v>9756000</v>
      </c>
      <c r="D2062" t="s">
        <v>6352</v>
      </c>
      <c r="F2062" t="s">
        <v>6353</v>
      </c>
      <c r="I2062" t="s">
        <v>2071</v>
      </c>
      <c r="J2062" t="s">
        <v>30</v>
      </c>
      <c r="K2062" t="s">
        <v>6350</v>
      </c>
      <c r="M2062" t="s">
        <v>32</v>
      </c>
      <c r="N2062" t="str">
        <f>"12/7/2006 12:00:00 AM"</f>
        <v>12/7/2006 12:00:00 AM</v>
      </c>
      <c r="O2062" t="s">
        <v>6352</v>
      </c>
    </row>
    <row r="2063" spans="1:20" x14ac:dyDescent="0.25">
      <c r="A2063" t="str">
        <f>"3060551"</f>
        <v>3060551</v>
      </c>
      <c r="B2063" t="s">
        <v>6354</v>
      </c>
      <c r="C2063" t="str">
        <f>"82523946"</f>
        <v>82523946</v>
      </c>
      <c r="D2063" t="s">
        <v>6355</v>
      </c>
      <c r="E2063" t="s">
        <v>6356</v>
      </c>
      <c r="F2063" t="s">
        <v>6357</v>
      </c>
      <c r="I2063" t="s">
        <v>2071</v>
      </c>
      <c r="J2063" t="s">
        <v>30</v>
      </c>
      <c r="K2063" t="s">
        <v>6350</v>
      </c>
      <c r="M2063" t="s">
        <v>32</v>
      </c>
      <c r="N2063" t="str">
        <f>"1/11/2006 12:00:00 AM"</f>
        <v>1/11/2006 12:00:00 AM</v>
      </c>
      <c r="O2063" t="s">
        <v>6355</v>
      </c>
      <c r="T2063" t="s">
        <v>6356</v>
      </c>
    </row>
    <row r="2064" spans="1:20" x14ac:dyDescent="0.25">
      <c r="A2064" t="str">
        <f>"3044378"</f>
        <v>3044378</v>
      </c>
      <c r="B2064" t="s">
        <v>6358</v>
      </c>
      <c r="C2064" t="str">
        <f>"82517276"</f>
        <v>82517276</v>
      </c>
      <c r="D2064" t="s">
        <v>6359</v>
      </c>
      <c r="E2064" t="s">
        <v>6360</v>
      </c>
      <c r="F2064" t="s">
        <v>6361</v>
      </c>
      <c r="I2064" t="s">
        <v>184</v>
      </c>
      <c r="J2064" t="s">
        <v>30</v>
      </c>
      <c r="K2064" t="s">
        <v>185</v>
      </c>
      <c r="M2064" t="s">
        <v>32</v>
      </c>
      <c r="N2064" t="str">
        <f>"7/29/2002 12:00:00 AM"</f>
        <v>7/29/2002 12:00:00 AM</v>
      </c>
      <c r="O2064" t="s">
        <v>6359</v>
      </c>
      <c r="T2064" t="s">
        <v>6360</v>
      </c>
    </row>
    <row r="2065" spans="1:20" x14ac:dyDescent="0.25">
      <c r="A2065" t="str">
        <f>"3060554"</f>
        <v>3060554</v>
      </c>
      <c r="B2065" t="s">
        <v>6362</v>
      </c>
      <c r="C2065" t="str">
        <f>"82526731"</f>
        <v>82526731</v>
      </c>
      <c r="D2065" t="s">
        <v>6363</v>
      </c>
      <c r="E2065" t="s">
        <v>6364</v>
      </c>
      <c r="F2065" t="s">
        <v>6365</v>
      </c>
      <c r="I2065" t="s">
        <v>2071</v>
      </c>
      <c r="J2065" t="s">
        <v>30</v>
      </c>
      <c r="K2065" t="s">
        <v>185</v>
      </c>
      <c r="M2065" t="s">
        <v>32</v>
      </c>
      <c r="N2065" t="str">
        <f>"9/6/2006 12:00:00 AM"</f>
        <v>9/6/2006 12:00:00 AM</v>
      </c>
      <c r="O2065" t="s">
        <v>6363</v>
      </c>
      <c r="T2065" t="s">
        <v>6364</v>
      </c>
    </row>
    <row r="2066" spans="1:20" x14ac:dyDescent="0.25">
      <c r="A2066" t="str">
        <f>"3060687"</f>
        <v>3060687</v>
      </c>
      <c r="B2066" t="s">
        <v>6366</v>
      </c>
      <c r="C2066" t="str">
        <f>"82525506"</f>
        <v>82525506</v>
      </c>
      <c r="D2066" t="s">
        <v>6367</v>
      </c>
      <c r="E2066" t="s">
        <v>6368</v>
      </c>
      <c r="F2066" t="str">
        <f>"C/O SCOTT T HORN"</f>
        <v>C/O SCOTT T HORN</v>
      </c>
      <c r="G2066" t="s">
        <v>6369</v>
      </c>
      <c r="I2066" t="s">
        <v>2071</v>
      </c>
      <c r="J2066" t="s">
        <v>30</v>
      </c>
      <c r="K2066" t="s">
        <v>185</v>
      </c>
      <c r="M2066" t="s">
        <v>32</v>
      </c>
      <c r="N2066" t="str">
        <f>"6/22/2007 12:00:00 AM"</f>
        <v>6/22/2007 12:00:00 AM</v>
      </c>
      <c r="O2066" t="s">
        <v>6367</v>
      </c>
      <c r="T2066" t="s">
        <v>6368</v>
      </c>
    </row>
    <row r="2067" spans="1:20" x14ac:dyDescent="0.25">
      <c r="A2067" t="str">
        <f>"3060573"</f>
        <v>3060573</v>
      </c>
      <c r="B2067" t="s">
        <v>6370</v>
      </c>
      <c r="C2067" t="str">
        <f>"11068000"</f>
        <v>11068000</v>
      </c>
      <c r="D2067" t="s">
        <v>6371</v>
      </c>
      <c r="E2067" t="s">
        <v>6372</v>
      </c>
      <c r="F2067" t="s">
        <v>6373</v>
      </c>
      <c r="I2067" t="s">
        <v>2071</v>
      </c>
      <c r="J2067" t="s">
        <v>30</v>
      </c>
      <c r="K2067" t="s">
        <v>6374</v>
      </c>
      <c r="M2067" t="s">
        <v>32</v>
      </c>
      <c r="N2067" t="str">
        <f>"1/12/2006 12:00:00 AM"</f>
        <v>1/12/2006 12:00:00 AM</v>
      </c>
      <c r="O2067" t="s">
        <v>6371</v>
      </c>
      <c r="T2067" t="s">
        <v>6372</v>
      </c>
    </row>
    <row r="2068" spans="1:20" x14ac:dyDescent="0.25">
      <c r="A2068" t="str">
        <f>"3060577"</f>
        <v>3060577</v>
      </c>
      <c r="B2068" t="s">
        <v>6375</v>
      </c>
      <c r="C2068" t="str">
        <f>"82519463"</f>
        <v>82519463</v>
      </c>
      <c r="D2068" t="s">
        <v>6376</v>
      </c>
      <c r="E2068" t="s">
        <v>6377</v>
      </c>
      <c r="F2068" t="s">
        <v>6378</v>
      </c>
      <c r="I2068" t="s">
        <v>2071</v>
      </c>
      <c r="J2068" t="s">
        <v>30</v>
      </c>
      <c r="K2068" t="s">
        <v>185</v>
      </c>
      <c r="M2068" t="s">
        <v>32</v>
      </c>
      <c r="N2068" t="str">
        <f>"8/26/2005 12:00:00 AM"</f>
        <v>8/26/2005 12:00:00 AM</v>
      </c>
      <c r="O2068" t="s">
        <v>6376</v>
      </c>
      <c r="T2068" t="s">
        <v>6377</v>
      </c>
    </row>
    <row r="2069" spans="1:20" x14ac:dyDescent="0.25">
      <c r="A2069" t="str">
        <f>"3060589"</f>
        <v>3060589</v>
      </c>
      <c r="B2069" t="s">
        <v>6379</v>
      </c>
      <c r="C2069" t="str">
        <f>"82522993"</f>
        <v>82522993</v>
      </c>
      <c r="D2069" t="s">
        <v>6380</v>
      </c>
      <c r="F2069" t="s">
        <v>6381</v>
      </c>
      <c r="I2069" t="s">
        <v>2071</v>
      </c>
      <c r="J2069" t="s">
        <v>30</v>
      </c>
      <c r="K2069" t="s">
        <v>6374</v>
      </c>
      <c r="M2069" t="s">
        <v>32</v>
      </c>
      <c r="N2069" t="str">
        <f>"12/6/2006 12:00:00 AM"</f>
        <v>12/6/2006 12:00:00 AM</v>
      </c>
      <c r="O2069" t="s">
        <v>6380</v>
      </c>
    </row>
    <row r="2070" spans="1:20" x14ac:dyDescent="0.25">
      <c r="A2070" t="str">
        <f>"3044382"</f>
        <v>3044382</v>
      </c>
      <c r="B2070" t="s">
        <v>6382</v>
      </c>
      <c r="C2070" t="str">
        <f>"82517434"</f>
        <v>82517434</v>
      </c>
      <c r="D2070" t="s">
        <v>6383</v>
      </c>
      <c r="E2070" t="s">
        <v>6384</v>
      </c>
      <c r="F2070" t="s">
        <v>6385</v>
      </c>
      <c r="I2070" t="s">
        <v>184</v>
      </c>
      <c r="J2070" t="s">
        <v>30</v>
      </c>
      <c r="K2070" t="s">
        <v>6036</v>
      </c>
      <c r="M2070" t="s">
        <v>32</v>
      </c>
      <c r="N2070" t="str">
        <f>"2/1/2006 12:00:00 AM"</f>
        <v>2/1/2006 12:00:00 AM</v>
      </c>
      <c r="O2070" t="s">
        <v>6383</v>
      </c>
      <c r="T2070" t="s">
        <v>6384</v>
      </c>
    </row>
    <row r="2071" spans="1:20" x14ac:dyDescent="0.25">
      <c r="A2071" t="str">
        <f>"3060588"</f>
        <v>3060588</v>
      </c>
      <c r="B2071" t="s">
        <v>6386</v>
      </c>
      <c r="C2071" t="str">
        <f>"82522638"</f>
        <v>82522638</v>
      </c>
      <c r="D2071" t="s">
        <v>6387</v>
      </c>
      <c r="E2071" t="s">
        <v>6388</v>
      </c>
      <c r="F2071" t="s">
        <v>6389</v>
      </c>
      <c r="I2071" t="s">
        <v>2071</v>
      </c>
      <c r="J2071" t="s">
        <v>30</v>
      </c>
      <c r="K2071" t="s">
        <v>6390</v>
      </c>
      <c r="M2071" t="s">
        <v>32</v>
      </c>
      <c r="N2071" t="str">
        <f>"1/14/2005 12:00:00 AM"</f>
        <v>1/14/2005 12:00:00 AM</v>
      </c>
      <c r="O2071" t="s">
        <v>6387</v>
      </c>
      <c r="T2071" t="s">
        <v>6388</v>
      </c>
    </row>
    <row r="2072" spans="1:20" x14ac:dyDescent="0.25">
      <c r="A2072" t="str">
        <f>"3060609"</f>
        <v>3060609</v>
      </c>
      <c r="B2072" t="s">
        <v>6391</v>
      </c>
      <c r="C2072" t="str">
        <f>"82526407"</f>
        <v>82526407</v>
      </c>
      <c r="D2072" t="s">
        <v>6392</v>
      </c>
      <c r="F2072" t="s">
        <v>6393</v>
      </c>
      <c r="I2072" t="s">
        <v>2071</v>
      </c>
      <c r="J2072" t="s">
        <v>30</v>
      </c>
      <c r="K2072" t="s">
        <v>185</v>
      </c>
      <c r="M2072" t="s">
        <v>32</v>
      </c>
      <c r="N2072" t="str">
        <f>"2/12/2007 12:00:00 AM"</f>
        <v>2/12/2007 12:00:00 AM</v>
      </c>
      <c r="O2072" t="s">
        <v>6392</v>
      </c>
    </row>
    <row r="2073" spans="1:20" x14ac:dyDescent="0.25">
      <c r="A2073" t="str">
        <f>"3060611"</f>
        <v>3060611</v>
      </c>
      <c r="B2073" t="s">
        <v>6394</v>
      </c>
      <c r="C2073" t="str">
        <f>"82522245"</f>
        <v>82522245</v>
      </c>
      <c r="D2073" t="s">
        <v>6395</v>
      </c>
      <c r="E2073" t="s">
        <v>6396</v>
      </c>
      <c r="F2073" t="s">
        <v>6397</v>
      </c>
      <c r="I2073" t="s">
        <v>2071</v>
      </c>
      <c r="J2073" t="s">
        <v>30</v>
      </c>
      <c r="K2073" t="s">
        <v>6390</v>
      </c>
      <c r="M2073" t="s">
        <v>32</v>
      </c>
      <c r="N2073" t="str">
        <f>"1/30/2006 12:00:00 AM"</f>
        <v>1/30/2006 12:00:00 AM</v>
      </c>
      <c r="O2073" t="s">
        <v>6395</v>
      </c>
      <c r="T2073" t="s">
        <v>6396</v>
      </c>
    </row>
    <row r="2074" spans="1:20" x14ac:dyDescent="0.25">
      <c r="A2074" t="str">
        <f>"3060613"</f>
        <v>3060613</v>
      </c>
      <c r="B2074" t="s">
        <v>6398</v>
      </c>
      <c r="C2074" t="str">
        <f>"82521730"</f>
        <v>82521730</v>
      </c>
      <c r="D2074" t="s">
        <v>6399</v>
      </c>
      <c r="F2074" t="s">
        <v>6400</v>
      </c>
      <c r="G2074" t="s">
        <v>6401</v>
      </c>
      <c r="I2074" t="s">
        <v>2071</v>
      </c>
      <c r="J2074" t="s">
        <v>30</v>
      </c>
      <c r="K2074" t="s">
        <v>185</v>
      </c>
      <c r="M2074" t="s">
        <v>32</v>
      </c>
      <c r="N2074" t="str">
        <f>"11/7/2003 12:00:00 AM"</f>
        <v>11/7/2003 12:00:00 AM</v>
      </c>
      <c r="O2074" t="s">
        <v>6399</v>
      </c>
    </row>
    <row r="2075" spans="1:20" x14ac:dyDescent="0.25">
      <c r="A2075" t="str">
        <f>"3060606"</f>
        <v>3060606</v>
      </c>
      <c r="B2075" t="s">
        <v>6402</v>
      </c>
      <c r="C2075" t="str">
        <f>"82519761"</f>
        <v>82519761</v>
      </c>
      <c r="D2075" t="s">
        <v>6403</v>
      </c>
      <c r="E2075" t="s">
        <v>6404</v>
      </c>
      <c r="F2075" t="s">
        <v>6405</v>
      </c>
      <c r="I2075" t="s">
        <v>2071</v>
      </c>
      <c r="J2075" t="s">
        <v>30</v>
      </c>
      <c r="K2075" t="s">
        <v>185</v>
      </c>
      <c r="M2075" t="s">
        <v>32</v>
      </c>
      <c r="N2075" t="str">
        <f>"11/22/2002 12:00:00 AM"</f>
        <v>11/22/2002 12:00:00 AM</v>
      </c>
      <c r="O2075" t="s">
        <v>6403</v>
      </c>
      <c r="T2075" t="s">
        <v>6404</v>
      </c>
    </row>
    <row r="2076" spans="1:20" x14ac:dyDescent="0.25">
      <c r="A2076" t="str">
        <f>"3060608"</f>
        <v>3060608</v>
      </c>
      <c r="B2076" t="s">
        <v>6406</v>
      </c>
      <c r="C2076" t="str">
        <f>"82522973"</f>
        <v>82522973</v>
      </c>
      <c r="D2076" t="s">
        <v>6407</v>
      </c>
      <c r="E2076" t="s">
        <v>6408</v>
      </c>
      <c r="F2076" t="s">
        <v>6409</v>
      </c>
      <c r="I2076" t="s">
        <v>2071</v>
      </c>
      <c r="J2076" t="s">
        <v>30</v>
      </c>
      <c r="K2076" t="s">
        <v>6410</v>
      </c>
      <c r="M2076" t="s">
        <v>32</v>
      </c>
      <c r="N2076" t="str">
        <f>"3/21/2005 12:00:00 AM"</f>
        <v>3/21/2005 12:00:00 AM</v>
      </c>
      <c r="O2076" t="s">
        <v>6407</v>
      </c>
      <c r="T2076" t="s">
        <v>6408</v>
      </c>
    </row>
    <row r="2077" spans="1:20" x14ac:dyDescent="0.25">
      <c r="A2077" t="str">
        <f>"3060578"</f>
        <v>3060578</v>
      </c>
      <c r="B2077" t="s">
        <v>6411</v>
      </c>
      <c r="C2077" t="str">
        <f>"20969750"</f>
        <v>20969750</v>
      </c>
      <c r="D2077" t="s">
        <v>6412</v>
      </c>
      <c r="E2077" t="s">
        <v>6413</v>
      </c>
      <c r="F2077" t="s">
        <v>6414</v>
      </c>
      <c r="I2077" t="s">
        <v>2071</v>
      </c>
      <c r="J2077" t="s">
        <v>30</v>
      </c>
      <c r="K2077" t="s">
        <v>185</v>
      </c>
      <c r="M2077" t="s">
        <v>32</v>
      </c>
      <c r="N2077" t="str">
        <f>"1/12/2005 12:00:00 AM"</f>
        <v>1/12/2005 12:00:00 AM</v>
      </c>
      <c r="O2077" t="s">
        <v>6412</v>
      </c>
      <c r="T2077" t="s">
        <v>6413</v>
      </c>
    </row>
    <row r="2078" spans="1:20" x14ac:dyDescent="0.25">
      <c r="A2078" t="str">
        <f>"3044752"</f>
        <v>3044752</v>
      </c>
      <c r="B2078" t="s">
        <v>6415</v>
      </c>
      <c r="C2078" t="str">
        <f>"82528532"</f>
        <v>82528532</v>
      </c>
      <c r="D2078" t="s">
        <v>6416</v>
      </c>
      <c r="E2078" t="s">
        <v>6417</v>
      </c>
      <c r="F2078" t="s">
        <v>6418</v>
      </c>
      <c r="I2078" t="s">
        <v>184</v>
      </c>
      <c r="J2078" t="s">
        <v>30</v>
      </c>
      <c r="K2078" t="s">
        <v>185</v>
      </c>
      <c r="M2078" t="s">
        <v>32</v>
      </c>
      <c r="N2078" t="str">
        <f>"1/9/2008 12:00:00 AM"</f>
        <v>1/9/2008 12:00:00 AM</v>
      </c>
      <c r="O2078" t="s">
        <v>6416</v>
      </c>
      <c r="T2078" t="s">
        <v>6417</v>
      </c>
    </row>
    <row r="2079" spans="1:20" x14ac:dyDescent="0.25">
      <c r="A2079" t="str">
        <f>"3060693"</f>
        <v>3060693</v>
      </c>
      <c r="B2079" t="s">
        <v>6419</v>
      </c>
      <c r="C2079" t="str">
        <f>"82529179"</f>
        <v>82529179</v>
      </c>
      <c r="D2079" t="s">
        <v>6420</v>
      </c>
      <c r="E2079" t="s">
        <v>6421</v>
      </c>
      <c r="F2079" t="s">
        <v>6422</v>
      </c>
      <c r="I2079" t="s">
        <v>2071</v>
      </c>
      <c r="J2079" t="s">
        <v>30</v>
      </c>
      <c r="K2079" t="s">
        <v>185</v>
      </c>
      <c r="M2079" t="s">
        <v>32</v>
      </c>
      <c r="N2079" t="str">
        <f>"2/12/2008 12:00:00 AM"</f>
        <v>2/12/2008 12:00:00 AM</v>
      </c>
      <c r="O2079" t="s">
        <v>6420</v>
      </c>
      <c r="T2079" t="s">
        <v>6421</v>
      </c>
    </row>
    <row r="2080" spans="1:20" x14ac:dyDescent="0.25">
      <c r="A2080" t="str">
        <f>"3060637"</f>
        <v>3060637</v>
      </c>
      <c r="B2080" t="s">
        <v>6423</v>
      </c>
      <c r="C2080" t="str">
        <f>"82520731"</f>
        <v>82520731</v>
      </c>
      <c r="D2080" t="s">
        <v>6424</v>
      </c>
      <c r="E2080" t="s">
        <v>6425</v>
      </c>
      <c r="F2080" t="s">
        <v>6426</v>
      </c>
      <c r="I2080" t="s">
        <v>2071</v>
      </c>
      <c r="J2080" t="s">
        <v>30</v>
      </c>
      <c r="K2080" t="s">
        <v>6427</v>
      </c>
      <c r="M2080" t="s">
        <v>32</v>
      </c>
      <c r="N2080" t="str">
        <f>"12/7/2005 12:00:00 AM"</f>
        <v>12/7/2005 12:00:00 AM</v>
      </c>
      <c r="O2080" t="s">
        <v>6424</v>
      </c>
      <c r="T2080" t="s">
        <v>6425</v>
      </c>
    </row>
    <row r="2081" spans="1:20" x14ac:dyDescent="0.25">
      <c r="A2081" t="str">
        <f>"3060638"</f>
        <v>3060638</v>
      </c>
      <c r="B2081" t="s">
        <v>6428</v>
      </c>
      <c r="C2081" t="str">
        <f>"82527127"</f>
        <v>82527127</v>
      </c>
      <c r="D2081" t="s">
        <v>6429</v>
      </c>
      <c r="E2081" t="s">
        <v>6430</v>
      </c>
      <c r="F2081" t="s">
        <v>6431</v>
      </c>
      <c r="I2081" t="s">
        <v>2071</v>
      </c>
      <c r="J2081" t="s">
        <v>30</v>
      </c>
      <c r="K2081" t="s">
        <v>185</v>
      </c>
      <c r="M2081" t="s">
        <v>32</v>
      </c>
      <c r="N2081" t="str">
        <f>"2/13/2007 12:00:00 AM"</f>
        <v>2/13/2007 12:00:00 AM</v>
      </c>
      <c r="O2081" t="s">
        <v>6429</v>
      </c>
      <c r="T2081" t="s">
        <v>6430</v>
      </c>
    </row>
    <row r="2082" spans="1:20" x14ac:dyDescent="0.25">
      <c r="A2082" t="str">
        <f>"3060639"</f>
        <v>3060639</v>
      </c>
      <c r="B2082" t="s">
        <v>6432</v>
      </c>
      <c r="C2082" t="str">
        <f>"82528529"</f>
        <v>82528529</v>
      </c>
      <c r="D2082" t="s">
        <v>6433</v>
      </c>
      <c r="E2082" t="s">
        <v>6434</v>
      </c>
      <c r="F2082" t="s">
        <v>6435</v>
      </c>
      <c r="I2082" t="s">
        <v>2071</v>
      </c>
      <c r="J2082" t="s">
        <v>30</v>
      </c>
      <c r="K2082" t="s">
        <v>185</v>
      </c>
      <c r="M2082" t="s">
        <v>32</v>
      </c>
      <c r="N2082" t="str">
        <f>"8/21/2007 12:00:00 AM"</f>
        <v>8/21/2007 12:00:00 AM</v>
      </c>
      <c r="O2082" t="s">
        <v>6433</v>
      </c>
      <c r="T2082" t="s">
        <v>6434</v>
      </c>
    </row>
    <row r="2083" spans="1:20" x14ac:dyDescent="0.25">
      <c r="A2083" t="str">
        <f>"3060640"</f>
        <v>3060640</v>
      </c>
      <c r="B2083" t="s">
        <v>6436</v>
      </c>
      <c r="C2083" t="str">
        <f>"82520331"</f>
        <v>82520331</v>
      </c>
      <c r="D2083" t="s">
        <v>6437</v>
      </c>
      <c r="E2083" t="s">
        <v>6438</v>
      </c>
      <c r="F2083" t="s">
        <v>6439</v>
      </c>
      <c r="I2083" t="s">
        <v>2071</v>
      </c>
      <c r="J2083" t="s">
        <v>30</v>
      </c>
      <c r="K2083" t="s">
        <v>185</v>
      </c>
      <c r="M2083" t="s">
        <v>32</v>
      </c>
      <c r="N2083" t="str">
        <f>"2/3/2004 12:00:00 AM"</f>
        <v>2/3/2004 12:00:00 AM</v>
      </c>
      <c r="O2083" t="s">
        <v>6437</v>
      </c>
      <c r="T2083" t="s">
        <v>6438</v>
      </c>
    </row>
    <row r="2084" spans="1:20" x14ac:dyDescent="0.25">
      <c r="A2084" t="str">
        <f>"3044439"</f>
        <v>3044439</v>
      </c>
      <c r="B2084" t="s">
        <v>6440</v>
      </c>
      <c r="C2084" t="str">
        <f>"82517043"</f>
        <v>82517043</v>
      </c>
      <c r="D2084" t="s">
        <v>6441</v>
      </c>
      <c r="F2084" t="s">
        <v>6442</v>
      </c>
      <c r="I2084" t="s">
        <v>184</v>
      </c>
      <c r="J2084" t="s">
        <v>30</v>
      </c>
      <c r="K2084" t="s">
        <v>185</v>
      </c>
      <c r="M2084" t="s">
        <v>32</v>
      </c>
      <c r="N2084" t="str">
        <f>"5/26/2005 12:00:00 AM"</f>
        <v>5/26/2005 12:00:00 AM</v>
      </c>
      <c r="O2084" t="s">
        <v>6441</v>
      </c>
    </row>
    <row r="2085" spans="1:20" x14ac:dyDescent="0.25">
      <c r="A2085" t="str">
        <f>"3044768"</f>
        <v>3044768</v>
      </c>
      <c r="B2085" t="s">
        <v>6443</v>
      </c>
      <c r="C2085" t="str">
        <f>"82519214"</f>
        <v>82519214</v>
      </c>
      <c r="D2085" t="s">
        <v>6444</v>
      </c>
      <c r="E2085" t="s">
        <v>6445</v>
      </c>
      <c r="F2085" t="s">
        <v>6446</v>
      </c>
      <c r="I2085" t="s">
        <v>184</v>
      </c>
      <c r="J2085" t="s">
        <v>30</v>
      </c>
      <c r="K2085" t="s">
        <v>185</v>
      </c>
      <c r="M2085" t="s">
        <v>32</v>
      </c>
      <c r="N2085" t="str">
        <f>"6/23/2005 12:00:00 AM"</f>
        <v>6/23/2005 12:00:00 AM</v>
      </c>
      <c r="O2085" t="s">
        <v>6444</v>
      </c>
      <c r="T2085" t="s">
        <v>6445</v>
      </c>
    </row>
    <row r="2086" spans="1:20" x14ac:dyDescent="0.25">
      <c r="A2086" t="str">
        <f>"3044778"</f>
        <v>3044778</v>
      </c>
      <c r="B2086" t="s">
        <v>6447</v>
      </c>
      <c r="C2086" t="str">
        <f>"82523227"</f>
        <v>82523227</v>
      </c>
      <c r="D2086" t="s">
        <v>6448</v>
      </c>
      <c r="E2086" t="s">
        <v>6449</v>
      </c>
      <c r="F2086" t="s">
        <v>6450</v>
      </c>
      <c r="I2086" t="s">
        <v>184</v>
      </c>
      <c r="J2086" t="s">
        <v>30</v>
      </c>
      <c r="K2086" t="s">
        <v>185</v>
      </c>
      <c r="M2086" t="s">
        <v>32</v>
      </c>
      <c r="N2086" t="str">
        <f>"9/5/2006 12:00:00 AM"</f>
        <v>9/5/2006 12:00:00 AM</v>
      </c>
      <c r="O2086" t="s">
        <v>6448</v>
      </c>
      <c r="T2086" t="s">
        <v>6449</v>
      </c>
    </row>
    <row r="2087" spans="1:20" x14ac:dyDescent="0.25">
      <c r="A2087" t="str">
        <f>"3060644"</f>
        <v>3060644</v>
      </c>
      <c r="B2087" t="s">
        <v>6451</v>
      </c>
      <c r="C2087" t="str">
        <f>"82529744"</f>
        <v>82529744</v>
      </c>
      <c r="D2087" t="s">
        <v>6452</v>
      </c>
      <c r="E2087" t="s">
        <v>6453</v>
      </c>
      <c r="F2087" t="s">
        <v>6454</v>
      </c>
      <c r="I2087" t="s">
        <v>2071</v>
      </c>
      <c r="J2087" t="s">
        <v>30</v>
      </c>
      <c r="K2087" t="s">
        <v>185</v>
      </c>
      <c r="M2087" t="s">
        <v>32</v>
      </c>
      <c r="N2087" t="str">
        <f>"1/23/2009 12:00:00 AM"</f>
        <v>1/23/2009 12:00:00 AM</v>
      </c>
      <c r="O2087" t="s">
        <v>6452</v>
      </c>
      <c r="T2087" t="s">
        <v>6453</v>
      </c>
    </row>
    <row r="2088" spans="1:20" x14ac:dyDescent="0.25">
      <c r="A2088" t="str">
        <f>"3060619"</f>
        <v>3060619</v>
      </c>
      <c r="B2088" t="s">
        <v>6455</v>
      </c>
      <c r="C2088" t="str">
        <f>"82521864"</f>
        <v>82521864</v>
      </c>
      <c r="D2088" t="s">
        <v>6456</v>
      </c>
      <c r="E2088" t="s">
        <v>6457</v>
      </c>
      <c r="F2088" t="s">
        <v>6458</v>
      </c>
      <c r="I2088" t="s">
        <v>2071</v>
      </c>
      <c r="J2088" t="s">
        <v>30</v>
      </c>
      <c r="K2088" t="s">
        <v>6459</v>
      </c>
      <c r="M2088" t="s">
        <v>32</v>
      </c>
      <c r="N2088" t="str">
        <f>"1/12/2006 12:00:00 AM"</f>
        <v>1/12/2006 12:00:00 AM</v>
      </c>
      <c r="O2088" t="s">
        <v>6456</v>
      </c>
      <c r="T2088" t="s">
        <v>6457</v>
      </c>
    </row>
    <row r="2089" spans="1:20" x14ac:dyDescent="0.25">
      <c r="A2089" t="str">
        <f>"3060621"</f>
        <v>3060621</v>
      </c>
      <c r="B2089" t="s">
        <v>6460</v>
      </c>
      <c r="C2089" t="str">
        <f>"82527944"</f>
        <v>82527944</v>
      </c>
      <c r="D2089" t="s">
        <v>6461</v>
      </c>
      <c r="E2089" t="s">
        <v>6462</v>
      </c>
      <c r="F2089" t="s">
        <v>6463</v>
      </c>
      <c r="I2089" t="s">
        <v>2071</v>
      </c>
      <c r="J2089" t="s">
        <v>30</v>
      </c>
      <c r="K2089" t="s">
        <v>6459</v>
      </c>
      <c r="M2089" t="s">
        <v>32</v>
      </c>
      <c r="N2089" t="str">
        <f>"1/7/2010 12:00:00 AM"</f>
        <v>1/7/2010 12:00:00 AM</v>
      </c>
      <c r="O2089" t="s">
        <v>6461</v>
      </c>
      <c r="T2089" t="s">
        <v>6462</v>
      </c>
    </row>
    <row r="2090" spans="1:20" x14ac:dyDescent="0.25">
      <c r="A2090" t="str">
        <f>"3044782"</f>
        <v>3044782</v>
      </c>
      <c r="B2090" t="s">
        <v>6464</v>
      </c>
      <c r="C2090" t="str">
        <f>"82527932"</f>
        <v>82527932</v>
      </c>
      <c r="D2090" t="s">
        <v>6465</v>
      </c>
      <c r="E2090" t="s">
        <v>6466</v>
      </c>
      <c r="F2090" t="s">
        <v>6467</v>
      </c>
      <c r="I2090" t="s">
        <v>184</v>
      </c>
      <c r="J2090" t="s">
        <v>30</v>
      </c>
      <c r="K2090" t="s">
        <v>185</v>
      </c>
      <c r="M2090" t="s">
        <v>32</v>
      </c>
      <c r="N2090" t="str">
        <f>"1/17/2008 12:00:00 AM"</f>
        <v>1/17/2008 12:00:00 AM</v>
      </c>
      <c r="O2090" t="s">
        <v>6465</v>
      </c>
      <c r="T2090" t="s">
        <v>6466</v>
      </c>
    </row>
    <row r="2091" spans="1:20" x14ac:dyDescent="0.25">
      <c r="A2091" t="str">
        <f>"3060623"</f>
        <v>3060623</v>
      </c>
      <c r="B2091" t="s">
        <v>6468</v>
      </c>
      <c r="C2091" t="str">
        <f>"82529750"</f>
        <v>82529750</v>
      </c>
      <c r="D2091" t="s">
        <v>6469</v>
      </c>
      <c r="E2091" t="s">
        <v>6470</v>
      </c>
      <c r="F2091" t="s">
        <v>6471</v>
      </c>
      <c r="I2091" t="s">
        <v>2071</v>
      </c>
      <c r="J2091" t="s">
        <v>30</v>
      </c>
      <c r="K2091" t="s">
        <v>185</v>
      </c>
      <c r="M2091" t="s">
        <v>32</v>
      </c>
      <c r="N2091" t="str">
        <f>"1/8/2009 12:00:00 AM"</f>
        <v>1/8/2009 12:00:00 AM</v>
      </c>
      <c r="O2091" t="s">
        <v>6469</v>
      </c>
      <c r="T2091" t="s">
        <v>6470</v>
      </c>
    </row>
    <row r="2092" spans="1:20" x14ac:dyDescent="0.25">
      <c r="A2092" t="str">
        <f>"3060625"</f>
        <v>3060625</v>
      </c>
      <c r="B2092" t="s">
        <v>6472</v>
      </c>
      <c r="C2092" t="str">
        <f>"82522336"</f>
        <v>82522336</v>
      </c>
      <c r="D2092" t="s">
        <v>6473</v>
      </c>
      <c r="E2092" t="s">
        <v>6474</v>
      </c>
      <c r="F2092" t="s">
        <v>6475</v>
      </c>
      <c r="I2092" t="s">
        <v>2071</v>
      </c>
      <c r="J2092" t="s">
        <v>30</v>
      </c>
      <c r="K2092" t="s">
        <v>185</v>
      </c>
      <c r="M2092" t="s">
        <v>32</v>
      </c>
      <c r="N2092" t="str">
        <f>"2/17/2005 12:00:00 AM"</f>
        <v>2/17/2005 12:00:00 AM</v>
      </c>
      <c r="O2092" t="s">
        <v>6473</v>
      </c>
      <c r="T2092" t="s">
        <v>6474</v>
      </c>
    </row>
    <row r="2093" spans="1:20" x14ac:dyDescent="0.25">
      <c r="A2093" t="str">
        <f>"3060652"</f>
        <v>3060652</v>
      </c>
      <c r="B2093" t="s">
        <v>6476</v>
      </c>
      <c r="C2093" t="str">
        <f>"82529142"</f>
        <v>82529142</v>
      </c>
      <c r="D2093" t="s">
        <v>6477</v>
      </c>
      <c r="E2093" t="s">
        <v>6478</v>
      </c>
      <c r="F2093" t="s">
        <v>6479</v>
      </c>
      <c r="I2093" t="s">
        <v>2071</v>
      </c>
      <c r="J2093" t="s">
        <v>30</v>
      </c>
      <c r="K2093" t="s">
        <v>185</v>
      </c>
      <c r="M2093" t="s">
        <v>32</v>
      </c>
      <c r="N2093" t="str">
        <f>"1/7/2009 12:00:00 AM"</f>
        <v>1/7/2009 12:00:00 AM</v>
      </c>
      <c r="O2093" t="s">
        <v>6477</v>
      </c>
      <c r="T2093" t="s">
        <v>6478</v>
      </c>
    </row>
    <row r="2094" spans="1:20" x14ac:dyDescent="0.25">
      <c r="A2094" t="str">
        <f>"3060659"</f>
        <v>3060659</v>
      </c>
      <c r="B2094" t="s">
        <v>6480</v>
      </c>
      <c r="C2094" t="str">
        <f>"82521896"</f>
        <v>82521896</v>
      </c>
      <c r="D2094" t="s">
        <v>6481</v>
      </c>
      <c r="E2094" t="s">
        <v>6482</v>
      </c>
      <c r="F2094" t="s">
        <v>6483</v>
      </c>
      <c r="I2094" t="s">
        <v>2071</v>
      </c>
      <c r="J2094" t="s">
        <v>30</v>
      </c>
      <c r="K2094" t="s">
        <v>6484</v>
      </c>
      <c r="M2094" t="s">
        <v>32</v>
      </c>
      <c r="N2094" t="str">
        <f>"2/25/2010 12:00:00 AM"</f>
        <v>2/25/2010 12:00:00 AM</v>
      </c>
      <c r="O2094" t="s">
        <v>6481</v>
      </c>
      <c r="T2094" t="s">
        <v>6482</v>
      </c>
    </row>
    <row r="2095" spans="1:20" x14ac:dyDescent="0.25">
      <c r="A2095" t="str">
        <f>"3060665"</f>
        <v>3060665</v>
      </c>
      <c r="B2095" t="s">
        <v>6485</v>
      </c>
      <c r="C2095" t="str">
        <f>"82523942"</f>
        <v>82523942</v>
      </c>
      <c r="D2095" t="s">
        <v>6486</v>
      </c>
      <c r="E2095" t="s">
        <v>6487</v>
      </c>
      <c r="F2095" t="s">
        <v>6488</v>
      </c>
      <c r="I2095" t="s">
        <v>2071</v>
      </c>
      <c r="J2095" t="s">
        <v>30</v>
      </c>
      <c r="K2095" t="s">
        <v>6489</v>
      </c>
      <c r="M2095" t="s">
        <v>32</v>
      </c>
      <c r="N2095" t="str">
        <f>"1/30/2006 12:00:00 AM"</f>
        <v>1/30/2006 12:00:00 AM</v>
      </c>
      <c r="O2095" t="s">
        <v>6486</v>
      </c>
      <c r="T2095" t="s">
        <v>6487</v>
      </c>
    </row>
    <row r="2096" spans="1:20" x14ac:dyDescent="0.25">
      <c r="A2096" t="str">
        <f>"3060654"</f>
        <v>3060654</v>
      </c>
      <c r="B2096" t="s">
        <v>6490</v>
      </c>
      <c r="C2096" t="str">
        <f>"58328500"</f>
        <v>58328500</v>
      </c>
      <c r="D2096" t="s">
        <v>6491</v>
      </c>
      <c r="E2096" t="s">
        <v>6492</v>
      </c>
      <c r="F2096" t="s">
        <v>6493</v>
      </c>
      <c r="I2096" t="s">
        <v>2071</v>
      </c>
      <c r="J2096" t="s">
        <v>30</v>
      </c>
      <c r="K2096" t="s">
        <v>6489</v>
      </c>
      <c r="M2096" t="s">
        <v>32</v>
      </c>
      <c r="N2096" t="str">
        <f>"1/12/2006 12:00:00 AM"</f>
        <v>1/12/2006 12:00:00 AM</v>
      </c>
      <c r="O2096" t="s">
        <v>6491</v>
      </c>
      <c r="T2096" t="s">
        <v>6492</v>
      </c>
    </row>
    <row r="2097" spans="1:20" x14ac:dyDescent="0.25">
      <c r="A2097" t="str">
        <f>"3060655"</f>
        <v>3060655</v>
      </c>
      <c r="B2097" t="s">
        <v>6494</v>
      </c>
      <c r="C2097" t="str">
        <f>"82528605"</f>
        <v>82528605</v>
      </c>
      <c r="D2097" t="s">
        <v>6495</v>
      </c>
      <c r="E2097" t="s">
        <v>6496</v>
      </c>
      <c r="F2097" t="s">
        <v>6497</v>
      </c>
      <c r="I2097" t="s">
        <v>2071</v>
      </c>
      <c r="J2097" t="s">
        <v>30</v>
      </c>
      <c r="K2097" t="s">
        <v>185</v>
      </c>
      <c r="M2097" t="s">
        <v>32</v>
      </c>
      <c r="N2097" t="str">
        <f>"9/12/2007 12:00:00 AM"</f>
        <v>9/12/2007 12:00:00 AM</v>
      </c>
      <c r="O2097" t="s">
        <v>6495</v>
      </c>
      <c r="T2097" t="s">
        <v>6496</v>
      </c>
    </row>
    <row r="2098" spans="1:20" x14ac:dyDescent="0.25">
      <c r="A2098" t="str">
        <f>"3044783"</f>
        <v>3044783</v>
      </c>
      <c r="B2098" t="s">
        <v>6498</v>
      </c>
      <c r="C2098" t="str">
        <f>"82527173"</f>
        <v>82527173</v>
      </c>
      <c r="D2098" t="s">
        <v>6499</v>
      </c>
      <c r="E2098" t="s">
        <v>6500</v>
      </c>
      <c r="F2098" t="s">
        <v>6501</v>
      </c>
      <c r="I2098" t="s">
        <v>184</v>
      </c>
      <c r="J2098" t="s">
        <v>30</v>
      </c>
      <c r="K2098" t="s">
        <v>185</v>
      </c>
      <c r="M2098" t="s">
        <v>32</v>
      </c>
      <c r="N2098" t="str">
        <f>"2/12/2007 12:00:00 AM"</f>
        <v>2/12/2007 12:00:00 AM</v>
      </c>
      <c r="O2098" t="s">
        <v>6499</v>
      </c>
      <c r="T2098" t="s">
        <v>6500</v>
      </c>
    </row>
    <row r="2099" spans="1:20" x14ac:dyDescent="0.25">
      <c r="A2099" t="str">
        <f>"3044786"</f>
        <v>3044786</v>
      </c>
      <c r="B2099" t="s">
        <v>6502</v>
      </c>
      <c r="C2099" t="str">
        <f>"19281000"</f>
        <v>19281000</v>
      </c>
      <c r="D2099" t="s">
        <v>6503</v>
      </c>
      <c r="F2099" t="s">
        <v>6504</v>
      </c>
      <c r="I2099" t="s">
        <v>184</v>
      </c>
      <c r="J2099" t="s">
        <v>30</v>
      </c>
      <c r="K2099" t="s">
        <v>5707</v>
      </c>
      <c r="M2099" t="s">
        <v>32</v>
      </c>
      <c r="N2099" t="str">
        <f>"4/2/2009 12:00:00 AM"</f>
        <v>4/2/2009 12:00:00 AM</v>
      </c>
      <c r="O2099" t="s">
        <v>6503</v>
      </c>
    </row>
    <row r="2100" spans="1:20" x14ac:dyDescent="0.25">
      <c r="A2100" t="str">
        <f>"3044796"</f>
        <v>3044796</v>
      </c>
      <c r="B2100" t="s">
        <v>6505</v>
      </c>
      <c r="C2100" t="str">
        <f>"82526851"</f>
        <v>82526851</v>
      </c>
      <c r="D2100" t="s">
        <v>6506</v>
      </c>
      <c r="E2100" t="s">
        <v>6507</v>
      </c>
      <c r="F2100" t="s">
        <v>6508</v>
      </c>
      <c r="I2100" t="s">
        <v>184</v>
      </c>
      <c r="J2100" t="s">
        <v>30</v>
      </c>
      <c r="K2100" t="s">
        <v>185</v>
      </c>
      <c r="M2100" t="s">
        <v>32</v>
      </c>
      <c r="N2100" t="str">
        <f>"9/19/2006 12:00:00 AM"</f>
        <v>9/19/2006 12:00:00 AM</v>
      </c>
      <c r="O2100" t="s">
        <v>6506</v>
      </c>
      <c r="T2100" t="s">
        <v>6507</v>
      </c>
    </row>
    <row r="2101" spans="1:20" x14ac:dyDescent="0.25">
      <c r="A2101" t="str">
        <f>"3058060"</f>
        <v>3058060</v>
      </c>
      <c r="B2101" t="s">
        <v>6509</v>
      </c>
      <c r="C2101" t="str">
        <f>"82525158"</f>
        <v>82525158</v>
      </c>
      <c r="D2101" t="s">
        <v>6510</v>
      </c>
      <c r="E2101" t="s">
        <v>6511</v>
      </c>
      <c r="F2101" t="s">
        <v>6512</v>
      </c>
      <c r="I2101" t="s">
        <v>184</v>
      </c>
      <c r="J2101" t="s">
        <v>30</v>
      </c>
      <c r="K2101" t="s">
        <v>6513</v>
      </c>
      <c r="M2101" t="s">
        <v>32</v>
      </c>
      <c r="N2101" t="str">
        <f>"1/10/2006 12:00:00 AM"</f>
        <v>1/10/2006 12:00:00 AM</v>
      </c>
      <c r="O2101" t="s">
        <v>6510</v>
      </c>
      <c r="T2101" t="s">
        <v>6511</v>
      </c>
    </row>
    <row r="2102" spans="1:20" x14ac:dyDescent="0.25">
      <c r="A2102" t="str">
        <f>"3058066"</f>
        <v>3058066</v>
      </c>
      <c r="B2102" t="s">
        <v>6514</v>
      </c>
      <c r="C2102" t="str">
        <f>"82522195"</f>
        <v>82522195</v>
      </c>
      <c r="D2102" t="s">
        <v>6515</v>
      </c>
      <c r="E2102" t="s">
        <v>6516</v>
      </c>
      <c r="F2102" t="s">
        <v>6517</v>
      </c>
      <c r="I2102" t="s">
        <v>184</v>
      </c>
      <c r="J2102" t="s">
        <v>30</v>
      </c>
      <c r="K2102" t="s">
        <v>6513</v>
      </c>
      <c r="M2102" t="s">
        <v>32</v>
      </c>
      <c r="N2102" t="str">
        <f>"2/21/2005 12:00:00 AM"</f>
        <v>2/21/2005 12:00:00 AM</v>
      </c>
      <c r="O2102" t="s">
        <v>6515</v>
      </c>
      <c r="T2102" t="s">
        <v>6516</v>
      </c>
    </row>
    <row r="2103" spans="1:20" x14ac:dyDescent="0.25">
      <c r="A2103" t="str">
        <f>"3058067"</f>
        <v>3058067</v>
      </c>
      <c r="B2103" t="s">
        <v>6518</v>
      </c>
      <c r="C2103" t="str">
        <f>"82523618"</f>
        <v>82523618</v>
      </c>
      <c r="D2103" t="s">
        <v>6519</v>
      </c>
      <c r="E2103" t="s">
        <v>6520</v>
      </c>
      <c r="F2103" t="s">
        <v>6521</v>
      </c>
      <c r="I2103" t="s">
        <v>184</v>
      </c>
      <c r="J2103" t="s">
        <v>30</v>
      </c>
      <c r="K2103" t="s">
        <v>185</v>
      </c>
      <c r="M2103" t="s">
        <v>32</v>
      </c>
      <c r="N2103" t="str">
        <f>"1/7/2005 12:00:00 AM"</f>
        <v>1/7/2005 12:00:00 AM</v>
      </c>
      <c r="O2103" t="s">
        <v>6519</v>
      </c>
      <c r="T2103" t="s">
        <v>6520</v>
      </c>
    </row>
    <row r="2104" spans="1:20" x14ac:dyDescent="0.25">
      <c r="A2104" t="str">
        <f>"3058082"</f>
        <v>3058082</v>
      </c>
      <c r="B2104" t="s">
        <v>6522</v>
      </c>
      <c r="C2104" t="str">
        <f>"82528551"</f>
        <v>82528551</v>
      </c>
      <c r="D2104" t="s">
        <v>6523</v>
      </c>
      <c r="F2104" t="s">
        <v>6524</v>
      </c>
      <c r="I2104" t="s">
        <v>184</v>
      </c>
      <c r="J2104" t="s">
        <v>30</v>
      </c>
      <c r="K2104" t="s">
        <v>185</v>
      </c>
      <c r="M2104" t="s">
        <v>32</v>
      </c>
      <c r="N2104" t="str">
        <f>"4/21/2009 12:00:00 AM"</f>
        <v>4/21/2009 12:00:00 AM</v>
      </c>
      <c r="O2104" t="s">
        <v>6523</v>
      </c>
    </row>
    <row r="2105" spans="1:20" x14ac:dyDescent="0.25">
      <c r="A2105" t="str">
        <f>"3045451"</f>
        <v>3045451</v>
      </c>
      <c r="B2105" t="s">
        <v>6525</v>
      </c>
      <c r="C2105" t="str">
        <f>"48408200"</f>
        <v>48408200</v>
      </c>
      <c r="D2105" t="s">
        <v>6526</v>
      </c>
      <c r="E2105" t="s">
        <v>6527</v>
      </c>
      <c r="F2105" t="s">
        <v>6528</v>
      </c>
      <c r="I2105" t="s">
        <v>1149</v>
      </c>
      <c r="J2105" t="s">
        <v>30</v>
      </c>
      <c r="K2105" t="s">
        <v>1150</v>
      </c>
      <c r="M2105" t="s">
        <v>32</v>
      </c>
      <c r="N2105" t="str">
        <f>"7/24/2002 12:00:00 AM"</f>
        <v>7/24/2002 12:00:00 AM</v>
      </c>
      <c r="O2105" t="s">
        <v>6526</v>
      </c>
      <c r="T2105" t="s">
        <v>6527</v>
      </c>
    </row>
    <row r="2106" spans="1:20" x14ac:dyDescent="0.25">
      <c r="A2106" t="str">
        <f>"3077616"</f>
        <v>3077616</v>
      </c>
      <c r="B2106" t="s">
        <v>6529</v>
      </c>
      <c r="C2106" t="str">
        <f>"16296500"</f>
        <v>16296500</v>
      </c>
      <c r="D2106" t="s">
        <v>6530</v>
      </c>
      <c r="E2106" t="s">
        <v>6531</v>
      </c>
      <c r="F2106" t="s">
        <v>6532</v>
      </c>
      <c r="I2106" t="s">
        <v>1149</v>
      </c>
      <c r="J2106" t="s">
        <v>30</v>
      </c>
      <c r="K2106" t="s">
        <v>1150</v>
      </c>
      <c r="M2106" t="s">
        <v>32</v>
      </c>
      <c r="N2106" t="str">
        <f>"12/5/2006 12:00:00 AM"</f>
        <v>12/5/2006 12:00:00 AM</v>
      </c>
      <c r="O2106" t="s">
        <v>6530</v>
      </c>
      <c r="T2106" t="s">
        <v>6531</v>
      </c>
    </row>
    <row r="2107" spans="1:20" x14ac:dyDescent="0.25">
      <c r="A2107" t="str">
        <f>"3042774"</f>
        <v>3042774</v>
      </c>
      <c r="B2107" t="s">
        <v>6533</v>
      </c>
      <c r="C2107" t="str">
        <f>"82523513"</f>
        <v>82523513</v>
      </c>
      <c r="D2107" t="s">
        <v>6534</v>
      </c>
      <c r="E2107" t="s">
        <v>6535</v>
      </c>
      <c r="F2107" t="s">
        <v>6536</v>
      </c>
      <c r="I2107" t="s">
        <v>29</v>
      </c>
      <c r="J2107" t="s">
        <v>30</v>
      </c>
      <c r="K2107" t="s">
        <v>31</v>
      </c>
      <c r="M2107" t="s">
        <v>32</v>
      </c>
      <c r="N2107" t="str">
        <f>"8/18/2006 12:00:00 AM"</f>
        <v>8/18/2006 12:00:00 AM</v>
      </c>
      <c r="O2107" t="s">
        <v>6534</v>
      </c>
      <c r="T2107" t="s">
        <v>6535</v>
      </c>
    </row>
    <row r="2108" spans="1:20" x14ac:dyDescent="0.25">
      <c r="A2108" t="str">
        <f>"3045499"</f>
        <v>3045499</v>
      </c>
      <c r="B2108" t="s">
        <v>6537</v>
      </c>
      <c r="C2108" t="str">
        <f>"72344000"</f>
        <v>72344000</v>
      </c>
      <c r="D2108" t="s">
        <v>6538</v>
      </c>
      <c r="F2108" t="s">
        <v>6539</v>
      </c>
      <c r="I2108" t="s">
        <v>1149</v>
      </c>
      <c r="J2108" t="s">
        <v>30</v>
      </c>
      <c r="K2108" t="s">
        <v>1150</v>
      </c>
      <c r="M2108" t="s">
        <v>32</v>
      </c>
      <c r="N2108" t="str">
        <f>"6/17/2004 12:00:00 AM"</f>
        <v>6/17/2004 12:00:00 AM</v>
      </c>
      <c r="O2108" t="s">
        <v>6538</v>
      </c>
    </row>
    <row r="2109" spans="1:20" x14ac:dyDescent="0.25">
      <c r="A2109" t="str">
        <f>"3045629"</f>
        <v>3045629</v>
      </c>
      <c r="B2109" t="s">
        <v>6540</v>
      </c>
      <c r="C2109" t="str">
        <f>"82515998"</f>
        <v>82515998</v>
      </c>
      <c r="D2109" t="s">
        <v>6541</v>
      </c>
      <c r="E2109" t="s">
        <v>6542</v>
      </c>
      <c r="F2109" t="s">
        <v>6543</v>
      </c>
      <c r="I2109" t="s">
        <v>1149</v>
      </c>
      <c r="J2109" t="s">
        <v>30</v>
      </c>
      <c r="K2109" t="s">
        <v>1150</v>
      </c>
      <c r="M2109" t="s">
        <v>32</v>
      </c>
      <c r="N2109" t="str">
        <f>"10/9/2001 12:00:00 AM"</f>
        <v>10/9/2001 12:00:00 AM</v>
      </c>
      <c r="O2109" t="s">
        <v>6541</v>
      </c>
      <c r="T2109" t="s">
        <v>6542</v>
      </c>
    </row>
    <row r="2110" spans="1:20" x14ac:dyDescent="0.25">
      <c r="A2110" t="str">
        <f>"3058051"</f>
        <v>3058051</v>
      </c>
      <c r="B2110" t="s">
        <v>6544</v>
      </c>
      <c r="C2110" t="str">
        <f>"82514611"</f>
        <v>82514611</v>
      </c>
      <c r="D2110" t="s">
        <v>6545</v>
      </c>
      <c r="E2110" t="s">
        <v>6546</v>
      </c>
      <c r="F2110" t="s">
        <v>6547</v>
      </c>
      <c r="I2110" t="s">
        <v>184</v>
      </c>
      <c r="J2110" t="s">
        <v>30</v>
      </c>
      <c r="K2110" t="s">
        <v>185</v>
      </c>
      <c r="M2110" t="s">
        <v>32</v>
      </c>
      <c r="N2110" t="str">
        <f>"12/6/2005 12:00:00 AM"</f>
        <v>12/6/2005 12:00:00 AM</v>
      </c>
      <c r="O2110" t="s">
        <v>6545</v>
      </c>
      <c r="T2110" t="s">
        <v>6546</v>
      </c>
    </row>
    <row r="2111" spans="1:20" x14ac:dyDescent="0.25">
      <c r="A2111" t="str">
        <f>"3058043"</f>
        <v>3058043</v>
      </c>
      <c r="B2111" t="s">
        <v>6548</v>
      </c>
      <c r="C2111" t="str">
        <f>"82521184"</f>
        <v>82521184</v>
      </c>
      <c r="D2111" t="s">
        <v>6549</v>
      </c>
      <c r="E2111" t="s">
        <v>6550</v>
      </c>
      <c r="F2111" t="s">
        <v>6551</v>
      </c>
      <c r="I2111" t="s">
        <v>184</v>
      </c>
      <c r="J2111" t="s">
        <v>30</v>
      </c>
      <c r="K2111" t="s">
        <v>185</v>
      </c>
      <c r="M2111" t="s">
        <v>32</v>
      </c>
      <c r="N2111" t="str">
        <f>"1/8/2004 12:00:00 AM"</f>
        <v>1/8/2004 12:00:00 AM</v>
      </c>
      <c r="O2111" t="s">
        <v>6549</v>
      </c>
      <c r="T2111" t="s">
        <v>6550</v>
      </c>
    </row>
    <row r="2112" spans="1:20" x14ac:dyDescent="0.25">
      <c r="A2112" t="str">
        <f>"3045127"</f>
        <v>3045127</v>
      </c>
      <c r="B2112" t="s">
        <v>6552</v>
      </c>
      <c r="C2112" t="str">
        <f>"82517296"</f>
        <v>82517296</v>
      </c>
      <c r="D2112" t="s">
        <v>6553</v>
      </c>
      <c r="F2112" t="s">
        <v>6554</v>
      </c>
      <c r="I2112" t="s">
        <v>1149</v>
      </c>
      <c r="J2112" t="s">
        <v>30</v>
      </c>
      <c r="K2112" t="s">
        <v>6555</v>
      </c>
      <c r="M2112" t="s">
        <v>32</v>
      </c>
      <c r="N2112" t="str">
        <f>"2/7/2007 12:00:00 AM"</f>
        <v>2/7/2007 12:00:00 AM</v>
      </c>
      <c r="O2112" t="s">
        <v>6553</v>
      </c>
      <c r="T2112" t="s">
        <v>6553</v>
      </c>
    </row>
    <row r="2113" spans="1:20" x14ac:dyDescent="0.25">
      <c r="A2113" t="str">
        <f>"3045294"</f>
        <v>3045294</v>
      </c>
      <c r="B2113" t="s">
        <v>6556</v>
      </c>
      <c r="C2113" t="str">
        <f>"28470130"</f>
        <v>28470130</v>
      </c>
      <c r="D2113" t="s">
        <v>6557</v>
      </c>
      <c r="F2113" t="str">
        <f>"C/O DOROTHY WALL SHORT"</f>
        <v>C/O DOROTHY WALL SHORT</v>
      </c>
      <c r="G2113" t="s">
        <v>6558</v>
      </c>
      <c r="I2113" t="s">
        <v>1149</v>
      </c>
      <c r="J2113" t="s">
        <v>30</v>
      </c>
      <c r="K2113" t="s">
        <v>6559</v>
      </c>
      <c r="M2113" t="s">
        <v>32</v>
      </c>
      <c r="N2113" t="str">
        <f>"1/21/2010 12:00:00 AM"</f>
        <v>1/21/2010 12:00:00 AM</v>
      </c>
      <c r="O2113" t="s">
        <v>6557</v>
      </c>
    </row>
    <row r="2114" spans="1:20" x14ac:dyDescent="0.25">
      <c r="A2114" t="str">
        <f>"3044849"</f>
        <v>3044849</v>
      </c>
      <c r="B2114" t="s">
        <v>6560</v>
      </c>
      <c r="C2114" t="str">
        <f>"82524079"</f>
        <v>82524079</v>
      </c>
      <c r="D2114" t="s">
        <v>6561</v>
      </c>
      <c r="E2114" t="s">
        <v>6562</v>
      </c>
      <c r="F2114" t="s">
        <v>6563</v>
      </c>
      <c r="I2114" t="s">
        <v>184</v>
      </c>
      <c r="J2114" t="s">
        <v>30</v>
      </c>
      <c r="K2114" t="s">
        <v>185</v>
      </c>
      <c r="M2114" t="s">
        <v>32</v>
      </c>
      <c r="N2114" t="str">
        <f>"3/11/2005 12:00:00 AM"</f>
        <v>3/11/2005 12:00:00 AM</v>
      </c>
      <c r="O2114" t="s">
        <v>6561</v>
      </c>
      <c r="T2114" t="s">
        <v>6562</v>
      </c>
    </row>
    <row r="2115" spans="1:20" x14ac:dyDescent="0.25">
      <c r="A2115" t="str">
        <f>"3045305"</f>
        <v>3045305</v>
      </c>
      <c r="B2115" t="s">
        <v>6564</v>
      </c>
      <c r="C2115" t="str">
        <f>"43830000"</f>
        <v>43830000</v>
      </c>
      <c r="D2115" t="s">
        <v>6565</v>
      </c>
      <c r="E2115" t="s">
        <v>6566</v>
      </c>
      <c r="F2115" t="s">
        <v>6567</v>
      </c>
      <c r="I2115" t="s">
        <v>1149</v>
      </c>
      <c r="J2115" t="s">
        <v>30</v>
      </c>
      <c r="K2115" t="s">
        <v>6568</v>
      </c>
      <c r="M2115" t="s">
        <v>32</v>
      </c>
      <c r="N2115" t="str">
        <f>"3/21/2005 12:00:00 AM"</f>
        <v>3/21/2005 12:00:00 AM</v>
      </c>
      <c r="O2115" t="s">
        <v>6565</v>
      </c>
      <c r="T2115" t="s">
        <v>6566</v>
      </c>
    </row>
    <row r="2116" spans="1:20" x14ac:dyDescent="0.25">
      <c r="A2116" t="str">
        <f>"3045387"</f>
        <v>3045387</v>
      </c>
      <c r="B2116" t="s">
        <v>6569</v>
      </c>
      <c r="C2116" t="str">
        <f>"70428000"</f>
        <v>70428000</v>
      </c>
      <c r="D2116" t="s">
        <v>6570</v>
      </c>
      <c r="E2116" t="s">
        <v>6571</v>
      </c>
      <c r="F2116" t="s">
        <v>6572</v>
      </c>
      <c r="I2116" t="s">
        <v>1149</v>
      </c>
      <c r="J2116" t="s">
        <v>30</v>
      </c>
      <c r="K2116" t="s">
        <v>1150</v>
      </c>
      <c r="M2116" t="s">
        <v>32</v>
      </c>
      <c r="N2116" t="str">
        <f>"5/6/2002 12:00:00 AM"</f>
        <v>5/6/2002 12:00:00 AM</v>
      </c>
      <c r="O2116" t="s">
        <v>6570</v>
      </c>
      <c r="T2116" t="s">
        <v>6571</v>
      </c>
    </row>
    <row r="2117" spans="1:20" x14ac:dyDescent="0.25">
      <c r="A2117" t="str">
        <f>"3077623"</f>
        <v>3077623</v>
      </c>
      <c r="B2117" t="s">
        <v>6573</v>
      </c>
      <c r="C2117" t="str">
        <f>"70438000"</f>
        <v>70438000</v>
      </c>
      <c r="D2117" t="s">
        <v>6574</v>
      </c>
      <c r="E2117" t="s">
        <v>6575</v>
      </c>
      <c r="F2117" t="s">
        <v>6576</v>
      </c>
      <c r="I2117" t="s">
        <v>1149</v>
      </c>
      <c r="J2117" t="s">
        <v>30</v>
      </c>
      <c r="K2117" t="s">
        <v>6577</v>
      </c>
      <c r="M2117" t="s">
        <v>32</v>
      </c>
      <c r="N2117" t="str">
        <f>"2/1/2010 12:00:00 AM"</f>
        <v>2/1/2010 12:00:00 AM</v>
      </c>
      <c r="O2117" t="s">
        <v>6574</v>
      </c>
      <c r="T2117" t="s">
        <v>6575</v>
      </c>
    </row>
    <row r="2118" spans="1:20" x14ac:dyDescent="0.25">
      <c r="A2118" t="str">
        <f>"3045631"</f>
        <v>3045631</v>
      </c>
      <c r="B2118" t="s">
        <v>6578</v>
      </c>
      <c r="C2118" t="str">
        <f>"82528766"</f>
        <v>82528766</v>
      </c>
      <c r="D2118" t="s">
        <v>6579</v>
      </c>
      <c r="F2118" t="s">
        <v>6580</v>
      </c>
      <c r="I2118" t="s">
        <v>1149</v>
      </c>
      <c r="J2118" t="s">
        <v>30</v>
      </c>
      <c r="K2118" t="s">
        <v>1150</v>
      </c>
      <c r="M2118" t="s">
        <v>32</v>
      </c>
      <c r="N2118" t="str">
        <f>"2/5/2010 12:00:00 AM"</f>
        <v>2/5/2010 12:00:00 AM</v>
      </c>
      <c r="O2118" t="s">
        <v>6579</v>
      </c>
      <c r="T2118" t="s">
        <v>6579</v>
      </c>
    </row>
    <row r="2119" spans="1:20" x14ac:dyDescent="0.25">
      <c r="A2119" t="str">
        <f>"3045586"</f>
        <v>3045586</v>
      </c>
      <c r="B2119" t="s">
        <v>6581</v>
      </c>
      <c r="C2119" t="str">
        <f>"70338000"</f>
        <v>70338000</v>
      </c>
      <c r="D2119" t="s">
        <v>6582</v>
      </c>
      <c r="F2119" t="s">
        <v>6583</v>
      </c>
      <c r="I2119" t="s">
        <v>1149</v>
      </c>
      <c r="J2119" t="s">
        <v>30</v>
      </c>
      <c r="K2119" t="s">
        <v>1150</v>
      </c>
      <c r="M2119" t="s">
        <v>32</v>
      </c>
      <c r="N2119" t="str">
        <f>"5/19/2004 12:00:00 AM"</f>
        <v>5/19/2004 12:00:00 AM</v>
      </c>
      <c r="O2119" t="s">
        <v>6582</v>
      </c>
    </row>
    <row r="2120" spans="1:20" x14ac:dyDescent="0.25">
      <c r="A2120" t="str">
        <f>"3045609"</f>
        <v>3045609</v>
      </c>
      <c r="B2120" t="s">
        <v>6584</v>
      </c>
      <c r="C2120" t="str">
        <f>"82516280"</f>
        <v>82516280</v>
      </c>
      <c r="D2120" t="s">
        <v>6585</v>
      </c>
      <c r="E2120" t="s">
        <v>6586</v>
      </c>
      <c r="F2120" t="s">
        <v>6587</v>
      </c>
      <c r="I2120" t="s">
        <v>1149</v>
      </c>
      <c r="J2120" t="s">
        <v>30</v>
      </c>
      <c r="K2120" t="s">
        <v>1150</v>
      </c>
      <c r="M2120" t="s">
        <v>32</v>
      </c>
      <c r="N2120" t="str">
        <f>"8/1/2002 12:00:00 AM"</f>
        <v>8/1/2002 12:00:00 AM</v>
      </c>
      <c r="O2120" t="s">
        <v>6585</v>
      </c>
      <c r="T2120" t="s">
        <v>6586</v>
      </c>
    </row>
    <row r="2121" spans="1:20" x14ac:dyDescent="0.25">
      <c r="A2121" t="str">
        <f>"3045091"</f>
        <v>3045091</v>
      </c>
      <c r="B2121" t="s">
        <v>6588</v>
      </c>
      <c r="C2121" t="str">
        <f>"59158750"</f>
        <v>59158750</v>
      </c>
      <c r="D2121" t="s">
        <v>6589</v>
      </c>
      <c r="E2121" t="s">
        <v>6590</v>
      </c>
      <c r="F2121" t="s">
        <v>6591</v>
      </c>
      <c r="I2121" t="s">
        <v>1149</v>
      </c>
      <c r="J2121" t="s">
        <v>30</v>
      </c>
      <c r="K2121" t="s">
        <v>6577</v>
      </c>
      <c r="M2121" t="s">
        <v>32</v>
      </c>
      <c r="N2121" t="str">
        <f>"3/9/2005 12:00:00 AM"</f>
        <v>3/9/2005 12:00:00 AM</v>
      </c>
      <c r="O2121" t="s">
        <v>6589</v>
      </c>
      <c r="T2121" t="s">
        <v>6590</v>
      </c>
    </row>
    <row r="2122" spans="1:20" x14ac:dyDescent="0.25">
      <c r="A2122" t="str">
        <f>"3077624"</f>
        <v>3077624</v>
      </c>
      <c r="B2122" t="s">
        <v>6592</v>
      </c>
      <c r="C2122" t="str">
        <f>"59158750"</f>
        <v>59158750</v>
      </c>
      <c r="D2122" t="s">
        <v>6589</v>
      </c>
      <c r="E2122" t="s">
        <v>6590</v>
      </c>
      <c r="F2122" t="s">
        <v>6591</v>
      </c>
      <c r="I2122" t="s">
        <v>1149</v>
      </c>
      <c r="J2122" t="s">
        <v>30</v>
      </c>
      <c r="K2122" t="s">
        <v>6577</v>
      </c>
      <c r="M2122" t="s">
        <v>32</v>
      </c>
      <c r="N2122" t="str">
        <f>"3/9/2005 12:00:00 AM"</f>
        <v>3/9/2005 12:00:00 AM</v>
      </c>
      <c r="O2122" t="s">
        <v>6589</v>
      </c>
      <c r="T2122" t="s">
        <v>6590</v>
      </c>
    </row>
    <row r="2123" spans="1:20" x14ac:dyDescent="0.25">
      <c r="A2123" t="str">
        <f>"3045627"</f>
        <v>3045627</v>
      </c>
      <c r="B2123" t="s">
        <v>6593</v>
      </c>
      <c r="C2123" t="str">
        <f>"82518474"</f>
        <v>82518474</v>
      </c>
      <c r="D2123" t="s">
        <v>6594</v>
      </c>
      <c r="F2123" t="s">
        <v>6595</v>
      </c>
      <c r="I2123" t="s">
        <v>1149</v>
      </c>
      <c r="J2123" t="s">
        <v>30</v>
      </c>
      <c r="K2123" t="s">
        <v>6577</v>
      </c>
      <c r="M2123" t="s">
        <v>32</v>
      </c>
      <c r="N2123" t="str">
        <f>"1/13/2006 12:00:00 AM"</f>
        <v>1/13/2006 12:00:00 AM</v>
      </c>
      <c r="O2123" t="s">
        <v>6594</v>
      </c>
    </row>
    <row r="2124" spans="1:20" x14ac:dyDescent="0.25">
      <c r="A2124" t="str">
        <f>"3044943"</f>
        <v>3044943</v>
      </c>
      <c r="B2124" t="s">
        <v>6596</v>
      </c>
      <c r="C2124" t="str">
        <f>"58704000"</f>
        <v>58704000</v>
      </c>
      <c r="D2124" t="s">
        <v>6597</v>
      </c>
      <c r="E2124" t="s">
        <v>6598</v>
      </c>
      <c r="F2124" t="s">
        <v>6599</v>
      </c>
      <c r="I2124" t="s">
        <v>1149</v>
      </c>
      <c r="J2124" t="s">
        <v>30</v>
      </c>
      <c r="K2124" t="s">
        <v>1150</v>
      </c>
      <c r="M2124" t="s">
        <v>32</v>
      </c>
      <c r="N2124" t="str">
        <f>"2/9/2010 12:00:00 AM"</f>
        <v>2/9/2010 12:00:00 AM</v>
      </c>
      <c r="O2124" t="s">
        <v>6597</v>
      </c>
      <c r="T2124" t="s">
        <v>6598</v>
      </c>
    </row>
    <row r="2125" spans="1:20" x14ac:dyDescent="0.25">
      <c r="A2125" t="str">
        <f>"3077625"</f>
        <v>3077625</v>
      </c>
      <c r="B2125" t="s">
        <v>6600</v>
      </c>
      <c r="C2125" t="str">
        <f>"58704000"</f>
        <v>58704000</v>
      </c>
      <c r="D2125" t="s">
        <v>6597</v>
      </c>
      <c r="E2125" t="s">
        <v>6598</v>
      </c>
      <c r="F2125" t="s">
        <v>6599</v>
      </c>
      <c r="I2125" t="s">
        <v>1149</v>
      </c>
      <c r="J2125" t="s">
        <v>30</v>
      </c>
      <c r="K2125" t="s">
        <v>1150</v>
      </c>
      <c r="M2125" t="s">
        <v>32</v>
      </c>
      <c r="N2125" t="str">
        <f>"2/9/2010 12:00:00 AM"</f>
        <v>2/9/2010 12:00:00 AM</v>
      </c>
      <c r="O2125" t="s">
        <v>6597</v>
      </c>
      <c r="T2125" t="s">
        <v>6598</v>
      </c>
    </row>
    <row r="2126" spans="1:20" x14ac:dyDescent="0.25">
      <c r="A2126" t="str">
        <f>"3077781"</f>
        <v>3077781</v>
      </c>
      <c r="B2126" t="s">
        <v>6601</v>
      </c>
      <c r="C2126" t="str">
        <f>"58704000"</f>
        <v>58704000</v>
      </c>
      <c r="D2126" t="s">
        <v>6597</v>
      </c>
      <c r="E2126" t="s">
        <v>6598</v>
      </c>
      <c r="F2126" t="s">
        <v>6599</v>
      </c>
      <c r="I2126" t="s">
        <v>1149</v>
      </c>
      <c r="J2126" t="s">
        <v>30</v>
      </c>
      <c r="K2126" t="s">
        <v>1150</v>
      </c>
      <c r="M2126" t="s">
        <v>32</v>
      </c>
      <c r="N2126" t="str">
        <f>"2/9/2010 12:00:00 AM"</f>
        <v>2/9/2010 12:00:00 AM</v>
      </c>
      <c r="O2126" t="s">
        <v>6597</v>
      </c>
      <c r="T2126" t="s">
        <v>6598</v>
      </c>
    </row>
    <row r="2127" spans="1:20" x14ac:dyDescent="0.25">
      <c r="A2127" t="str">
        <f>"3044854"</f>
        <v>3044854</v>
      </c>
      <c r="B2127" t="s">
        <v>6602</v>
      </c>
      <c r="C2127" t="str">
        <f>"82523383"</f>
        <v>82523383</v>
      </c>
      <c r="D2127" t="s">
        <v>6603</v>
      </c>
      <c r="E2127" t="s">
        <v>6604</v>
      </c>
      <c r="F2127" t="s">
        <v>6605</v>
      </c>
      <c r="I2127" t="s">
        <v>184</v>
      </c>
      <c r="J2127" t="s">
        <v>30</v>
      </c>
      <c r="K2127" t="s">
        <v>6606</v>
      </c>
      <c r="M2127" t="s">
        <v>32</v>
      </c>
      <c r="N2127" t="str">
        <f>"8/22/2006 12:00:00 AM"</f>
        <v>8/22/2006 12:00:00 AM</v>
      </c>
      <c r="O2127" t="s">
        <v>6603</v>
      </c>
      <c r="T2127" t="s">
        <v>6604</v>
      </c>
    </row>
    <row r="2128" spans="1:20" x14ac:dyDescent="0.25">
      <c r="A2128" t="str">
        <f>"3061168"</f>
        <v>3061168</v>
      </c>
      <c r="B2128" t="s">
        <v>6607</v>
      </c>
      <c r="C2128" t="str">
        <f>"24710000"</f>
        <v>24710000</v>
      </c>
      <c r="D2128" t="s">
        <v>6608</v>
      </c>
      <c r="E2128" t="s">
        <v>6609</v>
      </c>
      <c r="F2128" t="s">
        <v>6610</v>
      </c>
      <c r="I2128" t="s">
        <v>184</v>
      </c>
      <c r="J2128" t="s">
        <v>30</v>
      </c>
      <c r="K2128" t="s">
        <v>6285</v>
      </c>
      <c r="M2128" t="s">
        <v>32</v>
      </c>
      <c r="N2128" t="str">
        <f>"1/12/2006 12:00:00 AM"</f>
        <v>1/12/2006 12:00:00 AM</v>
      </c>
      <c r="O2128" t="s">
        <v>6608</v>
      </c>
      <c r="T2128" t="s">
        <v>6609</v>
      </c>
    </row>
    <row r="2129" spans="1:20" x14ac:dyDescent="0.25">
      <c r="A2129" t="str">
        <f>"3061103"</f>
        <v>3061103</v>
      </c>
      <c r="B2129" t="s">
        <v>6611</v>
      </c>
      <c r="C2129" t="str">
        <f>"18819000"</f>
        <v>18819000</v>
      </c>
      <c r="D2129" t="s">
        <v>6276</v>
      </c>
      <c r="F2129" t="s">
        <v>6277</v>
      </c>
      <c r="I2129" t="s">
        <v>184</v>
      </c>
      <c r="J2129" t="s">
        <v>30</v>
      </c>
      <c r="K2129" t="s">
        <v>185</v>
      </c>
      <c r="M2129" t="s">
        <v>32</v>
      </c>
      <c r="N2129" t="str">
        <f>"2/19/2008 12:00:00 AM"</f>
        <v>2/19/2008 12:00:00 AM</v>
      </c>
      <c r="O2129" t="s">
        <v>6276</v>
      </c>
    </row>
    <row r="2130" spans="1:20" x14ac:dyDescent="0.25">
      <c r="A2130" t="str">
        <f>"3061117"</f>
        <v>3061117</v>
      </c>
      <c r="B2130" t="s">
        <v>6612</v>
      </c>
      <c r="C2130" t="str">
        <f>"55153000"</f>
        <v>55153000</v>
      </c>
      <c r="D2130" t="s">
        <v>6613</v>
      </c>
      <c r="E2130" t="s">
        <v>6614</v>
      </c>
      <c r="F2130" t="s">
        <v>6615</v>
      </c>
      <c r="I2130" t="s">
        <v>184</v>
      </c>
      <c r="J2130" t="s">
        <v>30</v>
      </c>
      <c r="K2130" t="s">
        <v>6297</v>
      </c>
      <c r="M2130" t="s">
        <v>32</v>
      </c>
      <c r="N2130" t="str">
        <f>"1/10/2006 12:00:00 AM"</f>
        <v>1/10/2006 12:00:00 AM</v>
      </c>
      <c r="O2130" t="s">
        <v>6613</v>
      </c>
      <c r="T2130" t="s">
        <v>6614</v>
      </c>
    </row>
    <row r="2131" spans="1:20" x14ac:dyDescent="0.25">
      <c r="A2131" t="str">
        <f>"3045633"</f>
        <v>3045633</v>
      </c>
      <c r="B2131" t="s">
        <v>6616</v>
      </c>
      <c r="C2131" t="str">
        <f>"61842250"</f>
        <v>61842250</v>
      </c>
      <c r="D2131" t="s">
        <v>6617</v>
      </c>
      <c r="E2131" t="s">
        <v>6618</v>
      </c>
      <c r="F2131" t="s">
        <v>6619</v>
      </c>
      <c r="I2131" t="s">
        <v>1149</v>
      </c>
      <c r="J2131" t="s">
        <v>30</v>
      </c>
      <c r="K2131" t="s">
        <v>1150</v>
      </c>
      <c r="M2131" t="s">
        <v>32</v>
      </c>
      <c r="N2131" t="str">
        <f>"4/20/2004 12:00:00 AM"</f>
        <v>4/20/2004 12:00:00 AM</v>
      </c>
      <c r="O2131" t="s">
        <v>6617</v>
      </c>
      <c r="T2131" t="s">
        <v>6618</v>
      </c>
    </row>
    <row r="2132" spans="1:20" x14ac:dyDescent="0.25">
      <c r="A2132" t="str">
        <f>"3045522"</f>
        <v>3045522</v>
      </c>
      <c r="B2132" t="s">
        <v>6620</v>
      </c>
      <c r="C2132" t="str">
        <f>"82519880"</f>
        <v>82519880</v>
      </c>
      <c r="D2132" t="s">
        <v>6621</v>
      </c>
      <c r="E2132" t="s">
        <v>6622</v>
      </c>
      <c r="F2132" t="s">
        <v>6623</v>
      </c>
      <c r="I2132" t="s">
        <v>1149</v>
      </c>
      <c r="J2132" t="s">
        <v>30</v>
      </c>
      <c r="K2132" t="s">
        <v>1150</v>
      </c>
      <c r="M2132" t="s">
        <v>32</v>
      </c>
      <c r="N2132" t="str">
        <f>"10/26/2009 12:00:00 AM"</f>
        <v>10/26/2009 12:00:00 AM</v>
      </c>
      <c r="O2132" t="s">
        <v>6621</v>
      </c>
      <c r="T2132" t="s">
        <v>6622</v>
      </c>
    </row>
    <row r="2133" spans="1:20" x14ac:dyDescent="0.25">
      <c r="A2133" t="str">
        <f>"3045722"</f>
        <v>3045722</v>
      </c>
      <c r="B2133" t="s">
        <v>6624</v>
      </c>
      <c r="C2133" t="str">
        <f>"82526101"</f>
        <v>82526101</v>
      </c>
      <c r="D2133" t="s">
        <v>6625</v>
      </c>
      <c r="F2133" t="s">
        <v>6626</v>
      </c>
      <c r="I2133" t="s">
        <v>1149</v>
      </c>
      <c r="J2133" t="s">
        <v>30</v>
      </c>
      <c r="K2133" t="s">
        <v>1150</v>
      </c>
      <c r="M2133" t="s">
        <v>32</v>
      </c>
      <c r="N2133" t="str">
        <f>"1/23/2007 12:00:00 AM"</f>
        <v>1/23/2007 12:00:00 AM</v>
      </c>
      <c r="O2133" t="s">
        <v>6625</v>
      </c>
    </row>
    <row r="2134" spans="1:20" x14ac:dyDescent="0.25">
      <c r="A2134" t="str">
        <f>"3061184"</f>
        <v>3061184</v>
      </c>
      <c r="B2134" t="s">
        <v>6627</v>
      </c>
      <c r="C2134" t="str">
        <f>"44174180"</f>
        <v>44174180</v>
      </c>
      <c r="D2134" t="s">
        <v>6628</v>
      </c>
      <c r="E2134" t="s">
        <v>6629</v>
      </c>
      <c r="F2134" t="s">
        <v>6630</v>
      </c>
      <c r="I2134" t="s">
        <v>184</v>
      </c>
      <c r="J2134" t="s">
        <v>30</v>
      </c>
      <c r="K2134" t="s">
        <v>6631</v>
      </c>
      <c r="M2134" t="s">
        <v>32</v>
      </c>
      <c r="N2134" t="str">
        <f>"6/22/2007 12:00:00 AM"</f>
        <v>6/22/2007 12:00:00 AM</v>
      </c>
      <c r="O2134" t="s">
        <v>6628</v>
      </c>
      <c r="T2134" t="s">
        <v>6629</v>
      </c>
    </row>
    <row r="2135" spans="1:20" x14ac:dyDescent="0.25">
      <c r="A2135" t="str">
        <f>"3045565"</f>
        <v>3045565</v>
      </c>
      <c r="B2135" t="s">
        <v>6632</v>
      </c>
      <c r="C2135" t="str">
        <f>"46704600"</f>
        <v>46704600</v>
      </c>
      <c r="D2135" t="s">
        <v>6633</v>
      </c>
      <c r="F2135" t="s">
        <v>6634</v>
      </c>
      <c r="I2135" t="s">
        <v>29</v>
      </c>
      <c r="J2135" t="s">
        <v>30</v>
      </c>
      <c r="K2135" t="s">
        <v>31</v>
      </c>
      <c r="M2135" t="s">
        <v>32</v>
      </c>
      <c r="N2135" t="str">
        <f>"12/17/2003 12:00:00 AM"</f>
        <v>12/17/2003 12:00:00 AM</v>
      </c>
      <c r="O2135" t="s">
        <v>6633</v>
      </c>
    </row>
    <row r="2136" spans="1:20" x14ac:dyDescent="0.25">
      <c r="A2136" t="str">
        <f>"3077633"</f>
        <v>3077633</v>
      </c>
      <c r="B2136" t="s">
        <v>6635</v>
      </c>
      <c r="C2136" t="str">
        <f>"46704600"</f>
        <v>46704600</v>
      </c>
      <c r="D2136" t="s">
        <v>6633</v>
      </c>
      <c r="F2136" t="s">
        <v>6634</v>
      </c>
      <c r="I2136" t="s">
        <v>29</v>
      </c>
      <c r="J2136" t="s">
        <v>30</v>
      </c>
      <c r="K2136" t="s">
        <v>31</v>
      </c>
      <c r="M2136" t="s">
        <v>32</v>
      </c>
      <c r="N2136" t="str">
        <f>"12/17/2003 12:00:00 AM"</f>
        <v>12/17/2003 12:00:00 AM</v>
      </c>
      <c r="O2136" t="s">
        <v>6633</v>
      </c>
    </row>
    <row r="2137" spans="1:20" x14ac:dyDescent="0.25">
      <c r="A2137" t="str">
        <f>"3057055"</f>
        <v>3057055</v>
      </c>
      <c r="B2137" t="s">
        <v>6636</v>
      </c>
      <c r="C2137" t="str">
        <f>"35678250"</f>
        <v>35678250</v>
      </c>
      <c r="D2137" t="s">
        <v>6637</v>
      </c>
      <c r="F2137" t="s">
        <v>6638</v>
      </c>
      <c r="I2137" t="s">
        <v>184</v>
      </c>
      <c r="J2137" t="s">
        <v>30</v>
      </c>
      <c r="K2137" t="s">
        <v>185</v>
      </c>
      <c r="M2137" t="s">
        <v>32</v>
      </c>
      <c r="N2137" t="str">
        <f>"10/15/2003 12:00:00 AM"</f>
        <v>10/15/2003 12:00:00 AM</v>
      </c>
      <c r="O2137" t="s">
        <v>6637</v>
      </c>
    </row>
    <row r="2138" spans="1:20" x14ac:dyDescent="0.25">
      <c r="A2138" t="str">
        <f>"3077638"</f>
        <v>3077638</v>
      </c>
      <c r="B2138" t="s">
        <v>6639</v>
      </c>
      <c r="C2138" t="str">
        <f>"2816510"</f>
        <v>2816510</v>
      </c>
      <c r="D2138" t="s">
        <v>6640</v>
      </c>
      <c r="F2138" t="s">
        <v>6641</v>
      </c>
      <c r="I2138" t="s">
        <v>29</v>
      </c>
      <c r="J2138" t="s">
        <v>30</v>
      </c>
      <c r="K2138" t="s">
        <v>6642</v>
      </c>
      <c r="M2138" t="s">
        <v>32</v>
      </c>
      <c r="N2138" t="str">
        <f>"1/31/2006 12:00:00 AM"</f>
        <v>1/31/2006 12:00:00 AM</v>
      </c>
      <c r="O2138" t="s">
        <v>6640</v>
      </c>
    </row>
    <row r="2139" spans="1:20" x14ac:dyDescent="0.25">
      <c r="A2139" t="str">
        <f>"3042782"</f>
        <v>3042782</v>
      </c>
      <c r="B2139" t="s">
        <v>6643</v>
      </c>
      <c r="C2139" t="str">
        <f>"82517441"</f>
        <v>82517441</v>
      </c>
      <c r="D2139" t="s">
        <v>6644</v>
      </c>
      <c r="F2139" t="s">
        <v>6645</v>
      </c>
      <c r="I2139" t="s">
        <v>29</v>
      </c>
      <c r="J2139" t="s">
        <v>30</v>
      </c>
      <c r="K2139" t="s">
        <v>31</v>
      </c>
      <c r="M2139" t="s">
        <v>32</v>
      </c>
      <c r="N2139" t="str">
        <f>"6/2/2005 12:00:00 AM"</f>
        <v>6/2/2005 12:00:00 AM</v>
      </c>
      <c r="O2139" t="s">
        <v>6644</v>
      </c>
    </row>
    <row r="2140" spans="1:20" x14ac:dyDescent="0.25">
      <c r="A2140" t="str">
        <f>"3042623"</f>
        <v>3042623</v>
      </c>
      <c r="B2140" t="s">
        <v>6646</v>
      </c>
      <c r="C2140" t="str">
        <f>"3978250"</f>
        <v>3978250</v>
      </c>
      <c r="D2140" t="s">
        <v>6647</v>
      </c>
      <c r="F2140" t="s">
        <v>6648</v>
      </c>
      <c r="I2140" t="s">
        <v>29</v>
      </c>
      <c r="J2140" t="s">
        <v>30</v>
      </c>
      <c r="K2140" t="s">
        <v>31</v>
      </c>
      <c r="M2140" t="s">
        <v>32</v>
      </c>
      <c r="N2140" t="str">
        <f>"8/23/2005 12:00:00 AM"</f>
        <v>8/23/2005 12:00:00 AM</v>
      </c>
      <c r="O2140" t="s">
        <v>6647</v>
      </c>
    </row>
    <row r="2141" spans="1:20" x14ac:dyDescent="0.25">
      <c r="A2141" t="str">
        <f>"3042798"</f>
        <v>3042798</v>
      </c>
      <c r="B2141" t="s">
        <v>6649</v>
      </c>
      <c r="C2141" t="str">
        <f>"82516021"</f>
        <v>82516021</v>
      </c>
      <c r="D2141" t="s">
        <v>6650</v>
      </c>
      <c r="E2141" t="s">
        <v>6651</v>
      </c>
      <c r="F2141" t="s">
        <v>6652</v>
      </c>
      <c r="I2141" t="s">
        <v>29</v>
      </c>
      <c r="J2141" t="s">
        <v>30</v>
      </c>
      <c r="K2141" t="s">
        <v>31</v>
      </c>
      <c r="M2141" t="s">
        <v>32</v>
      </c>
      <c r="N2141" t="str">
        <f>"10/1/2004 12:00:00 AM"</f>
        <v>10/1/2004 12:00:00 AM</v>
      </c>
      <c r="O2141" t="s">
        <v>6650</v>
      </c>
      <c r="T2141" t="s">
        <v>6651</v>
      </c>
    </row>
    <row r="2142" spans="1:20" x14ac:dyDescent="0.25">
      <c r="A2142" t="str">
        <f>"3060546"</f>
        <v>3060546</v>
      </c>
      <c r="B2142" t="s">
        <v>6653</v>
      </c>
      <c r="C2142" t="str">
        <f>"55841000"</f>
        <v>55841000</v>
      </c>
      <c r="D2142" t="s">
        <v>6654</v>
      </c>
      <c r="E2142" t="s">
        <v>6655</v>
      </c>
      <c r="F2142" t="s">
        <v>6656</v>
      </c>
      <c r="I2142" t="s">
        <v>2071</v>
      </c>
      <c r="J2142" t="s">
        <v>30</v>
      </c>
      <c r="K2142" t="s">
        <v>185</v>
      </c>
      <c r="M2142" t="s">
        <v>32</v>
      </c>
      <c r="N2142" t="str">
        <f>"11/17/2006 12:00:00 AM"</f>
        <v>11/17/2006 12:00:00 AM</v>
      </c>
      <c r="O2142" t="s">
        <v>6654</v>
      </c>
      <c r="T2142" t="s">
        <v>6655</v>
      </c>
    </row>
    <row r="2143" spans="1:20" x14ac:dyDescent="0.25">
      <c r="A2143" t="str">
        <f>"3060592"</f>
        <v>3060592</v>
      </c>
      <c r="B2143" t="s">
        <v>6657</v>
      </c>
      <c r="C2143" t="str">
        <f>"82517358"</f>
        <v>82517358</v>
      </c>
      <c r="D2143" t="s">
        <v>6658</v>
      </c>
      <c r="E2143" t="s">
        <v>6659</v>
      </c>
      <c r="F2143" t="s">
        <v>6660</v>
      </c>
      <c r="I2143" t="s">
        <v>2071</v>
      </c>
      <c r="J2143" t="s">
        <v>30</v>
      </c>
      <c r="K2143" t="s">
        <v>185</v>
      </c>
      <c r="M2143" t="s">
        <v>32</v>
      </c>
      <c r="N2143" t="str">
        <f>"9/16/2002 12:00:00 AM"</f>
        <v>9/16/2002 12:00:00 AM</v>
      </c>
      <c r="O2143" t="s">
        <v>6658</v>
      </c>
      <c r="T2143" t="s">
        <v>6659</v>
      </c>
    </row>
    <row r="2144" spans="1:20" x14ac:dyDescent="0.25">
      <c r="A2144" t="str">
        <f>"3060600"</f>
        <v>3060600</v>
      </c>
      <c r="B2144" t="s">
        <v>6661</v>
      </c>
      <c r="C2144" t="str">
        <f>"82526726"</f>
        <v>82526726</v>
      </c>
      <c r="D2144" t="s">
        <v>6662</v>
      </c>
      <c r="E2144" t="s">
        <v>6663</v>
      </c>
      <c r="F2144" t="s">
        <v>6664</v>
      </c>
      <c r="I2144" t="s">
        <v>2071</v>
      </c>
      <c r="J2144" t="s">
        <v>30</v>
      </c>
      <c r="K2144" t="s">
        <v>185</v>
      </c>
      <c r="M2144" t="s">
        <v>32</v>
      </c>
      <c r="N2144" t="str">
        <f>"5/21/2008 12:00:00 AM"</f>
        <v>5/21/2008 12:00:00 AM</v>
      </c>
      <c r="O2144" t="s">
        <v>6662</v>
      </c>
      <c r="T2144" t="s">
        <v>6663</v>
      </c>
    </row>
    <row r="2145" spans="1:20" x14ac:dyDescent="0.25">
      <c r="A2145" t="str">
        <f>"3045284"</f>
        <v>3045284</v>
      </c>
      <c r="B2145" t="s">
        <v>6665</v>
      </c>
      <c r="C2145" t="str">
        <f>"62385750"</f>
        <v>62385750</v>
      </c>
      <c r="D2145" t="s">
        <v>6666</v>
      </c>
      <c r="E2145" t="s">
        <v>6667</v>
      </c>
      <c r="F2145" t="s">
        <v>6668</v>
      </c>
      <c r="I2145" t="s">
        <v>29</v>
      </c>
      <c r="J2145" t="s">
        <v>30</v>
      </c>
      <c r="K2145" t="s">
        <v>31</v>
      </c>
      <c r="M2145" t="s">
        <v>32</v>
      </c>
      <c r="N2145" t="str">
        <f>"1/17/2006 12:00:00 AM"</f>
        <v>1/17/2006 12:00:00 AM</v>
      </c>
      <c r="O2145" t="s">
        <v>6666</v>
      </c>
      <c r="T2145" t="s">
        <v>6667</v>
      </c>
    </row>
    <row r="2146" spans="1:20" x14ac:dyDescent="0.25">
      <c r="A2146" t="str">
        <f>"3045473"</f>
        <v>3045473</v>
      </c>
      <c r="B2146" t="s">
        <v>6669</v>
      </c>
      <c r="C2146" t="str">
        <f>"82519904"</f>
        <v>82519904</v>
      </c>
      <c r="D2146" t="s">
        <v>6670</v>
      </c>
      <c r="F2146" t="s">
        <v>6671</v>
      </c>
      <c r="I2146" t="s">
        <v>964</v>
      </c>
      <c r="J2146" t="s">
        <v>30</v>
      </c>
      <c r="K2146" t="s">
        <v>6672</v>
      </c>
      <c r="M2146" t="s">
        <v>32</v>
      </c>
      <c r="N2146" t="str">
        <f>"12/31/2002 12:00:00 AM"</f>
        <v>12/31/2002 12:00:00 AM</v>
      </c>
      <c r="O2146" t="s">
        <v>6670</v>
      </c>
    </row>
    <row r="2147" spans="1:20" x14ac:dyDescent="0.25">
      <c r="A2147" t="str">
        <f>"3077645"</f>
        <v>3077645</v>
      </c>
      <c r="B2147" t="s">
        <v>6673</v>
      </c>
      <c r="C2147" t="str">
        <f>"82519904"</f>
        <v>82519904</v>
      </c>
      <c r="D2147" t="s">
        <v>6670</v>
      </c>
      <c r="F2147" t="s">
        <v>6671</v>
      </c>
      <c r="I2147" t="s">
        <v>964</v>
      </c>
      <c r="J2147" t="s">
        <v>30</v>
      </c>
      <c r="K2147" t="s">
        <v>6672</v>
      </c>
      <c r="M2147" t="s">
        <v>32</v>
      </c>
      <c r="N2147" t="str">
        <f>"12/31/2002 12:00:00 AM"</f>
        <v>12/31/2002 12:00:00 AM</v>
      </c>
      <c r="O2147" t="s">
        <v>6670</v>
      </c>
    </row>
    <row r="2148" spans="1:20" x14ac:dyDescent="0.25">
      <c r="A2148" t="str">
        <f>"3045367"</f>
        <v>3045367</v>
      </c>
      <c r="B2148" t="s">
        <v>6674</v>
      </c>
      <c r="C2148" t="str">
        <f>"6964000"</f>
        <v>6964000</v>
      </c>
      <c r="D2148" t="s">
        <v>6675</v>
      </c>
      <c r="F2148" t="s">
        <v>6676</v>
      </c>
      <c r="I2148" t="s">
        <v>1149</v>
      </c>
      <c r="J2148" t="s">
        <v>30</v>
      </c>
      <c r="K2148" t="s">
        <v>1150</v>
      </c>
      <c r="M2148" t="s">
        <v>32</v>
      </c>
      <c r="N2148" t="str">
        <f>"2/11/2010 12:00:00 AM"</f>
        <v>2/11/2010 12:00:00 AM</v>
      </c>
      <c r="O2148" t="s">
        <v>6675</v>
      </c>
      <c r="T2148" t="s">
        <v>6675</v>
      </c>
    </row>
    <row r="2149" spans="1:20" x14ac:dyDescent="0.25">
      <c r="A2149" t="str">
        <f>"3048324"</f>
        <v>3048324</v>
      </c>
      <c r="B2149" t="s">
        <v>6677</v>
      </c>
      <c r="C2149" t="str">
        <f>"6964000"</f>
        <v>6964000</v>
      </c>
      <c r="D2149" t="s">
        <v>6675</v>
      </c>
      <c r="F2149" t="s">
        <v>6676</v>
      </c>
      <c r="I2149" t="s">
        <v>1149</v>
      </c>
      <c r="J2149" t="s">
        <v>30</v>
      </c>
      <c r="K2149" t="s">
        <v>1150</v>
      </c>
      <c r="M2149" t="s">
        <v>32</v>
      </c>
      <c r="N2149" t="str">
        <f>"2/11/2010 12:00:00 AM"</f>
        <v>2/11/2010 12:00:00 AM</v>
      </c>
      <c r="O2149" t="s">
        <v>6675</v>
      </c>
      <c r="T2149" t="s">
        <v>6675</v>
      </c>
    </row>
    <row r="2150" spans="1:20" x14ac:dyDescent="0.25">
      <c r="A2150" t="str">
        <f>"3048347"</f>
        <v>3048347</v>
      </c>
      <c r="B2150" t="s">
        <v>6678</v>
      </c>
      <c r="C2150" t="str">
        <f>"6964000"</f>
        <v>6964000</v>
      </c>
      <c r="D2150" t="s">
        <v>6675</v>
      </c>
      <c r="F2150" t="s">
        <v>6676</v>
      </c>
      <c r="I2150" t="s">
        <v>1149</v>
      </c>
      <c r="J2150" t="s">
        <v>30</v>
      </c>
      <c r="K2150" t="s">
        <v>1150</v>
      </c>
      <c r="M2150" t="s">
        <v>32</v>
      </c>
      <c r="N2150" t="str">
        <f>"2/11/2010 12:00:00 AM"</f>
        <v>2/11/2010 12:00:00 AM</v>
      </c>
      <c r="O2150" t="s">
        <v>6675</v>
      </c>
      <c r="T2150" t="s">
        <v>6675</v>
      </c>
    </row>
    <row r="2151" spans="1:20" x14ac:dyDescent="0.25">
      <c r="A2151" t="str">
        <f>"3045371"</f>
        <v>3045371</v>
      </c>
      <c r="B2151" t="s">
        <v>6679</v>
      </c>
      <c r="C2151" t="str">
        <f>"82529399"</f>
        <v>82529399</v>
      </c>
      <c r="D2151" t="s">
        <v>6680</v>
      </c>
      <c r="F2151" t="s">
        <v>6681</v>
      </c>
      <c r="I2151" t="s">
        <v>29</v>
      </c>
      <c r="J2151" t="s">
        <v>30</v>
      </c>
      <c r="K2151" t="s">
        <v>31</v>
      </c>
      <c r="M2151" t="s">
        <v>32</v>
      </c>
      <c r="N2151" t="str">
        <f>"4/9/2008 12:00:00 AM"</f>
        <v>4/9/2008 12:00:00 AM</v>
      </c>
      <c r="O2151" t="s">
        <v>6680</v>
      </c>
    </row>
    <row r="2152" spans="1:20" x14ac:dyDescent="0.25">
      <c r="A2152" t="str">
        <f>"3045273"</f>
        <v>3045273</v>
      </c>
      <c r="B2152" t="s">
        <v>6682</v>
      </c>
      <c r="C2152" t="str">
        <f>"78436000"</f>
        <v>78436000</v>
      </c>
      <c r="D2152" t="s">
        <v>6683</v>
      </c>
      <c r="E2152" t="s">
        <v>6684</v>
      </c>
      <c r="F2152" t="s">
        <v>6685</v>
      </c>
      <c r="I2152" t="s">
        <v>29</v>
      </c>
      <c r="J2152" t="s">
        <v>30</v>
      </c>
      <c r="K2152" t="s">
        <v>6686</v>
      </c>
      <c r="M2152" t="s">
        <v>32</v>
      </c>
      <c r="N2152" t="str">
        <f>"1/21/2010 12:00:00 AM"</f>
        <v>1/21/2010 12:00:00 AM</v>
      </c>
      <c r="O2152" t="s">
        <v>6683</v>
      </c>
      <c r="T2152" t="s">
        <v>6684</v>
      </c>
    </row>
    <row r="2153" spans="1:20" x14ac:dyDescent="0.25">
      <c r="A2153" t="str">
        <f>"3044933"</f>
        <v>3044933</v>
      </c>
      <c r="B2153" t="s">
        <v>6687</v>
      </c>
      <c r="C2153" t="str">
        <f>"78436000"</f>
        <v>78436000</v>
      </c>
      <c r="D2153" t="s">
        <v>6683</v>
      </c>
      <c r="E2153" t="s">
        <v>6684</v>
      </c>
      <c r="F2153" t="s">
        <v>6685</v>
      </c>
      <c r="I2153" t="s">
        <v>29</v>
      </c>
      <c r="J2153" t="s">
        <v>30</v>
      </c>
      <c r="K2153" t="s">
        <v>6686</v>
      </c>
      <c r="M2153" t="s">
        <v>32</v>
      </c>
      <c r="N2153" t="str">
        <f>"1/21/2010 12:00:00 AM"</f>
        <v>1/21/2010 12:00:00 AM</v>
      </c>
      <c r="O2153" t="s">
        <v>6683</v>
      </c>
      <c r="T2153" t="s">
        <v>6684</v>
      </c>
    </row>
    <row r="2154" spans="1:20" x14ac:dyDescent="0.25">
      <c r="A2154" t="str">
        <f>"3045493"</f>
        <v>3045493</v>
      </c>
      <c r="B2154" t="s">
        <v>6688</v>
      </c>
      <c r="C2154" t="str">
        <f>"78628870"</f>
        <v>78628870</v>
      </c>
      <c r="D2154" t="s">
        <v>6689</v>
      </c>
      <c r="F2154" t="s">
        <v>6690</v>
      </c>
      <c r="I2154" t="s">
        <v>29</v>
      </c>
      <c r="J2154" t="s">
        <v>30</v>
      </c>
      <c r="K2154" t="s">
        <v>31</v>
      </c>
      <c r="M2154" t="s">
        <v>32</v>
      </c>
      <c r="N2154" t="str">
        <f>"5/7/2002 12:00:00 AM"</f>
        <v>5/7/2002 12:00:00 AM</v>
      </c>
      <c r="O2154" t="s">
        <v>6689</v>
      </c>
    </row>
    <row r="2155" spans="1:20" x14ac:dyDescent="0.25">
      <c r="A2155" t="str">
        <f>"3045188"</f>
        <v>3045188</v>
      </c>
      <c r="B2155" t="s">
        <v>6691</v>
      </c>
      <c r="C2155" t="str">
        <f>"78494000"</f>
        <v>78494000</v>
      </c>
      <c r="D2155" t="s">
        <v>6692</v>
      </c>
      <c r="E2155" t="s">
        <v>6693</v>
      </c>
      <c r="F2155" t="s">
        <v>6694</v>
      </c>
      <c r="I2155" t="s">
        <v>29</v>
      </c>
      <c r="J2155" t="s">
        <v>30</v>
      </c>
      <c r="K2155" t="s">
        <v>31</v>
      </c>
      <c r="M2155" t="s">
        <v>32</v>
      </c>
      <c r="N2155" t="str">
        <f>"6/29/2004 12:00:00 AM"</f>
        <v>6/29/2004 12:00:00 AM</v>
      </c>
      <c r="O2155" t="s">
        <v>6692</v>
      </c>
      <c r="T2155" t="s">
        <v>6693</v>
      </c>
    </row>
    <row r="2156" spans="1:20" x14ac:dyDescent="0.25">
      <c r="A2156" t="str">
        <f>"3045765"</f>
        <v>3045765</v>
      </c>
      <c r="B2156" t="s">
        <v>6695</v>
      </c>
      <c r="C2156" t="str">
        <f>"78494000"</f>
        <v>78494000</v>
      </c>
      <c r="D2156" t="s">
        <v>6692</v>
      </c>
      <c r="E2156" t="s">
        <v>6693</v>
      </c>
      <c r="F2156" t="s">
        <v>6694</v>
      </c>
      <c r="I2156" t="s">
        <v>29</v>
      </c>
      <c r="J2156" t="s">
        <v>30</v>
      </c>
      <c r="K2156" t="s">
        <v>31</v>
      </c>
      <c r="M2156" t="s">
        <v>32</v>
      </c>
      <c r="N2156" t="str">
        <f>"6/29/2004 12:00:00 AM"</f>
        <v>6/29/2004 12:00:00 AM</v>
      </c>
      <c r="O2156" t="s">
        <v>6692</v>
      </c>
      <c r="T2156" t="s">
        <v>6693</v>
      </c>
    </row>
    <row r="2157" spans="1:20" x14ac:dyDescent="0.25">
      <c r="A2157" t="str">
        <f>"3045763"</f>
        <v>3045763</v>
      </c>
      <c r="B2157" t="s">
        <v>6696</v>
      </c>
      <c r="C2157" t="str">
        <f>"78494000"</f>
        <v>78494000</v>
      </c>
      <c r="D2157" t="s">
        <v>6692</v>
      </c>
      <c r="E2157" t="s">
        <v>6693</v>
      </c>
      <c r="F2157" t="s">
        <v>6694</v>
      </c>
      <c r="I2157" t="s">
        <v>29</v>
      </c>
      <c r="J2157" t="s">
        <v>30</v>
      </c>
      <c r="K2157" t="s">
        <v>31</v>
      </c>
      <c r="M2157" t="s">
        <v>32</v>
      </c>
      <c r="N2157" t="str">
        <f>"6/29/2004 12:00:00 AM"</f>
        <v>6/29/2004 12:00:00 AM</v>
      </c>
      <c r="O2157" t="s">
        <v>6692</v>
      </c>
      <c r="T2157" t="s">
        <v>6693</v>
      </c>
    </row>
    <row r="2158" spans="1:20" x14ac:dyDescent="0.25">
      <c r="A2158" t="str">
        <f>"3077651"</f>
        <v>3077651</v>
      </c>
      <c r="B2158" t="s">
        <v>6697</v>
      </c>
      <c r="C2158" t="str">
        <f>"78494000"</f>
        <v>78494000</v>
      </c>
      <c r="D2158" t="s">
        <v>6692</v>
      </c>
      <c r="E2158" t="s">
        <v>6693</v>
      </c>
      <c r="F2158" t="s">
        <v>6694</v>
      </c>
      <c r="I2158" t="s">
        <v>29</v>
      </c>
      <c r="J2158" t="s">
        <v>30</v>
      </c>
      <c r="K2158" t="s">
        <v>31</v>
      </c>
      <c r="M2158" t="s">
        <v>32</v>
      </c>
      <c r="N2158" t="str">
        <f>"6/29/2004 12:00:00 AM"</f>
        <v>6/29/2004 12:00:00 AM</v>
      </c>
      <c r="O2158" t="s">
        <v>6692</v>
      </c>
      <c r="T2158" t="s">
        <v>6693</v>
      </c>
    </row>
    <row r="2159" spans="1:20" x14ac:dyDescent="0.25">
      <c r="A2159" t="str">
        <f>"3077652"</f>
        <v>3077652</v>
      </c>
      <c r="B2159" t="s">
        <v>6698</v>
      </c>
      <c r="C2159" t="str">
        <f>"78494000"</f>
        <v>78494000</v>
      </c>
      <c r="D2159" t="s">
        <v>6692</v>
      </c>
      <c r="E2159" t="s">
        <v>6693</v>
      </c>
      <c r="F2159" t="s">
        <v>6694</v>
      </c>
      <c r="I2159" t="s">
        <v>29</v>
      </c>
      <c r="J2159" t="s">
        <v>30</v>
      </c>
      <c r="K2159" t="s">
        <v>31</v>
      </c>
      <c r="M2159" t="s">
        <v>32</v>
      </c>
      <c r="N2159" t="str">
        <f>"6/29/2004 12:00:00 AM"</f>
        <v>6/29/2004 12:00:00 AM</v>
      </c>
      <c r="O2159" t="s">
        <v>6692</v>
      </c>
      <c r="T2159" t="s">
        <v>6693</v>
      </c>
    </row>
    <row r="2160" spans="1:20" x14ac:dyDescent="0.25">
      <c r="A2160" t="str">
        <f>"3077896"</f>
        <v>3077896</v>
      </c>
      <c r="B2160" t="s">
        <v>6699</v>
      </c>
      <c r="C2160" t="str">
        <f>"14648000"</f>
        <v>14648000</v>
      </c>
      <c r="D2160" t="s">
        <v>6700</v>
      </c>
      <c r="F2160" t="s">
        <v>6701</v>
      </c>
      <c r="I2160" t="s">
        <v>29</v>
      </c>
      <c r="J2160" t="s">
        <v>30</v>
      </c>
      <c r="K2160" t="s">
        <v>31</v>
      </c>
      <c r="M2160" t="s">
        <v>32</v>
      </c>
      <c r="N2160" t="str">
        <f>"6/24/2003 12:00:00 AM"</f>
        <v>6/24/2003 12:00:00 AM</v>
      </c>
      <c r="O2160" t="s">
        <v>6700</v>
      </c>
    </row>
    <row r="2161" spans="1:20" x14ac:dyDescent="0.25">
      <c r="A2161" t="str">
        <f>"3045435"</f>
        <v>3045435</v>
      </c>
      <c r="B2161" t="s">
        <v>6702</v>
      </c>
      <c r="C2161" t="str">
        <f>"14648000"</f>
        <v>14648000</v>
      </c>
      <c r="D2161" t="s">
        <v>6700</v>
      </c>
      <c r="F2161" t="s">
        <v>6701</v>
      </c>
      <c r="I2161" t="s">
        <v>29</v>
      </c>
      <c r="J2161" t="s">
        <v>30</v>
      </c>
      <c r="K2161" t="s">
        <v>31</v>
      </c>
      <c r="M2161" t="s">
        <v>32</v>
      </c>
      <c r="N2161" t="str">
        <f>"6/24/2003 12:00:00 AM"</f>
        <v>6/24/2003 12:00:00 AM</v>
      </c>
      <c r="O2161" t="s">
        <v>6700</v>
      </c>
    </row>
    <row r="2162" spans="1:20" x14ac:dyDescent="0.25">
      <c r="A2162" t="str">
        <f>"3045151"</f>
        <v>3045151</v>
      </c>
      <c r="B2162" t="s">
        <v>6703</v>
      </c>
      <c r="C2162" t="str">
        <f>"14648000"</f>
        <v>14648000</v>
      </c>
      <c r="D2162" t="s">
        <v>6700</v>
      </c>
      <c r="F2162" t="s">
        <v>6701</v>
      </c>
      <c r="I2162" t="s">
        <v>29</v>
      </c>
      <c r="J2162" t="s">
        <v>30</v>
      </c>
      <c r="K2162" t="s">
        <v>31</v>
      </c>
      <c r="M2162" t="s">
        <v>32</v>
      </c>
      <c r="N2162" t="str">
        <f>"6/24/2003 12:00:00 AM"</f>
        <v>6/24/2003 12:00:00 AM</v>
      </c>
      <c r="O2162" t="s">
        <v>6700</v>
      </c>
    </row>
    <row r="2163" spans="1:20" x14ac:dyDescent="0.25">
      <c r="A2163" t="str">
        <f>"3045469"</f>
        <v>3045469</v>
      </c>
      <c r="B2163" t="s">
        <v>6704</v>
      </c>
      <c r="C2163" t="str">
        <f>"713750"</f>
        <v>713750</v>
      </c>
      <c r="D2163" t="s">
        <v>6705</v>
      </c>
      <c r="F2163" t="s">
        <v>6706</v>
      </c>
      <c r="I2163" t="s">
        <v>6707</v>
      </c>
      <c r="J2163" t="s">
        <v>30</v>
      </c>
      <c r="K2163" t="s">
        <v>6708</v>
      </c>
      <c r="M2163" t="s">
        <v>32</v>
      </c>
      <c r="N2163" t="str">
        <f>"1/17/2006 12:00:00 AM"</f>
        <v>1/17/2006 12:00:00 AM</v>
      </c>
      <c r="O2163" t="s">
        <v>6705</v>
      </c>
      <c r="T2163" t="s">
        <v>6705</v>
      </c>
    </row>
    <row r="2164" spans="1:20" x14ac:dyDescent="0.25">
      <c r="A2164" t="str">
        <f>"3042971"</f>
        <v>3042971</v>
      </c>
      <c r="B2164" t="s">
        <v>6709</v>
      </c>
      <c r="C2164" t="str">
        <f>"29364000"</f>
        <v>29364000</v>
      </c>
      <c r="D2164" t="s">
        <v>6710</v>
      </c>
      <c r="E2164" t="s">
        <v>6711</v>
      </c>
      <c r="F2164" t="s">
        <v>6712</v>
      </c>
      <c r="I2164" t="s">
        <v>29</v>
      </c>
      <c r="J2164" t="s">
        <v>30</v>
      </c>
      <c r="K2164" t="s">
        <v>31</v>
      </c>
      <c r="M2164" t="s">
        <v>32</v>
      </c>
      <c r="N2164" t="str">
        <f>"5/7/2002 12:00:00 AM"</f>
        <v>5/7/2002 12:00:00 AM</v>
      </c>
      <c r="O2164" t="s">
        <v>6710</v>
      </c>
      <c r="T2164" t="s">
        <v>6711</v>
      </c>
    </row>
    <row r="2165" spans="1:20" x14ac:dyDescent="0.25">
      <c r="A2165" t="str">
        <f>"3044846"</f>
        <v>3044846</v>
      </c>
      <c r="B2165" t="s">
        <v>6713</v>
      </c>
      <c r="C2165" t="str">
        <f>"82521057"</f>
        <v>82521057</v>
      </c>
      <c r="D2165" t="s">
        <v>6714</v>
      </c>
      <c r="E2165" t="s">
        <v>6715</v>
      </c>
      <c r="F2165" t="s">
        <v>6716</v>
      </c>
      <c r="I2165" t="s">
        <v>184</v>
      </c>
      <c r="J2165" t="s">
        <v>30</v>
      </c>
      <c r="K2165" t="s">
        <v>185</v>
      </c>
      <c r="M2165" t="s">
        <v>32</v>
      </c>
      <c r="N2165" t="str">
        <f>"1/6/2004 12:00:00 AM"</f>
        <v>1/6/2004 12:00:00 AM</v>
      </c>
      <c r="O2165" t="s">
        <v>6714</v>
      </c>
      <c r="T2165" t="s">
        <v>6715</v>
      </c>
    </row>
    <row r="2166" spans="1:20" x14ac:dyDescent="0.25">
      <c r="A2166" t="str">
        <f>"3042830"</f>
        <v>3042830</v>
      </c>
      <c r="B2166" t="s">
        <v>6717</v>
      </c>
      <c r="C2166" t="str">
        <f>"62536950"</f>
        <v>62536950</v>
      </c>
      <c r="D2166" t="s">
        <v>6718</v>
      </c>
      <c r="E2166" t="s">
        <v>6719</v>
      </c>
      <c r="F2166" t="s">
        <v>6720</v>
      </c>
      <c r="I2166" t="s">
        <v>29</v>
      </c>
      <c r="J2166" t="s">
        <v>30</v>
      </c>
      <c r="K2166" t="s">
        <v>31</v>
      </c>
      <c r="M2166" t="s">
        <v>32</v>
      </c>
      <c r="N2166" t="str">
        <f>"4/23/2004 12:00:00 AM"</f>
        <v>4/23/2004 12:00:00 AM</v>
      </c>
      <c r="O2166" t="s">
        <v>6718</v>
      </c>
      <c r="T2166" t="s">
        <v>6719</v>
      </c>
    </row>
    <row r="2167" spans="1:20" x14ac:dyDescent="0.25">
      <c r="A2167" t="str">
        <f>"3042762"</f>
        <v>3042762</v>
      </c>
      <c r="B2167" t="s">
        <v>6721</v>
      </c>
      <c r="C2167" t="str">
        <f>"4814000"</f>
        <v>4814000</v>
      </c>
      <c r="D2167" t="s">
        <v>6722</v>
      </c>
      <c r="E2167" t="s">
        <v>6723</v>
      </c>
      <c r="F2167" t="s">
        <v>6724</v>
      </c>
      <c r="I2167" t="s">
        <v>29</v>
      </c>
      <c r="J2167" t="s">
        <v>30</v>
      </c>
      <c r="K2167" t="s">
        <v>4343</v>
      </c>
      <c r="M2167" t="s">
        <v>32</v>
      </c>
      <c r="N2167" t="str">
        <f>"2/14/2007 12:00:00 AM"</f>
        <v>2/14/2007 12:00:00 AM</v>
      </c>
      <c r="O2167" t="s">
        <v>6722</v>
      </c>
      <c r="T2167" t="s">
        <v>6723</v>
      </c>
    </row>
    <row r="2168" spans="1:20" x14ac:dyDescent="0.25">
      <c r="A2168" t="str">
        <f>"3053749"</f>
        <v>3053749</v>
      </c>
      <c r="B2168" t="s">
        <v>6725</v>
      </c>
      <c r="C2168" t="str">
        <f>"1748000"</f>
        <v>1748000</v>
      </c>
      <c r="D2168" t="s">
        <v>6726</v>
      </c>
      <c r="E2168" t="s">
        <v>6727</v>
      </c>
      <c r="F2168" t="s">
        <v>6728</v>
      </c>
      <c r="I2168" t="s">
        <v>29</v>
      </c>
      <c r="J2168" t="s">
        <v>30</v>
      </c>
      <c r="K2168" t="s">
        <v>6729</v>
      </c>
      <c r="M2168" t="s">
        <v>32</v>
      </c>
      <c r="N2168" t="str">
        <f>"1/14/2005 12:00:00 AM"</f>
        <v>1/14/2005 12:00:00 AM</v>
      </c>
      <c r="O2168" t="s">
        <v>6726</v>
      </c>
      <c r="T2168" t="s">
        <v>6727</v>
      </c>
    </row>
    <row r="2169" spans="1:20" x14ac:dyDescent="0.25">
      <c r="A2169" t="str">
        <f>"3060670"</f>
        <v>3060670</v>
      </c>
      <c r="B2169" t="s">
        <v>6730</v>
      </c>
      <c r="C2169" t="str">
        <f>"82524190"</f>
        <v>82524190</v>
      </c>
      <c r="D2169" t="s">
        <v>6731</v>
      </c>
      <c r="E2169" t="s">
        <v>6732</v>
      </c>
      <c r="F2169" t="s">
        <v>6733</v>
      </c>
      <c r="I2169" t="s">
        <v>2071</v>
      </c>
      <c r="J2169" t="s">
        <v>30</v>
      </c>
      <c r="K2169" t="s">
        <v>6459</v>
      </c>
      <c r="M2169" t="s">
        <v>32</v>
      </c>
      <c r="N2169" t="str">
        <f>"1/26/2007 12:00:00 AM"</f>
        <v>1/26/2007 12:00:00 AM</v>
      </c>
      <c r="O2169" t="s">
        <v>6731</v>
      </c>
      <c r="T2169" t="s">
        <v>6732</v>
      </c>
    </row>
    <row r="2170" spans="1:20" x14ac:dyDescent="0.25">
      <c r="A2170" t="str">
        <f>"3042253"</f>
        <v>3042253</v>
      </c>
      <c r="B2170" t="s">
        <v>6734</v>
      </c>
      <c r="C2170" t="str">
        <f>"37139000"</f>
        <v>37139000</v>
      </c>
      <c r="D2170" t="s">
        <v>6735</v>
      </c>
      <c r="F2170" t="s">
        <v>6736</v>
      </c>
      <c r="I2170" t="s">
        <v>29</v>
      </c>
      <c r="J2170" t="s">
        <v>30</v>
      </c>
      <c r="K2170" t="s">
        <v>6737</v>
      </c>
      <c r="M2170" t="s">
        <v>32</v>
      </c>
      <c r="N2170" t="str">
        <f>"2/7/2006 12:00:00 AM"</f>
        <v>2/7/2006 12:00:00 AM</v>
      </c>
      <c r="O2170" t="s">
        <v>6735</v>
      </c>
    </row>
    <row r="2171" spans="1:20" x14ac:dyDescent="0.25">
      <c r="A2171" t="str">
        <f>"3042012"</f>
        <v>3042012</v>
      </c>
      <c r="B2171" t="s">
        <v>6738</v>
      </c>
      <c r="C2171" t="str">
        <f>"82523802"</f>
        <v>82523802</v>
      </c>
      <c r="D2171" t="s">
        <v>6739</v>
      </c>
      <c r="F2171" t="s">
        <v>6740</v>
      </c>
      <c r="I2171" t="s">
        <v>29</v>
      </c>
      <c r="J2171" t="s">
        <v>30</v>
      </c>
      <c r="K2171" t="s">
        <v>31</v>
      </c>
      <c r="M2171" t="s">
        <v>32</v>
      </c>
      <c r="N2171" t="str">
        <f>"1/26/2005 12:00:00 AM"</f>
        <v>1/26/2005 12:00:00 AM</v>
      </c>
      <c r="O2171" t="s">
        <v>6739</v>
      </c>
    </row>
    <row r="2172" spans="1:20" x14ac:dyDescent="0.25">
      <c r="A2172" t="str">
        <f>"3042026"</f>
        <v>3042026</v>
      </c>
      <c r="B2172" t="s">
        <v>6741</v>
      </c>
      <c r="C2172" t="str">
        <f>"82523802"</f>
        <v>82523802</v>
      </c>
      <c r="D2172" t="s">
        <v>6739</v>
      </c>
      <c r="F2172" t="s">
        <v>6740</v>
      </c>
      <c r="I2172" t="s">
        <v>29</v>
      </c>
      <c r="J2172" t="s">
        <v>30</v>
      </c>
      <c r="K2172" t="s">
        <v>31</v>
      </c>
      <c r="M2172" t="s">
        <v>32</v>
      </c>
      <c r="N2172" t="str">
        <f>"1/26/2005 12:00:00 AM"</f>
        <v>1/26/2005 12:00:00 AM</v>
      </c>
      <c r="O2172" t="s">
        <v>6739</v>
      </c>
    </row>
    <row r="2173" spans="1:20" x14ac:dyDescent="0.25">
      <c r="A2173" t="str">
        <f>"3042975"</f>
        <v>3042975</v>
      </c>
      <c r="B2173" t="s">
        <v>6742</v>
      </c>
      <c r="C2173" t="str">
        <f>"82523802"</f>
        <v>82523802</v>
      </c>
      <c r="D2173" t="s">
        <v>6739</v>
      </c>
      <c r="F2173" t="s">
        <v>6740</v>
      </c>
      <c r="I2173" t="s">
        <v>29</v>
      </c>
      <c r="J2173" t="s">
        <v>30</v>
      </c>
      <c r="K2173" t="s">
        <v>31</v>
      </c>
      <c r="M2173" t="s">
        <v>32</v>
      </c>
      <c r="N2173" t="str">
        <f>"1/26/2005 12:00:00 AM"</f>
        <v>1/26/2005 12:00:00 AM</v>
      </c>
      <c r="O2173" t="s">
        <v>6739</v>
      </c>
    </row>
    <row r="2174" spans="1:20" x14ac:dyDescent="0.25">
      <c r="A2174" t="str">
        <f>"3042967"</f>
        <v>3042967</v>
      </c>
      <c r="B2174" t="s">
        <v>6743</v>
      </c>
      <c r="C2174" t="str">
        <f>"18496000"</f>
        <v>18496000</v>
      </c>
      <c r="D2174" t="s">
        <v>6744</v>
      </c>
      <c r="F2174" t="s">
        <v>6745</v>
      </c>
      <c r="I2174" t="s">
        <v>29</v>
      </c>
      <c r="J2174" t="s">
        <v>30</v>
      </c>
      <c r="K2174" t="s">
        <v>31</v>
      </c>
      <c r="M2174" t="s">
        <v>32</v>
      </c>
      <c r="N2174" t="str">
        <f>"5/20/2003 12:00:00 AM"</f>
        <v>5/20/2003 12:00:00 AM</v>
      </c>
      <c r="O2174" t="s">
        <v>6744</v>
      </c>
    </row>
    <row r="2175" spans="1:20" x14ac:dyDescent="0.25">
      <c r="A2175" t="str">
        <f>"3042891"</f>
        <v>3042891</v>
      </c>
      <c r="B2175" t="s">
        <v>6746</v>
      </c>
      <c r="C2175" t="str">
        <f>"18496000"</f>
        <v>18496000</v>
      </c>
      <c r="D2175" t="s">
        <v>6744</v>
      </c>
      <c r="F2175" t="s">
        <v>6745</v>
      </c>
      <c r="I2175" t="s">
        <v>29</v>
      </c>
      <c r="J2175" t="s">
        <v>30</v>
      </c>
      <c r="K2175" t="s">
        <v>31</v>
      </c>
      <c r="M2175" t="s">
        <v>32</v>
      </c>
      <c r="N2175" t="str">
        <f>"5/20/2003 12:00:00 AM"</f>
        <v>5/20/2003 12:00:00 AM</v>
      </c>
      <c r="O2175" t="s">
        <v>6744</v>
      </c>
    </row>
    <row r="2176" spans="1:20" x14ac:dyDescent="0.25">
      <c r="A2176" t="str">
        <f>"3042753"</f>
        <v>3042753</v>
      </c>
      <c r="B2176" t="s">
        <v>6747</v>
      </c>
      <c r="C2176" t="str">
        <f>"18421000"</f>
        <v>18421000</v>
      </c>
      <c r="D2176" t="s">
        <v>6748</v>
      </c>
      <c r="F2176" t="s">
        <v>6749</v>
      </c>
      <c r="I2176" t="s">
        <v>29</v>
      </c>
      <c r="J2176" t="s">
        <v>30</v>
      </c>
      <c r="K2176" t="s">
        <v>6750</v>
      </c>
      <c r="M2176" t="s">
        <v>32</v>
      </c>
      <c r="N2176" t="str">
        <f>"12/28/2007 12:00:00 AM"</f>
        <v>12/28/2007 12:00:00 AM</v>
      </c>
      <c r="O2176" t="s">
        <v>6748</v>
      </c>
    </row>
    <row r="2177" spans="1:20" x14ac:dyDescent="0.25">
      <c r="A2177" t="str">
        <f>"3042143"</f>
        <v>3042143</v>
      </c>
      <c r="B2177" t="s">
        <v>6751</v>
      </c>
      <c r="C2177" t="str">
        <f>"18421000"</f>
        <v>18421000</v>
      </c>
      <c r="D2177" t="s">
        <v>6748</v>
      </c>
      <c r="F2177" t="s">
        <v>6749</v>
      </c>
      <c r="I2177" t="s">
        <v>29</v>
      </c>
      <c r="J2177" t="s">
        <v>30</v>
      </c>
      <c r="K2177" t="s">
        <v>6750</v>
      </c>
      <c r="M2177" t="s">
        <v>32</v>
      </c>
      <c r="N2177" t="str">
        <f>"12/28/2007 12:00:00 AM"</f>
        <v>12/28/2007 12:00:00 AM</v>
      </c>
      <c r="O2177" t="s">
        <v>6748</v>
      </c>
    </row>
    <row r="2178" spans="1:20" x14ac:dyDescent="0.25">
      <c r="A2178" t="str">
        <f>"3042821"</f>
        <v>3042821</v>
      </c>
      <c r="B2178" t="s">
        <v>6752</v>
      </c>
      <c r="C2178" t="str">
        <f>"18564000"</f>
        <v>18564000</v>
      </c>
      <c r="D2178" t="s">
        <v>6753</v>
      </c>
      <c r="E2178" t="s">
        <v>6754</v>
      </c>
      <c r="F2178" t="s">
        <v>6755</v>
      </c>
      <c r="I2178" t="s">
        <v>29</v>
      </c>
      <c r="J2178" t="s">
        <v>30</v>
      </c>
      <c r="K2178" t="s">
        <v>31</v>
      </c>
      <c r="M2178" t="s">
        <v>32</v>
      </c>
      <c r="N2178" t="str">
        <f>"5/7/2002 12:00:00 AM"</f>
        <v>5/7/2002 12:00:00 AM</v>
      </c>
      <c r="O2178" t="s">
        <v>6753</v>
      </c>
      <c r="T2178" t="s">
        <v>6754</v>
      </c>
    </row>
    <row r="2179" spans="1:20" x14ac:dyDescent="0.25">
      <c r="A2179" t="str">
        <f>"3060622"</f>
        <v>3060622</v>
      </c>
      <c r="B2179" t="s">
        <v>6756</v>
      </c>
      <c r="C2179" t="str">
        <f>"54060000"</f>
        <v>54060000</v>
      </c>
      <c r="D2179" t="s">
        <v>6757</v>
      </c>
      <c r="E2179" t="s">
        <v>6758</v>
      </c>
      <c r="F2179" t="s">
        <v>6759</v>
      </c>
      <c r="I2179" t="s">
        <v>2071</v>
      </c>
      <c r="J2179" t="s">
        <v>30</v>
      </c>
      <c r="K2179" t="s">
        <v>6484</v>
      </c>
      <c r="M2179" t="s">
        <v>32</v>
      </c>
      <c r="N2179" t="str">
        <f>"8/16/2005 12:00:00 AM"</f>
        <v>8/16/2005 12:00:00 AM</v>
      </c>
      <c r="O2179" t="s">
        <v>6757</v>
      </c>
      <c r="T2179" t="s">
        <v>6758</v>
      </c>
    </row>
    <row r="2180" spans="1:20" x14ac:dyDescent="0.25">
      <c r="A2180" t="str">
        <f>"3060649"</f>
        <v>3060649</v>
      </c>
      <c r="B2180" t="s">
        <v>6760</v>
      </c>
      <c r="C2180" t="str">
        <f>"82521165"</f>
        <v>82521165</v>
      </c>
      <c r="D2180" t="s">
        <v>6761</v>
      </c>
      <c r="E2180" t="s">
        <v>6762</v>
      </c>
      <c r="F2180" t="s">
        <v>6763</v>
      </c>
      <c r="I2180" t="s">
        <v>2071</v>
      </c>
      <c r="J2180" t="s">
        <v>30</v>
      </c>
      <c r="K2180" t="s">
        <v>185</v>
      </c>
      <c r="M2180" t="s">
        <v>32</v>
      </c>
      <c r="N2180" t="str">
        <f>"7/16/2003 12:00:00 AM"</f>
        <v>7/16/2003 12:00:00 AM</v>
      </c>
      <c r="O2180" t="s">
        <v>6761</v>
      </c>
      <c r="T2180" t="s">
        <v>6762</v>
      </c>
    </row>
    <row r="2181" spans="1:20" x14ac:dyDescent="0.25">
      <c r="A2181" t="str">
        <f>"3042719"</f>
        <v>3042719</v>
      </c>
      <c r="B2181" t="s">
        <v>6764</v>
      </c>
      <c r="C2181" t="str">
        <f>"82515540"</f>
        <v>82515540</v>
      </c>
      <c r="D2181" t="s">
        <v>6765</v>
      </c>
      <c r="E2181" t="s">
        <v>6766</v>
      </c>
      <c r="F2181" t="s">
        <v>6767</v>
      </c>
      <c r="I2181" t="s">
        <v>29</v>
      </c>
      <c r="J2181" t="s">
        <v>30</v>
      </c>
      <c r="K2181" t="s">
        <v>31</v>
      </c>
      <c r="M2181" t="s">
        <v>32</v>
      </c>
      <c r="N2181" t="str">
        <f>"8/20/2004 12:00:00 AM"</f>
        <v>8/20/2004 12:00:00 AM</v>
      </c>
      <c r="O2181" t="s">
        <v>6765</v>
      </c>
      <c r="T2181" t="s">
        <v>6766</v>
      </c>
    </row>
    <row r="2182" spans="1:20" x14ac:dyDescent="0.25">
      <c r="A2182" t="str">
        <f>"3042720"</f>
        <v>3042720</v>
      </c>
      <c r="B2182" t="s">
        <v>6768</v>
      </c>
      <c r="C2182" t="str">
        <f>"82520996"</f>
        <v>82520996</v>
      </c>
      <c r="D2182" t="s">
        <v>6769</v>
      </c>
      <c r="E2182" t="s">
        <v>6770</v>
      </c>
      <c r="F2182" t="s">
        <v>6771</v>
      </c>
      <c r="I2182" t="s">
        <v>29</v>
      </c>
      <c r="J2182" t="s">
        <v>30</v>
      </c>
      <c r="K2182" t="s">
        <v>31</v>
      </c>
      <c r="M2182" t="s">
        <v>32</v>
      </c>
      <c r="N2182" t="str">
        <f>"2/3/2004 12:00:00 AM"</f>
        <v>2/3/2004 12:00:00 AM</v>
      </c>
      <c r="O2182" t="s">
        <v>6769</v>
      </c>
      <c r="T2182" t="s">
        <v>6770</v>
      </c>
    </row>
    <row r="2183" spans="1:20" x14ac:dyDescent="0.25">
      <c r="A2183" t="str">
        <f>"3060680"</f>
        <v>3060680</v>
      </c>
      <c r="B2183" t="s">
        <v>6772</v>
      </c>
      <c r="C2183" t="str">
        <f>"53835250"</f>
        <v>53835250</v>
      </c>
      <c r="D2183" t="s">
        <v>6773</v>
      </c>
      <c r="E2183" t="s">
        <v>6774</v>
      </c>
      <c r="F2183" t="s">
        <v>6775</v>
      </c>
      <c r="I2183" t="s">
        <v>2071</v>
      </c>
      <c r="J2183" t="s">
        <v>30</v>
      </c>
      <c r="K2183" t="s">
        <v>6776</v>
      </c>
      <c r="M2183" t="s">
        <v>32</v>
      </c>
      <c r="N2183" t="str">
        <f>"1/17/2006 12:00:00 AM"</f>
        <v>1/17/2006 12:00:00 AM</v>
      </c>
      <c r="O2183" t="s">
        <v>6773</v>
      </c>
      <c r="T2183" t="s">
        <v>6774</v>
      </c>
    </row>
    <row r="2184" spans="1:20" x14ac:dyDescent="0.25">
      <c r="A2184" t="str">
        <f>"3060681"</f>
        <v>3060681</v>
      </c>
      <c r="B2184" t="s">
        <v>6777</v>
      </c>
      <c r="C2184" t="str">
        <f>"75864000"</f>
        <v>75864000</v>
      </c>
      <c r="D2184" t="s">
        <v>6778</v>
      </c>
      <c r="E2184" t="s">
        <v>6779</v>
      </c>
      <c r="F2184" t="s">
        <v>6780</v>
      </c>
      <c r="I2184" t="s">
        <v>2071</v>
      </c>
      <c r="J2184" t="s">
        <v>30</v>
      </c>
      <c r="K2184" t="s">
        <v>6459</v>
      </c>
      <c r="M2184" t="s">
        <v>32</v>
      </c>
      <c r="N2184" t="str">
        <f>"8/31/2006 12:00:00 AM"</f>
        <v>8/31/2006 12:00:00 AM</v>
      </c>
      <c r="O2184" t="s">
        <v>6778</v>
      </c>
      <c r="T2184" t="s">
        <v>6779</v>
      </c>
    </row>
    <row r="2185" spans="1:20" x14ac:dyDescent="0.25">
      <c r="A2185" t="str">
        <f>"3060646"</f>
        <v>3060646</v>
      </c>
      <c r="B2185" t="s">
        <v>6781</v>
      </c>
      <c r="C2185" t="str">
        <f>"82528831"</f>
        <v>82528831</v>
      </c>
      <c r="D2185" t="s">
        <v>6782</v>
      </c>
      <c r="E2185" t="s">
        <v>6783</v>
      </c>
      <c r="F2185" t="s">
        <v>6784</v>
      </c>
      <c r="I2185" t="s">
        <v>2071</v>
      </c>
      <c r="J2185" t="s">
        <v>30</v>
      </c>
      <c r="K2185" t="s">
        <v>185</v>
      </c>
      <c r="M2185" t="s">
        <v>32</v>
      </c>
      <c r="N2185" t="str">
        <f>"2/4/2009 12:00:00 AM"</f>
        <v>2/4/2009 12:00:00 AM</v>
      </c>
      <c r="O2185" t="s">
        <v>6782</v>
      </c>
      <c r="T2185" t="s">
        <v>6783</v>
      </c>
    </row>
    <row r="2186" spans="1:20" x14ac:dyDescent="0.25">
      <c r="A2186" t="str">
        <f>"3045110"</f>
        <v>3045110</v>
      </c>
      <c r="B2186" t="s">
        <v>6785</v>
      </c>
      <c r="C2186" t="str">
        <f>"82526061"</f>
        <v>82526061</v>
      </c>
      <c r="D2186" t="s">
        <v>6786</v>
      </c>
      <c r="E2186" t="s">
        <v>6787</v>
      </c>
      <c r="F2186" t="s">
        <v>6788</v>
      </c>
      <c r="I2186" t="s">
        <v>1149</v>
      </c>
      <c r="J2186" t="s">
        <v>30</v>
      </c>
      <c r="K2186" t="s">
        <v>1150</v>
      </c>
      <c r="M2186" t="s">
        <v>32</v>
      </c>
      <c r="N2186" t="str">
        <f>"10/28/2011 12:00:00 AM"</f>
        <v>10/28/2011 12:00:00 AM</v>
      </c>
      <c r="O2186" t="s">
        <v>6786</v>
      </c>
      <c r="T2186" t="s">
        <v>6787</v>
      </c>
    </row>
    <row r="2187" spans="1:20" x14ac:dyDescent="0.25">
      <c r="A2187" t="str">
        <f>"3071582"</f>
        <v>3071582</v>
      </c>
      <c r="B2187" t="s">
        <v>6789</v>
      </c>
      <c r="C2187" t="str">
        <f>"82515890"</f>
        <v>82515890</v>
      </c>
      <c r="D2187" t="s">
        <v>6790</v>
      </c>
      <c r="E2187" t="s">
        <v>6791</v>
      </c>
      <c r="F2187" t="s">
        <v>6792</v>
      </c>
      <c r="I2187" t="s">
        <v>1149</v>
      </c>
      <c r="J2187" t="s">
        <v>30</v>
      </c>
      <c r="K2187" t="s">
        <v>1150</v>
      </c>
      <c r="M2187" t="s">
        <v>32</v>
      </c>
      <c r="N2187" t="str">
        <f>"11/28/2007 12:00:00 AM"</f>
        <v>11/28/2007 12:00:00 AM</v>
      </c>
      <c r="O2187" t="s">
        <v>6790</v>
      </c>
      <c r="T2187" t="s">
        <v>6791</v>
      </c>
    </row>
    <row r="2188" spans="1:20" x14ac:dyDescent="0.25">
      <c r="A2188" t="str">
        <f>"3045083"</f>
        <v>3045083</v>
      </c>
      <c r="B2188" t="s">
        <v>6793</v>
      </c>
      <c r="C2188" t="str">
        <f>"48408200"</f>
        <v>48408200</v>
      </c>
      <c r="D2188" t="s">
        <v>6526</v>
      </c>
      <c r="E2188" t="s">
        <v>6527</v>
      </c>
      <c r="F2188" t="s">
        <v>6528</v>
      </c>
      <c r="I2188" t="s">
        <v>1149</v>
      </c>
      <c r="J2188" t="s">
        <v>30</v>
      </c>
      <c r="K2188" t="s">
        <v>1150</v>
      </c>
      <c r="M2188" t="s">
        <v>32</v>
      </c>
      <c r="N2188" t="str">
        <f>"7/24/2002 12:00:00 AM"</f>
        <v>7/24/2002 12:00:00 AM</v>
      </c>
      <c r="O2188" t="s">
        <v>6526</v>
      </c>
      <c r="T2188" t="s">
        <v>6527</v>
      </c>
    </row>
    <row r="2189" spans="1:20" x14ac:dyDescent="0.25">
      <c r="A2189" t="str">
        <f>"3042991"</f>
        <v>3042991</v>
      </c>
      <c r="B2189" t="s">
        <v>6794</v>
      </c>
      <c r="C2189" t="str">
        <f>"82526110"</f>
        <v>82526110</v>
      </c>
      <c r="D2189" t="s">
        <v>6795</v>
      </c>
      <c r="E2189" t="s">
        <v>6796</v>
      </c>
      <c r="F2189" t="s">
        <v>6797</v>
      </c>
      <c r="I2189" t="s">
        <v>29</v>
      </c>
      <c r="J2189" t="s">
        <v>30</v>
      </c>
      <c r="K2189" t="s">
        <v>31</v>
      </c>
      <c r="M2189" t="s">
        <v>32</v>
      </c>
      <c r="N2189" t="str">
        <f>"2/14/2007 12:00:00 AM"</f>
        <v>2/14/2007 12:00:00 AM</v>
      </c>
      <c r="O2189" t="s">
        <v>6795</v>
      </c>
      <c r="T2189" t="s">
        <v>6796</v>
      </c>
    </row>
    <row r="2190" spans="1:20" x14ac:dyDescent="0.25">
      <c r="A2190" t="str">
        <f>"3042735"</f>
        <v>3042735</v>
      </c>
      <c r="B2190" t="s">
        <v>6798</v>
      </c>
      <c r="C2190" t="str">
        <f>"82518742"</f>
        <v>82518742</v>
      </c>
      <c r="D2190" t="s">
        <v>6799</v>
      </c>
      <c r="F2190" t="s">
        <v>6800</v>
      </c>
      <c r="I2190" t="s">
        <v>6801</v>
      </c>
      <c r="J2190" t="s">
        <v>30</v>
      </c>
      <c r="K2190" t="s">
        <v>6802</v>
      </c>
      <c r="M2190" t="s">
        <v>32</v>
      </c>
      <c r="N2190" t="str">
        <f>"6/16/2005 12:00:00 AM"</f>
        <v>6/16/2005 12:00:00 AM</v>
      </c>
      <c r="O2190" t="s">
        <v>6799</v>
      </c>
    </row>
    <row r="2191" spans="1:20" x14ac:dyDescent="0.25">
      <c r="A2191" t="str">
        <f>"3038778"</f>
        <v>3038778</v>
      </c>
      <c r="B2191" t="s">
        <v>6803</v>
      </c>
      <c r="C2191" t="str">
        <f>"75467000"</f>
        <v>75467000</v>
      </c>
      <c r="D2191" t="s">
        <v>6804</v>
      </c>
      <c r="E2191" t="s">
        <v>6805</v>
      </c>
      <c r="F2191" t="s">
        <v>6806</v>
      </c>
      <c r="I2191" t="s">
        <v>29</v>
      </c>
      <c r="J2191" t="s">
        <v>30</v>
      </c>
      <c r="K2191" t="s">
        <v>31</v>
      </c>
      <c r="M2191" t="s">
        <v>32</v>
      </c>
      <c r="N2191" t="str">
        <f>"7/25/2002 12:00:00 AM"</f>
        <v>7/25/2002 12:00:00 AM</v>
      </c>
      <c r="O2191" t="s">
        <v>6804</v>
      </c>
      <c r="T2191" t="s">
        <v>6805</v>
      </c>
    </row>
    <row r="2192" spans="1:20" x14ac:dyDescent="0.25">
      <c r="A2192" t="str">
        <f>"3038751"</f>
        <v>3038751</v>
      </c>
      <c r="B2192" t="s">
        <v>6807</v>
      </c>
      <c r="C2192" t="str">
        <f>"16691500"</f>
        <v>16691500</v>
      </c>
      <c r="D2192" t="s">
        <v>6808</v>
      </c>
      <c r="E2192" t="s">
        <v>6809</v>
      </c>
      <c r="F2192" t="s">
        <v>6810</v>
      </c>
      <c r="I2192" t="s">
        <v>29</v>
      </c>
      <c r="J2192" t="s">
        <v>30</v>
      </c>
      <c r="K2192" t="s">
        <v>31</v>
      </c>
      <c r="M2192" t="s">
        <v>32</v>
      </c>
      <c r="N2192" t="str">
        <f>"5/7/2002 12:00:00 AM"</f>
        <v>5/7/2002 12:00:00 AM</v>
      </c>
      <c r="O2192" t="s">
        <v>6808</v>
      </c>
      <c r="T2192" t="s">
        <v>6809</v>
      </c>
    </row>
    <row r="2193" spans="1:20" x14ac:dyDescent="0.25">
      <c r="A2193" t="str">
        <f>"3038876"</f>
        <v>3038876</v>
      </c>
      <c r="B2193" t="s">
        <v>6811</v>
      </c>
      <c r="C2193" t="str">
        <f>"42560850"</f>
        <v>42560850</v>
      </c>
      <c r="D2193" t="s">
        <v>6812</v>
      </c>
      <c r="E2193" t="s">
        <v>6813</v>
      </c>
      <c r="F2193" t="s">
        <v>6814</v>
      </c>
      <c r="I2193" t="s">
        <v>29</v>
      </c>
      <c r="J2193" t="s">
        <v>30</v>
      </c>
      <c r="K2193" t="s">
        <v>31</v>
      </c>
      <c r="M2193" t="s">
        <v>32</v>
      </c>
      <c r="N2193" t="str">
        <f>"6/28/2007 12:00:00 AM"</f>
        <v>6/28/2007 12:00:00 AM</v>
      </c>
      <c r="O2193" t="s">
        <v>6812</v>
      </c>
      <c r="T2193" t="s">
        <v>6813</v>
      </c>
    </row>
    <row r="2194" spans="1:20" x14ac:dyDescent="0.25">
      <c r="A2194" t="str">
        <f>"3038691"</f>
        <v>3038691</v>
      </c>
      <c r="B2194" t="s">
        <v>6815</v>
      </c>
      <c r="C2194" t="str">
        <f>"82518711"</f>
        <v>82518711</v>
      </c>
      <c r="D2194" t="s">
        <v>6816</v>
      </c>
      <c r="E2194" t="s">
        <v>6817</v>
      </c>
      <c r="F2194" t="s">
        <v>6818</v>
      </c>
      <c r="I2194" t="s">
        <v>29</v>
      </c>
      <c r="J2194" t="s">
        <v>30</v>
      </c>
      <c r="K2194" t="s">
        <v>31</v>
      </c>
      <c r="M2194" t="s">
        <v>32</v>
      </c>
      <c r="N2194" t="str">
        <f>"6/12/2002 12:00:00 AM"</f>
        <v>6/12/2002 12:00:00 AM</v>
      </c>
      <c r="O2194" t="s">
        <v>6816</v>
      </c>
      <c r="T2194" t="s">
        <v>6817</v>
      </c>
    </row>
    <row r="2195" spans="1:20" x14ac:dyDescent="0.25">
      <c r="A2195" t="str">
        <f>"3063642"</f>
        <v>3063642</v>
      </c>
      <c r="B2195" t="s">
        <v>6819</v>
      </c>
      <c r="C2195" t="str">
        <f>"82528784"</f>
        <v>82528784</v>
      </c>
      <c r="D2195" t="s">
        <v>6820</v>
      </c>
      <c r="F2195" t="s">
        <v>6821</v>
      </c>
      <c r="I2195" t="s">
        <v>29</v>
      </c>
      <c r="J2195" t="s">
        <v>30</v>
      </c>
      <c r="K2195" t="s">
        <v>31</v>
      </c>
      <c r="M2195" t="s">
        <v>32</v>
      </c>
      <c r="N2195" t="str">
        <f>"1/25/2008 12:00:00 AM"</f>
        <v>1/25/2008 12:00:00 AM</v>
      </c>
      <c r="O2195" t="s">
        <v>6820</v>
      </c>
    </row>
    <row r="2196" spans="1:20" x14ac:dyDescent="0.25">
      <c r="A2196" t="str">
        <f>"3039261"</f>
        <v>3039261</v>
      </c>
      <c r="B2196" t="s">
        <v>6822</v>
      </c>
      <c r="C2196" t="str">
        <f>"82526309"</f>
        <v>82526309</v>
      </c>
      <c r="D2196" t="s">
        <v>6823</v>
      </c>
      <c r="E2196" t="s">
        <v>6824</v>
      </c>
      <c r="F2196" t="s">
        <v>6825</v>
      </c>
      <c r="I2196" t="s">
        <v>29</v>
      </c>
      <c r="J2196" t="s">
        <v>30</v>
      </c>
      <c r="K2196" t="s">
        <v>31</v>
      </c>
      <c r="M2196" t="s">
        <v>32</v>
      </c>
      <c r="N2196" t="str">
        <f>"5/31/2006 12:00:00 AM"</f>
        <v>5/31/2006 12:00:00 AM</v>
      </c>
      <c r="O2196" t="s">
        <v>6823</v>
      </c>
      <c r="T2196" t="s">
        <v>6824</v>
      </c>
    </row>
    <row r="2197" spans="1:20" x14ac:dyDescent="0.25">
      <c r="A2197" t="str">
        <f>"3039095"</f>
        <v>3039095</v>
      </c>
      <c r="B2197" t="s">
        <v>6826</v>
      </c>
      <c r="C2197" t="str">
        <f>"82525002"</f>
        <v>82525002</v>
      </c>
      <c r="D2197" t="s">
        <v>6827</v>
      </c>
      <c r="E2197" t="s">
        <v>6828</v>
      </c>
      <c r="F2197" t="s">
        <v>6829</v>
      </c>
      <c r="I2197" t="s">
        <v>29</v>
      </c>
      <c r="J2197" t="s">
        <v>30</v>
      </c>
      <c r="K2197" t="s">
        <v>31</v>
      </c>
      <c r="M2197" t="s">
        <v>32</v>
      </c>
      <c r="N2197" t="str">
        <f>"5/31/2006 12:00:00 AM"</f>
        <v>5/31/2006 12:00:00 AM</v>
      </c>
      <c r="O2197" t="s">
        <v>6827</v>
      </c>
      <c r="T2197" t="s">
        <v>6828</v>
      </c>
    </row>
    <row r="2198" spans="1:20" x14ac:dyDescent="0.25">
      <c r="A2198" t="str">
        <f>"3045590"</f>
        <v>3045590</v>
      </c>
      <c r="B2198" t="s">
        <v>6830</v>
      </c>
      <c r="C2198" t="str">
        <f>"82529833"</f>
        <v>82529833</v>
      </c>
      <c r="D2198" t="s">
        <v>6831</v>
      </c>
      <c r="E2198" t="s">
        <v>6832</v>
      </c>
      <c r="F2198" t="s">
        <v>6833</v>
      </c>
      <c r="I2198" t="s">
        <v>1149</v>
      </c>
      <c r="J2198" t="s">
        <v>30</v>
      </c>
      <c r="K2198" t="s">
        <v>1150</v>
      </c>
      <c r="M2198" t="s">
        <v>32</v>
      </c>
      <c r="N2198" t="str">
        <f>"7/10/2008 12:00:00 AM"</f>
        <v>7/10/2008 12:00:00 AM</v>
      </c>
      <c r="O2198" t="s">
        <v>6831</v>
      </c>
      <c r="T2198" t="s">
        <v>6832</v>
      </c>
    </row>
    <row r="2199" spans="1:20" x14ac:dyDescent="0.25">
      <c r="A2199" t="str">
        <f>"3038296"</f>
        <v>3038296</v>
      </c>
      <c r="B2199" t="s">
        <v>6834</v>
      </c>
      <c r="C2199" t="str">
        <f>"82528808"</f>
        <v>82528808</v>
      </c>
      <c r="D2199" t="s">
        <v>6835</v>
      </c>
      <c r="E2199" t="s">
        <v>6836</v>
      </c>
      <c r="F2199" t="s">
        <v>6837</v>
      </c>
      <c r="I2199" t="s">
        <v>163</v>
      </c>
      <c r="J2199" t="s">
        <v>30</v>
      </c>
      <c r="K2199" t="s">
        <v>2356</v>
      </c>
      <c r="M2199" t="s">
        <v>32</v>
      </c>
      <c r="N2199" t="str">
        <f>"11/7/2007 12:00:00 AM"</f>
        <v>11/7/2007 12:00:00 AM</v>
      </c>
      <c r="O2199" t="s">
        <v>6835</v>
      </c>
      <c r="T2199" t="s">
        <v>6836</v>
      </c>
    </row>
    <row r="2200" spans="1:20" x14ac:dyDescent="0.25">
      <c r="A2200" t="str">
        <f>"3037817"</f>
        <v>3037817</v>
      </c>
      <c r="B2200" t="s">
        <v>6838</v>
      </c>
      <c r="C2200" t="str">
        <f>"82525631"</f>
        <v>82525631</v>
      </c>
      <c r="D2200" t="s">
        <v>6839</v>
      </c>
      <c r="F2200" t="s">
        <v>6840</v>
      </c>
      <c r="I2200" t="s">
        <v>6841</v>
      </c>
      <c r="J2200" t="s">
        <v>30</v>
      </c>
      <c r="K2200" t="s">
        <v>6842</v>
      </c>
      <c r="M2200" t="s">
        <v>32</v>
      </c>
      <c r="N2200" t="str">
        <f>"1/27/2006 12:00:00 AM"</f>
        <v>1/27/2006 12:00:00 AM</v>
      </c>
      <c r="O2200" t="s">
        <v>6839</v>
      </c>
    </row>
    <row r="2201" spans="1:20" x14ac:dyDescent="0.25">
      <c r="A2201" t="str">
        <f>"3069057"</f>
        <v>3069057</v>
      </c>
      <c r="B2201" t="s">
        <v>6843</v>
      </c>
      <c r="C2201" t="str">
        <f>"29076750"</f>
        <v>29076750</v>
      </c>
      <c r="D2201" t="s">
        <v>6844</v>
      </c>
      <c r="E2201" t="s">
        <v>6845</v>
      </c>
      <c r="F2201" t="s">
        <v>6846</v>
      </c>
      <c r="I2201" t="s">
        <v>29</v>
      </c>
      <c r="J2201" t="s">
        <v>30</v>
      </c>
      <c r="K2201" t="s">
        <v>31</v>
      </c>
      <c r="M2201" t="s">
        <v>32</v>
      </c>
      <c r="N2201" t="str">
        <f>"7/24/2009 12:00:00 AM"</f>
        <v>7/24/2009 12:00:00 AM</v>
      </c>
      <c r="O2201" t="s">
        <v>6844</v>
      </c>
      <c r="T2201" t="s">
        <v>6845</v>
      </c>
    </row>
    <row r="2202" spans="1:20" x14ac:dyDescent="0.25">
      <c r="A2202" t="str">
        <f>"3076980"</f>
        <v>3076980</v>
      </c>
      <c r="B2202" t="s">
        <v>6847</v>
      </c>
      <c r="C2202" t="str">
        <f>"57605620"</f>
        <v>57605620</v>
      </c>
      <c r="D2202" t="s">
        <v>6848</v>
      </c>
      <c r="E2202" t="s">
        <v>6849</v>
      </c>
      <c r="F2202" t="s">
        <v>6850</v>
      </c>
      <c r="I2202" t="s">
        <v>1149</v>
      </c>
      <c r="J2202" t="s">
        <v>30</v>
      </c>
      <c r="K2202" t="s">
        <v>6851</v>
      </c>
      <c r="M2202" t="s">
        <v>32</v>
      </c>
      <c r="N2202" t="str">
        <f>"2/1/2006 12:00:00 AM"</f>
        <v>2/1/2006 12:00:00 AM</v>
      </c>
      <c r="O2202" t="s">
        <v>6848</v>
      </c>
      <c r="T2202" t="s">
        <v>6849</v>
      </c>
    </row>
    <row r="2203" spans="1:20" x14ac:dyDescent="0.25">
      <c r="A2203" t="str">
        <f>"3068839"</f>
        <v>3068839</v>
      </c>
      <c r="B2203" t="s">
        <v>6852</v>
      </c>
      <c r="C2203" t="str">
        <f>"57605620"</f>
        <v>57605620</v>
      </c>
      <c r="D2203" t="s">
        <v>6848</v>
      </c>
      <c r="E2203" t="s">
        <v>6849</v>
      </c>
      <c r="F2203" t="s">
        <v>6850</v>
      </c>
      <c r="I2203" t="s">
        <v>1149</v>
      </c>
      <c r="J2203" t="s">
        <v>30</v>
      </c>
      <c r="K2203" t="s">
        <v>6851</v>
      </c>
      <c r="M2203" t="s">
        <v>32</v>
      </c>
      <c r="N2203" t="str">
        <f>"2/1/2006 12:00:00 AM"</f>
        <v>2/1/2006 12:00:00 AM</v>
      </c>
      <c r="O2203" t="s">
        <v>6848</v>
      </c>
      <c r="T2203" t="s">
        <v>6849</v>
      </c>
    </row>
    <row r="2204" spans="1:20" x14ac:dyDescent="0.25">
      <c r="A2204" t="str">
        <f>"3045219"</f>
        <v>3045219</v>
      </c>
      <c r="B2204" t="s">
        <v>6853</v>
      </c>
      <c r="C2204" t="str">
        <f>"57605620"</f>
        <v>57605620</v>
      </c>
      <c r="D2204" t="s">
        <v>6848</v>
      </c>
      <c r="E2204" t="s">
        <v>6849</v>
      </c>
      <c r="F2204" t="s">
        <v>6850</v>
      </c>
      <c r="I2204" t="s">
        <v>1149</v>
      </c>
      <c r="J2204" t="s">
        <v>30</v>
      </c>
      <c r="K2204" t="s">
        <v>6851</v>
      </c>
      <c r="M2204" t="s">
        <v>32</v>
      </c>
      <c r="N2204" t="str">
        <f>"2/1/2006 12:00:00 AM"</f>
        <v>2/1/2006 12:00:00 AM</v>
      </c>
      <c r="O2204" t="s">
        <v>6848</v>
      </c>
      <c r="T2204" t="s">
        <v>6849</v>
      </c>
    </row>
    <row r="2205" spans="1:20" x14ac:dyDescent="0.25">
      <c r="A2205" t="str">
        <f>"3045635"</f>
        <v>3045635</v>
      </c>
      <c r="B2205" t="s">
        <v>6854</v>
      </c>
      <c r="C2205" t="str">
        <f>"82524516"</f>
        <v>82524516</v>
      </c>
      <c r="D2205" t="s">
        <v>6855</v>
      </c>
      <c r="E2205" t="s">
        <v>6856</v>
      </c>
      <c r="F2205" t="s">
        <v>6857</v>
      </c>
      <c r="I2205" t="s">
        <v>1149</v>
      </c>
      <c r="J2205" t="s">
        <v>30</v>
      </c>
      <c r="K2205" t="s">
        <v>1150</v>
      </c>
      <c r="M2205" t="s">
        <v>32</v>
      </c>
      <c r="N2205" t="str">
        <f>"6/6/2005 12:00:00 AM"</f>
        <v>6/6/2005 12:00:00 AM</v>
      </c>
      <c r="O2205" t="s">
        <v>6855</v>
      </c>
      <c r="T2205" t="s">
        <v>6856</v>
      </c>
    </row>
    <row r="2206" spans="1:20" x14ac:dyDescent="0.25">
      <c r="A2206" t="str">
        <f>"3045390"</f>
        <v>3045390</v>
      </c>
      <c r="B2206" t="s">
        <v>6858</v>
      </c>
      <c r="C2206" t="str">
        <f>"82528721"</f>
        <v>82528721</v>
      </c>
      <c r="D2206" t="s">
        <v>6859</v>
      </c>
      <c r="F2206" t="s">
        <v>6860</v>
      </c>
      <c r="I2206" t="s">
        <v>6861</v>
      </c>
      <c r="J2206" t="s">
        <v>3737</v>
      </c>
      <c r="K2206" t="s">
        <v>6862</v>
      </c>
      <c r="M2206" t="s">
        <v>32</v>
      </c>
      <c r="N2206" t="str">
        <f>"1/15/2009 12:00:00 AM"</f>
        <v>1/15/2009 12:00:00 AM</v>
      </c>
      <c r="O2206" t="s">
        <v>6859</v>
      </c>
    </row>
    <row r="2207" spans="1:20" x14ac:dyDescent="0.25">
      <c r="A2207" t="str">
        <f>"3077636"</f>
        <v>3077636</v>
      </c>
      <c r="B2207" t="s">
        <v>6863</v>
      </c>
      <c r="C2207" t="str">
        <f>"41920000"</f>
        <v>41920000</v>
      </c>
      <c r="D2207" t="s">
        <v>6864</v>
      </c>
      <c r="E2207" t="s">
        <v>6865</v>
      </c>
      <c r="F2207" t="s">
        <v>6866</v>
      </c>
      <c r="I2207" t="s">
        <v>29</v>
      </c>
      <c r="J2207" t="s">
        <v>30</v>
      </c>
      <c r="K2207" t="s">
        <v>6867</v>
      </c>
      <c r="M2207" t="s">
        <v>32</v>
      </c>
      <c r="N2207" t="str">
        <f>"12/8/2005 12:00:00 AM"</f>
        <v>12/8/2005 12:00:00 AM</v>
      </c>
      <c r="O2207" t="s">
        <v>6864</v>
      </c>
      <c r="T2207" t="s">
        <v>6865</v>
      </c>
    </row>
    <row r="2208" spans="1:20" x14ac:dyDescent="0.25">
      <c r="A2208" t="str">
        <f>"3042989"</f>
        <v>3042989</v>
      </c>
      <c r="B2208" t="s">
        <v>6868</v>
      </c>
      <c r="C2208" t="str">
        <f>"52396000"</f>
        <v>52396000</v>
      </c>
      <c r="D2208" t="s">
        <v>6869</v>
      </c>
      <c r="E2208" t="s">
        <v>6870</v>
      </c>
      <c r="F2208" t="s">
        <v>6871</v>
      </c>
      <c r="I2208" t="s">
        <v>29</v>
      </c>
      <c r="J2208" t="s">
        <v>30</v>
      </c>
      <c r="K2208" t="s">
        <v>31</v>
      </c>
      <c r="M2208" t="s">
        <v>32</v>
      </c>
      <c r="N2208" t="str">
        <f>"3/10/2004 12:00:00 AM"</f>
        <v>3/10/2004 12:00:00 AM</v>
      </c>
      <c r="O2208" t="s">
        <v>6869</v>
      </c>
      <c r="T2208" t="s">
        <v>6870</v>
      </c>
    </row>
    <row r="2209" spans="1:20" x14ac:dyDescent="0.25">
      <c r="A2209" t="str">
        <f>"3042637"</f>
        <v>3042637</v>
      </c>
      <c r="B2209" t="s">
        <v>6872</v>
      </c>
      <c r="C2209" t="str">
        <f>"55230750"</f>
        <v>55230750</v>
      </c>
      <c r="D2209" t="s">
        <v>6873</v>
      </c>
      <c r="F2209" t="s">
        <v>6874</v>
      </c>
      <c r="I2209" t="s">
        <v>29</v>
      </c>
      <c r="J2209" t="s">
        <v>30</v>
      </c>
      <c r="K2209" t="s">
        <v>31</v>
      </c>
      <c r="M2209" t="s">
        <v>32</v>
      </c>
      <c r="N2209" t="str">
        <f>"3/25/2004 12:00:00 AM"</f>
        <v>3/25/2004 12:00:00 AM</v>
      </c>
      <c r="O2209" t="s">
        <v>6873</v>
      </c>
    </row>
    <row r="2210" spans="1:20" x14ac:dyDescent="0.25">
      <c r="A2210" t="str">
        <f>"3042197"</f>
        <v>3042197</v>
      </c>
      <c r="B2210" t="s">
        <v>6875</v>
      </c>
      <c r="C2210" t="str">
        <f>"59184000"</f>
        <v>59184000</v>
      </c>
      <c r="D2210" t="s">
        <v>6876</v>
      </c>
      <c r="E2210" t="s">
        <v>6877</v>
      </c>
      <c r="F2210" t="s">
        <v>6878</v>
      </c>
      <c r="I2210" t="s">
        <v>29</v>
      </c>
      <c r="J2210" t="s">
        <v>30</v>
      </c>
      <c r="K2210" t="s">
        <v>31</v>
      </c>
      <c r="M2210" t="s">
        <v>32</v>
      </c>
      <c r="N2210" t="str">
        <f>"4/7/2004 12:00:00 AM"</f>
        <v>4/7/2004 12:00:00 AM</v>
      </c>
      <c r="O2210" t="s">
        <v>6876</v>
      </c>
      <c r="T2210" t="s">
        <v>6877</v>
      </c>
    </row>
    <row r="2211" spans="1:20" x14ac:dyDescent="0.25">
      <c r="A2211" t="str">
        <f>"3069326"</f>
        <v>3069326</v>
      </c>
      <c r="B2211" t="s">
        <v>6879</v>
      </c>
      <c r="C2211" t="str">
        <f>"82517433"</f>
        <v>82517433</v>
      </c>
      <c r="D2211" t="s">
        <v>6880</v>
      </c>
      <c r="E2211" t="s">
        <v>6881</v>
      </c>
      <c r="F2211" t="s">
        <v>6882</v>
      </c>
      <c r="I2211" t="s">
        <v>29</v>
      </c>
      <c r="J2211" t="s">
        <v>30</v>
      </c>
      <c r="K2211" t="s">
        <v>6883</v>
      </c>
      <c r="M2211" t="s">
        <v>32</v>
      </c>
      <c r="N2211" t="str">
        <f>"1/9/2003 12:00:00 AM"</f>
        <v>1/9/2003 12:00:00 AM</v>
      </c>
      <c r="O2211" t="s">
        <v>6880</v>
      </c>
      <c r="T2211" t="s">
        <v>6881</v>
      </c>
    </row>
    <row r="2212" spans="1:20" x14ac:dyDescent="0.25">
      <c r="A2212" t="str">
        <f>"3063788"</f>
        <v>3063788</v>
      </c>
      <c r="B2212" t="s">
        <v>6884</v>
      </c>
      <c r="C2212" t="str">
        <f>"82517433"</f>
        <v>82517433</v>
      </c>
      <c r="D2212" t="s">
        <v>6880</v>
      </c>
      <c r="E2212" t="s">
        <v>6881</v>
      </c>
      <c r="F2212" t="s">
        <v>6882</v>
      </c>
      <c r="I2212" t="s">
        <v>29</v>
      </c>
      <c r="J2212" t="s">
        <v>30</v>
      </c>
      <c r="K2212" t="s">
        <v>6883</v>
      </c>
      <c r="M2212" t="s">
        <v>32</v>
      </c>
      <c r="N2212" t="str">
        <f>"1/9/2003 12:00:00 AM"</f>
        <v>1/9/2003 12:00:00 AM</v>
      </c>
      <c r="O2212" t="s">
        <v>6880</v>
      </c>
      <c r="T2212" t="s">
        <v>6881</v>
      </c>
    </row>
    <row r="2213" spans="1:20" x14ac:dyDescent="0.25">
      <c r="A2213" t="str">
        <f>"3069412"</f>
        <v>3069412</v>
      </c>
      <c r="B2213" t="s">
        <v>6885</v>
      </c>
      <c r="C2213" t="str">
        <f>"38643620"</f>
        <v>38643620</v>
      </c>
      <c r="D2213" t="s">
        <v>6886</v>
      </c>
      <c r="F2213" t="s">
        <v>6887</v>
      </c>
      <c r="I2213" t="s">
        <v>29</v>
      </c>
      <c r="J2213" t="s">
        <v>30</v>
      </c>
      <c r="K2213" t="s">
        <v>31</v>
      </c>
      <c r="M2213" t="s">
        <v>32</v>
      </c>
      <c r="N2213" t="str">
        <f>"5/6/2002 12:00:00 AM"</f>
        <v>5/6/2002 12:00:00 AM</v>
      </c>
      <c r="O2213" t="s">
        <v>6886</v>
      </c>
    </row>
    <row r="2214" spans="1:20" x14ac:dyDescent="0.25">
      <c r="A2214" t="str">
        <f>"3041960"</f>
        <v>3041960</v>
      </c>
      <c r="B2214" t="s">
        <v>6888</v>
      </c>
      <c r="C2214" t="str">
        <f>"45589500"</f>
        <v>45589500</v>
      </c>
      <c r="D2214" t="s">
        <v>6889</v>
      </c>
      <c r="F2214" t="s">
        <v>6890</v>
      </c>
      <c r="I2214" t="s">
        <v>471</v>
      </c>
      <c r="J2214" t="s">
        <v>30</v>
      </c>
      <c r="K2214" t="s">
        <v>3169</v>
      </c>
      <c r="M2214" t="s">
        <v>32</v>
      </c>
      <c r="N2214" t="str">
        <f>"12/15/2003 12:00:00 AM"</f>
        <v>12/15/2003 12:00:00 AM</v>
      </c>
      <c r="O2214" t="s">
        <v>6889</v>
      </c>
    </row>
    <row r="2215" spans="1:20" x14ac:dyDescent="0.25">
      <c r="A2215" t="str">
        <f>"3063781"</f>
        <v>3063781</v>
      </c>
      <c r="B2215" t="s">
        <v>6891</v>
      </c>
      <c r="C2215" t="str">
        <f>"82521555"</f>
        <v>82521555</v>
      </c>
      <c r="D2215" t="s">
        <v>6892</v>
      </c>
      <c r="E2215" t="s">
        <v>6893</v>
      </c>
      <c r="F2215" t="s">
        <v>6894</v>
      </c>
      <c r="I2215" t="s">
        <v>29</v>
      </c>
      <c r="J2215" t="s">
        <v>30</v>
      </c>
      <c r="K2215" t="s">
        <v>6895</v>
      </c>
      <c r="M2215" t="s">
        <v>32</v>
      </c>
      <c r="N2215" t="str">
        <f>"1/2/2009 12:00:00 AM"</f>
        <v>1/2/2009 12:00:00 AM</v>
      </c>
      <c r="O2215" t="s">
        <v>6892</v>
      </c>
      <c r="T2215" t="s">
        <v>6893</v>
      </c>
    </row>
    <row r="2216" spans="1:20" x14ac:dyDescent="0.25">
      <c r="A2216" t="str">
        <f>"3075411"</f>
        <v>3075411</v>
      </c>
      <c r="B2216" t="s">
        <v>6896</v>
      </c>
      <c r="C2216" t="str">
        <f>"82516938"</f>
        <v>82516938</v>
      </c>
      <c r="D2216" t="s">
        <v>6897</v>
      </c>
      <c r="E2216" t="s">
        <v>6898</v>
      </c>
      <c r="F2216" t="s">
        <v>6899</v>
      </c>
      <c r="I2216" t="s">
        <v>29</v>
      </c>
      <c r="J2216" t="s">
        <v>30</v>
      </c>
      <c r="K2216" t="s">
        <v>6895</v>
      </c>
      <c r="M2216" t="s">
        <v>32</v>
      </c>
      <c r="N2216" t="str">
        <f>"5/7/2002 12:00:00 AM"</f>
        <v>5/7/2002 12:00:00 AM</v>
      </c>
      <c r="O2216" t="s">
        <v>6897</v>
      </c>
      <c r="T2216" t="s">
        <v>6898</v>
      </c>
    </row>
    <row r="2217" spans="1:20" x14ac:dyDescent="0.25">
      <c r="A2217" t="str">
        <f>"3045278"</f>
        <v>3045278</v>
      </c>
      <c r="B2217" t="s">
        <v>6900</v>
      </c>
      <c r="C2217" t="str">
        <f>"15500000"</f>
        <v>15500000</v>
      </c>
      <c r="D2217" t="s">
        <v>6901</v>
      </c>
      <c r="E2217" t="s">
        <v>6902</v>
      </c>
      <c r="F2217" t="s">
        <v>6903</v>
      </c>
      <c r="I2217" t="s">
        <v>29</v>
      </c>
      <c r="J2217" t="s">
        <v>30</v>
      </c>
      <c r="K2217" t="s">
        <v>31</v>
      </c>
      <c r="M2217" t="s">
        <v>32</v>
      </c>
      <c r="N2217" t="str">
        <f>"6/26/2003 12:00:00 AM"</f>
        <v>6/26/2003 12:00:00 AM</v>
      </c>
      <c r="O2217" t="s">
        <v>6901</v>
      </c>
      <c r="T2217" t="s">
        <v>6902</v>
      </c>
    </row>
    <row r="2218" spans="1:20" x14ac:dyDescent="0.25">
      <c r="A2218" t="str">
        <f>"3042759"</f>
        <v>3042759</v>
      </c>
      <c r="B2218" t="s">
        <v>6904</v>
      </c>
      <c r="C2218" t="str">
        <f>"29424000"</f>
        <v>29424000</v>
      </c>
      <c r="D2218" t="s">
        <v>6905</v>
      </c>
      <c r="F2218" t="s">
        <v>6906</v>
      </c>
      <c r="I2218" t="s">
        <v>29</v>
      </c>
      <c r="J2218" t="s">
        <v>30</v>
      </c>
      <c r="K2218" t="s">
        <v>6907</v>
      </c>
      <c r="M2218" t="s">
        <v>32</v>
      </c>
      <c r="N2218" t="str">
        <f>"2/9/2005 12:00:00 AM"</f>
        <v>2/9/2005 12:00:00 AM</v>
      </c>
      <c r="O2218" t="s">
        <v>6905</v>
      </c>
      <c r="T2218" t="s">
        <v>6905</v>
      </c>
    </row>
    <row r="2219" spans="1:20" x14ac:dyDescent="0.25">
      <c r="A2219" t="str">
        <f>"3060627"</f>
        <v>3060627</v>
      </c>
      <c r="B2219" t="s">
        <v>6908</v>
      </c>
      <c r="C2219" t="str">
        <f>"82526228"</f>
        <v>82526228</v>
      </c>
      <c r="D2219" t="s">
        <v>6909</v>
      </c>
      <c r="F2219" t="s">
        <v>6910</v>
      </c>
      <c r="I2219" t="s">
        <v>2071</v>
      </c>
      <c r="J2219" t="s">
        <v>30</v>
      </c>
      <c r="K2219" t="s">
        <v>185</v>
      </c>
      <c r="M2219" t="s">
        <v>32</v>
      </c>
      <c r="N2219" t="str">
        <f>"2/15/2007 12:00:00 AM"</f>
        <v>2/15/2007 12:00:00 AM</v>
      </c>
      <c r="O2219" t="s">
        <v>6909</v>
      </c>
    </row>
    <row r="2220" spans="1:20" x14ac:dyDescent="0.25">
      <c r="A2220" t="str">
        <f>"3045827"</f>
        <v>3045827</v>
      </c>
      <c r="B2220" t="s">
        <v>6911</v>
      </c>
      <c r="C2220" t="str">
        <f>"82516344"</f>
        <v>82516344</v>
      </c>
      <c r="D2220" t="s">
        <v>6912</v>
      </c>
      <c r="E2220" t="s">
        <v>6913</v>
      </c>
      <c r="F2220" t="s">
        <v>6914</v>
      </c>
      <c r="I2220" t="s">
        <v>29</v>
      </c>
      <c r="J2220" t="s">
        <v>30</v>
      </c>
      <c r="K2220" t="s">
        <v>31</v>
      </c>
      <c r="M2220" t="s">
        <v>32</v>
      </c>
      <c r="N2220" t="str">
        <f>"4/22/2003 12:00:00 AM"</f>
        <v>4/22/2003 12:00:00 AM</v>
      </c>
      <c r="O2220" t="s">
        <v>6912</v>
      </c>
      <c r="T2220" t="s">
        <v>6913</v>
      </c>
    </row>
    <row r="2221" spans="1:20" x14ac:dyDescent="0.25">
      <c r="A2221" t="str">
        <f>"3045793"</f>
        <v>3045793</v>
      </c>
      <c r="B2221" t="s">
        <v>6915</v>
      </c>
      <c r="C2221" t="str">
        <f>"82524508"</f>
        <v>82524508</v>
      </c>
      <c r="D2221" t="s">
        <v>6916</v>
      </c>
      <c r="F2221" t="s">
        <v>6917</v>
      </c>
      <c r="I2221" t="s">
        <v>29</v>
      </c>
      <c r="J2221" t="s">
        <v>30</v>
      </c>
      <c r="K2221" t="s">
        <v>31</v>
      </c>
      <c r="M2221" t="s">
        <v>32</v>
      </c>
      <c r="N2221" t="str">
        <f>"11/7/2006 12:00:00 AM"</f>
        <v>11/7/2006 12:00:00 AM</v>
      </c>
      <c r="O2221" t="s">
        <v>6916</v>
      </c>
    </row>
    <row r="2222" spans="1:20" x14ac:dyDescent="0.25">
      <c r="A2222" t="str">
        <f>"3060628"</f>
        <v>3060628</v>
      </c>
      <c r="B2222" t="s">
        <v>6918</v>
      </c>
      <c r="C2222" t="str">
        <f>"82525505"</f>
        <v>82525505</v>
      </c>
      <c r="D2222" t="s">
        <v>6919</v>
      </c>
      <c r="E2222" t="s">
        <v>6920</v>
      </c>
      <c r="F2222" t="s">
        <v>6921</v>
      </c>
      <c r="I2222" t="s">
        <v>2071</v>
      </c>
      <c r="J2222" t="s">
        <v>30</v>
      </c>
      <c r="K2222" t="s">
        <v>6459</v>
      </c>
      <c r="M2222" t="s">
        <v>32</v>
      </c>
      <c r="N2222" t="str">
        <f>"2/14/2007 12:00:00 AM"</f>
        <v>2/14/2007 12:00:00 AM</v>
      </c>
      <c r="O2222" t="s">
        <v>6919</v>
      </c>
      <c r="T2222" t="s">
        <v>6920</v>
      </c>
    </row>
    <row r="2223" spans="1:20" x14ac:dyDescent="0.25">
      <c r="A2223" t="str">
        <f>"3042749"</f>
        <v>3042749</v>
      </c>
      <c r="B2223" t="s">
        <v>6922</v>
      </c>
      <c r="C2223" t="str">
        <f>"6930000"</f>
        <v>6930000</v>
      </c>
      <c r="D2223" t="s">
        <v>6923</v>
      </c>
      <c r="F2223" t="s">
        <v>6924</v>
      </c>
      <c r="I2223" t="s">
        <v>29</v>
      </c>
      <c r="J2223" t="s">
        <v>30</v>
      </c>
      <c r="K2223" t="s">
        <v>31</v>
      </c>
      <c r="M2223" t="s">
        <v>32</v>
      </c>
      <c r="N2223" t="str">
        <f>"5/27/2003 12:00:00 AM"</f>
        <v>5/27/2003 12:00:00 AM</v>
      </c>
      <c r="O2223" t="s">
        <v>6923</v>
      </c>
    </row>
    <row r="2224" spans="1:20" x14ac:dyDescent="0.25">
      <c r="A2224" t="str">
        <f>"3042968"</f>
        <v>3042968</v>
      </c>
      <c r="B2224" t="s">
        <v>6925</v>
      </c>
      <c r="C2224" t="str">
        <f>"61032000"</f>
        <v>61032000</v>
      </c>
      <c r="D2224" t="s">
        <v>4195</v>
      </c>
      <c r="E2224" t="s">
        <v>6926</v>
      </c>
      <c r="F2224" t="s">
        <v>4196</v>
      </c>
      <c r="I2224" t="s">
        <v>29</v>
      </c>
      <c r="J2224" t="s">
        <v>30</v>
      </c>
      <c r="K2224" t="s">
        <v>6927</v>
      </c>
      <c r="M2224" t="s">
        <v>32</v>
      </c>
      <c r="N2224" t="str">
        <f>"1/26/2010 12:00:00 AM"</f>
        <v>1/26/2010 12:00:00 AM</v>
      </c>
      <c r="O2224" t="s">
        <v>4195</v>
      </c>
      <c r="T2224" t="s">
        <v>6926</v>
      </c>
    </row>
    <row r="2225" spans="1:20" x14ac:dyDescent="0.25">
      <c r="A2225" t="str">
        <f>"3037838"</f>
        <v>3037838</v>
      </c>
      <c r="B2225" t="s">
        <v>6928</v>
      </c>
      <c r="C2225" t="str">
        <f>"4524000"</f>
        <v>4524000</v>
      </c>
      <c r="D2225" t="s">
        <v>6929</v>
      </c>
      <c r="E2225" t="s">
        <v>6930</v>
      </c>
      <c r="F2225" t="s">
        <v>6931</v>
      </c>
      <c r="I2225" t="s">
        <v>29</v>
      </c>
      <c r="J2225" t="s">
        <v>30</v>
      </c>
      <c r="K2225" t="s">
        <v>6932</v>
      </c>
      <c r="M2225" t="s">
        <v>32</v>
      </c>
      <c r="N2225" t="str">
        <f>"1/27/2005 12:00:00 AM"</f>
        <v>1/27/2005 12:00:00 AM</v>
      </c>
      <c r="O2225" t="s">
        <v>6929</v>
      </c>
      <c r="T2225" t="s">
        <v>6930</v>
      </c>
    </row>
    <row r="2226" spans="1:20" x14ac:dyDescent="0.25">
      <c r="A2226" t="str">
        <f>"3037939"</f>
        <v>3037939</v>
      </c>
      <c r="B2226" t="s">
        <v>6933</v>
      </c>
      <c r="C2226" t="str">
        <f>"82526399"</f>
        <v>82526399</v>
      </c>
      <c r="D2226" t="s">
        <v>6934</v>
      </c>
      <c r="E2226" t="s">
        <v>6929</v>
      </c>
      <c r="F2226" t="s">
        <v>6931</v>
      </c>
      <c r="I2226" t="s">
        <v>29</v>
      </c>
      <c r="J2226" t="s">
        <v>30</v>
      </c>
      <c r="K2226" t="s">
        <v>31</v>
      </c>
      <c r="M2226" t="s">
        <v>32</v>
      </c>
      <c r="N2226" t="str">
        <f>"1/28/2009 12:00:00 AM"</f>
        <v>1/28/2009 12:00:00 AM</v>
      </c>
      <c r="O2226" t="s">
        <v>6934</v>
      </c>
      <c r="T2226" t="s">
        <v>6929</v>
      </c>
    </row>
    <row r="2227" spans="1:20" x14ac:dyDescent="0.25">
      <c r="A2227" t="str">
        <f>"3038712"</f>
        <v>3038712</v>
      </c>
      <c r="B2227" t="s">
        <v>6935</v>
      </c>
      <c r="C2227" t="str">
        <f>"82526399"</f>
        <v>82526399</v>
      </c>
      <c r="D2227" t="s">
        <v>6934</v>
      </c>
      <c r="E2227" t="s">
        <v>6929</v>
      </c>
      <c r="F2227" t="s">
        <v>6931</v>
      </c>
      <c r="I2227" t="s">
        <v>29</v>
      </c>
      <c r="J2227" t="s">
        <v>30</v>
      </c>
      <c r="K2227" t="s">
        <v>31</v>
      </c>
      <c r="M2227" t="s">
        <v>32</v>
      </c>
      <c r="N2227" t="str">
        <f>"1/28/2009 12:00:00 AM"</f>
        <v>1/28/2009 12:00:00 AM</v>
      </c>
      <c r="O2227" t="s">
        <v>6934</v>
      </c>
      <c r="T2227" t="s">
        <v>6929</v>
      </c>
    </row>
    <row r="2228" spans="1:20" x14ac:dyDescent="0.25">
      <c r="A2228" t="str">
        <f>"3038685"</f>
        <v>3038685</v>
      </c>
      <c r="B2228" t="s">
        <v>6936</v>
      </c>
      <c r="C2228" t="str">
        <f>"41704000"</f>
        <v>41704000</v>
      </c>
      <c r="D2228" t="s">
        <v>6937</v>
      </c>
      <c r="E2228" t="s">
        <v>6938</v>
      </c>
      <c r="F2228" t="s">
        <v>6939</v>
      </c>
      <c r="I2228" t="s">
        <v>29</v>
      </c>
      <c r="J2228" t="s">
        <v>30</v>
      </c>
      <c r="K2228" t="s">
        <v>31</v>
      </c>
      <c r="M2228" t="s">
        <v>32</v>
      </c>
      <c r="N2228" t="str">
        <f>"11/19/2003 12:00:00 AM"</f>
        <v>11/19/2003 12:00:00 AM</v>
      </c>
      <c r="O2228" t="s">
        <v>6937</v>
      </c>
      <c r="T2228" t="s">
        <v>6938</v>
      </c>
    </row>
    <row r="2229" spans="1:20" x14ac:dyDescent="0.25">
      <c r="A2229" t="str">
        <f>"3038084"</f>
        <v>3038084</v>
      </c>
      <c r="B2229" t="s">
        <v>6940</v>
      </c>
      <c r="C2229" t="str">
        <f>"41704000"</f>
        <v>41704000</v>
      </c>
      <c r="D2229" t="s">
        <v>6937</v>
      </c>
      <c r="E2229" t="s">
        <v>6938</v>
      </c>
      <c r="F2229" t="s">
        <v>6939</v>
      </c>
      <c r="I2229" t="s">
        <v>29</v>
      </c>
      <c r="J2229" t="s">
        <v>30</v>
      </c>
      <c r="K2229" t="s">
        <v>31</v>
      </c>
      <c r="M2229" t="s">
        <v>32</v>
      </c>
      <c r="N2229" t="str">
        <f>"11/19/2003 12:00:00 AM"</f>
        <v>11/19/2003 12:00:00 AM</v>
      </c>
      <c r="O2229" t="s">
        <v>6937</v>
      </c>
      <c r="T2229" t="s">
        <v>6938</v>
      </c>
    </row>
    <row r="2230" spans="1:20" x14ac:dyDescent="0.25">
      <c r="A2230" t="str">
        <f>"3077676"</f>
        <v>3077676</v>
      </c>
      <c r="B2230" t="s">
        <v>6941</v>
      </c>
      <c r="C2230" t="str">
        <f>"41704000"</f>
        <v>41704000</v>
      </c>
      <c r="D2230" t="s">
        <v>6937</v>
      </c>
      <c r="E2230" t="s">
        <v>6938</v>
      </c>
      <c r="F2230" t="s">
        <v>6939</v>
      </c>
      <c r="I2230" t="s">
        <v>29</v>
      </c>
      <c r="J2230" t="s">
        <v>30</v>
      </c>
      <c r="K2230" t="s">
        <v>31</v>
      </c>
      <c r="M2230" t="s">
        <v>32</v>
      </c>
      <c r="N2230" t="str">
        <f>"11/19/2003 12:00:00 AM"</f>
        <v>11/19/2003 12:00:00 AM</v>
      </c>
      <c r="O2230" t="s">
        <v>6937</v>
      </c>
      <c r="T2230" t="s">
        <v>6938</v>
      </c>
    </row>
    <row r="2231" spans="1:20" x14ac:dyDescent="0.25">
      <c r="A2231" t="str">
        <f>"3075333"</f>
        <v>3075333</v>
      </c>
      <c r="B2231" t="s">
        <v>6942</v>
      </c>
      <c r="C2231" t="str">
        <f>"39260000"</f>
        <v>39260000</v>
      </c>
      <c r="D2231" t="s">
        <v>6943</v>
      </c>
      <c r="E2231" t="s">
        <v>6944</v>
      </c>
      <c r="F2231" t="s">
        <v>6945</v>
      </c>
      <c r="I2231" t="s">
        <v>29</v>
      </c>
      <c r="J2231" t="s">
        <v>30</v>
      </c>
      <c r="K2231" t="s">
        <v>31</v>
      </c>
      <c r="M2231" t="s">
        <v>32</v>
      </c>
      <c r="N2231" t="str">
        <f>"11/10/2003 12:00:00 AM"</f>
        <v>11/10/2003 12:00:00 AM</v>
      </c>
      <c r="O2231" t="s">
        <v>6943</v>
      </c>
      <c r="T2231" t="s">
        <v>6944</v>
      </c>
    </row>
    <row r="2232" spans="1:20" x14ac:dyDescent="0.25">
      <c r="A2232" t="str">
        <f>"3042730"</f>
        <v>3042730</v>
      </c>
      <c r="B2232" t="s">
        <v>6946</v>
      </c>
      <c r="C2232" t="str">
        <f>"10924000"</f>
        <v>10924000</v>
      </c>
      <c r="D2232" t="s">
        <v>6947</v>
      </c>
      <c r="E2232" t="s">
        <v>6948</v>
      </c>
      <c r="F2232" t="s">
        <v>6949</v>
      </c>
      <c r="I2232" t="s">
        <v>29</v>
      </c>
      <c r="J2232" t="s">
        <v>30</v>
      </c>
      <c r="K2232" t="s">
        <v>31</v>
      </c>
      <c r="M2232" t="s">
        <v>32</v>
      </c>
      <c r="N2232" t="str">
        <f>"6/13/2003 12:00:00 AM"</f>
        <v>6/13/2003 12:00:00 AM</v>
      </c>
      <c r="O2232" t="s">
        <v>6947</v>
      </c>
      <c r="T2232" t="s">
        <v>6948</v>
      </c>
    </row>
    <row r="2233" spans="1:20" x14ac:dyDescent="0.25">
      <c r="A2233" t="str">
        <f>"3042129"</f>
        <v>3042129</v>
      </c>
      <c r="B2233" t="s">
        <v>6950</v>
      </c>
      <c r="C2233" t="str">
        <f>"10924000"</f>
        <v>10924000</v>
      </c>
      <c r="D2233" t="s">
        <v>6947</v>
      </c>
      <c r="E2233" t="s">
        <v>6948</v>
      </c>
      <c r="F2233" t="s">
        <v>6949</v>
      </c>
      <c r="I2233" t="s">
        <v>29</v>
      </c>
      <c r="J2233" t="s">
        <v>30</v>
      </c>
      <c r="K2233" t="s">
        <v>31</v>
      </c>
      <c r="M2233" t="s">
        <v>32</v>
      </c>
      <c r="N2233" t="str">
        <f>"6/13/2003 12:00:00 AM"</f>
        <v>6/13/2003 12:00:00 AM</v>
      </c>
      <c r="O2233" t="s">
        <v>6947</v>
      </c>
      <c r="T2233" t="s">
        <v>6948</v>
      </c>
    </row>
    <row r="2234" spans="1:20" x14ac:dyDescent="0.25">
      <c r="A2234" t="str">
        <f>"3042130"</f>
        <v>3042130</v>
      </c>
      <c r="B2234" t="s">
        <v>6951</v>
      </c>
      <c r="C2234" t="str">
        <f>"10924000"</f>
        <v>10924000</v>
      </c>
      <c r="D2234" t="s">
        <v>6947</v>
      </c>
      <c r="E2234" t="s">
        <v>6948</v>
      </c>
      <c r="F2234" t="s">
        <v>6949</v>
      </c>
      <c r="I2234" t="s">
        <v>29</v>
      </c>
      <c r="J2234" t="s">
        <v>30</v>
      </c>
      <c r="K2234" t="s">
        <v>31</v>
      </c>
      <c r="M2234" t="s">
        <v>32</v>
      </c>
      <c r="N2234" t="str">
        <f>"6/13/2003 12:00:00 AM"</f>
        <v>6/13/2003 12:00:00 AM</v>
      </c>
      <c r="O2234" t="s">
        <v>6947</v>
      </c>
      <c r="T2234" t="s">
        <v>6948</v>
      </c>
    </row>
    <row r="2235" spans="1:20" x14ac:dyDescent="0.25">
      <c r="A2235" t="str">
        <f>"3038663"</f>
        <v>3038663</v>
      </c>
      <c r="B2235" t="s">
        <v>6952</v>
      </c>
      <c r="C2235" t="str">
        <f>"82514210"</f>
        <v>82514210</v>
      </c>
      <c r="D2235" t="s">
        <v>6953</v>
      </c>
      <c r="E2235" t="s">
        <v>6954</v>
      </c>
      <c r="F2235" t="s">
        <v>6955</v>
      </c>
      <c r="I2235" t="s">
        <v>29</v>
      </c>
      <c r="J2235" t="s">
        <v>30</v>
      </c>
      <c r="K2235" t="s">
        <v>6956</v>
      </c>
      <c r="M2235" t="s">
        <v>32</v>
      </c>
      <c r="N2235" t="str">
        <f>"1/13/2006 12:00:00 AM"</f>
        <v>1/13/2006 12:00:00 AM</v>
      </c>
      <c r="O2235" t="s">
        <v>6953</v>
      </c>
      <c r="T2235" t="s">
        <v>6954</v>
      </c>
    </row>
    <row r="2236" spans="1:20" x14ac:dyDescent="0.25">
      <c r="A2236" t="str">
        <f>"3038958"</f>
        <v>3038958</v>
      </c>
      <c r="B2236" t="s">
        <v>6957</v>
      </c>
      <c r="C2236" t="str">
        <f>"62640000"</f>
        <v>62640000</v>
      </c>
      <c r="D2236" t="s">
        <v>6958</v>
      </c>
      <c r="F2236" t="s">
        <v>6959</v>
      </c>
      <c r="I2236" t="s">
        <v>29</v>
      </c>
      <c r="J2236" t="s">
        <v>30</v>
      </c>
      <c r="K2236" t="s">
        <v>31</v>
      </c>
      <c r="M2236" t="s">
        <v>32</v>
      </c>
      <c r="N2236" t="str">
        <f>"1/19/2010 12:00:00 AM"</f>
        <v>1/19/2010 12:00:00 AM</v>
      </c>
      <c r="O2236" t="s">
        <v>6958</v>
      </c>
    </row>
    <row r="2237" spans="1:20" x14ac:dyDescent="0.25">
      <c r="A2237" t="str">
        <f>"3038043"</f>
        <v>3038043</v>
      </c>
      <c r="B2237" t="s">
        <v>6960</v>
      </c>
      <c r="C2237" t="str">
        <f>"16693650"</f>
        <v>16693650</v>
      </c>
      <c r="D2237" t="s">
        <v>6961</v>
      </c>
      <c r="F2237" t="s">
        <v>6962</v>
      </c>
      <c r="I2237" t="s">
        <v>6963</v>
      </c>
      <c r="J2237" t="s">
        <v>4132</v>
      </c>
      <c r="K2237" t="s">
        <v>6964</v>
      </c>
      <c r="M2237" t="s">
        <v>32</v>
      </c>
      <c r="N2237" t="str">
        <f>"6/30/2003 12:00:00 AM"</f>
        <v>6/30/2003 12:00:00 AM</v>
      </c>
      <c r="O2237" t="s">
        <v>6961</v>
      </c>
    </row>
    <row r="2238" spans="1:20" x14ac:dyDescent="0.25">
      <c r="A2238" t="str">
        <f>"3043332"</f>
        <v>3043332</v>
      </c>
      <c r="B2238" t="s">
        <v>6965</v>
      </c>
      <c r="C2238" t="str">
        <f>"33800500"</f>
        <v>33800500</v>
      </c>
      <c r="D2238" t="s">
        <v>6966</v>
      </c>
      <c r="F2238" t="s">
        <v>6967</v>
      </c>
      <c r="I2238" t="s">
        <v>29</v>
      </c>
      <c r="J2238" t="s">
        <v>30</v>
      </c>
      <c r="K2238" t="s">
        <v>31</v>
      </c>
      <c r="M2238" t="s">
        <v>32</v>
      </c>
      <c r="N2238" t="str">
        <f>"10/13/2003 12:00:00 AM"</f>
        <v>10/13/2003 12:00:00 AM</v>
      </c>
      <c r="O2238" t="s">
        <v>6966</v>
      </c>
    </row>
    <row r="2239" spans="1:20" x14ac:dyDescent="0.25">
      <c r="A2239" t="str">
        <f>"3043466"</f>
        <v>3043466</v>
      </c>
      <c r="B2239" t="s">
        <v>6968</v>
      </c>
      <c r="C2239" t="str">
        <f>"8966000"</f>
        <v>8966000</v>
      </c>
      <c r="D2239" t="s">
        <v>6969</v>
      </c>
      <c r="F2239" t="s">
        <v>6970</v>
      </c>
      <c r="I2239" t="s">
        <v>29</v>
      </c>
      <c r="J2239" t="s">
        <v>30</v>
      </c>
      <c r="K2239" t="s">
        <v>31</v>
      </c>
      <c r="M2239" t="s">
        <v>32</v>
      </c>
      <c r="N2239" t="str">
        <f>"6/6/2003 12:00:00 AM"</f>
        <v>6/6/2003 12:00:00 AM</v>
      </c>
      <c r="O2239" t="s">
        <v>6969</v>
      </c>
    </row>
    <row r="2240" spans="1:20" x14ac:dyDescent="0.25">
      <c r="A2240" t="str">
        <f>"3038776"</f>
        <v>3038776</v>
      </c>
      <c r="B2240" t="s">
        <v>6971</v>
      </c>
      <c r="C2240" t="str">
        <f>"53638000"</f>
        <v>53638000</v>
      </c>
      <c r="D2240" t="s">
        <v>6972</v>
      </c>
      <c r="E2240" t="s">
        <v>6973</v>
      </c>
      <c r="F2240" t="s">
        <v>6974</v>
      </c>
      <c r="I2240" t="s">
        <v>29</v>
      </c>
      <c r="J2240" t="s">
        <v>30</v>
      </c>
      <c r="K2240" t="s">
        <v>31</v>
      </c>
      <c r="M2240" t="s">
        <v>32</v>
      </c>
      <c r="N2240" t="str">
        <f>"1/16/2004 12:00:00 AM"</f>
        <v>1/16/2004 12:00:00 AM</v>
      </c>
      <c r="O2240" t="s">
        <v>6972</v>
      </c>
      <c r="T2240" t="s">
        <v>6973</v>
      </c>
    </row>
    <row r="2241" spans="1:20" x14ac:dyDescent="0.25">
      <c r="A2241" t="str">
        <f>"3043077"</f>
        <v>3043077</v>
      </c>
      <c r="B2241" t="s">
        <v>6975</v>
      </c>
      <c r="C2241" t="str">
        <f>"57524000"</f>
        <v>57524000</v>
      </c>
      <c r="D2241" t="s">
        <v>6976</v>
      </c>
      <c r="E2241" t="s">
        <v>6977</v>
      </c>
      <c r="F2241" t="s">
        <v>6978</v>
      </c>
      <c r="I2241" t="s">
        <v>29</v>
      </c>
      <c r="J2241" t="s">
        <v>30</v>
      </c>
      <c r="K2241" t="s">
        <v>6979</v>
      </c>
      <c r="M2241" t="s">
        <v>32</v>
      </c>
      <c r="N2241" t="str">
        <f>"1/27/2010 12:00:00 AM"</f>
        <v>1/27/2010 12:00:00 AM</v>
      </c>
      <c r="O2241" t="s">
        <v>6976</v>
      </c>
      <c r="T2241" t="s">
        <v>6977</v>
      </c>
    </row>
    <row r="2242" spans="1:20" x14ac:dyDescent="0.25">
      <c r="A2242" t="str">
        <f>"3043324"</f>
        <v>3043324</v>
      </c>
      <c r="B2242" t="s">
        <v>6980</v>
      </c>
      <c r="C2242" t="str">
        <f>"2039000"</f>
        <v>2039000</v>
      </c>
      <c r="D2242" t="s">
        <v>6981</v>
      </c>
      <c r="E2242" t="s">
        <v>6982</v>
      </c>
      <c r="F2242" t="s">
        <v>6983</v>
      </c>
      <c r="I2242" t="s">
        <v>29</v>
      </c>
      <c r="J2242" t="s">
        <v>30</v>
      </c>
      <c r="K2242" t="s">
        <v>6984</v>
      </c>
      <c r="M2242" t="s">
        <v>32</v>
      </c>
      <c r="N2242" t="str">
        <f>"2/24/2005 12:00:00 AM"</f>
        <v>2/24/2005 12:00:00 AM</v>
      </c>
      <c r="O2242" t="s">
        <v>6981</v>
      </c>
      <c r="T2242" t="s">
        <v>6982</v>
      </c>
    </row>
    <row r="2243" spans="1:20" x14ac:dyDescent="0.25">
      <c r="A2243" t="str">
        <f>"3043497"</f>
        <v>3043497</v>
      </c>
      <c r="B2243" t="s">
        <v>6985</v>
      </c>
      <c r="C2243" t="str">
        <f>"17899900"</f>
        <v>17899900</v>
      </c>
      <c r="D2243" t="s">
        <v>6986</v>
      </c>
      <c r="F2243" t="s">
        <v>6987</v>
      </c>
      <c r="I2243" t="s">
        <v>29</v>
      </c>
      <c r="J2243" t="s">
        <v>30</v>
      </c>
      <c r="K2243" t="s">
        <v>6988</v>
      </c>
      <c r="M2243" t="s">
        <v>32</v>
      </c>
      <c r="N2243" t="str">
        <f>"2/9/2005 12:00:00 AM"</f>
        <v>2/9/2005 12:00:00 AM</v>
      </c>
      <c r="O2243" t="s">
        <v>6986</v>
      </c>
    </row>
    <row r="2244" spans="1:20" x14ac:dyDescent="0.25">
      <c r="A2244" t="str">
        <f>"3067490"</f>
        <v>3067490</v>
      </c>
      <c r="B2244" t="s">
        <v>6989</v>
      </c>
      <c r="C2244" t="str">
        <f>"17899900"</f>
        <v>17899900</v>
      </c>
      <c r="D2244" t="s">
        <v>6986</v>
      </c>
      <c r="F2244" t="s">
        <v>6987</v>
      </c>
      <c r="I2244" t="s">
        <v>29</v>
      </c>
      <c r="J2244" t="s">
        <v>30</v>
      </c>
      <c r="K2244" t="s">
        <v>6988</v>
      </c>
      <c r="M2244" t="s">
        <v>32</v>
      </c>
      <c r="N2244" t="str">
        <f>"2/9/2005 12:00:00 AM"</f>
        <v>2/9/2005 12:00:00 AM</v>
      </c>
      <c r="O2244" t="s">
        <v>6986</v>
      </c>
    </row>
    <row r="2245" spans="1:20" x14ac:dyDescent="0.25">
      <c r="A2245" t="str">
        <f>"3038662"</f>
        <v>3038662</v>
      </c>
      <c r="B2245" t="s">
        <v>6990</v>
      </c>
      <c r="C2245" t="str">
        <f>"82529340"</f>
        <v>82529340</v>
      </c>
      <c r="D2245" t="s">
        <v>6991</v>
      </c>
      <c r="E2245" t="s">
        <v>6992</v>
      </c>
      <c r="F2245" t="s">
        <v>6993</v>
      </c>
      <c r="I2245" t="s">
        <v>29</v>
      </c>
      <c r="J2245" t="s">
        <v>30</v>
      </c>
      <c r="K2245" t="s">
        <v>31</v>
      </c>
      <c r="M2245" t="s">
        <v>32</v>
      </c>
      <c r="N2245" t="str">
        <f>"1/12/2009 12:00:00 AM"</f>
        <v>1/12/2009 12:00:00 AM</v>
      </c>
      <c r="O2245" t="s">
        <v>6991</v>
      </c>
      <c r="T2245" t="s">
        <v>6992</v>
      </c>
    </row>
    <row r="2246" spans="1:20" x14ac:dyDescent="0.25">
      <c r="A2246" t="str">
        <f>"3066620"</f>
        <v>3066620</v>
      </c>
      <c r="B2246" t="s">
        <v>6994</v>
      </c>
      <c r="C2246" t="str">
        <f>"29758750"</f>
        <v>29758750</v>
      </c>
      <c r="D2246" t="s">
        <v>6995</v>
      </c>
      <c r="E2246" t="s">
        <v>6996</v>
      </c>
      <c r="F2246" t="s">
        <v>6997</v>
      </c>
      <c r="I2246" t="s">
        <v>29</v>
      </c>
      <c r="J2246" t="s">
        <v>30</v>
      </c>
      <c r="K2246" t="s">
        <v>6998</v>
      </c>
      <c r="M2246" t="s">
        <v>32</v>
      </c>
      <c r="N2246" t="str">
        <f>"1/27/2006 12:00:00 AM"</f>
        <v>1/27/2006 12:00:00 AM</v>
      </c>
      <c r="O2246" t="s">
        <v>6995</v>
      </c>
      <c r="T2246" t="s">
        <v>6996</v>
      </c>
    </row>
    <row r="2247" spans="1:20" x14ac:dyDescent="0.25">
      <c r="A2247" t="str">
        <f>"3043117"</f>
        <v>3043117</v>
      </c>
      <c r="B2247" t="s">
        <v>6999</v>
      </c>
      <c r="C2247" t="str">
        <f>"82516789"</f>
        <v>82516789</v>
      </c>
      <c r="D2247" t="s">
        <v>7000</v>
      </c>
      <c r="E2247" t="s">
        <v>7001</v>
      </c>
      <c r="F2247" t="s">
        <v>7002</v>
      </c>
      <c r="I2247" t="s">
        <v>6707</v>
      </c>
      <c r="J2247" t="s">
        <v>30</v>
      </c>
      <c r="K2247" t="s">
        <v>7003</v>
      </c>
      <c r="M2247" t="s">
        <v>32</v>
      </c>
      <c r="N2247" t="str">
        <f>"7/25/2002 12:00:00 AM"</f>
        <v>7/25/2002 12:00:00 AM</v>
      </c>
      <c r="O2247" t="s">
        <v>7000</v>
      </c>
      <c r="T2247" t="s">
        <v>7001</v>
      </c>
    </row>
    <row r="2248" spans="1:20" x14ac:dyDescent="0.25">
      <c r="A2248" t="str">
        <f>"3043351"</f>
        <v>3043351</v>
      </c>
      <c r="B2248" t="s">
        <v>7004</v>
      </c>
      <c r="C2248" t="str">
        <f>"38427170"</f>
        <v>38427170</v>
      </c>
      <c r="D2248" t="s">
        <v>7005</v>
      </c>
      <c r="F2248" t="s">
        <v>7006</v>
      </c>
      <c r="I2248" t="s">
        <v>29</v>
      </c>
      <c r="J2248" t="s">
        <v>30</v>
      </c>
      <c r="K2248" t="s">
        <v>7007</v>
      </c>
      <c r="M2248" t="s">
        <v>32</v>
      </c>
      <c r="N2248" t="str">
        <f>"2/10/2005 12:00:00 AM"</f>
        <v>2/10/2005 12:00:00 AM</v>
      </c>
      <c r="O2248" t="s">
        <v>7005</v>
      </c>
    </row>
    <row r="2249" spans="1:20" x14ac:dyDescent="0.25">
      <c r="A2249" t="str">
        <f>"3059724"</f>
        <v>3059724</v>
      </c>
      <c r="B2249" t="s">
        <v>7008</v>
      </c>
      <c r="C2249" t="str">
        <f>"38427170"</f>
        <v>38427170</v>
      </c>
      <c r="D2249" t="s">
        <v>7005</v>
      </c>
      <c r="F2249" t="s">
        <v>7006</v>
      </c>
      <c r="I2249" t="s">
        <v>29</v>
      </c>
      <c r="J2249" t="s">
        <v>30</v>
      </c>
      <c r="K2249" t="s">
        <v>7007</v>
      </c>
      <c r="M2249" t="s">
        <v>32</v>
      </c>
      <c r="N2249" t="str">
        <f>"2/10/2005 12:00:00 AM"</f>
        <v>2/10/2005 12:00:00 AM</v>
      </c>
      <c r="O2249" t="s">
        <v>7005</v>
      </c>
    </row>
    <row r="2250" spans="1:20" x14ac:dyDescent="0.25">
      <c r="A2250" t="str">
        <f>"3043308"</f>
        <v>3043308</v>
      </c>
      <c r="B2250" t="s">
        <v>7009</v>
      </c>
      <c r="C2250" t="str">
        <f>"78618500"</f>
        <v>78618500</v>
      </c>
      <c r="D2250" t="s">
        <v>7010</v>
      </c>
      <c r="E2250" t="s">
        <v>7011</v>
      </c>
      <c r="F2250" t="s">
        <v>7012</v>
      </c>
      <c r="I2250" t="s">
        <v>29</v>
      </c>
      <c r="J2250" t="s">
        <v>30</v>
      </c>
      <c r="K2250" t="s">
        <v>31</v>
      </c>
      <c r="M2250" t="s">
        <v>32</v>
      </c>
      <c r="N2250" t="str">
        <f t="shared" ref="N2250:N2255" si="36">"5/8/2002 12:00:00 AM"</f>
        <v>5/8/2002 12:00:00 AM</v>
      </c>
      <c r="O2250" t="s">
        <v>7010</v>
      </c>
      <c r="T2250" t="s">
        <v>7011</v>
      </c>
    </row>
    <row r="2251" spans="1:20" x14ac:dyDescent="0.25">
      <c r="A2251" t="str">
        <f>"3043192"</f>
        <v>3043192</v>
      </c>
      <c r="B2251" t="s">
        <v>7013</v>
      </c>
      <c r="C2251" t="str">
        <f>"78618500"</f>
        <v>78618500</v>
      </c>
      <c r="D2251" t="s">
        <v>7010</v>
      </c>
      <c r="E2251" t="s">
        <v>7011</v>
      </c>
      <c r="F2251" t="s">
        <v>7012</v>
      </c>
      <c r="I2251" t="s">
        <v>29</v>
      </c>
      <c r="J2251" t="s">
        <v>30</v>
      </c>
      <c r="K2251" t="s">
        <v>31</v>
      </c>
      <c r="M2251" t="s">
        <v>32</v>
      </c>
      <c r="N2251" t="str">
        <f t="shared" si="36"/>
        <v>5/8/2002 12:00:00 AM</v>
      </c>
      <c r="O2251" t="s">
        <v>7010</v>
      </c>
      <c r="T2251" t="s">
        <v>7011</v>
      </c>
    </row>
    <row r="2252" spans="1:20" x14ac:dyDescent="0.25">
      <c r="A2252" t="str">
        <f>"3045914"</f>
        <v>3045914</v>
      </c>
      <c r="B2252" t="s">
        <v>7014</v>
      </c>
      <c r="C2252" t="str">
        <f>"50756000"</f>
        <v>50756000</v>
      </c>
      <c r="D2252" t="s">
        <v>7015</v>
      </c>
      <c r="F2252" t="s">
        <v>1861</v>
      </c>
      <c r="I2252" t="s">
        <v>29</v>
      </c>
      <c r="J2252" t="s">
        <v>30</v>
      </c>
      <c r="K2252" t="s">
        <v>31</v>
      </c>
      <c r="M2252" t="s">
        <v>32</v>
      </c>
      <c r="N2252" t="str">
        <f t="shared" si="36"/>
        <v>5/8/2002 12:00:00 AM</v>
      </c>
      <c r="O2252" t="s">
        <v>7015</v>
      </c>
    </row>
    <row r="2253" spans="1:20" x14ac:dyDescent="0.25">
      <c r="A2253" t="str">
        <f>"3045878"</f>
        <v>3045878</v>
      </c>
      <c r="B2253" t="s">
        <v>7016</v>
      </c>
      <c r="C2253" t="str">
        <f>"50756000"</f>
        <v>50756000</v>
      </c>
      <c r="D2253" t="s">
        <v>7015</v>
      </c>
      <c r="F2253" t="s">
        <v>1861</v>
      </c>
      <c r="I2253" t="s">
        <v>29</v>
      </c>
      <c r="J2253" t="s">
        <v>30</v>
      </c>
      <c r="K2253" t="s">
        <v>31</v>
      </c>
      <c r="M2253" t="s">
        <v>32</v>
      </c>
      <c r="N2253" t="str">
        <f t="shared" si="36"/>
        <v>5/8/2002 12:00:00 AM</v>
      </c>
      <c r="O2253" t="s">
        <v>7015</v>
      </c>
    </row>
    <row r="2254" spans="1:20" x14ac:dyDescent="0.25">
      <c r="A2254" t="str">
        <f>"3048812"</f>
        <v>3048812</v>
      </c>
      <c r="B2254" t="s">
        <v>7017</v>
      </c>
      <c r="C2254" t="str">
        <f>"50756000"</f>
        <v>50756000</v>
      </c>
      <c r="D2254" t="s">
        <v>7015</v>
      </c>
      <c r="F2254" t="s">
        <v>1861</v>
      </c>
      <c r="I2254" t="s">
        <v>29</v>
      </c>
      <c r="J2254" t="s">
        <v>30</v>
      </c>
      <c r="K2254" t="s">
        <v>31</v>
      </c>
      <c r="M2254" t="s">
        <v>32</v>
      </c>
      <c r="N2254" t="str">
        <f t="shared" si="36"/>
        <v>5/8/2002 12:00:00 AM</v>
      </c>
      <c r="O2254" t="s">
        <v>7015</v>
      </c>
    </row>
    <row r="2255" spans="1:20" x14ac:dyDescent="0.25">
      <c r="A2255" t="str">
        <f>"3088922"</f>
        <v>3088922</v>
      </c>
      <c r="B2255" t="s">
        <v>7018</v>
      </c>
      <c r="C2255" t="str">
        <f>"50756000"</f>
        <v>50756000</v>
      </c>
      <c r="D2255" t="s">
        <v>7015</v>
      </c>
      <c r="F2255" t="s">
        <v>1861</v>
      </c>
      <c r="I2255" t="s">
        <v>29</v>
      </c>
      <c r="J2255" t="s">
        <v>30</v>
      </c>
      <c r="K2255" t="s">
        <v>31</v>
      </c>
      <c r="M2255" t="s">
        <v>32</v>
      </c>
      <c r="N2255" t="str">
        <f t="shared" si="36"/>
        <v>5/8/2002 12:00:00 AM</v>
      </c>
      <c r="O2255" t="s">
        <v>7015</v>
      </c>
    </row>
    <row r="2256" spans="1:20" x14ac:dyDescent="0.25">
      <c r="A2256" t="str">
        <f>"3038680"</f>
        <v>3038680</v>
      </c>
      <c r="B2256" t="s">
        <v>7019</v>
      </c>
      <c r="C2256" t="str">
        <f>"15081500"</f>
        <v>15081500</v>
      </c>
      <c r="D2256" t="s">
        <v>7020</v>
      </c>
      <c r="F2256" t="s">
        <v>7021</v>
      </c>
      <c r="I2256" t="s">
        <v>29</v>
      </c>
      <c r="J2256" t="s">
        <v>30</v>
      </c>
      <c r="K2256" t="s">
        <v>31</v>
      </c>
      <c r="M2256" t="s">
        <v>32</v>
      </c>
      <c r="N2256" t="str">
        <f>"12/28/2009 12:00:00 AM"</f>
        <v>12/28/2009 12:00:00 AM</v>
      </c>
      <c r="O2256" t="s">
        <v>7020</v>
      </c>
    </row>
    <row r="2257" spans="1:20" x14ac:dyDescent="0.25">
      <c r="A2257" t="str">
        <f>"3077666"</f>
        <v>3077666</v>
      </c>
      <c r="B2257" t="s">
        <v>7022</v>
      </c>
      <c r="C2257" t="str">
        <f>"18936000"</f>
        <v>18936000</v>
      </c>
      <c r="D2257" t="s">
        <v>7023</v>
      </c>
      <c r="E2257" t="s">
        <v>7024</v>
      </c>
      <c r="F2257" t="s">
        <v>7025</v>
      </c>
      <c r="I2257" t="s">
        <v>29</v>
      </c>
      <c r="J2257" t="s">
        <v>30</v>
      </c>
      <c r="K2257" t="s">
        <v>7026</v>
      </c>
      <c r="M2257" t="s">
        <v>32</v>
      </c>
      <c r="N2257" t="str">
        <f>"2/5/2010 12:00:00 AM"</f>
        <v>2/5/2010 12:00:00 AM</v>
      </c>
      <c r="O2257" t="s">
        <v>7023</v>
      </c>
      <c r="T2257" t="s">
        <v>7024</v>
      </c>
    </row>
    <row r="2258" spans="1:20" x14ac:dyDescent="0.25">
      <c r="A2258" t="str">
        <f>"3038637"</f>
        <v>3038637</v>
      </c>
      <c r="B2258" t="s">
        <v>7027</v>
      </c>
      <c r="C2258" t="str">
        <f>"18936000"</f>
        <v>18936000</v>
      </c>
      <c r="D2258" t="s">
        <v>7023</v>
      </c>
      <c r="E2258" t="s">
        <v>7024</v>
      </c>
      <c r="F2258" t="s">
        <v>7025</v>
      </c>
      <c r="I2258" t="s">
        <v>29</v>
      </c>
      <c r="J2258" t="s">
        <v>30</v>
      </c>
      <c r="K2258" t="s">
        <v>7026</v>
      </c>
      <c r="M2258" t="s">
        <v>32</v>
      </c>
      <c r="N2258" t="str">
        <f>"2/5/2010 12:00:00 AM"</f>
        <v>2/5/2010 12:00:00 AM</v>
      </c>
      <c r="O2258" t="s">
        <v>7023</v>
      </c>
      <c r="T2258" t="s">
        <v>7024</v>
      </c>
    </row>
    <row r="2259" spans="1:20" x14ac:dyDescent="0.25">
      <c r="A2259" t="str">
        <f>"3038730"</f>
        <v>3038730</v>
      </c>
      <c r="B2259" t="s">
        <v>7028</v>
      </c>
      <c r="C2259" t="str">
        <f>"18936000"</f>
        <v>18936000</v>
      </c>
      <c r="D2259" t="s">
        <v>7023</v>
      </c>
      <c r="E2259" t="s">
        <v>7024</v>
      </c>
      <c r="F2259" t="s">
        <v>7025</v>
      </c>
      <c r="I2259" t="s">
        <v>29</v>
      </c>
      <c r="J2259" t="s">
        <v>30</v>
      </c>
      <c r="K2259" t="s">
        <v>7026</v>
      </c>
      <c r="M2259" t="s">
        <v>32</v>
      </c>
      <c r="N2259" t="str">
        <f>"2/5/2010 12:00:00 AM"</f>
        <v>2/5/2010 12:00:00 AM</v>
      </c>
      <c r="O2259" t="s">
        <v>7023</v>
      </c>
      <c r="T2259" t="s">
        <v>7024</v>
      </c>
    </row>
    <row r="2260" spans="1:20" x14ac:dyDescent="0.25">
      <c r="A2260" t="str">
        <f>"3038950"</f>
        <v>3038950</v>
      </c>
      <c r="B2260" t="s">
        <v>7029</v>
      </c>
      <c r="C2260" t="str">
        <f>"18936000"</f>
        <v>18936000</v>
      </c>
      <c r="D2260" t="s">
        <v>7023</v>
      </c>
      <c r="E2260" t="s">
        <v>7024</v>
      </c>
      <c r="F2260" t="s">
        <v>7025</v>
      </c>
      <c r="I2260" t="s">
        <v>29</v>
      </c>
      <c r="J2260" t="s">
        <v>30</v>
      </c>
      <c r="K2260" t="s">
        <v>7026</v>
      </c>
      <c r="M2260" t="s">
        <v>32</v>
      </c>
      <c r="N2260" t="str">
        <f>"2/5/2010 12:00:00 AM"</f>
        <v>2/5/2010 12:00:00 AM</v>
      </c>
      <c r="O2260" t="s">
        <v>7023</v>
      </c>
      <c r="T2260" t="s">
        <v>7024</v>
      </c>
    </row>
    <row r="2261" spans="1:20" x14ac:dyDescent="0.25">
      <c r="A2261" t="str">
        <f>"3049038"</f>
        <v>3049038</v>
      </c>
      <c r="B2261" t="s">
        <v>7030</v>
      </c>
      <c r="C2261" t="str">
        <f>"18936000"</f>
        <v>18936000</v>
      </c>
      <c r="D2261" t="s">
        <v>7023</v>
      </c>
      <c r="E2261" t="s">
        <v>7024</v>
      </c>
      <c r="F2261" t="s">
        <v>7025</v>
      </c>
      <c r="I2261" t="s">
        <v>29</v>
      </c>
      <c r="J2261" t="s">
        <v>30</v>
      </c>
      <c r="K2261" t="s">
        <v>7026</v>
      </c>
      <c r="M2261" t="s">
        <v>32</v>
      </c>
      <c r="N2261" t="str">
        <f>"2/5/2010 12:00:00 AM"</f>
        <v>2/5/2010 12:00:00 AM</v>
      </c>
      <c r="O2261" t="s">
        <v>7023</v>
      </c>
      <c r="T2261" t="s">
        <v>7024</v>
      </c>
    </row>
    <row r="2262" spans="1:20" x14ac:dyDescent="0.25">
      <c r="A2262" t="str">
        <f>"3042700"</f>
        <v>3042700</v>
      </c>
      <c r="B2262" t="s">
        <v>7031</v>
      </c>
      <c r="C2262" t="str">
        <f>"52396000"</f>
        <v>52396000</v>
      </c>
      <c r="D2262" t="s">
        <v>6869</v>
      </c>
      <c r="E2262" t="s">
        <v>6870</v>
      </c>
      <c r="F2262" t="s">
        <v>6871</v>
      </c>
      <c r="I2262" t="s">
        <v>29</v>
      </c>
      <c r="J2262" t="s">
        <v>30</v>
      </c>
      <c r="K2262" t="s">
        <v>31</v>
      </c>
      <c r="M2262" t="s">
        <v>32</v>
      </c>
      <c r="N2262" t="str">
        <f>"3/10/2004 12:00:00 AM"</f>
        <v>3/10/2004 12:00:00 AM</v>
      </c>
      <c r="O2262" t="s">
        <v>6869</v>
      </c>
      <c r="T2262" t="s">
        <v>6870</v>
      </c>
    </row>
    <row r="2263" spans="1:20" x14ac:dyDescent="0.25">
      <c r="A2263" t="str">
        <f>"3063791"</f>
        <v>3063791</v>
      </c>
      <c r="B2263" t="s">
        <v>7032</v>
      </c>
      <c r="C2263" t="str">
        <f>"82521555"</f>
        <v>82521555</v>
      </c>
      <c r="D2263" t="s">
        <v>6892</v>
      </c>
      <c r="E2263" t="s">
        <v>6893</v>
      </c>
      <c r="F2263" t="s">
        <v>6894</v>
      </c>
      <c r="I2263" t="s">
        <v>29</v>
      </c>
      <c r="J2263" t="s">
        <v>30</v>
      </c>
      <c r="K2263" t="s">
        <v>6895</v>
      </c>
      <c r="M2263" t="s">
        <v>32</v>
      </c>
      <c r="N2263" t="str">
        <f>"1/2/2009 12:00:00 AM"</f>
        <v>1/2/2009 12:00:00 AM</v>
      </c>
      <c r="O2263" t="s">
        <v>6892</v>
      </c>
      <c r="T2263" t="s">
        <v>6893</v>
      </c>
    </row>
    <row r="2264" spans="1:20" x14ac:dyDescent="0.25">
      <c r="A2264" t="str">
        <f>"3063792"</f>
        <v>3063792</v>
      </c>
      <c r="B2264" t="s">
        <v>7033</v>
      </c>
      <c r="C2264" t="str">
        <f>"82521555"</f>
        <v>82521555</v>
      </c>
      <c r="D2264" t="s">
        <v>6892</v>
      </c>
      <c r="E2264" t="s">
        <v>6893</v>
      </c>
      <c r="F2264" t="s">
        <v>6894</v>
      </c>
      <c r="I2264" t="s">
        <v>29</v>
      </c>
      <c r="J2264" t="s">
        <v>30</v>
      </c>
      <c r="K2264" t="s">
        <v>6895</v>
      </c>
      <c r="M2264" t="s">
        <v>32</v>
      </c>
      <c r="N2264" t="str">
        <f>"1/2/2009 12:00:00 AM"</f>
        <v>1/2/2009 12:00:00 AM</v>
      </c>
      <c r="O2264" t="s">
        <v>6892</v>
      </c>
      <c r="T2264" t="s">
        <v>6893</v>
      </c>
    </row>
    <row r="2265" spans="1:20" x14ac:dyDescent="0.25">
      <c r="A2265" t="str">
        <f>"3045816"</f>
        <v>3045816</v>
      </c>
      <c r="B2265" t="s">
        <v>7034</v>
      </c>
      <c r="C2265" t="str">
        <f>"30116489"</f>
        <v>30116489</v>
      </c>
      <c r="D2265" t="s">
        <v>7035</v>
      </c>
      <c r="E2265" t="s">
        <v>7036</v>
      </c>
      <c r="F2265" t="s">
        <v>7037</v>
      </c>
      <c r="I2265" t="s">
        <v>29</v>
      </c>
      <c r="J2265" t="s">
        <v>30</v>
      </c>
      <c r="K2265" t="s">
        <v>31</v>
      </c>
      <c r="M2265" t="s">
        <v>32</v>
      </c>
      <c r="N2265" t="str">
        <f>"1/22/2004 12:00:00 AM"</f>
        <v>1/22/2004 12:00:00 AM</v>
      </c>
      <c r="O2265" t="s">
        <v>7035</v>
      </c>
      <c r="T2265" t="s">
        <v>7036</v>
      </c>
    </row>
    <row r="2266" spans="1:20" x14ac:dyDescent="0.25">
      <c r="A2266" t="str">
        <f>"3048517"</f>
        <v>3048517</v>
      </c>
      <c r="B2266" t="s">
        <v>7038</v>
      </c>
      <c r="C2266" t="str">
        <f t="shared" ref="C2266:C2274" si="37">"7403500"</f>
        <v>7403500</v>
      </c>
      <c r="D2266" t="s">
        <v>7039</v>
      </c>
      <c r="F2266" t="s">
        <v>7040</v>
      </c>
      <c r="I2266" t="s">
        <v>29</v>
      </c>
      <c r="J2266" t="s">
        <v>30</v>
      </c>
      <c r="K2266" t="s">
        <v>31</v>
      </c>
      <c r="M2266" t="s">
        <v>32</v>
      </c>
      <c r="N2266" t="str">
        <f t="shared" ref="N2266:N2274" si="38">"4/25/2002 12:00:00 AM"</f>
        <v>4/25/2002 12:00:00 AM</v>
      </c>
      <c r="O2266" t="s">
        <v>7039</v>
      </c>
    </row>
    <row r="2267" spans="1:20" x14ac:dyDescent="0.25">
      <c r="A2267" t="str">
        <f>"3049289"</f>
        <v>3049289</v>
      </c>
      <c r="B2267" t="s">
        <v>7041</v>
      </c>
      <c r="C2267" t="str">
        <f t="shared" si="37"/>
        <v>7403500</v>
      </c>
      <c r="D2267" t="s">
        <v>7039</v>
      </c>
      <c r="F2267" t="s">
        <v>7040</v>
      </c>
      <c r="I2267" t="s">
        <v>29</v>
      </c>
      <c r="J2267" t="s">
        <v>30</v>
      </c>
      <c r="K2267" t="s">
        <v>31</v>
      </c>
      <c r="M2267" t="s">
        <v>32</v>
      </c>
      <c r="N2267" t="str">
        <f t="shared" si="38"/>
        <v>4/25/2002 12:00:00 AM</v>
      </c>
      <c r="O2267" t="s">
        <v>7039</v>
      </c>
    </row>
    <row r="2268" spans="1:20" x14ac:dyDescent="0.25">
      <c r="A2268" t="str">
        <f>"3049383"</f>
        <v>3049383</v>
      </c>
      <c r="B2268" t="s">
        <v>7042</v>
      </c>
      <c r="C2268" t="str">
        <f t="shared" si="37"/>
        <v>7403500</v>
      </c>
      <c r="D2268" t="s">
        <v>7039</v>
      </c>
      <c r="F2268" t="s">
        <v>7040</v>
      </c>
      <c r="I2268" t="s">
        <v>29</v>
      </c>
      <c r="J2268" t="s">
        <v>30</v>
      </c>
      <c r="K2268" t="s">
        <v>31</v>
      </c>
      <c r="M2268" t="s">
        <v>32</v>
      </c>
      <c r="N2268" t="str">
        <f t="shared" si="38"/>
        <v>4/25/2002 12:00:00 AM</v>
      </c>
      <c r="O2268" t="s">
        <v>7039</v>
      </c>
    </row>
    <row r="2269" spans="1:20" x14ac:dyDescent="0.25">
      <c r="A2269" t="str">
        <f>"3049387"</f>
        <v>3049387</v>
      </c>
      <c r="B2269" t="s">
        <v>7043</v>
      </c>
      <c r="C2269" t="str">
        <f t="shared" si="37"/>
        <v>7403500</v>
      </c>
      <c r="D2269" t="s">
        <v>7039</v>
      </c>
      <c r="F2269" t="s">
        <v>7040</v>
      </c>
      <c r="I2269" t="s">
        <v>29</v>
      </c>
      <c r="J2269" t="s">
        <v>30</v>
      </c>
      <c r="K2269" t="s">
        <v>31</v>
      </c>
      <c r="M2269" t="s">
        <v>32</v>
      </c>
      <c r="N2269" t="str">
        <f t="shared" si="38"/>
        <v>4/25/2002 12:00:00 AM</v>
      </c>
      <c r="O2269" t="s">
        <v>7039</v>
      </c>
    </row>
    <row r="2270" spans="1:20" x14ac:dyDescent="0.25">
      <c r="A2270" t="str">
        <f>"3052907"</f>
        <v>3052907</v>
      </c>
      <c r="B2270" t="s">
        <v>7044</v>
      </c>
      <c r="C2270" t="str">
        <f t="shared" si="37"/>
        <v>7403500</v>
      </c>
      <c r="D2270" t="s">
        <v>7039</v>
      </c>
      <c r="F2270" t="s">
        <v>7040</v>
      </c>
      <c r="I2270" t="s">
        <v>29</v>
      </c>
      <c r="J2270" t="s">
        <v>30</v>
      </c>
      <c r="K2270" t="s">
        <v>31</v>
      </c>
      <c r="M2270" t="s">
        <v>32</v>
      </c>
      <c r="N2270" t="str">
        <f t="shared" si="38"/>
        <v>4/25/2002 12:00:00 AM</v>
      </c>
      <c r="O2270" t="s">
        <v>7039</v>
      </c>
    </row>
    <row r="2271" spans="1:20" x14ac:dyDescent="0.25">
      <c r="A2271" t="str">
        <f>"3052945"</f>
        <v>3052945</v>
      </c>
      <c r="B2271" t="s">
        <v>7045</v>
      </c>
      <c r="C2271" t="str">
        <f t="shared" si="37"/>
        <v>7403500</v>
      </c>
      <c r="D2271" t="s">
        <v>7039</v>
      </c>
      <c r="F2271" t="s">
        <v>7040</v>
      </c>
      <c r="I2271" t="s">
        <v>29</v>
      </c>
      <c r="J2271" t="s">
        <v>30</v>
      </c>
      <c r="K2271" t="s">
        <v>31</v>
      </c>
      <c r="M2271" t="s">
        <v>32</v>
      </c>
      <c r="N2271" t="str">
        <f t="shared" si="38"/>
        <v>4/25/2002 12:00:00 AM</v>
      </c>
      <c r="O2271" t="s">
        <v>7039</v>
      </c>
    </row>
    <row r="2272" spans="1:20" x14ac:dyDescent="0.25">
      <c r="A2272" t="str">
        <f>"3051934"</f>
        <v>3051934</v>
      </c>
      <c r="B2272" t="s">
        <v>7046</v>
      </c>
      <c r="C2272" t="str">
        <f t="shared" si="37"/>
        <v>7403500</v>
      </c>
      <c r="D2272" t="s">
        <v>7039</v>
      </c>
      <c r="F2272" t="s">
        <v>7040</v>
      </c>
      <c r="I2272" t="s">
        <v>29</v>
      </c>
      <c r="J2272" t="s">
        <v>30</v>
      </c>
      <c r="K2272" t="s">
        <v>31</v>
      </c>
      <c r="M2272" t="s">
        <v>32</v>
      </c>
      <c r="N2272" t="str">
        <f t="shared" si="38"/>
        <v>4/25/2002 12:00:00 AM</v>
      </c>
      <c r="O2272" t="s">
        <v>7039</v>
      </c>
    </row>
    <row r="2273" spans="1:20" x14ac:dyDescent="0.25">
      <c r="A2273" t="str">
        <f>"3052404"</f>
        <v>3052404</v>
      </c>
      <c r="B2273" t="s">
        <v>7047</v>
      </c>
      <c r="C2273" t="str">
        <f t="shared" si="37"/>
        <v>7403500</v>
      </c>
      <c r="D2273" t="s">
        <v>7039</v>
      </c>
      <c r="F2273" t="s">
        <v>7040</v>
      </c>
      <c r="I2273" t="s">
        <v>29</v>
      </c>
      <c r="J2273" t="s">
        <v>30</v>
      </c>
      <c r="K2273" t="s">
        <v>31</v>
      </c>
      <c r="M2273" t="s">
        <v>32</v>
      </c>
      <c r="N2273" t="str">
        <f t="shared" si="38"/>
        <v>4/25/2002 12:00:00 AM</v>
      </c>
      <c r="O2273" t="s">
        <v>7039</v>
      </c>
    </row>
    <row r="2274" spans="1:20" x14ac:dyDescent="0.25">
      <c r="A2274" t="str">
        <f>"3055815"</f>
        <v>3055815</v>
      </c>
      <c r="B2274" t="s">
        <v>7048</v>
      </c>
      <c r="C2274" t="str">
        <f t="shared" si="37"/>
        <v>7403500</v>
      </c>
      <c r="D2274" t="s">
        <v>7039</v>
      </c>
      <c r="F2274" t="s">
        <v>7040</v>
      </c>
      <c r="I2274" t="s">
        <v>29</v>
      </c>
      <c r="J2274" t="s">
        <v>30</v>
      </c>
      <c r="K2274" t="s">
        <v>31</v>
      </c>
      <c r="M2274" t="s">
        <v>32</v>
      </c>
      <c r="N2274" t="str">
        <f t="shared" si="38"/>
        <v>4/25/2002 12:00:00 AM</v>
      </c>
      <c r="O2274" t="s">
        <v>7039</v>
      </c>
    </row>
    <row r="2275" spans="1:20" x14ac:dyDescent="0.25">
      <c r="A2275" t="str">
        <f>"3038218"</f>
        <v>3038218</v>
      </c>
      <c r="B2275" t="s">
        <v>7049</v>
      </c>
      <c r="C2275" t="str">
        <f>"37217150"</f>
        <v>37217150</v>
      </c>
      <c r="D2275" t="s">
        <v>7050</v>
      </c>
      <c r="F2275" t="s">
        <v>7051</v>
      </c>
      <c r="I2275" t="s">
        <v>402</v>
      </c>
      <c r="J2275" t="s">
        <v>30</v>
      </c>
      <c r="K2275" t="s">
        <v>403</v>
      </c>
      <c r="M2275" t="s">
        <v>32</v>
      </c>
      <c r="N2275" t="str">
        <f>"10/23/2003 12:00:00 AM"</f>
        <v>10/23/2003 12:00:00 AM</v>
      </c>
      <c r="O2275" t="s">
        <v>7050</v>
      </c>
    </row>
    <row r="2276" spans="1:20" x14ac:dyDescent="0.25">
      <c r="A2276" t="str">
        <f>"3038219"</f>
        <v>3038219</v>
      </c>
      <c r="B2276" t="s">
        <v>7052</v>
      </c>
      <c r="C2276" t="str">
        <f t="shared" ref="C2276:C2282" si="39">"82514861"</f>
        <v>82514861</v>
      </c>
      <c r="D2276" t="s">
        <v>7053</v>
      </c>
      <c r="E2276" t="str">
        <f t="shared" ref="E2276:E2282" si="40">"C/O VULCAN MATERIALS COMPANY"</f>
        <v>C/O VULCAN MATERIALS COMPANY</v>
      </c>
      <c r="F2276" t="s">
        <v>7054</v>
      </c>
      <c r="G2276" t="s">
        <v>7055</v>
      </c>
      <c r="I2276" t="s">
        <v>7056</v>
      </c>
      <c r="J2276" t="s">
        <v>7057</v>
      </c>
      <c r="K2276" t="s">
        <v>7058</v>
      </c>
      <c r="M2276" t="s">
        <v>32</v>
      </c>
      <c r="N2276" t="str">
        <f t="shared" ref="N2276:N2282" si="41">"9/7/2010 12:00:00 AM"</f>
        <v>9/7/2010 12:00:00 AM</v>
      </c>
      <c r="O2276" t="s">
        <v>7053</v>
      </c>
      <c r="T2276" t="str">
        <f t="shared" ref="T2276:T2282" si="42">"C/O VULCAN MATERIALS COMPANY"</f>
        <v>C/O VULCAN MATERIALS COMPANY</v>
      </c>
    </row>
    <row r="2277" spans="1:20" x14ac:dyDescent="0.25">
      <c r="A2277" t="str">
        <f>"3038275"</f>
        <v>3038275</v>
      </c>
      <c r="B2277" t="s">
        <v>7059</v>
      </c>
      <c r="C2277" t="str">
        <f t="shared" si="39"/>
        <v>82514861</v>
      </c>
      <c r="D2277" t="s">
        <v>7053</v>
      </c>
      <c r="E2277" t="str">
        <f t="shared" si="40"/>
        <v>C/O VULCAN MATERIALS COMPANY</v>
      </c>
      <c r="F2277" t="s">
        <v>7054</v>
      </c>
      <c r="G2277" t="s">
        <v>7055</v>
      </c>
      <c r="I2277" t="s">
        <v>7056</v>
      </c>
      <c r="J2277" t="s">
        <v>7057</v>
      </c>
      <c r="K2277" t="s">
        <v>7058</v>
      </c>
      <c r="M2277" t="s">
        <v>32</v>
      </c>
      <c r="N2277" t="str">
        <f t="shared" si="41"/>
        <v>9/7/2010 12:00:00 AM</v>
      </c>
      <c r="O2277" t="s">
        <v>7053</v>
      </c>
      <c r="T2277" t="str">
        <f t="shared" si="42"/>
        <v>C/O VULCAN MATERIALS COMPANY</v>
      </c>
    </row>
    <row r="2278" spans="1:20" x14ac:dyDescent="0.25">
      <c r="A2278" t="str">
        <f>"3038276"</f>
        <v>3038276</v>
      </c>
      <c r="B2278" t="s">
        <v>7060</v>
      </c>
      <c r="C2278" t="str">
        <f t="shared" si="39"/>
        <v>82514861</v>
      </c>
      <c r="D2278" t="s">
        <v>7053</v>
      </c>
      <c r="E2278" t="str">
        <f t="shared" si="40"/>
        <v>C/O VULCAN MATERIALS COMPANY</v>
      </c>
      <c r="F2278" t="s">
        <v>7054</v>
      </c>
      <c r="G2278" t="s">
        <v>7055</v>
      </c>
      <c r="I2278" t="s">
        <v>7056</v>
      </c>
      <c r="J2278" t="s">
        <v>7057</v>
      </c>
      <c r="K2278" t="s">
        <v>7058</v>
      </c>
      <c r="M2278" t="s">
        <v>32</v>
      </c>
      <c r="N2278" t="str">
        <f t="shared" si="41"/>
        <v>9/7/2010 12:00:00 AM</v>
      </c>
      <c r="O2278" t="s">
        <v>7053</v>
      </c>
      <c r="T2278" t="str">
        <f t="shared" si="42"/>
        <v>C/O VULCAN MATERIALS COMPANY</v>
      </c>
    </row>
    <row r="2279" spans="1:20" x14ac:dyDescent="0.25">
      <c r="A2279" t="str">
        <f>"3038200"</f>
        <v>3038200</v>
      </c>
      <c r="B2279" t="s">
        <v>7061</v>
      </c>
      <c r="C2279" t="str">
        <f t="shared" si="39"/>
        <v>82514861</v>
      </c>
      <c r="D2279" t="s">
        <v>7053</v>
      </c>
      <c r="E2279" t="str">
        <f t="shared" si="40"/>
        <v>C/O VULCAN MATERIALS COMPANY</v>
      </c>
      <c r="F2279" t="s">
        <v>7054</v>
      </c>
      <c r="G2279" t="s">
        <v>7055</v>
      </c>
      <c r="I2279" t="s">
        <v>7056</v>
      </c>
      <c r="J2279" t="s">
        <v>7057</v>
      </c>
      <c r="K2279" t="s">
        <v>7058</v>
      </c>
      <c r="M2279" t="s">
        <v>32</v>
      </c>
      <c r="N2279" t="str">
        <f t="shared" si="41"/>
        <v>9/7/2010 12:00:00 AM</v>
      </c>
      <c r="O2279" t="s">
        <v>7053</v>
      </c>
      <c r="T2279" t="str">
        <f t="shared" si="42"/>
        <v>C/O VULCAN MATERIALS COMPANY</v>
      </c>
    </row>
    <row r="2280" spans="1:20" x14ac:dyDescent="0.25">
      <c r="A2280" t="str">
        <f>"3039218"</f>
        <v>3039218</v>
      </c>
      <c r="B2280" t="s">
        <v>7062</v>
      </c>
      <c r="C2280" t="str">
        <f t="shared" si="39"/>
        <v>82514861</v>
      </c>
      <c r="D2280" t="s">
        <v>7053</v>
      </c>
      <c r="E2280" t="str">
        <f t="shared" si="40"/>
        <v>C/O VULCAN MATERIALS COMPANY</v>
      </c>
      <c r="F2280" t="s">
        <v>7054</v>
      </c>
      <c r="G2280" t="s">
        <v>7055</v>
      </c>
      <c r="I2280" t="s">
        <v>7056</v>
      </c>
      <c r="J2280" t="s">
        <v>7057</v>
      </c>
      <c r="K2280" t="s">
        <v>7058</v>
      </c>
      <c r="M2280" t="s">
        <v>32</v>
      </c>
      <c r="N2280" t="str">
        <f t="shared" si="41"/>
        <v>9/7/2010 12:00:00 AM</v>
      </c>
      <c r="O2280" t="s">
        <v>7053</v>
      </c>
      <c r="T2280" t="str">
        <f t="shared" si="42"/>
        <v>C/O VULCAN MATERIALS COMPANY</v>
      </c>
    </row>
    <row r="2281" spans="1:20" x14ac:dyDescent="0.25">
      <c r="A2281" t="str">
        <f>"3039219"</f>
        <v>3039219</v>
      </c>
      <c r="B2281" t="s">
        <v>7063</v>
      </c>
      <c r="C2281" t="str">
        <f t="shared" si="39"/>
        <v>82514861</v>
      </c>
      <c r="D2281" t="s">
        <v>7053</v>
      </c>
      <c r="E2281" t="str">
        <f t="shared" si="40"/>
        <v>C/O VULCAN MATERIALS COMPANY</v>
      </c>
      <c r="F2281" t="s">
        <v>7054</v>
      </c>
      <c r="G2281" t="s">
        <v>7055</v>
      </c>
      <c r="I2281" t="s">
        <v>7056</v>
      </c>
      <c r="J2281" t="s">
        <v>7057</v>
      </c>
      <c r="K2281" t="s">
        <v>7058</v>
      </c>
      <c r="M2281" t="s">
        <v>32</v>
      </c>
      <c r="N2281" t="str">
        <f t="shared" si="41"/>
        <v>9/7/2010 12:00:00 AM</v>
      </c>
      <c r="O2281" t="s">
        <v>7053</v>
      </c>
      <c r="T2281" t="str">
        <f t="shared" si="42"/>
        <v>C/O VULCAN MATERIALS COMPANY</v>
      </c>
    </row>
    <row r="2282" spans="1:20" x14ac:dyDescent="0.25">
      <c r="A2282" t="str">
        <f>"3039240"</f>
        <v>3039240</v>
      </c>
      <c r="B2282" t="s">
        <v>7064</v>
      </c>
      <c r="C2282" t="str">
        <f t="shared" si="39"/>
        <v>82514861</v>
      </c>
      <c r="D2282" t="s">
        <v>7053</v>
      </c>
      <c r="E2282" t="str">
        <f t="shared" si="40"/>
        <v>C/O VULCAN MATERIALS COMPANY</v>
      </c>
      <c r="F2282" t="s">
        <v>7054</v>
      </c>
      <c r="G2282" t="s">
        <v>7055</v>
      </c>
      <c r="I2282" t="s">
        <v>7056</v>
      </c>
      <c r="J2282" t="s">
        <v>7057</v>
      </c>
      <c r="K2282" t="s">
        <v>7058</v>
      </c>
      <c r="M2282" t="s">
        <v>32</v>
      </c>
      <c r="N2282" t="str">
        <f t="shared" si="41"/>
        <v>9/7/2010 12:00:00 AM</v>
      </c>
      <c r="O2282" t="s">
        <v>7053</v>
      </c>
      <c r="T2282" t="str">
        <f t="shared" si="42"/>
        <v>C/O VULCAN MATERIALS COMPANY</v>
      </c>
    </row>
    <row r="2283" spans="1:20" x14ac:dyDescent="0.25">
      <c r="A2283" t="str">
        <f>"3038280"</f>
        <v>3038280</v>
      </c>
      <c r="B2283" t="s">
        <v>7065</v>
      </c>
      <c r="C2283" t="str">
        <f>"82529006"</f>
        <v>82529006</v>
      </c>
      <c r="D2283" t="s">
        <v>7066</v>
      </c>
      <c r="E2283" t="s">
        <v>7067</v>
      </c>
      <c r="F2283" t="s">
        <v>7068</v>
      </c>
      <c r="I2283" t="s">
        <v>29</v>
      </c>
      <c r="J2283" t="s">
        <v>30</v>
      </c>
      <c r="K2283" t="s">
        <v>7069</v>
      </c>
      <c r="M2283" t="s">
        <v>32</v>
      </c>
      <c r="N2283" t="str">
        <f>"3/18/2008 12:00:00 AM"</f>
        <v>3/18/2008 12:00:00 AM</v>
      </c>
      <c r="O2283" t="s">
        <v>7066</v>
      </c>
      <c r="T2283" t="s">
        <v>7067</v>
      </c>
    </row>
    <row r="2284" spans="1:20" x14ac:dyDescent="0.25">
      <c r="A2284" t="str">
        <f>"3038265"</f>
        <v>3038265</v>
      </c>
      <c r="B2284" t="s">
        <v>7070</v>
      </c>
      <c r="C2284" t="str">
        <f>"82529006"</f>
        <v>82529006</v>
      </c>
      <c r="D2284" t="s">
        <v>7066</v>
      </c>
      <c r="E2284" t="s">
        <v>7067</v>
      </c>
      <c r="F2284" t="s">
        <v>7068</v>
      </c>
      <c r="I2284" t="s">
        <v>29</v>
      </c>
      <c r="J2284" t="s">
        <v>30</v>
      </c>
      <c r="K2284" t="s">
        <v>7069</v>
      </c>
      <c r="M2284" t="s">
        <v>32</v>
      </c>
      <c r="N2284" t="str">
        <f>"3/18/2008 12:00:00 AM"</f>
        <v>3/18/2008 12:00:00 AM</v>
      </c>
      <c r="O2284" t="s">
        <v>7066</v>
      </c>
      <c r="T2284" t="s">
        <v>7067</v>
      </c>
    </row>
    <row r="2285" spans="1:20" x14ac:dyDescent="0.25">
      <c r="A2285" t="str">
        <f>"3064181"</f>
        <v>3064181</v>
      </c>
      <c r="B2285" t="s">
        <v>7071</v>
      </c>
      <c r="C2285" t="str">
        <f>"82529006"</f>
        <v>82529006</v>
      </c>
      <c r="D2285" t="s">
        <v>7066</v>
      </c>
      <c r="E2285" t="s">
        <v>7067</v>
      </c>
      <c r="F2285" t="s">
        <v>7068</v>
      </c>
      <c r="I2285" t="s">
        <v>29</v>
      </c>
      <c r="J2285" t="s">
        <v>30</v>
      </c>
      <c r="K2285" t="s">
        <v>7069</v>
      </c>
      <c r="M2285" t="s">
        <v>32</v>
      </c>
      <c r="N2285" t="str">
        <f>"3/18/2008 12:00:00 AM"</f>
        <v>3/18/2008 12:00:00 AM</v>
      </c>
      <c r="O2285" t="s">
        <v>7066</v>
      </c>
      <c r="T2285" t="s">
        <v>7067</v>
      </c>
    </row>
    <row r="2286" spans="1:20" x14ac:dyDescent="0.25">
      <c r="A2286" t="str">
        <f>"3070699"</f>
        <v>3070699</v>
      </c>
      <c r="B2286" t="s">
        <v>7072</v>
      </c>
      <c r="C2286" t="str">
        <f t="shared" ref="C2286:C2291" si="43">"82529766"</f>
        <v>82529766</v>
      </c>
      <c r="D2286" t="s">
        <v>7073</v>
      </c>
      <c r="F2286" t="s">
        <v>7074</v>
      </c>
      <c r="I2286" t="s">
        <v>29</v>
      </c>
      <c r="J2286" t="s">
        <v>30</v>
      </c>
      <c r="K2286" t="s">
        <v>31</v>
      </c>
      <c r="M2286" t="s">
        <v>32</v>
      </c>
      <c r="N2286" t="str">
        <f t="shared" ref="N2286:N2291" si="44">"6/20/2008 12:00:00 AM"</f>
        <v>6/20/2008 12:00:00 AM</v>
      </c>
      <c r="O2286" t="s">
        <v>7073</v>
      </c>
    </row>
    <row r="2287" spans="1:20" x14ac:dyDescent="0.25">
      <c r="A2287" t="str">
        <f>"3077692"</f>
        <v>3077692</v>
      </c>
      <c r="B2287" t="s">
        <v>7075</v>
      </c>
      <c r="C2287" t="str">
        <f t="shared" si="43"/>
        <v>82529766</v>
      </c>
      <c r="D2287" t="s">
        <v>7073</v>
      </c>
      <c r="F2287" t="s">
        <v>7074</v>
      </c>
      <c r="I2287" t="s">
        <v>29</v>
      </c>
      <c r="J2287" t="s">
        <v>30</v>
      </c>
      <c r="K2287" t="s">
        <v>31</v>
      </c>
      <c r="M2287" t="s">
        <v>32</v>
      </c>
      <c r="N2287" t="str">
        <f t="shared" si="44"/>
        <v>6/20/2008 12:00:00 AM</v>
      </c>
      <c r="O2287" t="s">
        <v>7073</v>
      </c>
    </row>
    <row r="2288" spans="1:20" x14ac:dyDescent="0.25">
      <c r="A2288" t="str">
        <f>"3038278"</f>
        <v>3038278</v>
      </c>
      <c r="B2288" t="s">
        <v>7076</v>
      </c>
      <c r="C2288" t="str">
        <f t="shared" si="43"/>
        <v>82529766</v>
      </c>
      <c r="D2288" t="s">
        <v>7073</v>
      </c>
      <c r="F2288" t="s">
        <v>7074</v>
      </c>
      <c r="I2288" t="s">
        <v>29</v>
      </c>
      <c r="J2288" t="s">
        <v>30</v>
      </c>
      <c r="K2288" t="s">
        <v>31</v>
      </c>
      <c r="M2288" t="s">
        <v>32</v>
      </c>
      <c r="N2288" t="str">
        <f t="shared" si="44"/>
        <v>6/20/2008 12:00:00 AM</v>
      </c>
      <c r="O2288" t="s">
        <v>7073</v>
      </c>
    </row>
    <row r="2289" spans="1:20" x14ac:dyDescent="0.25">
      <c r="A2289" t="str">
        <f>"3043298"</f>
        <v>3043298</v>
      </c>
      <c r="B2289" t="s">
        <v>7077</v>
      </c>
      <c r="C2289" t="str">
        <f t="shared" si="43"/>
        <v>82529766</v>
      </c>
      <c r="D2289" t="s">
        <v>7073</v>
      </c>
      <c r="F2289" t="s">
        <v>7074</v>
      </c>
      <c r="I2289" t="s">
        <v>29</v>
      </c>
      <c r="J2289" t="s">
        <v>30</v>
      </c>
      <c r="K2289" t="s">
        <v>31</v>
      </c>
      <c r="M2289" t="s">
        <v>32</v>
      </c>
      <c r="N2289" t="str">
        <f t="shared" si="44"/>
        <v>6/20/2008 12:00:00 AM</v>
      </c>
      <c r="O2289" t="s">
        <v>7073</v>
      </c>
    </row>
    <row r="2290" spans="1:20" x14ac:dyDescent="0.25">
      <c r="A2290" t="str">
        <f>"3043235"</f>
        <v>3043235</v>
      </c>
      <c r="B2290" t="s">
        <v>7078</v>
      </c>
      <c r="C2290" t="str">
        <f t="shared" si="43"/>
        <v>82529766</v>
      </c>
      <c r="D2290" t="s">
        <v>7073</v>
      </c>
      <c r="F2290" t="s">
        <v>7074</v>
      </c>
      <c r="I2290" t="s">
        <v>29</v>
      </c>
      <c r="J2290" t="s">
        <v>30</v>
      </c>
      <c r="K2290" t="s">
        <v>31</v>
      </c>
      <c r="M2290" t="s">
        <v>32</v>
      </c>
      <c r="N2290" t="str">
        <f t="shared" si="44"/>
        <v>6/20/2008 12:00:00 AM</v>
      </c>
      <c r="O2290" t="s">
        <v>7073</v>
      </c>
    </row>
    <row r="2291" spans="1:20" x14ac:dyDescent="0.25">
      <c r="A2291" t="str">
        <f>"3043486"</f>
        <v>3043486</v>
      </c>
      <c r="B2291" t="s">
        <v>7079</v>
      </c>
      <c r="C2291" t="str">
        <f t="shared" si="43"/>
        <v>82529766</v>
      </c>
      <c r="D2291" t="s">
        <v>7073</v>
      </c>
      <c r="F2291" t="s">
        <v>7074</v>
      </c>
      <c r="I2291" t="s">
        <v>29</v>
      </c>
      <c r="J2291" t="s">
        <v>30</v>
      </c>
      <c r="K2291" t="s">
        <v>31</v>
      </c>
      <c r="M2291" t="s">
        <v>32</v>
      </c>
      <c r="N2291" t="str">
        <f t="shared" si="44"/>
        <v>6/20/2008 12:00:00 AM</v>
      </c>
      <c r="O2291" t="s">
        <v>7073</v>
      </c>
    </row>
    <row r="2292" spans="1:20" x14ac:dyDescent="0.25">
      <c r="A2292" t="str">
        <f>"3045918"</f>
        <v>3045918</v>
      </c>
      <c r="B2292" t="s">
        <v>7080</v>
      </c>
      <c r="C2292" t="str">
        <f>"64175000"</f>
        <v>64175000</v>
      </c>
      <c r="D2292" t="s">
        <v>7081</v>
      </c>
      <c r="F2292" t="s">
        <v>7082</v>
      </c>
      <c r="I2292" t="s">
        <v>29</v>
      </c>
      <c r="J2292" t="s">
        <v>30</v>
      </c>
      <c r="K2292" t="s">
        <v>31</v>
      </c>
      <c r="M2292" t="s">
        <v>32</v>
      </c>
      <c r="N2292" t="str">
        <f>"4/30/2004 12:00:00 AM"</f>
        <v>4/30/2004 12:00:00 AM</v>
      </c>
      <c r="O2292" t="s">
        <v>7081</v>
      </c>
    </row>
    <row r="2293" spans="1:20" x14ac:dyDescent="0.25">
      <c r="A2293" t="str">
        <f>"3046269"</f>
        <v>3046269</v>
      </c>
      <c r="B2293" t="s">
        <v>7083</v>
      </c>
      <c r="C2293" t="str">
        <f>"64175000"</f>
        <v>64175000</v>
      </c>
      <c r="D2293" t="s">
        <v>7081</v>
      </c>
      <c r="F2293" t="s">
        <v>7082</v>
      </c>
      <c r="I2293" t="s">
        <v>29</v>
      </c>
      <c r="J2293" t="s">
        <v>30</v>
      </c>
      <c r="K2293" t="s">
        <v>31</v>
      </c>
      <c r="M2293" t="s">
        <v>32</v>
      </c>
      <c r="N2293" t="str">
        <f>"4/30/2004 12:00:00 AM"</f>
        <v>4/30/2004 12:00:00 AM</v>
      </c>
      <c r="O2293" t="s">
        <v>7081</v>
      </c>
    </row>
    <row r="2294" spans="1:20" x14ac:dyDescent="0.25">
      <c r="A2294" t="str">
        <f>"3088984"</f>
        <v>3088984</v>
      </c>
      <c r="B2294" t="s">
        <v>7084</v>
      </c>
      <c r="C2294" t="str">
        <f>"64175000"</f>
        <v>64175000</v>
      </c>
      <c r="D2294" t="s">
        <v>7081</v>
      </c>
      <c r="F2294" t="s">
        <v>7082</v>
      </c>
      <c r="I2294" t="s">
        <v>29</v>
      </c>
      <c r="J2294" t="s">
        <v>30</v>
      </c>
      <c r="K2294" t="s">
        <v>31</v>
      </c>
      <c r="M2294" t="s">
        <v>32</v>
      </c>
      <c r="N2294" t="str">
        <f>"4/30/2004 12:00:00 AM"</f>
        <v>4/30/2004 12:00:00 AM</v>
      </c>
      <c r="O2294" t="s">
        <v>7081</v>
      </c>
    </row>
    <row r="2295" spans="1:20" x14ac:dyDescent="0.25">
      <c r="A2295" t="str">
        <f>"3043650"</f>
        <v>3043650</v>
      </c>
      <c r="B2295" t="s">
        <v>7085</v>
      </c>
      <c r="C2295" t="str">
        <f>"82523266"</f>
        <v>82523266</v>
      </c>
      <c r="D2295" t="s">
        <v>7086</v>
      </c>
      <c r="E2295" t="s">
        <v>7087</v>
      </c>
      <c r="F2295" t="s">
        <v>7088</v>
      </c>
      <c r="I2295" t="s">
        <v>29</v>
      </c>
      <c r="J2295" t="s">
        <v>30</v>
      </c>
      <c r="K2295" t="s">
        <v>7089</v>
      </c>
      <c r="M2295" t="s">
        <v>32</v>
      </c>
      <c r="N2295" t="str">
        <f>"1/9/2007 12:00:00 AM"</f>
        <v>1/9/2007 12:00:00 AM</v>
      </c>
      <c r="O2295" t="s">
        <v>7086</v>
      </c>
      <c r="T2295" t="s">
        <v>7087</v>
      </c>
    </row>
    <row r="2296" spans="1:20" x14ac:dyDescent="0.25">
      <c r="A2296" t="str">
        <f>"3043095"</f>
        <v>3043095</v>
      </c>
      <c r="B2296" t="s">
        <v>7090</v>
      </c>
      <c r="C2296" t="str">
        <f>"82523266"</f>
        <v>82523266</v>
      </c>
      <c r="D2296" t="s">
        <v>7086</v>
      </c>
      <c r="E2296" t="s">
        <v>7087</v>
      </c>
      <c r="F2296" t="s">
        <v>7088</v>
      </c>
      <c r="I2296" t="s">
        <v>29</v>
      </c>
      <c r="J2296" t="s">
        <v>30</v>
      </c>
      <c r="K2296" t="s">
        <v>7089</v>
      </c>
      <c r="M2296" t="s">
        <v>32</v>
      </c>
      <c r="N2296" t="str">
        <f>"1/9/2007 12:00:00 AM"</f>
        <v>1/9/2007 12:00:00 AM</v>
      </c>
      <c r="O2296" t="s">
        <v>7086</v>
      </c>
      <c r="T2296" t="s">
        <v>7087</v>
      </c>
    </row>
    <row r="2297" spans="1:20" x14ac:dyDescent="0.25">
      <c r="A2297" t="str">
        <f>"3045805"</f>
        <v>3045805</v>
      </c>
      <c r="B2297" t="s">
        <v>7091</v>
      </c>
      <c r="C2297" t="str">
        <f>"30802000"</f>
        <v>30802000</v>
      </c>
      <c r="D2297" t="s">
        <v>7092</v>
      </c>
      <c r="E2297" t="s">
        <v>7093</v>
      </c>
      <c r="F2297" t="s">
        <v>7094</v>
      </c>
      <c r="I2297" t="s">
        <v>29</v>
      </c>
      <c r="J2297" t="s">
        <v>30</v>
      </c>
      <c r="K2297" t="s">
        <v>31</v>
      </c>
      <c r="M2297" t="s">
        <v>32</v>
      </c>
      <c r="N2297" t="str">
        <f>"12/9/2005 12:00:00 AM"</f>
        <v>12/9/2005 12:00:00 AM</v>
      </c>
      <c r="O2297" t="s">
        <v>7092</v>
      </c>
      <c r="T2297" t="s">
        <v>7093</v>
      </c>
    </row>
    <row r="2298" spans="1:20" x14ac:dyDescent="0.25">
      <c r="A2298" t="str">
        <f>"3043175"</f>
        <v>3043175</v>
      </c>
      <c r="B2298" t="s">
        <v>7095</v>
      </c>
      <c r="C2298" t="str">
        <f>"34740000"</f>
        <v>34740000</v>
      </c>
      <c r="D2298" t="s">
        <v>7096</v>
      </c>
      <c r="E2298" t="s">
        <v>7097</v>
      </c>
      <c r="F2298" t="s">
        <v>7098</v>
      </c>
      <c r="I2298" t="s">
        <v>29</v>
      </c>
      <c r="J2298" t="s">
        <v>30</v>
      </c>
      <c r="K2298" t="s">
        <v>31</v>
      </c>
      <c r="M2298" t="s">
        <v>32</v>
      </c>
      <c r="N2298" t="str">
        <f>"1/5/2010 12:00:00 AM"</f>
        <v>1/5/2010 12:00:00 AM</v>
      </c>
      <c r="O2298" t="s">
        <v>7096</v>
      </c>
      <c r="T2298" t="s">
        <v>7097</v>
      </c>
    </row>
    <row r="2299" spans="1:20" x14ac:dyDescent="0.25">
      <c r="A2299" t="str">
        <f>"3077973"</f>
        <v>3077973</v>
      </c>
      <c r="B2299" t="s">
        <v>7099</v>
      </c>
      <c r="C2299" t="str">
        <f>"34740000"</f>
        <v>34740000</v>
      </c>
      <c r="D2299" t="s">
        <v>7096</v>
      </c>
      <c r="E2299" t="s">
        <v>7097</v>
      </c>
      <c r="F2299" t="s">
        <v>7098</v>
      </c>
      <c r="I2299" t="s">
        <v>29</v>
      </c>
      <c r="J2299" t="s">
        <v>30</v>
      </c>
      <c r="K2299" t="s">
        <v>31</v>
      </c>
      <c r="M2299" t="s">
        <v>32</v>
      </c>
      <c r="N2299" t="str">
        <f>"1/5/2010 12:00:00 AM"</f>
        <v>1/5/2010 12:00:00 AM</v>
      </c>
      <c r="O2299" t="s">
        <v>7096</v>
      </c>
      <c r="T2299" t="s">
        <v>7097</v>
      </c>
    </row>
    <row r="2300" spans="1:20" x14ac:dyDescent="0.25">
      <c r="A2300" t="str">
        <f>"3077970"</f>
        <v>3077970</v>
      </c>
      <c r="B2300" t="s">
        <v>7100</v>
      </c>
      <c r="C2300" t="str">
        <f>"34740000"</f>
        <v>34740000</v>
      </c>
      <c r="D2300" t="s">
        <v>7096</v>
      </c>
      <c r="E2300" t="s">
        <v>7097</v>
      </c>
      <c r="F2300" t="s">
        <v>7098</v>
      </c>
      <c r="I2300" t="s">
        <v>29</v>
      </c>
      <c r="J2300" t="s">
        <v>30</v>
      </c>
      <c r="K2300" t="s">
        <v>31</v>
      </c>
      <c r="M2300" t="s">
        <v>32</v>
      </c>
      <c r="N2300" t="str">
        <f>"1/5/2010 12:00:00 AM"</f>
        <v>1/5/2010 12:00:00 AM</v>
      </c>
      <c r="O2300" t="s">
        <v>7096</v>
      </c>
      <c r="T2300" t="s">
        <v>7097</v>
      </c>
    </row>
    <row r="2301" spans="1:20" x14ac:dyDescent="0.25">
      <c r="A2301" t="str">
        <f>"3043613"</f>
        <v>3043613</v>
      </c>
      <c r="B2301" t="s">
        <v>7101</v>
      </c>
      <c r="C2301" t="str">
        <f>"52280000"</f>
        <v>52280000</v>
      </c>
      <c r="D2301" t="s">
        <v>7102</v>
      </c>
      <c r="F2301" t="s">
        <v>7103</v>
      </c>
      <c r="I2301" t="s">
        <v>184</v>
      </c>
      <c r="J2301" t="s">
        <v>30</v>
      </c>
      <c r="K2301" t="s">
        <v>185</v>
      </c>
      <c r="M2301" t="s">
        <v>32</v>
      </c>
      <c r="N2301" t="str">
        <f>"3/5/2004 12:00:00 AM"</f>
        <v>3/5/2004 12:00:00 AM</v>
      </c>
      <c r="O2301" t="s">
        <v>7102</v>
      </c>
    </row>
    <row r="2302" spans="1:20" x14ac:dyDescent="0.25">
      <c r="A2302" t="str">
        <f>"3043661"</f>
        <v>3043661</v>
      </c>
      <c r="B2302" t="s">
        <v>7104</v>
      </c>
      <c r="C2302" t="str">
        <f>"82513251"</f>
        <v>82513251</v>
      </c>
      <c r="D2302" t="s">
        <v>7105</v>
      </c>
      <c r="E2302" t="s">
        <v>7106</v>
      </c>
      <c r="F2302" t="s">
        <v>7107</v>
      </c>
      <c r="I2302" t="s">
        <v>29</v>
      </c>
      <c r="J2302" t="s">
        <v>30</v>
      </c>
      <c r="K2302" t="s">
        <v>31</v>
      </c>
      <c r="M2302" t="s">
        <v>32</v>
      </c>
      <c r="N2302" t="str">
        <f>"10/5/2009 12:00:00 AM"</f>
        <v>10/5/2009 12:00:00 AM</v>
      </c>
      <c r="O2302" t="s">
        <v>7105</v>
      </c>
      <c r="T2302" t="s">
        <v>7106</v>
      </c>
    </row>
    <row r="2303" spans="1:20" x14ac:dyDescent="0.25">
      <c r="A2303" t="str">
        <f>"3043606"</f>
        <v>3043606</v>
      </c>
      <c r="B2303" t="s">
        <v>7108</v>
      </c>
      <c r="C2303" t="str">
        <f>"82529763"</f>
        <v>82529763</v>
      </c>
      <c r="D2303" t="s">
        <v>7109</v>
      </c>
      <c r="F2303" t="s">
        <v>7110</v>
      </c>
      <c r="I2303" t="s">
        <v>29</v>
      </c>
      <c r="J2303" t="s">
        <v>30</v>
      </c>
      <c r="K2303" t="s">
        <v>31</v>
      </c>
      <c r="M2303" t="s">
        <v>32</v>
      </c>
      <c r="N2303" t="str">
        <f>"6/19/2008 12:00:00 AM"</f>
        <v>6/19/2008 12:00:00 AM</v>
      </c>
      <c r="O2303" t="s">
        <v>7109</v>
      </c>
    </row>
    <row r="2304" spans="1:20" x14ac:dyDescent="0.25">
      <c r="A2304" t="str">
        <f>"3043587"</f>
        <v>3043587</v>
      </c>
      <c r="B2304" t="s">
        <v>7111</v>
      </c>
      <c r="C2304" t="str">
        <f>"55205000"</f>
        <v>55205000</v>
      </c>
      <c r="D2304" t="s">
        <v>7112</v>
      </c>
      <c r="F2304" t="s">
        <v>7113</v>
      </c>
      <c r="I2304" t="s">
        <v>29</v>
      </c>
      <c r="J2304" t="s">
        <v>30</v>
      </c>
      <c r="K2304" t="s">
        <v>7114</v>
      </c>
      <c r="M2304" t="s">
        <v>32</v>
      </c>
      <c r="N2304" t="str">
        <f>"1/12/2009 12:00:00 AM"</f>
        <v>1/12/2009 12:00:00 AM</v>
      </c>
      <c r="O2304" t="s">
        <v>7112</v>
      </c>
      <c r="T2304" t="s">
        <v>7112</v>
      </c>
    </row>
    <row r="2305" spans="1:20" x14ac:dyDescent="0.25">
      <c r="A2305" t="str">
        <f>"3043072"</f>
        <v>3043072</v>
      </c>
      <c r="B2305" t="s">
        <v>7115</v>
      </c>
      <c r="C2305" t="str">
        <f>"55205000"</f>
        <v>55205000</v>
      </c>
      <c r="D2305" t="s">
        <v>7112</v>
      </c>
      <c r="F2305" t="s">
        <v>7113</v>
      </c>
      <c r="I2305" t="s">
        <v>29</v>
      </c>
      <c r="J2305" t="s">
        <v>30</v>
      </c>
      <c r="K2305" t="s">
        <v>7114</v>
      </c>
      <c r="M2305" t="s">
        <v>32</v>
      </c>
      <c r="N2305" t="str">
        <f>"1/12/2009 12:00:00 AM"</f>
        <v>1/12/2009 12:00:00 AM</v>
      </c>
      <c r="O2305" t="s">
        <v>7112</v>
      </c>
      <c r="T2305" t="s">
        <v>7112</v>
      </c>
    </row>
    <row r="2306" spans="1:20" x14ac:dyDescent="0.25">
      <c r="A2306" t="str">
        <f>"3045814"</f>
        <v>3045814</v>
      </c>
      <c r="B2306" t="s">
        <v>7116</v>
      </c>
      <c r="C2306" t="str">
        <f>"82521435"</f>
        <v>82521435</v>
      </c>
      <c r="D2306" t="s">
        <v>7117</v>
      </c>
      <c r="E2306" t="s">
        <v>7118</v>
      </c>
      <c r="F2306" t="s">
        <v>7119</v>
      </c>
      <c r="I2306" t="s">
        <v>29</v>
      </c>
      <c r="J2306" t="s">
        <v>30</v>
      </c>
      <c r="K2306" t="s">
        <v>7120</v>
      </c>
      <c r="M2306" t="s">
        <v>32</v>
      </c>
      <c r="N2306" t="str">
        <f>"2/10/2010 12:00:00 AM"</f>
        <v>2/10/2010 12:00:00 AM</v>
      </c>
      <c r="O2306" t="s">
        <v>7117</v>
      </c>
      <c r="T2306" t="s">
        <v>7118</v>
      </c>
    </row>
    <row r="2307" spans="1:20" x14ac:dyDescent="0.25">
      <c r="A2307" t="str">
        <f>"3043627"</f>
        <v>3043627</v>
      </c>
      <c r="B2307" t="s">
        <v>7121</v>
      </c>
      <c r="C2307" t="str">
        <f>"82518142"</f>
        <v>82518142</v>
      </c>
      <c r="D2307" t="s">
        <v>7122</v>
      </c>
      <c r="F2307" t="s">
        <v>7123</v>
      </c>
      <c r="I2307" t="s">
        <v>29</v>
      </c>
      <c r="J2307" t="s">
        <v>30</v>
      </c>
      <c r="K2307" t="s">
        <v>7124</v>
      </c>
      <c r="M2307" t="s">
        <v>32</v>
      </c>
      <c r="N2307" t="str">
        <f>"1/12/2006 12:00:00 AM"</f>
        <v>1/12/2006 12:00:00 AM</v>
      </c>
      <c r="O2307" t="s">
        <v>7122</v>
      </c>
    </row>
    <row r="2308" spans="1:20" x14ac:dyDescent="0.25">
      <c r="A2308" t="str">
        <f>"3043675"</f>
        <v>3043675</v>
      </c>
      <c r="B2308" t="s">
        <v>7125</v>
      </c>
      <c r="C2308" t="str">
        <f>"18668000"</f>
        <v>18668000</v>
      </c>
      <c r="D2308" t="s">
        <v>7126</v>
      </c>
      <c r="F2308" t="s">
        <v>7127</v>
      </c>
      <c r="I2308" t="s">
        <v>29</v>
      </c>
      <c r="J2308" t="s">
        <v>30</v>
      </c>
      <c r="K2308" t="s">
        <v>31</v>
      </c>
      <c r="M2308" t="s">
        <v>32</v>
      </c>
      <c r="N2308" t="str">
        <f>"11/6/2007 12:00:00 AM"</f>
        <v>11/6/2007 12:00:00 AM</v>
      </c>
      <c r="O2308" t="s">
        <v>7126</v>
      </c>
    </row>
    <row r="2309" spans="1:20" x14ac:dyDescent="0.25">
      <c r="A2309" t="str">
        <f>"3043608"</f>
        <v>3043608</v>
      </c>
      <c r="B2309" t="s">
        <v>7128</v>
      </c>
      <c r="C2309" t="str">
        <f>"39818000"</f>
        <v>39818000</v>
      </c>
      <c r="D2309" t="s">
        <v>7129</v>
      </c>
      <c r="E2309" t="s">
        <v>7130</v>
      </c>
      <c r="F2309" t="s">
        <v>7131</v>
      </c>
      <c r="I2309" t="s">
        <v>29</v>
      </c>
      <c r="J2309" t="s">
        <v>30</v>
      </c>
      <c r="K2309" t="s">
        <v>31</v>
      </c>
      <c r="M2309" t="s">
        <v>32</v>
      </c>
      <c r="N2309" t="str">
        <f>"10/28/2003 12:00:00 AM"</f>
        <v>10/28/2003 12:00:00 AM</v>
      </c>
      <c r="O2309" t="s">
        <v>7129</v>
      </c>
      <c r="T2309" t="s">
        <v>7130</v>
      </c>
    </row>
    <row r="2310" spans="1:20" x14ac:dyDescent="0.25">
      <c r="A2310" t="str">
        <f>"3064419"</f>
        <v>3064419</v>
      </c>
      <c r="B2310" t="s">
        <v>7132</v>
      </c>
      <c r="C2310" t="str">
        <f>"82515915"</f>
        <v>82515915</v>
      </c>
      <c r="D2310" t="s">
        <v>7133</v>
      </c>
      <c r="F2310" t="s">
        <v>7134</v>
      </c>
      <c r="I2310" t="s">
        <v>29</v>
      </c>
      <c r="J2310" t="s">
        <v>30</v>
      </c>
      <c r="K2310" t="s">
        <v>7135</v>
      </c>
      <c r="M2310" t="s">
        <v>32</v>
      </c>
      <c r="N2310" t="str">
        <f>"1/30/2006 12:00:00 AM"</f>
        <v>1/30/2006 12:00:00 AM</v>
      </c>
      <c r="O2310" t="s">
        <v>7133</v>
      </c>
    </row>
    <row r="2311" spans="1:20" x14ac:dyDescent="0.25">
      <c r="A2311" t="str">
        <f>"3066451"</f>
        <v>3066451</v>
      </c>
      <c r="B2311" t="s">
        <v>7136</v>
      </c>
      <c r="C2311" t="str">
        <f>"82515915"</f>
        <v>82515915</v>
      </c>
      <c r="D2311" t="s">
        <v>7133</v>
      </c>
      <c r="F2311" t="s">
        <v>7134</v>
      </c>
      <c r="I2311" t="s">
        <v>29</v>
      </c>
      <c r="J2311" t="s">
        <v>30</v>
      </c>
      <c r="K2311" t="s">
        <v>7135</v>
      </c>
      <c r="M2311" t="s">
        <v>32</v>
      </c>
      <c r="N2311" t="str">
        <f>"1/30/2006 12:00:00 AM"</f>
        <v>1/30/2006 12:00:00 AM</v>
      </c>
      <c r="O2311" t="s">
        <v>7133</v>
      </c>
    </row>
    <row r="2312" spans="1:20" x14ac:dyDescent="0.25">
      <c r="A2312" t="str">
        <f>"3043549"</f>
        <v>3043549</v>
      </c>
      <c r="B2312" t="s">
        <v>7137</v>
      </c>
      <c r="C2312" t="str">
        <f>"36321000"</f>
        <v>36321000</v>
      </c>
      <c r="D2312" t="s">
        <v>7138</v>
      </c>
      <c r="E2312" t="s">
        <v>7139</v>
      </c>
      <c r="F2312" t="s">
        <v>7140</v>
      </c>
      <c r="I2312" t="s">
        <v>29</v>
      </c>
      <c r="J2312" t="s">
        <v>30</v>
      </c>
      <c r="K2312" t="s">
        <v>31</v>
      </c>
      <c r="M2312" t="s">
        <v>32</v>
      </c>
      <c r="N2312" t="str">
        <f>"3/5/2004 12:00:00 AM"</f>
        <v>3/5/2004 12:00:00 AM</v>
      </c>
      <c r="O2312" t="s">
        <v>7138</v>
      </c>
      <c r="T2312" t="s">
        <v>7139</v>
      </c>
    </row>
    <row r="2313" spans="1:20" x14ac:dyDescent="0.25">
      <c r="A2313" t="str">
        <f>"3043783"</f>
        <v>3043783</v>
      </c>
      <c r="B2313" t="s">
        <v>7141</v>
      </c>
      <c r="C2313" t="str">
        <f>"36321000"</f>
        <v>36321000</v>
      </c>
      <c r="D2313" t="s">
        <v>7138</v>
      </c>
      <c r="E2313" t="s">
        <v>7139</v>
      </c>
      <c r="F2313" t="s">
        <v>7140</v>
      </c>
      <c r="I2313" t="s">
        <v>29</v>
      </c>
      <c r="J2313" t="s">
        <v>30</v>
      </c>
      <c r="K2313" t="s">
        <v>31</v>
      </c>
      <c r="M2313" t="s">
        <v>32</v>
      </c>
      <c r="N2313" t="str">
        <f>"3/5/2004 12:00:00 AM"</f>
        <v>3/5/2004 12:00:00 AM</v>
      </c>
      <c r="O2313" t="s">
        <v>7138</v>
      </c>
      <c r="T2313" t="s">
        <v>7139</v>
      </c>
    </row>
    <row r="2314" spans="1:20" x14ac:dyDescent="0.25">
      <c r="A2314" t="str">
        <f>"3043768"</f>
        <v>3043768</v>
      </c>
      <c r="B2314" t="s">
        <v>7142</v>
      </c>
      <c r="C2314" t="str">
        <f>"36321000"</f>
        <v>36321000</v>
      </c>
      <c r="D2314" t="s">
        <v>7138</v>
      </c>
      <c r="E2314" t="s">
        <v>7139</v>
      </c>
      <c r="F2314" t="s">
        <v>7140</v>
      </c>
      <c r="I2314" t="s">
        <v>29</v>
      </c>
      <c r="J2314" t="s">
        <v>30</v>
      </c>
      <c r="K2314" t="s">
        <v>31</v>
      </c>
      <c r="M2314" t="s">
        <v>32</v>
      </c>
      <c r="N2314" t="str">
        <f>"3/5/2004 12:00:00 AM"</f>
        <v>3/5/2004 12:00:00 AM</v>
      </c>
      <c r="O2314" t="s">
        <v>7138</v>
      </c>
      <c r="T2314" t="s">
        <v>7139</v>
      </c>
    </row>
    <row r="2315" spans="1:20" x14ac:dyDescent="0.25">
      <c r="A2315" t="str">
        <f>"3043773"</f>
        <v>3043773</v>
      </c>
      <c r="B2315" t="s">
        <v>7143</v>
      </c>
      <c r="C2315" t="str">
        <f>"50776000"</f>
        <v>50776000</v>
      </c>
      <c r="D2315" t="s">
        <v>7144</v>
      </c>
      <c r="F2315" t="s">
        <v>7145</v>
      </c>
      <c r="I2315" t="s">
        <v>29</v>
      </c>
      <c r="J2315" t="s">
        <v>30</v>
      </c>
      <c r="K2315" t="s">
        <v>7146</v>
      </c>
      <c r="M2315" t="s">
        <v>32</v>
      </c>
      <c r="N2315" t="str">
        <f>"2/14/2007 12:00:00 AM"</f>
        <v>2/14/2007 12:00:00 AM</v>
      </c>
      <c r="O2315" t="s">
        <v>7144</v>
      </c>
      <c r="T2315" t="s">
        <v>7144</v>
      </c>
    </row>
    <row r="2316" spans="1:20" x14ac:dyDescent="0.25">
      <c r="A2316" t="str">
        <f>"3043579"</f>
        <v>3043579</v>
      </c>
      <c r="B2316" t="s">
        <v>7147</v>
      </c>
      <c r="C2316" t="str">
        <f>"82523745"</f>
        <v>82523745</v>
      </c>
      <c r="D2316" t="s">
        <v>7148</v>
      </c>
      <c r="E2316" t="s">
        <v>7149</v>
      </c>
      <c r="F2316" t="s">
        <v>7150</v>
      </c>
      <c r="I2316" t="s">
        <v>29</v>
      </c>
      <c r="J2316" t="s">
        <v>30</v>
      </c>
      <c r="K2316" t="s">
        <v>31</v>
      </c>
      <c r="M2316" t="s">
        <v>32</v>
      </c>
      <c r="N2316" t="str">
        <f>"1/19/2005 12:00:00 AM"</f>
        <v>1/19/2005 12:00:00 AM</v>
      </c>
      <c r="O2316" t="s">
        <v>7148</v>
      </c>
      <c r="T2316" t="s">
        <v>7149</v>
      </c>
    </row>
    <row r="2317" spans="1:20" x14ac:dyDescent="0.25">
      <c r="A2317" t="str">
        <f>"3043715"</f>
        <v>3043715</v>
      </c>
      <c r="B2317" t="s">
        <v>7151</v>
      </c>
      <c r="C2317" t="str">
        <f>"82514414"</f>
        <v>82514414</v>
      </c>
      <c r="D2317" t="s">
        <v>7152</v>
      </c>
      <c r="E2317" t="s">
        <v>7153</v>
      </c>
      <c r="F2317" t="s">
        <v>7154</v>
      </c>
      <c r="I2317" t="s">
        <v>29</v>
      </c>
      <c r="J2317" t="s">
        <v>30</v>
      </c>
      <c r="K2317" t="s">
        <v>7155</v>
      </c>
      <c r="M2317" t="s">
        <v>32</v>
      </c>
      <c r="N2317" t="str">
        <f>"1/11/2006 12:00:00 AM"</f>
        <v>1/11/2006 12:00:00 AM</v>
      </c>
      <c r="O2317" t="s">
        <v>7152</v>
      </c>
      <c r="T2317" t="s">
        <v>7153</v>
      </c>
    </row>
    <row r="2318" spans="1:20" x14ac:dyDescent="0.25">
      <c r="A2318" t="str">
        <f>"3043184"</f>
        <v>3043184</v>
      </c>
      <c r="B2318" t="s">
        <v>7156</v>
      </c>
      <c r="C2318" t="str">
        <f>"82514414"</f>
        <v>82514414</v>
      </c>
      <c r="D2318" t="s">
        <v>7152</v>
      </c>
      <c r="E2318" t="s">
        <v>7153</v>
      </c>
      <c r="F2318" t="s">
        <v>7154</v>
      </c>
      <c r="I2318" t="s">
        <v>29</v>
      </c>
      <c r="J2318" t="s">
        <v>30</v>
      </c>
      <c r="K2318" t="s">
        <v>7155</v>
      </c>
      <c r="M2318" t="s">
        <v>32</v>
      </c>
      <c r="N2318" t="str">
        <f>"1/11/2006 12:00:00 AM"</f>
        <v>1/11/2006 12:00:00 AM</v>
      </c>
      <c r="O2318" t="s">
        <v>7152</v>
      </c>
      <c r="T2318" t="s">
        <v>7153</v>
      </c>
    </row>
    <row r="2319" spans="1:20" x14ac:dyDescent="0.25">
      <c r="A2319" t="str">
        <f>"3043062"</f>
        <v>3043062</v>
      </c>
      <c r="B2319" t="s">
        <v>7157</v>
      </c>
      <c r="C2319" t="str">
        <f>"37139000"</f>
        <v>37139000</v>
      </c>
      <c r="D2319" t="s">
        <v>6735</v>
      </c>
      <c r="F2319" t="s">
        <v>6736</v>
      </c>
      <c r="I2319" t="s">
        <v>29</v>
      </c>
      <c r="J2319" t="s">
        <v>30</v>
      </c>
      <c r="K2319" t="s">
        <v>6737</v>
      </c>
      <c r="M2319" t="s">
        <v>32</v>
      </c>
      <c r="N2319" t="str">
        <f>"2/7/2006 12:00:00 AM"</f>
        <v>2/7/2006 12:00:00 AM</v>
      </c>
      <c r="O2319" t="s">
        <v>6735</v>
      </c>
    </row>
    <row r="2320" spans="1:20" x14ac:dyDescent="0.25">
      <c r="A2320" t="str">
        <f>"3038732"</f>
        <v>3038732</v>
      </c>
      <c r="B2320" t="s">
        <v>7158</v>
      </c>
      <c r="C2320" t="str">
        <f>"4524000"</f>
        <v>4524000</v>
      </c>
      <c r="D2320" t="s">
        <v>6929</v>
      </c>
      <c r="E2320" t="s">
        <v>6930</v>
      </c>
      <c r="F2320" t="s">
        <v>6931</v>
      </c>
      <c r="I2320" t="s">
        <v>29</v>
      </c>
      <c r="J2320" t="s">
        <v>30</v>
      </c>
      <c r="K2320" t="s">
        <v>6932</v>
      </c>
      <c r="M2320" t="s">
        <v>32</v>
      </c>
      <c r="N2320" t="str">
        <f>"1/27/2005 12:00:00 AM"</f>
        <v>1/27/2005 12:00:00 AM</v>
      </c>
      <c r="O2320" t="s">
        <v>6929</v>
      </c>
      <c r="T2320" t="s">
        <v>6930</v>
      </c>
    </row>
    <row r="2321" spans="1:20" x14ac:dyDescent="0.25">
      <c r="A2321" t="str">
        <f>"3038901"</f>
        <v>3038901</v>
      </c>
      <c r="B2321" t="s">
        <v>7159</v>
      </c>
      <c r="C2321" t="str">
        <f>"82521552"</f>
        <v>82521552</v>
      </c>
      <c r="D2321" t="s">
        <v>7160</v>
      </c>
      <c r="F2321" t="s">
        <v>6945</v>
      </c>
      <c r="I2321" t="s">
        <v>29</v>
      </c>
      <c r="J2321" t="s">
        <v>30</v>
      </c>
      <c r="K2321" t="s">
        <v>31</v>
      </c>
      <c r="M2321" t="s">
        <v>32</v>
      </c>
      <c r="N2321" t="str">
        <f>"10/9/2003 12:00:00 AM"</f>
        <v>10/9/2003 12:00:00 AM</v>
      </c>
      <c r="O2321" t="s">
        <v>7160</v>
      </c>
    </row>
    <row r="2322" spans="1:20" x14ac:dyDescent="0.25">
      <c r="A2322" t="str">
        <f>"3043090"</f>
        <v>3043090</v>
      </c>
      <c r="B2322" t="s">
        <v>7161</v>
      </c>
      <c r="C2322" t="str">
        <f>"70100000"</f>
        <v>70100000</v>
      </c>
      <c r="D2322" t="s">
        <v>7162</v>
      </c>
      <c r="E2322" t="s">
        <v>7163</v>
      </c>
      <c r="F2322" t="s">
        <v>7164</v>
      </c>
      <c r="I2322" t="s">
        <v>29</v>
      </c>
      <c r="J2322" t="s">
        <v>30</v>
      </c>
      <c r="K2322" t="s">
        <v>31</v>
      </c>
      <c r="M2322" t="s">
        <v>32</v>
      </c>
      <c r="N2322" t="str">
        <f>"2/13/2003 12:00:00 AM"</f>
        <v>2/13/2003 12:00:00 AM</v>
      </c>
      <c r="O2322" t="s">
        <v>7162</v>
      </c>
      <c r="T2322" t="s">
        <v>7163</v>
      </c>
    </row>
    <row r="2323" spans="1:20" x14ac:dyDescent="0.25">
      <c r="A2323" t="str">
        <f>"3043083"</f>
        <v>3043083</v>
      </c>
      <c r="B2323" t="s">
        <v>7165</v>
      </c>
      <c r="C2323" t="str">
        <f>"70100000"</f>
        <v>70100000</v>
      </c>
      <c r="D2323" t="s">
        <v>7162</v>
      </c>
      <c r="E2323" t="s">
        <v>7163</v>
      </c>
      <c r="F2323" t="s">
        <v>7164</v>
      </c>
      <c r="I2323" t="s">
        <v>29</v>
      </c>
      <c r="J2323" t="s">
        <v>30</v>
      </c>
      <c r="K2323" t="s">
        <v>31</v>
      </c>
      <c r="M2323" t="s">
        <v>32</v>
      </c>
      <c r="N2323" t="str">
        <f>"2/13/2003 12:00:00 AM"</f>
        <v>2/13/2003 12:00:00 AM</v>
      </c>
      <c r="O2323" t="s">
        <v>7162</v>
      </c>
      <c r="T2323" t="s">
        <v>7163</v>
      </c>
    </row>
    <row r="2324" spans="1:20" x14ac:dyDescent="0.25">
      <c r="A2324" t="str">
        <f>"3043712"</f>
        <v>3043712</v>
      </c>
      <c r="B2324" t="s">
        <v>7166</v>
      </c>
      <c r="C2324" t="str">
        <f>"82517900"</f>
        <v>82517900</v>
      </c>
      <c r="D2324" t="s">
        <v>7167</v>
      </c>
      <c r="E2324" t="s">
        <v>7168</v>
      </c>
      <c r="F2324" t="s">
        <v>7169</v>
      </c>
      <c r="I2324" t="s">
        <v>29</v>
      </c>
      <c r="J2324" t="s">
        <v>30</v>
      </c>
      <c r="K2324" t="s">
        <v>7170</v>
      </c>
      <c r="M2324" t="s">
        <v>32</v>
      </c>
      <c r="N2324" t="str">
        <f>"1/17/2006 12:00:00 AM"</f>
        <v>1/17/2006 12:00:00 AM</v>
      </c>
      <c r="O2324" t="s">
        <v>7167</v>
      </c>
      <c r="T2324" t="s">
        <v>7168</v>
      </c>
    </row>
    <row r="2325" spans="1:20" x14ac:dyDescent="0.25">
      <c r="A2325" t="str">
        <f>"3043123"</f>
        <v>3043123</v>
      </c>
      <c r="B2325" t="s">
        <v>7171</v>
      </c>
      <c r="C2325" t="str">
        <f>"40246000"</f>
        <v>40246000</v>
      </c>
      <c r="D2325" t="s">
        <v>7172</v>
      </c>
      <c r="E2325" t="s">
        <v>7173</v>
      </c>
      <c r="F2325" t="s">
        <v>7174</v>
      </c>
      <c r="I2325" t="s">
        <v>3580</v>
      </c>
      <c r="J2325" t="s">
        <v>30</v>
      </c>
      <c r="K2325" t="s">
        <v>2758</v>
      </c>
      <c r="M2325" t="s">
        <v>32</v>
      </c>
      <c r="N2325" t="str">
        <f>"12/18/2003 12:00:00 AM"</f>
        <v>12/18/2003 12:00:00 AM</v>
      </c>
      <c r="O2325" t="s">
        <v>7172</v>
      </c>
      <c r="T2325" t="s">
        <v>7173</v>
      </c>
    </row>
    <row r="2326" spans="1:20" x14ac:dyDescent="0.25">
      <c r="A2326" t="str">
        <f>"3037790"</f>
        <v>3037790</v>
      </c>
      <c r="B2326" t="s">
        <v>7175</v>
      </c>
      <c r="C2326" t="str">
        <f>"7495250"</f>
        <v>7495250</v>
      </c>
      <c r="D2326" t="s">
        <v>7176</v>
      </c>
      <c r="F2326" t="s">
        <v>7177</v>
      </c>
      <c r="I2326" t="s">
        <v>29</v>
      </c>
      <c r="J2326" t="s">
        <v>30</v>
      </c>
      <c r="K2326" t="s">
        <v>7178</v>
      </c>
      <c r="M2326" t="s">
        <v>32</v>
      </c>
      <c r="N2326" t="str">
        <f>"8/16/2005 12:00:00 AM"</f>
        <v>8/16/2005 12:00:00 AM</v>
      </c>
      <c r="O2326" t="s">
        <v>7176</v>
      </c>
    </row>
    <row r="2327" spans="1:20" x14ac:dyDescent="0.25">
      <c r="A2327" t="str">
        <f>"3043658"</f>
        <v>3043658</v>
      </c>
      <c r="B2327" t="s">
        <v>7179</v>
      </c>
      <c r="C2327" t="str">
        <f>"82528707"</f>
        <v>82528707</v>
      </c>
      <c r="D2327" t="s">
        <v>7180</v>
      </c>
      <c r="F2327" t="s">
        <v>7181</v>
      </c>
      <c r="I2327" t="s">
        <v>29</v>
      </c>
      <c r="J2327" t="s">
        <v>30</v>
      </c>
      <c r="K2327" t="s">
        <v>31</v>
      </c>
      <c r="M2327" t="s">
        <v>32</v>
      </c>
      <c r="N2327" t="str">
        <f>"9/7/2011 12:00:00 AM"</f>
        <v>9/7/2011 12:00:00 AM</v>
      </c>
      <c r="O2327" t="s">
        <v>7180</v>
      </c>
    </row>
    <row r="2328" spans="1:20" x14ac:dyDescent="0.25">
      <c r="A2328" t="str">
        <f>"3043602"</f>
        <v>3043602</v>
      </c>
      <c r="B2328" t="s">
        <v>7182</v>
      </c>
      <c r="C2328" t="str">
        <f>"82521618"</f>
        <v>82521618</v>
      </c>
      <c r="D2328" t="s">
        <v>7096</v>
      </c>
      <c r="F2328" t="s">
        <v>7098</v>
      </c>
      <c r="I2328" t="s">
        <v>29</v>
      </c>
      <c r="J2328" t="s">
        <v>30</v>
      </c>
      <c r="K2328" t="s">
        <v>31</v>
      </c>
      <c r="M2328" t="s">
        <v>32</v>
      </c>
      <c r="N2328" t="str">
        <f>"1/5/2010 12:00:00 AM"</f>
        <v>1/5/2010 12:00:00 AM</v>
      </c>
      <c r="O2328" t="s">
        <v>7096</v>
      </c>
    </row>
    <row r="2329" spans="1:20" x14ac:dyDescent="0.25">
      <c r="A2329" t="str">
        <f>"3043603"</f>
        <v>3043603</v>
      </c>
      <c r="B2329" t="s">
        <v>7183</v>
      </c>
      <c r="C2329" t="str">
        <f>"39460000"</f>
        <v>39460000</v>
      </c>
      <c r="D2329" t="s">
        <v>7184</v>
      </c>
      <c r="E2329" t="s">
        <v>7185</v>
      </c>
      <c r="F2329" t="s">
        <v>7186</v>
      </c>
      <c r="I2329" t="s">
        <v>29</v>
      </c>
      <c r="J2329" t="s">
        <v>30</v>
      </c>
      <c r="K2329" t="s">
        <v>31</v>
      </c>
      <c r="M2329" t="s">
        <v>32</v>
      </c>
      <c r="N2329" t="str">
        <f>"11/12/2003 12:00:00 AM"</f>
        <v>11/12/2003 12:00:00 AM</v>
      </c>
      <c r="O2329" t="s">
        <v>7184</v>
      </c>
      <c r="T2329" t="s">
        <v>7185</v>
      </c>
    </row>
    <row r="2330" spans="1:20" x14ac:dyDescent="0.25">
      <c r="A2330" t="str">
        <f>"3043604"</f>
        <v>3043604</v>
      </c>
      <c r="B2330" t="s">
        <v>7187</v>
      </c>
      <c r="C2330" t="str">
        <f>"35388000"</f>
        <v>35388000</v>
      </c>
      <c r="D2330" t="s">
        <v>7188</v>
      </c>
      <c r="E2330" t="s">
        <v>7189</v>
      </c>
      <c r="F2330" t="s">
        <v>7190</v>
      </c>
      <c r="I2330" t="s">
        <v>29</v>
      </c>
      <c r="J2330" t="s">
        <v>30</v>
      </c>
      <c r="K2330" t="s">
        <v>31</v>
      </c>
      <c r="M2330" t="s">
        <v>32</v>
      </c>
      <c r="N2330" t="str">
        <f>"10/15/2003 12:00:00 AM"</f>
        <v>10/15/2003 12:00:00 AM</v>
      </c>
      <c r="O2330" t="s">
        <v>7188</v>
      </c>
      <c r="T2330" t="s">
        <v>7189</v>
      </c>
    </row>
    <row r="2331" spans="1:20" x14ac:dyDescent="0.25">
      <c r="A2331" t="str">
        <f>"3077705"</f>
        <v>3077705</v>
      </c>
      <c r="B2331" t="s">
        <v>7191</v>
      </c>
      <c r="C2331" t="str">
        <f>"35388000"</f>
        <v>35388000</v>
      </c>
      <c r="D2331" t="s">
        <v>7188</v>
      </c>
      <c r="E2331" t="s">
        <v>7189</v>
      </c>
      <c r="F2331" t="s">
        <v>7190</v>
      </c>
      <c r="I2331" t="s">
        <v>29</v>
      </c>
      <c r="J2331" t="s">
        <v>30</v>
      </c>
      <c r="K2331" t="s">
        <v>31</v>
      </c>
      <c r="M2331" t="s">
        <v>32</v>
      </c>
      <c r="N2331" t="str">
        <f>"10/15/2003 12:00:00 AM"</f>
        <v>10/15/2003 12:00:00 AM</v>
      </c>
      <c r="O2331" t="s">
        <v>7188</v>
      </c>
      <c r="T2331" t="s">
        <v>7189</v>
      </c>
    </row>
    <row r="2332" spans="1:20" x14ac:dyDescent="0.25">
      <c r="A2332" t="str">
        <f>"3037794"</f>
        <v>3037794</v>
      </c>
      <c r="B2332" t="s">
        <v>7192</v>
      </c>
      <c r="C2332" t="str">
        <f>"7495250"</f>
        <v>7495250</v>
      </c>
      <c r="D2332" t="s">
        <v>7176</v>
      </c>
      <c r="F2332" t="s">
        <v>7177</v>
      </c>
      <c r="I2332" t="s">
        <v>29</v>
      </c>
      <c r="J2332" t="s">
        <v>30</v>
      </c>
      <c r="K2332" t="s">
        <v>7178</v>
      </c>
      <c r="M2332" t="s">
        <v>32</v>
      </c>
      <c r="N2332" t="str">
        <f>"8/16/2005 12:00:00 AM"</f>
        <v>8/16/2005 12:00:00 AM</v>
      </c>
      <c r="O2332" t="s">
        <v>7176</v>
      </c>
    </row>
    <row r="2333" spans="1:20" x14ac:dyDescent="0.25">
      <c r="A2333" t="str">
        <f>"3043432"</f>
        <v>3043432</v>
      </c>
      <c r="B2333" t="s">
        <v>7193</v>
      </c>
      <c r="C2333" t="str">
        <f>"69380750"</f>
        <v>69380750</v>
      </c>
      <c r="D2333" t="s">
        <v>7194</v>
      </c>
      <c r="E2333" t="s">
        <v>7195</v>
      </c>
      <c r="F2333" t="s">
        <v>7196</v>
      </c>
      <c r="I2333" t="s">
        <v>29</v>
      </c>
      <c r="J2333" t="s">
        <v>30</v>
      </c>
      <c r="K2333" t="s">
        <v>31</v>
      </c>
      <c r="M2333" t="s">
        <v>32</v>
      </c>
      <c r="N2333" t="str">
        <f>"3/14/2008 12:00:00 AM"</f>
        <v>3/14/2008 12:00:00 AM</v>
      </c>
      <c r="O2333" t="s">
        <v>7194</v>
      </c>
      <c r="T2333" t="s">
        <v>7195</v>
      </c>
    </row>
    <row r="2334" spans="1:20" x14ac:dyDescent="0.25">
      <c r="A2334" t="str">
        <f>"3043799"</f>
        <v>3043799</v>
      </c>
      <c r="B2334" t="s">
        <v>7197</v>
      </c>
      <c r="C2334" t="str">
        <f>"48912000"</f>
        <v>48912000</v>
      </c>
      <c r="D2334" t="s">
        <v>7198</v>
      </c>
      <c r="E2334" t="s">
        <v>7199</v>
      </c>
      <c r="F2334" t="s">
        <v>7200</v>
      </c>
      <c r="I2334" t="s">
        <v>29</v>
      </c>
      <c r="J2334" t="s">
        <v>30</v>
      </c>
      <c r="K2334" t="s">
        <v>31</v>
      </c>
      <c r="M2334" t="s">
        <v>32</v>
      </c>
      <c r="N2334" t="str">
        <f>"2/19/2004 12:00:00 AM"</f>
        <v>2/19/2004 12:00:00 AM</v>
      </c>
      <c r="O2334" t="s">
        <v>7198</v>
      </c>
      <c r="T2334" t="s">
        <v>7199</v>
      </c>
    </row>
    <row r="2335" spans="1:20" x14ac:dyDescent="0.25">
      <c r="A2335" t="str">
        <f>"3043195"</f>
        <v>3043195</v>
      </c>
      <c r="B2335" t="s">
        <v>7201</v>
      </c>
      <c r="C2335" t="str">
        <f>"82522099"</f>
        <v>82522099</v>
      </c>
      <c r="D2335" t="s">
        <v>7202</v>
      </c>
      <c r="F2335" t="s">
        <v>7203</v>
      </c>
      <c r="I2335" t="s">
        <v>7204</v>
      </c>
      <c r="J2335" t="s">
        <v>30</v>
      </c>
      <c r="K2335" t="s">
        <v>7205</v>
      </c>
      <c r="M2335" t="s">
        <v>32</v>
      </c>
      <c r="N2335" t="str">
        <f>"1/25/2005 12:00:00 AM"</f>
        <v>1/25/2005 12:00:00 AM</v>
      </c>
      <c r="O2335" t="s">
        <v>7202</v>
      </c>
      <c r="T2335" t="s">
        <v>7202</v>
      </c>
    </row>
    <row r="2336" spans="1:20" x14ac:dyDescent="0.25">
      <c r="A2336" t="str">
        <f>"3043107"</f>
        <v>3043107</v>
      </c>
      <c r="B2336" t="s">
        <v>7206</v>
      </c>
      <c r="C2336" t="str">
        <f>"33518000"</f>
        <v>33518000</v>
      </c>
      <c r="D2336" t="s">
        <v>7207</v>
      </c>
      <c r="F2336" t="s">
        <v>7208</v>
      </c>
      <c r="I2336" t="s">
        <v>7209</v>
      </c>
      <c r="J2336" t="s">
        <v>30</v>
      </c>
      <c r="K2336" t="s">
        <v>7210</v>
      </c>
      <c r="M2336" t="s">
        <v>32</v>
      </c>
      <c r="N2336" t="str">
        <f>"10/13/2003 12:00:00 AM"</f>
        <v>10/13/2003 12:00:00 AM</v>
      </c>
      <c r="O2336" t="s">
        <v>7207</v>
      </c>
    </row>
    <row r="2337" spans="1:20" x14ac:dyDescent="0.25">
      <c r="A2337" t="str">
        <f>"3043584"</f>
        <v>3043584</v>
      </c>
      <c r="B2337" t="s">
        <v>7211</v>
      </c>
      <c r="C2337" t="str">
        <f>"33518000"</f>
        <v>33518000</v>
      </c>
      <c r="D2337" t="s">
        <v>7207</v>
      </c>
      <c r="F2337" t="s">
        <v>7208</v>
      </c>
      <c r="I2337" t="s">
        <v>7209</v>
      </c>
      <c r="J2337" t="s">
        <v>30</v>
      </c>
      <c r="K2337" t="s">
        <v>7210</v>
      </c>
      <c r="M2337" t="s">
        <v>32</v>
      </c>
      <c r="N2337" t="str">
        <f>"10/13/2003 12:00:00 AM"</f>
        <v>10/13/2003 12:00:00 AM</v>
      </c>
      <c r="O2337" t="s">
        <v>7207</v>
      </c>
    </row>
    <row r="2338" spans="1:20" x14ac:dyDescent="0.25">
      <c r="A2338" t="str">
        <f>"3043120"</f>
        <v>3043120</v>
      </c>
      <c r="B2338" t="s">
        <v>7212</v>
      </c>
      <c r="C2338" t="str">
        <f>"82529962"</f>
        <v>82529962</v>
      </c>
      <c r="D2338" t="s">
        <v>7213</v>
      </c>
      <c r="E2338" t="s">
        <v>7214</v>
      </c>
      <c r="F2338" t="s">
        <v>7215</v>
      </c>
      <c r="I2338" t="s">
        <v>29</v>
      </c>
      <c r="J2338" t="s">
        <v>30</v>
      </c>
      <c r="K2338" t="s">
        <v>31</v>
      </c>
      <c r="M2338" t="s">
        <v>32</v>
      </c>
      <c r="N2338" t="str">
        <f>"1/15/2010 12:00:00 AM"</f>
        <v>1/15/2010 12:00:00 AM</v>
      </c>
      <c r="O2338" t="s">
        <v>7213</v>
      </c>
      <c r="T2338" t="s">
        <v>7214</v>
      </c>
    </row>
    <row r="2339" spans="1:20" x14ac:dyDescent="0.25">
      <c r="A2339" t="str">
        <f>"3077721"</f>
        <v>3077721</v>
      </c>
      <c r="B2339" t="s">
        <v>7216</v>
      </c>
      <c r="C2339" t="str">
        <f>"82529962"</f>
        <v>82529962</v>
      </c>
      <c r="D2339" t="s">
        <v>7213</v>
      </c>
      <c r="E2339" t="s">
        <v>7214</v>
      </c>
      <c r="F2339" t="s">
        <v>7215</v>
      </c>
      <c r="I2339" t="s">
        <v>29</v>
      </c>
      <c r="J2339" t="s">
        <v>30</v>
      </c>
      <c r="K2339" t="s">
        <v>31</v>
      </c>
      <c r="M2339" t="s">
        <v>32</v>
      </c>
      <c r="N2339" t="str">
        <f>"1/15/2010 12:00:00 AM"</f>
        <v>1/15/2010 12:00:00 AM</v>
      </c>
      <c r="O2339" t="s">
        <v>7213</v>
      </c>
      <c r="T2339" t="s">
        <v>7214</v>
      </c>
    </row>
    <row r="2340" spans="1:20" x14ac:dyDescent="0.25">
      <c r="A2340" t="str">
        <f>"3077722"</f>
        <v>3077722</v>
      </c>
      <c r="B2340" t="s">
        <v>7217</v>
      </c>
      <c r="C2340" t="str">
        <f>"82529962"</f>
        <v>82529962</v>
      </c>
      <c r="D2340" t="s">
        <v>7213</v>
      </c>
      <c r="E2340" t="s">
        <v>7214</v>
      </c>
      <c r="F2340" t="s">
        <v>7215</v>
      </c>
      <c r="I2340" t="s">
        <v>29</v>
      </c>
      <c r="J2340" t="s">
        <v>30</v>
      </c>
      <c r="K2340" t="s">
        <v>31</v>
      </c>
      <c r="M2340" t="s">
        <v>32</v>
      </c>
      <c r="N2340" t="str">
        <f>"1/15/2010 12:00:00 AM"</f>
        <v>1/15/2010 12:00:00 AM</v>
      </c>
      <c r="O2340" t="s">
        <v>7213</v>
      </c>
      <c r="T2340" t="s">
        <v>7214</v>
      </c>
    </row>
    <row r="2341" spans="1:20" x14ac:dyDescent="0.25">
      <c r="A2341" t="str">
        <f>"3077723"</f>
        <v>3077723</v>
      </c>
      <c r="B2341" t="s">
        <v>7218</v>
      </c>
      <c r="C2341" t="str">
        <f>"82529962"</f>
        <v>82529962</v>
      </c>
      <c r="D2341" t="s">
        <v>7213</v>
      </c>
      <c r="E2341" t="s">
        <v>7214</v>
      </c>
      <c r="F2341" t="s">
        <v>7215</v>
      </c>
      <c r="I2341" t="s">
        <v>29</v>
      </c>
      <c r="J2341" t="s">
        <v>30</v>
      </c>
      <c r="K2341" t="s">
        <v>31</v>
      </c>
      <c r="M2341" t="s">
        <v>32</v>
      </c>
      <c r="N2341" t="str">
        <f>"1/15/2010 12:00:00 AM"</f>
        <v>1/15/2010 12:00:00 AM</v>
      </c>
      <c r="O2341" t="s">
        <v>7213</v>
      </c>
      <c r="T2341" t="s">
        <v>7214</v>
      </c>
    </row>
    <row r="2342" spans="1:20" x14ac:dyDescent="0.25">
      <c r="A2342" t="str">
        <f>"3066040"</f>
        <v>3066040</v>
      </c>
      <c r="B2342" t="s">
        <v>7219</v>
      </c>
      <c r="C2342" t="str">
        <f>"82518557"</f>
        <v>82518557</v>
      </c>
      <c r="D2342" t="s">
        <v>7213</v>
      </c>
      <c r="E2342" t="s">
        <v>7220</v>
      </c>
      <c r="F2342" t="s">
        <v>7215</v>
      </c>
      <c r="I2342" t="s">
        <v>29</v>
      </c>
      <c r="J2342" t="s">
        <v>30</v>
      </c>
      <c r="K2342" t="s">
        <v>7221</v>
      </c>
      <c r="M2342" t="s">
        <v>32</v>
      </c>
      <c r="N2342" t="str">
        <f>"3/5/2003 12:00:00 AM"</f>
        <v>3/5/2003 12:00:00 AM</v>
      </c>
      <c r="O2342" t="s">
        <v>7213</v>
      </c>
      <c r="T2342" t="s">
        <v>7220</v>
      </c>
    </row>
    <row r="2343" spans="1:20" x14ac:dyDescent="0.25">
      <c r="A2343" t="str">
        <f>"3043156"</f>
        <v>3043156</v>
      </c>
      <c r="B2343" t="s">
        <v>7222</v>
      </c>
      <c r="C2343" t="str">
        <f>"82518557"</f>
        <v>82518557</v>
      </c>
      <c r="D2343" t="s">
        <v>7213</v>
      </c>
      <c r="E2343" t="s">
        <v>7220</v>
      </c>
      <c r="F2343" t="s">
        <v>7215</v>
      </c>
      <c r="I2343" t="s">
        <v>29</v>
      </c>
      <c r="J2343" t="s">
        <v>30</v>
      </c>
      <c r="K2343" t="s">
        <v>7221</v>
      </c>
      <c r="M2343" t="s">
        <v>32</v>
      </c>
      <c r="N2343" t="str">
        <f>"3/5/2003 12:00:00 AM"</f>
        <v>3/5/2003 12:00:00 AM</v>
      </c>
      <c r="O2343" t="s">
        <v>7213</v>
      </c>
      <c r="T2343" t="s">
        <v>7220</v>
      </c>
    </row>
    <row r="2344" spans="1:20" x14ac:dyDescent="0.25">
      <c r="A2344" t="str">
        <f>"3043592"</f>
        <v>3043592</v>
      </c>
      <c r="B2344" t="s">
        <v>7223</v>
      </c>
      <c r="C2344" t="str">
        <f>"1962780"</f>
        <v>1962780</v>
      </c>
      <c r="D2344" t="s">
        <v>7213</v>
      </c>
      <c r="F2344" t="s">
        <v>7215</v>
      </c>
      <c r="I2344" t="s">
        <v>29</v>
      </c>
      <c r="J2344" t="s">
        <v>30</v>
      </c>
      <c r="K2344" t="s">
        <v>31</v>
      </c>
      <c r="M2344" t="s">
        <v>32</v>
      </c>
      <c r="N2344" t="str">
        <f>"5/13/2003 12:00:00 AM"</f>
        <v>5/13/2003 12:00:00 AM</v>
      </c>
      <c r="O2344" t="s">
        <v>7213</v>
      </c>
    </row>
    <row r="2345" spans="1:20" x14ac:dyDescent="0.25">
      <c r="A2345" t="str">
        <f>"3043777"</f>
        <v>3043777</v>
      </c>
      <c r="B2345" t="s">
        <v>7224</v>
      </c>
      <c r="C2345" t="str">
        <f>"37481000"</f>
        <v>37481000</v>
      </c>
      <c r="D2345" t="s">
        <v>7225</v>
      </c>
      <c r="E2345" t="s">
        <v>7226</v>
      </c>
      <c r="F2345" t="s">
        <v>7227</v>
      </c>
      <c r="I2345" t="s">
        <v>29</v>
      </c>
      <c r="J2345" t="s">
        <v>30</v>
      </c>
      <c r="K2345" t="s">
        <v>31</v>
      </c>
      <c r="M2345" t="s">
        <v>32</v>
      </c>
      <c r="N2345" t="str">
        <f>"1/9/2007 12:00:00 AM"</f>
        <v>1/9/2007 12:00:00 AM</v>
      </c>
      <c r="O2345" t="s">
        <v>7225</v>
      </c>
      <c r="T2345" t="s">
        <v>7226</v>
      </c>
    </row>
    <row r="2346" spans="1:20" x14ac:dyDescent="0.25">
      <c r="A2346" t="str">
        <f>"3043181"</f>
        <v>3043181</v>
      </c>
      <c r="B2346" t="s">
        <v>7228</v>
      </c>
      <c r="C2346" t="str">
        <f>"39459120"</f>
        <v>39459120</v>
      </c>
      <c r="D2346" t="s">
        <v>7229</v>
      </c>
      <c r="E2346" t="s">
        <v>7230</v>
      </c>
      <c r="F2346" t="s">
        <v>7231</v>
      </c>
      <c r="I2346" t="s">
        <v>471</v>
      </c>
      <c r="J2346" t="s">
        <v>30</v>
      </c>
      <c r="K2346" t="s">
        <v>7232</v>
      </c>
      <c r="M2346" t="s">
        <v>32</v>
      </c>
      <c r="N2346" t="str">
        <f>"11/10/2003 12:00:00 AM"</f>
        <v>11/10/2003 12:00:00 AM</v>
      </c>
      <c r="O2346" t="s">
        <v>7229</v>
      </c>
      <c r="T2346" t="s">
        <v>7230</v>
      </c>
    </row>
    <row r="2347" spans="1:20" x14ac:dyDescent="0.25">
      <c r="A2347" t="str">
        <f>"3043483"</f>
        <v>3043483</v>
      </c>
      <c r="B2347" t="s">
        <v>7233</v>
      </c>
      <c r="C2347" t="str">
        <f>"57524000"</f>
        <v>57524000</v>
      </c>
      <c r="D2347" t="s">
        <v>6976</v>
      </c>
      <c r="E2347" t="s">
        <v>6977</v>
      </c>
      <c r="F2347" t="s">
        <v>6978</v>
      </c>
      <c r="I2347" t="s">
        <v>29</v>
      </c>
      <c r="J2347" t="s">
        <v>30</v>
      </c>
      <c r="K2347" t="s">
        <v>6979</v>
      </c>
      <c r="M2347" t="s">
        <v>32</v>
      </c>
      <c r="N2347" t="str">
        <f>"1/27/2010 12:00:00 AM"</f>
        <v>1/27/2010 12:00:00 AM</v>
      </c>
      <c r="O2347" t="s">
        <v>6976</v>
      </c>
      <c r="T2347" t="s">
        <v>6977</v>
      </c>
    </row>
    <row r="2348" spans="1:20" x14ac:dyDescent="0.25">
      <c r="A2348" t="str">
        <f>"3043506"</f>
        <v>3043506</v>
      </c>
      <c r="B2348" t="s">
        <v>7234</v>
      </c>
      <c r="C2348" t="str">
        <f>"82518545"</f>
        <v>82518545</v>
      </c>
      <c r="D2348" t="s">
        <v>7235</v>
      </c>
      <c r="E2348" t="s">
        <v>7236</v>
      </c>
      <c r="F2348" t="s">
        <v>7237</v>
      </c>
      <c r="I2348" t="s">
        <v>29</v>
      </c>
      <c r="J2348" t="s">
        <v>30</v>
      </c>
      <c r="K2348" t="s">
        <v>31</v>
      </c>
      <c r="M2348" t="s">
        <v>32</v>
      </c>
      <c r="N2348" t="str">
        <f>"1/21/2006 12:00:00 AM"</f>
        <v>1/21/2006 12:00:00 AM</v>
      </c>
      <c r="O2348" t="s">
        <v>7235</v>
      </c>
      <c r="T2348" t="s">
        <v>7236</v>
      </c>
    </row>
    <row r="2349" spans="1:20" x14ac:dyDescent="0.25">
      <c r="A2349" t="str">
        <f>"3045976"</f>
        <v>3045976</v>
      </c>
      <c r="B2349" t="s">
        <v>7238</v>
      </c>
      <c r="C2349" t="str">
        <f>"82521437"</f>
        <v>82521437</v>
      </c>
      <c r="D2349" t="s">
        <v>7239</v>
      </c>
      <c r="F2349" t="s">
        <v>7240</v>
      </c>
      <c r="I2349" t="s">
        <v>29</v>
      </c>
      <c r="J2349" t="s">
        <v>30</v>
      </c>
      <c r="K2349" t="s">
        <v>31</v>
      </c>
      <c r="M2349" t="s">
        <v>32</v>
      </c>
      <c r="N2349" t="str">
        <f>"12/27/2006 12:00:00 AM"</f>
        <v>12/27/2006 12:00:00 AM</v>
      </c>
      <c r="O2349" t="s">
        <v>7239</v>
      </c>
    </row>
    <row r="2350" spans="1:20" x14ac:dyDescent="0.25">
      <c r="A2350" t="str">
        <f>"3043088"</f>
        <v>3043088</v>
      </c>
      <c r="B2350" t="s">
        <v>7241</v>
      </c>
      <c r="C2350" t="str">
        <f>"82519398"</f>
        <v>82519398</v>
      </c>
      <c r="D2350" t="s">
        <v>7242</v>
      </c>
      <c r="E2350" t="s">
        <v>7243</v>
      </c>
      <c r="F2350" t="s">
        <v>7244</v>
      </c>
      <c r="I2350" t="s">
        <v>29</v>
      </c>
      <c r="J2350" t="s">
        <v>30</v>
      </c>
      <c r="K2350" t="s">
        <v>7245</v>
      </c>
      <c r="M2350" t="s">
        <v>32</v>
      </c>
      <c r="N2350" t="str">
        <f>"2/10/2005 12:00:00 AM"</f>
        <v>2/10/2005 12:00:00 AM</v>
      </c>
      <c r="O2350" t="s">
        <v>7242</v>
      </c>
      <c r="T2350" t="s">
        <v>7243</v>
      </c>
    </row>
    <row r="2351" spans="1:20" x14ac:dyDescent="0.25">
      <c r="A2351" t="str">
        <f>"3043651"</f>
        <v>3043651</v>
      </c>
      <c r="B2351" t="s">
        <v>7246</v>
      </c>
      <c r="C2351" t="str">
        <f>"82519398"</f>
        <v>82519398</v>
      </c>
      <c r="D2351" t="s">
        <v>7242</v>
      </c>
      <c r="E2351" t="s">
        <v>7243</v>
      </c>
      <c r="F2351" t="s">
        <v>7244</v>
      </c>
      <c r="I2351" t="s">
        <v>29</v>
      </c>
      <c r="J2351" t="s">
        <v>30</v>
      </c>
      <c r="K2351" t="s">
        <v>7245</v>
      </c>
      <c r="M2351" t="s">
        <v>32</v>
      </c>
      <c r="N2351" t="str">
        <f>"2/10/2005 12:00:00 AM"</f>
        <v>2/10/2005 12:00:00 AM</v>
      </c>
      <c r="O2351" t="s">
        <v>7242</v>
      </c>
      <c r="T2351" t="s">
        <v>7243</v>
      </c>
    </row>
    <row r="2352" spans="1:20" x14ac:dyDescent="0.25">
      <c r="A2352" t="str">
        <f>"3043698"</f>
        <v>3043698</v>
      </c>
      <c r="B2352" t="s">
        <v>7247</v>
      </c>
      <c r="C2352" t="str">
        <f>"47273500"</f>
        <v>47273500</v>
      </c>
      <c r="D2352" t="s">
        <v>7248</v>
      </c>
      <c r="F2352" t="s">
        <v>7249</v>
      </c>
      <c r="I2352" t="s">
        <v>29</v>
      </c>
      <c r="J2352" t="s">
        <v>30</v>
      </c>
      <c r="K2352" t="s">
        <v>31</v>
      </c>
      <c r="M2352" t="s">
        <v>32</v>
      </c>
      <c r="N2352" t="str">
        <f>"12/19/2003 12:00:00 AM"</f>
        <v>12/19/2003 12:00:00 AM</v>
      </c>
      <c r="O2352" t="s">
        <v>7248</v>
      </c>
    </row>
    <row r="2353" spans="1:20" x14ac:dyDescent="0.25">
      <c r="A2353" t="str">
        <f>"3043807"</f>
        <v>3043807</v>
      </c>
      <c r="B2353" t="s">
        <v>7250</v>
      </c>
      <c r="C2353" t="str">
        <f>"57454000"</f>
        <v>57454000</v>
      </c>
      <c r="D2353" t="s">
        <v>7251</v>
      </c>
      <c r="F2353" t="s">
        <v>7252</v>
      </c>
      <c r="I2353" t="s">
        <v>29</v>
      </c>
      <c r="J2353" t="s">
        <v>30</v>
      </c>
      <c r="K2353" t="s">
        <v>7253</v>
      </c>
      <c r="M2353" t="s">
        <v>32</v>
      </c>
      <c r="N2353" t="str">
        <f>"2/17/2005 12:00:00 AM"</f>
        <v>2/17/2005 12:00:00 AM</v>
      </c>
      <c r="O2353" t="s">
        <v>7251</v>
      </c>
      <c r="T2353" t="s">
        <v>7251</v>
      </c>
    </row>
    <row r="2354" spans="1:20" x14ac:dyDescent="0.25">
      <c r="A2354" t="str">
        <f>"3043244"</f>
        <v>3043244</v>
      </c>
      <c r="B2354" t="s">
        <v>7254</v>
      </c>
      <c r="C2354" t="str">
        <f>"82525512"</f>
        <v>82525512</v>
      </c>
      <c r="D2354" t="s">
        <v>7255</v>
      </c>
      <c r="E2354" t="s">
        <v>7256</v>
      </c>
      <c r="F2354" t="s">
        <v>7257</v>
      </c>
      <c r="I2354" t="s">
        <v>402</v>
      </c>
      <c r="J2354" t="s">
        <v>30</v>
      </c>
      <c r="K2354" t="s">
        <v>403</v>
      </c>
      <c r="M2354" t="s">
        <v>32</v>
      </c>
      <c r="N2354" t="str">
        <f>"12/21/2005 12:00:00 AM"</f>
        <v>12/21/2005 12:00:00 AM</v>
      </c>
      <c r="O2354" t="s">
        <v>7255</v>
      </c>
      <c r="T2354" t="s">
        <v>7256</v>
      </c>
    </row>
    <row r="2355" spans="1:20" x14ac:dyDescent="0.25">
      <c r="A2355" t="str">
        <f>"3043718"</f>
        <v>3043718</v>
      </c>
      <c r="B2355" t="s">
        <v>7258</v>
      </c>
      <c r="C2355" t="str">
        <f>"39753250"</f>
        <v>39753250</v>
      </c>
      <c r="D2355" t="s">
        <v>7259</v>
      </c>
      <c r="E2355" t="s">
        <v>7260</v>
      </c>
      <c r="F2355" t="s">
        <v>7261</v>
      </c>
      <c r="I2355" t="s">
        <v>29</v>
      </c>
      <c r="J2355" t="s">
        <v>30</v>
      </c>
      <c r="K2355" t="s">
        <v>7262</v>
      </c>
      <c r="M2355" t="s">
        <v>32</v>
      </c>
      <c r="N2355" t="str">
        <f>"1/27/2005 12:00:00 AM"</f>
        <v>1/27/2005 12:00:00 AM</v>
      </c>
      <c r="O2355" t="s">
        <v>7259</v>
      </c>
      <c r="T2355" t="s">
        <v>7260</v>
      </c>
    </row>
    <row r="2356" spans="1:20" x14ac:dyDescent="0.25">
      <c r="A2356" t="str">
        <f>"3043159"</f>
        <v>3043159</v>
      </c>
      <c r="B2356" t="s">
        <v>7263</v>
      </c>
      <c r="C2356" t="str">
        <f>"39753250"</f>
        <v>39753250</v>
      </c>
      <c r="D2356" t="s">
        <v>7259</v>
      </c>
      <c r="E2356" t="s">
        <v>7260</v>
      </c>
      <c r="F2356" t="s">
        <v>7261</v>
      </c>
      <c r="I2356" t="s">
        <v>29</v>
      </c>
      <c r="J2356" t="s">
        <v>30</v>
      </c>
      <c r="K2356" t="s">
        <v>7262</v>
      </c>
      <c r="M2356" t="s">
        <v>32</v>
      </c>
      <c r="N2356" t="str">
        <f>"1/27/2005 12:00:00 AM"</f>
        <v>1/27/2005 12:00:00 AM</v>
      </c>
      <c r="O2356" t="s">
        <v>7259</v>
      </c>
      <c r="T2356" t="s">
        <v>7260</v>
      </c>
    </row>
    <row r="2357" spans="1:20" x14ac:dyDescent="0.25">
      <c r="A2357" t="str">
        <f>"3043076"</f>
        <v>3043076</v>
      </c>
      <c r="B2357" t="s">
        <v>7264</v>
      </c>
      <c r="C2357" t="str">
        <f>"1105000"</f>
        <v>1105000</v>
      </c>
      <c r="D2357" t="s">
        <v>7265</v>
      </c>
      <c r="E2357" t="s">
        <v>7266</v>
      </c>
      <c r="F2357" t="s">
        <v>7267</v>
      </c>
      <c r="I2357" t="s">
        <v>29</v>
      </c>
      <c r="J2357" t="s">
        <v>30</v>
      </c>
      <c r="K2357" t="s">
        <v>31</v>
      </c>
      <c r="M2357" t="s">
        <v>32</v>
      </c>
      <c r="N2357" t="str">
        <f>"1/21/2004 12:00:00 AM"</f>
        <v>1/21/2004 12:00:00 AM</v>
      </c>
      <c r="O2357" t="s">
        <v>7265</v>
      </c>
      <c r="T2357" t="s">
        <v>7266</v>
      </c>
    </row>
    <row r="2358" spans="1:20" x14ac:dyDescent="0.25">
      <c r="A2358" t="str">
        <f>"3043723"</f>
        <v>3043723</v>
      </c>
      <c r="B2358" t="s">
        <v>7268</v>
      </c>
      <c r="C2358" t="str">
        <f>"1105000"</f>
        <v>1105000</v>
      </c>
      <c r="D2358" t="s">
        <v>7265</v>
      </c>
      <c r="E2358" t="s">
        <v>7266</v>
      </c>
      <c r="F2358" t="s">
        <v>7267</v>
      </c>
      <c r="I2358" t="s">
        <v>29</v>
      </c>
      <c r="J2358" t="s">
        <v>30</v>
      </c>
      <c r="K2358" t="s">
        <v>31</v>
      </c>
      <c r="M2358" t="s">
        <v>32</v>
      </c>
      <c r="N2358" t="str">
        <f>"1/21/2004 12:00:00 AM"</f>
        <v>1/21/2004 12:00:00 AM</v>
      </c>
      <c r="O2358" t="s">
        <v>7265</v>
      </c>
      <c r="T2358" t="s">
        <v>7266</v>
      </c>
    </row>
    <row r="2359" spans="1:20" x14ac:dyDescent="0.25">
      <c r="A2359" t="str">
        <f>"3043623"</f>
        <v>3043623</v>
      </c>
      <c r="B2359" t="s">
        <v>7269</v>
      </c>
      <c r="C2359" t="str">
        <f>"1105000"</f>
        <v>1105000</v>
      </c>
      <c r="D2359" t="s">
        <v>7265</v>
      </c>
      <c r="E2359" t="s">
        <v>7266</v>
      </c>
      <c r="F2359" t="s">
        <v>7267</v>
      </c>
      <c r="I2359" t="s">
        <v>29</v>
      </c>
      <c r="J2359" t="s">
        <v>30</v>
      </c>
      <c r="K2359" t="s">
        <v>31</v>
      </c>
      <c r="M2359" t="s">
        <v>32</v>
      </c>
      <c r="N2359" t="str">
        <f>"1/21/2004 12:00:00 AM"</f>
        <v>1/21/2004 12:00:00 AM</v>
      </c>
      <c r="O2359" t="s">
        <v>7265</v>
      </c>
      <c r="T2359" t="s">
        <v>7266</v>
      </c>
    </row>
    <row r="2360" spans="1:20" x14ac:dyDescent="0.25">
      <c r="A2360" t="str">
        <f>"3043570"</f>
        <v>3043570</v>
      </c>
      <c r="B2360" t="s">
        <v>7270</v>
      </c>
      <c r="C2360" t="str">
        <f>"58972000"</f>
        <v>58972000</v>
      </c>
      <c r="D2360" t="s">
        <v>7271</v>
      </c>
      <c r="E2360" t="s">
        <v>7272</v>
      </c>
      <c r="F2360" t="s">
        <v>7273</v>
      </c>
      <c r="I2360" t="s">
        <v>29</v>
      </c>
      <c r="J2360" t="s">
        <v>30</v>
      </c>
      <c r="K2360" t="s">
        <v>31</v>
      </c>
      <c r="M2360" t="s">
        <v>32</v>
      </c>
      <c r="N2360" t="str">
        <f>"11/12/2008 12:00:00 AM"</f>
        <v>11/12/2008 12:00:00 AM</v>
      </c>
      <c r="O2360" t="s">
        <v>7271</v>
      </c>
      <c r="T2360" t="s">
        <v>7272</v>
      </c>
    </row>
    <row r="2361" spans="1:20" x14ac:dyDescent="0.25">
      <c r="A2361" t="str">
        <f>"3043767"</f>
        <v>3043767</v>
      </c>
      <c r="B2361" t="s">
        <v>7274</v>
      </c>
      <c r="C2361" t="str">
        <f>"58972000"</f>
        <v>58972000</v>
      </c>
      <c r="D2361" t="s">
        <v>7271</v>
      </c>
      <c r="E2361" t="s">
        <v>7272</v>
      </c>
      <c r="F2361" t="s">
        <v>7273</v>
      </c>
      <c r="I2361" t="s">
        <v>29</v>
      </c>
      <c r="J2361" t="s">
        <v>30</v>
      </c>
      <c r="K2361" t="s">
        <v>31</v>
      </c>
      <c r="M2361" t="s">
        <v>32</v>
      </c>
      <c r="N2361" t="str">
        <f>"11/12/2008 12:00:00 AM"</f>
        <v>11/12/2008 12:00:00 AM</v>
      </c>
      <c r="O2361" t="s">
        <v>7271</v>
      </c>
      <c r="T2361" t="s">
        <v>7272</v>
      </c>
    </row>
    <row r="2362" spans="1:20" x14ac:dyDescent="0.25">
      <c r="A2362" t="str">
        <f>"3043781"</f>
        <v>3043781</v>
      </c>
      <c r="B2362" t="s">
        <v>7275</v>
      </c>
      <c r="C2362" t="str">
        <f>"58972000"</f>
        <v>58972000</v>
      </c>
      <c r="D2362" t="s">
        <v>7271</v>
      </c>
      <c r="E2362" t="s">
        <v>7272</v>
      </c>
      <c r="F2362" t="s">
        <v>7273</v>
      </c>
      <c r="I2362" t="s">
        <v>29</v>
      </c>
      <c r="J2362" t="s">
        <v>30</v>
      </c>
      <c r="K2362" t="s">
        <v>31</v>
      </c>
      <c r="M2362" t="s">
        <v>32</v>
      </c>
      <c r="N2362" t="str">
        <f>"11/12/2008 12:00:00 AM"</f>
        <v>11/12/2008 12:00:00 AM</v>
      </c>
      <c r="O2362" t="s">
        <v>7271</v>
      </c>
      <c r="T2362" t="s">
        <v>7272</v>
      </c>
    </row>
    <row r="2363" spans="1:20" x14ac:dyDescent="0.25">
      <c r="A2363" t="str">
        <f>"3043809"</f>
        <v>3043809</v>
      </c>
      <c r="B2363" t="s">
        <v>7276</v>
      </c>
      <c r="C2363" t="str">
        <f>"6497800"</f>
        <v>6497800</v>
      </c>
      <c r="D2363" t="s">
        <v>7277</v>
      </c>
      <c r="F2363" t="s">
        <v>7278</v>
      </c>
      <c r="I2363" t="s">
        <v>29</v>
      </c>
      <c r="J2363" t="s">
        <v>30</v>
      </c>
      <c r="K2363" t="s">
        <v>31</v>
      </c>
      <c r="M2363" t="s">
        <v>32</v>
      </c>
      <c r="N2363" t="str">
        <f>"3/25/2008 12:00:00 AM"</f>
        <v>3/25/2008 12:00:00 AM</v>
      </c>
      <c r="O2363" t="s">
        <v>7277</v>
      </c>
    </row>
    <row r="2364" spans="1:20" x14ac:dyDescent="0.25">
      <c r="A2364" t="str">
        <f>"3043246"</f>
        <v>3043246</v>
      </c>
      <c r="B2364" t="s">
        <v>7279</v>
      </c>
      <c r="C2364" t="str">
        <f>"6497800"</f>
        <v>6497800</v>
      </c>
      <c r="D2364" t="s">
        <v>7277</v>
      </c>
      <c r="F2364" t="s">
        <v>7278</v>
      </c>
      <c r="I2364" t="s">
        <v>29</v>
      </c>
      <c r="J2364" t="s">
        <v>30</v>
      </c>
      <c r="K2364" t="s">
        <v>31</v>
      </c>
      <c r="M2364" t="s">
        <v>32</v>
      </c>
      <c r="N2364" t="str">
        <f>"3/25/2008 12:00:00 AM"</f>
        <v>3/25/2008 12:00:00 AM</v>
      </c>
      <c r="O2364" t="s">
        <v>7277</v>
      </c>
    </row>
    <row r="2365" spans="1:20" x14ac:dyDescent="0.25">
      <c r="A2365" t="str">
        <f>"3043707"</f>
        <v>3043707</v>
      </c>
      <c r="B2365" t="s">
        <v>7280</v>
      </c>
      <c r="C2365" t="str">
        <f>"19979000"</f>
        <v>19979000</v>
      </c>
      <c r="D2365" t="s">
        <v>7281</v>
      </c>
      <c r="F2365" t="str">
        <f>"C/O CYNTHIA MYERS CARTER"</f>
        <v>C/O CYNTHIA MYERS CARTER</v>
      </c>
      <c r="G2365" t="s">
        <v>7282</v>
      </c>
      <c r="I2365" t="s">
        <v>29</v>
      </c>
      <c r="J2365" t="s">
        <v>30</v>
      </c>
      <c r="K2365" t="s">
        <v>31</v>
      </c>
      <c r="M2365" t="s">
        <v>32</v>
      </c>
      <c r="N2365" t="str">
        <f>"7/17/2003 12:00:00 AM"</f>
        <v>7/17/2003 12:00:00 AM</v>
      </c>
      <c r="O2365" t="s">
        <v>7281</v>
      </c>
    </row>
    <row r="2366" spans="1:20" x14ac:dyDescent="0.25">
      <c r="A2366" t="str">
        <f>"3043755"</f>
        <v>3043755</v>
      </c>
      <c r="B2366" t="s">
        <v>7283</v>
      </c>
      <c r="C2366" t="str">
        <f>"82519017"</f>
        <v>82519017</v>
      </c>
      <c r="D2366" t="s">
        <v>7284</v>
      </c>
      <c r="F2366" t="s">
        <v>7285</v>
      </c>
      <c r="I2366" t="s">
        <v>29</v>
      </c>
      <c r="J2366" t="s">
        <v>30</v>
      </c>
      <c r="K2366" t="s">
        <v>7286</v>
      </c>
      <c r="M2366" t="s">
        <v>32</v>
      </c>
      <c r="N2366" t="str">
        <f>"1/13/2006 12:00:00 AM"</f>
        <v>1/13/2006 12:00:00 AM</v>
      </c>
      <c r="O2366" t="s">
        <v>7284</v>
      </c>
    </row>
    <row r="2367" spans="1:20" x14ac:dyDescent="0.25">
      <c r="A2367" t="str">
        <f>"3064143"</f>
        <v>3064143</v>
      </c>
      <c r="B2367" t="s">
        <v>7287</v>
      </c>
      <c r="C2367" t="str">
        <f>"6160670"</f>
        <v>6160670</v>
      </c>
      <c r="D2367" t="s">
        <v>7288</v>
      </c>
      <c r="F2367" t="s">
        <v>7289</v>
      </c>
      <c r="I2367" t="s">
        <v>29</v>
      </c>
      <c r="J2367" t="s">
        <v>30</v>
      </c>
      <c r="K2367" t="s">
        <v>7290</v>
      </c>
      <c r="M2367" t="s">
        <v>32</v>
      </c>
      <c r="N2367" t="str">
        <f>"2/3/2005 12:00:00 AM"</f>
        <v>2/3/2005 12:00:00 AM</v>
      </c>
      <c r="O2367" t="s">
        <v>7288</v>
      </c>
    </row>
    <row r="2368" spans="1:20" x14ac:dyDescent="0.25">
      <c r="A2368" t="str">
        <f>"3069315"</f>
        <v>3069315</v>
      </c>
      <c r="B2368" t="s">
        <v>7291</v>
      </c>
      <c r="C2368" t="str">
        <f>"18820000"</f>
        <v>18820000</v>
      </c>
      <c r="D2368" t="s">
        <v>7292</v>
      </c>
      <c r="E2368" t="s">
        <v>7293</v>
      </c>
      <c r="F2368" t="s">
        <v>7289</v>
      </c>
      <c r="I2368" t="s">
        <v>29</v>
      </c>
      <c r="J2368" t="s">
        <v>30</v>
      </c>
      <c r="K2368" t="s">
        <v>31</v>
      </c>
      <c r="M2368" t="s">
        <v>32</v>
      </c>
      <c r="N2368" t="str">
        <f>"7/10/2003 12:00:00 AM"</f>
        <v>7/10/2003 12:00:00 AM</v>
      </c>
      <c r="O2368" t="s">
        <v>7292</v>
      </c>
      <c r="T2368" t="s">
        <v>7293</v>
      </c>
    </row>
    <row r="2369" spans="1:20" x14ac:dyDescent="0.25">
      <c r="A2369" t="str">
        <f>"3043209"</f>
        <v>3043209</v>
      </c>
      <c r="B2369" t="s">
        <v>7294</v>
      </c>
      <c r="C2369" t="str">
        <f>"48371000"</f>
        <v>48371000</v>
      </c>
      <c r="D2369" t="s">
        <v>7295</v>
      </c>
      <c r="F2369" t="s">
        <v>7296</v>
      </c>
      <c r="I2369" t="s">
        <v>184</v>
      </c>
      <c r="J2369" t="s">
        <v>30</v>
      </c>
      <c r="K2369" t="s">
        <v>3236</v>
      </c>
      <c r="M2369" t="s">
        <v>32</v>
      </c>
      <c r="N2369" t="str">
        <f>"1/25/2006 12:00:00 AM"</f>
        <v>1/25/2006 12:00:00 AM</v>
      </c>
      <c r="O2369" t="s">
        <v>7295</v>
      </c>
    </row>
    <row r="2370" spans="1:20" x14ac:dyDescent="0.25">
      <c r="A2370" t="str">
        <f>"3043414"</f>
        <v>3043414</v>
      </c>
      <c r="B2370" t="s">
        <v>7297</v>
      </c>
      <c r="C2370" t="str">
        <f>"82521698"</f>
        <v>82521698</v>
      </c>
      <c r="D2370" t="s">
        <v>4636</v>
      </c>
      <c r="E2370" t="s">
        <v>7298</v>
      </c>
      <c r="F2370" t="s">
        <v>4637</v>
      </c>
      <c r="I2370" t="s">
        <v>29</v>
      </c>
      <c r="J2370" t="s">
        <v>30</v>
      </c>
      <c r="K2370" t="s">
        <v>31</v>
      </c>
      <c r="M2370" t="s">
        <v>32</v>
      </c>
      <c r="N2370" t="str">
        <f>"11/12/2008 12:00:00 AM"</f>
        <v>11/12/2008 12:00:00 AM</v>
      </c>
      <c r="O2370" t="s">
        <v>4636</v>
      </c>
      <c r="T2370" t="s">
        <v>7298</v>
      </c>
    </row>
    <row r="2371" spans="1:20" x14ac:dyDescent="0.25">
      <c r="A2371" t="str">
        <f>"3043148"</f>
        <v>3043148</v>
      </c>
      <c r="B2371" t="s">
        <v>7299</v>
      </c>
      <c r="C2371" t="str">
        <f>"82521698"</f>
        <v>82521698</v>
      </c>
      <c r="D2371" t="s">
        <v>4636</v>
      </c>
      <c r="E2371" t="s">
        <v>7298</v>
      </c>
      <c r="F2371" t="s">
        <v>4637</v>
      </c>
      <c r="I2371" t="s">
        <v>29</v>
      </c>
      <c r="J2371" t="s">
        <v>30</v>
      </c>
      <c r="K2371" t="s">
        <v>31</v>
      </c>
      <c r="M2371" t="s">
        <v>32</v>
      </c>
      <c r="N2371" t="str">
        <f>"11/12/2008 12:00:00 AM"</f>
        <v>11/12/2008 12:00:00 AM</v>
      </c>
      <c r="O2371" t="s">
        <v>4636</v>
      </c>
      <c r="T2371" t="s">
        <v>7298</v>
      </c>
    </row>
    <row r="2372" spans="1:20" x14ac:dyDescent="0.25">
      <c r="A2372" t="str">
        <f>"3043764"</f>
        <v>3043764</v>
      </c>
      <c r="B2372" t="s">
        <v>7300</v>
      </c>
      <c r="C2372" t="str">
        <f>"19388000"</f>
        <v>19388000</v>
      </c>
      <c r="D2372" t="s">
        <v>7301</v>
      </c>
      <c r="F2372" t="s">
        <v>7302</v>
      </c>
      <c r="I2372" t="s">
        <v>29</v>
      </c>
      <c r="J2372" t="s">
        <v>30</v>
      </c>
      <c r="K2372" t="s">
        <v>7303</v>
      </c>
      <c r="M2372" t="s">
        <v>32</v>
      </c>
      <c r="N2372" t="str">
        <f>"1/25/2006 12:00:00 AM"</f>
        <v>1/25/2006 12:00:00 AM</v>
      </c>
      <c r="O2372" t="s">
        <v>7301</v>
      </c>
      <c r="T2372" t="s">
        <v>7301</v>
      </c>
    </row>
    <row r="2373" spans="1:20" x14ac:dyDescent="0.25">
      <c r="A2373" t="str">
        <f>"3077689"</f>
        <v>3077689</v>
      </c>
      <c r="B2373" t="s">
        <v>7304</v>
      </c>
      <c r="C2373" t="str">
        <f>"18820000"</f>
        <v>18820000</v>
      </c>
      <c r="D2373" t="s">
        <v>7292</v>
      </c>
      <c r="E2373" t="s">
        <v>7293</v>
      </c>
      <c r="F2373" t="s">
        <v>7289</v>
      </c>
      <c r="I2373" t="s">
        <v>29</v>
      </c>
      <c r="J2373" t="s">
        <v>30</v>
      </c>
      <c r="K2373" t="s">
        <v>31</v>
      </c>
      <c r="M2373" t="s">
        <v>32</v>
      </c>
      <c r="N2373" t="str">
        <f>"7/10/2003 12:00:00 AM"</f>
        <v>7/10/2003 12:00:00 AM</v>
      </c>
      <c r="O2373" t="s">
        <v>7292</v>
      </c>
      <c r="T2373" t="s">
        <v>7293</v>
      </c>
    </row>
    <row r="2374" spans="1:20" x14ac:dyDescent="0.25">
      <c r="A2374" t="str">
        <f>"3044221"</f>
        <v>3044221</v>
      </c>
      <c r="B2374" t="s">
        <v>7305</v>
      </c>
      <c r="C2374" t="str">
        <f t="shared" ref="C2374:C2379" si="45">"7403500"</f>
        <v>7403500</v>
      </c>
      <c r="D2374" t="s">
        <v>7039</v>
      </c>
      <c r="F2374" t="s">
        <v>7040</v>
      </c>
      <c r="I2374" t="s">
        <v>29</v>
      </c>
      <c r="J2374" t="s">
        <v>30</v>
      </c>
      <c r="K2374" t="s">
        <v>31</v>
      </c>
      <c r="M2374" t="s">
        <v>32</v>
      </c>
      <c r="N2374" t="str">
        <f t="shared" ref="N2374:N2379" si="46">"4/25/2002 12:00:00 AM"</f>
        <v>4/25/2002 12:00:00 AM</v>
      </c>
      <c r="O2374" t="s">
        <v>7039</v>
      </c>
    </row>
    <row r="2375" spans="1:20" x14ac:dyDescent="0.25">
      <c r="A2375" t="str">
        <f>"3037888"</f>
        <v>3037888</v>
      </c>
      <c r="B2375" t="s">
        <v>7306</v>
      </c>
      <c r="C2375" t="str">
        <f t="shared" si="45"/>
        <v>7403500</v>
      </c>
      <c r="D2375" t="s">
        <v>7039</v>
      </c>
      <c r="F2375" t="s">
        <v>7040</v>
      </c>
      <c r="I2375" t="s">
        <v>29</v>
      </c>
      <c r="J2375" t="s">
        <v>30</v>
      </c>
      <c r="K2375" t="s">
        <v>31</v>
      </c>
      <c r="M2375" t="s">
        <v>32</v>
      </c>
      <c r="N2375" t="str">
        <f t="shared" si="46"/>
        <v>4/25/2002 12:00:00 AM</v>
      </c>
      <c r="O2375" t="s">
        <v>7039</v>
      </c>
    </row>
    <row r="2376" spans="1:20" x14ac:dyDescent="0.25">
      <c r="A2376" t="str">
        <f>"3037927"</f>
        <v>3037927</v>
      </c>
      <c r="B2376" t="s">
        <v>7307</v>
      </c>
      <c r="C2376" t="str">
        <f t="shared" si="45"/>
        <v>7403500</v>
      </c>
      <c r="D2376" t="s">
        <v>7039</v>
      </c>
      <c r="F2376" t="s">
        <v>7040</v>
      </c>
      <c r="I2376" t="s">
        <v>29</v>
      </c>
      <c r="J2376" t="s">
        <v>30</v>
      </c>
      <c r="K2376" t="s">
        <v>31</v>
      </c>
      <c r="M2376" t="s">
        <v>32</v>
      </c>
      <c r="N2376" t="str">
        <f t="shared" si="46"/>
        <v>4/25/2002 12:00:00 AM</v>
      </c>
      <c r="O2376" t="s">
        <v>7039</v>
      </c>
    </row>
    <row r="2377" spans="1:20" x14ac:dyDescent="0.25">
      <c r="A2377" t="str">
        <f>"3038479"</f>
        <v>3038479</v>
      </c>
      <c r="B2377" t="s">
        <v>7308</v>
      </c>
      <c r="C2377" t="str">
        <f t="shared" si="45"/>
        <v>7403500</v>
      </c>
      <c r="D2377" t="s">
        <v>7039</v>
      </c>
      <c r="F2377" t="s">
        <v>7040</v>
      </c>
      <c r="I2377" t="s">
        <v>29</v>
      </c>
      <c r="J2377" t="s">
        <v>30</v>
      </c>
      <c r="K2377" t="s">
        <v>31</v>
      </c>
      <c r="M2377" t="s">
        <v>32</v>
      </c>
      <c r="N2377" t="str">
        <f t="shared" si="46"/>
        <v>4/25/2002 12:00:00 AM</v>
      </c>
      <c r="O2377" t="s">
        <v>7039</v>
      </c>
    </row>
    <row r="2378" spans="1:20" x14ac:dyDescent="0.25">
      <c r="A2378" t="str">
        <f>"3039917"</f>
        <v>3039917</v>
      </c>
      <c r="B2378" t="s">
        <v>7309</v>
      </c>
      <c r="C2378" t="str">
        <f t="shared" si="45"/>
        <v>7403500</v>
      </c>
      <c r="D2378" t="s">
        <v>7039</v>
      </c>
      <c r="F2378" t="s">
        <v>7040</v>
      </c>
      <c r="I2378" t="s">
        <v>29</v>
      </c>
      <c r="J2378" t="s">
        <v>30</v>
      </c>
      <c r="K2378" t="s">
        <v>31</v>
      </c>
      <c r="M2378" t="s">
        <v>32</v>
      </c>
      <c r="N2378" t="str">
        <f t="shared" si="46"/>
        <v>4/25/2002 12:00:00 AM</v>
      </c>
      <c r="O2378" t="s">
        <v>7039</v>
      </c>
    </row>
    <row r="2379" spans="1:20" x14ac:dyDescent="0.25">
      <c r="A2379" t="str">
        <f>"3048500"</f>
        <v>3048500</v>
      </c>
      <c r="B2379" t="s">
        <v>7310</v>
      </c>
      <c r="C2379" t="str">
        <f t="shared" si="45"/>
        <v>7403500</v>
      </c>
      <c r="D2379" t="s">
        <v>7039</v>
      </c>
      <c r="F2379" t="s">
        <v>7040</v>
      </c>
      <c r="I2379" t="s">
        <v>29</v>
      </c>
      <c r="J2379" t="s">
        <v>30</v>
      </c>
      <c r="K2379" t="s">
        <v>31</v>
      </c>
      <c r="M2379" t="s">
        <v>32</v>
      </c>
      <c r="N2379" t="str">
        <f t="shared" si="46"/>
        <v>4/25/2002 12:00:00 AM</v>
      </c>
      <c r="O2379" t="s">
        <v>7039</v>
      </c>
    </row>
    <row r="2380" spans="1:20" x14ac:dyDescent="0.25">
      <c r="A2380" t="str">
        <f>"3043174"</f>
        <v>3043174</v>
      </c>
      <c r="B2380" t="s">
        <v>7311</v>
      </c>
      <c r="C2380" t="str">
        <f>"34740000"</f>
        <v>34740000</v>
      </c>
      <c r="D2380" t="s">
        <v>7096</v>
      </c>
      <c r="E2380" t="s">
        <v>7097</v>
      </c>
      <c r="F2380" t="s">
        <v>7098</v>
      </c>
      <c r="I2380" t="s">
        <v>29</v>
      </c>
      <c r="J2380" t="s">
        <v>30</v>
      </c>
      <c r="K2380" t="s">
        <v>31</v>
      </c>
      <c r="M2380" t="s">
        <v>32</v>
      </c>
      <c r="N2380" t="str">
        <f>"1/5/2010 12:00:00 AM"</f>
        <v>1/5/2010 12:00:00 AM</v>
      </c>
      <c r="O2380" t="s">
        <v>7096</v>
      </c>
      <c r="T2380" t="s">
        <v>7097</v>
      </c>
    </row>
    <row r="2381" spans="1:20" x14ac:dyDescent="0.25">
      <c r="A2381" t="str">
        <f>"3043674"</f>
        <v>3043674</v>
      </c>
      <c r="B2381" t="s">
        <v>7312</v>
      </c>
      <c r="C2381" t="str">
        <f>"82528912"</f>
        <v>82528912</v>
      </c>
      <c r="D2381" t="s">
        <v>7313</v>
      </c>
      <c r="E2381" t="s">
        <v>7314</v>
      </c>
      <c r="F2381" t="s">
        <v>7315</v>
      </c>
      <c r="I2381" t="s">
        <v>29</v>
      </c>
      <c r="J2381" t="s">
        <v>30</v>
      </c>
      <c r="K2381" t="s">
        <v>31</v>
      </c>
      <c r="M2381" t="s">
        <v>32</v>
      </c>
      <c r="N2381" t="str">
        <f>"1/15/2008 12:00:00 AM"</f>
        <v>1/15/2008 12:00:00 AM</v>
      </c>
      <c r="O2381" t="s">
        <v>7313</v>
      </c>
      <c r="T2381" t="s">
        <v>7314</v>
      </c>
    </row>
    <row r="2382" spans="1:20" x14ac:dyDescent="0.25">
      <c r="A2382" t="str">
        <f>"3077672"</f>
        <v>3077672</v>
      </c>
      <c r="B2382" t="s">
        <v>7316</v>
      </c>
      <c r="C2382" t="str">
        <f>"72748500"</f>
        <v>72748500</v>
      </c>
      <c r="D2382" t="s">
        <v>7317</v>
      </c>
      <c r="F2382" t="s">
        <v>7318</v>
      </c>
      <c r="I2382" t="s">
        <v>29</v>
      </c>
      <c r="J2382" t="s">
        <v>30</v>
      </c>
      <c r="K2382" t="s">
        <v>31</v>
      </c>
      <c r="M2382" t="s">
        <v>32</v>
      </c>
      <c r="N2382" t="str">
        <f>"6/17/2004 12:00:00 AM"</f>
        <v>6/17/2004 12:00:00 AM</v>
      </c>
      <c r="O2382" t="s">
        <v>7317</v>
      </c>
    </row>
    <row r="2383" spans="1:20" x14ac:dyDescent="0.25">
      <c r="A2383" t="str">
        <f>"3038910"</f>
        <v>3038910</v>
      </c>
      <c r="B2383" t="s">
        <v>7319</v>
      </c>
      <c r="C2383" t="str">
        <f>"18201500"</f>
        <v>18201500</v>
      </c>
      <c r="D2383" t="s">
        <v>7320</v>
      </c>
      <c r="F2383" t="s">
        <v>7321</v>
      </c>
      <c r="I2383" t="s">
        <v>29</v>
      </c>
      <c r="J2383" t="s">
        <v>30</v>
      </c>
      <c r="K2383" t="s">
        <v>31</v>
      </c>
      <c r="M2383" t="s">
        <v>32</v>
      </c>
      <c r="N2383" t="str">
        <f>"12/7/2010 12:00:00 AM"</f>
        <v>12/7/2010 12:00:00 AM</v>
      </c>
      <c r="O2383" t="s">
        <v>7320</v>
      </c>
    </row>
    <row r="2384" spans="1:20" x14ac:dyDescent="0.25">
      <c r="A2384" t="str">
        <f>"3063017"</f>
        <v>3063017</v>
      </c>
      <c r="B2384" t="s">
        <v>7322</v>
      </c>
      <c r="C2384" t="str">
        <f>"10596000"</f>
        <v>10596000</v>
      </c>
      <c r="D2384" t="s">
        <v>7323</v>
      </c>
      <c r="E2384" t="s">
        <v>7324</v>
      </c>
      <c r="F2384" t="s">
        <v>7325</v>
      </c>
      <c r="I2384" t="s">
        <v>184</v>
      </c>
      <c r="J2384" t="s">
        <v>30</v>
      </c>
      <c r="K2384" t="s">
        <v>7326</v>
      </c>
      <c r="M2384" t="s">
        <v>32</v>
      </c>
      <c r="N2384" t="str">
        <f>"1/25/2005 12:00:00 AM"</f>
        <v>1/25/2005 12:00:00 AM</v>
      </c>
      <c r="O2384" t="s">
        <v>7323</v>
      </c>
      <c r="T2384" t="s">
        <v>7324</v>
      </c>
    </row>
    <row r="2385" spans="1:20" x14ac:dyDescent="0.25">
      <c r="A2385" t="str">
        <f>"3077730"</f>
        <v>3077730</v>
      </c>
      <c r="B2385" t="s">
        <v>7327</v>
      </c>
      <c r="C2385" t="str">
        <f>"80084000"</f>
        <v>80084000</v>
      </c>
      <c r="D2385" t="s">
        <v>7328</v>
      </c>
      <c r="F2385" t="s">
        <v>4876</v>
      </c>
      <c r="I2385" t="s">
        <v>184</v>
      </c>
      <c r="J2385" t="s">
        <v>30</v>
      </c>
      <c r="K2385" t="s">
        <v>185</v>
      </c>
      <c r="M2385" t="s">
        <v>32</v>
      </c>
      <c r="N2385" t="str">
        <f>"7/15/2004 12:00:00 AM"</f>
        <v>7/15/2004 12:00:00 AM</v>
      </c>
      <c r="O2385" t="s">
        <v>7328</v>
      </c>
    </row>
    <row r="2386" spans="1:20" x14ac:dyDescent="0.25">
      <c r="A2386" t="str">
        <f>"3046807"</f>
        <v>3046807</v>
      </c>
      <c r="B2386" t="s">
        <v>7329</v>
      </c>
      <c r="C2386" t="str">
        <f>"80084000"</f>
        <v>80084000</v>
      </c>
      <c r="D2386" t="s">
        <v>7328</v>
      </c>
      <c r="F2386" t="s">
        <v>4876</v>
      </c>
      <c r="I2386" t="s">
        <v>184</v>
      </c>
      <c r="J2386" t="s">
        <v>30</v>
      </c>
      <c r="K2386" t="s">
        <v>185</v>
      </c>
      <c r="M2386" t="s">
        <v>32</v>
      </c>
      <c r="N2386" t="str">
        <f>"7/15/2004 12:00:00 AM"</f>
        <v>7/15/2004 12:00:00 AM</v>
      </c>
      <c r="O2386" t="s">
        <v>7328</v>
      </c>
    </row>
    <row r="2387" spans="1:20" x14ac:dyDescent="0.25">
      <c r="A2387" t="str">
        <f>"3044024"</f>
        <v>3044024</v>
      </c>
      <c r="B2387" t="s">
        <v>7330</v>
      </c>
      <c r="C2387" t="str">
        <f>"82523321"</f>
        <v>82523321</v>
      </c>
      <c r="D2387" t="s">
        <v>7331</v>
      </c>
      <c r="F2387" t="s">
        <v>7332</v>
      </c>
      <c r="I2387" t="s">
        <v>184</v>
      </c>
      <c r="J2387" t="s">
        <v>30</v>
      </c>
      <c r="K2387" t="s">
        <v>7333</v>
      </c>
      <c r="M2387" t="s">
        <v>32</v>
      </c>
      <c r="N2387" t="str">
        <f>"8/24/2006 12:00:00 AM"</f>
        <v>8/24/2006 12:00:00 AM</v>
      </c>
      <c r="O2387" t="s">
        <v>7331</v>
      </c>
    </row>
    <row r="2388" spans="1:20" x14ac:dyDescent="0.25">
      <c r="A2388" t="str">
        <f>"3046783"</f>
        <v>3046783</v>
      </c>
      <c r="B2388" t="s">
        <v>7334</v>
      </c>
      <c r="C2388" t="str">
        <f>"74077100"</f>
        <v>74077100</v>
      </c>
      <c r="D2388" t="s">
        <v>7335</v>
      </c>
      <c r="F2388" t="s">
        <v>7336</v>
      </c>
      <c r="I2388" t="s">
        <v>184</v>
      </c>
      <c r="J2388" t="s">
        <v>30</v>
      </c>
      <c r="K2388" t="s">
        <v>185</v>
      </c>
      <c r="M2388" t="s">
        <v>32</v>
      </c>
      <c r="N2388" t="str">
        <f>"1/16/2004 12:00:00 AM"</f>
        <v>1/16/2004 12:00:00 AM</v>
      </c>
      <c r="O2388" t="s">
        <v>7335</v>
      </c>
    </row>
    <row r="2389" spans="1:20" x14ac:dyDescent="0.25">
      <c r="A2389" t="str">
        <f>"3044174"</f>
        <v>3044174</v>
      </c>
      <c r="B2389" t="s">
        <v>7337</v>
      </c>
      <c r="C2389" t="str">
        <f>"13116000"</f>
        <v>13116000</v>
      </c>
      <c r="D2389" t="s">
        <v>7338</v>
      </c>
      <c r="E2389" t="s">
        <v>7339</v>
      </c>
      <c r="F2389" t="s">
        <v>7340</v>
      </c>
      <c r="I2389" t="s">
        <v>184</v>
      </c>
      <c r="J2389" t="s">
        <v>30</v>
      </c>
      <c r="K2389" t="s">
        <v>185</v>
      </c>
      <c r="M2389" t="s">
        <v>32</v>
      </c>
      <c r="N2389" t="str">
        <f>"1/22/2004 12:00:00 AM"</f>
        <v>1/22/2004 12:00:00 AM</v>
      </c>
      <c r="O2389" t="s">
        <v>7338</v>
      </c>
      <c r="T2389" t="s">
        <v>7339</v>
      </c>
    </row>
    <row r="2390" spans="1:20" x14ac:dyDescent="0.25">
      <c r="A2390" t="str">
        <f>"3043925"</f>
        <v>3043925</v>
      </c>
      <c r="B2390" t="s">
        <v>7341</v>
      </c>
      <c r="C2390" t="str">
        <f>"13116000"</f>
        <v>13116000</v>
      </c>
      <c r="D2390" t="s">
        <v>7338</v>
      </c>
      <c r="E2390" t="s">
        <v>7339</v>
      </c>
      <c r="F2390" t="s">
        <v>7340</v>
      </c>
      <c r="I2390" t="s">
        <v>184</v>
      </c>
      <c r="J2390" t="s">
        <v>30</v>
      </c>
      <c r="K2390" t="s">
        <v>185</v>
      </c>
      <c r="M2390" t="s">
        <v>32</v>
      </c>
      <c r="N2390" t="str">
        <f>"1/22/2004 12:00:00 AM"</f>
        <v>1/22/2004 12:00:00 AM</v>
      </c>
      <c r="O2390" t="s">
        <v>7338</v>
      </c>
      <c r="T2390" t="s">
        <v>7339</v>
      </c>
    </row>
    <row r="2391" spans="1:20" x14ac:dyDescent="0.25">
      <c r="A2391" t="str">
        <f>"3064442"</f>
        <v>3064442</v>
      </c>
      <c r="B2391" t="s">
        <v>7342</v>
      </c>
      <c r="C2391" t="str">
        <f>"82527315"</f>
        <v>82527315</v>
      </c>
      <c r="D2391" t="s">
        <v>7343</v>
      </c>
      <c r="F2391" t="s">
        <v>7344</v>
      </c>
      <c r="I2391" t="s">
        <v>184</v>
      </c>
      <c r="J2391" t="s">
        <v>30</v>
      </c>
      <c r="K2391" t="s">
        <v>185</v>
      </c>
      <c r="M2391" t="s">
        <v>32</v>
      </c>
      <c r="N2391" t="str">
        <f>"2/5/2010 12:00:00 AM"</f>
        <v>2/5/2010 12:00:00 AM</v>
      </c>
      <c r="O2391" t="s">
        <v>7343</v>
      </c>
    </row>
    <row r="2392" spans="1:20" x14ac:dyDescent="0.25">
      <c r="A2392" t="str">
        <f>"3043161"</f>
        <v>3043161</v>
      </c>
      <c r="B2392" t="s">
        <v>7345</v>
      </c>
      <c r="C2392" t="str">
        <f>"70100000"</f>
        <v>70100000</v>
      </c>
      <c r="D2392" t="s">
        <v>7162</v>
      </c>
      <c r="E2392" t="s">
        <v>7163</v>
      </c>
      <c r="F2392" t="s">
        <v>7164</v>
      </c>
      <c r="I2392" t="s">
        <v>29</v>
      </c>
      <c r="J2392" t="s">
        <v>30</v>
      </c>
      <c r="K2392" t="s">
        <v>31</v>
      </c>
      <c r="M2392" t="s">
        <v>32</v>
      </c>
      <c r="N2392" t="str">
        <f>"2/13/2003 12:00:00 AM"</f>
        <v>2/13/2003 12:00:00 AM</v>
      </c>
      <c r="O2392" t="s">
        <v>7162</v>
      </c>
      <c r="T2392" t="s">
        <v>7163</v>
      </c>
    </row>
    <row r="2393" spans="1:20" x14ac:dyDescent="0.25">
      <c r="A2393" t="str">
        <f>"3071936"</f>
        <v>3071936</v>
      </c>
      <c r="B2393" t="s">
        <v>7346</v>
      </c>
      <c r="C2393" t="str">
        <f>"82524272"</f>
        <v>82524272</v>
      </c>
      <c r="D2393" t="s">
        <v>7347</v>
      </c>
      <c r="F2393" t="s">
        <v>7348</v>
      </c>
      <c r="I2393" t="s">
        <v>29</v>
      </c>
      <c r="J2393" t="s">
        <v>30</v>
      </c>
      <c r="K2393" t="s">
        <v>7349</v>
      </c>
      <c r="M2393" t="s">
        <v>32</v>
      </c>
      <c r="N2393" t="str">
        <f>"1/24/2006 12:00:00 AM"</f>
        <v>1/24/2006 12:00:00 AM</v>
      </c>
      <c r="O2393" t="s">
        <v>7347</v>
      </c>
    </row>
    <row r="2394" spans="1:20" x14ac:dyDescent="0.25">
      <c r="A2394" t="str">
        <f>"3043619"</f>
        <v>3043619</v>
      </c>
      <c r="B2394" t="s">
        <v>7350</v>
      </c>
      <c r="C2394" t="str">
        <f>"82514214"</f>
        <v>82514214</v>
      </c>
      <c r="D2394" t="s">
        <v>7351</v>
      </c>
      <c r="F2394" t="s">
        <v>7352</v>
      </c>
      <c r="I2394" t="s">
        <v>29</v>
      </c>
      <c r="J2394" t="s">
        <v>30</v>
      </c>
      <c r="K2394" t="s">
        <v>31</v>
      </c>
      <c r="M2394" t="s">
        <v>32</v>
      </c>
      <c r="N2394" t="str">
        <f>"5/10/2002 12:00:00 AM"</f>
        <v>5/10/2002 12:00:00 AM</v>
      </c>
      <c r="O2394" t="s">
        <v>7351</v>
      </c>
    </row>
    <row r="2395" spans="1:20" x14ac:dyDescent="0.25">
      <c r="A2395" t="str">
        <f>"3091151"</f>
        <v>3091151</v>
      </c>
      <c r="B2395" t="s">
        <v>7353</v>
      </c>
      <c r="C2395" t="str">
        <f>"43876000"</f>
        <v>43876000</v>
      </c>
      <c r="D2395" t="s">
        <v>7354</v>
      </c>
      <c r="F2395" t="s">
        <v>7355</v>
      </c>
      <c r="I2395" t="s">
        <v>29</v>
      </c>
      <c r="J2395" t="s">
        <v>30</v>
      </c>
      <c r="K2395" t="s">
        <v>7356</v>
      </c>
      <c r="M2395" t="s">
        <v>32</v>
      </c>
      <c r="N2395" t="str">
        <f>"5/18/2005 12:00:00 AM"</f>
        <v>5/18/2005 12:00:00 AM</v>
      </c>
      <c r="O2395" t="s">
        <v>7354</v>
      </c>
    </row>
    <row r="2396" spans="1:20" x14ac:dyDescent="0.25">
      <c r="A2396" t="str">
        <f>"3043115"</f>
        <v>3043115</v>
      </c>
      <c r="B2396" t="s">
        <v>7357</v>
      </c>
      <c r="C2396" t="str">
        <f>"82522099"</f>
        <v>82522099</v>
      </c>
      <c r="D2396" t="s">
        <v>7202</v>
      </c>
      <c r="F2396" t="s">
        <v>7203</v>
      </c>
      <c r="I2396" t="s">
        <v>7204</v>
      </c>
      <c r="J2396" t="s">
        <v>30</v>
      </c>
      <c r="K2396" t="s">
        <v>7205</v>
      </c>
      <c r="M2396" t="s">
        <v>32</v>
      </c>
      <c r="N2396" t="str">
        <f>"1/25/2005 12:00:00 AM"</f>
        <v>1/25/2005 12:00:00 AM</v>
      </c>
      <c r="O2396" t="s">
        <v>7202</v>
      </c>
      <c r="T2396" t="s">
        <v>7202</v>
      </c>
    </row>
    <row r="2397" spans="1:20" x14ac:dyDescent="0.25">
      <c r="A2397" t="str">
        <f>"3043751"</f>
        <v>3043751</v>
      </c>
      <c r="B2397" t="s">
        <v>7358</v>
      </c>
      <c r="C2397" t="str">
        <f>"82518429"</f>
        <v>82518429</v>
      </c>
      <c r="D2397" t="s">
        <v>7359</v>
      </c>
      <c r="E2397" t="s">
        <v>7360</v>
      </c>
      <c r="F2397" t="s">
        <v>7361</v>
      </c>
      <c r="I2397" t="s">
        <v>29</v>
      </c>
      <c r="J2397" t="s">
        <v>30</v>
      </c>
      <c r="K2397" t="s">
        <v>7245</v>
      </c>
      <c r="M2397" t="s">
        <v>32</v>
      </c>
      <c r="N2397" t="str">
        <f>"1/6/2006 12:00:00 AM"</f>
        <v>1/6/2006 12:00:00 AM</v>
      </c>
      <c r="O2397" t="s">
        <v>7359</v>
      </c>
      <c r="T2397" t="s">
        <v>7360</v>
      </c>
    </row>
    <row r="2398" spans="1:20" x14ac:dyDescent="0.25">
      <c r="A2398" t="str">
        <f>"3043104"</f>
        <v>3043104</v>
      </c>
      <c r="B2398" t="s">
        <v>7362</v>
      </c>
      <c r="C2398" t="str">
        <f>"46564000"</f>
        <v>46564000</v>
      </c>
      <c r="D2398" t="s">
        <v>7363</v>
      </c>
      <c r="F2398" t="s">
        <v>7364</v>
      </c>
      <c r="I2398" t="s">
        <v>7365</v>
      </c>
      <c r="J2398" t="s">
        <v>30</v>
      </c>
      <c r="K2398" t="s">
        <v>7366</v>
      </c>
      <c r="M2398" t="s">
        <v>32</v>
      </c>
      <c r="N2398" t="str">
        <f>"11/25/2002 12:00:00 AM"</f>
        <v>11/25/2002 12:00:00 AM</v>
      </c>
      <c r="O2398" t="s">
        <v>7363</v>
      </c>
    </row>
    <row r="2399" spans="1:20" x14ac:dyDescent="0.25">
      <c r="A2399" t="str">
        <f>"3046812"</f>
        <v>3046812</v>
      </c>
      <c r="B2399" t="s">
        <v>7367</v>
      </c>
      <c r="C2399" t="str">
        <f>"66022500"</f>
        <v>66022500</v>
      </c>
      <c r="D2399" t="s">
        <v>7368</v>
      </c>
      <c r="E2399" t="s">
        <v>7369</v>
      </c>
      <c r="F2399" t="s">
        <v>7370</v>
      </c>
      <c r="I2399" t="s">
        <v>184</v>
      </c>
      <c r="J2399" t="s">
        <v>30</v>
      </c>
      <c r="K2399" t="s">
        <v>185</v>
      </c>
      <c r="M2399" t="s">
        <v>32</v>
      </c>
      <c r="N2399" t="str">
        <f>"8/6/2003 12:00:00 AM"</f>
        <v>8/6/2003 12:00:00 AM</v>
      </c>
      <c r="O2399" t="s">
        <v>7368</v>
      </c>
      <c r="T2399" t="s">
        <v>7369</v>
      </c>
    </row>
    <row r="2400" spans="1:20" x14ac:dyDescent="0.25">
      <c r="A2400" t="str">
        <f>"3046846"</f>
        <v>3046846</v>
      </c>
      <c r="B2400" t="s">
        <v>7371</v>
      </c>
      <c r="C2400" t="str">
        <f>"82525602"</f>
        <v>82525602</v>
      </c>
      <c r="D2400" t="s">
        <v>7372</v>
      </c>
      <c r="F2400" t="s">
        <v>7373</v>
      </c>
      <c r="I2400" t="s">
        <v>184</v>
      </c>
      <c r="J2400" t="s">
        <v>30</v>
      </c>
      <c r="K2400" t="s">
        <v>185</v>
      </c>
      <c r="M2400" t="s">
        <v>32</v>
      </c>
      <c r="N2400" t="str">
        <f>"1/6/2006 12:00:00 AM"</f>
        <v>1/6/2006 12:00:00 AM</v>
      </c>
      <c r="O2400" t="s">
        <v>7372</v>
      </c>
    </row>
    <row r="2401" spans="1:20" x14ac:dyDescent="0.25">
      <c r="A2401" t="str">
        <f>"3063038"</f>
        <v>3063038</v>
      </c>
      <c r="B2401" t="s">
        <v>7374</v>
      </c>
      <c r="C2401" t="str">
        <f>"77982000"</f>
        <v>77982000</v>
      </c>
      <c r="D2401" t="s">
        <v>7375</v>
      </c>
      <c r="E2401" t="s">
        <v>7376</v>
      </c>
      <c r="F2401" t="s">
        <v>7377</v>
      </c>
      <c r="I2401" t="s">
        <v>184</v>
      </c>
      <c r="J2401" t="s">
        <v>30</v>
      </c>
      <c r="K2401" t="s">
        <v>31</v>
      </c>
      <c r="M2401" t="s">
        <v>32</v>
      </c>
      <c r="N2401" t="str">
        <f>"2/14/2003 12:00:00 AM"</f>
        <v>2/14/2003 12:00:00 AM</v>
      </c>
      <c r="O2401" t="s">
        <v>7375</v>
      </c>
      <c r="T2401" t="s">
        <v>7376</v>
      </c>
    </row>
    <row r="2402" spans="1:20" x14ac:dyDescent="0.25">
      <c r="A2402" t="str">
        <f>"3063039"</f>
        <v>3063039</v>
      </c>
      <c r="B2402" t="s">
        <v>7378</v>
      </c>
      <c r="C2402" t="str">
        <f>"82520756"</f>
        <v>82520756</v>
      </c>
      <c r="D2402" t="s">
        <v>7379</v>
      </c>
      <c r="E2402" t="s">
        <v>7380</v>
      </c>
      <c r="F2402" t="s">
        <v>7381</v>
      </c>
      <c r="I2402" t="s">
        <v>184</v>
      </c>
      <c r="J2402" t="s">
        <v>30</v>
      </c>
      <c r="K2402" t="s">
        <v>185</v>
      </c>
      <c r="M2402" t="s">
        <v>32</v>
      </c>
      <c r="N2402" t="str">
        <f>"4/24/2003 12:00:00 AM"</f>
        <v>4/24/2003 12:00:00 AM</v>
      </c>
      <c r="O2402" t="s">
        <v>7379</v>
      </c>
      <c r="T2402" t="s">
        <v>7380</v>
      </c>
    </row>
    <row r="2403" spans="1:20" x14ac:dyDescent="0.25">
      <c r="A2403" t="str">
        <f>"3063058"</f>
        <v>3063058</v>
      </c>
      <c r="B2403" t="s">
        <v>7382</v>
      </c>
      <c r="C2403" t="str">
        <f>"43107270"</f>
        <v>43107270</v>
      </c>
      <c r="D2403" t="s">
        <v>7383</v>
      </c>
      <c r="E2403" t="s">
        <v>7384</v>
      </c>
      <c r="F2403" t="s">
        <v>7385</v>
      </c>
      <c r="I2403" t="s">
        <v>184</v>
      </c>
      <c r="J2403" t="s">
        <v>30</v>
      </c>
      <c r="K2403" t="s">
        <v>185</v>
      </c>
      <c r="M2403" t="s">
        <v>32</v>
      </c>
      <c r="N2403" t="str">
        <f>"11/24/2003 12:00:00 AM"</f>
        <v>11/24/2003 12:00:00 AM</v>
      </c>
      <c r="O2403" t="s">
        <v>7383</v>
      </c>
      <c r="T2403" t="s">
        <v>7384</v>
      </c>
    </row>
    <row r="2404" spans="1:20" x14ac:dyDescent="0.25">
      <c r="A2404" t="str">
        <f>"3063064"</f>
        <v>3063064</v>
      </c>
      <c r="B2404" t="s">
        <v>7386</v>
      </c>
      <c r="C2404" t="str">
        <f>"82515608"</f>
        <v>82515608</v>
      </c>
      <c r="D2404" t="s">
        <v>7387</v>
      </c>
      <c r="E2404" t="s">
        <v>7388</v>
      </c>
      <c r="F2404" t="s">
        <v>7389</v>
      </c>
      <c r="I2404" t="s">
        <v>184</v>
      </c>
      <c r="J2404" t="s">
        <v>30</v>
      </c>
      <c r="K2404" t="s">
        <v>185</v>
      </c>
      <c r="M2404" t="s">
        <v>32</v>
      </c>
      <c r="N2404" t="str">
        <f>"5/21/2002 12:00:00 AM"</f>
        <v>5/21/2002 12:00:00 AM</v>
      </c>
      <c r="O2404" t="s">
        <v>7387</v>
      </c>
      <c r="T2404" t="s">
        <v>7388</v>
      </c>
    </row>
    <row r="2405" spans="1:20" x14ac:dyDescent="0.25">
      <c r="A2405" t="str">
        <f>"3063056"</f>
        <v>3063056</v>
      </c>
      <c r="B2405" t="s">
        <v>7390</v>
      </c>
      <c r="C2405" t="str">
        <f>"82529304"</f>
        <v>82529304</v>
      </c>
      <c r="D2405" t="s">
        <v>7391</v>
      </c>
      <c r="F2405" t="s">
        <v>7392</v>
      </c>
      <c r="I2405" t="s">
        <v>184</v>
      </c>
      <c r="J2405" t="s">
        <v>30</v>
      </c>
      <c r="K2405" t="s">
        <v>185</v>
      </c>
      <c r="M2405" t="s">
        <v>32</v>
      </c>
      <c r="N2405" t="str">
        <f>"1/12/2009 12:00:00 AM"</f>
        <v>1/12/2009 12:00:00 AM</v>
      </c>
      <c r="O2405" t="s">
        <v>7391</v>
      </c>
    </row>
    <row r="2406" spans="1:20" x14ac:dyDescent="0.25">
      <c r="A2406" t="str">
        <f>"3063059"</f>
        <v>3063059</v>
      </c>
      <c r="B2406" t="s">
        <v>7393</v>
      </c>
      <c r="C2406" t="str">
        <f>"82527504"</f>
        <v>82527504</v>
      </c>
      <c r="D2406" t="s">
        <v>7394</v>
      </c>
      <c r="E2406" t="s">
        <v>7395</v>
      </c>
      <c r="F2406" t="s">
        <v>7396</v>
      </c>
      <c r="I2406" t="s">
        <v>184</v>
      </c>
      <c r="J2406" t="s">
        <v>30</v>
      </c>
      <c r="K2406" t="s">
        <v>185</v>
      </c>
      <c r="M2406" t="s">
        <v>32</v>
      </c>
      <c r="N2406" t="str">
        <f>"3/8/2010 12:00:00 AM"</f>
        <v>3/8/2010 12:00:00 AM</v>
      </c>
      <c r="O2406" t="s">
        <v>7394</v>
      </c>
      <c r="T2406" t="s">
        <v>7395</v>
      </c>
    </row>
    <row r="2407" spans="1:20" x14ac:dyDescent="0.25">
      <c r="A2407" t="str">
        <f>"3043080"</f>
        <v>3043080</v>
      </c>
      <c r="B2407" t="s">
        <v>7397</v>
      </c>
      <c r="C2407" t="str">
        <f>"46564000"</f>
        <v>46564000</v>
      </c>
      <c r="D2407" t="s">
        <v>7363</v>
      </c>
      <c r="F2407" t="s">
        <v>7364</v>
      </c>
      <c r="I2407" t="s">
        <v>7365</v>
      </c>
      <c r="J2407" t="s">
        <v>30</v>
      </c>
      <c r="K2407" t="s">
        <v>7366</v>
      </c>
      <c r="M2407" t="s">
        <v>32</v>
      </c>
      <c r="N2407" t="str">
        <f>"11/25/2002 12:00:00 AM"</f>
        <v>11/25/2002 12:00:00 AM</v>
      </c>
      <c r="O2407" t="s">
        <v>7363</v>
      </c>
    </row>
    <row r="2408" spans="1:20" x14ac:dyDescent="0.25">
      <c r="A2408" t="str">
        <f>"3043087"</f>
        <v>3043087</v>
      </c>
      <c r="B2408" t="s">
        <v>7398</v>
      </c>
      <c r="C2408" t="str">
        <f>"47304000"</f>
        <v>47304000</v>
      </c>
      <c r="D2408" t="s">
        <v>7399</v>
      </c>
      <c r="F2408" t="s">
        <v>7244</v>
      </c>
      <c r="I2408" t="s">
        <v>29</v>
      </c>
      <c r="J2408" t="s">
        <v>30</v>
      </c>
      <c r="K2408" t="s">
        <v>7245</v>
      </c>
      <c r="M2408" t="s">
        <v>32</v>
      </c>
      <c r="N2408" t="str">
        <f>"1/17/2006 12:00:00 AM"</f>
        <v>1/17/2006 12:00:00 AM</v>
      </c>
      <c r="O2408" t="s">
        <v>7399</v>
      </c>
      <c r="T2408" t="s">
        <v>7399</v>
      </c>
    </row>
    <row r="2409" spans="1:20" x14ac:dyDescent="0.25">
      <c r="A2409" t="str">
        <f>"3042046"</f>
        <v>3042046</v>
      </c>
      <c r="B2409" t="s">
        <v>7400</v>
      </c>
      <c r="C2409" t="str">
        <f>"82515754"</f>
        <v>82515754</v>
      </c>
      <c r="D2409" t="s">
        <v>7401</v>
      </c>
      <c r="E2409" t="s">
        <v>7402</v>
      </c>
      <c r="F2409" t="s">
        <v>7403</v>
      </c>
      <c r="I2409" t="s">
        <v>29</v>
      </c>
      <c r="J2409" t="s">
        <v>30</v>
      </c>
      <c r="K2409" t="s">
        <v>7286</v>
      </c>
      <c r="M2409" t="s">
        <v>32</v>
      </c>
      <c r="N2409" t="str">
        <f>"1/11/2006 12:00:00 AM"</f>
        <v>1/11/2006 12:00:00 AM</v>
      </c>
      <c r="O2409" t="s">
        <v>7401</v>
      </c>
      <c r="T2409" t="s">
        <v>7402</v>
      </c>
    </row>
    <row r="2410" spans="1:20" x14ac:dyDescent="0.25">
      <c r="A2410" t="str">
        <f>"3063899"</f>
        <v>3063899</v>
      </c>
      <c r="B2410" t="s">
        <v>7404</v>
      </c>
      <c r="C2410" t="str">
        <f>"82515754"</f>
        <v>82515754</v>
      </c>
      <c r="D2410" t="s">
        <v>7401</v>
      </c>
      <c r="E2410" t="s">
        <v>7402</v>
      </c>
      <c r="F2410" t="s">
        <v>7403</v>
      </c>
      <c r="I2410" t="s">
        <v>29</v>
      </c>
      <c r="J2410" t="s">
        <v>30</v>
      </c>
      <c r="K2410" t="s">
        <v>7286</v>
      </c>
      <c r="M2410" t="s">
        <v>32</v>
      </c>
      <c r="N2410" t="str">
        <f>"1/11/2006 12:00:00 AM"</f>
        <v>1/11/2006 12:00:00 AM</v>
      </c>
      <c r="O2410" t="s">
        <v>7401</v>
      </c>
      <c r="T2410" t="s">
        <v>7402</v>
      </c>
    </row>
    <row r="2411" spans="1:20" x14ac:dyDescent="0.25">
      <c r="A2411" t="str">
        <f>"3042234"</f>
        <v>3042234</v>
      </c>
      <c r="B2411" t="s">
        <v>7405</v>
      </c>
      <c r="C2411" t="str">
        <f>"82524391"</f>
        <v>82524391</v>
      </c>
      <c r="D2411" t="s">
        <v>7406</v>
      </c>
      <c r="E2411" t="s">
        <v>7407</v>
      </c>
      <c r="F2411" t="s">
        <v>7408</v>
      </c>
      <c r="I2411" t="s">
        <v>29</v>
      </c>
      <c r="J2411" t="s">
        <v>30</v>
      </c>
      <c r="K2411" t="s">
        <v>7409</v>
      </c>
      <c r="M2411" t="s">
        <v>32</v>
      </c>
      <c r="N2411" t="str">
        <f>"1/11/2006 12:00:00 AM"</f>
        <v>1/11/2006 12:00:00 AM</v>
      </c>
      <c r="O2411" t="s">
        <v>7406</v>
      </c>
      <c r="T2411" t="s">
        <v>7407</v>
      </c>
    </row>
    <row r="2412" spans="1:20" x14ac:dyDescent="0.25">
      <c r="A2412" t="str">
        <f>"3044203"</f>
        <v>3044203</v>
      </c>
      <c r="B2412" t="s">
        <v>7410</v>
      </c>
      <c r="C2412" t="str">
        <f>"82518499"</f>
        <v>82518499</v>
      </c>
      <c r="D2412" t="s">
        <v>7411</v>
      </c>
      <c r="E2412" t="s">
        <v>7412</v>
      </c>
      <c r="F2412" t="s">
        <v>7413</v>
      </c>
      <c r="I2412" t="s">
        <v>184</v>
      </c>
      <c r="J2412" t="s">
        <v>30</v>
      </c>
      <c r="K2412" t="s">
        <v>185</v>
      </c>
      <c r="M2412" t="s">
        <v>32</v>
      </c>
      <c r="N2412" t="str">
        <f>"6/15/2005 12:00:00 AM"</f>
        <v>6/15/2005 12:00:00 AM</v>
      </c>
      <c r="O2412" t="s">
        <v>7411</v>
      </c>
      <c r="T2412" t="s">
        <v>7412</v>
      </c>
    </row>
    <row r="2413" spans="1:20" x14ac:dyDescent="0.25">
      <c r="A2413" t="str">
        <f>"3044244"</f>
        <v>3044244</v>
      </c>
      <c r="B2413" t="s">
        <v>7414</v>
      </c>
      <c r="C2413" t="str">
        <f>"56624000"</f>
        <v>56624000</v>
      </c>
      <c r="D2413" t="s">
        <v>7415</v>
      </c>
      <c r="F2413" t="s">
        <v>7416</v>
      </c>
      <c r="I2413" t="s">
        <v>184</v>
      </c>
      <c r="J2413" t="s">
        <v>30</v>
      </c>
      <c r="K2413" t="s">
        <v>7417</v>
      </c>
      <c r="M2413" t="s">
        <v>32</v>
      </c>
      <c r="N2413" t="str">
        <f>"1/23/2006 12:00:00 AM"</f>
        <v>1/23/2006 12:00:00 AM</v>
      </c>
      <c r="O2413" t="s">
        <v>7415</v>
      </c>
      <c r="T2413" t="s">
        <v>7415</v>
      </c>
    </row>
    <row r="2414" spans="1:20" x14ac:dyDescent="0.25">
      <c r="A2414" t="str">
        <f>"3044228"</f>
        <v>3044228</v>
      </c>
      <c r="B2414" t="s">
        <v>7418</v>
      </c>
      <c r="C2414" t="str">
        <f>"58927120"</f>
        <v>58927120</v>
      </c>
      <c r="D2414" t="s">
        <v>7419</v>
      </c>
      <c r="E2414" t="s">
        <v>7420</v>
      </c>
      <c r="F2414" t="s">
        <v>7421</v>
      </c>
      <c r="I2414" t="s">
        <v>184</v>
      </c>
      <c r="J2414" t="s">
        <v>30</v>
      </c>
      <c r="K2414" t="s">
        <v>185</v>
      </c>
      <c r="M2414" t="s">
        <v>32</v>
      </c>
      <c r="N2414" t="str">
        <f>"5/21/2002 12:00:00 AM"</f>
        <v>5/21/2002 12:00:00 AM</v>
      </c>
      <c r="O2414" t="s">
        <v>7419</v>
      </c>
      <c r="T2414" t="s">
        <v>7420</v>
      </c>
    </row>
    <row r="2415" spans="1:20" x14ac:dyDescent="0.25">
      <c r="A2415" t="str">
        <f>"3063864"</f>
        <v>3063864</v>
      </c>
      <c r="B2415" t="s">
        <v>7422</v>
      </c>
      <c r="C2415" t="str">
        <f>"82524391"</f>
        <v>82524391</v>
      </c>
      <c r="D2415" t="s">
        <v>7406</v>
      </c>
      <c r="E2415" t="s">
        <v>7407</v>
      </c>
      <c r="F2415" t="s">
        <v>7408</v>
      </c>
      <c r="I2415" t="s">
        <v>29</v>
      </c>
      <c r="J2415" t="s">
        <v>30</v>
      </c>
      <c r="K2415" t="s">
        <v>7409</v>
      </c>
      <c r="M2415" t="s">
        <v>32</v>
      </c>
      <c r="N2415" t="str">
        <f>"1/11/2006 12:00:00 AM"</f>
        <v>1/11/2006 12:00:00 AM</v>
      </c>
      <c r="O2415" t="s">
        <v>7406</v>
      </c>
      <c r="T2415" t="s">
        <v>7407</v>
      </c>
    </row>
    <row r="2416" spans="1:20" x14ac:dyDescent="0.25">
      <c r="A2416" t="str">
        <f>"3063987"</f>
        <v>3063987</v>
      </c>
      <c r="B2416" t="s">
        <v>7423</v>
      </c>
      <c r="C2416" t="str">
        <f>"70104000"</f>
        <v>70104000</v>
      </c>
      <c r="D2416" t="s">
        <v>7424</v>
      </c>
      <c r="E2416" t="s">
        <v>7425</v>
      </c>
      <c r="F2416" t="s">
        <v>7426</v>
      </c>
      <c r="I2416" t="s">
        <v>29</v>
      </c>
      <c r="J2416" t="s">
        <v>30</v>
      </c>
      <c r="K2416" t="s">
        <v>31</v>
      </c>
      <c r="M2416" t="s">
        <v>32</v>
      </c>
      <c r="N2416" t="str">
        <f>"5/19/2004 12:00:00 AM"</f>
        <v>5/19/2004 12:00:00 AM</v>
      </c>
      <c r="O2416" t="s">
        <v>7424</v>
      </c>
      <c r="T2416" t="s">
        <v>7425</v>
      </c>
    </row>
    <row r="2417" spans="1:20" x14ac:dyDescent="0.25">
      <c r="A2417" t="str">
        <f>"3075266"</f>
        <v>3075266</v>
      </c>
      <c r="B2417" t="s">
        <v>7427</v>
      </c>
      <c r="C2417" t="str">
        <f>"38855450"</f>
        <v>38855450</v>
      </c>
      <c r="D2417" t="s">
        <v>7428</v>
      </c>
      <c r="F2417" t="s">
        <v>7429</v>
      </c>
      <c r="I2417" t="s">
        <v>29</v>
      </c>
      <c r="J2417" t="s">
        <v>30</v>
      </c>
      <c r="K2417" t="s">
        <v>31</v>
      </c>
      <c r="M2417" t="s">
        <v>32</v>
      </c>
      <c r="N2417" t="str">
        <f>"11/7/2003 12:00:00 AM"</f>
        <v>11/7/2003 12:00:00 AM</v>
      </c>
      <c r="O2417" t="s">
        <v>7428</v>
      </c>
    </row>
    <row r="2418" spans="1:20" x14ac:dyDescent="0.25">
      <c r="A2418" t="str">
        <f>"3044038"</f>
        <v>3044038</v>
      </c>
      <c r="B2418" t="s">
        <v>7430</v>
      </c>
      <c r="C2418" t="str">
        <f>"82518977"</f>
        <v>82518977</v>
      </c>
      <c r="D2418" t="s">
        <v>7431</v>
      </c>
      <c r="E2418" t="s">
        <v>7432</v>
      </c>
      <c r="F2418" t="s">
        <v>7433</v>
      </c>
      <c r="I2418" t="s">
        <v>184</v>
      </c>
      <c r="J2418" t="s">
        <v>30</v>
      </c>
      <c r="K2418" t="s">
        <v>7434</v>
      </c>
      <c r="M2418" t="s">
        <v>32</v>
      </c>
      <c r="N2418" t="str">
        <f>"12/18/2006 12:00:00 AM"</f>
        <v>12/18/2006 12:00:00 AM</v>
      </c>
      <c r="O2418" t="s">
        <v>7431</v>
      </c>
      <c r="T2418" t="s">
        <v>7432</v>
      </c>
    </row>
    <row r="2419" spans="1:20" x14ac:dyDescent="0.25">
      <c r="A2419" t="str">
        <f>"3044236"</f>
        <v>3044236</v>
      </c>
      <c r="B2419" t="s">
        <v>7435</v>
      </c>
      <c r="C2419" t="str">
        <f>"23718250"</f>
        <v>23718250</v>
      </c>
      <c r="D2419" t="s">
        <v>7436</v>
      </c>
      <c r="F2419" t="s">
        <v>7437</v>
      </c>
      <c r="I2419" t="s">
        <v>184</v>
      </c>
      <c r="J2419" t="s">
        <v>30</v>
      </c>
      <c r="K2419" t="s">
        <v>7438</v>
      </c>
      <c r="M2419" t="s">
        <v>32</v>
      </c>
      <c r="N2419" t="str">
        <f>"2/14/2007 12:00:00 AM"</f>
        <v>2/14/2007 12:00:00 AM</v>
      </c>
      <c r="O2419" t="s">
        <v>7436</v>
      </c>
    </row>
    <row r="2420" spans="1:20" x14ac:dyDescent="0.25">
      <c r="A2420" t="str">
        <f>"3064010"</f>
        <v>3064010</v>
      </c>
      <c r="B2420" t="s">
        <v>7439</v>
      </c>
      <c r="C2420" t="str">
        <f>"28376000"</f>
        <v>28376000</v>
      </c>
      <c r="D2420" t="s">
        <v>7440</v>
      </c>
      <c r="F2420" t="s">
        <v>7441</v>
      </c>
      <c r="I2420" t="s">
        <v>29</v>
      </c>
      <c r="J2420" t="s">
        <v>30</v>
      </c>
      <c r="K2420" t="s">
        <v>7442</v>
      </c>
      <c r="M2420" t="s">
        <v>32</v>
      </c>
      <c r="N2420" t="str">
        <f>"1/10/2006 12:00:00 AM"</f>
        <v>1/10/2006 12:00:00 AM</v>
      </c>
      <c r="O2420" t="s">
        <v>7440</v>
      </c>
    </row>
    <row r="2421" spans="1:20" x14ac:dyDescent="0.25">
      <c r="A2421" t="str">
        <f>"3046573"</f>
        <v>3046573</v>
      </c>
      <c r="B2421" t="s">
        <v>7443</v>
      </c>
      <c r="C2421" t="str">
        <f>"17626000"</f>
        <v>17626000</v>
      </c>
      <c r="D2421" t="s">
        <v>7444</v>
      </c>
      <c r="E2421" t="s">
        <v>7445</v>
      </c>
      <c r="F2421" t="s">
        <v>7446</v>
      </c>
      <c r="I2421" t="s">
        <v>184</v>
      </c>
      <c r="J2421" t="s">
        <v>30</v>
      </c>
      <c r="K2421" t="s">
        <v>185</v>
      </c>
      <c r="M2421" t="s">
        <v>32</v>
      </c>
      <c r="N2421" t="str">
        <f>"2/17/2010 12:00:00 AM"</f>
        <v>2/17/2010 12:00:00 AM</v>
      </c>
      <c r="O2421" t="s">
        <v>7444</v>
      </c>
      <c r="T2421" t="s">
        <v>7445</v>
      </c>
    </row>
    <row r="2422" spans="1:20" x14ac:dyDescent="0.25">
      <c r="A2422" t="str">
        <f>"3044141"</f>
        <v>3044141</v>
      </c>
      <c r="B2422" t="s">
        <v>7447</v>
      </c>
      <c r="C2422" t="str">
        <f>"82520320"</f>
        <v>82520320</v>
      </c>
      <c r="D2422" t="s">
        <v>7448</v>
      </c>
      <c r="F2422" t="s">
        <v>7449</v>
      </c>
      <c r="I2422" t="s">
        <v>184</v>
      </c>
      <c r="J2422" t="s">
        <v>30</v>
      </c>
      <c r="K2422" t="s">
        <v>185</v>
      </c>
      <c r="M2422" t="s">
        <v>32</v>
      </c>
      <c r="N2422" t="str">
        <f>"1/15/2004 12:00:00 AM"</f>
        <v>1/15/2004 12:00:00 AM</v>
      </c>
      <c r="O2422" t="s">
        <v>7448</v>
      </c>
    </row>
    <row r="2423" spans="1:20" x14ac:dyDescent="0.25">
      <c r="A2423" t="str">
        <f>"3044090"</f>
        <v>3044090</v>
      </c>
      <c r="B2423" t="s">
        <v>7450</v>
      </c>
      <c r="C2423" t="str">
        <f>"82520320"</f>
        <v>82520320</v>
      </c>
      <c r="D2423" t="s">
        <v>7448</v>
      </c>
      <c r="F2423" t="s">
        <v>7449</v>
      </c>
      <c r="I2423" t="s">
        <v>184</v>
      </c>
      <c r="J2423" t="s">
        <v>30</v>
      </c>
      <c r="K2423" t="s">
        <v>185</v>
      </c>
      <c r="M2423" t="s">
        <v>32</v>
      </c>
      <c r="N2423" t="str">
        <f>"1/15/2004 12:00:00 AM"</f>
        <v>1/15/2004 12:00:00 AM</v>
      </c>
      <c r="O2423" t="s">
        <v>7448</v>
      </c>
    </row>
    <row r="2424" spans="1:20" x14ac:dyDescent="0.25">
      <c r="A2424" t="str">
        <f>"3044091"</f>
        <v>3044091</v>
      </c>
      <c r="B2424" t="s">
        <v>7451</v>
      </c>
      <c r="C2424" t="str">
        <f>"82520320"</f>
        <v>82520320</v>
      </c>
      <c r="D2424" t="s">
        <v>7448</v>
      </c>
      <c r="F2424" t="s">
        <v>7449</v>
      </c>
      <c r="I2424" t="s">
        <v>184</v>
      </c>
      <c r="J2424" t="s">
        <v>30</v>
      </c>
      <c r="K2424" t="s">
        <v>185</v>
      </c>
      <c r="M2424" t="s">
        <v>32</v>
      </c>
      <c r="N2424" t="str">
        <f>"1/15/2004 12:00:00 AM"</f>
        <v>1/15/2004 12:00:00 AM</v>
      </c>
      <c r="O2424" t="s">
        <v>7448</v>
      </c>
    </row>
    <row r="2425" spans="1:20" x14ac:dyDescent="0.25">
      <c r="A2425" t="str">
        <f>"3043891"</f>
        <v>3043891</v>
      </c>
      <c r="B2425" t="s">
        <v>7452</v>
      </c>
      <c r="C2425" t="str">
        <f>"82520320"</f>
        <v>82520320</v>
      </c>
      <c r="D2425" t="s">
        <v>7448</v>
      </c>
      <c r="F2425" t="s">
        <v>7449</v>
      </c>
      <c r="I2425" t="s">
        <v>184</v>
      </c>
      <c r="J2425" t="s">
        <v>30</v>
      </c>
      <c r="K2425" t="s">
        <v>185</v>
      </c>
      <c r="M2425" t="s">
        <v>32</v>
      </c>
      <c r="N2425" t="str">
        <f>"1/15/2004 12:00:00 AM"</f>
        <v>1/15/2004 12:00:00 AM</v>
      </c>
      <c r="O2425" t="s">
        <v>7448</v>
      </c>
    </row>
    <row r="2426" spans="1:20" x14ac:dyDescent="0.25">
      <c r="A2426" t="str">
        <f>"3043892"</f>
        <v>3043892</v>
      </c>
      <c r="B2426" t="s">
        <v>7453</v>
      </c>
      <c r="C2426" t="str">
        <f>"82520320"</f>
        <v>82520320</v>
      </c>
      <c r="D2426" t="s">
        <v>7448</v>
      </c>
      <c r="F2426" t="s">
        <v>7449</v>
      </c>
      <c r="I2426" t="s">
        <v>184</v>
      </c>
      <c r="J2426" t="s">
        <v>30</v>
      </c>
      <c r="K2426" t="s">
        <v>185</v>
      </c>
      <c r="M2426" t="s">
        <v>32</v>
      </c>
      <c r="N2426" t="str">
        <f>"1/15/2004 12:00:00 AM"</f>
        <v>1/15/2004 12:00:00 AM</v>
      </c>
      <c r="O2426" t="s">
        <v>7448</v>
      </c>
    </row>
    <row r="2427" spans="1:20" x14ac:dyDescent="0.25">
      <c r="A2427" t="str">
        <f>"3043980"</f>
        <v>3043980</v>
      </c>
      <c r="B2427" t="s">
        <v>7454</v>
      </c>
      <c r="C2427" t="str">
        <f>"82517196"</f>
        <v>82517196</v>
      </c>
      <c r="D2427" t="s">
        <v>7455</v>
      </c>
      <c r="F2427" t="s">
        <v>7282</v>
      </c>
      <c r="I2427" t="s">
        <v>29</v>
      </c>
      <c r="J2427" t="s">
        <v>30</v>
      </c>
      <c r="K2427" t="s">
        <v>31</v>
      </c>
      <c r="M2427" t="s">
        <v>32</v>
      </c>
      <c r="N2427" t="str">
        <f>"10/3/2003 12:00:00 AM"</f>
        <v>10/3/2003 12:00:00 AM</v>
      </c>
      <c r="O2427" t="s">
        <v>7455</v>
      </c>
    </row>
    <row r="2428" spans="1:20" x14ac:dyDescent="0.25">
      <c r="A2428" t="str">
        <f>"3046632"</f>
        <v>3046632</v>
      </c>
      <c r="B2428" t="s">
        <v>7456</v>
      </c>
      <c r="C2428" t="str">
        <f>"17626000"</f>
        <v>17626000</v>
      </c>
      <c r="D2428" t="s">
        <v>7444</v>
      </c>
      <c r="E2428" t="s">
        <v>7445</v>
      </c>
      <c r="F2428" t="s">
        <v>7446</v>
      </c>
      <c r="I2428" t="s">
        <v>184</v>
      </c>
      <c r="J2428" t="s">
        <v>30</v>
      </c>
      <c r="K2428" t="s">
        <v>185</v>
      </c>
      <c r="M2428" t="s">
        <v>32</v>
      </c>
      <c r="N2428" t="str">
        <f>"2/17/2010 12:00:00 AM"</f>
        <v>2/17/2010 12:00:00 AM</v>
      </c>
      <c r="O2428" t="s">
        <v>7444</v>
      </c>
      <c r="T2428" t="s">
        <v>7445</v>
      </c>
    </row>
    <row r="2429" spans="1:20" x14ac:dyDescent="0.25">
      <c r="A2429" t="str">
        <f>"3046628"</f>
        <v>3046628</v>
      </c>
      <c r="B2429" t="s">
        <v>7457</v>
      </c>
      <c r="C2429" t="str">
        <f>"17626000"</f>
        <v>17626000</v>
      </c>
      <c r="D2429" t="s">
        <v>7444</v>
      </c>
      <c r="E2429" t="s">
        <v>7445</v>
      </c>
      <c r="F2429" t="s">
        <v>7446</v>
      </c>
      <c r="I2429" t="s">
        <v>184</v>
      </c>
      <c r="J2429" t="s">
        <v>30</v>
      </c>
      <c r="K2429" t="s">
        <v>185</v>
      </c>
      <c r="M2429" t="s">
        <v>32</v>
      </c>
      <c r="N2429" t="str">
        <f>"2/17/2010 12:00:00 AM"</f>
        <v>2/17/2010 12:00:00 AM</v>
      </c>
      <c r="O2429" t="s">
        <v>7444</v>
      </c>
      <c r="T2429" t="s">
        <v>7445</v>
      </c>
    </row>
    <row r="2430" spans="1:20" x14ac:dyDescent="0.25">
      <c r="A2430" t="str">
        <f>"3046629"</f>
        <v>3046629</v>
      </c>
      <c r="B2430" t="s">
        <v>7458</v>
      </c>
      <c r="C2430" t="str">
        <f>"17626000"</f>
        <v>17626000</v>
      </c>
      <c r="D2430" t="s">
        <v>7444</v>
      </c>
      <c r="E2430" t="s">
        <v>7445</v>
      </c>
      <c r="F2430" t="s">
        <v>7446</v>
      </c>
      <c r="I2430" t="s">
        <v>184</v>
      </c>
      <c r="J2430" t="s">
        <v>30</v>
      </c>
      <c r="K2430" t="s">
        <v>185</v>
      </c>
      <c r="M2430" t="s">
        <v>32</v>
      </c>
      <c r="N2430" t="str">
        <f>"2/17/2010 12:00:00 AM"</f>
        <v>2/17/2010 12:00:00 AM</v>
      </c>
      <c r="O2430" t="s">
        <v>7444</v>
      </c>
      <c r="T2430" t="s">
        <v>7445</v>
      </c>
    </row>
    <row r="2431" spans="1:20" x14ac:dyDescent="0.25">
      <c r="A2431" t="str">
        <f>"3046764"</f>
        <v>3046764</v>
      </c>
      <c r="B2431" t="s">
        <v>7459</v>
      </c>
      <c r="C2431" t="str">
        <f>"17626000"</f>
        <v>17626000</v>
      </c>
      <c r="D2431" t="s">
        <v>7444</v>
      </c>
      <c r="E2431" t="s">
        <v>7445</v>
      </c>
      <c r="F2431" t="s">
        <v>7446</v>
      </c>
      <c r="I2431" t="s">
        <v>184</v>
      </c>
      <c r="J2431" t="s">
        <v>30</v>
      </c>
      <c r="K2431" t="s">
        <v>185</v>
      </c>
      <c r="M2431" t="s">
        <v>32</v>
      </c>
      <c r="N2431" t="str">
        <f>"2/17/2010 12:00:00 AM"</f>
        <v>2/17/2010 12:00:00 AM</v>
      </c>
      <c r="O2431" t="s">
        <v>7444</v>
      </c>
      <c r="T2431" t="s">
        <v>7445</v>
      </c>
    </row>
    <row r="2432" spans="1:20" x14ac:dyDescent="0.25">
      <c r="A2432" t="str">
        <f>"3063006"</f>
        <v>3063006</v>
      </c>
      <c r="B2432" t="s">
        <v>7460</v>
      </c>
      <c r="C2432" t="str">
        <f>"10596000"</f>
        <v>10596000</v>
      </c>
      <c r="D2432" t="s">
        <v>7323</v>
      </c>
      <c r="E2432" t="s">
        <v>7324</v>
      </c>
      <c r="F2432" t="s">
        <v>7325</v>
      </c>
      <c r="I2432" t="s">
        <v>184</v>
      </c>
      <c r="J2432" t="s">
        <v>30</v>
      </c>
      <c r="K2432" t="s">
        <v>7326</v>
      </c>
      <c r="M2432" t="s">
        <v>32</v>
      </c>
      <c r="N2432" t="str">
        <f>"1/25/2005 12:00:00 AM"</f>
        <v>1/25/2005 12:00:00 AM</v>
      </c>
      <c r="O2432" t="s">
        <v>7323</v>
      </c>
      <c r="T2432" t="s">
        <v>7324</v>
      </c>
    </row>
    <row r="2433" spans="1:20" x14ac:dyDescent="0.25">
      <c r="A2433" t="str">
        <f>"3043671"</f>
        <v>3043671</v>
      </c>
      <c r="B2433" t="s">
        <v>7461</v>
      </c>
      <c r="C2433" t="str">
        <f>"34752370"</f>
        <v>34752370</v>
      </c>
      <c r="D2433" t="s">
        <v>7462</v>
      </c>
      <c r="E2433" t="s">
        <v>7463</v>
      </c>
      <c r="F2433" t="s">
        <v>7464</v>
      </c>
      <c r="I2433" t="s">
        <v>29</v>
      </c>
      <c r="J2433" t="s">
        <v>30</v>
      </c>
      <c r="K2433" t="s">
        <v>7155</v>
      </c>
      <c r="M2433" t="s">
        <v>32</v>
      </c>
      <c r="N2433" t="str">
        <f>"1/27/2010 12:00:00 AM"</f>
        <v>1/27/2010 12:00:00 AM</v>
      </c>
      <c r="O2433" t="s">
        <v>7462</v>
      </c>
      <c r="T2433" t="s">
        <v>7463</v>
      </c>
    </row>
    <row r="2434" spans="1:20" x14ac:dyDescent="0.25">
      <c r="A2434" t="str">
        <f>"3044201"</f>
        <v>3044201</v>
      </c>
      <c r="B2434" t="s">
        <v>7465</v>
      </c>
      <c r="C2434" t="str">
        <f>"81152000"</f>
        <v>81152000</v>
      </c>
      <c r="D2434" t="s">
        <v>7466</v>
      </c>
      <c r="E2434" t="s">
        <v>7467</v>
      </c>
      <c r="F2434" t="s">
        <v>7468</v>
      </c>
      <c r="I2434" t="s">
        <v>184</v>
      </c>
      <c r="J2434" t="s">
        <v>30</v>
      </c>
      <c r="K2434" t="s">
        <v>185</v>
      </c>
      <c r="M2434" t="s">
        <v>32</v>
      </c>
      <c r="N2434" t="str">
        <f>"7/19/2004 12:00:00 AM"</f>
        <v>7/19/2004 12:00:00 AM</v>
      </c>
      <c r="O2434" t="s">
        <v>7466</v>
      </c>
      <c r="T2434" t="s">
        <v>7467</v>
      </c>
    </row>
    <row r="2435" spans="1:20" x14ac:dyDescent="0.25">
      <c r="A2435" t="str">
        <f>"3044162"</f>
        <v>3044162</v>
      </c>
      <c r="B2435" t="s">
        <v>7469</v>
      </c>
      <c r="C2435" t="str">
        <f>"13525500"</f>
        <v>13525500</v>
      </c>
      <c r="D2435" t="s">
        <v>7470</v>
      </c>
      <c r="F2435" t="str">
        <f>"C/O BURTON KAY LANIER"</f>
        <v>C/O BURTON KAY LANIER</v>
      </c>
      <c r="G2435" t="s">
        <v>7471</v>
      </c>
      <c r="I2435" t="s">
        <v>184</v>
      </c>
      <c r="J2435" t="s">
        <v>30</v>
      </c>
      <c r="K2435" t="s">
        <v>185</v>
      </c>
      <c r="M2435" t="s">
        <v>32</v>
      </c>
      <c r="N2435" t="str">
        <f>"1/11/2008 12:00:00 AM"</f>
        <v>1/11/2008 12:00:00 AM</v>
      </c>
      <c r="O2435" t="s">
        <v>7470</v>
      </c>
    </row>
    <row r="2436" spans="1:20" x14ac:dyDescent="0.25">
      <c r="A2436" t="str">
        <f>"3063016"</f>
        <v>3063016</v>
      </c>
      <c r="B2436" t="s">
        <v>7472</v>
      </c>
      <c r="C2436" t="str">
        <f>"10596000"</f>
        <v>10596000</v>
      </c>
      <c r="D2436" t="s">
        <v>7323</v>
      </c>
      <c r="E2436" t="s">
        <v>7324</v>
      </c>
      <c r="F2436" t="s">
        <v>7325</v>
      </c>
      <c r="I2436" t="s">
        <v>184</v>
      </c>
      <c r="J2436" t="s">
        <v>30</v>
      </c>
      <c r="K2436" t="s">
        <v>7326</v>
      </c>
      <c r="M2436" t="s">
        <v>32</v>
      </c>
      <c r="N2436" t="str">
        <f>"1/25/2005 12:00:00 AM"</f>
        <v>1/25/2005 12:00:00 AM</v>
      </c>
      <c r="O2436" t="s">
        <v>7323</v>
      </c>
      <c r="T2436" t="s">
        <v>7324</v>
      </c>
    </row>
    <row r="2437" spans="1:20" x14ac:dyDescent="0.25">
      <c r="A2437" t="str">
        <f>"3043792"</f>
        <v>3043792</v>
      </c>
      <c r="B2437" t="s">
        <v>7473</v>
      </c>
      <c r="C2437" t="str">
        <f>"70100000"</f>
        <v>70100000</v>
      </c>
      <c r="D2437" t="s">
        <v>7162</v>
      </c>
      <c r="E2437" t="s">
        <v>7163</v>
      </c>
      <c r="F2437" t="s">
        <v>7164</v>
      </c>
      <c r="I2437" t="s">
        <v>29</v>
      </c>
      <c r="J2437" t="s">
        <v>30</v>
      </c>
      <c r="K2437" t="s">
        <v>31</v>
      </c>
      <c r="M2437" t="s">
        <v>32</v>
      </c>
      <c r="N2437" t="str">
        <f>"2/13/2003 12:00:00 AM"</f>
        <v>2/13/2003 12:00:00 AM</v>
      </c>
      <c r="O2437" t="s">
        <v>7162</v>
      </c>
      <c r="T2437" t="s">
        <v>7163</v>
      </c>
    </row>
    <row r="2438" spans="1:20" x14ac:dyDescent="0.25">
      <c r="A2438" t="str">
        <f>"3063028"</f>
        <v>3063028</v>
      </c>
      <c r="B2438" t="s">
        <v>7474</v>
      </c>
      <c r="C2438" t="str">
        <f>"82522826"</f>
        <v>82522826</v>
      </c>
      <c r="D2438" t="s">
        <v>7475</v>
      </c>
      <c r="F2438" t="s">
        <v>7476</v>
      </c>
      <c r="I2438" t="s">
        <v>184</v>
      </c>
      <c r="J2438" t="s">
        <v>30</v>
      </c>
      <c r="K2438" t="s">
        <v>7477</v>
      </c>
      <c r="M2438" t="s">
        <v>32</v>
      </c>
      <c r="N2438" t="str">
        <f>"1/25/2005 12:00:00 AM"</f>
        <v>1/25/2005 12:00:00 AM</v>
      </c>
      <c r="O2438" t="s">
        <v>7475</v>
      </c>
      <c r="T2438" t="s">
        <v>7475</v>
      </c>
    </row>
    <row r="2439" spans="1:20" x14ac:dyDescent="0.25">
      <c r="A2439" t="str">
        <f>"3044190"</f>
        <v>3044190</v>
      </c>
      <c r="B2439" t="s">
        <v>7478</v>
      </c>
      <c r="C2439" t="str">
        <f>"32308000"</f>
        <v>32308000</v>
      </c>
      <c r="D2439" t="s">
        <v>7479</v>
      </c>
      <c r="E2439" t="s">
        <v>7480</v>
      </c>
      <c r="F2439" t="s">
        <v>7481</v>
      </c>
      <c r="I2439" t="s">
        <v>184</v>
      </c>
      <c r="J2439" t="s">
        <v>30</v>
      </c>
      <c r="K2439" t="s">
        <v>185</v>
      </c>
      <c r="M2439" t="s">
        <v>32</v>
      </c>
      <c r="N2439" t="str">
        <f>"5/21/2002 12:00:00 AM"</f>
        <v>5/21/2002 12:00:00 AM</v>
      </c>
      <c r="O2439" t="s">
        <v>7479</v>
      </c>
      <c r="T2439" t="s">
        <v>7480</v>
      </c>
    </row>
    <row r="2440" spans="1:20" x14ac:dyDescent="0.25">
      <c r="A2440" t="str">
        <f>"3044148"</f>
        <v>3044148</v>
      </c>
      <c r="B2440" t="s">
        <v>7482</v>
      </c>
      <c r="C2440" t="str">
        <f>"23252000"</f>
        <v>23252000</v>
      </c>
      <c r="D2440" t="s">
        <v>7483</v>
      </c>
      <c r="E2440" t="s">
        <v>7484</v>
      </c>
      <c r="F2440" t="s">
        <v>7485</v>
      </c>
      <c r="I2440" t="s">
        <v>184</v>
      </c>
      <c r="J2440" t="s">
        <v>30</v>
      </c>
      <c r="K2440" t="s">
        <v>185</v>
      </c>
      <c r="M2440" t="s">
        <v>32</v>
      </c>
      <c r="N2440" t="str">
        <f>"8/8/2003 12:00:00 AM"</f>
        <v>8/8/2003 12:00:00 AM</v>
      </c>
      <c r="O2440" t="s">
        <v>7483</v>
      </c>
      <c r="T2440" t="s">
        <v>7484</v>
      </c>
    </row>
    <row r="2441" spans="1:20" x14ac:dyDescent="0.25">
      <c r="A2441" t="str">
        <f>"3043913"</f>
        <v>3043913</v>
      </c>
      <c r="B2441" t="s">
        <v>7486</v>
      </c>
      <c r="C2441" t="str">
        <f>"23252000"</f>
        <v>23252000</v>
      </c>
      <c r="D2441" t="s">
        <v>7483</v>
      </c>
      <c r="E2441" t="s">
        <v>7484</v>
      </c>
      <c r="F2441" t="s">
        <v>7485</v>
      </c>
      <c r="I2441" t="s">
        <v>184</v>
      </c>
      <c r="J2441" t="s">
        <v>30</v>
      </c>
      <c r="K2441" t="s">
        <v>185</v>
      </c>
      <c r="M2441" t="s">
        <v>32</v>
      </c>
      <c r="N2441" t="str">
        <f>"8/8/2003 12:00:00 AM"</f>
        <v>8/8/2003 12:00:00 AM</v>
      </c>
      <c r="O2441" t="s">
        <v>7483</v>
      </c>
      <c r="T2441" t="s">
        <v>7484</v>
      </c>
    </row>
    <row r="2442" spans="1:20" x14ac:dyDescent="0.25">
      <c r="A2442" t="str">
        <f>"3071483"</f>
        <v>3071483</v>
      </c>
      <c r="B2442" t="s">
        <v>7487</v>
      </c>
      <c r="C2442" t="str">
        <f>"82526671"</f>
        <v>82526671</v>
      </c>
      <c r="D2442" t="s">
        <v>7488</v>
      </c>
      <c r="F2442" t="s">
        <v>7489</v>
      </c>
      <c r="I2442" t="s">
        <v>184</v>
      </c>
      <c r="J2442" t="s">
        <v>30</v>
      </c>
      <c r="K2442" t="s">
        <v>185</v>
      </c>
      <c r="M2442" t="s">
        <v>32</v>
      </c>
      <c r="N2442" t="str">
        <f>"8/29/2006 12:00:00 AM"</f>
        <v>8/29/2006 12:00:00 AM</v>
      </c>
      <c r="O2442" t="s">
        <v>7488</v>
      </c>
    </row>
    <row r="2443" spans="1:20" x14ac:dyDescent="0.25">
      <c r="A2443" t="str">
        <f>"3044131"</f>
        <v>3044131</v>
      </c>
      <c r="B2443" t="s">
        <v>7490</v>
      </c>
      <c r="C2443" t="str">
        <f>"58073000"</f>
        <v>58073000</v>
      </c>
      <c r="D2443" t="s">
        <v>7491</v>
      </c>
      <c r="F2443" t="s">
        <v>7492</v>
      </c>
      <c r="I2443" t="s">
        <v>184</v>
      </c>
      <c r="J2443" t="s">
        <v>30</v>
      </c>
      <c r="K2443" t="s">
        <v>185</v>
      </c>
      <c r="M2443" t="s">
        <v>32</v>
      </c>
      <c r="N2443" t="str">
        <f>"5/21/2002 12:00:00 AM"</f>
        <v>5/21/2002 12:00:00 AM</v>
      </c>
      <c r="O2443" t="s">
        <v>7491</v>
      </c>
    </row>
    <row r="2444" spans="1:20" x14ac:dyDescent="0.25">
      <c r="A2444" t="str">
        <f>"3044039"</f>
        <v>3044039</v>
      </c>
      <c r="B2444" t="s">
        <v>7493</v>
      </c>
      <c r="C2444" t="str">
        <f>"6608580"</f>
        <v>6608580</v>
      </c>
      <c r="D2444" t="s">
        <v>7494</v>
      </c>
      <c r="E2444" t="s">
        <v>7495</v>
      </c>
      <c r="F2444" t="s">
        <v>7496</v>
      </c>
      <c r="I2444" t="s">
        <v>184</v>
      </c>
      <c r="J2444" t="s">
        <v>30</v>
      </c>
      <c r="K2444" t="s">
        <v>7497</v>
      </c>
      <c r="M2444" t="s">
        <v>32</v>
      </c>
      <c r="N2444" t="str">
        <f>"1/26/2010 12:00:00 AM"</f>
        <v>1/26/2010 12:00:00 AM</v>
      </c>
      <c r="O2444" t="s">
        <v>7494</v>
      </c>
      <c r="T2444" t="s">
        <v>7495</v>
      </c>
    </row>
    <row r="2445" spans="1:20" x14ac:dyDescent="0.25">
      <c r="A2445" t="str">
        <f>"3044295"</f>
        <v>3044295</v>
      </c>
      <c r="B2445" t="s">
        <v>7498</v>
      </c>
      <c r="C2445" t="str">
        <f>"6608580"</f>
        <v>6608580</v>
      </c>
      <c r="D2445" t="s">
        <v>7494</v>
      </c>
      <c r="E2445" t="s">
        <v>7495</v>
      </c>
      <c r="F2445" t="s">
        <v>7496</v>
      </c>
      <c r="I2445" t="s">
        <v>184</v>
      </c>
      <c r="J2445" t="s">
        <v>30</v>
      </c>
      <c r="K2445" t="s">
        <v>7497</v>
      </c>
      <c r="M2445" t="s">
        <v>32</v>
      </c>
      <c r="N2445" t="str">
        <f>"1/26/2010 12:00:00 AM"</f>
        <v>1/26/2010 12:00:00 AM</v>
      </c>
      <c r="O2445" t="s">
        <v>7494</v>
      </c>
      <c r="T2445" t="s">
        <v>7495</v>
      </c>
    </row>
    <row r="2446" spans="1:20" x14ac:dyDescent="0.25">
      <c r="A2446" t="str">
        <f>"3044344"</f>
        <v>3044344</v>
      </c>
      <c r="B2446" t="s">
        <v>7499</v>
      </c>
      <c r="C2446" t="str">
        <f>"6608580"</f>
        <v>6608580</v>
      </c>
      <c r="D2446" t="s">
        <v>7494</v>
      </c>
      <c r="E2446" t="s">
        <v>7495</v>
      </c>
      <c r="F2446" t="s">
        <v>7496</v>
      </c>
      <c r="I2446" t="s">
        <v>184</v>
      </c>
      <c r="J2446" t="s">
        <v>30</v>
      </c>
      <c r="K2446" t="s">
        <v>7497</v>
      </c>
      <c r="M2446" t="s">
        <v>32</v>
      </c>
      <c r="N2446" t="str">
        <f>"1/26/2010 12:00:00 AM"</f>
        <v>1/26/2010 12:00:00 AM</v>
      </c>
      <c r="O2446" t="s">
        <v>7494</v>
      </c>
      <c r="T2446" t="s">
        <v>7495</v>
      </c>
    </row>
    <row r="2447" spans="1:20" x14ac:dyDescent="0.25">
      <c r="A2447" t="str">
        <f>"3044071"</f>
        <v>3044071</v>
      </c>
      <c r="B2447" t="s">
        <v>7500</v>
      </c>
      <c r="C2447" t="str">
        <f>"19064000"</f>
        <v>19064000</v>
      </c>
      <c r="D2447" t="s">
        <v>7501</v>
      </c>
      <c r="E2447" t="s">
        <v>7502</v>
      </c>
      <c r="F2447" t="s">
        <v>7503</v>
      </c>
      <c r="I2447" t="s">
        <v>471</v>
      </c>
      <c r="J2447" t="s">
        <v>30</v>
      </c>
      <c r="K2447" t="s">
        <v>2758</v>
      </c>
      <c r="M2447" t="s">
        <v>32</v>
      </c>
      <c r="N2447" t="str">
        <f>"5/21/2002 12:00:00 AM"</f>
        <v>5/21/2002 12:00:00 AM</v>
      </c>
      <c r="O2447" t="s">
        <v>7501</v>
      </c>
      <c r="T2447" t="s">
        <v>7502</v>
      </c>
    </row>
    <row r="2448" spans="1:20" x14ac:dyDescent="0.25">
      <c r="A2448" t="str">
        <f>"3043967"</f>
        <v>3043967</v>
      </c>
      <c r="B2448" t="s">
        <v>7504</v>
      </c>
      <c r="C2448" t="str">
        <f>"19060000"</f>
        <v>19060000</v>
      </c>
      <c r="D2448" t="s">
        <v>7501</v>
      </c>
      <c r="F2448" t="s">
        <v>7503</v>
      </c>
      <c r="I2448" t="s">
        <v>471</v>
      </c>
      <c r="J2448" t="s">
        <v>30</v>
      </c>
      <c r="K2448" t="s">
        <v>2758</v>
      </c>
      <c r="M2448" t="s">
        <v>32</v>
      </c>
      <c r="N2448" t="str">
        <f>"5/21/2002 12:00:00 AM"</f>
        <v>5/21/2002 12:00:00 AM</v>
      </c>
      <c r="O2448" t="s">
        <v>7501</v>
      </c>
    </row>
    <row r="2449" spans="1:20" x14ac:dyDescent="0.25">
      <c r="A2449" t="str">
        <f>"3048422"</f>
        <v>3048422</v>
      </c>
      <c r="B2449" t="s">
        <v>7505</v>
      </c>
      <c r="C2449" t="str">
        <f>"19060000"</f>
        <v>19060000</v>
      </c>
      <c r="D2449" t="s">
        <v>7501</v>
      </c>
      <c r="F2449" t="s">
        <v>7503</v>
      </c>
      <c r="I2449" t="s">
        <v>471</v>
      </c>
      <c r="J2449" t="s">
        <v>30</v>
      </c>
      <c r="K2449" t="s">
        <v>2758</v>
      </c>
      <c r="M2449" t="s">
        <v>32</v>
      </c>
      <c r="N2449" t="str">
        <f>"5/21/2002 12:00:00 AM"</f>
        <v>5/21/2002 12:00:00 AM</v>
      </c>
      <c r="O2449" t="s">
        <v>7501</v>
      </c>
    </row>
    <row r="2450" spans="1:20" x14ac:dyDescent="0.25">
      <c r="A2450" t="str">
        <f>"3078940"</f>
        <v>3078940</v>
      </c>
      <c r="B2450" t="s">
        <v>7506</v>
      </c>
      <c r="C2450" t="str">
        <f>"19060000"</f>
        <v>19060000</v>
      </c>
      <c r="D2450" t="s">
        <v>7501</v>
      </c>
      <c r="F2450" t="s">
        <v>7503</v>
      </c>
      <c r="I2450" t="s">
        <v>471</v>
      </c>
      <c r="J2450" t="s">
        <v>30</v>
      </c>
      <c r="K2450" t="s">
        <v>2758</v>
      </c>
      <c r="M2450" t="s">
        <v>32</v>
      </c>
      <c r="N2450" t="str">
        <f>"5/21/2002 12:00:00 AM"</f>
        <v>5/21/2002 12:00:00 AM</v>
      </c>
      <c r="O2450" t="s">
        <v>7501</v>
      </c>
    </row>
    <row r="2451" spans="1:20" x14ac:dyDescent="0.25">
      <c r="A2451" t="str">
        <f>"3063027"</f>
        <v>3063027</v>
      </c>
      <c r="B2451" t="s">
        <v>7507</v>
      </c>
      <c r="C2451" t="str">
        <f>"53835350"</f>
        <v>53835350</v>
      </c>
      <c r="D2451" t="s">
        <v>7508</v>
      </c>
      <c r="E2451" t="s">
        <v>7509</v>
      </c>
      <c r="F2451" t="s">
        <v>7510</v>
      </c>
      <c r="I2451" t="s">
        <v>184</v>
      </c>
      <c r="J2451" t="s">
        <v>30</v>
      </c>
      <c r="K2451" t="s">
        <v>7477</v>
      </c>
      <c r="M2451" t="s">
        <v>32</v>
      </c>
      <c r="N2451" t="str">
        <f>"1/26/2007 12:00:00 AM"</f>
        <v>1/26/2007 12:00:00 AM</v>
      </c>
      <c r="O2451" t="s">
        <v>7508</v>
      </c>
      <c r="T2451" t="s">
        <v>7509</v>
      </c>
    </row>
    <row r="2452" spans="1:20" x14ac:dyDescent="0.25">
      <c r="A2452" t="str">
        <f>"3044355"</f>
        <v>3044355</v>
      </c>
      <c r="B2452" t="s">
        <v>7511</v>
      </c>
      <c r="C2452" t="str">
        <f>"28776000"</f>
        <v>28776000</v>
      </c>
      <c r="D2452" t="s">
        <v>7512</v>
      </c>
      <c r="F2452" t="s">
        <v>7513</v>
      </c>
      <c r="I2452" t="s">
        <v>184</v>
      </c>
      <c r="J2452" t="s">
        <v>30</v>
      </c>
      <c r="K2452" t="s">
        <v>7514</v>
      </c>
      <c r="M2452" t="s">
        <v>32</v>
      </c>
      <c r="N2452" t="str">
        <f>"9/22/2008 12:00:00 AM"</f>
        <v>9/22/2008 12:00:00 AM</v>
      </c>
      <c r="O2452" t="s">
        <v>7512</v>
      </c>
    </row>
    <row r="2453" spans="1:20" x14ac:dyDescent="0.25">
      <c r="A2453" t="str">
        <f>"3044104"</f>
        <v>3044104</v>
      </c>
      <c r="B2453" t="s">
        <v>7515</v>
      </c>
      <c r="C2453" t="str">
        <f>"82512946"</f>
        <v>82512946</v>
      </c>
      <c r="D2453" t="s">
        <v>7516</v>
      </c>
      <c r="E2453" t="s">
        <v>7517</v>
      </c>
      <c r="F2453" t="s">
        <v>7518</v>
      </c>
      <c r="I2453" t="s">
        <v>184</v>
      </c>
      <c r="J2453" t="s">
        <v>30</v>
      </c>
      <c r="K2453" t="s">
        <v>185</v>
      </c>
      <c r="M2453" t="s">
        <v>32</v>
      </c>
      <c r="N2453" t="str">
        <f>"5/21/2002 12:00:00 AM"</f>
        <v>5/21/2002 12:00:00 AM</v>
      </c>
      <c r="O2453" t="s">
        <v>7516</v>
      </c>
      <c r="T2453" t="s">
        <v>7517</v>
      </c>
    </row>
    <row r="2454" spans="1:20" x14ac:dyDescent="0.25">
      <c r="A2454" t="str">
        <f>"3044348"</f>
        <v>3044348</v>
      </c>
      <c r="B2454" t="s">
        <v>7519</v>
      </c>
      <c r="C2454" t="str">
        <f>"82526780"</f>
        <v>82526780</v>
      </c>
      <c r="D2454" t="s">
        <v>7520</v>
      </c>
      <c r="F2454" t="s">
        <v>7521</v>
      </c>
      <c r="I2454" t="s">
        <v>184</v>
      </c>
      <c r="J2454" t="s">
        <v>30</v>
      </c>
      <c r="K2454" t="s">
        <v>185</v>
      </c>
      <c r="M2454" t="s">
        <v>32</v>
      </c>
      <c r="N2454" t="str">
        <f>"1/24/2007 12:00:00 AM"</f>
        <v>1/24/2007 12:00:00 AM</v>
      </c>
      <c r="O2454" t="s">
        <v>7520</v>
      </c>
      <c r="T2454" t="s">
        <v>7520</v>
      </c>
    </row>
    <row r="2455" spans="1:20" x14ac:dyDescent="0.25">
      <c r="A2455" t="str">
        <f>"3044298"</f>
        <v>3044298</v>
      </c>
      <c r="B2455" t="s">
        <v>7522</v>
      </c>
      <c r="C2455" t="str">
        <f>"82526780"</f>
        <v>82526780</v>
      </c>
      <c r="D2455" t="s">
        <v>7520</v>
      </c>
      <c r="F2455" t="s">
        <v>7521</v>
      </c>
      <c r="I2455" t="s">
        <v>184</v>
      </c>
      <c r="J2455" t="s">
        <v>30</v>
      </c>
      <c r="K2455" t="s">
        <v>185</v>
      </c>
      <c r="M2455" t="s">
        <v>32</v>
      </c>
      <c r="N2455" t="str">
        <f>"1/24/2007 12:00:00 AM"</f>
        <v>1/24/2007 12:00:00 AM</v>
      </c>
      <c r="O2455" t="s">
        <v>7520</v>
      </c>
      <c r="T2455" t="s">
        <v>7520</v>
      </c>
    </row>
    <row r="2456" spans="1:20" x14ac:dyDescent="0.25">
      <c r="A2456" t="str">
        <f>"3063013"</f>
        <v>3063013</v>
      </c>
      <c r="B2456" t="s">
        <v>7523</v>
      </c>
      <c r="C2456" t="str">
        <f>"82528212"</f>
        <v>82528212</v>
      </c>
      <c r="D2456" t="s">
        <v>7524</v>
      </c>
      <c r="F2456" t="s">
        <v>7525</v>
      </c>
      <c r="I2456" t="s">
        <v>184</v>
      </c>
      <c r="J2456" t="s">
        <v>30</v>
      </c>
      <c r="K2456" t="s">
        <v>185</v>
      </c>
      <c r="M2456" t="s">
        <v>32</v>
      </c>
      <c r="N2456" t="str">
        <f>"6/26/2007 12:00:00 AM"</f>
        <v>6/26/2007 12:00:00 AM</v>
      </c>
      <c r="O2456" t="s">
        <v>7524</v>
      </c>
    </row>
    <row r="2457" spans="1:20" x14ac:dyDescent="0.25">
      <c r="A2457" t="str">
        <f>"3047829"</f>
        <v>3047829</v>
      </c>
      <c r="B2457" t="s">
        <v>7526</v>
      </c>
      <c r="C2457" t="str">
        <f t="shared" ref="C2457:C2462" si="47">"82524993"</f>
        <v>82524993</v>
      </c>
      <c r="D2457" t="s">
        <v>7527</v>
      </c>
      <c r="E2457" t="s">
        <v>7528</v>
      </c>
      <c r="F2457" t="s">
        <v>7529</v>
      </c>
      <c r="G2457" t="s">
        <v>7530</v>
      </c>
      <c r="I2457" t="s">
        <v>184</v>
      </c>
      <c r="J2457" t="s">
        <v>30</v>
      </c>
      <c r="K2457" t="s">
        <v>7531</v>
      </c>
      <c r="M2457" t="s">
        <v>32</v>
      </c>
      <c r="N2457" t="str">
        <f t="shared" ref="N2457:N2462" si="48">"1/20/2006 12:00:00 AM"</f>
        <v>1/20/2006 12:00:00 AM</v>
      </c>
      <c r="O2457" t="s">
        <v>7527</v>
      </c>
      <c r="T2457" t="s">
        <v>7528</v>
      </c>
    </row>
    <row r="2458" spans="1:20" x14ac:dyDescent="0.25">
      <c r="A2458" t="str">
        <f>"3077753"</f>
        <v>3077753</v>
      </c>
      <c r="B2458" t="s">
        <v>7532</v>
      </c>
      <c r="C2458" t="str">
        <f t="shared" si="47"/>
        <v>82524993</v>
      </c>
      <c r="D2458" t="s">
        <v>7527</v>
      </c>
      <c r="E2458" t="s">
        <v>7528</v>
      </c>
      <c r="F2458" t="s">
        <v>7529</v>
      </c>
      <c r="G2458" t="s">
        <v>7530</v>
      </c>
      <c r="I2458" t="s">
        <v>184</v>
      </c>
      <c r="J2458" t="s">
        <v>30</v>
      </c>
      <c r="K2458" t="s">
        <v>7531</v>
      </c>
      <c r="M2458" t="s">
        <v>32</v>
      </c>
      <c r="N2458" t="str">
        <f t="shared" si="48"/>
        <v>1/20/2006 12:00:00 AM</v>
      </c>
      <c r="O2458" t="s">
        <v>7527</v>
      </c>
      <c r="T2458" t="s">
        <v>7528</v>
      </c>
    </row>
    <row r="2459" spans="1:20" x14ac:dyDescent="0.25">
      <c r="A2459" t="str">
        <f>"3077995"</f>
        <v>3077995</v>
      </c>
      <c r="B2459" t="s">
        <v>7533</v>
      </c>
      <c r="C2459" t="str">
        <f t="shared" si="47"/>
        <v>82524993</v>
      </c>
      <c r="D2459" t="s">
        <v>7527</v>
      </c>
      <c r="E2459" t="s">
        <v>7528</v>
      </c>
      <c r="F2459" t="s">
        <v>7529</v>
      </c>
      <c r="G2459" t="s">
        <v>7530</v>
      </c>
      <c r="I2459" t="s">
        <v>184</v>
      </c>
      <c r="J2459" t="s">
        <v>30</v>
      </c>
      <c r="K2459" t="s">
        <v>7531</v>
      </c>
      <c r="M2459" t="s">
        <v>32</v>
      </c>
      <c r="N2459" t="str">
        <f t="shared" si="48"/>
        <v>1/20/2006 12:00:00 AM</v>
      </c>
      <c r="O2459" t="s">
        <v>7527</v>
      </c>
      <c r="T2459" t="s">
        <v>7528</v>
      </c>
    </row>
    <row r="2460" spans="1:20" x14ac:dyDescent="0.25">
      <c r="A2460" t="str">
        <f>"3078006"</f>
        <v>3078006</v>
      </c>
      <c r="B2460" t="s">
        <v>7534</v>
      </c>
      <c r="C2460" t="str">
        <f t="shared" si="47"/>
        <v>82524993</v>
      </c>
      <c r="D2460" t="s">
        <v>7527</v>
      </c>
      <c r="E2460" t="s">
        <v>7528</v>
      </c>
      <c r="F2460" t="s">
        <v>7529</v>
      </c>
      <c r="G2460" t="s">
        <v>7530</v>
      </c>
      <c r="I2460" t="s">
        <v>184</v>
      </c>
      <c r="J2460" t="s">
        <v>30</v>
      </c>
      <c r="K2460" t="s">
        <v>7531</v>
      </c>
      <c r="M2460" t="s">
        <v>32</v>
      </c>
      <c r="N2460" t="str">
        <f t="shared" si="48"/>
        <v>1/20/2006 12:00:00 AM</v>
      </c>
      <c r="O2460" t="s">
        <v>7527</v>
      </c>
      <c r="T2460" t="s">
        <v>7528</v>
      </c>
    </row>
    <row r="2461" spans="1:20" x14ac:dyDescent="0.25">
      <c r="A2461" t="str">
        <f>"3078007"</f>
        <v>3078007</v>
      </c>
      <c r="B2461" t="s">
        <v>7535</v>
      </c>
      <c r="C2461" t="str">
        <f t="shared" si="47"/>
        <v>82524993</v>
      </c>
      <c r="D2461" t="s">
        <v>7527</v>
      </c>
      <c r="E2461" t="s">
        <v>7528</v>
      </c>
      <c r="F2461" t="s">
        <v>7529</v>
      </c>
      <c r="G2461" t="s">
        <v>7530</v>
      </c>
      <c r="I2461" t="s">
        <v>184</v>
      </c>
      <c r="J2461" t="s">
        <v>30</v>
      </c>
      <c r="K2461" t="s">
        <v>7531</v>
      </c>
      <c r="M2461" t="s">
        <v>32</v>
      </c>
      <c r="N2461" t="str">
        <f t="shared" si="48"/>
        <v>1/20/2006 12:00:00 AM</v>
      </c>
      <c r="O2461" t="s">
        <v>7527</v>
      </c>
      <c r="T2461" t="s">
        <v>7528</v>
      </c>
    </row>
    <row r="2462" spans="1:20" x14ac:dyDescent="0.25">
      <c r="A2462" t="str">
        <f>"3078182"</f>
        <v>3078182</v>
      </c>
      <c r="B2462" t="s">
        <v>7536</v>
      </c>
      <c r="C2462" t="str">
        <f t="shared" si="47"/>
        <v>82524993</v>
      </c>
      <c r="D2462" t="s">
        <v>7527</v>
      </c>
      <c r="E2462" t="s">
        <v>7528</v>
      </c>
      <c r="F2462" t="s">
        <v>7529</v>
      </c>
      <c r="G2462" t="s">
        <v>7530</v>
      </c>
      <c r="I2462" t="s">
        <v>184</v>
      </c>
      <c r="J2462" t="s">
        <v>30</v>
      </c>
      <c r="K2462" t="s">
        <v>7531</v>
      </c>
      <c r="M2462" t="s">
        <v>32</v>
      </c>
      <c r="N2462" t="str">
        <f t="shared" si="48"/>
        <v>1/20/2006 12:00:00 AM</v>
      </c>
      <c r="O2462" t="s">
        <v>7527</v>
      </c>
      <c r="T2462" t="s">
        <v>7528</v>
      </c>
    </row>
    <row r="2463" spans="1:20" x14ac:dyDescent="0.25">
      <c r="A2463" t="str">
        <f>"3048007"</f>
        <v>3048007</v>
      </c>
      <c r="B2463" t="s">
        <v>7537</v>
      </c>
      <c r="C2463" t="str">
        <f>"17756000"</f>
        <v>17756000</v>
      </c>
      <c r="D2463" t="s">
        <v>7538</v>
      </c>
      <c r="E2463" t="s">
        <v>7539</v>
      </c>
      <c r="F2463" t="s">
        <v>7540</v>
      </c>
      <c r="I2463" t="s">
        <v>184</v>
      </c>
      <c r="J2463" t="s">
        <v>30</v>
      </c>
      <c r="K2463" t="s">
        <v>185</v>
      </c>
      <c r="M2463" t="s">
        <v>32</v>
      </c>
      <c r="N2463" t="str">
        <f>"7/2/2003 12:00:00 AM"</f>
        <v>7/2/2003 12:00:00 AM</v>
      </c>
      <c r="O2463" t="s">
        <v>7538</v>
      </c>
      <c r="T2463" t="s">
        <v>7539</v>
      </c>
    </row>
    <row r="2464" spans="1:20" x14ac:dyDescent="0.25">
      <c r="A2464" t="str">
        <f>"3043985"</f>
        <v>3043985</v>
      </c>
      <c r="B2464" t="s">
        <v>7541</v>
      </c>
      <c r="C2464" t="str">
        <f>"17756000"</f>
        <v>17756000</v>
      </c>
      <c r="D2464" t="s">
        <v>7538</v>
      </c>
      <c r="E2464" t="s">
        <v>7539</v>
      </c>
      <c r="F2464" t="s">
        <v>7540</v>
      </c>
      <c r="I2464" t="s">
        <v>184</v>
      </c>
      <c r="J2464" t="s">
        <v>30</v>
      </c>
      <c r="K2464" t="s">
        <v>185</v>
      </c>
      <c r="M2464" t="s">
        <v>32</v>
      </c>
      <c r="N2464" t="str">
        <f>"7/2/2003 12:00:00 AM"</f>
        <v>7/2/2003 12:00:00 AM</v>
      </c>
      <c r="O2464" t="s">
        <v>7538</v>
      </c>
      <c r="T2464" t="s">
        <v>7539</v>
      </c>
    </row>
    <row r="2465" spans="1:20" x14ac:dyDescent="0.25">
      <c r="A2465" t="str">
        <f>"3044117"</f>
        <v>3044117</v>
      </c>
      <c r="B2465" t="s">
        <v>7542</v>
      </c>
      <c r="C2465" t="str">
        <f>"82529783"</f>
        <v>82529783</v>
      </c>
      <c r="D2465" t="s">
        <v>7543</v>
      </c>
      <c r="E2465" t="s">
        <v>7544</v>
      </c>
      <c r="F2465" t="s">
        <v>7540</v>
      </c>
      <c r="I2465" t="s">
        <v>184</v>
      </c>
      <c r="J2465" t="s">
        <v>30</v>
      </c>
      <c r="K2465" t="s">
        <v>185</v>
      </c>
      <c r="M2465" t="s">
        <v>32</v>
      </c>
      <c r="N2465" t="str">
        <f>"6/23/2008 12:00:00 AM"</f>
        <v>6/23/2008 12:00:00 AM</v>
      </c>
      <c r="O2465" t="s">
        <v>7543</v>
      </c>
      <c r="T2465" t="s">
        <v>7544</v>
      </c>
    </row>
    <row r="2466" spans="1:20" x14ac:dyDescent="0.25">
      <c r="A2466" t="str">
        <f>"3044078"</f>
        <v>3044078</v>
      </c>
      <c r="B2466" t="s">
        <v>7545</v>
      </c>
      <c r="C2466" t="str">
        <f>"82518078"</f>
        <v>82518078</v>
      </c>
      <c r="D2466" t="s">
        <v>7546</v>
      </c>
      <c r="F2466" t="s">
        <v>7547</v>
      </c>
      <c r="I2466" t="s">
        <v>184</v>
      </c>
      <c r="J2466" t="s">
        <v>30</v>
      </c>
      <c r="K2466" t="s">
        <v>185</v>
      </c>
      <c r="M2466" t="s">
        <v>32</v>
      </c>
      <c r="N2466" t="str">
        <f>"4/5/2002 12:00:00 AM"</f>
        <v>4/5/2002 12:00:00 AM</v>
      </c>
      <c r="O2466" t="s">
        <v>7546</v>
      </c>
    </row>
    <row r="2467" spans="1:20" x14ac:dyDescent="0.25">
      <c r="A2467" t="str">
        <f>"3044296"</f>
        <v>3044296</v>
      </c>
      <c r="B2467" t="s">
        <v>7548</v>
      </c>
      <c r="C2467" t="str">
        <f>"82517958"</f>
        <v>82517958</v>
      </c>
      <c r="D2467" t="s">
        <v>7549</v>
      </c>
      <c r="F2467" t="s">
        <v>7550</v>
      </c>
      <c r="I2467" t="s">
        <v>184</v>
      </c>
      <c r="J2467" t="s">
        <v>30</v>
      </c>
      <c r="K2467" t="s">
        <v>7551</v>
      </c>
      <c r="M2467" t="s">
        <v>32</v>
      </c>
      <c r="N2467" t="str">
        <f>"2/18/2005 12:00:00 AM"</f>
        <v>2/18/2005 12:00:00 AM</v>
      </c>
      <c r="O2467" t="s">
        <v>7549</v>
      </c>
    </row>
    <row r="2468" spans="1:20" x14ac:dyDescent="0.25">
      <c r="A2468" t="str">
        <f>"3044309"</f>
        <v>3044309</v>
      </c>
      <c r="B2468" t="s">
        <v>7552</v>
      </c>
      <c r="C2468" t="str">
        <f>"82513407"</f>
        <v>82513407</v>
      </c>
      <c r="D2468" t="s">
        <v>7553</v>
      </c>
      <c r="E2468" t="s">
        <v>7554</v>
      </c>
      <c r="F2468" t="s">
        <v>7555</v>
      </c>
      <c r="G2468" t="s">
        <v>7556</v>
      </c>
      <c r="I2468" t="s">
        <v>184</v>
      </c>
      <c r="J2468" t="s">
        <v>30</v>
      </c>
      <c r="K2468" t="s">
        <v>185</v>
      </c>
      <c r="M2468" t="s">
        <v>32</v>
      </c>
      <c r="N2468" t="str">
        <f>"1/22/2010 12:00:00 AM"</f>
        <v>1/22/2010 12:00:00 AM</v>
      </c>
      <c r="O2468" t="s">
        <v>7553</v>
      </c>
      <c r="T2468" t="s">
        <v>7554</v>
      </c>
    </row>
    <row r="2469" spans="1:20" x14ac:dyDescent="0.25">
      <c r="A2469" t="str">
        <f>"3044249"</f>
        <v>3044249</v>
      </c>
      <c r="B2469" t="s">
        <v>7557</v>
      </c>
      <c r="C2469" t="str">
        <f>"23528000"</f>
        <v>23528000</v>
      </c>
      <c r="D2469" t="s">
        <v>7558</v>
      </c>
      <c r="E2469" t="s">
        <v>7559</v>
      </c>
      <c r="F2469" t="s">
        <v>7560</v>
      </c>
      <c r="I2469" t="s">
        <v>184</v>
      </c>
      <c r="J2469" t="s">
        <v>30</v>
      </c>
      <c r="K2469" t="s">
        <v>7561</v>
      </c>
      <c r="M2469" t="s">
        <v>32</v>
      </c>
      <c r="N2469" t="str">
        <f>"2/9/2010 12:00:00 AM"</f>
        <v>2/9/2010 12:00:00 AM</v>
      </c>
      <c r="O2469" t="s">
        <v>7558</v>
      </c>
      <c r="T2469" t="s">
        <v>7559</v>
      </c>
    </row>
    <row r="2470" spans="1:20" x14ac:dyDescent="0.25">
      <c r="A2470" t="str">
        <f>"3063024"</f>
        <v>3063024</v>
      </c>
      <c r="B2470" t="s">
        <v>7562</v>
      </c>
      <c r="C2470" t="str">
        <f>"37752000"</f>
        <v>37752000</v>
      </c>
      <c r="D2470" t="s">
        <v>7563</v>
      </c>
      <c r="E2470" t="s">
        <v>7564</v>
      </c>
      <c r="F2470" t="s">
        <v>7565</v>
      </c>
      <c r="I2470" t="s">
        <v>184</v>
      </c>
      <c r="J2470" t="s">
        <v>30</v>
      </c>
      <c r="K2470" t="s">
        <v>185</v>
      </c>
      <c r="M2470" t="s">
        <v>32</v>
      </c>
      <c r="N2470" t="str">
        <f>"12/16/2003 12:00:00 AM"</f>
        <v>12/16/2003 12:00:00 AM</v>
      </c>
      <c r="O2470" t="s">
        <v>7563</v>
      </c>
      <c r="T2470" t="s">
        <v>7564</v>
      </c>
    </row>
    <row r="2471" spans="1:20" x14ac:dyDescent="0.25">
      <c r="A2471" t="str">
        <f>"3046813"</f>
        <v>3046813</v>
      </c>
      <c r="B2471" t="s">
        <v>7566</v>
      </c>
      <c r="C2471" t="str">
        <f>"17598000"</f>
        <v>17598000</v>
      </c>
      <c r="D2471" t="s">
        <v>7567</v>
      </c>
      <c r="E2471" t="s">
        <v>7568</v>
      </c>
      <c r="F2471" t="s">
        <v>7569</v>
      </c>
      <c r="I2471" t="s">
        <v>184</v>
      </c>
      <c r="J2471" t="s">
        <v>30</v>
      </c>
      <c r="K2471" t="s">
        <v>185</v>
      </c>
      <c r="M2471" t="s">
        <v>32</v>
      </c>
      <c r="N2471" t="str">
        <f>"5/21/2002 12:00:00 AM"</f>
        <v>5/21/2002 12:00:00 AM</v>
      </c>
      <c r="O2471" t="s">
        <v>7567</v>
      </c>
      <c r="T2471" t="s">
        <v>7568</v>
      </c>
    </row>
    <row r="2472" spans="1:20" x14ac:dyDescent="0.25">
      <c r="A2472" t="str">
        <f>"3047514"</f>
        <v>3047514</v>
      </c>
      <c r="B2472" t="s">
        <v>7570</v>
      </c>
      <c r="C2472" t="str">
        <f>"57995000"</f>
        <v>57995000</v>
      </c>
      <c r="D2472" t="s">
        <v>7571</v>
      </c>
      <c r="F2472" t="s">
        <v>7572</v>
      </c>
      <c r="I2472" t="s">
        <v>184</v>
      </c>
      <c r="J2472" t="s">
        <v>30</v>
      </c>
      <c r="K2472" t="s">
        <v>185</v>
      </c>
      <c r="M2472" t="s">
        <v>32</v>
      </c>
      <c r="N2472" t="str">
        <f>"5/13/2005 12:00:00 AM"</f>
        <v>5/13/2005 12:00:00 AM</v>
      </c>
      <c r="O2472" t="s">
        <v>7571</v>
      </c>
    </row>
    <row r="2473" spans="1:20" x14ac:dyDescent="0.25">
      <c r="A2473" t="str">
        <f>"3077760"</f>
        <v>3077760</v>
      </c>
      <c r="B2473" t="s">
        <v>7573</v>
      </c>
      <c r="C2473" t="str">
        <f>"21467250"</f>
        <v>21467250</v>
      </c>
      <c r="D2473" t="s">
        <v>7574</v>
      </c>
      <c r="F2473" t="s">
        <v>7575</v>
      </c>
      <c r="I2473" t="s">
        <v>184</v>
      </c>
      <c r="J2473" t="s">
        <v>30</v>
      </c>
      <c r="K2473" t="s">
        <v>185</v>
      </c>
      <c r="M2473" t="s">
        <v>32</v>
      </c>
      <c r="N2473" t="str">
        <f>"7/22/2003 12:00:00 AM"</f>
        <v>7/22/2003 12:00:00 AM</v>
      </c>
      <c r="O2473" t="s">
        <v>7574</v>
      </c>
    </row>
    <row r="2474" spans="1:20" x14ac:dyDescent="0.25">
      <c r="A2474" t="str">
        <f>"3044234"</f>
        <v>3044234</v>
      </c>
      <c r="B2474" t="s">
        <v>7576</v>
      </c>
      <c r="C2474" t="str">
        <f>"16618340"</f>
        <v>16618340</v>
      </c>
      <c r="D2474" t="s">
        <v>7577</v>
      </c>
      <c r="F2474" t="s">
        <v>7578</v>
      </c>
      <c r="I2474" t="s">
        <v>184</v>
      </c>
      <c r="J2474" t="s">
        <v>30</v>
      </c>
      <c r="K2474" t="s">
        <v>185</v>
      </c>
      <c r="M2474" t="s">
        <v>32</v>
      </c>
      <c r="N2474" t="str">
        <f>"10/28/2005 12:00:00 AM"</f>
        <v>10/28/2005 12:00:00 AM</v>
      </c>
      <c r="O2474" t="s">
        <v>7577</v>
      </c>
    </row>
    <row r="2475" spans="1:20" x14ac:dyDescent="0.25">
      <c r="A2475" t="str">
        <f>"3044212"</f>
        <v>3044212</v>
      </c>
      <c r="B2475" t="s">
        <v>7579</v>
      </c>
      <c r="C2475" t="str">
        <f>"5529000"</f>
        <v>5529000</v>
      </c>
      <c r="D2475" t="s">
        <v>7580</v>
      </c>
      <c r="E2475" t="s">
        <v>7581</v>
      </c>
      <c r="F2475" t="s">
        <v>7582</v>
      </c>
      <c r="I2475" t="s">
        <v>184</v>
      </c>
      <c r="J2475" t="s">
        <v>30</v>
      </c>
      <c r="K2475" t="s">
        <v>185</v>
      </c>
      <c r="M2475" t="s">
        <v>32</v>
      </c>
      <c r="N2475" t="str">
        <f>"5/22/2003 12:00:00 AM"</f>
        <v>5/22/2003 12:00:00 AM</v>
      </c>
      <c r="O2475" t="s">
        <v>7580</v>
      </c>
      <c r="T2475" t="s">
        <v>7581</v>
      </c>
    </row>
    <row r="2476" spans="1:20" x14ac:dyDescent="0.25">
      <c r="A2476" t="str">
        <f>"3046745"</f>
        <v>3046745</v>
      </c>
      <c r="B2476" t="s">
        <v>7583</v>
      </c>
      <c r="C2476" t="str">
        <f>"52952000"</f>
        <v>52952000</v>
      </c>
      <c r="D2476" t="s">
        <v>7584</v>
      </c>
      <c r="F2476" t="s">
        <v>7585</v>
      </c>
      <c r="I2476" t="s">
        <v>184</v>
      </c>
      <c r="J2476" t="s">
        <v>30</v>
      </c>
      <c r="K2476" t="s">
        <v>185</v>
      </c>
      <c r="M2476" t="s">
        <v>32</v>
      </c>
      <c r="N2476" t="str">
        <f>"5/21/2002 12:00:00 AM"</f>
        <v>5/21/2002 12:00:00 AM</v>
      </c>
      <c r="O2476" t="s">
        <v>7584</v>
      </c>
    </row>
    <row r="2477" spans="1:20" x14ac:dyDescent="0.25">
      <c r="A2477" t="str">
        <f>"3043908"</f>
        <v>3043908</v>
      </c>
      <c r="B2477" t="s">
        <v>7586</v>
      </c>
      <c r="C2477" t="str">
        <f>"51366000"</f>
        <v>51366000</v>
      </c>
      <c r="D2477" t="s">
        <v>7587</v>
      </c>
      <c r="E2477" t="s">
        <v>7588</v>
      </c>
      <c r="F2477" t="s">
        <v>7589</v>
      </c>
      <c r="I2477" t="s">
        <v>3149</v>
      </c>
      <c r="J2477" t="s">
        <v>30</v>
      </c>
      <c r="K2477" t="s">
        <v>7590</v>
      </c>
      <c r="M2477" t="s">
        <v>32</v>
      </c>
      <c r="N2477" t="str">
        <f>"3/3/2004 12:00:00 AM"</f>
        <v>3/3/2004 12:00:00 AM</v>
      </c>
      <c r="O2477" t="s">
        <v>7587</v>
      </c>
      <c r="T2477" t="s">
        <v>7588</v>
      </c>
    </row>
    <row r="2478" spans="1:20" x14ac:dyDescent="0.25">
      <c r="A2478" t="str">
        <f>"3044056"</f>
        <v>3044056</v>
      </c>
      <c r="B2478" t="s">
        <v>7591</v>
      </c>
      <c r="C2478" t="str">
        <f>"82525680"</f>
        <v>82525680</v>
      </c>
      <c r="D2478" t="s">
        <v>7592</v>
      </c>
      <c r="E2478" t="s">
        <v>7593</v>
      </c>
      <c r="F2478" t="s">
        <v>7594</v>
      </c>
      <c r="I2478" t="s">
        <v>184</v>
      </c>
      <c r="J2478" t="s">
        <v>30</v>
      </c>
      <c r="K2478" t="s">
        <v>185</v>
      </c>
      <c r="M2478" t="s">
        <v>32</v>
      </c>
      <c r="N2478" t="str">
        <f>"8/15/2007 12:00:00 AM"</f>
        <v>8/15/2007 12:00:00 AM</v>
      </c>
      <c r="O2478" t="s">
        <v>7592</v>
      </c>
      <c r="T2478" t="s">
        <v>7593</v>
      </c>
    </row>
    <row r="2479" spans="1:20" x14ac:dyDescent="0.25">
      <c r="A2479" t="str">
        <f>"3046728"</f>
        <v>3046728</v>
      </c>
      <c r="B2479" t="s">
        <v>7595</v>
      </c>
      <c r="C2479" t="str">
        <f>"82526036"</f>
        <v>82526036</v>
      </c>
      <c r="D2479" t="s">
        <v>7596</v>
      </c>
      <c r="E2479" t="s">
        <v>7597</v>
      </c>
      <c r="F2479" t="s">
        <v>7598</v>
      </c>
      <c r="I2479" t="s">
        <v>184</v>
      </c>
      <c r="J2479" t="s">
        <v>30</v>
      </c>
      <c r="K2479" t="s">
        <v>185</v>
      </c>
      <c r="M2479" t="s">
        <v>32</v>
      </c>
      <c r="N2479" t="str">
        <f>"2/12/2007 12:00:00 AM"</f>
        <v>2/12/2007 12:00:00 AM</v>
      </c>
      <c r="O2479" t="s">
        <v>7596</v>
      </c>
      <c r="T2479" t="s">
        <v>7597</v>
      </c>
    </row>
    <row r="2480" spans="1:20" x14ac:dyDescent="0.25">
      <c r="A2480" t="str">
        <f>"3046709"</f>
        <v>3046709</v>
      </c>
      <c r="B2480" t="s">
        <v>7599</v>
      </c>
      <c r="C2480" t="str">
        <f>"82515135"</f>
        <v>82515135</v>
      </c>
      <c r="D2480" t="s">
        <v>7600</v>
      </c>
      <c r="E2480" t="s">
        <v>7601</v>
      </c>
      <c r="F2480" t="s">
        <v>7602</v>
      </c>
      <c r="I2480" t="s">
        <v>184</v>
      </c>
      <c r="J2480" t="s">
        <v>30</v>
      </c>
      <c r="K2480" t="s">
        <v>7603</v>
      </c>
      <c r="M2480" t="s">
        <v>32</v>
      </c>
      <c r="N2480" t="str">
        <f>"1/12/2007 12:00:00 AM"</f>
        <v>1/12/2007 12:00:00 AM</v>
      </c>
      <c r="O2480" t="s">
        <v>7600</v>
      </c>
      <c r="T2480" t="s">
        <v>7601</v>
      </c>
    </row>
    <row r="2481" spans="1:20" x14ac:dyDescent="0.25">
      <c r="A2481" t="str">
        <f>"3046715"</f>
        <v>3046715</v>
      </c>
      <c r="B2481" t="s">
        <v>7604</v>
      </c>
      <c r="C2481" t="str">
        <f>"82523396"</f>
        <v>82523396</v>
      </c>
      <c r="D2481" t="s">
        <v>7605</v>
      </c>
      <c r="E2481" t="s">
        <v>7606</v>
      </c>
      <c r="F2481" t="s">
        <v>7607</v>
      </c>
      <c r="I2481" t="s">
        <v>184</v>
      </c>
      <c r="J2481" t="s">
        <v>30</v>
      </c>
      <c r="K2481" t="s">
        <v>7603</v>
      </c>
      <c r="M2481" t="s">
        <v>32</v>
      </c>
      <c r="N2481" t="str">
        <f>"2/21/2005 12:00:00 AM"</f>
        <v>2/21/2005 12:00:00 AM</v>
      </c>
      <c r="O2481" t="s">
        <v>7605</v>
      </c>
      <c r="T2481" t="s">
        <v>7606</v>
      </c>
    </row>
    <row r="2482" spans="1:20" x14ac:dyDescent="0.25">
      <c r="A2482" t="str">
        <f>"3046716"</f>
        <v>3046716</v>
      </c>
      <c r="B2482" t="s">
        <v>7608</v>
      </c>
      <c r="C2482" t="str">
        <f>"82515681"</f>
        <v>82515681</v>
      </c>
      <c r="D2482" t="s">
        <v>7609</v>
      </c>
      <c r="E2482" t="s">
        <v>7610</v>
      </c>
      <c r="F2482" t="s">
        <v>7611</v>
      </c>
      <c r="I2482" t="s">
        <v>184</v>
      </c>
      <c r="J2482" t="s">
        <v>30</v>
      </c>
      <c r="K2482" t="s">
        <v>7603</v>
      </c>
      <c r="M2482" t="s">
        <v>32</v>
      </c>
      <c r="N2482" t="str">
        <f>"1/30/2008 12:00:00 AM"</f>
        <v>1/30/2008 12:00:00 AM</v>
      </c>
      <c r="O2482" t="s">
        <v>7609</v>
      </c>
      <c r="T2482" t="s">
        <v>7610</v>
      </c>
    </row>
    <row r="2483" spans="1:20" x14ac:dyDescent="0.25">
      <c r="A2483" t="str">
        <f>"3044214"</f>
        <v>3044214</v>
      </c>
      <c r="B2483" t="s">
        <v>7612</v>
      </c>
      <c r="C2483" t="str">
        <f>"40477810"</f>
        <v>40477810</v>
      </c>
      <c r="D2483" t="s">
        <v>7613</v>
      </c>
      <c r="F2483" t="s">
        <v>7614</v>
      </c>
      <c r="I2483" t="s">
        <v>184</v>
      </c>
      <c r="J2483" t="s">
        <v>30</v>
      </c>
      <c r="K2483" t="s">
        <v>185</v>
      </c>
      <c r="M2483" t="s">
        <v>32</v>
      </c>
      <c r="N2483" t="str">
        <f>"11/17/2003 12:00:00 AM"</f>
        <v>11/17/2003 12:00:00 AM</v>
      </c>
      <c r="O2483" t="s">
        <v>7613</v>
      </c>
    </row>
    <row r="2484" spans="1:20" x14ac:dyDescent="0.25">
      <c r="A2484" t="str">
        <f>"3043909"</f>
        <v>3043909</v>
      </c>
      <c r="B2484" t="s">
        <v>7615</v>
      </c>
      <c r="C2484" t="str">
        <f>"13612000"</f>
        <v>13612000</v>
      </c>
      <c r="D2484" t="s">
        <v>7616</v>
      </c>
      <c r="E2484" t="s">
        <v>7617</v>
      </c>
      <c r="F2484" t="s">
        <v>7618</v>
      </c>
      <c r="I2484" t="s">
        <v>184</v>
      </c>
      <c r="J2484" t="s">
        <v>30</v>
      </c>
      <c r="K2484" t="s">
        <v>4999</v>
      </c>
      <c r="M2484" t="s">
        <v>32</v>
      </c>
      <c r="N2484" t="str">
        <f>"2/8/2005 12:00:00 AM"</f>
        <v>2/8/2005 12:00:00 AM</v>
      </c>
      <c r="O2484" t="s">
        <v>7616</v>
      </c>
      <c r="T2484" t="s">
        <v>7617</v>
      </c>
    </row>
    <row r="2485" spans="1:20" x14ac:dyDescent="0.25">
      <c r="A2485" t="str">
        <f>"3044114"</f>
        <v>3044114</v>
      </c>
      <c r="B2485" t="s">
        <v>7619</v>
      </c>
      <c r="C2485" t="str">
        <f>"13612000"</f>
        <v>13612000</v>
      </c>
      <c r="D2485" t="s">
        <v>7616</v>
      </c>
      <c r="E2485" t="s">
        <v>7617</v>
      </c>
      <c r="F2485" t="s">
        <v>7618</v>
      </c>
      <c r="I2485" t="s">
        <v>184</v>
      </c>
      <c r="J2485" t="s">
        <v>30</v>
      </c>
      <c r="K2485" t="s">
        <v>4999</v>
      </c>
      <c r="M2485" t="s">
        <v>32</v>
      </c>
      <c r="N2485" t="str">
        <f>"2/8/2005 12:00:00 AM"</f>
        <v>2/8/2005 12:00:00 AM</v>
      </c>
      <c r="O2485" t="s">
        <v>7616</v>
      </c>
      <c r="T2485" t="s">
        <v>7617</v>
      </c>
    </row>
    <row r="2486" spans="1:20" x14ac:dyDescent="0.25">
      <c r="A2486" t="str">
        <f>"3108729"</f>
        <v>3108729</v>
      </c>
      <c r="B2486" t="s">
        <v>7620</v>
      </c>
      <c r="C2486" t="str">
        <f>"82515959"</f>
        <v>82515959</v>
      </c>
      <c r="D2486" t="s">
        <v>7621</v>
      </c>
      <c r="F2486" t="s">
        <v>7622</v>
      </c>
      <c r="I2486" t="s">
        <v>471</v>
      </c>
      <c r="J2486" t="s">
        <v>30</v>
      </c>
      <c r="K2486" t="s">
        <v>472</v>
      </c>
      <c r="M2486" t="s">
        <v>32</v>
      </c>
      <c r="N2486" t="str">
        <f>"5/21/2002 12:00:00 AM"</f>
        <v>5/21/2002 12:00:00 AM</v>
      </c>
      <c r="O2486" t="s">
        <v>7621</v>
      </c>
    </row>
    <row r="2487" spans="1:20" x14ac:dyDescent="0.25">
      <c r="A2487" t="str">
        <f>"3058161"</f>
        <v>3058161</v>
      </c>
      <c r="B2487" t="s">
        <v>7623</v>
      </c>
      <c r="C2487" t="str">
        <f>"38855430"</f>
        <v>38855430</v>
      </c>
      <c r="D2487" t="s">
        <v>7624</v>
      </c>
      <c r="E2487" t="s">
        <v>7625</v>
      </c>
      <c r="F2487" t="s">
        <v>7429</v>
      </c>
      <c r="I2487" t="s">
        <v>29</v>
      </c>
      <c r="J2487" t="s">
        <v>30</v>
      </c>
      <c r="K2487" t="s">
        <v>31</v>
      </c>
      <c r="M2487" t="s">
        <v>32</v>
      </c>
      <c r="N2487" t="str">
        <f>"7/14/2004 12:00:00 AM"</f>
        <v>7/14/2004 12:00:00 AM</v>
      </c>
      <c r="O2487" t="s">
        <v>7624</v>
      </c>
      <c r="T2487" t="s">
        <v>7625</v>
      </c>
    </row>
    <row r="2488" spans="1:20" x14ac:dyDescent="0.25">
      <c r="A2488" t="str">
        <f>"3048025"</f>
        <v>3048025</v>
      </c>
      <c r="B2488" t="s">
        <v>7626</v>
      </c>
      <c r="C2488" t="str">
        <f>"40812000"</f>
        <v>40812000</v>
      </c>
      <c r="D2488" t="s">
        <v>7627</v>
      </c>
      <c r="E2488" t="s">
        <v>7628</v>
      </c>
      <c r="F2488" t="s">
        <v>7629</v>
      </c>
      <c r="I2488" t="s">
        <v>184</v>
      </c>
      <c r="J2488" t="s">
        <v>30</v>
      </c>
      <c r="K2488" t="s">
        <v>185</v>
      </c>
      <c r="M2488" t="s">
        <v>32</v>
      </c>
      <c r="N2488" t="str">
        <f>"11/18/2003 12:00:00 AM"</f>
        <v>11/18/2003 12:00:00 AM</v>
      </c>
      <c r="O2488" t="s">
        <v>7627</v>
      </c>
      <c r="T2488" t="s">
        <v>7628</v>
      </c>
    </row>
    <row r="2489" spans="1:20" x14ac:dyDescent="0.25">
      <c r="A2489" t="str">
        <f>"3078017"</f>
        <v>3078017</v>
      </c>
      <c r="B2489" t="s">
        <v>7630</v>
      </c>
      <c r="C2489" t="str">
        <f>"40812000"</f>
        <v>40812000</v>
      </c>
      <c r="D2489" t="s">
        <v>7627</v>
      </c>
      <c r="E2489" t="s">
        <v>7628</v>
      </c>
      <c r="F2489" t="s">
        <v>7629</v>
      </c>
      <c r="I2489" t="s">
        <v>184</v>
      </c>
      <c r="J2489" t="s">
        <v>30</v>
      </c>
      <c r="K2489" t="s">
        <v>185</v>
      </c>
      <c r="M2489" t="s">
        <v>32</v>
      </c>
      <c r="N2489" t="str">
        <f>"11/18/2003 12:00:00 AM"</f>
        <v>11/18/2003 12:00:00 AM</v>
      </c>
      <c r="O2489" t="s">
        <v>7627</v>
      </c>
      <c r="T2489" t="s">
        <v>7628</v>
      </c>
    </row>
    <row r="2490" spans="1:20" x14ac:dyDescent="0.25">
      <c r="A2490" t="str">
        <f>"3078710"</f>
        <v>3078710</v>
      </c>
      <c r="B2490" t="s">
        <v>7631</v>
      </c>
      <c r="C2490" t="str">
        <f>"40812000"</f>
        <v>40812000</v>
      </c>
      <c r="D2490" t="s">
        <v>7627</v>
      </c>
      <c r="E2490" t="s">
        <v>7628</v>
      </c>
      <c r="F2490" t="s">
        <v>7629</v>
      </c>
      <c r="I2490" t="s">
        <v>184</v>
      </c>
      <c r="J2490" t="s">
        <v>30</v>
      </c>
      <c r="K2490" t="s">
        <v>185</v>
      </c>
      <c r="M2490" t="s">
        <v>32</v>
      </c>
      <c r="N2490" t="str">
        <f>"11/18/2003 12:00:00 AM"</f>
        <v>11/18/2003 12:00:00 AM</v>
      </c>
      <c r="O2490" t="s">
        <v>7627</v>
      </c>
      <c r="T2490" t="s">
        <v>7628</v>
      </c>
    </row>
    <row r="2491" spans="1:20" x14ac:dyDescent="0.25">
      <c r="A2491" t="str">
        <f>"3078297"</f>
        <v>3078297</v>
      </c>
      <c r="B2491" t="s">
        <v>7632</v>
      </c>
      <c r="C2491" t="str">
        <f>"40812000"</f>
        <v>40812000</v>
      </c>
      <c r="D2491" t="s">
        <v>7627</v>
      </c>
      <c r="E2491" t="s">
        <v>7628</v>
      </c>
      <c r="F2491" t="s">
        <v>7629</v>
      </c>
      <c r="I2491" t="s">
        <v>184</v>
      </c>
      <c r="J2491" t="s">
        <v>30</v>
      </c>
      <c r="K2491" t="s">
        <v>185</v>
      </c>
      <c r="M2491" t="s">
        <v>32</v>
      </c>
      <c r="N2491" t="str">
        <f>"11/18/2003 12:00:00 AM"</f>
        <v>11/18/2003 12:00:00 AM</v>
      </c>
      <c r="O2491" t="s">
        <v>7627</v>
      </c>
      <c r="T2491" t="s">
        <v>7628</v>
      </c>
    </row>
    <row r="2492" spans="1:20" x14ac:dyDescent="0.25">
      <c r="A2492" t="str">
        <f>"3047803"</f>
        <v>3047803</v>
      </c>
      <c r="B2492" t="s">
        <v>7633</v>
      </c>
      <c r="C2492" t="str">
        <f>"82514284"</f>
        <v>82514284</v>
      </c>
      <c r="D2492" t="s">
        <v>7634</v>
      </c>
      <c r="E2492" t="s">
        <v>7635</v>
      </c>
      <c r="F2492" t="s">
        <v>7636</v>
      </c>
      <c r="I2492" t="s">
        <v>184</v>
      </c>
      <c r="J2492" t="s">
        <v>30</v>
      </c>
      <c r="K2492" t="s">
        <v>185</v>
      </c>
      <c r="M2492" t="s">
        <v>32</v>
      </c>
      <c r="N2492" t="str">
        <f>"5/22/2002 12:00:00 AM"</f>
        <v>5/22/2002 12:00:00 AM</v>
      </c>
      <c r="O2492" t="s">
        <v>7634</v>
      </c>
      <c r="T2492" t="s">
        <v>7635</v>
      </c>
    </row>
    <row r="2493" spans="1:20" x14ac:dyDescent="0.25">
      <c r="A2493" t="str">
        <f>"3077740"</f>
        <v>3077740</v>
      </c>
      <c r="B2493" t="s">
        <v>7637</v>
      </c>
      <c r="C2493" t="str">
        <f>"38855450"</f>
        <v>38855450</v>
      </c>
      <c r="D2493" t="s">
        <v>7428</v>
      </c>
      <c r="F2493" t="s">
        <v>7429</v>
      </c>
      <c r="I2493" t="s">
        <v>29</v>
      </c>
      <c r="J2493" t="s">
        <v>30</v>
      </c>
      <c r="K2493" t="s">
        <v>31</v>
      </c>
      <c r="M2493" t="s">
        <v>32</v>
      </c>
      <c r="N2493" t="str">
        <f>"11/7/2003 12:00:00 AM"</f>
        <v>11/7/2003 12:00:00 AM</v>
      </c>
      <c r="O2493" t="s">
        <v>7428</v>
      </c>
    </row>
    <row r="2494" spans="1:20" x14ac:dyDescent="0.25">
      <c r="A2494" t="str">
        <f>"3044173"</f>
        <v>3044173</v>
      </c>
      <c r="B2494" t="s">
        <v>7638</v>
      </c>
      <c r="C2494" t="str">
        <f>"56556000"</f>
        <v>56556000</v>
      </c>
      <c r="D2494" t="s">
        <v>7639</v>
      </c>
      <c r="E2494" t="s">
        <v>7640</v>
      </c>
      <c r="F2494" t="s">
        <v>7641</v>
      </c>
      <c r="I2494" t="s">
        <v>184</v>
      </c>
      <c r="J2494" t="s">
        <v>30</v>
      </c>
      <c r="K2494" t="s">
        <v>185</v>
      </c>
      <c r="M2494" t="s">
        <v>32</v>
      </c>
      <c r="N2494" t="str">
        <f>"5/21/2002 12:00:00 AM"</f>
        <v>5/21/2002 12:00:00 AM</v>
      </c>
      <c r="O2494" t="s">
        <v>7639</v>
      </c>
      <c r="T2494" t="s">
        <v>7640</v>
      </c>
    </row>
    <row r="2495" spans="1:20" x14ac:dyDescent="0.25">
      <c r="A2495" t="str">
        <f>"3047784"</f>
        <v>3047784</v>
      </c>
      <c r="B2495" t="s">
        <v>7642</v>
      </c>
      <c r="C2495" t="str">
        <f>"82521586"</f>
        <v>82521586</v>
      </c>
      <c r="D2495" t="s">
        <v>7643</v>
      </c>
      <c r="F2495" t="s">
        <v>7644</v>
      </c>
      <c r="I2495" t="s">
        <v>184</v>
      </c>
      <c r="J2495" t="s">
        <v>30</v>
      </c>
      <c r="K2495" t="s">
        <v>7645</v>
      </c>
      <c r="M2495" t="s">
        <v>32</v>
      </c>
      <c r="N2495" t="str">
        <f>"3/7/2005 12:00:00 AM"</f>
        <v>3/7/2005 12:00:00 AM</v>
      </c>
      <c r="O2495" t="s">
        <v>7643</v>
      </c>
    </row>
    <row r="2496" spans="1:20" x14ac:dyDescent="0.25">
      <c r="A2496" t="str">
        <f>"3047631"</f>
        <v>3047631</v>
      </c>
      <c r="B2496" t="s">
        <v>7646</v>
      </c>
      <c r="C2496" t="str">
        <f>"33402000"</f>
        <v>33402000</v>
      </c>
      <c r="D2496" t="s">
        <v>7647</v>
      </c>
      <c r="F2496" t="s">
        <v>7648</v>
      </c>
      <c r="I2496" t="s">
        <v>184</v>
      </c>
      <c r="J2496" t="s">
        <v>30</v>
      </c>
      <c r="K2496" t="s">
        <v>185</v>
      </c>
      <c r="M2496" t="s">
        <v>32</v>
      </c>
      <c r="N2496" t="str">
        <f>"9/12/2003 12:00:00 AM"</f>
        <v>9/12/2003 12:00:00 AM</v>
      </c>
      <c r="O2496" t="s">
        <v>7647</v>
      </c>
    </row>
    <row r="2497" spans="1:20" x14ac:dyDescent="0.25">
      <c r="A2497" t="str">
        <f>"3048141"</f>
        <v>3048141</v>
      </c>
      <c r="B2497" t="s">
        <v>7649</v>
      </c>
      <c r="C2497" t="str">
        <f>"33402000"</f>
        <v>33402000</v>
      </c>
      <c r="D2497" t="s">
        <v>7647</v>
      </c>
      <c r="F2497" t="s">
        <v>7648</v>
      </c>
      <c r="I2497" t="s">
        <v>184</v>
      </c>
      <c r="J2497" t="s">
        <v>30</v>
      </c>
      <c r="K2497" t="s">
        <v>185</v>
      </c>
      <c r="M2497" t="s">
        <v>32</v>
      </c>
      <c r="N2497" t="str">
        <f>"9/12/2003 12:00:00 AM"</f>
        <v>9/12/2003 12:00:00 AM</v>
      </c>
      <c r="O2497" t="s">
        <v>7647</v>
      </c>
    </row>
    <row r="2498" spans="1:20" x14ac:dyDescent="0.25">
      <c r="A2498" t="str">
        <f>"3077741"</f>
        <v>3077741</v>
      </c>
      <c r="B2498" t="s">
        <v>7650</v>
      </c>
      <c r="C2498" t="str">
        <f>"56556000"</f>
        <v>56556000</v>
      </c>
      <c r="D2498" t="s">
        <v>7639</v>
      </c>
      <c r="E2498" t="s">
        <v>7640</v>
      </c>
      <c r="F2498" t="s">
        <v>7641</v>
      </c>
      <c r="I2498" t="s">
        <v>184</v>
      </c>
      <c r="J2498" t="s">
        <v>30</v>
      </c>
      <c r="K2498" t="s">
        <v>185</v>
      </c>
      <c r="M2498" t="s">
        <v>32</v>
      </c>
      <c r="N2498" t="str">
        <f>"5/21/2002 12:00:00 AM"</f>
        <v>5/21/2002 12:00:00 AM</v>
      </c>
      <c r="O2498" t="s">
        <v>7639</v>
      </c>
      <c r="T2498" t="s">
        <v>7640</v>
      </c>
    </row>
    <row r="2499" spans="1:20" x14ac:dyDescent="0.25">
      <c r="A2499" t="str">
        <f>"3043864"</f>
        <v>3043864</v>
      </c>
      <c r="B2499" t="s">
        <v>7651</v>
      </c>
      <c r="C2499" t="str">
        <f>"13850000"</f>
        <v>13850000</v>
      </c>
      <c r="D2499" t="s">
        <v>7652</v>
      </c>
      <c r="F2499" t="s">
        <v>7653</v>
      </c>
      <c r="I2499" t="s">
        <v>184</v>
      </c>
      <c r="J2499" t="s">
        <v>30</v>
      </c>
      <c r="K2499" t="s">
        <v>185</v>
      </c>
      <c r="M2499" t="s">
        <v>32</v>
      </c>
      <c r="N2499" t="str">
        <f>"6/16/1995 12:00:00 AM"</f>
        <v>6/16/1995 12:00:00 AM</v>
      </c>
      <c r="O2499" t="s">
        <v>7652</v>
      </c>
    </row>
    <row r="2500" spans="1:20" x14ac:dyDescent="0.25">
      <c r="A2500" t="str">
        <f>"3077768"</f>
        <v>3077768</v>
      </c>
      <c r="B2500" t="s">
        <v>7654</v>
      </c>
      <c r="C2500" t="str">
        <f>"41108000"</f>
        <v>41108000</v>
      </c>
      <c r="D2500" t="s">
        <v>7655</v>
      </c>
      <c r="E2500" t="s">
        <v>3812</v>
      </c>
      <c r="F2500" t="s">
        <v>7656</v>
      </c>
      <c r="I2500" t="s">
        <v>184</v>
      </c>
      <c r="J2500" t="s">
        <v>30</v>
      </c>
      <c r="K2500" t="s">
        <v>185</v>
      </c>
      <c r="M2500" t="s">
        <v>32</v>
      </c>
      <c r="N2500" t="str">
        <f>"11/18/2003 12:00:00 AM"</f>
        <v>11/18/2003 12:00:00 AM</v>
      </c>
      <c r="O2500" t="s">
        <v>7655</v>
      </c>
      <c r="T2500" t="s">
        <v>3812</v>
      </c>
    </row>
    <row r="2501" spans="1:20" x14ac:dyDescent="0.25">
      <c r="A2501" t="str">
        <f>"3047524"</f>
        <v>3047524</v>
      </c>
      <c r="B2501" t="s">
        <v>7657</v>
      </c>
      <c r="C2501" t="str">
        <f>"82521130"</f>
        <v>82521130</v>
      </c>
      <c r="D2501" t="s">
        <v>7658</v>
      </c>
      <c r="E2501" t="s">
        <v>7659</v>
      </c>
      <c r="F2501" t="s">
        <v>7660</v>
      </c>
      <c r="I2501" t="s">
        <v>184</v>
      </c>
      <c r="J2501" t="s">
        <v>30</v>
      </c>
      <c r="K2501" t="s">
        <v>185</v>
      </c>
      <c r="M2501" t="s">
        <v>32</v>
      </c>
      <c r="N2501" t="str">
        <f>"7/9/2003 12:00:00 AM"</f>
        <v>7/9/2003 12:00:00 AM</v>
      </c>
      <c r="O2501" t="s">
        <v>7658</v>
      </c>
      <c r="T2501" t="s">
        <v>7659</v>
      </c>
    </row>
    <row r="2502" spans="1:20" x14ac:dyDescent="0.25">
      <c r="A2502" t="str">
        <f>"3047436"</f>
        <v>3047436</v>
      </c>
      <c r="B2502" t="s">
        <v>7661</v>
      </c>
      <c r="C2502" t="str">
        <f>"31319000"</f>
        <v>31319000</v>
      </c>
      <c r="D2502" t="s">
        <v>7662</v>
      </c>
      <c r="E2502" t="s">
        <v>7663</v>
      </c>
      <c r="F2502" t="s">
        <v>7664</v>
      </c>
      <c r="I2502" t="s">
        <v>184</v>
      </c>
      <c r="J2502" t="s">
        <v>30</v>
      </c>
      <c r="K2502" t="s">
        <v>7665</v>
      </c>
      <c r="M2502" t="s">
        <v>32</v>
      </c>
      <c r="N2502" t="str">
        <f>"1/11/2006 12:00:00 AM"</f>
        <v>1/11/2006 12:00:00 AM</v>
      </c>
      <c r="O2502" t="s">
        <v>7662</v>
      </c>
      <c r="T2502" t="s">
        <v>7663</v>
      </c>
    </row>
    <row r="2503" spans="1:20" x14ac:dyDescent="0.25">
      <c r="A2503" t="str">
        <f>"3048037"</f>
        <v>3048037</v>
      </c>
      <c r="B2503" t="s">
        <v>7666</v>
      </c>
      <c r="C2503" t="str">
        <f>"31319000"</f>
        <v>31319000</v>
      </c>
      <c r="D2503" t="s">
        <v>7662</v>
      </c>
      <c r="E2503" t="s">
        <v>7663</v>
      </c>
      <c r="F2503" t="s">
        <v>7664</v>
      </c>
      <c r="I2503" t="s">
        <v>184</v>
      </c>
      <c r="J2503" t="s">
        <v>30</v>
      </c>
      <c r="K2503" t="s">
        <v>7665</v>
      </c>
      <c r="M2503" t="s">
        <v>32</v>
      </c>
      <c r="N2503" t="str">
        <f>"1/11/2006 12:00:00 AM"</f>
        <v>1/11/2006 12:00:00 AM</v>
      </c>
      <c r="O2503" t="s">
        <v>7662</v>
      </c>
      <c r="T2503" t="s">
        <v>7663</v>
      </c>
    </row>
    <row r="2504" spans="1:20" x14ac:dyDescent="0.25">
      <c r="A2504" t="str">
        <f>"3048119"</f>
        <v>3048119</v>
      </c>
      <c r="B2504" t="s">
        <v>7667</v>
      </c>
      <c r="C2504" t="str">
        <f>"24134630"</f>
        <v>24134630</v>
      </c>
      <c r="D2504" t="s">
        <v>7668</v>
      </c>
      <c r="F2504" t="s">
        <v>7669</v>
      </c>
      <c r="I2504" t="s">
        <v>184</v>
      </c>
      <c r="J2504" t="s">
        <v>30</v>
      </c>
      <c r="K2504" t="s">
        <v>185</v>
      </c>
      <c r="M2504" t="s">
        <v>32</v>
      </c>
      <c r="N2504" t="str">
        <f>"8/13/2003 12:00:00 AM"</f>
        <v>8/13/2003 12:00:00 AM</v>
      </c>
      <c r="O2504" t="s">
        <v>7668</v>
      </c>
    </row>
    <row r="2505" spans="1:20" x14ac:dyDescent="0.25">
      <c r="A2505" t="str">
        <f>"3068081"</f>
        <v>3068081</v>
      </c>
      <c r="B2505" t="s">
        <v>7670</v>
      </c>
      <c r="C2505" t="str">
        <f>"14836250"</f>
        <v>14836250</v>
      </c>
      <c r="D2505" t="s">
        <v>7671</v>
      </c>
      <c r="E2505" t="s">
        <v>7672</v>
      </c>
      <c r="F2505" t="s">
        <v>7673</v>
      </c>
      <c r="I2505" t="s">
        <v>184</v>
      </c>
      <c r="J2505" t="s">
        <v>30</v>
      </c>
      <c r="K2505" t="s">
        <v>185</v>
      </c>
      <c r="M2505" t="s">
        <v>32</v>
      </c>
      <c r="N2505" t="str">
        <f>"6/25/2003 12:00:00 AM"</f>
        <v>6/25/2003 12:00:00 AM</v>
      </c>
      <c r="O2505" t="s">
        <v>7671</v>
      </c>
      <c r="T2505" t="s">
        <v>7672</v>
      </c>
    </row>
    <row r="2506" spans="1:20" x14ac:dyDescent="0.25">
      <c r="A2506" t="str">
        <f>"3068080"</f>
        <v>3068080</v>
      </c>
      <c r="B2506" t="s">
        <v>7674</v>
      </c>
      <c r="C2506" t="str">
        <f>"14836250"</f>
        <v>14836250</v>
      </c>
      <c r="D2506" t="s">
        <v>7671</v>
      </c>
      <c r="E2506" t="s">
        <v>7672</v>
      </c>
      <c r="F2506" t="s">
        <v>7673</v>
      </c>
      <c r="I2506" t="s">
        <v>184</v>
      </c>
      <c r="J2506" t="s">
        <v>30</v>
      </c>
      <c r="K2506" t="s">
        <v>185</v>
      </c>
      <c r="M2506" t="s">
        <v>32</v>
      </c>
      <c r="N2506" t="str">
        <f>"6/25/2003 12:00:00 AM"</f>
        <v>6/25/2003 12:00:00 AM</v>
      </c>
      <c r="O2506" t="s">
        <v>7671</v>
      </c>
      <c r="T2506" t="s">
        <v>7672</v>
      </c>
    </row>
    <row r="2507" spans="1:20" x14ac:dyDescent="0.25">
      <c r="A2507" t="str">
        <f>"3068083"</f>
        <v>3068083</v>
      </c>
      <c r="B2507" t="s">
        <v>7675</v>
      </c>
      <c r="C2507" t="str">
        <f>"14836250"</f>
        <v>14836250</v>
      </c>
      <c r="D2507" t="s">
        <v>7671</v>
      </c>
      <c r="E2507" t="s">
        <v>7672</v>
      </c>
      <c r="F2507" t="s">
        <v>7673</v>
      </c>
      <c r="I2507" t="s">
        <v>184</v>
      </c>
      <c r="J2507" t="s">
        <v>30</v>
      </c>
      <c r="K2507" t="s">
        <v>185</v>
      </c>
      <c r="M2507" t="s">
        <v>32</v>
      </c>
      <c r="N2507" t="str">
        <f>"6/25/2003 12:00:00 AM"</f>
        <v>6/25/2003 12:00:00 AM</v>
      </c>
      <c r="O2507" t="s">
        <v>7671</v>
      </c>
      <c r="T2507" t="s">
        <v>7672</v>
      </c>
    </row>
    <row r="2508" spans="1:20" x14ac:dyDescent="0.25">
      <c r="A2508" t="str">
        <f>"3077770"</f>
        <v>3077770</v>
      </c>
      <c r="B2508" t="s">
        <v>7676</v>
      </c>
      <c r="C2508" t="str">
        <f>"82519978"</f>
        <v>82519978</v>
      </c>
      <c r="D2508" t="s">
        <v>7677</v>
      </c>
      <c r="F2508" t="s">
        <v>7678</v>
      </c>
      <c r="I2508" t="s">
        <v>184</v>
      </c>
      <c r="J2508" t="s">
        <v>30</v>
      </c>
      <c r="K2508" t="s">
        <v>7679</v>
      </c>
      <c r="M2508" t="s">
        <v>32</v>
      </c>
      <c r="N2508" t="str">
        <f>"2/15/2007 12:00:00 AM"</f>
        <v>2/15/2007 12:00:00 AM</v>
      </c>
      <c r="O2508" t="s">
        <v>7677</v>
      </c>
    </row>
    <row r="2509" spans="1:20" x14ac:dyDescent="0.25">
      <c r="A2509" t="str">
        <f>"3047414"</f>
        <v>3047414</v>
      </c>
      <c r="B2509" t="s">
        <v>7680</v>
      </c>
      <c r="C2509" t="str">
        <f>"82519978"</f>
        <v>82519978</v>
      </c>
      <c r="D2509" t="s">
        <v>7677</v>
      </c>
      <c r="F2509" t="s">
        <v>7678</v>
      </c>
      <c r="I2509" t="s">
        <v>184</v>
      </c>
      <c r="J2509" t="s">
        <v>30</v>
      </c>
      <c r="K2509" t="s">
        <v>7679</v>
      </c>
      <c r="M2509" t="s">
        <v>32</v>
      </c>
      <c r="N2509" t="str">
        <f>"2/15/2007 12:00:00 AM"</f>
        <v>2/15/2007 12:00:00 AM</v>
      </c>
      <c r="O2509" t="s">
        <v>7677</v>
      </c>
    </row>
    <row r="2510" spans="1:20" x14ac:dyDescent="0.25">
      <c r="A2510" t="str">
        <f>"3044135"</f>
        <v>3044135</v>
      </c>
      <c r="B2510" t="s">
        <v>7681</v>
      </c>
      <c r="C2510" t="str">
        <f>"47522590"</f>
        <v>47522590</v>
      </c>
      <c r="D2510" t="s">
        <v>7682</v>
      </c>
      <c r="F2510" t="s">
        <v>7683</v>
      </c>
      <c r="I2510" t="s">
        <v>184</v>
      </c>
      <c r="J2510" t="s">
        <v>30</v>
      </c>
      <c r="K2510" t="s">
        <v>185</v>
      </c>
      <c r="M2510" t="s">
        <v>32</v>
      </c>
      <c r="N2510" t="str">
        <f>"5/21/2002 12:00:00 AM"</f>
        <v>5/21/2002 12:00:00 AM</v>
      </c>
      <c r="O2510" t="s">
        <v>7682</v>
      </c>
    </row>
    <row r="2511" spans="1:20" x14ac:dyDescent="0.25">
      <c r="A2511" t="str">
        <f>"3045516"</f>
        <v>3045516</v>
      </c>
      <c r="B2511" t="s">
        <v>7684</v>
      </c>
      <c r="C2511" t="str">
        <f>"82518168"</f>
        <v>82518168</v>
      </c>
      <c r="D2511" t="s">
        <v>7685</v>
      </c>
      <c r="E2511" t="s">
        <v>7686</v>
      </c>
      <c r="F2511" t="s">
        <v>7687</v>
      </c>
      <c r="I2511" t="s">
        <v>1149</v>
      </c>
      <c r="J2511" t="s">
        <v>30</v>
      </c>
      <c r="K2511" t="s">
        <v>7688</v>
      </c>
      <c r="M2511" t="s">
        <v>32</v>
      </c>
      <c r="N2511" t="str">
        <f>"1/24/2006 12:00:00 AM"</f>
        <v>1/24/2006 12:00:00 AM</v>
      </c>
      <c r="O2511" t="s">
        <v>7685</v>
      </c>
      <c r="T2511" t="s">
        <v>7686</v>
      </c>
    </row>
    <row r="2512" spans="1:20" x14ac:dyDescent="0.25">
      <c r="A2512" t="str">
        <f>"3045089"</f>
        <v>3045089</v>
      </c>
      <c r="B2512" t="s">
        <v>7689</v>
      </c>
      <c r="C2512" t="str">
        <f>"82518168"</f>
        <v>82518168</v>
      </c>
      <c r="D2512" t="s">
        <v>7685</v>
      </c>
      <c r="E2512" t="s">
        <v>7686</v>
      </c>
      <c r="F2512" t="s">
        <v>7687</v>
      </c>
      <c r="I2512" t="s">
        <v>1149</v>
      </c>
      <c r="J2512" t="s">
        <v>30</v>
      </c>
      <c r="K2512" t="s">
        <v>7688</v>
      </c>
      <c r="M2512" t="s">
        <v>32</v>
      </c>
      <c r="N2512" t="str">
        <f>"1/24/2006 12:00:00 AM"</f>
        <v>1/24/2006 12:00:00 AM</v>
      </c>
      <c r="O2512" t="s">
        <v>7685</v>
      </c>
      <c r="T2512" t="s">
        <v>7686</v>
      </c>
    </row>
    <row r="2513" spans="1:20" x14ac:dyDescent="0.25">
      <c r="A2513" t="str">
        <f>"3077782"</f>
        <v>3077782</v>
      </c>
      <c r="B2513" t="s">
        <v>7690</v>
      </c>
      <c r="C2513" t="str">
        <f>"23780000"</f>
        <v>23780000</v>
      </c>
      <c r="D2513" t="s">
        <v>7691</v>
      </c>
      <c r="E2513" t="s">
        <v>7692</v>
      </c>
      <c r="F2513" t="s">
        <v>7693</v>
      </c>
      <c r="I2513" t="s">
        <v>1149</v>
      </c>
      <c r="J2513" t="s">
        <v>30</v>
      </c>
      <c r="K2513" t="s">
        <v>6577</v>
      </c>
      <c r="M2513" t="s">
        <v>32</v>
      </c>
      <c r="N2513" t="str">
        <f>"2/1/2008 12:00:00 AM"</f>
        <v>2/1/2008 12:00:00 AM</v>
      </c>
      <c r="O2513" t="s">
        <v>7691</v>
      </c>
      <c r="T2513" t="s">
        <v>7692</v>
      </c>
    </row>
    <row r="2514" spans="1:20" x14ac:dyDescent="0.25">
      <c r="A2514" t="str">
        <f>"3069479"</f>
        <v>3069479</v>
      </c>
      <c r="B2514" t="s">
        <v>7694</v>
      </c>
      <c r="C2514" t="str">
        <f>"23780000"</f>
        <v>23780000</v>
      </c>
      <c r="D2514" t="s">
        <v>7691</v>
      </c>
      <c r="E2514" t="s">
        <v>7692</v>
      </c>
      <c r="F2514" t="s">
        <v>7693</v>
      </c>
      <c r="I2514" t="s">
        <v>1149</v>
      </c>
      <c r="J2514" t="s">
        <v>30</v>
      </c>
      <c r="K2514" t="s">
        <v>6577</v>
      </c>
      <c r="M2514" t="s">
        <v>32</v>
      </c>
      <c r="N2514" t="str">
        <f>"2/1/2008 12:00:00 AM"</f>
        <v>2/1/2008 12:00:00 AM</v>
      </c>
      <c r="O2514" t="s">
        <v>7691</v>
      </c>
      <c r="T2514" t="s">
        <v>7692</v>
      </c>
    </row>
    <row r="2515" spans="1:20" x14ac:dyDescent="0.25">
      <c r="A2515" t="str">
        <f>"3045398"</f>
        <v>3045398</v>
      </c>
      <c r="B2515" t="s">
        <v>7695</v>
      </c>
      <c r="C2515" t="str">
        <f>"76738000"</f>
        <v>76738000</v>
      </c>
      <c r="D2515" t="s">
        <v>7696</v>
      </c>
      <c r="E2515" t="s">
        <v>7697</v>
      </c>
      <c r="F2515" t="s">
        <v>7698</v>
      </c>
      <c r="I2515" t="s">
        <v>1149</v>
      </c>
      <c r="J2515" t="s">
        <v>30</v>
      </c>
      <c r="K2515" t="s">
        <v>1150</v>
      </c>
      <c r="M2515" t="s">
        <v>32</v>
      </c>
      <c r="N2515" t="str">
        <f>"5/24/2002 12:00:00 AM"</f>
        <v>5/24/2002 12:00:00 AM</v>
      </c>
      <c r="O2515" t="s">
        <v>7696</v>
      </c>
      <c r="T2515" t="s">
        <v>7697</v>
      </c>
    </row>
    <row r="2516" spans="1:20" x14ac:dyDescent="0.25">
      <c r="A2516" t="str">
        <f>"3045399"</f>
        <v>3045399</v>
      </c>
      <c r="B2516" t="s">
        <v>7699</v>
      </c>
      <c r="C2516" t="str">
        <f>"12677500"</f>
        <v>12677500</v>
      </c>
      <c r="D2516" t="s">
        <v>7700</v>
      </c>
      <c r="F2516" t="s">
        <v>7701</v>
      </c>
      <c r="I2516" t="s">
        <v>1149</v>
      </c>
      <c r="J2516" t="s">
        <v>30</v>
      </c>
      <c r="K2516" t="s">
        <v>7688</v>
      </c>
      <c r="M2516" t="s">
        <v>32</v>
      </c>
      <c r="N2516" t="str">
        <f>"1/25/2005 12:00:00 AM"</f>
        <v>1/25/2005 12:00:00 AM</v>
      </c>
      <c r="O2516" t="s">
        <v>7700</v>
      </c>
    </row>
    <row r="2517" spans="1:20" x14ac:dyDescent="0.25">
      <c r="A2517" t="str">
        <f>"3045103"</f>
        <v>3045103</v>
      </c>
      <c r="B2517" t="s">
        <v>7702</v>
      </c>
      <c r="C2517" t="str">
        <f>"12677500"</f>
        <v>12677500</v>
      </c>
      <c r="D2517" t="s">
        <v>7700</v>
      </c>
      <c r="F2517" t="s">
        <v>7701</v>
      </c>
      <c r="I2517" t="s">
        <v>1149</v>
      </c>
      <c r="J2517" t="s">
        <v>30</v>
      </c>
      <c r="K2517" t="s">
        <v>7688</v>
      </c>
      <c r="M2517" t="s">
        <v>32</v>
      </c>
      <c r="N2517" t="str">
        <f>"1/25/2005 12:00:00 AM"</f>
        <v>1/25/2005 12:00:00 AM</v>
      </c>
      <c r="O2517" t="s">
        <v>7700</v>
      </c>
    </row>
    <row r="2518" spans="1:20" x14ac:dyDescent="0.25">
      <c r="A2518" t="str">
        <f>"3078932"</f>
        <v>3078932</v>
      </c>
      <c r="B2518" t="s">
        <v>7703</v>
      </c>
      <c r="C2518" t="str">
        <f>"12677500"</f>
        <v>12677500</v>
      </c>
      <c r="D2518" t="s">
        <v>7700</v>
      </c>
      <c r="F2518" t="s">
        <v>7701</v>
      </c>
      <c r="I2518" t="s">
        <v>1149</v>
      </c>
      <c r="J2518" t="s">
        <v>30</v>
      </c>
      <c r="K2518" t="s">
        <v>7688</v>
      </c>
      <c r="M2518" t="s">
        <v>32</v>
      </c>
      <c r="N2518" t="str">
        <f>"1/25/2005 12:00:00 AM"</f>
        <v>1/25/2005 12:00:00 AM</v>
      </c>
      <c r="O2518" t="s">
        <v>7700</v>
      </c>
    </row>
    <row r="2519" spans="1:20" x14ac:dyDescent="0.25">
      <c r="A2519" t="str">
        <f>"3078933"</f>
        <v>3078933</v>
      </c>
      <c r="B2519" t="s">
        <v>7704</v>
      </c>
      <c r="C2519" t="str">
        <f>"12677500"</f>
        <v>12677500</v>
      </c>
      <c r="D2519" t="s">
        <v>7700</v>
      </c>
      <c r="F2519" t="s">
        <v>7701</v>
      </c>
      <c r="I2519" t="s">
        <v>1149</v>
      </c>
      <c r="J2519" t="s">
        <v>30</v>
      </c>
      <c r="K2519" t="s">
        <v>7688</v>
      </c>
      <c r="M2519" t="s">
        <v>32</v>
      </c>
      <c r="N2519" t="str">
        <f>"1/25/2005 12:00:00 AM"</f>
        <v>1/25/2005 12:00:00 AM</v>
      </c>
      <c r="O2519" t="s">
        <v>7700</v>
      </c>
    </row>
    <row r="2520" spans="1:20" x14ac:dyDescent="0.25">
      <c r="A2520" t="str">
        <f>"3043986"</f>
        <v>3043986</v>
      </c>
      <c r="B2520" t="s">
        <v>7705</v>
      </c>
      <c r="C2520" t="str">
        <f>"11288000"</f>
        <v>11288000</v>
      </c>
      <c r="D2520" t="s">
        <v>7706</v>
      </c>
      <c r="F2520" t="str">
        <f>"C/O ANNA HANCOCK"</f>
        <v>C/O ANNA HANCOCK</v>
      </c>
      <c r="G2520" t="s">
        <v>7707</v>
      </c>
      <c r="I2520" t="s">
        <v>471</v>
      </c>
      <c r="J2520" t="s">
        <v>30</v>
      </c>
      <c r="K2520" t="s">
        <v>7708</v>
      </c>
      <c r="M2520" t="s">
        <v>32</v>
      </c>
      <c r="N2520" t="str">
        <f>"1/25/2006 12:00:00 AM"</f>
        <v>1/25/2006 12:00:00 AM</v>
      </c>
      <c r="O2520" t="s">
        <v>7706</v>
      </c>
    </row>
    <row r="2521" spans="1:20" x14ac:dyDescent="0.25">
      <c r="A2521" t="str">
        <f>"3045669"</f>
        <v>3045669</v>
      </c>
      <c r="B2521" t="s">
        <v>7709</v>
      </c>
      <c r="C2521" t="str">
        <f>"82521397"</f>
        <v>82521397</v>
      </c>
      <c r="D2521" t="s">
        <v>7710</v>
      </c>
      <c r="F2521" t="s">
        <v>7711</v>
      </c>
      <c r="I2521" t="s">
        <v>1149</v>
      </c>
      <c r="J2521" t="s">
        <v>30</v>
      </c>
      <c r="K2521" t="s">
        <v>1150</v>
      </c>
      <c r="M2521" t="s">
        <v>32</v>
      </c>
      <c r="N2521" t="str">
        <f>"3/1/2004 12:00:00 AM"</f>
        <v>3/1/2004 12:00:00 AM</v>
      </c>
      <c r="O2521" t="s">
        <v>7710</v>
      </c>
    </row>
    <row r="2522" spans="1:20" x14ac:dyDescent="0.25">
      <c r="A2522" t="str">
        <f>"3047465"</f>
        <v>3047465</v>
      </c>
      <c r="B2522" t="s">
        <v>7712</v>
      </c>
      <c r="C2522" t="str">
        <f>"54267750"</f>
        <v>54267750</v>
      </c>
      <c r="D2522" t="s">
        <v>7713</v>
      </c>
      <c r="F2522" t="str">
        <f>"C/O STATE PROPERTY OFFICE"</f>
        <v>C/O STATE PROPERTY OFFICE</v>
      </c>
      <c r="G2522" t="s">
        <v>7714</v>
      </c>
      <c r="I2522" t="s">
        <v>2589</v>
      </c>
      <c r="J2522" t="s">
        <v>30</v>
      </c>
      <c r="K2522" t="s">
        <v>2590</v>
      </c>
      <c r="M2522" t="s">
        <v>32</v>
      </c>
      <c r="N2522" t="str">
        <f>"3/23/2004 12:00:00 AM"</f>
        <v>3/23/2004 12:00:00 AM</v>
      </c>
      <c r="O2522" t="s">
        <v>7713</v>
      </c>
    </row>
    <row r="2523" spans="1:20" x14ac:dyDescent="0.25">
      <c r="A2523" t="str">
        <f>"3047467"</f>
        <v>3047467</v>
      </c>
      <c r="B2523" t="s">
        <v>7715</v>
      </c>
      <c r="C2523" t="str">
        <f>"82515279"</f>
        <v>82515279</v>
      </c>
      <c r="D2523" t="s">
        <v>7713</v>
      </c>
      <c r="F2523" t="s">
        <v>7716</v>
      </c>
      <c r="G2523" t="s">
        <v>7717</v>
      </c>
      <c r="I2523" t="s">
        <v>2589</v>
      </c>
      <c r="J2523" t="s">
        <v>30</v>
      </c>
      <c r="K2523" t="s">
        <v>7718</v>
      </c>
      <c r="M2523" t="s">
        <v>32</v>
      </c>
      <c r="N2523" t="str">
        <f>"5/20/2004 12:00:00 AM"</f>
        <v>5/20/2004 12:00:00 AM</v>
      </c>
      <c r="O2523" t="s">
        <v>7713</v>
      </c>
    </row>
    <row r="2524" spans="1:20" x14ac:dyDescent="0.25">
      <c r="A2524" t="str">
        <f>"3047526"</f>
        <v>3047526</v>
      </c>
      <c r="B2524" t="s">
        <v>7719</v>
      </c>
      <c r="C2524" t="str">
        <f>"82515279"</f>
        <v>82515279</v>
      </c>
      <c r="D2524" t="s">
        <v>7713</v>
      </c>
      <c r="F2524" t="s">
        <v>7716</v>
      </c>
      <c r="G2524" t="s">
        <v>7717</v>
      </c>
      <c r="I2524" t="s">
        <v>2589</v>
      </c>
      <c r="J2524" t="s">
        <v>30</v>
      </c>
      <c r="K2524" t="s">
        <v>7718</v>
      </c>
      <c r="M2524" t="s">
        <v>32</v>
      </c>
      <c r="N2524" t="str">
        <f>"5/20/2004 12:00:00 AM"</f>
        <v>5/20/2004 12:00:00 AM</v>
      </c>
      <c r="O2524" t="s">
        <v>7713</v>
      </c>
    </row>
    <row r="2525" spans="1:20" x14ac:dyDescent="0.25">
      <c r="A2525" t="str">
        <f>"3044187"</f>
        <v>3044187</v>
      </c>
      <c r="B2525" t="s">
        <v>7720</v>
      </c>
      <c r="C2525" t="str">
        <f>"82527462"</f>
        <v>82527462</v>
      </c>
      <c r="D2525" t="s">
        <v>7721</v>
      </c>
      <c r="F2525" t="s">
        <v>7722</v>
      </c>
      <c r="I2525" t="s">
        <v>184</v>
      </c>
      <c r="J2525" t="s">
        <v>30</v>
      </c>
      <c r="K2525" t="s">
        <v>185</v>
      </c>
      <c r="M2525" t="s">
        <v>32</v>
      </c>
      <c r="N2525" t="str">
        <f>"1/26/2007 12:00:00 AM"</f>
        <v>1/26/2007 12:00:00 AM</v>
      </c>
      <c r="O2525" t="s">
        <v>7721</v>
      </c>
    </row>
    <row r="2526" spans="1:20" x14ac:dyDescent="0.25">
      <c r="A2526" t="str">
        <f>"3044015"</f>
        <v>3044015</v>
      </c>
      <c r="B2526" t="s">
        <v>7723</v>
      </c>
      <c r="C2526" t="str">
        <f>"81152000"</f>
        <v>81152000</v>
      </c>
      <c r="D2526" t="s">
        <v>7466</v>
      </c>
      <c r="E2526" t="s">
        <v>7467</v>
      </c>
      <c r="F2526" t="s">
        <v>7468</v>
      </c>
      <c r="I2526" t="s">
        <v>184</v>
      </c>
      <c r="J2526" t="s">
        <v>30</v>
      </c>
      <c r="K2526" t="s">
        <v>185</v>
      </c>
      <c r="M2526" t="s">
        <v>32</v>
      </c>
      <c r="N2526" t="str">
        <f>"7/19/2004 12:00:00 AM"</f>
        <v>7/19/2004 12:00:00 AM</v>
      </c>
      <c r="O2526" t="s">
        <v>7466</v>
      </c>
      <c r="T2526" t="s">
        <v>7467</v>
      </c>
    </row>
    <row r="2527" spans="1:20" x14ac:dyDescent="0.25">
      <c r="A2527" t="str">
        <f>"3043946"</f>
        <v>3043946</v>
      </c>
      <c r="B2527" t="s">
        <v>7724</v>
      </c>
      <c r="C2527" t="str">
        <f>"81152000"</f>
        <v>81152000</v>
      </c>
      <c r="D2527" t="s">
        <v>7466</v>
      </c>
      <c r="E2527" t="s">
        <v>7467</v>
      </c>
      <c r="F2527" t="s">
        <v>7468</v>
      </c>
      <c r="I2527" t="s">
        <v>184</v>
      </c>
      <c r="J2527" t="s">
        <v>30</v>
      </c>
      <c r="K2527" t="s">
        <v>185</v>
      </c>
      <c r="M2527" t="s">
        <v>32</v>
      </c>
      <c r="N2527" t="str">
        <f>"7/19/2004 12:00:00 AM"</f>
        <v>7/19/2004 12:00:00 AM</v>
      </c>
      <c r="O2527" t="s">
        <v>7466</v>
      </c>
      <c r="T2527" t="s">
        <v>7467</v>
      </c>
    </row>
    <row r="2528" spans="1:20" x14ac:dyDescent="0.25">
      <c r="A2528" t="str">
        <f>"3063011"</f>
        <v>3063011</v>
      </c>
      <c r="B2528" t="s">
        <v>7725</v>
      </c>
      <c r="C2528" t="str">
        <f>"73003000"</f>
        <v>73003000</v>
      </c>
      <c r="D2528" t="s">
        <v>7726</v>
      </c>
      <c r="E2528" t="s">
        <v>7727</v>
      </c>
      <c r="F2528" t="s">
        <v>7728</v>
      </c>
      <c r="I2528" t="s">
        <v>184</v>
      </c>
      <c r="J2528" t="s">
        <v>30</v>
      </c>
      <c r="K2528" t="s">
        <v>7729</v>
      </c>
      <c r="M2528" t="s">
        <v>32</v>
      </c>
      <c r="N2528" t="str">
        <f>"9/2/2011 12:00:00 AM"</f>
        <v>9/2/2011 12:00:00 AM</v>
      </c>
      <c r="O2528" t="s">
        <v>7726</v>
      </c>
      <c r="T2528" t="s">
        <v>7727</v>
      </c>
    </row>
    <row r="2529" spans="1:20" x14ac:dyDescent="0.25">
      <c r="A2529" t="str">
        <f>"3045461"</f>
        <v>3045461</v>
      </c>
      <c r="B2529" t="s">
        <v>7730</v>
      </c>
      <c r="C2529" t="str">
        <f t="shared" ref="C2529:C2534" si="49">"82526490"</f>
        <v>82526490</v>
      </c>
      <c r="D2529" t="s">
        <v>7731</v>
      </c>
      <c r="F2529" t="s">
        <v>7732</v>
      </c>
      <c r="I2529" t="s">
        <v>29</v>
      </c>
      <c r="J2529" t="s">
        <v>30</v>
      </c>
      <c r="K2529" t="s">
        <v>31</v>
      </c>
      <c r="M2529" t="s">
        <v>32</v>
      </c>
      <c r="N2529" t="str">
        <f t="shared" ref="N2529:N2534" si="50">"7/24/2006 12:00:00 AM"</f>
        <v>7/24/2006 12:00:00 AM</v>
      </c>
      <c r="O2529" t="s">
        <v>7731</v>
      </c>
    </row>
    <row r="2530" spans="1:20" x14ac:dyDescent="0.25">
      <c r="A2530" t="str">
        <f>"3045313"</f>
        <v>3045313</v>
      </c>
      <c r="B2530" t="s">
        <v>7733</v>
      </c>
      <c r="C2530" t="str">
        <f t="shared" si="49"/>
        <v>82526490</v>
      </c>
      <c r="D2530" t="s">
        <v>7731</v>
      </c>
      <c r="F2530" t="s">
        <v>7732</v>
      </c>
      <c r="I2530" t="s">
        <v>29</v>
      </c>
      <c r="J2530" t="s">
        <v>30</v>
      </c>
      <c r="K2530" t="s">
        <v>31</v>
      </c>
      <c r="M2530" t="s">
        <v>32</v>
      </c>
      <c r="N2530" t="str">
        <f t="shared" si="50"/>
        <v>7/24/2006 12:00:00 AM</v>
      </c>
      <c r="O2530" t="s">
        <v>7731</v>
      </c>
    </row>
    <row r="2531" spans="1:20" x14ac:dyDescent="0.25">
      <c r="A2531" t="str">
        <f>"3042249"</f>
        <v>3042249</v>
      </c>
      <c r="B2531" t="s">
        <v>7734</v>
      </c>
      <c r="C2531" t="str">
        <f t="shared" si="49"/>
        <v>82526490</v>
      </c>
      <c r="D2531" t="s">
        <v>7731</v>
      </c>
      <c r="F2531" t="s">
        <v>7732</v>
      </c>
      <c r="I2531" t="s">
        <v>29</v>
      </c>
      <c r="J2531" t="s">
        <v>30</v>
      </c>
      <c r="K2531" t="s">
        <v>31</v>
      </c>
      <c r="M2531" t="s">
        <v>32</v>
      </c>
      <c r="N2531" t="str">
        <f t="shared" si="50"/>
        <v>7/24/2006 12:00:00 AM</v>
      </c>
      <c r="O2531" t="s">
        <v>7731</v>
      </c>
    </row>
    <row r="2532" spans="1:20" x14ac:dyDescent="0.25">
      <c r="A2532" t="str">
        <f>"3042057"</f>
        <v>3042057</v>
      </c>
      <c r="B2532" t="s">
        <v>7735</v>
      </c>
      <c r="C2532" t="str">
        <f t="shared" si="49"/>
        <v>82526490</v>
      </c>
      <c r="D2532" t="s">
        <v>7731</v>
      </c>
      <c r="F2532" t="s">
        <v>7732</v>
      </c>
      <c r="I2532" t="s">
        <v>29</v>
      </c>
      <c r="J2532" t="s">
        <v>30</v>
      </c>
      <c r="K2532" t="s">
        <v>31</v>
      </c>
      <c r="M2532" t="s">
        <v>32</v>
      </c>
      <c r="N2532" t="str">
        <f t="shared" si="50"/>
        <v>7/24/2006 12:00:00 AM</v>
      </c>
      <c r="O2532" t="s">
        <v>7731</v>
      </c>
    </row>
    <row r="2533" spans="1:20" x14ac:dyDescent="0.25">
      <c r="A2533" t="str">
        <f>"3042058"</f>
        <v>3042058</v>
      </c>
      <c r="B2533" t="s">
        <v>7736</v>
      </c>
      <c r="C2533" t="str">
        <f t="shared" si="49"/>
        <v>82526490</v>
      </c>
      <c r="D2533" t="s">
        <v>7731</v>
      </c>
      <c r="F2533" t="s">
        <v>7732</v>
      </c>
      <c r="I2533" t="s">
        <v>29</v>
      </c>
      <c r="J2533" t="s">
        <v>30</v>
      </c>
      <c r="K2533" t="s">
        <v>31</v>
      </c>
      <c r="M2533" t="s">
        <v>32</v>
      </c>
      <c r="N2533" t="str">
        <f t="shared" si="50"/>
        <v>7/24/2006 12:00:00 AM</v>
      </c>
      <c r="O2533" t="s">
        <v>7731</v>
      </c>
    </row>
    <row r="2534" spans="1:20" x14ac:dyDescent="0.25">
      <c r="A2534" t="str">
        <f>"3077622"</f>
        <v>3077622</v>
      </c>
      <c r="B2534" t="s">
        <v>7737</v>
      </c>
      <c r="C2534" t="str">
        <f t="shared" si="49"/>
        <v>82526490</v>
      </c>
      <c r="D2534" t="s">
        <v>7731</v>
      </c>
      <c r="F2534" t="s">
        <v>7732</v>
      </c>
      <c r="I2534" t="s">
        <v>29</v>
      </c>
      <c r="J2534" t="s">
        <v>30</v>
      </c>
      <c r="K2534" t="s">
        <v>31</v>
      </c>
      <c r="M2534" t="s">
        <v>32</v>
      </c>
      <c r="N2534" t="str">
        <f t="shared" si="50"/>
        <v>7/24/2006 12:00:00 AM</v>
      </c>
      <c r="O2534" t="s">
        <v>7731</v>
      </c>
    </row>
    <row r="2535" spans="1:20" x14ac:dyDescent="0.25">
      <c r="A2535" t="str">
        <f>"3045745"</f>
        <v>3045745</v>
      </c>
      <c r="B2535" t="s">
        <v>7738</v>
      </c>
      <c r="C2535" t="str">
        <f>"6251630"</f>
        <v>6251630</v>
      </c>
      <c r="D2535" t="s">
        <v>7739</v>
      </c>
      <c r="E2535" t="s">
        <v>7740</v>
      </c>
      <c r="F2535" t="s">
        <v>7741</v>
      </c>
      <c r="I2535" t="s">
        <v>29</v>
      </c>
      <c r="J2535" t="s">
        <v>30</v>
      </c>
      <c r="K2535" t="s">
        <v>31</v>
      </c>
      <c r="M2535" t="s">
        <v>32</v>
      </c>
      <c r="N2535" t="str">
        <f>"1/29/2009 12:00:00 AM"</f>
        <v>1/29/2009 12:00:00 AM</v>
      </c>
      <c r="O2535" t="s">
        <v>7739</v>
      </c>
      <c r="T2535" t="s">
        <v>7740</v>
      </c>
    </row>
    <row r="2536" spans="1:20" x14ac:dyDescent="0.25">
      <c r="A2536" t="str">
        <f>"3045140"</f>
        <v>3045140</v>
      </c>
      <c r="B2536" t="s">
        <v>7742</v>
      </c>
      <c r="C2536" t="str">
        <f>"82514226"</f>
        <v>82514226</v>
      </c>
      <c r="D2536" t="s">
        <v>7743</v>
      </c>
      <c r="F2536" t="s">
        <v>7744</v>
      </c>
      <c r="I2536" t="s">
        <v>29</v>
      </c>
      <c r="J2536" t="s">
        <v>30</v>
      </c>
      <c r="K2536" t="s">
        <v>31</v>
      </c>
      <c r="M2536" t="s">
        <v>32</v>
      </c>
      <c r="N2536" t="str">
        <f>"1/20/2000 12:00:00 AM"</f>
        <v>1/20/2000 12:00:00 AM</v>
      </c>
      <c r="O2536" t="s">
        <v>7743</v>
      </c>
    </row>
    <row r="2537" spans="1:20" x14ac:dyDescent="0.25">
      <c r="A2537" t="str">
        <f>"3045542"</f>
        <v>3045542</v>
      </c>
      <c r="B2537" t="s">
        <v>7745</v>
      </c>
      <c r="C2537" t="str">
        <f>"82524407"</f>
        <v>82524407</v>
      </c>
      <c r="D2537" t="s">
        <v>7746</v>
      </c>
      <c r="E2537" t="s">
        <v>7747</v>
      </c>
      <c r="F2537" t="s">
        <v>7748</v>
      </c>
      <c r="I2537" t="s">
        <v>29</v>
      </c>
      <c r="J2537" t="s">
        <v>30</v>
      </c>
      <c r="K2537" t="s">
        <v>31</v>
      </c>
      <c r="M2537" t="s">
        <v>32</v>
      </c>
      <c r="N2537" t="str">
        <f>"11/23/2005 12:00:00 AM"</f>
        <v>11/23/2005 12:00:00 AM</v>
      </c>
      <c r="O2537" t="s">
        <v>7746</v>
      </c>
      <c r="T2537" t="s">
        <v>7747</v>
      </c>
    </row>
    <row r="2538" spans="1:20" x14ac:dyDescent="0.25">
      <c r="A2538" t="str">
        <f>"3045733"</f>
        <v>3045733</v>
      </c>
      <c r="B2538" t="s">
        <v>7749</v>
      </c>
      <c r="C2538" t="str">
        <f>"49508900"</f>
        <v>49508900</v>
      </c>
      <c r="D2538" t="s">
        <v>7750</v>
      </c>
      <c r="E2538" t="s">
        <v>7751</v>
      </c>
      <c r="F2538" t="s">
        <v>7752</v>
      </c>
      <c r="I2538" t="s">
        <v>29</v>
      </c>
      <c r="J2538" t="s">
        <v>30</v>
      </c>
      <c r="K2538" t="s">
        <v>7753</v>
      </c>
      <c r="M2538" t="s">
        <v>32</v>
      </c>
      <c r="N2538" t="str">
        <f>"2/13/2007 12:00:00 AM"</f>
        <v>2/13/2007 12:00:00 AM</v>
      </c>
      <c r="O2538" t="s">
        <v>7750</v>
      </c>
      <c r="T2538" t="s">
        <v>7751</v>
      </c>
    </row>
    <row r="2539" spans="1:20" x14ac:dyDescent="0.25">
      <c r="A2539" t="str">
        <f>"3045657"</f>
        <v>3045657</v>
      </c>
      <c r="B2539" t="s">
        <v>7754</v>
      </c>
      <c r="C2539" t="str">
        <f>"74680000"</f>
        <v>74680000</v>
      </c>
      <c r="D2539" t="s">
        <v>7755</v>
      </c>
      <c r="F2539" t="s">
        <v>7756</v>
      </c>
      <c r="I2539" t="s">
        <v>29</v>
      </c>
      <c r="J2539" t="s">
        <v>30</v>
      </c>
      <c r="K2539" t="s">
        <v>31</v>
      </c>
      <c r="M2539" t="s">
        <v>32</v>
      </c>
      <c r="N2539" t="str">
        <f>"5/28/2002 12:00:00 AM"</f>
        <v>5/28/2002 12:00:00 AM</v>
      </c>
      <c r="O2539" t="s">
        <v>7755</v>
      </c>
    </row>
    <row r="2540" spans="1:20" x14ac:dyDescent="0.25">
      <c r="A2540" t="str">
        <f>"3045480"</f>
        <v>3045480</v>
      </c>
      <c r="B2540" t="s">
        <v>7757</v>
      </c>
      <c r="C2540" t="str">
        <f>"82522063"</f>
        <v>82522063</v>
      </c>
      <c r="D2540" t="s">
        <v>7758</v>
      </c>
      <c r="E2540" t="s">
        <v>7759</v>
      </c>
      <c r="F2540" t="s">
        <v>7760</v>
      </c>
      <c r="I2540" t="s">
        <v>29</v>
      </c>
      <c r="J2540" t="s">
        <v>30</v>
      </c>
      <c r="K2540" t="s">
        <v>31</v>
      </c>
      <c r="M2540" t="s">
        <v>32</v>
      </c>
      <c r="N2540" t="str">
        <f>"12/22/2008 12:00:00 AM"</f>
        <v>12/22/2008 12:00:00 AM</v>
      </c>
      <c r="O2540" t="s">
        <v>7758</v>
      </c>
      <c r="T2540" t="s">
        <v>7759</v>
      </c>
    </row>
    <row r="2541" spans="1:20" x14ac:dyDescent="0.25">
      <c r="A2541" t="str">
        <f>"3045010"</f>
        <v>3045010</v>
      </c>
      <c r="B2541" t="s">
        <v>7761</v>
      </c>
      <c r="C2541" t="str">
        <f>"82522063"</f>
        <v>82522063</v>
      </c>
      <c r="D2541" t="s">
        <v>7758</v>
      </c>
      <c r="E2541" t="s">
        <v>7759</v>
      </c>
      <c r="F2541" t="s">
        <v>7760</v>
      </c>
      <c r="I2541" t="s">
        <v>29</v>
      </c>
      <c r="J2541" t="s">
        <v>30</v>
      </c>
      <c r="K2541" t="s">
        <v>31</v>
      </c>
      <c r="M2541" t="s">
        <v>32</v>
      </c>
      <c r="N2541" t="str">
        <f>"12/22/2008 12:00:00 AM"</f>
        <v>12/22/2008 12:00:00 AM</v>
      </c>
      <c r="O2541" t="s">
        <v>7758</v>
      </c>
      <c r="T2541" t="s">
        <v>7759</v>
      </c>
    </row>
    <row r="2542" spans="1:20" x14ac:dyDescent="0.25">
      <c r="A2542" t="str">
        <f>"3044220"</f>
        <v>3044220</v>
      </c>
      <c r="B2542" t="s">
        <v>7762</v>
      </c>
      <c r="C2542" t="str">
        <f>"77834000"</f>
        <v>77834000</v>
      </c>
      <c r="D2542" t="s">
        <v>7763</v>
      </c>
      <c r="F2542" t="s">
        <v>7764</v>
      </c>
      <c r="I2542" t="s">
        <v>184</v>
      </c>
      <c r="J2542" t="s">
        <v>30</v>
      </c>
      <c r="K2542" t="s">
        <v>7765</v>
      </c>
      <c r="M2542" t="s">
        <v>32</v>
      </c>
      <c r="N2542" t="str">
        <f>"1/22/2010 12:00:00 AM"</f>
        <v>1/22/2010 12:00:00 AM</v>
      </c>
      <c r="O2542" t="s">
        <v>7763</v>
      </c>
    </row>
    <row r="2543" spans="1:20" x14ac:dyDescent="0.25">
      <c r="A2543" t="str">
        <f>"3047372"</f>
        <v>3047372</v>
      </c>
      <c r="B2543" t="s">
        <v>7766</v>
      </c>
      <c r="C2543" t="str">
        <f>"82524993"</f>
        <v>82524993</v>
      </c>
      <c r="D2543" t="s">
        <v>7527</v>
      </c>
      <c r="E2543" t="s">
        <v>7528</v>
      </c>
      <c r="F2543" t="s">
        <v>7529</v>
      </c>
      <c r="G2543" t="s">
        <v>7530</v>
      </c>
      <c r="I2543" t="s">
        <v>184</v>
      </c>
      <c r="J2543" t="s">
        <v>30</v>
      </c>
      <c r="K2543" t="s">
        <v>7531</v>
      </c>
      <c r="M2543" t="s">
        <v>32</v>
      </c>
      <c r="N2543" t="str">
        <f>"1/20/2006 12:00:00 AM"</f>
        <v>1/20/2006 12:00:00 AM</v>
      </c>
      <c r="O2543" t="s">
        <v>7527</v>
      </c>
      <c r="T2543" t="s">
        <v>7528</v>
      </c>
    </row>
    <row r="2544" spans="1:20" x14ac:dyDescent="0.25">
      <c r="A2544" t="str">
        <f>"3044205"</f>
        <v>3044205</v>
      </c>
      <c r="B2544" t="s">
        <v>7767</v>
      </c>
      <c r="C2544" t="str">
        <f>"80576750"</f>
        <v>80576750</v>
      </c>
      <c r="D2544" t="s">
        <v>7768</v>
      </c>
      <c r="E2544" t="s">
        <v>7769</v>
      </c>
      <c r="F2544" t="s">
        <v>7770</v>
      </c>
      <c r="I2544" t="s">
        <v>184</v>
      </c>
      <c r="J2544" t="s">
        <v>30</v>
      </c>
      <c r="K2544" t="s">
        <v>185</v>
      </c>
      <c r="M2544" t="s">
        <v>32</v>
      </c>
      <c r="N2544" t="str">
        <f>"7/16/2004 12:00:00 AM"</f>
        <v>7/16/2004 12:00:00 AM</v>
      </c>
      <c r="O2544" t="s">
        <v>7768</v>
      </c>
      <c r="T2544" t="s">
        <v>7769</v>
      </c>
    </row>
    <row r="2545" spans="1:20" x14ac:dyDescent="0.25">
      <c r="A2545" t="str">
        <f>"3045295"</f>
        <v>3045295</v>
      </c>
      <c r="B2545" t="s">
        <v>7771</v>
      </c>
      <c r="C2545" t="str">
        <f>"82529430"</f>
        <v>82529430</v>
      </c>
      <c r="D2545" t="s">
        <v>7772</v>
      </c>
      <c r="F2545" t="s">
        <v>7773</v>
      </c>
      <c r="I2545" t="s">
        <v>29</v>
      </c>
      <c r="J2545" t="s">
        <v>30</v>
      </c>
      <c r="K2545" t="s">
        <v>31</v>
      </c>
      <c r="M2545" t="s">
        <v>32</v>
      </c>
      <c r="N2545" t="str">
        <f>"4/14/2008 12:00:00 AM"</f>
        <v>4/14/2008 12:00:00 AM</v>
      </c>
      <c r="O2545" t="s">
        <v>7772</v>
      </c>
    </row>
    <row r="2546" spans="1:20" x14ac:dyDescent="0.25">
      <c r="A2546" t="str">
        <f>"3077865"</f>
        <v>3077865</v>
      </c>
      <c r="B2546" t="s">
        <v>7774</v>
      </c>
      <c r="C2546" t="str">
        <f>"82529430"</f>
        <v>82529430</v>
      </c>
      <c r="D2546" t="s">
        <v>7772</v>
      </c>
      <c r="F2546" t="s">
        <v>7773</v>
      </c>
      <c r="I2546" t="s">
        <v>29</v>
      </c>
      <c r="J2546" t="s">
        <v>30</v>
      </c>
      <c r="K2546" t="s">
        <v>31</v>
      </c>
      <c r="M2546" t="s">
        <v>32</v>
      </c>
      <c r="N2546" t="str">
        <f>"4/14/2008 12:00:00 AM"</f>
        <v>4/14/2008 12:00:00 AM</v>
      </c>
      <c r="O2546" t="s">
        <v>7772</v>
      </c>
    </row>
    <row r="2547" spans="1:20" x14ac:dyDescent="0.25">
      <c r="A2547" t="str">
        <f>"3045316"</f>
        <v>3045316</v>
      </c>
      <c r="B2547" t="s">
        <v>7775</v>
      </c>
      <c r="C2547" t="str">
        <f>"29476000"</f>
        <v>29476000</v>
      </c>
      <c r="D2547" t="s">
        <v>7776</v>
      </c>
      <c r="E2547" t="s">
        <v>7777</v>
      </c>
      <c r="F2547" t="s">
        <v>7778</v>
      </c>
      <c r="I2547" t="s">
        <v>29</v>
      </c>
      <c r="J2547" t="s">
        <v>30</v>
      </c>
      <c r="K2547" t="s">
        <v>6686</v>
      </c>
      <c r="M2547" t="s">
        <v>32</v>
      </c>
      <c r="N2547" t="str">
        <f>"1/31/2006 12:00:00 AM"</f>
        <v>1/31/2006 12:00:00 AM</v>
      </c>
      <c r="O2547" t="s">
        <v>7776</v>
      </c>
      <c r="T2547" t="s">
        <v>7777</v>
      </c>
    </row>
    <row r="2548" spans="1:20" x14ac:dyDescent="0.25">
      <c r="A2548" t="str">
        <f>"3045405"</f>
        <v>3045405</v>
      </c>
      <c r="B2548" t="s">
        <v>7779</v>
      </c>
      <c r="C2548" t="str">
        <f>"82529898"</f>
        <v>82529898</v>
      </c>
      <c r="D2548" t="s">
        <v>7780</v>
      </c>
      <c r="F2548" t="s">
        <v>7781</v>
      </c>
      <c r="I2548" t="s">
        <v>29</v>
      </c>
      <c r="J2548" t="s">
        <v>30</v>
      </c>
      <c r="K2548" t="s">
        <v>31</v>
      </c>
      <c r="M2548" t="s">
        <v>32</v>
      </c>
      <c r="N2548" t="str">
        <f>"7/28/2008 12:00:00 AM"</f>
        <v>7/28/2008 12:00:00 AM</v>
      </c>
      <c r="O2548" t="s">
        <v>7780</v>
      </c>
    </row>
    <row r="2549" spans="1:20" x14ac:dyDescent="0.25">
      <c r="A2549" t="str">
        <f>"3044971"</f>
        <v>3044971</v>
      </c>
      <c r="B2549" t="s">
        <v>7782</v>
      </c>
      <c r="C2549" t="str">
        <f>"82529898"</f>
        <v>82529898</v>
      </c>
      <c r="D2549" t="s">
        <v>7780</v>
      </c>
      <c r="F2549" t="s">
        <v>7781</v>
      </c>
      <c r="I2549" t="s">
        <v>29</v>
      </c>
      <c r="J2549" t="s">
        <v>30</v>
      </c>
      <c r="K2549" t="s">
        <v>31</v>
      </c>
      <c r="M2549" t="s">
        <v>32</v>
      </c>
      <c r="N2549" t="str">
        <f>"7/28/2008 12:00:00 AM"</f>
        <v>7/28/2008 12:00:00 AM</v>
      </c>
      <c r="O2549" t="s">
        <v>7780</v>
      </c>
    </row>
    <row r="2550" spans="1:20" x14ac:dyDescent="0.25">
      <c r="A2550" t="str">
        <f>"3077866"</f>
        <v>3077866</v>
      </c>
      <c r="B2550" t="s">
        <v>7783</v>
      </c>
      <c r="C2550" t="str">
        <f>"29475000"</f>
        <v>29475000</v>
      </c>
      <c r="D2550" t="s">
        <v>7776</v>
      </c>
      <c r="F2550" t="s">
        <v>7778</v>
      </c>
      <c r="I2550" t="s">
        <v>29</v>
      </c>
      <c r="J2550" t="s">
        <v>30</v>
      </c>
      <c r="K2550" t="s">
        <v>31</v>
      </c>
      <c r="M2550" t="s">
        <v>32</v>
      </c>
      <c r="N2550" t="str">
        <f>"9/2/2003 12:00:00 AM"</f>
        <v>9/2/2003 12:00:00 AM</v>
      </c>
      <c r="O2550" t="s">
        <v>7776</v>
      </c>
    </row>
    <row r="2551" spans="1:20" x14ac:dyDescent="0.25">
      <c r="A2551" t="str">
        <f>"3045150"</f>
        <v>3045150</v>
      </c>
      <c r="B2551" t="s">
        <v>7784</v>
      </c>
      <c r="C2551" t="str">
        <f>"29365000"</f>
        <v>29365000</v>
      </c>
      <c r="D2551" t="s">
        <v>7785</v>
      </c>
      <c r="F2551" t="s">
        <v>6712</v>
      </c>
      <c r="I2551" t="s">
        <v>29</v>
      </c>
      <c r="J2551" t="s">
        <v>30</v>
      </c>
      <c r="K2551" t="s">
        <v>31</v>
      </c>
      <c r="M2551" t="s">
        <v>32</v>
      </c>
      <c r="N2551" t="str">
        <f>"5/29/2002 12:00:00 AM"</f>
        <v>5/29/2002 12:00:00 AM</v>
      </c>
      <c r="O2551" t="s">
        <v>7785</v>
      </c>
    </row>
    <row r="2552" spans="1:20" x14ac:dyDescent="0.25">
      <c r="A2552" t="str">
        <f>"3045096"</f>
        <v>3045096</v>
      </c>
      <c r="B2552" t="s">
        <v>7786</v>
      </c>
      <c r="C2552" t="str">
        <f>"48331500"</f>
        <v>48331500</v>
      </c>
      <c r="D2552" t="s">
        <v>7787</v>
      </c>
      <c r="F2552" t="s">
        <v>7788</v>
      </c>
      <c r="I2552" t="s">
        <v>29</v>
      </c>
      <c r="J2552" t="s">
        <v>30</v>
      </c>
      <c r="K2552" t="s">
        <v>31</v>
      </c>
      <c r="M2552" t="s">
        <v>32</v>
      </c>
      <c r="N2552" t="str">
        <f>"2/18/2004 12:00:00 AM"</f>
        <v>2/18/2004 12:00:00 AM</v>
      </c>
      <c r="O2552" t="s">
        <v>7787</v>
      </c>
    </row>
    <row r="2553" spans="1:20" x14ac:dyDescent="0.25">
      <c r="A2553" t="str">
        <f>"3045406"</f>
        <v>3045406</v>
      </c>
      <c r="B2553" t="s">
        <v>7789</v>
      </c>
      <c r="C2553" t="str">
        <f>"14652000"</f>
        <v>14652000</v>
      </c>
      <c r="D2553" t="s">
        <v>7790</v>
      </c>
      <c r="E2553" t="s">
        <v>7791</v>
      </c>
      <c r="F2553" t="s">
        <v>6701</v>
      </c>
      <c r="I2553" t="s">
        <v>29</v>
      </c>
      <c r="J2553" t="s">
        <v>30</v>
      </c>
      <c r="K2553" t="s">
        <v>7792</v>
      </c>
      <c r="M2553" t="s">
        <v>32</v>
      </c>
      <c r="N2553" t="str">
        <f>"1/19/2005 12:00:00 AM"</f>
        <v>1/19/2005 12:00:00 AM</v>
      </c>
      <c r="O2553" t="s">
        <v>7790</v>
      </c>
      <c r="T2553" t="s">
        <v>7791</v>
      </c>
    </row>
    <row r="2554" spans="1:20" x14ac:dyDescent="0.25">
      <c r="A2554" t="str">
        <f>"3045246"</f>
        <v>3045246</v>
      </c>
      <c r="B2554" t="s">
        <v>7793</v>
      </c>
      <c r="C2554" t="str">
        <f>"42539900"</f>
        <v>42539900</v>
      </c>
      <c r="D2554" t="s">
        <v>7794</v>
      </c>
      <c r="F2554" t="s">
        <v>7795</v>
      </c>
      <c r="I2554" t="s">
        <v>29</v>
      </c>
      <c r="J2554" t="s">
        <v>30</v>
      </c>
      <c r="K2554" t="s">
        <v>31</v>
      </c>
      <c r="M2554" t="s">
        <v>32</v>
      </c>
      <c r="N2554" t="str">
        <f>"11/20/2003 12:00:00 AM"</f>
        <v>11/20/2003 12:00:00 AM</v>
      </c>
      <c r="O2554" t="s">
        <v>7794</v>
      </c>
    </row>
    <row r="2555" spans="1:20" x14ac:dyDescent="0.25">
      <c r="A2555" t="str">
        <f>"3040091"</f>
        <v>3040091</v>
      </c>
      <c r="B2555" t="s">
        <v>7796</v>
      </c>
      <c r="C2555" t="str">
        <f t="shared" ref="C2555:C2561" si="51">"42509300"</f>
        <v>42509300</v>
      </c>
      <c r="D2555" t="s">
        <v>7797</v>
      </c>
      <c r="E2555" t="s">
        <v>7798</v>
      </c>
      <c r="F2555" t="s">
        <v>7799</v>
      </c>
      <c r="I2555" t="s">
        <v>29</v>
      </c>
      <c r="J2555" t="s">
        <v>30</v>
      </c>
      <c r="K2555" t="s">
        <v>7800</v>
      </c>
      <c r="M2555" t="s">
        <v>32</v>
      </c>
      <c r="N2555" t="str">
        <f t="shared" ref="N2555:N2561" si="52">"1/25/2006 12:00:00 AM"</f>
        <v>1/25/2006 12:00:00 AM</v>
      </c>
      <c r="O2555" t="s">
        <v>7797</v>
      </c>
      <c r="T2555" t="s">
        <v>7798</v>
      </c>
    </row>
    <row r="2556" spans="1:20" x14ac:dyDescent="0.25">
      <c r="A2556" t="str">
        <f>"3040073"</f>
        <v>3040073</v>
      </c>
      <c r="B2556" t="s">
        <v>7801</v>
      </c>
      <c r="C2556" t="str">
        <f t="shared" si="51"/>
        <v>42509300</v>
      </c>
      <c r="D2556" t="s">
        <v>7797</v>
      </c>
      <c r="E2556" t="s">
        <v>7798</v>
      </c>
      <c r="F2556" t="s">
        <v>7799</v>
      </c>
      <c r="I2556" t="s">
        <v>29</v>
      </c>
      <c r="J2556" t="s">
        <v>30</v>
      </c>
      <c r="K2556" t="s">
        <v>7800</v>
      </c>
      <c r="M2556" t="s">
        <v>32</v>
      </c>
      <c r="N2556" t="str">
        <f t="shared" si="52"/>
        <v>1/25/2006 12:00:00 AM</v>
      </c>
      <c r="O2556" t="s">
        <v>7797</v>
      </c>
      <c r="T2556" t="s">
        <v>7798</v>
      </c>
    </row>
    <row r="2557" spans="1:20" x14ac:dyDescent="0.25">
      <c r="A2557" t="str">
        <f>"3040019"</f>
        <v>3040019</v>
      </c>
      <c r="B2557" t="s">
        <v>7802</v>
      </c>
      <c r="C2557" t="str">
        <f t="shared" si="51"/>
        <v>42509300</v>
      </c>
      <c r="D2557" t="s">
        <v>7797</v>
      </c>
      <c r="E2557" t="s">
        <v>7798</v>
      </c>
      <c r="F2557" t="s">
        <v>7799</v>
      </c>
      <c r="I2557" t="s">
        <v>29</v>
      </c>
      <c r="J2557" t="s">
        <v>30</v>
      </c>
      <c r="K2557" t="s">
        <v>7800</v>
      </c>
      <c r="M2557" t="s">
        <v>32</v>
      </c>
      <c r="N2557" t="str">
        <f t="shared" si="52"/>
        <v>1/25/2006 12:00:00 AM</v>
      </c>
      <c r="O2557" t="s">
        <v>7797</v>
      </c>
      <c r="T2557" t="s">
        <v>7798</v>
      </c>
    </row>
    <row r="2558" spans="1:20" x14ac:dyDescent="0.25">
      <c r="A2558" t="str">
        <f>"3077869"</f>
        <v>3077869</v>
      </c>
      <c r="B2558" t="s">
        <v>7803</v>
      </c>
      <c r="C2558" t="str">
        <f t="shared" si="51"/>
        <v>42509300</v>
      </c>
      <c r="D2558" t="s">
        <v>7797</v>
      </c>
      <c r="E2558" t="s">
        <v>7798</v>
      </c>
      <c r="F2558" t="s">
        <v>7799</v>
      </c>
      <c r="I2558" t="s">
        <v>29</v>
      </c>
      <c r="J2558" t="s">
        <v>30</v>
      </c>
      <c r="K2558" t="s">
        <v>7800</v>
      </c>
      <c r="M2558" t="s">
        <v>32</v>
      </c>
      <c r="N2558" t="str">
        <f t="shared" si="52"/>
        <v>1/25/2006 12:00:00 AM</v>
      </c>
      <c r="O2558" t="s">
        <v>7797</v>
      </c>
      <c r="T2558" t="s">
        <v>7798</v>
      </c>
    </row>
    <row r="2559" spans="1:20" x14ac:dyDescent="0.25">
      <c r="A2559" t="str">
        <f>"3077876"</f>
        <v>3077876</v>
      </c>
      <c r="B2559" t="s">
        <v>7804</v>
      </c>
      <c r="C2559" t="str">
        <f t="shared" si="51"/>
        <v>42509300</v>
      </c>
      <c r="D2559" t="s">
        <v>7797</v>
      </c>
      <c r="E2559" t="s">
        <v>7798</v>
      </c>
      <c r="F2559" t="s">
        <v>7799</v>
      </c>
      <c r="I2559" t="s">
        <v>29</v>
      </c>
      <c r="J2559" t="s">
        <v>30</v>
      </c>
      <c r="K2559" t="s">
        <v>7800</v>
      </c>
      <c r="M2559" t="s">
        <v>32</v>
      </c>
      <c r="N2559" t="str">
        <f t="shared" si="52"/>
        <v>1/25/2006 12:00:00 AM</v>
      </c>
      <c r="O2559" t="s">
        <v>7797</v>
      </c>
      <c r="T2559" t="s">
        <v>7798</v>
      </c>
    </row>
    <row r="2560" spans="1:20" x14ac:dyDescent="0.25">
      <c r="A2560" t="str">
        <f>"3077875"</f>
        <v>3077875</v>
      </c>
      <c r="B2560" t="s">
        <v>7805</v>
      </c>
      <c r="C2560" t="str">
        <f t="shared" si="51"/>
        <v>42509300</v>
      </c>
      <c r="D2560" t="s">
        <v>7797</v>
      </c>
      <c r="E2560" t="s">
        <v>7798</v>
      </c>
      <c r="F2560" t="s">
        <v>7799</v>
      </c>
      <c r="I2560" t="s">
        <v>29</v>
      </c>
      <c r="J2560" t="s">
        <v>30</v>
      </c>
      <c r="K2560" t="s">
        <v>7800</v>
      </c>
      <c r="M2560" t="s">
        <v>32</v>
      </c>
      <c r="N2560" t="str">
        <f t="shared" si="52"/>
        <v>1/25/2006 12:00:00 AM</v>
      </c>
      <c r="O2560" t="s">
        <v>7797</v>
      </c>
      <c r="T2560" t="s">
        <v>7798</v>
      </c>
    </row>
    <row r="2561" spans="1:20" x14ac:dyDescent="0.25">
      <c r="A2561" t="str">
        <f>"3069036"</f>
        <v>3069036</v>
      </c>
      <c r="B2561" t="s">
        <v>7806</v>
      </c>
      <c r="C2561" t="str">
        <f t="shared" si="51"/>
        <v>42509300</v>
      </c>
      <c r="D2561" t="s">
        <v>7797</v>
      </c>
      <c r="E2561" t="s">
        <v>7798</v>
      </c>
      <c r="F2561" t="s">
        <v>7799</v>
      </c>
      <c r="I2561" t="s">
        <v>29</v>
      </c>
      <c r="J2561" t="s">
        <v>30</v>
      </c>
      <c r="K2561" t="s">
        <v>7800</v>
      </c>
      <c r="M2561" t="s">
        <v>32</v>
      </c>
      <c r="N2561" t="str">
        <f t="shared" si="52"/>
        <v>1/25/2006 12:00:00 AM</v>
      </c>
      <c r="O2561" t="s">
        <v>7797</v>
      </c>
      <c r="T2561" t="s">
        <v>7798</v>
      </c>
    </row>
    <row r="2562" spans="1:20" x14ac:dyDescent="0.25">
      <c r="A2562" t="str">
        <f>"3043993"</f>
        <v>3043993</v>
      </c>
      <c r="B2562" t="s">
        <v>7807</v>
      </c>
      <c r="C2562" t="str">
        <f>"80576750"</f>
        <v>80576750</v>
      </c>
      <c r="D2562" t="s">
        <v>7768</v>
      </c>
      <c r="E2562" t="s">
        <v>7769</v>
      </c>
      <c r="F2562" t="s">
        <v>7770</v>
      </c>
      <c r="I2562" t="s">
        <v>184</v>
      </c>
      <c r="J2562" t="s">
        <v>30</v>
      </c>
      <c r="K2562" t="s">
        <v>185</v>
      </c>
      <c r="M2562" t="s">
        <v>32</v>
      </c>
      <c r="N2562" t="str">
        <f>"7/16/2004 12:00:00 AM"</f>
        <v>7/16/2004 12:00:00 AM</v>
      </c>
      <c r="O2562" t="s">
        <v>7768</v>
      </c>
      <c r="T2562" t="s">
        <v>7769</v>
      </c>
    </row>
    <row r="2563" spans="1:20" x14ac:dyDescent="0.25">
      <c r="A2563" t="str">
        <f>"3044255"</f>
        <v>3044255</v>
      </c>
      <c r="B2563" t="s">
        <v>7808</v>
      </c>
      <c r="C2563" t="str">
        <f>"33431500"</f>
        <v>33431500</v>
      </c>
      <c r="D2563" t="s">
        <v>1748</v>
      </c>
      <c r="F2563" t="s">
        <v>7809</v>
      </c>
      <c r="I2563" t="s">
        <v>184</v>
      </c>
      <c r="J2563" t="s">
        <v>30</v>
      </c>
      <c r="K2563" t="s">
        <v>185</v>
      </c>
      <c r="M2563" t="s">
        <v>32</v>
      </c>
      <c r="N2563" t="str">
        <f>"9/12/2003 12:00:00 AM"</f>
        <v>9/12/2003 12:00:00 AM</v>
      </c>
      <c r="O2563" t="s">
        <v>1748</v>
      </c>
    </row>
    <row r="2564" spans="1:20" x14ac:dyDescent="0.25">
      <c r="A2564" t="str">
        <f>"3077868"</f>
        <v>3077868</v>
      </c>
      <c r="B2564" t="s">
        <v>7810</v>
      </c>
      <c r="C2564" t="str">
        <f>"29444000"</f>
        <v>29444000</v>
      </c>
      <c r="D2564" t="s">
        <v>7811</v>
      </c>
      <c r="E2564" t="s">
        <v>7812</v>
      </c>
      <c r="F2564" t="s">
        <v>7813</v>
      </c>
      <c r="I2564" t="s">
        <v>29</v>
      </c>
      <c r="J2564" t="s">
        <v>30</v>
      </c>
      <c r="K2564" t="s">
        <v>7814</v>
      </c>
      <c r="M2564" t="s">
        <v>32</v>
      </c>
      <c r="N2564" t="str">
        <f>"1/23/2007 12:00:00 AM"</f>
        <v>1/23/2007 12:00:00 AM</v>
      </c>
      <c r="O2564" t="s">
        <v>7811</v>
      </c>
      <c r="T2564" t="s">
        <v>7812</v>
      </c>
    </row>
    <row r="2565" spans="1:20" x14ac:dyDescent="0.25">
      <c r="A2565" t="str">
        <f>"3062928"</f>
        <v>3062928</v>
      </c>
      <c r="B2565" t="s">
        <v>7815</v>
      </c>
      <c r="C2565" t="str">
        <f>"42540000"</f>
        <v>42540000</v>
      </c>
      <c r="D2565" t="s">
        <v>7816</v>
      </c>
      <c r="E2565" t="s">
        <v>7817</v>
      </c>
      <c r="F2565" t="s">
        <v>7795</v>
      </c>
      <c r="I2565" t="s">
        <v>29</v>
      </c>
      <c r="J2565" t="s">
        <v>30</v>
      </c>
      <c r="K2565" t="s">
        <v>31</v>
      </c>
      <c r="M2565" t="s">
        <v>32</v>
      </c>
      <c r="N2565" t="str">
        <f>"6/19/2009 12:00:00 AM"</f>
        <v>6/19/2009 12:00:00 AM</v>
      </c>
      <c r="O2565" t="s">
        <v>7816</v>
      </c>
      <c r="T2565" t="s">
        <v>7817</v>
      </c>
    </row>
    <row r="2566" spans="1:20" x14ac:dyDescent="0.25">
      <c r="A2566" t="str">
        <f>"3045712"</f>
        <v>3045712</v>
      </c>
      <c r="B2566" t="s">
        <v>7818</v>
      </c>
      <c r="C2566" t="str">
        <f>"42540000"</f>
        <v>42540000</v>
      </c>
      <c r="D2566" t="s">
        <v>7816</v>
      </c>
      <c r="E2566" t="s">
        <v>7817</v>
      </c>
      <c r="F2566" t="s">
        <v>7795</v>
      </c>
      <c r="I2566" t="s">
        <v>29</v>
      </c>
      <c r="J2566" t="s">
        <v>30</v>
      </c>
      <c r="K2566" t="s">
        <v>31</v>
      </c>
      <c r="M2566" t="s">
        <v>32</v>
      </c>
      <c r="N2566" t="str">
        <f>"6/19/2009 12:00:00 AM"</f>
        <v>6/19/2009 12:00:00 AM</v>
      </c>
      <c r="O2566" t="s">
        <v>7816</v>
      </c>
      <c r="T2566" t="s">
        <v>7817</v>
      </c>
    </row>
    <row r="2567" spans="1:20" x14ac:dyDescent="0.25">
      <c r="A2567" t="str">
        <f>"3045734"</f>
        <v>3045734</v>
      </c>
      <c r="B2567" t="s">
        <v>7819</v>
      </c>
      <c r="C2567" t="str">
        <f>"42540000"</f>
        <v>42540000</v>
      </c>
      <c r="D2567" t="s">
        <v>7816</v>
      </c>
      <c r="E2567" t="s">
        <v>7817</v>
      </c>
      <c r="F2567" t="s">
        <v>7795</v>
      </c>
      <c r="I2567" t="s">
        <v>29</v>
      </c>
      <c r="J2567" t="s">
        <v>30</v>
      </c>
      <c r="K2567" t="s">
        <v>31</v>
      </c>
      <c r="M2567" t="s">
        <v>32</v>
      </c>
      <c r="N2567" t="str">
        <f>"6/19/2009 12:00:00 AM"</f>
        <v>6/19/2009 12:00:00 AM</v>
      </c>
      <c r="O2567" t="s">
        <v>7816</v>
      </c>
      <c r="T2567" t="s">
        <v>7817</v>
      </c>
    </row>
    <row r="2568" spans="1:20" x14ac:dyDescent="0.25">
      <c r="A2568" t="str">
        <f>"3059584"</f>
        <v>3059584</v>
      </c>
      <c r="B2568" t="s">
        <v>7820</v>
      </c>
      <c r="C2568" t="str">
        <f>"49220000"</f>
        <v>49220000</v>
      </c>
      <c r="D2568" t="s">
        <v>7821</v>
      </c>
      <c r="E2568" t="s">
        <v>7822</v>
      </c>
      <c r="F2568" t="s">
        <v>7823</v>
      </c>
      <c r="I2568" t="s">
        <v>29</v>
      </c>
      <c r="J2568" t="s">
        <v>30</v>
      </c>
      <c r="K2568" t="s">
        <v>7824</v>
      </c>
      <c r="M2568" t="s">
        <v>32</v>
      </c>
      <c r="N2568" t="str">
        <f>"1/24/2006 12:00:00 AM"</f>
        <v>1/24/2006 12:00:00 AM</v>
      </c>
      <c r="O2568" t="s">
        <v>7821</v>
      </c>
      <c r="T2568" t="s">
        <v>7822</v>
      </c>
    </row>
    <row r="2569" spans="1:20" x14ac:dyDescent="0.25">
      <c r="A2569" t="str">
        <f>"3045557"</f>
        <v>3045557</v>
      </c>
      <c r="B2569" t="s">
        <v>7825</v>
      </c>
      <c r="C2569" t="str">
        <f>"29355500"</f>
        <v>29355500</v>
      </c>
      <c r="D2569" t="s">
        <v>7826</v>
      </c>
      <c r="F2569" t="s">
        <v>7827</v>
      </c>
      <c r="I2569" t="s">
        <v>29</v>
      </c>
      <c r="J2569" t="s">
        <v>30</v>
      </c>
      <c r="K2569" t="s">
        <v>31</v>
      </c>
      <c r="M2569" t="s">
        <v>32</v>
      </c>
      <c r="N2569" t="str">
        <f>"9/2/2003 12:00:00 AM"</f>
        <v>9/2/2003 12:00:00 AM</v>
      </c>
      <c r="O2569" t="s">
        <v>7826</v>
      </c>
    </row>
    <row r="2570" spans="1:20" x14ac:dyDescent="0.25">
      <c r="A2570" t="str">
        <f>"3045526"</f>
        <v>3045526</v>
      </c>
      <c r="B2570" t="s">
        <v>7828</v>
      </c>
      <c r="C2570" t="str">
        <f>"440000"</f>
        <v>440000</v>
      </c>
      <c r="D2570" t="s">
        <v>7829</v>
      </c>
      <c r="E2570" t="s">
        <v>7830</v>
      </c>
      <c r="F2570" t="s">
        <v>7831</v>
      </c>
      <c r="I2570" t="s">
        <v>29</v>
      </c>
      <c r="J2570" t="s">
        <v>30</v>
      </c>
      <c r="K2570" t="s">
        <v>7800</v>
      </c>
      <c r="M2570" t="s">
        <v>32</v>
      </c>
      <c r="N2570" t="str">
        <f>"2/10/2010 12:00:00 AM"</f>
        <v>2/10/2010 12:00:00 AM</v>
      </c>
      <c r="O2570" t="s">
        <v>7829</v>
      </c>
      <c r="T2570" t="s">
        <v>7830</v>
      </c>
    </row>
    <row r="2571" spans="1:20" x14ac:dyDescent="0.25">
      <c r="A2571" t="str">
        <f>"3077886"</f>
        <v>3077886</v>
      </c>
      <c r="B2571" t="s">
        <v>7832</v>
      </c>
      <c r="C2571" t="str">
        <f>"71718000"</f>
        <v>71718000</v>
      </c>
      <c r="D2571" t="s">
        <v>7833</v>
      </c>
      <c r="F2571" t="s">
        <v>7834</v>
      </c>
      <c r="I2571" t="s">
        <v>29</v>
      </c>
      <c r="J2571" t="s">
        <v>30</v>
      </c>
      <c r="K2571" t="s">
        <v>31</v>
      </c>
      <c r="M2571" t="s">
        <v>32</v>
      </c>
      <c r="N2571" t="str">
        <f>"5/30/2002 12:00:00 AM"</f>
        <v>5/30/2002 12:00:00 AM</v>
      </c>
      <c r="O2571" t="s">
        <v>7833</v>
      </c>
    </row>
    <row r="2572" spans="1:20" x14ac:dyDescent="0.25">
      <c r="A2572" t="str">
        <f>"3044328"</f>
        <v>3044328</v>
      </c>
      <c r="B2572" t="s">
        <v>7835</v>
      </c>
      <c r="C2572" t="str">
        <f>"82524138"</f>
        <v>82524138</v>
      </c>
      <c r="D2572" t="s">
        <v>7836</v>
      </c>
      <c r="E2572" t="s">
        <v>7837</v>
      </c>
      <c r="F2572" t="s">
        <v>7838</v>
      </c>
      <c r="I2572" t="s">
        <v>184</v>
      </c>
      <c r="J2572" t="s">
        <v>30</v>
      </c>
      <c r="K2572" t="s">
        <v>7839</v>
      </c>
      <c r="M2572" t="s">
        <v>32</v>
      </c>
      <c r="N2572" t="str">
        <f>"1/12/2007 12:00:00 AM"</f>
        <v>1/12/2007 12:00:00 AM</v>
      </c>
      <c r="O2572" t="s">
        <v>7836</v>
      </c>
      <c r="T2572" t="s">
        <v>7837</v>
      </c>
    </row>
    <row r="2573" spans="1:20" x14ac:dyDescent="0.25">
      <c r="A2573" t="str">
        <f>"3067320"</f>
        <v>3067320</v>
      </c>
      <c r="B2573" t="s">
        <v>7840</v>
      </c>
      <c r="C2573" t="str">
        <f>"82524719"</f>
        <v>82524719</v>
      </c>
      <c r="D2573" t="s">
        <v>7841</v>
      </c>
      <c r="F2573" t="s">
        <v>7842</v>
      </c>
      <c r="I2573" t="s">
        <v>184</v>
      </c>
      <c r="J2573" t="s">
        <v>30</v>
      </c>
      <c r="K2573" t="s">
        <v>185</v>
      </c>
      <c r="M2573" t="s">
        <v>32</v>
      </c>
      <c r="N2573" t="str">
        <f>"6/29/2005 12:00:00 AM"</f>
        <v>6/29/2005 12:00:00 AM</v>
      </c>
      <c r="O2573" t="s">
        <v>7841</v>
      </c>
    </row>
    <row r="2574" spans="1:20" x14ac:dyDescent="0.25">
      <c r="A2574" t="str">
        <f>"3072645"</f>
        <v>3072645</v>
      </c>
      <c r="B2574" t="s">
        <v>7843</v>
      </c>
      <c r="C2574" t="str">
        <f>"82518233"</f>
        <v>82518233</v>
      </c>
      <c r="D2574" t="s">
        <v>7844</v>
      </c>
      <c r="F2574" t="s">
        <v>7845</v>
      </c>
      <c r="I2574" t="s">
        <v>184</v>
      </c>
      <c r="J2574" t="s">
        <v>30</v>
      </c>
      <c r="K2574" t="s">
        <v>185</v>
      </c>
      <c r="M2574" t="s">
        <v>32</v>
      </c>
      <c r="N2574" t="str">
        <f>"11/8/2010 12:00:00 AM"</f>
        <v>11/8/2010 12:00:00 AM</v>
      </c>
      <c r="O2574" t="s">
        <v>7844</v>
      </c>
    </row>
    <row r="2575" spans="1:20" x14ac:dyDescent="0.25">
      <c r="A2575" t="str">
        <f>"3046747"</f>
        <v>3046747</v>
      </c>
      <c r="B2575" t="s">
        <v>7846</v>
      </c>
      <c r="C2575" t="str">
        <f>"82517185"</f>
        <v>82517185</v>
      </c>
      <c r="D2575" t="s">
        <v>7847</v>
      </c>
      <c r="E2575" t="s">
        <v>7848</v>
      </c>
      <c r="F2575" t="s">
        <v>7849</v>
      </c>
      <c r="I2575" t="s">
        <v>184</v>
      </c>
      <c r="J2575" t="s">
        <v>30</v>
      </c>
      <c r="K2575" t="s">
        <v>7850</v>
      </c>
      <c r="M2575" t="s">
        <v>32</v>
      </c>
      <c r="N2575" t="str">
        <f>"1/11/2010 12:00:00 AM"</f>
        <v>1/11/2010 12:00:00 AM</v>
      </c>
      <c r="O2575" t="s">
        <v>7847</v>
      </c>
      <c r="T2575" t="s">
        <v>7848</v>
      </c>
    </row>
    <row r="2576" spans="1:20" x14ac:dyDescent="0.25">
      <c r="A2576" t="str">
        <f>"3045517"</f>
        <v>3045517</v>
      </c>
      <c r="B2576" t="s">
        <v>7851</v>
      </c>
      <c r="C2576" t="str">
        <f>"82527711"</f>
        <v>82527711</v>
      </c>
      <c r="D2576" t="s">
        <v>7852</v>
      </c>
      <c r="F2576" t="str">
        <f>"C/O JENNY ELY"</f>
        <v>C/O JENNY ELY</v>
      </c>
      <c r="G2576" t="s">
        <v>7853</v>
      </c>
      <c r="I2576" t="s">
        <v>29</v>
      </c>
      <c r="J2576" t="s">
        <v>30</v>
      </c>
      <c r="K2576" t="s">
        <v>31</v>
      </c>
      <c r="M2576" t="s">
        <v>32</v>
      </c>
      <c r="N2576" t="str">
        <f>"8/26/2011 12:00:00 AM"</f>
        <v>8/26/2011 12:00:00 AM</v>
      </c>
      <c r="O2576" t="s">
        <v>7852</v>
      </c>
      <c r="T2576" t="s">
        <v>7852</v>
      </c>
    </row>
    <row r="2577" spans="1:20" x14ac:dyDescent="0.25">
      <c r="A2577" t="str">
        <f>"3045485"</f>
        <v>3045485</v>
      </c>
      <c r="B2577" t="s">
        <v>7854</v>
      </c>
      <c r="C2577" t="str">
        <f>"82520889"</f>
        <v>82520889</v>
      </c>
      <c r="D2577" t="s">
        <v>7855</v>
      </c>
      <c r="E2577" t="s">
        <v>7856</v>
      </c>
      <c r="F2577" t="s">
        <v>7857</v>
      </c>
      <c r="I2577" t="s">
        <v>29</v>
      </c>
      <c r="J2577" t="s">
        <v>30</v>
      </c>
      <c r="K2577" t="s">
        <v>7858</v>
      </c>
      <c r="M2577" t="s">
        <v>32</v>
      </c>
      <c r="N2577" t="str">
        <f>"1/30/2006 12:00:00 AM"</f>
        <v>1/30/2006 12:00:00 AM</v>
      </c>
      <c r="O2577" t="s">
        <v>7855</v>
      </c>
      <c r="T2577" t="s">
        <v>7856</v>
      </c>
    </row>
    <row r="2578" spans="1:20" x14ac:dyDescent="0.25">
      <c r="A2578" t="str">
        <f>"3077893"</f>
        <v>3077893</v>
      </c>
      <c r="B2578" t="s">
        <v>7859</v>
      </c>
      <c r="C2578" t="str">
        <f>"82520889"</f>
        <v>82520889</v>
      </c>
      <c r="D2578" t="s">
        <v>7855</v>
      </c>
      <c r="E2578" t="s">
        <v>7856</v>
      </c>
      <c r="F2578" t="s">
        <v>7857</v>
      </c>
      <c r="I2578" t="s">
        <v>29</v>
      </c>
      <c r="J2578" t="s">
        <v>30</v>
      </c>
      <c r="K2578" t="s">
        <v>7858</v>
      </c>
      <c r="M2578" t="s">
        <v>32</v>
      </c>
      <c r="N2578" t="str">
        <f>"1/30/2006 12:00:00 AM"</f>
        <v>1/30/2006 12:00:00 AM</v>
      </c>
      <c r="O2578" t="s">
        <v>7855</v>
      </c>
      <c r="T2578" t="s">
        <v>7856</v>
      </c>
    </row>
    <row r="2579" spans="1:20" x14ac:dyDescent="0.25">
      <c r="A2579" t="str">
        <f>"3078070"</f>
        <v>3078070</v>
      </c>
      <c r="B2579" t="s">
        <v>7860</v>
      </c>
      <c r="C2579" t="str">
        <f>"82520889"</f>
        <v>82520889</v>
      </c>
      <c r="D2579" t="s">
        <v>7855</v>
      </c>
      <c r="E2579" t="s">
        <v>7856</v>
      </c>
      <c r="F2579" t="s">
        <v>7857</v>
      </c>
      <c r="I2579" t="s">
        <v>29</v>
      </c>
      <c r="J2579" t="s">
        <v>30</v>
      </c>
      <c r="K2579" t="s">
        <v>7858</v>
      </c>
      <c r="M2579" t="s">
        <v>32</v>
      </c>
      <c r="N2579" t="str">
        <f>"1/30/2006 12:00:00 AM"</f>
        <v>1/30/2006 12:00:00 AM</v>
      </c>
      <c r="O2579" t="s">
        <v>7855</v>
      </c>
      <c r="T2579" t="s">
        <v>7856</v>
      </c>
    </row>
    <row r="2580" spans="1:20" x14ac:dyDescent="0.25">
      <c r="A2580" t="str">
        <f>"3045275"</f>
        <v>3045275</v>
      </c>
      <c r="B2580" t="s">
        <v>7861</v>
      </c>
      <c r="C2580" t="str">
        <f>"82522853"</f>
        <v>82522853</v>
      </c>
      <c r="D2580" t="s">
        <v>7862</v>
      </c>
      <c r="E2580" t="s">
        <v>7863</v>
      </c>
      <c r="F2580" t="s">
        <v>7864</v>
      </c>
      <c r="I2580" t="s">
        <v>29</v>
      </c>
      <c r="J2580" t="s">
        <v>30</v>
      </c>
      <c r="K2580" t="s">
        <v>7865</v>
      </c>
      <c r="M2580" t="s">
        <v>32</v>
      </c>
      <c r="N2580" t="str">
        <f>"3/2/2005 12:00:00 AM"</f>
        <v>3/2/2005 12:00:00 AM</v>
      </c>
      <c r="O2580" t="s">
        <v>7862</v>
      </c>
      <c r="T2580" t="s">
        <v>7863</v>
      </c>
    </row>
    <row r="2581" spans="1:20" x14ac:dyDescent="0.25">
      <c r="A2581" t="str">
        <f>"3046777"</f>
        <v>3046777</v>
      </c>
      <c r="B2581" t="s">
        <v>7866</v>
      </c>
      <c r="C2581" t="str">
        <f>"82516614"</f>
        <v>82516614</v>
      </c>
      <c r="D2581" t="s">
        <v>7867</v>
      </c>
      <c r="E2581" t="s">
        <v>7868</v>
      </c>
      <c r="F2581" t="s">
        <v>7869</v>
      </c>
      <c r="I2581" t="s">
        <v>184</v>
      </c>
      <c r="J2581" t="s">
        <v>30</v>
      </c>
      <c r="K2581" t="s">
        <v>185</v>
      </c>
      <c r="M2581" t="s">
        <v>32</v>
      </c>
      <c r="N2581" t="str">
        <f>"7/19/2001 12:00:00 AM"</f>
        <v>7/19/2001 12:00:00 AM</v>
      </c>
      <c r="O2581" t="s">
        <v>7867</v>
      </c>
      <c r="T2581" t="s">
        <v>7868</v>
      </c>
    </row>
    <row r="2582" spans="1:20" x14ac:dyDescent="0.25">
      <c r="A2582" t="str">
        <f>"3046775"</f>
        <v>3046775</v>
      </c>
      <c r="B2582" t="s">
        <v>7870</v>
      </c>
      <c r="C2582" t="str">
        <f>"82528755"</f>
        <v>82528755</v>
      </c>
      <c r="D2582" t="s">
        <v>7871</v>
      </c>
      <c r="E2582" t="s">
        <v>7872</v>
      </c>
      <c r="F2582" t="s">
        <v>7873</v>
      </c>
      <c r="I2582" t="s">
        <v>184</v>
      </c>
      <c r="J2582" t="s">
        <v>30</v>
      </c>
      <c r="K2582" t="s">
        <v>185</v>
      </c>
      <c r="M2582" t="s">
        <v>32</v>
      </c>
      <c r="N2582" t="str">
        <f>"10/22/2007 12:00:00 AM"</f>
        <v>10/22/2007 12:00:00 AM</v>
      </c>
      <c r="O2582" t="s">
        <v>7871</v>
      </c>
      <c r="T2582" t="s">
        <v>7872</v>
      </c>
    </row>
    <row r="2583" spans="1:20" x14ac:dyDescent="0.25">
      <c r="A2583" t="str">
        <f>"3045381"</f>
        <v>3045381</v>
      </c>
      <c r="B2583" t="s">
        <v>7874</v>
      </c>
      <c r="C2583" t="str">
        <f>"24228000"</f>
        <v>24228000</v>
      </c>
      <c r="D2583" t="s">
        <v>7875</v>
      </c>
      <c r="E2583" t="s">
        <v>7876</v>
      </c>
      <c r="F2583" t="s">
        <v>7877</v>
      </c>
      <c r="I2583" t="s">
        <v>29</v>
      </c>
      <c r="J2583" t="s">
        <v>30</v>
      </c>
      <c r="K2583" t="s">
        <v>7865</v>
      </c>
      <c r="M2583" t="s">
        <v>32</v>
      </c>
      <c r="N2583" t="str">
        <f>"1/25/2006 12:00:00 AM"</f>
        <v>1/25/2006 12:00:00 AM</v>
      </c>
      <c r="O2583" t="s">
        <v>7875</v>
      </c>
      <c r="T2583" t="s">
        <v>7876</v>
      </c>
    </row>
    <row r="2584" spans="1:20" x14ac:dyDescent="0.25">
      <c r="A2584" t="str">
        <f>"3045570"</f>
        <v>3045570</v>
      </c>
      <c r="B2584" t="s">
        <v>7878</v>
      </c>
      <c r="C2584" t="str">
        <f>"24228000"</f>
        <v>24228000</v>
      </c>
      <c r="D2584" t="s">
        <v>7875</v>
      </c>
      <c r="E2584" t="s">
        <v>7876</v>
      </c>
      <c r="F2584" t="s">
        <v>7877</v>
      </c>
      <c r="I2584" t="s">
        <v>29</v>
      </c>
      <c r="J2584" t="s">
        <v>30</v>
      </c>
      <c r="K2584" t="s">
        <v>7865</v>
      </c>
      <c r="M2584" t="s">
        <v>32</v>
      </c>
      <c r="N2584" t="str">
        <f>"1/25/2006 12:00:00 AM"</f>
        <v>1/25/2006 12:00:00 AM</v>
      </c>
      <c r="O2584" t="s">
        <v>7875</v>
      </c>
      <c r="T2584" t="s">
        <v>7876</v>
      </c>
    </row>
    <row r="2585" spans="1:20" x14ac:dyDescent="0.25">
      <c r="A2585" t="str">
        <f>"3045023"</f>
        <v>3045023</v>
      </c>
      <c r="B2585" t="s">
        <v>7879</v>
      </c>
      <c r="C2585" t="str">
        <f>"24228000"</f>
        <v>24228000</v>
      </c>
      <c r="D2585" t="s">
        <v>7875</v>
      </c>
      <c r="E2585" t="s">
        <v>7876</v>
      </c>
      <c r="F2585" t="s">
        <v>7877</v>
      </c>
      <c r="I2585" t="s">
        <v>29</v>
      </c>
      <c r="J2585" t="s">
        <v>30</v>
      </c>
      <c r="K2585" t="s">
        <v>7865</v>
      </c>
      <c r="M2585" t="s">
        <v>32</v>
      </c>
      <c r="N2585" t="str">
        <f>"1/25/2006 12:00:00 AM"</f>
        <v>1/25/2006 12:00:00 AM</v>
      </c>
      <c r="O2585" t="s">
        <v>7875</v>
      </c>
      <c r="T2585" t="s">
        <v>7876</v>
      </c>
    </row>
    <row r="2586" spans="1:20" x14ac:dyDescent="0.25">
      <c r="A2586" t="str">
        <f>"3045653"</f>
        <v>3045653</v>
      </c>
      <c r="B2586" t="s">
        <v>7880</v>
      </c>
      <c r="C2586" t="str">
        <f>"82518648"</f>
        <v>82518648</v>
      </c>
      <c r="D2586" t="s">
        <v>7881</v>
      </c>
      <c r="F2586" t="s">
        <v>7882</v>
      </c>
      <c r="I2586" t="s">
        <v>29</v>
      </c>
      <c r="J2586" t="s">
        <v>30</v>
      </c>
      <c r="K2586" t="s">
        <v>7883</v>
      </c>
      <c r="M2586" t="s">
        <v>32</v>
      </c>
      <c r="N2586" t="str">
        <f>"1/12/2007 12:00:00 AM"</f>
        <v>1/12/2007 12:00:00 AM</v>
      </c>
      <c r="O2586" t="s">
        <v>7881</v>
      </c>
      <c r="T2586" t="s">
        <v>7881</v>
      </c>
    </row>
    <row r="2587" spans="1:20" x14ac:dyDescent="0.25">
      <c r="A2587" t="str">
        <f>"3044945"</f>
        <v>3044945</v>
      </c>
      <c r="B2587" t="s">
        <v>7884</v>
      </c>
      <c r="C2587" t="str">
        <f>"66308000"</f>
        <v>66308000</v>
      </c>
      <c r="D2587" t="s">
        <v>7885</v>
      </c>
      <c r="E2587" t="s">
        <v>7886</v>
      </c>
      <c r="F2587" t="s">
        <v>7887</v>
      </c>
      <c r="I2587" t="s">
        <v>7888</v>
      </c>
      <c r="J2587" t="s">
        <v>30</v>
      </c>
      <c r="K2587" t="s">
        <v>7889</v>
      </c>
      <c r="M2587" t="s">
        <v>32</v>
      </c>
      <c r="N2587" t="str">
        <f>"5/12/2004 12:00:00 AM"</f>
        <v>5/12/2004 12:00:00 AM</v>
      </c>
      <c r="O2587" t="s">
        <v>7885</v>
      </c>
      <c r="T2587" t="s">
        <v>7886</v>
      </c>
    </row>
    <row r="2588" spans="1:20" x14ac:dyDescent="0.25">
      <c r="A2588" t="str">
        <f>"3044993"</f>
        <v>3044993</v>
      </c>
      <c r="B2588" t="s">
        <v>7890</v>
      </c>
      <c r="C2588" t="str">
        <f>"43544000"</f>
        <v>43544000</v>
      </c>
      <c r="D2588" t="s">
        <v>7891</v>
      </c>
      <c r="F2588" t="s">
        <v>7892</v>
      </c>
      <c r="I2588" t="s">
        <v>29</v>
      </c>
      <c r="J2588" t="s">
        <v>30</v>
      </c>
      <c r="K2588" t="s">
        <v>31</v>
      </c>
      <c r="M2588" t="s">
        <v>32</v>
      </c>
      <c r="N2588" t="str">
        <f>"5/30/2002 12:00:00 AM"</f>
        <v>5/30/2002 12:00:00 AM</v>
      </c>
      <c r="O2588" t="s">
        <v>7891</v>
      </c>
    </row>
    <row r="2589" spans="1:20" x14ac:dyDescent="0.25">
      <c r="A2589" t="str">
        <f>"3045694"</f>
        <v>3045694</v>
      </c>
      <c r="B2589" t="s">
        <v>7893</v>
      </c>
      <c r="C2589" t="str">
        <f>"43544000"</f>
        <v>43544000</v>
      </c>
      <c r="D2589" t="s">
        <v>7891</v>
      </c>
      <c r="F2589" t="s">
        <v>7892</v>
      </c>
      <c r="I2589" t="s">
        <v>29</v>
      </c>
      <c r="J2589" t="s">
        <v>30</v>
      </c>
      <c r="K2589" t="s">
        <v>31</v>
      </c>
      <c r="M2589" t="s">
        <v>32</v>
      </c>
      <c r="N2589" t="str">
        <f>"5/30/2002 12:00:00 AM"</f>
        <v>5/30/2002 12:00:00 AM</v>
      </c>
      <c r="O2589" t="s">
        <v>7891</v>
      </c>
    </row>
    <row r="2590" spans="1:20" x14ac:dyDescent="0.25">
      <c r="A2590" t="str">
        <f>"3045479"</f>
        <v>3045479</v>
      </c>
      <c r="B2590" t="s">
        <v>7894</v>
      </c>
      <c r="C2590" t="str">
        <f>"43544000"</f>
        <v>43544000</v>
      </c>
      <c r="D2590" t="s">
        <v>7891</v>
      </c>
      <c r="F2590" t="s">
        <v>7892</v>
      </c>
      <c r="I2590" t="s">
        <v>29</v>
      </c>
      <c r="J2590" t="s">
        <v>30</v>
      </c>
      <c r="K2590" t="s">
        <v>31</v>
      </c>
      <c r="M2590" t="s">
        <v>32</v>
      </c>
      <c r="N2590" t="str">
        <f>"5/30/2002 12:00:00 AM"</f>
        <v>5/30/2002 12:00:00 AM</v>
      </c>
      <c r="O2590" t="s">
        <v>7891</v>
      </c>
    </row>
    <row r="2591" spans="1:20" x14ac:dyDescent="0.25">
      <c r="A2591" t="str">
        <f>"3045309"</f>
        <v>3045309</v>
      </c>
      <c r="B2591" t="s">
        <v>7895</v>
      </c>
      <c r="C2591" t="str">
        <f>"43544000"</f>
        <v>43544000</v>
      </c>
      <c r="D2591" t="s">
        <v>7891</v>
      </c>
      <c r="F2591" t="s">
        <v>7892</v>
      </c>
      <c r="I2591" t="s">
        <v>29</v>
      </c>
      <c r="J2591" t="s">
        <v>30</v>
      </c>
      <c r="K2591" t="s">
        <v>31</v>
      </c>
      <c r="M2591" t="s">
        <v>32</v>
      </c>
      <c r="N2591" t="str">
        <f>"5/30/2002 12:00:00 AM"</f>
        <v>5/30/2002 12:00:00 AM</v>
      </c>
      <c r="O2591" t="s">
        <v>7891</v>
      </c>
    </row>
    <row r="2592" spans="1:20" x14ac:dyDescent="0.25">
      <c r="A2592" t="str">
        <f>"3059713"</f>
        <v>3059713</v>
      </c>
      <c r="B2592" t="s">
        <v>7896</v>
      </c>
      <c r="C2592" t="str">
        <f>"12954900"</f>
        <v>12954900</v>
      </c>
      <c r="D2592" t="s">
        <v>7897</v>
      </c>
      <c r="E2592" t="s">
        <v>7898</v>
      </c>
      <c r="F2592" t="s">
        <v>7899</v>
      </c>
      <c r="I2592" t="s">
        <v>29</v>
      </c>
      <c r="J2592" t="s">
        <v>30</v>
      </c>
      <c r="K2592" t="s">
        <v>7900</v>
      </c>
      <c r="M2592" t="s">
        <v>32</v>
      </c>
      <c r="N2592" t="str">
        <f>"2/14/2007 12:00:00 AM"</f>
        <v>2/14/2007 12:00:00 AM</v>
      </c>
      <c r="O2592" t="s">
        <v>7897</v>
      </c>
      <c r="T2592" t="s">
        <v>7898</v>
      </c>
    </row>
    <row r="2593" spans="1:20" x14ac:dyDescent="0.25">
      <c r="A2593" t="str">
        <f>"3048320"</f>
        <v>3048320</v>
      </c>
      <c r="B2593" t="s">
        <v>7901</v>
      </c>
      <c r="C2593" t="str">
        <f>"82512949"</f>
        <v>82512949</v>
      </c>
      <c r="D2593" t="s">
        <v>7902</v>
      </c>
      <c r="E2593" t="s">
        <v>7903</v>
      </c>
      <c r="F2593" t="s">
        <v>7904</v>
      </c>
      <c r="I2593" t="s">
        <v>184</v>
      </c>
      <c r="J2593" t="s">
        <v>30</v>
      </c>
      <c r="K2593" t="s">
        <v>7905</v>
      </c>
      <c r="M2593" t="s">
        <v>32</v>
      </c>
      <c r="N2593" t="str">
        <f>"1/10/2008 12:00:00 AM"</f>
        <v>1/10/2008 12:00:00 AM</v>
      </c>
      <c r="O2593" t="s">
        <v>7902</v>
      </c>
      <c r="T2593" t="s">
        <v>7903</v>
      </c>
    </row>
    <row r="2594" spans="1:20" x14ac:dyDescent="0.25">
      <c r="A2594" t="str">
        <f>"3047542"</f>
        <v>3047542</v>
      </c>
      <c r="B2594" t="s">
        <v>7906</v>
      </c>
      <c r="C2594" t="str">
        <f>"33440000"</f>
        <v>33440000</v>
      </c>
      <c r="D2594" t="s">
        <v>7907</v>
      </c>
      <c r="F2594" t="s">
        <v>7908</v>
      </c>
      <c r="I2594" t="s">
        <v>184</v>
      </c>
      <c r="J2594" t="s">
        <v>30</v>
      </c>
      <c r="K2594" t="s">
        <v>185</v>
      </c>
      <c r="M2594" t="s">
        <v>32</v>
      </c>
      <c r="N2594" t="str">
        <f>"9/12/2003 12:00:00 AM"</f>
        <v>9/12/2003 12:00:00 AM</v>
      </c>
      <c r="O2594" t="s">
        <v>7907</v>
      </c>
    </row>
    <row r="2595" spans="1:20" x14ac:dyDescent="0.25">
      <c r="A2595" t="str">
        <f>"3059650"</f>
        <v>3059650</v>
      </c>
      <c r="B2595" t="s">
        <v>7909</v>
      </c>
      <c r="C2595" t="str">
        <f>"82528553"</f>
        <v>82528553</v>
      </c>
      <c r="D2595" t="s">
        <v>7910</v>
      </c>
      <c r="F2595" t="s">
        <v>2422</v>
      </c>
      <c r="I2595" t="s">
        <v>29</v>
      </c>
      <c r="J2595" t="s">
        <v>30</v>
      </c>
      <c r="K2595" t="s">
        <v>31</v>
      </c>
      <c r="M2595" t="s">
        <v>32</v>
      </c>
      <c r="N2595" t="str">
        <f>"9/23/2009 12:00:00 AM"</f>
        <v>9/23/2009 12:00:00 AM</v>
      </c>
      <c r="O2595" t="s">
        <v>7910</v>
      </c>
    </row>
    <row r="2596" spans="1:20" x14ac:dyDescent="0.25">
      <c r="A2596" t="str">
        <f>"3052340"</f>
        <v>3052340</v>
      </c>
      <c r="B2596" t="s">
        <v>7911</v>
      </c>
      <c r="C2596" t="str">
        <f>"82528553"</f>
        <v>82528553</v>
      </c>
      <c r="D2596" t="s">
        <v>7910</v>
      </c>
      <c r="F2596" t="s">
        <v>2422</v>
      </c>
      <c r="I2596" t="s">
        <v>29</v>
      </c>
      <c r="J2596" t="s">
        <v>30</v>
      </c>
      <c r="K2596" t="s">
        <v>31</v>
      </c>
      <c r="M2596" t="s">
        <v>32</v>
      </c>
      <c r="N2596" t="str">
        <f>"9/23/2009 12:00:00 AM"</f>
        <v>9/23/2009 12:00:00 AM</v>
      </c>
      <c r="O2596" t="s">
        <v>7910</v>
      </c>
    </row>
    <row r="2597" spans="1:20" x14ac:dyDescent="0.25">
      <c r="A2597" t="str">
        <f>"3052356"</f>
        <v>3052356</v>
      </c>
      <c r="B2597" t="s">
        <v>7912</v>
      </c>
      <c r="C2597" t="str">
        <f>"82528553"</f>
        <v>82528553</v>
      </c>
      <c r="D2597" t="s">
        <v>7910</v>
      </c>
      <c r="F2597" t="s">
        <v>2422</v>
      </c>
      <c r="I2597" t="s">
        <v>29</v>
      </c>
      <c r="J2597" t="s">
        <v>30</v>
      </c>
      <c r="K2597" t="s">
        <v>31</v>
      </c>
      <c r="M2597" t="s">
        <v>32</v>
      </c>
      <c r="N2597" t="str">
        <f>"9/23/2009 12:00:00 AM"</f>
        <v>9/23/2009 12:00:00 AM</v>
      </c>
      <c r="O2597" t="s">
        <v>7910</v>
      </c>
    </row>
    <row r="2598" spans="1:20" x14ac:dyDescent="0.25">
      <c r="A2598" t="str">
        <f>"3047546"</f>
        <v>3047546</v>
      </c>
      <c r="B2598" t="s">
        <v>7913</v>
      </c>
      <c r="C2598" t="str">
        <f>"80511750"</f>
        <v>80511750</v>
      </c>
      <c r="D2598" t="s">
        <v>7914</v>
      </c>
      <c r="E2598" t="s">
        <v>7915</v>
      </c>
      <c r="F2598" t="s">
        <v>7916</v>
      </c>
      <c r="I2598" t="s">
        <v>7917</v>
      </c>
      <c r="J2598" t="s">
        <v>30</v>
      </c>
      <c r="K2598" t="s">
        <v>7918</v>
      </c>
      <c r="M2598" t="s">
        <v>32</v>
      </c>
      <c r="N2598" t="str">
        <f>"5/30/2002 12:00:00 AM"</f>
        <v>5/30/2002 12:00:00 AM</v>
      </c>
      <c r="O2598" t="s">
        <v>7914</v>
      </c>
      <c r="T2598" t="s">
        <v>7915</v>
      </c>
    </row>
    <row r="2599" spans="1:20" x14ac:dyDescent="0.25">
      <c r="A2599" t="str">
        <f>"3043457"</f>
        <v>3043457</v>
      </c>
      <c r="B2599" t="s">
        <v>7919</v>
      </c>
      <c r="C2599" t="str">
        <f>"54396000"</f>
        <v>54396000</v>
      </c>
      <c r="D2599" t="s">
        <v>7920</v>
      </c>
      <c r="E2599" t="s">
        <v>7921</v>
      </c>
      <c r="F2599" t="s">
        <v>7922</v>
      </c>
      <c r="I2599" t="s">
        <v>29</v>
      </c>
      <c r="J2599" t="s">
        <v>30</v>
      </c>
      <c r="K2599" t="s">
        <v>31</v>
      </c>
      <c r="M2599" t="s">
        <v>32</v>
      </c>
      <c r="N2599" t="str">
        <f>"8/26/2011 12:00:00 AM"</f>
        <v>8/26/2011 12:00:00 AM</v>
      </c>
      <c r="O2599" t="s">
        <v>7920</v>
      </c>
      <c r="T2599" t="s">
        <v>7921</v>
      </c>
    </row>
    <row r="2600" spans="1:20" x14ac:dyDescent="0.25">
      <c r="A2600" t="str">
        <f>"3042913"</f>
        <v>3042913</v>
      </c>
      <c r="B2600" t="s">
        <v>7923</v>
      </c>
      <c r="C2600" t="str">
        <f>"52370000"</f>
        <v>52370000</v>
      </c>
      <c r="D2600" t="s">
        <v>7924</v>
      </c>
      <c r="E2600" t="s">
        <v>7925</v>
      </c>
      <c r="F2600" t="s">
        <v>2610</v>
      </c>
      <c r="I2600" t="s">
        <v>29</v>
      </c>
      <c r="J2600" t="s">
        <v>30</v>
      </c>
      <c r="K2600" t="s">
        <v>2611</v>
      </c>
      <c r="M2600" t="s">
        <v>32</v>
      </c>
      <c r="N2600" t="str">
        <f>"2/15/2005 12:00:00 AM"</f>
        <v>2/15/2005 12:00:00 AM</v>
      </c>
      <c r="O2600" t="s">
        <v>7924</v>
      </c>
      <c r="T2600" t="s">
        <v>7925</v>
      </c>
    </row>
    <row r="2601" spans="1:20" x14ac:dyDescent="0.25">
      <c r="A2601" t="str">
        <f>"3042939"</f>
        <v>3042939</v>
      </c>
      <c r="B2601" t="s">
        <v>7926</v>
      </c>
      <c r="C2601" t="str">
        <f>"52370000"</f>
        <v>52370000</v>
      </c>
      <c r="D2601" t="s">
        <v>7924</v>
      </c>
      <c r="E2601" t="s">
        <v>7925</v>
      </c>
      <c r="F2601" t="s">
        <v>2610</v>
      </c>
      <c r="I2601" t="s">
        <v>29</v>
      </c>
      <c r="J2601" t="s">
        <v>30</v>
      </c>
      <c r="K2601" t="s">
        <v>2611</v>
      </c>
      <c r="M2601" t="s">
        <v>32</v>
      </c>
      <c r="N2601" t="str">
        <f>"2/15/2005 12:00:00 AM"</f>
        <v>2/15/2005 12:00:00 AM</v>
      </c>
      <c r="O2601" t="s">
        <v>7924</v>
      </c>
      <c r="T2601" t="s">
        <v>7925</v>
      </c>
    </row>
    <row r="2602" spans="1:20" x14ac:dyDescent="0.25">
      <c r="A2602" t="str">
        <f>"3042872"</f>
        <v>3042872</v>
      </c>
      <c r="B2602" t="s">
        <v>7927</v>
      </c>
      <c r="C2602" t="str">
        <f>"52370000"</f>
        <v>52370000</v>
      </c>
      <c r="D2602" t="s">
        <v>7924</v>
      </c>
      <c r="E2602" t="s">
        <v>7925</v>
      </c>
      <c r="F2602" t="s">
        <v>2610</v>
      </c>
      <c r="I2602" t="s">
        <v>29</v>
      </c>
      <c r="J2602" t="s">
        <v>30</v>
      </c>
      <c r="K2602" t="s">
        <v>2611</v>
      </c>
      <c r="M2602" t="s">
        <v>32</v>
      </c>
      <c r="N2602" t="str">
        <f>"2/15/2005 12:00:00 AM"</f>
        <v>2/15/2005 12:00:00 AM</v>
      </c>
      <c r="O2602" t="s">
        <v>7924</v>
      </c>
      <c r="T2602" t="s">
        <v>7925</v>
      </c>
    </row>
    <row r="2603" spans="1:20" x14ac:dyDescent="0.25">
      <c r="A2603" t="str">
        <f>"3042904"</f>
        <v>3042904</v>
      </c>
      <c r="B2603" t="s">
        <v>7928</v>
      </c>
      <c r="C2603" t="str">
        <f>"82520997"</f>
        <v>82520997</v>
      </c>
      <c r="D2603" t="s">
        <v>7929</v>
      </c>
      <c r="E2603" t="s">
        <v>7930</v>
      </c>
      <c r="F2603" t="s">
        <v>7931</v>
      </c>
      <c r="I2603" t="s">
        <v>29</v>
      </c>
      <c r="J2603" t="s">
        <v>30</v>
      </c>
      <c r="K2603" t="s">
        <v>31</v>
      </c>
      <c r="M2603" t="s">
        <v>32</v>
      </c>
      <c r="N2603" t="str">
        <f>"6/13/2003 12:00:00 AM"</f>
        <v>6/13/2003 12:00:00 AM</v>
      </c>
      <c r="O2603" t="s">
        <v>7929</v>
      </c>
      <c r="T2603" t="s">
        <v>7930</v>
      </c>
    </row>
    <row r="2604" spans="1:20" x14ac:dyDescent="0.25">
      <c r="A2604" t="str">
        <f>"3047543"</f>
        <v>3047543</v>
      </c>
      <c r="B2604" t="s">
        <v>7932</v>
      </c>
      <c r="C2604" t="str">
        <f>"48106000"</f>
        <v>48106000</v>
      </c>
      <c r="D2604" t="s">
        <v>7933</v>
      </c>
      <c r="F2604" t="s">
        <v>7934</v>
      </c>
      <c r="I2604" t="s">
        <v>184</v>
      </c>
      <c r="J2604" t="s">
        <v>30</v>
      </c>
      <c r="K2604" t="s">
        <v>185</v>
      </c>
      <c r="M2604" t="s">
        <v>32</v>
      </c>
      <c r="N2604" t="str">
        <f>"2/18/2004 12:00:00 AM"</f>
        <v>2/18/2004 12:00:00 AM</v>
      </c>
      <c r="O2604" t="s">
        <v>7933</v>
      </c>
    </row>
    <row r="2605" spans="1:20" x14ac:dyDescent="0.25">
      <c r="A2605" t="str">
        <f>"3070728"</f>
        <v>3070728</v>
      </c>
      <c r="B2605" t="s">
        <v>7935</v>
      </c>
      <c r="C2605" t="str">
        <f>"80432000"</f>
        <v>80432000</v>
      </c>
      <c r="D2605" t="s">
        <v>7936</v>
      </c>
      <c r="F2605" t="s">
        <v>7937</v>
      </c>
      <c r="I2605" t="s">
        <v>29</v>
      </c>
      <c r="J2605" t="s">
        <v>30</v>
      </c>
      <c r="K2605" t="s">
        <v>31</v>
      </c>
      <c r="M2605" t="s">
        <v>32</v>
      </c>
      <c r="N2605" t="str">
        <f>"7/16/2004 12:00:00 AM"</f>
        <v>7/16/2004 12:00:00 AM</v>
      </c>
      <c r="O2605" t="s">
        <v>7936</v>
      </c>
    </row>
    <row r="2606" spans="1:20" x14ac:dyDescent="0.25">
      <c r="A2606" t="str">
        <f>"3043406"</f>
        <v>3043406</v>
      </c>
      <c r="B2606" t="s">
        <v>7938</v>
      </c>
      <c r="C2606" t="str">
        <f>"82517972"</f>
        <v>82517972</v>
      </c>
      <c r="D2606" t="s">
        <v>7939</v>
      </c>
      <c r="E2606" t="s">
        <v>7940</v>
      </c>
      <c r="F2606" t="s">
        <v>7941</v>
      </c>
      <c r="I2606" t="s">
        <v>29</v>
      </c>
      <c r="J2606" t="s">
        <v>30</v>
      </c>
      <c r="K2606" t="s">
        <v>31</v>
      </c>
      <c r="M2606" t="s">
        <v>32</v>
      </c>
      <c r="N2606" t="str">
        <f>"2/28/2002 12:00:00 AM"</f>
        <v>2/28/2002 12:00:00 AM</v>
      </c>
      <c r="O2606" t="s">
        <v>7939</v>
      </c>
      <c r="T2606" t="s">
        <v>7940</v>
      </c>
    </row>
    <row r="2607" spans="1:20" x14ac:dyDescent="0.25">
      <c r="A2607" t="str">
        <f>"3043443"</f>
        <v>3043443</v>
      </c>
      <c r="B2607" t="s">
        <v>7942</v>
      </c>
      <c r="C2607" t="str">
        <f>"82521714"</f>
        <v>82521714</v>
      </c>
      <c r="D2607" t="s">
        <v>7943</v>
      </c>
      <c r="F2607" t="s">
        <v>7944</v>
      </c>
      <c r="I2607" t="s">
        <v>29</v>
      </c>
      <c r="J2607" t="s">
        <v>30</v>
      </c>
      <c r="K2607" t="s">
        <v>31</v>
      </c>
      <c r="M2607" t="s">
        <v>32</v>
      </c>
      <c r="N2607" t="str">
        <f>"11/6/2003 12:00:00 AM"</f>
        <v>11/6/2003 12:00:00 AM</v>
      </c>
      <c r="O2607" t="s">
        <v>7943</v>
      </c>
    </row>
    <row r="2608" spans="1:20" x14ac:dyDescent="0.25">
      <c r="A2608" t="str">
        <f>"3047636"</f>
        <v>3047636</v>
      </c>
      <c r="B2608" t="s">
        <v>7945</v>
      </c>
      <c r="C2608" t="str">
        <f>"41108000"</f>
        <v>41108000</v>
      </c>
      <c r="D2608" t="s">
        <v>7655</v>
      </c>
      <c r="E2608" t="s">
        <v>3812</v>
      </c>
      <c r="F2608" t="s">
        <v>7656</v>
      </c>
      <c r="I2608" t="s">
        <v>184</v>
      </c>
      <c r="J2608" t="s">
        <v>30</v>
      </c>
      <c r="K2608" t="s">
        <v>185</v>
      </c>
      <c r="M2608" t="s">
        <v>32</v>
      </c>
      <c r="N2608" t="str">
        <f>"11/18/2003 12:00:00 AM"</f>
        <v>11/18/2003 12:00:00 AM</v>
      </c>
      <c r="O2608" t="s">
        <v>7655</v>
      </c>
      <c r="T2608" t="s">
        <v>3812</v>
      </c>
    </row>
    <row r="2609" spans="1:20" x14ac:dyDescent="0.25">
      <c r="A2609" t="str">
        <f>"3045588"</f>
        <v>3045588</v>
      </c>
      <c r="B2609" t="s">
        <v>7946</v>
      </c>
      <c r="C2609" t="str">
        <f>"76460810"</f>
        <v>76460810</v>
      </c>
      <c r="D2609" t="s">
        <v>7947</v>
      </c>
      <c r="E2609" t="s">
        <v>7948</v>
      </c>
      <c r="F2609" t="s">
        <v>7949</v>
      </c>
      <c r="I2609" t="s">
        <v>1149</v>
      </c>
      <c r="J2609" t="s">
        <v>30</v>
      </c>
      <c r="K2609" t="s">
        <v>1150</v>
      </c>
      <c r="M2609" t="s">
        <v>32</v>
      </c>
      <c r="N2609" t="str">
        <f>"6/24/2004 12:00:00 AM"</f>
        <v>6/24/2004 12:00:00 AM</v>
      </c>
      <c r="O2609" t="s">
        <v>7947</v>
      </c>
      <c r="T2609" t="s">
        <v>7948</v>
      </c>
    </row>
    <row r="2610" spans="1:20" x14ac:dyDescent="0.25">
      <c r="A2610" t="str">
        <f>"3067531"</f>
        <v>3067531</v>
      </c>
      <c r="B2610" t="s">
        <v>7950</v>
      </c>
      <c r="C2610" t="str">
        <f>"82520865"</f>
        <v>82520865</v>
      </c>
      <c r="D2610" t="s">
        <v>7951</v>
      </c>
      <c r="F2610" t="s">
        <v>7952</v>
      </c>
      <c r="I2610" t="s">
        <v>1149</v>
      </c>
      <c r="J2610" t="s">
        <v>30</v>
      </c>
      <c r="K2610" t="s">
        <v>1150</v>
      </c>
      <c r="M2610" t="s">
        <v>32</v>
      </c>
      <c r="N2610" t="str">
        <f>"11/15/2004 12:00:00 AM"</f>
        <v>11/15/2004 12:00:00 AM</v>
      </c>
      <c r="O2610" t="s">
        <v>7951</v>
      </c>
    </row>
    <row r="2611" spans="1:20" x14ac:dyDescent="0.25">
      <c r="A2611" t="str">
        <f>"3043431"</f>
        <v>3043431</v>
      </c>
      <c r="B2611" t="s">
        <v>7953</v>
      </c>
      <c r="C2611" t="str">
        <f>"15154450"</f>
        <v>15154450</v>
      </c>
      <c r="D2611" t="s">
        <v>7954</v>
      </c>
      <c r="E2611" t="s">
        <v>7955</v>
      </c>
      <c r="F2611" t="s">
        <v>7956</v>
      </c>
      <c r="I2611" t="s">
        <v>29</v>
      </c>
      <c r="J2611" t="s">
        <v>30</v>
      </c>
      <c r="K2611" t="s">
        <v>31</v>
      </c>
      <c r="M2611" t="s">
        <v>32</v>
      </c>
      <c r="N2611" t="str">
        <f>"5/30/2002 12:00:00 AM"</f>
        <v>5/30/2002 12:00:00 AM</v>
      </c>
      <c r="O2611" t="s">
        <v>7954</v>
      </c>
      <c r="T2611" t="s">
        <v>7955</v>
      </c>
    </row>
    <row r="2612" spans="1:20" x14ac:dyDescent="0.25">
      <c r="A2612" t="str">
        <f>"3042693"</f>
        <v>3042693</v>
      </c>
      <c r="B2612" t="s">
        <v>7957</v>
      </c>
      <c r="C2612" t="str">
        <f>"72518000"</f>
        <v>72518000</v>
      </c>
      <c r="D2612" t="s">
        <v>7958</v>
      </c>
      <c r="E2612" t="s">
        <v>7959</v>
      </c>
      <c r="F2612" t="s">
        <v>7960</v>
      </c>
      <c r="I2612" t="s">
        <v>29</v>
      </c>
      <c r="J2612" t="s">
        <v>30</v>
      </c>
      <c r="K2612" t="s">
        <v>31</v>
      </c>
      <c r="M2612" t="s">
        <v>32</v>
      </c>
      <c r="N2612" t="str">
        <f>"6/17/2004 12:00:00 AM"</f>
        <v>6/17/2004 12:00:00 AM</v>
      </c>
      <c r="O2612" t="s">
        <v>7958</v>
      </c>
      <c r="T2612" t="s">
        <v>7959</v>
      </c>
    </row>
    <row r="2613" spans="1:20" x14ac:dyDescent="0.25">
      <c r="A2613" t="str">
        <f>"3042866"</f>
        <v>3042866</v>
      </c>
      <c r="B2613" t="s">
        <v>7961</v>
      </c>
      <c r="C2613" t="str">
        <f>"62423885"</f>
        <v>62423885</v>
      </c>
      <c r="D2613" t="s">
        <v>7962</v>
      </c>
      <c r="E2613" t="s">
        <v>7963</v>
      </c>
      <c r="F2613" t="s">
        <v>7964</v>
      </c>
      <c r="I2613" t="s">
        <v>29</v>
      </c>
      <c r="J2613" t="s">
        <v>30</v>
      </c>
      <c r="K2613" t="s">
        <v>31</v>
      </c>
      <c r="M2613" t="s">
        <v>32</v>
      </c>
      <c r="N2613" t="str">
        <f>"8/26/2011 12:00:00 AM"</f>
        <v>8/26/2011 12:00:00 AM</v>
      </c>
      <c r="O2613" t="s">
        <v>7962</v>
      </c>
      <c r="T2613" t="s">
        <v>7963</v>
      </c>
    </row>
    <row r="2614" spans="1:20" x14ac:dyDescent="0.25">
      <c r="A2614" t="str">
        <f>"3042695"</f>
        <v>3042695</v>
      </c>
      <c r="B2614" t="s">
        <v>7965</v>
      </c>
      <c r="C2614" t="str">
        <f>"47290000"</f>
        <v>47290000</v>
      </c>
      <c r="D2614" t="s">
        <v>7966</v>
      </c>
      <c r="F2614" t="s">
        <v>7967</v>
      </c>
      <c r="I2614" t="s">
        <v>29</v>
      </c>
      <c r="J2614" t="s">
        <v>30</v>
      </c>
      <c r="K2614" t="s">
        <v>31</v>
      </c>
      <c r="M2614" t="s">
        <v>32</v>
      </c>
      <c r="N2614" t="str">
        <f>"12/19/2007 12:00:00 AM"</f>
        <v>12/19/2007 12:00:00 AM</v>
      </c>
      <c r="O2614" t="s">
        <v>7966</v>
      </c>
    </row>
    <row r="2615" spans="1:20" x14ac:dyDescent="0.25">
      <c r="A2615" t="str">
        <f>"3045551"</f>
        <v>3045551</v>
      </c>
      <c r="B2615" t="s">
        <v>7968</v>
      </c>
      <c r="C2615" t="str">
        <f>"9521500"</f>
        <v>9521500</v>
      </c>
      <c r="D2615" t="s">
        <v>7969</v>
      </c>
      <c r="E2615" t="s">
        <v>7970</v>
      </c>
      <c r="F2615" t="s">
        <v>7971</v>
      </c>
      <c r="I2615" t="s">
        <v>29</v>
      </c>
      <c r="J2615" t="s">
        <v>30</v>
      </c>
      <c r="K2615" t="s">
        <v>7972</v>
      </c>
      <c r="M2615" t="s">
        <v>32</v>
      </c>
      <c r="N2615" t="str">
        <f>"1/18/2005 12:00:00 AM"</f>
        <v>1/18/2005 12:00:00 AM</v>
      </c>
      <c r="O2615" t="s">
        <v>7969</v>
      </c>
      <c r="T2615" t="s">
        <v>7970</v>
      </c>
    </row>
    <row r="2616" spans="1:20" x14ac:dyDescent="0.25">
      <c r="A2616" t="str">
        <f>"3045354"</f>
        <v>3045354</v>
      </c>
      <c r="B2616" t="s">
        <v>7973</v>
      </c>
      <c r="C2616" t="str">
        <f>"37740000"</f>
        <v>37740000</v>
      </c>
      <c r="D2616" t="s">
        <v>7974</v>
      </c>
      <c r="E2616" t="s">
        <v>7975</v>
      </c>
      <c r="F2616" t="s">
        <v>7976</v>
      </c>
      <c r="I2616" t="s">
        <v>29</v>
      </c>
      <c r="J2616" t="s">
        <v>30</v>
      </c>
      <c r="K2616" t="s">
        <v>31</v>
      </c>
      <c r="M2616" t="s">
        <v>32</v>
      </c>
      <c r="N2616" t="str">
        <f>"1/6/2004 12:00:00 AM"</f>
        <v>1/6/2004 12:00:00 AM</v>
      </c>
      <c r="O2616" t="s">
        <v>7974</v>
      </c>
      <c r="T2616" t="s">
        <v>7975</v>
      </c>
    </row>
    <row r="2617" spans="1:20" x14ac:dyDescent="0.25">
      <c r="A2617" t="str">
        <f>"3044999"</f>
        <v>3044999</v>
      </c>
      <c r="B2617" t="s">
        <v>7977</v>
      </c>
      <c r="C2617" t="str">
        <f>"37740000"</f>
        <v>37740000</v>
      </c>
      <c r="D2617" t="s">
        <v>7974</v>
      </c>
      <c r="E2617" t="s">
        <v>7975</v>
      </c>
      <c r="F2617" t="s">
        <v>7976</v>
      </c>
      <c r="I2617" t="s">
        <v>29</v>
      </c>
      <c r="J2617" t="s">
        <v>30</v>
      </c>
      <c r="K2617" t="s">
        <v>31</v>
      </c>
      <c r="M2617" t="s">
        <v>32</v>
      </c>
      <c r="N2617" t="str">
        <f>"1/6/2004 12:00:00 AM"</f>
        <v>1/6/2004 12:00:00 AM</v>
      </c>
      <c r="O2617" t="s">
        <v>7974</v>
      </c>
      <c r="T2617" t="s">
        <v>7975</v>
      </c>
    </row>
    <row r="2618" spans="1:20" x14ac:dyDescent="0.25">
      <c r="A2618" t="str">
        <f>"3045057"</f>
        <v>3045057</v>
      </c>
      <c r="B2618" t="s">
        <v>7978</v>
      </c>
      <c r="C2618" t="str">
        <f>"82526490"</f>
        <v>82526490</v>
      </c>
      <c r="D2618" t="s">
        <v>7731</v>
      </c>
      <c r="F2618" t="s">
        <v>7732</v>
      </c>
      <c r="I2618" t="s">
        <v>29</v>
      </c>
      <c r="J2618" t="s">
        <v>30</v>
      </c>
      <c r="K2618" t="s">
        <v>31</v>
      </c>
      <c r="M2618" t="s">
        <v>32</v>
      </c>
      <c r="N2618" t="str">
        <f>"7/24/2006 12:00:00 AM"</f>
        <v>7/24/2006 12:00:00 AM</v>
      </c>
      <c r="O2618" t="s">
        <v>7731</v>
      </c>
    </row>
    <row r="2619" spans="1:20" x14ac:dyDescent="0.25">
      <c r="A2619" t="str">
        <f>"3044064"</f>
        <v>3044064</v>
      </c>
      <c r="B2619" t="s">
        <v>7979</v>
      </c>
      <c r="C2619" t="str">
        <f>"1974500"</f>
        <v>1974500</v>
      </c>
      <c r="D2619" t="s">
        <v>7980</v>
      </c>
      <c r="F2619" t="s">
        <v>7981</v>
      </c>
      <c r="I2619" t="s">
        <v>184</v>
      </c>
      <c r="J2619" t="s">
        <v>30</v>
      </c>
      <c r="K2619" t="s">
        <v>185</v>
      </c>
      <c r="M2619" t="s">
        <v>32</v>
      </c>
      <c r="N2619" t="str">
        <f>"2/21/2003 12:00:00 AM"</f>
        <v>2/21/2003 12:00:00 AM</v>
      </c>
      <c r="O2619" t="s">
        <v>7980</v>
      </c>
    </row>
    <row r="2620" spans="1:20" x14ac:dyDescent="0.25">
      <c r="A2620" t="str">
        <f>"3043854"</f>
        <v>3043854</v>
      </c>
      <c r="B2620" t="s">
        <v>7982</v>
      </c>
      <c r="C2620" t="str">
        <f>"82521002"</f>
        <v>82521002</v>
      </c>
      <c r="D2620" t="s">
        <v>7983</v>
      </c>
      <c r="F2620" t="str">
        <f>"C/O ANNA M HANCOCK"</f>
        <v>C/O ANNA M HANCOCK</v>
      </c>
      <c r="G2620" t="s">
        <v>7707</v>
      </c>
      <c r="I2620" t="s">
        <v>471</v>
      </c>
      <c r="J2620" t="s">
        <v>30</v>
      </c>
      <c r="K2620" t="s">
        <v>7708</v>
      </c>
      <c r="M2620" t="s">
        <v>32</v>
      </c>
      <c r="N2620" t="str">
        <f>"2/13/2009 12:00:00 AM"</f>
        <v>2/13/2009 12:00:00 AM</v>
      </c>
      <c r="O2620" t="s">
        <v>7983</v>
      </c>
    </row>
    <row r="2621" spans="1:20" x14ac:dyDescent="0.25">
      <c r="A2621" t="str">
        <f>"3059744"</f>
        <v>3059744</v>
      </c>
      <c r="B2621" t="s">
        <v>7984</v>
      </c>
      <c r="C2621" t="str">
        <f>"82513217"</f>
        <v>82513217</v>
      </c>
      <c r="D2621" t="s">
        <v>7985</v>
      </c>
      <c r="F2621" t="s">
        <v>7986</v>
      </c>
      <c r="I2621" t="s">
        <v>29</v>
      </c>
      <c r="J2621" t="s">
        <v>30</v>
      </c>
      <c r="K2621" t="s">
        <v>31</v>
      </c>
      <c r="M2621" t="s">
        <v>32</v>
      </c>
      <c r="N2621" t="str">
        <f>"11/20/2001 12:00:00 AM"</f>
        <v>11/20/2001 12:00:00 AM</v>
      </c>
      <c r="O2621" t="s">
        <v>7985</v>
      </c>
    </row>
    <row r="2622" spans="1:20" x14ac:dyDescent="0.25">
      <c r="A2622" t="str">
        <f>"3059658"</f>
        <v>3059658</v>
      </c>
      <c r="B2622" t="s">
        <v>7987</v>
      </c>
      <c r="C2622" t="str">
        <f>"73654750"</f>
        <v>73654750</v>
      </c>
      <c r="D2622" t="s">
        <v>7988</v>
      </c>
      <c r="E2622" t="s">
        <v>7989</v>
      </c>
      <c r="F2622" t="s">
        <v>7990</v>
      </c>
      <c r="I2622" t="s">
        <v>29</v>
      </c>
      <c r="J2622" t="s">
        <v>30</v>
      </c>
      <c r="K2622" t="s">
        <v>31</v>
      </c>
      <c r="M2622" t="s">
        <v>32</v>
      </c>
      <c r="N2622" t="str">
        <f>"6/18/2004 12:00:00 AM"</f>
        <v>6/18/2004 12:00:00 AM</v>
      </c>
      <c r="O2622" t="s">
        <v>7988</v>
      </c>
      <c r="T2622" t="s">
        <v>7989</v>
      </c>
    </row>
    <row r="2623" spans="1:20" x14ac:dyDescent="0.25">
      <c r="A2623" t="str">
        <f>"3059735"</f>
        <v>3059735</v>
      </c>
      <c r="B2623" t="s">
        <v>7991</v>
      </c>
      <c r="C2623" t="str">
        <f>"74995900"</f>
        <v>74995900</v>
      </c>
      <c r="D2623" t="s">
        <v>7992</v>
      </c>
      <c r="E2623" t="s">
        <v>7993</v>
      </c>
      <c r="F2623" t="s">
        <v>7994</v>
      </c>
      <c r="I2623" t="s">
        <v>29</v>
      </c>
      <c r="J2623" t="s">
        <v>30</v>
      </c>
      <c r="K2623" t="s">
        <v>7995</v>
      </c>
      <c r="M2623" t="s">
        <v>32</v>
      </c>
      <c r="N2623" t="str">
        <f>"1/11/2006 12:00:00 AM"</f>
        <v>1/11/2006 12:00:00 AM</v>
      </c>
      <c r="O2623" t="s">
        <v>7992</v>
      </c>
      <c r="T2623" t="s">
        <v>7993</v>
      </c>
    </row>
    <row r="2624" spans="1:20" x14ac:dyDescent="0.25">
      <c r="A2624" t="str">
        <f>"3059647"</f>
        <v>3059647</v>
      </c>
      <c r="B2624" t="s">
        <v>7996</v>
      </c>
      <c r="C2624" t="str">
        <f>"82517014"</f>
        <v>82517014</v>
      </c>
      <c r="D2624" t="s">
        <v>7997</v>
      </c>
      <c r="E2624" t="s">
        <v>7998</v>
      </c>
      <c r="F2624" t="s">
        <v>7999</v>
      </c>
      <c r="I2624" t="s">
        <v>29</v>
      </c>
      <c r="J2624" t="s">
        <v>30</v>
      </c>
      <c r="K2624" t="s">
        <v>31</v>
      </c>
      <c r="M2624" t="s">
        <v>32</v>
      </c>
      <c r="N2624" t="str">
        <f>"11/24/2008 12:00:00 AM"</f>
        <v>11/24/2008 12:00:00 AM</v>
      </c>
      <c r="O2624" t="s">
        <v>7997</v>
      </c>
      <c r="T2624" t="s">
        <v>7998</v>
      </c>
    </row>
    <row r="2625" spans="1:20" x14ac:dyDescent="0.25">
      <c r="A2625" t="str">
        <f>"3059685"</f>
        <v>3059685</v>
      </c>
      <c r="B2625" t="s">
        <v>8000</v>
      </c>
      <c r="C2625" t="str">
        <f>"82524551"</f>
        <v>82524551</v>
      </c>
      <c r="D2625" t="s">
        <v>8001</v>
      </c>
      <c r="E2625" t="s">
        <v>8002</v>
      </c>
      <c r="F2625" t="s">
        <v>8003</v>
      </c>
      <c r="I2625" t="s">
        <v>29</v>
      </c>
      <c r="J2625" t="s">
        <v>30</v>
      </c>
      <c r="K2625" t="s">
        <v>8004</v>
      </c>
      <c r="M2625" t="s">
        <v>32</v>
      </c>
      <c r="N2625" t="str">
        <f>"1/24/2006 12:00:00 AM"</f>
        <v>1/24/2006 12:00:00 AM</v>
      </c>
      <c r="O2625" t="s">
        <v>8001</v>
      </c>
      <c r="T2625" t="s">
        <v>8002</v>
      </c>
    </row>
    <row r="2626" spans="1:20" x14ac:dyDescent="0.25">
      <c r="A2626" t="str">
        <f>"3059736"</f>
        <v>3059736</v>
      </c>
      <c r="B2626" t="s">
        <v>8005</v>
      </c>
      <c r="C2626" t="str">
        <f>"82524551"</f>
        <v>82524551</v>
      </c>
      <c r="D2626" t="s">
        <v>8001</v>
      </c>
      <c r="E2626" t="s">
        <v>8002</v>
      </c>
      <c r="F2626" t="s">
        <v>8003</v>
      </c>
      <c r="I2626" t="s">
        <v>29</v>
      </c>
      <c r="J2626" t="s">
        <v>30</v>
      </c>
      <c r="K2626" t="s">
        <v>8004</v>
      </c>
      <c r="M2626" t="s">
        <v>32</v>
      </c>
      <c r="N2626" t="str">
        <f>"1/24/2006 12:00:00 AM"</f>
        <v>1/24/2006 12:00:00 AM</v>
      </c>
      <c r="O2626" t="s">
        <v>8001</v>
      </c>
      <c r="T2626" t="s">
        <v>8002</v>
      </c>
    </row>
    <row r="2627" spans="1:20" x14ac:dyDescent="0.25">
      <c r="A2627" t="str">
        <f>"3059687"</f>
        <v>3059687</v>
      </c>
      <c r="B2627" t="s">
        <v>8006</v>
      </c>
      <c r="C2627" t="str">
        <f>"16224500"</f>
        <v>16224500</v>
      </c>
      <c r="D2627" t="s">
        <v>8007</v>
      </c>
      <c r="E2627" t="s">
        <v>8008</v>
      </c>
      <c r="F2627" t="s">
        <v>8009</v>
      </c>
      <c r="I2627" t="s">
        <v>29</v>
      </c>
      <c r="J2627" t="s">
        <v>30</v>
      </c>
      <c r="K2627" t="s">
        <v>8004</v>
      </c>
      <c r="M2627" t="s">
        <v>32</v>
      </c>
      <c r="N2627" t="str">
        <f>"1/31/2006 12:00:00 AM"</f>
        <v>1/31/2006 12:00:00 AM</v>
      </c>
      <c r="O2627" t="s">
        <v>8007</v>
      </c>
      <c r="T2627" t="s">
        <v>8008</v>
      </c>
    </row>
    <row r="2628" spans="1:20" x14ac:dyDescent="0.25">
      <c r="A2628" t="str">
        <f>"3059662"</f>
        <v>3059662</v>
      </c>
      <c r="B2628" t="s">
        <v>8010</v>
      </c>
      <c r="C2628" t="str">
        <f>"71024308"</f>
        <v>71024308</v>
      </c>
      <c r="D2628" t="s">
        <v>8011</v>
      </c>
      <c r="E2628" t="s">
        <v>8012</v>
      </c>
      <c r="F2628" t="s">
        <v>8013</v>
      </c>
      <c r="I2628" t="s">
        <v>29</v>
      </c>
      <c r="J2628" t="s">
        <v>30</v>
      </c>
      <c r="K2628" t="s">
        <v>31</v>
      </c>
      <c r="M2628" t="s">
        <v>32</v>
      </c>
      <c r="N2628" t="str">
        <f>"5/24/2004 12:00:00 AM"</f>
        <v>5/24/2004 12:00:00 AM</v>
      </c>
      <c r="O2628" t="s">
        <v>8011</v>
      </c>
      <c r="T2628" t="s">
        <v>8012</v>
      </c>
    </row>
    <row r="2629" spans="1:20" x14ac:dyDescent="0.25">
      <c r="A2629" t="str">
        <f>"3044263"</f>
        <v>3044263</v>
      </c>
      <c r="B2629" t="s">
        <v>8014</v>
      </c>
      <c r="C2629" t="str">
        <f>"82527842"</f>
        <v>82527842</v>
      </c>
      <c r="D2629" t="s">
        <v>8015</v>
      </c>
      <c r="F2629" t="s">
        <v>8016</v>
      </c>
      <c r="I2629" t="s">
        <v>184</v>
      </c>
      <c r="J2629" t="s">
        <v>30</v>
      </c>
      <c r="K2629" t="s">
        <v>8017</v>
      </c>
      <c r="M2629" t="s">
        <v>32</v>
      </c>
      <c r="N2629" t="str">
        <f>"9/3/2008 12:00:00 AM"</f>
        <v>9/3/2008 12:00:00 AM</v>
      </c>
      <c r="O2629" t="s">
        <v>8015</v>
      </c>
    </row>
    <row r="2630" spans="1:20" x14ac:dyDescent="0.25">
      <c r="A2630" t="str">
        <f>"3077643"</f>
        <v>3077643</v>
      </c>
      <c r="B2630" t="s">
        <v>8018</v>
      </c>
      <c r="C2630" t="str">
        <f>"21686000"</f>
        <v>21686000</v>
      </c>
      <c r="D2630" t="s">
        <v>8019</v>
      </c>
      <c r="E2630" t="s">
        <v>8020</v>
      </c>
      <c r="F2630" t="s">
        <v>8021</v>
      </c>
      <c r="I2630" t="s">
        <v>29</v>
      </c>
      <c r="J2630" t="s">
        <v>30</v>
      </c>
      <c r="K2630" t="s">
        <v>31</v>
      </c>
      <c r="M2630" t="s">
        <v>32</v>
      </c>
      <c r="N2630" t="str">
        <f>"7/22/2003 12:00:00 AM"</f>
        <v>7/22/2003 12:00:00 AM</v>
      </c>
      <c r="O2630" t="s">
        <v>8019</v>
      </c>
      <c r="T2630" t="s">
        <v>8020</v>
      </c>
    </row>
    <row r="2631" spans="1:20" x14ac:dyDescent="0.25">
      <c r="A2631" t="str">
        <f>"3045524"</f>
        <v>3045524</v>
      </c>
      <c r="B2631" t="s">
        <v>8022</v>
      </c>
      <c r="C2631" t="str">
        <f>"82525005"</f>
        <v>82525005</v>
      </c>
      <c r="D2631" t="s">
        <v>8023</v>
      </c>
      <c r="E2631" t="s">
        <v>8024</v>
      </c>
      <c r="F2631" t="s">
        <v>8025</v>
      </c>
      <c r="I2631" t="s">
        <v>29</v>
      </c>
      <c r="J2631" t="s">
        <v>30</v>
      </c>
      <c r="K2631" t="s">
        <v>8026</v>
      </c>
      <c r="M2631" t="s">
        <v>32</v>
      </c>
      <c r="N2631" t="str">
        <f>"1/21/2010 12:00:00 AM"</f>
        <v>1/21/2010 12:00:00 AM</v>
      </c>
      <c r="O2631" t="s">
        <v>8023</v>
      </c>
      <c r="T2631" t="s">
        <v>8024</v>
      </c>
    </row>
    <row r="2632" spans="1:20" x14ac:dyDescent="0.25">
      <c r="A2632" t="str">
        <f>"3059670"</f>
        <v>3059670</v>
      </c>
      <c r="B2632" t="s">
        <v>8027</v>
      </c>
      <c r="C2632" t="str">
        <f>"82514237"</f>
        <v>82514237</v>
      </c>
      <c r="D2632" t="s">
        <v>8028</v>
      </c>
      <c r="E2632" t="s">
        <v>8029</v>
      </c>
      <c r="F2632" t="s">
        <v>8030</v>
      </c>
      <c r="I2632" t="s">
        <v>29</v>
      </c>
      <c r="J2632" t="s">
        <v>30</v>
      </c>
      <c r="K2632" t="s">
        <v>8031</v>
      </c>
      <c r="M2632" t="s">
        <v>32</v>
      </c>
      <c r="N2632" t="str">
        <f>"7/26/2004 12:00:00 AM"</f>
        <v>7/26/2004 12:00:00 AM</v>
      </c>
      <c r="O2632" t="s">
        <v>8028</v>
      </c>
      <c r="T2632" t="s">
        <v>8029</v>
      </c>
    </row>
    <row r="2633" spans="1:20" x14ac:dyDescent="0.25">
      <c r="A2633" t="str">
        <f>"3047926"</f>
        <v>3047926</v>
      </c>
      <c r="B2633" t="s">
        <v>8032</v>
      </c>
      <c r="C2633" t="str">
        <f>"80206750"</f>
        <v>80206750</v>
      </c>
      <c r="D2633" t="s">
        <v>8033</v>
      </c>
      <c r="F2633" t="s">
        <v>8034</v>
      </c>
      <c r="I2633" t="s">
        <v>29</v>
      </c>
      <c r="J2633" t="s">
        <v>30</v>
      </c>
      <c r="K2633" t="s">
        <v>31</v>
      </c>
      <c r="M2633" t="s">
        <v>32</v>
      </c>
      <c r="N2633" t="str">
        <f>"12/21/2004 12:00:00 AM"</f>
        <v>12/21/2004 12:00:00 AM</v>
      </c>
      <c r="O2633" t="s">
        <v>8033</v>
      </c>
    </row>
    <row r="2634" spans="1:20" x14ac:dyDescent="0.25">
      <c r="A2634" t="str">
        <f>"3077878"</f>
        <v>3077878</v>
      </c>
      <c r="B2634" t="s">
        <v>8035</v>
      </c>
      <c r="C2634" t="str">
        <f>"29444000"</f>
        <v>29444000</v>
      </c>
      <c r="D2634" t="s">
        <v>7811</v>
      </c>
      <c r="E2634" t="s">
        <v>7812</v>
      </c>
      <c r="F2634" t="s">
        <v>7813</v>
      </c>
      <c r="I2634" t="s">
        <v>29</v>
      </c>
      <c r="J2634" t="s">
        <v>30</v>
      </c>
      <c r="K2634" t="s">
        <v>7814</v>
      </c>
      <c r="M2634" t="s">
        <v>32</v>
      </c>
      <c r="N2634" t="str">
        <f>"1/23/2007 12:00:00 AM"</f>
        <v>1/23/2007 12:00:00 AM</v>
      </c>
      <c r="O2634" t="s">
        <v>7811</v>
      </c>
      <c r="T2634" t="s">
        <v>7812</v>
      </c>
    </row>
    <row r="2635" spans="1:20" x14ac:dyDescent="0.25">
      <c r="A2635" t="str">
        <f>"3077877"</f>
        <v>3077877</v>
      </c>
      <c r="B2635" t="s">
        <v>8036</v>
      </c>
      <c r="C2635" t="str">
        <f>"29444000"</f>
        <v>29444000</v>
      </c>
      <c r="D2635" t="s">
        <v>7811</v>
      </c>
      <c r="E2635" t="s">
        <v>7812</v>
      </c>
      <c r="F2635" t="s">
        <v>7813</v>
      </c>
      <c r="I2635" t="s">
        <v>29</v>
      </c>
      <c r="J2635" t="s">
        <v>30</v>
      </c>
      <c r="K2635" t="s">
        <v>7814</v>
      </c>
      <c r="M2635" t="s">
        <v>32</v>
      </c>
      <c r="N2635" t="str">
        <f>"1/23/2007 12:00:00 AM"</f>
        <v>1/23/2007 12:00:00 AM</v>
      </c>
      <c r="O2635" t="s">
        <v>7811</v>
      </c>
      <c r="T2635" t="s">
        <v>7812</v>
      </c>
    </row>
    <row r="2636" spans="1:20" x14ac:dyDescent="0.25">
      <c r="A2636" t="str">
        <f>"3045288"</f>
        <v>3045288</v>
      </c>
      <c r="B2636" t="s">
        <v>8037</v>
      </c>
      <c r="C2636" t="str">
        <f>"71812000"</f>
        <v>71812000</v>
      </c>
      <c r="D2636" t="s">
        <v>8038</v>
      </c>
      <c r="E2636" t="s">
        <v>7833</v>
      </c>
      <c r="F2636" t="s">
        <v>8039</v>
      </c>
      <c r="I2636" t="s">
        <v>29</v>
      </c>
      <c r="J2636" t="s">
        <v>30</v>
      </c>
      <c r="K2636" t="s">
        <v>31</v>
      </c>
      <c r="M2636" t="s">
        <v>32</v>
      </c>
      <c r="N2636" t="str">
        <f>"6/15/2004 12:00:00 AM"</f>
        <v>6/15/2004 12:00:00 AM</v>
      </c>
      <c r="O2636" t="s">
        <v>8038</v>
      </c>
      <c r="T2636" t="s">
        <v>7833</v>
      </c>
    </row>
    <row r="2637" spans="1:20" x14ac:dyDescent="0.25">
      <c r="A2637" t="str">
        <f>"3047929"</f>
        <v>3047929</v>
      </c>
      <c r="B2637" t="s">
        <v>8040</v>
      </c>
      <c r="C2637" t="str">
        <f>"82512961"</f>
        <v>82512961</v>
      </c>
      <c r="D2637" t="s">
        <v>8041</v>
      </c>
      <c r="E2637" t="s">
        <v>8042</v>
      </c>
      <c r="F2637" t="s">
        <v>8043</v>
      </c>
      <c r="I2637" t="s">
        <v>29</v>
      </c>
      <c r="J2637" t="s">
        <v>30</v>
      </c>
      <c r="K2637" t="s">
        <v>8044</v>
      </c>
      <c r="M2637" t="s">
        <v>32</v>
      </c>
      <c r="N2637" t="str">
        <f>"2/23/2005 12:00:00 AM"</f>
        <v>2/23/2005 12:00:00 AM</v>
      </c>
      <c r="O2637" t="s">
        <v>8041</v>
      </c>
      <c r="T2637" t="s">
        <v>8042</v>
      </c>
    </row>
    <row r="2638" spans="1:20" x14ac:dyDescent="0.25">
      <c r="A2638" t="str">
        <f>"3070343"</f>
        <v>3070343</v>
      </c>
      <c r="B2638" t="s">
        <v>8045</v>
      </c>
      <c r="C2638" t="str">
        <f>"71168000"</f>
        <v>71168000</v>
      </c>
      <c r="D2638" t="s">
        <v>8046</v>
      </c>
      <c r="F2638" t="s">
        <v>8047</v>
      </c>
      <c r="I2638" t="s">
        <v>29</v>
      </c>
      <c r="J2638" t="s">
        <v>30</v>
      </c>
      <c r="K2638" t="s">
        <v>31</v>
      </c>
      <c r="M2638" t="s">
        <v>32</v>
      </c>
      <c r="N2638" t="str">
        <f>"5/31/2002 12:00:00 AM"</f>
        <v>5/31/2002 12:00:00 AM</v>
      </c>
      <c r="O2638" t="s">
        <v>8046</v>
      </c>
    </row>
    <row r="2639" spans="1:20" x14ac:dyDescent="0.25">
      <c r="A2639" t="str">
        <f>"3067536"</f>
        <v>3067536</v>
      </c>
      <c r="B2639" t="s">
        <v>8048</v>
      </c>
      <c r="C2639" t="str">
        <f>"82524553"</f>
        <v>82524553</v>
      </c>
      <c r="D2639" t="s">
        <v>8049</v>
      </c>
      <c r="F2639" t="s">
        <v>8050</v>
      </c>
      <c r="I2639" t="s">
        <v>29</v>
      </c>
      <c r="J2639" t="s">
        <v>30</v>
      </c>
      <c r="K2639" t="s">
        <v>31</v>
      </c>
      <c r="M2639" t="s">
        <v>32</v>
      </c>
      <c r="N2639" t="str">
        <f>"1/23/2007 12:00:00 AM"</f>
        <v>1/23/2007 12:00:00 AM</v>
      </c>
      <c r="O2639" t="s">
        <v>8049</v>
      </c>
    </row>
    <row r="2640" spans="1:20" x14ac:dyDescent="0.25">
      <c r="A2640" t="str">
        <f>"3061999"</f>
        <v>3061999</v>
      </c>
      <c r="B2640" t="s">
        <v>8051</v>
      </c>
      <c r="C2640" t="str">
        <f>"82524553"</f>
        <v>82524553</v>
      </c>
      <c r="D2640" t="s">
        <v>8049</v>
      </c>
      <c r="F2640" t="s">
        <v>8050</v>
      </c>
      <c r="I2640" t="s">
        <v>29</v>
      </c>
      <c r="J2640" t="s">
        <v>30</v>
      </c>
      <c r="K2640" t="s">
        <v>31</v>
      </c>
      <c r="M2640" t="s">
        <v>32</v>
      </c>
      <c r="N2640" t="str">
        <f>"1/23/2007 12:00:00 AM"</f>
        <v>1/23/2007 12:00:00 AM</v>
      </c>
      <c r="O2640" t="s">
        <v>8049</v>
      </c>
    </row>
    <row r="2641" spans="1:20" x14ac:dyDescent="0.25">
      <c r="A2641" t="str">
        <f>"3059678"</f>
        <v>3059678</v>
      </c>
      <c r="B2641" t="s">
        <v>8052</v>
      </c>
      <c r="C2641" t="str">
        <f>"82527137"</f>
        <v>82527137</v>
      </c>
      <c r="D2641" t="s">
        <v>8053</v>
      </c>
      <c r="E2641" t="s">
        <v>8054</v>
      </c>
      <c r="F2641" t="s">
        <v>8055</v>
      </c>
      <c r="I2641" t="s">
        <v>29</v>
      </c>
      <c r="J2641" t="s">
        <v>30</v>
      </c>
      <c r="K2641" t="s">
        <v>31</v>
      </c>
      <c r="M2641" t="s">
        <v>32</v>
      </c>
      <c r="N2641" t="str">
        <f>"1/26/2007 12:00:00 AM"</f>
        <v>1/26/2007 12:00:00 AM</v>
      </c>
      <c r="O2641" t="s">
        <v>8053</v>
      </c>
      <c r="T2641" t="s">
        <v>8054</v>
      </c>
    </row>
    <row r="2642" spans="1:20" x14ac:dyDescent="0.25">
      <c r="A2642" t="str">
        <f>"3059694"</f>
        <v>3059694</v>
      </c>
      <c r="B2642" t="s">
        <v>8056</v>
      </c>
      <c r="C2642" t="str">
        <f>"82514788"</f>
        <v>82514788</v>
      </c>
      <c r="D2642" t="s">
        <v>8057</v>
      </c>
      <c r="E2642" t="s">
        <v>8058</v>
      </c>
      <c r="F2642" t="s">
        <v>8059</v>
      </c>
      <c r="I2642" t="s">
        <v>29</v>
      </c>
      <c r="J2642" t="s">
        <v>30</v>
      </c>
      <c r="K2642" t="s">
        <v>31</v>
      </c>
      <c r="M2642" t="s">
        <v>32</v>
      </c>
      <c r="N2642" t="str">
        <f>"7/27/2004 12:00:00 AM"</f>
        <v>7/27/2004 12:00:00 AM</v>
      </c>
      <c r="O2642" t="s">
        <v>8057</v>
      </c>
      <c r="T2642" t="s">
        <v>8058</v>
      </c>
    </row>
    <row r="2643" spans="1:20" x14ac:dyDescent="0.25">
      <c r="A2643" t="str">
        <f>"3045567"</f>
        <v>3045567</v>
      </c>
      <c r="B2643" t="s">
        <v>8060</v>
      </c>
      <c r="C2643" t="str">
        <f>"82529938"</f>
        <v>82529938</v>
      </c>
      <c r="D2643" t="s">
        <v>8061</v>
      </c>
      <c r="F2643" t="s">
        <v>8062</v>
      </c>
      <c r="I2643" t="s">
        <v>29</v>
      </c>
      <c r="J2643" t="s">
        <v>30</v>
      </c>
      <c r="K2643" t="s">
        <v>31</v>
      </c>
      <c r="M2643" t="s">
        <v>32</v>
      </c>
      <c r="N2643" t="str">
        <f>"2/3/2009 12:00:00 AM"</f>
        <v>2/3/2009 12:00:00 AM</v>
      </c>
      <c r="O2643" t="s">
        <v>8061</v>
      </c>
    </row>
    <row r="2644" spans="1:20" x14ac:dyDescent="0.25">
      <c r="A2644" t="str">
        <f>"3059740"</f>
        <v>3059740</v>
      </c>
      <c r="B2644" t="s">
        <v>8063</v>
      </c>
      <c r="C2644" t="str">
        <f>"82518729"</f>
        <v>82518729</v>
      </c>
      <c r="D2644" t="s">
        <v>8064</v>
      </c>
      <c r="E2644" t="s">
        <v>8065</v>
      </c>
      <c r="F2644" t="s">
        <v>8066</v>
      </c>
      <c r="I2644" t="s">
        <v>29</v>
      </c>
      <c r="J2644" t="s">
        <v>30</v>
      </c>
      <c r="K2644" t="s">
        <v>8067</v>
      </c>
      <c r="M2644" t="s">
        <v>32</v>
      </c>
      <c r="N2644" t="str">
        <f>"3/7/2005 12:00:00 AM"</f>
        <v>3/7/2005 12:00:00 AM</v>
      </c>
      <c r="O2644" t="s">
        <v>8064</v>
      </c>
      <c r="T2644" t="s">
        <v>8065</v>
      </c>
    </row>
    <row r="2645" spans="1:20" x14ac:dyDescent="0.25">
      <c r="A2645" t="str">
        <f>"3048705"</f>
        <v>3048705</v>
      </c>
      <c r="B2645" t="s">
        <v>8068</v>
      </c>
      <c r="C2645" t="str">
        <f>"21486100"</f>
        <v>21486100</v>
      </c>
      <c r="D2645" t="s">
        <v>8069</v>
      </c>
      <c r="F2645" t="s">
        <v>8070</v>
      </c>
      <c r="I2645" t="s">
        <v>29</v>
      </c>
      <c r="J2645" t="s">
        <v>30</v>
      </c>
      <c r="K2645" t="s">
        <v>31</v>
      </c>
      <c r="M2645" t="s">
        <v>32</v>
      </c>
      <c r="N2645" t="str">
        <f>"7/22/2003 12:00:00 AM"</f>
        <v>7/22/2003 12:00:00 AM</v>
      </c>
      <c r="O2645" t="s">
        <v>8069</v>
      </c>
    </row>
    <row r="2646" spans="1:20" x14ac:dyDescent="0.25">
      <c r="A2646" t="str">
        <f>"3048379"</f>
        <v>3048379</v>
      </c>
      <c r="B2646" t="s">
        <v>8071</v>
      </c>
      <c r="C2646" t="str">
        <f>"82517947"</f>
        <v>82517947</v>
      </c>
      <c r="D2646" t="s">
        <v>8072</v>
      </c>
      <c r="F2646" t="s">
        <v>8073</v>
      </c>
      <c r="I2646" t="s">
        <v>29</v>
      </c>
      <c r="J2646" t="s">
        <v>30</v>
      </c>
      <c r="K2646" t="s">
        <v>31</v>
      </c>
      <c r="M2646" t="s">
        <v>32</v>
      </c>
      <c r="N2646" t="str">
        <f>"9/16/2005 12:00:00 AM"</f>
        <v>9/16/2005 12:00:00 AM</v>
      </c>
      <c r="O2646" t="s">
        <v>8072</v>
      </c>
    </row>
    <row r="2647" spans="1:20" x14ac:dyDescent="0.25">
      <c r="A2647" t="str">
        <f>"3049318"</f>
        <v>3049318</v>
      </c>
      <c r="B2647" t="s">
        <v>8074</v>
      </c>
      <c r="C2647" t="str">
        <f>"82517947"</f>
        <v>82517947</v>
      </c>
      <c r="D2647" t="s">
        <v>8072</v>
      </c>
      <c r="F2647" t="s">
        <v>8073</v>
      </c>
      <c r="I2647" t="s">
        <v>29</v>
      </c>
      <c r="J2647" t="s">
        <v>30</v>
      </c>
      <c r="K2647" t="s">
        <v>31</v>
      </c>
      <c r="M2647" t="s">
        <v>32</v>
      </c>
      <c r="N2647" t="str">
        <f>"9/16/2005 12:00:00 AM"</f>
        <v>9/16/2005 12:00:00 AM</v>
      </c>
      <c r="O2647" t="s">
        <v>8072</v>
      </c>
    </row>
    <row r="2648" spans="1:20" x14ac:dyDescent="0.25">
      <c r="A2648" t="str">
        <f>"3057770"</f>
        <v>3057770</v>
      </c>
      <c r="B2648" t="s">
        <v>8075</v>
      </c>
      <c r="C2648" t="str">
        <f>"82517947"</f>
        <v>82517947</v>
      </c>
      <c r="D2648" t="s">
        <v>8072</v>
      </c>
      <c r="F2648" t="s">
        <v>8073</v>
      </c>
      <c r="I2648" t="s">
        <v>29</v>
      </c>
      <c r="J2648" t="s">
        <v>30</v>
      </c>
      <c r="K2648" t="s">
        <v>31</v>
      </c>
      <c r="M2648" t="s">
        <v>32</v>
      </c>
      <c r="N2648" t="str">
        <f>"9/16/2005 12:00:00 AM"</f>
        <v>9/16/2005 12:00:00 AM</v>
      </c>
      <c r="O2648" t="s">
        <v>8072</v>
      </c>
    </row>
    <row r="2649" spans="1:20" x14ac:dyDescent="0.25">
      <c r="A2649" t="str">
        <f>"3045149"</f>
        <v>3045149</v>
      </c>
      <c r="B2649" t="s">
        <v>8076</v>
      </c>
      <c r="C2649" t="str">
        <f>"82529938"</f>
        <v>82529938</v>
      </c>
      <c r="D2649" t="s">
        <v>8061</v>
      </c>
      <c r="F2649" t="s">
        <v>8062</v>
      </c>
      <c r="I2649" t="s">
        <v>29</v>
      </c>
      <c r="J2649" t="s">
        <v>30</v>
      </c>
      <c r="K2649" t="s">
        <v>31</v>
      </c>
      <c r="M2649" t="s">
        <v>32</v>
      </c>
      <c r="N2649" t="str">
        <f>"2/3/2009 12:00:00 AM"</f>
        <v>2/3/2009 12:00:00 AM</v>
      </c>
      <c r="O2649" t="s">
        <v>8061</v>
      </c>
    </row>
    <row r="2650" spans="1:20" x14ac:dyDescent="0.25">
      <c r="A2650" t="str">
        <f>"3045395"</f>
        <v>3045395</v>
      </c>
      <c r="B2650" t="s">
        <v>8077</v>
      </c>
      <c r="C2650" t="str">
        <f>"7772000"</f>
        <v>7772000</v>
      </c>
      <c r="D2650" t="s">
        <v>8078</v>
      </c>
      <c r="E2650" t="s">
        <v>8079</v>
      </c>
      <c r="F2650" t="s">
        <v>8080</v>
      </c>
      <c r="I2650" t="s">
        <v>29</v>
      </c>
      <c r="J2650" t="s">
        <v>30</v>
      </c>
      <c r="K2650" t="s">
        <v>8081</v>
      </c>
      <c r="M2650" t="s">
        <v>32</v>
      </c>
      <c r="N2650" t="str">
        <f>"1/3/2006 12:00:00 AM"</f>
        <v>1/3/2006 12:00:00 AM</v>
      </c>
      <c r="O2650" t="s">
        <v>8078</v>
      </c>
      <c r="T2650" t="s">
        <v>8079</v>
      </c>
    </row>
    <row r="2651" spans="1:20" x14ac:dyDescent="0.25">
      <c r="A2651" t="str">
        <f>"3045249"</f>
        <v>3045249</v>
      </c>
      <c r="B2651" t="s">
        <v>8082</v>
      </c>
      <c r="C2651" t="str">
        <f>"24228000"</f>
        <v>24228000</v>
      </c>
      <c r="D2651" t="s">
        <v>7875</v>
      </c>
      <c r="E2651" t="s">
        <v>7876</v>
      </c>
      <c r="F2651" t="s">
        <v>7877</v>
      </c>
      <c r="I2651" t="s">
        <v>29</v>
      </c>
      <c r="J2651" t="s">
        <v>30</v>
      </c>
      <c r="K2651" t="s">
        <v>7865</v>
      </c>
      <c r="M2651" t="s">
        <v>32</v>
      </c>
      <c r="N2651" t="str">
        <f>"1/25/2006 12:00:00 AM"</f>
        <v>1/25/2006 12:00:00 AM</v>
      </c>
      <c r="O2651" t="s">
        <v>7875</v>
      </c>
      <c r="T2651" t="s">
        <v>7876</v>
      </c>
    </row>
    <row r="2652" spans="1:20" x14ac:dyDescent="0.25">
      <c r="A2652" t="str">
        <f>"3045172"</f>
        <v>3045172</v>
      </c>
      <c r="B2652" t="s">
        <v>8083</v>
      </c>
      <c r="C2652" t="str">
        <f>"24228000"</f>
        <v>24228000</v>
      </c>
      <c r="D2652" t="s">
        <v>7875</v>
      </c>
      <c r="E2652" t="s">
        <v>7876</v>
      </c>
      <c r="F2652" t="s">
        <v>7877</v>
      </c>
      <c r="I2652" t="s">
        <v>29</v>
      </c>
      <c r="J2652" t="s">
        <v>30</v>
      </c>
      <c r="K2652" t="s">
        <v>7865</v>
      </c>
      <c r="M2652" t="s">
        <v>32</v>
      </c>
      <c r="N2652" t="str">
        <f>"1/25/2006 12:00:00 AM"</f>
        <v>1/25/2006 12:00:00 AM</v>
      </c>
      <c r="O2652" t="s">
        <v>7875</v>
      </c>
      <c r="T2652" t="s">
        <v>7876</v>
      </c>
    </row>
    <row r="2653" spans="1:20" x14ac:dyDescent="0.25">
      <c r="A2653" t="str">
        <f>"3059714"</f>
        <v>3059714</v>
      </c>
      <c r="B2653" t="s">
        <v>8084</v>
      </c>
      <c r="C2653" t="str">
        <f>"79639000"</f>
        <v>79639000</v>
      </c>
      <c r="D2653" t="s">
        <v>8085</v>
      </c>
      <c r="E2653" t="s">
        <v>8086</v>
      </c>
      <c r="F2653" t="s">
        <v>8087</v>
      </c>
      <c r="I2653" t="s">
        <v>29</v>
      </c>
      <c r="J2653" t="s">
        <v>30</v>
      </c>
      <c r="K2653" t="s">
        <v>31</v>
      </c>
      <c r="M2653" t="s">
        <v>32</v>
      </c>
      <c r="N2653" t="str">
        <f>"7/15/2004 12:00:00 AM"</f>
        <v>7/15/2004 12:00:00 AM</v>
      </c>
      <c r="O2653" t="s">
        <v>8085</v>
      </c>
      <c r="T2653" t="s">
        <v>8086</v>
      </c>
    </row>
    <row r="2654" spans="1:20" x14ac:dyDescent="0.25">
      <c r="A2654" t="str">
        <f>"3057226"</f>
        <v>3057226</v>
      </c>
      <c r="B2654" t="s">
        <v>8088</v>
      </c>
      <c r="C2654" t="str">
        <f>"63551500"</f>
        <v>63551500</v>
      </c>
      <c r="D2654" t="s">
        <v>8089</v>
      </c>
      <c r="F2654" t="s">
        <v>8090</v>
      </c>
      <c r="I2654" t="s">
        <v>29</v>
      </c>
      <c r="J2654" t="s">
        <v>30</v>
      </c>
      <c r="K2654" t="s">
        <v>31</v>
      </c>
      <c r="M2654" t="s">
        <v>32</v>
      </c>
      <c r="N2654" t="str">
        <f>"5/13/2005 12:00:00 AM"</f>
        <v>5/13/2005 12:00:00 AM</v>
      </c>
      <c r="O2654" t="s">
        <v>8089</v>
      </c>
    </row>
    <row r="2655" spans="1:20" x14ac:dyDescent="0.25">
      <c r="A2655" t="str">
        <f>"3056930"</f>
        <v>3056930</v>
      </c>
      <c r="B2655" t="s">
        <v>8091</v>
      </c>
      <c r="C2655" t="str">
        <f>"63551500"</f>
        <v>63551500</v>
      </c>
      <c r="D2655" t="s">
        <v>8089</v>
      </c>
      <c r="F2655" t="s">
        <v>8090</v>
      </c>
      <c r="I2655" t="s">
        <v>29</v>
      </c>
      <c r="J2655" t="s">
        <v>30</v>
      </c>
      <c r="K2655" t="s">
        <v>31</v>
      </c>
      <c r="M2655" t="s">
        <v>32</v>
      </c>
      <c r="N2655" t="str">
        <f>"5/13/2005 12:00:00 AM"</f>
        <v>5/13/2005 12:00:00 AM</v>
      </c>
      <c r="O2655" t="s">
        <v>8089</v>
      </c>
    </row>
    <row r="2656" spans="1:20" x14ac:dyDescent="0.25">
      <c r="A2656" t="str">
        <f>"3046296"</f>
        <v>3046296</v>
      </c>
      <c r="B2656" t="s">
        <v>8092</v>
      </c>
      <c r="C2656" t="str">
        <f>"53148000"</f>
        <v>53148000</v>
      </c>
      <c r="D2656" t="s">
        <v>8093</v>
      </c>
      <c r="E2656" t="s">
        <v>8094</v>
      </c>
      <c r="F2656" t="s">
        <v>8095</v>
      </c>
      <c r="I2656" t="s">
        <v>29</v>
      </c>
      <c r="J2656" t="s">
        <v>30</v>
      </c>
      <c r="K2656" t="s">
        <v>8096</v>
      </c>
      <c r="M2656" t="s">
        <v>32</v>
      </c>
      <c r="N2656" t="str">
        <f>"1/25/2006 12:00:00 AM"</f>
        <v>1/25/2006 12:00:00 AM</v>
      </c>
      <c r="O2656" t="s">
        <v>8093</v>
      </c>
      <c r="T2656" t="s">
        <v>8094</v>
      </c>
    </row>
    <row r="2657" spans="1:20" x14ac:dyDescent="0.25">
      <c r="A2657" t="str">
        <f>"3059715"</f>
        <v>3059715</v>
      </c>
      <c r="B2657" t="s">
        <v>8097</v>
      </c>
      <c r="C2657" t="str">
        <f>"82523162"</f>
        <v>82523162</v>
      </c>
      <c r="D2657" t="s">
        <v>8098</v>
      </c>
      <c r="E2657" t="s">
        <v>8099</v>
      </c>
      <c r="F2657" t="s">
        <v>8100</v>
      </c>
      <c r="I2657" t="s">
        <v>29</v>
      </c>
      <c r="J2657" t="s">
        <v>30</v>
      </c>
      <c r="K2657" t="s">
        <v>7900</v>
      </c>
      <c r="M2657" t="s">
        <v>32</v>
      </c>
      <c r="N2657" t="str">
        <f>"1/28/2005 12:00:00 AM"</f>
        <v>1/28/2005 12:00:00 AM</v>
      </c>
      <c r="O2657" t="s">
        <v>8098</v>
      </c>
      <c r="T2657" t="s">
        <v>8099</v>
      </c>
    </row>
    <row r="2658" spans="1:20" x14ac:dyDescent="0.25">
      <c r="A2658" t="str">
        <f>"3042656"</f>
        <v>3042656</v>
      </c>
      <c r="B2658" t="s">
        <v>8101</v>
      </c>
      <c r="C2658" t="str">
        <f>"80432000"</f>
        <v>80432000</v>
      </c>
      <c r="D2658" t="s">
        <v>7936</v>
      </c>
      <c r="F2658" t="s">
        <v>7937</v>
      </c>
      <c r="I2658" t="s">
        <v>29</v>
      </c>
      <c r="J2658" t="s">
        <v>30</v>
      </c>
      <c r="K2658" t="s">
        <v>31</v>
      </c>
      <c r="M2658" t="s">
        <v>32</v>
      </c>
      <c r="N2658" t="str">
        <f>"7/16/2004 12:00:00 AM"</f>
        <v>7/16/2004 12:00:00 AM</v>
      </c>
      <c r="O2658" t="s">
        <v>7936</v>
      </c>
    </row>
    <row r="2659" spans="1:20" x14ac:dyDescent="0.25">
      <c r="A2659" t="str">
        <f>"3048708"</f>
        <v>3048708</v>
      </c>
      <c r="B2659" t="s">
        <v>8102</v>
      </c>
      <c r="C2659" t="str">
        <f>"82521876"</f>
        <v>82521876</v>
      </c>
      <c r="D2659" t="s">
        <v>8103</v>
      </c>
      <c r="E2659" t="s">
        <v>8104</v>
      </c>
      <c r="F2659" t="s">
        <v>8105</v>
      </c>
      <c r="I2659" t="s">
        <v>49</v>
      </c>
      <c r="J2659" t="s">
        <v>30</v>
      </c>
      <c r="K2659" t="s">
        <v>31</v>
      </c>
      <c r="M2659" t="s">
        <v>32</v>
      </c>
      <c r="N2659" t="str">
        <f>"8/31/2006 12:00:00 AM"</f>
        <v>8/31/2006 12:00:00 AM</v>
      </c>
      <c r="O2659" t="s">
        <v>8103</v>
      </c>
      <c r="T2659" t="s">
        <v>8104</v>
      </c>
    </row>
    <row r="2660" spans="1:20" x14ac:dyDescent="0.25">
      <c r="A2660" t="str">
        <f>"3045564"</f>
        <v>3045564</v>
      </c>
      <c r="B2660" t="s">
        <v>8106</v>
      </c>
      <c r="C2660" t="str">
        <f>"82527482"</f>
        <v>82527482</v>
      </c>
      <c r="D2660" t="s">
        <v>8107</v>
      </c>
      <c r="E2660" t="s">
        <v>8108</v>
      </c>
      <c r="F2660" t="s">
        <v>8109</v>
      </c>
      <c r="I2660" t="s">
        <v>29</v>
      </c>
      <c r="J2660" t="s">
        <v>30</v>
      </c>
      <c r="K2660" t="s">
        <v>31</v>
      </c>
      <c r="M2660" t="s">
        <v>32</v>
      </c>
      <c r="N2660" t="str">
        <f>"1/29/2007 12:00:00 AM"</f>
        <v>1/29/2007 12:00:00 AM</v>
      </c>
      <c r="O2660" t="s">
        <v>8107</v>
      </c>
      <c r="T2660" t="s">
        <v>8108</v>
      </c>
    </row>
    <row r="2661" spans="1:20" x14ac:dyDescent="0.25">
      <c r="A2661" t="str">
        <f>"3043516"</f>
        <v>3043516</v>
      </c>
      <c r="B2661" t="s">
        <v>8110</v>
      </c>
      <c r="C2661" t="str">
        <f>"54920000"</f>
        <v>54920000</v>
      </c>
      <c r="D2661" t="s">
        <v>8111</v>
      </c>
      <c r="E2661" t="s">
        <v>8112</v>
      </c>
      <c r="F2661" t="s">
        <v>8113</v>
      </c>
      <c r="I2661" t="s">
        <v>29</v>
      </c>
      <c r="J2661" t="s">
        <v>30</v>
      </c>
      <c r="K2661" t="s">
        <v>8114</v>
      </c>
      <c r="M2661" t="s">
        <v>32</v>
      </c>
      <c r="N2661" t="str">
        <f>"1/27/2009 12:00:00 AM"</f>
        <v>1/27/2009 12:00:00 AM</v>
      </c>
      <c r="O2661" t="s">
        <v>8111</v>
      </c>
      <c r="T2661" t="s">
        <v>8112</v>
      </c>
    </row>
    <row r="2662" spans="1:20" x14ac:dyDescent="0.25">
      <c r="A2662" t="str">
        <f>"3043547"</f>
        <v>3043547</v>
      </c>
      <c r="B2662" t="s">
        <v>8115</v>
      </c>
      <c r="C2662" t="str">
        <f>"22568250"</f>
        <v>22568250</v>
      </c>
      <c r="D2662" t="s">
        <v>8116</v>
      </c>
      <c r="E2662" t="s">
        <v>8117</v>
      </c>
      <c r="F2662" t="s">
        <v>8118</v>
      </c>
      <c r="I2662" t="s">
        <v>29</v>
      </c>
      <c r="J2662" t="s">
        <v>30</v>
      </c>
      <c r="K2662" t="s">
        <v>8119</v>
      </c>
      <c r="M2662" t="s">
        <v>32</v>
      </c>
      <c r="N2662" t="str">
        <f>"6/5/2002 12:00:00 AM"</f>
        <v>6/5/2002 12:00:00 AM</v>
      </c>
      <c r="O2662" t="s">
        <v>8116</v>
      </c>
      <c r="T2662" t="s">
        <v>8117</v>
      </c>
    </row>
    <row r="2663" spans="1:20" x14ac:dyDescent="0.25">
      <c r="A2663" t="str">
        <f>"3043513"</f>
        <v>3043513</v>
      </c>
      <c r="B2663" t="s">
        <v>8120</v>
      </c>
      <c r="C2663" t="str">
        <f>"28703250"</f>
        <v>28703250</v>
      </c>
      <c r="D2663" t="s">
        <v>8121</v>
      </c>
      <c r="E2663" t="s">
        <v>8122</v>
      </c>
      <c r="F2663" t="s">
        <v>8123</v>
      </c>
      <c r="I2663" t="s">
        <v>29</v>
      </c>
      <c r="J2663" t="s">
        <v>30</v>
      </c>
      <c r="K2663" t="s">
        <v>8119</v>
      </c>
      <c r="M2663" t="s">
        <v>32</v>
      </c>
      <c r="N2663" t="str">
        <f>"1/31/2006 12:00:00 AM"</f>
        <v>1/31/2006 12:00:00 AM</v>
      </c>
      <c r="O2663" t="s">
        <v>8121</v>
      </c>
      <c r="T2663" t="s">
        <v>8122</v>
      </c>
    </row>
    <row r="2664" spans="1:20" x14ac:dyDescent="0.25">
      <c r="A2664" t="str">
        <f>"3051216"</f>
        <v>3051216</v>
      </c>
      <c r="B2664" t="s">
        <v>8124</v>
      </c>
      <c r="C2664" t="str">
        <f>"28703250"</f>
        <v>28703250</v>
      </c>
      <c r="D2664" t="s">
        <v>8121</v>
      </c>
      <c r="E2664" t="s">
        <v>8122</v>
      </c>
      <c r="F2664" t="s">
        <v>8123</v>
      </c>
      <c r="I2664" t="s">
        <v>29</v>
      </c>
      <c r="J2664" t="s">
        <v>30</v>
      </c>
      <c r="K2664" t="s">
        <v>8119</v>
      </c>
      <c r="M2664" t="s">
        <v>32</v>
      </c>
      <c r="N2664" t="str">
        <f>"1/31/2006 12:00:00 AM"</f>
        <v>1/31/2006 12:00:00 AM</v>
      </c>
      <c r="O2664" t="s">
        <v>8121</v>
      </c>
      <c r="T2664" t="s">
        <v>8122</v>
      </c>
    </row>
    <row r="2665" spans="1:20" x14ac:dyDescent="0.25">
      <c r="A2665" t="str">
        <f>"3048625"</f>
        <v>3048625</v>
      </c>
      <c r="B2665" t="s">
        <v>8125</v>
      </c>
      <c r="C2665" t="str">
        <f>"32476000"</f>
        <v>32476000</v>
      </c>
      <c r="D2665" t="s">
        <v>8126</v>
      </c>
      <c r="E2665" t="s">
        <v>8127</v>
      </c>
      <c r="F2665" t="s">
        <v>8128</v>
      </c>
      <c r="I2665" t="s">
        <v>29</v>
      </c>
      <c r="J2665" t="s">
        <v>30</v>
      </c>
      <c r="K2665" t="s">
        <v>31</v>
      </c>
      <c r="M2665" t="s">
        <v>32</v>
      </c>
      <c r="N2665" t="str">
        <f>"1/22/2004 12:00:00 AM"</f>
        <v>1/22/2004 12:00:00 AM</v>
      </c>
      <c r="O2665" t="s">
        <v>8126</v>
      </c>
      <c r="T2665" t="s">
        <v>8127</v>
      </c>
    </row>
    <row r="2666" spans="1:20" x14ac:dyDescent="0.25">
      <c r="A2666" t="str">
        <f>"3045231"</f>
        <v>3045231</v>
      </c>
      <c r="B2666" t="s">
        <v>8129</v>
      </c>
      <c r="C2666" t="str">
        <f>"32476000"</f>
        <v>32476000</v>
      </c>
      <c r="D2666" t="s">
        <v>8126</v>
      </c>
      <c r="E2666" t="s">
        <v>8127</v>
      </c>
      <c r="F2666" t="s">
        <v>8128</v>
      </c>
      <c r="I2666" t="s">
        <v>29</v>
      </c>
      <c r="J2666" t="s">
        <v>30</v>
      </c>
      <c r="K2666" t="s">
        <v>31</v>
      </c>
      <c r="M2666" t="s">
        <v>32</v>
      </c>
      <c r="N2666" t="str">
        <f>"1/22/2004 12:00:00 AM"</f>
        <v>1/22/2004 12:00:00 AM</v>
      </c>
      <c r="O2666" t="s">
        <v>8126</v>
      </c>
      <c r="T2666" t="s">
        <v>8127</v>
      </c>
    </row>
    <row r="2667" spans="1:20" x14ac:dyDescent="0.25">
      <c r="A2667" t="str">
        <f>"3077925"</f>
        <v>3077925</v>
      </c>
      <c r="B2667" t="s">
        <v>8130</v>
      </c>
      <c r="C2667" t="str">
        <f>"32476000"</f>
        <v>32476000</v>
      </c>
      <c r="D2667" t="s">
        <v>8126</v>
      </c>
      <c r="E2667" t="s">
        <v>8127</v>
      </c>
      <c r="F2667" t="s">
        <v>8128</v>
      </c>
      <c r="I2667" t="s">
        <v>29</v>
      </c>
      <c r="J2667" t="s">
        <v>30</v>
      </c>
      <c r="K2667" t="s">
        <v>31</v>
      </c>
      <c r="M2667" t="s">
        <v>32</v>
      </c>
      <c r="N2667" t="str">
        <f>"1/22/2004 12:00:00 AM"</f>
        <v>1/22/2004 12:00:00 AM</v>
      </c>
      <c r="O2667" t="s">
        <v>8126</v>
      </c>
      <c r="T2667" t="s">
        <v>8127</v>
      </c>
    </row>
    <row r="2668" spans="1:20" x14ac:dyDescent="0.25">
      <c r="A2668" t="str">
        <f>"3077956"</f>
        <v>3077956</v>
      </c>
      <c r="B2668" t="s">
        <v>8131</v>
      </c>
      <c r="C2668" t="str">
        <f>"32476000"</f>
        <v>32476000</v>
      </c>
      <c r="D2668" t="s">
        <v>8126</v>
      </c>
      <c r="E2668" t="s">
        <v>8127</v>
      </c>
      <c r="F2668" t="s">
        <v>8128</v>
      </c>
      <c r="I2668" t="s">
        <v>29</v>
      </c>
      <c r="J2668" t="s">
        <v>30</v>
      </c>
      <c r="K2668" t="s">
        <v>31</v>
      </c>
      <c r="M2668" t="s">
        <v>32</v>
      </c>
      <c r="N2668" t="str">
        <f>"1/22/2004 12:00:00 AM"</f>
        <v>1/22/2004 12:00:00 AM</v>
      </c>
      <c r="O2668" t="s">
        <v>8126</v>
      </c>
      <c r="T2668" t="s">
        <v>8127</v>
      </c>
    </row>
    <row r="2669" spans="1:20" x14ac:dyDescent="0.25">
      <c r="A2669" t="str">
        <f>"3043508"</f>
        <v>3043508</v>
      </c>
      <c r="B2669" t="s">
        <v>8132</v>
      </c>
      <c r="C2669" t="str">
        <f>"82521567"</f>
        <v>82521567</v>
      </c>
      <c r="D2669" t="s">
        <v>8133</v>
      </c>
      <c r="F2669" t="s">
        <v>8134</v>
      </c>
      <c r="I2669" t="s">
        <v>29</v>
      </c>
      <c r="J2669" t="s">
        <v>30</v>
      </c>
      <c r="K2669" t="s">
        <v>31</v>
      </c>
      <c r="M2669" t="s">
        <v>32</v>
      </c>
      <c r="N2669" t="str">
        <f>"10/9/2003 12:00:00 AM"</f>
        <v>10/9/2003 12:00:00 AM</v>
      </c>
      <c r="O2669" t="s">
        <v>8133</v>
      </c>
    </row>
    <row r="2670" spans="1:20" x14ac:dyDescent="0.25">
      <c r="A2670" t="str">
        <f>"3043423"</f>
        <v>3043423</v>
      </c>
      <c r="B2670" t="s">
        <v>8135</v>
      </c>
      <c r="C2670" t="str">
        <f>"82522198"</f>
        <v>82522198</v>
      </c>
      <c r="D2670" t="s">
        <v>8136</v>
      </c>
      <c r="F2670" t="s">
        <v>8137</v>
      </c>
      <c r="I2670" t="s">
        <v>29</v>
      </c>
      <c r="J2670" t="s">
        <v>30</v>
      </c>
      <c r="K2670" t="s">
        <v>8138</v>
      </c>
      <c r="M2670" t="s">
        <v>32</v>
      </c>
      <c r="N2670" t="str">
        <f>"1/24/2005 12:00:00 AM"</f>
        <v>1/24/2005 12:00:00 AM</v>
      </c>
      <c r="O2670" t="s">
        <v>8136</v>
      </c>
    </row>
    <row r="2671" spans="1:20" x14ac:dyDescent="0.25">
      <c r="A2671" t="str">
        <f>"3043444"</f>
        <v>3043444</v>
      </c>
      <c r="B2671" t="s">
        <v>8139</v>
      </c>
      <c r="C2671" t="str">
        <f>"3933370"</f>
        <v>3933370</v>
      </c>
      <c r="D2671" t="s">
        <v>8140</v>
      </c>
      <c r="E2671" t="s">
        <v>8141</v>
      </c>
      <c r="F2671" t="s">
        <v>8142</v>
      </c>
      <c r="I2671" t="s">
        <v>29</v>
      </c>
      <c r="J2671" t="s">
        <v>30</v>
      </c>
      <c r="K2671" t="s">
        <v>8143</v>
      </c>
      <c r="M2671" t="s">
        <v>32</v>
      </c>
      <c r="N2671" t="str">
        <f>"2/13/2007 12:00:00 AM"</f>
        <v>2/13/2007 12:00:00 AM</v>
      </c>
      <c r="O2671" t="s">
        <v>8140</v>
      </c>
      <c r="T2671" t="s">
        <v>8141</v>
      </c>
    </row>
    <row r="2672" spans="1:20" x14ac:dyDescent="0.25">
      <c r="A2672" t="str">
        <f>"3042678"</f>
        <v>3042678</v>
      </c>
      <c r="B2672" t="s">
        <v>8144</v>
      </c>
      <c r="C2672" t="str">
        <f>"82521565"</f>
        <v>82521565</v>
      </c>
      <c r="D2672" t="s">
        <v>8145</v>
      </c>
      <c r="E2672" t="s">
        <v>8146</v>
      </c>
      <c r="F2672" t="s">
        <v>8147</v>
      </c>
      <c r="I2672" t="s">
        <v>29</v>
      </c>
      <c r="J2672" t="s">
        <v>30</v>
      </c>
      <c r="K2672" t="s">
        <v>31</v>
      </c>
      <c r="M2672" t="s">
        <v>32</v>
      </c>
      <c r="N2672" t="str">
        <f>"10/9/2003 12:00:00 AM"</f>
        <v>10/9/2003 12:00:00 AM</v>
      </c>
      <c r="O2672" t="s">
        <v>8145</v>
      </c>
      <c r="T2672" t="s">
        <v>8146</v>
      </c>
    </row>
    <row r="2673" spans="1:20" x14ac:dyDescent="0.25">
      <c r="A2673" t="str">
        <f>"3042902"</f>
        <v>3042902</v>
      </c>
      <c r="B2673" t="s">
        <v>8148</v>
      </c>
      <c r="C2673" t="str">
        <f>"25362320"</f>
        <v>25362320</v>
      </c>
      <c r="D2673" t="s">
        <v>8149</v>
      </c>
      <c r="E2673" t="s">
        <v>8150</v>
      </c>
      <c r="F2673" t="s">
        <v>8151</v>
      </c>
      <c r="I2673" t="s">
        <v>29</v>
      </c>
      <c r="J2673" t="s">
        <v>30</v>
      </c>
      <c r="K2673" t="s">
        <v>31</v>
      </c>
      <c r="M2673" t="s">
        <v>32</v>
      </c>
      <c r="N2673" t="str">
        <f>"5/31/2002 12:00:00 AM"</f>
        <v>5/31/2002 12:00:00 AM</v>
      </c>
      <c r="O2673" t="s">
        <v>8149</v>
      </c>
      <c r="T2673" t="s">
        <v>8150</v>
      </c>
    </row>
    <row r="2674" spans="1:20" x14ac:dyDescent="0.25">
      <c r="A2674" t="str">
        <f>"3043271"</f>
        <v>3043271</v>
      </c>
      <c r="B2674" t="s">
        <v>8152</v>
      </c>
      <c r="C2674" t="str">
        <f>"8082000"</f>
        <v>8082000</v>
      </c>
      <c r="D2674" t="s">
        <v>8153</v>
      </c>
      <c r="F2674" t="s">
        <v>8154</v>
      </c>
      <c r="I2674" t="s">
        <v>29</v>
      </c>
      <c r="J2674" t="s">
        <v>30</v>
      </c>
      <c r="K2674" t="s">
        <v>31</v>
      </c>
      <c r="M2674" t="s">
        <v>32</v>
      </c>
      <c r="N2674" t="str">
        <f>"6/11/2002 12:00:00 AM"</f>
        <v>6/11/2002 12:00:00 AM</v>
      </c>
      <c r="O2674" t="s">
        <v>8153</v>
      </c>
    </row>
    <row r="2675" spans="1:20" x14ac:dyDescent="0.25">
      <c r="A2675" t="str">
        <f>"3043453"</f>
        <v>3043453</v>
      </c>
      <c r="B2675" t="s">
        <v>8155</v>
      </c>
      <c r="C2675" t="str">
        <f>"44940000"</f>
        <v>44940000</v>
      </c>
      <c r="D2675" t="s">
        <v>8156</v>
      </c>
      <c r="E2675" t="s">
        <v>8157</v>
      </c>
      <c r="F2675" t="s">
        <v>8158</v>
      </c>
      <c r="I2675" t="s">
        <v>29</v>
      </c>
      <c r="J2675" t="s">
        <v>30</v>
      </c>
      <c r="K2675" t="s">
        <v>8159</v>
      </c>
      <c r="M2675" t="s">
        <v>32</v>
      </c>
      <c r="N2675" t="str">
        <f>"1/25/2006 12:00:00 AM"</f>
        <v>1/25/2006 12:00:00 AM</v>
      </c>
      <c r="O2675" t="s">
        <v>8156</v>
      </c>
      <c r="T2675" t="s">
        <v>8157</v>
      </c>
    </row>
    <row r="2676" spans="1:20" x14ac:dyDescent="0.25">
      <c r="A2676" t="str">
        <f>"3043529"</f>
        <v>3043529</v>
      </c>
      <c r="B2676" t="s">
        <v>8160</v>
      </c>
      <c r="C2676" t="str">
        <f>"68262250"</f>
        <v>68262250</v>
      </c>
      <c r="D2676" t="s">
        <v>8161</v>
      </c>
      <c r="F2676" t="s">
        <v>8162</v>
      </c>
      <c r="I2676" t="s">
        <v>29</v>
      </c>
      <c r="J2676" t="s">
        <v>30</v>
      </c>
      <c r="K2676" t="s">
        <v>31</v>
      </c>
      <c r="M2676" t="s">
        <v>32</v>
      </c>
      <c r="N2676" t="str">
        <f>"5/14/2004 12:00:00 AM"</f>
        <v>5/14/2004 12:00:00 AM</v>
      </c>
      <c r="O2676" t="s">
        <v>8161</v>
      </c>
    </row>
    <row r="2677" spans="1:20" x14ac:dyDescent="0.25">
      <c r="A2677" t="str">
        <f>"3043154"</f>
        <v>3043154</v>
      </c>
      <c r="B2677" t="s">
        <v>8163</v>
      </c>
      <c r="C2677" t="str">
        <f>"82527034"</f>
        <v>82527034</v>
      </c>
      <c r="D2677" t="s">
        <v>8164</v>
      </c>
      <c r="E2677" t="s">
        <v>8165</v>
      </c>
      <c r="F2677" t="s">
        <v>8166</v>
      </c>
      <c r="I2677" t="s">
        <v>29</v>
      </c>
      <c r="J2677" t="s">
        <v>30</v>
      </c>
      <c r="K2677" t="s">
        <v>31</v>
      </c>
      <c r="M2677" t="s">
        <v>32</v>
      </c>
      <c r="N2677" t="str">
        <f>"10/26/2006 12:00:00 AM"</f>
        <v>10/26/2006 12:00:00 AM</v>
      </c>
      <c r="O2677" t="s">
        <v>8164</v>
      </c>
      <c r="T2677" t="s">
        <v>8165</v>
      </c>
    </row>
    <row r="2678" spans="1:20" x14ac:dyDescent="0.25">
      <c r="A2678" t="str">
        <f>"3078118"</f>
        <v>3078118</v>
      </c>
      <c r="B2678" t="s">
        <v>8167</v>
      </c>
      <c r="C2678" t="str">
        <f>"2260000"</f>
        <v>2260000</v>
      </c>
      <c r="D2678" t="s">
        <v>8168</v>
      </c>
      <c r="E2678" t="s">
        <v>8169</v>
      </c>
      <c r="F2678" t="s">
        <v>8170</v>
      </c>
      <c r="I2678" t="s">
        <v>29</v>
      </c>
      <c r="J2678" t="s">
        <v>30</v>
      </c>
      <c r="K2678" t="s">
        <v>8171</v>
      </c>
      <c r="M2678" t="s">
        <v>32</v>
      </c>
      <c r="N2678" t="str">
        <f>"1/22/2010 12:00:00 AM"</f>
        <v>1/22/2010 12:00:00 AM</v>
      </c>
      <c r="O2678" t="s">
        <v>8168</v>
      </c>
      <c r="T2678" t="s">
        <v>8169</v>
      </c>
    </row>
    <row r="2679" spans="1:20" x14ac:dyDescent="0.25">
      <c r="A2679" t="str">
        <f>"3090488"</f>
        <v>3090488</v>
      </c>
      <c r="B2679" t="s">
        <v>8172</v>
      </c>
      <c r="C2679" t="str">
        <f>"44940000"</f>
        <v>44940000</v>
      </c>
      <c r="D2679" t="s">
        <v>8156</v>
      </c>
      <c r="E2679" t="s">
        <v>8157</v>
      </c>
      <c r="F2679" t="s">
        <v>8158</v>
      </c>
      <c r="I2679" t="s">
        <v>29</v>
      </c>
      <c r="J2679" t="s">
        <v>30</v>
      </c>
      <c r="K2679" t="s">
        <v>8159</v>
      </c>
      <c r="M2679" t="s">
        <v>32</v>
      </c>
      <c r="N2679" t="str">
        <f>"1/25/2006 12:00:00 AM"</f>
        <v>1/25/2006 12:00:00 AM</v>
      </c>
      <c r="O2679" t="s">
        <v>8156</v>
      </c>
      <c r="T2679" t="s">
        <v>8157</v>
      </c>
    </row>
    <row r="2680" spans="1:20" x14ac:dyDescent="0.25">
      <c r="A2680" t="str">
        <f>"3043446"</f>
        <v>3043446</v>
      </c>
      <c r="B2680" t="s">
        <v>8173</v>
      </c>
      <c r="C2680" t="str">
        <f>"29888000"</f>
        <v>29888000</v>
      </c>
      <c r="D2680" t="s">
        <v>8174</v>
      </c>
      <c r="F2680" t="s">
        <v>8175</v>
      </c>
      <c r="I2680" t="s">
        <v>29</v>
      </c>
      <c r="J2680" t="s">
        <v>30</v>
      </c>
      <c r="K2680" t="s">
        <v>31</v>
      </c>
      <c r="M2680" t="s">
        <v>32</v>
      </c>
      <c r="N2680" t="str">
        <f>"12/9/2004 12:00:00 AM"</f>
        <v>12/9/2004 12:00:00 AM</v>
      </c>
      <c r="O2680" t="s">
        <v>8174</v>
      </c>
    </row>
    <row r="2681" spans="1:20" x14ac:dyDescent="0.25">
      <c r="A2681" t="str">
        <f>"3059655"</f>
        <v>3059655</v>
      </c>
      <c r="B2681" t="s">
        <v>8176</v>
      </c>
      <c r="C2681" t="str">
        <f>"82513217"</f>
        <v>82513217</v>
      </c>
      <c r="D2681" t="s">
        <v>7985</v>
      </c>
      <c r="F2681" t="s">
        <v>7986</v>
      </c>
      <c r="I2681" t="s">
        <v>29</v>
      </c>
      <c r="J2681" t="s">
        <v>30</v>
      </c>
      <c r="K2681" t="s">
        <v>31</v>
      </c>
      <c r="M2681" t="s">
        <v>32</v>
      </c>
      <c r="N2681" t="str">
        <f>"11/20/2001 12:00:00 AM"</f>
        <v>11/20/2001 12:00:00 AM</v>
      </c>
      <c r="O2681" t="s">
        <v>7985</v>
      </c>
    </row>
    <row r="2682" spans="1:20" x14ac:dyDescent="0.25">
      <c r="A2682" t="str">
        <f>"3045404"</f>
        <v>3045404</v>
      </c>
      <c r="B2682" t="s">
        <v>8177</v>
      </c>
      <c r="C2682" t="str">
        <f>"21686000"</f>
        <v>21686000</v>
      </c>
      <c r="D2682" t="s">
        <v>8019</v>
      </c>
      <c r="E2682" t="s">
        <v>8020</v>
      </c>
      <c r="F2682" t="s">
        <v>8021</v>
      </c>
      <c r="I2682" t="s">
        <v>29</v>
      </c>
      <c r="J2682" t="s">
        <v>30</v>
      </c>
      <c r="K2682" t="s">
        <v>31</v>
      </c>
      <c r="M2682" t="s">
        <v>32</v>
      </c>
      <c r="N2682" t="str">
        <f>"7/22/2003 12:00:00 AM"</f>
        <v>7/22/2003 12:00:00 AM</v>
      </c>
      <c r="O2682" t="s">
        <v>8019</v>
      </c>
      <c r="T2682" t="s">
        <v>8020</v>
      </c>
    </row>
    <row r="2683" spans="1:20" x14ac:dyDescent="0.25">
      <c r="A2683" t="str">
        <f>"3066728"</f>
        <v>3066728</v>
      </c>
      <c r="B2683" t="s">
        <v>8178</v>
      </c>
      <c r="C2683" t="str">
        <f>"82519760"</f>
        <v>82519760</v>
      </c>
      <c r="D2683" t="s">
        <v>8179</v>
      </c>
      <c r="E2683" t="s">
        <v>8180</v>
      </c>
      <c r="F2683" t="s">
        <v>8181</v>
      </c>
      <c r="I2683" t="s">
        <v>29</v>
      </c>
      <c r="J2683" t="s">
        <v>30</v>
      </c>
      <c r="K2683" t="s">
        <v>31</v>
      </c>
      <c r="M2683" t="s">
        <v>32</v>
      </c>
      <c r="N2683" t="str">
        <f>"11/22/2002 12:00:00 AM"</f>
        <v>11/22/2002 12:00:00 AM</v>
      </c>
      <c r="O2683" t="s">
        <v>8179</v>
      </c>
      <c r="T2683" t="s">
        <v>8180</v>
      </c>
    </row>
    <row r="2684" spans="1:20" x14ac:dyDescent="0.25">
      <c r="A2684" t="str">
        <f>"3047927"</f>
        <v>3047927</v>
      </c>
      <c r="B2684" t="s">
        <v>8182</v>
      </c>
      <c r="C2684" t="str">
        <f>"82524435"</f>
        <v>82524435</v>
      </c>
      <c r="D2684" t="s">
        <v>8183</v>
      </c>
      <c r="E2684" t="s">
        <v>8184</v>
      </c>
      <c r="F2684" t="s">
        <v>8185</v>
      </c>
      <c r="I2684" t="s">
        <v>29</v>
      </c>
      <c r="J2684" t="s">
        <v>30</v>
      </c>
      <c r="K2684" t="s">
        <v>31</v>
      </c>
      <c r="M2684" t="s">
        <v>32</v>
      </c>
      <c r="N2684" t="str">
        <f>"5/23/2005 12:00:00 AM"</f>
        <v>5/23/2005 12:00:00 AM</v>
      </c>
      <c r="O2684" t="s">
        <v>8183</v>
      </c>
      <c r="T2684" t="s">
        <v>8184</v>
      </c>
    </row>
    <row r="2685" spans="1:20" x14ac:dyDescent="0.25">
      <c r="A2685" t="str">
        <f>"3047928"</f>
        <v>3047928</v>
      </c>
      <c r="B2685" t="s">
        <v>8186</v>
      </c>
      <c r="C2685" t="str">
        <f>"82522719"</f>
        <v>82522719</v>
      </c>
      <c r="D2685" t="s">
        <v>8187</v>
      </c>
      <c r="F2685" t="s">
        <v>8188</v>
      </c>
      <c r="I2685" t="s">
        <v>29</v>
      </c>
      <c r="J2685" t="s">
        <v>30</v>
      </c>
      <c r="K2685" t="s">
        <v>31</v>
      </c>
      <c r="M2685" t="s">
        <v>32</v>
      </c>
      <c r="N2685" t="str">
        <f>"5/14/2004 12:00:00 AM"</f>
        <v>5/14/2004 12:00:00 AM</v>
      </c>
      <c r="O2685" t="s">
        <v>8187</v>
      </c>
    </row>
    <row r="2686" spans="1:20" x14ac:dyDescent="0.25">
      <c r="A2686" t="str">
        <f>"3047939"</f>
        <v>3047939</v>
      </c>
      <c r="B2686" t="s">
        <v>8189</v>
      </c>
      <c r="C2686" t="str">
        <f>"68098000"</f>
        <v>68098000</v>
      </c>
      <c r="D2686" t="s">
        <v>6714</v>
      </c>
      <c r="E2686" t="s">
        <v>8190</v>
      </c>
      <c r="F2686" t="s">
        <v>8188</v>
      </c>
      <c r="I2686" t="s">
        <v>29</v>
      </c>
      <c r="J2686" t="s">
        <v>30</v>
      </c>
      <c r="K2686" t="s">
        <v>31</v>
      </c>
      <c r="M2686" t="s">
        <v>32</v>
      </c>
      <c r="N2686" t="str">
        <f>"5/14/2004 12:00:00 AM"</f>
        <v>5/14/2004 12:00:00 AM</v>
      </c>
      <c r="O2686" t="s">
        <v>6714</v>
      </c>
      <c r="T2686" t="s">
        <v>8190</v>
      </c>
    </row>
    <row r="2687" spans="1:20" x14ac:dyDescent="0.25">
      <c r="A2687" t="str">
        <f>"3045925"</f>
        <v>3045925</v>
      </c>
      <c r="B2687" t="s">
        <v>8191</v>
      </c>
      <c r="C2687" t="str">
        <f>"44709000"</f>
        <v>44709000</v>
      </c>
      <c r="D2687" t="s">
        <v>8192</v>
      </c>
      <c r="E2687" t="s">
        <v>8193</v>
      </c>
      <c r="F2687" t="s">
        <v>8194</v>
      </c>
      <c r="I2687" t="s">
        <v>29</v>
      </c>
      <c r="J2687" t="s">
        <v>30</v>
      </c>
      <c r="K2687" t="s">
        <v>31</v>
      </c>
      <c r="M2687" t="s">
        <v>32</v>
      </c>
      <c r="N2687" t="str">
        <f>"3/24/2009 12:00:00 AM"</f>
        <v>3/24/2009 12:00:00 AM</v>
      </c>
      <c r="O2687" t="s">
        <v>8192</v>
      </c>
      <c r="T2687" t="s">
        <v>8193</v>
      </c>
    </row>
    <row r="2688" spans="1:20" x14ac:dyDescent="0.25">
      <c r="A2688" t="str">
        <f>"3045500"</f>
        <v>3045500</v>
      </c>
      <c r="B2688" t="s">
        <v>8195</v>
      </c>
      <c r="C2688" t="str">
        <f>"63570000"</f>
        <v>63570000</v>
      </c>
      <c r="D2688" t="s">
        <v>8196</v>
      </c>
      <c r="F2688" t="s">
        <v>8197</v>
      </c>
      <c r="I2688" t="s">
        <v>29</v>
      </c>
      <c r="J2688" t="s">
        <v>30</v>
      </c>
      <c r="K2688" t="s">
        <v>31</v>
      </c>
      <c r="M2688" t="s">
        <v>32</v>
      </c>
      <c r="N2688" t="str">
        <f>"4/30/2004 12:00:00 AM"</f>
        <v>4/30/2004 12:00:00 AM</v>
      </c>
      <c r="O2688" t="s">
        <v>8196</v>
      </c>
    </row>
    <row r="2689" spans="1:20" x14ac:dyDescent="0.25">
      <c r="A2689" t="str">
        <f>"3045345"</f>
        <v>3045345</v>
      </c>
      <c r="B2689" t="s">
        <v>8198</v>
      </c>
      <c r="C2689" t="str">
        <f>"63570000"</f>
        <v>63570000</v>
      </c>
      <c r="D2689" t="s">
        <v>8196</v>
      </c>
      <c r="F2689" t="s">
        <v>8197</v>
      </c>
      <c r="I2689" t="s">
        <v>29</v>
      </c>
      <c r="J2689" t="s">
        <v>30</v>
      </c>
      <c r="K2689" t="s">
        <v>31</v>
      </c>
      <c r="M2689" t="s">
        <v>32</v>
      </c>
      <c r="N2689" t="str">
        <f>"4/30/2004 12:00:00 AM"</f>
        <v>4/30/2004 12:00:00 AM</v>
      </c>
      <c r="O2689" t="s">
        <v>8196</v>
      </c>
    </row>
    <row r="2690" spans="1:20" x14ac:dyDescent="0.25">
      <c r="A2690" t="str">
        <f>"3069655"</f>
        <v>3069655</v>
      </c>
      <c r="B2690" t="s">
        <v>8199</v>
      </c>
      <c r="C2690" t="str">
        <f>"63570000"</f>
        <v>63570000</v>
      </c>
      <c r="D2690" t="s">
        <v>8196</v>
      </c>
      <c r="F2690" t="s">
        <v>8197</v>
      </c>
      <c r="I2690" t="s">
        <v>29</v>
      </c>
      <c r="J2690" t="s">
        <v>30</v>
      </c>
      <c r="K2690" t="s">
        <v>31</v>
      </c>
      <c r="M2690" t="s">
        <v>32</v>
      </c>
      <c r="N2690" t="str">
        <f>"4/30/2004 12:00:00 AM"</f>
        <v>4/30/2004 12:00:00 AM</v>
      </c>
      <c r="O2690" t="s">
        <v>8196</v>
      </c>
    </row>
    <row r="2691" spans="1:20" x14ac:dyDescent="0.25">
      <c r="A2691" t="str">
        <f>"3059705"</f>
        <v>3059705</v>
      </c>
      <c r="B2691" t="s">
        <v>8200</v>
      </c>
      <c r="C2691" t="str">
        <f>"82513233"</f>
        <v>82513233</v>
      </c>
      <c r="D2691" t="s">
        <v>8201</v>
      </c>
      <c r="E2691" t="s">
        <v>8202</v>
      </c>
      <c r="F2691" t="s">
        <v>8203</v>
      </c>
      <c r="I2691" t="s">
        <v>29</v>
      </c>
      <c r="J2691" t="s">
        <v>30</v>
      </c>
      <c r="K2691" t="s">
        <v>31</v>
      </c>
      <c r="M2691" t="s">
        <v>32</v>
      </c>
      <c r="N2691" t="str">
        <f>"7/22/2004 12:00:00 AM"</f>
        <v>7/22/2004 12:00:00 AM</v>
      </c>
      <c r="O2691" t="s">
        <v>8201</v>
      </c>
      <c r="T2691" t="s">
        <v>8202</v>
      </c>
    </row>
    <row r="2692" spans="1:20" x14ac:dyDescent="0.25">
      <c r="A2692" t="str">
        <f>"3045985"</f>
        <v>3045985</v>
      </c>
      <c r="B2692" t="s">
        <v>8204</v>
      </c>
      <c r="C2692" t="str">
        <f>"82526723"</f>
        <v>82526723</v>
      </c>
      <c r="D2692" t="s">
        <v>8205</v>
      </c>
      <c r="F2692" t="s">
        <v>8206</v>
      </c>
      <c r="I2692" t="s">
        <v>29</v>
      </c>
      <c r="J2692" t="s">
        <v>30</v>
      </c>
      <c r="K2692" t="s">
        <v>31</v>
      </c>
      <c r="M2692" t="s">
        <v>32</v>
      </c>
      <c r="N2692" t="str">
        <f>"10/17/2011 12:00:00 AM"</f>
        <v>10/17/2011 12:00:00 AM</v>
      </c>
      <c r="O2692" t="s">
        <v>8205</v>
      </c>
    </row>
    <row r="2693" spans="1:20" x14ac:dyDescent="0.25">
      <c r="A2693" t="str">
        <f>"3046239"</f>
        <v>3046239</v>
      </c>
      <c r="B2693" t="s">
        <v>8207</v>
      </c>
      <c r="C2693" t="str">
        <f>"46873000"</f>
        <v>46873000</v>
      </c>
      <c r="D2693" t="s">
        <v>8208</v>
      </c>
      <c r="F2693" t="s">
        <v>8209</v>
      </c>
      <c r="I2693" t="s">
        <v>29</v>
      </c>
      <c r="J2693" t="s">
        <v>30</v>
      </c>
      <c r="K2693" t="s">
        <v>31</v>
      </c>
      <c r="M2693" t="s">
        <v>32</v>
      </c>
      <c r="N2693" t="str">
        <f>"12/17/2007 12:00:00 AM"</f>
        <v>12/17/2007 12:00:00 AM</v>
      </c>
      <c r="O2693" t="s">
        <v>8208</v>
      </c>
    </row>
    <row r="2694" spans="1:20" x14ac:dyDescent="0.25">
      <c r="A2694" t="str">
        <f>"3046307"</f>
        <v>3046307</v>
      </c>
      <c r="B2694" t="s">
        <v>8210</v>
      </c>
      <c r="C2694" t="str">
        <f>"26336000"</f>
        <v>26336000</v>
      </c>
      <c r="D2694" t="s">
        <v>8211</v>
      </c>
      <c r="F2694" t="s">
        <v>8212</v>
      </c>
      <c r="I2694" t="s">
        <v>29</v>
      </c>
      <c r="J2694" t="s">
        <v>30</v>
      </c>
      <c r="K2694" t="s">
        <v>31</v>
      </c>
      <c r="M2694" t="s">
        <v>32</v>
      </c>
      <c r="N2694" t="str">
        <f>"6/14/2002 12:00:00 AM"</f>
        <v>6/14/2002 12:00:00 AM</v>
      </c>
      <c r="O2694" t="s">
        <v>8211</v>
      </c>
    </row>
    <row r="2695" spans="1:20" x14ac:dyDescent="0.25">
      <c r="A2695" t="str">
        <f>"3045936"</f>
        <v>3045936</v>
      </c>
      <c r="B2695" t="s">
        <v>8213</v>
      </c>
      <c r="C2695" t="str">
        <f>"26336000"</f>
        <v>26336000</v>
      </c>
      <c r="D2695" t="s">
        <v>8211</v>
      </c>
      <c r="F2695" t="s">
        <v>8212</v>
      </c>
      <c r="I2695" t="s">
        <v>29</v>
      </c>
      <c r="J2695" t="s">
        <v>30</v>
      </c>
      <c r="K2695" t="s">
        <v>31</v>
      </c>
      <c r="M2695" t="s">
        <v>32</v>
      </c>
      <c r="N2695" t="str">
        <f>"6/14/2002 12:00:00 AM"</f>
        <v>6/14/2002 12:00:00 AM</v>
      </c>
      <c r="O2695" t="s">
        <v>8211</v>
      </c>
    </row>
    <row r="2696" spans="1:20" x14ac:dyDescent="0.25">
      <c r="A2696" t="str">
        <f>"3045888"</f>
        <v>3045888</v>
      </c>
      <c r="B2696" t="s">
        <v>8214</v>
      </c>
      <c r="C2696" t="str">
        <f>"78210000"</f>
        <v>78210000</v>
      </c>
      <c r="D2696" t="s">
        <v>8215</v>
      </c>
      <c r="F2696" t="s">
        <v>8216</v>
      </c>
      <c r="I2696" t="s">
        <v>29</v>
      </c>
      <c r="J2696" t="s">
        <v>30</v>
      </c>
      <c r="K2696" t="s">
        <v>31</v>
      </c>
      <c r="M2696" t="s">
        <v>32</v>
      </c>
      <c r="N2696" t="str">
        <f>"6/28/2004 12:00:00 AM"</f>
        <v>6/28/2004 12:00:00 AM</v>
      </c>
      <c r="O2696" t="s">
        <v>8215</v>
      </c>
    </row>
    <row r="2697" spans="1:20" x14ac:dyDescent="0.25">
      <c r="A2697" t="str">
        <f>"3046256"</f>
        <v>3046256</v>
      </c>
      <c r="B2697" t="s">
        <v>8217</v>
      </c>
      <c r="C2697" t="str">
        <f>"78210000"</f>
        <v>78210000</v>
      </c>
      <c r="D2697" t="s">
        <v>8215</v>
      </c>
      <c r="F2697" t="s">
        <v>8216</v>
      </c>
      <c r="I2697" t="s">
        <v>29</v>
      </c>
      <c r="J2697" t="s">
        <v>30</v>
      </c>
      <c r="K2697" t="s">
        <v>31</v>
      </c>
      <c r="M2697" t="s">
        <v>32</v>
      </c>
      <c r="N2697" t="str">
        <f>"6/28/2004 12:00:00 AM"</f>
        <v>6/28/2004 12:00:00 AM</v>
      </c>
      <c r="O2697" t="s">
        <v>8215</v>
      </c>
    </row>
    <row r="2698" spans="1:20" x14ac:dyDescent="0.25">
      <c r="A2698" t="str">
        <f>"3078119"</f>
        <v>3078119</v>
      </c>
      <c r="B2698" t="s">
        <v>8218</v>
      </c>
      <c r="C2698" t="str">
        <f>"78210000"</f>
        <v>78210000</v>
      </c>
      <c r="D2698" t="s">
        <v>8215</v>
      </c>
      <c r="F2698" t="s">
        <v>8216</v>
      </c>
      <c r="I2698" t="s">
        <v>29</v>
      </c>
      <c r="J2698" t="s">
        <v>30</v>
      </c>
      <c r="K2698" t="s">
        <v>31</v>
      </c>
      <c r="M2698" t="s">
        <v>32</v>
      </c>
      <c r="N2698" t="str">
        <f>"6/28/2004 12:00:00 AM"</f>
        <v>6/28/2004 12:00:00 AM</v>
      </c>
      <c r="O2698" t="s">
        <v>8215</v>
      </c>
    </row>
    <row r="2699" spans="1:20" x14ac:dyDescent="0.25">
      <c r="A2699" t="str">
        <f>"3078120"</f>
        <v>3078120</v>
      </c>
      <c r="B2699" t="s">
        <v>8219</v>
      </c>
      <c r="C2699" t="str">
        <f>"78210000"</f>
        <v>78210000</v>
      </c>
      <c r="D2699" t="s">
        <v>8215</v>
      </c>
      <c r="F2699" t="s">
        <v>8216</v>
      </c>
      <c r="I2699" t="s">
        <v>29</v>
      </c>
      <c r="J2699" t="s">
        <v>30</v>
      </c>
      <c r="K2699" t="s">
        <v>31</v>
      </c>
      <c r="M2699" t="s">
        <v>32</v>
      </c>
      <c r="N2699" t="str">
        <f>"6/28/2004 12:00:00 AM"</f>
        <v>6/28/2004 12:00:00 AM</v>
      </c>
      <c r="O2699" t="s">
        <v>8215</v>
      </c>
    </row>
    <row r="2700" spans="1:20" x14ac:dyDescent="0.25">
      <c r="A2700" t="str">
        <f>"3046411"</f>
        <v>3046411</v>
      </c>
      <c r="B2700" t="s">
        <v>8220</v>
      </c>
      <c r="C2700" t="str">
        <f>"78068000"</f>
        <v>78068000</v>
      </c>
      <c r="D2700" t="s">
        <v>8221</v>
      </c>
      <c r="E2700" t="s">
        <v>8222</v>
      </c>
      <c r="F2700" t="s">
        <v>8223</v>
      </c>
      <c r="I2700" t="s">
        <v>29</v>
      </c>
      <c r="J2700" t="s">
        <v>30</v>
      </c>
      <c r="K2700" t="s">
        <v>8224</v>
      </c>
      <c r="M2700" t="s">
        <v>32</v>
      </c>
      <c r="N2700" t="str">
        <f>"1/25/2006 12:00:00 AM"</f>
        <v>1/25/2006 12:00:00 AM</v>
      </c>
      <c r="O2700" t="s">
        <v>8221</v>
      </c>
      <c r="T2700" t="s">
        <v>8222</v>
      </c>
    </row>
    <row r="2701" spans="1:20" x14ac:dyDescent="0.25">
      <c r="A2701" t="str">
        <f>"3046154"</f>
        <v>3046154</v>
      </c>
      <c r="B2701" t="s">
        <v>8225</v>
      </c>
      <c r="C2701" t="str">
        <f>"78068000"</f>
        <v>78068000</v>
      </c>
      <c r="D2701" t="s">
        <v>8221</v>
      </c>
      <c r="E2701" t="s">
        <v>8222</v>
      </c>
      <c r="F2701" t="s">
        <v>8223</v>
      </c>
      <c r="I2701" t="s">
        <v>29</v>
      </c>
      <c r="J2701" t="s">
        <v>30</v>
      </c>
      <c r="K2701" t="s">
        <v>8224</v>
      </c>
      <c r="M2701" t="s">
        <v>32</v>
      </c>
      <c r="N2701" t="str">
        <f>"1/25/2006 12:00:00 AM"</f>
        <v>1/25/2006 12:00:00 AM</v>
      </c>
      <c r="O2701" t="s">
        <v>8221</v>
      </c>
      <c r="T2701" t="s">
        <v>8222</v>
      </c>
    </row>
    <row r="2702" spans="1:20" x14ac:dyDescent="0.25">
      <c r="A2702" t="str">
        <f>"3051591"</f>
        <v>3051591</v>
      </c>
      <c r="B2702" t="s">
        <v>8226</v>
      </c>
      <c r="C2702" t="str">
        <f>"78068000"</f>
        <v>78068000</v>
      </c>
      <c r="D2702" t="s">
        <v>8221</v>
      </c>
      <c r="E2702" t="s">
        <v>8222</v>
      </c>
      <c r="F2702" t="s">
        <v>8223</v>
      </c>
      <c r="I2702" t="s">
        <v>29</v>
      </c>
      <c r="J2702" t="s">
        <v>30</v>
      </c>
      <c r="K2702" t="s">
        <v>8224</v>
      </c>
      <c r="M2702" t="s">
        <v>32</v>
      </c>
      <c r="N2702" t="str">
        <f>"1/25/2006 12:00:00 AM"</f>
        <v>1/25/2006 12:00:00 AM</v>
      </c>
      <c r="O2702" t="s">
        <v>8221</v>
      </c>
      <c r="T2702" t="s">
        <v>8222</v>
      </c>
    </row>
    <row r="2703" spans="1:20" x14ac:dyDescent="0.25">
      <c r="A2703" t="str">
        <f>"3045870"</f>
        <v>3045870</v>
      </c>
      <c r="B2703" t="s">
        <v>8227</v>
      </c>
      <c r="C2703" t="str">
        <f>"9112000"</f>
        <v>9112000</v>
      </c>
      <c r="D2703" t="s">
        <v>8228</v>
      </c>
      <c r="F2703" t="s">
        <v>8229</v>
      </c>
      <c r="I2703" t="s">
        <v>29</v>
      </c>
      <c r="J2703" t="s">
        <v>30</v>
      </c>
      <c r="K2703" t="s">
        <v>8230</v>
      </c>
      <c r="M2703" t="s">
        <v>32</v>
      </c>
      <c r="N2703" t="str">
        <f>"2/25/2005 12:00:00 AM"</f>
        <v>2/25/2005 12:00:00 AM</v>
      </c>
      <c r="O2703" t="s">
        <v>8228</v>
      </c>
    </row>
    <row r="2704" spans="1:20" x14ac:dyDescent="0.25">
      <c r="A2704" t="str">
        <f>"3046364"</f>
        <v>3046364</v>
      </c>
      <c r="B2704" t="s">
        <v>8231</v>
      </c>
      <c r="C2704" t="str">
        <f>"9112000"</f>
        <v>9112000</v>
      </c>
      <c r="D2704" t="s">
        <v>8228</v>
      </c>
      <c r="F2704" t="s">
        <v>8229</v>
      </c>
      <c r="I2704" t="s">
        <v>29</v>
      </c>
      <c r="J2704" t="s">
        <v>30</v>
      </c>
      <c r="K2704" t="s">
        <v>8230</v>
      </c>
      <c r="M2704" t="s">
        <v>32</v>
      </c>
      <c r="N2704" t="str">
        <f>"2/25/2005 12:00:00 AM"</f>
        <v>2/25/2005 12:00:00 AM</v>
      </c>
      <c r="O2704" t="s">
        <v>8228</v>
      </c>
    </row>
    <row r="2705" spans="1:20" x14ac:dyDescent="0.25">
      <c r="A2705" t="str">
        <f>"3049361"</f>
        <v>3049361</v>
      </c>
      <c r="B2705" t="s">
        <v>8232</v>
      </c>
      <c r="C2705" t="str">
        <f>"26644000"</f>
        <v>26644000</v>
      </c>
      <c r="D2705" t="s">
        <v>8233</v>
      </c>
      <c r="F2705" t="s">
        <v>8234</v>
      </c>
      <c r="I2705" t="s">
        <v>29</v>
      </c>
      <c r="J2705" t="s">
        <v>30</v>
      </c>
      <c r="K2705" t="s">
        <v>8235</v>
      </c>
      <c r="M2705" t="s">
        <v>32</v>
      </c>
      <c r="N2705" t="str">
        <f>"3/4/2005 12:00:00 AM"</f>
        <v>3/4/2005 12:00:00 AM</v>
      </c>
      <c r="O2705" t="s">
        <v>8233</v>
      </c>
    </row>
    <row r="2706" spans="1:20" x14ac:dyDescent="0.25">
      <c r="A2706" t="str">
        <f>"3046083"</f>
        <v>3046083</v>
      </c>
      <c r="B2706" t="s">
        <v>8236</v>
      </c>
      <c r="C2706" t="str">
        <f>"56960000"</f>
        <v>56960000</v>
      </c>
      <c r="D2706" t="s">
        <v>8237</v>
      </c>
      <c r="F2706" t="s">
        <v>8238</v>
      </c>
      <c r="I2706" t="s">
        <v>29</v>
      </c>
      <c r="J2706" t="s">
        <v>30</v>
      </c>
      <c r="K2706" t="s">
        <v>31</v>
      </c>
      <c r="M2706" t="s">
        <v>32</v>
      </c>
      <c r="N2706" t="str">
        <f>"4/11/2007 12:00:00 AM"</f>
        <v>4/11/2007 12:00:00 AM</v>
      </c>
      <c r="O2706" t="s">
        <v>8237</v>
      </c>
    </row>
    <row r="2707" spans="1:20" x14ac:dyDescent="0.25">
      <c r="A2707" t="str">
        <f>"3067550"</f>
        <v>3067550</v>
      </c>
      <c r="B2707" t="s">
        <v>8239</v>
      </c>
      <c r="C2707" t="str">
        <f>"82524260"</f>
        <v>82524260</v>
      </c>
      <c r="D2707" t="s">
        <v>8240</v>
      </c>
      <c r="F2707" t="s">
        <v>8241</v>
      </c>
      <c r="I2707" t="s">
        <v>29</v>
      </c>
      <c r="J2707" t="s">
        <v>30</v>
      </c>
      <c r="K2707" t="s">
        <v>8242</v>
      </c>
      <c r="M2707" t="s">
        <v>32</v>
      </c>
      <c r="N2707" t="str">
        <f>"1/24/2006 12:00:00 AM"</f>
        <v>1/24/2006 12:00:00 AM</v>
      </c>
      <c r="O2707" t="s">
        <v>8240</v>
      </c>
    </row>
    <row r="2708" spans="1:20" x14ac:dyDescent="0.25">
      <c r="A2708" t="str">
        <f>"3067552"</f>
        <v>3067552</v>
      </c>
      <c r="B2708" t="s">
        <v>8243</v>
      </c>
      <c r="C2708" t="str">
        <f>"82524260"</f>
        <v>82524260</v>
      </c>
      <c r="D2708" t="s">
        <v>8240</v>
      </c>
      <c r="F2708" t="s">
        <v>8241</v>
      </c>
      <c r="I2708" t="s">
        <v>29</v>
      </c>
      <c r="J2708" t="s">
        <v>30</v>
      </c>
      <c r="K2708" t="s">
        <v>8242</v>
      </c>
      <c r="M2708" t="s">
        <v>32</v>
      </c>
      <c r="N2708" t="str">
        <f>"1/24/2006 12:00:00 AM"</f>
        <v>1/24/2006 12:00:00 AM</v>
      </c>
      <c r="O2708" t="s">
        <v>8240</v>
      </c>
    </row>
    <row r="2709" spans="1:20" x14ac:dyDescent="0.25">
      <c r="A2709" t="str">
        <f>"3045998"</f>
        <v>3045998</v>
      </c>
      <c r="B2709" t="s">
        <v>8244</v>
      </c>
      <c r="C2709" t="str">
        <f>"82521988"</f>
        <v>82521988</v>
      </c>
      <c r="D2709" t="s">
        <v>8245</v>
      </c>
      <c r="E2709" t="s">
        <v>8246</v>
      </c>
      <c r="F2709" t="s">
        <v>8247</v>
      </c>
      <c r="G2709" t="s">
        <v>8248</v>
      </c>
      <c r="I2709" t="s">
        <v>184</v>
      </c>
      <c r="J2709" t="s">
        <v>30</v>
      </c>
      <c r="K2709" t="s">
        <v>185</v>
      </c>
      <c r="M2709" t="s">
        <v>32</v>
      </c>
      <c r="N2709" t="str">
        <f>"3/15/2005 12:00:00 AM"</f>
        <v>3/15/2005 12:00:00 AM</v>
      </c>
      <c r="O2709" t="s">
        <v>8245</v>
      </c>
      <c r="T2709" t="s">
        <v>8246</v>
      </c>
    </row>
    <row r="2710" spans="1:20" x14ac:dyDescent="0.25">
      <c r="A2710" t="str">
        <f>"3052247"</f>
        <v>3052247</v>
      </c>
      <c r="B2710" t="s">
        <v>8249</v>
      </c>
      <c r="C2710" t="str">
        <f>"82521988"</f>
        <v>82521988</v>
      </c>
      <c r="D2710" t="s">
        <v>8245</v>
      </c>
      <c r="E2710" t="s">
        <v>8246</v>
      </c>
      <c r="F2710" t="s">
        <v>8247</v>
      </c>
      <c r="G2710" t="s">
        <v>8248</v>
      </c>
      <c r="I2710" t="s">
        <v>184</v>
      </c>
      <c r="J2710" t="s">
        <v>30</v>
      </c>
      <c r="K2710" t="s">
        <v>185</v>
      </c>
      <c r="M2710" t="s">
        <v>32</v>
      </c>
      <c r="N2710" t="str">
        <f>"3/15/2005 12:00:00 AM"</f>
        <v>3/15/2005 12:00:00 AM</v>
      </c>
      <c r="O2710" t="s">
        <v>8245</v>
      </c>
      <c r="T2710" t="s">
        <v>8246</v>
      </c>
    </row>
    <row r="2711" spans="1:20" x14ac:dyDescent="0.25">
      <c r="A2711" t="str">
        <f>"3046275"</f>
        <v>3046275</v>
      </c>
      <c r="B2711" t="s">
        <v>8250</v>
      </c>
      <c r="C2711" t="str">
        <f>"82518630"</f>
        <v>82518630</v>
      </c>
      <c r="D2711" t="s">
        <v>8251</v>
      </c>
      <c r="F2711" t="s">
        <v>8252</v>
      </c>
      <c r="I2711" t="s">
        <v>402</v>
      </c>
      <c r="J2711" t="s">
        <v>30</v>
      </c>
      <c r="K2711" t="s">
        <v>8253</v>
      </c>
      <c r="M2711" t="s">
        <v>32</v>
      </c>
      <c r="N2711" t="str">
        <f>"9/23/2011 12:00:00 AM"</f>
        <v>9/23/2011 12:00:00 AM</v>
      </c>
      <c r="O2711" t="s">
        <v>8251</v>
      </c>
    </row>
    <row r="2712" spans="1:20" x14ac:dyDescent="0.25">
      <c r="A2712" t="str">
        <f>"3038765"</f>
        <v>3038765</v>
      </c>
      <c r="B2712" t="s">
        <v>8254</v>
      </c>
      <c r="C2712" t="str">
        <f>"82517668"</f>
        <v>82517668</v>
      </c>
      <c r="D2712" t="s">
        <v>4939</v>
      </c>
      <c r="F2712" t="s">
        <v>8255</v>
      </c>
      <c r="I2712" t="s">
        <v>29</v>
      </c>
      <c r="J2712" t="s">
        <v>30</v>
      </c>
      <c r="K2712" t="s">
        <v>31</v>
      </c>
      <c r="M2712" t="s">
        <v>32</v>
      </c>
      <c r="N2712" t="str">
        <f>"9/20/2005 12:00:00 AM"</f>
        <v>9/20/2005 12:00:00 AM</v>
      </c>
      <c r="O2712" t="s">
        <v>4939</v>
      </c>
    </row>
    <row r="2713" spans="1:20" x14ac:dyDescent="0.25">
      <c r="A2713" t="str">
        <f>"3038787"</f>
        <v>3038787</v>
      </c>
      <c r="B2713" t="s">
        <v>8256</v>
      </c>
      <c r="C2713" t="str">
        <f>"82527601"</f>
        <v>82527601</v>
      </c>
      <c r="D2713" t="s">
        <v>8257</v>
      </c>
      <c r="F2713" t="s">
        <v>8258</v>
      </c>
      <c r="I2713" t="s">
        <v>29</v>
      </c>
      <c r="J2713" t="s">
        <v>30</v>
      </c>
      <c r="K2713" t="s">
        <v>31</v>
      </c>
      <c r="M2713" t="s">
        <v>32</v>
      </c>
      <c r="N2713" t="str">
        <f>"2/26/2007 12:00:00 AM"</f>
        <v>2/26/2007 12:00:00 AM</v>
      </c>
      <c r="O2713" t="s">
        <v>8257</v>
      </c>
    </row>
    <row r="2714" spans="1:20" x14ac:dyDescent="0.25">
      <c r="A2714" t="str">
        <f>"3046038"</f>
        <v>3046038</v>
      </c>
      <c r="B2714" t="s">
        <v>8259</v>
      </c>
      <c r="C2714" t="str">
        <f>"76809000"</f>
        <v>76809000</v>
      </c>
      <c r="D2714" t="s">
        <v>8260</v>
      </c>
      <c r="F2714" t="s">
        <v>8261</v>
      </c>
      <c r="I2714" t="s">
        <v>29</v>
      </c>
      <c r="J2714" t="s">
        <v>30</v>
      </c>
      <c r="K2714" t="s">
        <v>31</v>
      </c>
      <c r="M2714" t="s">
        <v>32</v>
      </c>
      <c r="N2714" t="str">
        <f>"6/24/2004 12:00:00 AM"</f>
        <v>6/24/2004 12:00:00 AM</v>
      </c>
      <c r="O2714" t="s">
        <v>8260</v>
      </c>
    </row>
    <row r="2715" spans="1:20" x14ac:dyDescent="0.25">
      <c r="A2715" t="str">
        <f>"3045987"</f>
        <v>3045987</v>
      </c>
      <c r="B2715" t="s">
        <v>8262</v>
      </c>
      <c r="C2715" t="str">
        <f>"82525225"</f>
        <v>82525225</v>
      </c>
      <c r="D2715" t="s">
        <v>8263</v>
      </c>
      <c r="F2715" t="s">
        <v>8264</v>
      </c>
      <c r="I2715" t="s">
        <v>29</v>
      </c>
      <c r="J2715" t="s">
        <v>30</v>
      </c>
      <c r="K2715" t="s">
        <v>8265</v>
      </c>
      <c r="M2715" t="s">
        <v>32</v>
      </c>
      <c r="N2715" t="str">
        <f>"1/23/2006 12:00:00 AM"</f>
        <v>1/23/2006 12:00:00 AM</v>
      </c>
      <c r="O2715" t="s">
        <v>8263</v>
      </c>
      <c r="T2715" t="s">
        <v>8263</v>
      </c>
    </row>
    <row r="2716" spans="1:20" x14ac:dyDescent="0.25">
      <c r="A2716" t="str">
        <f>"3045837"</f>
        <v>3045837</v>
      </c>
      <c r="B2716" t="s">
        <v>8266</v>
      </c>
      <c r="C2716" t="str">
        <f>"82525225"</f>
        <v>82525225</v>
      </c>
      <c r="D2716" t="s">
        <v>8263</v>
      </c>
      <c r="F2716" t="s">
        <v>8264</v>
      </c>
      <c r="I2716" t="s">
        <v>29</v>
      </c>
      <c r="J2716" t="s">
        <v>30</v>
      </c>
      <c r="K2716" t="s">
        <v>8265</v>
      </c>
      <c r="M2716" t="s">
        <v>32</v>
      </c>
      <c r="N2716" t="str">
        <f>"1/23/2006 12:00:00 AM"</f>
        <v>1/23/2006 12:00:00 AM</v>
      </c>
      <c r="O2716" t="s">
        <v>8263</v>
      </c>
      <c r="T2716" t="s">
        <v>8263</v>
      </c>
    </row>
    <row r="2717" spans="1:20" x14ac:dyDescent="0.25">
      <c r="A2717" t="str">
        <f>"3046328"</f>
        <v>3046328</v>
      </c>
      <c r="B2717" t="s">
        <v>8267</v>
      </c>
      <c r="C2717" t="str">
        <f>"82515995"</f>
        <v>82515995</v>
      </c>
      <c r="D2717" t="s">
        <v>8268</v>
      </c>
      <c r="E2717" t="s">
        <v>8269</v>
      </c>
      <c r="F2717" t="s">
        <v>8270</v>
      </c>
      <c r="I2717" t="s">
        <v>29</v>
      </c>
      <c r="J2717" t="s">
        <v>30</v>
      </c>
      <c r="K2717" t="s">
        <v>31</v>
      </c>
      <c r="M2717" t="s">
        <v>32</v>
      </c>
      <c r="N2717" t="str">
        <f>"6/17/2002 12:00:00 AM"</f>
        <v>6/17/2002 12:00:00 AM</v>
      </c>
      <c r="O2717" t="s">
        <v>8268</v>
      </c>
      <c r="T2717" t="s">
        <v>8269</v>
      </c>
    </row>
    <row r="2718" spans="1:20" x14ac:dyDescent="0.25">
      <c r="A2718" t="str">
        <f>"3046313"</f>
        <v>3046313</v>
      </c>
      <c r="B2718" t="s">
        <v>8271</v>
      </c>
      <c r="C2718" t="str">
        <f>"76812000"</f>
        <v>76812000</v>
      </c>
      <c r="D2718" t="s">
        <v>8272</v>
      </c>
      <c r="E2718" t="s">
        <v>8273</v>
      </c>
      <c r="F2718" t="s">
        <v>8261</v>
      </c>
      <c r="I2718" t="s">
        <v>29</v>
      </c>
      <c r="J2718" t="s">
        <v>30</v>
      </c>
      <c r="K2718" t="s">
        <v>8274</v>
      </c>
      <c r="M2718" t="s">
        <v>32</v>
      </c>
      <c r="N2718" t="str">
        <f>"1/11/2006 12:00:00 AM"</f>
        <v>1/11/2006 12:00:00 AM</v>
      </c>
      <c r="O2718" t="s">
        <v>8272</v>
      </c>
      <c r="T2718" t="s">
        <v>8273</v>
      </c>
    </row>
    <row r="2719" spans="1:20" x14ac:dyDescent="0.25">
      <c r="A2719" t="str">
        <f>"3043459"</f>
        <v>3043459</v>
      </c>
      <c r="B2719" t="s">
        <v>8275</v>
      </c>
      <c r="C2719" t="str">
        <f>"80076000"</f>
        <v>80076000</v>
      </c>
      <c r="D2719" t="s">
        <v>8276</v>
      </c>
      <c r="F2719" t="s">
        <v>8166</v>
      </c>
      <c r="I2719" t="s">
        <v>29</v>
      </c>
      <c r="J2719" t="s">
        <v>30</v>
      </c>
      <c r="K2719" t="s">
        <v>31</v>
      </c>
      <c r="M2719" t="s">
        <v>32</v>
      </c>
      <c r="N2719" t="str">
        <f>"7/15/2004 12:00:00 AM"</f>
        <v>7/15/2004 12:00:00 AM</v>
      </c>
      <c r="O2719" t="s">
        <v>8276</v>
      </c>
    </row>
    <row r="2720" spans="1:20" x14ac:dyDescent="0.25">
      <c r="A2720" t="str">
        <f>"3046153"</f>
        <v>3046153</v>
      </c>
      <c r="B2720" t="s">
        <v>8277</v>
      </c>
      <c r="C2720" t="str">
        <f>"63551500"</f>
        <v>63551500</v>
      </c>
      <c r="D2720" t="s">
        <v>8089</v>
      </c>
      <c r="F2720" t="s">
        <v>8090</v>
      </c>
      <c r="I2720" t="s">
        <v>29</v>
      </c>
      <c r="J2720" t="s">
        <v>30</v>
      </c>
      <c r="K2720" t="s">
        <v>31</v>
      </c>
      <c r="M2720" t="s">
        <v>32</v>
      </c>
      <c r="N2720" t="str">
        <f>"5/13/2005 12:00:00 AM"</f>
        <v>5/13/2005 12:00:00 AM</v>
      </c>
      <c r="O2720" t="s">
        <v>8089</v>
      </c>
    </row>
    <row r="2721" spans="1:20" x14ac:dyDescent="0.25">
      <c r="A2721" t="str">
        <f>"3043480"</f>
        <v>3043480</v>
      </c>
      <c r="B2721" t="s">
        <v>8278</v>
      </c>
      <c r="C2721" t="str">
        <f>"82529474"</f>
        <v>82529474</v>
      </c>
      <c r="D2721" t="s">
        <v>8279</v>
      </c>
      <c r="E2721" t="s">
        <v>8280</v>
      </c>
      <c r="F2721" t="s">
        <v>8281</v>
      </c>
      <c r="I2721" t="s">
        <v>29</v>
      </c>
      <c r="J2721" t="s">
        <v>30</v>
      </c>
      <c r="K2721" t="s">
        <v>31</v>
      </c>
      <c r="M2721" t="s">
        <v>32</v>
      </c>
      <c r="N2721" t="str">
        <f>"4/23/2008 12:00:00 AM"</f>
        <v>4/23/2008 12:00:00 AM</v>
      </c>
      <c r="O2721" t="s">
        <v>8279</v>
      </c>
      <c r="T2721" t="s">
        <v>8280</v>
      </c>
    </row>
    <row r="2722" spans="1:20" x14ac:dyDescent="0.25">
      <c r="A2722" t="str">
        <f>"3043565"</f>
        <v>3043565</v>
      </c>
      <c r="B2722" t="s">
        <v>8282</v>
      </c>
      <c r="C2722" t="str">
        <f>"2612000"</f>
        <v>2612000</v>
      </c>
      <c r="D2722" t="s">
        <v>8283</v>
      </c>
      <c r="E2722" t="s">
        <v>8284</v>
      </c>
      <c r="F2722" t="s">
        <v>8285</v>
      </c>
      <c r="I2722" t="s">
        <v>29</v>
      </c>
      <c r="J2722" t="s">
        <v>30</v>
      </c>
      <c r="K2722" t="s">
        <v>31</v>
      </c>
      <c r="M2722" t="s">
        <v>32</v>
      </c>
      <c r="N2722" t="str">
        <f>"5/14/2003 12:00:00 AM"</f>
        <v>5/14/2003 12:00:00 AM</v>
      </c>
      <c r="O2722" t="s">
        <v>8283</v>
      </c>
      <c r="T2722" t="s">
        <v>8284</v>
      </c>
    </row>
    <row r="2723" spans="1:20" x14ac:dyDescent="0.25">
      <c r="A2723" t="str">
        <f>"3070824"</f>
        <v>3070824</v>
      </c>
      <c r="B2723" t="s">
        <v>8286</v>
      </c>
      <c r="C2723" t="str">
        <f>"49528000"</f>
        <v>49528000</v>
      </c>
      <c r="D2723" t="s">
        <v>8287</v>
      </c>
      <c r="E2723" t="s">
        <v>8288</v>
      </c>
      <c r="F2723" t="s">
        <v>8289</v>
      </c>
      <c r="I2723" t="s">
        <v>29</v>
      </c>
      <c r="J2723" t="s">
        <v>30</v>
      </c>
      <c r="K2723" t="s">
        <v>31</v>
      </c>
      <c r="M2723" t="s">
        <v>32</v>
      </c>
      <c r="N2723" t="str">
        <f>"2/14/2003 12:00:00 AM"</f>
        <v>2/14/2003 12:00:00 AM</v>
      </c>
      <c r="O2723" t="s">
        <v>8287</v>
      </c>
      <c r="T2723" t="s">
        <v>8288</v>
      </c>
    </row>
    <row r="2724" spans="1:20" x14ac:dyDescent="0.25">
      <c r="A2724" t="str">
        <f>"3073778"</f>
        <v>3073778</v>
      </c>
      <c r="B2724" t="s">
        <v>8290</v>
      </c>
      <c r="C2724" t="str">
        <f>"49528000"</f>
        <v>49528000</v>
      </c>
      <c r="D2724" t="s">
        <v>8287</v>
      </c>
      <c r="E2724" t="s">
        <v>8288</v>
      </c>
      <c r="F2724" t="s">
        <v>8289</v>
      </c>
      <c r="I2724" t="s">
        <v>29</v>
      </c>
      <c r="J2724" t="s">
        <v>30</v>
      </c>
      <c r="K2724" t="s">
        <v>31</v>
      </c>
      <c r="M2724" t="s">
        <v>32</v>
      </c>
      <c r="N2724" t="str">
        <f>"2/14/2003 12:00:00 AM"</f>
        <v>2/14/2003 12:00:00 AM</v>
      </c>
      <c r="O2724" t="s">
        <v>8287</v>
      </c>
      <c r="T2724" t="s">
        <v>8288</v>
      </c>
    </row>
    <row r="2725" spans="1:20" x14ac:dyDescent="0.25">
      <c r="A2725" t="str">
        <f>"3046381"</f>
        <v>3046381</v>
      </c>
      <c r="B2725" t="s">
        <v>8291</v>
      </c>
      <c r="C2725" t="str">
        <f>"72204000"</f>
        <v>72204000</v>
      </c>
      <c r="D2725" t="s">
        <v>8292</v>
      </c>
      <c r="E2725" t="s">
        <v>8293</v>
      </c>
      <c r="F2725" t="s">
        <v>8294</v>
      </c>
      <c r="I2725" t="s">
        <v>29</v>
      </c>
      <c r="J2725" t="s">
        <v>30</v>
      </c>
      <c r="K2725" t="s">
        <v>8295</v>
      </c>
      <c r="M2725" t="s">
        <v>32</v>
      </c>
      <c r="N2725" t="str">
        <f>"1/6/2006 12:00:00 AM"</f>
        <v>1/6/2006 12:00:00 AM</v>
      </c>
      <c r="O2725" t="s">
        <v>8292</v>
      </c>
      <c r="T2725" t="s">
        <v>8293</v>
      </c>
    </row>
    <row r="2726" spans="1:20" x14ac:dyDescent="0.25">
      <c r="A2726" t="str">
        <f>"3046324"</f>
        <v>3046324</v>
      </c>
      <c r="B2726" t="s">
        <v>8296</v>
      </c>
      <c r="C2726" t="str">
        <f>"82518533"</f>
        <v>82518533</v>
      </c>
      <c r="D2726" t="s">
        <v>8297</v>
      </c>
      <c r="F2726" t="s">
        <v>8298</v>
      </c>
      <c r="I2726" t="s">
        <v>29</v>
      </c>
      <c r="J2726" t="s">
        <v>30</v>
      </c>
      <c r="K2726" t="s">
        <v>8295</v>
      </c>
      <c r="M2726" t="s">
        <v>32</v>
      </c>
      <c r="N2726" t="str">
        <f>"6/16/2005 12:00:00 AM"</f>
        <v>6/16/2005 12:00:00 AM</v>
      </c>
      <c r="O2726" t="s">
        <v>8297</v>
      </c>
    </row>
    <row r="2727" spans="1:20" x14ac:dyDescent="0.25">
      <c r="A2727" t="str">
        <f>"3043461"</f>
        <v>3043461</v>
      </c>
      <c r="B2727" t="s">
        <v>8299</v>
      </c>
      <c r="C2727" t="str">
        <f>"21368000"</f>
        <v>21368000</v>
      </c>
      <c r="D2727" t="s">
        <v>8300</v>
      </c>
      <c r="F2727" t="str">
        <f>"C/O DONNA T DOBY"</f>
        <v>C/O DONNA T DOBY</v>
      </c>
      <c r="G2727" t="s">
        <v>8301</v>
      </c>
      <c r="I2727" t="s">
        <v>29</v>
      </c>
      <c r="J2727" t="s">
        <v>30</v>
      </c>
      <c r="K2727" t="s">
        <v>31</v>
      </c>
      <c r="M2727" t="s">
        <v>32</v>
      </c>
      <c r="N2727" t="str">
        <f>"7/22/2003 12:00:00 AM"</f>
        <v>7/22/2003 12:00:00 AM</v>
      </c>
      <c r="O2727" t="s">
        <v>8300</v>
      </c>
    </row>
    <row r="2728" spans="1:20" x14ac:dyDescent="0.25">
      <c r="A2728" t="str">
        <f>"3043228"</f>
        <v>3043228</v>
      </c>
      <c r="B2728" t="s">
        <v>8302</v>
      </c>
      <c r="C2728" t="str">
        <f>"3163800"</f>
        <v>3163800</v>
      </c>
      <c r="D2728" t="s">
        <v>8303</v>
      </c>
      <c r="F2728" t="s">
        <v>8304</v>
      </c>
      <c r="I2728" t="s">
        <v>29</v>
      </c>
      <c r="J2728" t="s">
        <v>30</v>
      </c>
      <c r="K2728" t="s">
        <v>8305</v>
      </c>
      <c r="M2728" t="s">
        <v>32</v>
      </c>
      <c r="N2728" t="str">
        <f>"1/20/2005 12:00:00 AM"</f>
        <v>1/20/2005 12:00:00 AM</v>
      </c>
      <c r="O2728" t="s">
        <v>8303</v>
      </c>
    </row>
    <row r="2729" spans="1:20" x14ac:dyDescent="0.25">
      <c r="A2729" t="str">
        <f>"3043339"</f>
        <v>3043339</v>
      </c>
      <c r="B2729" t="s">
        <v>8306</v>
      </c>
      <c r="C2729" t="str">
        <f>"82523885"</f>
        <v>82523885</v>
      </c>
      <c r="D2729" t="s">
        <v>8307</v>
      </c>
      <c r="E2729" t="s">
        <v>8308</v>
      </c>
      <c r="F2729" t="s">
        <v>8309</v>
      </c>
      <c r="I2729" t="s">
        <v>29</v>
      </c>
      <c r="J2729" t="s">
        <v>30</v>
      </c>
      <c r="K2729" t="s">
        <v>31</v>
      </c>
      <c r="M2729" t="s">
        <v>32</v>
      </c>
      <c r="N2729" t="str">
        <f>"2/7/2005 12:00:00 AM"</f>
        <v>2/7/2005 12:00:00 AM</v>
      </c>
      <c r="O2729" t="s">
        <v>8307</v>
      </c>
      <c r="T2729" t="s">
        <v>8308</v>
      </c>
    </row>
    <row r="2730" spans="1:20" x14ac:dyDescent="0.25">
      <c r="A2730" t="str">
        <f>"3046268"</f>
        <v>3046268</v>
      </c>
      <c r="B2730" t="s">
        <v>8310</v>
      </c>
      <c r="C2730" t="str">
        <f>"14316000"</f>
        <v>14316000</v>
      </c>
      <c r="D2730" t="s">
        <v>8311</v>
      </c>
      <c r="E2730" t="s">
        <v>8312</v>
      </c>
      <c r="F2730" t="s">
        <v>8313</v>
      </c>
      <c r="I2730" t="s">
        <v>29</v>
      </c>
      <c r="J2730" t="s">
        <v>30</v>
      </c>
      <c r="K2730" t="s">
        <v>31</v>
      </c>
      <c r="M2730" t="s">
        <v>32</v>
      </c>
      <c r="N2730" t="str">
        <f>"6/20/2003 12:00:00 AM"</f>
        <v>6/20/2003 12:00:00 AM</v>
      </c>
      <c r="O2730" t="s">
        <v>8311</v>
      </c>
      <c r="T2730" t="s">
        <v>8312</v>
      </c>
    </row>
    <row r="2731" spans="1:20" x14ac:dyDescent="0.25">
      <c r="A2731" t="str">
        <f>"3046421"</f>
        <v>3046421</v>
      </c>
      <c r="B2731" t="s">
        <v>8314</v>
      </c>
      <c r="C2731" t="str">
        <f>"77562000"</f>
        <v>77562000</v>
      </c>
      <c r="D2731" t="s">
        <v>8315</v>
      </c>
      <c r="F2731" t="s">
        <v>8316</v>
      </c>
      <c r="I2731" t="s">
        <v>29</v>
      </c>
      <c r="J2731" t="s">
        <v>30</v>
      </c>
      <c r="K2731" t="s">
        <v>8317</v>
      </c>
      <c r="M2731" t="s">
        <v>32</v>
      </c>
      <c r="N2731" t="str">
        <f>"1/23/2006 12:00:00 AM"</f>
        <v>1/23/2006 12:00:00 AM</v>
      </c>
      <c r="O2731" t="s">
        <v>8315</v>
      </c>
    </row>
    <row r="2732" spans="1:20" x14ac:dyDescent="0.25">
      <c r="A2732" t="str">
        <f>"3046374"</f>
        <v>3046374</v>
      </c>
      <c r="B2732" t="s">
        <v>8318</v>
      </c>
      <c r="C2732" t="str">
        <f>"9252000"</f>
        <v>9252000</v>
      </c>
      <c r="D2732" t="s">
        <v>8319</v>
      </c>
      <c r="F2732" t="s">
        <v>8320</v>
      </c>
      <c r="I2732" t="s">
        <v>29</v>
      </c>
      <c r="J2732" t="s">
        <v>30</v>
      </c>
      <c r="K2732" t="s">
        <v>8321</v>
      </c>
      <c r="M2732" t="s">
        <v>32</v>
      </c>
      <c r="N2732" t="str">
        <f>"2/24/2005 12:00:00 AM"</f>
        <v>2/24/2005 12:00:00 AM</v>
      </c>
      <c r="O2732" t="s">
        <v>8319</v>
      </c>
    </row>
    <row r="2733" spans="1:20" x14ac:dyDescent="0.25">
      <c r="A2733" t="str">
        <f>"3045847"</f>
        <v>3045847</v>
      </c>
      <c r="B2733" t="s">
        <v>8322</v>
      </c>
      <c r="C2733" t="str">
        <f>"9252000"</f>
        <v>9252000</v>
      </c>
      <c r="D2733" t="s">
        <v>8319</v>
      </c>
      <c r="F2733" t="s">
        <v>8320</v>
      </c>
      <c r="I2733" t="s">
        <v>29</v>
      </c>
      <c r="J2733" t="s">
        <v>30</v>
      </c>
      <c r="K2733" t="s">
        <v>8321</v>
      </c>
      <c r="M2733" t="s">
        <v>32</v>
      </c>
      <c r="N2733" t="str">
        <f>"2/24/2005 12:00:00 AM"</f>
        <v>2/24/2005 12:00:00 AM</v>
      </c>
      <c r="O2733" t="s">
        <v>8319</v>
      </c>
    </row>
    <row r="2734" spans="1:20" x14ac:dyDescent="0.25">
      <c r="A2734" t="str">
        <f>"3043437"</f>
        <v>3043437</v>
      </c>
      <c r="B2734" t="s">
        <v>8323</v>
      </c>
      <c r="C2734" t="str">
        <f>"82518043"</f>
        <v>82518043</v>
      </c>
      <c r="D2734" t="s">
        <v>8324</v>
      </c>
      <c r="F2734" t="s">
        <v>8325</v>
      </c>
      <c r="I2734" t="s">
        <v>29</v>
      </c>
      <c r="J2734" t="s">
        <v>30</v>
      </c>
      <c r="K2734" t="s">
        <v>1010</v>
      </c>
      <c r="M2734" t="s">
        <v>32</v>
      </c>
      <c r="N2734" t="str">
        <f>"3/9/2006 12:00:00 AM"</f>
        <v>3/9/2006 12:00:00 AM</v>
      </c>
      <c r="O2734" t="s">
        <v>8324</v>
      </c>
    </row>
    <row r="2735" spans="1:20" x14ac:dyDescent="0.25">
      <c r="A2735" t="str">
        <f>"3058197"</f>
        <v>3058197</v>
      </c>
      <c r="B2735" t="s">
        <v>8326</v>
      </c>
      <c r="C2735" t="str">
        <f>"7748000"</f>
        <v>7748000</v>
      </c>
      <c r="D2735" t="s">
        <v>8327</v>
      </c>
      <c r="E2735" t="s">
        <v>8328</v>
      </c>
      <c r="F2735" t="s">
        <v>8329</v>
      </c>
      <c r="I2735" t="s">
        <v>29</v>
      </c>
      <c r="J2735" t="s">
        <v>30</v>
      </c>
      <c r="K2735" t="s">
        <v>31</v>
      </c>
      <c r="M2735" t="s">
        <v>32</v>
      </c>
      <c r="N2735" t="str">
        <f>"6/18/2002 12:00:00 AM"</f>
        <v>6/18/2002 12:00:00 AM</v>
      </c>
      <c r="O2735" t="s">
        <v>8327</v>
      </c>
      <c r="T2735" t="s">
        <v>8328</v>
      </c>
    </row>
    <row r="2736" spans="1:20" x14ac:dyDescent="0.25">
      <c r="A2736" t="str">
        <f>"3046291"</f>
        <v>3046291</v>
      </c>
      <c r="B2736" t="s">
        <v>8330</v>
      </c>
      <c r="C2736" t="str">
        <f>"48488000"</f>
        <v>48488000</v>
      </c>
      <c r="D2736" t="s">
        <v>8331</v>
      </c>
      <c r="F2736" t="s">
        <v>8332</v>
      </c>
      <c r="I2736" t="s">
        <v>29</v>
      </c>
      <c r="J2736" t="s">
        <v>30</v>
      </c>
      <c r="K2736" t="s">
        <v>8333</v>
      </c>
      <c r="M2736" t="s">
        <v>32</v>
      </c>
      <c r="N2736" t="str">
        <f>"2/11/2005 12:00:00 AM"</f>
        <v>2/11/2005 12:00:00 AM</v>
      </c>
      <c r="O2736" t="s">
        <v>8331</v>
      </c>
    </row>
    <row r="2737" spans="1:20" x14ac:dyDescent="0.25">
      <c r="A2737" t="str">
        <f>"3046199"</f>
        <v>3046199</v>
      </c>
      <c r="B2737" t="s">
        <v>8334</v>
      </c>
      <c r="C2737" t="str">
        <f>"48488000"</f>
        <v>48488000</v>
      </c>
      <c r="D2737" t="s">
        <v>8331</v>
      </c>
      <c r="F2737" t="s">
        <v>8332</v>
      </c>
      <c r="I2737" t="s">
        <v>29</v>
      </c>
      <c r="J2737" t="s">
        <v>30</v>
      </c>
      <c r="K2737" t="s">
        <v>8333</v>
      </c>
      <c r="M2737" t="s">
        <v>32</v>
      </c>
      <c r="N2737" t="str">
        <f>"2/11/2005 12:00:00 AM"</f>
        <v>2/11/2005 12:00:00 AM</v>
      </c>
      <c r="O2737" t="s">
        <v>8331</v>
      </c>
    </row>
    <row r="2738" spans="1:20" x14ac:dyDescent="0.25">
      <c r="A2738" t="str">
        <f>"3046159"</f>
        <v>3046159</v>
      </c>
      <c r="B2738" t="s">
        <v>8335</v>
      </c>
      <c r="C2738" t="str">
        <f>"82520604"</f>
        <v>82520604</v>
      </c>
      <c r="D2738" t="s">
        <v>8336</v>
      </c>
      <c r="F2738" t="s">
        <v>8337</v>
      </c>
      <c r="I2738" t="s">
        <v>29</v>
      </c>
      <c r="J2738" t="s">
        <v>30</v>
      </c>
      <c r="K2738" t="s">
        <v>31</v>
      </c>
      <c r="M2738" t="s">
        <v>32</v>
      </c>
      <c r="N2738" t="str">
        <f>"2/2/2004 12:00:00 AM"</f>
        <v>2/2/2004 12:00:00 AM</v>
      </c>
      <c r="O2738" t="s">
        <v>8336</v>
      </c>
    </row>
    <row r="2739" spans="1:20" x14ac:dyDescent="0.25">
      <c r="A2739" t="str">
        <f>"3046318"</f>
        <v>3046318</v>
      </c>
      <c r="B2739" t="s">
        <v>8338</v>
      </c>
      <c r="C2739" t="str">
        <f>"82522285"</f>
        <v>82522285</v>
      </c>
      <c r="D2739" t="s">
        <v>8339</v>
      </c>
      <c r="E2739" t="s">
        <v>8340</v>
      </c>
      <c r="F2739" t="s">
        <v>8341</v>
      </c>
      <c r="I2739" t="s">
        <v>29</v>
      </c>
      <c r="J2739" t="s">
        <v>30</v>
      </c>
      <c r="K2739" t="s">
        <v>8342</v>
      </c>
      <c r="M2739" t="s">
        <v>32</v>
      </c>
      <c r="N2739" t="str">
        <f>"2/13/2007 12:00:00 AM"</f>
        <v>2/13/2007 12:00:00 AM</v>
      </c>
      <c r="O2739" t="s">
        <v>8339</v>
      </c>
      <c r="T2739" t="s">
        <v>8340</v>
      </c>
    </row>
    <row r="2740" spans="1:20" x14ac:dyDescent="0.25">
      <c r="A2740" t="str">
        <f>"3043478"</f>
        <v>3043478</v>
      </c>
      <c r="B2740" t="s">
        <v>8343</v>
      </c>
      <c r="C2740" t="str">
        <f>"8082000"</f>
        <v>8082000</v>
      </c>
      <c r="D2740" t="s">
        <v>8153</v>
      </c>
      <c r="F2740" t="s">
        <v>8154</v>
      </c>
      <c r="I2740" t="s">
        <v>29</v>
      </c>
      <c r="J2740" t="s">
        <v>30</v>
      </c>
      <c r="K2740" t="s">
        <v>31</v>
      </c>
      <c r="M2740" t="s">
        <v>32</v>
      </c>
      <c r="N2740" t="str">
        <f>"6/11/2002 12:00:00 AM"</f>
        <v>6/11/2002 12:00:00 AM</v>
      </c>
      <c r="O2740" t="s">
        <v>8153</v>
      </c>
    </row>
    <row r="2741" spans="1:20" x14ac:dyDescent="0.25">
      <c r="A2741" t="str">
        <f>"3043479"</f>
        <v>3043479</v>
      </c>
      <c r="B2741" t="s">
        <v>8344</v>
      </c>
      <c r="C2741" t="str">
        <f>"68262250"</f>
        <v>68262250</v>
      </c>
      <c r="D2741" t="s">
        <v>8161</v>
      </c>
      <c r="F2741" t="s">
        <v>8162</v>
      </c>
      <c r="I2741" t="s">
        <v>29</v>
      </c>
      <c r="J2741" t="s">
        <v>30</v>
      </c>
      <c r="K2741" t="s">
        <v>31</v>
      </c>
      <c r="M2741" t="s">
        <v>32</v>
      </c>
      <c r="N2741" t="str">
        <f>"5/14/2004 12:00:00 AM"</f>
        <v>5/14/2004 12:00:00 AM</v>
      </c>
      <c r="O2741" t="s">
        <v>8161</v>
      </c>
    </row>
    <row r="2742" spans="1:20" x14ac:dyDescent="0.25">
      <c r="A2742" t="str">
        <f>"3059682"</f>
        <v>3059682</v>
      </c>
      <c r="B2742" t="s">
        <v>8345</v>
      </c>
      <c r="C2742" t="str">
        <f>"81292500"</f>
        <v>81292500</v>
      </c>
      <c r="D2742" t="s">
        <v>8346</v>
      </c>
      <c r="E2742" t="s">
        <v>8347</v>
      </c>
      <c r="F2742" t="s">
        <v>8348</v>
      </c>
      <c r="I2742" t="s">
        <v>29</v>
      </c>
      <c r="J2742" t="s">
        <v>30</v>
      </c>
      <c r="K2742" t="s">
        <v>31</v>
      </c>
      <c r="M2742" t="s">
        <v>32</v>
      </c>
      <c r="N2742" t="str">
        <f>"5/31/2002 12:00:00 AM"</f>
        <v>5/31/2002 12:00:00 AM</v>
      </c>
      <c r="O2742" t="s">
        <v>8346</v>
      </c>
      <c r="T2742" t="s">
        <v>8347</v>
      </c>
    </row>
    <row r="2743" spans="1:20" x14ac:dyDescent="0.25">
      <c r="A2743" t="str">
        <f>"3048676"</f>
        <v>3048676</v>
      </c>
      <c r="B2743" t="s">
        <v>8349</v>
      </c>
      <c r="C2743" t="str">
        <f>"2817680"</f>
        <v>2817680</v>
      </c>
      <c r="D2743" t="s">
        <v>8350</v>
      </c>
      <c r="E2743" t="s">
        <v>8351</v>
      </c>
      <c r="F2743" t="s">
        <v>8352</v>
      </c>
      <c r="I2743" t="s">
        <v>29</v>
      </c>
      <c r="J2743" t="s">
        <v>30</v>
      </c>
      <c r="K2743" t="s">
        <v>8353</v>
      </c>
      <c r="M2743" t="s">
        <v>32</v>
      </c>
      <c r="N2743" t="str">
        <f>"2/1/2006 12:00:00 AM"</f>
        <v>2/1/2006 12:00:00 AM</v>
      </c>
      <c r="O2743" t="s">
        <v>8350</v>
      </c>
      <c r="T2743" t="s">
        <v>8351</v>
      </c>
    </row>
    <row r="2744" spans="1:20" x14ac:dyDescent="0.25">
      <c r="A2744" t="str">
        <f>"3048641"</f>
        <v>3048641</v>
      </c>
      <c r="B2744" t="s">
        <v>8354</v>
      </c>
      <c r="C2744" t="str">
        <f>"71093000"</f>
        <v>71093000</v>
      </c>
      <c r="D2744" t="s">
        <v>8355</v>
      </c>
      <c r="E2744" t="s">
        <v>8356</v>
      </c>
      <c r="F2744" t="s">
        <v>8357</v>
      </c>
      <c r="I2744" t="s">
        <v>29</v>
      </c>
      <c r="J2744" t="s">
        <v>30</v>
      </c>
      <c r="K2744" t="s">
        <v>31</v>
      </c>
      <c r="M2744" t="s">
        <v>32</v>
      </c>
      <c r="N2744" t="str">
        <f>"12/5/2007 12:00:00 AM"</f>
        <v>12/5/2007 12:00:00 AM</v>
      </c>
      <c r="O2744" t="s">
        <v>8355</v>
      </c>
      <c r="T2744" t="s">
        <v>8356</v>
      </c>
    </row>
    <row r="2745" spans="1:20" x14ac:dyDescent="0.25">
      <c r="A2745" t="str">
        <f>"3048670"</f>
        <v>3048670</v>
      </c>
      <c r="B2745" t="s">
        <v>8358</v>
      </c>
      <c r="C2745" t="str">
        <f>"8758000"</f>
        <v>8758000</v>
      </c>
      <c r="D2745" t="s">
        <v>8359</v>
      </c>
      <c r="E2745" t="s">
        <v>8360</v>
      </c>
      <c r="F2745" t="s">
        <v>8361</v>
      </c>
      <c r="I2745" t="s">
        <v>29</v>
      </c>
      <c r="J2745" t="s">
        <v>30</v>
      </c>
      <c r="K2745" t="s">
        <v>8362</v>
      </c>
      <c r="M2745" t="s">
        <v>32</v>
      </c>
      <c r="N2745" t="str">
        <f>"2/8/2007 12:00:00 AM"</f>
        <v>2/8/2007 12:00:00 AM</v>
      </c>
      <c r="O2745" t="s">
        <v>8359</v>
      </c>
      <c r="T2745" t="s">
        <v>8360</v>
      </c>
    </row>
    <row r="2746" spans="1:20" x14ac:dyDescent="0.25">
      <c r="A2746" t="str">
        <f>"3046451"</f>
        <v>3046451</v>
      </c>
      <c r="B2746" t="s">
        <v>8363</v>
      </c>
      <c r="C2746" t="str">
        <f>"82526579"</f>
        <v>82526579</v>
      </c>
      <c r="D2746" t="s">
        <v>8364</v>
      </c>
      <c r="F2746" t="s">
        <v>8365</v>
      </c>
      <c r="I2746" t="s">
        <v>29</v>
      </c>
      <c r="J2746" t="s">
        <v>30</v>
      </c>
      <c r="K2746" t="s">
        <v>31</v>
      </c>
      <c r="M2746" t="s">
        <v>32</v>
      </c>
      <c r="N2746" t="str">
        <f>"8/15/2006 12:00:00 AM"</f>
        <v>8/15/2006 12:00:00 AM</v>
      </c>
      <c r="O2746" t="s">
        <v>8364</v>
      </c>
    </row>
    <row r="2747" spans="1:20" x14ac:dyDescent="0.25">
      <c r="A2747" t="str">
        <f>"3059683"</f>
        <v>3059683</v>
      </c>
      <c r="B2747" t="s">
        <v>8366</v>
      </c>
      <c r="C2747" t="str">
        <f>"45260750"</f>
        <v>45260750</v>
      </c>
      <c r="D2747" t="s">
        <v>8367</v>
      </c>
      <c r="E2747" t="s">
        <v>8368</v>
      </c>
      <c r="F2747" t="s">
        <v>8369</v>
      </c>
      <c r="I2747" t="s">
        <v>29</v>
      </c>
      <c r="J2747" t="s">
        <v>30</v>
      </c>
      <c r="K2747" t="s">
        <v>31</v>
      </c>
      <c r="M2747" t="s">
        <v>32</v>
      </c>
      <c r="N2747" t="str">
        <f>"1/22/2004 12:00:00 AM"</f>
        <v>1/22/2004 12:00:00 AM</v>
      </c>
      <c r="O2747" t="s">
        <v>8367</v>
      </c>
      <c r="T2747" t="s">
        <v>8368</v>
      </c>
    </row>
    <row r="2748" spans="1:20" x14ac:dyDescent="0.25">
      <c r="A2748" t="str">
        <f>"3046461"</f>
        <v>3046461</v>
      </c>
      <c r="B2748" t="s">
        <v>8370</v>
      </c>
      <c r="C2748" t="str">
        <f>"39190000"</f>
        <v>39190000</v>
      </c>
      <c r="D2748" t="s">
        <v>8371</v>
      </c>
      <c r="F2748" t="s">
        <v>8372</v>
      </c>
      <c r="I2748" t="s">
        <v>402</v>
      </c>
      <c r="J2748" t="s">
        <v>30</v>
      </c>
      <c r="K2748" t="s">
        <v>403</v>
      </c>
      <c r="M2748" t="s">
        <v>32</v>
      </c>
      <c r="N2748" t="str">
        <f>"7/10/2002 12:00:00 AM"</f>
        <v>7/10/2002 12:00:00 AM</v>
      </c>
      <c r="O2748" t="s">
        <v>8371</v>
      </c>
    </row>
    <row r="2749" spans="1:20" x14ac:dyDescent="0.25">
      <c r="A2749" t="str">
        <f>"3045953"</f>
        <v>3045953</v>
      </c>
      <c r="B2749" t="s">
        <v>8373</v>
      </c>
      <c r="C2749" t="str">
        <f>"52284000"</f>
        <v>52284000</v>
      </c>
      <c r="D2749" t="s">
        <v>8374</v>
      </c>
      <c r="E2749" t="s">
        <v>8375</v>
      </c>
      <c r="F2749" t="s">
        <v>8376</v>
      </c>
      <c r="I2749" t="s">
        <v>29</v>
      </c>
      <c r="J2749" t="s">
        <v>30</v>
      </c>
      <c r="K2749" t="s">
        <v>8377</v>
      </c>
      <c r="M2749" t="s">
        <v>32</v>
      </c>
      <c r="N2749" t="str">
        <f>"2/15/2005 12:00:00 AM"</f>
        <v>2/15/2005 12:00:00 AM</v>
      </c>
      <c r="O2749" t="s">
        <v>8374</v>
      </c>
      <c r="T2749" t="s">
        <v>8375</v>
      </c>
    </row>
    <row r="2750" spans="1:20" x14ac:dyDescent="0.25">
      <c r="A2750" t="str">
        <f>"3066143"</f>
        <v>3066143</v>
      </c>
      <c r="B2750" t="s">
        <v>8378</v>
      </c>
      <c r="C2750" t="str">
        <f>"81328000"</f>
        <v>81328000</v>
      </c>
      <c r="D2750" t="s">
        <v>8379</v>
      </c>
      <c r="F2750" t="s">
        <v>8380</v>
      </c>
      <c r="I2750" t="s">
        <v>29</v>
      </c>
      <c r="J2750" t="s">
        <v>30</v>
      </c>
      <c r="K2750" t="s">
        <v>31</v>
      </c>
      <c r="M2750" t="s">
        <v>32</v>
      </c>
      <c r="N2750" t="str">
        <f>"7/19/2004 12:00:00 AM"</f>
        <v>7/19/2004 12:00:00 AM</v>
      </c>
      <c r="O2750" t="s">
        <v>8379</v>
      </c>
    </row>
    <row r="2751" spans="1:20" x14ac:dyDescent="0.25">
      <c r="A2751" t="str">
        <f>"3043729"</f>
        <v>3043729</v>
      </c>
      <c r="B2751" t="s">
        <v>8381</v>
      </c>
      <c r="C2751" t="str">
        <f>"68200000"</f>
        <v>68200000</v>
      </c>
      <c r="D2751" t="s">
        <v>8382</v>
      </c>
      <c r="E2751" t="s">
        <v>8383</v>
      </c>
      <c r="F2751" t="s">
        <v>8384</v>
      </c>
      <c r="I2751" t="s">
        <v>29</v>
      </c>
      <c r="J2751" t="s">
        <v>30</v>
      </c>
      <c r="K2751" t="s">
        <v>31</v>
      </c>
      <c r="M2751" t="s">
        <v>32</v>
      </c>
      <c r="N2751" t="str">
        <f>"7/30/2002 12:00:00 AM"</f>
        <v>7/30/2002 12:00:00 AM</v>
      </c>
      <c r="O2751" t="s">
        <v>8382</v>
      </c>
      <c r="T2751" t="s">
        <v>8383</v>
      </c>
    </row>
    <row r="2752" spans="1:20" x14ac:dyDescent="0.25">
      <c r="A2752" t="str">
        <f>"3049013"</f>
        <v>3049013</v>
      </c>
      <c r="B2752" t="s">
        <v>8385</v>
      </c>
      <c r="C2752" t="str">
        <f>"68200000"</f>
        <v>68200000</v>
      </c>
      <c r="D2752" t="s">
        <v>8382</v>
      </c>
      <c r="E2752" t="s">
        <v>8383</v>
      </c>
      <c r="F2752" t="s">
        <v>8384</v>
      </c>
      <c r="I2752" t="s">
        <v>29</v>
      </c>
      <c r="J2752" t="s">
        <v>30</v>
      </c>
      <c r="K2752" t="s">
        <v>31</v>
      </c>
      <c r="M2752" t="s">
        <v>32</v>
      </c>
      <c r="N2752" t="str">
        <f>"7/30/2002 12:00:00 AM"</f>
        <v>7/30/2002 12:00:00 AM</v>
      </c>
      <c r="O2752" t="s">
        <v>8382</v>
      </c>
      <c r="T2752" t="s">
        <v>8383</v>
      </c>
    </row>
    <row r="2753" spans="1:20" x14ac:dyDescent="0.25">
      <c r="A2753" t="str">
        <f>"3043704"</f>
        <v>3043704</v>
      </c>
      <c r="B2753" t="s">
        <v>8386</v>
      </c>
      <c r="C2753" t="str">
        <f>"80572870"</f>
        <v>80572870</v>
      </c>
      <c r="D2753" t="s">
        <v>8387</v>
      </c>
      <c r="F2753" t="s">
        <v>8388</v>
      </c>
      <c r="I2753" t="s">
        <v>29</v>
      </c>
      <c r="J2753" t="s">
        <v>30</v>
      </c>
      <c r="K2753" t="s">
        <v>31</v>
      </c>
      <c r="M2753" t="s">
        <v>32</v>
      </c>
      <c r="N2753" t="str">
        <f>"7/16/2004 12:00:00 AM"</f>
        <v>7/16/2004 12:00:00 AM</v>
      </c>
      <c r="O2753" t="s">
        <v>8387</v>
      </c>
    </row>
    <row r="2754" spans="1:20" x14ac:dyDescent="0.25">
      <c r="A2754" t="str">
        <f>"3043656"</f>
        <v>3043656</v>
      </c>
      <c r="B2754" t="s">
        <v>8389</v>
      </c>
      <c r="C2754" t="str">
        <f>"82530461"</f>
        <v>82530461</v>
      </c>
      <c r="D2754" t="s">
        <v>8390</v>
      </c>
      <c r="E2754" t="s">
        <v>8391</v>
      </c>
      <c r="F2754" t="s">
        <v>8392</v>
      </c>
      <c r="I2754" t="s">
        <v>29</v>
      </c>
      <c r="J2754" t="s">
        <v>30</v>
      </c>
      <c r="K2754" t="s">
        <v>31</v>
      </c>
      <c r="M2754" t="s">
        <v>32</v>
      </c>
      <c r="N2754" t="str">
        <f>"1/11/2010 12:00:00 AM"</f>
        <v>1/11/2010 12:00:00 AM</v>
      </c>
      <c r="O2754" t="s">
        <v>8390</v>
      </c>
      <c r="T2754" t="s">
        <v>8391</v>
      </c>
    </row>
    <row r="2755" spans="1:20" x14ac:dyDescent="0.25">
      <c r="A2755" t="str">
        <f>"3043705"</f>
        <v>3043705</v>
      </c>
      <c r="B2755" t="s">
        <v>8393</v>
      </c>
      <c r="C2755" t="str">
        <f>"6380000"</f>
        <v>6380000</v>
      </c>
      <c r="D2755" t="s">
        <v>8394</v>
      </c>
      <c r="E2755" t="s">
        <v>8395</v>
      </c>
      <c r="F2755" t="s">
        <v>8396</v>
      </c>
      <c r="I2755" t="s">
        <v>29</v>
      </c>
      <c r="J2755" t="s">
        <v>30</v>
      </c>
      <c r="K2755" t="s">
        <v>31</v>
      </c>
      <c r="M2755" t="s">
        <v>32</v>
      </c>
      <c r="N2755" t="str">
        <f>"1/3/2008 12:00:00 AM"</f>
        <v>1/3/2008 12:00:00 AM</v>
      </c>
      <c r="O2755" t="s">
        <v>8394</v>
      </c>
      <c r="T2755" t="s">
        <v>8395</v>
      </c>
    </row>
    <row r="2756" spans="1:20" x14ac:dyDescent="0.25">
      <c r="A2756" t="str">
        <f>"3043556"</f>
        <v>3043556</v>
      </c>
      <c r="B2756" t="s">
        <v>8397</v>
      </c>
      <c r="C2756" t="str">
        <f>"82523947"</f>
        <v>82523947</v>
      </c>
      <c r="D2756" t="s">
        <v>8398</v>
      </c>
      <c r="E2756" t="s">
        <v>8399</v>
      </c>
      <c r="F2756" t="s">
        <v>8400</v>
      </c>
      <c r="I2756" t="s">
        <v>29</v>
      </c>
      <c r="J2756" t="s">
        <v>30</v>
      </c>
      <c r="K2756" t="s">
        <v>8401</v>
      </c>
      <c r="M2756" t="s">
        <v>32</v>
      </c>
      <c r="N2756" t="str">
        <f>"1/25/2006 12:00:00 AM"</f>
        <v>1/25/2006 12:00:00 AM</v>
      </c>
      <c r="O2756" t="s">
        <v>8398</v>
      </c>
      <c r="T2756" t="s">
        <v>8399</v>
      </c>
    </row>
    <row r="2757" spans="1:20" x14ac:dyDescent="0.25">
      <c r="A2757" t="str">
        <f>"3043788"</f>
        <v>3043788</v>
      </c>
      <c r="B2757" t="s">
        <v>8402</v>
      </c>
      <c r="C2757" t="str">
        <f>"70892000"</f>
        <v>70892000</v>
      </c>
      <c r="D2757" t="s">
        <v>8403</v>
      </c>
      <c r="E2757" t="s">
        <v>8404</v>
      </c>
      <c r="F2757" t="s">
        <v>8405</v>
      </c>
      <c r="I2757" t="s">
        <v>29</v>
      </c>
      <c r="J2757" t="s">
        <v>30</v>
      </c>
      <c r="K2757" t="s">
        <v>7221</v>
      </c>
      <c r="M2757" t="s">
        <v>32</v>
      </c>
      <c r="N2757" t="str">
        <f>"1/31/2006 12:00:00 AM"</f>
        <v>1/31/2006 12:00:00 AM</v>
      </c>
      <c r="O2757" t="s">
        <v>8403</v>
      </c>
      <c r="T2757" t="s">
        <v>8404</v>
      </c>
    </row>
    <row r="2758" spans="1:20" x14ac:dyDescent="0.25">
      <c r="A2758" t="str">
        <f>"3043699"</f>
        <v>3043699</v>
      </c>
      <c r="B2758" t="s">
        <v>8406</v>
      </c>
      <c r="C2758" t="str">
        <f>"42252000"</f>
        <v>42252000</v>
      </c>
      <c r="D2758" t="s">
        <v>8407</v>
      </c>
      <c r="E2758" t="s">
        <v>8408</v>
      </c>
      <c r="F2758" t="s">
        <v>8409</v>
      </c>
      <c r="I2758" t="s">
        <v>29</v>
      </c>
      <c r="J2758" t="s">
        <v>30</v>
      </c>
      <c r="K2758" t="s">
        <v>31</v>
      </c>
      <c r="M2758" t="s">
        <v>32</v>
      </c>
      <c r="N2758" t="str">
        <f>"11/20/2003 12:00:00 AM"</f>
        <v>11/20/2003 12:00:00 AM</v>
      </c>
      <c r="O2758" t="s">
        <v>8407</v>
      </c>
      <c r="T2758" t="s">
        <v>8408</v>
      </c>
    </row>
    <row r="2759" spans="1:20" x14ac:dyDescent="0.25">
      <c r="A2759" t="str">
        <f>"3043206"</f>
        <v>3043206</v>
      </c>
      <c r="B2759" t="s">
        <v>8410</v>
      </c>
      <c r="C2759" t="str">
        <f>"82525881"</f>
        <v>82525881</v>
      </c>
      <c r="D2759" t="s">
        <v>8411</v>
      </c>
      <c r="F2759" t="s">
        <v>8412</v>
      </c>
      <c r="I2759" t="s">
        <v>8413</v>
      </c>
      <c r="J2759" t="s">
        <v>2109</v>
      </c>
      <c r="K2759" t="s">
        <v>8414</v>
      </c>
      <c r="M2759" t="s">
        <v>32</v>
      </c>
      <c r="N2759" t="str">
        <f>"1/3/2011 12:00:00 AM"</f>
        <v>1/3/2011 12:00:00 AM</v>
      </c>
      <c r="O2759" t="s">
        <v>8411</v>
      </c>
    </row>
    <row r="2760" spans="1:20" x14ac:dyDescent="0.25">
      <c r="A2760" t="str">
        <f>"3043434"</f>
        <v>3043434</v>
      </c>
      <c r="B2760" t="s">
        <v>8415</v>
      </c>
      <c r="C2760" t="str">
        <f>"81300000"</f>
        <v>81300000</v>
      </c>
      <c r="D2760" t="s">
        <v>8416</v>
      </c>
      <c r="E2760" t="s">
        <v>8417</v>
      </c>
      <c r="F2760" t="s">
        <v>8380</v>
      </c>
      <c r="I2760" t="s">
        <v>29</v>
      </c>
      <c r="J2760" t="s">
        <v>30</v>
      </c>
      <c r="K2760" t="s">
        <v>8418</v>
      </c>
      <c r="M2760" t="s">
        <v>32</v>
      </c>
      <c r="N2760" t="str">
        <f>"2/4/2010 12:00:00 AM"</f>
        <v>2/4/2010 12:00:00 AM</v>
      </c>
      <c r="O2760" t="s">
        <v>8416</v>
      </c>
      <c r="T2760" t="s">
        <v>8417</v>
      </c>
    </row>
    <row r="2761" spans="1:20" x14ac:dyDescent="0.25">
      <c r="A2761" t="str">
        <f>"3046965"</f>
        <v>3046965</v>
      </c>
      <c r="B2761" t="s">
        <v>8419</v>
      </c>
      <c r="C2761" t="str">
        <f>"53324000"</f>
        <v>53324000</v>
      </c>
      <c r="D2761" t="s">
        <v>8420</v>
      </c>
      <c r="E2761" t="s">
        <v>8421</v>
      </c>
      <c r="F2761" t="s">
        <v>8422</v>
      </c>
      <c r="I2761" t="s">
        <v>29</v>
      </c>
      <c r="J2761" t="s">
        <v>30</v>
      </c>
      <c r="K2761" t="s">
        <v>31</v>
      </c>
      <c r="M2761" t="s">
        <v>32</v>
      </c>
      <c r="N2761" t="str">
        <f>"1/21/2003 12:00:00 AM"</f>
        <v>1/21/2003 12:00:00 AM</v>
      </c>
      <c r="O2761" t="s">
        <v>8420</v>
      </c>
      <c r="T2761" t="s">
        <v>8421</v>
      </c>
    </row>
    <row r="2762" spans="1:20" x14ac:dyDescent="0.25">
      <c r="A2762" t="str">
        <f>"3046608"</f>
        <v>3046608</v>
      </c>
      <c r="B2762" t="s">
        <v>8423</v>
      </c>
      <c r="C2762" t="str">
        <f>"82521661"</f>
        <v>82521661</v>
      </c>
      <c r="D2762" t="s">
        <v>2987</v>
      </c>
      <c r="E2762" t="s">
        <v>8424</v>
      </c>
      <c r="F2762" t="s">
        <v>8425</v>
      </c>
      <c r="I2762" t="s">
        <v>29</v>
      </c>
      <c r="J2762" t="s">
        <v>30</v>
      </c>
      <c r="K2762" t="s">
        <v>31</v>
      </c>
      <c r="M2762" t="s">
        <v>32</v>
      </c>
      <c r="N2762" t="str">
        <f>"10/23/2003 12:00:00 AM"</f>
        <v>10/23/2003 12:00:00 AM</v>
      </c>
      <c r="O2762" t="s">
        <v>2987</v>
      </c>
      <c r="T2762" t="s">
        <v>8424</v>
      </c>
    </row>
    <row r="2763" spans="1:20" x14ac:dyDescent="0.25">
      <c r="A2763" t="str">
        <f>"3046886"</f>
        <v>3046886</v>
      </c>
      <c r="B2763" t="s">
        <v>8426</v>
      </c>
      <c r="C2763" t="str">
        <f>"39987140"</f>
        <v>39987140</v>
      </c>
      <c r="D2763" t="s">
        <v>8427</v>
      </c>
      <c r="E2763" t="s">
        <v>8428</v>
      </c>
      <c r="F2763" t="s">
        <v>8429</v>
      </c>
      <c r="I2763" t="s">
        <v>29</v>
      </c>
      <c r="J2763" t="s">
        <v>30</v>
      </c>
      <c r="K2763" t="s">
        <v>7356</v>
      </c>
      <c r="M2763" t="s">
        <v>32</v>
      </c>
      <c r="N2763" t="str">
        <f>"2/25/2010 12:00:00 AM"</f>
        <v>2/25/2010 12:00:00 AM</v>
      </c>
      <c r="O2763" t="s">
        <v>8427</v>
      </c>
      <c r="T2763" t="s">
        <v>8428</v>
      </c>
    </row>
    <row r="2764" spans="1:20" x14ac:dyDescent="0.25">
      <c r="A2764" t="str">
        <f>"3070599"</f>
        <v>3070599</v>
      </c>
      <c r="B2764" t="s">
        <v>8430</v>
      </c>
      <c r="C2764" t="str">
        <f>"37716000"</f>
        <v>37716000</v>
      </c>
      <c r="D2764" t="s">
        <v>2987</v>
      </c>
      <c r="F2764" t="s">
        <v>8425</v>
      </c>
      <c r="I2764" t="s">
        <v>29</v>
      </c>
      <c r="J2764" t="s">
        <v>30</v>
      </c>
      <c r="K2764" t="s">
        <v>31</v>
      </c>
      <c r="M2764" t="s">
        <v>32</v>
      </c>
      <c r="N2764" t="str">
        <f>"7/15/2002 12:00:00 AM"</f>
        <v>7/15/2002 12:00:00 AM</v>
      </c>
      <c r="O2764" t="s">
        <v>2987</v>
      </c>
      <c r="T2764" t="s">
        <v>2987</v>
      </c>
    </row>
    <row r="2765" spans="1:20" x14ac:dyDescent="0.25">
      <c r="A2765" t="str">
        <f>"3047204"</f>
        <v>3047204</v>
      </c>
      <c r="B2765" t="s">
        <v>8431</v>
      </c>
      <c r="C2765" t="str">
        <f>"82519881"</f>
        <v>82519881</v>
      </c>
      <c r="D2765" t="s">
        <v>8432</v>
      </c>
      <c r="E2765" t="s">
        <v>8433</v>
      </c>
      <c r="F2765" t="s">
        <v>8434</v>
      </c>
      <c r="I2765" t="s">
        <v>29</v>
      </c>
      <c r="J2765" t="s">
        <v>30</v>
      </c>
      <c r="K2765" t="s">
        <v>31</v>
      </c>
      <c r="M2765" t="s">
        <v>32</v>
      </c>
      <c r="N2765" t="str">
        <f>"12/18/2002 12:00:00 AM"</f>
        <v>12/18/2002 12:00:00 AM</v>
      </c>
      <c r="O2765" t="s">
        <v>8432</v>
      </c>
      <c r="T2765" t="s">
        <v>8433</v>
      </c>
    </row>
    <row r="2766" spans="1:20" x14ac:dyDescent="0.25">
      <c r="A2766" t="str">
        <f>"3046591"</f>
        <v>3046591</v>
      </c>
      <c r="B2766" t="s">
        <v>8435</v>
      </c>
      <c r="C2766" t="str">
        <f>"62204000"</f>
        <v>62204000</v>
      </c>
      <c r="D2766" t="s">
        <v>8436</v>
      </c>
      <c r="F2766" t="s">
        <v>8434</v>
      </c>
      <c r="I2766" t="s">
        <v>29</v>
      </c>
      <c r="J2766" t="s">
        <v>30</v>
      </c>
      <c r="K2766" t="s">
        <v>31</v>
      </c>
      <c r="M2766" t="s">
        <v>32</v>
      </c>
      <c r="N2766" t="str">
        <f>"11/22/2002 12:00:00 AM"</f>
        <v>11/22/2002 12:00:00 AM</v>
      </c>
      <c r="O2766" t="s">
        <v>8436</v>
      </c>
    </row>
    <row r="2767" spans="1:20" x14ac:dyDescent="0.25">
      <c r="A2767" t="str">
        <f>"3045990"</f>
        <v>3045990</v>
      </c>
      <c r="B2767" t="s">
        <v>8437</v>
      </c>
      <c r="C2767" t="str">
        <f>"62204000"</f>
        <v>62204000</v>
      </c>
      <c r="D2767" t="s">
        <v>8436</v>
      </c>
      <c r="F2767" t="s">
        <v>8434</v>
      </c>
      <c r="I2767" t="s">
        <v>29</v>
      </c>
      <c r="J2767" t="s">
        <v>30</v>
      </c>
      <c r="K2767" t="s">
        <v>31</v>
      </c>
      <c r="M2767" t="s">
        <v>32</v>
      </c>
      <c r="N2767" t="str">
        <f>"11/22/2002 12:00:00 AM"</f>
        <v>11/22/2002 12:00:00 AM</v>
      </c>
      <c r="O2767" t="s">
        <v>8436</v>
      </c>
    </row>
    <row r="2768" spans="1:20" x14ac:dyDescent="0.25">
      <c r="A2768" t="str">
        <f>"3046258"</f>
        <v>3046258</v>
      </c>
      <c r="B2768" t="s">
        <v>8438</v>
      </c>
      <c r="C2768" t="str">
        <f>"44709000"</f>
        <v>44709000</v>
      </c>
      <c r="D2768" t="s">
        <v>8192</v>
      </c>
      <c r="E2768" t="s">
        <v>8193</v>
      </c>
      <c r="F2768" t="s">
        <v>8194</v>
      </c>
      <c r="I2768" t="s">
        <v>29</v>
      </c>
      <c r="J2768" t="s">
        <v>30</v>
      </c>
      <c r="K2768" t="s">
        <v>31</v>
      </c>
      <c r="M2768" t="s">
        <v>32</v>
      </c>
      <c r="N2768" t="str">
        <f>"3/24/2009 12:00:00 AM"</f>
        <v>3/24/2009 12:00:00 AM</v>
      </c>
      <c r="O2768" t="s">
        <v>8192</v>
      </c>
      <c r="T2768" t="s">
        <v>8193</v>
      </c>
    </row>
    <row r="2769" spans="1:20" x14ac:dyDescent="0.25">
      <c r="A2769" t="str">
        <f>"3046182"</f>
        <v>3046182</v>
      </c>
      <c r="B2769" t="s">
        <v>8439</v>
      </c>
      <c r="C2769" t="str">
        <f>"82526722"</f>
        <v>82526722</v>
      </c>
      <c r="D2769" t="s">
        <v>8440</v>
      </c>
      <c r="F2769" t="s">
        <v>8441</v>
      </c>
      <c r="I2769" t="s">
        <v>184</v>
      </c>
      <c r="J2769" t="s">
        <v>30</v>
      </c>
      <c r="K2769" t="s">
        <v>185</v>
      </c>
      <c r="M2769" t="s">
        <v>32</v>
      </c>
      <c r="N2769" t="str">
        <f>"9/5/2006 12:00:00 AM"</f>
        <v>9/5/2006 12:00:00 AM</v>
      </c>
      <c r="O2769" t="s">
        <v>8440</v>
      </c>
    </row>
    <row r="2770" spans="1:20" x14ac:dyDescent="0.25">
      <c r="A2770" t="str">
        <f>"3071252"</f>
        <v>3071252</v>
      </c>
      <c r="B2770" t="s">
        <v>8442</v>
      </c>
      <c r="C2770" t="str">
        <f>"4520000"</f>
        <v>4520000</v>
      </c>
      <c r="D2770" t="s">
        <v>8443</v>
      </c>
      <c r="F2770" t="s">
        <v>8444</v>
      </c>
      <c r="I2770" t="s">
        <v>29</v>
      </c>
      <c r="J2770" t="s">
        <v>30</v>
      </c>
      <c r="K2770" t="s">
        <v>8445</v>
      </c>
      <c r="M2770" t="s">
        <v>32</v>
      </c>
      <c r="N2770" t="str">
        <f>"2/20/2006 12:00:00 AM"</f>
        <v>2/20/2006 12:00:00 AM</v>
      </c>
      <c r="O2770" t="s">
        <v>8443</v>
      </c>
    </row>
    <row r="2771" spans="1:20" x14ac:dyDescent="0.25">
      <c r="A2771" t="str">
        <f>"3071770"</f>
        <v>3071770</v>
      </c>
      <c r="B2771" t="s">
        <v>8446</v>
      </c>
      <c r="C2771" t="str">
        <f>"4520000"</f>
        <v>4520000</v>
      </c>
      <c r="D2771" t="s">
        <v>8443</v>
      </c>
      <c r="F2771" t="s">
        <v>8444</v>
      </c>
      <c r="I2771" t="s">
        <v>29</v>
      </c>
      <c r="J2771" t="s">
        <v>30</v>
      </c>
      <c r="K2771" t="s">
        <v>8445</v>
      </c>
      <c r="M2771" t="s">
        <v>32</v>
      </c>
      <c r="N2771" t="str">
        <f>"2/20/2006 12:00:00 AM"</f>
        <v>2/20/2006 12:00:00 AM</v>
      </c>
      <c r="O2771" t="s">
        <v>8443</v>
      </c>
    </row>
    <row r="2772" spans="1:20" x14ac:dyDescent="0.25">
      <c r="A2772" t="str">
        <f>"3071771"</f>
        <v>3071771</v>
      </c>
      <c r="B2772" t="s">
        <v>8447</v>
      </c>
      <c r="C2772" t="str">
        <f>"4520000"</f>
        <v>4520000</v>
      </c>
      <c r="D2772" t="s">
        <v>8443</v>
      </c>
      <c r="F2772" t="s">
        <v>8444</v>
      </c>
      <c r="I2772" t="s">
        <v>29</v>
      </c>
      <c r="J2772" t="s">
        <v>30</v>
      </c>
      <c r="K2772" t="s">
        <v>8445</v>
      </c>
      <c r="M2772" t="s">
        <v>32</v>
      </c>
      <c r="N2772" t="str">
        <f>"2/20/2006 12:00:00 AM"</f>
        <v>2/20/2006 12:00:00 AM</v>
      </c>
      <c r="O2772" t="s">
        <v>8443</v>
      </c>
    </row>
    <row r="2773" spans="1:20" x14ac:dyDescent="0.25">
      <c r="A2773" t="str">
        <f>"3046884"</f>
        <v>3046884</v>
      </c>
      <c r="B2773" t="s">
        <v>8448</v>
      </c>
      <c r="C2773" t="str">
        <f>"46522000"</f>
        <v>46522000</v>
      </c>
      <c r="D2773" t="s">
        <v>8449</v>
      </c>
      <c r="E2773" t="s">
        <v>8450</v>
      </c>
      <c r="F2773" t="s">
        <v>8451</v>
      </c>
      <c r="I2773" t="s">
        <v>29</v>
      </c>
      <c r="J2773" t="s">
        <v>30</v>
      </c>
      <c r="K2773" t="s">
        <v>31</v>
      </c>
      <c r="M2773" t="s">
        <v>32</v>
      </c>
      <c r="N2773" t="str">
        <f>"1/29/2004 12:00:00 AM"</f>
        <v>1/29/2004 12:00:00 AM</v>
      </c>
      <c r="O2773" t="s">
        <v>8449</v>
      </c>
      <c r="T2773" t="s">
        <v>8450</v>
      </c>
    </row>
    <row r="2774" spans="1:20" x14ac:dyDescent="0.25">
      <c r="A2774" t="str">
        <f>"3047018"</f>
        <v>3047018</v>
      </c>
      <c r="B2774" t="s">
        <v>8452</v>
      </c>
      <c r="C2774" t="str">
        <f>"57817250"</f>
        <v>57817250</v>
      </c>
      <c r="D2774" t="s">
        <v>8453</v>
      </c>
      <c r="F2774" t="s">
        <v>8454</v>
      </c>
      <c r="I2774" t="s">
        <v>29</v>
      </c>
      <c r="J2774" t="s">
        <v>30</v>
      </c>
      <c r="K2774" t="s">
        <v>31</v>
      </c>
      <c r="M2774" t="s">
        <v>32</v>
      </c>
      <c r="N2774" t="str">
        <f>"7/16/2002 12:00:00 AM"</f>
        <v>7/16/2002 12:00:00 AM</v>
      </c>
      <c r="O2774" t="s">
        <v>8453</v>
      </c>
    </row>
    <row r="2775" spans="1:20" x14ac:dyDescent="0.25">
      <c r="A2775" t="str">
        <f>"3047095"</f>
        <v>3047095</v>
      </c>
      <c r="B2775" t="s">
        <v>8455</v>
      </c>
      <c r="C2775" t="str">
        <f>"57812000"</f>
        <v>57812000</v>
      </c>
      <c r="D2775" t="s">
        <v>8456</v>
      </c>
      <c r="E2775" t="s">
        <v>8457</v>
      </c>
      <c r="F2775" t="s">
        <v>8458</v>
      </c>
      <c r="I2775" t="s">
        <v>29</v>
      </c>
      <c r="J2775" t="s">
        <v>30</v>
      </c>
      <c r="K2775" t="s">
        <v>31</v>
      </c>
      <c r="M2775" t="s">
        <v>32</v>
      </c>
      <c r="N2775" t="str">
        <f>"4/2/2004 12:00:00 AM"</f>
        <v>4/2/2004 12:00:00 AM</v>
      </c>
      <c r="O2775" t="s">
        <v>8456</v>
      </c>
      <c r="T2775" t="s">
        <v>8457</v>
      </c>
    </row>
    <row r="2776" spans="1:20" x14ac:dyDescent="0.25">
      <c r="A2776" t="str">
        <f>"3046380"</f>
        <v>3046380</v>
      </c>
      <c r="B2776" t="s">
        <v>8459</v>
      </c>
      <c r="C2776" t="str">
        <f>"56958000"</f>
        <v>56958000</v>
      </c>
      <c r="D2776" t="s">
        <v>8460</v>
      </c>
      <c r="E2776" t="s">
        <v>8461</v>
      </c>
      <c r="F2776" t="s">
        <v>8238</v>
      </c>
      <c r="I2776" t="s">
        <v>29</v>
      </c>
      <c r="J2776" t="s">
        <v>30</v>
      </c>
      <c r="K2776" t="s">
        <v>8230</v>
      </c>
      <c r="M2776" t="s">
        <v>32</v>
      </c>
      <c r="N2776" t="str">
        <f>"4/11/2007 12:00:00 AM"</f>
        <v>4/11/2007 12:00:00 AM</v>
      </c>
      <c r="O2776" t="s">
        <v>8460</v>
      </c>
      <c r="T2776" t="s">
        <v>8461</v>
      </c>
    </row>
    <row r="2777" spans="1:20" x14ac:dyDescent="0.25">
      <c r="A2777" t="str">
        <f>"3050940"</f>
        <v>3050940</v>
      </c>
      <c r="B2777" t="s">
        <v>8462</v>
      </c>
      <c r="C2777" t="str">
        <f>"27212000"</f>
        <v>27212000</v>
      </c>
      <c r="D2777" t="s">
        <v>8463</v>
      </c>
      <c r="E2777" t="s">
        <v>8464</v>
      </c>
      <c r="F2777" t="s">
        <v>8465</v>
      </c>
      <c r="I2777" t="s">
        <v>29</v>
      </c>
      <c r="J2777" t="s">
        <v>30</v>
      </c>
      <c r="K2777" t="s">
        <v>8466</v>
      </c>
      <c r="M2777" t="s">
        <v>32</v>
      </c>
      <c r="N2777" t="str">
        <f>"1/5/2006 12:00:00 AM"</f>
        <v>1/5/2006 12:00:00 AM</v>
      </c>
      <c r="O2777" t="s">
        <v>8463</v>
      </c>
      <c r="T2777" t="s">
        <v>8464</v>
      </c>
    </row>
    <row r="2778" spans="1:20" x14ac:dyDescent="0.25">
      <c r="A2778" t="str">
        <f>"3053216"</f>
        <v>3053216</v>
      </c>
      <c r="B2778" t="s">
        <v>8467</v>
      </c>
      <c r="C2778" t="str">
        <f>"27212000"</f>
        <v>27212000</v>
      </c>
      <c r="D2778" t="s">
        <v>8463</v>
      </c>
      <c r="E2778" t="s">
        <v>8464</v>
      </c>
      <c r="F2778" t="s">
        <v>8465</v>
      </c>
      <c r="I2778" t="s">
        <v>29</v>
      </c>
      <c r="J2778" t="s">
        <v>30</v>
      </c>
      <c r="K2778" t="s">
        <v>8466</v>
      </c>
      <c r="M2778" t="s">
        <v>32</v>
      </c>
      <c r="N2778" t="str">
        <f>"1/5/2006 12:00:00 AM"</f>
        <v>1/5/2006 12:00:00 AM</v>
      </c>
      <c r="O2778" t="s">
        <v>8463</v>
      </c>
      <c r="T2778" t="s">
        <v>8464</v>
      </c>
    </row>
    <row r="2779" spans="1:20" x14ac:dyDescent="0.25">
      <c r="A2779" t="str">
        <f>"3053487"</f>
        <v>3053487</v>
      </c>
      <c r="B2779" t="s">
        <v>8468</v>
      </c>
      <c r="C2779" t="str">
        <f>"27212000"</f>
        <v>27212000</v>
      </c>
      <c r="D2779" t="s">
        <v>8463</v>
      </c>
      <c r="E2779" t="s">
        <v>8464</v>
      </c>
      <c r="F2779" t="s">
        <v>8465</v>
      </c>
      <c r="I2779" t="s">
        <v>29</v>
      </c>
      <c r="J2779" t="s">
        <v>30</v>
      </c>
      <c r="K2779" t="s">
        <v>8466</v>
      </c>
      <c r="M2779" t="s">
        <v>32</v>
      </c>
      <c r="N2779" t="str">
        <f>"1/5/2006 12:00:00 AM"</f>
        <v>1/5/2006 12:00:00 AM</v>
      </c>
      <c r="O2779" t="s">
        <v>8463</v>
      </c>
      <c r="T2779" t="s">
        <v>8464</v>
      </c>
    </row>
    <row r="2780" spans="1:20" x14ac:dyDescent="0.25">
      <c r="A2780" t="str">
        <f>"3078645"</f>
        <v>3078645</v>
      </c>
      <c r="B2780" t="s">
        <v>8469</v>
      </c>
      <c r="C2780" t="str">
        <f>"27212000"</f>
        <v>27212000</v>
      </c>
      <c r="D2780" t="s">
        <v>8463</v>
      </c>
      <c r="E2780" t="s">
        <v>8464</v>
      </c>
      <c r="F2780" t="s">
        <v>8465</v>
      </c>
      <c r="I2780" t="s">
        <v>29</v>
      </c>
      <c r="J2780" t="s">
        <v>30</v>
      </c>
      <c r="K2780" t="s">
        <v>8466</v>
      </c>
      <c r="M2780" t="s">
        <v>32</v>
      </c>
      <c r="N2780" t="str">
        <f>"1/5/2006 12:00:00 AM"</f>
        <v>1/5/2006 12:00:00 AM</v>
      </c>
      <c r="O2780" t="s">
        <v>8463</v>
      </c>
      <c r="T2780" t="s">
        <v>8464</v>
      </c>
    </row>
    <row r="2781" spans="1:20" x14ac:dyDescent="0.25">
      <c r="A2781" t="str">
        <f>"3043640"</f>
        <v>3043640</v>
      </c>
      <c r="B2781" t="s">
        <v>8470</v>
      </c>
      <c r="C2781" t="str">
        <f>"82520420"</f>
        <v>82520420</v>
      </c>
      <c r="D2781" t="s">
        <v>8471</v>
      </c>
      <c r="F2781" t="s">
        <v>8472</v>
      </c>
      <c r="I2781" t="s">
        <v>29</v>
      </c>
      <c r="J2781" t="s">
        <v>30</v>
      </c>
      <c r="K2781" t="s">
        <v>31</v>
      </c>
      <c r="M2781" t="s">
        <v>32</v>
      </c>
      <c r="N2781" t="str">
        <f>"3/14/2003 12:00:00 AM"</f>
        <v>3/14/2003 12:00:00 AM</v>
      </c>
      <c r="O2781" t="s">
        <v>8471</v>
      </c>
    </row>
    <row r="2782" spans="1:20" x14ac:dyDescent="0.25">
      <c r="A2782" t="str">
        <f>"3043690"</f>
        <v>3043690</v>
      </c>
      <c r="B2782" t="s">
        <v>8473</v>
      </c>
      <c r="C2782" t="str">
        <f>"49300000"</f>
        <v>49300000</v>
      </c>
      <c r="D2782" t="s">
        <v>8474</v>
      </c>
      <c r="F2782" t="s">
        <v>8475</v>
      </c>
      <c r="I2782" t="s">
        <v>29</v>
      </c>
      <c r="J2782" t="s">
        <v>30</v>
      </c>
      <c r="K2782" t="s">
        <v>31</v>
      </c>
      <c r="M2782" t="s">
        <v>32</v>
      </c>
      <c r="N2782" t="str">
        <f>"7/16/2002 12:00:00 AM"</f>
        <v>7/16/2002 12:00:00 AM</v>
      </c>
      <c r="O2782" t="s">
        <v>8474</v>
      </c>
    </row>
    <row r="2783" spans="1:20" x14ac:dyDescent="0.25">
      <c r="A2783" t="str">
        <f>"3043745"</f>
        <v>3043745</v>
      </c>
      <c r="B2783" t="s">
        <v>8476</v>
      </c>
      <c r="C2783" t="str">
        <f>"49300000"</f>
        <v>49300000</v>
      </c>
      <c r="D2783" t="s">
        <v>8474</v>
      </c>
      <c r="F2783" t="s">
        <v>8475</v>
      </c>
      <c r="I2783" t="s">
        <v>29</v>
      </c>
      <c r="J2783" t="s">
        <v>30</v>
      </c>
      <c r="K2783" t="s">
        <v>31</v>
      </c>
      <c r="M2783" t="s">
        <v>32</v>
      </c>
      <c r="N2783" t="str">
        <f>"7/16/2002 12:00:00 AM"</f>
        <v>7/16/2002 12:00:00 AM</v>
      </c>
      <c r="O2783" t="s">
        <v>8474</v>
      </c>
    </row>
    <row r="2784" spans="1:20" x14ac:dyDescent="0.25">
      <c r="A2784" t="str">
        <f>"3043641"</f>
        <v>3043641</v>
      </c>
      <c r="B2784" t="s">
        <v>8477</v>
      </c>
      <c r="C2784" t="str">
        <f>"7260000"</f>
        <v>7260000</v>
      </c>
      <c r="D2784" t="s">
        <v>8478</v>
      </c>
      <c r="E2784" t="s">
        <v>8479</v>
      </c>
      <c r="F2784" t="s">
        <v>8400</v>
      </c>
      <c r="I2784" t="s">
        <v>29</v>
      </c>
      <c r="J2784" t="s">
        <v>30</v>
      </c>
      <c r="K2784" t="s">
        <v>31</v>
      </c>
      <c r="M2784" t="s">
        <v>32</v>
      </c>
      <c r="N2784" t="str">
        <f>"7/16/2002 12:00:00 AM"</f>
        <v>7/16/2002 12:00:00 AM</v>
      </c>
      <c r="O2784" t="s">
        <v>8478</v>
      </c>
      <c r="T2784" t="s">
        <v>8479</v>
      </c>
    </row>
    <row r="2785" spans="1:20" x14ac:dyDescent="0.25">
      <c r="A2785" t="str">
        <f>"3045906"</f>
        <v>3045906</v>
      </c>
      <c r="B2785" t="s">
        <v>8480</v>
      </c>
      <c r="C2785" t="str">
        <f>"9329500"</f>
        <v>9329500</v>
      </c>
      <c r="D2785" t="s">
        <v>8481</v>
      </c>
      <c r="F2785" t="s">
        <v>8482</v>
      </c>
      <c r="I2785" t="s">
        <v>29</v>
      </c>
      <c r="J2785" t="s">
        <v>30</v>
      </c>
      <c r="K2785" t="s">
        <v>31</v>
      </c>
      <c r="M2785" t="s">
        <v>32</v>
      </c>
      <c r="N2785" t="str">
        <f>"6/6/2003 12:00:00 AM"</f>
        <v>6/6/2003 12:00:00 AM</v>
      </c>
      <c r="O2785" t="s">
        <v>8481</v>
      </c>
    </row>
    <row r="2786" spans="1:20" x14ac:dyDescent="0.25">
      <c r="A2786" t="str">
        <f>"3046592"</f>
        <v>3046592</v>
      </c>
      <c r="B2786" t="s">
        <v>8483</v>
      </c>
      <c r="C2786" t="str">
        <f>"82528128"</f>
        <v>82528128</v>
      </c>
      <c r="D2786" t="s">
        <v>8484</v>
      </c>
      <c r="F2786" t="s">
        <v>8485</v>
      </c>
      <c r="G2786" t="s">
        <v>272</v>
      </c>
      <c r="I2786" t="s">
        <v>29</v>
      </c>
      <c r="J2786" t="s">
        <v>30</v>
      </c>
      <c r="K2786" t="s">
        <v>31</v>
      </c>
      <c r="M2786" t="s">
        <v>32</v>
      </c>
      <c r="N2786" t="str">
        <f>"6/11/2007 12:00:00 AM"</f>
        <v>6/11/2007 12:00:00 AM</v>
      </c>
      <c r="O2786" t="s">
        <v>8484</v>
      </c>
    </row>
    <row r="2787" spans="1:20" x14ac:dyDescent="0.25">
      <c r="A2787" t="str">
        <f>"3053223"</f>
        <v>3053223</v>
      </c>
      <c r="B2787" t="s">
        <v>8486</v>
      </c>
      <c r="C2787" t="str">
        <f>"82528128"</f>
        <v>82528128</v>
      </c>
      <c r="D2787" t="s">
        <v>8484</v>
      </c>
      <c r="F2787" t="s">
        <v>8485</v>
      </c>
      <c r="G2787" t="s">
        <v>272</v>
      </c>
      <c r="I2787" t="s">
        <v>29</v>
      </c>
      <c r="J2787" t="s">
        <v>30</v>
      </c>
      <c r="K2787" t="s">
        <v>31</v>
      </c>
      <c r="M2787" t="s">
        <v>32</v>
      </c>
      <c r="N2787" t="str">
        <f>"6/11/2007 12:00:00 AM"</f>
        <v>6/11/2007 12:00:00 AM</v>
      </c>
      <c r="O2787" t="s">
        <v>8484</v>
      </c>
    </row>
    <row r="2788" spans="1:20" x14ac:dyDescent="0.25">
      <c r="A2788" t="str">
        <f>"3048377"</f>
        <v>3048377</v>
      </c>
      <c r="B2788" t="s">
        <v>8487</v>
      </c>
      <c r="C2788" t="str">
        <f>"82528128"</f>
        <v>82528128</v>
      </c>
      <c r="D2788" t="s">
        <v>8484</v>
      </c>
      <c r="F2788" t="s">
        <v>8485</v>
      </c>
      <c r="G2788" t="s">
        <v>272</v>
      </c>
      <c r="I2788" t="s">
        <v>29</v>
      </c>
      <c r="J2788" t="s">
        <v>30</v>
      </c>
      <c r="K2788" t="s">
        <v>31</v>
      </c>
      <c r="M2788" t="s">
        <v>32</v>
      </c>
      <c r="N2788" t="str">
        <f>"6/11/2007 12:00:00 AM"</f>
        <v>6/11/2007 12:00:00 AM</v>
      </c>
      <c r="O2788" t="s">
        <v>8484</v>
      </c>
    </row>
    <row r="2789" spans="1:20" x14ac:dyDescent="0.25">
      <c r="A2789" t="str">
        <f>"3047080"</f>
        <v>3047080</v>
      </c>
      <c r="B2789" t="s">
        <v>8488</v>
      </c>
      <c r="C2789" t="str">
        <f>"26824750"</f>
        <v>26824750</v>
      </c>
      <c r="D2789" t="s">
        <v>8489</v>
      </c>
      <c r="F2789" t="s">
        <v>8490</v>
      </c>
      <c r="I2789" t="s">
        <v>29</v>
      </c>
      <c r="J2789" t="s">
        <v>30</v>
      </c>
      <c r="K2789" t="s">
        <v>31</v>
      </c>
      <c r="M2789" t="s">
        <v>32</v>
      </c>
      <c r="N2789" t="str">
        <f>"7/16/2002 12:00:00 AM"</f>
        <v>7/16/2002 12:00:00 AM</v>
      </c>
      <c r="O2789" t="s">
        <v>8489</v>
      </c>
    </row>
    <row r="2790" spans="1:20" x14ac:dyDescent="0.25">
      <c r="A2790" t="str">
        <f>"3047164"</f>
        <v>3047164</v>
      </c>
      <c r="B2790" t="s">
        <v>8491</v>
      </c>
      <c r="C2790" t="str">
        <f>"82516691"</f>
        <v>82516691</v>
      </c>
      <c r="D2790" t="s">
        <v>8492</v>
      </c>
      <c r="E2790" t="s">
        <v>8493</v>
      </c>
      <c r="F2790" t="s">
        <v>8494</v>
      </c>
      <c r="I2790" t="s">
        <v>29</v>
      </c>
      <c r="J2790" t="s">
        <v>30</v>
      </c>
      <c r="K2790" t="s">
        <v>8495</v>
      </c>
      <c r="M2790" t="s">
        <v>32</v>
      </c>
      <c r="N2790" t="str">
        <f>"2/4/2010 12:00:00 AM"</f>
        <v>2/4/2010 12:00:00 AM</v>
      </c>
      <c r="O2790" t="s">
        <v>8492</v>
      </c>
      <c r="T2790" t="s">
        <v>8493</v>
      </c>
    </row>
    <row r="2791" spans="1:20" x14ac:dyDescent="0.25">
      <c r="A2791" t="str">
        <f>"3047234"</f>
        <v>3047234</v>
      </c>
      <c r="B2791" t="s">
        <v>8496</v>
      </c>
      <c r="C2791" t="str">
        <f>"72485250"</f>
        <v>72485250</v>
      </c>
      <c r="D2791" t="s">
        <v>8497</v>
      </c>
      <c r="E2791" t="s">
        <v>8498</v>
      </c>
      <c r="F2791" t="s">
        <v>8499</v>
      </c>
      <c r="I2791" t="s">
        <v>29</v>
      </c>
      <c r="J2791" t="s">
        <v>30</v>
      </c>
      <c r="K2791" t="s">
        <v>31</v>
      </c>
      <c r="M2791" t="s">
        <v>32</v>
      </c>
      <c r="N2791" t="str">
        <f>"7/22/2005 12:00:00 AM"</f>
        <v>7/22/2005 12:00:00 AM</v>
      </c>
      <c r="O2791" t="s">
        <v>8497</v>
      </c>
      <c r="T2791" t="s">
        <v>8498</v>
      </c>
    </row>
    <row r="2792" spans="1:20" x14ac:dyDescent="0.25">
      <c r="A2792" t="str">
        <f>"3047159"</f>
        <v>3047159</v>
      </c>
      <c r="B2792" t="s">
        <v>8500</v>
      </c>
      <c r="C2792" t="str">
        <f>"82516837"</f>
        <v>82516837</v>
      </c>
      <c r="D2792" t="s">
        <v>8501</v>
      </c>
      <c r="E2792" t="s">
        <v>8502</v>
      </c>
      <c r="F2792" t="s">
        <v>8503</v>
      </c>
      <c r="I2792" t="s">
        <v>29</v>
      </c>
      <c r="J2792" t="s">
        <v>30</v>
      </c>
      <c r="K2792" t="s">
        <v>31</v>
      </c>
      <c r="M2792" t="s">
        <v>32</v>
      </c>
      <c r="N2792" t="str">
        <f>"9/8/2005 12:00:00 AM"</f>
        <v>9/8/2005 12:00:00 AM</v>
      </c>
      <c r="O2792" t="s">
        <v>8501</v>
      </c>
      <c r="T2792" t="s">
        <v>8502</v>
      </c>
    </row>
    <row r="2793" spans="1:20" x14ac:dyDescent="0.25">
      <c r="A2793" t="str">
        <f>"3047158"</f>
        <v>3047158</v>
      </c>
      <c r="B2793" t="s">
        <v>8504</v>
      </c>
      <c r="C2793" t="str">
        <f>"82522557"</f>
        <v>82522557</v>
      </c>
      <c r="D2793" t="s">
        <v>8505</v>
      </c>
      <c r="E2793" t="s">
        <v>8506</v>
      </c>
      <c r="F2793" t="s">
        <v>8507</v>
      </c>
      <c r="I2793" t="s">
        <v>29</v>
      </c>
      <c r="J2793" t="s">
        <v>30</v>
      </c>
      <c r="K2793" t="s">
        <v>31</v>
      </c>
      <c r="M2793" t="s">
        <v>32</v>
      </c>
      <c r="N2793" t="str">
        <f>"1/23/2007 12:00:00 AM"</f>
        <v>1/23/2007 12:00:00 AM</v>
      </c>
      <c r="O2793" t="s">
        <v>8505</v>
      </c>
      <c r="T2793" t="s">
        <v>8506</v>
      </c>
    </row>
    <row r="2794" spans="1:20" x14ac:dyDescent="0.25">
      <c r="A2794" t="str">
        <f>"3047036"</f>
        <v>3047036</v>
      </c>
      <c r="B2794" t="s">
        <v>8508</v>
      </c>
      <c r="C2794" t="str">
        <f>"82522557"</f>
        <v>82522557</v>
      </c>
      <c r="D2794" t="s">
        <v>8505</v>
      </c>
      <c r="E2794" t="s">
        <v>8506</v>
      </c>
      <c r="F2794" t="s">
        <v>8507</v>
      </c>
      <c r="I2794" t="s">
        <v>29</v>
      </c>
      <c r="J2794" t="s">
        <v>30</v>
      </c>
      <c r="K2794" t="s">
        <v>31</v>
      </c>
      <c r="M2794" t="s">
        <v>32</v>
      </c>
      <c r="N2794" t="str">
        <f>"1/23/2007 12:00:00 AM"</f>
        <v>1/23/2007 12:00:00 AM</v>
      </c>
      <c r="O2794" t="s">
        <v>8505</v>
      </c>
      <c r="T2794" t="s">
        <v>8506</v>
      </c>
    </row>
    <row r="2795" spans="1:20" x14ac:dyDescent="0.25">
      <c r="A2795" t="str">
        <f>"3046143"</f>
        <v>3046143</v>
      </c>
      <c r="B2795" t="s">
        <v>8509</v>
      </c>
      <c r="C2795" t="str">
        <f>"9324000"</f>
        <v>9324000</v>
      </c>
      <c r="D2795" t="s">
        <v>8510</v>
      </c>
      <c r="E2795" t="s">
        <v>8481</v>
      </c>
      <c r="F2795" t="s">
        <v>8482</v>
      </c>
      <c r="I2795" t="s">
        <v>29</v>
      </c>
      <c r="J2795" t="s">
        <v>30</v>
      </c>
      <c r="K2795" t="s">
        <v>8511</v>
      </c>
      <c r="M2795" t="s">
        <v>32</v>
      </c>
      <c r="N2795" t="str">
        <f>"2/1/2006 12:00:00 AM"</f>
        <v>2/1/2006 12:00:00 AM</v>
      </c>
      <c r="O2795" t="s">
        <v>8510</v>
      </c>
      <c r="T2795" t="s">
        <v>8481</v>
      </c>
    </row>
    <row r="2796" spans="1:20" x14ac:dyDescent="0.25">
      <c r="A2796" t="str">
        <f>"3046475"</f>
        <v>3046475</v>
      </c>
      <c r="B2796" t="s">
        <v>8512</v>
      </c>
      <c r="C2796" t="str">
        <f>"49528000"</f>
        <v>49528000</v>
      </c>
      <c r="D2796" t="s">
        <v>8287</v>
      </c>
      <c r="E2796" t="s">
        <v>8288</v>
      </c>
      <c r="F2796" t="s">
        <v>8289</v>
      </c>
      <c r="I2796" t="s">
        <v>29</v>
      </c>
      <c r="J2796" t="s">
        <v>30</v>
      </c>
      <c r="K2796" t="s">
        <v>31</v>
      </c>
      <c r="M2796" t="s">
        <v>32</v>
      </c>
      <c r="N2796" t="str">
        <f>"2/14/2003 12:00:00 AM"</f>
        <v>2/14/2003 12:00:00 AM</v>
      </c>
      <c r="O2796" t="s">
        <v>8287</v>
      </c>
      <c r="T2796" t="s">
        <v>8288</v>
      </c>
    </row>
    <row r="2797" spans="1:20" x14ac:dyDescent="0.25">
      <c r="A2797" t="str">
        <f>"3046145"</f>
        <v>3046145</v>
      </c>
      <c r="B2797" t="s">
        <v>8513</v>
      </c>
      <c r="C2797" t="str">
        <f>"49528000"</f>
        <v>49528000</v>
      </c>
      <c r="D2797" t="s">
        <v>8287</v>
      </c>
      <c r="E2797" t="s">
        <v>8288</v>
      </c>
      <c r="F2797" t="s">
        <v>8289</v>
      </c>
      <c r="I2797" t="s">
        <v>29</v>
      </c>
      <c r="J2797" t="s">
        <v>30</v>
      </c>
      <c r="K2797" t="s">
        <v>31</v>
      </c>
      <c r="M2797" t="s">
        <v>32</v>
      </c>
      <c r="N2797" t="str">
        <f>"2/14/2003 12:00:00 AM"</f>
        <v>2/14/2003 12:00:00 AM</v>
      </c>
      <c r="O2797" t="s">
        <v>8287</v>
      </c>
      <c r="T2797" t="s">
        <v>8288</v>
      </c>
    </row>
    <row r="2798" spans="1:20" x14ac:dyDescent="0.25">
      <c r="A2798" t="str">
        <f>"3046956"</f>
        <v>3046956</v>
      </c>
      <c r="B2798" t="s">
        <v>8514</v>
      </c>
      <c r="C2798" t="str">
        <f>"49528000"</f>
        <v>49528000</v>
      </c>
      <c r="D2798" t="s">
        <v>8287</v>
      </c>
      <c r="E2798" t="s">
        <v>8288</v>
      </c>
      <c r="F2798" t="s">
        <v>8289</v>
      </c>
      <c r="I2798" t="s">
        <v>29</v>
      </c>
      <c r="J2798" t="s">
        <v>30</v>
      </c>
      <c r="K2798" t="s">
        <v>31</v>
      </c>
      <c r="M2798" t="s">
        <v>32</v>
      </c>
      <c r="N2798" t="str">
        <f>"2/14/2003 12:00:00 AM"</f>
        <v>2/14/2003 12:00:00 AM</v>
      </c>
      <c r="O2798" t="s">
        <v>8287</v>
      </c>
      <c r="T2798" t="s">
        <v>8288</v>
      </c>
    </row>
    <row r="2799" spans="1:20" x14ac:dyDescent="0.25">
      <c r="A2799" t="str">
        <f>"3068158"</f>
        <v>3068158</v>
      </c>
      <c r="B2799" t="s">
        <v>8515</v>
      </c>
      <c r="C2799" t="str">
        <f>"49528000"</f>
        <v>49528000</v>
      </c>
      <c r="D2799" t="s">
        <v>8287</v>
      </c>
      <c r="E2799" t="s">
        <v>8288</v>
      </c>
      <c r="F2799" t="s">
        <v>8289</v>
      </c>
      <c r="I2799" t="s">
        <v>29</v>
      </c>
      <c r="J2799" t="s">
        <v>30</v>
      </c>
      <c r="K2799" t="s">
        <v>31</v>
      </c>
      <c r="M2799" t="s">
        <v>32</v>
      </c>
      <c r="N2799" t="str">
        <f>"2/14/2003 12:00:00 AM"</f>
        <v>2/14/2003 12:00:00 AM</v>
      </c>
      <c r="O2799" t="s">
        <v>8287</v>
      </c>
      <c r="T2799" t="s">
        <v>8288</v>
      </c>
    </row>
    <row r="2800" spans="1:20" x14ac:dyDescent="0.25">
      <c r="A2800" t="str">
        <f>"3046064"</f>
        <v>3046064</v>
      </c>
      <c r="B2800" t="s">
        <v>8516</v>
      </c>
      <c r="C2800" t="str">
        <f>"82528489"</f>
        <v>82528489</v>
      </c>
      <c r="D2800" t="s">
        <v>8517</v>
      </c>
      <c r="E2800" t="s">
        <v>8518</v>
      </c>
      <c r="F2800" t="s">
        <v>8519</v>
      </c>
      <c r="I2800" t="s">
        <v>471</v>
      </c>
      <c r="J2800" t="s">
        <v>30</v>
      </c>
      <c r="K2800" t="s">
        <v>1210</v>
      </c>
      <c r="M2800" t="s">
        <v>32</v>
      </c>
      <c r="N2800" t="str">
        <f>"8/10/2007 12:00:00 AM"</f>
        <v>8/10/2007 12:00:00 AM</v>
      </c>
      <c r="O2800" t="s">
        <v>8517</v>
      </c>
      <c r="T2800" t="s">
        <v>8518</v>
      </c>
    </row>
    <row r="2801" spans="1:20" x14ac:dyDescent="0.25">
      <c r="A2801" t="str">
        <f>"3047091"</f>
        <v>3047091</v>
      </c>
      <c r="B2801" t="s">
        <v>8520</v>
      </c>
      <c r="C2801" t="str">
        <f>"82514315"</f>
        <v>82514315</v>
      </c>
      <c r="D2801" t="s">
        <v>8521</v>
      </c>
      <c r="F2801" t="s">
        <v>8522</v>
      </c>
      <c r="I2801" t="s">
        <v>29</v>
      </c>
      <c r="J2801" t="s">
        <v>30</v>
      </c>
      <c r="K2801" t="s">
        <v>8523</v>
      </c>
      <c r="M2801" t="s">
        <v>32</v>
      </c>
      <c r="N2801" t="str">
        <f>"8/26/2009 12:00:00 AM"</f>
        <v>8/26/2009 12:00:00 AM</v>
      </c>
      <c r="O2801" t="s">
        <v>8521</v>
      </c>
    </row>
    <row r="2802" spans="1:20" x14ac:dyDescent="0.25">
      <c r="A2802" t="str">
        <f>"3046571"</f>
        <v>3046571</v>
      </c>
      <c r="B2802" t="s">
        <v>8524</v>
      </c>
      <c r="C2802" t="str">
        <f>"71500000"</f>
        <v>71500000</v>
      </c>
      <c r="D2802" t="s">
        <v>8525</v>
      </c>
      <c r="E2802" t="s">
        <v>8526</v>
      </c>
      <c r="F2802" t="s">
        <v>8527</v>
      </c>
      <c r="I2802" t="s">
        <v>29</v>
      </c>
      <c r="J2802" t="s">
        <v>30</v>
      </c>
      <c r="K2802" t="s">
        <v>8528</v>
      </c>
      <c r="M2802" t="s">
        <v>32</v>
      </c>
      <c r="N2802" t="str">
        <f>"1/22/2007 12:00:00 AM"</f>
        <v>1/22/2007 12:00:00 AM</v>
      </c>
      <c r="O2802" t="s">
        <v>8525</v>
      </c>
      <c r="T2802" t="s">
        <v>8526</v>
      </c>
    </row>
    <row r="2803" spans="1:20" x14ac:dyDescent="0.25">
      <c r="A2803" t="str">
        <f>"3077991"</f>
        <v>3077991</v>
      </c>
      <c r="B2803" t="s">
        <v>8529</v>
      </c>
      <c r="C2803" t="str">
        <f>"71500000"</f>
        <v>71500000</v>
      </c>
      <c r="D2803" t="s">
        <v>8525</v>
      </c>
      <c r="E2803" t="s">
        <v>8526</v>
      </c>
      <c r="F2803" t="s">
        <v>8527</v>
      </c>
      <c r="I2803" t="s">
        <v>29</v>
      </c>
      <c r="J2803" t="s">
        <v>30</v>
      </c>
      <c r="K2803" t="s">
        <v>8528</v>
      </c>
      <c r="M2803" t="s">
        <v>32</v>
      </c>
      <c r="N2803" t="str">
        <f>"1/22/2007 12:00:00 AM"</f>
        <v>1/22/2007 12:00:00 AM</v>
      </c>
      <c r="O2803" t="s">
        <v>8525</v>
      </c>
      <c r="T2803" t="s">
        <v>8526</v>
      </c>
    </row>
    <row r="2804" spans="1:20" x14ac:dyDescent="0.25">
      <c r="A2804" t="str">
        <f>"3066750"</f>
        <v>3066750</v>
      </c>
      <c r="B2804" t="s">
        <v>8530</v>
      </c>
      <c r="C2804" t="str">
        <f>"71500000"</f>
        <v>71500000</v>
      </c>
      <c r="D2804" t="s">
        <v>8525</v>
      </c>
      <c r="E2804" t="s">
        <v>8526</v>
      </c>
      <c r="F2804" t="s">
        <v>8527</v>
      </c>
      <c r="I2804" t="s">
        <v>29</v>
      </c>
      <c r="J2804" t="s">
        <v>30</v>
      </c>
      <c r="K2804" t="s">
        <v>8528</v>
      </c>
      <c r="M2804" t="s">
        <v>32</v>
      </c>
      <c r="N2804" t="str">
        <f>"1/22/2007 12:00:00 AM"</f>
        <v>1/22/2007 12:00:00 AM</v>
      </c>
      <c r="O2804" t="s">
        <v>8525</v>
      </c>
      <c r="T2804" t="s">
        <v>8526</v>
      </c>
    </row>
    <row r="2805" spans="1:20" x14ac:dyDescent="0.25">
      <c r="A2805" t="str">
        <f>"3066843"</f>
        <v>3066843</v>
      </c>
      <c r="B2805" t="s">
        <v>8531</v>
      </c>
      <c r="C2805" t="str">
        <f>"71500000"</f>
        <v>71500000</v>
      </c>
      <c r="D2805" t="s">
        <v>8525</v>
      </c>
      <c r="E2805" t="s">
        <v>8526</v>
      </c>
      <c r="F2805" t="s">
        <v>8527</v>
      </c>
      <c r="I2805" t="s">
        <v>29</v>
      </c>
      <c r="J2805" t="s">
        <v>30</v>
      </c>
      <c r="K2805" t="s">
        <v>8528</v>
      </c>
      <c r="M2805" t="s">
        <v>32</v>
      </c>
      <c r="N2805" t="str">
        <f>"1/22/2007 12:00:00 AM"</f>
        <v>1/22/2007 12:00:00 AM</v>
      </c>
      <c r="O2805" t="s">
        <v>8525</v>
      </c>
      <c r="T2805" t="s">
        <v>8526</v>
      </c>
    </row>
    <row r="2806" spans="1:20" x14ac:dyDescent="0.25">
      <c r="A2806" t="str">
        <f>"3046644"</f>
        <v>3046644</v>
      </c>
      <c r="B2806" t="s">
        <v>8532</v>
      </c>
      <c r="C2806" t="str">
        <f>"82527485"</f>
        <v>82527485</v>
      </c>
      <c r="D2806" t="s">
        <v>8533</v>
      </c>
      <c r="E2806" t="s">
        <v>8534</v>
      </c>
      <c r="F2806" t="s">
        <v>8535</v>
      </c>
      <c r="I2806" t="s">
        <v>8536</v>
      </c>
      <c r="J2806" t="s">
        <v>30</v>
      </c>
      <c r="K2806" t="s">
        <v>8537</v>
      </c>
      <c r="M2806" t="s">
        <v>32</v>
      </c>
      <c r="N2806" t="str">
        <f>"12/10/2007 12:00:00 AM"</f>
        <v>12/10/2007 12:00:00 AM</v>
      </c>
      <c r="O2806" t="s">
        <v>8533</v>
      </c>
      <c r="T2806" t="s">
        <v>8534</v>
      </c>
    </row>
    <row r="2807" spans="1:20" x14ac:dyDescent="0.25">
      <c r="A2807" t="str">
        <f>"3067693"</f>
        <v>3067693</v>
      </c>
      <c r="B2807" t="s">
        <v>8538</v>
      </c>
      <c r="C2807" t="str">
        <f>"82514317"</f>
        <v>82514317</v>
      </c>
      <c r="D2807" t="s">
        <v>8539</v>
      </c>
      <c r="E2807" t="s">
        <v>8540</v>
      </c>
      <c r="F2807" t="s">
        <v>8541</v>
      </c>
      <c r="I2807" t="s">
        <v>29</v>
      </c>
      <c r="J2807" t="s">
        <v>30</v>
      </c>
      <c r="K2807" t="s">
        <v>31</v>
      </c>
      <c r="M2807" t="s">
        <v>32</v>
      </c>
      <c r="N2807" t="str">
        <f>"7/16/2002 12:00:00 AM"</f>
        <v>7/16/2002 12:00:00 AM</v>
      </c>
      <c r="O2807" t="s">
        <v>8539</v>
      </c>
      <c r="T2807" t="s">
        <v>8540</v>
      </c>
    </row>
    <row r="2808" spans="1:20" x14ac:dyDescent="0.25">
      <c r="A2808" t="str">
        <f>"3046832"</f>
        <v>3046832</v>
      </c>
      <c r="B2808" t="s">
        <v>8542</v>
      </c>
      <c r="C2808" t="str">
        <f>"69955000"</f>
        <v>69955000</v>
      </c>
      <c r="D2808" t="s">
        <v>8543</v>
      </c>
      <c r="E2808" t="s">
        <v>8544</v>
      </c>
      <c r="F2808" t="s">
        <v>8545</v>
      </c>
      <c r="I2808" t="s">
        <v>29</v>
      </c>
      <c r="J2808" t="s">
        <v>30</v>
      </c>
      <c r="K2808" t="s">
        <v>31</v>
      </c>
      <c r="M2808" t="s">
        <v>32</v>
      </c>
      <c r="N2808" t="str">
        <f>"5/19/2004 12:00:00 AM"</f>
        <v>5/19/2004 12:00:00 AM</v>
      </c>
      <c r="O2808" t="s">
        <v>8543</v>
      </c>
      <c r="T2808" t="s">
        <v>8544</v>
      </c>
    </row>
    <row r="2809" spans="1:20" x14ac:dyDescent="0.25">
      <c r="A2809" t="str">
        <f>"3047146"</f>
        <v>3047146</v>
      </c>
      <c r="B2809" t="s">
        <v>8546</v>
      </c>
      <c r="C2809" t="str">
        <f>"69955000"</f>
        <v>69955000</v>
      </c>
      <c r="D2809" t="s">
        <v>8543</v>
      </c>
      <c r="E2809" t="s">
        <v>8544</v>
      </c>
      <c r="F2809" t="s">
        <v>8545</v>
      </c>
      <c r="I2809" t="s">
        <v>29</v>
      </c>
      <c r="J2809" t="s">
        <v>30</v>
      </c>
      <c r="K2809" t="s">
        <v>31</v>
      </c>
      <c r="M2809" t="s">
        <v>32</v>
      </c>
      <c r="N2809" t="str">
        <f>"5/19/2004 12:00:00 AM"</f>
        <v>5/19/2004 12:00:00 AM</v>
      </c>
      <c r="O2809" t="s">
        <v>8543</v>
      </c>
      <c r="T2809" t="s">
        <v>8544</v>
      </c>
    </row>
    <row r="2810" spans="1:20" x14ac:dyDescent="0.25">
      <c r="A2810" t="str">
        <f>"3047088"</f>
        <v>3047088</v>
      </c>
      <c r="B2810" t="s">
        <v>8547</v>
      </c>
      <c r="C2810" t="str">
        <f>"82529573"</f>
        <v>82529573</v>
      </c>
      <c r="D2810" t="s">
        <v>8548</v>
      </c>
      <c r="E2810" t="s">
        <v>8549</v>
      </c>
      <c r="F2810" t="s">
        <v>8550</v>
      </c>
      <c r="I2810" t="s">
        <v>29</v>
      </c>
      <c r="J2810" t="s">
        <v>30</v>
      </c>
      <c r="K2810" t="s">
        <v>31</v>
      </c>
      <c r="M2810" t="s">
        <v>32</v>
      </c>
      <c r="N2810" t="str">
        <f>"5/12/2008 12:00:00 AM"</f>
        <v>5/12/2008 12:00:00 AM</v>
      </c>
      <c r="O2810" t="s">
        <v>8548</v>
      </c>
      <c r="T2810" t="s">
        <v>8549</v>
      </c>
    </row>
    <row r="2811" spans="1:20" x14ac:dyDescent="0.25">
      <c r="A2811" t="str">
        <f>"3047149"</f>
        <v>3047149</v>
      </c>
      <c r="B2811" t="s">
        <v>8551</v>
      </c>
      <c r="C2811" t="str">
        <f>"72174750"</f>
        <v>72174750</v>
      </c>
      <c r="D2811" t="s">
        <v>8552</v>
      </c>
      <c r="E2811" t="s">
        <v>8553</v>
      </c>
      <c r="F2811" t="s">
        <v>8554</v>
      </c>
      <c r="I2811" t="s">
        <v>29</v>
      </c>
      <c r="J2811" t="s">
        <v>30</v>
      </c>
      <c r="K2811" t="s">
        <v>31</v>
      </c>
      <c r="M2811" t="s">
        <v>32</v>
      </c>
      <c r="N2811" t="str">
        <f>"6/16/2004 12:00:00 AM"</f>
        <v>6/16/2004 12:00:00 AM</v>
      </c>
      <c r="O2811" t="s">
        <v>8552</v>
      </c>
      <c r="T2811" t="s">
        <v>8553</v>
      </c>
    </row>
    <row r="2812" spans="1:20" x14ac:dyDescent="0.25">
      <c r="A2812" t="str">
        <f>"3045928"</f>
        <v>3045928</v>
      </c>
      <c r="B2812" t="s">
        <v>8555</v>
      </c>
      <c r="C2812" t="str">
        <f>"82528489"</f>
        <v>82528489</v>
      </c>
      <c r="D2812" t="s">
        <v>8517</v>
      </c>
      <c r="E2812" t="s">
        <v>8518</v>
      </c>
      <c r="F2812" t="s">
        <v>8519</v>
      </c>
      <c r="I2812" t="s">
        <v>471</v>
      </c>
      <c r="J2812" t="s">
        <v>30</v>
      </c>
      <c r="K2812" t="s">
        <v>1210</v>
      </c>
      <c r="M2812" t="s">
        <v>32</v>
      </c>
      <c r="N2812" t="str">
        <f>"8/10/2007 12:00:00 AM"</f>
        <v>8/10/2007 12:00:00 AM</v>
      </c>
      <c r="O2812" t="s">
        <v>8517</v>
      </c>
      <c r="T2812" t="s">
        <v>8518</v>
      </c>
    </row>
    <row r="2813" spans="1:20" x14ac:dyDescent="0.25">
      <c r="A2813" t="str">
        <f>"3046144"</f>
        <v>3046144</v>
      </c>
      <c r="B2813" t="s">
        <v>8556</v>
      </c>
      <c r="C2813" t="str">
        <f>"8924000"</f>
        <v>8924000</v>
      </c>
      <c r="D2813" t="s">
        <v>8557</v>
      </c>
      <c r="E2813" t="s">
        <v>8558</v>
      </c>
      <c r="F2813" t="s">
        <v>8559</v>
      </c>
      <c r="I2813" t="s">
        <v>29</v>
      </c>
      <c r="J2813" t="s">
        <v>30</v>
      </c>
      <c r="K2813" t="s">
        <v>31</v>
      </c>
      <c r="M2813" t="s">
        <v>32</v>
      </c>
      <c r="N2813" t="str">
        <f>"10/30/2003 12:00:00 AM"</f>
        <v>10/30/2003 12:00:00 AM</v>
      </c>
      <c r="O2813" t="s">
        <v>8557</v>
      </c>
      <c r="T2813" t="s">
        <v>8558</v>
      </c>
    </row>
    <row r="2814" spans="1:20" x14ac:dyDescent="0.25">
      <c r="A2814" t="str">
        <f>"3046768"</f>
        <v>3046768</v>
      </c>
      <c r="B2814" t="s">
        <v>8560</v>
      </c>
      <c r="C2814" t="str">
        <f>"6748500"</f>
        <v>6748500</v>
      </c>
      <c r="D2814" t="s">
        <v>8561</v>
      </c>
      <c r="F2814" t="s">
        <v>8562</v>
      </c>
      <c r="I2814" t="s">
        <v>184</v>
      </c>
      <c r="J2814" t="s">
        <v>30</v>
      </c>
      <c r="K2814" t="s">
        <v>185</v>
      </c>
      <c r="M2814" t="s">
        <v>32</v>
      </c>
      <c r="N2814" t="str">
        <f>"10/11/1991 12:00:00 AM"</f>
        <v>10/11/1991 12:00:00 AM</v>
      </c>
      <c r="O2814" t="s">
        <v>8561</v>
      </c>
    </row>
    <row r="2815" spans="1:20" x14ac:dyDescent="0.25">
      <c r="A2815" t="str">
        <f>"3046616"</f>
        <v>3046616</v>
      </c>
      <c r="B2815" t="s">
        <v>8563</v>
      </c>
      <c r="C2815" t="str">
        <f>"16639100"</f>
        <v>16639100</v>
      </c>
      <c r="D2815" t="s">
        <v>8564</v>
      </c>
      <c r="F2815" t="s">
        <v>8565</v>
      </c>
      <c r="I2815" t="s">
        <v>29</v>
      </c>
      <c r="J2815" t="s">
        <v>30</v>
      </c>
      <c r="K2815" t="s">
        <v>31</v>
      </c>
      <c r="M2815" t="s">
        <v>32</v>
      </c>
      <c r="N2815" t="str">
        <f>"7/1/2004 12:00:00 AM"</f>
        <v>7/1/2004 12:00:00 AM</v>
      </c>
      <c r="O2815" t="s">
        <v>8564</v>
      </c>
    </row>
    <row r="2816" spans="1:20" x14ac:dyDescent="0.25">
      <c r="A2816" t="str">
        <f>"3046770"</f>
        <v>3046770</v>
      </c>
      <c r="B2816" t="s">
        <v>8566</v>
      </c>
      <c r="C2816" t="str">
        <f>"82527106"</f>
        <v>82527106</v>
      </c>
      <c r="D2816" t="s">
        <v>8567</v>
      </c>
      <c r="E2816" t="s">
        <v>8568</v>
      </c>
      <c r="F2816" t="s">
        <v>8569</v>
      </c>
      <c r="I2816" t="s">
        <v>184</v>
      </c>
      <c r="J2816" t="s">
        <v>30</v>
      </c>
      <c r="K2816" t="s">
        <v>185</v>
      </c>
      <c r="M2816" t="s">
        <v>32</v>
      </c>
      <c r="N2816" t="str">
        <f>"11/9/2006 12:00:00 AM"</f>
        <v>11/9/2006 12:00:00 AM</v>
      </c>
      <c r="O2816" t="s">
        <v>8567</v>
      </c>
      <c r="T2816" t="s">
        <v>8568</v>
      </c>
    </row>
    <row r="2817" spans="1:20" x14ac:dyDescent="0.25">
      <c r="A2817" t="str">
        <f>"3060156"</f>
        <v>3060156</v>
      </c>
      <c r="B2817" t="s">
        <v>8570</v>
      </c>
      <c r="C2817" t="str">
        <f>"40103650"</f>
        <v>40103650</v>
      </c>
      <c r="D2817" t="s">
        <v>8571</v>
      </c>
      <c r="E2817" t="s">
        <v>8572</v>
      </c>
      <c r="F2817" t="s">
        <v>8573</v>
      </c>
      <c r="I2817" t="s">
        <v>184</v>
      </c>
      <c r="J2817" t="s">
        <v>30</v>
      </c>
      <c r="K2817" t="s">
        <v>8574</v>
      </c>
      <c r="M2817" t="s">
        <v>32</v>
      </c>
      <c r="N2817" t="str">
        <f>"1/12/2006 12:00:00 AM"</f>
        <v>1/12/2006 12:00:00 AM</v>
      </c>
      <c r="O2817" t="s">
        <v>8571</v>
      </c>
      <c r="T2817" t="s">
        <v>8572</v>
      </c>
    </row>
    <row r="2818" spans="1:20" x14ac:dyDescent="0.25">
      <c r="A2818" t="str">
        <f>"3045947"</f>
        <v>3045947</v>
      </c>
      <c r="B2818" t="s">
        <v>8575</v>
      </c>
      <c r="C2818" t="str">
        <f>"7748000"</f>
        <v>7748000</v>
      </c>
      <c r="D2818" t="s">
        <v>8327</v>
      </c>
      <c r="E2818" t="s">
        <v>8328</v>
      </c>
      <c r="F2818" t="s">
        <v>8329</v>
      </c>
      <c r="I2818" t="s">
        <v>29</v>
      </c>
      <c r="J2818" t="s">
        <v>30</v>
      </c>
      <c r="K2818" t="s">
        <v>31</v>
      </c>
      <c r="M2818" t="s">
        <v>32</v>
      </c>
      <c r="N2818" t="str">
        <f>"6/18/2002 12:00:00 AM"</f>
        <v>6/18/2002 12:00:00 AM</v>
      </c>
      <c r="O2818" t="s">
        <v>8327</v>
      </c>
      <c r="T2818" t="s">
        <v>8328</v>
      </c>
    </row>
    <row r="2819" spans="1:20" x14ac:dyDescent="0.25">
      <c r="A2819" t="str">
        <f>"3046273"</f>
        <v>3046273</v>
      </c>
      <c r="B2819" t="s">
        <v>8576</v>
      </c>
      <c r="C2819" t="str">
        <f>"35858000"</f>
        <v>35858000</v>
      </c>
      <c r="D2819" t="s">
        <v>8577</v>
      </c>
      <c r="E2819" t="s">
        <v>8578</v>
      </c>
      <c r="F2819" t="s">
        <v>8579</v>
      </c>
      <c r="I2819" t="s">
        <v>29</v>
      </c>
      <c r="J2819" t="s">
        <v>30</v>
      </c>
      <c r="K2819" t="s">
        <v>31</v>
      </c>
      <c r="M2819" t="s">
        <v>32</v>
      </c>
      <c r="N2819" t="str">
        <f>"6/18/2002 12:00:00 AM"</f>
        <v>6/18/2002 12:00:00 AM</v>
      </c>
      <c r="O2819" t="s">
        <v>8577</v>
      </c>
      <c r="T2819" t="s">
        <v>8578</v>
      </c>
    </row>
    <row r="2820" spans="1:20" x14ac:dyDescent="0.25">
      <c r="A2820" t="str">
        <f>"3046790"</f>
        <v>3046790</v>
      </c>
      <c r="B2820" t="s">
        <v>8580</v>
      </c>
      <c r="C2820" t="str">
        <f>"82522374"</f>
        <v>82522374</v>
      </c>
      <c r="D2820" t="s">
        <v>8581</v>
      </c>
      <c r="E2820" t="s">
        <v>8582</v>
      </c>
      <c r="F2820" t="s">
        <v>8583</v>
      </c>
      <c r="I2820" t="s">
        <v>184</v>
      </c>
      <c r="J2820" t="s">
        <v>30</v>
      </c>
      <c r="K2820" t="s">
        <v>8584</v>
      </c>
      <c r="M2820" t="s">
        <v>32</v>
      </c>
      <c r="N2820" t="str">
        <f>"8/26/2011 12:00:00 AM"</f>
        <v>8/26/2011 12:00:00 AM</v>
      </c>
      <c r="O2820" t="s">
        <v>8581</v>
      </c>
      <c r="T2820" t="s">
        <v>8582</v>
      </c>
    </row>
    <row r="2821" spans="1:20" x14ac:dyDescent="0.25">
      <c r="A2821" t="str">
        <f>"3046802"</f>
        <v>3046802</v>
      </c>
      <c r="B2821" t="s">
        <v>8585</v>
      </c>
      <c r="C2821" t="str">
        <f>"82523580"</f>
        <v>82523580</v>
      </c>
      <c r="D2821" t="s">
        <v>8586</v>
      </c>
      <c r="E2821" t="s">
        <v>8587</v>
      </c>
      <c r="F2821" t="s">
        <v>8588</v>
      </c>
      <c r="I2821" t="s">
        <v>184</v>
      </c>
      <c r="J2821" t="s">
        <v>30</v>
      </c>
      <c r="K2821" t="s">
        <v>185</v>
      </c>
      <c r="M2821" t="s">
        <v>32</v>
      </c>
      <c r="N2821" t="str">
        <f>"1/6/2005 12:00:00 AM"</f>
        <v>1/6/2005 12:00:00 AM</v>
      </c>
      <c r="O2821" t="s">
        <v>8586</v>
      </c>
      <c r="T2821" t="s">
        <v>8587</v>
      </c>
    </row>
    <row r="2822" spans="1:20" x14ac:dyDescent="0.25">
      <c r="A2822" t="str">
        <f>"3046949"</f>
        <v>3046949</v>
      </c>
      <c r="B2822" t="s">
        <v>8589</v>
      </c>
      <c r="C2822" t="str">
        <f>"6749500"</f>
        <v>6749500</v>
      </c>
      <c r="D2822" t="s">
        <v>8590</v>
      </c>
      <c r="F2822" t="s">
        <v>8591</v>
      </c>
      <c r="I2822" t="s">
        <v>184</v>
      </c>
      <c r="J2822" t="s">
        <v>30</v>
      </c>
      <c r="K2822" t="s">
        <v>185</v>
      </c>
      <c r="M2822" t="s">
        <v>32</v>
      </c>
      <c r="N2822" t="str">
        <f>"5/23/2003 12:00:00 AM"</f>
        <v>5/23/2003 12:00:00 AM</v>
      </c>
      <c r="O2822" t="s">
        <v>8590</v>
      </c>
    </row>
    <row r="2823" spans="1:20" x14ac:dyDescent="0.25">
      <c r="A2823" t="str">
        <f>"3047970"</f>
        <v>3047970</v>
      </c>
      <c r="B2823" t="s">
        <v>8592</v>
      </c>
      <c r="C2823" t="str">
        <f>"6749500"</f>
        <v>6749500</v>
      </c>
      <c r="D2823" t="s">
        <v>8590</v>
      </c>
      <c r="F2823" t="s">
        <v>8591</v>
      </c>
      <c r="I2823" t="s">
        <v>184</v>
      </c>
      <c r="J2823" t="s">
        <v>30</v>
      </c>
      <c r="K2823" t="s">
        <v>185</v>
      </c>
      <c r="M2823" t="s">
        <v>32</v>
      </c>
      <c r="N2823" t="str">
        <f>"5/23/2003 12:00:00 AM"</f>
        <v>5/23/2003 12:00:00 AM</v>
      </c>
      <c r="O2823" t="s">
        <v>8590</v>
      </c>
    </row>
    <row r="2824" spans="1:20" x14ac:dyDescent="0.25">
      <c r="A2824" t="str">
        <f>"3047806"</f>
        <v>3047806</v>
      </c>
      <c r="B2824" t="s">
        <v>8593</v>
      </c>
      <c r="C2824" t="str">
        <f>"23931800"</f>
        <v>23931800</v>
      </c>
      <c r="D2824" t="s">
        <v>8594</v>
      </c>
      <c r="E2824" t="s">
        <v>8595</v>
      </c>
      <c r="F2824" t="s">
        <v>8596</v>
      </c>
      <c r="I2824" t="s">
        <v>184</v>
      </c>
      <c r="J2824" t="s">
        <v>30</v>
      </c>
      <c r="K2824" t="s">
        <v>185</v>
      </c>
      <c r="M2824" t="s">
        <v>32</v>
      </c>
      <c r="N2824" t="str">
        <f>"1/30/2008 12:00:00 AM"</f>
        <v>1/30/2008 12:00:00 AM</v>
      </c>
      <c r="O2824" t="s">
        <v>8594</v>
      </c>
      <c r="T2824" t="s">
        <v>8595</v>
      </c>
    </row>
    <row r="2825" spans="1:20" x14ac:dyDescent="0.25">
      <c r="A2825" t="str">
        <f>"3047999"</f>
        <v>3047999</v>
      </c>
      <c r="B2825" t="s">
        <v>8597</v>
      </c>
      <c r="C2825" t="str">
        <f>"82524791"</f>
        <v>82524791</v>
      </c>
      <c r="D2825" t="s">
        <v>8598</v>
      </c>
      <c r="E2825" t="s">
        <v>8599</v>
      </c>
      <c r="F2825" t="s">
        <v>8600</v>
      </c>
      <c r="I2825" t="s">
        <v>184</v>
      </c>
      <c r="J2825" t="s">
        <v>30</v>
      </c>
      <c r="K2825" t="s">
        <v>185</v>
      </c>
      <c r="M2825" t="s">
        <v>32</v>
      </c>
      <c r="N2825" t="str">
        <f>"7/7/2005 12:00:00 AM"</f>
        <v>7/7/2005 12:00:00 AM</v>
      </c>
      <c r="O2825" t="s">
        <v>8598</v>
      </c>
      <c r="T2825" t="s">
        <v>8599</v>
      </c>
    </row>
    <row r="2826" spans="1:20" x14ac:dyDescent="0.25">
      <c r="A2826" t="str">
        <f>"3077996"</f>
        <v>3077996</v>
      </c>
      <c r="B2826" t="s">
        <v>8601</v>
      </c>
      <c r="C2826" t="str">
        <f>"82524791"</f>
        <v>82524791</v>
      </c>
      <c r="D2826" t="s">
        <v>8598</v>
      </c>
      <c r="E2826" t="s">
        <v>8599</v>
      </c>
      <c r="F2826" t="s">
        <v>8600</v>
      </c>
      <c r="I2826" t="s">
        <v>184</v>
      </c>
      <c r="J2826" t="s">
        <v>30</v>
      </c>
      <c r="K2826" t="s">
        <v>185</v>
      </c>
      <c r="M2826" t="s">
        <v>32</v>
      </c>
      <c r="N2826" t="str">
        <f>"7/7/2005 12:00:00 AM"</f>
        <v>7/7/2005 12:00:00 AM</v>
      </c>
      <c r="O2826" t="s">
        <v>8598</v>
      </c>
      <c r="T2826" t="s">
        <v>8599</v>
      </c>
    </row>
    <row r="2827" spans="1:20" x14ac:dyDescent="0.25">
      <c r="A2827" t="str">
        <f>"3070886"</f>
        <v>3070886</v>
      </c>
      <c r="B2827" t="s">
        <v>8602</v>
      </c>
      <c r="C2827" t="str">
        <f>"82524791"</f>
        <v>82524791</v>
      </c>
      <c r="D2827" t="s">
        <v>8598</v>
      </c>
      <c r="E2827" t="s">
        <v>8599</v>
      </c>
      <c r="F2827" t="s">
        <v>8600</v>
      </c>
      <c r="I2827" t="s">
        <v>184</v>
      </c>
      <c r="J2827" t="s">
        <v>30</v>
      </c>
      <c r="K2827" t="s">
        <v>185</v>
      </c>
      <c r="M2827" t="s">
        <v>32</v>
      </c>
      <c r="N2827" t="str">
        <f>"7/7/2005 12:00:00 AM"</f>
        <v>7/7/2005 12:00:00 AM</v>
      </c>
      <c r="O2827" t="s">
        <v>8598</v>
      </c>
      <c r="T2827" t="s">
        <v>8599</v>
      </c>
    </row>
    <row r="2828" spans="1:20" x14ac:dyDescent="0.25">
      <c r="A2828" t="str">
        <f>"3047399"</f>
        <v>3047399</v>
      </c>
      <c r="B2828" t="s">
        <v>8603</v>
      </c>
      <c r="C2828" t="str">
        <f>"57605000"</f>
        <v>57605000</v>
      </c>
      <c r="D2828" t="s">
        <v>8604</v>
      </c>
      <c r="K2828" t="s">
        <v>586</v>
      </c>
      <c r="M2828" t="s">
        <v>32</v>
      </c>
      <c r="N2828" t="str">
        <f>"3/13/1996 12:00:00 AM"</f>
        <v>3/13/1996 12:00:00 AM</v>
      </c>
      <c r="O2828" t="s">
        <v>8604</v>
      </c>
    </row>
    <row r="2829" spans="1:20" x14ac:dyDescent="0.25">
      <c r="A2829" t="str">
        <f>"3047550"</f>
        <v>3047550</v>
      </c>
      <c r="B2829" t="s">
        <v>8605</v>
      </c>
      <c r="C2829" t="str">
        <f>"61922000"</f>
        <v>61922000</v>
      </c>
      <c r="D2829" t="s">
        <v>8606</v>
      </c>
      <c r="F2829" t="s">
        <v>8607</v>
      </c>
      <c r="I2829" t="s">
        <v>184</v>
      </c>
      <c r="J2829" t="s">
        <v>30</v>
      </c>
      <c r="K2829" t="s">
        <v>8608</v>
      </c>
      <c r="M2829" t="s">
        <v>32</v>
      </c>
      <c r="N2829" t="str">
        <f>"2/3/2006 12:00:00 AM"</f>
        <v>2/3/2006 12:00:00 AM</v>
      </c>
      <c r="O2829" t="s">
        <v>8606</v>
      </c>
    </row>
    <row r="2830" spans="1:20" x14ac:dyDescent="0.25">
      <c r="A2830" t="str">
        <f>"3046700"</f>
        <v>3046700</v>
      </c>
      <c r="B2830" t="s">
        <v>8609</v>
      </c>
      <c r="C2830" t="str">
        <f>"61922000"</f>
        <v>61922000</v>
      </c>
      <c r="D2830" t="s">
        <v>8606</v>
      </c>
      <c r="F2830" t="s">
        <v>8607</v>
      </c>
      <c r="I2830" t="s">
        <v>184</v>
      </c>
      <c r="J2830" t="s">
        <v>30</v>
      </c>
      <c r="K2830" t="s">
        <v>8608</v>
      </c>
      <c r="M2830" t="s">
        <v>32</v>
      </c>
      <c r="N2830" t="str">
        <f>"2/3/2006 12:00:00 AM"</f>
        <v>2/3/2006 12:00:00 AM</v>
      </c>
      <c r="O2830" t="s">
        <v>8606</v>
      </c>
    </row>
    <row r="2831" spans="1:20" x14ac:dyDescent="0.25">
      <c r="A2831" t="str">
        <f>"3048045"</f>
        <v>3048045</v>
      </c>
      <c r="B2831" t="s">
        <v>8610</v>
      </c>
      <c r="C2831" t="str">
        <f>"61922000"</f>
        <v>61922000</v>
      </c>
      <c r="D2831" t="s">
        <v>8606</v>
      </c>
      <c r="F2831" t="s">
        <v>8607</v>
      </c>
      <c r="I2831" t="s">
        <v>184</v>
      </c>
      <c r="J2831" t="s">
        <v>30</v>
      </c>
      <c r="K2831" t="s">
        <v>8608</v>
      </c>
      <c r="M2831" t="s">
        <v>32</v>
      </c>
      <c r="N2831" t="str">
        <f>"2/3/2006 12:00:00 AM"</f>
        <v>2/3/2006 12:00:00 AM</v>
      </c>
      <c r="O2831" t="s">
        <v>8606</v>
      </c>
    </row>
    <row r="2832" spans="1:20" x14ac:dyDescent="0.25">
      <c r="A2832" t="str">
        <f>"3056655"</f>
        <v>3056655</v>
      </c>
      <c r="B2832" t="s">
        <v>8611</v>
      </c>
      <c r="C2832" t="str">
        <f>"54228000"</f>
        <v>54228000</v>
      </c>
      <c r="D2832" t="s">
        <v>8612</v>
      </c>
      <c r="E2832" t="s">
        <v>8613</v>
      </c>
      <c r="F2832" t="s">
        <v>8614</v>
      </c>
      <c r="I2832" t="s">
        <v>184</v>
      </c>
      <c r="J2832" t="s">
        <v>30</v>
      </c>
      <c r="K2832" t="s">
        <v>185</v>
      </c>
      <c r="M2832" t="s">
        <v>32</v>
      </c>
      <c r="N2832" t="str">
        <f>"7/16/2002 12:00:00 AM"</f>
        <v>7/16/2002 12:00:00 AM</v>
      </c>
      <c r="O2832" t="s">
        <v>8612</v>
      </c>
      <c r="T2832" t="s">
        <v>8613</v>
      </c>
    </row>
    <row r="2833" spans="1:20" x14ac:dyDescent="0.25">
      <c r="A2833" t="str">
        <f>"3047650"</f>
        <v>3047650</v>
      </c>
      <c r="B2833" t="s">
        <v>8615</v>
      </c>
      <c r="C2833" t="str">
        <f>"54228000"</f>
        <v>54228000</v>
      </c>
      <c r="D2833" t="s">
        <v>8612</v>
      </c>
      <c r="E2833" t="s">
        <v>8613</v>
      </c>
      <c r="F2833" t="s">
        <v>8614</v>
      </c>
      <c r="I2833" t="s">
        <v>184</v>
      </c>
      <c r="J2833" t="s">
        <v>30</v>
      </c>
      <c r="K2833" t="s">
        <v>185</v>
      </c>
      <c r="M2833" t="s">
        <v>32</v>
      </c>
      <c r="N2833" t="str">
        <f>"7/16/2002 12:00:00 AM"</f>
        <v>7/16/2002 12:00:00 AM</v>
      </c>
      <c r="O2833" t="s">
        <v>8612</v>
      </c>
      <c r="T2833" t="s">
        <v>8613</v>
      </c>
    </row>
    <row r="2834" spans="1:20" x14ac:dyDescent="0.25">
      <c r="A2834" t="str">
        <f>"3047651"</f>
        <v>3047651</v>
      </c>
      <c r="B2834" t="s">
        <v>8616</v>
      </c>
      <c r="C2834" t="str">
        <f>"54228000"</f>
        <v>54228000</v>
      </c>
      <c r="D2834" t="s">
        <v>8612</v>
      </c>
      <c r="E2834" t="s">
        <v>8613</v>
      </c>
      <c r="F2834" t="s">
        <v>8614</v>
      </c>
      <c r="I2834" t="s">
        <v>184</v>
      </c>
      <c r="J2834" t="s">
        <v>30</v>
      </c>
      <c r="K2834" t="s">
        <v>185</v>
      </c>
      <c r="M2834" t="s">
        <v>32</v>
      </c>
      <c r="N2834" t="str">
        <f>"7/16/2002 12:00:00 AM"</f>
        <v>7/16/2002 12:00:00 AM</v>
      </c>
      <c r="O2834" t="s">
        <v>8612</v>
      </c>
      <c r="T2834" t="s">
        <v>8613</v>
      </c>
    </row>
    <row r="2835" spans="1:20" x14ac:dyDescent="0.25">
      <c r="A2835" t="str">
        <f>"3047652"</f>
        <v>3047652</v>
      </c>
      <c r="B2835" t="s">
        <v>8617</v>
      </c>
      <c r="C2835" t="str">
        <f>"54228000"</f>
        <v>54228000</v>
      </c>
      <c r="D2835" t="s">
        <v>8612</v>
      </c>
      <c r="E2835" t="s">
        <v>8613</v>
      </c>
      <c r="F2835" t="s">
        <v>8614</v>
      </c>
      <c r="I2835" t="s">
        <v>184</v>
      </c>
      <c r="J2835" t="s">
        <v>30</v>
      </c>
      <c r="K2835" t="s">
        <v>185</v>
      </c>
      <c r="M2835" t="s">
        <v>32</v>
      </c>
      <c r="N2835" t="str">
        <f>"7/16/2002 12:00:00 AM"</f>
        <v>7/16/2002 12:00:00 AM</v>
      </c>
      <c r="O2835" t="s">
        <v>8612</v>
      </c>
      <c r="T2835" t="s">
        <v>8613</v>
      </c>
    </row>
    <row r="2836" spans="1:20" x14ac:dyDescent="0.25">
      <c r="A2836" t="str">
        <f>"3047783"</f>
        <v>3047783</v>
      </c>
      <c r="B2836" t="s">
        <v>8618</v>
      </c>
      <c r="C2836" t="str">
        <f>"54228000"</f>
        <v>54228000</v>
      </c>
      <c r="D2836" t="s">
        <v>8612</v>
      </c>
      <c r="E2836" t="s">
        <v>8613</v>
      </c>
      <c r="F2836" t="s">
        <v>8614</v>
      </c>
      <c r="I2836" t="s">
        <v>184</v>
      </c>
      <c r="J2836" t="s">
        <v>30</v>
      </c>
      <c r="K2836" t="s">
        <v>185</v>
      </c>
      <c r="M2836" t="s">
        <v>32</v>
      </c>
      <c r="N2836" t="str">
        <f>"7/16/2002 12:00:00 AM"</f>
        <v>7/16/2002 12:00:00 AM</v>
      </c>
      <c r="O2836" t="s">
        <v>8612</v>
      </c>
      <c r="T2836" t="s">
        <v>8613</v>
      </c>
    </row>
    <row r="2837" spans="1:20" x14ac:dyDescent="0.25">
      <c r="A2837" t="str">
        <f>"3047503"</f>
        <v>3047503</v>
      </c>
      <c r="B2837" t="s">
        <v>8619</v>
      </c>
      <c r="C2837" t="str">
        <f>"29172000"</f>
        <v>29172000</v>
      </c>
      <c r="D2837" t="s">
        <v>8620</v>
      </c>
      <c r="F2837" t="s">
        <v>8621</v>
      </c>
      <c r="I2837" t="s">
        <v>8536</v>
      </c>
      <c r="J2837" t="s">
        <v>30</v>
      </c>
      <c r="K2837" t="s">
        <v>8622</v>
      </c>
      <c r="N2837" t="str">
        <f>"6/29/2006 12:00:00 AM"</f>
        <v>6/29/2006 12:00:00 AM</v>
      </c>
      <c r="O2837" t="s">
        <v>8620</v>
      </c>
    </row>
    <row r="2838" spans="1:20" x14ac:dyDescent="0.25">
      <c r="A2838" t="str">
        <f>"3048673"</f>
        <v>3048673</v>
      </c>
      <c r="B2838" t="s">
        <v>8623</v>
      </c>
      <c r="C2838" t="str">
        <f>"37936000"</f>
        <v>37936000</v>
      </c>
      <c r="D2838" t="s">
        <v>8624</v>
      </c>
      <c r="E2838" t="s">
        <v>8625</v>
      </c>
      <c r="F2838" t="s">
        <v>8626</v>
      </c>
      <c r="I2838" t="s">
        <v>29</v>
      </c>
      <c r="J2838" t="s">
        <v>30</v>
      </c>
      <c r="K2838" t="s">
        <v>31</v>
      </c>
      <c r="M2838" t="s">
        <v>32</v>
      </c>
      <c r="N2838" t="str">
        <f>"11/7/2003 12:00:00 AM"</f>
        <v>11/7/2003 12:00:00 AM</v>
      </c>
      <c r="O2838" t="s">
        <v>8624</v>
      </c>
      <c r="T2838" t="s">
        <v>8625</v>
      </c>
    </row>
    <row r="2839" spans="1:20" x14ac:dyDescent="0.25">
      <c r="A2839" t="str">
        <f>"3048675"</f>
        <v>3048675</v>
      </c>
      <c r="B2839" t="s">
        <v>8627</v>
      </c>
      <c r="C2839" t="str">
        <f>"2428250"</f>
        <v>2428250</v>
      </c>
      <c r="D2839" t="s">
        <v>8628</v>
      </c>
      <c r="E2839" t="s">
        <v>8629</v>
      </c>
      <c r="F2839" t="s">
        <v>8630</v>
      </c>
      <c r="I2839" t="s">
        <v>29</v>
      </c>
      <c r="J2839" t="s">
        <v>30</v>
      </c>
      <c r="K2839" t="s">
        <v>8631</v>
      </c>
      <c r="M2839" t="s">
        <v>32</v>
      </c>
      <c r="N2839" t="str">
        <f>"1/19/2007 12:00:00 AM"</f>
        <v>1/19/2007 12:00:00 AM</v>
      </c>
      <c r="O2839" t="s">
        <v>8628</v>
      </c>
      <c r="T2839" t="s">
        <v>8629</v>
      </c>
    </row>
    <row r="2840" spans="1:20" x14ac:dyDescent="0.25">
      <c r="A2840" t="str">
        <f>"3047078"</f>
        <v>3047078</v>
      </c>
      <c r="B2840" t="s">
        <v>8632</v>
      </c>
      <c r="C2840" t="str">
        <f>"17590000"</f>
        <v>17590000</v>
      </c>
      <c r="D2840" t="s">
        <v>8633</v>
      </c>
      <c r="E2840" t="s">
        <v>8634</v>
      </c>
      <c r="F2840" t="s">
        <v>8635</v>
      </c>
      <c r="I2840" t="s">
        <v>184</v>
      </c>
      <c r="J2840" t="s">
        <v>30</v>
      </c>
      <c r="K2840" t="s">
        <v>185</v>
      </c>
      <c r="M2840" t="s">
        <v>32</v>
      </c>
      <c r="N2840" t="str">
        <f>"7/1/2003 12:00:00 AM"</f>
        <v>7/1/2003 12:00:00 AM</v>
      </c>
      <c r="O2840" t="s">
        <v>8633</v>
      </c>
      <c r="T2840" t="s">
        <v>8634</v>
      </c>
    </row>
    <row r="2841" spans="1:20" x14ac:dyDescent="0.25">
      <c r="A2841" t="str">
        <f>"3047122"</f>
        <v>3047122</v>
      </c>
      <c r="B2841" t="s">
        <v>8636</v>
      </c>
      <c r="C2841" t="str">
        <f>"82517631"</f>
        <v>82517631</v>
      </c>
      <c r="D2841" t="s">
        <v>8637</v>
      </c>
      <c r="F2841" t="s">
        <v>8638</v>
      </c>
      <c r="I2841" t="s">
        <v>184</v>
      </c>
      <c r="J2841" t="s">
        <v>30</v>
      </c>
      <c r="K2841" t="s">
        <v>185</v>
      </c>
      <c r="M2841" t="s">
        <v>32</v>
      </c>
      <c r="N2841" t="str">
        <f>"6/28/2007 12:00:00 AM"</f>
        <v>6/28/2007 12:00:00 AM</v>
      </c>
      <c r="O2841" t="s">
        <v>8637</v>
      </c>
    </row>
    <row r="2842" spans="1:20" x14ac:dyDescent="0.25">
      <c r="A2842" t="str">
        <f>"3046947"</f>
        <v>3046947</v>
      </c>
      <c r="B2842" t="s">
        <v>8639</v>
      </c>
      <c r="C2842" t="str">
        <f>"82525805"</f>
        <v>82525805</v>
      </c>
      <c r="D2842" t="s">
        <v>8640</v>
      </c>
      <c r="E2842" t="s">
        <v>8641</v>
      </c>
      <c r="F2842" t="s">
        <v>8642</v>
      </c>
      <c r="I2842" t="s">
        <v>184</v>
      </c>
      <c r="J2842" t="s">
        <v>30</v>
      </c>
      <c r="K2842" t="s">
        <v>185</v>
      </c>
      <c r="M2842" t="s">
        <v>32</v>
      </c>
      <c r="N2842" t="str">
        <f>"3/14/2006 12:00:00 AM"</f>
        <v>3/14/2006 12:00:00 AM</v>
      </c>
      <c r="O2842" t="s">
        <v>8640</v>
      </c>
      <c r="T2842" t="s">
        <v>8641</v>
      </c>
    </row>
    <row r="2843" spans="1:20" x14ac:dyDescent="0.25">
      <c r="A2843" t="str">
        <f>"3046950"</f>
        <v>3046950</v>
      </c>
      <c r="B2843" t="s">
        <v>8643</v>
      </c>
      <c r="C2843" t="str">
        <f>"65444000"</f>
        <v>65444000</v>
      </c>
      <c r="D2843" t="s">
        <v>8644</v>
      </c>
      <c r="E2843" t="s">
        <v>8645</v>
      </c>
      <c r="F2843" t="s">
        <v>8646</v>
      </c>
      <c r="I2843" t="s">
        <v>184</v>
      </c>
      <c r="J2843" t="s">
        <v>30</v>
      </c>
      <c r="K2843" t="s">
        <v>8647</v>
      </c>
      <c r="M2843" t="s">
        <v>32</v>
      </c>
      <c r="N2843" t="str">
        <f>"1/30/2006 12:00:00 AM"</f>
        <v>1/30/2006 12:00:00 AM</v>
      </c>
      <c r="O2843" t="s">
        <v>8644</v>
      </c>
      <c r="T2843" t="s">
        <v>8645</v>
      </c>
    </row>
    <row r="2844" spans="1:20" x14ac:dyDescent="0.25">
      <c r="A2844" t="str">
        <f>"3046589"</f>
        <v>3046589</v>
      </c>
      <c r="B2844" t="s">
        <v>8648</v>
      </c>
      <c r="C2844" t="str">
        <f>"82517488"</f>
        <v>82517488</v>
      </c>
      <c r="D2844" t="s">
        <v>8649</v>
      </c>
      <c r="F2844" t="s">
        <v>8646</v>
      </c>
      <c r="I2844" t="s">
        <v>184</v>
      </c>
      <c r="J2844" t="s">
        <v>30</v>
      </c>
      <c r="K2844" t="s">
        <v>185</v>
      </c>
      <c r="M2844" t="s">
        <v>32</v>
      </c>
      <c r="N2844" t="str">
        <f>"7/16/2002 12:00:00 AM"</f>
        <v>7/16/2002 12:00:00 AM</v>
      </c>
      <c r="O2844" t="s">
        <v>8649</v>
      </c>
    </row>
    <row r="2845" spans="1:20" x14ac:dyDescent="0.25">
      <c r="A2845" t="str">
        <f>"3046759"</f>
        <v>3046759</v>
      </c>
      <c r="B2845" t="s">
        <v>8650</v>
      </c>
      <c r="C2845" t="str">
        <f>"4624000"</f>
        <v>4624000</v>
      </c>
      <c r="D2845" t="s">
        <v>8651</v>
      </c>
      <c r="E2845" t="s">
        <v>8652</v>
      </c>
      <c r="F2845" t="s">
        <v>8653</v>
      </c>
      <c r="I2845" t="s">
        <v>184</v>
      </c>
      <c r="J2845" t="s">
        <v>30</v>
      </c>
      <c r="K2845" t="s">
        <v>8654</v>
      </c>
      <c r="M2845" t="s">
        <v>32</v>
      </c>
      <c r="N2845" t="str">
        <f>"1/11/2006 12:00:00 AM"</f>
        <v>1/11/2006 12:00:00 AM</v>
      </c>
      <c r="O2845" t="s">
        <v>8651</v>
      </c>
      <c r="T2845" t="s">
        <v>8652</v>
      </c>
    </row>
    <row r="2846" spans="1:20" x14ac:dyDescent="0.25">
      <c r="A2846" t="str">
        <f>"3067537"</f>
        <v>3067537</v>
      </c>
      <c r="B2846" t="s">
        <v>8655</v>
      </c>
      <c r="C2846" t="str">
        <f>"8734000"</f>
        <v>8734000</v>
      </c>
      <c r="D2846" t="s">
        <v>8656</v>
      </c>
      <c r="E2846" t="s">
        <v>8657</v>
      </c>
      <c r="F2846" t="s">
        <v>8658</v>
      </c>
      <c r="I2846" t="s">
        <v>29</v>
      </c>
      <c r="J2846" t="s">
        <v>30</v>
      </c>
      <c r="K2846" t="s">
        <v>8659</v>
      </c>
      <c r="M2846" t="s">
        <v>32</v>
      </c>
      <c r="N2846" t="str">
        <f>"1/31/2006 12:00:00 AM"</f>
        <v>1/31/2006 12:00:00 AM</v>
      </c>
      <c r="O2846" t="s">
        <v>8656</v>
      </c>
      <c r="T2846" t="s">
        <v>8657</v>
      </c>
    </row>
    <row r="2847" spans="1:20" x14ac:dyDescent="0.25">
      <c r="A2847" t="str">
        <f>"3074970"</f>
        <v>3074970</v>
      </c>
      <c r="B2847" t="s">
        <v>8660</v>
      </c>
      <c r="C2847" t="str">
        <f>"74919800"</f>
        <v>74919800</v>
      </c>
      <c r="D2847" t="s">
        <v>8661</v>
      </c>
      <c r="E2847" t="s">
        <v>8662</v>
      </c>
      <c r="F2847" t="s">
        <v>8663</v>
      </c>
      <c r="I2847" t="s">
        <v>184</v>
      </c>
      <c r="J2847" t="s">
        <v>30</v>
      </c>
      <c r="K2847" t="s">
        <v>185</v>
      </c>
      <c r="N2847" t="str">
        <f>"7/16/2002 12:00:00 AM"</f>
        <v>7/16/2002 12:00:00 AM</v>
      </c>
      <c r="O2847" t="s">
        <v>8661</v>
      </c>
      <c r="T2847" t="s">
        <v>8662</v>
      </c>
    </row>
    <row r="2848" spans="1:20" x14ac:dyDescent="0.25">
      <c r="A2848" t="str">
        <f>"3078939"</f>
        <v>3078939</v>
      </c>
      <c r="B2848" t="s">
        <v>8664</v>
      </c>
      <c r="C2848" t="str">
        <f>"74919800"</f>
        <v>74919800</v>
      </c>
      <c r="D2848" t="s">
        <v>8661</v>
      </c>
      <c r="E2848" t="s">
        <v>8662</v>
      </c>
      <c r="F2848" t="s">
        <v>8663</v>
      </c>
      <c r="I2848" t="s">
        <v>184</v>
      </c>
      <c r="J2848" t="s">
        <v>30</v>
      </c>
      <c r="K2848" t="s">
        <v>185</v>
      </c>
      <c r="N2848" t="str">
        <f>"7/16/2002 12:00:00 AM"</f>
        <v>7/16/2002 12:00:00 AM</v>
      </c>
      <c r="O2848" t="s">
        <v>8661</v>
      </c>
      <c r="T2848" t="s">
        <v>8662</v>
      </c>
    </row>
    <row r="2849" spans="1:20" x14ac:dyDescent="0.25">
      <c r="A2849" t="str">
        <f>"3072548"</f>
        <v>3072548</v>
      </c>
      <c r="B2849" t="s">
        <v>8665</v>
      </c>
      <c r="C2849" t="str">
        <f>"82517339"</f>
        <v>82517339</v>
      </c>
      <c r="D2849" t="s">
        <v>8666</v>
      </c>
      <c r="F2849" t="s">
        <v>8667</v>
      </c>
      <c r="I2849" t="s">
        <v>184</v>
      </c>
      <c r="J2849" t="s">
        <v>30</v>
      </c>
      <c r="K2849" t="s">
        <v>8668</v>
      </c>
      <c r="M2849" t="s">
        <v>32</v>
      </c>
      <c r="N2849" t="str">
        <f>"1/13/2010 12:00:00 AM"</f>
        <v>1/13/2010 12:00:00 AM</v>
      </c>
      <c r="O2849" t="s">
        <v>8666</v>
      </c>
    </row>
    <row r="2850" spans="1:20" x14ac:dyDescent="0.25">
      <c r="A2850" t="str">
        <f>"3049244"</f>
        <v>3049244</v>
      </c>
      <c r="B2850" t="s">
        <v>8669</v>
      </c>
      <c r="C2850" t="str">
        <f>"82525226"</f>
        <v>82525226</v>
      </c>
      <c r="D2850" t="s">
        <v>8670</v>
      </c>
      <c r="E2850" t="s">
        <v>8671</v>
      </c>
      <c r="F2850" t="s">
        <v>8672</v>
      </c>
      <c r="I2850" t="s">
        <v>184</v>
      </c>
      <c r="J2850" t="s">
        <v>30</v>
      </c>
      <c r="K2850" t="s">
        <v>8668</v>
      </c>
      <c r="M2850" t="s">
        <v>32</v>
      </c>
      <c r="N2850" t="str">
        <f>"1/23/2006 12:00:00 AM"</f>
        <v>1/23/2006 12:00:00 AM</v>
      </c>
      <c r="O2850" t="s">
        <v>8670</v>
      </c>
      <c r="T2850" t="s">
        <v>8671</v>
      </c>
    </row>
    <row r="2851" spans="1:20" x14ac:dyDescent="0.25">
      <c r="A2851" t="str">
        <f>"3049256"</f>
        <v>3049256</v>
      </c>
      <c r="B2851" t="s">
        <v>8673</v>
      </c>
      <c r="C2851" t="str">
        <f>"82523378"</f>
        <v>82523378</v>
      </c>
      <c r="D2851" t="s">
        <v>8674</v>
      </c>
      <c r="F2851" t="s">
        <v>8675</v>
      </c>
      <c r="I2851" t="s">
        <v>184</v>
      </c>
      <c r="J2851" t="s">
        <v>30</v>
      </c>
      <c r="K2851" t="s">
        <v>8668</v>
      </c>
      <c r="M2851" t="s">
        <v>32</v>
      </c>
      <c r="N2851" t="str">
        <f>"2/28/2005 12:00:00 AM"</f>
        <v>2/28/2005 12:00:00 AM</v>
      </c>
      <c r="O2851" t="s">
        <v>8674</v>
      </c>
    </row>
    <row r="2852" spans="1:20" x14ac:dyDescent="0.25">
      <c r="A2852" t="str">
        <f>"3043841"</f>
        <v>3043841</v>
      </c>
      <c r="B2852" t="s">
        <v>8676</v>
      </c>
      <c r="C2852" t="str">
        <f>"82518190"</f>
        <v>82518190</v>
      </c>
      <c r="D2852" t="s">
        <v>8677</v>
      </c>
      <c r="F2852" t="s">
        <v>8678</v>
      </c>
      <c r="I2852" t="s">
        <v>184</v>
      </c>
      <c r="J2852" t="s">
        <v>30</v>
      </c>
      <c r="K2852" t="s">
        <v>185</v>
      </c>
      <c r="M2852" t="s">
        <v>32</v>
      </c>
      <c r="N2852" t="str">
        <f>"6/14/2005 12:00:00 AM"</f>
        <v>6/14/2005 12:00:00 AM</v>
      </c>
      <c r="O2852" t="s">
        <v>8677</v>
      </c>
    </row>
    <row r="2853" spans="1:20" x14ac:dyDescent="0.25">
      <c r="A2853" t="str">
        <f>"3078001"</f>
        <v>3078001</v>
      </c>
      <c r="B2853" t="s">
        <v>8679</v>
      </c>
      <c r="C2853" t="str">
        <f>"82519923"</f>
        <v>82519923</v>
      </c>
      <c r="D2853" t="s">
        <v>8680</v>
      </c>
      <c r="E2853" t="s">
        <v>8681</v>
      </c>
      <c r="F2853" t="s">
        <v>8682</v>
      </c>
      <c r="I2853" t="s">
        <v>184</v>
      </c>
      <c r="J2853" t="s">
        <v>30</v>
      </c>
      <c r="K2853" t="s">
        <v>185</v>
      </c>
      <c r="M2853" t="s">
        <v>32</v>
      </c>
      <c r="N2853" t="str">
        <f>"9/6/2011 12:00:00 AM"</f>
        <v>9/6/2011 12:00:00 AM</v>
      </c>
      <c r="O2853" t="s">
        <v>8680</v>
      </c>
      <c r="T2853" t="s">
        <v>8681</v>
      </c>
    </row>
    <row r="2854" spans="1:20" x14ac:dyDescent="0.25">
      <c r="A2854" t="str">
        <f>"3078002"</f>
        <v>3078002</v>
      </c>
      <c r="B2854" t="s">
        <v>8683</v>
      </c>
      <c r="C2854" t="str">
        <f>"82523773"</f>
        <v>82523773</v>
      </c>
      <c r="D2854" t="s">
        <v>8684</v>
      </c>
      <c r="E2854" t="s">
        <v>8685</v>
      </c>
      <c r="F2854" t="s">
        <v>8686</v>
      </c>
      <c r="I2854" t="s">
        <v>184</v>
      </c>
      <c r="J2854" t="s">
        <v>30</v>
      </c>
      <c r="K2854" t="s">
        <v>8687</v>
      </c>
      <c r="M2854" t="s">
        <v>32</v>
      </c>
      <c r="N2854" t="str">
        <f>"2/7/2007 12:00:00 AM"</f>
        <v>2/7/2007 12:00:00 AM</v>
      </c>
      <c r="O2854" t="s">
        <v>8684</v>
      </c>
      <c r="T2854" t="s">
        <v>8685</v>
      </c>
    </row>
    <row r="2855" spans="1:20" x14ac:dyDescent="0.25">
      <c r="A2855" t="str">
        <f>"3043997"</f>
        <v>3043997</v>
      </c>
      <c r="B2855" t="s">
        <v>8688</v>
      </c>
      <c r="C2855" t="str">
        <f>"82530086"</f>
        <v>82530086</v>
      </c>
      <c r="D2855" t="s">
        <v>8689</v>
      </c>
      <c r="F2855" t="s">
        <v>8690</v>
      </c>
      <c r="I2855" t="s">
        <v>1045</v>
      </c>
      <c r="J2855" t="s">
        <v>1046</v>
      </c>
      <c r="K2855" t="s">
        <v>8691</v>
      </c>
      <c r="M2855" t="s">
        <v>32</v>
      </c>
      <c r="N2855" t="str">
        <f>"9/19/2008 12:00:00 AM"</f>
        <v>9/19/2008 12:00:00 AM</v>
      </c>
      <c r="O2855" t="s">
        <v>8689</v>
      </c>
    </row>
    <row r="2856" spans="1:20" x14ac:dyDescent="0.25">
      <c r="A2856" t="str">
        <f>"3067258"</f>
        <v>3067258</v>
      </c>
      <c r="B2856" t="s">
        <v>8692</v>
      </c>
      <c r="C2856" t="str">
        <f>"8734000"</f>
        <v>8734000</v>
      </c>
      <c r="D2856" t="s">
        <v>8656</v>
      </c>
      <c r="E2856" t="s">
        <v>8657</v>
      </c>
      <c r="F2856" t="s">
        <v>8658</v>
      </c>
      <c r="I2856" t="s">
        <v>29</v>
      </c>
      <c r="J2856" t="s">
        <v>30</v>
      </c>
      <c r="K2856" t="s">
        <v>8659</v>
      </c>
      <c r="M2856" t="s">
        <v>32</v>
      </c>
      <c r="N2856" t="str">
        <f>"1/31/2006 12:00:00 AM"</f>
        <v>1/31/2006 12:00:00 AM</v>
      </c>
      <c r="O2856" t="s">
        <v>8656</v>
      </c>
      <c r="T2856" t="s">
        <v>8657</v>
      </c>
    </row>
    <row r="2857" spans="1:20" x14ac:dyDescent="0.25">
      <c r="A2857" t="str">
        <f>"3067263"</f>
        <v>3067263</v>
      </c>
      <c r="B2857" t="s">
        <v>8693</v>
      </c>
      <c r="C2857" t="str">
        <f>"8734000"</f>
        <v>8734000</v>
      </c>
      <c r="D2857" t="s">
        <v>8656</v>
      </c>
      <c r="E2857" t="s">
        <v>8657</v>
      </c>
      <c r="F2857" t="s">
        <v>8658</v>
      </c>
      <c r="I2857" t="s">
        <v>29</v>
      </c>
      <c r="J2857" t="s">
        <v>30</v>
      </c>
      <c r="K2857" t="s">
        <v>8659</v>
      </c>
      <c r="M2857" t="s">
        <v>32</v>
      </c>
      <c r="N2857" t="str">
        <f>"1/31/2006 12:00:00 AM"</f>
        <v>1/31/2006 12:00:00 AM</v>
      </c>
      <c r="O2857" t="s">
        <v>8656</v>
      </c>
      <c r="T2857" t="s">
        <v>8657</v>
      </c>
    </row>
    <row r="2858" spans="1:20" x14ac:dyDescent="0.25">
      <c r="A2858" t="str">
        <f>"3067270"</f>
        <v>3067270</v>
      </c>
      <c r="B2858" t="s">
        <v>8694</v>
      </c>
      <c r="C2858" t="str">
        <f>"8734000"</f>
        <v>8734000</v>
      </c>
      <c r="D2858" t="s">
        <v>8656</v>
      </c>
      <c r="E2858" t="s">
        <v>8657</v>
      </c>
      <c r="F2858" t="s">
        <v>8658</v>
      </c>
      <c r="I2858" t="s">
        <v>29</v>
      </c>
      <c r="J2858" t="s">
        <v>30</v>
      </c>
      <c r="K2858" t="s">
        <v>8659</v>
      </c>
      <c r="M2858" t="s">
        <v>32</v>
      </c>
      <c r="N2858" t="str">
        <f>"1/31/2006 12:00:00 AM"</f>
        <v>1/31/2006 12:00:00 AM</v>
      </c>
      <c r="O2858" t="s">
        <v>8656</v>
      </c>
      <c r="T2858" t="s">
        <v>8657</v>
      </c>
    </row>
    <row r="2859" spans="1:20" x14ac:dyDescent="0.25">
      <c r="A2859" t="str">
        <f>"3077959"</f>
        <v>3077959</v>
      </c>
      <c r="B2859" t="s">
        <v>8695</v>
      </c>
      <c r="C2859" t="str">
        <f>"50120000"</f>
        <v>50120000</v>
      </c>
      <c r="D2859" t="s">
        <v>8696</v>
      </c>
      <c r="E2859" t="s">
        <v>8697</v>
      </c>
      <c r="F2859" t="s">
        <v>8698</v>
      </c>
      <c r="I2859" t="s">
        <v>29</v>
      </c>
      <c r="J2859" t="s">
        <v>30</v>
      </c>
      <c r="K2859" t="s">
        <v>8699</v>
      </c>
      <c r="M2859" t="s">
        <v>32</v>
      </c>
      <c r="N2859" t="str">
        <f>"1/21/2010 12:00:00 AM"</f>
        <v>1/21/2010 12:00:00 AM</v>
      </c>
      <c r="O2859" t="s">
        <v>8696</v>
      </c>
      <c r="T2859" t="s">
        <v>8697</v>
      </c>
    </row>
    <row r="2860" spans="1:20" x14ac:dyDescent="0.25">
      <c r="A2860" t="str">
        <f>"3057794"</f>
        <v>3057794</v>
      </c>
      <c r="B2860" t="s">
        <v>8700</v>
      </c>
      <c r="C2860" t="str">
        <f>"82516483"</f>
        <v>82516483</v>
      </c>
      <c r="D2860" t="s">
        <v>8701</v>
      </c>
      <c r="E2860" t="s">
        <v>8702</v>
      </c>
      <c r="F2860" t="s">
        <v>8703</v>
      </c>
      <c r="I2860" t="s">
        <v>184</v>
      </c>
      <c r="J2860" t="s">
        <v>30</v>
      </c>
      <c r="K2860" t="s">
        <v>185</v>
      </c>
      <c r="M2860" t="s">
        <v>32</v>
      </c>
      <c r="N2860" t="str">
        <f>"1/7/2008 12:00:00 AM"</f>
        <v>1/7/2008 12:00:00 AM</v>
      </c>
      <c r="O2860" t="s">
        <v>8701</v>
      </c>
      <c r="T2860" t="s">
        <v>8702</v>
      </c>
    </row>
    <row r="2861" spans="1:20" x14ac:dyDescent="0.25">
      <c r="A2861" t="str">
        <f>"3066802"</f>
        <v>3066802</v>
      </c>
      <c r="B2861" t="s">
        <v>8704</v>
      </c>
      <c r="C2861" t="str">
        <f>"8734000"</f>
        <v>8734000</v>
      </c>
      <c r="D2861" t="s">
        <v>8656</v>
      </c>
      <c r="E2861" t="s">
        <v>8657</v>
      </c>
      <c r="F2861" t="s">
        <v>8658</v>
      </c>
      <c r="I2861" t="s">
        <v>29</v>
      </c>
      <c r="J2861" t="s">
        <v>30</v>
      </c>
      <c r="K2861" t="s">
        <v>8659</v>
      </c>
      <c r="M2861" t="s">
        <v>32</v>
      </c>
      <c r="N2861" t="str">
        <f>"1/31/2006 12:00:00 AM"</f>
        <v>1/31/2006 12:00:00 AM</v>
      </c>
      <c r="O2861" t="s">
        <v>8656</v>
      </c>
      <c r="T2861" t="s">
        <v>8657</v>
      </c>
    </row>
    <row r="2862" spans="1:20" x14ac:dyDescent="0.25">
      <c r="A2862" t="str">
        <f>"3043098"</f>
        <v>3043098</v>
      </c>
      <c r="B2862" t="s">
        <v>8705</v>
      </c>
      <c r="C2862" t="str">
        <f>"82517879"</f>
        <v>82517879</v>
      </c>
      <c r="D2862" t="s">
        <v>8706</v>
      </c>
      <c r="F2862" t="s">
        <v>8707</v>
      </c>
      <c r="I2862" t="s">
        <v>29</v>
      </c>
      <c r="J2862" t="s">
        <v>30</v>
      </c>
      <c r="K2862" t="s">
        <v>8708</v>
      </c>
      <c r="M2862" t="s">
        <v>32</v>
      </c>
      <c r="N2862" t="str">
        <f>"1/14/2005 12:00:00 AM"</f>
        <v>1/14/2005 12:00:00 AM</v>
      </c>
      <c r="O2862" t="s">
        <v>8706</v>
      </c>
    </row>
    <row r="2863" spans="1:20" x14ac:dyDescent="0.25">
      <c r="A2863" t="str">
        <f>"3060070"</f>
        <v>3060070</v>
      </c>
      <c r="B2863" t="s">
        <v>8709</v>
      </c>
      <c r="C2863" t="str">
        <f>"82515878"</f>
        <v>82515878</v>
      </c>
      <c r="D2863" t="s">
        <v>8710</v>
      </c>
      <c r="E2863" t="s">
        <v>8711</v>
      </c>
      <c r="F2863" t="s">
        <v>8712</v>
      </c>
      <c r="I2863" t="s">
        <v>184</v>
      </c>
      <c r="J2863" t="s">
        <v>30</v>
      </c>
      <c r="K2863" t="s">
        <v>185</v>
      </c>
      <c r="M2863" t="s">
        <v>32</v>
      </c>
      <c r="N2863" t="str">
        <f>"2/4/2009 12:00:00 AM"</f>
        <v>2/4/2009 12:00:00 AM</v>
      </c>
      <c r="O2863" t="s">
        <v>8710</v>
      </c>
      <c r="T2863" t="s">
        <v>8711</v>
      </c>
    </row>
    <row r="2864" spans="1:20" x14ac:dyDescent="0.25">
      <c r="A2864" t="str">
        <f>"3060009"</f>
        <v>3060009</v>
      </c>
      <c r="B2864" t="s">
        <v>8713</v>
      </c>
      <c r="C2864" t="str">
        <f>"34065000"</f>
        <v>34065000</v>
      </c>
      <c r="D2864" t="s">
        <v>8714</v>
      </c>
      <c r="E2864" t="s">
        <v>8715</v>
      </c>
      <c r="F2864" t="s">
        <v>8716</v>
      </c>
      <c r="I2864" t="s">
        <v>184</v>
      </c>
      <c r="J2864" t="s">
        <v>30</v>
      </c>
      <c r="K2864" t="s">
        <v>185</v>
      </c>
      <c r="M2864" t="s">
        <v>32</v>
      </c>
      <c r="N2864" t="str">
        <f>"6/16/2009 12:00:00 AM"</f>
        <v>6/16/2009 12:00:00 AM</v>
      </c>
      <c r="O2864" t="s">
        <v>8714</v>
      </c>
      <c r="T2864" t="s">
        <v>8715</v>
      </c>
    </row>
    <row r="2865" spans="1:20" x14ac:dyDescent="0.25">
      <c r="A2865" t="str">
        <f>"3060071"</f>
        <v>3060071</v>
      </c>
      <c r="B2865" t="s">
        <v>8717</v>
      </c>
      <c r="C2865" t="str">
        <f>"82530260"</f>
        <v>82530260</v>
      </c>
      <c r="D2865" t="s">
        <v>8718</v>
      </c>
      <c r="E2865" t="s">
        <v>8719</v>
      </c>
      <c r="F2865" t="s">
        <v>8716</v>
      </c>
      <c r="I2865" t="s">
        <v>184</v>
      </c>
      <c r="J2865" t="s">
        <v>30</v>
      </c>
      <c r="K2865" t="s">
        <v>185</v>
      </c>
      <c r="M2865" t="s">
        <v>32</v>
      </c>
      <c r="N2865" t="str">
        <f>"5/18/2009 12:00:00 AM"</f>
        <v>5/18/2009 12:00:00 AM</v>
      </c>
      <c r="O2865" t="s">
        <v>8718</v>
      </c>
      <c r="T2865" t="s">
        <v>8719</v>
      </c>
    </row>
    <row r="2866" spans="1:20" x14ac:dyDescent="0.25">
      <c r="A2866" t="str">
        <f>"3047331"</f>
        <v>3047331</v>
      </c>
      <c r="B2866" t="s">
        <v>8720</v>
      </c>
      <c r="C2866" t="str">
        <f>"82528791"</f>
        <v>82528791</v>
      </c>
      <c r="D2866" t="s">
        <v>8721</v>
      </c>
      <c r="F2866" t="s">
        <v>8722</v>
      </c>
      <c r="I2866" t="s">
        <v>184</v>
      </c>
      <c r="J2866" t="s">
        <v>30</v>
      </c>
      <c r="K2866" t="s">
        <v>185</v>
      </c>
      <c r="M2866" t="s">
        <v>32</v>
      </c>
      <c r="N2866" t="str">
        <f>"1/11/2008 12:00:00 AM"</f>
        <v>1/11/2008 12:00:00 AM</v>
      </c>
      <c r="O2866" t="s">
        <v>8721</v>
      </c>
    </row>
    <row r="2867" spans="1:20" x14ac:dyDescent="0.25">
      <c r="A2867" t="str">
        <f>"3046656"</f>
        <v>3046656</v>
      </c>
      <c r="B2867" t="s">
        <v>8723</v>
      </c>
      <c r="C2867" t="str">
        <f>"82519660"</f>
        <v>82519660</v>
      </c>
      <c r="D2867" t="s">
        <v>8724</v>
      </c>
      <c r="F2867" t="s">
        <v>8725</v>
      </c>
      <c r="I2867" t="s">
        <v>29</v>
      </c>
      <c r="J2867" t="s">
        <v>30</v>
      </c>
      <c r="K2867" t="s">
        <v>31</v>
      </c>
      <c r="M2867" t="s">
        <v>32</v>
      </c>
      <c r="N2867" t="str">
        <f>"1/26/2007 12:00:00 AM"</f>
        <v>1/26/2007 12:00:00 AM</v>
      </c>
      <c r="O2867" t="s">
        <v>8724</v>
      </c>
      <c r="T2867" t="s">
        <v>8724</v>
      </c>
    </row>
    <row r="2868" spans="1:20" x14ac:dyDescent="0.25">
      <c r="A2868" t="str">
        <f>"3047295"</f>
        <v>3047295</v>
      </c>
      <c r="B2868" t="s">
        <v>8726</v>
      </c>
      <c r="C2868" t="str">
        <f>"82520764"</f>
        <v>82520764</v>
      </c>
      <c r="D2868" t="s">
        <v>8727</v>
      </c>
      <c r="F2868" t="s">
        <v>8728</v>
      </c>
      <c r="I2868" t="s">
        <v>8729</v>
      </c>
      <c r="J2868" t="s">
        <v>4132</v>
      </c>
      <c r="K2868" t="s">
        <v>8730</v>
      </c>
      <c r="M2868" t="s">
        <v>32</v>
      </c>
      <c r="N2868" t="str">
        <f>"5/10/2006 12:00:00 AM"</f>
        <v>5/10/2006 12:00:00 AM</v>
      </c>
      <c r="O2868" t="s">
        <v>8727</v>
      </c>
    </row>
    <row r="2869" spans="1:20" x14ac:dyDescent="0.25">
      <c r="A2869" t="str">
        <f>"3047021"</f>
        <v>3047021</v>
      </c>
      <c r="B2869" t="s">
        <v>8731</v>
      </c>
      <c r="C2869" t="str">
        <f>"82519660"</f>
        <v>82519660</v>
      </c>
      <c r="D2869" t="s">
        <v>8724</v>
      </c>
      <c r="F2869" t="s">
        <v>8725</v>
      </c>
      <c r="I2869" t="s">
        <v>29</v>
      </c>
      <c r="J2869" t="s">
        <v>30</v>
      </c>
      <c r="K2869" t="s">
        <v>31</v>
      </c>
      <c r="M2869" t="s">
        <v>32</v>
      </c>
      <c r="N2869" t="str">
        <f>"1/26/2007 12:00:00 AM"</f>
        <v>1/26/2007 12:00:00 AM</v>
      </c>
      <c r="O2869" t="s">
        <v>8724</v>
      </c>
      <c r="T2869" t="s">
        <v>8724</v>
      </c>
    </row>
    <row r="2870" spans="1:20" x14ac:dyDescent="0.25">
      <c r="A2870" t="str">
        <f>"3047077"</f>
        <v>3047077</v>
      </c>
      <c r="B2870" t="s">
        <v>8732</v>
      </c>
      <c r="C2870" t="str">
        <f>"27212000"</f>
        <v>27212000</v>
      </c>
      <c r="D2870" t="s">
        <v>8463</v>
      </c>
      <c r="E2870" t="s">
        <v>8464</v>
      </c>
      <c r="F2870" t="s">
        <v>8465</v>
      </c>
      <c r="I2870" t="s">
        <v>29</v>
      </c>
      <c r="J2870" t="s">
        <v>30</v>
      </c>
      <c r="K2870" t="s">
        <v>8466</v>
      </c>
      <c r="M2870" t="s">
        <v>32</v>
      </c>
      <c r="N2870" t="str">
        <f>"1/5/2006 12:00:00 AM"</f>
        <v>1/5/2006 12:00:00 AM</v>
      </c>
      <c r="O2870" t="s">
        <v>8463</v>
      </c>
      <c r="T2870" t="s">
        <v>8464</v>
      </c>
    </row>
    <row r="2871" spans="1:20" x14ac:dyDescent="0.25">
      <c r="A2871" t="str">
        <f>"3047163"</f>
        <v>3047163</v>
      </c>
      <c r="B2871" t="s">
        <v>8733</v>
      </c>
      <c r="C2871" t="str">
        <f>"59854000"</f>
        <v>59854000</v>
      </c>
      <c r="D2871" t="s">
        <v>8734</v>
      </c>
      <c r="E2871" t="s">
        <v>8735</v>
      </c>
      <c r="F2871" t="s">
        <v>8736</v>
      </c>
      <c r="I2871" t="s">
        <v>29</v>
      </c>
      <c r="J2871" t="s">
        <v>30</v>
      </c>
      <c r="K2871" t="s">
        <v>31</v>
      </c>
      <c r="M2871" t="s">
        <v>32</v>
      </c>
      <c r="N2871" t="str">
        <f>"7/16/2002 12:00:00 AM"</f>
        <v>7/16/2002 12:00:00 AM</v>
      </c>
      <c r="O2871" t="s">
        <v>8734</v>
      </c>
      <c r="T2871" t="s">
        <v>8735</v>
      </c>
    </row>
    <row r="2872" spans="1:20" x14ac:dyDescent="0.25">
      <c r="A2872" t="str">
        <f>"3062982"</f>
        <v>3062982</v>
      </c>
      <c r="B2872" t="s">
        <v>8737</v>
      </c>
      <c r="C2872" t="str">
        <f>"82517218"</f>
        <v>82517218</v>
      </c>
      <c r="D2872" t="s">
        <v>8738</v>
      </c>
      <c r="E2872" t="s">
        <v>8739</v>
      </c>
      <c r="F2872" t="s">
        <v>8740</v>
      </c>
      <c r="I2872" t="s">
        <v>184</v>
      </c>
      <c r="J2872" t="s">
        <v>30</v>
      </c>
      <c r="K2872" t="s">
        <v>185</v>
      </c>
      <c r="M2872" t="s">
        <v>32</v>
      </c>
      <c r="N2872" t="str">
        <f>"11/26/2002 12:00:00 AM"</f>
        <v>11/26/2002 12:00:00 AM</v>
      </c>
      <c r="O2872" t="s">
        <v>8738</v>
      </c>
      <c r="T2872" t="s">
        <v>8739</v>
      </c>
    </row>
    <row r="2873" spans="1:20" x14ac:dyDescent="0.25">
      <c r="A2873" t="str">
        <f>"3062987"</f>
        <v>3062987</v>
      </c>
      <c r="B2873" t="s">
        <v>8741</v>
      </c>
      <c r="C2873" t="str">
        <f>"82517848"</f>
        <v>82517848</v>
      </c>
      <c r="D2873" t="s">
        <v>8742</v>
      </c>
      <c r="E2873" t="s">
        <v>8743</v>
      </c>
      <c r="F2873" t="s">
        <v>8744</v>
      </c>
      <c r="I2873" t="s">
        <v>184</v>
      </c>
      <c r="J2873" t="s">
        <v>30</v>
      </c>
      <c r="K2873" t="s">
        <v>8745</v>
      </c>
      <c r="M2873" t="s">
        <v>32</v>
      </c>
      <c r="N2873" t="str">
        <f>"9/7/2011 12:00:00 AM"</f>
        <v>9/7/2011 12:00:00 AM</v>
      </c>
      <c r="O2873" t="s">
        <v>8742</v>
      </c>
      <c r="T2873" t="s">
        <v>8743</v>
      </c>
    </row>
    <row r="2874" spans="1:20" x14ac:dyDescent="0.25">
      <c r="A2874" t="str">
        <f>"3063005"</f>
        <v>3063005</v>
      </c>
      <c r="B2874" t="s">
        <v>8746</v>
      </c>
      <c r="C2874" t="str">
        <f>"82517261"</f>
        <v>82517261</v>
      </c>
      <c r="D2874" t="s">
        <v>8747</v>
      </c>
      <c r="E2874" t="s">
        <v>8748</v>
      </c>
      <c r="F2874" t="s">
        <v>8749</v>
      </c>
      <c r="I2874" t="s">
        <v>402</v>
      </c>
      <c r="J2874" t="s">
        <v>30</v>
      </c>
      <c r="K2874" t="s">
        <v>403</v>
      </c>
      <c r="M2874" t="s">
        <v>32</v>
      </c>
      <c r="N2874" t="str">
        <f>"1/15/2002 12:00:00 AM"</f>
        <v>1/15/2002 12:00:00 AM</v>
      </c>
      <c r="O2874" t="s">
        <v>8747</v>
      </c>
      <c r="T2874" t="s">
        <v>8748</v>
      </c>
    </row>
    <row r="2875" spans="1:20" x14ac:dyDescent="0.25">
      <c r="A2875" t="str">
        <f>"3046861"</f>
        <v>3046861</v>
      </c>
      <c r="B2875" t="s">
        <v>8750</v>
      </c>
      <c r="C2875" t="str">
        <f>"81006150"</f>
        <v>81006150</v>
      </c>
      <c r="D2875" t="s">
        <v>8751</v>
      </c>
      <c r="E2875" t="s">
        <v>8752</v>
      </c>
      <c r="F2875" t="s">
        <v>8753</v>
      </c>
      <c r="I2875" t="s">
        <v>184</v>
      </c>
      <c r="J2875" t="s">
        <v>30</v>
      </c>
      <c r="K2875" t="s">
        <v>8754</v>
      </c>
      <c r="M2875" t="s">
        <v>32</v>
      </c>
      <c r="N2875" t="str">
        <f>"2/13/2008 12:00:00 AM"</f>
        <v>2/13/2008 12:00:00 AM</v>
      </c>
      <c r="O2875" t="s">
        <v>8751</v>
      </c>
      <c r="T2875" t="s">
        <v>8752</v>
      </c>
    </row>
    <row r="2876" spans="1:20" x14ac:dyDescent="0.25">
      <c r="A2876" t="str">
        <f>"3062990"</f>
        <v>3062990</v>
      </c>
      <c r="B2876" t="s">
        <v>8755</v>
      </c>
      <c r="C2876" t="str">
        <f>"82518364"</f>
        <v>82518364</v>
      </c>
      <c r="D2876" t="s">
        <v>8756</v>
      </c>
      <c r="F2876" t="s">
        <v>8757</v>
      </c>
      <c r="I2876" t="s">
        <v>184</v>
      </c>
      <c r="J2876" t="s">
        <v>30</v>
      </c>
      <c r="K2876" t="s">
        <v>185</v>
      </c>
      <c r="M2876" t="s">
        <v>32</v>
      </c>
      <c r="N2876" t="str">
        <f>"1/21/2003 12:00:00 AM"</f>
        <v>1/21/2003 12:00:00 AM</v>
      </c>
      <c r="O2876" t="s">
        <v>8756</v>
      </c>
    </row>
    <row r="2877" spans="1:20" x14ac:dyDescent="0.25">
      <c r="A2877" t="str">
        <f>"3057825"</f>
        <v>3057825</v>
      </c>
      <c r="B2877" t="s">
        <v>8758</v>
      </c>
      <c r="C2877" t="str">
        <f>"82526510"</f>
        <v>82526510</v>
      </c>
      <c r="D2877" t="s">
        <v>8759</v>
      </c>
      <c r="E2877" t="s">
        <v>8760</v>
      </c>
      <c r="F2877" t="s">
        <v>8761</v>
      </c>
      <c r="I2877" t="s">
        <v>184</v>
      </c>
      <c r="J2877" t="s">
        <v>30</v>
      </c>
      <c r="K2877" t="s">
        <v>185</v>
      </c>
      <c r="M2877" t="s">
        <v>32</v>
      </c>
      <c r="N2877" t="str">
        <f>"11/20/2007 12:00:00 AM"</f>
        <v>11/20/2007 12:00:00 AM</v>
      </c>
      <c r="O2877" t="s">
        <v>8759</v>
      </c>
      <c r="T2877" t="s">
        <v>8760</v>
      </c>
    </row>
    <row r="2878" spans="1:20" x14ac:dyDescent="0.25">
      <c r="A2878" t="str">
        <f>"3057826"</f>
        <v>3057826</v>
      </c>
      <c r="B2878" t="s">
        <v>8762</v>
      </c>
      <c r="C2878" t="str">
        <f>"82526344"</f>
        <v>82526344</v>
      </c>
      <c r="D2878" t="s">
        <v>8763</v>
      </c>
      <c r="E2878" t="s">
        <v>8764</v>
      </c>
      <c r="F2878" t="s">
        <v>8765</v>
      </c>
      <c r="I2878" t="s">
        <v>184</v>
      </c>
      <c r="J2878" t="s">
        <v>30</v>
      </c>
      <c r="K2878" t="s">
        <v>185</v>
      </c>
      <c r="M2878" t="s">
        <v>32</v>
      </c>
      <c r="N2878" t="str">
        <f>"9/8/2010 12:00:00 AM"</f>
        <v>9/8/2010 12:00:00 AM</v>
      </c>
      <c r="O2878" t="s">
        <v>8763</v>
      </c>
      <c r="T2878" t="s">
        <v>8764</v>
      </c>
    </row>
    <row r="2879" spans="1:20" x14ac:dyDescent="0.25">
      <c r="A2879" t="str">
        <f>"3057349"</f>
        <v>3057349</v>
      </c>
      <c r="B2879" t="s">
        <v>8766</v>
      </c>
      <c r="C2879" t="str">
        <f>"82528199"</f>
        <v>82528199</v>
      </c>
      <c r="D2879" t="s">
        <v>8767</v>
      </c>
      <c r="F2879" t="s">
        <v>8768</v>
      </c>
      <c r="I2879" t="s">
        <v>184</v>
      </c>
      <c r="J2879" t="s">
        <v>30</v>
      </c>
      <c r="K2879" t="s">
        <v>185</v>
      </c>
      <c r="M2879" t="s">
        <v>32</v>
      </c>
      <c r="N2879" t="str">
        <f>"2/5/2009 12:00:00 AM"</f>
        <v>2/5/2009 12:00:00 AM</v>
      </c>
      <c r="O2879" t="s">
        <v>8767</v>
      </c>
    </row>
    <row r="2880" spans="1:20" x14ac:dyDescent="0.25">
      <c r="A2880" t="str">
        <f>"3057350"</f>
        <v>3057350</v>
      </c>
      <c r="B2880" t="s">
        <v>8769</v>
      </c>
      <c r="C2880" t="str">
        <f>"82528199"</f>
        <v>82528199</v>
      </c>
      <c r="D2880" t="s">
        <v>8767</v>
      </c>
      <c r="F2880" t="s">
        <v>8768</v>
      </c>
      <c r="I2880" t="s">
        <v>184</v>
      </c>
      <c r="J2880" t="s">
        <v>30</v>
      </c>
      <c r="K2880" t="s">
        <v>185</v>
      </c>
      <c r="M2880" t="s">
        <v>32</v>
      </c>
      <c r="N2880" t="str">
        <f>"2/5/2009 12:00:00 AM"</f>
        <v>2/5/2009 12:00:00 AM</v>
      </c>
      <c r="O2880" t="s">
        <v>8767</v>
      </c>
    </row>
    <row r="2881" spans="1:20" x14ac:dyDescent="0.25">
      <c r="A2881" t="str">
        <f>"3044895"</f>
        <v>3044895</v>
      </c>
      <c r="B2881" t="s">
        <v>8770</v>
      </c>
      <c r="C2881" t="str">
        <f>"82523828"</f>
        <v>82523828</v>
      </c>
      <c r="D2881" t="s">
        <v>8771</v>
      </c>
      <c r="F2881" t="s">
        <v>8772</v>
      </c>
      <c r="I2881" t="s">
        <v>184</v>
      </c>
      <c r="J2881" t="s">
        <v>30</v>
      </c>
      <c r="K2881" t="s">
        <v>8773</v>
      </c>
      <c r="M2881" t="s">
        <v>32</v>
      </c>
      <c r="N2881" t="str">
        <f>"1/13/2010 12:00:00 AM"</f>
        <v>1/13/2010 12:00:00 AM</v>
      </c>
      <c r="O2881" t="s">
        <v>8771</v>
      </c>
    </row>
    <row r="2882" spans="1:20" x14ac:dyDescent="0.25">
      <c r="A2882" t="str">
        <f>"3046785"</f>
        <v>3046785</v>
      </c>
      <c r="B2882" t="s">
        <v>8774</v>
      </c>
      <c r="C2882" t="str">
        <f>"82514313"</f>
        <v>82514313</v>
      </c>
      <c r="D2882" t="s">
        <v>8775</v>
      </c>
      <c r="F2882" t="str">
        <f>"C/O PATRICK TUCKER"</f>
        <v>C/O PATRICK TUCKER</v>
      </c>
      <c r="G2882" t="s">
        <v>8776</v>
      </c>
      <c r="I2882" t="s">
        <v>29</v>
      </c>
      <c r="J2882" t="s">
        <v>30</v>
      </c>
      <c r="K2882" t="s">
        <v>31</v>
      </c>
      <c r="M2882" t="s">
        <v>32</v>
      </c>
      <c r="N2882" t="str">
        <f>"5/22/2008 12:00:00 AM"</f>
        <v>5/22/2008 12:00:00 AM</v>
      </c>
      <c r="O2882" t="s">
        <v>8775</v>
      </c>
    </row>
    <row r="2883" spans="1:20" x14ac:dyDescent="0.25">
      <c r="A2883" t="str">
        <f>"3043975"</f>
        <v>3043975</v>
      </c>
      <c r="B2883" t="s">
        <v>8777</v>
      </c>
      <c r="C2883" t="str">
        <f>"82525155"</f>
        <v>82525155</v>
      </c>
      <c r="D2883" t="s">
        <v>8778</v>
      </c>
      <c r="E2883" t="s">
        <v>8779</v>
      </c>
      <c r="F2883" t="s">
        <v>8780</v>
      </c>
      <c r="I2883" t="s">
        <v>184</v>
      </c>
      <c r="J2883" t="s">
        <v>30</v>
      </c>
      <c r="K2883" t="s">
        <v>185</v>
      </c>
      <c r="M2883" t="s">
        <v>32</v>
      </c>
      <c r="N2883" t="str">
        <f>"10/18/2007 12:00:00 AM"</f>
        <v>10/18/2007 12:00:00 AM</v>
      </c>
      <c r="O2883" t="s">
        <v>8778</v>
      </c>
      <c r="T2883" t="s">
        <v>8779</v>
      </c>
    </row>
    <row r="2884" spans="1:20" x14ac:dyDescent="0.25">
      <c r="A2884" t="str">
        <f>"3047461"</f>
        <v>3047461</v>
      </c>
      <c r="B2884" t="s">
        <v>8781</v>
      </c>
      <c r="C2884" t="str">
        <f>"54880750"</f>
        <v>54880750</v>
      </c>
      <c r="D2884" t="s">
        <v>8782</v>
      </c>
      <c r="F2884" t="s">
        <v>8783</v>
      </c>
      <c r="I2884" t="s">
        <v>184</v>
      </c>
      <c r="J2884" t="s">
        <v>30</v>
      </c>
      <c r="K2884" t="s">
        <v>185</v>
      </c>
      <c r="M2884" t="s">
        <v>32</v>
      </c>
      <c r="N2884" t="str">
        <f>"7/19/2002 12:00:00 AM"</f>
        <v>7/19/2002 12:00:00 AM</v>
      </c>
      <c r="O2884" t="s">
        <v>8782</v>
      </c>
    </row>
    <row r="2885" spans="1:20" x14ac:dyDescent="0.25">
      <c r="A2885" t="str">
        <f>"3048001"</f>
        <v>3048001</v>
      </c>
      <c r="B2885" t="s">
        <v>8784</v>
      </c>
      <c r="C2885" t="str">
        <f>"54880750"</f>
        <v>54880750</v>
      </c>
      <c r="D2885" t="s">
        <v>8782</v>
      </c>
      <c r="F2885" t="s">
        <v>8783</v>
      </c>
      <c r="I2885" t="s">
        <v>184</v>
      </c>
      <c r="J2885" t="s">
        <v>30</v>
      </c>
      <c r="K2885" t="s">
        <v>185</v>
      </c>
      <c r="M2885" t="s">
        <v>32</v>
      </c>
      <c r="N2885" t="str">
        <f>"7/19/2002 12:00:00 AM"</f>
        <v>7/19/2002 12:00:00 AM</v>
      </c>
      <c r="O2885" t="s">
        <v>8782</v>
      </c>
    </row>
    <row r="2886" spans="1:20" x14ac:dyDescent="0.25">
      <c r="A2886" t="str">
        <f>"3070721"</f>
        <v>3070721</v>
      </c>
      <c r="B2886" t="s">
        <v>8785</v>
      </c>
      <c r="C2886" t="str">
        <f>"54880750"</f>
        <v>54880750</v>
      </c>
      <c r="D2886" t="s">
        <v>8782</v>
      </c>
      <c r="F2886" t="s">
        <v>8783</v>
      </c>
      <c r="I2886" t="s">
        <v>184</v>
      </c>
      <c r="J2886" t="s">
        <v>30</v>
      </c>
      <c r="K2886" t="s">
        <v>185</v>
      </c>
      <c r="M2886" t="s">
        <v>32</v>
      </c>
      <c r="N2886" t="str">
        <f>"7/19/2002 12:00:00 AM"</f>
        <v>7/19/2002 12:00:00 AM</v>
      </c>
      <c r="O2886" t="s">
        <v>8782</v>
      </c>
    </row>
    <row r="2887" spans="1:20" x14ac:dyDescent="0.25">
      <c r="A2887" t="str">
        <f>"3048009"</f>
        <v>3048009</v>
      </c>
      <c r="B2887" t="s">
        <v>8786</v>
      </c>
      <c r="C2887" t="str">
        <f>"64481000"</f>
        <v>64481000</v>
      </c>
      <c r="D2887" t="s">
        <v>8787</v>
      </c>
      <c r="E2887" t="s">
        <v>8788</v>
      </c>
      <c r="F2887" t="s">
        <v>3482</v>
      </c>
      <c r="I2887" t="s">
        <v>2275</v>
      </c>
      <c r="J2887" t="s">
        <v>30</v>
      </c>
      <c r="K2887" t="s">
        <v>2276</v>
      </c>
      <c r="M2887" t="s">
        <v>32</v>
      </c>
      <c r="N2887" t="str">
        <f>"1/11/2005 12:00:00 AM"</f>
        <v>1/11/2005 12:00:00 AM</v>
      </c>
      <c r="O2887" t="s">
        <v>8787</v>
      </c>
      <c r="T2887" t="s">
        <v>8788</v>
      </c>
    </row>
    <row r="2888" spans="1:20" x14ac:dyDescent="0.25">
      <c r="A2888" t="str">
        <f>"3047504"</f>
        <v>3047504</v>
      </c>
      <c r="B2888" t="s">
        <v>8789</v>
      </c>
      <c r="C2888" t="str">
        <f>"64481000"</f>
        <v>64481000</v>
      </c>
      <c r="D2888" t="s">
        <v>8787</v>
      </c>
      <c r="E2888" t="s">
        <v>8788</v>
      </c>
      <c r="F2888" t="s">
        <v>3482</v>
      </c>
      <c r="I2888" t="s">
        <v>2275</v>
      </c>
      <c r="J2888" t="s">
        <v>30</v>
      </c>
      <c r="K2888" t="s">
        <v>2276</v>
      </c>
      <c r="M2888" t="s">
        <v>32</v>
      </c>
      <c r="N2888" t="str">
        <f>"1/11/2005 12:00:00 AM"</f>
        <v>1/11/2005 12:00:00 AM</v>
      </c>
      <c r="O2888" t="s">
        <v>8787</v>
      </c>
      <c r="T2888" t="s">
        <v>8788</v>
      </c>
    </row>
    <row r="2889" spans="1:20" x14ac:dyDescent="0.25">
      <c r="A2889" t="str">
        <f>"3044134"</f>
        <v>3044134</v>
      </c>
      <c r="B2889" t="s">
        <v>8790</v>
      </c>
      <c r="C2889" t="str">
        <f>"51120000"</f>
        <v>51120000</v>
      </c>
      <c r="D2889" t="s">
        <v>8791</v>
      </c>
      <c r="F2889" t="s">
        <v>8792</v>
      </c>
      <c r="I2889" t="s">
        <v>184</v>
      </c>
      <c r="J2889" t="s">
        <v>30</v>
      </c>
      <c r="K2889" t="s">
        <v>185</v>
      </c>
      <c r="M2889" t="s">
        <v>32</v>
      </c>
      <c r="N2889" t="str">
        <f>"7/19/2002 12:00:00 AM"</f>
        <v>7/19/2002 12:00:00 AM</v>
      </c>
      <c r="O2889" t="s">
        <v>8791</v>
      </c>
    </row>
    <row r="2890" spans="1:20" x14ac:dyDescent="0.25">
      <c r="A2890" t="str">
        <f>"3046870"</f>
        <v>3046870</v>
      </c>
      <c r="B2890" t="s">
        <v>8793</v>
      </c>
      <c r="C2890" t="str">
        <f>"35712250"</f>
        <v>35712250</v>
      </c>
      <c r="D2890" t="s">
        <v>8794</v>
      </c>
      <c r="E2890" t="s">
        <v>8795</v>
      </c>
      <c r="F2890" t="s">
        <v>8796</v>
      </c>
      <c r="I2890" t="s">
        <v>29</v>
      </c>
      <c r="J2890" t="s">
        <v>30</v>
      </c>
      <c r="K2890" t="s">
        <v>31</v>
      </c>
      <c r="M2890" t="s">
        <v>32</v>
      </c>
      <c r="N2890" t="str">
        <f>"7/16/2002 12:00:00 AM"</f>
        <v>7/16/2002 12:00:00 AM</v>
      </c>
      <c r="O2890" t="s">
        <v>8794</v>
      </c>
      <c r="T2890" t="s">
        <v>8795</v>
      </c>
    </row>
    <row r="2891" spans="1:20" x14ac:dyDescent="0.25">
      <c r="A2891" t="str">
        <f>"3057837"</f>
        <v>3057837</v>
      </c>
      <c r="B2891" t="s">
        <v>8797</v>
      </c>
      <c r="C2891" t="str">
        <f>"45082340"</f>
        <v>45082340</v>
      </c>
      <c r="D2891" t="s">
        <v>8798</v>
      </c>
      <c r="F2891" t="s">
        <v>8799</v>
      </c>
      <c r="I2891" t="s">
        <v>184</v>
      </c>
      <c r="J2891" t="s">
        <v>30</v>
      </c>
      <c r="K2891" t="s">
        <v>185</v>
      </c>
      <c r="M2891" t="s">
        <v>32</v>
      </c>
      <c r="N2891" t="str">
        <f>"12/12/2003 12:00:00 AM"</f>
        <v>12/12/2003 12:00:00 AM</v>
      </c>
      <c r="O2891" t="s">
        <v>8798</v>
      </c>
    </row>
    <row r="2892" spans="1:20" x14ac:dyDescent="0.25">
      <c r="A2892" t="str">
        <f>"3057844"</f>
        <v>3057844</v>
      </c>
      <c r="B2892" t="s">
        <v>8800</v>
      </c>
      <c r="C2892" t="str">
        <f>"45082340"</f>
        <v>45082340</v>
      </c>
      <c r="D2892" t="s">
        <v>8798</v>
      </c>
      <c r="F2892" t="s">
        <v>8799</v>
      </c>
      <c r="I2892" t="s">
        <v>184</v>
      </c>
      <c r="J2892" t="s">
        <v>30</v>
      </c>
      <c r="K2892" t="s">
        <v>185</v>
      </c>
      <c r="M2892" t="s">
        <v>32</v>
      </c>
      <c r="N2892" t="str">
        <f>"12/12/2003 12:00:00 AM"</f>
        <v>12/12/2003 12:00:00 AM</v>
      </c>
      <c r="O2892" t="s">
        <v>8798</v>
      </c>
    </row>
    <row r="2893" spans="1:20" x14ac:dyDescent="0.25">
      <c r="A2893" t="str">
        <f>"3057848"</f>
        <v>3057848</v>
      </c>
      <c r="B2893" t="s">
        <v>8801</v>
      </c>
      <c r="C2893" t="str">
        <f>"45082340"</f>
        <v>45082340</v>
      </c>
      <c r="D2893" t="s">
        <v>8798</v>
      </c>
      <c r="F2893" t="s">
        <v>8799</v>
      </c>
      <c r="I2893" t="s">
        <v>184</v>
      </c>
      <c r="J2893" t="s">
        <v>30</v>
      </c>
      <c r="K2893" t="s">
        <v>185</v>
      </c>
      <c r="M2893" t="s">
        <v>32</v>
      </c>
      <c r="N2893" t="str">
        <f>"12/12/2003 12:00:00 AM"</f>
        <v>12/12/2003 12:00:00 AM</v>
      </c>
      <c r="O2893" t="s">
        <v>8798</v>
      </c>
    </row>
    <row r="2894" spans="1:20" x14ac:dyDescent="0.25">
      <c r="A2894" t="str">
        <f>"3057849"</f>
        <v>3057849</v>
      </c>
      <c r="B2894" t="s">
        <v>8802</v>
      </c>
      <c r="C2894" t="str">
        <f>"45082340"</f>
        <v>45082340</v>
      </c>
      <c r="D2894" t="s">
        <v>8798</v>
      </c>
      <c r="F2894" t="s">
        <v>8799</v>
      </c>
      <c r="I2894" t="s">
        <v>184</v>
      </c>
      <c r="J2894" t="s">
        <v>30</v>
      </c>
      <c r="K2894" t="s">
        <v>185</v>
      </c>
      <c r="M2894" t="s">
        <v>32</v>
      </c>
      <c r="N2894" t="str">
        <f>"12/12/2003 12:00:00 AM"</f>
        <v>12/12/2003 12:00:00 AM</v>
      </c>
      <c r="O2894" t="s">
        <v>8798</v>
      </c>
    </row>
    <row r="2895" spans="1:20" x14ac:dyDescent="0.25">
      <c r="A2895" t="str">
        <f>"3091784"</f>
        <v>3091784</v>
      </c>
      <c r="B2895" t="s">
        <v>8803</v>
      </c>
      <c r="C2895" t="str">
        <f>"45082340"</f>
        <v>45082340</v>
      </c>
      <c r="D2895" t="s">
        <v>8798</v>
      </c>
      <c r="F2895" t="s">
        <v>8799</v>
      </c>
      <c r="I2895" t="s">
        <v>184</v>
      </c>
      <c r="J2895" t="s">
        <v>30</v>
      </c>
      <c r="K2895" t="s">
        <v>185</v>
      </c>
      <c r="M2895" t="s">
        <v>32</v>
      </c>
      <c r="N2895" t="str">
        <f>"12/12/2003 12:00:00 AM"</f>
        <v>12/12/2003 12:00:00 AM</v>
      </c>
      <c r="O2895" t="s">
        <v>8798</v>
      </c>
    </row>
    <row r="2896" spans="1:20" x14ac:dyDescent="0.25">
      <c r="A2896" t="str">
        <f>"3044025"</f>
        <v>3044025</v>
      </c>
      <c r="B2896" t="s">
        <v>8804</v>
      </c>
      <c r="C2896" t="str">
        <f>"82525177"</f>
        <v>82525177</v>
      </c>
      <c r="D2896" t="s">
        <v>8805</v>
      </c>
      <c r="F2896" t="s">
        <v>8806</v>
      </c>
      <c r="I2896" t="s">
        <v>184</v>
      </c>
      <c r="J2896" t="s">
        <v>30</v>
      </c>
      <c r="K2896" t="s">
        <v>8807</v>
      </c>
      <c r="M2896" t="s">
        <v>32</v>
      </c>
      <c r="N2896" t="str">
        <f>"1/25/2006 12:00:00 AM"</f>
        <v>1/25/2006 12:00:00 AM</v>
      </c>
      <c r="O2896" t="s">
        <v>8805</v>
      </c>
    </row>
    <row r="2897" spans="1:20" x14ac:dyDescent="0.25">
      <c r="A2897" t="str">
        <f>"3044106"</f>
        <v>3044106</v>
      </c>
      <c r="B2897" t="s">
        <v>8808</v>
      </c>
      <c r="C2897" t="str">
        <f>"82529960"</f>
        <v>82529960</v>
      </c>
      <c r="D2897" t="s">
        <v>8809</v>
      </c>
      <c r="F2897" t="s">
        <v>8810</v>
      </c>
      <c r="I2897" t="s">
        <v>184</v>
      </c>
      <c r="J2897" t="s">
        <v>30</v>
      </c>
      <c r="K2897" t="s">
        <v>8811</v>
      </c>
      <c r="M2897" t="s">
        <v>32</v>
      </c>
      <c r="N2897" t="str">
        <f>"8/12/2008 12:00:00 AM"</f>
        <v>8/12/2008 12:00:00 AM</v>
      </c>
      <c r="O2897" t="s">
        <v>8809</v>
      </c>
    </row>
    <row r="2898" spans="1:20" x14ac:dyDescent="0.25">
      <c r="A2898" t="str">
        <f>"3059316"</f>
        <v>3059316</v>
      </c>
      <c r="B2898" t="s">
        <v>8812</v>
      </c>
      <c r="C2898" t="str">
        <f>"82529960"</f>
        <v>82529960</v>
      </c>
      <c r="D2898" t="s">
        <v>8809</v>
      </c>
      <c r="F2898" t="s">
        <v>8810</v>
      </c>
      <c r="I2898" t="s">
        <v>184</v>
      </c>
      <c r="J2898" t="s">
        <v>30</v>
      </c>
      <c r="K2898" t="s">
        <v>8811</v>
      </c>
      <c r="M2898" t="s">
        <v>32</v>
      </c>
      <c r="N2898" t="str">
        <f>"8/12/2008 12:00:00 AM"</f>
        <v>8/12/2008 12:00:00 AM</v>
      </c>
      <c r="O2898" t="s">
        <v>8809</v>
      </c>
    </row>
    <row r="2899" spans="1:20" x14ac:dyDescent="0.25">
      <c r="A2899" t="str">
        <f>"3044147"</f>
        <v>3044147</v>
      </c>
      <c r="B2899" t="s">
        <v>8813</v>
      </c>
      <c r="C2899" t="str">
        <f>"58172000"</f>
        <v>58172000</v>
      </c>
      <c r="D2899" t="s">
        <v>8814</v>
      </c>
      <c r="E2899" t="s">
        <v>8815</v>
      </c>
      <c r="F2899" t="s">
        <v>8816</v>
      </c>
      <c r="I2899" t="s">
        <v>184</v>
      </c>
      <c r="J2899" t="s">
        <v>30</v>
      </c>
      <c r="K2899" t="s">
        <v>185</v>
      </c>
      <c r="M2899" t="s">
        <v>32</v>
      </c>
      <c r="N2899" t="str">
        <f>"4/2/2004 12:00:00 AM"</f>
        <v>4/2/2004 12:00:00 AM</v>
      </c>
      <c r="O2899" t="s">
        <v>8814</v>
      </c>
      <c r="T2899" t="s">
        <v>8815</v>
      </c>
    </row>
    <row r="2900" spans="1:20" x14ac:dyDescent="0.25">
      <c r="A2900" t="str">
        <f>"3047621"</f>
        <v>3047621</v>
      </c>
      <c r="B2900" t="s">
        <v>8817</v>
      </c>
      <c r="C2900" t="str">
        <f>"58172000"</f>
        <v>58172000</v>
      </c>
      <c r="D2900" t="s">
        <v>8814</v>
      </c>
      <c r="E2900" t="s">
        <v>8815</v>
      </c>
      <c r="F2900" t="s">
        <v>8816</v>
      </c>
      <c r="I2900" t="s">
        <v>184</v>
      </c>
      <c r="J2900" t="s">
        <v>30</v>
      </c>
      <c r="K2900" t="s">
        <v>185</v>
      </c>
      <c r="M2900" t="s">
        <v>32</v>
      </c>
      <c r="N2900" t="str">
        <f>"4/2/2004 12:00:00 AM"</f>
        <v>4/2/2004 12:00:00 AM</v>
      </c>
      <c r="O2900" t="s">
        <v>8814</v>
      </c>
      <c r="T2900" t="s">
        <v>8815</v>
      </c>
    </row>
    <row r="2901" spans="1:20" x14ac:dyDescent="0.25">
      <c r="A2901" t="str">
        <f>"3044124"</f>
        <v>3044124</v>
      </c>
      <c r="B2901" t="s">
        <v>8818</v>
      </c>
      <c r="C2901" t="str">
        <f>"82517473"</f>
        <v>82517473</v>
      </c>
      <c r="D2901" t="s">
        <v>8819</v>
      </c>
      <c r="F2901" t="s">
        <v>8820</v>
      </c>
      <c r="I2901" t="s">
        <v>184</v>
      </c>
      <c r="J2901" t="s">
        <v>30</v>
      </c>
      <c r="K2901" t="s">
        <v>185</v>
      </c>
      <c r="M2901" t="s">
        <v>32</v>
      </c>
      <c r="N2901" t="str">
        <f>"6/15/2011 12:00:00 AM"</f>
        <v>6/15/2011 12:00:00 AM</v>
      </c>
      <c r="O2901" t="s">
        <v>8819</v>
      </c>
    </row>
    <row r="2902" spans="1:20" x14ac:dyDescent="0.25">
      <c r="A2902" t="str">
        <f>"3044278"</f>
        <v>3044278</v>
      </c>
      <c r="B2902" t="s">
        <v>8821</v>
      </c>
      <c r="C2902" t="str">
        <f>"5377750"</f>
        <v>5377750</v>
      </c>
      <c r="D2902" t="s">
        <v>8822</v>
      </c>
      <c r="E2902" t="s">
        <v>8823</v>
      </c>
      <c r="F2902" t="s">
        <v>8824</v>
      </c>
      <c r="I2902" t="s">
        <v>184</v>
      </c>
      <c r="J2902" t="s">
        <v>30</v>
      </c>
      <c r="K2902" t="s">
        <v>185</v>
      </c>
      <c r="M2902" t="s">
        <v>32</v>
      </c>
      <c r="N2902" t="str">
        <f>"6/22/2007 12:00:00 AM"</f>
        <v>6/22/2007 12:00:00 AM</v>
      </c>
      <c r="O2902" t="s">
        <v>8822</v>
      </c>
      <c r="T2902" t="s">
        <v>8823</v>
      </c>
    </row>
    <row r="2903" spans="1:20" x14ac:dyDescent="0.25">
      <c r="A2903" t="str">
        <f>"3044317"</f>
        <v>3044317</v>
      </c>
      <c r="B2903" t="s">
        <v>8825</v>
      </c>
      <c r="C2903" t="str">
        <f>"298750"</f>
        <v>298750</v>
      </c>
      <c r="D2903" t="s">
        <v>8826</v>
      </c>
      <c r="F2903" t="s">
        <v>8827</v>
      </c>
      <c r="I2903" t="s">
        <v>184</v>
      </c>
      <c r="J2903" t="s">
        <v>30</v>
      </c>
      <c r="K2903" t="s">
        <v>185</v>
      </c>
      <c r="M2903" t="s">
        <v>32</v>
      </c>
      <c r="N2903" t="str">
        <f>"9/27/2004 12:00:00 AM"</f>
        <v>9/27/2004 12:00:00 AM</v>
      </c>
      <c r="O2903" t="s">
        <v>8826</v>
      </c>
    </row>
    <row r="2904" spans="1:20" x14ac:dyDescent="0.25">
      <c r="A2904" t="str">
        <f>"3047633"</f>
        <v>3047633</v>
      </c>
      <c r="B2904" t="s">
        <v>8828</v>
      </c>
      <c r="C2904" t="str">
        <f>"298750"</f>
        <v>298750</v>
      </c>
      <c r="D2904" t="s">
        <v>8826</v>
      </c>
      <c r="F2904" t="s">
        <v>8827</v>
      </c>
      <c r="I2904" t="s">
        <v>184</v>
      </c>
      <c r="J2904" t="s">
        <v>30</v>
      </c>
      <c r="K2904" t="s">
        <v>185</v>
      </c>
      <c r="M2904" t="s">
        <v>32</v>
      </c>
      <c r="N2904" t="str">
        <f>"9/27/2004 12:00:00 AM"</f>
        <v>9/27/2004 12:00:00 AM</v>
      </c>
      <c r="O2904" t="s">
        <v>8826</v>
      </c>
    </row>
    <row r="2905" spans="1:20" x14ac:dyDescent="0.25">
      <c r="A2905" t="str">
        <f>"3048033"</f>
        <v>3048033</v>
      </c>
      <c r="B2905" t="s">
        <v>8829</v>
      </c>
      <c r="C2905" t="str">
        <f>"298750"</f>
        <v>298750</v>
      </c>
      <c r="D2905" t="s">
        <v>8826</v>
      </c>
      <c r="F2905" t="s">
        <v>8827</v>
      </c>
      <c r="I2905" t="s">
        <v>184</v>
      </c>
      <c r="J2905" t="s">
        <v>30</v>
      </c>
      <c r="K2905" t="s">
        <v>185</v>
      </c>
      <c r="M2905" t="s">
        <v>32</v>
      </c>
      <c r="N2905" t="str">
        <f>"9/27/2004 12:00:00 AM"</f>
        <v>9/27/2004 12:00:00 AM</v>
      </c>
      <c r="O2905" t="s">
        <v>8826</v>
      </c>
    </row>
    <row r="2906" spans="1:20" x14ac:dyDescent="0.25">
      <c r="A2906" t="str">
        <f>"3044079"</f>
        <v>3044079</v>
      </c>
      <c r="B2906" t="s">
        <v>8830</v>
      </c>
      <c r="C2906" t="str">
        <f>"82529024"</f>
        <v>82529024</v>
      </c>
      <c r="D2906" t="s">
        <v>8831</v>
      </c>
      <c r="E2906" t="s">
        <v>8832</v>
      </c>
      <c r="F2906" t="s">
        <v>8833</v>
      </c>
      <c r="I2906" t="s">
        <v>184</v>
      </c>
      <c r="J2906" t="s">
        <v>30</v>
      </c>
      <c r="K2906" t="s">
        <v>185</v>
      </c>
      <c r="M2906" t="s">
        <v>32</v>
      </c>
      <c r="N2906" t="str">
        <f>"12/31/2007 12:00:00 AM"</f>
        <v>12/31/2007 12:00:00 AM</v>
      </c>
      <c r="O2906" t="s">
        <v>8831</v>
      </c>
      <c r="T2906" t="s">
        <v>8832</v>
      </c>
    </row>
    <row r="2907" spans="1:20" x14ac:dyDescent="0.25">
      <c r="A2907" t="str">
        <f>"3044093"</f>
        <v>3044093</v>
      </c>
      <c r="B2907" t="s">
        <v>8834</v>
      </c>
      <c r="C2907" t="str">
        <f>"82529024"</f>
        <v>82529024</v>
      </c>
      <c r="D2907" t="s">
        <v>8831</v>
      </c>
      <c r="E2907" t="s">
        <v>8832</v>
      </c>
      <c r="F2907" t="s">
        <v>8833</v>
      </c>
      <c r="I2907" t="s">
        <v>184</v>
      </c>
      <c r="J2907" t="s">
        <v>30</v>
      </c>
      <c r="K2907" t="s">
        <v>185</v>
      </c>
      <c r="M2907" t="s">
        <v>32</v>
      </c>
      <c r="N2907" t="str">
        <f>"12/31/2007 12:00:00 AM"</f>
        <v>12/31/2007 12:00:00 AM</v>
      </c>
      <c r="O2907" t="s">
        <v>8831</v>
      </c>
      <c r="T2907" t="s">
        <v>8832</v>
      </c>
    </row>
    <row r="2908" spans="1:20" x14ac:dyDescent="0.25">
      <c r="A2908" t="str">
        <f>"3047162"</f>
        <v>3047162</v>
      </c>
      <c r="B2908" t="s">
        <v>8835</v>
      </c>
      <c r="C2908" t="str">
        <f>"560000"</f>
        <v>560000</v>
      </c>
      <c r="D2908" t="s">
        <v>8836</v>
      </c>
      <c r="E2908" t="s">
        <v>8837</v>
      </c>
      <c r="F2908" t="s">
        <v>8838</v>
      </c>
      <c r="I2908" t="s">
        <v>29</v>
      </c>
      <c r="J2908" t="s">
        <v>30</v>
      </c>
      <c r="K2908" t="s">
        <v>31</v>
      </c>
      <c r="M2908" t="s">
        <v>32</v>
      </c>
      <c r="N2908" t="str">
        <f>"11/7/2005 12:00:00 AM"</f>
        <v>11/7/2005 12:00:00 AM</v>
      </c>
      <c r="O2908" t="s">
        <v>8836</v>
      </c>
      <c r="T2908" t="s">
        <v>8837</v>
      </c>
    </row>
    <row r="2909" spans="1:20" x14ac:dyDescent="0.25">
      <c r="A2909" t="str">
        <f>"3046938"</f>
        <v>3046938</v>
      </c>
      <c r="B2909" t="s">
        <v>8839</v>
      </c>
      <c r="C2909" t="str">
        <f>"82520063"</f>
        <v>82520063</v>
      </c>
      <c r="D2909" t="s">
        <v>8840</v>
      </c>
      <c r="E2909" t="s">
        <v>8841</v>
      </c>
      <c r="F2909" t="s">
        <v>8842</v>
      </c>
      <c r="I2909" t="s">
        <v>29</v>
      </c>
      <c r="J2909" t="s">
        <v>30</v>
      </c>
      <c r="K2909" t="s">
        <v>8843</v>
      </c>
      <c r="M2909" t="s">
        <v>32</v>
      </c>
      <c r="N2909" t="str">
        <f>"9/20/2005 12:00:00 AM"</f>
        <v>9/20/2005 12:00:00 AM</v>
      </c>
      <c r="O2909" t="s">
        <v>8840</v>
      </c>
      <c r="T2909" t="s">
        <v>8841</v>
      </c>
    </row>
    <row r="2910" spans="1:20" x14ac:dyDescent="0.25">
      <c r="A2910" t="str">
        <f>"3047997"</f>
        <v>3047997</v>
      </c>
      <c r="B2910" t="s">
        <v>8844</v>
      </c>
      <c r="C2910" t="str">
        <f>"62188000"</f>
        <v>62188000</v>
      </c>
      <c r="D2910" t="s">
        <v>8845</v>
      </c>
      <c r="E2910" t="s">
        <v>8846</v>
      </c>
      <c r="F2910" t="s">
        <v>8847</v>
      </c>
      <c r="I2910" t="s">
        <v>184</v>
      </c>
      <c r="J2910" t="s">
        <v>30</v>
      </c>
      <c r="K2910" t="s">
        <v>8848</v>
      </c>
      <c r="M2910" t="s">
        <v>32</v>
      </c>
      <c r="N2910" t="str">
        <f>"2/4/2010 12:00:00 AM"</f>
        <v>2/4/2010 12:00:00 AM</v>
      </c>
      <c r="O2910" t="s">
        <v>8845</v>
      </c>
      <c r="T2910" t="s">
        <v>8846</v>
      </c>
    </row>
    <row r="2911" spans="1:20" x14ac:dyDescent="0.25">
      <c r="A2911" t="str">
        <f>"3047553"</f>
        <v>3047553</v>
      </c>
      <c r="B2911" t="s">
        <v>8849</v>
      </c>
      <c r="C2911" t="str">
        <f>"62188000"</f>
        <v>62188000</v>
      </c>
      <c r="D2911" t="s">
        <v>8845</v>
      </c>
      <c r="E2911" t="s">
        <v>8846</v>
      </c>
      <c r="F2911" t="s">
        <v>8847</v>
      </c>
      <c r="I2911" t="s">
        <v>184</v>
      </c>
      <c r="J2911" t="s">
        <v>30</v>
      </c>
      <c r="K2911" t="s">
        <v>8848</v>
      </c>
      <c r="M2911" t="s">
        <v>32</v>
      </c>
      <c r="N2911" t="str">
        <f>"2/4/2010 12:00:00 AM"</f>
        <v>2/4/2010 12:00:00 AM</v>
      </c>
      <c r="O2911" t="s">
        <v>8845</v>
      </c>
      <c r="T2911" t="s">
        <v>8846</v>
      </c>
    </row>
    <row r="2912" spans="1:20" x14ac:dyDescent="0.25">
      <c r="A2912" t="str">
        <f>"3047802"</f>
        <v>3047802</v>
      </c>
      <c r="B2912" t="s">
        <v>8850</v>
      </c>
      <c r="C2912" t="str">
        <f>"62188000"</f>
        <v>62188000</v>
      </c>
      <c r="D2912" t="s">
        <v>8845</v>
      </c>
      <c r="E2912" t="s">
        <v>8846</v>
      </c>
      <c r="F2912" t="s">
        <v>8847</v>
      </c>
      <c r="I2912" t="s">
        <v>184</v>
      </c>
      <c r="J2912" t="s">
        <v>30</v>
      </c>
      <c r="K2912" t="s">
        <v>8848</v>
      </c>
      <c r="M2912" t="s">
        <v>32</v>
      </c>
      <c r="N2912" t="str">
        <f>"2/4/2010 12:00:00 AM"</f>
        <v>2/4/2010 12:00:00 AM</v>
      </c>
      <c r="O2912" t="s">
        <v>8845</v>
      </c>
      <c r="T2912" t="s">
        <v>8846</v>
      </c>
    </row>
    <row r="2913" spans="1:20" x14ac:dyDescent="0.25">
      <c r="A2913" t="str">
        <f>"3078016"</f>
        <v>3078016</v>
      </c>
      <c r="B2913" t="s">
        <v>8851</v>
      </c>
      <c r="C2913" t="str">
        <f>"62188000"</f>
        <v>62188000</v>
      </c>
      <c r="D2913" t="s">
        <v>8845</v>
      </c>
      <c r="E2913" t="s">
        <v>8846</v>
      </c>
      <c r="F2913" t="s">
        <v>8847</v>
      </c>
      <c r="I2913" t="s">
        <v>184</v>
      </c>
      <c r="J2913" t="s">
        <v>30</v>
      </c>
      <c r="K2913" t="s">
        <v>8848</v>
      </c>
      <c r="M2913" t="s">
        <v>32</v>
      </c>
      <c r="N2913" t="str">
        <f>"2/4/2010 12:00:00 AM"</f>
        <v>2/4/2010 12:00:00 AM</v>
      </c>
      <c r="O2913" t="s">
        <v>8845</v>
      </c>
      <c r="T2913" t="s">
        <v>8846</v>
      </c>
    </row>
    <row r="2914" spans="1:20" x14ac:dyDescent="0.25">
      <c r="A2914" t="str">
        <f>"3048050"</f>
        <v>3048050</v>
      </c>
      <c r="B2914" t="s">
        <v>8852</v>
      </c>
      <c r="C2914" t="str">
        <f>"298310"</f>
        <v>298310</v>
      </c>
      <c r="D2914" t="s">
        <v>8853</v>
      </c>
      <c r="F2914" t="s">
        <v>8854</v>
      </c>
      <c r="I2914" t="s">
        <v>184</v>
      </c>
      <c r="J2914" t="s">
        <v>30</v>
      </c>
      <c r="K2914" t="s">
        <v>185</v>
      </c>
      <c r="M2914" t="s">
        <v>32</v>
      </c>
      <c r="N2914" t="str">
        <f>"5/7/2003 12:00:00 AM"</f>
        <v>5/7/2003 12:00:00 AM</v>
      </c>
      <c r="O2914" t="s">
        <v>8853</v>
      </c>
    </row>
    <row r="2915" spans="1:20" x14ac:dyDescent="0.25">
      <c r="A2915" t="str">
        <f>"3047981"</f>
        <v>3047981</v>
      </c>
      <c r="B2915" t="s">
        <v>8855</v>
      </c>
      <c r="C2915" t="str">
        <f>"26146000"</f>
        <v>26146000</v>
      </c>
      <c r="D2915" t="s">
        <v>8856</v>
      </c>
      <c r="F2915" t="s">
        <v>8857</v>
      </c>
      <c r="I2915" t="s">
        <v>184</v>
      </c>
      <c r="J2915" t="s">
        <v>30</v>
      </c>
      <c r="K2915" t="s">
        <v>185</v>
      </c>
      <c r="M2915" t="s">
        <v>32</v>
      </c>
      <c r="N2915" t="str">
        <f>"7/19/2002 12:00:00 AM"</f>
        <v>7/19/2002 12:00:00 AM</v>
      </c>
      <c r="O2915" t="s">
        <v>8856</v>
      </c>
    </row>
    <row r="2916" spans="1:20" x14ac:dyDescent="0.25">
      <c r="A2916" t="str">
        <f>"3047430"</f>
        <v>3047430</v>
      </c>
      <c r="B2916" t="s">
        <v>8858</v>
      </c>
      <c r="C2916" t="str">
        <f>"67585000"</f>
        <v>67585000</v>
      </c>
      <c r="D2916" t="s">
        <v>8859</v>
      </c>
      <c r="F2916" t="s">
        <v>8860</v>
      </c>
      <c r="I2916" t="s">
        <v>184</v>
      </c>
      <c r="J2916" t="s">
        <v>30</v>
      </c>
      <c r="K2916" t="s">
        <v>185</v>
      </c>
      <c r="M2916" t="s">
        <v>32</v>
      </c>
      <c r="N2916" t="str">
        <f>"5/14/2004 12:00:00 AM"</f>
        <v>5/14/2004 12:00:00 AM</v>
      </c>
      <c r="O2916" t="s">
        <v>8859</v>
      </c>
    </row>
    <row r="2917" spans="1:20" x14ac:dyDescent="0.25">
      <c r="A2917" t="str">
        <f>"3048073"</f>
        <v>3048073</v>
      </c>
      <c r="B2917" t="s">
        <v>8861</v>
      </c>
      <c r="C2917" t="str">
        <f>"27042810"</f>
        <v>27042810</v>
      </c>
      <c r="D2917" t="s">
        <v>8862</v>
      </c>
      <c r="E2917" t="s">
        <v>8863</v>
      </c>
      <c r="F2917" t="s">
        <v>8864</v>
      </c>
      <c r="I2917" t="s">
        <v>184</v>
      </c>
      <c r="J2917" t="s">
        <v>30</v>
      </c>
      <c r="K2917" t="s">
        <v>185</v>
      </c>
      <c r="M2917" t="s">
        <v>32</v>
      </c>
      <c r="N2917" t="str">
        <f>"8/26/2003 12:00:00 AM"</f>
        <v>8/26/2003 12:00:00 AM</v>
      </c>
      <c r="O2917" t="s">
        <v>8862</v>
      </c>
      <c r="T2917" t="s">
        <v>8863</v>
      </c>
    </row>
    <row r="2918" spans="1:20" x14ac:dyDescent="0.25">
      <c r="A2918" t="str">
        <f>"3047844"</f>
        <v>3047844</v>
      </c>
      <c r="B2918" t="s">
        <v>8865</v>
      </c>
      <c r="C2918" t="str">
        <f>"67399000"</f>
        <v>67399000</v>
      </c>
      <c r="D2918" t="s">
        <v>8866</v>
      </c>
      <c r="E2918" t="s">
        <v>8867</v>
      </c>
      <c r="F2918" t="s">
        <v>8868</v>
      </c>
      <c r="I2918" t="s">
        <v>184</v>
      </c>
      <c r="J2918" t="s">
        <v>30</v>
      </c>
      <c r="K2918" t="s">
        <v>185</v>
      </c>
      <c r="M2918" t="s">
        <v>32</v>
      </c>
      <c r="N2918" t="str">
        <f>"5/14/2004 12:00:00 AM"</f>
        <v>5/14/2004 12:00:00 AM</v>
      </c>
      <c r="O2918" t="s">
        <v>8866</v>
      </c>
      <c r="T2918" t="s">
        <v>8867</v>
      </c>
    </row>
    <row r="2919" spans="1:20" x14ac:dyDescent="0.25">
      <c r="A2919" t="str">
        <f>"3047797"</f>
        <v>3047797</v>
      </c>
      <c r="B2919" t="s">
        <v>8869</v>
      </c>
      <c r="C2919" t="str">
        <f>"67399000"</f>
        <v>67399000</v>
      </c>
      <c r="D2919" t="s">
        <v>8866</v>
      </c>
      <c r="E2919" t="s">
        <v>8867</v>
      </c>
      <c r="F2919" t="s">
        <v>8868</v>
      </c>
      <c r="I2919" t="s">
        <v>184</v>
      </c>
      <c r="J2919" t="s">
        <v>30</v>
      </c>
      <c r="K2919" t="s">
        <v>185</v>
      </c>
      <c r="M2919" t="s">
        <v>32</v>
      </c>
      <c r="N2919" t="str">
        <f>"5/14/2004 12:00:00 AM"</f>
        <v>5/14/2004 12:00:00 AM</v>
      </c>
      <c r="O2919" t="s">
        <v>8866</v>
      </c>
      <c r="T2919" t="s">
        <v>8867</v>
      </c>
    </row>
    <row r="2920" spans="1:20" x14ac:dyDescent="0.25">
      <c r="A2920" t="str">
        <f>"3047554"</f>
        <v>3047554</v>
      </c>
      <c r="B2920" t="s">
        <v>8870</v>
      </c>
      <c r="C2920" t="str">
        <f>"67399000"</f>
        <v>67399000</v>
      </c>
      <c r="D2920" t="s">
        <v>8866</v>
      </c>
      <c r="E2920" t="s">
        <v>8867</v>
      </c>
      <c r="F2920" t="s">
        <v>8868</v>
      </c>
      <c r="I2920" t="s">
        <v>184</v>
      </c>
      <c r="J2920" t="s">
        <v>30</v>
      </c>
      <c r="K2920" t="s">
        <v>185</v>
      </c>
      <c r="M2920" t="s">
        <v>32</v>
      </c>
      <c r="N2920" t="str">
        <f>"5/14/2004 12:00:00 AM"</f>
        <v>5/14/2004 12:00:00 AM</v>
      </c>
      <c r="O2920" t="s">
        <v>8866</v>
      </c>
      <c r="T2920" t="s">
        <v>8867</v>
      </c>
    </row>
    <row r="2921" spans="1:20" x14ac:dyDescent="0.25">
      <c r="A2921" t="str">
        <f>"3047249"</f>
        <v>3047249</v>
      </c>
      <c r="B2921" t="s">
        <v>8871</v>
      </c>
      <c r="C2921" t="str">
        <f>"13396000"</f>
        <v>13396000</v>
      </c>
      <c r="D2921" t="s">
        <v>8872</v>
      </c>
      <c r="E2921" t="s">
        <v>8873</v>
      </c>
      <c r="F2921" t="s">
        <v>8874</v>
      </c>
      <c r="I2921" t="s">
        <v>29</v>
      </c>
      <c r="J2921" t="s">
        <v>30</v>
      </c>
      <c r="K2921" t="s">
        <v>31</v>
      </c>
      <c r="M2921" t="s">
        <v>32</v>
      </c>
      <c r="N2921" t="str">
        <f>"7/16/2002 12:00:00 AM"</f>
        <v>7/16/2002 12:00:00 AM</v>
      </c>
      <c r="O2921" t="s">
        <v>8872</v>
      </c>
      <c r="T2921" t="s">
        <v>8873</v>
      </c>
    </row>
    <row r="2922" spans="1:20" x14ac:dyDescent="0.25">
      <c r="A2922" t="str">
        <f>"3046648"</f>
        <v>3046648</v>
      </c>
      <c r="B2922" t="s">
        <v>8875</v>
      </c>
      <c r="C2922" t="str">
        <f>"52538750"</f>
        <v>52538750</v>
      </c>
      <c r="D2922" t="s">
        <v>8876</v>
      </c>
      <c r="F2922" t="s">
        <v>8877</v>
      </c>
      <c r="I2922" t="s">
        <v>184</v>
      </c>
      <c r="J2922" t="s">
        <v>30</v>
      </c>
      <c r="K2922" t="s">
        <v>8878</v>
      </c>
      <c r="M2922" t="s">
        <v>32</v>
      </c>
      <c r="N2922" t="str">
        <f>"1/11/2010 12:00:00 AM"</f>
        <v>1/11/2010 12:00:00 AM</v>
      </c>
      <c r="O2922" t="s">
        <v>8876</v>
      </c>
    </row>
    <row r="2923" spans="1:20" x14ac:dyDescent="0.25">
      <c r="A2923" t="str">
        <f>"3048418"</f>
        <v>3048418</v>
      </c>
      <c r="B2923" t="s">
        <v>8879</v>
      </c>
      <c r="C2923" t="str">
        <f>"82522209"</f>
        <v>82522209</v>
      </c>
      <c r="D2923" t="s">
        <v>8880</v>
      </c>
      <c r="E2923" t="s">
        <v>8881</v>
      </c>
      <c r="F2923" t="s">
        <v>8882</v>
      </c>
      <c r="I2923" t="s">
        <v>184</v>
      </c>
      <c r="J2923" t="s">
        <v>30</v>
      </c>
      <c r="K2923" t="s">
        <v>8883</v>
      </c>
      <c r="M2923" t="s">
        <v>32</v>
      </c>
      <c r="N2923" t="str">
        <f>"2/10/2005 12:00:00 AM"</f>
        <v>2/10/2005 12:00:00 AM</v>
      </c>
      <c r="O2923" t="s">
        <v>8880</v>
      </c>
      <c r="T2923" t="s">
        <v>8881</v>
      </c>
    </row>
    <row r="2924" spans="1:20" x14ac:dyDescent="0.25">
      <c r="A2924" t="str">
        <f>"3046491"</f>
        <v>3046491</v>
      </c>
      <c r="B2924" t="s">
        <v>8884</v>
      </c>
      <c r="C2924" t="str">
        <f>"74866450"</f>
        <v>74866450</v>
      </c>
      <c r="D2924" t="s">
        <v>8885</v>
      </c>
      <c r="F2924" t="s">
        <v>8886</v>
      </c>
      <c r="G2924" t="s">
        <v>8887</v>
      </c>
      <c r="I2924" t="s">
        <v>8888</v>
      </c>
      <c r="J2924" t="s">
        <v>8889</v>
      </c>
      <c r="K2924" t="s">
        <v>8890</v>
      </c>
      <c r="M2924" t="s">
        <v>32</v>
      </c>
      <c r="N2924" t="str">
        <f>"11/26/2002 12:00:00 AM"</f>
        <v>11/26/2002 12:00:00 AM</v>
      </c>
      <c r="O2924" t="s">
        <v>8885</v>
      </c>
    </row>
    <row r="2925" spans="1:20" x14ac:dyDescent="0.25">
      <c r="A2925" t="str">
        <f>"3077994"</f>
        <v>3077994</v>
      </c>
      <c r="B2925" t="s">
        <v>8891</v>
      </c>
      <c r="C2925" t="str">
        <f>"82529786"</f>
        <v>82529786</v>
      </c>
      <c r="D2925" t="s">
        <v>8892</v>
      </c>
      <c r="E2925" t="s">
        <v>8893</v>
      </c>
      <c r="F2925" t="s">
        <v>8894</v>
      </c>
      <c r="I2925" t="s">
        <v>184</v>
      </c>
      <c r="J2925" t="s">
        <v>30</v>
      </c>
      <c r="K2925" t="s">
        <v>185</v>
      </c>
      <c r="M2925" t="s">
        <v>32</v>
      </c>
      <c r="N2925" t="str">
        <f>"6/24/2008 12:00:00 AM"</f>
        <v>6/24/2008 12:00:00 AM</v>
      </c>
      <c r="O2925" t="s">
        <v>8892</v>
      </c>
      <c r="T2925" t="s">
        <v>8893</v>
      </c>
    </row>
    <row r="2926" spans="1:20" x14ac:dyDescent="0.25">
      <c r="A2926" t="str">
        <f>"3046627"</f>
        <v>3046627</v>
      </c>
      <c r="B2926" t="s">
        <v>8895</v>
      </c>
      <c r="C2926" t="str">
        <f>"82529786"</f>
        <v>82529786</v>
      </c>
      <c r="D2926" t="s">
        <v>8892</v>
      </c>
      <c r="E2926" t="s">
        <v>8893</v>
      </c>
      <c r="F2926" t="s">
        <v>8894</v>
      </c>
      <c r="I2926" t="s">
        <v>184</v>
      </c>
      <c r="J2926" t="s">
        <v>30</v>
      </c>
      <c r="K2926" t="s">
        <v>185</v>
      </c>
      <c r="M2926" t="s">
        <v>32</v>
      </c>
      <c r="N2926" t="str">
        <f>"6/24/2008 12:00:00 AM"</f>
        <v>6/24/2008 12:00:00 AM</v>
      </c>
      <c r="O2926" t="s">
        <v>8892</v>
      </c>
      <c r="T2926" t="s">
        <v>8893</v>
      </c>
    </row>
    <row r="2927" spans="1:20" x14ac:dyDescent="0.25">
      <c r="A2927" t="str">
        <f>"3047653"</f>
        <v>3047653</v>
      </c>
      <c r="B2927" t="s">
        <v>8896</v>
      </c>
      <c r="C2927" t="str">
        <f>"82529166"</f>
        <v>82529166</v>
      </c>
      <c r="D2927" t="s">
        <v>8897</v>
      </c>
      <c r="F2927" t="s">
        <v>8898</v>
      </c>
      <c r="I2927" t="s">
        <v>184</v>
      </c>
      <c r="J2927" t="s">
        <v>30</v>
      </c>
      <c r="K2927" t="s">
        <v>185</v>
      </c>
      <c r="M2927" t="s">
        <v>32</v>
      </c>
      <c r="N2927" t="str">
        <f>"9/15/2010 12:00:00 AM"</f>
        <v>9/15/2010 12:00:00 AM</v>
      </c>
      <c r="O2927" t="s">
        <v>8897</v>
      </c>
    </row>
    <row r="2928" spans="1:20" x14ac:dyDescent="0.25">
      <c r="A2928" t="str">
        <f>"3068937"</f>
        <v>3068937</v>
      </c>
      <c r="B2928" t="s">
        <v>8899</v>
      </c>
      <c r="C2928" t="str">
        <f>"2444550"</f>
        <v>2444550</v>
      </c>
      <c r="D2928" t="s">
        <v>8900</v>
      </c>
      <c r="E2928" t="s">
        <v>8901</v>
      </c>
      <c r="F2928" t="s">
        <v>8902</v>
      </c>
      <c r="I2928" t="s">
        <v>184</v>
      </c>
      <c r="J2928" t="s">
        <v>30</v>
      </c>
      <c r="K2928" t="s">
        <v>185</v>
      </c>
      <c r="M2928" t="s">
        <v>32</v>
      </c>
      <c r="N2928" t="str">
        <f>"4/17/2006 12:00:00 AM"</f>
        <v>4/17/2006 12:00:00 AM</v>
      </c>
      <c r="O2928" t="s">
        <v>8900</v>
      </c>
      <c r="T2928" t="s">
        <v>8901</v>
      </c>
    </row>
    <row r="2929" spans="1:20" x14ac:dyDescent="0.25">
      <c r="A2929" t="str">
        <f>"3049268"</f>
        <v>3049268</v>
      </c>
      <c r="B2929" t="s">
        <v>8903</v>
      </c>
      <c r="C2929" t="str">
        <f>"5379580"</f>
        <v>5379580</v>
      </c>
      <c r="D2929" t="s">
        <v>8904</v>
      </c>
      <c r="E2929" t="s">
        <v>6820</v>
      </c>
      <c r="F2929" t="s">
        <v>8905</v>
      </c>
      <c r="I2929" t="s">
        <v>184</v>
      </c>
      <c r="J2929" t="s">
        <v>30</v>
      </c>
      <c r="K2929" t="s">
        <v>8906</v>
      </c>
      <c r="M2929" t="s">
        <v>32</v>
      </c>
      <c r="N2929" t="str">
        <f>"5/21/2003 12:00:00 AM"</f>
        <v>5/21/2003 12:00:00 AM</v>
      </c>
      <c r="O2929" t="s">
        <v>8904</v>
      </c>
      <c r="T2929" t="s">
        <v>6820</v>
      </c>
    </row>
    <row r="2930" spans="1:20" x14ac:dyDescent="0.25">
      <c r="A2930" t="str">
        <f>"3055319"</f>
        <v>3055319</v>
      </c>
      <c r="B2930" t="s">
        <v>8907</v>
      </c>
      <c r="C2930" t="str">
        <f>"5379580"</f>
        <v>5379580</v>
      </c>
      <c r="D2930" t="s">
        <v>8904</v>
      </c>
      <c r="E2930" t="s">
        <v>6820</v>
      </c>
      <c r="F2930" t="s">
        <v>8905</v>
      </c>
      <c r="I2930" t="s">
        <v>184</v>
      </c>
      <c r="J2930" t="s">
        <v>30</v>
      </c>
      <c r="K2930" t="s">
        <v>8906</v>
      </c>
      <c r="M2930" t="s">
        <v>32</v>
      </c>
      <c r="N2930" t="str">
        <f>"5/21/2003 12:00:00 AM"</f>
        <v>5/21/2003 12:00:00 AM</v>
      </c>
      <c r="O2930" t="s">
        <v>8904</v>
      </c>
      <c r="T2930" t="s">
        <v>6820</v>
      </c>
    </row>
    <row r="2931" spans="1:20" x14ac:dyDescent="0.25">
      <c r="A2931" t="str">
        <f>"3067893"</f>
        <v>3067893</v>
      </c>
      <c r="B2931" t="s">
        <v>8908</v>
      </c>
      <c r="C2931" t="str">
        <f>"82523111"</f>
        <v>82523111</v>
      </c>
      <c r="D2931" t="s">
        <v>8909</v>
      </c>
      <c r="E2931" t="s">
        <v>8910</v>
      </c>
      <c r="F2931" t="s">
        <v>8911</v>
      </c>
      <c r="I2931" t="s">
        <v>184</v>
      </c>
      <c r="J2931" t="s">
        <v>30</v>
      </c>
      <c r="K2931" t="s">
        <v>185</v>
      </c>
      <c r="M2931" t="s">
        <v>32</v>
      </c>
      <c r="N2931" t="str">
        <f>"1/26/2007 12:00:00 AM"</f>
        <v>1/26/2007 12:00:00 AM</v>
      </c>
      <c r="O2931" t="s">
        <v>8909</v>
      </c>
      <c r="T2931" t="s">
        <v>8910</v>
      </c>
    </row>
    <row r="2932" spans="1:20" x14ac:dyDescent="0.25">
      <c r="A2932" t="str">
        <f>"3048153"</f>
        <v>3048153</v>
      </c>
      <c r="B2932" t="s">
        <v>8912</v>
      </c>
      <c r="C2932" t="str">
        <f>"62502050"</f>
        <v>62502050</v>
      </c>
      <c r="D2932" t="s">
        <v>8913</v>
      </c>
      <c r="E2932" t="s">
        <v>8914</v>
      </c>
      <c r="F2932" t="s">
        <v>8915</v>
      </c>
      <c r="I2932" t="s">
        <v>184</v>
      </c>
      <c r="J2932" t="s">
        <v>30</v>
      </c>
      <c r="K2932" t="s">
        <v>185</v>
      </c>
      <c r="M2932" t="s">
        <v>32</v>
      </c>
      <c r="N2932" t="str">
        <f>"7/16/2002 12:00:00 AM"</f>
        <v>7/16/2002 12:00:00 AM</v>
      </c>
      <c r="O2932" t="s">
        <v>8913</v>
      </c>
      <c r="T2932" t="s">
        <v>8914</v>
      </c>
    </row>
    <row r="2933" spans="1:20" x14ac:dyDescent="0.25">
      <c r="A2933" t="str">
        <f>"3049241"</f>
        <v>3049241</v>
      </c>
      <c r="B2933" t="s">
        <v>8916</v>
      </c>
      <c r="C2933" t="str">
        <f>"82513179"</f>
        <v>82513179</v>
      </c>
      <c r="D2933" t="s">
        <v>8917</v>
      </c>
      <c r="F2933" t="s">
        <v>8918</v>
      </c>
      <c r="I2933" t="s">
        <v>184</v>
      </c>
      <c r="J2933" t="s">
        <v>30</v>
      </c>
      <c r="K2933" t="s">
        <v>185</v>
      </c>
      <c r="M2933" t="s">
        <v>32</v>
      </c>
      <c r="N2933" t="str">
        <f>"12/23/2008 12:00:00 AM"</f>
        <v>12/23/2008 12:00:00 AM</v>
      </c>
      <c r="O2933" t="s">
        <v>8917</v>
      </c>
    </row>
    <row r="2934" spans="1:20" x14ac:dyDescent="0.25">
      <c r="A2934" t="str">
        <f>"3049273"</f>
        <v>3049273</v>
      </c>
      <c r="B2934" t="s">
        <v>8919</v>
      </c>
      <c r="C2934" t="str">
        <f>"874680"</f>
        <v>874680</v>
      </c>
      <c r="D2934" t="s">
        <v>8920</v>
      </c>
      <c r="E2934" t="s">
        <v>8921</v>
      </c>
      <c r="F2934" t="s">
        <v>8922</v>
      </c>
      <c r="I2934" t="s">
        <v>184</v>
      </c>
      <c r="J2934" t="s">
        <v>30</v>
      </c>
      <c r="K2934" t="s">
        <v>185</v>
      </c>
      <c r="M2934" t="s">
        <v>32</v>
      </c>
      <c r="N2934" t="str">
        <f>"5/9/2003 12:00:00 AM"</f>
        <v>5/9/2003 12:00:00 AM</v>
      </c>
      <c r="O2934" t="s">
        <v>8920</v>
      </c>
      <c r="T2934" t="s">
        <v>8921</v>
      </c>
    </row>
    <row r="2935" spans="1:20" x14ac:dyDescent="0.25">
      <c r="A2935" t="str">
        <f>"3049274"</f>
        <v>3049274</v>
      </c>
      <c r="B2935" t="s">
        <v>8923</v>
      </c>
      <c r="C2935" t="str">
        <f>"47833700"</f>
        <v>47833700</v>
      </c>
      <c r="D2935" t="s">
        <v>8924</v>
      </c>
      <c r="E2935" t="s">
        <v>8925</v>
      </c>
      <c r="F2935" t="s">
        <v>8926</v>
      </c>
      <c r="I2935" t="s">
        <v>184</v>
      </c>
      <c r="J2935" t="s">
        <v>30</v>
      </c>
      <c r="K2935" t="s">
        <v>8906</v>
      </c>
      <c r="M2935" t="s">
        <v>32</v>
      </c>
      <c r="N2935" t="str">
        <f>"1/27/2010 12:00:00 AM"</f>
        <v>1/27/2010 12:00:00 AM</v>
      </c>
      <c r="O2935" t="s">
        <v>8924</v>
      </c>
      <c r="T2935" t="s">
        <v>8925</v>
      </c>
    </row>
    <row r="2936" spans="1:20" x14ac:dyDescent="0.25">
      <c r="A2936" t="str">
        <f>"3049276"</f>
        <v>3049276</v>
      </c>
      <c r="B2936" t="s">
        <v>8927</v>
      </c>
      <c r="C2936" t="str">
        <f>"82517412"</f>
        <v>82517412</v>
      </c>
      <c r="D2936" t="s">
        <v>8928</v>
      </c>
      <c r="E2936" t="s">
        <v>8929</v>
      </c>
      <c r="F2936" t="s">
        <v>8930</v>
      </c>
      <c r="I2936" t="s">
        <v>184</v>
      </c>
      <c r="J2936" t="s">
        <v>30</v>
      </c>
      <c r="K2936" t="s">
        <v>185</v>
      </c>
      <c r="N2936" t="str">
        <f>"4/3/2002 12:00:00 AM"</f>
        <v>4/3/2002 12:00:00 AM</v>
      </c>
      <c r="O2936" t="s">
        <v>8928</v>
      </c>
      <c r="T2936" t="s">
        <v>8929</v>
      </c>
    </row>
    <row r="2937" spans="1:20" x14ac:dyDescent="0.25">
      <c r="A2937" t="str">
        <f>"3049253"</f>
        <v>3049253</v>
      </c>
      <c r="B2937" t="s">
        <v>8931</v>
      </c>
      <c r="C2937" t="str">
        <f>"29162310"</f>
        <v>29162310</v>
      </c>
      <c r="D2937" t="s">
        <v>8932</v>
      </c>
      <c r="F2937" t="s">
        <v>8933</v>
      </c>
      <c r="I2937" t="s">
        <v>184</v>
      </c>
      <c r="J2937" t="s">
        <v>30</v>
      </c>
      <c r="K2937" t="s">
        <v>185</v>
      </c>
      <c r="M2937" t="s">
        <v>32</v>
      </c>
      <c r="N2937" t="str">
        <f>"8/29/2003 12:00:00 AM"</f>
        <v>8/29/2003 12:00:00 AM</v>
      </c>
      <c r="O2937" t="s">
        <v>8932</v>
      </c>
    </row>
    <row r="2938" spans="1:20" x14ac:dyDescent="0.25">
      <c r="A2938" t="str">
        <f>"3044146"</f>
        <v>3044146</v>
      </c>
      <c r="B2938" t="s">
        <v>8934</v>
      </c>
      <c r="C2938" t="str">
        <f>"41323000"</f>
        <v>41323000</v>
      </c>
      <c r="D2938" t="s">
        <v>8935</v>
      </c>
      <c r="F2938" t="s">
        <v>8936</v>
      </c>
      <c r="I2938" t="s">
        <v>184</v>
      </c>
      <c r="J2938" t="s">
        <v>30</v>
      </c>
      <c r="K2938" t="s">
        <v>185</v>
      </c>
      <c r="M2938" t="s">
        <v>32</v>
      </c>
      <c r="N2938" t="str">
        <f>"11/18/2003 12:00:00 AM"</f>
        <v>11/18/2003 12:00:00 AM</v>
      </c>
      <c r="O2938" t="s">
        <v>8935</v>
      </c>
    </row>
    <row r="2939" spans="1:20" x14ac:dyDescent="0.25">
      <c r="A2939" t="str">
        <f>"3044128"</f>
        <v>3044128</v>
      </c>
      <c r="B2939" t="s">
        <v>8937</v>
      </c>
      <c r="C2939" t="str">
        <f>"82528360"</f>
        <v>82528360</v>
      </c>
      <c r="D2939" t="s">
        <v>8938</v>
      </c>
      <c r="F2939" t="s">
        <v>8939</v>
      </c>
      <c r="I2939" t="s">
        <v>184</v>
      </c>
      <c r="J2939" t="s">
        <v>30</v>
      </c>
      <c r="K2939" t="s">
        <v>185</v>
      </c>
      <c r="M2939" t="s">
        <v>32</v>
      </c>
      <c r="N2939" t="str">
        <f>"1/9/2008 12:00:00 AM"</f>
        <v>1/9/2008 12:00:00 AM</v>
      </c>
      <c r="O2939" t="s">
        <v>8938</v>
      </c>
    </row>
    <row r="2940" spans="1:20" x14ac:dyDescent="0.25">
      <c r="A2940" t="str">
        <f>"3044191"</f>
        <v>3044191</v>
      </c>
      <c r="B2940" t="s">
        <v>8940</v>
      </c>
      <c r="C2940" t="str">
        <f>"48197000"</f>
        <v>48197000</v>
      </c>
      <c r="D2940" t="s">
        <v>8941</v>
      </c>
      <c r="E2940" t="s">
        <v>8942</v>
      </c>
      <c r="F2940" t="s">
        <v>8943</v>
      </c>
      <c r="I2940" t="s">
        <v>184</v>
      </c>
      <c r="J2940" t="s">
        <v>30</v>
      </c>
      <c r="K2940" t="s">
        <v>8944</v>
      </c>
      <c r="M2940" t="s">
        <v>32</v>
      </c>
      <c r="N2940" t="str">
        <f>"1/11/2010 12:00:00 AM"</f>
        <v>1/11/2010 12:00:00 AM</v>
      </c>
      <c r="O2940" t="s">
        <v>8941</v>
      </c>
      <c r="T2940" t="s">
        <v>8942</v>
      </c>
    </row>
    <row r="2941" spans="1:20" x14ac:dyDescent="0.25">
      <c r="A2941" t="str">
        <f>"3078012"</f>
        <v>3078012</v>
      </c>
      <c r="B2941" t="s">
        <v>8945</v>
      </c>
      <c r="C2941" t="str">
        <f>"82529895"</f>
        <v>82529895</v>
      </c>
      <c r="D2941" t="s">
        <v>8946</v>
      </c>
      <c r="E2941" t="s">
        <v>8947</v>
      </c>
      <c r="F2941" t="s">
        <v>8948</v>
      </c>
      <c r="I2941" t="s">
        <v>184</v>
      </c>
      <c r="J2941" t="s">
        <v>30</v>
      </c>
      <c r="K2941" t="s">
        <v>185</v>
      </c>
      <c r="M2941" t="s">
        <v>32</v>
      </c>
      <c r="N2941" t="str">
        <f>"1/23/2009 12:00:00 AM"</f>
        <v>1/23/2009 12:00:00 AM</v>
      </c>
      <c r="O2941" t="s">
        <v>8946</v>
      </c>
      <c r="T2941" t="s">
        <v>8947</v>
      </c>
    </row>
    <row r="2942" spans="1:20" x14ac:dyDescent="0.25">
      <c r="A2942" t="str">
        <f>"3078014"</f>
        <v>3078014</v>
      </c>
      <c r="B2942" t="s">
        <v>8949</v>
      </c>
      <c r="C2942" t="str">
        <f>"9262000"</f>
        <v>9262000</v>
      </c>
      <c r="D2942" t="s">
        <v>8950</v>
      </c>
      <c r="E2942" t="s">
        <v>8951</v>
      </c>
      <c r="F2942" t="s">
        <v>8952</v>
      </c>
      <c r="I2942" t="s">
        <v>184</v>
      </c>
      <c r="J2942" t="s">
        <v>30</v>
      </c>
      <c r="K2942" t="s">
        <v>185</v>
      </c>
      <c r="M2942" t="s">
        <v>32</v>
      </c>
      <c r="N2942" t="str">
        <f>"7/19/2002 12:00:00 AM"</f>
        <v>7/19/2002 12:00:00 AM</v>
      </c>
      <c r="O2942" t="s">
        <v>8950</v>
      </c>
      <c r="T2942" t="s">
        <v>8951</v>
      </c>
    </row>
    <row r="2943" spans="1:20" x14ac:dyDescent="0.25">
      <c r="A2943" t="str">
        <f>"3078941"</f>
        <v>3078941</v>
      </c>
      <c r="B2943" t="s">
        <v>8953</v>
      </c>
      <c r="C2943" t="str">
        <f>"66292000"</f>
        <v>66292000</v>
      </c>
      <c r="D2943" t="s">
        <v>8954</v>
      </c>
      <c r="F2943" t="s">
        <v>8955</v>
      </c>
      <c r="G2943" t="s">
        <v>8956</v>
      </c>
      <c r="I2943" t="s">
        <v>184</v>
      </c>
      <c r="J2943" t="s">
        <v>30</v>
      </c>
      <c r="K2943" t="s">
        <v>185</v>
      </c>
      <c r="M2943" t="s">
        <v>32</v>
      </c>
      <c r="N2943" t="str">
        <f>"5/12/2004 12:00:00 AM"</f>
        <v>5/12/2004 12:00:00 AM</v>
      </c>
      <c r="O2943" t="s">
        <v>8954</v>
      </c>
    </row>
    <row r="2944" spans="1:20" x14ac:dyDescent="0.25">
      <c r="A2944" t="str">
        <f>"3047555"</f>
        <v>3047555</v>
      </c>
      <c r="B2944" t="s">
        <v>8957</v>
      </c>
      <c r="C2944" t="str">
        <f>"48124000"</f>
        <v>48124000</v>
      </c>
      <c r="D2944" t="s">
        <v>8958</v>
      </c>
      <c r="F2944" t="s">
        <v>7934</v>
      </c>
      <c r="I2944" t="s">
        <v>184</v>
      </c>
      <c r="J2944" t="s">
        <v>30</v>
      </c>
      <c r="K2944" t="s">
        <v>8959</v>
      </c>
      <c r="M2944" t="s">
        <v>32</v>
      </c>
      <c r="N2944" t="str">
        <f>"1/20/2006 12:00:00 AM"</f>
        <v>1/20/2006 12:00:00 AM</v>
      </c>
      <c r="O2944" t="s">
        <v>8958</v>
      </c>
    </row>
    <row r="2945" spans="1:20" x14ac:dyDescent="0.25">
      <c r="A2945" t="str">
        <f>"3047938"</f>
        <v>3047938</v>
      </c>
      <c r="B2945" t="s">
        <v>8960</v>
      </c>
      <c r="C2945" t="str">
        <f>"293500"</f>
        <v>293500</v>
      </c>
      <c r="D2945" t="s">
        <v>8961</v>
      </c>
      <c r="F2945" t="s">
        <v>8962</v>
      </c>
      <c r="G2945" t="s">
        <v>8963</v>
      </c>
      <c r="I2945" t="s">
        <v>184</v>
      </c>
      <c r="J2945" t="s">
        <v>30</v>
      </c>
      <c r="K2945" t="s">
        <v>185</v>
      </c>
      <c r="M2945" t="s">
        <v>32</v>
      </c>
      <c r="N2945" t="str">
        <f>"5/7/2003 12:00:00 AM"</f>
        <v>5/7/2003 12:00:00 AM</v>
      </c>
      <c r="O2945" t="s">
        <v>8961</v>
      </c>
    </row>
    <row r="2946" spans="1:20" x14ac:dyDescent="0.25">
      <c r="A2946" t="str">
        <f>"3044373"</f>
        <v>3044373</v>
      </c>
      <c r="B2946" t="s">
        <v>8964</v>
      </c>
      <c r="C2946" t="str">
        <f>"81240250"</f>
        <v>81240250</v>
      </c>
      <c r="D2946" t="s">
        <v>8677</v>
      </c>
      <c r="E2946" t="s">
        <v>8965</v>
      </c>
      <c r="F2946" t="s">
        <v>8678</v>
      </c>
      <c r="I2946" t="s">
        <v>184</v>
      </c>
      <c r="J2946" t="s">
        <v>30</v>
      </c>
      <c r="K2946" t="s">
        <v>185</v>
      </c>
      <c r="M2946" t="s">
        <v>32</v>
      </c>
      <c r="N2946" t="str">
        <f>"7/16/2002 12:00:00 AM"</f>
        <v>7/16/2002 12:00:00 AM</v>
      </c>
      <c r="O2946" t="s">
        <v>8677</v>
      </c>
      <c r="T2946" t="s">
        <v>8965</v>
      </c>
    </row>
    <row r="2947" spans="1:20" x14ac:dyDescent="0.25">
      <c r="A2947" t="str">
        <f>"3044311"</f>
        <v>3044311</v>
      </c>
      <c r="B2947" t="s">
        <v>8966</v>
      </c>
      <c r="C2947" t="str">
        <f>"19652000"</f>
        <v>19652000</v>
      </c>
      <c r="D2947" t="s">
        <v>8967</v>
      </c>
      <c r="E2947" t="s">
        <v>8968</v>
      </c>
      <c r="F2947" t="s">
        <v>8969</v>
      </c>
      <c r="I2947" t="s">
        <v>184</v>
      </c>
      <c r="J2947" t="s">
        <v>30</v>
      </c>
      <c r="K2947" t="s">
        <v>8970</v>
      </c>
      <c r="M2947" t="s">
        <v>32</v>
      </c>
      <c r="N2947" t="str">
        <f>"5/27/2008 12:00:00 AM"</f>
        <v>5/27/2008 12:00:00 AM</v>
      </c>
      <c r="O2947" t="s">
        <v>8967</v>
      </c>
      <c r="T2947" t="s">
        <v>8968</v>
      </c>
    </row>
    <row r="2948" spans="1:20" x14ac:dyDescent="0.25">
      <c r="A2948" t="str">
        <f>"3046763"</f>
        <v>3046763</v>
      </c>
      <c r="B2948" t="s">
        <v>8971</v>
      </c>
      <c r="C2948" t="str">
        <f>"82529150"</f>
        <v>82529150</v>
      </c>
      <c r="D2948" t="s">
        <v>8972</v>
      </c>
      <c r="E2948" t="s">
        <v>8973</v>
      </c>
      <c r="F2948" t="s">
        <v>8974</v>
      </c>
      <c r="I2948" t="s">
        <v>184</v>
      </c>
      <c r="J2948" t="s">
        <v>30</v>
      </c>
      <c r="K2948" t="s">
        <v>8584</v>
      </c>
      <c r="M2948" t="s">
        <v>32</v>
      </c>
      <c r="N2948" t="str">
        <f>"1/13/2009 12:00:00 AM"</f>
        <v>1/13/2009 12:00:00 AM</v>
      </c>
      <c r="O2948" t="s">
        <v>8972</v>
      </c>
      <c r="T2948" t="s">
        <v>8973</v>
      </c>
    </row>
    <row r="2949" spans="1:20" x14ac:dyDescent="0.25">
      <c r="A2949" t="str">
        <f>"3047766"</f>
        <v>3047766</v>
      </c>
      <c r="B2949" t="s">
        <v>8975</v>
      </c>
      <c r="C2949" t="str">
        <f>"28950560"</f>
        <v>28950560</v>
      </c>
      <c r="D2949" t="s">
        <v>8976</v>
      </c>
      <c r="F2949" t="s">
        <v>8977</v>
      </c>
      <c r="I2949" t="s">
        <v>184</v>
      </c>
      <c r="J2949" t="s">
        <v>30</v>
      </c>
      <c r="K2949" t="s">
        <v>185</v>
      </c>
      <c r="M2949" t="s">
        <v>32</v>
      </c>
      <c r="N2949" t="str">
        <f>"7/22/2002 12:00:00 AM"</f>
        <v>7/22/2002 12:00:00 AM</v>
      </c>
      <c r="O2949" t="s">
        <v>8976</v>
      </c>
    </row>
    <row r="2950" spans="1:20" x14ac:dyDescent="0.25">
      <c r="A2950" t="str">
        <f>"3048173"</f>
        <v>3048173</v>
      </c>
      <c r="B2950" t="s">
        <v>8978</v>
      </c>
      <c r="C2950" t="str">
        <f>"82530376"</f>
        <v>82530376</v>
      </c>
      <c r="D2950" t="s">
        <v>8979</v>
      </c>
      <c r="F2950" t="s">
        <v>8980</v>
      </c>
      <c r="I2950" t="s">
        <v>184</v>
      </c>
      <c r="J2950" t="s">
        <v>30</v>
      </c>
      <c r="K2950" t="s">
        <v>185</v>
      </c>
      <c r="M2950" t="s">
        <v>32</v>
      </c>
      <c r="N2950" t="str">
        <f>"7/8/2009 12:00:00 AM"</f>
        <v>7/8/2009 12:00:00 AM</v>
      </c>
      <c r="O2950" t="s">
        <v>8979</v>
      </c>
    </row>
    <row r="2951" spans="1:20" x14ac:dyDescent="0.25">
      <c r="A2951" t="str">
        <f>"3047779"</f>
        <v>3047779</v>
      </c>
      <c r="B2951" t="s">
        <v>8981</v>
      </c>
      <c r="C2951" t="str">
        <f>"82517398"</f>
        <v>82517398</v>
      </c>
      <c r="D2951" t="s">
        <v>8982</v>
      </c>
      <c r="F2951" t="s">
        <v>8983</v>
      </c>
      <c r="I2951" t="s">
        <v>184</v>
      </c>
      <c r="J2951" t="s">
        <v>30</v>
      </c>
      <c r="K2951" t="s">
        <v>185</v>
      </c>
      <c r="N2951" t="str">
        <f>"1/22/2004 12:00:00 AM"</f>
        <v>1/22/2004 12:00:00 AM</v>
      </c>
      <c r="O2951" t="s">
        <v>8982</v>
      </c>
    </row>
    <row r="2952" spans="1:20" x14ac:dyDescent="0.25">
      <c r="A2952" t="str">
        <f>"3057842"</f>
        <v>3057842</v>
      </c>
      <c r="B2952" t="s">
        <v>8984</v>
      </c>
      <c r="C2952" t="str">
        <f>"82519342"</f>
        <v>82519342</v>
      </c>
      <c r="D2952" t="s">
        <v>8985</v>
      </c>
      <c r="E2952" t="s">
        <v>8986</v>
      </c>
      <c r="F2952" t="s">
        <v>8987</v>
      </c>
      <c r="I2952" t="s">
        <v>184</v>
      </c>
      <c r="J2952" t="s">
        <v>30</v>
      </c>
      <c r="K2952" t="s">
        <v>8988</v>
      </c>
      <c r="M2952" t="s">
        <v>32</v>
      </c>
      <c r="N2952" t="str">
        <f>"1/10/2003 12:00:00 AM"</f>
        <v>1/10/2003 12:00:00 AM</v>
      </c>
      <c r="O2952" t="s">
        <v>8985</v>
      </c>
      <c r="T2952" t="s">
        <v>8986</v>
      </c>
    </row>
    <row r="2953" spans="1:20" x14ac:dyDescent="0.25">
      <c r="A2953" t="str">
        <f>"3057836"</f>
        <v>3057836</v>
      </c>
      <c r="B2953" t="s">
        <v>8989</v>
      </c>
      <c r="C2953" t="str">
        <f>"51261000"</f>
        <v>51261000</v>
      </c>
      <c r="D2953" t="s">
        <v>8990</v>
      </c>
      <c r="E2953" t="s">
        <v>8991</v>
      </c>
      <c r="F2953" t="s">
        <v>8992</v>
      </c>
      <c r="I2953" t="s">
        <v>184</v>
      </c>
      <c r="J2953" t="s">
        <v>30</v>
      </c>
      <c r="K2953" t="s">
        <v>8988</v>
      </c>
      <c r="M2953" t="s">
        <v>32</v>
      </c>
      <c r="N2953" t="str">
        <f>"2/10/2010 12:00:00 AM"</f>
        <v>2/10/2010 12:00:00 AM</v>
      </c>
      <c r="O2953" t="s">
        <v>8990</v>
      </c>
      <c r="T2953" t="s">
        <v>8991</v>
      </c>
    </row>
    <row r="2954" spans="1:20" x14ac:dyDescent="0.25">
      <c r="A2954" t="str">
        <f>"3057807"</f>
        <v>3057807</v>
      </c>
      <c r="B2954" t="s">
        <v>8993</v>
      </c>
      <c r="C2954" t="str">
        <f>"82524713"</f>
        <v>82524713</v>
      </c>
      <c r="D2954" t="s">
        <v>8994</v>
      </c>
      <c r="E2954" t="s">
        <v>8995</v>
      </c>
      <c r="F2954" t="s">
        <v>8996</v>
      </c>
      <c r="I2954" t="s">
        <v>184</v>
      </c>
      <c r="J2954" t="s">
        <v>30</v>
      </c>
      <c r="K2954" t="s">
        <v>185</v>
      </c>
      <c r="M2954" t="s">
        <v>32</v>
      </c>
      <c r="N2954" t="str">
        <f>"6/28/2005 12:00:00 AM"</f>
        <v>6/28/2005 12:00:00 AM</v>
      </c>
      <c r="O2954" t="s">
        <v>8994</v>
      </c>
      <c r="T2954" t="s">
        <v>8995</v>
      </c>
    </row>
    <row r="2955" spans="1:20" x14ac:dyDescent="0.25">
      <c r="A2955" t="str">
        <f>"3043638"</f>
        <v>3043638</v>
      </c>
      <c r="B2955" t="s">
        <v>8997</v>
      </c>
      <c r="C2955" t="str">
        <f>"82528881"</f>
        <v>82528881</v>
      </c>
      <c r="D2955" t="s">
        <v>8998</v>
      </c>
      <c r="E2955" t="s">
        <v>8999</v>
      </c>
      <c r="F2955" t="s">
        <v>9000</v>
      </c>
      <c r="I2955" t="s">
        <v>29</v>
      </c>
      <c r="J2955" t="s">
        <v>30</v>
      </c>
      <c r="K2955" t="s">
        <v>31</v>
      </c>
      <c r="M2955" t="s">
        <v>32</v>
      </c>
      <c r="N2955" t="str">
        <f>"12/3/2007 12:00:00 AM"</f>
        <v>12/3/2007 12:00:00 AM</v>
      </c>
      <c r="O2955" t="s">
        <v>8998</v>
      </c>
      <c r="T2955" t="s">
        <v>8999</v>
      </c>
    </row>
    <row r="2956" spans="1:20" x14ac:dyDescent="0.25">
      <c r="A2956" t="str">
        <f>"3074430"</f>
        <v>3074430</v>
      </c>
      <c r="B2956" t="s">
        <v>9001</v>
      </c>
      <c r="C2956" t="str">
        <f>"41535580"</f>
        <v>41535580</v>
      </c>
      <c r="D2956" t="s">
        <v>9002</v>
      </c>
      <c r="F2956" t="s">
        <v>9003</v>
      </c>
      <c r="I2956" t="s">
        <v>184</v>
      </c>
      <c r="J2956" t="s">
        <v>30</v>
      </c>
      <c r="K2956" t="s">
        <v>9004</v>
      </c>
      <c r="M2956" t="s">
        <v>32</v>
      </c>
      <c r="N2956" t="str">
        <f>"3/22/2005 12:00:00 AM"</f>
        <v>3/22/2005 12:00:00 AM</v>
      </c>
      <c r="O2956" t="s">
        <v>9002</v>
      </c>
    </row>
    <row r="2957" spans="1:20" x14ac:dyDescent="0.25">
      <c r="A2957" t="str">
        <f>"3057845"</f>
        <v>3057845</v>
      </c>
      <c r="B2957" t="s">
        <v>9005</v>
      </c>
      <c r="C2957" t="str">
        <f>"46037090"</f>
        <v>46037090</v>
      </c>
      <c r="D2957" t="s">
        <v>9006</v>
      </c>
      <c r="E2957" t="s">
        <v>9007</v>
      </c>
      <c r="F2957" t="s">
        <v>9008</v>
      </c>
      <c r="I2957" t="s">
        <v>184</v>
      </c>
      <c r="J2957" t="s">
        <v>30</v>
      </c>
      <c r="K2957" t="s">
        <v>9009</v>
      </c>
      <c r="M2957" t="s">
        <v>32</v>
      </c>
      <c r="N2957" t="str">
        <f>"1/23/2006 12:00:00 AM"</f>
        <v>1/23/2006 12:00:00 AM</v>
      </c>
      <c r="O2957" t="s">
        <v>9006</v>
      </c>
      <c r="T2957" t="s">
        <v>9007</v>
      </c>
    </row>
    <row r="2958" spans="1:20" x14ac:dyDescent="0.25">
      <c r="A2958" t="str">
        <f>"3057855"</f>
        <v>3057855</v>
      </c>
      <c r="B2958" t="s">
        <v>9010</v>
      </c>
      <c r="C2958" t="str">
        <f>"82521420"</f>
        <v>82521420</v>
      </c>
      <c r="D2958" t="s">
        <v>9011</v>
      </c>
      <c r="E2958" t="s">
        <v>9012</v>
      </c>
      <c r="F2958" t="s">
        <v>9013</v>
      </c>
      <c r="I2958" t="s">
        <v>184</v>
      </c>
      <c r="J2958" t="s">
        <v>30</v>
      </c>
      <c r="K2958" t="s">
        <v>185</v>
      </c>
      <c r="M2958" t="s">
        <v>32</v>
      </c>
      <c r="N2958" t="str">
        <f>"2/2/2004 12:00:00 AM"</f>
        <v>2/2/2004 12:00:00 AM</v>
      </c>
      <c r="O2958" t="s">
        <v>9011</v>
      </c>
      <c r="T2958" t="s">
        <v>9012</v>
      </c>
    </row>
    <row r="2959" spans="1:20" x14ac:dyDescent="0.25">
      <c r="A2959" t="str">
        <f>"3057835"</f>
        <v>3057835</v>
      </c>
      <c r="B2959" t="s">
        <v>9014</v>
      </c>
      <c r="C2959" t="str">
        <f>"82515775"</f>
        <v>82515775</v>
      </c>
      <c r="D2959" t="s">
        <v>9015</v>
      </c>
      <c r="E2959" t="s">
        <v>9016</v>
      </c>
      <c r="F2959" t="s">
        <v>9017</v>
      </c>
      <c r="I2959" t="s">
        <v>184</v>
      </c>
      <c r="J2959" t="s">
        <v>30</v>
      </c>
      <c r="K2959" t="s">
        <v>185</v>
      </c>
      <c r="M2959" t="s">
        <v>32</v>
      </c>
      <c r="N2959" t="str">
        <f>"7/22/2002 12:00:00 AM"</f>
        <v>7/22/2002 12:00:00 AM</v>
      </c>
      <c r="O2959" t="s">
        <v>9015</v>
      </c>
      <c r="T2959" t="s">
        <v>9016</v>
      </c>
    </row>
    <row r="2960" spans="1:20" x14ac:dyDescent="0.25">
      <c r="A2960" t="str">
        <f>"3048035"</f>
        <v>3048035</v>
      </c>
      <c r="B2960" t="s">
        <v>9018</v>
      </c>
      <c r="C2960" t="str">
        <f>"297880"</f>
        <v>297880</v>
      </c>
      <c r="D2960" t="s">
        <v>9019</v>
      </c>
      <c r="F2960" t="s">
        <v>9020</v>
      </c>
      <c r="I2960" t="s">
        <v>184</v>
      </c>
      <c r="J2960" t="s">
        <v>30</v>
      </c>
      <c r="K2960" t="s">
        <v>185</v>
      </c>
      <c r="M2960" t="s">
        <v>32</v>
      </c>
      <c r="N2960" t="str">
        <f>"2/14/2003 12:00:00 AM"</f>
        <v>2/14/2003 12:00:00 AM</v>
      </c>
      <c r="O2960" t="s">
        <v>9019</v>
      </c>
    </row>
    <row r="2961" spans="1:20" x14ac:dyDescent="0.25">
      <c r="A2961" t="str">
        <f>"3047967"</f>
        <v>3047967</v>
      </c>
      <c r="B2961" t="s">
        <v>9021</v>
      </c>
      <c r="C2961" t="str">
        <f>"82517948"</f>
        <v>82517948</v>
      </c>
      <c r="D2961" t="s">
        <v>9022</v>
      </c>
      <c r="F2961" t="s">
        <v>9023</v>
      </c>
      <c r="I2961" t="s">
        <v>184</v>
      </c>
      <c r="J2961" t="s">
        <v>30</v>
      </c>
      <c r="K2961" t="s">
        <v>185</v>
      </c>
      <c r="N2961" t="str">
        <f>"1/20/2004 12:00:00 AM"</f>
        <v>1/20/2004 12:00:00 AM</v>
      </c>
      <c r="O2961" t="s">
        <v>9022</v>
      </c>
    </row>
    <row r="2962" spans="1:20" x14ac:dyDescent="0.25">
      <c r="A2962" t="str">
        <f>"3047782"</f>
        <v>3047782</v>
      </c>
      <c r="B2962" t="s">
        <v>9024</v>
      </c>
      <c r="C2962" t="str">
        <f>"82527567"</f>
        <v>82527567</v>
      </c>
      <c r="D2962" t="s">
        <v>9025</v>
      </c>
      <c r="F2962" t="s">
        <v>9026</v>
      </c>
      <c r="I2962" t="s">
        <v>184</v>
      </c>
      <c r="J2962" t="s">
        <v>30</v>
      </c>
      <c r="K2962" t="s">
        <v>185</v>
      </c>
      <c r="M2962" t="s">
        <v>32</v>
      </c>
      <c r="N2962" t="str">
        <f>"2/13/2007 12:00:00 AM"</f>
        <v>2/13/2007 12:00:00 AM</v>
      </c>
      <c r="O2962" t="s">
        <v>9025</v>
      </c>
    </row>
    <row r="2963" spans="1:20" x14ac:dyDescent="0.25">
      <c r="A2963" t="str">
        <f>"3047306"</f>
        <v>3047306</v>
      </c>
      <c r="B2963" t="s">
        <v>9027</v>
      </c>
      <c r="C2963" t="str">
        <f>"5253000"</f>
        <v>5253000</v>
      </c>
      <c r="D2963" t="s">
        <v>9028</v>
      </c>
      <c r="F2963" t="s">
        <v>9029</v>
      </c>
      <c r="I2963" t="s">
        <v>184</v>
      </c>
      <c r="J2963" t="s">
        <v>30</v>
      </c>
      <c r="K2963" t="s">
        <v>185</v>
      </c>
      <c r="M2963" t="s">
        <v>32</v>
      </c>
      <c r="N2963" t="str">
        <f>"7/19/2002 12:00:00 AM"</f>
        <v>7/19/2002 12:00:00 AM</v>
      </c>
      <c r="O2963" t="s">
        <v>9028</v>
      </c>
    </row>
    <row r="2964" spans="1:20" x14ac:dyDescent="0.25">
      <c r="A2964" t="str">
        <f>"3078942"</f>
        <v>3078942</v>
      </c>
      <c r="B2964" t="s">
        <v>9030</v>
      </c>
      <c r="C2964" t="str">
        <f>"69404000"</f>
        <v>69404000</v>
      </c>
      <c r="D2964" t="s">
        <v>9031</v>
      </c>
      <c r="E2964" t="s">
        <v>9032</v>
      </c>
      <c r="F2964" t="s">
        <v>9033</v>
      </c>
      <c r="I2964" t="s">
        <v>184</v>
      </c>
      <c r="J2964" t="s">
        <v>30</v>
      </c>
      <c r="K2964" t="s">
        <v>9034</v>
      </c>
      <c r="M2964" t="s">
        <v>32</v>
      </c>
      <c r="N2964" t="str">
        <f>"1/23/2007 12:00:00 AM"</f>
        <v>1/23/2007 12:00:00 AM</v>
      </c>
      <c r="O2964" t="s">
        <v>9031</v>
      </c>
      <c r="T2964" t="s">
        <v>9032</v>
      </c>
    </row>
    <row r="2965" spans="1:20" x14ac:dyDescent="0.25">
      <c r="A2965" t="str">
        <f>"3047562"</f>
        <v>3047562</v>
      </c>
      <c r="B2965" t="s">
        <v>9035</v>
      </c>
      <c r="C2965" t="str">
        <f>"61923000"</f>
        <v>61923000</v>
      </c>
      <c r="D2965" t="s">
        <v>8606</v>
      </c>
      <c r="E2965" t="s">
        <v>9036</v>
      </c>
      <c r="F2965" t="s">
        <v>8607</v>
      </c>
      <c r="I2965" t="s">
        <v>184</v>
      </c>
      <c r="J2965" t="s">
        <v>30</v>
      </c>
      <c r="K2965" t="s">
        <v>185</v>
      </c>
      <c r="M2965" t="s">
        <v>32</v>
      </c>
      <c r="N2965" t="str">
        <f>"4/20/2004 12:00:00 AM"</f>
        <v>4/20/2004 12:00:00 AM</v>
      </c>
      <c r="O2965" t="s">
        <v>8606</v>
      </c>
      <c r="T2965" t="s">
        <v>9036</v>
      </c>
    </row>
    <row r="2966" spans="1:20" x14ac:dyDescent="0.25">
      <c r="A2966" t="str">
        <f>"3047813"</f>
        <v>3047813</v>
      </c>
      <c r="B2966" t="s">
        <v>9037</v>
      </c>
      <c r="C2966" t="str">
        <f>"42007000"</f>
        <v>42007000</v>
      </c>
      <c r="D2966" t="s">
        <v>9038</v>
      </c>
      <c r="F2966" t="s">
        <v>9039</v>
      </c>
      <c r="I2966" t="s">
        <v>184</v>
      </c>
      <c r="J2966" t="s">
        <v>30</v>
      </c>
      <c r="K2966" t="s">
        <v>185</v>
      </c>
      <c r="M2966" t="s">
        <v>32</v>
      </c>
      <c r="N2966" t="str">
        <f>"11/20/2003 12:00:00 AM"</f>
        <v>11/20/2003 12:00:00 AM</v>
      </c>
      <c r="O2966" t="s">
        <v>9038</v>
      </c>
    </row>
    <row r="2967" spans="1:20" x14ac:dyDescent="0.25">
      <c r="A2967" t="str">
        <f>"3047425"</f>
        <v>3047425</v>
      </c>
      <c r="B2967" t="s">
        <v>9040</v>
      </c>
      <c r="C2967" t="str">
        <f>"82521060"</f>
        <v>82521060</v>
      </c>
      <c r="D2967" t="s">
        <v>9041</v>
      </c>
      <c r="F2967" t="s">
        <v>9042</v>
      </c>
      <c r="I2967" t="s">
        <v>471</v>
      </c>
      <c r="J2967" t="s">
        <v>30</v>
      </c>
      <c r="K2967" t="s">
        <v>9043</v>
      </c>
      <c r="M2967" t="s">
        <v>32</v>
      </c>
      <c r="N2967" t="str">
        <f>"10/10/2005 12:00:00 AM"</f>
        <v>10/10/2005 12:00:00 AM</v>
      </c>
      <c r="O2967" t="s">
        <v>9041</v>
      </c>
      <c r="T2967" t="s">
        <v>9041</v>
      </c>
    </row>
    <row r="2968" spans="1:20" x14ac:dyDescent="0.25">
      <c r="A2968" t="str">
        <f>"3047788"</f>
        <v>3047788</v>
      </c>
      <c r="B2968" t="s">
        <v>9044</v>
      </c>
      <c r="C2968" t="str">
        <f>"17076370"</f>
        <v>17076370</v>
      </c>
      <c r="D2968" t="s">
        <v>9045</v>
      </c>
      <c r="E2968" t="s">
        <v>9046</v>
      </c>
      <c r="F2968" t="s">
        <v>9047</v>
      </c>
      <c r="I2968" t="s">
        <v>184</v>
      </c>
      <c r="J2968" t="s">
        <v>30</v>
      </c>
      <c r="K2968" t="s">
        <v>185</v>
      </c>
      <c r="M2968" t="s">
        <v>32</v>
      </c>
      <c r="N2968" t="str">
        <f>"7/22/2002 12:00:00 AM"</f>
        <v>7/22/2002 12:00:00 AM</v>
      </c>
      <c r="O2968" t="s">
        <v>9045</v>
      </c>
      <c r="T2968" t="s">
        <v>9046</v>
      </c>
    </row>
    <row r="2969" spans="1:20" x14ac:dyDescent="0.25">
      <c r="A2969" t="str">
        <f>"3047814"</f>
        <v>3047814</v>
      </c>
      <c r="B2969" t="s">
        <v>9048</v>
      </c>
      <c r="C2969" t="str">
        <f>"17532000"</f>
        <v>17532000</v>
      </c>
      <c r="D2969" t="s">
        <v>9049</v>
      </c>
      <c r="E2969" t="s">
        <v>9050</v>
      </c>
      <c r="F2969" t="s">
        <v>9051</v>
      </c>
      <c r="I2969" t="s">
        <v>184</v>
      </c>
      <c r="J2969" t="s">
        <v>30</v>
      </c>
      <c r="K2969" t="s">
        <v>9034</v>
      </c>
      <c r="N2969" t="str">
        <f>"1/26/2007 12:00:00 AM"</f>
        <v>1/26/2007 12:00:00 AM</v>
      </c>
      <c r="O2969" t="s">
        <v>9049</v>
      </c>
      <c r="T2969" t="s">
        <v>9050</v>
      </c>
    </row>
    <row r="2970" spans="1:20" x14ac:dyDescent="0.25">
      <c r="A2970" t="str">
        <f>"3047815"</f>
        <v>3047815</v>
      </c>
      <c r="B2970" t="s">
        <v>9052</v>
      </c>
      <c r="C2970" t="str">
        <f>"17548000"</f>
        <v>17548000</v>
      </c>
      <c r="D2970" t="s">
        <v>9053</v>
      </c>
      <c r="E2970" t="s">
        <v>9054</v>
      </c>
      <c r="F2970" t="s">
        <v>9055</v>
      </c>
      <c r="I2970" t="s">
        <v>184</v>
      </c>
      <c r="J2970" t="s">
        <v>30</v>
      </c>
      <c r="K2970" t="s">
        <v>9056</v>
      </c>
      <c r="M2970" t="s">
        <v>32</v>
      </c>
      <c r="N2970" t="str">
        <f>"2/2/2006 12:00:00 AM"</f>
        <v>2/2/2006 12:00:00 AM</v>
      </c>
      <c r="O2970" t="s">
        <v>9053</v>
      </c>
      <c r="T2970" t="s">
        <v>9054</v>
      </c>
    </row>
    <row r="2971" spans="1:20" x14ac:dyDescent="0.25">
      <c r="A2971" t="str">
        <f>"3047307"</f>
        <v>3047307</v>
      </c>
      <c r="B2971" t="s">
        <v>9057</v>
      </c>
      <c r="C2971" t="str">
        <f>"5253000"</f>
        <v>5253000</v>
      </c>
      <c r="D2971" t="s">
        <v>9028</v>
      </c>
      <c r="F2971" t="s">
        <v>9029</v>
      </c>
      <c r="I2971" t="s">
        <v>184</v>
      </c>
      <c r="J2971" t="s">
        <v>30</v>
      </c>
      <c r="K2971" t="s">
        <v>185</v>
      </c>
      <c r="M2971" t="s">
        <v>32</v>
      </c>
      <c r="N2971" t="str">
        <f>"7/19/2002 12:00:00 AM"</f>
        <v>7/19/2002 12:00:00 AM</v>
      </c>
      <c r="O2971" t="s">
        <v>9028</v>
      </c>
    </row>
    <row r="2972" spans="1:20" x14ac:dyDescent="0.25">
      <c r="A2972" t="str">
        <f>"3047358"</f>
        <v>3047358</v>
      </c>
      <c r="B2972" t="s">
        <v>9058</v>
      </c>
      <c r="C2972" t="str">
        <f>"5253000"</f>
        <v>5253000</v>
      </c>
      <c r="D2972" t="s">
        <v>9028</v>
      </c>
      <c r="F2972" t="s">
        <v>9029</v>
      </c>
      <c r="I2972" t="s">
        <v>184</v>
      </c>
      <c r="J2972" t="s">
        <v>30</v>
      </c>
      <c r="K2972" t="s">
        <v>185</v>
      </c>
      <c r="M2972" t="s">
        <v>32</v>
      </c>
      <c r="N2972" t="str">
        <f>"7/19/2002 12:00:00 AM"</f>
        <v>7/19/2002 12:00:00 AM</v>
      </c>
      <c r="O2972" t="s">
        <v>9028</v>
      </c>
    </row>
    <row r="2973" spans="1:20" x14ac:dyDescent="0.25">
      <c r="A2973" t="str">
        <f>"3062989"</f>
        <v>3062989</v>
      </c>
      <c r="B2973" t="s">
        <v>9059</v>
      </c>
      <c r="C2973" t="str">
        <f>"82519874"</f>
        <v>82519874</v>
      </c>
      <c r="D2973" t="s">
        <v>9060</v>
      </c>
      <c r="E2973" t="s">
        <v>9061</v>
      </c>
      <c r="F2973" t="s">
        <v>9062</v>
      </c>
      <c r="I2973" t="s">
        <v>184</v>
      </c>
      <c r="J2973" t="s">
        <v>30</v>
      </c>
      <c r="K2973" t="s">
        <v>185</v>
      </c>
      <c r="M2973" t="s">
        <v>32</v>
      </c>
      <c r="N2973" t="str">
        <f>"12/18/2002 12:00:00 AM"</f>
        <v>12/18/2002 12:00:00 AM</v>
      </c>
      <c r="O2973" t="s">
        <v>9060</v>
      </c>
      <c r="T2973" t="s">
        <v>9061</v>
      </c>
    </row>
    <row r="2974" spans="1:20" x14ac:dyDescent="0.25">
      <c r="A2974" t="str">
        <f>"3047916"</f>
        <v>3047916</v>
      </c>
      <c r="B2974" t="s">
        <v>9063</v>
      </c>
      <c r="C2974" t="str">
        <f>"82518018"</f>
        <v>82518018</v>
      </c>
      <c r="D2974" t="s">
        <v>9064</v>
      </c>
      <c r="E2974" t="s">
        <v>9065</v>
      </c>
      <c r="F2974" t="s">
        <v>9066</v>
      </c>
      <c r="I2974" t="s">
        <v>184</v>
      </c>
      <c r="J2974" t="s">
        <v>30</v>
      </c>
      <c r="K2974" t="s">
        <v>185</v>
      </c>
      <c r="M2974" t="s">
        <v>32</v>
      </c>
      <c r="N2974" t="str">
        <f>"2/13/2003 12:00:00 AM"</f>
        <v>2/13/2003 12:00:00 AM</v>
      </c>
      <c r="O2974" t="s">
        <v>9064</v>
      </c>
      <c r="T2974" t="s">
        <v>9065</v>
      </c>
    </row>
    <row r="2975" spans="1:20" x14ac:dyDescent="0.25">
      <c r="A2975" t="str">
        <f>"3048394"</f>
        <v>3048394</v>
      </c>
      <c r="B2975" t="s">
        <v>9067</v>
      </c>
      <c r="C2975" t="str">
        <f>"45740500"</f>
        <v>45740500</v>
      </c>
      <c r="D2975" t="s">
        <v>9068</v>
      </c>
      <c r="F2975" t="s">
        <v>9069</v>
      </c>
      <c r="I2975" t="s">
        <v>184</v>
      </c>
      <c r="J2975" t="s">
        <v>30</v>
      </c>
      <c r="K2975" t="s">
        <v>9070</v>
      </c>
      <c r="M2975" t="s">
        <v>32</v>
      </c>
      <c r="N2975" t="str">
        <f>"2/1/2010 12:00:00 AM"</f>
        <v>2/1/2010 12:00:00 AM</v>
      </c>
      <c r="O2975" t="s">
        <v>9068</v>
      </c>
    </row>
    <row r="2976" spans="1:20" x14ac:dyDescent="0.25">
      <c r="A2976" t="str">
        <f>"3060044"</f>
        <v>3060044</v>
      </c>
      <c r="B2976" t="s">
        <v>9071</v>
      </c>
      <c r="C2976" t="str">
        <f>"82526770"</f>
        <v>82526770</v>
      </c>
      <c r="D2976" t="s">
        <v>9072</v>
      </c>
      <c r="E2976" t="s">
        <v>9073</v>
      </c>
      <c r="F2976" t="s">
        <v>9074</v>
      </c>
      <c r="I2976" t="s">
        <v>184</v>
      </c>
      <c r="J2976" t="s">
        <v>30</v>
      </c>
      <c r="K2976" t="s">
        <v>185</v>
      </c>
      <c r="M2976" t="s">
        <v>32</v>
      </c>
      <c r="N2976" t="str">
        <f>"9/11/2006 12:00:00 AM"</f>
        <v>9/11/2006 12:00:00 AM</v>
      </c>
      <c r="O2976" t="s">
        <v>9072</v>
      </c>
      <c r="T2976" t="s">
        <v>9073</v>
      </c>
    </row>
    <row r="2977" spans="1:20" x14ac:dyDescent="0.25">
      <c r="A2977" t="str">
        <f>"3044137"</f>
        <v>3044137</v>
      </c>
      <c r="B2977" t="s">
        <v>9075</v>
      </c>
      <c r="C2977" t="str">
        <f>"71682000"</f>
        <v>71682000</v>
      </c>
      <c r="D2977" t="s">
        <v>9076</v>
      </c>
      <c r="F2977" t="s">
        <v>9077</v>
      </c>
      <c r="I2977" t="s">
        <v>184</v>
      </c>
      <c r="J2977" t="s">
        <v>30</v>
      </c>
      <c r="K2977" t="s">
        <v>185</v>
      </c>
      <c r="M2977" t="s">
        <v>32</v>
      </c>
      <c r="N2977" t="str">
        <f>"2/15/2007 12:00:00 AM"</f>
        <v>2/15/2007 12:00:00 AM</v>
      </c>
      <c r="O2977" t="s">
        <v>9076</v>
      </c>
    </row>
    <row r="2978" spans="1:20" x14ac:dyDescent="0.25">
      <c r="A2978" t="str">
        <f>"3060025"</f>
        <v>3060025</v>
      </c>
      <c r="B2978" t="s">
        <v>9078</v>
      </c>
      <c r="C2978" t="str">
        <f>"82524956"</f>
        <v>82524956</v>
      </c>
      <c r="D2978" t="s">
        <v>9079</v>
      </c>
      <c r="E2978" t="s">
        <v>9080</v>
      </c>
      <c r="F2978" t="s">
        <v>9081</v>
      </c>
      <c r="I2978" t="s">
        <v>184</v>
      </c>
      <c r="J2978" t="s">
        <v>30</v>
      </c>
      <c r="K2978" t="s">
        <v>9082</v>
      </c>
      <c r="M2978" t="s">
        <v>32</v>
      </c>
      <c r="N2978" t="str">
        <f>"1/6/2006 12:00:00 AM"</f>
        <v>1/6/2006 12:00:00 AM</v>
      </c>
      <c r="O2978" t="s">
        <v>9079</v>
      </c>
      <c r="T2978" t="s">
        <v>9080</v>
      </c>
    </row>
    <row r="2979" spans="1:20" x14ac:dyDescent="0.25">
      <c r="A2979" t="str">
        <f>"3048619"</f>
        <v>3048619</v>
      </c>
      <c r="B2979" t="s">
        <v>9083</v>
      </c>
      <c r="C2979" t="str">
        <f>"19275500"</f>
        <v>19275500</v>
      </c>
      <c r="D2979" t="s">
        <v>9084</v>
      </c>
      <c r="E2979" t="s">
        <v>9085</v>
      </c>
      <c r="F2979" t="s">
        <v>9086</v>
      </c>
      <c r="I2979" t="s">
        <v>184</v>
      </c>
      <c r="J2979" t="s">
        <v>30</v>
      </c>
      <c r="K2979" t="s">
        <v>9087</v>
      </c>
      <c r="M2979" t="s">
        <v>32</v>
      </c>
      <c r="N2979" t="str">
        <f>"2/25/2010 12:00:00 AM"</f>
        <v>2/25/2010 12:00:00 AM</v>
      </c>
      <c r="O2979" t="s">
        <v>9084</v>
      </c>
      <c r="T2979" t="s">
        <v>9085</v>
      </c>
    </row>
    <row r="2980" spans="1:20" x14ac:dyDescent="0.25">
      <c r="A2980" t="str">
        <f>"3047874"</f>
        <v>3047874</v>
      </c>
      <c r="B2980" t="s">
        <v>9088</v>
      </c>
      <c r="C2980" t="str">
        <f>"45082340"</f>
        <v>45082340</v>
      </c>
      <c r="D2980" t="s">
        <v>8798</v>
      </c>
      <c r="F2980" t="s">
        <v>8799</v>
      </c>
      <c r="I2980" t="s">
        <v>184</v>
      </c>
      <c r="J2980" t="s">
        <v>30</v>
      </c>
      <c r="K2980" t="s">
        <v>185</v>
      </c>
      <c r="M2980" t="s">
        <v>32</v>
      </c>
      <c r="N2980" t="str">
        <f>"12/12/2003 12:00:00 AM"</f>
        <v>12/12/2003 12:00:00 AM</v>
      </c>
      <c r="O2980" t="s">
        <v>8798</v>
      </c>
    </row>
    <row r="2981" spans="1:20" x14ac:dyDescent="0.25">
      <c r="A2981" t="str">
        <f>"3044251"</f>
        <v>3044251</v>
      </c>
      <c r="B2981" t="s">
        <v>9089</v>
      </c>
      <c r="C2981" t="str">
        <f>"82519625"</f>
        <v>82519625</v>
      </c>
      <c r="D2981" t="s">
        <v>9090</v>
      </c>
      <c r="F2981" t="s">
        <v>9091</v>
      </c>
      <c r="I2981" t="s">
        <v>184</v>
      </c>
      <c r="J2981" t="s">
        <v>30</v>
      </c>
      <c r="K2981" t="s">
        <v>185</v>
      </c>
      <c r="M2981" t="s">
        <v>32</v>
      </c>
      <c r="N2981" t="str">
        <f>"10/18/2002 12:00:00 AM"</f>
        <v>10/18/2002 12:00:00 AM</v>
      </c>
      <c r="O2981" t="s">
        <v>9090</v>
      </c>
    </row>
    <row r="2982" spans="1:20" x14ac:dyDescent="0.25">
      <c r="A2982" t="str">
        <f>"3048029"</f>
        <v>3048029</v>
      </c>
      <c r="B2982" t="s">
        <v>9092</v>
      </c>
      <c r="C2982" t="str">
        <f>"289250"</f>
        <v>289250</v>
      </c>
      <c r="D2982" t="s">
        <v>9093</v>
      </c>
      <c r="F2982" t="s">
        <v>9094</v>
      </c>
      <c r="I2982" t="s">
        <v>184</v>
      </c>
      <c r="J2982" t="s">
        <v>30</v>
      </c>
      <c r="K2982" t="s">
        <v>185</v>
      </c>
      <c r="M2982" t="s">
        <v>32</v>
      </c>
      <c r="N2982" t="str">
        <f>"5/7/2003 12:00:00 AM"</f>
        <v>5/7/2003 12:00:00 AM</v>
      </c>
      <c r="O2982" t="s">
        <v>9093</v>
      </c>
    </row>
    <row r="2983" spans="1:20" x14ac:dyDescent="0.25">
      <c r="A2983" t="str">
        <f>"3048570"</f>
        <v>3048570</v>
      </c>
      <c r="B2983" t="s">
        <v>9095</v>
      </c>
      <c r="C2983" t="str">
        <f>"82524495"</f>
        <v>82524495</v>
      </c>
      <c r="D2983" t="s">
        <v>9096</v>
      </c>
      <c r="E2983" t="s">
        <v>9097</v>
      </c>
      <c r="F2983" t="s">
        <v>9069</v>
      </c>
      <c r="I2983" t="s">
        <v>184</v>
      </c>
      <c r="J2983" t="s">
        <v>30</v>
      </c>
      <c r="K2983" t="s">
        <v>9070</v>
      </c>
      <c r="M2983" t="s">
        <v>32</v>
      </c>
      <c r="N2983" t="str">
        <f>"2/1/2006 12:00:00 AM"</f>
        <v>2/1/2006 12:00:00 AM</v>
      </c>
      <c r="O2983" t="s">
        <v>9096</v>
      </c>
      <c r="T2983" t="s">
        <v>9097</v>
      </c>
    </row>
    <row r="2984" spans="1:20" x14ac:dyDescent="0.25">
      <c r="A2984" t="str">
        <f>"3048631"</f>
        <v>3048631</v>
      </c>
      <c r="B2984" t="s">
        <v>9098</v>
      </c>
      <c r="C2984" t="str">
        <f>"32859500"</f>
        <v>32859500</v>
      </c>
      <c r="D2984" t="s">
        <v>9099</v>
      </c>
      <c r="E2984" t="s">
        <v>9100</v>
      </c>
      <c r="F2984" t="s">
        <v>9101</v>
      </c>
      <c r="G2984" t="s">
        <v>9102</v>
      </c>
      <c r="I2984" t="s">
        <v>184</v>
      </c>
      <c r="J2984" t="s">
        <v>30</v>
      </c>
      <c r="K2984" t="s">
        <v>185</v>
      </c>
      <c r="M2984" t="s">
        <v>32</v>
      </c>
      <c r="N2984" t="str">
        <f>"9/12/2003 12:00:00 AM"</f>
        <v>9/12/2003 12:00:00 AM</v>
      </c>
      <c r="O2984" t="s">
        <v>9099</v>
      </c>
      <c r="T2984" t="s">
        <v>9100</v>
      </c>
    </row>
    <row r="2985" spans="1:20" x14ac:dyDescent="0.25">
      <c r="A2985" t="str">
        <f>"3048039"</f>
        <v>3048039</v>
      </c>
      <c r="B2985" t="s">
        <v>9103</v>
      </c>
      <c r="C2985" t="str">
        <f>"82512971"</f>
        <v>82512971</v>
      </c>
      <c r="D2985" t="s">
        <v>9104</v>
      </c>
      <c r="E2985" t="s">
        <v>9105</v>
      </c>
      <c r="F2985" t="s">
        <v>9106</v>
      </c>
      <c r="I2985" t="s">
        <v>184</v>
      </c>
      <c r="J2985" t="s">
        <v>30</v>
      </c>
      <c r="K2985" t="s">
        <v>185</v>
      </c>
      <c r="N2985" t="str">
        <f>"9/13/2001 12:00:00 AM"</f>
        <v>9/13/2001 12:00:00 AM</v>
      </c>
      <c r="O2985" t="s">
        <v>9104</v>
      </c>
      <c r="T2985" t="s">
        <v>9105</v>
      </c>
    </row>
    <row r="2986" spans="1:20" x14ac:dyDescent="0.25">
      <c r="A2986" t="str">
        <f>"3044097"</f>
        <v>3044097</v>
      </c>
      <c r="B2986" t="s">
        <v>9107</v>
      </c>
      <c r="C2986" t="str">
        <f>"82523486"</f>
        <v>82523486</v>
      </c>
      <c r="D2986" t="s">
        <v>9108</v>
      </c>
      <c r="F2986" t="s">
        <v>9109</v>
      </c>
      <c r="I2986" t="s">
        <v>184</v>
      </c>
      <c r="J2986" t="s">
        <v>30</v>
      </c>
      <c r="K2986" t="s">
        <v>9110</v>
      </c>
      <c r="M2986" t="s">
        <v>32</v>
      </c>
      <c r="N2986" t="str">
        <f>"1/11/2006 12:00:00 AM"</f>
        <v>1/11/2006 12:00:00 AM</v>
      </c>
      <c r="O2986" t="s">
        <v>9108</v>
      </c>
      <c r="T2986" t="s">
        <v>9108</v>
      </c>
    </row>
    <row r="2987" spans="1:20" x14ac:dyDescent="0.25">
      <c r="A2987" t="str">
        <f>"3048054"</f>
        <v>3048054</v>
      </c>
      <c r="B2987" t="s">
        <v>9111</v>
      </c>
      <c r="C2987" t="str">
        <f>"82529903"</f>
        <v>82529903</v>
      </c>
      <c r="D2987" t="s">
        <v>9112</v>
      </c>
      <c r="E2987" t="s">
        <v>9113</v>
      </c>
      <c r="F2987" t="s">
        <v>9114</v>
      </c>
      <c r="I2987" t="s">
        <v>184</v>
      </c>
      <c r="J2987" t="s">
        <v>30</v>
      </c>
      <c r="K2987" t="s">
        <v>185</v>
      </c>
      <c r="M2987" t="s">
        <v>32</v>
      </c>
      <c r="N2987" t="str">
        <f>"2/5/2009 12:00:00 AM"</f>
        <v>2/5/2009 12:00:00 AM</v>
      </c>
      <c r="O2987" t="s">
        <v>9112</v>
      </c>
      <c r="T2987" t="s">
        <v>9113</v>
      </c>
    </row>
    <row r="2988" spans="1:20" x14ac:dyDescent="0.25">
      <c r="A2988" t="str">
        <f>"3048645"</f>
        <v>3048645</v>
      </c>
      <c r="B2988" t="s">
        <v>9115</v>
      </c>
      <c r="C2988" t="str">
        <f>"82528339"</f>
        <v>82528339</v>
      </c>
      <c r="D2988" t="s">
        <v>9116</v>
      </c>
      <c r="E2988" t="s">
        <v>9117</v>
      </c>
      <c r="F2988" t="s">
        <v>9118</v>
      </c>
      <c r="I2988" t="s">
        <v>184</v>
      </c>
      <c r="J2988" t="s">
        <v>30</v>
      </c>
      <c r="K2988" t="s">
        <v>185</v>
      </c>
      <c r="M2988" t="s">
        <v>32</v>
      </c>
      <c r="N2988" t="str">
        <f>"7/17/2007 12:00:00 AM"</f>
        <v>7/17/2007 12:00:00 AM</v>
      </c>
      <c r="O2988" t="s">
        <v>9116</v>
      </c>
      <c r="T2988" t="s">
        <v>9117</v>
      </c>
    </row>
    <row r="2989" spans="1:20" x14ac:dyDescent="0.25">
      <c r="A2989" t="str">
        <f>"3060481"</f>
        <v>3060481</v>
      </c>
      <c r="B2989" t="s">
        <v>9119</v>
      </c>
      <c r="C2989" t="str">
        <f>"54331910"</f>
        <v>54331910</v>
      </c>
      <c r="D2989" t="s">
        <v>9120</v>
      </c>
      <c r="E2989" t="s">
        <v>9121</v>
      </c>
      <c r="F2989" t="s">
        <v>9122</v>
      </c>
      <c r="I2989" t="s">
        <v>184</v>
      </c>
      <c r="J2989" t="s">
        <v>30</v>
      </c>
      <c r="K2989" t="s">
        <v>9123</v>
      </c>
      <c r="M2989" t="s">
        <v>32</v>
      </c>
      <c r="N2989" t="str">
        <f>"1/11/2006 12:00:00 AM"</f>
        <v>1/11/2006 12:00:00 AM</v>
      </c>
      <c r="O2989" t="s">
        <v>9120</v>
      </c>
      <c r="T2989" t="s">
        <v>9121</v>
      </c>
    </row>
    <row r="2990" spans="1:20" x14ac:dyDescent="0.25">
      <c r="A2990" t="str">
        <f>"3047971"</f>
        <v>3047971</v>
      </c>
      <c r="B2990" t="s">
        <v>9124</v>
      </c>
      <c r="C2990" t="str">
        <f>"57003500"</f>
        <v>57003500</v>
      </c>
      <c r="D2990" t="s">
        <v>9125</v>
      </c>
      <c r="F2990" t="str">
        <f>"C/O REV ARNETTA BEVERLY"</f>
        <v>C/O REV ARNETTA BEVERLY</v>
      </c>
      <c r="G2990" t="s">
        <v>9126</v>
      </c>
      <c r="I2990" t="s">
        <v>2280</v>
      </c>
      <c r="J2990" t="s">
        <v>30</v>
      </c>
      <c r="K2990" t="s">
        <v>9127</v>
      </c>
      <c r="M2990" t="s">
        <v>32</v>
      </c>
      <c r="N2990" t="str">
        <f>"3/31/2004 12:00:00 AM"</f>
        <v>3/31/2004 12:00:00 AM</v>
      </c>
      <c r="O2990" t="s">
        <v>9125</v>
      </c>
    </row>
    <row r="2991" spans="1:20" x14ac:dyDescent="0.25">
      <c r="A2991" t="str">
        <f>"3048041"</f>
        <v>3048041</v>
      </c>
      <c r="B2991" t="s">
        <v>9128</v>
      </c>
      <c r="C2991" t="str">
        <f>"4893600"</f>
        <v>4893600</v>
      </c>
      <c r="D2991" t="s">
        <v>9129</v>
      </c>
      <c r="E2991" t="s">
        <v>9130</v>
      </c>
      <c r="F2991" t="s">
        <v>9131</v>
      </c>
      <c r="I2991" t="s">
        <v>184</v>
      </c>
      <c r="J2991" t="s">
        <v>30</v>
      </c>
      <c r="K2991" t="s">
        <v>9132</v>
      </c>
      <c r="M2991" t="s">
        <v>32</v>
      </c>
      <c r="N2991" t="str">
        <f>"2/1/2008 12:00:00 AM"</f>
        <v>2/1/2008 12:00:00 AM</v>
      </c>
      <c r="O2991" t="s">
        <v>9129</v>
      </c>
      <c r="T2991" t="s">
        <v>9130</v>
      </c>
    </row>
    <row r="2992" spans="1:20" x14ac:dyDescent="0.25">
      <c r="A2992" t="str">
        <f>"3060530"</f>
        <v>3060530</v>
      </c>
      <c r="B2992" t="s">
        <v>9133</v>
      </c>
      <c r="C2992" t="str">
        <f>"82515516"</f>
        <v>82515516</v>
      </c>
      <c r="D2992" t="s">
        <v>9134</v>
      </c>
      <c r="E2992" t="s">
        <v>9135</v>
      </c>
      <c r="F2992" t="s">
        <v>9136</v>
      </c>
      <c r="I2992" t="s">
        <v>184</v>
      </c>
      <c r="J2992" t="s">
        <v>30</v>
      </c>
      <c r="K2992" t="s">
        <v>9123</v>
      </c>
      <c r="M2992" t="s">
        <v>32</v>
      </c>
      <c r="N2992" t="str">
        <f>"1/17/2006 12:00:00 AM"</f>
        <v>1/17/2006 12:00:00 AM</v>
      </c>
      <c r="O2992" t="s">
        <v>9134</v>
      </c>
      <c r="T2992" t="s">
        <v>9135</v>
      </c>
    </row>
    <row r="2993" spans="1:20" x14ac:dyDescent="0.25">
      <c r="A2993" t="str">
        <f>"3060547"</f>
        <v>3060547</v>
      </c>
      <c r="B2993" t="s">
        <v>9137</v>
      </c>
      <c r="C2993" t="str">
        <f>"78812150"</f>
        <v>78812150</v>
      </c>
      <c r="D2993" t="s">
        <v>9138</v>
      </c>
      <c r="E2993" t="s">
        <v>9139</v>
      </c>
      <c r="F2993" t="s">
        <v>9140</v>
      </c>
      <c r="I2993" t="s">
        <v>184</v>
      </c>
      <c r="J2993" t="s">
        <v>30</v>
      </c>
      <c r="K2993" t="s">
        <v>9141</v>
      </c>
      <c r="M2993" t="s">
        <v>32</v>
      </c>
      <c r="N2993" t="str">
        <f>"2/3/2006 12:00:00 AM"</f>
        <v>2/3/2006 12:00:00 AM</v>
      </c>
      <c r="O2993" t="s">
        <v>9138</v>
      </c>
      <c r="T2993" t="s">
        <v>9139</v>
      </c>
    </row>
    <row r="2994" spans="1:20" x14ac:dyDescent="0.25">
      <c r="A2994" t="str">
        <f>"3060478"</f>
        <v>3060478</v>
      </c>
      <c r="B2994" t="s">
        <v>9142</v>
      </c>
      <c r="C2994" t="str">
        <f>"82521185"</f>
        <v>82521185</v>
      </c>
      <c r="D2994" t="s">
        <v>9143</v>
      </c>
      <c r="E2994" t="s">
        <v>9144</v>
      </c>
      <c r="F2994" t="s">
        <v>9145</v>
      </c>
      <c r="I2994" t="s">
        <v>184</v>
      </c>
      <c r="J2994" t="s">
        <v>30</v>
      </c>
      <c r="K2994" t="s">
        <v>185</v>
      </c>
      <c r="N2994" t="str">
        <f>"2/6/2004 12:00:00 AM"</f>
        <v>2/6/2004 12:00:00 AM</v>
      </c>
      <c r="O2994" t="s">
        <v>9143</v>
      </c>
      <c r="T2994" t="s">
        <v>9144</v>
      </c>
    </row>
    <row r="2995" spans="1:20" x14ac:dyDescent="0.25">
      <c r="A2995" t="str">
        <f>"3049243"</f>
        <v>3049243</v>
      </c>
      <c r="B2995" t="s">
        <v>9146</v>
      </c>
      <c r="C2995" t="str">
        <f>"82527889"</f>
        <v>82527889</v>
      </c>
      <c r="D2995" t="s">
        <v>9147</v>
      </c>
      <c r="E2995" t="s">
        <v>9148</v>
      </c>
      <c r="F2995" t="s">
        <v>9149</v>
      </c>
      <c r="I2995" t="s">
        <v>184</v>
      </c>
      <c r="J2995" t="s">
        <v>30</v>
      </c>
      <c r="K2995" t="s">
        <v>185</v>
      </c>
      <c r="M2995" t="s">
        <v>32</v>
      </c>
      <c r="N2995" t="str">
        <f>"9/8/2010 12:00:00 AM"</f>
        <v>9/8/2010 12:00:00 AM</v>
      </c>
      <c r="O2995" t="s">
        <v>9147</v>
      </c>
      <c r="T2995" t="s">
        <v>9148</v>
      </c>
    </row>
    <row r="2996" spans="1:20" x14ac:dyDescent="0.25">
      <c r="A2996" t="str">
        <f>"3065134"</f>
        <v>3065134</v>
      </c>
      <c r="B2996" t="s">
        <v>9150</v>
      </c>
      <c r="C2996" t="str">
        <f>"30246690"</f>
        <v>30246690</v>
      </c>
      <c r="D2996" t="s">
        <v>9151</v>
      </c>
      <c r="E2996" t="s">
        <v>9152</v>
      </c>
      <c r="F2996" t="s">
        <v>9153</v>
      </c>
      <c r="I2996" t="s">
        <v>184</v>
      </c>
      <c r="J2996" t="s">
        <v>30</v>
      </c>
      <c r="K2996" t="s">
        <v>185</v>
      </c>
      <c r="M2996" t="s">
        <v>32</v>
      </c>
      <c r="N2996" t="str">
        <f>"10/13/2003 12:00:00 AM"</f>
        <v>10/13/2003 12:00:00 AM</v>
      </c>
      <c r="O2996" t="s">
        <v>9151</v>
      </c>
      <c r="T2996" t="s">
        <v>9152</v>
      </c>
    </row>
    <row r="2997" spans="1:20" x14ac:dyDescent="0.25">
      <c r="A2997" t="str">
        <f>"3060489"</f>
        <v>3060489</v>
      </c>
      <c r="B2997" t="s">
        <v>9154</v>
      </c>
      <c r="C2997" t="str">
        <f>"82516577"</f>
        <v>82516577</v>
      </c>
      <c r="D2997" t="s">
        <v>9155</v>
      </c>
      <c r="E2997" t="s">
        <v>9156</v>
      </c>
      <c r="F2997" t="s">
        <v>9157</v>
      </c>
      <c r="I2997" t="s">
        <v>184</v>
      </c>
      <c r="J2997" t="s">
        <v>30</v>
      </c>
      <c r="K2997" t="s">
        <v>9158</v>
      </c>
      <c r="M2997" t="s">
        <v>32</v>
      </c>
      <c r="N2997" t="str">
        <f>"1/6/2006 12:00:00 AM"</f>
        <v>1/6/2006 12:00:00 AM</v>
      </c>
      <c r="O2997" t="s">
        <v>9155</v>
      </c>
      <c r="T2997" t="s">
        <v>9156</v>
      </c>
    </row>
    <row r="2998" spans="1:20" x14ac:dyDescent="0.25">
      <c r="A2998" t="str">
        <f>"3060515"</f>
        <v>3060515</v>
      </c>
      <c r="B2998" t="s">
        <v>9159</v>
      </c>
      <c r="C2998" t="str">
        <f>"82517274"</f>
        <v>82517274</v>
      </c>
      <c r="D2998" t="s">
        <v>9160</v>
      </c>
      <c r="E2998" t="s">
        <v>9161</v>
      </c>
      <c r="F2998" t="s">
        <v>9162</v>
      </c>
      <c r="I2998" t="s">
        <v>184</v>
      </c>
      <c r="J2998" t="s">
        <v>30</v>
      </c>
      <c r="K2998" t="s">
        <v>185</v>
      </c>
      <c r="M2998" t="s">
        <v>32</v>
      </c>
      <c r="N2998" t="str">
        <f>"7/26/2002 12:00:00 AM"</f>
        <v>7/26/2002 12:00:00 AM</v>
      </c>
      <c r="O2998" t="s">
        <v>9160</v>
      </c>
      <c r="T2998" t="s">
        <v>9161</v>
      </c>
    </row>
    <row r="2999" spans="1:20" x14ac:dyDescent="0.25">
      <c r="A2999" t="str">
        <f>"3060480"</f>
        <v>3060480</v>
      </c>
      <c r="B2999" t="s">
        <v>9163</v>
      </c>
      <c r="C2999" t="str">
        <f>"82519680"</f>
        <v>82519680</v>
      </c>
      <c r="D2999" t="s">
        <v>9164</v>
      </c>
      <c r="E2999" t="s">
        <v>9165</v>
      </c>
      <c r="F2999" t="s">
        <v>9166</v>
      </c>
      <c r="I2999" t="s">
        <v>184</v>
      </c>
      <c r="J2999" t="s">
        <v>30</v>
      </c>
      <c r="K2999" t="s">
        <v>185</v>
      </c>
      <c r="M2999" t="s">
        <v>32</v>
      </c>
      <c r="N2999" t="str">
        <f>"7/19/2005 12:00:00 AM"</f>
        <v>7/19/2005 12:00:00 AM</v>
      </c>
      <c r="O2999" t="s">
        <v>9164</v>
      </c>
      <c r="T2999" t="s">
        <v>9165</v>
      </c>
    </row>
    <row r="3000" spans="1:20" x14ac:dyDescent="0.25">
      <c r="A3000" t="str">
        <f>"3060540"</f>
        <v>3060540</v>
      </c>
      <c r="B3000" t="s">
        <v>9167</v>
      </c>
      <c r="C3000" t="str">
        <f>"82520595"</f>
        <v>82520595</v>
      </c>
      <c r="D3000" t="s">
        <v>9168</v>
      </c>
      <c r="E3000" t="s">
        <v>9169</v>
      </c>
      <c r="F3000" t="s">
        <v>9170</v>
      </c>
      <c r="I3000" t="s">
        <v>184</v>
      </c>
      <c r="J3000" t="s">
        <v>30</v>
      </c>
      <c r="K3000" t="s">
        <v>9171</v>
      </c>
      <c r="M3000" t="s">
        <v>32</v>
      </c>
      <c r="N3000" t="str">
        <f>"1/20/2006 12:00:00 AM"</f>
        <v>1/20/2006 12:00:00 AM</v>
      </c>
      <c r="O3000" t="s">
        <v>9168</v>
      </c>
      <c r="T3000" t="s">
        <v>9169</v>
      </c>
    </row>
    <row r="3001" spans="1:20" x14ac:dyDescent="0.25">
      <c r="A3001" t="str">
        <f>"3060514"</f>
        <v>3060514</v>
      </c>
      <c r="B3001" t="s">
        <v>9172</v>
      </c>
      <c r="C3001" t="str">
        <f>"82518180"</f>
        <v>82518180</v>
      </c>
      <c r="D3001" t="s">
        <v>9173</v>
      </c>
      <c r="E3001" t="s">
        <v>9174</v>
      </c>
      <c r="F3001" t="s">
        <v>9175</v>
      </c>
      <c r="I3001" t="s">
        <v>184</v>
      </c>
      <c r="J3001" t="s">
        <v>30</v>
      </c>
      <c r="K3001" t="s">
        <v>9171</v>
      </c>
      <c r="N3001" t="str">
        <f>"1/7/2008 12:00:00 AM"</f>
        <v>1/7/2008 12:00:00 AM</v>
      </c>
      <c r="O3001" t="s">
        <v>9173</v>
      </c>
      <c r="T3001" t="s">
        <v>9174</v>
      </c>
    </row>
    <row r="3002" spans="1:20" x14ac:dyDescent="0.25">
      <c r="A3002" t="str">
        <f>"3060474"</f>
        <v>3060474</v>
      </c>
      <c r="B3002" t="s">
        <v>9176</v>
      </c>
      <c r="C3002" t="str">
        <f>"82521548"</f>
        <v>82521548</v>
      </c>
      <c r="D3002" t="s">
        <v>9177</v>
      </c>
      <c r="E3002" t="s">
        <v>9178</v>
      </c>
      <c r="F3002" t="s">
        <v>9179</v>
      </c>
      <c r="I3002" t="s">
        <v>184</v>
      </c>
      <c r="J3002" t="s">
        <v>30</v>
      </c>
      <c r="K3002" t="s">
        <v>185</v>
      </c>
      <c r="M3002" t="s">
        <v>32</v>
      </c>
      <c r="N3002" t="str">
        <f>"10/8/2003 12:00:00 AM"</f>
        <v>10/8/2003 12:00:00 AM</v>
      </c>
      <c r="O3002" t="s">
        <v>9177</v>
      </c>
      <c r="T3002" t="s">
        <v>9178</v>
      </c>
    </row>
    <row r="3003" spans="1:20" x14ac:dyDescent="0.25">
      <c r="A3003" t="str">
        <f>"3060492"</f>
        <v>3060492</v>
      </c>
      <c r="B3003" t="s">
        <v>9180</v>
      </c>
      <c r="C3003" t="str">
        <f>"82517661"</f>
        <v>82517661</v>
      </c>
      <c r="D3003" t="s">
        <v>9181</v>
      </c>
      <c r="E3003" t="s">
        <v>9182</v>
      </c>
      <c r="F3003" t="s">
        <v>9183</v>
      </c>
      <c r="I3003" t="s">
        <v>184</v>
      </c>
      <c r="J3003" t="s">
        <v>30</v>
      </c>
      <c r="K3003" t="s">
        <v>9171</v>
      </c>
      <c r="N3003" t="str">
        <f>"7/25/2002 12:00:00 AM"</f>
        <v>7/25/2002 12:00:00 AM</v>
      </c>
      <c r="O3003" t="s">
        <v>9181</v>
      </c>
      <c r="T3003" t="s">
        <v>9182</v>
      </c>
    </row>
    <row r="3004" spans="1:20" x14ac:dyDescent="0.25">
      <c r="A3004" t="str">
        <f>"3060488"</f>
        <v>3060488</v>
      </c>
      <c r="B3004" t="s">
        <v>9184</v>
      </c>
      <c r="C3004" t="str">
        <f>"82516261"</f>
        <v>82516261</v>
      </c>
      <c r="D3004" t="s">
        <v>9185</v>
      </c>
      <c r="E3004" t="s">
        <v>9186</v>
      </c>
      <c r="F3004" t="s">
        <v>9187</v>
      </c>
      <c r="I3004" t="s">
        <v>184</v>
      </c>
      <c r="J3004" t="s">
        <v>30</v>
      </c>
      <c r="K3004" t="s">
        <v>9158</v>
      </c>
      <c r="M3004" t="s">
        <v>32</v>
      </c>
      <c r="N3004" t="str">
        <f>"2/10/2010 12:00:00 AM"</f>
        <v>2/10/2010 12:00:00 AM</v>
      </c>
      <c r="O3004" t="s">
        <v>9185</v>
      </c>
      <c r="T3004" t="s">
        <v>9186</v>
      </c>
    </row>
    <row r="3005" spans="1:20" x14ac:dyDescent="0.25">
      <c r="A3005" t="str">
        <f>"3060479"</f>
        <v>3060479</v>
      </c>
      <c r="B3005" t="s">
        <v>9188</v>
      </c>
      <c r="C3005" t="str">
        <f>"82528167"</f>
        <v>82528167</v>
      </c>
      <c r="D3005" t="s">
        <v>9189</v>
      </c>
      <c r="E3005" t="s">
        <v>9190</v>
      </c>
      <c r="F3005" t="s">
        <v>9191</v>
      </c>
      <c r="I3005" t="s">
        <v>184</v>
      </c>
      <c r="J3005" t="s">
        <v>30</v>
      </c>
      <c r="K3005" t="s">
        <v>185</v>
      </c>
      <c r="M3005" t="s">
        <v>32</v>
      </c>
      <c r="N3005" t="str">
        <f>"6/14/2007 12:00:00 AM"</f>
        <v>6/14/2007 12:00:00 AM</v>
      </c>
      <c r="O3005" t="s">
        <v>9189</v>
      </c>
      <c r="T3005" t="s">
        <v>9190</v>
      </c>
    </row>
    <row r="3006" spans="1:20" x14ac:dyDescent="0.25">
      <c r="A3006" t="str">
        <f>"3060579"</f>
        <v>3060579</v>
      </c>
      <c r="B3006" t="s">
        <v>9192</v>
      </c>
      <c r="C3006" t="str">
        <f>"82523986"</f>
        <v>82523986</v>
      </c>
      <c r="D3006" t="s">
        <v>9193</v>
      </c>
      <c r="E3006" t="s">
        <v>9194</v>
      </c>
      <c r="F3006" t="s">
        <v>9195</v>
      </c>
      <c r="I3006" t="s">
        <v>184</v>
      </c>
      <c r="J3006" t="s">
        <v>30</v>
      </c>
      <c r="K3006" t="s">
        <v>185</v>
      </c>
      <c r="M3006" t="s">
        <v>32</v>
      </c>
      <c r="N3006" t="str">
        <f>"2/23/2005 12:00:00 AM"</f>
        <v>2/23/2005 12:00:00 AM</v>
      </c>
      <c r="O3006" t="s">
        <v>9193</v>
      </c>
      <c r="T3006" t="s">
        <v>9194</v>
      </c>
    </row>
    <row r="3007" spans="1:20" x14ac:dyDescent="0.25">
      <c r="A3007" t="str">
        <f>"3060509"</f>
        <v>3060509</v>
      </c>
      <c r="B3007" t="s">
        <v>9196</v>
      </c>
      <c r="C3007" t="str">
        <f>"82513207"</f>
        <v>82513207</v>
      </c>
      <c r="D3007" t="s">
        <v>9197</v>
      </c>
      <c r="E3007" t="s">
        <v>9198</v>
      </c>
      <c r="F3007" t="s">
        <v>9199</v>
      </c>
      <c r="I3007" t="s">
        <v>184</v>
      </c>
      <c r="J3007" t="s">
        <v>30</v>
      </c>
      <c r="K3007" t="s">
        <v>9200</v>
      </c>
      <c r="N3007" t="str">
        <f>"1/9/2006 12:00:00 AM"</f>
        <v>1/9/2006 12:00:00 AM</v>
      </c>
      <c r="O3007" t="s">
        <v>9197</v>
      </c>
      <c r="T3007" t="s">
        <v>9198</v>
      </c>
    </row>
    <row r="3008" spans="1:20" x14ac:dyDescent="0.25">
      <c r="A3008" t="str">
        <f>"3044140"</f>
        <v>3044140</v>
      </c>
      <c r="B3008" t="s">
        <v>9201</v>
      </c>
      <c r="C3008" t="str">
        <f>"77304000"</f>
        <v>77304000</v>
      </c>
      <c r="D3008" t="s">
        <v>9202</v>
      </c>
      <c r="E3008" t="s">
        <v>9203</v>
      </c>
      <c r="F3008" t="s">
        <v>9204</v>
      </c>
      <c r="I3008" t="s">
        <v>184</v>
      </c>
      <c r="J3008" t="s">
        <v>30</v>
      </c>
      <c r="K3008" t="s">
        <v>9205</v>
      </c>
      <c r="M3008" t="s">
        <v>32</v>
      </c>
      <c r="N3008" t="str">
        <f>"1/24/2006 12:00:00 AM"</f>
        <v>1/24/2006 12:00:00 AM</v>
      </c>
      <c r="O3008" t="s">
        <v>9202</v>
      </c>
      <c r="T3008" t="s">
        <v>9203</v>
      </c>
    </row>
    <row r="3009" spans="1:20" x14ac:dyDescent="0.25">
      <c r="A3009" t="str">
        <f>"3060471"</f>
        <v>3060471</v>
      </c>
      <c r="B3009" t="s">
        <v>9206</v>
      </c>
      <c r="C3009" t="str">
        <f>"82530266"</f>
        <v>82530266</v>
      </c>
      <c r="D3009" t="s">
        <v>9207</v>
      </c>
      <c r="E3009" t="s">
        <v>9208</v>
      </c>
      <c r="F3009" t="s">
        <v>9209</v>
      </c>
      <c r="I3009" t="s">
        <v>184</v>
      </c>
      <c r="J3009" t="s">
        <v>30</v>
      </c>
      <c r="K3009" t="s">
        <v>185</v>
      </c>
      <c r="M3009" t="s">
        <v>32</v>
      </c>
      <c r="N3009" t="str">
        <f>"1/12/2009 12:00:00 AM"</f>
        <v>1/12/2009 12:00:00 AM</v>
      </c>
      <c r="O3009" t="s">
        <v>9207</v>
      </c>
      <c r="T3009" t="s">
        <v>9208</v>
      </c>
    </row>
    <row r="3010" spans="1:20" x14ac:dyDescent="0.25">
      <c r="A3010" t="str">
        <f>"3060464"</f>
        <v>3060464</v>
      </c>
      <c r="B3010" t="s">
        <v>9210</v>
      </c>
      <c r="C3010" t="str">
        <f>"82529642"</f>
        <v>82529642</v>
      </c>
      <c r="D3010" t="s">
        <v>9211</v>
      </c>
      <c r="E3010" t="s">
        <v>9212</v>
      </c>
      <c r="F3010" t="s">
        <v>9213</v>
      </c>
      <c r="I3010" t="s">
        <v>184</v>
      </c>
      <c r="J3010" t="s">
        <v>30</v>
      </c>
      <c r="K3010" t="s">
        <v>185</v>
      </c>
      <c r="M3010" t="s">
        <v>32</v>
      </c>
      <c r="N3010" t="str">
        <f>"5/23/2008 12:00:00 AM"</f>
        <v>5/23/2008 12:00:00 AM</v>
      </c>
      <c r="O3010" t="s">
        <v>9211</v>
      </c>
      <c r="T3010" t="s">
        <v>9212</v>
      </c>
    </row>
    <row r="3011" spans="1:20" x14ac:dyDescent="0.25">
      <c r="A3011" t="str">
        <f>"3060476"</f>
        <v>3060476</v>
      </c>
      <c r="B3011" t="s">
        <v>9214</v>
      </c>
      <c r="C3011" t="str">
        <f>"82522250"</f>
        <v>82522250</v>
      </c>
      <c r="D3011" t="s">
        <v>9215</v>
      </c>
      <c r="E3011" t="s">
        <v>9216</v>
      </c>
      <c r="F3011" t="s">
        <v>9217</v>
      </c>
      <c r="I3011" t="s">
        <v>184</v>
      </c>
      <c r="J3011" t="s">
        <v>30</v>
      </c>
      <c r="K3011" t="s">
        <v>9218</v>
      </c>
      <c r="N3011" t="str">
        <f>"2/21/2005 12:00:00 AM"</f>
        <v>2/21/2005 12:00:00 AM</v>
      </c>
      <c r="O3011" t="s">
        <v>9215</v>
      </c>
      <c r="T3011" t="s">
        <v>9216</v>
      </c>
    </row>
    <row r="3012" spans="1:20" x14ac:dyDescent="0.25">
      <c r="A3012" t="str">
        <f>"3060461"</f>
        <v>3060461</v>
      </c>
      <c r="B3012" t="s">
        <v>9219</v>
      </c>
      <c r="C3012" t="str">
        <f>"82526645"</f>
        <v>82526645</v>
      </c>
      <c r="D3012" t="s">
        <v>9220</v>
      </c>
      <c r="E3012" t="s">
        <v>9221</v>
      </c>
      <c r="F3012" t="s">
        <v>9222</v>
      </c>
      <c r="I3012" t="s">
        <v>184</v>
      </c>
      <c r="J3012" t="s">
        <v>30</v>
      </c>
      <c r="K3012" t="s">
        <v>185</v>
      </c>
      <c r="M3012" t="s">
        <v>32</v>
      </c>
      <c r="N3012" t="str">
        <f>"8/24/2006 12:00:00 AM"</f>
        <v>8/24/2006 12:00:00 AM</v>
      </c>
      <c r="O3012" t="s">
        <v>9220</v>
      </c>
      <c r="T3012" t="s">
        <v>9221</v>
      </c>
    </row>
    <row r="3013" spans="1:20" x14ac:dyDescent="0.25">
      <c r="A3013" t="str">
        <f>"3044158"</f>
        <v>3044158</v>
      </c>
      <c r="B3013" t="s">
        <v>9223</v>
      </c>
      <c r="C3013" t="str">
        <f>"1184000"</f>
        <v>1184000</v>
      </c>
      <c r="D3013" t="s">
        <v>9224</v>
      </c>
      <c r="E3013" t="s">
        <v>9225</v>
      </c>
      <c r="F3013" t="s">
        <v>9226</v>
      </c>
      <c r="I3013" t="s">
        <v>184</v>
      </c>
      <c r="J3013" t="s">
        <v>30</v>
      </c>
      <c r="K3013" t="s">
        <v>185</v>
      </c>
      <c r="M3013" t="s">
        <v>32</v>
      </c>
      <c r="N3013" t="str">
        <f>"5/9/2003 12:00:00 AM"</f>
        <v>5/9/2003 12:00:00 AM</v>
      </c>
      <c r="O3013" t="s">
        <v>9224</v>
      </c>
      <c r="T3013" t="s">
        <v>9225</v>
      </c>
    </row>
    <row r="3014" spans="1:20" x14ac:dyDescent="0.25">
      <c r="A3014" t="str">
        <f>"3060462"</f>
        <v>3060462</v>
      </c>
      <c r="B3014" t="s">
        <v>9227</v>
      </c>
      <c r="C3014" t="str">
        <f>"82528516"</f>
        <v>82528516</v>
      </c>
      <c r="D3014" t="s">
        <v>9228</v>
      </c>
      <c r="E3014" t="s">
        <v>9229</v>
      </c>
      <c r="F3014" t="s">
        <v>9230</v>
      </c>
      <c r="I3014" t="s">
        <v>184</v>
      </c>
      <c r="J3014" t="s">
        <v>30</v>
      </c>
      <c r="K3014" t="s">
        <v>185</v>
      </c>
      <c r="M3014" t="s">
        <v>32</v>
      </c>
      <c r="N3014" t="str">
        <f>"10/6/2009 12:00:00 AM"</f>
        <v>10/6/2009 12:00:00 AM</v>
      </c>
      <c r="O3014" t="s">
        <v>9228</v>
      </c>
      <c r="T3014" t="s">
        <v>9229</v>
      </c>
    </row>
    <row r="3015" spans="1:20" x14ac:dyDescent="0.25">
      <c r="A3015" t="str">
        <f>"3060520"</f>
        <v>3060520</v>
      </c>
      <c r="B3015" t="s">
        <v>9231</v>
      </c>
      <c r="C3015" t="str">
        <f>"82527809"</f>
        <v>82527809</v>
      </c>
      <c r="D3015" t="s">
        <v>9232</v>
      </c>
      <c r="E3015" t="s">
        <v>9233</v>
      </c>
      <c r="F3015" t="s">
        <v>9234</v>
      </c>
      <c r="I3015" t="s">
        <v>184</v>
      </c>
      <c r="J3015" t="s">
        <v>30</v>
      </c>
      <c r="K3015" t="s">
        <v>185</v>
      </c>
      <c r="M3015" t="s">
        <v>32</v>
      </c>
      <c r="N3015" t="str">
        <f>"1/17/2008 12:00:00 AM"</f>
        <v>1/17/2008 12:00:00 AM</v>
      </c>
      <c r="O3015" t="s">
        <v>9232</v>
      </c>
      <c r="T3015" t="s">
        <v>9233</v>
      </c>
    </row>
    <row r="3016" spans="1:20" x14ac:dyDescent="0.25">
      <c r="A3016" t="str">
        <f>"3060516"</f>
        <v>3060516</v>
      </c>
      <c r="B3016" t="s">
        <v>9235</v>
      </c>
      <c r="C3016" t="str">
        <f>"82528666"</f>
        <v>82528666</v>
      </c>
      <c r="D3016" t="s">
        <v>9236</v>
      </c>
      <c r="F3016" t="s">
        <v>9237</v>
      </c>
      <c r="I3016" t="s">
        <v>184</v>
      </c>
      <c r="J3016" t="s">
        <v>30</v>
      </c>
      <c r="K3016" t="s">
        <v>185</v>
      </c>
      <c r="M3016" t="s">
        <v>32</v>
      </c>
      <c r="N3016" t="str">
        <f>"9/27/2007 12:00:00 AM"</f>
        <v>9/27/2007 12:00:00 AM</v>
      </c>
      <c r="O3016" t="s">
        <v>9236</v>
      </c>
    </row>
    <row r="3017" spans="1:20" x14ac:dyDescent="0.25">
      <c r="A3017" t="str">
        <f>"3047982"</f>
        <v>3047982</v>
      </c>
      <c r="B3017" t="s">
        <v>9238</v>
      </c>
      <c r="C3017" t="str">
        <f>"39770000"</f>
        <v>39770000</v>
      </c>
      <c r="D3017" t="s">
        <v>9239</v>
      </c>
      <c r="E3017" t="s">
        <v>9240</v>
      </c>
      <c r="F3017" t="s">
        <v>9241</v>
      </c>
      <c r="I3017" t="s">
        <v>184</v>
      </c>
      <c r="J3017" t="s">
        <v>30</v>
      </c>
      <c r="K3017" t="s">
        <v>185</v>
      </c>
      <c r="M3017" t="s">
        <v>32</v>
      </c>
      <c r="N3017" t="str">
        <f>"1/23/2004 12:00:00 AM"</f>
        <v>1/23/2004 12:00:00 AM</v>
      </c>
      <c r="O3017" t="s">
        <v>9239</v>
      </c>
      <c r="T3017" t="s">
        <v>9240</v>
      </c>
    </row>
    <row r="3018" spans="1:20" x14ac:dyDescent="0.25">
      <c r="A3018" t="str">
        <f>"3047623"</f>
        <v>3047623</v>
      </c>
      <c r="B3018" t="s">
        <v>9242</v>
      </c>
      <c r="C3018" t="str">
        <f>"55586000"</f>
        <v>55586000</v>
      </c>
      <c r="D3018" t="s">
        <v>9243</v>
      </c>
      <c r="E3018" t="s">
        <v>9244</v>
      </c>
      <c r="F3018" t="s">
        <v>9245</v>
      </c>
      <c r="I3018" t="s">
        <v>1149</v>
      </c>
      <c r="J3018" t="s">
        <v>30</v>
      </c>
      <c r="K3018" t="s">
        <v>1150</v>
      </c>
      <c r="M3018" t="s">
        <v>32</v>
      </c>
      <c r="N3018" t="str">
        <f>"3/26/2004 12:00:00 AM"</f>
        <v>3/26/2004 12:00:00 AM</v>
      </c>
      <c r="O3018" t="s">
        <v>9243</v>
      </c>
      <c r="T3018" t="s">
        <v>9244</v>
      </c>
    </row>
    <row r="3019" spans="1:20" x14ac:dyDescent="0.25">
      <c r="A3019" t="str">
        <f>"3045357"</f>
        <v>3045357</v>
      </c>
      <c r="B3019" t="s">
        <v>9246</v>
      </c>
      <c r="C3019" t="str">
        <f>"82521390"</f>
        <v>82521390</v>
      </c>
      <c r="D3019" t="s">
        <v>9247</v>
      </c>
      <c r="F3019" t="s">
        <v>9248</v>
      </c>
      <c r="I3019" t="s">
        <v>29</v>
      </c>
      <c r="J3019" t="s">
        <v>30</v>
      </c>
      <c r="K3019" t="s">
        <v>31</v>
      </c>
      <c r="M3019" t="s">
        <v>32</v>
      </c>
      <c r="N3019" t="str">
        <f>"1/22/2004 12:00:00 AM"</f>
        <v>1/22/2004 12:00:00 AM</v>
      </c>
      <c r="O3019" t="s">
        <v>9247</v>
      </c>
    </row>
    <row r="3020" spans="1:20" x14ac:dyDescent="0.25">
      <c r="A3020" t="str">
        <f>"3047745"</f>
        <v>3047745</v>
      </c>
      <c r="B3020" t="s">
        <v>9249</v>
      </c>
      <c r="C3020" t="str">
        <f>"47020000"</f>
        <v>47020000</v>
      </c>
      <c r="D3020" t="s">
        <v>9250</v>
      </c>
      <c r="F3020" t="s">
        <v>8882</v>
      </c>
      <c r="I3020" t="s">
        <v>184</v>
      </c>
      <c r="J3020" t="s">
        <v>30</v>
      </c>
      <c r="K3020" t="s">
        <v>8883</v>
      </c>
      <c r="M3020" t="s">
        <v>32</v>
      </c>
      <c r="N3020" t="str">
        <f>"1/26/2006 12:00:00 AM"</f>
        <v>1/26/2006 12:00:00 AM</v>
      </c>
      <c r="O3020" t="s">
        <v>9250</v>
      </c>
      <c r="T3020" t="s">
        <v>9250</v>
      </c>
    </row>
    <row r="3021" spans="1:20" x14ac:dyDescent="0.25">
      <c r="A3021" t="str">
        <f>"3047800"</f>
        <v>3047800</v>
      </c>
      <c r="B3021" t="s">
        <v>9251</v>
      </c>
      <c r="C3021" t="str">
        <f>"82526554"</f>
        <v>82526554</v>
      </c>
      <c r="D3021" t="s">
        <v>9252</v>
      </c>
      <c r="E3021" t="s">
        <v>9253</v>
      </c>
      <c r="F3021" t="s">
        <v>8882</v>
      </c>
      <c r="I3021" t="s">
        <v>184</v>
      </c>
      <c r="J3021" t="s">
        <v>30</v>
      </c>
      <c r="K3021" t="s">
        <v>185</v>
      </c>
      <c r="M3021" t="s">
        <v>32</v>
      </c>
      <c r="N3021" t="str">
        <f>"8/7/2006 12:00:00 AM"</f>
        <v>8/7/2006 12:00:00 AM</v>
      </c>
      <c r="O3021" t="s">
        <v>9252</v>
      </c>
      <c r="T3021" t="s">
        <v>9253</v>
      </c>
    </row>
    <row r="3022" spans="1:20" x14ac:dyDescent="0.25">
      <c r="A3022" t="str">
        <f>"3078059"</f>
        <v>3078059</v>
      </c>
      <c r="B3022" t="s">
        <v>9254</v>
      </c>
      <c r="C3022" t="str">
        <f>"12232000"</f>
        <v>12232000</v>
      </c>
      <c r="D3022" t="s">
        <v>9255</v>
      </c>
      <c r="F3022" t="s">
        <v>9256</v>
      </c>
      <c r="I3022" t="s">
        <v>29</v>
      </c>
      <c r="J3022" t="s">
        <v>30</v>
      </c>
      <c r="K3022" t="s">
        <v>31</v>
      </c>
      <c r="M3022" t="s">
        <v>32</v>
      </c>
      <c r="N3022" t="str">
        <f>"7/26/2002 12:00:00 AM"</f>
        <v>7/26/2002 12:00:00 AM</v>
      </c>
      <c r="O3022" t="s">
        <v>9255</v>
      </c>
    </row>
    <row r="3023" spans="1:20" x14ac:dyDescent="0.25">
      <c r="A3023" t="str">
        <f>"3045364"</f>
        <v>3045364</v>
      </c>
      <c r="B3023" t="s">
        <v>9257</v>
      </c>
      <c r="C3023" t="str">
        <f>"1764000"</f>
        <v>1764000</v>
      </c>
      <c r="D3023" t="s">
        <v>9258</v>
      </c>
      <c r="E3023" t="s">
        <v>9259</v>
      </c>
      <c r="F3023" t="s">
        <v>9260</v>
      </c>
      <c r="I3023" t="s">
        <v>29</v>
      </c>
      <c r="J3023" t="s">
        <v>30</v>
      </c>
      <c r="K3023" t="s">
        <v>31</v>
      </c>
      <c r="M3023" t="s">
        <v>32</v>
      </c>
      <c r="N3023" t="str">
        <f>"3/1/2002 12:00:00 AM"</f>
        <v>3/1/2002 12:00:00 AM</v>
      </c>
      <c r="O3023" t="s">
        <v>9258</v>
      </c>
      <c r="T3023" t="s">
        <v>9259</v>
      </c>
    </row>
    <row r="3024" spans="1:20" x14ac:dyDescent="0.25">
      <c r="A3024" t="str">
        <f>"3045532"</f>
        <v>3045532</v>
      </c>
      <c r="B3024" t="s">
        <v>9261</v>
      </c>
      <c r="C3024" t="str">
        <f>"82528325"</f>
        <v>82528325</v>
      </c>
      <c r="D3024" t="s">
        <v>9262</v>
      </c>
      <c r="E3024" t="s">
        <v>9263</v>
      </c>
      <c r="F3024" t="s">
        <v>9264</v>
      </c>
      <c r="I3024" t="s">
        <v>29</v>
      </c>
      <c r="J3024" t="s">
        <v>30</v>
      </c>
      <c r="K3024" t="s">
        <v>31</v>
      </c>
      <c r="M3024" t="s">
        <v>32</v>
      </c>
      <c r="N3024" t="str">
        <f>"2/10/2010 12:00:00 AM"</f>
        <v>2/10/2010 12:00:00 AM</v>
      </c>
      <c r="O3024" t="s">
        <v>9262</v>
      </c>
      <c r="T3024" t="s">
        <v>9263</v>
      </c>
    </row>
    <row r="3025" spans="1:20" x14ac:dyDescent="0.25">
      <c r="A3025" t="str">
        <f>"3078067"</f>
        <v>3078067</v>
      </c>
      <c r="B3025" t="s">
        <v>9265</v>
      </c>
      <c r="C3025" t="str">
        <f>"82528325"</f>
        <v>82528325</v>
      </c>
      <c r="D3025" t="s">
        <v>9262</v>
      </c>
      <c r="E3025" t="s">
        <v>9263</v>
      </c>
      <c r="F3025" t="s">
        <v>9264</v>
      </c>
      <c r="I3025" t="s">
        <v>29</v>
      </c>
      <c r="J3025" t="s">
        <v>30</v>
      </c>
      <c r="K3025" t="s">
        <v>31</v>
      </c>
      <c r="M3025" t="s">
        <v>32</v>
      </c>
      <c r="N3025" t="str">
        <f>"2/10/2010 12:00:00 AM"</f>
        <v>2/10/2010 12:00:00 AM</v>
      </c>
      <c r="O3025" t="s">
        <v>9262</v>
      </c>
      <c r="T3025" t="s">
        <v>9263</v>
      </c>
    </row>
    <row r="3026" spans="1:20" x14ac:dyDescent="0.25">
      <c r="A3026" t="str">
        <f>"3076065"</f>
        <v>3076065</v>
      </c>
      <c r="B3026" t="s">
        <v>9266</v>
      </c>
      <c r="C3026" t="str">
        <f>"82528325"</f>
        <v>82528325</v>
      </c>
      <c r="D3026" t="s">
        <v>9262</v>
      </c>
      <c r="E3026" t="s">
        <v>9263</v>
      </c>
      <c r="F3026" t="s">
        <v>9264</v>
      </c>
      <c r="I3026" t="s">
        <v>29</v>
      </c>
      <c r="J3026" t="s">
        <v>30</v>
      </c>
      <c r="K3026" t="s">
        <v>31</v>
      </c>
      <c r="M3026" t="s">
        <v>32</v>
      </c>
      <c r="N3026" t="str">
        <f>"2/10/2010 12:00:00 AM"</f>
        <v>2/10/2010 12:00:00 AM</v>
      </c>
      <c r="O3026" t="s">
        <v>9262</v>
      </c>
      <c r="T3026" t="s">
        <v>9263</v>
      </c>
    </row>
    <row r="3027" spans="1:20" x14ac:dyDescent="0.25">
      <c r="A3027" t="str">
        <f>"3058104"</f>
        <v>3058104</v>
      </c>
      <c r="B3027" t="s">
        <v>9267</v>
      </c>
      <c r="C3027" t="str">
        <f>"82526935"</f>
        <v>82526935</v>
      </c>
      <c r="D3027" t="s">
        <v>9268</v>
      </c>
      <c r="E3027" t="s">
        <v>9269</v>
      </c>
      <c r="F3027" t="s">
        <v>9270</v>
      </c>
      <c r="I3027" t="s">
        <v>184</v>
      </c>
      <c r="J3027" t="s">
        <v>30</v>
      </c>
      <c r="K3027" t="s">
        <v>9271</v>
      </c>
      <c r="M3027" t="s">
        <v>32</v>
      </c>
      <c r="N3027" t="str">
        <f>"11/27/2007 12:00:00 AM"</f>
        <v>11/27/2007 12:00:00 AM</v>
      </c>
      <c r="O3027" t="s">
        <v>9268</v>
      </c>
      <c r="T3027" t="s">
        <v>9269</v>
      </c>
    </row>
    <row r="3028" spans="1:20" x14ac:dyDescent="0.25">
      <c r="A3028" t="str">
        <f>"3061895"</f>
        <v>3061895</v>
      </c>
      <c r="B3028" t="s">
        <v>9272</v>
      </c>
      <c r="C3028" t="str">
        <f>"82526935"</f>
        <v>82526935</v>
      </c>
      <c r="D3028" t="s">
        <v>9268</v>
      </c>
      <c r="E3028" t="s">
        <v>9269</v>
      </c>
      <c r="F3028" t="s">
        <v>9270</v>
      </c>
      <c r="I3028" t="s">
        <v>184</v>
      </c>
      <c r="J3028" t="s">
        <v>30</v>
      </c>
      <c r="K3028" t="s">
        <v>9271</v>
      </c>
      <c r="M3028" t="s">
        <v>32</v>
      </c>
      <c r="N3028" t="str">
        <f>"11/27/2007 12:00:00 AM"</f>
        <v>11/27/2007 12:00:00 AM</v>
      </c>
      <c r="O3028" t="s">
        <v>9268</v>
      </c>
      <c r="T3028" t="s">
        <v>9269</v>
      </c>
    </row>
    <row r="3029" spans="1:20" x14ac:dyDescent="0.25">
      <c r="A3029" t="str">
        <f>"3048030"</f>
        <v>3048030</v>
      </c>
      <c r="B3029" t="s">
        <v>9273</v>
      </c>
      <c r="C3029" t="str">
        <f>"69404000"</f>
        <v>69404000</v>
      </c>
      <c r="D3029" t="s">
        <v>9031</v>
      </c>
      <c r="E3029" t="s">
        <v>9032</v>
      </c>
      <c r="F3029" t="s">
        <v>9033</v>
      </c>
      <c r="I3029" t="s">
        <v>184</v>
      </c>
      <c r="J3029" t="s">
        <v>30</v>
      </c>
      <c r="K3029" t="s">
        <v>9034</v>
      </c>
      <c r="M3029" t="s">
        <v>32</v>
      </c>
      <c r="N3029" t="str">
        <f>"1/23/2007 12:00:00 AM"</f>
        <v>1/23/2007 12:00:00 AM</v>
      </c>
      <c r="O3029" t="s">
        <v>9031</v>
      </c>
      <c r="T3029" t="s">
        <v>9032</v>
      </c>
    </row>
    <row r="3030" spans="1:20" x14ac:dyDescent="0.25">
      <c r="A3030" t="str">
        <f>"3047394"</f>
        <v>3047394</v>
      </c>
      <c r="B3030" t="s">
        <v>9274</v>
      </c>
      <c r="C3030" t="str">
        <f>"62704000"</f>
        <v>62704000</v>
      </c>
      <c r="D3030" t="s">
        <v>9275</v>
      </c>
      <c r="E3030" t="s">
        <v>9276</v>
      </c>
      <c r="F3030" t="s">
        <v>9277</v>
      </c>
      <c r="I3030" t="s">
        <v>184</v>
      </c>
      <c r="J3030" t="s">
        <v>30</v>
      </c>
      <c r="K3030" t="s">
        <v>9278</v>
      </c>
      <c r="M3030" t="s">
        <v>32</v>
      </c>
      <c r="N3030" t="str">
        <f>"1/20/2010 12:00:00 AM"</f>
        <v>1/20/2010 12:00:00 AM</v>
      </c>
      <c r="O3030" t="s">
        <v>9275</v>
      </c>
      <c r="T3030" t="s">
        <v>9276</v>
      </c>
    </row>
    <row r="3031" spans="1:20" x14ac:dyDescent="0.25">
      <c r="A3031" t="str">
        <f>"3078023"</f>
        <v>3078023</v>
      </c>
      <c r="B3031" t="s">
        <v>9279</v>
      </c>
      <c r="C3031" t="str">
        <f>"62704000"</f>
        <v>62704000</v>
      </c>
      <c r="D3031" t="s">
        <v>9275</v>
      </c>
      <c r="E3031" t="s">
        <v>9276</v>
      </c>
      <c r="F3031" t="s">
        <v>9277</v>
      </c>
      <c r="I3031" t="s">
        <v>184</v>
      </c>
      <c r="J3031" t="s">
        <v>30</v>
      </c>
      <c r="K3031" t="s">
        <v>9278</v>
      </c>
      <c r="M3031" t="s">
        <v>32</v>
      </c>
      <c r="N3031" t="str">
        <f>"1/20/2010 12:00:00 AM"</f>
        <v>1/20/2010 12:00:00 AM</v>
      </c>
      <c r="O3031" t="s">
        <v>9275</v>
      </c>
      <c r="T3031" t="s">
        <v>9276</v>
      </c>
    </row>
    <row r="3032" spans="1:20" x14ac:dyDescent="0.25">
      <c r="A3032" t="str">
        <f>"3048078"</f>
        <v>3048078</v>
      </c>
      <c r="B3032" t="s">
        <v>9280</v>
      </c>
      <c r="C3032" t="str">
        <f>"82518018"</f>
        <v>82518018</v>
      </c>
      <c r="D3032" t="s">
        <v>9064</v>
      </c>
      <c r="E3032" t="s">
        <v>9065</v>
      </c>
      <c r="F3032" t="s">
        <v>9066</v>
      </c>
      <c r="I3032" t="s">
        <v>184</v>
      </c>
      <c r="J3032" t="s">
        <v>30</v>
      </c>
      <c r="K3032" t="s">
        <v>185</v>
      </c>
      <c r="M3032" t="s">
        <v>32</v>
      </c>
      <c r="N3032" t="str">
        <f>"2/13/2003 12:00:00 AM"</f>
        <v>2/13/2003 12:00:00 AM</v>
      </c>
      <c r="O3032" t="s">
        <v>9064</v>
      </c>
      <c r="T3032" t="s">
        <v>9065</v>
      </c>
    </row>
    <row r="3033" spans="1:20" x14ac:dyDescent="0.25">
      <c r="A3033" t="str">
        <f>"3045492"</f>
        <v>3045492</v>
      </c>
      <c r="B3033" t="s">
        <v>9281</v>
      </c>
      <c r="C3033" t="str">
        <f>"82528875"</f>
        <v>82528875</v>
      </c>
      <c r="D3033" t="s">
        <v>9282</v>
      </c>
      <c r="E3033" t="s">
        <v>9283</v>
      </c>
      <c r="F3033" t="s">
        <v>9284</v>
      </c>
      <c r="I3033" t="s">
        <v>29</v>
      </c>
      <c r="J3033" t="s">
        <v>30</v>
      </c>
      <c r="K3033" t="s">
        <v>31</v>
      </c>
      <c r="M3033" t="s">
        <v>32</v>
      </c>
      <c r="N3033" t="str">
        <f>"11/29/2007 12:00:00 AM"</f>
        <v>11/29/2007 12:00:00 AM</v>
      </c>
      <c r="O3033" t="s">
        <v>9282</v>
      </c>
      <c r="T3033" t="s">
        <v>9283</v>
      </c>
    </row>
    <row r="3034" spans="1:20" x14ac:dyDescent="0.25">
      <c r="A3034" t="str">
        <f>"3045514"</f>
        <v>3045514</v>
      </c>
      <c r="B3034" t="s">
        <v>9285</v>
      </c>
      <c r="C3034" t="str">
        <f>"45606000"</f>
        <v>45606000</v>
      </c>
      <c r="D3034" t="s">
        <v>9286</v>
      </c>
      <c r="E3034" t="s">
        <v>9287</v>
      </c>
      <c r="F3034" t="s">
        <v>9288</v>
      </c>
      <c r="I3034" t="s">
        <v>29</v>
      </c>
      <c r="J3034" t="s">
        <v>30</v>
      </c>
      <c r="K3034" t="s">
        <v>31</v>
      </c>
      <c r="M3034" t="s">
        <v>32</v>
      </c>
      <c r="N3034" t="str">
        <f>"7/29/2002 12:00:00 AM"</f>
        <v>7/29/2002 12:00:00 AM</v>
      </c>
      <c r="O3034" t="s">
        <v>9286</v>
      </c>
      <c r="T3034" t="s">
        <v>9287</v>
      </c>
    </row>
    <row r="3035" spans="1:20" x14ac:dyDescent="0.25">
      <c r="A3035" t="str">
        <f>"3045431"</f>
        <v>3045431</v>
      </c>
      <c r="B3035" t="s">
        <v>9289</v>
      </c>
      <c r="C3035" t="str">
        <f>"82527031"</f>
        <v>82527031</v>
      </c>
      <c r="D3035" t="s">
        <v>9290</v>
      </c>
      <c r="F3035" t="str">
        <f>"C/O SANDY S STROUD"</f>
        <v>C/O SANDY S STROUD</v>
      </c>
      <c r="G3035" t="s">
        <v>9291</v>
      </c>
      <c r="I3035" t="s">
        <v>402</v>
      </c>
      <c r="J3035" t="s">
        <v>30</v>
      </c>
      <c r="K3035" t="s">
        <v>403</v>
      </c>
      <c r="M3035" t="s">
        <v>32</v>
      </c>
      <c r="N3035" t="str">
        <f>"8/26/2011 12:00:00 AM"</f>
        <v>8/26/2011 12:00:00 AM</v>
      </c>
      <c r="O3035" t="s">
        <v>9290</v>
      </c>
    </row>
    <row r="3036" spans="1:20" x14ac:dyDescent="0.25">
      <c r="A3036" t="str">
        <f>"3044957"</f>
        <v>3044957</v>
      </c>
      <c r="B3036" t="s">
        <v>9292</v>
      </c>
      <c r="C3036" t="str">
        <f>"82517165"</f>
        <v>82517165</v>
      </c>
      <c r="D3036" t="s">
        <v>9293</v>
      </c>
      <c r="E3036" t="s">
        <v>9294</v>
      </c>
      <c r="F3036" t="s">
        <v>9295</v>
      </c>
      <c r="I3036" t="s">
        <v>9296</v>
      </c>
      <c r="J3036" t="s">
        <v>30</v>
      </c>
      <c r="K3036" t="s">
        <v>9297</v>
      </c>
      <c r="M3036" t="s">
        <v>32</v>
      </c>
      <c r="N3036" t="str">
        <f>"11/26/2002 12:00:00 AM"</f>
        <v>11/26/2002 12:00:00 AM</v>
      </c>
      <c r="O3036" t="s">
        <v>9293</v>
      </c>
      <c r="T3036" t="s">
        <v>9294</v>
      </c>
    </row>
    <row r="3037" spans="1:20" x14ac:dyDescent="0.25">
      <c r="A3037" t="str">
        <f>"3060032"</f>
        <v>3060032</v>
      </c>
      <c r="B3037" t="s">
        <v>9298</v>
      </c>
      <c r="C3037" t="str">
        <f>"82523653"</f>
        <v>82523653</v>
      </c>
      <c r="D3037" t="s">
        <v>9299</v>
      </c>
      <c r="E3037" t="s">
        <v>9300</v>
      </c>
      <c r="F3037" t="s">
        <v>9301</v>
      </c>
      <c r="I3037" t="s">
        <v>184</v>
      </c>
      <c r="J3037" t="s">
        <v>30</v>
      </c>
      <c r="K3037" t="s">
        <v>185</v>
      </c>
      <c r="M3037" t="s">
        <v>32</v>
      </c>
      <c r="N3037" t="str">
        <f>"1/9/2008 12:00:00 AM"</f>
        <v>1/9/2008 12:00:00 AM</v>
      </c>
      <c r="O3037" t="s">
        <v>9299</v>
      </c>
      <c r="T3037" t="s">
        <v>9300</v>
      </c>
    </row>
    <row r="3038" spans="1:20" x14ac:dyDescent="0.25">
      <c r="A3038" t="str">
        <f>"3049346"</f>
        <v>3049346</v>
      </c>
      <c r="B3038" t="s">
        <v>9302</v>
      </c>
      <c r="C3038" t="str">
        <f>"82516173"</f>
        <v>82516173</v>
      </c>
      <c r="D3038" t="s">
        <v>9303</v>
      </c>
      <c r="F3038" t="s">
        <v>9304</v>
      </c>
      <c r="I3038" t="s">
        <v>471</v>
      </c>
      <c r="J3038" t="s">
        <v>30</v>
      </c>
      <c r="K3038" t="s">
        <v>9305</v>
      </c>
      <c r="M3038" t="s">
        <v>32</v>
      </c>
      <c r="N3038" t="str">
        <f>"11/23/2004 12:00:00 AM"</f>
        <v>11/23/2004 12:00:00 AM</v>
      </c>
      <c r="O3038" t="s">
        <v>9303</v>
      </c>
    </row>
    <row r="3039" spans="1:20" x14ac:dyDescent="0.25">
      <c r="A3039" t="str">
        <f>"3078074"</f>
        <v>3078074</v>
      </c>
      <c r="B3039" t="s">
        <v>9306</v>
      </c>
      <c r="C3039" t="str">
        <f>"47808000"</f>
        <v>47808000</v>
      </c>
      <c r="D3039" t="s">
        <v>9307</v>
      </c>
      <c r="E3039" t="s">
        <v>9308</v>
      </c>
      <c r="F3039" t="s">
        <v>9309</v>
      </c>
      <c r="I3039" t="s">
        <v>29</v>
      </c>
      <c r="J3039" t="s">
        <v>30</v>
      </c>
      <c r="K3039" t="s">
        <v>9310</v>
      </c>
      <c r="M3039" t="s">
        <v>32</v>
      </c>
      <c r="N3039" t="str">
        <f>"2/10/2005 12:00:00 AM"</f>
        <v>2/10/2005 12:00:00 AM</v>
      </c>
      <c r="O3039" t="s">
        <v>9307</v>
      </c>
      <c r="T3039" t="s">
        <v>9308</v>
      </c>
    </row>
    <row r="3040" spans="1:20" x14ac:dyDescent="0.25">
      <c r="A3040" t="str">
        <f>"3045292"</f>
        <v>3045292</v>
      </c>
      <c r="B3040" t="s">
        <v>9311</v>
      </c>
      <c r="C3040" t="str">
        <f>"31997940"</f>
        <v>31997940</v>
      </c>
      <c r="D3040" t="s">
        <v>9312</v>
      </c>
      <c r="F3040" t="s">
        <v>9313</v>
      </c>
      <c r="I3040" t="s">
        <v>402</v>
      </c>
      <c r="J3040" t="s">
        <v>30</v>
      </c>
      <c r="K3040" t="s">
        <v>403</v>
      </c>
      <c r="M3040" t="s">
        <v>32</v>
      </c>
      <c r="N3040" t="str">
        <f>"9/11/2003 12:00:00 AM"</f>
        <v>9/11/2003 12:00:00 AM</v>
      </c>
      <c r="O3040" t="s">
        <v>9312</v>
      </c>
    </row>
    <row r="3041" spans="1:20" x14ac:dyDescent="0.25">
      <c r="A3041" t="str">
        <f>"3048612"</f>
        <v>3048612</v>
      </c>
      <c r="B3041" t="s">
        <v>9314</v>
      </c>
      <c r="C3041" t="str">
        <f>"75790870"</f>
        <v>75790870</v>
      </c>
      <c r="D3041" t="s">
        <v>9315</v>
      </c>
      <c r="F3041" t="s">
        <v>9316</v>
      </c>
      <c r="I3041" t="s">
        <v>184</v>
      </c>
      <c r="J3041" t="s">
        <v>30</v>
      </c>
      <c r="K3041" t="s">
        <v>185</v>
      </c>
      <c r="M3041" t="s">
        <v>32</v>
      </c>
      <c r="N3041" t="str">
        <f>"7/25/2002 12:00:00 AM"</f>
        <v>7/25/2002 12:00:00 AM</v>
      </c>
      <c r="O3041" t="s">
        <v>9315</v>
      </c>
    </row>
    <row r="3042" spans="1:20" x14ac:dyDescent="0.25">
      <c r="A3042" t="str">
        <f>"3072151"</f>
        <v>3072151</v>
      </c>
      <c r="B3042" t="s">
        <v>9317</v>
      </c>
      <c r="C3042" t="str">
        <f>"65360000"</f>
        <v>65360000</v>
      </c>
      <c r="D3042" t="s">
        <v>9318</v>
      </c>
      <c r="E3042" t="s">
        <v>9319</v>
      </c>
      <c r="F3042" t="s">
        <v>9320</v>
      </c>
      <c r="I3042" t="s">
        <v>29</v>
      </c>
      <c r="J3042" t="s">
        <v>30</v>
      </c>
      <c r="K3042" t="s">
        <v>31</v>
      </c>
      <c r="M3042" t="s">
        <v>32</v>
      </c>
      <c r="N3042" t="str">
        <f>"5/4/2004 12:00:00 AM"</f>
        <v>5/4/2004 12:00:00 AM</v>
      </c>
      <c r="O3042" t="s">
        <v>9318</v>
      </c>
      <c r="T3042" t="s">
        <v>9319</v>
      </c>
    </row>
    <row r="3043" spans="1:20" x14ac:dyDescent="0.25">
      <c r="A3043" t="str">
        <f>"3058520"</f>
        <v>3058520</v>
      </c>
      <c r="B3043" t="s">
        <v>9321</v>
      </c>
      <c r="C3043" t="str">
        <f>"81445011"</f>
        <v>81445011</v>
      </c>
      <c r="D3043" t="s">
        <v>9322</v>
      </c>
      <c r="F3043" t="s">
        <v>9323</v>
      </c>
      <c r="I3043" t="s">
        <v>29</v>
      </c>
      <c r="J3043" t="s">
        <v>30</v>
      </c>
      <c r="K3043" t="s">
        <v>31</v>
      </c>
      <c r="M3043" t="s">
        <v>32</v>
      </c>
      <c r="N3043" t="str">
        <f>"7/26/2002 12:00:00 AM"</f>
        <v>7/26/2002 12:00:00 AM</v>
      </c>
      <c r="O3043" t="s">
        <v>9322</v>
      </c>
    </row>
    <row r="3044" spans="1:20" x14ac:dyDescent="0.25">
      <c r="A3044" t="str">
        <f>"3048575"</f>
        <v>3048575</v>
      </c>
      <c r="B3044" t="s">
        <v>9324</v>
      </c>
      <c r="C3044" t="str">
        <f>"22380500"</f>
        <v>22380500</v>
      </c>
      <c r="D3044" t="s">
        <v>9325</v>
      </c>
      <c r="E3044" t="s">
        <v>9326</v>
      </c>
      <c r="F3044" t="s">
        <v>9327</v>
      </c>
      <c r="I3044" t="s">
        <v>184</v>
      </c>
      <c r="J3044" t="s">
        <v>30</v>
      </c>
      <c r="K3044" t="s">
        <v>185</v>
      </c>
      <c r="M3044" t="s">
        <v>32</v>
      </c>
      <c r="N3044" t="str">
        <f>"1/20/2010 12:00:00 AM"</f>
        <v>1/20/2010 12:00:00 AM</v>
      </c>
      <c r="O3044" t="s">
        <v>9325</v>
      </c>
      <c r="T3044" t="s">
        <v>9326</v>
      </c>
    </row>
    <row r="3045" spans="1:20" x14ac:dyDescent="0.25">
      <c r="A3045" t="str">
        <f>"3048588"</f>
        <v>3048588</v>
      </c>
      <c r="B3045" t="s">
        <v>9328</v>
      </c>
      <c r="C3045" t="str">
        <f>"46800960"</f>
        <v>46800960</v>
      </c>
      <c r="D3045" t="s">
        <v>9329</v>
      </c>
      <c r="E3045" t="s">
        <v>9330</v>
      </c>
      <c r="F3045" t="s">
        <v>9331</v>
      </c>
      <c r="I3045" t="s">
        <v>184</v>
      </c>
      <c r="J3045" t="s">
        <v>30</v>
      </c>
      <c r="K3045" t="s">
        <v>9332</v>
      </c>
      <c r="M3045" t="s">
        <v>32</v>
      </c>
      <c r="N3045" t="str">
        <f>"2/25/2005 12:00:00 AM"</f>
        <v>2/25/2005 12:00:00 AM</v>
      </c>
      <c r="O3045" t="s">
        <v>9329</v>
      </c>
      <c r="T3045" t="s">
        <v>9330</v>
      </c>
    </row>
    <row r="3046" spans="1:20" x14ac:dyDescent="0.25">
      <c r="A3046" t="str">
        <f>"3048597"</f>
        <v>3048597</v>
      </c>
      <c r="B3046" t="s">
        <v>9333</v>
      </c>
      <c r="C3046" t="str">
        <f>"82515131"</f>
        <v>82515131</v>
      </c>
      <c r="D3046" t="s">
        <v>9334</v>
      </c>
      <c r="E3046" t="s">
        <v>9335</v>
      </c>
      <c r="F3046" t="s">
        <v>9336</v>
      </c>
      <c r="I3046" t="s">
        <v>184</v>
      </c>
      <c r="J3046" t="s">
        <v>30</v>
      </c>
      <c r="K3046" t="s">
        <v>9337</v>
      </c>
      <c r="M3046" t="s">
        <v>32</v>
      </c>
      <c r="N3046" t="str">
        <f>"2/25/2005 12:00:00 AM"</f>
        <v>2/25/2005 12:00:00 AM</v>
      </c>
      <c r="O3046" t="s">
        <v>9334</v>
      </c>
      <c r="T3046" t="s">
        <v>9335</v>
      </c>
    </row>
    <row r="3047" spans="1:20" x14ac:dyDescent="0.25">
      <c r="A3047" t="str">
        <f>"3062043"</f>
        <v>3062043</v>
      </c>
      <c r="B3047" t="s">
        <v>9338</v>
      </c>
      <c r="C3047" t="str">
        <f>"62764000"</f>
        <v>62764000</v>
      </c>
      <c r="D3047" t="s">
        <v>9339</v>
      </c>
      <c r="E3047" t="s">
        <v>9340</v>
      </c>
      <c r="F3047" t="s">
        <v>9341</v>
      </c>
      <c r="I3047" t="s">
        <v>29</v>
      </c>
      <c r="J3047" t="s">
        <v>30</v>
      </c>
      <c r="K3047" t="s">
        <v>31</v>
      </c>
      <c r="M3047" t="s">
        <v>32</v>
      </c>
      <c r="N3047" t="str">
        <f>"7/26/2002 12:00:00 AM"</f>
        <v>7/26/2002 12:00:00 AM</v>
      </c>
      <c r="O3047" t="s">
        <v>9339</v>
      </c>
      <c r="T3047" t="s">
        <v>9340</v>
      </c>
    </row>
    <row r="3048" spans="1:20" x14ac:dyDescent="0.25">
      <c r="A3048" t="str">
        <f>"3056838"</f>
        <v>3056838</v>
      </c>
      <c r="B3048" t="s">
        <v>9342</v>
      </c>
      <c r="C3048" t="str">
        <f>"34022000"</f>
        <v>34022000</v>
      </c>
      <c r="D3048" t="s">
        <v>9343</v>
      </c>
      <c r="F3048" t="s">
        <v>9344</v>
      </c>
      <c r="I3048" t="s">
        <v>9345</v>
      </c>
      <c r="J3048" t="s">
        <v>30</v>
      </c>
      <c r="K3048" t="s">
        <v>9346</v>
      </c>
      <c r="M3048" t="s">
        <v>32</v>
      </c>
      <c r="N3048" t="str">
        <f>"6/22/1999 12:00:00 AM"</f>
        <v>6/22/1999 12:00:00 AM</v>
      </c>
      <c r="O3048" t="s">
        <v>9343</v>
      </c>
    </row>
    <row r="3049" spans="1:20" x14ac:dyDescent="0.25">
      <c r="A3049" t="str">
        <f>"3045449"</f>
        <v>3045449</v>
      </c>
      <c r="B3049" t="s">
        <v>9347</v>
      </c>
      <c r="C3049" t="str">
        <f>"45186000"</f>
        <v>45186000</v>
      </c>
      <c r="D3049" t="s">
        <v>9348</v>
      </c>
      <c r="E3049" t="s">
        <v>9349</v>
      </c>
      <c r="F3049" t="s">
        <v>9350</v>
      </c>
      <c r="I3049" t="s">
        <v>29</v>
      </c>
      <c r="J3049" t="s">
        <v>30</v>
      </c>
      <c r="K3049" t="s">
        <v>9351</v>
      </c>
      <c r="M3049" t="s">
        <v>32</v>
      </c>
      <c r="N3049" t="str">
        <f>"2/10/2005 12:00:00 AM"</f>
        <v>2/10/2005 12:00:00 AM</v>
      </c>
      <c r="O3049" t="s">
        <v>9348</v>
      </c>
      <c r="T3049" t="s">
        <v>9349</v>
      </c>
    </row>
    <row r="3050" spans="1:20" x14ac:dyDescent="0.25">
      <c r="A3050" t="str">
        <f>"3044951"</f>
        <v>3044951</v>
      </c>
      <c r="B3050" t="s">
        <v>9352</v>
      </c>
      <c r="C3050" t="str">
        <f>"45186000"</f>
        <v>45186000</v>
      </c>
      <c r="D3050" t="s">
        <v>9348</v>
      </c>
      <c r="E3050" t="s">
        <v>9349</v>
      </c>
      <c r="F3050" t="s">
        <v>9350</v>
      </c>
      <c r="I3050" t="s">
        <v>29</v>
      </c>
      <c r="J3050" t="s">
        <v>30</v>
      </c>
      <c r="K3050" t="s">
        <v>9351</v>
      </c>
      <c r="M3050" t="s">
        <v>32</v>
      </c>
      <c r="N3050" t="str">
        <f>"2/10/2005 12:00:00 AM"</f>
        <v>2/10/2005 12:00:00 AM</v>
      </c>
      <c r="O3050" t="s">
        <v>9348</v>
      </c>
      <c r="T3050" t="s">
        <v>9349</v>
      </c>
    </row>
    <row r="3051" spans="1:20" x14ac:dyDescent="0.25">
      <c r="A3051" t="str">
        <f>"3048401"</f>
        <v>3048401</v>
      </c>
      <c r="B3051" t="s">
        <v>9353</v>
      </c>
      <c r="C3051" t="str">
        <f>"82528208"</f>
        <v>82528208</v>
      </c>
      <c r="D3051" t="s">
        <v>9354</v>
      </c>
      <c r="F3051" t="s">
        <v>9355</v>
      </c>
      <c r="I3051" t="s">
        <v>184</v>
      </c>
      <c r="J3051" t="s">
        <v>30</v>
      </c>
      <c r="K3051" t="s">
        <v>185</v>
      </c>
      <c r="M3051" t="s">
        <v>32</v>
      </c>
      <c r="N3051" t="str">
        <f>"6/25/2007 12:00:00 AM"</f>
        <v>6/25/2007 12:00:00 AM</v>
      </c>
      <c r="O3051" t="s">
        <v>9354</v>
      </c>
    </row>
    <row r="3052" spans="1:20" x14ac:dyDescent="0.25">
      <c r="A3052" t="str">
        <f>"3060496"</f>
        <v>3060496</v>
      </c>
      <c r="B3052" t="s">
        <v>9356</v>
      </c>
      <c r="C3052" t="str">
        <f>"34007250"</f>
        <v>34007250</v>
      </c>
      <c r="D3052" t="s">
        <v>9357</v>
      </c>
      <c r="E3052" t="s">
        <v>9358</v>
      </c>
      <c r="F3052" t="s">
        <v>9359</v>
      </c>
      <c r="I3052" t="s">
        <v>184</v>
      </c>
      <c r="J3052" t="s">
        <v>30</v>
      </c>
      <c r="K3052" t="s">
        <v>185</v>
      </c>
      <c r="M3052" t="s">
        <v>32</v>
      </c>
      <c r="N3052" t="str">
        <f>"1/23/2004 12:00:00 AM"</f>
        <v>1/23/2004 12:00:00 AM</v>
      </c>
      <c r="O3052" t="s">
        <v>9357</v>
      </c>
      <c r="T3052" t="s">
        <v>9358</v>
      </c>
    </row>
    <row r="3053" spans="1:20" x14ac:dyDescent="0.25">
      <c r="A3053" t="str">
        <f>"3047537"</f>
        <v>3047537</v>
      </c>
      <c r="B3053" t="s">
        <v>9360</v>
      </c>
      <c r="C3053" t="str">
        <f t="shared" ref="C3053:C3060" si="53">"75924000"</f>
        <v>75924000</v>
      </c>
      <c r="D3053" t="s">
        <v>9361</v>
      </c>
      <c r="E3053" t="s">
        <v>9362</v>
      </c>
      <c r="F3053" t="s">
        <v>9363</v>
      </c>
      <c r="I3053" t="s">
        <v>29</v>
      </c>
      <c r="J3053" t="s">
        <v>30</v>
      </c>
      <c r="K3053" t="s">
        <v>9364</v>
      </c>
      <c r="M3053" t="s">
        <v>32</v>
      </c>
      <c r="N3053" t="str">
        <f t="shared" ref="N3053:N3060" si="54">"2/21/2005 12:00:00 AM"</f>
        <v>2/21/2005 12:00:00 AM</v>
      </c>
      <c r="O3053" t="s">
        <v>9361</v>
      </c>
      <c r="T3053" t="s">
        <v>9362</v>
      </c>
    </row>
    <row r="3054" spans="1:20" x14ac:dyDescent="0.25">
      <c r="A3054" t="str">
        <f>"3047475"</f>
        <v>3047475</v>
      </c>
      <c r="B3054" t="s">
        <v>9365</v>
      </c>
      <c r="C3054" t="str">
        <f t="shared" si="53"/>
        <v>75924000</v>
      </c>
      <c r="D3054" t="s">
        <v>9361</v>
      </c>
      <c r="E3054" t="s">
        <v>9362</v>
      </c>
      <c r="F3054" t="s">
        <v>9363</v>
      </c>
      <c r="I3054" t="s">
        <v>29</v>
      </c>
      <c r="J3054" t="s">
        <v>30</v>
      </c>
      <c r="K3054" t="s">
        <v>9364</v>
      </c>
      <c r="M3054" t="s">
        <v>32</v>
      </c>
      <c r="N3054" t="str">
        <f t="shared" si="54"/>
        <v>2/21/2005 12:00:00 AM</v>
      </c>
      <c r="O3054" t="s">
        <v>9361</v>
      </c>
      <c r="T3054" t="s">
        <v>9362</v>
      </c>
    </row>
    <row r="3055" spans="1:20" x14ac:dyDescent="0.25">
      <c r="A3055" t="str">
        <f>"3048171"</f>
        <v>3048171</v>
      </c>
      <c r="B3055" t="s">
        <v>9366</v>
      </c>
      <c r="C3055" t="str">
        <f t="shared" si="53"/>
        <v>75924000</v>
      </c>
      <c r="D3055" t="s">
        <v>9361</v>
      </c>
      <c r="E3055" t="s">
        <v>9362</v>
      </c>
      <c r="F3055" t="s">
        <v>9363</v>
      </c>
      <c r="I3055" t="s">
        <v>29</v>
      </c>
      <c r="J3055" t="s">
        <v>30</v>
      </c>
      <c r="K3055" t="s">
        <v>9364</v>
      </c>
      <c r="M3055" t="s">
        <v>32</v>
      </c>
      <c r="N3055" t="str">
        <f t="shared" si="54"/>
        <v>2/21/2005 12:00:00 AM</v>
      </c>
      <c r="O3055" t="s">
        <v>9361</v>
      </c>
      <c r="T3055" t="s">
        <v>9362</v>
      </c>
    </row>
    <row r="3056" spans="1:20" x14ac:dyDescent="0.25">
      <c r="A3056" t="str">
        <f>"3047888"</f>
        <v>3047888</v>
      </c>
      <c r="B3056" t="s">
        <v>9367</v>
      </c>
      <c r="C3056" t="str">
        <f t="shared" si="53"/>
        <v>75924000</v>
      </c>
      <c r="D3056" t="s">
        <v>9361</v>
      </c>
      <c r="E3056" t="s">
        <v>9362</v>
      </c>
      <c r="F3056" t="s">
        <v>9363</v>
      </c>
      <c r="I3056" t="s">
        <v>29</v>
      </c>
      <c r="J3056" t="s">
        <v>30</v>
      </c>
      <c r="K3056" t="s">
        <v>9364</v>
      </c>
      <c r="M3056" t="s">
        <v>32</v>
      </c>
      <c r="N3056" t="str">
        <f t="shared" si="54"/>
        <v>2/21/2005 12:00:00 AM</v>
      </c>
      <c r="O3056" t="s">
        <v>9361</v>
      </c>
      <c r="T3056" t="s">
        <v>9362</v>
      </c>
    </row>
    <row r="3057" spans="1:20" x14ac:dyDescent="0.25">
      <c r="A3057" t="str">
        <f>"3063309"</f>
        <v>3063309</v>
      </c>
      <c r="B3057" t="s">
        <v>9368</v>
      </c>
      <c r="C3057" t="str">
        <f t="shared" si="53"/>
        <v>75924000</v>
      </c>
      <c r="D3057" t="s">
        <v>9361</v>
      </c>
      <c r="E3057" t="s">
        <v>9362</v>
      </c>
      <c r="F3057" t="s">
        <v>9363</v>
      </c>
      <c r="I3057" t="s">
        <v>29</v>
      </c>
      <c r="J3057" t="s">
        <v>30</v>
      </c>
      <c r="K3057" t="s">
        <v>9364</v>
      </c>
      <c r="M3057" t="s">
        <v>32</v>
      </c>
      <c r="N3057" t="str">
        <f t="shared" si="54"/>
        <v>2/21/2005 12:00:00 AM</v>
      </c>
      <c r="O3057" t="s">
        <v>9361</v>
      </c>
      <c r="T3057" t="s">
        <v>9362</v>
      </c>
    </row>
    <row r="3058" spans="1:20" x14ac:dyDescent="0.25">
      <c r="A3058" t="str">
        <f>"3078218"</f>
        <v>3078218</v>
      </c>
      <c r="B3058" t="s">
        <v>9369</v>
      </c>
      <c r="C3058" t="str">
        <f t="shared" si="53"/>
        <v>75924000</v>
      </c>
      <c r="D3058" t="s">
        <v>9361</v>
      </c>
      <c r="E3058" t="s">
        <v>9362</v>
      </c>
      <c r="F3058" t="s">
        <v>9363</v>
      </c>
      <c r="I3058" t="s">
        <v>29</v>
      </c>
      <c r="J3058" t="s">
        <v>30</v>
      </c>
      <c r="K3058" t="s">
        <v>9364</v>
      </c>
      <c r="M3058" t="s">
        <v>32</v>
      </c>
      <c r="N3058" t="str">
        <f t="shared" si="54"/>
        <v>2/21/2005 12:00:00 AM</v>
      </c>
      <c r="O3058" t="s">
        <v>9361</v>
      </c>
      <c r="T3058" t="s">
        <v>9362</v>
      </c>
    </row>
    <row r="3059" spans="1:20" x14ac:dyDescent="0.25">
      <c r="A3059" t="str">
        <f>"3078223"</f>
        <v>3078223</v>
      </c>
      <c r="B3059" t="s">
        <v>9370</v>
      </c>
      <c r="C3059" t="str">
        <f t="shared" si="53"/>
        <v>75924000</v>
      </c>
      <c r="D3059" t="s">
        <v>9361</v>
      </c>
      <c r="E3059" t="s">
        <v>9362</v>
      </c>
      <c r="F3059" t="s">
        <v>9363</v>
      </c>
      <c r="I3059" t="s">
        <v>29</v>
      </c>
      <c r="J3059" t="s">
        <v>30</v>
      </c>
      <c r="K3059" t="s">
        <v>9364</v>
      </c>
      <c r="M3059" t="s">
        <v>32</v>
      </c>
      <c r="N3059" t="str">
        <f t="shared" si="54"/>
        <v>2/21/2005 12:00:00 AM</v>
      </c>
      <c r="O3059" t="s">
        <v>9361</v>
      </c>
      <c r="T3059" t="s">
        <v>9362</v>
      </c>
    </row>
    <row r="3060" spans="1:20" x14ac:dyDescent="0.25">
      <c r="A3060" t="str">
        <f>"3078224"</f>
        <v>3078224</v>
      </c>
      <c r="B3060" t="s">
        <v>9371</v>
      </c>
      <c r="C3060" t="str">
        <f t="shared" si="53"/>
        <v>75924000</v>
      </c>
      <c r="D3060" t="s">
        <v>9361</v>
      </c>
      <c r="E3060" t="s">
        <v>9362</v>
      </c>
      <c r="F3060" t="s">
        <v>9363</v>
      </c>
      <c r="I3060" t="s">
        <v>29</v>
      </c>
      <c r="J3060" t="s">
        <v>30</v>
      </c>
      <c r="K3060" t="s">
        <v>9364</v>
      </c>
      <c r="M3060" t="s">
        <v>32</v>
      </c>
      <c r="N3060" t="str">
        <f t="shared" si="54"/>
        <v>2/21/2005 12:00:00 AM</v>
      </c>
      <c r="O3060" t="s">
        <v>9361</v>
      </c>
      <c r="T3060" t="s">
        <v>9362</v>
      </c>
    </row>
    <row r="3061" spans="1:20" x14ac:dyDescent="0.25">
      <c r="A3061" t="str">
        <f>"3045602"</f>
        <v>3045602</v>
      </c>
      <c r="B3061" t="s">
        <v>9372</v>
      </c>
      <c r="C3061" t="str">
        <f>"7056000"</f>
        <v>7056000</v>
      </c>
      <c r="D3061" t="s">
        <v>9373</v>
      </c>
      <c r="E3061" t="s">
        <v>9374</v>
      </c>
      <c r="F3061" t="s">
        <v>9375</v>
      </c>
      <c r="I3061" t="s">
        <v>29</v>
      </c>
      <c r="J3061" t="s">
        <v>30</v>
      </c>
      <c r="K3061" t="s">
        <v>31</v>
      </c>
      <c r="M3061" t="s">
        <v>32</v>
      </c>
      <c r="N3061" t="str">
        <f>"7/26/2002 12:00:00 AM"</f>
        <v>7/26/2002 12:00:00 AM</v>
      </c>
      <c r="O3061" t="s">
        <v>9373</v>
      </c>
      <c r="T3061" t="s">
        <v>9374</v>
      </c>
    </row>
    <row r="3062" spans="1:20" x14ac:dyDescent="0.25">
      <c r="A3062" t="str">
        <f>"3045498"</f>
        <v>3045498</v>
      </c>
      <c r="B3062" t="s">
        <v>9376</v>
      </c>
      <c r="C3062" t="str">
        <f>"82514424"</f>
        <v>82514424</v>
      </c>
      <c r="D3062" t="s">
        <v>9377</v>
      </c>
      <c r="E3062" t="s">
        <v>9378</v>
      </c>
      <c r="F3062" t="s">
        <v>9379</v>
      </c>
      <c r="I3062" t="s">
        <v>29</v>
      </c>
      <c r="J3062" t="s">
        <v>30</v>
      </c>
      <c r="K3062" t="s">
        <v>31</v>
      </c>
      <c r="M3062" t="s">
        <v>32</v>
      </c>
      <c r="N3062" t="str">
        <f>"7/27/2004 12:00:00 AM"</f>
        <v>7/27/2004 12:00:00 AM</v>
      </c>
      <c r="O3062" t="s">
        <v>9377</v>
      </c>
      <c r="T3062" t="s">
        <v>9378</v>
      </c>
    </row>
    <row r="3063" spans="1:20" x14ac:dyDescent="0.25">
      <c r="A3063" t="str">
        <f>"3045543"</f>
        <v>3045543</v>
      </c>
      <c r="B3063" t="s">
        <v>9380</v>
      </c>
      <c r="C3063" t="str">
        <f>"34029400"</f>
        <v>34029400</v>
      </c>
      <c r="D3063" t="s">
        <v>9381</v>
      </c>
      <c r="F3063" t="s">
        <v>9382</v>
      </c>
      <c r="I3063" t="s">
        <v>29</v>
      </c>
      <c r="J3063" t="s">
        <v>30</v>
      </c>
      <c r="K3063" t="s">
        <v>31</v>
      </c>
      <c r="M3063" t="s">
        <v>32</v>
      </c>
      <c r="N3063" t="str">
        <f>"6/26/2003 12:00:00 AM"</f>
        <v>6/26/2003 12:00:00 AM</v>
      </c>
      <c r="O3063" t="s">
        <v>9381</v>
      </c>
    </row>
    <row r="3064" spans="1:20" x14ac:dyDescent="0.25">
      <c r="A3064" t="str">
        <f>"3045566"</f>
        <v>3045566</v>
      </c>
      <c r="B3064" t="s">
        <v>9383</v>
      </c>
      <c r="C3064" t="str">
        <f>"14556500"</f>
        <v>14556500</v>
      </c>
      <c r="D3064" t="s">
        <v>9384</v>
      </c>
      <c r="F3064" t="str">
        <f>"C/O STEVE BARRON"</f>
        <v>C/O STEVE BARRON</v>
      </c>
      <c r="G3064" t="s">
        <v>9385</v>
      </c>
      <c r="I3064" t="s">
        <v>29</v>
      </c>
      <c r="J3064" t="s">
        <v>30</v>
      </c>
      <c r="K3064" t="s">
        <v>31</v>
      </c>
      <c r="M3064" t="s">
        <v>32</v>
      </c>
      <c r="N3064" t="str">
        <f>"6/24/2003 12:00:00 AM"</f>
        <v>6/24/2003 12:00:00 AM</v>
      </c>
      <c r="O3064" t="s">
        <v>9384</v>
      </c>
    </row>
    <row r="3065" spans="1:20" x14ac:dyDescent="0.25">
      <c r="A3065" t="str">
        <f>"3060529"</f>
        <v>3060529</v>
      </c>
      <c r="B3065" t="s">
        <v>9386</v>
      </c>
      <c r="C3065" t="str">
        <f>"82520725"</f>
        <v>82520725</v>
      </c>
      <c r="D3065" t="s">
        <v>9387</v>
      </c>
      <c r="F3065" t="s">
        <v>9388</v>
      </c>
      <c r="I3065" t="s">
        <v>184</v>
      </c>
      <c r="J3065" t="s">
        <v>30</v>
      </c>
      <c r="K3065" t="s">
        <v>185</v>
      </c>
      <c r="M3065" t="s">
        <v>32</v>
      </c>
      <c r="N3065" t="str">
        <f>"1/11/2005 12:00:00 AM"</f>
        <v>1/11/2005 12:00:00 AM</v>
      </c>
      <c r="O3065" t="s">
        <v>9387</v>
      </c>
    </row>
    <row r="3066" spans="1:20" x14ac:dyDescent="0.25">
      <c r="A3066" t="str">
        <f>"3057599"</f>
        <v>3057599</v>
      </c>
      <c r="B3066" t="s">
        <v>9389</v>
      </c>
      <c r="C3066" t="str">
        <f>"82529552"</f>
        <v>82529552</v>
      </c>
      <c r="D3066" t="s">
        <v>9390</v>
      </c>
      <c r="E3066" t="s">
        <v>9391</v>
      </c>
      <c r="F3066" t="s">
        <v>9392</v>
      </c>
      <c r="I3066" t="s">
        <v>29</v>
      </c>
      <c r="J3066" t="s">
        <v>30</v>
      </c>
      <c r="K3066" t="s">
        <v>31</v>
      </c>
      <c r="M3066" t="s">
        <v>32</v>
      </c>
      <c r="N3066" t="str">
        <f>"9/1/2009 12:00:00 AM"</f>
        <v>9/1/2009 12:00:00 AM</v>
      </c>
      <c r="O3066" t="s">
        <v>9390</v>
      </c>
      <c r="T3066" t="s">
        <v>9391</v>
      </c>
    </row>
    <row r="3067" spans="1:20" x14ac:dyDescent="0.25">
      <c r="A3067" t="str">
        <f>"3057617"</f>
        <v>3057617</v>
      </c>
      <c r="B3067" t="s">
        <v>9393</v>
      </c>
      <c r="C3067" t="str">
        <f>"82522371"</f>
        <v>82522371</v>
      </c>
      <c r="D3067" t="s">
        <v>9394</v>
      </c>
      <c r="F3067" t="s">
        <v>9395</v>
      </c>
      <c r="I3067" t="s">
        <v>29</v>
      </c>
      <c r="J3067" t="s">
        <v>30</v>
      </c>
      <c r="K3067" t="s">
        <v>9396</v>
      </c>
      <c r="M3067" t="s">
        <v>32</v>
      </c>
      <c r="N3067" t="str">
        <f>"1/23/2007 12:00:00 AM"</f>
        <v>1/23/2007 12:00:00 AM</v>
      </c>
      <c r="O3067" t="s">
        <v>9394</v>
      </c>
    </row>
    <row r="3068" spans="1:20" x14ac:dyDescent="0.25">
      <c r="A3068" t="str">
        <f>"3057594"</f>
        <v>3057594</v>
      </c>
      <c r="B3068" t="s">
        <v>9397</v>
      </c>
      <c r="C3068" t="str">
        <f>"51064750"</f>
        <v>51064750</v>
      </c>
      <c r="D3068" t="s">
        <v>9398</v>
      </c>
      <c r="E3068" t="s">
        <v>9399</v>
      </c>
      <c r="F3068" t="s">
        <v>9400</v>
      </c>
      <c r="I3068" t="s">
        <v>29</v>
      </c>
      <c r="J3068" t="s">
        <v>30</v>
      </c>
      <c r="K3068" t="s">
        <v>9401</v>
      </c>
      <c r="M3068" t="s">
        <v>32</v>
      </c>
      <c r="N3068" t="str">
        <f>"6/29/2006 12:00:00 AM"</f>
        <v>6/29/2006 12:00:00 AM</v>
      </c>
      <c r="O3068" t="s">
        <v>9398</v>
      </c>
      <c r="T3068" t="s">
        <v>9399</v>
      </c>
    </row>
    <row r="3069" spans="1:20" x14ac:dyDescent="0.25">
      <c r="A3069" t="str">
        <f>"3051330"</f>
        <v>3051330</v>
      </c>
      <c r="B3069" t="s">
        <v>9402</v>
      </c>
      <c r="C3069" t="str">
        <f>"51064750"</f>
        <v>51064750</v>
      </c>
      <c r="D3069" t="s">
        <v>9398</v>
      </c>
      <c r="E3069" t="s">
        <v>9399</v>
      </c>
      <c r="F3069" t="s">
        <v>9400</v>
      </c>
      <c r="I3069" t="s">
        <v>29</v>
      </c>
      <c r="J3069" t="s">
        <v>30</v>
      </c>
      <c r="K3069" t="s">
        <v>9401</v>
      </c>
      <c r="M3069" t="s">
        <v>32</v>
      </c>
      <c r="N3069" t="str">
        <f>"6/29/2006 12:00:00 AM"</f>
        <v>6/29/2006 12:00:00 AM</v>
      </c>
      <c r="O3069" t="s">
        <v>9398</v>
      </c>
      <c r="T3069" t="s">
        <v>9399</v>
      </c>
    </row>
    <row r="3070" spans="1:20" x14ac:dyDescent="0.25">
      <c r="A3070" t="str">
        <f>"3057596"</f>
        <v>3057596</v>
      </c>
      <c r="B3070" t="s">
        <v>9403</v>
      </c>
      <c r="C3070" t="str">
        <f>"82523204"</f>
        <v>82523204</v>
      </c>
      <c r="D3070" t="s">
        <v>9404</v>
      </c>
      <c r="F3070" t="s">
        <v>9405</v>
      </c>
      <c r="I3070" t="s">
        <v>29</v>
      </c>
      <c r="J3070" t="s">
        <v>30</v>
      </c>
      <c r="K3070" t="s">
        <v>9396</v>
      </c>
      <c r="M3070" t="s">
        <v>32</v>
      </c>
      <c r="N3070" t="str">
        <f>"1/14/2005 12:00:00 AM"</f>
        <v>1/14/2005 12:00:00 AM</v>
      </c>
      <c r="O3070" t="s">
        <v>9404</v>
      </c>
    </row>
    <row r="3071" spans="1:20" x14ac:dyDescent="0.25">
      <c r="A3071" t="str">
        <f>"3057616"</f>
        <v>3057616</v>
      </c>
      <c r="B3071" t="s">
        <v>9406</v>
      </c>
      <c r="C3071" t="str">
        <f>"10500500"</f>
        <v>10500500</v>
      </c>
      <c r="D3071" t="s">
        <v>9407</v>
      </c>
      <c r="E3071" t="s">
        <v>9408</v>
      </c>
      <c r="F3071" t="s">
        <v>9409</v>
      </c>
      <c r="I3071" t="s">
        <v>29</v>
      </c>
      <c r="J3071" t="s">
        <v>30</v>
      </c>
      <c r="K3071" t="s">
        <v>9396</v>
      </c>
      <c r="M3071" t="s">
        <v>32</v>
      </c>
      <c r="N3071" t="str">
        <f>"2/25/2005 12:00:00 AM"</f>
        <v>2/25/2005 12:00:00 AM</v>
      </c>
      <c r="O3071" t="s">
        <v>9407</v>
      </c>
      <c r="T3071" t="s">
        <v>9408</v>
      </c>
    </row>
    <row r="3072" spans="1:20" x14ac:dyDescent="0.25">
      <c r="A3072" t="str">
        <f>"3045411"</f>
        <v>3045411</v>
      </c>
      <c r="B3072" t="s">
        <v>9410</v>
      </c>
      <c r="C3072" t="str">
        <f>"82523046"</f>
        <v>82523046</v>
      </c>
      <c r="D3072" t="s">
        <v>9411</v>
      </c>
      <c r="F3072" t="s">
        <v>9412</v>
      </c>
      <c r="I3072" t="s">
        <v>29</v>
      </c>
      <c r="J3072" t="s">
        <v>30</v>
      </c>
      <c r="K3072" t="s">
        <v>31</v>
      </c>
      <c r="M3072" t="s">
        <v>32</v>
      </c>
      <c r="N3072" t="str">
        <f>"4/26/2005 12:00:00 AM"</f>
        <v>4/26/2005 12:00:00 AM</v>
      </c>
      <c r="O3072" t="s">
        <v>9411</v>
      </c>
    </row>
    <row r="3073" spans="1:20" x14ac:dyDescent="0.25">
      <c r="A3073" t="str">
        <f>"3045165"</f>
        <v>3045165</v>
      </c>
      <c r="B3073" t="s">
        <v>9413</v>
      </c>
      <c r="C3073" t="str">
        <f>"82523046"</f>
        <v>82523046</v>
      </c>
      <c r="D3073" t="s">
        <v>9411</v>
      </c>
      <c r="F3073" t="s">
        <v>9412</v>
      </c>
      <c r="I3073" t="s">
        <v>29</v>
      </c>
      <c r="J3073" t="s">
        <v>30</v>
      </c>
      <c r="K3073" t="s">
        <v>31</v>
      </c>
      <c r="M3073" t="s">
        <v>32</v>
      </c>
      <c r="N3073" t="str">
        <f>"4/26/2005 12:00:00 AM"</f>
        <v>4/26/2005 12:00:00 AM</v>
      </c>
      <c r="O3073" t="s">
        <v>9411</v>
      </c>
    </row>
    <row r="3074" spans="1:20" x14ac:dyDescent="0.25">
      <c r="A3074" t="str">
        <f>"3060498"</f>
        <v>3060498</v>
      </c>
      <c r="B3074" t="s">
        <v>9414</v>
      </c>
      <c r="C3074" t="str">
        <f>"82517544"</f>
        <v>82517544</v>
      </c>
      <c r="D3074" t="s">
        <v>9415</v>
      </c>
      <c r="E3074" t="s">
        <v>9416</v>
      </c>
      <c r="F3074" t="s">
        <v>9417</v>
      </c>
      <c r="I3074" t="s">
        <v>184</v>
      </c>
      <c r="J3074" t="s">
        <v>30</v>
      </c>
      <c r="K3074" t="s">
        <v>185</v>
      </c>
      <c r="N3074" t="str">
        <f>"1/29/2009 12:00:00 AM"</f>
        <v>1/29/2009 12:00:00 AM</v>
      </c>
      <c r="O3074" t="s">
        <v>9415</v>
      </c>
      <c r="T3074" t="s">
        <v>9416</v>
      </c>
    </row>
    <row r="3075" spans="1:20" x14ac:dyDescent="0.25">
      <c r="A3075" t="str">
        <f>"3060490"</f>
        <v>3060490</v>
      </c>
      <c r="B3075" t="s">
        <v>9418</v>
      </c>
      <c r="C3075" t="str">
        <f>"82517019"</f>
        <v>82517019</v>
      </c>
      <c r="D3075" t="s">
        <v>9419</v>
      </c>
      <c r="E3075" t="s">
        <v>9420</v>
      </c>
      <c r="F3075" t="s">
        <v>9421</v>
      </c>
      <c r="I3075" t="s">
        <v>184</v>
      </c>
      <c r="J3075" t="s">
        <v>30</v>
      </c>
      <c r="K3075" t="s">
        <v>185</v>
      </c>
      <c r="N3075" t="str">
        <f>"7/25/2002 12:00:00 AM"</f>
        <v>7/25/2002 12:00:00 AM</v>
      </c>
      <c r="O3075" t="s">
        <v>9419</v>
      </c>
      <c r="T3075" t="s">
        <v>9420</v>
      </c>
    </row>
    <row r="3076" spans="1:20" x14ac:dyDescent="0.25">
      <c r="A3076" t="str">
        <f>"3060469"</f>
        <v>3060469</v>
      </c>
      <c r="B3076" t="s">
        <v>9422</v>
      </c>
      <c r="C3076" t="str">
        <f>"82525302"</f>
        <v>82525302</v>
      </c>
      <c r="D3076" t="s">
        <v>9423</v>
      </c>
      <c r="E3076" t="s">
        <v>9424</v>
      </c>
      <c r="F3076" t="s">
        <v>9425</v>
      </c>
      <c r="I3076" t="s">
        <v>184</v>
      </c>
      <c r="J3076" t="s">
        <v>30</v>
      </c>
      <c r="K3076" t="s">
        <v>9200</v>
      </c>
      <c r="M3076" t="s">
        <v>32</v>
      </c>
      <c r="N3076" t="str">
        <f>"1/27/2006 12:00:00 AM"</f>
        <v>1/27/2006 12:00:00 AM</v>
      </c>
      <c r="O3076" t="s">
        <v>9423</v>
      </c>
      <c r="T3076" t="s">
        <v>9424</v>
      </c>
    </row>
    <row r="3077" spans="1:20" x14ac:dyDescent="0.25">
      <c r="A3077" t="str">
        <f>"3060537"</f>
        <v>3060537</v>
      </c>
      <c r="B3077" t="s">
        <v>9426</v>
      </c>
      <c r="C3077" t="str">
        <f>"82528952"</f>
        <v>82528952</v>
      </c>
      <c r="D3077" t="s">
        <v>9427</v>
      </c>
      <c r="E3077" t="s">
        <v>9428</v>
      </c>
      <c r="F3077" t="s">
        <v>9429</v>
      </c>
      <c r="I3077" t="s">
        <v>184</v>
      </c>
      <c r="J3077" t="s">
        <v>30</v>
      </c>
      <c r="K3077" t="s">
        <v>185</v>
      </c>
      <c r="M3077" t="s">
        <v>32</v>
      </c>
      <c r="N3077" t="str">
        <f>"2/11/2010 12:00:00 AM"</f>
        <v>2/11/2010 12:00:00 AM</v>
      </c>
      <c r="O3077" t="s">
        <v>9427</v>
      </c>
      <c r="T3077" t="s">
        <v>9428</v>
      </c>
    </row>
    <row r="3078" spans="1:20" x14ac:dyDescent="0.25">
      <c r="A3078" t="str">
        <f>"3045696"</f>
        <v>3045696</v>
      </c>
      <c r="B3078" t="s">
        <v>9430</v>
      </c>
      <c r="C3078" t="str">
        <f>"1751800"</f>
        <v>1751800</v>
      </c>
      <c r="D3078" t="s">
        <v>9431</v>
      </c>
      <c r="E3078" t="s">
        <v>2323</v>
      </c>
      <c r="F3078" t="s">
        <v>2324</v>
      </c>
      <c r="I3078" t="s">
        <v>29</v>
      </c>
      <c r="J3078" t="s">
        <v>30</v>
      </c>
      <c r="K3078" t="s">
        <v>9432</v>
      </c>
      <c r="M3078" t="s">
        <v>32</v>
      </c>
      <c r="N3078" t="str">
        <f>"1/15/2008 12:00:00 AM"</f>
        <v>1/15/2008 12:00:00 AM</v>
      </c>
      <c r="O3078" t="s">
        <v>9431</v>
      </c>
      <c r="T3078" t="s">
        <v>2323</v>
      </c>
    </row>
    <row r="3079" spans="1:20" x14ac:dyDescent="0.25">
      <c r="A3079" t="str">
        <f>"3045238"</f>
        <v>3045238</v>
      </c>
      <c r="B3079" t="s">
        <v>9433</v>
      </c>
      <c r="C3079" t="str">
        <f>"1751800"</f>
        <v>1751800</v>
      </c>
      <c r="D3079" t="s">
        <v>9431</v>
      </c>
      <c r="E3079" t="s">
        <v>2323</v>
      </c>
      <c r="F3079" t="s">
        <v>2324</v>
      </c>
      <c r="I3079" t="s">
        <v>29</v>
      </c>
      <c r="J3079" t="s">
        <v>30</v>
      </c>
      <c r="K3079" t="s">
        <v>9432</v>
      </c>
      <c r="M3079" t="s">
        <v>32</v>
      </c>
      <c r="N3079" t="str">
        <f>"1/15/2008 12:00:00 AM"</f>
        <v>1/15/2008 12:00:00 AM</v>
      </c>
      <c r="O3079" t="s">
        <v>9431</v>
      </c>
      <c r="T3079" t="s">
        <v>2323</v>
      </c>
    </row>
    <row r="3080" spans="1:20" x14ac:dyDescent="0.25">
      <c r="A3080" t="str">
        <f>"3044952"</f>
        <v>3044952</v>
      </c>
      <c r="B3080" t="s">
        <v>9434</v>
      </c>
      <c r="C3080" t="str">
        <f>"1334000"</f>
        <v>1334000</v>
      </c>
      <c r="D3080" t="s">
        <v>9435</v>
      </c>
      <c r="F3080" t="s">
        <v>9436</v>
      </c>
      <c r="I3080" t="s">
        <v>29</v>
      </c>
      <c r="J3080" t="s">
        <v>30</v>
      </c>
      <c r="K3080" t="s">
        <v>9437</v>
      </c>
      <c r="M3080" t="s">
        <v>32</v>
      </c>
      <c r="N3080" t="str">
        <f>"1/17/2006 12:00:00 AM"</f>
        <v>1/17/2006 12:00:00 AM</v>
      </c>
      <c r="O3080" t="s">
        <v>9435</v>
      </c>
    </row>
    <row r="3081" spans="1:20" x14ac:dyDescent="0.25">
      <c r="A3081" t="str">
        <f>"3048329"</f>
        <v>3048329</v>
      </c>
      <c r="B3081" t="s">
        <v>9438</v>
      </c>
      <c r="C3081" t="str">
        <f>"82529316"</f>
        <v>82529316</v>
      </c>
      <c r="D3081" t="s">
        <v>9439</v>
      </c>
      <c r="F3081" t="s">
        <v>9440</v>
      </c>
      <c r="I3081" t="s">
        <v>1149</v>
      </c>
      <c r="J3081" t="s">
        <v>30</v>
      </c>
      <c r="K3081" t="s">
        <v>9441</v>
      </c>
      <c r="M3081" t="s">
        <v>32</v>
      </c>
      <c r="N3081" t="str">
        <f>"8/18/2009 12:00:00 AM"</f>
        <v>8/18/2009 12:00:00 AM</v>
      </c>
      <c r="O3081" t="s">
        <v>9439</v>
      </c>
      <c r="T3081" t="s">
        <v>9439</v>
      </c>
    </row>
    <row r="3082" spans="1:20" x14ac:dyDescent="0.25">
      <c r="A3082" t="str">
        <f>"3045312"</f>
        <v>3045312</v>
      </c>
      <c r="B3082" t="s">
        <v>9442</v>
      </c>
      <c r="C3082" t="str">
        <f>"12208250"</f>
        <v>12208250</v>
      </c>
      <c r="D3082" t="s">
        <v>9443</v>
      </c>
      <c r="F3082" t="s">
        <v>9444</v>
      </c>
      <c r="G3082" t="s">
        <v>9445</v>
      </c>
      <c r="I3082" t="s">
        <v>29</v>
      </c>
      <c r="J3082" t="s">
        <v>30</v>
      </c>
      <c r="K3082" t="s">
        <v>31</v>
      </c>
      <c r="M3082" t="s">
        <v>32</v>
      </c>
      <c r="N3082" t="str">
        <f>"6/17/2003 12:00:00 AM"</f>
        <v>6/17/2003 12:00:00 AM</v>
      </c>
      <c r="O3082" t="s">
        <v>9443</v>
      </c>
    </row>
    <row r="3083" spans="1:20" x14ac:dyDescent="0.25">
      <c r="A3083" t="str">
        <f>"3045529"</f>
        <v>3045529</v>
      </c>
      <c r="B3083" t="s">
        <v>9446</v>
      </c>
      <c r="C3083" t="str">
        <f>"43654500"</f>
        <v>43654500</v>
      </c>
      <c r="D3083" t="s">
        <v>9447</v>
      </c>
      <c r="F3083" t="s">
        <v>9448</v>
      </c>
      <c r="I3083" t="s">
        <v>29</v>
      </c>
      <c r="J3083" t="s">
        <v>30</v>
      </c>
      <c r="K3083" t="s">
        <v>31</v>
      </c>
      <c r="M3083" t="s">
        <v>32</v>
      </c>
      <c r="N3083" t="str">
        <f>"11/25/2003 12:00:00 AM"</f>
        <v>11/25/2003 12:00:00 AM</v>
      </c>
      <c r="O3083" t="s">
        <v>9447</v>
      </c>
    </row>
    <row r="3084" spans="1:20" x14ac:dyDescent="0.25">
      <c r="A3084" t="str">
        <f>"3045166"</f>
        <v>3045166</v>
      </c>
      <c r="B3084" t="s">
        <v>9449</v>
      </c>
      <c r="C3084" t="str">
        <f>"56283000"</f>
        <v>56283000</v>
      </c>
      <c r="D3084" t="s">
        <v>9450</v>
      </c>
      <c r="E3084" t="s">
        <v>9451</v>
      </c>
      <c r="F3084" t="s">
        <v>9452</v>
      </c>
      <c r="I3084" t="s">
        <v>29</v>
      </c>
      <c r="J3084" t="s">
        <v>30</v>
      </c>
      <c r="K3084" t="s">
        <v>31</v>
      </c>
      <c r="M3084" t="s">
        <v>32</v>
      </c>
      <c r="N3084" t="str">
        <f>"1/15/2004 12:00:00 AM"</f>
        <v>1/15/2004 12:00:00 AM</v>
      </c>
      <c r="O3084" t="s">
        <v>9450</v>
      </c>
      <c r="T3084" t="s">
        <v>9451</v>
      </c>
    </row>
    <row r="3085" spans="1:20" x14ac:dyDescent="0.25">
      <c r="A3085" t="str">
        <f>"3045327"</f>
        <v>3045327</v>
      </c>
      <c r="B3085" t="s">
        <v>9453</v>
      </c>
      <c r="C3085" t="str">
        <f>"56283000"</f>
        <v>56283000</v>
      </c>
      <c r="D3085" t="s">
        <v>9450</v>
      </c>
      <c r="E3085" t="s">
        <v>9451</v>
      </c>
      <c r="F3085" t="s">
        <v>9452</v>
      </c>
      <c r="I3085" t="s">
        <v>29</v>
      </c>
      <c r="J3085" t="s">
        <v>30</v>
      </c>
      <c r="K3085" t="s">
        <v>31</v>
      </c>
      <c r="M3085" t="s">
        <v>32</v>
      </c>
      <c r="N3085" t="str">
        <f>"1/15/2004 12:00:00 AM"</f>
        <v>1/15/2004 12:00:00 AM</v>
      </c>
      <c r="O3085" t="s">
        <v>9450</v>
      </c>
      <c r="T3085" t="s">
        <v>9451</v>
      </c>
    </row>
    <row r="3086" spans="1:20" x14ac:dyDescent="0.25">
      <c r="A3086" t="str">
        <f>"3045159"</f>
        <v>3045159</v>
      </c>
      <c r="B3086" t="s">
        <v>9454</v>
      </c>
      <c r="C3086" t="str">
        <f>"39157810"</f>
        <v>39157810</v>
      </c>
      <c r="D3086" t="s">
        <v>9455</v>
      </c>
      <c r="F3086" t="s">
        <v>9456</v>
      </c>
      <c r="I3086" t="s">
        <v>402</v>
      </c>
      <c r="J3086" t="s">
        <v>30</v>
      </c>
      <c r="K3086" t="s">
        <v>403</v>
      </c>
      <c r="M3086" t="s">
        <v>32</v>
      </c>
      <c r="N3086" t="str">
        <f>"8/2/2005 12:00:00 AM"</f>
        <v>8/2/2005 12:00:00 AM</v>
      </c>
      <c r="O3086" t="s">
        <v>9455</v>
      </c>
    </row>
    <row r="3087" spans="1:20" x14ac:dyDescent="0.25">
      <c r="A3087" t="str">
        <f>"3045614"</f>
        <v>3045614</v>
      </c>
      <c r="B3087" t="s">
        <v>9457</v>
      </c>
      <c r="C3087" t="str">
        <f>"82523504"</f>
        <v>82523504</v>
      </c>
      <c r="D3087" t="s">
        <v>9255</v>
      </c>
      <c r="E3087" t="s">
        <v>9458</v>
      </c>
      <c r="F3087" t="s">
        <v>9256</v>
      </c>
      <c r="I3087" t="s">
        <v>29</v>
      </c>
      <c r="J3087" t="s">
        <v>30</v>
      </c>
      <c r="K3087" t="s">
        <v>31</v>
      </c>
      <c r="M3087" t="s">
        <v>32</v>
      </c>
      <c r="N3087" t="str">
        <f>"12/10/2004 12:00:00 AM"</f>
        <v>12/10/2004 12:00:00 AM</v>
      </c>
      <c r="O3087" t="s">
        <v>9255</v>
      </c>
      <c r="T3087" t="s">
        <v>9458</v>
      </c>
    </row>
    <row r="3088" spans="1:20" x14ac:dyDescent="0.25">
      <c r="A3088" t="str">
        <f>"3045545"</f>
        <v>3045545</v>
      </c>
      <c r="B3088" t="s">
        <v>9459</v>
      </c>
      <c r="C3088" t="str">
        <f>"82526906"</f>
        <v>82526906</v>
      </c>
      <c r="D3088" t="s">
        <v>9460</v>
      </c>
      <c r="F3088" t="s">
        <v>9461</v>
      </c>
      <c r="I3088" t="s">
        <v>29</v>
      </c>
      <c r="J3088" t="s">
        <v>30</v>
      </c>
      <c r="K3088" t="s">
        <v>9462</v>
      </c>
      <c r="M3088" t="s">
        <v>32</v>
      </c>
      <c r="N3088" t="str">
        <f>"12/18/2008 12:00:00 AM"</f>
        <v>12/18/2008 12:00:00 AM</v>
      </c>
      <c r="O3088" t="s">
        <v>9460</v>
      </c>
      <c r="T3088" t="s">
        <v>9460</v>
      </c>
    </row>
    <row r="3089" spans="1:20" x14ac:dyDescent="0.25">
      <c r="A3089" t="str">
        <f>"3045413"</f>
        <v>3045413</v>
      </c>
      <c r="B3089" t="s">
        <v>9463</v>
      </c>
      <c r="C3089" t="str">
        <f>"82525807"</f>
        <v>82525807</v>
      </c>
      <c r="D3089" t="s">
        <v>9464</v>
      </c>
      <c r="E3089" t="s">
        <v>9465</v>
      </c>
      <c r="F3089" t="s">
        <v>8070</v>
      </c>
      <c r="I3089" t="s">
        <v>29</v>
      </c>
      <c r="J3089" t="s">
        <v>30</v>
      </c>
      <c r="K3089" t="s">
        <v>31</v>
      </c>
      <c r="M3089" t="s">
        <v>32</v>
      </c>
      <c r="N3089" t="str">
        <f>"1/12/2007 12:00:00 AM"</f>
        <v>1/12/2007 12:00:00 AM</v>
      </c>
      <c r="O3089" t="s">
        <v>9464</v>
      </c>
      <c r="T3089" t="s">
        <v>9465</v>
      </c>
    </row>
    <row r="3090" spans="1:20" x14ac:dyDescent="0.25">
      <c r="A3090" t="str">
        <f>"3057808"</f>
        <v>3057808</v>
      </c>
      <c r="B3090" t="s">
        <v>9466</v>
      </c>
      <c r="C3090" t="str">
        <f>"59117370"</f>
        <v>59117370</v>
      </c>
      <c r="D3090" t="s">
        <v>9467</v>
      </c>
      <c r="F3090" t="s">
        <v>9468</v>
      </c>
      <c r="I3090" t="s">
        <v>184</v>
      </c>
      <c r="J3090" t="s">
        <v>30</v>
      </c>
      <c r="K3090" t="s">
        <v>185</v>
      </c>
      <c r="M3090" t="s">
        <v>32</v>
      </c>
      <c r="N3090" t="str">
        <f>"4/7/2004 12:00:00 AM"</f>
        <v>4/7/2004 12:00:00 AM</v>
      </c>
      <c r="O3090" t="s">
        <v>9467</v>
      </c>
    </row>
    <row r="3091" spans="1:20" x14ac:dyDescent="0.25">
      <c r="A3091" t="str">
        <f>"3048690"</f>
        <v>3048690</v>
      </c>
      <c r="B3091" t="s">
        <v>9469</v>
      </c>
      <c r="C3091" t="str">
        <f>"82518270"</f>
        <v>82518270</v>
      </c>
      <c r="D3091" t="s">
        <v>9470</v>
      </c>
      <c r="F3091" t="s">
        <v>9471</v>
      </c>
      <c r="I3091" t="s">
        <v>29</v>
      </c>
      <c r="J3091" t="s">
        <v>30</v>
      </c>
      <c r="K3091" t="s">
        <v>31</v>
      </c>
      <c r="M3091" t="s">
        <v>32</v>
      </c>
      <c r="N3091" t="str">
        <f>"4/18/2002 12:00:00 AM"</f>
        <v>4/18/2002 12:00:00 AM</v>
      </c>
      <c r="O3091" t="s">
        <v>9470</v>
      </c>
    </row>
    <row r="3092" spans="1:20" x14ac:dyDescent="0.25">
      <c r="A3092" t="str">
        <f>"3048440"</f>
        <v>3048440</v>
      </c>
      <c r="B3092" t="s">
        <v>9472</v>
      </c>
      <c r="C3092" t="str">
        <f>"2268000"</f>
        <v>2268000</v>
      </c>
      <c r="D3092" t="s">
        <v>9473</v>
      </c>
      <c r="E3092" t="s">
        <v>9474</v>
      </c>
      <c r="F3092" t="s">
        <v>9475</v>
      </c>
      <c r="I3092" t="s">
        <v>29</v>
      </c>
      <c r="J3092" t="s">
        <v>30</v>
      </c>
      <c r="K3092" t="s">
        <v>9476</v>
      </c>
      <c r="M3092" t="s">
        <v>32</v>
      </c>
      <c r="N3092" t="str">
        <f>"2/6/2008 12:00:00 AM"</f>
        <v>2/6/2008 12:00:00 AM</v>
      </c>
      <c r="O3092" t="s">
        <v>9473</v>
      </c>
      <c r="T3092" t="s">
        <v>9474</v>
      </c>
    </row>
    <row r="3093" spans="1:20" x14ac:dyDescent="0.25">
      <c r="A3093" t="str">
        <f>"3048448"</f>
        <v>3048448</v>
      </c>
      <c r="B3093" t="s">
        <v>9477</v>
      </c>
      <c r="C3093" t="str">
        <f>"2268000"</f>
        <v>2268000</v>
      </c>
      <c r="D3093" t="s">
        <v>9473</v>
      </c>
      <c r="E3093" t="s">
        <v>9474</v>
      </c>
      <c r="F3093" t="s">
        <v>9475</v>
      </c>
      <c r="I3093" t="s">
        <v>29</v>
      </c>
      <c r="J3093" t="s">
        <v>30</v>
      </c>
      <c r="K3093" t="s">
        <v>9476</v>
      </c>
      <c r="M3093" t="s">
        <v>32</v>
      </c>
      <c r="N3093" t="str">
        <f>"2/6/2008 12:00:00 AM"</f>
        <v>2/6/2008 12:00:00 AM</v>
      </c>
      <c r="O3093" t="s">
        <v>9473</v>
      </c>
      <c r="T3093" t="s">
        <v>9474</v>
      </c>
    </row>
    <row r="3094" spans="1:20" x14ac:dyDescent="0.25">
      <c r="A3094" t="str">
        <f>"3048375"</f>
        <v>3048375</v>
      </c>
      <c r="B3094" t="s">
        <v>9478</v>
      </c>
      <c r="C3094" t="str">
        <f>"2268000"</f>
        <v>2268000</v>
      </c>
      <c r="D3094" t="s">
        <v>9473</v>
      </c>
      <c r="E3094" t="s">
        <v>9474</v>
      </c>
      <c r="F3094" t="s">
        <v>9475</v>
      </c>
      <c r="I3094" t="s">
        <v>29</v>
      </c>
      <c r="J3094" t="s">
        <v>30</v>
      </c>
      <c r="K3094" t="s">
        <v>9476</v>
      </c>
      <c r="M3094" t="s">
        <v>32</v>
      </c>
      <c r="N3094" t="str">
        <f>"2/6/2008 12:00:00 AM"</f>
        <v>2/6/2008 12:00:00 AM</v>
      </c>
      <c r="O3094" t="s">
        <v>9473</v>
      </c>
      <c r="T3094" t="s">
        <v>9474</v>
      </c>
    </row>
    <row r="3095" spans="1:20" x14ac:dyDescent="0.25">
      <c r="A3095" t="str">
        <f>"3049350"</f>
        <v>3049350</v>
      </c>
      <c r="B3095" t="s">
        <v>9479</v>
      </c>
      <c r="C3095" t="str">
        <f>"2268000"</f>
        <v>2268000</v>
      </c>
      <c r="D3095" t="s">
        <v>9473</v>
      </c>
      <c r="E3095" t="s">
        <v>9474</v>
      </c>
      <c r="F3095" t="s">
        <v>9475</v>
      </c>
      <c r="I3095" t="s">
        <v>29</v>
      </c>
      <c r="J3095" t="s">
        <v>30</v>
      </c>
      <c r="K3095" t="s">
        <v>9476</v>
      </c>
      <c r="M3095" t="s">
        <v>32</v>
      </c>
      <c r="N3095" t="str">
        <f>"2/6/2008 12:00:00 AM"</f>
        <v>2/6/2008 12:00:00 AM</v>
      </c>
      <c r="O3095" t="s">
        <v>9473</v>
      </c>
      <c r="T3095" t="s">
        <v>9474</v>
      </c>
    </row>
    <row r="3096" spans="1:20" x14ac:dyDescent="0.25">
      <c r="A3096" t="str">
        <f>"3057811"</f>
        <v>3057811</v>
      </c>
      <c r="B3096" t="s">
        <v>9480</v>
      </c>
      <c r="C3096" t="str">
        <f>"16670500"</f>
        <v>16670500</v>
      </c>
      <c r="D3096" t="s">
        <v>9481</v>
      </c>
      <c r="E3096" t="s">
        <v>9482</v>
      </c>
      <c r="F3096" t="s">
        <v>9483</v>
      </c>
      <c r="I3096" t="s">
        <v>184</v>
      </c>
      <c r="J3096" t="s">
        <v>30</v>
      </c>
      <c r="K3096" t="s">
        <v>9484</v>
      </c>
      <c r="M3096" t="s">
        <v>32</v>
      </c>
      <c r="N3096" t="str">
        <f>"1/8/2008 12:00:00 AM"</f>
        <v>1/8/2008 12:00:00 AM</v>
      </c>
      <c r="O3096" t="s">
        <v>9481</v>
      </c>
      <c r="T3096" t="s">
        <v>9482</v>
      </c>
    </row>
    <row r="3097" spans="1:20" x14ac:dyDescent="0.25">
      <c r="A3097" t="str">
        <f>"3056926"</f>
        <v>3056926</v>
      </c>
      <c r="B3097" t="s">
        <v>9485</v>
      </c>
      <c r="C3097" t="str">
        <f>"39121000"</f>
        <v>39121000</v>
      </c>
      <c r="D3097" t="s">
        <v>9486</v>
      </c>
      <c r="E3097" t="s">
        <v>9487</v>
      </c>
      <c r="F3097" t="s">
        <v>9488</v>
      </c>
      <c r="I3097" t="s">
        <v>29</v>
      </c>
      <c r="J3097" t="s">
        <v>30</v>
      </c>
      <c r="K3097" t="s">
        <v>9489</v>
      </c>
      <c r="M3097" t="s">
        <v>32</v>
      </c>
      <c r="N3097" t="str">
        <f>"2/1/2010 12:00:00 AM"</f>
        <v>2/1/2010 12:00:00 AM</v>
      </c>
      <c r="O3097" t="s">
        <v>9486</v>
      </c>
      <c r="T3097" t="s">
        <v>9487</v>
      </c>
    </row>
    <row r="3098" spans="1:20" x14ac:dyDescent="0.25">
      <c r="A3098" t="str">
        <f>"3056950"</f>
        <v>3056950</v>
      </c>
      <c r="B3098" t="s">
        <v>9490</v>
      </c>
      <c r="C3098" t="str">
        <f>"39121000"</f>
        <v>39121000</v>
      </c>
      <c r="D3098" t="s">
        <v>9486</v>
      </c>
      <c r="E3098" t="s">
        <v>9487</v>
      </c>
      <c r="F3098" t="s">
        <v>9488</v>
      </c>
      <c r="I3098" t="s">
        <v>29</v>
      </c>
      <c r="J3098" t="s">
        <v>30</v>
      </c>
      <c r="K3098" t="s">
        <v>9489</v>
      </c>
      <c r="M3098" t="s">
        <v>32</v>
      </c>
      <c r="N3098" t="str">
        <f>"2/1/2010 12:00:00 AM"</f>
        <v>2/1/2010 12:00:00 AM</v>
      </c>
      <c r="O3098" t="s">
        <v>9486</v>
      </c>
      <c r="T3098" t="s">
        <v>9487</v>
      </c>
    </row>
    <row r="3099" spans="1:20" x14ac:dyDescent="0.25">
      <c r="A3099" t="str">
        <f>"3061936"</f>
        <v>3061936</v>
      </c>
      <c r="B3099" t="s">
        <v>9491</v>
      </c>
      <c r="C3099" t="str">
        <f>"63708000"</f>
        <v>63708000</v>
      </c>
      <c r="D3099" t="s">
        <v>9492</v>
      </c>
      <c r="E3099" t="s">
        <v>9493</v>
      </c>
      <c r="F3099" t="s">
        <v>9494</v>
      </c>
      <c r="I3099" t="s">
        <v>29</v>
      </c>
      <c r="J3099" t="s">
        <v>30</v>
      </c>
      <c r="K3099" t="s">
        <v>9495</v>
      </c>
      <c r="M3099" t="s">
        <v>32</v>
      </c>
      <c r="N3099" t="str">
        <f>"2/23/2005 12:00:00 AM"</f>
        <v>2/23/2005 12:00:00 AM</v>
      </c>
      <c r="O3099" t="s">
        <v>9492</v>
      </c>
      <c r="T3099" t="s">
        <v>9493</v>
      </c>
    </row>
    <row r="3100" spans="1:20" x14ac:dyDescent="0.25">
      <c r="A3100" t="str">
        <f>"3064734"</f>
        <v>3064734</v>
      </c>
      <c r="B3100" t="s">
        <v>9496</v>
      </c>
      <c r="C3100" t="str">
        <f>"60265220"</f>
        <v>60265220</v>
      </c>
      <c r="D3100" t="s">
        <v>9497</v>
      </c>
      <c r="F3100" t="s">
        <v>9498</v>
      </c>
      <c r="I3100" t="s">
        <v>29</v>
      </c>
      <c r="J3100" t="s">
        <v>30</v>
      </c>
      <c r="K3100" t="s">
        <v>31</v>
      </c>
      <c r="M3100" t="s">
        <v>32</v>
      </c>
      <c r="N3100" t="str">
        <f>"4/8/2004 12:00:00 AM"</f>
        <v>4/8/2004 12:00:00 AM</v>
      </c>
      <c r="O3100" t="s">
        <v>9497</v>
      </c>
    </row>
    <row r="3101" spans="1:20" x14ac:dyDescent="0.25">
      <c r="A3101" t="str">
        <f>"3064730"</f>
        <v>3064730</v>
      </c>
      <c r="B3101" t="s">
        <v>9499</v>
      </c>
      <c r="C3101" t="str">
        <f>"77211870"</f>
        <v>77211870</v>
      </c>
      <c r="D3101" t="s">
        <v>9500</v>
      </c>
      <c r="E3101" t="s">
        <v>9501</v>
      </c>
      <c r="F3101" t="s">
        <v>9502</v>
      </c>
      <c r="I3101" t="s">
        <v>29</v>
      </c>
      <c r="J3101" t="s">
        <v>30</v>
      </c>
      <c r="K3101" t="s">
        <v>31</v>
      </c>
      <c r="M3101" t="s">
        <v>32</v>
      </c>
      <c r="N3101" t="str">
        <f>"5/7/2009 12:00:00 AM"</f>
        <v>5/7/2009 12:00:00 AM</v>
      </c>
      <c r="O3101" t="s">
        <v>9500</v>
      </c>
      <c r="T3101" t="s">
        <v>9501</v>
      </c>
    </row>
    <row r="3102" spans="1:20" x14ac:dyDescent="0.25">
      <c r="A3102" t="str">
        <f>"3064731"</f>
        <v>3064731</v>
      </c>
      <c r="B3102" t="s">
        <v>9503</v>
      </c>
      <c r="C3102" t="str">
        <f>"82529813"</f>
        <v>82529813</v>
      </c>
      <c r="D3102" t="s">
        <v>9504</v>
      </c>
      <c r="E3102" t="s">
        <v>9505</v>
      </c>
      <c r="F3102" t="s">
        <v>9506</v>
      </c>
      <c r="I3102" t="s">
        <v>29</v>
      </c>
      <c r="J3102" t="s">
        <v>30</v>
      </c>
      <c r="K3102" t="s">
        <v>31</v>
      </c>
      <c r="M3102" t="s">
        <v>32</v>
      </c>
      <c r="N3102" t="str">
        <f>"7/8/2008 12:00:00 AM"</f>
        <v>7/8/2008 12:00:00 AM</v>
      </c>
      <c r="O3102" t="s">
        <v>9504</v>
      </c>
      <c r="T3102" t="s">
        <v>9505</v>
      </c>
    </row>
    <row r="3103" spans="1:20" x14ac:dyDescent="0.25">
      <c r="A3103" t="str">
        <f>"3057767"</f>
        <v>3057767</v>
      </c>
      <c r="B3103" t="s">
        <v>9507</v>
      </c>
      <c r="C3103" t="str">
        <f>"82526924"</f>
        <v>82526924</v>
      </c>
      <c r="D3103" t="s">
        <v>9508</v>
      </c>
      <c r="F3103" t="s">
        <v>9509</v>
      </c>
      <c r="I3103" t="s">
        <v>29</v>
      </c>
      <c r="J3103" t="s">
        <v>30</v>
      </c>
      <c r="K3103" t="s">
        <v>31</v>
      </c>
      <c r="M3103" t="s">
        <v>32</v>
      </c>
      <c r="N3103" t="str">
        <f>"4/24/2007 12:00:00 AM"</f>
        <v>4/24/2007 12:00:00 AM</v>
      </c>
      <c r="O3103" t="s">
        <v>9508</v>
      </c>
    </row>
    <row r="3104" spans="1:20" x14ac:dyDescent="0.25">
      <c r="A3104" t="str">
        <f>"3045112"</f>
        <v>3045112</v>
      </c>
      <c r="B3104" t="s">
        <v>9510</v>
      </c>
      <c r="C3104" t="str">
        <f>"71864000"</f>
        <v>71864000</v>
      </c>
      <c r="D3104" t="s">
        <v>9511</v>
      </c>
      <c r="F3104" t="str">
        <f>"C/O WILLIE RICHARD STUDEVENT"</f>
        <v>C/O WILLIE RICHARD STUDEVENT</v>
      </c>
      <c r="G3104" t="s">
        <v>9284</v>
      </c>
      <c r="I3104" t="s">
        <v>29</v>
      </c>
      <c r="J3104" t="s">
        <v>30</v>
      </c>
      <c r="K3104" t="s">
        <v>31</v>
      </c>
      <c r="M3104" t="s">
        <v>32</v>
      </c>
      <c r="N3104" t="str">
        <f>"2/11/2009 12:00:00 AM"</f>
        <v>2/11/2009 12:00:00 AM</v>
      </c>
      <c r="O3104" t="s">
        <v>9511</v>
      </c>
    </row>
    <row r="3105" spans="1:20" x14ac:dyDescent="0.25">
      <c r="A3105" t="str">
        <f>"3045644"</f>
        <v>3045644</v>
      </c>
      <c r="B3105" t="s">
        <v>9512</v>
      </c>
      <c r="C3105" t="str">
        <f>"82524258"</f>
        <v>82524258</v>
      </c>
      <c r="D3105" t="s">
        <v>9513</v>
      </c>
      <c r="F3105" t="s">
        <v>9514</v>
      </c>
      <c r="I3105" t="s">
        <v>29</v>
      </c>
      <c r="J3105" t="s">
        <v>30</v>
      </c>
      <c r="K3105" t="s">
        <v>9396</v>
      </c>
      <c r="M3105" t="s">
        <v>32</v>
      </c>
      <c r="N3105" t="str">
        <f>"2/1/2006 12:00:00 AM"</f>
        <v>2/1/2006 12:00:00 AM</v>
      </c>
      <c r="O3105" t="s">
        <v>9513</v>
      </c>
    </row>
    <row r="3106" spans="1:20" x14ac:dyDescent="0.25">
      <c r="A3106" t="str">
        <f>"3045423"</f>
        <v>3045423</v>
      </c>
      <c r="B3106" t="s">
        <v>9515</v>
      </c>
      <c r="C3106" t="str">
        <f>"45613250"</f>
        <v>45613250</v>
      </c>
      <c r="D3106" t="s">
        <v>9516</v>
      </c>
      <c r="F3106" t="s">
        <v>9517</v>
      </c>
      <c r="I3106" t="s">
        <v>29</v>
      </c>
      <c r="J3106" t="s">
        <v>30</v>
      </c>
      <c r="K3106" t="s">
        <v>9518</v>
      </c>
      <c r="M3106" t="s">
        <v>32</v>
      </c>
      <c r="N3106" t="str">
        <f>"9/2/2011 12:00:00 AM"</f>
        <v>9/2/2011 12:00:00 AM</v>
      </c>
      <c r="O3106" t="s">
        <v>9516</v>
      </c>
    </row>
    <row r="3107" spans="1:20" x14ac:dyDescent="0.25">
      <c r="A3107" t="str">
        <f>"3045962"</f>
        <v>3045962</v>
      </c>
      <c r="B3107" t="s">
        <v>9519</v>
      </c>
      <c r="C3107" t="str">
        <f>"2212000"</f>
        <v>2212000</v>
      </c>
      <c r="D3107" t="s">
        <v>9520</v>
      </c>
      <c r="E3107" t="s">
        <v>9521</v>
      </c>
      <c r="F3107" t="s">
        <v>9522</v>
      </c>
      <c r="I3107" t="s">
        <v>29</v>
      </c>
      <c r="J3107" t="s">
        <v>30</v>
      </c>
      <c r="K3107" t="s">
        <v>31</v>
      </c>
      <c r="M3107" t="s">
        <v>32</v>
      </c>
      <c r="N3107" t="str">
        <f>"5/13/2003 12:00:00 AM"</f>
        <v>5/13/2003 12:00:00 AM</v>
      </c>
      <c r="O3107" t="s">
        <v>9520</v>
      </c>
      <c r="T3107" t="s">
        <v>9521</v>
      </c>
    </row>
    <row r="3108" spans="1:20" x14ac:dyDescent="0.25">
      <c r="A3108" t="str">
        <f>"3046138"</f>
        <v>3046138</v>
      </c>
      <c r="B3108" t="s">
        <v>9523</v>
      </c>
      <c r="C3108" t="str">
        <f>"2212000"</f>
        <v>2212000</v>
      </c>
      <c r="D3108" t="s">
        <v>9520</v>
      </c>
      <c r="E3108" t="s">
        <v>9521</v>
      </c>
      <c r="F3108" t="s">
        <v>9522</v>
      </c>
      <c r="I3108" t="s">
        <v>29</v>
      </c>
      <c r="J3108" t="s">
        <v>30</v>
      </c>
      <c r="K3108" t="s">
        <v>31</v>
      </c>
      <c r="M3108" t="s">
        <v>32</v>
      </c>
      <c r="N3108" t="str">
        <f>"5/13/2003 12:00:00 AM"</f>
        <v>5/13/2003 12:00:00 AM</v>
      </c>
      <c r="O3108" t="s">
        <v>9520</v>
      </c>
      <c r="T3108" t="s">
        <v>9521</v>
      </c>
    </row>
    <row r="3109" spans="1:20" x14ac:dyDescent="0.25">
      <c r="A3109" t="str">
        <f>"3078121"</f>
        <v>3078121</v>
      </c>
      <c r="B3109" t="s">
        <v>9524</v>
      </c>
      <c r="C3109" t="str">
        <f>"78194000"</f>
        <v>78194000</v>
      </c>
      <c r="D3109" t="s">
        <v>9525</v>
      </c>
      <c r="F3109" t="s">
        <v>9526</v>
      </c>
      <c r="I3109" t="s">
        <v>6801</v>
      </c>
      <c r="J3109" t="s">
        <v>30</v>
      </c>
      <c r="K3109" t="s">
        <v>9527</v>
      </c>
      <c r="M3109" t="s">
        <v>32</v>
      </c>
      <c r="N3109" t="str">
        <f>"6/28/2004 12:00:00 AM"</f>
        <v>6/28/2004 12:00:00 AM</v>
      </c>
      <c r="O3109" t="s">
        <v>9525</v>
      </c>
    </row>
    <row r="3110" spans="1:20" x14ac:dyDescent="0.25">
      <c r="A3110" t="str">
        <f>"3045961"</f>
        <v>3045961</v>
      </c>
      <c r="B3110" t="s">
        <v>9528</v>
      </c>
      <c r="C3110" t="str">
        <f>"41523250"</f>
        <v>41523250</v>
      </c>
      <c r="D3110" t="s">
        <v>9529</v>
      </c>
      <c r="F3110" t="s">
        <v>9530</v>
      </c>
      <c r="I3110" t="s">
        <v>29</v>
      </c>
      <c r="J3110" t="s">
        <v>30</v>
      </c>
      <c r="K3110" t="s">
        <v>31</v>
      </c>
      <c r="M3110" t="s">
        <v>32</v>
      </c>
      <c r="N3110" t="str">
        <f>"7/29/2002 12:00:00 AM"</f>
        <v>7/29/2002 12:00:00 AM</v>
      </c>
      <c r="O3110" t="s">
        <v>9529</v>
      </c>
    </row>
    <row r="3111" spans="1:20" x14ac:dyDescent="0.25">
      <c r="A3111" t="str">
        <f>"3045964"</f>
        <v>3045964</v>
      </c>
      <c r="B3111" t="s">
        <v>9531</v>
      </c>
      <c r="C3111" t="str">
        <f>"77968500"</f>
        <v>77968500</v>
      </c>
      <c r="D3111" t="s">
        <v>9532</v>
      </c>
      <c r="F3111" t="s">
        <v>9533</v>
      </c>
      <c r="I3111" t="s">
        <v>29</v>
      </c>
      <c r="J3111" t="s">
        <v>30</v>
      </c>
      <c r="K3111" t="s">
        <v>31</v>
      </c>
      <c r="M3111" t="s">
        <v>32</v>
      </c>
      <c r="N3111" t="str">
        <f>"7/29/2002 12:00:00 AM"</f>
        <v>7/29/2002 12:00:00 AM</v>
      </c>
      <c r="O3111" t="s">
        <v>9532</v>
      </c>
    </row>
    <row r="3112" spans="1:20" x14ac:dyDescent="0.25">
      <c r="A3112" t="str">
        <f>"3045842"</f>
        <v>3045842</v>
      </c>
      <c r="B3112" t="s">
        <v>9534</v>
      </c>
      <c r="C3112" t="str">
        <f>"77968500"</f>
        <v>77968500</v>
      </c>
      <c r="D3112" t="s">
        <v>9532</v>
      </c>
      <c r="F3112" t="s">
        <v>9533</v>
      </c>
      <c r="I3112" t="s">
        <v>29</v>
      </c>
      <c r="J3112" t="s">
        <v>30</v>
      </c>
      <c r="K3112" t="s">
        <v>31</v>
      </c>
      <c r="M3112" t="s">
        <v>32</v>
      </c>
      <c r="N3112" t="str">
        <f>"7/29/2002 12:00:00 AM"</f>
        <v>7/29/2002 12:00:00 AM</v>
      </c>
      <c r="O3112" t="s">
        <v>9532</v>
      </c>
    </row>
    <row r="3113" spans="1:20" x14ac:dyDescent="0.25">
      <c r="A3113" t="str">
        <f>"3046074"</f>
        <v>3046074</v>
      </c>
      <c r="B3113" t="s">
        <v>9535</v>
      </c>
      <c r="C3113" t="str">
        <f>"77968500"</f>
        <v>77968500</v>
      </c>
      <c r="D3113" t="s">
        <v>9532</v>
      </c>
      <c r="F3113" t="s">
        <v>9533</v>
      </c>
      <c r="I3113" t="s">
        <v>29</v>
      </c>
      <c r="J3113" t="s">
        <v>30</v>
      </c>
      <c r="K3113" t="s">
        <v>31</v>
      </c>
      <c r="M3113" t="s">
        <v>32</v>
      </c>
      <c r="N3113" t="str">
        <f>"7/29/2002 12:00:00 AM"</f>
        <v>7/29/2002 12:00:00 AM</v>
      </c>
      <c r="O3113" t="s">
        <v>9532</v>
      </c>
    </row>
    <row r="3114" spans="1:20" x14ac:dyDescent="0.25">
      <c r="A3114" t="str">
        <f>"3045024"</f>
        <v>3045024</v>
      </c>
      <c r="B3114" t="s">
        <v>9536</v>
      </c>
      <c r="C3114" t="str">
        <f>"71932500"</f>
        <v>71932500</v>
      </c>
      <c r="D3114" t="s">
        <v>9537</v>
      </c>
      <c r="F3114" t="s">
        <v>9284</v>
      </c>
      <c r="I3114" t="s">
        <v>29</v>
      </c>
      <c r="J3114" t="s">
        <v>30</v>
      </c>
      <c r="K3114" t="s">
        <v>9538</v>
      </c>
      <c r="M3114" t="s">
        <v>32</v>
      </c>
      <c r="N3114" t="str">
        <f>"5/22/2008 12:00:00 AM"</f>
        <v>5/22/2008 12:00:00 AM</v>
      </c>
      <c r="O3114" t="s">
        <v>9537</v>
      </c>
    </row>
    <row r="3115" spans="1:20" x14ac:dyDescent="0.25">
      <c r="A3115" t="str">
        <f>"3046090"</f>
        <v>3046090</v>
      </c>
      <c r="B3115" t="s">
        <v>9539</v>
      </c>
      <c r="C3115" t="str">
        <f>"47624500"</f>
        <v>47624500</v>
      </c>
      <c r="D3115" t="s">
        <v>9540</v>
      </c>
      <c r="F3115" t="s">
        <v>9541</v>
      </c>
      <c r="I3115" t="s">
        <v>29</v>
      </c>
      <c r="J3115" t="s">
        <v>30</v>
      </c>
      <c r="K3115" t="s">
        <v>9542</v>
      </c>
      <c r="M3115" t="s">
        <v>32</v>
      </c>
      <c r="N3115" t="str">
        <f>"3/7/2005 12:00:00 AM"</f>
        <v>3/7/2005 12:00:00 AM</v>
      </c>
      <c r="O3115" t="s">
        <v>9540</v>
      </c>
    </row>
    <row r="3116" spans="1:20" x14ac:dyDescent="0.25">
      <c r="A3116" t="str">
        <f>"3046043"</f>
        <v>3046043</v>
      </c>
      <c r="B3116" t="s">
        <v>9543</v>
      </c>
      <c r="C3116" t="str">
        <f>"43316000"</f>
        <v>43316000</v>
      </c>
      <c r="D3116" t="s">
        <v>9544</v>
      </c>
      <c r="E3116" t="s">
        <v>9545</v>
      </c>
      <c r="F3116" t="s">
        <v>9546</v>
      </c>
      <c r="I3116" t="s">
        <v>29</v>
      </c>
      <c r="J3116" t="s">
        <v>30</v>
      </c>
      <c r="K3116" t="s">
        <v>31</v>
      </c>
      <c r="M3116" t="s">
        <v>32</v>
      </c>
      <c r="N3116" t="str">
        <f>"11/24/2003 12:00:00 AM"</f>
        <v>11/24/2003 12:00:00 AM</v>
      </c>
      <c r="O3116" t="s">
        <v>9544</v>
      </c>
      <c r="T3116" t="s">
        <v>9545</v>
      </c>
    </row>
    <row r="3117" spans="1:20" x14ac:dyDescent="0.25">
      <c r="A3117" t="str">
        <f>"3045991"</f>
        <v>3045991</v>
      </c>
      <c r="B3117" t="s">
        <v>9547</v>
      </c>
      <c r="C3117" t="str">
        <f>"43316000"</f>
        <v>43316000</v>
      </c>
      <c r="D3117" t="s">
        <v>9544</v>
      </c>
      <c r="E3117" t="s">
        <v>9545</v>
      </c>
      <c r="F3117" t="s">
        <v>9546</v>
      </c>
      <c r="I3117" t="s">
        <v>29</v>
      </c>
      <c r="J3117" t="s">
        <v>30</v>
      </c>
      <c r="K3117" t="s">
        <v>31</v>
      </c>
      <c r="M3117" t="s">
        <v>32</v>
      </c>
      <c r="N3117" t="str">
        <f>"11/24/2003 12:00:00 AM"</f>
        <v>11/24/2003 12:00:00 AM</v>
      </c>
      <c r="O3117" t="s">
        <v>9544</v>
      </c>
      <c r="T3117" t="s">
        <v>9545</v>
      </c>
    </row>
    <row r="3118" spans="1:20" x14ac:dyDescent="0.25">
      <c r="A3118" t="str">
        <f>"3078135"</f>
        <v>3078135</v>
      </c>
      <c r="B3118" t="s">
        <v>9548</v>
      </c>
      <c r="C3118" t="str">
        <f>"43316000"</f>
        <v>43316000</v>
      </c>
      <c r="D3118" t="s">
        <v>9544</v>
      </c>
      <c r="E3118" t="s">
        <v>9545</v>
      </c>
      <c r="F3118" t="s">
        <v>9546</v>
      </c>
      <c r="I3118" t="s">
        <v>29</v>
      </c>
      <c r="J3118" t="s">
        <v>30</v>
      </c>
      <c r="K3118" t="s">
        <v>31</v>
      </c>
      <c r="M3118" t="s">
        <v>32</v>
      </c>
      <c r="N3118" t="str">
        <f>"11/24/2003 12:00:00 AM"</f>
        <v>11/24/2003 12:00:00 AM</v>
      </c>
      <c r="O3118" t="s">
        <v>9544</v>
      </c>
      <c r="T3118" t="s">
        <v>9545</v>
      </c>
    </row>
    <row r="3119" spans="1:20" x14ac:dyDescent="0.25">
      <c r="A3119" t="str">
        <f>"3078137"</f>
        <v>3078137</v>
      </c>
      <c r="B3119" t="s">
        <v>9549</v>
      </c>
      <c r="C3119" t="str">
        <f>"43316000"</f>
        <v>43316000</v>
      </c>
      <c r="D3119" t="s">
        <v>9544</v>
      </c>
      <c r="E3119" t="s">
        <v>9545</v>
      </c>
      <c r="F3119" t="s">
        <v>9546</v>
      </c>
      <c r="I3119" t="s">
        <v>29</v>
      </c>
      <c r="J3119" t="s">
        <v>30</v>
      </c>
      <c r="K3119" t="s">
        <v>31</v>
      </c>
      <c r="M3119" t="s">
        <v>32</v>
      </c>
      <c r="N3119" t="str">
        <f>"11/24/2003 12:00:00 AM"</f>
        <v>11/24/2003 12:00:00 AM</v>
      </c>
      <c r="O3119" t="s">
        <v>9544</v>
      </c>
      <c r="T3119" t="s">
        <v>9545</v>
      </c>
    </row>
    <row r="3120" spans="1:20" x14ac:dyDescent="0.25">
      <c r="A3120" t="str">
        <f>"3071000"</f>
        <v>3071000</v>
      </c>
      <c r="B3120" t="s">
        <v>9550</v>
      </c>
      <c r="C3120" t="str">
        <f>"43316000"</f>
        <v>43316000</v>
      </c>
      <c r="D3120" t="s">
        <v>9544</v>
      </c>
      <c r="E3120" t="s">
        <v>9545</v>
      </c>
      <c r="F3120" t="s">
        <v>9546</v>
      </c>
      <c r="I3120" t="s">
        <v>29</v>
      </c>
      <c r="J3120" t="s">
        <v>30</v>
      </c>
      <c r="K3120" t="s">
        <v>31</v>
      </c>
      <c r="M3120" t="s">
        <v>32</v>
      </c>
      <c r="N3120" t="str">
        <f>"11/24/2003 12:00:00 AM"</f>
        <v>11/24/2003 12:00:00 AM</v>
      </c>
      <c r="O3120" t="s">
        <v>9544</v>
      </c>
      <c r="T3120" t="s">
        <v>9545</v>
      </c>
    </row>
    <row r="3121" spans="1:20" x14ac:dyDescent="0.25">
      <c r="A3121" t="str">
        <f>"3046150"</f>
        <v>3046150</v>
      </c>
      <c r="B3121" t="s">
        <v>9551</v>
      </c>
      <c r="C3121" t="str">
        <f>"82515671"</f>
        <v>82515671</v>
      </c>
      <c r="D3121" t="s">
        <v>9552</v>
      </c>
      <c r="F3121" t="s">
        <v>9553</v>
      </c>
      <c r="I3121" t="s">
        <v>29</v>
      </c>
      <c r="J3121" t="s">
        <v>30</v>
      </c>
      <c r="K3121" t="s">
        <v>31</v>
      </c>
      <c r="M3121" t="s">
        <v>32</v>
      </c>
      <c r="N3121" t="str">
        <f>"11/15/2001 12:00:00 AM"</f>
        <v>11/15/2001 12:00:00 AM</v>
      </c>
      <c r="O3121" t="s">
        <v>9552</v>
      </c>
    </row>
    <row r="3122" spans="1:20" x14ac:dyDescent="0.25">
      <c r="A3122" t="str">
        <f>"3045808"</f>
        <v>3045808</v>
      </c>
      <c r="B3122" t="s">
        <v>9554</v>
      </c>
      <c r="C3122" t="str">
        <f>"82524085"</f>
        <v>82524085</v>
      </c>
      <c r="D3122" t="s">
        <v>9555</v>
      </c>
      <c r="F3122" t="s">
        <v>9556</v>
      </c>
      <c r="I3122" t="s">
        <v>29</v>
      </c>
      <c r="J3122" t="s">
        <v>30</v>
      </c>
      <c r="K3122" t="s">
        <v>9557</v>
      </c>
      <c r="M3122" t="s">
        <v>32</v>
      </c>
      <c r="N3122" t="str">
        <f>"1/26/2006 12:00:00 AM"</f>
        <v>1/26/2006 12:00:00 AM</v>
      </c>
      <c r="O3122" t="s">
        <v>9555</v>
      </c>
    </row>
    <row r="3123" spans="1:20" x14ac:dyDescent="0.25">
      <c r="A3123" t="str">
        <f>"3054368"</f>
        <v>3054368</v>
      </c>
      <c r="B3123" t="s">
        <v>9558</v>
      </c>
      <c r="C3123" t="str">
        <f>"78114000"</f>
        <v>78114000</v>
      </c>
      <c r="D3123" t="s">
        <v>9559</v>
      </c>
      <c r="E3123" t="s">
        <v>9560</v>
      </c>
      <c r="F3123" t="s">
        <v>9561</v>
      </c>
      <c r="I3123" t="s">
        <v>29</v>
      </c>
      <c r="J3123" t="s">
        <v>30</v>
      </c>
      <c r="K3123" t="s">
        <v>31</v>
      </c>
      <c r="M3123" t="s">
        <v>32</v>
      </c>
      <c r="N3123" t="str">
        <f>"7/30/2002 12:00:00 AM"</f>
        <v>7/30/2002 12:00:00 AM</v>
      </c>
      <c r="O3123" t="s">
        <v>9559</v>
      </c>
      <c r="T3123" t="s">
        <v>9560</v>
      </c>
    </row>
    <row r="3124" spans="1:20" x14ac:dyDescent="0.25">
      <c r="A3124" t="str">
        <f>"3066287"</f>
        <v>3066287</v>
      </c>
      <c r="B3124" t="s">
        <v>9562</v>
      </c>
      <c r="C3124" t="str">
        <f>"78114000"</f>
        <v>78114000</v>
      </c>
      <c r="D3124" t="s">
        <v>9559</v>
      </c>
      <c r="E3124" t="s">
        <v>9560</v>
      </c>
      <c r="F3124" t="s">
        <v>9561</v>
      </c>
      <c r="I3124" t="s">
        <v>29</v>
      </c>
      <c r="J3124" t="s">
        <v>30</v>
      </c>
      <c r="K3124" t="s">
        <v>31</v>
      </c>
      <c r="M3124" t="s">
        <v>32</v>
      </c>
      <c r="N3124" t="str">
        <f>"7/30/2002 12:00:00 AM"</f>
        <v>7/30/2002 12:00:00 AM</v>
      </c>
      <c r="O3124" t="s">
        <v>9559</v>
      </c>
      <c r="T3124" t="s">
        <v>9560</v>
      </c>
    </row>
    <row r="3125" spans="1:20" x14ac:dyDescent="0.25">
      <c r="A3125" t="str">
        <f>"3093076"</f>
        <v>3093076</v>
      </c>
      <c r="B3125" t="s">
        <v>9563</v>
      </c>
      <c r="C3125" t="str">
        <f>"82528517"</f>
        <v>82528517</v>
      </c>
      <c r="D3125" t="s">
        <v>9564</v>
      </c>
      <c r="F3125" t="s">
        <v>9565</v>
      </c>
      <c r="I3125" t="s">
        <v>402</v>
      </c>
      <c r="J3125" t="s">
        <v>30</v>
      </c>
      <c r="K3125" t="s">
        <v>403</v>
      </c>
      <c r="M3125" t="s">
        <v>32</v>
      </c>
      <c r="N3125" t="str">
        <f>"8/20/2007 12:00:00 AM"</f>
        <v>8/20/2007 12:00:00 AM</v>
      </c>
      <c r="O3125" t="s">
        <v>9564</v>
      </c>
    </row>
    <row r="3126" spans="1:20" x14ac:dyDescent="0.25">
      <c r="A3126" t="str">
        <f>"3057272"</f>
        <v>3057272</v>
      </c>
      <c r="B3126" t="s">
        <v>9566</v>
      </c>
      <c r="C3126" t="str">
        <f>"82529093"</f>
        <v>82529093</v>
      </c>
      <c r="D3126" t="s">
        <v>9567</v>
      </c>
      <c r="F3126" t="s">
        <v>9568</v>
      </c>
      <c r="I3126" t="s">
        <v>29</v>
      </c>
      <c r="J3126" t="s">
        <v>30</v>
      </c>
      <c r="K3126" t="s">
        <v>31</v>
      </c>
      <c r="M3126" t="s">
        <v>32</v>
      </c>
      <c r="N3126" t="str">
        <f>"11/17/2008 12:00:00 AM"</f>
        <v>11/17/2008 12:00:00 AM</v>
      </c>
      <c r="O3126" t="s">
        <v>9567</v>
      </c>
    </row>
    <row r="3127" spans="1:20" x14ac:dyDescent="0.25">
      <c r="A3127" t="str">
        <f>"3078075"</f>
        <v>3078075</v>
      </c>
      <c r="B3127" t="s">
        <v>9569</v>
      </c>
      <c r="C3127" t="str">
        <f>"47808000"</f>
        <v>47808000</v>
      </c>
      <c r="D3127" t="s">
        <v>9307</v>
      </c>
      <c r="E3127" t="s">
        <v>9308</v>
      </c>
      <c r="F3127" t="s">
        <v>9309</v>
      </c>
      <c r="I3127" t="s">
        <v>29</v>
      </c>
      <c r="J3127" t="s">
        <v>30</v>
      </c>
      <c r="K3127" t="s">
        <v>9310</v>
      </c>
      <c r="M3127" t="s">
        <v>32</v>
      </c>
      <c r="N3127" t="str">
        <f>"2/10/2005 12:00:00 AM"</f>
        <v>2/10/2005 12:00:00 AM</v>
      </c>
      <c r="O3127" t="s">
        <v>9307</v>
      </c>
      <c r="T3127" t="s">
        <v>9308</v>
      </c>
    </row>
    <row r="3128" spans="1:20" x14ac:dyDescent="0.25">
      <c r="A3128" t="str">
        <f>"3045703"</f>
        <v>3045703</v>
      </c>
      <c r="B3128" t="s">
        <v>9570</v>
      </c>
      <c r="C3128" t="str">
        <f>"82527372"</f>
        <v>82527372</v>
      </c>
      <c r="D3128" t="s">
        <v>9571</v>
      </c>
      <c r="E3128" t="s">
        <v>9572</v>
      </c>
      <c r="F3128" t="s">
        <v>9573</v>
      </c>
      <c r="I3128" t="s">
        <v>29</v>
      </c>
      <c r="J3128" t="s">
        <v>30</v>
      </c>
      <c r="K3128" t="s">
        <v>31</v>
      </c>
      <c r="M3128" t="s">
        <v>32</v>
      </c>
      <c r="N3128" t="str">
        <f>"9/20/2010 12:00:00 AM"</f>
        <v>9/20/2010 12:00:00 AM</v>
      </c>
      <c r="O3128" t="s">
        <v>9571</v>
      </c>
      <c r="T3128" t="s">
        <v>9572</v>
      </c>
    </row>
    <row r="3129" spans="1:20" x14ac:dyDescent="0.25">
      <c r="A3129" t="str">
        <f>"3048466"</f>
        <v>3048466</v>
      </c>
      <c r="B3129" t="s">
        <v>9574</v>
      </c>
      <c r="C3129" t="str">
        <f>"23997500"</f>
        <v>23997500</v>
      </c>
      <c r="D3129" t="s">
        <v>9575</v>
      </c>
      <c r="F3129" t="s">
        <v>9576</v>
      </c>
      <c r="I3129" t="s">
        <v>29</v>
      </c>
      <c r="J3129" t="s">
        <v>30</v>
      </c>
      <c r="K3129" t="s">
        <v>31</v>
      </c>
      <c r="M3129" t="s">
        <v>32</v>
      </c>
      <c r="N3129" t="str">
        <f>"2/14/2008 12:00:00 AM"</f>
        <v>2/14/2008 12:00:00 AM</v>
      </c>
      <c r="O3129" t="s">
        <v>9575</v>
      </c>
    </row>
    <row r="3130" spans="1:20" x14ac:dyDescent="0.25">
      <c r="A3130" t="str">
        <f>"3051134"</f>
        <v>3051134</v>
      </c>
      <c r="B3130" t="s">
        <v>9577</v>
      </c>
      <c r="C3130" t="str">
        <f t="shared" ref="C3130:C3136" si="55">"82520093"</f>
        <v>82520093</v>
      </c>
      <c r="D3130" t="s">
        <v>9578</v>
      </c>
      <c r="F3130" t="s">
        <v>9579</v>
      </c>
      <c r="I3130" t="s">
        <v>9580</v>
      </c>
      <c r="J3130" t="s">
        <v>30</v>
      </c>
      <c r="K3130" t="s">
        <v>9581</v>
      </c>
      <c r="M3130" t="s">
        <v>32</v>
      </c>
      <c r="N3130" t="str">
        <f t="shared" ref="N3130:N3136" si="56">"8/21/2006 12:00:00 AM"</f>
        <v>8/21/2006 12:00:00 AM</v>
      </c>
      <c r="O3130" t="s">
        <v>9578</v>
      </c>
    </row>
    <row r="3131" spans="1:20" x14ac:dyDescent="0.25">
      <c r="A3131" t="str">
        <f>"3051628"</f>
        <v>3051628</v>
      </c>
      <c r="B3131" t="s">
        <v>9582</v>
      </c>
      <c r="C3131" t="str">
        <f t="shared" si="55"/>
        <v>82520093</v>
      </c>
      <c r="D3131" t="s">
        <v>9578</v>
      </c>
      <c r="F3131" t="s">
        <v>9579</v>
      </c>
      <c r="I3131" t="s">
        <v>9580</v>
      </c>
      <c r="J3131" t="s">
        <v>30</v>
      </c>
      <c r="K3131" t="s">
        <v>9581</v>
      </c>
      <c r="M3131" t="s">
        <v>32</v>
      </c>
      <c r="N3131" t="str">
        <f t="shared" si="56"/>
        <v>8/21/2006 12:00:00 AM</v>
      </c>
      <c r="O3131" t="s">
        <v>9578</v>
      </c>
    </row>
    <row r="3132" spans="1:20" x14ac:dyDescent="0.25">
      <c r="A3132" t="str">
        <f>"3051631"</f>
        <v>3051631</v>
      </c>
      <c r="B3132" t="s">
        <v>9583</v>
      </c>
      <c r="C3132" t="str">
        <f t="shared" si="55"/>
        <v>82520093</v>
      </c>
      <c r="D3132" t="s">
        <v>9578</v>
      </c>
      <c r="F3132" t="s">
        <v>9579</v>
      </c>
      <c r="I3132" t="s">
        <v>9580</v>
      </c>
      <c r="J3132" t="s">
        <v>30</v>
      </c>
      <c r="K3132" t="s">
        <v>9581</v>
      </c>
      <c r="M3132" t="s">
        <v>32</v>
      </c>
      <c r="N3132" t="str">
        <f t="shared" si="56"/>
        <v>8/21/2006 12:00:00 AM</v>
      </c>
      <c r="O3132" t="s">
        <v>9578</v>
      </c>
    </row>
    <row r="3133" spans="1:20" x14ac:dyDescent="0.25">
      <c r="A3133" t="str">
        <f>"3051632"</f>
        <v>3051632</v>
      </c>
      <c r="B3133" t="s">
        <v>9584</v>
      </c>
      <c r="C3133" t="str">
        <f t="shared" si="55"/>
        <v>82520093</v>
      </c>
      <c r="D3133" t="s">
        <v>9578</v>
      </c>
      <c r="F3133" t="s">
        <v>9579</v>
      </c>
      <c r="I3133" t="s">
        <v>9580</v>
      </c>
      <c r="J3133" t="s">
        <v>30</v>
      </c>
      <c r="K3133" t="s">
        <v>9581</v>
      </c>
      <c r="M3133" t="s">
        <v>32</v>
      </c>
      <c r="N3133" t="str">
        <f t="shared" si="56"/>
        <v>8/21/2006 12:00:00 AM</v>
      </c>
      <c r="O3133" t="s">
        <v>9578</v>
      </c>
    </row>
    <row r="3134" spans="1:20" x14ac:dyDescent="0.25">
      <c r="A3134" t="str">
        <f>"3074586"</f>
        <v>3074586</v>
      </c>
      <c r="B3134" t="s">
        <v>9585</v>
      </c>
      <c r="C3134" t="str">
        <f t="shared" si="55"/>
        <v>82520093</v>
      </c>
      <c r="D3134" t="s">
        <v>9578</v>
      </c>
      <c r="F3134" t="s">
        <v>9579</v>
      </c>
      <c r="I3134" t="s">
        <v>9580</v>
      </c>
      <c r="J3134" t="s">
        <v>30</v>
      </c>
      <c r="K3134" t="s">
        <v>9581</v>
      </c>
      <c r="M3134" t="s">
        <v>32</v>
      </c>
      <c r="N3134" t="str">
        <f t="shared" si="56"/>
        <v>8/21/2006 12:00:00 AM</v>
      </c>
      <c r="O3134" t="s">
        <v>9578</v>
      </c>
    </row>
    <row r="3135" spans="1:20" x14ac:dyDescent="0.25">
      <c r="A3135" t="str">
        <f>"3074595"</f>
        <v>3074595</v>
      </c>
      <c r="B3135" t="s">
        <v>9586</v>
      </c>
      <c r="C3135" t="str">
        <f t="shared" si="55"/>
        <v>82520093</v>
      </c>
      <c r="D3135" t="s">
        <v>9578</v>
      </c>
      <c r="F3135" t="s">
        <v>9579</v>
      </c>
      <c r="I3135" t="s">
        <v>9580</v>
      </c>
      <c r="J3135" t="s">
        <v>30</v>
      </c>
      <c r="K3135" t="s">
        <v>9581</v>
      </c>
      <c r="M3135" t="s">
        <v>32</v>
      </c>
      <c r="N3135" t="str">
        <f t="shared" si="56"/>
        <v>8/21/2006 12:00:00 AM</v>
      </c>
      <c r="O3135" t="s">
        <v>9578</v>
      </c>
    </row>
    <row r="3136" spans="1:20" x14ac:dyDescent="0.25">
      <c r="A3136" t="str">
        <f>"3074594"</f>
        <v>3074594</v>
      </c>
      <c r="B3136" t="s">
        <v>9587</v>
      </c>
      <c r="C3136" t="str">
        <f t="shared" si="55"/>
        <v>82520093</v>
      </c>
      <c r="D3136" t="s">
        <v>9578</v>
      </c>
      <c r="F3136" t="s">
        <v>9579</v>
      </c>
      <c r="I3136" t="s">
        <v>9580</v>
      </c>
      <c r="J3136" t="s">
        <v>30</v>
      </c>
      <c r="K3136" t="s">
        <v>9581</v>
      </c>
      <c r="M3136" t="s">
        <v>32</v>
      </c>
      <c r="N3136" t="str">
        <f t="shared" si="56"/>
        <v>8/21/2006 12:00:00 AM</v>
      </c>
      <c r="O3136" t="s">
        <v>9578</v>
      </c>
    </row>
    <row r="3137" spans="1:20" x14ac:dyDescent="0.25">
      <c r="A3137" t="str">
        <f>"3058504"</f>
        <v>3058504</v>
      </c>
      <c r="B3137" t="s">
        <v>9588</v>
      </c>
      <c r="C3137" t="str">
        <f>"60080500"</f>
        <v>60080500</v>
      </c>
      <c r="D3137" t="s">
        <v>9589</v>
      </c>
      <c r="F3137" t="s">
        <v>9590</v>
      </c>
      <c r="I3137" t="s">
        <v>29</v>
      </c>
      <c r="J3137" t="s">
        <v>30</v>
      </c>
      <c r="K3137" t="s">
        <v>31</v>
      </c>
      <c r="M3137" t="s">
        <v>32</v>
      </c>
      <c r="N3137" t="str">
        <f>"7/26/2002 12:00:00 AM"</f>
        <v>7/26/2002 12:00:00 AM</v>
      </c>
      <c r="O3137" t="s">
        <v>9589</v>
      </c>
    </row>
    <row r="3138" spans="1:20" x14ac:dyDescent="0.25">
      <c r="A3138" t="str">
        <f>"3048730"</f>
        <v>3048730</v>
      </c>
      <c r="B3138" t="s">
        <v>9591</v>
      </c>
      <c r="C3138" t="str">
        <f>"35412450"</f>
        <v>35412450</v>
      </c>
      <c r="D3138" t="s">
        <v>9592</v>
      </c>
      <c r="E3138" t="s">
        <v>9593</v>
      </c>
      <c r="F3138" t="s">
        <v>9594</v>
      </c>
      <c r="I3138" t="s">
        <v>29</v>
      </c>
      <c r="J3138" t="s">
        <v>30</v>
      </c>
      <c r="K3138" t="s">
        <v>9595</v>
      </c>
      <c r="M3138" t="s">
        <v>32</v>
      </c>
      <c r="N3138" t="str">
        <f>"9/7/2011 12:00:00 AM"</f>
        <v>9/7/2011 12:00:00 AM</v>
      </c>
      <c r="O3138" t="s">
        <v>9592</v>
      </c>
      <c r="T3138" t="s">
        <v>9593</v>
      </c>
    </row>
    <row r="3139" spans="1:20" x14ac:dyDescent="0.25">
      <c r="A3139" t="str">
        <f>"3048450"</f>
        <v>3048450</v>
      </c>
      <c r="B3139" t="s">
        <v>9596</v>
      </c>
      <c r="C3139" t="str">
        <f>"82526666"</f>
        <v>82526666</v>
      </c>
      <c r="D3139" t="s">
        <v>9597</v>
      </c>
      <c r="E3139" t="s">
        <v>9598</v>
      </c>
      <c r="F3139" t="s">
        <v>9599</v>
      </c>
      <c r="I3139" t="s">
        <v>3196</v>
      </c>
      <c r="J3139" t="s">
        <v>30</v>
      </c>
      <c r="K3139" t="s">
        <v>3197</v>
      </c>
      <c r="M3139" t="s">
        <v>32</v>
      </c>
      <c r="N3139" t="str">
        <f>"1/23/2007 12:00:00 AM"</f>
        <v>1/23/2007 12:00:00 AM</v>
      </c>
      <c r="O3139" t="s">
        <v>9597</v>
      </c>
      <c r="T3139" t="s">
        <v>9598</v>
      </c>
    </row>
    <row r="3140" spans="1:20" x14ac:dyDescent="0.25">
      <c r="A3140" t="str">
        <f>"3048449"</f>
        <v>3048449</v>
      </c>
      <c r="B3140" t="s">
        <v>9600</v>
      </c>
      <c r="C3140" t="str">
        <f>"26115870"</f>
        <v>26115870</v>
      </c>
      <c r="D3140" t="s">
        <v>9601</v>
      </c>
      <c r="K3140" t="s">
        <v>586</v>
      </c>
      <c r="M3140" t="s">
        <v>32</v>
      </c>
      <c r="N3140" t="str">
        <f>"8/26/2003 12:00:00 AM"</f>
        <v>8/26/2003 12:00:00 AM</v>
      </c>
      <c r="O3140" t="s">
        <v>9601</v>
      </c>
    </row>
    <row r="3141" spans="1:20" x14ac:dyDescent="0.25">
      <c r="A3141" t="str">
        <f>"3048941"</f>
        <v>3048941</v>
      </c>
      <c r="B3141" t="s">
        <v>9602</v>
      </c>
      <c r="C3141" t="str">
        <f>"82526829"</f>
        <v>82526829</v>
      </c>
      <c r="D3141" t="s">
        <v>9603</v>
      </c>
      <c r="F3141" t="s">
        <v>9604</v>
      </c>
      <c r="I3141" t="s">
        <v>471</v>
      </c>
      <c r="J3141" t="s">
        <v>30</v>
      </c>
      <c r="K3141" t="s">
        <v>2758</v>
      </c>
      <c r="M3141" t="s">
        <v>32</v>
      </c>
      <c r="N3141" t="str">
        <f>"9/15/2006 12:00:00 AM"</f>
        <v>9/15/2006 12:00:00 AM</v>
      </c>
      <c r="O3141" t="s">
        <v>9603</v>
      </c>
    </row>
    <row r="3142" spans="1:20" x14ac:dyDescent="0.25">
      <c r="A3142" t="str">
        <f>"3048943"</f>
        <v>3048943</v>
      </c>
      <c r="B3142" t="s">
        <v>9605</v>
      </c>
      <c r="C3142" t="str">
        <f>"82526829"</f>
        <v>82526829</v>
      </c>
      <c r="D3142" t="s">
        <v>9603</v>
      </c>
      <c r="F3142" t="s">
        <v>9604</v>
      </c>
      <c r="I3142" t="s">
        <v>471</v>
      </c>
      <c r="J3142" t="s">
        <v>30</v>
      </c>
      <c r="K3142" t="s">
        <v>2758</v>
      </c>
      <c r="M3142" t="s">
        <v>32</v>
      </c>
      <c r="N3142" t="str">
        <f>"9/15/2006 12:00:00 AM"</f>
        <v>9/15/2006 12:00:00 AM</v>
      </c>
      <c r="O3142" t="s">
        <v>9603</v>
      </c>
    </row>
    <row r="3143" spans="1:20" x14ac:dyDescent="0.25">
      <c r="A3143" t="str">
        <f>"3041170"</f>
        <v>3041170</v>
      </c>
      <c r="B3143" t="s">
        <v>9606</v>
      </c>
      <c r="C3143" t="str">
        <f>"82526829"</f>
        <v>82526829</v>
      </c>
      <c r="D3143" t="s">
        <v>9603</v>
      </c>
      <c r="F3143" t="s">
        <v>9604</v>
      </c>
      <c r="I3143" t="s">
        <v>471</v>
      </c>
      <c r="J3143" t="s">
        <v>30</v>
      </c>
      <c r="K3143" t="s">
        <v>2758</v>
      </c>
      <c r="M3143" t="s">
        <v>32</v>
      </c>
      <c r="N3143" t="str">
        <f>"9/15/2006 12:00:00 AM"</f>
        <v>9/15/2006 12:00:00 AM</v>
      </c>
      <c r="O3143" t="s">
        <v>9603</v>
      </c>
    </row>
    <row r="3144" spans="1:20" x14ac:dyDescent="0.25">
      <c r="A3144" t="str">
        <f>"3071660"</f>
        <v>3071660</v>
      </c>
      <c r="B3144" t="s">
        <v>9607</v>
      </c>
      <c r="C3144" t="str">
        <f>"82528031"</f>
        <v>82528031</v>
      </c>
      <c r="D3144" t="s">
        <v>9608</v>
      </c>
      <c r="F3144" t="s">
        <v>9609</v>
      </c>
      <c r="I3144" t="s">
        <v>2589</v>
      </c>
      <c r="J3144" t="s">
        <v>30</v>
      </c>
      <c r="K3144" t="s">
        <v>9610</v>
      </c>
      <c r="M3144" t="s">
        <v>32</v>
      </c>
      <c r="N3144" t="str">
        <f>"2/12/2008 12:00:00 AM"</f>
        <v>2/12/2008 12:00:00 AM</v>
      </c>
      <c r="O3144" t="s">
        <v>9608</v>
      </c>
    </row>
    <row r="3145" spans="1:20" x14ac:dyDescent="0.25">
      <c r="A3145" t="str">
        <f>"3071620"</f>
        <v>3071620</v>
      </c>
      <c r="B3145" t="s">
        <v>9611</v>
      </c>
      <c r="C3145" t="str">
        <f>"82528031"</f>
        <v>82528031</v>
      </c>
      <c r="D3145" t="s">
        <v>9608</v>
      </c>
      <c r="F3145" t="s">
        <v>9609</v>
      </c>
      <c r="I3145" t="s">
        <v>2589</v>
      </c>
      <c r="J3145" t="s">
        <v>30</v>
      </c>
      <c r="K3145" t="s">
        <v>9610</v>
      </c>
      <c r="M3145" t="s">
        <v>32</v>
      </c>
      <c r="N3145" t="str">
        <f>"2/12/2008 12:00:00 AM"</f>
        <v>2/12/2008 12:00:00 AM</v>
      </c>
      <c r="O3145" t="s">
        <v>9608</v>
      </c>
    </row>
    <row r="3146" spans="1:20" x14ac:dyDescent="0.25">
      <c r="A3146" t="str">
        <f>"3058506"</f>
        <v>3058506</v>
      </c>
      <c r="B3146" t="s">
        <v>9612</v>
      </c>
      <c r="C3146" t="str">
        <f>"62764000"</f>
        <v>62764000</v>
      </c>
      <c r="D3146" t="s">
        <v>9339</v>
      </c>
      <c r="E3146" t="s">
        <v>9340</v>
      </c>
      <c r="F3146" t="s">
        <v>9341</v>
      </c>
      <c r="I3146" t="s">
        <v>29</v>
      </c>
      <c r="J3146" t="s">
        <v>30</v>
      </c>
      <c r="K3146" t="s">
        <v>31</v>
      </c>
      <c r="M3146" t="s">
        <v>32</v>
      </c>
      <c r="N3146" t="str">
        <f>"7/26/2002 12:00:00 AM"</f>
        <v>7/26/2002 12:00:00 AM</v>
      </c>
      <c r="O3146" t="s">
        <v>9339</v>
      </c>
      <c r="T3146" t="s">
        <v>9340</v>
      </c>
    </row>
    <row r="3147" spans="1:20" x14ac:dyDescent="0.25">
      <c r="A3147" t="str">
        <f>"3045072"</f>
        <v>3045072</v>
      </c>
      <c r="B3147" t="s">
        <v>9613</v>
      </c>
      <c r="C3147" t="str">
        <f>"75924000"</f>
        <v>75924000</v>
      </c>
      <c r="D3147" t="s">
        <v>9361</v>
      </c>
      <c r="E3147" t="s">
        <v>9362</v>
      </c>
      <c r="F3147" t="s">
        <v>9363</v>
      </c>
      <c r="I3147" t="s">
        <v>29</v>
      </c>
      <c r="J3147" t="s">
        <v>30</v>
      </c>
      <c r="K3147" t="s">
        <v>9364</v>
      </c>
      <c r="M3147" t="s">
        <v>32</v>
      </c>
      <c r="N3147" t="str">
        <f>"2/21/2005 12:00:00 AM"</f>
        <v>2/21/2005 12:00:00 AM</v>
      </c>
      <c r="O3147" t="s">
        <v>9361</v>
      </c>
      <c r="T3147" t="s">
        <v>9362</v>
      </c>
    </row>
    <row r="3148" spans="1:20" x14ac:dyDescent="0.25">
      <c r="A3148" t="str">
        <f>"3045751"</f>
        <v>3045751</v>
      </c>
      <c r="B3148" t="s">
        <v>9614</v>
      </c>
      <c r="C3148" t="str">
        <f>"75924000"</f>
        <v>75924000</v>
      </c>
      <c r="D3148" t="s">
        <v>9361</v>
      </c>
      <c r="E3148" t="s">
        <v>9362</v>
      </c>
      <c r="F3148" t="s">
        <v>9363</v>
      </c>
      <c r="I3148" t="s">
        <v>29</v>
      </c>
      <c r="J3148" t="s">
        <v>30</v>
      </c>
      <c r="K3148" t="s">
        <v>9364</v>
      </c>
      <c r="M3148" t="s">
        <v>32</v>
      </c>
      <c r="N3148" t="str">
        <f>"2/21/2005 12:00:00 AM"</f>
        <v>2/21/2005 12:00:00 AM</v>
      </c>
      <c r="O3148" t="s">
        <v>9361</v>
      </c>
      <c r="T3148" t="s">
        <v>9362</v>
      </c>
    </row>
    <row r="3149" spans="1:20" x14ac:dyDescent="0.25">
      <c r="A3149" t="str">
        <f>"3055295"</f>
        <v>3055295</v>
      </c>
      <c r="B3149" t="s">
        <v>9615</v>
      </c>
      <c r="C3149" t="str">
        <f>"28810500"</f>
        <v>28810500</v>
      </c>
      <c r="D3149" t="s">
        <v>9616</v>
      </c>
      <c r="E3149" t="s">
        <v>9617</v>
      </c>
      <c r="F3149" t="s">
        <v>9618</v>
      </c>
      <c r="I3149" t="s">
        <v>29</v>
      </c>
      <c r="J3149" t="s">
        <v>30</v>
      </c>
      <c r="K3149" t="s">
        <v>31</v>
      </c>
      <c r="M3149" t="s">
        <v>32</v>
      </c>
      <c r="N3149" t="str">
        <f>"12/18/2008 12:00:00 AM"</f>
        <v>12/18/2008 12:00:00 AM</v>
      </c>
      <c r="O3149" t="s">
        <v>9616</v>
      </c>
      <c r="T3149" t="s">
        <v>9617</v>
      </c>
    </row>
    <row r="3150" spans="1:20" x14ac:dyDescent="0.25">
      <c r="A3150" t="str">
        <f>"3062830"</f>
        <v>3062830</v>
      </c>
      <c r="B3150" t="s">
        <v>9619</v>
      </c>
      <c r="C3150" t="str">
        <f>"82515750"</f>
        <v>82515750</v>
      </c>
      <c r="D3150" t="s">
        <v>9620</v>
      </c>
      <c r="F3150" t="s">
        <v>9621</v>
      </c>
      <c r="I3150" t="s">
        <v>29</v>
      </c>
      <c r="J3150" t="s">
        <v>30</v>
      </c>
      <c r="K3150" t="s">
        <v>31</v>
      </c>
      <c r="M3150" t="s">
        <v>32</v>
      </c>
      <c r="N3150" t="str">
        <f>"7/23/2003 12:00:00 AM"</f>
        <v>7/23/2003 12:00:00 AM</v>
      </c>
      <c r="O3150" t="s">
        <v>9620</v>
      </c>
    </row>
    <row r="3151" spans="1:20" x14ac:dyDescent="0.25">
      <c r="A3151" t="str">
        <f>"3045594"</f>
        <v>3045594</v>
      </c>
      <c r="B3151" t="s">
        <v>9622</v>
      </c>
      <c r="C3151" t="str">
        <f>"1336000"</f>
        <v>1336000</v>
      </c>
      <c r="D3151" t="s">
        <v>9623</v>
      </c>
      <c r="E3151" t="s">
        <v>9624</v>
      </c>
      <c r="F3151" t="s">
        <v>9625</v>
      </c>
      <c r="I3151" t="s">
        <v>29</v>
      </c>
      <c r="J3151" t="s">
        <v>30</v>
      </c>
      <c r="K3151" t="s">
        <v>9626</v>
      </c>
      <c r="M3151" t="s">
        <v>32</v>
      </c>
      <c r="N3151" t="str">
        <f>"11/29/2007 12:00:00 AM"</f>
        <v>11/29/2007 12:00:00 AM</v>
      </c>
      <c r="O3151" t="s">
        <v>9623</v>
      </c>
      <c r="T3151" t="s">
        <v>9624</v>
      </c>
    </row>
    <row r="3152" spans="1:20" x14ac:dyDescent="0.25">
      <c r="A3152" t="str">
        <f>"3050215"</f>
        <v>3050215</v>
      </c>
      <c r="B3152" t="s">
        <v>9627</v>
      </c>
      <c r="C3152" t="str">
        <f>"44942000"</f>
        <v>44942000</v>
      </c>
      <c r="D3152" t="s">
        <v>9628</v>
      </c>
      <c r="E3152" t="s">
        <v>9629</v>
      </c>
      <c r="F3152" t="s">
        <v>9630</v>
      </c>
      <c r="I3152" t="s">
        <v>29</v>
      </c>
      <c r="J3152" t="s">
        <v>30</v>
      </c>
      <c r="K3152" t="s">
        <v>31</v>
      </c>
      <c r="M3152" t="s">
        <v>32</v>
      </c>
      <c r="N3152" t="str">
        <f>"7/30/2002 12:00:00 AM"</f>
        <v>7/30/2002 12:00:00 AM</v>
      </c>
      <c r="O3152" t="s">
        <v>9628</v>
      </c>
      <c r="T3152" t="s">
        <v>9629</v>
      </c>
    </row>
    <row r="3153" spans="1:20" x14ac:dyDescent="0.25">
      <c r="A3153" t="str">
        <f>"3049744"</f>
        <v>3049744</v>
      </c>
      <c r="B3153" t="s">
        <v>9631</v>
      </c>
      <c r="C3153" t="str">
        <f>"64697100"</f>
        <v>64697100</v>
      </c>
      <c r="D3153" t="s">
        <v>9632</v>
      </c>
      <c r="E3153" t="s">
        <v>9633</v>
      </c>
      <c r="F3153" t="s">
        <v>9634</v>
      </c>
      <c r="I3153" t="s">
        <v>29</v>
      </c>
      <c r="J3153" t="s">
        <v>30</v>
      </c>
      <c r="K3153" t="s">
        <v>31</v>
      </c>
      <c r="M3153" t="s">
        <v>32</v>
      </c>
      <c r="N3153" t="str">
        <f>"5/3/2004 12:00:00 AM"</f>
        <v>5/3/2004 12:00:00 AM</v>
      </c>
      <c r="O3153" t="s">
        <v>9632</v>
      </c>
      <c r="T3153" t="s">
        <v>9633</v>
      </c>
    </row>
    <row r="3154" spans="1:20" x14ac:dyDescent="0.25">
      <c r="A3154" t="str">
        <f>"3049745"</f>
        <v>3049745</v>
      </c>
      <c r="B3154" t="s">
        <v>9635</v>
      </c>
      <c r="C3154" t="str">
        <f>"27577100"</f>
        <v>27577100</v>
      </c>
      <c r="D3154" t="s">
        <v>9636</v>
      </c>
      <c r="E3154" t="s">
        <v>9637</v>
      </c>
      <c r="F3154" t="s">
        <v>9638</v>
      </c>
      <c r="I3154" t="s">
        <v>29</v>
      </c>
      <c r="J3154" t="s">
        <v>30</v>
      </c>
      <c r="K3154" t="s">
        <v>31</v>
      </c>
      <c r="M3154" t="s">
        <v>32</v>
      </c>
      <c r="N3154" t="str">
        <f>"1/21/2003 12:00:00 AM"</f>
        <v>1/21/2003 12:00:00 AM</v>
      </c>
      <c r="O3154" t="s">
        <v>9636</v>
      </c>
      <c r="T3154" t="s">
        <v>9637</v>
      </c>
    </row>
    <row r="3155" spans="1:20" x14ac:dyDescent="0.25">
      <c r="A3155" t="str">
        <f>"3049758"</f>
        <v>3049758</v>
      </c>
      <c r="B3155" t="s">
        <v>9639</v>
      </c>
      <c r="C3155" t="str">
        <f>"82526046"</f>
        <v>82526046</v>
      </c>
      <c r="D3155" t="s">
        <v>9640</v>
      </c>
      <c r="F3155" t="s">
        <v>9641</v>
      </c>
      <c r="I3155" t="s">
        <v>29</v>
      </c>
      <c r="J3155" t="s">
        <v>30</v>
      </c>
      <c r="K3155" t="s">
        <v>31</v>
      </c>
      <c r="M3155" t="s">
        <v>32</v>
      </c>
      <c r="N3155" t="str">
        <f>"1/11/2007 12:00:00 AM"</f>
        <v>1/11/2007 12:00:00 AM</v>
      </c>
      <c r="O3155" t="s">
        <v>9640</v>
      </c>
    </row>
    <row r="3156" spans="1:20" x14ac:dyDescent="0.25">
      <c r="A3156" t="str">
        <f>"3051416"</f>
        <v>3051416</v>
      </c>
      <c r="B3156" t="s">
        <v>9642</v>
      </c>
      <c r="C3156" t="str">
        <f>"79271000"</f>
        <v>79271000</v>
      </c>
      <c r="D3156" t="s">
        <v>9643</v>
      </c>
      <c r="F3156" t="s">
        <v>9644</v>
      </c>
      <c r="I3156" t="s">
        <v>29</v>
      </c>
      <c r="J3156" t="s">
        <v>30</v>
      </c>
      <c r="K3156" t="s">
        <v>9645</v>
      </c>
      <c r="M3156" t="s">
        <v>32</v>
      </c>
      <c r="N3156" t="str">
        <f>"2/2/2010 12:00:00 AM"</f>
        <v>2/2/2010 12:00:00 AM</v>
      </c>
      <c r="O3156" t="s">
        <v>9643</v>
      </c>
    </row>
    <row r="3157" spans="1:20" x14ac:dyDescent="0.25">
      <c r="A3157" t="str">
        <f>"3078082"</f>
        <v>3078082</v>
      </c>
      <c r="B3157" t="s">
        <v>9646</v>
      </c>
      <c r="C3157" t="str">
        <f>"79271000"</f>
        <v>79271000</v>
      </c>
      <c r="D3157" t="s">
        <v>9643</v>
      </c>
      <c r="F3157" t="s">
        <v>9644</v>
      </c>
      <c r="I3157" t="s">
        <v>29</v>
      </c>
      <c r="J3157" t="s">
        <v>30</v>
      </c>
      <c r="K3157" t="s">
        <v>9645</v>
      </c>
      <c r="M3157" t="s">
        <v>32</v>
      </c>
      <c r="N3157" t="str">
        <f>"2/2/2010 12:00:00 AM"</f>
        <v>2/2/2010 12:00:00 AM</v>
      </c>
      <c r="O3157" t="s">
        <v>9643</v>
      </c>
    </row>
    <row r="3158" spans="1:20" x14ac:dyDescent="0.25">
      <c r="A3158" t="str">
        <f>"3045155"</f>
        <v>3045155</v>
      </c>
      <c r="B3158" t="s">
        <v>9647</v>
      </c>
      <c r="C3158" t="str">
        <f>"82519831"</f>
        <v>82519831</v>
      </c>
      <c r="D3158" t="s">
        <v>9623</v>
      </c>
      <c r="F3158" t="s">
        <v>9625</v>
      </c>
      <c r="I3158" t="s">
        <v>29</v>
      </c>
      <c r="J3158" t="s">
        <v>30</v>
      </c>
      <c r="K3158" t="s">
        <v>9626</v>
      </c>
      <c r="M3158" t="s">
        <v>32</v>
      </c>
      <c r="N3158" t="str">
        <f>"8/16/2005 12:00:00 AM"</f>
        <v>8/16/2005 12:00:00 AM</v>
      </c>
      <c r="O3158" t="s">
        <v>9623</v>
      </c>
    </row>
    <row r="3159" spans="1:20" x14ac:dyDescent="0.25">
      <c r="A3159" t="str">
        <f>"3049774"</f>
        <v>3049774</v>
      </c>
      <c r="B3159" t="s">
        <v>9648</v>
      </c>
      <c r="C3159" t="str">
        <f>"82527638"</f>
        <v>82527638</v>
      </c>
      <c r="D3159" t="s">
        <v>9649</v>
      </c>
      <c r="F3159" t="s">
        <v>9650</v>
      </c>
      <c r="I3159" t="s">
        <v>29</v>
      </c>
      <c r="J3159" t="s">
        <v>30</v>
      </c>
      <c r="K3159" t="s">
        <v>31</v>
      </c>
      <c r="M3159" t="s">
        <v>32</v>
      </c>
      <c r="N3159" t="str">
        <f>"3/7/2007 12:00:00 AM"</f>
        <v>3/7/2007 12:00:00 AM</v>
      </c>
      <c r="O3159" t="s">
        <v>9649</v>
      </c>
    </row>
    <row r="3160" spans="1:20" x14ac:dyDescent="0.25">
      <c r="A3160" t="str">
        <f>"3049775"</f>
        <v>3049775</v>
      </c>
      <c r="B3160" t="s">
        <v>9651</v>
      </c>
      <c r="C3160" t="str">
        <f>"82527570"</f>
        <v>82527570</v>
      </c>
      <c r="D3160" t="s">
        <v>9652</v>
      </c>
      <c r="F3160" t="s">
        <v>9653</v>
      </c>
      <c r="I3160" t="s">
        <v>29</v>
      </c>
      <c r="J3160" t="s">
        <v>30</v>
      </c>
      <c r="K3160" t="s">
        <v>31</v>
      </c>
      <c r="M3160" t="s">
        <v>32</v>
      </c>
      <c r="N3160" t="str">
        <f>"2/1/2008 12:00:00 AM"</f>
        <v>2/1/2008 12:00:00 AM</v>
      </c>
      <c r="O3160" t="s">
        <v>9652</v>
      </c>
    </row>
    <row r="3161" spans="1:20" x14ac:dyDescent="0.25">
      <c r="A3161" t="str">
        <f>"3049777"</f>
        <v>3049777</v>
      </c>
      <c r="B3161" t="s">
        <v>9654</v>
      </c>
      <c r="C3161" t="str">
        <f>"82523562"</f>
        <v>82523562</v>
      </c>
      <c r="D3161" t="s">
        <v>9655</v>
      </c>
      <c r="E3161" t="s">
        <v>9656</v>
      </c>
      <c r="F3161" t="s">
        <v>9657</v>
      </c>
      <c r="I3161" t="s">
        <v>29</v>
      </c>
      <c r="J3161" t="s">
        <v>30</v>
      </c>
      <c r="K3161" t="s">
        <v>31</v>
      </c>
      <c r="M3161" t="s">
        <v>32</v>
      </c>
      <c r="N3161" t="str">
        <f>"1/4/2005 12:00:00 AM"</f>
        <v>1/4/2005 12:00:00 AM</v>
      </c>
      <c r="O3161" t="s">
        <v>9655</v>
      </c>
      <c r="T3161" t="s">
        <v>9656</v>
      </c>
    </row>
    <row r="3162" spans="1:20" x14ac:dyDescent="0.25">
      <c r="A3162" t="str">
        <f>"3045418"</f>
        <v>3045418</v>
      </c>
      <c r="B3162" t="s">
        <v>9658</v>
      </c>
      <c r="C3162" t="str">
        <f>"39644000"</f>
        <v>39644000</v>
      </c>
      <c r="D3162" t="s">
        <v>9659</v>
      </c>
      <c r="F3162" t="s">
        <v>9660</v>
      </c>
      <c r="I3162" t="s">
        <v>29</v>
      </c>
      <c r="J3162" t="s">
        <v>30</v>
      </c>
      <c r="K3162" t="s">
        <v>31</v>
      </c>
      <c r="M3162" t="s">
        <v>32</v>
      </c>
      <c r="N3162" t="str">
        <f>"11/12/2003 12:00:00 AM"</f>
        <v>11/12/2003 12:00:00 AM</v>
      </c>
      <c r="O3162" t="s">
        <v>9659</v>
      </c>
    </row>
    <row r="3163" spans="1:20" x14ac:dyDescent="0.25">
      <c r="A3163" t="str">
        <f>"3049784"</f>
        <v>3049784</v>
      </c>
      <c r="B3163" t="s">
        <v>9661</v>
      </c>
      <c r="C3163" t="str">
        <f>"82514807"</f>
        <v>82514807</v>
      </c>
      <c r="D3163" t="s">
        <v>9662</v>
      </c>
      <c r="E3163" t="s">
        <v>9663</v>
      </c>
      <c r="F3163" t="s">
        <v>9664</v>
      </c>
      <c r="I3163" t="s">
        <v>29</v>
      </c>
      <c r="J3163" t="s">
        <v>30</v>
      </c>
      <c r="K3163" t="s">
        <v>31</v>
      </c>
      <c r="M3163" t="s">
        <v>32</v>
      </c>
      <c r="N3163" t="str">
        <f>"7/30/2002 12:00:00 AM"</f>
        <v>7/30/2002 12:00:00 AM</v>
      </c>
      <c r="O3163" t="s">
        <v>9662</v>
      </c>
      <c r="T3163" t="s">
        <v>9663</v>
      </c>
    </row>
    <row r="3164" spans="1:20" x14ac:dyDescent="0.25">
      <c r="A3164" t="str">
        <f>"3049799"</f>
        <v>3049799</v>
      </c>
      <c r="B3164" t="s">
        <v>9665</v>
      </c>
      <c r="C3164" t="str">
        <f>"82528171"</f>
        <v>82528171</v>
      </c>
      <c r="D3164" t="s">
        <v>9666</v>
      </c>
      <c r="E3164" t="s">
        <v>9667</v>
      </c>
      <c r="F3164" t="s">
        <v>9668</v>
      </c>
      <c r="I3164" t="s">
        <v>29</v>
      </c>
      <c r="J3164" t="s">
        <v>30</v>
      </c>
      <c r="K3164" t="s">
        <v>31</v>
      </c>
      <c r="M3164" t="s">
        <v>32</v>
      </c>
      <c r="N3164" t="str">
        <f>"1/23/2008 12:00:00 AM"</f>
        <v>1/23/2008 12:00:00 AM</v>
      </c>
      <c r="O3164" t="s">
        <v>9666</v>
      </c>
      <c r="T3164" t="s">
        <v>9667</v>
      </c>
    </row>
    <row r="3165" spans="1:20" x14ac:dyDescent="0.25">
      <c r="A3165" t="str">
        <f>"3049808"</f>
        <v>3049808</v>
      </c>
      <c r="B3165" t="s">
        <v>9669</v>
      </c>
      <c r="C3165" t="str">
        <f>"82526970"</f>
        <v>82526970</v>
      </c>
      <c r="D3165" t="s">
        <v>9670</v>
      </c>
      <c r="F3165" t="s">
        <v>9671</v>
      </c>
      <c r="I3165" t="s">
        <v>29</v>
      </c>
      <c r="J3165" t="s">
        <v>30</v>
      </c>
      <c r="K3165" t="s">
        <v>31</v>
      </c>
      <c r="M3165" t="s">
        <v>32</v>
      </c>
      <c r="N3165" t="str">
        <f>"10/20/2006 12:00:00 AM"</f>
        <v>10/20/2006 12:00:00 AM</v>
      </c>
      <c r="O3165" t="s">
        <v>9670</v>
      </c>
    </row>
    <row r="3166" spans="1:20" x14ac:dyDescent="0.25">
      <c r="A3166" t="str">
        <f>"3052928"</f>
        <v>3052928</v>
      </c>
      <c r="B3166" t="s">
        <v>9672</v>
      </c>
      <c r="C3166" t="str">
        <f>"82526970"</f>
        <v>82526970</v>
      </c>
      <c r="D3166" t="s">
        <v>9670</v>
      </c>
      <c r="F3166" t="s">
        <v>9671</v>
      </c>
      <c r="I3166" t="s">
        <v>29</v>
      </c>
      <c r="J3166" t="s">
        <v>30</v>
      </c>
      <c r="K3166" t="s">
        <v>31</v>
      </c>
      <c r="M3166" t="s">
        <v>32</v>
      </c>
      <c r="N3166" t="str">
        <f>"10/20/2006 12:00:00 AM"</f>
        <v>10/20/2006 12:00:00 AM</v>
      </c>
      <c r="O3166" t="s">
        <v>9670</v>
      </c>
    </row>
    <row r="3167" spans="1:20" x14ac:dyDescent="0.25">
      <c r="A3167" t="str">
        <f>"3078441"</f>
        <v>3078441</v>
      </c>
      <c r="B3167" t="s">
        <v>9673</v>
      </c>
      <c r="C3167" t="str">
        <f>"82526970"</f>
        <v>82526970</v>
      </c>
      <c r="D3167" t="s">
        <v>9670</v>
      </c>
      <c r="F3167" t="s">
        <v>9671</v>
      </c>
      <c r="I3167" t="s">
        <v>29</v>
      </c>
      <c r="J3167" t="s">
        <v>30</v>
      </c>
      <c r="K3167" t="s">
        <v>31</v>
      </c>
      <c r="M3167" t="s">
        <v>32</v>
      </c>
      <c r="N3167" t="str">
        <f>"10/20/2006 12:00:00 AM"</f>
        <v>10/20/2006 12:00:00 AM</v>
      </c>
      <c r="O3167" t="s">
        <v>9670</v>
      </c>
    </row>
    <row r="3168" spans="1:20" x14ac:dyDescent="0.25">
      <c r="A3168" t="str">
        <f>"3049797"</f>
        <v>3049797</v>
      </c>
      <c r="B3168" t="s">
        <v>9674</v>
      </c>
      <c r="C3168" t="str">
        <f>"82525032"</f>
        <v>82525032</v>
      </c>
      <c r="D3168" t="s">
        <v>9675</v>
      </c>
      <c r="E3168" t="s">
        <v>9676</v>
      </c>
      <c r="F3168" t="s">
        <v>9677</v>
      </c>
      <c r="I3168" t="s">
        <v>29</v>
      </c>
      <c r="J3168" t="s">
        <v>30</v>
      </c>
      <c r="K3168" t="s">
        <v>9678</v>
      </c>
      <c r="M3168" t="s">
        <v>32</v>
      </c>
      <c r="N3168" t="str">
        <f>"1/25/2006 12:00:00 AM"</f>
        <v>1/25/2006 12:00:00 AM</v>
      </c>
      <c r="O3168" t="s">
        <v>9675</v>
      </c>
      <c r="T3168" t="s">
        <v>9676</v>
      </c>
    </row>
    <row r="3169" spans="1:20" x14ac:dyDescent="0.25">
      <c r="A3169" t="str">
        <f>"3049810"</f>
        <v>3049810</v>
      </c>
      <c r="B3169" t="s">
        <v>9679</v>
      </c>
      <c r="C3169" t="str">
        <f>"82520079"</f>
        <v>82520079</v>
      </c>
      <c r="D3169" t="s">
        <v>9680</v>
      </c>
      <c r="F3169" t="s">
        <v>9681</v>
      </c>
      <c r="I3169" t="s">
        <v>29</v>
      </c>
      <c r="J3169" t="s">
        <v>30</v>
      </c>
      <c r="K3169" t="s">
        <v>31</v>
      </c>
      <c r="M3169" t="s">
        <v>32</v>
      </c>
      <c r="N3169" t="str">
        <f>"6/21/2011 12:00:00 AM"</f>
        <v>6/21/2011 12:00:00 AM</v>
      </c>
      <c r="O3169" t="s">
        <v>9680</v>
      </c>
    </row>
    <row r="3170" spans="1:20" x14ac:dyDescent="0.25">
      <c r="A3170" t="str">
        <f>"3045429"</f>
        <v>3045429</v>
      </c>
      <c r="B3170" t="s">
        <v>9682</v>
      </c>
      <c r="C3170" t="str">
        <f>"63596000"</f>
        <v>63596000</v>
      </c>
      <c r="D3170" t="s">
        <v>9683</v>
      </c>
      <c r="F3170" t="s">
        <v>9684</v>
      </c>
      <c r="I3170" t="s">
        <v>29</v>
      </c>
      <c r="J3170" t="s">
        <v>30</v>
      </c>
      <c r="K3170" t="s">
        <v>31</v>
      </c>
      <c r="M3170" t="s">
        <v>32</v>
      </c>
      <c r="N3170" t="str">
        <f>"6/29/2006 12:00:00 AM"</f>
        <v>6/29/2006 12:00:00 AM</v>
      </c>
      <c r="O3170" t="s">
        <v>9683</v>
      </c>
    </row>
    <row r="3171" spans="1:20" x14ac:dyDescent="0.25">
      <c r="A3171" t="str">
        <f>"3045287"</f>
        <v>3045287</v>
      </c>
      <c r="B3171" t="s">
        <v>9685</v>
      </c>
      <c r="C3171" t="str">
        <f>"62132000"</f>
        <v>62132000</v>
      </c>
      <c r="D3171" t="s">
        <v>9686</v>
      </c>
      <c r="E3171" t="s">
        <v>9687</v>
      </c>
      <c r="F3171" t="s">
        <v>9688</v>
      </c>
      <c r="I3171" t="s">
        <v>29</v>
      </c>
      <c r="J3171" t="s">
        <v>30</v>
      </c>
      <c r="K3171" t="s">
        <v>9462</v>
      </c>
      <c r="M3171" t="s">
        <v>32</v>
      </c>
      <c r="N3171" t="str">
        <f>"2/1/2006 12:00:00 AM"</f>
        <v>2/1/2006 12:00:00 AM</v>
      </c>
      <c r="O3171" t="s">
        <v>9686</v>
      </c>
      <c r="T3171" t="s">
        <v>9687</v>
      </c>
    </row>
    <row r="3172" spans="1:20" x14ac:dyDescent="0.25">
      <c r="A3172" t="str">
        <f>"3049830"</f>
        <v>3049830</v>
      </c>
      <c r="B3172" t="s">
        <v>9689</v>
      </c>
      <c r="C3172" t="str">
        <f>"82528047"</f>
        <v>82528047</v>
      </c>
      <c r="D3172" t="s">
        <v>9690</v>
      </c>
      <c r="F3172" t="s">
        <v>9691</v>
      </c>
      <c r="I3172" t="s">
        <v>29</v>
      </c>
      <c r="J3172" t="s">
        <v>30</v>
      </c>
      <c r="K3172" t="s">
        <v>31</v>
      </c>
      <c r="M3172" t="s">
        <v>32</v>
      </c>
      <c r="N3172" t="str">
        <f>"5/29/2007 12:00:00 AM"</f>
        <v>5/29/2007 12:00:00 AM</v>
      </c>
      <c r="O3172" t="s">
        <v>9690</v>
      </c>
    </row>
    <row r="3173" spans="1:20" x14ac:dyDescent="0.25">
      <c r="A3173" t="str">
        <f>"3049747"</f>
        <v>3049747</v>
      </c>
      <c r="B3173" t="s">
        <v>9692</v>
      </c>
      <c r="C3173" t="str">
        <f>"82524924"</f>
        <v>82524924</v>
      </c>
      <c r="D3173" t="s">
        <v>9693</v>
      </c>
      <c r="E3173" t="s">
        <v>9694</v>
      </c>
      <c r="F3173" t="s">
        <v>9695</v>
      </c>
      <c r="I3173" t="s">
        <v>29</v>
      </c>
      <c r="J3173" t="s">
        <v>30</v>
      </c>
      <c r="K3173" t="s">
        <v>31</v>
      </c>
      <c r="M3173" t="s">
        <v>32</v>
      </c>
      <c r="N3173" t="str">
        <f>"8/21/2007 12:00:00 AM"</f>
        <v>8/21/2007 12:00:00 AM</v>
      </c>
      <c r="O3173" t="s">
        <v>9693</v>
      </c>
      <c r="T3173" t="s">
        <v>9694</v>
      </c>
    </row>
    <row r="3174" spans="1:20" x14ac:dyDescent="0.25">
      <c r="A3174" t="str">
        <f>"3049342"</f>
        <v>3049342</v>
      </c>
      <c r="B3174" t="s">
        <v>9696</v>
      </c>
      <c r="C3174" t="str">
        <f>"82526888"</f>
        <v>82526888</v>
      </c>
      <c r="D3174" t="s">
        <v>9697</v>
      </c>
      <c r="F3174" t="str">
        <f>"C/O AMARR GARAGE DOORS"</f>
        <v>C/O AMARR GARAGE DOORS</v>
      </c>
      <c r="G3174" t="s">
        <v>9698</v>
      </c>
      <c r="I3174" t="s">
        <v>471</v>
      </c>
      <c r="J3174" t="s">
        <v>30</v>
      </c>
      <c r="K3174" t="s">
        <v>2758</v>
      </c>
      <c r="M3174" t="s">
        <v>32</v>
      </c>
      <c r="N3174" t="str">
        <f>"8/26/2011 12:00:00 AM"</f>
        <v>8/26/2011 12:00:00 AM</v>
      </c>
      <c r="O3174" t="s">
        <v>9697</v>
      </c>
    </row>
    <row r="3175" spans="1:20" x14ac:dyDescent="0.25">
      <c r="A3175" t="str">
        <f>"3066439"</f>
        <v>3066439</v>
      </c>
      <c r="B3175" t="s">
        <v>9699</v>
      </c>
      <c r="C3175" t="str">
        <f>"4420000"</f>
        <v>4420000</v>
      </c>
      <c r="D3175" t="s">
        <v>9700</v>
      </c>
      <c r="E3175" t="s">
        <v>9701</v>
      </c>
      <c r="F3175" t="s">
        <v>9702</v>
      </c>
      <c r="I3175" t="s">
        <v>29</v>
      </c>
      <c r="J3175" t="s">
        <v>30</v>
      </c>
      <c r="K3175" t="s">
        <v>31</v>
      </c>
      <c r="M3175" t="s">
        <v>32</v>
      </c>
      <c r="N3175" t="str">
        <f>"11/28/2005 12:00:00 AM"</f>
        <v>11/28/2005 12:00:00 AM</v>
      </c>
      <c r="O3175" t="s">
        <v>9700</v>
      </c>
      <c r="T3175" t="s">
        <v>9701</v>
      </c>
    </row>
    <row r="3176" spans="1:20" x14ac:dyDescent="0.25">
      <c r="A3176" t="str">
        <f>"3049826"</f>
        <v>3049826</v>
      </c>
      <c r="B3176" t="s">
        <v>9703</v>
      </c>
      <c r="C3176" t="str">
        <f>"82524701"</f>
        <v>82524701</v>
      </c>
      <c r="D3176" t="s">
        <v>9704</v>
      </c>
      <c r="F3176" t="s">
        <v>9705</v>
      </c>
      <c r="I3176" t="s">
        <v>29</v>
      </c>
      <c r="J3176" t="s">
        <v>30</v>
      </c>
      <c r="K3176" t="s">
        <v>9706</v>
      </c>
      <c r="M3176" t="s">
        <v>32</v>
      </c>
      <c r="N3176" t="str">
        <f>"1/3/2006 12:00:00 AM"</f>
        <v>1/3/2006 12:00:00 AM</v>
      </c>
      <c r="O3176" t="s">
        <v>9704</v>
      </c>
      <c r="T3176" t="s">
        <v>9704</v>
      </c>
    </row>
    <row r="3177" spans="1:20" x14ac:dyDescent="0.25">
      <c r="A3177" t="str">
        <f>"3049851"</f>
        <v>3049851</v>
      </c>
      <c r="B3177" t="s">
        <v>9707</v>
      </c>
      <c r="C3177" t="str">
        <f>"82525359"</f>
        <v>82525359</v>
      </c>
      <c r="D3177" t="s">
        <v>9708</v>
      </c>
      <c r="F3177" t="s">
        <v>9709</v>
      </c>
      <c r="I3177" t="s">
        <v>29</v>
      </c>
      <c r="J3177" t="s">
        <v>30</v>
      </c>
      <c r="K3177" t="s">
        <v>9710</v>
      </c>
      <c r="M3177" t="s">
        <v>32</v>
      </c>
      <c r="N3177" t="str">
        <f>"1/23/2006 12:00:00 AM"</f>
        <v>1/23/2006 12:00:00 AM</v>
      </c>
      <c r="O3177" t="s">
        <v>9708</v>
      </c>
    </row>
    <row r="3178" spans="1:20" x14ac:dyDescent="0.25">
      <c r="A3178" t="str">
        <f>"3049734"</f>
        <v>3049734</v>
      </c>
      <c r="B3178" t="s">
        <v>9711</v>
      </c>
      <c r="C3178" t="str">
        <f>"82527080"</f>
        <v>82527080</v>
      </c>
      <c r="D3178" t="s">
        <v>9712</v>
      </c>
      <c r="E3178" t="s">
        <v>9713</v>
      </c>
      <c r="F3178" t="s">
        <v>9714</v>
      </c>
      <c r="I3178" t="s">
        <v>29</v>
      </c>
      <c r="J3178" t="s">
        <v>30</v>
      </c>
      <c r="K3178" t="s">
        <v>31</v>
      </c>
      <c r="M3178" t="s">
        <v>32</v>
      </c>
      <c r="N3178" t="str">
        <f>"11/8/2006 12:00:00 AM"</f>
        <v>11/8/2006 12:00:00 AM</v>
      </c>
      <c r="O3178" t="s">
        <v>9712</v>
      </c>
      <c r="T3178" t="s">
        <v>9713</v>
      </c>
    </row>
    <row r="3179" spans="1:20" x14ac:dyDescent="0.25">
      <c r="A3179" t="str">
        <f>"3049852"</f>
        <v>3049852</v>
      </c>
      <c r="B3179" t="s">
        <v>9715</v>
      </c>
      <c r="C3179" t="str">
        <f>"82530067"</f>
        <v>82530067</v>
      </c>
      <c r="D3179" t="s">
        <v>9716</v>
      </c>
      <c r="F3179" t="s">
        <v>9717</v>
      </c>
      <c r="I3179" t="s">
        <v>29</v>
      </c>
      <c r="J3179" t="s">
        <v>30</v>
      </c>
      <c r="K3179" t="s">
        <v>31</v>
      </c>
      <c r="M3179" t="s">
        <v>32</v>
      </c>
      <c r="N3179" t="str">
        <f>"9/12/2008 12:00:00 AM"</f>
        <v>9/12/2008 12:00:00 AM</v>
      </c>
      <c r="O3179" t="s">
        <v>9716</v>
      </c>
    </row>
    <row r="3180" spans="1:20" x14ac:dyDescent="0.25">
      <c r="A3180" t="str">
        <f>"3049215"</f>
        <v>3049215</v>
      </c>
      <c r="B3180" t="s">
        <v>9718</v>
      </c>
      <c r="C3180" t="str">
        <f>"59222620"</f>
        <v>59222620</v>
      </c>
      <c r="D3180" t="s">
        <v>9719</v>
      </c>
      <c r="F3180" t="s">
        <v>9720</v>
      </c>
      <c r="I3180" t="s">
        <v>3736</v>
      </c>
      <c r="J3180" t="s">
        <v>3737</v>
      </c>
      <c r="K3180" t="s">
        <v>9721</v>
      </c>
      <c r="M3180" t="s">
        <v>32</v>
      </c>
      <c r="N3180" t="str">
        <f>"4/7/2004 12:00:00 AM"</f>
        <v>4/7/2004 12:00:00 AM</v>
      </c>
      <c r="O3180" t="s">
        <v>9719</v>
      </c>
    </row>
    <row r="3181" spans="1:20" x14ac:dyDescent="0.25">
      <c r="A3181" t="str">
        <f>"3045034"</f>
        <v>3045034</v>
      </c>
      <c r="B3181" t="s">
        <v>9722</v>
      </c>
      <c r="C3181" t="str">
        <f>"4420000"</f>
        <v>4420000</v>
      </c>
      <c r="D3181" t="s">
        <v>9700</v>
      </c>
      <c r="E3181" t="s">
        <v>9701</v>
      </c>
      <c r="F3181" t="s">
        <v>9702</v>
      </c>
      <c r="I3181" t="s">
        <v>29</v>
      </c>
      <c r="J3181" t="s">
        <v>30</v>
      </c>
      <c r="K3181" t="s">
        <v>31</v>
      </c>
      <c r="M3181" t="s">
        <v>32</v>
      </c>
      <c r="N3181" t="str">
        <f>"11/28/2005 12:00:00 AM"</f>
        <v>11/28/2005 12:00:00 AM</v>
      </c>
      <c r="O3181" t="s">
        <v>9700</v>
      </c>
      <c r="T3181" t="s">
        <v>9701</v>
      </c>
    </row>
    <row r="3182" spans="1:20" x14ac:dyDescent="0.25">
      <c r="A3182" t="str">
        <f>"3052705"</f>
        <v>3052705</v>
      </c>
      <c r="B3182" t="s">
        <v>9723</v>
      </c>
      <c r="C3182" t="str">
        <f>"4420000"</f>
        <v>4420000</v>
      </c>
      <c r="D3182" t="s">
        <v>9700</v>
      </c>
      <c r="E3182" t="s">
        <v>9701</v>
      </c>
      <c r="F3182" t="s">
        <v>9702</v>
      </c>
      <c r="I3182" t="s">
        <v>29</v>
      </c>
      <c r="J3182" t="s">
        <v>30</v>
      </c>
      <c r="K3182" t="s">
        <v>31</v>
      </c>
      <c r="M3182" t="s">
        <v>32</v>
      </c>
      <c r="N3182" t="str">
        <f>"11/28/2005 12:00:00 AM"</f>
        <v>11/28/2005 12:00:00 AM</v>
      </c>
      <c r="O3182" t="s">
        <v>9700</v>
      </c>
      <c r="T3182" t="s">
        <v>9701</v>
      </c>
    </row>
    <row r="3183" spans="1:20" x14ac:dyDescent="0.25">
      <c r="A3183" t="str">
        <f>"3048906"</f>
        <v>3048906</v>
      </c>
      <c r="B3183" t="s">
        <v>9724</v>
      </c>
      <c r="C3183" t="str">
        <f>"62675750"</f>
        <v>62675750</v>
      </c>
      <c r="D3183" t="s">
        <v>9725</v>
      </c>
      <c r="F3183" t="s">
        <v>9726</v>
      </c>
      <c r="I3183" t="s">
        <v>964</v>
      </c>
      <c r="J3183" t="s">
        <v>30</v>
      </c>
      <c r="K3183" t="s">
        <v>9727</v>
      </c>
      <c r="M3183" t="s">
        <v>32</v>
      </c>
      <c r="N3183" t="str">
        <f>"7/29/2002 12:00:00 AM"</f>
        <v>7/29/2002 12:00:00 AM</v>
      </c>
      <c r="O3183" t="s">
        <v>9725</v>
      </c>
    </row>
    <row r="3184" spans="1:20" x14ac:dyDescent="0.25">
      <c r="A3184" t="str">
        <f>"3049727"</f>
        <v>3049727</v>
      </c>
      <c r="B3184" t="s">
        <v>9728</v>
      </c>
      <c r="C3184" t="str">
        <f>"74372000"</f>
        <v>74372000</v>
      </c>
      <c r="D3184" t="s">
        <v>9729</v>
      </c>
      <c r="E3184" t="s">
        <v>9730</v>
      </c>
      <c r="F3184" t="s">
        <v>9731</v>
      </c>
      <c r="I3184" t="s">
        <v>29</v>
      </c>
      <c r="J3184" t="s">
        <v>30</v>
      </c>
      <c r="K3184" t="s">
        <v>9732</v>
      </c>
      <c r="M3184" t="s">
        <v>32</v>
      </c>
      <c r="N3184" t="str">
        <f>"1/23/2006 12:00:00 AM"</f>
        <v>1/23/2006 12:00:00 AM</v>
      </c>
      <c r="O3184" t="s">
        <v>9729</v>
      </c>
      <c r="T3184" t="s">
        <v>9730</v>
      </c>
    </row>
    <row r="3185" spans="1:20" x14ac:dyDescent="0.25">
      <c r="A3185" t="str">
        <f>"3049793"</f>
        <v>3049793</v>
      </c>
      <c r="B3185" t="s">
        <v>9733</v>
      </c>
      <c r="C3185" t="str">
        <f>"35948000"</f>
        <v>35948000</v>
      </c>
      <c r="D3185" t="s">
        <v>9734</v>
      </c>
      <c r="E3185" t="s">
        <v>9735</v>
      </c>
      <c r="F3185" t="s">
        <v>9736</v>
      </c>
      <c r="I3185" t="s">
        <v>29</v>
      </c>
      <c r="J3185" t="s">
        <v>30</v>
      </c>
      <c r="K3185" t="s">
        <v>31</v>
      </c>
      <c r="M3185" t="s">
        <v>32</v>
      </c>
      <c r="N3185" t="str">
        <f>"7/30/2002 12:00:00 AM"</f>
        <v>7/30/2002 12:00:00 AM</v>
      </c>
      <c r="O3185" t="s">
        <v>9734</v>
      </c>
      <c r="T3185" t="s">
        <v>9735</v>
      </c>
    </row>
    <row r="3186" spans="1:20" x14ac:dyDescent="0.25">
      <c r="A3186" t="str">
        <f>"3050216"</f>
        <v>3050216</v>
      </c>
      <c r="B3186" t="s">
        <v>9737</v>
      </c>
      <c r="C3186" t="str">
        <f>"35948000"</f>
        <v>35948000</v>
      </c>
      <c r="D3186" t="s">
        <v>9734</v>
      </c>
      <c r="E3186" t="s">
        <v>9735</v>
      </c>
      <c r="F3186" t="s">
        <v>9736</v>
      </c>
      <c r="I3186" t="s">
        <v>29</v>
      </c>
      <c r="J3186" t="s">
        <v>30</v>
      </c>
      <c r="K3186" t="s">
        <v>31</v>
      </c>
      <c r="M3186" t="s">
        <v>32</v>
      </c>
      <c r="N3186" t="str">
        <f>"7/30/2002 12:00:00 AM"</f>
        <v>7/30/2002 12:00:00 AM</v>
      </c>
      <c r="O3186" t="s">
        <v>9734</v>
      </c>
      <c r="T3186" t="s">
        <v>9735</v>
      </c>
    </row>
    <row r="3187" spans="1:20" x14ac:dyDescent="0.25">
      <c r="A3187" t="str">
        <f>"3050217"</f>
        <v>3050217</v>
      </c>
      <c r="B3187" t="s">
        <v>9738</v>
      </c>
      <c r="C3187" t="str">
        <f>"18340000"</f>
        <v>18340000</v>
      </c>
      <c r="D3187" t="s">
        <v>9739</v>
      </c>
      <c r="E3187" t="s">
        <v>9740</v>
      </c>
      <c r="F3187" t="s">
        <v>9741</v>
      </c>
      <c r="I3187" t="s">
        <v>29</v>
      </c>
      <c r="J3187" t="s">
        <v>30</v>
      </c>
      <c r="K3187" t="s">
        <v>31</v>
      </c>
      <c r="M3187" t="s">
        <v>32</v>
      </c>
      <c r="N3187" t="str">
        <f>"7/9/2003 12:00:00 AM"</f>
        <v>7/9/2003 12:00:00 AM</v>
      </c>
      <c r="O3187" t="s">
        <v>9739</v>
      </c>
      <c r="T3187" t="s">
        <v>9740</v>
      </c>
    </row>
    <row r="3188" spans="1:20" x14ac:dyDescent="0.25">
      <c r="A3188" t="str">
        <f>"3049728"</f>
        <v>3049728</v>
      </c>
      <c r="B3188" t="s">
        <v>9742</v>
      </c>
      <c r="C3188" t="str">
        <f>"18340000"</f>
        <v>18340000</v>
      </c>
      <c r="D3188" t="s">
        <v>9739</v>
      </c>
      <c r="E3188" t="s">
        <v>9740</v>
      </c>
      <c r="F3188" t="s">
        <v>9741</v>
      </c>
      <c r="I3188" t="s">
        <v>29</v>
      </c>
      <c r="J3188" t="s">
        <v>30</v>
      </c>
      <c r="K3188" t="s">
        <v>31</v>
      </c>
      <c r="M3188" t="s">
        <v>32</v>
      </c>
      <c r="N3188" t="str">
        <f>"7/9/2003 12:00:00 AM"</f>
        <v>7/9/2003 12:00:00 AM</v>
      </c>
      <c r="O3188" t="s">
        <v>9739</v>
      </c>
      <c r="T3188" t="s">
        <v>9740</v>
      </c>
    </row>
    <row r="3189" spans="1:20" x14ac:dyDescent="0.25">
      <c r="A3189" t="str">
        <f>"3050234"</f>
        <v>3050234</v>
      </c>
      <c r="B3189" t="s">
        <v>9743</v>
      </c>
      <c r="C3189" t="str">
        <f>"82526703"</f>
        <v>82526703</v>
      </c>
      <c r="D3189" t="s">
        <v>9744</v>
      </c>
      <c r="E3189" t="s">
        <v>9745</v>
      </c>
      <c r="F3189" t="s">
        <v>9746</v>
      </c>
      <c r="I3189" t="s">
        <v>29</v>
      </c>
      <c r="J3189" t="s">
        <v>30</v>
      </c>
      <c r="K3189" t="s">
        <v>31</v>
      </c>
      <c r="M3189" t="s">
        <v>32</v>
      </c>
      <c r="N3189" t="str">
        <f>"3/8/2007 12:00:00 AM"</f>
        <v>3/8/2007 12:00:00 AM</v>
      </c>
      <c r="O3189" t="s">
        <v>9744</v>
      </c>
      <c r="T3189" t="s">
        <v>9745</v>
      </c>
    </row>
    <row r="3190" spans="1:20" x14ac:dyDescent="0.25">
      <c r="A3190" t="str">
        <f>"3058689"</f>
        <v>3058689</v>
      </c>
      <c r="B3190" t="s">
        <v>9747</v>
      </c>
      <c r="C3190" t="str">
        <f>"1196000"</f>
        <v>1196000</v>
      </c>
      <c r="D3190" t="s">
        <v>9748</v>
      </c>
      <c r="E3190" t="s">
        <v>9749</v>
      </c>
      <c r="F3190" t="s">
        <v>9750</v>
      </c>
      <c r="I3190" t="s">
        <v>29</v>
      </c>
      <c r="J3190" t="s">
        <v>30</v>
      </c>
      <c r="K3190" t="s">
        <v>31</v>
      </c>
      <c r="M3190" t="s">
        <v>32</v>
      </c>
      <c r="N3190" t="str">
        <f>"11/6/2003 12:00:00 AM"</f>
        <v>11/6/2003 12:00:00 AM</v>
      </c>
      <c r="O3190" t="s">
        <v>9748</v>
      </c>
      <c r="T3190" t="s">
        <v>9749</v>
      </c>
    </row>
    <row r="3191" spans="1:20" x14ac:dyDescent="0.25">
      <c r="A3191" t="str">
        <f>"3045975"</f>
        <v>3045975</v>
      </c>
      <c r="B3191" t="s">
        <v>9751</v>
      </c>
      <c r="C3191" t="str">
        <f>"82529102"</f>
        <v>82529102</v>
      </c>
      <c r="D3191" t="s">
        <v>9752</v>
      </c>
      <c r="F3191" t="s">
        <v>9753</v>
      </c>
      <c r="I3191" t="s">
        <v>29</v>
      </c>
      <c r="J3191" t="s">
        <v>30</v>
      </c>
      <c r="K3191" t="s">
        <v>31</v>
      </c>
      <c r="M3191" t="s">
        <v>32</v>
      </c>
      <c r="N3191" t="str">
        <f>"1/16/2008 12:00:00 AM"</f>
        <v>1/16/2008 12:00:00 AM</v>
      </c>
      <c r="O3191" t="s">
        <v>9752</v>
      </c>
    </row>
    <row r="3192" spans="1:20" x14ac:dyDescent="0.25">
      <c r="A3192" t="str">
        <f>"3049087"</f>
        <v>3049087</v>
      </c>
      <c r="B3192" t="s">
        <v>9754</v>
      </c>
      <c r="C3192" t="str">
        <f>"70847500"</f>
        <v>70847500</v>
      </c>
      <c r="D3192" t="s">
        <v>9755</v>
      </c>
      <c r="E3192" t="s">
        <v>9756</v>
      </c>
      <c r="F3192" t="s">
        <v>9757</v>
      </c>
      <c r="I3192" t="s">
        <v>29</v>
      </c>
      <c r="J3192" t="s">
        <v>30</v>
      </c>
      <c r="K3192" t="s">
        <v>31</v>
      </c>
      <c r="M3192" t="s">
        <v>32</v>
      </c>
      <c r="N3192" t="str">
        <f>"5/20/2004 12:00:00 AM"</f>
        <v>5/20/2004 12:00:00 AM</v>
      </c>
      <c r="O3192" t="s">
        <v>9755</v>
      </c>
      <c r="T3192" t="s">
        <v>9756</v>
      </c>
    </row>
    <row r="3193" spans="1:20" x14ac:dyDescent="0.25">
      <c r="A3193" t="str">
        <f>"3049088"</f>
        <v>3049088</v>
      </c>
      <c r="B3193" t="s">
        <v>9758</v>
      </c>
      <c r="C3193" t="str">
        <f>"70847500"</f>
        <v>70847500</v>
      </c>
      <c r="D3193" t="s">
        <v>9755</v>
      </c>
      <c r="E3193" t="s">
        <v>9756</v>
      </c>
      <c r="F3193" t="s">
        <v>9757</v>
      </c>
      <c r="I3193" t="s">
        <v>29</v>
      </c>
      <c r="J3193" t="s">
        <v>30</v>
      </c>
      <c r="K3193" t="s">
        <v>31</v>
      </c>
      <c r="M3193" t="s">
        <v>32</v>
      </c>
      <c r="N3193" t="str">
        <f>"5/20/2004 12:00:00 AM"</f>
        <v>5/20/2004 12:00:00 AM</v>
      </c>
      <c r="O3193" t="s">
        <v>9755</v>
      </c>
      <c r="T3193" t="s">
        <v>9756</v>
      </c>
    </row>
    <row r="3194" spans="1:20" x14ac:dyDescent="0.25">
      <c r="A3194" t="str">
        <f>"3050248"</f>
        <v>3050248</v>
      </c>
      <c r="B3194" t="s">
        <v>9759</v>
      </c>
      <c r="C3194" t="str">
        <f>"66089000"</f>
        <v>66089000</v>
      </c>
      <c r="D3194" t="s">
        <v>9760</v>
      </c>
      <c r="E3194" t="s">
        <v>9761</v>
      </c>
      <c r="F3194" t="s">
        <v>9762</v>
      </c>
      <c r="I3194" t="s">
        <v>29</v>
      </c>
      <c r="J3194" t="s">
        <v>30</v>
      </c>
      <c r="K3194" t="s">
        <v>31</v>
      </c>
      <c r="M3194" t="s">
        <v>32</v>
      </c>
      <c r="N3194" t="str">
        <f>"1/12/2010 12:00:00 AM"</f>
        <v>1/12/2010 12:00:00 AM</v>
      </c>
      <c r="O3194" t="s">
        <v>9760</v>
      </c>
      <c r="T3194" t="s">
        <v>9761</v>
      </c>
    </row>
    <row r="3195" spans="1:20" x14ac:dyDescent="0.25">
      <c r="A3195" t="str">
        <f>"3050250"</f>
        <v>3050250</v>
      </c>
      <c r="B3195" t="s">
        <v>9763</v>
      </c>
      <c r="C3195" t="str">
        <f>"110750"</f>
        <v>110750</v>
      </c>
      <c r="D3195" t="s">
        <v>9764</v>
      </c>
      <c r="E3195" t="s">
        <v>9765</v>
      </c>
      <c r="F3195" t="s">
        <v>9766</v>
      </c>
      <c r="I3195" t="s">
        <v>29</v>
      </c>
      <c r="J3195" t="s">
        <v>30</v>
      </c>
      <c r="K3195" t="s">
        <v>9767</v>
      </c>
      <c r="M3195" t="s">
        <v>32</v>
      </c>
      <c r="N3195" t="str">
        <f>"1/14/2010 12:00:00 AM"</f>
        <v>1/14/2010 12:00:00 AM</v>
      </c>
      <c r="O3195" t="s">
        <v>9764</v>
      </c>
      <c r="T3195" t="s">
        <v>9765</v>
      </c>
    </row>
    <row r="3196" spans="1:20" x14ac:dyDescent="0.25">
      <c r="A3196" t="str">
        <f>"3050231"</f>
        <v>3050231</v>
      </c>
      <c r="B3196" t="s">
        <v>9768</v>
      </c>
      <c r="C3196" t="str">
        <f>"25220000"</f>
        <v>25220000</v>
      </c>
      <c r="D3196" t="s">
        <v>9769</v>
      </c>
      <c r="E3196" t="s">
        <v>9770</v>
      </c>
      <c r="F3196" t="s">
        <v>9771</v>
      </c>
      <c r="I3196" t="s">
        <v>29</v>
      </c>
      <c r="J3196" t="s">
        <v>30</v>
      </c>
      <c r="K3196" t="s">
        <v>31</v>
      </c>
      <c r="M3196" t="s">
        <v>32</v>
      </c>
      <c r="N3196" t="str">
        <f>"8/15/2003 12:00:00 AM"</f>
        <v>8/15/2003 12:00:00 AM</v>
      </c>
      <c r="O3196" t="s">
        <v>9769</v>
      </c>
      <c r="T3196" t="s">
        <v>9770</v>
      </c>
    </row>
    <row r="3197" spans="1:20" x14ac:dyDescent="0.25">
      <c r="A3197" t="str">
        <f>"3050232"</f>
        <v>3050232</v>
      </c>
      <c r="B3197" t="s">
        <v>9772</v>
      </c>
      <c r="C3197" t="str">
        <f>"35240000"</f>
        <v>35240000</v>
      </c>
      <c r="D3197" t="s">
        <v>9773</v>
      </c>
      <c r="E3197" t="s">
        <v>9774</v>
      </c>
      <c r="F3197" t="s">
        <v>9775</v>
      </c>
      <c r="I3197" t="s">
        <v>29</v>
      </c>
      <c r="J3197" t="s">
        <v>30</v>
      </c>
      <c r="K3197" t="s">
        <v>31</v>
      </c>
      <c r="M3197" t="s">
        <v>32</v>
      </c>
      <c r="N3197" t="str">
        <f>"7/30/2002 12:00:00 AM"</f>
        <v>7/30/2002 12:00:00 AM</v>
      </c>
      <c r="O3197" t="s">
        <v>9773</v>
      </c>
      <c r="T3197" t="s">
        <v>9774</v>
      </c>
    </row>
    <row r="3198" spans="1:20" x14ac:dyDescent="0.25">
      <c r="A3198" t="str">
        <f>"3057759"</f>
        <v>3057759</v>
      </c>
      <c r="B3198" t="s">
        <v>9776</v>
      </c>
      <c r="C3198" t="str">
        <f>"46472000"</f>
        <v>46472000</v>
      </c>
      <c r="D3198" t="s">
        <v>9777</v>
      </c>
      <c r="E3198" t="s">
        <v>9778</v>
      </c>
      <c r="F3198" t="s">
        <v>9779</v>
      </c>
      <c r="I3198" t="s">
        <v>29</v>
      </c>
      <c r="J3198" t="s">
        <v>30</v>
      </c>
      <c r="K3198" t="s">
        <v>9780</v>
      </c>
      <c r="M3198" t="s">
        <v>32</v>
      </c>
      <c r="N3198" t="str">
        <f>"2/6/2007 12:00:00 AM"</f>
        <v>2/6/2007 12:00:00 AM</v>
      </c>
      <c r="O3198" t="s">
        <v>9777</v>
      </c>
      <c r="T3198" t="s">
        <v>9778</v>
      </c>
    </row>
    <row r="3199" spans="1:20" x14ac:dyDescent="0.25">
      <c r="A3199" t="str">
        <f>"3057761"</f>
        <v>3057761</v>
      </c>
      <c r="B3199" t="s">
        <v>9781</v>
      </c>
      <c r="C3199" t="str">
        <f>"77118350"</f>
        <v>77118350</v>
      </c>
      <c r="D3199" t="s">
        <v>9782</v>
      </c>
      <c r="E3199" t="s">
        <v>9783</v>
      </c>
      <c r="F3199" t="s">
        <v>9784</v>
      </c>
      <c r="I3199" t="s">
        <v>29</v>
      </c>
      <c r="J3199" t="s">
        <v>30</v>
      </c>
      <c r="K3199" t="s">
        <v>31</v>
      </c>
      <c r="N3199" t="str">
        <f>"7/30/2002 12:00:00 AM"</f>
        <v>7/30/2002 12:00:00 AM</v>
      </c>
      <c r="O3199" t="s">
        <v>9782</v>
      </c>
      <c r="T3199" t="s">
        <v>9783</v>
      </c>
    </row>
    <row r="3200" spans="1:20" x14ac:dyDescent="0.25">
      <c r="A3200" t="str">
        <f>"3057765"</f>
        <v>3057765</v>
      </c>
      <c r="B3200" t="s">
        <v>9785</v>
      </c>
      <c r="C3200" t="str">
        <f>"82519793"</f>
        <v>82519793</v>
      </c>
      <c r="D3200" t="s">
        <v>9786</v>
      </c>
      <c r="E3200" t="s">
        <v>9787</v>
      </c>
      <c r="F3200" t="s">
        <v>9788</v>
      </c>
      <c r="I3200" t="s">
        <v>29</v>
      </c>
      <c r="J3200" t="s">
        <v>30</v>
      </c>
      <c r="K3200" t="s">
        <v>31</v>
      </c>
      <c r="M3200" t="s">
        <v>32</v>
      </c>
      <c r="N3200" t="str">
        <f>"11/27/2002 12:00:00 AM"</f>
        <v>11/27/2002 12:00:00 AM</v>
      </c>
      <c r="O3200" t="s">
        <v>9786</v>
      </c>
      <c r="T3200" t="s">
        <v>9787</v>
      </c>
    </row>
    <row r="3201" spans="1:20" x14ac:dyDescent="0.25">
      <c r="A3201" t="str">
        <f>"3057776"</f>
        <v>3057776</v>
      </c>
      <c r="B3201" t="s">
        <v>9789</v>
      </c>
      <c r="C3201" t="str">
        <f>"21485920"</f>
        <v>21485920</v>
      </c>
      <c r="D3201" t="s">
        <v>9464</v>
      </c>
      <c r="F3201" t="s">
        <v>8070</v>
      </c>
      <c r="I3201" t="s">
        <v>29</v>
      </c>
      <c r="J3201" t="s">
        <v>30</v>
      </c>
      <c r="K3201" t="s">
        <v>9780</v>
      </c>
      <c r="M3201" t="s">
        <v>32</v>
      </c>
      <c r="N3201" t="str">
        <f>"1/9/2006 12:00:00 AM"</f>
        <v>1/9/2006 12:00:00 AM</v>
      </c>
      <c r="O3201" t="s">
        <v>9464</v>
      </c>
    </row>
    <row r="3202" spans="1:20" x14ac:dyDescent="0.25">
      <c r="A3202" t="str">
        <f>"3048711"</f>
        <v>3048711</v>
      </c>
      <c r="B3202" t="s">
        <v>9790</v>
      </c>
      <c r="C3202" t="str">
        <f>"11608000"</f>
        <v>11608000</v>
      </c>
      <c r="D3202" t="s">
        <v>9791</v>
      </c>
      <c r="E3202" t="s">
        <v>9792</v>
      </c>
      <c r="F3202" t="s">
        <v>9793</v>
      </c>
      <c r="I3202" t="s">
        <v>29</v>
      </c>
      <c r="J3202" t="s">
        <v>30</v>
      </c>
      <c r="K3202" t="s">
        <v>9794</v>
      </c>
      <c r="M3202" t="s">
        <v>32</v>
      </c>
      <c r="N3202" t="str">
        <f>"2/4/2010 12:00:00 AM"</f>
        <v>2/4/2010 12:00:00 AM</v>
      </c>
      <c r="O3202" t="s">
        <v>9791</v>
      </c>
      <c r="T3202" t="s">
        <v>9792</v>
      </c>
    </row>
    <row r="3203" spans="1:20" x14ac:dyDescent="0.25">
      <c r="A3203" t="str">
        <f>"3062839"</f>
        <v>3062839</v>
      </c>
      <c r="B3203" t="s">
        <v>9795</v>
      </c>
      <c r="C3203" t="str">
        <f>"82526337"</f>
        <v>82526337</v>
      </c>
      <c r="D3203" t="s">
        <v>9796</v>
      </c>
      <c r="F3203" t="s">
        <v>9797</v>
      </c>
      <c r="I3203" t="s">
        <v>29</v>
      </c>
      <c r="J3203" t="s">
        <v>30</v>
      </c>
      <c r="K3203" t="s">
        <v>31</v>
      </c>
      <c r="M3203" t="s">
        <v>32</v>
      </c>
      <c r="N3203" t="str">
        <f>"2/13/2007 12:00:00 AM"</f>
        <v>2/13/2007 12:00:00 AM</v>
      </c>
      <c r="O3203" t="s">
        <v>9796</v>
      </c>
    </row>
    <row r="3204" spans="1:20" x14ac:dyDescent="0.25">
      <c r="A3204" t="str">
        <f>"3052908"</f>
        <v>3052908</v>
      </c>
      <c r="B3204" t="s">
        <v>9798</v>
      </c>
      <c r="C3204" t="str">
        <f>"10210000"</f>
        <v>10210000</v>
      </c>
      <c r="D3204" t="s">
        <v>9799</v>
      </c>
      <c r="F3204" t="s">
        <v>9800</v>
      </c>
      <c r="I3204" t="s">
        <v>29</v>
      </c>
      <c r="J3204" t="s">
        <v>30</v>
      </c>
      <c r="K3204" t="s">
        <v>31</v>
      </c>
      <c r="M3204" t="s">
        <v>32</v>
      </c>
      <c r="N3204" t="str">
        <f>"5/28/2010 12:00:00 AM"</f>
        <v>5/28/2010 12:00:00 AM</v>
      </c>
      <c r="O3204" t="s">
        <v>9799</v>
      </c>
    </row>
    <row r="3205" spans="1:20" x14ac:dyDescent="0.25">
      <c r="A3205" t="str">
        <f>"3052232"</f>
        <v>3052232</v>
      </c>
      <c r="B3205" t="s">
        <v>9801</v>
      </c>
      <c r="C3205" t="str">
        <f>"10210000"</f>
        <v>10210000</v>
      </c>
      <c r="D3205" t="s">
        <v>9799</v>
      </c>
      <c r="F3205" t="s">
        <v>9800</v>
      </c>
      <c r="I3205" t="s">
        <v>29</v>
      </c>
      <c r="J3205" t="s">
        <v>30</v>
      </c>
      <c r="K3205" t="s">
        <v>31</v>
      </c>
      <c r="M3205" t="s">
        <v>32</v>
      </c>
      <c r="N3205" t="str">
        <f>"5/28/2010 12:00:00 AM"</f>
        <v>5/28/2010 12:00:00 AM</v>
      </c>
      <c r="O3205" t="s">
        <v>9799</v>
      </c>
    </row>
    <row r="3206" spans="1:20" x14ac:dyDescent="0.25">
      <c r="A3206" t="str">
        <f>"3058529"</f>
        <v>3058529</v>
      </c>
      <c r="B3206" t="s">
        <v>9802</v>
      </c>
      <c r="C3206" t="str">
        <f>"47200000"</f>
        <v>47200000</v>
      </c>
      <c r="D3206" t="s">
        <v>9803</v>
      </c>
      <c r="E3206" t="s">
        <v>9804</v>
      </c>
      <c r="F3206" t="s">
        <v>9805</v>
      </c>
      <c r="I3206" t="s">
        <v>29</v>
      </c>
      <c r="J3206" t="s">
        <v>30</v>
      </c>
      <c r="K3206" t="s">
        <v>9806</v>
      </c>
      <c r="M3206" t="s">
        <v>32</v>
      </c>
      <c r="N3206" t="str">
        <f>"2/10/2005 12:00:00 AM"</f>
        <v>2/10/2005 12:00:00 AM</v>
      </c>
      <c r="O3206" t="s">
        <v>9803</v>
      </c>
      <c r="T3206" t="s">
        <v>9804</v>
      </c>
    </row>
    <row r="3207" spans="1:20" x14ac:dyDescent="0.25">
      <c r="A3207" t="str">
        <f>"3078148"</f>
        <v>3078148</v>
      </c>
      <c r="B3207" t="s">
        <v>9807</v>
      </c>
      <c r="C3207" t="str">
        <f>"63510250"</f>
        <v>63510250</v>
      </c>
      <c r="D3207" t="s">
        <v>9808</v>
      </c>
      <c r="F3207" t="s">
        <v>9809</v>
      </c>
      <c r="I3207" t="s">
        <v>29</v>
      </c>
      <c r="J3207" t="s">
        <v>30</v>
      </c>
      <c r="K3207" t="s">
        <v>31</v>
      </c>
      <c r="M3207" t="s">
        <v>32</v>
      </c>
      <c r="N3207" t="str">
        <f>"7/30/2002 12:00:00 AM"</f>
        <v>7/30/2002 12:00:00 AM</v>
      </c>
      <c r="O3207" t="s">
        <v>9808</v>
      </c>
    </row>
    <row r="3208" spans="1:20" x14ac:dyDescent="0.25">
      <c r="A3208" t="str">
        <f>"3046300"</f>
        <v>3046300</v>
      </c>
      <c r="B3208" t="s">
        <v>9810</v>
      </c>
      <c r="C3208" t="str">
        <f>"81358000"</f>
        <v>81358000</v>
      </c>
      <c r="D3208" t="s">
        <v>9811</v>
      </c>
      <c r="F3208" t="s">
        <v>9812</v>
      </c>
      <c r="I3208" t="s">
        <v>29</v>
      </c>
      <c r="J3208" t="s">
        <v>30</v>
      </c>
      <c r="K3208" t="s">
        <v>31</v>
      </c>
      <c r="M3208" t="s">
        <v>32</v>
      </c>
      <c r="N3208" t="str">
        <f>"7/19/2004 12:00:00 AM"</f>
        <v>7/19/2004 12:00:00 AM</v>
      </c>
      <c r="O3208" t="s">
        <v>9811</v>
      </c>
    </row>
    <row r="3209" spans="1:20" x14ac:dyDescent="0.25">
      <c r="A3209" t="str">
        <f>"3046180"</f>
        <v>3046180</v>
      </c>
      <c r="B3209" t="s">
        <v>9813</v>
      </c>
      <c r="C3209" t="str">
        <f>"82521027"</f>
        <v>82521027</v>
      </c>
      <c r="D3209" t="s">
        <v>9814</v>
      </c>
      <c r="F3209" t="str">
        <f>"C/O KATHERINE P CARTER"</f>
        <v>C/O KATHERINE P CARTER</v>
      </c>
      <c r="G3209" t="s">
        <v>9815</v>
      </c>
      <c r="I3209" t="s">
        <v>29</v>
      </c>
      <c r="J3209" t="s">
        <v>30</v>
      </c>
      <c r="K3209" t="s">
        <v>31</v>
      </c>
      <c r="M3209" t="s">
        <v>32</v>
      </c>
      <c r="N3209" t="str">
        <f>"6/19/2003 12:00:00 AM"</f>
        <v>6/19/2003 12:00:00 AM</v>
      </c>
      <c r="O3209" t="s">
        <v>9814</v>
      </c>
    </row>
    <row r="3210" spans="1:20" x14ac:dyDescent="0.25">
      <c r="A3210" t="str">
        <f>"3045945"</f>
        <v>3045945</v>
      </c>
      <c r="B3210" t="s">
        <v>9816</v>
      </c>
      <c r="C3210" t="str">
        <f>"13522000"</f>
        <v>13522000</v>
      </c>
      <c r="D3210" t="s">
        <v>9817</v>
      </c>
      <c r="F3210" t="s">
        <v>9815</v>
      </c>
      <c r="I3210" t="s">
        <v>29</v>
      </c>
      <c r="J3210" t="s">
        <v>30</v>
      </c>
      <c r="K3210" t="s">
        <v>31</v>
      </c>
      <c r="M3210" t="s">
        <v>32</v>
      </c>
      <c r="N3210" t="str">
        <f>"6/19/2003 12:00:00 AM"</f>
        <v>6/19/2003 12:00:00 AM</v>
      </c>
      <c r="O3210" t="s">
        <v>9817</v>
      </c>
    </row>
    <row r="3211" spans="1:20" x14ac:dyDescent="0.25">
      <c r="A3211" t="str">
        <f>"3048998"</f>
        <v>3048998</v>
      </c>
      <c r="B3211" t="s">
        <v>9818</v>
      </c>
      <c r="C3211" t="str">
        <f>"82527997"</f>
        <v>82527997</v>
      </c>
      <c r="D3211" t="s">
        <v>9819</v>
      </c>
      <c r="F3211" t="s">
        <v>9820</v>
      </c>
      <c r="I3211" t="s">
        <v>29</v>
      </c>
      <c r="J3211" t="s">
        <v>30</v>
      </c>
      <c r="K3211" t="s">
        <v>31</v>
      </c>
      <c r="M3211" t="s">
        <v>32</v>
      </c>
      <c r="N3211" t="str">
        <f>"5/21/2007 12:00:00 AM"</f>
        <v>5/21/2007 12:00:00 AM</v>
      </c>
      <c r="O3211" t="s">
        <v>9819</v>
      </c>
    </row>
    <row r="3212" spans="1:20" x14ac:dyDescent="0.25">
      <c r="A3212" t="str">
        <f>"3049009"</f>
        <v>3049009</v>
      </c>
      <c r="B3212" t="s">
        <v>9821</v>
      </c>
      <c r="C3212" t="str">
        <f>"82514339"</f>
        <v>82514339</v>
      </c>
      <c r="D3212" t="s">
        <v>9822</v>
      </c>
      <c r="F3212" t="s">
        <v>9823</v>
      </c>
      <c r="I3212" t="s">
        <v>9824</v>
      </c>
      <c r="J3212" t="s">
        <v>30</v>
      </c>
      <c r="K3212" t="s">
        <v>9825</v>
      </c>
      <c r="M3212" t="s">
        <v>32</v>
      </c>
      <c r="N3212" t="str">
        <f>"7/26/2004 12:00:00 AM"</f>
        <v>7/26/2004 12:00:00 AM</v>
      </c>
      <c r="O3212" t="s">
        <v>9822</v>
      </c>
    </row>
    <row r="3213" spans="1:20" x14ac:dyDescent="0.25">
      <c r="A3213" t="str">
        <f>"3046162"</f>
        <v>3046162</v>
      </c>
      <c r="B3213" t="s">
        <v>9826</v>
      </c>
      <c r="C3213" t="str">
        <f>"82517555"</f>
        <v>82517555</v>
      </c>
      <c r="D3213" t="s">
        <v>9827</v>
      </c>
      <c r="E3213" t="s">
        <v>9828</v>
      </c>
      <c r="F3213" t="s">
        <v>9829</v>
      </c>
      <c r="I3213" t="s">
        <v>29</v>
      </c>
      <c r="J3213" t="s">
        <v>30</v>
      </c>
      <c r="K3213" t="s">
        <v>31</v>
      </c>
      <c r="M3213" t="s">
        <v>32</v>
      </c>
      <c r="N3213" t="str">
        <f>"10/10/2005 12:00:00 AM"</f>
        <v>10/10/2005 12:00:00 AM</v>
      </c>
      <c r="O3213" t="s">
        <v>9827</v>
      </c>
      <c r="T3213" t="s">
        <v>9828</v>
      </c>
    </row>
    <row r="3214" spans="1:20" x14ac:dyDescent="0.25">
      <c r="A3214" t="str">
        <f>"3078150"</f>
        <v>3078150</v>
      </c>
      <c r="B3214" t="s">
        <v>9830</v>
      </c>
      <c r="C3214" t="str">
        <f>"82514737"</f>
        <v>82514737</v>
      </c>
      <c r="D3214" t="s">
        <v>9831</v>
      </c>
      <c r="E3214" t="s">
        <v>9832</v>
      </c>
      <c r="F3214" t="s">
        <v>9833</v>
      </c>
      <c r="I3214" t="s">
        <v>29</v>
      </c>
      <c r="J3214" t="s">
        <v>30</v>
      </c>
      <c r="K3214" t="s">
        <v>31</v>
      </c>
      <c r="M3214" t="s">
        <v>32</v>
      </c>
      <c r="N3214" t="str">
        <f>"7/27/2004 12:00:00 AM"</f>
        <v>7/27/2004 12:00:00 AM</v>
      </c>
      <c r="O3214" t="s">
        <v>9831</v>
      </c>
      <c r="T3214" t="s">
        <v>9832</v>
      </c>
    </row>
    <row r="3215" spans="1:20" x14ac:dyDescent="0.25">
      <c r="A3215" t="str">
        <f>"3052061"</f>
        <v>3052061</v>
      </c>
      <c r="B3215" t="s">
        <v>9834</v>
      </c>
      <c r="C3215" t="str">
        <f>"35412450"</f>
        <v>35412450</v>
      </c>
      <c r="D3215" t="s">
        <v>9592</v>
      </c>
      <c r="E3215" t="s">
        <v>9593</v>
      </c>
      <c r="F3215" t="s">
        <v>9594</v>
      </c>
      <c r="I3215" t="s">
        <v>29</v>
      </c>
      <c r="J3215" t="s">
        <v>30</v>
      </c>
      <c r="K3215" t="s">
        <v>9595</v>
      </c>
      <c r="M3215" t="s">
        <v>32</v>
      </c>
      <c r="N3215" t="str">
        <f>"9/7/2011 12:00:00 AM"</f>
        <v>9/7/2011 12:00:00 AM</v>
      </c>
      <c r="O3215" t="s">
        <v>9592</v>
      </c>
      <c r="T3215" t="s">
        <v>9593</v>
      </c>
    </row>
    <row r="3216" spans="1:20" x14ac:dyDescent="0.25">
      <c r="A3216" t="str">
        <f>"3051674"</f>
        <v>3051674</v>
      </c>
      <c r="B3216" t="s">
        <v>9835</v>
      </c>
      <c r="C3216" t="str">
        <f>"30388000"</f>
        <v>30388000</v>
      </c>
      <c r="D3216" t="s">
        <v>9836</v>
      </c>
      <c r="E3216" t="s">
        <v>9837</v>
      </c>
      <c r="F3216" t="s">
        <v>9838</v>
      </c>
      <c r="I3216" t="s">
        <v>29</v>
      </c>
      <c r="J3216" t="s">
        <v>30</v>
      </c>
      <c r="K3216" t="s">
        <v>31</v>
      </c>
      <c r="M3216" t="s">
        <v>32</v>
      </c>
      <c r="N3216" t="str">
        <f>"1/26/2006 12:00:00 AM"</f>
        <v>1/26/2006 12:00:00 AM</v>
      </c>
      <c r="O3216" t="s">
        <v>9836</v>
      </c>
      <c r="T3216" t="s">
        <v>9837</v>
      </c>
    </row>
    <row r="3217" spans="1:20" x14ac:dyDescent="0.25">
      <c r="A3217" t="str">
        <f>"3057323"</f>
        <v>3057323</v>
      </c>
      <c r="B3217" t="s">
        <v>9839</v>
      </c>
      <c r="C3217" t="str">
        <f>"82516716"</f>
        <v>82516716</v>
      </c>
      <c r="D3217" t="s">
        <v>9840</v>
      </c>
      <c r="F3217" t="s">
        <v>9841</v>
      </c>
      <c r="I3217" t="s">
        <v>9842</v>
      </c>
      <c r="J3217" t="s">
        <v>30</v>
      </c>
      <c r="K3217" t="s">
        <v>9843</v>
      </c>
      <c r="M3217" t="s">
        <v>32</v>
      </c>
      <c r="N3217" t="str">
        <f>"9/2/2008 12:00:00 AM"</f>
        <v>9/2/2008 12:00:00 AM</v>
      </c>
      <c r="O3217" t="s">
        <v>9840</v>
      </c>
    </row>
    <row r="3218" spans="1:20" x14ac:dyDescent="0.25">
      <c r="A3218" t="str">
        <f>"3058249"</f>
        <v>3058249</v>
      </c>
      <c r="B3218" t="s">
        <v>9844</v>
      </c>
      <c r="C3218" t="str">
        <f>"82512960"</f>
        <v>82512960</v>
      </c>
      <c r="D3218" t="s">
        <v>9845</v>
      </c>
      <c r="E3218" t="s">
        <v>9846</v>
      </c>
      <c r="F3218" t="s">
        <v>9847</v>
      </c>
      <c r="I3218" t="s">
        <v>29</v>
      </c>
      <c r="J3218" t="s">
        <v>30</v>
      </c>
      <c r="K3218" t="s">
        <v>9848</v>
      </c>
      <c r="M3218" t="s">
        <v>32</v>
      </c>
      <c r="N3218" t="str">
        <f>"2/14/2007 12:00:00 AM"</f>
        <v>2/14/2007 12:00:00 AM</v>
      </c>
      <c r="O3218" t="s">
        <v>9845</v>
      </c>
      <c r="T3218" t="s">
        <v>9846</v>
      </c>
    </row>
    <row r="3219" spans="1:20" x14ac:dyDescent="0.25">
      <c r="A3219" t="str">
        <f>"3058285"</f>
        <v>3058285</v>
      </c>
      <c r="B3219" t="s">
        <v>9849</v>
      </c>
      <c r="C3219" t="str">
        <f>"82521515"</f>
        <v>82521515</v>
      </c>
      <c r="D3219" t="s">
        <v>9850</v>
      </c>
      <c r="E3219" t="s">
        <v>9851</v>
      </c>
      <c r="F3219" t="s">
        <v>9852</v>
      </c>
      <c r="I3219" t="s">
        <v>29</v>
      </c>
      <c r="J3219" t="s">
        <v>30</v>
      </c>
      <c r="K3219" t="s">
        <v>31</v>
      </c>
      <c r="M3219" t="s">
        <v>32</v>
      </c>
      <c r="N3219" t="str">
        <f>"10/7/2003 12:00:00 AM"</f>
        <v>10/7/2003 12:00:00 AM</v>
      </c>
      <c r="O3219" t="s">
        <v>9850</v>
      </c>
      <c r="T3219" t="s">
        <v>9851</v>
      </c>
    </row>
    <row r="3220" spans="1:20" x14ac:dyDescent="0.25">
      <c r="A3220" t="str">
        <f>"3057318"</f>
        <v>3057318</v>
      </c>
      <c r="B3220" t="s">
        <v>9853</v>
      </c>
      <c r="C3220" t="str">
        <f>"82526922"</f>
        <v>82526922</v>
      </c>
      <c r="D3220" t="s">
        <v>9854</v>
      </c>
      <c r="E3220" t="s">
        <v>9851</v>
      </c>
      <c r="F3220" t="s">
        <v>9852</v>
      </c>
      <c r="I3220" t="s">
        <v>29</v>
      </c>
      <c r="J3220" t="s">
        <v>30</v>
      </c>
      <c r="K3220" t="s">
        <v>31</v>
      </c>
      <c r="M3220" t="s">
        <v>32</v>
      </c>
      <c r="N3220" t="str">
        <f>"10/11/2006 12:00:00 AM"</f>
        <v>10/11/2006 12:00:00 AM</v>
      </c>
      <c r="O3220" t="s">
        <v>9854</v>
      </c>
      <c r="T3220" t="s">
        <v>9851</v>
      </c>
    </row>
    <row r="3221" spans="1:20" x14ac:dyDescent="0.25">
      <c r="A3221" t="str">
        <f>"3058291"</f>
        <v>3058291</v>
      </c>
      <c r="B3221" t="s">
        <v>9855</v>
      </c>
      <c r="C3221" t="str">
        <f>"82529694"</f>
        <v>82529694</v>
      </c>
      <c r="D3221" t="s">
        <v>9856</v>
      </c>
      <c r="E3221" t="s">
        <v>9857</v>
      </c>
      <c r="F3221" t="s">
        <v>9858</v>
      </c>
      <c r="I3221" t="s">
        <v>29</v>
      </c>
      <c r="J3221" t="s">
        <v>30</v>
      </c>
      <c r="K3221" t="s">
        <v>31</v>
      </c>
      <c r="M3221" t="s">
        <v>32</v>
      </c>
      <c r="N3221" t="str">
        <f>"1/13/2009 12:00:00 AM"</f>
        <v>1/13/2009 12:00:00 AM</v>
      </c>
      <c r="O3221" t="s">
        <v>9856</v>
      </c>
      <c r="T3221" t="s">
        <v>9857</v>
      </c>
    </row>
    <row r="3222" spans="1:20" x14ac:dyDescent="0.25">
      <c r="A3222" t="str">
        <f>"3051662"</f>
        <v>3051662</v>
      </c>
      <c r="B3222" t="s">
        <v>9859</v>
      </c>
      <c r="C3222" t="str">
        <f>"30388000"</f>
        <v>30388000</v>
      </c>
      <c r="D3222" t="s">
        <v>9836</v>
      </c>
      <c r="E3222" t="s">
        <v>9837</v>
      </c>
      <c r="F3222" t="s">
        <v>9838</v>
      </c>
      <c r="I3222" t="s">
        <v>29</v>
      </c>
      <c r="J3222" t="s">
        <v>30</v>
      </c>
      <c r="K3222" t="s">
        <v>31</v>
      </c>
      <c r="M3222" t="s">
        <v>32</v>
      </c>
      <c r="N3222" t="str">
        <f>"1/26/2006 12:00:00 AM"</f>
        <v>1/26/2006 12:00:00 AM</v>
      </c>
      <c r="O3222" t="s">
        <v>9836</v>
      </c>
      <c r="T3222" t="s">
        <v>9837</v>
      </c>
    </row>
    <row r="3223" spans="1:20" x14ac:dyDescent="0.25">
      <c r="A3223" t="str">
        <f>"3051997"</f>
        <v>3051997</v>
      </c>
      <c r="B3223" t="s">
        <v>9860</v>
      </c>
      <c r="C3223" t="str">
        <f>"52422000"</f>
        <v>52422000</v>
      </c>
      <c r="D3223" t="s">
        <v>9861</v>
      </c>
      <c r="F3223" t="s">
        <v>9862</v>
      </c>
      <c r="I3223" t="s">
        <v>29</v>
      </c>
      <c r="J3223" t="s">
        <v>30</v>
      </c>
      <c r="K3223" t="s">
        <v>31</v>
      </c>
      <c r="M3223" t="s">
        <v>32</v>
      </c>
      <c r="N3223" t="str">
        <f>"3/10/2004 12:00:00 AM"</f>
        <v>3/10/2004 12:00:00 AM</v>
      </c>
      <c r="O3223" t="s">
        <v>9861</v>
      </c>
    </row>
    <row r="3224" spans="1:20" x14ac:dyDescent="0.25">
      <c r="A3224" t="str">
        <f>"3062041"</f>
        <v>3062041</v>
      </c>
      <c r="B3224" t="s">
        <v>9863</v>
      </c>
      <c r="C3224" t="str">
        <f>"82528368"</f>
        <v>82528368</v>
      </c>
      <c r="D3224" t="s">
        <v>9864</v>
      </c>
      <c r="E3224" t="s">
        <v>9865</v>
      </c>
      <c r="F3224" t="s">
        <v>9866</v>
      </c>
      <c r="I3224" t="s">
        <v>29</v>
      </c>
      <c r="J3224" t="s">
        <v>30</v>
      </c>
      <c r="K3224" t="s">
        <v>31</v>
      </c>
      <c r="M3224" t="s">
        <v>32</v>
      </c>
      <c r="N3224" t="str">
        <f>"1/28/2008 12:00:00 AM"</f>
        <v>1/28/2008 12:00:00 AM</v>
      </c>
      <c r="O3224" t="s">
        <v>9864</v>
      </c>
      <c r="T3224" t="s">
        <v>9865</v>
      </c>
    </row>
    <row r="3225" spans="1:20" x14ac:dyDescent="0.25">
      <c r="A3225" t="str">
        <f>"3058243"</f>
        <v>3058243</v>
      </c>
      <c r="B3225" t="s">
        <v>9867</v>
      </c>
      <c r="C3225" t="str">
        <f>"82524234"</f>
        <v>82524234</v>
      </c>
      <c r="D3225" t="s">
        <v>9868</v>
      </c>
      <c r="E3225" t="s">
        <v>9869</v>
      </c>
      <c r="F3225" t="s">
        <v>9870</v>
      </c>
      <c r="I3225" t="s">
        <v>29</v>
      </c>
      <c r="J3225" t="s">
        <v>30</v>
      </c>
      <c r="K3225" t="s">
        <v>9871</v>
      </c>
      <c r="M3225" t="s">
        <v>32</v>
      </c>
      <c r="N3225" t="str">
        <f>"6/22/2007 12:00:00 AM"</f>
        <v>6/22/2007 12:00:00 AM</v>
      </c>
      <c r="O3225" t="s">
        <v>9868</v>
      </c>
      <c r="T3225" t="s">
        <v>9869</v>
      </c>
    </row>
    <row r="3226" spans="1:20" x14ac:dyDescent="0.25">
      <c r="A3226" t="str">
        <f>"3048957"</f>
        <v>3048957</v>
      </c>
      <c r="B3226" t="s">
        <v>9872</v>
      </c>
      <c r="C3226" t="str">
        <f>"52422000"</f>
        <v>52422000</v>
      </c>
      <c r="D3226" t="s">
        <v>9861</v>
      </c>
      <c r="F3226" t="s">
        <v>9862</v>
      </c>
      <c r="I3226" t="s">
        <v>29</v>
      </c>
      <c r="J3226" t="s">
        <v>30</v>
      </c>
      <c r="K3226" t="s">
        <v>31</v>
      </c>
      <c r="M3226" t="s">
        <v>32</v>
      </c>
      <c r="N3226" t="str">
        <f>"3/10/2004 12:00:00 AM"</f>
        <v>3/10/2004 12:00:00 AM</v>
      </c>
      <c r="O3226" t="s">
        <v>9861</v>
      </c>
    </row>
    <row r="3227" spans="1:20" x14ac:dyDescent="0.25">
      <c r="A3227" t="str">
        <f>"3049343"</f>
        <v>3049343</v>
      </c>
      <c r="B3227" t="s">
        <v>9873</v>
      </c>
      <c r="C3227" t="str">
        <f>"82526955"</f>
        <v>82526955</v>
      </c>
      <c r="D3227" t="s">
        <v>9874</v>
      </c>
      <c r="F3227" t="s">
        <v>9875</v>
      </c>
      <c r="I3227" t="s">
        <v>9876</v>
      </c>
      <c r="J3227" t="s">
        <v>9877</v>
      </c>
      <c r="K3227" t="s">
        <v>9878</v>
      </c>
      <c r="M3227" t="s">
        <v>32</v>
      </c>
      <c r="N3227" t="str">
        <f>"10/16/2006 12:00:00 AM"</f>
        <v>10/16/2006 12:00:00 AM</v>
      </c>
      <c r="O3227" t="s">
        <v>9874</v>
      </c>
    </row>
    <row r="3228" spans="1:20" x14ac:dyDescent="0.25">
      <c r="A3228" t="str">
        <f>"3049760"</f>
        <v>3049760</v>
      </c>
      <c r="B3228" t="s">
        <v>9879</v>
      </c>
      <c r="C3228" t="str">
        <f>"82516685"</f>
        <v>82516685</v>
      </c>
      <c r="D3228" t="s">
        <v>9880</v>
      </c>
      <c r="F3228" t="s">
        <v>9881</v>
      </c>
      <c r="I3228" t="s">
        <v>29</v>
      </c>
      <c r="J3228" t="s">
        <v>30</v>
      </c>
      <c r="K3228" t="s">
        <v>31</v>
      </c>
      <c r="M3228" t="s">
        <v>32</v>
      </c>
      <c r="N3228" t="str">
        <f>"8/2/2002 12:00:00 AM"</f>
        <v>8/2/2002 12:00:00 AM</v>
      </c>
      <c r="O3228" t="s">
        <v>9880</v>
      </c>
    </row>
    <row r="3229" spans="1:20" x14ac:dyDescent="0.25">
      <c r="A3229" t="str">
        <f>"3049772"</f>
        <v>3049772</v>
      </c>
      <c r="B3229" t="s">
        <v>9882</v>
      </c>
      <c r="C3229" t="str">
        <f>"82523256"</f>
        <v>82523256</v>
      </c>
      <c r="D3229" t="s">
        <v>9883</v>
      </c>
      <c r="F3229" t="s">
        <v>9884</v>
      </c>
      <c r="I3229" t="s">
        <v>29</v>
      </c>
      <c r="J3229" t="s">
        <v>30</v>
      </c>
      <c r="K3229" t="s">
        <v>31</v>
      </c>
      <c r="M3229" t="s">
        <v>32</v>
      </c>
      <c r="N3229" t="str">
        <f>"2/17/2005 12:00:00 AM"</f>
        <v>2/17/2005 12:00:00 AM</v>
      </c>
      <c r="O3229" t="s">
        <v>9883</v>
      </c>
    </row>
    <row r="3230" spans="1:20" x14ac:dyDescent="0.25">
      <c r="A3230" t="str">
        <f>"3049782"</f>
        <v>3049782</v>
      </c>
      <c r="B3230" t="s">
        <v>9885</v>
      </c>
      <c r="C3230" t="str">
        <f>"82528506"</f>
        <v>82528506</v>
      </c>
      <c r="D3230" t="s">
        <v>9886</v>
      </c>
      <c r="E3230" t="s">
        <v>9887</v>
      </c>
      <c r="F3230" t="s">
        <v>9888</v>
      </c>
      <c r="I3230" t="s">
        <v>29</v>
      </c>
      <c r="J3230" t="s">
        <v>30</v>
      </c>
      <c r="K3230" t="s">
        <v>31</v>
      </c>
      <c r="M3230" t="s">
        <v>32</v>
      </c>
      <c r="N3230" t="str">
        <f>"8/13/2007 12:00:00 AM"</f>
        <v>8/13/2007 12:00:00 AM</v>
      </c>
      <c r="O3230" t="s">
        <v>9886</v>
      </c>
      <c r="T3230" t="s">
        <v>9887</v>
      </c>
    </row>
    <row r="3231" spans="1:20" x14ac:dyDescent="0.25">
      <c r="A3231" t="str">
        <f>"3049796"</f>
        <v>3049796</v>
      </c>
      <c r="B3231" t="s">
        <v>9889</v>
      </c>
      <c r="C3231" t="str">
        <f>"82516363"</f>
        <v>82516363</v>
      </c>
      <c r="D3231" t="s">
        <v>9890</v>
      </c>
      <c r="E3231" t="s">
        <v>9891</v>
      </c>
      <c r="F3231" t="s">
        <v>9892</v>
      </c>
      <c r="I3231" t="s">
        <v>29</v>
      </c>
      <c r="J3231" t="s">
        <v>30</v>
      </c>
      <c r="K3231" t="s">
        <v>31</v>
      </c>
      <c r="M3231" t="s">
        <v>32</v>
      </c>
      <c r="N3231" t="str">
        <f>"6/28/2001 12:00:00 AM"</f>
        <v>6/28/2001 12:00:00 AM</v>
      </c>
      <c r="O3231" t="s">
        <v>9890</v>
      </c>
      <c r="T3231" t="s">
        <v>9891</v>
      </c>
    </row>
    <row r="3232" spans="1:20" x14ac:dyDescent="0.25">
      <c r="A3232" t="str">
        <f>"3045973"</f>
        <v>3045973</v>
      </c>
      <c r="B3232" t="s">
        <v>9893</v>
      </c>
      <c r="C3232" t="str">
        <f>"82530158"</f>
        <v>82530158</v>
      </c>
      <c r="D3232" t="s">
        <v>9894</v>
      </c>
      <c r="E3232" t="s">
        <v>9895</v>
      </c>
      <c r="F3232" t="s">
        <v>9896</v>
      </c>
      <c r="I3232" t="s">
        <v>2280</v>
      </c>
      <c r="J3232" t="s">
        <v>30</v>
      </c>
      <c r="K3232" t="s">
        <v>9897</v>
      </c>
      <c r="M3232" t="s">
        <v>32</v>
      </c>
      <c r="N3232" t="str">
        <f>"10/8/2008 12:00:00 AM"</f>
        <v>10/8/2008 12:00:00 AM</v>
      </c>
      <c r="O3232" t="s">
        <v>9894</v>
      </c>
      <c r="T3232" t="s">
        <v>9895</v>
      </c>
    </row>
    <row r="3233" spans="1:20" x14ac:dyDescent="0.25">
      <c r="A3233" t="str">
        <f>"3078947"</f>
        <v>3078947</v>
      </c>
      <c r="B3233" t="s">
        <v>9898</v>
      </c>
      <c r="C3233" t="str">
        <f>"51945700"</f>
        <v>51945700</v>
      </c>
      <c r="D3233" t="s">
        <v>9899</v>
      </c>
      <c r="F3233" t="s">
        <v>9900</v>
      </c>
      <c r="I3233" t="s">
        <v>3196</v>
      </c>
      <c r="J3233" t="s">
        <v>30</v>
      </c>
      <c r="K3233" t="s">
        <v>9901</v>
      </c>
      <c r="M3233" t="s">
        <v>32</v>
      </c>
      <c r="N3233" t="str">
        <f>"11/19/2007 12:00:00 AM"</f>
        <v>11/19/2007 12:00:00 AM</v>
      </c>
      <c r="O3233" t="s">
        <v>9899</v>
      </c>
    </row>
    <row r="3234" spans="1:20" x14ac:dyDescent="0.25">
      <c r="A3234" t="str">
        <f>"3049815"</f>
        <v>3049815</v>
      </c>
      <c r="B3234" t="s">
        <v>9902</v>
      </c>
      <c r="C3234" t="str">
        <f>"82523424"</f>
        <v>82523424</v>
      </c>
      <c r="D3234" t="s">
        <v>9903</v>
      </c>
      <c r="F3234" t="s">
        <v>9904</v>
      </c>
      <c r="I3234" t="s">
        <v>29</v>
      </c>
      <c r="J3234" t="s">
        <v>30</v>
      </c>
      <c r="K3234" t="s">
        <v>9905</v>
      </c>
      <c r="M3234" t="s">
        <v>32</v>
      </c>
      <c r="N3234" t="str">
        <f>"3/2/2005 12:00:00 AM"</f>
        <v>3/2/2005 12:00:00 AM</v>
      </c>
      <c r="O3234" t="s">
        <v>9903</v>
      </c>
    </row>
    <row r="3235" spans="1:20" x14ac:dyDescent="0.25">
      <c r="A3235" t="str">
        <f>"3049828"</f>
        <v>3049828</v>
      </c>
      <c r="B3235" t="s">
        <v>9906</v>
      </c>
      <c r="C3235" t="str">
        <f>"82528229"</f>
        <v>82528229</v>
      </c>
      <c r="D3235" t="s">
        <v>9907</v>
      </c>
      <c r="F3235" t="s">
        <v>9908</v>
      </c>
      <c r="I3235" t="s">
        <v>29</v>
      </c>
      <c r="J3235" t="s">
        <v>30</v>
      </c>
      <c r="K3235" t="s">
        <v>31</v>
      </c>
      <c r="M3235" t="s">
        <v>32</v>
      </c>
      <c r="N3235" t="str">
        <f>"6/26/2007 12:00:00 AM"</f>
        <v>6/26/2007 12:00:00 AM</v>
      </c>
      <c r="O3235" t="s">
        <v>9907</v>
      </c>
    </row>
    <row r="3236" spans="1:20" x14ac:dyDescent="0.25">
      <c r="A3236" t="str">
        <f>"3049818"</f>
        <v>3049818</v>
      </c>
      <c r="B3236" t="s">
        <v>9909</v>
      </c>
      <c r="C3236" t="str">
        <f>"82528350"</f>
        <v>82528350</v>
      </c>
      <c r="D3236" t="s">
        <v>9910</v>
      </c>
      <c r="F3236" t="s">
        <v>9911</v>
      </c>
      <c r="I3236" t="s">
        <v>29</v>
      </c>
      <c r="J3236" t="s">
        <v>30</v>
      </c>
      <c r="K3236" t="s">
        <v>9706</v>
      </c>
      <c r="M3236" t="s">
        <v>32</v>
      </c>
      <c r="N3236" t="str">
        <f>"11/20/2007 12:00:00 AM"</f>
        <v>11/20/2007 12:00:00 AM</v>
      </c>
      <c r="O3236" t="s">
        <v>9910</v>
      </c>
    </row>
    <row r="3237" spans="1:20" x14ac:dyDescent="0.25">
      <c r="A3237" t="str">
        <f>"3048624"</f>
        <v>3048624</v>
      </c>
      <c r="B3237" t="s">
        <v>9912</v>
      </c>
      <c r="C3237" t="str">
        <f>"964000"</f>
        <v>964000</v>
      </c>
      <c r="D3237" t="s">
        <v>9913</v>
      </c>
      <c r="E3237" t="s">
        <v>9914</v>
      </c>
      <c r="F3237" t="s">
        <v>9915</v>
      </c>
      <c r="I3237" t="s">
        <v>29</v>
      </c>
      <c r="J3237" t="s">
        <v>30</v>
      </c>
      <c r="K3237" t="s">
        <v>31</v>
      </c>
      <c r="M3237" t="s">
        <v>32</v>
      </c>
      <c r="N3237" t="str">
        <f>"5/9/2003 12:00:00 AM"</f>
        <v>5/9/2003 12:00:00 AM</v>
      </c>
      <c r="O3237" t="s">
        <v>9913</v>
      </c>
      <c r="T3237" t="s">
        <v>9914</v>
      </c>
    </row>
    <row r="3238" spans="1:20" x14ac:dyDescent="0.25">
      <c r="A3238" t="str">
        <f>"3048413"</f>
        <v>3048413</v>
      </c>
      <c r="B3238" t="s">
        <v>9916</v>
      </c>
      <c r="C3238" t="str">
        <f>"964000"</f>
        <v>964000</v>
      </c>
      <c r="D3238" t="s">
        <v>9913</v>
      </c>
      <c r="E3238" t="s">
        <v>9914</v>
      </c>
      <c r="F3238" t="s">
        <v>9915</v>
      </c>
      <c r="I3238" t="s">
        <v>29</v>
      </c>
      <c r="J3238" t="s">
        <v>30</v>
      </c>
      <c r="K3238" t="s">
        <v>31</v>
      </c>
      <c r="M3238" t="s">
        <v>32</v>
      </c>
      <c r="N3238" t="str">
        <f>"5/9/2003 12:00:00 AM"</f>
        <v>5/9/2003 12:00:00 AM</v>
      </c>
      <c r="O3238" t="s">
        <v>9913</v>
      </c>
      <c r="T3238" t="s">
        <v>9914</v>
      </c>
    </row>
    <row r="3239" spans="1:20" x14ac:dyDescent="0.25">
      <c r="A3239" t="str">
        <f>"3048621"</f>
        <v>3048621</v>
      </c>
      <c r="B3239" t="s">
        <v>9917</v>
      </c>
      <c r="C3239" t="str">
        <f>"10829500"</f>
        <v>10829500</v>
      </c>
      <c r="D3239" t="s">
        <v>9918</v>
      </c>
      <c r="F3239" t="s">
        <v>9919</v>
      </c>
      <c r="I3239" t="s">
        <v>29</v>
      </c>
      <c r="J3239" t="s">
        <v>30</v>
      </c>
      <c r="K3239" t="s">
        <v>31</v>
      </c>
      <c r="M3239" t="s">
        <v>32</v>
      </c>
      <c r="N3239" t="str">
        <f>"7/30/2002 12:00:00 AM"</f>
        <v>7/30/2002 12:00:00 AM</v>
      </c>
      <c r="O3239" t="s">
        <v>9918</v>
      </c>
    </row>
    <row r="3240" spans="1:20" x14ac:dyDescent="0.25">
      <c r="A3240" t="str">
        <f>"3068727"</f>
        <v>3068727</v>
      </c>
      <c r="B3240" t="s">
        <v>9920</v>
      </c>
      <c r="C3240" t="str">
        <f>"5670000"</f>
        <v>5670000</v>
      </c>
      <c r="D3240" t="s">
        <v>9921</v>
      </c>
      <c r="E3240" t="s">
        <v>9922</v>
      </c>
      <c r="F3240" t="s">
        <v>9923</v>
      </c>
      <c r="I3240" t="s">
        <v>29</v>
      </c>
      <c r="J3240" t="s">
        <v>30</v>
      </c>
      <c r="K3240" t="s">
        <v>31</v>
      </c>
      <c r="M3240" t="s">
        <v>32</v>
      </c>
      <c r="N3240" t="str">
        <f>"7/30/2002 12:00:00 AM"</f>
        <v>7/30/2002 12:00:00 AM</v>
      </c>
      <c r="O3240" t="s">
        <v>9921</v>
      </c>
      <c r="T3240" t="s">
        <v>9922</v>
      </c>
    </row>
    <row r="3241" spans="1:20" x14ac:dyDescent="0.25">
      <c r="A3241" t="str">
        <f>"3048656"</f>
        <v>3048656</v>
      </c>
      <c r="B3241" t="s">
        <v>9924</v>
      </c>
      <c r="C3241" t="str">
        <f>"114500"</f>
        <v>114500</v>
      </c>
      <c r="D3241" t="s">
        <v>9925</v>
      </c>
      <c r="E3241" t="s">
        <v>9926</v>
      </c>
      <c r="F3241" t="s">
        <v>9927</v>
      </c>
      <c r="I3241" t="s">
        <v>29</v>
      </c>
      <c r="J3241" t="s">
        <v>30</v>
      </c>
      <c r="K3241" t="s">
        <v>9928</v>
      </c>
      <c r="M3241" t="s">
        <v>32</v>
      </c>
      <c r="N3241" t="str">
        <f>"5/10/2011 12:00:00 AM"</f>
        <v>5/10/2011 12:00:00 AM</v>
      </c>
      <c r="O3241" t="s">
        <v>9925</v>
      </c>
      <c r="T3241" t="s">
        <v>9926</v>
      </c>
    </row>
    <row r="3242" spans="1:20" x14ac:dyDescent="0.25">
      <c r="A3242" t="str">
        <f>"3048657"</f>
        <v>3048657</v>
      </c>
      <c r="B3242" t="s">
        <v>9929</v>
      </c>
      <c r="C3242" t="str">
        <f>"33096000"</f>
        <v>33096000</v>
      </c>
      <c r="D3242" t="s">
        <v>9930</v>
      </c>
      <c r="E3242" t="s">
        <v>9931</v>
      </c>
      <c r="F3242" t="s">
        <v>9932</v>
      </c>
      <c r="I3242" t="s">
        <v>29</v>
      </c>
      <c r="J3242" t="s">
        <v>30</v>
      </c>
      <c r="K3242" t="s">
        <v>31</v>
      </c>
      <c r="M3242" t="s">
        <v>32</v>
      </c>
      <c r="N3242" t="str">
        <f>"9/12/2003 12:00:00 AM"</f>
        <v>9/12/2003 12:00:00 AM</v>
      </c>
      <c r="O3242" t="s">
        <v>9930</v>
      </c>
      <c r="T3242" t="s">
        <v>9931</v>
      </c>
    </row>
    <row r="3243" spans="1:20" x14ac:dyDescent="0.25">
      <c r="A3243" t="str">
        <f>"3048626"</f>
        <v>3048626</v>
      </c>
      <c r="B3243" t="s">
        <v>9933</v>
      </c>
      <c r="C3243" t="str">
        <f>"49789500"</f>
        <v>49789500</v>
      </c>
      <c r="D3243" t="s">
        <v>9934</v>
      </c>
      <c r="F3243" t="s">
        <v>9935</v>
      </c>
      <c r="I3243" t="s">
        <v>29</v>
      </c>
      <c r="J3243" t="s">
        <v>30</v>
      </c>
      <c r="K3243" t="s">
        <v>9936</v>
      </c>
      <c r="M3243" t="s">
        <v>32</v>
      </c>
      <c r="N3243" t="str">
        <f>"1/12/2006 12:00:00 AM"</f>
        <v>1/12/2006 12:00:00 AM</v>
      </c>
      <c r="O3243" t="s">
        <v>9934</v>
      </c>
    </row>
    <row r="3244" spans="1:20" x14ac:dyDescent="0.25">
      <c r="A3244" t="str">
        <f>"3048666"</f>
        <v>3048666</v>
      </c>
      <c r="B3244" t="s">
        <v>9937</v>
      </c>
      <c r="C3244" t="str">
        <f>"50573500"</f>
        <v>50573500</v>
      </c>
      <c r="D3244" t="s">
        <v>9938</v>
      </c>
      <c r="E3244" t="s">
        <v>9939</v>
      </c>
      <c r="F3244" t="s">
        <v>9940</v>
      </c>
      <c r="I3244" t="s">
        <v>29</v>
      </c>
      <c r="J3244" t="s">
        <v>30</v>
      </c>
      <c r="K3244" t="s">
        <v>31</v>
      </c>
      <c r="M3244" t="s">
        <v>32</v>
      </c>
      <c r="N3244" t="str">
        <f>"12/1/2010 12:00:00 AM"</f>
        <v>12/1/2010 12:00:00 AM</v>
      </c>
      <c r="O3244" t="s">
        <v>9938</v>
      </c>
      <c r="T3244" t="s">
        <v>9939</v>
      </c>
    </row>
    <row r="3245" spans="1:20" x14ac:dyDescent="0.25">
      <c r="A3245" t="str">
        <f>"3049748"</f>
        <v>3049748</v>
      </c>
      <c r="B3245" t="s">
        <v>9941</v>
      </c>
      <c r="C3245" t="str">
        <f>"82526688"</f>
        <v>82526688</v>
      </c>
      <c r="D3245" t="s">
        <v>9942</v>
      </c>
      <c r="E3245" t="s">
        <v>9943</v>
      </c>
      <c r="F3245" t="s">
        <v>9944</v>
      </c>
      <c r="I3245" t="s">
        <v>29</v>
      </c>
      <c r="J3245" t="s">
        <v>30</v>
      </c>
      <c r="K3245" t="s">
        <v>31</v>
      </c>
      <c r="M3245" t="s">
        <v>32</v>
      </c>
      <c r="N3245" t="str">
        <f>"2/14/2007 12:00:00 AM"</f>
        <v>2/14/2007 12:00:00 AM</v>
      </c>
      <c r="O3245" t="s">
        <v>9942</v>
      </c>
      <c r="T3245" t="s">
        <v>9943</v>
      </c>
    </row>
    <row r="3246" spans="1:20" x14ac:dyDescent="0.25">
      <c r="A3246" t="str">
        <f>"3048627"</f>
        <v>3048627</v>
      </c>
      <c r="B3246" t="s">
        <v>9945</v>
      </c>
      <c r="C3246" t="str">
        <f>"59148870"</f>
        <v>59148870</v>
      </c>
      <c r="D3246" t="s">
        <v>9946</v>
      </c>
      <c r="E3246" t="s">
        <v>9947</v>
      </c>
      <c r="F3246" t="s">
        <v>9948</v>
      </c>
      <c r="I3246" t="s">
        <v>29</v>
      </c>
      <c r="J3246" t="s">
        <v>30</v>
      </c>
      <c r="K3246" t="s">
        <v>31</v>
      </c>
      <c r="M3246" t="s">
        <v>32</v>
      </c>
      <c r="N3246" t="str">
        <f>"7/30/2002 12:00:00 AM"</f>
        <v>7/30/2002 12:00:00 AM</v>
      </c>
      <c r="O3246" t="s">
        <v>9946</v>
      </c>
      <c r="T3246" t="s">
        <v>9947</v>
      </c>
    </row>
    <row r="3247" spans="1:20" x14ac:dyDescent="0.25">
      <c r="A3247" t="str">
        <f>"3048669"</f>
        <v>3048669</v>
      </c>
      <c r="B3247" t="s">
        <v>9949</v>
      </c>
      <c r="C3247" t="str">
        <f>"51859500"</f>
        <v>51859500</v>
      </c>
      <c r="D3247" t="s">
        <v>9950</v>
      </c>
      <c r="E3247" t="s">
        <v>9951</v>
      </c>
      <c r="F3247" t="s">
        <v>9952</v>
      </c>
      <c r="I3247" t="s">
        <v>29</v>
      </c>
      <c r="J3247" t="s">
        <v>30</v>
      </c>
      <c r="K3247" t="s">
        <v>31</v>
      </c>
      <c r="M3247" t="s">
        <v>32</v>
      </c>
      <c r="N3247" t="str">
        <f>"7/30/2002 12:00:00 AM"</f>
        <v>7/30/2002 12:00:00 AM</v>
      </c>
      <c r="O3247" t="s">
        <v>9950</v>
      </c>
      <c r="T3247" t="s">
        <v>9951</v>
      </c>
    </row>
    <row r="3248" spans="1:20" x14ac:dyDescent="0.25">
      <c r="A3248" t="str">
        <f>"3048668"</f>
        <v>3048668</v>
      </c>
      <c r="B3248" t="s">
        <v>9953</v>
      </c>
      <c r="C3248" t="str">
        <f>"82529857"</f>
        <v>82529857</v>
      </c>
      <c r="D3248" t="s">
        <v>9954</v>
      </c>
      <c r="F3248" t="s">
        <v>9955</v>
      </c>
      <c r="I3248" t="s">
        <v>29</v>
      </c>
      <c r="J3248" t="s">
        <v>30</v>
      </c>
      <c r="K3248" t="s">
        <v>31</v>
      </c>
      <c r="M3248" t="s">
        <v>32</v>
      </c>
      <c r="N3248" t="str">
        <f>"1/14/2009 12:00:00 AM"</f>
        <v>1/14/2009 12:00:00 AM</v>
      </c>
      <c r="O3248" t="s">
        <v>9954</v>
      </c>
    </row>
    <row r="3249" spans="1:20" x14ac:dyDescent="0.25">
      <c r="A3249" t="str">
        <f>"3048658"</f>
        <v>3048658</v>
      </c>
      <c r="B3249" t="s">
        <v>9956</v>
      </c>
      <c r="C3249" t="str">
        <f>"36351500"</f>
        <v>36351500</v>
      </c>
      <c r="D3249" t="s">
        <v>9957</v>
      </c>
      <c r="E3249" t="s">
        <v>9958</v>
      </c>
      <c r="F3249" t="s">
        <v>9959</v>
      </c>
      <c r="I3249" t="s">
        <v>29</v>
      </c>
      <c r="J3249" t="s">
        <v>30</v>
      </c>
      <c r="K3249" t="s">
        <v>9960</v>
      </c>
      <c r="M3249" t="s">
        <v>32</v>
      </c>
      <c r="N3249" t="str">
        <f>"1/11/2007 12:00:00 AM"</f>
        <v>1/11/2007 12:00:00 AM</v>
      </c>
      <c r="O3249" t="s">
        <v>9957</v>
      </c>
      <c r="T3249" t="s">
        <v>9958</v>
      </c>
    </row>
    <row r="3250" spans="1:20" x14ac:dyDescent="0.25">
      <c r="A3250" t="str">
        <f>"3057580"</f>
        <v>3057580</v>
      </c>
      <c r="B3250" t="s">
        <v>9961</v>
      </c>
      <c r="C3250" t="str">
        <f>"55712000"</f>
        <v>55712000</v>
      </c>
      <c r="D3250" t="s">
        <v>9962</v>
      </c>
      <c r="E3250" t="s">
        <v>9963</v>
      </c>
      <c r="F3250" t="s">
        <v>9964</v>
      </c>
      <c r="I3250" t="s">
        <v>29</v>
      </c>
      <c r="J3250" t="s">
        <v>30</v>
      </c>
      <c r="K3250" t="s">
        <v>31</v>
      </c>
      <c r="M3250" t="s">
        <v>32</v>
      </c>
      <c r="N3250" t="str">
        <f>"7/30/2002 12:00:00 AM"</f>
        <v>7/30/2002 12:00:00 AM</v>
      </c>
      <c r="O3250" t="s">
        <v>9962</v>
      </c>
      <c r="T3250" t="s">
        <v>9963</v>
      </c>
    </row>
    <row r="3251" spans="1:20" x14ac:dyDescent="0.25">
      <c r="A3251" t="str">
        <f>"3057581"</f>
        <v>3057581</v>
      </c>
      <c r="B3251" t="s">
        <v>9965</v>
      </c>
      <c r="C3251" t="str">
        <f>"82529703"</f>
        <v>82529703</v>
      </c>
      <c r="D3251" t="s">
        <v>9966</v>
      </c>
      <c r="E3251" t="s">
        <v>9967</v>
      </c>
      <c r="F3251" t="s">
        <v>9968</v>
      </c>
      <c r="I3251" t="s">
        <v>29</v>
      </c>
      <c r="J3251" t="s">
        <v>30</v>
      </c>
      <c r="K3251" t="s">
        <v>31</v>
      </c>
      <c r="M3251" t="s">
        <v>32</v>
      </c>
      <c r="N3251" t="str">
        <f>"6/10/2008 12:00:00 AM"</f>
        <v>6/10/2008 12:00:00 AM</v>
      </c>
      <c r="O3251" t="s">
        <v>9966</v>
      </c>
      <c r="T3251" t="s">
        <v>9967</v>
      </c>
    </row>
    <row r="3252" spans="1:20" x14ac:dyDescent="0.25">
      <c r="A3252" t="str">
        <f>"3057582"</f>
        <v>3057582</v>
      </c>
      <c r="B3252" t="s">
        <v>9969</v>
      </c>
      <c r="C3252" t="str">
        <f>"48090000"</f>
        <v>48090000</v>
      </c>
      <c r="D3252" t="s">
        <v>9970</v>
      </c>
      <c r="E3252" t="s">
        <v>9971</v>
      </c>
      <c r="F3252" t="s">
        <v>9972</v>
      </c>
      <c r="I3252" t="s">
        <v>29</v>
      </c>
      <c r="J3252" t="s">
        <v>30</v>
      </c>
      <c r="K3252" t="s">
        <v>31</v>
      </c>
      <c r="N3252" t="str">
        <f>"2/18/2004 12:00:00 AM"</f>
        <v>2/18/2004 12:00:00 AM</v>
      </c>
      <c r="O3252" t="s">
        <v>9970</v>
      </c>
      <c r="T3252" t="s">
        <v>9971</v>
      </c>
    </row>
    <row r="3253" spans="1:20" x14ac:dyDescent="0.25">
      <c r="A3253" t="str">
        <f>"3058166"</f>
        <v>3058166</v>
      </c>
      <c r="B3253" t="s">
        <v>9973</v>
      </c>
      <c r="C3253" t="str">
        <f>"72004500"</f>
        <v>72004500</v>
      </c>
      <c r="D3253" t="s">
        <v>9974</v>
      </c>
      <c r="F3253" t="s">
        <v>9975</v>
      </c>
      <c r="I3253" t="s">
        <v>29</v>
      </c>
      <c r="J3253" t="s">
        <v>30</v>
      </c>
      <c r="K3253" t="s">
        <v>31</v>
      </c>
      <c r="M3253" t="s">
        <v>32</v>
      </c>
      <c r="N3253" t="str">
        <f>"7/30/2002 12:00:00 AM"</f>
        <v>7/30/2002 12:00:00 AM</v>
      </c>
      <c r="O3253" t="s">
        <v>9974</v>
      </c>
    </row>
    <row r="3254" spans="1:20" x14ac:dyDescent="0.25">
      <c r="A3254" t="str">
        <f>"3058167"</f>
        <v>3058167</v>
      </c>
      <c r="B3254" t="s">
        <v>9976</v>
      </c>
      <c r="C3254" t="str">
        <f>"82529494"</f>
        <v>82529494</v>
      </c>
      <c r="D3254" t="s">
        <v>9977</v>
      </c>
      <c r="E3254" t="s">
        <v>9978</v>
      </c>
      <c r="F3254" t="s">
        <v>9979</v>
      </c>
      <c r="I3254" t="s">
        <v>29</v>
      </c>
      <c r="J3254" t="s">
        <v>30</v>
      </c>
      <c r="K3254" t="s">
        <v>31</v>
      </c>
      <c r="M3254" t="s">
        <v>32</v>
      </c>
      <c r="N3254" t="str">
        <f>"1/22/2009 12:00:00 AM"</f>
        <v>1/22/2009 12:00:00 AM</v>
      </c>
      <c r="O3254" t="s">
        <v>9977</v>
      </c>
      <c r="T3254" t="s">
        <v>9978</v>
      </c>
    </row>
    <row r="3255" spans="1:20" x14ac:dyDescent="0.25">
      <c r="A3255" t="str">
        <f>"3045665"</f>
        <v>3045665</v>
      </c>
      <c r="B3255" t="s">
        <v>9980</v>
      </c>
      <c r="C3255" t="str">
        <f>"56770750"</f>
        <v>56770750</v>
      </c>
      <c r="D3255" t="s">
        <v>9981</v>
      </c>
      <c r="E3255" t="s">
        <v>9982</v>
      </c>
      <c r="F3255" t="s">
        <v>9983</v>
      </c>
      <c r="I3255" t="s">
        <v>29</v>
      </c>
      <c r="J3255" t="s">
        <v>30</v>
      </c>
      <c r="K3255" t="s">
        <v>31</v>
      </c>
      <c r="M3255" t="s">
        <v>32</v>
      </c>
      <c r="N3255" t="str">
        <f>"3/31/2004 12:00:00 AM"</f>
        <v>3/31/2004 12:00:00 AM</v>
      </c>
      <c r="O3255" t="s">
        <v>9981</v>
      </c>
      <c r="T3255" t="s">
        <v>9982</v>
      </c>
    </row>
    <row r="3256" spans="1:20" x14ac:dyDescent="0.25">
      <c r="A3256" t="str">
        <f>"3058191"</f>
        <v>3058191</v>
      </c>
      <c r="B3256" t="s">
        <v>9984</v>
      </c>
      <c r="C3256" t="str">
        <f>"47239000"</f>
        <v>47239000</v>
      </c>
      <c r="D3256" t="s">
        <v>9985</v>
      </c>
      <c r="E3256" t="s">
        <v>9986</v>
      </c>
      <c r="F3256" t="s">
        <v>9987</v>
      </c>
      <c r="I3256" t="s">
        <v>29</v>
      </c>
      <c r="J3256" t="s">
        <v>30</v>
      </c>
      <c r="K3256" t="s">
        <v>31</v>
      </c>
      <c r="M3256" t="s">
        <v>32</v>
      </c>
      <c r="N3256" t="str">
        <f>"8/1/2002 12:00:00 AM"</f>
        <v>8/1/2002 12:00:00 AM</v>
      </c>
      <c r="O3256" t="s">
        <v>9985</v>
      </c>
      <c r="T3256" t="s">
        <v>9986</v>
      </c>
    </row>
    <row r="3257" spans="1:20" x14ac:dyDescent="0.25">
      <c r="A3257" t="str">
        <f>"3058164"</f>
        <v>3058164</v>
      </c>
      <c r="B3257" t="s">
        <v>9988</v>
      </c>
      <c r="C3257" t="str">
        <f>"82528719"</f>
        <v>82528719</v>
      </c>
      <c r="D3257" t="s">
        <v>9989</v>
      </c>
      <c r="E3257" t="s">
        <v>9990</v>
      </c>
      <c r="F3257" t="s">
        <v>9991</v>
      </c>
      <c r="I3257" t="s">
        <v>29</v>
      </c>
      <c r="J3257" t="s">
        <v>30</v>
      </c>
      <c r="K3257" t="s">
        <v>31</v>
      </c>
      <c r="M3257" t="s">
        <v>32</v>
      </c>
      <c r="N3257" t="str">
        <f>"10/15/2007 12:00:00 AM"</f>
        <v>10/15/2007 12:00:00 AM</v>
      </c>
      <c r="O3257" t="s">
        <v>9989</v>
      </c>
      <c r="T3257" t="s">
        <v>9990</v>
      </c>
    </row>
    <row r="3258" spans="1:20" x14ac:dyDescent="0.25">
      <c r="A3258" t="str">
        <f>"3058159"</f>
        <v>3058159</v>
      </c>
      <c r="B3258" t="s">
        <v>9992</v>
      </c>
      <c r="C3258" t="str">
        <f>"78912000"</f>
        <v>78912000</v>
      </c>
      <c r="D3258" t="s">
        <v>9993</v>
      </c>
      <c r="E3258" t="s">
        <v>9994</v>
      </c>
      <c r="F3258" t="s">
        <v>9995</v>
      </c>
      <c r="I3258" t="s">
        <v>29</v>
      </c>
      <c r="J3258" t="s">
        <v>30</v>
      </c>
      <c r="K3258" t="s">
        <v>31</v>
      </c>
      <c r="M3258" t="s">
        <v>32</v>
      </c>
      <c r="N3258" t="str">
        <f>"6/29/2004 12:00:00 AM"</f>
        <v>6/29/2004 12:00:00 AM</v>
      </c>
      <c r="O3258" t="s">
        <v>9993</v>
      </c>
      <c r="T3258" t="s">
        <v>9994</v>
      </c>
    </row>
    <row r="3259" spans="1:20" x14ac:dyDescent="0.25">
      <c r="A3259" t="str">
        <f>"3058180"</f>
        <v>3058180</v>
      </c>
      <c r="B3259" t="s">
        <v>9996</v>
      </c>
      <c r="C3259" t="str">
        <f>"82527572"</f>
        <v>82527572</v>
      </c>
      <c r="D3259" t="s">
        <v>9997</v>
      </c>
      <c r="E3259" t="s">
        <v>9998</v>
      </c>
      <c r="F3259" t="s">
        <v>9999</v>
      </c>
      <c r="I3259" t="s">
        <v>29</v>
      </c>
      <c r="J3259" t="s">
        <v>30</v>
      </c>
      <c r="K3259" t="s">
        <v>31</v>
      </c>
      <c r="M3259" t="s">
        <v>32</v>
      </c>
      <c r="N3259" t="str">
        <f>"2/13/2007 12:00:00 AM"</f>
        <v>2/13/2007 12:00:00 AM</v>
      </c>
      <c r="O3259" t="s">
        <v>9997</v>
      </c>
      <c r="T3259" t="s">
        <v>9998</v>
      </c>
    </row>
    <row r="3260" spans="1:20" x14ac:dyDescent="0.25">
      <c r="A3260" t="str">
        <f>"3058160"</f>
        <v>3058160</v>
      </c>
      <c r="B3260" t="s">
        <v>10000</v>
      </c>
      <c r="C3260" t="str">
        <f>"77276000"</f>
        <v>77276000</v>
      </c>
      <c r="D3260" t="s">
        <v>10001</v>
      </c>
      <c r="E3260" t="s">
        <v>10002</v>
      </c>
      <c r="F3260" t="s">
        <v>10003</v>
      </c>
      <c r="I3260" t="s">
        <v>29</v>
      </c>
      <c r="J3260" t="s">
        <v>30</v>
      </c>
      <c r="K3260" t="s">
        <v>10004</v>
      </c>
      <c r="M3260" t="s">
        <v>32</v>
      </c>
      <c r="N3260" t="str">
        <f>"1/27/2010 12:00:00 AM"</f>
        <v>1/27/2010 12:00:00 AM</v>
      </c>
      <c r="O3260" t="s">
        <v>10001</v>
      </c>
      <c r="T3260" t="s">
        <v>10002</v>
      </c>
    </row>
    <row r="3261" spans="1:20" x14ac:dyDescent="0.25">
      <c r="A3261" t="str">
        <f>"3050247"</f>
        <v>3050247</v>
      </c>
      <c r="B3261" t="s">
        <v>10005</v>
      </c>
      <c r="C3261" t="str">
        <f>"70847500"</f>
        <v>70847500</v>
      </c>
      <c r="D3261" t="s">
        <v>9755</v>
      </c>
      <c r="E3261" t="s">
        <v>9756</v>
      </c>
      <c r="F3261" t="s">
        <v>9757</v>
      </c>
      <c r="I3261" t="s">
        <v>29</v>
      </c>
      <c r="J3261" t="s">
        <v>30</v>
      </c>
      <c r="K3261" t="s">
        <v>31</v>
      </c>
      <c r="M3261" t="s">
        <v>32</v>
      </c>
      <c r="N3261" t="str">
        <f>"5/20/2004 12:00:00 AM"</f>
        <v>5/20/2004 12:00:00 AM</v>
      </c>
      <c r="O3261" t="s">
        <v>9755</v>
      </c>
      <c r="T3261" t="s">
        <v>9756</v>
      </c>
    </row>
    <row r="3262" spans="1:20" x14ac:dyDescent="0.25">
      <c r="A3262" t="str">
        <f>"3057786"</f>
        <v>3057786</v>
      </c>
      <c r="B3262" t="s">
        <v>10006</v>
      </c>
      <c r="C3262" t="str">
        <f>"61559000"</f>
        <v>61559000</v>
      </c>
      <c r="D3262" t="s">
        <v>10007</v>
      </c>
      <c r="E3262" t="s">
        <v>10008</v>
      </c>
      <c r="F3262" t="s">
        <v>10009</v>
      </c>
      <c r="I3262" t="s">
        <v>29</v>
      </c>
      <c r="J3262" t="s">
        <v>30</v>
      </c>
      <c r="K3262" t="s">
        <v>31</v>
      </c>
      <c r="M3262" t="s">
        <v>32</v>
      </c>
      <c r="N3262" t="str">
        <f>"4/13/2004 12:00:00 AM"</f>
        <v>4/13/2004 12:00:00 AM</v>
      </c>
      <c r="O3262" t="s">
        <v>10007</v>
      </c>
      <c r="T3262" t="s">
        <v>10008</v>
      </c>
    </row>
    <row r="3263" spans="1:20" x14ac:dyDescent="0.25">
      <c r="A3263" t="str">
        <f>"3046192"</f>
        <v>3046192</v>
      </c>
      <c r="B3263" t="s">
        <v>10010</v>
      </c>
      <c r="C3263" t="str">
        <f>"63510250"</f>
        <v>63510250</v>
      </c>
      <c r="D3263" t="s">
        <v>9808</v>
      </c>
      <c r="F3263" t="s">
        <v>9809</v>
      </c>
      <c r="I3263" t="s">
        <v>29</v>
      </c>
      <c r="J3263" t="s">
        <v>30</v>
      </c>
      <c r="K3263" t="s">
        <v>31</v>
      </c>
      <c r="M3263" t="s">
        <v>32</v>
      </c>
      <c r="N3263" t="str">
        <f>"7/30/2002 12:00:00 AM"</f>
        <v>7/30/2002 12:00:00 AM</v>
      </c>
      <c r="O3263" t="s">
        <v>9808</v>
      </c>
    </row>
    <row r="3264" spans="1:20" x14ac:dyDescent="0.25">
      <c r="A3264" t="str">
        <f>"3046128"</f>
        <v>3046128</v>
      </c>
      <c r="B3264" t="s">
        <v>10011</v>
      </c>
      <c r="C3264" t="str">
        <f>"16052000"</f>
        <v>16052000</v>
      </c>
      <c r="D3264" t="s">
        <v>10012</v>
      </c>
      <c r="E3264" t="s">
        <v>10013</v>
      </c>
      <c r="F3264" t="s">
        <v>10014</v>
      </c>
      <c r="I3264" t="s">
        <v>29</v>
      </c>
      <c r="J3264" t="s">
        <v>30</v>
      </c>
      <c r="K3264" t="s">
        <v>31</v>
      </c>
      <c r="M3264" t="s">
        <v>32</v>
      </c>
      <c r="N3264" t="str">
        <f>"6/27/2003 12:00:00 AM"</f>
        <v>6/27/2003 12:00:00 AM</v>
      </c>
      <c r="O3264" t="s">
        <v>10012</v>
      </c>
      <c r="T3264" t="s">
        <v>10013</v>
      </c>
    </row>
    <row r="3265" spans="1:20" x14ac:dyDescent="0.25">
      <c r="A3265" t="str">
        <f>"3049841"</f>
        <v>3049841</v>
      </c>
      <c r="B3265" t="s">
        <v>10015</v>
      </c>
      <c r="C3265" t="str">
        <f>"1288000"</f>
        <v>1288000</v>
      </c>
      <c r="D3265" t="s">
        <v>1546</v>
      </c>
      <c r="E3265" t="s">
        <v>10016</v>
      </c>
      <c r="F3265" t="s">
        <v>1547</v>
      </c>
      <c r="I3265" t="s">
        <v>29</v>
      </c>
      <c r="J3265" t="s">
        <v>30</v>
      </c>
      <c r="K3265" t="s">
        <v>10017</v>
      </c>
      <c r="M3265" t="s">
        <v>32</v>
      </c>
      <c r="N3265" t="str">
        <f>"5/9/2003 12:00:00 AM"</f>
        <v>5/9/2003 12:00:00 AM</v>
      </c>
      <c r="O3265" t="s">
        <v>1546</v>
      </c>
      <c r="T3265" t="s">
        <v>10016</v>
      </c>
    </row>
    <row r="3266" spans="1:20" x14ac:dyDescent="0.25">
      <c r="A3266" t="str">
        <f>"3049855"</f>
        <v>3049855</v>
      </c>
      <c r="B3266" t="s">
        <v>10018</v>
      </c>
      <c r="C3266" t="str">
        <f>"82527445"</f>
        <v>82527445</v>
      </c>
      <c r="D3266" t="s">
        <v>10019</v>
      </c>
      <c r="E3266" t="s">
        <v>10020</v>
      </c>
      <c r="F3266" t="s">
        <v>10021</v>
      </c>
      <c r="I3266" t="s">
        <v>29</v>
      </c>
      <c r="J3266" t="s">
        <v>30</v>
      </c>
      <c r="K3266" t="s">
        <v>31</v>
      </c>
      <c r="M3266" t="s">
        <v>32</v>
      </c>
      <c r="N3266" t="str">
        <f>"1/23/2007 12:00:00 AM"</f>
        <v>1/23/2007 12:00:00 AM</v>
      </c>
      <c r="O3266" t="s">
        <v>10019</v>
      </c>
      <c r="T3266" t="s">
        <v>10020</v>
      </c>
    </row>
    <row r="3267" spans="1:20" x14ac:dyDescent="0.25">
      <c r="A3267" t="str">
        <f>"3049868"</f>
        <v>3049868</v>
      </c>
      <c r="B3267" t="s">
        <v>10022</v>
      </c>
      <c r="C3267" t="str">
        <f>"82523384"</f>
        <v>82523384</v>
      </c>
      <c r="D3267" t="s">
        <v>10023</v>
      </c>
      <c r="E3267" t="s">
        <v>10024</v>
      </c>
      <c r="F3267" t="s">
        <v>10025</v>
      </c>
      <c r="I3267" t="s">
        <v>29</v>
      </c>
      <c r="J3267" t="s">
        <v>30</v>
      </c>
      <c r="K3267" t="s">
        <v>10017</v>
      </c>
      <c r="M3267" t="s">
        <v>32</v>
      </c>
      <c r="N3267" t="str">
        <f>"3/2/2005 12:00:00 AM"</f>
        <v>3/2/2005 12:00:00 AM</v>
      </c>
      <c r="O3267" t="s">
        <v>10023</v>
      </c>
      <c r="T3267" t="s">
        <v>10024</v>
      </c>
    </row>
    <row r="3268" spans="1:20" x14ac:dyDescent="0.25">
      <c r="A3268" t="str">
        <f>"3049874"</f>
        <v>3049874</v>
      </c>
      <c r="B3268" t="s">
        <v>10026</v>
      </c>
      <c r="C3268" t="str">
        <f>"82521704"</f>
        <v>82521704</v>
      </c>
      <c r="D3268" t="s">
        <v>10027</v>
      </c>
      <c r="E3268" t="s">
        <v>10028</v>
      </c>
      <c r="F3268" t="s">
        <v>10029</v>
      </c>
      <c r="I3268" t="s">
        <v>29</v>
      </c>
      <c r="J3268" t="s">
        <v>30</v>
      </c>
      <c r="K3268" t="s">
        <v>31</v>
      </c>
      <c r="M3268" t="s">
        <v>32</v>
      </c>
      <c r="N3268" t="str">
        <f>"9/27/2007 12:00:00 AM"</f>
        <v>9/27/2007 12:00:00 AM</v>
      </c>
      <c r="O3268" t="s">
        <v>10027</v>
      </c>
      <c r="T3268" t="s">
        <v>10028</v>
      </c>
    </row>
    <row r="3269" spans="1:20" x14ac:dyDescent="0.25">
      <c r="A3269" t="str">
        <f>"3046373"</f>
        <v>3046373</v>
      </c>
      <c r="B3269" t="s">
        <v>10030</v>
      </c>
      <c r="C3269" t="str">
        <f>"54300000"</f>
        <v>54300000</v>
      </c>
      <c r="D3269" t="s">
        <v>10031</v>
      </c>
      <c r="F3269" t="s">
        <v>10032</v>
      </c>
      <c r="I3269" t="s">
        <v>29</v>
      </c>
      <c r="J3269" t="s">
        <v>30</v>
      </c>
      <c r="K3269" t="s">
        <v>31</v>
      </c>
      <c r="M3269" t="s">
        <v>32</v>
      </c>
      <c r="N3269" t="str">
        <f>"6/26/2003 12:00:00 AM"</f>
        <v>6/26/2003 12:00:00 AM</v>
      </c>
      <c r="O3269" t="s">
        <v>10031</v>
      </c>
    </row>
    <row r="3270" spans="1:20" x14ac:dyDescent="0.25">
      <c r="A3270" t="str">
        <f>"3050203"</f>
        <v>3050203</v>
      </c>
      <c r="B3270" t="s">
        <v>10033</v>
      </c>
      <c r="C3270" t="str">
        <f>"82516023"</f>
        <v>82516023</v>
      </c>
      <c r="D3270" t="s">
        <v>10034</v>
      </c>
      <c r="E3270" t="s">
        <v>10035</v>
      </c>
      <c r="F3270" t="s">
        <v>10036</v>
      </c>
      <c r="I3270" t="s">
        <v>29</v>
      </c>
      <c r="J3270" t="s">
        <v>30</v>
      </c>
      <c r="K3270" t="s">
        <v>10037</v>
      </c>
      <c r="M3270" t="s">
        <v>32</v>
      </c>
      <c r="N3270" t="str">
        <f>"8/1/2002 12:00:00 AM"</f>
        <v>8/1/2002 12:00:00 AM</v>
      </c>
      <c r="O3270" t="s">
        <v>10034</v>
      </c>
      <c r="T3270" t="s">
        <v>10035</v>
      </c>
    </row>
    <row r="3271" spans="1:20" x14ac:dyDescent="0.25">
      <c r="A3271" t="str">
        <f>"3057556"</f>
        <v>3057556</v>
      </c>
      <c r="B3271" t="s">
        <v>10038</v>
      </c>
      <c r="C3271" t="str">
        <f>"82524429"</f>
        <v>82524429</v>
      </c>
      <c r="D3271" t="s">
        <v>10039</v>
      </c>
      <c r="E3271" t="s">
        <v>10040</v>
      </c>
      <c r="F3271" t="s">
        <v>10041</v>
      </c>
      <c r="I3271" t="s">
        <v>29</v>
      </c>
      <c r="J3271" t="s">
        <v>30</v>
      </c>
      <c r="K3271" t="s">
        <v>10042</v>
      </c>
      <c r="M3271" t="s">
        <v>32</v>
      </c>
      <c r="N3271" t="str">
        <f>"1/17/2006 12:00:00 AM"</f>
        <v>1/17/2006 12:00:00 AM</v>
      </c>
      <c r="O3271" t="s">
        <v>10039</v>
      </c>
      <c r="T3271" t="s">
        <v>10040</v>
      </c>
    </row>
    <row r="3272" spans="1:20" x14ac:dyDescent="0.25">
      <c r="A3272" t="str">
        <f>"3058399"</f>
        <v>3058399</v>
      </c>
      <c r="B3272" t="s">
        <v>10043</v>
      </c>
      <c r="C3272" t="str">
        <f>"82528886"</f>
        <v>82528886</v>
      </c>
      <c r="D3272" t="s">
        <v>10044</v>
      </c>
      <c r="E3272" t="s">
        <v>10045</v>
      </c>
      <c r="F3272" t="s">
        <v>10046</v>
      </c>
      <c r="I3272" t="s">
        <v>29</v>
      </c>
      <c r="J3272" t="s">
        <v>30</v>
      </c>
      <c r="K3272" t="s">
        <v>31</v>
      </c>
      <c r="M3272" t="s">
        <v>32</v>
      </c>
      <c r="N3272" t="str">
        <f>"1/26/2010 12:00:00 AM"</f>
        <v>1/26/2010 12:00:00 AM</v>
      </c>
      <c r="O3272" t="s">
        <v>10044</v>
      </c>
      <c r="T3272" t="s">
        <v>10045</v>
      </c>
    </row>
    <row r="3273" spans="1:20" x14ac:dyDescent="0.25">
      <c r="A3273" t="str">
        <f>"3046349"</f>
        <v>3046349</v>
      </c>
      <c r="B3273" t="s">
        <v>10047</v>
      </c>
      <c r="C3273" t="str">
        <f>"82520115"</f>
        <v>82520115</v>
      </c>
      <c r="D3273" t="s">
        <v>10048</v>
      </c>
      <c r="E3273" t="s">
        <v>10049</v>
      </c>
      <c r="F3273" t="s">
        <v>10050</v>
      </c>
      <c r="I3273" t="s">
        <v>29</v>
      </c>
      <c r="J3273" t="s">
        <v>30</v>
      </c>
      <c r="K3273" t="s">
        <v>31</v>
      </c>
      <c r="M3273" t="s">
        <v>32</v>
      </c>
      <c r="N3273" t="str">
        <f>"1/20/2004 12:00:00 AM"</f>
        <v>1/20/2004 12:00:00 AM</v>
      </c>
      <c r="O3273" t="s">
        <v>10048</v>
      </c>
      <c r="T3273" t="s">
        <v>10049</v>
      </c>
    </row>
    <row r="3274" spans="1:20" x14ac:dyDescent="0.25">
      <c r="A3274" t="str">
        <f>"3050226"</f>
        <v>3050226</v>
      </c>
      <c r="B3274" t="s">
        <v>10051</v>
      </c>
      <c r="C3274" t="str">
        <f>"82522752"</f>
        <v>82522752</v>
      </c>
      <c r="D3274" t="s">
        <v>10052</v>
      </c>
      <c r="E3274" t="s">
        <v>10053</v>
      </c>
      <c r="F3274" t="s">
        <v>10054</v>
      </c>
      <c r="I3274" t="s">
        <v>29</v>
      </c>
      <c r="J3274" t="s">
        <v>30</v>
      </c>
      <c r="K3274" t="s">
        <v>31</v>
      </c>
      <c r="M3274" t="s">
        <v>32</v>
      </c>
      <c r="N3274" t="str">
        <f>"9/14/2006 12:00:00 AM"</f>
        <v>9/14/2006 12:00:00 AM</v>
      </c>
      <c r="O3274" t="s">
        <v>10052</v>
      </c>
      <c r="T3274" t="s">
        <v>10053</v>
      </c>
    </row>
    <row r="3275" spans="1:20" x14ac:dyDescent="0.25">
      <c r="A3275" t="str">
        <f>"3058643"</f>
        <v>3058643</v>
      </c>
      <c r="B3275" t="s">
        <v>10055</v>
      </c>
      <c r="C3275" t="str">
        <f>"82519626"</f>
        <v>82519626</v>
      </c>
      <c r="D3275" t="s">
        <v>10056</v>
      </c>
      <c r="E3275" t="s">
        <v>10057</v>
      </c>
      <c r="F3275" t="s">
        <v>10058</v>
      </c>
      <c r="I3275" t="s">
        <v>29</v>
      </c>
      <c r="J3275" t="s">
        <v>30</v>
      </c>
      <c r="K3275" t="s">
        <v>10059</v>
      </c>
      <c r="M3275" t="s">
        <v>32</v>
      </c>
      <c r="N3275" t="str">
        <f>"1/24/2007 12:00:00 AM"</f>
        <v>1/24/2007 12:00:00 AM</v>
      </c>
      <c r="O3275" t="s">
        <v>10056</v>
      </c>
      <c r="T3275" t="s">
        <v>10057</v>
      </c>
    </row>
    <row r="3276" spans="1:20" x14ac:dyDescent="0.25">
      <c r="A3276" t="str">
        <f>"3058316"</f>
        <v>3058316</v>
      </c>
      <c r="B3276" t="s">
        <v>10060</v>
      </c>
      <c r="C3276" t="str">
        <f>"82529984"</f>
        <v>82529984</v>
      </c>
      <c r="D3276" t="s">
        <v>10061</v>
      </c>
      <c r="F3276" t="s">
        <v>10062</v>
      </c>
      <c r="I3276" t="s">
        <v>29</v>
      </c>
      <c r="J3276" t="s">
        <v>30</v>
      </c>
      <c r="K3276" t="s">
        <v>31</v>
      </c>
      <c r="M3276" t="s">
        <v>32</v>
      </c>
      <c r="N3276" t="str">
        <f>"8/15/2008 12:00:00 AM"</f>
        <v>8/15/2008 12:00:00 AM</v>
      </c>
      <c r="O3276" t="s">
        <v>10061</v>
      </c>
    </row>
    <row r="3277" spans="1:20" x14ac:dyDescent="0.25">
      <c r="A3277" t="str">
        <f>"3046031"</f>
        <v>3046031</v>
      </c>
      <c r="B3277" t="s">
        <v>10063</v>
      </c>
      <c r="C3277" t="str">
        <f>"82514797"</f>
        <v>82514797</v>
      </c>
      <c r="D3277" t="s">
        <v>10064</v>
      </c>
      <c r="F3277" t="s">
        <v>10065</v>
      </c>
      <c r="I3277" t="s">
        <v>184</v>
      </c>
      <c r="J3277" t="s">
        <v>30</v>
      </c>
      <c r="K3277" t="s">
        <v>185</v>
      </c>
      <c r="M3277" t="s">
        <v>32</v>
      </c>
      <c r="N3277" t="str">
        <f>"12/16/2003 12:00:00 AM"</f>
        <v>12/16/2003 12:00:00 AM</v>
      </c>
      <c r="O3277" t="s">
        <v>10064</v>
      </c>
    </row>
    <row r="3278" spans="1:20" x14ac:dyDescent="0.25">
      <c r="A3278" t="str">
        <f>"3046301"</f>
        <v>3046301</v>
      </c>
      <c r="B3278" t="s">
        <v>10066</v>
      </c>
      <c r="C3278" t="str">
        <f>"82529816"</f>
        <v>82529816</v>
      </c>
      <c r="D3278" t="s">
        <v>10067</v>
      </c>
      <c r="F3278" t="s">
        <v>10068</v>
      </c>
      <c r="I3278" t="s">
        <v>29</v>
      </c>
      <c r="J3278" t="s">
        <v>30</v>
      </c>
      <c r="K3278" t="s">
        <v>31</v>
      </c>
      <c r="M3278" t="s">
        <v>32</v>
      </c>
      <c r="N3278" t="str">
        <f>"1/9/2009 12:00:00 AM"</f>
        <v>1/9/2009 12:00:00 AM</v>
      </c>
      <c r="O3278" t="s">
        <v>10067</v>
      </c>
    </row>
    <row r="3279" spans="1:20" x14ac:dyDescent="0.25">
      <c r="A3279" t="str">
        <f>"3059769"</f>
        <v>3059769</v>
      </c>
      <c r="B3279" t="s">
        <v>10069</v>
      </c>
      <c r="C3279" t="str">
        <f>"82526943"</f>
        <v>82526943</v>
      </c>
      <c r="D3279" t="s">
        <v>10070</v>
      </c>
      <c r="E3279" t="s">
        <v>10071</v>
      </c>
      <c r="F3279" t="s">
        <v>10072</v>
      </c>
      <c r="I3279" t="s">
        <v>29</v>
      </c>
      <c r="J3279" t="s">
        <v>30</v>
      </c>
      <c r="K3279" t="s">
        <v>31</v>
      </c>
      <c r="M3279" t="s">
        <v>32</v>
      </c>
      <c r="N3279" t="str">
        <f>"1/22/2007 12:00:00 AM"</f>
        <v>1/22/2007 12:00:00 AM</v>
      </c>
      <c r="O3279" t="s">
        <v>10070</v>
      </c>
      <c r="T3279" t="s">
        <v>10071</v>
      </c>
    </row>
    <row r="3280" spans="1:20" x14ac:dyDescent="0.25">
      <c r="A3280" t="str">
        <f>"3046119"</f>
        <v>3046119</v>
      </c>
      <c r="B3280" t="s">
        <v>10073</v>
      </c>
      <c r="C3280" t="str">
        <f>"82523064"</f>
        <v>82523064</v>
      </c>
      <c r="D3280" t="s">
        <v>10074</v>
      </c>
      <c r="E3280" t="s">
        <v>10075</v>
      </c>
      <c r="F3280" t="s">
        <v>10076</v>
      </c>
      <c r="I3280" t="s">
        <v>29</v>
      </c>
      <c r="J3280" t="s">
        <v>30</v>
      </c>
      <c r="K3280" t="s">
        <v>10077</v>
      </c>
      <c r="M3280" t="s">
        <v>32</v>
      </c>
      <c r="N3280" t="str">
        <f>"1/14/2005 12:00:00 AM"</f>
        <v>1/14/2005 12:00:00 AM</v>
      </c>
      <c r="O3280" t="s">
        <v>10074</v>
      </c>
      <c r="T3280" t="s">
        <v>10075</v>
      </c>
    </row>
    <row r="3281" spans="1:20" x14ac:dyDescent="0.25">
      <c r="A3281" t="str">
        <f>"3053768"</f>
        <v>3053768</v>
      </c>
      <c r="B3281" t="s">
        <v>10078</v>
      </c>
      <c r="C3281" t="str">
        <f>"12352000"</f>
        <v>12352000</v>
      </c>
      <c r="D3281" t="s">
        <v>10079</v>
      </c>
      <c r="E3281" t="s">
        <v>10080</v>
      </c>
      <c r="F3281" t="s">
        <v>10081</v>
      </c>
      <c r="I3281" t="s">
        <v>29</v>
      </c>
      <c r="J3281" t="s">
        <v>30</v>
      </c>
      <c r="K3281" t="s">
        <v>10082</v>
      </c>
      <c r="M3281" t="s">
        <v>32</v>
      </c>
      <c r="N3281" t="str">
        <f>"1/17/2006 12:00:00 AM"</f>
        <v>1/17/2006 12:00:00 AM</v>
      </c>
      <c r="O3281" t="s">
        <v>10079</v>
      </c>
      <c r="T3281" t="s">
        <v>10080</v>
      </c>
    </row>
    <row r="3282" spans="1:20" x14ac:dyDescent="0.25">
      <c r="A3282" t="str">
        <f>"3045833"</f>
        <v>3045833</v>
      </c>
      <c r="B3282" t="s">
        <v>10083</v>
      </c>
      <c r="C3282" t="str">
        <f>"80772000"</f>
        <v>80772000</v>
      </c>
      <c r="D3282" t="s">
        <v>10084</v>
      </c>
      <c r="F3282" t="s">
        <v>10085</v>
      </c>
      <c r="I3282" t="s">
        <v>29</v>
      </c>
      <c r="J3282" t="s">
        <v>30</v>
      </c>
      <c r="K3282" t="s">
        <v>10086</v>
      </c>
      <c r="M3282" t="s">
        <v>32</v>
      </c>
      <c r="N3282" t="str">
        <f>"1/12/2006 12:00:00 AM"</f>
        <v>1/12/2006 12:00:00 AM</v>
      </c>
      <c r="O3282" t="s">
        <v>10084</v>
      </c>
    </row>
    <row r="3283" spans="1:20" x14ac:dyDescent="0.25">
      <c r="A3283" t="str">
        <f>"3058294"</f>
        <v>3058294</v>
      </c>
      <c r="B3283" t="s">
        <v>10087</v>
      </c>
      <c r="C3283" t="str">
        <f>"82526488"</f>
        <v>82526488</v>
      </c>
      <c r="D3283" t="s">
        <v>10088</v>
      </c>
      <c r="E3283" t="s">
        <v>10089</v>
      </c>
      <c r="F3283" t="s">
        <v>10090</v>
      </c>
      <c r="I3283" t="s">
        <v>29</v>
      </c>
      <c r="J3283" t="s">
        <v>30</v>
      </c>
      <c r="K3283" t="s">
        <v>31</v>
      </c>
      <c r="M3283" t="s">
        <v>32</v>
      </c>
      <c r="N3283" t="str">
        <f>"2/10/2010 12:00:00 AM"</f>
        <v>2/10/2010 12:00:00 AM</v>
      </c>
      <c r="O3283" t="s">
        <v>10088</v>
      </c>
      <c r="T3283" t="s">
        <v>10089</v>
      </c>
    </row>
    <row r="3284" spans="1:20" x14ac:dyDescent="0.25">
      <c r="A3284" t="str">
        <f>"3058244"</f>
        <v>3058244</v>
      </c>
      <c r="B3284" t="s">
        <v>10091</v>
      </c>
      <c r="C3284" t="str">
        <f>"82530184"</f>
        <v>82530184</v>
      </c>
      <c r="D3284" t="s">
        <v>10092</v>
      </c>
      <c r="E3284" t="s">
        <v>10093</v>
      </c>
      <c r="F3284" t="s">
        <v>10094</v>
      </c>
      <c r="I3284" t="s">
        <v>29</v>
      </c>
      <c r="J3284" t="s">
        <v>30</v>
      </c>
      <c r="K3284" t="s">
        <v>31</v>
      </c>
      <c r="M3284" t="s">
        <v>32</v>
      </c>
      <c r="N3284" t="str">
        <f>"2/3/2009 12:00:00 AM"</f>
        <v>2/3/2009 12:00:00 AM</v>
      </c>
      <c r="O3284" t="s">
        <v>10092</v>
      </c>
      <c r="T3284" t="s">
        <v>10093</v>
      </c>
    </row>
    <row r="3285" spans="1:20" x14ac:dyDescent="0.25">
      <c r="A3285" t="str">
        <f>"3058251"</f>
        <v>3058251</v>
      </c>
      <c r="B3285" t="s">
        <v>10095</v>
      </c>
      <c r="C3285" t="str">
        <f>"82524577"</f>
        <v>82524577</v>
      </c>
      <c r="D3285" t="s">
        <v>10096</v>
      </c>
      <c r="E3285" t="s">
        <v>10097</v>
      </c>
      <c r="F3285" t="s">
        <v>10098</v>
      </c>
      <c r="I3285" t="s">
        <v>29</v>
      </c>
      <c r="J3285" t="s">
        <v>30</v>
      </c>
      <c r="K3285" t="s">
        <v>31</v>
      </c>
      <c r="N3285" t="str">
        <f>"6/13/2005 12:00:00 AM"</f>
        <v>6/13/2005 12:00:00 AM</v>
      </c>
      <c r="O3285" t="s">
        <v>10096</v>
      </c>
      <c r="T3285" t="s">
        <v>10097</v>
      </c>
    </row>
    <row r="3286" spans="1:20" x14ac:dyDescent="0.25">
      <c r="A3286" t="str">
        <f>"3058263"</f>
        <v>3058263</v>
      </c>
      <c r="B3286" t="s">
        <v>10099</v>
      </c>
      <c r="C3286" t="str">
        <f>"82530213"</f>
        <v>82530213</v>
      </c>
      <c r="D3286" t="s">
        <v>10100</v>
      </c>
      <c r="E3286" t="s">
        <v>10101</v>
      </c>
      <c r="F3286" t="s">
        <v>10102</v>
      </c>
      <c r="I3286" t="s">
        <v>29</v>
      </c>
      <c r="J3286" t="s">
        <v>30</v>
      </c>
      <c r="K3286" t="s">
        <v>31</v>
      </c>
      <c r="M3286" t="s">
        <v>32</v>
      </c>
      <c r="N3286" t="str">
        <f>"10/21/2010 12:00:00 AM"</f>
        <v>10/21/2010 12:00:00 AM</v>
      </c>
      <c r="O3286" t="s">
        <v>10100</v>
      </c>
      <c r="T3286" t="s">
        <v>10101</v>
      </c>
    </row>
    <row r="3287" spans="1:20" x14ac:dyDescent="0.25">
      <c r="A3287" t="str">
        <f>"3046990"</f>
        <v>3046990</v>
      </c>
      <c r="B3287" t="s">
        <v>10103</v>
      </c>
      <c r="C3287" t="str">
        <f>"51855710"</f>
        <v>51855710</v>
      </c>
      <c r="D3287" t="s">
        <v>10104</v>
      </c>
      <c r="E3287" t="s">
        <v>10105</v>
      </c>
      <c r="F3287" t="s">
        <v>10106</v>
      </c>
      <c r="I3287" t="s">
        <v>29</v>
      </c>
      <c r="J3287" t="s">
        <v>30</v>
      </c>
      <c r="K3287" t="s">
        <v>10107</v>
      </c>
      <c r="M3287" t="s">
        <v>32</v>
      </c>
      <c r="N3287" t="str">
        <f>"1/17/2006 12:00:00 AM"</f>
        <v>1/17/2006 12:00:00 AM</v>
      </c>
      <c r="O3287" t="s">
        <v>10104</v>
      </c>
      <c r="T3287" t="s">
        <v>10105</v>
      </c>
    </row>
    <row r="3288" spans="1:20" x14ac:dyDescent="0.25">
      <c r="A3288" t="str">
        <f>"3047047"</f>
        <v>3047047</v>
      </c>
      <c r="B3288" t="s">
        <v>10108</v>
      </c>
      <c r="C3288" t="str">
        <f>"82521286"</f>
        <v>82521286</v>
      </c>
      <c r="D3288" t="s">
        <v>10109</v>
      </c>
      <c r="E3288" t="s">
        <v>10110</v>
      </c>
      <c r="F3288" t="s">
        <v>10111</v>
      </c>
      <c r="I3288" t="s">
        <v>29</v>
      </c>
      <c r="J3288" t="s">
        <v>30</v>
      </c>
      <c r="K3288" t="s">
        <v>31</v>
      </c>
      <c r="M3288" t="s">
        <v>32</v>
      </c>
      <c r="N3288" t="str">
        <f>"8/11/2003 12:00:00 AM"</f>
        <v>8/11/2003 12:00:00 AM</v>
      </c>
      <c r="O3288" t="s">
        <v>10109</v>
      </c>
      <c r="T3288" t="s">
        <v>10110</v>
      </c>
    </row>
    <row r="3289" spans="1:20" x14ac:dyDescent="0.25">
      <c r="A3289" t="str">
        <f>"3047210"</f>
        <v>3047210</v>
      </c>
      <c r="B3289" t="s">
        <v>10112</v>
      </c>
      <c r="C3289" t="str">
        <f>"328000"</f>
        <v>328000</v>
      </c>
      <c r="D3289" t="s">
        <v>10113</v>
      </c>
      <c r="F3289" t="s">
        <v>10114</v>
      </c>
      <c r="I3289" t="s">
        <v>29</v>
      </c>
      <c r="J3289" t="s">
        <v>30</v>
      </c>
      <c r="K3289" t="s">
        <v>31</v>
      </c>
      <c r="M3289" t="s">
        <v>32</v>
      </c>
      <c r="N3289" t="str">
        <f>"2/25/2002 12:00:00 AM"</f>
        <v>2/25/2002 12:00:00 AM</v>
      </c>
      <c r="O3289" t="s">
        <v>10113</v>
      </c>
    </row>
    <row r="3290" spans="1:20" x14ac:dyDescent="0.25">
      <c r="A3290" t="str">
        <f>"3047063"</f>
        <v>3047063</v>
      </c>
      <c r="B3290" t="s">
        <v>10115</v>
      </c>
      <c r="C3290" t="str">
        <f>"82514778"</f>
        <v>82514778</v>
      </c>
      <c r="D3290" t="s">
        <v>10116</v>
      </c>
      <c r="E3290" t="s">
        <v>10117</v>
      </c>
      <c r="F3290" t="s">
        <v>10118</v>
      </c>
      <c r="I3290" t="s">
        <v>29</v>
      </c>
      <c r="J3290" t="s">
        <v>30</v>
      </c>
      <c r="K3290" t="s">
        <v>10119</v>
      </c>
      <c r="M3290" t="s">
        <v>32</v>
      </c>
      <c r="N3290" t="str">
        <f>"11/26/2007 12:00:00 AM"</f>
        <v>11/26/2007 12:00:00 AM</v>
      </c>
      <c r="O3290" t="s">
        <v>10116</v>
      </c>
      <c r="T3290" t="s">
        <v>10117</v>
      </c>
    </row>
    <row r="3291" spans="1:20" x14ac:dyDescent="0.25">
      <c r="A3291" t="str">
        <f>"3047054"</f>
        <v>3047054</v>
      </c>
      <c r="B3291" t="s">
        <v>10120</v>
      </c>
      <c r="C3291" t="str">
        <f t="shared" ref="C3291:C3299" si="57">"38048500"</f>
        <v>38048500</v>
      </c>
      <c r="D3291" t="s">
        <v>10121</v>
      </c>
      <c r="E3291" t="s">
        <v>10122</v>
      </c>
      <c r="F3291" t="s">
        <v>10123</v>
      </c>
      <c r="I3291" t="s">
        <v>29</v>
      </c>
      <c r="J3291" t="s">
        <v>30</v>
      </c>
      <c r="K3291" t="s">
        <v>10124</v>
      </c>
      <c r="M3291" t="s">
        <v>32</v>
      </c>
      <c r="N3291" t="str">
        <f t="shared" ref="N3291:N3299" si="58">"1/25/2006 12:00:00 AM"</f>
        <v>1/25/2006 12:00:00 AM</v>
      </c>
      <c r="O3291" t="s">
        <v>10121</v>
      </c>
      <c r="T3291" t="s">
        <v>10122</v>
      </c>
    </row>
    <row r="3292" spans="1:20" x14ac:dyDescent="0.25">
      <c r="A3292" t="str">
        <f>"3047034"</f>
        <v>3047034</v>
      </c>
      <c r="B3292" t="s">
        <v>10125</v>
      </c>
      <c r="C3292" t="str">
        <f t="shared" si="57"/>
        <v>38048500</v>
      </c>
      <c r="D3292" t="s">
        <v>10121</v>
      </c>
      <c r="E3292" t="s">
        <v>10122</v>
      </c>
      <c r="F3292" t="s">
        <v>10123</v>
      </c>
      <c r="I3292" t="s">
        <v>29</v>
      </c>
      <c r="J3292" t="s">
        <v>30</v>
      </c>
      <c r="K3292" t="s">
        <v>10124</v>
      </c>
      <c r="M3292" t="s">
        <v>32</v>
      </c>
      <c r="N3292" t="str">
        <f t="shared" si="58"/>
        <v>1/25/2006 12:00:00 AM</v>
      </c>
      <c r="O3292" t="s">
        <v>10121</v>
      </c>
      <c r="T3292" t="s">
        <v>10122</v>
      </c>
    </row>
    <row r="3293" spans="1:20" x14ac:dyDescent="0.25">
      <c r="A3293" t="str">
        <f>"3047010"</f>
        <v>3047010</v>
      </c>
      <c r="B3293" t="s">
        <v>10126</v>
      </c>
      <c r="C3293" t="str">
        <f t="shared" si="57"/>
        <v>38048500</v>
      </c>
      <c r="D3293" t="s">
        <v>10121</v>
      </c>
      <c r="E3293" t="s">
        <v>10122</v>
      </c>
      <c r="F3293" t="s">
        <v>10123</v>
      </c>
      <c r="I3293" t="s">
        <v>29</v>
      </c>
      <c r="J3293" t="s">
        <v>30</v>
      </c>
      <c r="K3293" t="s">
        <v>10124</v>
      </c>
      <c r="M3293" t="s">
        <v>32</v>
      </c>
      <c r="N3293" t="str">
        <f t="shared" si="58"/>
        <v>1/25/2006 12:00:00 AM</v>
      </c>
      <c r="O3293" t="s">
        <v>10121</v>
      </c>
      <c r="T3293" t="s">
        <v>10122</v>
      </c>
    </row>
    <row r="3294" spans="1:20" x14ac:dyDescent="0.25">
      <c r="A3294" t="str">
        <f>"3046912"</f>
        <v>3046912</v>
      </c>
      <c r="B3294" t="s">
        <v>10127</v>
      </c>
      <c r="C3294" t="str">
        <f t="shared" si="57"/>
        <v>38048500</v>
      </c>
      <c r="D3294" t="s">
        <v>10121</v>
      </c>
      <c r="E3294" t="s">
        <v>10122</v>
      </c>
      <c r="F3294" t="s">
        <v>10123</v>
      </c>
      <c r="I3294" t="s">
        <v>29</v>
      </c>
      <c r="J3294" t="s">
        <v>30</v>
      </c>
      <c r="K3294" t="s">
        <v>10124</v>
      </c>
      <c r="M3294" t="s">
        <v>32</v>
      </c>
      <c r="N3294" t="str">
        <f t="shared" si="58"/>
        <v>1/25/2006 12:00:00 AM</v>
      </c>
      <c r="O3294" t="s">
        <v>10121</v>
      </c>
      <c r="T3294" t="s">
        <v>10122</v>
      </c>
    </row>
    <row r="3295" spans="1:20" x14ac:dyDescent="0.25">
      <c r="A3295" t="str">
        <f>"3046695"</f>
        <v>3046695</v>
      </c>
      <c r="B3295" t="s">
        <v>10128</v>
      </c>
      <c r="C3295" t="str">
        <f t="shared" si="57"/>
        <v>38048500</v>
      </c>
      <c r="D3295" t="s">
        <v>10121</v>
      </c>
      <c r="E3295" t="s">
        <v>10122</v>
      </c>
      <c r="F3295" t="s">
        <v>10123</v>
      </c>
      <c r="I3295" t="s">
        <v>29</v>
      </c>
      <c r="J3295" t="s">
        <v>30</v>
      </c>
      <c r="K3295" t="s">
        <v>10124</v>
      </c>
      <c r="M3295" t="s">
        <v>32</v>
      </c>
      <c r="N3295" t="str">
        <f t="shared" si="58"/>
        <v>1/25/2006 12:00:00 AM</v>
      </c>
      <c r="O3295" t="s">
        <v>10121</v>
      </c>
      <c r="T3295" t="s">
        <v>10122</v>
      </c>
    </row>
    <row r="3296" spans="1:20" x14ac:dyDescent="0.25">
      <c r="A3296" t="str">
        <f>"3046845"</f>
        <v>3046845</v>
      </c>
      <c r="B3296" t="s">
        <v>10129</v>
      </c>
      <c r="C3296" t="str">
        <f t="shared" si="57"/>
        <v>38048500</v>
      </c>
      <c r="D3296" t="s">
        <v>10121</v>
      </c>
      <c r="E3296" t="s">
        <v>10122</v>
      </c>
      <c r="F3296" t="s">
        <v>10123</v>
      </c>
      <c r="I3296" t="s">
        <v>29</v>
      </c>
      <c r="J3296" t="s">
        <v>30</v>
      </c>
      <c r="K3296" t="s">
        <v>10124</v>
      </c>
      <c r="M3296" t="s">
        <v>32</v>
      </c>
      <c r="N3296" t="str">
        <f t="shared" si="58"/>
        <v>1/25/2006 12:00:00 AM</v>
      </c>
      <c r="O3296" t="s">
        <v>10121</v>
      </c>
      <c r="T3296" t="s">
        <v>10122</v>
      </c>
    </row>
    <row r="3297" spans="1:20" x14ac:dyDescent="0.25">
      <c r="A3297" t="str">
        <f>"3046528"</f>
        <v>3046528</v>
      </c>
      <c r="B3297" t="s">
        <v>10130</v>
      </c>
      <c r="C3297" t="str">
        <f t="shared" si="57"/>
        <v>38048500</v>
      </c>
      <c r="D3297" t="s">
        <v>10121</v>
      </c>
      <c r="E3297" t="s">
        <v>10122</v>
      </c>
      <c r="F3297" t="s">
        <v>10123</v>
      </c>
      <c r="I3297" t="s">
        <v>29</v>
      </c>
      <c r="J3297" t="s">
        <v>30</v>
      </c>
      <c r="K3297" t="s">
        <v>10124</v>
      </c>
      <c r="M3297" t="s">
        <v>32</v>
      </c>
      <c r="N3297" t="str">
        <f t="shared" si="58"/>
        <v>1/25/2006 12:00:00 AM</v>
      </c>
      <c r="O3297" t="s">
        <v>10121</v>
      </c>
      <c r="T3297" t="s">
        <v>10122</v>
      </c>
    </row>
    <row r="3298" spans="1:20" x14ac:dyDescent="0.25">
      <c r="A3298" t="str">
        <f>"3052240"</f>
        <v>3052240</v>
      </c>
      <c r="B3298" t="s">
        <v>10131</v>
      </c>
      <c r="C3298" t="str">
        <f t="shared" si="57"/>
        <v>38048500</v>
      </c>
      <c r="D3298" t="s">
        <v>10121</v>
      </c>
      <c r="E3298" t="s">
        <v>10122</v>
      </c>
      <c r="F3298" t="s">
        <v>10123</v>
      </c>
      <c r="I3298" t="s">
        <v>29</v>
      </c>
      <c r="J3298" t="s">
        <v>30</v>
      </c>
      <c r="K3298" t="s">
        <v>10124</v>
      </c>
      <c r="M3298" t="s">
        <v>32</v>
      </c>
      <c r="N3298" t="str">
        <f t="shared" si="58"/>
        <v>1/25/2006 12:00:00 AM</v>
      </c>
      <c r="O3298" t="s">
        <v>10121</v>
      </c>
      <c r="T3298" t="s">
        <v>10122</v>
      </c>
    </row>
    <row r="3299" spans="1:20" x14ac:dyDescent="0.25">
      <c r="A3299" t="str">
        <f>"3078174"</f>
        <v>3078174</v>
      </c>
      <c r="B3299" t="s">
        <v>10132</v>
      </c>
      <c r="C3299" t="str">
        <f t="shared" si="57"/>
        <v>38048500</v>
      </c>
      <c r="D3299" t="s">
        <v>10121</v>
      </c>
      <c r="E3299" t="s">
        <v>10122</v>
      </c>
      <c r="F3299" t="s">
        <v>10123</v>
      </c>
      <c r="I3299" t="s">
        <v>29</v>
      </c>
      <c r="J3299" t="s">
        <v>30</v>
      </c>
      <c r="K3299" t="s">
        <v>10124</v>
      </c>
      <c r="M3299" t="s">
        <v>32</v>
      </c>
      <c r="N3299" t="str">
        <f t="shared" si="58"/>
        <v>1/25/2006 12:00:00 AM</v>
      </c>
      <c r="O3299" t="s">
        <v>10121</v>
      </c>
      <c r="T3299" t="s">
        <v>10122</v>
      </c>
    </row>
    <row r="3300" spans="1:20" x14ac:dyDescent="0.25">
      <c r="A3300" t="str">
        <f>"3047113"</f>
        <v>3047113</v>
      </c>
      <c r="B3300" t="s">
        <v>10133</v>
      </c>
      <c r="C3300" t="str">
        <f>"82515429"</f>
        <v>82515429</v>
      </c>
      <c r="D3300" t="s">
        <v>10134</v>
      </c>
      <c r="E3300" t="s">
        <v>10135</v>
      </c>
      <c r="F3300" t="s">
        <v>10136</v>
      </c>
      <c r="I3300" t="s">
        <v>29</v>
      </c>
      <c r="J3300" t="s">
        <v>30</v>
      </c>
      <c r="K3300" t="s">
        <v>10137</v>
      </c>
      <c r="M3300" t="s">
        <v>32</v>
      </c>
      <c r="N3300" t="str">
        <f>"8/18/2004 12:00:00 AM"</f>
        <v>8/18/2004 12:00:00 AM</v>
      </c>
      <c r="O3300" t="s">
        <v>10134</v>
      </c>
      <c r="T3300" t="s">
        <v>10135</v>
      </c>
    </row>
    <row r="3301" spans="1:20" x14ac:dyDescent="0.25">
      <c r="A3301" t="str">
        <f>"3047009"</f>
        <v>3047009</v>
      </c>
      <c r="B3301" t="s">
        <v>10138</v>
      </c>
      <c r="C3301" t="str">
        <f>"82517140"</f>
        <v>82517140</v>
      </c>
      <c r="D3301" t="s">
        <v>10139</v>
      </c>
      <c r="E3301" t="s">
        <v>10140</v>
      </c>
      <c r="F3301" t="s">
        <v>10141</v>
      </c>
      <c r="I3301" t="s">
        <v>29</v>
      </c>
      <c r="J3301" t="s">
        <v>30</v>
      </c>
      <c r="K3301" t="s">
        <v>31</v>
      </c>
      <c r="M3301" t="s">
        <v>32</v>
      </c>
      <c r="N3301" t="str">
        <f>"5/27/2003 12:00:00 AM"</f>
        <v>5/27/2003 12:00:00 AM</v>
      </c>
      <c r="O3301" t="s">
        <v>10139</v>
      </c>
      <c r="T3301" t="s">
        <v>10140</v>
      </c>
    </row>
    <row r="3302" spans="1:20" x14ac:dyDescent="0.25">
      <c r="A3302" t="str">
        <f>"3047008"</f>
        <v>3047008</v>
      </c>
      <c r="B3302" t="s">
        <v>10142</v>
      </c>
      <c r="C3302" t="str">
        <f>"8884000"</f>
        <v>8884000</v>
      </c>
      <c r="D3302" t="s">
        <v>10143</v>
      </c>
      <c r="F3302" t="s">
        <v>10144</v>
      </c>
      <c r="I3302" t="s">
        <v>29</v>
      </c>
      <c r="J3302" t="s">
        <v>30</v>
      </c>
      <c r="K3302" t="s">
        <v>31</v>
      </c>
      <c r="M3302" t="s">
        <v>32</v>
      </c>
      <c r="N3302" t="str">
        <f>"10/27/2000 12:00:00 AM"</f>
        <v>10/27/2000 12:00:00 AM</v>
      </c>
      <c r="O3302" t="s">
        <v>10143</v>
      </c>
    </row>
    <row r="3303" spans="1:20" x14ac:dyDescent="0.25">
      <c r="A3303" t="str">
        <f>"3047177"</f>
        <v>3047177</v>
      </c>
      <c r="B3303" t="s">
        <v>10145</v>
      </c>
      <c r="C3303" t="str">
        <f>"22772000"</f>
        <v>22772000</v>
      </c>
      <c r="D3303" t="s">
        <v>10146</v>
      </c>
      <c r="F3303" t="s">
        <v>10147</v>
      </c>
      <c r="I3303" t="s">
        <v>29</v>
      </c>
      <c r="J3303" t="s">
        <v>30</v>
      </c>
      <c r="K3303" t="s">
        <v>31</v>
      </c>
      <c r="M3303" t="s">
        <v>32</v>
      </c>
      <c r="N3303" t="str">
        <f>"8/7/2003 12:00:00 AM"</f>
        <v>8/7/2003 12:00:00 AM</v>
      </c>
      <c r="O3303" t="s">
        <v>10146</v>
      </c>
    </row>
    <row r="3304" spans="1:20" x14ac:dyDescent="0.25">
      <c r="A3304" t="str">
        <f>"3046114"</f>
        <v>3046114</v>
      </c>
      <c r="B3304" t="s">
        <v>10148</v>
      </c>
      <c r="C3304" t="str">
        <f>"54847500"</f>
        <v>54847500</v>
      </c>
      <c r="D3304" t="s">
        <v>10149</v>
      </c>
      <c r="E3304" t="s">
        <v>10150</v>
      </c>
      <c r="F3304" t="s">
        <v>10151</v>
      </c>
      <c r="I3304" t="s">
        <v>29</v>
      </c>
      <c r="J3304" t="s">
        <v>30</v>
      </c>
      <c r="K3304" t="s">
        <v>10152</v>
      </c>
      <c r="M3304" t="s">
        <v>32</v>
      </c>
      <c r="N3304" t="str">
        <f>"7/30/2002 12:00:00 AM"</f>
        <v>7/30/2002 12:00:00 AM</v>
      </c>
      <c r="O3304" t="s">
        <v>10149</v>
      </c>
      <c r="T3304" t="s">
        <v>10150</v>
      </c>
    </row>
    <row r="3305" spans="1:20" x14ac:dyDescent="0.25">
      <c r="A3305" t="str">
        <f>"3046115"</f>
        <v>3046115</v>
      </c>
      <c r="B3305" t="s">
        <v>10153</v>
      </c>
      <c r="C3305" t="str">
        <f>"9382000"</f>
        <v>9382000</v>
      </c>
      <c r="D3305" t="s">
        <v>10154</v>
      </c>
      <c r="E3305" t="s">
        <v>10155</v>
      </c>
      <c r="F3305" t="s">
        <v>10156</v>
      </c>
      <c r="I3305" t="s">
        <v>29</v>
      </c>
      <c r="J3305" t="s">
        <v>30</v>
      </c>
      <c r="K3305" t="s">
        <v>31</v>
      </c>
      <c r="M3305" t="s">
        <v>32</v>
      </c>
      <c r="N3305" t="str">
        <f>"7/30/2002 12:00:00 AM"</f>
        <v>7/30/2002 12:00:00 AM</v>
      </c>
      <c r="O3305" t="s">
        <v>10154</v>
      </c>
      <c r="T3305" t="s">
        <v>10155</v>
      </c>
    </row>
    <row r="3306" spans="1:20" x14ac:dyDescent="0.25">
      <c r="A3306" t="str">
        <f>"3045890"</f>
        <v>3045890</v>
      </c>
      <c r="B3306" t="s">
        <v>10157</v>
      </c>
      <c r="C3306" t="str">
        <f>"82530399"</f>
        <v>82530399</v>
      </c>
      <c r="D3306" t="s">
        <v>10158</v>
      </c>
      <c r="F3306" t="s">
        <v>10159</v>
      </c>
      <c r="I3306" t="s">
        <v>1107</v>
      </c>
      <c r="J3306" t="s">
        <v>30</v>
      </c>
      <c r="K3306" t="s">
        <v>4147</v>
      </c>
      <c r="M3306" t="s">
        <v>32</v>
      </c>
      <c r="N3306" t="str">
        <f>"3/1/2011 12:00:00 AM"</f>
        <v>3/1/2011 12:00:00 AM</v>
      </c>
      <c r="O3306" t="s">
        <v>10158</v>
      </c>
    </row>
    <row r="3307" spans="1:20" x14ac:dyDescent="0.25">
      <c r="A3307" t="str">
        <f>"3045950"</f>
        <v>3045950</v>
      </c>
      <c r="B3307" t="s">
        <v>10160</v>
      </c>
      <c r="C3307" t="str">
        <f>"82528879"</f>
        <v>82528879</v>
      </c>
      <c r="D3307" t="s">
        <v>10161</v>
      </c>
      <c r="E3307" t="s">
        <v>10162</v>
      </c>
      <c r="F3307" t="s">
        <v>10163</v>
      </c>
      <c r="I3307" t="s">
        <v>29</v>
      </c>
      <c r="J3307" t="s">
        <v>30</v>
      </c>
      <c r="K3307" t="s">
        <v>31</v>
      </c>
      <c r="M3307" t="s">
        <v>32</v>
      </c>
      <c r="N3307" t="str">
        <f>"12/3/2007 12:00:00 AM"</f>
        <v>12/3/2007 12:00:00 AM</v>
      </c>
      <c r="O3307" t="s">
        <v>10161</v>
      </c>
      <c r="T3307" t="s">
        <v>10162</v>
      </c>
    </row>
    <row r="3308" spans="1:20" x14ac:dyDescent="0.25">
      <c r="A3308" t="str">
        <f>"3046512"</f>
        <v>3046512</v>
      </c>
      <c r="B3308" t="s">
        <v>10164</v>
      </c>
      <c r="C3308" t="str">
        <f>"14416500"</f>
        <v>14416500</v>
      </c>
      <c r="D3308" t="s">
        <v>10165</v>
      </c>
      <c r="E3308" t="s">
        <v>10166</v>
      </c>
      <c r="F3308" t="s">
        <v>10167</v>
      </c>
      <c r="I3308" t="s">
        <v>29</v>
      </c>
      <c r="J3308" t="s">
        <v>30</v>
      </c>
      <c r="K3308" t="s">
        <v>10168</v>
      </c>
      <c r="M3308" t="s">
        <v>32</v>
      </c>
      <c r="N3308" t="str">
        <f>"2/8/2005 12:00:00 AM"</f>
        <v>2/8/2005 12:00:00 AM</v>
      </c>
      <c r="O3308" t="s">
        <v>10165</v>
      </c>
      <c r="T3308" t="s">
        <v>10166</v>
      </c>
    </row>
    <row r="3309" spans="1:20" x14ac:dyDescent="0.25">
      <c r="A3309" t="str">
        <f>"3046601"</f>
        <v>3046601</v>
      </c>
      <c r="B3309" t="s">
        <v>10169</v>
      </c>
      <c r="C3309" t="str">
        <f>"71988000"</f>
        <v>71988000</v>
      </c>
      <c r="D3309" t="s">
        <v>10170</v>
      </c>
      <c r="E3309" t="str">
        <f>"C/O JAMES J SULIER"</f>
        <v>C/O JAMES J SULIER</v>
      </c>
      <c r="F3309" t="s">
        <v>10171</v>
      </c>
      <c r="I3309" t="s">
        <v>10172</v>
      </c>
      <c r="J3309" t="s">
        <v>30</v>
      </c>
      <c r="K3309" t="s">
        <v>10173</v>
      </c>
      <c r="M3309" t="s">
        <v>32</v>
      </c>
      <c r="N3309" t="str">
        <f>"7/6/2010 12:00:00 AM"</f>
        <v>7/6/2010 12:00:00 AM</v>
      </c>
      <c r="O3309" t="s">
        <v>10170</v>
      </c>
      <c r="T3309" t="str">
        <f>"C/O JAMES J SULIER"</f>
        <v>C/O JAMES J SULIER</v>
      </c>
    </row>
    <row r="3310" spans="1:20" x14ac:dyDescent="0.25">
      <c r="A3310" t="str">
        <f>"3047128"</f>
        <v>3047128</v>
      </c>
      <c r="B3310" t="s">
        <v>10174</v>
      </c>
      <c r="C3310" t="str">
        <f>"25663500"</f>
        <v>25663500</v>
      </c>
      <c r="D3310" t="s">
        <v>10175</v>
      </c>
      <c r="E3310" t="s">
        <v>10176</v>
      </c>
      <c r="F3310" t="s">
        <v>10177</v>
      </c>
      <c r="I3310" t="s">
        <v>29</v>
      </c>
      <c r="J3310" t="s">
        <v>30</v>
      </c>
      <c r="K3310" t="s">
        <v>31</v>
      </c>
      <c r="M3310" t="s">
        <v>32</v>
      </c>
      <c r="N3310" t="str">
        <f>"1/8/2008 12:00:00 AM"</f>
        <v>1/8/2008 12:00:00 AM</v>
      </c>
      <c r="O3310" t="s">
        <v>10175</v>
      </c>
      <c r="T3310" t="s">
        <v>10176</v>
      </c>
    </row>
    <row r="3311" spans="1:20" x14ac:dyDescent="0.25">
      <c r="A3311" t="str">
        <f>"3046869"</f>
        <v>3046869</v>
      </c>
      <c r="B3311" t="s">
        <v>10178</v>
      </c>
      <c r="C3311" t="str">
        <f>"64657680"</f>
        <v>64657680</v>
      </c>
      <c r="D3311" t="s">
        <v>10179</v>
      </c>
      <c r="F3311" t="s">
        <v>10180</v>
      </c>
      <c r="I3311" t="s">
        <v>29</v>
      </c>
      <c r="J3311" t="s">
        <v>30</v>
      </c>
      <c r="K3311" t="s">
        <v>10181</v>
      </c>
      <c r="M3311" t="s">
        <v>32</v>
      </c>
      <c r="N3311" t="str">
        <f>"7/20/2007 12:00:00 AM"</f>
        <v>7/20/2007 12:00:00 AM</v>
      </c>
      <c r="O3311" t="s">
        <v>10179</v>
      </c>
    </row>
    <row r="3312" spans="1:20" x14ac:dyDescent="0.25">
      <c r="A3312" t="str">
        <f>"3046854"</f>
        <v>3046854</v>
      </c>
      <c r="B3312" t="s">
        <v>10182</v>
      </c>
      <c r="C3312" t="str">
        <f>"64657680"</f>
        <v>64657680</v>
      </c>
      <c r="D3312" t="s">
        <v>10179</v>
      </c>
      <c r="F3312" t="s">
        <v>10180</v>
      </c>
      <c r="I3312" t="s">
        <v>29</v>
      </c>
      <c r="J3312" t="s">
        <v>30</v>
      </c>
      <c r="K3312" t="s">
        <v>10181</v>
      </c>
      <c r="M3312" t="s">
        <v>32</v>
      </c>
      <c r="N3312" t="str">
        <f>"7/20/2007 12:00:00 AM"</f>
        <v>7/20/2007 12:00:00 AM</v>
      </c>
      <c r="O3312" t="s">
        <v>10179</v>
      </c>
    </row>
    <row r="3313" spans="1:20" x14ac:dyDescent="0.25">
      <c r="A3313" t="str">
        <f>"3046881"</f>
        <v>3046881</v>
      </c>
      <c r="B3313" t="s">
        <v>10183</v>
      </c>
      <c r="C3313" t="str">
        <f>"58801230"</f>
        <v>58801230</v>
      </c>
      <c r="D3313" t="s">
        <v>10184</v>
      </c>
      <c r="F3313" t="s">
        <v>10185</v>
      </c>
      <c r="I3313" t="s">
        <v>29</v>
      </c>
      <c r="J3313" t="s">
        <v>30</v>
      </c>
      <c r="K3313" t="s">
        <v>10186</v>
      </c>
      <c r="M3313" t="s">
        <v>32</v>
      </c>
      <c r="N3313" t="str">
        <f>"1/23/2007 12:00:00 AM"</f>
        <v>1/23/2007 12:00:00 AM</v>
      </c>
      <c r="O3313" t="s">
        <v>10184</v>
      </c>
    </row>
    <row r="3314" spans="1:20" x14ac:dyDescent="0.25">
      <c r="A3314" t="str">
        <f>"3046895"</f>
        <v>3046895</v>
      </c>
      <c r="B3314" t="s">
        <v>10187</v>
      </c>
      <c r="C3314" t="str">
        <f>"58801230"</f>
        <v>58801230</v>
      </c>
      <c r="D3314" t="s">
        <v>10184</v>
      </c>
      <c r="F3314" t="s">
        <v>10185</v>
      </c>
      <c r="I3314" t="s">
        <v>29</v>
      </c>
      <c r="J3314" t="s">
        <v>30</v>
      </c>
      <c r="K3314" t="s">
        <v>10186</v>
      </c>
      <c r="M3314" t="s">
        <v>32</v>
      </c>
      <c r="N3314" t="str">
        <f>"1/23/2007 12:00:00 AM"</f>
        <v>1/23/2007 12:00:00 AM</v>
      </c>
      <c r="O3314" t="s">
        <v>10184</v>
      </c>
    </row>
    <row r="3315" spans="1:20" x14ac:dyDescent="0.25">
      <c r="A3315" t="str">
        <f>"3072233"</f>
        <v>3072233</v>
      </c>
      <c r="B3315" t="s">
        <v>10188</v>
      </c>
      <c r="C3315" t="str">
        <f>"58801230"</f>
        <v>58801230</v>
      </c>
      <c r="D3315" t="s">
        <v>10184</v>
      </c>
      <c r="F3315" t="s">
        <v>10185</v>
      </c>
      <c r="I3315" t="s">
        <v>29</v>
      </c>
      <c r="J3315" t="s">
        <v>30</v>
      </c>
      <c r="K3315" t="s">
        <v>10186</v>
      </c>
      <c r="M3315" t="s">
        <v>32</v>
      </c>
      <c r="N3315" t="str">
        <f>"1/23/2007 12:00:00 AM"</f>
        <v>1/23/2007 12:00:00 AM</v>
      </c>
      <c r="O3315" t="s">
        <v>10184</v>
      </c>
    </row>
    <row r="3316" spans="1:20" x14ac:dyDescent="0.25">
      <c r="A3316" t="str">
        <f>"3047003"</f>
        <v>3047003</v>
      </c>
      <c r="B3316" t="s">
        <v>10189</v>
      </c>
      <c r="C3316" t="str">
        <f>"82520267"</f>
        <v>82520267</v>
      </c>
      <c r="D3316" t="s">
        <v>10190</v>
      </c>
      <c r="F3316" t="s">
        <v>10191</v>
      </c>
      <c r="I3316" t="s">
        <v>29</v>
      </c>
      <c r="J3316" t="s">
        <v>30</v>
      </c>
      <c r="K3316" t="s">
        <v>31</v>
      </c>
      <c r="M3316" t="s">
        <v>32</v>
      </c>
      <c r="N3316" t="str">
        <f>"3/4/2003 12:00:00 AM"</f>
        <v>3/4/2003 12:00:00 AM</v>
      </c>
      <c r="O3316" t="s">
        <v>10190</v>
      </c>
    </row>
    <row r="3317" spans="1:20" x14ac:dyDescent="0.25">
      <c r="A3317" t="str">
        <f>"3046322"</f>
        <v>3046322</v>
      </c>
      <c r="B3317" t="s">
        <v>10192</v>
      </c>
      <c r="C3317" t="str">
        <f>"82528879"</f>
        <v>82528879</v>
      </c>
      <c r="D3317" t="s">
        <v>10161</v>
      </c>
      <c r="E3317" t="s">
        <v>10162</v>
      </c>
      <c r="F3317" t="s">
        <v>10163</v>
      </c>
      <c r="I3317" t="s">
        <v>29</v>
      </c>
      <c r="J3317" t="s">
        <v>30</v>
      </c>
      <c r="K3317" t="s">
        <v>31</v>
      </c>
      <c r="M3317" t="s">
        <v>32</v>
      </c>
      <c r="N3317" t="str">
        <f>"12/3/2007 12:00:00 AM"</f>
        <v>12/3/2007 12:00:00 AM</v>
      </c>
      <c r="O3317" t="s">
        <v>10161</v>
      </c>
      <c r="T3317" t="s">
        <v>10162</v>
      </c>
    </row>
    <row r="3318" spans="1:20" x14ac:dyDescent="0.25">
      <c r="A3318" t="str">
        <f>"3045001"</f>
        <v>3045001</v>
      </c>
      <c r="B3318" t="s">
        <v>10193</v>
      </c>
      <c r="C3318" t="str">
        <f>"964000"</f>
        <v>964000</v>
      </c>
      <c r="D3318" t="s">
        <v>9913</v>
      </c>
      <c r="E3318" t="s">
        <v>9914</v>
      </c>
      <c r="F3318" t="s">
        <v>9915</v>
      </c>
      <c r="I3318" t="s">
        <v>29</v>
      </c>
      <c r="J3318" t="s">
        <v>30</v>
      </c>
      <c r="K3318" t="s">
        <v>31</v>
      </c>
      <c r="M3318" t="s">
        <v>32</v>
      </c>
      <c r="N3318" t="str">
        <f>"5/9/2003 12:00:00 AM"</f>
        <v>5/9/2003 12:00:00 AM</v>
      </c>
      <c r="O3318" t="s">
        <v>9913</v>
      </c>
      <c r="T3318" t="s">
        <v>9914</v>
      </c>
    </row>
    <row r="3319" spans="1:20" x14ac:dyDescent="0.25">
      <c r="A3319" t="str">
        <f>"3048659"</f>
        <v>3048659</v>
      </c>
      <c r="B3319" t="s">
        <v>10194</v>
      </c>
      <c r="C3319" t="str">
        <f>"37956000"</f>
        <v>37956000</v>
      </c>
      <c r="D3319" t="s">
        <v>10195</v>
      </c>
      <c r="E3319" t="s">
        <v>10196</v>
      </c>
      <c r="F3319" t="s">
        <v>10197</v>
      </c>
      <c r="I3319" t="s">
        <v>29</v>
      </c>
      <c r="J3319" t="s">
        <v>30</v>
      </c>
      <c r="K3319" t="s">
        <v>10198</v>
      </c>
      <c r="M3319" t="s">
        <v>32</v>
      </c>
      <c r="N3319" t="str">
        <f>"1/25/2006 12:00:00 AM"</f>
        <v>1/25/2006 12:00:00 AM</v>
      </c>
      <c r="O3319" t="s">
        <v>10195</v>
      </c>
      <c r="T3319" t="s">
        <v>10196</v>
      </c>
    </row>
    <row r="3320" spans="1:20" x14ac:dyDescent="0.25">
      <c r="A3320" t="str">
        <f>"3046495"</f>
        <v>3046495</v>
      </c>
      <c r="B3320" t="s">
        <v>10199</v>
      </c>
      <c r="C3320" t="str">
        <f>"58084000"</f>
        <v>58084000</v>
      </c>
      <c r="D3320" t="s">
        <v>10200</v>
      </c>
      <c r="E3320" t="s">
        <v>10201</v>
      </c>
      <c r="F3320" t="s">
        <v>10202</v>
      </c>
      <c r="I3320" t="s">
        <v>29</v>
      </c>
      <c r="J3320" t="s">
        <v>30</v>
      </c>
      <c r="K3320" t="s">
        <v>31</v>
      </c>
      <c r="M3320" t="s">
        <v>32</v>
      </c>
      <c r="N3320" t="str">
        <f>"4/2/2004 12:00:00 AM"</f>
        <v>4/2/2004 12:00:00 AM</v>
      </c>
      <c r="O3320" t="s">
        <v>10200</v>
      </c>
      <c r="T3320" t="s">
        <v>10201</v>
      </c>
    </row>
    <row r="3321" spans="1:20" x14ac:dyDescent="0.25">
      <c r="A3321" t="str">
        <f>"3051104"</f>
        <v>3051104</v>
      </c>
      <c r="B3321" t="s">
        <v>10203</v>
      </c>
      <c r="C3321" t="str">
        <f>"58084000"</f>
        <v>58084000</v>
      </c>
      <c r="D3321" t="s">
        <v>10200</v>
      </c>
      <c r="E3321" t="s">
        <v>10201</v>
      </c>
      <c r="F3321" t="s">
        <v>10202</v>
      </c>
      <c r="I3321" t="s">
        <v>29</v>
      </c>
      <c r="J3321" t="s">
        <v>30</v>
      </c>
      <c r="K3321" t="s">
        <v>31</v>
      </c>
      <c r="M3321" t="s">
        <v>32</v>
      </c>
      <c r="N3321" t="str">
        <f>"4/2/2004 12:00:00 AM"</f>
        <v>4/2/2004 12:00:00 AM</v>
      </c>
      <c r="O3321" t="s">
        <v>10200</v>
      </c>
      <c r="T3321" t="s">
        <v>10201</v>
      </c>
    </row>
    <row r="3322" spans="1:20" x14ac:dyDescent="0.25">
      <c r="A3322" t="str">
        <f>"3078954"</f>
        <v>3078954</v>
      </c>
      <c r="B3322" t="s">
        <v>10204</v>
      </c>
      <c r="C3322" t="str">
        <f>"58084000"</f>
        <v>58084000</v>
      </c>
      <c r="D3322" t="s">
        <v>10200</v>
      </c>
      <c r="E3322" t="s">
        <v>10201</v>
      </c>
      <c r="F3322" t="s">
        <v>10202</v>
      </c>
      <c r="I3322" t="s">
        <v>29</v>
      </c>
      <c r="J3322" t="s">
        <v>30</v>
      </c>
      <c r="K3322" t="s">
        <v>31</v>
      </c>
      <c r="M3322" t="s">
        <v>32</v>
      </c>
      <c r="N3322" t="str">
        <f>"4/2/2004 12:00:00 AM"</f>
        <v>4/2/2004 12:00:00 AM</v>
      </c>
      <c r="O3322" t="s">
        <v>10200</v>
      </c>
      <c r="T3322" t="s">
        <v>10201</v>
      </c>
    </row>
    <row r="3323" spans="1:20" x14ac:dyDescent="0.25">
      <c r="A3323" t="str">
        <f>"3078407"</f>
        <v>3078407</v>
      </c>
      <c r="B3323" t="s">
        <v>10205</v>
      </c>
      <c r="C3323" t="str">
        <f>"58084000"</f>
        <v>58084000</v>
      </c>
      <c r="D3323" t="s">
        <v>10200</v>
      </c>
      <c r="E3323" t="s">
        <v>10201</v>
      </c>
      <c r="F3323" t="s">
        <v>10202</v>
      </c>
      <c r="I3323" t="s">
        <v>29</v>
      </c>
      <c r="J3323" t="s">
        <v>30</v>
      </c>
      <c r="K3323" t="s">
        <v>31</v>
      </c>
      <c r="M3323" t="s">
        <v>32</v>
      </c>
      <c r="N3323" t="str">
        <f>"4/2/2004 12:00:00 AM"</f>
        <v>4/2/2004 12:00:00 AM</v>
      </c>
      <c r="O3323" t="s">
        <v>10200</v>
      </c>
      <c r="T3323" t="s">
        <v>10201</v>
      </c>
    </row>
    <row r="3324" spans="1:20" x14ac:dyDescent="0.25">
      <c r="A3324" t="str">
        <f>"3078276"</f>
        <v>3078276</v>
      </c>
      <c r="B3324" t="s">
        <v>10206</v>
      </c>
      <c r="C3324" t="str">
        <f>"58084000"</f>
        <v>58084000</v>
      </c>
      <c r="D3324" t="s">
        <v>10200</v>
      </c>
      <c r="E3324" t="s">
        <v>10201</v>
      </c>
      <c r="F3324" t="s">
        <v>10202</v>
      </c>
      <c r="I3324" t="s">
        <v>29</v>
      </c>
      <c r="J3324" t="s">
        <v>30</v>
      </c>
      <c r="K3324" t="s">
        <v>31</v>
      </c>
      <c r="M3324" t="s">
        <v>32</v>
      </c>
      <c r="N3324" t="str">
        <f>"4/2/2004 12:00:00 AM"</f>
        <v>4/2/2004 12:00:00 AM</v>
      </c>
      <c r="O3324" t="s">
        <v>10200</v>
      </c>
      <c r="T3324" t="s">
        <v>10201</v>
      </c>
    </row>
    <row r="3325" spans="1:20" x14ac:dyDescent="0.25">
      <c r="A3325" t="str">
        <f>"3057550"</f>
        <v>3057550</v>
      </c>
      <c r="B3325" t="s">
        <v>10207</v>
      </c>
      <c r="C3325" t="str">
        <f>"82526247"</f>
        <v>82526247</v>
      </c>
      <c r="D3325" t="s">
        <v>10208</v>
      </c>
      <c r="F3325" t="s">
        <v>10209</v>
      </c>
      <c r="I3325" t="s">
        <v>29</v>
      </c>
      <c r="J3325" t="s">
        <v>30</v>
      </c>
      <c r="K3325" t="s">
        <v>31</v>
      </c>
      <c r="M3325" t="s">
        <v>32</v>
      </c>
      <c r="N3325" t="str">
        <f>"1/24/2007 12:00:00 AM"</f>
        <v>1/24/2007 12:00:00 AM</v>
      </c>
      <c r="O3325" t="s">
        <v>10208</v>
      </c>
    </row>
    <row r="3326" spans="1:20" x14ac:dyDescent="0.25">
      <c r="A3326" t="str">
        <f>"3046116"</f>
        <v>3046116</v>
      </c>
      <c r="B3326" t="s">
        <v>10210</v>
      </c>
      <c r="C3326" t="str">
        <f>"73006250"</f>
        <v>73006250</v>
      </c>
      <c r="D3326" t="s">
        <v>10211</v>
      </c>
      <c r="F3326" t="s">
        <v>10212</v>
      </c>
      <c r="I3326" t="s">
        <v>29</v>
      </c>
      <c r="J3326" t="s">
        <v>30</v>
      </c>
      <c r="K3326" t="s">
        <v>10213</v>
      </c>
      <c r="M3326" t="s">
        <v>32</v>
      </c>
      <c r="N3326" t="str">
        <f>"2/14/2007 12:00:00 AM"</f>
        <v>2/14/2007 12:00:00 AM</v>
      </c>
      <c r="O3326" t="s">
        <v>10211</v>
      </c>
    </row>
    <row r="3327" spans="1:20" x14ac:dyDescent="0.25">
      <c r="A3327" t="str">
        <f>"3046347"</f>
        <v>3046347</v>
      </c>
      <c r="B3327" t="s">
        <v>10214</v>
      </c>
      <c r="C3327" t="str">
        <f>"82527702"</f>
        <v>82527702</v>
      </c>
      <c r="D3327" t="s">
        <v>10215</v>
      </c>
      <c r="F3327" t="s">
        <v>10216</v>
      </c>
      <c r="I3327" t="s">
        <v>29</v>
      </c>
      <c r="J3327" t="s">
        <v>30</v>
      </c>
      <c r="K3327" t="s">
        <v>31</v>
      </c>
      <c r="M3327" t="s">
        <v>32</v>
      </c>
      <c r="N3327" t="str">
        <f>"3/22/2007 12:00:00 AM"</f>
        <v>3/22/2007 12:00:00 AM</v>
      </c>
      <c r="O3327" t="s">
        <v>10215</v>
      </c>
    </row>
    <row r="3328" spans="1:20" x14ac:dyDescent="0.25">
      <c r="A3328" t="str">
        <f>"3058182"</f>
        <v>3058182</v>
      </c>
      <c r="B3328" t="s">
        <v>10217</v>
      </c>
      <c r="C3328" t="str">
        <f>"82523820"</f>
        <v>82523820</v>
      </c>
      <c r="D3328" t="s">
        <v>10218</v>
      </c>
      <c r="F3328" t="s">
        <v>10219</v>
      </c>
      <c r="I3328" t="s">
        <v>29</v>
      </c>
      <c r="J3328" t="s">
        <v>30</v>
      </c>
      <c r="K3328" t="s">
        <v>31</v>
      </c>
      <c r="M3328" t="s">
        <v>32</v>
      </c>
      <c r="N3328" t="str">
        <f>"1/28/2005 12:00:00 AM"</f>
        <v>1/28/2005 12:00:00 AM</v>
      </c>
      <c r="O3328" t="s">
        <v>10218</v>
      </c>
    </row>
    <row r="3329" spans="1:20" x14ac:dyDescent="0.25">
      <c r="A3329" t="str">
        <f>"3046123"</f>
        <v>3046123</v>
      </c>
      <c r="B3329" t="s">
        <v>10220</v>
      </c>
      <c r="C3329" t="str">
        <f>"69544000"</f>
        <v>69544000</v>
      </c>
      <c r="D3329" t="s">
        <v>10221</v>
      </c>
      <c r="E3329" t="s">
        <v>10222</v>
      </c>
      <c r="F3329" t="s">
        <v>10223</v>
      </c>
      <c r="I3329" t="s">
        <v>29</v>
      </c>
      <c r="J3329" t="s">
        <v>30</v>
      </c>
      <c r="K3329" t="s">
        <v>10213</v>
      </c>
      <c r="M3329" t="s">
        <v>32</v>
      </c>
      <c r="N3329" t="str">
        <f>"2/13/2007 12:00:00 AM"</f>
        <v>2/13/2007 12:00:00 AM</v>
      </c>
      <c r="O3329" t="s">
        <v>10221</v>
      </c>
      <c r="T3329" t="s">
        <v>10222</v>
      </c>
    </row>
    <row r="3330" spans="1:20" x14ac:dyDescent="0.25">
      <c r="A3330" t="str">
        <f>"3046923"</f>
        <v>3046923</v>
      </c>
      <c r="B3330" t="s">
        <v>10224</v>
      </c>
      <c r="C3330" t="str">
        <f>"17450000"</f>
        <v>17450000</v>
      </c>
      <c r="D3330" t="s">
        <v>10225</v>
      </c>
      <c r="F3330" t="s">
        <v>10226</v>
      </c>
      <c r="I3330" t="s">
        <v>29</v>
      </c>
      <c r="J3330" t="s">
        <v>30</v>
      </c>
      <c r="K3330" t="s">
        <v>31</v>
      </c>
      <c r="M3330" t="s">
        <v>32</v>
      </c>
      <c r="N3330" t="str">
        <f>"7/1/2003 12:00:00 AM"</f>
        <v>7/1/2003 12:00:00 AM</v>
      </c>
      <c r="O3330" t="s">
        <v>10225</v>
      </c>
    </row>
    <row r="3331" spans="1:20" x14ac:dyDescent="0.25">
      <c r="A3331" t="str">
        <f>"3047213"</f>
        <v>3047213</v>
      </c>
      <c r="B3331" t="s">
        <v>10227</v>
      </c>
      <c r="C3331" t="str">
        <f>"17450000"</f>
        <v>17450000</v>
      </c>
      <c r="D3331" t="s">
        <v>10225</v>
      </c>
      <c r="F3331" t="s">
        <v>10226</v>
      </c>
      <c r="I3331" t="s">
        <v>29</v>
      </c>
      <c r="J3331" t="s">
        <v>30</v>
      </c>
      <c r="K3331" t="s">
        <v>31</v>
      </c>
      <c r="M3331" t="s">
        <v>32</v>
      </c>
      <c r="N3331" t="str">
        <f>"7/1/2003 12:00:00 AM"</f>
        <v>7/1/2003 12:00:00 AM</v>
      </c>
      <c r="O3331" t="s">
        <v>10225</v>
      </c>
    </row>
    <row r="3332" spans="1:20" x14ac:dyDescent="0.25">
      <c r="A3332" t="str">
        <f>"3047263"</f>
        <v>3047263</v>
      </c>
      <c r="B3332" t="s">
        <v>10228</v>
      </c>
      <c r="C3332" t="str">
        <f>"82514347"</f>
        <v>82514347</v>
      </c>
      <c r="D3332" t="s">
        <v>10229</v>
      </c>
      <c r="F3332" t="s">
        <v>10230</v>
      </c>
      <c r="I3332" t="s">
        <v>29</v>
      </c>
      <c r="J3332" t="s">
        <v>30</v>
      </c>
      <c r="K3332" t="s">
        <v>10231</v>
      </c>
      <c r="M3332" t="s">
        <v>32</v>
      </c>
      <c r="N3332" t="str">
        <f>"8/24/2009 12:00:00 AM"</f>
        <v>8/24/2009 12:00:00 AM</v>
      </c>
      <c r="O3332" t="s">
        <v>10229</v>
      </c>
    </row>
    <row r="3333" spans="1:20" x14ac:dyDescent="0.25">
      <c r="A3333" t="str">
        <f>"3046939"</f>
        <v>3046939</v>
      </c>
      <c r="B3333" t="s">
        <v>10232</v>
      </c>
      <c r="C3333" t="str">
        <f>"82529581"</f>
        <v>82529581</v>
      </c>
      <c r="D3333" t="s">
        <v>10233</v>
      </c>
      <c r="F3333" t="s">
        <v>10234</v>
      </c>
      <c r="I3333" t="s">
        <v>29</v>
      </c>
      <c r="J3333" t="s">
        <v>30</v>
      </c>
      <c r="K3333" t="s">
        <v>31</v>
      </c>
      <c r="M3333" t="s">
        <v>32</v>
      </c>
      <c r="N3333" t="str">
        <f>"1/12/2009 12:00:00 AM"</f>
        <v>1/12/2009 12:00:00 AM</v>
      </c>
      <c r="O3333" t="s">
        <v>10233</v>
      </c>
    </row>
    <row r="3334" spans="1:20" x14ac:dyDescent="0.25">
      <c r="A3334" t="str">
        <f>"3049853"</f>
        <v>3049853</v>
      </c>
      <c r="B3334" t="s">
        <v>10235</v>
      </c>
      <c r="C3334" t="str">
        <f>"82527557"</f>
        <v>82527557</v>
      </c>
      <c r="D3334" t="s">
        <v>10236</v>
      </c>
      <c r="E3334" t="s">
        <v>10237</v>
      </c>
      <c r="F3334" t="s">
        <v>10238</v>
      </c>
      <c r="I3334" t="s">
        <v>29</v>
      </c>
      <c r="J3334" t="s">
        <v>30</v>
      </c>
      <c r="K3334" t="s">
        <v>31</v>
      </c>
      <c r="M3334" t="s">
        <v>32</v>
      </c>
      <c r="N3334" t="str">
        <f>"1/28/2008 12:00:00 AM"</f>
        <v>1/28/2008 12:00:00 AM</v>
      </c>
      <c r="O3334" t="s">
        <v>10236</v>
      </c>
      <c r="T3334" t="s">
        <v>10237</v>
      </c>
    </row>
    <row r="3335" spans="1:20" x14ac:dyDescent="0.25">
      <c r="A3335" t="str">
        <f>"3050196"</f>
        <v>3050196</v>
      </c>
      <c r="B3335" t="s">
        <v>10239</v>
      </c>
      <c r="C3335" t="str">
        <f>"21942000"</f>
        <v>21942000</v>
      </c>
      <c r="D3335" t="s">
        <v>10240</v>
      </c>
      <c r="E3335" t="s">
        <v>10241</v>
      </c>
      <c r="F3335" t="s">
        <v>10242</v>
      </c>
      <c r="I3335" t="s">
        <v>29</v>
      </c>
      <c r="J3335" t="s">
        <v>30</v>
      </c>
      <c r="K3335" t="s">
        <v>31</v>
      </c>
      <c r="M3335" t="s">
        <v>32</v>
      </c>
      <c r="N3335" t="str">
        <f>"7/23/2003 12:00:00 AM"</f>
        <v>7/23/2003 12:00:00 AM</v>
      </c>
      <c r="O3335" t="s">
        <v>10240</v>
      </c>
      <c r="T3335" t="s">
        <v>10241</v>
      </c>
    </row>
    <row r="3336" spans="1:20" x14ac:dyDescent="0.25">
      <c r="A3336" t="str">
        <f>"3046022"</f>
        <v>3046022</v>
      </c>
      <c r="B3336" t="s">
        <v>10243</v>
      </c>
      <c r="C3336" t="str">
        <f>"21942000"</f>
        <v>21942000</v>
      </c>
      <c r="D3336" t="s">
        <v>10240</v>
      </c>
      <c r="E3336" t="s">
        <v>10241</v>
      </c>
      <c r="F3336" t="s">
        <v>10242</v>
      </c>
      <c r="I3336" t="s">
        <v>29</v>
      </c>
      <c r="J3336" t="s">
        <v>30</v>
      </c>
      <c r="K3336" t="s">
        <v>31</v>
      </c>
      <c r="M3336" t="s">
        <v>32</v>
      </c>
      <c r="N3336" t="str">
        <f>"7/23/2003 12:00:00 AM"</f>
        <v>7/23/2003 12:00:00 AM</v>
      </c>
      <c r="O3336" t="s">
        <v>10240</v>
      </c>
      <c r="T3336" t="s">
        <v>10241</v>
      </c>
    </row>
    <row r="3337" spans="1:20" x14ac:dyDescent="0.25">
      <c r="A3337" t="str">
        <f>"3050225"</f>
        <v>3050225</v>
      </c>
      <c r="B3337" t="s">
        <v>10244</v>
      </c>
      <c r="C3337" t="str">
        <f>"74372000"</f>
        <v>74372000</v>
      </c>
      <c r="D3337" t="s">
        <v>9729</v>
      </c>
      <c r="E3337" t="s">
        <v>9730</v>
      </c>
      <c r="F3337" t="s">
        <v>9731</v>
      </c>
      <c r="I3337" t="s">
        <v>29</v>
      </c>
      <c r="J3337" t="s">
        <v>30</v>
      </c>
      <c r="K3337" t="s">
        <v>9732</v>
      </c>
      <c r="M3337" t="s">
        <v>32</v>
      </c>
      <c r="N3337" t="str">
        <f>"1/23/2006 12:00:00 AM"</f>
        <v>1/23/2006 12:00:00 AM</v>
      </c>
      <c r="O3337" t="s">
        <v>9729</v>
      </c>
      <c r="T3337" t="s">
        <v>9730</v>
      </c>
    </row>
    <row r="3338" spans="1:20" x14ac:dyDescent="0.25">
      <c r="A3338" t="str">
        <f>"3058196"</f>
        <v>3058196</v>
      </c>
      <c r="B3338" t="s">
        <v>10245</v>
      </c>
      <c r="C3338" t="str">
        <f>"82518515"</f>
        <v>82518515</v>
      </c>
      <c r="D3338" t="s">
        <v>10246</v>
      </c>
      <c r="F3338" t="s">
        <v>10247</v>
      </c>
      <c r="I3338" t="s">
        <v>29</v>
      </c>
      <c r="J3338" t="s">
        <v>30</v>
      </c>
      <c r="K3338" t="s">
        <v>31</v>
      </c>
      <c r="M3338" t="s">
        <v>32</v>
      </c>
      <c r="N3338" t="str">
        <f>"1/16/2003 12:00:00 AM"</f>
        <v>1/16/2003 12:00:00 AM</v>
      </c>
      <c r="O3338" t="s">
        <v>10246</v>
      </c>
    </row>
    <row r="3339" spans="1:20" x14ac:dyDescent="0.25">
      <c r="A3339" t="str">
        <f>"3049862"</f>
        <v>3049862</v>
      </c>
      <c r="B3339" t="s">
        <v>10248</v>
      </c>
      <c r="C3339" t="str">
        <f>"37595000"</f>
        <v>37595000</v>
      </c>
      <c r="D3339" t="s">
        <v>10249</v>
      </c>
      <c r="E3339" t="s">
        <v>10250</v>
      </c>
      <c r="F3339" t="s">
        <v>10251</v>
      </c>
      <c r="I3339" t="s">
        <v>29</v>
      </c>
      <c r="J3339" t="s">
        <v>30</v>
      </c>
      <c r="K3339" t="s">
        <v>10252</v>
      </c>
      <c r="M3339" t="s">
        <v>32</v>
      </c>
      <c r="N3339" t="str">
        <f>"1/8/2004 12:00:00 AM"</f>
        <v>1/8/2004 12:00:00 AM</v>
      </c>
      <c r="O3339" t="s">
        <v>10249</v>
      </c>
      <c r="T3339" t="s">
        <v>10250</v>
      </c>
    </row>
    <row r="3340" spans="1:20" x14ac:dyDescent="0.25">
      <c r="A3340" t="str">
        <f>"3046842"</f>
        <v>3046842</v>
      </c>
      <c r="B3340" t="s">
        <v>10253</v>
      </c>
      <c r="C3340" t="str">
        <f>"1301850"</f>
        <v>1301850</v>
      </c>
      <c r="D3340" t="s">
        <v>10254</v>
      </c>
      <c r="F3340" t="s">
        <v>10255</v>
      </c>
      <c r="I3340" t="s">
        <v>29</v>
      </c>
      <c r="J3340" t="s">
        <v>30</v>
      </c>
      <c r="K3340" t="s">
        <v>31</v>
      </c>
      <c r="M3340" t="s">
        <v>32</v>
      </c>
      <c r="N3340" t="str">
        <f>"5/9/2003 12:00:00 AM"</f>
        <v>5/9/2003 12:00:00 AM</v>
      </c>
      <c r="O3340" t="s">
        <v>10254</v>
      </c>
    </row>
    <row r="3341" spans="1:20" x14ac:dyDescent="0.25">
      <c r="A3341" t="str">
        <f>"3049840"</f>
        <v>3049840</v>
      </c>
      <c r="B3341" t="s">
        <v>10256</v>
      </c>
      <c r="C3341" t="str">
        <f>"82516888"</f>
        <v>82516888</v>
      </c>
      <c r="D3341" t="s">
        <v>10257</v>
      </c>
      <c r="E3341" t="s">
        <v>10258</v>
      </c>
      <c r="F3341" t="s">
        <v>10259</v>
      </c>
      <c r="I3341" t="s">
        <v>29</v>
      </c>
      <c r="J3341" t="s">
        <v>30</v>
      </c>
      <c r="K3341" t="s">
        <v>31</v>
      </c>
      <c r="M3341" t="s">
        <v>32</v>
      </c>
      <c r="N3341" t="str">
        <f>"2/4/2004 12:00:00 AM"</f>
        <v>2/4/2004 12:00:00 AM</v>
      </c>
      <c r="O3341" t="s">
        <v>10257</v>
      </c>
      <c r="T3341" t="s">
        <v>10258</v>
      </c>
    </row>
    <row r="3342" spans="1:20" x14ac:dyDescent="0.25">
      <c r="A3342" t="str">
        <f>"3049873"</f>
        <v>3049873</v>
      </c>
      <c r="B3342" t="s">
        <v>10260</v>
      </c>
      <c r="C3342" t="str">
        <f>"82515845"</f>
        <v>82515845</v>
      </c>
      <c r="D3342" t="s">
        <v>10261</v>
      </c>
      <c r="E3342" t="s">
        <v>10262</v>
      </c>
      <c r="F3342" t="s">
        <v>10263</v>
      </c>
      <c r="I3342" t="s">
        <v>29</v>
      </c>
      <c r="J3342" t="s">
        <v>30</v>
      </c>
      <c r="K3342" t="s">
        <v>31</v>
      </c>
      <c r="M3342" t="s">
        <v>32</v>
      </c>
      <c r="N3342" t="str">
        <f>"8/27/2004 12:00:00 AM"</f>
        <v>8/27/2004 12:00:00 AM</v>
      </c>
      <c r="O3342" t="s">
        <v>10261</v>
      </c>
      <c r="T3342" t="s">
        <v>10262</v>
      </c>
    </row>
    <row r="3343" spans="1:20" x14ac:dyDescent="0.25">
      <c r="A3343" t="str">
        <f>"3058389"</f>
        <v>3058389</v>
      </c>
      <c r="B3343" t="s">
        <v>10264</v>
      </c>
      <c r="C3343" t="str">
        <f>"76735000"</f>
        <v>76735000</v>
      </c>
      <c r="D3343" t="s">
        <v>10265</v>
      </c>
      <c r="E3343" t="s">
        <v>10266</v>
      </c>
      <c r="F3343" t="s">
        <v>10267</v>
      </c>
      <c r="I3343" t="s">
        <v>29</v>
      </c>
      <c r="J3343" t="s">
        <v>30</v>
      </c>
      <c r="K3343" t="s">
        <v>10268</v>
      </c>
      <c r="M3343" t="s">
        <v>32</v>
      </c>
      <c r="N3343" t="str">
        <f>"1/23/2007 12:00:00 AM"</f>
        <v>1/23/2007 12:00:00 AM</v>
      </c>
      <c r="O3343" t="s">
        <v>10265</v>
      </c>
      <c r="T3343" t="s">
        <v>10266</v>
      </c>
    </row>
    <row r="3344" spans="1:20" x14ac:dyDescent="0.25">
      <c r="A3344" t="str">
        <f>"3058324"</f>
        <v>3058324</v>
      </c>
      <c r="B3344" t="s">
        <v>10269</v>
      </c>
      <c r="C3344" t="str">
        <f>"82528158"</f>
        <v>82528158</v>
      </c>
      <c r="D3344" t="s">
        <v>10270</v>
      </c>
      <c r="E3344" t="s">
        <v>10271</v>
      </c>
      <c r="F3344" t="s">
        <v>10272</v>
      </c>
      <c r="I3344" t="s">
        <v>29</v>
      </c>
      <c r="J3344" t="s">
        <v>30</v>
      </c>
      <c r="K3344" t="s">
        <v>31</v>
      </c>
      <c r="M3344" t="s">
        <v>32</v>
      </c>
      <c r="N3344" t="str">
        <f>"2/27/2008 12:00:00 AM"</f>
        <v>2/27/2008 12:00:00 AM</v>
      </c>
      <c r="O3344" t="s">
        <v>10270</v>
      </c>
      <c r="T3344" t="s">
        <v>10271</v>
      </c>
    </row>
    <row r="3345" spans="1:20" x14ac:dyDescent="0.25">
      <c r="A3345" t="str">
        <f>"3047150"</f>
        <v>3047150</v>
      </c>
      <c r="B3345" t="s">
        <v>10273</v>
      </c>
      <c r="C3345" t="str">
        <f>"82530234"</f>
        <v>82530234</v>
      </c>
      <c r="D3345" t="s">
        <v>10274</v>
      </c>
      <c r="F3345" t="s">
        <v>10275</v>
      </c>
      <c r="I3345" t="s">
        <v>29</v>
      </c>
      <c r="J3345" t="s">
        <v>30</v>
      </c>
      <c r="K3345" t="s">
        <v>31</v>
      </c>
      <c r="M3345" t="s">
        <v>32</v>
      </c>
      <c r="N3345" t="str">
        <f>"11/10/2008 12:00:00 AM"</f>
        <v>11/10/2008 12:00:00 AM</v>
      </c>
      <c r="O3345" t="s">
        <v>10274</v>
      </c>
    </row>
    <row r="3346" spans="1:20" x14ac:dyDescent="0.25">
      <c r="A3346" t="str">
        <f>"3046485"</f>
        <v>3046485</v>
      </c>
      <c r="B3346" t="s">
        <v>10276</v>
      </c>
      <c r="C3346" t="str">
        <f>"82530234"</f>
        <v>82530234</v>
      </c>
      <c r="D3346" t="s">
        <v>10274</v>
      </c>
      <c r="F3346" t="s">
        <v>10275</v>
      </c>
      <c r="I3346" t="s">
        <v>29</v>
      </c>
      <c r="J3346" t="s">
        <v>30</v>
      </c>
      <c r="K3346" t="s">
        <v>31</v>
      </c>
      <c r="M3346" t="s">
        <v>32</v>
      </c>
      <c r="N3346" t="str">
        <f>"11/10/2008 12:00:00 AM"</f>
        <v>11/10/2008 12:00:00 AM</v>
      </c>
      <c r="O3346" t="s">
        <v>10274</v>
      </c>
    </row>
    <row r="3347" spans="1:20" x14ac:dyDescent="0.25">
      <c r="A3347" t="str">
        <f>"3047160"</f>
        <v>3047160</v>
      </c>
      <c r="B3347" t="s">
        <v>10277</v>
      </c>
      <c r="C3347" t="str">
        <f>"82527664"</f>
        <v>82527664</v>
      </c>
      <c r="D3347" t="s">
        <v>10278</v>
      </c>
      <c r="E3347" t="s">
        <v>10279</v>
      </c>
      <c r="F3347" t="s">
        <v>10280</v>
      </c>
      <c r="I3347" t="s">
        <v>29</v>
      </c>
      <c r="J3347" t="s">
        <v>30</v>
      </c>
      <c r="K3347" t="s">
        <v>31</v>
      </c>
      <c r="M3347" t="s">
        <v>32</v>
      </c>
      <c r="N3347" t="str">
        <f>"3/12/2007 12:00:00 AM"</f>
        <v>3/12/2007 12:00:00 AM</v>
      </c>
      <c r="O3347" t="s">
        <v>10278</v>
      </c>
      <c r="T3347" t="s">
        <v>10279</v>
      </c>
    </row>
    <row r="3348" spans="1:20" x14ac:dyDescent="0.25">
      <c r="A3348" t="str">
        <f>"3047157"</f>
        <v>3047157</v>
      </c>
      <c r="B3348" t="s">
        <v>10281</v>
      </c>
      <c r="C3348" t="str">
        <f>"82524077"</f>
        <v>82524077</v>
      </c>
      <c r="D3348" t="s">
        <v>10282</v>
      </c>
      <c r="F3348" t="s">
        <v>10283</v>
      </c>
      <c r="I3348" t="s">
        <v>29</v>
      </c>
      <c r="J3348" t="s">
        <v>30</v>
      </c>
      <c r="K3348" t="s">
        <v>31</v>
      </c>
      <c r="M3348" t="s">
        <v>32</v>
      </c>
      <c r="N3348" t="str">
        <f>"10/4/2006 12:00:00 AM"</f>
        <v>10/4/2006 12:00:00 AM</v>
      </c>
      <c r="O3348" t="s">
        <v>10282</v>
      </c>
      <c r="T3348" t="s">
        <v>10282</v>
      </c>
    </row>
    <row r="3349" spans="1:20" x14ac:dyDescent="0.25">
      <c r="A3349" t="str">
        <f>"3046843"</f>
        <v>3046843</v>
      </c>
      <c r="B3349" t="s">
        <v>10284</v>
      </c>
      <c r="C3349" t="str">
        <f>"82524010"</f>
        <v>82524010</v>
      </c>
      <c r="D3349" t="s">
        <v>10285</v>
      </c>
      <c r="F3349" t="s">
        <v>10286</v>
      </c>
      <c r="I3349" t="s">
        <v>29</v>
      </c>
      <c r="J3349" t="s">
        <v>30</v>
      </c>
      <c r="K3349" t="s">
        <v>185</v>
      </c>
      <c r="M3349" t="s">
        <v>32</v>
      </c>
      <c r="N3349" t="str">
        <f>"11/5/2008 12:00:00 AM"</f>
        <v>11/5/2008 12:00:00 AM</v>
      </c>
      <c r="O3349" t="s">
        <v>10285</v>
      </c>
    </row>
    <row r="3350" spans="1:20" x14ac:dyDescent="0.25">
      <c r="A3350" t="str">
        <f>"3046727"</f>
        <v>3046727</v>
      </c>
      <c r="B3350" t="s">
        <v>10287</v>
      </c>
      <c r="C3350" t="str">
        <f>"82529125"</f>
        <v>82529125</v>
      </c>
      <c r="D3350" t="s">
        <v>10288</v>
      </c>
      <c r="F3350" t="s">
        <v>10289</v>
      </c>
      <c r="I3350" t="s">
        <v>29</v>
      </c>
      <c r="J3350" t="s">
        <v>30</v>
      </c>
      <c r="K3350" t="s">
        <v>31</v>
      </c>
      <c r="M3350" t="s">
        <v>32</v>
      </c>
      <c r="N3350" t="str">
        <f>"1/8/2009 12:00:00 AM"</f>
        <v>1/8/2009 12:00:00 AM</v>
      </c>
      <c r="O3350" t="s">
        <v>10288</v>
      </c>
      <c r="T3350" t="s">
        <v>10288</v>
      </c>
    </row>
    <row r="3351" spans="1:20" x14ac:dyDescent="0.25">
      <c r="A3351" t="str">
        <f>"3047199"</f>
        <v>3047199</v>
      </c>
      <c r="B3351" t="s">
        <v>10290</v>
      </c>
      <c r="C3351" t="str">
        <f>"82529125"</f>
        <v>82529125</v>
      </c>
      <c r="D3351" t="s">
        <v>10288</v>
      </c>
      <c r="F3351" t="s">
        <v>10289</v>
      </c>
      <c r="I3351" t="s">
        <v>29</v>
      </c>
      <c r="J3351" t="s">
        <v>30</v>
      </c>
      <c r="K3351" t="s">
        <v>31</v>
      </c>
      <c r="M3351" t="s">
        <v>32</v>
      </c>
      <c r="N3351" t="str">
        <f>"1/8/2009 12:00:00 AM"</f>
        <v>1/8/2009 12:00:00 AM</v>
      </c>
      <c r="O3351" t="s">
        <v>10288</v>
      </c>
      <c r="T3351" t="s">
        <v>10288</v>
      </c>
    </row>
    <row r="3352" spans="1:20" x14ac:dyDescent="0.25">
      <c r="A3352" t="str">
        <f>"3046621"</f>
        <v>3046621</v>
      </c>
      <c r="B3352" t="s">
        <v>10291</v>
      </c>
      <c r="C3352" t="str">
        <f>"72166000"</f>
        <v>72166000</v>
      </c>
      <c r="D3352" t="s">
        <v>10292</v>
      </c>
      <c r="F3352" t="s">
        <v>10293</v>
      </c>
      <c r="I3352" t="s">
        <v>29</v>
      </c>
      <c r="J3352" t="s">
        <v>30</v>
      </c>
      <c r="K3352" t="s">
        <v>31</v>
      </c>
      <c r="M3352" t="s">
        <v>32</v>
      </c>
      <c r="N3352" t="str">
        <f>"6/16/2004 12:00:00 AM"</f>
        <v>6/16/2004 12:00:00 AM</v>
      </c>
      <c r="O3352" t="s">
        <v>10292</v>
      </c>
    </row>
    <row r="3353" spans="1:20" x14ac:dyDescent="0.25">
      <c r="A3353" t="str">
        <f>"3046112"</f>
        <v>3046112</v>
      </c>
      <c r="B3353" t="s">
        <v>10294</v>
      </c>
      <c r="C3353" t="str">
        <f>"82528990"</f>
        <v>82528990</v>
      </c>
      <c r="D3353" t="s">
        <v>10295</v>
      </c>
      <c r="F3353" t="s">
        <v>10296</v>
      </c>
      <c r="I3353" t="s">
        <v>29</v>
      </c>
      <c r="J3353" t="s">
        <v>30</v>
      </c>
      <c r="K3353" t="s">
        <v>31</v>
      </c>
      <c r="M3353" t="s">
        <v>32</v>
      </c>
      <c r="N3353" t="str">
        <f>"12/27/2007 12:00:00 AM"</f>
        <v>12/27/2007 12:00:00 AM</v>
      </c>
      <c r="O3353" t="s">
        <v>10295</v>
      </c>
    </row>
    <row r="3354" spans="1:20" x14ac:dyDescent="0.25">
      <c r="A3354" t="str">
        <f>"3047101"</f>
        <v>3047101</v>
      </c>
      <c r="B3354" t="s">
        <v>10297</v>
      </c>
      <c r="C3354" t="str">
        <f>"55663750"</f>
        <v>55663750</v>
      </c>
      <c r="D3354" t="s">
        <v>10298</v>
      </c>
      <c r="E3354" t="s">
        <v>10299</v>
      </c>
      <c r="F3354" t="s">
        <v>10300</v>
      </c>
      <c r="I3354" t="s">
        <v>29</v>
      </c>
      <c r="J3354" t="s">
        <v>30</v>
      </c>
      <c r="K3354" t="s">
        <v>10301</v>
      </c>
      <c r="M3354" t="s">
        <v>32</v>
      </c>
      <c r="N3354" t="str">
        <f>"3/26/2004 12:00:00 AM"</f>
        <v>3/26/2004 12:00:00 AM</v>
      </c>
      <c r="O3354" t="s">
        <v>10298</v>
      </c>
      <c r="T3354" t="s">
        <v>10299</v>
      </c>
    </row>
    <row r="3355" spans="1:20" x14ac:dyDescent="0.25">
      <c r="A3355" t="str">
        <f>"3047004"</f>
        <v>3047004</v>
      </c>
      <c r="B3355" t="s">
        <v>10302</v>
      </c>
      <c r="C3355" t="str">
        <f>"82527018"</f>
        <v>82527018</v>
      </c>
      <c r="D3355" t="s">
        <v>10303</v>
      </c>
      <c r="E3355" t="s">
        <v>10304</v>
      </c>
      <c r="F3355" t="s">
        <v>10305</v>
      </c>
      <c r="I3355" t="s">
        <v>29</v>
      </c>
      <c r="J3355" t="s">
        <v>30</v>
      </c>
      <c r="K3355" t="s">
        <v>31</v>
      </c>
      <c r="M3355" t="s">
        <v>32</v>
      </c>
      <c r="N3355" t="str">
        <f>"8/22/2011 12:00:00 AM"</f>
        <v>8/22/2011 12:00:00 AM</v>
      </c>
      <c r="O3355" t="s">
        <v>10303</v>
      </c>
      <c r="T3355" t="s">
        <v>10304</v>
      </c>
    </row>
    <row r="3356" spans="1:20" x14ac:dyDescent="0.25">
      <c r="A3356" t="str">
        <f>"3059951"</f>
        <v>3059951</v>
      </c>
      <c r="B3356" t="s">
        <v>10306</v>
      </c>
      <c r="C3356" t="str">
        <f>"82519260"</f>
        <v>82519260</v>
      </c>
      <c r="D3356" t="s">
        <v>10307</v>
      </c>
      <c r="E3356" t="s">
        <v>10308</v>
      </c>
      <c r="F3356" t="s">
        <v>10309</v>
      </c>
      <c r="I3356" t="s">
        <v>184</v>
      </c>
      <c r="J3356" t="s">
        <v>30</v>
      </c>
      <c r="K3356" t="s">
        <v>185</v>
      </c>
      <c r="M3356" t="s">
        <v>32</v>
      </c>
      <c r="N3356" t="str">
        <f>"1/21/2003 12:00:00 AM"</f>
        <v>1/21/2003 12:00:00 AM</v>
      </c>
      <c r="O3356" t="s">
        <v>10307</v>
      </c>
      <c r="T3356" t="s">
        <v>10308</v>
      </c>
    </row>
    <row r="3357" spans="1:20" x14ac:dyDescent="0.25">
      <c r="A3357" t="str">
        <f>"3060016"</f>
        <v>3060016</v>
      </c>
      <c r="B3357" t="s">
        <v>10310</v>
      </c>
      <c r="C3357" t="str">
        <f>"79817500"</f>
        <v>79817500</v>
      </c>
      <c r="D3357" t="s">
        <v>10311</v>
      </c>
      <c r="E3357" t="s">
        <v>7520</v>
      </c>
      <c r="F3357" t="s">
        <v>7521</v>
      </c>
      <c r="I3357" t="s">
        <v>184</v>
      </c>
      <c r="J3357" t="s">
        <v>30</v>
      </c>
      <c r="K3357" t="s">
        <v>10312</v>
      </c>
      <c r="M3357" t="s">
        <v>32</v>
      </c>
      <c r="N3357" t="str">
        <f>"2/9/2010 12:00:00 AM"</f>
        <v>2/9/2010 12:00:00 AM</v>
      </c>
      <c r="O3357" t="s">
        <v>10311</v>
      </c>
      <c r="T3357" t="s">
        <v>7520</v>
      </c>
    </row>
    <row r="3358" spans="1:20" x14ac:dyDescent="0.25">
      <c r="A3358" t="str">
        <f>"3057373"</f>
        <v>3057373</v>
      </c>
      <c r="B3358" t="s">
        <v>10313</v>
      </c>
      <c r="C3358" t="str">
        <f>"79817500"</f>
        <v>79817500</v>
      </c>
      <c r="D3358" t="s">
        <v>10311</v>
      </c>
      <c r="E3358" t="s">
        <v>7520</v>
      </c>
      <c r="F3358" t="s">
        <v>7521</v>
      </c>
      <c r="I3358" t="s">
        <v>184</v>
      </c>
      <c r="J3358" t="s">
        <v>30</v>
      </c>
      <c r="K3358" t="s">
        <v>10312</v>
      </c>
      <c r="M3358" t="s">
        <v>32</v>
      </c>
      <c r="N3358" t="str">
        <f>"2/9/2010 12:00:00 AM"</f>
        <v>2/9/2010 12:00:00 AM</v>
      </c>
      <c r="O3358" t="s">
        <v>10311</v>
      </c>
      <c r="T3358" t="s">
        <v>7520</v>
      </c>
    </row>
    <row r="3359" spans="1:20" x14ac:dyDescent="0.25">
      <c r="A3359" t="str">
        <f>"3059963"</f>
        <v>3059963</v>
      </c>
      <c r="B3359" t="s">
        <v>10314</v>
      </c>
      <c r="C3359" t="str">
        <f>"82514654"</f>
        <v>82514654</v>
      </c>
      <c r="D3359" t="s">
        <v>10315</v>
      </c>
      <c r="E3359" t="s">
        <v>10316</v>
      </c>
      <c r="F3359" t="s">
        <v>10317</v>
      </c>
      <c r="I3359" t="s">
        <v>184</v>
      </c>
      <c r="J3359" t="s">
        <v>30</v>
      </c>
      <c r="K3359" t="s">
        <v>10318</v>
      </c>
      <c r="M3359" t="s">
        <v>32</v>
      </c>
      <c r="N3359" t="str">
        <f>"1/17/2006 12:00:00 AM"</f>
        <v>1/17/2006 12:00:00 AM</v>
      </c>
      <c r="O3359" t="s">
        <v>10315</v>
      </c>
      <c r="T3359" t="s">
        <v>10316</v>
      </c>
    </row>
    <row r="3360" spans="1:20" x14ac:dyDescent="0.25">
      <c r="A3360" t="str">
        <f>"3059962"</f>
        <v>3059962</v>
      </c>
      <c r="B3360" t="s">
        <v>10319</v>
      </c>
      <c r="C3360" t="str">
        <f>"82513287"</f>
        <v>82513287</v>
      </c>
      <c r="D3360" t="s">
        <v>10320</v>
      </c>
      <c r="E3360" t="s">
        <v>10321</v>
      </c>
      <c r="F3360" t="s">
        <v>10322</v>
      </c>
      <c r="I3360" t="s">
        <v>184</v>
      </c>
      <c r="J3360" t="s">
        <v>30</v>
      </c>
      <c r="K3360" t="s">
        <v>10318</v>
      </c>
      <c r="M3360" t="s">
        <v>32</v>
      </c>
      <c r="N3360" t="str">
        <f>"1/21/2010 12:00:00 AM"</f>
        <v>1/21/2010 12:00:00 AM</v>
      </c>
      <c r="O3360" t="s">
        <v>10320</v>
      </c>
      <c r="T3360" t="s">
        <v>10321</v>
      </c>
    </row>
    <row r="3361" spans="1:20" x14ac:dyDescent="0.25">
      <c r="A3361" t="str">
        <f>"3046934"</f>
        <v>3046934</v>
      </c>
      <c r="B3361" t="s">
        <v>10323</v>
      </c>
      <c r="C3361" t="str">
        <f>"82516002"</f>
        <v>82516002</v>
      </c>
      <c r="D3361" t="s">
        <v>10324</v>
      </c>
      <c r="E3361" t="s">
        <v>10325</v>
      </c>
      <c r="F3361" t="s">
        <v>10326</v>
      </c>
      <c r="I3361" t="s">
        <v>29</v>
      </c>
      <c r="J3361" t="s">
        <v>30</v>
      </c>
      <c r="K3361" t="s">
        <v>31</v>
      </c>
      <c r="M3361" t="s">
        <v>32</v>
      </c>
      <c r="N3361" t="str">
        <f>"5/17/2010 12:00:00 AM"</f>
        <v>5/17/2010 12:00:00 AM</v>
      </c>
      <c r="O3361" t="s">
        <v>10324</v>
      </c>
      <c r="T3361" t="s">
        <v>10325</v>
      </c>
    </row>
    <row r="3362" spans="1:20" x14ac:dyDescent="0.25">
      <c r="A3362" t="str">
        <f>"3046926"</f>
        <v>3046926</v>
      </c>
      <c r="B3362" t="s">
        <v>10327</v>
      </c>
      <c r="C3362" t="str">
        <f>"82528781"</f>
        <v>82528781</v>
      </c>
      <c r="D3362" t="s">
        <v>10328</v>
      </c>
      <c r="F3362" t="s">
        <v>10329</v>
      </c>
      <c r="I3362" t="s">
        <v>29</v>
      </c>
      <c r="J3362" t="s">
        <v>30</v>
      </c>
      <c r="K3362" t="s">
        <v>31</v>
      </c>
      <c r="M3362" t="s">
        <v>32</v>
      </c>
      <c r="N3362" t="str">
        <f>"10/24/2007 12:00:00 AM"</f>
        <v>10/24/2007 12:00:00 AM</v>
      </c>
      <c r="O3362" t="s">
        <v>10328</v>
      </c>
    </row>
    <row r="3363" spans="1:20" x14ac:dyDescent="0.25">
      <c r="A3363" t="str">
        <f>"3048056"</f>
        <v>3048056</v>
      </c>
      <c r="B3363" t="s">
        <v>10330</v>
      </c>
      <c r="C3363" t="str">
        <f>"82515433"</f>
        <v>82515433</v>
      </c>
      <c r="D3363" t="s">
        <v>10331</v>
      </c>
      <c r="E3363" t="s">
        <v>10332</v>
      </c>
      <c r="F3363" t="s">
        <v>10333</v>
      </c>
      <c r="I3363" t="s">
        <v>184</v>
      </c>
      <c r="J3363" t="s">
        <v>30</v>
      </c>
      <c r="K3363" t="s">
        <v>185</v>
      </c>
      <c r="M3363" t="s">
        <v>32</v>
      </c>
      <c r="N3363" t="str">
        <f>"2/14/2003 12:00:00 AM"</f>
        <v>2/14/2003 12:00:00 AM</v>
      </c>
      <c r="O3363" t="s">
        <v>10331</v>
      </c>
      <c r="T3363" t="s">
        <v>10332</v>
      </c>
    </row>
    <row r="3364" spans="1:20" x14ac:dyDescent="0.25">
      <c r="A3364" t="str">
        <f>"3046486"</f>
        <v>3046486</v>
      </c>
      <c r="B3364" t="s">
        <v>10334</v>
      </c>
      <c r="C3364" t="str">
        <f>"82519111"</f>
        <v>82519111</v>
      </c>
      <c r="D3364" t="s">
        <v>10335</v>
      </c>
      <c r="E3364" t="s">
        <v>10336</v>
      </c>
      <c r="F3364" t="s">
        <v>10337</v>
      </c>
      <c r="I3364" t="s">
        <v>184</v>
      </c>
      <c r="J3364" t="s">
        <v>30</v>
      </c>
      <c r="K3364" t="s">
        <v>10338</v>
      </c>
      <c r="M3364" t="s">
        <v>32</v>
      </c>
      <c r="N3364" t="str">
        <f>"1/14/2010 12:00:00 AM"</f>
        <v>1/14/2010 12:00:00 AM</v>
      </c>
      <c r="O3364" t="s">
        <v>10335</v>
      </c>
      <c r="T3364" t="s">
        <v>10336</v>
      </c>
    </row>
    <row r="3365" spans="1:20" x14ac:dyDescent="0.25">
      <c r="A3365" t="str">
        <f>"3046473"</f>
        <v>3046473</v>
      </c>
      <c r="B3365" t="s">
        <v>10339</v>
      </c>
      <c r="C3365" t="str">
        <f>"82519111"</f>
        <v>82519111</v>
      </c>
      <c r="D3365" t="s">
        <v>10335</v>
      </c>
      <c r="E3365" t="s">
        <v>10336</v>
      </c>
      <c r="F3365" t="s">
        <v>10337</v>
      </c>
      <c r="I3365" t="s">
        <v>184</v>
      </c>
      <c r="J3365" t="s">
        <v>30</v>
      </c>
      <c r="K3365" t="s">
        <v>10338</v>
      </c>
      <c r="M3365" t="s">
        <v>32</v>
      </c>
      <c r="N3365" t="str">
        <f>"1/14/2010 12:00:00 AM"</f>
        <v>1/14/2010 12:00:00 AM</v>
      </c>
      <c r="O3365" t="s">
        <v>10335</v>
      </c>
      <c r="T3365" t="s">
        <v>10336</v>
      </c>
    </row>
    <row r="3366" spans="1:20" x14ac:dyDescent="0.25">
      <c r="A3366" t="str">
        <f>"3046945"</f>
        <v>3046945</v>
      </c>
      <c r="B3366" t="s">
        <v>10340</v>
      </c>
      <c r="C3366" t="str">
        <f>"82525090"</f>
        <v>82525090</v>
      </c>
      <c r="D3366" t="s">
        <v>10341</v>
      </c>
      <c r="F3366" t="s">
        <v>10342</v>
      </c>
      <c r="I3366" t="s">
        <v>29</v>
      </c>
      <c r="J3366" t="s">
        <v>30</v>
      </c>
      <c r="K3366" t="s">
        <v>31</v>
      </c>
      <c r="M3366" t="s">
        <v>32</v>
      </c>
      <c r="N3366" t="str">
        <f>"2/22/2006 12:00:00 AM"</f>
        <v>2/22/2006 12:00:00 AM</v>
      </c>
      <c r="O3366" t="s">
        <v>10341</v>
      </c>
    </row>
    <row r="3367" spans="1:20" x14ac:dyDescent="0.25">
      <c r="A3367" t="str">
        <f>"3046948"</f>
        <v>3046948</v>
      </c>
      <c r="B3367" t="s">
        <v>10343</v>
      </c>
      <c r="C3367" t="str">
        <f>"38399620"</f>
        <v>38399620</v>
      </c>
      <c r="D3367" t="s">
        <v>10344</v>
      </c>
      <c r="E3367" t="s">
        <v>10345</v>
      </c>
      <c r="F3367" t="s">
        <v>10346</v>
      </c>
      <c r="I3367" t="s">
        <v>29</v>
      </c>
      <c r="J3367" t="s">
        <v>30</v>
      </c>
      <c r="K3367" t="s">
        <v>10347</v>
      </c>
      <c r="M3367" t="s">
        <v>32</v>
      </c>
      <c r="N3367" t="str">
        <f>"1/22/2010 12:00:00 AM"</f>
        <v>1/22/2010 12:00:00 AM</v>
      </c>
      <c r="O3367" t="s">
        <v>10344</v>
      </c>
      <c r="T3367" t="s">
        <v>10345</v>
      </c>
    </row>
    <row r="3368" spans="1:20" x14ac:dyDescent="0.25">
      <c r="A3368" t="str">
        <f>"3048160"</f>
        <v>3048160</v>
      </c>
      <c r="B3368" t="s">
        <v>10348</v>
      </c>
      <c r="C3368" t="str">
        <f>"4576000"</f>
        <v>4576000</v>
      </c>
      <c r="D3368" t="s">
        <v>10349</v>
      </c>
      <c r="E3368" t="s">
        <v>10350</v>
      </c>
      <c r="F3368" t="s">
        <v>10351</v>
      </c>
      <c r="I3368" t="s">
        <v>184</v>
      </c>
      <c r="J3368" t="s">
        <v>30</v>
      </c>
      <c r="K3368" t="s">
        <v>10352</v>
      </c>
      <c r="M3368" t="s">
        <v>32</v>
      </c>
      <c r="N3368" t="str">
        <f>"1/12/2006 12:00:00 AM"</f>
        <v>1/12/2006 12:00:00 AM</v>
      </c>
      <c r="O3368" t="s">
        <v>10349</v>
      </c>
      <c r="T3368" t="s">
        <v>10350</v>
      </c>
    </row>
    <row r="3369" spans="1:20" x14ac:dyDescent="0.25">
      <c r="A3369" t="str">
        <f>"3046508"</f>
        <v>3046508</v>
      </c>
      <c r="B3369" t="s">
        <v>10353</v>
      </c>
      <c r="C3369" t="str">
        <f>"50648000"</f>
        <v>50648000</v>
      </c>
      <c r="D3369" t="s">
        <v>10354</v>
      </c>
      <c r="F3369" t="s">
        <v>10355</v>
      </c>
      <c r="I3369" t="s">
        <v>184</v>
      </c>
      <c r="J3369" t="s">
        <v>30</v>
      </c>
      <c r="K3369" t="s">
        <v>185</v>
      </c>
      <c r="M3369" t="s">
        <v>32</v>
      </c>
      <c r="N3369" t="str">
        <f>"8/12/2002 12:00:00 AM"</f>
        <v>8/12/2002 12:00:00 AM</v>
      </c>
      <c r="O3369" t="s">
        <v>10354</v>
      </c>
    </row>
    <row r="3370" spans="1:20" x14ac:dyDescent="0.25">
      <c r="A3370" t="str">
        <f>"3077974"</f>
        <v>3077974</v>
      </c>
      <c r="B3370" t="s">
        <v>10356</v>
      </c>
      <c r="C3370" t="str">
        <f>"50648000"</f>
        <v>50648000</v>
      </c>
      <c r="D3370" t="s">
        <v>10354</v>
      </c>
      <c r="F3370" t="s">
        <v>10355</v>
      </c>
      <c r="I3370" t="s">
        <v>184</v>
      </c>
      <c r="J3370" t="s">
        <v>30</v>
      </c>
      <c r="K3370" t="s">
        <v>185</v>
      </c>
      <c r="M3370" t="s">
        <v>32</v>
      </c>
      <c r="N3370" t="str">
        <f>"8/12/2002 12:00:00 AM"</f>
        <v>8/12/2002 12:00:00 AM</v>
      </c>
      <c r="O3370" t="s">
        <v>10354</v>
      </c>
    </row>
    <row r="3371" spans="1:20" x14ac:dyDescent="0.25">
      <c r="A3371" t="str">
        <f>"3050358"</f>
        <v>3050358</v>
      </c>
      <c r="B3371" t="s">
        <v>10357</v>
      </c>
      <c r="C3371" t="str">
        <f>"76670000"</f>
        <v>76670000</v>
      </c>
      <c r="D3371" t="s">
        <v>10358</v>
      </c>
      <c r="E3371" t="s">
        <v>10359</v>
      </c>
      <c r="F3371" t="s">
        <v>7547</v>
      </c>
      <c r="I3371" t="s">
        <v>184</v>
      </c>
      <c r="J3371" t="s">
        <v>30</v>
      </c>
      <c r="K3371" t="s">
        <v>10360</v>
      </c>
      <c r="M3371" t="s">
        <v>32</v>
      </c>
      <c r="N3371" t="str">
        <f>"1/23/2007 12:00:00 AM"</f>
        <v>1/23/2007 12:00:00 AM</v>
      </c>
      <c r="O3371" t="s">
        <v>10358</v>
      </c>
      <c r="T3371" t="s">
        <v>10359</v>
      </c>
    </row>
    <row r="3372" spans="1:20" x14ac:dyDescent="0.25">
      <c r="A3372" t="str">
        <f>"3050394"</f>
        <v>3050394</v>
      </c>
      <c r="B3372" t="s">
        <v>10361</v>
      </c>
      <c r="C3372" t="str">
        <f>"77371250"</f>
        <v>77371250</v>
      </c>
      <c r="D3372" t="s">
        <v>10362</v>
      </c>
      <c r="E3372" t="s">
        <v>10363</v>
      </c>
      <c r="F3372" t="s">
        <v>10364</v>
      </c>
      <c r="I3372" t="s">
        <v>184</v>
      </c>
      <c r="J3372" t="s">
        <v>30</v>
      </c>
      <c r="K3372" t="s">
        <v>185</v>
      </c>
      <c r="M3372" t="s">
        <v>32</v>
      </c>
      <c r="N3372" t="str">
        <f>"6/25/2004 12:00:00 AM"</f>
        <v>6/25/2004 12:00:00 AM</v>
      </c>
      <c r="O3372" t="s">
        <v>10362</v>
      </c>
      <c r="T3372" t="s">
        <v>10363</v>
      </c>
    </row>
    <row r="3373" spans="1:20" x14ac:dyDescent="0.25">
      <c r="A3373" t="str">
        <f>"3046829"</f>
        <v>3046829</v>
      </c>
      <c r="B3373" t="s">
        <v>10365</v>
      </c>
      <c r="C3373" t="str">
        <f>"14516000"</f>
        <v>14516000</v>
      </c>
      <c r="D3373" t="s">
        <v>10366</v>
      </c>
      <c r="F3373" t="s">
        <v>10367</v>
      </c>
      <c r="I3373" t="s">
        <v>29</v>
      </c>
      <c r="J3373" t="s">
        <v>30</v>
      </c>
      <c r="K3373" t="s">
        <v>31</v>
      </c>
      <c r="M3373" t="s">
        <v>32</v>
      </c>
      <c r="N3373" t="str">
        <f>"6/9/2005 12:00:00 AM"</f>
        <v>6/9/2005 12:00:00 AM</v>
      </c>
      <c r="O3373" t="s">
        <v>10366</v>
      </c>
    </row>
    <row r="3374" spans="1:20" x14ac:dyDescent="0.25">
      <c r="A3374" t="str">
        <f>"3047119"</f>
        <v>3047119</v>
      </c>
      <c r="B3374" t="s">
        <v>10368</v>
      </c>
      <c r="C3374" t="str">
        <f>"14416500"</f>
        <v>14416500</v>
      </c>
      <c r="D3374" t="s">
        <v>10165</v>
      </c>
      <c r="E3374" t="s">
        <v>10166</v>
      </c>
      <c r="F3374" t="s">
        <v>10167</v>
      </c>
      <c r="I3374" t="s">
        <v>29</v>
      </c>
      <c r="J3374" t="s">
        <v>30</v>
      </c>
      <c r="K3374" t="s">
        <v>10168</v>
      </c>
      <c r="M3374" t="s">
        <v>32</v>
      </c>
      <c r="N3374" t="str">
        <f>"2/8/2005 12:00:00 AM"</f>
        <v>2/8/2005 12:00:00 AM</v>
      </c>
      <c r="O3374" t="s">
        <v>10165</v>
      </c>
      <c r="T3374" t="s">
        <v>10166</v>
      </c>
    </row>
    <row r="3375" spans="1:20" x14ac:dyDescent="0.25">
      <c r="A3375" t="str">
        <f>"3046909"</f>
        <v>3046909</v>
      </c>
      <c r="B3375" t="s">
        <v>10369</v>
      </c>
      <c r="C3375" t="str">
        <f>"82524329"</f>
        <v>82524329</v>
      </c>
      <c r="D3375" t="s">
        <v>10370</v>
      </c>
      <c r="E3375" t="s">
        <v>10371</v>
      </c>
      <c r="F3375" t="s">
        <v>10372</v>
      </c>
      <c r="I3375" t="s">
        <v>29</v>
      </c>
      <c r="J3375" t="s">
        <v>30</v>
      </c>
      <c r="K3375" t="s">
        <v>10124</v>
      </c>
      <c r="M3375" t="s">
        <v>32</v>
      </c>
      <c r="N3375" t="str">
        <f>"1/24/2006 12:00:00 AM"</f>
        <v>1/24/2006 12:00:00 AM</v>
      </c>
      <c r="O3375" t="s">
        <v>10370</v>
      </c>
      <c r="T3375" t="s">
        <v>10371</v>
      </c>
    </row>
    <row r="3376" spans="1:20" x14ac:dyDescent="0.25">
      <c r="A3376" t="str">
        <f>"3046501"</f>
        <v>3046501</v>
      </c>
      <c r="B3376" t="s">
        <v>10373</v>
      </c>
      <c r="C3376" t="str">
        <f>"46084000"</f>
        <v>46084000</v>
      </c>
      <c r="D3376" t="s">
        <v>10374</v>
      </c>
      <c r="E3376" t="s">
        <v>10375</v>
      </c>
      <c r="F3376" t="s">
        <v>10376</v>
      </c>
      <c r="I3376" t="s">
        <v>184</v>
      </c>
      <c r="J3376" t="s">
        <v>30</v>
      </c>
      <c r="K3376" t="s">
        <v>185</v>
      </c>
      <c r="M3376" t="s">
        <v>32</v>
      </c>
      <c r="N3376" t="str">
        <f>"1/27/2009 12:00:00 AM"</f>
        <v>1/27/2009 12:00:00 AM</v>
      </c>
      <c r="O3376" t="s">
        <v>10374</v>
      </c>
      <c r="T3376" t="s">
        <v>10375</v>
      </c>
    </row>
    <row r="3377" spans="1:20" x14ac:dyDescent="0.25">
      <c r="A3377" t="str">
        <f>"3046880"</f>
        <v>3046880</v>
      </c>
      <c r="B3377" t="s">
        <v>10377</v>
      </c>
      <c r="C3377" t="str">
        <f>"46084000"</f>
        <v>46084000</v>
      </c>
      <c r="D3377" t="s">
        <v>10374</v>
      </c>
      <c r="E3377" t="s">
        <v>10375</v>
      </c>
      <c r="F3377" t="s">
        <v>10376</v>
      </c>
      <c r="I3377" t="s">
        <v>184</v>
      </c>
      <c r="J3377" t="s">
        <v>30</v>
      </c>
      <c r="K3377" t="s">
        <v>185</v>
      </c>
      <c r="M3377" t="s">
        <v>32</v>
      </c>
      <c r="N3377" t="str">
        <f>"1/27/2009 12:00:00 AM"</f>
        <v>1/27/2009 12:00:00 AM</v>
      </c>
      <c r="O3377" t="s">
        <v>10374</v>
      </c>
      <c r="T3377" t="s">
        <v>10375</v>
      </c>
    </row>
    <row r="3378" spans="1:20" x14ac:dyDescent="0.25">
      <c r="A3378" t="str">
        <f>"3059930"</f>
        <v>3059930</v>
      </c>
      <c r="B3378" t="s">
        <v>10378</v>
      </c>
      <c r="C3378" t="str">
        <f>"71428500"</f>
        <v>71428500</v>
      </c>
      <c r="D3378" t="s">
        <v>10379</v>
      </c>
      <c r="E3378" t="s">
        <v>10380</v>
      </c>
      <c r="F3378" t="s">
        <v>10381</v>
      </c>
      <c r="I3378" t="s">
        <v>184</v>
      </c>
      <c r="J3378" t="s">
        <v>30</v>
      </c>
      <c r="K3378" t="s">
        <v>185</v>
      </c>
      <c r="M3378" t="s">
        <v>32</v>
      </c>
      <c r="N3378" t="str">
        <f>"8/12/2002 12:00:00 AM"</f>
        <v>8/12/2002 12:00:00 AM</v>
      </c>
      <c r="O3378" t="s">
        <v>10379</v>
      </c>
      <c r="T3378" t="s">
        <v>10380</v>
      </c>
    </row>
    <row r="3379" spans="1:20" x14ac:dyDescent="0.25">
      <c r="A3379" t="str">
        <f>"3059957"</f>
        <v>3059957</v>
      </c>
      <c r="B3379" t="s">
        <v>10382</v>
      </c>
      <c r="C3379" t="str">
        <f>"82518409"</f>
        <v>82518409</v>
      </c>
      <c r="D3379" t="s">
        <v>10383</v>
      </c>
      <c r="F3379" t="s">
        <v>10384</v>
      </c>
      <c r="I3379" t="s">
        <v>184</v>
      </c>
      <c r="J3379" t="s">
        <v>30</v>
      </c>
      <c r="K3379" t="s">
        <v>185</v>
      </c>
      <c r="M3379" t="s">
        <v>32</v>
      </c>
      <c r="N3379" t="str">
        <f>"1/21/2003 12:00:00 AM"</f>
        <v>1/21/2003 12:00:00 AM</v>
      </c>
      <c r="O3379" t="s">
        <v>10383</v>
      </c>
    </row>
    <row r="3380" spans="1:20" x14ac:dyDescent="0.25">
      <c r="A3380" t="str">
        <f>"3046927"</f>
        <v>3046927</v>
      </c>
      <c r="B3380" t="s">
        <v>10385</v>
      </c>
      <c r="C3380" t="str">
        <f>"82514345"</f>
        <v>82514345</v>
      </c>
      <c r="D3380" t="s">
        <v>10386</v>
      </c>
      <c r="E3380" t="s">
        <v>10387</v>
      </c>
      <c r="F3380" t="s">
        <v>10388</v>
      </c>
      <c r="I3380" t="s">
        <v>29</v>
      </c>
      <c r="J3380" t="s">
        <v>30</v>
      </c>
      <c r="K3380" t="s">
        <v>31</v>
      </c>
      <c r="M3380" t="s">
        <v>32</v>
      </c>
      <c r="N3380" t="str">
        <f>"7/26/2004 12:00:00 AM"</f>
        <v>7/26/2004 12:00:00 AM</v>
      </c>
      <c r="O3380" t="s">
        <v>10386</v>
      </c>
      <c r="T3380" t="s">
        <v>10387</v>
      </c>
    </row>
    <row r="3381" spans="1:20" x14ac:dyDescent="0.25">
      <c r="A3381" t="str">
        <f>"3059989"</f>
        <v>3059989</v>
      </c>
      <c r="B3381" t="s">
        <v>10389</v>
      </c>
      <c r="C3381" t="str">
        <f>"33494700"</f>
        <v>33494700</v>
      </c>
      <c r="D3381" t="s">
        <v>10390</v>
      </c>
      <c r="F3381" t="s">
        <v>10391</v>
      </c>
      <c r="I3381" t="s">
        <v>184</v>
      </c>
      <c r="J3381" t="s">
        <v>30</v>
      </c>
      <c r="K3381" t="s">
        <v>185</v>
      </c>
      <c r="M3381" t="s">
        <v>32</v>
      </c>
      <c r="N3381" t="str">
        <f>"10/13/2003 12:00:00 AM"</f>
        <v>10/13/2003 12:00:00 AM</v>
      </c>
      <c r="O3381" t="s">
        <v>10390</v>
      </c>
    </row>
    <row r="3382" spans="1:20" x14ac:dyDescent="0.25">
      <c r="A3382" t="str">
        <f>"3060015"</f>
        <v>3060015</v>
      </c>
      <c r="B3382" t="s">
        <v>10392</v>
      </c>
      <c r="C3382" t="str">
        <f>"6752000"</f>
        <v>6752000</v>
      </c>
      <c r="D3382" t="s">
        <v>10393</v>
      </c>
      <c r="E3382" t="s">
        <v>10394</v>
      </c>
      <c r="F3382" t="s">
        <v>10395</v>
      </c>
      <c r="I3382" t="s">
        <v>2275</v>
      </c>
      <c r="J3382" t="s">
        <v>30</v>
      </c>
      <c r="K3382" t="s">
        <v>2276</v>
      </c>
      <c r="M3382" t="s">
        <v>32</v>
      </c>
      <c r="N3382" t="str">
        <f>"8/12/2002 12:00:00 AM"</f>
        <v>8/12/2002 12:00:00 AM</v>
      </c>
      <c r="O3382" t="s">
        <v>10393</v>
      </c>
      <c r="T3382" t="s">
        <v>10394</v>
      </c>
    </row>
    <row r="3383" spans="1:20" x14ac:dyDescent="0.25">
      <c r="A3383" t="str">
        <f>"3067981"</f>
        <v>3067981</v>
      </c>
      <c r="B3383" t="s">
        <v>10396</v>
      </c>
      <c r="C3383" t="str">
        <f>"17674000"</f>
        <v>17674000</v>
      </c>
      <c r="D3383" t="s">
        <v>10397</v>
      </c>
      <c r="F3383" t="s">
        <v>10398</v>
      </c>
      <c r="I3383" t="s">
        <v>184</v>
      </c>
      <c r="J3383" t="s">
        <v>30</v>
      </c>
      <c r="K3383" t="s">
        <v>10399</v>
      </c>
      <c r="M3383" t="s">
        <v>32</v>
      </c>
      <c r="N3383" t="str">
        <f>"1/24/2006 12:00:00 AM"</f>
        <v>1/24/2006 12:00:00 AM</v>
      </c>
      <c r="O3383" t="s">
        <v>10397</v>
      </c>
    </row>
    <row r="3384" spans="1:20" x14ac:dyDescent="0.25">
      <c r="A3384" t="str">
        <f>"3068227"</f>
        <v>3068227</v>
      </c>
      <c r="B3384" t="s">
        <v>10400</v>
      </c>
      <c r="C3384" t="str">
        <f>"17674000"</f>
        <v>17674000</v>
      </c>
      <c r="D3384" t="s">
        <v>10397</v>
      </c>
      <c r="F3384" t="s">
        <v>10398</v>
      </c>
      <c r="I3384" t="s">
        <v>184</v>
      </c>
      <c r="J3384" t="s">
        <v>30</v>
      </c>
      <c r="K3384" t="s">
        <v>10399</v>
      </c>
      <c r="M3384" t="s">
        <v>32</v>
      </c>
      <c r="N3384" t="str">
        <f>"1/24/2006 12:00:00 AM"</f>
        <v>1/24/2006 12:00:00 AM</v>
      </c>
      <c r="O3384" t="s">
        <v>10397</v>
      </c>
    </row>
    <row r="3385" spans="1:20" x14ac:dyDescent="0.25">
      <c r="A3385" t="str">
        <f>"3059975"</f>
        <v>3059975</v>
      </c>
      <c r="B3385" t="s">
        <v>10401</v>
      </c>
      <c r="C3385" t="str">
        <f>"69333000"</f>
        <v>69333000</v>
      </c>
      <c r="D3385" t="s">
        <v>10402</v>
      </c>
      <c r="E3385" t="s">
        <v>10403</v>
      </c>
      <c r="F3385" t="s">
        <v>10404</v>
      </c>
      <c r="I3385" t="s">
        <v>184</v>
      </c>
      <c r="J3385" t="s">
        <v>30</v>
      </c>
      <c r="K3385" t="s">
        <v>185</v>
      </c>
      <c r="M3385" t="s">
        <v>32</v>
      </c>
      <c r="N3385" t="str">
        <f>"8/12/2002 12:00:00 AM"</f>
        <v>8/12/2002 12:00:00 AM</v>
      </c>
      <c r="O3385" t="s">
        <v>10402</v>
      </c>
      <c r="T3385" t="s">
        <v>10403</v>
      </c>
    </row>
    <row r="3386" spans="1:20" x14ac:dyDescent="0.25">
      <c r="A3386" t="str">
        <f>"3046981"</f>
        <v>3046981</v>
      </c>
      <c r="B3386" t="s">
        <v>10405</v>
      </c>
      <c r="C3386" t="str">
        <f>"58084000"</f>
        <v>58084000</v>
      </c>
      <c r="D3386" t="s">
        <v>10200</v>
      </c>
      <c r="E3386" t="s">
        <v>10201</v>
      </c>
      <c r="F3386" t="s">
        <v>10202</v>
      </c>
      <c r="I3386" t="s">
        <v>29</v>
      </c>
      <c r="J3386" t="s">
        <v>30</v>
      </c>
      <c r="K3386" t="s">
        <v>31</v>
      </c>
      <c r="M3386" t="s">
        <v>32</v>
      </c>
      <c r="N3386" t="str">
        <f>"4/2/2004 12:00:00 AM"</f>
        <v>4/2/2004 12:00:00 AM</v>
      </c>
      <c r="O3386" t="s">
        <v>10200</v>
      </c>
      <c r="T3386" t="s">
        <v>10201</v>
      </c>
    </row>
    <row r="3387" spans="1:20" x14ac:dyDescent="0.25">
      <c r="A3387" t="str">
        <f>"3046020"</f>
        <v>3046020</v>
      </c>
      <c r="B3387" t="s">
        <v>10406</v>
      </c>
      <c r="C3387" t="str">
        <f>"69544000"</f>
        <v>69544000</v>
      </c>
      <c r="D3387" t="s">
        <v>10221</v>
      </c>
      <c r="E3387" t="s">
        <v>10222</v>
      </c>
      <c r="F3387" t="s">
        <v>10223</v>
      </c>
      <c r="I3387" t="s">
        <v>29</v>
      </c>
      <c r="J3387" t="s">
        <v>30</v>
      </c>
      <c r="K3387" t="s">
        <v>10213</v>
      </c>
      <c r="M3387" t="s">
        <v>32</v>
      </c>
      <c r="N3387" t="str">
        <f>"2/13/2007 12:00:00 AM"</f>
        <v>2/13/2007 12:00:00 AM</v>
      </c>
      <c r="O3387" t="s">
        <v>10221</v>
      </c>
      <c r="T3387" t="s">
        <v>10222</v>
      </c>
    </row>
    <row r="3388" spans="1:20" x14ac:dyDescent="0.25">
      <c r="A3388" t="str">
        <f>"3058195"</f>
        <v>3058195</v>
      </c>
      <c r="B3388" t="s">
        <v>10407</v>
      </c>
      <c r="C3388" t="str">
        <f>"16415000"</f>
        <v>16415000</v>
      </c>
      <c r="D3388" t="s">
        <v>10408</v>
      </c>
      <c r="E3388" t="s">
        <v>10409</v>
      </c>
      <c r="F3388" t="s">
        <v>10410</v>
      </c>
      <c r="I3388" t="s">
        <v>29</v>
      </c>
      <c r="J3388" t="s">
        <v>30</v>
      </c>
      <c r="K3388" t="s">
        <v>31</v>
      </c>
      <c r="M3388" t="s">
        <v>32</v>
      </c>
      <c r="N3388" t="str">
        <f>"6/27/2003 12:00:00 AM"</f>
        <v>6/27/2003 12:00:00 AM</v>
      </c>
      <c r="O3388" t="s">
        <v>10408</v>
      </c>
      <c r="T3388" t="s">
        <v>10409</v>
      </c>
    </row>
    <row r="3389" spans="1:20" x14ac:dyDescent="0.25">
      <c r="A3389" t="str">
        <f>"3047364"</f>
        <v>3047364</v>
      </c>
      <c r="B3389" t="s">
        <v>10411</v>
      </c>
      <c r="C3389" t="str">
        <f>"82517474"</f>
        <v>82517474</v>
      </c>
      <c r="D3389" t="s">
        <v>10412</v>
      </c>
      <c r="F3389" t="str">
        <f>"C/O JERRY &amp; CHARLES POTTS"</f>
        <v>C/O JERRY &amp; CHARLES POTTS</v>
      </c>
      <c r="G3389" t="s">
        <v>8820</v>
      </c>
      <c r="I3389" t="s">
        <v>184</v>
      </c>
      <c r="J3389" t="s">
        <v>30</v>
      </c>
      <c r="K3389" t="s">
        <v>185</v>
      </c>
      <c r="M3389" t="s">
        <v>32</v>
      </c>
      <c r="N3389" t="str">
        <f>"6/16/2003 12:00:00 AM"</f>
        <v>6/16/2003 12:00:00 AM</v>
      </c>
      <c r="O3389" t="s">
        <v>10412</v>
      </c>
    </row>
    <row r="3390" spans="1:20" x14ac:dyDescent="0.25">
      <c r="A3390" t="str">
        <f>"3047685"</f>
        <v>3047685</v>
      </c>
      <c r="B3390" t="s">
        <v>10413</v>
      </c>
      <c r="C3390" t="str">
        <f>"82526003"</f>
        <v>82526003</v>
      </c>
      <c r="D3390" t="s">
        <v>10414</v>
      </c>
      <c r="E3390" t="s">
        <v>10415</v>
      </c>
      <c r="F3390" t="s">
        <v>10416</v>
      </c>
      <c r="I3390" t="s">
        <v>184</v>
      </c>
      <c r="J3390" t="s">
        <v>30</v>
      </c>
      <c r="K3390" t="s">
        <v>10417</v>
      </c>
      <c r="M3390" t="s">
        <v>32</v>
      </c>
      <c r="N3390" t="str">
        <f>"2/10/2010 12:00:00 AM"</f>
        <v>2/10/2010 12:00:00 AM</v>
      </c>
      <c r="O3390" t="s">
        <v>10414</v>
      </c>
      <c r="T3390" t="s">
        <v>10415</v>
      </c>
    </row>
    <row r="3391" spans="1:20" x14ac:dyDescent="0.25">
      <c r="A3391" t="str">
        <f>"3047686"</f>
        <v>3047686</v>
      </c>
      <c r="B3391" t="s">
        <v>10418</v>
      </c>
      <c r="C3391" t="str">
        <f>"82526003"</f>
        <v>82526003</v>
      </c>
      <c r="D3391" t="s">
        <v>10414</v>
      </c>
      <c r="E3391" t="s">
        <v>10415</v>
      </c>
      <c r="F3391" t="s">
        <v>10416</v>
      </c>
      <c r="I3391" t="s">
        <v>184</v>
      </c>
      <c r="J3391" t="s">
        <v>30</v>
      </c>
      <c r="K3391" t="s">
        <v>10417</v>
      </c>
      <c r="M3391" t="s">
        <v>32</v>
      </c>
      <c r="N3391" t="str">
        <f>"2/10/2010 12:00:00 AM"</f>
        <v>2/10/2010 12:00:00 AM</v>
      </c>
      <c r="O3391" t="s">
        <v>10414</v>
      </c>
      <c r="T3391" t="s">
        <v>10415</v>
      </c>
    </row>
    <row r="3392" spans="1:20" x14ac:dyDescent="0.25">
      <c r="A3392" t="str">
        <f>"3047656"</f>
        <v>3047656</v>
      </c>
      <c r="B3392" t="s">
        <v>10419</v>
      </c>
      <c r="C3392" t="str">
        <f>"82526003"</f>
        <v>82526003</v>
      </c>
      <c r="D3392" t="s">
        <v>10414</v>
      </c>
      <c r="E3392" t="s">
        <v>10415</v>
      </c>
      <c r="F3392" t="s">
        <v>10416</v>
      </c>
      <c r="I3392" t="s">
        <v>184</v>
      </c>
      <c r="J3392" t="s">
        <v>30</v>
      </c>
      <c r="K3392" t="s">
        <v>10417</v>
      </c>
      <c r="M3392" t="s">
        <v>32</v>
      </c>
      <c r="N3392" t="str">
        <f>"2/10/2010 12:00:00 AM"</f>
        <v>2/10/2010 12:00:00 AM</v>
      </c>
      <c r="O3392" t="s">
        <v>10414</v>
      </c>
      <c r="T3392" t="s">
        <v>10415</v>
      </c>
    </row>
    <row r="3393" spans="1:20" x14ac:dyDescent="0.25">
      <c r="A3393" t="str">
        <f>"3048097"</f>
        <v>3048097</v>
      </c>
      <c r="B3393" t="s">
        <v>10420</v>
      </c>
      <c r="C3393" t="str">
        <f>"82526003"</f>
        <v>82526003</v>
      </c>
      <c r="D3393" t="s">
        <v>10414</v>
      </c>
      <c r="E3393" t="s">
        <v>10415</v>
      </c>
      <c r="F3393" t="s">
        <v>10416</v>
      </c>
      <c r="I3393" t="s">
        <v>184</v>
      </c>
      <c r="J3393" t="s">
        <v>30</v>
      </c>
      <c r="K3393" t="s">
        <v>10417</v>
      </c>
      <c r="M3393" t="s">
        <v>32</v>
      </c>
      <c r="N3393" t="str">
        <f>"2/10/2010 12:00:00 AM"</f>
        <v>2/10/2010 12:00:00 AM</v>
      </c>
      <c r="O3393" t="s">
        <v>10414</v>
      </c>
      <c r="T3393" t="s">
        <v>10415</v>
      </c>
    </row>
    <row r="3394" spans="1:20" x14ac:dyDescent="0.25">
      <c r="A3394" t="str">
        <f>"3047710"</f>
        <v>3047710</v>
      </c>
      <c r="B3394" t="s">
        <v>10421</v>
      </c>
      <c r="C3394" t="str">
        <f>"82526768"</f>
        <v>82526768</v>
      </c>
      <c r="D3394" t="s">
        <v>10422</v>
      </c>
      <c r="E3394" t="s">
        <v>10423</v>
      </c>
      <c r="F3394" t="s">
        <v>10424</v>
      </c>
      <c r="I3394" t="s">
        <v>184</v>
      </c>
      <c r="J3394" t="s">
        <v>30</v>
      </c>
      <c r="K3394" t="s">
        <v>10425</v>
      </c>
      <c r="M3394" t="s">
        <v>32</v>
      </c>
      <c r="N3394" t="str">
        <f>"1/9/2008 12:00:00 AM"</f>
        <v>1/9/2008 12:00:00 AM</v>
      </c>
      <c r="O3394" t="s">
        <v>10422</v>
      </c>
      <c r="T3394" t="s">
        <v>10423</v>
      </c>
    </row>
    <row r="3395" spans="1:20" x14ac:dyDescent="0.25">
      <c r="A3395" t="str">
        <f>"3047943"</f>
        <v>3047943</v>
      </c>
      <c r="B3395" t="s">
        <v>10426</v>
      </c>
      <c r="C3395" t="str">
        <f>"82520321"</f>
        <v>82520321</v>
      </c>
      <c r="D3395" t="s">
        <v>10427</v>
      </c>
      <c r="F3395" t="s">
        <v>10428</v>
      </c>
      <c r="I3395" t="s">
        <v>184</v>
      </c>
      <c r="J3395" t="s">
        <v>30</v>
      </c>
      <c r="K3395" t="s">
        <v>10429</v>
      </c>
      <c r="M3395" t="s">
        <v>32</v>
      </c>
      <c r="N3395" t="str">
        <f>"2/25/2005 12:00:00 AM"</f>
        <v>2/25/2005 12:00:00 AM</v>
      </c>
      <c r="O3395" t="s">
        <v>10427</v>
      </c>
    </row>
    <row r="3396" spans="1:20" x14ac:dyDescent="0.25">
      <c r="A3396" t="str">
        <f>"3046882"</f>
        <v>3046882</v>
      </c>
      <c r="B3396" t="s">
        <v>10430</v>
      </c>
      <c r="C3396" t="str">
        <f>"73460693"</f>
        <v>73460693</v>
      </c>
      <c r="D3396" t="s">
        <v>10431</v>
      </c>
      <c r="F3396" t="s">
        <v>10432</v>
      </c>
      <c r="I3396" t="s">
        <v>29</v>
      </c>
      <c r="J3396" t="s">
        <v>30</v>
      </c>
      <c r="K3396" t="s">
        <v>31</v>
      </c>
      <c r="M3396" t="s">
        <v>32</v>
      </c>
      <c r="N3396" t="str">
        <f>"6/18/2004 12:00:00 AM"</f>
        <v>6/18/2004 12:00:00 AM</v>
      </c>
      <c r="O3396" t="s">
        <v>10431</v>
      </c>
    </row>
    <row r="3397" spans="1:20" x14ac:dyDescent="0.25">
      <c r="A3397" t="str">
        <f>"3050770"</f>
        <v>3050770</v>
      </c>
      <c r="B3397" t="s">
        <v>10433</v>
      </c>
      <c r="C3397" t="str">
        <f>"82515326"</f>
        <v>82515326</v>
      </c>
      <c r="D3397" t="s">
        <v>10434</v>
      </c>
      <c r="E3397" t="s">
        <v>10435</v>
      </c>
      <c r="F3397" t="s">
        <v>1159</v>
      </c>
      <c r="I3397" t="s">
        <v>184</v>
      </c>
      <c r="J3397" t="s">
        <v>30</v>
      </c>
      <c r="K3397" t="s">
        <v>185</v>
      </c>
      <c r="M3397" t="s">
        <v>32</v>
      </c>
      <c r="N3397" t="str">
        <f>"1/22/2004 12:00:00 AM"</f>
        <v>1/22/2004 12:00:00 AM</v>
      </c>
      <c r="O3397" t="s">
        <v>10434</v>
      </c>
      <c r="T3397" t="s">
        <v>10435</v>
      </c>
    </row>
    <row r="3398" spans="1:20" x14ac:dyDescent="0.25">
      <c r="A3398" t="str">
        <f>"3047721"</f>
        <v>3047721</v>
      </c>
      <c r="B3398" t="s">
        <v>10436</v>
      </c>
      <c r="C3398" t="str">
        <f>"53188000"</f>
        <v>53188000</v>
      </c>
      <c r="D3398" t="s">
        <v>10437</v>
      </c>
      <c r="E3398" t="s">
        <v>10438</v>
      </c>
      <c r="F3398" t="s">
        <v>10439</v>
      </c>
      <c r="I3398" t="s">
        <v>184</v>
      </c>
      <c r="J3398" t="s">
        <v>30</v>
      </c>
      <c r="K3398" t="s">
        <v>185</v>
      </c>
      <c r="M3398" t="s">
        <v>32</v>
      </c>
      <c r="N3398" t="str">
        <f>"3/12/2004 12:00:00 AM"</f>
        <v>3/12/2004 12:00:00 AM</v>
      </c>
      <c r="O3398" t="s">
        <v>10437</v>
      </c>
      <c r="T3398" t="s">
        <v>10438</v>
      </c>
    </row>
    <row r="3399" spans="1:20" x14ac:dyDescent="0.25">
      <c r="A3399" t="str">
        <f>"3047985"</f>
        <v>3047985</v>
      </c>
      <c r="B3399" t="s">
        <v>10440</v>
      </c>
      <c r="C3399" t="str">
        <f>"82518015"</f>
        <v>82518015</v>
      </c>
      <c r="D3399" t="s">
        <v>10441</v>
      </c>
      <c r="E3399" t="s">
        <v>10442</v>
      </c>
      <c r="F3399" t="s">
        <v>10443</v>
      </c>
      <c r="I3399" t="s">
        <v>184</v>
      </c>
      <c r="J3399" t="s">
        <v>30</v>
      </c>
      <c r="K3399" t="s">
        <v>185</v>
      </c>
      <c r="N3399" t="str">
        <f>"3/12/2002 12:00:00 AM"</f>
        <v>3/12/2002 12:00:00 AM</v>
      </c>
      <c r="O3399" t="s">
        <v>10441</v>
      </c>
      <c r="T3399" t="s">
        <v>10442</v>
      </c>
    </row>
    <row r="3400" spans="1:20" x14ac:dyDescent="0.25">
      <c r="A3400" t="str">
        <f>"3048143"</f>
        <v>3048143</v>
      </c>
      <c r="B3400" t="s">
        <v>10444</v>
      </c>
      <c r="C3400" t="str">
        <f>"82518014"</f>
        <v>82518014</v>
      </c>
      <c r="D3400" t="s">
        <v>10445</v>
      </c>
      <c r="F3400" t="s">
        <v>10446</v>
      </c>
      <c r="I3400" t="s">
        <v>184</v>
      </c>
      <c r="J3400" t="s">
        <v>30</v>
      </c>
      <c r="K3400" t="s">
        <v>185</v>
      </c>
      <c r="M3400" t="s">
        <v>32</v>
      </c>
      <c r="N3400" t="str">
        <f>"10/21/2003 12:00:00 AM"</f>
        <v>10/21/2003 12:00:00 AM</v>
      </c>
      <c r="O3400" t="s">
        <v>10445</v>
      </c>
    </row>
    <row r="3401" spans="1:20" x14ac:dyDescent="0.25">
      <c r="A3401" t="str">
        <f>"3046924"</f>
        <v>3046924</v>
      </c>
      <c r="B3401" t="s">
        <v>10447</v>
      </c>
      <c r="C3401" t="str">
        <f>"21943500"</f>
        <v>21943500</v>
      </c>
      <c r="D3401" t="s">
        <v>10448</v>
      </c>
      <c r="F3401" t="s">
        <v>10449</v>
      </c>
      <c r="G3401" t="s">
        <v>10450</v>
      </c>
      <c r="I3401" t="s">
        <v>29</v>
      </c>
      <c r="J3401" t="s">
        <v>30</v>
      </c>
      <c r="K3401" t="s">
        <v>31</v>
      </c>
      <c r="M3401" t="s">
        <v>32</v>
      </c>
      <c r="N3401" t="str">
        <f>"7/23/2003 12:00:00 AM"</f>
        <v>7/23/2003 12:00:00 AM</v>
      </c>
      <c r="O3401" t="s">
        <v>10448</v>
      </c>
    </row>
    <row r="3402" spans="1:20" x14ac:dyDescent="0.25">
      <c r="A3402" t="str">
        <f>"3048102"</f>
        <v>3048102</v>
      </c>
      <c r="B3402" t="s">
        <v>10451</v>
      </c>
      <c r="C3402" t="str">
        <f>"55686000"</f>
        <v>55686000</v>
      </c>
      <c r="D3402" t="s">
        <v>10452</v>
      </c>
      <c r="E3402" t="s">
        <v>10453</v>
      </c>
      <c r="F3402" t="s">
        <v>10454</v>
      </c>
      <c r="I3402" t="s">
        <v>184</v>
      </c>
      <c r="J3402" t="s">
        <v>30</v>
      </c>
      <c r="K3402" t="s">
        <v>10455</v>
      </c>
      <c r="M3402" t="s">
        <v>32</v>
      </c>
      <c r="N3402" t="str">
        <f>"1/3/2006 12:00:00 AM"</f>
        <v>1/3/2006 12:00:00 AM</v>
      </c>
      <c r="O3402" t="s">
        <v>10452</v>
      </c>
      <c r="T3402" t="s">
        <v>10453</v>
      </c>
    </row>
    <row r="3403" spans="1:20" x14ac:dyDescent="0.25">
      <c r="A3403" t="str">
        <f>"3050649"</f>
        <v>3050649</v>
      </c>
      <c r="B3403" t="s">
        <v>10456</v>
      </c>
      <c r="C3403" t="str">
        <f>"70212000"</f>
        <v>70212000</v>
      </c>
      <c r="D3403" t="s">
        <v>10457</v>
      </c>
      <c r="F3403" t="s">
        <v>10458</v>
      </c>
      <c r="I3403" t="s">
        <v>184</v>
      </c>
      <c r="J3403" t="s">
        <v>30</v>
      </c>
      <c r="K3403" t="s">
        <v>10459</v>
      </c>
      <c r="M3403" t="s">
        <v>32</v>
      </c>
      <c r="N3403" t="str">
        <f>"3/9/2005 12:00:00 AM"</f>
        <v>3/9/2005 12:00:00 AM</v>
      </c>
      <c r="O3403" t="s">
        <v>10457</v>
      </c>
    </row>
    <row r="3404" spans="1:20" x14ac:dyDescent="0.25">
      <c r="A3404" t="str">
        <f>"3050549"</f>
        <v>3050549</v>
      </c>
      <c r="B3404" t="s">
        <v>10460</v>
      </c>
      <c r="C3404" t="str">
        <f>"82519296"</f>
        <v>82519296</v>
      </c>
      <c r="D3404" t="s">
        <v>10461</v>
      </c>
      <c r="E3404" t="s">
        <v>10462</v>
      </c>
      <c r="F3404" t="s">
        <v>10463</v>
      </c>
      <c r="I3404" t="s">
        <v>184</v>
      </c>
      <c r="J3404" t="s">
        <v>30</v>
      </c>
      <c r="K3404" t="s">
        <v>10464</v>
      </c>
      <c r="M3404" t="s">
        <v>32</v>
      </c>
      <c r="N3404" t="str">
        <f>"11/27/2007 12:00:00 AM"</f>
        <v>11/27/2007 12:00:00 AM</v>
      </c>
      <c r="O3404" t="s">
        <v>10461</v>
      </c>
      <c r="T3404" t="s">
        <v>10462</v>
      </c>
    </row>
    <row r="3405" spans="1:20" x14ac:dyDescent="0.25">
      <c r="A3405" t="str">
        <f>"3050982"</f>
        <v>3050982</v>
      </c>
      <c r="B3405" t="s">
        <v>10465</v>
      </c>
      <c r="C3405" t="str">
        <f>"82519296"</f>
        <v>82519296</v>
      </c>
      <c r="D3405" t="s">
        <v>10461</v>
      </c>
      <c r="E3405" t="s">
        <v>10462</v>
      </c>
      <c r="F3405" t="s">
        <v>10463</v>
      </c>
      <c r="I3405" t="s">
        <v>184</v>
      </c>
      <c r="J3405" t="s">
        <v>30</v>
      </c>
      <c r="K3405" t="s">
        <v>10464</v>
      </c>
      <c r="M3405" t="s">
        <v>32</v>
      </c>
      <c r="N3405" t="str">
        <f>"11/27/2007 12:00:00 AM"</f>
        <v>11/27/2007 12:00:00 AM</v>
      </c>
      <c r="O3405" t="s">
        <v>10461</v>
      </c>
      <c r="T3405" t="s">
        <v>10462</v>
      </c>
    </row>
    <row r="3406" spans="1:20" x14ac:dyDescent="0.25">
      <c r="A3406" t="str">
        <f>"3047942"</f>
        <v>3047942</v>
      </c>
      <c r="B3406" t="s">
        <v>10466</v>
      </c>
      <c r="C3406" t="str">
        <f>"3550000"</f>
        <v>3550000</v>
      </c>
      <c r="D3406" t="s">
        <v>10467</v>
      </c>
      <c r="F3406" t="s">
        <v>10468</v>
      </c>
      <c r="I3406" t="s">
        <v>184</v>
      </c>
      <c r="J3406" t="s">
        <v>30</v>
      </c>
      <c r="K3406" t="s">
        <v>185</v>
      </c>
      <c r="M3406" t="s">
        <v>32</v>
      </c>
      <c r="N3406" t="str">
        <f>"12/9/2004 12:00:00 AM"</f>
        <v>12/9/2004 12:00:00 AM</v>
      </c>
      <c r="O3406" t="s">
        <v>10467</v>
      </c>
    </row>
    <row r="3407" spans="1:20" x14ac:dyDescent="0.25">
      <c r="A3407" t="str">
        <f>"3047671"</f>
        <v>3047671</v>
      </c>
      <c r="B3407" t="s">
        <v>10469</v>
      </c>
      <c r="C3407" t="str">
        <f>"3550000"</f>
        <v>3550000</v>
      </c>
      <c r="D3407" t="s">
        <v>10467</v>
      </c>
      <c r="F3407" t="s">
        <v>10468</v>
      </c>
      <c r="I3407" t="s">
        <v>184</v>
      </c>
      <c r="J3407" t="s">
        <v>30</v>
      </c>
      <c r="K3407" t="s">
        <v>185</v>
      </c>
      <c r="M3407" t="s">
        <v>32</v>
      </c>
      <c r="N3407" t="str">
        <f>"12/9/2004 12:00:00 AM"</f>
        <v>12/9/2004 12:00:00 AM</v>
      </c>
      <c r="O3407" t="s">
        <v>10467</v>
      </c>
    </row>
    <row r="3408" spans="1:20" x14ac:dyDescent="0.25">
      <c r="A3408" t="str">
        <f>"3047669"</f>
        <v>3047669</v>
      </c>
      <c r="B3408" t="s">
        <v>10470</v>
      </c>
      <c r="C3408" t="str">
        <f>"3550000"</f>
        <v>3550000</v>
      </c>
      <c r="D3408" t="s">
        <v>10467</v>
      </c>
      <c r="F3408" t="s">
        <v>10468</v>
      </c>
      <c r="I3408" t="s">
        <v>184</v>
      </c>
      <c r="J3408" t="s">
        <v>30</v>
      </c>
      <c r="K3408" t="s">
        <v>185</v>
      </c>
      <c r="M3408" t="s">
        <v>32</v>
      </c>
      <c r="N3408" t="str">
        <f>"12/9/2004 12:00:00 AM"</f>
        <v>12/9/2004 12:00:00 AM</v>
      </c>
      <c r="O3408" t="s">
        <v>10467</v>
      </c>
    </row>
    <row r="3409" spans="1:20" x14ac:dyDescent="0.25">
      <c r="A3409" t="str">
        <f>"3050897"</f>
        <v>3050897</v>
      </c>
      <c r="B3409" t="s">
        <v>10471</v>
      </c>
      <c r="C3409" t="str">
        <f>"8220000"</f>
        <v>8220000</v>
      </c>
      <c r="D3409" t="s">
        <v>10472</v>
      </c>
      <c r="E3409" t="s">
        <v>10473</v>
      </c>
      <c r="F3409" t="s">
        <v>10474</v>
      </c>
      <c r="I3409" t="s">
        <v>184</v>
      </c>
      <c r="J3409" t="s">
        <v>30</v>
      </c>
      <c r="K3409" t="s">
        <v>185</v>
      </c>
      <c r="M3409" t="s">
        <v>32</v>
      </c>
      <c r="N3409" t="str">
        <f>"6/4/2003 12:00:00 AM"</f>
        <v>6/4/2003 12:00:00 AM</v>
      </c>
      <c r="O3409" t="s">
        <v>10472</v>
      </c>
      <c r="T3409" t="s">
        <v>10473</v>
      </c>
    </row>
    <row r="3410" spans="1:20" x14ac:dyDescent="0.25">
      <c r="A3410" t="str">
        <f>"3047103"</f>
        <v>3047103</v>
      </c>
      <c r="B3410" t="s">
        <v>10475</v>
      </c>
      <c r="C3410" t="str">
        <f>"49846000"</f>
        <v>49846000</v>
      </c>
      <c r="D3410" t="s">
        <v>10476</v>
      </c>
      <c r="E3410" t="s">
        <v>10477</v>
      </c>
      <c r="F3410" t="s">
        <v>10478</v>
      </c>
      <c r="I3410" t="s">
        <v>29</v>
      </c>
      <c r="J3410" t="s">
        <v>30</v>
      </c>
      <c r="K3410" t="s">
        <v>31</v>
      </c>
      <c r="M3410" t="s">
        <v>32</v>
      </c>
      <c r="N3410" t="str">
        <f>"5/1/2009 12:00:00 AM"</f>
        <v>5/1/2009 12:00:00 AM</v>
      </c>
      <c r="O3410" t="s">
        <v>10476</v>
      </c>
      <c r="T3410" t="s">
        <v>10477</v>
      </c>
    </row>
    <row r="3411" spans="1:20" x14ac:dyDescent="0.25">
      <c r="A3411" t="str">
        <f>"3047548"</f>
        <v>3047548</v>
      </c>
      <c r="B3411" t="s">
        <v>10479</v>
      </c>
      <c r="C3411" t="str">
        <f>"82523147"</f>
        <v>82523147</v>
      </c>
      <c r="D3411" t="s">
        <v>10480</v>
      </c>
      <c r="F3411" t="s">
        <v>10481</v>
      </c>
      <c r="I3411" t="s">
        <v>2280</v>
      </c>
      <c r="J3411" t="s">
        <v>30</v>
      </c>
      <c r="K3411" t="s">
        <v>10482</v>
      </c>
      <c r="M3411" t="s">
        <v>32</v>
      </c>
      <c r="N3411" t="str">
        <f>"2/3/2005 12:00:00 AM"</f>
        <v>2/3/2005 12:00:00 AM</v>
      </c>
      <c r="O3411" t="s">
        <v>10480</v>
      </c>
    </row>
    <row r="3412" spans="1:20" x14ac:dyDescent="0.25">
      <c r="A3412" t="str">
        <f>"3047786"</f>
        <v>3047786</v>
      </c>
      <c r="B3412" t="s">
        <v>10483</v>
      </c>
      <c r="C3412" t="str">
        <f>"15932000"</f>
        <v>15932000</v>
      </c>
      <c r="D3412" t="s">
        <v>10484</v>
      </c>
      <c r="E3412" t="s">
        <v>10485</v>
      </c>
      <c r="F3412" t="s">
        <v>8600</v>
      </c>
      <c r="I3412" t="s">
        <v>184</v>
      </c>
      <c r="J3412" t="s">
        <v>30</v>
      </c>
      <c r="K3412" t="s">
        <v>185</v>
      </c>
      <c r="M3412" t="s">
        <v>32</v>
      </c>
      <c r="N3412" t="str">
        <f>"1/22/2004 12:00:00 AM"</f>
        <v>1/22/2004 12:00:00 AM</v>
      </c>
      <c r="O3412" t="s">
        <v>10484</v>
      </c>
      <c r="T3412" t="s">
        <v>10485</v>
      </c>
    </row>
    <row r="3413" spans="1:20" x14ac:dyDescent="0.25">
      <c r="A3413" t="str">
        <f>"3068043"</f>
        <v>3068043</v>
      </c>
      <c r="B3413" t="s">
        <v>10486</v>
      </c>
      <c r="C3413" t="str">
        <f>"82528996"</f>
        <v>82528996</v>
      </c>
      <c r="D3413" t="s">
        <v>10487</v>
      </c>
      <c r="E3413" t="s">
        <v>10488</v>
      </c>
      <c r="F3413" t="s">
        <v>10489</v>
      </c>
      <c r="I3413" t="s">
        <v>184</v>
      </c>
      <c r="J3413" t="s">
        <v>30</v>
      </c>
      <c r="K3413" t="s">
        <v>185</v>
      </c>
      <c r="M3413" t="s">
        <v>32</v>
      </c>
      <c r="N3413" t="str">
        <f>"12/27/2007 12:00:00 AM"</f>
        <v>12/27/2007 12:00:00 AM</v>
      </c>
      <c r="O3413" t="s">
        <v>10487</v>
      </c>
      <c r="T3413" t="s">
        <v>10488</v>
      </c>
    </row>
    <row r="3414" spans="1:20" x14ac:dyDescent="0.25">
      <c r="A3414" t="str">
        <f>"3048132"</f>
        <v>3048132</v>
      </c>
      <c r="B3414" t="s">
        <v>10490</v>
      </c>
      <c r="C3414" t="str">
        <f>"82525079"</f>
        <v>82525079</v>
      </c>
      <c r="D3414" t="s">
        <v>10491</v>
      </c>
      <c r="E3414" t="s">
        <v>10492</v>
      </c>
      <c r="F3414" t="s">
        <v>10493</v>
      </c>
      <c r="I3414" t="s">
        <v>184</v>
      </c>
      <c r="J3414" t="s">
        <v>30</v>
      </c>
      <c r="K3414" t="s">
        <v>10494</v>
      </c>
      <c r="M3414" t="s">
        <v>32</v>
      </c>
      <c r="N3414" t="str">
        <f>"5/14/2008 12:00:00 AM"</f>
        <v>5/14/2008 12:00:00 AM</v>
      </c>
      <c r="O3414" t="s">
        <v>10491</v>
      </c>
      <c r="T3414" t="s">
        <v>10492</v>
      </c>
    </row>
    <row r="3415" spans="1:20" x14ac:dyDescent="0.25">
      <c r="A3415" t="str">
        <f>"3048081"</f>
        <v>3048081</v>
      </c>
      <c r="B3415" t="s">
        <v>10495</v>
      </c>
      <c r="C3415" t="str">
        <f>"82522550"</f>
        <v>82522550</v>
      </c>
      <c r="D3415" t="s">
        <v>10492</v>
      </c>
      <c r="F3415" t="s">
        <v>10496</v>
      </c>
      <c r="I3415" t="s">
        <v>184</v>
      </c>
      <c r="J3415" t="s">
        <v>30</v>
      </c>
      <c r="K3415" t="s">
        <v>10494</v>
      </c>
      <c r="M3415" t="s">
        <v>32</v>
      </c>
      <c r="N3415" t="str">
        <f>"1/24/2006 12:00:00 AM"</f>
        <v>1/24/2006 12:00:00 AM</v>
      </c>
      <c r="O3415" t="s">
        <v>10492</v>
      </c>
    </row>
    <row r="3416" spans="1:20" x14ac:dyDescent="0.25">
      <c r="A3416" t="str">
        <f>"3048075"</f>
        <v>3048075</v>
      </c>
      <c r="B3416" t="s">
        <v>10497</v>
      </c>
      <c r="C3416" t="str">
        <f>"82522958"</f>
        <v>82522958</v>
      </c>
      <c r="D3416" t="s">
        <v>10498</v>
      </c>
      <c r="E3416" t="s">
        <v>10499</v>
      </c>
      <c r="F3416" t="s">
        <v>10500</v>
      </c>
      <c r="I3416" t="s">
        <v>184</v>
      </c>
      <c r="J3416" t="s">
        <v>30</v>
      </c>
      <c r="K3416" t="s">
        <v>185</v>
      </c>
      <c r="M3416" t="s">
        <v>32</v>
      </c>
      <c r="N3416" t="str">
        <f>"12/4/2006 12:00:00 AM"</f>
        <v>12/4/2006 12:00:00 AM</v>
      </c>
      <c r="O3416" t="s">
        <v>10498</v>
      </c>
      <c r="T3416" t="s">
        <v>10499</v>
      </c>
    </row>
    <row r="3417" spans="1:20" x14ac:dyDescent="0.25">
      <c r="A3417" t="str">
        <f>"3048005"</f>
        <v>3048005</v>
      </c>
      <c r="B3417" t="s">
        <v>10501</v>
      </c>
      <c r="C3417" t="str">
        <f>"58244000"</f>
        <v>58244000</v>
      </c>
      <c r="D3417" t="s">
        <v>10502</v>
      </c>
      <c r="F3417" t="s">
        <v>3168</v>
      </c>
      <c r="I3417" t="s">
        <v>471</v>
      </c>
      <c r="J3417" t="s">
        <v>30</v>
      </c>
      <c r="K3417" t="s">
        <v>3169</v>
      </c>
      <c r="M3417" t="s">
        <v>32</v>
      </c>
      <c r="N3417" t="str">
        <f>"9/30/2009 12:00:00 AM"</f>
        <v>9/30/2009 12:00:00 AM</v>
      </c>
      <c r="O3417" t="s">
        <v>10502</v>
      </c>
    </row>
    <row r="3418" spans="1:20" x14ac:dyDescent="0.25">
      <c r="A3418" t="str">
        <f>"3050605"</f>
        <v>3050605</v>
      </c>
      <c r="B3418" t="s">
        <v>10503</v>
      </c>
      <c r="C3418" t="str">
        <f>"58244000"</f>
        <v>58244000</v>
      </c>
      <c r="D3418" t="s">
        <v>10502</v>
      </c>
      <c r="F3418" t="s">
        <v>3168</v>
      </c>
      <c r="I3418" t="s">
        <v>471</v>
      </c>
      <c r="J3418" t="s">
        <v>30</v>
      </c>
      <c r="K3418" t="s">
        <v>3169</v>
      </c>
      <c r="M3418" t="s">
        <v>32</v>
      </c>
      <c r="N3418" t="str">
        <f>"9/30/2009 12:00:00 AM"</f>
        <v>9/30/2009 12:00:00 AM</v>
      </c>
      <c r="O3418" t="s">
        <v>10502</v>
      </c>
    </row>
    <row r="3419" spans="1:20" x14ac:dyDescent="0.25">
      <c r="A3419" t="str">
        <f>"3047973"</f>
        <v>3047973</v>
      </c>
      <c r="B3419" t="s">
        <v>10504</v>
      </c>
      <c r="C3419" t="str">
        <f>"82515202"</f>
        <v>82515202</v>
      </c>
      <c r="D3419" t="s">
        <v>10505</v>
      </c>
      <c r="F3419" t="s">
        <v>10506</v>
      </c>
      <c r="I3419" t="s">
        <v>184</v>
      </c>
      <c r="J3419" t="s">
        <v>30</v>
      </c>
      <c r="K3419" t="s">
        <v>185</v>
      </c>
      <c r="M3419" t="s">
        <v>32</v>
      </c>
      <c r="N3419" t="str">
        <f>"7/30/2004 12:00:00 AM"</f>
        <v>7/30/2004 12:00:00 AM</v>
      </c>
      <c r="O3419" t="s">
        <v>10505</v>
      </c>
    </row>
    <row r="3420" spans="1:20" x14ac:dyDescent="0.25">
      <c r="A3420" t="str">
        <f>"3048301"</f>
        <v>3048301</v>
      </c>
      <c r="B3420" t="s">
        <v>10507</v>
      </c>
      <c r="C3420" t="str">
        <f>"82517440"</f>
        <v>82517440</v>
      </c>
      <c r="D3420" t="s">
        <v>10508</v>
      </c>
      <c r="E3420" t="s">
        <v>10509</v>
      </c>
      <c r="F3420" t="s">
        <v>10510</v>
      </c>
      <c r="I3420" t="s">
        <v>184</v>
      </c>
      <c r="J3420" t="s">
        <v>30</v>
      </c>
      <c r="K3420" t="s">
        <v>10511</v>
      </c>
      <c r="M3420" t="s">
        <v>32</v>
      </c>
      <c r="N3420" t="str">
        <f>"1/7/2009 12:00:00 AM"</f>
        <v>1/7/2009 12:00:00 AM</v>
      </c>
      <c r="O3420" t="s">
        <v>10508</v>
      </c>
      <c r="T3420" t="s">
        <v>10509</v>
      </c>
    </row>
    <row r="3421" spans="1:20" x14ac:dyDescent="0.25">
      <c r="A3421" t="str">
        <f>"3048136"</f>
        <v>3048136</v>
      </c>
      <c r="B3421" t="s">
        <v>10512</v>
      </c>
      <c r="C3421" t="str">
        <f>"38514000"</f>
        <v>38514000</v>
      </c>
      <c r="D3421" t="s">
        <v>10513</v>
      </c>
      <c r="F3421" t="s">
        <v>10514</v>
      </c>
      <c r="I3421" t="s">
        <v>184</v>
      </c>
      <c r="J3421" t="s">
        <v>30</v>
      </c>
      <c r="K3421" t="s">
        <v>185</v>
      </c>
      <c r="M3421" t="s">
        <v>32</v>
      </c>
      <c r="N3421" t="str">
        <f>"8/15/2007 12:00:00 AM"</f>
        <v>8/15/2007 12:00:00 AM</v>
      </c>
      <c r="O3421" t="s">
        <v>10513</v>
      </c>
    </row>
    <row r="3422" spans="1:20" x14ac:dyDescent="0.25">
      <c r="A3422" t="str">
        <f>"3048042"</f>
        <v>3048042</v>
      </c>
      <c r="B3422" t="s">
        <v>10515</v>
      </c>
      <c r="C3422" t="str">
        <f>"82525245"</f>
        <v>82525245</v>
      </c>
      <c r="D3422" t="s">
        <v>10516</v>
      </c>
      <c r="E3422" t="s">
        <v>10517</v>
      </c>
      <c r="F3422" t="s">
        <v>10518</v>
      </c>
      <c r="I3422" t="s">
        <v>184</v>
      </c>
      <c r="J3422" t="s">
        <v>30</v>
      </c>
      <c r="K3422" t="s">
        <v>185</v>
      </c>
      <c r="M3422" t="s">
        <v>32</v>
      </c>
      <c r="N3422" t="str">
        <f>"10/24/2005 12:00:00 AM"</f>
        <v>10/24/2005 12:00:00 AM</v>
      </c>
      <c r="O3422" t="s">
        <v>10516</v>
      </c>
      <c r="T3422" t="s">
        <v>10517</v>
      </c>
    </row>
    <row r="3423" spans="1:20" x14ac:dyDescent="0.25">
      <c r="A3423" t="str">
        <f>"3047212"</f>
        <v>3047212</v>
      </c>
      <c r="B3423" t="s">
        <v>10519</v>
      </c>
      <c r="C3423" t="str">
        <f>"53412000"</f>
        <v>53412000</v>
      </c>
      <c r="D3423" t="s">
        <v>10520</v>
      </c>
      <c r="F3423" t="str">
        <f>"C/O GARNETTE N CHAPMAN"</f>
        <v>C/O GARNETTE N CHAPMAN</v>
      </c>
      <c r="G3423" t="s">
        <v>10289</v>
      </c>
      <c r="I3423" t="s">
        <v>29</v>
      </c>
      <c r="J3423" t="s">
        <v>30</v>
      </c>
      <c r="K3423" t="s">
        <v>10521</v>
      </c>
      <c r="M3423" t="s">
        <v>32</v>
      </c>
      <c r="N3423" t="str">
        <f>"2/15/2005 12:00:00 AM"</f>
        <v>2/15/2005 12:00:00 AM</v>
      </c>
      <c r="O3423" t="s">
        <v>10520</v>
      </c>
    </row>
    <row r="3424" spans="1:20" x14ac:dyDescent="0.25">
      <c r="A3424" t="str">
        <f>"3050755"</f>
        <v>3050755</v>
      </c>
      <c r="B3424" t="s">
        <v>10522</v>
      </c>
      <c r="C3424" t="str">
        <f>"82519806"</f>
        <v>82519806</v>
      </c>
      <c r="D3424" t="s">
        <v>10523</v>
      </c>
      <c r="E3424" t="s">
        <v>10524</v>
      </c>
      <c r="F3424" t="s">
        <v>10525</v>
      </c>
      <c r="I3424" t="s">
        <v>184</v>
      </c>
      <c r="J3424" t="s">
        <v>30</v>
      </c>
      <c r="K3424" t="s">
        <v>185</v>
      </c>
      <c r="M3424" t="s">
        <v>32</v>
      </c>
      <c r="N3424" t="str">
        <f>"11/27/2002 12:00:00 AM"</f>
        <v>11/27/2002 12:00:00 AM</v>
      </c>
      <c r="O3424" t="s">
        <v>10523</v>
      </c>
      <c r="T3424" t="s">
        <v>10524</v>
      </c>
    </row>
    <row r="3425" spans="1:20" x14ac:dyDescent="0.25">
      <c r="A3425" t="str">
        <f>"3050736"</f>
        <v>3050736</v>
      </c>
      <c r="B3425" t="s">
        <v>10526</v>
      </c>
      <c r="C3425" t="str">
        <f>"82523341"</f>
        <v>82523341</v>
      </c>
      <c r="D3425" t="s">
        <v>10527</v>
      </c>
      <c r="E3425" t="s">
        <v>10528</v>
      </c>
      <c r="F3425" t="s">
        <v>10529</v>
      </c>
      <c r="I3425" t="s">
        <v>184</v>
      </c>
      <c r="J3425" t="s">
        <v>30</v>
      </c>
      <c r="K3425" t="s">
        <v>10530</v>
      </c>
      <c r="N3425" t="str">
        <f>"2/18/2005 12:00:00 AM"</f>
        <v>2/18/2005 12:00:00 AM</v>
      </c>
      <c r="O3425" t="s">
        <v>10527</v>
      </c>
      <c r="T3425" t="s">
        <v>10528</v>
      </c>
    </row>
    <row r="3426" spans="1:20" x14ac:dyDescent="0.25">
      <c r="A3426" t="str">
        <f>"3050758"</f>
        <v>3050758</v>
      </c>
      <c r="B3426" t="s">
        <v>10531</v>
      </c>
      <c r="C3426" t="str">
        <f>"2676000"</f>
        <v>2676000</v>
      </c>
      <c r="D3426" t="s">
        <v>10532</v>
      </c>
      <c r="E3426" t="s">
        <v>10533</v>
      </c>
      <c r="F3426" t="s">
        <v>10534</v>
      </c>
      <c r="I3426" t="s">
        <v>184</v>
      </c>
      <c r="J3426" t="s">
        <v>30</v>
      </c>
      <c r="K3426" t="s">
        <v>185</v>
      </c>
      <c r="M3426" t="s">
        <v>32</v>
      </c>
      <c r="N3426" t="str">
        <f>"1/22/2004 12:00:00 AM"</f>
        <v>1/22/2004 12:00:00 AM</v>
      </c>
      <c r="O3426" t="s">
        <v>10532</v>
      </c>
      <c r="T3426" t="s">
        <v>10533</v>
      </c>
    </row>
    <row r="3427" spans="1:20" x14ac:dyDescent="0.25">
      <c r="A3427" t="str">
        <f>"3050698"</f>
        <v>3050698</v>
      </c>
      <c r="B3427" t="s">
        <v>10535</v>
      </c>
      <c r="C3427" t="str">
        <f>"82527264"</f>
        <v>82527264</v>
      </c>
      <c r="D3427" t="s">
        <v>10536</v>
      </c>
      <c r="F3427" t="s">
        <v>10537</v>
      </c>
      <c r="I3427" t="s">
        <v>184</v>
      </c>
      <c r="J3427" t="s">
        <v>30</v>
      </c>
      <c r="K3427" t="s">
        <v>185</v>
      </c>
      <c r="M3427" t="s">
        <v>32</v>
      </c>
      <c r="N3427" t="str">
        <f>"12/13/2006 12:00:00 AM"</f>
        <v>12/13/2006 12:00:00 AM</v>
      </c>
      <c r="O3427" t="s">
        <v>10536</v>
      </c>
    </row>
    <row r="3428" spans="1:20" x14ac:dyDescent="0.25">
      <c r="A3428" t="str">
        <f>"3046594"</f>
        <v>3046594</v>
      </c>
      <c r="B3428" t="s">
        <v>10538</v>
      </c>
      <c r="C3428" t="str">
        <f>"82515886"</f>
        <v>82515886</v>
      </c>
      <c r="D3428" t="s">
        <v>8420</v>
      </c>
      <c r="F3428" t="s">
        <v>8422</v>
      </c>
      <c r="I3428" t="s">
        <v>29</v>
      </c>
      <c r="J3428" t="s">
        <v>30</v>
      </c>
      <c r="K3428" t="s">
        <v>31</v>
      </c>
      <c r="M3428" t="s">
        <v>32</v>
      </c>
      <c r="N3428" t="str">
        <f>"8/9/2002 12:00:00 AM"</f>
        <v>8/9/2002 12:00:00 AM</v>
      </c>
      <c r="O3428" t="s">
        <v>8420</v>
      </c>
    </row>
    <row r="3429" spans="1:20" x14ac:dyDescent="0.25">
      <c r="A3429" t="str">
        <f>"3047968"</f>
        <v>3047968</v>
      </c>
      <c r="B3429" t="s">
        <v>10539</v>
      </c>
      <c r="C3429" t="str">
        <f>"49844500"</f>
        <v>49844500</v>
      </c>
      <c r="D3429" t="s">
        <v>10540</v>
      </c>
      <c r="E3429" t="s">
        <v>10541</v>
      </c>
      <c r="F3429" t="s">
        <v>10542</v>
      </c>
      <c r="I3429" t="s">
        <v>184</v>
      </c>
      <c r="J3429" t="s">
        <v>30</v>
      </c>
      <c r="K3429" t="s">
        <v>185</v>
      </c>
      <c r="M3429" t="s">
        <v>32</v>
      </c>
      <c r="N3429" t="str">
        <f>"5/19/2010 12:00:00 AM"</f>
        <v>5/19/2010 12:00:00 AM</v>
      </c>
      <c r="O3429" t="s">
        <v>10540</v>
      </c>
      <c r="T3429" t="s">
        <v>10541</v>
      </c>
    </row>
    <row r="3430" spans="1:20" x14ac:dyDescent="0.25">
      <c r="A3430" t="str">
        <f>"3050701"</f>
        <v>3050701</v>
      </c>
      <c r="B3430" t="s">
        <v>10543</v>
      </c>
      <c r="C3430" t="str">
        <f>"82526089"</f>
        <v>82526089</v>
      </c>
      <c r="D3430" t="s">
        <v>10544</v>
      </c>
      <c r="F3430" t="s">
        <v>10545</v>
      </c>
      <c r="I3430" t="s">
        <v>184</v>
      </c>
      <c r="J3430" t="s">
        <v>30</v>
      </c>
      <c r="K3430" t="s">
        <v>185</v>
      </c>
      <c r="N3430" t="str">
        <f>"4/27/2006 12:00:00 AM"</f>
        <v>4/27/2006 12:00:00 AM</v>
      </c>
      <c r="O3430" t="s">
        <v>10544</v>
      </c>
    </row>
    <row r="3431" spans="1:20" x14ac:dyDescent="0.25">
      <c r="A3431" t="str">
        <f>"3050660"</f>
        <v>3050660</v>
      </c>
      <c r="B3431" t="s">
        <v>10546</v>
      </c>
      <c r="C3431" t="str">
        <f>"39390000"</f>
        <v>39390000</v>
      </c>
      <c r="D3431" t="s">
        <v>10547</v>
      </c>
      <c r="E3431" t="s">
        <v>10548</v>
      </c>
      <c r="F3431" t="s">
        <v>10549</v>
      </c>
      <c r="I3431" t="s">
        <v>184</v>
      </c>
      <c r="J3431" t="s">
        <v>30</v>
      </c>
      <c r="K3431" t="s">
        <v>10550</v>
      </c>
      <c r="M3431" t="s">
        <v>32</v>
      </c>
      <c r="N3431" t="str">
        <f>"3/4/2005 12:00:00 AM"</f>
        <v>3/4/2005 12:00:00 AM</v>
      </c>
      <c r="O3431" t="s">
        <v>10547</v>
      </c>
      <c r="T3431" t="s">
        <v>10548</v>
      </c>
    </row>
    <row r="3432" spans="1:20" x14ac:dyDescent="0.25">
      <c r="A3432" t="str">
        <f>"3050713"</f>
        <v>3050713</v>
      </c>
      <c r="B3432" t="s">
        <v>10551</v>
      </c>
      <c r="C3432" t="str">
        <f>"82522318"</f>
        <v>82522318</v>
      </c>
      <c r="D3432" t="s">
        <v>10552</v>
      </c>
      <c r="E3432" t="s">
        <v>10553</v>
      </c>
      <c r="F3432" t="s">
        <v>10554</v>
      </c>
      <c r="I3432" t="s">
        <v>184</v>
      </c>
      <c r="J3432" t="s">
        <v>30</v>
      </c>
      <c r="K3432" t="s">
        <v>10555</v>
      </c>
      <c r="M3432" t="s">
        <v>32</v>
      </c>
      <c r="N3432" t="str">
        <f>"8/26/2005 12:00:00 AM"</f>
        <v>8/26/2005 12:00:00 AM</v>
      </c>
      <c r="O3432" t="s">
        <v>10552</v>
      </c>
      <c r="T3432" t="s">
        <v>10553</v>
      </c>
    </row>
    <row r="3433" spans="1:20" x14ac:dyDescent="0.25">
      <c r="A3433" t="str">
        <f>"3050716"</f>
        <v>3050716</v>
      </c>
      <c r="B3433" t="s">
        <v>10556</v>
      </c>
      <c r="C3433" t="str">
        <f>"82526272"</f>
        <v>82526272</v>
      </c>
      <c r="D3433" t="s">
        <v>10557</v>
      </c>
      <c r="E3433" t="s">
        <v>10558</v>
      </c>
      <c r="F3433" t="s">
        <v>10559</v>
      </c>
      <c r="I3433" t="s">
        <v>184</v>
      </c>
      <c r="J3433" t="s">
        <v>30</v>
      </c>
      <c r="K3433" t="s">
        <v>185</v>
      </c>
      <c r="N3433" t="str">
        <f>"2/13/2007 12:00:00 AM"</f>
        <v>2/13/2007 12:00:00 AM</v>
      </c>
      <c r="O3433" t="s">
        <v>10557</v>
      </c>
      <c r="T3433" t="s">
        <v>10558</v>
      </c>
    </row>
    <row r="3434" spans="1:20" x14ac:dyDescent="0.25">
      <c r="A3434" t="str">
        <f>"3050717"</f>
        <v>3050717</v>
      </c>
      <c r="B3434" t="s">
        <v>10560</v>
      </c>
      <c r="C3434" t="str">
        <f>"82514430"</f>
        <v>82514430</v>
      </c>
      <c r="D3434" t="s">
        <v>10561</v>
      </c>
      <c r="E3434" t="s">
        <v>10562</v>
      </c>
      <c r="F3434" t="s">
        <v>10563</v>
      </c>
      <c r="I3434" t="s">
        <v>184</v>
      </c>
      <c r="J3434" t="s">
        <v>30</v>
      </c>
      <c r="K3434" t="s">
        <v>185</v>
      </c>
      <c r="M3434" t="s">
        <v>32</v>
      </c>
      <c r="N3434" t="str">
        <f>"11/16/2001 12:00:00 AM"</f>
        <v>11/16/2001 12:00:00 AM</v>
      </c>
      <c r="O3434" t="s">
        <v>10561</v>
      </c>
      <c r="T3434" t="s">
        <v>10562</v>
      </c>
    </row>
    <row r="3435" spans="1:20" x14ac:dyDescent="0.25">
      <c r="A3435" t="str">
        <f>"3050718"</f>
        <v>3050718</v>
      </c>
      <c r="B3435" t="s">
        <v>10564</v>
      </c>
      <c r="C3435" t="str">
        <f>"82523988"</f>
        <v>82523988</v>
      </c>
      <c r="D3435" t="s">
        <v>10565</v>
      </c>
      <c r="E3435" t="s">
        <v>10566</v>
      </c>
      <c r="F3435" t="s">
        <v>10567</v>
      </c>
      <c r="I3435" t="s">
        <v>184</v>
      </c>
      <c r="J3435" t="s">
        <v>30</v>
      </c>
      <c r="K3435" t="s">
        <v>10568</v>
      </c>
      <c r="N3435" t="str">
        <f>"1/17/2006 12:00:00 AM"</f>
        <v>1/17/2006 12:00:00 AM</v>
      </c>
      <c r="O3435" t="s">
        <v>10565</v>
      </c>
      <c r="T3435" t="s">
        <v>10566</v>
      </c>
    </row>
    <row r="3436" spans="1:20" x14ac:dyDescent="0.25">
      <c r="A3436" t="str">
        <f>"3050720"</f>
        <v>3050720</v>
      </c>
      <c r="B3436" t="s">
        <v>10569</v>
      </c>
      <c r="C3436" t="str">
        <f>"82521335"</f>
        <v>82521335</v>
      </c>
      <c r="D3436" t="s">
        <v>10570</v>
      </c>
      <c r="E3436" t="s">
        <v>10571</v>
      </c>
      <c r="F3436" t="s">
        <v>10572</v>
      </c>
      <c r="I3436" t="s">
        <v>184</v>
      </c>
      <c r="J3436" t="s">
        <v>30</v>
      </c>
      <c r="K3436" t="s">
        <v>185</v>
      </c>
      <c r="M3436" t="s">
        <v>32</v>
      </c>
      <c r="N3436" t="str">
        <f>"8/20/2003 12:00:00 AM"</f>
        <v>8/20/2003 12:00:00 AM</v>
      </c>
      <c r="O3436" t="s">
        <v>10570</v>
      </c>
      <c r="T3436" t="s">
        <v>10571</v>
      </c>
    </row>
    <row r="3437" spans="1:20" x14ac:dyDescent="0.25">
      <c r="A3437" t="str">
        <f>"3059973"</f>
        <v>3059973</v>
      </c>
      <c r="B3437" t="s">
        <v>10573</v>
      </c>
      <c r="C3437" t="str">
        <f>"25483830"</f>
        <v>25483830</v>
      </c>
      <c r="D3437" t="s">
        <v>10574</v>
      </c>
      <c r="F3437" t="s">
        <v>10575</v>
      </c>
      <c r="I3437" t="s">
        <v>184</v>
      </c>
      <c r="J3437" t="s">
        <v>30</v>
      </c>
      <c r="K3437" t="s">
        <v>185</v>
      </c>
      <c r="M3437" t="s">
        <v>32</v>
      </c>
      <c r="N3437" t="str">
        <f>"9/28/2007 12:00:00 AM"</f>
        <v>9/28/2007 12:00:00 AM</v>
      </c>
      <c r="O3437" t="s">
        <v>10574</v>
      </c>
    </row>
    <row r="3438" spans="1:20" x14ac:dyDescent="0.25">
      <c r="A3438" t="str">
        <f>"3050724"</f>
        <v>3050724</v>
      </c>
      <c r="B3438" t="s">
        <v>10576</v>
      </c>
      <c r="C3438" t="str">
        <f>"82517152"</f>
        <v>82517152</v>
      </c>
      <c r="D3438" t="s">
        <v>10577</v>
      </c>
      <c r="E3438" t="s">
        <v>10578</v>
      </c>
      <c r="F3438" t="s">
        <v>10579</v>
      </c>
      <c r="I3438" t="s">
        <v>184</v>
      </c>
      <c r="J3438" t="s">
        <v>30</v>
      </c>
      <c r="K3438" t="s">
        <v>185</v>
      </c>
      <c r="M3438" t="s">
        <v>32</v>
      </c>
      <c r="N3438" t="str">
        <f>"1/21/2003 12:00:00 AM"</f>
        <v>1/21/2003 12:00:00 AM</v>
      </c>
      <c r="O3438" t="s">
        <v>10577</v>
      </c>
      <c r="T3438" t="s">
        <v>10578</v>
      </c>
    </row>
    <row r="3439" spans="1:20" x14ac:dyDescent="0.25">
      <c r="A3439" t="str">
        <f>"3050705"</f>
        <v>3050705</v>
      </c>
      <c r="B3439" t="s">
        <v>10580</v>
      </c>
      <c r="C3439" t="str">
        <f>"82519164"</f>
        <v>82519164</v>
      </c>
      <c r="D3439" t="s">
        <v>10581</v>
      </c>
      <c r="E3439" t="s">
        <v>10582</v>
      </c>
      <c r="F3439" t="s">
        <v>10583</v>
      </c>
      <c r="I3439" t="s">
        <v>184</v>
      </c>
      <c r="J3439" t="s">
        <v>30</v>
      </c>
      <c r="K3439" t="s">
        <v>10584</v>
      </c>
      <c r="M3439" t="s">
        <v>32</v>
      </c>
      <c r="N3439" t="str">
        <f>"2/14/2007 12:00:00 AM"</f>
        <v>2/14/2007 12:00:00 AM</v>
      </c>
      <c r="O3439" t="s">
        <v>10581</v>
      </c>
      <c r="T3439" t="s">
        <v>10582</v>
      </c>
    </row>
    <row r="3440" spans="1:20" x14ac:dyDescent="0.25">
      <c r="A3440" t="str">
        <f>"3050708"</f>
        <v>3050708</v>
      </c>
      <c r="B3440" t="s">
        <v>10585</v>
      </c>
      <c r="C3440" t="str">
        <f>"82527900"</f>
        <v>82527900</v>
      </c>
      <c r="D3440" t="s">
        <v>10586</v>
      </c>
      <c r="F3440" t="s">
        <v>10587</v>
      </c>
      <c r="I3440" t="s">
        <v>184</v>
      </c>
      <c r="J3440" t="s">
        <v>30</v>
      </c>
      <c r="K3440" t="s">
        <v>185</v>
      </c>
      <c r="M3440" t="s">
        <v>32</v>
      </c>
      <c r="N3440" t="str">
        <f>"4/25/2007 12:00:00 AM"</f>
        <v>4/25/2007 12:00:00 AM</v>
      </c>
      <c r="O3440" t="s">
        <v>10586</v>
      </c>
    </row>
    <row r="3441" spans="1:20" x14ac:dyDescent="0.25">
      <c r="A3441" t="str">
        <f>"3050725"</f>
        <v>3050725</v>
      </c>
      <c r="B3441" t="s">
        <v>10588</v>
      </c>
      <c r="C3441" t="str">
        <f>"82528650"</f>
        <v>82528650</v>
      </c>
      <c r="D3441" t="s">
        <v>10589</v>
      </c>
      <c r="F3441" t="s">
        <v>10590</v>
      </c>
      <c r="I3441" t="s">
        <v>184</v>
      </c>
      <c r="J3441" t="s">
        <v>30</v>
      </c>
      <c r="K3441" t="s">
        <v>185</v>
      </c>
      <c r="M3441" t="s">
        <v>32</v>
      </c>
      <c r="N3441" t="str">
        <f>"1/11/2008 12:00:00 AM"</f>
        <v>1/11/2008 12:00:00 AM</v>
      </c>
      <c r="O3441" t="s">
        <v>10589</v>
      </c>
    </row>
    <row r="3442" spans="1:20" x14ac:dyDescent="0.25">
      <c r="A3442" t="str">
        <f>"3050726"</f>
        <v>3050726</v>
      </c>
      <c r="B3442" t="s">
        <v>10591</v>
      </c>
      <c r="C3442" t="str">
        <f>"82521518"</f>
        <v>82521518</v>
      </c>
      <c r="D3442" t="s">
        <v>10592</v>
      </c>
      <c r="E3442" t="s">
        <v>10593</v>
      </c>
      <c r="F3442" t="s">
        <v>10594</v>
      </c>
      <c r="I3442" t="s">
        <v>184</v>
      </c>
      <c r="J3442" t="s">
        <v>30</v>
      </c>
      <c r="K3442" t="s">
        <v>10595</v>
      </c>
      <c r="N3442" t="str">
        <f>"1/24/2006 12:00:00 AM"</f>
        <v>1/24/2006 12:00:00 AM</v>
      </c>
      <c r="O3442" t="s">
        <v>10592</v>
      </c>
      <c r="T3442" t="s">
        <v>10593</v>
      </c>
    </row>
    <row r="3443" spans="1:20" x14ac:dyDescent="0.25">
      <c r="A3443" t="str">
        <f>"3057372"</f>
        <v>3057372</v>
      </c>
      <c r="B3443" t="s">
        <v>10596</v>
      </c>
      <c r="C3443" t="str">
        <f>"39623000"</f>
        <v>39623000</v>
      </c>
      <c r="D3443" t="s">
        <v>10597</v>
      </c>
      <c r="F3443" t="s">
        <v>10598</v>
      </c>
      <c r="I3443" t="s">
        <v>184</v>
      </c>
      <c r="J3443" t="s">
        <v>30</v>
      </c>
      <c r="K3443" t="s">
        <v>10599</v>
      </c>
      <c r="M3443" t="s">
        <v>32</v>
      </c>
      <c r="N3443" t="str">
        <f>"2/1/2006 12:00:00 AM"</f>
        <v>2/1/2006 12:00:00 AM</v>
      </c>
      <c r="O3443" t="s">
        <v>10597</v>
      </c>
    </row>
    <row r="3444" spans="1:20" x14ac:dyDescent="0.25">
      <c r="A3444" t="str">
        <f>"3078185"</f>
        <v>3078185</v>
      </c>
      <c r="B3444" t="s">
        <v>10600</v>
      </c>
      <c r="C3444" t="str">
        <f>"65366000"</f>
        <v>65366000</v>
      </c>
      <c r="D3444" t="s">
        <v>10601</v>
      </c>
      <c r="F3444" t="s">
        <v>10602</v>
      </c>
      <c r="I3444" t="s">
        <v>2280</v>
      </c>
      <c r="J3444" t="s">
        <v>30</v>
      </c>
      <c r="K3444" t="s">
        <v>10603</v>
      </c>
      <c r="M3444" t="s">
        <v>32</v>
      </c>
      <c r="N3444" t="str">
        <f>"11/10/2008 12:00:00 AM"</f>
        <v>11/10/2008 12:00:00 AM</v>
      </c>
      <c r="O3444" t="s">
        <v>10601</v>
      </c>
    </row>
    <row r="3445" spans="1:20" x14ac:dyDescent="0.25">
      <c r="A3445" t="str">
        <f>"3047706"</f>
        <v>3047706</v>
      </c>
      <c r="B3445" t="s">
        <v>10604</v>
      </c>
      <c r="C3445" t="str">
        <f>"82522722"</f>
        <v>82522722</v>
      </c>
      <c r="D3445" t="s">
        <v>10605</v>
      </c>
      <c r="E3445" t="s">
        <v>10606</v>
      </c>
      <c r="F3445" t="s">
        <v>10607</v>
      </c>
      <c r="I3445" t="s">
        <v>184</v>
      </c>
      <c r="J3445" t="s">
        <v>30</v>
      </c>
      <c r="K3445" t="s">
        <v>10608</v>
      </c>
      <c r="M3445" t="s">
        <v>32</v>
      </c>
      <c r="N3445" t="str">
        <f>"2/12/2007 12:00:00 AM"</f>
        <v>2/12/2007 12:00:00 AM</v>
      </c>
      <c r="O3445" t="s">
        <v>10605</v>
      </c>
      <c r="T3445" t="s">
        <v>10606</v>
      </c>
    </row>
    <row r="3446" spans="1:20" x14ac:dyDescent="0.25">
      <c r="A3446" t="str">
        <f>"3050766"</f>
        <v>3050766</v>
      </c>
      <c r="B3446" t="s">
        <v>10609</v>
      </c>
      <c r="C3446" t="str">
        <f>"82513112"</f>
        <v>82513112</v>
      </c>
      <c r="D3446" t="s">
        <v>10610</v>
      </c>
      <c r="E3446" t="s">
        <v>10611</v>
      </c>
      <c r="F3446" t="s">
        <v>10612</v>
      </c>
      <c r="I3446" t="s">
        <v>184</v>
      </c>
      <c r="J3446" t="s">
        <v>30</v>
      </c>
      <c r="K3446" t="s">
        <v>3201</v>
      </c>
      <c r="N3446" t="str">
        <f>"3/9/2005 12:00:00 AM"</f>
        <v>3/9/2005 12:00:00 AM</v>
      </c>
      <c r="O3446" t="s">
        <v>10610</v>
      </c>
      <c r="T3446" t="s">
        <v>10611</v>
      </c>
    </row>
    <row r="3447" spans="1:20" x14ac:dyDescent="0.25">
      <c r="A3447" t="str">
        <f>"3050767"</f>
        <v>3050767</v>
      </c>
      <c r="B3447" t="s">
        <v>10613</v>
      </c>
      <c r="C3447" t="str">
        <f>"3961350"</f>
        <v>3961350</v>
      </c>
      <c r="D3447" t="s">
        <v>10614</v>
      </c>
      <c r="E3447" t="s">
        <v>10615</v>
      </c>
      <c r="F3447" t="s">
        <v>3200</v>
      </c>
      <c r="I3447" t="s">
        <v>184</v>
      </c>
      <c r="J3447" t="s">
        <v>30</v>
      </c>
      <c r="K3447" t="s">
        <v>185</v>
      </c>
      <c r="M3447" t="s">
        <v>32</v>
      </c>
      <c r="N3447" t="str">
        <f>"8/13/2002 12:00:00 AM"</f>
        <v>8/13/2002 12:00:00 AM</v>
      </c>
      <c r="O3447" t="s">
        <v>10614</v>
      </c>
      <c r="T3447" t="s">
        <v>10615</v>
      </c>
    </row>
    <row r="3448" spans="1:20" x14ac:dyDescent="0.25">
      <c r="A3448" t="str">
        <f>"3050746"</f>
        <v>3050746</v>
      </c>
      <c r="B3448" t="s">
        <v>10616</v>
      </c>
      <c r="C3448" t="str">
        <f>"82512997"</f>
        <v>82512997</v>
      </c>
      <c r="D3448" t="s">
        <v>10617</v>
      </c>
      <c r="E3448" t="s">
        <v>10618</v>
      </c>
      <c r="F3448" t="s">
        <v>10619</v>
      </c>
      <c r="I3448" t="s">
        <v>184</v>
      </c>
      <c r="J3448" t="s">
        <v>30</v>
      </c>
      <c r="K3448" t="s">
        <v>185</v>
      </c>
      <c r="M3448" t="s">
        <v>32</v>
      </c>
      <c r="N3448" t="str">
        <f>"6/11/2002 12:00:00 AM"</f>
        <v>6/11/2002 12:00:00 AM</v>
      </c>
      <c r="O3448" t="s">
        <v>10617</v>
      </c>
      <c r="T3448" t="s">
        <v>10618</v>
      </c>
    </row>
    <row r="3449" spans="1:20" x14ac:dyDescent="0.25">
      <c r="A3449" t="str">
        <f>"3050662"</f>
        <v>3050662</v>
      </c>
      <c r="B3449" t="s">
        <v>10620</v>
      </c>
      <c r="C3449" t="str">
        <f>"82522624"</f>
        <v>82522624</v>
      </c>
      <c r="D3449" t="s">
        <v>10621</v>
      </c>
      <c r="E3449" t="s">
        <v>10622</v>
      </c>
      <c r="F3449" t="s">
        <v>10623</v>
      </c>
      <c r="I3449" t="s">
        <v>184</v>
      </c>
      <c r="J3449" t="s">
        <v>30</v>
      </c>
      <c r="K3449" t="s">
        <v>10568</v>
      </c>
      <c r="M3449" t="s">
        <v>32</v>
      </c>
      <c r="N3449" t="str">
        <f>"1/25/2005 12:00:00 AM"</f>
        <v>1/25/2005 12:00:00 AM</v>
      </c>
      <c r="O3449" t="s">
        <v>10621</v>
      </c>
      <c r="T3449" t="s">
        <v>10622</v>
      </c>
    </row>
    <row r="3450" spans="1:20" x14ac:dyDescent="0.25">
      <c r="A3450" t="str">
        <f>"3050750"</f>
        <v>3050750</v>
      </c>
      <c r="B3450" t="s">
        <v>10624</v>
      </c>
      <c r="C3450" t="str">
        <f>"82526910"</f>
        <v>82526910</v>
      </c>
      <c r="D3450" t="s">
        <v>10625</v>
      </c>
      <c r="E3450" t="s">
        <v>10626</v>
      </c>
      <c r="F3450" t="s">
        <v>10627</v>
      </c>
      <c r="I3450" t="s">
        <v>184</v>
      </c>
      <c r="J3450" t="s">
        <v>30</v>
      </c>
      <c r="K3450" t="s">
        <v>185</v>
      </c>
      <c r="M3450" t="s">
        <v>32</v>
      </c>
      <c r="N3450" t="str">
        <f>"1/25/2007 12:00:00 AM"</f>
        <v>1/25/2007 12:00:00 AM</v>
      </c>
      <c r="O3450" t="s">
        <v>10625</v>
      </c>
      <c r="T3450" t="s">
        <v>10626</v>
      </c>
    </row>
    <row r="3451" spans="1:20" x14ac:dyDescent="0.25">
      <c r="A3451" t="str">
        <f>"3050728"</f>
        <v>3050728</v>
      </c>
      <c r="B3451" t="s">
        <v>10628</v>
      </c>
      <c r="C3451" t="str">
        <f>"82517071"</f>
        <v>82517071</v>
      </c>
      <c r="D3451" t="s">
        <v>10629</v>
      </c>
      <c r="E3451" t="s">
        <v>10630</v>
      </c>
      <c r="F3451" t="s">
        <v>10631</v>
      </c>
      <c r="I3451" t="s">
        <v>184</v>
      </c>
      <c r="J3451" t="s">
        <v>30</v>
      </c>
      <c r="K3451" t="s">
        <v>10568</v>
      </c>
      <c r="M3451" t="s">
        <v>32</v>
      </c>
      <c r="N3451" t="str">
        <f>"11/27/2002 12:00:00 AM"</f>
        <v>11/27/2002 12:00:00 AM</v>
      </c>
      <c r="O3451" t="s">
        <v>10629</v>
      </c>
      <c r="T3451" t="s">
        <v>10630</v>
      </c>
    </row>
    <row r="3452" spans="1:20" x14ac:dyDescent="0.25">
      <c r="A3452" t="str">
        <f>"3047102"</f>
        <v>3047102</v>
      </c>
      <c r="B3452" t="s">
        <v>10632</v>
      </c>
      <c r="C3452" t="str">
        <f>"20112750"</f>
        <v>20112750</v>
      </c>
      <c r="D3452" t="s">
        <v>10633</v>
      </c>
      <c r="F3452" t="s">
        <v>10634</v>
      </c>
      <c r="I3452" t="s">
        <v>184</v>
      </c>
      <c r="J3452" t="s">
        <v>30</v>
      </c>
      <c r="K3452" t="s">
        <v>185</v>
      </c>
      <c r="M3452" t="s">
        <v>32</v>
      </c>
      <c r="N3452" t="str">
        <f>"7/17/2003 12:00:00 AM"</f>
        <v>7/17/2003 12:00:00 AM</v>
      </c>
      <c r="O3452" t="s">
        <v>10633</v>
      </c>
    </row>
    <row r="3453" spans="1:20" x14ac:dyDescent="0.25">
      <c r="A3453" t="str">
        <f>"3048614"</f>
        <v>3048614</v>
      </c>
      <c r="B3453" t="s">
        <v>10635</v>
      </c>
      <c r="C3453" t="str">
        <f>"9982000"</f>
        <v>9982000</v>
      </c>
      <c r="D3453" t="s">
        <v>10636</v>
      </c>
      <c r="E3453" t="s">
        <v>10637</v>
      </c>
      <c r="F3453" t="s">
        <v>10638</v>
      </c>
      <c r="I3453" t="s">
        <v>184</v>
      </c>
      <c r="J3453" t="s">
        <v>30</v>
      </c>
      <c r="K3453" t="s">
        <v>10639</v>
      </c>
      <c r="M3453" t="s">
        <v>32</v>
      </c>
      <c r="N3453" t="str">
        <f>"1/12/2007 12:00:00 AM"</f>
        <v>1/12/2007 12:00:00 AM</v>
      </c>
      <c r="O3453" t="s">
        <v>10636</v>
      </c>
      <c r="T3453" t="s">
        <v>10637</v>
      </c>
    </row>
    <row r="3454" spans="1:20" x14ac:dyDescent="0.25">
      <c r="A3454" t="str">
        <f>"3048573"</f>
        <v>3048573</v>
      </c>
      <c r="B3454" t="s">
        <v>10640</v>
      </c>
      <c r="C3454" t="str">
        <f>"9547500"</f>
        <v>9547500</v>
      </c>
      <c r="D3454" t="s">
        <v>10641</v>
      </c>
      <c r="E3454" t="s">
        <v>10642</v>
      </c>
      <c r="F3454" t="s">
        <v>10643</v>
      </c>
      <c r="I3454" t="s">
        <v>184</v>
      </c>
      <c r="J3454" t="s">
        <v>30</v>
      </c>
      <c r="K3454" t="s">
        <v>185</v>
      </c>
      <c r="M3454" t="s">
        <v>32</v>
      </c>
      <c r="N3454" t="str">
        <f>"6/9/2003 12:00:00 AM"</f>
        <v>6/9/2003 12:00:00 AM</v>
      </c>
      <c r="O3454" t="s">
        <v>10641</v>
      </c>
      <c r="T3454" t="s">
        <v>10642</v>
      </c>
    </row>
    <row r="3455" spans="1:20" x14ac:dyDescent="0.25">
      <c r="A3455" t="str">
        <f>"3048386"</f>
        <v>3048386</v>
      </c>
      <c r="B3455" t="s">
        <v>10644</v>
      </c>
      <c r="C3455" t="str">
        <f>"51861920"</f>
        <v>51861920</v>
      </c>
      <c r="D3455" t="s">
        <v>10645</v>
      </c>
      <c r="F3455" t="s">
        <v>10646</v>
      </c>
      <c r="I3455" t="s">
        <v>184</v>
      </c>
      <c r="J3455" t="s">
        <v>30</v>
      </c>
      <c r="K3455" t="s">
        <v>185</v>
      </c>
      <c r="M3455" t="s">
        <v>32</v>
      </c>
      <c r="N3455" t="str">
        <f>"1/28/2009 12:00:00 AM"</f>
        <v>1/28/2009 12:00:00 AM</v>
      </c>
      <c r="O3455" t="s">
        <v>10645</v>
      </c>
      <c r="T3455" t="s">
        <v>10645</v>
      </c>
    </row>
    <row r="3456" spans="1:20" x14ac:dyDescent="0.25">
      <c r="A3456" t="str">
        <f>"3048559"</f>
        <v>3048559</v>
      </c>
      <c r="B3456" t="s">
        <v>10647</v>
      </c>
      <c r="C3456" t="str">
        <f>"29876000"</f>
        <v>29876000</v>
      </c>
      <c r="D3456" t="s">
        <v>10648</v>
      </c>
      <c r="F3456" t="s">
        <v>10649</v>
      </c>
      <c r="I3456" t="s">
        <v>184</v>
      </c>
      <c r="J3456" t="s">
        <v>30</v>
      </c>
      <c r="K3456" t="s">
        <v>10639</v>
      </c>
      <c r="M3456" t="s">
        <v>32</v>
      </c>
      <c r="N3456" t="str">
        <f>"2/10/2010 12:00:00 AM"</f>
        <v>2/10/2010 12:00:00 AM</v>
      </c>
      <c r="O3456" t="s">
        <v>10648</v>
      </c>
    </row>
    <row r="3457" spans="1:20" x14ac:dyDescent="0.25">
      <c r="A3457" t="str">
        <f>"3048395"</f>
        <v>3048395</v>
      </c>
      <c r="B3457" t="s">
        <v>10650</v>
      </c>
      <c r="C3457" t="str">
        <f>"61932900"</f>
        <v>61932900</v>
      </c>
      <c r="D3457" t="s">
        <v>10651</v>
      </c>
      <c r="F3457" t="s">
        <v>10652</v>
      </c>
      <c r="I3457" t="s">
        <v>184</v>
      </c>
      <c r="J3457" t="s">
        <v>30</v>
      </c>
      <c r="K3457" t="s">
        <v>185</v>
      </c>
      <c r="M3457" t="s">
        <v>32</v>
      </c>
      <c r="N3457" t="str">
        <f>"8/13/2002 12:00:00 AM"</f>
        <v>8/13/2002 12:00:00 AM</v>
      </c>
      <c r="O3457" t="s">
        <v>10651</v>
      </c>
    </row>
    <row r="3458" spans="1:20" x14ac:dyDescent="0.25">
      <c r="A3458" t="str">
        <f>"3048427"</f>
        <v>3048427</v>
      </c>
      <c r="B3458" t="s">
        <v>10653</v>
      </c>
      <c r="C3458" t="str">
        <f>"43107180"</f>
        <v>43107180</v>
      </c>
      <c r="D3458" t="s">
        <v>10654</v>
      </c>
      <c r="E3458" t="s">
        <v>10655</v>
      </c>
      <c r="F3458" t="s">
        <v>10656</v>
      </c>
      <c r="I3458" t="s">
        <v>471</v>
      </c>
      <c r="J3458" t="s">
        <v>30</v>
      </c>
      <c r="K3458" t="s">
        <v>3169</v>
      </c>
      <c r="M3458" t="s">
        <v>32</v>
      </c>
      <c r="N3458" t="str">
        <f>"8/13/2002 12:00:00 AM"</f>
        <v>8/13/2002 12:00:00 AM</v>
      </c>
      <c r="O3458" t="s">
        <v>10654</v>
      </c>
      <c r="T3458" t="s">
        <v>10655</v>
      </c>
    </row>
    <row r="3459" spans="1:20" x14ac:dyDescent="0.25">
      <c r="A3459" t="str">
        <f>"3047400"</f>
        <v>3047400</v>
      </c>
      <c r="B3459" t="s">
        <v>10657</v>
      </c>
      <c r="C3459" t="str">
        <f>"4576000"</f>
        <v>4576000</v>
      </c>
      <c r="D3459" t="s">
        <v>10349</v>
      </c>
      <c r="E3459" t="s">
        <v>10350</v>
      </c>
      <c r="F3459" t="s">
        <v>10351</v>
      </c>
      <c r="I3459" t="s">
        <v>184</v>
      </c>
      <c r="J3459" t="s">
        <v>30</v>
      </c>
      <c r="K3459" t="s">
        <v>10352</v>
      </c>
      <c r="M3459" t="s">
        <v>32</v>
      </c>
      <c r="N3459" t="str">
        <f>"1/12/2006 12:00:00 AM"</f>
        <v>1/12/2006 12:00:00 AM</v>
      </c>
      <c r="O3459" t="s">
        <v>10349</v>
      </c>
      <c r="T3459" t="s">
        <v>10350</v>
      </c>
    </row>
    <row r="3460" spans="1:20" x14ac:dyDescent="0.25">
      <c r="A3460" t="str">
        <f>"3050458"</f>
        <v>3050458</v>
      </c>
      <c r="B3460" t="s">
        <v>10658</v>
      </c>
      <c r="C3460" t="str">
        <f>"46398000"</f>
        <v>46398000</v>
      </c>
      <c r="D3460" t="s">
        <v>10659</v>
      </c>
      <c r="F3460" t="s">
        <v>10660</v>
      </c>
      <c r="I3460" t="s">
        <v>184</v>
      </c>
      <c r="J3460" t="s">
        <v>30</v>
      </c>
      <c r="K3460" t="s">
        <v>10661</v>
      </c>
      <c r="M3460" t="s">
        <v>32</v>
      </c>
      <c r="N3460" t="str">
        <f>"1/31/2005 12:00:00 AM"</f>
        <v>1/31/2005 12:00:00 AM</v>
      </c>
      <c r="O3460" t="s">
        <v>10659</v>
      </c>
    </row>
    <row r="3461" spans="1:20" x14ac:dyDescent="0.25">
      <c r="A3461" t="str">
        <f>"3076072"</f>
        <v>3076072</v>
      </c>
      <c r="B3461" t="s">
        <v>10662</v>
      </c>
      <c r="C3461" t="str">
        <f>"52973500"</f>
        <v>52973500</v>
      </c>
      <c r="D3461" t="s">
        <v>10663</v>
      </c>
      <c r="F3461" t="s">
        <v>10664</v>
      </c>
      <c r="I3461" t="s">
        <v>184</v>
      </c>
      <c r="J3461" t="s">
        <v>30</v>
      </c>
      <c r="K3461" t="s">
        <v>10665</v>
      </c>
      <c r="M3461" t="s">
        <v>32</v>
      </c>
      <c r="N3461" t="str">
        <f>"2/14/2007 12:00:00 AM"</f>
        <v>2/14/2007 12:00:00 AM</v>
      </c>
      <c r="O3461" t="s">
        <v>10663</v>
      </c>
      <c r="T3461" t="s">
        <v>10663</v>
      </c>
    </row>
    <row r="3462" spans="1:20" x14ac:dyDescent="0.25">
      <c r="A3462" t="str">
        <f>"3078187"</f>
        <v>3078187</v>
      </c>
      <c r="B3462" t="s">
        <v>10666</v>
      </c>
      <c r="C3462" t="str">
        <f>"52973500"</f>
        <v>52973500</v>
      </c>
      <c r="D3462" t="s">
        <v>10663</v>
      </c>
      <c r="F3462" t="s">
        <v>10664</v>
      </c>
      <c r="I3462" t="s">
        <v>184</v>
      </c>
      <c r="J3462" t="s">
        <v>30</v>
      </c>
      <c r="K3462" t="s">
        <v>10665</v>
      </c>
      <c r="M3462" t="s">
        <v>32</v>
      </c>
      <c r="N3462" t="str">
        <f>"2/14/2007 12:00:00 AM"</f>
        <v>2/14/2007 12:00:00 AM</v>
      </c>
      <c r="O3462" t="s">
        <v>10663</v>
      </c>
      <c r="T3462" t="s">
        <v>10663</v>
      </c>
    </row>
    <row r="3463" spans="1:20" x14ac:dyDescent="0.25">
      <c r="A3463" t="str">
        <f>"3078204"</f>
        <v>3078204</v>
      </c>
      <c r="B3463" t="s">
        <v>10667</v>
      </c>
      <c r="C3463" t="str">
        <f>"3348000"</f>
        <v>3348000</v>
      </c>
      <c r="D3463" t="s">
        <v>10668</v>
      </c>
      <c r="E3463" t="s">
        <v>10669</v>
      </c>
      <c r="F3463" t="s">
        <v>10670</v>
      </c>
      <c r="I3463" t="s">
        <v>184</v>
      </c>
      <c r="J3463" t="s">
        <v>30</v>
      </c>
      <c r="K3463" t="s">
        <v>185</v>
      </c>
      <c r="M3463" t="s">
        <v>32</v>
      </c>
      <c r="N3463" t="str">
        <f>"5/16/2003 12:00:00 AM"</f>
        <v>5/16/2003 12:00:00 AM</v>
      </c>
      <c r="O3463" t="s">
        <v>10668</v>
      </c>
      <c r="T3463" t="s">
        <v>10669</v>
      </c>
    </row>
    <row r="3464" spans="1:20" x14ac:dyDescent="0.25">
      <c r="A3464" t="str">
        <f>"3047896"</f>
        <v>3047896</v>
      </c>
      <c r="B3464" t="s">
        <v>10671</v>
      </c>
      <c r="C3464" t="str">
        <f>"3348000"</f>
        <v>3348000</v>
      </c>
      <c r="D3464" t="s">
        <v>10668</v>
      </c>
      <c r="E3464" t="s">
        <v>10669</v>
      </c>
      <c r="F3464" t="s">
        <v>10670</v>
      </c>
      <c r="I3464" t="s">
        <v>184</v>
      </c>
      <c r="J3464" t="s">
        <v>30</v>
      </c>
      <c r="K3464" t="s">
        <v>185</v>
      </c>
      <c r="M3464" t="s">
        <v>32</v>
      </c>
      <c r="N3464" t="str">
        <f>"5/16/2003 12:00:00 AM"</f>
        <v>5/16/2003 12:00:00 AM</v>
      </c>
      <c r="O3464" t="s">
        <v>10668</v>
      </c>
      <c r="T3464" t="s">
        <v>10669</v>
      </c>
    </row>
    <row r="3465" spans="1:20" x14ac:dyDescent="0.25">
      <c r="A3465" t="str">
        <f>"3053586"</f>
        <v>3053586</v>
      </c>
      <c r="B3465" t="s">
        <v>10672</v>
      </c>
      <c r="C3465" t="str">
        <f>"3348000"</f>
        <v>3348000</v>
      </c>
      <c r="D3465" t="s">
        <v>10668</v>
      </c>
      <c r="E3465" t="s">
        <v>10669</v>
      </c>
      <c r="F3465" t="s">
        <v>10670</v>
      </c>
      <c r="I3465" t="s">
        <v>184</v>
      </c>
      <c r="J3465" t="s">
        <v>30</v>
      </c>
      <c r="K3465" t="s">
        <v>185</v>
      </c>
      <c r="M3465" t="s">
        <v>32</v>
      </c>
      <c r="N3465" t="str">
        <f>"5/16/2003 12:00:00 AM"</f>
        <v>5/16/2003 12:00:00 AM</v>
      </c>
      <c r="O3465" t="s">
        <v>10668</v>
      </c>
      <c r="T3465" t="s">
        <v>10669</v>
      </c>
    </row>
    <row r="3466" spans="1:20" x14ac:dyDescent="0.25">
      <c r="A3466" t="str">
        <f>"3047687"</f>
        <v>3047687</v>
      </c>
      <c r="B3466" t="s">
        <v>10673</v>
      </c>
      <c r="C3466" t="str">
        <f>"3348000"</f>
        <v>3348000</v>
      </c>
      <c r="D3466" t="s">
        <v>10668</v>
      </c>
      <c r="E3466" t="s">
        <v>10669</v>
      </c>
      <c r="F3466" t="s">
        <v>10670</v>
      </c>
      <c r="I3466" t="s">
        <v>184</v>
      </c>
      <c r="J3466" t="s">
        <v>30</v>
      </c>
      <c r="K3466" t="s">
        <v>185</v>
      </c>
      <c r="M3466" t="s">
        <v>32</v>
      </c>
      <c r="N3466" t="str">
        <f>"5/16/2003 12:00:00 AM"</f>
        <v>5/16/2003 12:00:00 AM</v>
      </c>
      <c r="O3466" t="s">
        <v>10668</v>
      </c>
      <c r="T3466" t="s">
        <v>10669</v>
      </c>
    </row>
    <row r="3467" spans="1:20" x14ac:dyDescent="0.25">
      <c r="A3467" t="str">
        <f>"3047368"</f>
        <v>3047368</v>
      </c>
      <c r="B3467" t="s">
        <v>10674</v>
      </c>
      <c r="C3467" t="str">
        <f>"3348000"</f>
        <v>3348000</v>
      </c>
      <c r="D3467" t="s">
        <v>10668</v>
      </c>
      <c r="E3467" t="s">
        <v>10669</v>
      </c>
      <c r="F3467" t="s">
        <v>10670</v>
      </c>
      <c r="I3467" t="s">
        <v>184</v>
      </c>
      <c r="J3467" t="s">
        <v>30</v>
      </c>
      <c r="K3467" t="s">
        <v>185</v>
      </c>
      <c r="M3467" t="s">
        <v>32</v>
      </c>
      <c r="N3467" t="str">
        <f>"5/16/2003 12:00:00 AM"</f>
        <v>5/16/2003 12:00:00 AM</v>
      </c>
      <c r="O3467" t="s">
        <v>10668</v>
      </c>
      <c r="T3467" t="s">
        <v>10669</v>
      </c>
    </row>
    <row r="3468" spans="1:20" x14ac:dyDescent="0.25">
      <c r="A3468" t="str">
        <f>"3048587"</f>
        <v>3048587</v>
      </c>
      <c r="B3468" t="s">
        <v>10675</v>
      </c>
      <c r="C3468" t="str">
        <f>"49764750"</f>
        <v>49764750</v>
      </c>
      <c r="D3468" t="s">
        <v>10676</v>
      </c>
      <c r="E3468" t="s">
        <v>10677</v>
      </c>
      <c r="F3468" t="s">
        <v>10678</v>
      </c>
      <c r="I3468" t="s">
        <v>184</v>
      </c>
      <c r="J3468" t="s">
        <v>30</v>
      </c>
      <c r="K3468" t="s">
        <v>185</v>
      </c>
      <c r="M3468" t="s">
        <v>32</v>
      </c>
      <c r="N3468" t="str">
        <f>"8/13/2002 12:00:00 AM"</f>
        <v>8/13/2002 12:00:00 AM</v>
      </c>
      <c r="O3468" t="s">
        <v>10676</v>
      </c>
      <c r="T3468" t="s">
        <v>10677</v>
      </c>
    </row>
    <row r="3469" spans="1:20" x14ac:dyDescent="0.25">
      <c r="A3469" t="str">
        <f>"3050853"</f>
        <v>3050853</v>
      </c>
      <c r="B3469" t="s">
        <v>10679</v>
      </c>
      <c r="C3469" t="str">
        <f>"5604000"</f>
        <v>5604000</v>
      </c>
      <c r="D3469" t="s">
        <v>10680</v>
      </c>
      <c r="F3469" t="s">
        <v>10681</v>
      </c>
      <c r="I3469" t="s">
        <v>184</v>
      </c>
      <c r="J3469" t="s">
        <v>30</v>
      </c>
      <c r="K3469" t="s">
        <v>185</v>
      </c>
      <c r="M3469" t="s">
        <v>32</v>
      </c>
      <c r="N3469" t="str">
        <f>"1/22/2004 12:00:00 AM"</f>
        <v>1/22/2004 12:00:00 AM</v>
      </c>
      <c r="O3469" t="s">
        <v>10680</v>
      </c>
    </row>
    <row r="3470" spans="1:20" x14ac:dyDescent="0.25">
      <c r="A3470" t="str">
        <f>"3050574"</f>
        <v>3050574</v>
      </c>
      <c r="B3470" t="s">
        <v>10682</v>
      </c>
      <c r="C3470" t="str">
        <f>"82528463"</f>
        <v>82528463</v>
      </c>
      <c r="D3470" t="s">
        <v>10683</v>
      </c>
      <c r="E3470" t="s">
        <v>10684</v>
      </c>
      <c r="F3470" t="s">
        <v>10685</v>
      </c>
      <c r="I3470" t="s">
        <v>184</v>
      </c>
      <c r="J3470" t="s">
        <v>30</v>
      </c>
      <c r="K3470" t="s">
        <v>185</v>
      </c>
      <c r="M3470" t="s">
        <v>32</v>
      </c>
      <c r="N3470" t="str">
        <f>"1/9/2008 12:00:00 AM"</f>
        <v>1/9/2008 12:00:00 AM</v>
      </c>
      <c r="O3470" t="s">
        <v>10683</v>
      </c>
      <c r="T3470" t="s">
        <v>10684</v>
      </c>
    </row>
    <row r="3471" spans="1:20" x14ac:dyDescent="0.25">
      <c r="A3471" t="str">
        <f>"3048154"</f>
        <v>3048154</v>
      </c>
      <c r="B3471" t="s">
        <v>10686</v>
      </c>
      <c r="C3471" t="str">
        <f>"82517957"</f>
        <v>82517957</v>
      </c>
      <c r="D3471" t="s">
        <v>10687</v>
      </c>
      <c r="E3471" t="s">
        <v>10688</v>
      </c>
      <c r="F3471" t="s">
        <v>10689</v>
      </c>
      <c r="I3471" t="s">
        <v>184</v>
      </c>
      <c r="J3471" t="s">
        <v>30</v>
      </c>
      <c r="K3471" t="s">
        <v>185</v>
      </c>
      <c r="M3471" t="s">
        <v>32</v>
      </c>
      <c r="N3471" t="str">
        <f>"2/27/2002 12:00:00 AM"</f>
        <v>2/27/2002 12:00:00 AM</v>
      </c>
      <c r="O3471" t="s">
        <v>10687</v>
      </c>
      <c r="T3471" t="s">
        <v>10688</v>
      </c>
    </row>
    <row r="3472" spans="1:20" x14ac:dyDescent="0.25">
      <c r="A3472" t="str">
        <f>"3048600"</f>
        <v>3048600</v>
      </c>
      <c r="B3472" t="s">
        <v>10690</v>
      </c>
      <c r="C3472" t="str">
        <f>"331000"</f>
        <v>331000</v>
      </c>
      <c r="D3472" t="s">
        <v>10691</v>
      </c>
      <c r="F3472" t="s">
        <v>10692</v>
      </c>
      <c r="I3472" t="s">
        <v>184</v>
      </c>
      <c r="J3472" t="s">
        <v>30</v>
      </c>
      <c r="K3472" t="s">
        <v>185</v>
      </c>
      <c r="M3472" t="s">
        <v>32</v>
      </c>
      <c r="N3472" t="str">
        <f>"2/18/2003 12:00:00 AM"</f>
        <v>2/18/2003 12:00:00 AM</v>
      </c>
      <c r="O3472" t="s">
        <v>10691</v>
      </c>
    </row>
    <row r="3473" spans="1:20" x14ac:dyDescent="0.25">
      <c r="A3473" t="str">
        <f>"3047747"</f>
        <v>3047747</v>
      </c>
      <c r="B3473" t="s">
        <v>10693</v>
      </c>
      <c r="C3473" t="str">
        <f>"6246930"</f>
        <v>6246930</v>
      </c>
      <c r="D3473" t="s">
        <v>10694</v>
      </c>
      <c r="E3473" t="s">
        <v>10695</v>
      </c>
      <c r="F3473" t="s">
        <v>10696</v>
      </c>
      <c r="I3473" t="s">
        <v>184</v>
      </c>
      <c r="J3473" t="s">
        <v>30</v>
      </c>
      <c r="K3473" t="s">
        <v>185</v>
      </c>
      <c r="M3473" t="s">
        <v>32</v>
      </c>
      <c r="N3473" t="str">
        <f>"1/23/2007 12:00:00 AM"</f>
        <v>1/23/2007 12:00:00 AM</v>
      </c>
      <c r="O3473" t="s">
        <v>10694</v>
      </c>
      <c r="T3473" t="s">
        <v>10695</v>
      </c>
    </row>
    <row r="3474" spans="1:20" x14ac:dyDescent="0.25">
      <c r="A3474" t="str">
        <f>"3059057"</f>
        <v>3059057</v>
      </c>
      <c r="B3474" t="s">
        <v>10697</v>
      </c>
      <c r="C3474" t="str">
        <f>"6246930"</f>
        <v>6246930</v>
      </c>
      <c r="D3474" t="s">
        <v>10694</v>
      </c>
      <c r="E3474" t="s">
        <v>10695</v>
      </c>
      <c r="F3474" t="s">
        <v>10696</v>
      </c>
      <c r="I3474" t="s">
        <v>184</v>
      </c>
      <c r="J3474" t="s">
        <v>30</v>
      </c>
      <c r="K3474" t="s">
        <v>185</v>
      </c>
      <c r="M3474" t="s">
        <v>32</v>
      </c>
      <c r="N3474" t="str">
        <f>"1/23/2007 12:00:00 AM"</f>
        <v>1/23/2007 12:00:00 AM</v>
      </c>
      <c r="O3474" t="s">
        <v>10694</v>
      </c>
      <c r="T3474" t="s">
        <v>10695</v>
      </c>
    </row>
    <row r="3475" spans="1:20" x14ac:dyDescent="0.25">
      <c r="A3475" t="str">
        <f>"3057382"</f>
        <v>3057382</v>
      </c>
      <c r="B3475" t="s">
        <v>10698</v>
      </c>
      <c r="C3475" t="str">
        <f>"78709900"</f>
        <v>78709900</v>
      </c>
      <c r="D3475" t="s">
        <v>10699</v>
      </c>
      <c r="F3475" t="str">
        <f>"C/O TERESA MONEY"</f>
        <v>C/O TERESA MONEY</v>
      </c>
      <c r="G3475" t="s">
        <v>10700</v>
      </c>
      <c r="I3475" t="s">
        <v>8536</v>
      </c>
      <c r="J3475" t="s">
        <v>30</v>
      </c>
      <c r="K3475" t="s">
        <v>10701</v>
      </c>
      <c r="M3475" t="s">
        <v>32</v>
      </c>
      <c r="N3475" t="str">
        <f>"11/6/2007 12:00:00 AM"</f>
        <v>11/6/2007 12:00:00 AM</v>
      </c>
      <c r="O3475" t="s">
        <v>10699</v>
      </c>
    </row>
    <row r="3476" spans="1:20" x14ac:dyDescent="0.25">
      <c r="A3476" t="str">
        <f>"3047709"</f>
        <v>3047709</v>
      </c>
      <c r="B3476" t="s">
        <v>10702</v>
      </c>
      <c r="C3476" t="str">
        <f>"82524663"</f>
        <v>82524663</v>
      </c>
      <c r="D3476" t="s">
        <v>10703</v>
      </c>
      <c r="F3476" t="s">
        <v>10704</v>
      </c>
      <c r="I3476" t="s">
        <v>184</v>
      </c>
      <c r="J3476" t="s">
        <v>30</v>
      </c>
      <c r="K3476" t="s">
        <v>10705</v>
      </c>
      <c r="M3476" t="s">
        <v>32</v>
      </c>
      <c r="N3476" t="str">
        <f>"1/26/2006 12:00:00 AM"</f>
        <v>1/26/2006 12:00:00 AM</v>
      </c>
      <c r="O3476" t="s">
        <v>10703</v>
      </c>
    </row>
    <row r="3477" spans="1:20" x14ac:dyDescent="0.25">
      <c r="A3477" t="str">
        <f>"3047947"</f>
        <v>3047947</v>
      </c>
      <c r="B3477" t="s">
        <v>10706</v>
      </c>
      <c r="C3477" t="str">
        <f>"72444000"</f>
        <v>72444000</v>
      </c>
      <c r="D3477" t="s">
        <v>10707</v>
      </c>
      <c r="E3477" t="s">
        <v>10708</v>
      </c>
      <c r="F3477" t="s">
        <v>10709</v>
      </c>
      <c r="I3477" t="s">
        <v>184</v>
      </c>
      <c r="J3477" t="s">
        <v>30</v>
      </c>
      <c r="K3477" t="s">
        <v>185</v>
      </c>
      <c r="M3477" t="s">
        <v>32</v>
      </c>
      <c r="N3477" t="str">
        <f>"6/17/2004 12:00:00 AM"</f>
        <v>6/17/2004 12:00:00 AM</v>
      </c>
      <c r="O3477" t="s">
        <v>10707</v>
      </c>
      <c r="T3477" t="s">
        <v>10708</v>
      </c>
    </row>
    <row r="3478" spans="1:20" x14ac:dyDescent="0.25">
      <c r="A3478" t="str">
        <f>"3048145"</f>
        <v>3048145</v>
      </c>
      <c r="B3478" t="s">
        <v>10710</v>
      </c>
      <c r="C3478" t="str">
        <f>"82521124"</f>
        <v>82521124</v>
      </c>
      <c r="D3478" t="s">
        <v>10711</v>
      </c>
      <c r="F3478" t="s">
        <v>10712</v>
      </c>
      <c r="G3478" t="s">
        <v>10713</v>
      </c>
      <c r="I3478" t="s">
        <v>184</v>
      </c>
      <c r="J3478" t="s">
        <v>30</v>
      </c>
      <c r="K3478" t="s">
        <v>10705</v>
      </c>
      <c r="M3478" t="s">
        <v>32</v>
      </c>
      <c r="N3478" t="str">
        <f>"11/28/2005 12:00:00 AM"</f>
        <v>11/28/2005 12:00:00 AM</v>
      </c>
      <c r="O3478" t="s">
        <v>10711</v>
      </c>
    </row>
    <row r="3479" spans="1:20" x14ac:dyDescent="0.25">
      <c r="A3479" t="str">
        <f>"3047843"</f>
        <v>3047843</v>
      </c>
      <c r="B3479" t="s">
        <v>10714</v>
      </c>
      <c r="C3479" t="str">
        <f>"82530117"</f>
        <v>82530117</v>
      </c>
      <c r="D3479" t="s">
        <v>10715</v>
      </c>
      <c r="F3479" t="s">
        <v>10716</v>
      </c>
      <c r="I3479" t="s">
        <v>184</v>
      </c>
      <c r="J3479" t="s">
        <v>30</v>
      </c>
      <c r="K3479" t="s">
        <v>185</v>
      </c>
      <c r="N3479" t="str">
        <f>"3/3/2009 12:00:00 AM"</f>
        <v>3/3/2009 12:00:00 AM</v>
      </c>
      <c r="O3479" t="s">
        <v>10715</v>
      </c>
    </row>
    <row r="3480" spans="1:20" x14ac:dyDescent="0.25">
      <c r="A3480" t="str">
        <f>"3060091"</f>
        <v>3060091</v>
      </c>
      <c r="B3480" t="s">
        <v>10717</v>
      </c>
      <c r="C3480" t="str">
        <f>"82517351"</f>
        <v>82517351</v>
      </c>
      <c r="D3480" t="s">
        <v>10718</v>
      </c>
      <c r="E3480" t="s">
        <v>10719</v>
      </c>
      <c r="F3480" t="s">
        <v>10720</v>
      </c>
      <c r="I3480" t="s">
        <v>184</v>
      </c>
      <c r="J3480" t="s">
        <v>30</v>
      </c>
      <c r="K3480" t="s">
        <v>10721</v>
      </c>
      <c r="M3480" t="s">
        <v>32</v>
      </c>
      <c r="N3480" t="str">
        <f>"2/13/2007 12:00:00 AM"</f>
        <v>2/13/2007 12:00:00 AM</v>
      </c>
      <c r="O3480" t="s">
        <v>10718</v>
      </c>
      <c r="T3480" t="s">
        <v>10719</v>
      </c>
    </row>
    <row r="3481" spans="1:20" x14ac:dyDescent="0.25">
      <c r="A3481" t="str">
        <f>"3060077"</f>
        <v>3060077</v>
      </c>
      <c r="B3481" t="s">
        <v>10722</v>
      </c>
      <c r="C3481" t="str">
        <f>"82526915"</f>
        <v>82526915</v>
      </c>
      <c r="D3481" t="s">
        <v>10723</v>
      </c>
      <c r="E3481" t="s">
        <v>10724</v>
      </c>
      <c r="F3481" t="s">
        <v>10725</v>
      </c>
      <c r="I3481" t="s">
        <v>184</v>
      </c>
      <c r="J3481" t="s">
        <v>30</v>
      </c>
      <c r="K3481" t="s">
        <v>185</v>
      </c>
      <c r="N3481" t="str">
        <f>"9/10/2009 12:00:00 AM"</f>
        <v>9/10/2009 12:00:00 AM</v>
      </c>
      <c r="O3481" t="s">
        <v>10723</v>
      </c>
      <c r="T3481" t="s">
        <v>10724</v>
      </c>
    </row>
    <row r="3482" spans="1:20" x14ac:dyDescent="0.25">
      <c r="A3482" t="str">
        <f>"3060103"</f>
        <v>3060103</v>
      </c>
      <c r="B3482" t="s">
        <v>10726</v>
      </c>
      <c r="C3482" t="str">
        <f>"82525797"</f>
        <v>82525797</v>
      </c>
      <c r="D3482" t="s">
        <v>10727</v>
      </c>
      <c r="E3482" t="s">
        <v>10728</v>
      </c>
      <c r="F3482" t="s">
        <v>10729</v>
      </c>
      <c r="I3482" t="s">
        <v>184</v>
      </c>
      <c r="J3482" t="s">
        <v>30</v>
      </c>
      <c r="K3482" t="s">
        <v>185</v>
      </c>
      <c r="N3482" t="str">
        <f>"3/14/2006 12:00:00 AM"</f>
        <v>3/14/2006 12:00:00 AM</v>
      </c>
      <c r="O3482" t="s">
        <v>10727</v>
      </c>
      <c r="T3482" t="s">
        <v>10728</v>
      </c>
    </row>
    <row r="3483" spans="1:20" x14ac:dyDescent="0.25">
      <c r="A3483" t="str">
        <f>"3071553"</f>
        <v>3071553</v>
      </c>
      <c r="B3483" t="s">
        <v>10730</v>
      </c>
      <c r="C3483" t="str">
        <f>"82517507"</f>
        <v>82517507</v>
      </c>
      <c r="D3483" t="s">
        <v>10731</v>
      </c>
      <c r="F3483" t="s">
        <v>10732</v>
      </c>
      <c r="I3483" t="s">
        <v>184</v>
      </c>
      <c r="J3483" t="s">
        <v>30</v>
      </c>
      <c r="K3483" t="s">
        <v>10399</v>
      </c>
      <c r="M3483" t="s">
        <v>32</v>
      </c>
      <c r="N3483" t="str">
        <f>"1/13/2006 12:00:00 AM"</f>
        <v>1/13/2006 12:00:00 AM</v>
      </c>
      <c r="O3483" t="s">
        <v>10731</v>
      </c>
    </row>
    <row r="3484" spans="1:20" x14ac:dyDescent="0.25">
      <c r="A3484" t="str">
        <f>"3060099"</f>
        <v>3060099</v>
      </c>
      <c r="B3484" t="s">
        <v>10733</v>
      </c>
      <c r="C3484" t="str">
        <f>"82517051"</f>
        <v>82517051</v>
      </c>
      <c r="D3484" t="s">
        <v>10734</v>
      </c>
      <c r="E3484" t="s">
        <v>10735</v>
      </c>
      <c r="F3484" t="s">
        <v>10736</v>
      </c>
      <c r="I3484" t="s">
        <v>184</v>
      </c>
      <c r="J3484" t="s">
        <v>30</v>
      </c>
      <c r="K3484" t="s">
        <v>10737</v>
      </c>
      <c r="M3484" t="s">
        <v>32</v>
      </c>
      <c r="N3484" t="str">
        <f>"1/16/2007 12:00:00 AM"</f>
        <v>1/16/2007 12:00:00 AM</v>
      </c>
      <c r="O3484" t="s">
        <v>10734</v>
      </c>
      <c r="T3484" t="s">
        <v>10735</v>
      </c>
    </row>
    <row r="3485" spans="1:20" x14ac:dyDescent="0.25">
      <c r="A3485" t="str">
        <f>"3048162"</f>
        <v>3048162</v>
      </c>
      <c r="B3485" t="s">
        <v>10738</v>
      </c>
      <c r="C3485" t="str">
        <f>"51220000"</f>
        <v>51220000</v>
      </c>
      <c r="D3485" t="s">
        <v>10739</v>
      </c>
      <c r="E3485" t="s">
        <v>10740</v>
      </c>
      <c r="F3485" t="s">
        <v>10741</v>
      </c>
      <c r="I3485" t="s">
        <v>184</v>
      </c>
      <c r="J3485" t="s">
        <v>30</v>
      </c>
      <c r="K3485" t="s">
        <v>10425</v>
      </c>
      <c r="M3485" t="s">
        <v>32</v>
      </c>
      <c r="N3485" t="str">
        <f>"1/26/2007 12:00:00 AM"</f>
        <v>1/26/2007 12:00:00 AM</v>
      </c>
      <c r="O3485" t="s">
        <v>10739</v>
      </c>
      <c r="T3485" t="s">
        <v>10740</v>
      </c>
    </row>
    <row r="3486" spans="1:20" x14ac:dyDescent="0.25">
      <c r="A3486" t="str">
        <f>"3048149"</f>
        <v>3048149</v>
      </c>
      <c r="B3486" t="s">
        <v>10742</v>
      </c>
      <c r="C3486" t="str">
        <f>"51220000"</f>
        <v>51220000</v>
      </c>
      <c r="D3486" t="s">
        <v>10739</v>
      </c>
      <c r="E3486" t="s">
        <v>10740</v>
      </c>
      <c r="F3486" t="s">
        <v>10741</v>
      </c>
      <c r="I3486" t="s">
        <v>184</v>
      </c>
      <c r="J3486" t="s">
        <v>30</v>
      </c>
      <c r="K3486" t="s">
        <v>10425</v>
      </c>
      <c r="M3486" t="s">
        <v>32</v>
      </c>
      <c r="N3486" t="str">
        <f>"1/26/2007 12:00:00 AM"</f>
        <v>1/26/2007 12:00:00 AM</v>
      </c>
      <c r="O3486" t="s">
        <v>10739</v>
      </c>
      <c r="T3486" t="s">
        <v>10740</v>
      </c>
    </row>
    <row r="3487" spans="1:20" x14ac:dyDescent="0.25">
      <c r="A3487" t="str">
        <f>"3046974"</f>
        <v>3046974</v>
      </c>
      <c r="B3487" t="s">
        <v>10743</v>
      </c>
      <c r="C3487" t="str">
        <f>"80364000"</f>
        <v>80364000</v>
      </c>
      <c r="D3487" t="s">
        <v>10744</v>
      </c>
      <c r="E3487" t="s">
        <v>10745</v>
      </c>
      <c r="F3487" t="s">
        <v>10746</v>
      </c>
      <c r="I3487" t="s">
        <v>29</v>
      </c>
      <c r="J3487" t="s">
        <v>30</v>
      </c>
      <c r="K3487" t="s">
        <v>10747</v>
      </c>
      <c r="M3487" t="s">
        <v>32</v>
      </c>
      <c r="N3487" t="str">
        <f>"1/17/2006 12:00:00 AM"</f>
        <v>1/17/2006 12:00:00 AM</v>
      </c>
      <c r="O3487" t="s">
        <v>10744</v>
      </c>
      <c r="T3487" t="s">
        <v>10745</v>
      </c>
    </row>
    <row r="3488" spans="1:20" x14ac:dyDescent="0.25">
      <c r="A3488" t="str">
        <f>"3046672"</f>
        <v>3046672</v>
      </c>
      <c r="B3488" t="s">
        <v>10748</v>
      </c>
      <c r="C3488" t="str">
        <f>"80364000"</f>
        <v>80364000</v>
      </c>
      <c r="D3488" t="s">
        <v>10744</v>
      </c>
      <c r="E3488" t="s">
        <v>10745</v>
      </c>
      <c r="F3488" t="s">
        <v>10746</v>
      </c>
      <c r="I3488" t="s">
        <v>29</v>
      </c>
      <c r="J3488" t="s">
        <v>30</v>
      </c>
      <c r="K3488" t="s">
        <v>10747</v>
      </c>
      <c r="M3488" t="s">
        <v>32</v>
      </c>
      <c r="N3488" t="str">
        <f>"1/17/2006 12:00:00 AM"</f>
        <v>1/17/2006 12:00:00 AM</v>
      </c>
      <c r="O3488" t="s">
        <v>10744</v>
      </c>
      <c r="T3488" t="s">
        <v>10745</v>
      </c>
    </row>
    <row r="3489" spans="1:20" x14ac:dyDescent="0.25">
      <c r="A3489" t="str">
        <f>"3046500"</f>
        <v>3046500</v>
      </c>
      <c r="B3489" t="s">
        <v>10749</v>
      </c>
      <c r="C3489" t="str">
        <f>"80364000"</f>
        <v>80364000</v>
      </c>
      <c r="D3489" t="s">
        <v>10744</v>
      </c>
      <c r="E3489" t="s">
        <v>10745</v>
      </c>
      <c r="F3489" t="s">
        <v>10746</v>
      </c>
      <c r="I3489" t="s">
        <v>29</v>
      </c>
      <c r="J3489" t="s">
        <v>30</v>
      </c>
      <c r="K3489" t="s">
        <v>10747</v>
      </c>
      <c r="M3489" t="s">
        <v>32</v>
      </c>
      <c r="N3489" t="str">
        <f>"1/17/2006 12:00:00 AM"</f>
        <v>1/17/2006 12:00:00 AM</v>
      </c>
      <c r="O3489" t="s">
        <v>10744</v>
      </c>
      <c r="T3489" t="s">
        <v>10745</v>
      </c>
    </row>
    <row r="3490" spans="1:20" x14ac:dyDescent="0.25">
      <c r="A3490" t="str">
        <f>"3046502"</f>
        <v>3046502</v>
      </c>
      <c r="B3490" t="s">
        <v>10750</v>
      </c>
      <c r="C3490" t="str">
        <f>"80364000"</f>
        <v>80364000</v>
      </c>
      <c r="D3490" t="s">
        <v>10744</v>
      </c>
      <c r="E3490" t="s">
        <v>10745</v>
      </c>
      <c r="F3490" t="s">
        <v>10746</v>
      </c>
      <c r="I3490" t="s">
        <v>29</v>
      </c>
      <c r="J3490" t="s">
        <v>30</v>
      </c>
      <c r="K3490" t="s">
        <v>10747</v>
      </c>
      <c r="M3490" t="s">
        <v>32</v>
      </c>
      <c r="N3490" t="str">
        <f>"1/17/2006 12:00:00 AM"</f>
        <v>1/17/2006 12:00:00 AM</v>
      </c>
      <c r="O3490" t="s">
        <v>10744</v>
      </c>
      <c r="T3490" t="s">
        <v>10745</v>
      </c>
    </row>
    <row r="3491" spans="1:20" x14ac:dyDescent="0.25">
      <c r="A3491" t="str">
        <f>"3046889"</f>
        <v>3046889</v>
      </c>
      <c r="B3491" t="s">
        <v>10751</v>
      </c>
      <c r="C3491" t="str">
        <f>"29481000"</f>
        <v>29481000</v>
      </c>
      <c r="D3491" t="s">
        <v>10752</v>
      </c>
      <c r="F3491" t="s">
        <v>10753</v>
      </c>
      <c r="I3491" t="s">
        <v>29</v>
      </c>
      <c r="J3491" t="s">
        <v>30</v>
      </c>
      <c r="K3491" t="s">
        <v>10754</v>
      </c>
      <c r="M3491" t="s">
        <v>32</v>
      </c>
      <c r="N3491" t="str">
        <f>"1/27/2006 12:00:00 AM"</f>
        <v>1/27/2006 12:00:00 AM</v>
      </c>
      <c r="O3491" t="s">
        <v>10752</v>
      </c>
    </row>
    <row r="3492" spans="1:20" x14ac:dyDescent="0.25">
      <c r="A3492" t="str">
        <f>"3060118"</f>
        <v>3060118</v>
      </c>
      <c r="B3492" t="s">
        <v>10755</v>
      </c>
      <c r="C3492" t="str">
        <f>"82513073"</f>
        <v>82513073</v>
      </c>
      <c r="D3492" t="s">
        <v>10756</v>
      </c>
      <c r="E3492" t="s">
        <v>10757</v>
      </c>
      <c r="F3492" t="s">
        <v>10758</v>
      </c>
      <c r="I3492" t="s">
        <v>184</v>
      </c>
      <c r="J3492" t="s">
        <v>30</v>
      </c>
      <c r="K3492" t="s">
        <v>185</v>
      </c>
      <c r="M3492" t="s">
        <v>32</v>
      </c>
      <c r="N3492" t="str">
        <f>"7/21/2004 12:00:00 AM"</f>
        <v>7/21/2004 12:00:00 AM</v>
      </c>
      <c r="O3492" t="s">
        <v>10756</v>
      </c>
      <c r="T3492" t="s">
        <v>10757</v>
      </c>
    </row>
    <row r="3493" spans="1:20" x14ac:dyDescent="0.25">
      <c r="A3493" t="str">
        <f>"3060121"</f>
        <v>3060121</v>
      </c>
      <c r="B3493" t="s">
        <v>10759</v>
      </c>
      <c r="C3493" t="str">
        <f>"82516011"</f>
        <v>82516011</v>
      </c>
      <c r="D3493" t="s">
        <v>10760</v>
      </c>
      <c r="E3493" t="s">
        <v>10761</v>
      </c>
      <c r="F3493" t="s">
        <v>10762</v>
      </c>
      <c r="I3493" t="s">
        <v>184</v>
      </c>
      <c r="J3493" t="s">
        <v>30</v>
      </c>
      <c r="K3493" t="s">
        <v>185</v>
      </c>
      <c r="M3493" t="s">
        <v>32</v>
      </c>
      <c r="N3493" t="str">
        <f>"8/13/2002 12:00:00 AM"</f>
        <v>8/13/2002 12:00:00 AM</v>
      </c>
      <c r="O3493" t="s">
        <v>10760</v>
      </c>
      <c r="T3493" t="s">
        <v>10761</v>
      </c>
    </row>
    <row r="3494" spans="1:20" x14ac:dyDescent="0.25">
      <c r="A3494" t="str">
        <f>"3067233"</f>
        <v>3067233</v>
      </c>
      <c r="B3494" t="s">
        <v>10763</v>
      </c>
      <c r="C3494" t="str">
        <f>"82523682"</f>
        <v>82523682</v>
      </c>
      <c r="D3494" t="s">
        <v>10764</v>
      </c>
      <c r="E3494" t="s">
        <v>10765</v>
      </c>
      <c r="F3494" t="s">
        <v>10766</v>
      </c>
      <c r="I3494" t="s">
        <v>184</v>
      </c>
      <c r="J3494" t="s">
        <v>30</v>
      </c>
      <c r="K3494" t="s">
        <v>10767</v>
      </c>
      <c r="N3494" t="str">
        <f>"2/11/2010 12:00:00 AM"</f>
        <v>2/11/2010 12:00:00 AM</v>
      </c>
      <c r="O3494" t="s">
        <v>10764</v>
      </c>
      <c r="T3494" t="s">
        <v>10765</v>
      </c>
    </row>
    <row r="3495" spans="1:20" x14ac:dyDescent="0.25">
      <c r="A3495" t="str">
        <f>"3060130"</f>
        <v>3060130</v>
      </c>
      <c r="B3495" t="s">
        <v>10768</v>
      </c>
      <c r="C3495" t="str">
        <f>"72718000"</f>
        <v>72718000</v>
      </c>
      <c r="D3495" t="s">
        <v>10769</v>
      </c>
      <c r="E3495" t="s">
        <v>10770</v>
      </c>
      <c r="F3495" t="s">
        <v>10771</v>
      </c>
      <c r="I3495" t="s">
        <v>184</v>
      </c>
      <c r="J3495" t="s">
        <v>30</v>
      </c>
      <c r="K3495" t="s">
        <v>185</v>
      </c>
      <c r="M3495" t="s">
        <v>32</v>
      </c>
      <c r="N3495" t="str">
        <f>"11/5/2003 12:00:00 AM"</f>
        <v>11/5/2003 12:00:00 AM</v>
      </c>
      <c r="O3495" t="s">
        <v>10769</v>
      </c>
      <c r="T3495" t="s">
        <v>10770</v>
      </c>
    </row>
    <row r="3496" spans="1:20" x14ac:dyDescent="0.25">
      <c r="A3496" t="str">
        <f>"3060153"</f>
        <v>3060153</v>
      </c>
      <c r="B3496" t="s">
        <v>10772</v>
      </c>
      <c r="C3496" t="str">
        <f>"82525253"</f>
        <v>82525253</v>
      </c>
      <c r="D3496" t="s">
        <v>10773</v>
      </c>
      <c r="E3496" t="s">
        <v>10774</v>
      </c>
      <c r="F3496" t="s">
        <v>10775</v>
      </c>
      <c r="I3496" t="s">
        <v>184</v>
      </c>
      <c r="J3496" t="s">
        <v>30</v>
      </c>
      <c r="K3496" t="s">
        <v>8574</v>
      </c>
      <c r="M3496" t="s">
        <v>32</v>
      </c>
      <c r="N3496" t="str">
        <f>"1/9/2006 12:00:00 AM"</f>
        <v>1/9/2006 12:00:00 AM</v>
      </c>
      <c r="O3496" t="s">
        <v>10773</v>
      </c>
      <c r="T3496" t="s">
        <v>10774</v>
      </c>
    </row>
    <row r="3497" spans="1:20" x14ac:dyDescent="0.25">
      <c r="A3497" t="str">
        <f>"3060154"</f>
        <v>3060154</v>
      </c>
      <c r="B3497" t="s">
        <v>10776</v>
      </c>
      <c r="C3497" t="str">
        <f>"82525584"</f>
        <v>82525584</v>
      </c>
      <c r="D3497" t="s">
        <v>10777</v>
      </c>
      <c r="E3497" t="s">
        <v>10778</v>
      </c>
      <c r="F3497" t="s">
        <v>10779</v>
      </c>
      <c r="I3497" t="s">
        <v>184</v>
      </c>
      <c r="J3497" t="s">
        <v>30</v>
      </c>
      <c r="K3497" t="s">
        <v>185</v>
      </c>
      <c r="M3497" t="s">
        <v>32</v>
      </c>
      <c r="N3497" t="str">
        <f>"6/23/2011 12:00:00 AM"</f>
        <v>6/23/2011 12:00:00 AM</v>
      </c>
      <c r="O3497" t="s">
        <v>10777</v>
      </c>
      <c r="T3497" t="s">
        <v>10778</v>
      </c>
    </row>
    <row r="3498" spans="1:20" x14ac:dyDescent="0.25">
      <c r="A3498" t="str">
        <f>"3060155"</f>
        <v>3060155</v>
      </c>
      <c r="B3498" t="s">
        <v>10780</v>
      </c>
      <c r="C3498" t="str">
        <f>"82521884"</f>
        <v>82521884</v>
      </c>
      <c r="D3498" t="s">
        <v>10781</v>
      </c>
      <c r="E3498" t="s">
        <v>10782</v>
      </c>
      <c r="F3498" t="s">
        <v>10783</v>
      </c>
      <c r="I3498" t="s">
        <v>184</v>
      </c>
      <c r="J3498" t="s">
        <v>30</v>
      </c>
      <c r="K3498" t="s">
        <v>8574</v>
      </c>
      <c r="M3498" t="s">
        <v>32</v>
      </c>
      <c r="N3498" t="str">
        <f>"1/12/2006 12:00:00 AM"</f>
        <v>1/12/2006 12:00:00 AM</v>
      </c>
      <c r="O3498" t="s">
        <v>10781</v>
      </c>
      <c r="T3498" t="s">
        <v>10782</v>
      </c>
    </row>
    <row r="3499" spans="1:20" x14ac:dyDescent="0.25">
      <c r="A3499" t="str">
        <f>"3060150"</f>
        <v>3060150</v>
      </c>
      <c r="B3499" t="s">
        <v>10784</v>
      </c>
      <c r="C3499" t="str">
        <f>"82518547"</f>
        <v>82518547</v>
      </c>
      <c r="D3499" t="s">
        <v>10785</v>
      </c>
      <c r="E3499" t="s">
        <v>10786</v>
      </c>
      <c r="F3499" t="s">
        <v>10787</v>
      </c>
      <c r="I3499" t="s">
        <v>184</v>
      </c>
      <c r="J3499" t="s">
        <v>30</v>
      </c>
      <c r="K3499" t="s">
        <v>8574</v>
      </c>
      <c r="M3499" t="s">
        <v>32</v>
      </c>
      <c r="N3499" t="str">
        <f>"6/30/2006 12:00:00 AM"</f>
        <v>6/30/2006 12:00:00 AM</v>
      </c>
      <c r="O3499" t="s">
        <v>10785</v>
      </c>
      <c r="T3499" t="s">
        <v>10786</v>
      </c>
    </row>
    <row r="3500" spans="1:20" x14ac:dyDescent="0.25">
      <c r="A3500" t="str">
        <f>"3060151"</f>
        <v>3060151</v>
      </c>
      <c r="B3500" t="s">
        <v>10788</v>
      </c>
      <c r="C3500" t="str">
        <f>"82523034"</f>
        <v>82523034</v>
      </c>
      <c r="D3500" t="s">
        <v>10789</v>
      </c>
      <c r="E3500" t="s">
        <v>10790</v>
      </c>
      <c r="F3500" t="s">
        <v>10791</v>
      </c>
      <c r="I3500" t="s">
        <v>184</v>
      </c>
      <c r="J3500" t="s">
        <v>30</v>
      </c>
      <c r="K3500" t="s">
        <v>8574</v>
      </c>
      <c r="M3500" t="s">
        <v>32</v>
      </c>
      <c r="N3500" t="str">
        <f>"1/9/2006 12:00:00 AM"</f>
        <v>1/9/2006 12:00:00 AM</v>
      </c>
      <c r="O3500" t="s">
        <v>10789</v>
      </c>
      <c r="T3500" t="s">
        <v>10790</v>
      </c>
    </row>
    <row r="3501" spans="1:20" x14ac:dyDescent="0.25">
      <c r="A3501" t="str">
        <f>"3078219"</f>
        <v>3078219</v>
      </c>
      <c r="B3501" t="s">
        <v>10792</v>
      </c>
      <c r="C3501" t="str">
        <f>"71660000"</f>
        <v>71660000</v>
      </c>
      <c r="D3501" t="s">
        <v>10793</v>
      </c>
      <c r="F3501" t="s">
        <v>10794</v>
      </c>
      <c r="I3501" t="s">
        <v>1149</v>
      </c>
      <c r="J3501" t="s">
        <v>30</v>
      </c>
      <c r="K3501" t="s">
        <v>10795</v>
      </c>
      <c r="M3501" t="s">
        <v>32</v>
      </c>
      <c r="N3501" t="str">
        <f>"1/5/2006 12:00:00 AM"</f>
        <v>1/5/2006 12:00:00 AM</v>
      </c>
      <c r="O3501" t="s">
        <v>10793</v>
      </c>
    </row>
    <row r="3502" spans="1:20" x14ac:dyDescent="0.25">
      <c r="A3502" t="str">
        <f>"3078725"</f>
        <v>3078725</v>
      </c>
      <c r="B3502" t="s">
        <v>10796</v>
      </c>
      <c r="C3502" t="str">
        <f>"71660000"</f>
        <v>71660000</v>
      </c>
      <c r="D3502" t="s">
        <v>10793</v>
      </c>
      <c r="F3502" t="s">
        <v>10794</v>
      </c>
      <c r="I3502" t="s">
        <v>1149</v>
      </c>
      <c r="J3502" t="s">
        <v>30</v>
      </c>
      <c r="K3502" t="s">
        <v>10795</v>
      </c>
      <c r="M3502" t="s">
        <v>32</v>
      </c>
      <c r="N3502" t="str">
        <f>"1/5/2006 12:00:00 AM"</f>
        <v>1/5/2006 12:00:00 AM</v>
      </c>
      <c r="O3502" t="s">
        <v>10793</v>
      </c>
    </row>
    <row r="3503" spans="1:20" x14ac:dyDescent="0.25">
      <c r="A3503" t="str">
        <f>"3048217"</f>
        <v>3048217</v>
      </c>
      <c r="B3503" t="s">
        <v>10797</v>
      </c>
      <c r="C3503" t="str">
        <f>"71660000"</f>
        <v>71660000</v>
      </c>
      <c r="D3503" t="s">
        <v>10793</v>
      </c>
      <c r="F3503" t="s">
        <v>10794</v>
      </c>
      <c r="I3503" t="s">
        <v>1149</v>
      </c>
      <c r="J3503" t="s">
        <v>30</v>
      </c>
      <c r="K3503" t="s">
        <v>10795</v>
      </c>
      <c r="M3503" t="s">
        <v>32</v>
      </c>
      <c r="N3503" t="str">
        <f>"1/5/2006 12:00:00 AM"</f>
        <v>1/5/2006 12:00:00 AM</v>
      </c>
      <c r="O3503" t="s">
        <v>10793</v>
      </c>
    </row>
    <row r="3504" spans="1:20" x14ac:dyDescent="0.25">
      <c r="A3504" t="str">
        <f>"3047447"</f>
        <v>3047447</v>
      </c>
      <c r="B3504" t="s">
        <v>10798</v>
      </c>
      <c r="C3504" t="str">
        <f>"71660000"</f>
        <v>71660000</v>
      </c>
      <c r="D3504" t="s">
        <v>10793</v>
      </c>
      <c r="F3504" t="s">
        <v>10794</v>
      </c>
      <c r="I3504" t="s">
        <v>1149</v>
      </c>
      <c r="J3504" t="s">
        <v>30</v>
      </c>
      <c r="K3504" t="s">
        <v>10795</v>
      </c>
      <c r="M3504" t="s">
        <v>32</v>
      </c>
      <c r="N3504" t="str">
        <f>"1/5/2006 12:00:00 AM"</f>
        <v>1/5/2006 12:00:00 AM</v>
      </c>
      <c r="O3504" t="s">
        <v>10793</v>
      </c>
    </row>
    <row r="3505" spans="1:20" x14ac:dyDescent="0.25">
      <c r="A3505" t="str">
        <f>"3048070"</f>
        <v>3048070</v>
      </c>
      <c r="B3505" t="s">
        <v>10799</v>
      </c>
      <c r="C3505" t="str">
        <f>"2978550"</f>
        <v>2978550</v>
      </c>
      <c r="D3505" t="s">
        <v>1587</v>
      </c>
      <c r="E3505" t="s">
        <v>10800</v>
      </c>
      <c r="F3505" t="s">
        <v>1588</v>
      </c>
      <c r="I3505" t="s">
        <v>184</v>
      </c>
      <c r="J3505" t="s">
        <v>30</v>
      </c>
      <c r="K3505" t="s">
        <v>10801</v>
      </c>
      <c r="M3505" t="s">
        <v>32</v>
      </c>
      <c r="N3505" t="str">
        <f>"8/12/2002 12:00:00 AM"</f>
        <v>8/12/2002 12:00:00 AM</v>
      </c>
      <c r="O3505" t="s">
        <v>1587</v>
      </c>
      <c r="T3505" t="s">
        <v>10800</v>
      </c>
    </row>
    <row r="3506" spans="1:20" x14ac:dyDescent="0.25">
      <c r="A3506" t="str">
        <f>"3047894"</f>
        <v>3047894</v>
      </c>
      <c r="B3506" t="s">
        <v>10802</v>
      </c>
      <c r="C3506" t="str">
        <f>"18280000"</f>
        <v>18280000</v>
      </c>
      <c r="D3506" t="s">
        <v>10803</v>
      </c>
      <c r="F3506" t="s">
        <v>10804</v>
      </c>
      <c r="I3506" t="s">
        <v>184</v>
      </c>
      <c r="J3506" t="s">
        <v>30</v>
      </c>
      <c r="K3506" t="s">
        <v>185</v>
      </c>
      <c r="M3506" t="s">
        <v>32</v>
      </c>
      <c r="N3506" t="str">
        <f>"7/9/2003 12:00:00 AM"</f>
        <v>7/9/2003 12:00:00 AM</v>
      </c>
      <c r="O3506" t="s">
        <v>10803</v>
      </c>
    </row>
    <row r="3507" spans="1:20" x14ac:dyDescent="0.25">
      <c r="A3507" t="str">
        <f>"3050744"</f>
        <v>3050744</v>
      </c>
      <c r="B3507" t="s">
        <v>10805</v>
      </c>
      <c r="C3507" t="str">
        <f>"28103000"</f>
        <v>28103000</v>
      </c>
      <c r="D3507" t="s">
        <v>10806</v>
      </c>
      <c r="E3507" t="s">
        <v>10807</v>
      </c>
      <c r="F3507" t="s">
        <v>10808</v>
      </c>
      <c r="I3507" t="s">
        <v>184</v>
      </c>
      <c r="J3507" t="s">
        <v>30</v>
      </c>
      <c r="K3507" t="s">
        <v>185</v>
      </c>
      <c r="M3507" t="s">
        <v>32</v>
      </c>
      <c r="N3507" t="str">
        <f>"8/13/2002 12:00:00 AM"</f>
        <v>8/13/2002 12:00:00 AM</v>
      </c>
      <c r="O3507" t="s">
        <v>10806</v>
      </c>
      <c r="T3507" t="s">
        <v>10807</v>
      </c>
    </row>
    <row r="3508" spans="1:20" x14ac:dyDescent="0.25">
      <c r="A3508" t="str">
        <f>"3050678"</f>
        <v>3050678</v>
      </c>
      <c r="B3508" t="s">
        <v>10809</v>
      </c>
      <c r="C3508" t="str">
        <f>"82517109"</f>
        <v>82517109</v>
      </c>
      <c r="D3508" t="s">
        <v>10810</v>
      </c>
      <c r="E3508" t="s">
        <v>10811</v>
      </c>
      <c r="F3508" t="s">
        <v>10812</v>
      </c>
      <c r="I3508" t="s">
        <v>184</v>
      </c>
      <c r="J3508" t="s">
        <v>30</v>
      </c>
      <c r="K3508" t="s">
        <v>185</v>
      </c>
      <c r="N3508" t="str">
        <f>"8/13/2002 12:00:00 AM"</f>
        <v>8/13/2002 12:00:00 AM</v>
      </c>
      <c r="O3508" t="s">
        <v>10810</v>
      </c>
      <c r="T3508" t="s">
        <v>10811</v>
      </c>
    </row>
    <row r="3509" spans="1:20" x14ac:dyDescent="0.25">
      <c r="A3509" t="str">
        <f>"3050699"</f>
        <v>3050699</v>
      </c>
      <c r="B3509" t="s">
        <v>10813</v>
      </c>
      <c r="C3509" t="str">
        <f>"82521277"</f>
        <v>82521277</v>
      </c>
      <c r="D3509" t="s">
        <v>10814</v>
      </c>
      <c r="E3509" t="s">
        <v>10815</v>
      </c>
      <c r="F3509" t="s">
        <v>10816</v>
      </c>
      <c r="I3509" t="s">
        <v>184</v>
      </c>
      <c r="J3509" t="s">
        <v>30</v>
      </c>
      <c r="K3509" t="s">
        <v>10550</v>
      </c>
      <c r="N3509" t="str">
        <f>"2/1/2006 12:00:00 AM"</f>
        <v>2/1/2006 12:00:00 AM</v>
      </c>
      <c r="O3509" t="s">
        <v>10814</v>
      </c>
      <c r="T3509" t="s">
        <v>10815</v>
      </c>
    </row>
    <row r="3510" spans="1:20" x14ac:dyDescent="0.25">
      <c r="A3510" t="str">
        <f>"3078216"</f>
        <v>3078216</v>
      </c>
      <c r="B3510" t="s">
        <v>10817</v>
      </c>
      <c r="C3510" t="str">
        <f>"46326000"</f>
        <v>46326000</v>
      </c>
      <c r="D3510" t="s">
        <v>10818</v>
      </c>
      <c r="E3510" t="s">
        <v>10819</v>
      </c>
      <c r="F3510" t="s">
        <v>10820</v>
      </c>
      <c r="I3510" t="s">
        <v>29</v>
      </c>
      <c r="J3510" t="s">
        <v>30</v>
      </c>
      <c r="K3510" t="s">
        <v>10821</v>
      </c>
      <c r="M3510" t="s">
        <v>32</v>
      </c>
      <c r="N3510" t="str">
        <f>"2/6/2007 12:00:00 AM"</f>
        <v>2/6/2007 12:00:00 AM</v>
      </c>
      <c r="O3510" t="s">
        <v>10818</v>
      </c>
      <c r="T3510" t="s">
        <v>10819</v>
      </c>
    </row>
    <row r="3511" spans="1:20" x14ac:dyDescent="0.25">
      <c r="A3511" t="str">
        <f>"3048248"</f>
        <v>3048248</v>
      </c>
      <c r="B3511" t="s">
        <v>10822</v>
      </c>
      <c r="C3511" t="str">
        <f>"60517500"</f>
        <v>60517500</v>
      </c>
      <c r="D3511" t="s">
        <v>10823</v>
      </c>
      <c r="E3511" t="s">
        <v>10824</v>
      </c>
      <c r="F3511" t="s">
        <v>10825</v>
      </c>
      <c r="I3511" t="s">
        <v>29</v>
      </c>
      <c r="J3511" t="s">
        <v>30</v>
      </c>
      <c r="K3511" t="s">
        <v>10826</v>
      </c>
      <c r="M3511" t="s">
        <v>32</v>
      </c>
      <c r="N3511" t="str">
        <f>"3/9/2005 12:00:00 AM"</f>
        <v>3/9/2005 12:00:00 AM</v>
      </c>
      <c r="O3511" t="s">
        <v>10823</v>
      </c>
      <c r="T3511" t="s">
        <v>10824</v>
      </c>
    </row>
    <row r="3512" spans="1:20" x14ac:dyDescent="0.25">
      <c r="A3512" t="str">
        <f>"3047694"</f>
        <v>3047694</v>
      </c>
      <c r="B3512" t="s">
        <v>10827</v>
      </c>
      <c r="C3512" t="str">
        <f>"60517500"</f>
        <v>60517500</v>
      </c>
      <c r="D3512" t="s">
        <v>10823</v>
      </c>
      <c r="E3512" t="s">
        <v>10824</v>
      </c>
      <c r="F3512" t="s">
        <v>10825</v>
      </c>
      <c r="I3512" t="s">
        <v>29</v>
      </c>
      <c r="J3512" t="s">
        <v>30</v>
      </c>
      <c r="K3512" t="s">
        <v>10826</v>
      </c>
      <c r="M3512" t="s">
        <v>32</v>
      </c>
      <c r="N3512" t="str">
        <f>"3/9/2005 12:00:00 AM"</f>
        <v>3/9/2005 12:00:00 AM</v>
      </c>
      <c r="O3512" t="s">
        <v>10823</v>
      </c>
      <c r="T3512" t="s">
        <v>10824</v>
      </c>
    </row>
    <row r="3513" spans="1:20" x14ac:dyDescent="0.25">
      <c r="A3513" t="str">
        <f>"3048260"</f>
        <v>3048260</v>
      </c>
      <c r="B3513" t="s">
        <v>10828</v>
      </c>
      <c r="C3513" t="str">
        <f>"48628000"</f>
        <v>48628000</v>
      </c>
      <c r="D3513" t="s">
        <v>10829</v>
      </c>
      <c r="F3513" t="s">
        <v>10830</v>
      </c>
      <c r="I3513" t="s">
        <v>29</v>
      </c>
      <c r="J3513" t="s">
        <v>30</v>
      </c>
      <c r="K3513" t="s">
        <v>31</v>
      </c>
      <c r="M3513" t="s">
        <v>32</v>
      </c>
      <c r="N3513" t="str">
        <f>"2/18/2004 12:00:00 AM"</f>
        <v>2/18/2004 12:00:00 AM</v>
      </c>
      <c r="O3513" t="s">
        <v>10829</v>
      </c>
    </row>
    <row r="3514" spans="1:20" x14ac:dyDescent="0.25">
      <c r="A3514" t="str">
        <f>"3047866"</f>
        <v>3047866</v>
      </c>
      <c r="B3514" t="s">
        <v>10831</v>
      </c>
      <c r="C3514" t="str">
        <f>"82521612"</f>
        <v>82521612</v>
      </c>
      <c r="D3514" t="s">
        <v>10832</v>
      </c>
      <c r="F3514" t="s">
        <v>10833</v>
      </c>
      <c r="I3514" t="s">
        <v>1149</v>
      </c>
      <c r="J3514" t="s">
        <v>30</v>
      </c>
      <c r="K3514" t="s">
        <v>1150</v>
      </c>
      <c r="M3514" t="s">
        <v>32</v>
      </c>
      <c r="N3514" t="str">
        <f>"2/23/2004 12:00:00 AM"</f>
        <v>2/23/2004 12:00:00 AM</v>
      </c>
      <c r="O3514" t="s">
        <v>10832</v>
      </c>
    </row>
    <row r="3515" spans="1:20" x14ac:dyDescent="0.25">
      <c r="A3515" t="str">
        <f>"3048238"</f>
        <v>3048238</v>
      </c>
      <c r="B3515" t="s">
        <v>10834</v>
      </c>
      <c r="C3515" t="str">
        <f>"71780000"</f>
        <v>71780000</v>
      </c>
      <c r="D3515" t="s">
        <v>10835</v>
      </c>
      <c r="F3515" t="s">
        <v>10836</v>
      </c>
      <c r="I3515" t="s">
        <v>29</v>
      </c>
      <c r="J3515" t="s">
        <v>30</v>
      </c>
      <c r="K3515" t="s">
        <v>31</v>
      </c>
      <c r="M3515" t="s">
        <v>32</v>
      </c>
      <c r="N3515" t="str">
        <f>"8/14/2002 12:00:00 AM"</f>
        <v>8/14/2002 12:00:00 AM</v>
      </c>
      <c r="O3515" t="s">
        <v>10835</v>
      </c>
    </row>
    <row r="3516" spans="1:20" x14ac:dyDescent="0.25">
      <c r="A3516" t="str">
        <f>"3050721"</f>
        <v>3050721</v>
      </c>
      <c r="B3516" t="s">
        <v>10837</v>
      </c>
      <c r="C3516" t="str">
        <f>"82516592"</f>
        <v>82516592</v>
      </c>
      <c r="D3516" t="s">
        <v>10838</v>
      </c>
      <c r="E3516" t="s">
        <v>10839</v>
      </c>
      <c r="F3516" t="s">
        <v>10840</v>
      </c>
      <c r="I3516" t="s">
        <v>184</v>
      </c>
      <c r="J3516" t="s">
        <v>30</v>
      </c>
      <c r="K3516" t="s">
        <v>10584</v>
      </c>
      <c r="M3516" t="s">
        <v>32</v>
      </c>
      <c r="N3516" t="str">
        <f>"1/12/2006 12:00:00 AM"</f>
        <v>1/12/2006 12:00:00 AM</v>
      </c>
      <c r="O3516" t="s">
        <v>10838</v>
      </c>
      <c r="T3516" t="s">
        <v>10839</v>
      </c>
    </row>
    <row r="3517" spans="1:20" x14ac:dyDescent="0.25">
      <c r="A3517" t="str">
        <f>"3048213"</f>
        <v>3048213</v>
      </c>
      <c r="B3517" t="s">
        <v>10841</v>
      </c>
      <c r="C3517" t="str">
        <f>"58500000"</f>
        <v>58500000</v>
      </c>
      <c r="D3517" t="s">
        <v>10842</v>
      </c>
      <c r="F3517" t="s">
        <v>10843</v>
      </c>
      <c r="I3517" t="s">
        <v>1149</v>
      </c>
      <c r="J3517" t="s">
        <v>30</v>
      </c>
      <c r="K3517" t="s">
        <v>10844</v>
      </c>
      <c r="M3517" t="s">
        <v>32</v>
      </c>
      <c r="N3517" t="str">
        <f>"2/17/2005 12:00:00 AM"</f>
        <v>2/17/2005 12:00:00 AM</v>
      </c>
      <c r="O3517" t="s">
        <v>10842</v>
      </c>
    </row>
    <row r="3518" spans="1:20" x14ac:dyDescent="0.25">
      <c r="A3518" t="str">
        <f>"3048220"</f>
        <v>3048220</v>
      </c>
      <c r="B3518" t="s">
        <v>10845</v>
      </c>
      <c r="C3518" t="str">
        <f>"71664000"</f>
        <v>71664000</v>
      </c>
      <c r="D3518" t="s">
        <v>10793</v>
      </c>
      <c r="E3518" t="s">
        <v>10846</v>
      </c>
      <c r="F3518" t="s">
        <v>10794</v>
      </c>
      <c r="I3518" t="s">
        <v>1149</v>
      </c>
      <c r="J3518" t="s">
        <v>30</v>
      </c>
      <c r="K3518" t="s">
        <v>1150</v>
      </c>
      <c r="M3518" t="s">
        <v>32</v>
      </c>
      <c r="N3518" t="str">
        <f>"10/28/2002 12:00:00 AM"</f>
        <v>10/28/2002 12:00:00 AM</v>
      </c>
      <c r="O3518" t="s">
        <v>10793</v>
      </c>
      <c r="T3518" t="s">
        <v>10846</v>
      </c>
    </row>
    <row r="3519" spans="1:20" x14ac:dyDescent="0.25">
      <c r="A3519" t="str">
        <f>"3051227"</f>
        <v>3051227</v>
      </c>
      <c r="B3519" t="s">
        <v>10847</v>
      </c>
      <c r="C3519" t="str">
        <f>"14047800"</f>
        <v>14047800</v>
      </c>
      <c r="D3519" t="s">
        <v>10848</v>
      </c>
      <c r="F3519" t="s">
        <v>10849</v>
      </c>
      <c r="I3519" t="s">
        <v>29</v>
      </c>
      <c r="J3519" t="s">
        <v>30</v>
      </c>
      <c r="K3519" t="s">
        <v>31</v>
      </c>
      <c r="M3519" t="s">
        <v>32</v>
      </c>
      <c r="N3519" t="str">
        <f>"6/19/2003 12:00:00 AM"</f>
        <v>6/19/2003 12:00:00 AM</v>
      </c>
      <c r="O3519" t="s">
        <v>10848</v>
      </c>
    </row>
    <row r="3520" spans="1:20" x14ac:dyDescent="0.25">
      <c r="A3520" t="str">
        <f>"3051549"</f>
        <v>3051549</v>
      </c>
      <c r="B3520" t="s">
        <v>10850</v>
      </c>
      <c r="C3520" t="str">
        <f>"14047800"</f>
        <v>14047800</v>
      </c>
      <c r="D3520" t="s">
        <v>10848</v>
      </c>
      <c r="F3520" t="s">
        <v>10849</v>
      </c>
      <c r="I3520" t="s">
        <v>29</v>
      </c>
      <c r="J3520" t="s">
        <v>30</v>
      </c>
      <c r="K3520" t="s">
        <v>31</v>
      </c>
      <c r="M3520" t="s">
        <v>32</v>
      </c>
      <c r="N3520" t="str">
        <f>"6/19/2003 12:00:00 AM"</f>
        <v>6/19/2003 12:00:00 AM</v>
      </c>
      <c r="O3520" t="s">
        <v>10848</v>
      </c>
    </row>
    <row r="3521" spans="1:20" x14ac:dyDescent="0.25">
      <c r="A3521" t="str">
        <f>"3047736"</f>
        <v>3047736</v>
      </c>
      <c r="B3521" t="s">
        <v>10851</v>
      </c>
      <c r="C3521" t="str">
        <f>"14047800"</f>
        <v>14047800</v>
      </c>
      <c r="D3521" t="s">
        <v>10848</v>
      </c>
      <c r="F3521" t="s">
        <v>10849</v>
      </c>
      <c r="I3521" t="s">
        <v>29</v>
      </c>
      <c r="J3521" t="s">
        <v>30</v>
      </c>
      <c r="K3521" t="s">
        <v>31</v>
      </c>
      <c r="M3521" t="s">
        <v>32</v>
      </c>
      <c r="N3521" t="str">
        <f>"6/19/2003 12:00:00 AM"</f>
        <v>6/19/2003 12:00:00 AM</v>
      </c>
      <c r="O3521" t="s">
        <v>10848</v>
      </c>
    </row>
    <row r="3522" spans="1:20" x14ac:dyDescent="0.25">
      <c r="A3522" t="str">
        <f>"3056949"</f>
        <v>3056949</v>
      </c>
      <c r="B3522" t="s">
        <v>10852</v>
      </c>
      <c r="C3522" t="str">
        <f>"31468000"</f>
        <v>31468000</v>
      </c>
      <c r="D3522" t="s">
        <v>10853</v>
      </c>
      <c r="E3522" t="s">
        <v>10854</v>
      </c>
      <c r="F3522" t="s">
        <v>10855</v>
      </c>
      <c r="I3522" t="s">
        <v>9842</v>
      </c>
      <c r="J3522" t="s">
        <v>30</v>
      </c>
      <c r="K3522" t="s">
        <v>9843</v>
      </c>
      <c r="M3522" t="s">
        <v>32</v>
      </c>
      <c r="N3522" t="str">
        <f>"9/10/2003 12:00:00 AM"</f>
        <v>9/10/2003 12:00:00 AM</v>
      </c>
      <c r="O3522" t="s">
        <v>10853</v>
      </c>
      <c r="T3522" t="s">
        <v>10854</v>
      </c>
    </row>
    <row r="3523" spans="1:20" x14ac:dyDescent="0.25">
      <c r="A3523" t="str">
        <f>"3063576"</f>
        <v>3063576</v>
      </c>
      <c r="B3523" t="s">
        <v>10856</v>
      </c>
      <c r="C3523" t="str">
        <f>"31468000"</f>
        <v>31468000</v>
      </c>
      <c r="D3523" t="s">
        <v>10853</v>
      </c>
      <c r="E3523" t="s">
        <v>10854</v>
      </c>
      <c r="F3523" t="s">
        <v>10855</v>
      </c>
      <c r="I3523" t="s">
        <v>9842</v>
      </c>
      <c r="J3523" t="s">
        <v>30</v>
      </c>
      <c r="K3523" t="s">
        <v>9843</v>
      </c>
      <c r="M3523" t="s">
        <v>32</v>
      </c>
      <c r="N3523" t="str">
        <f>"9/10/2003 12:00:00 AM"</f>
        <v>9/10/2003 12:00:00 AM</v>
      </c>
      <c r="O3523" t="s">
        <v>10853</v>
      </c>
      <c r="T3523" t="s">
        <v>10854</v>
      </c>
    </row>
    <row r="3524" spans="1:20" x14ac:dyDescent="0.25">
      <c r="A3524" t="str">
        <f>"3075509"</f>
        <v>3075509</v>
      </c>
      <c r="B3524" t="s">
        <v>10857</v>
      </c>
      <c r="C3524" t="str">
        <f>"71069000"</f>
        <v>71069000</v>
      </c>
      <c r="D3524" t="s">
        <v>10858</v>
      </c>
      <c r="F3524" t="s">
        <v>10859</v>
      </c>
      <c r="I3524" t="s">
        <v>29</v>
      </c>
      <c r="J3524" t="s">
        <v>30</v>
      </c>
      <c r="K3524" t="s">
        <v>31</v>
      </c>
      <c r="M3524" t="s">
        <v>32</v>
      </c>
      <c r="N3524" t="str">
        <f>"8/14/2002 12:00:00 AM"</f>
        <v>8/14/2002 12:00:00 AM</v>
      </c>
      <c r="O3524" t="s">
        <v>10858</v>
      </c>
    </row>
    <row r="3525" spans="1:20" x14ac:dyDescent="0.25">
      <c r="A3525" t="str">
        <f>"3056952"</f>
        <v>3056952</v>
      </c>
      <c r="B3525" t="s">
        <v>10860</v>
      </c>
      <c r="C3525" t="str">
        <f>"71069000"</f>
        <v>71069000</v>
      </c>
      <c r="D3525" t="s">
        <v>10858</v>
      </c>
      <c r="F3525" t="s">
        <v>10859</v>
      </c>
      <c r="I3525" t="s">
        <v>29</v>
      </c>
      <c r="J3525" t="s">
        <v>30</v>
      </c>
      <c r="K3525" t="s">
        <v>31</v>
      </c>
      <c r="M3525" t="s">
        <v>32</v>
      </c>
      <c r="N3525" t="str">
        <f>"8/14/2002 12:00:00 AM"</f>
        <v>8/14/2002 12:00:00 AM</v>
      </c>
      <c r="O3525" t="s">
        <v>10858</v>
      </c>
    </row>
    <row r="3526" spans="1:20" x14ac:dyDescent="0.25">
      <c r="A3526" t="str">
        <f>"3056948"</f>
        <v>3056948</v>
      </c>
      <c r="B3526" t="s">
        <v>10861</v>
      </c>
      <c r="C3526" t="str">
        <f>"59927800"</f>
        <v>59927800</v>
      </c>
      <c r="D3526" t="s">
        <v>10862</v>
      </c>
      <c r="E3526" t="s">
        <v>10863</v>
      </c>
      <c r="F3526" t="s">
        <v>10864</v>
      </c>
      <c r="I3526" t="s">
        <v>29</v>
      </c>
      <c r="J3526" t="s">
        <v>30</v>
      </c>
      <c r="K3526" t="s">
        <v>31</v>
      </c>
      <c r="M3526" t="s">
        <v>32</v>
      </c>
      <c r="N3526" t="str">
        <f>"4/7/2004 12:00:00 AM"</f>
        <v>4/7/2004 12:00:00 AM</v>
      </c>
      <c r="O3526" t="s">
        <v>10862</v>
      </c>
      <c r="T3526" t="s">
        <v>10863</v>
      </c>
    </row>
    <row r="3527" spans="1:20" x14ac:dyDescent="0.25">
      <c r="A3527" t="str">
        <f>"3056927"</f>
        <v>3056927</v>
      </c>
      <c r="B3527" t="s">
        <v>10865</v>
      </c>
      <c r="C3527" t="str">
        <f>"59927800"</f>
        <v>59927800</v>
      </c>
      <c r="D3527" t="s">
        <v>10862</v>
      </c>
      <c r="E3527" t="s">
        <v>10863</v>
      </c>
      <c r="F3527" t="s">
        <v>10864</v>
      </c>
      <c r="I3527" t="s">
        <v>29</v>
      </c>
      <c r="J3527" t="s">
        <v>30</v>
      </c>
      <c r="K3527" t="s">
        <v>31</v>
      </c>
      <c r="M3527" t="s">
        <v>32</v>
      </c>
      <c r="N3527" t="str">
        <f>"4/7/2004 12:00:00 AM"</f>
        <v>4/7/2004 12:00:00 AM</v>
      </c>
      <c r="O3527" t="s">
        <v>10862</v>
      </c>
      <c r="T3527" t="s">
        <v>10863</v>
      </c>
    </row>
    <row r="3528" spans="1:20" x14ac:dyDescent="0.25">
      <c r="A3528" t="str">
        <f>"3061845"</f>
        <v>3061845</v>
      </c>
      <c r="B3528" t="s">
        <v>10866</v>
      </c>
      <c r="C3528" t="str">
        <f>"59927800"</f>
        <v>59927800</v>
      </c>
      <c r="D3528" t="s">
        <v>10862</v>
      </c>
      <c r="E3528" t="s">
        <v>10863</v>
      </c>
      <c r="F3528" t="s">
        <v>10864</v>
      </c>
      <c r="I3528" t="s">
        <v>29</v>
      </c>
      <c r="J3528" t="s">
        <v>30</v>
      </c>
      <c r="K3528" t="s">
        <v>31</v>
      </c>
      <c r="M3528" t="s">
        <v>32</v>
      </c>
      <c r="N3528" t="str">
        <f>"4/7/2004 12:00:00 AM"</f>
        <v>4/7/2004 12:00:00 AM</v>
      </c>
      <c r="O3528" t="s">
        <v>10862</v>
      </c>
      <c r="T3528" t="s">
        <v>10863</v>
      </c>
    </row>
    <row r="3529" spans="1:20" x14ac:dyDescent="0.25">
      <c r="A3529" t="str">
        <f>"3050727"</f>
        <v>3050727</v>
      </c>
      <c r="B3529" t="s">
        <v>10867</v>
      </c>
      <c r="C3529" t="str">
        <f>"82513150"</f>
        <v>82513150</v>
      </c>
      <c r="D3529" t="s">
        <v>10868</v>
      </c>
      <c r="E3529" t="s">
        <v>10869</v>
      </c>
      <c r="F3529" t="s">
        <v>10870</v>
      </c>
      <c r="I3529" t="s">
        <v>184</v>
      </c>
      <c r="J3529" t="s">
        <v>30</v>
      </c>
      <c r="K3529" t="s">
        <v>10595</v>
      </c>
      <c r="N3529" t="str">
        <f>"8/13/2002 12:00:00 AM"</f>
        <v>8/13/2002 12:00:00 AM</v>
      </c>
      <c r="O3529" t="s">
        <v>10868</v>
      </c>
      <c r="T3529" t="s">
        <v>10869</v>
      </c>
    </row>
    <row r="3530" spans="1:20" x14ac:dyDescent="0.25">
      <c r="A3530" t="str">
        <f>"3050779"</f>
        <v>3050779</v>
      </c>
      <c r="B3530" t="s">
        <v>10871</v>
      </c>
      <c r="C3530" t="str">
        <f>"12640000"</f>
        <v>12640000</v>
      </c>
      <c r="D3530" t="s">
        <v>10872</v>
      </c>
      <c r="E3530" t="s">
        <v>10873</v>
      </c>
      <c r="F3530" t="s">
        <v>10874</v>
      </c>
      <c r="I3530" t="s">
        <v>184</v>
      </c>
      <c r="J3530" t="s">
        <v>30</v>
      </c>
      <c r="K3530" t="s">
        <v>185</v>
      </c>
      <c r="M3530" t="s">
        <v>32</v>
      </c>
      <c r="N3530" t="str">
        <f>"8/13/2002 12:00:00 AM"</f>
        <v>8/13/2002 12:00:00 AM</v>
      </c>
      <c r="O3530" t="s">
        <v>10872</v>
      </c>
      <c r="T3530" t="s">
        <v>10873</v>
      </c>
    </row>
    <row r="3531" spans="1:20" x14ac:dyDescent="0.25">
      <c r="A3531" t="str">
        <f>"3060053"</f>
        <v>3060053</v>
      </c>
      <c r="B3531" t="s">
        <v>10875</v>
      </c>
      <c r="C3531" t="str">
        <f>"67021000"</f>
        <v>67021000</v>
      </c>
      <c r="D3531" t="s">
        <v>10876</v>
      </c>
      <c r="E3531" t="s">
        <v>10877</v>
      </c>
      <c r="F3531" t="s">
        <v>10878</v>
      </c>
      <c r="I3531" t="s">
        <v>184</v>
      </c>
      <c r="J3531" t="s">
        <v>30</v>
      </c>
      <c r="K3531" t="s">
        <v>185</v>
      </c>
      <c r="M3531" t="s">
        <v>32</v>
      </c>
      <c r="N3531" t="str">
        <f>"1/27/2010 12:00:00 AM"</f>
        <v>1/27/2010 12:00:00 AM</v>
      </c>
      <c r="O3531" t="s">
        <v>10876</v>
      </c>
      <c r="T3531" t="s">
        <v>10877</v>
      </c>
    </row>
    <row r="3532" spans="1:20" x14ac:dyDescent="0.25">
      <c r="A3532" t="str">
        <f>"3050688"</f>
        <v>3050688</v>
      </c>
      <c r="B3532" t="s">
        <v>10879</v>
      </c>
      <c r="C3532" t="str">
        <f>"82526509"</f>
        <v>82526509</v>
      </c>
      <c r="D3532" t="s">
        <v>10880</v>
      </c>
      <c r="E3532" t="s">
        <v>10881</v>
      </c>
      <c r="F3532" t="s">
        <v>10882</v>
      </c>
      <c r="I3532" t="s">
        <v>184</v>
      </c>
      <c r="J3532" t="s">
        <v>30</v>
      </c>
      <c r="K3532" t="s">
        <v>10568</v>
      </c>
      <c r="M3532" t="s">
        <v>32</v>
      </c>
      <c r="N3532" t="str">
        <f>"1/9/2007 12:00:00 AM"</f>
        <v>1/9/2007 12:00:00 AM</v>
      </c>
      <c r="O3532" t="s">
        <v>10880</v>
      </c>
      <c r="T3532" t="s">
        <v>10881</v>
      </c>
    </row>
    <row r="3533" spans="1:20" x14ac:dyDescent="0.25">
      <c r="A3533" t="str">
        <f>"3061874"</f>
        <v>3061874</v>
      </c>
      <c r="B3533" t="s">
        <v>10883</v>
      </c>
      <c r="C3533" t="str">
        <f>"76715050"</f>
        <v>76715050</v>
      </c>
      <c r="D3533" t="s">
        <v>10884</v>
      </c>
      <c r="E3533" t="s">
        <v>10885</v>
      </c>
      <c r="F3533" t="s">
        <v>10886</v>
      </c>
      <c r="I3533" t="s">
        <v>29</v>
      </c>
      <c r="J3533" t="s">
        <v>30</v>
      </c>
      <c r="K3533" t="s">
        <v>31</v>
      </c>
      <c r="M3533" t="s">
        <v>32</v>
      </c>
      <c r="N3533" t="str">
        <f>"6/24/2004 12:00:00 AM"</f>
        <v>6/24/2004 12:00:00 AM</v>
      </c>
      <c r="O3533" t="s">
        <v>10884</v>
      </c>
      <c r="T3533" t="s">
        <v>10885</v>
      </c>
    </row>
    <row r="3534" spans="1:20" x14ac:dyDescent="0.25">
      <c r="A3534" t="str">
        <f>"3056969"</f>
        <v>3056969</v>
      </c>
      <c r="B3534" t="s">
        <v>10887</v>
      </c>
      <c r="C3534" t="str">
        <f>"76715050"</f>
        <v>76715050</v>
      </c>
      <c r="D3534" t="s">
        <v>10884</v>
      </c>
      <c r="E3534" t="s">
        <v>10885</v>
      </c>
      <c r="F3534" t="s">
        <v>10886</v>
      </c>
      <c r="I3534" t="s">
        <v>29</v>
      </c>
      <c r="J3534" t="s">
        <v>30</v>
      </c>
      <c r="K3534" t="s">
        <v>31</v>
      </c>
      <c r="M3534" t="s">
        <v>32</v>
      </c>
      <c r="N3534" t="str">
        <f>"6/24/2004 12:00:00 AM"</f>
        <v>6/24/2004 12:00:00 AM</v>
      </c>
      <c r="O3534" t="s">
        <v>10884</v>
      </c>
      <c r="T3534" t="s">
        <v>10885</v>
      </c>
    </row>
    <row r="3535" spans="1:20" x14ac:dyDescent="0.25">
      <c r="A3535" t="str">
        <f>"3056971"</f>
        <v>3056971</v>
      </c>
      <c r="B3535" t="s">
        <v>10888</v>
      </c>
      <c r="C3535" t="str">
        <f>"76715050"</f>
        <v>76715050</v>
      </c>
      <c r="D3535" t="s">
        <v>10884</v>
      </c>
      <c r="E3535" t="s">
        <v>10885</v>
      </c>
      <c r="F3535" t="s">
        <v>10886</v>
      </c>
      <c r="I3535" t="s">
        <v>29</v>
      </c>
      <c r="J3535" t="s">
        <v>30</v>
      </c>
      <c r="K3535" t="s">
        <v>31</v>
      </c>
      <c r="M3535" t="s">
        <v>32</v>
      </c>
      <c r="N3535" t="str">
        <f>"6/24/2004 12:00:00 AM"</f>
        <v>6/24/2004 12:00:00 AM</v>
      </c>
      <c r="O3535" t="s">
        <v>10884</v>
      </c>
      <c r="T3535" t="s">
        <v>10885</v>
      </c>
    </row>
    <row r="3536" spans="1:20" x14ac:dyDescent="0.25">
      <c r="A3536" t="str">
        <f>"3048561"</f>
        <v>3048561</v>
      </c>
      <c r="B3536" t="s">
        <v>10889</v>
      </c>
      <c r="C3536" t="str">
        <f>"82526538"</f>
        <v>82526538</v>
      </c>
      <c r="D3536" t="s">
        <v>10890</v>
      </c>
      <c r="E3536" t="s">
        <v>10891</v>
      </c>
      <c r="F3536" t="s">
        <v>10892</v>
      </c>
      <c r="I3536" t="s">
        <v>184</v>
      </c>
      <c r="J3536" t="s">
        <v>30</v>
      </c>
      <c r="K3536" t="s">
        <v>185</v>
      </c>
      <c r="M3536" t="s">
        <v>32</v>
      </c>
      <c r="N3536" t="str">
        <f>"1/14/2010 12:00:00 AM"</f>
        <v>1/14/2010 12:00:00 AM</v>
      </c>
      <c r="O3536" t="s">
        <v>10890</v>
      </c>
      <c r="T3536" t="s">
        <v>10891</v>
      </c>
    </row>
    <row r="3537" spans="1:20" x14ac:dyDescent="0.25">
      <c r="A3537" t="str">
        <f>"3061862"</f>
        <v>3061862</v>
      </c>
      <c r="B3537" t="s">
        <v>10893</v>
      </c>
      <c r="C3537" t="str">
        <f>"61680000"</f>
        <v>61680000</v>
      </c>
      <c r="D3537" t="s">
        <v>10894</v>
      </c>
      <c r="F3537" t="s">
        <v>10895</v>
      </c>
      <c r="I3537" t="s">
        <v>29</v>
      </c>
      <c r="J3537" t="s">
        <v>30</v>
      </c>
      <c r="K3537" t="s">
        <v>31</v>
      </c>
      <c r="M3537" t="s">
        <v>32</v>
      </c>
      <c r="N3537" t="str">
        <f>"4/13/2004 12:00:00 AM"</f>
        <v>4/13/2004 12:00:00 AM</v>
      </c>
      <c r="O3537" t="s">
        <v>10894</v>
      </c>
    </row>
    <row r="3538" spans="1:20" x14ac:dyDescent="0.25">
      <c r="A3538" t="str">
        <f>"3061865"</f>
        <v>3061865</v>
      </c>
      <c r="B3538" t="s">
        <v>10896</v>
      </c>
      <c r="C3538" t="str">
        <f>"61772500"</f>
        <v>61772500</v>
      </c>
      <c r="D3538" t="s">
        <v>10897</v>
      </c>
      <c r="F3538" t="s">
        <v>10898</v>
      </c>
      <c r="I3538" t="s">
        <v>29</v>
      </c>
      <c r="J3538" t="s">
        <v>30</v>
      </c>
      <c r="K3538" t="s">
        <v>31</v>
      </c>
      <c r="M3538" t="s">
        <v>32</v>
      </c>
      <c r="N3538" t="str">
        <f>"4/13/2004 12:00:00 AM"</f>
        <v>4/13/2004 12:00:00 AM</v>
      </c>
      <c r="O3538" t="s">
        <v>10897</v>
      </c>
    </row>
    <row r="3539" spans="1:20" x14ac:dyDescent="0.25">
      <c r="A3539" t="str">
        <f>"3061869"</f>
        <v>3061869</v>
      </c>
      <c r="B3539" t="s">
        <v>10899</v>
      </c>
      <c r="C3539" t="str">
        <f>"82529017"</f>
        <v>82529017</v>
      </c>
      <c r="D3539" t="s">
        <v>10900</v>
      </c>
      <c r="F3539" t="s">
        <v>10901</v>
      </c>
      <c r="I3539" t="s">
        <v>29</v>
      </c>
      <c r="J3539" t="s">
        <v>30</v>
      </c>
      <c r="K3539" t="s">
        <v>31</v>
      </c>
      <c r="M3539" t="s">
        <v>32</v>
      </c>
      <c r="N3539" t="str">
        <f>"12/31/2007 12:00:00 AM"</f>
        <v>12/31/2007 12:00:00 AM</v>
      </c>
      <c r="O3539" t="s">
        <v>10900</v>
      </c>
    </row>
    <row r="3540" spans="1:20" x14ac:dyDescent="0.25">
      <c r="A3540" t="str">
        <f>"3061871"</f>
        <v>3061871</v>
      </c>
      <c r="B3540" t="s">
        <v>10902</v>
      </c>
      <c r="C3540" t="str">
        <f>"82530175"</f>
        <v>82530175</v>
      </c>
      <c r="D3540" t="s">
        <v>10903</v>
      </c>
      <c r="E3540" t="s">
        <v>10904</v>
      </c>
      <c r="F3540" t="s">
        <v>10905</v>
      </c>
      <c r="I3540" t="s">
        <v>29</v>
      </c>
      <c r="J3540" t="s">
        <v>30</v>
      </c>
      <c r="K3540" t="s">
        <v>31</v>
      </c>
      <c r="M3540" t="s">
        <v>32</v>
      </c>
      <c r="N3540" t="str">
        <f>"2/15/2010 12:00:00 AM"</f>
        <v>2/15/2010 12:00:00 AM</v>
      </c>
      <c r="O3540" t="s">
        <v>10903</v>
      </c>
      <c r="T3540" t="s">
        <v>10904</v>
      </c>
    </row>
    <row r="3541" spans="1:20" x14ac:dyDescent="0.25">
      <c r="A3541" t="str">
        <f>"3056975"</f>
        <v>3056975</v>
      </c>
      <c r="B3541" t="s">
        <v>10906</v>
      </c>
      <c r="C3541" t="str">
        <f>"82530175"</f>
        <v>82530175</v>
      </c>
      <c r="D3541" t="s">
        <v>10903</v>
      </c>
      <c r="E3541" t="s">
        <v>10904</v>
      </c>
      <c r="F3541" t="s">
        <v>10905</v>
      </c>
      <c r="I3541" t="s">
        <v>29</v>
      </c>
      <c r="J3541" t="s">
        <v>30</v>
      </c>
      <c r="K3541" t="s">
        <v>31</v>
      </c>
      <c r="M3541" t="s">
        <v>32</v>
      </c>
      <c r="N3541" t="str">
        <f>"2/15/2010 12:00:00 AM"</f>
        <v>2/15/2010 12:00:00 AM</v>
      </c>
      <c r="O3541" t="s">
        <v>10903</v>
      </c>
      <c r="T3541" t="s">
        <v>10904</v>
      </c>
    </row>
    <row r="3542" spans="1:20" x14ac:dyDescent="0.25">
      <c r="A3542" t="str">
        <f>"3061870"</f>
        <v>3061870</v>
      </c>
      <c r="B3542" t="s">
        <v>10907</v>
      </c>
      <c r="C3542" t="str">
        <f>"82527520"</f>
        <v>82527520</v>
      </c>
      <c r="D3542" t="s">
        <v>10908</v>
      </c>
      <c r="F3542" t="s">
        <v>10909</v>
      </c>
      <c r="I3542" t="s">
        <v>29</v>
      </c>
      <c r="J3542" t="s">
        <v>30</v>
      </c>
      <c r="K3542" t="s">
        <v>10910</v>
      </c>
      <c r="M3542" t="s">
        <v>32</v>
      </c>
      <c r="N3542" t="str">
        <f>"2/8/2010 12:00:00 AM"</f>
        <v>2/8/2010 12:00:00 AM</v>
      </c>
      <c r="O3542" t="s">
        <v>10908</v>
      </c>
    </row>
    <row r="3543" spans="1:20" x14ac:dyDescent="0.25">
      <c r="A3543" t="str">
        <f>"3061872"</f>
        <v>3061872</v>
      </c>
      <c r="B3543" t="s">
        <v>10911</v>
      </c>
      <c r="C3543" t="str">
        <f>"82528398"</f>
        <v>82528398</v>
      </c>
      <c r="D3543" t="s">
        <v>10912</v>
      </c>
      <c r="E3543" t="s">
        <v>10913</v>
      </c>
      <c r="F3543" t="s">
        <v>10914</v>
      </c>
      <c r="I3543" t="s">
        <v>29</v>
      </c>
      <c r="J3543" t="s">
        <v>30</v>
      </c>
      <c r="K3543" t="s">
        <v>10915</v>
      </c>
      <c r="M3543" t="s">
        <v>32</v>
      </c>
      <c r="N3543" t="str">
        <f>"8/19/2009 12:00:00 AM"</f>
        <v>8/19/2009 12:00:00 AM</v>
      </c>
      <c r="O3543" t="s">
        <v>10912</v>
      </c>
      <c r="T3543" t="s">
        <v>10913</v>
      </c>
    </row>
    <row r="3544" spans="1:20" x14ac:dyDescent="0.25">
      <c r="A3544" t="str">
        <f>"3056978"</f>
        <v>3056978</v>
      </c>
      <c r="B3544" t="s">
        <v>10916</v>
      </c>
      <c r="C3544" t="str">
        <f>"82528398"</f>
        <v>82528398</v>
      </c>
      <c r="D3544" t="s">
        <v>10912</v>
      </c>
      <c r="E3544" t="s">
        <v>10913</v>
      </c>
      <c r="F3544" t="s">
        <v>10914</v>
      </c>
      <c r="I3544" t="s">
        <v>29</v>
      </c>
      <c r="J3544" t="s">
        <v>30</v>
      </c>
      <c r="K3544" t="s">
        <v>10915</v>
      </c>
      <c r="M3544" t="s">
        <v>32</v>
      </c>
      <c r="N3544" t="str">
        <f>"8/19/2009 12:00:00 AM"</f>
        <v>8/19/2009 12:00:00 AM</v>
      </c>
      <c r="O3544" t="s">
        <v>10912</v>
      </c>
      <c r="T3544" t="s">
        <v>10913</v>
      </c>
    </row>
    <row r="3545" spans="1:20" x14ac:dyDescent="0.25">
      <c r="A3545" t="str">
        <f>"3056979"</f>
        <v>3056979</v>
      </c>
      <c r="B3545" t="s">
        <v>10917</v>
      </c>
      <c r="C3545" t="str">
        <f>"82527574"</f>
        <v>82527574</v>
      </c>
      <c r="D3545" t="s">
        <v>10918</v>
      </c>
      <c r="E3545" t="s">
        <v>10919</v>
      </c>
      <c r="F3545" t="s">
        <v>10920</v>
      </c>
      <c r="I3545" t="s">
        <v>29</v>
      </c>
      <c r="J3545" t="s">
        <v>30</v>
      </c>
      <c r="K3545" t="s">
        <v>31</v>
      </c>
      <c r="M3545" t="s">
        <v>32</v>
      </c>
      <c r="N3545" t="str">
        <f>"2/14/2007 12:00:00 AM"</f>
        <v>2/14/2007 12:00:00 AM</v>
      </c>
      <c r="O3545" t="s">
        <v>10918</v>
      </c>
      <c r="T3545" t="s">
        <v>10919</v>
      </c>
    </row>
    <row r="3546" spans="1:20" x14ac:dyDescent="0.25">
      <c r="A3546" t="str">
        <f>"3061858"</f>
        <v>3061858</v>
      </c>
      <c r="B3546" t="s">
        <v>10921</v>
      </c>
      <c r="C3546" t="str">
        <f>"82521726"</f>
        <v>82521726</v>
      </c>
      <c r="D3546" t="s">
        <v>10922</v>
      </c>
      <c r="E3546" t="s">
        <v>10923</v>
      </c>
      <c r="F3546" t="s">
        <v>10924</v>
      </c>
      <c r="I3546" t="s">
        <v>29</v>
      </c>
      <c r="J3546" t="s">
        <v>30</v>
      </c>
      <c r="K3546" t="s">
        <v>31</v>
      </c>
      <c r="M3546" t="s">
        <v>32</v>
      </c>
      <c r="N3546" t="str">
        <f>"11/6/2003 12:00:00 AM"</f>
        <v>11/6/2003 12:00:00 AM</v>
      </c>
      <c r="O3546" t="s">
        <v>10922</v>
      </c>
      <c r="T3546" t="s">
        <v>10923</v>
      </c>
    </row>
    <row r="3547" spans="1:20" x14ac:dyDescent="0.25">
      <c r="A3547" t="str">
        <f>"3061848"</f>
        <v>3061848</v>
      </c>
      <c r="B3547" t="s">
        <v>10925</v>
      </c>
      <c r="C3547" t="str">
        <f>"82522788"</f>
        <v>82522788</v>
      </c>
      <c r="D3547" t="s">
        <v>10926</v>
      </c>
      <c r="E3547" t="s">
        <v>10927</v>
      </c>
      <c r="F3547" t="s">
        <v>10928</v>
      </c>
      <c r="I3547" t="s">
        <v>29</v>
      </c>
      <c r="J3547" t="s">
        <v>30</v>
      </c>
      <c r="K3547" t="s">
        <v>10929</v>
      </c>
      <c r="M3547" t="s">
        <v>32</v>
      </c>
      <c r="N3547" t="str">
        <f>"10/24/2011 12:00:00 AM"</f>
        <v>10/24/2011 12:00:00 AM</v>
      </c>
      <c r="O3547" t="s">
        <v>10926</v>
      </c>
      <c r="T3547" t="s">
        <v>10927</v>
      </c>
    </row>
    <row r="3548" spans="1:20" x14ac:dyDescent="0.25">
      <c r="A3548" t="str">
        <f>"3048337"</f>
        <v>3048337</v>
      </c>
      <c r="B3548" t="s">
        <v>10930</v>
      </c>
      <c r="C3548" t="str">
        <f>"52973500"</f>
        <v>52973500</v>
      </c>
      <c r="D3548" t="s">
        <v>10663</v>
      </c>
      <c r="F3548" t="s">
        <v>10664</v>
      </c>
      <c r="I3548" t="s">
        <v>184</v>
      </c>
      <c r="J3548" t="s">
        <v>30</v>
      </c>
      <c r="K3548" t="s">
        <v>10665</v>
      </c>
      <c r="M3548" t="s">
        <v>32</v>
      </c>
      <c r="N3548" t="str">
        <f>"2/14/2007 12:00:00 AM"</f>
        <v>2/14/2007 12:00:00 AM</v>
      </c>
      <c r="O3548" t="s">
        <v>10663</v>
      </c>
      <c r="T3548" t="s">
        <v>10663</v>
      </c>
    </row>
    <row r="3549" spans="1:20" x14ac:dyDescent="0.25">
      <c r="A3549" t="str">
        <f>"3047680"</f>
        <v>3047680</v>
      </c>
      <c r="B3549" t="s">
        <v>10931</v>
      </c>
      <c r="C3549" t="str">
        <f>"82527752"</f>
        <v>82527752</v>
      </c>
      <c r="D3549" t="s">
        <v>10932</v>
      </c>
      <c r="F3549" t="s">
        <v>10933</v>
      </c>
      <c r="I3549" t="s">
        <v>184</v>
      </c>
      <c r="J3549" t="s">
        <v>30</v>
      </c>
      <c r="K3549" t="s">
        <v>185</v>
      </c>
      <c r="M3549" t="s">
        <v>32</v>
      </c>
      <c r="N3549" t="str">
        <f>"3/29/2007 12:00:00 AM"</f>
        <v>3/29/2007 12:00:00 AM</v>
      </c>
      <c r="O3549" t="s">
        <v>10932</v>
      </c>
    </row>
    <row r="3550" spans="1:20" x14ac:dyDescent="0.25">
      <c r="A3550" t="str">
        <f>"3061914"</f>
        <v>3061914</v>
      </c>
      <c r="B3550" t="s">
        <v>10934</v>
      </c>
      <c r="C3550" t="str">
        <f>"46625000"</f>
        <v>46625000</v>
      </c>
      <c r="D3550" t="s">
        <v>10935</v>
      </c>
      <c r="F3550" t="s">
        <v>10936</v>
      </c>
      <c r="I3550" t="s">
        <v>29</v>
      </c>
      <c r="J3550" t="s">
        <v>30</v>
      </c>
      <c r="K3550" t="s">
        <v>31</v>
      </c>
      <c r="M3550" t="s">
        <v>32</v>
      </c>
      <c r="N3550" t="str">
        <f>"3/21/2005 12:00:00 AM"</f>
        <v>3/21/2005 12:00:00 AM</v>
      </c>
      <c r="O3550" t="s">
        <v>10935</v>
      </c>
    </row>
    <row r="3551" spans="1:20" x14ac:dyDescent="0.25">
      <c r="A3551" t="str">
        <f>"3056980"</f>
        <v>3056980</v>
      </c>
      <c r="B3551" t="s">
        <v>10937</v>
      </c>
      <c r="C3551" t="str">
        <f>"46625000"</f>
        <v>46625000</v>
      </c>
      <c r="D3551" t="s">
        <v>10935</v>
      </c>
      <c r="F3551" t="s">
        <v>10936</v>
      </c>
      <c r="I3551" t="s">
        <v>29</v>
      </c>
      <c r="J3551" t="s">
        <v>30</v>
      </c>
      <c r="K3551" t="s">
        <v>31</v>
      </c>
      <c r="M3551" t="s">
        <v>32</v>
      </c>
      <c r="N3551" t="str">
        <f>"3/21/2005 12:00:00 AM"</f>
        <v>3/21/2005 12:00:00 AM</v>
      </c>
      <c r="O3551" t="s">
        <v>10935</v>
      </c>
    </row>
    <row r="3552" spans="1:20" x14ac:dyDescent="0.25">
      <c r="A3552" t="str">
        <f>"3056959"</f>
        <v>3056959</v>
      </c>
      <c r="B3552" t="s">
        <v>10938</v>
      </c>
      <c r="C3552" t="str">
        <f>"16495000"</f>
        <v>16495000</v>
      </c>
      <c r="D3552" t="s">
        <v>10939</v>
      </c>
      <c r="E3552" t="s">
        <v>10940</v>
      </c>
      <c r="F3552" t="s">
        <v>10941</v>
      </c>
      <c r="I3552" t="s">
        <v>29</v>
      </c>
      <c r="J3552" t="s">
        <v>30</v>
      </c>
      <c r="K3552" t="s">
        <v>10942</v>
      </c>
      <c r="M3552" t="s">
        <v>32</v>
      </c>
      <c r="N3552" t="str">
        <f>"2/21/2005 12:00:00 AM"</f>
        <v>2/21/2005 12:00:00 AM</v>
      </c>
      <c r="O3552" t="s">
        <v>10939</v>
      </c>
      <c r="T3552" t="s">
        <v>10940</v>
      </c>
    </row>
    <row r="3553" spans="1:20" x14ac:dyDescent="0.25">
      <c r="A3553" t="str">
        <f>"3056961"</f>
        <v>3056961</v>
      </c>
      <c r="B3553" t="s">
        <v>10943</v>
      </c>
      <c r="C3553" t="str">
        <f>"16495000"</f>
        <v>16495000</v>
      </c>
      <c r="D3553" t="s">
        <v>10939</v>
      </c>
      <c r="E3553" t="s">
        <v>10940</v>
      </c>
      <c r="F3553" t="s">
        <v>10941</v>
      </c>
      <c r="I3553" t="s">
        <v>29</v>
      </c>
      <c r="J3553" t="s">
        <v>30</v>
      </c>
      <c r="K3553" t="s">
        <v>10942</v>
      </c>
      <c r="M3553" t="s">
        <v>32</v>
      </c>
      <c r="N3553" t="str">
        <f>"2/21/2005 12:00:00 AM"</f>
        <v>2/21/2005 12:00:00 AM</v>
      </c>
      <c r="O3553" t="s">
        <v>10939</v>
      </c>
      <c r="T3553" t="s">
        <v>10940</v>
      </c>
    </row>
    <row r="3554" spans="1:20" x14ac:dyDescent="0.25">
      <c r="A3554" t="str">
        <f>"3056967"</f>
        <v>3056967</v>
      </c>
      <c r="B3554" t="s">
        <v>10944</v>
      </c>
      <c r="C3554" t="str">
        <f>"35527890"</f>
        <v>35527890</v>
      </c>
      <c r="D3554" t="s">
        <v>10945</v>
      </c>
      <c r="F3554" t="s">
        <v>10946</v>
      </c>
      <c r="I3554" t="s">
        <v>29</v>
      </c>
      <c r="J3554" t="s">
        <v>30</v>
      </c>
      <c r="K3554" t="s">
        <v>31</v>
      </c>
      <c r="M3554" t="s">
        <v>32</v>
      </c>
      <c r="N3554" t="str">
        <f>"1/23/2004 12:00:00 AM"</f>
        <v>1/23/2004 12:00:00 AM</v>
      </c>
      <c r="O3554" t="s">
        <v>10945</v>
      </c>
    </row>
    <row r="3555" spans="1:20" x14ac:dyDescent="0.25">
      <c r="A3555" t="str">
        <f>"3057018"</f>
        <v>3057018</v>
      </c>
      <c r="B3555" t="s">
        <v>10947</v>
      </c>
      <c r="C3555" t="str">
        <f>"2429500"</f>
        <v>2429500</v>
      </c>
      <c r="D3555" t="s">
        <v>10948</v>
      </c>
      <c r="F3555" t="s">
        <v>10949</v>
      </c>
      <c r="I3555" t="s">
        <v>29</v>
      </c>
      <c r="J3555" t="s">
        <v>30</v>
      </c>
      <c r="K3555" t="s">
        <v>31</v>
      </c>
      <c r="M3555" t="s">
        <v>32</v>
      </c>
      <c r="N3555" t="str">
        <f>"5/13/2003 12:00:00 AM"</f>
        <v>5/13/2003 12:00:00 AM</v>
      </c>
      <c r="O3555" t="s">
        <v>10948</v>
      </c>
    </row>
    <row r="3556" spans="1:20" x14ac:dyDescent="0.25">
      <c r="A3556" t="str">
        <f>"3057007"</f>
        <v>3057007</v>
      </c>
      <c r="B3556" t="s">
        <v>10950</v>
      </c>
      <c r="C3556" t="str">
        <f>"60108120"</f>
        <v>60108120</v>
      </c>
      <c r="D3556" t="s">
        <v>10951</v>
      </c>
      <c r="F3556" t="s">
        <v>10952</v>
      </c>
      <c r="I3556" t="s">
        <v>29</v>
      </c>
      <c r="J3556" t="s">
        <v>30</v>
      </c>
      <c r="K3556" t="s">
        <v>31</v>
      </c>
      <c r="M3556" t="s">
        <v>32</v>
      </c>
      <c r="N3556" t="str">
        <f>"4/8/2004 12:00:00 AM"</f>
        <v>4/8/2004 12:00:00 AM</v>
      </c>
      <c r="O3556" t="s">
        <v>10951</v>
      </c>
    </row>
    <row r="3557" spans="1:20" x14ac:dyDescent="0.25">
      <c r="A3557" t="str">
        <f>"3047681"</f>
        <v>3047681</v>
      </c>
      <c r="B3557" t="s">
        <v>10953</v>
      </c>
      <c r="C3557" t="str">
        <f>"82527752"</f>
        <v>82527752</v>
      </c>
      <c r="D3557" t="s">
        <v>10932</v>
      </c>
      <c r="F3557" t="s">
        <v>10933</v>
      </c>
      <c r="I3557" t="s">
        <v>184</v>
      </c>
      <c r="J3557" t="s">
        <v>30</v>
      </c>
      <c r="K3557" t="s">
        <v>185</v>
      </c>
      <c r="M3557" t="s">
        <v>32</v>
      </c>
      <c r="N3557" t="str">
        <f>"3/29/2007 12:00:00 AM"</f>
        <v>3/29/2007 12:00:00 AM</v>
      </c>
      <c r="O3557" t="s">
        <v>10932</v>
      </c>
    </row>
    <row r="3558" spans="1:20" x14ac:dyDescent="0.25">
      <c r="A3558" t="str">
        <f>"3049181"</f>
        <v>3049181</v>
      </c>
      <c r="B3558" t="s">
        <v>10954</v>
      </c>
      <c r="C3558" t="str">
        <f>"82514350"</f>
        <v>82514350</v>
      </c>
      <c r="D3558" t="s">
        <v>10955</v>
      </c>
      <c r="E3558" t="s">
        <v>10956</v>
      </c>
      <c r="F3558" t="s">
        <v>10957</v>
      </c>
      <c r="I3558" t="s">
        <v>184</v>
      </c>
      <c r="J3558" t="s">
        <v>30</v>
      </c>
      <c r="K3558" t="s">
        <v>10958</v>
      </c>
      <c r="M3558" t="s">
        <v>32</v>
      </c>
      <c r="N3558" t="str">
        <f>"1/12/2006 12:00:00 AM"</f>
        <v>1/12/2006 12:00:00 AM</v>
      </c>
      <c r="O3558" t="s">
        <v>10955</v>
      </c>
      <c r="T3558" t="s">
        <v>10956</v>
      </c>
    </row>
    <row r="3559" spans="1:20" x14ac:dyDescent="0.25">
      <c r="A3559" t="str">
        <f>"3060106"</f>
        <v>3060106</v>
      </c>
      <c r="B3559" t="s">
        <v>10959</v>
      </c>
      <c r="C3559" t="str">
        <f>"82516990"</f>
        <v>82516990</v>
      </c>
      <c r="D3559" t="s">
        <v>10960</v>
      </c>
      <c r="E3559" t="s">
        <v>10961</v>
      </c>
      <c r="F3559" t="s">
        <v>10962</v>
      </c>
      <c r="I3559" t="s">
        <v>184</v>
      </c>
      <c r="J3559" t="s">
        <v>30</v>
      </c>
      <c r="K3559" t="s">
        <v>185</v>
      </c>
      <c r="N3559" t="str">
        <f>"8/13/2002 12:00:00 AM"</f>
        <v>8/13/2002 12:00:00 AM</v>
      </c>
      <c r="O3559" t="s">
        <v>10960</v>
      </c>
      <c r="T3559" t="s">
        <v>10961</v>
      </c>
    </row>
    <row r="3560" spans="1:20" x14ac:dyDescent="0.25">
      <c r="A3560" t="str">
        <f>"3060122"</f>
        <v>3060122</v>
      </c>
      <c r="B3560" t="s">
        <v>10963</v>
      </c>
      <c r="C3560" t="str">
        <f>"82513293"</f>
        <v>82513293</v>
      </c>
      <c r="D3560" t="s">
        <v>10964</v>
      </c>
      <c r="E3560" t="s">
        <v>10965</v>
      </c>
      <c r="F3560" t="s">
        <v>10966</v>
      </c>
      <c r="I3560" t="s">
        <v>184</v>
      </c>
      <c r="J3560" t="s">
        <v>30</v>
      </c>
      <c r="K3560" t="s">
        <v>10767</v>
      </c>
      <c r="M3560" t="s">
        <v>32</v>
      </c>
      <c r="N3560" t="str">
        <f>"1/17/2006 12:00:00 AM"</f>
        <v>1/17/2006 12:00:00 AM</v>
      </c>
      <c r="O3560" t="s">
        <v>10964</v>
      </c>
      <c r="T3560" t="s">
        <v>10965</v>
      </c>
    </row>
    <row r="3561" spans="1:20" x14ac:dyDescent="0.25">
      <c r="A3561" t="str">
        <f>"3060123"</f>
        <v>3060123</v>
      </c>
      <c r="B3561" t="s">
        <v>10967</v>
      </c>
      <c r="C3561" t="str">
        <f>"82512999"</f>
        <v>82512999</v>
      </c>
      <c r="D3561" t="s">
        <v>10968</v>
      </c>
      <c r="E3561" t="s">
        <v>10969</v>
      </c>
      <c r="F3561" t="s">
        <v>10970</v>
      </c>
      <c r="I3561" t="s">
        <v>184</v>
      </c>
      <c r="J3561" t="s">
        <v>30</v>
      </c>
      <c r="K3561" t="s">
        <v>10767</v>
      </c>
      <c r="M3561" t="s">
        <v>32</v>
      </c>
      <c r="N3561" t="str">
        <f>"1/15/2008 12:00:00 AM"</f>
        <v>1/15/2008 12:00:00 AM</v>
      </c>
      <c r="O3561" t="s">
        <v>10968</v>
      </c>
      <c r="T3561" t="s">
        <v>10969</v>
      </c>
    </row>
    <row r="3562" spans="1:20" x14ac:dyDescent="0.25">
      <c r="A3562" t="str">
        <f>"3060117"</f>
        <v>3060117</v>
      </c>
      <c r="B3562" t="s">
        <v>10971</v>
      </c>
      <c r="C3562" t="str">
        <f>"82517151"</f>
        <v>82517151</v>
      </c>
      <c r="D3562" t="s">
        <v>10972</v>
      </c>
      <c r="E3562" t="s">
        <v>10973</v>
      </c>
      <c r="F3562" t="s">
        <v>10974</v>
      </c>
      <c r="I3562" t="s">
        <v>184</v>
      </c>
      <c r="J3562" t="s">
        <v>30</v>
      </c>
      <c r="K3562" t="s">
        <v>185</v>
      </c>
      <c r="N3562" t="str">
        <f>"8/13/2002 12:00:00 AM"</f>
        <v>8/13/2002 12:00:00 AM</v>
      </c>
      <c r="O3562" t="s">
        <v>10972</v>
      </c>
      <c r="T3562" t="s">
        <v>10973</v>
      </c>
    </row>
    <row r="3563" spans="1:20" x14ac:dyDescent="0.25">
      <c r="A3563" t="str">
        <f>"3060137"</f>
        <v>3060137</v>
      </c>
      <c r="B3563" t="s">
        <v>10975</v>
      </c>
      <c r="C3563" t="str">
        <f>"82517151"</f>
        <v>82517151</v>
      </c>
      <c r="D3563" t="s">
        <v>10972</v>
      </c>
      <c r="E3563" t="s">
        <v>10973</v>
      </c>
      <c r="F3563" t="s">
        <v>10974</v>
      </c>
      <c r="I3563" t="s">
        <v>184</v>
      </c>
      <c r="J3563" t="s">
        <v>30</v>
      </c>
      <c r="K3563" t="s">
        <v>185</v>
      </c>
      <c r="N3563" t="str">
        <f>"8/13/2002 12:00:00 AM"</f>
        <v>8/13/2002 12:00:00 AM</v>
      </c>
      <c r="O3563" t="s">
        <v>10972</v>
      </c>
      <c r="T3563" t="s">
        <v>10973</v>
      </c>
    </row>
    <row r="3564" spans="1:20" x14ac:dyDescent="0.25">
      <c r="A3564" t="str">
        <f>"3060142"</f>
        <v>3060142</v>
      </c>
      <c r="B3564" t="s">
        <v>10976</v>
      </c>
      <c r="C3564" t="str">
        <f>"82513201"</f>
        <v>82513201</v>
      </c>
      <c r="D3564" t="s">
        <v>10977</v>
      </c>
      <c r="E3564" t="s">
        <v>10978</v>
      </c>
      <c r="F3564" t="s">
        <v>10979</v>
      </c>
      <c r="I3564" t="s">
        <v>184</v>
      </c>
      <c r="J3564" t="s">
        <v>30</v>
      </c>
      <c r="K3564" t="s">
        <v>185</v>
      </c>
      <c r="M3564" t="s">
        <v>32</v>
      </c>
      <c r="N3564" t="str">
        <f>"1/16/2004 12:00:00 AM"</f>
        <v>1/16/2004 12:00:00 AM</v>
      </c>
      <c r="O3564" t="s">
        <v>10977</v>
      </c>
      <c r="T3564" t="s">
        <v>10978</v>
      </c>
    </row>
    <row r="3565" spans="1:20" x14ac:dyDescent="0.25">
      <c r="A3565" t="str">
        <f>"3047471"</f>
        <v>3047471</v>
      </c>
      <c r="B3565" t="s">
        <v>10980</v>
      </c>
      <c r="C3565" t="str">
        <f>"75942000"</f>
        <v>75942000</v>
      </c>
      <c r="D3565" t="s">
        <v>10981</v>
      </c>
      <c r="E3565" t="s">
        <v>10982</v>
      </c>
      <c r="F3565" t="s">
        <v>10983</v>
      </c>
      <c r="I3565" t="s">
        <v>29</v>
      </c>
      <c r="J3565" t="s">
        <v>30</v>
      </c>
      <c r="K3565" t="s">
        <v>10984</v>
      </c>
      <c r="M3565" t="s">
        <v>32</v>
      </c>
      <c r="N3565" t="str">
        <f>"1/31/2006 12:00:00 AM"</f>
        <v>1/31/2006 12:00:00 AM</v>
      </c>
      <c r="O3565" t="s">
        <v>10981</v>
      </c>
      <c r="T3565" t="s">
        <v>10982</v>
      </c>
    </row>
    <row r="3566" spans="1:20" x14ac:dyDescent="0.25">
      <c r="A3566" t="str">
        <f>"3047457"</f>
        <v>3047457</v>
      </c>
      <c r="B3566" t="s">
        <v>10985</v>
      </c>
      <c r="C3566" t="str">
        <f>"75942000"</f>
        <v>75942000</v>
      </c>
      <c r="D3566" t="s">
        <v>10981</v>
      </c>
      <c r="E3566" t="s">
        <v>10982</v>
      </c>
      <c r="F3566" t="s">
        <v>10983</v>
      </c>
      <c r="I3566" t="s">
        <v>29</v>
      </c>
      <c r="J3566" t="s">
        <v>30</v>
      </c>
      <c r="K3566" t="s">
        <v>10984</v>
      </c>
      <c r="M3566" t="s">
        <v>32</v>
      </c>
      <c r="N3566" t="str">
        <f>"1/31/2006 12:00:00 AM"</f>
        <v>1/31/2006 12:00:00 AM</v>
      </c>
      <c r="O3566" t="s">
        <v>10981</v>
      </c>
      <c r="T3566" t="s">
        <v>10982</v>
      </c>
    </row>
    <row r="3567" spans="1:20" x14ac:dyDescent="0.25">
      <c r="A3567" t="str">
        <f>"3048293"</f>
        <v>3048293</v>
      </c>
      <c r="B3567" t="s">
        <v>10986</v>
      </c>
      <c r="C3567" t="str">
        <f>"82522210"</f>
        <v>82522210</v>
      </c>
      <c r="D3567" t="s">
        <v>10987</v>
      </c>
      <c r="E3567" t="s">
        <v>10988</v>
      </c>
      <c r="F3567" t="s">
        <v>10989</v>
      </c>
      <c r="I3567" t="s">
        <v>29</v>
      </c>
      <c r="J3567" t="s">
        <v>30</v>
      </c>
      <c r="K3567" t="s">
        <v>10990</v>
      </c>
      <c r="M3567" t="s">
        <v>32</v>
      </c>
      <c r="N3567" t="str">
        <f>"1/25/2007 12:00:00 AM"</f>
        <v>1/25/2007 12:00:00 AM</v>
      </c>
      <c r="O3567" t="s">
        <v>10987</v>
      </c>
      <c r="T3567" t="s">
        <v>10988</v>
      </c>
    </row>
    <row r="3568" spans="1:20" x14ac:dyDescent="0.25">
      <c r="A3568" t="str">
        <f>"3048270"</f>
        <v>3048270</v>
      </c>
      <c r="B3568" t="s">
        <v>10991</v>
      </c>
      <c r="C3568" t="str">
        <f>"82515752"</f>
        <v>82515752</v>
      </c>
      <c r="D3568" t="s">
        <v>10992</v>
      </c>
      <c r="E3568" t="s">
        <v>10993</v>
      </c>
      <c r="F3568" t="s">
        <v>10994</v>
      </c>
      <c r="I3568" t="s">
        <v>29</v>
      </c>
      <c r="J3568" t="s">
        <v>30</v>
      </c>
      <c r="K3568" t="s">
        <v>31</v>
      </c>
      <c r="M3568" t="s">
        <v>32</v>
      </c>
      <c r="N3568" t="str">
        <f>"1/21/2003 12:00:00 AM"</f>
        <v>1/21/2003 12:00:00 AM</v>
      </c>
      <c r="O3568" t="s">
        <v>10992</v>
      </c>
      <c r="T3568" t="s">
        <v>10993</v>
      </c>
    </row>
    <row r="3569" spans="1:20" x14ac:dyDescent="0.25">
      <c r="A3569" t="str">
        <f>"3048327"</f>
        <v>3048327</v>
      </c>
      <c r="B3569" t="s">
        <v>10995</v>
      </c>
      <c r="C3569" t="str">
        <f>"784000"</f>
        <v>784000</v>
      </c>
      <c r="D3569" t="s">
        <v>10996</v>
      </c>
      <c r="F3569" t="s">
        <v>10997</v>
      </c>
      <c r="I3569" t="s">
        <v>2525</v>
      </c>
      <c r="J3569" t="s">
        <v>30</v>
      </c>
      <c r="K3569" t="s">
        <v>10998</v>
      </c>
      <c r="M3569" t="s">
        <v>32</v>
      </c>
      <c r="N3569" t="str">
        <f>"5/9/2003 12:00:00 AM"</f>
        <v>5/9/2003 12:00:00 AM</v>
      </c>
      <c r="O3569" t="s">
        <v>10996</v>
      </c>
    </row>
    <row r="3570" spans="1:20" x14ac:dyDescent="0.25">
      <c r="A3570" t="str">
        <f>"3060145"</f>
        <v>3060145</v>
      </c>
      <c r="B3570" t="s">
        <v>10999</v>
      </c>
      <c r="C3570" t="str">
        <f>"82513295"</f>
        <v>82513295</v>
      </c>
      <c r="D3570" t="s">
        <v>11000</v>
      </c>
      <c r="E3570" t="s">
        <v>11001</v>
      </c>
      <c r="F3570" t="s">
        <v>11002</v>
      </c>
      <c r="I3570" t="s">
        <v>184</v>
      </c>
      <c r="J3570" t="s">
        <v>30</v>
      </c>
      <c r="K3570" t="s">
        <v>185</v>
      </c>
      <c r="M3570" t="s">
        <v>32</v>
      </c>
      <c r="N3570" t="str">
        <f>"9/14/2001 12:00:00 AM"</f>
        <v>9/14/2001 12:00:00 AM</v>
      </c>
      <c r="O3570" t="s">
        <v>11000</v>
      </c>
      <c r="T3570" t="s">
        <v>11001</v>
      </c>
    </row>
    <row r="3571" spans="1:20" x14ac:dyDescent="0.25">
      <c r="A3571" t="str">
        <f>"3060140"</f>
        <v>3060140</v>
      </c>
      <c r="B3571" t="s">
        <v>11003</v>
      </c>
      <c r="C3571" t="str">
        <f>"82518016"</f>
        <v>82518016</v>
      </c>
      <c r="D3571" t="s">
        <v>11004</v>
      </c>
      <c r="E3571" t="s">
        <v>11005</v>
      </c>
      <c r="F3571" t="s">
        <v>11006</v>
      </c>
      <c r="I3571" t="s">
        <v>184</v>
      </c>
      <c r="J3571" t="s">
        <v>30</v>
      </c>
      <c r="K3571" t="s">
        <v>185</v>
      </c>
      <c r="M3571" t="s">
        <v>32</v>
      </c>
      <c r="N3571" t="str">
        <f>"8/8/2003 12:00:00 AM"</f>
        <v>8/8/2003 12:00:00 AM</v>
      </c>
      <c r="O3571" t="s">
        <v>11004</v>
      </c>
      <c r="T3571" t="s">
        <v>11005</v>
      </c>
    </row>
    <row r="3572" spans="1:20" x14ac:dyDescent="0.25">
      <c r="A3572" t="str">
        <f>"3047833"</f>
        <v>3047833</v>
      </c>
      <c r="B3572" t="s">
        <v>11007</v>
      </c>
      <c r="C3572" t="str">
        <f>"82527897"</f>
        <v>82527897</v>
      </c>
      <c r="D3572" t="s">
        <v>11008</v>
      </c>
      <c r="F3572" t="s">
        <v>11009</v>
      </c>
      <c r="I3572" t="s">
        <v>184</v>
      </c>
      <c r="J3572" t="s">
        <v>30</v>
      </c>
      <c r="K3572" t="s">
        <v>185</v>
      </c>
      <c r="M3572" t="s">
        <v>32</v>
      </c>
      <c r="N3572" t="str">
        <f>"4/25/2007 12:00:00 AM"</f>
        <v>4/25/2007 12:00:00 AM</v>
      </c>
      <c r="O3572" t="s">
        <v>11008</v>
      </c>
    </row>
    <row r="3573" spans="1:20" x14ac:dyDescent="0.25">
      <c r="A3573" t="str">
        <f>"3045119"</f>
        <v>3045119</v>
      </c>
      <c r="B3573" t="s">
        <v>11010</v>
      </c>
      <c r="C3573" t="str">
        <f>"57868000"</f>
        <v>57868000</v>
      </c>
      <c r="D3573" t="s">
        <v>11011</v>
      </c>
      <c r="F3573" t="str">
        <f>"C/O EDITH P REID"</f>
        <v>C/O EDITH P REID</v>
      </c>
      <c r="G3573" t="s">
        <v>11012</v>
      </c>
      <c r="I3573" t="s">
        <v>471</v>
      </c>
      <c r="J3573" t="s">
        <v>30</v>
      </c>
      <c r="K3573" t="s">
        <v>1262</v>
      </c>
      <c r="M3573" t="s">
        <v>32</v>
      </c>
      <c r="N3573" t="str">
        <f>"8/27/2004 12:00:00 AM"</f>
        <v>8/27/2004 12:00:00 AM</v>
      </c>
      <c r="O3573" t="s">
        <v>11011</v>
      </c>
    </row>
    <row r="3574" spans="1:20" x14ac:dyDescent="0.25">
      <c r="A3574" t="str">
        <f>"3045299"</f>
        <v>3045299</v>
      </c>
      <c r="B3574" t="s">
        <v>11013</v>
      </c>
      <c r="C3574" t="str">
        <f>"57868000"</f>
        <v>57868000</v>
      </c>
      <c r="D3574" t="s">
        <v>11011</v>
      </c>
      <c r="F3574" t="str">
        <f>"C/O EDITH P REID"</f>
        <v>C/O EDITH P REID</v>
      </c>
      <c r="G3574" t="s">
        <v>11012</v>
      </c>
      <c r="I3574" t="s">
        <v>471</v>
      </c>
      <c r="J3574" t="s">
        <v>30</v>
      </c>
      <c r="K3574" t="s">
        <v>1262</v>
      </c>
      <c r="M3574" t="s">
        <v>32</v>
      </c>
      <c r="N3574" t="str">
        <f>"8/27/2004 12:00:00 AM"</f>
        <v>8/27/2004 12:00:00 AM</v>
      </c>
      <c r="O3574" t="s">
        <v>11011</v>
      </c>
    </row>
    <row r="3575" spans="1:20" x14ac:dyDescent="0.25">
      <c r="A3575" t="str">
        <f>"3048198"</f>
        <v>3048198</v>
      </c>
      <c r="B3575" t="s">
        <v>11014</v>
      </c>
      <c r="C3575" t="str">
        <f>"82528628"</f>
        <v>82528628</v>
      </c>
      <c r="D3575" t="s">
        <v>11015</v>
      </c>
      <c r="F3575" t="s">
        <v>11016</v>
      </c>
      <c r="I3575" t="s">
        <v>1149</v>
      </c>
      <c r="J3575" t="s">
        <v>30</v>
      </c>
      <c r="K3575" t="s">
        <v>1150</v>
      </c>
      <c r="M3575" t="s">
        <v>32</v>
      </c>
      <c r="N3575" t="str">
        <f>"9/19/2007 12:00:00 AM"</f>
        <v>9/19/2007 12:00:00 AM</v>
      </c>
      <c r="O3575" t="s">
        <v>11015</v>
      </c>
    </row>
    <row r="3576" spans="1:20" x14ac:dyDescent="0.25">
      <c r="A3576" t="str">
        <f>"3051161"</f>
        <v>3051161</v>
      </c>
      <c r="B3576" t="s">
        <v>11017</v>
      </c>
      <c r="C3576" t="str">
        <f>"82523812"</f>
        <v>82523812</v>
      </c>
      <c r="D3576" t="s">
        <v>11018</v>
      </c>
      <c r="F3576" t="s">
        <v>11019</v>
      </c>
      <c r="I3576" t="s">
        <v>29</v>
      </c>
      <c r="J3576" t="s">
        <v>30</v>
      </c>
      <c r="K3576" t="s">
        <v>31</v>
      </c>
      <c r="M3576" t="s">
        <v>32</v>
      </c>
      <c r="N3576" t="str">
        <f>"1/26/2005 12:00:00 AM"</f>
        <v>1/26/2005 12:00:00 AM</v>
      </c>
      <c r="O3576" t="s">
        <v>11018</v>
      </c>
    </row>
    <row r="3577" spans="1:20" x14ac:dyDescent="0.25">
      <c r="A3577" t="str">
        <f>"3054361"</f>
        <v>3054361</v>
      </c>
      <c r="B3577" t="s">
        <v>11020</v>
      </c>
      <c r="C3577" t="str">
        <f>"82523812"</f>
        <v>82523812</v>
      </c>
      <c r="D3577" t="s">
        <v>11018</v>
      </c>
      <c r="F3577" t="s">
        <v>11019</v>
      </c>
      <c r="I3577" t="s">
        <v>29</v>
      </c>
      <c r="J3577" t="s">
        <v>30</v>
      </c>
      <c r="K3577" t="s">
        <v>31</v>
      </c>
      <c r="M3577" t="s">
        <v>32</v>
      </c>
      <c r="N3577" t="str">
        <f>"1/26/2005 12:00:00 AM"</f>
        <v>1/26/2005 12:00:00 AM</v>
      </c>
      <c r="O3577" t="s">
        <v>11018</v>
      </c>
    </row>
    <row r="3578" spans="1:20" x14ac:dyDescent="0.25">
      <c r="A3578" t="str">
        <f>"3078952"</f>
        <v>3078952</v>
      </c>
      <c r="B3578" t="s">
        <v>11021</v>
      </c>
      <c r="C3578" t="str">
        <f>"15676750"</f>
        <v>15676750</v>
      </c>
      <c r="D3578" t="s">
        <v>11022</v>
      </c>
      <c r="K3578" t="s">
        <v>586</v>
      </c>
      <c r="M3578" t="s">
        <v>32</v>
      </c>
      <c r="N3578" t="str">
        <f>"8/23/1985 12:00:00 AM"</f>
        <v>8/23/1985 12:00:00 AM</v>
      </c>
      <c r="O3578" t="s">
        <v>11022</v>
      </c>
    </row>
    <row r="3579" spans="1:20" x14ac:dyDescent="0.25">
      <c r="A3579" t="str">
        <f>"3047494"</f>
        <v>3047494</v>
      </c>
      <c r="B3579" t="s">
        <v>11023</v>
      </c>
      <c r="C3579" t="str">
        <f>"10580000"</f>
        <v>10580000</v>
      </c>
      <c r="D3579" t="s">
        <v>11024</v>
      </c>
      <c r="F3579" t="s">
        <v>11025</v>
      </c>
      <c r="I3579" t="s">
        <v>1149</v>
      </c>
      <c r="J3579" t="s">
        <v>30</v>
      </c>
      <c r="K3579" t="s">
        <v>1150</v>
      </c>
      <c r="M3579" t="s">
        <v>32</v>
      </c>
      <c r="N3579" t="str">
        <f>"6/12/2003 12:00:00 AM"</f>
        <v>6/12/2003 12:00:00 AM</v>
      </c>
      <c r="O3579" t="s">
        <v>11024</v>
      </c>
    </row>
    <row r="3580" spans="1:20" x14ac:dyDescent="0.25">
      <c r="A3580" t="str">
        <f>"3048275"</f>
        <v>3048275</v>
      </c>
      <c r="B3580" t="s">
        <v>11026</v>
      </c>
      <c r="C3580" t="str">
        <f>"82530163"</f>
        <v>82530163</v>
      </c>
      <c r="D3580" t="s">
        <v>11027</v>
      </c>
      <c r="E3580" t="s">
        <v>11028</v>
      </c>
      <c r="F3580" t="s">
        <v>11029</v>
      </c>
      <c r="I3580" t="s">
        <v>1149</v>
      </c>
      <c r="J3580" t="s">
        <v>30</v>
      </c>
      <c r="K3580" t="s">
        <v>1150</v>
      </c>
      <c r="M3580" t="s">
        <v>32</v>
      </c>
      <c r="N3580" t="str">
        <f>"2/11/2010 12:00:00 AM"</f>
        <v>2/11/2010 12:00:00 AM</v>
      </c>
      <c r="O3580" t="s">
        <v>11027</v>
      </c>
      <c r="T3580" t="s">
        <v>11028</v>
      </c>
    </row>
    <row r="3581" spans="1:20" x14ac:dyDescent="0.25">
      <c r="A3581" t="str">
        <f>"3048305"</f>
        <v>3048305</v>
      </c>
      <c r="B3581" t="s">
        <v>11030</v>
      </c>
      <c r="C3581" t="str">
        <f>"82522995"</f>
        <v>82522995</v>
      </c>
      <c r="D3581" t="s">
        <v>10945</v>
      </c>
      <c r="E3581" t="s">
        <v>11031</v>
      </c>
      <c r="F3581" t="s">
        <v>10946</v>
      </c>
      <c r="I3581" t="s">
        <v>29</v>
      </c>
      <c r="J3581" t="s">
        <v>30</v>
      </c>
      <c r="K3581" t="s">
        <v>11032</v>
      </c>
      <c r="M3581" t="s">
        <v>32</v>
      </c>
      <c r="N3581" t="str">
        <f>"1/25/2005 12:00:00 AM"</f>
        <v>1/25/2005 12:00:00 AM</v>
      </c>
      <c r="O3581" t="s">
        <v>10945</v>
      </c>
      <c r="T3581" t="s">
        <v>11031</v>
      </c>
    </row>
    <row r="3582" spans="1:20" x14ac:dyDescent="0.25">
      <c r="A3582" t="str">
        <f>"3051381"</f>
        <v>3051381</v>
      </c>
      <c r="B3582" t="s">
        <v>11033</v>
      </c>
      <c r="C3582" t="str">
        <f>"82529854"</f>
        <v>82529854</v>
      </c>
      <c r="D3582" t="s">
        <v>11034</v>
      </c>
      <c r="F3582" t="s">
        <v>11035</v>
      </c>
      <c r="I3582" t="s">
        <v>29</v>
      </c>
      <c r="J3582" t="s">
        <v>30</v>
      </c>
      <c r="K3582" t="s">
        <v>31</v>
      </c>
      <c r="M3582" t="s">
        <v>32</v>
      </c>
      <c r="N3582" t="str">
        <f>"7/14/2008 12:00:00 AM"</f>
        <v>7/14/2008 12:00:00 AM</v>
      </c>
      <c r="O3582" t="s">
        <v>11034</v>
      </c>
    </row>
    <row r="3583" spans="1:20" x14ac:dyDescent="0.25">
      <c r="A3583" t="str">
        <f>"3051380"</f>
        <v>3051380</v>
      </c>
      <c r="B3583" t="s">
        <v>11036</v>
      </c>
      <c r="C3583" t="str">
        <f>"79272500"</f>
        <v>79272500</v>
      </c>
      <c r="D3583" t="s">
        <v>11037</v>
      </c>
      <c r="F3583" t="s">
        <v>11038</v>
      </c>
      <c r="I3583" t="s">
        <v>29</v>
      </c>
      <c r="J3583" t="s">
        <v>30</v>
      </c>
      <c r="K3583" t="s">
        <v>31</v>
      </c>
      <c r="M3583" t="s">
        <v>32</v>
      </c>
      <c r="N3583" t="str">
        <f>"9/3/2002 12:00:00 AM"</f>
        <v>9/3/2002 12:00:00 AM</v>
      </c>
      <c r="O3583" t="s">
        <v>11037</v>
      </c>
    </row>
    <row r="3584" spans="1:20" x14ac:dyDescent="0.25">
      <c r="A3584" t="str">
        <f>"3051376"</f>
        <v>3051376</v>
      </c>
      <c r="B3584" t="s">
        <v>11039</v>
      </c>
      <c r="C3584" t="str">
        <f>"21889500"</f>
        <v>21889500</v>
      </c>
      <c r="D3584" t="s">
        <v>11040</v>
      </c>
      <c r="F3584" t="s">
        <v>11041</v>
      </c>
      <c r="I3584" t="s">
        <v>29</v>
      </c>
      <c r="J3584" t="s">
        <v>30</v>
      </c>
      <c r="K3584" t="s">
        <v>31</v>
      </c>
      <c r="M3584" t="s">
        <v>32</v>
      </c>
      <c r="N3584" t="str">
        <f>"7/22/2003 12:00:00 AM"</f>
        <v>7/22/2003 12:00:00 AM</v>
      </c>
      <c r="O3584" t="s">
        <v>11040</v>
      </c>
    </row>
    <row r="3585" spans="1:20" x14ac:dyDescent="0.25">
      <c r="A3585" t="str">
        <f>"3051254"</f>
        <v>3051254</v>
      </c>
      <c r="B3585" t="s">
        <v>11042</v>
      </c>
      <c r="C3585" t="str">
        <f>"21889500"</f>
        <v>21889500</v>
      </c>
      <c r="D3585" t="s">
        <v>11040</v>
      </c>
      <c r="F3585" t="s">
        <v>11041</v>
      </c>
      <c r="I3585" t="s">
        <v>29</v>
      </c>
      <c r="J3585" t="s">
        <v>30</v>
      </c>
      <c r="K3585" t="s">
        <v>31</v>
      </c>
      <c r="M3585" t="s">
        <v>32</v>
      </c>
      <c r="N3585" t="str">
        <f>"7/22/2003 12:00:00 AM"</f>
        <v>7/22/2003 12:00:00 AM</v>
      </c>
      <c r="O3585" t="s">
        <v>11040</v>
      </c>
    </row>
    <row r="3586" spans="1:20" x14ac:dyDescent="0.25">
      <c r="A3586" t="str">
        <f>"3051258"</f>
        <v>3051258</v>
      </c>
      <c r="B3586" t="s">
        <v>11043</v>
      </c>
      <c r="C3586" t="str">
        <f>"21889500"</f>
        <v>21889500</v>
      </c>
      <c r="D3586" t="s">
        <v>11040</v>
      </c>
      <c r="F3586" t="s">
        <v>11041</v>
      </c>
      <c r="I3586" t="s">
        <v>29</v>
      </c>
      <c r="J3586" t="s">
        <v>30</v>
      </c>
      <c r="K3586" t="s">
        <v>31</v>
      </c>
      <c r="M3586" t="s">
        <v>32</v>
      </c>
      <c r="N3586" t="str">
        <f>"7/22/2003 12:00:00 AM"</f>
        <v>7/22/2003 12:00:00 AM</v>
      </c>
      <c r="O3586" t="s">
        <v>11040</v>
      </c>
    </row>
    <row r="3587" spans="1:20" x14ac:dyDescent="0.25">
      <c r="A3587" t="str">
        <f>"3051035"</f>
        <v>3051035</v>
      </c>
      <c r="B3587" t="s">
        <v>11044</v>
      </c>
      <c r="C3587" t="str">
        <f>"21889500"</f>
        <v>21889500</v>
      </c>
      <c r="D3587" t="s">
        <v>11040</v>
      </c>
      <c r="F3587" t="s">
        <v>11041</v>
      </c>
      <c r="I3587" t="s">
        <v>29</v>
      </c>
      <c r="J3587" t="s">
        <v>30</v>
      </c>
      <c r="K3587" t="s">
        <v>31</v>
      </c>
      <c r="M3587" t="s">
        <v>32</v>
      </c>
      <c r="N3587" t="str">
        <f>"7/22/2003 12:00:00 AM"</f>
        <v>7/22/2003 12:00:00 AM</v>
      </c>
      <c r="O3587" t="s">
        <v>11040</v>
      </c>
    </row>
    <row r="3588" spans="1:20" x14ac:dyDescent="0.25">
      <c r="A3588" t="str">
        <f>"3051078"</f>
        <v>3051078</v>
      </c>
      <c r="B3588" t="s">
        <v>11045</v>
      </c>
      <c r="C3588" t="str">
        <f>"79512000"</f>
        <v>79512000</v>
      </c>
      <c r="D3588" t="s">
        <v>11046</v>
      </c>
      <c r="F3588" t="s">
        <v>11047</v>
      </c>
      <c r="I3588" t="s">
        <v>29</v>
      </c>
      <c r="J3588" t="s">
        <v>30</v>
      </c>
      <c r="K3588" t="s">
        <v>31</v>
      </c>
      <c r="M3588" t="s">
        <v>32</v>
      </c>
      <c r="N3588" t="str">
        <f>"2/21/2005 12:00:00 AM"</f>
        <v>2/21/2005 12:00:00 AM</v>
      </c>
      <c r="O3588" t="s">
        <v>11046</v>
      </c>
    </row>
    <row r="3589" spans="1:20" x14ac:dyDescent="0.25">
      <c r="A3589" t="str">
        <f>"3051548"</f>
        <v>3051548</v>
      </c>
      <c r="B3589" t="s">
        <v>11048</v>
      </c>
      <c r="C3589" t="str">
        <f>"79512000"</f>
        <v>79512000</v>
      </c>
      <c r="D3589" t="s">
        <v>11046</v>
      </c>
      <c r="F3589" t="s">
        <v>11047</v>
      </c>
      <c r="I3589" t="s">
        <v>29</v>
      </c>
      <c r="J3589" t="s">
        <v>30</v>
      </c>
      <c r="K3589" t="s">
        <v>31</v>
      </c>
      <c r="M3589" t="s">
        <v>32</v>
      </c>
      <c r="N3589" t="str">
        <f>"2/21/2005 12:00:00 AM"</f>
        <v>2/21/2005 12:00:00 AM</v>
      </c>
      <c r="O3589" t="s">
        <v>11046</v>
      </c>
    </row>
    <row r="3590" spans="1:20" x14ac:dyDescent="0.25">
      <c r="A3590" t="str">
        <f>"3051397"</f>
        <v>3051397</v>
      </c>
      <c r="B3590" t="s">
        <v>11049</v>
      </c>
      <c r="C3590" t="str">
        <f>"82528118"</f>
        <v>82528118</v>
      </c>
      <c r="D3590" t="s">
        <v>11050</v>
      </c>
      <c r="E3590" t="s">
        <v>11051</v>
      </c>
      <c r="F3590" t="s">
        <v>11052</v>
      </c>
      <c r="I3590" t="s">
        <v>29</v>
      </c>
      <c r="J3590" t="s">
        <v>30</v>
      </c>
      <c r="K3590" t="s">
        <v>31</v>
      </c>
      <c r="M3590" t="s">
        <v>32</v>
      </c>
      <c r="N3590" t="str">
        <f>"6/8/2007 12:00:00 AM"</f>
        <v>6/8/2007 12:00:00 AM</v>
      </c>
      <c r="O3590" t="s">
        <v>11050</v>
      </c>
      <c r="T3590" t="s">
        <v>11051</v>
      </c>
    </row>
    <row r="3591" spans="1:20" x14ac:dyDescent="0.25">
      <c r="A3591" t="str">
        <f>"3051082"</f>
        <v>3051082</v>
      </c>
      <c r="B3591" t="s">
        <v>11053</v>
      </c>
      <c r="C3591" t="str">
        <f>"82528118"</f>
        <v>82528118</v>
      </c>
      <c r="D3591" t="s">
        <v>11050</v>
      </c>
      <c r="E3591" t="s">
        <v>11051</v>
      </c>
      <c r="F3591" t="s">
        <v>11052</v>
      </c>
      <c r="I3591" t="s">
        <v>29</v>
      </c>
      <c r="J3591" t="s">
        <v>30</v>
      </c>
      <c r="K3591" t="s">
        <v>31</v>
      </c>
      <c r="M3591" t="s">
        <v>32</v>
      </c>
      <c r="N3591" t="str">
        <f>"6/8/2007 12:00:00 AM"</f>
        <v>6/8/2007 12:00:00 AM</v>
      </c>
      <c r="O3591" t="s">
        <v>11050</v>
      </c>
      <c r="T3591" t="s">
        <v>11051</v>
      </c>
    </row>
    <row r="3592" spans="1:20" x14ac:dyDescent="0.25">
      <c r="A3592" t="str">
        <f>"3069610"</f>
        <v>3069610</v>
      </c>
      <c r="B3592" t="s">
        <v>11054</v>
      </c>
      <c r="C3592" t="str">
        <f>"82528118"</f>
        <v>82528118</v>
      </c>
      <c r="D3592" t="s">
        <v>11050</v>
      </c>
      <c r="E3592" t="s">
        <v>11051</v>
      </c>
      <c r="F3592" t="s">
        <v>11052</v>
      </c>
      <c r="I3592" t="s">
        <v>29</v>
      </c>
      <c r="J3592" t="s">
        <v>30</v>
      </c>
      <c r="K3592" t="s">
        <v>31</v>
      </c>
      <c r="M3592" t="s">
        <v>32</v>
      </c>
      <c r="N3592" t="str">
        <f>"6/8/2007 12:00:00 AM"</f>
        <v>6/8/2007 12:00:00 AM</v>
      </c>
      <c r="O3592" t="s">
        <v>11050</v>
      </c>
      <c r="T3592" t="s">
        <v>11051</v>
      </c>
    </row>
    <row r="3593" spans="1:20" x14ac:dyDescent="0.25">
      <c r="A3593" t="str">
        <f>"3069612"</f>
        <v>3069612</v>
      </c>
      <c r="B3593" t="s">
        <v>11055</v>
      </c>
      <c r="C3593" t="str">
        <f>"82523059"</f>
        <v>82523059</v>
      </c>
      <c r="D3593" t="s">
        <v>11050</v>
      </c>
      <c r="F3593" t="s">
        <v>11052</v>
      </c>
      <c r="I3593" t="s">
        <v>29</v>
      </c>
      <c r="J3593" t="s">
        <v>30</v>
      </c>
      <c r="K3593" t="s">
        <v>11056</v>
      </c>
      <c r="M3593" t="s">
        <v>32</v>
      </c>
      <c r="N3593" t="str">
        <f>"2/21/2005 12:00:00 AM"</f>
        <v>2/21/2005 12:00:00 AM</v>
      </c>
      <c r="O3593" t="s">
        <v>11050</v>
      </c>
    </row>
    <row r="3594" spans="1:20" x14ac:dyDescent="0.25">
      <c r="A3594" t="str">
        <f>"3051080"</f>
        <v>3051080</v>
      </c>
      <c r="B3594" t="s">
        <v>11057</v>
      </c>
      <c r="C3594" t="str">
        <f>"82523059"</f>
        <v>82523059</v>
      </c>
      <c r="D3594" t="s">
        <v>11050</v>
      </c>
      <c r="F3594" t="s">
        <v>11052</v>
      </c>
      <c r="I3594" t="s">
        <v>29</v>
      </c>
      <c r="J3594" t="s">
        <v>30</v>
      </c>
      <c r="K3594" t="s">
        <v>11056</v>
      </c>
      <c r="M3594" t="s">
        <v>32</v>
      </c>
      <c r="N3594" t="str">
        <f>"2/21/2005 12:00:00 AM"</f>
        <v>2/21/2005 12:00:00 AM</v>
      </c>
      <c r="O3594" t="s">
        <v>11050</v>
      </c>
    </row>
    <row r="3595" spans="1:20" x14ac:dyDescent="0.25">
      <c r="A3595" t="str">
        <f>"3047583"</f>
        <v>3047583</v>
      </c>
      <c r="B3595" t="s">
        <v>11058</v>
      </c>
      <c r="C3595" t="str">
        <f>"82518059"</f>
        <v>82518059</v>
      </c>
      <c r="D3595" t="s">
        <v>11059</v>
      </c>
      <c r="E3595" t="s">
        <v>11060</v>
      </c>
      <c r="F3595" t="s">
        <v>11061</v>
      </c>
      <c r="I3595" t="s">
        <v>1149</v>
      </c>
      <c r="J3595" t="s">
        <v>30</v>
      </c>
      <c r="K3595" t="s">
        <v>1150</v>
      </c>
      <c r="M3595" t="s">
        <v>32</v>
      </c>
      <c r="N3595" t="str">
        <f>"3/28/2002 12:00:00 AM"</f>
        <v>3/28/2002 12:00:00 AM</v>
      </c>
      <c r="O3595" t="s">
        <v>11059</v>
      </c>
      <c r="T3595" t="s">
        <v>11060</v>
      </c>
    </row>
    <row r="3596" spans="1:20" x14ac:dyDescent="0.25">
      <c r="A3596" t="str">
        <f>"3061968"</f>
        <v>3061968</v>
      </c>
      <c r="B3596" t="s">
        <v>11062</v>
      </c>
      <c r="C3596" t="str">
        <f>"82528699"</f>
        <v>82528699</v>
      </c>
      <c r="D3596" t="s">
        <v>11063</v>
      </c>
      <c r="E3596" t="s">
        <v>11064</v>
      </c>
      <c r="F3596" t="s">
        <v>11065</v>
      </c>
      <c r="I3596" t="s">
        <v>29</v>
      </c>
      <c r="J3596" t="s">
        <v>30</v>
      </c>
      <c r="K3596" t="s">
        <v>31</v>
      </c>
      <c r="M3596" t="s">
        <v>32</v>
      </c>
      <c r="N3596" t="str">
        <f>"2/2/2010 12:00:00 AM"</f>
        <v>2/2/2010 12:00:00 AM</v>
      </c>
      <c r="O3596" t="s">
        <v>11063</v>
      </c>
      <c r="T3596" t="s">
        <v>11064</v>
      </c>
    </row>
    <row r="3597" spans="1:20" x14ac:dyDescent="0.25">
      <c r="A3597" t="str">
        <f>"3061856"</f>
        <v>3061856</v>
      </c>
      <c r="B3597" t="s">
        <v>11066</v>
      </c>
      <c r="C3597" t="str">
        <f>"73447450"</f>
        <v>73447450</v>
      </c>
      <c r="D3597" t="s">
        <v>11067</v>
      </c>
      <c r="F3597" t="s">
        <v>11068</v>
      </c>
      <c r="I3597" t="s">
        <v>29</v>
      </c>
      <c r="J3597" t="s">
        <v>30</v>
      </c>
      <c r="K3597" t="s">
        <v>10910</v>
      </c>
      <c r="M3597" t="s">
        <v>32</v>
      </c>
      <c r="N3597" t="str">
        <f>"1/9/2006 12:00:00 AM"</f>
        <v>1/9/2006 12:00:00 AM</v>
      </c>
      <c r="O3597" t="s">
        <v>11067</v>
      </c>
    </row>
    <row r="3598" spans="1:20" x14ac:dyDescent="0.25">
      <c r="A3598" t="str">
        <f>"3063501"</f>
        <v>3063501</v>
      </c>
      <c r="B3598" t="s">
        <v>11069</v>
      </c>
      <c r="C3598" t="str">
        <f>"82525171"</f>
        <v>82525171</v>
      </c>
      <c r="D3598" t="s">
        <v>11070</v>
      </c>
      <c r="E3598" t="s">
        <v>11071</v>
      </c>
      <c r="F3598" t="s">
        <v>11072</v>
      </c>
      <c r="I3598" t="s">
        <v>29</v>
      </c>
      <c r="J3598" t="s">
        <v>30</v>
      </c>
      <c r="K3598" t="s">
        <v>11073</v>
      </c>
      <c r="M3598" t="s">
        <v>32</v>
      </c>
      <c r="N3598" t="str">
        <f>"1/15/2008 12:00:00 AM"</f>
        <v>1/15/2008 12:00:00 AM</v>
      </c>
      <c r="O3598" t="s">
        <v>11070</v>
      </c>
      <c r="T3598" t="s">
        <v>11071</v>
      </c>
    </row>
    <row r="3599" spans="1:20" x14ac:dyDescent="0.25">
      <c r="A3599" t="str">
        <f>"3078238"</f>
        <v>3078238</v>
      </c>
      <c r="B3599" t="s">
        <v>11074</v>
      </c>
      <c r="C3599" t="str">
        <f>"32788000"</f>
        <v>32788000</v>
      </c>
      <c r="D3599" t="s">
        <v>11075</v>
      </c>
      <c r="E3599" t="s">
        <v>11076</v>
      </c>
      <c r="F3599" t="s">
        <v>11077</v>
      </c>
      <c r="I3599" t="s">
        <v>29</v>
      </c>
      <c r="J3599" t="s">
        <v>30</v>
      </c>
      <c r="K3599" t="s">
        <v>11078</v>
      </c>
      <c r="M3599" t="s">
        <v>32</v>
      </c>
      <c r="N3599" t="str">
        <f>"2/14/2007 12:00:00 AM"</f>
        <v>2/14/2007 12:00:00 AM</v>
      </c>
      <c r="O3599" t="s">
        <v>11075</v>
      </c>
      <c r="T3599" t="s">
        <v>11076</v>
      </c>
    </row>
    <row r="3600" spans="1:20" x14ac:dyDescent="0.25">
      <c r="A3600" t="str">
        <f>"3051373"</f>
        <v>3051373</v>
      </c>
      <c r="B3600" t="s">
        <v>11079</v>
      </c>
      <c r="C3600" t="str">
        <f>"32800000"</f>
        <v>32800000</v>
      </c>
      <c r="D3600" t="s">
        <v>11080</v>
      </c>
      <c r="F3600" t="s">
        <v>11081</v>
      </c>
      <c r="I3600" t="s">
        <v>29</v>
      </c>
      <c r="J3600" t="s">
        <v>30</v>
      </c>
      <c r="K3600" t="s">
        <v>11082</v>
      </c>
      <c r="M3600" t="s">
        <v>32</v>
      </c>
      <c r="N3600" t="str">
        <f>"1/31/2006 12:00:00 AM"</f>
        <v>1/31/2006 12:00:00 AM</v>
      </c>
      <c r="O3600" t="s">
        <v>11080</v>
      </c>
    </row>
    <row r="3601" spans="1:20" x14ac:dyDescent="0.25">
      <c r="A3601" t="str">
        <f>"3051304"</f>
        <v>3051304</v>
      </c>
      <c r="B3601" t="s">
        <v>11083</v>
      </c>
      <c r="C3601" t="str">
        <f>"82522691"</f>
        <v>82522691</v>
      </c>
      <c r="D3601" t="s">
        <v>11084</v>
      </c>
      <c r="F3601" t="s">
        <v>11085</v>
      </c>
      <c r="I3601" t="s">
        <v>29</v>
      </c>
      <c r="J3601" t="s">
        <v>30</v>
      </c>
      <c r="K3601" t="s">
        <v>11082</v>
      </c>
      <c r="M3601" t="s">
        <v>32</v>
      </c>
      <c r="N3601" t="str">
        <f>"3/1/2005 12:00:00 AM"</f>
        <v>3/1/2005 12:00:00 AM</v>
      </c>
      <c r="O3601" t="s">
        <v>11084</v>
      </c>
    </row>
    <row r="3602" spans="1:20" x14ac:dyDescent="0.25">
      <c r="A3602" t="str">
        <f>"3051437"</f>
        <v>3051437</v>
      </c>
      <c r="B3602" t="s">
        <v>11086</v>
      </c>
      <c r="C3602" t="str">
        <f>"8020000"</f>
        <v>8020000</v>
      </c>
      <c r="D3602" t="s">
        <v>11087</v>
      </c>
      <c r="E3602" t="s">
        <v>11088</v>
      </c>
      <c r="F3602" t="s">
        <v>11089</v>
      </c>
      <c r="I3602" t="s">
        <v>29</v>
      </c>
      <c r="J3602" t="s">
        <v>30</v>
      </c>
      <c r="K3602" t="s">
        <v>31</v>
      </c>
      <c r="M3602" t="s">
        <v>32</v>
      </c>
      <c r="N3602" t="str">
        <f>"9/3/2002 12:00:00 AM"</f>
        <v>9/3/2002 12:00:00 AM</v>
      </c>
      <c r="O3602" t="s">
        <v>11087</v>
      </c>
      <c r="T3602" t="s">
        <v>11088</v>
      </c>
    </row>
    <row r="3603" spans="1:20" x14ac:dyDescent="0.25">
      <c r="A3603" t="str">
        <f>"3051137"</f>
        <v>3051137</v>
      </c>
      <c r="B3603" t="s">
        <v>11090</v>
      </c>
      <c r="C3603" t="str">
        <f>"8020000"</f>
        <v>8020000</v>
      </c>
      <c r="D3603" t="s">
        <v>11087</v>
      </c>
      <c r="E3603" t="s">
        <v>11088</v>
      </c>
      <c r="F3603" t="s">
        <v>11089</v>
      </c>
      <c r="I3603" t="s">
        <v>29</v>
      </c>
      <c r="J3603" t="s">
        <v>30</v>
      </c>
      <c r="K3603" t="s">
        <v>31</v>
      </c>
      <c r="M3603" t="s">
        <v>32</v>
      </c>
      <c r="N3603" t="str">
        <f>"9/3/2002 12:00:00 AM"</f>
        <v>9/3/2002 12:00:00 AM</v>
      </c>
      <c r="O3603" t="s">
        <v>11087</v>
      </c>
      <c r="T3603" t="s">
        <v>11088</v>
      </c>
    </row>
    <row r="3604" spans="1:20" x14ac:dyDescent="0.25">
      <c r="A3604" t="str">
        <f>"3062977"</f>
        <v>3062977</v>
      </c>
      <c r="B3604" t="s">
        <v>11091</v>
      </c>
      <c r="C3604" t="str">
        <f>"8020000"</f>
        <v>8020000</v>
      </c>
      <c r="D3604" t="s">
        <v>11087</v>
      </c>
      <c r="E3604" t="s">
        <v>11088</v>
      </c>
      <c r="F3604" t="s">
        <v>11089</v>
      </c>
      <c r="I3604" t="s">
        <v>29</v>
      </c>
      <c r="J3604" t="s">
        <v>30</v>
      </c>
      <c r="K3604" t="s">
        <v>31</v>
      </c>
      <c r="M3604" t="s">
        <v>32</v>
      </c>
      <c r="N3604" t="str">
        <f>"9/3/2002 12:00:00 AM"</f>
        <v>9/3/2002 12:00:00 AM</v>
      </c>
      <c r="O3604" t="s">
        <v>11087</v>
      </c>
      <c r="T3604" t="s">
        <v>11088</v>
      </c>
    </row>
    <row r="3605" spans="1:20" x14ac:dyDescent="0.25">
      <c r="A3605" t="str">
        <f>"3051332"</f>
        <v>3051332</v>
      </c>
      <c r="B3605" t="s">
        <v>11092</v>
      </c>
      <c r="C3605" t="str">
        <f>"23165800"</f>
        <v>23165800</v>
      </c>
      <c r="D3605" t="s">
        <v>11093</v>
      </c>
      <c r="E3605" t="s">
        <v>11094</v>
      </c>
      <c r="F3605" t="s">
        <v>11095</v>
      </c>
      <c r="I3605" t="s">
        <v>29</v>
      </c>
      <c r="J3605" t="s">
        <v>30</v>
      </c>
      <c r="K3605" t="s">
        <v>31</v>
      </c>
      <c r="M3605" t="s">
        <v>32</v>
      </c>
      <c r="N3605" t="str">
        <f>"1/6/2006 12:00:00 AM"</f>
        <v>1/6/2006 12:00:00 AM</v>
      </c>
      <c r="O3605" t="s">
        <v>11093</v>
      </c>
      <c r="T3605" t="s">
        <v>11094</v>
      </c>
    </row>
    <row r="3606" spans="1:20" x14ac:dyDescent="0.25">
      <c r="A3606" t="str">
        <f>"3068568"</f>
        <v>3068568</v>
      </c>
      <c r="B3606" t="s">
        <v>11096</v>
      </c>
      <c r="C3606" t="str">
        <f>"54330000"</f>
        <v>54330000</v>
      </c>
      <c r="D3606" t="s">
        <v>11097</v>
      </c>
      <c r="F3606" t="s">
        <v>11098</v>
      </c>
      <c r="I3606" t="s">
        <v>29</v>
      </c>
      <c r="J3606" t="s">
        <v>30</v>
      </c>
      <c r="K3606" t="s">
        <v>31</v>
      </c>
      <c r="M3606" t="s">
        <v>32</v>
      </c>
      <c r="N3606" t="str">
        <f>"7/6/2004 12:00:00 AM"</f>
        <v>7/6/2004 12:00:00 AM</v>
      </c>
      <c r="O3606" t="s">
        <v>11097</v>
      </c>
    </row>
    <row r="3607" spans="1:20" x14ac:dyDescent="0.25">
      <c r="A3607" t="str">
        <f>"3063502"</f>
        <v>3063502</v>
      </c>
      <c r="B3607" t="s">
        <v>11099</v>
      </c>
      <c r="C3607" t="str">
        <f>"82528487"</f>
        <v>82528487</v>
      </c>
      <c r="D3607" t="s">
        <v>11100</v>
      </c>
      <c r="E3607" t="s">
        <v>11101</v>
      </c>
      <c r="F3607" t="s">
        <v>11102</v>
      </c>
      <c r="I3607" t="s">
        <v>29</v>
      </c>
      <c r="J3607" t="s">
        <v>30</v>
      </c>
      <c r="K3607" t="s">
        <v>31</v>
      </c>
      <c r="M3607" t="s">
        <v>32</v>
      </c>
      <c r="N3607" t="str">
        <f>"1/7/2008 12:00:00 AM"</f>
        <v>1/7/2008 12:00:00 AM</v>
      </c>
      <c r="O3607" t="s">
        <v>11100</v>
      </c>
      <c r="T3607" t="s">
        <v>11101</v>
      </c>
    </row>
    <row r="3608" spans="1:20" x14ac:dyDescent="0.25">
      <c r="A3608" t="str">
        <f>"3050123"</f>
        <v>3050123</v>
      </c>
      <c r="B3608" t="s">
        <v>11103</v>
      </c>
      <c r="C3608" t="str">
        <f>"63531750"</f>
        <v>63531750</v>
      </c>
      <c r="D3608" t="s">
        <v>11104</v>
      </c>
      <c r="E3608" t="s">
        <v>11105</v>
      </c>
      <c r="F3608" t="s">
        <v>11106</v>
      </c>
      <c r="I3608" t="s">
        <v>29</v>
      </c>
      <c r="J3608" t="s">
        <v>30</v>
      </c>
      <c r="K3608" t="s">
        <v>31</v>
      </c>
      <c r="M3608" t="s">
        <v>32</v>
      </c>
      <c r="N3608" t="str">
        <f>"9/3/2002 12:00:00 AM"</f>
        <v>9/3/2002 12:00:00 AM</v>
      </c>
      <c r="O3608" t="s">
        <v>11104</v>
      </c>
      <c r="T3608" t="s">
        <v>11105</v>
      </c>
    </row>
    <row r="3609" spans="1:20" x14ac:dyDescent="0.25">
      <c r="A3609" t="str">
        <f>"3050281"</f>
        <v>3050281</v>
      </c>
      <c r="B3609" t="s">
        <v>11107</v>
      </c>
      <c r="C3609" t="str">
        <f>"63531750"</f>
        <v>63531750</v>
      </c>
      <c r="D3609" t="s">
        <v>11104</v>
      </c>
      <c r="E3609" t="s">
        <v>11105</v>
      </c>
      <c r="F3609" t="s">
        <v>11106</v>
      </c>
      <c r="I3609" t="s">
        <v>29</v>
      </c>
      <c r="J3609" t="s">
        <v>30</v>
      </c>
      <c r="K3609" t="s">
        <v>31</v>
      </c>
      <c r="M3609" t="s">
        <v>32</v>
      </c>
      <c r="N3609" t="str">
        <f>"9/3/2002 12:00:00 AM"</f>
        <v>9/3/2002 12:00:00 AM</v>
      </c>
      <c r="O3609" t="s">
        <v>11104</v>
      </c>
      <c r="T3609" t="s">
        <v>11105</v>
      </c>
    </row>
    <row r="3610" spans="1:20" x14ac:dyDescent="0.25">
      <c r="A3610" t="str">
        <f>"3050007"</f>
        <v>3050007</v>
      </c>
      <c r="B3610" t="s">
        <v>11108</v>
      </c>
      <c r="C3610" t="str">
        <f>"63531750"</f>
        <v>63531750</v>
      </c>
      <c r="D3610" t="s">
        <v>11104</v>
      </c>
      <c r="E3610" t="s">
        <v>11105</v>
      </c>
      <c r="F3610" t="s">
        <v>11106</v>
      </c>
      <c r="I3610" t="s">
        <v>29</v>
      </c>
      <c r="J3610" t="s">
        <v>30</v>
      </c>
      <c r="K3610" t="s">
        <v>31</v>
      </c>
      <c r="M3610" t="s">
        <v>32</v>
      </c>
      <c r="N3610" t="str">
        <f>"9/3/2002 12:00:00 AM"</f>
        <v>9/3/2002 12:00:00 AM</v>
      </c>
      <c r="O3610" t="s">
        <v>11104</v>
      </c>
      <c r="T3610" t="s">
        <v>11105</v>
      </c>
    </row>
    <row r="3611" spans="1:20" x14ac:dyDescent="0.25">
      <c r="A3611" t="str">
        <f>"3048542"</f>
        <v>3048542</v>
      </c>
      <c r="B3611" t="s">
        <v>11109</v>
      </c>
      <c r="C3611" t="str">
        <f>"9812000"</f>
        <v>9812000</v>
      </c>
      <c r="D3611" t="s">
        <v>11110</v>
      </c>
      <c r="E3611" t="s">
        <v>11111</v>
      </c>
      <c r="F3611" t="s">
        <v>11112</v>
      </c>
      <c r="I3611" t="s">
        <v>29</v>
      </c>
      <c r="J3611" t="s">
        <v>30</v>
      </c>
      <c r="K3611" t="s">
        <v>11113</v>
      </c>
      <c r="M3611" t="s">
        <v>32</v>
      </c>
      <c r="N3611" t="str">
        <f>"2/8/2005 12:00:00 AM"</f>
        <v>2/8/2005 12:00:00 AM</v>
      </c>
      <c r="O3611" t="s">
        <v>11110</v>
      </c>
      <c r="T3611" t="s">
        <v>11111</v>
      </c>
    </row>
    <row r="3612" spans="1:20" x14ac:dyDescent="0.25">
      <c r="A3612" t="str">
        <f>"3059242"</f>
        <v>3059242</v>
      </c>
      <c r="B3612" t="s">
        <v>11114</v>
      </c>
      <c r="C3612" t="str">
        <f>"9812000"</f>
        <v>9812000</v>
      </c>
      <c r="D3612" t="s">
        <v>11110</v>
      </c>
      <c r="E3612" t="s">
        <v>11111</v>
      </c>
      <c r="F3612" t="s">
        <v>11112</v>
      </c>
      <c r="I3612" t="s">
        <v>29</v>
      </c>
      <c r="J3612" t="s">
        <v>30</v>
      </c>
      <c r="K3612" t="s">
        <v>11113</v>
      </c>
      <c r="M3612" t="s">
        <v>32</v>
      </c>
      <c r="N3612" t="str">
        <f>"2/8/2005 12:00:00 AM"</f>
        <v>2/8/2005 12:00:00 AM</v>
      </c>
      <c r="O3612" t="s">
        <v>11110</v>
      </c>
      <c r="T3612" t="s">
        <v>11111</v>
      </c>
    </row>
    <row r="3613" spans="1:20" x14ac:dyDescent="0.25">
      <c r="A3613" t="str">
        <f>"3049231"</f>
        <v>3049231</v>
      </c>
      <c r="B3613" t="s">
        <v>11115</v>
      </c>
      <c r="C3613" t="str">
        <f>"82522659"</f>
        <v>82522659</v>
      </c>
      <c r="D3613" t="s">
        <v>11116</v>
      </c>
      <c r="F3613" t="s">
        <v>11112</v>
      </c>
      <c r="I3613" t="s">
        <v>29</v>
      </c>
      <c r="J3613" t="s">
        <v>30</v>
      </c>
      <c r="K3613" t="s">
        <v>11113</v>
      </c>
      <c r="M3613" t="s">
        <v>32</v>
      </c>
      <c r="N3613" t="str">
        <f>"2/8/2005 12:00:00 AM"</f>
        <v>2/8/2005 12:00:00 AM</v>
      </c>
      <c r="O3613" t="s">
        <v>11116</v>
      </c>
    </row>
    <row r="3614" spans="1:20" x14ac:dyDescent="0.25">
      <c r="A3614" t="str">
        <f>"3061861"</f>
        <v>3061861</v>
      </c>
      <c r="B3614" t="s">
        <v>11117</v>
      </c>
      <c r="C3614" t="str">
        <f>"82525061"</f>
        <v>82525061</v>
      </c>
      <c r="D3614" t="s">
        <v>11118</v>
      </c>
      <c r="E3614" t="s">
        <v>11119</v>
      </c>
      <c r="F3614" t="s">
        <v>11120</v>
      </c>
      <c r="I3614" t="s">
        <v>29</v>
      </c>
      <c r="J3614" t="s">
        <v>30</v>
      </c>
      <c r="K3614" t="s">
        <v>11121</v>
      </c>
      <c r="M3614" t="s">
        <v>32</v>
      </c>
      <c r="N3614" t="str">
        <f>"1/3/2006 12:00:00 AM"</f>
        <v>1/3/2006 12:00:00 AM</v>
      </c>
      <c r="O3614" t="s">
        <v>11118</v>
      </c>
      <c r="T3614" t="s">
        <v>11119</v>
      </c>
    </row>
    <row r="3615" spans="1:20" x14ac:dyDescent="0.25">
      <c r="A3615" t="str">
        <f>"3059230"</f>
        <v>3059230</v>
      </c>
      <c r="B3615" t="s">
        <v>11122</v>
      </c>
      <c r="C3615" t="str">
        <f>"82521289"</f>
        <v>82521289</v>
      </c>
      <c r="D3615" t="s">
        <v>11123</v>
      </c>
      <c r="E3615" t="s">
        <v>11124</v>
      </c>
      <c r="F3615" t="s">
        <v>11125</v>
      </c>
      <c r="I3615" t="s">
        <v>29</v>
      </c>
      <c r="J3615" t="s">
        <v>30</v>
      </c>
      <c r="K3615" t="s">
        <v>31</v>
      </c>
      <c r="N3615" t="str">
        <f>"8/11/2003 12:00:00 AM"</f>
        <v>8/11/2003 12:00:00 AM</v>
      </c>
      <c r="O3615" t="s">
        <v>11123</v>
      </c>
      <c r="T3615" t="s">
        <v>11124</v>
      </c>
    </row>
    <row r="3616" spans="1:20" x14ac:dyDescent="0.25">
      <c r="A3616" t="str">
        <f>"3059243"</f>
        <v>3059243</v>
      </c>
      <c r="B3616" t="s">
        <v>11126</v>
      </c>
      <c r="C3616" t="str">
        <f>"55630500"</f>
        <v>55630500</v>
      </c>
      <c r="D3616" t="s">
        <v>11127</v>
      </c>
      <c r="E3616" t="s">
        <v>11128</v>
      </c>
      <c r="F3616" t="s">
        <v>11129</v>
      </c>
      <c r="I3616" t="s">
        <v>29</v>
      </c>
      <c r="J3616" t="s">
        <v>30</v>
      </c>
      <c r="K3616" t="s">
        <v>31</v>
      </c>
      <c r="M3616" t="s">
        <v>32</v>
      </c>
      <c r="N3616" t="str">
        <f>"1/19/2011 12:00:00 AM"</f>
        <v>1/19/2011 12:00:00 AM</v>
      </c>
      <c r="O3616" t="s">
        <v>11127</v>
      </c>
      <c r="T3616" t="s">
        <v>11128</v>
      </c>
    </row>
    <row r="3617" spans="1:20" x14ac:dyDescent="0.25">
      <c r="A3617" t="str">
        <f>"3059247"</f>
        <v>3059247</v>
      </c>
      <c r="B3617" t="s">
        <v>11130</v>
      </c>
      <c r="C3617" t="str">
        <f>"9770000"</f>
        <v>9770000</v>
      </c>
      <c r="D3617" t="s">
        <v>11131</v>
      </c>
      <c r="E3617" t="s">
        <v>11132</v>
      </c>
      <c r="F3617" t="s">
        <v>11133</v>
      </c>
      <c r="I3617" t="s">
        <v>29</v>
      </c>
      <c r="J3617" t="s">
        <v>30</v>
      </c>
      <c r="K3617" t="s">
        <v>31</v>
      </c>
      <c r="M3617" t="s">
        <v>32</v>
      </c>
      <c r="N3617" t="str">
        <f>"6/10/2003 12:00:00 AM"</f>
        <v>6/10/2003 12:00:00 AM</v>
      </c>
      <c r="O3617" t="s">
        <v>11131</v>
      </c>
      <c r="T3617" t="s">
        <v>11132</v>
      </c>
    </row>
    <row r="3618" spans="1:20" x14ac:dyDescent="0.25">
      <c r="A3618" t="str">
        <f>"3056888"</f>
        <v>3056888</v>
      </c>
      <c r="B3618" t="s">
        <v>11134</v>
      </c>
      <c r="C3618" t="str">
        <f>"9770000"</f>
        <v>9770000</v>
      </c>
      <c r="D3618" t="s">
        <v>11131</v>
      </c>
      <c r="E3618" t="s">
        <v>11132</v>
      </c>
      <c r="F3618" t="s">
        <v>11133</v>
      </c>
      <c r="I3618" t="s">
        <v>29</v>
      </c>
      <c r="J3618" t="s">
        <v>30</v>
      </c>
      <c r="K3618" t="s">
        <v>31</v>
      </c>
      <c r="M3618" t="s">
        <v>32</v>
      </c>
      <c r="N3618" t="str">
        <f>"6/10/2003 12:00:00 AM"</f>
        <v>6/10/2003 12:00:00 AM</v>
      </c>
      <c r="O3618" t="s">
        <v>11131</v>
      </c>
      <c r="T3618" t="s">
        <v>11132</v>
      </c>
    </row>
    <row r="3619" spans="1:20" x14ac:dyDescent="0.25">
      <c r="A3619" t="str">
        <f>"3056892"</f>
        <v>3056892</v>
      </c>
      <c r="B3619" t="s">
        <v>11135</v>
      </c>
      <c r="C3619" t="str">
        <f>"9770000"</f>
        <v>9770000</v>
      </c>
      <c r="D3619" t="s">
        <v>11131</v>
      </c>
      <c r="E3619" t="s">
        <v>11132</v>
      </c>
      <c r="F3619" t="s">
        <v>11133</v>
      </c>
      <c r="I3619" t="s">
        <v>29</v>
      </c>
      <c r="J3619" t="s">
        <v>30</v>
      </c>
      <c r="K3619" t="s">
        <v>31</v>
      </c>
      <c r="M3619" t="s">
        <v>32</v>
      </c>
      <c r="N3619" t="str">
        <f>"6/10/2003 12:00:00 AM"</f>
        <v>6/10/2003 12:00:00 AM</v>
      </c>
      <c r="O3619" t="s">
        <v>11131</v>
      </c>
      <c r="T3619" t="s">
        <v>11132</v>
      </c>
    </row>
    <row r="3620" spans="1:20" x14ac:dyDescent="0.25">
      <c r="A3620" t="str">
        <f>"3059244"</f>
        <v>3059244</v>
      </c>
      <c r="B3620" t="s">
        <v>11136</v>
      </c>
      <c r="C3620" t="str">
        <f>"72116000"</f>
        <v>72116000</v>
      </c>
      <c r="D3620" t="s">
        <v>11137</v>
      </c>
      <c r="E3620" t="s">
        <v>11138</v>
      </c>
      <c r="F3620" t="s">
        <v>11139</v>
      </c>
      <c r="I3620" t="s">
        <v>1107</v>
      </c>
      <c r="J3620" t="s">
        <v>30</v>
      </c>
      <c r="K3620" t="s">
        <v>4147</v>
      </c>
      <c r="N3620" t="str">
        <f>"6/16/2004 12:00:00 AM"</f>
        <v>6/16/2004 12:00:00 AM</v>
      </c>
      <c r="O3620" t="s">
        <v>11137</v>
      </c>
      <c r="T3620" t="s">
        <v>11138</v>
      </c>
    </row>
    <row r="3621" spans="1:20" x14ac:dyDescent="0.25">
      <c r="A3621" t="str">
        <f>"3059234"</f>
        <v>3059234</v>
      </c>
      <c r="B3621" t="s">
        <v>11140</v>
      </c>
      <c r="C3621" t="str">
        <f>"82527481"</f>
        <v>82527481</v>
      </c>
      <c r="D3621" t="s">
        <v>11141</v>
      </c>
      <c r="F3621" t="s">
        <v>11142</v>
      </c>
      <c r="I3621" t="s">
        <v>29</v>
      </c>
      <c r="J3621" t="s">
        <v>30</v>
      </c>
      <c r="K3621" t="s">
        <v>31</v>
      </c>
      <c r="M3621" t="s">
        <v>32</v>
      </c>
      <c r="N3621" t="str">
        <f>"1/11/2008 12:00:00 AM"</f>
        <v>1/11/2008 12:00:00 AM</v>
      </c>
      <c r="O3621" t="s">
        <v>11141</v>
      </c>
    </row>
    <row r="3622" spans="1:20" x14ac:dyDescent="0.25">
      <c r="A3622" t="str">
        <f>"3059235"</f>
        <v>3059235</v>
      </c>
      <c r="B3622" t="s">
        <v>11143</v>
      </c>
      <c r="C3622" t="str">
        <f>"65204000"</f>
        <v>65204000</v>
      </c>
      <c r="D3622" t="s">
        <v>11144</v>
      </c>
      <c r="E3622" t="s">
        <v>11145</v>
      </c>
      <c r="F3622" t="s">
        <v>11146</v>
      </c>
      <c r="I3622" t="s">
        <v>29</v>
      </c>
      <c r="J3622" t="s">
        <v>30</v>
      </c>
      <c r="K3622" t="s">
        <v>31</v>
      </c>
      <c r="M3622" t="s">
        <v>32</v>
      </c>
      <c r="N3622" t="str">
        <f>"9/4/2002 12:00:00 AM"</f>
        <v>9/4/2002 12:00:00 AM</v>
      </c>
      <c r="O3622" t="s">
        <v>11144</v>
      </c>
      <c r="T3622" t="s">
        <v>11145</v>
      </c>
    </row>
    <row r="3623" spans="1:20" x14ac:dyDescent="0.25">
      <c r="A3623" t="str">
        <f>"3059246"</f>
        <v>3059246</v>
      </c>
      <c r="B3623" t="s">
        <v>11147</v>
      </c>
      <c r="C3623" t="str">
        <f>"82514733"</f>
        <v>82514733</v>
      </c>
      <c r="D3623" t="s">
        <v>11148</v>
      </c>
      <c r="E3623" t="s">
        <v>11149</v>
      </c>
      <c r="F3623" t="s">
        <v>11150</v>
      </c>
      <c r="I3623" t="s">
        <v>29</v>
      </c>
      <c r="J3623" t="s">
        <v>30</v>
      </c>
      <c r="K3623" t="s">
        <v>11151</v>
      </c>
      <c r="N3623" t="str">
        <f>"2/1/2006 12:00:00 AM"</f>
        <v>2/1/2006 12:00:00 AM</v>
      </c>
      <c r="O3623" t="s">
        <v>11148</v>
      </c>
      <c r="T3623" t="s">
        <v>11149</v>
      </c>
    </row>
    <row r="3624" spans="1:20" x14ac:dyDescent="0.25">
      <c r="A3624" t="str">
        <f>"3061878"</f>
        <v>3061878</v>
      </c>
      <c r="B3624" t="s">
        <v>11152</v>
      </c>
      <c r="C3624" t="str">
        <f>"82528919"</f>
        <v>82528919</v>
      </c>
      <c r="D3624" t="s">
        <v>11153</v>
      </c>
      <c r="F3624" t="s">
        <v>11154</v>
      </c>
      <c r="I3624" t="s">
        <v>29</v>
      </c>
      <c r="J3624" t="s">
        <v>30</v>
      </c>
      <c r="K3624" t="s">
        <v>31</v>
      </c>
      <c r="M3624" t="s">
        <v>32</v>
      </c>
      <c r="N3624" t="str">
        <f>"12/7/2007 12:00:00 AM"</f>
        <v>12/7/2007 12:00:00 AM</v>
      </c>
      <c r="O3624" t="s">
        <v>11153</v>
      </c>
    </row>
    <row r="3625" spans="1:20" x14ac:dyDescent="0.25">
      <c r="A3625" t="str">
        <f>"3049643"</f>
        <v>3049643</v>
      </c>
      <c r="B3625" t="s">
        <v>11155</v>
      </c>
      <c r="C3625" t="str">
        <f>"43997000"</f>
        <v>43997000</v>
      </c>
      <c r="D3625" t="s">
        <v>11156</v>
      </c>
      <c r="E3625" t="s">
        <v>11157</v>
      </c>
      <c r="F3625" t="s">
        <v>11158</v>
      </c>
      <c r="I3625" t="s">
        <v>29</v>
      </c>
      <c r="J3625" t="s">
        <v>30</v>
      </c>
      <c r="K3625" t="s">
        <v>11159</v>
      </c>
      <c r="M3625" t="s">
        <v>32</v>
      </c>
      <c r="N3625" t="str">
        <f>"2/1/2010 12:00:00 AM"</f>
        <v>2/1/2010 12:00:00 AM</v>
      </c>
      <c r="O3625" t="s">
        <v>11156</v>
      </c>
      <c r="T3625" t="s">
        <v>11157</v>
      </c>
    </row>
    <row r="3626" spans="1:20" x14ac:dyDescent="0.25">
      <c r="A3626" t="str">
        <f>"3050024"</f>
        <v>3050024</v>
      </c>
      <c r="B3626" t="s">
        <v>11160</v>
      </c>
      <c r="C3626" t="str">
        <f>"82527096"</f>
        <v>82527096</v>
      </c>
      <c r="D3626" t="s">
        <v>11161</v>
      </c>
      <c r="F3626" t="s">
        <v>11162</v>
      </c>
      <c r="I3626" t="s">
        <v>29</v>
      </c>
      <c r="J3626" t="s">
        <v>30</v>
      </c>
      <c r="K3626" t="s">
        <v>11163</v>
      </c>
      <c r="M3626" t="s">
        <v>32</v>
      </c>
      <c r="N3626" t="str">
        <f>"10/5/2011 12:00:00 AM"</f>
        <v>10/5/2011 12:00:00 AM</v>
      </c>
      <c r="O3626" t="s">
        <v>11161</v>
      </c>
    </row>
    <row r="3627" spans="1:20" x14ac:dyDescent="0.25">
      <c r="A3627" t="str">
        <f>"3048860"</f>
        <v>3048860</v>
      </c>
      <c r="B3627" t="s">
        <v>11164</v>
      </c>
      <c r="C3627" t="str">
        <f>"82530344"</f>
        <v>82530344</v>
      </c>
      <c r="D3627" t="s">
        <v>11165</v>
      </c>
      <c r="E3627" t="s">
        <v>11166</v>
      </c>
      <c r="F3627" t="s">
        <v>11167</v>
      </c>
      <c r="I3627" t="s">
        <v>29</v>
      </c>
      <c r="J3627" t="s">
        <v>30</v>
      </c>
      <c r="K3627" t="s">
        <v>31</v>
      </c>
      <c r="M3627" t="s">
        <v>32</v>
      </c>
      <c r="N3627" t="str">
        <f>"1/7/2009 12:00:00 AM"</f>
        <v>1/7/2009 12:00:00 AM</v>
      </c>
      <c r="O3627" t="s">
        <v>11165</v>
      </c>
      <c r="T3627" t="s">
        <v>11166</v>
      </c>
    </row>
    <row r="3628" spans="1:20" x14ac:dyDescent="0.25">
      <c r="A3628" t="str">
        <f>"3061875"</f>
        <v>3061875</v>
      </c>
      <c r="B3628" t="s">
        <v>11168</v>
      </c>
      <c r="C3628" t="str">
        <f>"38056000"</f>
        <v>38056000</v>
      </c>
      <c r="D3628" t="s">
        <v>11169</v>
      </c>
      <c r="F3628" t="s">
        <v>11170</v>
      </c>
      <c r="I3628" t="s">
        <v>29</v>
      </c>
      <c r="J3628" t="s">
        <v>30</v>
      </c>
      <c r="K3628" t="s">
        <v>31</v>
      </c>
      <c r="M3628" t="s">
        <v>32</v>
      </c>
      <c r="N3628" t="str">
        <f>"1/15/2004 12:00:00 AM"</f>
        <v>1/15/2004 12:00:00 AM</v>
      </c>
      <c r="O3628" t="s">
        <v>11169</v>
      </c>
    </row>
    <row r="3629" spans="1:20" x14ac:dyDescent="0.25">
      <c r="A3629" t="str">
        <f>"3049462"</f>
        <v>3049462</v>
      </c>
      <c r="B3629" t="s">
        <v>11171</v>
      </c>
      <c r="C3629" t="str">
        <f>"80912000"</f>
        <v>80912000</v>
      </c>
      <c r="D3629" t="s">
        <v>11172</v>
      </c>
      <c r="E3629" t="s">
        <v>11173</v>
      </c>
      <c r="F3629" t="s">
        <v>11174</v>
      </c>
      <c r="I3629" t="s">
        <v>29</v>
      </c>
      <c r="J3629" t="s">
        <v>30</v>
      </c>
      <c r="K3629" t="s">
        <v>11175</v>
      </c>
      <c r="M3629" t="s">
        <v>32</v>
      </c>
      <c r="N3629" t="str">
        <f>"1/12/2010 12:00:00 AM"</f>
        <v>1/12/2010 12:00:00 AM</v>
      </c>
      <c r="O3629" t="s">
        <v>11172</v>
      </c>
      <c r="T3629" t="s">
        <v>11173</v>
      </c>
    </row>
    <row r="3630" spans="1:20" x14ac:dyDescent="0.25">
      <c r="A3630" t="str">
        <f>"3048973"</f>
        <v>3048973</v>
      </c>
      <c r="B3630" t="s">
        <v>11176</v>
      </c>
      <c r="C3630" t="str">
        <f>"9313840"</f>
        <v>9313840</v>
      </c>
      <c r="D3630" t="s">
        <v>11177</v>
      </c>
      <c r="F3630" t="s">
        <v>11178</v>
      </c>
      <c r="I3630" t="s">
        <v>29</v>
      </c>
      <c r="J3630" t="s">
        <v>30</v>
      </c>
      <c r="K3630" t="s">
        <v>11179</v>
      </c>
      <c r="M3630" t="s">
        <v>32</v>
      </c>
      <c r="N3630" t="str">
        <f>"2/8/2005 12:00:00 AM"</f>
        <v>2/8/2005 12:00:00 AM</v>
      </c>
      <c r="O3630" t="s">
        <v>11177</v>
      </c>
    </row>
    <row r="3631" spans="1:20" x14ac:dyDescent="0.25">
      <c r="A3631" t="str">
        <f>"3048991"</f>
        <v>3048991</v>
      </c>
      <c r="B3631" t="s">
        <v>11180</v>
      </c>
      <c r="C3631" t="str">
        <f>"9313840"</f>
        <v>9313840</v>
      </c>
      <c r="D3631" t="s">
        <v>11177</v>
      </c>
      <c r="F3631" t="s">
        <v>11178</v>
      </c>
      <c r="I3631" t="s">
        <v>29</v>
      </c>
      <c r="J3631" t="s">
        <v>30</v>
      </c>
      <c r="K3631" t="s">
        <v>11179</v>
      </c>
      <c r="M3631" t="s">
        <v>32</v>
      </c>
      <c r="N3631" t="str">
        <f>"2/8/2005 12:00:00 AM"</f>
        <v>2/8/2005 12:00:00 AM</v>
      </c>
      <c r="O3631" t="s">
        <v>11177</v>
      </c>
    </row>
    <row r="3632" spans="1:20" x14ac:dyDescent="0.25">
      <c r="A3632" t="str">
        <f>"3048990"</f>
        <v>3048990</v>
      </c>
      <c r="B3632" t="s">
        <v>11181</v>
      </c>
      <c r="C3632" t="str">
        <f>"82529827"</f>
        <v>82529827</v>
      </c>
      <c r="D3632" t="s">
        <v>11182</v>
      </c>
      <c r="F3632" t="s">
        <v>11183</v>
      </c>
      <c r="I3632" t="s">
        <v>29</v>
      </c>
      <c r="J3632" t="s">
        <v>30</v>
      </c>
      <c r="K3632" t="s">
        <v>31</v>
      </c>
      <c r="M3632" t="s">
        <v>32</v>
      </c>
      <c r="N3632" t="str">
        <f>"6/17/2009 12:00:00 AM"</f>
        <v>6/17/2009 12:00:00 AM</v>
      </c>
      <c r="O3632" t="s">
        <v>11182</v>
      </c>
    </row>
    <row r="3633" spans="1:20" x14ac:dyDescent="0.25">
      <c r="A3633" t="str">
        <f>"3048979"</f>
        <v>3048979</v>
      </c>
      <c r="B3633" t="s">
        <v>11184</v>
      </c>
      <c r="C3633" t="str">
        <f>"82513010"</f>
        <v>82513010</v>
      </c>
      <c r="D3633" t="s">
        <v>11177</v>
      </c>
      <c r="E3633" t="str">
        <f>"HARRIS/OPTIMISTS"</f>
        <v>HARRIS/OPTIMISTS</v>
      </c>
      <c r="F3633" t="s">
        <v>11178</v>
      </c>
      <c r="I3633" t="s">
        <v>29</v>
      </c>
      <c r="J3633" t="s">
        <v>30</v>
      </c>
      <c r="K3633" t="s">
        <v>31</v>
      </c>
      <c r="M3633" t="s">
        <v>32</v>
      </c>
      <c r="N3633" t="str">
        <f>"11/1/2002 12:00:00 AM"</f>
        <v>11/1/2002 12:00:00 AM</v>
      </c>
      <c r="O3633" t="s">
        <v>11177</v>
      </c>
      <c r="T3633" t="str">
        <f>"HARRIS/OPTIMISTS"</f>
        <v>HARRIS/OPTIMISTS</v>
      </c>
    </row>
    <row r="3634" spans="1:20" x14ac:dyDescent="0.25">
      <c r="A3634" t="str">
        <f>"3050021"</f>
        <v>3050021</v>
      </c>
      <c r="B3634" t="s">
        <v>11185</v>
      </c>
      <c r="C3634" t="str">
        <f>"82529078"</f>
        <v>82529078</v>
      </c>
      <c r="D3634" t="s">
        <v>11186</v>
      </c>
      <c r="E3634" t="s">
        <v>11187</v>
      </c>
      <c r="F3634" t="s">
        <v>11188</v>
      </c>
      <c r="I3634" t="s">
        <v>29</v>
      </c>
      <c r="J3634" t="s">
        <v>30</v>
      </c>
      <c r="K3634" t="s">
        <v>31</v>
      </c>
      <c r="M3634" t="s">
        <v>32</v>
      </c>
      <c r="N3634" t="str">
        <f>"1/8/2008 12:00:00 AM"</f>
        <v>1/8/2008 12:00:00 AM</v>
      </c>
      <c r="O3634" t="s">
        <v>11186</v>
      </c>
      <c r="T3634" t="s">
        <v>11187</v>
      </c>
    </row>
    <row r="3635" spans="1:20" x14ac:dyDescent="0.25">
      <c r="A3635" t="str">
        <f>"3050027"</f>
        <v>3050027</v>
      </c>
      <c r="B3635" t="s">
        <v>11189</v>
      </c>
      <c r="C3635" t="str">
        <f>"82529078"</f>
        <v>82529078</v>
      </c>
      <c r="D3635" t="s">
        <v>11186</v>
      </c>
      <c r="E3635" t="s">
        <v>11187</v>
      </c>
      <c r="F3635" t="s">
        <v>11188</v>
      </c>
      <c r="I3635" t="s">
        <v>29</v>
      </c>
      <c r="J3635" t="s">
        <v>30</v>
      </c>
      <c r="K3635" t="s">
        <v>31</v>
      </c>
      <c r="M3635" t="s">
        <v>32</v>
      </c>
      <c r="N3635" t="str">
        <f>"1/8/2008 12:00:00 AM"</f>
        <v>1/8/2008 12:00:00 AM</v>
      </c>
      <c r="O3635" t="s">
        <v>11186</v>
      </c>
      <c r="T3635" t="s">
        <v>11187</v>
      </c>
    </row>
    <row r="3636" spans="1:20" x14ac:dyDescent="0.25">
      <c r="A3636" t="str">
        <f>"3056895"</f>
        <v>3056895</v>
      </c>
      <c r="B3636" t="s">
        <v>11190</v>
      </c>
      <c r="C3636" t="str">
        <f>"82529078"</f>
        <v>82529078</v>
      </c>
      <c r="D3636" t="s">
        <v>11186</v>
      </c>
      <c r="E3636" t="s">
        <v>11187</v>
      </c>
      <c r="F3636" t="s">
        <v>11188</v>
      </c>
      <c r="I3636" t="s">
        <v>29</v>
      </c>
      <c r="J3636" t="s">
        <v>30</v>
      </c>
      <c r="K3636" t="s">
        <v>31</v>
      </c>
      <c r="M3636" t="s">
        <v>32</v>
      </c>
      <c r="N3636" t="str">
        <f>"1/8/2008 12:00:00 AM"</f>
        <v>1/8/2008 12:00:00 AM</v>
      </c>
      <c r="O3636" t="s">
        <v>11186</v>
      </c>
      <c r="T3636" t="s">
        <v>11187</v>
      </c>
    </row>
    <row r="3637" spans="1:20" x14ac:dyDescent="0.25">
      <c r="A3637" t="str">
        <f>"3051020"</f>
        <v>3051020</v>
      </c>
      <c r="B3637" t="s">
        <v>11191</v>
      </c>
      <c r="C3637" t="str">
        <f>"82518629"</f>
        <v>82518629</v>
      </c>
      <c r="D3637" t="s">
        <v>11192</v>
      </c>
      <c r="E3637" t="s">
        <v>11193</v>
      </c>
      <c r="F3637" t="s">
        <v>11194</v>
      </c>
      <c r="I3637" t="s">
        <v>29</v>
      </c>
      <c r="J3637" t="s">
        <v>30</v>
      </c>
      <c r="K3637" t="s">
        <v>31</v>
      </c>
      <c r="M3637" t="s">
        <v>32</v>
      </c>
      <c r="N3637" t="str">
        <f>"1/23/2003 12:00:00 AM"</f>
        <v>1/23/2003 12:00:00 AM</v>
      </c>
      <c r="O3637" t="s">
        <v>11192</v>
      </c>
      <c r="T3637" t="s">
        <v>11193</v>
      </c>
    </row>
    <row r="3638" spans="1:20" x14ac:dyDescent="0.25">
      <c r="A3638" t="str">
        <f>"3053190"</f>
        <v>3053190</v>
      </c>
      <c r="B3638" t="s">
        <v>11195</v>
      </c>
      <c r="C3638" t="str">
        <f t="shared" ref="C3638:C3643" si="59">"41374000"</f>
        <v>41374000</v>
      </c>
      <c r="D3638" t="s">
        <v>11196</v>
      </c>
      <c r="E3638" t="s">
        <v>11197</v>
      </c>
      <c r="F3638" t="s">
        <v>11198</v>
      </c>
      <c r="I3638" t="s">
        <v>29</v>
      </c>
      <c r="J3638" t="s">
        <v>30</v>
      </c>
      <c r="K3638" t="s">
        <v>11199</v>
      </c>
      <c r="M3638" t="s">
        <v>32</v>
      </c>
      <c r="N3638" t="str">
        <f t="shared" ref="N3638:N3643" si="60">"1/31/2006 12:00:00 AM"</f>
        <v>1/31/2006 12:00:00 AM</v>
      </c>
      <c r="O3638" t="s">
        <v>11196</v>
      </c>
      <c r="T3638" t="s">
        <v>11197</v>
      </c>
    </row>
    <row r="3639" spans="1:20" x14ac:dyDescent="0.25">
      <c r="A3639" t="str">
        <f>"3053705"</f>
        <v>3053705</v>
      </c>
      <c r="B3639" t="s">
        <v>11200</v>
      </c>
      <c r="C3639" t="str">
        <f t="shared" si="59"/>
        <v>41374000</v>
      </c>
      <c r="D3639" t="s">
        <v>11196</v>
      </c>
      <c r="E3639" t="s">
        <v>11197</v>
      </c>
      <c r="F3639" t="s">
        <v>11198</v>
      </c>
      <c r="I3639" t="s">
        <v>29</v>
      </c>
      <c r="J3639" t="s">
        <v>30</v>
      </c>
      <c r="K3639" t="s">
        <v>11199</v>
      </c>
      <c r="M3639" t="s">
        <v>32</v>
      </c>
      <c r="N3639" t="str">
        <f t="shared" si="60"/>
        <v>1/31/2006 12:00:00 AM</v>
      </c>
      <c r="O3639" t="s">
        <v>11196</v>
      </c>
      <c r="T3639" t="s">
        <v>11197</v>
      </c>
    </row>
    <row r="3640" spans="1:20" x14ac:dyDescent="0.25">
      <c r="A3640" t="str">
        <f>"3064695"</f>
        <v>3064695</v>
      </c>
      <c r="B3640" t="s">
        <v>11201</v>
      </c>
      <c r="C3640" t="str">
        <f t="shared" si="59"/>
        <v>41374000</v>
      </c>
      <c r="D3640" t="s">
        <v>11196</v>
      </c>
      <c r="E3640" t="s">
        <v>11197</v>
      </c>
      <c r="F3640" t="s">
        <v>11198</v>
      </c>
      <c r="I3640" t="s">
        <v>29</v>
      </c>
      <c r="J3640" t="s">
        <v>30</v>
      </c>
      <c r="K3640" t="s">
        <v>11199</v>
      </c>
      <c r="M3640" t="s">
        <v>32</v>
      </c>
      <c r="N3640" t="str">
        <f t="shared" si="60"/>
        <v>1/31/2006 12:00:00 AM</v>
      </c>
      <c r="O3640" t="s">
        <v>11196</v>
      </c>
      <c r="T3640" t="s">
        <v>11197</v>
      </c>
    </row>
    <row r="3641" spans="1:20" x14ac:dyDescent="0.25">
      <c r="A3641" t="str">
        <f>"3078449"</f>
        <v>3078449</v>
      </c>
      <c r="B3641" t="s">
        <v>11202</v>
      </c>
      <c r="C3641" t="str">
        <f t="shared" si="59"/>
        <v>41374000</v>
      </c>
      <c r="D3641" t="s">
        <v>11196</v>
      </c>
      <c r="E3641" t="s">
        <v>11197</v>
      </c>
      <c r="F3641" t="s">
        <v>11198</v>
      </c>
      <c r="I3641" t="s">
        <v>29</v>
      </c>
      <c r="J3641" t="s">
        <v>30</v>
      </c>
      <c r="K3641" t="s">
        <v>11199</v>
      </c>
      <c r="M3641" t="s">
        <v>32</v>
      </c>
      <c r="N3641" t="str">
        <f t="shared" si="60"/>
        <v>1/31/2006 12:00:00 AM</v>
      </c>
      <c r="O3641" t="s">
        <v>11196</v>
      </c>
      <c r="T3641" t="s">
        <v>11197</v>
      </c>
    </row>
    <row r="3642" spans="1:20" x14ac:dyDescent="0.25">
      <c r="A3642" t="str">
        <f>"3078699"</f>
        <v>3078699</v>
      </c>
      <c r="B3642" t="s">
        <v>11203</v>
      </c>
      <c r="C3642" t="str">
        <f t="shared" si="59"/>
        <v>41374000</v>
      </c>
      <c r="D3642" t="s">
        <v>11196</v>
      </c>
      <c r="E3642" t="s">
        <v>11197</v>
      </c>
      <c r="F3642" t="s">
        <v>11198</v>
      </c>
      <c r="I3642" t="s">
        <v>29</v>
      </c>
      <c r="J3642" t="s">
        <v>30</v>
      </c>
      <c r="K3642" t="s">
        <v>11199</v>
      </c>
      <c r="M3642" t="s">
        <v>32</v>
      </c>
      <c r="N3642" t="str">
        <f t="shared" si="60"/>
        <v>1/31/2006 12:00:00 AM</v>
      </c>
      <c r="O3642" t="s">
        <v>11196</v>
      </c>
      <c r="T3642" t="s">
        <v>11197</v>
      </c>
    </row>
    <row r="3643" spans="1:20" x14ac:dyDescent="0.25">
      <c r="A3643" t="str">
        <f>"3078708"</f>
        <v>3078708</v>
      </c>
      <c r="B3643" t="s">
        <v>11204</v>
      </c>
      <c r="C3643" t="str">
        <f t="shared" si="59"/>
        <v>41374000</v>
      </c>
      <c r="D3643" t="s">
        <v>11196</v>
      </c>
      <c r="E3643" t="s">
        <v>11197</v>
      </c>
      <c r="F3643" t="s">
        <v>11198</v>
      </c>
      <c r="I3643" t="s">
        <v>29</v>
      </c>
      <c r="J3643" t="s">
        <v>30</v>
      </c>
      <c r="K3643" t="s">
        <v>11199</v>
      </c>
      <c r="M3643" t="s">
        <v>32</v>
      </c>
      <c r="N3643" t="str">
        <f t="shared" si="60"/>
        <v>1/31/2006 12:00:00 AM</v>
      </c>
      <c r="O3643" t="s">
        <v>11196</v>
      </c>
      <c r="T3643" t="s">
        <v>11197</v>
      </c>
    </row>
    <row r="3644" spans="1:20" x14ac:dyDescent="0.25">
      <c r="A3644" t="str">
        <f>"3049026"</f>
        <v>3049026</v>
      </c>
      <c r="B3644" t="s">
        <v>11205</v>
      </c>
      <c r="C3644" t="str">
        <f>"82527010"</f>
        <v>82527010</v>
      </c>
      <c r="D3644" t="s">
        <v>11206</v>
      </c>
      <c r="E3644" t="s">
        <v>11207</v>
      </c>
      <c r="F3644" t="s">
        <v>11208</v>
      </c>
      <c r="I3644" t="s">
        <v>402</v>
      </c>
      <c r="J3644" t="s">
        <v>30</v>
      </c>
      <c r="K3644" t="s">
        <v>403</v>
      </c>
      <c r="M3644" t="s">
        <v>32</v>
      </c>
      <c r="N3644" t="str">
        <f>"1/24/2007 12:00:00 AM"</f>
        <v>1/24/2007 12:00:00 AM</v>
      </c>
      <c r="O3644" t="s">
        <v>11206</v>
      </c>
      <c r="T3644" t="s">
        <v>11207</v>
      </c>
    </row>
    <row r="3645" spans="1:20" x14ac:dyDescent="0.25">
      <c r="A3645" t="str">
        <f>"3048373"</f>
        <v>3048373</v>
      </c>
      <c r="B3645" t="s">
        <v>11209</v>
      </c>
      <c r="C3645" t="str">
        <f>"41616000"</f>
        <v>41616000</v>
      </c>
      <c r="D3645" t="s">
        <v>11210</v>
      </c>
      <c r="F3645" t="s">
        <v>11211</v>
      </c>
      <c r="G3645" t="s">
        <v>11212</v>
      </c>
      <c r="I3645" t="s">
        <v>29</v>
      </c>
      <c r="J3645" t="s">
        <v>30</v>
      </c>
      <c r="K3645" t="s">
        <v>31</v>
      </c>
      <c r="M3645" t="s">
        <v>32</v>
      </c>
      <c r="N3645" t="str">
        <f>"11/19/2003 12:00:00 AM"</f>
        <v>11/19/2003 12:00:00 AM</v>
      </c>
      <c r="O3645" t="s">
        <v>11210</v>
      </c>
    </row>
    <row r="3646" spans="1:20" x14ac:dyDescent="0.25">
      <c r="A3646" t="str">
        <f>"3049368"</f>
        <v>3049368</v>
      </c>
      <c r="B3646" t="s">
        <v>11213</v>
      </c>
      <c r="C3646" t="str">
        <f>"82521330"</f>
        <v>82521330</v>
      </c>
      <c r="D3646" t="str">
        <f>"RC/SONIC PROPERTIES LLC"</f>
        <v>RC/SONIC PROPERTIES LLC</v>
      </c>
      <c r="F3646" t="s">
        <v>11214</v>
      </c>
      <c r="I3646" t="s">
        <v>11215</v>
      </c>
      <c r="J3646" t="s">
        <v>30</v>
      </c>
      <c r="K3646" t="s">
        <v>11216</v>
      </c>
      <c r="M3646" t="s">
        <v>32</v>
      </c>
      <c r="N3646" t="str">
        <f>"8/19/2004 12:00:00 AM"</f>
        <v>8/19/2004 12:00:00 AM</v>
      </c>
      <c r="O3646" t="str">
        <f>"RC/SONIC PROPERTIES LLC"</f>
        <v>RC/SONIC PROPERTIES LLC</v>
      </c>
    </row>
    <row r="3647" spans="1:20" x14ac:dyDescent="0.25">
      <c r="A3647" t="str">
        <f>"3049008"</f>
        <v>3049008</v>
      </c>
      <c r="B3647" t="s">
        <v>11217</v>
      </c>
      <c r="C3647" t="str">
        <f>"61468000"</f>
        <v>61468000</v>
      </c>
      <c r="D3647" t="s">
        <v>11218</v>
      </c>
      <c r="E3647" t="s">
        <v>11219</v>
      </c>
      <c r="F3647" t="s">
        <v>11220</v>
      </c>
      <c r="I3647" t="s">
        <v>184</v>
      </c>
      <c r="J3647" t="s">
        <v>30</v>
      </c>
      <c r="K3647" t="s">
        <v>185</v>
      </c>
      <c r="M3647" t="s">
        <v>32</v>
      </c>
      <c r="N3647" t="str">
        <f>"9/19/2002 12:00:00 AM"</f>
        <v>9/19/2002 12:00:00 AM</v>
      </c>
      <c r="O3647" t="s">
        <v>11218</v>
      </c>
      <c r="T3647" t="s">
        <v>11219</v>
      </c>
    </row>
    <row r="3648" spans="1:20" x14ac:dyDescent="0.25">
      <c r="A3648" t="str">
        <f>"3050902"</f>
        <v>3050902</v>
      </c>
      <c r="B3648" t="s">
        <v>11221</v>
      </c>
      <c r="C3648" t="str">
        <f>"61468000"</f>
        <v>61468000</v>
      </c>
      <c r="D3648" t="s">
        <v>11218</v>
      </c>
      <c r="E3648" t="s">
        <v>11219</v>
      </c>
      <c r="F3648" t="s">
        <v>11220</v>
      </c>
      <c r="I3648" t="s">
        <v>184</v>
      </c>
      <c r="J3648" t="s">
        <v>30</v>
      </c>
      <c r="K3648" t="s">
        <v>185</v>
      </c>
      <c r="M3648" t="s">
        <v>32</v>
      </c>
      <c r="N3648" t="str">
        <f>"9/19/2002 12:00:00 AM"</f>
        <v>9/19/2002 12:00:00 AM</v>
      </c>
      <c r="O3648" t="s">
        <v>11218</v>
      </c>
      <c r="T3648" t="s">
        <v>11219</v>
      </c>
    </row>
    <row r="3649" spans="1:20" x14ac:dyDescent="0.25">
      <c r="A3649" t="str">
        <f>"3050824"</f>
        <v>3050824</v>
      </c>
      <c r="B3649" t="s">
        <v>11222</v>
      </c>
      <c r="C3649" t="str">
        <f>"61468000"</f>
        <v>61468000</v>
      </c>
      <c r="D3649" t="s">
        <v>11218</v>
      </c>
      <c r="E3649" t="s">
        <v>11219</v>
      </c>
      <c r="F3649" t="s">
        <v>11220</v>
      </c>
      <c r="I3649" t="s">
        <v>184</v>
      </c>
      <c r="J3649" t="s">
        <v>30</v>
      </c>
      <c r="K3649" t="s">
        <v>185</v>
      </c>
      <c r="M3649" t="s">
        <v>32</v>
      </c>
      <c r="N3649" t="str">
        <f>"9/19/2002 12:00:00 AM"</f>
        <v>9/19/2002 12:00:00 AM</v>
      </c>
      <c r="O3649" t="s">
        <v>11218</v>
      </c>
      <c r="T3649" t="s">
        <v>11219</v>
      </c>
    </row>
    <row r="3650" spans="1:20" x14ac:dyDescent="0.25">
      <c r="A3650" t="str">
        <f>"3053021"</f>
        <v>3053021</v>
      </c>
      <c r="B3650" t="s">
        <v>11223</v>
      </c>
      <c r="C3650" t="str">
        <f>"45127000"</f>
        <v>45127000</v>
      </c>
      <c r="D3650" t="s">
        <v>11224</v>
      </c>
      <c r="E3650" t="s">
        <v>11225</v>
      </c>
      <c r="F3650" t="s">
        <v>11226</v>
      </c>
      <c r="I3650" t="s">
        <v>29</v>
      </c>
      <c r="J3650" t="s">
        <v>30</v>
      </c>
      <c r="K3650" t="s">
        <v>11227</v>
      </c>
      <c r="M3650" t="s">
        <v>32</v>
      </c>
      <c r="N3650" t="str">
        <f>"1/27/2006 12:00:00 AM"</f>
        <v>1/27/2006 12:00:00 AM</v>
      </c>
      <c r="O3650" t="s">
        <v>11224</v>
      </c>
      <c r="T3650" t="s">
        <v>11225</v>
      </c>
    </row>
    <row r="3651" spans="1:20" x14ac:dyDescent="0.25">
      <c r="A3651" t="str">
        <f>"3049006"</f>
        <v>3049006</v>
      </c>
      <c r="B3651" t="s">
        <v>11228</v>
      </c>
      <c r="C3651" t="str">
        <f>"45127000"</f>
        <v>45127000</v>
      </c>
      <c r="D3651" t="s">
        <v>11224</v>
      </c>
      <c r="E3651" t="s">
        <v>11225</v>
      </c>
      <c r="F3651" t="s">
        <v>11226</v>
      </c>
      <c r="I3651" t="s">
        <v>29</v>
      </c>
      <c r="J3651" t="s">
        <v>30</v>
      </c>
      <c r="K3651" t="s">
        <v>11227</v>
      </c>
      <c r="M3651" t="s">
        <v>32</v>
      </c>
      <c r="N3651" t="str">
        <f>"1/27/2006 12:00:00 AM"</f>
        <v>1/27/2006 12:00:00 AM</v>
      </c>
      <c r="O3651" t="s">
        <v>11224</v>
      </c>
      <c r="T3651" t="s">
        <v>11225</v>
      </c>
    </row>
    <row r="3652" spans="1:20" x14ac:dyDescent="0.25">
      <c r="A3652" t="str">
        <f>"3053169"</f>
        <v>3053169</v>
      </c>
      <c r="B3652" t="s">
        <v>11229</v>
      </c>
      <c r="C3652" t="str">
        <f>"45127000"</f>
        <v>45127000</v>
      </c>
      <c r="D3652" t="s">
        <v>11224</v>
      </c>
      <c r="E3652" t="s">
        <v>11225</v>
      </c>
      <c r="F3652" t="s">
        <v>11226</v>
      </c>
      <c r="I3652" t="s">
        <v>29</v>
      </c>
      <c r="J3652" t="s">
        <v>30</v>
      </c>
      <c r="K3652" t="s">
        <v>11227</v>
      </c>
      <c r="M3652" t="s">
        <v>32</v>
      </c>
      <c r="N3652" t="str">
        <f>"1/27/2006 12:00:00 AM"</f>
        <v>1/27/2006 12:00:00 AM</v>
      </c>
      <c r="O3652" t="s">
        <v>11224</v>
      </c>
      <c r="T3652" t="s">
        <v>11225</v>
      </c>
    </row>
    <row r="3653" spans="1:20" x14ac:dyDescent="0.25">
      <c r="A3653" t="str">
        <f>"3051026"</f>
        <v>3051026</v>
      </c>
      <c r="B3653" t="s">
        <v>11230</v>
      </c>
      <c r="C3653" t="str">
        <f>"82514508"</f>
        <v>82514508</v>
      </c>
      <c r="D3653" t="s">
        <v>11231</v>
      </c>
      <c r="E3653" t="s">
        <v>11232</v>
      </c>
      <c r="F3653" t="s">
        <v>11233</v>
      </c>
      <c r="I3653" t="s">
        <v>29</v>
      </c>
      <c r="J3653" t="s">
        <v>30</v>
      </c>
      <c r="K3653" t="s">
        <v>31</v>
      </c>
      <c r="M3653" t="s">
        <v>32</v>
      </c>
      <c r="N3653" t="str">
        <f>"7/27/2004 12:00:00 AM"</f>
        <v>7/27/2004 12:00:00 AM</v>
      </c>
      <c r="O3653" t="s">
        <v>11231</v>
      </c>
      <c r="T3653" t="s">
        <v>11232</v>
      </c>
    </row>
    <row r="3654" spans="1:20" x14ac:dyDescent="0.25">
      <c r="A3654" t="str">
        <f>"3058830"</f>
        <v>3058830</v>
      </c>
      <c r="B3654" t="s">
        <v>11234</v>
      </c>
      <c r="C3654" t="str">
        <f>"82525210"</f>
        <v>82525210</v>
      </c>
      <c r="D3654" t="s">
        <v>11235</v>
      </c>
      <c r="E3654" t="s">
        <v>11236</v>
      </c>
      <c r="F3654" t="s">
        <v>11237</v>
      </c>
      <c r="I3654" t="s">
        <v>29</v>
      </c>
      <c r="J3654" t="s">
        <v>30</v>
      </c>
      <c r="K3654" t="s">
        <v>31</v>
      </c>
      <c r="M3654" t="s">
        <v>32</v>
      </c>
      <c r="N3654" t="str">
        <f>"1/31/2006 12:00:00 AM"</f>
        <v>1/31/2006 12:00:00 AM</v>
      </c>
      <c r="O3654" t="s">
        <v>11235</v>
      </c>
      <c r="T3654" t="s">
        <v>11236</v>
      </c>
    </row>
    <row r="3655" spans="1:20" x14ac:dyDescent="0.25">
      <c r="A3655" t="str">
        <f>"3051027"</f>
        <v>3051027</v>
      </c>
      <c r="B3655" t="s">
        <v>11238</v>
      </c>
      <c r="C3655" t="str">
        <f>"21340000"</f>
        <v>21340000</v>
      </c>
      <c r="D3655" t="s">
        <v>11239</v>
      </c>
      <c r="F3655" t="s">
        <v>11240</v>
      </c>
      <c r="I3655" t="s">
        <v>29</v>
      </c>
      <c r="J3655" t="s">
        <v>30</v>
      </c>
      <c r="K3655" t="s">
        <v>11241</v>
      </c>
      <c r="M3655" t="s">
        <v>32</v>
      </c>
      <c r="N3655" t="str">
        <f>"6/18/2003 12:00:00 AM"</f>
        <v>6/18/2003 12:00:00 AM</v>
      </c>
      <c r="O3655" t="s">
        <v>11239</v>
      </c>
    </row>
    <row r="3656" spans="1:20" x14ac:dyDescent="0.25">
      <c r="A3656" t="str">
        <f>"3051028"</f>
        <v>3051028</v>
      </c>
      <c r="B3656" t="s">
        <v>11242</v>
      </c>
      <c r="C3656" t="str">
        <f>"82517298"</f>
        <v>82517298</v>
      </c>
      <c r="D3656" t="s">
        <v>11243</v>
      </c>
      <c r="E3656" t="s">
        <v>11244</v>
      </c>
      <c r="F3656" t="s">
        <v>11245</v>
      </c>
      <c r="I3656" t="s">
        <v>29</v>
      </c>
      <c r="J3656" t="s">
        <v>30</v>
      </c>
      <c r="K3656" t="s">
        <v>31</v>
      </c>
      <c r="M3656" t="s">
        <v>32</v>
      </c>
      <c r="N3656" t="str">
        <f>"7/1/2002 12:00:00 AM"</f>
        <v>7/1/2002 12:00:00 AM</v>
      </c>
      <c r="O3656" t="s">
        <v>11243</v>
      </c>
      <c r="T3656" t="s">
        <v>11244</v>
      </c>
    </row>
    <row r="3657" spans="1:20" x14ac:dyDescent="0.25">
      <c r="A3657" t="str">
        <f>"3051029"</f>
        <v>3051029</v>
      </c>
      <c r="B3657" t="s">
        <v>11246</v>
      </c>
      <c r="C3657" t="str">
        <f>"82517792"</f>
        <v>82517792</v>
      </c>
      <c r="D3657" t="s">
        <v>11247</v>
      </c>
      <c r="E3657" t="s">
        <v>11248</v>
      </c>
      <c r="F3657" t="s">
        <v>11249</v>
      </c>
      <c r="I3657" t="s">
        <v>29</v>
      </c>
      <c r="J3657" t="s">
        <v>30</v>
      </c>
      <c r="K3657" t="s">
        <v>31</v>
      </c>
      <c r="M3657" t="s">
        <v>32</v>
      </c>
      <c r="N3657" t="str">
        <f>"2/14/2002 12:00:00 AM"</f>
        <v>2/14/2002 12:00:00 AM</v>
      </c>
      <c r="O3657" t="s">
        <v>11247</v>
      </c>
      <c r="T3657" t="s">
        <v>11248</v>
      </c>
    </row>
    <row r="3658" spans="1:20" x14ac:dyDescent="0.25">
      <c r="A3658" t="str">
        <f>"3051000"</f>
        <v>3051000</v>
      </c>
      <c r="B3658" t="s">
        <v>11250</v>
      </c>
      <c r="C3658" t="str">
        <f>"82518730"</f>
        <v>82518730</v>
      </c>
      <c r="D3658" t="s">
        <v>11251</v>
      </c>
      <c r="E3658" t="s">
        <v>11252</v>
      </c>
      <c r="F3658" t="s">
        <v>11253</v>
      </c>
      <c r="I3658" t="s">
        <v>29</v>
      </c>
      <c r="J3658" t="s">
        <v>30</v>
      </c>
      <c r="K3658" t="s">
        <v>31</v>
      </c>
      <c r="M3658" t="s">
        <v>32</v>
      </c>
      <c r="N3658" t="str">
        <f>"1/21/2003 12:00:00 AM"</f>
        <v>1/21/2003 12:00:00 AM</v>
      </c>
      <c r="O3658" t="s">
        <v>11251</v>
      </c>
      <c r="T3658" t="s">
        <v>11252</v>
      </c>
    </row>
    <row r="3659" spans="1:20" x14ac:dyDescent="0.25">
      <c r="A3659" t="str">
        <f>"3052043"</f>
        <v>3052043</v>
      </c>
      <c r="B3659" t="s">
        <v>11254</v>
      </c>
      <c r="C3659" t="str">
        <f>"25474500"</f>
        <v>25474500</v>
      </c>
      <c r="D3659" t="s">
        <v>11255</v>
      </c>
      <c r="F3659" t="s">
        <v>11256</v>
      </c>
      <c r="I3659" t="s">
        <v>29</v>
      </c>
      <c r="J3659" t="s">
        <v>30</v>
      </c>
      <c r="K3659" t="s">
        <v>11257</v>
      </c>
      <c r="M3659" t="s">
        <v>32</v>
      </c>
      <c r="N3659" t="str">
        <f>"3/18/2008 12:00:00 AM"</f>
        <v>3/18/2008 12:00:00 AM</v>
      </c>
      <c r="O3659" t="s">
        <v>11255</v>
      </c>
    </row>
    <row r="3660" spans="1:20" x14ac:dyDescent="0.25">
      <c r="A3660" t="str">
        <f>"3062927"</f>
        <v>3062927</v>
      </c>
      <c r="B3660" t="s">
        <v>11258</v>
      </c>
      <c r="C3660" t="str">
        <f>"35558900"</f>
        <v>35558900</v>
      </c>
      <c r="D3660" t="s">
        <v>11259</v>
      </c>
      <c r="E3660" t="s">
        <v>11260</v>
      </c>
      <c r="F3660" t="s">
        <v>11261</v>
      </c>
      <c r="I3660" t="s">
        <v>29</v>
      </c>
      <c r="J3660" t="s">
        <v>30</v>
      </c>
      <c r="K3660" t="s">
        <v>31</v>
      </c>
      <c r="M3660" t="s">
        <v>32</v>
      </c>
      <c r="N3660" t="str">
        <f>"9/4/2002 12:00:00 AM"</f>
        <v>9/4/2002 12:00:00 AM</v>
      </c>
      <c r="O3660" t="s">
        <v>11259</v>
      </c>
      <c r="T3660" t="s">
        <v>11260</v>
      </c>
    </row>
    <row r="3661" spans="1:20" x14ac:dyDescent="0.25">
      <c r="A3661" t="str">
        <f>"3062960"</f>
        <v>3062960</v>
      </c>
      <c r="B3661" t="s">
        <v>11262</v>
      </c>
      <c r="C3661" t="str">
        <f>"12395600"</f>
        <v>12395600</v>
      </c>
      <c r="D3661" t="s">
        <v>11263</v>
      </c>
      <c r="E3661" t="s">
        <v>11264</v>
      </c>
      <c r="F3661" t="s">
        <v>11265</v>
      </c>
      <c r="I3661" t="s">
        <v>29</v>
      </c>
      <c r="J3661" t="s">
        <v>30</v>
      </c>
      <c r="K3661" t="s">
        <v>31</v>
      </c>
      <c r="M3661" t="s">
        <v>32</v>
      </c>
      <c r="N3661" t="str">
        <f>"9/4/2002 12:00:00 AM"</f>
        <v>9/4/2002 12:00:00 AM</v>
      </c>
      <c r="O3661" t="s">
        <v>11263</v>
      </c>
      <c r="T3661" t="s">
        <v>11264</v>
      </c>
    </row>
    <row r="3662" spans="1:20" x14ac:dyDescent="0.25">
      <c r="A3662" t="str">
        <f>"3062929"</f>
        <v>3062929</v>
      </c>
      <c r="B3662" t="s">
        <v>11266</v>
      </c>
      <c r="C3662" t="str">
        <f>"82523264"</f>
        <v>82523264</v>
      </c>
      <c r="D3662" t="s">
        <v>11267</v>
      </c>
      <c r="E3662" t="s">
        <v>11268</v>
      </c>
      <c r="F3662" t="s">
        <v>11269</v>
      </c>
      <c r="I3662" t="s">
        <v>29</v>
      </c>
      <c r="J3662" t="s">
        <v>30</v>
      </c>
      <c r="K3662" t="s">
        <v>31</v>
      </c>
      <c r="M3662" t="s">
        <v>32</v>
      </c>
      <c r="N3662" t="str">
        <f>"1/26/2005 12:00:00 AM"</f>
        <v>1/26/2005 12:00:00 AM</v>
      </c>
      <c r="O3662" t="s">
        <v>11267</v>
      </c>
      <c r="T3662" t="s">
        <v>11268</v>
      </c>
    </row>
    <row r="3663" spans="1:20" x14ac:dyDescent="0.25">
      <c r="A3663" t="str">
        <f>"3048250"</f>
        <v>3048250</v>
      </c>
      <c r="B3663" t="s">
        <v>11270</v>
      </c>
      <c r="C3663" t="str">
        <f>"77840000"</f>
        <v>77840000</v>
      </c>
      <c r="D3663" t="s">
        <v>11271</v>
      </c>
      <c r="F3663" t="s">
        <v>11272</v>
      </c>
      <c r="I3663" t="s">
        <v>29</v>
      </c>
      <c r="J3663" t="s">
        <v>30</v>
      </c>
      <c r="K3663" t="s">
        <v>10984</v>
      </c>
      <c r="M3663" t="s">
        <v>32</v>
      </c>
      <c r="N3663" t="str">
        <f>"2/5/2010 12:00:00 AM"</f>
        <v>2/5/2010 12:00:00 AM</v>
      </c>
      <c r="O3663" t="s">
        <v>11271</v>
      </c>
      <c r="T3663" t="s">
        <v>11271</v>
      </c>
    </row>
    <row r="3664" spans="1:20" x14ac:dyDescent="0.25">
      <c r="A3664" t="str">
        <f>"3048241"</f>
        <v>3048241</v>
      </c>
      <c r="B3664" t="s">
        <v>11273</v>
      </c>
      <c r="C3664" t="str">
        <f>"75942000"</f>
        <v>75942000</v>
      </c>
      <c r="D3664" t="s">
        <v>10981</v>
      </c>
      <c r="E3664" t="s">
        <v>10982</v>
      </c>
      <c r="F3664" t="s">
        <v>10983</v>
      </c>
      <c r="I3664" t="s">
        <v>29</v>
      </c>
      <c r="J3664" t="s">
        <v>30</v>
      </c>
      <c r="K3664" t="s">
        <v>10984</v>
      </c>
      <c r="M3664" t="s">
        <v>32</v>
      </c>
      <c r="N3664" t="str">
        <f>"1/31/2006 12:00:00 AM"</f>
        <v>1/31/2006 12:00:00 AM</v>
      </c>
      <c r="O3664" t="s">
        <v>10981</v>
      </c>
      <c r="T3664" t="s">
        <v>10982</v>
      </c>
    </row>
    <row r="3665" spans="1:20" x14ac:dyDescent="0.25">
      <c r="A3665" t="str">
        <f>"3047481"</f>
        <v>3047481</v>
      </c>
      <c r="B3665" t="s">
        <v>11274</v>
      </c>
      <c r="C3665" t="str">
        <f>"29060000"</f>
        <v>29060000</v>
      </c>
      <c r="D3665" t="s">
        <v>11275</v>
      </c>
      <c r="F3665" t="s">
        <v>11276</v>
      </c>
      <c r="I3665" t="s">
        <v>471</v>
      </c>
      <c r="J3665" t="s">
        <v>30</v>
      </c>
      <c r="K3665" t="s">
        <v>1210</v>
      </c>
      <c r="M3665" t="s">
        <v>32</v>
      </c>
      <c r="N3665" t="str">
        <f>"8/29/2003 12:00:00 AM"</f>
        <v>8/29/2003 12:00:00 AM</v>
      </c>
      <c r="O3665" t="s">
        <v>11275</v>
      </c>
    </row>
    <row r="3666" spans="1:20" x14ac:dyDescent="0.25">
      <c r="A3666" t="str">
        <f>"3062969"</f>
        <v>3062969</v>
      </c>
      <c r="B3666" t="s">
        <v>11277</v>
      </c>
      <c r="C3666" t="str">
        <f>"82513235"</f>
        <v>82513235</v>
      </c>
      <c r="D3666" t="s">
        <v>11278</v>
      </c>
      <c r="F3666" t="s">
        <v>11279</v>
      </c>
      <c r="I3666" t="s">
        <v>29</v>
      </c>
      <c r="J3666" t="s">
        <v>30</v>
      </c>
      <c r="K3666" t="s">
        <v>31</v>
      </c>
      <c r="M3666" t="s">
        <v>32</v>
      </c>
      <c r="N3666" t="str">
        <f>"4/10/2007 12:00:00 AM"</f>
        <v>4/10/2007 12:00:00 AM</v>
      </c>
      <c r="O3666" t="s">
        <v>11278</v>
      </c>
    </row>
    <row r="3667" spans="1:20" x14ac:dyDescent="0.25">
      <c r="A3667" t="str">
        <f>"3062970"</f>
        <v>3062970</v>
      </c>
      <c r="B3667" t="s">
        <v>11280</v>
      </c>
      <c r="C3667" t="str">
        <f>"18964000"</f>
        <v>18964000</v>
      </c>
      <c r="D3667" t="s">
        <v>11281</v>
      </c>
      <c r="E3667" t="s">
        <v>11282</v>
      </c>
      <c r="F3667" t="s">
        <v>11283</v>
      </c>
      <c r="I3667" t="s">
        <v>29</v>
      </c>
      <c r="J3667" t="s">
        <v>30</v>
      </c>
      <c r="K3667" t="s">
        <v>31</v>
      </c>
      <c r="M3667" t="s">
        <v>32</v>
      </c>
      <c r="N3667" t="str">
        <f>"7/10/2003 12:00:00 AM"</f>
        <v>7/10/2003 12:00:00 AM</v>
      </c>
      <c r="O3667" t="s">
        <v>11281</v>
      </c>
      <c r="T3667" t="s">
        <v>11282</v>
      </c>
    </row>
    <row r="3668" spans="1:20" x14ac:dyDescent="0.25">
      <c r="A3668" t="str">
        <f>"3062973"</f>
        <v>3062973</v>
      </c>
      <c r="B3668" t="s">
        <v>11284</v>
      </c>
      <c r="C3668" t="str">
        <f>"82513015"</f>
        <v>82513015</v>
      </c>
      <c r="D3668" t="s">
        <v>11285</v>
      </c>
      <c r="E3668" t="s">
        <v>11286</v>
      </c>
      <c r="F3668" t="s">
        <v>11287</v>
      </c>
      <c r="I3668" t="s">
        <v>29</v>
      </c>
      <c r="J3668" t="s">
        <v>30</v>
      </c>
      <c r="K3668" t="s">
        <v>31</v>
      </c>
      <c r="M3668" t="s">
        <v>32</v>
      </c>
      <c r="N3668" t="str">
        <f>"11/2/2006 12:00:00 AM"</f>
        <v>11/2/2006 12:00:00 AM</v>
      </c>
      <c r="O3668" t="s">
        <v>11285</v>
      </c>
      <c r="T3668" t="s">
        <v>11286</v>
      </c>
    </row>
    <row r="3669" spans="1:20" x14ac:dyDescent="0.25">
      <c r="A3669" t="str">
        <f>"3062954"</f>
        <v>3062954</v>
      </c>
      <c r="B3669" t="s">
        <v>11288</v>
      </c>
      <c r="C3669" t="str">
        <f>"16438000"</f>
        <v>16438000</v>
      </c>
      <c r="D3669" t="s">
        <v>11289</v>
      </c>
      <c r="F3669" t="s">
        <v>11290</v>
      </c>
      <c r="I3669" t="s">
        <v>29</v>
      </c>
      <c r="J3669" t="s">
        <v>30</v>
      </c>
      <c r="K3669" t="s">
        <v>31</v>
      </c>
      <c r="M3669" t="s">
        <v>32</v>
      </c>
      <c r="N3669" t="str">
        <f>"9/4/2002 12:00:00 AM"</f>
        <v>9/4/2002 12:00:00 AM</v>
      </c>
      <c r="O3669" t="s">
        <v>11289</v>
      </c>
    </row>
    <row r="3670" spans="1:20" x14ac:dyDescent="0.25">
      <c r="A3670" t="str">
        <f>"3049061"</f>
        <v>3049061</v>
      </c>
      <c r="B3670" t="s">
        <v>11291</v>
      </c>
      <c r="C3670" t="str">
        <f>"16408000"</f>
        <v>16408000</v>
      </c>
      <c r="D3670" t="s">
        <v>11292</v>
      </c>
      <c r="F3670" t="s">
        <v>11293</v>
      </c>
      <c r="I3670" t="s">
        <v>29</v>
      </c>
      <c r="J3670" t="s">
        <v>30</v>
      </c>
      <c r="K3670" t="s">
        <v>31</v>
      </c>
      <c r="M3670" t="s">
        <v>32</v>
      </c>
      <c r="N3670" t="str">
        <f>"9/4/2002 12:00:00 AM"</f>
        <v>9/4/2002 12:00:00 AM</v>
      </c>
      <c r="O3670" t="s">
        <v>11292</v>
      </c>
    </row>
    <row r="3671" spans="1:20" x14ac:dyDescent="0.25">
      <c r="A3671" t="str">
        <f>"3049060"</f>
        <v>3049060</v>
      </c>
      <c r="B3671" t="s">
        <v>11294</v>
      </c>
      <c r="C3671" t="str">
        <f>"16410000"</f>
        <v>16410000</v>
      </c>
      <c r="D3671" t="s">
        <v>11295</v>
      </c>
      <c r="E3671" t="s">
        <v>11296</v>
      </c>
      <c r="F3671" t="s">
        <v>11293</v>
      </c>
      <c r="I3671" t="s">
        <v>29</v>
      </c>
      <c r="J3671" t="s">
        <v>30</v>
      </c>
      <c r="K3671" t="s">
        <v>31</v>
      </c>
      <c r="M3671" t="s">
        <v>32</v>
      </c>
      <c r="N3671" t="str">
        <f>"1/12/2006 12:00:00 AM"</f>
        <v>1/12/2006 12:00:00 AM</v>
      </c>
      <c r="O3671" t="s">
        <v>11295</v>
      </c>
      <c r="T3671" t="s">
        <v>11296</v>
      </c>
    </row>
    <row r="3672" spans="1:20" x14ac:dyDescent="0.25">
      <c r="A3672" t="str">
        <f>"3049127"</f>
        <v>3049127</v>
      </c>
      <c r="B3672" t="s">
        <v>11297</v>
      </c>
      <c r="C3672" t="str">
        <f>"16410000"</f>
        <v>16410000</v>
      </c>
      <c r="D3672" t="s">
        <v>11295</v>
      </c>
      <c r="E3672" t="s">
        <v>11296</v>
      </c>
      <c r="F3672" t="s">
        <v>11293</v>
      </c>
      <c r="I3672" t="s">
        <v>29</v>
      </c>
      <c r="J3672" t="s">
        <v>30</v>
      </c>
      <c r="K3672" t="s">
        <v>31</v>
      </c>
      <c r="M3672" t="s">
        <v>32</v>
      </c>
      <c r="N3672" t="str">
        <f>"1/12/2006 12:00:00 AM"</f>
        <v>1/12/2006 12:00:00 AM</v>
      </c>
      <c r="O3672" t="s">
        <v>11295</v>
      </c>
      <c r="T3672" t="s">
        <v>11296</v>
      </c>
    </row>
    <row r="3673" spans="1:20" x14ac:dyDescent="0.25">
      <c r="A3673" t="str">
        <f>"3049136"</f>
        <v>3049136</v>
      </c>
      <c r="B3673" t="s">
        <v>11298</v>
      </c>
      <c r="C3673" t="str">
        <f>"16410000"</f>
        <v>16410000</v>
      </c>
      <c r="D3673" t="s">
        <v>11295</v>
      </c>
      <c r="E3673" t="s">
        <v>11296</v>
      </c>
      <c r="F3673" t="s">
        <v>11293</v>
      </c>
      <c r="I3673" t="s">
        <v>29</v>
      </c>
      <c r="J3673" t="s">
        <v>30</v>
      </c>
      <c r="K3673" t="s">
        <v>31</v>
      </c>
      <c r="M3673" t="s">
        <v>32</v>
      </c>
      <c r="N3673" t="str">
        <f>"1/12/2006 12:00:00 AM"</f>
        <v>1/12/2006 12:00:00 AM</v>
      </c>
      <c r="O3673" t="s">
        <v>11295</v>
      </c>
      <c r="T3673" t="s">
        <v>11296</v>
      </c>
    </row>
    <row r="3674" spans="1:20" x14ac:dyDescent="0.25">
      <c r="A3674" t="str">
        <f>"3049329"</f>
        <v>3049329</v>
      </c>
      <c r="B3674" t="s">
        <v>11299</v>
      </c>
      <c r="C3674" t="str">
        <f>"6604150"</f>
        <v>6604150</v>
      </c>
      <c r="D3674" t="s">
        <v>11300</v>
      </c>
      <c r="E3674" t="s">
        <v>11301</v>
      </c>
      <c r="F3674" t="s">
        <v>11302</v>
      </c>
      <c r="I3674" t="s">
        <v>29</v>
      </c>
      <c r="J3674" t="s">
        <v>30</v>
      </c>
      <c r="K3674" t="s">
        <v>11303</v>
      </c>
      <c r="M3674" t="s">
        <v>32</v>
      </c>
      <c r="N3674" t="str">
        <f>"2/24/2005 12:00:00 AM"</f>
        <v>2/24/2005 12:00:00 AM</v>
      </c>
      <c r="O3674" t="s">
        <v>11300</v>
      </c>
      <c r="T3674" t="s">
        <v>11301</v>
      </c>
    </row>
    <row r="3675" spans="1:20" x14ac:dyDescent="0.25">
      <c r="A3675" t="str">
        <f>"3049097"</f>
        <v>3049097</v>
      </c>
      <c r="B3675" t="s">
        <v>11304</v>
      </c>
      <c r="C3675" t="str">
        <f>"6604150"</f>
        <v>6604150</v>
      </c>
      <c r="D3675" t="s">
        <v>11300</v>
      </c>
      <c r="E3675" t="s">
        <v>11301</v>
      </c>
      <c r="F3675" t="s">
        <v>11302</v>
      </c>
      <c r="I3675" t="s">
        <v>29</v>
      </c>
      <c r="J3675" t="s">
        <v>30</v>
      </c>
      <c r="K3675" t="s">
        <v>11303</v>
      </c>
      <c r="M3675" t="s">
        <v>32</v>
      </c>
      <c r="N3675" t="str">
        <f>"2/24/2005 12:00:00 AM"</f>
        <v>2/24/2005 12:00:00 AM</v>
      </c>
      <c r="O3675" t="s">
        <v>11300</v>
      </c>
      <c r="T3675" t="s">
        <v>11301</v>
      </c>
    </row>
    <row r="3676" spans="1:20" x14ac:dyDescent="0.25">
      <c r="A3676" t="str">
        <f>"3048462"</f>
        <v>3048462</v>
      </c>
      <c r="B3676" t="s">
        <v>11305</v>
      </c>
      <c r="C3676" t="str">
        <f>"6604150"</f>
        <v>6604150</v>
      </c>
      <c r="D3676" t="s">
        <v>11300</v>
      </c>
      <c r="E3676" t="s">
        <v>11301</v>
      </c>
      <c r="F3676" t="s">
        <v>11302</v>
      </c>
      <c r="I3676" t="s">
        <v>29</v>
      </c>
      <c r="J3676" t="s">
        <v>30</v>
      </c>
      <c r="K3676" t="s">
        <v>11303</v>
      </c>
      <c r="M3676" t="s">
        <v>32</v>
      </c>
      <c r="N3676" t="str">
        <f>"2/24/2005 12:00:00 AM"</f>
        <v>2/24/2005 12:00:00 AM</v>
      </c>
      <c r="O3676" t="s">
        <v>11300</v>
      </c>
      <c r="T3676" t="s">
        <v>11301</v>
      </c>
    </row>
    <row r="3677" spans="1:20" x14ac:dyDescent="0.25">
      <c r="A3677" t="str">
        <f>"3045611"</f>
        <v>3045611</v>
      </c>
      <c r="B3677" t="s">
        <v>11306</v>
      </c>
      <c r="C3677" t="str">
        <f>"36093000"</f>
        <v>36093000</v>
      </c>
      <c r="D3677" t="s">
        <v>11307</v>
      </c>
      <c r="E3677" t="s">
        <v>11308</v>
      </c>
      <c r="F3677" t="s">
        <v>11309</v>
      </c>
      <c r="I3677" t="s">
        <v>29</v>
      </c>
      <c r="J3677" t="s">
        <v>30</v>
      </c>
      <c r="K3677" t="s">
        <v>11310</v>
      </c>
      <c r="M3677" t="s">
        <v>32</v>
      </c>
      <c r="N3677" t="str">
        <f>"2/5/2010 12:00:00 AM"</f>
        <v>2/5/2010 12:00:00 AM</v>
      </c>
      <c r="O3677" t="s">
        <v>11307</v>
      </c>
      <c r="T3677" t="s">
        <v>11308</v>
      </c>
    </row>
    <row r="3678" spans="1:20" x14ac:dyDescent="0.25">
      <c r="A3678" t="str">
        <f>"3049039"</f>
        <v>3049039</v>
      </c>
      <c r="B3678" t="s">
        <v>11311</v>
      </c>
      <c r="C3678" t="str">
        <f>"37618000"</f>
        <v>37618000</v>
      </c>
      <c r="D3678" t="s">
        <v>11312</v>
      </c>
      <c r="F3678" t="s">
        <v>11313</v>
      </c>
      <c r="I3678" t="s">
        <v>29</v>
      </c>
      <c r="J3678" t="s">
        <v>30</v>
      </c>
      <c r="K3678" t="s">
        <v>31</v>
      </c>
      <c r="M3678" t="s">
        <v>32</v>
      </c>
      <c r="N3678" t="str">
        <f>"9/4/2002 12:00:00 AM"</f>
        <v>9/4/2002 12:00:00 AM</v>
      </c>
      <c r="O3678" t="s">
        <v>11312</v>
      </c>
    </row>
    <row r="3679" spans="1:20" x14ac:dyDescent="0.25">
      <c r="A3679" t="str">
        <f>"3049071"</f>
        <v>3049071</v>
      </c>
      <c r="B3679" t="s">
        <v>11314</v>
      </c>
      <c r="C3679" t="str">
        <f>"82513007"</f>
        <v>82513007</v>
      </c>
      <c r="D3679" t="s">
        <v>11315</v>
      </c>
      <c r="F3679" t="s">
        <v>11316</v>
      </c>
      <c r="I3679" t="s">
        <v>29</v>
      </c>
      <c r="J3679" t="s">
        <v>30</v>
      </c>
      <c r="K3679" t="s">
        <v>31</v>
      </c>
      <c r="M3679" t="s">
        <v>32</v>
      </c>
      <c r="N3679" t="str">
        <f>"7/21/2004 12:00:00 AM"</f>
        <v>7/21/2004 12:00:00 AM</v>
      </c>
      <c r="O3679" t="s">
        <v>11315</v>
      </c>
    </row>
    <row r="3680" spans="1:20" x14ac:dyDescent="0.25">
      <c r="A3680" t="str">
        <f>"3049075"</f>
        <v>3049075</v>
      </c>
      <c r="B3680" t="s">
        <v>11317</v>
      </c>
      <c r="C3680" t="str">
        <f>"82523413"</f>
        <v>82523413</v>
      </c>
      <c r="D3680" t="s">
        <v>11318</v>
      </c>
      <c r="F3680" t="s">
        <v>11319</v>
      </c>
      <c r="I3680" t="s">
        <v>3196</v>
      </c>
      <c r="J3680" t="s">
        <v>30</v>
      </c>
      <c r="K3680" t="s">
        <v>11320</v>
      </c>
      <c r="M3680" t="s">
        <v>32</v>
      </c>
      <c r="N3680" t="str">
        <f>"3/9/2005 12:00:00 AM"</f>
        <v>3/9/2005 12:00:00 AM</v>
      </c>
      <c r="O3680" t="s">
        <v>11318</v>
      </c>
    </row>
    <row r="3681" spans="1:20" x14ac:dyDescent="0.25">
      <c r="A3681" t="str">
        <f>"3049397"</f>
        <v>3049397</v>
      </c>
      <c r="B3681" t="s">
        <v>11321</v>
      </c>
      <c r="C3681" t="str">
        <f>"63023000"</f>
        <v>63023000</v>
      </c>
      <c r="D3681" t="s">
        <v>11322</v>
      </c>
      <c r="F3681" t="s">
        <v>11323</v>
      </c>
      <c r="G3681" t="s">
        <v>11324</v>
      </c>
      <c r="I3681" t="s">
        <v>29</v>
      </c>
      <c r="J3681" t="s">
        <v>30</v>
      </c>
      <c r="K3681" t="s">
        <v>31</v>
      </c>
      <c r="M3681" t="s">
        <v>32</v>
      </c>
      <c r="N3681" t="str">
        <f>"4/28/2004 12:00:00 AM"</f>
        <v>4/28/2004 12:00:00 AM</v>
      </c>
      <c r="O3681" t="s">
        <v>11322</v>
      </c>
    </row>
    <row r="3682" spans="1:20" x14ac:dyDescent="0.25">
      <c r="A3682" t="str">
        <f>"3044980"</f>
        <v>3044980</v>
      </c>
      <c r="B3682" t="s">
        <v>11325</v>
      </c>
      <c r="C3682" t="str">
        <f>"36093000"</f>
        <v>36093000</v>
      </c>
      <c r="D3682" t="s">
        <v>11307</v>
      </c>
      <c r="E3682" t="s">
        <v>11308</v>
      </c>
      <c r="F3682" t="s">
        <v>11309</v>
      </c>
      <c r="I3682" t="s">
        <v>29</v>
      </c>
      <c r="J3682" t="s">
        <v>30</v>
      </c>
      <c r="K3682" t="s">
        <v>11310</v>
      </c>
      <c r="M3682" t="s">
        <v>32</v>
      </c>
      <c r="N3682" t="str">
        <f>"2/5/2010 12:00:00 AM"</f>
        <v>2/5/2010 12:00:00 AM</v>
      </c>
      <c r="O3682" t="s">
        <v>11307</v>
      </c>
      <c r="T3682" t="s">
        <v>11308</v>
      </c>
    </row>
    <row r="3683" spans="1:20" x14ac:dyDescent="0.25">
      <c r="A3683" t="str">
        <f>"3078212"</f>
        <v>3078212</v>
      </c>
      <c r="B3683" t="s">
        <v>11326</v>
      </c>
      <c r="C3683" t="str">
        <f>"71808000"</f>
        <v>71808000</v>
      </c>
      <c r="D3683" t="s">
        <v>11327</v>
      </c>
      <c r="F3683" t="s">
        <v>11328</v>
      </c>
      <c r="I3683" t="s">
        <v>1149</v>
      </c>
      <c r="J3683" t="s">
        <v>30</v>
      </c>
      <c r="K3683" t="s">
        <v>1150</v>
      </c>
      <c r="M3683" t="s">
        <v>32</v>
      </c>
      <c r="N3683" t="str">
        <f>"6/15/2004 12:00:00 AM"</f>
        <v>6/15/2004 12:00:00 AM</v>
      </c>
      <c r="O3683" t="s">
        <v>11327</v>
      </c>
    </row>
    <row r="3684" spans="1:20" x14ac:dyDescent="0.25">
      <c r="A3684" t="str">
        <f>"3078231"</f>
        <v>3078231</v>
      </c>
      <c r="B3684" t="s">
        <v>11329</v>
      </c>
      <c r="C3684" t="str">
        <f>"47862000"</f>
        <v>47862000</v>
      </c>
      <c r="D3684" t="s">
        <v>11330</v>
      </c>
      <c r="F3684" t="s">
        <v>11331</v>
      </c>
      <c r="I3684" t="s">
        <v>4502</v>
      </c>
      <c r="J3684" t="s">
        <v>30</v>
      </c>
      <c r="K3684" t="s">
        <v>4503</v>
      </c>
      <c r="M3684" t="s">
        <v>32</v>
      </c>
      <c r="N3684" t="str">
        <f>"2/17/2004 12:00:00 AM"</f>
        <v>2/17/2004 12:00:00 AM</v>
      </c>
      <c r="O3684" t="s">
        <v>11330</v>
      </c>
    </row>
    <row r="3685" spans="1:20" x14ac:dyDescent="0.25">
      <c r="A3685" t="str">
        <f>"3049095"</f>
        <v>3049095</v>
      </c>
      <c r="B3685" t="s">
        <v>11332</v>
      </c>
      <c r="C3685" t="str">
        <f>"82523223"</f>
        <v>82523223</v>
      </c>
      <c r="D3685" t="s">
        <v>11333</v>
      </c>
      <c r="F3685" t="s">
        <v>6115</v>
      </c>
      <c r="I3685" t="s">
        <v>184</v>
      </c>
      <c r="J3685" t="s">
        <v>30</v>
      </c>
      <c r="K3685" t="s">
        <v>6111</v>
      </c>
      <c r="M3685" t="s">
        <v>32</v>
      </c>
      <c r="N3685" t="str">
        <f>"2/1/2006 12:00:00 AM"</f>
        <v>2/1/2006 12:00:00 AM</v>
      </c>
      <c r="O3685" t="s">
        <v>11333</v>
      </c>
      <c r="T3685" t="s">
        <v>11333</v>
      </c>
    </row>
    <row r="3686" spans="1:20" x14ac:dyDescent="0.25">
      <c r="A3686" t="str">
        <f>"3059337"</f>
        <v>3059337</v>
      </c>
      <c r="B3686" t="s">
        <v>11334</v>
      </c>
      <c r="C3686" t="str">
        <f>"82517132"</f>
        <v>82517132</v>
      </c>
      <c r="D3686" t="s">
        <v>11335</v>
      </c>
      <c r="E3686" t="s">
        <v>11336</v>
      </c>
      <c r="F3686" t="s">
        <v>11337</v>
      </c>
      <c r="I3686" t="s">
        <v>29</v>
      </c>
      <c r="J3686" t="s">
        <v>30</v>
      </c>
      <c r="K3686" t="s">
        <v>31</v>
      </c>
      <c r="M3686" t="s">
        <v>32</v>
      </c>
      <c r="N3686" t="str">
        <f>"9/4/2002 12:00:00 AM"</f>
        <v>9/4/2002 12:00:00 AM</v>
      </c>
      <c r="O3686" t="s">
        <v>11335</v>
      </c>
      <c r="T3686" t="s">
        <v>11336</v>
      </c>
    </row>
    <row r="3687" spans="1:20" x14ac:dyDescent="0.25">
      <c r="A3687" t="str">
        <f>"3059385"</f>
        <v>3059385</v>
      </c>
      <c r="B3687" t="s">
        <v>11338</v>
      </c>
      <c r="C3687" t="str">
        <f>"82528530"</f>
        <v>82528530</v>
      </c>
      <c r="D3687" t="s">
        <v>11339</v>
      </c>
      <c r="F3687" t="s">
        <v>11340</v>
      </c>
      <c r="I3687" t="s">
        <v>29</v>
      </c>
      <c r="J3687" t="s">
        <v>30</v>
      </c>
      <c r="K3687" t="s">
        <v>31</v>
      </c>
      <c r="M3687" t="s">
        <v>32</v>
      </c>
      <c r="N3687" t="str">
        <f>"8/21/2007 12:00:00 AM"</f>
        <v>8/21/2007 12:00:00 AM</v>
      </c>
      <c r="O3687" t="s">
        <v>11339</v>
      </c>
    </row>
    <row r="3688" spans="1:20" x14ac:dyDescent="0.25">
      <c r="A3688" t="str">
        <f>"3059127"</f>
        <v>3059127</v>
      </c>
      <c r="B3688" t="s">
        <v>11341</v>
      </c>
      <c r="C3688" t="str">
        <f>"2833100"</f>
        <v>2833100</v>
      </c>
      <c r="D3688" t="s">
        <v>11342</v>
      </c>
      <c r="F3688" t="s">
        <v>11343</v>
      </c>
      <c r="G3688" t="s">
        <v>11344</v>
      </c>
      <c r="I3688" t="s">
        <v>11345</v>
      </c>
      <c r="J3688" t="s">
        <v>11346</v>
      </c>
      <c r="K3688" t="s">
        <v>11347</v>
      </c>
      <c r="M3688" t="s">
        <v>32</v>
      </c>
      <c r="N3688" t="str">
        <f>"5/15/2003 12:00:00 AM"</f>
        <v>5/15/2003 12:00:00 AM</v>
      </c>
      <c r="O3688" t="s">
        <v>11342</v>
      </c>
    </row>
    <row r="3689" spans="1:20" x14ac:dyDescent="0.25">
      <c r="A3689" t="str">
        <f>"3078953"</f>
        <v>3078953</v>
      </c>
      <c r="B3689" t="s">
        <v>11348</v>
      </c>
      <c r="C3689" t="str">
        <f>"82517563"</f>
        <v>82517563</v>
      </c>
      <c r="D3689" t="s">
        <v>11349</v>
      </c>
      <c r="E3689" t="s">
        <v>11350</v>
      </c>
      <c r="F3689" t="s">
        <v>11351</v>
      </c>
      <c r="I3689" t="s">
        <v>29</v>
      </c>
      <c r="J3689" t="s">
        <v>30</v>
      </c>
      <c r="K3689" t="s">
        <v>31</v>
      </c>
      <c r="M3689" t="s">
        <v>32</v>
      </c>
      <c r="N3689" t="str">
        <f>"1/3/2002 12:00:00 AM"</f>
        <v>1/3/2002 12:00:00 AM</v>
      </c>
      <c r="O3689" t="s">
        <v>11349</v>
      </c>
      <c r="T3689" t="s">
        <v>11350</v>
      </c>
    </row>
    <row r="3690" spans="1:20" x14ac:dyDescent="0.25">
      <c r="A3690" t="str">
        <f>"3051541"</f>
        <v>3051541</v>
      </c>
      <c r="B3690" t="s">
        <v>11352</v>
      </c>
      <c r="C3690" t="str">
        <f>"82517563"</f>
        <v>82517563</v>
      </c>
      <c r="D3690" t="s">
        <v>11349</v>
      </c>
      <c r="E3690" t="s">
        <v>11350</v>
      </c>
      <c r="F3690" t="s">
        <v>11351</v>
      </c>
      <c r="I3690" t="s">
        <v>29</v>
      </c>
      <c r="J3690" t="s">
        <v>30</v>
      </c>
      <c r="K3690" t="s">
        <v>31</v>
      </c>
      <c r="M3690" t="s">
        <v>32</v>
      </c>
      <c r="N3690" t="str">
        <f>"1/3/2002 12:00:00 AM"</f>
        <v>1/3/2002 12:00:00 AM</v>
      </c>
      <c r="O3690" t="s">
        <v>11349</v>
      </c>
      <c r="T3690" t="s">
        <v>11350</v>
      </c>
    </row>
    <row r="3691" spans="1:20" x14ac:dyDescent="0.25">
      <c r="A3691" t="str">
        <f>"3051099"</f>
        <v>3051099</v>
      </c>
      <c r="B3691" t="s">
        <v>11353</v>
      </c>
      <c r="C3691" t="str">
        <f>"32788000"</f>
        <v>32788000</v>
      </c>
      <c r="D3691" t="s">
        <v>11075</v>
      </c>
      <c r="E3691" t="s">
        <v>11076</v>
      </c>
      <c r="F3691" t="s">
        <v>11077</v>
      </c>
      <c r="I3691" t="s">
        <v>29</v>
      </c>
      <c r="J3691" t="s">
        <v>30</v>
      </c>
      <c r="K3691" t="s">
        <v>11078</v>
      </c>
      <c r="M3691" t="s">
        <v>32</v>
      </c>
      <c r="N3691" t="str">
        <f>"2/14/2007 12:00:00 AM"</f>
        <v>2/14/2007 12:00:00 AM</v>
      </c>
      <c r="O3691" t="s">
        <v>11075</v>
      </c>
      <c r="T3691" t="s">
        <v>11076</v>
      </c>
    </row>
    <row r="3692" spans="1:20" x14ac:dyDescent="0.25">
      <c r="A3692" t="str">
        <f>"3051435"</f>
        <v>3051435</v>
      </c>
      <c r="B3692" t="s">
        <v>11354</v>
      </c>
      <c r="C3692" t="str">
        <f>"32788000"</f>
        <v>32788000</v>
      </c>
      <c r="D3692" t="s">
        <v>11075</v>
      </c>
      <c r="E3692" t="s">
        <v>11076</v>
      </c>
      <c r="F3692" t="s">
        <v>11077</v>
      </c>
      <c r="I3692" t="s">
        <v>29</v>
      </c>
      <c r="J3692" t="s">
        <v>30</v>
      </c>
      <c r="K3692" t="s">
        <v>11078</v>
      </c>
      <c r="M3692" t="s">
        <v>32</v>
      </c>
      <c r="N3692" t="str">
        <f>"2/14/2007 12:00:00 AM"</f>
        <v>2/14/2007 12:00:00 AM</v>
      </c>
      <c r="O3692" t="s">
        <v>11075</v>
      </c>
      <c r="T3692" t="s">
        <v>11076</v>
      </c>
    </row>
    <row r="3693" spans="1:20" x14ac:dyDescent="0.25">
      <c r="A3693" t="str">
        <f>"3051944"</f>
        <v>3051944</v>
      </c>
      <c r="B3693" t="s">
        <v>11355</v>
      </c>
      <c r="C3693" t="str">
        <f>"32788000"</f>
        <v>32788000</v>
      </c>
      <c r="D3693" t="s">
        <v>11075</v>
      </c>
      <c r="E3693" t="s">
        <v>11076</v>
      </c>
      <c r="F3693" t="s">
        <v>11077</v>
      </c>
      <c r="I3693" t="s">
        <v>29</v>
      </c>
      <c r="J3693" t="s">
        <v>30</v>
      </c>
      <c r="K3693" t="s">
        <v>11078</v>
      </c>
      <c r="M3693" t="s">
        <v>32</v>
      </c>
      <c r="N3693" t="str">
        <f>"2/14/2007 12:00:00 AM"</f>
        <v>2/14/2007 12:00:00 AM</v>
      </c>
      <c r="O3693" t="s">
        <v>11075</v>
      </c>
      <c r="T3693" t="s">
        <v>11076</v>
      </c>
    </row>
    <row r="3694" spans="1:20" x14ac:dyDescent="0.25">
      <c r="A3694" t="str">
        <f>"3078236"</f>
        <v>3078236</v>
      </c>
      <c r="B3694" t="s">
        <v>11356</v>
      </c>
      <c r="C3694" t="str">
        <f>"32788000"</f>
        <v>32788000</v>
      </c>
      <c r="D3694" t="s">
        <v>11075</v>
      </c>
      <c r="E3694" t="s">
        <v>11076</v>
      </c>
      <c r="F3694" t="s">
        <v>11077</v>
      </c>
      <c r="I3694" t="s">
        <v>29</v>
      </c>
      <c r="J3694" t="s">
        <v>30</v>
      </c>
      <c r="K3694" t="s">
        <v>11078</v>
      </c>
      <c r="M3694" t="s">
        <v>32</v>
      </c>
      <c r="N3694" t="str">
        <f>"2/14/2007 12:00:00 AM"</f>
        <v>2/14/2007 12:00:00 AM</v>
      </c>
      <c r="O3694" t="s">
        <v>11075</v>
      </c>
      <c r="T3694" t="s">
        <v>11076</v>
      </c>
    </row>
    <row r="3695" spans="1:20" x14ac:dyDescent="0.25">
      <c r="A3695" t="str">
        <f>"3050172"</f>
        <v>3050172</v>
      </c>
      <c r="B3695" t="s">
        <v>11357</v>
      </c>
      <c r="C3695" t="str">
        <f>"63531750"</f>
        <v>63531750</v>
      </c>
      <c r="D3695" t="s">
        <v>11104</v>
      </c>
      <c r="E3695" t="s">
        <v>11105</v>
      </c>
      <c r="F3695" t="s">
        <v>11106</v>
      </c>
      <c r="I3695" t="s">
        <v>29</v>
      </c>
      <c r="J3695" t="s">
        <v>30</v>
      </c>
      <c r="K3695" t="s">
        <v>31</v>
      </c>
      <c r="M3695" t="s">
        <v>32</v>
      </c>
      <c r="N3695" t="str">
        <f>"9/3/2002 12:00:00 AM"</f>
        <v>9/3/2002 12:00:00 AM</v>
      </c>
      <c r="O3695" t="s">
        <v>11104</v>
      </c>
      <c r="T3695" t="s">
        <v>11105</v>
      </c>
    </row>
    <row r="3696" spans="1:20" x14ac:dyDescent="0.25">
      <c r="A3696" t="str">
        <f>"3048543"</f>
        <v>3048543</v>
      </c>
      <c r="B3696" t="s">
        <v>11358</v>
      </c>
      <c r="C3696" t="str">
        <f>"82522660"</f>
        <v>82522660</v>
      </c>
      <c r="D3696" t="s">
        <v>11359</v>
      </c>
      <c r="F3696" t="s">
        <v>11360</v>
      </c>
      <c r="I3696" t="s">
        <v>29</v>
      </c>
      <c r="J3696" t="s">
        <v>30</v>
      </c>
      <c r="K3696" t="s">
        <v>31</v>
      </c>
      <c r="M3696" t="s">
        <v>32</v>
      </c>
      <c r="N3696" t="str">
        <f>"8/14/2006 12:00:00 AM"</f>
        <v>8/14/2006 12:00:00 AM</v>
      </c>
      <c r="O3696" t="s">
        <v>11359</v>
      </c>
    </row>
    <row r="3697" spans="1:20" x14ac:dyDescent="0.25">
      <c r="A3697" t="str">
        <f>"3059240"</f>
        <v>3059240</v>
      </c>
      <c r="B3697" t="s">
        <v>11361</v>
      </c>
      <c r="C3697" t="str">
        <f>"12284000"</f>
        <v>12284000</v>
      </c>
      <c r="D3697" t="s">
        <v>11362</v>
      </c>
      <c r="E3697" t="s">
        <v>11363</v>
      </c>
      <c r="F3697" t="s">
        <v>11364</v>
      </c>
      <c r="I3697" t="s">
        <v>29</v>
      </c>
      <c r="J3697" t="s">
        <v>30</v>
      </c>
      <c r="K3697" t="s">
        <v>31</v>
      </c>
      <c r="M3697" t="s">
        <v>32</v>
      </c>
      <c r="N3697" t="str">
        <f>"11/4/2003 12:00:00 AM"</f>
        <v>11/4/2003 12:00:00 AM</v>
      </c>
      <c r="O3697" t="s">
        <v>11362</v>
      </c>
      <c r="T3697" t="s">
        <v>11363</v>
      </c>
    </row>
    <row r="3698" spans="1:20" x14ac:dyDescent="0.25">
      <c r="A3698" t="str">
        <f>"3052094"</f>
        <v>3052094</v>
      </c>
      <c r="B3698" t="s">
        <v>11365</v>
      </c>
      <c r="C3698" t="str">
        <f>"47750000"</f>
        <v>47750000</v>
      </c>
      <c r="D3698" t="s">
        <v>11366</v>
      </c>
      <c r="F3698" t="s">
        <v>11367</v>
      </c>
      <c r="G3698" t="s">
        <v>11368</v>
      </c>
      <c r="I3698" t="s">
        <v>29</v>
      </c>
      <c r="J3698" t="s">
        <v>30</v>
      </c>
      <c r="K3698" t="s">
        <v>31</v>
      </c>
      <c r="M3698" t="s">
        <v>32</v>
      </c>
      <c r="N3698" t="str">
        <f>"1/16/2004 12:00:00 AM"</f>
        <v>1/16/2004 12:00:00 AM</v>
      </c>
      <c r="O3698" t="s">
        <v>11366</v>
      </c>
    </row>
    <row r="3699" spans="1:20" x14ac:dyDescent="0.25">
      <c r="A3699" t="str">
        <f>"3052095"</f>
        <v>3052095</v>
      </c>
      <c r="B3699" t="s">
        <v>11369</v>
      </c>
      <c r="C3699" t="str">
        <f>"47750000"</f>
        <v>47750000</v>
      </c>
      <c r="D3699" t="s">
        <v>11366</v>
      </c>
      <c r="F3699" t="s">
        <v>11367</v>
      </c>
      <c r="G3699" t="s">
        <v>11368</v>
      </c>
      <c r="I3699" t="s">
        <v>29</v>
      </c>
      <c r="J3699" t="s">
        <v>30</v>
      </c>
      <c r="K3699" t="s">
        <v>31</v>
      </c>
      <c r="M3699" t="s">
        <v>32</v>
      </c>
      <c r="N3699" t="str">
        <f>"1/16/2004 12:00:00 AM"</f>
        <v>1/16/2004 12:00:00 AM</v>
      </c>
      <c r="O3699" t="s">
        <v>11366</v>
      </c>
    </row>
    <row r="3700" spans="1:20" x14ac:dyDescent="0.25">
      <c r="A3700" t="str">
        <f>"3052093"</f>
        <v>3052093</v>
      </c>
      <c r="B3700" t="s">
        <v>11370</v>
      </c>
      <c r="C3700" t="str">
        <f>"47750000"</f>
        <v>47750000</v>
      </c>
      <c r="D3700" t="s">
        <v>11366</v>
      </c>
      <c r="F3700" t="s">
        <v>11367</v>
      </c>
      <c r="G3700" t="s">
        <v>11368</v>
      </c>
      <c r="I3700" t="s">
        <v>29</v>
      </c>
      <c r="J3700" t="s">
        <v>30</v>
      </c>
      <c r="K3700" t="s">
        <v>31</v>
      </c>
      <c r="M3700" t="s">
        <v>32</v>
      </c>
      <c r="N3700" t="str">
        <f>"1/16/2004 12:00:00 AM"</f>
        <v>1/16/2004 12:00:00 AM</v>
      </c>
      <c r="O3700" t="s">
        <v>11366</v>
      </c>
    </row>
    <row r="3701" spans="1:20" x14ac:dyDescent="0.25">
      <c r="A3701" t="str">
        <f>"3052100"</f>
        <v>3052100</v>
      </c>
      <c r="B3701" t="s">
        <v>11371</v>
      </c>
      <c r="C3701" t="str">
        <f>"47750000"</f>
        <v>47750000</v>
      </c>
      <c r="D3701" t="s">
        <v>11366</v>
      </c>
      <c r="F3701" t="s">
        <v>11367</v>
      </c>
      <c r="G3701" t="s">
        <v>11368</v>
      </c>
      <c r="I3701" t="s">
        <v>29</v>
      </c>
      <c r="J3701" t="s">
        <v>30</v>
      </c>
      <c r="K3701" t="s">
        <v>31</v>
      </c>
      <c r="M3701" t="s">
        <v>32</v>
      </c>
      <c r="N3701" t="str">
        <f>"1/16/2004 12:00:00 AM"</f>
        <v>1/16/2004 12:00:00 AM</v>
      </c>
      <c r="O3701" t="s">
        <v>11366</v>
      </c>
    </row>
    <row r="3702" spans="1:20" x14ac:dyDescent="0.25">
      <c r="A3702" t="str">
        <f>"3059320"</f>
        <v>3059320</v>
      </c>
      <c r="B3702" t="s">
        <v>11372</v>
      </c>
      <c r="C3702" t="str">
        <f>"60616000"</f>
        <v>60616000</v>
      </c>
      <c r="D3702" t="s">
        <v>11373</v>
      </c>
      <c r="E3702" t="s">
        <v>11374</v>
      </c>
      <c r="F3702" t="s">
        <v>11375</v>
      </c>
      <c r="I3702" t="s">
        <v>29</v>
      </c>
      <c r="J3702" t="s">
        <v>30</v>
      </c>
      <c r="K3702" t="s">
        <v>31</v>
      </c>
      <c r="M3702" t="s">
        <v>32</v>
      </c>
      <c r="N3702" t="str">
        <f>"4/12/2004 12:00:00 AM"</f>
        <v>4/12/2004 12:00:00 AM</v>
      </c>
      <c r="O3702" t="s">
        <v>11373</v>
      </c>
      <c r="T3702" t="s">
        <v>11374</v>
      </c>
    </row>
    <row r="3703" spans="1:20" x14ac:dyDescent="0.25">
      <c r="A3703" t="str">
        <f>"3059168"</f>
        <v>3059168</v>
      </c>
      <c r="B3703" t="s">
        <v>11376</v>
      </c>
      <c r="C3703" t="str">
        <f>"60616000"</f>
        <v>60616000</v>
      </c>
      <c r="D3703" t="s">
        <v>11373</v>
      </c>
      <c r="E3703" t="s">
        <v>11374</v>
      </c>
      <c r="F3703" t="s">
        <v>11375</v>
      </c>
      <c r="I3703" t="s">
        <v>29</v>
      </c>
      <c r="J3703" t="s">
        <v>30</v>
      </c>
      <c r="K3703" t="s">
        <v>31</v>
      </c>
      <c r="M3703" t="s">
        <v>32</v>
      </c>
      <c r="N3703" t="str">
        <f>"4/12/2004 12:00:00 AM"</f>
        <v>4/12/2004 12:00:00 AM</v>
      </c>
      <c r="O3703" t="s">
        <v>11373</v>
      </c>
      <c r="T3703" t="s">
        <v>11374</v>
      </c>
    </row>
    <row r="3704" spans="1:20" x14ac:dyDescent="0.25">
      <c r="A3704" t="str">
        <f>"3049924"</f>
        <v>3049924</v>
      </c>
      <c r="B3704" t="s">
        <v>11377</v>
      </c>
      <c r="C3704" t="str">
        <f>"80912000"</f>
        <v>80912000</v>
      </c>
      <c r="D3704" t="s">
        <v>11172</v>
      </c>
      <c r="E3704" t="s">
        <v>11173</v>
      </c>
      <c r="F3704" t="s">
        <v>11174</v>
      </c>
      <c r="I3704" t="s">
        <v>29</v>
      </c>
      <c r="J3704" t="s">
        <v>30</v>
      </c>
      <c r="K3704" t="s">
        <v>11175</v>
      </c>
      <c r="M3704" t="s">
        <v>32</v>
      </c>
      <c r="N3704" t="str">
        <f>"1/12/2010 12:00:00 AM"</f>
        <v>1/12/2010 12:00:00 AM</v>
      </c>
      <c r="O3704" t="s">
        <v>11172</v>
      </c>
      <c r="T3704" t="s">
        <v>11173</v>
      </c>
    </row>
    <row r="3705" spans="1:20" x14ac:dyDescent="0.25">
      <c r="A3705" t="str">
        <f>"3048976"</f>
        <v>3048976</v>
      </c>
      <c r="B3705" t="s">
        <v>11378</v>
      </c>
      <c r="C3705" t="str">
        <f>"11490000"</f>
        <v>11490000</v>
      </c>
      <c r="D3705" t="s">
        <v>11379</v>
      </c>
      <c r="F3705" t="s">
        <v>11380</v>
      </c>
      <c r="I3705" t="s">
        <v>2280</v>
      </c>
      <c r="J3705" t="s">
        <v>30</v>
      </c>
      <c r="K3705" t="s">
        <v>9127</v>
      </c>
      <c r="M3705" t="s">
        <v>32</v>
      </c>
      <c r="N3705" t="str">
        <f>"9/4/2002 12:00:00 AM"</f>
        <v>9/4/2002 12:00:00 AM</v>
      </c>
      <c r="O3705" t="s">
        <v>11379</v>
      </c>
    </row>
    <row r="3706" spans="1:20" x14ac:dyDescent="0.25">
      <c r="A3706" t="str">
        <f>"3058849"</f>
        <v>3058849</v>
      </c>
      <c r="B3706" t="s">
        <v>11381</v>
      </c>
      <c r="C3706" t="str">
        <f>"82530162"</f>
        <v>82530162</v>
      </c>
      <c r="D3706" t="s">
        <v>11382</v>
      </c>
      <c r="F3706" t="s">
        <v>11383</v>
      </c>
      <c r="I3706" t="s">
        <v>471</v>
      </c>
      <c r="J3706" t="s">
        <v>30</v>
      </c>
      <c r="K3706" t="s">
        <v>1262</v>
      </c>
      <c r="M3706" t="s">
        <v>32</v>
      </c>
      <c r="N3706" t="str">
        <f>"10/9/2008 12:00:00 AM"</f>
        <v>10/9/2008 12:00:00 AM</v>
      </c>
      <c r="O3706" t="s">
        <v>11382</v>
      </c>
    </row>
    <row r="3707" spans="1:20" x14ac:dyDescent="0.25">
      <c r="A3707" t="str">
        <f>"3059354"</f>
        <v>3059354</v>
      </c>
      <c r="B3707" t="s">
        <v>11384</v>
      </c>
      <c r="C3707" t="str">
        <f>"53612000"</f>
        <v>53612000</v>
      </c>
      <c r="D3707" t="s">
        <v>11385</v>
      </c>
      <c r="F3707" t="s">
        <v>11386</v>
      </c>
      <c r="I3707" t="s">
        <v>29</v>
      </c>
      <c r="J3707" t="s">
        <v>30</v>
      </c>
      <c r="K3707" t="s">
        <v>31</v>
      </c>
      <c r="M3707" t="s">
        <v>32</v>
      </c>
      <c r="N3707" t="str">
        <f>"3/12/2004 12:00:00 AM"</f>
        <v>3/12/2004 12:00:00 AM</v>
      </c>
      <c r="O3707" t="s">
        <v>11385</v>
      </c>
    </row>
    <row r="3708" spans="1:20" x14ac:dyDescent="0.25">
      <c r="A3708" t="str">
        <f>"3059383"</f>
        <v>3059383</v>
      </c>
      <c r="B3708" t="s">
        <v>11387</v>
      </c>
      <c r="C3708" t="str">
        <f>"53612000"</f>
        <v>53612000</v>
      </c>
      <c r="D3708" t="s">
        <v>11385</v>
      </c>
      <c r="F3708" t="s">
        <v>11386</v>
      </c>
      <c r="I3708" t="s">
        <v>29</v>
      </c>
      <c r="J3708" t="s">
        <v>30</v>
      </c>
      <c r="K3708" t="s">
        <v>31</v>
      </c>
      <c r="M3708" t="s">
        <v>32</v>
      </c>
      <c r="N3708" t="str">
        <f>"3/12/2004 12:00:00 AM"</f>
        <v>3/12/2004 12:00:00 AM</v>
      </c>
      <c r="O3708" t="s">
        <v>11385</v>
      </c>
    </row>
    <row r="3709" spans="1:20" x14ac:dyDescent="0.25">
      <c r="A3709" t="str">
        <f>"3059361"</f>
        <v>3059361</v>
      </c>
      <c r="B3709" t="s">
        <v>11388</v>
      </c>
      <c r="C3709" t="str">
        <f>"53612000"</f>
        <v>53612000</v>
      </c>
      <c r="D3709" t="s">
        <v>11385</v>
      </c>
      <c r="F3709" t="s">
        <v>11386</v>
      </c>
      <c r="I3709" t="s">
        <v>29</v>
      </c>
      <c r="J3709" t="s">
        <v>30</v>
      </c>
      <c r="K3709" t="s">
        <v>31</v>
      </c>
      <c r="M3709" t="s">
        <v>32</v>
      </c>
      <c r="N3709" t="str">
        <f>"3/12/2004 12:00:00 AM"</f>
        <v>3/12/2004 12:00:00 AM</v>
      </c>
      <c r="O3709" t="s">
        <v>11385</v>
      </c>
    </row>
    <row r="3710" spans="1:20" x14ac:dyDescent="0.25">
      <c r="A3710" t="str">
        <f>"3059339"</f>
        <v>3059339</v>
      </c>
      <c r="B3710" t="s">
        <v>11389</v>
      </c>
      <c r="C3710" t="str">
        <f>"53612000"</f>
        <v>53612000</v>
      </c>
      <c r="D3710" t="s">
        <v>11385</v>
      </c>
      <c r="F3710" t="s">
        <v>11386</v>
      </c>
      <c r="I3710" t="s">
        <v>29</v>
      </c>
      <c r="J3710" t="s">
        <v>30</v>
      </c>
      <c r="K3710" t="s">
        <v>31</v>
      </c>
      <c r="M3710" t="s">
        <v>32</v>
      </c>
      <c r="N3710" t="str">
        <f>"3/12/2004 12:00:00 AM"</f>
        <v>3/12/2004 12:00:00 AM</v>
      </c>
      <c r="O3710" t="s">
        <v>11385</v>
      </c>
    </row>
    <row r="3711" spans="1:20" x14ac:dyDescent="0.25">
      <c r="A3711" t="str">
        <f>"3058820"</f>
        <v>3058820</v>
      </c>
      <c r="B3711" t="s">
        <v>11390</v>
      </c>
      <c r="C3711" t="str">
        <f>"82528855"</f>
        <v>82528855</v>
      </c>
      <c r="D3711" t="s">
        <v>11391</v>
      </c>
      <c r="F3711" t="s">
        <v>11392</v>
      </c>
      <c r="I3711" t="s">
        <v>29</v>
      </c>
      <c r="J3711" t="s">
        <v>30</v>
      </c>
      <c r="K3711" t="s">
        <v>31</v>
      </c>
      <c r="M3711" t="s">
        <v>32</v>
      </c>
      <c r="N3711" t="str">
        <f>"11/19/2007 12:00:00 AM"</f>
        <v>11/19/2007 12:00:00 AM</v>
      </c>
      <c r="O3711" t="s">
        <v>11391</v>
      </c>
    </row>
    <row r="3712" spans="1:20" x14ac:dyDescent="0.25">
      <c r="A3712" t="str">
        <f>"3062045"</f>
        <v>3062045</v>
      </c>
      <c r="B3712" t="s">
        <v>11393</v>
      </c>
      <c r="C3712" t="str">
        <f>"47204000"</f>
        <v>47204000</v>
      </c>
      <c r="D3712" t="s">
        <v>11394</v>
      </c>
      <c r="E3712" t="s">
        <v>11395</v>
      </c>
      <c r="F3712" t="s">
        <v>9805</v>
      </c>
      <c r="I3712" t="s">
        <v>29</v>
      </c>
      <c r="J3712" t="s">
        <v>30</v>
      </c>
      <c r="K3712" t="s">
        <v>31</v>
      </c>
      <c r="M3712" t="s">
        <v>32</v>
      </c>
      <c r="N3712" t="str">
        <f>"9/6/2002 12:00:00 AM"</f>
        <v>9/6/2002 12:00:00 AM</v>
      </c>
      <c r="O3712" t="s">
        <v>11394</v>
      </c>
      <c r="T3712" t="s">
        <v>11395</v>
      </c>
    </row>
    <row r="3713" spans="1:20" x14ac:dyDescent="0.25">
      <c r="A3713" t="str">
        <f>"3062063"</f>
        <v>3062063</v>
      </c>
      <c r="B3713" t="s">
        <v>11396</v>
      </c>
      <c r="C3713" t="str">
        <f>"47204000"</f>
        <v>47204000</v>
      </c>
      <c r="D3713" t="s">
        <v>11394</v>
      </c>
      <c r="E3713" t="s">
        <v>11395</v>
      </c>
      <c r="F3713" t="s">
        <v>9805</v>
      </c>
      <c r="I3713" t="s">
        <v>29</v>
      </c>
      <c r="J3713" t="s">
        <v>30</v>
      </c>
      <c r="K3713" t="s">
        <v>31</v>
      </c>
      <c r="M3713" t="s">
        <v>32</v>
      </c>
      <c r="N3713" t="str">
        <f>"9/6/2002 12:00:00 AM"</f>
        <v>9/6/2002 12:00:00 AM</v>
      </c>
      <c r="O3713" t="s">
        <v>11394</v>
      </c>
      <c r="T3713" t="s">
        <v>11395</v>
      </c>
    </row>
    <row r="3714" spans="1:20" x14ac:dyDescent="0.25">
      <c r="A3714" t="str">
        <f>"3062065"</f>
        <v>3062065</v>
      </c>
      <c r="B3714" t="s">
        <v>11397</v>
      </c>
      <c r="C3714" t="str">
        <f>"47204000"</f>
        <v>47204000</v>
      </c>
      <c r="D3714" t="s">
        <v>11394</v>
      </c>
      <c r="E3714" t="s">
        <v>11395</v>
      </c>
      <c r="F3714" t="s">
        <v>9805</v>
      </c>
      <c r="I3714" t="s">
        <v>29</v>
      </c>
      <c r="J3714" t="s">
        <v>30</v>
      </c>
      <c r="K3714" t="s">
        <v>31</v>
      </c>
      <c r="M3714" t="s">
        <v>32</v>
      </c>
      <c r="N3714" t="str">
        <f>"9/6/2002 12:00:00 AM"</f>
        <v>9/6/2002 12:00:00 AM</v>
      </c>
      <c r="O3714" t="s">
        <v>11394</v>
      </c>
      <c r="T3714" t="s">
        <v>11395</v>
      </c>
    </row>
    <row r="3715" spans="1:20" x14ac:dyDescent="0.25">
      <c r="A3715" t="str">
        <f>"3046970"</f>
        <v>3046970</v>
      </c>
      <c r="B3715" t="s">
        <v>11398</v>
      </c>
      <c r="C3715" t="str">
        <f>"18515750"</f>
        <v>18515750</v>
      </c>
      <c r="D3715" t="s">
        <v>11399</v>
      </c>
      <c r="F3715" t="s">
        <v>5333</v>
      </c>
      <c r="I3715" t="s">
        <v>184</v>
      </c>
      <c r="J3715" t="s">
        <v>30</v>
      </c>
      <c r="K3715" t="s">
        <v>185</v>
      </c>
      <c r="M3715" t="s">
        <v>32</v>
      </c>
      <c r="N3715" t="str">
        <f>"7/9/2003 12:00:00 AM"</f>
        <v>7/9/2003 12:00:00 AM</v>
      </c>
      <c r="O3715" t="s">
        <v>11399</v>
      </c>
    </row>
    <row r="3716" spans="1:20" x14ac:dyDescent="0.25">
      <c r="A3716" t="str">
        <f>"3059172"</f>
        <v>3059172</v>
      </c>
      <c r="B3716" t="s">
        <v>11400</v>
      </c>
      <c r="C3716" t="str">
        <f>"71236000"</f>
        <v>71236000</v>
      </c>
      <c r="D3716" t="s">
        <v>11401</v>
      </c>
      <c r="E3716" t="s">
        <v>11402</v>
      </c>
      <c r="F3716" t="s">
        <v>11403</v>
      </c>
      <c r="G3716" t="s">
        <v>11404</v>
      </c>
      <c r="I3716" t="s">
        <v>29</v>
      </c>
      <c r="J3716" t="s">
        <v>30</v>
      </c>
      <c r="K3716" t="s">
        <v>31</v>
      </c>
      <c r="M3716" t="s">
        <v>32</v>
      </c>
      <c r="N3716" t="str">
        <f>"6/15/2004 12:00:00 AM"</f>
        <v>6/15/2004 12:00:00 AM</v>
      </c>
      <c r="O3716" t="s">
        <v>11401</v>
      </c>
      <c r="T3716" t="s">
        <v>11402</v>
      </c>
    </row>
    <row r="3717" spans="1:20" x14ac:dyDescent="0.25">
      <c r="A3717" t="str">
        <f>"3059169"</f>
        <v>3059169</v>
      </c>
      <c r="B3717" t="s">
        <v>11405</v>
      </c>
      <c r="C3717" t="str">
        <f>"77374800"</f>
        <v>77374800</v>
      </c>
      <c r="D3717" t="s">
        <v>11406</v>
      </c>
      <c r="F3717" t="s">
        <v>11407</v>
      </c>
      <c r="I3717" t="s">
        <v>29</v>
      </c>
      <c r="J3717" t="s">
        <v>30</v>
      </c>
      <c r="K3717" t="s">
        <v>31</v>
      </c>
      <c r="M3717" t="s">
        <v>32</v>
      </c>
      <c r="N3717" t="str">
        <f>"9/6/2002 12:00:00 AM"</f>
        <v>9/6/2002 12:00:00 AM</v>
      </c>
      <c r="O3717" t="s">
        <v>11406</v>
      </c>
    </row>
    <row r="3718" spans="1:20" x14ac:dyDescent="0.25">
      <c r="A3718" t="str">
        <f>"3059174"</f>
        <v>3059174</v>
      </c>
      <c r="B3718" t="s">
        <v>11408</v>
      </c>
      <c r="C3718" t="str">
        <f>"56789500"</f>
        <v>56789500</v>
      </c>
      <c r="D3718" t="s">
        <v>11409</v>
      </c>
      <c r="F3718" t="s">
        <v>11410</v>
      </c>
      <c r="I3718" t="s">
        <v>29</v>
      </c>
      <c r="J3718" t="s">
        <v>30</v>
      </c>
      <c r="K3718" t="s">
        <v>11411</v>
      </c>
      <c r="M3718" t="s">
        <v>32</v>
      </c>
      <c r="N3718" t="str">
        <f>"2/13/2007 12:00:00 AM"</f>
        <v>2/13/2007 12:00:00 AM</v>
      </c>
      <c r="O3718" t="s">
        <v>11409</v>
      </c>
      <c r="T3718" t="s">
        <v>11409</v>
      </c>
    </row>
    <row r="3719" spans="1:20" x14ac:dyDescent="0.25">
      <c r="A3719" t="str">
        <f>"3064383"</f>
        <v>3064383</v>
      </c>
      <c r="B3719" t="s">
        <v>11412</v>
      </c>
      <c r="C3719" t="str">
        <f>"2550750"</f>
        <v>2550750</v>
      </c>
      <c r="D3719" t="s">
        <v>11413</v>
      </c>
      <c r="E3719" t="s">
        <v>11414</v>
      </c>
      <c r="F3719" t="s">
        <v>11415</v>
      </c>
      <c r="I3719" t="s">
        <v>29</v>
      </c>
      <c r="J3719" t="s">
        <v>30</v>
      </c>
      <c r="K3719" t="s">
        <v>11416</v>
      </c>
      <c r="M3719" t="s">
        <v>32</v>
      </c>
      <c r="N3719" t="str">
        <f>"1/13/2006 12:00:00 AM"</f>
        <v>1/13/2006 12:00:00 AM</v>
      </c>
      <c r="O3719" t="s">
        <v>11413</v>
      </c>
      <c r="T3719" t="s">
        <v>11414</v>
      </c>
    </row>
    <row r="3720" spans="1:20" x14ac:dyDescent="0.25">
      <c r="A3720" t="str">
        <f>"3049640"</f>
        <v>3049640</v>
      </c>
      <c r="B3720" t="s">
        <v>11417</v>
      </c>
      <c r="C3720" t="str">
        <f>"2550750"</f>
        <v>2550750</v>
      </c>
      <c r="D3720" t="s">
        <v>11413</v>
      </c>
      <c r="E3720" t="s">
        <v>11414</v>
      </c>
      <c r="F3720" t="s">
        <v>11415</v>
      </c>
      <c r="I3720" t="s">
        <v>29</v>
      </c>
      <c r="J3720" t="s">
        <v>30</v>
      </c>
      <c r="K3720" t="s">
        <v>11416</v>
      </c>
      <c r="M3720" t="s">
        <v>32</v>
      </c>
      <c r="N3720" t="str">
        <f>"1/13/2006 12:00:00 AM"</f>
        <v>1/13/2006 12:00:00 AM</v>
      </c>
      <c r="O3720" t="s">
        <v>11413</v>
      </c>
      <c r="T3720" t="s">
        <v>11414</v>
      </c>
    </row>
    <row r="3721" spans="1:20" x14ac:dyDescent="0.25">
      <c r="A3721" t="str">
        <f>"3059180"</f>
        <v>3059180</v>
      </c>
      <c r="B3721" t="s">
        <v>11418</v>
      </c>
      <c r="C3721" t="str">
        <f>"82524586"</f>
        <v>82524586</v>
      </c>
      <c r="D3721" t="s">
        <v>11419</v>
      </c>
      <c r="F3721" t="s">
        <v>11420</v>
      </c>
      <c r="I3721" t="s">
        <v>29</v>
      </c>
      <c r="J3721" t="s">
        <v>30</v>
      </c>
      <c r="K3721" t="s">
        <v>11421</v>
      </c>
      <c r="M3721" t="s">
        <v>32</v>
      </c>
      <c r="N3721" t="str">
        <f>"1/13/2006 12:00:00 AM"</f>
        <v>1/13/2006 12:00:00 AM</v>
      </c>
      <c r="O3721" t="s">
        <v>11419</v>
      </c>
    </row>
    <row r="3722" spans="1:20" x14ac:dyDescent="0.25">
      <c r="A3722" t="str">
        <f>"3059142"</f>
        <v>3059142</v>
      </c>
      <c r="B3722" t="s">
        <v>11422</v>
      </c>
      <c r="C3722" t="str">
        <f>"82525347"</f>
        <v>82525347</v>
      </c>
      <c r="D3722" t="s">
        <v>11423</v>
      </c>
      <c r="E3722" t="s">
        <v>11424</v>
      </c>
      <c r="F3722" t="s">
        <v>11425</v>
      </c>
      <c r="I3722" t="s">
        <v>29</v>
      </c>
      <c r="J3722" t="s">
        <v>30</v>
      </c>
      <c r="K3722" t="s">
        <v>11426</v>
      </c>
      <c r="M3722" t="s">
        <v>32</v>
      </c>
      <c r="N3722" t="str">
        <f>"2/4/2008 12:00:00 AM"</f>
        <v>2/4/2008 12:00:00 AM</v>
      </c>
      <c r="O3722" t="s">
        <v>11423</v>
      </c>
      <c r="T3722" t="s">
        <v>11424</v>
      </c>
    </row>
    <row r="3723" spans="1:20" x14ac:dyDescent="0.25">
      <c r="A3723" t="str">
        <f>"3059131"</f>
        <v>3059131</v>
      </c>
      <c r="B3723" t="s">
        <v>11427</v>
      </c>
      <c r="C3723" t="str">
        <f>"22920000"</f>
        <v>22920000</v>
      </c>
      <c r="D3723" t="s">
        <v>11428</v>
      </c>
      <c r="E3723" t="s">
        <v>11429</v>
      </c>
      <c r="F3723" t="s">
        <v>11430</v>
      </c>
      <c r="I3723" t="s">
        <v>29</v>
      </c>
      <c r="J3723" t="s">
        <v>30</v>
      </c>
      <c r="K3723" t="s">
        <v>31</v>
      </c>
      <c r="M3723" t="s">
        <v>32</v>
      </c>
      <c r="N3723" t="str">
        <f>"12/3/2010 12:00:00 AM"</f>
        <v>12/3/2010 12:00:00 AM</v>
      </c>
      <c r="O3723" t="s">
        <v>11428</v>
      </c>
      <c r="T3723" t="s">
        <v>11429</v>
      </c>
    </row>
    <row r="3724" spans="1:20" x14ac:dyDescent="0.25">
      <c r="A3724" t="str">
        <f>"3052234"</f>
        <v>3052234</v>
      </c>
      <c r="B3724" t="s">
        <v>11431</v>
      </c>
      <c r="C3724" t="str">
        <f>"22920000"</f>
        <v>22920000</v>
      </c>
      <c r="D3724" t="s">
        <v>11428</v>
      </c>
      <c r="E3724" t="s">
        <v>11429</v>
      </c>
      <c r="F3724" t="s">
        <v>11430</v>
      </c>
      <c r="I3724" t="s">
        <v>29</v>
      </c>
      <c r="J3724" t="s">
        <v>30</v>
      </c>
      <c r="K3724" t="s">
        <v>31</v>
      </c>
      <c r="M3724" t="s">
        <v>32</v>
      </c>
      <c r="N3724" t="str">
        <f>"12/3/2010 12:00:00 AM"</f>
        <v>12/3/2010 12:00:00 AM</v>
      </c>
      <c r="O3724" t="s">
        <v>11428</v>
      </c>
      <c r="T3724" t="s">
        <v>11429</v>
      </c>
    </row>
    <row r="3725" spans="1:20" x14ac:dyDescent="0.25">
      <c r="A3725" t="str">
        <f>"3054734"</f>
        <v>3054734</v>
      </c>
      <c r="B3725" t="s">
        <v>11432</v>
      </c>
      <c r="C3725" t="str">
        <f>"22920000"</f>
        <v>22920000</v>
      </c>
      <c r="D3725" t="s">
        <v>11428</v>
      </c>
      <c r="E3725" t="s">
        <v>11429</v>
      </c>
      <c r="F3725" t="s">
        <v>11430</v>
      </c>
      <c r="I3725" t="s">
        <v>29</v>
      </c>
      <c r="J3725" t="s">
        <v>30</v>
      </c>
      <c r="K3725" t="s">
        <v>31</v>
      </c>
      <c r="M3725" t="s">
        <v>32</v>
      </c>
      <c r="N3725" t="str">
        <f>"12/3/2010 12:00:00 AM"</f>
        <v>12/3/2010 12:00:00 AM</v>
      </c>
      <c r="O3725" t="s">
        <v>11428</v>
      </c>
      <c r="T3725" t="s">
        <v>11429</v>
      </c>
    </row>
    <row r="3726" spans="1:20" x14ac:dyDescent="0.25">
      <c r="A3726" t="str">
        <f>"3068818"</f>
        <v>3068818</v>
      </c>
      <c r="B3726" t="s">
        <v>11433</v>
      </c>
      <c r="C3726" t="str">
        <f>"32300000"</f>
        <v>32300000</v>
      </c>
      <c r="D3726" t="s">
        <v>11434</v>
      </c>
      <c r="E3726" t="s">
        <v>11435</v>
      </c>
      <c r="F3726" t="s">
        <v>11436</v>
      </c>
      <c r="I3726" t="s">
        <v>29</v>
      </c>
      <c r="J3726" t="s">
        <v>30</v>
      </c>
      <c r="K3726" t="s">
        <v>31</v>
      </c>
      <c r="M3726" t="s">
        <v>32</v>
      </c>
      <c r="N3726" t="str">
        <f>"9/11/2003 12:00:00 AM"</f>
        <v>9/11/2003 12:00:00 AM</v>
      </c>
      <c r="O3726" t="s">
        <v>11434</v>
      </c>
      <c r="T3726" t="s">
        <v>11435</v>
      </c>
    </row>
    <row r="3727" spans="1:20" x14ac:dyDescent="0.25">
      <c r="A3727" t="str">
        <f>"3059187"</f>
        <v>3059187</v>
      </c>
      <c r="B3727" t="s">
        <v>11437</v>
      </c>
      <c r="C3727" t="str">
        <f>"45508000"</f>
        <v>45508000</v>
      </c>
      <c r="D3727" t="s">
        <v>11438</v>
      </c>
      <c r="E3727" t="s">
        <v>11439</v>
      </c>
      <c r="F3727" t="s">
        <v>11440</v>
      </c>
      <c r="I3727" t="s">
        <v>29</v>
      </c>
      <c r="J3727" t="s">
        <v>30</v>
      </c>
      <c r="K3727" t="s">
        <v>31</v>
      </c>
      <c r="M3727" t="s">
        <v>32</v>
      </c>
      <c r="N3727" t="str">
        <f>"9/6/2002 12:00:00 AM"</f>
        <v>9/6/2002 12:00:00 AM</v>
      </c>
      <c r="O3727" t="s">
        <v>11438</v>
      </c>
      <c r="T3727" t="s">
        <v>11439</v>
      </c>
    </row>
    <row r="3728" spans="1:20" x14ac:dyDescent="0.25">
      <c r="A3728" t="str">
        <f>"3053355"</f>
        <v>3053355</v>
      </c>
      <c r="B3728" t="s">
        <v>11441</v>
      </c>
      <c r="C3728" t="str">
        <f>"45508000"</f>
        <v>45508000</v>
      </c>
      <c r="D3728" t="s">
        <v>11438</v>
      </c>
      <c r="E3728" t="s">
        <v>11439</v>
      </c>
      <c r="F3728" t="s">
        <v>11440</v>
      </c>
      <c r="I3728" t="s">
        <v>29</v>
      </c>
      <c r="J3728" t="s">
        <v>30</v>
      </c>
      <c r="K3728" t="s">
        <v>31</v>
      </c>
      <c r="M3728" t="s">
        <v>32</v>
      </c>
      <c r="N3728" t="str">
        <f>"9/6/2002 12:00:00 AM"</f>
        <v>9/6/2002 12:00:00 AM</v>
      </c>
      <c r="O3728" t="s">
        <v>11438</v>
      </c>
      <c r="T3728" t="s">
        <v>11439</v>
      </c>
    </row>
    <row r="3729" spans="1:20" x14ac:dyDescent="0.25">
      <c r="A3729" t="str">
        <f>"3051913"</f>
        <v>3051913</v>
      </c>
      <c r="B3729" t="s">
        <v>11442</v>
      </c>
      <c r="C3729" t="str">
        <f>"45508000"</f>
        <v>45508000</v>
      </c>
      <c r="D3729" t="s">
        <v>11438</v>
      </c>
      <c r="E3729" t="s">
        <v>11439</v>
      </c>
      <c r="F3729" t="s">
        <v>11440</v>
      </c>
      <c r="I3729" t="s">
        <v>29</v>
      </c>
      <c r="J3729" t="s">
        <v>30</v>
      </c>
      <c r="K3729" t="s">
        <v>31</v>
      </c>
      <c r="M3729" t="s">
        <v>32</v>
      </c>
      <c r="N3729" t="str">
        <f>"9/6/2002 12:00:00 AM"</f>
        <v>9/6/2002 12:00:00 AM</v>
      </c>
      <c r="O3729" t="s">
        <v>11438</v>
      </c>
      <c r="T3729" t="s">
        <v>11439</v>
      </c>
    </row>
    <row r="3730" spans="1:20" x14ac:dyDescent="0.25">
      <c r="A3730" t="str">
        <f>"3051769"</f>
        <v>3051769</v>
      </c>
      <c r="B3730" t="s">
        <v>11443</v>
      </c>
      <c r="C3730" t="str">
        <f>"45508000"</f>
        <v>45508000</v>
      </c>
      <c r="D3730" t="s">
        <v>11438</v>
      </c>
      <c r="E3730" t="s">
        <v>11439</v>
      </c>
      <c r="F3730" t="s">
        <v>11440</v>
      </c>
      <c r="I3730" t="s">
        <v>29</v>
      </c>
      <c r="J3730" t="s">
        <v>30</v>
      </c>
      <c r="K3730" t="s">
        <v>31</v>
      </c>
      <c r="M3730" t="s">
        <v>32</v>
      </c>
      <c r="N3730" t="str">
        <f>"9/6/2002 12:00:00 AM"</f>
        <v>9/6/2002 12:00:00 AM</v>
      </c>
      <c r="O3730" t="s">
        <v>11438</v>
      </c>
      <c r="T3730" t="s">
        <v>11439</v>
      </c>
    </row>
    <row r="3731" spans="1:20" x14ac:dyDescent="0.25">
      <c r="A3731" t="str">
        <f>"3059188"</f>
        <v>3059188</v>
      </c>
      <c r="B3731" t="s">
        <v>11444</v>
      </c>
      <c r="C3731" t="str">
        <f>"14934000"</f>
        <v>14934000</v>
      </c>
      <c r="D3731" t="s">
        <v>11445</v>
      </c>
      <c r="F3731" t="s">
        <v>11446</v>
      </c>
      <c r="I3731" t="s">
        <v>29</v>
      </c>
      <c r="J3731" t="s">
        <v>30</v>
      </c>
      <c r="K3731" t="s">
        <v>31</v>
      </c>
      <c r="M3731" t="s">
        <v>32</v>
      </c>
      <c r="N3731" t="str">
        <f>"2/23/2010 12:00:00 AM"</f>
        <v>2/23/2010 12:00:00 AM</v>
      </c>
      <c r="O3731" t="s">
        <v>11445</v>
      </c>
    </row>
    <row r="3732" spans="1:20" x14ac:dyDescent="0.25">
      <c r="A3732" t="str">
        <f>"3059132"</f>
        <v>3059132</v>
      </c>
      <c r="B3732" t="s">
        <v>11447</v>
      </c>
      <c r="C3732" t="str">
        <f>"82521300"</f>
        <v>82521300</v>
      </c>
      <c r="D3732" t="s">
        <v>11448</v>
      </c>
      <c r="F3732" t="s">
        <v>11449</v>
      </c>
      <c r="I3732" t="s">
        <v>29</v>
      </c>
      <c r="J3732" t="s">
        <v>30</v>
      </c>
      <c r="K3732" t="s">
        <v>11450</v>
      </c>
      <c r="M3732" t="s">
        <v>32</v>
      </c>
      <c r="N3732" t="str">
        <f>"1/12/2007 12:00:00 AM"</f>
        <v>1/12/2007 12:00:00 AM</v>
      </c>
      <c r="O3732" t="s">
        <v>11448</v>
      </c>
      <c r="T3732" t="s">
        <v>11448</v>
      </c>
    </row>
    <row r="3733" spans="1:20" x14ac:dyDescent="0.25">
      <c r="A3733" t="str">
        <f>"3059191"</f>
        <v>3059191</v>
      </c>
      <c r="B3733" t="s">
        <v>11451</v>
      </c>
      <c r="C3733" t="str">
        <f>"82513068"</f>
        <v>82513068</v>
      </c>
      <c r="D3733" t="s">
        <v>11452</v>
      </c>
      <c r="F3733" t="s">
        <v>11453</v>
      </c>
      <c r="I3733" t="s">
        <v>29</v>
      </c>
      <c r="J3733" t="s">
        <v>30</v>
      </c>
      <c r="K3733" t="s">
        <v>31</v>
      </c>
      <c r="M3733" t="s">
        <v>32</v>
      </c>
      <c r="N3733" t="str">
        <f>"7/21/2004 12:00:00 AM"</f>
        <v>7/21/2004 12:00:00 AM</v>
      </c>
      <c r="O3733" t="s">
        <v>11452</v>
      </c>
    </row>
    <row r="3734" spans="1:20" x14ac:dyDescent="0.25">
      <c r="A3734" t="str">
        <f>"3059166"</f>
        <v>3059166</v>
      </c>
      <c r="B3734" t="s">
        <v>11454</v>
      </c>
      <c r="C3734" t="str">
        <f>"82523662"</f>
        <v>82523662</v>
      </c>
      <c r="D3734" t="s">
        <v>11455</v>
      </c>
      <c r="E3734" t="s">
        <v>11456</v>
      </c>
      <c r="F3734" t="s">
        <v>11457</v>
      </c>
      <c r="I3734" t="s">
        <v>29</v>
      </c>
      <c r="J3734" t="s">
        <v>30</v>
      </c>
      <c r="K3734" t="s">
        <v>31</v>
      </c>
      <c r="M3734" t="s">
        <v>32</v>
      </c>
      <c r="N3734" t="str">
        <f>"1/12/2005 12:00:00 AM"</f>
        <v>1/12/2005 12:00:00 AM</v>
      </c>
      <c r="O3734" t="s">
        <v>11455</v>
      </c>
      <c r="T3734" t="s">
        <v>11456</v>
      </c>
    </row>
    <row r="3735" spans="1:20" x14ac:dyDescent="0.25">
      <c r="A3735" t="str">
        <f>"3062943"</f>
        <v>3062943</v>
      </c>
      <c r="B3735" t="s">
        <v>11458</v>
      </c>
      <c r="C3735" t="str">
        <f>"82524921"</f>
        <v>82524921</v>
      </c>
      <c r="D3735" t="s">
        <v>11459</v>
      </c>
      <c r="E3735" t="s">
        <v>11460</v>
      </c>
      <c r="F3735" t="s">
        <v>11461</v>
      </c>
      <c r="I3735" t="s">
        <v>29</v>
      </c>
      <c r="J3735" t="s">
        <v>30</v>
      </c>
      <c r="K3735" t="s">
        <v>31</v>
      </c>
      <c r="N3735" t="str">
        <f>"7/26/2005 12:00:00 AM"</f>
        <v>7/26/2005 12:00:00 AM</v>
      </c>
      <c r="O3735" t="s">
        <v>11459</v>
      </c>
      <c r="T3735" t="s">
        <v>11460</v>
      </c>
    </row>
    <row r="3736" spans="1:20" x14ac:dyDescent="0.25">
      <c r="A3736" t="str">
        <f>"3062944"</f>
        <v>3062944</v>
      </c>
      <c r="B3736" t="s">
        <v>11462</v>
      </c>
      <c r="C3736" t="str">
        <f>"25360680"</f>
        <v>25360680</v>
      </c>
      <c r="D3736" t="s">
        <v>11463</v>
      </c>
      <c r="E3736" t="s">
        <v>11464</v>
      </c>
      <c r="F3736" t="s">
        <v>11465</v>
      </c>
      <c r="I3736" t="s">
        <v>29</v>
      </c>
      <c r="J3736" t="s">
        <v>30</v>
      </c>
      <c r="K3736" t="s">
        <v>31</v>
      </c>
      <c r="M3736" t="s">
        <v>32</v>
      </c>
      <c r="N3736" t="str">
        <f>"9/4/2002 12:00:00 AM"</f>
        <v>9/4/2002 12:00:00 AM</v>
      </c>
      <c r="O3736" t="s">
        <v>11463</v>
      </c>
      <c r="T3736" t="s">
        <v>11464</v>
      </c>
    </row>
    <row r="3737" spans="1:20" x14ac:dyDescent="0.25">
      <c r="A3737" t="str">
        <f>"3062934"</f>
        <v>3062934</v>
      </c>
      <c r="B3737" t="s">
        <v>11466</v>
      </c>
      <c r="C3737" t="str">
        <f>"82525514"</f>
        <v>82525514</v>
      </c>
      <c r="D3737" t="s">
        <v>11467</v>
      </c>
      <c r="F3737" t="s">
        <v>11468</v>
      </c>
      <c r="I3737" t="s">
        <v>29</v>
      </c>
      <c r="J3737" t="s">
        <v>30</v>
      </c>
      <c r="K3737" t="s">
        <v>31</v>
      </c>
      <c r="M3737" t="s">
        <v>32</v>
      </c>
      <c r="N3737" t="str">
        <f>"12/27/2005 12:00:00 AM"</f>
        <v>12/27/2005 12:00:00 AM</v>
      </c>
      <c r="O3737" t="s">
        <v>11467</v>
      </c>
    </row>
    <row r="3738" spans="1:20" x14ac:dyDescent="0.25">
      <c r="A3738" t="str">
        <f>"3069580"</f>
        <v>3069580</v>
      </c>
      <c r="B3738" t="s">
        <v>11469</v>
      </c>
      <c r="C3738" t="str">
        <f>"18676000"</f>
        <v>18676000</v>
      </c>
      <c r="D3738" t="s">
        <v>11470</v>
      </c>
      <c r="E3738" t="s">
        <v>11471</v>
      </c>
      <c r="F3738" t="s">
        <v>11472</v>
      </c>
      <c r="I3738" t="s">
        <v>29</v>
      </c>
      <c r="J3738" t="s">
        <v>30</v>
      </c>
      <c r="K3738" t="s">
        <v>31</v>
      </c>
      <c r="M3738" t="s">
        <v>32</v>
      </c>
      <c r="N3738" t="str">
        <f>"7/9/2003 12:00:00 AM"</f>
        <v>7/9/2003 12:00:00 AM</v>
      </c>
      <c r="O3738" t="s">
        <v>11470</v>
      </c>
      <c r="T3738" t="s">
        <v>11471</v>
      </c>
    </row>
    <row r="3739" spans="1:20" x14ac:dyDescent="0.25">
      <c r="A3739" t="str">
        <f>"3062957"</f>
        <v>3062957</v>
      </c>
      <c r="B3739" t="s">
        <v>11473</v>
      </c>
      <c r="C3739" t="str">
        <f>"82526527"</f>
        <v>82526527</v>
      </c>
      <c r="D3739" t="s">
        <v>11474</v>
      </c>
      <c r="E3739" t="s">
        <v>11475</v>
      </c>
      <c r="F3739" t="s">
        <v>11476</v>
      </c>
      <c r="I3739" t="s">
        <v>29</v>
      </c>
      <c r="J3739" t="s">
        <v>30</v>
      </c>
      <c r="K3739" t="s">
        <v>31</v>
      </c>
      <c r="M3739" t="s">
        <v>32</v>
      </c>
      <c r="N3739" t="str">
        <f>"1/23/2007 12:00:00 AM"</f>
        <v>1/23/2007 12:00:00 AM</v>
      </c>
      <c r="O3739" t="s">
        <v>11474</v>
      </c>
      <c r="T3739" t="s">
        <v>11475</v>
      </c>
    </row>
    <row r="3740" spans="1:20" x14ac:dyDescent="0.25">
      <c r="A3740" t="str">
        <f>"3058555"</f>
        <v>3058555</v>
      </c>
      <c r="B3740" t="s">
        <v>11477</v>
      </c>
      <c r="C3740" t="str">
        <f>"14752000"</f>
        <v>14752000</v>
      </c>
      <c r="D3740" t="s">
        <v>11478</v>
      </c>
      <c r="E3740" t="s">
        <v>11479</v>
      </c>
      <c r="F3740" t="s">
        <v>11480</v>
      </c>
      <c r="I3740" t="s">
        <v>29</v>
      </c>
      <c r="J3740" t="s">
        <v>30</v>
      </c>
      <c r="K3740" t="s">
        <v>31</v>
      </c>
      <c r="M3740" t="s">
        <v>32</v>
      </c>
      <c r="N3740" t="str">
        <f>"6/24/2003 12:00:00 AM"</f>
        <v>6/24/2003 12:00:00 AM</v>
      </c>
      <c r="O3740" t="s">
        <v>11478</v>
      </c>
      <c r="T3740" t="s">
        <v>11479</v>
      </c>
    </row>
    <row r="3741" spans="1:20" x14ac:dyDescent="0.25">
      <c r="A3741" t="str">
        <f>"3050035"</f>
        <v>3050035</v>
      </c>
      <c r="B3741" t="s">
        <v>11481</v>
      </c>
      <c r="C3741" t="str">
        <f>"14752000"</f>
        <v>14752000</v>
      </c>
      <c r="D3741" t="s">
        <v>11478</v>
      </c>
      <c r="E3741" t="s">
        <v>11479</v>
      </c>
      <c r="F3741" t="s">
        <v>11480</v>
      </c>
      <c r="I3741" t="s">
        <v>29</v>
      </c>
      <c r="J3741" t="s">
        <v>30</v>
      </c>
      <c r="K3741" t="s">
        <v>31</v>
      </c>
      <c r="M3741" t="s">
        <v>32</v>
      </c>
      <c r="N3741" t="str">
        <f>"6/24/2003 12:00:00 AM"</f>
        <v>6/24/2003 12:00:00 AM</v>
      </c>
      <c r="O3741" t="s">
        <v>11478</v>
      </c>
      <c r="T3741" t="s">
        <v>11479</v>
      </c>
    </row>
    <row r="3742" spans="1:20" x14ac:dyDescent="0.25">
      <c r="A3742" t="str">
        <f>"3050053"</f>
        <v>3050053</v>
      </c>
      <c r="B3742" t="s">
        <v>11482</v>
      </c>
      <c r="C3742" t="str">
        <f>"14752000"</f>
        <v>14752000</v>
      </c>
      <c r="D3742" t="s">
        <v>11478</v>
      </c>
      <c r="E3742" t="s">
        <v>11479</v>
      </c>
      <c r="F3742" t="s">
        <v>11480</v>
      </c>
      <c r="I3742" t="s">
        <v>29</v>
      </c>
      <c r="J3742" t="s">
        <v>30</v>
      </c>
      <c r="K3742" t="s">
        <v>31</v>
      </c>
      <c r="M3742" t="s">
        <v>32</v>
      </c>
      <c r="N3742" t="str">
        <f>"6/24/2003 12:00:00 AM"</f>
        <v>6/24/2003 12:00:00 AM</v>
      </c>
      <c r="O3742" t="s">
        <v>11478</v>
      </c>
      <c r="T3742" t="s">
        <v>11479</v>
      </c>
    </row>
    <row r="3743" spans="1:20" x14ac:dyDescent="0.25">
      <c r="A3743" t="str">
        <f>"3057427"</f>
        <v>3057427</v>
      </c>
      <c r="B3743" t="s">
        <v>11483</v>
      </c>
      <c r="C3743" t="str">
        <f>"60902200"</f>
        <v>60902200</v>
      </c>
      <c r="D3743" t="s">
        <v>11484</v>
      </c>
      <c r="E3743" t="s">
        <v>11485</v>
      </c>
      <c r="F3743" t="s">
        <v>11486</v>
      </c>
      <c r="I3743" t="s">
        <v>29</v>
      </c>
      <c r="J3743" t="s">
        <v>30</v>
      </c>
      <c r="K3743" t="s">
        <v>31</v>
      </c>
      <c r="M3743" t="s">
        <v>32</v>
      </c>
      <c r="N3743" t="str">
        <f>"4/12/2004 12:00:00 AM"</f>
        <v>4/12/2004 12:00:00 AM</v>
      </c>
      <c r="O3743" t="s">
        <v>11484</v>
      </c>
      <c r="T3743" t="s">
        <v>11485</v>
      </c>
    </row>
    <row r="3744" spans="1:20" x14ac:dyDescent="0.25">
      <c r="A3744" t="str">
        <f>"3059375"</f>
        <v>3059375</v>
      </c>
      <c r="B3744" t="s">
        <v>11487</v>
      </c>
      <c r="C3744" t="str">
        <f>"82529603"</f>
        <v>82529603</v>
      </c>
      <c r="D3744" t="s">
        <v>11488</v>
      </c>
      <c r="E3744" t="s">
        <v>11489</v>
      </c>
      <c r="F3744" t="s">
        <v>11490</v>
      </c>
      <c r="I3744" t="s">
        <v>29</v>
      </c>
      <c r="J3744" t="s">
        <v>30</v>
      </c>
      <c r="K3744" t="s">
        <v>31</v>
      </c>
      <c r="M3744" t="s">
        <v>32</v>
      </c>
      <c r="N3744" t="str">
        <f>"1/12/2009 12:00:00 AM"</f>
        <v>1/12/2009 12:00:00 AM</v>
      </c>
      <c r="O3744" t="s">
        <v>11488</v>
      </c>
      <c r="T3744" t="s">
        <v>11489</v>
      </c>
    </row>
    <row r="3745" spans="1:20" x14ac:dyDescent="0.25">
      <c r="A3745" t="str">
        <f>"3062968"</f>
        <v>3062968</v>
      </c>
      <c r="B3745" t="s">
        <v>11491</v>
      </c>
      <c r="C3745" t="str">
        <f>"1024000"</f>
        <v>1024000</v>
      </c>
      <c r="D3745" t="s">
        <v>11492</v>
      </c>
      <c r="F3745" t="s">
        <v>11493</v>
      </c>
      <c r="I3745" t="s">
        <v>29</v>
      </c>
      <c r="J3745" t="s">
        <v>30</v>
      </c>
      <c r="K3745" t="s">
        <v>11494</v>
      </c>
      <c r="M3745" t="s">
        <v>32</v>
      </c>
      <c r="N3745" t="str">
        <f>"1/13/2006 12:00:00 AM"</f>
        <v>1/13/2006 12:00:00 AM</v>
      </c>
      <c r="O3745" t="s">
        <v>11492</v>
      </c>
      <c r="T3745" t="s">
        <v>11492</v>
      </c>
    </row>
    <row r="3746" spans="1:20" x14ac:dyDescent="0.25">
      <c r="A3746" t="str">
        <f>"3049133"</f>
        <v>3049133</v>
      </c>
      <c r="B3746" t="s">
        <v>11495</v>
      </c>
      <c r="C3746" t="str">
        <f>"42517750"</f>
        <v>42517750</v>
      </c>
      <c r="D3746" t="s">
        <v>11496</v>
      </c>
      <c r="F3746" t="s">
        <v>7795</v>
      </c>
      <c r="I3746" t="s">
        <v>29</v>
      </c>
      <c r="J3746" t="s">
        <v>30</v>
      </c>
      <c r="K3746" t="s">
        <v>31</v>
      </c>
      <c r="M3746" t="s">
        <v>32</v>
      </c>
      <c r="N3746" t="str">
        <f>"11/20/2003 12:00:00 AM"</f>
        <v>11/20/2003 12:00:00 AM</v>
      </c>
      <c r="O3746" t="s">
        <v>11496</v>
      </c>
    </row>
    <row r="3747" spans="1:20" x14ac:dyDescent="0.25">
      <c r="A3747" t="str">
        <f>"3049134"</f>
        <v>3049134</v>
      </c>
      <c r="B3747" t="s">
        <v>11497</v>
      </c>
      <c r="C3747" t="str">
        <f>"25477250"</f>
        <v>25477250</v>
      </c>
      <c r="D3747" t="s">
        <v>11498</v>
      </c>
      <c r="F3747" t="s">
        <v>11499</v>
      </c>
      <c r="I3747" t="s">
        <v>29</v>
      </c>
      <c r="J3747" t="s">
        <v>30</v>
      </c>
      <c r="K3747" t="s">
        <v>11257</v>
      </c>
      <c r="M3747" t="s">
        <v>32</v>
      </c>
      <c r="N3747" t="str">
        <f>"2/20/2004 12:00:00 AM"</f>
        <v>2/20/2004 12:00:00 AM</v>
      </c>
      <c r="O3747" t="s">
        <v>11498</v>
      </c>
    </row>
    <row r="3748" spans="1:20" x14ac:dyDescent="0.25">
      <c r="A3748" t="str">
        <f>"3049135"</f>
        <v>3049135</v>
      </c>
      <c r="B3748" t="s">
        <v>11500</v>
      </c>
      <c r="C3748" t="str">
        <f>"25477250"</f>
        <v>25477250</v>
      </c>
      <c r="D3748" t="s">
        <v>11498</v>
      </c>
      <c r="F3748" t="s">
        <v>11499</v>
      </c>
      <c r="I3748" t="s">
        <v>29</v>
      </c>
      <c r="J3748" t="s">
        <v>30</v>
      </c>
      <c r="K3748" t="s">
        <v>11257</v>
      </c>
      <c r="M3748" t="s">
        <v>32</v>
      </c>
      <c r="N3748" t="str">
        <f>"2/20/2004 12:00:00 AM"</f>
        <v>2/20/2004 12:00:00 AM</v>
      </c>
      <c r="O3748" t="s">
        <v>11498</v>
      </c>
    </row>
    <row r="3749" spans="1:20" x14ac:dyDescent="0.25">
      <c r="A3749" t="str">
        <f>"3049107"</f>
        <v>3049107</v>
      </c>
      <c r="B3749" t="s">
        <v>11501</v>
      </c>
      <c r="C3749" t="str">
        <f>"25477250"</f>
        <v>25477250</v>
      </c>
      <c r="D3749" t="s">
        <v>11498</v>
      </c>
      <c r="F3749" t="s">
        <v>11499</v>
      </c>
      <c r="I3749" t="s">
        <v>29</v>
      </c>
      <c r="J3749" t="s">
        <v>30</v>
      </c>
      <c r="K3749" t="s">
        <v>11257</v>
      </c>
      <c r="M3749" t="s">
        <v>32</v>
      </c>
      <c r="N3749" t="str">
        <f>"2/20/2004 12:00:00 AM"</f>
        <v>2/20/2004 12:00:00 AM</v>
      </c>
      <c r="O3749" t="s">
        <v>11498</v>
      </c>
    </row>
    <row r="3750" spans="1:20" x14ac:dyDescent="0.25">
      <c r="A3750" t="str">
        <f>"3059582"</f>
        <v>3059582</v>
      </c>
      <c r="B3750" t="s">
        <v>11502</v>
      </c>
      <c r="C3750" t="str">
        <f>"25477250"</f>
        <v>25477250</v>
      </c>
      <c r="D3750" t="s">
        <v>11498</v>
      </c>
      <c r="F3750" t="s">
        <v>11499</v>
      </c>
      <c r="I3750" t="s">
        <v>29</v>
      </c>
      <c r="J3750" t="s">
        <v>30</v>
      </c>
      <c r="K3750" t="s">
        <v>11257</v>
      </c>
      <c r="M3750" t="s">
        <v>32</v>
      </c>
      <c r="N3750" t="str">
        <f>"2/20/2004 12:00:00 AM"</f>
        <v>2/20/2004 12:00:00 AM</v>
      </c>
      <c r="O3750" t="s">
        <v>11498</v>
      </c>
    </row>
    <row r="3751" spans="1:20" x14ac:dyDescent="0.25">
      <c r="A3751" t="str">
        <f>"3059201"</f>
        <v>3059201</v>
      </c>
      <c r="B3751" t="s">
        <v>11503</v>
      </c>
      <c r="C3751" t="str">
        <f>"19001000"</f>
        <v>19001000</v>
      </c>
      <c r="D3751" t="s">
        <v>11504</v>
      </c>
      <c r="E3751" t="s">
        <v>11505</v>
      </c>
      <c r="F3751" t="s">
        <v>11506</v>
      </c>
      <c r="I3751" t="s">
        <v>29</v>
      </c>
      <c r="J3751" t="s">
        <v>30</v>
      </c>
      <c r="K3751" t="s">
        <v>31</v>
      </c>
      <c r="M3751" t="s">
        <v>32</v>
      </c>
      <c r="N3751" t="str">
        <f>"9/6/2002 12:00:00 AM"</f>
        <v>9/6/2002 12:00:00 AM</v>
      </c>
      <c r="O3751" t="s">
        <v>11504</v>
      </c>
      <c r="T3751" t="s">
        <v>11505</v>
      </c>
    </row>
    <row r="3752" spans="1:20" x14ac:dyDescent="0.25">
      <c r="A3752" t="str">
        <f>"3052014"</f>
        <v>3052014</v>
      </c>
      <c r="B3752" t="s">
        <v>11507</v>
      </c>
      <c r="C3752" t="str">
        <f>"38399500"</f>
        <v>38399500</v>
      </c>
      <c r="D3752" t="s">
        <v>11508</v>
      </c>
      <c r="E3752" t="s">
        <v>11509</v>
      </c>
      <c r="F3752" t="s">
        <v>11510</v>
      </c>
      <c r="I3752" t="s">
        <v>29</v>
      </c>
      <c r="J3752" t="s">
        <v>30</v>
      </c>
      <c r="K3752" t="s">
        <v>31</v>
      </c>
      <c r="M3752" t="s">
        <v>32</v>
      </c>
      <c r="N3752" t="str">
        <f>"9/4/2002 12:00:00 AM"</f>
        <v>9/4/2002 12:00:00 AM</v>
      </c>
      <c r="O3752" t="s">
        <v>11508</v>
      </c>
      <c r="T3752" t="s">
        <v>11509</v>
      </c>
    </row>
    <row r="3753" spans="1:20" x14ac:dyDescent="0.25">
      <c r="A3753" t="str">
        <f>"3045506"</f>
        <v>3045506</v>
      </c>
      <c r="B3753" t="s">
        <v>11511</v>
      </c>
      <c r="C3753" t="str">
        <f>"82528358"</f>
        <v>82528358</v>
      </c>
      <c r="D3753" t="s">
        <v>11512</v>
      </c>
      <c r="E3753" t="s">
        <v>11513</v>
      </c>
      <c r="F3753" t="s">
        <v>11514</v>
      </c>
      <c r="I3753" t="s">
        <v>29</v>
      </c>
      <c r="J3753" t="s">
        <v>30</v>
      </c>
      <c r="K3753" t="s">
        <v>31</v>
      </c>
      <c r="M3753" t="s">
        <v>32</v>
      </c>
      <c r="N3753" t="str">
        <f>"3/6/2009 12:00:00 AM"</f>
        <v>3/6/2009 12:00:00 AM</v>
      </c>
      <c r="O3753" t="s">
        <v>11512</v>
      </c>
      <c r="T3753" t="s">
        <v>11513</v>
      </c>
    </row>
    <row r="3754" spans="1:20" x14ac:dyDescent="0.25">
      <c r="A3754" t="str">
        <f>"3051798"</f>
        <v>3051798</v>
      </c>
      <c r="B3754" t="s">
        <v>11515</v>
      </c>
      <c r="C3754" t="str">
        <f>"82518618"</f>
        <v>82518618</v>
      </c>
      <c r="D3754" t="s">
        <v>11516</v>
      </c>
      <c r="F3754" t="s">
        <v>11517</v>
      </c>
      <c r="I3754" t="s">
        <v>29</v>
      </c>
      <c r="J3754" t="s">
        <v>30</v>
      </c>
      <c r="K3754" t="s">
        <v>31</v>
      </c>
      <c r="M3754" t="s">
        <v>32</v>
      </c>
      <c r="N3754" t="str">
        <f>"6/4/2002 12:00:00 AM"</f>
        <v>6/4/2002 12:00:00 AM</v>
      </c>
      <c r="O3754" t="s">
        <v>11516</v>
      </c>
    </row>
    <row r="3755" spans="1:20" x14ac:dyDescent="0.25">
      <c r="A3755" t="str">
        <f>"3052074"</f>
        <v>3052074</v>
      </c>
      <c r="B3755" t="s">
        <v>11518</v>
      </c>
      <c r="C3755" t="str">
        <f>"45702000"</f>
        <v>45702000</v>
      </c>
      <c r="D3755" t="s">
        <v>11519</v>
      </c>
      <c r="F3755" t="s">
        <v>11520</v>
      </c>
      <c r="I3755" t="s">
        <v>964</v>
      </c>
      <c r="J3755" t="s">
        <v>30</v>
      </c>
      <c r="K3755" t="s">
        <v>11521</v>
      </c>
      <c r="M3755" t="s">
        <v>32</v>
      </c>
      <c r="N3755" t="str">
        <f>"12/16/2003 12:00:00 AM"</f>
        <v>12/16/2003 12:00:00 AM</v>
      </c>
      <c r="O3755" t="s">
        <v>11519</v>
      </c>
    </row>
    <row r="3756" spans="1:20" x14ac:dyDescent="0.25">
      <c r="A3756" t="str">
        <f>"3051785"</f>
        <v>3051785</v>
      </c>
      <c r="B3756" t="s">
        <v>11522</v>
      </c>
      <c r="C3756" t="str">
        <f>"82522629"</f>
        <v>82522629</v>
      </c>
      <c r="D3756" t="s">
        <v>11523</v>
      </c>
      <c r="F3756" t="s">
        <v>11524</v>
      </c>
      <c r="I3756" t="s">
        <v>29</v>
      </c>
      <c r="J3756" t="s">
        <v>30</v>
      </c>
      <c r="K3756" t="s">
        <v>31</v>
      </c>
      <c r="M3756" t="s">
        <v>32</v>
      </c>
      <c r="N3756" t="str">
        <f>"4/29/2004 12:00:00 AM"</f>
        <v>4/29/2004 12:00:00 AM</v>
      </c>
      <c r="O3756" t="s">
        <v>11523</v>
      </c>
    </row>
    <row r="3757" spans="1:20" x14ac:dyDescent="0.25">
      <c r="A3757" t="str">
        <f>"3049139"</f>
        <v>3049139</v>
      </c>
      <c r="B3757" t="s">
        <v>11525</v>
      </c>
      <c r="C3757" t="str">
        <f>"25477500"</f>
        <v>25477500</v>
      </c>
      <c r="D3757" t="s">
        <v>11526</v>
      </c>
      <c r="F3757" t="s">
        <v>11527</v>
      </c>
      <c r="I3757" t="s">
        <v>29</v>
      </c>
      <c r="J3757" t="s">
        <v>30</v>
      </c>
      <c r="K3757" t="s">
        <v>31</v>
      </c>
      <c r="M3757" t="s">
        <v>32</v>
      </c>
      <c r="N3757" t="str">
        <f>"8/15/2003 12:00:00 AM"</f>
        <v>8/15/2003 12:00:00 AM</v>
      </c>
      <c r="O3757" t="s">
        <v>11526</v>
      </c>
    </row>
    <row r="3758" spans="1:20" x14ac:dyDescent="0.25">
      <c r="A3758" t="str">
        <f>"3049204"</f>
        <v>3049204</v>
      </c>
      <c r="B3758" t="s">
        <v>11528</v>
      </c>
      <c r="C3758" t="str">
        <f>"25477500"</f>
        <v>25477500</v>
      </c>
      <c r="D3758" t="s">
        <v>11526</v>
      </c>
      <c r="F3758" t="s">
        <v>11527</v>
      </c>
      <c r="I3758" t="s">
        <v>29</v>
      </c>
      <c r="J3758" t="s">
        <v>30</v>
      </c>
      <c r="K3758" t="s">
        <v>31</v>
      </c>
      <c r="M3758" t="s">
        <v>32</v>
      </c>
      <c r="N3758" t="str">
        <f>"8/15/2003 12:00:00 AM"</f>
        <v>8/15/2003 12:00:00 AM</v>
      </c>
      <c r="O3758" t="s">
        <v>11526</v>
      </c>
    </row>
    <row r="3759" spans="1:20" x14ac:dyDescent="0.25">
      <c r="A3759" t="str">
        <f>"3049205"</f>
        <v>3049205</v>
      </c>
      <c r="B3759" t="s">
        <v>11529</v>
      </c>
      <c r="C3759" t="str">
        <f>"25477500"</f>
        <v>25477500</v>
      </c>
      <c r="D3759" t="s">
        <v>11526</v>
      </c>
      <c r="F3759" t="s">
        <v>11527</v>
      </c>
      <c r="I3759" t="s">
        <v>29</v>
      </c>
      <c r="J3759" t="s">
        <v>30</v>
      </c>
      <c r="K3759" t="s">
        <v>31</v>
      </c>
      <c r="M3759" t="s">
        <v>32</v>
      </c>
      <c r="N3759" t="str">
        <f>"8/15/2003 12:00:00 AM"</f>
        <v>8/15/2003 12:00:00 AM</v>
      </c>
      <c r="O3759" t="s">
        <v>11526</v>
      </c>
    </row>
    <row r="3760" spans="1:20" x14ac:dyDescent="0.25">
      <c r="A3760" t="str">
        <f>"3066565"</f>
        <v>3066565</v>
      </c>
      <c r="B3760" t="s">
        <v>11530</v>
      </c>
      <c r="C3760" t="str">
        <f>"25477500"</f>
        <v>25477500</v>
      </c>
      <c r="D3760" t="s">
        <v>11526</v>
      </c>
      <c r="F3760" t="s">
        <v>11527</v>
      </c>
      <c r="I3760" t="s">
        <v>29</v>
      </c>
      <c r="J3760" t="s">
        <v>30</v>
      </c>
      <c r="K3760" t="s">
        <v>31</v>
      </c>
      <c r="M3760" t="s">
        <v>32</v>
      </c>
      <c r="N3760" t="str">
        <f>"8/15/2003 12:00:00 AM"</f>
        <v>8/15/2003 12:00:00 AM</v>
      </c>
      <c r="O3760" t="s">
        <v>11526</v>
      </c>
    </row>
    <row r="3761" spans="1:15" x14ac:dyDescent="0.25">
      <c r="A3761" t="str">
        <f>"3056583"</f>
        <v>3056583</v>
      </c>
      <c r="B3761" t="s">
        <v>11531</v>
      </c>
      <c r="C3761" t="str">
        <f>"82523696"</f>
        <v>82523696</v>
      </c>
      <c r="D3761" t="s">
        <v>11532</v>
      </c>
      <c r="F3761" t="s">
        <v>11533</v>
      </c>
      <c r="I3761" t="s">
        <v>29</v>
      </c>
      <c r="J3761" t="s">
        <v>30</v>
      </c>
      <c r="K3761" t="s">
        <v>31</v>
      </c>
      <c r="M3761" t="s">
        <v>32</v>
      </c>
      <c r="N3761" t="str">
        <f>"3/26/2007 12:00:00 AM"</f>
        <v>3/26/2007 12:00:00 AM</v>
      </c>
      <c r="O3761" t="s">
        <v>11532</v>
      </c>
    </row>
    <row r="3762" spans="1:15" x14ac:dyDescent="0.25">
      <c r="A3762" t="str">
        <f>"3049148"</f>
        <v>3049148</v>
      </c>
      <c r="B3762" t="s">
        <v>11534</v>
      </c>
      <c r="C3762" t="str">
        <f>"26520000"</f>
        <v>26520000</v>
      </c>
      <c r="D3762" t="s">
        <v>11535</v>
      </c>
      <c r="F3762" t="s">
        <v>11536</v>
      </c>
      <c r="I3762" t="s">
        <v>29</v>
      </c>
      <c r="J3762" t="s">
        <v>30</v>
      </c>
      <c r="K3762" t="s">
        <v>31</v>
      </c>
      <c r="M3762" t="s">
        <v>32</v>
      </c>
      <c r="N3762" t="str">
        <f>"1/30/2006 12:00:00 AM"</f>
        <v>1/30/2006 12:00:00 AM</v>
      </c>
      <c r="O3762" t="s">
        <v>11535</v>
      </c>
    </row>
    <row r="3763" spans="1:15" x14ac:dyDescent="0.25">
      <c r="A3763" t="str">
        <f>"3059214"</f>
        <v>3059214</v>
      </c>
      <c r="B3763" t="s">
        <v>11537</v>
      </c>
      <c r="C3763" t="str">
        <f>"20728700"</f>
        <v>20728700</v>
      </c>
      <c r="D3763" t="s">
        <v>11538</v>
      </c>
      <c r="F3763" t="s">
        <v>11539</v>
      </c>
      <c r="I3763" t="s">
        <v>29</v>
      </c>
      <c r="J3763" t="s">
        <v>30</v>
      </c>
      <c r="K3763" t="s">
        <v>31</v>
      </c>
      <c r="M3763" t="s">
        <v>32</v>
      </c>
      <c r="N3763" t="str">
        <f>"9/14/2011 12:00:00 AM"</f>
        <v>9/14/2011 12:00:00 AM</v>
      </c>
      <c r="O3763" t="s">
        <v>11538</v>
      </c>
    </row>
    <row r="3764" spans="1:15" x14ac:dyDescent="0.25">
      <c r="A3764" t="str">
        <f>"3049155"</f>
        <v>3049155</v>
      </c>
      <c r="B3764" t="s">
        <v>11540</v>
      </c>
      <c r="C3764" t="str">
        <f>"78196870"</f>
        <v>78196870</v>
      </c>
      <c r="D3764" t="s">
        <v>11541</v>
      </c>
      <c r="F3764" t="s">
        <v>11542</v>
      </c>
      <c r="I3764" t="s">
        <v>29</v>
      </c>
      <c r="J3764" t="s">
        <v>30</v>
      </c>
      <c r="K3764" t="s">
        <v>31</v>
      </c>
      <c r="M3764" t="s">
        <v>32</v>
      </c>
      <c r="N3764" t="str">
        <f>"6/28/2004 12:00:00 AM"</f>
        <v>6/28/2004 12:00:00 AM</v>
      </c>
      <c r="O3764" t="s">
        <v>11541</v>
      </c>
    </row>
    <row r="3765" spans="1:15" x14ac:dyDescent="0.25">
      <c r="A3765" t="str">
        <f>"3049156"</f>
        <v>3049156</v>
      </c>
      <c r="B3765" t="s">
        <v>11543</v>
      </c>
      <c r="C3765" t="str">
        <f>"78196870"</f>
        <v>78196870</v>
      </c>
      <c r="D3765" t="s">
        <v>11541</v>
      </c>
      <c r="F3765" t="s">
        <v>11542</v>
      </c>
      <c r="I3765" t="s">
        <v>29</v>
      </c>
      <c r="J3765" t="s">
        <v>30</v>
      </c>
      <c r="K3765" t="s">
        <v>31</v>
      </c>
      <c r="M3765" t="s">
        <v>32</v>
      </c>
      <c r="N3765" t="str">
        <f>"6/28/2004 12:00:00 AM"</f>
        <v>6/28/2004 12:00:00 AM</v>
      </c>
      <c r="O3765" t="s">
        <v>11541</v>
      </c>
    </row>
    <row r="3766" spans="1:15" x14ac:dyDescent="0.25">
      <c r="A3766" t="str">
        <f>"3049158"</f>
        <v>3049158</v>
      </c>
      <c r="B3766" t="s">
        <v>11544</v>
      </c>
      <c r="C3766" t="str">
        <f>"60120000"</f>
        <v>60120000</v>
      </c>
      <c r="D3766" t="s">
        <v>11545</v>
      </c>
      <c r="F3766" t="s">
        <v>11546</v>
      </c>
      <c r="I3766" t="s">
        <v>29</v>
      </c>
      <c r="J3766" t="s">
        <v>30</v>
      </c>
      <c r="K3766" t="s">
        <v>31</v>
      </c>
      <c r="M3766" t="s">
        <v>32</v>
      </c>
      <c r="N3766" t="str">
        <f>"9/6/2002 12:00:00 AM"</f>
        <v>9/6/2002 12:00:00 AM</v>
      </c>
      <c r="O3766" t="s">
        <v>11545</v>
      </c>
    </row>
    <row r="3767" spans="1:15" x14ac:dyDescent="0.25">
      <c r="A3767" t="str">
        <f>"3049172"</f>
        <v>3049172</v>
      </c>
      <c r="B3767" t="s">
        <v>11547</v>
      </c>
      <c r="C3767" t="str">
        <f>"60120000"</f>
        <v>60120000</v>
      </c>
      <c r="D3767" t="s">
        <v>11545</v>
      </c>
      <c r="F3767" t="s">
        <v>11546</v>
      </c>
      <c r="I3767" t="s">
        <v>29</v>
      </c>
      <c r="J3767" t="s">
        <v>30</v>
      </c>
      <c r="K3767" t="s">
        <v>31</v>
      </c>
      <c r="M3767" t="s">
        <v>32</v>
      </c>
      <c r="N3767" t="str">
        <f>"9/6/2002 12:00:00 AM"</f>
        <v>9/6/2002 12:00:00 AM</v>
      </c>
      <c r="O3767" t="s">
        <v>11545</v>
      </c>
    </row>
    <row r="3768" spans="1:15" x14ac:dyDescent="0.25">
      <c r="A3768" t="str">
        <f>"3049173"</f>
        <v>3049173</v>
      </c>
      <c r="B3768" t="s">
        <v>11548</v>
      </c>
      <c r="C3768" t="str">
        <f>"60120000"</f>
        <v>60120000</v>
      </c>
      <c r="D3768" t="s">
        <v>11545</v>
      </c>
      <c r="F3768" t="s">
        <v>11546</v>
      </c>
      <c r="I3768" t="s">
        <v>29</v>
      </c>
      <c r="J3768" t="s">
        <v>30</v>
      </c>
      <c r="K3768" t="s">
        <v>31</v>
      </c>
      <c r="M3768" t="s">
        <v>32</v>
      </c>
      <c r="N3768" t="str">
        <f>"9/6/2002 12:00:00 AM"</f>
        <v>9/6/2002 12:00:00 AM</v>
      </c>
      <c r="O3768" t="s">
        <v>11545</v>
      </c>
    </row>
    <row r="3769" spans="1:15" x14ac:dyDescent="0.25">
      <c r="A3769" t="str">
        <f>"3049168"</f>
        <v>3049168</v>
      </c>
      <c r="B3769" t="s">
        <v>11549</v>
      </c>
      <c r="C3769" t="str">
        <f>"82517525"</f>
        <v>82517525</v>
      </c>
      <c r="D3769" t="s">
        <v>11550</v>
      </c>
      <c r="F3769" t="s">
        <v>11551</v>
      </c>
      <c r="I3769" t="s">
        <v>29</v>
      </c>
      <c r="J3769" t="s">
        <v>30</v>
      </c>
      <c r="K3769" t="s">
        <v>31</v>
      </c>
      <c r="M3769" t="s">
        <v>32</v>
      </c>
      <c r="N3769" t="str">
        <f>"5/28/2004 12:00:00 AM"</f>
        <v>5/28/2004 12:00:00 AM</v>
      </c>
      <c r="O3769" t="s">
        <v>11550</v>
      </c>
    </row>
    <row r="3770" spans="1:15" x14ac:dyDescent="0.25">
      <c r="A3770" t="str">
        <f>"3048712"</f>
        <v>3048712</v>
      </c>
      <c r="B3770" t="s">
        <v>11552</v>
      </c>
      <c r="C3770" t="str">
        <f>"18251880"</f>
        <v>18251880</v>
      </c>
      <c r="D3770" t="s">
        <v>11553</v>
      </c>
      <c r="F3770" t="s">
        <v>11554</v>
      </c>
      <c r="I3770" t="s">
        <v>29</v>
      </c>
      <c r="J3770" t="s">
        <v>30</v>
      </c>
      <c r="K3770" t="s">
        <v>31</v>
      </c>
      <c r="M3770" t="s">
        <v>32</v>
      </c>
      <c r="N3770" t="str">
        <f t="shared" ref="N3770:N3775" si="61">"9/6/2002 12:00:00 AM"</f>
        <v>9/6/2002 12:00:00 AM</v>
      </c>
      <c r="O3770" t="s">
        <v>11553</v>
      </c>
    </row>
    <row r="3771" spans="1:15" x14ac:dyDescent="0.25">
      <c r="A3771" t="str">
        <f>"3048503"</f>
        <v>3048503</v>
      </c>
      <c r="B3771" t="s">
        <v>11555</v>
      </c>
      <c r="C3771" t="str">
        <f>"37546250"</f>
        <v>37546250</v>
      </c>
      <c r="D3771" t="s">
        <v>11556</v>
      </c>
      <c r="F3771" t="s">
        <v>11557</v>
      </c>
      <c r="I3771" t="s">
        <v>29</v>
      </c>
      <c r="J3771" t="s">
        <v>30</v>
      </c>
      <c r="K3771" t="s">
        <v>31</v>
      </c>
      <c r="M3771" t="s">
        <v>32</v>
      </c>
      <c r="N3771" t="str">
        <f t="shared" si="61"/>
        <v>9/6/2002 12:00:00 AM</v>
      </c>
      <c r="O3771" t="s">
        <v>11556</v>
      </c>
    </row>
    <row r="3772" spans="1:15" x14ac:dyDescent="0.25">
      <c r="A3772" t="str">
        <f>"3049211"</f>
        <v>3049211</v>
      </c>
      <c r="B3772" t="s">
        <v>11558</v>
      </c>
      <c r="C3772" t="str">
        <f>"37546250"</f>
        <v>37546250</v>
      </c>
      <c r="D3772" t="s">
        <v>11556</v>
      </c>
      <c r="F3772" t="s">
        <v>11557</v>
      </c>
      <c r="I3772" t="s">
        <v>29</v>
      </c>
      <c r="J3772" t="s">
        <v>30</v>
      </c>
      <c r="K3772" t="s">
        <v>31</v>
      </c>
      <c r="M3772" t="s">
        <v>32</v>
      </c>
      <c r="N3772" t="str">
        <f t="shared" si="61"/>
        <v>9/6/2002 12:00:00 AM</v>
      </c>
      <c r="O3772" t="s">
        <v>11556</v>
      </c>
    </row>
    <row r="3773" spans="1:15" x14ac:dyDescent="0.25">
      <c r="A3773" t="str">
        <f>"3052041"</f>
        <v>3052041</v>
      </c>
      <c r="B3773" t="s">
        <v>11559</v>
      </c>
      <c r="C3773" t="str">
        <f>"37546250"</f>
        <v>37546250</v>
      </c>
      <c r="D3773" t="s">
        <v>11556</v>
      </c>
      <c r="F3773" t="s">
        <v>11557</v>
      </c>
      <c r="I3773" t="s">
        <v>29</v>
      </c>
      <c r="J3773" t="s">
        <v>30</v>
      </c>
      <c r="K3773" t="s">
        <v>31</v>
      </c>
      <c r="M3773" t="s">
        <v>32</v>
      </c>
      <c r="N3773" t="str">
        <f t="shared" si="61"/>
        <v>9/6/2002 12:00:00 AM</v>
      </c>
      <c r="O3773" t="s">
        <v>11556</v>
      </c>
    </row>
    <row r="3774" spans="1:15" x14ac:dyDescent="0.25">
      <c r="A3774" t="str">
        <f>"3053873"</f>
        <v>3053873</v>
      </c>
      <c r="B3774" t="s">
        <v>11560</v>
      </c>
      <c r="C3774" t="str">
        <f>"37546250"</f>
        <v>37546250</v>
      </c>
      <c r="D3774" t="s">
        <v>11556</v>
      </c>
      <c r="F3774" t="s">
        <v>11557</v>
      </c>
      <c r="I3774" t="s">
        <v>29</v>
      </c>
      <c r="J3774" t="s">
        <v>30</v>
      </c>
      <c r="K3774" t="s">
        <v>31</v>
      </c>
      <c r="M3774" t="s">
        <v>32</v>
      </c>
      <c r="N3774" t="str">
        <f t="shared" si="61"/>
        <v>9/6/2002 12:00:00 AM</v>
      </c>
      <c r="O3774" t="s">
        <v>11556</v>
      </c>
    </row>
    <row r="3775" spans="1:15" x14ac:dyDescent="0.25">
      <c r="A3775" t="str">
        <f>"3059396"</f>
        <v>3059396</v>
      </c>
      <c r="B3775" t="s">
        <v>11561</v>
      </c>
      <c r="C3775" t="str">
        <f>"37546250"</f>
        <v>37546250</v>
      </c>
      <c r="D3775" t="s">
        <v>11556</v>
      </c>
      <c r="F3775" t="s">
        <v>11557</v>
      </c>
      <c r="I3775" t="s">
        <v>29</v>
      </c>
      <c r="J3775" t="s">
        <v>30</v>
      </c>
      <c r="K3775" t="s">
        <v>31</v>
      </c>
      <c r="M3775" t="s">
        <v>32</v>
      </c>
      <c r="N3775" t="str">
        <f t="shared" si="61"/>
        <v>9/6/2002 12:00:00 AM</v>
      </c>
      <c r="O3775" t="s">
        <v>11556</v>
      </c>
    </row>
    <row r="3776" spans="1:15" x14ac:dyDescent="0.25">
      <c r="A3776" t="str">
        <f>"3048833"</f>
        <v>3048833</v>
      </c>
      <c r="B3776" t="s">
        <v>11562</v>
      </c>
      <c r="C3776" t="str">
        <f>"20728700"</f>
        <v>20728700</v>
      </c>
      <c r="D3776" t="s">
        <v>11538</v>
      </c>
      <c r="F3776" t="s">
        <v>11539</v>
      </c>
      <c r="I3776" t="s">
        <v>29</v>
      </c>
      <c r="J3776" t="s">
        <v>30</v>
      </c>
      <c r="K3776" t="s">
        <v>31</v>
      </c>
      <c r="M3776" t="s">
        <v>32</v>
      </c>
      <c r="N3776" t="str">
        <f>"9/14/2011 12:00:00 AM"</f>
        <v>9/14/2011 12:00:00 AM</v>
      </c>
      <c r="O3776" t="s">
        <v>11538</v>
      </c>
    </row>
    <row r="3777" spans="1:20" x14ac:dyDescent="0.25">
      <c r="A3777" t="str">
        <f>"3059113"</f>
        <v>3059113</v>
      </c>
      <c r="B3777" t="s">
        <v>11563</v>
      </c>
      <c r="C3777" t="str">
        <f>"66200500"</f>
        <v>66200500</v>
      </c>
      <c r="D3777" t="s">
        <v>11564</v>
      </c>
      <c r="F3777" t="s">
        <v>11565</v>
      </c>
      <c r="I3777" t="s">
        <v>2280</v>
      </c>
      <c r="J3777" t="s">
        <v>30</v>
      </c>
      <c r="K3777" t="s">
        <v>9127</v>
      </c>
      <c r="M3777" t="s">
        <v>32</v>
      </c>
      <c r="N3777" t="str">
        <f>"5/12/2004 12:00:00 AM"</f>
        <v>5/12/2004 12:00:00 AM</v>
      </c>
      <c r="O3777" t="s">
        <v>11564</v>
      </c>
    </row>
    <row r="3778" spans="1:20" x14ac:dyDescent="0.25">
      <c r="A3778" t="str">
        <f>"3059334"</f>
        <v>3059334</v>
      </c>
      <c r="B3778" t="s">
        <v>11566</v>
      </c>
      <c r="C3778" t="str">
        <f>"82529200"</f>
        <v>82529200</v>
      </c>
      <c r="D3778" t="s">
        <v>11567</v>
      </c>
      <c r="E3778" t="s">
        <v>11568</v>
      </c>
      <c r="F3778" t="s">
        <v>11569</v>
      </c>
      <c r="I3778" t="s">
        <v>29</v>
      </c>
      <c r="J3778" t="s">
        <v>30</v>
      </c>
      <c r="K3778" t="s">
        <v>31</v>
      </c>
      <c r="N3778" t="str">
        <f>"2/19/2008 12:00:00 AM"</f>
        <v>2/19/2008 12:00:00 AM</v>
      </c>
      <c r="O3778" t="s">
        <v>11567</v>
      </c>
      <c r="T3778" t="s">
        <v>11568</v>
      </c>
    </row>
    <row r="3779" spans="1:20" x14ac:dyDescent="0.25">
      <c r="A3779" t="str">
        <f>"3059336"</f>
        <v>3059336</v>
      </c>
      <c r="B3779" t="s">
        <v>11570</v>
      </c>
      <c r="C3779" t="str">
        <f>"82527014"</f>
        <v>82527014</v>
      </c>
      <c r="D3779" t="s">
        <v>11571</v>
      </c>
      <c r="F3779" t="s">
        <v>11572</v>
      </c>
      <c r="I3779" t="s">
        <v>29</v>
      </c>
      <c r="J3779" t="s">
        <v>30</v>
      </c>
      <c r="K3779" t="s">
        <v>31</v>
      </c>
      <c r="M3779" t="s">
        <v>32</v>
      </c>
      <c r="N3779" t="str">
        <f>"10/25/2006 12:00:00 AM"</f>
        <v>10/25/2006 12:00:00 AM</v>
      </c>
      <c r="O3779" t="s">
        <v>11571</v>
      </c>
    </row>
    <row r="3780" spans="1:20" x14ac:dyDescent="0.25">
      <c r="A3780" t="str">
        <f>"3059329"</f>
        <v>3059329</v>
      </c>
      <c r="B3780" t="s">
        <v>11573</v>
      </c>
      <c r="C3780" t="str">
        <f>"60341000"</f>
        <v>60341000</v>
      </c>
      <c r="D3780" t="s">
        <v>11574</v>
      </c>
      <c r="F3780" t="s">
        <v>11575</v>
      </c>
      <c r="I3780" t="s">
        <v>29</v>
      </c>
      <c r="J3780" t="s">
        <v>30</v>
      </c>
      <c r="K3780" t="s">
        <v>11576</v>
      </c>
      <c r="M3780" t="s">
        <v>32</v>
      </c>
      <c r="N3780" t="str">
        <f>"1/11/2006 12:00:00 AM"</f>
        <v>1/11/2006 12:00:00 AM</v>
      </c>
      <c r="O3780" t="s">
        <v>11574</v>
      </c>
    </row>
    <row r="3781" spans="1:20" x14ac:dyDescent="0.25">
      <c r="A3781" t="str">
        <f>"3059321"</f>
        <v>3059321</v>
      </c>
      <c r="B3781" t="s">
        <v>11577</v>
      </c>
      <c r="C3781" t="str">
        <f>"82527307"</f>
        <v>82527307</v>
      </c>
      <c r="D3781" t="s">
        <v>11578</v>
      </c>
      <c r="F3781" t="s">
        <v>11579</v>
      </c>
      <c r="I3781" t="s">
        <v>29</v>
      </c>
      <c r="J3781" t="s">
        <v>30</v>
      </c>
      <c r="K3781" t="s">
        <v>31</v>
      </c>
      <c r="M3781" t="s">
        <v>32</v>
      </c>
      <c r="N3781" t="str">
        <f>"12/20/2006 12:00:00 AM"</f>
        <v>12/20/2006 12:00:00 AM</v>
      </c>
      <c r="O3781" t="s">
        <v>11578</v>
      </c>
    </row>
    <row r="3782" spans="1:20" x14ac:dyDescent="0.25">
      <c r="A3782" t="str">
        <f>"3059386"</f>
        <v>3059386</v>
      </c>
      <c r="B3782" t="s">
        <v>11580</v>
      </c>
      <c r="C3782" t="str">
        <f>"82521011"</f>
        <v>82521011</v>
      </c>
      <c r="D3782" t="s">
        <v>11581</v>
      </c>
      <c r="E3782" t="s">
        <v>11582</v>
      </c>
      <c r="F3782" t="s">
        <v>11583</v>
      </c>
      <c r="I3782" t="s">
        <v>29</v>
      </c>
      <c r="J3782" t="s">
        <v>30</v>
      </c>
      <c r="K3782" t="s">
        <v>11584</v>
      </c>
      <c r="M3782" t="s">
        <v>32</v>
      </c>
      <c r="N3782" t="str">
        <f>"1/18/2005 12:00:00 AM"</f>
        <v>1/18/2005 12:00:00 AM</v>
      </c>
      <c r="O3782" t="s">
        <v>11581</v>
      </c>
      <c r="T3782" t="s">
        <v>11582</v>
      </c>
    </row>
    <row r="3783" spans="1:20" x14ac:dyDescent="0.25">
      <c r="A3783" t="str">
        <f>"3076000"</f>
        <v>3076000</v>
      </c>
      <c r="B3783" t="s">
        <v>11585</v>
      </c>
      <c r="C3783" t="str">
        <f>"25031400"</f>
        <v>25031400</v>
      </c>
      <c r="D3783" t="s">
        <v>11586</v>
      </c>
      <c r="F3783" t="s">
        <v>11587</v>
      </c>
      <c r="I3783" t="s">
        <v>29</v>
      </c>
      <c r="J3783" t="s">
        <v>30</v>
      </c>
      <c r="K3783" t="s">
        <v>31</v>
      </c>
      <c r="M3783" t="s">
        <v>32</v>
      </c>
      <c r="N3783" t="str">
        <f>"8/15/2003 12:00:00 AM"</f>
        <v>8/15/2003 12:00:00 AM</v>
      </c>
      <c r="O3783" t="s">
        <v>11586</v>
      </c>
    </row>
    <row r="3784" spans="1:20" x14ac:dyDescent="0.25">
      <c r="A3784" t="str">
        <f>"3051954"</f>
        <v>3051954</v>
      </c>
      <c r="B3784" t="s">
        <v>11588</v>
      </c>
      <c r="C3784" t="str">
        <f>"44194250"</f>
        <v>44194250</v>
      </c>
      <c r="D3784" t="s">
        <v>11589</v>
      </c>
      <c r="E3784" t="s">
        <v>11590</v>
      </c>
      <c r="F3784" t="s">
        <v>11591</v>
      </c>
      <c r="I3784" t="s">
        <v>29</v>
      </c>
      <c r="J3784" t="s">
        <v>30</v>
      </c>
      <c r="K3784" t="s">
        <v>31</v>
      </c>
      <c r="M3784" t="s">
        <v>32</v>
      </c>
      <c r="N3784" t="str">
        <f>"3/3/2004 12:00:00 AM"</f>
        <v>3/3/2004 12:00:00 AM</v>
      </c>
      <c r="O3784" t="s">
        <v>11589</v>
      </c>
      <c r="T3784" t="s">
        <v>11590</v>
      </c>
    </row>
    <row r="3785" spans="1:20" x14ac:dyDescent="0.25">
      <c r="A3785" t="str">
        <f>"3051905"</f>
        <v>3051905</v>
      </c>
      <c r="B3785" t="s">
        <v>11592</v>
      </c>
      <c r="C3785" t="str">
        <f>"12901000"</f>
        <v>12901000</v>
      </c>
      <c r="D3785" t="s">
        <v>11593</v>
      </c>
      <c r="F3785" t="s">
        <v>11594</v>
      </c>
      <c r="G3785" t="s">
        <v>11595</v>
      </c>
      <c r="I3785" t="s">
        <v>29</v>
      </c>
      <c r="J3785" t="s">
        <v>30</v>
      </c>
      <c r="K3785" t="s">
        <v>31</v>
      </c>
      <c r="M3785" t="s">
        <v>32</v>
      </c>
      <c r="N3785" t="str">
        <f>"6/18/2003 12:00:00 AM"</f>
        <v>6/18/2003 12:00:00 AM</v>
      </c>
      <c r="O3785" t="s">
        <v>11593</v>
      </c>
    </row>
    <row r="3786" spans="1:20" x14ac:dyDescent="0.25">
      <c r="A3786" t="str">
        <f>"3051679"</f>
        <v>3051679</v>
      </c>
      <c r="B3786" t="s">
        <v>11596</v>
      </c>
      <c r="C3786" t="str">
        <f>"44686500"</f>
        <v>44686500</v>
      </c>
      <c r="D3786" t="s">
        <v>11597</v>
      </c>
      <c r="F3786" t="s">
        <v>11598</v>
      </c>
      <c r="I3786" t="s">
        <v>2280</v>
      </c>
      <c r="J3786" t="s">
        <v>30</v>
      </c>
      <c r="K3786" t="s">
        <v>9127</v>
      </c>
      <c r="M3786" t="s">
        <v>32</v>
      </c>
      <c r="N3786" t="str">
        <f>"9/9/2002 12:00:00 AM"</f>
        <v>9/9/2002 12:00:00 AM</v>
      </c>
      <c r="O3786" t="s">
        <v>11597</v>
      </c>
    </row>
    <row r="3787" spans="1:20" x14ac:dyDescent="0.25">
      <c r="A3787" t="str">
        <f>"3053883"</f>
        <v>3053883</v>
      </c>
      <c r="B3787" t="s">
        <v>11599</v>
      </c>
      <c r="C3787" t="str">
        <f>"58760750"</f>
        <v>58760750</v>
      </c>
      <c r="D3787" t="s">
        <v>11600</v>
      </c>
      <c r="F3787" t="s">
        <v>11601</v>
      </c>
      <c r="I3787" t="s">
        <v>29</v>
      </c>
      <c r="J3787" t="s">
        <v>30</v>
      </c>
      <c r="K3787" t="s">
        <v>11602</v>
      </c>
      <c r="M3787" t="s">
        <v>32</v>
      </c>
      <c r="N3787" t="str">
        <f>"1/24/2007 12:00:00 AM"</f>
        <v>1/24/2007 12:00:00 AM</v>
      </c>
      <c r="O3787" t="s">
        <v>11600</v>
      </c>
      <c r="T3787" t="s">
        <v>11600</v>
      </c>
    </row>
    <row r="3788" spans="1:20" x14ac:dyDescent="0.25">
      <c r="A3788" t="str">
        <f>"3059408"</f>
        <v>3059408</v>
      </c>
      <c r="B3788" t="s">
        <v>11603</v>
      </c>
      <c r="C3788" t="str">
        <f>"82530290"</f>
        <v>82530290</v>
      </c>
      <c r="D3788" t="s">
        <v>11604</v>
      </c>
      <c r="E3788" t="s">
        <v>11605</v>
      </c>
      <c r="F3788" t="s">
        <v>11606</v>
      </c>
      <c r="I3788" t="s">
        <v>29</v>
      </c>
      <c r="J3788" t="s">
        <v>30</v>
      </c>
      <c r="K3788" t="s">
        <v>31</v>
      </c>
      <c r="M3788" t="s">
        <v>32</v>
      </c>
      <c r="N3788" t="str">
        <f>"12/8/2008 12:00:00 AM"</f>
        <v>12/8/2008 12:00:00 AM</v>
      </c>
      <c r="O3788" t="s">
        <v>11604</v>
      </c>
      <c r="T3788" t="s">
        <v>11605</v>
      </c>
    </row>
    <row r="3789" spans="1:20" x14ac:dyDescent="0.25">
      <c r="A3789" t="str">
        <f>"3059319"</f>
        <v>3059319</v>
      </c>
      <c r="B3789" t="s">
        <v>11607</v>
      </c>
      <c r="C3789" t="str">
        <f>"82523807"</f>
        <v>82523807</v>
      </c>
      <c r="D3789" t="s">
        <v>11608</v>
      </c>
      <c r="E3789" t="s">
        <v>11609</v>
      </c>
      <c r="F3789" t="s">
        <v>11610</v>
      </c>
      <c r="I3789" t="s">
        <v>29</v>
      </c>
      <c r="J3789" t="s">
        <v>30</v>
      </c>
      <c r="K3789" t="s">
        <v>31</v>
      </c>
      <c r="M3789" t="s">
        <v>32</v>
      </c>
      <c r="N3789" t="str">
        <f>"1/26/2005 12:00:00 AM"</f>
        <v>1/26/2005 12:00:00 AM</v>
      </c>
      <c r="O3789" t="s">
        <v>11608</v>
      </c>
      <c r="T3789" t="s">
        <v>11609</v>
      </c>
    </row>
    <row r="3790" spans="1:20" x14ac:dyDescent="0.25">
      <c r="A3790" t="str">
        <f>"3058542"</f>
        <v>3058542</v>
      </c>
      <c r="B3790" t="s">
        <v>11611</v>
      </c>
      <c r="C3790" t="str">
        <f>"47750000"</f>
        <v>47750000</v>
      </c>
      <c r="D3790" t="s">
        <v>11366</v>
      </c>
      <c r="F3790" t="s">
        <v>11367</v>
      </c>
      <c r="G3790" t="s">
        <v>11368</v>
      </c>
      <c r="I3790" t="s">
        <v>29</v>
      </c>
      <c r="J3790" t="s">
        <v>30</v>
      </c>
      <c r="K3790" t="s">
        <v>31</v>
      </c>
      <c r="M3790" t="s">
        <v>32</v>
      </c>
      <c r="N3790" t="str">
        <f>"1/16/2004 12:00:00 AM"</f>
        <v>1/16/2004 12:00:00 AM</v>
      </c>
      <c r="O3790" t="s">
        <v>11366</v>
      </c>
    </row>
    <row r="3791" spans="1:20" x14ac:dyDescent="0.25">
      <c r="A3791" t="str">
        <f>"3059356"</f>
        <v>3059356</v>
      </c>
      <c r="B3791" t="s">
        <v>11612</v>
      </c>
      <c r="C3791" t="str">
        <f>"82516686"</f>
        <v>82516686</v>
      </c>
      <c r="D3791" t="s">
        <v>11613</v>
      </c>
      <c r="E3791" t="s">
        <v>11614</v>
      </c>
      <c r="F3791" t="s">
        <v>11615</v>
      </c>
      <c r="I3791" t="s">
        <v>29</v>
      </c>
      <c r="J3791" t="s">
        <v>30</v>
      </c>
      <c r="K3791" t="s">
        <v>31</v>
      </c>
      <c r="M3791" t="s">
        <v>32</v>
      </c>
      <c r="N3791" t="str">
        <f>"12/27/2007 12:00:00 AM"</f>
        <v>12/27/2007 12:00:00 AM</v>
      </c>
      <c r="O3791" t="s">
        <v>11613</v>
      </c>
      <c r="T3791" t="s">
        <v>11614</v>
      </c>
    </row>
    <row r="3792" spans="1:20" x14ac:dyDescent="0.25">
      <c r="A3792" t="str">
        <f>"3078254"</f>
        <v>3078254</v>
      </c>
      <c r="B3792" t="s">
        <v>11616</v>
      </c>
      <c r="C3792" t="str">
        <f>"82527440"</f>
        <v>82527440</v>
      </c>
      <c r="D3792" t="s">
        <v>11617</v>
      </c>
      <c r="E3792" t="s">
        <v>11618</v>
      </c>
      <c r="F3792" t="s">
        <v>11619</v>
      </c>
      <c r="I3792" t="s">
        <v>29</v>
      </c>
      <c r="J3792" t="s">
        <v>30</v>
      </c>
      <c r="K3792" t="s">
        <v>31</v>
      </c>
      <c r="M3792" t="s">
        <v>32</v>
      </c>
      <c r="N3792" t="str">
        <f>"1/23/2007 12:00:00 AM"</f>
        <v>1/23/2007 12:00:00 AM</v>
      </c>
      <c r="O3792" t="s">
        <v>11617</v>
      </c>
      <c r="T3792" t="s">
        <v>11618</v>
      </c>
    </row>
    <row r="3793" spans="1:20" x14ac:dyDescent="0.25">
      <c r="A3793" t="str">
        <f>"3052818"</f>
        <v>3052818</v>
      </c>
      <c r="B3793" t="s">
        <v>11620</v>
      </c>
      <c r="C3793" t="str">
        <f>"2396000"</f>
        <v>2396000</v>
      </c>
      <c r="D3793" t="s">
        <v>11621</v>
      </c>
      <c r="E3793" t="s">
        <v>11622</v>
      </c>
      <c r="F3793" t="s">
        <v>11623</v>
      </c>
      <c r="I3793" t="s">
        <v>29</v>
      </c>
      <c r="J3793" t="s">
        <v>30</v>
      </c>
      <c r="K3793" t="s">
        <v>31</v>
      </c>
      <c r="M3793" t="s">
        <v>32</v>
      </c>
      <c r="N3793" t="str">
        <f>"12/6/2005 12:00:00 AM"</f>
        <v>12/6/2005 12:00:00 AM</v>
      </c>
      <c r="O3793" t="s">
        <v>11621</v>
      </c>
      <c r="T3793" t="s">
        <v>11622</v>
      </c>
    </row>
    <row r="3794" spans="1:20" x14ac:dyDescent="0.25">
      <c r="A3794" t="str">
        <f>"3059393"</f>
        <v>3059393</v>
      </c>
      <c r="B3794" t="s">
        <v>11624</v>
      </c>
      <c r="C3794" t="str">
        <f>"82523351"</f>
        <v>82523351</v>
      </c>
      <c r="D3794" t="s">
        <v>11625</v>
      </c>
      <c r="F3794" t="s">
        <v>11626</v>
      </c>
      <c r="I3794" t="s">
        <v>29</v>
      </c>
      <c r="J3794" t="s">
        <v>30</v>
      </c>
      <c r="K3794" t="s">
        <v>11627</v>
      </c>
      <c r="M3794" t="s">
        <v>32</v>
      </c>
      <c r="N3794" t="str">
        <f>"3/7/2005 12:00:00 AM"</f>
        <v>3/7/2005 12:00:00 AM</v>
      </c>
      <c r="O3794" t="s">
        <v>11625</v>
      </c>
    </row>
    <row r="3795" spans="1:20" x14ac:dyDescent="0.25">
      <c r="A3795" t="str">
        <f>"3051653"</f>
        <v>3051653</v>
      </c>
      <c r="B3795" t="s">
        <v>11628</v>
      </c>
      <c r="C3795" t="str">
        <f>"82530366"</f>
        <v>82530366</v>
      </c>
      <c r="D3795" t="s">
        <v>11629</v>
      </c>
      <c r="E3795" t="s">
        <v>11630</v>
      </c>
      <c r="F3795" t="s">
        <v>11631</v>
      </c>
      <c r="I3795" t="s">
        <v>184</v>
      </c>
      <c r="J3795" t="s">
        <v>30</v>
      </c>
      <c r="K3795" t="s">
        <v>185</v>
      </c>
      <c r="M3795" t="s">
        <v>32</v>
      </c>
      <c r="N3795" t="str">
        <f>"3/25/2009 12:00:00 AM"</f>
        <v>3/25/2009 12:00:00 AM</v>
      </c>
      <c r="O3795" t="s">
        <v>11629</v>
      </c>
      <c r="T3795" t="s">
        <v>11630</v>
      </c>
    </row>
    <row r="3796" spans="1:20" x14ac:dyDescent="0.25">
      <c r="A3796" t="str">
        <f>"3051654"</f>
        <v>3051654</v>
      </c>
      <c r="B3796" t="s">
        <v>11632</v>
      </c>
      <c r="C3796" t="str">
        <f>"82530366"</f>
        <v>82530366</v>
      </c>
      <c r="D3796" t="s">
        <v>11629</v>
      </c>
      <c r="E3796" t="s">
        <v>11630</v>
      </c>
      <c r="F3796" t="s">
        <v>11631</v>
      </c>
      <c r="I3796" t="s">
        <v>184</v>
      </c>
      <c r="J3796" t="s">
        <v>30</v>
      </c>
      <c r="K3796" t="s">
        <v>185</v>
      </c>
      <c r="M3796" t="s">
        <v>32</v>
      </c>
      <c r="N3796" t="str">
        <f>"3/25/2009 12:00:00 AM"</f>
        <v>3/25/2009 12:00:00 AM</v>
      </c>
      <c r="O3796" t="s">
        <v>11629</v>
      </c>
      <c r="T3796" t="s">
        <v>11630</v>
      </c>
    </row>
    <row r="3797" spans="1:20" x14ac:dyDescent="0.25">
      <c r="A3797" t="str">
        <f>"3058836"</f>
        <v>3058836</v>
      </c>
      <c r="B3797" t="s">
        <v>11633</v>
      </c>
      <c r="C3797" t="str">
        <f>"82530366"</f>
        <v>82530366</v>
      </c>
      <c r="D3797" t="s">
        <v>11629</v>
      </c>
      <c r="E3797" t="s">
        <v>11630</v>
      </c>
      <c r="F3797" t="s">
        <v>11631</v>
      </c>
      <c r="I3797" t="s">
        <v>184</v>
      </c>
      <c r="J3797" t="s">
        <v>30</v>
      </c>
      <c r="K3797" t="s">
        <v>185</v>
      </c>
      <c r="M3797" t="s">
        <v>32</v>
      </c>
      <c r="N3797" t="str">
        <f>"3/25/2009 12:00:00 AM"</f>
        <v>3/25/2009 12:00:00 AM</v>
      </c>
      <c r="O3797" t="s">
        <v>11629</v>
      </c>
      <c r="T3797" t="s">
        <v>11630</v>
      </c>
    </row>
    <row r="3798" spans="1:20" x14ac:dyDescent="0.25">
      <c r="A3798" t="str">
        <f>"3058707"</f>
        <v>3058707</v>
      </c>
      <c r="B3798" t="s">
        <v>11634</v>
      </c>
      <c r="C3798" t="str">
        <f>"82522653"</f>
        <v>82522653</v>
      </c>
      <c r="D3798" t="s">
        <v>11635</v>
      </c>
      <c r="F3798" t="s">
        <v>11636</v>
      </c>
      <c r="I3798" t="s">
        <v>29</v>
      </c>
      <c r="J3798" t="s">
        <v>30</v>
      </c>
      <c r="K3798" t="s">
        <v>11637</v>
      </c>
      <c r="M3798" t="s">
        <v>32</v>
      </c>
      <c r="N3798" t="str">
        <f>"3/9/2005 12:00:00 AM"</f>
        <v>3/9/2005 12:00:00 AM</v>
      </c>
      <c r="O3798" t="s">
        <v>11635</v>
      </c>
    </row>
    <row r="3799" spans="1:20" x14ac:dyDescent="0.25">
      <c r="A3799" t="str">
        <f>"3058708"</f>
        <v>3058708</v>
      </c>
      <c r="B3799" t="s">
        <v>11638</v>
      </c>
      <c r="C3799" t="str">
        <f>"21608000"</f>
        <v>21608000</v>
      </c>
      <c r="D3799" t="s">
        <v>11639</v>
      </c>
      <c r="F3799" t="s">
        <v>11640</v>
      </c>
      <c r="I3799" t="s">
        <v>29</v>
      </c>
      <c r="J3799" t="s">
        <v>30</v>
      </c>
      <c r="K3799" t="s">
        <v>31</v>
      </c>
      <c r="M3799" t="s">
        <v>32</v>
      </c>
      <c r="N3799" t="str">
        <f>"3/10/2004 12:00:00 AM"</f>
        <v>3/10/2004 12:00:00 AM</v>
      </c>
      <c r="O3799" t="s">
        <v>11639</v>
      </c>
    </row>
    <row r="3800" spans="1:20" x14ac:dyDescent="0.25">
      <c r="A3800" t="str">
        <f>"3058723"</f>
        <v>3058723</v>
      </c>
      <c r="B3800" t="s">
        <v>11641</v>
      </c>
      <c r="C3800" t="str">
        <f>"82522337"</f>
        <v>82522337</v>
      </c>
      <c r="D3800" t="s">
        <v>11642</v>
      </c>
      <c r="F3800" t="s">
        <v>11643</v>
      </c>
      <c r="I3800" t="s">
        <v>29</v>
      </c>
      <c r="J3800" t="s">
        <v>30</v>
      </c>
      <c r="K3800" t="s">
        <v>11644</v>
      </c>
      <c r="M3800" t="s">
        <v>32</v>
      </c>
      <c r="N3800" t="str">
        <f>"1/20/2005 12:00:00 AM"</f>
        <v>1/20/2005 12:00:00 AM</v>
      </c>
      <c r="O3800" t="s">
        <v>11642</v>
      </c>
    </row>
    <row r="3801" spans="1:20" x14ac:dyDescent="0.25">
      <c r="A3801" t="str">
        <f>"3059359"</f>
        <v>3059359</v>
      </c>
      <c r="B3801" t="s">
        <v>11645</v>
      </c>
      <c r="C3801" t="str">
        <f>"53612000"</f>
        <v>53612000</v>
      </c>
      <c r="D3801" t="s">
        <v>11385</v>
      </c>
      <c r="F3801" t="s">
        <v>11386</v>
      </c>
      <c r="I3801" t="s">
        <v>29</v>
      </c>
      <c r="J3801" t="s">
        <v>30</v>
      </c>
      <c r="K3801" t="s">
        <v>31</v>
      </c>
      <c r="M3801" t="s">
        <v>32</v>
      </c>
      <c r="N3801" t="str">
        <f>"3/12/2004 12:00:00 AM"</f>
        <v>3/12/2004 12:00:00 AM</v>
      </c>
      <c r="O3801" t="s">
        <v>11385</v>
      </c>
    </row>
    <row r="3802" spans="1:20" x14ac:dyDescent="0.25">
      <c r="A3802" t="str">
        <f>"3059145"</f>
        <v>3059145</v>
      </c>
      <c r="B3802" t="s">
        <v>11646</v>
      </c>
      <c r="C3802" t="str">
        <f>"82522619"</f>
        <v>82522619</v>
      </c>
      <c r="D3802" t="s">
        <v>11647</v>
      </c>
      <c r="F3802" t="s">
        <v>11648</v>
      </c>
      <c r="I3802" t="s">
        <v>29</v>
      </c>
      <c r="J3802" t="s">
        <v>30</v>
      </c>
      <c r="K3802" t="s">
        <v>11649</v>
      </c>
      <c r="N3802" t="str">
        <f>"1/26/2005 12:00:00 AM"</f>
        <v>1/26/2005 12:00:00 AM</v>
      </c>
      <c r="O3802" t="s">
        <v>11647</v>
      </c>
    </row>
    <row r="3803" spans="1:20" x14ac:dyDescent="0.25">
      <c r="A3803" t="str">
        <f>"3059185"</f>
        <v>3059185</v>
      </c>
      <c r="B3803" t="s">
        <v>11650</v>
      </c>
      <c r="C3803" t="str">
        <f>"22920000"</f>
        <v>22920000</v>
      </c>
      <c r="D3803" t="s">
        <v>11428</v>
      </c>
      <c r="E3803" t="s">
        <v>11429</v>
      </c>
      <c r="F3803" t="s">
        <v>11430</v>
      </c>
      <c r="I3803" t="s">
        <v>29</v>
      </c>
      <c r="J3803" t="s">
        <v>30</v>
      </c>
      <c r="K3803" t="s">
        <v>31</v>
      </c>
      <c r="M3803" t="s">
        <v>32</v>
      </c>
      <c r="N3803" t="str">
        <f>"12/3/2010 12:00:00 AM"</f>
        <v>12/3/2010 12:00:00 AM</v>
      </c>
      <c r="O3803" t="s">
        <v>11428</v>
      </c>
      <c r="T3803" t="s">
        <v>11429</v>
      </c>
    </row>
    <row r="3804" spans="1:20" x14ac:dyDescent="0.25">
      <c r="A3804" t="str">
        <f>"3062992"</f>
        <v>3062992</v>
      </c>
      <c r="B3804" t="s">
        <v>11651</v>
      </c>
      <c r="C3804" t="str">
        <f>"70698120"</f>
        <v>70698120</v>
      </c>
      <c r="D3804" t="s">
        <v>11652</v>
      </c>
      <c r="E3804" t="s">
        <v>11653</v>
      </c>
      <c r="F3804" t="s">
        <v>11654</v>
      </c>
      <c r="I3804" t="s">
        <v>29</v>
      </c>
      <c r="J3804" t="s">
        <v>30</v>
      </c>
      <c r="K3804" t="s">
        <v>31</v>
      </c>
      <c r="M3804" t="s">
        <v>32</v>
      </c>
      <c r="N3804" t="str">
        <f>"5/20/2004 12:00:00 AM"</f>
        <v>5/20/2004 12:00:00 AM</v>
      </c>
      <c r="O3804" t="s">
        <v>11652</v>
      </c>
      <c r="T3804" t="s">
        <v>11653</v>
      </c>
    </row>
    <row r="3805" spans="1:20" x14ac:dyDescent="0.25">
      <c r="A3805" t="str">
        <f>"3052086"</f>
        <v>3052086</v>
      </c>
      <c r="B3805" t="s">
        <v>11655</v>
      </c>
      <c r="C3805" t="str">
        <f>"82523552"</f>
        <v>82523552</v>
      </c>
      <c r="D3805" t="s">
        <v>11656</v>
      </c>
      <c r="E3805" t="s">
        <v>11657</v>
      </c>
      <c r="F3805" t="s">
        <v>11658</v>
      </c>
      <c r="I3805" t="s">
        <v>29</v>
      </c>
      <c r="J3805" t="s">
        <v>30</v>
      </c>
      <c r="K3805" t="s">
        <v>11659</v>
      </c>
      <c r="M3805" t="s">
        <v>32</v>
      </c>
      <c r="N3805" t="str">
        <f>"8/28/2008 12:00:00 AM"</f>
        <v>8/28/2008 12:00:00 AM</v>
      </c>
      <c r="O3805" t="s">
        <v>11656</v>
      </c>
      <c r="T3805" t="s">
        <v>11657</v>
      </c>
    </row>
    <row r="3806" spans="1:20" x14ac:dyDescent="0.25">
      <c r="A3806" t="str">
        <f>"3059198"</f>
        <v>3059198</v>
      </c>
      <c r="B3806" t="s">
        <v>11660</v>
      </c>
      <c r="C3806" t="str">
        <f>"71860150"</f>
        <v>71860150</v>
      </c>
      <c r="D3806" t="s">
        <v>11661</v>
      </c>
      <c r="E3806" t="s">
        <v>11662</v>
      </c>
      <c r="F3806" t="s">
        <v>11663</v>
      </c>
      <c r="I3806" t="s">
        <v>29</v>
      </c>
      <c r="J3806" t="s">
        <v>30</v>
      </c>
      <c r="K3806" t="s">
        <v>31</v>
      </c>
      <c r="M3806" t="s">
        <v>32</v>
      </c>
      <c r="N3806" t="str">
        <f>"2/5/2010 12:00:00 AM"</f>
        <v>2/5/2010 12:00:00 AM</v>
      </c>
      <c r="O3806" t="s">
        <v>11661</v>
      </c>
      <c r="T3806" t="s">
        <v>11662</v>
      </c>
    </row>
    <row r="3807" spans="1:20" x14ac:dyDescent="0.25">
      <c r="A3807" t="str">
        <f>"3049362"</f>
        <v>3049362</v>
      </c>
      <c r="B3807" t="s">
        <v>11664</v>
      </c>
      <c r="C3807" t="str">
        <f>"53832565"</f>
        <v>53832565</v>
      </c>
      <c r="D3807" t="s">
        <v>11665</v>
      </c>
      <c r="F3807" t="s">
        <v>11666</v>
      </c>
      <c r="I3807" t="s">
        <v>29</v>
      </c>
      <c r="J3807" t="s">
        <v>30</v>
      </c>
      <c r="K3807" t="s">
        <v>31</v>
      </c>
      <c r="M3807" t="s">
        <v>32</v>
      </c>
      <c r="N3807" t="str">
        <f>"3/17/2004 12:00:00 AM"</f>
        <v>3/17/2004 12:00:00 AM</v>
      </c>
      <c r="O3807" t="s">
        <v>11665</v>
      </c>
    </row>
    <row r="3808" spans="1:20" x14ac:dyDescent="0.25">
      <c r="A3808" t="str">
        <f>"3055060"</f>
        <v>3055060</v>
      </c>
      <c r="B3808" t="s">
        <v>11667</v>
      </c>
      <c r="C3808" t="str">
        <f>"82530326"</f>
        <v>82530326</v>
      </c>
      <c r="D3808" t="s">
        <v>11668</v>
      </c>
      <c r="F3808" t="s">
        <v>9579</v>
      </c>
      <c r="I3808" t="s">
        <v>9580</v>
      </c>
      <c r="J3808" t="s">
        <v>30</v>
      </c>
      <c r="K3808" t="s">
        <v>9581</v>
      </c>
      <c r="M3808" t="s">
        <v>32</v>
      </c>
      <c r="N3808" t="str">
        <f>"12/17/2008 12:00:00 AM"</f>
        <v>12/17/2008 12:00:00 AM</v>
      </c>
      <c r="O3808" t="s">
        <v>11668</v>
      </c>
    </row>
    <row r="3809" spans="1:20" x14ac:dyDescent="0.25">
      <c r="A3809" t="str">
        <f>"3053996"</f>
        <v>3053996</v>
      </c>
      <c r="B3809" t="s">
        <v>11669</v>
      </c>
      <c r="C3809" t="str">
        <f>"82530326"</f>
        <v>82530326</v>
      </c>
      <c r="D3809" t="s">
        <v>11668</v>
      </c>
      <c r="F3809" t="s">
        <v>9579</v>
      </c>
      <c r="I3809" t="s">
        <v>9580</v>
      </c>
      <c r="J3809" t="s">
        <v>30</v>
      </c>
      <c r="K3809" t="s">
        <v>9581</v>
      </c>
      <c r="M3809" t="s">
        <v>32</v>
      </c>
      <c r="N3809" t="str">
        <f>"12/17/2008 12:00:00 AM"</f>
        <v>12/17/2008 12:00:00 AM</v>
      </c>
      <c r="O3809" t="s">
        <v>11668</v>
      </c>
    </row>
    <row r="3810" spans="1:20" x14ac:dyDescent="0.25">
      <c r="A3810" t="str">
        <f>"3055800"</f>
        <v>3055800</v>
      </c>
      <c r="B3810" t="s">
        <v>11670</v>
      </c>
      <c r="C3810" t="str">
        <f>"82530326"</f>
        <v>82530326</v>
      </c>
      <c r="D3810" t="s">
        <v>11668</v>
      </c>
      <c r="F3810" t="s">
        <v>9579</v>
      </c>
      <c r="I3810" t="s">
        <v>9580</v>
      </c>
      <c r="J3810" t="s">
        <v>30</v>
      </c>
      <c r="K3810" t="s">
        <v>9581</v>
      </c>
      <c r="M3810" t="s">
        <v>32</v>
      </c>
      <c r="N3810" t="str">
        <f>"12/17/2008 12:00:00 AM"</f>
        <v>12/17/2008 12:00:00 AM</v>
      </c>
      <c r="O3810" t="s">
        <v>11668</v>
      </c>
    </row>
    <row r="3811" spans="1:20" x14ac:dyDescent="0.25">
      <c r="A3811" t="str">
        <f>"3045464"</f>
        <v>3045464</v>
      </c>
      <c r="B3811" t="s">
        <v>11671</v>
      </c>
      <c r="C3811" t="str">
        <f>"82530326"</f>
        <v>82530326</v>
      </c>
      <c r="D3811" t="s">
        <v>11668</v>
      </c>
      <c r="F3811" t="s">
        <v>9579</v>
      </c>
      <c r="I3811" t="s">
        <v>9580</v>
      </c>
      <c r="J3811" t="s">
        <v>30</v>
      </c>
      <c r="K3811" t="s">
        <v>9581</v>
      </c>
      <c r="M3811" t="s">
        <v>32</v>
      </c>
      <c r="N3811" t="str">
        <f>"12/17/2008 12:00:00 AM"</f>
        <v>12/17/2008 12:00:00 AM</v>
      </c>
      <c r="O3811" t="s">
        <v>11668</v>
      </c>
    </row>
    <row r="3812" spans="1:20" x14ac:dyDescent="0.25">
      <c r="A3812" t="str">
        <f>"3048476"</f>
        <v>3048476</v>
      </c>
      <c r="B3812" t="s">
        <v>11672</v>
      </c>
      <c r="C3812" t="str">
        <f>"82515266"</f>
        <v>82515266</v>
      </c>
      <c r="D3812" t="s">
        <v>11673</v>
      </c>
      <c r="F3812" t="str">
        <f>"C/O CHARLENE JONES"</f>
        <v>C/O CHARLENE JONES</v>
      </c>
      <c r="G3812" t="s">
        <v>11674</v>
      </c>
      <c r="I3812" t="s">
        <v>29</v>
      </c>
      <c r="J3812" t="s">
        <v>30</v>
      </c>
      <c r="K3812" t="s">
        <v>31</v>
      </c>
      <c r="M3812" t="s">
        <v>32</v>
      </c>
      <c r="N3812" t="str">
        <f>"5/15/2006 12:00:00 AM"</f>
        <v>5/15/2006 12:00:00 AM</v>
      </c>
      <c r="O3812" t="s">
        <v>11673</v>
      </c>
    </row>
    <row r="3813" spans="1:20" x14ac:dyDescent="0.25">
      <c r="A3813" t="str">
        <f>"3049098"</f>
        <v>3049098</v>
      </c>
      <c r="B3813" t="s">
        <v>11675</v>
      </c>
      <c r="C3813" t="str">
        <f>"51392000"</f>
        <v>51392000</v>
      </c>
      <c r="D3813" t="s">
        <v>11676</v>
      </c>
      <c r="F3813" t="s">
        <v>11677</v>
      </c>
      <c r="I3813" t="s">
        <v>29</v>
      </c>
      <c r="J3813" t="s">
        <v>30</v>
      </c>
      <c r="K3813" t="s">
        <v>31</v>
      </c>
      <c r="M3813" t="s">
        <v>32</v>
      </c>
      <c r="N3813" t="str">
        <f>"9/6/2002 12:00:00 AM"</f>
        <v>9/6/2002 12:00:00 AM</v>
      </c>
      <c r="O3813" t="s">
        <v>11676</v>
      </c>
    </row>
    <row r="3814" spans="1:20" x14ac:dyDescent="0.25">
      <c r="A3814" t="str">
        <f>"3048722"</f>
        <v>3048722</v>
      </c>
      <c r="B3814" t="s">
        <v>11678</v>
      </c>
      <c r="C3814" t="str">
        <f>"27414000"</f>
        <v>27414000</v>
      </c>
      <c r="D3814" t="s">
        <v>11679</v>
      </c>
      <c r="E3814" t="s">
        <v>11680</v>
      </c>
      <c r="F3814" t="s">
        <v>11681</v>
      </c>
      <c r="I3814" t="s">
        <v>29</v>
      </c>
      <c r="J3814" t="s">
        <v>30</v>
      </c>
      <c r="K3814" t="s">
        <v>31</v>
      </c>
      <c r="M3814" t="s">
        <v>32</v>
      </c>
      <c r="N3814" t="str">
        <f>"2/16/2004 12:00:00 AM"</f>
        <v>2/16/2004 12:00:00 AM</v>
      </c>
      <c r="O3814" t="s">
        <v>11679</v>
      </c>
      <c r="T3814" t="s">
        <v>11680</v>
      </c>
    </row>
    <row r="3815" spans="1:20" x14ac:dyDescent="0.25">
      <c r="A3815" t="str">
        <f>"3062956"</f>
        <v>3062956</v>
      </c>
      <c r="B3815" t="s">
        <v>11682</v>
      </c>
      <c r="C3815" t="str">
        <f>"39541000"</f>
        <v>39541000</v>
      </c>
      <c r="D3815" t="s">
        <v>11683</v>
      </c>
      <c r="E3815" t="s">
        <v>11684</v>
      </c>
      <c r="F3815" t="s">
        <v>11685</v>
      </c>
      <c r="I3815" t="s">
        <v>29</v>
      </c>
      <c r="J3815" t="s">
        <v>30</v>
      </c>
      <c r="K3815" t="s">
        <v>11686</v>
      </c>
      <c r="N3815" t="str">
        <f>"1/12/2007 12:00:00 AM"</f>
        <v>1/12/2007 12:00:00 AM</v>
      </c>
      <c r="O3815" t="s">
        <v>11683</v>
      </c>
      <c r="T3815" t="s">
        <v>11684</v>
      </c>
    </row>
    <row r="3816" spans="1:20" x14ac:dyDescent="0.25">
      <c r="A3816" t="str">
        <f>"3059420"</f>
        <v>3059420</v>
      </c>
      <c r="B3816" t="s">
        <v>11687</v>
      </c>
      <c r="C3816" t="str">
        <f>"5086250"</f>
        <v>5086250</v>
      </c>
      <c r="D3816" t="s">
        <v>11688</v>
      </c>
      <c r="F3816" t="s">
        <v>11689</v>
      </c>
      <c r="I3816" t="s">
        <v>29</v>
      </c>
      <c r="J3816" t="s">
        <v>30</v>
      </c>
      <c r="K3816" t="s">
        <v>31</v>
      </c>
      <c r="M3816" t="s">
        <v>32</v>
      </c>
      <c r="N3816" t="str">
        <f>"9/6/2002 12:00:00 AM"</f>
        <v>9/6/2002 12:00:00 AM</v>
      </c>
      <c r="O3816" t="s">
        <v>11688</v>
      </c>
    </row>
    <row r="3817" spans="1:20" x14ac:dyDescent="0.25">
      <c r="A3817" t="str">
        <f>"3059077"</f>
        <v>3059077</v>
      </c>
      <c r="B3817" t="s">
        <v>11690</v>
      </c>
      <c r="C3817" t="str">
        <f>"82517678"</f>
        <v>82517678</v>
      </c>
      <c r="D3817" t="s">
        <v>11691</v>
      </c>
      <c r="F3817" t="s">
        <v>11692</v>
      </c>
      <c r="I3817" t="s">
        <v>29</v>
      </c>
      <c r="J3817" t="s">
        <v>30</v>
      </c>
      <c r="K3817" t="s">
        <v>31</v>
      </c>
      <c r="M3817" t="s">
        <v>32</v>
      </c>
      <c r="N3817" t="str">
        <f>"2/8/2002 12:00:00 AM"</f>
        <v>2/8/2002 12:00:00 AM</v>
      </c>
      <c r="O3817" t="s">
        <v>11691</v>
      </c>
    </row>
    <row r="3818" spans="1:20" x14ac:dyDescent="0.25">
      <c r="A3818" t="str">
        <f>"3059076"</f>
        <v>3059076</v>
      </c>
      <c r="B3818" t="s">
        <v>11693</v>
      </c>
      <c r="C3818" t="str">
        <f>"82525912"</f>
        <v>82525912</v>
      </c>
      <c r="D3818" t="s">
        <v>11694</v>
      </c>
      <c r="F3818" t="s">
        <v>11695</v>
      </c>
      <c r="I3818" t="s">
        <v>11696</v>
      </c>
      <c r="J3818" t="s">
        <v>11697</v>
      </c>
      <c r="K3818" t="s">
        <v>11698</v>
      </c>
      <c r="M3818" t="s">
        <v>32</v>
      </c>
      <c r="N3818" t="str">
        <f>"5/21/2008 12:00:00 AM"</f>
        <v>5/21/2008 12:00:00 AM</v>
      </c>
      <c r="O3818" t="s">
        <v>11694</v>
      </c>
    </row>
    <row r="3819" spans="1:20" x14ac:dyDescent="0.25">
      <c r="A3819" t="str">
        <f>"3059081"</f>
        <v>3059081</v>
      </c>
      <c r="B3819" t="s">
        <v>11699</v>
      </c>
      <c r="C3819" t="str">
        <f>"82522664"</f>
        <v>82522664</v>
      </c>
      <c r="D3819" t="s">
        <v>11700</v>
      </c>
      <c r="E3819" t="s">
        <v>11701</v>
      </c>
      <c r="F3819" t="s">
        <v>11702</v>
      </c>
      <c r="I3819" t="s">
        <v>29</v>
      </c>
      <c r="J3819" t="s">
        <v>30</v>
      </c>
      <c r="K3819" t="s">
        <v>11703</v>
      </c>
      <c r="M3819" t="s">
        <v>32</v>
      </c>
      <c r="N3819" t="str">
        <f>"2/23/2005 12:00:00 AM"</f>
        <v>2/23/2005 12:00:00 AM</v>
      </c>
      <c r="O3819" t="s">
        <v>11700</v>
      </c>
      <c r="T3819" t="s">
        <v>11701</v>
      </c>
    </row>
    <row r="3820" spans="1:20" x14ac:dyDescent="0.25">
      <c r="A3820" t="str">
        <f>"3051768"</f>
        <v>3051768</v>
      </c>
      <c r="B3820" t="s">
        <v>11704</v>
      </c>
      <c r="C3820" t="str">
        <f>"82528138"</f>
        <v>82528138</v>
      </c>
      <c r="D3820" t="s">
        <v>11705</v>
      </c>
      <c r="F3820" t="s">
        <v>11706</v>
      </c>
      <c r="I3820" t="s">
        <v>29</v>
      </c>
      <c r="J3820" t="s">
        <v>30</v>
      </c>
      <c r="K3820" t="s">
        <v>31</v>
      </c>
      <c r="M3820" t="s">
        <v>32</v>
      </c>
      <c r="N3820" t="str">
        <f>"1/29/2008 12:00:00 AM"</f>
        <v>1/29/2008 12:00:00 AM</v>
      </c>
      <c r="O3820" t="s">
        <v>11705</v>
      </c>
    </row>
    <row r="3821" spans="1:20" x14ac:dyDescent="0.25">
      <c r="A3821" t="str">
        <f>"3051778"</f>
        <v>3051778</v>
      </c>
      <c r="B3821" t="s">
        <v>11707</v>
      </c>
      <c r="C3821" t="str">
        <f>"82528969"</f>
        <v>82528969</v>
      </c>
      <c r="D3821" t="s">
        <v>11708</v>
      </c>
      <c r="F3821" t="s">
        <v>11709</v>
      </c>
      <c r="I3821" t="s">
        <v>29</v>
      </c>
      <c r="J3821" t="s">
        <v>30</v>
      </c>
      <c r="K3821" t="s">
        <v>31</v>
      </c>
      <c r="M3821" t="s">
        <v>32</v>
      </c>
      <c r="N3821" t="str">
        <f>"9/25/2009 12:00:00 AM"</f>
        <v>9/25/2009 12:00:00 AM</v>
      </c>
      <c r="O3821" t="s">
        <v>11708</v>
      </c>
    </row>
    <row r="3822" spans="1:20" x14ac:dyDescent="0.25">
      <c r="A3822" t="str">
        <f>"3051739"</f>
        <v>3051739</v>
      </c>
      <c r="B3822" t="s">
        <v>11710</v>
      </c>
      <c r="C3822" t="str">
        <f>"82517115"</f>
        <v>82517115</v>
      </c>
      <c r="D3822" t="s">
        <v>11711</v>
      </c>
      <c r="F3822" t="s">
        <v>11712</v>
      </c>
      <c r="I3822" t="s">
        <v>29</v>
      </c>
      <c r="J3822" t="s">
        <v>30</v>
      </c>
      <c r="K3822" t="s">
        <v>31</v>
      </c>
      <c r="M3822" t="s">
        <v>32</v>
      </c>
      <c r="N3822" t="str">
        <f>"9/9/2002 12:00:00 AM"</f>
        <v>9/9/2002 12:00:00 AM</v>
      </c>
      <c r="O3822" t="s">
        <v>11711</v>
      </c>
      <c r="T3822" t="s">
        <v>11711</v>
      </c>
    </row>
    <row r="3823" spans="1:20" x14ac:dyDescent="0.25">
      <c r="A3823" t="str">
        <f>"3075463"</f>
        <v>3075463</v>
      </c>
      <c r="B3823" t="s">
        <v>11713</v>
      </c>
      <c r="C3823" t="str">
        <f>"82513019"</f>
        <v>82513019</v>
      </c>
      <c r="D3823" t="s">
        <v>11714</v>
      </c>
      <c r="F3823" t="s">
        <v>11715</v>
      </c>
      <c r="I3823" t="s">
        <v>29</v>
      </c>
      <c r="J3823" t="s">
        <v>30</v>
      </c>
      <c r="K3823" t="s">
        <v>31</v>
      </c>
      <c r="M3823" t="s">
        <v>32</v>
      </c>
      <c r="N3823" t="str">
        <f>"10/25/2010 12:00:00 AM"</f>
        <v>10/25/2010 12:00:00 AM</v>
      </c>
      <c r="O3823" t="s">
        <v>11714</v>
      </c>
    </row>
    <row r="3824" spans="1:20" x14ac:dyDescent="0.25">
      <c r="A3824" t="str">
        <f>"3059210"</f>
        <v>3059210</v>
      </c>
      <c r="B3824" t="s">
        <v>11716</v>
      </c>
      <c r="C3824" t="str">
        <f>"38588000"</f>
        <v>38588000</v>
      </c>
      <c r="D3824" t="s">
        <v>11717</v>
      </c>
      <c r="E3824" t="s">
        <v>11718</v>
      </c>
      <c r="F3824" t="s">
        <v>11719</v>
      </c>
      <c r="I3824" t="s">
        <v>29</v>
      </c>
      <c r="J3824" t="s">
        <v>30</v>
      </c>
      <c r="K3824" t="s">
        <v>31</v>
      </c>
      <c r="M3824" t="s">
        <v>32</v>
      </c>
      <c r="N3824" t="str">
        <f>"11/7/2003 12:00:00 AM"</f>
        <v>11/7/2003 12:00:00 AM</v>
      </c>
      <c r="O3824" t="s">
        <v>11717</v>
      </c>
      <c r="T3824" t="s">
        <v>11718</v>
      </c>
    </row>
    <row r="3825" spans="1:20" x14ac:dyDescent="0.25">
      <c r="A3825" t="str">
        <f>"3059138"</f>
        <v>3059138</v>
      </c>
      <c r="B3825" t="s">
        <v>11720</v>
      </c>
      <c r="C3825" t="str">
        <f>"82528613"</f>
        <v>82528613</v>
      </c>
      <c r="D3825" t="s">
        <v>11721</v>
      </c>
      <c r="E3825" t="s">
        <v>11722</v>
      </c>
      <c r="F3825" t="s">
        <v>11723</v>
      </c>
      <c r="I3825" t="s">
        <v>29</v>
      </c>
      <c r="J3825" t="s">
        <v>30</v>
      </c>
      <c r="K3825" t="s">
        <v>31</v>
      </c>
      <c r="N3825" t="str">
        <f>"1/14/2008 12:00:00 AM"</f>
        <v>1/14/2008 12:00:00 AM</v>
      </c>
      <c r="O3825" t="s">
        <v>11721</v>
      </c>
      <c r="T3825" t="s">
        <v>11722</v>
      </c>
    </row>
    <row r="3826" spans="1:20" x14ac:dyDescent="0.25">
      <c r="A3826" t="str">
        <f>"3058957"</f>
        <v>3058957</v>
      </c>
      <c r="B3826" t="s">
        <v>11724</v>
      </c>
      <c r="C3826" t="str">
        <f>"82526981"</f>
        <v>82526981</v>
      </c>
      <c r="D3826" t="s">
        <v>11725</v>
      </c>
      <c r="E3826" t="s">
        <v>11726</v>
      </c>
      <c r="F3826" t="s">
        <v>11727</v>
      </c>
      <c r="I3826" t="s">
        <v>29</v>
      </c>
      <c r="J3826" t="s">
        <v>30</v>
      </c>
      <c r="K3826" t="s">
        <v>31</v>
      </c>
      <c r="N3826" t="str">
        <f>"2/13/2007 12:00:00 AM"</f>
        <v>2/13/2007 12:00:00 AM</v>
      </c>
      <c r="O3826" t="s">
        <v>11725</v>
      </c>
      <c r="T3826" t="s">
        <v>11726</v>
      </c>
    </row>
    <row r="3827" spans="1:20" x14ac:dyDescent="0.25">
      <c r="A3827" t="str">
        <f>"3058959"</f>
        <v>3058959</v>
      </c>
      <c r="B3827" t="s">
        <v>11728</v>
      </c>
      <c r="C3827" t="str">
        <f>"82523858"</f>
        <v>82523858</v>
      </c>
      <c r="D3827" t="s">
        <v>11729</v>
      </c>
      <c r="F3827" t="s">
        <v>11730</v>
      </c>
      <c r="I3827" t="s">
        <v>29</v>
      </c>
      <c r="J3827" t="s">
        <v>30</v>
      </c>
      <c r="K3827" t="s">
        <v>11731</v>
      </c>
      <c r="M3827" t="s">
        <v>32</v>
      </c>
      <c r="N3827" t="str">
        <f>"1/17/2006 12:00:00 AM"</f>
        <v>1/17/2006 12:00:00 AM</v>
      </c>
      <c r="O3827" t="s">
        <v>11729</v>
      </c>
    </row>
    <row r="3828" spans="1:20" x14ac:dyDescent="0.25">
      <c r="A3828" t="str">
        <f>"3058969"</f>
        <v>3058969</v>
      </c>
      <c r="B3828" t="s">
        <v>11732</v>
      </c>
      <c r="C3828" t="str">
        <f>"82517712"</f>
        <v>82517712</v>
      </c>
      <c r="D3828" t="s">
        <v>11733</v>
      </c>
      <c r="E3828" t="s">
        <v>11734</v>
      </c>
      <c r="F3828" t="s">
        <v>11735</v>
      </c>
      <c r="I3828" t="s">
        <v>29</v>
      </c>
      <c r="J3828" t="s">
        <v>30</v>
      </c>
      <c r="K3828" t="s">
        <v>31</v>
      </c>
      <c r="M3828" t="s">
        <v>32</v>
      </c>
      <c r="N3828" t="str">
        <f>"6/13/2005 12:00:00 AM"</f>
        <v>6/13/2005 12:00:00 AM</v>
      </c>
      <c r="O3828" t="s">
        <v>11733</v>
      </c>
      <c r="T3828" t="s">
        <v>11734</v>
      </c>
    </row>
    <row r="3829" spans="1:20" x14ac:dyDescent="0.25">
      <c r="A3829" t="str">
        <f>"3052264"</f>
        <v>3052264</v>
      </c>
      <c r="B3829" t="s">
        <v>11736</v>
      </c>
      <c r="C3829" t="str">
        <f>"37448000"</f>
        <v>37448000</v>
      </c>
      <c r="D3829" t="s">
        <v>11737</v>
      </c>
      <c r="E3829" t="s">
        <v>11738</v>
      </c>
      <c r="F3829" t="s">
        <v>11739</v>
      </c>
      <c r="I3829" t="s">
        <v>29</v>
      </c>
      <c r="J3829" t="s">
        <v>30</v>
      </c>
      <c r="K3829" t="s">
        <v>31</v>
      </c>
      <c r="N3829" t="str">
        <f>"9/30/2011 12:00:00 AM"</f>
        <v>9/30/2011 12:00:00 AM</v>
      </c>
      <c r="O3829" t="s">
        <v>11737</v>
      </c>
      <c r="T3829" t="s">
        <v>11738</v>
      </c>
    </row>
    <row r="3830" spans="1:20" x14ac:dyDescent="0.25">
      <c r="A3830" t="str">
        <f>"3052483"</f>
        <v>3052483</v>
      </c>
      <c r="B3830" t="s">
        <v>11740</v>
      </c>
      <c r="C3830" t="str">
        <f>"37448000"</f>
        <v>37448000</v>
      </c>
      <c r="D3830" t="s">
        <v>11737</v>
      </c>
      <c r="E3830" t="s">
        <v>11738</v>
      </c>
      <c r="F3830" t="s">
        <v>11739</v>
      </c>
      <c r="I3830" t="s">
        <v>29</v>
      </c>
      <c r="J3830" t="s">
        <v>30</v>
      </c>
      <c r="K3830" t="s">
        <v>31</v>
      </c>
      <c r="N3830" t="str">
        <f>"9/30/2011 12:00:00 AM"</f>
        <v>9/30/2011 12:00:00 AM</v>
      </c>
      <c r="O3830" t="s">
        <v>11737</v>
      </c>
      <c r="T3830" t="s">
        <v>11738</v>
      </c>
    </row>
    <row r="3831" spans="1:20" x14ac:dyDescent="0.25">
      <c r="A3831" t="str">
        <f>"3052528"</f>
        <v>3052528</v>
      </c>
      <c r="B3831" t="s">
        <v>11741</v>
      </c>
      <c r="C3831" t="str">
        <f>"18472000"</f>
        <v>18472000</v>
      </c>
      <c r="D3831" t="s">
        <v>11742</v>
      </c>
      <c r="E3831" t="s">
        <v>11743</v>
      </c>
      <c r="F3831" t="s">
        <v>11744</v>
      </c>
      <c r="I3831" t="s">
        <v>29</v>
      </c>
      <c r="J3831" t="s">
        <v>30</v>
      </c>
      <c r="K3831" t="s">
        <v>31</v>
      </c>
      <c r="M3831" t="s">
        <v>32</v>
      </c>
      <c r="N3831" t="str">
        <f>"9/10/2002 12:00:00 AM"</f>
        <v>9/10/2002 12:00:00 AM</v>
      </c>
      <c r="O3831" t="s">
        <v>11742</v>
      </c>
      <c r="T3831" t="s">
        <v>11743</v>
      </c>
    </row>
    <row r="3832" spans="1:20" x14ac:dyDescent="0.25">
      <c r="A3832" t="str">
        <f>"3056792"</f>
        <v>3056792</v>
      </c>
      <c r="B3832" t="s">
        <v>11745</v>
      </c>
      <c r="C3832" t="str">
        <f>"45616500"</f>
        <v>45616500</v>
      </c>
      <c r="D3832" t="s">
        <v>11746</v>
      </c>
      <c r="E3832" t="s">
        <v>11747</v>
      </c>
      <c r="F3832" t="s">
        <v>11748</v>
      </c>
      <c r="I3832" t="s">
        <v>29</v>
      </c>
      <c r="J3832" t="s">
        <v>30</v>
      </c>
      <c r="K3832" t="s">
        <v>11749</v>
      </c>
      <c r="M3832" t="s">
        <v>32</v>
      </c>
      <c r="N3832" t="str">
        <f>"1/9/2008 12:00:00 AM"</f>
        <v>1/9/2008 12:00:00 AM</v>
      </c>
      <c r="O3832" t="s">
        <v>11746</v>
      </c>
      <c r="T3832" t="s">
        <v>11747</v>
      </c>
    </row>
    <row r="3833" spans="1:20" x14ac:dyDescent="0.25">
      <c r="A3833" t="str">
        <f>"3049319"</f>
        <v>3049319</v>
      </c>
      <c r="B3833" t="s">
        <v>11750</v>
      </c>
      <c r="C3833" t="str">
        <f>"54268250"</f>
        <v>54268250</v>
      </c>
      <c r="D3833" t="s">
        <v>11751</v>
      </c>
      <c r="F3833" t="s">
        <v>11407</v>
      </c>
      <c r="I3833" t="s">
        <v>29</v>
      </c>
      <c r="J3833" t="s">
        <v>30</v>
      </c>
      <c r="K3833" t="s">
        <v>31</v>
      </c>
      <c r="M3833" t="s">
        <v>32</v>
      </c>
      <c r="N3833" t="str">
        <f>"3/23/2004 12:00:00 AM"</f>
        <v>3/23/2004 12:00:00 AM</v>
      </c>
      <c r="O3833" t="s">
        <v>11751</v>
      </c>
    </row>
    <row r="3834" spans="1:20" x14ac:dyDescent="0.25">
      <c r="A3834" t="str">
        <f>"3052531"</f>
        <v>3052531</v>
      </c>
      <c r="B3834" t="s">
        <v>11752</v>
      </c>
      <c r="C3834" t="str">
        <f>"82528322"</f>
        <v>82528322</v>
      </c>
      <c r="D3834" t="s">
        <v>11753</v>
      </c>
      <c r="E3834" t="s">
        <v>11754</v>
      </c>
      <c r="F3834" t="s">
        <v>11755</v>
      </c>
      <c r="I3834" t="s">
        <v>29</v>
      </c>
      <c r="J3834" t="s">
        <v>30</v>
      </c>
      <c r="K3834" t="s">
        <v>31</v>
      </c>
      <c r="M3834" t="s">
        <v>32</v>
      </c>
      <c r="N3834" t="str">
        <f>"2/5/2010 12:00:00 AM"</f>
        <v>2/5/2010 12:00:00 AM</v>
      </c>
      <c r="O3834" t="s">
        <v>11753</v>
      </c>
      <c r="T3834" t="s">
        <v>11754</v>
      </c>
    </row>
    <row r="3835" spans="1:20" x14ac:dyDescent="0.25">
      <c r="A3835" t="str">
        <f>"3052689"</f>
        <v>3052689</v>
      </c>
      <c r="B3835" t="s">
        <v>11756</v>
      </c>
      <c r="C3835" t="str">
        <f>"6151120"</f>
        <v>6151120</v>
      </c>
      <c r="D3835" t="s">
        <v>11757</v>
      </c>
      <c r="E3835" t="s">
        <v>11758</v>
      </c>
      <c r="F3835" t="s">
        <v>11759</v>
      </c>
      <c r="I3835" t="s">
        <v>29</v>
      </c>
      <c r="J3835" t="s">
        <v>30</v>
      </c>
      <c r="K3835" t="s">
        <v>31</v>
      </c>
      <c r="M3835" t="s">
        <v>32</v>
      </c>
      <c r="N3835" t="str">
        <f>"3/14/2003 12:00:00 AM"</f>
        <v>3/14/2003 12:00:00 AM</v>
      </c>
      <c r="O3835" t="s">
        <v>11757</v>
      </c>
      <c r="T3835" t="s">
        <v>11758</v>
      </c>
    </row>
    <row r="3836" spans="1:20" x14ac:dyDescent="0.25">
      <c r="A3836" t="str">
        <f>"3052597"</f>
        <v>3052597</v>
      </c>
      <c r="B3836" t="s">
        <v>11760</v>
      </c>
      <c r="C3836" t="str">
        <f>"82523516"</f>
        <v>82523516</v>
      </c>
      <c r="D3836" t="s">
        <v>11761</v>
      </c>
      <c r="F3836" t="s">
        <v>11762</v>
      </c>
      <c r="I3836" t="s">
        <v>29</v>
      </c>
      <c r="J3836" t="s">
        <v>30</v>
      </c>
      <c r="K3836" t="s">
        <v>31</v>
      </c>
      <c r="N3836" t="str">
        <f>"12/13/2004 12:00:00 AM"</f>
        <v>12/13/2004 12:00:00 AM</v>
      </c>
      <c r="O3836" t="s">
        <v>11761</v>
      </c>
    </row>
    <row r="3837" spans="1:20" x14ac:dyDescent="0.25">
      <c r="A3837" t="str">
        <f>"3067175"</f>
        <v>3067175</v>
      </c>
      <c r="B3837" t="s">
        <v>11763</v>
      </c>
      <c r="C3837" t="str">
        <f>"27936000"</f>
        <v>27936000</v>
      </c>
      <c r="D3837" t="s">
        <v>11764</v>
      </c>
      <c r="F3837" t="s">
        <v>11765</v>
      </c>
      <c r="I3837" t="s">
        <v>29</v>
      </c>
      <c r="J3837" t="s">
        <v>30</v>
      </c>
      <c r="K3837" t="s">
        <v>31</v>
      </c>
      <c r="M3837" t="s">
        <v>32</v>
      </c>
      <c r="N3837" t="str">
        <f>"8/27/2003 12:00:00 AM"</f>
        <v>8/27/2003 12:00:00 AM</v>
      </c>
      <c r="O3837" t="s">
        <v>11764</v>
      </c>
    </row>
    <row r="3838" spans="1:20" x14ac:dyDescent="0.25">
      <c r="A3838" t="str">
        <f>"3052637"</f>
        <v>3052637</v>
      </c>
      <c r="B3838" t="s">
        <v>11766</v>
      </c>
      <c r="C3838" t="str">
        <f>"55821250"</f>
        <v>55821250</v>
      </c>
      <c r="D3838" t="s">
        <v>11767</v>
      </c>
      <c r="E3838" t="s">
        <v>11768</v>
      </c>
      <c r="F3838" t="s">
        <v>11769</v>
      </c>
      <c r="I3838" t="s">
        <v>29</v>
      </c>
      <c r="J3838" t="s">
        <v>30</v>
      </c>
      <c r="K3838" t="s">
        <v>31</v>
      </c>
      <c r="M3838" t="s">
        <v>32</v>
      </c>
      <c r="N3838" t="str">
        <f>"9/10/2002 12:00:00 AM"</f>
        <v>9/10/2002 12:00:00 AM</v>
      </c>
      <c r="O3838" t="s">
        <v>11767</v>
      </c>
      <c r="T3838" t="s">
        <v>11768</v>
      </c>
    </row>
    <row r="3839" spans="1:20" x14ac:dyDescent="0.25">
      <c r="A3839" t="str">
        <f>"3052598"</f>
        <v>3052598</v>
      </c>
      <c r="B3839" t="s">
        <v>11770</v>
      </c>
      <c r="C3839" t="str">
        <f>"82527449"</f>
        <v>82527449</v>
      </c>
      <c r="D3839" t="s">
        <v>11771</v>
      </c>
      <c r="F3839" t="s">
        <v>11772</v>
      </c>
      <c r="I3839" t="s">
        <v>29</v>
      </c>
      <c r="J3839" t="s">
        <v>30</v>
      </c>
      <c r="K3839" t="s">
        <v>31</v>
      </c>
      <c r="N3839" t="str">
        <f>"1/23/2007 12:00:00 AM"</f>
        <v>1/23/2007 12:00:00 AM</v>
      </c>
      <c r="O3839" t="s">
        <v>11771</v>
      </c>
    </row>
    <row r="3840" spans="1:20" x14ac:dyDescent="0.25">
      <c r="A3840" t="str">
        <f>"3052661"</f>
        <v>3052661</v>
      </c>
      <c r="B3840" t="s">
        <v>11773</v>
      </c>
      <c r="C3840" t="str">
        <f>"46636500"</f>
        <v>46636500</v>
      </c>
      <c r="D3840" t="s">
        <v>11774</v>
      </c>
      <c r="F3840" t="s">
        <v>11775</v>
      </c>
      <c r="I3840" t="s">
        <v>29</v>
      </c>
      <c r="J3840" t="s">
        <v>30</v>
      </c>
      <c r="K3840" t="s">
        <v>31</v>
      </c>
      <c r="M3840" t="s">
        <v>32</v>
      </c>
      <c r="N3840" t="str">
        <f>"12/14/2006 12:00:00 AM"</f>
        <v>12/14/2006 12:00:00 AM</v>
      </c>
      <c r="O3840" t="s">
        <v>11774</v>
      </c>
    </row>
    <row r="3841" spans="1:20" x14ac:dyDescent="0.25">
      <c r="A3841" t="str">
        <f>"3056879"</f>
        <v>3056879</v>
      </c>
      <c r="B3841" t="s">
        <v>11776</v>
      </c>
      <c r="C3841" t="str">
        <f>"65316750"</f>
        <v>65316750</v>
      </c>
      <c r="D3841" t="s">
        <v>11777</v>
      </c>
      <c r="E3841" t="s">
        <v>11778</v>
      </c>
      <c r="F3841" t="s">
        <v>11779</v>
      </c>
      <c r="I3841" t="s">
        <v>2589</v>
      </c>
      <c r="J3841" t="s">
        <v>30</v>
      </c>
      <c r="K3841" t="s">
        <v>11780</v>
      </c>
      <c r="N3841" t="str">
        <f>"7/8/2010 12:00:00 AM"</f>
        <v>7/8/2010 12:00:00 AM</v>
      </c>
      <c r="O3841" t="s">
        <v>11777</v>
      </c>
      <c r="T3841" t="s">
        <v>11778</v>
      </c>
    </row>
    <row r="3842" spans="1:20" x14ac:dyDescent="0.25">
      <c r="A3842" t="str">
        <f>"3052600"</f>
        <v>3052600</v>
      </c>
      <c r="B3842" t="s">
        <v>11781</v>
      </c>
      <c r="C3842" t="str">
        <f>"82528362"</f>
        <v>82528362</v>
      </c>
      <c r="D3842" t="s">
        <v>11782</v>
      </c>
      <c r="E3842" t="s">
        <v>11783</v>
      </c>
      <c r="F3842" t="s">
        <v>11784</v>
      </c>
      <c r="I3842" t="s">
        <v>29</v>
      </c>
      <c r="J3842" t="s">
        <v>30</v>
      </c>
      <c r="K3842" t="s">
        <v>31</v>
      </c>
      <c r="M3842" t="s">
        <v>32</v>
      </c>
      <c r="N3842" t="str">
        <f>"6/18/2009 12:00:00 AM"</f>
        <v>6/18/2009 12:00:00 AM</v>
      </c>
      <c r="O3842" t="s">
        <v>11782</v>
      </c>
      <c r="T3842" t="s">
        <v>11783</v>
      </c>
    </row>
    <row r="3843" spans="1:20" x14ac:dyDescent="0.25">
      <c r="A3843" t="str">
        <f>"3052676"</f>
        <v>3052676</v>
      </c>
      <c r="B3843" t="s">
        <v>11785</v>
      </c>
      <c r="C3843" t="str">
        <f>"82529764"</f>
        <v>82529764</v>
      </c>
      <c r="D3843" t="s">
        <v>11786</v>
      </c>
      <c r="E3843" t="s">
        <v>11787</v>
      </c>
      <c r="F3843" t="s">
        <v>11788</v>
      </c>
      <c r="I3843" t="s">
        <v>29</v>
      </c>
      <c r="J3843" t="s">
        <v>30</v>
      </c>
      <c r="K3843" t="s">
        <v>31</v>
      </c>
      <c r="M3843" t="s">
        <v>32</v>
      </c>
      <c r="N3843" t="str">
        <f>"6/19/2008 12:00:00 AM"</f>
        <v>6/19/2008 12:00:00 AM</v>
      </c>
      <c r="O3843" t="s">
        <v>11786</v>
      </c>
      <c r="T3843" t="s">
        <v>11787</v>
      </c>
    </row>
    <row r="3844" spans="1:20" x14ac:dyDescent="0.25">
      <c r="A3844" t="str">
        <f>"3052913"</f>
        <v>3052913</v>
      </c>
      <c r="B3844" t="s">
        <v>11789</v>
      </c>
      <c r="C3844" t="str">
        <f>"30673500"</f>
        <v>30673500</v>
      </c>
      <c r="D3844" t="s">
        <v>11790</v>
      </c>
      <c r="F3844" t="s">
        <v>11791</v>
      </c>
      <c r="I3844" t="s">
        <v>29</v>
      </c>
      <c r="J3844" t="s">
        <v>30</v>
      </c>
      <c r="K3844" t="s">
        <v>31</v>
      </c>
      <c r="M3844" t="s">
        <v>32</v>
      </c>
      <c r="N3844" t="str">
        <f>"9/10/2002 12:00:00 AM"</f>
        <v>9/10/2002 12:00:00 AM</v>
      </c>
      <c r="O3844" t="s">
        <v>11790</v>
      </c>
    </row>
    <row r="3845" spans="1:20" x14ac:dyDescent="0.25">
      <c r="A3845" t="str">
        <f>"3052605"</f>
        <v>3052605</v>
      </c>
      <c r="B3845" t="s">
        <v>11792</v>
      </c>
      <c r="C3845" t="str">
        <f>"16666500"</f>
        <v>16666500</v>
      </c>
      <c r="D3845" t="s">
        <v>11793</v>
      </c>
      <c r="E3845" t="s">
        <v>11794</v>
      </c>
      <c r="F3845" t="s">
        <v>11795</v>
      </c>
      <c r="I3845" t="s">
        <v>29</v>
      </c>
      <c r="J3845" t="s">
        <v>30</v>
      </c>
      <c r="K3845" t="s">
        <v>31</v>
      </c>
      <c r="N3845" t="str">
        <f>"9/10/2002 12:00:00 AM"</f>
        <v>9/10/2002 12:00:00 AM</v>
      </c>
      <c r="O3845" t="s">
        <v>11793</v>
      </c>
      <c r="T3845" t="s">
        <v>11794</v>
      </c>
    </row>
    <row r="3846" spans="1:20" x14ac:dyDescent="0.25">
      <c r="A3846" t="str">
        <f>"3052601"</f>
        <v>3052601</v>
      </c>
      <c r="B3846" t="s">
        <v>11796</v>
      </c>
      <c r="C3846" t="str">
        <f>"82523270"</f>
        <v>82523270</v>
      </c>
      <c r="D3846" t="s">
        <v>11797</v>
      </c>
      <c r="E3846" t="s">
        <v>11798</v>
      </c>
      <c r="F3846" t="s">
        <v>11799</v>
      </c>
      <c r="I3846" t="s">
        <v>29</v>
      </c>
      <c r="J3846" t="s">
        <v>30</v>
      </c>
      <c r="K3846" t="s">
        <v>11800</v>
      </c>
      <c r="M3846" t="s">
        <v>32</v>
      </c>
      <c r="N3846" t="str">
        <f>"3/9/2005 12:00:00 AM"</f>
        <v>3/9/2005 12:00:00 AM</v>
      </c>
      <c r="O3846" t="s">
        <v>11797</v>
      </c>
      <c r="T3846" t="s">
        <v>11798</v>
      </c>
    </row>
    <row r="3847" spans="1:20" x14ac:dyDescent="0.25">
      <c r="A3847" t="str">
        <f>"3052603"</f>
        <v>3052603</v>
      </c>
      <c r="B3847" t="s">
        <v>11801</v>
      </c>
      <c r="C3847" t="str">
        <f>"40280000"</f>
        <v>40280000</v>
      </c>
      <c r="D3847" t="s">
        <v>11802</v>
      </c>
      <c r="F3847" t="s">
        <v>11803</v>
      </c>
      <c r="I3847" t="s">
        <v>29</v>
      </c>
      <c r="J3847" t="s">
        <v>30</v>
      </c>
      <c r="K3847" t="s">
        <v>31</v>
      </c>
      <c r="M3847" t="s">
        <v>32</v>
      </c>
      <c r="N3847" t="str">
        <f>"10/9/2001 12:00:00 AM"</f>
        <v>10/9/2001 12:00:00 AM</v>
      </c>
      <c r="O3847" t="s">
        <v>11802</v>
      </c>
    </row>
    <row r="3848" spans="1:20" x14ac:dyDescent="0.25">
      <c r="A3848" t="str">
        <f>"3052677"</f>
        <v>3052677</v>
      </c>
      <c r="B3848" t="s">
        <v>11804</v>
      </c>
      <c r="C3848" t="str">
        <f>"56032000"</f>
        <v>56032000</v>
      </c>
      <c r="D3848" t="s">
        <v>11805</v>
      </c>
      <c r="F3848" t="s">
        <v>11806</v>
      </c>
      <c r="I3848" t="s">
        <v>29</v>
      </c>
      <c r="J3848" t="s">
        <v>30</v>
      </c>
      <c r="K3848" t="s">
        <v>31</v>
      </c>
      <c r="M3848" t="s">
        <v>32</v>
      </c>
      <c r="N3848" t="str">
        <f>"9/10/2002 12:00:00 AM"</f>
        <v>9/10/2002 12:00:00 AM</v>
      </c>
      <c r="O3848" t="s">
        <v>11805</v>
      </c>
    </row>
    <row r="3849" spans="1:20" x14ac:dyDescent="0.25">
      <c r="A3849" t="str">
        <f>"3059313"</f>
        <v>3059313</v>
      </c>
      <c r="B3849" t="s">
        <v>11807</v>
      </c>
      <c r="C3849" t="str">
        <f>"82526070"</f>
        <v>82526070</v>
      </c>
      <c r="D3849" t="s">
        <v>11808</v>
      </c>
      <c r="F3849" t="s">
        <v>11809</v>
      </c>
      <c r="I3849" t="s">
        <v>29</v>
      </c>
      <c r="J3849" t="s">
        <v>30</v>
      </c>
      <c r="K3849" t="s">
        <v>31</v>
      </c>
      <c r="M3849" t="s">
        <v>32</v>
      </c>
      <c r="N3849" t="str">
        <f>"4/25/2006 12:00:00 AM"</f>
        <v>4/25/2006 12:00:00 AM</v>
      </c>
      <c r="O3849" t="s">
        <v>11808</v>
      </c>
    </row>
    <row r="3850" spans="1:20" x14ac:dyDescent="0.25">
      <c r="A3850" t="str">
        <f>"3052475"</f>
        <v>3052475</v>
      </c>
      <c r="B3850" t="s">
        <v>11810</v>
      </c>
      <c r="C3850" t="str">
        <f>"2558700"</f>
        <v>2558700</v>
      </c>
      <c r="D3850" t="s">
        <v>11811</v>
      </c>
      <c r="E3850" t="s">
        <v>11812</v>
      </c>
      <c r="F3850" t="s">
        <v>11813</v>
      </c>
      <c r="I3850" t="s">
        <v>29</v>
      </c>
      <c r="J3850" t="s">
        <v>30</v>
      </c>
      <c r="K3850" t="s">
        <v>31</v>
      </c>
      <c r="M3850" t="s">
        <v>32</v>
      </c>
      <c r="N3850" t="str">
        <f>"5/14/2003 12:00:00 AM"</f>
        <v>5/14/2003 12:00:00 AM</v>
      </c>
      <c r="O3850" t="s">
        <v>11811</v>
      </c>
      <c r="T3850" t="s">
        <v>11812</v>
      </c>
    </row>
    <row r="3851" spans="1:20" x14ac:dyDescent="0.25">
      <c r="A3851" t="str">
        <f>"3052470"</f>
        <v>3052470</v>
      </c>
      <c r="B3851" t="s">
        <v>11814</v>
      </c>
      <c r="C3851" t="str">
        <f>"10625000"</f>
        <v>10625000</v>
      </c>
      <c r="D3851" t="s">
        <v>11815</v>
      </c>
      <c r="F3851" t="s">
        <v>11816</v>
      </c>
      <c r="I3851" t="s">
        <v>29</v>
      </c>
      <c r="J3851" t="s">
        <v>30</v>
      </c>
      <c r="K3851" t="s">
        <v>31</v>
      </c>
      <c r="M3851" t="s">
        <v>32</v>
      </c>
      <c r="N3851" t="str">
        <f>"2/24/2005 12:00:00 AM"</f>
        <v>2/24/2005 12:00:00 AM</v>
      </c>
      <c r="O3851" t="s">
        <v>11815</v>
      </c>
    </row>
    <row r="3852" spans="1:20" x14ac:dyDescent="0.25">
      <c r="A3852" t="str">
        <f>"3052581"</f>
        <v>3052581</v>
      </c>
      <c r="B3852" t="s">
        <v>11817</v>
      </c>
      <c r="C3852" t="str">
        <f>"82514638"</f>
        <v>82514638</v>
      </c>
      <c r="D3852" t="s">
        <v>11818</v>
      </c>
      <c r="E3852" t="s">
        <v>11819</v>
      </c>
      <c r="F3852" t="s">
        <v>11820</v>
      </c>
      <c r="I3852" t="s">
        <v>29</v>
      </c>
      <c r="J3852" t="s">
        <v>30</v>
      </c>
      <c r="K3852" t="s">
        <v>31</v>
      </c>
      <c r="M3852" t="s">
        <v>32</v>
      </c>
      <c r="N3852" t="str">
        <f>"9/10/2002 12:00:00 AM"</f>
        <v>9/10/2002 12:00:00 AM</v>
      </c>
      <c r="O3852" t="s">
        <v>11818</v>
      </c>
      <c r="T3852" t="s">
        <v>11819</v>
      </c>
    </row>
    <row r="3853" spans="1:20" x14ac:dyDescent="0.25">
      <c r="A3853" t="str">
        <f>"3052327"</f>
        <v>3052327</v>
      </c>
      <c r="B3853" t="s">
        <v>11821</v>
      </c>
      <c r="C3853" t="str">
        <f>"82523412"</f>
        <v>82523412</v>
      </c>
      <c r="D3853" t="s">
        <v>11822</v>
      </c>
      <c r="F3853" t="s">
        <v>11823</v>
      </c>
      <c r="I3853" t="s">
        <v>29</v>
      </c>
      <c r="J3853" t="s">
        <v>30</v>
      </c>
      <c r="K3853" t="s">
        <v>11824</v>
      </c>
      <c r="N3853" t="str">
        <f>"3/4/2005 12:00:00 AM"</f>
        <v>3/4/2005 12:00:00 AM</v>
      </c>
      <c r="O3853" t="s">
        <v>11822</v>
      </c>
    </row>
    <row r="3854" spans="1:20" x14ac:dyDescent="0.25">
      <c r="A3854" t="str">
        <f>"3051658"</f>
        <v>3051658</v>
      </c>
      <c r="B3854" t="s">
        <v>11825</v>
      </c>
      <c r="C3854" t="str">
        <f>"105500"</f>
        <v>105500</v>
      </c>
      <c r="D3854" t="s">
        <v>11826</v>
      </c>
      <c r="F3854" t="s">
        <v>11827</v>
      </c>
      <c r="G3854" t="s">
        <v>11828</v>
      </c>
      <c r="I3854" t="s">
        <v>29</v>
      </c>
      <c r="J3854" t="s">
        <v>30</v>
      </c>
      <c r="K3854" t="s">
        <v>31</v>
      </c>
      <c r="M3854" t="s">
        <v>32</v>
      </c>
      <c r="N3854" t="str">
        <f>"2/14/2003 12:00:00 AM"</f>
        <v>2/14/2003 12:00:00 AM</v>
      </c>
      <c r="O3854" t="s">
        <v>11826</v>
      </c>
    </row>
    <row r="3855" spans="1:20" x14ac:dyDescent="0.25">
      <c r="A3855" t="str">
        <f>"3052369"</f>
        <v>3052369</v>
      </c>
      <c r="B3855" t="s">
        <v>11829</v>
      </c>
      <c r="C3855" t="str">
        <f>"82526928"</f>
        <v>82526928</v>
      </c>
      <c r="D3855" t="s">
        <v>11830</v>
      </c>
      <c r="F3855" t="s">
        <v>11831</v>
      </c>
      <c r="I3855" t="s">
        <v>29</v>
      </c>
      <c r="J3855" t="s">
        <v>30</v>
      </c>
      <c r="K3855" t="s">
        <v>31</v>
      </c>
      <c r="N3855" t="str">
        <f>"10/11/2006 12:00:00 AM"</f>
        <v>10/11/2006 12:00:00 AM</v>
      </c>
      <c r="O3855" t="s">
        <v>11830</v>
      </c>
    </row>
    <row r="3856" spans="1:20" x14ac:dyDescent="0.25">
      <c r="A3856" t="str">
        <f>"3067564"</f>
        <v>3067564</v>
      </c>
      <c r="B3856" t="s">
        <v>11832</v>
      </c>
      <c r="C3856" t="str">
        <f>"82526676"</f>
        <v>82526676</v>
      </c>
      <c r="D3856" t="s">
        <v>11833</v>
      </c>
      <c r="E3856" t="s">
        <v>11834</v>
      </c>
      <c r="F3856" t="s">
        <v>11835</v>
      </c>
      <c r="I3856" t="s">
        <v>29</v>
      </c>
      <c r="J3856" t="s">
        <v>30</v>
      </c>
      <c r="K3856" t="s">
        <v>11836</v>
      </c>
      <c r="N3856" t="str">
        <f>"1/8/2007 12:00:00 AM"</f>
        <v>1/8/2007 12:00:00 AM</v>
      </c>
      <c r="O3856" t="s">
        <v>11833</v>
      </c>
      <c r="T3856" t="s">
        <v>11834</v>
      </c>
    </row>
    <row r="3857" spans="1:20" x14ac:dyDescent="0.25">
      <c r="A3857" t="str">
        <f>"3052366"</f>
        <v>3052366</v>
      </c>
      <c r="B3857" t="s">
        <v>11837</v>
      </c>
      <c r="C3857" t="str">
        <f>"82528696"</f>
        <v>82528696</v>
      </c>
      <c r="D3857" t="s">
        <v>11838</v>
      </c>
      <c r="F3857" t="s">
        <v>11839</v>
      </c>
      <c r="I3857" t="s">
        <v>29</v>
      </c>
      <c r="J3857" t="s">
        <v>30</v>
      </c>
      <c r="K3857" t="s">
        <v>31</v>
      </c>
      <c r="M3857" t="s">
        <v>32</v>
      </c>
      <c r="N3857" t="str">
        <f>"10/9/2007 12:00:00 AM"</f>
        <v>10/9/2007 12:00:00 AM</v>
      </c>
      <c r="O3857" t="s">
        <v>11838</v>
      </c>
    </row>
    <row r="3858" spans="1:20" x14ac:dyDescent="0.25">
      <c r="A3858" t="str">
        <f>"3052379"</f>
        <v>3052379</v>
      </c>
      <c r="B3858" t="s">
        <v>11840</v>
      </c>
      <c r="C3858" t="str">
        <f>"82522914"</f>
        <v>82522914</v>
      </c>
      <c r="D3858" t="s">
        <v>11841</v>
      </c>
      <c r="E3858" t="s">
        <v>11842</v>
      </c>
      <c r="F3858" t="s">
        <v>11843</v>
      </c>
      <c r="I3858" t="s">
        <v>29</v>
      </c>
      <c r="J3858" t="s">
        <v>30</v>
      </c>
      <c r="K3858" t="s">
        <v>11844</v>
      </c>
      <c r="M3858" t="s">
        <v>32</v>
      </c>
      <c r="N3858" t="str">
        <f>"1/26/2010 12:00:00 AM"</f>
        <v>1/26/2010 12:00:00 AM</v>
      </c>
      <c r="O3858" t="s">
        <v>11841</v>
      </c>
      <c r="T3858" t="s">
        <v>11842</v>
      </c>
    </row>
    <row r="3859" spans="1:20" x14ac:dyDescent="0.25">
      <c r="A3859" t="str">
        <f>"3052378"</f>
        <v>3052378</v>
      </c>
      <c r="B3859" t="s">
        <v>11845</v>
      </c>
      <c r="C3859" t="str">
        <f>"82526268"</f>
        <v>82526268</v>
      </c>
      <c r="D3859" t="s">
        <v>11846</v>
      </c>
      <c r="F3859" t="s">
        <v>11847</v>
      </c>
      <c r="I3859" t="s">
        <v>29</v>
      </c>
      <c r="J3859" t="s">
        <v>30</v>
      </c>
      <c r="K3859" t="s">
        <v>31</v>
      </c>
      <c r="M3859" t="s">
        <v>32</v>
      </c>
      <c r="N3859" t="str">
        <f>"2/14/2007 12:00:00 AM"</f>
        <v>2/14/2007 12:00:00 AM</v>
      </c>
      <c r="O3859" t="s">
        <v>11846</v>
      </c>
    </row>
    <row r="3860" spans="1:20" x14ac:dyDescent="0.25">
      <c r="A3860" t="str">
        <f>"3048265"</f>
        <v>3048265</v>
      </c>
      <c r="B3860" t="s">
        <v>11848</v>
      </c>
      <c r="C3860" t="str">
        <f>"105500"</f>
        <v>105500</v>
      </c>
      <c r="D3860" t="s">
        <v>11826</v>
      </c>
      <c r="F3860" t="s">
        <v>11827</v>
      </c>
      <c r="G3860" t="s">
        <v>11828</v>
      </c>
      <c r="I3860" t="s">
        <v>29</v>
      </c>
      <c r="J3860" t="s">
        <v>30</v>
      </c>
      <c r="K3860" t="s">
        <v>31</v>
      </c>
      <c r="M3860" t="s">
        <v>32</v>
      </c>
      <c r="N3860" t="str">
        <f>"2/14/2003 12:00:00 AM"</f>
        <v>2/14/2003 12:00:00 AM</v>
      </c>
      <c r="O3860" t="s">
        <v>11826</v>
      </c>
    </row>
    <row r="3861" spans="1:20" x14ac:dyDescent="0.25">
      <c r="A3861" t="str">
        <f>"3046164"</f>
        <v>3046164</v>
      </c>
      <c r="B3861" t="s">
        <v>11849</v>
      </c>
      <c r="C3861" t="str">
        <f>"28067650"</f>
        <v>28067650</v>
      </c>
      <c r="D3861" t="s">
        <v>11850</v>
      </c>
      <c r="F3861" t="s">
        <v>11851</v>
      </c>
      <c r="I3861" t="s">
        <v>29</v>
      </c>
      <c r="J3861" t="s">
        <v>30</v>
      </c>
      <c r="K3861" t="s">
        <v>31</v>
      </c>
      <c r="M3861" t="s">
        <v>32</v>
      </c>
      <c r="N3861" t="str">
        <f>"9/9/2002 12:00:00 AM"</f>
        <v>9/9/2002 12:00:00 AM</v>
      </c>
      <c r="O3861" t="s">
        <v>11850</v>
      </c>
    </row>
    <row r="3862" spans="1:20" x14ac:dyDescent="0.25">
      <c r="A3862" t="str">
        <f>"3046028"</f>
        <v>3046028</v>
      </c>
      <c r="B3862" t="s">
        <v>11852</v>
      </c>
      <c r="C3862" t="str">
        <f>"28067650"</f>
        <v>28067650</v>
      </c>
      <c r="D3862" t="s">
        <v>11850</v>
      </c>
      <c r="F3862" t="s">
        <v>11851</v>
      </c>
      <c r="I3862" t="s">
        <v>29</v>
      </c>
      <c r="J3862" t="s">
        <v>30</v>
      </c>
      <c r="K3862" t="s">
        <v>31</v>
      </c>
      <c r="M3862" t="s">
        <v>32</v>
      </c>
      <c r="N3862" t="str">
        <f>"9/9/2002 12:00:00 AM"</f>
        <v>9/9/2002 12:00:00 AM</v>
      </c>
      <c r="O3862" t="s">
        <v>11850</v>
      </c>
    </row>
    <row r="3863" spans="1:20" x14ac:dyDescent="0.25">
      <c r="A3863" t="str">
        <f>"3046429"</f>
        <v>3046429</v>
      </c>
      <c r="B3863" t="s">
        <v>11853</v>
      </c>
      <c r="C3863" t="str">
        <f>"53972000"</f>
        <v>53972000</v>
      </c>
      <c r="D3863" t="s">
        <v>11854</v>
      </c>
      <c r="E3863" t="s">
        <v>11855</v>
      </c>
      <c r="F3863" t="s">
        <v>11856</v>
      </c>
      <c r="I3863" t="s">
        <v>29</v>
      </c>
      <c r="J3863" t="s">
        <v>30</v>
      </c>
      <c r="K3863" t="s">
        <v>31</v>
      </c>
      <c r="M3863" t="s">
        <v>32</v>
      </c>
      <c r="N3863" t="str">
        <f>"3/17/2004 12:00:00 AM"</f>
        <v>3/17/2004 12:00:00 AM</v>
      </c>
      <c r="O3863" t="s">
        <v>11854</v>
      </c>
      <c r="T3863" t="s">
        <v>11855</v>
      </c>
    </row>
    <row r="3864" spans="1:20" x14ac:dyDescent="0.25">
      <c r="A3864" t="str">
        <f>"3052383"</f>
        <v>3052383</v>
      </c>
      <c r="B3864" t="s">
        <v>11857</v>
      </c>
      <c r="C3864" t="str">
        <f>"82519514"</f>
        <v>82519514</v>
      </c>
      <c r="D3864" t="s">
        <v>11858</v>
      </c>
      <c r="E3864" t="s">
        <v>11859</v>
      </c>
      <c r="F3864" t="s">
        <v>11860</v>
      </c>
      <c r="I3864" t="s">
        <v>29</v>
      </c>
      <c r="J3864" t="s">
        <v>30</v>
      </c>
      <c r="K3864" t="s">
        <v>31</v>
      </c>
      <c r="M3864" t="s">
        <v>32</v>
      </c>
      <c r="N3864" t="str">
        <f>"10/2/2002 12:00:00 AM"</f>
        <v>10/2/2002 12:00:00 AM</v>
      </c>
      <c r="O3864" t="s">
        <v>11858</v>
      </c>
      <c r="T3864" t="s">
        <v>11859</v>
      </c>
    </row>
    <row r="3865" spans="1:20" x14ac:dyDescent="0.25">
      <c r="A3865" t="str">
        <f>"3046232"</f>
        <v>3046232</v>
      </c>
      <c r="B3865" t="s">
        <v>11861</v>
      </c>
      <c r="C3865" t="str">
        <f>"82524930"</f>
        <v>82524930</v>
      </c>
      <c r="D3865" t="s">
        <v>11862</v>
      </c>
      <c r="E3865" t="s">
        <v>11863</v>
      </c>
      <c r="F3865" t="s">
        <v>11864</v>
      </c>
      <c r="I3865" t="s">
        <v>29</v>
      </c>
      <c r="J3865" t="s">
        <v>30</v>
      </c>
      <c r="K3865" t="s">
        <v>11865</v>
      </c>
      <c r="M3865" t="s">
        <v>32</v>
      </c>
      <c r="N3865" t="str">
        <f>"1/22/2010 12:00:00 AM"</f>
        <v>1/22/2010 12:00:00 AM</v>
      </c>
      <c r="O3865" t="s">
        <v>11862</v>
      </c>
      <c r="T3865" t="s">
        <v>11863</v>
      </c>
    </row>
    <row r="3866" spans="1:20" x14ac:dyDescent="0.25">
      <c r="A3866" t="str">
        <f>"3051705"</f>
        <v>3051705</v>
      </c>
      <c r="B3866" t="s">
        <v>11866</v>
      </c>
      <c r="C3866" t="str">
        <f>"44685100"</f>
        <v>44685100</v>
      </c>
      <c r="D3866" t="s">
        <v>11867</v>
      </c>
      <c r="F3866" t="s">
        <v>11598</v>
      </c>
      <c r="I3866" t="s">
        <v>2280</v>
      </c>
      <c r="J3866" t="s">
        <v>30</v>
      </c>
      <c r="K3866" t="s">
        <v>9127</v>
      </c>
      <c r="M3866" t="s">
        <v>32</v>
      </c>
      <c r="N3866" t="str">
        <f>"12/11/2003 12:00:00 AM"</f>
        <v>12/11/2003 12:00:00 AM</v>
      </c>
      <c r="O3866" t="s">
        <v>11867</v>
      </c>
    </row>
    <row r="3867" spans="1:20" x14ac:dyDescent="0.25">
      <c r="A3867" t="str">
        <f>"3051659"</f>
        <v>3051659</v>
      </c>
      <c r="B3867" t="s">
        <v>11868</v>
      </c>
      <c r="C3867" t="str">
        <f>"82530366"</f>
        <v>82530366</v>
      </c>
      <c r="D3867" t="s">
        <v>11629</v>
      </c>
      <c r="E3867" t="s">
        <v>11630</v>
      </c>
      <c r="F3867" t="s">
        <v>11631</v>
      </c>
      <c r="I3867" t="s">
        <v>184</v>
      </c>
      <c r="J3867" t="s">
        <v>30</v>
      </c>
      <c r="K3867" t="s">
        <v>185</v>
      </c>
      <c r="M3867" t="s">
        <v>32</v>
      </c>
      <c r="N3867" t="str">
        <f>"3/25/2009 12:00:00 AM"</f>
        <v>3/25/2009 12:00:00 AM</v>
      </c>
      <c r="O3867" t="s">
        <v>11629</v>
      </c>
      <c r="T3867" t="s">
        <v>11630</v>
      </c>
    </row>
    <row r="3868" spans="1:20" x14ac:dyDescent="0.25">
      <c r="A3868" t="str">
        <f>"3055249"</f>
        <v>3055249</v>
      </c>
      <c r="B3868" t="s">
        <v>11869</v>
      </c>
      <c r="C3868" t="str">
        <f>"82517831"</f>
        <v>82517831</v>
      </c>
      <c r="D3868" t="s">
        <v>11870</v>
      </c>
      <c r="E3868" t="s">
        <v>11871</v>
      </c>
      <c r="F3868" t="s">
        <v>11872</v>
      </c>
      <c r="I3868" t="s">
        <v>29</v>
      </c>
      <c r="J3868" t="s">
        <v>30</v>
      </c>
      <c r="K3868" t="s">
        <v>11873</v>
      </c>
      <c r="M3868" t="s">
        <v>32</v>
      </c>
      <c r="N3868" t="str">
        <f>"1/9/2008 12:00:00 AM"</f>
        <v>1/9/2008 12:00:00 AM</v>
      </c>
      <c r="O3868" t="s">
        <v>11870</v>
      </c>
      <c r="T3868" t="s">
        <v>11871</v>
      </c>
    </row>
    <row r="3869" spans="1:20" x14ac:dyDescent="0.25">
      <c r="A3869" t="str">
        <f>"3052411"</f>
        <v>3052411</v>
      </c>
      <c r="B3869" t="s">
        <v>11874</v>
      </c>
      <c r="C3869" t="str">
        <f>"9118000"</f>
        <v>9118000</v>
      </c>
      <c r="D3869" t="s">
        <v>11875</v>
      </c>
      <c r="E3869" t="s">
        <v>11876</v>
      </c>
      <c r="F3869" t="s">
        <v>8229</v>
      </c>
      <c r="I3869" t="s">
        <v>29</v>
      </c>
      <c r="J3869" t="s">
        <v>30</v>
      </c>
      <c r="K3869" t="s">
        <v>31</v>
      </c>
      <c r="M3869" t="s">
        <v>32</v>
      </c>
      <c r="N3869" t="str">
        <f>"12/8/2004 12:00:00 AM"</f>
        <v>12/8/2004 12:00:00 AM</v>
      </c>
      <c r="O3869" t="s">
        <v>11875</v>
      </c>
      <c r="T3869" t="s">
        <v>11876</v>
      </c>
    </row>
    <row r="3870" spans="1:20" x14ac:dyDescent="0.25">
      <c r="A3870" t="str">
        <f>"3053478"</f>
        <v>3053478</v>
      </c>
      <c r="B3870" t="s">
        <v>11877</v>
      </c>
      <c r="C3870" t="str">
        <f>"9118000"</f>
        <v>9118000</v>
      </c>
      <c r="D3870" t="s">
        <v>11875</v>
      </c>
      <c r="E3870" t="s">
        <v>11876</v>
      </c>
      <c r="F3870" t="s">
        <v>8229</v>
      </c>
      <c r="I3870" t="s">
        <v>29</v>
      </c>
      <c r="J3870" t="s">
        <v>30</v>
      </c>
      <c r="K3870" t="s">
        <v>31</v>
      </c>
      <c r="M3870" t="s">
        <v>32</v>
      </c>
      <c r="N3870" t="str">
        <f>"12/8/2004 12:00:00 AM"</f>
        <v>12/8/2004 12:00:00 AM</v>
      </c>
      <c r="O3870" t="s">
        <v>11875</v>
      </c>
      <c r="T3870" t="s">
        <v>11876</v>
      </c>
    </row>
    <row r="3871" spans="1:20" x14ac:dyDescent="0.25">
      <c r="A3871" t="str">
        <f>"3059508"</f>
        <v>3059508</v>
      </c>
      <c r="B3871" t="s">
        <v>11878</v>
      </c>
      <c r="C3871" t="str">
        <f>"9118000"</f>
        <v>9118000</v>
      </c>
      <c r="D3871" t="s">
        <v>11875</v>
      </c>
      <c r="E3871" t="s">
        <v>11876</v>
      </c>
      <c r="F3871" t="s">
        <v>8229</v>
      </c>
      <c r="I3871" t="s">
        <v>29</v>
      </c>
      <c r="J3871" t="s">
        <v>30</v>
      </c>
      <c r="K3871" t="s">
        <v>31</v>
      </c>
      <c r="M3871" t="s">
        <v>32</v>
      </c>
      <c r="N3871" t="str">
        <f>"12/8/2004 12:00:00 AM"</f>
        <v>12/8/2004 12:00:00 AM</v>
      </c>
      <c r="O3871" t="s">
        <v>11875</v>
      </c>
      <c r="T3871" t="s">
        <v>11876</v>
      </c>
    </row>
    <row r="3872" spans="1:20" x14ac:dyDescent="0.25">
      <c r="A3872" t="str">
        <f>"3059511"</f>
        <v>3059511</v>
      </c>
      <c r="B3872" t="s">
        <v>11879</v>
      </c>
      <c r="C3872" t="str">
        <f>"9118000"</f>
        <v>9118000</v>
      </c>
      <c r="D3872" t="s">
        <v>11875</v>
      </c>
      <c r="E3872" t="s">
        <v>11876</v>
      </c>
      <c r="F3872" t="s">
        <v>8229</v>
      </c>
      <c r="I3872" t="s">
        <v>29</v>
      </c>
      <c r="J3872" t="s">
        <v>30</v>
      </c>
      <c r="K3872" t="s">
        <v>31</v>
      </c>
      <c r="M3872" t="s">
        <v>32</v>
      </c>
      <c r="N3872" t="str">
        <f>"12/8/2004 12:00:00 AM"</f>
        <v>12/8/2004 12:00:00 AM</v>
      </c>
      <c r="O3872" t="s">
        <v>11875</v>
      </c>
      <c r="T3872" t="s">
        <v>11876</v>
      </c>
    </row>
    <row r="3873" spans="1:20" x14ac:dyDescent="0.25">
      <c r="A3873" t="str">
        <f>"3052504"</f>
        <v>3052504</v>
      </c>
      <c r="B3873" t="s">
        <v>11880</v>
      </c>
      <c r="C3873" t="str">
        <f>"82516262"</f>
        <v>82516262</v>
      </c>
      <c r="D3873" t="s">
        <v>11881</v>
      </c>
      <c r="F3873" t="s">
        <v>11882</v>
      </c>
      <c r="I3873" t="s">
        <v>29</v>
      </c>
      <c r="J3873" t="s">
        <v>30</v>
      </c>
      <c r="K3873" t="s">
        <v>31</v>
      </c>
      <c r="N3873" t="str">
        <f>"6/13/2001 12:00:00 AM"</f>
        <v>6/13/2001 12:00:00 AM</v>
      </c>
      <c r="O3873" t="s">
        <v>11881</v>
      </c>
    </row>
    <row r="3874" spans="1:20" x14ac:dyDescent="0.25">
      <c r="A3874" t="str">
        <f>"3052917"</f>
        <v>3052917</v>
      </c>
      <c r="B3874" t="s">
        <v>11883</v>
      </c>
      <c r="C3874" t="str">
        <f>"3868000"</f>
        <v>3868000</v>
      </c>
      <c r="D3874" t="s">
        <v>11884</v>
      </c>
      <c r="F3874" t="s">
        <v>11885</v>
      </c>
      <c r="I3874" t="s">
        <v>29</v>
      </c>
      <c r="J3874" t="s">
        <v>30</v>
      </c>
      <c r="K3874" t="s">
        <v>11886</v>
      </c>
      <c r="M3874" t="s">
        <v>32</v>
      </c>
      <c r="N3874" t="str">
        <f>"1/24/2006 12:00:00 AM"</f>
        <v>1/24/2006 12:00:00 AM</v>
      </c>
      <c r="O3874" t="s">
        <v>11884</v>
      </c>
    </row>
    <row r="3875" spans="1:20" x14ac:dyDescent="0.25">
      <c r="A3875" t="str">
        <f>"3052479"</f>
        <v>3052479</v>
      </c>
      <c r="B3875" t="s">
        <v>11887</v>
      </c>
      <c r="C3875" t="str">
        <f>"82522288"</f>
        <v>82522288</v>
      </c>
      <c r="D3875" t="s">
        <v>11888</v>
      </c>
      <c r="F3875" t="s">
        <v>11889</v>
      </c>
      <c r="I3875" t="s">
        <v>29</v>
      </c>
      <c r="J3875" t="s">
        <v>30</v>
      </c>
      <c r="K3875" t="s">
        <v>11890</v>
      </c>
      <c r="M3875" t="s">
        <v>32</v>
      </c>
      <c r="N3875" t="str">
        <f>"2/10/2005 12:00:00 AM"</f>
        <v>2/10/2005 12:00:00 AM</v>
      </c>
      <c r="O3875" t="s">
        <v>11888</v>
      </c>
    </row>
    <row r="3876" spans="1:20" x14ac:dyDescent="0.25">
      <c r="A3876" t="str">
        <f>"3052464"</f>
        <v>3052464</v>
      </c>
      <c r="B3876" t="s">
        <v>11891</v>
      </c>
      <c r="C3876" t="str">
        <f>"42727500"</f>
        <v>42727500</v>
      </c>
      <c r="D3876" t="s">
        <v>11892</v>
      </c>
      <c r="E3876" t="s">
        <v>11893</v>
      </c>
      <c r="F3876" t="s">
        <v>11894</v>
      </c>
      <c r="I3876" t="s">
        <v>29</v>
      </c>
      <c r="J3876" t="s">
        <v>30</v>
      </c>
      <c r="K3876" t="s">
        <v>31</v>
      </c>
      <c r="M3876" t="s">
        <v>32</v>
      </c>
      <c r="N3876" t="str">
        <f>"9/10/2002 12:00:00 AM"</f>
        <v>9/10/2002 12:00:00 AM</v>
      </c>
      <c r="O3876" t="s">
        <v>11892</v>
      </c>
      <c r="T3876" t="s">
        <v>11893</v>
      </c>
    </row>
    <row r="3877" spans="1:20" x14ac:dyDescent="0.25">
      <c r="A3877" t="str">
        <f>"3052450"</f>
        <v>3052450</v>
      </c>
      <c r="B3877" t="s">
        <v>11895</v>
      </c>
      <c r="C3877" t="str">
        <f>"64377130"</f>
        <v>64377130</v>
      </c>
      <c r="D3877" t="s">
        <v>11896</v>
      </c>
      <c r="F3877" t="s">
        <v>11897</v>
      </c>
      <c r="I3877" t="s">
        <v>29</v>
      </c>
      <c r="J3877" t="s">
        <v>30</v>
      </c>
      <c r="K3877" t="s">
        <v>11898</v>
      </c>
      <c r="M3877" t="s">
        <v>32</v>
      </c>
      <c r="N3877" t="str">
        <f>"5/17/2005 12:00:00 AM"</f>
        <v>5/17/2005 12:00:00 AM</v>
      </c>
      <c r="O3877" t="s">
        <v>11896</v>
      </c>
    </row>
    <row r="3878" spans="1:20" x14ac:dyDescent="0.25">
      <c r="A3878" t="str">
        <f>"3055639"</f>
        <v>3055639</v>
      </c>
      <c r="B3878" t="s">
        <v>11899</v>
      </c>
      <c r="C3878" t="str">
        <f>"82517831"</f>
        <v>82517831</v>
      </c>
      <c r="D3878" t="s">
        <v>11870</v>
      </c>
      <c r="E3878" t="s">
        <v>11871</v>
      </c>
      <c r="F3878" t="s">
        <v>11872</v>
      </c>
      <c r="I3878" t="s">
        <v>29</v>
      </c>
      <c r="J3878" t="s">
        <v>30</v>
      </c>
      <c r="K3878" t="s">
        <v>11873</v>
      </c>
      <c r="M3878" t="s">
        <v>32</v>
      </c>
      <c r="N3878" t="str">
        <f>"1/9/2008 12:00:00 AM"</f>
        <v>1/9/2008 12:00:00 AM</v>
      </c>
      <c r="O3878" t="s">
        <v>11870</v>
      </c>
      <c r="T3878" t="s">
        <v>11871</v>
      </c>
    </row>
    <row r="3879" spans="1:20" x14ac:dyDescent="0.25">
      <c r="A3879" t="str">
        <f>"3058779"</f>
        <v>3058779</v>
      </c>
      <c r="B3879" t="s">
        <v>11900</v>
      </c>
      <c r="C3879" t="str">
        <f>"82526679"</f>
        <v>82526679</v>
      </c>
      <c r="D3879" t="s">
        <v>11901</v>
      </c>
      <c r="F3879" t="s">
        <v>11902</v>
      </c>
      <c r="I3879" t="s">
        <v>29</v>
      </c>
      <c r="J3879" t="s">
        <v>30</v>
      </c>
      <c r="K3879" t="s">
        <v>31</v>
      </c>
      <c r="M3879" t="s">
        <v>32</v>
      </c>
      <c r="N3879" t="str">
        <f>"8/29/2006 12:00:00 AM"</f>
        <v>8/29/2006 12:00:00 AM</v>
      </c>
      <c r="O3879" t="s">
        <v>11901</v>
      </c>
    </row>
    <row r="3880" spans="1:20" x14ac:dyDescent="0.25">
      <c r="A3880" t="str">
        <f>"3052502"</f>
        <v>3052502</v>
      </c>
      <c r="B3880" t="s">
        <v>11903</v>
      </c>
      <c r="C3880" t="str">
        <f>"53744500"</f>
        <v>53744500</v>
      </c>
      <c r="D3880" t="s">
        <v>11904</v>
      </c>
      <c r="F3880" t="s">
        <v>11905</v>
      </c>
      <c r="I3880" t="s">
        <v>29</v>
      </c>
      <c r="J3880" t="s">
        <v>30</v>
      </c>
      <c r="K3880" t="s">
        <v>31</v>
      </c>
      <c r="M3880" t="s">
        <v>32</v>
      </c>
      <c r="N3880" t="str">
        <f>"3/17/2004 12:00:00 AM"</f>
        <v>3/17/2004 12:00:00 AM</v>
      </c>
      <c r="O3880" t="s">
        <v>11904</v>
      </c>
    </row>
    <row r="3881" spans="1:20" x14ac:dyDescent="0.25">
      <c r="A3881" t="str">
        <f>"3052458"</f>
        <v>3052458</v>
      </c>
      <c r="B3881" t="s">
        <v>11906</v>
      </c>
      <c r="C3881" t="str">
        <f>"82519453"</f>
        <v>82519453</v>
      </c>
      <c r="D3881" t="s">
        <v>11907</v>
      </c>
      <c r="F3881" t="s">
        <v>11908</v>
      </c>
      <c r="I3881" t="s">
        <v>29</v>
      </c>
      <c r="J3881" t="s">
        <v>30</v>
      </c>
      <c r="K3881" t="s">
        <v>31</v>
      </c>
      <c r="M3881" t="s">
        <v>32</v>
      </c>
      <c r="N3881" t="str">
        <f>"1/21/2003 12:00:00 AM"</f>
        <v>1/21/2003 12:00:00 AM</v>
      </c>
      <c r="O3881" t="s">
        <v>11907</v>
      </c>
    </row>
    <row r="3882" spans="1:20" x14ac:dyDescent="0.25">
      <c r="A3882" t="str">
        <f>"3058760"</f>
        <v>3058760</v>
      </c>
      <c r="B3882" t="s">
        <v>11909</v>
      </c>
      <c r="C3882" t="str">
        <f>"82514298"</f>
        <v>82514298</v>
      </c>
      <c r="D3882" t="s">
        <v>11910</v>
      </c>
      <c r="F3882" t="s">
        <v>11911</v>
      </c>
      <c r="I3882" t="s">
        <v>29</v>
      </c>
      <c r="J3882" t="s">
        <v>30</v>
      </c>
      <c r="K3882" t="s">
        <v>11912</v>
      </c>
      <c r="M3882" t="s">
        <v>32</v>
      </c>
      <c r="N3882" t="str">
        <f>"1/9/2007 12:00:00 AM"</f>
        <v>1/9/2007 12:00:00 AM</v>
      </c>
      <c r="O3882" t="s">
        <v>11910</v>
      </c>
    </row>
    <row r="3883" spans="1:20" x14ac:dyDescent="0.25">
      <c r="A3883" t="str">
        <f>"3048744"</f>
        <v>3048744</v>
      </c>
      <c r="B3883" t="s">
        <v>11913</v>
      </c>
      <c r="C3883" t="str">
        <f>"53832565"</f>
        <v>53832565</v>
      </c>
      <c r="D3883" t="s">
        <v>11665</v>
      </c>
      <c r="F3883" t="s">
        <v>11666</v>
      </c>
      <c r="I3883" t="s">
        <v>29</v>
      </c>
      <c r="J3883" t="s">
        <v>30</v>
      </c>
      <c r="K3883" t="s">
        <v>31</v>
      </c>
      <c r="M3883" t="s">
        <v>32</v>
      </c>
      <c r="N3883" t="str">
        <f>"3/17/2004 12:00:00 AM"</f>
        <v>3/17/2004 12:00:00 AM</v>
      </c>
      <c r="O3883" t="s">
        <v>11665</v>
      </c>
    </row>
    <row r="3884" spans="1:20" x14ac:dyDescent="0.25">
      <c r="A3884" t="str">
        <f>"3048732"</f>
        <v>3048732</v>
      </c>
      <c r="B3884" t="s">
        <v>11914</v>
      </c>
      <c r="C3884" t="str">
        <f>"77438500"</f>
        <v>77438500</v>
      </c>
      <c r="D3884" t="s">
        <v>11915</v>
      </c>
      <c r="E3884" t="s">
        <v>11916</v>
      </c>
      <c r="F3884" t="s">
        <v>11917</v>
      </c>
      <c r="I3884" t="s">
        <v>29</v>
      </c>
      <c r="J3884" t="s">
        <v>30</v>
      </c>
      <c r="K3884" t="s">
        <v>31</v>
      </c>
      <c r="M3884" t="s">
        <v>32</v>
      </c>
      <c r="N3884" t="str">
        <f>"1/14/2009 12:00:00 AM"</f>
        <v>1/14/2009 12:00:00 AM</v>
      </c>
      <c r="O3884" t="s">
        <v>11915</v>
      </c>
      <c r="T3884" t="s">
        <v>11916</v>
      </c>
    </row>
    <row r="3885" spans="1:20" x14ac:dyDescent="0.25">
      <c r="A3885" t="str">
        <f>"3052465"</f>
        <v>3052465</v>
      </c>
      <c r="B3885" t="s">
        <v>11918</v>
      </c>
      <c r="C3885" t="str">
        <f>"37832000"</f>
        <v>37832000</v>
      </c>
      <c r="D3885" t="s">
        <v>11919</v>
      </c>
      <c r="F3885" t="s">
        <v>11920</v>
      </c>
      <c r="I3885" t="s">
        <v>29</v>
      </c>
      <c r="J3885" t="s">
        <v>30</v>
      </c>
      <c r="K3885" t="s">
        <v>31</v>
      </c>
      <c r="M3885" t="s">
        <v>32</v>
      </c>
      <c r="N3885" t="str">
        <f>"1/10/2011 12:00:00 AM"</f>
        <v>1/10/2011 12:00:00 AM</v>
      </c>
      <c r="O3885" t="s">
        <v>11919</v>
      </c>
    </row>
    <row r="3886" spans="1:20" x14ac:dyDescent="0.25">
      <c r="A3886" t="str">
        <f>"3052022"</f>
        <v>3052022</v>
      </c>
      <c r="B3886" t="s">
        <v>11921</v>
      </c>
      <c r="C3886" t="str">
        <f>"82528556"</f>
        <v>82528556</v>
      </c>
      <c r="D3886" t="s">
        <v>11922</v>
      </c>
      <c r="F3886" t="s">
        <v>11923</v>
      </c>
      <c r="I3886" t="s">
        <v>29</v>
      </c>
      <c r="J3886" t="s">
        <v>30</v>
      </c>
      <c r="K3886" t="s">
        <v>31</v>
      </c>
      <c r="M3886" t="s">
        <v>32</v>
      </c>
      <c r="N3886" t="str">
        <f>"9/5/2007 12:00:00 AM"</f>
        <v>9/5/2007 12:00:00 AM</v>
      </c>
      <c r="O3886" t="s">
        <v>11922</v>
      </c>
    </row>
    <row r="3887" spans="1:20" x14ac:dyDescent="0.25">
      <c r="A3887" t="str">
        <f>"3052036"</f>
        <v>3052036</v>
      </c>
      <c r="B3887" t="s">
        <v>11924</v>
      </c>
      <c r="C3887" t="str">
        <f>"42292500"</f>
        <v>42292500</v>
      </c>
      <c r="D3887" t="s">
        <v>11925</v>
      </c>
      <c r="F3887" t="s">
        <v>11926</v>
      </c>
      <c r="I3887" t="s">
        <v>29</v>
      </c>
      <c r="J3887" t="s">
        <v>30</v>
      </c>
      <c r="K3887" t="s">
        <v>11927</v>
      </c>
      <c r="M3887" t="s">
        <v>32</v>
      </c>
      <c r="N3887" t="str">
        <f>"1/24/2006 12:00:00 AM"</f>
        <v>1/24/2006 12:00:00 AM</v>
      </c>
      <c r="O3887" t="s">
        <v>11925</v>
      </c>
    </row>
    <row r="3888" spans="1:20" x14ac:dyDescent="0.25">
      <c r="A3888" t="str">
        <f>"3051634"</f>
        <v>3051634</v>
      </c>
      <c r="B3888" t="s">
        <v>11928</v>
      </c>
      <c r="C3888" t="str">
        <f>"82517385"</f>
        <v>82517385</v>
      </c>
      <c r="D3888" t="s">
        <v>11929</v>
      </c>
      <c r="F3888" t="s">
        <v>11930</v>
      </c>
      <c r="I3888" t="s">
        <v>29</v>
      </c>
      <c r="J3888" t="s">
        <v>30</v>
      </c>
      <c r="K3888" t="s">
        <v>31</v>
      </c>
      <c r="M3888" t="s">
        <v>32</v>
      </c>
      <c r="N3888" t="str">
        <f>"10/17/2001 12:00:00 AM"</f>
        <v>10/17/2001 12:00:00 AM</v>
      </c>
      <c r="O3888" t="s">
        <v>11929</v>
      </c>
    </row>
    <row r="3889" spans="1:20" x14ac:dyDescent="0.25">
      <c r="A3889" t="str">
        <f>"3052018"</f>
        <v>3052018</v>
      </c>
      <c r="B3889" t="s">
        <v>11931</v>
      </c>
      <c r="C3889" t="str">
        <f>"26956000"</f>
        <v>26956000</v>
      </c>
      <c r="D3889" t="s">
        <v>11932</v>
      </c>
      <c r="E3889" t="s">
        <v>11933</v>
      </c>
      <c r="F3889" t="s">
        <v>11930</v>
      </c>
      <c r="I3889" t="s">
        <v>29</v>
      </c>
      <c r="J3889" t="s">
        <v>30</v>
      </c>
      <c r="K3889" t="s">
        <v>11934</v>
      </c>
      <c r="M3889" t="s">
        <v>32</v>
      </c>
      <c r="N3889" t="str">
        <f>"1/24/2005 12:00:00 AM"</f>
        <v>1/24/2005 12:00:00 AM</v>
      </c>
      <c r="O3889" t="s">
        <v>11932</v>
      </c>
      <c r="T3889" t="s">
        <v>11933</v>
      </c>
    </row>
    <row r="3890" spans="1:20" x14ac:dyDescent="0.25">
      <c r="A3890" t="str">
        <f>"3052049"</f>
        <v>3052049</v>
      </c>
      <c r="B3890" t="s">
        <v>11935</v>
      </c>
      <c r="C3890" t="str">
        <f>"26956000"</f>
        <v>26956000</v>
      </c>
      <c r="D3890" t="s">
        <v>11932</v>
      </c>
      <c r="E3890" t="s">
        <v>11933</v>
      </c>
      <c r="F3890" t="s">
        <v>11930</v>
      </c>
      <c r="I3890" t="s">
        <v>29</v>
      </c>
      <c r="J3890" t="s">
        <v>30</v>
      </c>
      <c r="K3890" t="s">
        <v>11934</v>
      </c>
      <c r="M3890" t="s">
        <v>32</v>
      </c>
      <c r="N3890" t="str">
        <f>"1/24/2005 12:00:00 AM"</f>
        <v>1/24/2005 12:00:00 AM</v>
      </c>
      <c r="O3890" t="s">
        <v>11932</v>
      </c>
      <c r="T3890" t="s">
        <v>11933</v>
      </c>
    </row>
    <row r="3891" spans="1:20" x14ac:dyDescent="0.25">
      <c r="A3891" t="str">
        <f>"3052063"</f>
        <v>3052063</v>
      </c>
      <c r="B3891" t="s">
        <v>11936</v>
      </c>
      <c r="C3891" t="str">
        <f>"2435000"</f>
        <v>2435000</v>
      </c>
      <c r="D3891" t="str">
        <f>"ARC/HDS DAVIE HOUSING CORP"</f>
        <v>ARC/HDS DAVIE HOUSING CORP</v>
      </c>
      <c r="F3891" t="s">
        <v>11937</v>
      </c>
      <c r="I3891" t="s">
        <v>2525</v>
      </c>
      <c r="J3891" t="s">
        <v>30</v>
      </c>
      <c r="K3891" t="s">
        <v>11938</v>
      </c>
      <c r="M3891" t="s">
        <v>32</v>
      </c>
      <c r="N3891" t="str">
        <f>"2/24/2003 12:00:00 AM"</f>
        <v>2/24/2003 12:00:00 AM</v>
      </c>
      <c r="O3891" t="str">
        <f>"ARC/HDS DAVIE HOUSING CORP"</f>
        <v>ARC/HDS DAVIE HOUSING CORP</v>
      </c>
    </row>
    <row r="3892" spans="1:20" x14ac:dyDescent="0.25">
      <c r="A3892" t="str">
        <f>"3052053"</f>
        <v>3052053</v>
      </c>
      <c r="B3892" t="s">
        <v>11939</v>
      </c>
      <c r="C3892" t="str">
        <f>"82529648"</f>
        <v>82529648</v>
      </c>
      <c r="D3892" t="s">
        <v>11940</v>
      </c>
      <c r="E3892" t="s">
        <v>11941</v>
      </c>
      <c r="F3892" t="s">
        <v>11942</v>
      </c>
      <c r="I3892" t="s">
        <v>29</v>
      </c>
      <c r="J3892" t="s">
        <v>30</v>
      </c>
      <c r="K3892" t="s">
        <v>31</v>
      </c>
      <c r="M3892" t="s">
        <v>32</v>
      </c>
      <c r="N3892" t="str">
        <f>"5/27/2008 12:00:00 AM"</f>
        <v>5/27/2008 12:00:00 AM</v>
      </c>
      <c r="O3892" t="s">
        <v>11940</v>
      </c>
      <c r="T3892" t="s">
        <v>11941</v>
      </c>
    </row>
    <row r="3893" spans="1:20" x14ac:dyDescent="0.25">
      <c r="A3893" t="str">
        <f>"3052070"</f>
        <v>3052070</v>
      </c>
      <c r="B3893" t="s">
        <v>11943</v>
      </c>
      <c r="C3893" t="str">
        <f>"11718000"</f>
        <v>11718000</v>
      </c>
      <c r="D3893" t="s">
        <v>11944</v>
      </c>
      <c r="E3893" t="s">
        <v>11945</v>
      </c>
      <c r="F3893" t="s">
        <v>11946</v>
      </c>
      <c r="I3893" t="s">
        <v>29</v>
      </c>
      <c r="J3893" t="s">
        <v>30</v>
      </c>
      <c r="K3893" t="s">
        <v>11947</v>
      </c>
      <c r="M3893" t="s">
        <v>32</v>
      </c>
      <c r="N3893" t="str">
        <f>"1/8/2009 12:00:00 AM"</f>
        <v>1/8/2009 12:00:00 AM</v>
      </c>
      <c r="O3893" t="s">
        <v>11944</v>
      </c>
      <c r="T3893" t="s">
        <v>11945</v>
      </c>
    </row>
    <row r="3894" spans="1:20" x14ac:dyDescent="0.25">
      <c r="A3894" t="str">
        <f>"3052734"</f>
        <v>3052734</v>
      </c>
      <c r="B3894" t="s">
        <v>11948</v>
      </c>
      <c r="C3894" t="str">
        <f>"32607000"</f>
        <v>32607000</v>
      </c>
      <c r="D3894" t="s">
        <v>11949</v>
      </c>
      <c r="E3894" t="s">
        <v>11950</v>
      </c>
      <c r="F3894" t="s">
        <v>11951</v>
      </c>
      <c r="I3894" t="s">
        <v>29</v>
      </c>
      <c r="J3894" t="s">
        <v>30</v>
      </c>
      <c r="K3894" t="s">
        <v>31</v>
      </c>
      <c r="M3894" t="s">
        <v>32</v>
      </c>
      <c r="N3894" t="str">
        <f>"9/11/2003 12:00:00 AM"</f>
        <v>9/11/2003 12:00:00 AM</v>
      </c>
      <c r="O3894" t="s">
        <v>11949</v>
      </c>
      <c r="T3894" t="s">
        <v>11950</v>
      </c>
    </row>
    <row r="3895" spans="1:20" x14ac:dyDescent="0.25">
      <c r="A3895" t="str">
        <f>"3051790"</f>
        <v>3051790</v>
      </c>
      <c r="B3895" t="s">
        <v>11952</v>
      </c>
      <c r="C3895" t="str">
        <f>"32607000"</f>
        <v>32607000</v>
      </c>
      <c r="D3895" t="s">
        <v>11949</v>
      </c>
      <c r="E3895" t="s">
        <v>11950</v>
      </c>
      <c r="F3895" t="s">
        <v>11951</v>
      </c>
      <c r="I3895" t="s">
        <v>29</v>
      </c>
      <c r="J3895" t="s">
        <v>30</v>
      </c>
      <c r="K3895" t="s">
        <v>31</v>
      </c>
      <c r="M3895" t="s">
        <v>32</v>
      </c>
      <c r="N3895" t="str">
        <f>"9/11/2003 12:00:00 AM"</f>
        <v>9/11/2003 12:00:00 AM</v>
      </c>
      <c r="O3895" t="s">
        <v>11949</v>
      </c>
      <c r="T3895" t="s">
        <v>11950</v>
      </c>
    </row>
    <row r="3896" spans="1:20" x14ac:dyDescent="0.25">
      <c r="A3896" t="str">
        <f>"3066473"</f>
        <v>3066473</v>
      </c>
      <c r="B3896" t="s">
        <v>11953</v>
      </c>
      <c r="C3896" t="str">
        <f>"82527579"</f>
        <v>82527579</v>
      </c>
      <c r="D3896" t="s">
        <v>11954</v>
      </c>
      <c r="E3896" t="s">
        <v>11955</v>
      </c>
      <c r="F3896" t="s">
        <v>11956</v>
      </c>
      <c r="I3896" t="s">
        <v>29</v>
      </c>
      <c r="J3896" t="s">
        <v>30</v>
      </c>
      <c r="K3896" t="s">
        <v>31</v>
      </c>
      <c r="M3896" t="s">
        <v>32</v>
      </c>
      <c r="N3896" t="str">
        <f>"2/14/2007 12:00:00 AM"</f>
        <v>2/14/2007 12:00:00 AM</v>
      </c>
      <c r="O3896" t="s">
        <v>11954</v>
      </c>
      <c r="T3896" t="s">
        <v>11955</v>
      </c>
    </row>
    <row r="3897" spans="1:20" x14ac:dyDescent="0.25">
      <c r="A3897" t="str">
        <f>"3059074"</f>
        <v>3059074</v>
      </c>
      <c r="B3897" t="s">
        <v>11957</v>
      </c>
      <c r="C3897" t="str">
        <f>"82514351"</f>
        <v>82514351</v>
      </c>
      <c r="D3897" t="s">
        <v>11958</v>
      </c>
      <c r="E3897" t="s">
        <v>11959</v>
      </c>
      <c r="F3897" t="s">
        <v>11960</v>
      </c>
      <c r="I3897" t="s">
        <v>29</v>
      </c>
      <c r="J3897" t="s">
        <v>30</v>
      </c>
      <c r="K3897" t="s">
        <v>31</v>
      </c>
      <c r="M3897" t="s">
        <v>32</v>
      </c>
      <c r="N3897" t="str">
        <f>"7/26/2004 12:00:00 AM"</f>
        <v>7/26/2004 12:00:00 AM</v>
      </c>
      <c r="O3897" t="s">
        <v>11958</v>
      </c>
      <c r="T3897" t="s">
        <v>11959</v>
      </c>
    </row>
    <row r="3898" spans="1:20" x14ac:dyDescent="0.25">
      <c r="A3898" t="str">
        <f>"3059101"</f>
        <v>3059101</v>
      </c>
      <c r="B3898" t="s">
        <v>11961</v>
      </c>
      <c r="C3898" t="str">
        <f>"38564000"</f>
        <v>38564000</v>
      </c>
      <c r="D3898" t="s">
        <v>11962</v>
      </c>
      <c r="F3898" t="s">
        <v>11963</v>
      </c>
      <c r="I3898" t="s">
        <v>29</v>
      </c>
      <c r="J3898" t="s">
        <v>30</v>
      </c>
      <c r="K3898" t="s">
        <v>11964</v>
      </c>
      <c r="M3898" t="s">
        <v>32</v>
      </c>
      <c r="N3898" t="str">
        <f>"1/17/2006 12:00:00 AM"</f>
        <v>1/17/2006 12:00:00 AM</v>
      </c>
      <c r="O3898" t="s">
        <v>11962</v>
      </c>
    </row>
    <row r="3899" spans="1:20" x14ac:dyDescent="0.25">
      <c r="A3899" t="str">
        <f>"3052068"</f>
        <v>3052068</v>
      </c>
      <c r="B3899" t="s">
        <v>11965</v>
      </c>
      <c r="C3899" t="str">
        <f>"65286000"</f>
        <v>65286000</v>
      </c>
      <c r="D3899" t="s">
        <v>11966</v>
      </c>
      <c r="F3899" t="s">
        <v>11967</v>
      </c>
      <c r="I3899" t="s">
        <v>29</v>
      </c>
      <c r="J3899" t="s">
        <v>30</v>
      </c>
      <c r="K3899" t="s">
        <v>31</v>
      </c>
      <c r="M3899" t="s">
        <v>32</v>
      </c>
      <c r="N3899" t="str">
        <f>"5/4/2004 12:00:00 AM"</f>
        <v>5/4/2004 12:00:00 AM</v>
      </c>
      <c r="O3899" t="s">
        <v>11966</v>
      </c>
    </row>
    <row r="3900" spans="1:20" x14ac:dyDescent="0.25">
      <c r="A3900" t="str">
        <f>"3051922"</f>
        <v>3051922</v>
      </c>
      <c r="B3900" t="s">
        <v>11968</v>
      </c>
      <c r="C3900" t="str">
        <f>"65286000"</f>
        <v>65286000</v>
      </c>
      <c r="D3900" t="s">
        <v>11966</v>
      </c>
      <c r="F3900" t="s">
        <v>11967</v>
      </c>
      <c r="I3900" t="s">
        <v>29</v>
      </c>
      <c r="J3900" t="s">
        <v>30</v>
      </c>
      <c r="K3900" t="s">
        <v>31</v>
      </c>
      <c r="M3900" t="s">
        <v>32</v>
      </c>
      <c r="N3900" t="str">
        <f>"5/4/2004 12:00:00 AM"</f>
        <v>5/4/2004 12:00:00 AM</v>
      </c>
      <c r="O3900" t="s">
        <v>11966</v>
      </c>
    </row>
    <row r="3901" spans="1:20" x14ac:dyDescent="0.25">
      <c r="A3901" t="str">
        <f>"3051812"</f>
        <v>3051812</v>
      </c>
      <c r="B3901" t="s">
        <v>11969</v>
      </c>
      <c r="C3901" t="str">
        <f>"65286000"</f>
        <v>65286000</v>
      </c>
      <c r="D3901" t="s">
        <v>11966</v>
      </c>
      <c r="F3901" t="s">
        <v>11967</v>
      </c>
      <c r="I3901" t="s">
        <v>29</v>
      </c>
      <c r="J3901" t="s">
        <v>30</v>
      </c>
      <c r="K3901" t="s">
        <v>31</v>
      </c>
      <c r="M3901" t="s">
        <v>32</v>
      </c>
      <c r="N3901" t="str">
        <f>"5/4/2004 12:00:00 AM"</f>
        <v>5/4/2004 12:00:00 AM</v>
      </c>
      <c r="O3901" t="s">
        <v>11966</v>
      </c>
    </row>
    <row r="3902" spans="1:20" x14ac:dyDescent="0.25">
      <c r="A3902" t="str">
        <f>"3051813"</f>
        <v>3051813</v>
      </c>
      <c r="B3902" t="s">
        <v>11970</v>
      </c>
      <c r="C3902" t="str">
        <f>"65286000"</f>
        <v>65286000</v>
      </c>
      <c r="D3902" t="s">
        <v>11966</v>
      </c>
      <c r="F3902" t="s">
        <v>11967</v>
      </c>
      <c r="I3902" t="s">
        <v>29</v>
      </c>
      <c r="J3902" t="s">
        <v>30</v>
      </c>
      <c r="K3902" t="s">
        <v>31</v>
      </c>
      <c r="M3902" t="s">
        <v>32</v>
      </c>
      <c r="N3902" t="str">
        <f>"5/4/2004 12:00:00 AM"</f>
        <v>5/4/2004 12:00:00 AM</v>
      </c>
      <c r="O3902" t="s">
        <v>11966</v>
      </c>
    </row>
    <row r="3903" spans="1:20" x14ac:dyDescent="0.25">
      <c r="A3903" t="str">
        <f>"3051699"</f>
        <v>3051699</v>
      </c>
      <c r="B3903" t="s">
        <v>11971</v>
      </c>
      <c r="C3903" t="str">
        <f>"53832570"</f>
        <v>53832570</v>
      </c>
      <c r="D3903" t="s">
        <v>11972</v>
      </c>
      <c r="F3903" t="s">
        <v>11666</v>
      </c>
      <c r="I3903" t="s">
        <v>29</v>
      </c>
      <c r="J3903" t="s">
        <v>30</v>
      </c>
      <c r="K3903" t="s">
        <v>31</v>
      </c>
      <c r="M3903" t="s">
        <v>32</v>
      </c>
      <c r="N3903" t="str">
        <f>"3/17/2004 12:00:00 AM"</f>
        <v>3/17/2004 12:00:00 AM</v>
      </c>
      <c r="O3903" t="s">
        <v>11972</v>
      </c>
    </row>
    <row r="3904" spans="1:20" x14ac:dyDescent="0.25">
      <c r="A3904" t="str">
        <f>"3065676"</f>
        <v>3065676</v>
      </c>
      <c r="B3904" t="s">
        <v>11973</v>
      </c>
      <c r="C3904" t="str">
        <f>"82514278"</f>
        <v>82514278</v>
      </c>
      <c r="D3904" t="s">
        <v>11974</v>
      </c>
      <c r="E3904" t="s">
        <v>11975</v>
      </c>
      <c r="F3904" t="s">
        <v>11976</v>
      </c>
      <c r="I3904" t="s">
        <v>29</v>
      </c>
      <c r="J3904" t="s">
        <v>30</v>
      </c>
      <c r="K3904" t="s">
        <v>31</v>
      </c>
      <c r="M3904" t="s">
        <v>32</v>
      </c>
      <c r="N3904" t="str">
        <f>"10/17/2001 12:00:00 AM"</f>
        <v>10/17/2001 12:00:00 AM</v>
      </c>
      <c r="O3904" t="s">
        <v>11974</v>
      </c>
      <c r="T3904" t="s">
        <v>11975</v>
      </c>
    </row>
    <row r="3905" spans="1:20" x14ac:dyDescent="0.25">
      <c r="A3905" t="str">
        <f>"3059583"</f>
        <v>3059583</v>
      </c>
      <c r="B3905" t="s">
        <v>11977</v>
      </c>
      <c r="C3905" t="str">
        <f>"82519118"</f>
        <v>82519118</v>
      </c>
      <c r="D3905" t="s">
        <v>11978</v>
      </c>
      <c r="E3905" t="s">
        <v>11979</v>
      </c>
      <c r="F3905" t="s">
        <v>11980</v>
      </c>
      <c r="I3905" t="s">
        <v>29</v>
      </c>
      <c r="J3905" t="s">
        <v>30</v>
      </c>
      <c r="K3905" t="s">
        <v>31</v>
      </c>
      <c r="M3905" t="s">
        <v>32</v>
      </c>
      <c r="N3905" t="str">
        <f>"1/30/2003 12:00:00 AM"</f>
        <v>1/30/2003 12:00:00 AM</v>
      </c>
      <c r="O3905" t="s">
        <v>11978</v>
      </c>
      <c r="T3905" t="s">
        <v>11979</v>
      </c>
    </row>
    <row r="3906" spans="1:20" x14ac:dyDescent="0.25">
      <c r="A3906" t="str">
        <f>"3051814"</f>
        <v>3051814</v>
      </c>
      <c r="B3906" t="s">
        <v>11981</v>
      </c>
      <c r="C3906" t="str">
        <f>"82519636"</f>
        <v>82519636</v>
      </c>
      <c r="D3906" t="s">
        <v>11982</v>
      </c>
      <c r="F3906" t="s">
        <v>11983</v>
      </c>
      <c r="I3906" t="s">
        <v>29</v>
      </c>
      <c r="J3906" t="s">
        <v>30</v>
      </c>
      <c r="K3906" t="s">
        <v>31</v>
      </c>
      <c r="M3906" t="s">
        <v>32</v>
      </c>
      <c r="N3906" t="str">
        <f>"11/6/2003 12:00:00 AM"</f>
        <v>11/6/2003 12:00:00 AM</v>
      </c>
      <c r="O3906" t="s">
        <v>11982</v>
      </c>
    </row>
    <row r="3907" spans="1:20" x14ac:dyDescent="0.25">
      <c r="A3907" t="str">
        <f>"3048733"</f>
        <v>3048733</v>
      </c>
      <c r="B3907" t="s">
        <v>11984</v>
      </c>
      <c r="C3907" t="str">
        <f>"82519636"</f>
        <v>82519636</v>
      </c>
      <c r="D3907" t="s">
        <v>11982</v>
      </c>
      <c r="F3907" t="s">
        <v>11983</v>
      </c>
      <c r="I3907" t="s">
        <v>29</v>
      </c>
      <c r="J3907" t="s">
        <v>30</v>
      </c>
      <c r="K3907" t="s">
        <v>31</v>
      </c>
      <c r="M3907" t="s">
        <v>32</v>
      </c>
      <c r="N3907" t="str">
        <f>"11/6/2003 12:00:00 AM"</f>
        <v>11/6/2003 12:00:00 AM</v>
      </c>
      <c r="O3907" t="s">
        <v>11982</v>
      </c>
    </row>
    <row r="3908" spans="1:20" x14ac:dyDescent="0.25">
      <c r="A3908" t="str">
        <f>"3051932"</f>
        <v>3051932</v>
      </c>
      <c r="B3908" t="s">
        <v>11985</v>
      </c>
      <c r="C3908" t="str">
        <f>"25782000"</f>
        <v>25782000</v>
      </c>
      <c r="D3908" t="s">
        <v>11986</v>
      </c>
      <c r="E3908" t="s">
        <v>11987</v>
      </c>
      <c r="F3908" t="s">
        <v>11988</v>
      </c>
      <c r="I3908" t="s">
        <v>29</v>
      </c>
      <c r="J3908" t="s">
        <v>30</v>
      </c>
      <c r="K3908" t="s">
        <v>31</v>
      </c>
      <c r="M3908" t="s">
        <v>32</v>
      </c>
      <c r="N3908" t="str">
        <f>"6/18/2003 12:00:00 AM"</f>
        <v>6/18/2003 12:00:00 AM</v>
      </c>
      <c r="O3908" t="s">
        <v>11986</v>
      </c>
      <c r="T3908" t="s">
        <v>11987</v>
      </c>
    </row>
    <row r="3909" spans="1:20" x14ac:dyDescent="0.25">
      <c r="A3909" t="str">
        <f>"3048550"</f>
        <v>3048550</v>
      </c>
      <c r="B3909" t="s">
        <v>11989</v>
      </c>
      <c r="C3909" t="str">
        <f>"55778860"</f>
        <v>55778860</v>
      </c>
      <c r="D3909" t="s">
        <v>11990</v>
      </c>
      <c r="E3909" t="s">
        <v>11991</v>
      </c>
      <c r="F3909" t="s">
        <v>11992</v>
      </c>
      <c r="I3909" t="s">
        <v>11993</v>
      </c>
      <c r="J3909" t="s">
        <v>11994</v>
      </c>
      <c r="K3909" t="s">
        <v>11995</v>
      </c>
      <c r="M3909" t="s">
        <v>32</v>
      </c>
      <c r="N3909" t="str">
        <f>"3/26/2004 12:00:00 AM"</f>
        <v>3/26/2004 12:00:00 AM</v>
      </c>
      <c r="O3909" t="s">
        <v>11990</v>
      </c>
      <c r="T3909" t="s">
        <v>11991</v>
      </c>
    </row>
    <row r="3910" spans="1:20" x14ac:dyDescent="0.25">
      <c r="A3910" t="str">
        <f>"3048781"</f>
        <v>3048781</v>
      </c>
      <c r="B3910" t="s">
        <v>11996</v>
      </c>
      <c r="C3910" t="str">
        <f>"46705060"</f>
        <v>46705060</v>
      </c>
      <c r="D3910" t="s">
        <v>11997</v>
      </c>
      <c r="F3910" t="s">
        <v>11998</v>
      </c>
      <c r="G3910" t="s">
        <v>11999</v>
      </c>
      <c r="I3910" t="s">
        <v>29</v>
      </c>
      <c r="J3910" t="s">
        <v>30</v>
      </c>
      <c r="K3910" t="s">
        <v>31</v>
      </c>
      <c r="M3910" t="s">
        <v>32</v>
      </c>
      <c r="N3910" t="str">
        <f>"12/17/2003 12:00:00 AM"</f>
        <v>12/17/2003 12:00:00 AM</v>
      </c>
      <c r="O3910" t="s">
        <v>11997</v>
      </c>
    </row>
    <row r="3911" spans="1:20" x14ac:dyDescent="0.25">
      <c r="A3911" t="str">
        <f>"3049314"</f>
        <v>3049314</v>
      </c>
      <c r="B3911" t="s">
        <v>12000</v>
      </c>
      <c r="C3911" t="str">
        <f>"46705060"</f>
        <v>46705060</v>
      </c>
      <c r="D3911" t="s">
        <v>11997</v>
      </c>
      <c r="F3911" t="s">
        <v>11998</v>
      </c>
      <c r="G3911" t="s">
        <v>11999</v>
      </c>
      <c r="I3911" t="s">
        <v>29</v>
      </c>
      <c r="J3911" t="s">
        <v>30</v>
      </c>
      <c r="K3911" t="s">
        <v>31</v>
      </c>
      <c r="M3911" t="s">
        <v>32</v>
      </c>
      <c r="N3911" t="str">
        <f>"12/17/2003 12:00:00 AM"</f>
        <v>12/17/2003 12:00:00 AM</v>
      </c>
      <c r="O3911" t="s">
        <v>11997</v>
      </c>
    </row>
    <row r="3912" spans="1:20" x14ac:dyDescent="0.25">
      <c r="A3912" t="str">
        <f>"3049358"</f>
        <v>3049358</v>
      </c>
      <c r="B3912" t="s">
        <v>12001</v>
      </c>
      <c r="C3912" t="str">
        <f>"82525259"</f>
        <v>82525259</v>
      </c>
      <c r="D3912" t="s">
        <v>12002</v>
      </c>
      <c r="F3912" t="s">
        <v>12003</v>
      </c>
      <c r="I3912" t="s">
        <v>1107</v>
      </c>
      <c r="J3912" t="s">
        <v>30</v>
      </c>
      <c r="K3912" t="s">
        <v>12004</v>
      </c>
      <c r="N3912" t="str">
        <f>"1/13/2006 12:00:00 AM"</f>
        <v>1/13/2006 12:00:00 AM</v>
      </c>
      <c r="O3912" t="s">
        <v>12002</v>
      </c>
    </row>
    <row r="3913" spans="1:20" x14ac:dyDescent="0.25">
      <c r="A3913" t="str">
        <f>"3058978"</f>
        <v>3058978</v>
      </c>
      <c r="B3913" t="s">
        <v>12005</v>
      </c>
      <c r="C3913" t="str">
        <f>"82522814"</f>
        <v>82522814</v>
      </c>
      <c r="D3913" t="s">
        <v>12006</v>
      </c>
      <c r="F3913" t="s">
        <v>12007</v>
      </c>
      <c r="I3913" t="s">
        <v>29</v>
      </c>
      <c r="J3913" t="s">
        <v>30</v>
      </c>
      <c r="K3913" t="s">
        <v>12008</v>
      </c>
      <c r="M3913" t="s">
        <v>32</v>
      </c>
      <c r="N3913" t="str">
        <f>"2/10/2005 12:00:00 AM"</f>
        <v>2/10/2005 12:00:00 AM</v>
      </c>
      <c r="O3913" t="s">
        <v>12006</v>
      </c>
    </row>
    <row r="3914" spans="1:20" x14ac:dyDescent="0.25">
      <c r="A3914" t="str">
        <f>"3051899"</f>
        <v>3051899</v>
      </c>
      <c r="B3914" t="s">
        <v>12009</v>
      </c>
      <c r="C3914" t="str">
        <f>"82528021"</f>
        <v>82528021</v>
      </c>
      <c r="D3914" t="s">
        <v>12010</v>
      </c>
      <c r="E3914" t="s">
        <v>12011</v>
      </c>
      <c r="F3914" t="s">
        <v>12012</v>
      </c>
      <c r="I3914" t="s">
        <v>29</v>
      </c>
      <c r="J3914" t="s">
        <v>30</v>
      </c>
      <c r="K3914" t="s">
        <v>31</v>
      </c>
      <c r="M3914" t="s">
        <v>32</v>
      </c>
      <c r="N3914" t="str">
        <f>"5/23/2007 12:00:00 AM"</f>
        <v>5/23/2007 12:00:00 AM</v>
      </c>
      <c r="O3914" t="s">
        <v>12010</v>
      </c>
      <c r="T3914" t="s">
        <v>12011</v>
      </c>
    </row>
    <row r="3915" spans="1:20" x14ac:dyDescent="0.25">
      <c r="A3915" t="str">
        <f>"3052039"</f>
        <v>3052039</v>
      </c>
      <c r="B3915" t="s">
        <v>12013</v>
      </c>
      <c r="C3915" t="str">
        <f>"20345500"</f>
        <v>20345500</v>
      </c>
      <c r="D3915" t="s">
        <v>12014</v>
      </c>
      <c r="E3915" t="s">
        <v>12015</v>
      </c>
      <c r="F3915" t="s">
        <v>12016</v>
      </c>
      <c r="I3915" t="s">
        <v>29</v>
      </c>
      <c r="J3915" t="s">
        <v>30</v>
      </c>
      <c r="K3915" t="s">
        <v>12017</v>
      </c>
      <c r="M3915" t="s">
        <v>32</v>
      </c>
      <c r="N3915" t="str">
        <f>"3/2/2005 12:00:00 AM"</f>
        <v>3/2/2005 12:00:00 AM</v>
      </c>
      <c r="O3915" t="s">
        <v>12014</v>
      </c>
      <c r="T3915" t="s">
        <v>12015</v>
      </c>
    </row>
    <row r="3916" spans="1:20" x14ac:dyDescent="0.25">
      <c r="A3916" t="str">
        <f>"3051858"</f>
        <v>3051858</v>
      </c>
      <c r="B3916" t="s">
        <v>12018</v>
      </c>
      <c r="C3916" t="str">
        <f>"72130000"</f>
        <v>72130000</v>
      </c>
      <c r="D3916" t="s">
        <v>12019</v>
      </c>
      <c r="F3916" t="s">
        <v>12020</v>
      </c>
      <c r="I3916" t="s">
        <v>29</v>
      </c>
      <c r="J3916" t="s">
        <v>30</v>
      </c>
      <c r="K3916" t="s">
        <v>31</v>
      </c>
      <c r="M3916" t="s">
        <v>32</v>
      </c>
      <c r="N3916" t="str">
        <f>"6/16/2004 12:00:00 AM"</f>
        <v>6/16/2004 12:00:00 AM</v>
      </c>
      <c r="O3916" t="s">
        <v>12019</v>
      </c>
    </row>
    <row r="3917" spans="1:20" x14ac:dyDescent="0.25">
      <c r="A3917" t="str">
        <f>"3051937"</f>
        <v>3051937</v>
      </c>
      <c r="B3917" t="s">
        <v>12021</v>
      </c>
      <c r="C3917" t="str">
        <f>"82528387"</f>
        <v>82528387</v>
      </c>
      <c r="D3917" t="s">
        <v>12022</v>
      </c>
      <c r="F3917" t="s">
        <v>12023</v>
      </c>
      <c r="I3917" t="s">
        <v>29</v>
      </c>
      <c r="J3917" t="s">
        <v>30</v>
      </c>
      <c r="K3917" t="s">
        <v>31</v>
      </c>
      <c r="M3917" t="s">
        <v>32</v>
      </c>
      <c r="N3917" t="str">
        <f>"2/5/2009 12:00:00 AM"</f>
        <v>2/5/2009 12:00:00 AM</v>
      </c>
      <c r="O3917" t="s">
        <v>12022</v>
      </c>
    </row>
    <row r="3918" spans="1:20" x14ac:dyDescent="0.25">
      <c r="A3918" t="str">
        <f>"3051697"</f>
        <v>3051697</v>
      </c>
      <c r="B3918" t="s">
        <v>12024</v>
      </c>
      <c r="C3918" t="str">
        <f>"82528387"</f>
        <v>82528387</v>
      </c>
      <c r="D3918" t="s">
        <v>12022</v>
      </c>
      <c r="F3918" t="s">
        <v>12023</v>
      </c>
      <c r="I3918" t="s">
        <v>29</v>
      </c>
      <c r="J3918" t="s">
        <v>30</v>
      </c>
      <c r="K3918" t="s">
        <v>31</v>
      </c>
      <c r="M3918" t="s">
        <v>32</v>
      </c>
      <c r="N3918" t="str">
        <f>"2/5/2009 12:00:00 AM"</f>
        <v>2/5/2009 12:00:00 AM</v>
      </c>
      <c r="O3918" t="s">
        <v>12022</v>
      </c>
    </row>
    <row r="3919" spans="1:20" x14ac:dyDescent="0.25">
      <c r="A3919" t="str">
        <f>"3051698"</f>
        <v>3051698</v>
      </c>
      <c r="B3919" t="s">
        <v>12025</v>
      </c>
      <c r="C3919" t="str">
        <f>"82528387"</f>
        <v>82528387</v>
      </c>
      <c r="D3919" t="s">
        <v>12022</v>
      </c>
      <c r="F3919" t="s">
        <v>12023</v>
      </c>
      <c r="I3919" t="s">
        <v>29</v>
      </c>
      <c r="J3919" t="s">
        <v>30</v>
      </c>
      <c r="K3919" t="s">
        <v>31</v>
      </c>
      <c r="M3919" t="s">
        <v>32</v>
      </c>
      <c r="N3919" t="str">
        <f>"2/5/2009 12:00:00 AM"</f>
        <v>2/5/2009 12:00:00 AM</v>
      </c>
      <c r="O3919" t="s">
        <v>12022</v>
      </c>
    </row>
    <row r="3920" spans="1:20" x14ac:dyDescent="0.25">
      <c r="A3920" t="str">
        <f>"3051666"</f>
        <v>3051666</v>
      </c>
      <c r="B3920" t="s">
        <v>12026</v>
      </c>
      <c r="C3920" t="str">
        <f>"82528387"</f>
        <v>82528387</v>
      </c>
      <c r="D3920" t="s">
        <v>12022</v>
      </c>
      <c r="F3920" t="s">
        <v>12023</v>
      </c>
      <c r="I3920" t="s">
        <v>29</v>
      </c>
      <c r="J3920" t="s">
        <v>30</v>
      </c>
      <c r="K3920" t="s">
        <v>31</v>
      </c>
      <c r="M3920" t="s">
        <v>32</v>
      </c>
      <c r="N3920" t="str">
        <f>"2/5/2009 12:00:00 AM"</f>
        <v>2/5/2009 12:00:00 AM</v>
      </c>
      <c r="O3920" t="s">
        <v>12022</v>
      </c>
    </row>
    <row r="3921" spans="1:20" x14ac:dyDescent="0.25">
      <c r="A3921" t="str">
        <f>"3051671"</f>
        <v>3051671</v>
      </c>
      <c r="B3921" t="s">
        <v>12027</v>
      </c>
      <c r="C3921" t="str">
        <f>"82528387"</f>
        <v>82528387</v>
      </c>
      <c r="D3921" t="s">
        <v>12022</v>
      </c>
      <c r="F3921" t="s">
        <v>12023</v>
      </c>
      <c r="I3921" t="s">
        <v>29</v>
      </c>
      <c r="J3921" t="s">
        <v>30</v>
      </c>
      <c r="K3921" t="s">
        <v>31</v>
      </c>
      <c r="M3921" t="s">
        <v>32</v>
      </c>
      <c r="N3921" t="str">
        <f>"2/5/2009 12:00:00 AM"</f>
        <v>2/5/2009 12:00:00 AM</v>
      </c>
      <c r="O3921" t="s">
        <v>12022</v>
      </c>
    </row>
    <row r="3922" spans="1:20" x14ac:dyDescent="0.25">
      <c r="A3922" t="str">
        <f>"3051907"</f>
        <v>3051907</v>
      </c>
      <c r="B3922" t="s">
        <v>12028</v>
      </c>
      <c r="C3922" t="str">
        <f>"66580000"</f>
        <v>66580000</v>
      </c>
      <c r="D3922" t="s">
        <v>12029</v>
      </c>
      <c r="E3922" t="s">
        <v>12030</v>
      </c>
      <c r="F3922" t="s">
        <v>12031</v>
      </c>
      <c r="I3922" t="s">
        <v>29</v>
      </c>
      <c r="J3922" t="s">
        <v>30</v>
      </c>
      <c r="K3922" t="s">
        <v>31</v>
      </c>
      <c r="M3922" t="s">
        <v>32</v>
      </c>
      <c r="N3922" t="str">
        <f>"5/12/2004 12:00:00 AM"</f>
        <v>5/12/2004 12:00:00 AM</v>
      </c>
      <c r="O3922" t="s">
        <v>12029</v>
      </c>
      <c r="T3922" t="s">
        <v>12030</v>
      </c>
    </row>
    <row r="3923" spans="1:20" x14ac:dyDescent="0.25">
      <c r="A3923" t="str">
        <f>"3058955"</f>
        <v>3058955</v>
      </c>
      <c r="B3923" t="s">
        <v>12032</v>
      </c>
      <c r="C3923" t="str">
        <f>"82528557"</f>
        <v>82528557</v>
      </c>
      <c r="D3923" t="s">
        <v>12033</v>
      </c>
      <c r="F3923" t="s">
        <v>12034</v>
      </c>
      <c r="I3923" t="s">
        <v>29</v>
      </c>
      <c r="J3923" t="s">
        <v>30</v>
      </c>
      <c r="K3923" t="s">
        <v>31</v>
      </c>
      <c r="M3923" t="s">
        <v>32</v>
      </c>
      <c r="N3923" t="str">
        <f>"9/5/2007 12:00:00 AM"</f>
        <v>9/5/2007 12:00:00 AM</v>
      </c>
      <c r="O3923" t="s">
        <v>12033</v>
      </c>
    </row>
    <row r="3924" spans="1:20" x14ac:dyDescent="0.25">
      <c r="A3924" t="str">
        <f>"3048784"</f>
        <v>3048784</v>
      </c>
      <c r="B3924" t="s">
        <v>12035</v>
      </c>
      <c r="C3924" t="str">
        <f>"82515666"</f>
        <v>82515666</v>
      </c>
      <c r="D3924" t="s">
        <v>12036</v>
      </c>
      <c r="E3924" t="s">
        <v>12037</v>
      </c>
      <c r="F3924" t="s">
        <v>12038</v>
      </c>
      <c r="I3924" t="s">
        <v>29</v>
      </c>
      <c r="J3924" t="s">
        <v>30</v>
      </c>
      <c r="K3924" t="s">
        <v>31</v>
      </c>
      <c r="M3924" t="s">
        <v>32</v>
      </c>
      <c r="N3924" t="str">
        <f>"7/8/2008 12:00:00 AM"</f>
        <v>7/8/2008 12:00:00 AM</v>
      </c>
      <c r="O3924" t="s">
        <v>12036</v>
      </c>
      <c r="T3924" t="s">
        <v>12037</v>
      </c>
    </row>
    <row r="3925" spans="1:20" x14ac:dyDescent="0.25">
      <c r="A3925" t="str">
        <f>"3048794"</f>
        <v>3048794</v>
      </c>
      <c r="B3925" t="s">
        <v>12039</v>
      </c>
      <c r="C3925" t="str">
        <f>"18324000"</f>
        <v>18324000</v>
      </c>
      <c r="D3925" t="s">
        <v>12040</v>
      </c>
      <c r="E3925" t="s">
        <v>12041</v>
      </c>
      <c r="F3925" t="s">
        <v>12042</v>
      </c>
      <c r="I3925" t="s">
        <v>29</v>
      </c>
      <c r="J3925" t="s">
        <v>30</v>
      </c>
      <c r="K3925" t="s">
        <v>12043</v>
      </c>
      <c r="M3925" t="s">
        <v>32</v>
      </c>
      <c r="N3925" t="str">
        <f>"6/17/2008 12:00:00 AM"</f>
        <v>6/17/2008 12:00:00 AM</v>
      </c>
      <c r="O3925" t="s">
        <v>12040</v>
      </c>
      <c r="T3925" t="s">
        <v>12041</v>
      </c>
    </row>
    <row r="3926" spans="1:20" x14ac:dyDescent="0.25">
      <c r="A3926" t="str">
        <f>"3051736"</f>
        <v>3051736</v>
      </c>
      <c r="B3926" t="s">
        <v>12044</v>
      </c>
      <c r="C3926" t="str">
        <f>"18324000"</f>
        <v>18324000</v>
      </c>
      <c r="D3926" t="s">
        <v>12040</v>
      </c>
      <c r="E3926" t="s">
        <v>12041</v>
      </c>
      <c r="F3926" t="s">
        <v>12042</v>
      </c>
      <c r="I3926" t="s">
        <v>29</v>
      </c>
      <c r="J3926" t="s">
        <v>30</v>
      </c>
      <c r="K3926" t="s">
        <v>12043</v>
      </c>
      <c r="M3926" t="s">
        <v>32</v>
      </c>
      <c r="N3926" t="str">
        <f>"6/17/2008 12:00:00 AM"</f>
        <v>6/17/2008 12:00:00 AM</v>
      </c>
      <c r="O3926" t="s">
        <v>12040</v>
      </c>
      <c r="T3926" t="s">
        <v>12041</v>
      </c>
    </row>
    <row r="3927" spans="1:20" x14ac:dyDescent="0.25">
      <c r="A3927" t="str">
        <f>"3062997"</f>
        <v>3062997</v>
      </c>
      <c r="B3927" t="s">
        <v>12045</v>
      </c>
      <c r="C3927" t="str">
        <f>"81600000"</f>
        <v>81600000</v>
      </c>
      <c r="D3927" t="s">
        <v>12046</v>
      </c>
      <c r="E3927" t="s">
        <v>12047</v>
      </c>
      <c r="F3927" t="s">
        <v>12048</v>
      </c>
      <c r="I3927" t="s">
        <v>29</v>
      </c>
      <c r="J3927" t="s">
        <v>30</v>
      </c>
      <c r="K3927" t="s">
        <v>31</v>
      </c>
      <c r="M3927" t="s">
        <v>32</v>
      </c>
      <c r="N3927" t="str">
        <f>"8/15/2007 12:00:00 AM"</f>
        <v>8/15/2007 12:00:00 AM</v>
      </c>
      <c r="O3927" t="s">
        <v>12046</v>
      </c>
      <c r="T3927" t="s">
        <v>12047</v>
      </c>
    </row>
    <row r="3928" spans="1:20" x14ac:dyDescent="0.25">
      <c r="A3928" t="str">
        <f>"3048797"</f>
        <v>3048797</v>
      </c>
      <c r="B3928" t="s">
        <v>12049</v>
      </c>
      <c r="C3928" t="str">
        <f>"75008000"</f>
        <v>75008000</v>
      </c>
      <c r="D3928" t="s">
        <v>12050</v>
      </c>
      <c r="E3928" t="s">
        <v>12051</v>
      </c>
      <c r="F3928" t="s">
        <v>12052</v>
      </c>
      <c r="I3928" t="s">
        <v>29</v>
      </c>
      <c r="J3928" t="s">
        <v>30</v>
      </c>
      <c r="K3928" t="s">
        <v>31</v>
      </c>
      <c r="M3928" t="s">
        <v>32</v>
      </c>
      <c r="N3928" t="str">
        <f>"6/22/2004 12:00:00 AM"</f>
        <v>6/22/2004 12:00:00 AM</v>
      </c>
      <c r="O3928" t="s">
        <v>12050</v>
      </c>
      <c r="T3928" t="s">
        <v>12051</v>
      </c>
    </row>
    <row r="3929" spans="1:20" x14ac:dyDescent="0.25">
      <c r="A3929" t="str">
        <f>"3048786"</f>
        <v>3048786</v>
      </c>
      <c r="B3929" t="s">
        <v>12053</v>
      </c>
      <c r="C3929" t="str">
        <f>"62431000"</f>
        <v>62431000</v>
      </c>
      <c r="D3929" t="s">
        <v>12054</v>
      </c>
      <c r="E3929" t="s">
        <v>12055</v>
      </c>
      <c r="F3929" t="s">
        <v>12056</v>
      </c>
      <c r="I3929" t="s">
        <v>29</v>
      </c>
      <c r="J3929" t="s">
        <v>30</v>
      </c>
      <c r="K3929" t="s">
        <v>12057</v>
      </c>
      <c r="M3929" t="s">
        <v>32</v>
      </c>
      <c r="N3929" t="str">
        <f>"2/1/2006 12:00:00 AM"</f>
        <v>2/1/2006 12:00:00 AM</v>
      </c>
      <c r="O3929" t="s">
        <v>12054</v>
      </c>
      <c r="T3929" t="s">
        <v>12055</v>
      </c>
    </row>
    <row r="3930" spans="1:20" x14ac:dyDescent="0.25">
      <c r="A3930" t="str">
        <f>"3078270"</f>
        <v>3078270</v>
      </c>
      <c r="B3930" t="s">
        <v>12058</v>
      </c>
      <c r="C3930" t="str">
        <f>"62431000"</f>
        <v>62431000</v>
      </c>
      <c r="D3930" t="s">
        <v>12054</v>
      </c>
      <c r="E3930" t="s">
        <v>12055</v>
      </c>
      <c r="F3930" t="s">
        <v>12056</v>
      </c>
      <c r="I3930" t="s">
        <v>29</v>
      </c>
      <c r="J3930" t="s">
        <v>30</v>
      </c>
      <c r="K3930" t="s">
        <v>12057</v>
      </c>
      <c r="M3930" t="s">
        <v>32</v>
      </c>
      <c r="N3930" t="str">
        <f>"2/1/2006 12:00:00 AM"</f>
        <v>2/1/2006 12:00:00 AM</v>
      </c>
      <c r="O3930" t="s">
        <v>12054</v>
      </c>
      <c r="T3930" t="s">
        <v>12055</v>
      </c>
    </row>
    <row r="3931" spans="1:20" x14ac:dyDescent="0.25">
      <c r="A3931" t="str">
        <f>"3052529"</f>
        <v>3052529</v>
      </c>
      <c r="B3931" t="s">
        <v>12059</v>
      </c>
      <c r="C3931" t="str">
        <f>"10621750"</f>
        <v>10621750</v>
      </c>
      <c r="D3931" t="s">
        <v>12060</v>
      </c>
      <c r="E3931" t="s">
        <v>12061</v>
      </c>
      <c r="F3931" t="s">
        <v>12062</v>
      </c>
      <c r="I3931" t="s">
        <v>29</v>
      </c>
      <c r="J3931" t="s">
        <v>30</v>
      </c>
      <c r="K3931" t="s">
        <v>31</v>
      </c>
      <c r="M3931" t="s">
        <v>32</v>
      </c>
      <c r="N3931" t="str">
        <f>"7/13/2010 12:00:00 AM"</f>
        <v>7/13/2010 12:00:00 AM</v>
      </c>
      <c r="O3931" t="s">
        <v>12060</v>
      </c>
      <c r="T3931" t="s">
        <v>12061</v>
      </c>
    </row>
    <row r="3932" spans="1:20" x14ac:dyDescent="0.25">
      <c r="A3932" t="str">
        <f>"3051975"</f>
        <v>3051975</v>
      </c>
      <c r="B3932" t="s">
        <v>12063</v>
      </c>
      <c r="C3932" t="str">
        <f>"33076000"</f>
        <v>33076000</v>
      </c>
      <c r="D3932" t="s">
        <v>12064</v>
      </c>
      <c r="E3932" t="s">
        <v>12065</v>
      </c>
      <c r="F3932" t="s">
        <v>12066</v>
      </c>
      <c r="I3932" t="s">
        <v>29</v>
      </c>
      <c r="J3932" t="s">
        <v>30</v>
      </c>
      <c r="K3932" t="s">
        <v>31</v>
      </c>
      <c r="M3932" t="s">
        <v>32</v>
      </c>
      <c r="N3932" t="str">
        <f>"9/12/2003 12:00:00 AM"</f>
        <v>9/12/2003 12:00:00 AM</v>
      </c>
      <c r="O3932" t="s">
        <v>12064</v>
      </c>
      <c r="T3932" t="s">
        <v>12065</v>
      </c>
    </row>
    <row r="3933" spans="1:20" x14ac:dyDescent="0.25">
      <c r="A3933" t="str">
        <f>"3051956"</f>
        <v>3051956</v>
      </c>
      <c r="B3933" t="s">
        <v>12067</v>
      </c>
      <c r="C3933" t="str">
        <f>"82523047"</f>
        <v>82523047</v>
      </c>
      <c r="D3933" t="s">
        <v>12068</v>
      </c>
      <c r="E3933" t="s">
        <v>12069</v>
      </c>
      <c r="F3933" t="s">
        <v>12070</v>
      </c>
      <c r="I3933" t="s">
        <v>29</v>
      </c>
      <c r="J3933" t="s">
        <v>30</v>
      </c>
      <c r="K3933" t="s">
        <v>12071</v>
      </c>
      <c r="M3933" t="s">
        <v>32</v>
      </c>
      <c r="N3933" t="str">
        <f>"1/17/2006 12:00:00 AM"</f>
        <v>1/17/2006 12:00:00 AM</v>
      </c>
      <c r="O3933" t="s">
        <v>12068</v>
      </c>
      <c r="T3933" t="s">
        <v>12069</v>
      </c>
    </row>
    <row r="3934" spans="1:20" x14ac:dyDescent="0.25">
      <c r="A3934" t="str">
        <f>"3047252"</f>
        <v>3047252</v>
      </c>
      <c r="B3934" t="s">
        <v>12072</v>
      </c>
      <c r="C3934" t="str">
        <f>"42936250"</f>
        <v>42936250</v>
      </c>
      <c r="D3934" t="s">
        <v>12073</v>
      </c>
      <c r="E3934" t="s">
        <v>12074</v>
      </c>
      <c r="F3934" t="s">
        <v>12075</v>
      </c>
      <c r="I3934" t="s">
        <v>29</v>
      </c>
      <c r="J3934" t="s">
        <v>30</v>
      </c>
      <c r="K3934" t="s">
        <v>31</v>
      </c>
      <c r="M3934" t="s">
        <v>32</v>
      </c>
      <c r="N3934" t="str">
        <f>"12/28/2005 12:00:00 AM"</f>
        <v>12/28/2005 12:00:00 AM</v>
      </c>
      <c r="O3934" t="s">
        <v>12073</v>
      </c>
      <c r="T3934" t="s">
        <v>12074</v>
      </c>
    </row>
    <row r="3935" spans="1:20" x14ac:dyDescent="0.25">
      <c r="A3935" t="str">
        <f>"3051948"</f>
        <v>3051948</v>
      </c>
      <c r="B3935" t="s">
        <v>12076</v>
      </c>
      <c r="C3935" t="str">
        <f>"82522706"</f>
        <v>82522706</v>
      </c>
      <c r="D3935" t="s">
        <v>12077</v>
      </c>
      <c r="F3935" t="s">
        <v>12031</v>
      </c>
      <c r="I3935" t="s">
        <v>29</v>
      </c>
      <c r="J3935" t="s">
        <v>30</v>
      </c>
      <c r="K3935" t="s">
        <v>31</v>
      </c>
      <c r="M3935" t="s">
        <v>32</v>
      </c>
      <c r="N3935" t="str">
        <f>"5/12/2004 12:00:00 AM"</f>
        <v>5/12/2004 12:00:00 AM</v>
      </c>
      <c r="O3935" t="s">
        <v>12077</v>
      </c>
    </row>
    <row r="3936" spans="1:20" x14ac:dyDescent="0.25">
      <c r="A3936" t="str">
        <f>"3051663"</f>
        <v>3051663</v>
      </c>
      <c r="B3936" t="s">
        <v>12078</v>
      </c>
      <c r="C3936" t="str">
        <f>"82522706"</f>
        <v>82522706</v>
      </c>
      <c r="D3936" t="s">
        <v>12077</v>
      </c>
      <c r="F3936" t="s">
        <v>12031</v>
      </c>
      <c r="I3936" t="s">
        <v>29</v>
      </c>
      <c r="J3936" t="s">
        <v>30</v>
      </c>
      <c r="K3936" t="s">
        <v>31</v>
      </c>
      <c r="M3936" t="s">
        <v>32</v>
      </c>
      <c r="N3936" t="str">
        <f>"5/12/2004 12:00:00 AM"</f>
        <v>5/12/2004 12:00:00 AM</v>
      </c>
      <c r="O3936" t="s">
        <v>12077</v>
      </c>
    </row>
    <row r="3937" spans="1:20" x14ac:dyDescent="0.25">
      <c r="A3937" t="str">
        <f>"3051915"</f>
        <v>3051915</v>
      </c>
      <c r="B3937" t="s">
        <v>12079</v>
      </c>
      <c r="C3937" t="str">
        <f>"54730970"</f>
        <v>54730970</v>
      </c>
      <c r="D3937" t="s">
        <v>12080</v>
      </c>
      <c r="E3937" t="s">
        <v>12081</v>
      </c>
      <c r="F3937" t="s">
        <v>12082</v>
      </c>
      <c r="I3937" t="s">
        <v>29</v>
      </c>
      <c r="J3937" t="s">
        <v>30</v>
      </c>
      <c r="K3937" t="s">
        <v>12083</v>
      </c>
      <c r="N3937" t="str">
        <f>"1/9/2006 12:00:00 AM"</f>
        <v>1/9/2006 12:00:00 AM</v>
      </c>
      <c r="O3937" t="s">
        <v>12080</v>
      </c>
      <c r="T3937" t="s">
        <v>12081</v>
      </c>
    </row>
    <row r="3938" spans="1:20" x14ac:dyDescent="0.25">
      <c r="A3938" t="str">
        <f>"3052012"</f>
        <v>3052012</v>
      </c>
      <c r="B3938" t="s">
        <v>12084</v>
      </c>
      <c r="C3938" t="str">
        <f>"82527227"</f>
        <v>82527227</v>
      </c>
      <c r="D3938" t="s">
        <v>12085</v>
      </c>
      <c r="F3938" t="s">
        <v>12086</v>
      </c>
      <c r="I3938" t="s">
        <v>29</v>
      </c>
      <c r="J3938" t="s">
        <v>30</v>
      </c>
      <c r="K3938" t="s">
        <v>31</v>
      </c>
      <c r="N3938" t="str">
        <f>"12/8/2006 12:00:00 AM"</f>
        <v>12/8/2006 12:00:00 AM</v>
      </c>
      <c r="O3938" t="s">
        <v>12085</v>
      </c>
    </row>
    <row r="3939" spans="1:20" x14ac:dyDescent="0.25">
      <c r="A3939" t="str">
        <f>"3052649"</f>
        <v>3052649</v>
      </c>
      <c r="B3939" t="s">
        <v>12087</v>
      </c>
      <c r="C3939" t="str">
        <f>"82526200"</f>
        <v>82526200</v>
      </c>
      <c r="D3939" t="s">
        <v>12088</v>
      </c>
      <c r="F3939" t="s">
        <v>12089</v>
      </c>
      <c r="I3939" t="s">
        <v>29</v>
      </c>
      <c r="J3939" t="s">
        <v>30</v>
      </c>
      <c r="K3939" t="s">
        <v>31</v>
      </c>
      <c r="M3939" t="s">
        <v>32</v>
      </c>
      <c r="N3939" t="str">
        <f>"5/17/2006 12:00:00 AM"</f>
        <v>5/17/2006 12:00:00 AM</v>
      </c>
      <c r="O3939" t="s">
        <v>12088</v>
      </c>
    </row>
    <row r="3940" spans="1:20" x14ac:dyDescent="0.25">
      <c r="A3940" t="str">
        <f>"3052363"</f>
        <v>3052363</v>
      </c>
      <c r="B3940" t="s">
        <v>12090</v>
      </c>
      <c r="C3940" t="str">
        <f>"82527454"</f>
        <v>82527454</v>
      </c>
      <c r="D3940" t="s">
        <v>12091</v>
      </c>
      <c r="E3940" t="s">
        <v>12092</v>
      </c>
      <c r="F3940" t="s">
        <v>12093</v>
      </c>
      <c r="I3940" t="s">
        <v>29</v>
      </c>
      <c r="J3940" t="s">
        <v>30</v>
      </c>
      <c r="K3940" t="s">
        <v>31</v>
      </c>
      <c r="N3940" t="str">
        <f>"1/24/2007 12:00:00 AM"</f>
        <v>1/24/2007 12:00:00 AM</v>
      </c>
      <c r="O3940" t="s">
        <v>12091</v>
      </c>
      <c r="T3940" t="s">
        <v>12092</v>
      </c>
    </row>
    <row r="3941" spans="1:20" x14ac:dyDescent="0.25">
      <c r="A3941" t="str">
        <f>"3051860"</f>
        <v>3051860</v>
      </c>
      <c r="B3941" t="s">
        <v>12094</v>
      </c>
      <c r="C3941" t="str">
        <f>"82526984"</f>
        <v>82526984</v>
      </c>
      <c r="D3941" t="s">
        <v>12095</v>
      </c>
      <c r="E3941" t="s">
        <v>12096</v>
      </c>
      <c r="F3941" t="s">
        <v>12097</v>
      </c>
      <c r="I3941" t="s">
        <v>29</v>
      </c>
      <c r="J3941" t="s">
        <v>30</v>
      </c>
      <c r="K3941" t="s">
        <v>31</v>
      </c>
      <c r="M3941" t="s">
        <v>32</v>
      </c>
      <c r="N3941" t="str">
        <f>"10/20/2006 12:00:00 AM"</f>
        <v>10/20/2006 12:00:00 AM</v>
      </c>
      <c r="O3941" t="s">
        <v>12095</v>
      </c>
      <c r="T3941" t="s">
        <v>12096</v>
      </c>
    </row>
    <row r="3942" spans="1:20" x14ac:dyDescent="0.25">
      <c r="A3942" t="str">
        <f>"3051856"</f>
        <v>3051856</v>
      </c>
      <c r="B3942" t="s">
        <v>12098</v>
      </c>
      <c r="C3942" t="str">
        <f>"36372000"</f>
        <v>36372000</v>
      </c>
      <c r="D3942" t="s">
        <v>12099</v>
      </c>
      <c r="E3942" t="s">
        <v>12100</v>
      </c>
      <c r="F3942" t="s">
        <v>12101</v>
      </c>
      <c r="I3942" t="s">
        <v>29</v>
      </c>
      <c r="J3942" t="s">
        <v>30</v>
      </c>
      <c r="K3942" t="s">
        <v>31</v>
      </c>
      <c r="M3942" t="s">
        <v>32</v>
      </c>
      <c r="N3942" t="str">
        <f>"10/17/2003 12:00:00 AM"</f>
        <v>10/17/2003 12:00:00 AM</v>
      </c>
      <c r="O3942" t="s">
        <v>12099</v>
      </c>
      <c r="T3942" t="s">
        <v>12100</v>
      </c>
    </row>
    <row r="3943" spans="1:20" x14ac:dyDescent="0.25">
      <c r="A3943" t="str">
        <f>"3052386"</f>
        <v>3052386</v>
      </c>
      <c r="B3943" t="s">
        <v>12102</v>
      </c>
      <c r="C3943" t="str">
        <f>"82522567"</f>
        <v>82522567</v>
      </c>
      <c r="D3943" t="s">
        <v>12103</v>
      </c>
      <c r="E3943" t="s">
        <v>12104</v>
      </c>
      <c r="F3943" t="s">
        <v>12105</v>
      </c>
      <c r="I3943" t="s">
        <v>29</v>
      </c>
      <c r="J3943" t="s">
        <v>30</v>
      </c>
      <c r="K3943" t="s">
        <v>31</v>
      </c>
      <c r="M3943" t="s">
        <v>32</v>
      </c>
      <c r="N3943" t="str">
        <f>"2/15/2005 12:00:00 AM"</f>
        <v>2/15/2005 12:00:00 AM</v>
      </c>
      <c r="O3943" t="s">
        <v>12103</v>
      </c>
      <c r="T3943" t="s">
        <v>12104</v>
      </c>
    </row>
    <row r="3944" spans="1:20" x14ac:dyDescent="0.25">
      <c r="A3944" t="str">
        <f>"3052388"</f>
        <v>3052388</v>
      </c>
      <c r="B3944" t="s">
        <v>12106</v>
      </c>
      <c r="C3944" t="str">
        <f>"82523576"</f>
        <v>82523576</v>
      </c>
      <c r="D3944" t="s">
        <v>12107</v>
      </c>
      <c r="F3944" t="s">
        <v>12108</v>
      </c>
      <c r="I3944" t="s">
        <v>29</v>
      </c>
      <c r="J3944" t="s">
        <v>30</v>
      </c>
      <c r="K3944" t="s">
        <v>31</v>
      </c>
      <c r="M3944" t="s">
        <v>32</v>
      </c>
      <c r="N3944" t="str">
        <f>"1/5/2005 12:00:00 AM"</f>
        <v>1/5/2005 12:00:00 AM</v>
      </c>
      <c r="O3944" t="s">
        <v>12107</v>
      </c>
    </row>
    <row r="3945" spans="1:20" x14ac:dyDescent="0.25">
      <c r="A3945" t="str">
        <f>"3055415"</f>
        <v>3055415</v>
      </c>
      <c r="B3945" t="s">
        <v>12109</v>
      </c>
      <c r="C3945" t="str">
        <f>"42436000"</f>
        <v>42436000</v>
      </c>
      <c r="D3945" t="s">
        <v>12110</v>
      </c>
      <c r="E3945" t="s">
        <v>12111</v>
      </c>
      <c r="F3945" t="s">
        <v>12112</v>
      </c>
      <c r="I3945" t="s">
        <v>29</v>
      </c>
      <c r="J3945" t="s">
        <v>30</v>
      </c>
      <c r="K3945" t="s">
        <v>12113</v>
      </c>
      <c r="M3945" t="s">
        <v>32</v>
      </c>
      <c r="N3945" t="str">
        <f>"1/28/2005 12:00:00 AM"</f>
        <v>1/28/2005 12:00:00 AM</v>
      </c>
      <c r="O3945" t="s">
        <v>12110</v>
      </c>
      <c r="T3945" t="s">
        <v>12111</v>
      </c>
    </row>
    <row r="3946" spans="1:20" x14ac:dyDescent="0.25">
      <c r="A3946" t="str">
        <f>"3052566"</f>
        <v>3052566</v>
      </c>
      <c r="B3946" t="s">
        <v>12114</v>
      </c>
      <c r="C3946" t="str">
        <f>"82517917"</f>
        <v>82517917</v>
      </c>
      <c r="D3946" t="s">
        <v>12115</v>
      </c>
      <c r="F3946" t="s">
        <v>12116</v>
      </c>
      <c r="I3946" t="s">
        <v>29</v>
      </c>
      <c r="J3946" t="s">
        <v>30</v>
      </c>
      <c r="K3946" t="s">
        <v>31</v>
      </c>
      <c r="M3946" t="s">
        <v>32</v>
      </c>
      <c r="N3946" t="str">
        <f>"2/20/2002 12:00:00 AM"</f>
        <v>2/20/2002 12:00:00 AM</v>
      </c>
      <c r="O3946" t="s">
        <v>12115</v>
      </c>
    </row>
    <row r="3947" spans="1:20" x14ac:dyDescent="0.25">
      <c r="A3947" t="str">
        <f>"3052390"</f>
        <v>3052390</v>
      </c>
      <c r="B3947" t="s">
        <v>12117</v>
      </c>
      <c r="C3947" t="str">
        <f>"82522640"</f>
        <v>82522640</v>
      </c>
      <c r="D3947" t="s">
        <v>12118</v>
      </c>
      <c r="F3947" t="s">
        <v>12119</v>
      </c>
      <c r="I3947" t="s">
        <v>29</v>
      </c>
      <c r="J3947" t="s">
        <v>30</v>
      </c>
      <c r="K3947" t="s">
        <v>31</v>
      </c>
      <c r="M3947" t="s">
        <v>32</v>
      </c>
      <c r="N3947" t="str">
        <f>"1/17/2006 12:00:00 AM"</f>
        <v>1/17/2006 12:00:00 AM</v>
      </c>
      <c r="O3947" t="s">
        <v>12118</v>
      </c>
    </row>
    <row r="3948" spans="1:20" x14ac:dyDescent="0.25">
      <c r="A3948" t="str">
        <f>"3052391"</f>
        <v>3052391</v>
      </c>
      <c r="B3948" t="s">
        <v>12120</v>
      </c>
      <c r="C3948" t="str">
        <f>"82527257"</f>
        <v>82527257</v>
      </c>
      <c r="D3948" t="s">
        <v>12121</v>
      </c>
      <c r="E3948" t="s">
        <v>12122</v>
      </c>
      <c r="F3948" t="s">
        <v>12123</v>
      </c>
      <c r="I3948" t="s">
        <v>29</v>
      </c>
      <c r="J3948" t="s">
        <v>30</v>
      </c>
      <c r="K3948" t="s">
        <v>31</v>
      </c>
      <c r="M3948" t="s">
        <v>32</v>
      </c>
      <c r="N3948" t="str">
        <f>"12/12/2006 12:00:00 AM"</f>
        <v>12/12/2006 12:00:00 AM</v>
      </c>
      <c r="O3948" t="s">
        <v>12121</v>
      </c>
      <c r="T3948" t="s">
        <v>12122</v>
      </c>
    </row>
    <row r="3949" spans="1:20" x14ac:dyDescent="0.25">
      <c r="A3949" t="str">
        <f>"3052519"</f>
        <v>3052519</v>
      </c>
      <c r="B3949" t="s">
        <v>12124</v>
      </c>
      <c r="C3949" t="str">
        <f>"82528780"</f>
        <v>82528780</v>
      </c>
      <c r="D3949" t="s">
        <v>12125</v>
      </c>
      <c r="F3949" t="s">
        <v>12126</v>
      </c>
      <c r="I3949" t="s">
        <v>29</v>
      </c>
      <c r="J3949" t="s">
        <v>30</v>
      </c>
      <c r="K3949" t="s">
        <v>31</v>
      </c>
      <c r="M3949" t="s">
        <v>32</v>
      </c>
      <c r="N3949" t="str">
        <f>"10/24/2007 12:00:00 AM"</f>
        <v>10/24/2007 12:00:00 AM</v>
      </c>
      <c r="O3949" t="s">
        <v>12125</v>
      </c>
    </row>
    <row r="3950" spans="1:20" x14ac:dyDescent="0.25">
      <c r="A3950" t="str">
        <f>"3052448"</f>
        <v>3052448</v>
      </c>
      <c r="B3950" t="s">
        <v>12127</v>
      </c>
      <c r="C3950" t="str">
        <f>"82524959"</f>
        <v>82524959</v>
      </c>
      <c r="D3950" t="s">
        <v>12128</v>
      </c>
      <c r="E3950" t="s">
        <v>12129</v>
      </c>
      <c r="F3950" t="s">
        <v>12130</v>
      </c>
      <c r="I3950" t="s">
        <v>29</v>
      </c>
      <c r="J3950" t="s">
        <v>30</v>
      </c>
      <c r="K3950" t="s">
        <v>12131</v>
      </c>
      <c r="M3950" t="s">
        <v>32</v>
      </c>
      <c r="N3950" t="str">
        <f>"2/13/2007 12:00:00 AM"</f>
        <v>2/13/2007 12:00:00 AM</v>
      </c>
      <c r="O3950" t="s">
        <v>12128</v>
      </c>
      <c r="T3950" t="s">
        <v>12129</v>
      </c>
    </row>
    <row r="3951" spans="1:20" x14ac:dyDescent="0.25">
      <c r="A3951" t="str">
        <f>"3055402"</f>
        <v>3055402</v>
      </c>
      <c r="B3951" t="s">
        <v>12132</v>
      </c>
      <c r="C3951" t="str">
        <f>"82524959"</f>
        <v>82524959</v>
      </c>
      <c r="D3951" t="s">
        <v>12128</v>
      </c>
      <c r="E3951" t="s">
        <v>12129</v>
      </c>
      <c r="F3951" t="s">
        <v>12130</v>
      </c>
      <c r="I3951" t="s">
        <v>29</v>
      </c>
      <c r="J3951" t="s">
        <v>30</v>
      </c>
      <c r="K3951" t="s">
        <v>12131</v>
      </c>
      <c r="M3951" t="s">
        <v>32</v>
      </c>
      <c r="N3951" t="str">
        <f>"2/13/2007 12:00:00 AM"</f>
        <v>2/13/2007 12:00:00 AM</v>
      </c>
      <c r="O3951" t="s">
        <v>12128</v>
      </c>
      <c r="T3951" t="s">
        <v>12129</v>
      </c>
    </row>
    <row r="3952" spans="1:20" x14ac:dyDescent="0.25">
      <c r="A3952" t="str">
        <f>"3052596"</f>
        <v>3052596</v>
      </c>
      <c r="B3952" t="s">
        <v>12133</v>
      </c>
      <c r="C3952" t="str">
        <f>"65991250"</f>
        <v>65991250</v>
      </c>
      <c r="D3952" t="s">
        <v>12134</v>
      </c>
      <c r="E3952" t="s">
        <v>12135</v>
      </c>
      <c r="F3952" t="s">
        <v>12136</v>
      </c>
      <c r="I3952" t="s">
        <v>29</v>
      </c>
      <c r="J3952" t="s">
        <v>30</v>
      </c>
      <c r="K3952" t="s">
        <v>31</v>
      </c>
      <c r="N3952" t="str">
        <f>"9/10/2002 12:00:00 AM"</f>
        <v>9/10/2002 12:00:00 AM</v>
      </c>
      <c r="O3952" t="s">
        <v>12134</v>
      </c>
      <c r="T3952" t="s">
        <v>12135</v>
      </c>
    </row>
    <row r="3953" spans="1:20" x14ac:dyDescent="0.25">
      <c r="A3953" t="str">
        <f>"3052540"</f>
        <v>3052540</v>
      </c>
      <c r="B3953" t="s">
        <v>12137</v>
      </c>
      <c r="C3953" t="str">
        <f>"8199000"</f>
        <v>8199000</v>
      </c>
      <c r="D3953" t="s">
        <v>12138</v>
      </c>
      <c r="E3953" t="s">
        <v>12139</v>
      </c>
      <c r="F3953" t="s">
        <v>12140</v>
      </c>
      <c r="I3953" t="s">
        <v>29</v>
      </c>
      <c r="J3953" t="s">
        <v>30</v>
      </c>
      <c r="K3953" t="s">
        <v>31</v>
      </c>
      <c r="M3953" t="s">
        <v>32</v>
      </c>
      <c r="N3953" t="str">
        <f>"6/4/2003 12:00:00 AM"</f>
        <v>6/4/2003 12:00:00 AM</v>
      </c>
      <c r="O3953" t="s">
        <v>12138</v>
      </c>
      <c r="T3953" t="s">
        <v>12139</v>
      </c>
    </row>
    <row r="3954" spans="1:20" x14ac:dyDescent="0.25">
      <c r="A3954" t="str">
        <f>"3052593"</f>
        <v>3052593</v>
      </c>
      <c r="B3954" t="s">
        <v>12141</v>
      </c>
      <c r="C3954" t="str">
        <f>"82525256"</f>
        <v>82525256</v>
      </c>
      <c r="D3954" t="s">
        <v>12142</v>
      </c>
      <c r="F3954" t="s">
        <v>12143</v>
      </c>
      <c r="I3954" t="s">
        <v>29</v>
      </c>
      <c r="J3954" t="s">
        <v>30</v>
      </c>
      <c r="K3954" t="s">
        <v>12144</v>
      </c>
      <c r="M3954" t="s">
        <v>32</v>
      </c>
      <c r="N3954" t="str">
        <f>"1/17/2006 12:00:00 AM"</f>
        <v>1/17/2006 12:00:00 AM</v>
      </c>
      <c r="O3954" t="s">
        <v>12142</v>
      </c>
      <c r="T3954" t="s">
        <v>12142</v>
      </c>
    </row>
    <row r="3955" spans="1:20" x14ac:dyDescent="0.25">
      <c r="A3955" t="str">
        <f>"3052633"</f>
        <v>3052633</v>
      </c>
      <c r="B3955" t="s">
        <v>12145</v>
      </c>
      <c r="C3955" t="str">
        <f>"82513137"</f>
        <v>82513137</v>
      </c>
      <c r="D3955" t="s">
        <v>12146</v>
      </c>
      <c r="E3955" t="s">
        <v>12147</v>
      </c>
      <c r="F3955" t="s">
        <v>12148</v>
      </c>
      <c r="I3955" t="s">
        <v>29</v>
      </c>
      <c r="J3955" t="s">
        <v>30</v>
      </c>
      <c r="K3955" t="s">
        <v>31</v>
      </c>
      <c r="N3955" t="str">
        <f>"7/22/2004 12:00:00 AM"</f>
        <v>7/22/2004 12:00:00 AM</v>
      </c>
      <c r="O3955" t="s">
        <v>12146</v>
      </c>
      <c r="T3955" t="s">
        <v>12147</v>
      </c>
    </row>
    <row r="3956" spans="1:20" x14ac:dyDescent="0.25">
      <c r="A3956" t="str">
        <f>"3052645"</f>
        <v>3052645</v>
      </c>
      <c r="B3956" t="s">
        <v>12149</v>
      </c>
      <c r="C3956" t="str">
        <f>"82516351"</f>
        <v>82516351</v>
      </c>
      <c r="D3956" t="s">
        <v>12150</v>
      </c>
      <c r="E3956" t="s">
        <v>12151</v>
      </c>
      <c r="F3956" t="s">
        <v>12152</v>
      </c>
      <c r="I3956" t="s">
        <v>29</v>
      </c>
      <c r="J3956" t="s">
        <v>30</v>
      </c>
      <c r="K3956" t="s">
        <v>31</v>
      </c>
      <c r="M3956" t="s">
        <v>32</v>
      </c>
      <c r="N3956" t="str">
        <f>"9/12/2002 12:00:00 AM"</f>
        <v>9/12/2002 12:00:00 AM</v>
      </c>
      <c r="O3956" t="s">
        <v>12150</v>
      </c>
      <c r="T3956" t="s">
        <v>12151</v>
      </c>
    </row>
    <row r="3957" spans="1:20" x14ac:dyDescent="0.25">
      <c r="A3957" t="str">
        <f>"3052438"</f>
        <v>3052438</v>
      </c>
      <c r="B3957" t="s">
        <v>12153</v>
      </c>
      <c r="C3957" t="str">
        <f>"82525570"</f>
        <v>82525570</v>
      </c>
      <c r="D3957" t="s">
        <v>12154</v>
      </c>
      <c r="F3957" t="s">
        <v>12155</v>
      </c>
      <c r="I3957" t="s">
        <v>29</v>
      </c>
      <c r="J3957" t="s">
        <v>30</v>
      </c>
      <c r="K3957" t="s">
        <v>31</v>
      </c>
      <c r="M3957" t="s">
        <v>32</v>
      </c>
      <c r="N3957" t="str">
        <f>"1/5/2006 12:00:00 AM"</f>
        <v>1/5/2006 12:00:00 AM</v>
      </c>
      <c r="O3957" t="s">
        <v>12154</v>
      </c>
    </row>
    <row r="3958" spans="1:20" x14ac:dyDescent="0.25">
      <c r="A3958" t="str">
        <f>"3052621"</f>
        <v>3052621</v>
      </c>
      <c r="B3958" t="s">
        <v>12156</v>
      </c>
      <c r="C3958" t="str">
        <f>"82519215"</f>
        <v>82519215</v>
      </c>
      <c r="D3958" t="s">
        <v>12157</v>
      </c>
      <c r="F3958" t="s">
        <v>12158</v>
      </c>
      <c r="I3958" t="s">
        <v>29</v>
      </c>
      <c r="J3958" t="s">
        <v>30</v>
      </c>
      <c r="K3958" t="s">
        <v>31</v>
      </c>
      <c r="M3958" t="s">
        <v>32</v>
      </c>
      <c r="N3958" t="str">
        <f>"7/25/2002 12:00:00 AM"</f>
        <v>7/25/2002 12:00:00 AM</v>
      </c>
      <c r="O3958" t="s">
        <v>12157</v>
      </c>
    </row>
    <row r="3959" spans="1:20" x14ac:dyDescent="0.25">
      <c r="A3959" t="str">
        <f>"3052622"</f>
        <v>3052622</v>
      </c>
      <c r="B3959" t="s">
        <v>12159</v>
      </c>
      <c r="C3959" t="str">
        <f>"24730000"</f>
        <v>24730000</v>
      </c>
      <c r="D3959" t="s">
        <v>12160</v>
      </c>
      <c r="E3959" t="s">
        <v>12161</v>
      </c>
      <c r="F3959" t="s">
        <v>12162</v>
      </c>
      <c r="I3959" t="s">
        <v>29</v>
      </c>
      <c r="J3959" t="s">
        <v>30</v>
      </c>
      <c r="K3959" t="s">
        <v>31</v>
      </c>
      <c r="M3959" t="s">
        <v>32</v>
      </c>
      <c r="N3959" t="str">
        <f>"8/14/2003 12:00:00 AM"</f>
        <v>8/14/2003 12:00:00 AM</v>
      </c>
      <c r="O3959" t="s">
        <v>12160</v>
      </c>
      <c r="T3959" t="s">
        <v>12161</v>
      </c>
    </row>
    <row r="3960" spans="1:20" x14ac:dyDescent="0.25">
      <c r="A3960" t="str">
        <f>"3052422"</f>
        <v>3052422</v>
      </c>
      <c r="B3960" t="s">
        <v>12163</v>
      </c>
      <c r="C3960" t="str">
        <f>"82528437"</f>
        <v>82528437</v>
      </c>
      <c r="D3960" t="s">
        <v>12164</v>
      </c>
      <c r="F3960" t="s">
        <v>12165</v>
      </c>
      <c r="I3960" t="s">
        <v>29</v>
      </c>
      <c r="J3960" t="s">
        <v>30</v>
      </c>
      <c r="K3960" t="s">
        <v>31</v>
      </c>
      <c r="M3960" t="s">
        <v>32</v>
      </c>
      <c r="N3960" t="str">
        <f>"1/28/2008 12:00:00 AM"</f>
        <v>1/28/2008 12:00:00 AM</v>
      </c>
      <c r="O3960" t="s">
        <v>12164</v>
      </c>
    </row>
    <row r="3961" spans="1:20" x14ac:dyDescent="0.25">
      <c r="A3961" t="str">
        <f>"3052541"</f>
        <v>3052541</v>
      </c>
      <c r="B3961" t="s">
        <v>12166</v>
      </c>
      <c r="C3961" t="str">
        <f>"9118000"</f>
        <v>9118000</v>
      </c>
      <c r="D3961" t="s">
        <v>11875</v>
      </c>
      <c r="E3961" t="s">
        <v>11876</v>
      </c>
      <c r="F3961" t="s">
        <v>8229</v>
      </c>
      <c r="I3961" t="s">
        <v>29</v>
      </c>
      <c r="J3961" t="s">
        <v>30</v>
      </c>
      <c r="K3961" t="s">
        <v>31</v>
      </c>
      <c r="M3961" t="s">
        <v>32</v>
      </c>
      <c r="N3961" t="str">
        <f>"12/8/2004 12:00:00 AM"</f>
        <v>12/8/2004 12:00:00 AM</v>
      </c>
      <c r="O3961" t="s">
        <v>11875</v>
      </c>
      <c r="T3961" t="s">
        <v>11876</v>
      </c>
    </row>
    <row r="3962" spans="1:20" x14ac:dyDescent="0.25">
      <c r="A3962" t="str">
        <f>"3052527"</f>
        <v>3052527</v>
      </c>
      <c r="B3962" t="s">
        <v>12167</v>
      </c>
      <c r="C3962" t="str">
        <f>"41256000"</f>
        <v>41256000</v>
      </c>
      <c r="D3962" t="s">
        <v>12168</v>
      </c>
      <c r="E3962" t="s">
        <v>12169</v>
      </c>
      <c r="F3962" t="s">
        <v>12170</v>
      </c>
      <c r="I3962" t="s">
        <v>29</v>
      </c>
      <c r="J3962" t="s">
        <v>30</v>
      </c>
      <c r="K3962" t="s">
        <v>31</v>
      </c>
      <c r="M3962" t="s">
        <v>32</v>
      </c>
      <c r="N3962" t="str">
        <f>"9/10/2002 12:00:00 AM"</f>
        <v>9/10/2002 12:00:00 AM</v>
      </c>
      <c r="O3962" t="s">
        <v>12168</v>
      </c>
      <c r="T3962" t="s">
        <v>12169</v>
      </c>
    </row>
    <row r="3963" spans="1:20" x14ac:dyDescent="0.25">
      <c r="A3963" t="str">
        <f>"3052672"</f>
        <v>3052672</v>
      </c>
      <c r="B3963" t="s">
        <v>12171</v>
      </c>
      <c r="C3963" t="str">
        <f>"82514560"</f>
        <v>82514560</v>
      </c>
      <c r="D3963" t="s">
        <v>12172</v>
      </c>
      <c r="F3963" t="s">
        <v>12173</v>
      </c>
      <c r="I3963" t="s">
        <v>29</v>
      </c>
      <c r="J3963" t="s">
        <v>30</v>
      </c>
      <c r="K3963" t="s">
        <v>31</v>
      </c>
      <c r="M3963" t="s">
        <v>32</v>
      </c>
      <c r="N3963" t="str">
        <f>"11/7/2007 12:00:00 AM"</f>
        <v>11/7/2007 12:00:00 AM</v>
      </c>
      <c r="O3963" t="s">
        <v>12172</v>
      </c>
    </row>
    <row r="3964" spans="1:20" x14ac:dyDescent="0.25">
      <c r="A3964" t="str">
        <f>"3052585"</f>
        <v>3052585</v>
      </c>
      <c r="B3964" t="s">
        <v>12174</v>
      </c>
      <c r="C3964" t="str">
        <f>"82515934"</f>
        <v>82515934</v>
      </c>
      <c r="D3964" t="s">
        <v>12175</v>
      </c>
      <c r="F3964" t="s">
        <v>12176</v>
      </c>
      <c r="I3964" t="s">
        <v>29</v>
      </c>
      <c r="J3964" t="s">
        <v>30</v>
      </c>
      <c r="K3964" t="s">
        <v>31</v>
      </c>
      <c r="M3964" t="s">
        <v>32</v>
      </c>
      <c r="N3964" t="str">
        <f>"1/18/2001 12:00:00 AM"</f>
        <v>1/18/2001 12:00:00 AM</v>
      </c>
      <c r="O3964" t="s">
        <v>12175</v>
      </c>
    </row>
    <row r="3965" spans="1:20" x14ac:dyDescent="0.25">
      <c r="A3965" t="str">
        <f>"3055144"</f>
        <v>3055144</v>
      </c>
      <c r="B3965" t="s">
        <v>12177</v>
      </c>
      <c r="C3965" t="str">
        <f>"82515916"</f>
        <v>82515916</v>
      </c>
      <c r="D3965" t="s">
        <v>12178</v>
      </c>
      <c r="E3965" t="s">
        <v>12179</v>
      </c>
      <c r="F3965" t="s">
        <v>12180</v>
      </c>
      <c r="I3965" t="s">
        <v>29</v>
      </c>
      <c r="J3965" t="s">
        <v>30</v>
      </c>
      <c r="K3965" t="s">
        <v>31</v>
      </c>
      <c r="M3965" t="s">
        <v>32</v>
      </c>
      <c r="N3965" t="str">
        <f>"1/17/2001 12:00:00 AM"</f>
        <v>1/17/2001 12:00:00 AM</v>
      </c>
      <c r="O3965" t="s">
        <v>12178</v>
      </c>
      <c r="T3965" t="s">
        <v>12179</v>
      </c>
    </row>
    <row r="3966" spans="1:20" x14ac:dyDescent="0.25">
      <c r="A3966" t="str">
        <f>"3052643"</f>
        <v>3052643</v>
      </c>
      <c r="B3966" t="s">
        <v>12181</v>
      </c>
      <c r="C3966" t="str">
        <f>"82524012"</f>
        <v>82524012</v>
      </c>
      <c r="D3966" t="s">
        <v>12182</v>
      </c>
      <c r="E3966" t="s">
        <v>12183</v>
      </c>
      <c r="F3966" t="s">
        <v>12184</v>
      </c>
      <c r="I3966" t="s">
        <v>29</v>
      </c>
      <c r="J3966" t="s">
        <v>30</v>
      </c>
      <c r="K3966" t="s">
        <v>31</v>
      </c>
      <c r="M3966" t="s">
        <v>32</v>
      </c>
      <c r="N3966" t="str">
        <f>"3/10/2011 12:00:00 AM"</f>
        <v>3/10/2011 12:00:00 AM</v>
      </c>
      <c r="O3966" t="s">
        <v>12182</v>
      </c>
      <c r="T3966" t="s">
        <v>12183</v>
      </c>
    </row>
    <row r="3967" spans="1:20" x14ac:dyDescent="0.25">
      <c r="A3967" t="str">
        <f>"3052484"</f>
        <v>3052484</v>
      </c>
      <c r="B3967" t="s">
        <v>12185</v>
      </c>
      <c r="C3967" t="str">
        <f>"77080000"</f>
        <v>77080000</v>
      </c>
      <c r="D3967" t="s">
        <v>12186</v>
      </c>
      <c r="F3967" t="s">
        <v>12187</v>
      </c>
      <c r="I3967" t="s">
        <v>29</v>
      </c>
      <c r="J3967" t="s">
        <v>30</v>
      </c>
      <c r="K3967" t="s">
        <v>31</v>
      </c>
      <c r="M3967" t="s">
        <v>32</v>
      </c>
      <c r="N3967" t="str">
        <f>"9/16/2005 12:00:00 AM"</f>
        <v>9/16/2005 12:00:00 AM</v>
      </c>
      <c r="O3967" t="s">
        <v>12186</v>
      </c>
    </row>
    <row r="3968" spans="1:20" x14ac:dyDescent="0.25">
      <c r="A3968" t="str">
        <f>"3052442"</f>
        <v>3052442</v>
      </c>
      <c r="B3968" t="s">
        <v>12188</v>
      </c>
      <c r="C3968" t="str">
        <f>"82519218"</f>
        <v>82519218</v>
      </c>
      <c r="D3968" t="s">
        <v>12189</v>
      </c>
      <c r="F3968" t="s">
        <v>12190</v>
      </c>
      <c r="I3968" t="s">
        <v>29</v>
      </c>
      <c r="J3968" t="s">
        <v>30</v>
      </c>
      <c r="K3968" t="s">
        <v>31</v>
      </c>
      <c r="M3968" t="s">
        <v>32</v>
      </c>
      <c r="N3968" t="str">
        <f>"7/25/2002 12:00:00 AM"</f>
        <v>7/25/2002 12:00:00 AM</v>
      </c>
      <c r="O3968" t="s">
        <v>12189</v>
      </c>
    </row>
    <row r="3969" spans="1:20" x14ac:dyDescent="0.25">
      <c r="A3969" t="str">
        <f>"3052590"</f>
        <v>3052590</v>
      </c>
      <c r="B3969" t="s">
        <v>12191</v>
      </c>
      <c r="C3969" t="str">
        <f>"82520794"</f>
        <v>82520794</v>
      </c>
      <c r="D3969" t="s">
        <v>12192</v>
      </c>
      <c r="F3969" t="s">
        <v>12193</v>
      </c>
      <c r="I3969" t="s">
        <v>29</v>
      </c>
      <c r="J3969" t="s">
        <v>30</v>
      </c>
      <c r="K3969" t="s">
        <v>31</v>
      </c>
      <c r="M3969" t="s">
        <v>32</v>
      </c>
      <c r="N3969" t="str">
        <f>"11/24/2008 12:00:00 AM"</f>
        <v>11/24/2008 12:00:00 AM</v>
      </c>
      <c r="O3969" t="s">
        <v>12192</v>
      </c>
    </row>
    <row r="3970" spans="1:20" x14ac:dyDescent="0.25">
      <c r="A3970" t="str">
        <f>"3052629"</f>
        <v>3052629</v>
      </c>
      <c r="B3970" t="s">
        <v>12194</v>
      </c>
      <c r="C3970" t="str">
        <f>"82520495"</f>
        <v>82520495</v>
      </c>
      <c r="D3970" t="s">
        <v>12195</v>
      </c>
      <c r="F3970" t="s">
        <v>12196</v>
      </c>
      <c r="I3970" t="s">
        <v>29</v>
      </c>
      <c r="J3970" t="s">
        <v>30</v>
      </c>
      <c r="K3970" t="s">
        <v>31</v>
      </c>
      <c r="M3970" t="s">
        <v>32</v>
      </c>
      <c r="N3970" t="str">
        <f>"3/17/2005 12:00:00 AM"</f>
        <v>3/17/2005 12:00:00 AM</v>
      </c>
      <c r="O3970" t="s">
        <v>12195</v>
      </c>
    </row>
    <row r="3971" spans="1:20" x14ac:dyDescent="0.25">
      <c r="A3971" t="str">
        <f>"3052545"</f>
        <v>3052545</v>
      </c>
      <c r="B3971" t="s">
        <v>12197</v>
      </c>
      <c r="C3971" t="str">
        <f>"82517239"</f>
        <v>82517239</v>
      </c>
      <c r="D3971" t="s">
        <v>12198</v>
      </c>
      <c r="F3971" t="s">
        <v>12199</v>
      </c>
      <c r="I3971" t="s">
        <v>29</v>
      </c>
      <c r="J3971" t="s">
        <v>30</v>
      </c>
      <c r="K3971" t="s">
        <v>31</v>
      </c>
      <c r="M3971" t="s">
        <v>32</v>
      </c>
      <c r="N3971" t="str">
        <f>"9/13/2001 12:00:00 AM"</f>
        <v>9/13/2001 12:00:00 AM</v>
      </c>
      <c r="O3971" t="s">
        <v>12198</v>
      </c>
    </row>
    <row r="3972" spans="1:20" x14ac:dyDescent="0.25">
      <c r="A3972" t="str">
        <f>"3051738"</f>
        <v>3051738</v>
      </c>
      <c r="B3972" t="s">
        <v>12200</v>
      </c>
      <c r="C3972" t="str">
        <f>"17412000"</f>
        <v>17412000</v>
      </c>
      <c r="D3972" t="s">
        <v>12201</v>
      </c>
      <c r="F3972" t="s">
        <v>12202</v>
      </c>
      <c r="I3972" t="s">
        <v>29</v>
      </c>
      <c r="J3972" t="s">
        <v>30</v>
      </c>
      <c r="K3972" t="s">
        <v>31</v>
      </c>
      <c r="M3972" t="s">
        <v>32</v>
      </c>
      <c r="N3972" t="str">
        <f>"9/12/2002 12:00:00 AM"</f>
        <v>9/12/2002 12:00:00 AM</v>
      </c>
      <c r="O3972" t="s">
        <v>12201</v>
      </c>
    </row>
    <row r="3973" spans="1:20" x14ac:dyDescent="0.25">
      <c r="A3973" t="str">
        <f>"3051882"</f>
        <v>3051882</v>
      </c>
      <c r="B3973" t="s">
        <v>12203</v>
      </c>
      <c r="C3973" t="str">
        <f>"82517850"</f>
        <v>82517850</v>
      </c>
      <c r="D3973" t="s">
        <v>12204</v>
      </c>
      <c r="F3973" t="str">
        <f>"C/O NEWSOME STEDMAN"</f>
        <v>C/O NEWSOME STEDMAN</v>
      </c>
      <c r="G3973" t="s">
        <v>12205</v>
      </c>
      <c r="I3973" t="s">
        <v>29</v>
      </c>
      <c r="J3973" t="s">
        <v>30</v>
      </c>
      <c r="K3973" t="s">
        <v>31</v>
      </c>
      <c r="M3973" t="s">
        <v>32</v>
      </c>
      <c r="N3973" t="str">
        <f>"5/28/2004 12:00:00 AM"</f>
        <v>5/28/2004 12:00:00 AM</v>
      </c>
      <c r="O3973" t="s">
        <v>12204</v>
      </c>
    </row>
    <row r="3974" spans="1:20" x14ac:dyDescent="0.25">
      <c r="A3974" t="str">
        <f>"3052015"</f>
        <v>3052015</v>
      </c>
      <c r="B3974" t="s">
        <v>12206</v>
      </c>
      <c r="C3974" t="str">
        <f>"82517850"</f>
        <v>82517850</v>
      </c>
      <c r="D3974" t="s">
        <v>12204</v>
      </c>
      <c r="F3974" t="str">
        <f>"C/O NEWSOME STEDMAN"</f>
        <v>C/O NEWSOME STEDMAN</v>
      </c>
      <c r="G3974" t="s">
        <v>12205</v>
      </c>
      <c r="I3974" t="s">
        <v>29</v>
      </c>
      <c r="J3974" t="s">
        <v>30</v>
      </c>
      <c r="K3974" t="s">
        <v>31</v>
      </c>
      <c r="M3974" t="s">
        <v>32</v>
      </c>
      <c r="N3974" t="str">
        <f>"5/28/2004 12:00:00 AM"</f>
        <v>5/28/2004 12:00:00 AM</v>
      </c>
      <c r="O3974" t="s">
        <v>12204</v>
      </c>
    </row>
    <row r="3975" spans="1:20" x14ac:dyDescent="0.25">
      <c r="A3975" t="str">
        <f>"3068934"</f>
        <v>3068934</v>
      </c>
      <c r="B3975" t="s">
        <v>12207</v>
      </c>
      <c r="C3975" t="str">
        <f>"82520561"</f>
        <v>82520561</v>
      </c>
      <c r="D3975" t="s">
        <v>12208</v>
      </c>
      <c r="F3975" t="s">
        <v>12209</v>
      </c>
      <c r="I3975" t="s">
        <v>29</v>
      </c>
      <c r="J3975" t="s">
        <v>30</v>
      </c>
      <c r="K3975" t="s">
        <v>31</v>
      </c>
      <c r="M3975" t="s">
        <v>32</v>
      </c>
      <c r="N3975" t="str">
        <f>"1/16/2004 12:00:00 AM"</f>
        <v>1/16/2004 12:00:00 AM</v>
      </c>
      <c r="O3975" t="s">
        <v>12208</v>
      </c>
    </row>
    <row r="3976" spans="1:20" x14ac:dyDescent="0.25">
      <c r="A3976" t="str">
        <f>"3051688"</f>
        <v>3051688</v>
      </c>
      <c r="B3976" t="s">
        <v>12210</v>
      </c>
      <c r="C3976" t="str">
        <f>"74855230"</f>
        <v>74855230</v>
      </c>
      <c r="D3976" t="s">
        <v>12211</v>
      </c>
      <c r="F3976" t="s">
        <v>12212</v>
      </c>
      <c r="G3976" t="s">
        <v>12213</v>
      </c>
      <c r="I3976" t="s">
        <v>12214</v>
      </c>
      <c r="J3976" t="s">
        <v>12215</v>
      </c>
      <c r="K3976" t="s">
        <v>12216</v>
      </c>
      <c r="M3976" t="s">
        <v>32</v>
      </c>
      <c r="N3976" t="str">
        <f>"4/1/2003 12:00:00 AM"</f>
        <v>4/1/2003 12:00:00 AM</v>
      </c>
      <c r="O3976" t="s">
        <v>12211</v>
      </c>
    </row>
    <row r="3977" spans="1:20" x14ac:dyDescent="0.25">
      <c r="A3977" t="str">
        <f>"3052032"</f>
        <v>3052032</v>
      </c>
      <c r="B3977" t="s">
        <v>12217</v>
      </c>
      <c r="C3977" t="str">
        <f>"82528888"</f>
        <v>82528888</v>
      </c>
      <c r="D3977" t="s">
        <v>11870</v>
      </c>
      <c r="F3977" t="s">
        <v>12218</v>
      </c>
      <c r="I3977" t="s">
        <v>29</v>
      </c>
      <c r="J3977" t="s">
        <v>30</v>
      </c>
      <c r="K3977" t="s">
        <v>31</v>
      </c>
      <c r="M3977" t="s">
        <v>32</v>
      </c>
      <c r="N3977" t="str">
        <f>"2/19/2008 12:00:00 AM"</f>
        <v>2/19/2008 12:00:00 AM</v>
      </c>
      <c r="O3977" t="s">
        <v>11870</v>
      </c>
      <c r="T3977" t="s">
        <v>11870</v>
      </c>
    </row>
    <row r="3978" spans="1:20" x14ac:dyDescent="0.25">
      <c r="A3978" t="str">
        <f>"3052011"</f>
        <v>3052011</v>
      </c>
      <c r="B3978" t="s">
        <v>12219</v>
      </c>
      <c r="C3978" t="str">
        <f>"82517340"</f>
        <v>82517340</v>
      </c>
      <c r="D3978" t="s">
        <v>12220</v>
      </c>
      <c r="E3978" t="s">
        <v>12221</v>
      </c>
      <c r="F3978" t="s">
        <v>12222</v>
      </c>
      <c r="I3978" t="s">
        <v>29</v>
      </c>
      <c r="J3978" t="s">
        <v>30</v>
      </c>
      <c r="K3978" t="s">
        <v>31</v>
      </c>
      <c r="M3978" t="s">
        <v>32</v>
      </c>
      <c r="N3978" t="str">
        <f>"9/13/2002 12:00:00 AM"</f>
        <v>9/13/2002 12:00:00 AM</v>
      </c>
      <c r="O3978" t="s">
        <v>12220</v>
      </c>
      <c r="T3978" t="s">
        <v>12221</v>
      </c>
    </row>
    <row r="3979" spans="1:20" x14ac:dyDescent="0.25">
      <c r="A3979" t="str">
        <f>"3052553"</f>
        <v>3052553</v>
      </c>
      <c r="B3979" t="s">
        <v>12223</v>
      </c>
      <c r="C3979" t="str">
        <f>"11875250"</f>
        <v>11875250</v>
      </c>
      <c r="D3979" t="s">
        <v>12224</v>
      </c>
      <c r="E3979" t="s">
        <v>12225</v>
      </c>
      <c r="F3979" t="s">
        <v>12226</v>
      </c>
      <c r="I3979" t="s">
        <v>29</v>
      </c>
      <c r="J3979" t="s">
        <v>30</v>
      </c>
      <c r="K3979" t="s">
        <v>31</v>
      </c>
      <c r="M3979" t="s">
        <v>32</v>
      </c>
      <c r="N3979" t="str">
        <f>"9/10/2002 12:00:00 AM"</f>
        <v>9/10/2002 12:00:00 AM</v>
      </c>
      <c r="O3979" t="s">
        <v>12224</v>
      </c>
      <c r="T3979" t="s">
        <v>12225</v>
      </c>
    </row>
    <row r="3980" spans="1:20" x14ac:dyDescent="0.25">
      <c r="A3980" t="str">
        <f>"3051641"</f>
        <v>3051641</v>
      </c>
      <c r="B3980" t="s">
        <v>12227</v>
      </c>
      <c r="C3980" t="str">
        <f>"30522370"</f>
        <v>30522370</v>
      </c>
      <c r="D3980" t="s">
        <v>12228</v>
      </c>
      <c r="F3980" t="s">
        <v>12229</v>
      </c>
      <c r="I3980" t="s">
        <v>29</v>
      </c>
      <c r="J3980" t="s">
        <v>30</v>
      </c>
      <c r="K3980" t="s">
        <v>12230</v>
      </c>
      <c r="M3980" t="s">
        <v>32</v>
      </c>
      <c r="N3980" t="str">
        <f>"1/5/2006 12:00:00 AM"</f>
        <v>1/5/2006 12:00:00 AM</v>
      </c>
      <c r="O3980" t="s">
        <v>12228</v>
      </c>
    </row>
    <row r="3981" spans="1:20" x14ac:dyDescent="0.25">
      <c r="A3981" t="str">
        <f>"3052108"</f>
        <v>3052108</v>
      </c>
      <c r="B3981" t="s">
        <v>12231</v>
      </c>
      <c r="C3981" t="str">
        <f>"12712000"</f>
        <v>12712000</v>
      </c>
      <c r="D3981" t="s">
        <v>12232</v>
      </c>
      <c r="F3981" t="s">
        <v>12233</v>
      </c>
      <c r="I3981" t="s">
        <v>29</v>
      </c>
      <c r="J3981" t="s">
        <v>30</v>
      </c>
      <c r="K3981" t="s">
        <v>12234</v>
      </c>
      <c r="M3981" t="s">
        <v>32</v>
      </c>
      <c r="N3981" t="str">
        <f>"2/6/2007 12:00:00 AM"</f>
        <v>2/6/2007 12:00:00 AM</v>
      </c>
      <c r="O3981" t="s">
        <v>12232</v>
      </c>
      <c r="T3981" t="s">
        <v>12232</v>
      </c>
    </row>
    <row r="3982" spans="1:20" x14ac:dyDescent="0.25">
      <c r="A3982" t="str">
        <f>"3051667"</f>
        <v>3051667</v>
      </c>
      <c r="B3982" t="s">
        <v>12235</v>
      </c>
      <c r="C3982" t="str">
        <f>"82525897"</f>
        <v>82525897</v>
      </c>
      <c r="D3982" t="s">
        <v>12236</v>
      </c>
      <c r="F3982" t="s">
        <v>12237</v>
      </c>
      <c r="I3982" t="s">
        <v>12238</v>
      </c>
      <c r="J3982" t="s">
        <v>2738</v>
      </c>
      <c r="K3982" t="s">
        <v>12239</v>
      </c>
      <c r="M3982" t="s">
        <v>32</v>
      </c>
      <c r="N3982" t="str">
        <f>"3/20/2006 12:00:00 AM"</f>
        <v>3/20/2006 12:00:00 AM</v>
      </c>
      <c r="O3982" t="s">
        <v>12236</v>
      </c>
    </row>
    <row r="3983" spans="1:20" x14ac:dyDescent="0.25">
      <c r="A3983" t="str">
        <f>"3051638"</f>
        <v>3051638</v>
      </c>
      <c r="B3983" t="s">
        <v>12240</v>
      </c>
      <c r="C3983" t="str">
        <f>"82525897"</f>
        <v>82525897</v>
      </c>
      <c r="D3983" t="s">
        <v>12236</v>
      </c>
      <c r="F3983" t="s">
        <v>12237</v>
      </c>
      <c r="I3983" t="s">
        <v>12238</v>
      </c>
      <c r="J3983" t="s">
        <v>2738</v>
      </c>
      <c r="K3983" t="s">
        <v>12239</v>
      </c>
      <c r="M3983" t="s">
        <v>32</v>
      </c>
      <c r="N3983" t="str">
        <f>"3/20/2006 12:00:00 AM"</f>
        <v>3/20/2006 12:00:00 AM</v>
      </c>
      <c r="O3983" t="s">
        <v>12236</v>
      </c>
    </row>
    <row r="3984" spans="1:20" x14ac:dyDescent="0.25">
      <c r="A3984" t="str">
        <f>"3052461"</f>
        <v>3052461</v>
      </c>
      <c r="B3984" t="s">
        <v>12241</v>
      </c>
      <c r="C3984" t="str">
        <f>"82526759"</f>
        <v>82526759</v>
      </c>
      <c r="D3984" t="s">
        <v>12242</v>
      </c>
      <c r="F3984" t="s">
        <v>12243</v>
      </c>
      <c r="I3984" t="s">
        <v>29</v>
      </c>
      <c r="J3984" t="s">
        <v>30</v>
      </c>
      <c r="K3984" t="s">
        <v>31</v>
      </c>
      <c r="M3984" t="s">
        <v>32</v>
      </c>
      <c r="N3984" t="str">
        <f>"9/11/2006 12:00:00 AM"</f>
        <v>9/11/2006 12:00:00 AM</v>
      </c>
      <c r="O3984" t="s">
        <v>12242</v>
      </c>
    </row>
    <row r="3985" spans="1:20" x14ac:dyDescent="0.25">
      <c r="A3985" t="str">
        <f>"3052134"</f>
        <v>3052134</v>
      </c>
      <c r="B3985" t="s">
        <v>12244</v>
      </c>
      <c r="C3985" t="str">
        <f>"82517384"</f>
        <v>82517384</v>
      </c>
      <c r="D3985" t="s">
        <v>12245</v>
      </c>
      <c r="F3985" t="s">
        <v>12246</v>
      </c>
      <c r="I3985" t="s">
        <v>29</v>
      </c>
      <c r="J3985" t="s">
        <v>30</v>
      </c>
      <c r="K3985" t="s">
        <v>11934</v>
      </c>
      <c r="M3985" t="s">
        <v>32</v>
      </c>
      <c r="N3985" t="str">
        <f>"2/1/2010 12:00:00 AM"</f>
        <v>2/1/2010 12:00:00 AM</v>
      </c>
      <c r="O3985" t="s">
        <v>12245</v>
      </c>
      <c r="T3985" t="s">
        <v>12245</v>
      </c>
    </row>
    <row r="3986" spans="1:20" x14ac:dyDescent="0.25">
      <c r="A3986" t="str">
        <f>"3047178"</f>
        <v>3047178</v>
      </c>
      <c r="B3986" t="s">
        <v>12247</v>
      </c>
      <c r="C3986" t="str">
        <f>"82522644"</f>
        <v>82522644</v>
      </c>
      <c r="D3986" t="s">
        <v>12248</v>
      </c>
      <c r="F3986" t="s">
        <v>12249</v>
      </c>
      <c r="I3986" t="s">
        <v>29</v>
      </c>
      <c r="J3986" t="s">
        <v>30</v>
      </c>
      <c r="K3986" t="s">
        <v>12250</v>
      </c>
      <c r="M3986" t="s">
        <v>32</v>
      </c>
      <c r="N3986" t="str">
        <f>"2/17/2005 12:00:00 AM"</f>
        <v>2/17/2005 12:00:00 AM</v>
      </c>
      <c r="O3986" t="s">
        <v>12248</v>
      </c>
    </row>
    <row r="3987" spans="1:20" x14ac:dyDescent="0.25">
      <c r="A3987" t="str">
        <f>"3047114"</f>
        <v>3047114</v>
      </c>
      <c r="B3987" t="s">
        <v>12251</v>
      </c>
      <c r="C3987" t="str">
        <f>"5103130"</f>
        <v>5103130</v>
      </c>
      <c r="D3987" t="s">
        <v>12252</v>
      </c>
      <c r="E3987" t="s">
        <v>12253</v>
      </c>
      <c r="F3987" t="s">
        <v>12254</v>
      </c>
      <c r="I3987" t="s">
        <v>29</v>
      </c>
      <c r="J3987" t="s">
        <v>30</v>
      </c>
      <c r="K3987" t="s">
        <v>12255</v>
      </c>
      <c r="M3987" t="s">
        <v>32</v>
      </c>
      <c r="N3987" t="str">
        <f>"1/12/2006 12:00:00 AM"</f>
        <v>1/12/2006 12:00:00 AM</v>
      </c>
      <c r="O3987" t="s">
        <v>12252</v>
      </c>
      <c r="T3987" t="s">
        <v>12253</v>
      </c>
    </row>
    <row r="3988" spans="1:20" x14ac:dyDescent="0.25">
      <c r="A3988" t="str">
        <f>"3046896"</f>
        <v>3046896</v>
      </c>
      <c r="B3988" t="s">
        <v>12256</v>
      </c>
      <c r="C3988" t="str">
        <f>"5103130"</f>
        <v>5103130</v>
      </c>
      <c r="D3988" t="s">
        <v>12252</v>
      </c>
      <c r="E3988" t="s">
        <v>12253</v>
      </c>
      <c r="F3988" t="s">
        <v>12254</v>
      </c>
      <c r="I3988" t="s">
        <v>29</v>
      </c>
      <c r="J3988" t="s">
        <v>30</v>
      </c>
      <c r="K3988" t="s">
        <v>12255</v>
      </c>
      <c r="M3988" t="s">
        <v>32</v>
      </c>
      <c r="N3988" t="str">
        <f>"1/12/2006 12:00:00 AM"</f>
        <v>1/12/2006 12:00:00 AM</v>
      </c>
      <c r="O3988" t="s">
        <v>12252</v>
      </c>
      <c r="T3988" t="s">
        <v>12253</v>
      </c>
    </row>
    <row r="3989" spans="1:20" x14ac:dyDescent="0.25">
      <c r="A3989" t="str">
        <f>"3047013"</f>
        <v>3047013</v>
      </c>
      <c r="B3989" t="s">
        <v>12257</v>
      </c>
      <c r="C3989" t="str">
        <f>"82529772"</f>
        <v>82529772</v>
      </c>
      <c r="D3989" t="s">
        <v>12258</v>
      </c>
      <c r="E3989" t="s">
        <v>12259</v>
      </c>
      <c r="F3989" t="s">
        <v>12260</v>
      </c>
      <c r="I3989" t="s">
        <v>29</v>
      </c>
      <c r="J3989" t="s">
        <v>30</v>
      </c>
      <c r="K3989" t="s">
        <v>31</v>
      </c>
      <c r="M3989" t="s">
        <v>32</v>
      </c>
      <c r="N3989" t="str">
        <f>"6/23/2008 12:00:00 AM"</f>
        <v>6/23/2008 12:00:00 AM</v>
      </c>
      <c r="O3989" t="s">
        <v>12258</v>
      </c>
      <c r="T3989" t="s">
        <v>12259</v>
      </c>
    </row>
    <row r="3990" spans="1:20" x14ac:dyDescent="0.25">
      <c r="A3990" t="str">
        <f>"3047073"</f>
        <v>3047073</v>
      </c>
      <c r="B3990" t="s">
        <v>12261</v>
      </c>
      <c r="C3990" t="str">
        <f>"82515770"</f>
        <v>82515770</v>
      </c>
      <c r="D3990" t="s">
        <v>12262</v>
      </c>
      <c r="E3990" t="s">
        <v>12263</v>
      </c>
      <c r="F3990" t="s">
        <v>12264</v>
      </c>
      <c r="I3990" t="s">
        <v>29</v>
      </c>
      <c r="J3990" t="s">
        <v>30</v>
      </c>
      <c r="K3990" t="s">
        <v>31</v>
      </c>
      <c r="M3990" t="s">
        <v>32</v>
      </c>
      <c r="N3990" t="str">
        <f>"9/13/2002 12:00:00 AM"</f>
        <v>9/13/2002 12:00:00 AM</v>
      </c>
      <c r="O3990" t="s">
        <v>12262</v>
      </c>
      <c r="T3990" t="s">
        <v>12263</v>
      </c>
    </row>
    <row r="3991" spans="1:20" x14ac:dyDescent="0.25">
      <c r="A3991" t="str">
        <f>"3049459"</f>
        <v>3049459</v>
      </c>
      <c r="B3991" t="s">
        <v>12265</v>
      </c>
      <c r="C3991" t="str">
        <f>"82515770"</f>
        <v>82515770</v>
      </c>
      <c r="D3991" t="s">
        <v>12262</v>
      </c>
      <c r="E3991" t="s">
        <v>12263</v>
      </c>
      <c r="F3991" t="s">
        <v>12264</v>
      </c>
      <c r="I3991" t="s">
        <v>29</v>
      </c>
      <c r="J3991" t="s">
        <v>30</v>
      </c>
      <c r="K3991" t="s">
        <v>31</v>
      </c>
      <c r="M3991" t="s">
        <v>32</v>
      </c>
      <c r="N3991" t="str">
        <f>"9/13/2002 12:00:00 AM"</f>
        <v>9/13/2002 12:00:00 AM</v>
      </c>
      <c r="O3991" t="s">
        <v>12262</v>
      </c>
      <c r="T3991" t="s">
        <v>12263</v>
      </c>
    </row>
    <row r="3992" spans="1:20" x14ac:dyDescent="0.25">
      <c r="A3992" t="str">
        <f>"3047196"</f>
        <v>3047196</v>
      </c>
      <c r="B3992" t="s">
        <v>12266</v>
      </c>
      <c r="C3992" t="str">
        <f>"48013000"</f>
        <v>48013000</v>
      </c>
      <c r="D3992" t="s">
        <v>12267</v>
      </c>
      <c r="E3992" t="s">
        <v>12268</v>
      </c>
      <c r="F3992" t="s">
        <v>12269</v>
      </c>
      <c r="I3992" t="s">
        <v>29</v>
      </c>
      <c r="J3992" t="s">
        <v>30</v>
      </c>
      <c r="K3992" t="s">
        <v>12270</v>
      </c>
      <c r="M3992" t="s">
        <v>32</v>
      </c>
      <c r="N3992" t="str">
        <f>"1/22/2007 12:00:00 AM"</f>
        <v>1/22/2007 12:00:00 AM</v>
      </c>
      <c r="O3992" t="s">
        <v>12267</v>
      </c>
      <c r="T3992" t="s">
        <v>12268</v>
      </c>
    </row>
    <row r="3993" spans="1:20" x14ac:dyDescent="0.25">
      <c r="A3993" t="str">
        <f>"3051694"</f>
        <v>3051694</v>
      </c>
      <c r="B3993" t="s">
        <v>12271</v>
      </c>
      <c r="C3993" t="str">
        <f>"65286000"</f>
        <v>65286000</v>
      </c>
      <c r="D3993" t="s">
        <v>11966</v>
      </c>
      <c r="F3993" t="s">
        <v>11967</v>
      </c>
      <c r="I3993" t="s">
        <v>29</v>
      </c>
      <c r="J3993" t="s">
        <v>30</v>
      </c>
      <c r="K3993" t="s">
        <v>31</v>
      </c>
      <c r="M3993" t="s">
        <v>32</v>
      </c>
      <c r="N3993" t="str">
        <f>"5/4/2004 12:00:00 AM"</f>
        <v>5/4/2004 12:00:00 AM</v>
      </c>
      <c r="O3993" t="s">
        <v>11966</v>
      </c>
    </row>
    <row r="3994" spans="1:20" x14ac:dyDescent="0.25">
      <c r="A3994" t="str">
        <f>"3051696"</f>
        <v>3051696</v>
      </c>
      <c r="B3994" t="s">
        <v>12272</v>
      </c>
      <c r="C3994" t="str">
        <f>"65286000"</f>
        <v>65286000</v>
      </c>
      <c r="D3994" t="s">
        <v>11966</v>
      </c>
      <c r="F3994" t="s">
        <v>11967</v>
      </c>
      <c r="I3994" t="s">
        <v>29</v>
      </c>
      <c r="J3994" t="s">
        <v>30</v>
      </c>
      <c r="K3994" t="s">
        <v>31</v>
      </c>
      <c r="M3994" t="s">
        <v>32</v>
      </c>
      <c r="N3994" t="str">
        <f>"5/4/2004 12:00:00 AM"</f>
        <v>5/4/2004 12:00:00 AM</v>
      </c>
      <c r="O3994" t="s">
        <v>11966</v>
      </c>
    </row>
    <row r="3995" spans="1:20" x14ac:dyDescent="0.25">
      <c r="A3995" t="str">
        <f>"3048746"</f>
        <v>3048746</v>
      </c>
      <c r="B3995" t="s">
        <v>12273</v>
      </c>
      <c r="C3995" t="str">
        <f>"59151750"</f>
        <v>59151750</v>
      </c>
      <c r="D3995" t="s">
        <v>12274</v>
      </c>
      <c r="F3995" t="s">
        <v>12275</v>
      </c>
      <c r="I3995" t="s">
        <v>29</v>
      </c>
      <c r="J3995" t="s">
        <v>30</v>
      </c>
      <c r="K3995" t="s">
        <v>12276</v>
      </c>
      <c r="M3995" t="s">
        <v>32</v>
      </c>
      <c r="N3995" t="str">
        <f>"2/23/2005 12:00:00 AM"</f>
        <v>2/23/2005 12:00:00 AM</v>
      </c>
      <c r="O3995" t="s">
        <v>12274</v>
      </c>
    </row>
    <row r="3996" spans="1:20" x14ac:dyDescent="0.25">
      <c r="A3996" t="str">
        <f>"3049359"</f>
        <v>3049359</v>
      </c>
      <c r="B3996" t="s">
        <v>12277</v>
      </c>
      <c r="C3996" t="str">
        <f>"46704550"</f>
        <v>46704550</v>
      </c>
      <c r="D3996" t="s">
        <v>12278</v>
      </c>
      <c r="E3996" t="s">
        <v>12279</v>
      </c>
      <c r="F3996" t="s">
        <v>12280</v>
      </c>
      <c r="I3996" t="s">
        <v>29</v>
      </c>
      <c r="J3996" t="s">
        <v>30</v>
      </c>
      <c r="K3996" t="s">
        <v>12281</v>
      </c>
      <c r="M3996" t="s">
        <v>32</v>
      </c>
      <c r="N3996" t="str">
        <f>"1/24/2006 12:00:00 AM"</f>
        <v>1/24/2006 12:00:00 AM</v>
      </c>
      <c r="O3996" t="s">
        <v>12278</v>
      </c>
      <c r="T3996" t="s">
        <v>12279</v>
      </c>
    </row>
    <row r="3997" spans="1:20" x14ac:dyDescent="0.25">
      <c r="A3997" t="str">
        <f>"3078777"</f>
        <v>3078777</v>
      </c>
      <c r="B3997" t="s">
        <v>12282</v>
      </c>
      <c r="C3997" t="str">
        <f>"82527600"</f>
        <v>82527600</v>
      </c>
      <c r="D3997" t="s">
        <v>12283</v>
      </c>
      <c r="F3997" t="s">
        <v>12284</v>
      </c>
      <c r="I3997" t="s">
        <v>29</v>
      </c>
      <c r="J3997" t="s">
        <v>30</v>
      </c>
      <c r="K3997" t="s">
        <v>31</v>
      </c>
      <c r="M3997" t="s">
        <v>32</v>
      </c>
      <c r="N3997" t="str">
        <f>"2/26/2007 12:00:00 AM"</f>
        <v>2/26/2007 12:00:00 AM</v>
      </c>
      <c r="O3997" t="s">
        <v>12283</v>
      </c>
    </row>
    <row r="3998" spans="1:20" x14ac:dyDescent="0.25">
      <c r="A3998" t="str">
        <f>"3047090"</f>
        <v>3047090</v>
      </c>
      <c r="B3998" t="s">
        <v>12285</v>
      </c>
      <c r="C3998" t="str">
        <f>"82524240"</f>
        <v>82524240</v>
      </c>
      <c r="D3998" t="s">
        <v>12286</v>
      </c>
      <c r="E3998" t="s">
        <v>12287</v>
      </c>
      <c r="F3998" t="s">
        <v>12288</v>
      </c>
      <c r="I3998" t="s">
        <v>29</v>
      </c>
      <c r="J3998" t="s">
        <v>30</v>
      </c>
      <c r="K3998" t="s">
        <v>31</v>
      </c>
      <c r="M3998" t="s">
        <v>32</v>
      </c>
      <c r="N3998" t="str">
        <f>"11/7/2006 12:00:00 AM"</f>
        <v>11/7/2006 12:00:00 AM</v>
      </c>
      <c r="O3998" t="s">
        <v>12286</v>
      </c>
      <c r="T3998" t="s">
        <v>12287</v>
      </c>
    </row>
    <row r="3999" spans="1:20" x14ac:dyDescent="0.25">
      <c r="A3999" t="str">
        <f>"3046676"</f>
        <v>3046676</v>
      </c>
      <c r="B3999" t="s">
        <v>12289</v>
      </c>
      <c r="C3999" t="str">
        <f>"67708000"</f>
        <v>67708000</v>
      </c>
      <c r="D3999" t="s">
        <v>12290</v>
      </c>
      <c r="F3999" t="s">
        <v>12291</v>
      </c>
      <c r="I3999" t="s">
        <v>29</v>
      </c>
      <c r="J3999" t="s">
        <v>30</v>
      </c>
      <c r="K3999" t="s">
        <v>31</v>
      </c>
      <c r="M3999" t="s">
        <v>32</v>
      </c>
      <c r="N3999" t="str">
        <f>"9/13/2002 12:00:00 AM"</f>
        <v>9/13/2002 12:00:00 AM</v>
      </c>
      <c r="O3999" t="s">
        <v>12290</v>
      </c>
    </row>
    <row r="4000" spans="1:20" x14ac:dyDescent="0.25">
      <c r="A4000" t="str">
        <f>"3051982"</f>
        <v>3051982</v>
      </c>
      <c r="B4000" t="s">
        <v>12292</v>
      </c>
      <c r="C4000" t="str">
        <f>"33251370"</f>
        <v>33251370</v>
      </c>
      <c r="D4000" t="s">
        <v>12293</v>
      </c>
      <c r="E4000" t="s">
        <v>12294</v>
      </c>
      <c r="F4000" t="s">
        <v>12295</v>
      </c>
      <c r="I4000" t="s">
        <v>29</v>
      </c>
      <c r="J4000" t="s">
        <v>30</v>
      </c>
      <c r="K4000" t="s">
        <v>12296</v>
      </c>
      <c r="M4000" t="s">
        <v>32</v>
      </c>
      <c r="N4000" t="str">
        <f>"2/9/2010 12:00:00 AM"</f>
        <v>2/9/2010 12:00:00 AM</v>
      </c>
      <c r="O4000" t="s">
        <v>12293</v>
      </c>
      <c r="T4000" t="s">
        <v>12294</v>
      </c>
    </row>
    <row r="4001" spans="1:20" x14ac:dyDescent="0.25">
      <c r="A4001" t="str">
        <f>"3047105"</f>
        <v>3047105</v>
      </c>
      <c r="B4001" t="s">
        <v>12297</v>
      </c>
      <c r="C4001" t="str">
        <f>"3460000"</f>
        <v>3460000</v>
      </c>
      <c r="D4001" t="s">
        <v>12298</v>
      </c>
      <c r="E4001" t="s">
        <v>12299</v>
      </c>
      <c r="F4001" t="s">
        <v>12300</v>
      </c>
      <c r="I4001" t="s">
        <v>29</v>
      </c>
      <c r="J4001" t="s">
        <v>30</v>
      </c>
      <c r="K4001" t="s">
        <v>31</v>
      </c>
      <c r="M4001" t="s">
        <v>32</v>
      </c>
      <c r="N4001" t="str">
        <f>"5/16/2003 12:00:00 AM"</f>
        <v>5/16/2003 12:00:00 AM</v>
      </c>
      <c r="O4001" t="s">
        <v>12298</v>
      </c>
      <c r="T4001" t="s">
        <v>12299</v>
      </c>
    </row>
    <row r="4002" spans="1:20" x14ac:dyDescent="0.25">
      <c r="A4002" t="str">
        <f>"3046518"</f>
        <v>3046518</v>
      </c>
      <c r="B4002" t="s">
        <v>12301</v>
      </c>
      <c r="C4002" t="str">
        <f>"3460000"</f>
        <v>3460000</v>
      </c>
      <c r="D4002" t="s">
        <v>12298</v>
      </c>
      <c r="E4002" t="s">
        <v>12299</v>
      </c>
      <c r="F4002" t="s">
        <v>12300</v>
      </c>
      <c r="I4002" t="s">
        <v>29</v>
      </c>
      <c r="J4002" t="s">
        <v>30</v>
      </c>
      <c r="K4002" t="s">
        <v>31</v>
      </c>
      <c r="M4002" t="s">
        <v>32</v>
      </c>
      <c r="N4002" t="str">
        <f>"5/16/2003 12:00:00 AM"</f>
        <v>5/16/2003 12:00:00 AM</v>
      </c>
      <c r="O4002" t="s">
        <v>12298</v>
      </c>
      <c r="T4002" t="s">
        <v>12299</v>
      </c>
    </row>
    <row r="4003" spans="1:20" x14ac:dyDescent="0.25">
      <c r="A4003" t="str">
        <f>"3047121"</f>
        <v>3047121</v>
      </c>
      <c r="B4003" t="s">
        <v>12302</v>
      </c>
      <c r="C4003" t="str">
        <f>"43580000"</f>
        <v>43580000</v>
      </c>
      <c r="D4003" t="s">
        <v>12303</v>
      </c>
      <c r="E4003" t="s">
        <v>12304</v>
      </c>
      <c r="F4003" t="s">
        <v>12305</v>
      </c>
      <c r="I4003" t="s">
        <v>29</v>
      </c>
      <c r="J4003" t="s">
        <v>30</v>
      </c>
      <c r="K4003" t="s">
        <v>31</v>
      </c>
      <c r="M4003" t="s">
        <v>32</v>
      </c>
      <c r="N4003" t="str">
        <f>"2/15/2007 12:00:00 AM"</f>
        <v>2/15/2007 12:00:00 AM</v>
      </c>
      <c r="O4003" t="s">
        <v>12303</v>
      </c>
      <c r="T4003" t="s">
        <v>12304</v>
      </c>
    </row>
    <row r="4004" spans="1:20" x14ac:dyDescent="0.25">
      <c r="A4004" t="str">
        <f>"3046610"</f>
        <v>3046610</v>
      </c>
      <c r="B4004" t="s">
        <v>12306</v>
      </c>
      <c r="C4004" t="str">
        <f>"43580000"</f>
        <v>43580000</v>
      </c>
      <c r="D4004" t="s">
        <v>12303</v>
      </c>
      <c r="E4004" t="s">
        <v>12304</v>
      </c>
      <c r="F4004" t="s">
        <v>12305</v>
      </c>
      <c r="I4004" t="s">
        <v>29</v>
      </c>
      <c r="J4004" t="s">
        <v>30</v>
      </c>
      <c r="K4004" t="s">
        <v>31</v>
      </c>
      <c r="M4004" t="s">
        <v>32</v>
      </c>
      <c r="N4004" t="str">
        <f>"2/15/2007 12:00:00 AM"</f>
        <v>2/15/2007 12:00:00 AM</v>
      </c>
      <c r="O4004" t="s">
        <v>12303</v>
      </c>
      <c r="T4004" t="s">
        <v>12304</v>
      </c>
    </row>
    <row r="4005" spans="1:20" x14ac:dyDescent="0.25">
      <c r="A4005" t="str">
        <f>"3047137"</f>
        <v>3047137</v>
      </c>
      <c r="B4005" t="s">
        <v>12307</v>
      </c>
      <c r="C4005" t="str">
        <f>"29961000"</f>
        <v>29961000</v>
      </c>
      <c r="D4005" t="s">
        <v>12308</v>
      </c>
      <c r="E4005" t="s">
        <v>12309</v>
      </c>
      <c r="F4005" t="s">
        <v>12310</v>
      </c>
      <c r="I4005" t="s">
        <v>29</v>
      </c>
      <c r="J4005" t="s">
        <v>30</v>
      </c>
      <c r="K4005" t="s">
        <v>12311</v>
      </c>
      <c r="M4005" t="s">
        <v>32</v>
      </c>
      <c r="N4005" t="str">
        <f>"1/17/2008 12:00:00 AM"</f>
        <v>1/17/2008 12:00:00 AM</v>
      </c>
      <c r="O4005" t="s">
        <v>12308</v>
      </c>
      <c r="T4005" t="s">
        <v>12309</v>
      </c>
    </row>
    <row r="4006" spans="1:20" x14ac:dyDescent="0.25">
      <c r="A4006" t="str">
        <f>"3047139"</f>
        <v>3047139</v>
      </c>
      <c r="B4006" t="s">
        <v>12312</v>
      </c>
      <c r="C4006" t="str">
        <f>"54872000"</f>
        <v>54872000</v>
      </c>
      <c r="D4006" t="s">
        <v>12313</v>
      </c>
      <c r="E4006" t="s">
        <v>12314</v>
      </c>
      <c r="F4006" t="s">
        <v>12315</v>
      </c>
      <c r="I4006" t="s">
        <v>29</v>
      </c>
      <c r="J4006" t="s">
        <v>30</v>
      </c>
      <c r="K4006" t="s">
        <v>12311</v>
      </c>
      <c r="M4006" t="s">
        <v>32</v>
      </c>
      <c r="N4006" t="str">
        <f>"2/17/2005 12:00:00 AM"</f>
        <v>2/17/2005 12:00:00 AM</v>
      </c>
      <c r="O4006" t="s">
        <v>12313</v>
      </c>
      <c r="T4006" t="s">
        <v>12314</v>
      </c>
    </row>
    <row r="4007" spans="1:20" x14ac:dyDescent="0.25">
      <c r="A4007" t="str">
        <f>"3039634"</f>
        <v>3039634</v>
      </c>
      <c r="B4007" t="s">
        <v>12316</v>
      </c>
      <c r="C4007" t="str">
        <f>"54872000"</f>
        <v>54872000</v>
      </c>
      <c r="D4007" t="s">
        <v>12313</v>
      </c>
      <c r="E4007" t="s">
        <v>12314</v>
      </c>
      <c r="F4007" t="s">
        <v>12315</v>
      </c>
      <c r="I4007" t="s">
        <v>29</v>
      </c>
      <c r="J4007" t="s">
        <v>30</v>
      </c>
      <c r="K4007" t="s">
        <v>12311</v>
      </c>
      <c r="M4007" t="s">
        <v>32</v>
      </c>
      <c r="N4007" t="str">
        <f>"2/17/2005 12:00:00 AM"</f>
        <v>2/17/2005 12:00:00 AM</v>
      </c>
      <c r="O4007" t="s">
        <v>12313</v>
      </c>
      <c r="T4007" t="s">
        <v>12314</v>
      </c>
    </row>
    <row r="4008" spans="1:20" x14ac:dyDescent="0.25">
      <c r="A4008" t="str">
        <f>"3047126"</f>
        <v>3047126</v>
      </c>
      <c r="B4008" t="s">
        <v>12317</v>
      </c>
      <c r="C4008" t="str">
        <f>"35682000"</f>
        <v>35682000</v>
      </c>
      <c r="D4008" t="s">
        <v>12318</v>
      </c>
      <c r="E4008" t="s">
        <v>12319</v>
      </c>
      <c r="F4008" t="s">
        <v>12320</v>
      </c>
      <c r="I4008" t="s">
        <v>29</v>
      </c>
      <c r="J4008" t="s">
        <v>30</v>
      </c>
      <c r="K4008" t="s">
        <v>12311</v>
      </c>
      <c r="M4008" t="s">
        <v>32</v>
      </c>
      <c r="N4008" t="str">
        <f>"1/30/2006 12:00:00 AM"</f>
        <v>1/30/2006 12:00:00 AM</v>
      </c>
      <c r="O4008" t="s">
        <v>12318</v>
      </c>
      <c r="T4008" t="s">
        <v>12319</v>
      </c>
    </row>
    <row r="4009" spans="1:20" x14ac:dyDescent="0.25">
      <c r="A4009" t="str">
        <f>"3047197"</f>
        <v>3047197</v>
      </c>
      <c r="B4009" t="s">
        <v>12321</v>
      </c>
      <c r="C4009" t="str">
        <f>"11258000"</f>
        <v>11258000</v>
      </c>
      <c r="D4009" t="s">
        <v>12322</v>
      </c>
      <c r="E4009" t="s">
        <v>12323</v>
      </c>
      <c r="F4009" t="s">
        <v>12324</v>
      </c>
      <c r="I4009" t="s">
        <v>29</v>
      </c>
      <c r="J4009" t="s">
        <v>30</v>
      </c>
      <c r="K4009" t="s">
        <v>31</v>
      </c>
      <c r="M4009" t="s">
        <v>32</v>
      </c>
      <c r="N4009" t="str">
        <f>"9/13/2002 12:00:00 AM"</f>
        <v>9/13/2002 12:00:00 AM</v>
      </c>
      <c r="O4009" t="s">
        <v>12322</v>
      </c>
      <c r="T4009" t="s">
        <v>12323</v>
      </c>
    </row>
    <row r="4010" spans="1:20" x14ac:dyDescent="0.25">
      <c r="A4010" t="str">
        <f>"3048788"</f>
        <v>3048788</v>
      </c>
      <c r="B4010" t="s">
        <v>12325</v>
      </c>
      <c r="C4010" t="str">
        <f>"48597000"</f>
        <v>48597000</v>
      </c>
      <c r="D4010" t="s">
        <v>12326</v>
      </c>
      <c r="F4010" t="s">
        <v>12327</v>
      </c>
      <c r="I4010" t="s">
        <v>12328</v>
      </c>
      <c r="J4010" t="s">
        <v>30</v>
      </c>
      <c r="K4010" t="s">
        <v>12057</v>
      </c>
      <c r="M4010" t="s">
        <v>32</v>
      </c>
      <c r="N4010" t="str">
        <f>"2/9/2010 12:00:00 AM"</f>
        <v>2/9/2010 12:00:00 AM</v>
      </c>
      <c r="O4010" t="s">
        <v>12326</v>
      </c>
    </row>
    <row r="4011" spans="1:20" x14ac:dyDescent="0.25">
      <c r="A4011" t="str">
        <f>"3046679"</f>
        <v>3046679</v>
      </c>
      <c r="B4011" t="s">
        <v>12329</v>
      </c>
      <c r="C4011" t="str">
        <f>"77482000"</f>
        <v>77482000</v>
      </c>
      <c r="D4011" t="s">
        <v>12330</v>
      </c>
      <c r="F4011" t="s">
        <v>12331</v>
      </c>
      <c r="I4011" t="s">
        <v>29</v>
      </c>
      <c r="J4011" t="s">
        <v>30</v>
      </c>
      <c r="K4011" t="s">
        <v>31</v>
      </c>
      <c r="M4011" t="s">
        <v>32</v>
      </c>
      <c r="N4011" t="str">
        <f>"6/25/2004 12:00:00 AM"</f>
        <v>6/25/2004 12:00:00 AM</v>
      </c>
      <c r="O4011" t="s">
        <v>12330</v>
      </c>
    </row>
    <row r="4012" spans="1:20" x14ac:dyDescent="0.25">
      <c r="A4012" t="str">
        <f>"3047148"</f>
        <v>3047148</v>
      </c>
      <c r="B4012" t="s">
        <v>12332</v>
      </c>
      <c r="C4012" t="str">
        <f>"82518684"</f>
        <v>82518684</v>
      </c>
      <c r="D4012" t="s">
        <v>12333</v>
      </c>
      <c r="E4012" t="s">
        <v>12334</v>
      </c>
      <c r="F4012" t="s">
        <v>12335</v>
      </c>
      <c r="I4012" t="s">
        <v>29</v>
      </c>
      <c r="J4012" t="s">
        <v>30</v>
      </c>
      <c r="K4012" t="s">
        <v>12336</v>
      </c>
      <c r="M4012" t="s">
        <v>32</v>
      </c>
      <c r="N4012" t="str">
        <f>"2/1/2006 12:00:00 AM"</f>
        <v>2/1/2006 12:00:00 AM</v>
      </c>
      <c r="O4012" t="s">
        <v>12333</v>
      </c>
      <c r="T4012" t="s">
        <v>12334</v>
      </c>
    </row>
    <row r="4013" spans="1:20" x14ac:dyDescent="0.25">
      <c r="A4013" t="str">
        <f>"3052797"</f>
        <v>3052797</v>
      </c>
      <c r="B4013" t="s">
        <v>12337</v>
      </c>
      <c r="C4013" t="str">
        <f>"82528457"</f>
        <v>82528457</v>
      </c>
      <c r="D4013" t="s">
        <v>12338</v>
      </c>
      <c r="F4013" t="s">
        <v>12339</v>
      </c>
      <c r="I4013" t="s">
        <v>12340</v>
      </c>
      <c r="J4013" t="s">
        <v>30</v>
      </c>
      <c r="K4013" t="s">
        <v>12341</v>
      </c>
      <c r="M4013" t="s">
        <v>32</v>
      </c>
      <c r="N4013" t="str">
        <f>"7/31/2007 12:00:00 AM"</f>
        <v>7/31/2007 12:00:00 AM</v>
      </c>
      <c r="O4013" t="s">
        <v>12338</v>
      </c>
    </row>
    <row r="4014" spans="1:20" x14ac:dyDescent="0.25">
      <c r="A4014" t="str">
        <f>"3052910"</f>
        <v>3052910</v>
      </c>
      <c r="B4014" t="s">
        <v>12342</v>
      </c>
      <c r="C4014" t="str">
        <f>"24464000"</f>
        <v>24464000</v>
      </c>
      <c r="D4014" t="s">
        <v>12343</v>
      </c>
      <c r="F4014" t="s">
        <v>12344</v>
      </c>
      <c r="I4014" t="s">
        <v>29</v>
      </c>
      <c r="J4014" t="s">
        <v>30</v>
      </c>
      <c r="K4014" t="s">
        <v>31</v>
      </c>
      <c r="M4014" t="s">
        <v>32</v>
      </c>
      <c r="N4014" t="str">
        <f>"8/14/2003 12:00:00 AM"</f>
        <v>8/14/2003 12:00:00 AM</v>
      </c>
      <c r="O4014" t="s">
        <v>12343</v>
      </c>
    </row>
    <row r="4015" spans="1:20" x14ac:dyDescent="0.25">
      <c r="A4015" t="str">
        <f>"3052038"</f>
        <v>3052038</v>
      </c>
      <c r="B4015" t="s">
        <v>12345</v>
      </c>
      <c r="C4015" t="str">
        <f>"82529945"</f>
        <v>82529945</v>
      </c>
      <c r="D4015" t="s">
        <v>12346</v>
      </c>
      <c r="E4015" t="s">
        <v>12347</v>
      </c>
      <c r="F4015" t="s">
        <v>12348</v>
      </c>
      <c r="I4015" t="s">
        <v>29</v>
      </c>
      <c r="J4015" t="s">
        <v>30</v>
      </c>
      <c r="K4015" t="s">
        <v>31</v>
      </c>
      <c r="N4015" t="str">
        <f>"11/22/2010 12:00:00 AM"</f>
        <v>11/22/2010 12:00:00 AM</v>
      </c>
      <c r="O4015" t="s">
        <v>12346</v>
      </c>
      <c r="T4015" t="s">
        <v>12347</v>
      </c>
    </row>
    <row r="4016" spans="1:20" x14ac:dyDescent="0.25">
      <c r="A4016" t="str">
        <f>"3053087"</f>
        <v>3053087</v>
      </c>
      <c r="B4016" t="s">
        <v>12349</v>
      </c>
      <c r="C4016" t="str">
        <f>"11411000"</f>
        <v>11411000</v>
      </c>
      <c r="D4016" t="s">
        <v>12350</v>
      </c>
      <c r="E4016" t="s">
        <v>12351</v>
      </c>
      <c r="F4016" t="s">
        <v>12352</v>
      </c>
      <c r="I4016" t="s">
        <v>29</v>
      </c>
      <c r="J4016" t="s">
        <v>30</v>
      </c>
      <c r="K4016" t="s">
        <v>31</v>
      </c>
      <c r="M4016" t="s">
        <v>32</v>
      </c>
      <c r="N4016" t="str">
        <f>"6/13/2003 12:00:00 AM"</f>
        <v>6/13/2003 12:00:00 AM</v>
      </c>
      <c r="O4016" t="s">
        <v>12350</v>
      </c>
      <c r="T4016" t="s">
        <v>12351</v>
      </c>
    </row>
    <row r="4017" spans="1:20" x14ac:dyDescent="0.25">
      <c r="A4017" t="str">
        <f>"3053107"</f>
        <v>3053107</v>
      </c>
      <c r="B4017" t="s">
        <v>12353</v>
      </c>
      <c r="C4017" t="str">
        <f>"82529412"</f>
        <v>82529412</v>
      </c>
      <c r="D4017" t="s">
        <v>12354</v>
      </c>
      <c r="F4017" t="s">
        <v>12355</v>
      </c>
      <c r="I4017" t="s">
        <v>29</v>
      </c>
      <c r="J4017" t="s">
        <v>30</v>
      </c>
      <c r="K4017" t="s">
        <v>31</v>
      </c>
      <c r="M4017" t="s">
        <v>32</v>
      </c>
      <c r="N4017" t="str">
        <f>"9/13/2010 12:00:00 AM"</f>
        <v>9/13/2010 12:00:00 AM</v>
      </c>
      <c r="O4017" t="s">
        <v>12354</v>
      </c>
    </row>
    <row r="4018" spans="1:20" x14ac:dyDescent="0.25">
      <c r="A4018" t="str">
        <f>"3053130"</f>
        <v>3053130</v>
      </c>
      <c r="B4018" t="s">
        <v>12356</v>
      </c>
      <c r="C4018" t="str">
        <f>"27638000"</f>
        <v>27638000</v>
      </c>
      <c r="D4018" t="s">
        <v>12357</v>
      </c>
      <c r="F4018" t="s">
        <v>12358</v>
      </c>
      <c r="I4018" t="s">
        <v>29</v>
      </c>
      <c r="J4018" t="s">
        <v>30</v>
      </c>
      <c r="K4018" t="s">
        <v>31</v>
      </c>
      <c r="M4018" t="s">
        <v>32</v>
      </c>
      <c r="N4018" t="str">
        <f>"9/13/2002 12:00:00 AM"</f>
        <v>9/13/2002 12:00:00 AM</v>
      </c>
      <c r="O4018" t="s">
        <v>12357</v>
      </c>
    </row>
    <row r="4019" spans="1:20" x14ac:dyDescent="0.25">
      <c r="A4019" t="str">
        <f>"3053089"</f>
        <v>3053089</v>
      </c>
      <c r="B4019" t="s">
        <v>12359</v>
      </c>
      <c r="C4019" t="str">
        <f>"82523727"</f>
        <v>82523727</v>
      </c>
      <c r="D4019" t="s">
        <v>12360</v>
      </c>
      <c r="F4019" t="s">
        <v>12361</v>
      </c>
      <c r="I4019" t="s">
        <v>29</v>
      </c>
      <c r="J4019" t="s">
        <v>30</v>
      </c>
      <c r="K4019" t="s">
        <v>12362</v>
      </c>
      <c r="M4019" t="s">
        <v>32</v>
      </c>
      <c r="N4019" t="str">
        <f>"1/24/2006 12:00:00 AM"</f>
        <v>1/24/2006 12:00:00 AM</v>
      </c>
      <c r="O4019" t="s">
        <v>12360</v>
      </c>
    </row>
    <row r="4020" spans="1:20" x14ac:dyDescent="0.25">
      <c r="A4020" t="str">
        <f>"3053110"</f>
        <v>3053110</v>
      </c>
      <c r="B4020" t="s">
        <v>12363</v>
      </c>
      <c r="C4020" t="str">
        <f>"82521786"</f>
        <v>82521786</v>
      </c>
      <c r="D4020" t="s">
        <v>12364</v>
      </c>
      <c r="E4020" t="s">
        <v>12365</v>
      </c>
      <c r="F4020" t="s">
        <v>12366</v>
      </c>
      <c r="I4020" t="s">
        <v>29</v>
      </c>
      <c r="J4020" t="s">
        <v>30</v>
      </c>
      <c r="K4020" t="s">
        <v>31</v>
      </c>
      <c r="M4020" t="s">
        <v>32</v>
      </c>
      <c r="N4020" t="str">
        <f>"11/19/2003 12:00:00 AM"</f>
        <v>11/19/2003 12:00:00 AM</v>
      </c>
      <c r="O4020" t="s">
        <v>12364</v>
      </c>
      <c r="T4020" t="s">
        <v>12365</v>
      </c>
    </row>
    <row r="4021" spans="1:20" x14ac:dyDescent="0.25">
      <c r="A4021" t="str">
        <f>"3053112"</f>
        <v>3053112</v>
      </c>
      <c r="B4021" t="s">
        <v>12367</v>
      </c>
      <c r="C4021" t="str">
        <f>"20029500"</f>
        <v>20029500</v>
      </c>
      <c r="D4021" t="s">
        <v>12368</v>
      </c>
      <c r="E4021" t="s">
        <v>12369</v>
      </c>
      <c r="F4021" t="s">
        <v>12370</v>
      </c>
      <c r="I4021" t="s">
        <v>29</v>
      </c>
      <c r="J4021" t="s">
        <v>30</v>
      </c>
      <c r="K4021" t="s">
        <v>31</v>
      </c>
      <c r="M4021" t="s">
        <v>32</v>
      </c>
      <c r="N4021" t="str">
        <f>"7/17/2003 12:00:00 AM"</f>
        <v>7/17/2003 12:00:00 AM</v>
      </c>
      <c r="O4021" t="s">
        <v>12368</v>
      </c>
      <c r="T4021" t="s">
        <v>12369</v>
      </c>
    </row>
    <row r="4022" spans="1:20" x14ac:dyDescent="0.25">
      <c r="A4022" t="str">
        <f>"3053113"</f>
        <v>3053113</v>
      </c>
      <c r="B4022" t="s">
        <v>12371</v>
      </c>
      <c r="C4022" t="str">
        <f>"25361300"</f>
        <v>25361300</v>
      </c>
      <c r="D4022" t="s">
        <v>12372</v>
      </c>
      <c r="F4022" t="s">
        <v>12373</v>
      </c>
      <c r="I4022" t="s">
        <v>29</v>
      </c>
      <c r="J4022" t="s">
        <v>30</v>
      </c>
      <c r="K4022" t="s">
        <v>31</v>
      </c>
      <c r="M4022" t="s">
        <v>32</v>
      </c>
      <c r="N4022" t="str">
        <f>"8/15/2003 12:00:00 AM"</f>
        <v>8/15/2003 12:00:00 AM</v>
      </c>
      <c r="O4022" t="s">
        <v>12372</v>
      </c>
    </row>
    <row r="4023" spans="1:20" x14ac:dyDescent="0.25">
      <c r="A4023" t="str">
        <f>"3052599"</f>
        <v>3052599</v>
      </c>
      <c r="B4023" t="s">
        <v>12374</v>
      </c>
      <c r="C4023" t="str">
        <f>"31857500"</f>
        <v>31857500</v>
      </c>
      <c r="D4023" t="s">
        <v>12375</v>
      </c>
      <c r="E4023" t="s">
        <v>12376</v>
      </c>
      <c r="F4023" t="s">
        <v>12377</v>
      </c>
      <c r="I4023" t="s">
        <v>29</v>
      </c>
      <c r="J4023" t="s">
        <v>30</v>
      </c>
      <c r="K4023" t="s">
        <v>31</v>
      </c>
      <c r="M4023" t="s">
        <v>32</v>
      </c>
      <c r="N4023" t="str">
        <f>"9/11/2003 12:00:00 AM"</f>
        <v>9/11/2003 12:00:00 AM</v>
      </c>
      <c r="O4023" t="s">
        <v>12375</v>
      </c>
      <c r="T4023" t="s">
        <v>12376</v>
      </c>
    </row>
    <row r="4024" spans="1:20" x14ac:dyDescent="0.25">
      <c r="A4024" t="str">
        <f>"3051914"</f>
        <v>3051914</v>
      </c>
      <c r="B4024" t="s">
        <v>12378</v>
      </c>
      <c r="C4024" t="str">
        <f>"23812000"</f>
        <v>23812000</v>
      </c>
      <c r="D4024" t="s">
        <v>12379</v>
      </c>
      <c r="F4024" t="s">
        <v>12380</v>
      </c>
      <c r="I4024" t="s">
        <v>29</v>
      </c>
      <c r="J4024" t="s">
        <v>30</v>
      </c>
      <c r="K4024" t="s">
        <v>31</v>
      </c>
      <c r="M4024" t="s">
        <v>32</v>
      </c>
      <c r="N4024" t="str">
        <f>"9/11/2002 12:00:00 AM"</f>
        <v>9/11/2002 12:00:00 AM</v>
      </c>
      <c r="O4024" t="s">
        <v>12379</v>
      </c>
    </row>
    <row r="4025" spans="1:20" x14ac:dyDescent="0.25">
      <c r="A4025" t="str">
        <f>"3053070"</f>
        <v>3053070</v>
      </c>
      <c r="B4025" t="s">
        <v>12381</v>
      </c>
      <c r="C4025" t="str">
        <f>"76846000"</f>
        <v>76846000</v>
      </c>
      <c r="D4025" t="s">
        <v>12382</v>
      </c>
      <c r="E4025" t="s">
        <v>12383</v>
      </c>
      <c r="F4025" t="s">
        <v>12384</v>
      </c>
      <c r="I4025" t="s">
        <v>29</v>
      </c>
      <c r="J4025" t="s">
        <v>30</v>
      </c>
      <c r="K4025" t="s">
        <v>31</v>
      </c>
      <c r="M4025" t="s">
        <v>32</v>
      </c>
      <c r="N4025" t="str">
        <f>"12/16/2005 12:00:00 AM"</f>
        <v>12/16/2005 12:00:00 AM</v>
      </c>
      <c r="O4025" t="s">
        <v>12382</v>
      </c>
      <c r="T4025" t="s">
        <v>12383</v>
      </c>
    </row>
    <row r="4026" spans="1:20" x14ac:dyDescent="0.25">
      <c r="A4026" t="str">
        <f>"3053007"</f>
        <v>3053007</v>
      </c>
      <c r="B4026" t="s">
        <v>12385</v>
      </c>
      <c r="C4026" t="str">
        <f>"76846000"</f>
        <v>76846000</v>
      </c>
      <c r="D4026" t="s">
        <v>12382</v>
      </c>
      <c r="E4026" t="s">
        <v>12383</v>
      </c>
      <c r="F4026" t="s">
        <v>12384</v>
      </c>
      <c r="I4026" t="s">
        <v>29</v>
      </c>
      <c r="J4026" t="s">
        <v>30</v>
      </c>
      <c r="K4026" t="s">
        <v>31</v>
      </c>
      <c r="M4026" t="s">
        <v>32</v>
      </c>
      <c r="N4026" t="str">
        <f>"12/16/2005 12:00:00 AM"</f>
        <v>12/16/2005 12:00:00 AM</v>
      </c>
      <c r="O4026" t="s">
        <v>12382</v>
      </c>
      <c r="T4026" t="s">
        <v>12383</v>
      </c>
    </row>
    <row r="4027" spans="1:20" x14ac:dyDescent="0.25">
      <c r="A4027" t="str">
        <f>"3047099"</f>
        <v>3047099</v>
      </c>
      <c r="B4027" t="s">
        <v>12386</v>
      </c>
      <c r="C4027" t="str">
        <f>"82523505"</f>
        <v>82523505</v>
      </c>
      <c r="D4027" t="s">
        <v>12387</v>
      </c>
      <c r="F4027" t="s">
        <v>12388</v>
      </c>
      <c r="I4027" t="s">
        <v>29</v>
      </c>
      <c r="J4027" t="s">
        <v>30</v>
      </c>
      <c r="K4027" t="s">
        <v>31</v>
      </c>
      <c r="M4027" t="s">
        <v>32</v>
      </c>
      <c r="N4027" t="str">
        <f>"12/10/2004 12:00:00 AM"</f>
        <v>12/10/2004 12:00:00 AM</v>
      </c>
      <c r="O4027" t="s">
        <v>12387</v>
      </c>
    </row>
    <row r="4028" spans="1:20" x14ac:dyDescent="0.25">
      <c r="A4028" t="str">
        <f>"3047070"</f>
        <v>3047070</v>
      </c>
      <c r="B4028" t="s">
        <v>12389</v>
      </c>
      <c r="C4028" t="str">
        <f>"6882000"</f>
        <v>6882000</v>
      </c>
      <c r="D4028" t="s">
        <v>12390</v>
      </c>
      <c r="F4028" t="s">
        <v>12391</v>
      </c>
      <c r="I4028" t="s">
        <v>29</v>
      </c>
      <c r="J4028" t="s">
        <v>30</v>
      </c>
      <c r="K4028" t="s">
        <v>12392</v>
      </c>
      <c r="M4028" t="s">
        <v>32</v>
      </c>
      <c r="N4028" t="str">
        <f>"2/10/2010 12:00:00 AM"</f>
        <v>2/10/2010 12:00:00 AM</v>
      </c>
      <c r="O4028" t="s">
        <v>12390</v>
      </c>
      <c r="T4028" t="s">
        <v>12390</v>
      </c>
    </row>
    <row r="4029" spans="1:20" x14ac:dyDescent="0.25">
      <c r="A4029" t="str">
        <f>"3052492"</f>
        <v>3052492</v>
      </c>
      <c r="B4029" t="s">
        <v>12393</v>
      </c>
      <c r="C4029" t="str">
        <f>"49900000"</f>
        <v>49900000</v>
      </c>
      <c r="D4029" t="s">
        <v>12394</v>
      </c>
      <c r="F4029" t="s">
        <v>12395</v>
      </c>
      <c r="I4029" t="s">
        <v>29</v>
      </c>
      <c r="J4029" t="s">
        <v>30</v>
      </c>
      <c r="K4029" t="s">
        <v>31</v>
      </c>
      <c r="M4029" t="s">
        <v>32</v>
      </c>
      <c r="N4029" t="str">
        <f>"2/19/2004 12:00:00 AM"</f>
        <v>2/19/2004 12:00:00 AM</v>
      </c>
      <c r="O4029" t="s">
        <v>12394</v>
      </c>
    </row>
    <row r="4030" spans="1:20" x14ac:dyDescent="0.25">
      <c r="A4030" t="str">
        <f>"3052537"</f>
        <v>3052537</v>
      </c>
      <c r="B4030" t="s">
        <v>12396</v>
      </c>
      <c r="C4030" t="str">
        <f>"82517117"</f>
        <v>82517117</v>
      </c>
      <c r="D4030" t="s">
        <v>12397</v>
      </c>
      <c r="F4030" t="s">
        <v>12398</v>
      </c>
      <c r="I4030" t="s">
        <v>29</v>
      </c>
      <c r="J4030" t="s">
        <v>30</v>
      </c>
      <c r="K4030" t="s">
        <v>31</v>
      </c>
      <c r="M4030" t="s">
        <v>32</v>
      </c>
      <c r="N4030" t="str">
        <f>"8/26/2011 12:00:00 AM"</f>
        <v>8/26/2011 12:00:00 AM</v>
      </c>
      <c r="O4030" t="s">
        <v>12397</v>
      </c>
    </row>
    <row r="4031" spans="1:20" x14ac:dyDescent="0.25">
      <c r="A4031" t="str">
        <f>"3052909"</f>
        <v>3052909</v>
      </c>
      <c r="B4031" t="s">
        <v>12399</v>
      </c>
      <c r="C4031" t="str">
        <f>"15677500"</f>
        <v>15677500</v>
      </c>
      <c r="D4031" t="s">
        <v>12400</v>
      </c>
      <c r="F4031" t="s">
        <v>12401</v>
      </c>
      <c r="I4031" t="s">
        <v>29</v>
      </c>
      <c r="J4031" t="s">
        <v>30</v>
      </c>
      <c r="K4031" t="s">
        <v>31</v>
      </c>
      <c r="M4031" t="s">
        <v>32</v>
      </c>
      <c r="N4031" t="str">
        <f>"9/12/2002 12:00:00 AM"</f>
        <v>9/12/2002 12:00:00 AM</v>
      </c>
      <c r="O4031" t="s">
        <v>12400</v>
      </c>
    </row>
    <row r="4032" spans="1:20" x14ac:dyDescent="0.25">
      <c r="A4032" t="str">
        <f>"3050402"</f>
        <v>3050402</v>
      </c>
      <c r="B4032" t="s">
        <v>12402</v>
      </c>
      <c r="C4032" t="str">
        <f>"7002250"</f>
        <v>7002250</v>
      </c>
      <c r="D4032" t="s">
        <v>12403</v>
      </c>
      <c r="E4032" t="s">
        <v>12404</v>
      </c>
      <c r="F4032" t="s">
        <v>12405</v>
      </c>
      <c r="I4032" t="s">
        <v>29</v>
      </c>
      <c r="J4032" t="s">
        <v>30</v>
      </c>
      <c r="K4032" t="s">
        <v>31</v>
      </c>
      <c r="M4032" t="s">
        <v>32</v>
      </c>
      <c r="N4032" t="str">
        <f>"5/27/2003 12:00:00 AM"</f>
        <v>5/27/2003 12:00:00 AM</v>
      </c>
      <c r="O4032" t="s">
        <v>12403</v>
      </c>
      <c r="T4032" t="s">
        <v>12404</v>
      </c>
    </row>
    <row r="4033" spans="1:20" x14ac:dyDescent="0.25">
      <c r="A4033" t="str">
        <f>"3049453"</f>
        <v>3049453</v>
      </c>
      <c r="B4033" t="s">
        <v>12406</v>
      </c>
      <c r="C4033" t="str">
        <f>"7002250"</f>
        <v>7002250</v>
      </c>
      <c r="D4033" t="s">
        <v>12403</v>
      </c>
      <c r="E4033" t="s">
        <v>12404</v>
      </c>
      <c r="F4033" t="s">
        <v>12405</v>
      </c>
      <c r="I4033" t="s">
        <v>29</v>
      </c>
      <c r="J4033" t="s">
        <v>30</v>
      </c>
      <c r="K4033" t="s">
        <v>31</v>
      </c>
      <c r="M4033" t="s">
        <v>32</v>
      </c>
      <c r="N4033" t="str">
        <f>"5/27/2003 12:00:00 AM"</f>
        <v>5/27/2003 12:00:00 AM</v>
      </c>
      <c r="O4033" t="s">
        <v>12403</v>
      </c>
      <c r="T4033" t="s">
        <v>12404</v>
      </c>
    </row>
    <row r="4034" spans="1:20" x14ac:dyDescent="0.25">
      <c r="A4034" t="str">
        <f>"3050431"</f>
        <v>3050431</v>
      </c>
      <c r="B4034" t="s">
        <v>12407</v>
      </c>
      <c r="C4034" t="str">
        <f>"46907060"</f>
        <v>46907060</v>
      </c>
      <c r="D4034" t="s">
        <v>12408</v>
      </c>
      <c r="E4034" t="s">
        <v>12409</v>
      </c>
      <c r="F4034" t="s">
        <v>12410</v>
      </c>
      <c r="I4034" t="s">
        <v>29</v>
      </c>
      <c r="J4034" t="s">
        <v>30</v>
      </c>
      <c r="K4034" t="s">
        <v>12411</v>
      </c>
      <c r="M4034" t="s">
        <v>32</v>
      </c>
      <c r="N4034" t="str">
        <f>"3/7/2005 12:00:00 AM"</f>
        <v>3/7/2005 12:00:00 AM</v>
      </c>
      <c r="O4034" t="s">
        <v>12408</v>
      </c>
      <c r="T4034" t="s">
        <v>12409</v>
      </c>
    </row>
    <row r="4035" spans="1:20" x14ac:dyDescent="0.25">
      <c r="A4035" t="str">
        <f>"3050309"</f>
        <v>3050309</v>
      </c>
      <c r="B4035" t="s">
        <v>12412</v>
      </c>
      <c r="C4035" t="str">
        <f>"46907060"</f>
        <v>46907060</v>
      </c>
      <c r="D4035" t="s">
        <v>12408</v>
      </c>
      <c r="E4035" t="s">
        <v>12409</v>
      </c>
      <c r="F4035" t="s">
        <v>12410</v>
      </c>
      <c r="I4035" t="s">
        <v>29</v>
      </c>
      <c r="J4035" t="s">
        <v>30</v>
      </c>
      <c r="K4035" t="s">
        <v>12411</v>
      </c>
      <c r="M4035" t="s">
        <v>32</v>
      </c>
      <c r="N4035" t="str">
        <f>"3/7/2005 12:00:00 AM"</f>
        <v>3/7/2005 12:00:00 AM</v>
      </c>
      <c r="O4035" t="s">
        <v>12408</v>
      </c>
      <c r="T4035" t="s">
        <v>12409</v>
      </c>
    </row>
    <row r="4036" spans="1:20" x14ac:dyDescent="0.25">
      <c r="A4036" t="str">
        <f>"3050504"</f>
        <v>3050504</v>
      </c>
      <c r="B4036" t="s">
        <v>12413</v>
      </c>
      <c r="C4036" t="str">
        <f>"82529670"</f>
        <v>82529670</v>
      </c>
      <c r="D4036" t="s">
        <v>12414</v>
      </c>
      <c r="E4036" t="s">
        <v>12415</v>
      </c>
      <c r="F4036" t="s">
        <v>12416</v>
      </c>
      <c r="I4036" t="s">
        <v>29</v>
      </c>
      <c r="J4036" t="s">
        <v>30</v>
      </c>
      <c r="K4036" t="s">
        <v>12417</v>
      </c>
      <c r="M4036" t="s">
        <v>32</v>
      </c>
      <c r="N4036" t="str">
        <f>"2/2/2010 12:00:00 AM"</f>
        <v>2/2/2010 12:00:00 AM</v>
      </c>
      <c r="O4036" t="s">
        <v>12414</v>
      </c>
      <c r="T4036" t="s">
        <v>12415</v>
      </c>
    </row>
    <row r="4037" spans="1:20" x14ac:dyDescent="0.25">
      <c r="A4037" t="str">
        <f>"3052608"</f>
        <v>3052608</v>
      </c>
      <c r="B4037" t="s">
        <v>12418</v>
      </c>
      <c r="C4037" t="str">
        <f>"80252500"</f>
        <v>80252500</v>
      </c>
      <c r="D4037" t="s">
        <v>12419</v>
      </c>
      <c r="F4037" t="s">
        <v>12420</v>
      </c>
      <c r="I4037" t="s">
        <v>29</v>
      </c>
      <c r="J4037" t="s">
        <v>30</v>
      </c>
      <c r="K4037" t="s">
        <v>31</v>
      </c>
      <c r="M4037" t="s">
        <v>32</v>
      </c>
      <c r="N4037" t="str">
        <f>"3/24/1997 12:00:00 AM"</f>
        <v>3/24/1997 12:00:00 AM</v>
      </c>
      <c r="O4037" t="s">
        <v>12419</v>
      </c>
    </row>
    <row r="4038" spans="1:20" x14ac:dyDescent="0.25">
      <c r="A4038" t="str">
        <f>"3050518"</f>
        <v>3050518</v>
      </c>
      <c r="B4038" t="s">
        <v>12421</v>
      </c>
      <c r="C4038" t="str">
        <f>"61780000"</f>
        <v>61780000</v>
      </c>
      <c r="D4038" t="s">
        <v>12422</v>
      </c>
      <c r="E4038" t="s">
        <v>12423</v>
      </c>
      <c r="F4038" t="s">
        <v>12424</v>
      </c>
      <c r="I4038" t="s">
        <v>29</v>
      </c>
      <c r="J4038" t="s">
        <v>30</v>
      </c>
      <c r="K4038" t="s">
        <v>12425</v>
      </c>
      <c r="M4038" t="s">
        <v>32</v>
      </c>
      <c r="N4038" t="str">
        <f>"2/7/2006 12:00:00 AM"</f>
        <v>2/7/2006 12:00:00 AM</v>
      </c>
      <c r="O4038" t="s">
        <v>12422</v>
      </c>
      <c r="T4038" t="s">
        <v>12423</v>
      </c>
    </row>
    <row r="4039" spans="1:20" x14ac:dyDescent="0.25">
      <c r="A4039" t="str">
        <f>"3050410"</f>
        <v>3050410</v>
      </c>
      <c r="B4039" t="s">
        <v>12426</v>
      </c>
      <c r="C4039" t="str">
        <f>"58554000"</f>
        <v>58554000</v>
      </c>
      <c r="D4039" t="s">
        <v>12427</v>
      </c>
      <c r="F4039" t="s">
        <v>12428</v>
      </c>
      <c r="I4039" t="s">
        <v>29</v>
      </c>
      <c r="J4039" t="s">
        <v>30</v>
      </c>
      <c r="K4039" t="s">
        <v>31</v>
      </c>
      <c r="M4039" t="s">
        <v>32</v>
      </c>
      <c r="N4039" t="str">
        <f>"9/18/2002 12:00:00 AM"</f>
        <v>9/18/2002 12:00:00 AM</v>
      </c>
      <c r="O4039" t="s">
        <v>12427</v>
      </c>
    </row>
    <row r="4040" spans="1:20" x14ac:dyDescent="0.25">
      <c r="A4040" t="str">
        <f>"3050466"</f>
        <v>3050466</v>
      </c>
      <c r="B4040" t="s">
        <v>12429</v>
      </c>
      <c r="C4040" t="str">
        <f>"82517371"</f>
        <v>82517371</v>
      </c>
      <c r="D4040" t="s">
        <v>12430</v>
      </c>
      <c r="E4040" t="s">
        <v>12431</v>
      </c>
      <c r="F4040" t="s">
        <v>12432</v>
      </c>
      <c r="I4040" t="s">
        <v>29</v>
      </c>
      <c r="J4040" t="s">
        <v>30</v>
      </c>
      <c r="K4040" t="s">
        <v>12433</v>
      </c>
      <c r="M4040" t="s">
        <v>32</v>
      </c>
      <c r="N4040" t="str">
        <f>"1/13/2006 12:00:00 AM"</f>
        <v>1/13/2006 12:00:00 AM</v>
      </c>
      <c r="O4040" t="s">
        <v>12430</v>
      </c>
      <c r="T4040" t="s">
        <v>12431</v>
      </c>
    </row>
    <row r="4041" spans="1:20" x14ac:dyDescent="0.25">
      <c r="A4041" t="str">
        <f>"3052919"</f>
        <v>3052919</v>
      </c>
      <c r="B4041" t="s">
        <v>12434</v>
      </c>
      <c r="C4041" t="str">
        <f>"82519986"</f>
        <v>82519986</v>
      </c>
      <c r="D4041" t="s">
        <v>12435</v>
      </c>
      <c r="E4041" t="s">
        <v>12436</v>
      </c>
      <c r="F4041" t="s">
        <v>12437</v>
      </c>
      <c r="I4041" t="s">
        <v>29</v>
      </c>
      <c r="J4041" t="s">
        <v>30</v>
      </c>
      <c r="K4041" t="s">
        <v>31</v>
      </c>
      <c r="M4041" t="s">
        <v>32</v>
      </c>
      <c r="N4041" t="str">
        <f>"1/22/2004 12:00:00 AM"</f>
        <v>1/22/2004 12:00:00 AM</v>
      </c>
      <c r="O4041" t="s">
        <v>12435</v>
      </c>
      <c r="T4041" t="s">
        <v>12436</v>
      </c>
    </row>
    <row r="4042" spans="1:20" x14ac:dyDescent="0.25">
      <c r="A4042" t="str">
        <f>"3050390"</f>
        <v>3050390</v>
      </c>
      <c r="B4042" t="s">
        <v>12438</v>
      </c>
      <c r="C4042" t="str">
        <f>"82517388"</f>
        <v>82517388</v>
      </c>
      <c r="D4042" t="s">
        <v>12439</v>
      </c>
      <c r="F4042" t="s">
        <v>12440</v>
      </c>
      <c r="I4042" t="s">
        <v>184</v>
      </c>
      <c r="J4042" t="s">
        <v>30</v>
      </c>
      <c r="K4042" t="s">
        <v>12441</v>
      </c>
      <c r="M4042" t="s">
        <v>32</v>
      </c>
      <c r="N4042" t="str">
        <f>"10/26/2006 12:00:00 AM"</f>
        <v>10/26/2006 12:00:00 AM</v>
      </c>
      <c r="O4042" t="s">
        <v>12439</v>
      </c>
      <c r="T4042" t="s">
        <v>12439</v>
      </c>
    </row>
    <row r="4043" spans="1:20" x14ac:dyDescent="0.25">
      <c r="A4043" t="str">
        <f>"3050289"</f>
        <v>3050289</v>
      </c>
      <c r="B4043" t="s">
        <v>12442</v>
      </c>
      <c r="C4043" t="str">
        <f>"82517388"</f>
        <v>82517388</v>
      </c>
      <c r="D4043" t="s">
        <v>12439</v>
      </c>
      <c r="F4043" t="s">
        <v>12440</v>
      </c>
      <c r="I4043" t="s">
        <v>184</v>
      </c>
      <c r="J4043" t="s">
        <v>30</v>
      </c>
      <c r="K4043" t="s">
        <v>12441</v>
      </c>
      <c r="M4043" t="s">
        <v>32</v>
      </c>
      <c r="N4043" t="str">
        <f>"10/26/2006 12:00:00 AM"</f>
        <v>10/26/2006 12:00:00 AM</v>
      </c>
      <c r="O4043" t="s">
        <v>12439</v>
      </c>
      <c r="T4043" t="s">
        <v>12439</v>
      </c>
    </row>
    <row r="4044" spans="1:20" x14ac:dyDescent="0.25">
      <c r="A4044" t="str">
        <f>"3050310"</f>
        <v>3050310</v>
      </c>
      <c r="B4044" t="s">
        <v>12443</v>
      </c>
      <c r="C4044" t="str">
        <f>"82517388"</f>
        <v>82517388</v>
      </c>
      <c r="D4044" t="s">
        <v>12439</v>
      </c>
      <c r="F4044" t="s">
        <v>12440</v>
      </c>
      <c r="I4044" t="s">
        <v>184</v>
      </c>
      <c r="J4044" t="s">
        <v>30</v>
      </c>
      <c r="K4044" t="s">
        <v>12441</v>
      </c>
      <c r="M4044" t="s">
        <v>32</v>
      </c>
      <c r="N4044" t="str">
        <f>"10/26/2006 12:00:00 AM"</f>
        <v>10/26/2006 12:00:00 AM</v>
      </c>
      <c r="O4044" t="s">
        <v>12439</v>
      </c>
      <c r="T4044" t="s">
        <v>12439</v>
      </c>
    </row>
    <row r="4045" spans="1:20" x14ac:dyDescent="0.25">
      <c r="A4045" t="str">
        <f>"3050404"</f>
        <v>3050404</v>
      </c>
      <c r="B4045" t="s">
        <v>12444</v>
      </c>
      <c r="C4045" t="str">
        <f>"42308000"</f>
        <v>42308000</v>
      </c>
      <c r="D4045" t="s">
        <v>12445</v>
      </c>
      <c r="E4045" t="s">
        <v>12446</v>
      </c>
      <c r="F4045" t="s">
        <v>12447</v>
      </c>
      <c r="I4045" t="s">
        <v>184</v>
      </c>
      <c r="J4045" t="s">
        <v>30</v>
      </c>
      <c r="K4045" t="s">
        <v>185</v>
      </c>
      <c r="M4045" t="s">
        <v>32</v>
      </c>
      <c r="N4045" t="str">
        <f>"1/16/2004 12:00:00 AM"</f>
        <v>1/16/2004 12:00:00 AM</v>
      </c>
      <c r="O4045" t="s">
        <v>12445</v>
      </c>
      <c r="T4045" t="s">
        <v>12446</v>
      </c>
    </row>
    <row r="4046" spans="1:20" x14ac:dyDescent="0.25">
      <c r="A4046" t="str">
        <f>"3050334"</f>
        <v>3050334</v>
      </c>
      <c r="B4046" t="s">
        <v>12448</v>
      </c>
      <c r="C4046" t="str">
        <f>"46044000"</f>
        <v>46044000</v>
      </c>
      <c r="D4046" t="s">
        <v>12449</v>
      </c>
      <c r="E4046" t="s">
        <v>12450</v>
      </c>
      <c r="F4046" t="s">
        <v>12451</v>
      </c>
      <c r="I4046" t="s">
        <v>184</v>
      </c>
      <c r="J4046" t="s">
        <v>30</v>
      </c>
      <c r="K4046" t="s">
        <v>185</v>
      </c>
      <c r="M4046" t="s">
        <v>32</v>
      </c>
      <c r="N4046" t="str">
        <f>"12/16/2003 12:00:00 AM"</f>
        <v>12/16/2003 12:00:00 AM</v>
      </c>
      <c r="O4046" t="s">
        <v>12449</v>
      </c>
      <c r="T4046" t="s">
        <v>12450</v>
      </c>
    </row>
    <row r="4047" spans="1:20" x14ac:dyDescent="0.25">
      <c r="A4047" t="str">
        <f>"3050288"</f>
        <v>3050288</v>
      </c>
      <c r="B4047" t="s">
        <v>12452</v>
      </c>
      <c r="C4047" t="str">
        <f>"82530166"</f>
        <v>82530166</v>
      </c>
      <c r="D4047" t="s">
        <v>12453</v>
      </c>
      <c r="E4047" t="s">
        <v>12454</v>
      </c>
      <c r="F4047" t="s">
        <v>12455</v>
      </c>
      <c r="I4047" t="s">
        <v>471</v>
      </c>
      <c r="J4047" t="s">
        <v>30</v>
      </c>
      <c r="K4047" t="s">
        <v>625</v>
      </c>
      <c r="M4047" t="s">
        <v>32</v>
      </c>
      <c r="N4047" t="str">
        <f>"10/9/2008 12:00:00 AM"</f>
        <v>10/9/2008 12:00:00 AM</v>
      </c>
      <c r="O4047" t="s">
        <v>12453</v>
      </c>
      <c r="T4047" t="s">
        <v>12454</v>
      </c>
    </row>
    <row r="4048" spans="1:20" x14ac:dyDescent="0.25">
      <c r="A4048" t="str">
        <f>"3052609"</f>
        <v>3052609</v>
      </c>
      <c r="B4048" t="s">
        <v>12456</v>
      </c>
      <c r="C4048" t="str">
        <f>"82513026"</f>
        <v>82513026</v>
      </c>
      <c r="D4048" t="s">
        <v>12457</v>
      </c>
      <c r="E4048" t="s">
        <v>12458</v>
      </c>
      <c r="F4048" t="s">
        <v>12459</v>
      </c>
      <c r="I4048" t="s">
        <v>29</v>
      </c>
      <c r="J4048" t="s">
        <v>30</v>
      </c>
      <c r="K4048" t="s">
        <v>31</v>
      </c>
      <c r="N4048" t="str">
        <f>"8/11/2009 12:00:00 AM"</f>
        <v>8/11/2009 12:00:00 AM</v>
      </c>
      <c r="O4048" t="s">
        <v>12457</v>
      </c>
      <c r="T4048" t="s">
        <v>12458</v>
      </c>
    </row>
    <row r="4049" spans="1:20" x14ac:dyDescent="0.25">
      <c r="A4049" t="str">
        <f>"3049520"</f>
        <v>3049520</v>
      </c>
      <c r="B4049" t="s">
        <v>12460</v>
      </c>
      <c r="C4049" t="str">
        <f>"79739000"</f>
        <v>79739000</v>
      </c>
      <c r="D4049" t="s">
        <v>12461</v>
      </c>
      <c r="F4049" t="s">
        <v>12462</v>
      </c>
      <c r="I4049" t="s">
        <v>184</v>
      </c>
      <c r="J4049" t="s">
        <v>30</v>
      </c>
      <c r="K4049" t="s">
        <v>12463</v>
      </c>
      <c r="M4049" t="s">
        <v>32</v>
      </c>
      <c r="N4049" t="str">
        <f>"2/8/2010 12:00:00 AM"</f>
        <v>2/8/2010 12:00:00 AM</v>
      </c>
      <c r="O4049" t="s">
        <v>12461</v>
      </c>
    </row>
    <row r="4050" spans="1:20" x14ac:dyDescent="0.25">
      <c r="A4050" t="str">
        <f>"3050498"</f>
        <v>3050498</v>
      </c>
      <c r="B4050" t="s">
        <v>12464</v>
      </c>
      <c r="C4050" t="str">
        <f>"79739000"</f>
        <v>79739000</v>
      </c>
      <c r="D4050" t="s">
        <v>12461</v>
      </c>
      <c r="F4050" t="s">
        <v>12462</v>
      </c>
      <c r="I4050" t="s">
        <v>184</v>
      </c>
      <c r="J4050" t="s">
        <v>30</v>
      </c>
      <c r="K4050" t="s">
        <v>12463</v>
      </c>
      <c r="M4050" t="s">
        <v>32</v>
      </c>
      <c r="N4050" t="str">
        <f>"2/8/2010 12:00:00 AM"</f>
        <v>2/8/2010 12:00:00 AM</v>
      </c>
      <c r="O4050" t="s">
        <v>12461</v>
      </c>
    </row>
    <row r="4051" spans="1:20" x14ac:dyDescent="0.25">
      <c r="A4051" t="str">
        <f>"3050311"</f>
        <v>3050311</v>
      </c>
      <c r="B4051" t="s">
        <v>12465</v>
      </c>
      <c r="C4051" t="str">
        <f>"82518402"</f>
        <v>82518402</v>
      </c>
      <c r="D4051" t="s">
        <v>12466</v>
      </c>
      <c r="F4051" t="s">
        <v>12467</v>
      </c>
      <c r="I4051" t="s">
        <v>29</v>
      </c>
      <c r="J4051" t="s">
        <v>30</v>
      </c>
      <c r="K4051" t="s">
        <v>31</v>
      </c>
      <c r="M4051" t="s">
        <v>32</v>
      </c>
      <c r="N4051" t="str">
        <f>"1/21/2003 12:00:00 AM"</f>
        <v>1/21/2003 12:00:00 AM</v>
      </c>
      <c r="O4051" t="s">
        <v>12466</v>
      </c>
    </row>
    <row r="4052" spans="1:20" x14ac:dyDescent="0.25">
      <c r="A4052" t="str">
        <f>"3050312"</f>
        <v>3050312</v>
      </c>
      <c r="B4052" t="s">
        <v>12468</v>
      </c>
      <c r="C4052" t="str">
        <f>"82517542"</f>
        <v>82517542</v>
      </c>
      <c r="D4052" t="s">
        <v>12469</v>
      </c>
      <c r="F4052" t="s">
        <v>12470</v>
      </c>
      <c r="I4052" t="s">
        <v>184</v>
      </c>
      <c r="J4052" t="s">
        <v>30</v>
      </c>
      <c r="K4052" t="s">
        <v>12471</v>
      </c>
      <c r="M4052" t="s">
        <v>32</v>
      </c>
      <c r="N4052" t="str">
        <f>"2/18/2005 12:00:00 AM"</f>
        <v>2/18/2005 12:00:00 AM</v>
      </c>
      <c r="O4052" t="s">
        <v>12469</v>
      </c>
    </row>
    <row r="4053" spans="1:20" x14ac:dyDescent="0.25">
      <c r="A4053" t="str">
        <f>"3050300"</f>
        <v>3050300</v>
      </c>
      <c r="B4053" t="s">
        <v>12472</v>
      </c>
      <c r="C4053" t="str">
        <f>"82515627"</f>
        <v>82515627</v>
      </c>
      <c r="D4053" t="s">
        <v>12473</v>
      </c>
      <c r="E4053" t="s">
        <v>12474</v>
      </c>
      <c r="F4053" t="s">
        <v>12475</v>
      </c>
      <c r="I4053" t="s">
        <v>184</v>
      </c>
      <c r="J4053" t="s">
        <v>30</v>
      </c>
      <c r="K4053" t="s">
        <v>12476</v>
      </c>
      <c r="M4053" t="s">
        <v>32</v>
      </c>
      <c r="N4053" t="str">
        <f>"1/28/2005 12:00:00 AM"</f>
        <v>1/28/2005 12:00:00 AM</v>
      </c>
      <c r="O4053" t="s">
        <v>12473</v>
      </c>
      <c r="T4053" t="s">
        <v>12474</v>
      </c>
    </row>
    <row r="4054" spans="1:20" x14ac:dyDescent="0.25">
      <c r="A4054" t="str">
        <f>"3049563"</f>
        <v>3049563</v>
      </c>
      <c r="B4054" t="s">
        <v>12477</v>
      </c>
      <c r="C4054" t="str">
        <f>"82521902"</f>
        <v>82521902</v>
      </c>
      <c r="D4054" t="s">
        <v>12449</v>
      </c>
      <c r="F4054" t="s">
        <v>12451</v>
      </c>
      <c r="I4054" t="s">
        <v>184</v>
      </c>
      <c r="J4054" t="s">
        <v>30</v>
      </c>
      <c r="K4054" t="s">
        <v>185</v>
      </c>
      <c r="M4054" t="s">
        <v>32</v>
      </c>
      <c r="N4054" t="str">
        <f>"12/16/2003 12:00:00 AM"</f>
        <v>12/16/2003 12:00:00 AM</v>
      </c>
      <c r="O4054" t="s">
        <v>12449</v>
      </c>
    </row>
    <row r="4055" spans="1:20" x14ac:dyDescent="0.25">
      <c r="A4055" t="str">
        <f>"3050389"</f>
        <v>3050389</v>
      </c>
      <c r="B4055" t="s">
        <v>12478</v>
      </c>
      <c r="C4055" t="str">
        <f>"46164000"</f>
        <v>46164000</v>
      </c>
      <c r="D4055" t="s">
        <v>12479</v>
      </c>
      <c r="F4055" t="s">
        <v>12480</v>
      </c>
      <c r="I4055" t="s">
        <v>184</v>
      </c>
      <c r="J4055" t="s">
        <v>30</v>
      </c>
      <c r="K4055" t="s">
        <v>185</v>
      </c>
      <c r="M4055" t="s">
        <v>32</v>
      </c>
      <c r="N4055" t="str">
        <f>"4/21/2009 12:00:00 AM"</f>
        <v>4/21/2009 12:00:00 AM</v>
      </c>
      <c r="O4055" t="s">
        <v>12479</v>
      </c>
    </row>
    <row r="4056" spans="1:20" x14ac:dyDescent="0.25">
      <c r="A4056" t="str">
        <f>"3050299"</f>
        <v>3050299</v>
      </c>
      <c r="B4056" t="s">
        <v>12481</v>
      </c>
      <c r="C4056" t="str">
        <f>"82528848"</f>
        <v>82528848</v>
      </c>
      <c r="D4056" t="s">
        <v>12482</v>
      </c>
      <c r="F4056" t="s">
        <v>12483</v>
      </c>
      <c r="I4056" t="s">
        <v>184</v>
      </c>
      <c r="J4056" t="s">
        <v>30</v>
      </c>
      <c r="K4056" t="s">
        <v>185</v>
      </c>
      <c r="M4056" t="s">
        <v>32</v>
      </c>
      <c r="N4056" t="str">
        <f>"1/14/2009 12:00:00 AM"</f>
        <v>1/14/2009 12:00:00 AM</v>
      </c>
      <c r="O4056" t="s">
        <v>12482</v>
      </c>
      <c r="T4056" t="s">
        <v>12482</v>
      </c>
    </row>
    <row r="4057" spans="1:20" x14ac:dyDescent="0.25">
      <c r="A4057" t="str">
        <f>"3052606"</f>
        <v>3052606</v>
      </c>
      <c r="B4057" t="s">
        <v>12484</v>
      </c>
      <c r="C4057" t="str">
        <f>"82523871"</f>
        <v>82523871</v>
      </c>
      <c r="D4057" t="s">
        <v>12485</v>
      </c>
      <c r="E4057" t="s">
        <v>12486</v>
      </c>
      <c r="F4057" t="s">
        <v>12487</v>
      </c>
      <c r="I4057" t="s">
        <v>29</v>
      </c>
      <c r="J4057" t="s">
        <v>30</v>
      </c>
      <c r="K4057" t="s">
        <v>12144</v>
      </c>
      <c r="M4057" t="s">
        <v>32</v>
      </c>
      <c r="N4057" t="str">
        <f>"1/30/2006 12:00:00 AM"</f>
        <v>1/30/2006 12:00:00 AM</v>
      </c>
      <c r="O4057" t="s">
        <v>12485</v>
      </c>
      <c r="T4057" t="s">
        <v>12486</v>
      </c>
    </row>
    <row r="4058" spans="1:20" x14ac:dyDescent="0.25">
      <c r="A4058" t="str">
        <f>"3052522"</f>
        <v>3052522</v>
      </c>
      <c r="B4058" t="s">
        <v>12488</v>
      </c>
      <c r="C4058" t="str">
        <f>"82527145"</f>
        <v>82527145</v>
      </c>
      <c r="D4058" t="s">
        <v>12489</v>
      </c>
      <c r="F4058" t="s">
        <v>12490</v>
      </c>
      <c r="I4058" t="s">
        <v>29</v>
      </c>
      <c r="J4058" t="s">
        <v>30</v>
      </c>
      <c r="K4058" t="s">
        <v>31</v>
      </c>
      <c r="N4058" t="str">
        <f>"11/17/2006 12:00:00 AM"</f>
        <v>11/17/2006 12:00:00 AM</v>
      </c>
      <c r="O4058" t="s">
        <v>12489</v>
      </c>
    </row>
    <row r="4059" spans="1:20" x14ac:dyDescent="0.25">
      <c r="A4059" t="str">
        <f>"3050326"</f>
        <v>3050326</v>
      </c>
      <c r="B4059" t="s">
        <v>12491</v>
      </c>
      <c r="C4059" t="str">
        <f>"82515528"</f>
        <v>82515528</v>
      </c>
      <c r="D4059" t="s">
        <v>12492</v>
      </c>
      <c r="F4059" t="s">
        <v>12493</v>
      </c>
      <c r="I4059" t="s">
        <v>184</v>
      </c>
      <c r="J4059" t="s">
        <v>30</v>
      </c>
      <c r="K4059" t="s">
        <v>185</v>
      </c>
      <c r="M4059" t="s">
        <v>32</v>
      </c>
      <c r="N4059" t="str">
        <f>"1/25/2008 12:00:00 AM"</f>
        <v>1/25/2008 12:00:00 AM</v>
      </c>
      <c r="O4059" t="s">
        <v>12492</v>
      </c>
    </row>
    <row r="4060" spans="1:20" x14ac:dyDescent="0.25">
      <c r="A4060" t="str">
        <f>"3050383"</f>
        <v>3050383</v>
      </c>
      <c r="B4060" t="s">
        <v>12494</v>
      </c>
      <c r="C4060" t="str">
        <f>"76676000"</f>
        <v>76676000</v>
      </c>
      <c r="D4060" t="s">
        <v>12495</v>
      </c>
      <c r="E4060" t="s">
        <v>12496</v>
      </c>
      <c r="F4060" t="s">
        <v>12497</v>
      </c>
      <c r="I4060" t="s">
        <v>184</v>
      </c>
      <c r="J4060" t="s">
        <v>30</v>
      </c>
      <c r="K4060" t="s">
        <v>185</v>
      </c>
      <c r="M4060" t="s">
        <v>32</v>
      </c>
      <c r="N4060" t="str">
        <f>"6/24/2004 12:00:00 AM"</f>
        <v>6/24/2004 12:00:00 AM</v>
      </c>
      <c r="O4060" t="s">
        <v>12495</v>
      </c>
      <c r="T4060" t="s">
        <v>12496</v>
      </c>
    </row>
    <row r="4061" spans="1:20" x14ac:dyDescent="0.25">
      <c r="A4061" t="str">
        <f>"3049518"</f>
        <v>3049518</v>
      </c>
      <c r="B4061" t="s">
        <v>12498</v>
      </c>
      <c r="C4061" t="str">
        <f>"76676000"</f>
        <v>76676000</v>
      </c>
      <c r="D4061" t="s">
        <v>12495</v>
      </c>
      <c r="E4061" t="s">
        <v>12496</v>
      </c>
      <c r="F4061" t="s">
        <v>12497</v>
      </c>
      <c r="I4061" t="s">
        <v>184</v>
      </c>
      <c r="J4061" t="s">
        <v>30</v>
      </c>
      <c r="K4061" t="s">
        <v>185</v>
      </c>
      <c r="M4061" t="s">
        <v>32</v>
      </c>
      <c r="N4061" t="str">
        <f>"6/24/2004 12:00:00 AM"</f>
        <v>6/24/2004 12:00:00 AM</v>
      </c>
      <c r="O4061" t="s">
        <v>12495</v>
      </c>
      <c r="T4061" t="s">
        <v>12496</v>
      </c>
    </row>
    <row r="4062" spans="1:20" x14ac:dyDescent="0.25">
      <c r="A4062" t="str">
        <f>"3050510"</f>
        <v>3050510</v>
      </c>
      <c r="B4062" t="s">
        <v>12499</v>
      </c>
      <c r="C4062" t="str">
        <f>"76676000"</f>
        <v>76676000</v>
      </c>
      <c r="D4062" t="s">
        <v>12495</v>
      </c>
      <c r="E4062" t="s">
        <v>12496</v>
      </c>
      <c r="F4062" t="s">
        <v>12497</v>
      </c>
      <c r="I4062" t="s">
        <v>184</v>
      </c>
      <c r="J4062" t="s">
        <v>30</v>
      </c>
      <c r="K4062" t="s">
        <v>185</v>
      </c>
      <c r="M4062" t="s">
        <v>32</v>
      </c>
      <c r="N4062" t="str">
        <f>"6/24/2004 12:00:00 AM"</f>
        <v>6/24/2004 12:00:00 AM</v>
      </c>
      <c r="O4062" t="s">
        <v>12495</v>
      </c>
      <c r="T4062" t="s">
        <v>12496</v>
      </c>
    </row>
    <row r="4063" spans="1:20" x14ac:dyDescent="0.25">
      <c r="A4063" t="str">
        <f>"3050511"</f>
        <v>3050511</v>
      </c>
      <c r="B4063" t="s">
        <v>12500</v>
      </c>
      <c r="C4063" t="str">
        <f>"76676000"</f>
        <v>76676000</v>
      </c>
      <c r="D4063" t="s">
        <v>12495</v>
      </c>
      <c r="E4063" t="s">
        <v>12496</v>
      </c>
      <c r="F4063" t="s">
        <v>12497</v>
      </c>
      <c r="I4063" t="s">
        <v>184</v>
      </c>
      <c r="J4063" t="s">
        <v>30</v>
      </c>
      <c r="K4063" t="s">
        <v>185</v>
      </c>
      <c r="M4063" t="s">
        <v>32</v>
      </c>
      <c r="N4063" t="str">
        <f>"6/24/2004 12:00:00 AM"</f>
        <v>6/24/2004 12:00:00 AM</v>
      </c>
      <c r="O4063" t="s">
        <v>12495</v>
      </c>
      <c r="T4063" t="s">
        <v>12496</v>
      </c>
    </row>
    <row r="4064" spans="1:20" x14ac:dyDescent="0.25">
      <c r="A4064" t="str">
        <f>"3052671"</f>
        <v>3052671</v>
      </c>
      <c r="B4064" t="s">
        <v>12501</v>
      </c>
      <c r="C4064" t="str">
        <f>"82521580"</f>
        <v>82521580</v>
      </c>
      <c r="D4064" t="s">
        <v>12502</v>
      </c>
      <c r="E4064" t="s">
        <v>12503</v>
      </c>
      <c r="F4064" t="s">
        <v>12504</v>
      </c>
      <c r="I4064" t="s">
        <v>29</v>
      </c>
      <c r="J4064" t="s">
        <v>30</v>
      </c>
      <c r="K4064" t="s">
        <v>31</v>
      </c>
      <c r="N4064" t="str">
        <f>"9/9/2010 12:00:00 AM"</f>
        <v>9/9/2010 12:00:00 AM</v>
      </c>
      <c r="O4064" t="s">
        <v>12502</v>
      </c>
      <c r="T4064" t="s">
        <v>12503</v>
      </c>
    </row>
    <row r="4065" spans="1:20" x14ac:dyDescent="0.25">
      <c r="A4065" t="str">
        <f>"3052587"</f>
        <v>3052587</v>
      </c>
      <c r="B4065" t="s">
        <v>12505</v>
      </c>
      <c r="C4065" t="str">
        <f>"82521064"</f>
        <v>82521064</v>
      </c>
      <c r="D4065" t="s">
        <v>12506</v>
      </c>
      <c r="F4065" t="s">
        <v>12507</v>
      </c>
      <c r="I4065" t="s">
        <v>29</v>
      </c>
      <c r="J4065" t="s">
        <v>30</v>
      </c>
      <c r="K4065" t="s">
        <v>31</v>
      </c>
      <c r="M4065" t="s">
        <v>32</v>
      </c>
      <c r="N4065" t="str">
        <f>"6/25/2003 12:00:00 AM"</f>
        <v>6/25/2003 12:00:00 AM</v>
      </c>
      <c r="O4065" t="s">
        <v>12506</v>
      </c>
    </row>
    <row r="4066" spans="1:20" x14ac:dyDescent="0.25">
      <c r="A4066" t="str">
        <f>"3051929"</f>
        <v>3051929</v>
      </c>
      <c r="B4066" t="s">
        <v>12508</v>
      </c>
      <c r="C4066" t="str">
        <f>"64359250"</f>
        <v>64359250</v>
      </c>
      <c r="D4066" t="s">
        <v>12509</v>
      </c>
      <c r="F4066" t="s">
        <v>12510</v>
      </c>
      <c r="I4066" t="s">
        <v>29</v>
      </c>
      <c r="J4066" t="s">
        <v>30</v>
      </c>
      <c r="K4066" t="s">
        <v>31</v>
      </c>
      <c r="M4066" t="s">
        <v>32</v>
      </c>
      <c r="N4066" t="str">
        <f>"9/12/2002 12:00:00 AM"</f>
        <v>9/12/2002 12:00:00 AM</v>
      </c>
      <c r="O4066" t="s">
        <v>12509</v>
      </c>
    </row>
    <row r="4067" spans="1:20" x14ac:dyDescent="0.25">
      <c r="A4067" t="str">
        <f>"3053123"</f>
        <v>3053123</v>
      </c>
      <c r="B4067" t="s">
        <v>12511</v>
      </c>
      <c r="C4067" t="str">
        <f>"70740000"</f>
        <v>70740000</v>
      </c>
      <c r="D4067" t="s">
        <v>12512</v>
      </c>
      <c r="E4067" t="s">
        <v>12513</v>
      </c>
      <c r="F4067" t="s">
        <v>12514</v>
      </c>
      <c r="I4067" t="s">
        <v>29</v>
      </c>
      <c r="J4067" t="s">
        <v>30</v>
      </c>
      <c r="K4067" t="s">
        <v>31</v>
      </c>
      <c r="M4067" t="s">
        <v>32</v>
      </c>
      <c r="N4067" t="str">
        <f>"5/20/2004 12:00:00 AM"</f>
        <v>5/20/2004 12:00:00 AM</v>
      </c>
      <c r="O4067" t="s">
        <v>12512</v>
      </c>
      <c r="T4067" t="s">
        <v>12513</v>
      </c>
    </row>
    <row r="4068" spans="1:20" x14ac:dyDescent="0.25">
      <c r="A4068" t="str">
        <f>"3050396"</f>
        <v>3050396</v>
      </c>
      <c r="B4068" t="s">
        <v>12515</v>
      </c>
      <c r="C4068" t="str">
        <f>"69203390"</f>
        <v>69203390</v>
      </c>
      <c r="D4068" t="s">
        <v>12516</v>
      </c>
      <c r="E4068" t="s">
        <v>12517</v>
      </c>
      <c r="F4068" t="s">
        <v>12518</v>
      </c>
      <c r="I4068" t="s">
        <v>184</v>
      </c>
      <c r="J4068" t="s">
        <v>30</v>
      </c>
      <c r="K4068" t="s">
        <v>185</v>
      </c>
      <c r="M4068" t="s">
        <v>32</v>
      </c>
      <c r="N4068" t="str">
        <f>"9/19/2002 12:00:00 AM"</f>
        <v>9/19/2002 12:00:00 AM</v>
      </c>
      <c r="O4068" t="s">
        <v>12516</v>
      </c>
      <c r="T4068" t="s">
        <v>12517</v>
      </c>
    </row>
    <row r="4069" spans="1:20" x14ac:dyDescent="0.25">
      <c r="A4069" t="str">
        <f>"3049524"</f>
        <v>3049524</v>
      </c>
      <c r="B4069" t="s">
        <v>12519</v>
      </c>
      <c r="C4069" t="str">
        <f>"82526304"</f>
        <v>82526304</v>
      </c>
      <c r="D4069" t="s">
        <v>12520</v>
      </c>
      <c r="E4069" t="s">
        <v>12521</v>
      </c>
      <c r="F4069" t="s">
        <v>12522</v>
      </c>
      <c r="I4069" t="s">
        <v>184</v>
      </c>
      <c r="J4069" t="s">
        <v>30</v>
      </c>
      <c r="K4069" t="s">
        <v>185</v>
      </c>
      <c r="M4069" t="s">
        <v>32</v>
      </c>
      <c r="N4069" t="str">
        <f>"1/26/2007 12:00:00 AM"</f>
        <v>1/26/2007 12:00:00 AM</v>
      </c>
      <c r="O4069" t="s">
        <v>12520</v>
      </c>
      <c r="T4069" t="s">
        <v>12521</v>
      </c>
    </row>
    <row r="4070" spans="1:20" x14ac:dyDescent="0.25">
      <c r="A4070" t="str">
        <f>"3050471"</f>
        <v>3050471</v>
      </c>
      <c r="B4070" t="s">
        <v>12523</v>
      </c>
      <c r="C4070" t="str">
        <f>"82526304"</f>
        <v>82526304</v>
      </c>
      <c r="D4070" t="s">
        <v>12520</v>
      </c>
      <c r="E4070" t="s">
        <v>12521</v>
      </c>
      <c r="F4070" t="s">
        <v>12522</v>
      </c>
      <c r="I4070" t="s">
        <v>184</v>
      </c>
      <c r="J4070" t="s">
        <v>30</v>
      </c>
      <c r="K4070" t="s">
        <v>185</v>
      </c>
      <c r="M4070" t="s">
        <v>32</v>
      </c>
      <c r="N4070" t="str">
        <f>"1/26/2007 12:00:00 AM"</f>
        <v>1/26/2007 12:00:00 AM</v>
      </c>
      <c r="O4070" t="s">
        <v>12520</v>
      </c>
      <c r="T4070" t="s">
        <v>12521</v>
      </c>
    </row>
    <row r="4071" spans="1:20" x14ac:dyDescent="0.25">
      <c r="A4071" t="str">
        <f>"3049456"</f>
        <v>3049456</v>
      </c>
      <c r="B4071" t="s">
        <v>12524</v>
      </c>
      <c r="C4071" t="str">
        <f>"6517620"</f>
        <v>6517620</v>
      </c>
      <c r="D4071" t="s">
        <v>12525</v>
      </c>
      <c r="F4071" t="s">
        <v>12526</v>
      </c>
      <c r="I4071" t="s">
        <v>184</v>
      </c>
      <c r="J4071" t="s">
        <v>30</v>
      </c>
      <c r="K4071" t="s">
        <v>185</v>
      </c>
      <c r="M4071" t="s">
        <v>32</v>
      </c>
      <c r="N4071" t="str">
        <f>"1/2/2008 12:00:00 AM"</f>
        <v>1/2/2008 12:00:00 AM</v>
      </c>
      <c r="O4071" t="s">
        <v>12525</v>
      </c>
    </row>
    <row r="4072" spans="1:20" x14ac:dyDescent="0.25">
      <c r="A4072" t="str">
        <f>"3078301"</f>
        <v>3078301</v>
      </c>
      <c r="B4072" t="s">
        <v>12527</v>
      </c>
      <c r="C4072" t="str">
        <f>"6517620"</f>
        <v>6517620</v>
      </c>
      <c r="D4072" t="s">
        <v>12525</v>
      </c>
      <c r="F4072" t="s">
        <v>12526</v>
      </c>
      <c r="I4072" t="s">
        <v>184</v>
      </c>
      <c r="J4072" t="s">
        <v>30</v>
      </c>
      <c r="K4072" t="s">
        <v>185</v>
      </c>
      <c r="M4072" t="s">
        <v>32</v>
      </c>
      <c r="N4072" t="str">
        <f>"1/2/2008 12:00:00 AM"</f>
        <v>1/2/2008 12:00:00 AM</v>
      </c>
      <c r="O4072" t="s">
        <v>12525</v>
      </c>
    </row>
    <row r="4073" spans="1:20" x14ac:dyDescent="0.25">
      <c r="A4073" t="str">
        <f>"3076195"</f>
        <v>3076195</v>
      </c>
      <c r="B4073" t="s">
        <v>12528</v>
      </c>
      <c r="C4073" t="str">
        <f>"82520732"</f>
        <v>82520732</v>
      </c>
      <c r="D4073" t="s">
        <v>12529</v>
      </c>
      <c r="F4073" t="s">
        <v>12530</v>
      </c>
      <c r="I4073" t="s">
        <v>29</v>
      </c>
      <c r="J4073" t="s">
        <v>30</v>
      </c>
      <c r="K4073" t="s">
        <v>31</v>
      </c>
      <c r="M4073" t="s">
        <v>32</v>
      </c>
      <c r="N4073" t="str">
        <f>"10/26/2006 12:00:00 AM"</f>
        <v>10/26/2006 12:00:00 AM</v>
      </c>
      <c r="O4073" t="s">
        <v>12529</v>
      </c>
      <c r="T4073" t="s">
        <v>12529</v>
      </c>
    </row>
    <row r="4074" spans="1:20" x14ac:dyDescent="0.25">
      <c r="A4074" t="str">
        <f>"3050447"</f>
        <v>3050447</v>
      </c>
      <c r="B4074" t="s">
        <v>12531</v>
      </c>
      <c r="C4074" t="str">
        <f>"46556000"</f>
        <v>46556000</v>
      </c>
      <c r="D4074" t="s">
        <v>12532</v>
      </c>
      <c r="F4074" t="s">
        <v>12533</v>
      </c>
      <c r="I4074" t="s">
        <v>184</v>
      </c>
      <c r="J4074" t="s">
        <v>30</v>
      </c>
      <c r="K4074" t="s">
        <v>185</v>
      </c>
      <c r="M4074" t="s">
        <v>32</v>
      </c>
      <c r="N4074" t="str">
        <f>"12/17/2003 12:00:00 AM"</f>
        <v>12/17/2003 12:00:00 AM</v>
      </c>
      <c r="O4074" t="s">
        <v>12532</v>
      </c>
    </row>
    <row r="4075" spans="1:20" x14ac:dyDescent="0.25">
      <c r="A4075" t="str">
        <f>"3047152"</f>
        <v>3047152</v>
      </c>
      <c r="B4075" t="s">
        <v>12534</v>
      </c>
      <c r="C4075" t="str">
        <f>"82516046"</f>
        <v>82516046</v>
      </c>
      <c r="D4075" t="s">
        <v>12535</v>
      </c>
      <c r="E4075" t="s">
        <v>12536</v>
      </c>
      <c r="F4075" t="s">
        <v>12537</v>
      </c>
      <c r="I4075" t="s">
        <v>29</v>
      </c>
      <c r="J4075" t="s">
        <v>30</v>
      </c>
      <c r="K4075" t="s">
        <v>12538</v>
      </c>
      <c r="M4075" t="s">
        <v>32</v>
      </c>
      <c r="N4075" t="str">
        <f>"1/12/2006 12:00:00 AM"</f>
        <v>1/12/2006 12:00:00 AM</v>
      </c>
      <c r="O4075" t="s">
        <v>12535</v>
      </c>
      <c r="T4075" t="s">
        <v>12536</v>
      </c>
    </row>
    <row r="4076" spans="1:20" x14ac:dyDescent="0.25">
      <c r="A4076" t="str">
        <f>"3050942"</f>
        <v>3050942</v>
      </c>
      <c r="B4076" t="s">
        <v>12539</v>
      </c>
      <c r="C4076" t="str">
        <f>"13520000"</f>
        <v>13520000</v>
      </c>
      <c r="D4076" t="s">
        <v>12540</v>
      </c>
      <c r="F4076" t="s">
        <v>12541</v>
      </c>
      <c r="I4076" t="s">
        <v>184</v>
      </c>
      <c r="J4076" t="s">
        <v>30</v>
      </c>
      <c r="K4076" t="s">
        <v>185</v>
      </c>
      <c r="M4076" t="s">
        <v>32</v>
      </c>
      <c r="N4076" t="str">
        <f>"6/19/2003 12:00:00 AM"</f>
        <v>6/19/2003 12:00:00 AM</v>
      </c>
      <c r="O4076" t="s">
        <v>12540</v>
      </c>
    </row>
    <row r="4077" spans="1:20" x14ac:dyDescent="0.25">
      <c r="A4077" t="str">
        <f>"3050991"</f>
        <v>3050991</v>
      </c>
      <c r="B4077" t="s">
        <v>12542</v>
      </c>
      <c r="C4077" t="str">
        <f>"82521895"</f>
        <v>82521895</v>
      </c>
      <c r="D4077" t="s">
        <v>12543</v>
      </c>
      <c r="E4077" t="s">
        <v>12544</v>
      </c>
      <c r="F4077" t="s">
        <v>12545</v>
      </c>
      <c r="I4077" t="s">
        <v>184</v>
      </c>
      <c r="J4077" t="s">
        <v>30</v>
      </c>
      <c r="K4077" t="s">
        <v>185</v>
      </c>
      <c r="M4077" t="s">
        <v>32</v>
      </c>
      <c r="N4077" t="str">
        <f>"12/16/2003 12:00:00 AM"</f>
        <v>12/16/2003 12:00:00 AM</v>
      </c>
      <c r="O4077" t="s">
        <v>12543</v>
      </c>
      <c r="T4077" t="s">
        <v>12544</v>
      </c>
    </row>
    <row r="4078" spans="1:20" x14ac:dyDescent="0.25">
      <c r="A4078" t="str">
        <f>"3050910"</f>
        <v>3050910</v>
      </c>
      <c r="B4078" t="s">
        <v>12546</v>
      </c>
      <c r="C4078" t="str">
        <f>"57315000"</f>
        <v>57315000</v>
      </c>
      <c r="D4078" t="s">
        <v>12547</v>
      </c>
      <c r="E4078" t="s">
        <v>12548</v>
      </c>
      <c r="F4078" t="s">
        <v>12549</v>
      </c>
      <c r="I4078" t="s">
        <v>184</v>
      </c>
      <c r="J4078" t="s">
        <v>30</v>
      </c>
      <c r="K4078" t="s">
        <v>185</v>
      </c>
      <c r="M4078" t="s">
        <v>32</v>
      </c>
      <c r="N4078" t="str">
        <f>"9/19/2002 12:00:00 AM"</f>
        <v>9/19/2002 12:00:00 AM</v>
      </c>
      <c r="O4078" t="s">
        <v>12547</v>
      </c>
      <c r="T4078" t="s">
        <v>12548</v>
      </c>
    </row>
    <row r="4079" spans="1:20" x14ac:dyDescent="0.25">
      <c r="A4079" t="str">
        <f>"3050577"</f>
        <v>3050577</v>
      </c>
      <c r="B4079" t="s">
        <v>12550</v>
      </c>
      <c r="C4079" t="str">
        <f>"57315000"</f>
        <v>57315000</v>
      </c>
      <c r="D4079" t="s">
        <v>12547</v>
      </c>
      <c r="E4079" t="s">
        <v>12548</v>
      </c>
      <c r="F4079" t="s">
        <v>12549</v>
      </c>
      <c r="I4079" t="s">
        <v>184</v>
      </c>
      <c r="J4079" t="s">
        <v>30</v>
      </c>
      <c r="K4079" t="s">
        <v>185</v>
      </c>
      <c r="M4079" t="s">
        <v>32</v>
      </c>
      <c r="N4079" t="str">
        <f>"9/19/2002 12:00:00 AM"</f>
        <v>9/19/2002 12:00:00 AM</v>
      </c>
      <c r="O4079" t="s">
        <v>12547</v>
      </c>
      <c r="T4079" t="s">
        <v>12548</v>
      </c>
    </row>
    <row r="4080" spans="1:20" x14ac:dyDescent="0.25">
      <c r="A4080" t="str">
        <f>"3050899"</f>
        <v>3050899</v>
      </c>
      <c r="B4080" t="s">
        <v>12551</v>
      </c>
      <c r="C4080" t="str">
        <f>"47183000"</f>
        <v>47183000</v>
      </c>
      <c r="D4080" t="s">
        <v>12552</v>
      </c>
      <c r="F4080" t="str">
        <f>"C/O WENDY GALLIMORE"</f>
        <v>C/O WENDY GALLIMORE</v>
      </c>
      <c r="G4080" t="s">
        <v>12553</v>
      </c>
      <c r="I4080" t="s">
        <v>184</v>
      </c>
      <c r="J4080" t="s">
        <v>30</v>
      </c>
      <c r="K4080" t="s">
        <v>185</v>
      </c>
      <c r="M4080" t="s">
        <v>32</v>
      </c>
      <c r="N4080" t="str">
        <f>"12/18/2003 12:00:00 AM"</f>
        <v>12/18/2003 12:00:00 AM</v>
      </c>
      <c r="O4080" t="s">
        <v>12552</v>
      </c>
    </row>
    <row r="4081" spans="1:20" x14ac:dyDescent="0.25">
      <c r="A4081" t="str">
        <f>"3050547"</f>
        <v>3050547</v>
      </c>
      <c r="B4081" t="s">
        <v>12554</v>
      </c>
      <c r="C4081" t="str">
        <f>"76624000"</f>
        <v>76624000</v>
      </c>
      <c r="D4081" t="s">
        <v>10461</v>
      </c>
      <c r="F4081" t="s">
        <v>12555</v>
      </c>
      <c r="I4081" t="s">
        <v>184</v>
      </c>
      <c r="J4081" t="s">
        <v>30</v>
      </c>
      <c r="K4081" t="s">
        <v>185</v>
      </c>
      <c r="M4081" t="s">
        <v>32</v>
      </c>
      <c r="N4081" t="str">
        <f>"11/28/2007 12:00:00 AM"</f>
        <v>11/28/2007 12:00:00 AM</v>
      </c>
      <c r="O4081" t="s">
        <v>10461</v>
      </c>
    </row>
    <row r="4082" spans="1:20" x14ac:dyDescent="0.25">
      <c r="A4082" t="str">
        <f>"3050830"</f>
        <v>3050830</v>
      </c>
      <c r="B4082" t="s">
        <v>12556</v>
      </c>
      <c r="C4082" t="str">
        <f>"45855250"</f>
        <v>45855250</v>
      </c>
      <c r="D4082" t="s">
        <v>12557</v>
      </c>
      <c r="E4082" t="s">
        <v>12558</v>
      </c>
      <c r="F4082" t="s">
        <v>12559</v>
      </c>
      <c r="I4082" t="s">
        <v>184</v>
      </c>
      <c r="J4082" t="s">
        <v>30</v>
      </c>
      <c r="K4082" t="s">
        <v>12560</v>
      </c>
      <c r="M4082" t="s">
        <v>32</v>
      </c>
      <c r="N4082" t="str">
        <f>"2/10/2005 12:00:00 AM"</f>
        <v>2/10/2005 12:00:00 AM</v>
      </c>
      <c r="O4082" t="s">
        <v>12557</v>
      </c>
      <c r="T4082" t="s">
        <v>12558</v>
      </c>
    </row>
    <row r="4083" spans="1:20" x14ac:dyDescent="0.25">
      <c r="A4083" t="str">
        <f>"3078338"</f>
        <v>3078338</v>
      </c>
      <c r="B4083" t="s">
        <v>12561</v>
      </c>
      <c r="C4083" t="str">
        <f>"45855250"</f>
        <v>45855250</v>
      </c>
      <c r="D4083" t="s">
        <v>12557</v>
      </c>
      <c r="E4083" t="s">
        <v>12558</v>
      </c>
      <c r="F4083" t="s">
        <v>12559</v>
      </c>
      <c r="I4083" t="s">
        <v>184</v>
      </c>
      <c r="J4083" t="s">
        <v>30</v>
      </c>
      <c r="K4083" t="s">
        <v>12560</v>
      </c>
      <c r="M4083" t="s">
        <v>32</v>
      </c>
      <c r="N4083" t="str">
        <f>"2/10/2005 12:00:00 AM"</f>
        <v>2/10/2005 12:00:00 AM</v>
      </c>
      <c r="O4083" t="s">
        <v>12557</v>
      </c>
      <c r="T4083" t="s">
        <v>12558</v>
      </c>
    </row>
    <row r="4084" spans="1:20" x14ac:dyDescent="0.25">
      <c r="A4084" t="str">
        <f>"3078339"</f>
        <v>3078339</v>
      </c>
      <c r="B4084" t="s">
        <v>12562</v>
      </c>
      <c r="C4084" t="str">
        <f>"45855250"</f>
        <v>45855250</v>
      </c>
      <c r="D4084" t="s">
        <v>12557</v>
      </c>
      <c r="E4084" t="s">
        <v>12558</v>
      </c>
      <c r="F4084" t="s">
        <v>12559</v>
      </c>
      <c r="I4084" t="s">
        <v>184</v>
      </c>
      <c r="J4084" t="s">
        <v>30</v>
      </c>
      <c r="K4084" t="s">
        <v>12560</v>
      </c>
      <c r="M4084" t="s">
        <v>32</v>
      </c>
      <c r="N4084" t="str">
        <f>"2/10/2005 12:00:00 AM"</f>
        <v>2/10/2005 12:00:00 AM</v>
      </c>
      <c r="O4084" t="s">
        <v>12557</v>
      </c>
      <c r="T4084" t="s">
        <v>12558</v>
      </c>
    </row>
    <row r="4085" spans="1:20" x14ac:dyDescent="0.25">
      <c r="A4085" t="str">
        <f>"3078367"</f>
        <v>3078367</v>
      </c>
      <c r="B4085" t="s">
        <v>12563</v>
      </c>
      <c r="C4085" t="str">
        <f>"45855250"</f>
        <v>45855250</v>
      </c>
      <c r="D4085" t="s">
        <v>12557</v>
      </c>
      <c r="E4085" t="s">
        <v>12558</v>
      </c>
      <c r="F4085" t="s">
        <v>12559</v>
      </c>
      <c r="I4085" t="s">
        <v>184</v>
      </c>
      <c r="J4085" t="s">
        <v>30</v>
      </c>
      <c r="K4085" t="s">
        <v>12560</v>
      </c>
      <c r="M4085" t="s">
        <v>32</v>
      </c>
      <c r="N4085" t="str">
        <f>"2/10/2005 12:00:00 AM"</f>
        <v>2/10/2005 12:00:00 AM</v>
      </c>
      <c r="O4085" t="s">
        <v>12557</v>
      </c>
      <c r="T4085" t="s">
        <v>12558</v>
      </c>
    </row>
    <row r="4086" spans="1:20" x14ac:dyDescent="0.25">
      <c r="A4086" t="str">
        <f>"3046897"</f>
        <v>3046897</v>
      </c>
      <c r="B4086" t="s">
        <v>12564</v>
      </c>
      <c r="C4086" t="str">
        <f>"16036000"</f>
        <v>16036000</v>
      </c>
      <c r="D4086" t="s">
        <v>12565</v>
      </c>
      <c r="E4086" t="s">
        <v>12566</v>
      </c>
      <c r="F4086" t="s">
        <v>12567</v>
      </c>
      <c r="I4086" t="s">
        <v>29</v>
      </c>
      <c r="J4086" t="s">
        <v>30</v>
      </c>
      <c r="K4086" t="s">
        <v>31</v>
      </c>
      <c r="M4086" t="s">
        <v>32</v>
      </c>
      <c r="N4086" t="str">
        <f>"3/11/2011 12:00:00 AM"</f>
        <v>3/11/2011 12:00:00 AM</v>
      </c>
      <c r="O4086" t="s">
        <v>12565</v>
      </c>
      <c r="T4086" t="s">
        <v>12566</v>
      </c>
    </row>
    <row r="4087" spans="1:20" x14ac:dyDescent="0.25">
      <c r="A4087" t="str">
        <f>"3047041"</f>
        <v>3047041</v>
      </c>
      <c r="B4087" t="s">
        <v>12568</v>
      </c>
      <c r="C4087" t="str">
        <f>"73447750"</f>
        <v>73447750</v>
      </c>
      <c r="D4087" t="s">
        <v>12569</v>
      </c>
      <c r="E4087" t="s">
        <v>12570</v>
      </c>
      <c r="F4087" t="s">
        <v>12571</v>
      </c>
      <c r="I4087" t="s">
        <v>29</v>
      </c>
      <c r="J4087" t="s">
        <v>30</v>
      </c>
      <c r="K4087" t="s">
        <v>31</v>
      </c>
      <c r="M4087" t="s">
        <v>32</v>
      </c>
      <c r="N4087" t="str">
        <f>"2/10/2004 12:00:00 AM"</f>
        <v>2/10/2004 12:00:00 AM</v>
      </c>
      <c r="O4087" t="s">
        <v>12569</v>
      </c>
      <c r="T4087" t="s">
        <v>12570</v>
      </c>
    </row>
    <row r="4088" spans="1:20" x14ac:dyDescent="0.25">
      <c r="A4088" t="str">
        <f>"3050633"</f>
        <v>3050633</v>
      </c>
      <c r="B4088" t="s">
        <v>12572</v>
      </c>
      <c r="C4088" t="str">
        <f>"82528980"</f>
        <v>82528980</v>
      </c>
      <c r="D4088" t="s">
        <v>12573</v>
      </c>
      <c r="E4088" t="s">
        <v>12574</v>
      </c>
      <c r="F4088" t="s">
        <v>12575</v>
      </c>
      <c r="I4088" t="s">
        <v>184</v>
      </c>
      <c r="J4088" t="s">
        <v>30</v>
      </c>
      <c r="K4088" t="s">
        <v>185</v>
      </c>
      <c r="M4088" t="s">
        <v>32</v>
      </c>
      <c r="N4088" t="str">
        <f>"12/7/2010 12:00:00 AM"</f>
        <v>12/7/2010 12:00:00 AM</v>
      </c>
      <c r="O4088" t="s">
        <v>12573</v>
      </c>
      <c r="T4088" t="s">
        <v>12574</v>
      </c>
    </row>
    <row r="4089" spans="1:20" x14ac:dyDescent="0.25">
      <c r="A4089" t="str">
        <f>"3050828"</f>
        <v>3050828</v>
      </c>
      <c r="B4089" t="s">
        <v>12576</v>
      </c>
      <c r="C4089" t="str">
        <f>"82528981"</f>
        <v>82528981</v>
      </c>
      <c r="D4089" t="s">
        <v>12577</v>
      </c>
      <c r="E4089" t="s">
        <v>12574</v>
      </c>
      <c r="F4089" t="s">
        <v>12575</v>
      </c>
      <c r="I4089" t="s">
        <v>184</v>
      </c>
      <c r="J4089" t="s">
        <v>30</v>
      </c>
      <c r="K4089" t="s">
        <v>185</v>
      </c>
      <c r="M4089" t="s">
        <v>32</v>
      </c>
      <c r="N4089" t="str">
        <f>"12/7/2010 12:00:00 AM"</f>
        <v>12/7/2010 12:00:00 AM</v>
      </c>
      <c r="O4089" t="s">
        <v>12577</v>
      </c>
      <c r="T4089" t="s">
        <v>12574</v>
      </c>
    </row>
    <row r="4090" spans="1:20" x14ac:dyDescent="0.25">
      <c r="A4090" t="str">
        <f>"3067451"</f>
        <v>3067451</v>
      </c>
      <c r="B4090" t="s">
        <v>12578</v>
      </c>
      <c r="C4090" t="str">
        <f>"39873750"</f>
        <v>39873750</v>
      </c>
      <c r="D4090" t="s">
        <v>12579</v>
      </c>
      <c r="F4090" t="str">
        <f>"C/O GRADY BARNEY"</f>
        <v>C/O GRADY BARNEY</v>
      </c>
      <c r="G4090" t="s">
        <v>12580</v>
      </c>
      <c r="I4090" t="s">
        <v>184</v>
      </c>
      <c r="J4090" t="s">
        <v>30</v>
      </c>
      <c r="K4090" t="s">
        <v>185</v>
      </c>
      <c r="M4090" t="s">
        <v>32</v>
      </c>
      <c r="N4090" t="str">
        <f>"11/13/2003 12:00:00 AM"</f>
        <v>11/13/2003 12:00:00 AM</v>
      </c>
      <c r="O4090" t="s">
        <v>12579</v>
      </c>
    </row>
    <row r="4091" spans="1:20" x14ac:dyDescent="0.25">
      <c r="A4091" t="str">
        <f>"3050909"</f>
        <v>3050909</v>
      </c>
      <c r="B4091" t="s">
        <v>12581</v>
      </c>
      <c r="C4091" t="str">
        <f>"77226750"</f>
        <v>77226750</v>
      </c>
      <c r="D4091" t="s">
        <v>12582</v>
      </c>
      <c r="E4091" t="s">
        <v>12583</v>
      </c>
      <c r="F4091" t="s">
        <v>12584</v>
      </c>
      <c r="I4091" t="s">
        <v>184</v>
      </c>
      <c r="J4091" t="s">
        <v>30</v>
      </c>
      <c r="K4091" t="s">
        <v>12585</v>
      </c>
      <c r="M4091" t="s">
        <v>32</v>
      </c>
      <c r="N4091" t="str">
        <f>"1/11/2006 12:00:00 AM"</f>
        <v>1/11/2006 12:00:00 AM</v>
      </c>
      <c r="O4091" t="s">
        <v>12582</v>
      </c>
      <c r="T4091" t="s">
        <v>12583</v>
      </c>
    </row>
    <row r="4092" spans="1:20" x14ac:dyDescent="0.25">
      <c r="A4092" t="str">
        <f>"3067829"</f>
        <v>3067829</v>
      </c>
      <c r="B4092" t="s">
        <v>12586</v>
      </c>
      <c r="C4092" t="str">
        <f>"45900000"</f>
        <v>45900000</v>
      </c>
      <c r="D4092" t="s">
        <v>12587</v>
      </c>
      <c r="E4092" t="s">
        <v>12588</v>
      </c>
      <c r="F4092" t="s">
        <v>12589</v>
      </c>
      <c r="I4092" t="s">
        <v>184</v>
      </c>
      <c r="J4092" t="s">
        <v>30</v>
      </c>
      <c r="K4092" t="s">
        <v>12590</v>
      </c>
      <c r="M4092" t="s">
        <v>32</v>
      </c>
      <c r="N4092" t="str">
        <f>"1/25/2006 12:00:00 AM"</f>
        <v>1/25/2006 12:00:00 AM</v>
      </c>
      <c r="O4092" t="s">
        <v>12587</v>
      </c>
      <c r="T4092" t="s">
        <v>12588</v>
      </c>
    </row>
    <row r="4093" spans="1:20" x14ac:dyDescent="0.25">
      <c r="A4093" t="str">
        <f>"3078341"</f>
        <v>3078341</v>
      </c>
      <c r="B4093" t="s">
        <v>12591</v>
      </c>
      <c r="C4093" t="str">
        <f>"45900000"</f>
        <v>45900000</v>
      </c>
      <c r="D4093" t="s">
        <v>12587</v>
      </c>
      <c r="E4093" t="s">
        <v>12588</v>
      </c>
      <c r="F4093" t="s">
        <v>12589</v>
      </c>
      <c r="I4093" t="s">
        <v>184</v>
      </c>
      <c r="J4093" t="s">
        <v>30</v>
      </c>
      <c r="K4093" t="s">
        <v>12590</v>
      </c>
      <c r="M4093" t="s">
        <v>32</v>
      </c>
      <c r="N4093" t="str">
        <f>"1/25/2006 12:00:00 AM"</f>
        <v>1/25/2006 12:00:00 AM</v>
      </c>
      <c r="O4093" t="s">
        <v>12587</v>
      </c>
      <c r="T4093" t="s">
        <v>12588</v>
      </c>
    </row>
    <row r="4094" spans="1:20" x14ac:dyDescent="0.25">
      <c r="A4094" t="str">
        <f>"3050869"</f>
        <v>3050869</v>
      </c>
      <c r="B4094" t="s">
        <v>12592</v>
      </c>
      <c r="C4094" t="str">
        <f>"22316000"</f>
        <v>22316000</v>
      </c>
      <c r="D4094" t="s">
        <v>12593</v>
      </c>
      <c r="F4094" t="s">
        <v>12594</v>
      </c>
      <c r="I4094" t="s">
        <v>184</v>
      </c>
      <c r="J4094" t="s">
        <v>30</v>
      </c>
      <c r="K4094" t="s">
        <v>12595</v>
      </c>
      <c r="M4094" t="s">
        <v>32</v>
      </c>
      <c r="N4094" t="str">
        <f>"1/23/2006 12:00:00 AM"</f>
        <v>1/23/2006 12:00:00 AM</v>
      </c>
      <c r="O4094" t="s">
        <v>12593</v>
      </c>
      <c r="T4094" t="s">
        <v>12593</v>
      </c>
    </row>
    <row r="4095" spans="1:20" x14ac:dyDescent="0.25">
      <c r="A4095" t="str">
        <f>"3050864"</f>
        <v>3050864</v>
      </c>
      <c r="B4095" t="s">
        <v>12596</v>
      </c>
      <c r="C4095" t="str">
        <f>"55063000"</f>
        <v>55063000</v>
      </c>
      <c r="D4095" t="s">
        <v>12597</v>
      </c>
      <c r="E4095" t="s">
        <v>12598</v>
      </c>
      <c r="F4095" t="s">
        <v>12599</v>
      </c>
      <c r="I4095" t="s">
        <v>184</v>
      </c>
      <c r="J4095" t="s">
        <v>30</v>
      </c>
      <c r="K4095" t="s">
        <v>12600</v>
      </c>
      <c r="M4095" t="s">
        <v>32</v>
      </c>
      <c r="N4095" t="str">
        <f>"1/8/2009 12:00:00 AM"</f>
        <v>1/8/2009 12:00:00 AM</v>
      </c>
      <c r="O4095" t="s">
        <v>12597</v>
      </c>
      <c r="T4095" t="s">
        <v>12598</v>
      </c>
    </row>
    <row r="4096" spans="1:20" x14ac:dyDescent="0.25">
      <c r="A4096" t="str">
        <f>"3054717"</f>
        <v>3054717</v>
      </c>
      <c r="B4096" t="s">
        <v>12601</v>
      </c>
      <c r="C4096" t="str">
        <f>"82527600"</f>
        <v>82527600</v>
      </c>
      <c r="D4096" t="s">
        <v>12283</v>
      </c>
      <c r="F4096" t="s">
        <v>12284</v>
      </c>
      <c r="I4096" t="s">
        <v>29</v>
      </c>
      <c r="J4096" t="s">
        <v>30</v>
      </c>
      <c r="K4096" t="s">
        <v>31</v>
      </c>
      <c r="M4096" t="s">
        <v>32</v>
      </c>
      <c r="N4096" t="str">
        <f>"2/26/2007 12:00:00 AM"</f>
        <v>2/26/2007 12:00:00 AM</v>
      </c>
      <c r="O4096" t="s">
        <v>12283</v>
      </c>
    </row>
    <row r="4097" spans="1:20" x14ac:dyDescent="0.25">
      <c r="A4097" t="str">
        <f>"3078277"</f>
        <v>3078277</v>
      </c>
      <c r="B4097" t="s">
        <v>12602</v>
      </c>
      <c r="C4097" t="str">
        <f>"82527600"</f>
        <v>82527600</v>
      </c>
      <c r="D4097" t="s">
        <v>12283</v>
      </c>
      <c r="F4097" t="s">
        <v>12284</v>
      </c>
      <c r="I4097" t="s">
        <v>29</v>
      </c>
      <c r="J4097" t="s">
        <v>30</v>
      </c>
      <c r="K4097" t="s">
        <v>31</v>
      </c>
      <c r="M4097" t="s">
        <v>32</v>
      </c>
      <c r="N4097" t="str">
        <f>"2/26/2007 12:00:00 AM"</f>
        <v>2/26/2007 12:00:00 AM</v>
      </c>
      <c r="O4097" t="s">
        <v>12283</v>
      </c>
    </row>
    <row r="4098" spans="1:20" x14ac:dyDescent="0.25">
      <c r="A4098" t="str">
        <f>"3046567"</f>
        <v>3046567</v>
      </c>
      <c r="B4098" t="s">
        <v>12603</v>
      </c>
      <c r="C4098" t="str">
        <f>"3460000"</f>
        <v>3460000</v>
      </c>
      <c r="D4098" t="s">
        <v>12298</v>
      </c>
      <c r="E4098" t="s">
        <v>12299</v>
      </c>
      <c r="F4098" t="s">
        <v>12300</v>
      </c>
      <c r="I4098" t="s">
        <v>29</v>
      </c>
      <c r="J4098" t="s">
        <v>30</v>
      </c>
      <c r="K4098" t="s">
        <v>31</v>
      </c>
      <c r="M4098" t="s">
        <v>32</v>
      </c>
      <c r="N4098" t="str">
        <f>"5/16/2003 12:00:00 AM"</f>
        <v>5/16/2003 12:00:00 AM</v>
      </c>
      <c r="O4098" t="s">
        <v>12298</v>
      </c>
      <c r="T4098" t="s">
        <v>12299</v>
      </c>
    </row>
    <row r="4099" spans="1:20" x14ac:dyDescent="0.25">
      <c r="A4099" t="str">
        <f>"3047065"</f>
        <v>3047065</v>
      </c>
      <c r="B4099" t="s">
        <v>12604</v>
      </c>
      <c r="C4099" t="str">
        <f>"77482000"</f>
        <v>77482000</v>
      </c>
      <c r="D4099" t="s">
        <v>12330</v>
      </c>
      <c r="F4099" t="s">
        <v>12331</v>
      </c>
      <c r="I4099" t="s">
        <v>29</v>
      </c>
      <c r="J4099" t="s">
        <v>30</v>
      </c>
      <c r="K4099" t="s">
        <v>31</v>
      </c>
      <c r="M4099" t="s">
        <v>32</v>
      </c>
      <c r="N4099" t="str">
        <f>"6/25/2004 12:00:00 AM"</f>
        <v>6/25/2004 12:00:00 AM</v>
      </c>
      <c r="O4099" t="s">
        <v>12330</v>
      </c>
    </row>
    <row r="4100" spans="1:20" x14ac:dyDescent="0.25">
      <c r="A4100" t="str">
        <f>"3053065"</f>
        <v>3053065</v>
      </c>
      <c r="B4100" t="s">
        <v>12605</v>
      </c>
      <c r="C4100" t="str">
        <f>"72109500"</f>
        <v>72109500</v>
      </c>
      <c r="D4100" t="s">
        <v>12606</v>
      </c>
      <c r="E4100" t="s">
        <v>12607</v>
      </c>
      <c r="F4100" t="s">
        <v>12608</v>
      </c>
      <c r="I4100" t="s">
        <v>29</v>
      </c>
      <c r="J4100" t="s">
        <v>30</v>
      </c>
      <c r="K4100" t="s">
        <v>31</v>
      </c>
      <c r="M4100" t="s">
        <v>32</v>
      </c>
      <c r="N4100" t="str">
        <f>"6/16/2004 12:00:00 AM"</f>
        <v>6/16/2004 12:00:00 AM</v>
      </c>
      <c r="O4100" t="s">
        <v>12606</v>
      </c>
      <c r="T4100" t="s">
        <v>12607</v>
      </c>
    </row>
    <row r="4101" spans="1:20" x14ac:dyDescent="0.25">
      <c r="A4101" t="str">
        <f>"3052047"</f>
        <v>3052047</v>
      </c>
      <c r="B4101" t="s">
        <v>12609</v>
      </c>
      <c r="C4101" t="str">
        <f>"82518701"</f>
        <v>82518701</v>
      </c>
      <c r="D4101" t="s">
        <v>12610</v>
      </c>
      <c r="F4101" t="s">
        <v>12611</v>
      </c>
      <c r="I4101" t="s">
        <v>29</v>
      </c>
      <c r="J4101" t="s">
        <v>30</v>
      </c>
      <c r="K4101" t="s">
        <v>12612</v>
      </c>
      <c r="M4101" t="s">
        <v>32</v>
      </c>
      <c r="N4101" t="str">
        <f>"1/26/2005 12:00:00 AM"</f>
        <v>1/26/2005 12:00:00 AM</v>
      </c>
      <c r="O4101" t="s">
        <v>12610</v>
      </c>
    </row>
    <row r="4102" spans="1:20" x14ac:dyDescent="0.25">
      <c r="A4102" t="str">
        <f>"3057838"</f>
        <v>3057838</v>
      </c>
      <c r="B4102" t="s">
        <v>12613</v>
      </c>
      <c r="C4102" t="str">
        <f>"82524895"</f>
        <v>82524895</v>
      </c>
      <c r="D4102" t="s">
        <v>12614</v>
      </c>
      <c r="F4102" t="s">
        <v>12615</v>
      </c>
      <c r="I4102" t="s">
        <v>29</v>
      </c>
      <c r="J4102" t="s">
        <v>30</v>
      </c>
      <c r="K4102" t="s">
        <v>12616</v>
      </c>
      <c r="M4102" t="s">
        <v>32</v>
      </c>
      <c r="N4102" t="str">
        <f>"11/28/2006 12:00:00 AM"</f>
        <v>11/28/2006 12:00:00 AM</v>
      </c>
      <c r="O4102" t="s">
        <v>12614</v>
      </c>
    </row>
    <row r="4103" spans="1:20" x14ac:dyDescent="0.25">
      <c r="A4103" t="str">
        <f>"3057846"</f>
        <v>3057846</v>
      </c>
      <c r="B4103" t="s">
        <v>12617</v>
      </c>
      <c r="C4103" t="str">
        <f>"82513314"</f>
        <v>82513314</v>
      </c>
      <c r="D4103" t="s">
        <v>12618</v>
      </c>
      <c r="E4103" t="s">
        <v>12619</v>
      </c>
      <c r="F4103" t="s">
        <v>12620</v>
      </c>
      <c r="I4103" t="s">
        <v>29</v>
      </c>
      <c r="J4103" t="s">
        <v>30</v>
      </c>
      <c r="K4103" t="s">
        <v>31</v>
      </c>
      <c r="M4103" t="s">
        <v>32</v>
      </c>
      <c r="N4103" t="str">
        <f>"9/13/2002 12:00:00 AM"</f>
        <v>9/13/2002 12:00:00 AM</v>
      </c>
      <c r="O4103" t="s">
        <v>12618</v>
      </c>
      <c r="T4103" t="s">
        <v>12619</v>
      </c>
    </row>
    <row r="4104" spans="1:20" x14ac:dyDescent="0.25">
      <c r="A4104" t="str">
        <f>"3078349"</f>
        <v>3078349</v>
      </c>
      <c r="B4104" t="s">
        <v>12621</v>
      </c>
      <c r="C4104" t="str">
        <f>"74804400"</f>
        <v>74804400</v>
      </c>
      <c r="D4104" t="s">
        <v>12622</v>
      </c>
      <c r="F4104" t="s">
        <v>12623</v>
      </c>
      <c r="I4104" t="s">
        <v>2589</v>
      </c>
      <c r="J4104" t="s">
        <v>30</v>
      </c>
      <c r="K4104" t="s">
        <v>12624</v>
      </c>
      <c r="M4104" t="s">
        <v>32</v>
      </c>
      <c r="N4104" t="str">
        <f>"10/4/2005 12:00:00 AM"</f>
        <v>10/4/2005 12:00:00 AM</v>
      </c>
      <c r="O4104" t="s">
        <v>12622</v>
      </c>
    </row>
    <row r="4105" spans="1:20" x14ac:dyDescent="0.25">
      <c r="A4105" t="str">
        <f>"3050613"</f>
        <v>3050613</v>
      </c>
      <c r="B4105" t="s">
        <v>12625</v>
      </c>
      <c r="C4105" t="str">
        <f>"74804600"</f>
        <v>74804600</v>
      </c>
      <c r="D4105" t="s">
        <v>12626</v>
      </c>
      <c r="F4105" t="str">
        <f>"C/O DIANE WHITE"</f>
        <v>C/O DIANE WHITE</v>
      </c>
      <c r="G4105" t="s">
        <v>12627</v>
      </c>
      <c r="I4105" t="s">
        <v>12628</v>
      </c>
      <c r="J4105" t="s">
        <v>30</v>
      </c>
      <c r="K4105" t="s">
        <v>12629</v>
      </c>
      <c r="M4105" t="s">
        <v>32</v>
      </c>
      <c r="N4105" t="str">
        <f>"6/22/2004 12:00:00 AM"</f>
        <v>6/22/2004 12:00:00 AM</v>
      </c>
      <c r="O4105" t="s">
        <v>12626</v>
      </c>
    </row>
    <row r="4106" spans="1:20" x14ac:dyDescent="0.25">
      <c r="A4106" t="str">
        <f>"3050323"</f>
        <v>3050323</v>
      </c>
      <c r="B4106" t="s">
        <v>12630</v>
      </c>
      <c r="C4106" t="str">
        <f>"79618000"</f>
        <v>79618000</v>
      </c>
      <c r="D4106" t="s">
        <v>12631</v>
      </c>
      <c r="F4106" t="s">
        <v>12632</v>
      </c>
      <c r="I4106" t="s">
        <v>29</v>
      </c>
      <c r="J4106" t="s">
        <v>30</v>
      </c>
      <c r="K4106" t="s">
        <v>12633</v>
      </c>
      <c r="M4106" t="s">
        <v>32</v>
      </c>
      <c r="N4106" t="str">
        <f>"1/31/2006 12:00:00 AM"</f>
        <v>1/31/2006 12:00:00 AM</v>
      </c>
      <c r="O4106" t="s">
        <v>12631</v>
      </c>
    </row>
    <row r="4107" spans="1:20" x14ac:dyDescent="0.25">
      <c r="A4107" t="str">
        <f>"3050298"</f>
        <v>3050298</v>
      </c>
      <c r="B4107" t="s">
        <v>12634</v>
      </c>
      <c r="C4107" t="str">
        <f>"82528431"</f>
        <v>82528431</v>
      </c>
      <c r="D4107" t="s">
        <v>12423</v>
      </c>
      <c r="F4107" t="s">
        <v>12635</v>
      </c>
      <c r="I4107" t="s">
        <v>29</v>
      </c>
      <c r="J4107" t="s">
        <v>30</v>
      </c>
      <c r="K4107" t="s">
        <v>31</v>
      </c>
      <c r="M4107" t="s">
        <v>32</v>
      </c>
      <c r="N4107" t="str">
        <f>"7/26/2007 12:00:00 AM"</f>
        <v>7/26/2007 12:00:00 AM</v>
      </c>
      <c r="O4107" t="s">
        <v>12423</v>
      </c>
    </row>
    <row r="4108" spans="1:20" x14ac:dyDescent="0.25">
      <c r="A4108" t="str">
        <f>"3050380"</f>
        <v>3050380</v>
      </c>
      <c r="B4108" t="s">
        <v>12636</v>
      </c>
      <c r="C4108" t="str">
        <f>"79740000"</f>
        <v>79740000</v>
      </c>
      <c r="D4108" t="s">
        <v>12637</v>
      </c>
      <c r="E4108" t="s">
        <v>12638</v>
      </c>
      <c r="F4108" t="s">
        <v>12639</v>
      </c>
      <c r="I4108" t="s">
        <v>184</v>
      </c>
      <c r="J4108" t="s">
        <v>30</v>
      </c>
      <c r="K4108" t="s">
        <v>185</v>
      </c>
      <c r="M4108" t="s">
        <v>32</v>
      </c>
      <c r="N4108" t="str">
        <f>"7/15/2004 12:00:00 AM"</f>
        <v>7/15/2004 12:00:00 AM</v>
      </c>
      <c r="O4108" t="s">
        <v>12637</v>
      </c>
      <c r="T4108" t="s">
        <v>12638</v>
      </c>
    </row>
    <row r="4109" spans="1:20" x14ac:dyDescent="0.25">
      <c r="A4109" t="str">
        <f>"3050805"</f>
        <v>3050805</v>
      </c>
      <c r="B4109" t="s">
        <v>12640</v>
      </c>
      <c r="C4109" t="str">
        <f>"82524759"</f>
        <v>82524759</v>
      </c>
      <c r="D4109" t="s">
        <v>12641</v>
      </c>
      <c r="F4109" t="s">
        <v>12642</v>
      </c>
      <c r="I4109" t="s">
        <v>184</v>
      </c>
      <c r="J4109" t="s">
        <v>30</v>
      </c>
      <c r="K4109" t="s">
        <v>12643</v>
      </c>
      <c r="M4109" t="s">
        <v>32</v>
      </c>
      <c r="N4109" t="str">
        <f>"1/20/2006 12:00:00 AM"</f>
        <v>1/20/2006 12:00:00 AM</v>
      </c>
      <c r="O4109" t="s">
        <v>12641</v>
      </c>
    </row>
    <row r="4110" spans="1:20" x14ac:dyDescent="0.25">
      <c r="A4110" t="str">
        <f>"3050573"</f>
        <v>3050573</v>
      </c>
      <c r="B4110" t="s">
        <v>12644</v>
      </c>
      <c r="C4110" t="str">
        <f>"45374000"</f>
        <v>45374000</v>
      </c>
      <c r="D4110" t="s">
        <v>12645</v>
      </c>
      <c r="F4110" t="s">
        <v>12646</v>
      </c>
      <c r="I4110" t="s">
        <v>184</v>
      </c>
      <c r="J4110" t="s">
        <v>30</v>
      </c>
      <c r="K4110" t="s">
        <v>12643</v>
      </c>
      <c r="M4110" t="s">
        <v>32</v>
      </c>
      <c r="N4110" t="str">
        <f>"1/12/2007 12:00:00 AM"</f>
        <v>1/12/2007 12:00:00 AM</v>
      </c>
      <c r="O4110" t="s">
        <v>12645</v>
      </c>
    </row>
    <row r="4111" spans="1:20" x14ac:dyDescent="0.25">
      <c r="A4111" t="str">
        <f>"3050550"</f>
        <v>3050550</v>
      </c>
      <c r="B4111" t="s">
        <v>12647</v>
      </c>
      <c r="C4111" t="str">
        <f>"82528464"</f>
        <v>82528464</v>
      </c>
      <c r="D4111" t="s">
        <v>12648</v>
      </c>
      <c r="E4111" t="s">
        <v>12649</v>
      </c>
      <c r="F4111" t="s">
        <v>12650</v>
      </c>
      <c r="I4111" t="s">
        <v>184</v>
      </c>
      <c r="J4111" t="s">
        <v>30</v>
      </c>
      <c r="K4111" t="s">
        <v>185</v>
      </c>
      <c r="M4111" t="s">
        <v>32</v>
      </c>
      <c r="N4111" t="str">
        <f>"8/6/2007 12:00:00 AM"</f>
        <v>8/6/2007 12:00:00 AM</v>
      </c>
      <c r="O4111" t="s">
        <v>12648</v>
      </c>
      <c r="T4111" t="s">
        <v>12649</v>
      </c>
    </row>
    <row r="4112" spans="1:20" x14ac:dyDescent="0.25">
      <c r="A4112" t="str">
        <f>"3050641"</f>
        <v>3050641</v>
      </c>
      <c r="B4112" t="s">
        <v>12651</v>
      </c>
      <c r="C4112" t="str">
        <f>"82517892"</f>
        <v>82517892</v>
      </c>
      <c r="D4112" t="s">
        <v>12652</v>
      </c>
      <c r="E4112" t="s">
        <v>12653</v>
      </c>
      <c r="F4112" t="s">
        <v>12654</v>
      </c>
      <c r="I4112" t="s">
        <v>184</v>
      </c>
      <c r="J4112" t="s">
        <v>30</v>
      </c>
      <c r="K4112" t="s">
        <v>185</v>
      </c>
      <c r="M4112" t="s">
        <v>32</v>
      </c>
      <c r="N4112" t="str">
        <f>"2/19/2002 12:00:00 AM"</f>
        <v>2/19/2002 12:00:00 AM</v>
      </c>
      <c r="O4112" t="s">
        <v>12652</v>
      </c>
      <c r="T4112" t="s">
        <v>12653</v>
      </c>
    </row>
    <row r="4113" spans="1:20" x14ac:dyDescent="0.25">
      <c r="A4113" t="str">
        <f>"3050878"</f>
        <v>3050878</v>
      </c>
      <c r="B4113" t="s">
        <v>12655</v>
      </c>
      <c r="C4113" t="str">
        <f>"82517892"</f>
        <v>82517892</v>
      </c>
      <c r="D4113" t="s">
        <v>12652</v>
      </c>
      <c r="E4113" t="s">
        <v>12653</v>
      </c>
      <c r="F4113" t="s">
        <v>12654</v>
      </c>
      <c r="I4113" t="s">
        <v>184</v>
      </c>
      <c r="J4113" t="s">
        <v>30</v>
      </c>
      <c r="K4113" t="s">
        <v>185</v>
      </c>
      <c r="M4113" t="s">
        <v>32</v>
      </c>
      <c r="N4113" t="str">
        <f>"2/19/2002 12:00:00 AM"</f>
        <v>2/19/2002 12:00:00 AM</v>
      </c>
      <c r="O4113" t="s">
        <v>12652</v>
      </c>
      <c r="T4113" t="s">
        <v>12653</v>
      </c>
    </row>
    <row r="4114" spans="1:20" x14ac:dyDescent="0.25">
      <c r="A4114" t="str">
        <f>"3051011"</f>
        <v>3051011</v>
      </c>
      <c r="B4114" t="s">
        <v>12656</v>
      </c>
      <c r="C4114" t="str">
        <f>"82528519"</f>
        <v>82528519</v>
      </c>
      <c r="D4114" t="s">
        <v>12657</v>
      </c>
      <c r="E4114" t="s">
        <v>12658</v>
      </c>
      <c r="F4114" t="s">
        <v>12659</v>
      </c>
      <c r="I4114" t="s">
        <v>184</v>
      </c>
      <c r="J4114" t="s">
        <v>30</v>
      </c>
      <c r="K4114" t="s">
        <v>185</v>
      </c>
      <c r="M4114" t="s">
        <v>32</v>
      </c>
      <c r="N4114" t="str">
        <f>"2/23/2009 12:00:00 AM"</f>
        <v>2/23/2009 12:00:00 AM</v>
      </c>
      <c r="O4114" t="s">
        <v>12657</v>
      </c>
      <c r="T4114" t="s">
        <v>12658</v>
      </c>
    </row>
    <row r="4115" spans="1:20" x14ac:dyDescent="0.25">
      <c r="A4115" t="str">
        <f>"3050917"</f>
        <v>3050917</v>
      </c>
      <c r="B4115" t="s">
        <v>12660</v>
      </c>
      <c r="C4115" t="str">
        <f>"82517709"</f>
        <v>82517709</v>
      </c>
      <c r="D4115" t="s">
        <v>12661</v>
      </c>
      <c r="E4115" t="s">
        <v>12662</v>
      </c>
      <c r="F4115" t="s">
        <v>12663</v>
      </c>
      <c r="I4115" t="s">
        <v>184</v>
      </c>
      <c r="J4115" t="s">
        <v>30</v>
      </c>
      <c r="K4115" t="s">
        <v>185</v>
      </c>
      <c r="M4115" t="s">
        <v>32</v>
      </c>
      <c r="N4115" t="str">
        <f>"11/20/2003 12:00:00 AM"</f>
        <v>11/20/2003 12:00:00 AM</v>
      </c>
      <c r="O4115" t="s">
        <v>12661</v>
      </c>
      <c r="T4115" t="s">
        <v>12662</v>
      </c>
    </row>
    <row r="4116" spans="1:20" x14ac:dyDescent="0.25">
      <c r="A4116" t="str">
        <f>"3050914"</f>
        <v>3050914</v>
      </c>
      <c r="B4116" t="s">
        <v>12664</v>
      </c>
      <c r="C4116" t="str">
        <f>"21363000"</f>
        <v>21363000</v>
      </c>
      <c r="D4116" t="s">
        <v>12665</v>
      </c>
      <c r="E4116" t="s">
        <v>12666</v>
      </c>
      <c r="F4116" t="s">
        <v>12667</v>
      </c>
      <c r="I4116" t="s">
        <v>184</v>
      </c>
      <c r="J4116" t="s">
        <v>30</v>
      </c>
      <c r="K4116" t="s">
        <v>185</v>
      </c>
      <c r="M4116" t="s">
        <v>32</v>
      </c>
      <c r="N4116" t="str">
        <f>"1/22/2004 12:00:00 AM"</f>
        <v>1/22/2004 12:00:00 AM</v>
      </c>
      <c r="O4116" t="s">
        <v>12665</v>
      </c>
      <c r="T4116" t="s">
        <v>12666</v>
      </c>
    </row>
    <row r="4117" spans="1:20" x14ac:dyDescent="0.25">
      <c r="A4117" t="str">
        <f>"3050916"</f>
        <v>3050916</v>
      </c>
      <c r="B4117" t="s">
        <v>12668</v>
      </c>
      <c r="C4117" t="str">
        <f>"82519604"</f>
        <v>82519604</v>
      </c>
      <c r="D4117" t="s">
        <v>12669</v>
      </c>
      <c r="F4117" t="s">
        <v>12670</v>
      </c>
      <c r="I4117" t="s">
        <v>184</v>
      </c>
      <c r="J4117" t="s">
        <v>30</v>
      </c>
      <c r="K4117" t="s">
        <v>185</v>
      </c>
      <c r="M4117" t="s">
        <v>32</v>
      </c>
      <c r="N4117" t="str">
        <f>"10/16/2002 12:00:00 AM"</f>
        <v>10/16/2002 12:00:00 AM</v>
      </c>
      <c r="O4117" t="s">
        <v>12669</v>
      </c>
    </row>
    <row r="4118" spans="1:20" x14ac:dyDescent="0.25">
      <c r="A4118" t="str">
        <f>"3050900"</f>
        <v>3050900</v>
      </c>
      <c r="B4118" t="s">
        <v>12671</v>
      </c>
      <c r="C4118" t="str">
        <f>"82529424"</f>
        <v>82529424</v>
      </c>
      <c r="D4118" t="s">
        <v>12672</v>
      </c>
      <c r="E4118" t="s">
        <v>12673</v>
      </c>
      <c r="F4118" t="s">
        <v>12674</v>
      </c>
      <c r="I4118" t="s">
        <v>184</v>
      </c>
      <c r="J4118" t="s">
        <v>30</v>
      </c>
      <c r="K4118" t="s">
        <v>185</v>
      </c>
      <c r="M4118" t="s">
        <v>32</v>
      </c>
      <c r="N4118" t="str">
        <f>"1/28/2009 12:00:00 AM"</f>
        <v>1/28/2009 12:00:00 AM</v>
      </c>
      <c r="O4118" t="s">
        <v>12672</v>
      </c>
      <c r="T4118" t="s">
        <v>12673</v>
      </c>
    </row>
    <row r="4119" spans="1:20" x14ac:dyDescent="0.25">
      <c r="A4119" t="str">
        <f>"3049647"</f>
        <v>3049647</v>
      </c>
      <c r="B4119" t="s">
        <v>12675</v>
      </c>
      <c r="C4119" t="str">
        <f>"79739000"</f>
        <v>79739000</v>
      </c>
      <c r="D4119" t="s">
        <v>12461</v>
      </c>
      <c r="F4119" t="s">
        <v>12462</v>
      </c>
      <c r="I4119" t="s">
        <v>184</v>
      </c>
      <c r="J4119" t="s">
        <v>30</v>
      </c>
      <c r="K4119" t="s">
        <v>12463</v>
      </c>
      <c r="M4119" t="s">
        <v>32</v>
      </c>
      <c r="N4119" t="str">
        <f>"2/8/2010 12:00:00 AM"</f>
        <v>2/8/2010 12:00:00 AM</v>
      </c>
      <c r="O4119" t="s">
        <v>12461</v>
      </c>
    </row>
    <row r="4120" spans="1:20" x14ac:dyDescent="0.25">
      <c r="A4120" t="str">
        <f>"3050353"</f>
        <v>3050353</v>
      </c>
      <c r="B4120" t="s">
        <v>12676</v>
      </c>
      <c r="C4120" t="str">
        <f>"82527310"</f>
        <v>82527310</v>
      </c>
      <c r="D4120" t="s">
        <v>12677</v>
      </c>
      <c r="E4120" t="s">
        <v>12678</v>
      </c>
      <c r="F4120" t="s">
        <v>12679</v>
      </c>
      <c r="I4120" t="s">
        <v>184</v>
      </c>
      <c r="J4120" t="s">
        <v>30</v>
      </c>
      <c r="K4120" t="s">
        <v>185</v>
      </c>
      <c r="M4120" t="s">
        <v>32</v>
      </c>
      <c r="N4120" t="str">
        <f>"12/20/2006 12:00:00 AM"</f>
        <v>12/20/2006 12:00:00 AM</v>
      </c>
      <c r="O4120" t="s">
        <v>12677</v>
      </c>
      <c r="T4120" t="s">
        <v>12678</v>
      </c>
    </row>
    <row r="4121" spans="1:20" x14ac:dyDescent="0.25">
      <c r="A4121" t="str">
        <f>"3047899"</f>
        <v>3047899</v>
      </c>
      <c r="B4121" t="s">
        <v>12680</v>
      </c>
      <c r="C4121" t="str">
        <f>"82528242"</f>
        <v>82528242</v>
      </c>
      <c r="D4121" t="s">
        <v>12681</v>
      </c>
      <c r="F4121" t="s">
        <v>12682</v>
      </c>
      <c r="I4121" t="s">
        <v>184</v>
      </c>
      <c r="J4121" t="s">
        <v>30</v>
      </c>
      <c r="K4121" t="s">
        <v>185</v>
      </c>
      <c r="M4121" t="s">
        <v>32</v>
      </c>
      <c r="N4121" t="str">
        <f>"6/27/2007 12:00:00 AM"</f>
        <v>6/27/2007 12:00:00 AM</v>
      </c>
      <c r="O4121" t="s">
        <v>12681</v>
      </c>
    </row>
    <row r="4122" spans="1:20" x14ac:dyDescent="0.25">
      <c r="A4122" t="str">
        <f>"3078356"</f>
        <v>3078356</v>
      </c>
      <c r="B4122" t="s">
        <v>12683</v>
      </c>
      <c r="C4122" t="str">
        <f>"82528242"</f>
        <v>82528242</v>
      </c>
      <c r="D4122" t="s">
        <v>12681</v>
      </c>
      <c r="F4122" t="s">
        <v>12682</v>
      </c>
      <c r="I4122" t="s">
        <v>184</v>
      </c>
      <c r="J4122" t="s">
        <v>30</v>
      </c>
      <c r="K4122" t="s">
        <v>185</v>
      </c>
      <c r="M4122" t="s">
        <v>32</v>
      </c>
      <c r="N4122" t="str">
        <f>"6/27/2007 12:00:00 AM"</f>
        <v>6/27/2007 12:00:00 AM</v>
      </c>
      <c r="O4122" t="s">
        <v>12681</v>
      </c>
    </row>
    <row r="4123" spans="1:20" x14ac:dyDescent="0.25">
      <c r="A4123" t="str">
        <f>"3078369"</f>
        <v>3078369</v>
      </c>
      <c r="B4123" t="s">
        <v>12684</v>
      </c>
      <c r="C4123" t="str">
        <f>"11731500"</f>
        <v>11731500</v>
      </c>
      <c r="D4123" t="s">
        <v>12685</v>
      </c>
      <c r="F4123" t="s">
        <v>12686</v>
      </c>
      <c r="I4123" t="s">
        <v>184</v>
      </c>
      <c r="J4123" t="s">
        <v>30</v>
      </c>
      <c r="K4123" t="s">
        <v>185</v>
      </c>
      <c r="M4123" t="s">
        <v>32</v>
      </c>
      <c r="N4123" t="str">
        <f>"9/19/2002 12:00:00 AM"</f>
        <v>9/19/2002 12:00:00 AM</v>
      </c>
      <c r="O4123" t="s">
        <v>12685</v>
      </c>
    </row>
    <row r="4124" spans="1:20" x14ac:dyDescent="0.25">
      <c r="A4124" t="str">
        <f>"3050769"</f>
        <v>3050769</v>
      </c>
      <c r="B4124" t="s">
        <v>12687</v>
      </c>
      <c r="C4124" t="str">
        <f>"11731500"</f>
        <v>11731500</v>
      </c>
      <c r="D4124" t="s">
        <v>12685</v>
      </c>
      <c r="F4124" t="s">
        <v>12686</v>
      </c>
      <c r="I4124" t="s">
        <v>184</v>
      </c>
      <c r="J4124" t="s">
        <v>30</v>
      </c>
      <c r="K4124" t="s">
        <v>185</v>
      </c>
      <c r="M4124" t="s">
        <v>32</v>
      </c>
      <c r="N4124" t="str">
        <f>"9/19/2002 12:00:00 AM"</f>
        <v>9/19/2002 12:00:00 AM</v>
      </c>
      <c r="O4124" t="s">
        <v>12685</v>
      </c>
    </row>
    <row r="4125" spans="1:20" x14ac:dyDescent="0.25">
      <c r="A4125" t="str">
        <f>"3047413"</f>
        <v>3047413</v>
      </c>
      <c r="B4125" t="s">
        <v>12688</v>
      </c>
      <c r="C4125" t="str">
        <f>"14977150"</f>
        <v>14977150</v>
      </c>
      <c r="D4125" t="s">
        <v>12689</v>
      </c>
      <c r="F4125" t="s">
        <v>12690</v>
      </c>
      <c r="G4125" t="s">
        <v>12691</v>
      </c>
      <c r="I4125" t="s">
        <v>184</v>
      </c>
      <c r="J4125" t="s">
        <v>30</v>
      </c>
      <c r="K4125" t="s">
        <v>185</v>
      </c>
      <c r="M4125" t="s">
        <v>32</v>
      </c>
      <c r="N4125" t="str">
        <f>"3/4/1999 12:00:00 AM"</f>
        <v>3/4/1999 12:00:00 AM</v>
      </c>
      <c r="O4125" t="s">
        <v>12689</v>
      </c>
    </row>
    <row r="4126" spans="1:20" x14ac:dyDescent="0.25">
      <c r="A4126" t="str">
        <f>"3048144"</f>
        <v>3048144</v>
      </c>
      <c r="B4126" t="s">
        <v>12692</v>
      </c>
      <c r="C4126" t="str">
        <f>"82522412"</f>
        <v>82522412</v>
      </c>
      <c r="D4126" t="s">
        <v>12693</v>
      </c>
      <c r="F4126" t="s">
        <v>12694</v>
      </c>
      <c r="I4126" t="s">
        <v>184</v>
      </c>
      <c r="J4126" t="s">
        <v>30</v>
      </c>
      <c r="K4126" t="s">
        <v>12695</v>
      </c>
      <c r="M4126" t="s">
        <v>32</v>
      </c>
      <c r="N4126" t="str">
        <f>"3/9/2005 12:00:00 AM"</f>
        <v>3/9/2005 12:00:00 AM</v>
      </c>
      <c r="O4126" t="s">
        <v>12693</v>
      </c>
    </row>
    <row r="4127" spans="1:20" x14ac:dyDescent="0.25">
      <c r="A4127" t="str">
        <f>"3048113"</f>
        <v>3048113</v>
      </c>
      <c r="B4127" t="s">
        <v>12696</v>
      </c>
      <c r="C4127" t="str">
        <f>"20377690"</f>
        <v>20377690</v>
      </c>
      <c r="D4127" t="s">
        <v>12697</v>
      </c>
      <c r="E4127" t="s">
        <v>12698</v>
      </c>
      <c r="F4127" t="s">
        <v>12699</v>
      </c>
      <c r="I4127" t="s">
        <v>184</v>
      </c>
      <c r="J4127" t="s">
        <v>30</v>
      </c>
      <c r="K4127" t="s">
        <v>185</v>
      </c>
      <c r="M4127" t="s">
        <v>32</v>
      </c>
      <c r="N4127" t="str">
        <f>"7/18/2003 12:00:00 AM"</f>
        <v>7/18/2003 12:00:00 AM</v>
      </c>
      <c r="O4127" t="s">
        <v>12697</v>
      </c>
      <c r="T4127" t="s">
        <v>12698</v>
      </c>
    </row>
    <row r="4128" spans="1:20" x14ac:dyDescent="0.25">
      <c r="A4128" t="str">
        <f>"3047751"</f>
        <v>3047751</v>
      </c>
      <c r="B4128" t="s">
        <v>12700</v>
      </c>
      <c r="C4128" t="str">
        <f>"82518718"</f>
        <v>82518718</v>
      </c>
      <c r="D4128" t="s">
        <v>12701</v>
      </c>
      <c r="E4128" t="s">
        <v>12702</v>
      </c>
      <c r="F4128" t="s">
        <v>12703</v>
      </c>
      <c r="I4128" t="s">
        <v>184</v>
      </c>
      <c r="J4128" t="s">
        <v>30</v>
      </c>
      <c r="K4128" t="s">
        <v>185</v>
      </c>
      <c r="M4128" t="s">
        <v>32</v>
      </c>
      <c r="N4128" t="str">
        <f>"6/8/2004 12:00:00 AM"</f>
        <v>6/8/2004 12:00:00 AM</v>
      </c>
      <c r="O4128" t="s">
        <v>12701</v>
      </c>
      <c r="T4128" t="s">
        <v>12702</v>
      </c>
    </row>
    <row r="4129" spans="1:20" x14ac:dyDescent="0.25">
      <c r="A4129" t="str">
        <f>"3050491"</f>
        <v>3050491</v>
      </c>
      <c r="B4129" t="s">
        <v>12704</v>
      </c>
      <c r="C4129" t="str">
        <f>"56083870"</f>
        <v>56083870</v>
      </c>
      <c r="D4129" t="s">
        <v>12705</v>
      </c>
      <c r="E4129" t="s">
        <v>12706</v>
      </c>
      <c r="F4129" t="s">
        <v>12707</v>
      </c>
      <c r="I4129" t="s">
        <v>184</v>
      </c>
      <c r="J4129" t="s">
        <v>30</v>
      </c>
      <c r="K4129" t="s">
        <v>185</v>
      </c>
      <c r="M4129" t="s">
        <v>32</v>
      </c>
      <c r="N4129" t="str">
        <f>"9/19/2002 12:00:00 AM"</f>
        <v>9/19/2002 12:00:00 AM</v>
      </c>
      <c r="O4129" t="s">
        <v>12705</v>
      </c>
      <c r="T4129" t="s">
        <v>12706</v>
      </c>
    </row>
    <row r="4130" spans="1:20" x14ac:dyDescent="0.25">
      <c r="A4130" t="str">
        <f>"3050400"</f>
        <v>3050400</v>
      </c>
      <c r="B4130" t="s">
        <v>12708</v>
      </c>
      <c r="C4130" t="str">
        <f>"82514744"</f>
        <v>82514744</v>
      </c>
      <c r="D4130" t="s">
        <v>12709</v>
      </c>
      <c r="E4130" t="s">
        <v>12710</v>
      </c>
      <c r="F4130" t="s">
        <v>12711</v>
      </c>
      <c r="I4130" t="s">
        <v>184</v>
      </c>
      <c r="J4130" t="s">
        <v>30</v>
      </c>
      <c r="K4130" t="s">
        <v>12712</v>
      </c>
      <c r="M4130" t="s">
        <v>32</v>
      </c>
      <c r="N4130" t="str">
        <f>"3/21/2005 12:00:00 AM"</f>
        <v>3/21/2005 12:00:00 AM</v>
      </c>
      <c r="O4130" t="s">
        <v>12709</v>
      </c>
      <c r="T4130" t="s">
        <v>12710</v>
      </c>
    </row>
    <row r="4131" spans="1:20" x14ac:dyDescent="0.25">
      <c r="A4131" t="str">
        <f>"3078358"</f>
        <v>3078358</v>
      </c>
      <c r="B4131" t="s">
        <v>12713</v>
      </c>
      <c r="C4131" t="str">
        <f>"51169000"</f>
        <v>51169000</v>
      </c>
      <c r="D4131" t="s">
        <v>12714</v>
      </c>
      <c r="F4131" t="s">
        <v>12715</v>
      </c>
      <c r="I4131" t="s">
        <v>184</v>
      </c>
      <c r="J4131" t="s">
        <v>30</v>
      </c>
      <c r="K4131" t="s">
        <v>185</v>
      </c>
      <c r="M4131" t="s">
        <v>32</v>
      </c>
      <c r="N4131" t="str">
        <f>"9/19/2002 12:00:00 AM"</f>
        <v>9/19/2002 12:00:00 AM</v>
      </c>
      <c r="O4131" t="s">
        <v>12714</v>
      </c>
    </row>
    <row r="4132" spans="1:20" x14ac:dyDescent="0.25">
      <c r="A4132" t="str">
        <f>"3048071"</f>
        <v>3048071</v>
      </c>
      <c r="B4132" t="s">
        <v>12716</v>
      </c>
      <c r="C4132" t="str">
        <f>"51217500"</f>
        <v>51217500</v>
      </c>
      <c r="D4132" t="s">
        <v>12717</v>
      </c>
      <c r="E4132" t="s">
        <v>12718</v>
      </c>
      <c r="F4132" t="s">
        <v>12719</v>
      </c>
      <c r="I4132" t="s">
        <v>184</v>
      </c>
      <c r="J4132" t="s">
        <v>30</v>
      </c>
      <c r="K4132" t="s">
        <v>185</v>
      </c>
      <c r="M4132" t="s">
        <v>32</v>
      </c>
      <c r="N4132" t="str">
        <f>"9/19/2002 12:00:00 AM"</f>
        <v>9/19/2002 12:00:00 AM</v>
      </c>
      <c r="O4132" t="s">
        <v>12717</v>
      </c>
      <c r="T4132" t="s">
        <v>12718</v>
      </c>
    </row>
    <row r="4133" spans="1:20" x14ac:dyDescent="0.25">
      <c r="A4133" t="str">
        <f>"3049581"</f>
        <v>3049581</v>
      </c>
      <c r="B4133" t="s">
        <v>12720</v>
      </c>
      <c r="C4133" t="str">
        <f>"82514799"</f>
        <v>82514799</v>
      </c>
      <c r="D4133" t="s">
        <v>12721</v>
      </c>
      <c r="E4133" t="s">
        <v>12722</v>
      </c>
      <c r="F4133" t="s">
        <v>12723</v>
      </c>
      <c r="I4133" t="s">
        <v>12724</v>
      </c>
      <c r="J4133" t="s">
        <v>12725</v>
      </c>
      <c r="K4133" t="s">
        <v>12726</v>
      </c>
      <c r="N4133" t="str">
        <f>"7/27/2004 12:00:00 AM"</f>
        <v>7/27/2004 12:00:00 AM</v>
      </c>
      <c r="O4133" t="s">
        <v>12721</v>
      </c>
      <c r="T4133" t="s">
        <v>12722</v>
      </c>
    </row>
    <row r="4134" spans="1:20" x14ac:dyDescent="0.25">
      <c r="A4134" t="str">
        <f>"3050478"</f>
        <v>3050478</v>
      </c>
      <c r="B4134" t="s">
        <v>12727</v>
      </c>
      <c r="C4134" t="str">
        <f>"21497500"</f>
        <v>21497500</v>
      </c>
      <c r="D4134" t="s">
        <v>12728</v>
      </c>
      <c r="E4134" t="s">
        <v>12729</v>
      </c>
      <c r="F4134" t="s">
        <v>12730</v>
      </c>
      <c r="I4134" t="s">
        <v>184</v>
      </c>
      <c r="J4134" t="s">
        <v>30</v>
      </c>
      <c r="K4134" t="s">
        <v>185</v>
      </c>
      <c r="M4134" t="s">
        <v>32</v>
      </c>
      <c r="N4134" t="str">
        <f>"1/22/2004 12:00:00 AM"</f>
        <v>1/22/2004 12:00:00 AM</v>
      </c>
      <c r="O4134" t="s">
        <v>12728</v>
      </c>
      <c r="T4134" t="s">
        <v>12729</v>
      </c>
    </row>
    <row r="4135" spans="1:20" x14ac:dyDescent="0.25">
      <c r="A4135" t="str">
        <f>"3050480"</f>
        <v>3050480</v>
      </c>
      <c r="B4135" t="s">
        <v>12731</v>
      </c>
      <c r="C4135" t="str">
        <f>"54995000"</f>
        <v>54995000</v>
      </c>
      <c r="D4135" t="s">
        <v>12732</v>
      </c>
      <c r="E4135" t="s">
        <v>12733</v>
      </c>
      <c r="F4135" t="s">
        <v>12734</v>
      </c>
      <c r="I4135" t="s">
        <v>184</v>
      </c>
      <c r="J4135" t="s">
        <v>30</v>
      </c>
      <c r="K4135" t="s">
        <v>10595</v>
      </c>
      <c r="M4135" t="s">
        <v>32</v>
      </c>
      <c r="N4135" t="str">
        <f>"9/19/2002 12:00:00 AM"</f>
        <v>9/19/2002 12:00:00 AM</v>
      </c>
      <c r="O4135" t="s">
        <v>12732</v>
      </c>
      <c r="T4135" t="s">
        <v>12733</v>
      </c>
    </row>
    <row r="4136" spans="1:20" x14ac:dyDescent="0.25">
      <c r="A4136" t="str">
        <f>"3050439"</f>
        <v>3050439</v>
      </c>
      <c r="B4136" t="s">
        <v>12735</v>
      </c>
      <c r="C4136" t="str">
        <f>"46556000"</f>
        <v>46556000</v>
      </c>
      <c r="D4136" t="s">
        <v>12532</v>
      </c>
      <c r="F4136" t="s">
        <v>12533</v>
      </c>
      <c r="I4136" t="s">
        <v>184</v>
      </c>
      <c r="J4136" t="s">
        <v>30</v>
      </c>
      <c r="K4136" t="s">
        <v>185</v>
      </c>
      <c r="M4136" t="s">
        <v>32</v>
      </c>
      <c r="N4136" t="str">
        <f>"12/17/2003 12:00:00 AM"</f>
        <v>12/17/2003 12:00:00 AM</v>
      </c>
      <c r="O4136" t="s">
        <v>12532</v>
      </c>
    </row>
    <row r="4137" spans="1:20" x14ac:dyDescent="0.25">
      <c r="A4137" t="str">
        <f>"3050894"</f>
        <v>3050894</v>
      </c>
      <c r="B4137" t="s">
        <v>12736</v>
      </c>
      <c r="C4137" t="str">
        <f>"13520000"</f>
        <v>13520000</v>
      </c>
      <c r="D4137" t="s">
        <v>12540</v>
      </c>
      <c r="F4137" t="s">
        <v>12541</v>
      </c>
      <c r="I4137" t="s">
        <v>184</v>
      </c>
      <c r="J4137" t="s">
        <v>30</v>
      </c>
      <c r="K4137" t="s">
        <v>185</v>
      </c>
      <c r="M4137" t="s">
        <v>32</v>
      </c>
      <c r="N4137" t="str">
        <f>"6/19/2003 12:00:00 AM"</f>
        <v>6/19/2003 12:00:00 AM</v>
      </c>
      <c r="O4137" t="s">
        <v>12540</v>
      </c>
    </row>
    <row r="4138" spans="1:20" x14ac:dyDescent="0.25">
      <c r="A4138" t="str">
        <f>"3050789"</f>
        <v>3050789</v>
      </c>
      <c r="B4138" t="s">
        <v>12737</v>
      </c>
      <c r="C4138" t="str">
        <f>"82522185"</f>
        <v>82522185</v>
      </c>
      <c r="D4138" t="s">
        <v>12738</v>
      </c>
      <c r="F4138" t="s">
        <v>12739</v>
      </c>
      <c r="I4138" t="s">
        <v>184</v>
      </c>
      <c r="J4138" t="s">
        <v>30</v>
      </c>
      <c r="K4138" t="s">
        <v>12740</v>
      </c>
      <c r="M4138" t="s">
        <v>32</v>
      </c>
      <c r="N4138" t="str">
        <f>"1/18/2005 12:00:00 AM"</f>
        <v>1/18/2005 12:00:00 AM</v>
      </c>
      <c r="O4138" t="s">
        <v>12738</v>
      </c>
      <c r="T4138" t="s">
        <v>12738</v>
      </c>
    </row>
    <row r="4139" spans="1:20" x14ac:dyDescent="0.25">
      <c r="A4139" t="str">
        <f>"3050981"</f>
        <v>3050981</v>
      </c>
      <c r="B4139" t="s">
        <v>12741</v>
      </c>
      <c r="C4139" t="str">
        <f>"82527666"</f>
        <v>82527666</v>
      </c>
      <c r="D4139" t="s">
        <v>12742</v>
      </c>
      <c r="F4139" t="s">
        <v>12743</v>
      </c>
      <c r="I4139" t="s">
        <v>184</v>
      </c>
      <c r="J4139" t="s">
        <v>30</v>
      </c>
      <c r="K4139" t="s">
        <v>185</v>
      </c>
      <c r="M4139" t="s">
        <v>32</v>
      </c>
      <c r="N4139" t="str">
        <f>"12/17/2008 12:00:00 AM"</f>
        <v>12/17/2008 12:00:00 AM</v>
      </c>
      <c r="O4139" t="s">
        <v>12742</v>
      </c>
    </row>
    <row r="4140" spans="1:20" x14ac:dyDescent="0.25">
      <c r="A4140" t="str">
        <f>"3048313"</f>
        <v>3048313</v>
      </c>
      <c r="B4140" t="s">
        <v>12744</v>
      </c>
      <c r="C4140" t="str">
        <f>"82528004"</f>
        <v>82528004</v>
      </c>
      <c r="D4140" t="s">
        <v>12745</v>
      </c>
      <c r="E4140" t="s">
        <v>12746</v>
      </c>
      <c r="F4140" t="s">
        <v>12747</v>
      </c>
      <c r="I4140" t="s">
        <v>29</v>
      </c>
      <c r="J4140" t="s">
        <v>30</v>
      </c>
      <c r="K4140" t="s">
        <v>31</v>
      </c>
      <c r="M4140" t="s">
        <v>32</v>
      </c>
      <c r="N4140" t="str">
        <f>"5/4/2009 12:00:00 AM"</f>
        <v>5/4/2009 12:00:00 AM</v>
      </c>
      <c r="O4140" t="s">
        <v>12745</v>
      </c>
      <c r="T4140" t="s">
        <v>12746</v>
      </c>
    </row>
    <row r="4141" spans="1:20" x14ac:dyDescent="0.25">
      <c r="A4141" t="str">
        <f>"3047573"</f>
        <v>3047573</v>
      </c>
      <c r="B4141" t="s">
        <v>12748</v>
      </c>
      <c r="C4141" t="str">
        <f>"82515455"</f>
        <v>82515455</v>
      </c>
      <c r="D4141" t="s">
        <v>12749</v>
      </c>
      <c r="E4141" t="s">
        <v>12750</v>
      </c>
      <c r="F4141" t="s">
        <v>12751</v>
      </c>
      <c r="I4141" t="s">
        <v>29</v>
      </c>
      <c r="J4141" t="s">
        <v>30</v>
      </c>
      <c r="K4141" t="s">
        <v>31</v>
      </c>
      <c r="M4141" t="s">
        <v>32</v>
      </c>
      <c r="N4141" t="str">
        <f>"8/26/2011 12:00:00 AM"</f>
        <v>8/26/2011 12:00:00 AM</v>
      </c>
      <c r="O4141" t="s">
        <v>12749</v>
      </c>
      <c r="T4141" t="s">
        <v>12750</v>
      </c>
    </row>
    <row r="4142" spans="1:20" x14ac:dyDescent="0.25">
      <c r="A4142" t="str">
        <f>"3050819"</f>
        <v>3050819</v>
      </c>
      <c r="B4142" t="s">
        <v>12752</v>
      </c>
      <c r="C4142" t="str">
        <f>"82516268"</f>
        <v>82516268</v>
      </c>
      <c r="D4142" t="s">
        <v>12753</v>
      </c>
      <c r="F4142" t="s">
        <v>12754</v>
      </c>
      <c r="I4142" t="s">
        <v>184</v>
      </c>
      <c r="J4142" t="s">
        <v>30</v>
      </c>
      <c r="K4142" t="s">
        <v>185</v>
      </c>
      <c r="M4142" t="s">
        <v>32</v>
      </c>
      <c r="N4142" t="str">
        <f>"9/19/2002 12:00:00 AM"</f>
        <v>9/19/2002 12:00:00 AM</v>
      </c>
      <c r="O4142" t="s">
        <v>12753</v>
      </c>
    </row>
    <row r="4143" spans="1:20" x14ac:dyDescent="0.25">
      <c r="A4143" t="str">
        <f>"3050575"</f>
        <v>3050575</v>
      </c>
      <c r="B4143" t="s">
        <v>12755</v>
      </c>
      <c r="C4143" t="str">
        <f>"82516267"</f>
        <v>82516267</v>
      </c>
      <c r="D4143" t="s">
        <v>12756</v>
      </c>
      <c r="F4143" t="s">
        <v>12754</v>
      </c>
      <c r="I4143" t="s">
        <v>184</v>
      </c>
      <c r="J4143" t="s">
        <v>30</v>
      </c>
      <c r="K4143" t="s">
        <v>185</v>
      </c>
      <c r="M4143" t="s">
        <v>32</v>
      </c>
      <c r="N4143" t="str">
        <f>"12/2/2002 12:00:00 AM"</f>
        <v>12/2/2002 12:00:00 AM</v>
      </c>
      <c r="O4143" t="s">
        <v>12756</v>
      </c>
    </row>
    <row r="4144" spans="1:20" x14ac:dyDescent="0.25">
      <c r="A4144" t="str">
        <f>"3053493"</f>
        <v>3053493</v>
      </c>
      <c r="B4144" t="s">
        <v>12757</v>
      </c>
      <c r="C4144" t="str">
        <f>"5044000"</f>
        <v>5044000</v>
      </c>
      <c r="D4144" t="s">
        <v>12758</v>
      </c>
      <c r="F4144" t="s">
        <v>12759</v>
      </c>
      <c r="I4144" t="s">
        <v>184</v>
      </c>
      <c r="J4144" t="s">
        <v>30</v>
      </c>
      <c r="K4144" t="s">
        <v>185</v>
      </c>
      <c r="M4144" t="s">
        <v>32</v>
      </c>
      <c r="N4144" t="str">
        <f>"9/19/2002 12:00:00 AM"</f>
        <v>9/19/2002 12:00:00 AM</v>
      </c>
      <c r="O4144" t="s">
        <v>12758</v>
      </c>
    </row>
    <row r="4145" spans="1:20" x14ac:dyDescent="0.25">
      <c r="A4145" t="str">
        <f>"3047592"</f>
        <v>3047592</v>
      </c>
      <c r="B4145" t="s">
        <v>12760</v>
      </c>
      <c r="C4145" t="str">
        <f>"71580000"</f>
        <v>71580000</v>
      </c>
      <c r="D4145" t="s">
        <v>12761</v>
      </c>
      <c r="F4145" t="s">
        <v>12762</v>
      </c>
      <c r="I4145" t="s">
        <v>29</v>
      </c>
      <c r="J4145" t="s">
        <v>30</v>
      </c>
      <c r="K4145" t="s">
        <v>31</v>
      </c>
      <c r="M4145" t="s">
        <v>32</v>
      </c>
      <c r="N4145" t="str">
        <f>"10/12/2010 12:00:00 AM"</f>
        <v>10/12/2010 12:00:00 AM</v>
      </c>
      <c r="O4145" t="s">
        <v>12761</v>
      </c>
      <c r="T4145" t="s">
        <v>12761</v>
      </c>
    </row>
    <row r="4146" spans="1:20" x14ac:dyDescent="0.25">
      <c r="A4146" t="str">
        <f>"3047602"</f>
        <v>3047602</v>
      </c>
      <c r="B4146" t="s">
        <v>12763</v>
      </c>
      <c r="C4146" t="str">
        <f>"18221000"</f>
        <v>18221000</v>
      </c>
      <c r="D4146" t="s">
        <v>12764</v>
      </c>
      <c r="F4146" t="s">
        <v>12765</v>
      </c>
      <c r="I4146" t="s">
        <v>29</v>
      </c>
      <c r="J4146" t="s">
        <v>30</v>
      </c>
      <c r="K4146" t="s">
        <v>31</v>
      </c>
      <c r="M4146" t="s">
        <v>32</v>
      </c>
      <c r="N4146" t="str">
        <f>"4/13/2005 12:00:00 AM"</f>
        <v>4/13/2005 12:00:00 AM</v>
      </c>
      <c r="O4146" t="s">
        <v>12764</v>
      </c>
    </row>
    <row r="4147" spans="1:20" x14ac:dyDescent="0.25">
      <c r="A4147" t="str">
        <f>"3048276"</f>
        <v>3048276</v>
      </c>
      <c r="B4147" t="s">
        <v>12766</v>
      </c>
      <c r="C4147" t="str">
        <f>"18221000"</f>
        <v>18221000</v>
      </c>
      <c r="D4147" t="s">
        <v>12764</v>
      </c>
      <c r="F4147" t="s">
        <v>12765</v>
      </c>
      <c r="I4147" t="s">
        <v>29</v>
      </c>
      <c r="J4147" t="s">
        <v>30</v>
      </c>
      <c r="K4147" t="s">
        <v>31</v>
      </c>
      <c r="M4147" t="s">
        <v>32</v>
      </c>
      <c r="N4147" t="str">
        <f>"4/13/2005 12:00:00 AM"</f>
        <v>4/13/2005 12:00:00 AM</v>
      </c>
      <c r="O4147" t="s">
        <v>12764</v>
      </c>
    </row>
    <row r="4148" spans="1:20" x14ac:dyDescent="0.25">
      <c r="A4148" t="str">
        <f>"3048291"</f>
        <v>3048291</v>
      </c>
      <c r="B4148" t="s">
        <v>12767</v>
      </c>
      <c r="C4148" t="str">
        <f>"18221000"</f>
        <v>18221000</v>
      </c>
      <c r="D4148" t="s">
        <v>12764</v>
      </c>
      <c r="F4148" t="s">
        <v>12765</v>
      </c>
      <c r="I4148" t="s">
        <v>29</v>
      </c>
      <c r="J4148" t="s">
        <v>30</v>
      </c>
      <c r="K4148" t="s">
        <v>31</v>
      </c>
      <c r="M4148" t="s">
        <v>32</v>
      </c>
      <c r="N4148" t="str">
        <f>"4/13/2005 12:00:00 AM"</f>
        <v>4/13/2005 12:00:00 AM</v>
      </c>
      <c r="O4148" t="s">
        <v>12764</v>
      </c>
    </row>
    <row r="4149" spans="1:20" x14ac:dyDescent="0.25">
      <c r="A4149" t="str">
        <f>"3048341"</f>
        <v>3048341</v>
      </c>
      <c r="B4149" t="s">
        <v>12768</v>
      </c>
      <c r="C4149" t="str">
        <f>"82529649"</f>
        <v>82529649</v>
      </c>
      <c r="D4149" t="s">
        <v>12769</v>
      </c>
      <c r="E4149" t="s">
        <v>12770</v>
      </c>
      <c r="F4149" t="s">
        <v>12771</v>
      </c>
      <c r="I4149" t="s">
        <v>29</v>
      </c>
      <c r="J4149" t="s">
        <v>30</v>
      </c>
      <c r="K4149" t="s">
        <v>31</v>
      </c>
      <c r="M4149" t="s">
        <v>32</v>
      </c>
      <c r="N4149" t="str">
        <f>"2/11/2010 12:00:00 AM"</f>
        <v>2/11/2010 12:00:00 AM</v>
      </c>
      <c r="O4149" t="s">
        <v>12769</v>
      </c>
      <c r="T4149" t="s">
        <v>12770</v>
      </c>
    </row>
    <row r="4150" spans="1:20" x14ac:dyDescent="0.25">
      <c r="A4150" t="str">
        <f>"3047603"</f>
        <v>3047603</v>
      </c>
      <c r="B4150" t="s">
        <v>12772</v>
      </c>
      <c r="C4150" t="str">
        <f>"82530348"</f>
        <v>82530348</v>
      </c>
      <c r="D4150" t="s">
        <v>12773</v>
      </c>
      <c r="F4150" t="s">
        <v>12774</v>
      </c>
      <c r="I4150" t="s">
        <v>29</v>
      </c>
      <c r="J4150" t="s">
        <v>30</v>
      </c>
      <c r="K4150" t="s">
        <v>31</v>
      </c>
      <c r="M4150" t="s">
        <v>32</v>
      </c>
      <c r="N4150" t="str">
        <f>"1/7/2009 12:00:00 AM"</f>
        <v>1/7/2009 12:00:00 AM</v>
      </c>
      <c r="O4150" t="s">
        <v>12773</v>
      </c>
    </row>
    <row r="4151" spans="1:20" x14ac:dyDescent="0.25">
      <c r="A4151" t="str">
        <f>"3047439"</f>
        <v>3047439</v>
      </c>
      <c r="B4151" t="s">
        <v>12775</v>
      </c>
      <c r="C4151" t="str">
        <f>"82527225"</f>
        <v>82527225</v>
      </c>
      <c r="D4151" t="s">
        <v>12776</v>
      </c>
      <c r="F4151" t="s">
        <v>12777</v>
      </c>
      <c r="I4151" t="s">
        <v>1176</v>
      </c>
      <c r="J4151" t="s">
        <v>30</v>
      </c>
      <c r="K4151" t="s">
        <v>1177</v>
      </c>
      <c r="M4151" t="s">
        <v>32</v>
      </c>
      <c r="N4151" t="str">
        <f>"2/11/2010 12:00:00 AM"</f>
        <v>2/11/2010 12:00:00 AM</v>
      </c>
      <c r="O4151" t="s">
        <v>12776</v>
      </c>
    </row>
    <row r="4152" spans="1:20" x14ac:dyDescent="0.25">
      <c r="A4152" t="str">
        <f>"3048240"</f>
        <v>3048240</v>
      </c>
      <c r="B4152" t="s">
        <v>12778</v>
      </c>
      <c r="C4152" t="str">
        <f>"82529698"</f>
        <v>82529698</v>
      </c>
      <c r="D4152" t="s">
        <v>12779</v>
      </c>
      <c r="F4152" t="s">
        <v>12780</v>
      </c>
      <c r="I4152" t="s">
        <v>29</v>
      </c>
      <c r="J4152" t="s">
        <v>30</v>
      </c>
      <c r="K4152" t="s">
        <v>31</v>
      </c>
      <c r="M4152" t="s">
        <v>32</v>
      </c>
      <c r="N4152" t="str">
        <f>"6/9/2008 12:00:00 AM"</f>
        <v>6/9/2008 12:00:00 AM</v>
      </c>
      <c r="O4152" t="s">
        <v>12779</v>
      </c>
    </row>
    <row r="4153" spans="1:20" x14ac:dyDescent="0.25">
      <c r="A4153" t="str">
        <f>"3050890"</f>
        <v>3050890</v>
      </c>
      <c r="B4153" t="s">
        <v>12781</v>
      </c>
      <c r="C4153" t="str">
        <f>"82519529"</f>
        <v>82519529</v>
      </c>
      <c r="D4153" t="s">
        <v>12782</v>
      </c>
      <c r="E4153" t="s">
        <v>12783</v>
      </c>
      <c r="F4153" t="s">
        <v>12784</v>
      </c>
      <c r="I4153" t="s">
        <v>184</v>
      </c>
      <c r="J4153" t="s">
        <v>30</v>
      </c>
      <c r="K4153" t="s">
        <v>12785</v>
      </c>
      <c r="M4153" t="s">
        <v>32</v>
      </c>
      <c r="N4153" t="str">
        <f>"6/24/2005 12:00:00 AM"</f>
        <v>6/24/2005 12:00:00 AM</v>
      </c>
      <c r="O4153" t="s">
        <v>12782</v>
      </c>
      <c r="T4153" t="s">
        <v>12783</v>
      </c>
    </row>
    <row r="4154" spans="1:20" x14ac:dyDescent="0.25">
      <c r="A4154" t="str">
        <f>"3050628"</f>
        <v>3050628</v>
      </c>
      <c r="B4154" t="s">
        <v>12786</v>
      </c>
      <c r="C4154" t="str">
        <f>"82526275"</f>
        <v>82526275</v>
      </c>
      <c r="D4154" t="s">
        <v>12787</v>
      </c>
      <c r="F4154" t="s">
        <v>12788</v>
      </c>
      <c r="I4154" t="s">
        <v>4594</v>
      </c>
      <c r="J4154" t="s">
        <v>1046</v>
      </c>
      <c r="K4154" t="s">
        <v>4595</v>
      </c>
      <c r="M4154" t="s">
        <v>32</v>
      </c>
      <c r="N4154" t="str">
        <f>"1/25/2007 12:00:00 AM"</f>
        <v>1/25/2007 12:00:00 AM</v>
      </c>
      <c r="O4154" t="s">
        <v>12787</v>
      </c>
      <c r="T4154" t="s">
        <v>12787</v>
      </c>
    </row>
    <row r="4155" spans="1:20" x14ac:dyDescent="0.25">
      <c r="A4155" t="str">
        <f>"3051069"</f>
        <v>3051069</v>
      </c>
      <c r="B4155" t="s">
        <v>12789</v>
      </c>
      <c r="C4155" t="str">
        <f>"82518470"</f>
        <v>82518470</v>
      </c>
      <c r="D4155" t="s">
        <v>12790</v>
      </c>
      <c r="F4155" t="s">
        <v>10849</v>
      </c>
      <c r="I4155" t="s">
        <v>29</v>
      </c>
      <c r="J4155" t="s">
        <v>30</v>
      </c>
      <c r="K4155" t="s">
        <v>31</v>
      </c>
      <c r="M4155" t="s">
        <v>32</v>
      </c>
      <c r="N4155" t="str">
        <f>"6/15/2005 12:00:00 AM"</f>
        <v>6/15/2005 12:00:00 AM</v>
      </c>
      <c r="O4155" t="s">
        <v>12790</v>
      </c>
    </row>
    <row r="4156" spans="1:20" x14ac:dyDescent="0.25">
      <c r="A4156" t="str">
        <f>"3051370"</f>
        <v>3051370</v>
      </c>
      <c r="B4156" t="s">
        <v>12791</v>
      </c>
      <c r="C4156" t="str">
        <f>"14048000"</f>
        <v>14048000</v>
      </c>
      <c r="D4156" t="s">
        <v>10848</v>
      </c>
      <c r="E4156" t="s">
        <v>12792</v>
      </c>
      <c r="F4156" t="s">
        <v>10849</v>
      </c>
      <c r="I4156" t="s">
        <v>29</v>
      </c>
      <c r="J4156" t="s">
        <v>30</v>
      </c>
      <c r="K4156" t="s">
        <v>12793</v>
      </c>
      <c r="M4156" t="s">
        <v>32</v>
      </c>
      <c r="N4156" t="str">
        <f>"1/12/2006 12:00:00 AM"</f>
        <v>1/12/2006 12:00:00 AM</v>
      </c>
      <c r="O4156" t="s">
        <v>10848</v>
      </c>
      <c r="T4156" t="s">
        <v>12792</v>
      </c>
    </row>
    <row r="4157" spans="1:20" x14ac:dyDescent="0.25">
      <c r="A4157" t="str">
        <f>"3051166"</f>
        <v>3051166</v>
      </c>
      <c r="B4157" t="s">
        <v>12794</v>
      </c>
      <c r="C4157" t="str">
        <f>"14048000"</f>
        <v>14048000</v>
      </c>
      <c r="D4157" t="s">
        <v>10848</v>
      </c>
      <c r="E4157" t="s">
        <v>12792</v>
      </c>
      <c r="F4157" t="s">
        <v>10849</v>
      </c>
      <c r="I4157" t="s">
        <v>29</v>
      </c>
      <c r="J4157" t="s">
        <v>30</v>
      </c>
      <c r="K4157" t="s">
        <v>12793</v>
      </c>
      <c r="M4157" t="s">
        <v>32</v>
      </c>
      <c r="N4157" t="str">
        <f>"1/12/2006 12:00:00 AM"</f>
        <v>1/12/2006 12:00:00 AM</v>
      </c>
      <c r="O4157" t="s">
        <v>10848</v>
      </c>
      <c r="T4157" t="s">
        <v>12792</v>
      </c>
    </row>
    <row r="4158" spans="1:20" x14ac:dyDescent="0.25">
      <c r="A4158" t="str">
        <f>"3051413"</f>
        <v>3051413</v>
      </c>
      <c r="B4158" t="s">
        <v>12795</v>
      </c>
      <c r="C4158" t="str">
        <f>"73380000"</f>
        <v>73380000</v>
      </c>
      <c r="D4158" t="s">
        <v>12796</v>
      </c>
      <c r="F4158" t="s">
        <v>12797</v>
      </c>
      <c r="I4158" t="s">
        <v>29</v>
      </c>
      <c r="J4158" t="s">
        <v>30</v>
      </c>
      <c r="K4158" t="s">
        <v>31</v>
      </c>
      <c r="M4158" t="s">
        <v>32</v>
      </c>
      <c r="N4158" t="str">
        <f>"9/20/2002 12:00:00 AM"</f>
        <v>9/20/2002 12:00:00 AM</v>
      </c>
      <c r="O4158" t="s">
        <v>12796</v>
      </c>
      <c r="T4158" t="s">
        <v>12796</v>
      </c>
    </row>
    <row r="4159" spans="1:20" x14ac:dyDescent="0.25">
      <c r="A4159" t="str">
        <f>"3098640"</f>
        <v>3098640</v>
      </c>
      <c r="B4159" t="s">
        <v>12798</v>
      </c>
      <c r="C4159" t="str">
        <f>"73380000"</f>
        <v>73380000</v>
      </c>
      <c r="D4159" t="s">
        <v>12796</v>
      </c>
      <c r="F4159" t="s">
        <v>12797</v>
      </c>
      <c r="I4159" t="s">
        <v>29</v>
      </c>
      <c r="J4159" t="s">
        <v>30</v>
      </c>
      <c r="K4159" t="s">
        <v>31</v>
      </c>
      <c r="M4159" t="s">
        <v>32</v>
      </c>
      <c r="N4159" t="str">
        <f>"9/20/2002 12:00:00 AM"</f>
        <v>9/20/2002 12:00:00 AM</v>
      </c>
      <c r="O4159" t="s">
        <v>12796</v>
      </c>
      <c r="T4159" t="s">
        <v>12796</v>
      </c>
    </row>
    <row r="4160" spans="1:20" x14ac:dyDescent="0.25">
      <c r="A4160" t="str">
        <f>"3051297"</f>
        <v>3051297</v>
      </c>
      <c r="B4160" t="s">
        <v>12799</v>
      </c>
      <c r="C4160" t="str">
        <f>"82524578"</f>
        <v>82524578</v>
      </c>
      <c r="D4160" t="s">
        <v>12800</v>
      </c>
      <c r="E4160" t="s">
        <v>12801</v>
      </c>
      <c r="F4160" t="s">
        <v>12802</v>
      </c>
      <c r="I4160" t="s">
        <v>29</v>
      </c>
      <c r="J4160" t="s">
        <v>30</v>
      </c>
      <c r="K4160" t="s">
        <v>12793</v>
      </c>
      <c r="M4160" t="s">
        <v>32</v>
      </c>
      <c r="N4160" t="str">
        <f>"9/19/2007 12:00:00 AM"</f>
        <v>9/19/2007 12:00:00 AM</v>
      </c>
      <c r="O4160" t="s">
        <v>12800</v>
      </c>
      <c r="T4160" t="s">
        <v>12801</v>
      </c>
    </row>
    <row r="4161" spans="1:20" x14ac:dyDescent="0.25">
      <c r="A4161" t="str">
        <f>"3051415"</f>
        <v>3051415</v>
      </c>
      <c r="B4161" t="s">
        <v>12803</v>
      </c>
      <c r="C4161" t="str">
        <f>"82524052"</f>
        <v>82524052</v>
      </c>
      <c r="D4161" t="s">
        <v>12804</v>
      </c>
      <c r="F4161" t="s">
        <v>12805</v>
      </c>
      <c r="I4161" t="s">
        <v>29</v>
      </c>
      <c r="J4161" t="s">
        <v>30</v>
      </c>
      <c r="K4161" t="s">
        <v>12806</v>
      </c>
      <c r="M4161" t="s">
        <v>32</v>
      </c>
      <c r="N4161" t="str">
        <f>"9/19/2007 12:00:00 AM"</f>
        <v>9/19/2007 12:00:00 AM</v>
      </c>
      <c r="O4161" t="s">
        <v>12804</v>
      </c>
      <c r="T4161" t="s">
        <v>12804</v>
      </c>
    </row>
    <row r="4162" spans="1:20" x14ac:dyDescent="0.25">
      <c r="A4162" t="str">
        <f>"3048201"</f>
        <v>3048201</v>
      </c>
      <c r="B4162" t="s">
        <v>12807</v>
      </c>
      <c r="C4162" t="str">
        <f>"82524052"</f>
        <v>82524052</v>
      </c>
      <c r="D4162" t="s">
        <v>12804</v>
      </c>
      <c r="F4162" t="s">
        <v>12805</v>
      </c>
      <c r="I4162" t="s">
        <v>29</v>
      </c>
      <c r="J4162" t="s">
        <v>30</v>
      </c>
      <c r="K4162" t="s">
        <v>12806</v>
      </c>
      <c r="M4162" t="s">
        <v>32</v>
      </c>
      <c r="N4162" t="str">
        <f>"9/19/2007 12:00:00 AM"</f>
        <v>9/19/2007 12:00:00 AM</v>
      </c>
      <c r="O4162" t="s">
        <v>12804</v>
      </c>
      <c r="T4162" t="s">
        <v>12804</v>
      </c>
    </row>
    <row r="4163" spans="1:20" x14ac:dyDescent="0.25">
      <c r="A4163" t="str">
        <f>"3053061"</f>
        <v>3053061</v>
      </c>
      <c r="B4163" t="s">
        <v>12808</v>
      </c>
      <c r="C4163" t="str">
        <f>"82527526"</f>
        <v>82527526</v>
      </c>
      <c r="D4163" t="s">
        <v>12809</v>
      </c>
      <c r="E4163" t="s">
        <v>12810</v>
      </c>
      <c r="F4163" t="s">
        <v>12811</v>
      </c>
      <c r="I4163" t="s">
        <v>29</v>
      </c>
      <c r="J4163" t="s">
        <v>30</v>
      </c>
      <c r="K4163" t="s">
        <v>31</v>
      </c>
      <c r="M4163" t="s">
        <v>32</v>
      </c>
      <c r="N4163" t="str">
        <f>"2/8/2007 12:00:00 AM"</f>
        <v>2/8/2007 12:00:00 AM</v>
      </c>
      <c r="O4163" t="s">
        <v>12809</v>
      </c>
      <c r="T4163" t="s">
        <v>12810</v>
      </c>
    </row>
    <row r="4164" spans="1:20" x14ac:dyDescent="0.25">
      <c r="A4164" t="str">
        <f>"3053118"</f>
        <v>3053118</v>
      </c>
      <c r="B4164" t="s">
        <v>12812</v>
      </c>
      <c r="C4164" t="str">
        <f>"82517908"</f>
        <v>82517908</v>
      </c>
      <c r="D4164" t="s">
        <v>12813</v>
      </c>
      <c r="E4164" t="s">
        <v>12814</v>
      </c>
      <c r="F4164" t="s">
        <v>12815</v>
      </c>
      <c r="I4164" t="s">
        <v>29</v>
      </c>
      <c r="J4164" t="s">
        <v>30</v>
      </c>
      <c r="K4164" t="s">
        <v>31</v>
      </c>
      <c r="M4164" t="s">
        <v>32</v>
      </c>
      <c r="N4164" t="str">
        <f>"2/20/2002 12:00:00 AM"</f>
        <v>2/20/2002 12:00:00 AM</v>
      </c>
      <c r="O4164" t="s">
        <v>12813</v>
      </c>
      <c r="T4164" t="s">
        <v>12814</v>
      </c>
    </row>
    <row r="4165" spans="1:20" x14ac:dyDescent="0.25">
      <c r="A4165" t="str">
        <f>"3048266"</f>
        <v>3048266</v>
      </c>
      <c r="B4165" t="s">
        <v>12816</v>
      </c>
      <c r="C4165" t="str">
        <f>"12416500"</f>
        <v>12416500</v>
      </c>
      <c r="D4165" t="s">
        <v>12817</v>
      </c>
      <c r="F4165" t="s">
        <v>12818</v>
      </c>
      <c r="I4165" t="s">
        <v>29</v>
      </c>
      <c r="J4165" t="s">
        <v>30</v>
      </c>
      <c r="K4165" t="s">
        <v>31</v>
      </c>
      <c r="M4165" t="s">
        <v>32</v>
      </c>
      <c r="N4165" t="str">
        <f>"9/20/2002 12:00:00 AM"</f>
        <v>9/20/2002 12:00:00 AM</v>
      </c>
      <c r="O4165" t="s">
        <v>12817</v>
      </c>
    </row>
    <row r="4166" spans="1:20" x14ac:dyDescent="0.25">
      <c r="A4166" t="str">
        <f>"3078386"</f>
        <v>3078386</v>
      </c>
      <c r="B4166" t="s">
        <v>12819</v>
      </c>
      <c r="C4166" t="str">
        <f>"75936000"</f>
        <v>75936000</v>
      </c>
      <c r="D4166" t="s">
        <v>9361</v>
      </c>
      <c r="F4166" t="s">
        <v>9363</v>
      </c>
      <c r="I4166" t="s">
        <v>29</v>
      </c>
      <c r="J4166" t="s">
        <v>30</v>
      </c>
      <c r="K4166" t="s">
        <v>31</v>
      </c>
      <c r="M4166" t="s">
        <v>32</v>
      </c>
      <c r="N4166" t="str">
        <f>"9/20/2002 12:00:00 AM"</f>
        <v>9/20/2002 12:00:00 AM</v>
      </c>
      <c r="O4166" t="s">
        <v>9361</v>
      </c>
    </row>
    <row r="4167" spans="1:20" x14ac:dyDescent="0.25">
      <c r="A4167" t="str">
        <f>"3047448"</f>
        <v>3047448</v>
      </c>
      <c r="B4167" t="s">
        <v>12820</v>
      </c>
      <c r="C4167" t="str">
        <f>"82525806"</f>
        <v>82525806</v>
      </c>
      <c r="D4167" t="s">
        <v>12821</v>
      </c>
      <c r="F4167" t="s">
        <v>12822</v>
      </c>
      <c r="I4167" t="s">
        <v>29</v>
      </c>
      <c r="J4167" t="s">
        <v>30</v>
      </c>
      <c r="K4167" t="s">
        <v>31</v>
      </c>
      <c r="M4167" t="s">
        <v>32</v>
      </c>
      <c r="N4167" t="str">
        <f>"3/15/2006 12:00:00 AM"</f>
        <v>3/15/2006 12:00:00 AM</v>
      </c>
      <c r="O4167" t="s">
        <v>12821</v>
      </c>
    </row>
    <row r="4168" spans="1:20" x14ac:dyDescent="0.25">
      <c r="A4168" t="str">
        <f>"3047485"</f>
        <v>3047485</v>
      </c>
      <c r="B4168" t="s">
        <v>12823</v>
      </c>
      <c r="C4168" t="str">
        <f>"82525806"</f>
        <v>82525806</v>
      </c>
      <c r="D4168" t="s">
        <v>12821</v>
      </c>
      <c r="F4168" t="s">
        <v>12822</v>
      </c>
      <c r="I4168" t="s">
        <v>29</v>
      </c>
      <c r="J4168" t="s">
        <v>30</v>
      </c>
      <c r="K4168" t="s">
        <v>31</v>
      </c>
      <c r="M4168" t="s">
        <v>32</v>
      </c>
      <c r="N4168" t="str">
        <f>"3/15/2006 12:00:00 AM"</f>
        <v>3/15/2006 12:00:00 AM</v>
      </c>
      <c r="O4168" t="s">
        <v>12821</v>
      </c>
    </row>
    <row r="4169" spans="1:20" x14ac:dyDescent="0.25">
      <c r="A4169" t="str">
        <f>"3048271"</f>
        <v>3048271</v>
      </c>
      <c r="B4169" t="s">
        <v>12824</v>
      </c>
      <c r="C4169" t="str">
        <f>"68700000"</f>
        <v>68700000</v>
      </c>
      <c r="D4169" t="s">
        <v>12825</v>
      </c>
      <c r="E4169" t="s">
        <v>12826</v>
      </c>
      <c r="F4169" t="s">
        <v>12827</v>
      </c>
      <c r="I4169" t="s">
        <v>29</v>
      </c>
      <c r="J4169" t="s">
        <v>30</v>
      </c>
      <c r="K4169" t="s">
        <v>12828</v>
      </c>
      <c r="M4169" t="s">
        <v>32</v>
      </c>
      <c r="N4169" t="str">
        <f>"1/11/2006 12:00:00 AM"</f>
        <v>1/11/2006 12:00:00 AM</v>
      </c>
      <c r="O4169" t="s">
        <v>12825</v>
      </c>
      <c r="T4169" t="s">
        <v>12826</v>
      </c>
    </row>
    <row r="4170" spans="1:20" x14ac:dyDescent="0.25">
      <c r="A4170" t="str">
        <f>"3048202"</f>
        <v>3048202</v>
      </c>
      <c r="B4170" t="s">
        <v>12829</v>
      </c>
      <c r="C4170" t="str">
        <f>"68700000"</f>
        <v>68700000</v>
      </c>
      <c r="D4170" t="s">
        <v>12825</v>
      </c>
      <c r="E4170" t="s">
        <v>12826</v>
      </c>
      <c r="F4170" t="s">
        <v>12827</v>
      </c>
      <c r="I4170" t="s">
        <v>29</v>
      </c>
      <c r="J4170" t="s">
        <v>30</v>
      </c>
      <c r="K4170" t="s">
        <v>12828</v>
      </c>
      <c r="M4170" t="s">
        <v>32</v>
      </c>
      <c r="N4170" t="str">
        <f>"1/11/2006 12:00:00 AM"</f>
        <v>1/11/2006 12:00:00 AM</v>
      </c>
      <c r="O4170" t="s">
        <v>12825</v>
      </c>
      <c r="T4170" t="s">
        <v>12826</v>
      </c>
    </row>
    <row r="4171" spans="1:20" x14ac:dyDescent="0.25">
      <c r="A4171" t="str">
        <f>"3078389"</f>
        <v>3078389</v>
      </c>
      <c r="B4171" t="s">
        <v>12830</v>
      </c>
      <c r="C4171" t="str">
        <f>"68700000"</f>
        <v>68700000</v>
      </c>
      <c r="D4171" t="s">
        <v>12825</v>
      </c>
      <c r="E4171" t="s">
        <v>12826</v>
      </c>
      <c r="F4171" t="s">
        <v>12827</v>
      </c>
      <c r="I4171" t="s">
        <v>29</v>
      </c>
      <c r="J4171" t="s">
        <v>30</v>
      </c>
      <c r="K4171" t="s">
        <v>12828</v>
      </c>
      <c r="M4171" t="s">
        <v>32</v>
      </c>
      <c r="N4171" t="str">
        <f>"1/11/2006 12:00:00 AM"</f>
        <v>1/11/2006 12:00:00 AM</v>
      </c>
      <c r="O4171" t="s">
        <v>12825</v>
      </c>
      <c r="T4171" t="s">
        <v>12826</v>
      </c>
    </row>
    <row r="4172" spans="1:20" x14ac:dyDescent="0.25">
      <c r="A4172" t="str">
        <f>"3048237"</f>
        <v>3048237</v>
      </c>
      <c r="B4172" t="s">
        <v>12831</v>
      </c>
      <c r="C4172" t="str">
        <f>"76140000"</f>
        <v>76140000</v>
      </c>
      <c r="D4172" t="s">
        <v>12832</v>
      </c>
      <c r="E4172" t="s">
        <v>12833</v>
      </c>
      <c r="F4172" t="s">
        <v>12834</v>
      </c>
      <c r="I4172" t="s">
        <v>29</v>
      </c>
      <c r="J4172" t="s">
        <v>30</v>
      </c>
      <c r="K4172" t="s">
        <v>31</v>
      </c>
      <c r="M4172" t="s">
        <v>32</v>
      </c>
      <c r="N4172" t="str">
        <f>"6/24/2004 12:00:00 AM"</f>
        <v>6/24/2004 12:00:00 AM</v>
      </c>
      <c r="O4172" t="s">
        <v>12832</v>
      </c>
      <c r="T4172" t="s">
        <v>12833</v>
      </c>
    </row>
    <row r="4173" spans="1:20" x14ac:dyDescent="0.25">
      <c r="A4173" t="str">
        <f>"3048226"</f>
        <v>3048226</v>
      </c>
      <c r="B4173" t="s">
        <v>12835</v>
      </c>
      <c r="C4173" t="str">
        <f>"82515345"</f>
        <v>82515345</v>
      </c>
      <c r="D4173" t="s">
        <v>12836</v>
      </c>
      <c r="E4173" t="s">
        <v>12837</v>
      </c>
      <c r="F4173" t="s">
        <v>12838</v>
      </c>
      <c r="I4173" t="s">
        <v>29</v>
      </c>
      <c r="J4173" t="s">
        <v>30</v>
      </c>
      <c r="K4173" t="s">
        <v>12839</v>
      </c>
      <c r="M4173" t="s">
        <v>32</v>
      </c>
      <c r="N4173" t="str">
        <f>"3/5/2003 12:00:00 AM"</f>
        <v>3/5/2003 12:00:00 AM</v>
      </c>
      <c r="O4173" t="s">
        <v>12836</v>
      </c>
      <c r="T4173" t="s">
        <v>12837</v>
      </c>
    </row>
    <row r="4174" spans="1:20" x14ac:dyDescent="0.25">
      <c r="A4174" t="str">
        <f>"3078348"</f>
        <v>3078348</v>
      </c>
      <c r="B4174" t="s">
        <v>12840</v>
      </c>
      <c r="C4174" t="str">
        <f>"78395000"</f>
        <v>78395000</v>
      </c>
      <c r="D4174" t="s">
        <v>12841</v>
      </c>
      <c r="F4174" t="s">
        <v>12627</v>
      </c>
      <c r="I4174" t="s">
        <v>12628</v>
      </c>
      <c r="J4174" t="s">
        <v>30</v>
      </c>
      <c r="K4174" t="s">
        <v>12842</v>
      </c>
      <c r="M4174" t="s">
        <v>32</v>
      </c>
      <c r="N4174" t="str">
        <f>"6/29/2004 12:00:00 AM"</f>
        <v>6/29/2004 12:00:00 AM</v>
      </c>
      <c r="O4174" t="s">
        <v>12841</v>
      </c>
    </row>
    <row r="4175" spans="1:20" x14ac:dyDescent="0.25">
      <c r="A4175" t="str">
        <f>"3050896"</f>
        <v>3050896</v>
      </c>
      <c r="B4175" t="s">
        <v>12843</v>
      </c>
      <c r="C4175" t="str">
        <f>"71271000"</f>
        <v>71271000</v>
      </c>
      <c r="D4175" t="s">
        <v>12844</v>
      </c>
      <c r="F4175" t="s">
        <v>12845</v>
      </c>
      <c r="I4175" t="s">
        <v>184</v>
      </c>
      <c r="J4175" t="s">
        <v>30</v>
      </c>
      <c r="K4175" t="s">
        <v>185</v>
      </c>
      <c r="M4175" t="s">
        <v>32</v>
      </c>
      <c r="N4175" t="str">
        <f>"3/29/2004 12:00:00 AM"</f>
        <v>3/29/2004 12:00:00 AM</v>
      </c>
      <c r="O4175" t="s">
        <v>12844</v>
      </c>
    </row>
    <row r="4176" spans="1:20" x14ac:dyDescent="0.25">
      <c r="A4176" t="str">
        <f>"3050611"</f>
        <v>3050611</v>
      </c>
      <c r="B4176" t="s">
        <v>12846</v>
      </c>
      <c r="C4176" t="str">
        <f>"71281000"</f>
        <v>71281000</v>
      </c>
      <c r="D4176" t="s">
        <v>12847</v>
      </c>
      <c r="E4176" t="s">
        <v>12848</v>
      </c>
      <c r="F4176" t="s">
        <v>12845</v>
      </c>
      <c r="I4176" t="s">
        <v>184</v>
      </c>
      <c r="J4176" t="s">
        <v>30</v>
      </c>
      <c r="K4176" t="s">
        <v>185</v>
      </c>
      <c r="M4176" t="s">
        <v>32</v>
      </c>
      <c r="N4176" t="str">
        <f>"6/15/2004 12:00:00 AM"</f>
        <v>6/15/2004 12:00:00 AM</v>
      </c>
      <c r="O4176" t="s">
        <v>12847</v>
      </c>
      <c r="T4176" t="s">
        <v>12848</v>
      </c>
    </row>
    <row r="4177" spans="1:20" x14ac:dyDescent="0.25">
      <c r="A4177" t="str">
        <f>"3051475"</f>
        <v>3051475</v>
      </c>
      <c r="B4177" t="s">
        <v>12849</v>
      </c>
      <c r="C4177" t="str">
        <f>"69028000"</f>
        <v>69028000</v>
      </c>
      <c r="D4177" t="s">
        <v>12850</v>
      </c>
      <c r="E4177" t="s">
        <v>12851</v>
      </c>
      <c r="F4177" t="s">
        <v>12852</v>
      </c>
      <c r="I4177" t="s">
        <v>29</v>
      </c>
      <c r="J4177" t="s">
        <v>30</v>
      </c>
      <c r="K4177" t="s">
        <v>31</v>
      </c>
      <c r="M4177" t="s">
        <v>32</v>
      </c>
      <c r="N4177" t="str">
        <f>"5/17/2004 12:00:00 AM"</f>
        <v>5/17/2004 12:00:00 AM</v>
      </c>
      <c r="O4177" t="s">
        <v>12850</v>
      </c>
      <c r="T4177" t="s">
        <v>12851</v>
      </c>
    </row>
    <row r="4178" spans="1:20" x14ac:dyDescent="0.25">
      <c r="A4178" t="str">
        <f>"3051414"</f>
        <v>3051414</v>
      </c>
      <c r="B4178" t="s">
        <v>12853</v>
      </c>
      <c r="C4178" t="str">
        <f>"82519972"</f>
        <v>82519972</v>
      </c>
      <c r="D4178" t="s">
        <v>12854</v>
      </c>
      <c r="E4178" t="s">
        <v>12855</v>
      </c>
      <c r="F4178" t="s">
        <v>12856</v>
      </c>
      <c r="I4178" t="s">
        <v>29</v>
      </c>
      <c r="J4178" t="s">
        <v>30</v>
      </c>
      <c r="K4178" t="s">
        <v>31</v>
      </c>
      <c r="M4178" t="s">
        <v>32</v>
      </c>
      <c r="N4178" t="str">
        <f>"3/6/2006 12:00:00 AM"</f>
        <v>3/6/2006 12:00:00 AM</v>
      </c>
      <c r="O4178" t="s">
        <v>12854</v>
      </c>
      <c r="T4178" t="s">
        <v>12855</v>
      </c>
    </row>
    <row r="4179" spans="1:20" x14ac:dyDescent="0.25">
      <c r="A4179" t="str">
        <f>"3071711"</f>
        <v>3071711</v>
      </c>
      <c r="B4179" t="s">
        <v>12857</v>
      </c>
      <c r="C4179" t="str">
        <f>"67656000"</f>
        <v>67656000</v>
      </c>
      <c r="D4179" t="s">
        <v>12858</v>
      </c>
      <c r="E4179" t="s">
        <v>12859</v>
      </c>
      <c r="F4179" t="s">
        <v>12860</v>
      </c>
      <c r="I4179" t="s">
        <v>29</v>
      </c>
      <c r="J4179" t="s">
        <v>30</v>
      </c>
      <c r="K4179" t="s">
        <v>31</v>
      </c>
      <c r="M4179" t="s">
        <v>32</v>
      </c>
      <c r="N4179" t="str">
        <f>"5/14/2004 12:00:00 AM"</f>
        <v>5/14/2004 12:00:00 AM</v>
      </c>
      <c r="O4179" t="s">
        <v>12858</v>
      </c>
      <c r="T4179" t="s">
        <v>12859</v>
      </c>
    </row>
    <row r="4180" spans="1:20" x14ac:dyDescent="0.25">
      <c r="A4180" t="str">
        <f>"3051386"</f>
        <v>3051386</v>
      </c>
      <c r="B4180" t="s">
        <v>12861</v>
      </c>
      <c r="C4180" t="str">
        <f>"80512870"</f>
        <v>80512870</v>
      </c>
      <c r="D4180" t="s">
        <v>12862</v>
      </c>
      <c r="F4180" t="s">
        <v>12863</v>
      </c>
      <c r="I4180" t="s">
        <v>29</v>
      </c>
      <c r="J4180" t="s">
        <v>30</v>
      </c>
      <c r="K4180" t="s">
        <v>12864</v>
      </c>
      <c r="M4180" t="s">
        <v>32</v>
      </c>
      <c r="N4180" t="str">
        <f>"9/22/2011 12:00:00 AM"</f>
        <v>9/22/2011 12:00:00 AM</v>
      </c>
      <c r="O4180" t="s">
        <v>12862</v>
      </c>
    </row>
    <row r="4181" spans="1:20" x14ac:dyDescent="0.25">
      <c r="A4181" t="str">
        <f>"3051083"</f>
        <v>3051083</v>
      </c>
      <c r="B4181" t="s">
        <v>12865</v>
      </c>
      <c r="C4181" t="str">
        <f>"82528466"</f>
        <v>82528466</v>
      </c>
      <c r="D4181" t="s">
        <v>12866</v>
      </c>
      <c r="F4181" t="s">
        <v>12867</v>
      </c>
      <c r="I4181" t="s">
        <v>29</v>
      </c>
      <c r="J4181" t="s">
        <v>30</v>
      </c>
      <c r="K4181" t="s">
        <v>31</v>
      </c>
      <c r="M4181" t="s">
        <v>32</v>
      </c>
      <c r="N4181" t="str">
        <f>"1/17/2008 12:00:00 AM"</f>
        <v>1/17/2008 12:00:00 AM</v>
      </c>
      <c r="O4181" t="s">
        <v>12866</v>
      </c>
    </row>
    <row r="4182" spans="1:20" x14ac:dyDescent="0.25">
      <c r="A4182" t="str">
        <f>"3050631"</f>
        <v>3050631</v>
      </c>
      <c r="B4182" t="s">
        <v>12868</v>
      </c>
      <c r="C4182" t="str">
        <f>"82524759"</f>
        <v>82524759</v>
      </c>
      <c r="D4182" t="s">
        <v>12641</v>
      </c>
      <c r="F4182" t="s">
        <v>12642</v>
      </c>
      <c r="I4182" t="s">
        <v>184</v>
      </c>
      <c r="J4182" t="s">
        <v>30</v>
      </c>
      <c r="K4182" t="s">
        <v>12643</v>
      </c>
      <c r="M4182" t="s">
        <v>32</v>
      </c>
      <c r="N4182" t="str">
        <f>"1/20/2006 12:00:00 AM"</f>
        <v>1/20/2006 12:00:00 AM</v>
      </c>
      <c r="O4182" t="s">
        <v>12641</v>
      </c>
    </row>
    <row r="4183" spans="1:20" x14ac:dyDescent="0.25">
      <c r="A4183" t="str">
        <f>"3050912"</f>
        <v>3050912</v>
      </c>
      <c r="B4183" t="s">
        <v>12869</v>
      </c>
      <c r="C4183" t="str">
        <f>"634000"</f>
        <v>634000</v>
      </c>
      <c r="D4183" t="s">
        <v>12870</v>
      </c>
      <c r="E4183" t="s">
        <v>12871</v>
      </c>
      <c r="F4183" t="s">
        <v>12872</v>
      </c>
      <c r="I4183" t="s">
        <v>184</v>
      </c>
      <c r="J4183" t="s">
        <v>30</v>
      </c>
      <c r="K4183" t="s">
        <v>185</v>
      </c>
      <c r="M4183" t="s">
        <v>32</v>
      </c>
      <c r="N4183" t="str">
        <f>"2/18/2003 12:00:00 AM"</f>
        <v>2/18/2003 12:00:00 AM</v>
      </c>
      <c r="O4183" t="s">
        <v>12870</v>
      </c>
      <c r="T4183" t="s">
        <v>12871</v>
      </c>
    </row>
    <row r="4184" spans="1:20" x14ac:dyDescent="0.25">
      <c r="A4184" t="str">
        <f>"3050558"</f>
        <v>3050558</v>
      </c>
      <c r="B4184" t="s">
        <v>12873</v>
      </c>
      <c r="C4184" t="str">
        <f>"82528242"</f>
        <v>82528242</v>
      </c>
      <c r="D4184" t="s">
        <v>12681</v>
      </c>
      <c r="F4184" t="s">
        <v>12682</v>
      </c>
      <c r="I4184" t="s">
        <v>184</v>
      </c>
      <c r="J4184" t="s">
        <v>30</v>
      </c>
      <c r="K4184" t="s">
        <v>185</v>
      </c>
      <c r="M4184" t="s">
        <v>32</v>
      </c>
      <c r="N4184" t="str">
        <f>"6/27/2007 12:00:00 AM"</f>
        <v>6/27/2007 12:00:00 AM</v>
      </c>
      <c r="O4184" t="s">
        <v>12681</v>
      </c>
    </row>
    <row r="4185" spans="1:20" x14ac:dyDescent="0.25">
      <c r="A4185" t="str">
        <f>"3047984"</f>
        <v>3047984</v>
      </c>
      <c r="B4185" t="s">
        <v>12874</v>
      </c>
      <c r="C4185" t="str">
        <f>"51654500"</f>
        <v>51654500</v>
      </c>
      <c r="D4185" t="s">
        <v>12875</v>
      </c>
      <c r="E4185" t="s">
        <v>12876</v>
      </c>
      <c r="F4185" t="s">
        <v>12877</v>
      </c>
      <c r="I4185" t="s">
        <v>184</v>
      </c>
      <c r="J4185" t="s">
        <v>30</v>
      </c>
      <c r="K4185" t="s">
        <v>185</v>
      </c>
      <c r="M4185" t="s">
        <v>32</v>
      </c>
      <c r="N4185" t="str">
        <f>"3/4/2004 12:00:00 AM"</f>
        <v>3/4/2004 12:00:00 AM</v>
      </c>
      <c r="O4185" t="s">
        <v>12875</v>
      </c>
      <c r="T4185" t="s">
        <v>12876</v>
      </c>
    </row>
    <row r="4186" spans="1:20" x14ac:dyDescent="0.25">
      <c r="A4186" t="str">
        <f>"3051379"</f>
        <v>3051379</v>
      </c>
      <c r="B4186" t="s">
        <v>12878</v>
      </c>
      <c r="C4186" t="str">
        <f>"82515996"</f>
        <v>82515996</v>
      </c>
      <c r="D4186" t="s">
        <v>12879</v>
      </c>
      <c r="E4186" t="s">
        <v>12880</v>
      </c>
      <c r="F4186" t="s">
        <v>12881</v>
      </c>
      <c r="I4186" t="s">
        <v>29</v>
      </c>
      <c r="J4186" t="s">
        <v>30</v>
      </c>
      <c r="K4186" t="s">
        <v>12882</v>
      </c>
      <c r="M4186" t="s">
        <v>32</v>
      </c>
      <c r="N4186" t="str">
        <f>"1/12/2006 12:00:00 AM"</f>
        <v>1/12/2006 12:00:00 AM</v>
      </c>
      <c r="O4186" t="s">
        <v>12879</v>
      </c>
      <c r="T4186" t="s">
        <v>12880</v>
      </c>
    </row>
    <row r="4187" spans="1:20" x14ac:dyDescent="0.25">
      <c r="A4187" t="str">
        <f>"3051331"</f>
        <v>3051331</v>
      </c>
      <c r="B4187" t="s">
        <v>12883</v>
      </c>
      <c r="C4187" t="str">
        <f>"82520740"</f>
        <v>82520740</v>
      </c>
      <c r="D4187" t="s">
        <v>12884</v>
      </c>
      <c r="E4187" t="s">
        <v>12885</v>
      </c>
      <c r="F4187" t="s">
        <v>12886</v>
      </c>
      <c r="I4187" t="s">
        <v>29</v>
      </c>
      <c r="J4187" t="s">
        <v>30</v>
      </c>
      <c r="K4187" t="s">
        <v>31</v>
      </c>
      <c r="N4187" t="str">
        <f>"3/5/2004 12:00:00 AM"</f>
        <v>3/5/2004 12:00:00 AM</v>
      </c>
      <c r="O4187" t="s">
        <v>12884</v>
      </c>
      <c r="T4187" t="s">
        <v>12885</v>
      </c>
    </row>
    <row r="4188" spans="1:20" x14ac:dyDescent="0.25">
      <c r="A4188" t="str">
        <f>"3051140"</f>
        <v>3051140</v>
      </c>
      <c r="B4188" t="s">
        <v>12887</v>
      </c>
      <c r="C4188" t="str">
        <f>"14068000"</f>
        <v>14068000</v>
      </c>
      <c r="D4188" t="s">
        <v>12888</v>
      </c>
      <c r="F4188" t="s">
        <v>12881</v>
      </c>
      <c r="I4188" t="s">
        <v>29</v>
      </c>
      <c r="J4188" t="s">
        <v>30</v>
      </c>
      <c r="K4188" t="s">
        <v>12882</v>
      </c>
      <c r="M4188" t="s">
        <v>32</v>
      </c>
      <c r="N4188" t="str">
        <f>"6/19/2003 12:00:00 AM"</f>
        <v>6/19/2003 12:00:00 AM</v>
      </c>
      <c r="O4188" t="s">
        <v>12888</v>
      </c>
    </row>
    <row r="4189" spans="1:20" x14ac:dyDescent="0.25">
      <c r="A4189" t="str">
        <f>"3047917"</f>
        <v>3047917</v>
      </c>
      <c r="B4189" t="s">
        <v>12889</v>
      </c>
      <c r="C4189" t="str">
        <f>"51169000"</f>
        <v>51169000</v>
      </c>
      <c r="D4189" t="s">
        <v>12714</v>
      </c>
      <c r="F4189" t="s">
        <v>12715</v>
      </c>
      <c r="I4189" t="s">
        <v>184</v>
      </c>
      <c r="J4189" t="s">
        <v>30</v>
      </c>
      <c r="K4189" t="s">
        <v>185</v>
      </c>
      <c r="M4189" t="s">
        <v>32</v>
      </c>
      <c r="N4189" t="str">
        <f>"9/19/2002 12:00:00 AM"</f>
        <v>9/19/2002 12:00:00 AM</v>
      </c>
      <c r="O4189" t="s">
        <v>12714</v>
      </c>
    </row>
    <row r="4190" spans="1:20" x14ac:dyDescent="0.25">
      <c r="A4190" t="str">
        <f>"3047749"</f>
        <v>3047749</v>
      </c>
      <c r="B4190" t="s">
        <v>12890</v>
      </c>
      <c r="C4190" t="str">
        <f>"57039000"</f>
        <v>57039000</v>
      </c>
      <c r="D4190" t="s">
        <v>12891</v>
      </c>
      <c r="E4190" t="s">
        <v>12892</v>
      </c>
      <c r="F4190" t="s">
        <v>12893</v>
      </c>
      <c r="I4190" t="s">
        <v>184</v>
      </c>
      <c r="J4190" t="s">
        <v>30</v>
      </c>
      <c r="K4190" t="s">
        <v>12894</v>
      </c>
      <c r="M4190" t="s">
        <v>32</v>
      </c>
      <c r="N4190" t="str">
        <f>"2/23/2005 12:00:00 AM"</f>
        <v>2/23/2005 12:00:00 AM</v>
      </c>
      <c r="O4190" t="s">
        <v>12891</v>
      </c>
      <c r="T4190" t="s">
        <v>12892</v>
      </c>
    </row>
    <row r="4191" spans="1:20" x14ac:dyDescent="0.25">
      <c r="A4191" t="str">
        <f>"3051106"</f>
        <v>3051106</v>
      </c>
      <c r="B4191" t="s">
        <v>12895</v>
      </c>
      <c r="C4191" t="str">
        <f>"53378880"</f>
        <v>53378880</v>
      </c>
      <c r="D4191" t="s">
        <v>12896</v>
      </c>
      <c r="E4191" t="s">
        <v>12897</v>
      </c>
      <c r="F4191" t="s">
        <v>12898</v>
      </c>
      <c r="I4191" t="s">
        <v>471</v>
      </c>
      <c r="J4191" t="s">
        <v>30</v>
      </c>
      <c r="K4191" t="s">
        <v>1262</v>
      </c>
      <c r="M4191" t="s">
        <v>32</v>
      </c>
      <c r="N4191" t="str">
        <f>"9/20/2002 12:00:00 AM"</f>
        <v>9/20/2002 12:00:00 AM</v>
      </c>
      <c r="O4191" t="s">
        <v>12896</v>
      </c>
      <c r="T4191" t="s">
        <v>12897</v>
      </c>
    </row>
    <row r="4192" spans="1:20" x14ac:dyDescent="0.25">
      <c r="A4192" t="str">
        <f>"3068701"</f>
        <v>3068701</v>
      </c>
      <c r="B4192" t="s">
        <v>12899</v>
      </c>
      <c r="C4192" t="str">
        <f>"5672000"</f>
        <v>5672000</v>
      </c>
      <c r="D4192" t="s">
        <v>12900</v>
      </c>
      <c r="E4192" t="s">
        <v>12901</v>
      </c>
      <c r="F4192" t="s">
        <v>9923</v>
      </c>
      <c r="I4192" t="s">
        <v>29</v>
      </c>
      <c r="J4192" t="s">
        <v>30</v>
      </c>
      <c r="K4192" t="s">
        <v>31</v>
      </c>
      <c r="M4192" t="s">
        <v>32</v>
      </c>
      <c r="N4192" t="str">
        <f>"4/9/2003 12:00:00 AM"</f>
        <v>4/9/2003 12:00:00 AM</v>
      </c>
      <c r="O4192" t="s">
        <v>12900</v>
      </c>
      <c r="T4192" t="s">
        <v>12901</v>
      </c>
    </row>
    <row r="4193" spans="1:20" x14ac:dyDescent="0.25">
      <c r="A4193" t="str">
        <f>"3051389"</f>
        <v>3051389</v>
      </c>
      <c r="B4193" t="s">
        <v>12902</v>
      </c>
      <c r="C4193" t="str">
        <f>"64034000"</f>
        <v>64034000</v>
      </c>
      <c r="D4193" t="s">
        <v>12903</v>
      </c>
      <c r="E4193" t="s">
        <v>12904</v>
      </c>
      <c r="F4193" t="s">
        <v>12905</v>
      </c>
      <c r="I4193" t="s">
        <v>29</v>
      </c>
      <c r="J4193" t="s">
        <v>30</v>
      </c>
      <c r="K4193" t="s">
        <v>31</v>
      </c>
      <c r="M4193" t="s">
        <v>32</v>
      </c>
      <c r="N4193" t="str">
        <f>"8/14/2002 12:00:00 AM"</f>
        <v>8/14/2002 12:00:00 AM</v>
      </c>
      <c r="O4193" t="s">
        <v>12903</v>
      </c>
      <c r="T4193" t="s">
        <v>12904</v>
      </c>
    </row>
    <row r="4194" spans="1:20" x14ac:dyDescent="0.25">
      <c r="A4194" t="str">
        <f>"3051460"</f>
        <v>3051460</v>
      </c>
      <c r="B4194" t="s">
        <v>12906</v>
      </c>
      <c r="C4194" t="str">
        <f>"14164000"</f>
        <v>14164000</v>
      </c>
      <c r="D4194" t="s">
        <v>12907</v>
      </c>
      <c r="F4194" t="s">
        <v>12908</v>
      </c>
      <c r="I4194" t="s">
        <v>29</v>
      </c>
      <c r="J4194" t="s">
        <v>30</v>
      </c>
      <c r="K4194" t="s">
        <v>12909</v>
      </c>
      <c r="M4194" t="s">
        <v>32</v>
      </c>
      <c r="N4194" t="str">
        <f>"2/24/2010 12:00:00 AM"</f>
        <v>2/24/2010 12:00:00 AM</v>
      </c>
      <c r="O4194" t="s">
        <v>12907</v>
      </c>
      <c r="T4194" t="s">
        <v>12907</v>
      </c>
    </row>
    <row r="4195" spans="1:20" x14ac:dyDescent="0.25">
      <c r="A4195" t="str">
        <f>"3051458"</f>
        <v>3051458</v>
      </c>
      <c r="B4195" t="s">
        <v>12910</v>
      </c>
      <c r="C4195" t="str">
        <f t="shared" ref="C4195:C4214" si="62">"28146000"</f>
        <v>28146000</v>
      </c>
      <c r="D4195" t="s">
        <v>12911</v>
      </c>
      <c r="E4195" t="s">
        <v>12912</v>
      </c>
      <c r="F4195" t="s">
        <v>12913</v>
      </c>
      <c r="I4195" t="s">
        <v>29</v>
      </c>
      <c r="J4195" t="s">
        <v>30</v>
      </c>
      <c r="K4195" t="s">
        <v>31</v>
      </c>
      <c r="M4195" t="s">
        <v>32</v>
      </c>
      <c r="N4195" t="str">
        <f t="shared" ref="N4195:N4214" si="63">"8/27/2003 12:00:00 AM"</f>
        <v>8/27/2003 12:00:00 AM</v>
      </c>
      <c r="O4195" t="s">
        <v>12911</v>
      </c>
      <c r="T4195" t="s">
        <v>12912</v>
      </c>
    </row>
    <row r="4196" spans="1:20" x14ac:dyDescent="0.25">
      <c r="A4196" t="str">
        <f>"3051384"</f>
        <v>3051384</v>
      </c>
      <c r="B4196" t="s">
        <v>12914</v>
      </c>
      <c r="C4196" t="str">
        <f t="shared" si="62"/>
        <v>28146000</v>
      </c>
      <c r="D4196" t="s">
        <v>12911</v>
      </c>
      <c r="E4196" t="s">
        <v>12912</v>
      </c>
      <c r="F4196" t="s">
        <v>12913</v>
      </c>
      <c r="I4196" t="s">
        <v>29</v>
      </c>
      <c r="J4196" t="s">
        <v>30</v>
      </c>
      <c r="K4196" t="s">
        <v>31</v>
      </c>
      <c r="M4196" t="s">
        <v>32</v>
      </c>
      <c r="N4196" t="str">
        <f t="shared" si="63"/>
        <v>8/27/2003 12:00:00 AM</v>
      </c>
      <c r="O4196" t="s">
        <v>12911</v>
      </c>
      <c r="T4196" t="s">
        <v>12912</v>
      </c>
    </row>
    <row r="4197" spans="1:20" x14ac:dyDescent="0.25">
      <c r="A4197" t="str">
        <f>"3051057"</f>
        <v>3051057</v>
      </c>
      <c r="B4197" t="s">
        <v>12915</v>
      </c>
      <c r="C4197" t="str">
        <f t="shared" si="62"/>
        <v>28146000</v>
      </c>
      <c r="D4197" t="s">
        <v>12911</v>
      </c>
      <c r="E4197" t="s">
        <v>12912</v>
      </c>
      <c r="F4197" t="s">
        <v>12913</v>
      </c>
      <c r="I4197" t="s">
        <v>29</v>
      </c>
      <c r="J4197" t="s">
        <v>30</v>
      </c>
      <c r="K4197" t="s">
        <v>31</v>
      </c>
      <c r="M4197" t="s">
        <v>32</v>
      </c>
      <c r="N4197" t="str">
        <f t="shared" si="63"/>
        <v>8/27/2003 12:00:00 AM</v>
      </c>
      <c r="O4197" t="s">
        <v>12911</v>
      </c>
      <c r="T4197" t="s">
        <v>12912</v>
      </c>
    </row>
    <row r="4198" spans="1:20" x14ac:dyDescent="0.25">
      <c r="A4198" t="str">
        <f>"3052708"</f>
        <v>3052708</v>
      </c>
      <c r="B4198" t="s">
        <v>12916</v>
      </c>
      <c r="C4198" t="str">
        <f t="shared" si="62"/>
        <v>28146000</v>
      </c>
      <c r="D4198" t="s">
        <v>12911</v>
      </c>
      <c r="E4198" t="s">
        <v>12912</v>
      </c>
      <c r="F4198" t="s">
        <v>12913</v>
      </c>
      <c r="I4198" t="s">
        <v>29</v>
      </c>
      <c r="J4198" t="s">
        <v>30</v>
      </c>
      <c r="K4198" t="s">
        <v>31</v>
      </c>
      <c r="M4198" t="s">
        <v>32</v>
      </c>
      <c r="N4198" t="str">
        <f t="shared" si="63"/>
        <v>8/27/2003 12:00:00 AM</v>
      </c>
      <c r="O4198" t="s">
        <v>12911</v>
      </c>
      <c r="T4198" t="s">
        <v>12912</v>
      </c>
    </row>
    <row r="4199" spans="1:20" x14ac:dyDescent="0.25">
      <c r="A4199" t="str">
        <f>"3051832"</f>
        <v>3051832</v>
      </c>
      <c r="B4199" t="s">
        <v>12917</v>
      </c>
      <c r="C4199" t="str">
        <f t="shared" si="62"/>
        <v>28146000</v>
      </c>
      <c r="D4199" t="s">
        <v>12911</v>
      </c>
      <c r="E4199" t="s">
        <v>12912</v>
      </c>
      <c r="F4199" t="s">
        <v>12913</v>
      </c>
      <c r="I4199" t="s">
        <v>29</v>
      </c>
      <c r="J4199" t="s">
        <v>30</v>
      </c>
      <c r="K4199" t="s">
        <v>31</v>
      </c>
      <c r="M4199" t="s">
        <v>32</v>
      </c>
      <c r="N4199" t="str">
        <f t="shared" si="63"/>
        <v>8/27/2003 12:00:00 AM</v>
      </c>
      <c r="O4199" t="s">
        <v>12911</v>
      </c>
      <c r="T4199" t="s">
        <v>12912</v>
      </c>
    </row>
    <row r="4200" spans="1:20" x14ac:dyDescent="0.25">
      <c r="A4200" t="str">
        <f>"3052406"</f>
        <v>3052406</v>
      </c>
      <c r="B4200" t="s">
        <v>12918</v>
      </c>
      <c r="C4200" t="str">
        <f t="shared" si="62"/>
        <v>28146000</v>
      </c>
      <c r="D4200" t="s">
        <v>12911</v>
      </c>
      <c r="E4200" t="s">
        <v>12912</v>
      </c>
      <c r="F4200" t="s">
        <v>12913</v>
      </c>
      <c r="I4200" t="s">
        <v>29</v>
      </c>
      <c r="J4200" t="s">
        <v>30</v>
      </c>
      <c r="K4200" t="s">
        <v>31</v>
      </c>
      <c r="M4200" t="s">
        <v>32</v>
      </c>
      <c r="N4200" t="str">
        <f t="shared" si="63"/>
        <v>8/27/2003 12:00:00 AM</v>
      </c>
      <c r="O4200" t="s">
        <v>12911</v>
      </c>
      <c r="T4200" t="s">
        <v>12912</v>
      </c>
    </row>
    <row r="4201" spans="1:20" x14ac:dyDescent="0.25">
      <c r="A4201" t="str">
        <f>"3052395"</f>
        <v>3052395</v>
      </c>
      <c r="B4201" t="s">
        <v>12919</v>
      </c>
      <c r="C4201" t="str">
        <f t="shared" si="62"/>
        <v>28146000</v>
      </c>
      <c r="D4201" t="s">
        <v>12911</v>
      </c>
      <c r="E4201" t="s">
        <v>12912</v>
      </c>
      <c r="F4201" t="s">
        <v>12913</v>
      </c>
      <c r="I4201" t="s">
        <v>29</v>
      </c>
      <c r="J4201" t="s">
        <v>30</v>
      </c>
      <c r="K4201" t="s">
        <v>31</v>
      </c>
      <c r="M4201" t="s">
        <v>32</v>
      </c>
      <c r="N4201" t="str">
        <f t="shared" si="63"/>
        <v>8/27/2003 12:00:00 AM</v>
      </c>
      <c r="O4201" t="s">
        <v>12911</v>
      </c>
      <c r="T4201" t="s">
        <v>12912</v>
      </c>
    </row>
    <row r="4202" spans="1:20" x14ac:dyDescent="0.25">
      <c r="A4202" t="str">
        <f>"3052337"</f>
        <v>3052337</v>
      </c>
      <c r="B4202" t="s">
        <v>12920</v>
      </c>
      <c r="C4202" t="str">
        <f t="shared" si="62"/>
        <v>28146000</v>
      </c>
      <c r="D4202" t="s">
        <v>12911</v>
      </c>
      <c r="E4202" t="s">
        <v>12912</v>
      </c>
      <c r="F4202" t="s">
        <v>12913</v>
      </c>
      <c r="I4202" t="s">
        <v>29</v>
      </c>
      <c r="J4202" t="s">
        <v>30</v>
      </c>
      <c r="K4202" t="s">
        <v>31</v>
      </c>
      <c r="M4202" t="s">
        <v>32</v>
      </c>
      <c r="N4202" t="str">
        <f t="shared" si="63"/>
        <v>8/27/2003 12:00:00 AM</v>
      </c>
      <c r="O4202" t="s">
        <v>12911</v>
      </c>
      <c r="T4202" t="s">
        <v>12912</v>
      </c>
    </row>
    <row r="4203" spans="1:20" x14ac:dyDescent="0.25">
      <c r="A4203" t="str">
        <f>"3052350"</f>
        <v>3052350</v>
      </c>
      <c r="B4203" t="s">
        <v>12921</v>
      </c>
      <c r="C4203" t="str">
        <f t="shared" si="62"/>
        <v>28146000</v>
      </c>
      <c r="D4203" t="s">
        <v>12911</v>
      </c>
      <c r="E4203" t="s">
        <v>12912</v>
      </c>
      <c r="F4203" t="s">
        <v>12913</v>
      </c>
      <c r="I4203" t="s">
        <v>29</v>
      </c>
      <c r="J4203" t="s">
        <v>30</v>
      </c>
      <c r="K4203" t="s">
        <v>31</v>
      </c>
      <c r="M4203" t="s">
        <v>32</v>
      </c>
      <c r="N4203" t="str">
        <f t="shared" si="63"/>
        <v>8/27/2003 12:00:00 AM</v>
      </c>
      <c r="O4203" t="s">
        <v>12911</v>
      </c>
      <c r="T4203" t="s">
        <v>12912</v>
      </c>
    </row>
    <row r="4204" spans="1:20" x14ac:dyDescent="0.25">
      <c r="A4204" t="str">
        <f>"3052346"</f>
        <v>3052346</v>
      </c>
      <c r="B4204" t="s">
        <v>12922</v>
      </c>
      <c r="C4204" t="str">
        <f t="shared" si="62"/>
        <v>28146000</v>
      </c>
      <c r="D4204" t="s">
        <v>12911</v>
      </c>
      <c r="E4204" t="s">
        <v>12912</v>
      </c>
      <c r="F4204" t="s">
        <v>12913</v>
      </c>
      <c r="I4204" t="s">
        <v>29</v>
      </c>
      <c r="J4204" t="s">
        <v>30</v>
      </c>
      <c r="K4204" t="s">
        <v>31</v>
      </c>
      <c r="M4204" t="s">
        <v>32</v>
      </c>
      <c r="N4204" t="str">
        <f t="shared" si="63"/>
        <v>8/27/2003 12:00:00 AM</v>
      </c>
      <c r="O4204" t="s">
        <v>12911</v>
      </c>
      <c r="T4204" t="s">
        <v>12912</v>
      </c>
    </row>
    <row r="4205" spans="1:20" x14ac:dyDescent="0.25">
      <c r="A4205" t="str">
        <f>"3049897"</f>
        <v>3049897</v>
      </c>
      <c r="B4205" t="s">
        <v>12923</v>
      </c>
      <c r="C4205" t="str">
        <f t="shared" si="62"/>
        <v>28146000</v>
      </c>
      <c r="D4205" t="s">
        <v>12911</v>
      </c>
      <c r="E4205" t="s">
        <v>12912</v>
      </c>
      <c r="F4205" t="s">
        <v>12913</v>
      </c>
      <c r="I4205" t="s">
        <v>29</v>
      </c>
      <c r="J4205" t="s">
        <v>30</v>
      </c>
      <c r="K4205" t="s">
        <v>31</v>
      </c>
      <c r="M4205" t="s">
        <v>32</v>
      </c>
      <c r="N4205" t="str">
        <f t="shared" si="63"/>
        <v>8/27/2003 12:00:00 AM</v>
      </c>
      <c r="O4205" t="s">
        <v>12911</v>
      </c>
      <c r="T4205" t="s">
        <v>12912</v>
      </c>
    </row>
    <row r="4206" spans="1:20" x14ac:dyDescent="0.25">
      <c r="A4206" t="str">
        <f>"3049477"</f>
        <v>3049477</v>
      </c>
      <c r="B4206" t="s">
        <v>12924</v>
      </c>
      <c r="C4206" t="str">
        <f t="shared" si="62"/>
        <v>28146000</v>
      </c>
      <c r="D4206" t="s">
        <v>12911</v>
      </c>
      <c r="E4206" t="s">
        <v>12912</v>
      </c>
      <c r="F4206" t="s">
        <v>12913</v>
      </c>
      <c r="I4206" t="s">
        <v>29</v>
      </c>
      <c r="J4206" t="s">
        <v>30</v>
      </c>
      <c r="K4206" t="s">
        <v>31</v>
      </c>
      <c r="M4206" t="s">
        <v>32</v>
      </c>
      <c r="N4206" t="str">
        <f t="shared" si="63"/>
        <v>8/27/2003 12:00:00 AM</v>
      </c>
      <c r="O4206" t="s">
        <v>12911</v>
      </c>
      <c r="T4206" t="s">
        <v>12912</v>
      </c>
    </row>
    <row r="4207" spans="1:20" x14ac:dyDescent="0.25">
      <c r="A4207" t="str">
        <f>"3049516"</f>
        <v>3049516</v>
      </c>
      <c r="B4207" t="s">
        <v>12925</v>
      </c>
      <c r="C4207" t="str">
        <f t="shared" si="62"/>
        <v>28146000</v>
      </c>
      <c r="D4207" t="s">
        <v>12911</v>
      </c>
      <c r="E4207" t="s">
        <v>12912</v>
      </c>
      <c r="F4207" t="s">
        <v>12913</v>
      </c>
      <c r="I4207" t="s">
        <v>29</v>
      </c>
      <c r="J4207" t="s">
        <v>30</v>
      </c>
      <c r="K4207" t="s">
        <v>31</v>
      </c>
      <c r="M4207" t="s">
        <v>32</v>
      </c>
      <c r="N4207" t="str">
        <f t="shared" si="63"/>
        <v>8/27/2003 12:00:00 AM</v>
      </c>
      <c r="O4207" t="s">
        <v>12911</v>
      </c>
      <c r="T4207" t="s">
        <v>12912</v>
      </c>
    </row>
    <row r="4208" spans="1:20" x14ac:dyDescent="0.25">
      <c r="A4208" t="str">
        <f>"3049571"</f>
        <v>3049571</v>
      </c>
      <c r="B4208" t="s">
        <v>12926</v>
      </c>
      <c r="C4208" t="str">
        <f t="shared" si="62"/>
        <v>28146000</v>
      </c>
      <c r="D4208" t="s">
        <v>12911</v>
      </c>
      <c r="E4208" t="s">
        <v>12912</v>
      </c>
      <c r="F4208" t="s">
        <v>12913</v>
      </c>
      <c r="I4208" t="s">
        <v>29</v>
      </c>
      <c r="J4208" t="s">
        <v>30</v>
      </c>
      <c r="K4208" t="s">
        <v>31</v>
      </c>
      <c r="M4208" t="s">
        <v>32</v>
      </c>
      <c r="N4208" t="str">
        <f t="shared" si="63"/>
        <v>8/27/2003 12:00:00 AM</v>
      </c>
      <c r="O4208" t="s">
        <v>12911</v>
      </c>
      <c r="T4208" t="s">
        <v>12912</v>
      </c>
    </row>
    <row r="4209" spans="1:20" x14ac:dyDescent="0.25">
      <c r="A4209" t="str">
        <f>"3049764"</f>
        <v>3049764</v>
      </c>
      <c r="B4209" t="s">
        <v>12927</v>
      </c>
      <c r="C4209" t="str">
        <f t="shared" si="62"/>
        <v>28146000</v>
      </c>
      <c r="D4209" t="s">
        <v>12911</v>
      </c>
      <c r="E4209" t="s">
        <v>12912</v>
      </c>
      <c r="F4209" t="s">
        <v>12913</v>
      </c>
      <c r="I4209" t="s">
        <v>29</v>
      </c>
      <c r="J4209" t="s">
        <v>30</v>
      </c>
      <c r="K4209" t="s">
        <v>31</v>
      </c>
      <c r="M4209" t="s">
        <v>32</v>
      </c>
      <c r="N4209" t="str">
        <f t="shared" si="63"/>
        <v>8/27/2003 12:00:00 AM</v>
      </c>
      <c r="O4209" t="s">
        <v>12911</v>
      </c>
      <c r="T4209" t="s">
        <v>12912</v>
      </c>
    </row>
    <row r="4210" spans="1:20" x14ac:dyDescent="0.25">
      <c r="A4210" t="str">
        <f>"3066173"</f>
        <v>3066173</v>
      </c>
      <c r="B4210" t="s">
        <v>12928</v>
      </c>
      <c r="C4210" t="str">
        <f t="shared" si="62"/>
        <v>28146000</v>
      </c>
      <c r="D4210" t="s">
        <v>12911</v>
      </c>
      <c r="E4210" t="s">
        <v>12912</v>
      </c>
      <c r="F4210" t="s">
        <v>12913</v>
      </c>
      <c r="I4210" t="s">
        <v>29</v>
      </c>
      <c r="J4210" t="s">
        <v>30</v>
      </c>
      <c r="K4210" t="s">
        <v>31</v>
      </c>
      <c r="M4210" t="s">
        <v>32</v>
      </c>
      <c r="N4210" t="str">
        <f t="shared" si="63"/>
        <v>8/27/2003 12:00:00 AM</v>
      </c>
      <c r="O4210" t="s">
        <v>12911</v>
      </c>
      <c r="T4210" t="s">
        <v>12912</v>
      </c>
    </row>
    <row r="4211" spans="1:20" x14ac:dyDescent="0.25">
      <c r="A4211" t="str">
        <f>"3070996"</f>
        <v>3070996</v>
      </c>
      <c r="B4211" t="s">
        <v>12929</v>
      </c>
      <c r="C4211" t="str">
        <f t="shared" si="62"/>
        <v>28146000</v>
      </c>
      <c r="D4211" t="s">
        <v>12911</v>
      </c>
      <c r="E4211" t="s">
        <v>12912</v>
      </c>
      <c r="F4211" t="s">
        <v>12913</v>
      </c>
      <c r="I4211" t="s">
        <v>29</v>
      </c>
      <c r="J4211" t="s">
        <v>30</v>
      </c>
      <c r="K4211" t="s">
        <v>31</v>
      </c>
      <c r="M4211" t="s">
        <v>32</v>
      </c>
      <c r="N4211" t="str">
        <f t="shared" si="63"/>
        <v>8/27/2003 12:00:00 AM</v>
      </c>
      <c r="O4211" t="s">
        <v>12911</v>
      </c>
      <c r="T4211" t="s">
        <v>12912</v>
      </c>
    </row>
    <row r="4212" spans="1:20" x14ac:dyDescent="0.25">
      <c r="A4212" t="str">
        <f>"3076064"</f>
        <v>3076064</v>
      </c>
      <c r="B4212" t="s">
        <v>12930</v>
      </c>
      <c r="C4212" t="str">
        <f t="shared" si="62"/>
        <v>28146000</v>
      </c>
      <c r="D4212" t="s">
        <v>12911</v>
      </c>
      <c r="E4212" t="s">
        <v>12912</v>
      </c>
      <c r="F4212" t="s">
        <v>12913</v>
      </c>
      <c r="I4212" t="s">
        <v>29</v>
      </c>
      <c r="J4212" t="s">
        <v>30</v>
      </c>
      <c r="K4212" t="s">
        <v>31</v>
      </c>
      <c r="M4212" t="s">
        <v>32</v>
      </c>
      <c r="N4212" t="str">
        <f t="shared" si="63"/>
        <v>8/27/2003 12:00:00 AM</v>
      </c>
      <c r="O4212" t="s">
        <v>12911</v>
      </c>
      <c r="T4212" t="s">
        <v>12912</v>
      </c>
    </row>
    <row r="4213" spans="1:20" x14ac:dyDescent="0.25">
      <c r="A4213" t="str">
        <f>"3078676"</f>
        <v>3078676</v>
      </c>
      <c r="B4213" t="s">
        <v>12931</v>
      </c>
      <c r="C4213" t="str">
        <f t="shared" si="62"/>
        <v>28146000</v>
      </c>
      <c r="D4213" t="s">
        <v>12911</v>
      </c>
      <c r="E4213" t="s">
        <v>12912</v>
      </c>
      <c r="F4213" t="s">
        <v>12913</v>
      </c>
      <c r="I4213" t="s">
        <v>29</v>
      </c>
      <c r="J4213" t="s">
        <v>30</v>
      </c>
      <c r="K4213" t="s">
        <v>31</v>
      </c>
      <c r="M4213" t="s">
        <v>32</v>
      </c>
      <c r="N4213" t="str">
        <f t="shared" si="63"/>
        <v>8/27/2003 12:00:00 AM</v>
      </c>
      <c r="O4213" t="s">
        <v>12911</v>
      </c>
      <c r="T4213" t="s">
        <v>12912</v>
      </c>
    </row>
    <row r="4214" spans="1:20" x14ac:dyDescent="0.25">
      <c r="A4214" t="str">
        <f>"3059648"</f>
        <v>3059648</v>
      </c>
      <c r="B4214" t="s">
        <v>12932</v>
      </c>
      <c r="C4214" t="str">
        <f t="shared" si="62"/>
        <v>28146000</v>
      </c>
      <c r="D4214" t="s">
        <v>12911</v>
      </c>
      <c r="E4214" t="s">
        <v>12912</v>
      </c>
      <c r="F4214" t="s">
        <v>12913</v>
      </c>
      <c r="I4214" t="s">
        <v>29</v>
      </c>
      <c r="J4214" t="s">
        <v>30</v>
      </c>
      <c r="K4214" t="s">
        <v>31</v>
      </c>
      <c r="M4214" t="s">
        <v>32</v>
      </c>
      <c r="N4214" t="str">
        <f t="shared" si="63"/>
        <v>8/27/2003 12:00:00 AM</v>
      </c>
      <c r="O4214" t="s">
        <v>12911</v>
      </c>
      <c r="T4214" t="s">
        <v>12912</v>
      </c>
    </row>
    <row r="4215" spans="1:20" x14ac:dyDescent="0.25">
      <c r="A4215" t="str">
        <f>"3051432"</f>
        <v>3051432</v>
      </c>
      <c r="B4215" t="s">
        <v>12933</v>
      </c>
      <c r="C4215" t="str">
        <f>"82524308"</f>
        <v>82524308</v>
      </c>
      <c r="D4215" t="s">
        <v>12934</v>
      </c>
      <c r="E4215" t="s">
        <v>12935</v>
      </c>
      <c r="F4215" t="s">
        <v>12936</v>
      </c>
      <c r="I4215" t="s">
        <v>29</v>
      </c>
      <c r="J4215" t="s">
        <v>30</v>
      </c>
      <c r="K4215" t="s">
        <v>31</v>
      </c>
      <c r="M4215" t="s">
        <v>32</v>
      </c>
      <c r="N4215" t="str">
        <f>"5/3/2005 12:00:00 AM"</f>
        <v>5/3/2005 12:00:00 AM</v>
      </c>
      <c r="O4215" t="s">
        <v>12934</v>
      </c>
      <c r="T4215" t="s">
        <v>12935</v>
      </c>
    </row>
    <row r="4216" spans="1:20" x14ac:dyDescent="0.25">
      <c r="A4216" t="str">
        <f>"3048298"</f>
        <v>3048298</v>
      </c>
      <c r="B4216" t="s">
        <v>12937</v>
      </c>
      <c r="C4216" t="str">
        <f>"71803500"</f>
        <v>71803500</v>
      </c>
      <c r="D4216" t="s">
        <v>12938</v>
      </c>
      <c r="E4216" t="s">
        <v>12939</v>
      </c>
      <c r="F4216" t="s">
        <v>12940</v>
      </c>
      <c r="I4216" t="s">
        <v>184</v>
      </c>
      <c r="J4216" t="s">
        <v>30</v>
      </c>
      <c r="K4216" t="s">
        <v>12941</v>
      </c>
      <c r="M4216" t="s">
        <v>32</v>
      </c>
      <c r="N4216" t="str">
        <f>"5/21/2008 12:00:00 AM"</f>
        <v>5/21/2008 12:00:00 AM</v>
      </c>
      <c r="O4216" t="s">
        <v>12938</v>
      </c>
      <c r="T4216" t="s">
        <v>12939</v>
      </c>
    </row>
    <row r="4217" spans="1:20" x14ac:dyDescent="0.25">
      <c r="A4217" t="str">
        <f>"3048343"</f>
        <v>3048343</v>
      </c>
      <c r="B4217" t="s">
        <v>12942</v>
      </c>
      <c r="C4217" t="str">
        <f>"71804000"</f>
        <v>71804000</v>
      </c>
      <c r="D4217" t="s">
        <v>12938</v>
      </c>
      <c r="F4217" t="s">
        <v>12940</v>
      </c>
      <c r="I4217" t="s">
        <v>184</v>
      </c>
      <c r="J4217" t="s">
        <v>30</v>
      </c>
      <c r="K4217" t="s">
        <v>185</v>
      </c>
      <c r="M4217" t="s">
        <v>32</v>
      </c>
      <c r="N4217" t="str">
        <f>"6/15/2004 12:00:00 AM"</f>
        <v>6/15/2004 12:00:00 AM</v>
      </c>
      <c r="O4217" t="s">
        <v>12938</v>
      </c>
    </row>
    <row r="4218" spans="1:20" x14ac:dyDescent="0.25">
      <c r="A4218" t="str">
        <f>"3048106"</f>
        <v>3048106</v>
      </c>
      <c r="B4218" t="s">
        <v>12943</v>
      </c>
      <c r="C4218" t="str">
        <f>"82514600"</f>
        <v>82514600</v>
      </c>
      <c r="D4218" t="s">
        <v>12944</v>
      </c>
      <c r="E4218" t="s">
        <v>12945</v>
      </c>
      <c r="F4218" t="s">
        <v>12946</v>
      </c>
      <c r="I4218" t="s">
        <v>184</v>
      </c>
      <c r="J4218" t="s">
        <v>30</v>
      </c>
      <c r="K4218" t="s">
        <v>185</v>
      </c>
      <c r="M4218" t="s">
        <v>32</v>
      </c>
      <c r="N4218" t="str">
        <f>"5/6/2009 12:00:00 AM"</f>
        <v>5/6/2009 12:00:00 AM</v>
      </c>
      <c r="O4218" t="s">
        <v>12944</v>
      </c>
      <c r="T4218" t="s">
        <v>12945</v>
      </c>
    </row>
    <row r="4219" spans="1:20" x14ac:dyDescent="0.25">
      <c r="A4219" t="str">
        <f>"3047431"</f>
        <v>3047431</v>
      </c>
      <c r="B4219" t="s">
        <v>12947</v>
      </c>
      <c r="C4219" t="str">
        <f>"82526718"</f>
        <v>82526718</v>
      </c>
      <c r="D4219" t="s">
        <v>12948</v>
      </c>
      <c r="F4219" t="s">
        <v>12949</v>
      </c>
      <c r="I4219" t="s">
        <v>184</v>
      </c>
      <c r="J4219" t="s">
        <v>30</v>
      </c>
      <c r="K4219" t="s">
        <v>185</v>
      </c>
      <c r="M4219" t="s">
        <v>32</v>
      </c>
      <c r="N4219" t="str">
        <f>"2/12/2007 12:00:00 AM"</f>
        <v>2/12/2007 12:00:00 AM</v>
      </c>
      <c r="O4219" t="s">
        <v>12948</v>
      </c>
    </row>
    <row r="4220" spans="1:20" x14ac:dyDescent="0.25">
      <c r="A4220" t="str">
        <f>"3051337"</f>
        <v>3051337</v>
      </c>
      <c r="B4220" t="s">
        <v>12950</v>
      </c>
      <c r="C4220" t="str">
        <f>"43249500"</f>
        <v>43249500</v>
      </c>
      <c r="D4220" t="s">
        <v>12951</v>
      </c>
      <c r="E4220" t="s">
        <v>12952</v>
      </c>
      <c r="F4220" t="s">
        <v>12953</v>
      </c>
      <c r="I4220" t="s">
        <v>29</v>
      </c>
      <c r="J4220" t="s">
        <v>30</v>
      </c>
      <c r="K4220" t="s">
        <v>12954</v>
      </c>
      <c r="M4220" t="s">
        <v>32</v>
      </c>
      <c r="N4220" t="str">
        <f>"1/9/2008 12:00:00 AM"</f>
        <v>1/9/2008 12:00:00 AM</v>
      </c>
      <c r="O4220" t="s">
        <v>12951</v>
      </c>
      <c r="T4220" t="s">
        <v>12952</v>
      </c>
    </row>
    <row r="4221" spans="1:20" x14ac:dyDescent="0.25">
      <c r="A4221" t="str">
        <f>"3078402"</f>
        <v>3078402</v>
      </c>
      <c r="B4221" t="s">
        <v>12955</v>
      </c>
      <c r="C4221" t="str">
        <f>"82521804"</f>
        <v>82521804</v>
      </c>
      <c r="D4221" t="s">
        <v>12956</v>
      </c>
      <c r="F4221" t="s">
        <v>12957</v>
      </c>
      <c r="I4221" t="s">
        <v>29</v>
      </c>
      <c r="J4221" t="s">
        <v>30</v>
      </c>
      <c r="K4221" t="s">
        <v>31</v>
      </c>
      <c r="M4221" t="s">
        <v>32</v>
      </c>
      <c r="N4221" t="str">
        <f>"11/24/2003 12:00:00 AM"</f>
        <v>11/24/2003 12:00:00 AM</v>
      </c>
      <c r="O4221" t="s">
        <v>12956</v>
      </c>
    </row>
    <row r="4222" spans="1:20" x14ac:dyDescent="0.25">
      <c r="A4222" t="str">
        <f>"3078636"</f>
        <v>3078636</v>
      </c>
      <c r="B4222" t="s">
        <v>12958</v>
      </c>
      <c r="C4222" t="str">
        <f>"82521804"</f>
        <v>82521804</v>
      </c>
      <c r="D4222" t="s">
        <v>12956</v>
      </c>
      <c r="F4222" t="s">
        <v>12957</v>
      </c>
      <c r="I4222" t="s">
        <v>29</v>
      </c>
      <c r="J4222" t="s">
        <v>30</v>
      </c>
      <c r="K4222" t="s">
        <v>31</v>
      </c>
      <c r="M4222" t="s">
        <v>32</v>
      </c>
      <c r="N4222" t="str">
        <f>"11/24/2003 12:00:00 AM"</f>
        <v>11/24/2003 12:00:00 AM</v>
      </c>
      <c r="O4222" t="s">
        <v>12956</v>
      </c>
    </row>
    <row r="4223" spans="1:20" x14ac:dyDescent="0.25">
      <c r="A4223" t="str">
        <f>"3051519"</f>
        <v>3051519</v>
      </c>
      <c r="B4223" t="s">
        <v>12959</v>
      </c>
      <c r="C4223" t="str">
        <f>"14532000"</f>
        <v>14532000</v>
      </c>
      <c r="D4223" t="s">
        <v>12960</v>
      </c>
      <c r="E4223" t="s">
        <v>12961</v>
      </c>
      <c r="F4223" t="s">
        <v>12962</v>
      </c>
      <c r="I4223" t="s">
        <v>29</v>
      </c>
      <c r="J4223" t="s">
        <v>30</v>
      </c>
      <c r="K4223" t="s">
        <v>31</v>
      </c>
      <c r="M4223" t="s">
        <v>32</v>
      </c>
      <c r="N4223" t="str">
        <f>"9/23/2002 12:00:00 AM"</f>
        <v>9/23/2002 12:00:00 AM</v>
      </c>
      <c r="O4223" t="s">
        <v>12960</v>
      </c>
      <c r="T4223" t="s">
        <v>12961</v>
      </c>
    </row>
    <row r="4224" spans="1:20" x14ac:dyDescent="0.25">
      <c r="A4224" t="str">
        <f>"3051466"</f>
        <v>3051466</v>
      </c>
      <c r="B4224" t="s">
        <v>12963</v>
      </c>
      <c r="C4224" t="str">
        <f>"60331620"</f>
        <v>60331620</v>
      </c>
      <c r="D4224" t="s">
        <v>12964</v>
      </c>
      <c r="E4224" t="s">
        <v>12965</v>
      </c>
      <c r="F4224" t="s">
        <v>12966</v>
      </c>
      <c r="I4224" t="s">
        <v>29</v>
      </c>
      <c r="J4224" t="s">
        <v>30</v>
      </c>
      <c r="K4224" t="s">
        <v>31</v>
      </c>
      <c r="M4224" t="s">
        <v>32</v>
      </c>
      <c r="N4224" t="str">
        <f>"9/23/2002 12:00:00 AM"</f>
        <v>9/23/2002 12:00:00 AM</v>
      </c>
      <c r="O4224" t="s">
        <v>12964</v>
      </c>
      <c r="T4224" t="s">
        <v>12965</v>
      </c>
    </row>
    <row r="4225" spans="1:20" x14ac:dyDescent="0.25">
      <c r="A4225" t="str">
        <f>"3078398"</f>
        <v>3078398</v>
      </c>
      <c r="B4225" t="s">
        <v>12967</v>
      </c>
      <c r="C4225" t="str">
        <f>"60331620"</f>
        <v>60331620</v>
      </c>
      <c r="D4225" t="s">
        <v>12964</v>
      </c>
      <c r="E4225" t="s">
        <v>12965</v>
      </c>
      <c r="F4225" t="s">
        <v>12966</v>
      </c>
      <c r="I4225" t="s">
        <v>29</v>
      </c>
      <c r="J4225" t="s">
        <v>30</v>
      </c>
      <c r="K4225" t="s">
        <v>31</v>
      </c>
      <c r="M4225" t="s">
        <v>32</v>
      </c>
      <c r="N4225" t="str">
        <f>"9/23/2002 12:00:00 AM"</f>
        <v>9/23/2002 12:00:00 AM</v>
      </c>
      <c r="O4225" t="s">
        <v>12964</v>
      </c>
      <c r="T4225" t="s">
        <v>12965</v>
      </c>
    </row>
    <row r="4226" spans="1:20" x14ac:dyDescent="0.25">
      <c r="A4226" t="str">
        <f>"3051531"</f>
        <v>3051531</v>
      </c>
      <c r="B4226" t="s">
        <v>12968</v>
      </c>
      <c r="C4226" t="str">
        <f>"50216000"</f>
        <v>50216000</v>
      </c>
      <c r="D4226" t="s">
        <v>12969</v>
      </c>
      <c r="E4226" t="s">
        <v>12970</v>
      </c>
      <c r="F4226" t="s">
        <v>12971</v>
      </c>
      <c r="I4226" t="s">
        <v>29</v>
      </c>
      <c r="J4226" t="s">
        <v>30</v>
      </c>
      <c r="K4226" t="s">
        <v>31</v>
      </c>
      <c r="M4226" t="s">
        <v>32</v>
      </c>
      <c r="N4226" t="str">
        <f>"2/27/2006 12:00:00 AM"</f>
        <v>2/27/2006 12:00:00 AM</v>
      </c>
      <c r="O4226" t="s">
        <v>12969</v>
      </c>
      <c r="T4226" t="s">
        <v>12970</v>
      </c>
    </row>
    <row r="4227" spans="1:20" x14ac:dyDescent="0.25">
      <c r="A4227" t="str">
        <f>"3048196"</f>
        <v>3048196</v>
      </c>
      <c r="B4227" t="s">
        <v>12972</v>
      </c>
      <c r="C4227" t="str">
        <f>"62364000"</f>
        <v>62364000</v>
      </c>
      <c r="D4227" t="s">
        <v>12973</v>
      </c>
      <c r="E4227" t="s">
        <v>12974</v>
      </c>
      <c r="F4227" t="s">
        <v>12975</v>
      </c>
      <c r="I4227" t="s">
        <v>29</v>
      </c>
      <c r="J4227" t="s">
        <v>30</v>
      </c>
      <c r="K4227" t="s">
        <v>12976</v>
      </c>
      <c r="M4227" t="s">
        <v>32</v>
      </c>
      <c r="N4227" t="str">
        <f>"1/12/2006 12:00:00 AM"</f>
        <v>1/12/2006 12:00:00 AM</v>
      </c>
      <c r="O4227" t="s">
        <v>12973</v>
      </c>
      <c r="T4227" t="s">
        <v>12974</v>
      </c>
    </row>
    <row r="4228" spans="1:20" x14ac:dyDescent="0.25">
      <c r="A4228" t="str">
        <f>"3051047"</f>
        <v>3051047</v>
      </c>
      <c r="B4228" t="s">
        <v>12977</v>
      </c>
      <c r="C4228" t="str">
        <f>"82517599"</f>
        <v>82517599</v>
      </c>
      <c r="D4228" t="s">
        <v>12978</v>
      </c>
      <c r="E4228" t="s">
        <v>12979</v>
      </c>
      <c r="F4228" t="s">
        <v>12980</v>
      </c>
      <c r="I4228" t="s">
        <v>29</v>
      </c>
      <c r="J4228" t="s">
        <v>30</v>
      </c>
      <c r="K4228" t="s">
        <v>31</v>
      </c>
      <c r="M4228" t="s">
        <v>32</v>
      </c>
      <c r="N4228" t="str">
        <f>"1/26/2007 12:00:00 AM"</f>
        <v>1/26/2007 12:00:00 AM</v>
      </c>
      <c r="O4228" t="s">
        <v>12978</v>
      </c>
      <c r="T4228" t="s">
        <v>12979</v>
      </c>
    </row>
    <row r="4229" spans="1:20" x14ac:dyDescent="0.25">
      <c r="A4229" t="str">
        <f>"3050057"</f>
        <v>3050057</v>
      </c>
      <c r="B4229" t="s">
        <v>12981</v>
      </c>
      <c r="C4229" t="str">
        <f>"82522069"</f>
        <v>82522069</v>
      </c>
      <c r="D4229" t="s">
        <v>12982</v>
      </c>
      <c r="F4229" t="s">
        <v>12983</v>
      </c>
      <c r="I4229" t="s">
        <v>29</v>
      </c>
      <c r="J4229" t="s">
        <v>30</v>
      </c>
      <c r="K4229" t="s">
        <v>31</v>
      </c>
      <c r="M4229" t="s">
        <v>32</v>
      </c>
      <c r="N4229" t="str">
        <f>"1/21/2004 12:00:00 AM"</f>
        <v>1/21/2004 12:00:00 AM</v>
      </c>
      <c r="O4229" t="s">
        <v>12982</v>
      </c>
    </row>
    <row r="4230" spans="1:20" x14ac:dyDescent="0.25">
      <c r="A4230" t="str">
        <f>"3078405"</f>
        <v>3078405</v>
      </c>
      <c r="B4230" t="s">
        <v>12984</v>
      </c>
      <c r="C4230" t="str">
        <f>"82522069"</f>
        <v>82522069</v>
      </c>
      <c r="D4230" t="s">
        <v>12982</v>
      </c>
      <c r="F4230" t="s">
        <v>12983</v>
      </c>
      <c r="I4230" t="s">
        <v>29</v>
      </c>
      <c r="J4230" t="s">
        <v>30</v>
      </c>
      <c r="K4230" t="s">
        <v>31</v>
      </c>
      <c r="M4230" t="s">
        <v>32</v>
      </c>
      <c r="N4230" t="str">
        <f>"1/21/2004 12:00:00 AM"</f>
        <v>1/21/2004 12:00:00 AM</v>
      </c>
      <c r="O4230" t="s">
        <v>12982</v>
      </c>
    </row>
    <row r="4231" spans="1:20" x14ac:dyDescent="0.25">
      <c r="A4231" t="str">
        <f>"3051455"</f>
        <v>3051455</v>
      </c>
      <c r="B4231" t="s">
        <v>12985</v>
      </c>
      <c r="C4231" t="str">
        <f>"63845000"</f>
        <v>63845000</v>
      </c>
      <c r="D4231" t="s">
        <v>12986</v>
      </c>
      <c r="F4231" t="s">
        <v>12987</v>
      </c>
      <c r="I4231" t="s">
        <v>29</v>
      </c>
      <c r="J4231" t="s">
        <v>30</v>
      </c>
      <c r="K4231" t="s">
        <v>31</v>
      </c>
      <c r="M4231" t="s">
        <v>32</v>
      </c>
      <c r="N4231" t="str">
        <f>"4/30/2004 12:00:00 AM"</f>
        <v>4/30/2004 12:00:00 AM</v>
      </c>
      <c r="O4231" t="s">
        <v>12986</v>
      </c>
    </row>
    <row r="4232" spans="1:20" x14ac:dyDescent="0.25">
      <c r="A4232" t="str">
        <f>"3050036"</f>
        <v>3050036</v>
      </c>
      <c r="B4232" t="s">
        <v>12988</v>
      </c>
      <c r="C4232" t="str">
        <f>"44031000"</f>
        <v>44031000</v>
      </c>
      <c r="D4232" t="s">
        <v>12989</v>
      </c>
      <c r="F4232" t="s">
        <v>12990</v>
      </c>
      <c r="I4232" t="s">
        <v>29</v>
      </c>
      <c r="J4232" t="s">
        <v>30</v>
      </c>
      <c r="K4232" t="s">
        <v>12991</v>
      </c>
      <c r="M4232" t="s">
        <v>32</v>
      </c>
      <c r="N4232" t="str">
        <f>"8/14/2008 12:00:00 AM"</f>
        <v>8/14/2008 12:00:00 AM</v>
      </c>
      <c r="O4232" t="s">
        <v>12989</v>
      </c>
    </row>
    <row r="4233" spans="1:20" x14ac:dyDescent="0.25">
      <c r="A4233" t="str">
        <f>"3048328"</f>
        <v>3048328</v>
      </c>
      <c r="B4233" t="s">
        <v>12992</v>
      </c>
      <c r="C4233" t="str">
        <f>"82528003"</f>
        <v>82528003</v>
      </c>
      <c r="D4233" t="s">
        <v>12993</v>
      </c>
      <c r="E4233" t="s">
        <v>12994</v>
      </c>
      <c r="F4233" t="s">
        <v>12995</v>
      </c>
      <c r="I4233" t="s">
        <v>29</v>
      </c>
      <c r="J4233" t="s">
        <v>30</v>
      </c>
      <c r="K4233" t="s">
        <v>12996</v>
      </c>
      <c r="M4233" t="s">
        <v>32</v>
      </c>
      <c r="N4233" t="str">
        <f>"11/20/2007 12:00:00 AM"</f>
        <v>11/20/2007 12:00:00 AM</v>
      </c>
      <c r="O4233" t="s">
        <v>12993</v>
      </c>
      <c r="T4233" t="s">
        <v>12994</v>
      </c>
    </row>
    <row r="4234" spans="1:20" x14ac:dyDescent="0.25">
      <c r="A4234" t="str">
        <f>"3048365"</f>
        <v>3048365</v>
      </c>
      <c r="B4234" t="s">
        <v>12997</v>
      </c>
      <c r="C4234" t="str">
        <f>"71556000"</f>
        <v>71556000</v>
      </c>
      <c r="D4234" t="s">
        <v>12998</v>
      </c>
      <c r="E4234" t="s">
        <v>12999</v>
      </c>
      <c r="F4234" t="s">
        <v>13000</v>
      </c>
      <c r="I4234" t="s">
        <v>29</v>
      </c>
      <c r="J4234" t="s">
        <v>30</v>
      </c>
      <c r="K4234" t="s">
        <v>31</v>
      </c>
      <c r="M4234" t="s">
        <v>32</v>
      </c>
      <c r="N4234" t="str">
        <f>"6/15/2004 12:00:00 AM"</f>
        <v>6/15/2004 12:00:00 AM</v>
      </c>
      <c r="O4234" t="s">
        <v>12998</v>
      </c>
      <c r="T4234" t="s">
        <v>12999</v>
      </c>
    </row>
    <row r="4235" spans="1:20" x14ac:dyDescent="0.25">
      <c r="A4235" t="str">
        <f>"3078409"</f>
        <v>3078409</v>
      </c>
      <c r="B4235" t="s">
        <v>13001</v>
      </c>
      <c r="C4235" t="str">
        <f>"44001500"</f>
        <v>44001500</v>
      </c>
      <c r="D4235" t="s">
        <v>13002</v>
      </c>
      <c r="F4235" t="s">
        <v>13003</v>
      </c>
      <c r="I4235" t="s">
        <v>29</v>
      </c>
      <c r="J4235" t="s">
        <v>30</v>
      </c>
      <c r="K4235" t="s">
        <v>31</v>
      </c>
      <c r="M4235" t="s">
        <v>32</v>
      </c>
      <c r="N4235" t="str">
        <f>"8/23/2005 12:00:00 AM"</f>
        <v>8/23/2005 12:00:00 AM</v>
      </c>
      <c r="O4235" t="s">
        <v>13002</v>
      </c>
    </row>
    <row r="4236" spans="1:20" x14ac:dyDescent="0.25">
      <c r="A4236" t="str">
        <f>"3050022"</f>
        <v>3050022</v>
      </c>
      <c r="B4236" t="s">
        <v>13004</v>
      </c>
      <c r="C4236" t="str">
        <f>"82523577"</f>
        <v>82523577</v>
      </c>
      <c r="D4236" t="s">
        <v>13005</v>
      </c>
      <c r="E4236" t="s">
        <v>13006</v>
      </c>
      <c r="F4236" t="s">
        <v>13007</v>
      </c>
      <c r="I4236" t="s">
        <v>29</v>
      </c>
      <c r="J4236" t="s">
        <v>30</v>
      </c>
      <c r="K4236" t="s">
        <v>31</v>
      </c>
      <c r="M4236" t="s">
        <v>32</v>
      </c>
      <c r="N4236" t="str">
        <f>"8/19/2009 12:00:00 AM"</f>
        <v>8/19/2009 12:00:00 AM</v>
      </c>
      <c r="O4236" t="s">
        <v>13005</v>
      </c>
      <c r="T4236" t="s">
        <v>13006</v>
      </c>
    </row>
    <row r="4237" spans="1:20" x14ac:dyDescent="0.25">
      <c r="A4237" t="str">
        <f>"3050011"</f>
        <v>3050011</v>
      </c>
      <c r="B4237" t="s">
        <v>13008</v>
      </c>
      <c r="C4237" t="str">
        <f>"82514358"</f>
        <v>82514358</v>
      </c>
      <c r="D4237" t="s">
        <v>13009</v>
      </c>
      <c r="F4237" t="s">
        <v>13010</v>
      </c>
      <c r="I4237" t="s">
        <v>29</v>
      </c>
      <c r="J4237" t="s">
        <v>30</v>
      </c>
      <c r="K4237" t="s">
        <v>31</v>
      </c>
      <c r="M4237" t="s">
        <v>32</v>
      </c>
      <c r="N4237" t="str">
        <f>"7/27/2004 12:00:00 AM"</f>
        <v>7/27/2004 12:00:00 AM</v>
      </c>
      <c r="O4237" t="s">
        <v>13009</v>
      </c>
    </row>
    <row r="4238" spans="1:20" x14ac:dyDescent="0.25">
      <c r="A4238" t="str">
        <f>"3049908"</f>
        <v>3049908</v>
      </c>
      <c r="B4238" t="s">
        <v>13011</v>
      </c>
      <c r="C4238" t="str">
        <f>"29238700"</f>
        <v>29238700</v>
      </c>
      <c r="D4238" t="s">
        <v>13012</v>
      </c>
      <c r="E4238" t="s">
        <v>13013</v>
      </c>
      <c r="F4238" t="s">
        <v>13014</v>
      </c>
      <c r="I4238" t="s">
        <v>29</v>
      </c>
      <c r="J4238" t="s">
        <v>30</v>
      </c>
      <c r="K4238" t="s">
        <v>31</v>
      </c>
      <c r="M4238" t="s">
        <v>32</v>
      </c>
      <c r="N4238" t="str">
        <f>"2/7/2006 12:00:00 AM"</f>
        <v>2/7/2006 12:00:00 AM</v>
      </c>
      <c r="O4238" t="s">
        <v>13012</v>
      </c>
      <c r="T4238" t="s">
        <v>13013</v>
      </c>
    </row>
    <row r="4239" spans="1:20" x14ac:dyDescent="0.25">
      <c r="A4239" t="str">
        <f>"3049984"</f>
        <v>3049984</v>
      </c>
      <c r="B4239" t="s">
        <v>13015</v>
      </c>
      <c r="C4239" t="str">
        <f>"64119750"</f>
        <v>64119750</v>
      </c>
      <c r="D4239" t="s">
        <v>13016</v>
      </c>
      <c r="E4239" t="s">
        <v>13017</v>
      </c>
      <c r="F4239" t="s">
        <v>13018</v>
      </c>
      <c r="I4239" t="s">
        <v>29</v>
      </c>
      <c r="J4239" t="s">
        <v>30</v>
      </c>
      <c r="K4239" t="s">
        <v>31</v>
      </c>
      <c r="M4239" t="s">
        <v>32</v>
      </c>
      <c r="N4239" t="str">
        <f>"9/23/2002 12:00:00 AM"</f>
        <v>9/23/2002 12:00:00 AM</v>
      </c>
      <c r="O4239" t="s">
        <v>13016</v>
      </c>
      <c r="T4239" t="s">
        <v>13017</v>
      </c>
    </row>
    <row r="4240" spans="1:20" x14ac:dyDescent="0.25">
      <c r="A4240" t="str">
        <f>"3049467"</f>
        <v>3049467</v>
      </c>
      <c r="B4240" t="s">
        <v>13019</v>
      </c>
      <c r="C4240" t="str">
        <f>"64119750"</f>
        <v>64119750</v>
      </c>
      <c r="D4240" t="s">
        <v>13016</v>
      </c>
      <c r="E4240" t="s">
        <v>13017</v>
      </c>
      <c r="F4240" t="s">
        <v>13018</v>
      </c>
      <c r="I4240" t="s">
        <v>29</v>
      </c>
      <c r="J4240" t="s">
        <v>30</v>
      </c>
      <c r="K4240" t="s">
        <v>31</v>
      </c>
      <c r="M4240" t="s">
        <v>32</v>
      </c>
      <c r="N4240" t="str">
        <f>"9/23/2002 12:00:00 AM"</f>
        <v>9/23/2002 12:00:00 AM</v>
      </c>
      <c r="O4240" t="s">
        <v>13016</v>
      </c>
      <c r="T4240" t="s">
        <v>13017</v>
      </c>
    </row>
    <row r="4241" spans="1:20" x14ac:dyDescent="0.25">
      <c r="A4241" t="str">
        <f>"3048224"</f>
        <v>3048224</v>
      </c>
      <c r="B4241" t="s">
        <v>13020</v>
      </c>
      <c r="C4241" t="str">
        <f>"71556000"</f>
        <v>71556000</v>
      </c>
      <c r="D4241" t="s">
        <v>12998</v>
      </c>
      <c r="E4241" t="s">
        <v>12999</v>
      </c>
      <c r="F4241" t="s">
        <v>13000</v>
      </c>
      <c r="I4241" t="s">
        <v>29</v>
      </c>
      <c r="J4241" t="s">
        <v>30</v>
      </c>
      <c r="K4241" t="s">
        <v>31</v>
      </c>
      <c r="M4241" t="s">
        <v>32</v>
      </c>
      <c r="N4241" t="str">
        <f>"6/15/2004 12:00:00 AM"</f>
        <v>6/15/2004 12:00:00 AM</v>
      </c>
      <c r="O4241" t="s">
        <v>12998</v>
      </c>
      <c r="T4241" t="s">
        <v>12999</v>
      </c>
    </row>
    <row r="4242" spans="1:20" x14ac:dyDescent="0.25">
      <c r="A4242" t="str">
        <f>"3048236"</f>
        <v>3048236</v>
      </c>
      <c r="B4242" t="s">
        <v>13021</v>
      </c>
      <c r="C4242" t="str">
        <f>"71580000"</f>
        <v>71580000</v>
      </c>
      <c r="D4242" t="s">
        <v>12761</v>
      </c>
      <c r="F4242" t="s">
        <v>12762</v>
      </c>
      <c r="I4242" t="s">
        <v>29</v>
      </c>
      <c r="J4242" t="s">
        <v>30</v>
      </c>
      <c r="K4242" t="s">
        <v>31</v>
      </c>
      <c r="M4242" t="s">
        <v>32</v>
      </c>
      <c r="N4242" t="str">
        <f>"10/12/2010 12:00:00 AM"</f>
        <v>10/12/2010 12:00:00 AM</v>
      </c>
      <c r="O4242" t="s">
        <v>12761</v>
      </c>
      <c r="T4242" t="s">
        <v>12761</v>
      </c>
    </row>
    <row r="4243" spans="1:20" x14ac:dyDescent="0.25">
      <c r="A4243" t="str">
        <f>"3063305"</f>
        <v>3063305</v>
      </c>
      <c r="B4243" t="s">
        <v>13022</v>
      </c>
      <c r="C4243" t="str">
        <f>"53468000"</f>
        <v>53468000</v>
      </c>
      <c r="D4243" t="s">
        <v>13023</v>
      </c>
      <c r="E4243" t="s">
        <v>13024</v>
      </c>
      <c r="F4243" t="s">
        <v>13025</v>
      </c>
      <c r="I4243" t="s">
        <v>1107</v>
      </c>
      <c r="J4243" t="s">
        <v>30</v>
      </c>
      <c r="K4243" t="s">
        <v>13026</v>
      </c>
      <c r="M4243" t="s">
        <v>32</v>
      </c>
      <c r="N4243" t="str">
        <f>"1/10/2005 12:00:00 AM"</f>
        <v>1/10/2005 12:00:00 AM</v>
      </c>
      <c r="O4243" t="s">
        <v>13023</v>
      </c>
      <c r="T4243" t="s">
        <v>13024</v>
      </c>
    </row>
    <row r="4244" spans="1:20" x14ac:dyDescent="0.25">
      <c r="A4244" t="str">
        <f>"3049997"</f>
        <v>3049997</v>
      </c>
      <c r="B4244" t="s">
        <v>13027</v>
      </c>
      <c r="C4244" t="str">
        <f>"82523214"</f>
        <v>82523214</v>
      </c>
      <c r="D4244" t="s">
        <v>13028</v>
      </c>
      <c r="F4244" t="s">
        <v>13029</v>
      </c>
      <c r="I4244" t="s">
        <v>29</v>
      </c>
      <c r="J4244" t="s">
        <v>30</v>
      </c>
      <c r="K4244" t="s">
        <v>13030</v>
      </c>
      <c r="M4244" t="s">
        <v>32</v>
      </c>
      <c r="N4244" t="str">
        <f>"2/9/2005 12:00:00 AM"</f>
        <v>2/9/2005 12:00:00 AM</v>
      </c>
      <c r="O4244" t="s">
        <v>13028</v>
      </c>
    </row>
    <row r="4245" spans="1:20" x14ac:dyDescent="0.25">
      <c r="A4245" t="str">
        <f>"3078957"</f>
        <v>3078957</v>
      </c>
      <c r="B4245" t="s">
        <v>13031</v>
      </c>
      <c r="C4245" t="str">
        <f>"13923000"</f>
        <v>13923000</v>
      </c>
      <c r="D4245" t="s">
        <v>13032</v>
      </c>
      <c r="F4245" t="s">
        <v>10849</v>
      </c>
      <c r="I4245" t="s">
        <v>29</v>
      </c>
      <c r="J4245" t="s">
        <v>30</v>
      </c>
      <c r="K4245" t="s">
        <v>31</v>
      </c>
      <c r="M4245" t="s">
        <v>32</v>
      </c>
      <c r="N4245" t="str">
        <f>"6/19/2003 12:00:00 AM"</f>
        <v>6/19/2003 12:00:00 AM</v>
      </c>
      <c r="O4245" t="s">
        <v>13032</v>
      </c>
    </row>
    <row r="4246" spans="1:20" x14ac:dyDescent="0.25">
      <c r="A4246" t="str">
        <f>"3048539"</f>
        <v>3048539</v>
      </c>
      <c r="B4246" t="s">
        <v>13033</v>
      </c>
      <c r="C4246" t="str">
        <f>"82520941"</f>
        <v>82520941</v>
      </c>
      <c r="D4246" t="s">
        <v>13034</v>
      </c>
      <c r="F4246" t="s">
        <v>13035</v>
      </c>
      <c r="I4246" t="s">
        <v>29</v>
      </c>
      <c r="J4246" t="s">
        <v>30</v>
      </c>
      <c r="K4246" t="s">
        <v>31</v>
      </c>
      <c r="M4246" t="s">
        <v>32</v>
      </c>
      <c r="N4246" t="str">
        <f>"9/19/2005 12:00:00 AM"</f>
        <v>9/19/2005 12:00:00 AM</v>
      </c>
      <c r="O4246" t="s">
        <v>13034</v>
      </c>
    </row>
    <row r="4247" spans="1:20" x14ac:dyDescent="0.25">
      <c r="A4247" t="str">
        <f>"3048815"</f>
        <v>3048815</v>
      </c>
      <c r="B4247" t="s">
        <v>13036</v>
      </c>
      <c r="C4247" t="str">
        <f>"82520941"</f>
        <v>82520941</v>
      </c>
      <c r="D4247" t="s">
        <v>13034</v>
      </c>
      <c r="F4247" t="s">
        <v>13035</v>
      </c>
      <c r="I4247" t="s">
        <v>29</v>
      </c>
      <c r="J4247" t="s">
        <v>30</v>
      </c>
      <c r="K4247" t="s">
        <v>31</v>
      </c>
      <c r="M4247" t="s">
        <v>32</v>
      </c>
      <c r="N4247" t="str">
        <f>"9/19/2005 12:00:00 AM"</f>
        <v>9/19/2005 12:00:00 AM</v>
      </c>
      <c r="O4247" t="s">
        <v>13034</v>
      </c>
    </row>
    <row r="4248" spans="1:20" x14ac:dyDescent="0.25">
      <c r="A4248" t="str">
        <f>"3050045"</f>
        <v>3050045</v>
      </c>
      <c r="B4248" t="s">
        <v>13037</v>
      </c>
      <c r="C4248" t="str">
        <f>"82516326"</f>
        <v>82516326</v>
      </c>
      <c r="D4248" t="s">
        <v>13038</v>
      </c>
      <c r="E4248" t="s">
        <v>13039</v>
      </c>
      <c r="F4248" t="s">
        <v>13040</v>
      </c>
      <c r="I4248" t="s">
        <v>29</v>
      </c>
      <c r="J4248" t="s">
        <v>30</v>
      </c>
      <c r="K4248" t="s">
        <v>13041</v>
      </c>
      <c r="M4248" t="s">
        <v>32</v>
      </c>
      <c r="N4248" t="str">
        <f>"5/19/2010 12:00:00 AM"</f>
        <v>5/19/2010 12:00:00 AM</v>
      </c>
      <c r="O4248" t="s">
        <v>13038</v>
      </c>
      <c r="T4248" t="s">
        <v>13039</v>
      </c>
    </row>
    <row r="4249" spans="1:20" x14ac:dyDescent="0.25">
      <c r="A4249" t="str">
        <f>"3049681"</f>
        <v>3049681</v>
      </c>
      <c r="B4249" t="s">
        <v>13042</v>
      </c>
      <c r="C4249" t="str">
        <f>"82516326"</f>
        <v>82516326</v>
      </c>
      <c r="D4249" t="s">
        <v>13038</v>
      </c>
      <c r="E4249" t="s">
        <v>13039</v>
      </c>
      <c r="F4249" t="s">
        <v>13040</v>
      </c>
      <c r="I4249" t="s">
        <v>29</v>
      </c>
      <c r="J4249" t="s">
        <v>30</v>
      </c>
      <c r="K4249" t="s">
        <v>13041</v>
      </c>
      <c r="M4249" t="s">
        <v>32</v>
      </c>
      <c r="N4249" t="str">
        <f>"5/19/2010 12:00:00 AM"</f>
        <v>5/19/2010 12:00:00 AM</v>
      </c>
      <c r="O4249" t="s">
        <v>13038</v>
      </c>
      <c r="T4249" t="s">
        <v>13039</v>
      </c>
    </row>
    <row r="4250" spans="1:20" x14ac:dyDescent="0.25">
      <c r="A4250" t="str">
        <f>"3049680"</f>
        <v>3049680</v>
      </c>
      <c r="B4250" t="s">
        <v>13043</v>
      </c>
      <c r="C4250" t="str">
        <f>"25920000"</f>
        <v>25920000</v>
      </c>
      <c r="D4250" t="s">
        <v>13044</v>
      </c>
      <c r="E4250" t="s">
        <v>13045</v>
      </c>
      <c r="F4250" t="s">
        <v>13046</v>
      </c>
      <c r="I4250" t="s">
        <v>29</v>
      </c>
      <c r="J4250" t="s">
        <v>30</v>
      </c>
      <c r="K4250" t="s">
        <v>13041</v>
      </c>
      <c r="M4250" t="s">
        <v>32</v>
      </c>
      <c r="N4250" t="str">
        <f>"1/31/2006 12:00:00 AM"</f>
        <v>1/31/2006 12:00:00 AM</v>
      </c>
      <c r="O4250" t="s">
        <v>13044</v>
      </c>
      <c r="T4250" t="s">
        <v>13045</v>
      </c>
    </row>
    <row r="4251" spans="1:20" x14ac:dyDescent="0.25">
      <c r="A4251" t="str">
        <f>"3049936"</f>
        <v>3049936</v>
      </c>
      <c r="B4251" t="s">
        <v>13047</v>
      </c>
      <c r="C4251" t="str">
        <f>"25920000"</f>
        <v>25920000</v>
      </c>
      <c r="D4251" t="s">
        <v>13044</v>
      </c>
      <c r="E4251" t="s">
        <v>13045</v>
      </c>
      <c r="F4251" t="s">
        <v>13046</v>
      </c>
      <c r="I4251" t="s">
        <v>29</v>
      </c>
      <c r="J4251" t="s">
        <v>30</v>
      </c>
      <c r="K4251" t="s">
        <v>13041</v>
      </c>
      <c r="M4251" t="s">
        <v>32</v>
      </c>
      <c r="N4251" t="str">
        <f>"1/31/2006 12:00:00 AM"</f>
        <v>1/31/2006 12:00:00 AM</v>
      </c>
      <c r="O4251" t="s">
        <v>13044</v>
      </c>
      <c r="T4251" t="s">
        <v>13045</v>
      </c>
    </row>
    <row r="4252" spans="1:20" x14ac:dyDescent="0.25">
      <c r="A4252" t="str">
        <f>"3050104"</f>
        <v>3050104</v>
      </c>
      <c r="B4252" t="s">
        <v>13048</v>
      </c>
      <c r="C4252" t="str">
        <f>"10584380"</f>
        <v>10584380</v>
      </c>
      <c r="D4252" t="s">
        <v>13049</v>
      </c>
      <c r="E4252" t="s">
        <v>13050</v>
      </c>
      <c r="F4252" t="s">
        <v>13051</v>
      </c>
      <c r="I4252" t="s">
        <v>29</v>
      </c>
      <c r="J4252" t="s">
        <v>30</v>
      </c>
      <c r="K4252" t="s">
        <v>13052</v>
      </c>
      <c r="N4252" t="str">
        <f>"2/2/2010 12:00:00 AM"</f>
        <v>2/2/2010 12:00:00 AM</v>
      </c>
      <c r="O4252" t="s">
        <v>13049</v>
      </c>
      <c r="T4252" t="s">
        <v>13050</v>
      </c>
    </row>
    <row r="4253" spans="1:20" x14ac:dyDescent="0.25">
      <c r="A4253" t="str">
        <f>"3048242"</f>
        <v>3048242</v>
      </c>
      <c r="B4253" t="s">
        <v>13053</v>
      </c>
      <c r="C4253" t="str">
        <f>"81089300"</f>
        <v>81089300</v>
      </c>
      <c r="D4253" t="s">
        <v>13054</v>
      </c>
      <c r="E4253" t="s">
        <v>13055</v>
      </c>
      <c r="F4253" t="s">
        <v>13056</v>
      </c>
      <c r="I4253" t="s">
        <v>29</v>
      </c>
      <c r="J4253" t="s">
        <v>30</v>
      </c>
      <c r="K4253" t="s">
        <v>31</v>
      </c>
      <c r="M4253" t="s">
        <v>32</v>
      </c>
      <c r="N4253" t="str">
        <f>"7/19/2004 12:00:00 AM"</f>
        <v>7/19/2004 12:00:00 AM</v>
      </c>
      <c r="O4253" t="s">
        <v>13054</v>
      </c>
      <c r="T4253" t="s">
        <v>13055</v>
      </c>
    </row>
    <row r="4254" spans="1:20" x14ac:dyDescent="0.25">
      <c r="A4254" t="str">
        <f>"3050975"</f>
        <v>3050975</v>
      </c>
      <c r="B4254" t="s">
        <v>13057</v>
      </c>
      <c r="C4254" t="str">
        <f>"82526206"</f>
        <v>82526206</v>
      </c>
      <c r="D4254" t="s">
        <v>13058</v>
      </c>
      <c r="F4254" t="s">
        <v>13059</v>
      </c>
      <c r="I4254" t="s">
        <v>184</v>
      </c>
      <c r="J4254" t="s">
        <v>30</v>
      </c>
      <c r="K4254" t="s">
        <v>185</v>
      </c>
      <c r="M4254" t="s">
        <v>32</v>
      </c>
      <c r="N4254" t="str">
        <f>"5/17/2006 12:00:00 AM"</f>
        <v>5/17/2006 12:00:00 AM</v>
      </c>
      <c r="O4254" t="s">
        <v>13058</v>
      </c>
    </row>
    <row r="4255" spans="1:20" x14ac:dyDescent="0.25">
      <c r="A4255" t="str">
        <f>"3063306"</f>
        <v>3063306</v>
      </c>
      <c r="B4255" t="s">
        <v>13060</v>
      </c>
      <c r="C4255" t="str">
        <f>"81089300"</f>
        <v>81089300</v>
      </c>
      <c r="D4255" t="s">
        <v>13054</v>
      </c>
      <c r="E4255" t="s">
        <v>13055</v>
      </c>
      <c r="F4255" t="s">
        <v>13056</v>
      </c>
      <c r="I4255" t="s">
        <v>29</v>
      </c>
      <c r="J4255" t="s">
        <v>30</v>
      </c>
      <c r="K4255" t="s">
        <v>31</v>
      </c>
      <c r="M4255" t="s">
        <v>32</v>
      </c>
      <c r="N4255" t="str">
        <f>"7/19/2004 12:00:00 AM"</f>
        <v>7/19/2004 12:00:00 AM</v>
      </c>
      <c r="O4255" t="s">
        <v>13054</v>
      </c>
      <c r="T4255" t="s">
        <v>13055</v>
      </c>
    </row>
    <row r="4256" spans="1:20" x14ac:dyDescent="0.25">
      <c r="A4256" t="str">
        <f>"3078347"</f>
        <v>3078347</v>
      </c>
      <c r="B4256" t="s">
        <v>13061</v>
      </c>
      <c r="C4256" t="str">
        <f>"71257250"</f>
        <v>71257250</v>
      </c>
      <c r="D4256" t="s">
        <v>13062</v>
      </c>
      <c r="F4256" t="s">
        <v>12845</v>
      </c>
      <c r="I4256" t="s">
        <v>184</v>
      </c>
      <c r="J4256" t="s">
        <v>30</v>
      </c>
      <c r="K4256" t="s">
        <v>185</v>
      </c>
      <c r="M4256" t="s">
        <v>32</v>
      </c>
      <c r="N4256" t="str">
        <f>"9/19/2002 12:00:00 AM"</f>
        <v>9/19/2002 12:00:00 AM</v>
      </c>
      <c r="O4256" t="s">
        <v>13062</v>
      </c>
    </row>
    <row r="4257" spans="1:20" x14ac:dyDescent="0.25">
      <c r="A4257" t="str">
        <f>"3051395"</f>
        <v>3051395</v>
      </c>
      <c r="B4257" t="s">
        <v>13063</v>
      </c>
      <c r="C4257" t="str">
        <f>"43323000"</f>
        <v>43323000</v>
      </c>
      <c r="D4257" t="s">
        <v>13064</v>
      </c>
      <c r="E4257" t="s">
        <v>13065</v>
      </c>
      <c r="F4257" t="s">
        <v>13066</v>
      </c>
      <c r="I4257" t="s">
        <v>29</v>
      </c>
      <c r="J4257" t="s">
        <v>30</v>
      </c>
      <c r="K4257" t="s">
        <v>13067</v>
      </c>
      <c r="M4257" t="s">
        <v>32</v>
      </c>
      <c r="N4257" t="str">
        <f>"1/30/2006 12:00:00 AM"</f>
        <v>1/30/2006 12:00:00 AM</v>
      </c>
      <c r="O4257" t="s">
        <v>13064</v>
      </c>
      <c r="T4257" t="s">
        <v>13065</v>
      </c>
    </row>
    <row r="4258" spans="1:20" x14ac:dyDescent="0.25">
      <c r="A4258" t="str">
        <f>"3051906"</f>
        <v>3051906</v>
      </c>
      <c r="B4258" t="s">
        <v>13068</v>
      </c>
      <c r="C4258" t="str">
        <f>"70734000"</f>
        <v>70734000</v>
      </c>
      <c r="D4258" t="s">
        <v>7713</v>
      </c>
      <c r="I4258" t="s">
        <v>3934</v>
      </c>
      <c r="J4258" t="s">
        <v>30</v>
      </c>
      <c r="K4258" t="s">
        <v>13069</v>
      </c>
      <c r="M4258" t="s">
        <v>32</v>
      </c>
      <c r="N4258" t="str">
        <f>"5/20/2004 12:00:00 AM"</f>
        <v>5/20/2004 12:00:00 AM</v>
      </c>
      <c r="O4258" t="s">
        <v>7713</v>
      </c>
    </row>
    <row r="4259" spans="1:20" x14ac:dyDescent="0.25">
      <c r="A4259" t="str">
        <f>"3054147"</f>
        <v>3054147</v>
      </c>
      <c r="B4259" t="s">
        <v>13070</v>
      </c>
      <c r="C4259" t="str">
        <f>"70734000"</f>
        <v>70734000</v>
      </c>
      <c r="D4259" t="s">
        <v>7713</v>
      </c>
      <c r="I4259" t="s">
        <v>3934</v>
      </c>
      <c r="J4259" t="s">
        <v>30</v>
      </c>
      <c r="K4259" t="s">
        <v>13069</v>
      </c>
      <c r="M4259" t="s">
        <v>32</v>
      </c>
      <c r="N4259" t="str">
        <f>"5/20/2004 12:00:00 AM"</f>
        <v>5/20/2004 12:00:00 AM</v>
      </c>
      <c r="O4259" t="s">
        <v>7713</v>
      </c>
    </row>
    <row r="4260" spans="1:20" x14ac:dyDescent="0.25">
      <c r="A4260" t="str">
        <f>"3049710"</f>
        <v>3049710</v>
      </c>
      <c r="B4260" t="s">
        <v>13071</v>
      </c>
      <c r="C4260" t="str">
        <f>"20126500"</f>
        <v>20126500</v>
      </c>
      <c r="D4260" t="s">
        <v>13072</v>
      </c>
      <c r="K4260" t="s">
        <v>586</v>
      </c>
      <c r="M4260" t="s">
        <v>32</v>
      </c>
      <c r="N4260" t="str">
        <f>"8/27/1985 12:00:00 AM"</f>
        <v>8/27/1985 12:00:00 AM</v>
      </c>
      <c r="O4260" t="s">
        <v>13072</v>
      </c>
    </row>
    <row r="4261" spans="1:20" x14ac:dyDescent="0.25">
      <c r="A4261" t="str">
        <f>"3050132"</f>
        <v>3050132</v>
      </c>
      <c r="B4261" t="s">
        <v>13073</v>
      </c>
      <c r="C4261" t="str">
        <f>"20248350"</f>
        <v>20248350</v>
      </c>
      <c r="D4261" t="s">
        <v>13074</v>
      </c>
      <c r="F4261" t="str">
        <f>"C/O TOM COOK"</f>
        <v>C/O TOM COOK</v>
      </c>
      <c r="G4261" t="s">
        <v>13075</v>
      </c>
      <c r="I4261" t="s">
        <v>29</v>
      </c>
      <c r="J4261" t="s">
        <v>30</v>
      </c>
      <c r="K4261" t="s">
        <v>31</v>
      </c>
      <c r="M4261" t="s">
        <v>32</v>
      </c>
      <c r="N4261" t="str">
        <f>"7/17/2003 12:00:00 AM"</f>
        <v>7/17/2003 12:00:00 AM</v>
      </c>
      <c r="O4261" t="s">
        <v>13074</v>
      </c>
    </row>
    <row r="4262" spans="1:20" x14ac:dyDescent="0.25">
      <c r="A4262" t="str">
        <f>"3050081"</f>
        <v>3050081</v>
      </c>
      <c r="B4262" t="s">
        <v>13076</v>
      </c>
      <c r="C4262" t="str">
        <f>"32728000"</f>
        <v>32728000</v>
      </c>
      <c r="D4262" t="s">
        <v>13077</v>
      </c>
      <c r="F4262" t="s">
        <v>13078</v>
      </c>
      <c r="I4262" t="s">
        <v>29</v>
      </c>
      <c r="J4262" t="s">
        <v>30</v>
      </c>
      <c r="K4262" t="s">
        <v>31</v>
      </c>
      <c r="M4262" t="s">
        <v>32</v>
      </c>
      <c r="N4262" t="str">
        <f>"9/11/2003 12:00:00 AM"</f>
        <v>9/11/2003 12:00:00 AM</v>
      </c>
      <c r="O4262" t="s">
        <v>13077</v>
      </c>
    </row>
    <row r="4263" spans="1:20" x14ac:dyDescent="0.25">
      <c r="A4263" t="str">
        <f>"3051007"</f>
        <v>3051007</v>
      </c>
      <c r="B4263" t="s">
        <v>13079</v>
      </c>
      <c r="C4263" t="str">
        <f>"43323000"</f>
        <v>43323000</v>
      </c>
      <c r="D4263" t="s">
        <v>13064</v>
      </c>
      <c r="E4263" t="s">
        <v>13065</v>
      </c>
      <c r="F4263" t="s">
        <v>13066</v>
      </c>
      <c r="I4263" t="s">
        <v>29</v>
      </c>
      <c r="J4263" t="s">
        <v>30</v>
      </c>
      <c r="K4263" t="s">
        <v>13067</v>
      </c>
      <c r="M4263" t="s">
        <v>32</v>
      </c>
      <c r="N4263" t="str">
        <f>"1/30/2006 12:00:00 AM"</f>
        <v>1/30/2006 12:00:00 AM</v>
      </c>
      <c r="O4263" t="s">
        <v>13064</v>
      </c>
      <c r="T4263" t="s">
        <v>13065</v>
      </c>
    </row>
    <row r="4264" spans="1:20" x14ac:dyDescent="0.25">
      <c r="A4264" t="str">
        <f>"3051469"</f>
        <v>3051469</v>
      </c>
      <c r="B4264" t="s">
        <v>13080</v>
      </c>
      <c r="C4264" t="str">
        <f>"63024500"</f>
        <v>63024500</v>
      </c>
      <c r="D4264" t="s">
        <v>13081</v>
      </c>
      <c r="F4264" t="s">
        <v>13082</v>
      </c>
      <c r="I4264" t="s">
        <v>29</v>
      </c>
      <c r="J4264" t="s">
        <v>30</v>
      </c>
      <c r="K4264" t="s">
        <v>31</v>
      </c>
      <c r="M4264" t="s">
        <v>32</v>
      </c>
      <c r="N4264" t="str">
        <f>"12/9/2004 12:00:00 AM"</f>
        <v>12/9/2004 12:00:00 AM</v>
      </c>
      <c r="O4264" t="s">
        <v>13081</v>
      </c>
    </row>
    <row r="4265" spans="1:20" x14ac:dyDescent="0.25">
      <c r="A4265" t="str">
        <f>"3051430"</f>
        <v>3051430</v>
      </c>
      <c r="B4265" t="s">
        <v>13083</v>
      </c>
      <c r="C4265" t="str">
        <f>"20772000"</f>
        <v>20772000</v>
      </c>
      <c r="D4265" t="s">
        <v>13084</v>
      </c>
      <c r="F4265" t="s">
        <v>13085</v>
      </c>
      <c r="I4265" t="s">
        <v>29</v>
      </c>
      <c r="J4265" t="s">
        <v>30</v>
      </c>
      <c r="K4265" t="s">
        <v>12882</v>
      </c>
      <c r="M4265" t="s">
        <v>32</v>
      </c>
      <c r="N4265" t="str">
        <f>"2/1/2010 12:00:00 AM"</f>
        <v>2/1/2010 12:00:00 AM</v>
      </c>
      <c r="O4265" t="s">
        <v>13084</v>
      </c>
    </row>
    <row r="4266" spans="1:20" x14ac:dyDescent="0.25">
      <c r="A4266" t="str">
        <f>"3051126"</f>
        <v>3051126</v>
      </c>
      <c r="B4266" t="s">
        <v>13086</v>
      </c>
      <c r="C4266" t="str">
        <f>"13979000"</f>
        <v>13979000</v>
      </c>
      <c r="D4266" t="s">
        <v>13087</v>
      </c>
      <c r="E4266" t="s">
        <v>13088</v>
      </c>
      <c r="F4266" t="s">
        <v>13089</v>
      </c>
      <c r="I4266" t="s">
        <v>29</v>
      </c>
      <c r="J4266" t="s">
        <v>30</v>
      </c>
      <c r="K4266" t="s">
        <v>31</v>
      </c>
      <c r="M4266" t="s">
        <v>32</v>
      </c>
      <c r="N4266" t="str">
        <f>"6/19/2003 12:00:00 AM"</f>
        <v>6/19/2003 12:00:00 AM</v>
      </c>
      <c r="O4266" t="s">
        <v>13087</v>
      </c>
      <c r="T4266" t="s">
        <v>13088</v>
      </c>
    </row>
    <row r="4267" spans="1:20" x14ac:dyDescent="0.25">
      <c r="A4267" t="str">
        <f>"3078394"</f>
        <v>3078394</v>
      </c>
      <c r="B4267" t="s">
        <v>13090</v>
      </c>
      <c r="C4267" t="str">
        <f>"13978000"</f>
        <v>13978000</v>
      </c>
      <c r="D4267" t="s">
        <v>13087</v>
      </c>
      <c r="F4267" t="s">
        <v>13089</v>
      </c>
      <c r="I4267" t="s">
        <v>29</v>
      </c>
      <c r="J4267" t="s">
        <v>30</v>
      </c>
      <c r="K4267" t="s">
        <v>31</v>
      </c>
      <c r="M4267" t="s">
        <v>32</v>
      </c>
      <c r="N4267" t="str">
        <f>"9/20/2002 12:00:00 AM"</f>
        <v>9/20/2002 12:00:00 AM</v>
      </c>
      <c r="O4267" t="s">
        <v>13087</v>
      </c>
    </row>
    <row r="4268" spans="1:20" x14ac:dyDescent="0.25">
      <c r="A4268" t="str">
        <f>"3051157"</f>
        <v>3051157</v>
      </c>
      <c r="B4268" t="s">
        <v>13091</v>
      </c>
      <c r="C4268" t="str">
        <f>"82521660"</f>
        <v>82521660</v>
      </c>
      <c r="D4268" t="s">
        <v>13092</v>
      </c>
      <c r="E4268" t="s">
        <v>13093</v>
      </c>
      <c r="F4268" t="s">
        <v>13094</v>
      </c>
      <c r="I4268" t="s">
        <v>29</v>
      </c>
      <c r="J4268" t="s">
        <v>30</v>
      </c>
      <c r="K4268" t="s">
        <v>13095</v>
      </c>
      <c r="M4268" t="s">
        <v>32</v>
      </c>
      <c r="N4268" t="str">
        <f>"1/12/2007 12:00:00 AM"</f>
        <v>1/12/2007 12:00:00 AM</v>
      </c>
      <c r="O4268" t="s">
        <v>13092</v>
      </c>
      <c r="T4268" t="s">
        <v>13093</v>
      </c>
    </row>
    <row r="4269" spans="1:20" x14ac:dyDescent="0.25">
      <c r="A4269" t="str">
        <f>"3049889"</f>
        <v>3049889</v>
      </c>
      <c r="B4269" t="s">
        <v>13096</v>
      </c>
      <c r="C4269" t="str">
        <f>"82522422"</f>
        <v>82522422</v>
      </c>
      <c r="D4269" t="s">
        <v>13097</v>
      </c>
      <c r="F4269" t="s">
        <v>13098</v>
      </c>
      <c r="I4269" t="s">
        <v>29</v>
      </c>
      <c r="J4269" t="s">
        <v>30</v>
      </c>
      <c r="K4269" t="s">
        <v>13099</v>
      </c>
      <c r="M4269" t="s">
        <v>32</v>
      </c>
      <c r="N4269" t="str">
        <f>"3/11/2005 12:00:00 AM"</f>
        <v>3/11/2005 12:00:00 AM</v>
      </c>
      <c r="O4269" t="s">
        <v>13097</v>
      </c>
    </row>
    <row r="4270" spans="1:20" x14ac:dyDescent="0.25">
      <c r="A4270" t="str">
        <f>"3048771"</f>
        <v>3048771</v>
      </c>
      <c r="B4270" t="s">
        <v>13100</v>
      </c>
      <c r="C4270" t="str">
        <f>"9598350"</f>
        <v>9598350</v>
      </c>
      <c r="D4270" t="s">
        <v>13101</v>
      </c>
      <c r="E4270" t="s">
        <v>13102</v>
      </c>
      <c r="F4270" t="s">
        <v>13103</v>
      </c>
      <c r="I4270" t="s">
        <v>29</v>
      </c>
      <c r="J4270" t="s">
        <v>30</v>
      </c>
      <c r="K4270" t="s">
        <v>31</v>
      </c>
      <c r="M4270" t="s">
        <v>32</v>
      </c>
      <c r="N4270" t="str">
        <f>"2/9/2004 12:00:00 AM"</f>
        <v>2/9/2004 12:00:00 AM</v>
      </c>
      <c r="O4270" t="s">
        <v>13101</v>
      </c>
      <c r="T4270" t="s">
        <v>13102</v>
      </c>
    </row>
    <row r="4271" spans="1:20" x14ac:dyDescent="0.25">
      <c r="A4271" t="str">
        <f>"3051514"</f>
        <v>3051514</v>
      </c>
      <c r="B4271" t="s">
        <v>13104</v>
      </c>
      <c r="C4271" t="str">
        <f>"82521660"</f>
        <v>82521660</v>
      </c>
      <c r="D4271" t="s">
        <v>13092</v>
      </c>
      <c r="E4271" t="s">
        <v>13093</v>
      </c>
      <c r="F4271" t="s">
        <v>13094</v>
      </c>
      <c r="I4271" t="s">
        <v>29</v>
      </c>
      <c r="J4271" t="s">
        <v>30</v>
      </c>
      <c r="K4271" t="s">
        <v>13095</v>
      </c>
      <c r="M4271" t="s">
        <v>32</v>
      </c>
      <c r="N4271" t="str">
        <f>"1/12/2007 12:00:00 AM"</f>
        <v>1/12/2007 12:00:00 AM</v>
      </c>
      <c r="O4271" t="s">
        <v>13092</v>
      </c>
      <c r="T4271" t="s">
        <v>13093</v>
      </c>
    </row>
    <row r="4272" spans="1:20" x14ac:dyDescent="0.25">
      <c r="A4272" t="str">
        <f>"3051317"</f>
        <v>3051317</v>
      </c>
      <c r="B4272" t="s">
        <v>13105</v>
      </c>
      <c r="C4272" t="str">
        <f>"82516715"</f>
        <v>82516715</v>
      </c>
      <c r="D4272" t="s">
        <v>13106</v>
      </c>
      <c r="E4272" t="s">
        <v>13107</v>
      </c>
      <c r="F4272" t="s">
        <v>13108</v>
      </c>
      <c r="I4272" t="s">
        <v>29</v>
      </c>
      <c r="J4272" t="s">
        <v>30</v>
      </c>
      <c r="K4272" t="s">
        <v>31</v>
      </c>
      <c r="N4272" t="str">
        <f>"4/11/2007 12:00:00 AM"</f>
        <v>4/11/2007 12:00:00 AM</v>
      </c>
      <c r="O4272" t="s">
        <v>13106</v>
      </c>
      <c r="T4272" t="s">
        <v>13107</v>
      </c>
    </row>
    <row r="4273" spans="1:20" x14ac:dyDescent="0.25">
      <c r="A4273" t="str">
        <f>"3051290"</f>
        <v>3051290</v>
      </c>
      <c r="B4273" t="s">
        <v>13109</v>
      </c>
      <c r="C4273" t="str">
        <f>"14072810"</f>
        <v>14072810</v>
      </c>
      <c r="D4273" t="s">
        <v>13110</v>
      </c>
      <c r="F4273" t="s">
        <v>13111</v>
      </c>
      <c r="I4273" t="s">
        <v>29</v>
      </c>
      <c r="J4273" t="s">
        <v>30</v>
      </c>
      <c r="K4273" t="s">
        <v>31</v>
      </c>
      <c r="M4273" t="s">
        <v>32</v>
      </c>
      <c r="N4273" t="str">
        <f>"6/19/2003 12:00:00 AM"</f>
        <v>6/19/2003 12:00:00 AM</v>
      </c>
      <c r="O4273" t="s">
        <v>13110</v>
      </c>
    </row>
    <row r="4274" spans="1:20" x14ac:dyDescent="0.25">
      <c r="A4274" t="str">
        <f>"3070977"</f>
        <v>3070977</v>
      </c>
      <c r="B4274" t="s">
        <v>13112</v>
      </c>
      <c r="C4274" t="str">
        <f>"70986000"</f>
        <v>70986000</v>
      </c>
      <c r="D4274" t="s">
        <v>13113</v>
      </c>
      <c r="E4274" t="s">
        <v>13114</v>
      </c>
      <c r="F4274" t="s">
        <v>13115</v>
      </c>
      <c r="I4274" t="s">
        <v>29</v>
      </c>
      <c r="J4274" t="s">
        <v>30</v>
      </c>
      <c r="K4274" t="s">
        <v>13116</v>
      </c>
      <c r="M4274" t="s">
        <v>32</v>
      </c>
      <c r="N4274" t="str">
        <f>"2/11/2010 12:00:00 AM"</f>
        <v>2/11/2010 12:00:00 AM</v>
      </c>
      <c r="O4274" t="s">
        <v>13113</v>
      </c>
      <c r="T4274" t="s">
        <v>13114</v>
      </c>
    </row>
    <row r="4275" spans="1:20" x14ac:dyDescent="0.25">
      <c r="A4275" t="str">
        <f>"3053885"</f>
        <v>3053885</v>
      </c>
      <c r="B4275" t="s">
        <v>13117</v>
      </c>
      <c r="C4275" t="str">
        <f>"14072810"</f>
        <v>14072810</v>
      </c>
      <c r="D4275" t="s">
        <v>13110</v>
      </c>
      <c r="F4275" t="s">
        <v>13111</v>
      </c>
      <c r="I4275" t="s">
        <v>29</v>
      </c>
      <c r="J4275" t="s">
        <v>30</v>
      </c>
      <c r="K4275" t="s">
        <v>31</v>
      </c>
      <c r="M4275" t="s">
        <v>32</v>
      </c>
      <c r="N4275" t="str">
        <f>"6/19/2003 12:00:00 AM"</f>
        <v>6/19/2003 12:00:00 AM</v>
      </c>
      <c r="O4275" t="s">
        <v>13110</v>
      </c>
    </row>
    <row r="4276" spans="1:20" x14ac:dyDescent="0.25">
      <c r="A4276" t="str">
        <f>"3051459"</f>
        <v>3051459</v>
      </c>
      <c r="B4276" t="s">
        <v>13118</v>
      </c>
      <c r="C4276" t="str">
        <f>"14140000"</f>
        <v>14140000</v>
      </c>
      <c r="D4276" t="s">
        <v>13119</v>
      </c>
      <c r="F4276" t="s">
        <v>12822</v>
      </c>
      <c r="I4276" t="s">
        <v>29</v>
      </c>
      <c r="J4276" t="s">
        <v>30</v>
      </c>
      <c r="K4276" t="s">
        <v>31</v>
      </c>
      <c r="M4276" t="s">
        <v>32</v>
      </c>
      <c r="N4276" t="str">
        <f>"6/19/2003 12:00:00 AM"</f>
        <v>6/19/2003 12:00:00 AM</v>
      </c>
      <c r="O4276" t="s">
        <v>13119</v>
      </c>
    </row>
    <row r="4277" spans="1:20" x14ac:dyDescent="0.25">
      <c r="A4277" t="str">
        <f>"3051341"</f>
        <v>3051341</v>
      </c>
      <c r="B4277" t="s">
        <v>13120</v>
      </c>
      <c r="C4277" t="str">
        <f>"82517599"</f>
        <v>82517599</v>
      </c>
      <c r="D4277" t="s">
        <v>12978</v>
      </c>
      <c r="E4277" t="s">
        <v>12979</v>
      </c>
      <c r="F4277" t="s">
        <v>12980</v>
      </c>
      <c r="I4277" t="s">
        <v>29</v>
      </c>
      <c r="J4277" t="s">
        <v>30</v>
      </c>
      <c r="K4277" t="s">
        <v>31</v>
      </c>
      <c r="M4277" t="s">
        <v>32</v>
      </c>
      <c r="N4277" t="str">
        <f>"1/26/2007 12:00:00 AM"</f>
        <v>1/26/2007 12:00:00 AM</v>
      </c>
      <c r="O4277" t="s">
        <v>12978</v>
      </c>
      <c r="T4277" t="s">
        <v>12979</v>
      </c>
    </row>
    <row r="4278" spans="1:20" x14ac:dyDescent="0.25">
      <c r="A4278" t="str">
        <f>"3049517"</f>
        <v>3049517</v>
      </c>
      <c r="B4278" t="s">
        <v>13121</v>
      </c>
      <c r="C4278" t="str">
        <f>"44001500"</f>
        <v>44001500</v>
      </c>
      <c r="D4278" t="s">
        <v>13002</v>
      </c>
      <c r="F4278" t="s">
        <v>13003</v>
      </c>
      <c r="I4278" t="s">
        <v>29</v>
      </c>
      <c r="J4278" t="s">
        <v>30</v>
      </c>
      <c r="K4278" t="s">
        <v>31</v>
      </c>
      <c r="M4278" t="s">
        <v>32</v>
      </c>
      <c r="N4278" t="str">
        <f>"8/23/2005 12:00:00 AM"</f>
        <v>8/23/2005 12:00:00 AM</v>
      </c>
      <c r="O4278" t="s">
        <v>13002</v>
      </c>
    </row>
    <row r="4279" spans="1:20" x14ac:dyDescent="0.25">
      <c r="A4279" t="str">
        <f>"3078408"</f>
        <v>3078408</v>
      </c>
      <c r="B4279" t="s">
        <v>13122</v>
      </c>
      <c r="C4279" t="str">
        <f>"44001500"</f>
        <v>44001500</v>
      </c>
      <c r="D4279" t="s">
        <v>13002</v>
      </c>
      <c r="F4279" t="s">
        <v>13003</v>
      </c>
      <c r="I4279" t="s">
        <v>29</v>
      </c>
      <c r="J4279" t="s">
        <v>30</v>
      </c>
      <c r="K4279" t="s">
        <v>31</v>
      </c>
      <c r="M4279" t="s">
        <v>32</v>
      </c>
      <c r="N4279" t="str">
        <f>"8/23/2005 12:00:00 AM"</f>
        <v>8/23/2005 12:00:00 AM</v>
      </c>
      <c r="O4279" t="s">
        <v>13002</v>
      </c>
    </row>
    <row r="4280" spans="1:20" x14ac:dyDescent="0.25">
      <c r="A4280" t="str">
        <f>"3049995"</f>
        <v>3049995</v>
      </c>
      <c r="B4280" t="s">
        <v>13123</v>
      </c>
      <c r="C4280" t="str">
        <f>"27417000"</f>
        <v>27417000</v>
      </c>
      <c r="D4280" t="s">
        <v>13124</v>
      </c>
      <c r="E4280" t="s">
        <v>13125</v>
      </c>
      <c r="F4280" t="s">
        <v>13126</v>
      </c>
      <c r="I4280" t="s">
        <v>29</v>
      </c>
      <c r="J4280" t="s">
        <v>30</v>
      </c>
      <c r="K4280" t="s">
        <v>31</v>
      </c>
      <c r="M4280" t="s">
        <v>32</v>
      </c>
      <c r="N4280" t="str">
        <f>"9/23/2002 12:00:00 AM"</f>
        <v>9/23/2002 12:00:00 AM</v>
      </c>
      <c r="O4280" t="s">
        <v>13124</v>
      </c>
      <c r="T4280" t="s">
        <v>13125</v>
      </c>
    </row>
    <row r="4281" spans="1:20" x14ac:dyDescent="0.25">
      <c r="A4281" t="str">
        <f>"3052023"</f>
        <v>3052023</v>
      </c>
      <c r="B4281" t="s">
        <v>13127</v>
      </c>
      <c r="C4281" t="str">
        <f>"54708000"</f>
        <v>54708000</v>
      </c>
      <c r="D4281" t="s">
        <v>13128</v>
      </c>
      <c r="E4281" t="s">
        <v>13129</v>
      </c>
      <c r="F4281" t="s">
        <v>13130</v>
      </c>
      <c r="I4281" t="s">
        <v>29</v>
      </c>
      <c r="J4281" t="s">
        <v>30</v>
      </c>
      <c r="K4281" t="s">
        <v>13131</v>
      </c>
      <c r="M4281" t="s">
        <v>32</v>
      </c>
      <c r="N4281" t="str">
        <f>"2/9/2010 12:00:00 AM"</f>
        <v>2/9/2010 12:00:00 AM</v>
      </c>
      <c r="O4281" t="s">
        <v>13128</v>
      </c>
      <c r="T4281" t="s">
        <v>13129</v>
      </c>
    </row>
    <row r="4282" spans="1:20" x14ac:dyDescent="0.25">
      <c r="A4282" t="str">
        <f>"3051866"</f>
        <v>3051866</v>
      </c>
      <c r="B4282" t="s">
        <v>13132</v>
      </c>
      <c r="C4282" t="str">
        <f>"82529523"</f>
        <v>82529523</v>
      </c>
      <c r="D4282" t="s">
        <v>13133</v>
      </c>
      <c r="F4282" t="s">
        <v>13134</v>
      </c>
      <c r="I4282" t="s">
        <v>29</v>
      </c>
      <c r="J4282" t="s">
        <v>30</v>
      </c>
      <c r="K4282" t="s">
        <v>31</v>
      </c>
      <c r="M4282" t="s">
        <v>32</v>
      </c>
      <c r="N4282" t="str">
        <f>"5/5/2008 12:00:00 AM"</f>
        <v>5/5/2008 12:00:00 AM</v>
      </c>
      <c r="O4282" t="s">
        <v>13133</v>
      </c>
    </row>
    <row r="4283" spans="1:20" x14ac:dyDescent="0.25">
      <c r="A4283" t="str">
        <f>"3052004"</f>
        <v>3052004</v>
      </c>
      <c r="B4283" t="s">
        <v>13135</v>
      </c>
      <c r="C4283" t="str">
        <f>"82528238"</f>
        <v>82528238</v>
      </c>
      <c r="D4283" t="s">
        <v>13136</v>
      </c>
      <c r="F4283" t="s">
        <v>13137</v>
      </c>
      <c r="I4283" t="s">
        <v>29</v>
      </c>
      <c r="J4283" t="s">
        <v>30</v>
      </c>
      <c r="K4283" t="s">
        <v>31</v>
      </c>
      <c r="M4283" t="s">
        <v>32</v>
      </c>
      <c r="N4283" t="str">
        <f>"6/27/2007 12:00:00 AM"</f>
        <v>6/27/2007 12:00:00 AM</v>
      </c>
      <c r="O4283" t="s">
        <v>13136</v>
      </c>
    </row>
    <row r="4284" spans="1:20" x14ac:dyDescent="0.25">
      <c r="A4284" t="str">
        <f>"3051681"</f>
        <v>3051681</v>
      </c>
      <c r="B4284" t="s">
        <v>13138</v>
      </c>
      <c r="C4284" t="str">
        <f>"82528238"</f>
        <v>82528238</v>
      </c>
      <c r="D4284" t="s">
        <v>13136</v>
      </c>
      <c r="F4284" t="s">
        <v>13137</v>
      </c>
      <c r="I4284" t="s">
        <v>29</v>
      </c>
      <c r="J4284" t="s">
        <v>30</v>
      </c>
      <c r="K4284" t="s">
        <v>31</v>
      </c>
      <c r="M4284" t="s">
        <v>32</v>
      </c>
      <c r="N4284" t="str">
        <f>"6/27/2007 12:00:00 AM"</f>
        <v>6/27/2007 12:00:00 AM</v>
      </c>
      <c r="O4284" t="s">
        <v>13136</v>
      </c>
    </row>
    <row r="4285" spans="1:20" x14ac:dyDescent="0.25">
      <c r="A4285" t="str">
        <f>"3051682"</f>
        <v>3051682</v>
      </c>
      <c r="B4285" t="s">
        <v>13139</v>
      </c>
      <c r="C4285" t="str">
        <f>"82528238"</f>
        <v>82528238</v>
      </c>
      <c r="D4285" t="s">
        <v>13136</v>
      </c>
      <c r="F4285" t="s">
        <v>13137</v>
      </c>
      <c r="I4285" t="s">
        <v>29</v>
      </c>
      <c r="J4285" t="s">
        <v>30</v>
      </c>
      <c r="K4285" t="s">
        <v>31</v>
      </c>
      <c r="M4285" t="s">
        <v>32</v>
      </c>
      <c r="N4285" t="str">
        <f>"6/27/2007 12:00:00 AM"</f>
        <v>6/27/2007 12:00:00 AM</v>
      </c>
      <c r="O4285" t="s">
        <v>13136</v>
      </c>
    </row>
    <row r="4286" spans="1:20" x14ac:dyDescent="0.25">
      <c r="A4286" t="str">
        <f>"3051987"</f>
        <v>3051987</v>
      </c>
      <c r="B4286" t="s">
        <v>13140</v>
      </c>
      <c r="C4286" t="str">
        <f>"9405000"</f>
        <v>9405000</v>
      </c>
      <c r="D4286" t="s">
        <v>13141</v>
      </c>
      <c r="E4286" t="s">
        <v>13142</v>
      </c>
      <c r="F4286" t="s">
        <v>13143</v>
      </c>
      <c r="I4286" t="s">
        <v>29</v>
      </c>
      <c r="J4286" t="s">
        <v>30</v>
      </c>
      <c r="K4286" t="s">
        <v>31</v>
      </c>
      <c r="M4286" t="s">
        <v>32</v>
      </c>
      <c r="N4286" t="str">
        <f>"6/9/2003 12:00:00 AM"</f>
        <v>6/9/2003 12:00:00 AM</v>
      </c>
      <c r="O4286" t="s">
        <v>13141</v>
      </c>
      <c r="T4286" t="s">
        <v>13142</v>
      </c>
    </row>
    <row r="4287" spans="1:20" x14ac:dyDescent="0.25">
      <c r="A4287" t="str">
        <f>"3059545"</f>
        <v>3059545</v>
      </c>
      <c r="B4287" t="s">
        <v>13144</v>
      </c>
      <c r="C4287" t="str">
        <f>"9405000"</f>
        <v>9405000</v>
      </c>
      <c r="D4287" t="s">
        <v>13141</v>
      </c>
      <c r="E4287" t="s">
        <v>13142</v>
      </c>
      <c r="F4287" t="s">
        <v>13143</v>
      </c>
      <c r="I4287" t="s">
        <v>29</v>
      </c>
      <c r="J4287" t="s">
        <v>30</v>
      </c>
      <c r="K4287" t="s">
        <v>31</v>
      </c>
      <c r="M4287" t="s">
        <v>32</v>
      </c>
      <c r="N4287" t="str">
        <f>"6/9/2003 12:00:00 AM"</f>
        <v>6/9/2003 12:00:00 AM</v>
      </c>
      <c r="O4287" t="s">
        <v>13141</v>
      </c>
      <c r="T4287" t="s">
        <v>13142</v>
      </c>
    </row>
    <row r="4288" spans="1:20" x14ac:dyDescent="0.25">
      <c r="A4288" t="str">
        <f>"3048830"</f>
        <v>3048830</v>
      </c>
      <c r="B4288" t="s">
        <v>13145</v>
      </c>
      <c r="C4288" t="str">
        <f>"62419750"</f>
        <v>62419750</v>
      </c>
      <c r="D4288" t="s">
        <v>13146</v>
      </c>
      <c r="E4288" t="s">
        <v>13147</v>
      </c>
      <c r="F4288" t="s">
        <v>13148</v>
      </c>
      <c r="I4288" t="s">
        <v>29</v>
      </c>
      <c r="J4288" t="s">
        <v>30</v>
      </c>
      <c r="K4288" t="s">
        <v>31</v>
      </c>
      <c r="M4288" t="s">
        <v>32</v>
      </c>
      <c r="N4288" t="str">
        <f>"4/23/2004 12:00:00 AM"</f>
        <v>4/23/2004 12:00:00 AM</v>
      </c>
      <c r="O4288" t="s">
        <v>13146</v>
      </c>
      <c r="T4288" t="s">
        <v>13147</v>
      </c>
    </row>
    <row r="4289" spans="1:20" x14ac:dyDescent="0.25">
      <c r="A4289" t="str">
        <f>"3049960"</f>
        <v>3049960</v>
      </c>
      <c r="B4289" t="s">
        <v>13149</v>
      </c>
      <c r="C4289" t="str">
        <f>"30412000"</f>
        <v>30412000</v>
      </c>
      <c r="D4289" t="s">
        <v>13150</v>
      </c>
      <c r="E4289" t="s">
        <v>13151</v>
      </c>
      <c r="F4289" t="s">
        <v>13029</v>
      </c>
      <c r="I4289" t="s">
        <v>29</v>
      </c>
      <c r="J4289" t="s">
        <v>30</v>
      </c>
      <c r="K4289" t="s">
        <v>13030</v>
      </c>
      <c r="M4289" t="s">
        <v>32</v>
      </c>
      <c r="N4289" t="str">
        <f>"1/31/2006 12:00:00 AM"</f>
        <v>1/31/2006 12:00:00 AM</v>
      </c>
      <c r="O4289" t="s">
        <v>13150</v>
      </c>
      <c r="T4289" t="s">
        <v>13151</v>
      </c>
    </row>
    <row r="4290" spans="1:20" x14ac:dyDescent="0.25">
      <c r="A4290" t="str">
        <f>"3048538"</f>
        <v>3048538</v>
      </c>
      <c r="B4290" t="s">
        <v>13152</v>
      </c>
      <c r="C4290" t="str">
        <f>"48556000"</f>
        <v>48556000</v>
      </c>
      <c r="D4290" t="s">
        <v>13153</v>
      </c>
      <c r="E4290" t="s">
        <v>13154</v>
      </c>
      <c r="F4290" t="s">
        <v>13155</v>
      </c>
      <c r="I4290" t="s">
        <v>29</v>
      </c>
      <c r="J4290" t="s">
        <v>30</v>
      </c>
      <c r="K4290" t="s">
        <v>13156</v>
      </c>
      <c r="M4290" t="s">
        <v>32</v>
      </c>
      <c r="N4290" t="str">
        <f>"2/11/2005 12:00:00 AM"</f>
        <v>2/11/2005 12:00:00 AM</v>
      </c>
      <c r="O4290" t="s">
        <v>13153</v>
      </c>
      <c r="T4290" t="s">
        <v>13154</v>
      </c>
    </row>
    <row r="4291" spans="1:20" x14ac:dyDescent="0.25">
      <c r="A4291" t="str">
        <f>"3048808"</f>
        <v>3048808</v>
      </c>
      <c r="B4291" t="s">
        <v>13157</v>
      </c>
      <c r="C4291" t="str">
        <f>"48556000"</f>
        <v>48556000</v>
      </c>
      <c r="D4291" t="s">
        <v>13153</v>
      </c>
      <c r="E4291" t="s">
        <v>13154</v>
      </c>
      <c r="F4291" t="s">
        <v>13155</v>
      </c>
      <c r="I4291" t="s">
        <v>29</v>
      </c>
      <c r="J4291" t="s">
        <v>30</v>
      </c>
      <c r="K4291" t="s">
        <v>13156</v>
      </c>
      <c r="M4291" t="s">
        <v>32</v>
      </c>
      <c r="N4291" t="str">
        <f>"2/11/2005 12:00:00 AM"</f>
        <v>2/11/2005 12:00:00 AM</v>
      </c>
      <c r="O4291" t="s">
        <v>13153</v>
      </c>
      <c r="T4291" t="s">
        <v>13154</v>
      </c>
    </row>
    <row r="4292" spans="1:20" x14ac:dyDescent="0.25">
      <c r="A4292" t="str">
        <f>"3049561"</f>
        <v>3049561</v>
      </c>
      <c r="B4292" t="s">
        <v>13158</v>
      </c>
      <c r="C4292" t="str">
        <f>"30412000"</f>
        <v>30412000</v>
      </c>
      <c r="D4292" t="s">
        <v>13150</v>
      </c>
      <c r="E4292" t="s">
        <v>13151</v>
      </c>
      <c r="F4292" t="s">
        <v>13029</v>
      </c>
      <c r="I4292" t="s">
        <v>29</v>
      </c>
      <c r="J4292" t="s">
        <v>30</v>
      </c>
      <c r="K4292" t="s">
        <v>13030</v>
      </c>
      <c r="M4292" t="s">
        <v>32</v>
      </c>
      <c r="N4292" t="str">
        <f>"1/31/2006 12:00:00 AM"</f>
        <v>1/31/2006 12:00:00 AM</v>
      </c>
      <c r="O4292" t="s">
        <v>13150</v>
      </c>
      <c r="T4292" t="s">
        <v>13151</v>
      </c>
    </row>
    <row r="4293" spans="1:20" x14ac:dyDescent="0.25">
      <c r="A4293" t="str">
        <f>"3048501"</f>
        <v>3048501</v>
      </c>
      <c r="B4293" t="s">
        <v>13159</v>
      </c>
      <c r="C4293" t="str">
        <f>"82520941"</f>
        <v>82520941</v>
      </c>
      <c r="D4293" t="s">
        <v>13034</v>
      </c>
      <c r="F4293" t="s">
        <v>13035</v>
      </c>
      <c r="I4293" t="s">
        <v>29</v>
      </c>
      <c r="J4293" t="s">
        <v>30</v>
      </c>
      <c r="K4293" t="s">
        <v>31</v>
      </c>
      <c r="M4293" t="s">
        <v>32</v>
      </c>
      <c r="N4293" t="str">
        <f>"9/19/2005 12:00:00 AM"</f>
        <v>9/19/2005 12:00:00 AM</v>
      </c>
      <c r="O4293" t="s">
        <v>13034</v>
      </c>
    </row>
    <row r="4294" spans="1:20" x14ac:dyDescent="0.25">
      <c r="A4294" t="str">
        <f>"3048268"</f>
        <v>3048268</v>
      </c>
      <c r="B4294" t="s">
        <v>13160</v>
      </c>
      <c r="C4294" t="str">
        <f>"82529911"</f>
        <v>82529911</v>
      </c>
      <c r="D4294" t="s">
        <v>13161</v>
      </c>
      <c r="F4294" t="s">
        <v>13162</v>
      </c>
      <c r="I4294" t="s">
        <v>29</v>
      </c>
      <c r="J4294" t="s">
        <v>30</v>
      </c>
      <c r="K4294" t="s">
        <v>31</v>
      </c>
      <c r="M4294" t="s">
        <v>32</v>
      </c>
      <c r="N4294" t="str">
        <f>"7/28/2008 12:00:00 AM"</f>
        <v>7/28/2008 12:00:00 AM</v>
      </c>
      <c r="O4294" t="s">
        <v>13161</v>
      </c>
    </row>
    <row r="4295" spans="1:20" x14ac:dyDescent="0.25">
      <c r="A4295" t="str">
        <f>"3078414"</f>
        <v>3078414</v>
      </c>
      <c r="B4295" t="s">
        <v>13163</v>
      </c>
      <c r="C4295" t="str">
        <f>"82521334"</f>
        <v>82521334</v>
      </c>
      <c r="D4295" t="s">
        <v>13164</v>
      </c>
      <c r="E4295" t="s">
        <v>13165</v>
      </c>
      <c r="F4295" t="s">
        <v>13166</v>
      </c>
      <c r="I4295" t="s">
        <v>29</v>
      </c>
      <c r="J4295" t="s">
        <v>30</v>
      </c>
      <c r="K4295" t="s">
        <v>31</v>
      </c>
      <c r="M4295" t="s">
        <v>32</v>
      </c>
      <c r="N4295" t="str">
        <f>"1/20/2004 12:00:00 AM"</f>
        <v>1/20/2004 12:00:00 AM</v>
      </c>
      <c r="O4295" t="s">
        <v>13164</v>
      </c>
      <c r="T4295" t="s">
        <v>13165</v>
      </c>
    </row>
    <row r="4296" spans="1:20" x14ac:dyDescent="0.25">
      <c r="A4296" t="str">
        <f>"3059489"</f>
        <v>3059489</v>
      </c>
      <c r="B4296" t="s">
        <v>13167</v>
      </c>
      <c r="C4296" t="str">
        <f>"82525745"</f>
        <v>82525745</v>
      </c>
      <c r="D4296" t="s">
        <v>13168</v>
      </c>
      <c r="F4296" t="s">
        <v>13169</v>
      </c>
      <c r="I4296" t="s">
        <v>29</v>
      </c>
      <c r="J4296" t="s">
        <v>30</v>
      </c>
      <c r="K4296" t="s">
        <v>13170</v>
      </c>
      <c r="M4296" t="s">
        <v>32</v>
      </c>
      <c r="N4296" t="str">
        <f>"2/15/2006 12:00:00 AM"</f>
        <v>2/15/2006 12:00:00 AM</v>
      </c>
      <c r="O4296" t="s">
        <v>13168</v>
      </c>
    </row>
    <row r="4297" spans="1:20" x14ac:dyDescent="0.25">
      <c r="A4297" t="str">
        <f>"3059474"</f>
        <v>3059474</v>
      </c>
      <c r="B4297" t="s">
        <v>13171</v>
      </c>
      <c r="C4297" t="str">
        <f>"82517221"</f>
        <v>82517221</v>
      </c>
      <c r="D4297" t="s">
        <v>13172</v>
      </c>
      <c r="E4297" t="s">
        <v>13173</v>
      </c>
      <c r="F4297" t="s">
        <v>13174</v>
      </c>
      <c r="I4297" t="s">
        <v>49</v>
      </c>
      <c r="J4297" t="s">
        <v>30</v>
      </c>
      <c r="K4297" t="s">
        <v>50</v>
      </c>
      <c r="M4297" t="s">
        <v>32</v>
      </c>
      <c r="N4297" t="str">
        <f>"8/9/2002 12:00:00 AM"</f>
        <v>8/9/2002 12:00:00 AM</v>
      </c>
      <c r="O4297" t="s">
        <v>13172</v>
      </c>
      <c r="T4297" t="s">
        <v>13173</v>
      </c>
    </row>
    <row r="4298" spans="1:20" x14ac:dyDescent="0.25">
      <c r="A4298" t="str">
        <f>"3058246"</f>
        <v>3058246</v>
      </c>
      <c r="B4298" t="s">
        <v>13175</v>
      </c>
      <c r="C4298" t="str">
        <f>"82525009"</f>
        <v>82525009</v>
      </c>
      <c r="D4298" t="s">
        <v>13176</v>
      </c>
      <c r="F4298" t="s">
        <v>13177</v>
      </c>
      <c r="I4298" t="s">
        <v>29</v>
      </c>
      <c r="J4298" t="s">
        <v>30</v>
      </c>
      <c r="K4298" t="s">
        <v>13178</v>
      </c>
      <c r="M4298" t="s">
        <v>32</v>
      </c>
      <c r="N4298" t="str">
        <f>"1/11/2006 12:00:00 AM"</f>
        <v>1/11/2006 12:00:00 AM</v>
      </c>
      <c r="O4298" t="s">
        <v>13176</v>
      </c>
    </row>
    <row r="4299" spans="1:20" x14ac:dyDescent="0.25">
      <c r="A4299" t="str">
        <f>"3059469"</f>
        <v>3059469</v>
      </c>
      <c r="B4299" t="s">
        <v>13179</v>
      </c>
      <c r="C4299" t="str">
        <f>"41647000"</f>
        <v>41647000</v>
      </c>
      <c r="D4299" t="s">
        <v>13180</v>
      </c>
      <c r="F4299" t="s">
        <v>13181</v>
      </c>
      <c r="I4299" t="s">
        <v>29</v>
      </c>
      <c r="J4299" t="s">
        <v>30</v>
      </c>
      <c r="K4299" t="s">
        <v>31</v>
      </c>
      <c r="M4299" t="s">
        <v>32</v>
      </c>
      <c r="N4299" t="str">
        <f>"1/21/2004 12:00:00 AM"</f>
        <v>1/21/2004 12:00:00 AM</v>
      </c>
      <c r="O4299" t="s">
        <v>13180</v>
      </c>
    </row>
    <row r="4300" spans="1:20" x14ac:dyDescent="0.25">
      <c r="A4300" t="str">
        <f>"3059470"</f>
        <v>3059470</v>
      </c>
      <c r="B4300" t="s">
        <v>13182</v>
      </c>
      <c r="C4300" t="str">
        <f>"82516316"</f>
        <v>82516316</v>
      </c>
      <c r="D4300" t="s">
        <v>13183</v>
      </c>
      <c r="E4300" t="s">
        <v>13184</v>
      </c>
      <c r="F4300" t="s">
        <v>13185</v>
      </c>
      <c r="I4300" t="s">
        <v>29</v>
      </c>
      <c r="J4300" t="s">
        <v>30</v>
      </c>
      <c r="K4300" t="s">
        <v>31</v>
      </c>
      <c r="N4300" t="str">
        <f>"9/23/2002 12:00:00 AM"</f>
        <v>9/23/2002 12:00:00 AM</v>
      </c>
      <c r="O4300" t="s">
        <v>13183</v>
      </c>
      <c r="T4300" t="s">
        <v>13184</v>
      </c>
    </row>
    <row r="4301" spans="1:20" x14ac:dyDescent="0.25">
      <c r="A4301" t="str">
        <f>"3049985"</f>
        <v>3049985</v>
      </c>
      <c r="B4301" t="s">
        <v>13186</v>
      </c>
      <c r="C4301" t="str">
        <f>"82523186"</f>
        <v>82523186</v>
      </c>
      <c r="D4301" t="s">
        <v>13187</v>
      </c>
      <c r="E4301" t="s">
        <v>13188</v>
      </c>
      <c r="F4301" t="s">
        <v>13189</v>
      </c>
      <c r="I4301" t="s">
        <v>29</v>
      </c>
      <c r="J4301" t="s">
        <v>30</v>
      </c>
      <c r="K4301" t="s">
        <v>13190</v>
      </c>
      <c r="M4301" t="s">
        <v>32</v>
      </c>
      <c r="N4301" t="str">
        <f>"2/18/2005 12:00:00 AM"</f>
        <v>2/18/2005 12:00:00 AM</v>
      </c>
      <c r="O4301" t="s">
        <v>13187</v>
      </c>
      <c r="T4301" t="s">
        <v>13188</v>
      </c>
    </row>
    <row r="4302" spans="1:20" x14ac:dyDescent="0.25">
      <c r="A4302" t="str">
        <f>"3050060"</f>
        <v>3050060</v>
      </c>
      <c r="B4302" t="s">
        <v>13191</v>
      </c>
      <c r="C4302" t="str">
        <f>"29978700"</f>
        <v>29978700</v>
      </c>
      <c r="D4302" t="s">
        <v>13192</v>
      </c>
      <c r="E4302" t="s">
        <v>13193</v>
      </c>
      <c r="F4302" t="s">
        <v>13194</v>
      </c>
      <c r="I4302" t="s">
        <v>29</v>
      </c>
      <c r="J4302" t="s">
        <v>30</v>
      </c>
      <c r="K4302" t="s">
        <v>13190</v>
      </c>
      <c r="M4302" t="s">
        <v>32</v>
      </c>
      <c r="N4302" t="str">
        <f>"1/5/2006 12:00:00 AM"</f>
        <v>1/5/2006 12:00:00 AM</v>
      </c>
      <c r="O4302" t="s">
        <v>13192</v>
      </c>
      <c r="T4302" t="s">
        <v>13193</v>
      </c>
    </row>
    <row r="4303" spans="1:20" x14ac:dyDescent="0.25">
      <c r="A4303" t="str">
        <f>"3052321"</f>
        <v>3052321</v>
      </c>
      <c r="B4303" t="s">
        <v>13195</v>
      </c>
      <c r="C4303" t="str">
        <f>"39606000"</f>
        <v>39606000</v>
      </c>
      <c r="D4303" t="s">
        <v>13196</v>
      </c>
      <c r="F4303" t="s">
        <v>13197</v>
      </c>
      <c r="I4303" t="s">
        <v>29</v>
      </c>
      <c r="J4303" t="s">
        <v>30</v>
      </c>
      <c r="K4303" t="s">
        <v>31</v>
      </c>
      <c r="M4303" t="s">
        <v>32</v>
      </c>
      <c r="N4303" t="str">
        <f>"9/24/2002 12:00:00 AM"</f>
        <v>9/24/2002 12:00:00 AM</v>
      </c>
      <c r="O4303" t="s">
        <v>13196</v>
      </c>
    </row>
    <row r="4304" spans="1:20" x14ac:dyDescent="0.25">
      <c r="A4304" t="str">
        <f>"3059454"</f>
        <v>3059454</v>
      </c>
      <c r="B4304" t="s">
        <v>13198</v>
      </c>
      <c r="C4304" t="str">
        <f>"82529120"</f>
        <v>82529120</v>
      </c>
      <c r="D4304" t="s">
        <v>13199</v>
      </c>
      <c r="F4304" t="s">
        <v>13200</v>
      </c>
      <c r="I4304" t="s">
        <v>29</v>
      </c>
      <c r="J4304" t="s">
        <v>30</v>
      </c>
      <c r="K4304" t="s">
        <v>31</v>
      </c>
      <c r="M4304" t="s">
        <v>32</v>
      </c>
      <c r="N4304" t="str">
        <f>"1/8/2009 12:00:00 AM"</f>
        <v>1/8/2009 12:00:00 AM</v>
      </c>
      <c r="O4304" t="s">
        <v>13199</v>
      </c>
    </row>
    <row r="4305" spans="1:20" x14ac:dyDescent="0.25">
      <c r="A4305" t="str">
        <f>"3059407"</f>
        <v>3059407</v>
      </c>
      <c r="B4305" t="s">
        <v>13201</v>
      </c>
      <c r="C4305" t="str">
        <f>"46324000"</f>
        <v>46324000</v>
      </c>
      <c r="D4305" t="s">
        <v>13202</v>
      </c>
      <c r="E4305" t="s">
        <v>13203</v>
      </c>
      <c r="F4305" t="s">
        <v>13204</v>
      </c>
      <c r="I4305" t="s">
        <v>29</v>
      </c>
      <c r="J4305" t="s">
        <v>30</v>
      </c>
      <c r="K4305" t="s">
        <v>31</v>
      </c>
      <c r="M4305" t="s">
        <v>32</v>
      </c>
      <c r="N4305" t="str">
        <f>"12/17/2003 12:00:00 AM"</f>
        <v>12/17/2003 12:00:00 AM</v>
      </c>
      <c r="O4305" t="s">
        <v>13202</v>
      </c>
      <c r="T4305" t="s">
        <v>13203</v>
      </c>
    </row>
    <row r="4306" spans="1:20" x14ac:dyDescent="0.25">
      <c r="A4306" t="str">
        <f>"3059430"</f>
        <v>3059430</v>
      </c>
      <c r="B4306" t="s">
        <v>13205</v>
      </c>
      <c r="C4306" t="str">
        <f>"56840820"</f>
        <v>56840820</v>
      </c>
      <c r="D4306" t="s">
        <v>13206</v>
      </c>
      <c r="E4306" t="s">
        <v>13207</v>
      </c>
      <c r="F4306" t="s">
        <v>13208</v>
      </c>
      <c r="I4306" t="s">
        <v>29</v>
      </c>
      <c r="J4306" t="s">
        <v>30</v>
      </c>
      <c r="K4306" t="s">
        <v>31</v>
      </c>
      <c r="M4306" t="s">
        <v>32</v>
      </c>
      <c r="N4306" t="str">
        <f>"9/24/2002 12:00:00 AM"</f>
        <v>9/24/2002 12:00:00 AM</v>
      </c>
      <c r="O4306" t="s">
        <v>13206</v>
      </c>
      <c r="T4306" t="s">
        <v>13207</v>
      </c>
    </row>
    <row r="4307" spans="1:20" x14ac:dyDescent="0.25">
      <c r="A4307" t="str">
        <f>"3059462"</f>
        <v>3059462</v>
      </c>
      <c r="B4307" t="s">
        <v>13209</v>
      </c>
      <c r="C4307" t="str">
        <f>"22410700"</f>
        <v>22410700</v>
      </c>
      <c r="D4307" t="s">
        <v>13210</v>
      </c>
      <c r="F4307" t="s">
        <v>13211</v>
      </c>
      <c r="I4307" t="s">
        <v>29</v>
      </c>
      <c r="J4307" t="s">
        <v>30</v>
      </c>
      <c r="K4307" t="s">
        <v>31</v>
      </c>
      <c r="M4307" t="s">
        <v>32</v>
      </c>
      <c r="N4307" t="str">
        <f>"7/24/2003 12:00:00 AM"</f>
        <v>7/24/2003 12:00:00 AM</v>
      </c>
      <c r="O4307" t="s">
        <v>13210</v>
      </c>
    </row>
    <row r="4308" spans="1:20" x14ac:dyDescent="0.25">
      <c r="A4308" t="str">
        <f>"3052220"</f>
        <v>3052220</v>
      </c>
      <c r="B4308" t="s">
        <v>13212</v>
      </c>
      <c r="C4308" t="str">
        <f>"22410700"</f>
        <v>22410700</v>
      </c>
      <c r="D4308" t="s">
        <v>13210</v>
      </c>
      <c r="F4308" t="s">
        <v>13211</v>
      </c>
      <c r="I4308" t="s">
        <v>29</v>
      </c>
      <c r="J4308" t="s">
        <v>30</v>
      </c>
      <c r="K4308" t="s">
        <v>31</v>
      </c>
      <c r="M4308" t="s">
        <v>32</v>
      </c>
      <c r="N4308" t="str">
        <f>"7/24/2003 12:00:00 AM"</f>
        <v>7/24/2003 12:00:00 AM</v>
      </c>
      <c r="O4308" t="s">
        <v>13210</v>
      </c>
    </row>
    <row r="4309" spans="1:20" x14ac:dyDescent="0.25">
      <c r="A4309" t="str">
        <f>"3067558"</f>
        <v>3067558</v>
      </c>
      <c r="B4309" t="s">
        <v>13213</v>
      </c>
      <c r="C4309" t="str">
        <f>"82514377"</f>
        <v>82514377</v>
      </c>
      <c r="D4309" t="s">
        <v>13214</v>
      </c>
      <c r="E4309" t="s">
        <v>13215</v>
      </c>
      <c r="F4309" t="s">
        <v>13216</v>
      </c>
      <c r="I4309" t="s">
        <v>29</v>
      </c>
      <c r="J4309" t="s">
        <v>30</v>
      </c>
      <c r="K4309" t="s">
        <v>31</v>
      </c>
      <c r="M4309" t="s">
        <v>32</v>
      </c>
      <c r="N4309" t="str">
        <f>"5/4/2009 12:00:00 AM"</f>
        <v>5/4/2009 12:00:00 AM</v>
      </c>
      <c r="O4309" t="s">
        <v>13214</v>
      </c>
      <c r="T4309" t="s">
        <v>13215</v>
      </c>
    </row>
    <row r="4310" spans="1:20" x14ac:dyDescent="0.25">
      <c r="A4310" t="str">
        <f>"3049877"</f>
        <v>3049877</v>
      </c>
      <c r="B4310" t="s">
        <v>13217</v>
      </c>
      <c r="C4310" t="str">
        <f>"82516983"</f>
        <v>82516983</v>
      </c>
      <c r="D4310" t="s">
        <v>13218</v>
      </c>
      <c r="E4310" t="s">
        <v>13219</v>
      </c>
      <c r="F4310" t="s">
        <v>13220</v>
      </c>
      <c r="I4310" t="s">
        <v>29</v>
      </c>
      <c r="J4310" t="s">
        <v>30</v>
      </c>
      <c r="K4310" t="s">
        <v>31</v>
      </c>
      <c r="M4310" t="s">
        <v>32</v>
      </c>
      <c r="N4310" t="str">
        <f>"2/22/2002 12:00:00 AM"</f>
        <v>2/22/2002 12:00:00 AM</v>
      </c>
      <c r="O4310" t="s">
        <v>13218</v>
      </c>
      <c r="T4310" t="s">
        <v>13219</v>
      </c>
    </row>
    <row r="4311" spans="1:20" x14ac:dyDescent="0.25">
      <c r="A4311" t="str">
        <f>"3049876"</f>
        <v>3049876</v>
      </c>
      <c r="B4311" t="s">
        <v>13221</v>
      </c>
      <c r="C4311" t="str">
        <f>"82519819"</f>
        <v>82519819</v>
      </c>
      <c r="D4311" t="s">
        <v>13222</v>
      </c>
      <c r="E4311" t="s">
        <v>13223</v>
      </c>
      <c r="F4311" t="s">
        <v>13224</v>
      </c>
      <c r="I4311" t="s">
        <v>29</v>
      </c>
      <c r="J4311" t="s">
        <v>30</v>
      </c>
      <c r="K4311" t="s">
        <v>31</v>
      </c>
      <c r="M4311" t="s">
        <v>32</v>
      </c>
      <c r="N4311" t="str">
        <f>"1/6/2004 12:00:00 AM"</f>
        <v>1/6/2004 12:00:00 AM</v>
      </c>
      <c r="O4311" t="s">
        <v>13222</v>
      </c>
      <c r="T4311" t="s">
        <v>13223</v>
      </c>
    </row>
    <row r="4312" spans="1:20" x14ac:dyDescent="0.25">
      <c r="A4312" t="str">
        <f>"3049548"</f>
        <v>3049548</v>
      </c>
      <c r="B4312" t="s">
        <v>13225</v>
      </c>
      <c r="C4312" t="str">
        <f>"82519819"</f>
        <v>82519819</v>
      </c>
      <c r="D4312" t="s">
        <v>13222</v>
      </c>
      <c r="E4312" t="s">
        <v>13223</v>
      </c>
      <c r="F4312" t="s">
        <v>13224</v>
      </c>
      <c r="I4312" t="s">
        <v>29</v>
      </c>
      <c r="J4312" t="s">
        <v>30</v>
      </c>
      <c r="K4312" t="s">
        <v>31</v>
      </c>
      <c r="M4312" t="s">
        <v>32</v>
      </c>
      <c r="N4312" t="str">
        <f>"1/6/2004 12:00:00 AM"</f>
        <v>1/6/2004 12:00:00 AM</v>
      </c>
      <c r="O4312" t="s">
        <v>13222</v>
      </c>
      <c r="T4312" t="s">
        <v>13223</v>
      </c>
    </row>
    <row r="4313" spans="1:20" x14ac:dyDescent="0.25">
      <c r="A4313" t="str">
        <f>"3053892"</f>
        <v>3053892</v>
      </c>
      <c r="B4313" t="s">
        <v>13226</v>
      </c>
      <c r="C4313" t="str">
        <f>"82514186"</f>
        <v>82514186</v>
      </c>
      <c r="D4313" t="s">
        <v>13227</v>
      </c>
      <c r="E4313" t="s">
        <v>13228</v>
      </c>
      <c r="F4313" t="s">
        <v>13229</v>
      </c>
      <c r="I4313" t="s">
        <v>29</v>
      </c>
      <c r="J4313" t="s">
        <v>30</v>
      </c>
      <c r="K4313" t="s">
        <v>13230</v>
      </c>
      <c r="M4313" t="s">
        <v>32</v>
      </c>
      <c r="N4313" t="str">
        <f>"2/5/2010 12:00:00 AM"</f>
        <v>2/5/2010 12:00:00 AM</v>
      </c>
      <c r="O4313" t="s">
        <v>13227</v>
      </c>
      <c r="T4313" t="s">
        <v>13228</v>
      </c>
    </row>
    <row r="4314" spans="1:20" x14ac:dyDescent="0.25">
      <c r="A4314" t="str">
        <f>"3053863"</f>
        <v>3053863</v>
      </c>
      <c r="B4314" t="s">
        <v>13231</v>
      </c>
      <c r="C4314" t="str">
        <f>"5093810"</f>
        <v>5093810</v>
      </c>
      <c r="D4314" t="s">
        <v>13232</v>
      </c>
      <c r="E4314" t="s">
        <v>13233</v>
      </c>
      <c r="F4314" t="s">
        <v>13234</v>
      </c>
      <c r="I4314" t="s">
        <v>29</v>
      </c>
      <c r="J4314" t="s">
        <v>30</v>
      </c>
      <c r="K4314" t="s">
        <v>13235</v>
      </c>
      <c r="M4314" t="s">
        <v>32</v>
      </c>
      <c r="N4314" t="str">
        <f>"2/3/2005 12:00:00 AM"</f>
        <v>2/3/2005 12:00:00 AM</v>
      </c>
      <c r="O4314" t="s">
        <v>13232</v>
      </c>
      <c r="T4314" t="s">
        <v>13233</v>
      </c>
    </row>
    <row r="4315" spans="1:20" x14ac:dyDescent="0.25">
      <c r="A4315" t="str">
        <f>"3053871"</f>
        <v>3053871</v>
      </c>
      <c r="B4315" t="s">
        <v>13236</v>
      </c>
      <c r="C4315" t="str">
        <f>"59572000"</f>
        <v>59572000</v>
      </c>
      <c r="D4315" t="s">
        <v>13237</v>
      </c>
      <c r="E4315" t="s">
        <v>13238</v>
      </c>
      <c r="F4315" t="s">
        <v>13239</v>
      </c>
      <c r="I4315" t="s">
        <v>29</v>
      </c>
      <c r="J4315" t="s">
        <v>30</v>
      </c>
      <c r="K4315" t="s">
        <v>31</v>
      </c>
      <c r="M4315" t="s">
        <v>32</v>
      </c>
      <c r="N4315" t="str">
        <f>"4/7/2004 12:00:00 AM"</f>
        <v>4/7/2004 12:00:00 AM</v>
      </c>
      <c r="O4315" t="s">
        <v>13237</v>
      </c>
      <c r="T4315" t="s">
        <v>13238</v>
      </c>
    </row>
    <row r="4316" spans="1:20" x14ac:dyDescent="0.25">
      <c r="A4316" t="str">
        <f>"3064898"</f>
        <v>3064898</v>
      </c>
      <c r="B4316" t="s">
        <v>13240</v>
      </c>
      <c r="C4316" t="str">
        <f>"66363500"</f>
        <v>66363500</v>
      </c>
      <c r="D4316" t="s">
        <v>13241</v>
      </c>
      <c r="E4316" t="s">
        <v>13242</v>
      </c>
      <c r="F4316" t="s">
        <v>13243</v>
      </c>
      <c r="I4316" t="s">
        <v>29</v>
      </c>
      <c r="J4316" t="s">
        <v>30</v>
      </c>
      <c r="K4316" t="s">
        <v>31</v>
      </c>
      <c r="M4316" t="s">
        <v>32</v>
      </c>
      <c r="N4316" t="str">
        <f>"1/30/2009 12:00:00 AM"</f>
        <v>1/30/2009 12:00:00 AM</v>
      </c>
      <c r="O4316" t="s">
        <v>13241</v>
      </c>
      <c r="T4316" t="s">
        <v>13242</v>
      </c>
    </row>
    <row r="4317" spans="1:20" x14ac:dyDescent="0.25">
      <c r="A4317" t="str">
        <f>"3059443"</f>
        <v>3059443</v>
      </c>
      <c r="B4317" t="s">
        <v>13244</v>
      </c>
      <c r="C4317" t="str">
        <f>"58060000"</f>
        <v>58060000</v>
      </c>
      <c r="D4317" t="s">
        <v>13245</v>
      </c>
      <c r="E4317" t="s">
        <v>13246</v>
      </c>
      <c r="F4317" t="s">
        <v>13247</v>
      </c>
      <c r="I4317" t="s">
        <v>29</v>
      </c>
      <c r="J4317" t="s">
        <v>30</v>
      </c>
      <c r="K4317" t="s">
        <v>31</v>
      </c>
      <c r="M4317" t="s">
        <v>32</v>
      </c>
      <c r="N4317" t="str">
        <f>"4/2/2004 12:00:00 AM"</f>
        <v>4/2/2004 12:00:00 AM</v>
      </c>
      <c r="O4317" t="s">
        <v>13245</v>
      </c>
      <c r="T4317" t="s">
        <v>13246</v>
      </c>
    </row>
    <row r="4318" spans="1:20" x14ac:dyDescent="0.25">
      <c r="A4318" t="str">
        <f>"3053884"</f>
        <v>3053884</v>
      </c>
      <c r="B4318" t="s">
        <v>13248</v>
      </c>
      <c r="C4318" t="str">
        <f>"10097500"</f>
        <v>10097500</v>
      </c>
      <c r="D4318" t="s">
        <v>13249</v>
      </c>
      <c r="E4318" t="s">
        <v>13250</v>
      </c>
      <c r="F4318" t="s">
        <v>13251</v>
      </c>
      <c r="I4318" t="s">
        <v>29</v>
      </c>
      <c r="J4318" t="s">
        <v>30</v>
      </c>
      <c r="K4318" t="s">
        <v>31</v>
      </c>
      <c r="M4318" t="s">
        <v>32</v>
      </c>
      <c r="N4318" t="str">
        <f>"12/16/2003 12:00:00 AM"</f>
        <v>12/16/2003 12:00:00 AM</v>
      </c>
      <c r="O4318" t="s">
        <v>13249</v>
      </c>
      <c r="T4318" t="s">
        <v>13250</v>
      </c>
    </row>
    <row r="4319" spans="1:20" x14ac:dyDescent="0.25">
      <c r="A4319" t="str">
        <f>"3049177"</f>
        <v>3049177</v>
      </c>
      <c r="B4319" t="s">
        <v>13252</v>
      </c>
      <c r="C4319" t="str">
        <f>"66363500"</f>
        <v>66363500</v>
      </c>
      <c r="D4319" t="s">
        <v>13241</v>
      </c>
      <c r="E4319" t="s">
        <v>13242</v>
      </c>
      <c r="F4319" t="s">
        <v>13243</v>
      </c>
      <c r="I4319" t="s">
        <v>29</v>
      </c>
      <c r="J4319" t="s">
        <v>30</v>
      </c>
      <c r="K4319" t="s">
        <v>31</v>
      </c>
      <c r="M4319" t="s">
        <v>32</v>
      </c>
      <c r="N4319" t="str">
        <f>"1/30/2009 12:00:00 AM"</f>
        <v>1/30/2009 12:00:00 AM</v>
      </c>
      <c r="O4319" t="s">
        <v>13241</v>
      </c>
      <c r="T4319" t="s">
        <v>13242</v>
      </c>
    </row>
    <row r="4320" spans="1:20" x14ac:dyDescent="0.25">
      <c r="A4320" t="str">
        <f>"3049202"</f>
        <v>3049202</v>
      </c>
      <c r="B4320" t="s">
        <v>13253</v>
      </c>
      <c r="C4320" t="str">
        <f>"61844000"</f>
        <v>61844000</v>
      </c>
      <c r="D4320" t="s">
        <v>13254</v>
      </c>
      <c r="E4320" t="s">
        <v>13255</v>
      </c>
      <c r="F4320" t="s">
        <v>13256</v>
      </c>
      <c r="I4320" t="s">
        <v>29</v>
      </c>
      <c r="J4320" t="s">
        <v>30</v>
      </c>
      <c r="K4320" t="s">
        <v>31</v>
      </c>
      <c r="M4320" t="s">
        <v>32</v>
      </c>
      <c r="N4320" t="str">
        <f>"10/17/2002 12:00:00 AM"</f>
        <v>10/17/2002 12:00:00 AM</v>
      </c>
      <c r="O4320" t="s">
        <v>13254</v>
      </c>
      <c r="T4320" t="s">
        <v>13255</v>
      </c>
    </row>
    <row r="4321" spans="1:20" x14ac:dyDescent="0.25">
      <c r="A4321" t="str">
        <f>"3048800"</f>
        <v>3048800</v>
      </c>
      <c r="B4321" t="s">
        <v>13257</v>
      </c>
      <c r="C4321" t="str">
        <f>"61844000"</f>
        <v>61844000</v>
      </c>
      <c r="D4321" t="s">
        <v>13254</v>
      </c>
      <c r="E4321" t="s">
        <v>13255</v>
      </c>
      <c r="F4321" t="s">
        <v>13256</v>
      </c>
      <c r="I4321" t="s">
        <v>29</v>
      </c>
      <c r="J4321" t="s">
        <v>30</v>
      </c>
      <c r="K4321" t="s">
        <v>31</v>
      </c>
      <c r="M4321" t="s">
        <v>32</v>
      </c>
      <c r="N4321" t="str">
        <f>"10/17/2002 12:00:00 AM"</f>
        <v>10/17/2002 12:00:00 AM</v>
      </c>
      <c r="O4321" t="s">
        <v>13254</v>
      </c>
      <c r="T4321" t="s">
        <v>13255</v>
      </c>
    </row>
    <row r="4322" spans="1:20" x14ac:dyDescent="0.25">
      <c r="A4322" t="str">
        <f>"3051953"</f>
        <v>3051953</v>
      </c>
      <c r="B4322" t="s">
        <v>13258</v>
      </c>
      <c r="C4322" t="str">
        <f>"82525448"</f>
        <v>82525448</v>
      </c>
      <c r="D4322" t="s">
        <v>13259</v>
      </c>
      <c r="E4322" t="s">
        <v>13260</v>
      </c>
      <c r="F4322" t="s">
        <v>13261</v>
      </c>
      <c r="I4322" t="s">
        <v>29</v>
      </c>
      <c r="J4322" t="s">
        <v>30</v>
      </c>
      <c r="K4322" t="s">
        <v>31</v>
      </c>
      <c r="M4322" t="s">
        <v>32</v>
      </c>
      <c r="N4322" t="str">
        <f>"12/5/2005 12:00:00 AM"</f>
        <v>12/5/2005 12:00:00 AM</v>
      </c>
      <c r="O4322" t="s">
        <v>13259</v>
      </c>
      <c r="T4322" t="s">
        <v>13260</v>
      </c>
    </row>
    <row r="4323" spans="1:20" x14ac:dyDescent="0.25">
      <c r="A4323" t="str">
        <f>"3053855"</f>
        <v>3053855</v>
      </c>
      <c r="B4323" t="s">
        <v>13262</v>
      </c>
      <c r="C4323" t="str">
        <f>"3958120"</f>
        <v>3958120</v>
      </c>
      <c r="D4323" t="s">
        <v>13263</v>
      </c>
      <c r="E4323" t="s">
        <v>13264</v>
      </c>
      <c r="F4323" t="s">
        <v>13265</v>
      </c>
      <c r="I4323" t="s">
        <v>29</v>
      </c>
      <c r="J4323" t="s">
        <v>30</v>
      </c>
      <c r="K4323" t="s">
        <v>31</v>
      </c>
      <c r="N4323" t="str">
        <f>"5/16/2003 12:00:00 AM"</f>
        <v>5/16/2003 12:00:00 AM</v>
      </c>
      <c r="O4323" t="s">
        <v>13263</v>
      </c>
      <c r="T4323" t="s">
        <v>13264</v>
      </c>
    </row>
    <row r="4324" spans="1:20" x14ac:dyDescent="0.25">
      <c r="A4324" t="str">
        <f>"3053907"</f>
        <v>3053907</v>
      </c>
      <c r="B4324" t="s">
        <v>13266</v>
      </c>
      <c r="C4324" t="str">
        <f>"54741750"</f>
        <v>54741750</v>
      </c>
      <c r="D4324" t="s">
        <v>13267</v>
      </c>
      <c r="E4324" t="s">
        <v>13268</v>
      </c>
      <c r="F4324" t="s">
        <v>13269</v>
      </c>
      <c r="I4324" t="s">
        <v>29</v>
      </c>
      <c r="J4324" t="s">
        <v>30</v>
      </c>
      <c r="K4324" t="s">
        <v>13270</v>
      </c>
      <c r="M4324" t="s">
        <v>32</v>
      </c>
      <c r="N4324" t="str">
        <f>"1/12/2007 12:00:00 AM"</f>
        <v>1/12/2007 12:00:00 AM</v>
      </c>
      <c r="O4324" t="s">
        <v>13267</v>
      </c>
      <c r="T4324" t="s">
        <v>13268</v>
      </c>
    </row>
    <row r="4325" spans="1:20" x14ac:dyDescent="0.25">
      <c r="A4325" t="str">
        <f>"3053865"</f>
        <v>3053865</v>
      </c>
      <c r="B4325" t="s">
        <v>13271</v>
      </c>
      <c r="C4325" t="str">
        <f>"82519343"</f>
        <v>82519343</v>
      </c>
      <c r="D4325" t="s">
        <v>13272</v>
      </c>
      <c r="E4325" t="s">
        <v>13273</v>
      </c>
      <c r="F4325" t="s">
        <v>13274</v>
      </c>
      <c r="I4325" t="s">
        <v>29</v>
      </c>
      <c r="J4325" t="s">
        <v>30</v>
      </c>
      <c r="K4325" t="s">
        <v>31</v>
      </c>
      <c r="N4325" t="str">
        <f>"1/24/2003 12:00:00 AM"</f>
        <v>1/24/2003 12:00:00 AM</v>
      </c>
      <c r="O4325" t="s">
        <v>13272</v>
      </c>
      <c r="T4325" t="s">
        <v>13273</v>
      </c>
    </row>
    <row r="4326" spans="1:20" x14ac:dyDescent="0.25">
      <c r="A4326" t="str">
        <f>"3053944"</f>
        <v>3053944</v>
      </c>
      <c r="B4326" t="s">
        <v>13275</v>
      </c>
      <c r="C4326" t="str">
        <f>"33580000"</f>
        <v>33580000</v>
      </c>
      <c r="D4326" t="s">
        <v>13276</v>
      </c>
      <c r="E4326" t="s">
        <v>13277</v>
      </c>
      <c r="F4326" t="s">
        <v>13278</v>
      </c>
      <c r="I4326" t="s">
        <v>29</v>
      </c>
      <c r="J4326" t="s">
        <v>30</v>
      </c>
      <c r="K4326" t="s">
        <v>31</v>
      </c>
      <c r="M4326" t="s">
        <v>32</v>
      </c>
      <c r="N4326" t="str">
        <f>"9/24/2002 12:00:00 AM"</f>
        <v>9/24/2002 12:00:00 AM</v>
      </c>
      <c r="O4326" t="s">
        <v>13276</v>
      </c>
      <c r="T4326" t="s">
        <v>13277</v>
      </c>
    </row>
    <row r="4327" spans="1:20" x14ac:dyDescent="0.25">
      <c r="A4327" t="str">
        <f>"3053911"</f>
        <v>3053911</v>
      </c>
      <c r="B4327" t="s">
        <v>13279</v>
      </c>
      <c r="C4327" t="str">
        <f>"82521744"</f>
        <v>82521744</v>
      </c>
      <c r="D4327" t="s">
        <v>13280</v>
      </c>
      <c r="E4327" t="s">
        <v>13281</v>
      </c>
      <c r="F4327" t="s">
        <v>13282</v>
      </c>
      <c r="I4327" t="s">
        <v>29</v>
      </c>
      <c r="J4327" t="s">
        <v>30</v>
      </c>
      <c r="K4327" t="s">
        <v>31</v>
      </c>
      <c r="N4327" t="str">
        <f>"1/22/2004 12:00:00 AM"</f>
        <v>1/22/2004 12:00:00 AM</v>
      </c>
      <c r="O4327" t="s">
        <v>13280</v>
      </c>
      <c r="T4327" t="s">
        <v>13281</v>
      </c>
    </row>
    <row r="4328" spans="1:20" x14ac:dyDescent="0.25">
      <c r="A4328" t="str">
        <f>"3053908"</f>
        <v>3053908</v>
      </c>
      <c r="B4328" t="s">
        <v>13283</v>
      </c>
      <c r="C4328" t="str">
        <f>"78908000"</f>
        <v>78908000</v>
      </c>
      <c r="D4328" t="s">
        <v>13284</v>
      </c>
      <c r="F4328" t="s">
        <v>13285</v>
      </c>
      <c r="I4328" t="s">
        <v>29</v>
      </c>
      <c r="J4328" t="s">
        <v>30</v>
      </c>
      <c r="K4328" t="s">
        <v>13286</v>
      </c>
      <c r="M4328" t="s">
        <v>32</v>
      </c>
      <c r="N4328" t="str">
        <f>"1/23/2004 12:00:00 AM"</f>
        <v>1/23/2004 12:00:00 AM</v>
      </c>
      <c r="O4328" t="s">
        <v>13284</v>
      </c>
    </row>
    <row r="4329" spans="1:20" x14ac:dyDescent="0.25">
      <c r="A4329" t="str">
        <f>"3053919"</f>
        <v>3053919</v>
      </c>
      <c r="B4329" t="s">
        <v>13287</v>
      </c>
      <c r="C4329" t="str">
        <f>"82521651"</f>
        <v>82521651</v>
      </c>
      <c r="D4329" t="s">
        <v>13288</v>
      </c>
      <c r="E4329" t="s">
        <v>13289</v>
      </c>
      <c r="F4329" t="s">
        <v>13290</v>
      </c>
      <c r="I4329" t="s">
        <v>29</v>
      </c>
      <c r="J4329" t="s">
        <v>30</v>
      </c>
      <c r="K4329" t="s">
        <v>31</v>
      </c>
      <c r="M4329" t="s">
        <v>32</v>
      </c>
      <c r="N4329" t="str">
        <f>"10/22/2003 12:00:00 AM"</f>
        <v>10/22/2003 12:00:00 AM</v>
      </c>
      <c r="O4329" t="s">
        <v>13288</v>
      </c>
      <c r="T4329" t="s">
        <v>13289</v>
      </c>
    </row>
    <row r="4330" spans="1:20" x14ac:dyDescent="0.25">
      <c r="A4330" t="str">
        <f>"3053909"</f>
        <v>3053909</v>
      </c>
      <c r="B4330" t="s">
        <v>13291</v>
      </c>
      <c r="C4330" t="str">
        <f>"15050000"</f>
        <v>15050000</v>
      </c>
      <c r="D4330" t="s">
        <v>13292</v>
      </c>
      <c r="E4330" t="s">
        <v>13293</v>
      </c>
      <c r="F4330" t="s">
        <v>13294</v>
      </c>
      <c r="I4330" t="s">
        <v>29</v>
      </c>
      <c r="J4330" t="s">
        <v>30</v>
      </c>
      <c r="K4330" t="s">
        <v>13295</v>
      </c>
      <c r="M4330" t="s">
        <v>32</v>
      </c>
      <c r="N4330" t="str">
        <f>"2/13/2007 12:00:00 AM"</f>
        <v>2/13/2007 12:00:00 AM</v>
      </c>
      <c r="O4330" t="s">
        <v>13292</v>
      </c>
      <c r="T4330" t="s">
        <v>13293</v>
      </c>
    </row>
    <row r="4331" spans="1:20" x14ac:dyDescent="0.25">
      <c r="A4331" t="str">
        <f>"3053831"</f>
        <v>3053831</v>
      </c>
      <c r="B4331" t="s">
        <v>13296</v>
      </c>
      <c r="C4331" t="str">
        <f>"15050000"</f>
        <v>15050000</v>
      </c>
      <c r="D4331" t="s">
        <v>13292</v>
      </c>
      <c r="E4331" t="s">
        <v>13293</v>
      </c>
      <c r="F4331" t="s">
        <v>13294</v>
      </c>
      <c r="I4331" t="s">
        <v>29</v>
      </c>
      <c r="J4331" t="s">
        <v>30</v>
      </c>
      <c r="K4331" t="s">
        <v>13295</v>
      </c>
      <c r="M4331" t="s">
        <v>32</v>
      </c>
      <c r="N4331" t="str">
        <f>"2/13/2007 12:00:00 AM"</f>
        <v>2/13/2007 12:00:00 AM</v>
      </c>
      <c r="O4331" t="s">
        <v>13292</v>
      </c>
      <c r="T4331" t="s">
        <v>13293</v>
      </c>
    </row>
    <row r="4332" spans="1:20" x14ac:dyDescent="0.25">
      <c r="A4332" t="str">
        <f>"3053926"</f>
        <v>3053926</v>
      </c>
      <c r="B4332" t="s">
        <v>13297</v>
      </c>
      <c r="C4332" t="str">
        <f>"73576000"</f>
        <v>73576000</v>
      </c>
      <c r="D4332" t="s">
        <v>13298</v>
      </c>
      <c r="E4332" t="s">
        <v>13299</v>
      </c>
      <c r="F4332" t="s">
        <v>13300</v>
      </c>
      <c r="I4332" t="s">
        <v>29</v>
      </c>
      <c r="J4332" t="s">
        <v>30</v>
      </c>
      <c r="K4332" t="s">
        <v>31</v>
      </c>
      <c r="M4332" t="s">
        <v>32</v>
      </c>
      <c r="N4332" t="str">
        <f>"6/18/2004 12:00:00 AM"</f>
        <v>6/18/2004 12:00:00 AM</v>
      </c>
      <c r="O4332" t="s">
        <v>13298</v>
      </c>
      <c r="T4332" t="s">
        <v>13299</v>
      </c>
    </row>
    <row r="4333" spans="1:20" x14ac:dyDescent="0.25">
      <c r="A4333" t="str">
        <f>"3070448"</f>
        <v>3070448</v>
      </c>
      <c r="B4333" t="s">
        <v>13301</v>
      </c>
      <c r="C4333" t="str">
        <f>"82515361"</f>
        <v>82515361</v>
      </c>
      <c r="D4333" t="s">
        <v>13302</v>
      </c>
      <c r="E4333" t="s">
        <v>13303</v>
      </c>
      <c r="F4333" t="s">
        <v>13304</v>
      </c>
      <c r="I4333" t="s">
        <v>29</v>
      </c>
      <c r="J4333" t="s">
        <v>30</v>
      </c>
      <c r="K4333" t="s">
        <v>31</v>
      </c>
      <c r="M4333" t="s">
        <v>32</v>
      </c>
      <c r="N4333" t="str">
        <f>"8/18/2004 12:00:00 AM"</f>
        <v>8/18/2004 12:00:00 AM</v>
      </c>
      <c r="O4333" t="s">
        <v>13302</v>
      </c>
      <c r="T4333" t="s">
        <v>13303</v>
      </c>
    </row>
    <row r="4334" spans="1:20" x14ac:dyDescent="0.25">
      <c r="A4334" t="str">
        <f>"3054052"</f>
        <v>3054052</v>
      </c>
      <c r="B4334" t="s">
        <v>13305</v>
      </c>
      <c r="C4334" t="str">
        <f>"70843000"</f>
        <v>70843000</v>
      </c>
      <c r="D4334" t="s">
        <v>13306</v>
      </c>
      <c r="E4334" t="s">
        <v>13307</v>
      </c>
      <c r="F4334" t="s">
        <v>13308</v>
      </c>
      <c r="I4334" t="s">
        <v>29</v>
      </c>
      <c r="J4334" t="s">
        <v>30</v>
      </c>
      <c r="K4334" t="s">
        <v>31</v>
      </c>
      <c r="M4334" t="s">
        <v>32</v>
      </c>
      <c r="N4334" t="str">
        <f>"5/20/2004 12:00:00 AM"</f>
        <v>5/20/2004 12:00:00 AM</v>
      </c>
      <c r="O4334" t="s">
        <v>13306</v>
      </c>
      <c r="T4334" t="s">
        <v>13307</v>
      </c>
    </row>
    <row r="4335" spans="1:20" x14ac:dyDescent="0.25">
      <c r="A4335" t="str">
        <f>"3057354"</f>
        <v>3057354</v>
      </c>
      <c r="B4335" t="s">
        <v>13309</v>
      </c>
      <c r="C4335" t="str">
        <f>"74888000"</f>
        <v>74888000</v>
      </c>
      <c r="D4335" t="s">
        <v>13310</v>
      </c>
      <c r="F4335" t="s">
        <v>13311</v>
      </c>
      <c r="I4335" t="s">
        <v>13312</v>
      </c>
      <c r="J4335" t="s">
        <v>30</v>
      </c>
      <c r="K4335" t="s">
        <v>13313</v>
      </c>
      <c r="M4335" t="s">
        <v>32</v>
      </c>
      <c r="N4335" t="str">
        <f>"4/10/2003 12:00:00 AM"</f>
        <v>4/10/2003 12:00:00 AM</v>
      </c>
      <c r="O4335" t="s">
        <v>13310</v>
      </c>
    </row>
    <row r="4336" spans="1:20" x14ac:dyDescent="0.25">
      <c r="A4336" t="str">
        <f>"3059440"</f>
        <v>3059440</v>
      </c>
      <c r="B4336" t="s">
        <v>13314</v>
      </c>
      <c r="C4336" t="str">
        <f>"82514980"</f>
        <v>82514980</v>
      </c>
      <c r="D4336" t="s">
        <v>13315</v>
      </c>
      <c r="F4336" t="s">
        <v>13316</v>
      </c>
      <c r="I4336" t="s">
        <v>29</v>
      </c>
      <c r="J4336" t="s">
        <v>30</v>
      </c>
      <c r="K4336" t="s">
        <v>31</v>
      </c>
      <c r="M4336" t="s">
        <v>32</v>
      </c>
      <c r="N4336" t="str">
        <f>"8/29/2003 12:00:00 AM"</f>
        <v>8/29/2003 12:00:00 AM</v>
      </c>
      <c r="O4336" t="s">
        <v>13315</v>
      </c>
    </row>
    <row r="4337" spans="1:20" x14ac:dyDescent="0.25">
      <c r="A4337" t="str">
        <f>"3048806"</f>
        <v>3048806</v>
      </c>
      <c r="B4337" t="s">
        <v>13317</v>
      </c>
      <c r="C4337" t="str">
        <f>"19268500"</f>
        <v>19268500</v>
      </c>
      <c r="D4337" t="s">
        <v>13318</v>
      </c>
      <c r="E4337" t="s">
        <v>13319</v>
      </c>
      <c r="F4337" t="s">
        <v>13320</v>
      </c>
      <c r="I4337" t="s">
        <v>29</v>
      </c>
      <c r="J4337" t="s">
        <v>30</v>
      </c>
      <c r="K4337" t="s">
        <v>31</v>
      </c>
      <c r="N4337" t="str">
        <f>"1/21/2003 12:00:00 AM"</f>
        <v>1/21/2003 12:00:00 AM</v>
      </c>
      <c r="O4337" t="s">
        <v>13318</v>
      </c>
      <c r="T4337" t="s">
        <v>13319</v>
      </c>
    </row>
    <row r="4338" spans="1:20" x14ac:dyDescent="0.25">
      <c r="A4338" t="str">
        <f>"3057356"</f>
        <v>3057356</v>
      </c>
      <c r="B4338" t="s">
        <v>13321</v>
      </c>
      <c r="C4338" t="str">
        <f>"59962000"</f>
        <v>59962000</v>
      </c>
      <c r="D4338" t="s">
        <v>13322</v>
      </c>
      <c r="F4338" t="str">
        <f>"C/O TAMMY L MYERS"</f>
        <v>C/O TAMMY L MYERS</v>
      </c>
      <c r="G4338" t="s">
        <v>13040</v>
      </c>
      <c r="I4338" t="s">
        <v>29</v>
      </c>
      <c r="J4338" t="s">
        <v>30</v>
      </c>
      <c r="K4338" t="s">
        <v>13041</v>
      </c>
      <c r="M4338" t="s">
        <v>32</v>
      </c>
      <c r="N4338" t="str">
        <f>"4/10/2003 12:00:00 AM"</f>
        <v>4/10/2003 12:00:00 AM</v>
      </c>
      <c r="O4338" t="s">
        <v>13322</v>
      </c>
    </row>
    <row r="4339" spans="1:20" x14ac:dyDescent="0.25">
      <c r="A4339" t="str">
        <f>"3058725"</f>
        <v>3058725</v>
      </c>
      <c r="B4339" t="s">
        <v>13323</v>
      </c>
      <c r="C4339" t="str">
        <f>"47209000"</f>
        <v>47209000</v>
      </c>
      <c r="D4339" t="s">
        <v>9803</v>
      </c>
      <c r="E4339" t="s">
        <v>13324</v>
      </c>
      <c r="F4339" t="s">
        <v>9805</v>
      </c>
      <c r="I4339" t="s">
        <v>29</v>
      </c>
      <c r="J4339" t="s">
        <v>30</v>
      </c>
      <c r="K4339" t="s">
        <v>31</v>
      </c>
      <c r="M4339" t="s">
        <v>32</v>
      </c>
      <c r="N4339" t="str">
        <f>"12/19/2003 12:00:00 AM"</f>
        <v>12/19/2003 12:00:00 AM</v>
      </c>
      <c r="O4339" t="s">
        <v>9803</v>
      </c>
      <c r="T4339" t="s">
        <v>13324</v>
      </c>
    </row>
    <row r="4340" spans="1:20" x14ac:dyDescent="0.25">
      <c r="A4340" t="str">
        <f>"3058528"</f>
        <v>3058528</v>
      </c>
      <c r="B4340" t="s">
        <v>13325</v>
      </c>
      <c r="C4340" t="str">
        <f>"82527382"</f>
        <v>82527382</v>
      </c>
      <c r="D4340" t="s">
        <v>13326</v>
      </c>
      <c r="F4340" t="s">
        <v>9805</v>
      </c>
      <c r="I4340" t="s">
        <v>29</v>
      </c>
      <c r="J4340" t="s">
        <v>30</v>
      </c>
      <c r="K4340" t="s">
        <v>31</v>
      </c>
      <c r="M4340" t="s">
        <v>32</v>
      </c>
      <c r="N4340" t="str">
        <f>"1/8/2007 12:00:00 AM"</f>
        <v>1/8/2007 12:00:00 AM</v>
      </c>
      <c r="O4340" t="s">
        <v>13326</v>
      </c>
    </row>
    <row r="4341" spans="1:20" x14ac:dyDescent="0.25">
      <c r="A4341" t="str">
        <f>"3048821"</f>
        <v>3048821</v>
      </c>
      <c r="B4341" t="s">
        <v>13327</v>
      </c>
      <c r="C4341" t="str">
        <f>"15231750"</f>
        <v>15231750</v>
      </c>
      <c r="D4341" t="s">
        <v>13328</v>
      </c>
      <c r="F4341" t="s">
        <v>13329</v>
      </c>
      <c r="I4341" t="s">
        <v>29</v>
      </c>
      <c r="J4341" t="s">
        <v>30</v>
      </c>
      <c r="K4341" t="s">
        <v>31</v>
      </c>
      <c r="M4341" t="s">
        <v>32</v>
      </c>
      <c r="N4341" t="str">
        <f>"9/23/2002 12:00:00 AM"</f>
        <v>9/23/2002 12:00:00 AM</v>
      </c>
      <c r="O4341" t="s">
        <v>13328</v>
      </c>
    </row>
    <row r="4342" spans="1:20" x14ac:dyDescent="0.25">
      <c r="A4342" t="str">
        <f>"3059665"</f>
        <v>3059665</v>
      </c>
      <c r="B4342" t="s">
        <v>13330</v>
      </c>
      <c r="C4342" t="str">
        <f>"82530189"</f>
        <v>82530189</v>
      </c>
      <c r="D4342" t="s">
        <v>13331</v>
      </c>
      <c r="E4342" t="s">
        <v>13332</v>
      </c>
      <c r="F4342" t="s">
        <v>13333</v>
      </c>
      <c r="I4342" t="s">
        <v>29</v>
      </c>
      <c r="J4342" t="s">
        <v>30</v>
      </c>
      <c r="K4342" t="s">
        <v>31</v>
      </c>
      <c r="M4342" t="s">
        <v>32</v>
      </c>
      <c r="N4342" t="str">
        <f>"10/7/2010 12:00:00 AM"</f>
        <v>10/7/2010 12:00:00 AM</v>
      </c>
      <c r="O4342" t="s">
        <v>13331</v>
      </c>
      <c r="T4342" t="s">
        <v>13332</v>
      </c>
    </row>
    <row r="4343" spans="1:20" x14ac:dyDescent="0.25">
      <c r="A4343" t="str">
        <f>"3048822"</f>
        <v>3048822</v>
      </c>
      <c r="B4343" t="s">
        <v>13334</v>
      </c>
      <c r="C4343" t="str">
        <f>"82517094"</f>
        <v>82517094</v>
      </c>
      <c r="D4343" t="s">
        <v>13335</v>
      </c>
      <c r="F4343" t="s">
        <v>13336</v>
      </c>
      <c r="I4343" t="s">
        <v>29</v>
      </c>
      <c r="J4343" t="s">
        <v>30</v>
      </c>
      <c r="K4343" t="s">
        <v>31</v>
      </c>
      <c r="M4343" t="s">
        <v>32</v>
      </c>
      <c r="N4343" t="str">
        <f>"3/16/2009 12:00:00 AM"</f>
        <v>3/16/2009 12:00:00 AM</v>
      </c>
      <c r="O4343" t="s">
        <v>13335</v>
      </c>
    </row>
    <row r="4344" spans="1:20" x14ac:dyDescent="0.25">
      <c r="A4344" t="str">
        <f>"3053126"</f>
        <v>3053126</v>
      </c>
      <c r="B4344" t="s">
        <v>13337</v>
      </c>
      <c r="C4344" t="str">
        <f>"47206000"</f>
        <v>47206000</v>
      </c>
      <c r="D4344" t="s">
        <v>13338</v>
      </c>
      <c r="E4344" t="s">
        <v>13339</v>
      </c>
      <c r="F4344" t="s">
        <v>13340</v>
      </c>
      <c r="I4344" t="s">
        <v>29</v>
      </c>
      <c r="J4344" t="s">
        <v>30</v>
      </c>
      <c r="K4344" t="s">
        <v>13341</v>
      </c>
      <c r="M4344" t="s">
        <v>32</v>
      </c>
      <c r="N4344" t="str">
        <f>"9/4/2002 12:00:00 AM"</f>
        <v>9/4/2002 12:00:00 AM</v>
      </c>
      <c r="O4344" t="s">
        <v>13338</v>
      </c>
      <c r="T4344" t="s">
        <v>13339</v>
      </c>
    </row>
    <row r="4345" spans="1:20" x14ac:dyDescent="0.25">
      <c r="A4345" t="str">
        <f>"3053029"</f>
        <v>3053029</v>
      </c>
      <c r="B4345" t="s">
        <v>13342</v>
      </c>
      <c r="C4345" t="str">
        <f>"47206000"</f>
        <v>47206000</v>
      </c>
      <c r="D4345" t="s">
        <v>13338</v>
      </c>
      <c r="E4345" t="s">
        <v>13339</v>
      </c>
      <c r="F4345" t="s">
        <v>13340</v>
      </c>
      <c r="I4345" t="s">
        <v>29</v>
      </c>
      <c r="J4345" t="s">
        <v>30</v>
      </c>
      <c r="K4345" t="s">
        <v>13341</v>
      </c>
      <c r="M4345" t="s">
        <v>32</v>
      </c>
      <c r="N4345" t="str">
        <f>"9/4/2002 12:00:00 AM"</f>
        <v>9/4/2002 12:00:00 AM</v>
      </c>
      <c r="O4345" t="s">
        <v>13338</v>
      </c>
      <c r="T4345" t="s">
        <v>13339</v>
      </c>
    </row>
    <row r="4346" spans="1:20" x14ac:dyDescent="0.25">
      <c r="A4346" t="str">
        <f>"3053106"</f>
        <v>3053106</v>
      </c>
      <c r="B4346" t="s">
        <v>13343</v>
      </c>
      <c r="C4346" t="str">
        <f>"47622000"</f>
        <v>47622000</v>
      </c>
      <c r="D4346" t="s">
        <v>13344</v>
      </c>
      <c r="E4346" t="s">
        <v>13345</v>
      </c>
      <c r="F4346" t="s">
        <v>13346</v>
      </c>
      <c r="I4346" t="s">
        <v>29</v>
      </c>
      <c r="J4346" t="s">
        <v>30</v>
      </c>
      <c r="K4346" t="s">
        <v>13347</v>
      </c>
      <c r="N4346" t="str">
        <f>"2/10/2005 12:00:00 AM"</f>
        <v>2/10/2005 12:00:00 AM</v>
      </c>
      <c r="O4346" t="s">
        <v>13344</v>
      </c>
      <c r="T4346" t="s">
        <v>13345</v>
      </c>
    </row>
    <row r="4347" spans="1:20" x14ac:dyDescent="0.25">
      <c r="A4347" t="str">
        <f>"3053124"</f>
        <v>3053124</v>
      </c>
      <c r="B4347" t="s">
        <v>13348</v>
      </c>
      <c r="C4347" t="str">
        <f>"82529875"</f>
        <v>82529875</v>
      </c>
      <c r="D4347" t="s">
        <v>13349</v>
      </c>
      <c r="E4347" t="s">
        <v>13350</v>
      </c>
      <c r="F4347" t="s">
        <v>13351</v>
      </c>
      <c r="I4347" t="s">
        <v>29</v>
      </c>
      <c r="J4347" t="s">
        <v>30</v>
      </c>
      <c r="K4347" t="s">
        <v>31</v>
      </c>
      <c r="M4347" t="s">
        <v>32</v>
      </c>
      <c r="N4347" t="str">
        <f>"8/10/2009 12:00:00 AM"</f>
        <v>8/10/2009 12:00:00 AM</v>
      </c>
      <c r="O4347" t="s">
        <v>13349</v>
      </c>
      <c r="T4347" t="s">
        <v>13350</v>
      </c>
    </row>
    <row r="4348" spans="1:20" x14ac:dyDescent="0.25">
      <c r="A4348" t="str">
        <f>"3052842"</f>
        <v>3052842</v>
      </c>
      <c r="B4348" t="s">
        <v>13352</v>
      </c>
      <c r="C4348" t="str">
        <f>"69560000"</f>
        <v>69560000</v>
      </c>
      <c r="D4348" t="s">
        <v>13353</v>
      </c>
      <c r="E4348" t="s">
        <v>13354</v>
      </c>
      <c r="F4348" t="s">
        <v>13355</v>
      </c>
      <c r="I4348" t="s">
        <v>29</v>
      </c>
      <c r="J4348" t="s">
        <v>30</v>
      </c>
      <c r="K4348" t="s">
        <v>13356</v>
      </c>
      <c r="M4348" t="s">
        <v>32</v>
      </c>
      <c r="N4348" t="str">
        <f>"3/9/2005 12:00:00 AM"</f>
        <v>3/9/2005 12:00:00 AM</v>
      </c>
      <c r="O4348" t="s">
        <v>13353</v>
      </c>
      <c r="T4348" t="s">
        <v>13354</v>
      </c>
    </row>
    <row r="4349" spans="1:20" x14ac:dyDescent="0.25">
      <c r="A4349" t="str">
        <f>"3052192"</f>
        <v>3052192</v>
      </c>
      <c r="B4349" t="s">
        <v>13357</v>
      </c>
      <c r="C4349" t="str">
        <f>"69560000"</f>
        <v>69560000</v>
      </c>
      <c r="D4349" t="s">
        <v>13353</v>
      </c>
      <c r="E4349" t="s">
        <v>13354</v>
      </c>
      <c r="F4349" t="s">
        <v>13355</v>
      </c>
      <c r="I4349" t="s">
        <v>29</v>
      </c>
      <c r="J4349" t="s">
        <v>30</v>
      </c>
      <c r="K4349" t="s">
        <v>13356</v>
      </c>
      <c r="M4349" t="s">
        <v>32</v>
      </c>
      <c r="N4349" t="str">
        <f>"3/9/2005 12:00:00 AM"</f>
        <v>3/9/2005 12:00:00 AM</v>
      </c>
      <c r="O4349" t="s">
        <v>13353</v>
      </c>
      <c r="T4349" t="s">
        <v>13354</v>
      </c>
    </row>
    <row r="4350" spans="1:20" x14ac:dyDescent="0.25">
      <c r="A4350" t="str">
        <f>"3048851"</f>
        <v>3048851</v>
      </c>
      <c r="B4350" t="s">
        <v>13358</v>
      </c>
      <c r="C4350" t="str">
        <f>"82513231"</f>
        <v>82513231</v>
      </c>
      <c r="D4350" t="s">
        <v>13359</v>
      </c>
      <c r="E4350" t="s">
        <v>13360</v>
      </c>
      <c r="F4350" t="s">
        <v>13361</v>
      </c>
      <c r="I4350" t="s">
        <v>29</v>
      </c>
      <c r="J4350" t="s">
        <v>30</v>
      </c>
      <c r="K4350" t="s">
        <v>31</v>
      </c>
      <c r="M4350" t="s">
        <v>32</v>
      </c>
      <c r="N4350" t="str">
        <f>"10/30/2001 12:00:00 AM"</f>
        <v>10/30/2001 12:00:00 AM</v>
      </c>
      <c r="O4350" t="s">
        <v>13359</v>
      </c>
      <c r="T4350" t="s">
        <v>13360</v>
      </c>
    </row>
    <row r="4351" spans="1:20" x14ac:dyDescent="0.25">
      <c r="A4351" t="str">
        <f>"3058224"</f>
        <v>3058224</v>
      </c>
      <c r="B4351" t="s">
        <v>13362</v>
      </c>
      <c r="C4351" t="str">
        <f>"21617750"</f>
        <v>21617750</v>
      </c>
      <c r="D4351" t="s">
        <v>13363</v>
      </c>
      <c r="E4351" t="s">
        <v>13364</v>
      </c>
      <c r="F4351" t="s">
        <v>13365</v>
      </c>
      <c r="I4351" t="s">
        <v>29</v>
      </c>
      <c r="J4351" t="s">
        <v>30</v>
      </c>
      <c r="K4351" t="s">
        <v>31</v>
      </c>
      <c r="M4351" t="s">
        <v>32</v>
      </c>
      <c r="N4351" t="str">
        <f>"1/8/2004 12:00:00 AM"</f>
        <v>1/8/2004 12:00:00 AM</v>
      </c>
      <c r="O4351" t="s">
        <v>13363</v>
      </c>
      <c r="T4351" t="s">
        <v>13364</v>
      </c>
    </row>
    <row r="4352" spans="1:20" x14ac:dyDescent="0.25">
      <c r="A4352" t="str">
        <f>"3052784"</f>
        <v>3052784</v>
      </c>
      <c r="B4352" t="s">
        <v>13366</v>
      </c>
      <c r="C4352" t="str">
        <f>"82519400"</f>
        <v>82519400</v>
      </c>
      <c r="D4352" t="s">
        <v>13367</v>
      </c>
      <c r="F4352" t="s">
        <v>13368</v>
      </c>
      <c r="I4352" t="s">
        <v>29</v>
      </c>
      <c r="J4352" t="s">
        <v>30</v>
      </c>
      <c r="K4352" t="s">
        <v>31</v>
      </c>
      <c r="M4352" t="s">
        <v>32</v>
      </c>
      <c r="N4352" t="str">
        <f>"1/21/2003 12:00:00 AM"</f>
        <v>1/21/2003 12:00:00 AM</v>
      </c>
      <c r="O4352" t="s">
        <v>13367</v>
      </c>
    </row>
    <row r="4353" spans="1:20" x14ac:dyDescent="0.25">
      <c r="A4353" t="str">
        <f>"3050075"</f>
        <v>3050075</v>
      </c>
      <c r="B4353" t="s">
        <v>13369</v>
      </c>
      <c r="C4353" t="str">
        <f>"82519380"</f>
        <v>82519380</v>
      </c>
      <c r="D4353" t="s">
        <v>13370</v>
      </c>
      <c r="E4353" t="s">
        <v>13371</v>
      </c>
      <c r="F4353" t="s">
        <v>13372</v>
      </c>
      <c r="I4353" t="s">
        <v>29</v>
      </c>
      <c r="J4353" t="s">
        <v>30</v>
      </c>
      <c r="K4353" t="s">
        <v>31</v>
      </c>
      <c r="M4353" t="s">
        <v>32</v>
      </c>
      <c r="N4353" t="str">
        <f>"2/14/2003 12:00:00 AM"</f>
        <v>2/14/2003 12:00:00 AM</v>
      </c>
      <c r="O4353" t="s">
        <v>13370</v>
      </c>
      <c r="T4353" t="s">
        <v>13371</v>
      </c>
    </row>
    <row r="4354" spans="1:20" x14ac:dyDescent="0.25">
      <c r="A4354" t="str">
        <f>"3049683"</f>
        <v>3049683</v>
      </c>
      <c r="B4354" t="s">
        <v>13373</v>
      </c>
      <c r="C4354" t="str">
        <f>"79970500"</f>
        <v>79970500</v>
      </c>
      <c r="D4354" t="s">
        <v>13374</v>
      </c>
      <c r="E4354" t="s">
        <v>13375</v>
      </c>
      <c r="F4354" t="s">
        <v>13376</v>
      </c>
      <c r="I4354" t="s">
        <v>29</v>
      </c>
      <c r="J4354" t="s">
        <v>30</v>
      </c>
      <c r="K4354" t="s">
        <v>13377</v>
      </c>
      <c r="M4354" t="s">
        <v>32</v>
      </c>
      <c r="N4354" t="str">
        <f>"1/3/2006 12:00:00 AM"</f>
        <v>1/3/2006 12:00:00 AM</v>
      </c>
      <c r="O4354" t="s">
        <v>13374</v>
      </c>
      <c r="T4354" t="s">
        <v>13375</v>
      </c>
    </row>
    <row r="4355" spans="1:20" x14ac:dyDescent="0.25">
      <c r="A4355" t="str">
        <f>"3052831"</f>
        <v>3052831</v>
      </c>
      <c r="B4355" t="s">
        <v>13378</v>
      </c>
      <c r="C4355" t="str">
        <f>"45925000"</f>
        <v>45925000</v>
      </c>
      <c r="D4355" t="s">
        <v>13379</v>
      </c>
      <c r="E4355" t="s">
        <v>13380</v>
      </c>
      <c r="F4355" t="s">
        <v>13381</v>
      </c>
      <c r="I4355" t="s">
        <v>29</v>
      </c>
      <c r="J4355" t="s">
        <v>30</v>
      </c>
      <c r="K4355" t="s">
        <v>13382</v>
      </c>
      <c r="M4355" t="s">
        <v>32</v>
      </c>
      <c r="N4355" t="str">
        <f>"1/12/2006 12:00:00 AM"</f>
        <v>1/12/2006 12:00:00 AM</v>
      </c>
      <c r="O4355" t="s">
        <v>13379</v>
      </c>
      <c r="T4355" t="s">
        <v>13380</v>
      </c>
    </row>
    <row r="4356" spans="1:20" x14ac:dyDescent="0.25">
      <c r="A4356" t="str">
        <f>"3067846"</f>
        <v>3067846</v>
      </c>
      <c r="B4356" t="s">
        <v>13383</v>
      </c>
      <c r="C4356" t="str">
        <f>"82521807"</f>
        <v>82521807</v>
      </c>
      <c r="D4356" t="s">
        <v>13384</v>
      </c>
      <c r="F4356" t="s">
        <v>13385</v>
      </c>
      <c r="I4356" t="s">
        <v>29</v>
      </c>
      <c r="J4356" t="s">
        <v>30</v>
      </c>
      <c r="K4356" t="s">
        <v>13386</v>
      </c>
      <c r="M4356" t="s">
        <v>32</v>
      </c>
      <c r="N4356" t="str">
        <f>"1/22/2010 12:00:00 AM"</f>
        <v>1/22/2010 12:00:00 AM</v>
      </c>
      <c r="O4356" t="s">
        <v>13384</v>
      </c>
      <c r="T4356" t="s">
        <v>13384</v>
      </c>
    </row>
    <row r="4357" spans="1:20" x14ac:dyDescent="0.25">
      <c r="A4357" t="str">
        <f>"3049992"</f>
        <v>3049992</v>
      </c>
      <c r="B4357" t="s">
        <v>13387</v>
      </c>
      <c r="C4357" t="str">
        <f>"53960000"</f>
        <v>53960000</v>
      </c>
      <c r="D4357" t="s">
        <v>13388</v>
      </c>
      <c r="E4357" t="s">
        <v>13389</v>
      </c>
      <c r="F4357" t="s">
        <v>13390</v>
      </c>
      <c r="I4357" t="s">
        <v>29</v>
      </c>
      <c r="J4357" t="s">
        <v>30</v>
      </c>
      <c r="K4357" t="s">
        <v>31</v>
      </c>
      <c r="M4357" t="s">
        <v>32</v>
      </c>
      <c r="N4357" t="str">
        <f>"7/21/2005 12:00:00 AM"</f>
        <v>7/21/2005 12:00:00 AM</v>
      </c>
      <c r="O4357" t="s">
        <v>13388</v>
      </c>
      <c r="T4357" t="s">
        <v>13389</v>
      </c>
    </row>
    <row r="4358" spans="1:20" x14ac:dyDescent="0.25">
      <c r="A4358" t="str">
        <f>"3078433"</f>
        <v>3078433</v>
      </c>
      <c r="B4358" t="s">
        <v>13391</v>
      </c>
      <c r="C4358" t="str">
        <f>"82521608"</f>
        <v>82521608</v>
      </c>
      <c r="D4358" t="s">
        <v>13392</v>
      </c>
      <c r="F4358" t="s">
        <v>13393</v>
      </c>
      <c r="I4358" t="s">
        <v>29</v>
      </c>
      <c r="J4358" t="s">
        <v>30</v>
      </c>
      <c r="K4358" t="s">
        <v>31</v>
      </c>
      <c r="M4358" t="s">
        <v>32</v>
      </c>
      <c r="N4358" t="str">
        <f>"10/13/2003 12:00:00 AM"</f>
        <v>10/13/2003 12:00:00 AM</v>
      </c>
      <c r="O4358" t="s">
        <v>13392</v>
      </c>
    </row>
    <row r="4359" spans="1:20" x14ac:dyDescent="0.25">
      <c r="A4359" t="str">
        <f>"3052973"</f>
        <v>3052973</v>
      </c>
      <c r="B4359" t="s">
        <v>13394</v>
      </c>
      <c r="C4359" t="str">
        <f>"42049000"</f>
        <v>42049000</v>
      </c>
      <c r="D4359" t="s">
        <v>13395</v>
      </c>
      <c r="F4359" t="s">
        <v>13396</v>
      </c>
      <c r="I4359" t="s">
        <v>29</v>
      </c>
      <c r="J4359" t="s">
        <v>30</v>
      </c>
      <c r="K4359" t="s">
        <v>31</v>
      </c>
      <c r="M4359" t="s">
        <v>32</v>
      </c>
      <c r="N4359" t="str">
        <f>"5/22/2008 12:00:00 AM"</f>
        <v>5/22/2008 12:00:00 AM</v>
      </c>
      <c r="O4359" t="s">
        <v>13395</v>
      </c>
    </row>
    <row r="4360" spans="1:20" x14ac:dyDescent="0.25">
      <c r="A4360" t="str">
        <f>"3068838"</f>
        <v>3068838</v>
      </c>
      <c r="B4360" t="s">
        <v>13397</v>
      </c>
      <c r="C4360" t="str">
        <f>"82527685"</f>
        <v>82527685</v>
      </c>
      <c r="D4360" t="s">
        <v>13398</v>
      </c>
      <c r="E4360" t="s">
        <v>13399</v>
      </c>
      <c r="F4360" t="s">
        <v>13400</v>
      </c>
      <c r="I4360" t="s">
        <v>29</v>
      </c>
      <c r="J4360" t="s">
        <v>30</v>
      </c>
      <c r="K4360" t="s">
        <v>31</v>
      </c>
      <c r="M4360" t="s">
        <v>32</v>
      </c>
      <c r="N4360" t="str">
        <f>"3/16/2007 12:00:00 AM"</f>
        <v>3/16/2007 12:00:00 AM</v>
      </c>
      <c r="O4360" t="s">
        <v>13398</v>
      </c>
      <c r="T4360" t="s">
        <v>13399</v>
      </c>
    </row>
    <row r="4361" spans="1:20" x14ac:dyDescent="0.25">
      <c r="A4361" t="str">
        <f>"3059514"</f>
        <v>3059514</v>
      </c>
      <c r="B4361" t="s">
        <v>13401</v>
      </c>
      <c r="C4361" t="str">
        <f>"82523108"</f>
        <v>82523108</v>
      </c>
      <c r="D4361" t="s">
        <v>13402</v>
      </c>
      <c r="E4361" t="s">
        <v>13403</v>
      </c>
      <c r="F4361" t="s">
        <v>13404</v>
      </c>
      <c r="I4361" t="s">
        <v>29</v>
      </c>
      <c r="J4361" t="s">
        <v>30</v>
      </c>
      <c r="K4361" t="s">
        <v>13405</v>
      </c>
      <c r="M4361" t="s">
        <v>32</v>
      </c>
      <c r="N4361" t="str">
        <f>"2/15/2005 12:00:00 AM"</f>
        <v>2/15/2005 12:00:00 AM</v>
      </c>
      <c r="O4361" t="s">
        <v>13402</v>
      </c>
      <c r="T4361" t="s">
        <v>13403</v>
      </c>
    </row>
    <row r="4362" spans="1:20" x14ac:dyDescent="0.25">
      <c r="A4362" t="str">
        <f>"3059569"</f>
        <v>3059569</v>
      </c>
      <c r="B4362" t="s">
        <v>13406</v>
      </c>
      <c r="C4362" t="str">
        <f t="shared" ref="C4362:C4368" si="64">"82529421"</f>
        <v>82529421</v>
      </c>
      <c r="D4362" t="s">
        <v>13407</v>
      </c>
      <c r="F4362" t="s">
        <v>13408</v>
      </c>
      <c r="I4362" t="s">
        <v>29</v>
      </c>
      <c r="J4362" t="s">
        <v>30</v>
      </c>
      <c r="K4362" t="s">
        <v>31</v>
      </c>
      <c r="M4362" t="s">
        <v>32</v>
      </c>
      <c r="N4362" t="str">
        <f t="shared" ref="N4362:N4368" si="65">"4/11/2008 12:00:00 AM"</f>
        <v>4/11/2008 12:00:00 AM</v>
      </c>
      <c r="O4362" t="s">
        <v>13407</v>
      </c>
    </row>
    <row r="4363" spans="1:20" x14ac:dyDescent="0.25">
      <c r="A4363" t="str">
        <f>"3059593"</f>
        <v>3059593</v>
      </c>
      <c r="B4363" t="s">
        <v>13409</v>
      </c>
      <c r="C4363" t="str">
        <f t="shared" si="64"/>
        <v>82529421</v>
      </c>
      <c r="D4363" t="s">
        <v>13407</v>
      </c>
      <c r="F4363" t="s">
        <v>13408</v>
      </c>
      <c r="I4363" t="s">
        <v>29</v>
      </c>
      <c r="J4363" t="s">
        <v>30</v>
      </c>
      <c r="K4363" t="s">
        <v>31</v>
      </c>
      <c r="M4363" t="s">
        <v>32</v>
      </c>
      <c r="N4363" t="str">
        <f t="shared" si="65"/>
        <v>4/11/2008 12:00:00 AM</v>
      </c>
      <c r="O4363" t="s">
        <v>13407</v>
      </c>
    </row>
    <row r="4364" spans="1:20" x14ac:dyDescent="0.25">
      <c r="A4364" t="str">
        <f>"3059594"</f>
        <v>3059594</v>
      </c>
      <c r="B4364" t="s">
        <v>13410</v>
      </c>
      <c r="C4364" t="str">
        <f t="shared" si="64"/>
        <v>82529421</v>
      </c>
      <c r="D4364" t="s">
        <v>13407</v>
      </c>
      <c r="F4364" t="s">
        <v>13408</v>
      </c>
      <c r="I4364" t="s">
        <v>29</v>
      </c>
      <c r="J4364" t="s">
        <v>30</v>
      </c>
      <c r="K4364" t="s">
        <v>31</v>
      </c>
      <c r="M4364" t="s">
        <v>32</v>
      </c>
      <c r="N4364" t="str">
        <f t="shared" si="65"/>
        <v>4/11/2008 12:00:00 AM</v>
      </c>
      <c r="O4364" t="s">
        <v>13407</v>
      </c>
    </row>
    <row r="4365" spans="1:20" x14ac:dyDescent="0.25">
      <c r="A4365" t="str">
        <f>"3059599"</f>
        <v>3059599</v>
      </c>
      <c r="B4365" t="s">
        <v>13411</v>
      </c>
      <c r="C4365" t="str">
        <f t="shared" si="64"/>
        <v>82529421</v>
      </c>
      <c r="D4365" t="s">
        <v>13407</v>
      </c>
      <c r="F4365" t="s">
        <v>13408</v>
      </c>
      <c r="I4365" t="s">
        <v>29</v>
      </c>
      <c r="J4365" t="s">
        <v>30</v>
      </c>
      <c r="K4365" t="s">
        <v>31</v>
      </c>
      <c r="M4365" t="s">
        <v>32</v>
      </c>
      <c r="N4365" t="str">
        <f t="shared" si="65"/>
        <v>4/11/2008 12:00:00 AM</v>
      </c>
      <c r="O4365" t="s">
        <v>13407</v>
      </c>
    </row>
    <row r="4366" spans="1:20" x14ac:dyDescent="0.25">
      <c r="A4366" t="str">
        <f>"3059600"</f>
        <v>3059600</v>
      </c>
      <c r="B4366" t="s">
        <v>13412</v>
      </c>
      <c r="C4366" t="str">
        <f t="shared" si="64"/>
        <v>82529421</v>
      </c>
      <c r="D4366" t="s">
        <v>13407</v>
      </c>
      <c r="F4366" t="s">
        <v>13408</v>
      </c>
      <c r="I4366" t="s">
        <v>29</v>
      </c>
      <c r="J4366" t="s">
        <v>30</v>
      </c>
      <c r="K4366" t="s">
        <v>31</v>
      </c>
      <c r="M4366" t="s">
        <v>32</v>
      </c>
      <c r="N4366" t="str">
        <f t="shared" si="65"/>
        <v>4/11/2008 12:00:00 AM</v>
      </c>
      <c r="O4366" t="s">
        <v>13407</v>
      </c>
    </row>
    <row r="4367" spans="1:20" x14ac:dyDescent="0.25">
      <c r="A4367" t="str">
        <f>"3078677"</f>
        <v>3078677</v>
      </c>
      <c r="B4367" t="s">
        <v>13413</v>
      </c>
      <c r="C4367" t="str">
        <f t="shared" si="64"/>
        <v>82529421</v>
      </c>
      <c r="D4367" t="s">
        <v>13407</v>
      </c>
      <c r="F4367" t="s">
        <v>13408</v>
      </c>
      <c r="I4367" t="s">
        <v>29</v>
      </c>
      <c r="J4367" t="s">
        <v>30</v>
      </c>
      <c r="K4367" t="s">
        <v>31</v>
      </c>
      <c r="M4367" t="s">
        <v>32</v>
      </c>
      <c r="N4367" t="str">
        <f t="shared" si="65"/>
        <v>4/11/2008 12:00:00 AM</v>
      </c>
      <c r="O4367" t="s">
        <v>13407</v>
      </c>
    </row>
    <row r="4368" spans="1:20" x14ac:dyDescent="0.25">
      <c r="A4368" t="str">
        <f>"3078679"</f>
        <v>3078679</v>
      </c>
      <c r="B4368" t="s">
        <v>13414</v>
      </c>
      <c r="C4368" t="str">
        <f t="shared" si="64"/>
        <v>82529421</v>
      </c>
      <c r="D4368" t="s">
        <v>13407</v>
      </c>
      <c r="F4368" t="s">
        <v>13408</v>
      </c>
      <c r="I4368" t="s">
        <v>29</v>
      </c>
      <c r="J4368" t="s">
        <v>30</v>
      </c>
      <c r="K4368" t="s">
        <v>31</v>
      </c>
      <c r="M4368" t="s">
        <v>32</v>
      </c>
      <c r="N4368" t="str">
        <f t="shared" si="65"/>
        <v>4/11/2008 12:00:00 AM</v>
      </c>
      <c r="O4368" t="s">
        <v>13407</v>
      </c>
    </row>
    <row r="4369" spans="1:20" x14ac:dyDescent="0.25">
      <c r="A4369" t="str">
        <f>"3049966"</f>
        <v>3049966</v>
      </c>
      <c r="B4369" t="s">
        <v>13415</v>
      </c>
      <c r="C4369" t="str">
        <f>"70734000"</f>
        <v>70734000</v>
      </c>
      <c r="D4369" t="s">
        <v>7713</v>
      </c>
      <c r="I4369" t="s">
        <v>3934</v>
      </c>
      <c r="J4369" t="s">
        <v>30</v>
      </c>
      <c r="K4369" t="s">
        <v>13069</v>
      </c>
      <c r="M4369" t="s">
        <v>32</v>
      </c>
      <c r="N4369" t="str">
        <f>"5/20/2004 12:00:00 AM"</f>
        <v>5/20/2004 12:00:00 AM</v>
      </c>
      <c r="O4369" t="s">
        <v>7713</v>
      </c>
    </row>
    <row r="4370" spans="1:20" x14ac:dyDescent="0.25">
      <c r="A4370" t="str">
        <f>"3050221"</f>
        <v>3050221</v>
      </c>
      <c r="B4370" t="s">
        <v>13416</v>
      </c>
      <c r="C4370" t="str">
        <f>"70734000"</f>
        <v>70734000</v>
      </c>
      <c r="D4370" t="s">
        <v>7713</v>
      </c>
      <c r="I4370" t="s">
        <v>3934</v>
      </c>
      <c r="J4370" t="s">
        <v>30</v>
      </c>
      <c r="K4370" t="s">
        <v>13069</v>
      </c>
      <c r="M4370" t="s">
        <v>32</v>
      </c>
      <c r="N4370" t="str">
        <f>"5/20/2004 12:00:00 AM"</f>
        <v>5/20/2004 12:00:00 AM</v>
      </c>
      <c r="O4370" t="s">
        <v>7713</v>
      </c>
    </row>
    <row r="4371" spans="1:20" x14ac:dyDescent="0.25">
      <c r="A4371" t="str">
        <f>"3059491"</f>
        <v>3059491</v>
      </c>
      <c r="B4371" t="s">
        <v>13417</v>
      </c>
      <c r="C4371" t="str">
        <f>"82525562"</f>
        <v>82525562</v>
      </c>
      <c r="D4371" t="s">
        <v>13418</v>
      </c>
      <c r="E4371" t="s">
        <v>13419</v>
      </c>
      <c r="F4371" t="s">
        <v>13420</v>
      </c>
      <c r="I4371" t="s">
        <v>29</v>
      </c>
      <c r="J4371" t="s">
        <v>30</v>
      </c>
      <c r="K4371" t="s">
        <v>31</v>
      </c>
      <c r="N4371" t="str">
        <f>"1/4/2006 12:00:00 AM"</f>
        <v>1/4/2006 12:00:00 AM</v>
      </c>
      <c r="O4371" t="s">
        <v>13418</v>
      </c>
      <c r="T4371" t="s">
        <v>13419</v>
      </c>
    </row>
    <row r="4372" spans="1:20" x14ac:dyDescent="0.25">
      <c r="A4372" t="str">
        <f>"3059501"</f>
        <v>3059501</v>
      </c>
      <c r="B4372" t="s">
        <v>13421</v>
      </c>
      <c r="C4372" t="str">
        <f>"21009000"</f>
        <v>21009000</v>
      </c>
      <c r="D4372" t="s">
        <v>13422</v>
      </c>
      <c r="E4372" t="s">
        <v>13423</v>
      </c>
      <c r="F4372" t="s">
        <v>13424</v>
      </c>
      <c r="I4372" t="s">
        <v>29</v>
      </c>
      <c r="J4372" t="s">
        <v>30</v>
      </c>
      <c r="K4372" t="s">
        <v>31</v>
      </c>
      <c r="M4372" t="s">
        <v>32</v>
      </c>
      <c r="N4372" t="str">
        <f>"7/6/2011 12:00:00 AM"</f>
        <v>7/6/2011 12:00:00 AM</v>
      </c>
      <c r="O4372" t="s">
        <v>13422</v>
      </c>
      <c r="T4372" t="s">
        <v>13423</v>
      </c>
    </row>
    <row r="4373" spans="1:20" x14ac:dyDescent="0.25">
      <c r="A4373" t="str">
        <f>"3059527"</f>
        <v>3059527</v>
      </c>
      <c r="B4373" t="s">
        <v>13425</v>
      </c>
      <c r="C4373" t="str">
        <f>"82526050"</f>
        <v>82526050</v>
      </c>
      <c r="D4373" t="s">
        <v>13426</v>
      </c>
      <c r="E4373" t="s">
        <v>13427</v>
      </c>
      <c r="F4373" t="s">
        <v>13428</v>
      </c>
      <c r="I4373" t="s">
        <v>29</v>
      </c>
      <c r="J4373" t="s">
        <v>30</v>
      </c>
      <c r="K4373" t="s">
        <v>31</v>
      </c>
      <c r="M4373" t="s">
        <v>32</v>
      </c>
      <c r="N4373" t="str">
        <f>"12/8/2008 12:00:00 AM"</f>
        <v>12/8/2008 12:00:00 AM</v>
      </c>
      <c r="O4373" t="s">
        <v>13426</v>
      </c>
      <c r="T4373" t="s">
        <v>13427</v>
      </c>
    </row>
    <row r="4374" spans="1:20" x14ac:dyDescent="0.25">
      <c r="A4374" t="str">
        <f>"3059531"</f>
        <v>3059531</v>
      </c>
      <c r="B4374" t="s">
        <v>13429</v>
      </c>
      <c r="C4374" t="str">
        <f>"82518642"</f>
        <v>82518642</v>
      </c>
      <c r="D4374" t="s">
        <v>13430</v>
      </c>
      <c r="E4374" t="s">
        <v>13431</v>
      </c>
      <c r="F4374" t="s">
        <v>13432</v>
      </c>
      <c r="I4374" t="s">
        <v>29</v>
      </c>
      <c r="J4374" t="s">
        <v>30</v>
      </c>
      <c r="K4374" t="s">
        <v>31</v>
      </c>
      <c r="M4374" t="s">
        <v>32</v>
      </c>
      <c r="N4374" t="str">
        <f>"1/21/2003 12:00:00 AM"</f>
        <v>1/21/2003 12:00:00 AM</v>
      </c>
      <c r="O4374" t="s">
        <v>13430</v>
      </c>
      <c r="T4374" t="s">
        <v>13431</v>
      </c>
    </row>
    <row r="4375" spans="1:20" x14ac:dyDescent="0.25">
      <c r="A4375" t="str">
        <f>"3059532"</f>
        <v>3059532</v>
      </c>
      <c r="B4375" t="s">
        <v>13433</v>
      </c>
      <c r="C4375" t="str">
        <f>"82523279"</f>
        <v>82523279</v>
      </c>
      <c r="D4375" t="s">
        <v>13434</v>
      </c>
      <c r="E4375" t="s">
        <v>13435</v>
      </c>
      <c r="F4375" t="s">
        <v>13436</v>
      </c>
      <c r="I4375" t="s">
        <v>29</v>
      </c>
      <c r="J4375" t="s">
        <v>30</v>
      </c>
      <c r="K4375" t="s">
        <v>13437</v>
      </c>
      <c r="M4375" t="s">
        <v>32</v>
      </c>
      <c r="N4375" t="str">
        <f>"3/4/2005 12:00:00 AM"</f>
        <v>3/4/2005 12:00:00 AM</v>
      </c>
      <c r="O4375" t="s">
        <v>13434</v>
      </c>
      <c r="T4375" t="s">
        <v>13435</v>
      </c>
    </row>
    <row r="4376" spans="1:20" x14ac:dyDescent="0.25">
      <c r="A4376" t="str">
        <f>"3053879"</f>
        <v>3053879</v>
      </c>
      <c r="B4376" t="s">
        <v>13438</v>
      </c>
      <c r="C4376" t="str">
        <f>"27222000"</f>
        <v>27222000</v>
      </c>
      <c r="D4376" t="s">
        <v>13439</v>
      </c>
      <c r="E4376" t="s">
        <v>13440</v>
      </c>
      <c r="F4376" t="s">
        <v>13441</v>
      </c>
      <c r="I4376" t="s">
        <v>29</v>
      </c>
      <c r="J4376" t="s">
        <v>30</v>
      </c>
      <c r="K4376" t="s">
        <v>13442</v>
      </c>
      <c r="M4376" t="s">
        <v>32</v>
      </c>
      <c r="N4376" t="str">
        <f>"1/12/2006 12:00:00 AM"</f>
        <v>1/12/2006 12:00:00 AM</v>
      </c>
      <c r="O4376" t="s">
        <v>13439</v>
      </c>
      <c r="T4376" t="s">
        <v>13440</v>
      </c>
    </row>
    <row r="4377" spans="1:20" x14ac:dyDescent="0.25">
      <c r="A4377" t="str">
        <f>"3053916"</f>
        <v>3053916</v>
      </c>
      <c r="B4377" t="s">
        <v>13443</v>
      </c>
      <c r="C4377" t="str">
        <f>"73408000"</f>
        <v>73408000</v>
      </c>
      <c r="D4377" t="s">
        <v>13444</v>
      </c>
      <c r="E4377" t="s">
        <v>13445</v>
      </c>
      <c r="F4377" t="s">
        <v>13446</v>
      </c>
      <c r="I4377" t="s">
        <v>29</v>
      </c>
      <c r="J4377" t="s">
        <v>30</v>
      </c>
      <c r="K4377" t="s">
        <v>31</v>
      </c>
      <c r="M4377" t="s">
        <v>32</v>
      </c>
      <c r="N4377" t="str">
        <f>"6/18/2004 12:00:00 AM"</f>
        <v>6/18/2004 12:00:00 AM</v>
      </c>
      <c r="O4377" t="s">
        <v>13444</v>
      </c>
      <c r="T4377" t="s">
        <v>13445</v>
      </c>
    </row>
    <row r="4378" spans="1:20" x14ac:dyDescent="0.25">
      <c r="A4378" t="str">
        <f>"3053961"</f>
        <v>3053961</v>
      </c>
      <c r="B4378" t="s">
        <v>13447</v>
      </c>
      <c r="C4378" t="str">
        <f>"82526487"</f>
        <v>82526487</v>
      </c>
      <c r="D4378" t="s">
        <v>13448</v>
      </c>
      <c r="F4378" t="s">
        <v>13449</v>
      </c>
      <c r="I4378" t="s">
        <v>29</v>
      </c>
      <c r="J4378" t="s">
        <v>30</v>
      </c>
      <c r="K4378" t="s">
        <v>31</v>
      </c>
      <c r="M4378" t="s">
        <v>32</v>
      </c>
      <c r="N4378" t="str">
        <f>"7/24/2006 12:00:00 AM"</f>
        <v>7/24/2006 12:00:00 AM</v>
      </c>
      <c r="O4378" t="s">
        <v>13448</v>
      </c>
    </row>
    <row r="4379" spans="1:20" x14ac:dyDescent="0.25">
      <c r="A4379" t="str">
        <f>"3053720"</f>
        <v>3053720</v>
      </c>
      <c r="B4379" t="s">
        <v>13450</v>
      </c>
      <c r="C4379" t="str">
        <f>"26294000"</f>
        <v>26294000</v>
      </c>
      <c r="D4379" t="s">
        <v>13451</v>
      </c>
      <c r="F4379" t="s">
        <v>8465</v>
      </c>
      <c r="I4379" t="s">
        <v>29</v>
      </c>
      <c r="J4379" t="s">
        <v>30</v>
      </c>
      <c r="K4379" t="s">
        <v>31</v>
      </c>
      <c r="M4379" t="s">
        <v>32</v>
      </c>
      <c r="N4379" t="str">
        <f>"7/20/2006 12:00:00 AM"</f>
        <v>7/20/2006 12:00:00 AM</v>
      </c>
      <c r="O4379" t="s">
        <v>13451</v>
      </c>
    </row>
    <row r="4380" spans="1:20" x14ac:dyDescent="0.25">
      <c r="A4380" t="str">
        <f>"3052195"</f>
        <v>3052195</v>
      </c>
      <c r="B4380" t="s">
        <v>13452</v>
      </c>
      <c r="C4380" t="str">
        <f>"43772000"</f>
        <v>43772000</v>
      </c>
      <c r="D4380" t="s">
        <v>13453</v>
      </c>
      <c r="F4380" t="s">
        <v>13454</v>
      </c>
      <c r="I4380" t="s">
        <v>29</v>
      </c>
      <c r="J4380" t="s">
        <v>30</v>
      </c>
      <c r="K4380" t="s">
        <v>31</v>
      </c>
      <c r="M4380" t="s">
        <v>32</v>
      </c>
      <c r="N4380" t="str">
        <f>"11/25/2003 12:00:00 AM"</f>
        <v>11/25/2003 12:00:00 AM</v>
      </c>
      <c r="O4380" t="s">
        <v>13453</v>
      </c>
    </row>
    <row r="4381" spans="1:20" x14ac:dyDescent="0.25">
      <c r="A4381" t="str">
        <f>"3066670"</f>
        <v>3066670</v>
      </c>
      <c r="B4381" t="s">
        <v>13455</v>
      </c>
      <c r="C4381" t="str">
        <f>"43772000"</f>
        <v>43772000</v>
      </c>
      <c r="D4381" t="s">
        <v>13453</v>
      </c>
      <c r="F4381" t="s">
        <v>13454</v>
      </c>
      <c r="I4381" t="s">
        <v>29</v>
      </c>
      <c r="J4381" t="s">
        <v>30</v>
      </c>
      <c r="K4381" t="s">
        <v>31</v>
      </c>
      <c r="M4381" t="s">
        <v>32</v>
      </c>
      <c r="N4381" t="str">
        <f>"11/25/2003 12:00:00 AM"</f>
        <v>11/25/2003 12:00:00 AM</v>
      </c>
      <c r="O4381" t="s">
        <v>13453</v>
      </c>
    </row>
    <row r="4382" spans="1:20" x14ac:dyDescent="0.25">
      <c r="A4382" t="str">
        <f>"3052181"</f>
        <v>3052181</v>
      </c>
      <c r="B4382" t="s">
        <v>13456</v>
      </c>
      <c r="C4382" t="str">
        <f>"82514631"</f>
        <v>82514631</v>
      </c>
      <c r="D4382" t="s">
        <v>13457</v>
      </c>
      <c r="F4382" t="s">
        <v>13458</v>
      </c>
      <c r="I4382" t="s">
        <v>29</v>
      </c>
      <c r="J4382" t="s">
        <v>30</v>
      </c>
      <c r="K4382" t="s">
        <v>31</v>
      </c>
      <c r="M4382" t="s">
        <v>32</v>
      </c>
      <c r="N4382" t="str">
        <f>"9/24/2002 12:00:00 AM"</f>
        <v>9/24/2002 12:00:00 AM</v>
      </c>
      <c r="O4382" t="s">
        <v>13457</v>
      </c>
    </row>
    <row r="4383" spans="1:20" x14ac:dyDescent="0.25">
      <c r="A4383" t="str">
        <f>"3052771"</f>
        <v>3052771</v>
      </c>
      <c r="B4383" t="s">
        <v>13459</v>
      </c>
      <c r="C4383" t="str">
        <f>"82514631"</f>
        <v>82514631</v>
      </c>
      <c r="D4383" t="s">
        <v>13457</v>
      </c>
      <c r="F4383" t="s">
        <v>13458</v>
      </c>
      <c r="I4383" t="s">
        <v>29</v>
      </c>
      <c r="J4383" t="s">
        <v>30</v>
      </c>
      <c r="K4383" t="s">
        <v>31</v>
      </c>
      <c r="M4383" t="s">
        <v>32</v>
      </c>
      <c r="N4383" t="str">
        <f>"9/24/2002 12:00:00 AM"</f>
        <v>9/24/2002 12:00:00 AM</v>
      </c>
      <c r="O4383" t="s">
        <v>13457</v>
      </c>
    </row>
    <row r="4384" spans="1:20" x14ac:dyDescent="0.25">
      <c r="A4384" t="str">
        <f>"3071331"</f>
        <v>3071331</v>
      </c>
      <c r="B4384" t="s">
        <v>13460</v>
      </c>
      <c r="C4384" t="str">
        <f>"34248000"</f>
        <v>34248000</v>
      </c>
      <c r="D4384" t="s">
        <v>13461</v>
      </c>
      <c r="E4384" t="s">
        <v>13462</v>
      </c>
      <c r="F4384" t="s">
        <v>13463</v>
      </c>
      <c r="I4384" t="s">
        <v>29</v>
      </c>
      <c r="J4384" t="s">
        <v>30</v>
      </c>
      <c r="K4384" t="s">
        <v>13464</v>
      </c>
      <c r="M4384" t="s">
        <v>32</v>
      </c>
      <c r="N4384" t="str">
        <f>"8/26/2011 12:00:00 AM"</f>
        <v>8/26/2011 12:00:00 AM</v>
      </c>
      <c r="O4384" t="s">
        <v>13461</v>
      </c>
      <c r="T4384" t="s">
        <v>13462</v>
      </c>
    </row>
    <row r="4385" spans="1:20" x14ac:dyDescent="0.25">
      <c r="A4385" t="str">
        <f>"3068392"</f>
        <v>3068392</v>
      </c>
      <c r="B4385" t="s">
        <v>13465</v>
      </c>
      <c r="C4385" t="str">
        <f>"82526569"</f>
        <v>82526569</v>
      </c>
      <c r="D4385" t="s">
        <v>13466</v>
      </c>
      <c r="F4385" t="s">
        <v>13467</v>
      </c>
      <c r="I4385" t="s">
        <v>29</v>
      </c>
      <c r="J4385" t="s">
        <v>30</v>
      </c>
      <c r="K4385" t="s">
        <v>31</v>
      </c>
      <c r="M4385" t="s">
        <v>32</v>
      </c>
      <c r="N4385" t="str">
        <f>"8/9/2006 12:00:00 AM"</f>
        <v>8/9/2006 12:00:00 AM</v>
      </c>
      <c r="O4385" t="s">
        <v>13466</v>
      </c>
    </row>
    <row r="4386" spans="1:20" x14ac:dyDescent="0.25">
      <c r="A4386" t="str">
        <f>"3052871"</f>
        <v>3052871</v>
      </c>
      <c r="B4386" t="s">
        <v>13468</v>
      </c>
      <c r="C4386" t="str">
        <f>"18354000"</f>
        <v>18354000</v>
      </c>
      <c r="D4386" t="s">
        <v>13469</v>
      </c>
      <c r="E4386" t="s">
        <v>13470</v>
      </c>
      <c r="F4386" t="s">
        <v>13471</v>
      </c>
      <c r="I4386" t="s">
        <v>29</v>
      </c>
      <c r="J4386" t="s">
        <v>30</v>
      </c>
      <c r="K4386" t="s">
        <v>31</v>
      </c>
      <c r="M4386" t="s">
        <v>32</v>
      </c>
      <c r="N4386" t="str">
        <f>"7/9/2003 12:00:00 AM"</f>
        <v>7/9/2003 12:00:00 AM</v>
      </c>
      <c r="O4386" t="s">
        <v>13469</v>
      </c>
      <c r="T4386" t="s">
        <v>13470</v>
      </c>
    </row>
    <row r="4387" spans="1:20" x14ac:dyDescent="0.25">
      <c r="A4387" t="str">
        <f>"3052322"</f>
        <v>3052322</v>
      </c>
      <c r="B4387" t="s">
        <v>13472</v>
      </c>
      <c r="C4387" t="str">
        <f>"18354000"</f>
        <v>18354000</v>
      </c>
      <c r="D4387" t="s">
        <v>13469</v>
      </c>
      <c r="E4387" t="s">
        <v>13470</v>
      </c>
      <c r="F4387" t="s">
        <v>13471</v>
      </c>
      <c r="I4387" t="s">
        <v>29</v>
      </c>
      <c r="J4387" t="s">
        <v>30</v>
      </c>
      <c r="K4387" t="s">
        <v>31</v>
      </c>
      <c r="M4387" t="s">
        <v>32</v>
      </c>
      <c r="N4387" t="str">
        <f>"7/9/2003 12:00:00 AM"</f>
        <v>7/9/2003 12:00:00 AM</v>
      </c>
      <c r="O4387" t="s">
        <v>13469</v>
      </c>
      <c r="T4387" t="s">
        <v>13470</v>
      </c>
    </row>
    <row r="4388" spans="1:20" x14ac:dyDescent="0.25">
      <c r="A4388" t="str">
        <f>"3052284"</f>
        <v>3052284</v>
      </c>
      <c r="B4388" t="s">
        <v>13473</v>
      </c>
      <c r="C4388" t="str">
        <f>"82527575"</f>
        <v>82527575</v>
      </c>
      <c r="D4388" t="s">
        <v>13474</v>
      </c>
      <c r="F4388" t="s">
        <v>13475</v>
      </c>
      <c r="I4388" t="s">
        <v>29</v>
      </c>
      <c r="J4388" t="s">
        <v>30</v>
      </c>
      <c r="K4388" t="s">
        <v>31</v>
      </c>
      <c r="M4388" t="s">
        <v>32</v>
      </c>
      <c r="N4388" t="str">
        <f>"2/14/2007 12:00:00 AM"</f>
        <v>2/14/2007 12:00:00 AM</v>
      </c>
      <c r="O4388" t="s">
        <v>13474</v>
      </c>
    </row>
    <row r="4389" spans="1:20" x14ac:dyDescent="0.25">
      <c r="A4389" t="str">
        <f>"3052354"</f>
        <v>3052354</v>
      </c>
      <c r="B4389" t="s">
        <v>13476</v>
      </c>
      <c r="C4389" t="str">
        <f t="shared" ref="C4389:C4394" si="66">"12041000"</f>
        <v>12041000</v>
      </c>
      <c r="D4389" t="s">
        <v>13477</v>
      </c>
      <c r="F4389" t="s">
        <v>13478</v>
      </c>
      <c r="I4389" t="s">
        <v>29</v>
      </c>
      <c r="J4389" t="s">
        <v>30</v>
      </c>
      <c r="K4389" t="s">
        <v>31</v>
      </c>
      <c r="M4389" t="s">
        <v>32</v>
      </c>
      <c r="N4389" t="str">
        <f t="shared" ref="N4389:N4394" si="67">"9/25/2002 12:00:00 AM"</f>
        <v>9/25/2002 12:00:00 AM</v>
      </c>
      <c r="O4389" t="s">
        <v>13477</v>
      </c>
    </row>
    <row r="4390" spans="1:20" x14ac:dyDescent="0.25">
      <c r="A4390" t="str">
        <f>"3078683"</f>
        <v>3078683</v>
      </c>
      <c r="B4390" t="s">
        <v>13479</v>
      </c>
      <c r="C4390" t="str">
        <f t="shared" si="66"/>
        <v>12041000</v>
      </c>
      <c r="D4390" t="s">
        <v>13477</v>
      </c>
      <c r="F4390" t="s">
        <v>13478</v>
      </c>
      <c r="I4390" t="s">
        <v>29</v>
      </c>
      <c r="J4390" t="s">
        <v>30</v>
      </c>
      <c r="K4390" t="s">
        <v>31</v>
      </c>
      <c r="M4390" t="s">
        <v>32</v>
      </c>
      <c r="N4390" t="str">
        <f t="shared" si="67"/>
        <v>9/25/2002 12:00:00 AM</v>
      </c>
      <c r="O4390" t="s">
        <v>13477</v>
      </c>
    </row>
    <row r="4391" spans="1:20" x14ac:dyDescent="0.25">
      <c r="A4391" t="str">
        <f>"3078684"</f>
        <v>3078684</v>
      </c>
      <c r="B4391" t="s">
        <v>13480</v>
      </c>
      <c r="C4391" t="str">
        <f t="shared" si="66"/>
        <v>12041000</v>
      </c>
      <c r="D4391" t="s">
        <v>13477</v>
      </c>
      <c r="F4391" t="s">
        <v>13478</v>
      </c>
      <c r="I4391" t="s">
        <v>29</v>
      </c>
      <c r="J4391" t="s">
        <v>30</v>
      </c>
      <c r="K4391" t="s">
        <v>31</v>
      </c>
      <c r="M4391" t="s">
        <v>32</v>
      </c>
      <c r="N4391" t="str">
        <f t="shared" si="67"/>
        <v>9/25/2002 12:00:00 AM</v>
      </c>
      <c r="O4391" t="s">
        <v>13477</v>
      </c>
    </row>
    <row r="4392" spans="1:20" x14ac:dyDescent="0.25">
      <c r="A4392" t="str">
        <f>"3078973"</f>
        <v>3078973</v>
      </c>
      <c r="B4392" t="s">
        <v>13481</v>
      </c>
      <c r="C4392" t="str">
        <f t="shared" si="66"/>
        <v>12041000</v>
      </c>
      <c r="D4392" t="s">
        <v>13477</v>
      </c>
      <c r="F4392" t="s">
        <v>13478</v>
      </c>
      <c r="I4392" t="s">
        <v>29</v>
      </c>
      <c r="J4392" t="s">
        <v>30</v>
      </c>
      <c r="K4392" t="s">
        <v>31</v>
      </c>
      <c r="M4392" t="s">
        <v>32</v>
      </c>
      <c r="N4392" t="str">
        <f t="shared" si="67"/>
        <v>9/25/2002 12:00:00 AM</v>
      </c>
      <c r="O4392" t="s">
        <v>13477</v>
      </c>
    </row>
    <row r="4393" spans="1:20" x14ac:dyDescent="0.25">
      <c r="A4393" t="str">
        <f>"3078974"</f>
        <v>3078974</v>
      </c>
      <c r="B4393" t="s">
        <v>13482</v>
      </c>
      <c r="C4393" t="str">
        <f t="shared" si="66"/>
        <v>12041000</v>
      </c>
      <c r="D4393" t="s">
        <v>13477</v>
      </c>
      <c r="F4393" t="s">
        <v>13478</v>
      </c>
      <c r="I4393" t="s">
        <v>29</v>
      </c>
      <c r="J4393" t="s">
        <v>30</v>
      </c>
      <c r="K4393" t="s">
        <v>31</v>
      </c>
      <c r="M4393" t="s">
        <v>32</v>
      </c>
      <c r="N4393" t="str">
        <f t="shared" si="67"/>
        <v>9/25/2002 12:00:00 AM</v>
      </c>
      <c r="O4393" t="s">
        <v>13477</v>
      </c>
    </row>
    <row r="4394" spans="1:20" x14ac:dyDescent="0.25">
      <c r="A4394" t="str">
        <f>"3078435"</f>
        <v>3078435</v>
      </c>
      <c r="B4394" t="s">
        <v>13483</v>
      </c>
      <c r="C4394" t="str">
        <f t="shared" si="66"/>
        <v>12041000</v>
      </c>
      <c r="D4394" t="s">
        <v>13477</v>
      </c>
      <c r="F4394" t="s">
        <v>13478</v>
      </c>
      <c r="I4394" t="s">
        <v>29</v>
      </c>
      <c r="J4394" t="s">
        <v>30</v>
      </c>
      <c r="K4394" t="s">
        <v>31</v>
      </c>
      <c r="M4394" t="s">
        <v>32</v>
      </c>
      <c r="N4394" t="str">
        <f t="shared" si="67"/>
        <v>9/25/2002 12:00:00 AM</v>
      </c>
      <c r="O4394" t="s">
        <v>13477</v>
      </c>
    </row>
    <row r="4395" spans="1:20" x14ac:dyDescent="0.25">
      <c r="A4395" t="str">
        <f>"3053940"</f>
        <v>3053940</v>
      </c>
      <c r="B4395" t="s">
        <v>13484</v>
      </c>
      <c r="C4395" t="str">
        <f>"73302000"</f>
        <v>73302000</v>
      </c>
      <c r="D4395" t="s">
        <v>13485</v>
      </c>
      <c r="E4395" t="s">
        <v>13486</v>
      </c>
      <c r="F4395" t="s">
        <v>13487</v>
      </c>
      <c r="I4395" t="s">
        <v>29</v>
      </c>
      <c r="J4395" t="s">
        <v>30</v>
      </c>
      <c r="K4395" t="s">
        <v>31</v>
      </c>
      <c r="M4395" t="s">
        <v>32</v>
      </c>
      <c r="N4395" t="str">
        <f>"9/24/2002 12:00:00 AM"</f>
        <v>9/24/2002 12:00:00 AM</v>
      </c>
      <c r="O4395" t="s">
        <v>13485</v>
      </c>
      <c r="T4395" t="s">
        <v>13486</v>
      </c>
    </row>
    <row r="4396" spans="1:20" x14ac:dyDescent="0.25">
      <c r="A4396" t="str">
        <f>"3051811"</f>
        <v>3051811</v>
      </c>
      <c r="B4396" t="s">
        <v>13488</v>
      </c>
      <c r="C4396" t="str">
        <f>"58544500"</f>
        <v>58544500</v>
      </c>
      <c r="D4396" t="s">
        <v>13489</v>
      </c>
      <c r="K4396" t="s">
        <v>586</v>
      </c>
      <c r="M4396" t="s">
        <v>32</v>
      </c>
      <c r="N4396" t="str">
        <f>"9/4/1985 12:00:00 AM"</f>
        <v>9/4/1985 12:00:00 AM</v>
      </c>
      <c r="O4396" t="s">
        <v>13489</v>
      </c>
    </row>
    <row r="4397" spans="1:20" x14ac:dyDescent="0.25">
      <c r="A4397" t="str">
        <f>"3051919"</f>
        <v>3051919</v>
      </c>
      <c r="B4397" t="s">
        <v>13490</v>
      </c>
      <c r="C4397" t="str">
        <f>"82514685"</f>
        <v>82514685</v>
      </c>
      <c r="D4397" t="s">
        <v>13491</v>
      </c>
      <c r="E4397" t="s">
        <v>13492</v>
      </c>
      <c r="F4397" t="s">
        <v>13493</v>
      </c>
      <c r="I4397" t="s">
        <v>29</v>
      </c>
      <c r="J4397" t="s">
        <v>30</v>
      </c>
      <c r="K4397" t="s">
        <v>31</v>
      </c>
      <c r="N4397" t="str">
        <f>"9/25/2002 12:00:00 AM"</f>
        <v>9/25/2002 12:00:00 AM</v>
      </c>
      <c r="O4397" t="s">
        <v>13491</v>
      </c>
      <c r="T4397" t="s">
        <v>13492</v>
      </c>
    </row>
    <row r="4398" spans="1:20" x14ac:dyDescent="0.25">
      <c r="A4398" t="str">
        <f>"3051920"</f>
        <v>3051920</v>
      </c>
      <c r="B4398" t="s">
        <v>13494</v>
      </c>
      <c r="C4398" t="str">
        <f>"75212000"</f>
        <v>75212000</v>
      </c>
      <c r="D4398" t="s">
        <v>13495</v>
      </c>
      <c r="F4398" t="s">
        <v>13496</v>
      </c>
      <c r="I4398" t="s">
        <v>2681</v>
      </c>
      <c r="J4398" t="s">
        <v>30</v>
      </c>
      <c r="K4398" t="s">
        <v>2682</v>
      </c>
      <c r="M4398" t="s">
        <v>32</v>
      </c>
      <c r="N4398" t="str">
        <f>"9/25/2002 12:00:00 AM"</f>
        <v>9/25/2002 12:00:00 AM</v>
      </c>
      <c r="O4398" t="s">
        <v>13495</v>
      </c>
    </row>
    <row r="4399" spans="1:20" x14ac:dyDescent="0.25">
      <c r="A4399" t="str">
        <f>"3051695"</f>
        <v>3051695</v>
      </c>
      <c r="B4399" t="s">
        <v>13497</v>
      </c>
      <c r="C4399" t="str">
        <f>"82514505"</f>
        <v>82514505</v>
      </c>
      <c r="D4399" t="s">
        <v>13495</v>
      </c>
      <c r="E4399" t="s">
        <v>13498</v>
      </c>
      <c r="F4399" t="s">
        <v>13496</v>
      </c>
      <c r="I4399" t="s">
        <v>2681</v>
      </c>
      <c r="J4399" t="s">
        <v>30</v>
      </c>
      <c r="K4399" t="s">
        <v>2682</v>
      </c>
      <c r="M4399" t="s">
        <v>32</v>
      </c>
      <c r="N4399" t="str">
        <f>"7/27/2004 12:00:00 AM"</f>
        <v>7/27/2004 12:00:00 AM</v>
      </c>
      <c r="O4399" t="s">
        <v>13495</v>
      </c>
      <c r="T4399" t="s">
        <v>13498</v>
      </c>
    </row>
    <row r="4400" spans="1:20" x14ac:dyDescent="0.25">
      <c r="A4400" t="str">
        <f>"3051923"</f>
        <v>3051923</v>
      </c>
      <c r="B4400" t="s">
        <v>13499</v>
      </c>
      <c r="C4400" t="str">
        <f>"82528528"</f>
        <v>82528528</v>
      </c>
      <c r="D4400" t="s">
        <v>11982</v>
      </c>
      <c r="E4400" t="s">
        <v>13500</v>
      </c>
      <c r="F4400" t="s">
        <v>13501</v>
      </c>
      <c r="I4400" t="s">
        <v>29</v>
      </c>
      <c r="J4400" t="s">
        <v>30</v>
      </c>
      <c r="K4400" t="s">
        <v>13502</v>
      </c>
      <c r="M4400" t="s">
        <v>32</v>
      </c>
      <c r="N4400" t="str">
        <f>"2/1/2008 12:00:00 AM"</f>
        <v>2/1/2008 12:00:00 AM</v>
      </c>
      <c r="O4400" t="s">
        <v>11982</v>
      </c>
      <c r="T4400" t="s">
        <v>13500</v>
      </c>
    </row>
    <row r="4401" spans="1:20" x14ac:dyDescent="0.25">
      <c r="A4401" t="str">
        <f>"3051924"</f>
        <v>3051924</v>
      </c>
      <c r="B4401" t="s">
        <v>13503</v>
      </c>
      <c r="C4401" t="str">
        <f>"82528528"</f>
        <v>82528528</v>
      </c>
      <c r="D4401" t="s">
        <v>11982</v>
      </c>
      <c r="E4401" t="s">
        <v>13500</v>
      </c>
      <c r="F4401" t="s">
        <v>13501</v>
      </c>
      <c r="I4401" t="s">
        <v>29</v>
      </c>
      <c r="J4401" t="s">
        <v>30</v>
      </c>
      <c r="K4401" t="s">
        <v>13502</v>
      </c>
      <c r="M4401" t="s">
        <v>32</v>
      </c>
      <c r="N4401" t="str">
        <f>"2/1/2008 12:00:00 AM"</f>
        <v>2/1/2008 12:00:00 AM</v>
      </c>
      <c r="O4401" t="s">
        <v>11982</v>
      </c>
      <c r="T4401" t="s">
        <v>13500</v>
      </c>
    </row>
    <row r="4402" spans="1:20" x14ac:dyDescent="0.25">
      <c r="A4402" t="str">
        <f>"3052069"</f>
        <v>3052069</v>
      </c>
      <c r="B4402" t="s">
        <v>13504</v>
      </c>
      <c r="C4402" t="str">
        <f>"82528528"</f>
        <v>82528528</v>
      </c>
      <c r="D4402" t="s">
        <v>11982</v>
      </c>
      <c r="E4402" t="s">
        <v>13500</v>
      </c>
      <c r="F4402" t="s">
        <v>13501</v>
      </c>
      <c r="I4402" t="s">
        <v>29</v>
      </c>
      <c r="J4402" t="s">
        <v>30</v>
      </c>
      <c r="K4402" t="s">
        <v>13502</v>
      </c>
      <c r="M4402" t="s">
        <v>32</v>
      </c>
      <c r="N4402" t="str">
        <f>"2/1/2008 12:00:00 AM"</f>
        <v>2/1/2008 12:00:00 AM</v>
      </c>
      <c r="O4402" t="s">
        <v>11982</v>
      </c>
      <c r="T4402" t="s">
        <v>13500</v>
      </c>
    </row>
    <row r="4403" spans="1:20" x14ac:dyDescent="0.25">
      <c r="A4403" t="str">
        <f>"3045739"</f>
        <v>3045739</v>
      </c>
      <c r="B4403" t="s">
        <v>13505</v>
      </c>
      <c r="C4403" t="str">
        <f>"82528528"</f>
        <v>82528528</v>
      </c>
      <c r="D4403" t="s">
        <v>11982</v>
      </c>
      <c r="E4403" t="s">
        <v>13500</v>
      </c>
      <c r="F4403" t="s">
        <v>13501</v>
      </c>
      <c r="I4403" t="s">
        <v>29</v>
      </c>
      <c r="J4403" t="s">
        <v>30</v>
      </c>
      <c r="K4403" t="s">
        <v>13502</v>
      </c>
      <c r="M4403" t="s">
        <v>32</v>
      </c>
      <c r="N4403" t="str">
        <f>"2/1/2008 12:00:00 AM"</f>
        <v>2/1/2008 12:00:00 AM</v>
      </c>
      <c r="O4403" t="s">
        <v>11982</v>
      </c>
      <c r="T4403" t="s">
        <v>13500</v>
      </c>
    </row>
    <row r="4404" spans="1:20" x14ac:dyDescent="0.25">
      <c r="A4404" t="str">
        <f>"3045105"</f>
        <v>3045105</v>
      </c>
      <c r="B4404" t="s">
        <v>13506</v>
      </c>
      <c r="C4404" t="str">
        <f>"82528528"</f>
        <v>82528528</v>
      </c>
      <c r="D4404" t="s">
        <v>11982</v>
      </c>
      <c r="E4404" t="s">
        <v>13500</v>
      </c>
      <c r="F4404" t="s">
        <v>13501</v>
      </c>
      <c r="I4404" t="s">
        <v>29</v>
      </c>
      <c r="J4404" t="s">
        <v>30</v>
      </c>
      <c r="K4404" t="s">
        <v>13502</v>
      </c>
      <c r="M4404" t="s">
        <v>32</v>
      </c>
      <c r="N4404" t="str">
        <f>"2/1/2008 12:00:00 AM"</f>
        <v>2/1/2008 12:00:00 AM</v>
      </c>
      <c r="O4404" t="s">
        <v>11982</v>
      </c>
      <c r="T4404" t="s">
        <v>13500</v>
      </c>
    </row>
    <row r="4405" spans="1:20" x14ac:dyDescent="0.25">
      <c r="A4405" t="str">
        <f>"3053887"</f>
        <v>3053887</v>
      </c>
      <c r="B4405" t="s">
        <v>13507</v>
      </c>
      <c r="C4405" t="str">
        <f>"34410750"</f>
        <v>34410750</v>
      </c>
      <c r="D4405" t="s">
        <v>13508</v>
      </c>
      <c r="E4405" t="s">
        <v>13509</v>
      </c>
      <c r="F4405" t="s">
        <v>13510</v>
      </c>
      <c r="I4405" t="s">
        <v>29</v>
      </c>
      <c r="J4405" t="s">
        <v>30</v>
      </c>
      <c r="K4405" t="s">
        <v>11602</v>
      </c>
      <c r="N4405" t="str">
        <f>"1/12/2007 12:00:00 AM"</f>
        <v>1/12/2007 12:00:00 AM</v>
      </c>
      <c r="O4405" t="s">
        <v>13508</v>
      </c>
      <c r="T4405" t="s">
        <v>13509</v>
      </c>
    </row>
    <row r="4406" spans="1:20" x14ac:dyDescent="0.25">
      <c r="A4406" t="str">
        <f>"3053362"</f>
        <v>3053362</v>
      </c>
      <c r="B4406" t="s">
        <v>13511</v>
      </c>
      <c r="C4406" t="str">
        <f>"82523896"</f>
        <v>82523896</v>
      </c>
      <c r="D4406" t="s">
        <v>13512</v>
      </c>
      <c r="E4406" t="s">
        <v>13513</v>
      </c>
      <c r="F4406" t="s">
        <v>13514</v>
      </c>
      <c r="I4406" t="s">
        <v>29</v>
      </c>
      <c r="J4406" t="s">
        <v>30</v>
      </c>
      <c r="K4406" t="s">
        <v>13515</v>
      </c>
      <c r="M4406" t="s">
        <v>32</v>
      </c>
      <c r="N4406" t="str">
        <f>"2/3/2010 12:00:00 AM"</f>
        <v>2/3/2010 12:00:00 AM</v>
      </c>
      <c r="O4406" t="s">
        <v>13512</v>
      </c>
      <c r="T4406" t="s">
        <v>13513</v>
      </c>
    </row>
    <row r="4407" spans="1:20" x14ac:dyDescent="0.25">
      <c r="A4407" t="str">
        <f>"3056938"</f>
        <v>3056938</v>
      </c>
      <c r="B4407" t="s">
        <v>13516</v>
      </c>
      <c r="C4407" t="str">
        <f>"48088000"</f>
        <v>48088000</v>
      </c>
      <c r="D4407" t="s">
        <v>13517</v>
      </c>
      <c r="F4407" t="s">
        <v>13518</v>
      </c>
      <c r="I4407" t="s">
        <v>29</v>
      </c>
      <c r="J4407" t="s">
        <v>30</v>
      </c>
      <c r="K4407" t="s">
        <v>31</v>
      </c>
      <c r="M4407" t="s">
        <v>32</v>
      </c>
      <c r="N4407" t="str">
        <f>"9/25/2002 12:00:00 AM"</f>
        <v>9/25/2002 12:00:00 AM</v>
      </c>
      <c r="O4407" t="s">
        <v>13517</v>
      </c>
    </row>
    <row r="4408" spans="1:20" x14ac:dyDescent="0.25">
      <c r="A4408" t="str">
        <f>"3056936"</f>
        <v>3056936</v>
      </c>
      <c r="B4408" t="s">
        <v>13519</v>
      </c>
      <c r="C4408" t="str">
        <f>"48088000"</f>
        <v>48088000</v>
      </c>
      <c r="D4408" t="s">
        <v>13517</v>
      </c>
      <c r="F4408" t="s">
        <v>13518</v>
      </c>
      <c r="I4408" t="s">
        <v>29</v>
      </c>
      <c r="J4408" t="s">
        <v>30</v>
      </c>
      <c r="K4408" t="s">
        <v>31</v>
      </c>
      <c r="M4408" t="s">
        <v>32</v>
      </c>
      <c r="N4408" t="str">
        <f>"9/25/2002 12:00:00 AM"</f>
        <v>9/25/2002 12:00:00 AM</v>
      </c>
      <c r="O4408" t="s">
        <v>13517</v>
      </c>
    </row>
    <row r="4409" spans="1:20" x14ac:dyDescent="0.25">
      <c r="A4409" t="str">
        <f>"3062586"</f>
        <v>3062586</v>
      </c>
      <c r="B4409" t="s">
        <v>13520</v>
      </c>
      <c r="C4409" t="str">
        <f>"48088000"</f>
        <v>48088000</v>
      </c>
      <c r="D4409" t="s">
        <v>13517</v>
      </c>
      <c r="F4409" t="s">
        <v>13518</v>
      </c>
      <c r="I4409" t="s">
        <v>29</v>
      </c>
      <c r="J4409" t="s">
        <v>30</v>
      </c>
      <c r="K4409" t="s">
        <v>31</v>
      </c>
      <c r="M4409" t="s">
        <v>32</v>
      </c>
      <c r="N4409" t="str">
        <f>"9/25/2002 12:00:00 AM"</f>
        <v>9/25/2002 12:00:00 AM</v>
      </c>
      <c r="O4409" t="s">
        <v>13517</v>
      </c>
    </row>
    <row r="4410" spans="1:20" x14ac:dyDescent="0.25">
      <c r="A4410" t="str">
        <f>"3071310"</f>
        <v>3071310</v>
      </c>
      <c r="B4410" t="s">
        <v>13521</v>
      </c>
      <c r="C4410" t="str">
        <f>"24662000"</f>
        <v>24662000</v>
      </c>
      <c r="D4410" t="s">
        <v>13522</v>
      </c>
      <c r="E4410" t="s">
        <v>13523</v>
      </c>
      <c r="F4410" t="s">
        <v>13524</v>
      </c>
      <c r="I4410" t="s">
        <v>29</v>
      </c>
      <c r="J4410" t="s">
        <v>30</v>
      </c>
      <c r="K4410" t="s">
        <v>11602</v>
      </c>
      <c r="M4410" t="s">
        <v>32</v>
      </c>
      <c r="N4410" t="str">
        <f>"1/11/2010 12:00:00 AM"</f>
        <v>1/11/2010 12:00:00 AM</v>
      </c>
      <c r="O4410" t="s">
        <v>13522</v>
      </c>
      <c r="T4410" t="s">
        <v>13523</v>
      </c>
    </row>
    <row r="4411" spans="1:20" x14ac:dyDescent="0.25">
      <c r="A4411" t="str">
        <f>"3059482"</f>
        <v>3059482</v>
      </c>
      <c r="B4411" t="s">
        <v>13525</v>
      </c>
      <c r="C4411" t="str">
        <f>"82513113"</f>
        <v>82513113</v>
      </c>
      <c r="D4411" t="s">
        <v>13526</v>
      </c>
      <c r="E4411" t="s">
        <v>13527</v>
      </c>
      <c r="F4411" t="s">
        <v>13528</v>
      </c>
      <c r="I4411" t="s">
        <v>29</v>
      </c>
      <c r="J4411" t="s">
        <v>30</v>
      </c>
      <c r="K4411" t="s">
        <v>31</v>
      </c>
      <c r="M4411" t="s">
        <v>32</v>
      </c>
      <c r="N4411" t="str">
        <f>"7/22/2004 12:00:00 AM"</f>
        <v>7/22/2004 12:00:00 AM</v>
      </c>
      <c r="O4411" t="s">
        <v>13526</v>
      </c>
      <c r="T4411" t="s">
        <v>13527</v>
      </c>
    </row>
    <row r="4412" spans="1:20" x14ac:dyDescent="0.25">
      <c r="A4412" t="str">
        <f>"3053860"</f>
        <v>3053860</v>
      </c>
      <c r="B4412" t="s">
        <v>13529</v>
      </c>
      <c r="C4412" t="str">
        <f>"82526522"</f>
        <v>82526522</v>
      </c>
      <c r="D4412" t="s">
        <v>13530</v>
      </c>
      <c r="F4412" t="s">
        <v>13531</v>
      </c>
      <c r="I4412" t="s">
        <v>29</v>
      </c>
      <c r="J4412" t="s">
        <v>30</v>
      </c>
      <c r="K4412" t="s">
        <v>31</v>
      </c>
      <c r="M4412" t="s">
        <v>32</v>
      </c>
      <c r="N4412" t="str">
        <f>"8/2/2006 12:00:00 AM"</f>
        <v>8/2/2006 12:00:00 AM</v>
      </c>
      <c r="O4412" t="s">
        <v>13530</v>
      </c>
    </row>
    <row r="4413" spans="1:20" x14ac:dyDescent="0.25">
      <c r="A4413" t="str">
        <f>"3099850"</f>
        <v>3099850</v>
      </c>
      <c r="B4413" t="s">
        <v>13532</v>
      </c>
      <c r="C4413" t="str">
        <f>"82526656"</f>
        <v>82526656</v>
      </c>
      <c r="D4413" t="s">
        <v>13533</v>
      </c>
      <c r="E4413" t="s">
        <v>13534</v>
      </c>
      <c r="F4413" t="s">
        <v>13535</v>
      </c>
      <c r="I4413" t="s">
        <v>29</v>
      </c>
      <c r="J4413" t="s">
        <v>30</v>
      </c>
      <c r="K4413" t="s">
        <v>31</v>
      </c>
      <c r="M4413" t="s">
        <v>32</v>
      </c>
      <c r="N4413" t="str">
        <f>"2/14/2007 12:00:00 AM"</f>
        <v>2/14/2007 12:00:00 AM</v>
      </c>
      <c r="O4413" t="s">
        <v>13533</v>
      </c>
      <c r="T4413" t="s">
        <v>13534</v>
      </c>
    </row>
    <row r="4414" spans="1:20" x14ac:dyDescent="0.25">
      <c r="A4414" t="str">
        <f>"3059542"</f>
        <v>3059542</v>
      </c>
      <c r="B4414" t="s">
        <v>13536</v>
      </c>
      <c r="C4414" t="str">
        <f>"82529748"</f>
        <v>82529748</v>
      </c>
      <c r="D4414" t="s">
        <v>13537</v>
      </c>
      <c r="E4414" t="s">
        <v>13538</v>
      </c>
      <c r="F4414" t="s">
        <v>13539</v>
      </c>
      <c r="I4414" t="s">
        <v>13540</v>
      </c>
      <c r="J4414" t="s">
        <v>12725</v>
      </c>
      <c r="K4414" t="s">
        <v>13541</v>
      </c>
      <c r="M4414" t="s">
        <v>32</v>
      </c>
      <c r="N4414" t="str">
        <f>"1/16/2009 12:00:00 AM"</f>
        <v>1/16/2009 12:00:00 AM</v>
      </c>
      <c r="O4414" t="s">
        <v>13537</v>
      </c>
      <c r="T4414" t="s">
        <v>13538</v>
      </c>
    </row>
    <row r="4415" spans="1:20" x14ac:dyDescent="0.25">
      <c r="A4415" t="str">
        <f>"3059540"</f>
        <v>3059540</v>
      </c>
      <c r="B4415" t="s">
        <v>13542</v>
      </c>
      <c r="C4415" t="str">
        <f>"82515122"</f>
        <v>82515122</v>
      </c>
      <c r="D4415" t="s">
        <v>13543</v>
      </c>
      <c r="F4415" t="s">
        <v>13544</v>
      </c>
      <c r="I4415" t="s">
        <v>29</v>
      </c>
      <c r="J4415" t="s">
        <v>30</v>
      </c>
      <c r="K4415" t="s">
        <v>31</v>
      </c>
      <c r="M4415" t="s">
        <v>32</v>
      </c>
      <c r="N4415" t="str">
        <f>"1/21/2003 12:00:00 AM"</f>
        <v>1/21/2003 12:00:00 AM</v>
      </c>
      <c r="O4415" t="s">
        <v>13543</v>
      </c>
    </row>
    <row r="4416" spans="1:20" x14ac:dyDescent="0.25">
      <c r="A4416" t="str">
        <f>"3059553"</f>
        <v>3059553</v>
      </c>
      <c r="B4416" t="s">
        <v>13545</v>
      </c>
      <c r="C4416" t="str">
        <f>"82517003"</f>
        <v>82517003</v>
      </c>
      <c r="D4416" t="s">
        <v>13546</v>
      </c>
      <c r="E4416" t="s">
        <v>13547</v>
      </c>
      <c r="F4416" t="s">
        <v>13548</v>
      </c>
      <c r="I4416" t="s">
        <v>29</v>
      </c>
      <c r="J4416" t="s">
        <v>30</v>
      </c>
      <c r="K4416" t="s">
        <v>31</v>
      </c>
      <c r="M4416" t="s">
        <v>32</v>
      </c>
      <c r="N4416" t="str">
        <f>"9/25/2002 12:00:00 AM"</f>
        <v>9/25/2002 12:00:00 AM</v>
      </c>
      <c r="O4416" t="s">
        <v>13546</v>
      </c>
      <c r="T4416" t="s">
        <v>13547</v>
      </c>
    </row>
    <row r="4417" spans="1:20" x14ac:dyDescent="0.25">
      <c r="A4417" t="str">
        <f>"3053913"</f>
        <v>3053913</v>
      </c>
      <c r="B4417" t="s">
        <v>13549</v>
      </c>
      <c r="C4417" t="str">
        <f>"82526522"</f>
        <v>82526522</v>
      </c>
      <c r="D4417" t="s">
        <v>13530</v>
      </c>
      <c r="F4417" t="s">
        <v>13531</v>
      </c>
      <c r="I4417" t="s">
        <v>29</v>
      </c>
      <c r="J4417" t="s">
        <v>30</v>
      </c>
      <c r="K4417" t="s">
        <v>31</v>
      </c>
      <c r="M4417" t="s">
        <v>32</v>
      </c>
      <c r="N4417" t="str">
        <f>"8/2/2006 12:00:00 AM"</f>
        <v>8/2/2006 12:00:00 AM</v>
      </c>
      <c r="O4417" t="s">
        <v>13530</v>
      </c>
    </row>
    <row r="4418" spans="1:20" x14ac:dyDescent="0.25">
      <c r="A4418" t="str">
        <f>"3053899"</f>
        <v>3053899</v>
      </c>
      <c r="B4418" t="s">
        <v>13550</v>
      </c>
      <c r="C4418" t="str">
        <f>"82517839"</f>
        <v>82517839</v>
      </c>
      <c r="D4418" t="s">
        <v>13551</v>
      </c>
      <c r="E4418" t="s">
        <v>13552</v>
      </c>
      <c r="F4418" t="s">
        <v>13553</v>
      </c>
      <c r="I4418" t="s">
        <v>29</v>
      </c>
      <c r="J4418" t="s">
        <v>30</v>
      </c>
      <c r="K4418" t="s">
        <v>31</v>
      </c>
      <c r="N4418" t="str">
        <f>"2/15/2002 12:00:00 AM"</f>
        <v>2/15/2002 12:00:00 AM</v>
      </c>
      <c r="O4418" t="s">
        <v>13551</v>
      </c>
      <c r="T4418" t="s">
        <v>13552</v>
      </c>
    </row>
    <row r="4419" spans="1:20" x14ac:dyDescent="0.25">
      <c r="A4419" t="str">
        <f>"3059564"</f>
        <v>3059564</v>
      </c>
      <c r="B4419" t="s">
        <v>13554</v>
      </c>
      <c r="C4419" t="str">
        <f>"82529941"</f>
        <v>82529941</v>
      </c>
      <c r="D4419" t="s">
        <v>13555</v>
      </c>
      <c r="E4419" t="s">
        <v>13556</v>
      </c>
      <c r="F4419" t="s">
        <v>13557</v>
      </c>
      <c r="I4419" t="s">
        <v>29</v>
      </c>
      <c r="J4419" t="s">
        <v>30</v>
      </c>
      <c r="K4419" t="s">
        <v>31</v>
      </c>
      <c r="M4419" t="s">
        <v>32</v>
      </c>
      <c r="N4419" t="str">
        <f>"8/6/2008 12:00:00 AM"</f>
        <v>8/6/2008 12:00:00 AM</v>
      </c>
      <c r="O4419" t="s">
        <v>13555</v>
      </c>
      <c r="T4419" t="s">
        <v>13556</v>
      </c>
    </row>
    <row r="4420" spans="1:20" x14ac:dyDescent="0.25">
      <c r="A4420" t="str">
        <f>"3055043"</f>
        <v>3055043</v>
      </c>
      <c r="B4420" t="s">
        <v>13558</v>
      </c>
      <c r="C4420" t="str">
        <f>"39830000"</f>
        <v>39830000</v>
      </c>
      <c r="D4420" t="s">
        <v>13559</v>
      </c>
      <c r="E4420" t="s">
        <v>13560</v>
      </c>
      <c r="F4420" t="s">
        <v>13561</v>
      </c>
      <c r="I4420" t="s">
        <v>29</v>
      </c>
      <c r="J4420" t="s">
        <v>30</v>
      </c>
      <c r="K4420" t="s">
        <v>13562</v>
      </c>
      <c r="M4420" t="s">
        <v>32</v>
      </c>
      <c r="N4420" t="str">
        <f>"2/1/2006 12:00:00 AM"</f>
        <v>2/1/2006 12:00:00 AM</v>
      </c>
      <c r="O4420" t="s">
        <v>13559</v>
      </c>
      <c r="T4420" t="s">
        <v>13560</v>
      </c>
    </row>
    <row r="4421" spans="1:20" x14ac:dyDescent="0.25">
      <c r="A4421" t="str">
        <f>"3053906"</f>
        <v>3053906</v>
      </c>
      <c r="B4421" t="s">
        <v>13563</v>
      </c>
      <c r="C4421" t="str">
        <f>"11287150"</f>
        <v>11287150</v>
      </c>
      <c r="D4421" t="s">
        <v>13564</v>
      </c>
      <c r="E4421" t="s">
        <v>13565</v>
      </c>
      <c r="F4421" t="s">
        <v>13566</v>
      </c>
      <c r="I4421" t="s">
        <v>29</v>
      </c>
      <c r="J4421" t="s">
        <v>30</v>
      </c>
      <c r="K4421" t="s">
        <v>13567</v>
      </c>
      <c r="M4421" t="s">
        <v>32</v>
      </c>
      <c r="N4421" t="str">
        <f>"1/3/2008 12:00:00 AM"</f>
        <v>1/3/2008 12:00:00 AM</v>
      </c>
      <c r="O4421" t="s">
        <v>13564</v>
      </c>
      <c r="T4421" t="s">
        <v>13565</v>
      </c>
    </row>
    <row r="4422" spans="1:20" x14ac:dyDescent="0.25">
      <c r="A4422" t="str">
        <f>"3053921"</f>
        <v>3053921</v>
      </c>
      <c r="B4422" t="s">
        <v>13568</v>
      </c>
      <c r="C4422" t="str">
        <f>"19269000"</f>
        <v>19269000</v>
      </c>
      <c r="D4422" t="s">
        <v>13569</v>
      </c>
      <c r="E4422" t="s">
        <v>13570</v>
      </c>
      <c r="F4422" t="s">
        <v>13571</v>
      </c>
      <c r="I4422" t="s">
        <v>29</v>
      </c>
      <c r="J4422" t="s">
        <v>30</v>
      </c>
      <c r="K4422" t="s">
        <v>13295</v>
      </c>
      <c r="M4422" t="s">
        <v>32</v>
      </c>
      <c r="N4422" t="str">
        <f>"1/22/2010 12:00:00 AM"</f>
        <v>1/22/2010 12:00:00 AM</v>
      </c>
      <c r="O4422" t="s">
        <v>13569</v>
      </c>
      <c r="T4422" t="s">
        <v>13570</v>
      </c>
    </row>
    <row r="4423" spans="1:20" x14ac:dyDescent="0.25">
      <c r="A4423" t="str">
        <f>"3053481"</f>
        <v>3053481</v>
      </c>
      <c r="B4423" t="s">
        <v>13572</v>
      </c>
      <c r="C4423" t="str">
        <f>"76712000"</f>
        <v>76712000</v>
      </c>
      <c r="D4423" t="s">
        <v>13573</v>
      </c>
      <c r="E4423" t="s">
        <v>13574</v>
      </c>
      <c r="F4423" t="s">
        <v>13575</v>
      </c>
      <c r="I4423" t="s">
        <v>29</v>
      </c>
      <c r="J4423" t="s">
        <v>30</v>
      </c>
      <c r="K4423" t="s">
        <v>13576</v>
      </c>
      <c r="M4423" t="s">
        <v>32</v>
      </c>
      <c r="N4423" t="str">
        <f>"1/24/2007 12:00:00 AM"</f>
        <v>1/24/2007 12:00:00 AM</v>
      </c>
      <c r="O4423" t="s">
        <v>13573</v>
      </c>
      <c r="T4423" t="s">
        <v>13574</v>
      </c>
    </row>
    <row r="4424" spans="1:20" x14ac:dyDescent="0.25">
      <c r="A4424" t="str">
        <f>"3053440"</f>
        <v>3053440</v>
      </c>
      <c r="B4424" t="s">
        <v>13577</v>
      </c>
      <c r="C4424" t="str">
        <f>"82529413"</f>
        <v>82529413</v>
      </c>
      <c r="D4424" t="s">
        <v>13578</v>
      </c>
      <c r="E4424" t="s">
        <v>13579</v>
      </c>
      <c r="F4424" t="s">
        <v>13580</v>
      </c>
      <c r="I4424" t="s">
        <v>29</v>
      </c>
      <c r="J4424" t="s">
        <v>30</v>
      </c>
      <c r="K4424" t="s">
        <v>31</v>
      </c>
      <c r="M4424" t="s">
        <v>32</v>
      </c>
      <c r="N4424" t="str">
        <f>"2/11/2010 12:00:00 AM"</f>
        <v>2/11/2010 12:00:00 AM</v>
      </c>
      <c r="O4424" t="s">
        <v>13578</v>
      </c>
      <c r="T4424" t="s">
        <v>13579</v>
      </c>
    </row>
    <row r="4425" spans="1:20" x14ac:dyDescent="0.25">
      <c r="A4425" t="str">
        <f>"3055524"</f>
        <v>3055524</v>
      </c>
      <c r="B4425" t="s">
        <v>13581</v>
      </c>
      <c r="C4425" t="str">
        <f>"78879870"</f>
        <v>78879870</v>
      </c>
      <c r="D4425" t="s">
        <v>13582</v>
      </c>
      <c r="E4425" t="s">
        <v>13583</v>
      </c>
      <c r="F4425" t="s">
        <v>13584</v>
      </c>
      <c r="I4425" t="s">
        <v>29</v>
      </c>
      <c r="J4425" t="s">
        <v>30</v>
      </c>
      <c r="K4425" t="s">
        <v>31</v>
      </c>
      <c r="M4425" t="s">
        <v>32</v>
      </c>
      <c r="N4425" t="str">
        <f>"6/29/2010 12:00:00 AM"</f>
        <v>6/29/2010 12:00:00 AM</v>
      </c>
      <c r="O4425" t="s">
        <v>13582</v>
      </c>
      <c r="T4425" t="s">
        <v>13583</v>
      </c>
    </row>
    <row r="4426" spans="1:20" x14ac:dyDescent="0.25">
      <c r="A4426" t="str">
        <f>"3059436"</f>
        <v>3059436</v>
      </c>
      <c r="B4426" t="s">
        <v>13585</v>
      </c>
      <c r="C4426" t="str">
        <f>"64104000"</f>
        <v>64104000</v>
      </c>
      <c r="D4426" t="s">
        <v>13586</v>
      </c>
      <c r="F4426" t="s">
        <v>13587</v>
      </c>
      <c r="I4426" t="s">
        <v>29</v>
      </c>
      <c r="J4426" t="s">
        <v>30</v>
      </c>
      <c r="K4426" t="s">
        <v>31</v>
      </c>
      <c r="M4426" t="s">
        <v>32</v>
      </c>
      <c r="N4426" t="str">
        <f>"11/2/2011 12:00:00 AM"</f>
        <v>11/2/2011 12:00:00 AM</v>
      </c>
      <c r="O4426" t="s">
        <v>13586</v>
      </c>
    </row>
    <row r="4427" spans="1:20" x14ac:dyDescent="0.25">
      <c r="A4427" t="str">
        <f>"3053400"</f>
        <v>3053400</v>
      </c>
      <c r="B4427" t="s">
        <v>13588</v>
      </c>
      <c r="C4427" t="str">
        <f>"82523644"</f>
        <v>82523644</v>
      </c>
      <c r="D4427" t="s">
        <v>13589</v>
      </c>
      <c r="E4427" t="s">
        <v>13590</v>
      </c>
      <c r="F4427" t="s">
        <v>13591</v>
      </c>
      <c r="I4427" t="s">
        <v>29</v>
      </c>
      <c r="J4427" t="s">
        <v>30</v>
      </c>
      <c r="K4427" t="s">
        <v>31</v>
      </c>
      <c r="M4427" t="s">
        <v>32</v>
      </c>
      <c r="N4427" t="str">
        <f>"1/12/2005 12:00:00 AM"</f>
        <v>1/12/2005 12:00:00 AM</v>
      </c>
      <c r="O4427" t="s">
        <v>13589</v>
      </c>
      <c r="T4427" t="s">
        <v>13590</v>
      </c>
    </row>
    <row r="4428" spans="1:20" x14ac:dyDescent="0.25">
      <c r="A4428" t="str">
        <f>"3053417"</f>
        <v>3053417</v>
      </c>
      <c r="B4428" t="s">
        <v>13592</v>
      </c>
      <c r="C4428" t="str">
        <f>"82515907"</f>
        <v>82515907</v>
      </c>
      <c r="D4428" t="s">
        <v>13593</v>
      </c>
      <c r="E4428" t="s">
        <v>13594</v>
      </c>
      <c r="F4428" t="s">
        <v>13595</v>
      </c>
      <c r="I4428" t="s">
        <v>29</v>
      </c>
      <c r="J4428" t="s">
        <v>30</v>
      </c>
      <c r="K4428" t="s">
        <v>31</v>
      </c>
      <c r="M4428" t="s">
        <v>32</v>
      </c>
      <c r="N4428" t="str">
        <f>"7/28/2003 12:00:00 AM"</f>
        <v>7/28/2003 12:00:00 AM</v>
      </c>
      <c r="O4428" t="s">
        <v>13593</v>
      </c>
      <c r="T4428" t="s">
        <v>13594</v>
      </c>
    </row>
    <row r="4429" spans="1:20" x14ac:dyDescent="0.25">
      <c r="A4429" t="str">
        <f>"3067400"</f>
        <v>3067400</v>
      </c>
      <c r="B4429" t="s">
        <v>13596</v>
      </c>
      <c r="C4429" t="str">
        <f>"73222000"</f>
        <v>73222000</v>
      </c>
      <c r="D4429" t="s">
        <v>13597</v>
      </c>
      <c r="E4429" t="s">
        <v>13598</v>
      </c>
      <c r="F4429" t="s">
        <v>13599</v>
      </c>
      <c r="I4429" t="s">
        <v>29</v>
      </c>
      <c r="J4429" t="s">
        <v>30</v>
      </c>
      <c r="K4429" t="s">
        <v>13600</v>
      </c>
      <c r="M4429" t="s">
        <v>32</v>
      </c>
      <c r="N4429" t="str">
        <f>"1/27/2006 12:00:00 AM"</f>
        <v>1/27/2006 12:00:00 AM</v>
      </c>
      <c r="O4429" t="s">
        <v>13597</v>
      </c>
      <c r="T4429" t="s">
        <v>13598</v>
      </c>
    </row>
    <row r="4430" spans="1:20" x14ac:dyDescent="0.25">
      <c r="A4430" t="str">
        <f>"3053446"</f>
        <v>3053446</v>
      </c>
      <c r="B4430" t="s">
        <v>13601</v>
      </c>
      <c r="C4430" t="str">
        <f>"82519418"</f>
        <v>82519418</v>
      </c>
      <c r="D4430" t="s">
        <v>13602</v>
      </c>
      <c r="F4430" t="s">
        <v>13603</v>
      </c>
      <c r="I4430" t="s">
        <v>29</v>
      </c>
      <c r="J4430" t="s">
        <v>30</v>
      </c>
      <c r="K4430" t="s">
        <v>31</v>
      </c>
      <c r="M4430" t="s">
        <v>32</v>
      </c>
      <c r="N4430" t="str">
        <f>"2/24/2003 12:00:00 AM"</f>
        <v>2/24/2003 12:00:00 AM</v>
      </c>
      <c r="O4430" t="s">
        <v>13602</v>
      </c>
    </row>
    <row r="4431" spans="1:20" x14ac:dyDescent="0.25">
      <c r="A4431" t="str">
        <f>"3059664"</f>
        <v>3059664</v>
      </c>
      <c r="B4431" t="s">
        <v>13604</v>
      </c>
      <c r="C4431" t="str">
        <f>"82525665"</f>
        <v>82525665</v>
      </c>
      <c r="D4431" t="s">
        <v>13605</v>
      </c>
      <c r="E4431" t="s">
        <v>13606</v>
      </c>
      <c r="F4431" t="s">
        <v>13607</v>
      </c>
      <c r="I4431" t="s">
        <v>29</v>
      </c>
      <c r="J4431" t="s">
        <v>30</v>
      </c>
      <c r="K4431" t="s">
        <v>13608</v>
      </c>
      <c r="M4431" t="s">
        <v>32</v>
      </c>
      <c r="N4431" t="str">
        <f>"2/13/2007 12:00:00 AM"</f>
        <v>2/13/2007 12:00:00 AM</v>
      </c>
      <c r="O4431" t="s">
        <v>13605</v>
      </c>
      <c r="T4431" t="s">
        <v>13606</v>
      </c>
    </row>
    <row r="4432" spans="1:20" x14ac:dyDescent="0.25">
      <c r="A4432" t="str">
        <f>"3053467"</f>
        <v>3053467</v>
      </c>
      <c r="B4432" t="s">
        <v>13609</v>
      </c>
      <c r="C4432" t="str">
        <f>"82523091"</f>
        <v>82523091</v>
      </c>
      <c r="D4432" t="s">
        <v>13610</v>
      </c>
      <c r="E4432" t="s">
        <v>13611</v>
      </c>
      <c r="F4432" t="s">
        <v>13612</v>
      </c>
      <c r="I4432" t="s">
        <v>29</v>
      </c>
      <c r="J4432" t="s">
        <v>30</v>
      </c>
      <c r="K4432" t="s">
        <v>13613</v>
      </c>
      <c r="M4432" t="s">
        <v>32</v>
      </c>
      <c r="N4432" t="str">
        <f>"2/25/2005 12:00:00 AM"</f>
        <v>2/25/2005 12:00:00 AM</v>
      </c>
      <c r="O4432" t="s">
        <v>13610</v>
      </c>
      <c r="T4432" t="s">
        <v>13611</v>
      </c>
    </row>
    <row r="4433" spans="1:20" x14ac:dyDescent="0.25">
      <c r="A4433" t="str">
        <f>"3059645"</f>
        <v>3059645</v>
      </c>
      <c r="B4433" t="s">
        <v>13614</v>
      </c>
      <c r="C4433" t="str">
        <f>"82515588"</f>
        <v>82515588</v>
      </c>
      <c r="D4433" t="s">
        <v>13615</v>
      </c>
      <c r="E4433" t="s">
        <v>13616</v>
      </c>
      <c r="F4433" t="s">
        <v>13617</v>
      </c>
      <c r="I4433" t="s">
        <v>29</v>
      </c>
      <c r="J4433" t="s">
        <v>30</v>
      </c>
      <c r="K4433" t="s">
        <v>31</v>
      </c>
      <c r="M4433" t="s">
        <v>32</v>
      </c>
      <c r="N4433" t="str">
        <f>"2/18/2005 12:00:00 AM"</f>
        <v>2/18/2005 12:00:00 AM</v>
      </c>
      <c r="O4433" t="s">
        <v>13615</v>
      </c>
      <c r="T4433" t="s">
        <v>13616</v>
      </c>
    </row>
    <row r="4434" spans="1:20" x14ac:dyDescent="0.25">
      <c r="A4434" t="str">
        <f>"3052799"</f>
        <v>3052799</v>
      </c>
      <c r="B4434" t="s">
        <v>13618</v>
      </c>
      <c r="C4434" t="str">
        <f>"82525039"</f>
        <v>82525039</v>
      </c>
      <c r="D4434" t="s">
        <v>13619</v>
      </c>
      <c r="F4434" t="s">
        <v>13620</v>
      </c>
      <c r="I4434" t="s">
        <v>29</v>
      </c>
      <c r="J4434" t="s">
        <v>30</v>
      </c>
      <c r="K4434" t="s">
        <v>31</v>
      </c>
      <c r="M4434" t="s">
        <v>32</v>
      </c>
      <c r="N4434" t="str">
        <f>"8/9/2006 12:00:00 AM"</f>
        <v>8/9/2006 12:00:00 AM</v>
      </c>
      <c r="O4434" t="s">
        <v>13619</v>
      </c>
    </row>
    <row r="4435" spans="1:20" x14ac:dyDescent="0.25">
      <c r="A4435" t="str">
        <f>"3053441"</f>
        <v>3053441</v>
      </c>
      <c r="B4435" t="s">
        <v>13621</v>
      </c>
      <c r="C4435" t="str">
        <f>"82522637"</f>
        <v>82522637</v>
      </c>
      <c r="D4435" t="s">
        <v>13622</v>
      </c>
      <c r="F4435" t="s">
        <v>13623</v>
      </c>
      <c r="I4435" t="s">
        <v>29</v>
      </c>
      <c r="J4435" t="s">
        <v>30</v>
      </c>
      <c r="K4435" t="s">
        <v>13624</v>
      </c>
      <c r="M4435" t="s">
        <v>32</v>
      </c>
      <c r="N4435" t="str">
        <f>"2/14/2005 12:00:00 AM"</f>
        <v>2/14/2005 12:00:00 AM</v>
      </c>
      <c r="O4435" t="s">
        <v>13622</v>
      </c>
    </row>
    <row r="4436" spans="1:20" x14ac:dyDescent="0.25">
      <c r="A4436" t="str">
        <f>"3053443"</f>
        <v>3053443</v>
      </c>
      <c r="B4436" t="s">
        <v>13625</v>
      </c>
      <c r="C4436" t="str">
        <f>"82515475"</f>
        <v>82515475</v>
      </c>
      <c r="D4436" t="s">
        <v>13626</v>
      </c>
      <c r="E4436" t="s">
        <v>13627</v>
      </c>
      <c r="F4436" t="s">
        <v>13628</v>
      </c>
      <c r="I4436" t="s">
        <v>29</v>
      </c>
      <c r="J4436" t="s">
        <v>30</v>
      </c>
      <c r="K4436" t="s">
        <v>13624</v>
      </c>
      <c r="M4436" t="s">
        <v>32</v>
      </c>
      <c r="N4436" t="str">
        <f>"1/8/2010 12:00:00 AM"</f>
        <v>1/8/2010 12:00:00 AM</v>
      </c>
      <c r="O4436" t="s">
        <v>13626</v>
      </c>
      <c r="T4436" t="s">
        <v>13627</v>
      </c>
    </row>
    <row r="4437" spans="1:20" x14ac:dyDescent="0.25">
      <c r="A4437" t="str">
        <f>"3053451"</f>
        <v>3053451</v>
      </c>
      <c r="B4437" t="s">
        <v>13629</v>
      </c>
      <c r="C4437" t="str">
        <f>"57122500"</f>
        <v>57122500</v>
      </c>
      <c r="D4437" t="s">
        <v>13630</v>
      </c>
      <c r="E4437" t="s">
        <v>13631</v>
      </c>
      <c r="F4437" t="s">
        <v>13632</v>
      </c>
      <c r="I4437" t="s">
        <v>29</v>
      </c>
      <c r="J4437" t="s">
        <v>30</v>
      </c>
      <c r="K4437" t="s">
        <v>31</v>
      </c>
      <c r="M4437" t="s">
        <v>32</v>
      </c>
      <c r="N4437" t="str">
        <f>"4/30/2009 12:00:00 AM"</f>
        <v>4/30/2009 12:00:00 AM</v>
      </c>
      <c r="O4437" t="s">
        <v>13630</v>
      </c>
      <c r="T4437" t="s">
        <v>13631</v>
      </c>
    </row>
    <row r="4438" spans="1:20" x14ac:dyDescent="0.25">
      <c r="A4438" t="str">
        <f>"3056011"</f>
        <v>3056011</v>
      </c>
      <c r="B4438" t="s">
        <v>13633</v>
      </c>
      <c r="C4438" t="str">
        <f>"57122500"</f>
        <v>57122500</v>
      </c>
      <c r="D4438" t="s">
        <v>13630</v>
      </c>
      <c r="E4438" t="s">
        <v>13631</v>
      </c>
      <c r="F4438" t="s">
        <v>13632</v>
      </c>
      <c r="I4438" t="s">
        <v>29</v>
      </c>
      <c r="J4438" t="s">
        <v>30</v>
      </c>
      <c r="K4438" t="s">
        <v>31</v>
      </c>
      <c r="M4438" t="s">
        <v>32</v>
      </c>
      <c r="N4438" t="str">
        <f>"4/30/2009 12:00:00 AM"</f>
        <v>4/30/2009 12:00:00 AM</v>
      </c>
      <c r="O4438" t="s">
        <v>13630</v>
      </c>
      <c r="T4438" t="s">
        <v>13631</v>
      </c>
    </row>
    <row r="4439" spans="1:20" x14ac:dyDescent="0.25">
      <c r="A4439" t="str">
        <f>"3057986"</f>
        <v>3057986</v>
      </c>
      <c r="B4439" t="s">
        <v>13634</v>
      </c>
      <c r="C4439" t="str">
        <f>"82529243"</f>
        <v>82529243</v>
      </c>
      <c r="D4439" t="s">
        <v>13635</v>
      </c>
      <c r="E4439" t="s">
        <v>13636</v>
      </c>
      <c r="F4439" t="s">
        <v>13637</v>
      </c>
      <c r="I4439" t="s">
        <v>29</v>
      </c>
      <c r="J4439" t="s">
        <v>30</v>
      </c>
      <c r="K4439" t="s">
        <v>31</v>
      </c>
      <c r="M4439" t="s">
        <v>32</v>
      </c>
      <c r="N4439" t="str">
        <f>"1/14/2009 12:00:00 AM"</f>
        <v>1/14/2009 12:00:00 AM</v>
      </c>
      <c r="O4439" t="s">
        <v>13635</v>
      </c>
      <c r="T4439" t="s">
        <v>13636</v>
      </c>
    </row>
    <row r="4440" spans="1:20" x14ac:dyDescent="0.25">
      <c r="A4440" t="str">
        <f>"3053780"</f>
        <v>3053780</v>
      </c>
      <c r="B4440" t="s">
        <v>13638</v>
      </c>
      <c r="C4440" t="str">
        <f>"42592000"</f>
        <v>42592000</v>
      </c>
      <c r="D4440" t="s">
        <v>13639</v>
      </c>
      <c r="E4440" t="s">
        <v>13640</v>
      </c>
      <c r="F4440" t="s">
        <v>13641</v>
      </c>
      <c r="I4440" t="s">
        <v>29</v>
      </c>
      <c r="J4440" t="s">
        <v>30</v>
      </c>
      <c r="K4440" t="s">
        <v>6729</v>
      </c>
      <c r="M4440" t="s">
        <v>32</v>
      </c>
      <c r="N4440" t="str">
        <f>"1/18/2007 12:00:00 AM"</f>
        <v>1/18/2007 12:00:00 AM</v>
      </c>
      <c r="O4440" t="s">
        <v>13639</v>
      </c>
      <c r="T4440" t="s">
        <v>13640</v>
      </c>
    </row>
    <row r="4441" spans="1:20" x14ac:dyDescent="0.25">
      <c r="A4441" t="str">
        <f>"3053330"</f>
        <v>3053330</v>
      </c>
      <c r="B4441" t="s">
        <v>13642</v>
      </c>
      <c r="C4441" t="str">
        <f>"42592000"</f>
        <v>42592000</v>
      </c>
      <c r="D4441" t="s">
        <v>13639</v>
      </c>
      <c r="E4441" t="s">
        <v>13640</v>
      </c>
      <c r="F4441" t="s">
        <v>13641</v>
      </c>
      <c r="I4441" t="s">
        <v>29</v>
      </c>
      <c r="J4441" t="s">
        <v>30</v>
      </c>
      <c r="K4441" t="s">
        <v>6729</v>
      </c>
      <c r="M4441" t="s">
        <v>32</v>
      </c>
      <c r="N4441" t="str">
        <f>"1/18/2007 12:00:00 AM"</f>
        <v>1/18/2007 12:00:00 AM</v>
      </c>
      <c r="O4441" t="s">
        <v>13639</v>
      </c>
      <c r="T4441" t="s">
        <v>13640</v>
      </c>
    </row>
    <row r="4442" spans="1:20" x14ac:dyDescent="0.25">
      <c r="A4442" t="str">
        <f>"3053331"</f>
        <v>3053331</v>
      </c>
      <c r="B4442" t="s">
        <v>13643</v>
      </c>
      <c r="C4442" t="str">
        <f>"42592000"</f>
        <v>42592000</v>
      </c>
      <c r="D4442" t="s">
        <v>13639</v>
      </c>
      <c r="E4442" t="s">
        <v>13640</v>
      </c>
      <c r="F4442" t="s">
        <v>13641</v>
      </c>
      <c r="I4442" t="s">
        <v>29</v>
      </c>
      <c r="J4442" t="s">
        <v>30</v>
      </c>
      <c r="K4442" t="s">
        <v>6729</v>
      </c>
      <c r="M4442" t="s">
        <v>32</v>
      </c>
      <c r="N4442" t="str">
        <f>"1/18/2007 12:00:00 AM"</f>
        <v>1/18/2007 12:00:00 AM</v>
      </c>
      <c r="O4442" t="s">
        <v>13639</v>
      </c>
      <c r="T4442" t="s">
        <v>13640</v>
      </c>
    </row>
    <row r="4443" spans="1:20" x14ac:dyDescent="0.25">
      <c r="A4443" t="str">
        <f>"3053303"</f>
        <v>3053303</v>
      </c>
      <c r="B4443" t="s">
        <v>13644</v>
      </c>
      <c r="C4443" t="str">
        <f>"42592000"</f>
        <v>42592000</v>
      </c>
      <c r="D4443" t="s">
        <v>13639</v>
      </c>
      <c r="E4443" t="s">
        <v>13640</v>
      </c>
      <c r="F4443" t="s">
        <v>13641</v>
      </c>
      <c r="I4443" t="s">
        <v>29</v>
      </c>
      <c r="J4443" t="s">
        <v>30</v>
      </c>
      <c r="K4443" t="s">
        <v>6729</v>
      </c>
      <c r="M4443" t="s">
        <v>32</v>
      </c>
      <c r="N4443" t="str">
        <f>"1/18/2007 12:00:00 AM"</f>
        <v>1/18/2007 12:00:00 AM</v>
      </c>
      <c r="O4443" t="s">
        <v>13639</v>
      </c>
      <c r="T4443" t="s">
        <v>13640</v>
      </c>
    </row>
    <row r="4444" spans="1:20" x14ac:dyDescent="0.25">
      <c r="A4444" t="str">
        <f>"3053748"</f>
        <v>3053748</v>
      </c>
      <c r="B4444" t="s">
        <v>13645</v>
      </c>
      <c r="C4444" t="str">
        <f>"76476000"</f>
        <v>76476000</v>
      </c>
      <c r="D4444" t="s">
        <v>13646</v>
      </c>
      <c r="E4444" t="s">
        <v>13647</v>
      </c>
      <c r="F4444" t="s">
        <v>13648</v>
      </c>
      <c r="I4444" t="s">
        <v>29</v>
      </c>
      <c r="J4444" t="s">
        <v>30</v>
      </c>
      <c r="K4444" t="s">
        <v>31</v>
      </c>
      <c r="M4444" t="s">
        <v>32</v>
      </c>
      <c r="N4444" t="str">
        <f>"2/10/2010 12:00:00 AM"</f>
        <v>2/10/2010 12:00:00 AM</v>
      </c>
      <c r="O4444" t="s">
        <v>13646</v>
      </c>
      <c r="T4444" t="s">
        <v>13647</v>
      </c>
    </row>
    <row r="4445" spans="1:20" x14ac:dyDescent="0.25">
      <c r="A4445" t="str">
        <f>"3053750"</f>
        <v>3053750</v>
      </c>
      <c r="B4445" t="s">
        <v>13649</v>
      </c>
      <c r="C4445" t="str">
        <f>"82525109"</f>
        <v>82525109</v>
      </c>
      <c r="D4445" t="s">
        <v>13650</v>
      </c>
      <c r="E4445" t="s">
        <v>13651</v>
      </c>
      <c r="F4445" t="s">
        <v>13652</v>
      </c>
      <c r="I4445" t="s">
        <v>29</v>
      </c>
      <c r="J4445" t="s">
        <v>30</v>
      </c>
      <c r="K4445" t="s">
        <v>31</v>
      </c>
      <c r="M4445" t="s">
        <v>32</v>
      </c>
      <c r="N4445" t="str">
        <f>"9/8/2005 12:00:00 AM"</f>
        <v>9/8/2005 12:00:00 AM</v>
      </c>
      <c r="O4445" t="s">
        <v>13650</v>
      </c>
      <c r="T4445" t="s">
        <v>13651</v>
      </c>
    </row>
    <row r="4446" spans="1:20" x14ac:dyDescent="0.25">
      <c r="A4446" t="str">
        <f>"3057972"</f>
        <v>3057972</v>
      </c>
      <c r="B4446" t="s">
        <v>13653</v>
      </c>
      <c r="C4446" t="str">
        <f>"82529666"</f>
        <v>82529666</v>
      </c>
      <c r="D4446" t="s">
        <v>13654</v>
      </c>
      <c r="E4446" t="s">
        <v>13655</v>
      </c>
      <c r="F4446" t="s">
        <v>13656</v>
      </c>
      <c r="I4446" t="s">
        <v>29</v>
      </c>
      <c r="J4446" t="s">
        <v>30</v>
      </c>
      <c r="K4446" t="s">
        <v>31</v>
      </c>
      <c r="N4446" t="str">
        <f>"8/26/2011 12:00:00 AM"</f>
        <v>8/26/2011 12:00:00 AM</v>
      </c>
      <c r="O4446" t="s">
        <v>13654</v>
      </c>
      <c r="T4446" t="s">
        <v>13655</v>
      </c>
    </row>
    <row r="4447" spans="1:20" x14ac:dyDescent="0.25">
      <c r="A4447" t="str">
        <f>"3052760"</f>
        <v>3052760</v>
      </c>
      <c r="B4447" t="s">
        <v>13657</v>
      </c>
      <c r="C4447" t="str">
        <f>"33516000"</f>
        <v>33516000</v>
      </c>
      <c r="D4447" t="s">
        <v>13392</v>
      </c>
      <c r="E4447" t="s">
        <v>13658</v>
      </c>
      <c r="F4447" t="s">
        <v>13393</v>
      </c>
      <c r="I4447" t="s">
        <v>29</v>
      </c>
      <c r="J4447" t="s">
        <v>30</v>
      </c>
      <c r="K4447" t="s">
        <v>31</v>
      </c>
      <c r="M4447" t="s">
        <v>32</v>
      </c>
      <c r="N4447" t="str">
        <f>"8/14/2003 12:00:00 AM"</f>
        <v>8/14/2003 12:00:00 AM</v>
      </c>
      <c r="O4447" t="s">
        <v>13392</v>
      </c>
      <c r="T4447" t="s">
        <v>13658</v>
      </c>
    </row>
    <row r="4448" spans="1:20" x14ac:dyDescent="0.25">
      <c r="A4448" t="str">
        <f>"3053759"</f>
        <v>3053759</v>
      </c>
      <c r="B4448" t="s">
        <v>13659</v>
      </c>
      <c r="C4448" t="str">
        <f>"51909000"</f>
        <v>51909000</v>
      </c>
      <c r="D4448" t="s">
        <v>13660</v>
      </c>
      <c r="E4448" t="s">
        <v>13661</v>
      </c>
      <c r="F4448" t="s">
        <v>13662</v>
      </c>
      <c r="I4448" t="s">
        <v>29</v>
      </c>
      <c r="J4448" t="s">
        <v>30</v>
      </c>
      <c r="K4448" t="s">
        <v>31</v>
      </c>
      <c r="M4448" t="s">
        <v>32</v>
      </c>
      <c r="N4448" t="str">
        <f>"9/26/2002 12:00:00 AM"</f>
        <v>9/26/2002 12:00:00 AM</v>
      </c>
      <c r="O4448" t="s">
        <v>13660</v>
      </c>
      <c r="T4448" t="s">
        <v>13661</v>
      </c>
    </row>
    <row r="4449" spans="1:20" x14ac:dyDescent="0.25">
      <c r="A4449" t="str">
        <f>"3057340"</f>
        <v>3057340</v>
      </c>
      <c r="B4449" t="s">
        <v>13663</v>
      </c>
      <c r="C4449" t="str">
        <f>"82525745"</f>
        <v>82525745</v>
      </c>
      <c r="D4449" t="s">
        <v>13168</v>
      </c>
      <c r="F4449" t="s">
        <v>13169</v>
      </c>
      <c r="I4449" t="s">
        <v>29</v>
      </c>
      <c r="J4449" t="s">
        <v>30</v>
      </c>
      <c r="K4449" t="s">
        <v>13170</v>
      </c>
      <c r="M4449" t="s">
        <v>32</v>
      </c>
      <c r="N4449" t="str">
        <f>"2/15/2006 12:00:00 AM"</f>
        <v>2/15/2006 12:00:00 AM</v>
      </c>
      <c r="O4449" t="s">
        <v>13168</v>
      </c>
    </row>
    <row r="4450" spans="1:20" x14ac:dyDescent="0.25">
      <c r="A4450" t="str">
        <f>"3059598"</f>
        <v>3059598</v>
      </c>
      <c r="B4450" t="s">
        <v>13664</v>
      </c>
      <c r="C4450" t="str">
        <f>"82528065"</f>
        <v>82528065</v>
      </c>
      <c r="D4450" t="s">
        <v>13665</v>
      </c>
      <c r="E4450" t="s">
        <v>13666</v>
      </c>
      <c r="F4450" t="s">
        <v>13667</v>
      </c>
      <c r="I4450" t="s">
        <v>29</v>
      </c>
      <c r="J4450" t="s">
        <v>30</v>
      </c>
      <c r="K4450" t="s">
        <v>31</v>
      </c>
      <c r="M4450" t="s">
        <v>32</v>
      </c>
      <c r="N4450" t="str">
        <f>"5/30/2007 12:00:00 AM"</f>
        <v>5/30/2007 12:00:00 AM</v>
      </c>
      <c r="O4450" t="s">
        <v>13665</v>
      </c>
      <c r="T4450" t="s">
        <v>13666</v>
      </c>
    </row>
    <row r="4451" spans="1:20" x14ac:dyDescent="0.25">
      <c r="A4451" t="str">
        <f>"3052859"</f>
        <v>3052859</v>
      </c>
      <c r="B4451" t="s">
        <v>13668</v>
      </c>
      <c r="C4451" t="str">
        <f>"42021000"</f>
        <v>42021000</v>
      </c>
      <c r="D4451" t="s">
        <v>13669</v>
      </c>
      <c r="E4451" t="s">
        <v>13670</v>
      </c>
      <c r="F4451" t="s">
        <v>13671</v>
      </c>
      <c r="I4451" t="s">
        <v>29</v>
      </c>
      <c r="J4451" t="s">
        <v>30</v>
      </c>
      <c r="K4451" t="s">
        <v>13672</v>
      </c>
      <c r="M4451" t="s">
        <v>32</v>
      </c>
      <c r="N4451" t="str">
        <f>"11/20/2003 12:00:00 AM"</f>
        <v>11/20/2003 12:00:00 AM</v>
      </c>
      <c r="O4451" t="s">
        <v>13669</v>
      </c>
      <c r="T4451" t="s">
        <v>13670</v>
      </c>
    </row>
    <row r="4452" spans="1:20" x14ac:dyDescent="0.25">
      <c r="A4452" t="str">
        <f>"3052748"</f>
        <v>3052748</v>
      </c>
      <c r="B4452" t="s">
        <v>13673</v>
      </c>
      <c r="C4452" t="str">
        <f>"64786000"</f>
        <v>64786000</v>
      </c>
      <c r="D4452" t="s">
        <v>13674</v>
      </c>
      <c r="E4452" t="s">
        <v>13675</v>
      </c>
      <c r="F4452" t="s">
        <v>13676</v>
      </c>
      <c r="I4452" t="s">
        <v>29</v>
      </c>
      <c r="J4452" t="s">
        <v>30</v>
      </c>
      <c r="K4452" t="s">
        <v>31</v>
      </c>
      <c r="M4452" t="s">
        <v>32</v>
      </c>
      <c r="N4452" t="str">
        <f>"6/7/2005 12:00:00 AM"</f>
        <v>6/7/2005 12:00:00 AM</v>
      </c>
      <c r="O4452" t="s">
        <v>13674</v>
      </c>
      <c r="T4452" t="s">
        <v>13675</v>
      </c>
    </row>
    <row r="4453" spans="1:20" x14ac:dyDescent="0.25">
      <c r="A4453" t="str">
        <f>"3052904"</f>
        <v>3052904</v>
      </c>
      <c r="B4453" t="s">
        <v>13677</v>
      </c>
      <c r="C4453" t="str">
        <f>"64786000"</f>
        <v>64786000</v>
      </c>
      <c r="D4453" t="s">
        <v>13674</v>
      </c>
      <c r="E4453" t="s">
        <v>13675</v>
      </c>
      <c r="F4453" t="s">
        <v>13676</v>
      </c>
      <c r="I4453" t="s">
        <v>29</v>
      </c>
      <c r="J4453" t="s">
        <v>30</v>
      </c>
      <c r="K4453" t="s">
        <v>31</v>
      </c>
      <c r="M4453" t="s">
        <v>32</v>
      </c>
      <c r="N4453" t="str">
        <f>"6/7/2005 12:00:00 AM"</f>
        <v>6/7/2005 12:00:00 AM</v>
      </c>
      <c r="O4453" t="s">
        <v>13674</v>
      </c>
      <c r="T4453" t="s">
        <v>13675</v>
      </c>
    </row>
    <row r="4454" spans="1:20" x14ac:dyDescent="0.25">
      <c r="A4454" t="str">
        <f>"3052749"</f>
        <v>3052749</v>
      </c>
      <c r="B4454" t="s">
        <v>13678</v>
      </c>
      <c r="C4454" t="str">
        <f>"82526610"</f>
        <v>82526610</v>
      </c>
      <c r="D4454" t="s">
        <v>13679</v>
      </c>
      <c r="E4454" t="s">
        <v>13680</v>
      </c>
      <c r="F4454" t="s">
        <v>13681</v>
      </c>
      <c r="I4454" t="s">
        <v>29</v>
      </c>
      <c r="J4454" t="s">
        <v>30</v>
      </c>
      <c r="K4454" t="s">
        <v>31</v>
      </c>
      <c r="M4454" t="s">
        <v>32</v>
      </c>
      <c r="N4454" t="str">
        <f>"8/21/2006 12:00:00 AM"</f>
        <v>8/21/2006 12:00:00 AM</v>
      </c>
      <c r="O4454" t="s">
        <v>13679</v>
      </c>
      <c r="T4454" t="s">
        <v>13680</v>
      </c>
    </row>
    <row r="4455" spans="1:20" x14ac:dyDescent="0.25">
      <c r="A4455" t="str">
        <f>"3052821"</f>
        <v>3052821</v>
      </c>
      <c r="B4455" t="s">
        <v>13682</v>
      </c>
      <c r="C4455" t="str">
        <f>"38641500"</f>
        <v>38641500</v>
      </c>
      <c r="D4455" t="s">
        <v>13683</v>
      </c>
      <c r="E4455" t="s">
        <v>13684</v>
      </c>
      <c r="F4455" t="s">
        <v>13685</v>
      </c>
      <c r="I4455" t="s">
        <v>29</v>
      </c>
      <c r="J4455" t="s">
        <v>30</v>
      </c>
      <c r="K4455" t="s">
        <v>31</v>
      </c>
      <c r="M4455" t="s">
        <v>32</v>
      </c>
      <c r="N4455" t="str">
        <f>"11/7/2003 12:00:00 AM"</f>
        <v>11/7/2003 12:00:00 AM</v>
      </c>
      <c r="O4455" t="s">
        <v>13683</v>
      </c>
      <c r="T4455" t="s">
        <v>13684</v>
      </c>
    </row>
    <row r="4456" spans="1:20" x14ac:dyDescent="0.25">
      <c r="A4456" t="str">
        <f>"3052830"</f>
        <v>3052830</v>
      </c>
      <c r="B4456" t="s">
        <v>13686</v>
      </c>
      <c r="C4456" t="str">
        <f>"13412000"</f>
        <v>13412000</v>
      </c>
      <c r="D4456" t="s">
        <v>13687</v>
      </c>
      <c r="E4456" t="s">
        <v>13688</v>
      </c>
      <c r="F4456" t="s">
        <v>13689</v>
      </c>
      <c r="I4456" t="s">
        <v>29</v>
      </c>
      <c r="J4456" t="s">
        <v>30</v>
      </c>
      <c r="K4456" t="s">
        <v>31</v>
      </c>
      <c r="M4456" t="s">
        <v>32</v>
      </c>
      <c r="N4456" t="str">
        <f>"6/19/2003 12:00:00 AM"</f>
        <v>6/19/2003 12:00:00 AM</v>
      </c>
      <c r="O4456" t="s">
        <v>13687</v>
      </c>
      <c r="T4456" t="s">
        <v>13688</v>
      </c>
    </row>
    <row r="4457" spans="1:20" x14ac:dyDescent="0.25">
      <c r="A4457" t="str">
        <f>"3052847"</f>
        <v>3052847</v>
      </c>
      <c r="B4457" t="s">
        <v>13690</v>
      </c>
      <c r="C4457" t="str">
        <f>"82529426"</f>
        <v>82529426</v>
      </c>
      <c r="D4457" t="s">
        <v>13691</v>
      </c>
      <c r="F4457" t="s">
        <v>13692</v>
      </c>
      <c r="I4457" t="s">
        <v>29</v>
      </c>
      <c r="J4457" t="s">
        <v>30</v>
      </c>
      <c r="K4457" t="s">
        <v>31</v>
      </c>
      <c r="N4457" t="str">
        <f>"1/20/2009 12:00:00 AM"</f>
        <v>1/20/2009 12:00:00 AM</v>
      </c>
      <c r="O4457" t="s">
        <v>13691</v>
      </c>
    </row>
    <row r="4458" spans="1:20" x14ac:dyDescent="0.25">
      <c r="A4458" t="str">
        <f>"3052824"</f>
        <v>3052824</v>
      </c>
      <c r="B4458" t="s">
        <v>13693</v>
      </c>
      <c r="C4458" t="str">
        <f>"39723000"</f>
        <v>39723000</v>
      </c>
      <c r="D4458" t="s">
        <v>13694</v>
      </c>
      <c r="F4458" t="s">
        <v>13695</v>
      </c>
      <c r="I4458" t="s">
        <v>29</v>
      </c>
      <c r="J4458" t="s">
        <v>30</v>
      </c>
      <c r="K4458" t="s">
        <v>31</v>
      </c>
      <c r="M4458" t="s">
        <v>32</v>
      </c>
      <c r="N4458" t="str">
        <f>"9/26/2002 12:00:00 AM"</f>
        <v>9/26/2002 12:00:00 AM</v>
      </c>
      <c r="O4458" t="s">
        <v>13694</v>
      </c>
    </row>
    <row r="4459" spans="1:20" x14ac:dyDescent="0.25">
      <c r="A4459" t="str">
        <f>"3052179"</f>
        <v>3052179</v>
      </c>
      <c r="B4459" t="s">
        <v>13696</v>
      </c>
      <c r="C4459" t="str">
        <f>"26294000"</f>
        <v>26294000</v>
      </c>
      <c r="D4459" t="s">
        <v>13451</v>
      </c>
      <c r="F4459" t="s">
        <v>8465</v>
      </c>
      <c r="I4459" t="s">
        <v>29</v>
      </c>
      <c r="J4459" t="s">
        <v>30</v>
      </c>
      <c r="K4459" t="s">
        <v>31</v>
      </c>
      <c r="M4459" t="s">
        <v>32</v>
      </c>
      <c r="N4459" t="str">
        <f>"7/20/2006 12:00:00 AM"</f>
        <v>7/20/2006 12:00:00 AM</v>
      </c>
      <c r="O4459" t="s">
        <v>13451</v>
      </c>
    </row>
    <row r="4460" spans="1:20" x14ac:dyDescent="0.25">
      <c r="A4460" t="str">
        <f>"3052207"</f>
        <v>3052207</v>
      </c>
      <c r="B4460" t="s">
        <v>13697</v>
      </c>
      <c r="C4460" t="str">
        <f>"26294000"</f>
        <v>26294000</v>
      </c>
      <c r="D4460" t="s">
        <v>13451</v>
      </c>
      <c r="F4460" t="s">
        <v>8465</v>
      </c>
      <c r="I4460" t="s">
        <v>29</v>
      </c>
      <c r="J4460" t="s">
        <v>30</v>
      </c>
      <c r="K4460" t="s">
        <v>31</v>
      </c>
      <c r="M4460" t="s">
        <v>32</v>
      </c>
      <c r="N4460" t="str">
        <f>"7/20/2006 12:00:00 AM"</f>
        <v>7/20/2006 12:00:00 AM</v>
      </c>
      <c r="O4460" t="s">
        <v>13451</v>
      </c>
    </row>
    <row r="4461" spans="1:20" x14ac:dyDescent="0.25">
      <c r="A4461" t="str">
        <f>"3078688"</f>
        <v>3078688</v>
      </c>
      <c r="B4461" t="s">
        <v>13698</v>
      </c>
      <c r="C4461" t="str">
        <f>"27772000"</f>
        <v>27772000</v>
      </c>
      <c r="D4461" t="s">
        <v>13699</v>
      </c>
      <c r="F4461" t="s">
        <v>13700</v>
      </c>
      <c r="I4461" t="s">
        <v>29</v>
      </c>
      <c r="J4461" t="s">
        <v>30</v>
      </c>
      <c r="K4461" t="s">
        <v>13701</v>
      </c>
      <c r="M4461" t="s">
        <v>32</v>
      </c>
      <c r="N4461" t="str">
        <f>"1/11/2006 12:00:00 AM"</f>
        <v>1/11/2006 12:00:00 AM</v>
      </c>
      <c r="O4461" t="s">
        <v>13699</v>
      </c>
    </row>
    <row r="4462" spans="1:20" x14ac:dyDescent="0.25">
      <c r="A4462" t="str">
        <f>"3053474"</f>
        <v>3053474</v>
      </c>
      <c r="B4462" t="s">
        <v>13702</v>
      </c>
      <c r="C4462" t="str">
        <f>"82523896"</f>
        <v>82523896</v>
      </c>
      <c r="D4462" t="s">
        <v>13512</v>
      </c>
      <c r="E4462" t="s">
        <v>13513</v>
      </c>
      <c r="F4462" t="s">
        <v>13514</v>
      </c>
      <c r="I4462" t="s">
        <v>29</v>
      </c>
      <c r="J4462" t="s">
        <v>30</v>
      </c>
      <c r="K4462" t="s">
        <v>13515</v>
      </c>
      <c r="M4462" t="s">
        <v>32</v>
      </c>
      <c r="N4462" t="str">
        <f>"2/3/2010 12:00:00 AM"</f>
        <v>2/3/2010 12:00:00 AM</v>
      </c>
      <c r="O4462" t="s">
        <v>13512</v>
      </c>
      <c r="T4462" t="s">
        <v>13513</v>
      </c>
    </row>
    <row r="4463" spans="1:20" x14ac:dyDescent="0.25">
      <c r="A4463" t="str">
        <f>"3062071"</f>
        <v>3062071</v>
      </c>
      <c r="B4463" t="s">
        <v>13703</v>
      </c>
      <c r="C4463" t="str">
        <f>"52200440"</f>
        <v>52200440</v>
      </c>
      <c r="D4463" t="s">
        <v>13704</v>
      </c>
      <c r="F4463" t="s">
        <v>13705</v>
      </c>
      <c r="I4463" t="s">
        <v>29</v>
      </c>
      <c r="J4463" t="s">
        <v>30</v>
      </c>
      <c r="K4463" t="s">
        <v>31</v>
      </c>
      <c r="M4463" t="s">
        <v>32</v>
      </c>
      <c r="N4463" t="str">
        <f>"4/20/2006 12:00:00 AM"</f>
        <v>4/20/2006 12:00:00 AM</v>
      </c>
      <c r="O4463" t="s">
        <v>13704</v>
      </c>
    </row>
    <row r="4464" spans="1:20" x14ac:dyDescent="0.25">
      <c r="A4464" t="str">
        <f>"3052227"</f>
        <v>3052227</v>
      </c>
      <c r="B4464" t="s">
        <v>13706</v>
      </c>
      <c r="C4464" t="str">
        <f>"52200440"</f>
        <v>52200440</v>
      </c>
      <c r="D4464" t="s">
        <v>13704</v>
      </c>
      <c r="F4464" t="s">
        <v>13705</v>
      </c>
      <c r="I4464" t="s">
        <v>29</v>
      </c>
      <c r="J4464" t="s">
        <v>30</v>
      </c>
      <c r="K4464" t="s">
        <v>31</v>
      </c>
      <c r="M4464" t="s">
        <v>32</v>
      </c>
      <c r="N4464" t="str">
        <f>"4/20/2006 12:00:00 AM"</f>
        <v>4/20/2006 12:00:00 AM</v>
      </c>
      <c r="O4464" t="s">
        <v>13704</v>
      </c>
    </row>
    <row r="4465" spans="1:20" x14ac:dyDescent="0.25">
      <c r="A4465" t="str">
        <f>"3051680"</f>
        <v>3051680</v>
      </c>
      <c r="B4465" t="s">
        <v>13707</v>
      </c>
      <c r="C4465" t="str">
        <f>"52200440"</f>
        <v>52200440</v>
      </c>
      <c r="D4465" t="s">
        <v>13704</v>
      </c>
      <c r="F4465" t="s">
        <v>13705</v>
      </c>
      <c r="I4465" t="s">
        <v>29</v>
      </c>
      <c r="J4465" t="s">
        <v>30</v>
      </c>
      <c r="K4465" t="s">
        <v>31</v>
      </c>
      <c r="M4465" t="s">
        <v>32</v>
      </c>
      <c r="N4465" t="str">
        <f>"4/20/2006 12:00:00 AM"</f>
        <v>4/20/2006 12:00:00 AM</v>
      </c>
      <c r="O4465" t="s">
        <v>13704</v>
      </c>
    </row>
    <row r="4466" spans="1:20" x14ac:dyDescent="0.25">
      <c r="A4466" t="str">
        <f>"3059561"</f>
        <v>3059561</v>
      </c>
      <c r="B4466" t="s">
        <v>13708</v>
      </c>
      <c r="C4466" t="str">
        <f>"32612000"</f>
        <v>32612000</v>
      </c>
      <c r="D4466" t="s">
        <v>13709</v>
      </c>
      <c r="E4466" t="s">
        <v>13710</v>
      </c>
      <c r="F4466" t="s">
        <v>13711</v>
      </c>
      <c r="I4466" t="s">
        <v>29</v>
      </c>
      <c r="J4466" t="s">
        <v>30</v>
      </c>
      <c r="K4466" t="s">
        <v>13712</v>
      </c>
      <c r="M4466" t="s">
        <v>32</v>
      </c>
      <c r="N4466" t="str">
        <f>"1/17/2006 12:00:00 AM"</f>
        <v>1/17/2006 12:00:00 AM</v>
      </c>
      <c r="O4466" t="s">
        <v>13709</v>
      </c>
      <c r="T4466" t="s">
        <v>13710</v>
      </c>
    </row>
    <row r="4467" spans="1:20" x14ac:dyDescent="0.25">
      <c r="A4467" t="str">
        <f>"3059562"</f>
        <v>3059562</v>
      </c>
      <c r="B4467" t="s">
        <v>13713</v>
      </c>
      <c r="C4467" t="str">
        <f>"28313000"</f>
        <v>28313000</v>
      </c>
      <c r="D4467" t="s">
        <v>13714</v>
      </c>
      <c r="F4467" t="s">
        <v>13715</v>
      </c>
      <c r="I4467" t="s">
        <v>29</v>
      </c>
      <c r="J4467" t="s">
        <v>30</v>
      </c>
      <c r="K4467" t="s">
        <v>31</v>
      </c>
      <c r="M4467" t="s">
        <v>32</v>
      </c>
      <c r="N4467" t="str">
        <f>"9/25/2002 12:00:00 AM"</f>
        <v>9/25/2002 12:00:00 AM</v>
      </c>
      <c r="O4467" t="s">
        <v>13714</v>
      </c>
    </row>
    <row r="4468" spans="1:20" x14ac:dyDescent="0.25">
      <c r="A4468" t="str">
        <f>"3053479"</f>
        <v>3053479</v>
      </c>
      <c r="B4468" t="s">
        <v>13716</v>
      </c>
      <c r="C4468" t="str">
        <f>"82525147"</f>
        <v>82525147</v>
      </c>
      <c r="D4468" t="s">
        <v>13717</v>
      </c>
      <c r="F4468" t="s">
        <v>13718</v>
      </c>
      <c r="I4468" t="s">
        <v>29</v>
      </c>
      <c r="J4468" t="s">
        <v>30</v>
      </c>
      <c r="K4468" t="s">
        <v>31</v>
      </c>
      <c r="N4468" t="str">
        <f>"8/17/2007 12:00:00 AM"</f>
        <v>8/17/2007 12:00:00 AM</v>
      </c>
      <c r="O4468" t="s">
        <v>13717</v>
      </c>
    </row>
    <row r="4469" spans="1:20" x14ac:dyDescent="0.25">
      <c r="A4469" t="str">
        <f>"3053132"</f>
        <v>3053132</v>
      </c>
      <c r="B4469" t="s">
        <v>13719</v>
      </c>
      <c r="C4469" t="str">
        <f>"63908000"</f>
        <v>63908000</v>
      </c>
      <c r="D4469" t="s">
        <v>13720</v>
      </c>
      <c r="E4469" t="s">
        <v>13721</v>
      </c>
      <c r="F4469" t="s">
        <v>13722</v>
      </c>
      <c r="I4469" t="s">
        <v>29</v>
      </c>
      <c r="J4469" t="s">
        <v>30</v>
      </c>
      <c r="K4469" t="s">
        <v>31</v>
      </c>
      <c r="M4469" t="s">
        <v>32</v>
      </c>
      <c r="N4469" t="str">
        <f>"1/10/2005 12:00:00 AM"</f>
        <v>1/10/2005 12:00:00 AM</v>
      </c>
      <c r="O4469" t="s">
        <v>13720</v>
      </c>
      <c r="T4469" t="s">
        <v>13721</v>
      </c>
    </row>
    <row r="4470" spans="1:20" x14ac:dyDescent="0.25">
      <c r="A4470" t="str">
        <f>"3058111"</f>
        <v>3058111</v>
      </c>
      <c r="B4470" t="s">
        <v>13723</v>
      </c>
      <c r="C4470" t="str">
        <f>"82528115"</f>
        <v>82528115</v>
      </c>
      <c r="D4470" t="s">
        <v>13724</v>
      </c>
      <c r="E4470" t="s">
        <v>13725</v>
      </c>
      <c r="F4470" t="s">
        <v>13726</v>
      </c>
      <c r="I4470" t="s">
        <v>29</v>
      </c>
      <c r="J4470" t="s">
        <v>30</v>
      </c>
      <c r="K4470" t="s">
        <v>13727</v>
      </c>
      <c r="M4470" t="s">
        <v>32</v>
      </c>
      <c r="N4470" t="str">
        <f>"1/11/2008 12:00:00 AM"</f>
        <v>1/11/2008 12:00:00 AM</v>
      </c>
      <c r="O4470" t="s">
        <v>13724</v>
      </c>
      <c r="T4470" t="s">
        <v>13725</v>
      </c>
    </row>
    <row r="4471" spans="1:20" x14ac:dyDescent="0.25">
      <c r="A4471" t="str">
        <f>"3061655"</f>
        <v>3061655</v>
      </c>
      <c r="B4471" t="s">
        <v>13728</v>
      </c>
      <c r="C4471" t="str">
        <f>"71024280"</f>
        <v>71024280</v>
      </c>
      <c r="D4471" t="s">
        <v>13729</v>
      </c>
      <c r="E4471" t="s">
        <v>13730</v>
      </c>
      <c r="F4471" t="s">
        <v>13731</v>
      </c>
      <c r="I4471" t="s">
        <v>29</v>
      </c>
      <c r="J4471" t="s">
        <v>30</v>
      </c>
      <c r="K4471" t="s">
        <v>31</v>
      </c>
      <c r="M4471" t="s">
        <v>32</v>
      </c>
      <c r="N4471" t="str">
        <f>"8/9/2007 12:00:00 AM"</f>
        <v>8/9/2007 12:00:00 AM</v>
      </c>
      <c r="O4471" t="s">
        <v>13729</v>
      </c>
      <c r="T4471" t="s">
        <v>13730</v>
      </c>
    </row>
    <row r="4472" spans="1:20" x14ac:dyDescent="0.25">
      <c r="A4472" t="str">
        <f>"3050531"</f>
        <v>3050531</v>
      </c>
      <c r="B4472" t="s">
        <v>13732</v>
      </c>
      <c r="C4472" t="str">
        <f>"50671000"</f>
        <v>50671000</v>
      </c>
      <c r="D4472" t="s">
        <v>13733</v>
      </c>
      <c r="E4472" t="s">
        <v>13734</v>
      </c>
      <c r="F4472" t="s">
        <v>13735</v>
      </c>
      <c r="I4472" t="s">
        <v>29</v>
      </c>
      <c r="J4472" t="s">
        <v>30</v>
      </c>
      <c r="K4472" t="s">
        <v>31</v>
      </c>
      <c r="M4472" t="s">
        <v>32</v>
      </c>
      <c r="N4472" t="str">
        <f>"9/27/2002 12:00:00 AM"</f>
        <v>9/27/2002 12:00:00 AM</v>
      </c>
      <c r="O4472" t="s">
        <v>13733</v>
      </c>
      <c r="T4472" t="s">
        <v>13734</v>
      </c>
    </row>
    <row r="4473" spans="1:20" x14ac:dyDescent="0.25">
      <c r="A4473" t="str">
        <f>"3049631"</f>
        <v>3049631</v>
      </c>
      <c r="B4473" t="s">
        <v>13736</v>
      </c>
      <c r="C4473" t="str">
        <f>"50671000"</f>
        <v>50671000</v>
      </c>
      <c r="D4473" t="s">
        <v>13733</v>
      </c>
      <c r="E4473" t="s">
        <v>13734</v>
      </c>
      <c r="F4473" t="s">
        <v>13735</v>
      </c>
      <c r="I4473" t="s">
        <v>29</v>
      </c>
      <c r="J4473" t="s">
        <v>30</v>
      </c>
      <c r="K4473" t="s">
        <v>31</v>
      </c>
      <c r="M4473" t="s">
        <v>32</v>
      </c>
      <c r="N4473" t="str">
        <f>"9/27/2002 12:00:00 AM"</f>
        <v>9/27/2002 12:00:00 AM</v>
      </c>
      <c r="O4473" t="s">
        <v>13733</v>
      </c>
      <c r="T4473" t="s">
        <v>13734</v>
      </c>
    </row>
    <row r="4474" spans="1:20" x14ac:dyDescent="0.25">
      <c r="A4474" t="str">
        <f>"3050525"</f>
        <v>3050525</v>
      </c>
      <c r="B4474" t="s">
        <v>13737</v>
      </c>
      <c r="C4474" t="str">
        <f>"82528507"</f>
        <v>82528507</v>
      </c>
      <c r="D4474" t="s">
        <v>13738</v>
      </c>
      <c r="E4474" t="s">
        <v>13739</v>
      </c>
      <c r="F4474" t="s">
        <v>13740</v>
      </c>
      <c r="I4474" t="s">
        <v>29</v>
      </c>
      <c r="J4474" t="s">
        <v>30</v>
      </c>
      <c r="K4474" t="s">
        <v>31</v>
      </c>
      <c r="M4474" t="s">
        <v>32</v>
      </c>
      <c r="N4474" t="str">
        <f>"1/25/2008 12:00:00 AM"</f>
        <v>1/25/2008 12:00:00 AM</v>
      </c>
      <c r="O4474" t="s">
        <v>13738</v>
      </c>
      <c r="T4474" t="s">
        <v>13739</v>
      </c>
    </row>
    <row r="4475" spans="1:20" x14ac:dyDescent="0.25">
      <c r="A4475" t="str">
        <f>"3078701"</f>
        <v>3078701</v>
      </c>
      <c r="B4475" t="s">
        <v>13741</v>
      </c>
      <c r="C4475" t="str">
        <f>"40836000"</f>
        <v>40836000</v>
      </c>
      <c r="D4475" t="s">
        <v>13742</v>
      </c>
      <c r="E4475" t="s">
        <v>13743</v>
      </c>
      <c r="F4475" t="s">
        <v>13744</v>
      </c>
      <c r="I4475" t="s">
        <v>29</v>
      </c>
      <c r="J4475" t="s">
        <v>30</v>
      </c>
      <c r="K4475" t="s">
        <v>13745</v>
      </c>
      <c r="M4475" t="s">
        <v>32</v>
      </c>
      <c r="N4475" t="str">
        <f>"1/27/2006 12:00:00 AM"</f>
        <v>1/27/2006 12:00:00 AM</v>
      </c>
      <c r="O4475" t="s">
        <v>13742</v>
      </c>
      <c r="T4475" t="s">
        <v>13743</v>
      </c>
    </row>
    <row r="4476" spans="1:20" x14ac:dyDescent="0.25">
      <c r="A4476" t="str">
        <f>"3078451"</f>
        <v>3078451</v>
      </c>
      <c r="B4476" t="s">
        <v>13746</v>
      </c>
      <c r="C4476" t="str">
        <f>"40836000"</f>
        <v>40836000</v>
      </c>
      <c r="D4476" t="s">
        <v>13742</v>
      </c>
      <c r="E4476" t="s">
        <v>13743</v>
      </c>
      <c r="F4476" t="s">
        <v>13744</v>
      </c>
      <c r="I4476" t="s">
        <v>29</v>
      </c>
      <c r="J4476" t="s">
        <v>30</v>
      </c>
      <c r="K4476" t="s">
        <v>13745</v>
      </c>
      <c r="M4476" t="s">
        <v>32</v>
      </c>
      <c r="N4476" t="str">
        <f>"1/27/2006 12:00:00 AM"</f>
        <v>1/27/2006 12:00:00 AM</v>
      </c>
      <c r="O4476" t="s">
        <v>13742</v>
      </c>
      <c r="T4476" t="s">
        <v>13743</v>
      </c>
    </row>
    <row r="4477" spans="1:20" x14ac:dyDescent="0.25">
      <c r="A4477" t="str">
        <f>"3078452"</f>
        <v>3078452</v>
      </c>
      <c r="B4477" t="s">
        <v>13747</v>
      </c>
      <c r="C4477" t="str">
        <f>"40836000"</f>
        <v>40836000</v>
      </c>
      <c r="D4477" t="s">
        <v>13742</v>
      </c>
      <c r="E4477" t="s">
        <v>13743</v>
      </c>
      <c r="F4477" t="s">
        <v>13744</v>
      </c>
      <c r="I4477" t="s">
        <v>29</v>
      </c>
      <c r="J4477" t="s">
        <v>30</v>
      </c>
      <c r="K4477" t="s">
        <v>13745</v>
      </c>
      <c r="M4477" t="s">
        <v>32</v>
      </c>
      <c r="N4477" t="str">
        <f>"1/27/2006 12:00:00 AM"</f>
        <v>1/27/2006 12:00:00 AM</v>
      </c>
      <c r="O4477" t="s">
        <v>13742</v>
      </c>
      <c r="T4477" t="s">
        <v>13743</v>
      </c>
    </row>
    <row r="4478" spans="1:20" x14ac:dyDescent="0.25">
      <c r="A4478" t="str">
        <f>"3071328"</f>
        <v>3071328</v>
      </c>
      <c r="B4478" t="s">
        <v>13748</v>
      </c>
      <c r="C4478" t="str">
        <f>"40836000"</f>
        <v>40836000</v>
      </c>
      <c r="D4478" t="s">
        <v>13742</v>
      </c>
      <c r="E4478" t="s">
        <v>13743</v>
      </c>
      <c r="F4478" t="s">
        <v>13744</v>
      </c>
      <c r="I4478" t="s">
        <v>29</v>
      </c>
      <c r="J4478" t="s">
        <v>30</v>
      </c>
      <c r="K4478" t="s">
        <v>13745</v>
      </c>
      <c r="M4478" t="s">
        <v>32</v>
      </c>
      <c r="N4478" t="str">
        <f>"1/27/2006 12:00:00 AM"</f>
        <v>1/27/2006 12:00:00 AM</v>
      </c>
      <c r="O4478" t="s">
        <v>13742</v>
      </c>
      <c r="T4478" t="s">
        <v>13743</v>
      </c>
    </row>
    <row r="4479" spans="1:20" x14ac:dyDescent="0.25">
      <c r="A4479" t="str">
        <f>"3078700"</f>
        <v>3078700</v>
      </c>
      <c r="B4479" t="s">
        <v>13749</v>
      </c>
      <c r="C4479" t="str">
        <f t="shared" ref="C4479:C4485" si="68">"41372000"</f>
        <v>41372000</v>
      </c>
      <c r="D4479" t="s">
        <v>11196</v>
      </c>
      <c r="F4479" t="s">
        <v>11198</v>
      </c>
      <c r="I4479" t="s">
        <v>29</v>
      </c>
      <c r="J4479" t="s">
        <v>30</v>
      </c>
      <c r="K4479" t="s">
        <v>31</v>
      </c>
      <c r="M4479" t="s">
        <v>32</v>
      </c>
      <c r="N4479" t="str">
        <f t="shared" ref="N4479:N4485" si="69">"11/19/2003 12:00:00 AM"</f>
        <v>11/19/2003 12:00:00 AM</v>
      </c>
      <c r="O4479" t="s">
        <v>11196</v>
      </c>
    </row>
    <row r="4480" spans="1:20" x14ac:dyDescent="0.25">
      <c r="A4480" t="str">
        <f>"3096597"</f>
        <v>3096597</v>
      </c>
      <c r="B4480" t="s">
        <v>13750</v>
      </c>
      <c r="C4480" t="str">
        <f t="shared" si="68"/>
        <v>41372000</v>
      </c>
      <c r="D4480" t="s">
        <v>11196</v>
      </c>
      <c r="F4480" t="s">
        <v>11198</v>
      </c>
      <c r="I4480" t="s">
        <v>29</v>
      </c>
      <c r="J4480" t="s">
        <v>30</v>
      </c>
      <c r="K4480" t="s">
        <v>31</v>
      </c>
      <c r="M4480" t="s">
        <v>32</v>
      </c>
      <c r="N4480" t="str">
        <f t="shared" si="69"/>
        <v>11/19/2003 12:00:00 AM</v>
      </c>
      <c r="O4480" t="s">
        <v>11196</v>
      </c>
    </row>
    <row r="4481" spans="1:20" x14ac:dyDescent="0.25">
      <c r="A4481" t="str">
        <f>"3051707"</f>
        <v>3051707</v>
      </c>
      <c r="B4481" t="s">
        <v>13751</v>
      </c>
      <c r="C4481" t="str">
        <f t="shared" si="68"/>
        <v>41372000</v>
      </c>
      <c r="D4481" t="s">
        <v>11196</v>
      </c>
      <c r="F4481" t="s">
        <v>11198</v>
      </c>
      <c r="I4481" t="s">
        <v>29</v>
      </c>
      <c r="J4481" t="s">
        <v>30</v>
      </c>
      <c r="K4481" t="s">
        <v>31</v>
      </c>
      <c r="M4481" t="s">
        <v>32</v>
      </c>
      <c r="N4481" t="str">
        <f t="shared" si="69"/>
        <v>11/19/2003 12:00:00 AM</v>
      </c>
      <c r="O4481" t="s">
        <v>11196</v>
      </c>
    </row>
    <row r="4482" spans="1:20" x14ac:dyDescent="0.25">
      <c r="A4482" t="str">
        <f>"3051734"</f>
        <v>3051734</v>
      </c>
      <c r="B4482" t="s">
        <v>13752</v>
      </c>
      <c r="C4482" t="str">
        <f t="shared" si="68"/>
        <v>41372000</v>
      </c>
      <c r="D4482" t="s">
        <v>11196</v>
      </c>
      <c r="F4482" t="s">
        <v>11198</v>
      </c>
      <c r="I4482" t="s">
        <v>29</v>
      </c>
      <c r="J4482" t="s">
        <v>30</v>
      </c>
      <c r="K4482" t="s">
        <v>31</v>
      </c>
      <c r="M4482" t="s">
        <v>32</v>
      </c>
      <c r="N4482" t="str">
        <f t="shared" si="69"/>
        <v>11/19/2003 12:00:00 AM</v>
      </c>
      <c r="O4482" t="s">
        <v>11196</v>
      </c>
    </row>
    <row r="4483" spans="1:20" x14ac:dyDescent="0.25">
      <c r="A4483" t="str">
        <f>"3049634"</f>
        <v>3049634</v>
      </c>
      <c r="B4483" t="s">
        <v>13753</v>
      </c>
      <c r="C4483" t="str">
        <f t="shared" si="68"/>
        <v>41372000</v>
      </c>
      <c r="D4483" t="s">
        <v>11196</v>
      </c>
      <c r="F4483" t="s">
        <v>11198</v>
      </c>
      <c r="I4483" t="s">
        <v>29</v>
      </c>
      <c r="J4483" t="s">
        <v>30</v>
      </c>
      <c r="K4483" t="s">
        <v>31</v>
      </c>
      <c r="M4483" t="s">
        <v>32</v>
      </c>
      <c r="N4483" t="str">
        <f t="shared" si="69"/>
        <v>11/19/2003 12:00:00 AM</v>
      </c>
      <c r="O4483" t="s">
        <v>11196</v>
      </c>
    </row>
    <row r="4484" spans="1:20" x14ac:dyDescent="0.25">
      <c r="A4484" t="str">
        <f>"3049488"</f>
        <v>3049488</v>
      </c>
      <c r="B4484" t="s">
        <v>13754</v>
      </c>
      <c r="C4484" t="str">
        <f t="shared" si="68"/>
        <v>41372000</v>
      </c>
      <c r="D4484" t="s">
        <v>11196</v>
      </c>
      <c r="F4484" t="s">
        <v>11198</v>
      </c>
      <c r="I4484" t="s">
        <v>29</v>
      </c>
      <c r="J4484" t="s">
        <v>30</v>
      </c>
      <c r="K4484" t="s">
        <v>31</v>
      </c>
      <c r="M4484" t="s">
        <v>32</v>
      </c>
      <c r="N4484" t="str">
        <f t="shared" si="69"/>
        <v>11/19/2003 12:00:00 AM</v>
      </c>
      <c r="O4484" t="s">
        <v>11196</v>
      </c>
    </row>
    <row r="4485" spans="1:20" x14ac:dyDescent="0.25">
      <c r="A4485" t="str">
        <f>"3053204"</f>
        <v>3053204</v>
      </c>
      <c r="B4485" t="s">
        <v>13755</v>
      </c>
      <c r="C4485" t="str">
        <f t="shared" si="68"/>
        <v>41372000</v>
      </c>
      <c r="D4485" t="s">
        <v>11196</v>
      </c>
      <c r="F4485" t="s">
        <v>11198</v>
      </c>
      <c r="I4485" t="s">
        <v>29</v>
      </c>
      <c r="J4485" t="s">
        <v>30</v>
      </c>
      <c r="K4485" t="s">
        <v>31</v>
      </c>
      <c r="M4485" t="s">
        <v>32</v>
      </c>
      <c r="N4485" t="str">
        <f t="shared" si="69"/>
        <v>11/19/2003 12:00:00 AM</v>
      </c>
      <c r="O4485" t="s">
        <v>11196</v>
      </c>
    </row>
    <row r="4486" spans="1:20" x14ac:dyDescent="0.25">
      <c r="A4486" t="str">
        <f>"3053706"</f>
        <v>3053706</v>
      </c>
      <c r="B4486" t="s">
        <v>13756</v>
      </c>
      <c r="C4486" t="str">
        <f>"82514748"</f>
        <v>82514748</v>
      </c>
      <c r="D4486" t="s">
        <v>13757</v>
      </c>
      <c r="E4486" t="s">
        <v>13758</v>
      </c>
      <c r="F4486" t="s">
        <v>13759</v>
      </c>
      <c r="I4486" t="s">
        <v>29</v>
      </c>
      <c r="J4486" t="s">
        <v>30</v>
      </c>
      <c r="K4486" t="s">
        <v>31</v>
      </c>
      <c r="M4486" t="s">
        <v>32</v>
      </c>
      <c r="N4486" t="str">
        <f>"1/3/2005 12:00:00 AM"</f>
        <v>1/3/2005 12:00:00 AM</v>
      </c>
      <c r="O4486" t="s">
        <v>13757</v>
      </c>
      <c r="T4486" t="s">
        <v>13758</v>
      </c>
    </row>
    <row r="4487" spans="1:20" x14ac:dyDescent="0.25">
      <c r="A4487" t="str">
        <f>"3067734"</f>
        <v>3067734</v>
      </c>
      <c r="B4487" t="s">
        <v>13760</v>
      </c>
      <c r="C4487" t="str">
        <f>"82525147"</f>
        <v>82525147</v>
      </c>
      <c r="D4487" t="s">
        <v>13717</v>
      </c>
      <c r="F4487" t="s">
        <v>13718</v>
      </c>
      <c r="I4487" t="s">
        <v>29</v>
      </c>
      <c r="J4487" t="s">
        <v>30</v>
      </c>
      <c r="K4487" t="s">
        <v>31</v>
      </c>
      <c r="N4487" t="str">
        <f>"8/17/2007 12:00:00 AM"</f>
        <v>8/17/2007 12:00:00 AM</v>
      </c>
      <c r="O4487" t="s">
        <v>13717</v>
      </c>
    </row>
    <row r="4488" spans="1:20" x14ac:dyDescent="0.25">
      <c r="A4488" t="str">
        <f>"3053375"</f>
        <v>3053375</v>
      </c>
      <c r="B4488" t="s">
        <v>13761</v>
      </c>
      <c r="C4488" t="str">
        <f>"82528173"</f>
        <v>82528173</v>
      </c>
      <c r="D4488" t="s">
        <v>13762</v>
      </c>
      <c r="E4488" t="s">
        <v>13763</v>
      </c>
      <c r="F4488" t="s">
        <v>13764</v>
      </c>
      <c r="I4488" t="s">
        <v>29</v>
      </c>
      <c r="J4488" t="s">
        <v>30</v>
      </c>
      <c r="K4488" t="s">
        <v>31</v>
      </c>
      <c r="M4488" t="s">
        <v>32</v>
      </c>
      <c r="N4488" t="str">
        <f>"11/10/2010 12:00:00 AM"</f>
        <v>11/10/2010 12:00:00 AM</v>
      </c>
      <c r="O4488" t="s">
        <v>13762</v>
      </c>
      <c r="T4488" t="s">
        <v>13763</v>
      </c>
    </row>
    <row r="4489" spans="1:20" x14ac:dyDescent="0.25">
      <c r="A4489" t="str">
        <f>"3053563"</f>
        <v>3053563</v>
      </c>
      <c r="B4489" t="s">
        <v>13765</v>
      </c>
      <c r="C4489" t="str">
        <f>"72752000"</f>
        <v>72752000</v>
      </c>
      <c r="D4489" t="s">
        <v>13766</v>
      </c>
      <c r="F4489" t="s">
        <v>13767</v>
      </c>
      <c r="I4489" t="s">
        <v>29</v>
      </c>
      <c r="J4489" t="s">
        <v>30</v>
      </c>
      <c r="K4489" t="s">
        <v>31</v>
      </c>
      <c r="M4489" t="s">
        <v>32</v>
      </c>
      <c r="N4489" t="str">
        <f>"9/27/2002 12:00:00 AM"</f>
        <v>9/27/2002 12:00:00 AM</v>
      </c>
      <c r="O4489" t="s">
        <v>13766</v>
      </c>
    </row>
    <row r="4490" spans="1:20" x14ac:dyDescent="0.25">
      <c r="A4490" t="str">
        <f>"3053564"</f>
        <v>3053564</v>
      </c>
      <c r="B4490" t="s">
        <v>13768</v>
      </c>
      <c r="C4490" t="str">
        <f>"72752000"</f>
        <v>72752000</v>
      </c>
      <c r="D4490" t="s">
        <v>13766</v>
      </c>
      <c r="F4490" t="s">
        <v>13767</v>
      </c>
      <c r="I4490" t="s">
        <v>29</v>
      </c>
      <c r="J4490" t="s">
        <v>30</v>
      </c>
      <c r="K4490" t="s">
        <v>31</v>
      </c>
      <c r="M4490" t="s">
        <v>32</v>
      </c>
      <c r="N4490" t="str">
        <f>"9/27/2002 12:00:00 AM"</f>
        <v>9/27/2002 12:00:00 AM</v>
      </c>
      <c r="O4490" t="s">
        <v>13766</v>
      </c>
    </row>
    <row r="4491" spans="1:20" x14ac:dyDescent="0.25">
      <c r="A4491" t="str">
        <f>"3053565"</f>
        <v>3053565</v>
      </c>
      <c r="B4491" t="s">
        <v>13769</v>
      </c>
      <c r="C4491" t="str">
        <f>"82522124"</f>
        <v>82522124</v>
      </c>
      <c r="D4491" t="s">
        <v>13770</v>
      </c>
      <c r="F4491" t="s">
        <v>13771</v>
      </c>
      <c r="I4491" t="s">
        <v>29</v>
      </c>
      <c r="J4491" t="s">
        <v>30</v>
      </c>
      <c r="K4491" t="s">
        <v>13772</v>
      </c>
      <c r="M4491" t="s">
        <v>32</v>
      </c>
      <c r="N4491" t="str">
        <f>"3/4/2005 12:00:00 AM"</f>
        <v>3/4/2005 12:00:00 AM</v>
      </c>
      <c r="O4491" t="s">
        <v>13770</v>
      </c>
    </row>
    <row r="4492" spans="1:20" x14ac:dyDescent="0.25">
      <c r="A4492" t="str">
        <f>"3053722"</f>
        <v>3053722</v>
      </c>
      <c r="B4492" t="s">
        <v>13773</v>
      </c>
      <c r="C4492" t="str">
        <f>"82521505"</f>
        <v>82521505</v>
      </c>
      <c r="D4492" t="s">
        <v>13774</v>
      </c>
      <c r="F4492" t="s">
        <v>13775</v>
      </c>
      <c r="I4492" t="s">
        <v>29</v>
      </c>
      <c r="J4492" t="s">
        <v>30</v>
      </c>
      <c r="K4492" t="s">
        <v>31</v>
      </c>
      <c r="M4492" t="s">
        <v>32</v>
      </c>
      <c r="N4492" t="str">
        <f>"10/6/2003 12:00:00 AM"</f>
        <v>10/6/2003 12:00:00 AM</v>
      </c>
      <c r="O4492" t="s">
        <v>13774</v>
      </c>
    </row>
    <row r="4493" spans="1:20" x14ac:dyDescent="0.25">
      <c r="A4493" t="str">
        <f>"3053433"</f>
        <v>3053433</v>
      </c>
      <c r="B4493" t="s">
        <v>13776</v>
      </c>
      <c r="C4493" t="str">
        <f>"82519921"</f>
        <v>82519921</v>
      </c>
      <c r="D4493" t="s">
        <v>13777</v>
      </c>
      <c r="F4493" t="s">
        <v>13778</v>
      </c>
      <c r="I4493" t="s">
        <v>29</v>
      </c>
      <c r="J4493" t="s">
        <v>30</v>
      </c>
      <c r="K4493" t="s">
        <v>31</v>
      </c>
      <c r="M4493" t="s">
        <v>32</v>
      </c>
      <c r="N4493" t="str">
        <f>"1/2/2003 12:00:00 AM"</f>
        <v>1/2/2003 12:00:00 AM</v>
      </c>
      <c r="O4493" t="s">
        <v>13777</v>
      </c>
    </row>
    <row r="4494" spans="1:20" x14ac:dyDescent="0.25">
      <c r="A4494" t="str">
        <f>"3053461"</f>
        <v>3053461</v>
      </c>
      <c r="B4494" t="s">
        <v>13779</v>
      </c>
      <c r="C4494" t="str">
        <f>"82522744"</f>
        <v>82522744</v>
      </c>
      <c r="D4494" t="s">
        <v>13780</v>
      </c>
      <c r="F4494" t="s">
        <v>13781</v>
      </c>
      <c r="I4494" t="s">
        <v>29</v>
      </c>
      <c r="J4494" t="s">
        <v>30</v>
      </c>
      <c r="K4494" t="s">
        <v>13782</v>
      </c>
      <c r="M4494" t="s">
        <v>32</v>
      </c>
      <c r="N4494" t="str">
        <f>"1/18/2005 12:00:00 AM"</f>
        <v>1/18/2005 12:00:00 AM</v>
      </c>
      <c r="O4494" t="s">
        <v>13780</v>
      </c>
    </row>
    <row r="4495" spans="1:20" x14ac:dyDescent="0.25">
      <c r="A4495" t="str">
        <f>"3053473"</f>
        <v>3053473</v>
      </c>
      <c r="B4495" t="s">
        <v>13783</v>
      </c>
      <c r="C4495" t="str">
        <f>"64449850"</f>
        <v>64449850</v>
      </c>
      <c r="D4495" t="s">
        <v>13784</v>
      </c>
      <c r="E4495" t="s">
        <v>13785</v>
      </c>
      <c r="F4495" t="s">
        <v>13786</v>
      </c>
      <c r="I4495" t="s">
        <v>29</v>
      </c>
      <c r="J4495" t="s">
        <v>30</v>
      </c>
      <c r="K4495" t="s">
        <v>13787</v>
      </c>
      <c r="N4495" t="str">
        <f>"2/10/2010 12:00:00 AM"</f>
        <v>2/10/2010 12:00:00 AM</v>
      </c>
      <c r="O4495" t="s">
        <v>13784</v>
      </c>
      <c r="T4495" t="s">
        <v>13785</v>
      </c>
    </row>
    <row r="4496" spans="1:20" x14ac:dyDescent="0.25">
      <c r="A4496" t="str">
        <f>"3053769"</f>
        <v>3053769</v>
      </c>
      <c r="B4496" t="s">
        <v>13788</v>
      </c>
      <c r="C4496" t="str">
        <f>"4101000"</f>
        <v>4101000</v>
      </c>
      <c r="D4496" t="s">
        <v>13789</v>
      </c>
      <c r="E4496" t="s">
        <v>13790</v>
      </c>
      <c r="F4496" t="s">
        <v>13791</v>
      </c>
      <c r="I4496" t="s">
        <v>29</v>
      </c>
      <c r="J4496" t="s">
        <v>30</v>
      </c>
      <c r="K4496" t="s">
        <v>6729</v>
      </c>
      <c r="M4496" t="s">
        <v>32</v>
      </c>
      <c r="N4496" t="str">
        <f>"8/24/2011 12:00:00 AM"</f>
        <v>8/24/2011 12:00:00 AM</v>
      </c>
      <c r="O4496" t="s">
        <v>13789</v>
      </c>
      <c r="T4496" t="s">
        <v>13790</v>
      </c>
    </row>
    <row r="4497" spans="1:20" x14ac:dyDescent="0.25">
      <c r="A4497" t="str">
        <f>"3052923"</f>
        <v>3052923</v>
      </c>
      <c r="B4497" t="s">
        <v>13792</v>
      </c>
      <c r="C4497" t="str">
        <f>"17361000"</f>
        <v>17361000</v>
      </c>
      <c r="D4497" t="s">
        <v>13793</v>
      </c>
      <c r="E4497" t="s">
        <v>13794</v>
      </c>
      <c r="F4497" t="s">
        <v>13795</v>
      </c>
      <c r="I4497" t="s">
        <v>29</v>
      </c>
      <c r="J4497" t="s">
        <v>30</v>
      </c>
      <c r="K4497" t="s">
        <v>31</v>
      </c>
      <c r="M4497" t="s">
        <v>32</v>
      </c>
      <c r="N4497" t="str">
        <f>"6/30/2003 12:00:00 AM"</f>
        <v>6/30/2003 12:00:00 AM</v>
      </c>
      <c r="O4497" t="s">
        <v>13793</v>
      </c>
      <c r="T4497" t="s">
        <v>13794</v>
      </c>
    </row>
    <row r="4498" spans="1:20" x14ac:dyDescent="0.25">
      <c r="A4498" t="str">
        <f>"3046481"</f>
        <v>3046481</v>
      </c>
      <c r="B4498" t="s">
        <v>13796</v>
      </c>
      <c r="C4498" t="str">
        <f>"82526010"</f>
        <v>82526010</v>
      </c>
      <c r="D4498" t="s">
        <v>13797</v>
      </c>
      <c r="F4498" t="s">
        <v>13798</v>
      </c>
      <c r="I4498" t="s">
        <v>29</v>
      </c>
      <c r="J4498" t="s">
        <v>30</v>
      </c>
      <c r="K4498" t="s">
        <v>31</v>
      </c>
      <c r="M4498" t="s">
        <v>32</v>
      </c>
      <c r="N4498" t="str">
        <f>"10/14/2010 12:00:00 AM"</f>
        <v>10/14/2010 12:00:00 AM</v>
      </c>
      <c r="O4498" t="s">
        <v>13797</v>
      </c>
    </row>
    <row r="4499" spans="1:20" x14ac:dyDescent="0.25">
      <c r="A4499" t="str">
        <f>"3046482"</f>
        <v>3046482</v>
      </c>
      <c r="B4499" t="s">
        <v>13799</v>
      </c>
      <c r="C4499" t="str">
        <f>"82526010"</f>
        <v>82526010</v>
      </c>
      <c r="D4499" t="s">
        <v>13797</v>
      </c>
      <c r="F4499" t="s">
        <v>13798</v>
      </c>
      <c r="I4499" t="s">
        <v>29</v>
      </c>
      <c r="J4499" t="s">
        <v>30</v>
      </c>
      <c r="K4499" t="s">
        <v>31</v>
      </c>
      <c r="M4499" t="s">
        <v>32</v>
      </c>
      <c r="N4499" t="str">
        <f>"10/14/2010 12:00:00 AM"</f>
        <v>10/14/2010 12:00:00 AM</v>
      </c>
      <c r="O4499" t="s">
        <v>13797</v>
      </c>
    </row>
    <row r="4500" spans="1:20" x14ac:dyDescent="0.25">
      <c r="A4500" t="str">
        <f>"3046860"</f>
        <v>3046860</v>
      </c>
      <c r="B4500" t="s">
        <v>13800</v>
      </c>
      <c r="C4500" t="str">
        <f>"82526010"</f>
        <v>82526010</v>
      </c>
      <c r="D4500" t="s">
        <v>13797</v>
      </c>
      <c r="F4500" t="s">
        <v>13798</v>
      </c>
      <c r="I4500" t="s">
        <v>29</v>
      </c>
      <c r="J4500" t="s">
        <v>30</v>
      </c>
      <c r="K4500" t="s">
        <v>31</v>
      </c>
      <c r="M4500" t="s">
        <v>32</v>
      </c>
      <c r="N4500" t="str">
        <f>"10/14/2010 12:00:00 AM"</f>
        <v>10/14/2010 12:00:00 AM</v>
      </c>
      <c r="O4500" t="s">
        <v>13797</v>
      </c>
    </row>
    <row r="4501" spans="1:20" x14ac:dyDescent="0.25">
      <c r="A4501" t="str">
        <f>"3053138"</f>
        <v>3053138</v>
      </c>
      <c r="B4501" t="s">
        <v>13801</v>
      </c>
      <c r="C4501" t="str">
        <f>"82521665"</f>
        <v>82521665</v>
      </c>
      <c r="D4501" t="s">
        <v>13802</v>
      </c>
      <c r="F4501" t="s">
        <v>13803</v>
      </c>
      <c r="I4501" t="s">
        <v>29</v>
      </c>
      <c r="J4501" t="s">
        <v>30</v>
      </c>
      <c r="K4501" t="s">
        <v>31</v>
      </c>
      <c r="N4501" t="str">
        <f>"10/24/2003 12:00:00 AM"</f>
        <v>10/24/2003 12:00:00 AM</v>
      </c>
      <c r="O4501" t="s">
        <v>13802</v>
      </c>
    </row>
    <row r="4502" spans="1:20" x14ac:dyDescent="0.25">
      <c r="A4502" t="str">
        <f>"3053802"</f>
        <v>3053802</v>
      </c>
      <c r="B4502" t="s">
        <v>13804</v>
      </c>
      <c r="C4502" t="str">
        <f>"13540000"</f>
        <v>13540000</v>
      </c>
      <c r="D4502" t="s">
        <v>13805</v>
      </c>
      <c r="F4502" t="s">
        <v>9815</v>
      </c>
      <c r="I4502" t="s">
        <v>29</v>
      </c>
      <c r="J4502" t="s">
        <v>30</v>
      </c>
      <c r="K4502" t="s">
        <v>31</v>
      </c>
      <c r="M4502" t="s">
        <v>32</v>
      </c>
      <c r="N4502" t="str">
        <f>"6/19/2003 12:00:00 AM"</f>
        <v>6/19/2003 12:00:00 AM</v>
      </c>
      <c r="O4502" t="s">
        <v>13805</v>
      </c>
    </row>
    <row r="4503" spans="1:20" x14ac:dyDescent="0.25">
      <c r="A4503" t="str">
        <f>"3053756"</f>
        <v>3053756</v>
      </c>
      <c r="B4503" t="s">
        <v>13806</v>
      </c>
      <c r="C4503" t="str">
        <f>"13064000"</f>
        <v>13064000</v>
      </c>
      <c r="D4503" t="s">
        <v>13807</v>
      </c>
      <c r="E4503" t="s">
        <v>13808</v>
      </c>
      <c r="F4503" t="s">
        <v>13809</v>
      </c>
      <c r="I4503" t="s">
        <v>29</v>
      </c>
      <c r="J4503" t="s">
        <v>30</v>
      </c>
      <c r="K4503" t="s">
        <v>31</v>
      </c>
      <c r="M4503" t="s">
        <v>32</v>
      </c>
      <c r="N4503" t="str">
        <f>"9/26/2002 12:00:00 AM"</f>
        <v>9/26/2002 12:00:00 AM</v>
      </c>
      <c r="O4503" t="s">
        <v>13807</v>
      </c>
      <c r="T4503" t="s">
        <v>13808</v>
      </c>
    </row>
    <row r="4504" spans="1:20" x14ac:dyDescent="0.25">
      <c r="A4504" t="str">
        <f>"3052992"</f>
        <v>3052992</v>
      </c>
      <c r="B4504" t="s">
        <v>13810</v>
      </c>
      <c r="C4504" t="str">
        <f>"70579750"</f>
        <v>70579750</v>
      </c>
      <c r="D4504" t="s">
        <v>13811</v>
      </c>
      <c r="E4504" t="s">
        <v>13812</v>
      </c>
      <c r="F4504" t="s">
        <v>13813</v>
      </c>
      <c r="I4504" t="s">
        <v>29</v>
      </c>
      <c r="J4504" t="s">
        <v>30</v>
      </c>
      <c r="K4504" t="s">
        <v>13814</v>
      </c>
      <c r="M4504" t="s">
        <v>32</v>
      </c>
      <c r="N4504" t="str">
        <f>"1/24/2006 12:00:00 AM"</f>
        <v>1/24/2006 12:00:00 AM</v>
      </c>
      <c r="O4504" t="s">
        <v>13811</v>
      </c>
      <c r="T4504" t="s">
        <v>13812</v>
      </c>
    </row>
    <row r="4505" spans="1:20" x14ac:dyDescent="0.25">
      <c r="A4505" t="str">
        <f>"3053140"</f>
        <v>3053140</v>
      </c>
      <c r="B4505" t="s">
        <v>13815</v>
      </c>
      <c r="C4505" t="str">
        <f>"70579750"</f>
        <v>70579750</v>
      </c>
      <c r="D4505" t="s">
        <v>13811</v>
      </c>
      <c r="E4505" t="s">
        <v>13812</v>
      </c>
      <c r="F4505" t="s">
        <v>13813</v>
      </c>
      <c r="I4505" t="s">
        <v>29</v>
      </c>
      <c r="J4505" t="s">
        <v>30</v>
      </c>
      <c r="K4505" t="s">
        <v>13814</v>
      </c>
      <c r="M4505" t="s">
        <v>32</v>
      </c>
      <c r="N4505" t="str">
        <f>"1/24/2006 12:00:00 AM"</f>
        <v>1/24/2006 12:00:00 AM</v>
      </c>
      <c r="O4505" t="s">
        <v>13811</v>
      </c>
      <c r="T4505" t="s">
        <v>13812</v>
      </c>
    </row>
    <row r="4506" spans="1:20" x14ac:dyDescent="0.25">
      <c r="A4506" t="str">
        <f>"3053141"</f>
        <v>3053141</v>
      </c>
      <c r="B4506" t="s">
        <v>13816</v>
      </c>
      <c r="C4506" t="str">
        <f>"82521509"</f>
        <v>82521509</v>
      </c>
      <c r="D4506" t="s">
        <v>13817</v>
      </c>
      <c r="E4506" t="s">
        <v>13818</v>
      </c>
      <c r="F4506" t="s">
        <v>13819</v>
      </c>
      <c r="I4506" t="s">
        <v>29</v>
      </c>
      <c r="J4506" t="s">
        <v>30</v>
      </c>
      <c r="K4506" t="s">
        <v>31</v>
      </c>
      <c r="N4506" t="str">
        <f>"8/25/2006 12:00:00 AM"</f>
        <v>8/25/2006 12:00:00 AM</v>
      </c>
      <c r="O4506" t="s">
        <v>13817</v>
      </c>
      <c r="T4506" t="s">
        <v>13818</v>
      </c>
    </row>
    <row r="4507" spans="1:20" x14ac:dyDescent="0.25">
      <c r="A4507" t="str">
        <f>"3053142"</f>
        <v>3053142</v>
      </c>
      <c r="B4507" t="s">
        <v>13820</v>
      </c>
      <c r="C4507" t="str">
        <f>"82516293"</f>
        <v>82516293</v>
      </c>
      <c r="D4507" t="s">
        <v>13821</v>
      </c>
      <c r="F4507" t="s">
        <v>13822</v>
      </c>
      <c r="I4507" t="s">
        <v>29</v>
      </c>
      <c r="J4507" t="s">
        <v>30</v>
      </c>
      <c r="K4507" t="s">
        <v>31</v>
      </c>
      <c r="M4507" t="s">
        <v>32</v>
      </c>
      <c r="N4507" t="str">
        <f>"10/27/2004 12:00:00 AM"</f>
        <v>10/27/2004 12:00:00 AM</v>
      </c>
      <c r="O4507" t="s">
        <v>13821</v>
      </c>
    </row>
    <row r="4508" spans="1:20" x14ac:dyDescent="0.25">
      <c r="A4508" t="str">
        <f>"3054852"</f>
        <v>3054852</v>
      </c>
      <c r="B4508" t="s">
        <v>13823</v>
      </c>
      <c r="C4508" t="str">
        <f>"82516293"</f>
        <v>82516293</v>
      </c>
      <c r="D4508" t="s">
        <v>13821</v>
      </c>
      <c r="F4508" t="s">
        <v>13822</v>
      </c>
      <c r="I4508" t="s">
        <v>29</v>
      </c>
      <c r="J4508" t="s">
        <v>30</v>
      </c>
      <c r="K4508" t="s">
        <v>31</v>
      </c>
      <c r="M4508" t="s">
        <v>32</v>
      </c>
      <c r="N4508" t="str">
        <f>"10/27/2004 12:00:00 AM"</f>
        <v>10/27/2004 12:00:00 AM</v>
      </c>
      <c r="O4508" t="s">
        <v>13821</v>
      </c>
    </row>
    <row r="4509" spans="1:20" x14ac:dyDescent="0.25">
      <c r="A4509" t="str">
        <f>"3053151"</f>
        <v>3053151</v>
      </c>
      <c r="B4509" t="s">
        <v>13824</v>
      </c>
      <c r="C4509" t="str">
        <f>"60475000"</f>
        <v>60475000</v>
      </c>
      <c r="D4509" t="s">
        <v>13825</v>
      </c>
      <c r="E4509" t="s">
        <v>13826</v>
      </c>
      <c r="F4509" t="s">
        <v>13827</v>
      </c>
      <c r="I4509" t="s">
        <v>29</v>
      </c>
      <c r="J4509" t="s">
        <v>30</v>
      </c>
      <c r="K4509" t="s">
        <v>31</v>
      </c>
      <c r="M4509" t="s">
        <v>32</v>
      </c>
      <c r="N4509" t="str">
        <f>"4/8/2004 12:00:00 AM"</f>
        <v>4/8/2004 12:00:00 AM</v>
      </c>
      <c r="O4509" t="s">
        <v>13825</v>
      </c>
      <c r="T4509" t="s">
        <v>13826</v>
      </c>
    </row>
    <row r="4510" spans="1:20" x14ac:dyDescent="0.25">
      <c r="A4510" t="str">
        <f>"3059587"</f>
        <v>3059587</v>
      </c>
      <c r="B4510" t="s">
        <v>13828</v>
      </c>
      <c r="C4510" t="str">
        <f>"82527016"</f>
        <v>82527016</v>
      </c>
      <c r="D4510" t="s">
        <v>13829</v>
      </c>
      <c r="E4510" t="s">
        <v>13830</v>
      </c>
      <c r="F4510" t="s">
        <v>13831</v>
      </c>
      <c r="I4510" t="s">
        <v>29</v>
      </c>
      <c r="J4510" t="s">
        <v>30</v>
      </c>
      <c r="K4510" t="s">
        <v>31</v>
      </c>
      <c r="M4510" t="s">
        <v>32</v>
      </c>
      <c r="N4510" t="str">
        <f>"1/23/2007 12:00:00 AM"</f>
        <v>1/23/2007 12:00:00 AM</v>
      </c>
      <c r="O4510" t="s">
        <v>13829</v>
      </c>
      <c r="T4510" t="s">
        <v>13830</v>
      </c>
    </row>
    <row r="4511" spans="1:20" x14ac:dyDescent="0.25">
      <c r="A4511" t="str">
        <f>"3070451"</f>
        <v>3070451</v>
      </c>
      <c r="B4511" t="s">
        <v>13832</v>
      </c>
      <c r="C4511" t="str">
        <f>"53283000"</f>
        <v>53283000</v>
      </c>
      <c r="D4511" t="s">
        <v>13833</v>
      </c>
      <c r="F4511" t="s">
        <v>13834</v>
      </c>
      <c r="I4511" t="s">
        <v>29</v>
      </c>
      <c r="J4511" t="s">
        <v>30</v>
      </c>
      <c r="K4511" t="s">
        <v>13835</v>
      </c>
      <c r="M4511" t="s">
        <v>32</v>
      </c>
      <c r="N4511" t="str">
        <f>"1/17/2006 12:00:00 AM"</f>
        <v>1/17/2006 12:00:00 AM</v>
      </c>
      <c r="O4511" t="s">
        <v>13833</v>
      </c>
    </row>
    <row r="4512" spans="1:20" x14ac:dyDescent="0.25">
      <c r="A4512" t="str">
        <f>"3065823"</f>
        <v>3065823</v>
      </c>
      <c r="B4512" t="s">
        <v>13836</v>
      </c>
      <c r="C4512" t="str">
        <f>"5644000"</f>
        <v>5644000</v>
      </c>
      <c r="D4512" t="s">
        <v>13837</v>
      </c>
      <c r="E4512" t="s">
        <v>13838</v>
      </c>
      <c r="F4512" t="s">
        <v>13839</v>
      </c>
      <c r="I4512" t="s">
        <v>29</v>
      </c>
      <c r="J4512" t="s">
        <v>30</v>
      </c>
      <c r="K4512" t="s">
        <v>31</v>
      </c>
      <c r="M4512" t="s">
        <v>32</v>
      </c>
      <c r="N4512" t="str">
        <f>"5/22/2003 12:00:00 AM"</f>
        <v>5/22/2003 12:00:00 AM</v>
      </c>
      <c r="O4512" t="s">
        <v>13837</v>
      </c>
      <c r="T4512" t="s">
        <v>13838</v>
      </c>
    </row>
    <row r="4513" spans="1:20" x14ac:dyDescent="0.25">
      <c r="A4513" t="str">
        <f>"3053135"</f>
        <v>3053135</v>
      </c>
      <c r="B4513" t="s">
        <v>13840</v>
      </c>
      <c r="C4513" t="str">
        <f>"6621040"</f>
        <v>6621040</v>
      </c>
      <c r="D4513" t="s">
        <v>13841</v>
      </c>
      <c r="E4513" t="s">
        <v>13842</v>
      </c>
      <c r="F4513" t="s">
        <v>13843</v>
      </c>
      <c r="I4513" t="s">
        <v>29</v>
      </c>
      <c r="J4513" t="s">
        <v>30</v>
      </c>
      <c r="K4513" t="s">
        <v>13814</v>
      </c>
      <c r="M4513" t="s">
        <v>32</v>
      </c>
      <c r="N4513" t="str">
        <f>"2/25/2005 12:00:00 AM"</f>
        <v>2/25/2005 12:00:00 AM</v>
      </c>
      <c r="O4513" t="s">
        <v>13841</v>
      </c>
      <c r="T4513" t="s">
        <v>13842</v>
      </c>
    </row>
    <row r="4514" spans="1:20" x14ac:dyDescent="0.25">
      <c r="A4514" t="str">
        <f>"3053159"</f>
        <v>3053159</v>
      </c>
      <c r="B4514" t="s">
        <v>13844</v>
      </c>
      <c r="C4514" t="str">
        <f>"34524000"</f>
        <v>34524000</v>
      </c>
      <c r="D4514" t="s">
        <v>13845</v>
      </c>
      <c r="E4514" t="s">
        <v>13846</v>
      </c>
      <c r="F4514" t="s">
        <v>13847</v>
      </c>
      <c r="I4514" t="s">
        <v>29</v>
      </c>
      <c r="J4514" t="s">
        <v>30</v>
      </c>
      <c r="K4514" t="s">
        <v>31</v>
      </c>
      <c r="M4514" t="s">
        <v>32</v>
      </c>
      <c r="N4514" t="str">
        <f>"1/21/2004 12:00:00 AM"</f>
        <v>1/21/2004 12:00:00 AM</v>
      </c>
      <c r="O4514" t="s">
        <v>13845</v>
      </c>
      <c r="T4514" t="s">
        <v>13846</v>
      </c>
    </row>
    <row r="4515" spans="1:20" x14ac:dyDescent="0.25">
      <c r="A4515" t="str">
        <f>"3053160"</f>
        <v>3053160</v>
      </c>
      <c r="B4515" t="s">
        <v>13848</v>
      </c>
      <c r="C4515" t="str">
        <f>"82527069"</f>
        <v>82527069</v>
      </c>
      <c r="D4515" t="s">
        <v>13849</v>
      </c>
      <c r="E4515" t="s">
        <v>13850</v>
      </c>
      <c r="F4515" t="s">
        <v>13851</v>
      </c>
      <c r="I4515" t="s">
        <v>29</v>
      </c>
      <c r="J4515" t="s">
        <v>30</v>
      </c>
      <c r="K4515" t="s">
        <v>31</v>
      </c>
      <c r="M4515" t="s">
        <v>32</v>
      </c>
      <c r="N4515" t="str">
        <f>"2/13/2007 12:00:00 AM"</f>
        <v>2/13/2007 12:00:00 AM</v>
      </c>
      <c r="O4515" t="s">
        <v>13849</v>
      </c>
      <c r="T4515" t="s">
        <v>13850</v>
      </c>
    </row>
    <row r="4516" spans="1:20" x14ac:dyDescent="0.25">
      <c r="A4516" t="str">
        <f>"3053161"</f>
        <v>3053161</v>
      </c>
      <c r="B4516" t="s">
        <v>13852</v>
      </c>
      <c r="C4516" t="str">
        <f>"59196500"</f>
        <v>59196500</v>
      </c>
      <c r="D4516" t="s">
        <v>13853</v>
      </c>
      <c r="E4516" t="s">
        <v>13854</v>
      </c>
      <c r="F4516" t="s">
        <v>13855</v>
      </c>
      <c r="I4516" t="s">
        <v>29</v>
      </c>
      <c r="J4516" t="s">
        <v>30</v>
      </c>
      <c r="K4516" t="s">
        <v>31</v>
      </c>
      <c r="M4516" t="s">
        <v>32</v>
      </c>
      <c r="N4516" t="str">
        <f>"4/7/2004 12:00:00 AM"</f>
        <v>4/7/2004 12:00:00 AM</v>
      </c>
      <c r="O4516" t="s">
        <v>13853</v>
      </c>
      <c r="T4516" t="s">
        <v>13854</v>
      </c>
    </row>
    <row r="4517" spans="1:20" x14ac:dyDescent="0.25">
      <c r="A4517" t="str">
        <f>"3053185"</f>
        <v>3053185</v>
      </c>
      <c r="B4517" t="s">
        <v>13856</v>
      </c>
      <c r="C4517" t="str">
        <f>"18287300"</f>
        <v>18287300</v>
      </c>
      <c r="D4517" t="s">
        <v>13857</v>
      </c>
      <c r="E4517" t="s">
        <v>13858</v>
      </c>
      <c r="F4517" t="s">
        <v>13859</v>
      </c>
      <c r="I4517" t="s">
        <v>29</v>
      </c>
      <c r="J4517" t="s">
        <v>30</v>
      </c>
      <c r="K4517" t="s">
        <v>13860</v>
      </c>
      <c r="M4517" t="s">
        <v>32</v>
      </c>
      <c r="N4517" t="str">
        <f>"1/25/2010 12:00:00 AM"</f>
        <v>1/25/2010 12:00:00 AM</v>
      </c>
      <c r="O4517" t="s">
        <v>13857</v>
      </c>
      <c r="T4517" t="s">
        <v>13858</v>
      </c>
    </row>
    <row r="4518" spans="1:20" x14ac:dyDescent="0.25">
      <c r="A4518" t="str">
        <f>"3053058"</f>
        <v>3053058</v>
      </c>
      <c r="B4518" t="s">
        <v>13861</v>
      </c>
      <c r="C4518" t="str">
        <f>"82515746"</f>
        <v>82515746</v>
      </c>
      <c r="D4518" t="s">
        <v>13862</v>
      </c>
      <c r="E4518" t="s">
        <v>13863</v>
      </c>
      <c r="F4518" t="s">
        <v>13864</v>
      </c>
      <c r="I4518" t="s">
        <v>29</v>
      </c>
      <c r="J4518" t="s">
        <v>30</v>
      </c>
      <c r="K4518" t="s">
        <v>13860</v>
      </c>
      <c r="M4518" t="s">
        <v>32</v>
      </c>
      <c r="N4518" t="str">
        <f>"1/9/2008 12:00:00 AM"</f>
        <v>1/9/2008 12:00:00 AM</v>
      </c>
      <c r="O4518" t="s">
        <v>13862</v>
      </c>
      <c r="T4518" t="s">
        <v>13863</v>
      </c>
    </row>
    <row r="4519" spans="1:20" x14ac:dyDescent="0.25">
      <c r="A4519" t="str">
        <f>"3053149"</f>
        <v>3053149</v>
      </c>
      <c r="B4519" t="s">
        <v>13865</v>
      </c>
      <c r="C4519" t="str">
        <f>"39525500"</f>
        <v>39525500</v>
      </c>
      <c r="D4519" t="s">
        <v>13866</v>
      </c>
      <c r="E4519" t="s">
        <v>13867</v>
      </c>
      <c r="F4519" t="s">
        <v>13868</v>
      </c>
      <c r="I4519" t="s">
        <v>29</v>
      </c>
      <c r="J4519" t="s">
        <v>30</v>
      </c>
      <c r="K4519" t="s">
        <v>31</v>
      </c>
      <c r="M4519" t="s">
        <v>32</v>
      </c>
      <c r="N4519" t="str">
        <f>"1/22/2004 12:00:00 AM"</f>
        <v>1/22/2004 12:00:00 AM</v>
      </c>
      <c r="O4519" t="s">
        <v>13866</v>
      </c>
      <c r="T4519" t="s">
        <v>13867</v>
      </c>
    </row>
    <row r="4520" spans="1:20" x14ac:dyDescent="0.25">
      <c r="A4520" t="str">
        <f>"3053150"</f>
        <v>3053150</v>
      </c>
      <c r="B4520" t="s">
        <v>13869</v>
      </c>
      <c r="C4520" t="str">
        <f>"18355000"</f>
        <v>18355000</v>
      </c>
      <c r="D4520" t="s">
        <v>13870</v>
      </c>
      <c r="E4520" t="s">
        <v>13871</v>
      </c>
      <c r="F4520" t="s">
        <v>13872</v>
      </c>
      <c r="I4520" t="s">
        <v>29</v>
      </c>
      <c r="J4520" t="s">
        <v>30</v>
      </c>
      <c r="K4520" t="s">
        <v>31</v>
      </c>
      <c r="M4520" t="s">
        <v>32</v>
      </c>
      <c r="N4520" t="str">
        <f>"7/9/2003 12:00:00 AM"</f>
        <v>7/9/2003 12:00:00 AM</v>
      </c>
      <c r="O4520" t="s">
        <v>13870</v>
      </c>
      <c r="T4520" t="s">
        <v>13871</v>
      </c>
    </row>
    <row r="4521" spans="1:20" x14ac:dyDescent="0.25">
      <c r="A4521" t="str">
        <f>"3053012"</f>
        <v>3053012</v>
      </c>
      <c r="B4521" t="s">
        <v>13873</v>
      </c>
      <c r="C4521" t="str">
        <f>"18355000"</f>
        <v>18355000</v>
      </c>
      <c r="D4521" t="s">
        <v>13870</v>
      </c>
      <c r="E4521" t="s">
        <v>13871</v>
      </c>
      <c r="F4521" t="s">
        <v>13872</v>
      </c>
      <c r="I4521" t="s">
        <v>29</v>
      </c>
      <c r="J4521" t="s">
        <v>30</v>
      </c>
      <c r="K4521" t="s">
        <v>31</v>
      </c>
      <c r="M4521" t="s">
        <v>32</v>
      </c>
      <c r="N4521" t="str">
        <f>"7/9/2003 12:00:00 AM"</f>
        <v>7/9/2003 12:00:00 AM</v>
      </c>
      <c r="O4521" t="s">
        <v>13870</v>
      </c>
      <c r="T4521" t="s">
        <v>13871</v>
      </c>
    </row>
    <row r="4522" spans="1:20" x14ac:dyDescent="0.25">
      <c r="A4522" t="str">
        <f>"3059609"</f>
        <v>3059609</v>
      </c>
      <c r="B4522" t="s">
        <v>13874</v>
      </c>
      <c r="C4522" t="str">
        <f>"82528739"</f>
        <v>82528739</v>
      </c>
      <c r="D4522" t="s">
        <v>13875</v>
      </c>
      <c r="F4522" t="s">
        <v>13876</v>
      </c>
      <c r="I4522" t="s">
        <v>29</v>
      </c>
      <c r="J4522" t="s">
        <v>30</v>
      </c>
      <c r="K4522" t="s">
        <v>31</v>
      </c>
      <c r="M4522" t="s">
        <v>32</v>
      </c>
      <c r="N4522" t="str">
        <f>"10/16/2007 12:00:00 AM"</f>
        <v>10/16/2007 12:00:00 AM</v>
      </c>
      <c r="O4522" t="s">
        <v>13875</v>
      </c>
    </row>
    <row r="4523" spans="1:20" x14ac:dyDescent="0.25">
      <c r="A4523" t="str">
        <f>"3053812"</f>
        <v>3053812</v>
      </c>
      <c r="B4523" t="s">
        <v>13877</v>
      </c>
      <c r="C4523" t="str">
        <f>"38416000"</f>
        <v>38416000</v>
      </c>
      <c r="D4523" t="s">
        <v>13878</v>
      </c>
      <c r="E4523" t="s">
        <v>13879</v>
      </c>
      <c r="F4523" t="s">
        <v>13880</v>
      </c>
      <c r="I4523" t="s">
        <v>29</v>
      </c>
      <c r="J4523" t="s">
        <v>30</v>
      </c>
      <c r="K4523" t="s">
        <v>10082</v>
      </c>
      <c r="M4523" t="s">
        <v>32</v>
      </c>
      <c r="N4523" t="str">
        <f>"1/12/2006 12:00:00 AM"</f>
        <v>1/12/2006 12:00:00 AM</v>
      </c>
      <c r="O4523" t="s">
        <v>13878</v>
      </c>
      <c r="T4523" t="s">
        <v>13879</v>
      </c>
    </row>
    <row r="4524" spans="1:20" x14ac:dyDescent="0.25">
      <c r="A4524" t="str">
        <f>"3050500"</f>
        <v>3050500</v>
      </c>
      <c r="B4524" t="s">
        <v>13881</v>
      </c>
      <c r="C4524" t="str">
        <f>"82520062"</f>
        <v>82520062</v>
      </c>
      <c r="D4524" t="s">
        <v>13882</v>
      </c>
      <c r="E4524" t="s">
        <v>13883</v>
      </c>
      <c r="F4524" t="s">
        <v>13884</v>
      </c>
      <c r="I4524" t="s">
        <v>29</v>
      </c>
      <c r="J4524" t="s">
        <v>30</v>
      </c>
      <c r="K4524" t="s">
        <v>31</v>
      </c>
      <c r="M4524" t="s">
        <v>32</v>
      </c>
      <c r="N4524" t="str">
        <f>"12/18/2007 12:00:00 AM"</f>
        <v>12/18/2007 12:00:00 AM</v>
      </c>
      <c r="O4524" t="s">
        <v>13882</v>
      </c>
      <c r="T4524" t="s">
        <v>13883</v>
      </c>
    </row>
    <row r="4525" spans="1:20" x14ac:dyDescent="0.25">
      <c r="A4525" t="str">
        <f>"3052931"</f>
        <v>3052931</v>
      </c>
      <c r="B4525" t="s">
        <v>13885</v>
      </c>
      <c r="C4525" t="str">
        <f>"82515853"</f>
        <v>82515853</v>
      </c>
      <c r="D4525" t="s">
        <v>13886</v>
      </c>
      <c r="E4525" t="s">
        <v>13887</v>
      </c>
      <c r="F4525" t="s">
        <v>13888</v>
      </c>
      <c r="I4525" t="s">
        <v>29</v>
      </c>
      <c r="J4525" t="s">
        <v>30</v>
      </c>
      <c r="K4525" t="s">
        <v>31</v>
      </c>
      <c r="M4525" t="s">
        <v>32</v>
      </c>
      <c r="N4525" t="str">
        <f>"12/22/2000 12:00:00 AM"</f>
        <v>12/22/2000 12:00:00 AM</v>
      </c>
      <c r="O4525" t="s">
        <v>13886</v>
      </c>
      <c r="T4525" t="s">
        <v>13887</v>
      </c>
    </row>
    <row r="4526" spans="1:20" x14ac:dyDescent="0.25">
      <c r="A4526" t="str">
        <f>"3050443"</f>
        <v>3050443</v>
      </c>
      <c r="B4526" t="s">
        <v>13889</v>
      </c>
      <c r="C4526" t="str">
        <f>"50148000"</f>
        <v>50148000</v>
      </c>
      <c r="D4526" t="s">
        <v>13890</v>
      </c>
      <c r="E4526" t="s">
        <v>13891</v>
      </c>
      <c r="F4526" t="s">
        <v>13892</v>
      </c>
      <c r="I4526" t="s">
        <v>29</v>
      </c>
      <c r="J4526" t="s">
        <v>30</v>
      </c>
      <c r="K4526" t="s">
        <v>31</v>
      </c>
      <c r="M4526" t="s">
        <v>32</v>
      </c>
      <c r="N4526" t="str">
        <f>"2/20/2004 12:00:00 AM"</f>
        <v>2/20/2004 12:00:00 AM</v>
      </c>
      <c r="O4526" t="s">
        <v>13890</v>
      </c>
      <c r="T4526" t="s">
        <v>13891</v>
      </c>
    </row>
    <row r="4527" spans="1:20" x14ac:dyDescent="0.25">
      <c r="A4527" t="str">
        <f>"3049491"</f>
        <v>3049491</v>
      </c>
      <c r="B4527" t="s">
        <v>13893</v>
      </c>
      <c r="C4527" t="str">
        <f>"903900"</f>
        <v>903900</v>
      </c>
      <c r="D4527" t="s">
        <v>13894</v>
      </c>
      <c r="F4527" t="s">
        <v>13895</v>
      </c>
      <c r="I4527" t="s">
        <v>29</v>
      </c>
      <c r="J4527" t="s">
        <v>30</v>
      </c>
      <c r="K4527" t="s">
        <v>31</v>
      </c>
      <c r="M4527" t="s">
        <v>32</v>
      </c>
      <c r="N4527" t="str">
        <f>"7/23/2004 12:00:00 AM"</f>
        <v>7/23/2004 12:00:00 AM</v>
      </c>
      <c r="O4527" t="s">
        <v>13894</v>
      </c>
    </row>
    <row r="4528" spans="1:20" x14ac:dyDescent="0.25">
      <c r="A4528" t="str">
        <f>"3049464"</f>
        <v>3049464</v>
      </c>
      <c r="B4528" t="s">
        <v>13896</v>
      </c>
      <c r="C4528" t="str">
        <f>"903900"</f>
        <v>903900</v>
      </c>
      <c r="D4528" t="s">
        <v>13894</v>
      </c>
      <c r="F4528" t="s">
        <v>13895</v>
      </c>
      <c r="I4528" t="s">
        <v>29</v>
      </c>
      <c r="J4528" t="s">
        <v>30</v>
      </c>
      <c r="K4528" t="s">
        <v>31</v>
      </c>
      <c r="M4528" t="s">
        <v>32</v>
      </c>
      <c r="N4528" t="str">
        <f>"7/23/2004 12:00:00 AM"</f>
        <v>7/23/2004 12:00:00 AM</v>
      </c>
      <c r="O4528" t="s">
        <v>13894</v>
      </c>
    </row>
    <row r="4529" spans="1:20" x14ac:dyDescent="0.25">
      <c r="A4529" t="str">
        <f>"3049532"</f>
        <v>3049532</v>
      </c>
      <c r="B4529" t="s">
        <v>13897</v>
      </c>
      <c r="C4529" t="str">
        <f>"903900"</f>
        <v>903900</v>
      </c>
      <c r="D4529" t="s">
        <v>13894</v>
      </c>
      <c r="F4529" t="s">
        <v>13895</v>
      </c>
      <c r="I4529" t="s">
        <v>29</v>
      </c>
      <c r="J4529" t="s">
        <v>30</v>
      </c>
      <c r="K4529" t="s">
        <v>31</v>
      </c>
      <c r="M4529" t="s">
        <v>32</v>
      </c>
      <c r="N4529" t="str">
        <f>"7/23/2004 12:00:00 AM"</f>
        <v>7/23/2004 12:00:00 AM</v>
      </c>
      <c r="O4529" t="s">
        <v>13894</v>
      </c>
    </row>
    <row r="4530" spans="1:20" x14ac:dyDescent="0.25">
      <c r="A4530" t="str">
        <f>"3049674"</f>
        <v>3049674</v>
      </c>
      <c r="B4530" t="s">
        <v>13898</v>
      </c>
      <c r="C4530" t="str">
        <f>"903900"</f>
        <v>903900</v>
      </c>
      <c r="D4530" t="s">
        <v>13894</v>
      </c>
      <c r="F4530" t="s">
        <v>13895</v>
      </c>
      <c r="I4530" t="s">
        <v>29</v>
      </c>
      <c r="J4530" t="s">
        <v>30</v>
      </c>
      <c r="K4530" t="s">
        <v>31</v>
      </c>
      <c r="M4530" t="s">
        <v>32</v>
      </c>
      <c r="N4530" t="str">
        <f>"7/23/2004 12:00:00 AM"</f>
        <v>7/23/2004 12:00:00 AM</v>
      </c>
      <c r="O4530" t="s">
        <v>13894</v>
      </c>
    </row>
    <row r="4531" spans="1:20" x14ac:dyDescent="0.25">
      <c r="A4531" t="str">
        <f>"3052174"</f>
        <v>3052174</v>
      </c>
      <c r="B4531" t="s">
        <v>13899</v>
      </c>
      <c r="C4531" t="str">
        <f>"82515853"</f>
        <v>82515853</v>
      </c>
      <c r="D4531" t="s">
        <v>13886</v>
      </c>
      <c r="E4531" t="s">
        <v>13887</v>
      </c>
      <c r="F4531" t="s">
        <v>13888</v>
      </c>
      <c r="I4531" t="s">
        <v>29</v>
      </c>
      <c r="J4531" t="s">
        <v>30</v>
      </c>
      <c r="K4531" t="s">
        <v>31</v>
      </c>
      <c r="M4531" t="s">
        <v>32</v>
      </c>
      <c r="N4531" t="str">
        <f>"12/22/2000 12:00:00 AM"</f>
        <v>12/22/2000 12:00:00 AM</v>
      </c>
      <c r="O4531" t="s">
        <v>13886</v>
      </c>
      <c r="T4531" t="s">
        <v>13887</v>
      </c>
    </row>
    <row r="4532" spans="1:20" x14ac:dyDescent="0.25">
      <c r="A4532" t="str">
        <f>"3052979"</f>
        <v>3052979</v>
      </c>
      <c r="B4532" t="s">
        <v>13900</v>
      </c>
      <c r="C4532" t="str">
        <f>"82515524"</f>
        <v>82515524</v>
      </c>
      <c r="D4532" t="s">
        <v>13901</v>
      </c>
      <c r="E4532" t="s">
        <v>13902</v>
      </c>
      <c r="F4532" t="s">
        <v>13903</v>
      </c>
      <c r="I4532" t="s">
        <v>29</v>
      </c>
      <c r="J4532" t="s">
        <v>30</v>
      </c>
      <c r="K4532" t="s">
        <v>31</v>
      </c>
      <c r="M4532" t="s">
        <v>32</v>
      </c>
      <c r="N4532" t="str">
        <f>"8/31/2009 12:00:00 AM"</f>
        <v>8/31/2009 12:00:00 AM</v>
      </c>
      <c r="O4532" t="s">
        <v>13901</v>
      </c>
      <c r="T4532" t="s">
        <v>13902</v>
      </c>
    </row>
    <row r="4533" spans="1:20" x14ac:dyDescent="0.25">
      <c r="A4533" t="str">
        <f>"3050347"</f>
        <v>3050347</v>
      </c>
      <c r="B4533" t="s">
        <v>13904</v>
      </c>
      <c r="C4533" t="str">
        <f>"54169500"</f>
        <v>54169500</v>
      </c>
      <c r="D4533" t="s">
        <v>13905</v>
      </c>
      <c r="F4533" t="s">
        <v>13906</v>
      </c>
      <c r="I4533" t="s">
        <v>29</v>
      </c>
      <c r="J4533" t="s">
        <v>30</v>
      </c>
      <c r="K4533" t="s">
        <v>31</v>
      </c>
      <c r="M4533" t="s">
        <v>32</v>
      </c>
      <c r="N4533" t="str">
        <f>"11/30/2009 12:00:00 AM"</f>
        <v>11/30/2009 12:00:00 AM</v>
      </c>
      <c r="O4533" t="s">
        <v>13905</v>
      </c>
    </row>
    <row r="4534" spans="1:20" x14ac:dyDescent="0.25">
      <c r="A4534" t="str">
        <f>"3053695"</f>
        <v>3053695</v>
      </c>
      <c r="B4534" t="s">
        <v>13907</v>
      </c>
      <c r="C4534" t="str">
        <f>"82514785"</f>
        <v>82514785</v>
      </c>
      <c r="D4534" t="s">
        <v>13908</v>
      </c>
      <c r="F4534" t="s">
        <v>13909</v>
      </c>
      <c r="I4534" t="s">
        <v>29</v>
      </c>
      <c r="J4534" t="s">
        <v>30</v>
      </c>
      <c r="K4534" t="s">
        <v>13910</v>
      </c>
      <c r="M4534" t="s">
        <v>32</v>
      </c>
      <c r="N4534" t="str">
        <f>"6/23/2005 12:00:00 AM"</f>
        <v>6/23/2005 12:00:00 AM</v>
      </c>
      <c r="O4534" t="s">
        <v>13908</v>
      </c>
    </row>
    <row r="4535" spans="1:20" x14ac:dyDescent="0.25">
      <c r="A4535" t="str">
        <f>"3053660"</f>
        <v>3053660</v>
      </c>
      <c r="B4535" t="s">
        <v>13911</v>
      </c>
      <c r="C4535" t="str">
        <f>"82521831"</f>
        <v>82521831</v>
      </c>
      <c r="D4535" t="s">
        <v>13912</v>
      </c>
      <c r="F4535" t="s">
        <v>13913</v>
      </c>
      <c r="I4535" t="s">
        <v>29</v>
      </c>
      <c r="J4535" t="s">
        <v>30</v>
      </c>
      <c r="K4535" t="s">
        <v>13914</v>
      </c>
      <c r="N4535" t="str">
        <f>"2/10/2005 12:00:00 AM"</f>
        <v>2/10/2005 12:00:00 AM</v>
      </c>
      <c r="O4535" t="s">
        <v>13912</v>
      </c>
    </row>
    <row r="4536" spans="1:20" x14ac:dyDescent="0.25">
      <c r="A4536" t="str">
        <f>"3062333"</f>
        <v>3062333</v>
      </c>
      <c r="B4536" t="s">
        <v>13915</v>
      </c>
      <c r="C4536" t="str">
        <f>"12956000"</f>
        <v>12956000</v>
      </c>
      <c r="D4536" t="s">
        <v>13916</v>
      </c>
      <c r="F4536" t="str">
        <f>"C/O FOLA H WILLIAMSON"</f>
        <v>C/O FOLA H WILLIAMSON</v>
      </c>
      <c r="G4536" t="s">
        <v>13917</v>
      </c>
      <c r="I4536" t="s">
        <v>13918</v>
      </c>
      <c r="J4536" t="s">
        <v>13919</v>
      </c>
      <c r="K4536" t="s">
        <v>13920</v>
      </c>
      <c r="N4536" t="str">
        <f>"8/26/2011 12:00:00 AM"</f>
        <v>8/26/2011 12:00:00 AM</v>
      </c>
      <c r="O4536" t="s">
        <v>13916</v>
      </c>
    </row>
    <row r="4537" spans="1:20" x14ac:dyDescent="0.25">
      <c r="A4537" t="str">
        <f>"3062334"</f>
        <v>3062334</v>
      </c>
      <c r="B4537" t="s">
        <v>13921</v>
      </c>
      <c r="C4537" t="str">
        <f>"31580000"</f>
        <v>31580000</v>
      </c>
      <c r="D4537" t="s">
        <v>13922</v>
      </c>
      <c r="F4537" t="str">
        <f>"C/O MATTIE CARR"</f>
        <v>C/O MATTIE CARR</v>
      </c>
      <c r="G4537" t="s">
        <v>13917</v>
      </c>
      <c r="I4537" t="s">
        <v>13918</v>
      </c>
      <c r="J4537" t="s">
        <v>13919</v>
      </c>
      <c r="K4537" t="s">
        <v>13920</v>
      </c>
      <c r="M4537" t="s">
        <v>32</v>
      </c>
      <c r="N4537" t="str">
        <f>"8/12/2009 12:00:00 AM"</f>
        <v>8/12/2009 12:00:00 AM</v>
      </c>
      <c r="O4537" t="s">
        <v>13922</v>
      </c>
    </row>
    <row r="4538" spans="1:20" x14ac:dyDescent="0.25">
      <c r="A4538" t="str">
        <f>"3052259"</f>
        <v>3052259</v>
      </c>
      <c r="B4538" t="s">
        <v>13923</v>
      </c>
      <c r="C4538" t="str">
        <f>"75476000"</f>
        <v>75476000</v>
      </c>
      <c r="D4538" t="s">
        <v>13924</v>
      </c>
      <c r="E4538" t="s">
        <v>13925</v>
      </c>
      <c r="F4538" t="s">
        <v>13926</v>
      </c>
      <c r="I4538" t="s">
        <v>471</v>
      </c>
      <c r="J4538" t="s">
        <v>30</v>
      </c>
      <c r="K4538" t="s">
        <v>1210</v>
      </c>
      <c r="N4538" t="str">
        <f>"9/27/2002 12:00:00 AM"</f>
        <v>9/27/2002 12:00:00 AM</v>
      </c>
      <c r="O4538" t="s">
        <v>13924</v>
      </c>
      <c r="T4538" t="s">
        <v>13925</v>
      </c>
    </row>
    <row r="4539" spans="1:20" x14ac:dyDescent="0.25">
      <c r="A4539" t="str">
        <f>"3053198"</f>
        <v>3053198</v>
      </c>
      <c r="B4539" t="s">
        <v>13927</v>
      </c>
      <c r="C4539" t="str">
        <f>"82519994"</f>
        <v>82519994</v>
      </c>
      <c r="D4539" t="s">
        <v>13928</v>
      </c>
      <c r="F4539" t="s">
        <v>13929</v>
      </c>
      <c r="I4539" t="s">
        <v>29</v>
      </c>
      <c r="J4539" t="s">
        <v>30</v>
      </c>
      <c r="K4539" t="s">
        <v>13930</v>
      </c>
      <c r="M4539" t="s">
        <v>32</v>
      </c>
      <c r="N4539" t="str">
        <f>"9/5/2007 12:00:00 AM"</f>
        <v>9/5/2007 12:00:00 AM</v>
      </c>
      <c r="O4539" t="s">
        <v>13928</v>
      </c>
    </row>
    <row r="4540" spans="1:20" x14ac:dyDescent="0.25">
      <c r="A4540" t="str">
        <f>"3053238"</f>
        <v>3053238</v>
      </c>
      <c r="B4540" t="s">
        <v>13931</v>
      </c>
      <c r="C4540" t="str">
        <f>"82519994"</f>
        <v>82519994</v>
      </c>
      <c r="D4540" t="s">
        <v>13928</v>
      </c>
      <c r="F4540" t="s">
        <v>13929</v>
      </c>
      <c r="I4540" t="s">
        <v>29</v>
      </c>
      <c r="J4540" t="s">
        <v>30</v>
      </c>
      <c r="K4540" t="s">
        <v>13930</v>
      </c>
      <c r="M4540" t="s">
        <v>32</v>
      </c>
      <c r="N4540" t="str">
        <f>"9/5/2007 12:00:00 AM"</f>
        <v>9/5/2007 12:00:00 AM</v>
      </c>
      <c r="O4540" t="s">
        <v>13928</v>
      </c>
    </row>
    <row r="4541" spans="1:20" x14ac:dyDescent="0.25">
      <c r="A4541" t="str">
        <f>"3053249"</f>
        <v>3053249</v>
      </c>
      <c r="B4541" t="s">
        <v>13932</v>
      </c>
      <c r="C4541" t="str">
        <f>"82519994"</f>
        <v>82519994</v>
      </c>
      <c r="D4541" t="s">
        <v>13928</v>
      </c>
      <c r="F4541" t="s">
        <v>13929</v>
      </c>
      <c r="I4541" t="s">
        <v>29</v>
      </c>
      <c r="J4541" t="s">
        <v>30</v>
      </c>
      <c r="K4541" t="s">
        <v>13930</v>
      </c>
      <c r="M4541" t="s">
        <v>32</v>
      </c>
      <c r="N4541" t="str">
        <f>"9/5/2007 12:00:00 AM"</f>
        <v>9/5/2007 12:00:00 AM</v>
      </c>
      <c r="O4541" t="s">
        <v>13928</v>
      </c>
    </row>
    <row r="4542" spans="1:20" x14ac:dyDescent="0.25">
      <c r="A4542" t="str">
        <f>"3053610"</f>
        <v>3053610</v>
      </c>
      <c r="B4542" t="s">
        <v>13933</v>
      </c>
      <c r="C4542" t="str">
        <f>"82516223"</f>
        <v>82516223</v>
      </c>
      <c r="D4542" t="s">
        <v>13934</v>
      </c>
      <c r="E4542" t="s">
        <v>13935</v>
      </c>
      <c r="F4542" t="s">
        <v>13936</v>
      </c>
      <c r="I4542" t="s">
        <v>29</v>
      </c>
      <c r="J4542" t="s">
        <v>30</v>
      </c>
      <c r="K4542" t="s">
        <v>31</v>
      </c>
      <c r="M4542" t="s">
        <v>32</v>
      </c>
      <c r="N4542" t="str">
        <f>"8/5/2002 12:00:00 AM"</f>
        <v>8/5/2002 12:00:00 AM</v>
      </c>
      <c r="O4542" t="s">
        <v>13934</v>
      </c>
      <c r="T4542" t="s">
        <v>13935</v>
      </c>
    </row>
    <row r="4543" spans="1:20" x14ac:dyDescent="0.25">
      <c r="A4543" t="str">
        <f>"3078460"</f>
        <v>3078460</v>
      </c>
      <c r="B4543" t="s">
        <v>13937</v>
      </c>
      <c r="C4543" t="str">
        <f>"82528800"</f>
        <v>82528800</v>
      </c>
      <c r="D4543" t="s">
        <v>13938</v>
      </c>
      <c r="E4543" t="s">
        <v>13939</v>
      </c>
      <c r="F4543" t="s">
        <v>11198</v>
      </c>
      <c r="I4543" t="s">
        <v>29</v>
      </c>
      <c r="J4543" t="s">
        <v>30</v>
      </c>
      <c r="K4543" t="s">
        <v>31</v>
      </c>
      <c r="N4543" t="str">
        <f>"11/2/2007 12:00:00 AM"</f>
        <v>11/2/2007 12:00:00 AM</v>
      </c>
      <c r="O4543" t="s">
        <v>13938</v>
      </c>
      <c r="T4543" t="s">
        <v>13939</v>
      </c>
    </row>
    <row r="4544" spans="1:20" x14ac:dyDescent="0.25">
      <c r="A4544" t="str">
        <f>"3052260"</f>
        <v>3052260</v>
      </c>
      <c r="B4544" t="s">
        <v>13940</v>
      </c>
      <c r="C4544" t="str">
        <f>"53492000"</f>
        <v>53492000</v>
      </c>
      <c r="D4544" t="s">
        <v>13941</v>
      </c>
      <c r="F4544" t="s">
        <v>13942</v>
      </c>
      <c r="I4544" t="s">
        <v>471</v>
      </c>
      <c r="J4544" t="s">
        <v>30</v>
      </c>
      <c r="K4544" t="s">
        <v>1262</v>
      </c>
      <c r="M4544" t="s">
        <v>32</v>
      </c>
      <c r="N4544" t="str">
        <f>"2/13/2003 12:00:00 AM"</f>
        <v>2/13/2003 12:00:00 AM</v>
      </c>
      <c r="O4544" t="s">
        <v>13941</v>
      </c>
    </row>
    <row r="4545" spans="1:20" x14ac:dyDescent="0.25">
      <c r="A4545" t="str">
        <f>"3052324"</f>
        <v>3052324</v>
      </c>
      <c r="B4545" t="s">
        <v>13943</v>
      </c>
      <c r="C4545" t="str">
        <f>"53492000"</f>
        <v>53492000</v>
      </c>
      <c r="D4545" t="s">
        <v>13941</v>
      </c>
      <c r="F4545" t="s">
        <v>13942</v>
      </c>
      <c r="I4545" t="s">
        <v>471</v>
      </c>
      <c r="J4545" t="s">
        <v>30</v>
      </c>
      <c r="K4545" t="s">
        <v>1262</v>
      </c>
      <c r="M4545" t="s">
        <v>32</v>
      </c>
      <c r="N4545" t="str">
        <f>"2/13/2003 12:00:00 AM"</f>
        <v>2/13/2003 12:00:00 AM</v>
      </c>
      <c r="O4545" t="s">
        <v>13941</v>
      </c>
    </row>
    <row r="4546" spans="1:20" x14ac:dyDescent="0.25">
      <c r="A4546" t="str">
        <f>"3052201"</f>
        <v>3052201</v>
      </c>
      <c r="B4546" t="s">
        <v>13944</v>
      </c>
      <c r="C4546" t="str">
        <f>"34767750"</f>
        <v>34767750</v>
      </c>
      <c r="D4546" t="s">
        <v>13945</v>
      </c>
      <c r="E4546" t="s">
        <v>13946</v>
      </c>
      <c r="F4546" t="s">
        <v>13947</v>
      </c>
      <c r="I4546" t="s">
        <v>29</v>
      </c>
      <c r="J4546" t="s">
        <v>30</v>
      </c>
      <c r="K4546" t="s">
        <v>31</v>
      </c>
      <c r="M4546" t="s">
        <v>32</v>
      </c>
      <c r="N4546" t="str">
        <f>"9/27/2002 12:00:00 AM"</f>
        <v>9/27/2002 12:00:00 AM</v>
      </c>
      <c r="O4546" t="s">
        <v>13945</v>
      </c>
      <c r="T4546" t="s">
        <v>13946</v>
      </c>
    </row>
    <row r="4547" spans="1:20" x14ac:dyDescent="0.25">
      <c r="A4547" t="str">
        <f>"3050301"</f>
        <v>3050301</v>
      </c>
      <c r="B4547" t="s">
        <v>13948</v>
      </c>
      <c r="C4547" t="str">
        <f>"82514387"</f>
        <v>82514387</v>
      </c>
      <c r="D4547" t="s">
        <v>13949</v>
      </c>
      <c r="E4547" t="s">
        <v>13950</v>
      </c>
      <c r="F4547" t="s">
        <v>12467</v>
      </c>
      <c r="I4547" t="s">
        <v>29</v>
      </c>
      <c r="J4547" t="s">
        <v>30</v>
      </c>
      <c r="K4547" t="s">
        <v>13951</v>
      </c>
      <c r="M4547" t="s">
        <v>32</v>
      </c>
      <c r="N4547" t="str">
        <f>"7/27/2004 12:00:00 AM"</f>
        <v>7/27/2004 12:00:00 AM</v>
      </c>
      <c r="O4547" t="s">
        <v>13949</v>
      </c>
      <c r="T4547" t="s">
        <v>13950</v>
      </c>
    </row>
    <row r="4548" spans="1:20" x14ac:dyDescent="0.25">
      <c r="A4548" t="str">
        <f>"3050474"</f>
        <v>3050474</v>
      </c>
      <c r="B4548" t="s">
        <v>13952</v>
      </c>
      <c r="C4548" t="str">
        <f>"903950"</f>
        <v>903950</v>
      </c>
      <c r="D4548" t="s">
        <v>13894</v>
      </c>
      <c r="E4548" t="s">
        <v>13953</v>
      </c>
      <c r="F4548" t="s">
        <v>13954</v>
      </c>
      <c r="I4548" t="s">
        <v>29</v>
      </c>
      <c r="J4548" t="s">
        <v>30</v>
      </c>
      <c r="K4548" t="s">
        <v>13951</v>
      </c>
      <c r="M4548" t="s">
        <v>32</v>
      </c>
      <c r="N4548" t="str">
        <f>"4/1/2005 12:00:00 AM"</f>
        <v>4/1/2005 12:00:00 AM</v>
      </c>
      <c r="O4548" t="s">
        <v>13894</v>
      </c>
      <c r="T4548" t="s">
        <v>13953</v>
      </c>
    </row>
    <row r="4549" spans="1:20" x14ac:dyDescent="0.25">
      <c r="A4549" t="str">
        <f>"3050485"</f>
        <v>3050485</v>
      </c>
      <c r="B4549" t="s">
        <v>13955</v>
      </c>
      <c r="C4549" t="str">
        <f>"35317000"</f>
        <v>35317000</v>
      </c>
      <c r="D4549" t="s">
        <v>13956</v>
      </c>
      <c r="E4549" t="s">
        <v>13957</v>
      </c>
      <c r="F4549" t="s">
        <v>13958</v>
      </c>
      <c r="I4549" t="s">
        <v>29</v>
      </c>
      <c r="J4549" t="s">
        <v>30</v>
      </c>
      <c r="K4549" t="s">
        <v>13959</v>
      </c>
      <c r="M4549" t="s">
        <v>32</v>
      </c>
      <c r="N4549" t="str">
        <f>"1/12/2006 12:00:00 AM"</f>
        <v>1/12/2006 12:00:00 AM</v>
      </c>
      <c r="O4549" t="s">
        <v>13956</v>
      </c>
      <c r="T4549" t="s">
        <v>13957</v>
      </c>
    </row>
    <row r="4550" spans="1:20" x14ac:dyDescent="0.25">
      <c r="A4550" t="str">
        <f>"3050430"</f>
        <v>3050430</v>
      </c>
      <c r="B4550" t="s">
        <v>13960</v>
      </c>
      <c r="C4550" t="str">
        <f>"82521655"</f>
        <v>82521655</v>
      </c>
      <c r="D4550" t="s">
        <v>13961</v>
      </c>
      <c r="E4550" t="s">
        <v>13962</v>
      </c>
      <c r="F4550" t="s">
        <v>13963</v>
      </c>
      <c r="I4550" t="s">
        <v>29</v>
      </c>
      <c r="J4550" t="s">
        <v>30</v>
      </c>
      <c r="K4550" t="s">
        <v>12425</v>
      </c>
      <c r="M4550" t="s">
        <v>32</v>
      </c>
      <c r="N4550" t="str">
        <f>"1/21/2010 12:00:00 AM"</f>
        <v>1/21/2010 12:00:00 AM</v>
      </c>
      <c r="O4550" t="s">
        <v>13961</v>
      </c>
      <c r="T4550" t="s">
        <v>13962</v>
      </c>
    </row>
    <row r="4551" spans="1:20" x14ac:dyDescent="0.25">
      <c r="A4551" t="str">
        <f>"3078963"</f>
        <v>3078963</v>
      </c>
      <c r="B4551" t="s">
        <v>13964</v>
      </c>
      <c r="C4551" t="str">
        <f>"34767750"</f>
        <v>34767750</v>
      </c>
      <c r="D4551" t="s">
        <v>13945</v>
      </c>
      <c r="E4551" t="s">
        <v>13946</v>
      </c>
      <c r="F4551" t="s">
        <v>13947</v>
      </c>
      <c r="I4551" t="s">
        <v>29</v>
      </c>
      <c r="J4551" t="s">
        <v>30</v>
      </c>
      <c r="K4551" t="s">
        <v>31</v>
      </c>
      <c r="M4551" t="s">
        <v>32</v>
      </c>
      <c r="N4551" t="str">
        <f>"9/27/2002 12:00:00 AM"</f>
        <v>9/27/2002 12:00:00 AM</v>
      </c>
      <c r="O4551" t="s">
        <v>13945</v>
      </c>
      <c r="T4551" t="s">
        <v>13946</v>
      </c>
    </row>
    <row r="4552" spans="1:20" x14ac:dyDescent="0.25">
      <c r="A4552" t="str">
        <f>"3052956"</f>
        <v>3052956</v>
      </c>
      <c r="B4552" t="s">
        <v>13965</v>
      </c>
      <c r="C4552" t="str">
        <f>"74276000"</f>
        <v>74276000</v>
      </c>
      <c r="D4552" t="s">
        <v>13966</v>
      </c>
      <c r="E4552" t="s">
        <v>13967</v>
      </c>
      <c r="F4552" t="s">
        <v>13968</v>
      </c>
      <c r="I4552" t="s">
        <v>29</v>
      </c>
      <c r="J4552" t="s">
        <v>30</v>
      </c>
      <c r="K4552" t="s">
        <v>13969</v>
      </c>
      <c r="M4552" t="s">
        <v>32</v>
      </c>
      <c r="N4552" t="str">
        <f>"1/23/2006 12:00:00 AM"</f>
        <v>1/23/2006 12:00:00 AM</v>
      </c>
      <c r="O4552" t="s">
        <v>13966</v>
      </c>
      <c r="T4552" t="s">
        <v>13967</v>
      </c>
    </row>
    <row r="4553" spans="1:20" x14ac:dyDescent="0.25">
      <c r="A4553" t="str">
        <f>"3053064"</f>
        <v>3053064</v>
      </c>
      <c r="B4553" t="s">
        <v>13970</v>
      </c>
      <c r="C4553" t="str">
        <f>"63908000"</f>
        <v>63908000</v>
      </c>
      <c r="D4553" t="s">
        <v>13720</v>
      </c>
      <c r="E4553" t="s">
        <v>13721</v>
      </c>
      <c r="F4553" t="s">
        <v>13722</v>
      </c>
      <c r="I4553" t="s">
        <v>29</v>
      </c>
      <c r="J4553" t="s">
        <v>30</v>
      </c>
      <c r="K4553" t="s">
        <v>31</v>
      </c>
      <c r="M4553" t="s">
        <v>32</v>
      </c>
      <c r="N4553" t="str">
        <f>"1/10/2005 12:00:00 AM"</f>
        <v>1/10/2005 12:00:00 AM</v>
      </c>
      <c r="O4553" t="s">
        <v>13720</v>
      </c>
      <c r="T4553" t="s">
        <v>13721</v>
      </c>
    </row>
    <row r="4554" spans="1:20" x14ac:dyDescent="0.25">
      <c r="A4554" t="str">
        <f>"3053696"</f>
        <v>3053696</v>
      </c>
      <c r="B4554" t="s">
        <v>13971</v>
      </c>
      <c r="C4554" t="str">
        <f>"82523811"</f>
        <v>82523811</v>
      </c>
      <c r="D4554" t="s">
        <v>13972</v>
      </c>
      <c r="F4554" t="s">
        <v>13973</v>
      </c>
      <c r="I4554" t="s">
        <v>29</v>
      </c>
      <c r="J4554" t="s">
        <v>30</v>
      </c>
      <c r="K4554" t="s">
        <v>31</v>
      </c>
      <c r="M4554" t="s">
        <v>32</v>
      </c>
      <c r="N4554" t="str">
        <f>"1/26/2005 12:00:00 AM"</f>
        <v>1/26/2005 12:00:00 AM</v>
      </c>
      <c r="O4554" t="s">
        <v>13972</v>
      </c>
    </row>
    <row r="4555" spans="1:20" x14ac:dyDescent="0.25">
      <c r="A4555" t="str">
        <f>"3078467"</f>
        <v>3078467</v>
      </c>
      <c r="B4555" t="s">
        <v>13974</v>
      </c>
      <c r="C4555" t="str">
        <f>"54684000"</f>
        <v>54684000</v>
      </c>
      <c r="D4555" t="s">
        <v>13975</v>
      </c>
      <c r="E4555" t="s">
        <v>13976</v>
      </c>
      <c r="F4555" t="s">
        <v>13977</v>
      </c>
      <c r="I4555" t="s">
        <v>29</v>
      </c>
      <c r="J4555" t="s">
        <v>30</v>
      </c>
      <c r="K4555" t="s">
        <v>13978</v>
      </c>
      <c r="M4555" t="s">
        <v>32</v>
      </c>
      <c r="N4555" t="str">
        <f>"2/14/2007 12:00:00 AM"</f>
        <v>2/14/2007 12:00:00 AM</v>
      </c>
      <c r="O4555" t="s">
        <v>13975</v>
      </c>
      <c r="T4555" t="s">
        <v>13976</v>
      </c>
    </row>
    <row r="4556" spans="1:20" x14ac:dyDescent="0.25">
      <c r="A4556" t="str">
        <f>"3053239"</f>
        <v>3053239</v>
      </c>
      <c r="B4556" t="s">
        <v>13979</v>
      </c>
      <c r="C4556" t="str">
        <f>"82523811"</f>
        <v>82523811</v>
      </c>
      <c r="D4556" t="s">
        <v>13972</v>
      </c>
      <c r="F4556" t="s">
        <v>13973</v>
      </c>
      <c r="I4556" t="s">
        <v>29</v>
      </c>
      <c r="J4556" t="s">
        <v>30</v>
      </c>
      <c r="K4556" t="s">
        <v>31</v>
      </c>
      <c r="M4556" t="s">
        <v>32</v>
      </c>
      <c r="N4556" t="str">
        <f>"1/26/2005 12:00:00 AM"</f>
        <v>1/26/2005 12:00:00 AM</v>
      </c>
      <c r="O4556" t="s">
        <v>13972</v>
      </c>
    </row>
    <row r="4557" spans="1:20" x14ac:dyDescent="0.25">
      <c r="A4557" t="str">
        <f>"3078454"</f>
        <v>3078454</v>
      </c>
      <c r="B4557" t="s">
        <v>13980</v>
      </c>
      <c r="C4557" t="str">
        <f>"82525280"</f>
        <v>82525280</v>
      </c>
      <c r="D4557" t="s">
        <v>13981</v>
      </c>
      <c r="E4557" t="s">
        <v>13982</v>
      </c>
      <c r="F4557" t="s">
        <v>13983</v>
      </c>
      <c r="I4557" t="s">
        <v>184</v>
      </c>
      <c r="J4557" t="s">
        <v>30</v>
      </c>
      <c r="K4557" t="s">
        <v>13984</v>
      </c>
      <c r="M4557" t="s">
        <v>32</v>
      </c>
      <c r="N4557" t="str">
        <f>"1/5/2006 12:00:00 AM"</f>
        <v>1/5/2006 12:00:00 AM</v>
      </c>
      <c r="O4557" t="s">
        <v>13981</v>
      </c>
      <c r="T4557" t="s">
        <v>13982</v>
      </c>
    </row>
    <row r="4558" spans="1:20" x14ac:dyDescent="0.25">
      <c r="A4558" t="str">
        <f>"3100472"</f>
        <v>3100472</v>
      </c>
      <c r="B4558" t="s">
        <v>13985</v>
      </c>
      <c r="C4558" t="str">
        <f>"69200370"</f>
        <v>69200370</v>
      </c>
      <c r="D4558" t="s">
        <v>13986</v>
      </c>
      <c r="E4558" t="s">
        <v>13987</v>
      </c>
      <c r="F4558" t="s">
        <v>13988</v>
      </c>
      <c r="I4558" t="s">
        <v>29</v>
      </c>
      <c r="J4558" t="s">
        <v>30</v>
      </c>
      <c r="K4558" t="s">
        <v>13989</v>
      </c>
      <c r="M4558" t="s">
        <v>32</v>
      </c>
      <c r="N4558" t="str">
        <f>"2/7/2007 12:00:00 AM"</f>
        <v>2/7/2007 12:00:00 AM</v>
      </c>
      <c r="O4558" t="s">
        <v>13986</v>
      </c>
      <c r="T4558" t="s">
        <v>13987</v>
      </c>
    </row>
    <row r="4559" spans="1:20" x14ac:dyDescent="0.25">
      <c r="A4559" t="str">
        <f>"3053668"</f>
        <v>3053668</v>
      </c>
      <c r="B4559" t="s">
        <v>13990</v>
      </c>
      <c r="C4559" t="str">
        <f>"73876050"</f>
        <v>73876050</v>
      </c>
      <c r="D4559" t="s">
        <v>13991</v>
      </c>
      <c r="E4559" t="s">
        <v>12439</v>
      </c>
      <c r="F4559" t="s">
        <v>13992</v>
      </c>
      <c r="I4559" t="s">
        <v>184</v>
      </c>
      <c r="J4559" t="s">
        <v>30</v>
      </c>
      <c r="K4559" t="s">
        <v>185</v>
      </c>
      <c r="M4559" t="s">
        <v>32</v>
      </c>
      <c r="N4559" t="str">
        <f>"11/28/2007 12:00:00 AM"</f>
        <v>11/28/2007 12:00:00 AM</v>
      </c>
      <c r="O4559" t="s">
        <v>13991</v>
      </c>
      <c r="T4559" t="s">
        <v>12439</v>
      </c>
    </row>
    <row r="4560" spans="1:20" x14ac:dyDescent="0.25">
      <c r="A4560" t="str">
        <f>"3053839"</f>
        <v>3053839</v>
      </c>
      <c r="B4560" t="s">
        <v>13993</v>
      </c>
      <c r="C4560" t="str">
        <f>"82522048"</f>
        <v>82522048</v>
      </c>
      <c r="D4560" t="s">
        <v>13994</v>
      </c>
      <c r="F4560" t="s">
        <v>13995</v>
      </c>
      <c r="I4560" t="s">
        <v>29</v>
      </c>
      <c r="J4560" t="s">
        <v>30</v>
      </c>
      <c r="K4560" t="s">
        <v>31</v>
      </c>
      <c r="M4560" t="s">
        <v>32</v>
      </c>
      <c r="N4560" t="str">
        <f>"1/20/2004 12:00:00 AM"</f>
        <v>1/20/2004 12:00:00 AM</v>
      </c>
      <c r="O4560" t="s">
        <v>13994</v>
      </c>
    </row>
    <row r="4561" spans="1:20" x14ac:dyDescent="0.25">
      <c r="A4561" t="str">
        <f>"3053228"</f>
        <v>3053228</v>
      </c>
      <c r="B4561" t="s">
        <v>13996</v>
      </c>
      <c r="C4561" t="str">
        <f>"68736000"</f>
        <v>68736000</v>
      </c>
      <c r="D4561" t="s">
        <v>13997</v>
      </c>
      <c r="F4561" t="s">
        <v>13998</v>
      </c>
      <c r="I4561" t="s">
        <v>29</v>
      </c>
      <c r="J4561" t="s">
        <v>30</v>
      </c>
      <c r="K4561" t="s">
        <v>13999</v>
      </c>
      <c r="M4561" t="s">
        <v>32</v>
      </c>
      <c r="N4561" t="str">
        <f>"3/11/2005 12:00:00 AM"</f>
        <v>3/11/2005 12:00:00 AM</v>
      </c>
      <c r="O4561" t="s">
        <v>13997</v>
      </c>
    </row>
    <row r="4562" spans="1:20" x14ac:dyDescent="0.25">
      <c r="A4562" t="str">
        <f>"3052311"</f>
        <v>3052311</v>
      </c>
      <c r="B4562" t="s">
        <v>14000</v>
      </c>
      <c r="C4562" t="str">
        <f>"31188000"</f>
        <v>31188000</v>
      </c>
      <c r="D4562" t="s">
        <v>14001</v>
      </c>
      <c r="F4562" t="s">
        <v>14002</v>
      </c>
      <c r="I4562" t="s">
        <v>29</v>
      </c>
      <c r="J4562" t="s">
        <v>30</v>
      </c>
      <c r="K4562" t="s">
        <v>31</v>
      </c>
      <c r="M4562" t="s">
        <v>32</v>
      </c>
      <c r="N4562" t="str">
        <f>"9/27/2002 12:00:00 AM"</f>
        <v>9/27/2002 12:00:00 AM</v>
      </c>
      <c r="O4562" t="s">
        <v>14001</v>
      </c>
    </row>
    <row r="4563" spans="1:20" x14ac:dyDescent="0.25">
      <c r="A4563" t="str">
        <f>"3052939"</f>
        <v>3052939</v>
      </c>
      <c r="B4563" t="s">
        <v>14003</v>
      </c>
      <c r="C4563" t="str">
        <f>"17361000"</f>
        <v>17361000</v>
      </c>
      <c r="D4563" t="s">
        <v>13793</v>
      </c>
      <c r="E4563" t="s">
        <v>13794</v>
      </c>
      <c r="F4563" t="s">
        <v>13795</v>
      </c>
      <c r="I4563" t="s">
        <v>29</v>
      </c>
      <c r="J4563" t="s">
        <v>30</v>
      </c>
      <c r="K4563" t="s">
        <v>31</v>
      </c>
      <c r="M4563" t="s">
        <v>32</v>
      </c>
      <c r="N4563" t="str">
        <f>"6/30/2003 12:00:00 AM"</f>
        <v>6/30/2003 12:00:00 AM</v>
      </c>
      <c r="O4563" t="s">
        <v>13793</v>
      </c>
      <c r="T4563" t="s">
        <v>13794</v>
      </c>
    </row>
    <row r="4564" spans="1:20" x14ac:dyDescent="0.25">
      <c r="A4564" t="str">
        <f>"3053005"</f>
        <v>3053005</v>
      </c>
      <c r="B4564" t="s">
        <v>14004</v>
      </c>
      <c r="C4564" t="str">
        <f>"2960000"</f>
        <v>2960000</v>
      </c>
      <c r="D4564" t="s">
        <v>14005</v>
      </c>
      <c r="E4564" t="s">
        <v>13802</v>
      </c>
      <c r="F4564" t="s">
        <v>13803</v>
      </c>
      <c r="I4564" t="s">
        <v>29</v>
      </c>
      <c r="J4564" t="s">
        <v>30</v>
      </c>
      <c r="K4564" t="s">
        <v>31</v>
      </c>
      <c r="M4564" t="s">
        <v>32</v>
      </c>
      <c r="N4564" t="str">
        <f>"5/15/2003 12:00:00 AM"</f>
        <v>5/15/2003 12:00:00 AM</v>
      </c>
      <c r="O4564" t="s">
        <v>14005</v>
      </c>
      <c r="T4564" t="s">
        <v>13802</v>
      </c>
    </row>
    <row r="4565" spans="1:20" x14ac:dyDescent="0.25">
      <c r="A4565" t="str">
        <f>"3061591"</f>
        <v>3061591</v>
      </c>
      <c r="B4565" t="s">
        <v>14006</v>
      </c>
      <c r="C4565" t="str">
        <f>"30480000"</f>
        <v>30480000</v>
      </c>
      <c r="D4565" t="s">
        <v>14007</v>
      </c>
      <c r="E4565" t="s">
        <v>14008</v>
      </c>
      <c r="F4565" t="s">
        <v>14009</v>
      </c>
      <c r="I4565" t="s">
        <v>29</v>
      </c>
      <c r="J4565" t="s">
        <v>30</v>
      </c>
      <c r="K4565" t="s">
        <v>31</v>
      </c>
      <c r="M4565" t="s">
        <v>32</v>
      </c>
      <c r="N4565" t="str">
        <f>"9/8/2003 12:00:00 AM"</f>
        <v>9/8/2003 12:00:00 AM</v>
      </c>
      <c r="O4565" t="s">
        <v>14007</v>
      </c>
      <c r="T4565" t="s">
        <v>14008</v>
      </c>
    </row>
    <row r="4566" spans="1:20" x14ac:dyDescent="0.25">
      <c r="A4566" t="str">
        <f>"3061566"</f>
        <v>3061566</v>
      </c>
      <c r="B4566" t="s">
        <v>14010</v>
      </c>
      <c r="C4566" t="str">
        <f>"63531870"</f>
        <v>63531870</v>
      </c>
      <c r="D4566" t="s">
        <v>14011</v>
      </c>
      <c r="F4566" t="s">
        <v>14012</v>
      </c>
      <c r="I4566" t="s">
        <v>29</v>
      </c>
      <c r="J4566" t="s">
        <v>30</v>
      </c>
      <c r="K4566" t="s">
        <v>31</v>
      </c>
      <c r="M4566" t="s">
        <v>32</v>
      </c>
      <c r="N4566" t="str">
        <f>"9/30/2002 12:00:00 AM"</f>
        <v>9/30/2002 12:00:00 AM</v>
      </c>
      <c r="O4566" t="s">
        <v>14011</v>
      </c>
    </row>
    <row r="4567" spans="1:20" x14ac:dyDescent="0.25">
      <c r="A4567" t="str">
        <f>"3053000"</f>
        <v>3053000</v>
      </c>
      <c r="B4567" t="s">
        <v>14013</v>
      </c>
      <c r="C4567" t="str">
        <f>"2960000"</f>
        <v>2960000</v>
      </c>
      <c r="D4567" t="s">
        <v>14005</v>
      </c>
      <c r="E4567" t="s">
        <v>13802</v>
      </c>
      <c r="F4567" t="s">
        <v>13803</v>
      </c>
      <c r="I4567" t="s">
        <v>29</v>
      </c>
      <c r="J4567" t="s">
        <v>30</v>
      </c>
      <c r="K4567" t="s">
        <v>31</v>
      </c>
      <c r="M4567" t="s">
        <v>32</v>
      </c>
      <c r="N4567" t="str">
        <f>"5/15/2003 12:00:00 AM"</f>
        <v>5/15/2003 12:00:00 AM</v>
      </c>
      <c r="O4567" t="s">
        <v>14005</v>
      </c>
      <c r="T4567" t="s">
        <v>13802</v>
      </c>
    </row>
    <row r="4568" spans="1:20" x14ac:dyDescent="0.25">
      <c r="A4568" t="str">
        <f>"3053011"</f>
        <v>3053011</v>
      </c>
      <c r="B4568" t="s">
        <v>14014</v>
      </c>
      <c r="C4568" t="str">
        <f>"54807750"</f>
        <v>54807750</v>
      </c>
      <c r="D4568" t="s">
        <v>14015</v>
      </c>
      <c r="F4568" t="s">
        <v>14016</v>
      </c>
      <c r="I4568" t="s">
        <v>29</v>
      </c>
      <c r="J4568" t="s">
        <v>30</v>
      </c>
      <c r="K4568" t="s">
        <v>31</v>
      </c>
      <c r="M4568" t="s">
        <v>32</v>
      </c>
      <c r="N4568" t="str">
        <f>"9/27/2002 12:00:00 AM"</f>
        <v>9/27/2002 12:00:00 AM</v>
      </c>
      <c r="O4568" t="s">
        <v>14015</v>
      </c>
    </row>
    <row r="4569" spans="1:20" x14ac:dyDescent="0.25">
      <c r="A4569" t="str">
        <f>"3052716"</f>
        <v>3052716</v>
      </c>
      <c r="B4569" t="s">
        <v>14017</v>
      </c>
      <c r="C4569" t="str">
        <f>"82526904"</f>
        <v>82526904</v>
      </c>
      <c r="D4569" t="s">
        <v>14018</v>
      </c>
      <c r="E4569" t="s">
        <v>14019</v>
      </c>
      <c r="F4569" t="s">
        <v>14020</v>
      </c>
      <c r="I4569" t="s">
        <v>29</v>
      </c>
      <c r="J4569" t="s">
        <v>30</v>
      </c>
      <c r="K4569" t="s">
        <v>14021</v>
      </c>
      <c r="M4569" t="s">
        <v>32</v>
      </c>
      <c r="N4569" t="str">
        <f>"4/20/2007 12:00:00 AM"</f>
        <v>4/20/2007 12:00:00 AM</v>
      </c>
      <c r="O4569" t="s">
        <v>14018</v>
      </c>
      <c r="T4569" t="s">
        <v>14019</v>
      </c>
    </row>
    <row r="4570" spans="1:20" x14ac:dyDescent="0.25">
      <c r="A4570" t="str">
        <f>"3050339"</f>
        <v>3050339</v>
      </c>
      <c r="B4570" t="s">
        <v>14022</v>
      </c>
      <c r="C4570" t="str">
        <f>"24424870"</f>
        <v>24424870</v>
      </c>
      <c r="D4570" t="s">
        <v>14023</v>
      </c>
      <c r="F4570" t="s">
        <v>14024</v>
      </c>
      <c r="I4570" t="s">
        <v>184</v>
      </c>
      <c r="J4570" t="s">
        <v>30</v>
      </c>
      <c r="K4570" t="s">
        <v>185</v>
      </c>
      <c r="M4570" t="s">
        <v>32</v>
      </c>
      <c r="N4570" t="str">
        <f>"8/13/2003 12:00:00 AM"</f>
        <v>8/13/2003 12:00:00 AM</v>
      </c>
      <c r="O4570" t="s">
        <v>14023</v>
      </c>
    </row>
    <row r="4571" spans="1:20" x14ac:dyDescent="0.25">
      <c r="A4571" t="str">
        <f>"3050668"</f>
        <v>3050668</v>
      </c>
      <c r="B4571" t="s">
        <v>14025</v>
      </c>
      <c r="C4571" t="str">
        <f>"61933000"</f>
        <v>61933000</v>
      </c>
      <c r="D4571" t="s">
        <v>14026</v>
      </c>
      <c r="E4571" t="s">
        <v>14027</v>
      </c>
      <c r="F4571" t="s">
        <v>10652</v>
      </c>
      <c r="I4571" t="s">
        <v>184</v>
      </c>
      <c r="J4571" t="s">
        <v>30</v>
      </c>
      <c r="K4571" t="s">
        <v>14028</v>
      </c>
      <c r="M4571" t="s">
        <v>32</v>
      </c>
      <c r="N4571" t="str">
        <f>"1/31/2006 12:00:00 AM"</f>
        <v>1/31/2006 12:00:00 AM</v>
      </c>
      <c r="O4571" t="s">
        <v>14026</v>
      </c>
      <c r="T4571" t="s">
        <v>14027</v>
      </c>
    </row>
    <row r="4572" spans="1:20" x14ac:dyDescent="0.25">
      <c r="A4572" t="str">
        <f>"3050823"</f>
        <v>3050823</v>
      </c>
      <c r="B4572" t="s">
        <v>14029</v>
      </c>
      <c r="C4572" t="str">
        <f>"61933000"</f>
        <v>61933000</v>
      </c>
      <c r="D4572" t="s">
        <v>14026</v>
      </c>
      <c r="E4572" t="s">
        <v>14027</v>
      </c>
      <c r="F4572" t="s">
        <v>10652</v>
      </c>
      <c r="I4572" t="s">
        <v>184</v>
      </c>
      <c r="J4572" t="s">
        <v>30</v>
      </c>
      <c r="K4572" t="s">
        <v>14028</v>
      </c>
      <c r="M4572" t="s">
        <v>32</v>
      </c>
      <c r="N4572" t="str">
        <f>"1/31/2006 12:00:00 AM"</f>
        <v>1/31/2006 12:00:00 AM</v>
      </c>
      <c r="O4572" t="s">
        <v>14026</v>
      </c>
      <c r="T4572" t="s">
        <v>14027</v>
      </c>
    </row>
    <row r="4573" spans="1:20" x14ac:dyDescent="0.25">
      <c r="A4573" t="str">
        <f>"3053158"</f>
        <v>3053158</v>
      </c>
      <c r="B4573" t="s">
        <v>14030</v>
      </c>
      <c r="C4573" t="str">
        <f>"5644000"</f>
        <v>5644000</v>
      </c>
      <c r="D4573" t="s">
        <v>13837</v>
      </c>
      <c r="E4573" t="s">
        <v>13838</v>
      </c>
      <c r="F4573" t="s">
        <v>13839</v>
      </c>
      <c r="I4573" t="s">
        <v>29</v>
      </c>
      <c r="J4573" t="s">
        <v>30</v>
      </c>
      <c r="K4573" t="s">
        <v>31</v>
      </c>
      <c r="M4573" t="s">
        <v>32</v>
      </c>
      <c r="N4573" t="str">
        <f>"5/22/2003 12:00:00 AM"</f>
        <v>5/22/2003 12:00:00 AM</v>
      </c>
      <c r="O4573" t="s">
        <v>13837</v>
      </c>
      <c r="T4573" t="s">
        <v>13838</v>
      </c>
    </row>
    <row r="4574" spans="1:20" x14ac:dyDescent="0.25">
      <c r="A4574" t="str">
        <f>"3053803"</f>
        <v>3053803</v>
      </c>
      <c r="B4574" t="s">
        <v>14031</v>
      </c>
      <c r="C4574" t="str">
        <f>"73820000"</f>
        <v>73820000</v>
      </c>
      <c r="D4574" t="s">
        <v>14032</v>
      </c>
      <c r="E4574" t="s">
        <v>14033</v>
      </c>
      <c r="F4574" t="s">
        <v>14034</v>
      </c>
      <c r="I4574" t="s">
        <v>29</v>
      </c>
      <c r="J4574" t="s">
        <v>30</v>
      </c>
      <c r="K4574" t="s">
        <v>31</v>
      </c>
      <c r="M4574" t="s">
        <v>32</v>
      </c>
      <c r="N4574" t="str">
        <f>"6/21/2004 12:00:00 AM"</f>
        <v>6/21/2004 12:00:00 AM</v>
      </c>
      <c r="O4574" t="s">
        <v>14032</v>
      </c>
      <c r="T4574" t="s">
        <v>14033</v>
      </c>
    </row>
    <row r="4575" spans="1:20" x14ac:dyDescent="0.25">
      <c r="A4575" t="str">
        <f>"3058103"</f>
        <v>3058103</v>
      </c>
      <c r="B4575" t="s">
        <v>14035</v>
      </c>
      <c r="C4575" t="str">
        <f>"82529049"</f>
        <v>82529049</v>
      </c>
      <c r="D4575" t="s">
        <v>14036</v>
      </c>
      <c r="E4575" t="s">
        <v>14037</v>
      </c>
      <c r="F4575" t="s">
        <v>14038</v>
      </c>
      <c r="I4575" t="s">
        <v>29</v>
      </c>
      <c r="J4575" t="s">
        <v>30</v>
      </c>
      <c r="K4575" t="s">
        <v>31</v>
      </c>
      <c r="M4575" t="s">
        <v>32</v>
      </c>
      <c r="N4575" t="str">
        <f>"1/3/2008 12:00:00 AM"</f>
        <v>1/3/2008 12:00:00 AM</v>
      </c>
      <c r="O4575" t="s">
        <v>14036</v>
      </c>
      <c r="T4575" t="s">
        <v>14037</v>
      </c>
    </row>
    <row r="4576" spans="1:20" x14ac:dyDescent="0.25">
      <c r="A4576" t="str">
        <f>"3057720"</f>
        <v>3057720</v>
      </c>
      <c r="B4576" t="s">
        <v>14039</v>
      </c>
      <c r="C4576" t="str">
        <f>"54707000"</f>
        <v>54707000</v>
      </c>
      <c r="D4576" t="s">
        <v>14040</v>
      </c>
      <c r="F4576" t="s">
        <v>14041</v>
      </c>
      <c r="I4576" t="s">
        <v>29</v>
      </c>
      <c r="J4576" t="s">
        <v>30</v>
      </c>
      <c r="K4576" t="s">
        <v>31</v>
      </c>
      <c r="M4576" t="s">
        <v>32</v>
      </c>
      <c r="N4576" t="str">
        <f>"3/25/2004 12:00:00 AM"</f>
        <v>3/25/2004 12:00:00 AM</v>
      </c>
      <c r="O4576" t="s">
        <v>14040</v>
      </c>
    </row>
    <row r="4577" spans="1:20" x14ac:dyDescent="0.25">
      <c r="A4577" t="str">
        <f>"3062371"</f>
        <v>3062371</v>
      </c>
      <c r="B4577" t="s">
        <v>14042</v>
      </c>
      <c r="C4577" t="str">
        <f>"25334550"</f>
        <v>25334550</v>
      </c>
      <c r="D4577" t="s">
        <v>14043</v>
      </c>
      <c r="E4577" t="s">
        <v>14044</v>
      </c>
      <c r="F4577" t="s">
        <v>14045</v>
      </c>
      <c r="I4577" t="s">
        <v>29</v>
      </c>
      <c r="J4577" t="s">
        <v>30</v>
      </c>
      <c r="K4577" t="s">
        <v>14046</v>
      </c>
      <c r="M4577" t="s">
        <v>32</v>
      </c>
      <c r="N4577" t="str">
        <f>"1/23/2006 12:00:00 AM"</f>
        <v>1/23/2006 12:00:00 AM</v>
      </c>
      <c r="O4577" t="s">
        <v>14043</v>
      </c>
      <c r="T4577" t="s">
        <v>14044</v>
      </c>
    </row>
    <row r="4578" spans="1:20" x14ac:dyDescent="0.25">
      <c r="A4578" t="str">
        <f>"3062614"</f>
        <v>3062614</v>
      </c>
      <c r="B4578" t="s">
        <v>14047</v>
      </c>
      <c r="C4578" t="str">
        <f>"35906250"</f>
        <v>35906250</v>
      </c>
      <c r="D4578" t="s">
        <v>14048</v>
      </c>
      <c r="E4578" t="s">
        <v>14049</v>
      </c>
      <c r="F4578" t="s">
        <v>14050</v>
      </c>
      <c r="I4578" t="s">
        <v>29</v>
      </c>
      <c r="J4578" t="s">
        <v>30</v>
      </c>
      <c r="K4578" t="s">
        <v>31</v>
      </c>
      <c r="M4578" t="s">
        <v>32</v>
      </c>
      <c r="N4578" t="str">
        <f>"9/30/2002 12:00:00 AM"</f>
        <v>9/30/2002 12:00:00 AM</v>
      </c>
      <c r="O4578" t="s">
        <v>14048</v>
      </c>
      <c r="T4578" t="s">
        <v>14049</v>
      </c>
    </row>
    <row r="4579" spans="1:20" x14ac:dyDescent="0.25">
      <c r="A4579" t="str">
        <f>"3062373"</f>
        <v>3062373</v>
      </c>
      <c r="B4579" t="s">
        <v>14051</v>
      </c>
      <c r="C4579" t="str">
        <f>"82528374"</f>
        <v>82528374</v>
      </c>
      <c r="D4579" t="s">
        <v>14052</v>
      </c>
      <c r="E4579" t="s">
        <v>14053</v>
      </c>
      <c r="F4579" t="s">
        <v>14054</v>
      </c>
      <c r="I4579" t="s">
        <v>29</v>
      </c>
      <c r="J4579" t="s">
        <v>30</v>
      </c>
      <c r="K4579" t="s">
        <v>31</v>
      </c>
      <c r="M4579" t="s">
        <v>32</v>
      </c>
      <c r="N4579" t="str">
        <f>"8/26/2011 12:00:00 AM"</f>
        <v>8/26/2011 12:00:00 AM</v>
      </c>
      <c r="O4579" t="s">
        <v>14052</v>
      </c>
      <c r="T4579" t="s">
        <v>14053</v>
      </c>
    </row>
    <row r="4580" spans="1:20" x14ac:dyDescent="0.25">
      <c r="A4580" t="str">
        <f>"3050436"</f>
        <v>3050436</v>
      </c>
      <c r="B4580" t="s">
        <v>14055</v>
      </c>
      <c r="C4580" t="str">
        <f>"82523409"</f>
        <v>82523409</v>
      </c>
      <c r="D4580" t="s">
        <v>14056</v>
      </c>
      <c r="E4580" t="s">
        <v>14057</v>
      </c>
      <c r="F4580" t="s">
        <v>14058</v>
      </c>
      <c r="I4580" t="s">
        <v>29</v>
      </c>
      <c r="J4580" t="s">
        <v>30</v>
      </c>
      <c r="K4580" t="s">
        <v>14059</v>
      </c>
      <c r="M4580" t="s">
        <v>32</v>
      </c>
      <c r="N4580" t="str">
        <f>"10/28/2008 12:00:00 AM"</f>
        <v>10/28/2008 12:00:00 AM</v>
      </c>
      <c r="O4580" t="s">
        <v>14056</v>
      </c>
      <c r="T4580" t="s">
        <v>14057</v>
      </c>
    </row>
    <row r="4581" spans="1:20" x14ac:dyDescent="0.25">
      <c r="A4581" t="str">
        <f>"3062352"</f>
        <v>3062352</v>
      </c>
      <c r="B4581" t="s">
        <v>14060</v>
      </c>
      <c r="C4581" t="str">
        <f>"82523852"</f>
        <v>82523852</v>
      </c>
      <c r="D4581" t="s">
        <v>14061</v>
      </c>
      <c r="E4581" t="s">
        <v>14062</v>
      </c>
      <c r="F4581" t="s">
        <v>14063</v>
      </c>
      <c r="I4581" t="s">
        <v>29</v>
      </c>
      <c r="J4581" t="s">
        <v>30</v>
      </c>
      <c r="K4581" t="s">
        <v>31</v>
      </c>
      <c r="M4581" t="s">
        <v>32</v>
      </c>
      <c r="N4581" t="str">
        <f>"2/2/2005 12:00:00 AM"</f>
        <v>2/2/2005 12:00:00 AM</v>
      </c>
      <c r="O4581" t="s">
        <v>14061</v>
      </c>
      <c r="T4581" t="s">
        <v>14062</v>
      </c>
    </row>
    <row r="4582" spans="1:20" x14ac:dyDescent="0.25">
      <c r="A4582" t="str">
        <f>"3062348"</f>
        <v>3062348</v>
      </c>
      <c r="B4582" t="s">
        <v>14064</v>
      </c>
      <c r="C4582" t="str">
        <f>"82530133"</f>
        <v>82530133</v>
      </c>
      <c r="D4582" t="s">
        <v>14065</v>
      </c>
      <c r="E4582" t="s">
        <v>14066</v>
      </c>
      <c r="F4582" t="s">
        <v>14067</v>
      </c>
      <c r="I4582" t="s">
        <v>29</v>
      </c>
      <c r="J4582" t="s">
        <v>30</v>
      </c>
      <c r="K4582" t="s">
        <v>31</v>
      </c>
      <c r="M4582" t="s">
        <v>32</v>
      </c>
      <c r="N4582" t="str">
        <f>"1/13/2009 12:00:00 AM"</f>
        <v>1/13/2009 12:00:00 AM</v>
      </c>
      <c r="O4582" t="s">
        <v>14065</v>
      </c>
      <c r="T4582" t="s">
        <v>14066</v>
      </c>
    </row>
    <row r="4583" spans="1:20" x14ac:dyDescent="0.25">
      <c r="A4583" t="str">
        <f>"3062351"</f>
        <v>3062351</v>
      </c>
      <c r="B4583" t="s">
        <v>14068</v>
      </c>
      <c r="C4583" t="str">
        <f>"82522785"</f>
        <v>82522785</v>
      </c>
      <c r="D4583" t="s">
        <v>14069</v>
      </c>
      <c r="F4583" t="s">
        <v>14070</v>
      </c>
      <c r="I4583" t="s">
        <v>29</v>
      </c>
      <c r="J4583" t="s">
        <v>30</v>
      </c>
      <c r="K4583" t="s">
        <v>31</v>
      </c>
      <c r="M4583" t="s">
        <v>32</v>
      </c>
      <c r="N4583" t="str">
        <f>"2/10/2010 12:00:00 AM"</f>
        <v>2/10/2010 12:00:00 AM</v>
      </c>
      <c r="O4583" t="s">
        <v>14069</v>
      </c>
      <c r="T4583" t="s">
        <v>14069</v>
      </c>
    </row>
    <row r="4584" spans="1:20" x14ac:dyDescent="0.25">
      <c r="A4584" t="str">
        <f>"3062378"</f>
        <v>3062378</v>
      </c>
      <c r="B4584" t="s">
        <v>14071</v>
      </c>
      <c r="C4584" t="str">
        <f>"82526956"</f>
        <v>82526956</v>
      </c>
      <c r="D4584" t="s">
        <v>14072</v>
      </c>
      <c r="F4584" t="s">
        <v>14073</v>
      </c>
      <c r="I4584" t="s">
        <v>29</v>
      </c>
      <c r="J4584" t="s">
        <v>30</v>
      </c>
      <c r="K4584" t="s">
        <v>31</v>
      </c>
      <c r="M4584" t="s">
        <v>32</v>
      </c>
      <c r="N4584" t="str">
        <f>"1/17/2007 12:00:00 AM"</f>
        <v>1/17/2007 12:00:00 AM</v>
      </c>
      <c r="O4584" t="s">
        <v>14072</v>
      </c>
    </row>
    <row r="4585" spans="1:20" x14ac:dyDescent="0.25">
      <c r="A4585" t="str">
        <f>"3062379"</f>
        <v>3062379</v>
      </c>
      <c r="B4585" t="s">
        <v>14074</v>
      </c>
      <c r="C4585" t="str">
        <f>"82526632"</f>
        <v>82526632</v>
      </c>
      <c r="D4585" t="s">
        <v>14075</v>
      </c>
      <c r="E4585" t="s">
        <v>14076</v>
      </c>
      <c r="F4585" t="s">
        <v>14077</v>
      </c>
      <c r="I4585" t="s">
        <v>29</v>
      </c>
      <c r="J4585" t="s">
        <v>30</v>
      </c>
      <c r="K4585" t="s">
        <v>31</v>
      </c>
      <c r="M4585" t="s">
        <v>32</v>
      </c>
      <c r="N4585" t="str">
        <f>"8/22/2006 12:00:00 AM"</f>
        <v>8/22/2006 12:00:00 AM</v>
      </c>
      <c r="O4585" t="s">
        <v>14075</v>
      </c>
      <c r="T4585" t="s">
        <v>14076</v>
      </c>
    </row>
    <row r="4586" spans="1:20" x14ac:dyDescent="0.25">
      <c r="A4586" t="str">
        <f>"3062354"</f>
        <v>3062354</v>
      </c>
      <c r="B4586" t="s">
        <v>14078</v>
      </c>
      <c r="C4586" t="str">
        <f>"82517187"</f>
        <v>82517187</v>
      </c>
      <c r="D4586" t="s">
        <v>14079</v>
      </c>
      <c r="E4586" t="s">
        <v>14080</v>
      </c>
      <c r="F4586" t="s">
        <v>14081</v>
      </c>
      <c r="I4586" t="s">
        <v>29</v>
      </c>
      <c r="J4586" t="s">
        <v>30</v>
      </c>
      <c r="K4586" t="s">
        <v>31</v>
      </c>
      <c r="M4586" t="s">
        <v>32</v>
      </c>
      <c r="N4586" t="str">
        <f>"11/13/2008 12:00:00 AM"</f>
        <v>11/13/2008 12:00:00 AM</v>
      </c>
      <c r="O4586" t="s">
        <v>14079</v>
      </c>
      <c r="T4586" t="s">
        <v>14080</v>
      </c>
    </row>
    <row r="4587" spans="1:20" x14ac:dyDescent="0.25">
      <c r="A4587" t="str">
        <f>"3062382"</f>
        <v>3062382</v>
      </c>
      <c r="B4587" t="s">
        <v>14082</v>
      </c>
      <c r="C4587" t="str">
        <f>"82515544"</f>
        <v>82515544</v>
      </c>
      <c r="D4587" t="s">
        <v>14083</v>
      </c>
      <c r="E4587" t="s">
        <v>14084</v>
      </c>
      <c r="F4587" t="s">
        <v>14085</v>
      </c>
      <c r="I4587" t="s">
        <v>29</v>
      </c>
      <c r="J4587" t="s">
        <v>30</v>
      </c>
      <c r="K4587" t="s">
        <v>14086</v>
      </c>
      <c r="M4587" t="s">
        <v>32</v>
      </c>
      <c r="N4587" t="str">
        <f>"10/21/2010 12:00:00 AM"</f>
        <v>10/21/2010 12:00:00 AM</v>
      </c>
      <c r="O4587" t="s">
        <v>14083</v>
      </c>
      <c r="T4587" t="s">
        <v>14084</v>
      </c>
    </row>
    <row r="4588" spans="1:20" x14ac:dyDescent="0.25">
      <c r="A4588" t="str">
        <f>"3050350"</f>
        <v>3050350</v>
      </c>
      <c r="B4588" t="s">
        <v>14087</v>
      </c>
      <c r="C4588" t="str">
        <f>"54169500"</f>
        <v>54169500</v>
      </c>
      <c r="D4588" t="s">
        <v>13905</v>
      </c>
      <c r="F4588" t="s">
        <v>13906</v>
      </c>
      <c r="I4588" t="s">
        <v>29</v>
      </c>
      <c r="J4588" t="s">
        <v>30</v>
      </c>
      <c r="K4588" t="s">
        <v>31</v>
      </c>
      <c r="M4588" t="s">
        <v>32</v>
      </c>
      <c r="N4588" t="str">
        <f>"11/30/2009 12:00:00 AM"</f>
        <v>11/30/2009 12:00:00 AM</v>
      </c>
      <c r="O4588" t="s">
        <v>13905</v>
      </c>
    </row>
    <row r="4589" spans="1:20" x14ac:dyDescent="0.25">
      <c r="A4589" t="str">
        <f>"3053501"</f>
        <v>3053501</v>
      </c>
      <c r="B4589" t="s">
        <v>14088</v>
      </c>
      <c r="C4589" t="str">
        <f>"82519994"</f>
        <v>82519994</v>
      </c>
      <c r="D4589" t="s">
        <v>13928</v>
      </c>
      <c r="F4589" t="s">
        <v>13929</v>
      </c>
      <c r="I4589" t="s">
        <v>29</v>
      </c>
      <c r="J4589" t="s">
        <v>30</v>
      </c>
      <c r="K4589" t="s">
        <v>13930</v>
      </c>
      <c r="M4589" t="s">
        <v>32</v>
      </c>
      <c r="N4589" t="str">
        <f>"9/5/2007 12:00:00 AM"</f>
        <v>9/5/2007 12:00:00 AM</v>
      </c>
      <c r="O4589" t="s">
        <v>13928</v>
      </c>
    </row>
    <row r="4590" spans="1:20" x14ac:dyDescent="0.25">
      <c r="A4590" t="str">
        <f>"3050412"</f>
        <v>3050412</v>
      </c>
      <c r="B4590" t="s">
        <v>14089</v>
      </c>
      <c r="C4590" t="str">
        <f>"48760000"</f>
        <v>48760000</v>
      </c>
      <c r="D4590" t="s">
        <v>14090</v>
      </c>
      <c r="E4590" t="s">
        <v>14091</v>
      </c>
      <c r="F4590" t="s">
        <v>14092</v>
      </c>
      <c r="I4590" t="s">
        <v>29</v>
      </c>
      <c r="J4590" t="s">
        <v>30</v>
      </c>
      <c r="K4590" t="s">
        <v>14093</v>
      </c>
      <c r="M4590" t="s">
        <v>32</v>
      </c>
      <c r="N4590" t="str">
        <f>"2/13/2007 12:00:00 AM"</f>
        <v>2/13/2007 12:00:00 AM</v>
      </c>
      <c r="O4590" t="s">
        <v>14090</v>
      </c>
      <c r="T4590" t="s">
        <v>14091</v>
      </c>
    </row>
    <row r="4591" spans="1:20" x14ac:dyDescent="0.25">
      <c r="A4591" t="str">
        <f>"3050454"</f>
        <v>3050454</v>
      </c>
      <c r="B4591" t="s">
        <v>14094</v>
      </c>
      <c r="C4591" t="str">
        <f>"8658000"</f>
        <v>8658000</v>
      </c>
      <c r="D4591" t="s">
        <v>14095</v>
      </c>
      <c r="E4591" t="s">
        <v>14096</v>
      </c>
      <c r="F4591" t="s">
        <v>14097</v>
      </c>
      <c r="I4591" t="s">
        <v>29</v>
      </c>
      <c r="J4591" t="s">
        <v>30</v>
      </c>
      <c r="K4591" t="s">
        <v>14059</v>
      </c>
      <c r="M4591" t="s">
        <v>32</v>
      </c>
      <c r="N4591" t="str">
        <f>"1/18/2005 12:00:00 AM"</f>
        <v>1/18/2005 12:00:00 AM</v>
      </c>
      <c r="O4591" t="s">
        <v>14095</v>
      </c>
      <c r="T4591" t="s">
        <v>14096</v>
      </c>
    </row>
    <row r="4592" spans="1:20" x14ac:dyDescent="0.25">
      <c r="A4592" t="str">
        <f>"3050502"</f>
        <v>3050502</v>
      </c>
      <c r="B4592" t="s">
        <v>14098</v>
      </c>
      <c r="C4592" t="str">
        <f>"82514386"</f>
        <v>82514386</v>
      </c>
      <c r="D4592" t="s">
        <v>14099</v>
      </c>
      <c r="E4592" t="s">
        <v>14100</v>
      </c>
      <c r="F4592" t="s">
        <v>14101</v>
      </c>
      <c r="I4592" t="s">
        <v>29</v>
      </c>
      <c r="J4592" t="s">
        <v>30</v>
      </c>
      <c r="K4592" t="s">
        <v>13951</v>
      </c>
      <c r="M4592" t="s">
        <v>32</v>
      </c>
      <c r="N4592" t="str">
        <f>"2/24/2005 12:00:00 AM"</f>
        <v>2/24/2005 12:00:00 AM</v>
      </c>
      <c r="O4592" t="s">
        <v>14099</v>
      </c>
      <c r="T4592" t="s">
        <v>14100</v>
      </c>
    </row>
    <row r="4593" spans="1:20" x14ac:dyDescent="0.25">
      <c r="A4593" t="str">
        <f>"3049607"</f>
        <v>3049607</v>
      </c>
      <c r="B4593" t="s">
        <v>14102</v>
      </c>
      <c r="C4593" t="str">
        <f>"82525209"</f>
        <v>82525209</v>
      </c>
      <c r="D4593" t="s">
        <v>14103</v>
      </c>
      <c r="E4593" t="s">
        <v>14104</v>
      </c>
      <c r="F4593" t="s">
        <v>14105</v>
      </c>
      <c r="I4593" t="s">
        <v>14106</v>
      </c>
      <c r="J4593" t="s">
        <v>2109</v>
      </c>
      <c r="K4593" t="s">
        <v>14107</v>
      </c>
      <c r="M4593" t="s">
        <v>32</v>
      </c>
      <c r="N4593" t="str">
        <f>"8/20/2007 12:00:00 AM"</f>
        <v>8/20/2007 12:00:00 AM</v>
      </c>
      <c r="O4593" t="s">
        <v>14103</v>
      </c>
      <c r="T4593" t="s">
        <v>14104</v>
      </c>
    </row>
    <row r="4594" spans="1:20" x14ac:dyDescent="0.25">
      <c r="A4594" t="str">
        <f>"3050448"</f>
        <v>3050448</v>
      </c>
      <c r="B4594" t="s">
        <v>14108</v>
      </c>
      <c r="C4594" t="str">
        <f>"82515212"</f>
        <v>82515212</v>
      </c>
      <c r="D4594" t="s">
        <v>14109</v>
      </c>
      <c r="E4594" t="s">
        <v>14110</v>
      </c>
      <c r="F4594" t="s">
        <v>14111</v>
      </c>
      <c r="I4594" t="s">
        <v>29</v>
      </c>
      <c r="J4594" t="s">
        <v>30</v>
      </c>
      <c r="K4594" t="s">
        <v>14112</v>
      </c>
      <c r="M4594" t="s">
        <v>32</v>
      </c>
      <c r="N4594" t="str">
        <f>"1/27/2005 12:00:00 AM"</f>
        <v>1/27/2005 12:00:00 AM</v>
      </c>
      <c r="O4594" t="s">
        <v>14109</v>
      </c>
      <c r="T4594" t="s">
        <v>14110</v>
      </c>
    </row>
    <row r="4595" spans="1:20" x14ac:dyDescent="0.25">
      <c r="A4595" t="str">
        <f>"3101084"</f>
        <v>3101084</v>
      </c>
      <c r="B4595" t="s">
        <v>14113</v>
      </c>
      <c r="C4595" t="str">
        <f>"76909000"</f>
        <v>76909000</v>
      </c>
      <c r="D4595" t="s">
        <v>14114</v>
      </c>
      <c r="E4595" t="s">
        <v>14115</v>
      </c>
      <c r="F4595" t="s">
        <v>14116</v>
      </c>
      <c r="I4595" t="s">
        <v>29</v>
      </c>
      <c r="J4595" t="s">
        <v>30</v>
      </c>
      <c r="K4595" t="s">
        <v>31</v>
      </c>
      <c r="M4595" t="s">
        <v>32</v>
      </c>
      <c r="N4595" t="str">
        <f>"6/24/2004 12:00:00 AM"</f>
        <v>6/24/2004 12:00:00 AM</v>
      </c>
      <c r="O4595" t="s">
        <v>14114</v>
      </c>
      <c r="T4595" t="s">
        <v>14115</v>
      </c>
    </row>
    <row r="4596" spans="1:20" x14ac:dyDescent="0.25">
      <c r="A4596" t="str">
        <f>"3050363"</f>
        <v>3050363</v>
      </c>
      <c r="B4596" t="s">
        <v>14117</v>
      </c>
      <c r="C4596" t="str">
        <f>"25838000"</f>
        <v>25838000</v>
      </c>
      <c r="D4596" t="s">
        <v>14118</v>
      </c>
      <c r="F4596" t="s">
        <v>14119</v>
      </c>
      <c r="I4596" t="s">
        <v>184</v>
      </c>
      <c r="J4596" t="s">
        <v>30</v>
      </c>
      <c r="K4596" t="s">
        <v>185</v>
      </c>
      <c r="M4596" t="s">
        <v>32</v>
      </c>
      <c r="N4596" t="str">
        <f>"3/22/2007 12:00:00 AM"</f>
        <v>3/22/2007 12:00:00 AM</v>
      </c>
      <c r="O4596" t="s">
        <v>14118</v>
      </c>
    </row>
    <row r="4597" spans="1:20" x14ac:dyDescent="0.25">
      <c r="A4597" t="str">
        <f>"3051018"</f>
        <v>3051018</v>
      </c>
      <c r="B4597" t="s">
        <v>14120</v>
      </c>
      <c r="C4597" t="str">
        <f>"25838000"</f>
        <v>25838000</v>
      </c>
      <c r="D4597" t="s">
        <v>14118</v>
      </c>
      <c r="F4597" t="s">
        <v>14119</v>
      </c>
      <c r="I4597" t="s">
        <v>184</v>
      </c>
      <c r="J4597" t="s">
        <v>30</v>
      </c>
      <c r="K4597" t="s">
        <v>185</v>
      </c>
      <c r="M4597" t="s">
        <v>32</v>
      </c>
      <c r="N4597" t="str">
        <f>"3/22/2007 12:00:00 AM"</f>
        <v>3/22/2007 12:00:00 AM</v>
      </c>
      <c r="O4597" t="s">
        <v>14118</v>
      </c>
    </row>
    <row r="4598" spans="1:20" x14ac:dyDescent="0.25">
      <c r="A4598" t="str">
        <f>"3051017"</f>
        <v>3051017</v>
      </c>
      <c r="B4598" t="s">
        <v>14121</v>
      </c>
      <c r="C4598" t="str">
        <f>"25838000"</f>
        <v>25838000</v>
      </c>
      <c r="D4598" t="s">
        <v>14118</v>
      </c>
      <c r="F4598" t="s">
        <v>14119</v>
      </c>
      <c r="I4598" t="s">
        <v>184</v>
      </c>
      <c r="J4598" t="s">
        <v>30</v>
      </c>
      <c r="K4598" t="s">
        <v>185</v>
      </c>
      <c r="M4598" t="s">
        <v>32</v>
      </c>
      <c r="N4598" t="str">
        <f>"3/22/2007 12:00:00 AM"</f>
        <v>3/22/2007 12:00:00 AM</v>
      </c>
      <c r="O4598" t="s">
        <v>14118</v>
      </c>
    </row>
    <row r="4599" spans="1:20" x14ac:dyDescent="0.25">
      <c r="A4599" t="str">
        <f>"3050452"</f>
        <v>3050452</v>
      </c>
      <c r="B4599" t="s">
        <v>14122</v>
      </c>
      <c r="C4599" t="str">
        <f>"82518683"</f>
        <v>82518683</v>
      </c>
      <c r="D4599" t="s">
        <v>14123</v>
      </c>
      <c r="F4599" t="s">
        <v>14124</v>
      </c>
      <c r="I4599" t="s">
        <v>184</v>
      </c>
      <c r="J4599" t="s">
        <v>30</v>
      </c>
      <c r="K4599" t="s">
        <v>185</v>
      </c>
      <c r="M4599" t="s">
        <v>32</v>
      </c>
      <c r="N4599" t="str">
        <f>"1/21/2003 12:00:00 AM"</f>
        <v>1/21/2003 12:00:00 AM</v>
      </c>
      <c r="O4599" t="s">
        <v>14123</v>
      </c>
    </row>
    <row r="4600" spans="1:20" x14ac:dyDescent="0.25">
      <c r="A4600" t="str">
        <f>"3050604"</f>
        <v>3050604</v>
      </c>
      <c r="B4600" t="s">
        <v>14125</v>
      </c>
      <c r="C4600" t="str">
        <f>"82529207"</f>
        <v>82529207</v>
      </c>
      <c r="D4600" t="s">
        <v>14126</v>
      </c>
      <c r="F4600" t="s">
        <v>14127</v>
      </c>
      <c r="I4600" t="s">
        <v>184</v>
      </c>
      <c r="J4600" t="s">
        <v>30</v>
      </c>
      <c r="K4600" t="s">
        <v>185</v>
      </c>
      <c r="M4600" t="s">
        <v>32</v>
      </c>
      <c r="N4600" t="str">
        <f>"2/20/2008 12:00:00 AM"</f>
        <v>2/20/2008 12:00:00 AM</v>
      </c>
      <c r="O4600" t="s">
        <v>14126</v>
      </c>
    </row>
    <row r="4601" spans="1:20" x14ac:dyDescent="0.25">
      <c r="A4601" t="str">
        <f>"3050771"</f>
        <v>3050771</v>
      </c>
      <c r="B4601" t="s">
        <v>14128</v>
      </c>
      <c r="C4601" t="str">
        <f>"82529207"</f>
        <v>82529207</v>
      </c>
      <c r="D4601" t="s">
        <v>14126</v>
      </c>
      <c r="F4601" t="s">
        <v>14127</v>
      </c>
      <c r="I4601" t="s">
        <v>184</v>
      </c>
      <c r="J4601" t="s">
        <v>30</v>
      </c>
      <c r="K4601" t="s">
        <v>185</v>
      </c>
      <c r="M4601" t="s">
        <v>32</v>
      </c>
      <c r="N4601" t="str">
        <f>"2/20/2008 12:00:00 AM"</f>
        <v>2/20/2008 12:00:00 AM</v>
      </c>
      <c r="O4601" t="s">
        <v>14126</v>
      </c>
    </row>
    <row r="4602" spans="1:20" x14ac:dyDescent="0.25">
      <c r="A4602" t="str">
        <f>"3049608"</f>
        <v>3049608</v>
      </c>
      <c r="B4602" t="s">
        <v>14129</v>
      </c>
      <c r="C4602" t="str">
        <f>"82525209"</f>
        <v>82525209</v>
      </c>
      <c r="D4602" t="s">
        <v>14103</v>
      </c>
      <c r="E4602" t="s">
        <v>14104</v>
      </c>
      <c r="F4602" t="s">
        <v>14105</v>
      </c>
      <c r="I4602" t="s">
        <v>14106</v>
      </c>
      <c r="J4602" t="s">
        <v>2109</v>
      </c>
      <c r="K4602" t="s">
        <v>14107</v>
      </c>
      <c r="M4602" t="s">
        <v>32</v>
      </c>
      <c r="N4602" t="str">
        <f>"8/20/2007 12:00:00 AM"</f>
        <v>8/20/2007 12:00:00 AM</v>
      </c>
      <c r="O4602" t="s">
        <v>14103</v>
      </c>
      <c r="T4602" t="s">
        <v>14104</v>
      </c>
    </row>
    <row r="4603" spans="1:20" x14ac:dyDescent="0.25">
      <c r="A4603" t="str">
        <f>"3100834"</f>
        <v>3100834</v>
      </c>
      <c r="B4603" t="s">
        <v>14130</v>
      </c>
      <c r="C4603" t="str">
        <f>"51780000"</f>
        <v>51780000</v>
      </c>
      <c r="D4603" t="s">
        <v>14131</v>
      </c>
      <c r="E4603" t="s">
        <v>14132</v>
      </c>
      <c r="F4603" t="s">
        <v>14133</v>
      </c>
      <c r="I4603" t="s">
        <v>29</v>
      </c>
      <c r="J4603" t="s">
        <v>30</v>
      </c>
      <c r="K4603" t="s">
        <v>12411</v>
      </c>
      <c r="M4603" t="s">
        <v>32</v>
      </c>
      <c r="N4603" t="str">
        <f>"1/25/2010 12:00:00 AM"</f>
        <v>1/25/2010 12:00:00 AM</v>
      </c>
      <c r="O4603" t="s">
        <v>14131</v>
      </c>
      <c r="T4603" t="s">
        <v>14132</v>
      </c>
    </row>
    <row r="4604" spans="1:20" x14ac:dyDescent="0.25">
      <c r="A4604" t="str">
        <f>"3053488"</f>
        <v>3053488</v>
      </c>
      <c r="B4604" t="s">
        <v>14134</v>
      </c>
      <c r="C4604" t="str">
        <f>"1082000"</f>
        <v>1082000</v>
      </c>
      <c r="D4604" t="s">
        <v>862</v>
      </c>
      <c r="E4604" t="s">
        <v>14135</v>
      </c>
      <c r="F4604" t="s">
        <v>14136</v>
      </c>
      <c r="I4604" t="s">
        <v>29</v>
      </c>
      <c r="J4604" t="s">
        <v>30</v>
      </c>
      <c r="K4604" t="s">
        <v>31</v>
      </c>
      <c r="M4604" t="s">
        <v>32</v>
      </c>
      <c r="N4604" t="str">
        <f>"5/9/2003 12:00:00 AM"</f>
        <v>5/9/2003 12:00:00 AM</v>
      </c>
      <c r="O4604" t="s">
        <v>862</v>
      </c>
      <c r="T4604" t="s">
        <v>14135</v>
      </c>
    </row>
    <row r="4605" spans="1:20" x14ac:dyDescent="0.25">
      <c r="A4605" t="str">
        <f>"3078475"</f>
        <v>3078475</v>
      </c>
      <c r="B4605" t="s">
        <v>14137</v>
      </c>
      <c r="C4605" t="str">
        <f>"82525201"</f>
        <v>82525201</v>
      </c>
      <c r="D4605" t="s">
        <v>14138</v>
      </c>
      <c r="F4605" t="s">
        <v>14139</v>
      </c>
      <c r="I4605" t="s">
        <v>184</v>
      </c>
      <c r="J4605" t="s">
        <v>30</v>
      </c>
      <c r="K4605" t="s">
        <v>14028</v>
      </c>
      <c r="M4605" t="s">
        <v>32</v>
      </c>
      <c r="N4605" t="str">
        <f>"1/12/2006 12:00:00 AM"</f>
        <v>1/12/2006 12:00:00 AM</v>
      </c>
      <c r="O4605" t="s">
        <v>14138</v>
      </c>
    </row>
    <row r="4606" spans="1:20" x14ac:dyDescent="0.25">
      <c r="A4606" t="str">
        <f>"3050415"</f>
        <v>3050415</v>
      </c>
      <c r="B4606" t="s">
        <v>14140</v>
      </c>
      <c r="C4606" t="str">
        <f>"82525201"</f>
        <v>82525201</v>
      </c>
      <c r="D4606" t="s">
        <v>14138</v>
      </c>
      <c r="F4606" t="s">
        <v>14139</v>
      </c>
      <c r="I4606" t="s">
        <v>184</v>
      </c>
      <c r="J4606" t="s">
        <v>30</v>
      </c>
      <c r="K4606" t="s">
        <v>14028</v>
      </c>
      <c r="M4606" t="s">
        <v>32</v>
      </c>
      <c r="N4606" t="str">
        <f>"1/12/2006 12:00:00 AM"</f>
        <v>1/12/2006 12:00:00 AM</v>
      </c>
      <c r="O4606" t="s">
        <v>14138</v>
      </c>
    </row>
    <row r="4607" spans="1:20" x14ac:dyDescent="0.25">
      <c r="A4607" t="str">
        <f>"3078476"</f>
        <v>3078476</v>
      </c>
      <c r="B4607" t="s">
        <v>14141</v>
      </c>
      <c r="C4607" t="str">
        <f>"7309500"</f>
        <v>7309500</v>
      </c>
      <c r="D4607" t="s">
        <v>14142</v>
      </c>
      <c r="E4607" t="s">
        <v>14143</v>
      </c>
      <c r="F4607" t="s">
        <v>14144</v>
      </c>
      <c r="I4607" t="s">
        <v>14145</v>
      </c>
      <c r="J4607" t="s">
        <v>30</v>
      </c>
      <c r="K4607" t="s">
        <v>14146</v>
      </c>
      <c r="M4607" t="s">
        <v>32</v>
      </c>
      <c r="N4607" t="str">
        <f>"5/27/2003 12:00:00 AM"</f>
        <v>5/27/2003 12:00:00 AM</v>
      </c>
      <c r="O4607" t="s">
        <v>14142</v>
      </c>
      <c r="T4607" t="s">
        <v>14143</v>
      </c>
    </row>
    <row r="4608" spans="1:20" x14ac:dyDescent="0.25">
      <c r="A4608" t="str">
        <f>"3076071"</f>
        <v>3076071</v>
      </c>
      <c r="B4608" t="s">
        <v>14147</v>
      </c>
      <c r="C4608" t="str">
        <f>"77741000"</f>
        <v>77741000</v>
      </c>
      <c r="D4608" t="s">
        <v>14148</v>
      </c>
      <c r="E4608" t="s">
        <v>14149</v>
      </c>
      <c r="F4608" t="s">
        <v>14150</v>
      </c>
      <c r="I4608" t="s">
        <v>2589</v>
      </c>
      <c r="J4608" t="s">
        <v>30</v>
      </c>
      <c r="K4608" t="s">
        <v>14151</v>
      </c>
      <c r="M4608" t="s">
        <v>32</v>
      </c>
      <c r="N4608" t="str">
        <f>"3/8/2005 12:00:00 AM"</f>
        <v>3/8/2005 12:00:00 AM</v>
      </c>
      <c r="O4608" t="s">
        <v>14148</v>
      </c>
      <c r="T4608" t="s">
        <v>14149</v>
      </c>
    </row>
    <row r="4609" spans="1:20" x14ac:dyDescent="0.25">
      <c r="A4609" t="str">
        <f>"3053582"</f>
        <v>3053582</v>
      </c>
      <c r="B4609" t="s">
        <v>14152</v>
      </c>
      <c r="C4609" t="str">
        <f>"10916000"</f>
        <v>10916000</v>
      </c>
      <c r="D4609" t="s">
        <v>14153</v>
      </c>
      <c r="E4609" t="s">
        <v>14154</v>
      </c>
      <c r="F4609" t="s">
        <v>14155</v>
      </c>
      <c r="I4609" t="s">
        <v>29</v>
      </c>
      <c r="J4609" t="s">
        <v>30</v>
      </c>
      <c r="K4609" t="s">
        <v>31</v>
      </c>
      <c r="M4609" t="s">
        <v>32</v>
      </c>
      <c r="N4609" t="str">
        <f>"1/31/2007 12:00:00 AM"</f>
        <v>1/31/2007 12:00:00 AM</v>
      </c>
      <c r="O4609" t="s">
        <v>14153</v>
      </c>
      <c r="T4609" t="s">
        <v>14154</v>
      </c>
    </row>
    <row r="4610" spans="1:20" x14ac:dyDescent="0.25">
      <c r="A4610" t="str">
        <f>"3053631"</f>
        <v>3053631</v>
      </c>
      <c r="B4610" t="s">
        <v>14156</v>
      </c>
      <c r="C4610" t="str">
        <f>"68662000"</f>
        <v>68662000</v>
      </c>
      <c r="D4610" t="s">
        <v>14157</v>
      </c>
      <c r="F4610" t="s">
        <v>14158</v>
      </c>
      <c r="I4610" t="s">
        <v>29</v>
      </c>
      <c r="J4610" t="s">
        <v>30</v>
      </c>
      <c r="K4610" t="s">
        <v>31</v>
      </c>
      <c r="M4610" t="s">
        <v>32</v>
      </c>
      <c r="N4610" t="str">
        <f>"2/24/2005 12:00:00 AM"</f>
        <v>2/24/2005 12:00:00 AM</v>
      </c>
      <c r="O4610" t="s">
        <v>14157</v>
      </c>
    </row>
    <row r="4611" spans="1:20" x14ac:dyDescent="0.25">
      <c r="A4611" t="str">
        <f>"3061581"</f>
        <v>3061581</v>
      </c>
      <c r="B4611" t="s">
        <v>14159</v>
      </c>
      <c r="C4611" t="str">
        <f>"20858800"</f>
        <v>20858800</v>
      </c>
      <c r="D4611" t="s">
        <v>14160</v>
      </c>
      <c r="E4611" t="s">
        <v>14161</v>
      </c>
      <c r="F4611" t="s">
        <v>14162</v>
      </c>
      <c r="I4611" t="s">
        <v>29</v>
      </c>
      <c r="J4611" t="s">
        <v>30</v>
      </c>
      <c r="K4611" t="s">
        <v>31</v>
      </c>
      <c r="M4611" t="s">
        <v>32</v>
      </c>
      <c r="N4611" t="str">
        <f>"9/30/2002 12:00:00 AM"</f>
        <v>9/30/2002 12:00:00 AM</v>
      </c>
      <c r="O4611" t="s">
        <v>14160</v>
      </c>
      <c r="T4611" t="s">
        <v>14161</v>
      </c>
    </row>
    <row r="4612" spans="1:20" x14ac:dyDescent="0.25">
      <c r="A4612" t="str">
        <f>"3061568"</f>
        <v>3061568</v>
      </c>
      <c r="B4612" t="s">
        <v>14163</v>
      </c>
      <c r="C4612" t="str">
        <f>"59134810"</f>
        <v>59134810</v>
      </c>
      <c r="D4612" t="s">
        <v>14164</v>
      </c>
      <c r="E4612" t="s">
        <v>14165</v>
      </c>
      <c r="F4612" t="s">
        <v>14166</v>
      </c>
      <c r="I4612" t="s">
        <v>29</v>
      </c>
      <c r="J4612" t="s">
        <v>30</v>
      </c>
      <c r="K4612" t="s">
        <v>31</v>
      </c>
      <c r="M4612" t="s">
        <v>32</v>
      </c>
      <c r="N4612" t="str">
        <f>"2/14/2007 12:00:00 AM"</f>
        <v>2/14/2007 12:00:00 AM</v>
      </c>
      <c r="O4612" t="s">
        <v>14164</v>
      </c>
      <c r="T4612" t="s">
        <v>14165</v>
      </c>
    </row>
    <row r="4613" spans="1:20" x14ac:dyDescent="0.25">
      <c r="A4613" t="str">
        <f>"3050911"</f>
        <v>3050911</v>
      </c>
      <c r="B4613" t="s">
        <v>14167</v>
      </c>
      <c r="C4613" t="str">
        <f>"35371000"</f>
        <v>35371000</v>
      </c>
      <c r="D4613" t="s">
        <v>14168</v>
      </c>
      <c r="F4613" t="s">
        <v>14169</v>
      </c>
      <c r="I4613" t="s">
        <v>184</v>
      </c>
      <c r="J4613" t="s">
        <v>30</v>
      </c>
      <c r="K4613" t="s">
        <v>14170</v>
      </c>
      <c r="M4613" t="s">
        <v>32</v>
      </c>
      <c r="N4613" t="str">
        <f>"1/11/2006 12:00:00 AM"</f>
        <v>1/11/2006 12:00:00 AM</v>
      </c>
      <c r="O4613" t="s">
        <v>14168</v>
      </c>
    </row>
    <row r="4614" spans="1:20" x14ac:dyDescent="0.25">
      <c r="A4614" t="str">
        <f>"3053227"</f>
        <v>3053227</v>
      </c>
      <c r="B4614" t="s">
        <v>14171</v>
      </c>
      <c r="C4614" t="str">
        <f>"35371000"</f>
        <v>35371000</v>
      </c>
      <c r="D4614" t="s">
        <v>14168</v>
      </c>
      <c r="F4614" t="s">
        <v>14169</v>
      </c>
      <c r="I4614" t="s">
        <v>184</v>
      </c>
      <c r="J4614" t="s">
        <v>30</v>
      </c>
      <c r="K4614" t="s">
        <v>14170</v>
      </c>
      <c r="M4614" t="s">
        <v>32</v>
      </c>
      <c r="N4614" t="str">
        <f>"1/11/2006 12:00:00 AM"</f>
        <v>1/11/2006 12:00:00 AM</v>
      </c>
      <c r="O4614" t="s">
        <v>14168</v>
      </c>
    </row>
    <row r="4615" spans="1:20" x14ac:dyDescent="0.25">
      <c r="A4615" t="str">
        <f>"3053421"</f>
        <v>3053421</v>
      </c>
      <c r="B4615" t="s">
        <v>14172</v>
      </c>
      <c r="C4615" t="str">
        <f>"35371000"</f>
        <v>35371000</v>
      </c>
      <c r="D4615" t="s">
        <v>14168</v>
      </c>
      <c r="F4615" t="s">
        <v>14169</v>
      </c>
      <c r="I4615" t="s">
        <v>184</v>
      </c>
      <c r="J4615" t="s">
        <v>30</v>
      </c>
      <c r="K4615" t="s">
        <v>14170</v>
      </c>
      <c r="M4615" t="s">
        <v>32</v>
      </c>
      <c r="N4615" t="str">
        <f>"1/11/2006 12:00:00 AM"</f>
        <v>1/11/2006 12:00:00 AM</v>
      </c>
      <c r="O4615" t="s">
        <v>14168</v>
      </c>
    </row>
    <row r="4616" spans="1:20" x14ac:dyDescent="0.25">
      <c r="A4616" t="str">
        <f>"3078791"</f>
        <v>3078791</v>
      </c>
      <c r="B4616" t="s">
        <v>14173</v>
      </c>
      <c r="C4616" t="str">
        <f>"35371000"</f>
        <v>35371000</v>
      </c>
      <c r="D4616" t="s">
        <v>14168</v>
      </c>
      <c r="F4616" t="s">
        <v>14169</v>
      </c>
      <c r="I4616" t="s">
        <v>184</v>
      </c>
      <c r="J4616" t="s">
        <v>30</v>
      </c>
      <c r="K4616" t="s">
        <v>14170</v>
      </c>
      <c r="M4616" t="s">
        <v>32</v>
      </c>
      <c r="N4616" t="str">
        <f>"1/11/2006 12:00:00 AM"</f>
        <v>1/11/2006 12:00:00 AM</v>
      </c>
      <c r="O4616" t="s">
        <v>14168</v>
      </c>
    </row>
    <row r="4617" spans="1:20" x14ac:dyDescent="0.25">
      <c r="A4617" t="str">
        <f>"3078797"</f>
        <v>3078797</v>
      </c>
      <c r="B4617" t="s">
        <v>14174</v>
      </c>
      <c r="C4617" t="str">
        <f>"35371000"</f>
        <v>35371000</v>
      </c>
      <c r="D4617" t="s">
        <v>14168</v>
      </c>
      <c r="F4617" t="s">
        <v>14169</v>
      </c>
      <c r="I4617" t="s">
        <v>184</v>
      </c>
      <c r="J4617" t="s">
        <v>30</v>
      </c>
      <c r="K4617" t="s">
        <v>14170</v>
      </c>
      <c r="M4617" t="s">
        <v>32</v>
      </c>
      <c r="N4617" t="str">
        <f>"1/11/2006 12:00:00 AM"</f>
        <v>1/11/2006 12:00:00 AM</v>
      </c>
      <c r="O4617" t="s">
        <v>14168</v>
      </c>
    </row>
    <row r="4618" spans="1:20" x14ac:dyDescent="0.25">
      <c r="A4618" t="str">
        <f>"3066458"</f>
        <v>3066458</v>
      </c>
      <c r="B4618" t="s">
        <v>14175</v>
      </c>
      <c r="C4618" t="str">
        <f>"82517569"</f>
        <v>82517569</v>
      </c>
      <c r="D4618" t="s">
        <v>14176</v>
      </c>
      <c r="F4618" t="s">
        <v>14177</v>
      </c>
      <c r="I4618" t="s">
        <v>184</v>
      </c>
      <c r="J4618" t="s">
        <v>30</v>
      </c>
      <c r="K4618" t="s">
        <v>14178</v>
      </c>
      <c r="M4618" t="s">
        <v>32</v>
      </c>
      <c r="N4618" t="str">
        <f>"1/24/2007 12:00:00 AM"</f>
        <v>1/24/2007 12:00:00 AM</v>
      </c>
      <c r="O4618" t="s">
        <v>14176</v>
      </c>
    </row>
    <row r="4619" spans="1:20" x14ac:dyDescent="0.25">
      <c r="A4619" t="str">
        <f>"3050564"</f>
        <v>3050564</v>
      </c>
      <c r="B4619" t="s">
        <v>14179</v>
      </c>
      <c r="C4619" t="str">
        <f>"82517569"</f>
        <v>82517569</v>
      </c>
      <c r="D4619" t="s">
        <v>14176</v>
      </c>
      <c r="F4619" t="s">
        <v>14177</v>
      </c>
      <c r="I4619" t="s">
        <v>184</v>
      </c>
      <c r="J4619" t="s">
        <v>30</v>
      </c>
      <c r="K4619" t="s">
        <v>14178</v>
      </c>
      <c r="M4619" t="s">
        <v>32</v>
      </c>
      <c r="N4619" t="str">
        <f>"1/24/2007 12:00:00 AM"</f>
        <v>1/24/2007 12:00:00 AM</v>
      </c>
      <c r="O4619" t="s">
        <v>14176</v>
      </c>
    </row>
    <row r="4620" spans="1:20" x14ac:dyDescent="0.25">
      <c r="A4620" t="str">
        <f>"3050838"</f>
        <v>3050838</v>
      </c>
      <c r="B4620" t="s">
        <v>14180</v>
      </c>
      <c r="C4620" t="str">
        <f>"82529958"</f>
        <v>82529958</v>
      </c>
      <c r="D4620" t="s">
        <v>14181</v>
      </c>
      <c r="E4620" t="s">
        <v>14182</v>
      </c>
      <c r="F4620" t="s">
        <v>14183</v>
      </c>
      <c r="I4620" t="s">
        <v>184</v>
      </c>
      <c r="J4620" t="s">
        <v>30</v>
      </c>
      <c r="K4620" t="s">
        <v>185</v>
      </c>
      <c r="M4620" t="s">
        <v>32</v>
      </c>
      <c r="N4620" t="str">
        <f>"1/15/2009 12:00:00 AM"</f>
        <v>1/15/2009 12:00:00 AM</v>
      </c>
      <c r="O4620" t="s">
        <v>14181</v>
      </c>
      <c r="T4620" t="s">
        <v>14182</v>
      </c>
    </row>
    <row r="4621" spans="1:20" x14ac:dyDescent="0.25">
      <c r="A4621" t="str">
        <f>"3050420"</f>
        <v>3050420</v>
      </c>
      <c r="B4621" t="s">
        <v>14184</v>
      </c>
      <c r="C4621" t="str">
        <f>"82523722"</f>
        <v>82523722</v>
      </c>
      <c r="D4621" t="s">
        <v>14185</v>
      </c>
      <c r="F4621" t="s">
        <v>14186</v>
      </c>
      <c r="I4621" t="s">
        <v>29</v>
      </c>
      <c r="J4621" t="s">
        <v>30</v>
      </c>
      <c r="K4621" t="s">
        <v>31</v>
      </c>
      <c r="M4621" t="s">
        <v>32</v>
      </c>
      <c r="N4621" t="str">
        <f>"1/13/2005 12:00:00 AM"</f>
        <v>1/13/2005 12:00:00 AM</v>
      </c>
      <c r="O4621" t="s">
        <v>14185</v>
      </c>
    </row>
    <row r="4622" spans="1:20" x14ac:dyDescent="0.25">
      <c r="A4622" t="str">
        <f>"3066986"</f>
        <v>3066986</v>
      </c>
      <c r="B4622" t="s">
        <v>14187</v>
      </c>
      <c r="C4622" t="str">
        <f>"82516437"</f>
        <v>82516437</v>
      </c>
      <c r="D4622" t="s">
        <v>14188</v>
      </c>
      <c r="E4622" t="s">
        <v>14189</v>
      </c>
      <c r="F4622" t="s">
        <v>14190</v>
      </c>
      <c r="I4622" t="s">
        <v>29</v>
      </c>
      <c r="J4622" t="s">
        <v>30</v>
      </c>
      <c r="K4622" t="s">
        <v>31</v>
      </c>
      <c r="M4622" t="s">
        <v>32</v>
      </c>
      <c r="N4622" t="str">
        <f>"7/9/2001 12:00:00 AM"</f>
        <v>7/9/2001 12:00:00 AM</v>
      </c>
      <c r="O4622" t="s">
        <v>14188</v>
      </c>
      <c r="T4622" t="s">
        <v>14189</v>
      </c>
    </row>
    <row r="4623" spans="1:20" x14ac:dyDescent="0.25">
      <c r="A4623" t="str">
        <f>"3047764"</f>
        <v>3047764</v>
      </c>
      <c r="B4623" t="s">
        <v>14191</v>
      </c>
      <c r="C4623" t="str">
        <f>"82522577"</f>
        <v>82522577</v>
      </c>
      <c r="D4623" t="s">
        <v>14192</v>
      </c>
      <c r="F4623" t="s">
        <v>14193</v>
      </c>
      <c r="I4623" t="s">
        <v>184</v>
      </c>
      <c r="J4623" t="s">
        <v>30</v>
      </c>
      <c r="K4623" t="s">
        <v>14194</v>
      </c>
      <c r="M4623" t="s">
        <v>32</v>
      </c>
      <c r="N4623" t="str">
        <f>"1/25/2006 12:00:00 AM"</f>
        <v>1/25/2006 12:00:00 AM</v>
      </c>
      <c r="O4623" t="s">
        <v>14192</v>
      </c>
      <c r="T4623" t="s">
        <v>14192</v>
      </c>
    </row>
    <row r="4624" spans="1:20" x14ac:dyDescent="0.25">
      <c r="A4624" t="str">
        <f>"3050939"</f>
        <v>3050939</v>
      </c>
      <c r="B4624" t="s">
        <v>14195</v>
      </c>
      <c r="C4624" t="str">
        <f>"62060000"</f>
        <v>62060000</v>
      </c>
      <c r="D4624" t="s">
        <v>14192</v>
      </c>
      <c r="E4624" t="s">
        <v>14196</v>
      </c>
      <c r="F4624" t="s">
        <v>14193</v>
      </c>
      <c r="I4624" t="s">
        <v>184</v>
      </c>
      <c r="J4624" t="s">
        <v>30</v>
      </c>
      <c r="K4624" t="s">
        <v>185</v>
      </c>
      <c r="M4624" t="s">
        <v>32</v>
      </c>
      <c r="N4624" t="str">
        <f>"4/21/2004 12:00:00 AM"</f>
        <v>4/21/2004 12:00:00 AM</v>
      </c>
      <c r="O4624" t="s">
        <v>14192</v>
      </c>
      <c r="T4624" t="s">
        <v>14196</v>
      </c>
    </row>
    <row r="4625" spans="1:20" x14ac:dyDescent="0.25">
      <c r="A4625" t="str">
        <f>"3050669"</f>
        <v>3050669</v>
      </c>
      <c r="B4625" t="s">
        <v>14197</v>
      </c>
      <c r="C4625" t="str">
        <f>"62060000"</f>
        <v>62060000</v>
      </c>
      <c r="D4625" t="s">
        <v>14192</v>
      </c>
      <c r="E4625" t="s">
        <v>14196</v>
      </c>
      <c r="F4625" t="s">
        <v>14193</v>
      </c>
      <c r="I4625" t="s">
        <v>184</v>
      </c>
      <c r="J4625" t="s">
        <v>30</v>
      </c>
      <c r="K4625" t="s">
        <v>185</v>
      </c>
      <c r="M4625" t="s">
        <v>32</v>
      </c>
      <c r="N4625" t="str">
        <f>"4/21/2004 12:00:00 AM"</f>
        <v>4/21/2004 12:00:00 AM</v>
      </c>
      <c r="O4625" t="s">
        <v>14192</v>
      </c>
      <c r="T4625" t="s">
        <v>14196</v>
      </c>
    </row>
    <row r="4626" spans="1:20" x14ac:dyDescent="0.25">
      <c r="A4626" t="str">
        <f>"3050794"</f>
        <v>3050794</v>
      </c>
      <c r="B4626" t="s">
        <v>14198</v>
      </c>
      <c r="C4626" t="str">
        <f>"29848000"</f>
        <v>29848000</v>
      </c>
      <c r="D4626" t="s">
        <v>14199</v>
      </c>
      <c r="E4626" t="s">
        <v>14200</v>
      </c>
      <c r="F4626" t="s">
        <v>14201</v>
      </c>
      <c r="I4626" t="s">
        <v>184</v>
      </c>
      <c r="J4626" t="s">
        <v>30</v>
      </c>
      <c r="K4626" t="s">
        <v>185</v>
      </c>
      <c r="M4626" t="s">
        <v>32</v>
      </c>
      <c r="N4626" t="str">
        <f>"9/30/2002 12:00:00 AM"</f>
        <v>9/30/2002 12:00:00 AM</v>
      </c>
      <c r="O4626" t="s">
        <v>14199</v>
      </c>
      <c r="T4626" t="s">
        <v>14200</v>
      </c>
    </row>
    <row r="4627" spans="1:20" x14ac:dyDescent="0.25">
      <c r="A4627" t="str">
        <f>"3051249"</f>
        <v>3051249</v>
      </c>
      <c r="B4627" t="s">
        <v>14202</v>
      </c>
      <c r="C4627" t="str">
        <f>"82521954"</f>
        <v>82521954</v>
      </c>
      <c r="D4627" t="s">
        <v>14203</v>
      </c>
      <c r="E4627" t="s">
        <v>14204</v>
      </c>
      <c r="F4627" t="s">
        <v>14205</v>
      </c>
      <c r="I4627" t="s">
        <v>14206</v>
      </c>
      <c r="J4627" t="s">
        <v>12725</v>
      </c>
      <c r="K4627" t="s">
        <v>14207</v>
      </c>
      <c r="M4627" t="s">
        <v>32</v>
      </c>
      <c r="N4627" t="str">
        <f>"5/13/2005 12:00:00 AM"</f>
        <v>5/13/2005 12:00:00 AM</v>
      </c>
      <c r="O4627" t="s">
        <v>14203</v>
      </c>
      <c r="T4627" t="s">
        <v>14204</v>
      </c>
    </row>
    <row r="4628" spans="1:20" x14ac:dyDescent="0.25">
      <c r="A4628" t="str">
        <f>"3053073"</f>
        <v>3053073</v>
      </c>
      <c r="B4628" t="s">
        <v>14208</v>
      </c>
      <c r="C4628" t="str">
        <f>"82524714"</f>
        <v>82524714</v>
      </c>
      <c r="D4628" t="s">
        <v>14209</v>
      </c>
      <c r="E4628" t="s">
        <v>14210</v>
      </c>
      <c r="F4628" t="s">
        <v>14211</v>
      </c>
      <c r="I4628" t="s">
        <v>29</v>
      </c>
      <c r="J4628" t="s">
        <v>30</v>
      </c>
      <c r="K4628" t="s">
        <v>31</v>
      </c>
      <c r="M4628" t="s">
        <v>32</v>
      </c>
      <c r="N4628" t="str">
        <f>"6/28/2005 12:00:00 AM"</f>
        <v>6/28/2005 12:00:00 AM</v>
      </c>
      <c r="O4628" t="s">
        <v>14209</v>
      </c>
      <c r="T4628" t="s">
        <v>14210</v>
      </c>
    </row>
    <row r="4629" spans="1:20" x14ac:dyDescent="0.25">
      <c r="A4629" t="str">
        <f>"3062347"</f>
        <v>3062347</v>
      </c>
      <c r="B4629" t="s">
        <v>14212</v>
      </c>
      <c r="C4629" t="str">
        <f>"82522426"</f>
        <v>82522426</v>
      </c>
      <c r="D4629" t="s">
        <v>14213</v>
      </c>
      <c r="E4629" t="s">
        <v>14214</v>
      </c>
      <c r="F4629" t="s">
        <v>14215</v>
      </c>
      <c r="I4629" t="s">
        <v>29</v>
      </c>
      <c r="J4629" t="s">
        <v>30</v>
      </c>
      <c r="K4629" t="s">
        <v>14086</v>
      </c>
      <c r="M4629" t="s">
        <v>32</v>
      </c>
      <c r="N4629" t="str">
        <f>"1/25/2006 12:00:00 AM"</f>
        <v>1/25/2006 12:00:00 AM</v>
      </c>
      <c r="O4629" t="s">
        <v>14213</v>
      </c>
      <c r="T4629" t="s">
        <v>14214</v>
      </c>
    </row>
    <row r="4630" spans="1:20" x14ac:dyDescent="0.25">
      <c r="A4630" t="str">
        <f>"3062399"</f>
        <v>3062399</v>
      </c>
      <c r="B4630" t="s">
        <v>14216</v>
      </c>
      <c r="C4630" t="str">
        <f>"82529151"</f>
        <v>82529151</v>
      </c>
      <c r="D4630" t="s">
        <v>14217</v>
      </c>
      <c r="E4630" t="s">
        <v>14218</v>
      </c>
      <c r="F4630" t="s">
        <v>14219</v>
      </c>
      <c r="I4630" t="s">
        <v>29</v>
      </c>
      <c r="J4630" t="s">
        <v>30</v>
      </c>
      <c r="K4630" t="s">
        <v>31</v>
      </c>
      <c r="M4630" t="s">
        <v>32</v>
      </c>
      <c r="N4630" t="str">
        <f>"2/1/2008 12:00:00 AM"</f>
        <v>2/1/2008 12:00:00 AM</v>
      </c>
      <c r="O4630" t="s">
        <v>14217</v>
      </c>
      <c r="T4630" t="s">
        <v>14218</v>
      </c>
    </row>
    <row r="4631" spans="1:20" x14ac:dyDescent="0.25">
      <c r="A4631" t="str">
        <f>"3062402"</f>
        <v>3062402</v>
      </c>
      <c r="B4631" t="s">
        <v>14220</v>
      </c>
      <c r="C4631" t="str">
        <f>"82519633"</f>
        <v>82519633</v>
      </c>
      <c r="D4631" t="s">
        <v>14221</v>
      </c>
      <c r="E4631" t="s">
        <v>14222</v>
      </c>
      <c r="F4631" t="s">
        <v>14223</v>
      </c>
      <c r="I4631" t="s">
        <v>29</v>
      </c>
      <c r="J4631" t="s">
        <v>30</v>
      </c>
      <c r="K4631" t="s">
        <v>31</v>
      </c>
      <c r="M4631" t="s">
        <v>32</v>
      </c>
      <c r="N4631" t="str">
        <f>"7/6/2005 12:00:00 AM"</f>
        <v>7/6/2005 12:00:00 AM</v>
      </c>
      <c r="O4631" t="s">
        <v>14221</v>
      </c>
      <c r="T4631" t="s">
        <v>14222</v>
      </c>
    </row>
    <row r="4632" spans="1:20" x14ac:dyDescent="0.25">
      <c r="A4632" t="str">
        <f>"3051143"</f>
        <v>3051143</v>
      </c>
      <c r="B4632" t="s">
        <v>14224</v>
      </c>
      <c r="C4632" t="str">
        <f>"33248600"</f>
        <v>33248600</v>
      </c>
      <c r="D4632" t="s">
        <v>14225</v>
      </c>
      <c r="E4632" t="s">
        <v>14226</v>
      </c>
      <c r="F4632" t="s">
        <v>14227</v>
      </c>
      <c r="I4632" t="s">
        <v>14228</v>
      </c>
      <c r="J4632" t="s">
        <v>11994</v>
      </c>
      <c r="K4632" t="s">
        <v>14229</v>
      </c>
      <c r="M4632" t="s">
        <v>32</v>
      </c>
      <c r="N4632" t="str">
        <f>"12/11/2007 12:00:00 AM"</f>
        <v>12/11/2007 12:00:00 AM</v>
      </c>
      <c r="O4632" t="s">
        <v>14225</v>
      </c>
      <c r="T4632" t="s">
        <v>14226</v>
      </c>
    </row>
    <row r="4633" spans="1:20" x14ac:dyDescent="0.25">
      <c r="A4633" t="str">
        <f>"3051060"</f>
        <v>3051060</v>
      </c>
      <c r="B4633" t="s">
        <v>14230</v>
      </c>
      <c r="C4633" t="str">
        <f>"33248600"</f>
        <v>33248600</v>
      </c>
      <c r="D4633" t="s">
        <v>14225</v>
      </c>
      <c r="E4633" t="s">
        <v>14226</v>
      </c>
      <c r="F4633" t="s">
        <v>14227</v>
      </c>
      <c r="I4633" t="s">
        <v>14228</v>
      </c>
      <c r="J4633" t="s">
        <v>11994</v>
      </c>
      <c r="K4633" t="s">
        <v>14229</v>
      </c>
      <c r="M4633" t="s">
        <v>32</v>
      </c>
      <c r="N4633" t="str">
        <f>"12/11/2007 12:00:00 AM"</f>
        <v>12/11/2007 12:00:00 AM</v>
      </c>
      <c r="O4633" t="s">
        <v>14225</v>
      </c>
      <c r="T4633" t="s">
        <v>14226</v>
      </c>
    </row>
    <row r="4634" spans="1:20" x14ac:dyDescent="0.25">
      <c r="A4634" t="str">
        <f>"3051383"</f>
        <v>3051383</v>
      </c>
      <c r="B4634" t="s">
        <v>14231</v>
      </c>
      <c r="C4634" t="str">
        <f>"79713000"</f>
        <v>79713000</v>
      </c>
      <c r="D4634" t="s">
        <v>14232</v>
      </c>
      <c r="F4634" t="s">
        <v>14233</v>
      </c>
      <c r="I4634" t="s">
        <v>29</v>
      </c>
      <c r="J4634" t="s">
        <v>30</v>
      </c>
      <c r="K4634" t="s">
        <v>14234</v>
      </c>
      <c r="M4634" t="s">
        <v>32</v>
      </c>
      <c r="N4634" t="str">
        <f>"2/21/2005 12:00:00 AM"</f>
        <v>2/21/2005 12:00:00 AM</v>
      </c>
      <c r="O4634" t="s">
        <v>14232</v>
      </c>
    </row>
    <row r="4635" spans="1:20" x14ac:dyDescent="0.25">
      <c r="A4635" t="str">
        <f>"3078603"</f>
        <v>3078603</v>
      </c>
      <c r="B4635" t="s">
        <v>14235</v>
      </c>
      <c r="C4635" t="str">
        <f>"79713000"</f>
        <v>79713000</v>
      </c>
      <c r="D4635" t="s">
        <v>14232</v>
      </c>
      <c r="F4635" t="s">
        <v>14233</v>
      </c>
      <c r="I4635" t="s">
        <v>29</v>
      </c>
      <c r="J4635" t="s">
        <v>30</v>
      </c>
      <c r="K4635" t="s">
        <v>14234</v>
      </c>
      <c r="M4635" t="s">
        <v>32</v>
      </c>
      <c r="N4635" t="str">
        <f>"2/21/2005 12:00:00 AM"</f>
        <v>2/21/2005 12:00:00 AM</v>
      </c>
      <c r="O4635" t="s">
        <v>14232</v>
      </c>
    </row>
    <row r="4636" spans="1:20" x14ac:dyDescent="0.25">
      <c r="A4636" t="str">
        <f>"3078604"</f>
        <v>3078604</v>
      </c>
      <c r="B4636" t="s">
        <v>14236</v>
      </c>
      <c r="C4636" t="str">
        <f>"50936750"</f>
        <v>50936750</v>
      </c>
      <c r="D4636" t="s">
        <v>14237</v>
      </c>
      <c r="E4636" t="s">
        <v>14238</v>
      </c>
      <c r="F4636" t="s">
        <v>14239</v>
      </c>
      <c r="I4636" t="s">
        <v>29</v>
      </c>
      <c r="J4636" t="s">
        <v>30</v>
      </c>
      <c r="K4636" t="s">
        <v>31</v>
      </c>
      <c r="M4636" t="s">
        <v>32</v>
      </c>
      <c r="N4636" t="str">
        <f>"2/23/2004 12:00:00 AM"</f>
        <v>2/23/2004 12:00:00 AM</v>
      </c>
      <c r="O4636" t="s">
        <v>14237</v>
      </c>
      <c r="T4636" t="s">
        <v>14238</v>
      </c>
    </row>
    <row r="4637" spans="1:20" x14ac:dyDescent="0.25">
      <c r="A4637" t="str">
        <f>"3078611"</f>
        <v>3078611</v>
      </c>
      <c r="B4637" t="s">
        <v>14240</v>
      </c>
      <c r="C4637" t="str">
        <f>"50936750"</f>
        <v>50936750</v>
      </c>
      <c r="D4637" t="s">
        <v>14237</v>
      </c>
      <c r="E4637" t="s">
        <v>14238</v>
      </c>
      <c r="F4637" t="s">
        <v>14239</v>
      </c>
      <c r="I4637" t="s">
        <v>29</v>
      </c>
      <c r="J4637" t="s">
        <v>30</v>
      </c>
      <c r="K4637" t="s">
        <v>31</v>
      </c>
      <c r="M4637" t="s">
        <v>32</v>
      </c>
      <c r="N4637" t="str">
        <f>"2/23/2004 12:00:00 AM"</f>
        <v>2/23/2004 12:00:00 AM</v>
      </c>
      <c r="O4637" t="s">
        <v>14237</v>
      </c>
      <c r="T4637" t="s">
        <v>14238</v>
      </c>
    </row>
    <row r="4638" spans="1:20" x14ac:dyDescent="0.25">
      <c r="A4638" t="str">
        <f>"3078965"</f>
        <v>3078965</v>
      </c>
      <c r="B4638" t="s">
        <v>14241</v>
      </c>
      <c r="C4638" t="str">
        <f>"50936750"</f>
        <v>50936750</v>
      </c>
      <c r="D4638" t="s">
        <v>14237</v>
      </c>
      <c r="E4638" t="s">
        <v>14238</v>
      </c>
      <c r="F4638" t="s">
        <v>14239</v>
      </c>
      <c r="I4638" t="s">
        <v>29</v>
      </c>
      <c r="J4638" t="s">
        <v>30</v>
      </c>
      <c r="K4638" t="s">
        <v>31</v>
      </c>
      <c r="M4638" t="s">
        <v>32</v>
      </c>
      <c r="N4638" t="str">
        <f>"2/23/2004 12:00:00 AM"</f>
        <v>2/23/2004 12:00:00 AM</v>
      </c>
      <c r="O4638" t="s">
        <v>14237</v>
      </c>
      <c r="T4638" t="s">
        <v>14238</v>
      </c>
    </row>
    <row r="4639" spans="1:20" x14ac:dyDescent="0.25">
      <c r="A4639" t="str">
        <f>"3051333"</f>
        <v>3051333</v>
      </c>
      <c r="B4639" t="s">
        <v>14242</v>
      </c>
      <c r="C4639" t="str">
        <f>"82519212"</f>
        <v>82519212</v>
      </c>
      <c r="D4639" t="s">
        <v>14243</v>
      </c>
      <c r="E4639" t="s">
        <v>14244</v>
      </c>
      <c r="F4639" t="s">
        <v>14245</v>
      </c>
      <c r="I4639" t="s">
        <v>29</v>
      </c>
      <c r="J4639" t="s">
        <v>30</v>
      </c>
      <c r="K4639" t="s">
        <v>14246</v>
      </c>
      <c r="M4639" t="s">
        <v>32</v>
      </c>
      <c r="N4639" t="str">
        <f>"1/24/2006 12:00:00 AM"</f>
        <v>1/24/2006 12:00:00 AM</v>
      </c>
      <c r="O4639" t="s">
        <v>14243</v>
      </c>
      <c r="T4639" t="s">
        <v>14244</v>
      </c>
    </row>
    <row r="4640" spans="1:20" x14ac:dyDescent="0.25">
      <c r="A4640" t="str">
        <f>"3062403"</f>
        <v>3062403</v>
      </c>
      <c r="B4640" t="s">
        <v>14247</v>
      </c>
      <c r="C4640" t="str">
        <f>"82525117"</f>
        <v>82525117</v>
      </c>
      <c r="D4640" t="s">
        <v>14248</v>
      </c>
      <c r="F4640" t="s">
        <v>14249</v>
      </c>
      <c r="I4640" t="s">
        <v>29</v>
      </c>
      <c r="J4640" t="s">
        <v>30</v>
      </c>
      <c r="K4640" t="s">
        <v>14250</v>
      </c>
      <c r="M4640" t="s">
        <v>32</v>
      </c>
      <c r="N4640" t="str">
        <f>"1/30/2006 12:00:00 AM"</f>
        <v>1/30/2006 12:00:00 AM</v>
      </c>
      <c r="O4640" t="s">
        <v>14248</v>
      </c>
    </row>
    <row r="4641" spans="1:20" x14ac:dyDescent="0.25">
      <c r="A4641" t="str">
        <f>"3062359"</f>
        <v>3062359</v>
      </c>
      <c r="B4641" t="s">
        <v>14251</v>
      </c>
      <c r="C4641" t="str">
        <f>"82526755"</f>
        <v>82526755</v>
      </c>
      <c r="D4641" t="s">
        <v>14252</v>
      </c>
      <c r="E4641" t="s">
        <v>14253</v>
      </c>
      <c r="F4641" t="s">
        <v>14254</v>
      </c>
      <c r="I4641" t="s">
        <v>29</v>
      </c>
      <c r="J4641" t="s">
        <v>30</v>
      </c>
      <c r="K4641" t="s">
        <v>31</v>
      </c>
      <c r="M4641" t="s">
        <v>32</v>
      </c>
      <c r="N4641" t="str">
        <f>"1/26/2007 12:00:00 AM"</f>
        <v>1/26/2007 12:00:00 AM</v>
      </c>
      <c r="O4641" t="s">
        <v>14252</v>
      </c>
      <c r="T4641" t="s">
        <v>14253</v>
      </c>
    </row>
    <row r="4642" spans="1:20" x14ac:dyDescent="0.25">
      <c r="A4642" t="str">
        <f>"3051564"</f>
        <v>3051564</v>
      </c>
      <c r="B4642" t="s">
        <v>14255</v>
      </c>
      <c r="C4642" t="str">
        <f>"82515977"</f>
        <v>82515977</v>
      </c>
      <c r="D4642" t="s">
        <v>14256</v>
      </c>
      <c r="F4642" t="s">
        <v>14257</v>
      </c>
      <c r="I4642" t="s">
        <v>29</v>
      </c>
      <c r="J4642" t="s">
        <v>30</v>
      </c>
      <c r="K4642" t="s">
        <v>14258</v>
      </c>
      <c r="M4642" t="s">
        <v>32</v>
      </c>
      <c r="N4642" t="str">
        <f>"6/18/2009 12:00:00 AM"</f>
        <v>6/18/2009 12:00:00 AM</v>
      </c>
      <c r="O4642" t="s">
        <v>14256</v>
      </c>
    </row>
    <row r="4643" spans="1:20" x14ac:dyDescent="0.25">
      <c r="A4643" t="str">
        <f>"3051585"</f>
        <v>3051585</v>
      </c>
      <c r="B4643" t="s">
        <v>14259</v>
      </c>
      <c r="C4643" t="str">
        <f>"82522257"</f>
        <v>82522257</v>
      </c>
      <c r="D4643" t="s">
        <v>14260</v>
      </c>
      <c r="E4643" t="s">
        <v>14261</v>
      </c>
      <c r="F4643" t="s">
        <v>14262</v>
      </c>
      <c r="I4643" t="s">
        <v>1107</v>
      </c>
      <c r="J4643" t="s">
        <v>30</v>
      </c>
      <c r="K4643" t="s">
        <v>4147</v>
      </c>
      <c r="M4643" t="s">
        <v>32</v>
      </c>
      <c r="N4643" t="str">
        <f>"11/8/2010 12:00:00 AM"</f>
        <v>11/8/2010 12:00:00 AM</v>
      </c>
      <c r="O4643" t="s">
        <v>14260</v>
      </c>
      <c r="T4643" t="s">
        <v>14261</v>
      </c>
    </row>
    <row r="4644" spans="1:20" x14ac:dyDescent="0.25">
      <c r="A4644" t="str">
        <f>"3066346"</f>
        <v>3066346</v>
      </c>
      <c r="B4644" t="s">
        <v>14263</v>
      </c>
      <c r="C4644" t="str">
        <f>"82522257"</f>
        <v>82522257</v>
      </c>
      <c r="D4644" t="s">
        <v>14260</v>
      </c>
      <c r="E4644" t="s">
        <v>14261</v>
      </c>
      <c r="F4644" t="s">
        <v>14262</v>
      </c>
      <c r="I4644" t="s">
        <v>1107</v>
      </c>
      <c r="J4644" t="s">
        <v>30</v>
      </c>
      <c r="K4644" t="s">
        <v>4147</v>
      </c>
      <c r="M4644" t="s">
        <v>32</v>
      </c>
      <c r="N4644" t="str">
        <f>"11/8/2010 12:00:00 AM"</f>
        <v>11/8/2010 12:00:00 AM</v>
      </c>
      <c r="O4644" t="s">
        <v>14260</v>
      </c>
      <c r="T4644" t="s">
        <v>14261</v>
      </c>
    </row>
    <row r="4645" spans="1:20" x14ac:dyDescent="0.25">
      <c r="A4645" t="str">
        <f>"3062360"</f>
        <v>3062360</v>
      </c>
      <c r="B4645" t="s">
        <v>14264</v>
      </c>
      <c r="C4645" t="str">
        <f>"82526471"</f>
        <v>82526471</v>
      </c>
      <c r="D4645" t="s">
        <v>14265</v>
      </c>
      <c r="E4645" t="s">
        <v>14266</v>
      </c>
      <c r="F4645" t="s">
        <v>14267</v>
      </c>
      <c r="I4645" t="s">
        <v>29</v>
      </c>
      <c r="J4645" t="s">
        <v>30</v>
      </c>
      <c r="K4645" t="s">
        <v>31</v>
      </c>
      <c r="M4645" t="s">
        <v>32</v>
      </c>
      <c r="N4645" t="str">
        <f>"1/26/2007 12:00:00 AM"</f>
        <v>1/26/2007 12:00:00 AM</v>
      </c>
      <c r="O4645" t="s">
        <v>14265</v>
      </c>
      <c r="T4645" t="s">
        <v>14266</v>
      </c>
    </row>
    <row r="4646" spans="1:20" x14ac:dyDescent="0.25">
      <c r="A4646" t="str">
        <f>"3062386"</f>
        <v>3062386</v>
      </c>
      <c r="B4646" t="s">
        <v>14268</v>
      </c>
      <c r="C4646" t="str">
        <f>"82527395"</f>
        <v>82527395</v>
      </c>
      <c r="D4646" t="s">
        <v>14269</v>
      </c>
      <c r="E4646" t="s">
        <v>14270</v>
      </c>
      <c r="F4646" t="s">
        <v>14271</v>
      </c>
      <c r="I4646" t="s">
        <v>29</v>
      </c>
      <c r="J4646" t="s">
        <v>30</v>
      </c>
      <c r="K4646" t="s">
        <v>31</v>
      </c>
      <c r="M4646" t="s">
        <v>32</v>
      </c>
      <c r="N4646" t="str">
        <f>"8/10/2011 12:00:00 AM"</f>
        <v>8/10/2011 12:00:00 AM</v>
      </c>
      <c r="O4646" t="s">
        <v>14269</v>
      </c>
      <c r="T4646" t="s">
        <v>14270</v>
      </c>
    </row>
    <row r="4647" spans="1:20" x14ac:dyDescent="0.25">
      <c r="A4647" t="str">
        <f>"3051449"</f>
        <v>3051449</v>
      </c>
      <c r="B4647" t="s">
        <v>14272</v>
      </c>
      <c r="C4647" t="str">
        <f>"77628000"</f>
        <v>77628000</v>
      </c>
      <c r="D4647" t="s">
        <v>14273</v>
      </c>
      <c r="E4647" t="s">
        <v>14274</v>
      </c>
      <c r="F4647" t="s">
        <v>14275</v>
      </c>
      <c r="I4647" t="s">
        <v>29</v>
      </c>
      <c r="J4647" t="s">
        <v>30</v>
      </c>
      <c r="K4647" t="s">
        <v>31</v>
      </c>
      <c r="M4647" t="s">
        <v>32</v>
      </c>
      <c r="N4647" t="str">
        <f>"1/14/2009 12:00:00 AM"</f>
        <v>1/14/2009 12:00:00 AM</v>
      </c>
      <c r="O4647" t="s">
        <v>14273</v>
      </c>
      <c r="T4647" t="s">
        <v>14274</v>
      </c>
    </row>
    <row r="4648" spans="1:20" x14ac:dyDescent="0.25">
      <c r="A4648" t="str">
        <f>"3051336"</f>
        <v>3051336</v>
      </c>
      <c r="B4648" t="s">
        <v>14276</v>
      </c>
      <c r="C4648" t="str">
        <f>"10632000"</f>
        <v>10632000</v>
      </c>
      <c r="D4648" t="s">
        <v>14277</v>
      </c>
      <c r="E4648" t="s">
        <v>14278</v>
      </c>
      <c r="F4648" t="s">
        <v>14279</v>
      </c>
      <c r="I4648" t="s">
        <v>29</v>
      </c>
      <c r="J4648" t="s">
        <v>30</v>
      </c>
      <c r="K4648" t="s">
        <v>14280</v>
      </c>
      <c r="M4648" t="s">
        <v>32</v>
      </c>
      <c r="N4648" t="str">
        <f>"2/13/2007 12:00:00 AM"</f>
        <v>2/13/2007 12:00:00 AM</v>
      </c>
      <c r="O4648" t="s">
        <v>14277</v>
      </c>
      <c r="T4648" t="s">
        <v>14278</v>
      </c>
    </row>
    <row r="4649" spans="1:20" x14ac:dyDescent="0.25">
      <c r="A4649" t="str">
        <f>"3051524"</f>
        <v>3051524</v>
      </c>
      <c r="B4649" t="s">
        <v>14281</v>
      </c>
      <c r="C4649" t="str">
        <f>"10632000"</f>
        <v>10632000</v>
      </c>
      <c r="D4649" t="s">
        <v>14277</v>
      </c>
      <c r="E4649" t="s">
        <v>14278</v>
      </c>
      <c r="F4649" t="s">
        <v>14279</v>
      </c>
      <c r="I4649" t="s">
        <v>29</v>
      </c>
      <c r="J4649" t="s">
        <v>30</v>
      </c>
      <c r="K4649" t="s">
        <v>14280</v>
      </c>
      <c r="M4649" t="s">
        <v>32</v>
      </c>
      <c r="N4649" t="str">
        <f>"2/13/2007 12:00:00 AM"</f>
        <v>2/13/2007 12:00:00 AM</v>
      </c>
      <c r="O4649" t="s">
        <v>14277</v>
      </c>
      <c r="T4649" t="s">
        <v>14278</v>
      </c>
    </row>
    <row r="4650" spans="1:20" x14ac:dyDescent="0.25">
      <c r="A4650" t="str">
        <f>"3068173"</f>
        <v>3068173</v>
      </c>
      <c r="B4650" t="s">
        <v>14282</v>
      </c>
      <c r="C4650" t="str">
        <f>"10632000"</f>
        <v>10632000</v>
      </c>
      <c r="D4650" t="s">
        <v>14277</v>
      </c>
      <c r="E4650" t="s">
        <v>14278</v>
      </c>
      <c r="F4650" t="s">
        <v>14279</v>
      </c>
      <c r="I4650" t="s">
        <v>29</v>
      </c>
      <c r="J4650" t="s">
        <v>30</v>
      </c>
      <c r="K4650" t="s">
        <v>14280</v>
      </c>
      <c r="M4650" t="s">
        <v>32</v>
      </c>
      <c r="N4650" t="str">
        <f>"2/13/2007 12:00:00 AM"</f>
        <v>2/13/2007 12:00:00 AM</v>
      </c>
      <c r="O4650" t="s">
        <v>14277</v>
      </c>
      <c r="T4650" t="s">
        <v>14278</v>
      </c>
    </row>
    <row r="4651" spans="1:20" x14ac:dyDescent="0.25">
      <c r="A4651" t="str">
        <f>"3053498"</f>
        <v>3053498</v>
      </c>
      <c r="B4651" t="s">
        <v>14283</v>
      </c>
      <c r="C4651" t="str">
        <f>"82517795"</f>
        <v>82517795</v>
      </c>
      <c r="D4651" t="s">
        <v>14284</v>
      </c>
      <c r="F4651" t="s">
        <v>14285</v>
      </c>
      <c r="I4651" t="s">
        <v>29</v>
      </c>
      <c r="J4651" t="s">
        <v>30</v>
      </c>
      <c r="K4651" t="s">
        <v>31</v>
      </c>
      <c r="M4651" t="s">
        <v>32</v>
      </c>
      <c r="N4651" t="str">
        <f>"8/31/2005 12:00:00 AM"</f>
        <v>8/31/2005 12:00:00 AM</v>
      </c>
      <c r="O4651" t="s">
        <v>14284</v>
      </c>
    </row>
    <row r="4652" spans="1:20" x14ac:dyDescent="0.25">
      <c r="A4652" t="str">
        <f>"3053208"</f>
        <v>3053208</v>
      </c>
      <c r="B4652" t="s">
        <v>14286</v>
      </c>
      <c r="C4652" t="str">
        <f>"82517795"</f>
        <v>82517795</v>
      </c>
      <c r="D4652" t="s">
        <v>14284</v>
      </c>
      <c r="F4652" t="s">
        <v>14285</v>
      </c>
      <c r="I4652" t="s">
        <v>29</v>
      </c>
      <c r="J4652" t="s">
        <v>30</v>
      </c>
      <c r="K4652" t="s">
        <v>31</v>
      </c>
      <c r="M4652" t="s">
        <v>32</v>
      </c>
      <c r="N4652" t="str">
        <f>"8/31/2005 12:00:00 AM"</f>
        <v>8/31/2005 12:00:00 AM</v>
      </c>
      <c r="O4652" t="s">
        <v>14284</v>
      </c>
    </row>
    <row r="4653" spans="1:20" x14ac:dyDescent="0.25">
      <c r="A4653" t="str">
        <f>"3069636"</f>
        <v>3069636</v>
      </c>
      <c r="B4653" t="s">
        <v>14287</v>
      </c>
      <c r="C4653" t="str">
        <f>"82521971"</f>
        <v>82521971</v>
      </c>
      <c r="D4653" t="s">
        <v>14288</v>
      </c>
      <c r="E4653" t="s">
        <v>14289</v>
      </c>
      <c r="F4653" t="s">
        <v>14290</v>
      </c>
      <c r="I4653" t="s">
        <v>14291</v>
      </c>
      <c r="J4653" t="s">
        <v>4132</v>
      </c>
      <c r="K4653" t="s">
        <v>14292</v>
      </c>
      <c r="N4653" t="str">
        <f>"1/12/2004 12:00:00 AM"</f>
        <v>1/12/2004 12:00:00 AM</v>
      </c>
      <c r="O4653" t="s">
        <v>14288</v>
      </c>
      <c r="T4653" t="s">
        <v>14289</v>
      </c>
    </row>
    <row r="4654" spans="1:20" x14ac:dyDescent="0.25">
      <c r="A4654" t="str">
        <f>"3050674"</f>
        <v>3050674</v>
      </c>
      <c r="B4654" t="s">
        <v>14293</v>
      </c>
      <c r="C4654" t="str">
        <f>"35020500"</f>
        <v>35020500</v>
      </c>
      <c r="D4654" t="s">
        <v>14294</v>
      </c>
      <c r="E4654" t="s">
        <v>14295</v>
      </c>
      <c r="F4654" t="s">
        <v>14296</v>
      </c>
      <c r="I4654" t="s">
        <v>184</v>
      </c>
      <c r="J4654" t="s">
        <v>30</v>
      </c>
      <c r="K4654" t="s">
        <v>14297</v>
      </c>
      <c r="M4654" t="s">
        <v>32</v>
      </c>
      <c r="N4654" t="str">
        <f>"1/11/2006 12:00:00 AM"</f>
        <v>1/11/2006 12:00:00 AM</v>
      </c>
      <c r="O4654" t="s">
        <v>14294</v>
      </c>
      <c r="T4654" t="s">
        <v>14295</v>
      </c>
    </row>
    <row r="4655" spans="1:20" x14ac:dyDescent="0.25">
      <c r="A4655" t="str">
        <f>"3050608"</f>
        <v>3050608</v>
      </c>
      <c r="B4655" t="s">
        <v>14298</v>
      </c>
      <c r="C4655" t="str">
        <f>"35020500"</f>
        <v>35020500</v>
      </c>
      <c r="D4655" t="s">
        <v>14294</v>
      </c>
      <c r="E4655" t="s">
        <v>14295</v>
      </c>
      <c r="F4655" t="s">
        <v>14296</v>
      </c>
      <c r="I4655" t="s">
        <v>184</v>
      </c>
      <c r="J4655" t="s">
        <v>30</v>
      </c>
      <c r="K4655" t="s">
        <v>14297</v>
      </c>
      <c r="M4655" t="s">
        <v>32</v>
      </c>
      <c r="N4655" t="str">
        <f>"1/11/2006 12:00:00 AM"</f>
        <v>1/11/2006 12:00:00 AM</v>
      </c>
      <c r="O4655" t="s">
        <v>14294</v>
      </c>
      <c r="T4655" t="s">
        <v>14295</v>
      </c>
    </row>
    <row r="4656" spans="1:20" x14ac:dyDescent="0.25">
      <c r="A4656" t="str">
        <f>"3050609"</f>
        <v>3050609</v>
      </c>
      <c r="B4656" t="s">
        <v>14299</v>
      </c>
      <c r="C4656" t="str">
        <f>"35020500"</f>
        <v>35020500</v>
      </c>
      <c r="D4656" t="s">
        <v>14294</v>
      </c>
      <c r="E4656" t="s">
        <v>14295</v>
      </c>
      <c r="F4656" t="s">
        <v>14296</v>
      </c>
      <c r="I4656" t="s">
        <v>184</v>
      </c>
      <c r="J4656" t="s">
        <v>30</v>
      </c>
      <c r="K4656" t="s">
        <v>14297</v>
      </c>
      <c r="M4656" t="s">
        <v>32</v>
      </c>
      <c r="N4656" t="str">
        <f>"1/11/2006 12:00:00 AM"</f>
        <v>1/11/2006 12:00:00 AM</v>
      </c>
      <c r="O4656" t="s">
        <v>14294</v>
      </c>
      <c r="T4656" t="s">
        <v>14295</v>
      </c>
    </row>
    <row r="4657" spans="1:20" x14ac:dyDescent="0.25">
      <c r="A4657" t="str">
        <f>"3050906"</f>
        <v>3050906</v>
      </c>
      <c r="B4657" t="s">
        <v>14300</v>
      </c>
      <c r="C4657" t="str">
        <f>"35020500"</f>
        <v>35020500</v>
      </c>
      <c r="D4657" t="s">
        <v>14294</v>
      </c>
      <c r="E4657" t="s">
        <v>14295</v>
      </c>
      <c r="F4657" t="s">
        <v>14296</v>
      </c>
      <c r="I4657" t="s">
        <v>184</v>
      </c>
      <c r="J4657" t="s">
        <v>30</v>
      </c>
      <c r="K4657" t="s">
        <v>14297</v>
      </c>
      <c r="M4657" t="s">
        <v>32</v>
      </c>
      <c r="N4657" t="str">
        <f>"1/11/2006 12:00:00 AM"</f>
        <v>1/11/2006 12:00:00 AM</v>
      </c>
      <c r="O4657" t="s">
        <v>14294</v>
      </c>
      <c r="T4657" t="s">
        <v>14295</v>
      </c>
    </row>
    <row r="4658" spans="1:20" x14ac:dyDescent="0.25">
      <c r="A4658" t="str">
        <f>"3050938"</f>
        <v>3050938</v>
      </c>
      <c r="B4658" t="s">
        <v>14301</v>
      </c>
      <c r="C4658" t="str">
        <f>"24900000"</f>
        <v>24900000</v>
      </c>
      <c r="D4658" t="s">
        <v>14302</v>
      </c>
      <c r="E4658" t="s">
        <v>14303</v>
      </c>
      <c r="F4658" t="s">
        <v>14304</v>
      </c>
      <c r="I4658" t="s">
        <v>184</v>
      </c>
      <c r="J4658" t="s">
        <v>30</v>
      </c>
      <c r="K4658" t="s">
        <v>185</v>
      </c>
      <c r="M4658" t="s">
        <v>32</v>
      </c>
      <c r="N4658" t="str">
        <f>"9/21/2010 12:00:00 AM"</f>
        <v>9/21/2010 12:00:00 AM</v>
      </c>
      <c r="O4658" t="s">
        <v>14302</v>
      </c>
      <c r="T4658" t="s">
        <v>14303</v>
      </c>
    </row>
    <row r="4659" spans="1:20" x14ac:dyDescent="0.25">
      <c r="A4659" t="str">
        <f>"3078716"</f>
        <v>3078716</v>
      </c>
      <c r="B4659" t="s">
        <v>14305</v>
      </c>
      <c r="C4659" t="str">
        <f>"54330560"</f>
        <v>54330560</v>
      </c>
      <c r="D4659" t="s">
        <v>14306</v>
      </c>
      <c r="F4659" t="str">
        <f>"C/O SHARON Z ESTES"</f>
        <v>C/O SHARON Z ESTES</v>
      </c>
      <c r="G4659" t="s">
        <v>14307</v>
      </c>
      <c r="I4659" t="s">
        <v>1107</v>
      </c>
      <c r="J4659" t="s">
        <v>30</v>
      </c>
      <c r="K4659" t="s">
        <v>13026</v>
      </c>
      <c r="M4659" t="s">
        <v>32</v>
      </c>
      <c r="N4659" t="str">
        <f>"12/9/2003 12:00:00 AM"</f>
        <v>12/9/2003 12:00:00 AM</v>
      </c>
      <c r="O4659" t="s">
        <v>14306</v>
      </c>
    </row>
    <row r="4660" spans="1:20" x14ac:dyDescent="0.25">
      <c r="A4660" t="str">
        <f>"3078619"</f>
        <v>3078619</v>
      </c>
      <c r="B4660" t="s">
        <v>14308</v>
      </c>
      <c r="C4660" t="str">
        <f>"43248000"</f>
        <v>43248000</v>
      </c>
      <c r="D4660" t="s">
        <v>14309</v>
      </c>
      <c r="F4660" t="s">
        <v>14310</v>
      </c>
      <c r="I4660" t="s">
        <v>29</v>
      </c>
      <c r="J4660" t="s">
        <v>30</v>
      </c>
      <c r="K4660" t="s">
        <v>31</v>
      </c>
      <c r="M4660" t="s">
        <v>32</v>
      </c>
      <c r="N4660" t="str">
        <f>"11/24/2003 12:00:00 AM"</f>
        <v>11/24/2003 12:00:00 AM</v>
      </c>
      <c r="O4660" t="s">
        <v>14309</v>
      </c>
    </row>
    <row r="4661" spans="1:20" x14ac:dyDescent="0.25">
      <c r="A4661" t="str">
        <f>"3050607"</f>
        <v>3050607</v>
      </c>
      <c r="B4661" t="s">
        <v>14311</v>
      </c>
      <c r="C4661" t="str">
        <f>"24900000"</f>
        <v>24900000</v>
      </c>
      <c r="D4661" t="s">
        <v>14302</v>
      </c>
      <c r="E4661" t="s">
        <v>14303</v>
      </c>
      <c r="F4661" t="s">
        <v>14304</v>
      </c>
      <c r="I4661" t="s">
        <v>184</v>
      </c>
      <c r="J4661" t="s">
        <v>30</v>
      </c>
      <c r="K4661" t="s">
        <v>185</v>
      </c>
      <c r="M4661" t="s">
        <v>32</v>
      </c>
      <c r="N4661" t="str">
        <f>"9/21/2010 12:00:00 AM"</f>
        <v>9/21/2010 12:00:00 AM</v>
      </c>
      <c r="O4661" t="s">
        <v>14302</v>
      </c>
      <c r="T4661" t="s">
        <v>14303</v>
      </c>
    </row>
    <row r="4662" spans="1:20" x14ac:dyDescent="0.25">
      <c r="A4662" t="str">
        <f>"3050670"</f>
        <v>3050670</v>
      </c>
      <c r="B4662" t="s">
        <v>14312</v>
      </c>
      <c r="C4662" t="str">
        <f>"24900000"</f>
        <v>24900000</v>
      </c>
      <c r="D4662" t="s">
        <v>14302</v>
      </c>
      <c r="E4662" t="s">
        <v>14303</v>
      </c>
      <c r="F4662" t="s">
        <v>14304</v>
      </c>
      <c r="I4662" t="s">
        <v>184</v>
      </c>
      <c r="J4662" t="s">
        <v>30</v>
      </c>
      <c r="K4662" t="s">
        <v>185</v>
      </c>
      <c r="M4662" t="s">
        <v>32</v>
      </c>
      <c r="N4662" t="str">
        <f>"9/21/2010 12:00:00 AM"</f>
        <v>9/21/2010 12:00:00 AM</v>
      </c>
      <c r="O4662" t="s">
        <v>14302</v>
      </c>
      <c r="T4662" t="s">
        <v>14303</v>
      </c>
    </row>
    <row r="4663" spans="1:20" x14ac:dyDescent="0.25">
      <c r="A4663" t="str">
        <f>"3050671"</f>
        <v>3050671</v>
      </c>
      <c r="B4663" t="s">
        <v>14313</v>
      </c>
      <c r="C4663" t="str">
        <f>"24900000"</f>
        <v>24900000</v>
      </c>
      <c r="D4663" t="s">
        <v>14302</v>
      </c>
      <c r="E4663" t="s">
        <v>14303</v>
      </c>
      <c r="F4663" t="s">
        <v>14304</v>
      </c>
      <c r="I4663" t="s">
        <v>184</v>
      </c>
      <c r="J4663" t="s">
        <v>30</v>
      </c>
      <c r="K4663" t="s">
        <v>185</v>
      </c>
      <c r="M4663" t="s">
        <v>32</v>
      </c>
      <c r="N4663" t="str">
        <f>"9/21/2010 12:00:00 AM"</f>
        <v>9/21/2010 12:00:00 AM</v>
      </c>
      <c r="O4663" t="s">
        <v>14302</v>
      </c>
      <c r="T4663" t="s">
        <v>14303</v>
      </c>
    </row>
    <row r="4664" spans="1:20" x14ac:dyDescent="0.25">
      <c r="A4664" t="str">
        <f>"3050941"</f>
        <v>3050941</v>
      </c>
      <c r="B4664" t="s">
        <v>14314</v>
      </c>
      <c r="C4664" t="str">
        <f>"6092000"</f>
        <v>6092000</v>
      </c>
      <c r="D4664" t="s">
        <v>14315</v>
      </c>
      <c r="E4664" t="s">
        <v>14316</v>
      </c>
      <c r="F4664" t="s">
        <v>14317</v>
      </c>
      <c r="I4664" t="s">
        <v>184</v>
      </c>
      <c r="J4664" t="s">
        <v>30</v>
      </c>
      <c r="K4664" t="s">
        <v>185</v>
      </c>
      <c r="M4664" t="s">
        <v>32</v>
      </c>
      <c r="N4664" t="str">
        <f>"5/22/2003 12:00:00 AM"</f>
        <v>5/22/2003 12:00:00 AM</v>
      </c>
      <c r="O4664" t="s">
        <v>14315</v>
      </c>
      <c r="T4664" t="s">
        <v>14316</v>
      </c>
    </row>
    <row r="4665" spans="1:20" x14ac:dyDescent="0.25">
      <c r="A4665" t="str">
        <f>"3050816"</f>
        <v>3050816</v>
      </c>
      <c r="B4665" t="s">
        <v>14318</v>
      </c>
      <c r="C4665" t="str">
        <f>"82522577"</f>
        <v>82522577</v>
      </c>
      <c r="D4665" t="s">
        <v>14192</v>
      </c>
      <c r="F4665" t="s">
        <v>14193</v>
      </c>
      <c r="I4665" t="s">
        <v>184</v>
      </c>
      <c r="J4665" t="s">
        <v>30</v>
      </c>
      <c r="K4665" t="s">
        <v>14194</v>
      </c>
      <c r="M4665" t="s">
        <v>32</v>
      </c>
      <c r="N4665" t="str">
        <f>"1/25/2006 12:00:00 AM"</f>
        <v>1/25/2006 12:00:00 AM</v>
      </c>
      <c r="O4665" t="s">
        <v>14192</v>
      </c>
      <c r="T4665" t="s">
        <v>14192</v>
      </c>
    </row>
    <row r="4666" spans="1:20" x14ac:dyDescent="0.25">
      <c r="A4666" t="str">
        <f>"3050807"</f>
        <v>3050807</v>
      </c>
      <c r="B4666" t="s">
        <v>14319</v>
      </c>
      <c r="C4666" t="str">
        <f>"82517389"</f>
        <v>82517389</v>
      </c>
      <c r="D4666" t="s">
        <v>14320</v>
      </c>
      <c r="F4666" t="s">
        <v>3168</v>
      </c>
      <c r="I4666" t="s">
        <v>471</v>
      </c>
      <c r="J4666" t="s">
        <v>30</v>
      </c>
      <c r="K4666" t="s">
        <v>3169</v>
      </c>
      <c r="M4666" t="s">
        <v>32</v>
      </c>
      <c r="N4666" t="str">
        <f>"9/30/2009 12:00:00 AM"</f>
        <v>9/30/2009 12:00:00 AM</v>
      </c>
      <c r="O4666" t="s">
        <v>14320</v>
      </c>
      <c r="T4666" t="s">
        <v>14320</v>
      </c>
    </row>
    <row r="4667" spans="1:20" x14ac:dyDescent="0.25">
      <c r="A4667" t="str">
        <f>"3050880"</f>
        <v>3050880</v>
      </c>
      <c r="B4667" t="s">
        <v>14321</v>
      </c>
      <c r="C4667" t="str">
        <f>"18736000"</f>
        <v>18736000</v>
      </c>
      <c r="D4667" t="s">
        <v>14322</v>
      </c>
      <c r="E4667" t="s">
        <v>14323</v>
      </c>
      <c r="F4667" t="s">
        <v>14324</v>
      </c>
      <c r="I4667" t="s">
        <v>184</v>
      </c>
      <c r="J4667" t="s">
        <v>30</v>
      </c>
      <c r="K4667" t="s">
        <v>185</v>
      </c>
      <c r="M4667" t="s">
        <v>32</v>
      </c>
      <c r="N4667" t="str">
        <f>"11/20/2003 12:00:00 AM"</f>
        <v>11/20/2003 12:00:00 AM</v>
      </c>
      <c r="O4667" t="s">
        <v>14322</v>
      </c>
      <c r="T4667" t="s">
        <v>14323</v>
      </c>
    </row>
    <row r="4668" spans="1:20" x14ac:dyDescent="0.25">
      <c r="A4668" t="str">
        <f>"3050654"</f>
        <v>3050654</v>
      </c>
      <c r="B4668" t="s">
        <v>14325</v>
      </c>
      <c r="C4668" t="str">
        <f>"58188000"</f>
        <v>58188000</v>
      </c>
      <c r="D4668" t="s">
        <v>14326</v>
      </c>
      <c r="E4668" t="str">
        <f>"C/O W AVALON POTTS"</f>
        <v>C/O W AVALON POTTS</v>
      </c>
      <c r="F4668" t="s">
        <v>3168</v>
      </c>
      <c r="I4668" t="s">
        <v>471</v>
      </c>
      <c r="J4668" t="s">
        <v>30</v>
      </c>
      <c r="K4668" t="s">
        <v>3169</v>
      </c>
      <c r="M4668" t="s">
        <v>32</v>
      </c>
      <c r="N4668" t="str">
        <f>"9/1/2011 12:00:00 AM"</f>
        <v>9/1/2011 12:00:00 AM</v>
      </c>
      <c r="O4668" t="s">
        <v>14326</v>
      </c>
      <c r="T4668" t="str">
        <f>"C/O W AVALON POTTS"</f>
        <v>C/O W AVALON POTTS</v>
      </c>
    </row>
    <row r="4669" spans="1:20" x14ac:dyDescent="0.25">
      <c r="A4669" t="str">
        <f>"3051037"</f>
        <v>3051037</v>
      </c>
      <c r="B4669" t="s">
        <v>14327</v>
      </c>
      <c r="C4669" t="str">
        <f>"64398000"</f>
        <v>64398000</v>
      </c>
      <c r="D4669" t="s">
        <v>14328</v>
      </c>
      <c r="F4669" t="s">
        <v>14329</v>
      </c>
      <c r="I4669" t="s">
        <v>29</v>
      </c>
      <c r="J4669" t="s">
        <v>30</v>
      </c>
      <c r="K4669" t="s">
        <v>31</v>
      </c>
      <c r="M4669" t="s">
        <v>32</v>
      </c>
      <c r="N4669" t="str">
        <f>"12/12/2008 12:00:00 AM"</f>
        <v>12/12/2008 12:00:00 AM</v>
      </c>
      <c r="O4669" t="s">
        <v>14328</v>
      </c>
    </row>
    <row r="4670" spans="1:20" x14ac:dyDescent="0.25">
      <c r="A4670" t="str">
        <f>"3078624"</f>
        <v>3078624</v>
      </c>
      <c r="B4670" t="s">
        <v>14330</v>
      </c>
      <c r="C4670" t="str">
        <f>"64398000"</f>
        <v>64398000</v>
      </c>
      <c r="D4670" t="s">
        <v>14328</v>
      </c>
      <c r="F4670" t="s">
        <v>14329</v>
      </c>
      <c r="I4670" t="s">
        <v>29</v>
      </c>
      <c r="J4670" t="s">
        <v>30</v>
      </c>
      <c r="K4670" t="s">
        <v>31</v>
      </c>
      <c r="M4670" t="s">
        <v>32</v>
      </c>
      <c r="N4670" t="str">
        <f>"12/12/2008 12:00:00 AM"</f>
        <v>12/12/2008 12:00:00 AM</v>
      </c>
      <c r="O4670" t="s">
        <v>14328</v>
      </c>
    </row>
    <row r="4671" spans="1:20" x14ac:dyDescent="0.25">
      <c r="A4671" t="str">
        <f>"3051339"</f>
        <v>3051339</v>
      </c>
      <c r="B4671" t="s">
        <v>14331</v>
      </c>
      <c r="C4671" t="str">
        <f>"80536180"</f>
        <v>80536180</v>
      </c>
      <c r="D4671" t="s">
        <v>14332</v>
      </c>
      <c r="E4671" t="s">
        <v>14333</v>
      </c>
      <c r="F4671" t="s">
        <v>14334</v>
      </c>
      <c r="I4671" t="s">
        <v>29</v>
      </c>
      <c r="J4671" t="s">
        <v>30</v>
      </c>
      <c r="K4671" t="s">
        <v>31</v>
      </c>
      <c r="M4671" t="s">
        <v>32</v>
      </c>
      <c r="N4671" t="str">
        <f>"7/16/2004 12:00:00 AM"</f>
        <v>7/16/2004 12:00:00 AM</v>
      </c>
      <c r="O4671" t="s">
        <v>14332</v>
      </c>
      <c r="T4671" t="s">
        <v>14333</v>
      </c>
    </row>
    <row r="4672" spans="1:20" x14ac:dyDescent="0.25">
      <c r="A4672" t="str">
        <f>"3051217"</f>
        <v>3051217</v>
      </c>
      <c r="B4672" t="s">
        <v>14335</v>
      </c>
      <c r="C4672" t="str">
        <f>"33248600"</f>
        <v>33248600</v>
      </c>
      <c r="D4672" t="s">
        <v>14225</v>
      </c>
      <c r="E4672" t="s">
        <v>14226</v>
      </c>
      <c r="F4672" t="s">
        <v>14227</v>
      </c>
      <c r="I4672" t="s">
        <v>14228</v>
      </c>
      <c r="J4672" t="s">
        <v>11994</v>
      </c>
      <c r="K4672" t="s">
        <v>14229</v>
      </c>
      <c r="M4672" t="s">
        <v>32</v>
      </c>
      <c r="N4672" t="str">
        <f>"12/11/2007 12:00:00 AM"</f>
        <v>12/11/2007 12:00:00 AM</v>
      </c>
      <c r="O4672" t="s">
        <v>14225</v>
      </c>
      <c r="T4672" t="s">
        <v>14226</v>
      </c>
    </row>
    <row r="4673" spans="1:20" x14ac:dyDescent="0.25">
      <c r="A4673" t="str">
        <f>"3051170"</f>
        <v>3051170</v>
      </c>
      <c r="B4673" t="s">
        <v>14336</v>
      </c>
      <c r="C4673" t="str">
        <f>"33248600"</f>
        <v>33248600</v>
      </c>
      <c r="D4673" t="s">
        <v>14225</v>
      </c>
      <c r="E4673" t="s">
        <v>14226</v>
      </c>
      <c r="F4673" t="s">
        <v>14227</v>
      </c>
      <c r="I4673" t="s">
        <v>14228</v>
      </c>
      <c r="J4673" t="s">
        <v>11994</v>
      </c>
      <c r="K4673" t="s">
        <v>14229</v>
      </c>
      <c r="M4673" t="s">
        <v>32</v>
      </c>
      <c r="N4673" t="str">
        <f>"12/11/2007 12:00:00 AM"</f>
        <v>12/11/2007 12:00:00 AM</v>
      </c>
      <c r="O4673" t="s">
        <v>14225</v>
      </c>
      <c r="T4673" t="s">
        <v>14226</v>
      </c>
    </row>
    <row r="4674" spans="1:20" x14ac:dyDescent="0.25">
      <c r="A4674" t="str">
        <f>"3051407"</f>
        <v>3051407</v>
      </c>
      <c r="B4674" t="s">
        <v>14337</v>
      </c>
      <c r="C4674" t="str">
        <f>"82521835"</f>
        <v>82521835</v>
      </c>
      <c r="D4674" t="s">
        <v>14338</v>
      </c>
      <c r="F4674" t="s">
        <v>14339</v>
      </c>
      <c r="I4674" t="s">
        <v>1107</v>
      </c>
      <c r="J4674" t="s">
        <v>30</v>
      </c>
      <c r="K4674" t="s">
        <v>14340</v>
      </c>
      <c r="M4674" t="s">
        <v>32</v>
      </c>
      <c r="N4674" t="str">
        <f>"9/2/2004 12:00:00 AM"</f>
        <v>9/2/2004 12:00:00 AM</v>
      </c>
      <c r="O4674" t="s">
        <v>14338</v>
      </c>
    </row>
    <row r="4675" spans="1:20" x14ac:dyDescent="0.25">
      <c r="A4675" t="str">
        <f>"3051545"</f>
        <v>3051545</v>
      </c>
      <c r="B4675" t="s">
        <v>14341</v>
      </c>
      <c r="C4675" t="str">
        <f>"82515977"</f>
        <v>82515977</v>
      </c>
      <c r="D4675" t="s">
        <v>14256</v>
      </c>
      <c r="F4675" t="s">
        <v>14257</v>
      </c>
      <c r="I4675" t="s">
        <v>29</v>
      </c>
      <c r="J4675" t="s">
        <v>30</v>
      </c>
      <c r="K4675" t="s">
        <v>14258</v>
      </c>
      <c r="M4675" t="s">
        <v>32</v>
      </c>
      <c r="N4675" t="str">
        <f>"6/18/2009 12:00:00 AM"</f>
        <v>6/18/2009 12:00:00 AM</v>
      </c>
      <c r="O4675" t="s">
        <v>14256</v>
      </c>
    </row>
    <row r="4676" spans="1:20" x14ac:dyDescent="0.25">
      <c r="A4676" t="str">
        <f>"3051422"</f>
        <v>3051422</v>
      </c>
      <c r="B4676" t="s">
        <v>14342</v>
      </c>
      <c r="C4676" t="str">
        <f>"62510400"</f>
        <v>62510400</v>
      </c>
      <c r="D4676" t="s">
        <v>14343</v>
      </c>
      <c r="E4676" t="s">
        <v>14344</v>
      </c>
      <c r="F4676" t="s">
        <v>14345</v>
      </c>
      <c r="I4676" t="s">
        <v>29</v>
      </c>
      <c r="J4676" t="s">
        <v>30</v>
      </c>
      <c r="K4676" t="s">
        <v>14346</v>
      </c>
      <c r="M4676" t="s">
        <v>32</v>
      </c>
      <c r="N4676" t="str">
        <f>"1/24/2006 12:00:00 AM"</f>
        <v>1/24/2006 12:00:00 AM</v>
      </c>
      <c r="O4676" t="s">
        <v>14343</v>
      </c>
      <c r="T4676" t="s">
        <v>14344</v>
      </c>
    </row>
    <row r="4677" spans="1:20" x14ac:dyDescent="0.25">
      <c r="A4677" t="str">
        <f>"3051547"</f>
        <v>3051547</v>
      </c>
      <c r="B4677" t="s">
        <v>14347</v>
      </c>
      <c r="C4677" t="str">
        <f>"82527562"</f>
        <v>82527562</v>
      </c>
      <c r="D4677" t="s">
        <v>14348</v>
      </c>
      <c r="E4677" t="s">
        <v>14349</v>
      </c>
      <c r="F4677" t="s">
        <v>14350</v>
      </c>
      <c r="I4677" t="s">
        <v>29</v>
      </c>
      <c r="J4677" t="s">
        <v>30</v>
      </c>
      <c r="K4677" t="s">
        <v>31</v>
      </c>
      <c r="M4677" t="s">
        <v>32</v>
      </c>
      <c r="N4677" t="str">
        <f>"10/26/2011 12:00:00 AM"</f>
        <v>10/26/2011 12:00:00 AM</v>
      </c>
      <c r="O4677" t="s">
        <v>14348</v>
      </c>
      <c r="T4677" t="s">
        <v>14349</v>
      </c>
    </row>
    <row r="4678" spans="1:20" x14ac:dyDescent="0.25">
      <c r="A4678" t="str">
        <f>"3051066"</f>
        <v>3051066</v>
      </c>
      <c r="B4678" t="s">
        <v>14351</v>
      </c>
      <c r="C4678" t="str">
        <f>"82529103"</f>
        <v>82529103</v>
      </c>
      <c r="D4678" t="s">
        <v>14352</v>
      </c>
      <c r="F4678" t="s">
        <v>14353</v>
      </c>
      <c r="I4678" t="s">
        <v>2280</v>
      </c>
      <c r="J4678" t="s">
        <v>30</v>
      </c>
      <c r="K4678" t="s">
        <v>9127</v>
      </c>
      <c r="M4678" t="s">
        <v>32</v>
      </c>
      <c r="N4678" t="str">
        <f>"1/18/2008 12:00:00 AM"</f>
        <v>1/18/2008 12:00:00 AM</v>
      </c>
      <c r="O4678" t="s">
        <v>14352</v>
      </c>
    </row>
    <row r="4679" spans="1:20" x14ac:dyDescent="0.25">
      <c r="A4679" t="str">
        <f>"3051607"</f>
        <v>3051607</v>
      </c>
      <c r="B4679" t="s">
        <v>14354</v>
      </c>
      <c r="C4679" t="str">
        <f>"82529104"</f>
        <v>82529104</v>
      </c>
      <c r="D4679" t="s">
        <v>14355</v>
      </c>
      <c r="F4679" t="s">
        <v>14356</v>
      </c>
      <c r="I4679" t="s">
        <v>471</v>
      </c>
      <c r="J4679" t="s">
        <v>30</v>
      </c>
      <c r="K4679" t="s">
        <v>625</v>
      </c>
      <c r="M4679" t="s">
        <v>32</v>
      </c>
      <c r="N4679" t="str">
        <f>"1/18/2008 12:00:00 AM"</f>
        <v>1/18/2008 12:00:00 AM</v>
      </c>
      <c r="O4679" t="s">
        <v>14355</v>
      </c>
    </row>
    <row r="4680" spans="1:20" x14ac:dyDescent="0.25">
      <c r="A4680" t="str">
        <f>"3051490"</f>
        <v>3051490</v>
      </c>
      <c r="B4680" t="s">
        <v>14357</v>
      </c>
      <c r="C4680" t="str">
        <f>"45680000"</f>
        <v>45680000</v>
      </c>
      <c r="D4680" t="s">
        <v>14358</v>
      </c>
      <c r="E4680" t="s">
        <v>14359</v>
      </c>
      <c r="F4680" t="s">
        <v>14360</v>
      </c>
      <c r="I4680" t="s">
        <v>29</v>
      </c>
      <c r="J4680" t="s">
        <v>30</v>
      </c>
      <c r="K4680" t="s">
        <v>14361</v>
      </c>
      <c r="M4680" t="s">
        <v>32</v>
      </c>
      <c r="N4680" t="str">
        <f>"1/25/2010 12:00:00 AM"</f>
        <v>1/25/2010 12:00:00 AM</v>
      </c>
      <c r="O4680" t="s">
        <v>14358</v>
      </c>
      <c r="T4680" t="s">
        <v>14359</v>
      </c>
    </row>
    <row r="4681" spans="1:20" x14ac:dyDescent="0.25">
      <c r="A4681" t="str">
        <f>"3051559"</f>
        <v>3051559</v>
      </c>
      <c r="B4681" t="s">
        <v>14362</v>
      </c>
      <c r="C4681" t="str">
        <f>"82515521"</f>
        <v>82515521</v>
      </c>
      <c r="D4681" t="s">
        <v>14363</v>
      </c>
      <c r="F4681" t="s">
        <v>14364</v>
      </c>
      <c r="I4681" t="s">
        <v>29</v>
      </c>
      <c r="J4681" t="s">
        <v>30</v>
      </c>
      <c r="K4681" t="s">
        <v>14365</v>
      </c>
      <c r="M4681" t="s">
        <v>32</v>
      </c>
      <c r="N4681" t="str">
        <f>"1/23/2006 12:00:00 AM"</f>
        <v>1/23/2006 12:00:00 AM</v>
      </c>
      <c r="O4681" t="s">
        <v>14363</v>
      </c>
    </row>
    <row r="4682" spans="1:20" x14ac:dyDescent="0.25">
      <c r="A4682" t="str">
        <f>"3051121"</f>
        <v>3051121</v>
      </c>
      <c r="B4682" t="s">
        <v>14366</v>
      </c>
      <c r="C4682" t="str">
        <f>"31970000"</f>
        <v>31970000</v>
      </c>
      <c r="D4682" t="s">
        <v>14367</v>
      </c>
      <c r="F4682" t="s">
        <v>14368</v>
      </c>
      <c r="I4682" t="s">
        <v>29</v>
      </c>
      <c r="J4682" t="s">
        <v>30</v>
      </c>
      <c r="K4682" t="s">
        <v>14369</v>
      </c>
      <c r="M4682" t="s">
        <v>32</v>
      </c>
      <c r="N4682" t="str">
        <f>"1/15/2008 12:00:00 AM"</f>
        <v>1/15/2008 12:00:00 AM</v>
      </c>
      <c r="O4682" t="s">
        <v>14367</v>
      </c>
    </row>
    <row r="4683" spans="1:20" x14ac:dyDescent="0.25">
      <c r="A4683" t="str">
        <f>"3051557"</f>
        <v>3051557</v>
      </c>
      <c r="B4683" t="s">
        <v>14370</v>
      </c>
      <c r="C4683" t="str">
        <f>"82516557"</f>
        <v>82516557</v>
      </c>
      <c r="D4683" t="s">
        <v>14371</v>
      </c>
      <c r="F4683" t="s">
        <v>14372</v>
      </c>
      <c r="I4683" t="s">
        <v>29</v>
      </c>
      <c r="J4683" t="s">
        <v>30</v>
      </c>
      <c r="K4683" t="s">
        <v>31</v>
      </c>
      <c r="M4683" t="s">
        <v>32</v>
      </c>
      <c r="N4683" t="str">
        <f>"10/5/2009 12:00:00 AM"</f>
        <v>10/5/2009 12:00:00 AM</v>
      </c>
      <c r="O4683" t="s">
        <v>14371</v>
      </c>
    </row>
    <row r="4684" spans="1:20" x14ac:dyDescent="0.25">
      <c r="A4684" t="str">
        <f>"3051225"</f>
        <v>3051225</v>
      </c>
      <c r="B4684" t="s">
        <v>14373</v>
      </c>
      <c r="C4684" t="str">
        <f>"45680000"</f>
        <v>45680000</v>
      </c>
      <c r="D4684" t="s">
        <v>14358</v>
      </c>
      <c r="E4684" t="s">
        <v>14359</v>
      </c>
      <c r="F4684" t="s">
        <v>14360</v>
      </c>
      <c r="I4684" t="s">
        <v>29</v>
      </c>
      <c r="J4684" t="s">
        <v>30</v>
      </c>
      <c r="K4684" t="s">
        <v>14361</v>
      </c>
      <c r="M4684" t="s">
        <v>32</v>
      </c>
      <c r="N4684" t="str">
        <f>"1/25/2010 12:00:00 AM"</f>
        <v>1/25/2010 12:00:00 AM</v>
      </c>
      <c r="O4684" t="s">
        <v>14358</v>
      </c>
      <c r="T4684" t="s">
        <v>14359</v>
      </c>
    </row>
    <row r="4685" spans="1:20" x14ac:dyDescent="0.25">
      <c r="A4685" t="str">
        <f>"3051123"</f>
        <v>3051123</v>
      </c>
      <c r="B4685" t="s">
        <v>14374</v>
      </c>
      <c r="C4685" t="str">
        <f>"82516377"</f>
        <v>82516377</v>
      </c>
      <c r="D4685" t="s">
        <v>14375</v>
      </c>
      <c r="E4685" t="s">
        <v>14376</v>
      </c>
      <c r="F4685" t="s">
        <v>14377</v>
      </c>
      <c r="I4685" t="s">
        <v>14378</v>
      </c>
      <c r="J4685" t="s">
        <v>30</v>
      </c>
      <c r="K4685" t="s">
        <v>1210</v>
      </c>
      <c r="N4685" t="str">
        <f>"7/2/2001 12:00:00 AM"</f>
        <v>7/2/2001 12:00:00 AM</v>
      </c>
      <c r="O4685" t="s">
        <v>14375</v>
      </c>
      <c r="T4685" t="s">
        <v>14376</v>
      </c>
    </row>
    <row r="4686" spans="1:20" x14ac:dyDescent="0.25">
      <c r="A4686" t="str">
        <f>"3051441"</f>
        <v>3051441</v>
      </c>
      <c r="B4686" t="s">
        <v>14379</v>
      </c>
      <c r="C4686" t="str">
        <f>"10800000"</f>
        <v>10800000</v>
      </c>
      <c r="D4686" t="s">
        <v>14380</v>
      </c>
      <c r="F4686" t="s">
        <v>14381</v>
      </c>
      <c r="I4686" t="s">
        <v>29</v>
      </c>
      <c r="J4686" t="s">
        <v>30</v>
      </c>
      <c r="K4686" t="s">
        <v>31</v>
      </c>
      <c r="M4686" t="s">
        <v>32</v>
      </c>
      <c r="N4686" t="str">
        <f>"6/12/2003 12:00:00 AM"</f>
        <v>6/12/2003 12:00:00 AM</v>
      </c>
      <c r="O4686" t="s">
        <v>14380</v>
      </c>
    </row>
    <row r="4687" spans="1:20" x14ac:dyDescent="0.25">
      <c r="A4687" t="str">
        <f>"3050068"</f>
        <v>3050068</v>
      </c>
      <c r="B4687" t="s">
        <v>14382</v>
      </c>
      <c r="C4687" t="str">
        <f>"43628000"</f>
        <v>43628000</v>
      </c>
      <c r="D4687" t="s">
        <v>14383</v>
      </c>
      <c r="E4687" t="s">
        <v>14384</v>
      </c>
      <c r="F4687" t="s">
        <v>14385</v>
      </c>
      <c r="I4687" t="s">
        <v>29</v>
      </c>
      <c r="J4687" t="s">
        <v>30</v>
      </c>
      <c r="K4687" t="s">
        <v>14386</v>
      </c>
      <c r="M4687" t="s">
        <v>32</v>
      </c>
      <c r="N4687" t="str">
        <f>"2/13/2007 12:00:00 AM"</f>
        <v>2/13/2007 12:00:00 AM</v>
      </c>
      <c r="O4687" t="s">
        <v>14383</v>
      </c>
      <c r="T4687" t="s">
        <v>14384</v>
      </c>
    </row>
    <row r="4688" spans="1:20" x14ac:dyDescent="0.25">
      <c r="A4688" t="str">
        <f>"3050069"</f>
        <v>3050069</v>
      </c>
      <c r="B4688" t="s">
        <v>14387</v>
      </c>
      <c r="C4688" t="str">
        <f>"43628000"</f>
        <v>43628000</v>
      </c>
      <c r="D4688" t="s">
        <v>14383</v>
      </c>
      <c r="E4688" t="s">
        <v>14384</v>
      </c>
      <c r="F4688" t="s">
        <v>14385</v>
      </c>
      <c r="I4688" t="s">
        <v>29</v>
      </c>
      <c r="J4688" t="s">
        <v>30</v>
      </c>
      <c r="K4688" t="s">
        <v>14386</v>
      </c>
      <c r="M4688" t="s">
        <v>32</v>
      </c>
      <c r="N4688" t="str">
        <f>"2/13/2007 12:00:00 AM"</f>
        <v>2/13/2007 12:00:00 AM</v>
      </c>
      <c r="O4688" t="s">
        <v>14383</v>
      </c>
      <c r="T4688" t="s">
        <v>14384</v>
      </c>
    </row>
    <row r="4689" spans="1:20" x14ac:dyDescent="0.25">
      <c r="A4689" t="str">
        <f>"3049593"</f>
        <v>3049593</v>
      </c>
      <c r="B4689" t="s">
        <v>14388</v>
      </c>
      <c r="C4689" t="str">
        <f>"43628000"</f>
        <v>43628000</v>
      </c>
      <c r="D4689" t="s">
        <v>14383</v>
      </c>
      <c r="E4689" t="s">
        <v>14384</v>
      </c>
      <c r="F4689" t="s">
        <v>14385</v>
      </c>
      <c r="I4689" t="s">
        <v>29</v>
      </c>
      <c r="J4689" t="s">
        <v>30</v>
      </c>
      <c r="K4689" t="s">
        <v>14386</v>
      </c>
      <c r="M4689" t="s">
        <v>32</v>
      </c>
      <c r="N4689" t="str">
        <f>"2/13/2007 12:00:00 AM"</f>
        <v>2/13/2007 12:00:00 AM</v>
      </c>
      <c r="O4689" t="s">
        <v>14383</v>
      </c>
      <c r="T4689" t="s">
        <v>14384</v>
      </c>
    </row>
    <row r="4690" spans="1:20" x14ac:dyDescent="0.25">
      <c r="A4690" t="str">
        <f>"3049597"</f>
        <v>3049597</v>
      </c>
      <c r="B4690" t="s">
        <v>14389</v>
      </c>
      <c r="C4690" t="str">
        <f>"43616000"</f>
        <v>43616000</v>
      </c>
      <c r="D4690" t="s">
        <v>14390</v>
      </c>
      <c r="F4690" t="s">
        <v>14391</v>
      </c>
      <c r="I4690" t="s">
        <v>29</v>
      </c>
      <c r="J4690" t="s">
        <v>30</v>
      </c>
      <c r="K4690" t="s">
        <v>31</v>
      </c>
      <c r="M4690" t="s">
        <v>32</v>
      </c>
      <c r="N4690" t="str">
        <f>"10/1/2002 12:00:00 AM"</f>
        <v>10/1/2002 12:00:00 AM</v>
      </c>
      <c r="O4690" t="s">
        <v>14390</v>
      </c>
    </row>
    <row r="4691" spans="1:20" x14ac:dyDescent="0.25">
      <c r="A4691" t="str">
        <f>"3049592"</f>
        <v>3049592</v>
      </c>
      <c r="B4691" t="s">
        <v>14392</v>
      </c>
      <c r="C4691" t="str">
        <f>"43616000"</f>
        <v>43616000</v>
      </c>
      <c r="D4691" t="s">
        <v>14390</v>
      </c>
      <c r="F4691" t="s">
        <v>14391</v>
      </c>
      <c r="I4691" t="s">
        <v>29</v>
      </c>
      <c r="J4691" t="s">
        <v>30</v>
      </c>
      <c r="K4691" t="s">
        <v>31</v>
      </c>
      <c r="M4691" t="s">
        <v>32</v>
      </c>
      <c r="N4691" t="str">
        <f>"10/1/2002 12:00:00 AM"</f>
        <v>10/1/2002 12:00:00 AM</v>
      </c>
      <c r="O4691" t="s">
        <v>14390</v>
      </c>
    </row>
    <row r="4692" spans="1:20" x14ac:dyDescent="0.25">
      <c r="A4692" t="str">
        <f>"3050102"</f>
        <v>3050102</v>
      </c>
      <c r="B4692" t="s">
        <v>14393</v>
      </c>
      <c r="C4692" t="str">
        <f>"43616000"</f>
        <v>43616000</v>
      </c>
      <c r="D4692" t="s">
        <v>14390</v>
      </c>
      <c r="F4692" t="s">
        <v>14391</v>
      </c>
      <c r="I4692" t="s">
        <v>29</v>
      </c>
      <c r="J4692" t="s">
        <v>30</v>
      </c>
      <c r="K4692" t="s">
        <v>31</v>
      </c>
      <c r="M4692" t="s">
        <v>32</v>
      </c>
      <c r="N4692" t="str">
        <f>"10/1/2002 12:00:00 AM"</f>
        <v>10/1/2002 12:00:00 AM</v>
      </c>
      <c r="O4692" t="s">
        <v>14390</v>
      </c>
    </row>
    <row r="4693" spans="1:20" x14ac:dyDescent="0.25">
      <c r="A4693" t="str">
        <f>"3051442"</f>
        <v>3051442</v>
      </c>
      <c r="B4693" t="s">
        <v>14394</v>
      </c>
      <c r="C4693" t="str">
        <f>"14906500"</f>
        <v>14906500</v>
      </c>
      <c r="D4693" t="s">
        <v>14395</v>
      </c>
      <c r="F4693" t="str">
        <f>"C/O DEBORAH MATHIS-MILLER"</f>
        <v>C/O DEBORAH MATHIS-MILLER</v>
      </c>
      <c r="G4693" t="s">
        <v>14396</v>
      </c>
      <c r="I4693" t="s">
        <v>14397</v>
      </c>
      <c r="J4693" t="s">
        <v>30</v>
      </c>
      <c r="K4693" t="s">
        <v>14398</v>
      </c>
      <c r="M4693" t="s">
        <v>32</v>
      </c>
      <c r="N4693" t="str">
        <f>"11/4/2008 12:00:00 AM"</f>
        <v>11/4/2008 12:00:00 AM</v>
      </c>
      <c r="O4693" t="s">
        <v>14395</v>
      </c>
    </row>
    <row r="4694" spans="1:20" x14ac:dyDescent="0.25">
      <c r="A4694" t="str">
        <f>"3049523"</f>
        <v>3049523</v>
      </c>
      <c r="B4694" t="s">
        <v>14399</v>
      </c>
      <c r="C4694" t="str">
        <f>"40036550"</f>
        <v>40036550</v>
      </c>
      <c r="D4694" t="s">
        <v>14400</v>
      </c>
      <c r="F4694" t="s">
        <v>14401</v>
      </c>
      <c r="I4694" t="s">
        <v>29</v>
      </c>
      <c r="J4694" t="s">
        <v>30</v>
      </c>
      <c r="K4694" t="s">
        <v>31</v>
      </c>
      <c r="M4694" t="s">
        <v>32</v>
      </c>
      <c r="N4694" t="str">
        <f>"4/21/2003 12:00:00 AM"</f>
        <v>4/21/2003 12:00:00 AM</v>
      </c>
      <c r="O4694" t="s">
        <v>14400</v>
      </c>
    </row>
    <row r="4695" spans="1:20" x14ac:dyDescent="0.25">
      <c r="A4695" t="str">
        <f>"3065329"</f>
        <v>3065329</v>
      </c>
      <c r="B4695" t="s">
        <v>14402</v>
      </c>
      <c r="C4695" t="str">
        <f>"82525853"</f>
        <v>82525853</v>
      </c>
      <c r="D4695" t="s">
        <v>14403</v>
      </c>
      <c r="F4695" t="s">
        <v>14404</v>
      </c>
      <c r="I4695" t="s">
        <v>29</v>
      </c>
      <c r="J4695" t="s">
        <v>30</v>
      </c>
      <c r="K4695" t="s">
        <v>14405</v>
      </c>
      <c r="M4695" t="s">
        <v>32</v>
      </c>
      <c r="N4695" t="str">
        <f>"3/16/2006 12:00:00 AM"</f>
        <v>3/16/2006 12:00:00 AM</v>
      </c>
      <c r="O4695" t="s">
        <v>14403</v>
      </c>
    </row>
    <row r="4696" spans="1:20" x14ac:dyDescent="0.25">
      <c r="A4696" t="str">
        <f>"3078641"</f>
        <v>3078641</v>
      </c>
      <c r="B4696" t="s">
        <v>14406</v>
      </c>
      <c r="C4696" t="str">
        <f>"65772000"</f>
        <v>65772000</v>
      </c>
      <c r="D4696" t="s">
        <v>14407</v>
      </c>
      <c r="E4696" t="s">
        <v>14408</v>
      </c>
      <c r="F4696" t="s">
        <v>14409</v>
      </c>
      <c r="I4696" t="s">
        <v>29</v>
      </c>
      <c r="J4696" t="s">
        <v>30</v>
      </c>
      <c r="K4696" t="s">
        <v>31</v>
      </c>
      <c r="M4696" t="s">
        <v>32</v>
      </c>
      <c r="N4696" t="str">
        <f>"10/1/2002 12:00:00 AM"</f>
        <v>10/1/2002 12:00:00 AM</v>
      </c>
      <c r="O4696" t="s">
        <v>14407</v>
      </c>
      <c r="T4696" t="s">
        <v>14408</v>
      </c>
    </row>
    <row r="4697" spans="1:20" x14ac:dyDescent="0.25">
      <c r="A4697" t="str">
        <f>"3050120"</f>
        <v>3050120</v>
      </c>
      <c r="B4697" t="s">
        <v>14410</v>
      </c>
      <c r="C4697" t="str">
        <f>"65772000"</f>
        <v>65772000</v>
      </c>
      <c r="D4697" t="s">
        <v>14407</v>
      </c>
      <c r="E4697" t="s">
        <v>14408</v>
      </c>
      <c r="F4697" t="s">
        <v>14409</v>
      </c>
      <c r="I4697" t="s">
        <v>29</v>
      </c>
      <c r="J4697" t="s">
        <v>30</v>
      </c>
      <c r="K4697" t="s">
        <v>31</v>
      </c>
      <c r="M4697" t="s">
        <v>32</v>
      </c>
      <c r="N4697" t="str">
        <f>"10/1/2002 12:00:00 AM"</f>
        <v>10/1/2002 12:00:00 AM</v>
      </c>
      <c r="O4697" t="s">
        <v>14407</v>
      </c>
      <c r="T4697" t="s">
        <v>14408</v>
      </c>
    </row>
    <row r="4698" spans="1:20" x14ac:dyDescent="0.25">
      <c r="A4698" t="str">
        <f>"3053982"</f>
        <v>3053982</v>
      </c>
      <c r="B4698" t="s">
        <v>14411</v>
      </c>
      <c r="C4698" t="str">
        <f>"6517590"</f>
        <v>6517590</v>
      </c>
      <c r="D4698" t="s">
        <v>14412</v>
      </c>
      <c r="F4698" t="s">
        <v>14413</v>
      </c>
      <c r="I4698" t="s">
        <v>29</v>
      </c>
      <c r="J4698" t="s">
        <v>30</v>
      </c>
      <c r="K4698" t="s">
        <v>10301</v>
      </c>
      <c r="M4698" t="s">
        <v>32</v>
      </c>
      <c r="N4698" t="str">
        <f>"5/26/2006 12:00:00 AM"</f>
        <v>5/26/2006 12:00:00 AM</v>
      </c>
      <c r="O4698" t="s">
        <v>14412</v>
      </c>
    </row>
    <row r="4699" spans="1:20" x14ac:dyDescent="0.25">
      <c r="A4699" t="str">
        <f>"3053983"</f>
        <v>3053983</v>
      </c>
      <c r="B4699" t="s">
        <v>14414</v>
      </c>
      <c r="C4699" t="str">
        <f>"71024480"</f>
        <v>71024480</v>
      </c>
      <c r="D4699" t="s">
        <v>14415</v>
      </c>
      <c r="E4699" t="s">
        <v>14416</v>
      </c>
      <c r="F4699" t="s">
        <v>14417</v>
      </c>
      <c r="I4699" t="s">
        <v>29</v>
      </c>
      <c r="J4699" t="s">
        <v>30</v>
      </c>
      <c r="K4699" t="s">
        <v>31</v>
      </c>
      <c r="M4699" t="s">
        <v>32</v>
      </c>
      <c r="N4699" t="str">
        <f>"5/24/2004 12:00:00 AM"</f>
        <v>5/24/2004 12:00:00 AM</v>
      </c>
      <c r="O4699" t="s">
        <v>14415</v>
      </c>
      <c r="T4699" t="s">
        <v>14416</v>
      </c>
    </row>
    <row r="4700" spans="1:20" x14ac:dyDescent="0.25">
      <c r="A4700" t="str">
        <f>"3053968"</f>
        <v>3053968</v>
      </c>
      <c r="B4700" t="s">
        <v>14418</v>
      </c>
      <c r="C4700" t="str">
        <f>"12710060"</f>
        <v>12710060</v>
      </c>
      <c r="D4700" t="s">
        <v>14419</v>
      </c>
      <c r="F4700" t="s">
        <v>14420</v>
      </c>
      <c r="I4700" t="s">
        <v>29</v>
      </c>
      <c r="J4700" t="s">
        <v>30</v>
      </c>
      <c r="K4700" t="s">
        <v>14421</v>
      </c>
      <c r="M4700" t="s">
        <v>32</v>
      </c>
      <c r="N4700" t="str">
        <f>"1/12/2006 12:00:00 AM"</f>
        <v>1/12/2006 12:00:00 AM</v>
      </c>
      <c r="O4700" t="s">
        <v>14419</v>
      </c>
      <c r="T4700" t="s">
        <v>14419</v>
      </c>
    </row>
    <row r="4701" spans="1:20" x14ac:dyDescent="0.25">
      <c r="A4701" t="str">
        <f>"3049689"</f>
        <v>3049689</v>
      </c>
      <c r="B4701" t="s">
        <v>14422</v>
      </c>
      <c r="C4701" t="str">
        <f>"12710060"</f>
        <v>12710060</v>
      </c>
      <c r="D4701" t="s">
        <v>14419</v>
      </c>
      <c r="F4701" t="s">
        <v>14420</v>
      </c>
      <c r="I4701" t="s">
        <v>29</v>
      </c>
      <c r="J4701" t="s">
        <v>30</v>
      </c>
      <c r="K4701" t="s">
        <v>14421</v>
      </c>
      <c r="M4701" t="s">
        <v>32</v>
      </c>
      <c r="N4701" t="str">
        <f>"1/12/2006 12:00:00 AM"</f>
        <v>1/12/2006 12:00:00 AM</v>
      </c>
      <c r="O4701" t="s">
        <v>14419</v>
      </c>
      <c r="T4701" t="s">
        <v>14419</v>
      </c>
    </row>
    <row r="4702" spans="1:20" x14ac:dyDescent="0.25">
      <c r="A4702" t="str">
        <f>"3051200"</f>
        <v>3051200</v>
      </c>
      <c r="B4702" t="s">
        <v>14423</v>
      </c>
      <c r="C4702" t="str">
        <f>"14906500"</f>
        <v>14906500</v>
      </c>
      <c r="D4702" t="s">
        <v>14395</v>
      </c>
      <c r="F4702" t="str">
        <f>"C/O DEBORAH MATHIS-MILLER"</f>
        <v>C/O DEBORAH MATHIS-MILLER</v>
      </c>
      <c r="G4702" t="s">
        <v>14396</v>
      </c>
      <c r="I4702" t="s">
        <v>14397</v>
      </c>
      <c r="J4702" t="s">
        <v>30</v>
      </c>
      <c r="K4702" t="s">
        <v>14398</v>
      </c>
      <c r="M4702" t="s">
        <v>32</v>
      </c>
      <c r="N4702" t="str">
        <f>"11/4/2008 12:00:00 AM"</f>
        <v>11/4/2008 12:00:00 AM</v>
      </c>
      <c r="O4702" t="s">
        <v>14395</v>
      </c>
    </row>
    <row r="4703" spans="1:20" x14ac:dyDescent="0.25">
      <c r="A4703" t="str">
        <f>"3069447"</f>
        <v>3069447</v>
      </c>
      <c r="B4703" t="s">
        <v>14424</v>
      </c>
      <c r="C4703" t="str">
        <f>"82527502"</f>
        <v>82527502</v>
      </c>
      <c r="D4703" t="s">
        <v>14425</v>
      </c>
      <c r="E4703" t="s">
        <v>14426</v>
      </c>
      <c r="F4703" t="s">
        <v>14427</v>
      </c>
      <c r="I4703" t="s">
        <v>29</v>
      </c>
      <c r="J4703" t="s">
        <v>30</v>
      </c>
      <c r="K4703" t="s">
        <v>31</v>
      </c>
      <c r="M4703" t="s">
        <v>32</v>
      </c>
      <c r="N4703" t="str">
        <f>"3/31/2011 12:00:00 AM"</f>
        <v>3/31/2011 12:00:00 AM</v>
      </c>
      <c r="O4703" t="s">
        <v>14425</v>
      </c>
      <c r="T4703" t="s">
        <v>14426</v>
      </c>
    </row>
    <row r="4704" spans="1:20" x14ac:dyDescent="0.25">
      <c r="A4704" t="str">
        <f>"3071237"</f>
        <v>3071237</v>
      </c>
      <c r="B4704" t="s">
        <v>14428</v>
      </c>
      <c r="C4704" t="str">
        <f>"20398500"</f>
        <v>20398500</v>
      </c>
      <c r="D4704" t="s">
        <v>14429</v>
      </c>
      <c r="E4704" t="s">
        <v>14430</v>
      </c>
      <c r="F4704" t="s">
        <v>14431</v>
      </c>
      <c r="I4704" t="s">
        <v>29</v>
      </c>
      <c r="J4704" t="s">
        <v>30</v>
      </c>
      <c r="K4704" t="s">
        <v>31</v>
      </c>
      <c r="M4704" t="s">
        <v>32</v>
      </c>
      <c r="N4704" t="str">
        <f>"10/1/2002 12:00:00 AM"</f>
        <v>10/1/2002 12:00:00 AM</v>
      </c>
      <c r="O4704" t="s">
        <v>14429</v>
      </c>
      <c r="T4704" t="s">
        <v>14430</v>
      </c>
    </row>
    <row r="4705" spans="1:20" x14ac:dyDescent="0.25">
      <c r="A4705" t="str">
        <f>"3071236"</f>
        <v>3071236</v>
      </c>
      <c r="B4705" t="s">
        <v>14432</v>
      </c>
      <c r="C4705" t="str">
        <f>"20398500"</f>
        <v>20398500</v>
      </c>
      <c r="D4705" t="s">
        <v>14429</v>
      </c>
      <c r="E4705" t="s">
        <v>14430</v>
      </c>
      <c r="F4705" t="s">
        <v>14431</v>
      </c>
      <c r="I4705" t="s">
        <v>29</v>
      </c>
      <c r="J4705" t="s">
        <v>30</v>
      </c>
      <c r="K4705" t="s">
        <v>31</v>
      </c>
      <c r="M4705" t="s">
        <v>32</v>
      </c>
      <c r="N4705" t="str">
        <f>"10/1/2002 12:00:00 AM"</f>
        <v>10/1/2002 12:00:00 AM</v>
      </c>
      <c r="O4705" t="s">
        <v>14429</v>
      </c>
      <c r="T4705" t="s">
        <v>14430</v>
      </c>
    </row>
    <row r="4706" spans="1:20" x14ac:dyDescent="0.25">
      <c r="A4706" t="str">
        <f>"3057285"</f>
        <v>3057285</v>
      </c>
      <c r="B4706" t="s">
        <v>14433</v>
      </c>
      <c r="C4706" t="str">
        <f>"55240500"</f>
        <v>55240500</v>
      </c>
      <c r="D4706" t="s">
        <v>14434</v>
      </c>
      <c r="F4706" t="s">
        <v>14435</v>
      </c>
      <c r="I4706" t="s">
        <v>29</v>
      </c>
      <c r="J4706" t="s">
        <v>30</v>
      </c>
      <c r="K4706" t="s">
        <v>31</v>
      </c>
      <c r="M4706" t="s">
        <v>32</v>
      </c>
      <c r="N4706" t="str">
        <f>"1/16/2003 12:00:00 AM"</f>
        <v>1/16/2003 12:00:00 AM</v>
      </c>
      <c r="O4706" t="s">
        <v>14434</v>
      </c>
    </row>
    <row r="4707" spans="1:20" x14ac:dyDescent="0.25">
      <c r="A4707" t="str">
        <f>"3057286"</f>
        <v>3057286</v>
      </c>
      <c r="B4707" t="s">
        <v>14436</v>
      </c>
      <c r="C4707" t="str">
        <f>"55240500"</f>
        <v>55240500</v>
      </c>
      <c r="D4707" t="s">
        <v>14434</v>
      </c>
      <c r="F4707" t="s">
        <v>14435</v>
      </c>
      <c r="I4707" t="s">
        <v>29</v>
      </c>
      <c r="J4707" t="s">
        <v>30</v>
      </c>
      <c r="K4707" t="s">
        <v>31</v>
      </c>
      <c r="M4707" t="s">
        <v>32</v>
      </c>
      <c r="N4707" t="str">
        <f>"1/16/2003 12:00:00 AM"</f>
        <v>1/16/2003 12:00:00 AM</v>
      </c>
      <c r="O4707" t="s">
        <v>14434</v>
      </c>
    </row>
    <row r="4708" spans="1:20" x14ac:dyDescent="0.25">
      <c r="A4708" t="str">
        <f>"3059012"</f>
        <v>3059012</v>
      </c>
      <c r="B4708" t="s">
        <v>14437</v>
      </c>
      <c r="C4708" t="str">
        <f>"82522376"</f>
        <v>82522376</v>
      </c>
      <c r="D4708" t="s">
        <v>14434</v>
      </c>
      <c r="E4708" t="s">
        <v>14438</v>
      </c>
      <c r="F4708" t="s">
        <v>14435</v>
      </c>
      <c r="I4708" t="s">
        <v>29</v>
      </c>
      <c r="J4708" t="s">
        <v>30</v>
      </c>
      <c r="K4708" t="s">
        <v>14439</v>
      </c>
      <c r="M4708" t="s">
        <v>32</v>
      </c>
      <c r="N4708" t="str">
        <f>"2/4/2010 12:00:00 AM"</f>
        <v>2/4/2010 12:00:00 AM</v>
      </c>
      <c r="O4708" t="s">
        <v>14434</v>
      </c>
      <c r="T4708" t="s">
        <v>14438</v>
      </c>
    </row>
    <row r="4709" spans="1:20" x14ac:dyDescent="0.25">
      <c r="A4709" t="str">
        <f>"3062288"</f>
        <v>3062288</v>
      </c>
      <c r="B4709" t="s">
        <v>14440</v>
      </c>
      <c r="C4709" t="str">
        <f>"82523251"</f>
        <v>82523251</v>
      </c>
      <c r="D4709" t="s">
        <v>14441</v>
      </c>
      <c r="E4709" t="s">
        <v>14442</v>
      </c>
      <c r="F4709" t="s">
        <v>14443</v>
      </c>
      <c r="I4709" t="s">
        <v>29</v>
      </c>
      <c r="J4709" t="s">
        <v>30</v>
      </c>
      <c r="K4709" t="s">
        <v>14444</v>
      </c>
      <c r="M4709" t="s">
        <v>32</v>
      </c>
      <c r="N4709" t="str">
        <f>"1/25/2005 12:00:00 AM"</f>
        <v>1/25/2005 12:00:00 AM</v>
      </c>
      <c r="O4709" t="s">
        <v>14441</v>
      </c>
      <c r="T4709" t="s">
        <v>14442</v>
      </c>
    </row>
    <row r="4710" spans="1:20" x14ac:dyDescent="0.25">
      <c r="A4710" t="str">
        <f>"3078970"</f>
        <v>3078970</v>
      </c>
      <c r="B4710" t="s">
        <v>14445</v>
      </c>
      <c r="C4710" t="str">
        <f>"54330560"</f>
        <v>54330560</v>
      </c>
      <c r="D4710" t="s">
        <v>14306</v>
      </c>
      <c r="F4710" t="str">
        <f>"C/O SHARON Z ESTES"</f>
        <v>C/O SHARON Z ESTES</v>
      </c>
      <c r="G4710" t="s">
        <v>14307</v>
      </c>
      <c r="I4710" t="s">
        <v>1107</v>
      </c>
      <c r="J4710" t="s">
        <v>30</v>
      </c>
      <c r="K4710" t="s">
        <v>13026</v>
      </c>
      <c r="M4710" t="s">
        <v>32</v>
      </c>
      <c r="N4710" t="str">
        <f>"12/9/2003 12:00:00 AM"</f>
        <v>12/9/2003 12:00:00 AM</v>
      </c>
      <c r="O4710" t="s">
        <v>14306</v>
      </c>
    </row>
    <row r="4711" spans="1:20" x14ac:dyDescent="0.25">
      <c r="A4711" t="str">
        <f>"3078971"</f>
        <v>3078971</v>
      </c>
      <c r="B4711" t="s">
        <v>14446</v>
      </c>
      <c r="C4711" t="str">
        <f>"8602000"</f>
        <v>8602000</v>
      </c>
      <c r="D4711" t="s">
        <v>14447</v>
      </c>
      <c r="E4711" t="s">
        <v>14448</v>
      </c>
      <c r="F4711" t="s">
        <v>14449</v>
      </c>
      <c r="I4711" t="s">
        <v>29</v>
      </c>
      <c r="J4711" t="s">
        <v>30</v>
      </c>
      <c r="K4711" t="s">
        <v>31</v>
      </c>
      <c r="M4711" t="s">
        <v>32</v>
      </c>
      <c r="N4711" t="str">
        <f>"10/1/2002 12:00:00 AM"</f>
        <v>10/1/2002 12:00:00 AM</v>
      </c>
      <c r="O4711" t="s">
        <v>14447</v>
      </c>
      <c r="T4711" t="s">
        <v>14448</v>
      </c>
    </row>
    <row r="4712" spans="1:20" x14ac:dyDescent="0.25">
      <c r="A4712" t="str">
        <f>"3049896"</f>
        <v>3049896</v>
      </c>
      <c r="B4712" t="s">
        <v>14450</v>
      </c>
      <c r="C4712" t="str">
        <f>"18203000"</f>
        <v>18203000</v>
      </c>
      <c r="D4712" t="s">
        <v>14451</v>
      </c>
      <c r="F4712" t="s">
        <v>14452</v>
      </c>
      <c r="I4712" t="s">
        <v>29</v>
      </c>
      <c r="J4712" t="s">
        <v>30</v>
      </c>
      <c r="K4712" t="s">
        <v>14453</v>
      </c>
      <c r="M4712" t="s">
        <v>32</v>
      </c>
      <c r="N4712" t="str">
        <f>"2/9/2005 12:00:00 AM"</f>
        <v>2/9/2005 12:00:00 AM</v>
      </c>
      <c r="O4712" t="s">
        <v>14451</v>
      </c>
    </row>
    <row r="4713" spans="1:20" x14ac:dyDescent="0.25">
      <c r="A4713" t="str">
        <f>"3049691"</f>
        <v>3049691</v>
      </c>
      <c r="B4713" t="s">
        <v>14454</v>
      </c>
      <c r="C4713" t="str">
        <f>"20023500"</f>
        <v>20023500</v>
      </c>
      <c r="D4713" t="s">
        <v>14455</v>
      </c>
      <c r="F4713" t="s">
        <v>14456</v>
      </c>
      <c r="I4713" t="s">
        <v>964</v>
      </c>
      <c r="J4713" t="s">
        <v>30</v>
      </c>
      <c r="K4713" t="s">
        <v>11521</v>
      </c>
      <c r="N4713" t="str">
        <f>"10/1/2002 12:00:00 AM"</f>
        <v>10/1/2002 12:00:00 AM</v>
      </c>
      <c r="O4713" t="s">
        <v>14455</v>
      </c>
    </row>
    <row r="4714" spans="1:20" x14ac:dyDescent="0.25">
      <c r="A4714" t="str">
        <f>"3049673"</f>
        <v>3049673</v>
      </c>
      <c r="B4714" t="s">
        <v>14457</v>
      </c>
      <c r="C4714" t="str">
        <f>"43996000"</f>
        <v>43996000</v>
      </c>
      <c r="D4714" t="s">
        <v>14458</v>
      </c>
      <c r="E4714" t="s">
        <v>14459</v>
      </c>
      <c r="F4714" t="s">
        <v>14460</v>
      </c>
      <c r="I4714" t="s">
        <v>29</v>
      </c>
      <c r="J4714" t="s">
        <v>30</v>
      </c>
      <c r="K4714" t="s">
        <v>14461</v>
      </c>
      <c r="M4714" t="s">
        <v>32</v>
      </c>
      <c r="N4714" t="str">
        <f>"1/29/2008 12:00:00 AM"</f>
        <v>1/29/2008 12:00:00 AM</v>
      </c>
      <c r="O4714" t="s">
        <v>14458</v>
      </c>
      <c r="T4714" t="s">
        <v>14459</v>
      </c>
    </row>
    <row r="4715" spans="1:20" x14ac:dyDescent="0.25">
      <c r="A4715" t="str">
        <f>"3049446"</f>
        <v>3049446</v>
      </c>
      <c r="B4715" t="s">
        <v>14462</v>
      </c>
      <c r="C4715" t="str">
        <f>"43996000"</f>
        <v>43996000</v>
      </c>
      <c r="D4715" t="s">
        <v>14458</v>
      </c>
      <c r="E4715" t="s">
        <v>14459</v>
      </c>
      <c r="F4715" t="s">
        <v>14460</v>
      </c>
      <c r="I4715" t="s">
        <v>29</v>
      </c>
      <c r="J4715" t="s">
        <v>30</v>
      </c>
      <c r="K4715" t="s">
        <v>14461</v>
      </c>
      <c r="M4715" t="s">
        <v>32</v>
      </c>
      <c r="N4715" t="str">
        <f>"1/29/2008 12:00:00 AM"</f>
        <v>1/29/2008 12:00:00 AM</v>
      </c>
      <c r="O4715" t="s">
        <v>14458</v>
      </c>
      <c r="T4715" t="s">
        <v>14459</v>
      </c>
    </row>
    <row r="4716" spans="1:20" x14ac:dyDescent="0.25">
      <c r="A4716" t="str">
        <f>"3049988"</f>
        <v>3049988</v>
      </c>
      <c r="B4716" t="s">
        <v>14463</v>
      </c>
      <c r="C4716" t="str">
        <f>"43996000"</f>
        <v>43996000</v>
      </c>
      <c r="D4716" t="s">
        <v>14458</v>
      </c>
      <c r="E4716" t="s">
        <v>14459</v>
      </c>
      <c r="F4716" t="s">
        <v>14460</v>
      </c>
      <c r="I4716" t="s">
        <v>29</v>
      </c>
      <c r="J4716" t="s">
        <v>30</v>
      </c>
      <c r="K4716" t="s">
        <v>14461</v>
      </c>
      <c r="M4716" t="s">
        <v>32</v>
      </c>
      <c r="N4716" t="str">
        <f>"1/29/2008 12:00:00 AM"</f>
        <v>1/29/2008 12:00:00 AM</v>
      </c>
      <c r="O4716" t="s">
        <v>14458</v>
      </c>
      <c r="T4716" t="s">
        <v>14459</v>
      </c>
    </row>
    <row r="4717" spans="1:20" x14ac:dyDescent="0.25">
      <c r="A4717" t="str">
        <f>"3050202"</f>
        <v>3050202</v>
      </c>
      <c r="B4717" t="s">
        <v>14464</v>
      </c>
      <c r="C4717" t="str">
        <f>"43996000"</f>
        <v>43996000</v>
      </c>
      <c r="D4717" t="s">
        <v>14458</v>
      </c>
      <c r="E4717" t="s">
        <v>14459</v>
      </c>
      <c r="F4717" t="s">
        <v>14460</v>
      </c>
      <c r="I4717" t="s">
        <v>29</v>
      </c>
      <c r="J4717" t="s">
        <v>30</v>
      </c>
      <c r="K4717" t="s">
        <v>14461</v>
      </c>
      <c r="M4717" t="s">
        <v>32</v>
      </c>
      <c r="N4717" t="str">
        <f>"1/29/2008 12:00:00 AM"</f>
        <v>1/29/2008 12:00:00 AM</v>
      </c>
      <c r="O4717" t="s">
        <v>14458</v>
      </c>
      <c r="T4717" t="s">
        <v>14459</v>
      </c>
    </row>
    <row r="4718" spans="1:20" x14ac:dyDescent="0.25">
      <c r="A4718" t="str">
        <f>"3051675"</f>
        <v>3051675</v>
      </c>
      <c r="B4718" t="s">
        <v>14465</v>
      </c>
      <c r="C4718" t="str">
        <f>"43996000"</f>
        <v>43996000</v>
      </c>
      <c r="D4718" t="s">
        <v>14458</v>
      </c>
      <c r="E4718" t="s">
        <v>14459</v>
      </c>
      <c r="F4718" t="s">
        <v>14460</v>
      </c>
      <c r="I4718" t="s">
        <v>29</v>
      </c>
      <c r="J4718" t="s">
        <v>30</v>
      </c>
      <c r="K4718" t="s">
        <v>14461</v>
      </c>
      <c r="M4718" t="s">
        <v>32</v>
      </c>
      <c r="N4718" t="str">
        <f>"1/29/2008 12:00:00 AM"</f>
        <v>1/29/2008 12:00:00 AM</v>
      </c>
      <c r="O4718" t="s">
        <v>14458</v>
      </c>
      <c r="T4718" t="s">
        <v>14459</v>
      </c>
    </row>
    <row r="4719" spans="1:20" x14ac:dyDescent="0.25">
      <c r="A4719" t="str">
        <f>"3078623"</f>
        <v>3078623</v>
      </c>
      <c r="B4719" t="s">
        <v>14466</v>
      </c>
      <c r="C4719" t="str">
        <f>"63812000"</f>
        <v>63812000</v>
      </c>
      <c r="D4719" t="s">
        <v>14467</v>
      </c>
      <c r="E4719" t="s">
        <v>14468</v>
      </c>
      <c r="F4719" t="s">
        <v>14469</v>
      </c>
      <c r="I4719" t="s">
        <v>29</v>
      </c>
      <c r="J4719" t="s">
        <v>30</v>
      </c>
      <c r="K4719" t="s">
        <v>31</v>
      </c>
      <c r="M4719" t="s">
        <v>32</v>
      </c>
      <c r="N4719" t="str">
        <f>"6/25/2009 12:00:00 AM"</f>
        <v>6/25/2009 12:00:00 AM</v>
      </c>
      <c r="O4719" t="s">
        <v>14467</v>
      </c>
      <c r="T4719" t="s">
        <v>14468</v>
      </c>
    </row>
    <row r="4720" spans="1:20" x14ac:dyDescent="0.25">
      <c r="A4720" t="str">
        <f>"3051105"</f>
        <v>3051105</v>
      </c>
      <c r="B4720" t="s">
        <v>14470</v>
      </c>
      <c r="C4720" t="str">
        <f>"63812000"</f>
        <v>63812000</v>
      </c>
      <c r="D4720" t="s">
        <v>14467</v>
      </c>
      <c r="E4720" t="s">
        <v>14468</v>
      </c>
      <c r="F4720" t="s">
        <v>14469</v>
      </c>
      <c r="I4720" t="s">
        <v>29</v>
      </c>
      <c r="J4720" t="s">
        <v>30</v>
      </c>
      <c r="K4720" t="s">
        <v>31</v>
      </c>
      <c r="M4720" t="s">
        <v>32</v>
      </c>
      <c r="N4720" t="str">
        <f>"6/25/2009 12:00:00 AM"</f>
        <v>6/25/2009 12:00:00 AM</v>
      </c>
      <c r="O4720" t="s">
        <v>14467</v>
      </c>
      <c r="T4720" t="s">
        <v>14468</v>
      </c>
    </row>
    <row r="4721" spans="1:20" x14ac:dyDescent="0.25">
      <c r="A4721" t="str">
        <f>"3051098"</f>
        <v>3051098</v>
      </c>
      <c r="B4721" t="s">
        <v>14471</v>
      </c>
      <c r="C4721" t="str">
        <f>"63812000"</f>
        <v>63812000</v>
      </c>
      <c r="D4721" t="s">
        <v>14467</v>
      </c>
      <c r="E4721" t="s">
        <v>14468</v>
      </c>
      <c r="F4721" t="s">
        <v>14469</v>
      </c>
      <c r="I4721" t="s">
        <v>29</v>
      </c>
      <c r="J4721" t="s">
        <v>30</v>
      </c>
      <c r="K4721" t="s">
        <v>31</v>
      </c>
      <c r="M4721" t="s">
        <v>32</v>
      </c>
      <c r="N4721" t="str">
        <f>"6/25/2009 12:00:00 AM"</f>
        <v>6/25/2009 12:00:00 AM</v>
      </c>
      <c r="O4721" t="s">
        <v>14467</v>
      </c>
      <c r="T4721" t="s">
        <v>14468</v>
      </c>
    </row>
    <row r="4722" spans="1:20" x14ac:dyDescent="0.25">
      <c r="A4722" t="str">
        <f>"3051073"</f>
        <v>3051073</v>
      </c>
      <c r="B4722" t="s">
        <v>14472</v>
      </c>
      <c r="C4722" t="str">
        <f>"63812000"</f>
        <v>63812000</v>
      </c>
      <c r="D4722" t="s">
        <v>14467</v>
      </c>
      <c r="E4722" t="s">
        <v>14468</v>
      </c>
      <c r="F4722" t="s">
        <v>14469</v>
      </c>
      <c r="I4722" t="s">
        <v>29</v>
      </c>
      <c r="J4722" t="s">
        <v>30</v>
      </c>
      <c r="K4722" t="s">
        <v>31</v>
      </c>
      <c r="M4722" t="s">
        <v>32</v>
      </c>
      <c r="N4722" t="str">
        <f>"6/25/2009 12:00:00 AM"</f>
        <v>6/25/2009 12:00:00 AM</v>
      </c>
      <c r="O4722" t="s">
        <v>14467</v>
      </c>
      <c r="T4722" t="s">
        <v>14468</v>
      </c>
    </row>
    <row r="4723" spans="1:20" x14ac:dyDescent="0.25">
      <c r="A4723" t="str">
        <f>"3051033"</f>
        <v>3051033</v>
      </c>
      <c r="B4723" t="s">
        <v>14473</v>
      </c>
      <c r="C4723" t="str">
        <f>"63812000"</f>
        <v>63812000</v>
      </c>
      <c r="D4723" t="s">
        <v>14467</v>
      </c>
      <c r="E4723" t="s">
        <v>14468</v>
      </c>
      <c r="F4723" t="s">
        <v>14469</v>
      </c>
      <c r="I4723" t="s">
        <v>29</v>
      </c>
      <c r="J4723" t="s">
        <v>30</v>
      </c>
      <c r="K4723" t="s">
        <v>31</v>
      </c>
      <c r="M4723" t="s">
        <v>32</v>
      </c>
      <c r="N4723" t="str">
        <f>"6/25/2009 12:00:00 AM"</f>
        <v>6/25/2009 12:00:00 AM</v>
      </c>
      <c r="O4723" t="s">
        <v>14467</v>
      </c>
      <c r="T4723" t="s">
        <v>14468</v>
      </c>
    </row>
    <row r="4724" spans="1:20" x14ac:dyDescent="0.25">
      <c r="A4724" t="str">
        <f>"3051406"</f>
        <v>3051406</v>
      </c>
      <c r="B4724" t="s">
        <v>14474</v>
      </c>
      <c r="C4724" t="str">
        <f>"20104500"</f>
        <v>20104500</v>
      </c>
      <c r="D4724" t="s">
        <v>14475</v>
      </c>
      <c r="E4724" t="s">
        <v>14476</v>
      </c>
      <c r="F4724" t="s">
        <v>14477</v>
      </c>
      <c r="G4724" t="s">
        <v>14478</v>
      </c>
      <c r="I4724" t="s">
        <v>29</v>
      </c>
      <c r="J4724" t="s">
        <v>30</v>
      </c>
      <c r="K4724" t="s">
        <v>31</v>
      </c>
      <c r="M4724" t="s">
        <v>32</v>
      </c>
      <c r="N4724" t="str">
        <f>"10/11/1991 12:00:00 AM"</f>
        <v>10/11/1991 12:00:00 AM</v>
      </c>
      <c r="O4724" t="s">
        <v>14475</v>
      </c>
      <c r="T4724" t="s">
        <v>14476</v>
      </c>
    </row>
    <row r="4725" spans="1:20" x14ac:dyDescent="0.25">
      <c r="A4725" t="str">
        <f>"3051223"</f>
        <v>3051223</v>
      </c>
      <c r="B4725" t="s">
        <v>14479</v>
      </c>
      <c r="C4725" t="str">
        <f>"64398000"</f>
        <v>64398000</v>
      </c>
      <c r="D4725" t="s">
        <v>14328</v>
      </c>
      <c r="F4725" t="s">
        <v>14329</v>
      </c>
      <c r="I4725" t="s">
        <v>29</v>
      </c>
      <c r="J4725" t="s">
        <v>30</v>
      </c>
      <c r="K4725" t="s">
        <v>31</v>
      </c>
      <c r="M4725" t="s">
        <v>32</v>
      </c>
      <c r="N4725" t="str">
        <f>"12/12/2008 12:00:00 AM"</f>
        <v>12/12/2008 12:00:00 AM</v>
      </c>
      <c r="O4725" t="s">
        <v>14328</v>
      </c>
    </row>
    <row r="4726" spans="1:20" x14ac:dyDescent="0.25">
      <c r="A4726" t="str">
        <f>"3078602"</f>
        <v>3078602</v>
      </c>
      <c r="B4726" t="s">
        <v>14480</v>
      </c>
      <c r="C4726" t="str">
        <f>"68264750"</f>
        <v>68264750</v>
      </c>
      <c r="D4726" t="s">
        <v>14481</v>
      </c>
      <c r="F4726" t="s">
        <v>14205</v>
      </c>
      <c r="I4726" t="s">
        <v>14206</v>
      </c>
      <c r="J4726" t="s">
        <v>12725</v>
      </c>
      <c r="K4726" t="s">
        <v>14207</v>
      </c>
      <c r="M4726" t="s">
        <v>32</v>
      </c>
      <c r="N4726" t="str">
        <f>"5/13/2005 12:00:00 AM"</f>
        <v>5/13/2005 12:00:00 AM</v>
      </c>
      <c r="O4726" t="s">
        <v>14481</v>
      </c>
    </row>
    <row r="4727" spans="1:20" x14ac:dyDescent="0.25">
      <c r="A4727" t="str">
        <f>"3051187"</f>
        <v>3051187</v>
      </c>
      <c r="B4727" t="s">
        <v>14482</v>
      </c>
      <c r="C4727" t="str">
        <f>"33248600"</f>
        <v>33248600</v>
      </c>
      <c r="D4727" t="s">
        <v>14225</v>
      </c>
      <c r="E4727" t="s">
        <v>14226</v>
      </c>
      <c r="F4727" t="s">
        <v>14227</v>
      </c>
      <c r="I4727" t="s">
        <v>14228</v>
      </c>
      <c r="J4727" t="s">
        <v>11994</v>
      </c>
      <c r="K4727" t="s">
        <v>14229</v>
      </c>
      <c r="M4727" t="s">
        <v>32</v>
      </c>
      <c r="N4727" t="str">
        <f>"12/11/2007 12:00:00 AM"</f>
        <v>12/11/2007 12:00:00 AM</v>
      </c>
      <c r="O4727" t="s">
        <v>14225</v>
      </c>
      <c r="T4727" t="s">
        <v>14226</v>
      </c>
    </row>
    <row r="4728" spans="1:20" x14ac:dyDescent="0.25">
      <c r="A4728" t="str">
        <f>"3051340"</f>
        <v>3051340</v>
      </c>
      <c r="B4728" t="s">
        <v>14483</v>
      </c>
      <c r="C4728" t="str">
        <f>"13981000"</f>
        <v>13981000</v>
      </c>
      <c r="D4728" t="s">
        <v>14484</v>
      </c>
      <c r="E4728" t="s">
        <v>14485</v>
      </c>
      <c r="F4728" t="s">
        <v>14486</v>
      </c>
      <c r="I4728" t="s">
        <v>29</v>
      </c>
      <c r="J4728" t="s">
        <v>30</v>
      </c>
      <c r="K4728" t="s">
        <v>14487</v>
      </c>
      <c r="M4728" t="s">
        <v>32</v>
      </c>
      <c r="N4728" t="str">
        <f>"1/11/2006 12:00:00 AM"</f>
        <v>1/11/2006 12:00:00 AM</v>
      </c>
      <c r="O4728" t="s">
        <v>14484</v>
      </c>
      <c r="T4728" t="s">
        <v>14485</v>
      </c>
    </row>
    <row r="4729" spans="1:20" x14ac:dyDescent="0.25">
      <c r="A4729" t="str">
        <f>"3051509"</f>
        <v>3051509</v>
      </c>
      <c r="B4729" t="s">
        <v>14488</v>
      </c>
      <c r="C4729" t="str">
        <f>"82523622"</f>
        <v>82523622</v>
      </c>
      <c r="D4729" t="s">
        <v>14489</v>
      </c>
      <c r="F4729" t="s">
        <v>14490</v>
      </c>
      <c r="I4729" t="s">
        <v>29</v>
      </c>
      <c r="J4729" t="s">
        <v>30</v>
      </c>
      <c r="K4729" t="s">
        <v>31</v>
      </c>
      <c r="M4729" t="s">
        <v>32</v>
      </c>
      <c r="N4729" t="str">
        <f>"1/7/2005 12:00:00 AM"</f>
        <v>1/7/2005 12:00:00 AM</v>
      </c>
      <c r="O4729" t="s">
        <v>14489</v>
      </c>
    </row>
    <row r="4730" spans="1:20" x14ac:dyDescent="0.25">
      <c r="A4730" t="str">
        <f>"3057408"</f>
        <v>3057408</v>
      </c>
      <c r="B4730" t="s">
        <v>14491</v>
      </c>
      <c r="C4730" t="str">
        <f>"63768000"</f>
        <v>63768000</v>
      </c>
      <c r="D4730" t="s">
        <v>14492</v>
      </c>
      <c r="F4730" t="s">
        <v>14493</v>
      </c>
      <c r="I4730" t="s">
        <v>29</v>
      </c>
      <c r="J4730" t="s">
        <v>30</v>
      </c>
      <c r="K4730" t="s">
        <v>31</v>
      </c>
      <c r="M4730" t="s">
        <v>32</v>
      </c>
      <c r="N4730" t="str">
        <f>"1/7/2009 12:00:00 AM"</f>
        <v>1/7/2009 12:00:00 AM</v>
      </c>
      <c r="O4730" t="s">
        <v>14492</v>
      </c>
    </row>
    <row r="4731" spans="1:20" x14ac:dyDescent="0.25">
      <c r="A4731" t="str">
        <f>"3070541"</f>
        <v>3070541</v>
      </c>
      <c r="B4731" t="s">
        <v>14494</v>
      </c>
      <c r="C4731" t="str">
        <f>"8734250"</f>
        <v>8734250</v>
      </c>
      <c r="D4731" t="s">
        <v>14495</v>
      </c>
      <c r="E4731" t="s">
        <v>14496</v>
      </c>
      <c r="F4731" t="s">
        <v>14497</v>
      </c>
      <c r="I4731" t="s">
        <v>29</v>
      </c>
      <c r="J4731" t="s">
        <v>30</v>
      </c>
      <c r="K4731" t="s">
        <v>31</v>
      </c>
      <c r="M4731" t="s">
        <v>32</v>
      </c>
      <c r="N4731" t="str">
        <f>"6/6/2003 12:00:00 AM"</f>
        <v>6/6/2003 12:00:00 AM</v>
      </c>
      <c r="O4731" t="s">
        <v>14495</v>
      </c>
      <c r="T4731" t="s">
        <v>14496</v>
      </c>
    </row>
    <row r="4732" spans="1:20" x14ac:dyDescent="0.25">
      <c r="A4732" t="str">
        <f>"3058939"</f>
        <v>3058939</v>
      </c>
      <c r="B4732" t="s">
        <v>14498</v>
      </c>
      <c r="C4732" t="str">
        <f>"18888000"</f>
        <v>18888000</v>
      </c>
      <c r="D4732" t="s">
        <v>14499</v>
      </c>
      <c r="F4732" t="s">
        <v>14500</v>
      </c>
      <c r="I4732" t="s">
        <v>29</v>
      </c>
      <c r="J4732" t="s">
        <v>30</v>
      </c>
      <c r="K4732" t="s">
        <v>14501</v>
      </c>
      <c r="M4732" t="s">
        <v>32</v>
      </c>
      <c r="N4732" t="str">
        <f>"6/12/2009 12:00:00 AM"</f>
        <v>6/12/2009 12:00:00 AM</v>
      </c>
      <c r="O4732" t="s">
        <v>14499</v>
      </c>
    </row>
    <row r="4733" spans="1:20" x14ac:dyDescent="0.25">
      <c r="A4733" t="str">
        <f>"3048850"</f>
        <v>3048850</v>
      </c>
      <c r="B4733" t="s">
        <v>14502</v>
      </c>
      <c r="C4733" t="str">
        <f>"18888000"</f>
        <v>18888000</v>
      </c>
      <c r="D4733" t="s">
        <v>14499</v>
      </c>
      <c r="F4733" t="s">
        <v>14500</v>
      </c>
      <c r="I4733" t="s">
        <v>29</v>
      </c>
      <c r="J4733" t="s">
        <v>30</v>
      </c>
      <c r="K4733" t="s">
        <v>14501</v>
      </c>
      <c r="M4733" t="s">
        <v>32</v>
      </c>
      <c r="N4733" t="str">
        <f>"6/12/2009 12:00:00 AM"</f>
        <v>6/12/2009 12:00:00 AM</v>
      </c>
      <c r="O4733" t="s">
        <v>14499</v>
      </c>
    </row>
    <row r="4734" spans="1:20" x14ac:dyDescent="0.25">
      <c r="A4734" t="str">
        <f>"3057404"</f>
        <v>3057404</v>
      </c>
      <c r="B4734" t="s">
        <v>14503</v>
      </c>
      <c r="C4734" t="str">
        <f>"18888000"</f>
        <v>18888000</v>
      </c>
      <c r="D4734" t="s">
        <v>14499</v>
      </c>
      <c r="F4734" t="s">
        <v>14500</v>
      </c>
      <c r="I4734" t="s">
        <v>29</v>
      </c>
      <c r="J4734" t="s">
        <v>30</v>
      </c>
      <c r="K4734" t="s">
        <v>14501</v>
      </c>
      <c r="M4734" t="s">
        <v>32</v>
      </c>
      <c r="N4734" t="str">
        <f>"6/12/2009 12:00:00 AM"</f>
        <v>6/12/2009 12:00:00 AM</v>
      </c>
      <c r="O4734" t="s">
        <v>14499</v>
      </c>
    </row>
    <row r="4735" spans="1:20" x14ac:dyDescent="0.25">
      <c r="A4735" t="str">
        <f>"3057407"</f>
        <v>3057407</v>
      </c>
      <c r="B4735" t="s">
        <v>14504</v>
      </c>
      <c r="C4735" t="str">
        <f>"18888000"</f>
        <v>18888000</v>
      </c>
      <c r="D4735" t="s">
        <v>14499</v>
      </c>
      <c r="F4735" t="s">
        <v>14500</v>
      </c>
      <c r="I4735" t="s">
        <v>29</v>
      </c>
      <c r="J4735" t="s">
        <v>30</v>
      </c>
      <c r="K4735" t="s">
        <v>14501</v>
      </c>
      <c r="M4735" t="s">
        <v>32</v>
      </c>
      <c r="N4735" t="str">
        <f>"6/12/2009 12:00:00 AM"</f>
        <v>6/12/2009 12:00:00 AM</v>
      </c>
      <c r="O4735" t="s">
        <v>14499</v>
      </c>
    </row>
    <row r="4736" spans="1:20" x14ac:dyDescent="0.25">
      <c r="A4736" t="str">
        <f>"3055988"</f>
        <v>3055988</v>
      </c>
      <c r="B4736" t="s">
        <v>14505</v>
      </c>
      <c r="C4736" t="str">
        <f>"18888000"</f>
        <v>18888000</v>
      </c>
      <c r="D4736" t="s">
        <v>14499</v>
      </c>
      <c r="F4736" t="s">
        <v>14500</v>
      </c>
      <c r="I4736" t="s">
        <v>29</v>
      </c>
      <c r="J4736" t="s">
        <v>30</v>
      </c>
      <c r="K4736" t="s">
        <v>14501</v>
      </c>
      <c r="M4736" t="s">
        <v>32</v>
      </c>
      <c r="N4736" t="str">
        <f>"6/12/2009 12:00:00 AM"</f>
        <v>6/12/2009 12:00:00 AM</v>
      </c>
      <c r="O4736" t="s">
        <v>14499</v>
      </c>
    </row>
    <row r="4737" spans="1:20" x14ac:dyDescent="0.25">
      <c r="A4737" t="str">
        <f>"3058926"</f>
        <v>3058926</v>
      </c>
      <c r="B4737" t="s">
        <v>14506</v>
      </c>
      <c r="C4737" t="str">
        <f>"80831000"</f>
        <v>80831000</v>
      </c>
      <c r="D4737" t="s">
        <v>14507</v>
      </c>
      <c r="F4737" t="s">
        <v>14508</v>
      </c>
      <c r="I4737" t="s">
        <v>29</v>
      </c>
      <c r="J4737" t="s">
        <v>30</v>
      </c>
      <c r="K4737" t="s">
        <v>14501</v>
      </c>
      <c r="M4737" t="s">
        <v>32</v>
      </c>
      <c r="N4737" t="str">
        <f>"2/21/2005 12:00:00 AM"</f>
        <v>2/21/2005 12:00:00 AM</v>
      </c>
      <c r="O4737" t="s">
        <v>14507</v>
      </c>
    </row>
    <row r="4738" spans="1:20" x14ac:dyDescent="0.25">
      <c r="A4738" t="str">
        <f>"3057409"</f>
        <v>3057409</v>
      </c>
      <c r="B4738" t="s">
        <v>14509</v>
      </c>
      <c r="C4738" t="str">
        <f>"35661000"</f>
        <v>35661000</v>
      </c>
      <c r="D4738" t="s">
        <v>14510</v>
      </c>
      <c r="E4738" t="s">
        <v>14511</v>
      </c>
      <c r="F4738" t="s">
        <v>7408</v>
      </c>
      <c r="I4738" t="s">
        <v>29</v>
      </c>
      <c r="J4738" t="s">
        <v>30</v>
      </c>
      <c r="K4738" t="s">
        <v>31</v>
      </c>
      <c r="N4738" t="str">
        <f>"10/15/2003 12:00:00 AM"</f>
        <v>10/15/2003 12:00:00 AM</v>
      </c>
      <c r="O4738" t="s">
        <v>14510</v>
      </c>
      <c r="T4738" t="s">
        <v>14511</v>
      </c>
    </row>
    <row r="4739" spans="1:20" x14ac:dyDescent="0.25">
      <c r="A4739" t="str">
        <f>"3057406"</f>
        <v>3057406</v>
      </c>
      <c r="B4739" t="s">
        <v>14512</v>
      </c>
      <c r="C4739" t="str">
        <f>"74270000"</f>
        <v>74270000</v>
      </c>
      <c r="D4739" t="s">
        <v>14513</v>
      </c>
      <c r="F4739" t="s">
        <v>14514</v>
      </c>
      <c r="G4739" t="s">
        <v>14515</v>
      </c>
      <c r="I4739" t="s">
        <v>29</v>
      </c>
      <c r="J4739" t="s">
        <v>30</v>
      </c>
      <c r="K4739" t="s">
        <v>31</v>
      </c>
      <c r="M4739" t="s">
        <v>32</v>
      </c>
      <c r="N4739" t="str">
        <f>"6/21/2004 12:00:00 AM"</f>
        <v>6/21/2004 12:00:00 AM</v>
      </c>
      <c r="O4739" t="s">
        <v>14513</v>
      </c>
    </row>
    <row r="4740" spans="1:20" x14ac:dyDescent="0.25">
      <c r="A4740" t="str">
        <f>"3058925"</f>
        <v>3058925</v>
      </c>
      <c r="B4740" t="s">
        <v>14516</v>
      </c>
      <c r="C4740" t="str">
        <f>"32732000"</f>
        <v>32732000</v>
      </c>
      <c r="D4740" t="s">
        <v>14517</v>
      </c>
      <c r="E4740" t="s">
        <v>14518</v>
      </c>
      <c r="F4740" t="s">
        <v>14519</v>
      </c>
      <c r="I4740" t="s">
        <v>29</v>
      </c>
      <c r="J4740" t="s">
        <v>30</v>
      </c>
      <c r="K4740" t="s">
        <v>31</v>
      </c>
      <c r="M4740" t="s">
        <v>32</v>
      </c>
      <c r="N4740" t="str">
        <f>"10/1/2002 12:00:00 AM"</f>
        <v>10/1/2002 12:00:00 AM</v>
      </c>
      <c r="O4740" t="s">
        <v>14517</v>
      </c>
      <c r="T4740" t="s">
        <v>14518</v>
      </c>
    </row>
    <row r="4741" spans="1:20" x14ac:dyDescent="0.25">
      <c r="A4741" t="str">
        <f>"3058945"</f>
        <v>3058945</v>
      </c>
      <c r="B4741" t="s">
        <v>14520</v>
      </c>
      <c r="C4741" t="str">
        <f>"32608000"</f>
        <v>32608000</v>
      </c>
      <c r="D4741" t="s">
        <v>14521</v>
      </c>
      <c r="E4741" t="s">
        <v>14522</v>
      </c>
      <c r="F4741" t="s">
        <v>14523</v>
      </c>
      <c r="I4741" t="s">
        <v>29</v>
      </c>
      <c r="J4741" t="s">
        <v>30</v>
      </c>
      <c r="K4741" t="s">
        <v>14524</v>
      </c>
      <c r="N4741" t="str">
        <f>"1/30/2006 12:00:00 AM"</f>
        <v>1/30/2006 12:00:00 AM</v>
      </c>
      <c r="O4741" t="s">
        <v>14521</v>
      </c>
      <c r="T4741" t="s">
        <v>14522</v>
      </c>
    </row>
    <row r="4742" spans="1:20" x14ac:dyDescent="0.25">
      <c r="A4742" t="str">
        <f>"3058946"</f>
        <v>3058946</v>
      </c>
      <c r="B4742" t="s">
        <v>14525</v>
      </c>
      <c r="C4742" t="str">
        <f>"35658000"</f>
        <v>35658000</v>
      </c>
      <c r="D4742" t="s">
        <v>14526</v>
      </c>
      <c r="F4742" t="s">
        <v>14527</v>
      </c>
      <c r="I4742" t="s">
        <v>29</v>
      </c>
      <c r="J4742" t="s">
        <v>30</v>
      </c>
      <c r="K4742" t="s">
        <v>31</v>
      </c>
      <c r="M4742" t="s">
        <v>32</v>
      </c>
      <c r="N4742" t="str">
        <f>"10/15/2003 12:00:00 AM"</f>
        <v>10/15/2003 12:00:00 AM</v>
      </c>
      <c r="O4742" t="s">
        <v>14526</v>
      </c>
    </row>
    <row r="4743" spans="1:20" x14ac:dyDescent="0.25">
      <c r="A4743" t="str">
        <f>"3057413"</f>
        <v>3057413</v>
      </c>
      <c r="B4743" t="s">
        <v>14528</v>
      </c>
      <c r="C4743" t="str">
        <f>"35658000"</f>
        <v>35658000</v>
      </c>
      <c r="D4743" t="s">
        <v>14526</v>
      </c>
      <c r="F4743" t="s">
        <v>14527</v>
      </c>
      <c r="I4743" t="s">
        <v>29</v>
      </c>
      <c r="J4743" t="s">
        <v>30</v>
      </c>
      <c r="K4743" t="s">
        <v>31</v>
      </c>
      <c r="M4743" t="s">
        <v>32</v>
      </c>
      <c r="N4743" t="str">
        <f>"10/15/2003 12:00:00 AM"</f>
        <v>10/15/2003 12:00:00 AM</v>
      </c>
      <c r="O4743" t="s">
        <v>14526</v>
      </c>
    </row>
    <row r="4744" spans="1:20" x14ac:dyDescent="0.25">
      <c r="A4744" t="str">
        <f>"3058933"</f>
        <v>3058933</v>
      </c>
      <c r="B4744" t="s">
        <v>14529</v>
      </c>
      <c r="C4744" t="str">
        <f>"28833000"</f>
        <v>28833000</v>
      </c>
      <c r="D4744" t="s">
        <v>14530</v>
      </c>
      <c r="E4744" t="s">
        <v>14531</v>
      </c>
      <c r="F4744" t="s">
        <v>14532</v>
      </c>
      <c r="I4744" t="s">
        <v>29</v>
      </c>
      <c r="J4744" t="s">
        <v>30</v>
      </c>
      <c r="K4744" t="s">
        <v>31</v>
      </c>
      <c r="M4744" t="s">
        <v>32</v>
      </c>
      <c r="N4744" t="str">
        <f>"10/1/2002 12:00:00 AM"</f>
        <v>10/1/2002 12:00:00 AM</v>
      </c>
      <c r="O4744" t="s">
        <v>14530</v>
      </c>
      <c r="T4744" t="s">
        <v>14531</v>
      </c>
    </row>
    <row r="4745" spans="1:20" x14ac:dyDescent="0.25">
      <c r="A4745" t="str">
        <f>"3051362"</f>
        <v>3051362</v>
      </c>
      <c r="B4745" t="s">
        <v>14533</v>
      </c>
      <c r="C4745" t="str">
        <f>"82520054"</f>
        <v>82520054</v>
      </c>
      <c r="D4745" t="s">
        <v>14534</v>
      </c>
      <c r="E4745" t="s">
        <v>14535</v>
      </c>
      <c r="F4745" t="s">
        <v>14536</v>
      </c>
      <c r="I4745" t="s">
        <v>29</v>
      </c>
      <c r="J4745" t="s">
        <v>30</v>
      </c>
      <c r="K4745" t="s">
        <v>14537</v>
      </c>
      <c r="M4745" t="s">
        <v>32</v>
      </c>
      <c r="N4745" t="str">
        <f>"1/20/2004 12:00:00 AM"</f>
        <v>1/20/2004 12:00:00 AM</v>
      </c>
      <c r="O4745" t="s">
        <v>14534</v>
      </c>
      <c r="T4745" t="s">
        <v>14535</v>
      </c>
    </row>
    <row r="4746" spans="1:20" x14ac:dyDescent="0.25">
      <c r="A4746" t="str">
        <f>"3051539"</f>
        <v>3051539</v>
      </c>
      <c r="B4746" t="s">
        <v>14538</v>
      </c>
      <c r="C4746" t="str">
        <f>"82526251"</f>
        <v>82526251</v>
      </c>
      <c r="D4746" t="s">
        <v>14539</v>
      </c>
      <c r="F4746" t="s">
        <v>14540</v>
      </c>
      <c r="I4746" t="s">
        <v>29</v>
      </c>
      <c r="J4746" t="s">
        <v>30</v>
      </c>
      <c r="K4746" t="s">
        <v>31</v>
      </c>
      <c r="N4746" t="str">
        <f>"5/26/2006 12:00:00 AM"</f>
        <v>5/26/2006 12:00:00 AM</v>
      </c>
      <c r="O4746" t="s">
        <v>14539</v>
      </c>
    </row>
    <row r="4747" spans="1:20" x14ac:dyDescent="0.25">
      <c r="A4747" t="str">
        <f>"3054617"</f>
        <v>3054617</v>
      </c>
      <c r="B4747" t="s">
        <v>14541</v>
      </c>
      <c r="C4747" t="str">
        <f>"69938000"</f>
        <v>69938000</v>
      </c>
      <c r="D4747" t="s">
        <v>14542</v>
      </c>
      <c r="E4747" t="s">
        <v>14543</v>
      </c>
      <c r="F4747" t="s">
        <v>14544</v>
      </c>
      <c r="I4747" t="s">
        <v>29</v>
      </c>
      <c r="J4747" t="s">
        <v>30</v>
      </c>
      <c r="K4747" t="s">
        <v>14545</v>
      </c>
      <c r="M4747" t="s">
        <v>32</v>
      </c>
      <c r="N4747" t="str">
        <f>"1/30/2006 12:00:00 AM"</f>
        <v>1/30/2006 12:00:00 AM</v>
      </c>
      <c r="O4747" t="s">
        <v>14542</v>
      </c>
      <c r="T4747" t="s">
        <v>14543</v>
      </c>
    </row>
    <row r="4748" spans="1:20" x14ac:dyDescent="0.25">
      <c r="A4748" t="str">
        <f>"3052198"</f>
        <v>3052198</v>
      </c>
      <c r="B4748" t="s">
        <v>14546</v>
      </c>
      <c r="C4748" t="str">
        <f>"69938000"</f>
        <v>69938000</v>
      </c>
      <c r="D4748" t="s">
        <v>14542</v>
      </c>
      <c r="E4748" t="s">
        <v>14543</v>
      </c>
      <c r="F4748" t="s">
        <v>14544</v>
      </c>
      <c r="I4748" t="s">
        <v>29</v>
      </c>
      <c r="J4748" t="s">
        <v>30</v>
      </c>
      <c r="K4748" t="s">
        <v>14545</v>
      </c>
      <c r="M4748" t="s">
        <v>32</v>
      </c>
      <c r="N4748" t="str">
        <f>"1/30/2006 12:00:00 AM"</f>
        <v>1/30/2006 12:00:00 AM</v>
      </c>
      <c r="O4748" t="s">
        <v>14542</v>
      </c>
      <c r="T4748" t="s">
        <v>14543</v>
      </c>
    </row>
    <row r="4749" spans="1:20" x14ac:dyDescent="0.25">
      <c r="A4749" t="str">
        <f>"3051125"</f>
        <v>3051125</v>
      </c>
      <c r="B4749" t="s">
        <v>14547</v>
      </c>
      <c r="C4749" t="str">
        <f>"82529106"</f>
        <v>82529106</v>
      </c>
      <c r="D4749" t="s">
        <v>14548</v>
      </c>
      <c r="E4749" t="s">
        <v>14549</v>
      </c>
      <c r="F4749" t="s">
        <v>14550</v>
      </c>
      <c r="I4749" t="s">
        <v>29</v>
      </c>
      <c r="J4749" t="s">
        <v>30</v>
      </c>
      <c r="K4749" t="s">
        <v>31</v>
      </c>
      <c r="M4749" t="s">
        <v>32</v>
      </c>
      <c r="N4749" t="str">
        <f>"2/3/2009 12:00:00 AM"</f>
        <v>2/3/2009 12:00:00 AM</v>
      </c>
      <c r="O4749" t="s">
        <v>14548</v>
      </c>
      <c r="T4749" t="s">
        <v>14549</v>
      </c>
    </row>
    <row r="4750" spans="1:20" x14ac:dyDescent="0.25">
      <c r="A4750" t="str">
        <f>"3052863"</f>
        <v>3052863</v>
      </c>
      <c r="B4750" t="s">
        <v>14551</v>
      </c>
      <c r="C4750" t="str">
        <f>"25224500"</f>
        <v>25224500</v>
      </c>
      <c r="D4750" t="s">
        <v>14552</v>
      </c>
      <c r="E4750" t="s">
        <v>14553</v>
      </c>
      <c r="F4750" t="s">
        <v>14554</v>
      </c>
      <c r="I4750" t="s">
        <v>29</v>
      </c>
      <c r="J4750" t="s">
        <v>30</v>
      </c>
      <c r="K4750" t="s">
        <v>31</v>
      </c>
      <c r="M4750" t="s">
        <v>32</v>
      </c>
      <c r="N4750" t="str">
        <f>"10/1/2002 12:00:00 AM"</f>
        <v>10/1/2002 12:00:00 AM</v>
      </c>
      <c r="O4750" t="s">
        <v>14552</v>
      </c>
      <c r="T4750" t="s">
        <v>14553</v>
      </c>
    </row>
    <row r="4751" spans="1:20" x14ac:dyDescent="0.25">
      <c r="A4751" t="str">
        <f>"3052877"</f>
        <v>3052877</v>
      </c>
      <c r="B4751" t="s">
        <v>14555</v>
      </c>
      <c r="C4751" t="str">
        <f>"39820000"</f>
        <v>39820000</v>
      </c>
      <c r="D4751" t="s">
        <v>14556</v>
      </c>
      <c r="F4751" t="s">
        <v>14557</v>
      </c>
      <c r="I4751" t="s">
        <v>29</v>
      </c>
      <c r="J4751" t="s">
        <v>30</v>
      </c>
      <c r="K4751" t="s">
        <v>31</v>
      </c>
      <c r="M4751" t="s">
        <v>32</v>
      </c>
      <c r="N4751" t="str">
        <f>"10/1/2002 12:00:00 AM"</f>
        <v>10/1/2002 12:00:00 AM</v>
      </c>
      <c r="O4751" t="s">
        <v>14556</v>
      </c>
    </row>
    <row r="4752" spans="1:20" x14ac:dyDescent="0.25">
      <c r="A4752" t="str">
        <f>"3052314"</f>
        <v>3052314</v>
      </c>
      <c r="B4752" t="s">
        <v>14558</v>
      </c>
      <c r="C4752" t="str">
        <f>"62671000"</f>
        <v>62671000</v>
      </c>
      <c r="D4752" t="s">
        <v>14559</v>
      </c>
      <c r="F4752" t="str">
        <f>"C/O CLARENCE RUPARD"</f>
        <v>C/O CLARENCE RUPARD</v>
      </c>
      <c r="G4752" t="s">
        <v>13478</v>
      </c>
      <c r="I4752" t="s">
        <v>29</v>
      </c>
      <c r="J4752" t="s">
        <v>30</v>
      </c>
      <c r="K4752" t="s">
        <v>31</v>
      </c>
      <c r="M4752" t="s">
        <v>32</v>
      </c>
      <c r="N4752" t="str">
        <f>"4/26/2004 12:00:00 AM"</f>
        <v>4/26/2004 12:00:00 AM</v>
      </c>
      <c r="O4752" t="s">
        <v>14559</v>
      </c>
    </row>
    <row r="4753" spans="1:20" x14ac:dyDescent="0.25">
      <c r="A4753" t="str">
        <f>"3049989"</f>
        <v>3049989</v>
      </c>
      <c r="B4753" t="s">
        <v>14560</v>
      </c>
      <c r="C4753" t="str">
        <f>"82528849"</f>
        <v>82528849</v>
      </c>
      <c r="D4753" t="s">
        <v>14561</v>
      </c>
      <c r="F4753" t="s">
        <v>14562</v>
      </c>
      <c r="I4753" t="s">
        <v>29</v>
      </c>
      <c r="J4753" t="s">
        <v>30</v>
      </c>
      <c r="K4753" t="s">
        <v>31</v>
      </c>
      <c r="M4753" t="s">
        <v>32</v>
      </c>
      <c r="N4753" t="str">
        <f>"1/9/2008 12:00:00 AM"</f>
        <v>1/9/2008 12:00:00 AM</v>
      </c>
      <c r="O4753" t="s">
        <v>14561</v>
      </c>
    </row>
    <row r="4754" spans="1:20" x14ac:dyDescent="0.25">
      <c r="A4754" t="str">
        <f>"3052210"</f>
        <v>3052210</v>
      </c>
      <c r="B4754" t="s">
        <v>14563</v>
      </c>
      <c r="C4754" t="str">
        <f>"82524519"</f>
        <v>82524519</v>
      </c>
      <c r="D4754" t="s">
        <v>14564</v>
      </c>
      <c r="F4754" t="s">
        <v>14565</v>
      </c>
      <c r="G4754" t="s">
        <v>13478</v>
      </c>
      <c r="I4754" t="s">
        <v>29</v>
      </c>
      <c r="J4754" t="s">
        <v>30</v>
      </c>
      <c r="K4754" t="s">
        <v>14566</v>
      </c>
      <c r="M4754" t="s">
        <v>32</v>
      </c>
      <c r="N4754" t="str">
        <f>"6/7/2005 12:00:00 AM"</f>
        <v>6/7/2005 12:00:00 AM</v>
      </c>
      <c r="O4754" t="s">
        <v>14564</v>
      </c>
    </row>
    <row r="4755" spans="1:20" x14ac:dyDescent="0.25">
      <c r="A4755" t="str">
        <f>"3055318"</f>
        <v>3055318</v>
      </c>
      <c r="B4755" t="s">
        <v>14567</v>
      </c>
      <c r="C4755" t="str">
        <f>"82517469"</f>
        <v>82517469</v>
      </c>
      <c r="D4755" t="s">
        <v>14568</v>
      </c>
      <c r="E4755" t="s">
        <v>14569</v>
      </c>
      <c r="F4755" t="s">
        <v>14570</v>
      </c>
      <c r="I4755" t="s">
        <v>29</v>
      </c>
      <c r="J4755" t="s">
        <v>30</v>
      </c>
      <c r="K4755" t="s">
        <v>31</v>
      </c>
      <c r="M4755" t="s">
        <v>32</v>
      </c>
      <c r="N4755" t="str">
        <f>"2/5/2004 12:00:00 AM"</f>
        <v>2/5/2004 12:00:00 AM</v>
      </c>
      <c r="O4755" t="s">
        <v>14568</v>
      </c>
      <c r="T4755" t="s">
        <v>14569</v>
      </c>
    </row>
    <row r="4756" spans="1:20" x14ac:dyDescent="0.25">
      <c r="A4756" t="str">
        <f>"3055365"</f>
        <v>3055365</v>
      </c>
      <c r="B4756" t="s">
        <v>14571</v>
      </c>
      <c r="C4756" t="str">
        <f>"82517809"</f>
        <v>82517809</v>
      </c>
      <c r="D4756" t="s">
        <v>14572</v>
      </c>
      <c r="F4756" t="s">
        <v>14573</v>
      </c>
      <c r="I4756" t="s">
        <v>29</v>
      </c>
      <c r="J4756" t="s">
        <v>30</v>
      </c>
      <c r="K4756" t="s">
        <v>31</v>
      </c>
      <c r="M4756" t="s">
        <v>32</v>
      </c>
      <c r="N4756" t="str">
        <f>"3/15/2006 12:00:00 AM"</f>
        <v>3/15/2006 12:00:00 AM</v>
      </c>
      <c r="O4756" t="s">
        <v>14572</v>
      </c>
    </row>
    <row r="4757" spans="1:20" x14ac:dyDescent="0.25">
      <c r="A4757" t="str">
        <f>"3055624"</f>
        <v>3055624</v>
      </c>
      <c r="B4757" t="s">
        <v>14574</v>
      </c>
      <c r="C4757" t="str">
        <f>"30101000"</f>
        <v>30101000</v>
      </c>
      <c r="D4757" t="s">
        <v>14575</v>
      </c>
      <c r="E4757" t="s">
        <v>14576</v>
      </c>
      <c r="F4757" t="s">
        <v>14577</v>
      </c>
      <c r="I4757" t="s">
        <v>29</v>
      </c>
      <c r="J4757" t="s">
        <v>30</v>
      </c>
      <c r="K4757" t="s">
        <v>31</v>
      </c>
      <c r="M4757" t="s">
        <v>32</v>
      </c>
      <c r="N4757" t="str">
        <f>"10/1/2002 12:00:00 AM"</f>
        <v>10/1/2002 12:00:00 AM</v>
      </c>
      <c r="O4757" t="s">
        <v>14575</v>
      </c>
      <c r="T4757" t="s">
        <v>14576</v>
      </c>
    </row>
    <row r="4758" spans="1:20" x14ac:dyDescent="0.25">
      <c r="A4758" t="str">
        <f>"3049618"</f>
        <v>3049618</v>
      </c>
      <c r="B4758" t="s">
        <v>14578</v>
      </c>
      <c r="C4758" t="str">
        <f>"77196010"</f>
        <v>77196010</v>
      </c>
      <c r="D4758" t="s">
        <v>14579</v>
      </c>
      <c r="E4758" t="s">
        <v>14580</v>
      </c>
      <c r="F4758" t="s">
        <v>14581</v>
      </c>
      <c r="I4758" t="s">
        <v>29</v>
      </c>
      <c r="J4758" t="s">
        <v>30</v>
      </c>
      <c r="K4758" t="s">
        <v>185</v>
      </c>
      <c r="M4758" t="s">
        <v>32</v>
      </c>
      <c r="N4758" t="str">
        <f>"6/25/2004 12:00:00 AM"</f>
        <v>6/25/2004 12:00:00 AM</v>
      </c>
      <c r="O4758" t="s">
        <v>14579</v>
      </c>
      <c r="T4758" t="s">
        <v>14580</v>
      </c>
    </row>
    <row r="4759" spans="1:20" x14ac:dyDescent="0.25">
      <c r="A4759" t="str">
        <f>"3050066"</f>
        <v>3050066</v>
      </c>
      <c r="B4759" t="s">
        <v>14582</v>
      </c>
      <c r="C4759" t="str">
        <f>"77196000"</f>
        <v>77196000</v>
      </c>
      <c r="D4759" t="s">
        <v>14583</v>
      </c>
      <c r="E4759" t="s">
        <v>14584</v>
      </c>
      <c r="F4759" t="s">
        <v>14585</v>
      </c>
      <c r="I4759" t="s">
        <v>29</v>
      </c>
      <c r="J4759" t="s">
        <v>30</v>
      </c>
      <c r="K4759" t="s">
        <v>31</v>
      </c>
      <c r="M4759" t="s">
        <v>32</v>
      </c>
      <c r="N4759" t="str">
        <f>"6/25/2004 12:00:00 AM"</f>
        <v>6/25/2004 12:00:00 AM</v>
      </c>
      <c r="O4759" t="s">
        <v>14583</v>
      </c>
      <c r="T4759" t="s">
        <v>14584</v>
      </c>
    </row>
    <row r="4760" spans="1:20" x14ac:dyDescent="0.25">
      <c r="A4760" t="str">
        <f>"3055301"</f>
        <v>3055301</v>
      </c>
      <c r="B4760" t="s">
        <v>14586</v>
      </c>
      <c r="C4760" t="str">
        <f>"82518318"</f>
        <v>82518318</v>
      </c>
      <c r="D4760" t="s">
        <v>14587</v>
      </c>
      <c r="E4760" t="s">
        <v>14588</v>
      </c>
      <c r="F4760" t="s">
        <v>14589</v>
      </c>
      <c r="I4760" t="s">
        <v>29</v>
      </c>
      <c r="J4760" t="s">
        <v>30</v>
      </c>
      <c r="K4760" t="s">
        <v>31</v>
      </c>
      <c r="M4760" t="s">
        <v>32</v>
      </c>
      <c r="N4760" t="str">
        <f>"4/22/2002 12:00:00 AM"</f>
        <v>4/22/2002 12:00:00 AM</v>
      </c>
      <c r="O4760" t="s">
        <v>14587</v>
      </c>
      <c r="T4760" t="s">
        <v>14588</v>
      </c>
    </row>
    <row r="4761" spans="1:20" x14ac:dyDescent="0.25">
      <c r="A4761" t="str">
        <f>"3055288"</f>
        <v>3055288</v>
      </c>
      <c r="B4761" t="s">
        <v>14590</v>
      </c>
      <c r="C4761" t="str">
        <f>"82515510"</f>
        <v>82515510</v>
      </c>
      <c r="D4761" t="s">
        <v>14591</v>
      </c>
      <c r="E4761" t="s">
        <v>14592</v>
      </c>
      <c r="F4761" t="s">
        <v>14593</v>
      </c>
      <c r="I4761" t="s">
        <v>29</v>
      </c>
      <c r="J4761" t="s">
        <v>30</v>
      </c>
      <c r="K4761" t="s">
        <v>31</v>
      </c>
      <c r="M4761" t="s">
        <v>32</v>
      </c>
      <c r="N4761" t="str">
        <f>"10/1/2002 12:00:00 AM"</f>
        <v>10/1/2002 12:00:00 AM</v>
      </c>
      <c r="O4761" t="s">
        <v>14591</v>
      </c>
      <c r="T4761" t="s">
        <v>14592</v>
      </c>
    </row>
    <row r="4762" spans="1:20" x14ac:dyDescent="0.25">
      <c r="A4762" t="str">
        <f>"3055289"</f>
        <v>3055289</v>
      </c>
      <c r="B4762" t="s">
        <v>14594</v>
      </c>
      <c r="C4762" t="str">
        <f>"16580750"</f>
        <v>16580750</v>
      </c>
      <c r="D4762" t="s">
        <v>14595</v>
      </c>
      <c r="E4762" t="s">
        <v>14596</v>
      </c>
      <c r="F4762" t="s">
        <v>14597</v>
      </c>
      <c r="I4762" t="s">
        <v>29</v>
      </c>
      <c r="J4762" t="s">
        <v>30</v>
      </c>
      <c r="K4762" t="s">
        <v>31</v>
      </c>
      <c r="M4762" t="s">
        <v>32</v>
      </c>
      <c r="N4762" t="str">
        <f>"2/3/2005 12:00:00 AM"</f>
        <v>2/3/2005 12:00:00 AM</v>
      </c>
      <c r="O4762" t="s">
        <v>14595</v>
      </c>
      <c r="T4762" t="s">
        <v>14596</v>
      </c>
    </row>
    <row r="4763" spans="1:20" x14ac:dyDescent="0.25">
      <c r="A4763" t="str">
        <f>"3055304"</f>
        <v>3055304</v>
      </c>
      <c r="B4763" t="s">
        <v>14598</v>
      </c>
      <c r="C4763" t="str">
        <f>"82518435"</f>
        <v>82518435</v>
      </c>
      <c r="D4763" t="s">
        <v>14599</v>
      </c>
      <c r="F4763" t="s">
        <v>14600</v>
      </c>
      <c r="I4763" t="s">
        <v>29</v>
      </c>
      <c r="J4763" t="s">
        <v>30</v>
      </c>
      <c r="K4763" t="s">
        <v>31</v>
      </c>
      <c r="M4763" t="s">
        <v>32</v>
      </c>
      <c r="N4763" t="str">
        <f>"5/6/2002 12:00:00 AM"</f>
        <v>5/6/2002 12:00:00 AM</v>
      </c>
      <c r="O4763" t="s">
        <v>14599</v>
      </c>
    </row>
    <row r="4764" spans="1:20" x14ac:dyDescent="0.25">
      <c r="A4764" t="str">
        <f>"3054767"</f>
        <v>3054767</v>
      </c>
      <c r="B4764" t="s">
        <v>14601</v>
      </c>
      <c r="C4764" t="str">
        <f>"48873500"</f>
        <v>48873500</v>
      </c>
      <c r="D4764" t="s">
        <v>14602</v>
      </c>
      <c r="F4764" t="s">
        <v>14603</v>
      </c>
      <c r="I4764" t="s">
        <v>14604</v>
      </c>
      <c r="J4764" t="s">
        <v>30</v>
      </c>
      <c r="K4764" t="s">
        <v>14605</v>
      </c>
      <c r="M4764" t="s">
        <v>32</v>
      </c>
      <c r="N4764" t="str">
        <f>"11/19/1991 12:00:00 AM"</f>
        <v>11/19/1991 12:00:00 AM</v>
      </c>
      <c r="O4764" t="s">
        <v>14602</v>
      </c>
    </row>
    <row r="4765" spans="1:20" x14ac:dyDescent="0.25">
      <c r="A4765" t="str">
        <f>"3054793"</f>
        <v>3054793</v>
      </c>
      <c r="B4765" t="s">
        <v>14606</v>
      </c>
      <c r="C4765" t="str">
        <f>"13633500"</f>
        <v>13633500</v>
      </c>
      <c r="D4765" t="s">
        <v>14607</v>
      </c>
      <c r="F4765" t="s">
        <v>12218</v>
      </c>
      <c r="I4765" t="s">
        <v>29</v>
      </c>
      <c r="J4765" t="s">
        <v>30</v>
      </c>
      <c r="K4765" t="s">
        <v>31</v>
      </c>
      <c r="M4765" t="s">
        <v>32</v>
      </c>
      <c r="N4765" t="str">
        <f>"8/18/2009 12:00:00 AM"</f>
        <v>8/18/2009 12:00:00 AM</v>
      </c>
      <c r="O4765" t="s">
        <v>14607</v>
      </c>
    </row>
    <row r="4766" spans="1:20" x14ac:dyDescent="0.25">
      <c r="A4766" t="str">
        <f>"3049964"</f>
        <v>3049964</v>
      </c>
      <c r="B4766" t="s">
        <v>14608</v>
      </c>
      <c r="C4766" t="str">
        <f>"40036550"</f>
        <v>40036550</v>
      </c>
      <c r="D4766" t="s">
        <v>14400</v>
      </c>
      <c r="F4766" t="s">
        <v>14401</v>
      </c>
      <c r="I4766" t="s">
        <v>29</v>
      </c>
      <c r="J4766" t="s">
        <v>30</v>
      </c>
      <c r="K4766" t="s">
        <v>31</v>
      </c>
      <c r="M4766" t="s">
        <v>32</v>
      </c>
      <c r="N4766" t="str">
        <f>"4/21/2003 12:00:00 AM"</f>
        <v>4/21/2003 12:00:00 AM</v>
      </c>
      <c r="O4766" t="s">
        <v>14400</v>
      </c>
    </row>
    <row r="4767" spans="1:20" x14ac:dyDescent="0.25">
      <c r="A4767" t="str">
        <f>"3061916"</f>
        <v>3061916</v>
      </c>
      <c r="B4767" t="s">
        <v>14609</v>
      </c>
      <c r="C4767" t="str">
        <f>"46704880"</f>
        <v>46704880</v>
      </c>
      <c r="D4767" t="s">
        <v>14610</v>
      </c>
      <c r="E4767" t="s">
        <v>14611</v>
      </c>
      <c r="F4767" t="s">
        <v>14612</v>
      </c>
      <c r="I4767" t="s">
        <v>29</v>
      </c>
      <c r="J4767" t="s">
        <v>30</v>
      </c>
      <c r="K4767" t="s">
        <v>31</v>
      </c>
      <c r="M4767" t="s">
        <v>32</v>
      </c>
      <c r="N4767" t="str">
        <f>"12/17/2003 12:00:00 AM"</f>
        <v>12/17/2003 12:00:00 AM</v>
      </c>
      <c r="O4767" t="s">
        <v>14610</v>
      </c>
      <c r="T4767" t="s">
        <v>14611</v>
      </c>
    </row>
    <row r="4768" spans="1:20" x14ac:dyDescent="0.25">
      <c r="A4768" t="str">
        <f>"3055032"</f>
        <v>3055032</v>
      </c>
      <c r="B4768" t="s">
        <v>14613</v>
      </c>
      <c r="C4768" t="str">
        <f>"82518374"</f>
        <v>82518374</v>
      </c>
      <c r="D4768" t="s">
        <v>14614</v>
      </c>
      <c r="F4768" t="s">
        <v>14615</v>
      </c>
      <c r="I4768" t="s">
        <v>14616</v>
      </c>
      <c r="J4768" t="s">
        <v>30</v>
      </c>
      <c r="K4768" t="s">
        <v>14617</v>
      </c>
      <c r="M4768" t="s">
        <v>32</v>
      </c>
      <c r="N4768" t="str">
        <f>"1/17/2006 12:00:00 AM"</f>
        <v>1/17/2006 12:00:00 AM</v>
      </c>
      <c r="O4768" t="s">
        <v>14614</v>
      </c>
    </row>
    <row r="4769" spans="1:20" x14ac:dyDescent="0.25">
      <c r="A4769" t="str">
        <f>"3054735"</f>
        <v>3054735</v>
      </c>
      <c r="B4769" t="s">
        <v>14618</v>
      </c>
      <c r="C4769" t="str">
        <f>"82518374"</f>
        <v>82518374</v>
      </c>
      <c r="D4769" t="s">
        <v>14614</v>
      </c>
      <c r="F4769" t="s">
        <v>14615</v>
      </c>
      <c r="I4769" t="s">
        <v>14616</v>
      </c>
      <c r="J4769" t="s">
        <v>30</v>
      </c>
      <c r="K4769" t="s">
        <v>14617</v>
      </c>
      <c r="M4769" t="s">
        <v>32</v>
      </c>
      <c r="N4769" t="str">
        <f>"1/17/2006 12:00:00 AM"</f>
        <v>1/17/2006 12:00:00 AM</v>
      </c>
      <c r="O4769" t="s">
        <v>14614</v>
      </c>
    </row>
    <row r="4770" spans="1:20" x14ac:dyDescent="0.25">
      <c r="A4770" t="str">
        <f>"3055223"</f>
        <v>3055223</v>
      </c>
      <c r="B4770" t="s">
        <v>14619</v>
      </c>
      <c r="C4770" t="str">
        <f>"32640000"</f>
        <v>32640000</v>
      </c>
      <c r="D4770" t="s">
        <v>14620</v>
      </c>
      <c r="E4770" t="s">
        <v>14621</v>
      </c>
      <c r="F4770" t="s">
        <v>14622</v>
      </c>
      <c r="I4770" t="s">
        <v>29</v>
      </c>
      <c r="J4770" t="s">
        <v>30</v>
      </c>
      <c r="K4770" t="s">
        <v>31</v>
      </c>
      <c r="M4770" t="s">
        <v>32</v>
      </c>
      <c r="N4770" t="str">
        <f>"10/4/2002 12:00:00 AM"</f>
        <v>10/4/2002 12:00:00 AM</v>
      </c>
      <c r="O4770" t="s">
        <v>14620</v>
      </c>
      <c r="T4770" t="s">
        <v>14621</v>
      </c>
    </row>
    <row r="4771" spans="1:20" x14ac:dyDescent="0.25">
      <c r="A4771" t="str">
        <f>"3068451"</f>
        <v>3068451</v>
      </c>
      <c r="B4771" t="s">
        <v>14623</v>
      </c>
      <c r="C4771" t="str">
        <f>"82525657"</f>
        <v>82525657</v>
      </c>
      <c r="D4771" t="s">
        <v>14624</v>
      </c>
      <c r="F4771" t="s">
        <v>14625</v>
      </c>
      <c r="I4771" t="s">
        <v>29</v>
      </c>
      <c r="J4771" t="s">
        <v>30</v>
      </c>
      <c r="K4771" t="s">
        <v>31</v>
      </c>
      <c r="M4771" t="s">
        <v>32</v>
      </c>
      <c r="N4771" t="str">
        <f>"3/3/2011 12:00:00 AM"</f>
        <v>3/3/2011 12:00:00 AM</v>
      </c>
      <c r="O4771" t="s">
        <v>14624</v>
      </c>
    </row>
    <row r="4772" spans="1:20" x14ac:dyDescent="0.25">
      <c r="A4772" t="str">
        <f>"3055026"</f>
        <v>3055026</v>
      </c>
      <c r="B4772" t="s">
        <v>14626</v>
      </c>
      <c r="C4772" t="str">
        <f>"748000"</f>
        <v>748000</v>
      </c>
      <c r="D4772" t="s">
        <v>14627</v>
      </c>
      <c r="E4772" t="s">
        <v>14628</v>
      </c>
      <c r="F4772" t="s">
        <v>14629</v>
      </c>
      <c r="I4772" t="s">
        <v>29</v>
      </c>
      <c r="J4772" t="s">
        <v>30</v>
      </c>
      <c r="K4772" t="s">
        <v>14617</v>
      </c>
      <c r="M4772" t="s">
        <v>32</v>
      </c>
      <c r="N4772" t="str">
        <f>"1/14/2005 12:00:00 AM"</f>
        <v>1/14/2005 12:00:00 AM</v>
      </c>
      <c r="O4772" t="s">
        <v>14627</v>
      </c>
      <c r="T4772" t="s">
        <v>14628</v>
      </c>
    </row>
    <row r="4773" spans="1:20" x14ac:dyDescent="0.25">
      <c r="A4773" t="str">
        <f>"3054844"</f>
        <v>3054844</v>
      </c>
      <c r="B4773" t="s">
        <v>14630</v>
      </c>
      <c r="C4773" t="str">
        <f>"77728000"</f>
        <v>77728000</v>
      </c>
      <c r="D4773" t="s">
        <v>14631</v>
      </c>
      <c r="E4773" t="s">
        <v>14632</v>
      </c>
      <c r="F4773" t="s">
        <v>14633</v>
      </c>
      <c r="I4773" t="s">
        <v>14634</v>
      </c>
      <c r="J4773" t="s">
        <v>2109</v>
      </c>
      <c r="K4773" t="s">
        <v>14635</v>
      </c>
      <c r="N4773" t="str">
        <f>"10/4/2002 12:00:00 AM"</f>
        <v>10/4/2002 12:00:00 AM</v>
      </c>
      <c r="O4773" t="s">
        <v>14631</v>
      </c>
      <c r="T4773" t="s">
        <v>14632</v>
      </c>
    </row>
    <row r="4774" spans="1:20" x14ac:dyDescent="0.25">
      <c r="A4774" t="str">
        <f>"3071259"</f>
        <v>3071259</v>
      </c>
      <c r="B4774" t="s">
        <v>14636</v>
      </c>
      <c r="C4774" t="str">
        <f>"20398500"</f>
        <v>20398500</v>
      </c>
      <c r="D4774" t="s">
        <v>14429</v>
      </c>
      <c r="E4774" t="s">
        <v>14430</v>
      </c>
      <c r="F4774" t="s">
        <v>14431</v>
      </c>
      <c r="I4774" t="s">
        <v>29</v>
      </c>
      <c r="J4774" t="s">
        <v>30</v>
      </c>
      <c r="K4774" t="s">
        <v>31</v>
      </c>
      <c r="M4774" t="s">
        <v>32</v>
      </c>
      <c r="N4774" t="str">
        <f>"10/1/2002 12:00:00 AM"</f>
        <v>10/1/2002 12:00:00 AM</v>
      </c>
      <c r="O4774" t="s">
        <v>14429</v>
      </c>
      <c r="T4774" t="s">
        <v>14430</v>
      </c>
    </row>
    <row r="4775" spans="1:20" x14ac:dyDescent="0.25">
      <c r="A4775" t="str">
        <f>"3062275"</f>
        <v>3062275</v>
      </c>
      <c r="B4775" t="s">
        <v>14637</v>
      </c>
      <c r="C4775" t="str">
        <f>"82526820"</f>
        <v>82526820</v>
      </c>
      <c r="D4775" t="s">
        <v>14638</v>
      </c>
      <c r="E4775" t="s">
        <v>14639</v>
      </c>
      <c r="F4775" t="s">
        <v>14640</v>
      </c>
      <c r="I4775" t="s">
        <v>29</v>
      </c>
      <c r="J4775" t="s">
        <v>30</v>
      </c>
      <c r="K4775" t="s">
        <v>31</v>
      </c>
      <c r="N4775" t="str">
        <f>"2/20/2007 12:00:00 AM"</f>
        <v>2/20/2007 12:00:00 AM</v>
      </c>
      <c r="O4775" t="s">
        <v>14638</v>
      </c>
      <c r="T4775" t="s">
        <v>14639</v>
      </c>
    </row>
    <row r="4776" spans="1:20" x14ac:dyDescent="0.25">
      <c r="A4776" t="str">
        <f>"3062281"</f>
        <v>3062281</v>
      </c>
      <c r="B4776" t="s">
        <v>14641</v>
      </c>
      <c r="C4776" t="str">
        <f>"82516968"</f>
        <v>82516968</v>
      </c>
      <c r="D4776" t="s">
        <v>14642</v>
      </c>
      <c r="E4776" t="s">
        <v>14643</v>
      </c>
      <c r="F4776" t="s">
        <v>14644</v>
      </c>
      <c r="I4776" t="s">
        <v>29</v>
      </c>
      <c r="J4776" t="s">
        <v>30</v>
      </c>
      <c r="K4776" t="s">
        <v>31</v>
      </c>
      <c r="M4776" t="s">
        <v>32</v>
      </c>
      <c r="N4776" t="str">
        <f>"8/9/2002 12:00:00 AM"</f>
        <v>8/9/2002 12:00:00 AM</v>
      </c>
      <c r="O4776" t="s">
        <v>14642</v>
      </c>
      <c r="T4776" t="s">
        <v>14643</v>
      </c>
    </row>
    <row r="4777" spans="1:20" x14ac:dyDescent="0.25">
      <c r="A4777" t="str">
        <f>"3054845"</f>
        <v>3054845</v>
      </c>
      <c r="B4777" t="s">
        <v>14645</v>
      </c>
      <c r="C4777" t="str">
        <f>"30042750"</f>
        <v>30042750</v>
      </c>
      <c r="D4777" t="s">
        <v>14646</v>
      </c>
      <c r="F4777" t="s">
        <v>14647</v>
      </c>
      <c r="I4777" t="s">
        <v>14648</v>
      </c>
      <c r="J4777" t="s">
        <v>14649</v>
      </c>
      <c r="K4777" t="s">
        <v>14650</v>
      </c>
      <c r="M4777" t="s">
        <v>32</v>
      </c>
      <c r="N4777" t="str">
        <f>"9/3/2003 12:00:00 AM"</f>
        <v>9/3/2003 12:00:00 AM</v>
      </c>
      <c r="O4777" t="s">
        <v>14646</v>
      </c>
    </row>
    <row r="4778" spans="1:20" x14ac:dyDescent="0.25">
      <c r="A4778" t="str">
        <f>"3054787"</f>
        <v>3054787</v>
      </c>
      <c r="B4778" t="s">
        <v>14651</v>
      </c>
      <c r="C4778" t="str">
        <f>"30042750"</f>
        <v>30042750</v>
      </c>
      <c r="D4778" t="s">
        <v>14646</v>
      </c>
      <c r="F4778" t="s">
        <v>14647</v>
      </c>
      <c r="I4778" t="s">
        <v>14648</v>
      </c>
      <c r="J4778" t="s">
        <v>14649</v>
      </c>
      <c r="K4778" t="s">
        <v>14650</v>
      </c>
      <c r="M4778" t="s">
        <v>32</v>
      </c>
      <c r="N4778" t="str">
        <f>"9/3/2003 12:00:00 AM"</f>
        <v>9/3/2003 12:00:00 AM</v>
      </c>
      <c r="O4778" t="s">
        <v>14646</v>
      </c>
    </row>
    <row r="4779" spans="1:20" x14ac:dyDescent="0.25">
      <c r="A4779" t="str">
        <f>"3053785"</f>
        <v>3053785</v>
      </c>
      <c r="B4779" t="s">
        <v>14652</v>
      </c>
      <c r="C4779" t="str">
        <f>"23140000"</f>
        <v>23140000</v>
      </c>
      <c r="D4779" t="s">
        <v>14653</v>
      </c>
      <c r="E4779" t="s">
        <v>14654</v>
      </c>
      <c r="F4779" t="s">
        <v>14655</v>
      </c>
      <c r="I4779" t="s">
        <v>29</v>
      </c>
      <c r="J4779" t="s">
        <v>30</v>
      </c>
      <c r="K4779" t="s">
        <v>31</v>
      </c>
      <c r="M4779" t="s">
        <v>32</v>
      </c>
      <c r="N4779" t="str">
        <f>"10/4/2002 12:00:00 AM"</f>
        <v>10/4/2002 12:00:00 AM</v>
      </c>
      <c r="O4779" t="s">
        <v>14653</v>
      </c>
      <c r="T4779" t="s">
        <v>14654</v>
      </c>
    </row>
    <row r="4780" spans="1:20" x14ac:dyDescent="0.25">
      <c r="A4780" t="str">
        <f>"3053788"</f>
        <v>3053788</v>
      </c>
      <c r="B4780" t="s">
        <v>14656</v>
      </c>
      <c r="C4780" t="str">
        <f>"77101750"</f>
        <v>77101750</v>
      </c>
      <c r="D4780" t="s">
        <v>14657</v>
      </c>
      <c r="E4780" t="s">
        <v>14658</v>
      </c>
      <c r="F4780" t="s">
        <v>14659</v>
      </c>
      <c r="I4780" t="s">
        <v>29</v>
      </c>
      <c r="J4780" t="s">
        <v>30</v>
      </c>
      <c r="K4780" t="s">
        <v>31</v>
      </c>
      <c r="M4780" t="s">
        <v>32</v>
      </c>
      <c r="N4780" t="str">
        <f>"10/4/2002 12:00:00 AM"</f>
        <v>10/4/2002 12:00:00 AM</v>
      </c>
      <c r="O4780" t="s">
        <v>14657</v>
      </c>
      <c r="T4780" t="s">
        <v>14658</v>
      </c>
    </row>
    <row r="4781" spans="1:20" x14ac:dyDescent="0.25">
      <c r="A4781" t="str">
        <f>"3053789"</f>
        <v>3053789</v>
      </c>
      <c r="B4781" t="s">
        <v>14660</v>
      </c>
      <c r="C4781" t="str">
        <f>"405000"</f>
        <v>405000</v>
      </c>
      <c r="D4781" t="s">
        <v>14661</v>
      </c>
      <c r="E4781" t="s">
        <v>14662</v>
      </c>
      <c r="F4781" t="s">
        <v>14663</v>
      </c>
      <c r="I4781" t="s">
        <v>29</v>
      </c>
      <c r="J4781" t="s">
        <v>30</v>
      </c>
      <c r="K4781" t="s">
        <v>31</v>
      </c>
      <c r="M4781" t="s">
        <v>32</v>
      </c>
      <c r="N4781" t="str">
        <f>"2/18/2003 12:00:00 AM"</f>
        <v>2/18/2003 12:00:00 AM</v>
      </c>
      <c r="O4781" t="s">
        <v>14661</v>
      </c>
      <c r="T4781" t="s">
        <v>14662</v>
      </c>
    </row>
    <row r="4782" spans="1:20" x14ac:dyDescent="0.25">
      <c r="A4782" t="str">
        <f>"3051338"</f>
        <v>3051338</v>
      </c>
      <c r="B4782" t="s">
        <v>14664</v>
      </c>
      <c r="C4782" t="str">
        <f>"13972500"</f>
        <v>13972500</v>
      </c>
      <c r="D4782" t="s">
        <v>14665</v>
      </c>
      <c r="E4782" t="s">
        <v>14666</v>
      </c>
      <c r="F4782" t="s">
        <v>14667</v>
      </c>
      <c r="I4782" t="s">
        <v>29</v>
      </c>
      <c r="J4782" t="s">
        <v>30</v>
      </c>
      <c r="K4782" t="s">
        <v>14668</v>
      </c>
      <c r="M4782" t="s">
        <v>32</v>
      </c>
      <c r="N4782" t="str">
        <f>"2/7/2007 12:00:00 AM"</f>
        <v>2/7/2007 12:00:00 AM</v>
      </c>
      <c r="O4782" t="s">
        <v>14665</v>
      </c>
      <c r="T4782" t="s">
        <v>14666</v>
      </c>
    </row>
    <row r="4783" spans="1:20" x14ac:dyDescent="0.25">
      <c r="A4783" t="str">
        <f>"3050083"</f>
        <v>3050083</v>
      </c>
      <c r="B4783" t="s">
        <v>14669</v>
      </c>
      <c r="C4783" t="str">
        <f>"61558600"</f>
        <v>61558600</v>
      </c>
      <c r="D4783" t="s">
        <v>14670</v>
      </c>
      <c r="E4783" t="s">
        <v>14671</v>
      </c>
      <c r="F4783" t="s">
        <v>14672</v>
      </c>
      <c r="I4783" t="s">
        <v>29</v>
      </c>
      <c r="J4783" t="s">
        <v>30</v>
      </c>
      <c r="K4783" t="s">
        <v>14673</v>
      </c>
      <c r="M4783" t="s">
        <v>32</v>
      </c>
      <c r="N4783" t="str">
        <f>"2/14/2006 12:00:00 AM"</f>
        <v>2/14/2006 12:00:00 AM</v>
      </c>
      <c r="O4783" t="s">
        <v>14670</v>
      </c>
      <c r="T4783" t="s">
        <v>14671</v>
      </c>
    </row>
    <row r="4784" spans="1:20" x14ac:dyDescent="0.25">
      <c r="A4784" t="str">
        <f>"3052829"</f>
        <v>3052829</v>
      </c>
      <c r="B4784" t="s">
        <v>14674</v>
      </c>
      <c r="C4784" t="str">
        <f>"74375000"</f>
        <v>74375000</v>
      </c>
      <c r="D4784" t="s">
        <v>14675</v>
      </c>
      <c r="F4784" t="s">
        <v>14676</v>
      </c>
      <c r="I4784" t="s">
        <v>29</v>
      </c>
      <c r="J4784" t="s">
        <v>30</v>
      </c>
      <c r="K4784" t="s">
        <v>31</v>
      </c>
      <c r="M4784" t="s">
        <v>32</v>
      </c>
      <c r="N4784" t="str">
        <f>"1/13/2000 12:00:00 AM"</f>
        <v>1/13/2000 12:00:00 AM</v>
      </c>
      <c r="O4784" t="s">
        <v>14675</v>
      </c>
    </row>
    <row r="4785" spans="1:20" x14ac:dyDescent="0.25">
      <c r="A4785" t="str">
        <f>"3050205"</f>
        <v>3050205</v>
      </c>
      <c r="B4785" t="s">
        <v>14677</v>
      </c>
      <c r="C4785" t="str">
        <f>"82518202"</f>
        <v>82518202</v>
      </c>
      <c r="D4785" t="s">
        <v>14678</v>
      </c>
      <c r="E4785" t="s">
        <v>14679</v>
      </c>
      <c r="F4785" t="s">
        <v>14680</v>
      </c>
      <c r="I4785" t="s">
        <v>29</v>
      </c>
      <c r="J4785" t="s">
        <v>30</v>
      </c>
      <c r="K4785" t="s">
        <v>31</v>
      </c>
      <c r="M4785" t="s">
        <v>32</v>
      </c>
      <c r="N4785" t="str">
        <f>"2/3/2004 12:00:00 AM"</f>
        <v>2/3/2004 12:00:00 AM</v>
      </c>
      <c r="O4785" t="s">
        <v>14678</v>
      </c>
      <c r="T4785" t="s">
        <v>14679</v>
      </c>
    </row>
    <row r="4786" spans="1:20" x14ac:dyDescent="0.25">
      <c r="A4786" t="str">
        <f>"3056843"</f>
        <v>3056843</v>
      </c>
      <c r="B4786" t="s">
        <v>14681</v>
      </c>
      <c r="C4786" t="str">
        <f>"69938000"</f>
        <v>69938000</v>
      </c>
      <c r="D4786" t="s">
        <v>14542</v>
      </c>
      <c r="E4786" t="s">
        <v>14543</v>
      </c>
      <c r="F4786" t="s">
        <v>14544</v>
      </c>
      <c r="I4786" t="s">
        <v>29</v>
      </c>
      <c r="J4786" t="s">
        <v>30</v>
      </c>
      <c r="K4786" t="s">
        <v>14545</v>
      </c>
      <c r="M4786" t="s">
        <v>32</v>
      </c>
      <c r="N4786" t="str">
        <f>"1/30/2006 12:00:00 AM"</f>
        <v>1/30/2006 12:00:00 AM</v>
      </c>
      <c r="O4786" t="s">
        <v>14542</v>
      </c>
      <c r="T4786" t="s">
        <v>14543</v>
      </c>
    </row>
    <row r="4787" spans="1:20" x14ac:dyDescent="0.25">
      <c r="A4787" t="str">
        <f>"3054078"</f>
        <v>3054078</v>
      </c>
      <c r="B4787" t="s">
        <v>14682</v>
      </c>
      <c r="C4787" t="str">
        <f>"69938000"</f>
        <v>69938000</v>
      </c>
      <c r="D4787" t="s">
        <v>14542</v>
      </c>
      <c r="E4787" t="s">
        <v>14543</v>
      </c>
      <c r="F4787" t="s">
        <v>14544</v>
      </c>
      <c r="I4787" t="s">
        <v>29</v>
      </c>
      <c r="J4787" t="s">
        <v>30</v>
      </c>
      <c r="K4787" t="s">
        <v>14545</v>
      </c>
      <c r="M4787" t="s">
        <v>32</v>
      </c>
      <c r="N4787" t="str">
        <f>"1/30/2006 12:00:00 AM"</f>
        <v>1/30/2006 12:00:00 AM</v>
      </c>
      <c r="O4787" t="s">
        <v>14542</v>
      </c>
      <c r="T4787" t="s">
        <v>14543</v>
      </c>
    </row>
    <row r="4788" spans="1:20" x14ac:dyDescent="0.25">
      <c r="A4788" t="str">
        <f>"3052190"</f>
        <v>3052190</v>
      </c>
      <c r="B4788" t="s">
        <v>14683</v>
      </c>
      <c r="C4788" t="str">
        <f>"25224500"</f>
        <v>25224500</v>
      </c>
      <c r="D4788" t="s">
        <v>14552</v>
      </c>
      <c r="E4788" t="s">
        <v>14553</v>
      </c>
      <c r="F4788" t="s">
        <v>14554</v>
      </c>
      <c r="I4788" t="s">
        <v>29</v>
      </c>
      <c r="J4788" t="s">
        <v>30</v>
      </c>
      <c r="K4788" t="s">
        <v>31</v>
      </c>
      <c r="M4788" t="s">
        <v>32</v>
      </c>
      <c r="N4788" t="str">
        <f>"10/1/2002 12:00:00 AM"</f>
        <v>10/1/2002 12:00:00 AM</v>
      </c>
      <c r="O4788" t="s">
        <v>14552</v>
      </c>
      <c r="T4788" t="s">
        <v>14553</v>
      </c>
    </row>
    <row r="4789" spans="1:20" x14ac:dyDescent="0.25">
      <c r="A4789" t="str">
        <f>"3052964"</f>
        <v>3052964</v>
      </c>
      <c r="B4789" t="s">
        <v>14684</v>
      </c>
      <c r="C4789" t="str">
        <f>"62670000"</f>
        <v>62670000</v>
      </c>
      <c r="D4789" t="s">
        <v>14685</v>
      </c>
      <c r="F4789" t="s">
        <v>14686</v>
      </c>
      <c r="I4789" t="s">
        <v>14687</v>
      </c>
      <c r="J4789" t="s">
        <v>11346</v>
      </c>
      <c r="K4789" t="s">
        <v>14688</v>
      </c>
      <c r="M4789" t="s">
        <v>32</v>
      </c>
      <c r="N4789" t="str">
        <f>"4/26/2004 12:00:00 AM"</f>
        <v>4/26/2004 12:00:00 AM</v>
      </c>
      <c r="O4789" t="s">
        <v>14685</v>
      </c>
    </row>
    <row r="4790" spans="1:20" x14ac:dyDescent="0.25">
      <c r="A4790" t="str">
        <f>"3101935"</f>
        <v>3101935</v>
      </c>
      <c r="B4790" t="s">
        <v>14689</v>
      </c>
      <c r="C4790" t="str">
        <f>"82527538"</f>
        <v>82527538</v>
      </c>
      <c r="D4790" t="s">
        <v>14690</v>
      </c>
      <c r="E4790" t="s">
        <v>14691</v>
      </c>
      <c r="F4790" t="s">
        <v>14692</v>
      </c>
      <c r="I4790" t="s">
        <v>29</v>
      </c>
      <c r="J4790" t="s">
        <v>30</v>
      </c>
      <c r="K4790" t="s">
        <v>31</v>
      </c>
      <c r="M4790" t="s">
        <v>32</v>
      </c>
      <c r="N4790" t="str">
        <f>"2/9/2007 12:00:00 AM"</f>
        <v>2/9/2007 12:00:00 AM</v>
      </c>
      <c r="O4790" t="s">
        <v>14690</v>
      </c>
      <c r="T4790" t="s">
        <v>14691</v>
      </c>
    </row>
    <row r="4791" spans="1:20" x14ac:dyDescent="0.25">
      <c r="A4791" t="str">
        <f>"3102178"</f>
        <v>3102178</v>
      </c>
      <c r="B4791" t="s">
        <v>14693</v>
      </c>
      <c r="C4791" t="str">
        <f>"3974000"</f>
        <v>3974000</v>
      </c>
      <c r="D4791" t="s">
        <v>14694</v>
      </c>
      <c r="F4791" t="s">
        <v>14695</v>
      </c>
      <c r="I4791" t="s">
        <v>29</v>
      </c>
      <c r="J4791" t="s">
        <v>30</v>
      </c>
      <c r="K4791" t="s">
        <v>31</v>
      </c>
      <c r="M4791" t="s">
        <v>32</v>
      </c>
      <c r="N4791" t="str">
        <f>"10/4/2002 12:00:00 AM"</f>
        <v>10/4/2002 12:00:00 AM</v>
      </c>
      <c r="O4791" t="s">
        <v>14694</v>
      </c>
    </row>
    <row r="4792" spans="1:20" x14ac:dyDescent="0.25">
      <c r="A4792" t="str">
        <f>"3067187"</f>
        <v>3067187</v>
      </c>
      <c r="B4792" t="s">
        <v>14696</v>
      </c>
      <c r="C4792" t="str">
        <f t="shared" ref="C4792:C4805" si="70">"50684000"</f>
        <v>50684000</v>
      </c>
      <c r="D4792" t="s">
        <v>14697</v>
      </c>
      <c r="E4792" t="s">
        <v>14698</v>
      </c>
      <c r="F4792" t="s">
        <v>14699</v>
      </c>
      <c r="I4792" t="s">
        <v>29</v>
      </c>
      <c r="J4792" t="s">
        <v>30</v>
      </c>
      <c r="K4792" t="s">
        <v>14700</v>
      </c>
      <c r="M4792" t="s">
        <v>32</v>
      </c>
      <c r="N4792" t="str">
        <f t="shared" ref="N4792:N4805" si="71">"6/2/2009 12:00:00 AM"</f>
        <v>6/2/2009 12:00:00 AM</v>
      </c>
      <c r="O4792" t="s">
        <v>14697</v>
      </c>
      <c r="T4792" t="s">
        <v>14698</v>
      </c>
    </row>
    <row r="4793" spans="1:20" x14ac:dyDescent="0.25">
      <c r="A4793" t="str">
        <f>"3067082"</f>
        <v>3067082</v>
      </c>
      <c r="B4793" t="s">
        <v>14701</v>
      </c>
      <c r="C4793" t="str">
        <f t="shared" si="70"/>
        <v>50684000</v>
      </c>
      <c r="D4793" t="s">
        <v>14697</v>
      </c>
      <c r="E4793" t="s">
        <v>14698</v>
      </c>
      <c r="F4793" t="s">
        <v>14699</v>
      </c>
      <c r="I4793" t="s">
        <v>29</v>
      </c>
      <c r="J4793" t="s">
        <v>30</v>
      </c>
      <c r="K4793" t="s">
        <v>14700</v>
      </c>
      <c r="M4793" t="s">
        <v>32</v>
      </c>
      <c r="N4793" t="str">
        <f t="shared" si="71"/>
        <v>6/2/2009 12:00:00 AM</v>
      </c>
      <c r="O4793" t="s">
        <v>14697</v>
      </c>
      <c r="T4793" t="s">
        <v>14698</v>
      </c>
    </row>
    <row r="4794" spans="1:20" x14ac:dyDescent="0.25">
      <c r="A4794" t="str">
        <f>"3067087"</f>
        <v>3067087</v>
      </c>
      <c r="B4794" t="s">
        <v>14702</v>
      </c>
      <c r="C4794" t="str">
        <f t="shared" si="70"/>
        <v>50684000</v>
      </c>
      <c r="D4794" t="s">
        <v>14697</v>
      </c>
      <c r="E4794" t="s">
        <v>14698</v>
      </c>
      <c r="F4794" t="s">
        <v>14699</v>
      </c>
      <c r="I4794" t="s">
        <v>29</v>
      </c>
      <c r="J4794" t="s">
        <v>30</v>
      </c>
      <c r="K4794" t="s">
        <v>14700</v>
      </c>
      <c r="M4794" t="s">
        <v>32</v>
      </c>
      <c r="N4794" t="str">
        <f t="shared" si="71"/>
        <v>6/2/2009 12:00:00 AM</v>
      </c>
      <c r="O4794" t="s">
        <v>14697</v>
      </c>
      <c r="T4794" t="s">
        <v>14698</v>
      </c>
    </row>
    <row r="4795" spans="1:20" x14ac:dyDescent="0.25">
      <c r="A4795" t="str">
        <f>"3067066"</f>
        <v>3067066</v>
      </c>
      <c r="B4795" t="s">
        <v>14703</v>
      </c>
      <c r="C4795" t="str">
        <f t="shared" si="70"/>
        <v>50684000</v>
      </c>
      <c r="D4795" t="s">
        <v>14697</v>
      </c>
      <c r="E4795" t="s">
        <v>14698</v>
      </c>
      <c r="F4795" t="s">
        <v>14699</v>
      </c>
      <c r="I4795" t="s">
        <v>29</v>
      </c>
      <c r="J4795" t="s">
        <v>30</v>
      </c>
      <c r="K4795" t="s">
        <v>14700</v>
      </c>
      <c r="M4795" t="s">
        <v>32</v>
      </c>
      <c r="N4795" t="str">
        <f t="shared" si="71"/>
        <v>6/2/2009 12:00:00 AM</v>
      </c>
      <c r="O4795" t="s">
        <v>14697</v>
      </c>
      <c r="T4795" t="s">
        <v>14698</v>
      </c>
    </row>
    <row r="4796" spans="1:20" x14ac:dyDescent="0.25">
      <c r="A4796" t="str">
        <f>"3067073"</f>
        <v>3067073</v>
      </c>
      <c r="B4796" t="s">
        <v>14704</v>
      </c>
      <c r="C4796" t="str">
        <f t="shared" si="70"/>
        <v>50684000</v>
      </c>
      <c r="D4796" t="s">
        <v>14697</v>
      </c>
      <c r="E4796" t="s">
        <v>14698</v>
      </c>
      <c r="F4796" t="s">
        <v>14699</v>
      </c>
      <c r="I4796" t="s">
        <v>29</v>
      </c>
      <c r="J4796" t="s">
        <v>30</v>
      </c>
      <c r="K4796" t="s">
        <v>14700</v>
      </c>
      <c r="M4796" t="s">
        <v>32</v>
      </c>
      <c r="N4796" t="str">
        <f t="shared" si="71"/>
        <v>6/2/2009 12:00:00 AM</v>
      </c>
      <c r="O4796" t="s">
        <v>14697</v>
      </c>
      <c r="T4796" t="s">
        <v>14698</v>
      </c>
    </row>
    <row r="4797" spans="1:20" x14ac:dyDescent="0.25">
      <c r="A4797" t="str">
        <f>"3067078"</f>
        <v>3067078</v>
      </c>
      <c r="B4797" t="s">
        <v>14705</v>
      </c>
      <c r="C4797" t="str">
        <f t="shared" si="70"/>
        <v>50684000</v>
      </c>
      <c r="D4797" t="s">
        <v>14697</v>
      </c>
      <c r="E4797" t="s">
        <v>14698</v>
      </c>
      <c r="F4797" t="s">
        <v>14699</v>
      </c>
      <c r="I4797" t="s">
        <v>29</v>
      </c>
      <c r="J4797" t="s">
        <v>30</v>
      </c>
      <c r="K4797" t="s">
        <v>14700</v>
      </c>
      <c r="M4797" t="s">
        <v>32</v>
      </c>
      <c r="N4797" t="str">
        <f t="shared" si="71"/>
        <v>6/2/2009 12:00:00 AM</v>
      </c>
      <c r="O4797" t="s">
        <v>14697</v>
      </c>
      <c r="T4797" t="s">
        <v>14698</v>
      </c>
    </row>
    <row r="4798" spans="1:20" x14ac:dyDescent="0.25">
      <c r="A4798" t="str">
        <f>"3067081"</f>
        <v>3067081</v>
      </c>
      <c r="B4798" t="s">
        <v>14706</v>
      </c>
      <c r="C4798" t="str">
        <f t="shared" si="70"/>
        <v>50684000</v>
      </c>
      <c r="D4798" t="s">
        <v>14697</v>
      </c>
      <c r="E4798" t="s">
        <v>14698</v>
      </c>
      <c r="F4798" t="s">
        <v>14699</v>
      </c>
      <c r="I4798" t="s">
        <v>29</v>
      </c>
      <c r="J4798" t="s">
        <v>30</v>
      </c>
      <c r="K4798" t="s">
        <v>14700</v>
      </c>
      <c r="M4798" t="s">
        <v>32</v>
      </c>
      <c r="N4798" t="str">
        <f t="shared" si="71"/>
        <v>6/2/2009 12:00:00 AM</v>
      </c>
      <c r="O4798" t="s">
        <v>14697</v>
      </c>
      <c r="T4798" t="s">
        <v>14698</v>
      </c>
    </row>
    <row r="4799" spans="1:20" x14ac:dyDescent="0.25">
      <c r="A4799" t="str">
        <f>"3054273"</f>
        <v>3054273</v>
      </c>
      <c r="B4799" t="s">
        <v>14707</v>
      </c>
      <c r="C4799" t="str">
        <f t="shared" si="70"/>
        <v>50684000</v>
      </c>
      <c r="D4799" t="s">
        <v>14697</v>
      </c>
      <c r="E4799" t="s">
        <v>14698</v>
      </c>
      <c r="F4799" t="s">
        <v>14699</v>
      </c>
      <c r="I4799" t="s">
        <v>29</v>
      </c>
      <c r="J4799" t="s">
        <v>30</v>
      </c>
      <c r="K4799" t="s">
        <v>14700</v>
      </c>
      <c r="M4799" t="s">
        <v>32</v>
      </c>
      <c r="N4799" t="str">
        <f t="shared" si="71"/>
        <v>6/2/2009 12:00:00 AM</v>
      </c>
      <c r="O4799" t="s">
        <v>14697</v>
      </c>
      <c r="T4799" t="s">
        <v>14698</v>
      </c>
    </row>
    <row r="4800" spans="1:20" x14ac:dyDescent="0.25">
      <c r="A4800" t="str">
        <f>"3055342"</f>
        <v>3055342</v>
      </c>
      <c r="B4800" t="s">
        <v>14708</v>
      </c>
      <c r="C4800" t="str">
        <f t="shared" si="70"/>
        <v>50684000</v>
      </c>
      <c r="D4800" t="s">
        <v>14697</v>
      </c>
      <c r="E4800" t="s">
        <v>14698</v>
      </c>
      <c r="F4800" t="s">
        <v>14699</v>
      </c>
      <c r="I4800" t="s">
        <v>29</v>
      </c>
      <c r="J4800" t="s">
        <v>30</v>
      </c>
      <c r="K4800" t="s">
        <v>14700</v>
      </c>
      <c r="M4800" t="s">
        <v>32</v>
      </c>
      <c r="N4800" t="str">
        <f t="shared" si="71"/>
        <v>6/2/2009 12:00:00 AM</v>
      </c>
      <c r="O4800" t="s">
        <v>14697</v>
      </c>
      <c r="T4800" t="s">
        <v>14698</v>
      </c>
    </row>
    <row r="4801" spans="1:20" x14ac:dyDescent="0.25">
      <c r="A4801" t="str">
        <f>"3055046"</f>
        <v>3055046</v>
      </c>
      <c r="B4801" t="s">
        <v>14709</v>
      </c>
      <c r="C4801" t="str">
        <f t="shared" si="70"/>
        <v>50684000</v>
      </c>
      <c r="D4801" t="s">
        <v>14697</v>
      </c>
      <c r="E4801" t="s">
        <v>14698</v>
      </c>
      <c r="F4801" t="s">
        <v>14699</v>
      </c>
      <c r="I4801" t="s">
        <v>29</v>
      </c>
      <c r="J4801" t="s">
        <v>30</v>
      </c>
      <c r="K4801" t="s">
        <v>14700</v>
      </c>
      <c r="M4801" t="s">
        <v>32</v>
      </c>
      <c r="N4801" t="str">
        <f t="shared" si="71"/>
        <v>6/2/2009 12:00:00 AM</v>
      </c>
      <c r="O4801" t="s">
        <v>14697</v>
      </c>
      <c r="T4801" t="s">
        <v>14698</v>
      </c>
    </row>
    <row r="4802" spans="1:20" x14ac:dyDescent="0.25">
      <c r="A4802" t="str">
        <f>"3055062"</f>
        <v>3055062</v>
      </c>
      <c r="B4802" t="s">
        <v>14710</v>
      </c>
      <c r="C4802" t="str">
        <f t="shared" si="70"/>
        <v>50684000</v>
      </c>
      <c r="D4802" t="s">
        <v>14697</v>
      </c>
      <c r="E4802" t="s">
        <v>14698</v>
      </c>
      <c r="F4802" t="s">
        <v>14699</v>
      </c>
      <c r="I4802" t="s">
        <v>29</v>
      </c>
      <c r="J4802" t="s">
        <v>30</v>
      </c>
      <c r="K4802" t="s">
        <v>14700</v>
      </c>
      <c r="M4802" t="s">
        <v>32</v>
      </c>
      <c r="N4802" t="str">
        <f t="shared" si="71"/>
        <v>6/2/2009 12:00:00 AM</v>
      </c>
      <c r="O4802" t="s">
        <v>14697</v>
      </c>
      <c r="T4802" t="s">
        <v>14698</v>
      </c>
    </row>
    <row r="4803" spans="1:20" x14ac:dyDescent="0.25">
      <c r="A4803" t="str">
        <f>"3055393"</f>
        <v>3055393</v>
      </c>
      <c r="B4803" t="s">
        <v>14711</v>
      </c>
      <c r="C4803" t="str">
        <f t="shared" si="70"/>
        <v>50684000</v>
      </c>
      <c r="D4803" t="s">
        <v>14697</v>
      </c>
      <c r="E4803" t="s">
        <v>14698</v>
      </c>
      <c r="F4803" t="s">
        <v>14699</v>
      </c>
      <c r="I4803" t="s">
        <v>29</v>
      </c>
      <c r="J4803" t="s">
        <v>30</v>
      </c>
      <c r="K4803" t="s">
        <v>14700</v>
      </c>
      <c r="M4803" t="s">
        <v>32</v>
      </c>
      <c r="N4803" t="str">
        <f t="shared" si="71"/>
        <v>6/2/2009 12:00:00 AM</v>
      </c>
      <c r="O4803" t="s">
        <v>14697</v>
      </c>
      <c r="T4803" t="s">
        <v>14698</v>
      </c>
    </row>
    <row r="4804" spans="1:20" x14ac:dyDescent="0.25">
      <c r="A4804" t="str">
        <f>"3055827"</f>
        <v>3055827</v>
      </c>
      <c r="B4804" t="s">
        <v>14712</v>
      </c>
      <c r="C4804" t="str">
        <f t="shared" si="70"/>
        <v>50684000</v>
      </c>
      <c r="D4804" t="s">
        <v>14697</v>
      </c>
      <c r="E4804" t="s">
        <v>14698</v>
      </c>
      <c r="F4804" t="s">
        <v>14699</v>
      </c>
      <c r="I4804" t="s">
        <v>29</v>
      </c>
      <c r="J4804" t="s">
        <v>30</v>
      </c>
      <c r="K4804" t="s">
        <v>14700</v>
      </c>
      <c r="M4804" t="s">
        <v>32</v>
      </c>
      <c r="N4804" t="str">
        <f t="shared" si="71"/>
        <v>6/2/2009 12:00:00 AM</v>
      </c>
      <c r="O4804" t="s">
        <v>14697</v>
      </c>
      <c r="T4804" t="s">
        <v>14698</v>
      </c>
    </row>
    <row r="4805" spans="1:20" x14ac:dyDescent="0.25">
      <c r="A4805" t="str">
        <f>"3055830"</f>
        <v>3055830</v>
      </c>
      <c r="B4805" t="s">
        <v>14713</v>
      </c>
      <c r="C4805" t="str">
        <f t="shared" si="70"/>
        <v>50684000</v>
      </c>
      <c r="D4805" t="s">
        <v>14697</v>
      </c>
      <c r="E4805" t="s">
        <v>14698</v>
      </c>
      <c r="F4805" t="s">
        <v>14699</v>
      </c>
      <c r="I4805" t="s">
        <v>29</v>
      </c>
      <c r="J4805" t="s">
        <v>30</v>
      </c>
      <c r="K4805" t="s">
        <v>14700</v>
      </c>
      <c r="M4805" t="s">
        <v>32</v>
      </c>
      <c r="N4805" t="str">
        <f t="shared" si="71"/>
        <v>6/2/2009 12:00:00 AM</v>
      </c>
      <c r="O4805" t="s">
        <v>14697</v>
      </c>
      <c r="T4805" t="s">
        <v>14698</v>
      </c>
    </row>
    <row r="4806" spans="1:20" x14ac:dyDescent="0.25">
      <c r="A4806" t="str">
        <f>"3058206"</f>
        <v>3058206</v>
      </c>
      <c r="B4806" t="s">
        <v>14714</v>
      </c>
      <c r="C4806" t="str">
        <f>"82523578"</f>
        <v>82523578</v>
      </c>
      <c r="D4806" t="s">
        <v>14715</v>
      </c>
      <c r="F4806" t="s">
        <v>14716</v>
      </c>
      <c r="I4806" t="s">
        <v>29</v>
      </c>
      <c r="J4806" t="s">
        <v>30</v>
      </c>
      <c r="K4806" t="s">
        <v>31</v>
      </c>
      <c r="N4806" t="str">
        <f>"1/5/2005 12:00:00 AM"</f>
        <v>1/5/2005 12:00:00 AM</v>
      </c>
      <c r="O4806" t="s">
        <v>14715</v>
      </c>
    </row>
    <row r="4807" spans="1:20" x14ac:dyDescent="0.25">
      <c r="A4807" t="str">
        <f>"3058200"</f>
        <v>3058200</v>
      </c>
      <c r="B4807" t="s">
        <v>14717</v>
      </c>
      <c r="C4807" t="str">
        <f>"12416000"</f>
        <v>12416000</v>
      </c>
      <c r="D4807" t="s">
        <v>12817</v>
      </c>
      <c r="F4807" t="s">
        <v>14718</v>
      </c>
      <c r="I4807" t="s">
        <v>29</v>
      </c>
      <c r="J4807" t="s">
        <v>30</v>
      </c>
      <c r="K4807" t="s">
        <v>31</v>
      </c>
      <c r="M4807" t="s">
        <v>32</v>
      </c>
      <c r="N4807" t="str">
        <f>"6/17/2003 12:00:00 AM"</f>
        <v>6/17/2003 12:00:00 AM</v>
      </c>
      <c r="O4807" t="s">
        <v>12817</v>
      </c>
    </row>
    <row r="4808" spans="1:20" x14ac:dyDescent="0.25">
      <c r="A4808" t="str">
        <f>"3055104"</f>
        <v>3055104</v>
      </c>
      <c r="B4808" t="s">
        <v>14719</v>
      </c>
      <c r="C4808" t="str">
        <f>"12416000"</f>
        <v>12416000</v>
      </c>
      <c r="D4808" t="s">
        <v>12817</v>
      </c>
      <c r="F4808" t="s">
        <v>14718</v>
      </c>
      <c r="I4808" t="s">
        <v>29</v>
      </c>
      <c r="J4808" t="s">
        <v>30</v>
      </c>
      <c r="K4808" t="s">
        <v>31</v>
      </c>
      <c r="M4808" t="s">
        <v>32</v>
      </c>
      <c r="N4808" t="str">
        <f>"6/17/2003 12:00:00 AM"</f>
        <v>6/17/2003 12:00:00 AM</v>
      </c>
      <c r="O4808" t="s">
        <v>12817</v>
      </c>
    </row>
    <row r="4809" spans="1:20" x14ac:dyDescent="0.25">
      <c r="A4809" t="str">
        <f>"3058216"</f>
        <v>3058216</v>
      </c>
      <c r="B4809" t="s">
        <v>14720</v>
      </c>
      <c r="C4809" t="str">
        <f>"81522000"</f>
        <v>81522000</v>
      </c>
      <c r="D4809" t="s">
        <v>14721</v>
      </c>
      <c r="F4809" t="s">
        <v>14722</v>
      </c>
      <c r="I4809" t="s">
        <v>29</v>
      </c>
      <c r="J4809" t="s">
        <v>30</v>
      </c>
      <c r="K4809" t="s">
        <v>31</v>
      </c>
      <c r="M4809" t="s">
        <v>32</v>
      </c>
      <c r="N4809" t="str">
        <f>"7/20/2004 12:00:00 AM"</f>
        <v>7/20/2004 12:00:00 AM</v>
      </c>
      <c r="O4809" t="s">
        <v>14721</v>
      </c>
    </row>
    <row r="4810" spans="1:20" x14ac:dyDescent="0.25">
      <c r="A4810" t="str">
        <f>"3058203"</f>
        <v>3058203</v>
      </c>
      <c r="B4810" t="s">
        <v>14723</v>
      </c>
      <c r="C4810" t="str">
        <f>"39396000"</f>
        <v>39396000</v>
      </c>
      <c r="D4810" t="s">
        <v>14724</v>
      </c>
      <c r="F4810" t="s">
        <v>14725</v>
      </c>
      <c r="I4810" t="s">
        <v>29</v>
      </c>
      <c r="J4810" t="s">
        <v>30</v>
      </c>
      <c r="K4810" t="s">
        <v>31</v>
      </c>
      <c r="M4810" t="s">
        <v>32</v>
      </c>
      <c r="N4810" t="str">
        <f>"11/10/2003 12:00:00 AM"</f>
        <v>11/10/2003 12:00:00 AM</v>
      </c>
      <c r="O4810" t="s">
        <v>14724</v>
      </c>
    </row>
    <row r="4811" spans="1:20" x14ac:dyDescent="0.25">
      <c r="A4811" t="str">
        <f>"3058204"</f>
        <v>3058204</v>
      </c>
      <c r="B4811" t="s">
        <v>14726</v>
      </c>
      <c r="C4811" t="str">
        <f>"69936000"</f>
        <v>69936000</v>
      </c>
      <c r="D4811" t="s">
        <v>14542</v>
      </c>
      <c r="F4811" t="s">
        <v>14544</v>
      </c>
      <c r="I4811" t="s">
        <v>29</v>
      </c>
      <c r="J4811" t="s">
        <v>30</v>
      </c>
      <c r="K4811" t="s">
        <v>31</v>
      </c>
      <c r="M4811" t="s">
        <v>32</v>
      </c>
      <c r="N4811" t="str">
        <f>"5/19/2004 12:00:00 AM"</f>
        <v>5/19/2004 12:00:00 AM</v>
      </c>
      <c r="O4811" t="s">
        <v>14542</v>
      </c>
    </row>
    <row r="4812" spans="1:20" x14ac:dyDescent="0.25">
      <c r="A4812" t="str">
        <f>"3058205"</f>
        <v>3058205</v>
      </c>
      <c r="B4812" t="s">
        <v>14727</v>
      </c>
      <c r="C4812" t="str">
        <f>"82528909"</f>
        <v>82528909</v>
      </c>
      <c r="D4812" t="s">
        <v>14728</v>
      </c>
      <c r="F4812" t="s">
        <v>14729</v>
      </c>
      <c r="I4812" t="s">
        <v>29</v>
      </c>
      <c r="J4812" t="s">
        <v>30</v>
      </c>
      <c r="K4812" t="s">
        <v>14730</v>
      </c>
      <c r="M4812" t="s">
        <v>32</v>
      </c>
      <c r="N4812" t="str">
        <f>"9/29/2009 12:00:00 AM"</f>
        <v>9/29/2009 12:00:00 AM</v>
      </c>
      <c r="O4812" t="s">
        <v>14728</v>
      </c>
    </row>
    <row r="4813" spans="1:20" x14ac:dyDescent="0.25">
      <c r="A4813" t="str">
        <f>"3054836"</f>
        <v>3054836</v>
      </c>
      <c r="B4813" t="s">
        <v>14731</v>
      </c>
      <c r="C4813" t="str">
        <f>"82515480"</f>
        <v>82515480</v>
      </c>
      <c r="D4813" t="s">
        <v>14732</v>
      </c>
      <c r="F4813" t="s">
        <v>14733</v>
      </c>
      <c r="I4813" t="s">
        <v>29</v>
      </c>
      <c r="J4813" t="s">
        <v>30</v>
      </c>
      <c r="K4813" t="s">
        <v>31</v>
      </c>
      <c r="M4813" t="s">
        <v>32</v>
      </c>
      <c r="N4813" t="str">
        <f>"10/1/2002 12:00:00 AM"</f>
        <v>10/1/2002 12:00:00 AM</v>
      </c>
      <c r="O4813" t="s">
        <v>14732</v>
      </c>
    </row>
    <row r="4814" spans="1:20" x14ac:dyDescent="0.25">
      <c r="A4814" t="str">
        <f>"3058222"</f>
        <v>3058222</v>
      </c>
      <c r="B4814" t="s">
        <v>14734</v>
      </c>
      <c r="C4814" t="str">
        <f>"54317380"</f>
        <v>54317380</v>
      </c>
      <c r="D4814" t="s">
        <v>14735</v>
      </c>
      <c r="E4814" t="s">
        <v>14736</v>
      </c>
      <c r="F4814" t="s">
        <v>14737</v>
      </c>
      <c r="I4814" t="s">
        <v>29</v>
      </c>
      <c r="J4814" t="s">
        <v>30</v>
      </c>
      <c r="K4814" t="s">
        <v>31</v>
      </c>
      <c r="M4814" t="s">
        <v>32</v>
      </c>
      <c r="N4814" t="str">
        <f>"10/4/2002 12:00:00 AM"</f>
        <v>10/4/2002 12:00:00 AM</v>
      </c>
      <c r="O4814" t="s">
        <v>14735</v>
      </c>
      <c r="T4814" t="s">
        <v>14736</v>
      </c>
    </row>
    <row r="4815" spans="1:20" x14ac:dyDescent="0.25">
      <c r="A4815" t="str">
        <f>"3057083"</f>
        <v>3057083</v>
      </c>
      <c r="B4815" t="s">
        <v>14738</v>
      </c>
      <c r="C4815" t="str">
        <f>"54317380"</f>
        <v>54317380</v>
      </c>
      <c r="D4815" t="s">
        <v>14735</v>
      </c>
      <c r="E4815" t="s">
        <v>14736</v>
      </c>
      <c r="F4815" t="s">
        <v>14737</v>
      </c>
      <c r="I4815" t="s">
        <v>29</v>
      </c>
      <c r="J4815" t="s">
        <v>30</v>
      </c>
      <c r="K4815" t="s">
        <v>31</v>
      </c>
      <c r="M4815" t="s">
        <v>32</v>
      </c>
      <c r="N4815" t="str">
        <f>"10/4/2002 12:00:00 AM"</f>
        <v>10/4/2002 12:00:00 AM</v>
      </c>
      <c r="O4815" t="s">
        <v>14735</v>
      </c>
      <c r="T4815" t="s">
        <v>14736</v>
      </c>
    </row>
    <row r="4816" spans="1:20" x14ac:dyDescent="0.25">
      <c r="A4816" t="str">
        <f>"3058225"</f>
        <v>3058225</v>
      </c>
      <c r="B4816" t="s">
        <v>14739</v>
      </c>
      <c r="C4816" t="str">
        <f>"53609500"</f>
        <v>53609500</v>
      </c>
      <c r="D4816" t="s">
        <v>14740</v>
      </c>
      <c r="F4816" t="s">
        <v>14741</v>
      </c>
      <c r="I4816" t="s">
        <v>29</v>
      </c>
      <c r="J4816" t="s">
        <v>30</v>
      </c>
      <c r="K4816" t="s">
        <v>31</v>
      </c>
      <c r="M4816" t="s">
        <v>32</v>
      </c>
      <c r="N4816" t="str">
        <f>"3/12/2004 12:00:00 AM"</f>
        <v>3/12/2004 12:00:00 AM</v>
      </c>
      <c r="O4816" t="s">
        <v>14740</v>
      </c>
    </row>
    <row r="4817" spans="1:20" x14ac:dyDescent="0.25">
      <c r="A4817" t="str">
        <f>"3058228"</f>
        <v>3058228</v>
      </c>
      <c r="B4817" t="s">
        <v>14742</v>
      </c>
      <c r="C4817" t="str">
        <f>"72636000"</f>
        <v>72636000</v>
      </c>
      <c r="D4817" t="s">
        <v>14743</v>
      </c>
      <c r="E4817" t="s">
        <v>14744</v>
      </c>
      <c r="F4817" t="s">
        <v>14745</v>
      </c>
      <c r="I4817" t="s">
        <v>29</v>
      </c>
      <c r="J4817" t="s">
        <v>30</v>
      </c>
      <c r="K4817" t="s">
        <v>31</v>
      </c>
      <c r="M4817" t="s">
        <v>32</v>
      </c>
      <c r="N4817" t="str">
        <f>"2/13/2007 12:00:00 AM"</f>
        <v>2/13/2007 12:00:00 AM</v>
      </c>
      <c r="O4817" t="s">
        <v>14743</v>
      </c>
      <c r="T4817" t="s">
        <v>14744</v>
      </c>
    </row>
    <row r="4818" spans="1:20" x14ac:dyDescent="0.25">
      <c r="A4818" t="str">
        <f>"3058230"</f>
        <v>3058230</v>
      </c>
      <c r="B4818" t="s">
        <v>14746</v>
      </c>
      <c r="C4818" t="str">
        <f>"21614000"</f>
        <v>21614000</v>
      </c>
      <c r="D4818" t="s">
        <v>14747</v>
      </c>
      <c r="F4818" t="s">
        <v>14748</v>
      </c>
      <c r="I4818" t="s">
        <v>29</v>
      </c>
      <c r="J4818" t="s">
        <v>30</v>
      </c>
      <c r="K4818" t="s">
        <v>31</v>
      </c>
      <c r="M4818" t="s">
        <v>32</v>
      </c>
      <c r="N4818" t="str">
        <f>"7/22/2003 12:00:00 AM"</f>
        <v>7/22/2003 12:00:00 AM</v>
      </c>
      <c r="O4818" t="s">
        <v>14747</v>
      </c>
    </row>
    <row r="4819" spans="1:20" x14ac:dyDescent="0.25">
      <c r="A4819" t="str">
        <f>"3058231"</f>
        <v>3058231</v>
      </c>
      <c r="B4819" t="s">
        <v>14749</v>
      </c>
      <c r="C4819" t="str">
        <f>"34383480"</f>
        <v>34383480</v>
      </c>
      <c r="D4819" t="s">
        <v>14750</v>
      </c>
      <c r="F4819" t="s">
        <v>14751</v>
      </c>
      <c r="I4819" t="s">
        <v>29</v>
      </c>
      <c r="J4819" t="s">
        <v>30</v>
      </c>
      <c r="K4819" t="s">
        <v>14752</v>
      </c>
      <c r="M4819" t="s">
        <v>32</v>
      </c>
      <c r="N4819" t="str">
        <f>"1/12/2007 12:00:00 AM"</f>
        <v>1/12/2007 12:00:00 AM</v>
      </c>
      <c r="O4819" t="s">
        <v>14750</v>
      </c>
      <c r="T4819" t="s">
        <v>14750</v>
      </c>
    </row>
    <row r="4820" spans="1:20" x14ac:dyDescent="0.25">
      <c r="A4820" t="str">
        <f>"3055196"</f>
        <v>3055196</v>
      </c>
      <c r="B4820" t="s">
        <v>14753</v>
      </c>
      <c r="C4820" t="str">
        <f>"7458500"</f>
        <v>7458500</v>
      </c>
      <c r="D4820" t="s">
        <v>14754</v>
      </c>
      <c r="E4820" t="s">
        <v>14755</v>
      </c>
      <c r="F4820" t="s">
        <v>14756</v>
      </c>
      <c r="I4820" t="s">
        <v>29</v>
      </c>
      <c r="J4820" t="s">
        <v>30</v>
      </c>
      <c r="K4820" t="s">
        <v>31</v>
      </c>
      <c r="M4820" t="s">
        <v>32</v>
      </c>
      <c r="N4820" t="str">
        <f>"7/28/2010 12:00:00 AM"</f>
        <v>7/28/2010 12:00:00 AM</v>
      </c>
      <c r="O4820" t="s">
        <v>14754</v>
      </c>
      <c r="T4820" t="s">
        <v>14755</v>
      </c>
    </row>
    <row r="4821" spans="1:20" x14ac:dyDescent="0.25">
      <c r="A4821" t="str">
        <f>"3058176"</f>
        <v>3058176</v>
      </c>
      <c r="B4821" t="s">
        <v>14757</v>
      </c>
      <c r="C4821" t="str">
        <f>"82516865"</f>
        <v>82516865</v>
      </c>
      <c r="D4821" t="s">
        <v>14758</v>
      </c>
      <c r="E4821" t="s">
        <v>14759</v>
      </c>
      <c r="F4821" t="s">
        <v>14760</v>
      </c>
      <c r="I4821" t="s">
        <v>29</v>
      </c>
      <c r="J4821" t="s">
        <v>30</v>
      </c>
      <c r="K4821" t="s">
        <v>31</v>
      </c>
      <c r="N4821" t="str">
        <f>"5/13/2011 12:00:00 AM"</f>
        <v>5/13/2011 12:00:00 AM</v>
      </c>
      <c r="O4821" t="s">
        <v>14758</v>
      </c>
      <c r="T4821" t="s">
        <v>14759</v>
      </c>
    </row>
    <row r="4822" spans="1:20" x14ac:dyDescent="0.25">
      <c r="A4822" t="str">
        <f>"3058158"</f>
        <v>3058158</v>
      </c>
      <c r="B4822" t="s">
        <v>14761</v>
      </c>
      <c r="C4822" t="str">
        <f>"33708000"</f>
        <v>33708000</v>
      </c>
      <c r="D4822" t="s">
        <v>14762</v>
      </c>
      <c r="E4822" t="s">
        <v>14763</v>
      </c>
      <c r="F4822" t="s">
        <v>14764</v>
      </c>
      <c r="I4822" t="s">
        <v>29</v>
      </c>
      <c r="J4822" t="s">
        <v>30</v>
      </c>
      <c r="K4822" t="s">
        <v>14765</v>
      </c>
      <c r="M4822" t="s">
        <v>32</v>
      </c>
      <c r="N4822" t="str">
        <f>"1/23/2007 12:00:00 AM"</f>
        <v>1/23/2007 12:00:00 AM</v>
      </c>
      <c r="O4822" t="s">
        <v>14762</v>
      </c>
      <c r="T4822" t="s">
        <v>14763</v>
      </c>
    </row>
    <row r="4823" spans="1:20" x14ac:dyDescent="0.25">
      <c r="A4823" t="str">
        <f>"3078687"</f>
        <v>3078687</v>
      </c>
      <c r="B4823" t="s">
        <v>14766</v>
      </c>
      <c r="C4823" t="str">
        <f>"4670000"</f>
        <v>4670000</v>
      </c>
      <c r="D4823" t="s">
        <v>14767</v>
      </c>
      <c r="F4823" t="s">
        <v>14768</v>
      </c>
      <c r="I4823" t="s">
        <v>29</v>
      </c>
      <c r="J4823" t="s">
        <v>30</v>
      </c>
      <c r="K4823" t="s">
        <v>31</v>
      </c>
      <c r="M4823" t="s">
        <v>32</v>
      </c>
      <c r="N4823" t="str">
        <f>"5/20/2003 12:00:00 AM"</f>
        <v>5/20/2003 12:00:00 AM</v>
      </c>
      <c r="O4823" t="s">
        <v>14767</v>
      </c>
    </row>
    <row r="4824" spans="1:20" x14ac:dyDescent="0.25">
      <c r="A4824" t="str">
        <f>"3054991"</f>
        <v>3054991</v>
      </c>
      <c r="B4824" t="s">
        <v>14769</v>
      </c>
      <c r="C4824" t="str">
        <f>"82527027"</f>
        <v>82527027</v>
      </c>
      <c r="D4824" t="s">
        <v>14770</v>
      </c>
      <c r="E4824" t="s">
        <v>14771</v>
      </c>
      <c r="F4824" t="s">
        <v>14772</v>
      </c>
      <c r="I4824" t="s">
        <v>29</v>
      </c>
      <c r="J4824" t="s">
        <v>30</v>
      </c>
      <c r="K4824" t="s">
        <v>31</v>
      </c>
      <c r="M4824" t="s">
        <v>32</v>
      </c>
      <c r="N4824" t="str">
        <f>"2/23/2007 12:00:00 AM"</f>
        <v>2/23/2007 12:00:00 AM</v>
      </c>
      <c r="O4824" t="s">
        <v>14770</v>
      </c>
      <c r="T4824" t="s">
        <v>14771</v>
      </c>
    </row>
    <row r="4825" spans="1:20" x14ac:dyDescent="0.25">
      <c r="A4825" t="str">
        <f>"3057096"</f>
        <v>3057096</v>
      </c>
      <c r="B4825" t="s">
        <v>14773</v>
      </c>
      <c r="C4825" t="str">
        <f>"12824630"</f>
        <v>12824630</v>
      </c>
      <c r="D4825" t="s">
        <v>14774</v>
      </c>
      <c r="F4825" t="s">
        <v>14775</v>
      </c>
      <c r="I4825" t="s">
        <v>29</v>
      </c>
      <c r="J4825" t="s">
        <v>30</v>
      </c>
      <c r="K4825" t="s">
        <v>31</v>
      </c>
      <c r="M4825" t="s">
        <v>32</v>
      </c>
      <c r="N4825" t="str">
        <f>"6/18/2003 12:00:00 AM"</f>
        <v>6/18/2003 12:00:00 AM</v>
      </c>
      <c r="O4825" t="s">
        <v>14774</v>
      </c>
    </row>
    <row r="4826" spans="1:20" x14ac:dyDescent="0.25">
      <c r="A4826" t="str">
        <f>"3055373"</f>
        <v>3055373</v>
      </c>
      <c r="B4826" t="s">
        <v>14776</v>
      </c>
      <c r="C4826" t="str">
        <f>"46306000"</f>
        <v>46306000</v>
      </c>
      <c r="D4826" t="s">
        <v>14777</v>
      </c>
      <c r="E4826" t="s">
        <v>14778</v>
      </c>
      <c r="F4826" t="s">
        <v>14779</v>
      </c>
      <c r="I4826" t="s">
        <v>29</v>
      </c>
      <c r="J4826" t="s">
        <v>30</v>
      </c>
      <c r="K4826" t="s">
        <v>14780</v>
      </c>
      <c r="M4826" t="s">
        <v>32</v>
      </c>
      <c r="N4826" t="str">
        <f>"2/10/2010 12:00:00 AM"</f>
        <v>2/10/2010 12:00:00 AM</v>
      </c>
      <c r="O4826" t="s">
        <v>14777</v>
      </c>
      <c r="T4826" t="s">
        <v>14778</v>
      </c>
    </row>
    <row r="4827" spans="1:20" x14ac:dyDescent="0.25">
      <c r="A4827" t="str">
        <f>"3054834"</f>
        <v>3054834</v>
      </c>
      <c r="B4827" t="s">
        <v>14781</v>
      </c>
      <c r="C4827" t="str">
        <f>"43736000"</f>
        <v>43736000</v>
      </c>
      <c r="D4827" t="s">
        <v>14782</v>
      </c>
      <c r="E4827" t="s">
        <v>14783</v>
      </c>
      <c r="F4827" t="s">
        <v>14784</v>
      </c>
      <c r="I4827" t="s">
        <v>29</v>
      </c>
      <c r="J4827" t="s">
        <v>30</v>
      </c>
      <c r="K4827" t="s">
        <v>14785</v>
      </c>
      <c r="M4827" t="s">
        <v>32</v>
      </c>
      <c r="N4827" t="str">
        <f>"9/8/2006 12:00:00 AM"</f>
        <v>9/8/2006 12:00:00 AM</v>
      </c>
      <c r="O4827" t="s">
        <v>14782</v>
      </c>
      <c r="T4827" t="s">
        <v>14783</v>
      </c>
    </row>
    <row r="4828" spans="1:20" x14ac:dyDescent="0.25">
      <c r="A4828" t="str">
        <f>"3054500"</f>
        <v>3054500</v>
      </c>
      <c r="B4828" t="s">
        <v>14786</v>
      </c>
      <c r="C4828" t="str">
        <f>"76544250"</f>
        <v>76544250</v>
      </c>
      <c r="D4828" t="s">
        <v>14787</v>
      </c>
      <c r="E4828" t="s">
        <v>14788</v>
      </c>
      <c r="F4828" t="s">
        <v>14789</v>
      </c>
      <c r="I4828" t="s">
        <v>29</v>
      </c>
      <c r="J4828" t="s">
        <v>30</v>
      </c>
      <c r="K4828" t="s">
        <v>14790</v>
      </c>
      <c r="M4828" t="s">
        <v>32</v>
      </c>
      <c r="N4828" t="str">
        <f>"8/22/2005 12:00:00 AM"</f>
        <v>8/22/2005 12:00:00 AM</v>
      </c>
      <c r="O4828" t="s">
        <v>14787</v>
      </c>
      <c r="T4828" t="s">
        <v>14788</v>
      </c>
    </row>
    <row r="4829" spans="1:20" x14ac:dyDescent="0.25">
      <c r="A4829" t="str">
        <f>"3054348"</f>
        <v>3054348</v>
      </c>
      <c r="B4829" t="s">
        <v>14791</v>
      </c>
      <c r="C4829" t="str">
        <f>"24195750"</f>
        <v>24195750</v>
      </c>
      <c r="D4829" t="s">
        <v>14792</v>
      </c>
      <c r="F4829" t="s">
        <v>14793</v>
      </c>
      <c r="G4829" t="s">
        <v>14794</v>
      </c>
      <c r="I4829" t="s">
        <v>14795</v>
      </c>
      <c r="J4829" t="s">
        <v>11697</v>
      </c>
      <c r="K4829" t="s">
        <v>14796</v>
      </c>
      <c r="M4829" t="s">
        <v>32</v>
      </c>
      <c r="N4829" t="str">
        <f>"8/13/2003 12:00:00 AM"</f>
        <v>8/13/2003 12:00:00 AM</v>
      </c>
      <c r="O4829" t="s">
        <v>14792</v>
      </c>
    </row>
    <row r="4830" spans="1:20" x14ac:dyDescent="0.25">
      <c r="A4830" t="str">
        <f>"3054066"</f>
        <v>3054066</v>
      </c>
      <c r="B4830" t="s">
        <v>14797</v>
      </c>
      <c r="C4830" t="str">
        <f>"24195750"</f>
        <v>24195750</v>
      </c>
      <c r="D4830" t="s">
        <v>14792</v>
      </c>
      <c r="F4830" t="s">
        <v>14793</v>
      </c>
      <c r="G4830" t="s">
        <v>14794</v>
      </c>
      <c r="I4830" t="s">
        <v>14795</v>
      </c>
      <c r="J4830" t="s">
        <v>11697</v>
      </c>
      <c r="K4830" t="s">
        <v>14796</v>
      </c>
      <c r="M4830" t="s">
        <v>32</v>
      </c>
      <c r="N4830" t="str">
        <f>"8/13/2003 12:00:00 AM"</f>
        <v>8/13/2003 12:00:00 AM</v>
      </c>
      <c r="O4830" t="s">
        <v>14792</v>
      </c>
    </row>
    <row r="4831" spans="1:20" x14ac:dyDescent="0.25">
      <c r="A4831" t="str">
        <f>"3054350"</f>
        <v>3054350</v>
      </c>
      <c r="B4831" t="s">
        <v>14798</v>
      </c>
      <c r="C4831" t="str">
        <f>"76932000"</f>
        <v>76932000</v>
      </c>
      <c r="D4831" t="s">
        <v>14799</v>
      </c>
      <c r="E4831" t="s">
        <v>14800</v>
      </c>
      <c r="F4831" t="s">
        <v>14801</v>
      </c>
      <c r="I4831" t="s">
        <v>29</v>
      </c>
      <c r="J4831" t="s">
        <v>30</v>
      </c>
      <c r="K4831" t="s">
        <v>31</v>
      </c>
      <c r="M4831" t="s">
        <v>32</v>
      </c>
      <c r="N4831" t="str">
        <f>"6/24/2004 12:00:00 AM"</f>
        <v>6/24/2004 12:00:00 AM</v>
      </c>
      <c r="O4831" t="s">
        <v>14799</v>
      </c>
      <c r="T4831" t="s">
        <v>14800</v>
      </c>
    </row>
    <row r="4832" spans="1:20" x14ac:dyDescent="0.25">
      <c r="A4832" t="str">
        <f>"3054399"</f>
        <v>3054399</v>
      </c>
      <c r="B4832" t="s">
        <v>14802</v>
      </c>
      <c r="C4832" t="str">
        <f>"72374000"</f>
        <v>72374000</v>
      </c>
      <c r="D4832" t="s">
        <v>14803</v>
      </c>
      <c r="E4832" t="s">
        <v>14804</v>
      </c>
      <c r="F4832" t="s">
        <v>14805</v>
      </c>
      <c r="I4832" t="s">
        <v>29</v>
      </c>
      <c r="J4832" t="s">
        <v>30</v>
      </c>
      <c r="K4832" t="s">
        <v>31</v>
      </c>
      <c r="M4832" t="s">
        <v>32</v>
      </c>
      <c r="N4832" t="str">
        <f>"10/22/2002 12:00:00 AM"</f>
        <v>10/22/2002 12:00:00 AM</v>
      </c>
      <c r="O4832" t="s">
        <v>14803</v>
      </c>
      <c r="T4832" t="s">
        <v>14804</v>
      </c>
    </row>
    <row r="4833" spans="1:20" x14ac:dyDescent="0.25">
      <c r="A4833" t="str">
        <f>"3052175"</f>
        <v>3052175</v>
      </c>
      <c r="B4833" t="s">
        <v>14806</v>
      </c>
      <c r="C4833" t="str">
        <f>"82515593"</f>
        <v>82515593</v>
      </c>
      <c r="D4833" t="s">
        <v>14807</v>
      </c>
      <c r="F4833" t="s">
        <v>14808</v>
      </c>
      <c r="I4833" t="s">
        <v>14809</v>
      </c>
      <c r="J4833" t="s">
        <v>4132</v>
      </c>
      <c r="K4833" t="s">
        <v>14810</v>
      </c>
      <c r="M4833" t="s">
        <v>32</v>
      </c>
      <c r="N4833" t="str">
        <f>"10/22/2002 12:00:00 AM"</f>
        <v>10/22/2002 12:00:00 AM</v>
      </c>
      <c r="O4833" t="s">
        <v>14807</v>
      </c>
    </row>
    <row r="4834" spans="1:20" x14ac:dyDescent="0.25">
      <c r="A4834" t="str">
        <f>"3055224"</f>
        <v>3055224</v>
      </c>
      <c r="B4834" t="s">
        <v>14811</v>
      </c>
      <c r="C4834" t="str">
        <f>"23632000"</f>
        <v>23632000</v>
      </c>
      <c r="D4834" t="s">
        <v>14812</v>
      </c>
      <c r="E4834" t="s">
        <v>14813</v>
      </c>
      <c r="F4834" t="s">
        <v>14814</v>
      </c>
      <c r="I4834" t="s">
        <v>29</v>
      </c>
      <c r="J4834" t="s">
        <v>30</v>
      </c>
      <c r="K4834" t="s">
        <v>31</v>
      </c>
      <c r="M4834" t="s">
        <v>32</v>
      </c>
      <c r="N4834" t="str">
        <f>"10/4/2002 12:00:00 AM"</f>
        <v>10/4/2002 12:00:00 AM</v>
      </c>
      <c r="O4834" t="s">
        <v>14812</v>
      </c>
      <c r="T4834" t="s">
        <v>14813</v>
      </c>
    </row>
    <row r="4835" spans="1:20" x14ac:dyDescent="0.25">
      <c r="A4835" t="str">
        <f>"3049913"</f>
        <v>3049913</v>
      </c>
      <c r="B4835" t="s">
        <v>14815</v>
      </c>
      <c r="C4835" t="str">
        <f>"41629000"</f>
        <v>41629000</v>
      </c>
      <c r="D4835" t="s">
        <v>14816</v>
      </c>
      <c r="F4835" t="s">
        <v>14817</v>
      </c>
      <c r="I4835" t="s">
        <v>29</v>
      </c>
      <c r="J4835" t="s">
        <v>30</v>
      </c>
      <c r="K4835" t="s">
        <v>31</v>
      </c>
      <c r="M4835" t="s">
        <v>32</v>
      </c>
      <c r="N4835" t="str">
        <f>"11/24/2009 12:00:00 AM"</f>
        <v>11/24/2009 12:00:00 AM</v>
      </c>
      <c r="O4835" t="s">
        <v>14816</v>
      </c>
    </row>
    <row r="4836" spans="1:20" x14ac:dyDescent="0.25">
      <c r="A4836" t="str">
        <f>"3050077"</f>
        <v>3050077</v>
      </c>
      <c r="B4836" t="s">
        <v>14818</v>
      </c>
      <c r="C4836" t="str">
        <f>"6827000"</f>
        <v>6827000</v>
      </c>
      <c r="D4836" t="s">
        <v>14819</v>
      </c>
      <c r="E4836" t="s">
        <v>14820</v>
      </c>
      <c r="F4836" t="s">
        <v>14821</v>
      </c>
      <c r="I4836" t="s">
        <v>29</v>
      </c>
      <c r="J4836" t="s">
        <v>30</v>
      </c>
      <c r="K4836" t="s">
        <v>31</v>
      </c>
      <c r="M4836" t="s">
        <v>32</v>
      </c>
      <c r="N4836" t="str">
        <f>"10/1/2002 12:00:00 AM"</f>
        <v>10/1/2002 12:00:00 AM</v>
      </c>
      <c r="O4836" t="s">
        <v>14819</v>
      </c>
      <c r="T4836" t="s">
        <v>14820</v>
      </c>
    </row>
    <row r="4837" spans="1:20" x14ac:dyDescent="0.25">
      <c r="A4837" t="str">
        <f>"3050078"</f>
        <v>3050078</v>
      </c>
      <c r="B4837" t="s">
        <v>14822</v>
      </c>
      <c r="C4837" t="str">
        <f>"65876000"</f>
        <v>65876000</v>
      </c>
      <c r="D4837" t="s">
        <v>14823</v>
      </c>
      <c r="E4837" t="s">
        <v>14824</v>
      </c>
      <c r="F4837" t="s">
        <v>14825</v>
      </c>
      <c r="I4837" t="s">
        <v>29</v>
      </c>
      <c r="J4837" t="s">
        <v>30</v>
      </c>
      <c r="K4837" t="s">
        <v>31</v>
      </c>
      <c r="M4837" t="s">
        <v>32</v>
      </c>
      <c r="N4837" t="str">
        <f>"10/1/2002 12:00:00 AM"</f>
        <v>10/1/2002 12:00:00 AM</v>
      </c>
      <c r="O4837" t="s">
        <v>14823</v>
      </c>
      <c r="T4837" t="s">
        <v>14824</v>
      </c>
    </row>
    <row r="4838" spans="1:20" x14ac:dyDescent="0.25">
      <c r="A4838" t="str">
        <f>"3052241"</f>
        <v>3052241</v>
      </c>
      <c r="B4838" t="s">
        <v>14826</v>
      </c>
      <c r="C4838" t="str">
        <f>"34292000"</f>
        <v>34292000</v>
      </c>
      <c r="D4838" t="s">
        <v>14827</v>
      </c>
      <c r="F4838" t="s">
        <v>14828</v>
      </c>
      <c r="I4838" t="s">
        <v>29</v>
      </c>
      <c r="J4838" t="s">
        <v>30</v>
      </c>
      <c r="K4838" t="s">
        <v>14829</v>
      </c>
      <c r="M4838" t="s">
        <v>32</v>
      </c>
      <c r="N4838" t="str">
        <f>"1/25/2005 12:00:00 AM"</f>
        <v>1/25/2005 12:00:00 AM</v>
      </c>
      <c r="O4838" t="s">
        <v>14827</v>
      </c>
    </row>
    <row r="4839" spans="1:20" x14ac:dyDescent="0.25">
      <c r="A4839" t="str">
        <f>"3052172"</f>
        <v>3052172</v>
      </c>
      <c r="B4839" t="s">
        <v>14830</v>
      </c>
      <c r="C4839" t="str">
        <f>"6190000"</f>
        <v>6190000</v>
      </c>
      <c r="D4839" t="s">
        <v>14831</v>
      </c>
      <c r="E4839" t="s">
        <v>14832</v>
      </c>
      <c r="F4839" t="s">
        <v>14833</v>
      </c>
      <c r="I4839" t="s">
        <v>29</v>
      </c>
      <c r="J4839" t="s">
        <v>30</v>
      </c>
      <c r="K4839" t="s">
        <v>14834</v>
      </c>
      <c r="M4839" t="s">
        <v>32</v>
      </c>
      <c r="N4839" t="str">
        <f>"1/31/2006 12:00:00 AM"</f>
        <v>1/31/2006 12:00:00 AM</v>
      </c>
      <c r="O4839" t="s">
        <v>14831</v>
      </c>
      <c r="T4839" t="s">
        <v>14832</v>
      </c>
    </row>
    <row r="4840" spans="1:20" x14ac:dyDescent="0.25">
      <c r="A4840" t="str">
        <f>"3052860"</f>
        <v>3052860</v>
      </c>
      <c r="B4840" t="s">
        <v>14835</v>
      </c>
      <c r="C4840" t="str">
        <f>"6190000"</f>
        <v>6190000</v>
      </c>
      <c r="D4840" t="s">
        <v>14831</v>
      </c>
      <c r="E4840" t="s">
        <v>14832</v>
      </c>
      <c r="F4840" t="s">
        <v>14833</v>
      </c>
      <c r="I4840" t="s">
        <v>29</v>
      </c>
      <c r="J4840" t="s">
        <v>30</v>
      </c>
      <c r="K4840" t="s">
        <v>14834</v>
      </c>
      <c r="M4840" t="s">
        <v>32</v>
      </c>
      <c r="N4840" t="str">
        <f>"1/31/2006 12:00:00 AM"</f>
        <v>1/31/2006 12:00:00 AM</v>
      </c>
      <c r="O4840" t="s">
        <v>14831</v>
      </c>
      <c r="T4840" t="s">
        <v>14832</v>
      </c>
    </row>
    <row r="4841" spans="1:20" x14ac:dyDescent="0.25">
      <c r="A4841" t="str">
        <f>"3055267"</f>
        <v>3055267</v>
      </c>
      <c r="B4841" t="s">
        <v>14836</v>
      </c>
      <c r="C4841" t="str">
        <f>"66605000"</f>
        <v>66605000</v>
      </c>
      <c r="D4841" t="s">
        <v>14837</v>
      </c>
      <c r="E4841" t="s">
        <v>14838</v>
      </c>
      <c r="F4841" t="s">
        <v>14839</v>
      </c>
      <c r="I4841" t="s">
        <v>29</v>
      </c>
      <c r="J4841" t="s">
        <v>30</v>
      </c>
      <c r="K4841" t="s">
        <v>31</v>
      </c>
      <c r="M4841" t="s">
        <v>32</v>
      </c>
      <c r="N4841" t="str">
        <f>"8/26/2005 12:00:00 AM"</f>
        <v>8/26/2005 12:00:00 AM</v>
      </c>
      <c r="O4841" t="s">
        <v>14837</v>
      </c>
      <c r="T4841" t="s">
        <v>14838</v>
      </c>
    </row>
    <row r="4842" spans="1:20" x14ac:dyDescent="0.25">
      <c r="A4842" t="str">
        <f>"3055374"</f>
        <v>3055374</v>
      </c>
      <c r="B4842" t="s">
        <v>14840</v>
      </c>
      <c r="C4842" t="str">
        <f>"24411000"</f>
        <v>24411000</v>
      </c>
      <c r="D4842" t="s">
        <v>14841</v>
      </c>
      <c r="E4842" t="s">
        <v>14842</v>
      </c>
      <c r="F4842" t="s">
        <v>14843</v>
      </c>
      <c r="I4842" t="s">
        <v>29</v>
      </c>
      <c r="J4842" t="s">
        <v>30</v>
      </c>
      <c r="K4842" t="s">
        <v>31</v>
      </c>
      <c r="M4842" t="s">
        <v>32</v>
      </c>
      <c r="N4842" t="str">
        <f>"8/13/2003 12:00:00 AM"</f>
        <v>8/13/2003 12:00:00 AM</v>
      </c>
      <c r="O4842" t="s">
        <v>14841</v>
      </c>
      <c r="T4842" t="s">
        <v>14842</v>
      </c>
    </row>
    <row r="4843" spans="1:20" x14ac:dyDescent="0.25">
      <c r="A4843" t="str">
        <f>"3054835"</f>
        <v>3054835</v>
      </c>
      <c r="B4843" t="s">
        <v>14844</v>
      </c>
      <c r="C4843" t="str">
        <f>"24411000"</f>
        <v>24411000</v>
      </c>
      <c r="D4843" t="s">
        <v>14841</v>
      </c>
      <c r="E4843" t="s">
        <v>14842</v>
      </c>
      <c r="F4843" t="s">
        <v>14843</v>
      </c>
      <c r="I4843" t="s">
        <v>29</v>
      </c>
      <c r="J4843" t="s">
        <v>30</v>
      </c>
      <c r="K4843" t="s">
        <v>31</v>
      </c>
      <c r="M4843" t="s">
        <v>32</v>
      </c>
      <c r="N4843" t="str">
        <f>"8/13/2003 12:00:00 AM"</f>
        <v>8/13/2003 12:00:00 AM</v>
      </c>
      <c r="O4843" t="s">
        <v>14841</v>
      </c>
      <c r="T4843" t="s">
        <v>14842</v>
      </c>
    </row>
    <row r="4844" spans="1:20" x14ac:dyDescent="0.25">
      <c r="A4844" t="str">
        <f>"3055430"</f>
        <v>3055430</v>
      </c>
      <c r="B4844" t="s">
        <v>14845</v>
      </c>
      <c r="C4844" t="str">
        <f>"82515456"</f>
        <v>82515456</v>
      </c>
      <c r="D4844" t="s">
        <v>14846</v>
      </c>
      <c r="E4844" t="s">
        <v>14847</v>
      </c>
      <c r="F4844" t="s">
        <v>14848</v>
      </c>
      <c r="I4844" t="s">
        <v>14849</v>
      </c>
      <c r="J4844" t="s">
        <v>30</v>
      </c>
      <c r="K4844" t="s">
        <v>14850</v>
      </c>
      <c r="M4844" t="s">
        <v>32</v>
      </c>
      <c r="N4844" t="str">
        <f>"9/28/2004 12:00:00 AM"</f>
        <v>9/28/2004 12:00:00 AM</v>
      </c>
      <c r="O4844" t="s">
        <v>14846</v>
      </c>
      <c r="T4844" t="s">
        <v>14847</v>
      </c>
    </row>
    <row r="4845" spans="1:20" x14ac:dyDescent="0.25">
      <c r="A4845" t="str">
        <f>"3055090"</f>
        <v>3055090</v>
      </c>
      <c r="B4845" t="s">
        <v>14851</v>
      </c>
      <c r="C4845" t="str">
        <f>"82515456"</f>
        <v>82515456</v>
      </c>
      <c r="D4845" t="s">
        <v>14846</v>
      </c>
      <c r="E4845" t="s">
        <v>14847</v>
      </c>
      <c r="F4845" t="s">
        <v>14848</v>
      </c>
      <c r="I4845" t="s">
        <v>14849</v>
      </c>
      <c r="J4845" t="s">
        <v>30</v>
      </c>
      <c r="K4845" t="s">
        <v>14850</v>
      </c>
      <c r="M4845" t="s">
        <v>32</v>
      </c>
      <c r="N4845" t="str">
        <f>"9/28/2004 12:00:00 AM"</f>
        <v>9/28/2004 12:00:00 AM</v>
      </c>
      <c r="O4845" t="s">
        <v>14846</v>
      </c>
      <c r="T4845" t="s">
        <v>14847</v>
      </c>
    </row>
    <row r="4846" spans="1:20" x14ac:dyDescent="0.25">
      <c r="A4846" t="str">
        <f>"3078694"</f>
        <v>3078694</v>
      </c>
      <c r="B4846" t="s">
        <v>14852</v>
      </c>
      <c r="C4846" t="str">
        <f>"82515456"</f>
        <v>82515456</v>
      </c>
      <c r="D4846" t="s">
        <v>14846</v>
      </c>
      <c r="E4846" t="s">
        <v>14847</v>
      </c>
      <c r="F4846" t="s">
        <v>14848</v>
      </c>
      <c r="I4846" t="s">
        <v>14849</v>
      </c>
      <c r="J4846" t="s">
        <v>30</v>
      </c>
      <c r="K4846" t="s">
        <v>14850</v>
      </c>
      <c r="M4846" t="s">
        <v>32</v>
      </c>
      <c r="N4846" t="str">
        <f>"9/28/2004 12:00:00 AM"</f>
        <v>9/28/2004 12:00:00 AM</v>
      </c>
      <c r="O4846" t="s">
        <v>14846</v>
      </c>
      <c r="T4846" t="s">
        <v>14847</v>
      </c>
    </row>
    <row r="4847" spans="1:20" x14ac:dyDescent="0.25">
      <c r="A4847" t="str">
        <f>"3078695"</f>
        <v>3078695</v>
      </c>
      <c r="B4847" t="s">
        <v>14853</v>
      </c>
      <c r="C4847" t="str">
        <f>"82515456"</f>
        <v>82515456</v>
      </c>
      <c r="D4847" t="s">
        <v>14846</v>
      </c>
      <c r="E4847" t="s">
        <v>14847</v>
      </c>
      <c r="F4847" t="s">
        <v>14848</v>
      </c>
      <c r="I4847" t="s">
        <v>14849</v>
      </c>
      <c r="J4847" t="s">
        <v>30</v>
      </c>
      <c r="K4847" t="s">
        <v>14850</v>
      </c>
      <c r="M4847" t="s">
        <v>32</v>
      </c>
      <c r="N4847" t="str">
        <f>"9/28/2004 12:00:00 AM"</f>
        <v>9/28/2004 12:00:00 AM</v>
      </c>
      <c r="O4847" t="s">
        <v>14846</v>
      </c>
      <c r="T4847" t="s">
        <v>14847</v>
      </c>
    </row>
    <row r="4848" spans="1:20" x14ac:dyDescent="0.25">
      <c r="A4848" t="str">
        <f>"3078880"</f>
        <v>3078880</v>
      </c>
      <c r="B4848" t="s">
        <v>14854</v>
      </c>
      <c r="C4848" t="str">
        <f>"82515456"</f>
        <v>82515456</v>
      </c>
      <c r="D4848" t="s">
        <v>14846</v>
      </c>
      <c r="E4848" t="s">
        <v>14847</v>
      </c>
      <c r="F4848" t="s">
        <v>14848</v>
      </c>
      <c r="I4848" t="s">
        <v>14849</v>
      </c>
      <c r="J4848" t="s">
        <v>30</v>
      </c>
      <c r="K4848" t="s">
        <v>14850</v>
      </c>
      <c r="M4848" t="s">
        <v>32</v>
      </c>
      <c r="N4848" t="str">
        <f>"9/28/2004 12:00:00 AM"</f>
        <v>9/28/2004 12:00:00 AM</v>
      </c>
      <c r="O4848" t="s">
        <v>14846</v>
      </c>
      <c r="T4848" t="s">
        <v>14847</v>
      </c>
    </row>
    <row r="4849" spans="1:20" x14ac:dyDescent="0.25">
      <c r="A4849" t="str">
        <f>"3050055"</f>
        <v>3050055</v>
      </c>
      <c r="B4849" t="s">
        <v>14855</v>
      </c>
      <c r="C4849" t="str">
        <f>"79255620"</f>
        <v>79255620</v>
      </c>
      <c r="D4849" t="s">
        <v>14856</v>
      </c>
      <c r="E4849" t="s">
        <v>14857</v>
      </c>
      <c r="F4849" t="s">
        <v>14858</v>
      </c>
      <c r="I4849" t="s">
        <v>29</v>
      </c>
      <c r="J4849" t="s">
        <v>30</v>
      </c>
      <c r="K4849" t="s">
        <v>31</v>
      </c>
      <c r="M4849" t="s">
        <v>32</v>
      </c>
      <c r="N4849" t="str">
        <f>"7/1/2004 12:00:00 AM"</f>
        <v>7/1/2004 12:00:00 AM</v>
      </c>
      <c r="O4849" t="s">
        <v>14856</v>
      </c>
      <c r="T4849" t="s">
        <v>14857</v>
      </c>
    </row>
    <row r="4850" spans="1:20" x14ac:dyDescent="0.25">
      <c r="A4850" t="str">
        <f>"3055028"</f>
        <v>3055028</v>
      </c>
      <c r="B4850" t="s">
        <v>14859</v>
      </c>
      <c r="C4850" t="str">
        <f>"82522700"</f>
        <v>82522700</v>
      </c>
      <c r="D4850" t="s">
        <v>14860</v>
      </c>
      <c r="F4850" t="s">
        <v>14861</v>
      </c>
      <c r="I4850" t="s">
        <v>29</v>
      </c>
      <c r="J4850" t="s">
        <v>30</v>
      </c>
      <c r="K4850" t="s">
        <v>31</v>
      </c>
      <c r="M4850" t="s">
        <v>32</v>
      </c>
      <c r="N4850" t="str">
        <f>"8/19/2011 12:00:00 AM"</f>
        <v>8/19/2011 12:00:00 AM</v>
      </c>
      <c r="O4850" t="s">
        <v>14860</v>
      </c>
    </row>
    <row r="4851" spans="1:20" x14ac:dyDescent="0.25">
      <c r="A4851" t="str">
        <f>"3054910"</f>
        <v>3054910</v>
      </c>
      <c r="B4851" t="s">
        <v>14862</v>
      </c>
      <c r="C4851" t="str">
        <f>"82527801"</f>
        <v>82527801</v>
      </c>
      <c r="D4851" t="s">
        <v>14863</v>
      </c>
      <c r="F4851" t="s">
        <v>14864</v>
      </c>
      <c r="I4851" t="s">
        <v>14865</v>
      </c>
      <c r="J4851" t="s">
        <v>30</v>
      </c>
      <c r="K4851" t="s">
        <v>14866</v>
      </c>
      <c r="M4851" t="s">
        <v>32</v>
      </c>
      <c r="N4851" t="str">
        <f>"4/10/2007 12:00:00 AM"</f>
        <v>4/10/2007 12:00:00 AM</v>
      </c>
      <c r="O4851" t="s">
        <v>14863</v>
      </c>
    </row>
    <row r="4852" spans="1:20" x14ac:dyDescent="0.25">
      <c r="A4852" t="str">
        <f>"3054809"</f>
        <v>3054809</v>
      </c>
      <c r="B4852" t="s">
        <v>14867</v>
      </c>
      <c r="C4852" t="str">
        <f>"82527801"</f>
        <v>82527801</v>
      </c>
      <c r="D4852" t="s">
        <v>14863</v>
      </c>
      <c r="F4852" t="s">
        <v>14864</v>
      </c>
      <c r="I4852" t="s">
        <v>14865</v>
      </c>
      <c r="J4852" t="s">
        <v>30</v>
      </c>
      <c r="K4852" t="s">
        <v>14866</v>
      </c>
      <c r="M4852" t="s">
        <v>32</v>
      </c>
      <c r="N4852" t="str">
        <f>"4/10/2007 12:00:00 AM"</f>
        <v>4/10/2007 12:00:00 AM</v>
      </c>
      <c r="O4852" t="s">
        <v>14863</v>
      </c>
    </row>
    <row r="4853" spans="1:20" x14ac:dyDescent="0.25">
      <c r="A4853" t="str">
        <f>"3055368"</f>
        <v>3055368</v>
      </c>
      <c r="B4853" t="s">
        <v>14868</v>
      </c>
      <c r="C4853" t="str">
        <f>"4398250"</f>
        <v>4398250</v>
      </c>
      <c r="D4853" t="s">
        <v>14869</v>
      </c>
      <c r="E4853" t="s">
        <v>14870</v>
      </c>
      <c r="F4853" t="s">
        <v>14871</v>
      </c>
      <c r="I4853" t="s">
        <v>29</v>
      </c>
      <c r="J4853" t="s">
        <v>30</v>
      </c>
      <c r="K4853" t="s">
        <v>31</v>
      </c>
      <c r="M4853" t="s">
        <v>32</v>
      </c>
      <c r="N4853" t="str">
        <f>"10/22/2002 12:00:00 AM"</f>
        <v>10/22/2002 12:00:00 AM</v>
      </c>
      <c r="O4853" t="s">
        <v>14869</v>
      </c>
      <c r="T4853" t="s">
        <v>14870</v>
      </c>
    </row>
    <row r="4854" spans="1:20" x14ac:dyDescent="0.25">
      <c r="A4854" t="str">
        <f>"3055014"</f>
        <v>3055014</v>
      </c>
      <c r="B4854" t="s">
        <v>14872</v>
      </c>
      <c r="C4854" t="str">
        <f>"82521659"</f>
        <v>82521659</v>
      </c>
      <c r="D4854" t="s">
        <v>14873</v>
      </c>
      <c r="E4854" t="s">
        <v>14874</v>
      </c>
      <c r="F4854" t="s">
        <v>14875</v>
      </c>
      <c r="I4854" t="s">
        <v>29</v>
      </c>
      <c r="J4854" t="s">
        <v>30</v>
      </c>
      <c r="K4854" t="s">
        <v>31</v>
      </c>
      <c r="N4854" t="str">
        <f>"10/22/2003 12:00:00 AM"</f>
        <v>10/22/2003 12:00:00 AM</v>
      </c>
      <c r="O4854" t="s">
        <v>14873</v>
      </c>
      <c r="T4854" t="s">
        <v>14874</v>
      </c>
    </row>
    <row r="4855" spans="1:20" x14ac:dyDescent="0.25">
      <c r="A4855" t="str">
        <f>"3055034"</f>
        <v>3055034</v>
      </c>
      <c r="B4855" t="s">
        <v>14876</v>
      </c>
      <c r="C4855" t="str">
        <f>"19202750"</f>
        <v>19202750</v>
      </c>
      <c r="D4855" t="s">
        <v>14877</v>
      </c>
      <c r="E4855" t="s">
        <v>14878</v>
      </c>
      <c r="F4855" t="s">
        <v>14879</v>
      </c>
      <c r="I4855" t="s">
        <v>29</v>
      </c>
      <c r="J4855" t="s">
        <v>30</v>
      </c>
      <c r="K4855" t="s">
        <v>31</v>
      </c>
      <c r="M4855" t="s">
        <v>32</v>
      </c>
      <c r="N4855" t="str">
        <f>"7/10/2003 12:00:00 AM"</f>
        <v>7/10/2003 12:00:00 AM</v>
      </c>
      <c r="O4855" t="s">
        <v>14877</v>
      </c>
      <c r="T4855" t="s">
        <v>14878</v>
      </c>
    </row>
    <row r="4856" spans="1:20" x14ac:dyDescent="0.25">
      <c r="A4856" t="str">
        <f>"3055361"</f>
        <v>3055361</v>
      </c>
      <c r="B4856" t="s">
        <v>14880</v>
      </c>
      <c r="C4856" t="str">
        <f>"82514395"</f>
        <v>82514395</v>
      </c>
      <c r="D4856" t="s">
        <v>14881</v>
      </c>
      <c r="E4856" t="s">
        <v>14882</v>
      </c>
      <c r="F4856" t="s">
        <v>14883</v>
      </c>
      <c r="I4856" t="s">
        <v>29</v>
      </c>
      <c r="J4856" t="s">
        <v>30</v>
      </c>
      <c r="K4856" t="s">
        <v>31</v>
      </c>
      <c r="M4856" t="s">
        <v>32</v>
      </c>
      <c r="N4856" t="str">
        <f>"5/12/2004 12:00:00 AM"</f>
        <v>5/12/2004 12:00:00 AM</v>
      </c>
      <c r="O4856" t="s">
        <v>14881</v>
      </c>
      <c r="T4856" t="s">
        <v>14882</v>
      </c>
    </row>
    <row r="4857" spans="1:20" x14ac:dyDescent="0.25">
      <c r="A4857" t="str">
        <f>"3054843"</f>
        <v>3054843</v>
      </c>
      <c r="B4857" t="s">
        <v>14884</v>
      </c>
      <c r="C4857" t="str">
        <f>"22980000"</f>
        <v>22980000</v>
      </c>
      <c r="D4857" t="s">
        <v>14885</v>
      </c>
      <c r="F4857" t="str">
        <f>"C/O HELEN ANN CARTER DYSON"</f>
        <v>C/O HELEN ANN CARTER DYSON</v>
      </c>
      <c r="G4857" t="s">
        <v>11430</v>
      </c>
      <c r="I4857" t="s">
        <v>29</v>
      </c>
      <c r="J4857" t="s">
        <v>30</v>
      </c>
      <c r="K4857" t="s">
        <v>31</v>
      </c>
      <c r="M4857" t="s">
        <v>32</v>
      </c>
      <c r="N4857" t="str">
        <f>"12/22/2010 12:00:00 AM"</f>
        <v>12/22/2010 12:00:00 AM</v>
      </c>
      <c r="O4857" t="s">
        <v>14885</v>
      </c>
    </row>
    <row r="4858" spans="1:20" x14ac:dyDescent="0.25">
      <c r="A4858" t="str">
        <f>"3067506"</f>
        <v>3067506</v>
      </c>
      <c r="B4858" t="s">
        <v>14886</v>
      </c>
      <c r="C4858" t="str">
        <f>"82522313"</f>
        <v>82522313</v>
      </c>
      <c r="D4858" t="s">
        <v>14887</v>
      </c>
      <c r="E4858" t="s">
        <v>14888</v>
      </c>
      <c r="F4858" t="s">
        <v>14889</v>
      </c>
      <c r="I4858" t="s">
        <v>29</v>
      </c>
      <c r="J4858" t="s">
        <v>30</v>
      </c>
      <c r="K4858" t="s">
        <v>31</v>
      </c>
      <c r="M4858" t="s">
        <v>32</v>
      </c>
      <c r="N4858" t="str">
        <f>"3/10/2004 12:00:00 AM"</f>
        <v>3/10/2004 12:00:00 AM</v>
      </c>
      <c r="O4858" t="s">
        <v>14887</v>
      </c>
      <c r="T4858" t="s">
        <v>14888</v>
      </c>
    </row>
    <row r="4859" spans="1:20" x14ac:dyDescent="0.25">
      <c r="A4859" t="str">
        <f>"3055520"</f>
        <v>3055520</v>
      </c>
      <c r="B4859" t="s">
        <v>14890</v>
      </c>
      <c r="C4859" t="str">
        <f>"19118500"</f>
        <v>19118500</v>
      </c>
      <c r="D4859" t="s">
        <v>14891</v>
      </c>
      <c r="E4859" t="s">
        <v>14892</v>
      </c>
      <c r="F4859" t="s">
        <v>14893</v>
      </c>
      <c r="I4859" t="s">
        <v>29</v>
      </c>
      <c r="J4859" t="s">
        <v>30</v>
      </c>
      <c r="K4859" t="s">
        <v>31</v>
      </c>
      <c r="M4859" t="s">
        <v>32</v>
      </c>
      <c r="N4859" t="str">
        <f>"7/10/2003 12:00:00 AM"</f>
        <v>7/10/2003 12:00:00 AM</v>
      </c>
      <c r="O4859" t="s">
        <v>14891</v>
      </c>
      <c r="T4859" t="s">
        <v>14892</v>
      </c>
    </row>
    <row r="4860" spans="1:20" x14ac:dyDescent="0.25">
      <c r="A4860" t="str">
        <f>"3054961"</f>
        <v>3054961</v>
      </c>
      <c r="B4860" t="s">
        <v>14894</v>
      </c>
      <c r="C4860" t="str">
        <f>"19118500"</f>
        <v>19118500</v>
      </c>
      <c r="D4860" t="s">
        <v>14891</v>
      </c>
      <c r="E4860" t="s">
        <v>14892</v>
      </c>
      <c r="F4860" t="s">
        <v>14893</v>
      </c>
      <c r="I4860" t="s">
        <v>29</v>
      </c>
      <c r="J4860" t="s">
        <v>30</v>
      </c>
      <c r="K4860" t="s">
        <v>31</v>
      </c>
      <c r="M4860" t="s">
        <v>32</v>
      </c>
      <c r="N4860" t="str">
        <f>"7/10/2003 12:00:00 AM"</f>
        <v>7/10/2003 12:00:00 AM</v>
      </c>
      <c r="O4860" t="s">
        <v>14891</v>
      </c>
      <c r="T4860" t="s">
        <v>14892</v>
      </c>
    </row>
    <row r="4861" spans="1:20" x14ac:dyDescent="0.25">
      <c r="A4861" t="str">
        <f>"3054805"</f>
        <v>3054805</v>
      </c>
      <c r="B4861" t="s">
        <v>14895</v>
      </c>
      <c r="C4861" t="str">
        <f>"19118500"</f>
        <v>19118500</v>
      </c>
      <c r="D4861" t="s">
        <v>14891</v>
      </c>
      <c r="E4861" t="s">
        <v>14892</v>
      </c>
      <c r="F4861" t="s">
        <v>14893</v>
      </c>
      <c r="I4861" t="s">
        <v>29</v>
      </c>
      <c r="J4861" t="s">
        <v>30</v>
      </c>
      <c r="K4861" t="s">
        <v>31</v>
      </c>
      <c r="M4861" t="s">
        <v>32</v>
      </c>
      <c r="N4861" t="str">
        <f>"7/10/2003 12:00:00 AM"</f>
        <v>7/10/2003 12:00:00 AM</v>
      </c>
      <c r="O4861" t="s">
        <v>14891</v>
      </c>
      <c r="T4861" t="s">
        <v>14892</v>
      </c>
    </row>
    <row r="4862" spans="1:20" x14ac:dyDescent="0.25">
      <c r="A4862" t="str">
        <f>"3054766"</f>
        <v>3054766</v>
      </c>
      <c r="B4862" t="s">
        <v>14896</v>
      </c>
      <c r="C4862" t="str">
        <f>"19118500"</f>
        <v>19118500</v>
      </c>
      <c r="D4862" t="s">
        <v>14891</v>
      </c>
      <c r="E4862" t="s">
        <v>14892</v>
      </c>
      <c r="F4862" t="s">
        <v>14893</v>
      </c>
      <c r="I4862" t="s">
        <v>29</v>
      </c>
      <c r="J4862" t="s">
        <v>30</v>
      </c>
      <c r="K4862" t="s">
        <v>31</v>
      </c>
      <c r="M4862" t="s">
        <v>32</v>
      </c>
      <c r="N4862" t="str">
        <f>"7/10/2003 12:00:00 AM"</f>
        <v>7/10/2003 12:00:00 AM</v>
      </c>
      <c r="O4862" t="s">
        <v>14891</v>
      </c>
      <c r="T4862" t="s">
        <v>14892</v>
      </c>
    </row>
    <row r="4863" spans="1:20" x14ac:dyDescent="0.25">
      <c r="A4863" t="str">
        <f>"3054779"</f>
        <v>3054779</v>
      </c>
      <c r="B4863" t="s">
        <v>14897</v>
      </c>
      <c r="C4863" t="str">
        <f>"19118500"</f>
        <v>19118500</v>
      </c>
      <c r="D4863" t="s">
        <v>14891</v>
      </c>
      <c r="E4863" t="s">
        <v>14892</v>
      </c>
      <c r="F4863" t="s">
        <v>14893</v>
      </c>
      <c r="I4863" t="s">
        <v>29</v>
      </c>
      <c r="J4863" t="s">
        <v>30</v>
      </c>
      <c r="K4863" t="s">
        <v>31</v>
      </c>
      <c r="M4863" t="s">
        <v>32</v>
      </c>
      <c r="N4863" t="str">
        <f>"7/10/2003 12:00:00 AM"</f>
        <v>7/10/2003 12:00:00 AM</v>
      </c>
      <c r="O4863" t="s">
        <v>14891</v>
      </c>
      <c r="T4863" t="s">
        <v>14892</v>
      </c>
    </row>
    <row r="4864" spans="1:20" x14ac:dyDescent="0.25">
      <c r="A4864" t="str">
        <f>"3055030"</f>
        <v>3055030</v>
      </c>
      <c r="B4864" t="s">
        <v>14898</v>
      </c>
      <c r="C4864" t="str">
        <f>"82525991"</f>
        <v>82525991</v>
      </c>
      <c r="D4864" t="s">
        <v>14899</v>
      </c>
      <c r="E4864" t="s">
        <v>14900</v>
      </c>
      <c r="F4864" t="s">
        <v>14901</v>
      </c>
      <c r="I4864" t="s">
        <v>29</v>
      </c>
      <c r="J4864" t="s">
        <v>30</v>
      </c>
      <c r="K4864" t="s">
        <v>31</v>
      </c>
      <c r="M4864" t="s">
        <v>32</v>
      </c>
      <c r="N4864" t="str">
        <f>"4/12/2006 12:00:00 AM"</f>
        <v>4/12/2006 12:00:00 AM</v>
      </c>
      <c r="O4864" t="s">
        <v>14899</v>
      </c>
      <c r="T4864" t="s">
        <v>14900</v>
      </c>
    </row>
    <row r="4865" spans="1:20" x14ac:dyDescent="0.25">
      <c r="A4865" t="str">
        <f>"3055236"</f>
        <v>3055236</v>
      </c>
      <c r="B4865" t="s">
        <v>14902</v>
      </c>
      <c r="C4865" t="str">
        <f>"64544000"</f>
        <v>64544000</v>
      </c>
      <c r="D4865" t="s">
        <v>14903</v>
      </c>
      <c r="E4865" t="s">
        <v>14904</v>
      </c>
      <c r="F4865" t="s">
        <v>14905</v>
      </c>
      <c r="I4865" t="s">
        <v>29</v>
      </c>
      <c r="J4865" t="s">
        <v>30</v>
      </c>
      <c r="K4865" t="s">
        <v>14906</v>
      </c>
      <c r="M4865" t="s">
        <v>32</v>
      </c>
      <c r="N4865" t="str">
        <f>"2/1/2006 12:00:00 AM"</f>
        <v>2/1/2006 12:00:00 AM</v>
      </c>
      <c r="O4865" t="s">
        <v>14903</v>
      </c>
      <c r="T4865" t="s">
        <v>14904</v>
      </c>
    </row>
    <row r="4866" spans="1:20" x14ac:dyDescent="0.25">
      <c r="A4866" t="str">
        <f>"3055237"</f>
        <v>3055237</v>
      </c>
      <c r="B4866" t="s">
        <v>14907</v>
      </c>
      <c r="C4866" t="str">
        <f>"64544000"</f>
        <v>64544000</v>
      </c>
      <c r="D4866" t="s">
        <v>14903</v>
      </c>
      <c r="E4866" t="s">
        <v>14904</v>
      </c>
      <c r="F4866" t="s">
        <v>14905</v>
      </c>
      <c r="I4866" t="s">
        <v>29</v>
      </c>
      <c r="J4866" t="s">
        <v>30</v>
      </c>
      <c r="K4866" t="s">
        <v>14906</v>
      </c>
      <c r="M4866" t="s">
        <v>32</v>
      </c>
      <c r="N4866" t="str">
        <f>"2/1/2006 12:00:00 AM"</f>
        <v>2/1/2006 12:00:00 AM</v>
      </c>
      <c r="O4866" t="s">
        <v>14903</v>
      </c>
      <c r="T4866" t="s">
        <v>14904</v>
      </c>
    </row>
    <row r="4867" spans="1:20" x14ac:dyDescent="0.25">
      <c r="A4867" t="str">
        <f>"3078697"</f>
        <v>3078697</v>
      </c>
      <c r="B4867" t="s">
        <v>14908</v>
      </c>
      <c r="C4867" t="str">
        <f>"64544000"</f>
        <v>64544000</v>
      </c>
      <c r="D4867" t="s">
        <v>14903</v>
      </c>
      <c r="E4867" t="s">
        <v>14904</v>
      </c>
      <c r="F4867" t="s">
        <v>14905</v>
      </c>
      <c r="I4867" t="s">
        <v>29</v>
      </c>
      <c r="J4867" t="s">
        <v>30</v>
      </c>
      <c r="K4867" t="s">
        <v>14906</v>
      </c>
      <c r="M4867" t="s">
        <v>32</v>
      </c>
      <c r="N4867" t="str">
        <f>"2/1/2006 12:00:00 AM"</f>
        <v>2/1/2006 12:00:00 AM</v>
      </c>
      <c r="O4867" t="s">
        <v>14903</v>
      </c>
      <c r="T4867" t="s">
        <v>14904</v>
      </c>
    </row>
    <row r="4868" spans="1:20" x14ac:dyDescent="0.25">
      <c r="A4868" t="str">
        <f>"3055004"</f>
        <v>3055004</v>
      </c>
      <c r="B4868" t="s">
        <v>14909</v>
      </c>
      <c r="C4868" t="str">
        <f>"74648000"</f>
        <v>74648000</v>
      </c>
      <c r="D4868" t="s">
        <v>14900</v>
      </c>
      <c r="E4868" t="s">
        <v>14910</v>
      </c>
      <c r="F4868" t="s">
        <v>14911</v>
      </c>
      <c r="I4868" t="s">
        <v>29</v>
      </c>
      <c r="J4868" t="s">
        <v>30</v>
      </c>
      <c r="K4868" t="s">
        <v>14912</v>
      </c>
      <c r="M4868" t="s">
        <v>32</v>
      </c>
      <c r="N4868" t="str">
        <f>"1/23/2006 12:00:00 AM"</f>
        <v>1/23/2006 12:00:00 AM</v>
      </c>
      <c r="O4868" t="s">
        <v>14900</v>
      </c>
      <c r="T4868" t="s">
        <v>14910</v>
      </c>
    </row>
    <row r="4869" spans="1:20" x14ac:dyDescent="0.25">
      <c r="A4869" t="str">
        <f>"3054773"</f>
        <v>3054773</v>
      </c>
      <c r="B4869" t="s">
        <v>14913</v>
      </c>
      <c r="C4869" t="str">
        <f>"74648000"</f>
        <v>74648000</v>
      </c>
      <c r="D4869" t="s">
        <v>14900</v>
      </c>
      <c r="E4869" t="s">
        <v>14910</v>
      </c>
      <c r="F4869" t="s">
        <v>14911</v>
      </c>
      <c r="I4869" t="s">
        <v>29</v>
      </c>
      <c r="J4869" t="s">
        <v>30</v>
      </c>
      <c r="K4869" t="s">
        <v>14912</v>
      </c>
      <c r="M4869" t="s">
        <v>32</v>
      </c>
      <c r="N4869" t="str">
        <f>"1/23/2006 12:00:00 AM"</f>
        <v>1/23/2006 12:00:00 AM</v>
      </c>
      <c r="O4869" t="s">
        <v>14900</v>
      </c>
      <c r="T4869" t="s">
        <v>14910</v>
      </c>
    </row>
    <row r="4870" spans="1:20" x14ac:dyDescent="0.25">
      <c r="A4870" t="str">
        <f>"3064528"</f>
        <v>3064528</v>
      </c>
      <c r="B4870" t="s">
        <v>14914</v>
      </c>
      <c r="C4870" t="str">
        <f>"82525993"</f>
        <v>82525993</v>
      </c>
      <c r="D4870" t="s">
        <v>14915</v>
      </c>
      <c r="F4870" t="s">
        <v>14916</v>
      </c>
      <c r="G4870" t="s">
        <v>14901</v>
      </c>
      <c r="I4870" t="s">
        <v>29</v>
      </c>
      <c r="J4870" t="s">
        <v>30</v>
      </c>
      <c r="K4870" t="s">
        <v>31</v>
      </c>
      <c r="M4870" t="s">
        <v>32</v>
      </c>
      <c r="N4870" t="str">
        <f>"4/12/2006 12:00:00 AM"</f>
        <v>4/12/2006 12:00:00 AM</v>
      </c>
      <c r="O4870" t="s">
        <v>14915</v>
      </c>
    </row>
    <row r="4871" spans="1:20" x14ac:dyDescent="0.25">
      <c r="A4871" t="str">
        <f>"3054776"</f>
        <v>3054776</v>
      </c>
      <c r="B4871" t="s">
        <v>14917</v>
      </c>
      <c r="C4871" t="str">
        <f>"82521139"</f>
        <v>82521139</v>
      </c>
      <c r="D4871" t="s">
        <v>14918</v>
      </c>
      <c r="F4871" t="s">
        <v>14919</v>
      </c>
      <c r="I4871" t="s">
        <v>29</v>
      </c>
      <c r="J4871" t="s">
        <v>30</v>
      </c>
      <c r="K4871" t="s">
        <v>31</v>
      </c>
      <c r="M4871" t="s">
        <v>32</v>
      </c>
      <c r="N4871" t="str">
        <f>"7/10/2003 12:00:00 AM"</f>
        <v>7/10/2003 12:00:00 AM</v>
      </c>
      <c r="O4871" t="s">
        <v>14918</v>
      </c>
    </row>
    <row r="4872" spans="1:20" x14ac:dyDescent="0.25">
      <c r="A4872" t="str">
        <f>"3050186"</f>
        <v>3050186</v>
      </c>
      <c r="B4872" t="s">
        <v>14920</v>
      </c>
      <c r="C4872" t="str">
        <f>"72244000"</f>
        <v>72244000</v>
      </c>
      <c r="D4872" t="s">
        <v>14921</v>
      </c>
      <c r="F4872" t="s">
        <v>11098</v>
      </c>
      <c r="I4872" t="s">
        <v>29</v>
      </c>
      <c r="J4872" t="s">
        <v>30</v>
      </c>
      <c r="K4872" t="s">
        <v>31</v>
      </c>
      <c r="M4872" t="s">
        <v>32</v>
      </c>
      <c r="N4872" t="str">
        <f>"10/1/2002 12:00:00 AM"</f>
        <v>10/1/2002 12:00:00 AM</v>
      </c>
      <c r="O4872" t="s">
        <v>14921</v>
      </c>
    </row>
    <row r="4873" spans="1:20" x14ac:dyDescent="0.25">
      <c r="A4873" t="str">
        <f>"3078672"</f>
        <v>3078672</v>
      </c>
      <c r="B4873" t="s">
        <v>14922</v>
      </c>
      <c r="C4873" t="str">
        <f>"82524104"</f>
        <v>82524104</v>
      </c>
      <c r="D4873" t="s">
        <v>14923</v>
      </c>
      <c r="F4873" t="s">
        <v>14924</v>
      </c>
      <c r="I4873" t="s">
        <v>29</v>
      </c>
      <c r="J4873" t="s">
        <v>30</v>
      </c>
      <c r="K4873" t="s">
        <v>31</v>
      </c>
      <c r="M4873" t="s">
        <v>32</v>
      </c>
      <c r="N4873" t="str">
        <f>"5/21/2008 12:00:00 AM"</f>
        <v>5/21/2008 12:00:00 AM</v>
      </c>
      <c r="O4873" t="s">
        <v>14923</v>
      </c>
      <c r="T4873" t="s">
        <v>14923</v>
      </c>
    </row>
    <row r="4874" spans="1:20" x14ac:dyDescent="0.25">
      <c r="A4874" t="str">
        <f>"3049959"</f>
        <v>3049959</v>
      </c>
      <c r="B4874" t="s">
        <v>14925</v>
      </c>
      <c r="C4874" t="str">
        <f>"63872000"</f>
        <v>63872000</v>
      </c>
      <c r="D4874" t="s">
        <v>14926</v>
      </c>
      <c r="E4874" t="s">
        <v>14927</v>
      </c>
      <c r="F4874" t="s">
        <v>14928</v>
      </c>
      <c r="I4874" t="s">
        <v>29</v>
      </c>
      <c r="J4874" t="s">
        <v>30</v>
      </c>
      <c r="K4874" t="s">
        <v>31</v>
      </c>
      <c r="M4874" t="s">
        <v>32</v>
      </c>
      <c r="N4874" t="str">
        <f>"4/14/2008 12:00:00 AM"</f>
        <v>4/14/2008 12:00:00 AM</v>
      </c>
      <c r="O4874" t="s">
        <v>14926</v>
      </c>
      <c r="T4874" t="s">
        <v>14927</v>
      </c>
    </row>
    <row r="4875" spans="1:20" x14ac:dyDescent="0.25">
      <c r="A4875" t="str">
        <f>"3049976"</f>
        <v>3049976</v>
      </c>
      <c r="B4875" t="s">
        <v>14929</v>
      </c>
      <c r="C4875" t="str">
        <f>"82528069"</f>
        <v>82528069</v>
      </c>
      <c r="D4875" t="s">
        <v>14930</v>
      </c>
      <c r="E4875" t="s">
        <v>14931</v>
      </c>
      <c r="F4875" t="s">
        <v>14932</v>
      </c>
      <c r="I4875" t="s">
        <v>29</v>
      </c>
      <c r="J4875" t="s">
        <v>30</v>
      </c>
      <c r="K4875" t="s">
        <v>31</v>
      </c>
      <c r="M4875" t="s">
        <v>32</v>
      </c>
      <c r="N4875" t="str">
        <f>"2/5/2010 12:00:00 AM"</f>
        <v>2/5/2010 12:00:00 AM</v>
      </c>
      <c r="O4875" t="s">
        <v>14930</v>
      </c>
      <c r="T4875" t="s">
        <v>14931</v>
      </c>
    </row>
    <row r="4876" spans="1:20" x14ac:dyDescent="0.25">
      <c r="A4876" t="str">
        <f>"3049982"</f>
        <v>3049982</v>
      </c>
      <c r="B4876" t="s">
        <v>14933</v>
      </c>
      <c r="C4876" t="str">
        <f>"80618000"</f>
        <v>80618000</v>
      </c>
      <c r="D4876" t="s">
        <v>14934</v>
      </c>
      <c r="E4876" t="s">
        <v>14935</v>
      </c>
      <c r="F4876" t="s">
        <v>14936</v>
      </c>
      <c r="I4876" t="s">
        <v>29</v>
      </c>
      <c r="J4876" t="s">
        <v>30</v>
      </c>
      <c r="K4876" t="s">
        <v>14673</v>
      </c>
      <c r="M4876" t="s">
        <v>32</v>
      </c>
      <c r="N4876" t="str">
        <f>"2/4/2010 12:00:00 AM"</f>
        <v>2/4/2010 12:00:00 AM</v>
      </c>
      <c r="O4876" t="s">
        <v>14934</v>
      </c>
      <c r="T4876" t="s">
        <v>14935</v>
      </c>
    </row>
    <row r="4877" spans="1:20" x14ac:dyDescent="0.25">
      <c r="A4877" t="str">
        <f>"3058150"</f>
        <v>3058150</v>
      </c>
      <c r="B4877" t="s">
        <v>14937</v>
      </c>
      <c r="C4877" t="str">
        <f>"82518169"</f>
        <v>82518169</v>
      </c>
      <c r="D4877" t="s">
        <v>14938</v>
      </c>
      <c r="F4877" t="s">
        <v>14939</v>
      </c>
      <c r="I4877" t="s">
        <v>29</v>
      </c>
      <c r="J4877" t="s">
        <v>30</v>
      </c>
      <c r="K4877" t="s">
        <v>31</v>
      </c>
      <c r="N4877" t="str">
        <f>"1/21/2003 12:00:00 AM"</f>
        <v>1/21/2003 12:00:00 AM</v>
      </c>
      <c r="O4877" t="s">
        <v>14938</v>
      </c>
    </row>
    <row r="4878" spans="1:20" x14ac:dyDescent="0.25">
      <c r="A4878" t="str">
        <f>"3058168"</f>
        <v>3058168</v>
      </c>
      <c r="B4878" t="s">
        <v>14940</v>
      </c>
      <c r="C4878" t="str">
        <f>"80531500"</f>
        <v>80531500</v>
      </c>
      <c r="D4878" t="s">
        <v>14941</v>
      </c>
      <c r="E4878" t="s">
        <v>14942</v>
      </c>
      <c r="F4878" t="s">
        <v>14943</v>
      </c>
      <c r="I4878" t="s">
        <v>29</v>
      </c>
      <c r="J4878" t="s">
        <v>30</v>
      </c>
      <c r="K4878" t="s">
        <v>31</v>
      </c>
      <c r="M4878" t="s">
        <v>32</v>
      </c>
      <c r="N4878" t="str">
        <f>"7/16/2004 12:00:00 AM"</f>
        <v>7/16/2004 12:00:00 AM</v>
      </c>
      <c r="O4878" t="s">
        <v>14941</v>
      </c>
      <c r="T4878" t="s">
        <v>14942</v>
      </c>
    </row>
    <row r="4879" spans="1:20" x14ac:dyDescent="0.25">
      <c r="A4879" t="str">
        <f>"3053490"</f>
        <v>3053490</v>
      </c>
      <c r="B4879" t="s">
        <v>14944</v>
      </c>
      <c r="C4879" t="str">
        <f>"82526677"</f>
        <v>82526677</v>
      </c>
      <c r="D4879" t="s">
        <v>14945</v>
      </c>
      <c r="E4879" t="s">
        <v>14946</v>
      </c>
      <c r="F4879" t="s">
        <v>14947</v>
      </c>
      <c r="I4879" t="s">
        <v>29</v>
      </c>
      <c r="J4879" t="s">
        <v>30</v>
      </c>
      <c r="K4879" t="s">
        <v>31</v>
      </c>
      <c r="M4879" t="s">
        <v>32</v>
      </c>
      <c r="N4879" t="str">
        <f>"6/11/2007 12:00:00 AM"</f>
        <v>6/11/2007 12:00:00 AM</v>
      </c>
      <c r="O4879" t="s">
        <v>14945</v>
      </c>
      <c r="T4879" t="s">
        <v>14946</v>
      </c>
    </row>
    <row r="4880" spans="1:20" x14ac:dyDescent="0.25">
      <c r="A4880" t="str">
        <f>"3053281"</f>
        <v>3053281</v>
      </c>
      <c r="B4880" t="s">
        <v>14948</v>
      </c>
      <c r="C4880" t="str">
        <f>"45516000"</f>
        <v>45516000</v>
      </c>
      <c r="D4880" t="s">
        <v>11438</v>
      </c>
      <c r="E4880" t="s">
        <v>11439</v>
      </c>
      <c r="F4880" t="s">
        <v>14949</v>
      </c>
      <c r="I4880" t="s">
        <v>29</v>
      </c>
      <c r="J4880" t="s">
        <v>30</v>
      </c>
      <c r="K4880" t="s">
        <v>31</v>
      </c>
      <c r="M4880" t="s">
        <v>32</v>
      </c>
      <c r="N4880" t="str">
        <f>"12/15/2003 12:00:00 AM"</f>
        <v>12/15/2003 12:00:00 AM</v>
      </c>
      <c r="O4880" t="s">
        <v>11438</v>
      </c>
      <c r="T4880" t="s">
        <v>11439</v>
      </c>
    </row>
    <row r="4881" spans="1:20" x14ac:dyDescent="0.25">
      <c r="A4881" t="str">
        <f>"3053997"</f>
        <v>3053997</v>
      </c>
      <c r="B4881" t="s">
        <v>14950</v>
      </c>
      <c r="C4881" t="str">
        <f>"6196000"</f>
        <v>6196000</v>
      </c>
      <c r="D4881" t="s">
        <v>14951</v>
      </c>
      <c r="E4881" t="s">
        <v>14952</v>
      </c>
      <c r="F4881" t="s">
        <v>14953</v>
      </c>
      <c r="I4881" t="s">
        <v>29</v>
      </c>
      <c r="J4881" t="s">
        <v>30</v>
      </c>
      <c r="K4881" t="s">
        <v>31</v>
      </c>
      <c r="M4881" t="s">
        <v>32</v>
      </c>
      <c r="N4881" t="str">
        <f>"5/22/2003 12:00:00 AM"</f>
        <v>5/22/2003 12:00:00 AM</v>
      </c>
      <c r="O4881" t="s">
        <v>14951</v>
      </c>
      <c r="T4881" t="s">
        <v>14952</v>
      </c>
    </row>
    <row r="4882" spans="1:20" x14ac:dyDescent="0.25">
      <c r="A4882" t="str">
        <f>"3053558"</f>
        <v>3053558</v>
      </c>
      <c r="B4882" t="s">
        <v>14954</v>
      </c>
      <c r="C4882" t="str">
        <f>"82517942"</f>
        <v>82517942</v>
      </c>
      <c r="D4882" t="s">
        <v>14955</v>
      </c>
      <c r="E4882" t="s">
        <v>14956</v>
      </c>
      <c r="F4882" t="s">
        <v>14957</v>
      </c>
      <c r="I4882" t="s">
        <v>29</v>
      </c>
      <c r="J4882" t="s">
        <v>30</v>
      </c>
      <c r="K4882" t="s">
        <v>14958</v>
      </c>
      <c r="M4882" t="s">
        <v>32</v>
      </c>
      <c r="N4882" t="str">
        <f>"2/18/2005 12:00:00 AM"</f>
        <v>2/18/2005 12:00:00 AM</v>
      </c>
      <c r="O4882" t="s">
        <v>14955</v>
      </c>
      <c r="T4882" t="s">
        <v>14956</v>
      </c>
    </row>
    <row r="4883" spans="1:20" x14ac:dyDescent="0.25">
      <c r="A4883" t="str">
        <f>"3053638"</f>
        <v>3053638</v>
      </c>
      <c r="B4883" t="s">
        <v>14959</v>
      </c>
      <c r="C4883" t="str">
        <f>"82522433"</f>
        <v>82522433</v>
      </c>
      <c r="D4883" t="s">
        <v>14960</v>
      </c>
      <c r="E4883" t="s">
        <v>14961</v>
      </c>
      <c r="F4883" t="s">
        <v>14962</v>
      </c>
      <c r="I4883" t="s">
        <v>29</v>
      </c>
      <c r="J4883" t="s">
        <v>30</v>
      </c>
      <c r="K4883" t="s">
        <v>14958</v>
      </c>
      <c r="M4883" t="s">
        <v>32</v>
      </c>
      <c r="N4883" t="str">
        <f>"2/17/2005 12:00:00 AM"</f>
        <v>2/17/2005 12:00:00 AM</v>
      </c>
      <c r="O4883" t="s">
        <v>14960</v>
      </c>
      <c r="T4883" t="s">
        <v>14961</v>
      </c>
    </row>
    <row r="4884" spans="1:20" x14ac:dyDescent="0.25">
      <c r="A4884" t="str">
        <f>"3054000"</f>
        <v>3054000</v>
      </c>
      <c r="B4884" t="s">
        <v>14963</v>
      </c>
      <c r="C4884" t="str">
        <f>"6196000"</f>
        <v>6196000</v>
      </c>
      <c r="D4884" t="s">
        <v>14951</v>
      </c>
      <c r="E4884" t="s">
        <v>14952</v>
      </c>
      <c r="F4884" t="s">
        <v>14953</v>
      </c>
      <c r="I4884" t="s">
        <v>29</v>
      </c>
      <c r="J4884" t="s">
        <v>30</v>
      </c>
      <c r="K4884" t="s">
        <v>31</v>
      </c>
      <c r="M4884" t="s">
        <v>32</v>
      </c>
      <c r="N4884" t="str">
        <f>"5/22/2003 12:00:00 AM"</f>
        <v>5/22/2003 12:00:00 AM</v>
      </c>
      <c r="O4884" t="s">
        <v>14951</v>
      </c>
      <c r="T4884" t="s">
        <v>14952</v>
      </c>
    </row>
    <row r="4885" spans="1:20" x14ac:dyDescent="0.25">
      <c r="A4885" t="str">
        <f>"3054341"</f>
        <v>3054341</v>
      </c>
      <c r="B4885" t="s">
        <v>14964</v>
      </c>
      <c r="C4885" t="str">
        <f>"6196000"</f>
        <v>6196000</v>
      </c>
      <c r="D4885" t="s">
        <v>14951</v>
      </c>
      <c r="E4885" t="s">
        <v>14952</v>
      </c>
      <c r="F4885" t="s">
        <v>14953</v>
      </c>
      <c r="I4885" t="s">
        <v>29</v>
      </c>
      <c r="J4885" t="s">
        <v>30</v>
      </c>
      <c r="K4885" t="s">
        <v>31</v>
      </c>
      <c r="M4885" t="s">
        <v>32</v>
      </c>
      <c r="N4885" t="str">
        <f>"5/22/2003 12:00:00 AM"</f>
        <v>5/22/2003 12:00:00 AM</v>
      </c>
      <c r="O4885" t="s">
        <v>14951</v>
      </c>
      <c r="T4885" t="s">
        <v>14952</v>
      </c>
    </row>
    <row r="4886" spans="1:20" x14ac:dyDescent="0.25">
      <c r="A4886" t="str">
        <f>"3054279"</f>
        <v>3054279</v>
      </c>
      <c r="B4886" t="s">
        <v>14965</v>
      </c>
      <c r="C4886" t="str">
        <f>"3974000"</f>
        <v>3974000</v>
      </c>
      <c r="D4886" t="s">
        <v>14694</v>
      </c>
      <c r="F4886" t="s">
        <v>14695</v>
      </c>
      <c r="I4886" t="s">
        <v>29</v>
      </c>
      <c r="J4886" t="s">
        <v>30</v>
      </c>
      <c r="K4886" t="s">
        <v>31</v>
      </c>
      <c r="M4886" t="s">
        <v>32</v>
      </c>
      <c r="N4886" t="str">
        <f>"10/4/2002 12:00:00 AM"</f>
        <v>10/4/2002 12:00:00 AM</v>
      </c>
      <c r="O4886" t="s">
        <v>14694</v>
      </c>
    </row>
    <row r="4887" spans="1:20" x14ac:dyDescent="0.25">
      <c r="A4887" t="str">
        <f>"3058219"</f>
        <v>3058219</v>
      </c>
      <c r="B4887" t="s">
        <v>14966</v>
      </c>
      <c r="C4887" t="str">
        <f>"54317380"</f>
        <v>54317380</v>
      </c>
      <c r="D4887" t="s">
        <v>14735</v>
      </c>
      <c r="E4887" t="s">
        <v>14736</v>
      </c>
      <c r="F4887" t="s">
        <v>14737</v>
      </c>
      <c r="I4887" t="s">
        <v>29</v>
      </c>
      <c r="J4887" t="s">
        <v>30</v>
      </c>
      <c r="K4887" t="s">
        <v>31</v>
      </c>
      <c r="M4887" t="s">
        <v>32</v>
      </c>
      <c r="N4887" t="str">
        <f>"10/4/2002 12:00:00 AM"</f>
        <v>10/4/2002 12:00:00 AM</v>
      </c>
      <c r="O4887" t="s">
        <v>14735</v>
      </c>
      <c r="T4887" t="s">
        <v>14736</v>
      </c>
    </row>
    <row r="4888" spans="1:20" x14ac:dyDescent="0.25">
      <c r="A4888" t="str">
        <f>"3058175"</f>
        <v>3058175</v>
      </c>
      <c r="B4888" t="s">
        <v>14967</v>
      </c>
      <c r="C4888" t="str">
        <f>"82513851"</f>
        <v>82513851</v>
      </c>
      <c r="D4888" t="s">
        <v>14968</v>
      </c>
      <c r="F4888" t="s">
        <v>14969</v>
      </c>
      <c r="I4888" t="s">
        <v>29</v>
      </c>
      <c r="J4888" t="s">
        <v>30</v>
      </c>
      <c r="K4888" t="s">
        <v>31</v>
      </c>
      <c r="M4888" t="s">
        <v>32</v>
      </c>
      <c r="N4888" t="str">
        <f>"2/14/2007 12:00:00 AM"</f>
        <v>2/14/2007 12:00:00 AM</v>
      </c>
      <c r="O4888" t="s">
        <v>14968</v>
      </c>
    </row>
    <row r="4889" spans="1:20" x14ac:dyDescent="0.25">
      <c r="A4889" t="str">
        <f>"3067021"</f>
        <v>3067021</v>
      </c>
      <c r="B4889" t="s">
        <v>14970</v>
      </c>
      <c r="C4889" t="str">
        <f>"30590500"</f>
        <v>30590500</v>
      </c>
      <c r="D4889" t="s">
        <v>14971</v>
      </c>
      <c r="F4889" t="s">
        <v>14972</v>
      </c>
      <c r="I4889" t="s">
        <v>29</v>
      </c>
      <c r="J4889" t="s">
        <v>30</v>
      </c>
      <c r="K4889" t="s">
        <v>31</v>
      </c>
      <c r="M4889" t="s">
        <v>32</v>
      </c>
      <c r="N4889" t="str">
        <f>"10/18/2002 12:00:00 AM"</f>
        <v>10/18/2002 12:00:00 AM</v>
      </c>
      <c r="O4889" t="s">
        <v>14971</v>
      </c>
    </row>
    <row r="4890" spans="1:20" x14ac:dyDescent="0.25">
      <c r="A4890" t="str">
        <f>"3053322"</f>
        <v>3053322</v>
      </c>
      <c r="B4890" t="s">
        <v>14973</v>
      </c>
      <c r="C4890" t="str">
        <f>"82522935"</f>
        <v>82522935</v>
      </c>
      <c r="D4890" t="s">
        <v>14974</v>
      </c>
      <c r="F4890" t="s">
        <v>14975</v>
      </c>
      <c r="I4890" t="s">
        <v>29</v>
      </c>
      <c r="J4890" t="s">
        <v>30</v>
      </c>
      <c r="K4890" t="s">
        <v>14976</v>
      </c>
      <c r="M4890" t="s">
        <v>32</v>
      </c>
      <c r="N4890" t="str">
        <f>"2/21/2005 12:00:00 AM"</f>
        <v>2/21/2005 12:00:00 AM</v>
      </c>
      <c r="O4890" t="s">
        <v>14974</v>
      </c>
      <c r="T4890" t="s">
        <v>14974</v>
      </c>
    </row>
    <row r="4891" spans="1:20" x14ac:dyDescent="0.25">
      <c r="A4891" t="str">
        <f>"3053342"</f>
        <v>3053342</v>
      </c>
      <c r="B4891" t="s">
        <v>14977</v>
      </c>
      <c r="C4891" t="str">
        <f>"82522937"</f>
        <v>82522937</v>
      </c>
      <c r="D4891" t="s">
        <v>14978</v>
      </c>
      <c r="F4891" t="s">
        <v>14979</v>
      </c>
      <c r="I4891" t="s">
        <v>29</v>
      </c>
      <c r="J4891" t="s">
        <v>30</v>
      </c>
      <c r="K4891" t="s">
        <v>14980</v>
      </c>
      <c r="M4891" t="s">
        <v>32</v>
      </c>
      <c r="N4891" t="str">
        <f>"2/9/2005 12:00:00 AM"</f>
        <v>2/9/2005 12:00:00 AM</v>
      </c>
      <c r="O4891" t="s">
        <v>14978</v>
      </c>
    </row>
    <row r="4892" spans="1:20" x14ac:dyDescent="0.25">
      <c r="A4892" t="str">
        <f>"3057554"</f>
        <v>3057554</v>
      </c>
      <c r="B4892" t="s">
        <v>14981</v>
      </c>
      <c r="C4892" t="str">
        <f>"82514760"</f>
        <v>82514760</v>
      </c>
      <c r="D4892" t="s">
        <v>14982</v>
      </c>
      <c r="E4892" t="s">
        <v>14983</v>
      </c>
      <c r="F4892" t="s">
        <v>14984</v>
      </c>
      <c r="I4892" t="s">
        <v>29</v>
      </c>
      <c r="J4892" t="s">
        <v>30</v>
      </c>
      <c r="K4892" t="s">
        <v>31</v>
      </c>
      <c r="M4892" t="s">
        <v>32</v>
      </c>
      <c r="N4892" t="str">
        <f>"7/27/2004 12:00:00 AM"</f>
        <v>7/27/2004 12:00:00 AM</v>
      </c>
      <c r="O4892" t="s">
        <v>14982</v>
      </c>
      <c r="T4892" t="s">
        <v>14983</v>
      </c>
    </row>
    <row r="4893" spans="1:20" x14ac:dyDescent="0.25">
      <c r="A4893" t="str">
        <f>"3055215"</f>
        <v>3055215</v>
      </c>
      <c r="B4893" t="s">
        <v>14985</v>
      </c>
      <c r="C4893" t="str">
        <f>"43736000"</f>
        <v>43736000</v>
      </c>
      <c r="D4893" t="s">
        <v>14782</v>
      </c>
      <c r="E4893" t="s">
        <v>14783</v>
      </c>
      <c r="F4893" t="s">
        <v>14784</v>
      </c>
      <c r="I4893" t="s">
        <v>29</v>
      </c>
      <c r="J4893" t="s">
        <v>30</v>
      </c>
      <c r="K4893" t="s">
        <v>14785</v>
      </c>
      <c r="M4893" t="s">
        <v>32</v>
      </c>
      <c r="N4893" t="str">
        <f>"9/8/2006 12:00:00 AM"</f>
        <v>9/8/2006 12:00:00 AM</v>
      </c>
      <c r="O4893" t="s">
        <v>14782</v>
      </c>
      <c r="T4893" t="s">
        <v>14783</v>
      </c>
    </row>
    <row r="4894" spans="1:20" x14ac:dyDescent="0.25">
      <c r="A4894" t="str">
        <f>"3052194"</f>
        <v>3052194</v>
      </c>
      <c r="B4894" t="s">
        <v>14986</v>
      </c>
      <c r="C4894" t="str">
        <f>"82528954"</f>
        <v>82528954</v>
      </c>
      <c r="D4894" t="s">
        <v>14987</v>
      </c>
      <c r="F4894" t="s">
        <v>14988</v>
      </c>
      <c r="I4894" t="s">
        <v>14989</v>
      </c>
      <c r="J4894" t="s">
        <v>30</v>
      </c>
      <c r="K4894" t="s">
        <v>14990</v>
      </c>
      <c r="M4894" t="s">
        <v>32</v>
      </c>
      <c r="N4894" t="str">
        <f>"3/18/2009 12:00:00 AM"</f>
        <v>3/18/2009 12:00:00 AM</v>
      </c>
      <c r="O4894" t="s">
        <v>14987</v>
      </c>
    </row>
    <row r="4895" spans="1:20" x14ac:dyDescent="0.25">
      <c r="A4895" t="str">
        <f>"3101110"</f>
        <v>3101110</v>
      </c>
      <c r="B4895" t="s">
        <v>14991</v>
      </c>
      <c r="C4895" t="str">
        <f>"75840250"</f>
        <v>75840250</v>
      </c>
      <c r="D4895" t="s">
        <v>14992</v>
      </c>
      <c r="F4895" t="s">
        <v>14993</v>
      </c>
      <c r="I4895" t="s">
        <v>184</v>
      </c>
      <c r="J4895" t="s">
        <v>30</v>
      </c>
      <c r="K4895" t="s">
        <v>185</v>
      </c>
      <c r="M4895" t="s">
        <v>32</v>
      </c>
      <c r="N4895" t="str">
        <f>"10/23/2002 12:00:00 AM"</f>
        <v>10/23/2002 12:00:00 AM</v>
      </c>
      <c r="O4895" t="s">
        <v>14992</v>
      </c>
    </row>
    <row r="4896" spans="1:20" x14ac:dyDescent="0.25">
      <c r="A4896" t="str">
        <f>"3053531"</f>
        <v>3053531</v>
      </c>
      <c r="B4896" t="s">
        <v>14994</v>
      </c>
      <c r="C4896" t="str">
        <f>"66210000"</f>
        <v>66210000</v>
      </c>
      <c r="D4896" t="s">
        <v>14995</v>
      </c>
      <c r="E4896" t="s">
        <v>14996</v>
      </c>
      <c r="F4896" t="s">
        <v>14997</v>
      </c>
      <c r="I4896" t="s">
        <v>184</v>
      </c>
      <c r="J4896" t="s">
        <v>30</v>
      </c>
      <c r="K4896" t="s">
        <v>14194</v>
      </c>
      <c r="M4896" t="s">
        <v>32</v>
      </c>
      <c r="N4896" t="str">
        <f>"2/9/2010 12:00:00 AM"</f>
        <v>2/9/2010 12:00:00 AM</v>
      </c>
      <c r="O4896" t="s">
        <v>14995</v>
      </c>
      <c r="T4896" t="s">
        <v>14996</v>
      </c>
    </row>
    <row r="4897" spans="1:20" x14ac:dyDescent="0.25">
      <c r="A4897" t="str">
        <f>"3053608"</f>
        <v>3053608</v>
      </c>
      <c r="B4897" t="s">
        <v>14998</v>
      </c>
      <c r="C4897" t="str">
        <f>"3482000"</f>
        <v>3482000</v>
      </c>
      <c r="D4897" t="s">
        <v>14999</v>
      </c>
      <c r="E4897" t="s">
        <v>15000</v>
      </c>
      <c r="F4897" t="s">
        <v>15001</v>
      </c>
      <c r="I4897" t="s">
        <v>184</v>
      </c>
      <c r="J4897" t="s">
        <v>30</v>
      </c>
      <c r="K4897" t="s">
        <v>185</v>
      </c>
      <c r="M4897" t="s">
        <v>32</v>
      </c>
      <c r="N4897" t="str">
        <f>"5/16/2003 12:00:00 AM"</f>
        <v>5/16/2003 12:00:00 AM</v>
      </c>
      <c r="O4897" t="s">
        <v>14999</v>
      </c>
      <c r="T4897" t="s">
        <v>15000</v>
      </c>
    </row>
    <row r="4898" spans="1:20" x14ac:dyDescent="0.25">
      <c r="A4898" t="str">
        <f>"3053600"</f>
        <v>3053600</v>
      </c>
      <c r="B4898" t="s">
        <v>15002</v>
      </c>
      <c r="C4898" t="str">
        <f>"3482000"</f>
        <v>3482000</v>
      </c>
      <c r="D4898" t="s">
        <v>14999</v>
      </c>
      <c r="E4898" t="s">
        <v>15000</v>
      </c>
      <c r="F4898" t="s">
        <v>15001</v>
      </c>
      <c r="I4898" t="s">
        <v>184</v>
      </c>
      <c r="J4898" t="s">
        <v>30</v>
      </c>
      <c r="K4898" t="s">
        <v>185</v>
      </c>
      <c r="M4898" t="s">
        <v>32</v>
      </c>
      <c r="N4898" t="str">
        <f>"5/16/2003 12:00:00 AM"</f>
        <v>5/16/2003 12:00:00 AM</v>
      </c>
      <c r="O4898" t="s">
        <v>14999</v>
      </c>
      <c r="T4898" t="s">
        <v>15000</v>
      </c>
    </row>
    <row r="4899" spans="1:20" x14ac:dyDescent="0.25">
      <c r="A4899" t="str">
        <f>"3053505"</f>
        <v>3053505</v>
      </c>
      <c r="B4899" t="s">
        <v>15003</v>
      </c>
      <c r="C4899" t="str">
        <f>"76860000"</f>
        <v>76860000</v>
      </c>
      <c r="D4899" t="s">
        <v>15004</v>
      </c>
      <c r="F4899" t="s">
        <v>15005</v>
      </c>
      <c r="I4899" t="s">
        <v>184</v>
      </c>
      <c r="J4899" t="s">
        <v>30</v>
      </c>
      <c r="K4899" t="s">
        <v>185</v>
      </c>
      <c r="M4899" t="s">
        <v>32</v>
      </c>
      <c r="N4899" t="str">
        <f>"3/30/2009 12:00:00 AM"</f>
        <v>3/30/2009 12:00:00 AM</v>
      </c>
      <c r="O4899" t="s">
        <v>15004</v>
      </c>
    </row>
    <row r="4900" spans="1:20" x14ac:dyDescent="0.25">
      <c r="A4900" t="str">
        <f>"3053723"</f>
        <v>3053723</v>
      </c>
      <c r="B4900" t="s">
        <v>15006</v>
      </c>
      <c r="C4900" t="str">
        <f>"82516127"</f>
        <v>82516127</v>
      </c>
      <c r="D4900" t="s">
        <v>15007</v>
      </c>
      <c r="E4900" t="s">
        <v>15008</v>
      </c>
      <c r="F4900" t="s">
        <v>15009</v>
      </c>
      <c r="I4900" t="s">
        <v>184</v>
      </c>
      <c r="J4900" t="s">
        <v>30</v>
      </c>
      <c r="K4900" t="s">
        <v>15010</v>
      </c>
      <c r="M4900" t="s">
        <v>32</v>
      </c>
      <c r="N4900" t="str">
        <f>"2/21/2005 12:00:00 AM"</f>
        <v>2/21/2005 12:00:00 AM</v>
      </c>
      <c r="O4900" t="s">
        <v>15007</v>
      </c>
      <c r="T4900" t="s">
        <v>15008</v>
      </c>
    </row>
    <row r="4901" spans="1:20" x14ac:dyDescent="0.25">
      <c r="A4901" t="str">
        <f>"3053510"</f>
        <v>3053510</v>
      </c>
      <c r="B4901" t="s">
        <v>15011</v>
      </c>
      <c r="C4901" t="str">
        <f>"18130250"</f>
        <v>18130250</v>
      </c>
      <c r="D4901" t="s">
        <v>15012</v>
      </c>
      <c r="E4901" t="s">
        <v>15013</v>
      </c>
      <c r="F4901" t="s">
        <v>15014</v>
      </c>
      <c r="I4901" t="s">
        <v>184</v>
      </c>
      <c r="J4901" t="s">
        <v>30</v>
      </c>
      <c r="K4901" t="s">
        <v>15015</v>
      </c>
      <c r="M4901" t="s">
        <v>32</v>
      </c>
      <c r="N4901" t="str">
        <f>"2/14/2007 12:00:00 AM"</f>
        <v>2/14/2007 12:00:00 AM</v>
      </c>
      <c r="O4901" t="s">
        <v>15012</v>
      </c>
      <c r="T4901" t="s">
        <v>15013</v>
      </c>
    </row>
    <row r="4902" spans="1:20" x14ac:dyDescent="0.25">
      <c r="A4902" t="str">
        <f>"3052347"</f>
        <v>3052347</v>
      </c>
      <c r="B4902" t="s">
        <v>15016</v>
      </c>
      <c r="C4902" t="str">
        <f>"82528954"</f>
        <v>82528954</v>
      </c>
      <c r="D4902" t="s">
        <v>14987</v>
      </c>
      <c r="F4902" t="s">
        <v>14988</v>
      </c>
      <c r="I4902" t="s">
        <v>14989</v>
      </c>
      <c r="J4902" t="s">
        <v>30</v>
      </c>
      <c r="K4902" t="s">
        <v>14990</v>
      </c>
      <c r="M4902" t="s">
        <v>32</v>
      </c>
      <c r="N4902" t="str">
        <f>"3/18/2009 12:00:00 AM"</f>
        <v>3/18/2009 12:00:00 AM</v>
      </c>
      <c r="O4902" t="s">
        <v>14987</v>
      </c>
    </row>
    <row r="4903" spans="1:20" x14ac:dyDescent="0.25">
      <c r="A4903" t="str">
        <f>"3053782"</f>
        <v>3053782</v>
      </c>
      <c r="B4903" t="s">
        <v>15017</v>
      </c>
      <c r="C4903" t="str">
        <f>"82514247"</f>
        <v>82514247</v>
      </c>
      <c r="D4903" t="s">
        <v>15018</v>
      </c>
      <c r="F4903" t="s">
        <v>15019</v>
      </c>
      <c r="I4903" t="s">
        <v>29</v>
      </c>
      <c r="J4903" t="s">
        <v>30</v>
      </c>
      <c r="K4903" t="s">
        <v>15020</v>
      </c>
      <c r="M4903" t="s">
        <v>32</v>
      </c>
      <c r="N4903" t="str">
        <f>"2/15/2007 12:00:00 AM"</f>
        <v>2/15/2007 12:00:00 AM</v>
      </c>
      <c r="O4903" t="s">
        <v>15018</v>
      </c>
    </row>
    <row r="4904" spans="1:20" x14ac:dyDescent="0.25">
      <c r="A4904" t="str">
        <f>"3062330"</f>
        <v>3062330</v>
      </c>
      <c r="B4904" t="s">
        <v>15021</v>
      </c>
      <c r="C4904" t="str">
        <f>"82525899"</f>
        <v>82525899</v>
      </c>
      <c r="D4904" t="s">
        <v>15022</v>
      </c>
      <c r="E4904" t="s">
        <v>15023</v>
      </c>
      <c r="F4904" t="s">
        <v>15024</v>
      </c>
      <c r="I4904" t="s">
        <v>15025</v>
      </c>
      <c r="J4904" t="s">
        <v>12725</v>
      </c>
      <c r="K4904" t="s">
        <v>15026</v>
      </c>
      <c r="M4904" t="s">
        <v>32</v>
      </c>
      <c r="N4904" t="str">
        <f>"3/20/2006 12:00:00 AM"</f>
        <v>3/20/2006 12:00:00 AM</v>
      </c>
      <c r="O4904" t="s">
        <v>15022</v>
      </c>
      <c r="T4904" t="s">
        <v>15023</v>
      </c>
    </row>
    <row r="4905" spans="1:20" x14ac:dyDescent="0.25">
      <c r="A4905" t="str">
        <f>"3061614"</f>
        <v>3061614</v>
      </c>
      <c r="B4905" t="s">
        <v>15027</v>
      </c>
      <c r="C4905" t="str">
        <f>"82524281"</f>
        <v>82524281</v>
      </c>
      <c r="D4905" t="s">
        <v>15028</v>
      </c>
      <c r="E4905" t="s">
        <v>15029</v>
      </c>
      <c r="F4905" t="s">
        <v>15030</v>
      </c>
      <c r="I4905" t="s">
        <v>184</v>
      </c>
      <c r="J4905" t="s">
        <v>30</v>
      </c>
      <c r="K4905" t="s">
        <v>15031</v>
      </c>
      <c r="M4905" t="s">
        <v>32</v>
      </c>
      <c r="N4905" t="str">
        <f>"1/11/2010 12:00:00 AM"</f>
        <v>1/11/2010 12:00:00 AM</v>
      </c>
      <c r="O4905" t="s">
        <v>15028</v>
      </c>
      <c r="T4905" t="s">
        <v>15029</v>
      </c>
    </row>
    <row r="4906" spans="1:20" x14ac:dyDescent="0.25">
      <c r="A4906" t="str">
        <f>"3061615"</f>
        <v>3061615</v>
      </c>
      <c r="B4906" t="s">
        <v>15032</v>
      </c>
      <c r="C4906" t="str">
        <f>"82528101"</f>
        <v>82528101</v>
      </c>
      <c r="D4906" t="s">
        <v>15033</v>
      </c>
      <c r="E4906" t="s">
        <v>15034</v>
      </c>
      <c r="F4906" t="s">
        <v>15035</v>
      </c>
      <c r="I4906" t="s">
        <v>184</v>
      </c>
      <c r="J4906" t="s">
        <v>30</v>
      </c>
      <c r="K4906" t="s">
        <v>185</v>
      </c>
      <c r="M4906" t="s">
        <v>32</v>
      </c>
      <c r="N4906" t="str">
        <f>"1/28/2008 12:00:00 AM"</f>
        <v>1/28/2008 12:00:00 AM</v>
      </c>
      <c r="O4906" t="s">
        <v>15033</v>
      </c>
      <c r="T4906" t="s">
        <v>15034</v>
      </c>
    </row>
    <row r="4907" spans="1:20" x14ac:dyDescent="0.25">
      <c r="A4907" t="str">
        <f>"3053617"</f>
        <v>3053617</v>
      </c>
      <c r="B4907" t="s">
        <v>15036</v>
      </c>
      <c r="C4907" t="str">
        <f>"54900000"</f>
        <v>54900000</v>
      </c>
      <c r="D4907" t="s">
        <v>15037</v>
      </c>
      <c r="E4907" t="s">
        <v>15038</v>
      </c>
      <c r="F4907" t="str">
        <f>"C/O KELLY V HAMRICK"</f>
        <v>C/O KELLY V HAMRICK</v>
      </c>
      <c r="G4907" t="s">
        <v>15039</v>
      </c>
      <c r="I4907" t="s">
        <v>2280</v>
      </c>
      <c r="J4907" t="s">
        <v>30</v>
      </c>
      <c r="K4907" t="s">
        <v>9897</v>
      </c>
      <c r="M4907" t="s">
        <v>32</v>
      </c>
      <c r="N4907" t="str">
        <f>"1/28/2010 12:00:00 AM"</f>
        <v>1/28/2010 12:00:00 AM</v>
      </c>
      <c r="O4907" t="s">
        <v>15037</v>
      </c>
      <c r="T4907" t="s">
        <v>15038</v>
      </c>
    </row>
    <row r="4908" spans="1:20" x14ac:dyDescent="0.25">
      <c r="A4908" t="str">
        <f>"3052983"</f>
        <v>3052983</v>
      </c>
      <c r="B4908" t="s">
        <v>15040</v>
      </c>
      <c r="C4908" t="str">
        <f>"82522902"</f>
        <v>82522902</v>
      </c>
      <c r="D4908" t="s">
        <v>15041</v>
      </c>
      <c r="E4908" t="s">
        <v>15042</v>
      </c>
      <c r="F4908" t="s">
        <v>15043</v>
      </c>
      <c r="I4908" t="s">
        <v>29</v>
      </c>
      <c r="J4908" t="s">
        <v>30</v>
      </c>
      <c r="K4908" t="s">
        <v>15044</v>
      </c>
      <c r="M4908" t="s">
        <v>32</v>
      </c>
      <c r="N4908" t="str">
        <f>"2/18/2005 12:00:00 AM"</f>
        <v>2/18/2005 12:00:00 AM</v>
      </c>
      <c r="O4908" t="s">
        <v>15041</v>
      </c>
      <c r="T4908" t="s">
        <v>15042</v>
      </c>
    </row>
    <row r="4909" spans="1:20" x14ac:dyDescent="0.25">
      <c r="A4909" t="str">
        <f>"3052954"</f>
        <v>3052954</v>
      </c>
      <c r="B4909" t="s">
        <v>15045</v>
      </c>
      <c r="C4909" t="str">
        <f>"34292000"</f>
        <v>34292000</v>
      </c>
      <c r="D4909" t="s">
        <v>14827</v>
      </c>
      <c r="F4909" t="s">
        <v>14828</v>
      </c>
      <c r="I4909" t="s">
        <v>29</v>
      </c>
      <c r="J4909" t="s">
        <v>30</v>
      </c>
      <c r="K4909" t="s">
        <v>14829</v>
      </c>
      <c r="M4909" t="s">
        <v>32</v>
      </c>
      <c r="N4909" t="str">
        <f>"1/25/2005 12:00:00 AM"</f>
        <v>1/25/2005 12:00:00 AM</v>
      </c>
      <c r="O4909" t="s">
        <v>14827</v>
      </c>
    </row>
    <row r="4910" spans="1:20" x14ac:dyDescent="0.25">
      <c r="A4910" t="str">
        <f>"3052942"</f>
        <v>3052942</v>
      </c>
      <c r="B4910" t="s">
        <v>15046</v>
      </c>
      <c r="C4910" t="str">
        <f>"57656000"</f>
        <v>57656000</v>
      </c>
      <c r="D4910" t="s">
        <v>15047</v>
      </c>
      <c r="F4910" t="s">
        <v>15048</v>
      </c>
      <c r="I4910" t="s">
        <v>29</v>
      </c>
      <c r="J4910" t="s">
        <v>30</v>
      </c>
      <c r="K4910" t="s">
        <v>31</v>
      </c>
      <c r="M4910" t="s">
        <v>32</v>
      </c>
      <c r="N4910" t="str">
        <f>"10/22/2002 12:00:00 AM"</f>
        <v>10/22/2002 12:00:00 AM</v>
      </c>
      <c r="O4910" t="s">
        <v>15047</v>
      </c>
    </row>
    <row r="4911" spans="1:20" x14ac:dyDescent="0.25">
      <c r="A4911" t="str">
        <f>"3078648"</f>
        <v>3078648</v>
      </c>
      <c r="B4911" t="s">
        <v>15049</v>
      </c>
      <c r="C4911" t="str">
        <f>"82513226"</f>
        <v>82513226</v>
      </c>
      <c r="D4911" t="s">
        <v>15050</v>
      </c>
      <c r="E4911" t="s">
        <v>15051</v>
      </c>
      <c r="F4911" t="s">
        <v>15052</v>
      </c>
      <c r="I4911" t="s">
        <v>184</v>
      </c>
      <c r="J4911" t="s">
        <v>30</v>
      </c>
      <c r="K4911" t="s">
        <v>185</v>
      </c>
      <c r="M4911" t="s">
        <v>32</v>
      </c>
      <c r="N4911" t="str">
        <f>"11/26/2003 12:00:00 AM"</f>
        <v>11/26/2003 12:00:00 AM</v>
      </c>
      <c r="O4911" t="s">
        <v>15050</v>
      </c>
      <c r="T4911" t="s">
        <v>15051</v>
      </c>
    </row>
    <row r="4912" spans="1:20" x14ac:dyDescent="0.25">
      <c r="A4912" t="str">
        <f>"3078649"</f>
        <v>3078649</v>
      </c>
      <c r="B4912" t="s">
        <v>15053</v>
      </c>
      <c r="C4912" t="str">
        <f>"81624500"</f>
        <v>81624500</v>
      </c>
      <c r="D4912" t="s">
        <v>15054</v>
      </c>
      <c r="F4912" t="s">
        <v>15055</v>
      </c>
      <c r="I4912" t="s">
        <v>184</v>
      </c>
      <c r="J4912" t="s">
        <v>30</v>
      </c>
      <c r="K4912" t="s">
        <v>185</v>
      </c>
      <c r="M4912" t="s">
        <v>32</v>
      </c>
      <c r="N4912" t="str">
        <f>"1/25/2005 12:00:00 AM"</f>
        <v>1/25/2005 12:00:00 AM</v>
      </c>
      <c r="O4912" t="s">
        <v>15054</v>
      </c>
    </row>
    <row r="4913" spans="1:20" x14ac:dyDescent="0.25">
      <c r="A4913" t="str">
        <f>"3053623"</f>
        <v>3053623</v>
      </c>
      <c r="B4913" t="s">
        <v>15056</v>
      </c>
      <c r="C4913" t="str">
        <f>"62423970"</f>
        <v>62423970</v>
      </c>
      <c r="D4913" t="s">
        <v>15057</v>
      </c>
      <c r="F4913" t="s">
        <v>15058</v>
      </c>
      <c r="I4913" t="s">
        <v>184</v>
      </c>
      <c r="J4913" t="s">
        <v>30</v>
      </c>
      <c r="K4913" t="s">
        <v>15059</v>
      </c>
      <c r="M4913" t="s">
        <v>32</v>
      </c>
      <c r="N4913" t="str">
        <f>"3/17/2006 12:00:00 AM"</f>
        <v>3/17/2006 12:00:00 AM</v>
      </c>
      <c r="O4913" t="s">
        <v>15057</v>
      </c>
    </row>
    <row r="4914" spans="1:20" x14ac:dyDescent="0.25">
      <c r="A4914" t="str">
        <f>"3053469"</f>
        <v>3053469</v>
      </c>
      <c r="B4914" t="s">
        <v>15060</v>
      </c>
      <c r="C4914" t="str">
        <f>"81624250"</f>
        <v>81624250</v>
      </c>
      <c r="D4914" t="s">
        <v>15061</v>
      </c>
      <c r="F4914" t="s">
        <v>15062</v>
      </c>
      <c r="I4914" t="s">
        <v>184</v>
      </c>
      <c r="J4914" t="s">
        <v>30</v>
      </c>
      <c r="K4914" t="s">
        <v>15063</v>
      </c>
      <c r="M4914" t="s">
        <v>32</v>
      </c>
      <c r="N4914" t="str">
        <f>"10/24/2002 12:00:00 AM"</f>
        <v>10/24/2002 12:00:00 AM</v>
      </c>
      <c r="O4914" t="s">
        <v>15061</v>
      </c>
    </row>
    <row r="4915" spans="1:20" x14ac:dyDescent="0.25">
      <c r="A4915" t="str">
        <f>"3053276"</f>
        <v>3053276</v>
      </c>
      <c r="B4915" t="s">
        <v>15064</v>
      </c>
      <c r="C4915" t="str">
        <f>"81624250"</f>
        <v>81624250</v>
      </c>
      <c r="D4915" t="s">
        <v>15061</v>
      </c>
      <c r="F4915" t="s">
        <v>15062</v>
      </c>
      <c r="I4915" t="s">
        <v>184</v>
      </c>
      <c r="J4915" t="s">
        <v>30</v>
      </c>
      <c r="K4915" t="s">
        <v>15063</v>
      </c>
      <c r="M4915" t="s">
        <v>32</v>
      </c>
      <c r="N4915" t="str">
        <f>"10/24/2002 12:00:00 AM"</f>
        <v>10/24/2002 12:00:00 AM</v>
      </c>
      <c r="O4915" t="s">
        <v>15061</v>
      </c>
    </row>
    <row r="4916" spans="1:20" x14ac:dyDescent="0.25">
      <c r="A4916" t="str">
        <f>"3057728"</f>
        <v>3057728</v>
      </c>
      <c r="B4916" t="s">
        <v>15065</v>
      </c>
      <c r="C4916" t="str">
        <f>"82514829"</f>
        <v>82514829</v>
      </c>
      <c r="D4916" t="s">
        <v>15066</v>
      </c>
      <c r="E4916" t="s">
        <v>15067</v>
      </c>
      <c r="F4916" t="s">
        <v>15068</v>
      </c>
      <c r="I4916" t="s">
        <v>184</v>
      </c>
      <c r="J4916" t="s">
        <v>30</v>
      </c>
      <c r="K4916" t="s">
        <v>185</v>
      </c>
      <c r="M4916" t="s">
        <v>32</v>
      </c>
      <c r="N4916" t="str">
        <f>"10/24/2002 12:00:00 AM"</f>
        <v>10/24/2002 12:00:00 AM</v>
      </c>
      <c r="O4916" t="s">
        <v>15066</v>
      </c>
      <c r="T4916" t="s">
        <v>15067</v>
      </c>
    </row>
    <row r="4917" spans="1:20" x14ac:dyDescent="0.25">
      <c r="A4917" t="str">
        <f>"3068174"</f>
        <v>3068174</v>
      </c>
      <c r="B4917" t="s">
        <v>15069</v>
      </c>
      <c r="C4917" t="str">
        <f>"10900000"</f>
        <v>10900000</v>
      </c>
      <c r="D4917" t="s">
        <v>15070</v>
      </c>
      <c r="E4917" t="s">
        <v>15071</v>
      </c>
      <c r="F4917" t="s">
        <v>15072</v>
      </c>
      <c r="I4917" t="s">
        <v>29</v>
      </c>
      <c r="J4917" t="s">
        <v>30</v>
      </c>
      <c r="K4917" t="s">
        <v>14280</v>
      </c>
      <c r="M4917" t="s">
        <v>32</v>
      </c>
      <c r="N4917" t="str">
        <f>"2/8/2005 12:00:00 AM"</f>
        <v>2/8/2005 12:00:00 AM</v>
      </c>
      <c r="O4917" t="s">
        <v>15070</v>
      </c>
      <c r="T4917" t="s">
        <v>15071</v>
      </c>
    </row>
    <row r="4918" spans="1:20" x14ac:dyDescent="0.25">
      <c r="A4918" t="str">
        <f>"3078714"</f>
        <v>3078714</v>
      </c>
      <c r="B4918" t="s">
        <v>15073</v>
      </c>
      <c r="C4918" t="str">
        <f>"10628000"</f>
        <v>10628000</v>
      </c>
      <c r="D4918" t="s">
        <v>15074</v>
      </c>
      <c r="E4918" t="s">
        <v>15075</v>
      </c>
      <c r="F4918" t="s">
        <v>15076</v>
      </c>
      <c r="I4918" t="s">
        <v>29</v>
      </c>
      <c r="J4918" t="s">
        <v>30</v>
      </c>
      <c r="K4918" t="s">
        <v>15077</v>
      </c>
      <c r="M4918" t="s">
        <v>32</v>
      </c>
      <c r="N4918" t="str">
        <f>"8/25/2005 12:00:00 AM"</f>
        <v>8/25/2005 12:00:00 AM</v>
      </c>
      <c r="O4918" t="s">
        <v>15074</v>
      </c>
      <c r="T4918" t="s">
        <v>15075</v>
      </c>
    </row>
    <row r="4919" spans="1:20" x14ac:dyDescent="0.25">
      <c r="A4919" t="str">
        <f>"3055352"</f>
        <v>3055352</v>
      </c>
      <c r="B4919" t="s">
        <v>15078</v>
      </c>
      <c r="C4919" t="str">
        <f>"82522546"</f>
        <v>82522546</v>
      </c>
      <c r="D4919" t="s">
        <v>15079</v>
      </c>
      <c r="F4919" t="s">
        <v>15080</v>
      </c>
      <c r="I4919" t="s">
        <v>29</v>
      </c>
      <c r="J4919" t="s">
        <v>30</v>
      </c>
      <c r="K4919" t="s">
        <v>31</v>
      </c>
      <c r="M4919" t="s">
        <v>32</v>
      </c>
      <c r="N4919" t="str">
        <f>"4/19/2004 12:00:00 AM"</f>
        <v>4/19/2004 12:00:00 AM</v>
      </c>
      <c r="O4919" t="s">
        <v>15079</v>
      </c>
    </row>
    <row r="4920" spans="1:20" x14ac:dyDescent="0.25">
      <c r="A4920" t="str">
        <f>"3051164"</f>
        <v>3051164</v>
      </c>
      <c r="B4920" t="s">
        <v>15081</v>
      </c>
      <c r="C4920" t="str">
        <f>"81704000"</f>
        <v>81704000</v>
      </c>
      <c r="D4920" t="s">
        <v>15082</v>
      </c>
      <c r="F4920" t="s">
        <v>15083</v>
      </c>
      <c r="I4920" t="s">
        <v>2280</v>
      </c>
      <c r="J4920" t="s">
        <v>30</v>
      </c>
      <c r="K4920" t="s">
        <v>9897</v>
      </c>
      <c r="M4920" t="s">
        <v>32</v>
      </c>
      <c r="N4920" t="str">
        <f>"7/20/2004 12:00:00 AM"</f>
        <v>7/20/2004 12:00:00 AM</v>
      </c>
      <c r="O4920" t="s">
        <v>15082</v>
      </c>
    </row>
    <row r="4921" spans="1:20" x14ac:dyDescent="0.25">
      <c r="A4921" t="str">
        <f>"3078717"</f>
        <v>3078717</v>
      </c>
      <c r="B4921" t="s">
        <v>15084</v>
      </c>
      <c r="C4921" t="str">
        <f>"81704000"</f>
        <v>81704000</v>
      </c>
      <c r="D4921" t="s">
        <v>15082</v>
      </c>
      <c r="F4921" t="s">
        <v>15083</v>
      </c>
      <c r="I4921" t="s">
        <v>2280</v>
      </c>
      <c r="J4921" t="s">
        <v>30</v>
      </c>
      <c r="K4921" t="s">
        <v>9897</v>
      </c>
      <c r="M4921" t="s">
        <v>32</v>
      </c>
      <c r="N4921" t="str">
        <f>"7/20/2004 12:00:00 AM"</f>
        <v>7/20/2004 12:00:00 AM</v>
      </c>
      <c r="O4921" t="s">
        <v>15082</v>
      </c>
    </row>
    <row r="4922" spans="1:20" x14ac:dyDescent="0.25">
      <c r="A4922" t="str">
        <f>"3053970"</f>
        <v>3053970</v>
      </c>
      <c r="B4922" t="s">
        <v>15085</v>
      </c>
      <c r="C4922" t="str">
        <f>"1408000"</f>
        <v>1408000</v>
      </c>
      <c r="D4922" t="s">
        <v>15086</v>
      </c>
      <c r="E4922" t="s">
        <v>15087</v>
      </c>
      <c r="F4922" t="s">
        <v>15088</v>
      </c>
      <c r="I4922" t="s">
        <v>29</v>
      </c>
      <c r="J4922" t="s">
        <v>30</v>
      </c>
      <c r="K4922" t="s">
        <v>31</v>
      </c>
      <c r="M4922" t="s">
        <v>32</v>
      </c>
      <c r="N4922" t="str">
        <f>"2/28/2002 12:00:00 AM"</f>
        <v>2/28/2002 12:00:00 AM</v>
      </c>
      <c r="O4922" t="s">
        <v>15086</v>
      </c>
      <c r="T4922" t="s">
        <v>15087</v>
      </c>
    </row>
    <row r="4923" spans="1:20" x14ac:dyDescent="0.25">
      <c r="A4923" t="str">
        <f>"3053971"</f>
        <v>3053971</v>
      </c>
      <c r="B4923" t="s">
        <v>15089</v>
      </c>
      <c r="C4923" t="str">
        <f>"43597000"</f>
        <v>43597000</v>
      </c>
      <c r="D4923" t="s">
        <v>15090</v>
      </c>
      <c r="E4923" t="s">
        <v>15091</v>
      </c>
      <c r="F4923" t="s">
        <v>15092</v>
      </c>
      <c r="I4923" t="s">
        <v>29</v>
      </c>
      <c r="J4923" t="s">
        <v>30</v>
      </c>
      <c r="K4923" t="s">
        <v>31</v>
      </c>
      <c r="M4923" t="s">
        <v>32</v>
      </c>
      <c r="N4923" t="str">
        <f>"2/13/2007 12:00:00 AM"</f>
        <v>2/13/2007 12:00:00 AM</v>
      </c>
      <c r="O4923" t="s">
        <v>15090</v>
      </c>
      <c r="T4923" t="s">
        <v>15091</v>
      </c>
    </row>
    <row r="4924" spans="1:20" x14ac:dyDescent="0.25">
      <c r="A4924" t="str">
        <f>"3067418"</f>
        <v>3067418</v>
      </c>
      <c r="B4924" t="s">
        <v>15093</v>
      </c>
      <c r="C4924" t="str">
        <f>"50630000"</f>
        <v>50630000</v>
      </c>
      <c r="D4924" t="s">
        <v>15094</v>
      </c>
      <c r="E4924" t="s">
        <v>15095</v>
      </c>
      <c r="F4924" t="s">
        <v>15096</v>
      </c>
      <c r="I4924" t="s">
        <v>29</v>
      </c>
      <c r="J4924" t="s">
        <v>30</v>
      </c>
      <c r="K4924" t="s">
        <v>31</v>
      </c>
      <c r="M4924" t="s">
        <v>32</v>
      </c>
      <c r="N4924" t="str">
        <f>"2/23/2004 12:00:00 AM"</f>
        <v>2/23/2004 12:00:00 AM</v>
      </c>
      <c r="O4924" t="s">
        <v>15094</v>
      </c>
      <c r="T4924" t="s">
        <v>15095</v>
      </c>
    </row>
    <row r="4925" spans="1:20" x14ac:dyDescent="0.25">
      <c r="A4925" t="str">
        <f>"3051554"</f>
        <v>3051554</v>
      </c>
      <c r="B4925" t="s">
        <v>15097</v>
      </c>
      <c r="C4925" t="str">
        <f>"25359800"</f>
        <v>25359800</v>
      </c>
      <c r="D4925" t="s">
        <v>15098</v>
      </c>
      <c r="F4925" t="s">
        <v>15099</v>
      </c>
      <c r="I4925" t="s">
        <v>29</v>
      </c>
      <c r="J4925" t="s">
        <v>30</v>
      </c>
      <c r="K4925" t="s">
        <v>31</v>
      </c>
      <c r="M4925" t="s">
        <v>32</v>
      </c>
      <c r="N4925" t="str">
        <f>"10/24/2002 12:00:00 AM"</f>
        <v>10/24/2002 12:00:00 AM</v>
      </c>
      <c r="O4925" t="s">
        <v>15098</v>
      </c>
    </row>
    <row r="4926" spans="1:20" x14ac:dyDescent="0.25">
      <c r="A4926" t="str">
        <f>"3066653"</f>
        <v>3066653</v>
      </c>
      <c r="B4926" t="s">
        <v>15100</v>
      </c>
      <c r="C4926" t="str">
        <f>"18176000"</f>
        <v>18176000</v>
      </c>
      <c r="D4926" t="s">
        <v>15101</v>
      </c>
      <c r="F4926" t="s">
        <v>15102</v>
      </c>
      <c r="I4926" t="s">
        <v>29</v>
      </c>
      <c r="J4926" t="s">
        <v>30</v>
      </c>
      <c r="K4926" t="s">
        <v>31</v>
      </c>
      <c r="M4926" t="s">
        <v>32</v>
      </c>
      <c r="N4926" t="str">
        <f>"7/2/2003 12:00:00 AM"</f>
        <v>7/2/2003 12:00:00 AM</v>
      </c>
      <c r="O4926" t="s">
        <v>15101</v>
      </c>
    </row>
    <row r="4927" spans="1:20" x14ac:dyDescent="0.25">
      <c r="A4927" t="str">
        <f>"3066649"</f>
        <v>3066649</v>
      </c>
      <c r="B4927" t="s">
        <v>15103</v>
      </c>
      <c r="C4927" t="str">
        <f>"18176000"</f>
        <v>18176000</v>
      </c>
      <c r="D4927" t="s">
        <v>15101</v>
      </c>
      <c r="F4927" t="s">
        <v>15102</v>
      </c>
      <c r="I4927" t="s">
        <v>29</v>
      </c>
      <c r="J4927" t="s">
        <v>30</v>
      </c>
      <c r="K4927" t="s">
        <v>31</v>
      </c>
      <c r="M4927" t="s">
        <v>32</v>
      </c>
      <c r="N4927" t="str">
        <f>"7/2/2003 12:00:00 AM"</f>
        <v>7/2/2003 12:00:00 AM</v>
      </c>
      <c r="O4927" t="s">
        <v>15101</v>
      </c>
    </row>
    <row r="4928" spans="1:20" x14ac:dyDescent="0.25">
      <c r="A4928" t="str">
        <f>"3066651"</f>
        <v>3066651</v>
      </c>
      <c r="B4928" t="s">
        <v>15104</v>
      </c>
      <c r="C4928" t="str">
        <f>"18176000"</f>
        <v>18176000</v>
      </c>
      <c r="D4928" t="s">
        <v>15101</v>
      </c>
      <c r="F4928" t="s">
        <v>15102</v>
      </c>
      <c r="I4928" t="s">
        <v>29</v>
      </c>
      <c r="J4928" t="s">
        <v>30</v>
      </c>
      <c r="K4928" t="s">
        <v>31</v>
      </c>
      <c r="M4928" t="s">
        <v>32</v>
      </c>
      <c r="N4928" t="str">
        <f>"7/2/2003 12:00:00 AM"</f>
        <v>7/2/2003 12:00:00 AM</v>
      </c>
      <c r="O4928" t="s">
        <v>15101</v>
      </c>
    </row>
    <row r="4929" spans="1:20" x14ac:dyDescent="0.25">
      <c r="A4929" t="str">
        <f>"3066647"</f>
        <v>3066647</v>
      </c>
      <c r="B4929" t="s">
        <v>15105</v>
      </c>
      <c r="C4929" t="str">
        <f>"18176000"</f>
        <v>18176000</v>
      </c>
      <c r="D4929" t="s">
        <v>15101</v>
      </c>
      <c r="F4929" t="s">
        <v>15102</v>
      </c>
      <c r="I4929" t="s">
        <v>29</v>
      </c>
      <c r="J4929" t="s">
        <v>30</v>
      </c>
      <c r="K4929" t="s">
        <v>31</v>
      </c>
      <c r="M4929" t="s">
        <v>32</v>
      </c>
      <c r="N4929" t="str">
        <f>"7/2/2003 12:00:00 AM"</f>
        <v>7/2/2003 12:00:00 AM</v>
      </c>
      <c r="O4929" t="s">
        <v>15101</v>
      </c>
    </row>
    <row r="4930" spans="1:20" x14ac:dyDescent="0.25">
      <c r="A4930" t="str">
        <f>"3053525"</f>
        <v>3053525</v>
      </c>
      <c r="B4930" t="s">
        <v>15106</v>
      </c>
      <c r="C4930" t="str">
        <f>"73509000"</f>
        <v>73509000</v>
      </c>
      <c r="D4930" t="s">
        <v>15107</v>
      </c>
      <c r="E4930" t="s">
        <v>15108</v>
      </c>
      <c r="F4930" t="s">
        <v>15109</v>
      </c>
      <c r="I4930" t="s">
        <v>29</v>
      </c>
      <c r="J4930" t="s">
        <v>30</v>
      </c>
      <c r="K4930" t="s">
        <v>31</v>
      </c>
      <c r="M4930" t="s">
        <v>32</v>
      </c>
      <c r="N4930" t="str">
        <f>"6/18/2004 12:00:00 AM"</f>
        <v>6/18/2004 12:00:00 AM</v>
      </c>
      <c r="O4930" t="s">
        <v>15107</v>
      </c>
      <c r="T4930" t="s">
        <v>15108</v>
      </c>
    </row>
    <row r="4931" spans="1:20" x14ac:dyDescent="0.25">
      <c r="A4931" t="str">
        <f>"3053950"</f>
        <v>3053950</v>
      </c>
      <c r="B4931" t="s">
        <v>15110</v>
      </c>
      <c r="C4931" t="str">
        <f>"63517250"</f>
        <v>63517250</v>
      </c>
      <c r="D4931" t="s">
        <v>15111</v>
      </c>
      <c r="E4931" t="s">
        <v>15112</v>
      </c>
      <c r="F4931" t="s">
        <v>15113</v>
      </c>
      <c r="I4931" t="s">
        <v>2589</v>
      </c>
      <c r="J4931" t="s">
        <v>30</v>
      </c>
      <c r="K4931" t="s">
        <v>11780</v>
      </c>
      <c r="M4931" t="s">
        <v>32</v>
      </c>
      <c r="N4931" t="str">
        <f>"7/8/2010 12:00:00 AM"</f>
        <v>7/8/2010 12:00:00 AM</v>
      </c>
      <c r="O4931" t="s">
        <v>15111</v>
      </c>
      <c r="T4931" t="s">
        <v>15112</v>
      </c>
    </row>
    <row r="4932" spans="1:20" x14ac:dyDescent="0.25">
      <c r="A4932" t="str">
        <f>"3053975"</f>
        <v>3053975</v>
      </c>
      <c r="B4932" t="s">
        <v>15114</v>
      </c>
      <c r="C4932" t="str">
        <f>"18213380"</f>
        <v>18213380</v>
      </c>
      <c r="D4932" t="s">
        <v>15115</v>
      </c>
      <c r="F4932" t="s">
        <v>15116</v>
      </c>
      <c r="I4932" t="s">
        <v>29</v>
      </c>
      <c r="J4932" t="s">
        <v>30</v>
      </c>
      <c r="K4932" t="s">
        <v>15117</v>
      </c>
      <c r="M4932" t="s">
        <v>32</v>
      </c>
      <c r="N4932" t="str">
        <f>"1/8/2009 12:00:00 AM"</f>
        <v>1/8/2009 12:00:00 AM</v>
      </c>
      <c r="O4932" t="s">
        <v>15115</v>
      </c>
    </row>
    <row r="4933" spans="1:20" x14ac:dyDescent="0.25">
      <c r="A4933" t="str">
        <f>"3053508"</f>
        <v>3053508</v>
      </c>
      <c r="B4933" t="s">
        <v>15118</v>
      </c>
      <c r="C4933" t="str">
        <f>"82530243"</f>
        <v>82530243</v>
      </c>
      <c r="D4933" t="s">
        <v>13742</v>
      </c>
      <c r="F4933" t="s">
        <v>15119</v>
      </c>
      <c r="I4933" t="s">
        <v>29</v>
      </c>
      <c r="J4933" t="s">
        <v>30</v>
      </c>
      <c r="K4933" t="s">
        <v>31</v>
      </c>
      <c r="M4933" t="s">
        <v>32</v>
      </c>
      <c r="N4933" t="str">
        <f>"11/14/2008 12:00:00 AM"</f>
        <v>11/14/2008 12:00:00 AM</v>
      </c>
      <c r="O4933" t="s">
        <v>13742</v>
      </c>
    </row>
    <row r="4934" spans="1:20" x14ac:dyDescent="0.25">
      <c r="A4934" t="str">
        <f>"3053504"</f>
        <v>3053504</v>
      </c>
      <c r="B4934" t="s">
        <v>15120</v>
      </c>
      <c r="C4934" t="str">
        <f>"38374750"</f>
        <v>38374750</v>
      </c>
      <c r="D4934" t="s">
        <v>15121</v>
      </c>
      <c r="E4934" t="s">
        <v>15122</v>
      </c>
      <c r="F4934" t="s">
        <v>15123</v>
      </c>
      <c r="I4934" t="s">
        <v>29</v>
      </c>
      <c r="J4934" t="s">
        <v>30</v>
      </c>
      <c r="K4934" t="s">
        <v>31</v>
      </c>
      <c r="M4934" t="s">
        <v>32</v>
      </c>
      <c r="N4934" t="str">
        <f>"11/7/2003 12:00:00 AM"</f>
        <v>11/7/2003 12:00:00 AM</v>
      </c>
      <c r="O4934" t="s">
        <v>15121</v>
      </c>
      <c r="T4934" t="s">
        <v>15122</v>
      </c>
    </row>
    <row r="4935" spans="1:20" x14ac:dyDescent="0.25">
      <c r="A4935" t="str">
        <f>"3053388"</f>
        <v>3053388</v>
      </c>
      <c r="B4935" t="s">
        <v>15124</v>
      </c>
      <c r="C4935" t="str">
        <f>"31312000"</f>
        <v>31312000</v>
      </c>
      <c r="D4935" t="s">
        <v>15125</v>
      </c>
      <c r="E4935" t="s">
        <v>15126</v>
      </c>
      <c r="F4935" t="s">
        <v>15127</v>
      </c>
      <c r="I4935" t="s">
        <v>29</v>
      </c>
      <c r="J4935" t="s">
        <v>30</v>
      </c>
      <c r="K4935" t="s">
        <v>31</v>
      </c>
      <c r="M4935" t="s">
        <v>32</v>
      </c>
      <c r="N4935" t="str">
        <f>"10/22/2002 12:00:00 AM"</f>
        <v>10/22/2002 12:00:00 AM</v>
      </c>
      <c r="O4935" t="s">
        <v>15125</v>
      </c>
      <c r="T4935" t="s">
        <v>15126</v>
      </c>
    </row>
    <row r="4936" spans="1:20" x14ac:dyDescent="0.25">
      <c r="A4936" t="str">
        <f>"3053471"</f>
        <v>3053471</v>
      </c>
      <c r="B4936" t="s">
        <v>15128</v>
      </c>
      <c r="C4936" t="str">
        <f>"44268000"</f>
        <v>44268000</v>
      </c>
      <c r="D4936" t="s">
        <v>15129</v>
      </c>
      <c r="E4936" t="s">
        <v>15126</v>
      </c>
      <c r="F4936" t="s">
        <v>15130</v>
      </c>
      <c r="I4936" t="s">
        <v>184</v>
      </c>
      <c r="J4936" t="s">
        <v>30</v>
      </c>
      <c r="K4936" t="s">
        <v>185</v>
      </c>
      <c r="M4936" t="s">
        <v>32</v>
      </c>
      <c r="N4936" t="str">
        <f>"11/26/2003 12:00:00 AM"</f>
        <v>11/26/2003 12:00:00 AM</v>
      </c>
      <c r="O4936" t="s">
        <v>15129</v>
      </c>
      <c r="T4936" t="s">
        <v>15126</v>
      </c>
    </row>
    <row r="4937" spans="1:20" x14ac:dyDescent="0.25">
      <c r="A4937" t="str">
        <f>"3059105"</f>
        <v>3059105</v>
      </c>
      <c r="B4937" t="s">
        <v>15131</v>
      </c>
      <c r="C4937" t="str">
        <f>"56389620"</f>
        <v>56389620</v>
      </c>
      <c r="D4937" t="s">
        <v>15132</v>
      </c>
      <c r="E4937" t="s">
        <v>15133</v>
      </c>
      <c r="F4937" t="s">
        <v>15134</v>
      </c>
      <c r="I4937" t="s">
        <v>29</v>
      </c>
      <c r="J4937" t="s">
        <v>30</v>
      </c>
      <c r="K4937" t="s">
        <v>15135</v>
      </c>
      <c r="M4937" t="s">
        <v>32</v>
      </c>
      <c r="N4937" t="str">
        <f>"2/11/2010 12:00:00 AM"</f>
        <v>2/11/2010 12:00:00 AM</v>
      </c>
      <c r="O4937" t="s">
        <v>15132</v>
      </c>
      <c r="T4937" t="s">
        <v>15133</v>
      </c>
    </row>
    <row r="4938" spans="1:20" x14ac:dyDescent="0.25">
      <c r="A4938" t="str">
        <f>"3059272"</f>
        <v>3059272</v>
      </c>
      <c r="B4938" t="s">
        <v>15136</v>
      </c>
      <c r="C4938" t="str">
        <f>"82525690"</f>
        <v>82525690</v>
      </c>
      <c r="D4938" t="s">
        <v>15137</v>
      </c>
      <c r="F4938" t="s">
        <v>15138</v>
      </c>
      <c r="I4938" t="s">
        <v>29</v>
      </c>
      <c r="J4938" t="s">
        <v>30</v>
      </c>
      <c r="K4938" t="s">
        <v>31</v>
      </c>
      <c r="M4938" t="s">
        <v>32</v>
      </c>
      <c r="N4938" t="str">
        <f>"2/13/2007 12:00:00 AM"</f>
        <v>2/13/2007 12:00:00 AM</v>
      </c>
      <c r="O4938" t="s">
        <v>15137</v>
      </c>
      <c r="T4938" t="s">
        <v>15137</v>
      </c>
    </row>
    <row r="4939" spans="1:20" x14ac:dyDescent="0.25">
      <c r="A4939" t="str">
        <f>"3059265"</f>
        <v>3059265</v>
      </c>
      <c r="B4939" t="s">
        <v>15139</v>
      </c>
      <c r="C4939" t="str">
        <f>"82517029"</f>
        <v>82517029</v>
      </c>
      <c r="D4939" t="s">
        <v>15140</v>
      </c>
      <c r="F4939" t="s">
        <v>15141</v>
      </c>
      <c r="I4939" t="s">
        <v>29</v>
      </c>
      <c r="J4939" t="s">
        <v>30</v>
      </c>
      <c r="K4939" t="s">
        <v>31</v>
      </c>
      <c r="M4939" t="s">
        <v>32</v>
      </c>
      <c r="N4939" t="str">
        <f>"4/19/2005 12:00:00 AM"</f>
        <v>4/19/2005 12:00:00 AM</v>
      </c>
      <c r="O4939" t="s">
        <v>15140</v>
      </c>
    </row>
    <row r="4940" spans="1:20" x14ac:dyDescent="0.25">
      <c r="A4940" t="str">
        <f>"3059266"</f>
        <v>3059266</v>
      </c>
      <c r="B4940" t="s">
        <v>15142</v>
      </c>
      <c r="C4940" t="str">
        <f>"82516436"</f>
        <v>82516436</v>
      </c>
      <c r="D4940" t="s">
        <v>15143</v>
      </c>
      <c r="F4940" t="s">
        <v>15144</v>
      </c>
      <c r="I4940" t="s">
        <v>29</v>
      </c>
      <c r="J4940" t="s">
        <v>30</v>
      </c>
      <c r="K4940" t="s">
        <v>31</v>
      </c>
      <c r="M4940" t="s">
        <v>32</v>
      </c>
      <c r="N4940" t="str">
        <f>"5/23/2005 12:00:00 AM"</f>
        <v>5/23/2005 12:00:00 AM</v>
      </c>
      <c r="O4940" t="s">
        <v>15143</v>
      </c>
    </row>
    <row r="4941" spans="1:20" x14ac:dyDescent="0.25">
      <c r="A4941" t="str">
        <f>"3053658"</f>
        <v>3053658</v>
      </c>
      <c r="B4941" t="s">
        <v>15145</v>
      </c>
      <c r="C4941" t="str">
        <f>"82528799"</f>
        <v>82528799</v>
      </c>
      <c r="D4941" t="s">
        <v>15146</v>
      </c>
      <c r="F4941" t="s">
        <v>15147</v>
      </c>
      <c r="I4941" t="s">
        <v>29</v>
      </c>
      <c r="J4941" t="s">
        <v>30</v>
      </c>
      <c r="K4941" t="s">
        <v>31</v>
      </c>
      <c r="N4941" t="str">
        <f>"11/2/2007 12:00:00 AM"</f>
        <v>11/2/2007 12:00:00 AM</v>
      </c>
      <c r="O4941" t="s">
        <v>15146</v>
      </c>
    </row>
    <row r="4942" spans="1:20" x14ac:dyDescent="0.25">
      <c r="A4942" t="str">
        <f>"3053688"</f>
        <v>3053688</v>
      </c>
      <c r="B4942" t="s">
        <v>15148</v>
      </c>
      <c r="C4942" t="str">
        <f>"55956000"</f>
        <v>55956000</v>
      </c>
      <c r="D4942" t="s">
        <v>15149</v>
      </c>
      <c r="F4942" t="s">
        <v>15150</v>
      </c>
      <c r="I4942" t="s">
        <v>29</v>
      </c>
      <c r="J4942" t="s">
        <v>30</v>
      </c>
      <c r="K4942" t="s">
        <v>31</v>
      </c>
      <c r="M4942" t="s">
        <v>32</v>
      </c>
      <c r="N4942" t="str">
        <f>"3/26/2004 12:00:00 AM"</f>
        <v>3/26/2004 12:00:00 AM</v>
      </c>
      <c r="O4942" t="s">
        <v>15149</v>
      </c>
    </row>
    <row r="4943" spans="1:20" x14ac:dyDescent="0.25">
      <c r="A4943" t="str">
        <f>"3053491"</f>
        <v>3053491</v>
      </c>
      <c r="B4943" t="s">
        <v>15151</v>
      </c>
      <c r="C4943" t="str">
        <f>"10836000"</f>
        <v>10836000</v>
      </c>
      <c r="D4943" t="s">
        <v>15152</v>
      </c>
      <c r="E4943" t="s">
        <v>15153</v>
      </c>
      <c r="F4943" t="s">
        <v>15154</v>
      </c>
      <c r="I4943" t="s">
        <v>29</v>
      </c>
      <c r="J4943" t="s">
        <v>30</v>
      </c>
      <c r="K4943" t="s">
        <v>31</v>
      </c>
      <c r="M4943" t="s">
        <v>32</v>
      </c>
      <c r="N4943" t="str">
        <f>"2/24/2005 12:00:00 AM"</f>
        <v>2/24/2005 12:00:00 AM</v>
      </c>
      <c r="O4943" t="s">
        <v>15152</v>
      </c>
      <c r="T4943" t="s">
        <v>15153</v>
      </c>
    </row>
    <row r="4944" spans="1:20" x14ac:dyDescent="0.25">
      <c r="A4944" t="str">
        <f>"3050087"</f>
        <v>3050087</v>
      </c>
      <c r="B4944" t="s">
        <v>15155</v>
      </c>
      <c r="C4944" t="str">
        <f>"82526998"</f>
        <v>82526998</v>
      </c>
      <c r="D4944" t="s">
        <v>15156</v>
      </c>
      <c r="F4944" t="s">
        <v>15157</v>
      </c>
      <c r="I4944" t="s">
        <v>29</v>
      </c>
      <c r="J4944" t="s">
        <v>30</v>
      </c>
      <c r="K4944" t="s">
        <v>31</v>
      </c>
      <c r="M4944" t="s">
        <v>32</v>
      </c>
      <c r="N4944" t="str">
        <f>"2/6/2007 12:00:00 AM"</f>
        <v>2/6/2007 12:00:00 AM</v>
      </c>
      <c r="O4944" t="s">
        <v>15156</v>
      </c>
    </row>
    <row r="4945" spans="1:20" x14ac:dyDescent="0.25">
      <c r="A4945" t="str">
        <f>"3050005"</f>
        <v>3050005</v>
      </c>
      <c r="B4945" t="s">
        <v>15158</v>
      </c>
      <c r="C4945" t="str">
        <f>"30372000"</f>
        <v>30372000</v>
      </c>
      <c r="D4945" t="s">
        <v>15159</v>
      </c>
      <c r="F4945" t="s">
        <v>15160</v>
      </c>
      <c r="I4945" t="s">
        <v>29</v>
      </c>
      <c r="J4945" t="s">
        <v>30</v>
      </c>
      <c r="K4945" t="s">
        <v>15161</v>
      </c>
      <c r="M4945" t="s">
        <v>32</v>
      </c>
      <c r="N4945" t="str">
        <f>"1/13/2006 12:00:00 AM"</f>
        <v>1/13/2006 12:00:00 AM</v>
      </c>
      <c r="O4945" t="s">
        <v>15159</v>
      </c>
    </row>
    <row r="4946" spans="1:20" x14ac:dyDescent="0.25">
      <c r="A4946" t="str">
        <f>"3050095"</f>
        <v>3050095</v>
      </c>
      <c r="B4946" t="s">
        <v>15162</v>
      </c>
      <c r="C4946" t="str">
        <f>"82526198"</f>
        <v>82526198</v>
      </c>
      <c r="D4946" t="s">
        <v>15163</v>
      </c>
      <c r="F4946" t="s">
        <v>15164</v>
      </c>
      <c r="I4946" t="s">
        <v>3493</v>
      </c>
      <c r="J4946" t="s">
        <v>30</v>
      </c>
      <c r="K4946" t="s">
        <v>15165</v>
      </c>
      <c r="M4946" t="s">
        <v>32</v>
      </c>
      <c r="N4946" t="str">
        <f>"8/12/2008 12:00:00 AM"</f>
        <v>8/12/2008 12:00:00 AM</v>
      </c>
      <c r="O4946" t="s">
        <v>15163</v>
      </c>
    </row>
    <row r="4947" spans="1:20" x14ac:dyDescent="0.25">
      <c r="A4947" t="str">
        <f>"3053744"</f>
        <v>3053744</v>
      </c>
      <c r="B4947" t="s">
        <v>15166</v>
      </c>
      <c r="C4947" t="str">
        <f>"9578530"</f>
        <v>9578530</v>
      </c>
      <c r="D4947" t="s">
        <v>15167</v>
      </c>
      <c r="E4947" t="s">
        <v>15168</v>
      </c>
      <c r="F4947" t="s">
        <v>15169</v>
      </c>
      <c r="I4947" t="s">
        <v>29</v>
      </c>
      <c r="J4947" t="s">
        <v>30</v>
      </c>
      <c r="K4947" t="s">
        <v>31</v>
      </c>
      <c r="M4947" t="s">
        <v>32</v>
      </c>
      <c r="N4947" t="str">
        <f>"6/9/2003 12:00:00 AM"</f>
        <v>6/9/2003 12:00:00 AM</v>
      </c>
      <c r="O4947" t="s">
        <v>15167</v>
      </c>
      <c r="T4947" t="s">
        <v>15168</v>
      </c>
    </row>
    <row r="4948" spans="1:20" x14ac:dyDescent="0.25">
      <c r="A4948" t="str">
        <f>"3050090"</f>
        <v>3050090</v>
      </c>
      <c r="B4948" t="s">
        <v>15170</v>
      </c>
      <c r="C4948" t="str">
        <f>"33932000"</f>
        <v>33932000</v>
      </c>
      <c r="D4948" t="s">
        <v>15171</v>
      </c>
      <c r="F4948" t="s">
        <v>15172</v>
      </c>
      <c r="I4948" t="s">
        <v>29</v>
      </c>
      <c r="J4948" t="s">
        <v>30</v>
      </c>
      <c r="K4948" t="s">
        <v>31</v>
      </c>
      <c r="M4948" t="s">
        <v>32</v>
      </c>
      <c r="N4948" t="str">
        <f>"6/17/2009 12:00:00 AM"</f>
        <v>6/17/2009 12:00:00 AM</v>
      </c>
      <c r="O4948" t="s">
        <v>15171</v>
      </c>
    </row>
    <row r="4949" spans="1:20" x14ac:dyDescent="0.25">
      <c r="A4949" t="str">
        <f>"3050091"</f>
        <v>3050091</v>
      </c>
      <c r="B4949" t="s">
        <v>15173</v>
      </c>
      <c r="C4949" t="str">
        <f>"82527455"</f>
        <v>82527455</v>
      </c>
      <c r="D4949" t="s">
        <v>15174</v>
      </c>
      <c r="F4949" t="s">
        <v>15175</v>
      </c>
      <c r="I4949" t="s">
        <v>29</v>
      </c>
      <c r="J4949" t="s">
        <v>30</v>
      </c>
      <c r="K4949" t="s">
        <v>31</v>
      </c>
      <c r="M4949" t="s">
        <v>32</v>
      </c>
      <c r="N4949" t="str">
        <f>"1/24/2007 12:00:00 AM"</f>
        <v>1/24/2007 12:00:00 AM</v>
      </c>
      <c r="O4949" t="s">
        <v>15174</v>
      </c>
    </row>
    <row r="4950" spans="1:20" x14ac:dyDescent="0.25">
      <c r="A4950" t="str">
        <f>"3049692"</f>
        <v>3049692</v>
      </c>
      <c r="B4950" t="s">
        <v>15176</v>
      </c>
      <c r="C4950" t="str">
        <f>"82527455"</f>
        <v>82527455</v>
      </c>
      <c r="D4950" t="s">
        <v>15174</v>
      </c>
      <c r="F4950" t="s">
        <v>15175</v>
      </c>
      <c r="I4950" t="s">
        <v>29</v>
      </c>
      <c r="J4950" t="s">
        <v>30</v>
      </c>
      <c r="K4950" t="s">
        <v>31</v>
      </c>
      <c r="M4950" t="s">
        <v>32</v>
      </c>
      <c r="N4950" t="str">
        <f>"1/24/2007 12:00:00 AM"</f>
        <v>1/24/2007 12:00:00 AM</v>
      </c>
      <c r="O4950" t="s">
        <v>15174</v>
      </c>
    </row>
    <row r="4951" spans="1:20" x14ac:dyDescent="0.25">
      <c r="A4951" t="str">
        <f>"3102880"</f>
        <v>3102880</v>
      </c>
      <c r="B4951" t="s">
        <v>15177</v>
      </c>
      <c r="C4951" t="str">
        <f>"82521422"</f>
        <v>82521422</v>
      </c>
      <c r="D4951" t="s">
        <v>15178</v>
      </c>
      <c r="F4951" t="s">
        <v>15179</v>
      </c>
      <c r="I4951" t="s">
        <v>29</v>
      </c>
      <c r="J4951" t="s">
        <v>30</v>
      </c>
      <c r="K4951" t="s">
        <v>31</v>
      </c>
      <c r="M4951" t="s">
        <v>32</v>
      </c>
      <c r="N4951" t="str">
        <f>"1/22/2004 12:00:00 AM"</f>
        <v>1/22/2004 12:00:00 AM</v>
      </c>
      <c r="O4951" t="s">
        <v>15178</v>
      </c>
    </row>
    <row r="4952" spans="1:20" x14ac:dyDescent="0.25">
      <c r="A4952" t="str">
        <f>"3054625"</f>
        <v>3054625</v>
      </c>
      <c r="B4952" t="s">
        <v>15180</v>
      </c>
      <c r="C4952" t="str">
        <f>"16630000"</f>
        <v>16630000</v>
      </c>
      <c r="D4952" t="s">
        <v>15181</v>
      </c>
      <c r="F4952" t="s">
        <v>15182</v>
      </c>
      <c r="G4952" t="s">
        <v>15183</v>
      </c>
      <c r="I4952" t="s">
        <v>9580</v>
      </c>
      <c r="J4952" t="s">
        <v>30</v>
      </c>
      <c r="K4952" t="s">
        <v>9581</v>
      </c>
      <c r="M4952" t="s">
        <v>32</v>
      </c>
      <c r="N4952" t="str">
        <f>"6/30/2003 12:00:00 AM"</f>
        <v>6/30/2003 12:00:00 AM</v>
      </c>
      <c r="O4952" t="s">
        <v>15181</v>
      </c>
    </row>
    <row r="4953" spans="1:20" x14ac:dyDescent="0.25">
      <c r="A4953" t="str">
        <f>"3053532"</f>
        <v>3053532</v>
      </c>
      <c r="B4953" t="s">
        <v>15184</v>
      </c>
      <c r="C4953" t="str">
        <f>"82523561"</f>
        <v>82523561</v>
      </c>
      <c r="D4953" t="s">
        <v>15185</v>
      </c>
      <c r="E4953" t="s">
        <v>15186</v>
      </c>
      <c r="F4953" t="s">
        <v>14979</v>
      </c>
      <c r="I4953" t="s">
        <v>29</v>
      </c>
      <c r="J4953" t="s">
        <v>30</v>
      </c>
      <c r="K4953" t="s">
        <v>31</v>
      </c>
      <c r="M4953" t="s">
        <v>32</v>
      </c>
      <c r="N4953" t="str">
        <f>"1/4/2005 12:00:00 AM"</f>
        <v>1/4/2005 12:00:00 AM</v>
      </c>
      <c r="O4953" t="s">
        <v>15185</v>
      </c>
      <c r="T4953" t="s">
        <v>15186</v>
      </c>
    </row>
    <row r="4954" spans="1:20" x14ac:dyDescent="0.25">
      <c r="A4954" t="str">
        <f>"3053643"</f>
        <v>3053643</v>
      </c>
      <c r="B4954" t="s">
        <v>15187</v>
      </c>
      <c r="C4954" t="str">
        <f>"10912000"</f>
        <v>10912000</v>
      </c>
      <c r="D4954" t="s">
        <v>15188</v>
      </c>
      <c r="E4954" t="s">
        <v>15189</v>
      </c>
      <c r="F4954" t="s">
        <v>15190</v>
      </c>
      <c r="I4954" t="s">
        <v>29</v>
      </c>
      <c r="J4954" t="s">
        <v>30</v>
      </c>
      <c r="K4954" t="s">
        <v>14980</v>
      </c>
      <c r="M4954" t="s">
        <v>32</v>
      </c>
      <c r="N4954" t="str">
        <f>"11/20/2007 12:00:00 AM"</f>
        <v>11/20/2007 12:00:00 AM</v>
      </c>
      <c r="O4954" t="s">
        <v>15188</v>
      </c>
      <c r="T4954" t="s">
        <v>15189</v>
      </c>
    </row>
    <row r="4955" spans="1:20" x14ac:dyDescent="0.25">
      <c r="A4955" t="str">
        <f>"3054308"</f>
        <v>3054308</v>
      </c>
      <c r="B4955" t="s">
        <v>15191</v>
      </c>
      <c r="C4955" t="str">
        <f>"82527333"</f>
        <v>82527333</v>
      </c>
      <c r="D4955" t="s">
        <v>15192</v>
      </c>
      <c r="E4955" t="s">
        <v>15193</v>
      </c>
      <c r="F4955" t="s">
        <v>15194</v>
      </c>
      <c r="I4955" t="s">
        <v>29</v>
      </c>
      <c r="J4955" t="s">
        <v>30</v>
      </c>
      <c r="K4955" t="s">
        <v>31</v>
      </c>
      <c r="M4955" t="s">
        <v>32</v>
      </c>
      <c r="N4955" t="str">
        <f>"12/28/2006 12:00:00 AM"</f>
        <v>12/28/2006 12:00:00 AM</v>
      </c>
      <c r="O4955" t="s">
        <v>15192</v>
      </c>
      <c r="T4955" t="s">
        <v>15193</v>
      </c>
    </row>
    <row r="4956" spans="1:20" x14ac:dyDescent="0.25">
      <c r="A4956" t="str">
        <f>"3054483"</f>
        <v>3054483</v>
      </c>
      <c r="B4956" t="s">
        <v>15195</v>
      </c>
      <c r="C4956" t="str">
        <f>"56826750"</f>
        <v>56826750</v>
      </c>
      <c r="D4956" t="s">
        <v>15196</v>
      </c>
      <c r="E4956" t="s">
        <v>15197</v>
      </c>
      <c r="F4956" t="s">
        <v>15198</v>
      </c>
      <c r="I4956" t="s">
        <v>29</v>
      </c>
      <c r="J4956" t="s">
        <v>30</v>
      </c>
      <c r="K4956" t="s">
        <v>15199</v>
      </c>
      <c r="M4956" t="s">
        <v>32</v>
      </c>
      <c r="N4956" t="str">
        <f>"2/14/2007 12:00:00 AM"</f>
        <v>2/14/2007 12:00:00 AM</v>
      </c>
      <c r="O4956" t="s">
        <v>15196</v>
      </c>
      <c r="T4956" t="s">
        <v>15197</v>
      </c>
    </row>
    <row r="4957" spans="1:20" x14ac:dyDescent="0.25">
      <c r="A4957" t="str">
        <f>"3054586"</f>
        <v>3054586</v>
      </c>
      <c r="B4957" t="s">
        <v>15200</v>
      </c>
      <c r="C4957" t="str">
        <f>"56826750"</f>
        <v>56826750</v>
      </c>
      <c r="D4957" t="s">
        <v>15196</v>
      </c>
      <c r="E4957" t="s">
        <v>15197</v>
      </c>
      <c r="F4957" t="s">
        <v>15198</v>
      </c>
      <c r="I4957" t="s">
        <v>29</v>
      </c>
      <c r="J4957" t="s">
        <v>30</v>
      </c>
      <c r="K4957" t="s">
        <v>15199</v>
      </c>
      <c r="M4957" t="s">
        <v>32</v>
      </c>
      <c r="N4957" t="str">
        <f>"2/14/2007 12:00:00 AM"</f>
        <v>2/14/2007 12:00:00 AM</v>
      </c>
      <c r="O4957" t="s">
        <v>15196</v>
      </c>
      <c r="T4957" t="s">
        <v>15197</v>
      </c>
    </row>
    <row r="4958" spans="1:20" x14ac:dyDescent="0.25">
      <c r="A4958" t="str">
        <f>"3054702"</f>
        <v>3054702</v>
      </c>
      <c r="B4958" t="s">
        <v>15201</v>
      </c>
      <c r="C4958" t="str">
        <f>"56826750"</f>
        <v>56826750</v>
      </c>
      <c r="D4958" t="s">
        <v>15196</v>
      </c>
      <c r="E4958" t="s">
        <v>15197</v>
      </c>
      <c r="F4958" t="s">
        <v>15198</v>
      </c>
      <c r="I4958" t="s">
        <v>29</v>
      </c>
      <c r="J4958" t="s">
        <v>30</v>
      </c>
      <c r="K4958" t="s">
        <v>15199</v>
      </c>
      <c r="M4958" t="s">
        <v>32</v>
      </c>
      <c r="N4958" t="str">
        <f>"2/14/2007 12:00:00 AM"</f>
        <v>2/14/2007 12:00:00 AM</v>
      </c>
      <c r="O4958" t="s">
        <v>15196</v>
      </c>
      <c r="T4958" t="s">
        <v>15197</v>
      </c>
    </row>
    <row r="4959" spans="1:20" x14ac:dyDescent="0.25">
      <c r="A4959" t="str">
        <f>"3054262"</f>
        <v>3054262</v>
      </c>
      <c r="B4959" t="s">
        <v>15202</v>
      </c>
      <c r="C4959" t="str">
        <f>"56826750"</f>
        <v>56826750</v>
      </c>
      <c r="D4959" t="s">
        <v>15196</v>
      </c>
      <c r="E4959" t="s">
        <v>15197</v>
      </c>
      <c r="F4959" t="s">
        <v>15198</v>
      </c>
      <c r="I4959" t="s">
        <v>29</v>
      </c>
      <c r="J4959" t="s">
        <v>30</v>
      </c>
      <c r="K4959" t="s">
        <v>15199</v>
      </c>
      <c r="M4959" t="s">
        <v>32</v>
      </c>
      <c r="N4959" t="str">
        <f>"2/14/2007 12:00:00 AM"</f>
        <v>2/14/2007 12:00:00 AM</v>
      </c>
      <c r="O4959" t="s">
        <v>15196</v>
      </c>
      <c r="T4959" t="s">
        <v>15197</v>
      </c>
    </row>
    <row r="4960" spans="1:20" x14ac:dyDescent="0.25">
      <c r="A4960" t="str">
        <f>"3078711"</f>
        <v>3078711</v>
      </c>
      <c r="B4960" t="s">
        <v>15203</v>
      </c>
      <c r="C4960" t="str">
        <f>"44778500"</f>
        <v>44778500</v>
      </c>
      <c r="D4960" t="s">
        <v>15204</v>
      </c>
      <c r="E4960" t="s">
        <v>15205</v>
      </c>
      <c r="F4960" t="s">
        <v>15206</v>
      </c>
      <c r="I4960" t="s">
        <v>184</v>
      </c>
      <c r="J4960" t="s">
        <v>30</v>
      </c>
      <c r="K4960" t="s">
        <v>185</v>
      </c>
      <c r="M4960" t="s">
        <v>32</v>
      </c>
      <c r="N4960" t="str">
        <f>"1/16/2004 12:00:00 AM"</f>
        <v>1/16/2004 12:00:00 AM</v>
      </c>
      <c r="O4960" t="s">
        <v>15204</v>
      </c>
      <c r="T4960" t="s">
        <v>15205</v>
      </c>
    </row>
    <row r="4961" spans="1:20" x14ac:dyDescent="0.25">
      <c r="A4961" t="str">
        <f>"3053318"</f>
        <v>3053318</v>
      </c>
      <c r="B4961" t="s">
        <v>15207</v>
      </c>
      <c r="C4961" t="str">
        <f>"82522936"</f>
        <v>82522936</v>
      </c>
      <c r="D4961" t="s">
        <v>15208</v>
      </c>
      <c r="E4961" t="s">
        <v>15209</v>
      </c>
      <c r="F4961" t="s">
        <v>14155</v>
      </c>
      <c r="I4961" t="s">
        <v>29</v>
      </c>
      <c r="J4961" t="s">
        <v>30</v>
      </c>
      <c r="K4961" t="s">
        <v>13999</v>
      </c>
      <c r="M4961" t="s">
        <v>32</v>
      </c>
      <c r="N4961" t="str">
        <f>"2/25/2005 12:00:00 AM"</f>
        <v>2/25/2005 12:00:00 AM</v>
      </c>
      <c r="O4961" t="s">
        <v>15208</v>
      </c>
      <c r="T4961" t="s">
        <v>15209</v>
      </c>
    </row>
    <row r="4962" spans="1:20" x14ac:dyDescent="0.25">
      <c r="A4962" t="str">
        <f>"3054319"</f>
        <v>3054319</v>
      </c>
      <c r="B4962" t="s">
        <v>15210</v>
      </c>
      <c r="C4962" t="str">
        <f>"4186000"</f>
        <v>4186000</v>
      </c>
      <c r="D4962" t="s">
        <v>15211</v>
      </c>
      <c r="E4962" t="s">
        <v>15212</v>
      </c>
      <c r="F4962" t="s">
        <v>15213</v>
      </c>
      <c r="I4962" t="s">
        <v>29</v>
      </c>
      <c r="J4962" t="s">
        <v>30</v>
      </c>
      <c r="K4962" t="s">
        <v>31</v>
      </c>
      <c r="M4962" t="s">
        <v>32</v>
      </c>
      <c r="N4962" t="str">
        <f>"5/19/2003 12:00:00 AM"</f>
        <v>5/19/2003 12:00:00 AM</v>
      </c>
      <c r="O4962" t="s">
        <v>15211</v>
      </c>
      <c r="T4962" t="s">
        <v>15212</v>
      </c>
    </row>
    <row r="4963" spans="1:20" x14ac:dyDescent="0.25">
      <c r="A4963" t="str">
        <f>"3078730"</f>
        <v>3078730</v>
      </c>
      <c r="B4963" t="s">
        <v>15214</v>
      </c>
      <c r="C4963" t="str">
        <f>"24306870"</f>
        <v>24306870</v>
      </c>
      <c r="D4963" t="s">
        <v>15215</v>
      </c>
      <c r="F4963" t="s">
        <v>15216</v>
      </c>
      <c r="I4963" t="s">
        <v>29</v>
      </c>
      <c r="J4963" t="s">
        <v>30</v>
      </c>
      <c r="K4963" t="s">
        <v>15217</v>
      </c>
      <c r="M4963" t="s">
        <v>32</v>
      </c>
      <c r="N4963" t="str">
        <f>"1/12/2010 12:00:00 AM"</f>
        <v>1/12/2010 12:00:00 AM</v>
      </c>
      <c r="O4963" t="s">
        <v>15215</v>
      </c>
      <c r="T4963" t="s">
        <v>15215</v>
      </c>
    </row>
    <row r="4964" spans="1:20" x14ac:dyDescent="0.25">
      <c r="A4964" t="str">
        <f>"3054355"</f>
        <v>3054355</v>
      </c>
      <c r="B4964" t="s">
        <v>15218</v>
      </c>
      <c r="C4964" t="str">
        <f>"19698000"</f>
        <v>19698000</v>
      </c>
      <c r="D4964" t="s">
        <v>15219</v>
      </c>
      <c r="F4964" t="s">
        <v>15220</v>
      </c>
      <c r="I4964" t="s">
        <v>29</v>
      </c>
      <c r="J4964" t="s">
        <v>30</v>
      </c>
      <c r="K4964" t="s">
        <v>31</v>
      </c>
      <c r="M4964" t="s">
        <v>32</v>
      </c>
      <c r="N4964" t="str">
        <f>"7/16/2003 12:00:00 AM"</f>
        <v>7/16/2003 12:00:00 AM</v>
      </c>
      <c r="O4964" t="s">
        <v>15219</v>
      </c>
    </row>
    <row r="4965" spans="1:20" x14ac:dyDescent="0.25">
      <c r="A4965" t="str">
        <f>"3054243"</f>
        <v>3054243</v>
      </c>
      <c r="B4965" t="s">
        <v>15221</v>
      </c>
      <c r="C4965" t="str">
        <f>"71465400"</f>
        <v>71465400</v>
      </c>
      <c r="D4965" t="s">
        <v>15222</v>
      </c>
      <c r="E4965" t="s">
        <v>15223</v>
      </c>
      <c r="F4965" t="s">
        <v>15224</v>
      </c>
      <c r="I4965" t="s">
        <v>29</v>
      </c>
      <c r="J4965" t="s">
        <v>30</v>
      </c>
      <c r="K4965" t="s">
        <v>15217</v>
      </c>
      <c r="M4965" t="s">
        <v>32</v>
      </c>
      <c r="N4965" t="str">
        <f>"2/8/2010 12:00:00 AM"</f>
        <v>2/8/2010 12:00:00 AM</v>
      </c>
      <c r="O4965" t="s">
        <v>15222</v>
      </c>
      <c r="T4965" t="s">
        <v>15223</v>
      </c>
    </row>
    <row r="4966" spans="1:20" x14ac:dyDescent="0.25">
      <c r="A4966" t="str">
        <f>"3078732"</f>
        <v>3078732</v>
      </c>
      <c r="B4966" t="s">
        <v>15225</v>
      </c>
      <c r="C4966" t="str">
        <f>"19707000"</f>
        <v>19707000</v>
      </c>
      <c r="D4966" t="s">
        <v>15226</v>
      </c>
      <c r="F4966" t="s">
        <v>15220</v>
      </c>
      <c r="I4966" t="s">
        <v>29</v>
      </c>
      <c r="J4966" t="s">
        <v>30</v>
      </c>
      <c r="K4966" t="s">
        <v>15227</v>
      </c>
      <c r="M4966" t="s">
        <v>32</v>
      </c>
      <c r="N4966" t="str">
        <f>"1/9/2006 12:00:00 AM"</f>
        <v>1/9/2006 12:00:00 AM</v>
      </c>
      <c r="O4966" t="s">
        <v>15226</v>
      </c>
    </row>
    <row r="4967" spans="1:20" x14ac:dyDescent="0.25">
      <c r="A4967" t="str">
        <f>"3053522"</f>
        <v>3053522</v>
      </c>
      <c r="B4967" t="s">
        <v>15228</v>
      </c>
      <c r="C4967" t="str">
        <f>"82518727"</f>
        <v>82518727</v>
      </c>
      <c r="D4967" t="s">
        <v>15229</v>
      </c>
      <c r="E4967" t="s">
        <v>15230</v>
      </c>
      <c r="F4967" t="s">
        <v>15231</v>
      </c>
      <c r="I4967" t="s">
        <v>184</v>
      </c>
      <c r="J4967" t="s">
        <v>30</v>
      </c>
      <c r="K4967" t="s">
        <v>185</v>
      </c>
      <c r="M4967" t="s">
        <v>32</v>
      </c>
      <c r="N4967" t="str">
        <f>"8/11/2003 12:00:00 AM"</f>
        <v>8/11/2003 12:00:00 AM</v>
      </c>
      <c r="O4967" t="s">
        <v>15229</v>
      </c>
      <c r="T4967" t="s">
        <v>15230</v>
      </c>
    </row>
    <row r="4968" spans="1:20" x14ac:dyDescent="0.25">
      <c r="A4968" t="str">
        <f>"3078734"</f>
        <v>3078734</v>
      </c>
      <c r="B4968" t="s">
        <v>15232</v>
      </c>
      <c r="C4968" t="str">
        <f>"26585000"</f>
        <v>26585000</v>
      </c>
      <c r="D4968" t="s">
        <v>11535</v>
      </c>
      <c r="E4968" t="s">
        <v>15233</v>
      </c>
      <c r="F4968" t="s">
        <v>11536</v>
      </c>
      <c r="I4968" t="s">
        <v>29</v>
      </c>
      <c r="J4968" t="s">
        <v>30</v>
      </c>
      <c r="K4968" t="s">
        <v>15227</v>
      </c>
      <c r="M4968" t="s">
        <v>32</v>
      </c>
      <c r="N4968" t="str">
        <f>"2/1/2006 12:00:00 AM"</f>
        <v>2/1/2006 12:00:00 AM</v>
      </c>
      <c r="O4968" t="s">
        <v>11535</v>
      </c>
      <c r="T4968" t="s">
        <v>15233</v>
      </c>
    </row>
    <row r="4969" spans="1:20" x14ac:dyDescent="0.25">
      <c r="A4969" t="str">
        <f>"3054572"</f>
        <v>3054572</v>
      </c>
      <c r="B4969" t="s">
        <v>15234</v>
      </c>
      <c r="C4969" t="str">
        <f>"82519302"</f>
        <v>82519302</v>
      </c>
      <c r="D4969" t="s">
        <v>15235</v>
      </c>
      <c r="F4969" t="s">
        <v>15236</v>
      </c>
      <c r="I4969" t="s">
        <v>29</v>
      </c>
      <c r="J4969" t="s">
        <v>30</v>
      </c>
      <c r="K4969" t="s">
        <v>15237</v>
      </c>
      <c r="M4969" t="s">
        <v>32</v>
      </c>
      <c r="N4969" t="str">
        <f>"11/23/2008 12:00:00 AM"</f>
        <v>11/23/2008 12:00:00 AM</v>
      </c>
      <c r="O4969" t="s">
        <v>15235</v>
      </c>
    </row>
    <row r="4970" spans="1:20" x14ac:dyDescent="0.25">
      <c r="A4970" t="str">
        <f>"3053644"</f>
        <v>3053644</v>
      </c>
      <c r="B4970" t="s">
        <v>15238</v>
      </c>
      <c r="C4970" t="str">
        <f>"3252000"</f>
        <v>3252000</v>
      </c>
      <c r="D4970" t="s">
        <v>15239</v>
      </c>
      <c r="E4970" t="s">
        <v>15240</v>
      </c>
      <c r="F4970" t="s">
        <v>15241</v>
      </c>
      <c r="I4970" t="s">
        <v>184</v>
      </c>
      <c r="J4970" t="s">
        <v>30</v>
      </c>
      <c r="K4970" t="s">
        <v>185</v>
      </c>
      <c r="M4970" t="s">
        <v>32</v>
      </c>
      <c r="N4970" t="str">
        <f>"1/13/2006 12:00:00 AM"</f>
        <v>1/13/2006 12:00:00 AM</v>
      </c>
      <c r="O4970" t="s">
        <v>15239</v>
      </c>
      <c r="T4970" t="s">
        <v>15240</v>
      </c>
    </row>
    <row r="4971" spans="1:20" x14ac:dyDescent="0.25">
      <c r="A4971" t="str">
        <f>"3054079"</f>
        <v>3054079</v>
      </c>
      <c r="B4971" t="s">
        <v>15242</v>
      </c>
      <c r="C4971" t="str">
        <f>"50049750"</f>
        <v>50049750</v>
      </c>
      <c r="D4971" t="s">
        <v>15243</v>
      </c>
      <c r="E4971" t="s">
        <v>15244</v>
      </c>
      <c r="F4971" t="s">
        <v>15245</v>
      </c>
      <c r="I4971" t="s">
        <v>29</v>
      </c>
      <c r="J4971" t="s">
        <v>30</v>
      </c>
      <c r="K4971" t="s">
        <v>15246</v>
      </c>
      <c r="M4971" t="s">
        <v>32</v>
      </c>
      <c r="N4971" t="str">
        <f>"2/15/2007 12:00:00 AM"</f>
        <v>2/15/2007 12:00:00 AM</v>
      </c>
      <c r="O4971" t="s">
        <v>15243</v>
      </c>
      <c r="T4971" t="s">
        <v>15244</v>
      </c>
    </row>
    <row r="4972" spans="1:20" x14ac:dyDescent="0.25">
      <c r="A4972" t="str">
        <f>"3054684"</f>
        <v>3054684</v>
      </c>
      <c r="B4972" t="s">
        <v>15247</v>
      </c>
      <c r="C4972" t="str">
        <f>"35330000"</f>
        <v>35330000</v>
      </c>
      <c r="D4972" t="s">
        <v>15248</v>
      </c>
      <c r="F4972" t="s">
        <v>15249</v>
      </c>
      <c r="I4972" t="s">
        <v>9580</v>
      </c>
      <c r="J4972" t="s">
        <v>30</v>
      </c>
      <c r="K4972" t="s">
        <v>9581</v>
      </c>
      <c r="M4972" t="s">
        <v>32</v>
      </c>
      <c r="N4972" t="str">
        <f>"10/29/2002 12:00:00 AM"</f>
        <v>10/29/2002 12:00:00 AM</v>
      </c>
      <c r="O4972" t="s">
        <v>15248</v>
      </c>
    </row>
    <row r="4973" spans="1:20" x14ac:dyDescent="0.25">
      <c r="A4973" t="str">
        <f>"3054697"</f>
        <v>3054697</v>
      </c>
      <c r="B4973" t="s">
        <v>15250</v>
      </c>
      <c r="C4973" t="str">
        <f>"11466000"</f>
        <v>11466000</v>
      </c>
      <c r="D4973" t="s">
        <v>15251</v>
      </c>
      <c r="F4973" t="s">
        <v>15198</v>
      </c>
      <c r="I4973" t="s">
        <v>29</v>
      </c>
      <c r="J4973" t="s">
        <v>30</v>
      </c>
      <c r="K4973" t="s">
        <v>15199</v>
      </c>
      <c r="M4973" t="s">
        <v>32</v>
      </c>
      <c r="N4973" t="str">
        <f>"1/31/2006 12:00:00 AM"</f>
        <v>1/31/2006 12:00:00 AM</v>
      </c>
      <c r="O4973" t="s">
        <v>15251</v>
      </c>
    </row>
    <row r="4974" spans="1:20" x14ac:dyDescent="0.25">
      <c r="A4974" t="str">
        <f>"3054264"</f>
        <v>3054264</v>
      </c>
      <c r="B4974" t="s">
        <v>15252</v>
      </c>
      <c r="C4974" t="str">
        <f>"11466000"</f>
        <v>11466000</v>
      </c>
      <c r="D4974" t="s">
        <v>15251</v>
      </c>
      <c r="F4974" t="s">
        <v>15198</v>
      </c>
      <c r="I4974" t="s">
        <v>29</v>
      </c>
      <c r="J4974" t="s">
        <v>30</v>
      </c>
      <c r="K4974" t="s">
        <v>15199</v>
      </c>
      <c r="M4974" t="s">
        <v>32</v>
      </c>
      <c r="N4974" t="str">
        <f>"1/31/2006 12:00:00 AM"</f>
        <v>1/31/2006 12:00:00 AM</v>
      </c>
      <c r="O4974" t="s">
        <v>15251</v>
      </c>
    </row>
    <row r="4975" spans="1:20" x14ac:dyDescent="0.25">
      <c r="A4975" t="str">
        <f>"3078646"</f>
        <v>3078646</v>
      </c>
      <c r="B4975" t="s">
        <v>15253</v>
      </c>
      <c r="C4975" t="str">
        <f>"75840250"</f>
        <v>75840250</v>
      </c>
      <c r="D4975" t="s">
        <v>14992</v>
      </c>
      <c r="F4975" t="s">
        <v>14993</v>
      </c>
      <c r="I4975" t="s">
        <v>184</v>
      </c>
      <c r="J4975" t="s">
        <v>30</v>
      </c>
      <c r="K4975" t="s">
        <v>185</v>
      </c>
      <c r="M4975" t="s">
        <v>32</v>
      </c>
      <c r="N4975" t="str">
        <f>"10/23/2002 12:00:00 AM"</f>
        <v>10/23/2002 12:00:00 AM</v>
      </c>
      <c r="O4975" t="s">
        <v>14992</v>
      </c>
    </row>
    <row r="4976" spans="1:20" x14ac:dyDescent="0.25">
      <c r="A4976" t="str">
        <f>"3061609"</f>
        <v>3061609</v>
      </c>
      <c r="B4976" t="s">
        <v>15254</v>
      </c>
      <c r="C4976" t="str">
        <f>"82522432"</f>
        <v>82522432</v>
      </c>
      <c r="D4976" t="s">
        <v>15255</v>
      </c>
      <c r="E4976" t="s">
        <v>15256</v>
      </c>
      <c r="F4976" t="s">
        <v>15257</v>
      </c>
      <c r="I4976" t="s">
        <v>184</v>
      </c>
      <c r="J4976" t="s">
        <v>30</v>
      </c>
      <c r="K4976" t="s">
        <v>15258</v>
      </c>
      <c r="M4976" t="s">
        <v>32</v>
      </c>
      <c r="N4976" t="str">
        <f>"1/3/2006 12:00:00 AM"</f>
        <v>1/3/2006 12:00:00 AM</v>
      </c>
      <c r="O4976" t="s">
        <v>15255</v>
      </c>
      <c r="T4976" t="s">
        <v>15256</v>
      </c>
    </row>
    <row r="4977" spans="1:20" x14ac:dyDescent="0.25">
      <c r="A4977" t="str">
        <f>"3061612"</f>
        <v>3061612</v>
      </c>
      <c r="B4977" t="s">
        <v>15259</v>
      </c>
      <c r="C4977" t="str">
        <f>"82521562"</f>
        <v>82521562</v>
      </c>
      <c r="D4977" t="s">
        <v>15260</v>
      </c>
      <c r="E4977" t="s">
        <v>15261</v>
      </c>
      <c r="F4977" t="s">
        <v>15262</v>
      </c>
      <c r="I4977" t="s">
        <v>184</v>
      </c>
      <c r="J4977" t="s">
        <v>30</v>
      </c>
      <c r="K4977" t="s">
        <v>185</v>
      </c>
      <c r="M4977" t="s">
        <v>32</v>
      </c>
      <c r="N4977" t="str">
        <f>"10/9/2003 12:00:00 AM"</f>
        <v>10/9/2003 12:00:00 AM</v>
      </c>
      <c r="O4977" t="s">
        <v>15260</v>
      </c>
      <c r="T4977" t="s">
        <v>15261</v>
      </c>
    </row>
    <row r="4978" spans="1:20" x14ac:dyDescent="0.25">
      <c r="A4978" t="str">
        <f>"3053602"</f>
        <v>3053602</v>
      </c>
      <c r="B4978" t="s">
        <v>15263</v>
      </c>
      <c r="C4978" t="str">
        <f>"56847500"</f>
        <v>56847500</v>
      </c>
      <c r="D4978" t="s">
        <v>15264</v>
      </c>
      <c r="E4978" t="s">
        <v>15265</v>
      </c>
      <c r="F4978" t="s">
        <v>15266</v>
      </c>
      <c r="I4978" t="s">
        <v>184</v>
      </c>
      <c r="J4978" t="s">
        <v>30</v>
      </c>
      <c r="K4978" t="s">
        <v>185</v>
      </c>
      <c r="M4978" t="s">
        <v>32</v>
      </c>
      <c r="N4978" t="str">
        <f>"3/31/2004 12:00:00 AM"</f>
        <v>3/31/2004 12:00:00 AM</v>
      </c>
      <c r="O4978" t="s">
        <v>15264</v>
      </c>
      <c r="T4978" t="s">
        <v>15265</v>
      </c>
    </row>
    <row r="4979" spans="1:20" x14ac:dyDescent="0.25">
      <c r="A4979" t="str">
        <f>"3053742"</f>
        <v>3053742</v>
      </c>
      <c r="B4979" t="s">
        <v>15267</v>
      </c>
      <c r="C4979" t="str">
        <f>"56847500"</f>
        <v>56847500</v>
      </c>
      <c r="D4979" t="s">
        <v>15264</v>
      </c>
      <c r="E4979" t="s">
        <v>15265</v>
      </c>
      <c r="F4979" t="s">
        <v>15266</v>
      </c>
      <c r="I4979" t="s">
        <v>184</v>
      </c>
      <c r="J4979" t="s">
        <v>30</v>
      </c>
      <c r="K4979" t="s">
        <v>185</v>
      </c>
      <c r="M4979" t="s">
        <v>32</v>
      </c>
      <c r="N4979" t="str">
        <f>"3/31/2004 12:00:00 AM"</f>
        <v>3/31/2004 12:00:00 AM</v>
      </c>
      <c r="O4979" t="s">
        <v>15264</v>
      </c>
      <c r="T4979" t="s">
        <v>15265</v>
      </c>
    </row>
    <row r="4980" spans="1:20" x14ac:dyDescent="0.25">
      <c r="A4980" t="str">
        <f>"3053686"</f>
        <v>3053686</v>
      </c>
      <c r="B4980" t="s">
        <v>15268</v>
      </c>
      <c r="C4980" t="str">
        <f>"70706000"</f>
        <v>70706000</v>
      </c>
      <c r="D4980" t="s">
        <v>15269</v>
      </c>
      <c r="E4980" t="s">
        <v>15270</v>
      </c>
      <c r="F4980" t="s">
        <v>15271</v>
      </c>
      <c r="I4980" t="s">
        <v>184</v>
      </c>
      <c r="J4980" t="s">
        <v>30</v>
      </c>
      <c r="K4980" t="s">
        <v>15059</v>
      </c>
      <c r="M4980" t="s">
        <v>32</v>
      </c>
      <c r="N4980" t="str">
        <f>"1/25/2007 12:00:00 AM"</f>
        <v>1/25/2007 12:00:00 AM</v>
      </c>
      <c r="O4980" t="s">
        <v>15269</v>
      </c>
      <c r="T4980" t="s">
        <v>15270</v>
      </c>
    </row>
    <row r="4981" spans="1:20" x14ac:dyDescent="0.25">
      <c r="A4981" t="str">
        <f>"3051301"</f>
        <v>3051301</v>
      </c>
      <c r="B4981" t="s">
        <v>15272</v>
      </c>
      <c r="C4981" t="str">
        <f>"82526926"</f>
        <v>82526926</v>
      </c>
      <c r="D4981" t="s">
        <v>15273</v>
      </c>
      <c r="E4981" t="s">
        <v>15274</v>
      </c>
      <c r="F4981" t="s">
        <v>15275</v>
      </c>
      <c r="I4981" t="s">
        <v>29</v>
      </c>
      <c r="J4981" t="s">
        <v>30</v>
      </c>
      <c r="K4981" t="s">
        <v>31</v>
      </c>
      <c r="N4981" t="str">
        <f>"1/25/2007 12:00:00 AM"</f>
        <v>1/25/2007 12:00:00 AM</v>
      </c>
      <c r="O4981" t="s">
        <v>15273</v>
      </c>
      <c r="T4981" t="s">
        <v>15274</v>
      </c>
    </row>
    <row r="4982" spans="1:20" x14ac:dyDescent="0.25">
      <c r="A4982" t="str">
        <f>"3051203"</f>
        <v>3051203</v>
      </c>
      <c r="B4982" t="s">
        <v>15276</v>
      </c>
      <c r="C4982" t="str">
        <f>"63517250"</f>
        <v>63517250</v>
      </c>
      <c r="D4982" t="s">
        <v>15111</v>
      </c>
      <c r="E4982" t="s">
        <v>15112</v>
      </c>
      <c r="F4982" t="s">
        <v>15113</v>
      </c>
      <c r="I4982" t="s">
        <v>2589</v>
      </c>
      <c r="J4982" t="s">
        <v>30</v>
      </c>
      <c r="K4982" t="s">
        <v>11780</v>
      </c>
      <c r="M4982" t="s">
        <v>32</v>
      </c>
      <c r="N4982" t="str">
        <f>"7/8/2010 12:00:00 AM"</f>
        <v>7/8/2010 12:00:00 AM</v>
      </c>
      <c r="O4982" t="s">
        <v>15111</v>
      </c>
      <c r="T4982" t="s">
        <v>15112</v>
      </c>
    </row>
    <row r="4983" spans="1:20" x14ac:dyDescent="0.25">
      <c r="A4983" t="str">
        <f>"3050163"</f>
        <v>3050163</v>
      </c>
      <c r="B4983" t="s">
        <v>15277</v>
      </c>
      <c r="C4983" t="str">
        <f>"53787500"</f>
        <v>53787500</v>
      </c>
      <c r="D4983" t="s">
        <v>15278</v>
      </c>
      <c r="F4983" t="s">
        <v>15279</v>
      </c>
      <c r="I4983" t="s">
        <v>29</v>
      </c>
      <c r="J4983" t="s">
        <v>30</v>
      </c>
      <c r="K4983" t="s">
        <v>31</v>
      </c>
      <c r="M4983" t="s">
        <v>32</v>
      </c>
      <c r="N4983" t="str">
        <f>"3/17/2004 12:00:00 AM"</f>
        <v>3/17/2004 12:00:00 AM</v>
      </c>
      <c r="O4983" t="s">
        <v>15278</v>
      </c>
    </row>
    <row r="4984" spans="1:20" x14ac:dyDescent="0.25">
      <c r="A4984" t="str">
        <f>"3067150"</f>
        <v>3067150</v>
      </c>
      <c r="B4984" t="s">
        <v>15280</v>
      </c>
      <c r="C4984" t="str">
        <f>"17268000"</f>
        <v>17268000</v>
      </c>
      <c r="D4984" t="s">
        <v>15281</v>
      </c>
      <c r="E4984" t="s">
        <v>15282</v>
      </c>
      <c r="F4984" t="s">
        <v>15283</v>
      </c>
      <c r="I4984" t="s">
        <v>9580</v>
      </c>
      <c r="J4984" t="s">
        <v>30</v>
      </c>
      <c r="K4984" t="s">
        <v>9581</v>
      </c>
      <c r="M4984" t="s">
        <v>32</v>
      </c>
      <c r="N4984" t="str">
        <f>"6/30/2003 12:00:00 AM"</f>
        <v>6/30/2003 12:00:00 AM</v>
      </c>
      <c r="O4984" t="s">
        <v>15281</v>
      </c>
      <c r="T4984" t="s">
        <v>15282</v>
      </c>
    </row>
    <row r="4985" spans="1:20" x14ac:dyDescent="0.25">
      <c r="A4985" t="str">
        <f>"3067159"</f>
        <v>3067159</v>
      </c>
      <c r="B4985" t="s">
        <v>15284</v>
      </c>
      <c r="C4985" t="str">
        <f>"17268000"</f>
        <v>17268000</v>
      </c>
      <c r="D4985" t="s">
        <v>15281</v>
      </c>
      <c r="E4985" t="s">
        <v>15282</v>
      </c>
      <c r="F4985" t="s">
        <v>15283</v>
      </c>
      <c r="I4985" t="s">
        <v>9580</v>
      </c>
      <c r="J4985" t="s">
        <v>30</v>
      </c>
      <c r="K4985" t="s">
        <v>9581</v>
      </c>
      <c r="M4985" t="s">
        <v>32</v>
      </c>
      <c r="N4985" t="str">
        <f>"6/30/2003 12:00:00 AM"</f>
        <v>6/30/2003 12:00:00 AM</v>
      </c>
      <c r="O4985" t="s">
        <v>15281</v>
      </c>
      <c r="T4985" t="s">
        <v>15282</v>
      </c>
    </row>
    <row r="4986" spans="1:20" x14ac:dyDescent="0.25">
      <c r="A4986" t="str">
        <f>"3050162"</f>
        <v>3050162</v>
      </c>
      <c r="B4986" t="s">
        <v>15285</v>
      </c>
      <c r="C4986" t="str">
        <f>"23559750"</f>
        <v>23559750</v>
      </c>
      <c r="D4986" t="s">
        <v>15286</v>
      </c>
      <c r="F4986" t="s">
        <v>15287</v>
      </c>
      <c r="I4986" t="s">
        <v>29</v>
      </c>
      <c r="J4986" t="s">
        <v>30</v>
      </c>
      <c r="K4986" t="s">
        <v>31</v>
      </c>
      <c r="M4986" t="s">
        <v>32</v>
      </c>
      <c r="N4986" t="str">
        <f>"12/19/2008 12:00:00 AM"</f>
        <v>12/19/2008 12:00:00 AM</v>
      </c>
      <c r="O4986" t="s">
        <v>15286</v>
      </c>
    </row>
    <row r="4987" spans="1:20" x14ac:dyDescent="0.25">
      <c r="A4987" t="str">
        <f>"3055135"</f>
        <v>3055135</v>
      </c>
      <c r="B4987" t="s">
        <v>15288</v>
      </c>
      <c r="C4987" t="str">
        <f>"56136000"</f>
        <v>56136000</v>
      </c>
      <c r="D4987" t="s">
        <v>15289</v>
      </c>
      <c r="F4987" t="s">
        <v>15290</v>
      </c>
      <c r="I4987" t="s">
        <v>29</v>
      </c>
      <c r="J4987" t="s">
        <v>30</v>
      </c>
      <c r="K4987" t="s">
        <v>31</v>
      </c>
      <c r="M4987" t="s">
        <v>32</v>
      </c>
      <c r="N4987" t="str">
        <f>"2/9/2006 12:00:00 AM"</f>
        <v>2/9/2006 12:00:00 AM</v>
      </c>
      <c r="O4987" t="s">
        <v>15289</v>
      </c>
    </row>
    <row r="4988" spans="1:20" x14ac:dyDescent="0.25">
      <c r="A4988" t="str">
        <f>"3055940"</f>
        <v>3055940</v>
      </c>
      <c r="B4988" t="s">
        <v>15291</v>
      </c>
      <c r="C4988" t="str">
        <f>"56136000"</f>
        <v>56136000</v>
      </c>
      <c r="D4988" t="s">
        <v>15289</v>
      </c>
      <c r="F4988" t="s">
        <v>15290</v>
      </c>
      <c r="I4988" t="s">
        <v>29</v>
      </c>
      <c r="J4988" t="s">
        <v>30</v>
      </c>
      <c r="K4988" t="s">
        <v>31</v>
      </c>
      <c r="M4988" t="s">
        <v>32</v>
      </c>
      <c r="N4988" t="str">
        <f>"2/9/2006 12:00:00 AM"</f>
        <v>2/9/2006 12:00:00 AM</v>
      </c>
      <c r="O4988" t="s">
        <v>15289</v>
      </c>
    </row>
    <row r="4989" spans="1:20" x14ac:dyDescent="0.25">
      <c r="A4989" t="str">
        <f>"3055276"</f>
        <v>3055276</v>
      </c>
      <c r="B4989" t="s">
        <v>15292</v>
      </c>
      <c r="C4989" t="str">
        <f>"18004000"</f>
        <v>18004000</v>
      </c>
      <c r="D4989" t="s">
        <v>15293</v>
      </c>
      <c r="E4989" t="s">
        <v>15294</v>
      </c>
      <c r="F4989" t="s">
        <v>15295</v>
      </c>
      <c r="I4989" t="s">
        <v>29</v>
      </c>
      <c r="J4989" t="s">
        <v>30</v>
      </c>
      <c r="K4989" t="s">
        <v>31</v>
      </c>
      <c r="M4989" t="s">
        <v>32</v>
      </c>
      <c r="N4989" t="str">
        <f>"10/22/2003 12:00:00 AM"</f>
        <v>10/22/2003 12:00:00 AM</v>
      </c>
      <c r="O4989" t="s">
        <v>15293</v>
      </c>
      <c r="T4989" t="s">
        <v>15294</v>
      </c>
    </row>
    <row r="4990" spans="1:20" x14ac:dyDescent="0.25">
      <c r="A4990" t="str">
        <f>"3071674"</f>
        <v>3071674</v>
      </c>
      <c r="B4990" t="s">
        <v>15296</v>
      </c>
      <c r="C4990" t="str">
        <f>"18004000"</f>
        <v>18004000</v>
      </c>
      <c r="D4990" t="s">
        <v>15293</v>
      </c>
      <c r="E4990" t="s">
        <v>15294</v>
      </c>
      <c r="F4990" t="s">
        <v>15295</v>
      </c>
      <c r="I4990" t="s">
        <v>29</v>
      </c>
      <c r="J4990" t="s">
        <v>30</v>
      </c>
      <c r="K4990" t="s">
        <v>31</v>
      </c>
      <c r="M4990" t="s">
        <v>32</v>
      </c>
      <c r="N4990" t="str">
        <f>"10/22/2003 12:00:00 AM"</f>
        <v>10/22/2003 12:00:00 AM</v>
      </c>
      <c r="O4990" t="s">
        <v>15293</v>
      </c>
      <c r="T4990" t="s">
        <v>15294</v>
      </c>
    </row>
    <row r="4991" spans="1:20" x14ac:dyDescent="0.25">
      <c r="A4991" t="str">
        <f>"3055344"</f>
        <v>3055344</v>
      </c>
      <c r="B4991" t="s">
        <v>15297</v>
      </c>
      <c r="C4991" t="str">
        <f>"24138000"</f>
        <v>24138000</v>
      </c>
      <c r="D4991" t="s">
        <v>15298</v>
      </c>
      <c r="F4991" t="s">
        <v>15299</v>
      </c>
      <c r="I4991" t="s">
        <v>29</v>
      </c>
      <c r="J4991" t="s">
        <v>30</v>
      </c>
      <c r="K4991" t="s">
        <v>15300</v>
      </c>
      <c r="M4991" t="s">
        <v>32</v>
      </c>
      <c r="N4991" t="str">
        <f>"1/31/2006 12:00:00 AM"</f>
        <v>1/31/2006 12:00:00 AM</v>
      </c>
      <c r="O4991" t="s">
        <v>15298</v>
      </c>
    </row>
    <row r="4992" spans="1:20" x14ac:dyDescent="0.25">
      <c r="A4992" t="str">
        <f>"3054725"</f>
        <v>3054725</v>
      </c>
      <c r="B4992" t="s">
        <v>15301</v>
      </c>
      <c r="C4992" t="str">
        <f>"24138000"</f>
        <v>24138000</v>
      </c>
      <c r="D4992" t="s">
        <v>15298</v>
      </c>
      <c r="F4992" t="s">
        <v>15299</v>
      </c>
      <c r="I4992" t="s">
        <v>29</v>
      </c>
      <c r="J4992" t="s">
        <v>30</v>
      </c>
      <c r="K4992" t="s">
        <v>15300</v>
      </c>
      <c r="M4992" t="s">
        <v>32</v>
      </c>
      <c r="N4992" t="str">
        <f>"1/31/2006 12:00:00 AM"</f>
        <v>1/31/2006 12:00:00 AM</v>
      </c>
      <c r="O4992" t="s">
        <v>15298</v>
      </c>
    </row>
    <row r="4993" spans="1:20" x14ac:dyDescent="0.25">
      <c r="A4993" t="str">
        <f>"3054947"</f>
        <v>3054947</v>
      </c>
      <c r="B4993" t="s">
        <v>15302</v>
      </c>
      <c r="C4993" t="str">
        <f>"24138000"</f>
        <v>24138000</v>
      </c>
      <c r="D4993" t="s">
        <v>15298</v>
      </c>
      <c r="F4993" t="s">
        <v>15299</v>
      </c>
      <c r="I4993" t="s">
        <v>29</v>
      </c>
      <c r="J4993" t="s">
        <v>30</v>
      </c>
      <c r="K4993" t="s">
        <v>15300</v>
      </c>
      <c r="M4993" t="s">
        <v>32</v>
      </c>
      <c r="N4993" t="str">
        <f>"1/31/2006 12:00:00 AM"</f>
        <v>1/31/2006 12:00:00 AM</v>
      </c>
      <c r="O4993" t="s">
        <v>15298</v>
      </c>
    </row>
    <row r="4994" spans="1:20" x14ac:dyDescent="0.25">
      <c r="A4994" t="str">
        <f>"3054987"</f>
        <v>3054987</v>
      </c>
      <c r="B4994" t="s">
        <v>15303</v>
      </c>
      <c r="C4994" t="str">
        <f>"24138000"</f>
        <v>24138000</v>
      </c>
      <c r="D4994" t="s">
        <v>15298</v>
      </c>
      <c r="F4994" t="s">
        <v>15299</v>
      </c>
      <c r="I4994" t="s">
        <v>29</v>
      </c>
      <c r="J4994" t="s">
        <v>30</v>
      </c>
      <c r="K4994" t="s">
        <v>15300</v>
      </c>
      <c r="M4994" t="s">
        <v>32</v>
      </c>
      <c r="N4994" t="str">
        <f>"1/31/2006 12:00:00 AM"</f>
        <v>1/31/2006 12:00:00 AM</v>
      </c>
      <c r="O4994" t="s">
        <v>15298</v>
      </c>
    </row>
    <row r="4995" spans="1:20" x14ac:dyDescent="0.25">
      <c r="A4995" t="str">
        <f>"3054358"</f>
        <v>3054358</v>
      </c>
      <c r="B4995" t="s">
        <v>15304</v>
      </c>
      <c r="C4995" t="str">
        <f>"50533000"</f>
        <v>50533000</v>
      </c>
      <c r="D4995" t="s">
        <v>15305</v>
      </c>
      <c r="E4995" t="s">
        <v>15306</v>
      </c>
      <c r="F4995" t="s">
        <v>15307</v>
      </c>
      <c r="I4995" t="s">
        <v>29</v>
      </c>
      <c r="J4995" t="s">
        <v>30</v>
      </c>
      <c r="K4995" t="s">
        <v>15308</v>
      </c>
      <c r="M4995" t="s">
        <v>32</v>
      </c>
      <c r="N4995" t="str">
        <f>"2/11/2010 12:00:00 AM"</f>
        <v>2/11/2010 12:00:00 AM</v>
      </c>
      <c r="O4995" t="s">
        <v>15305</v>
      </c>
      <c r="T4995" t="s">
        <v>15306</v>
      </c>
    </row>
    <row r="4996" spans="1:20" x14ac:dyDescent="0.25">
      <c r="A4996" t="str">
        <f>"3054071"</f>
        <v>3054071</v>
      </c>
      <c r="B4996" t="s">
        <v>15309</v>
      </c>
      <c r="C4996" t="str">
        <f>"50533000"</f>
        <v>50533000</v>
      </c>
      <c r="D4996" t="s">
        <v>15305</v>
      </c>
      <c r="E4996" t="s">
        <v>15306</v>
      </c>
      <c r="F4996" t="s">
        <v>15307</v>
      </c>
      <c r="I4996" t="s">
        <v>29</v>
      </c>
      <c r="J4996" t="s">
        <v>30</v>
      </c>
      <c r="K4996" t="s">
        <v>15308</v>
      </c>
      <c r="M4996" t="s">
        <v>32</v>
      </c>
      <c r="N4996" t="str">
        <f>"2/11/2010 12:00:00 AM"</f>
        <v>2/11/2010 12:00:00 AM</v>
      </c>
      <c r="O4996" t="s">
        <v>15305</v>
      </c>
      <c r="T4996" t="s">
        <v>15306</v>
      </c>
    </row>
    <row r="4997" spans="1:20" x14ac:dyDescent="0.25">
      <c r="A4997" t="str">
        <f>"3054103"</f>
        <v>3054103</v>
      </c>
      <c r="B4997" t="s">
        <v>15310</v>
      </c>
      <c r="C4997" t="str">
        <f>"50533000"</f>
        <v>50533000</v>
      </c>
      <c r="D4997" t="s">
        <v>15305</v>
      </c>
      <c r="E4997" t="s">
        <v>15306</v>
      </c>
      <c r="F4997" t="s">
        <v>15307</v>
      </c>
      <c r="I4997" t="s">
        <v>29</v>
      </c>
      <c r="J4997" t="s">
        <v>30</v>
      </c>
      <c r="K4997" t="s">
        <v>15308</v>
      </c>
      <c r="M4997" t="s">
        <v>32</v>
      </c>
      <c r="N4997" t="str">
        <f>"2/11/2010 12:00:00 AM"</f>
        <v>2/11/2010 12:00:00 AM</v>
      </c>
      <c r="O4997" t="s">
        <v>15305</v>
      </c>
      <c r="T4997" t="s">
        <v>15306</v>
      </c>
    </row>
    <row r="4998" spans="1:20" x14ac:dyDescent="0.25">
      <c r="A4998" t="str">
        <f>"3054107"</f>
        <v>3054107</v>
      </c>
      <c r="B4998" t="s">
        <v>15311</v>
      </c>
      <c r="C4998" t="str">
        <f>"50533000"</f>
        <v>50533000</v>
      </c>
      <c r="D4998" t="s">
        <v>15305</v>
      </c>
      <c r="E4998" t="s">
        <v>15306</v>
      </c>
      <c r="F4998" t="s">
        <v>15307</v>
      </c>
      <c r="I4998" t="s">
        <v>29</v>
      </c>
      <c r="J4998" t="s">
        <v>30</v>
      </c>
      <c r="K4998" t="s">
        <v>15308</v>
      </c>
      <c r="M4998" t="s">
        <v>32</v>
      </c>
      <c r="N4998" t="str">
        <f>"2/11/2010 12:00:00 AM"</f>
        <v>2/11/2010 12:00:00 AM</v>
      </c>
      <c r="O4998" t="s">
        <v>15305</v>
      </c>
      <c r="T4998" t="s">
        <v>15306</v>
      </c>
    </row>
    <row r="4999" spans="1:20" x14ac:dyDescent="0.25">
      <c r="A4999" t="str">
        <f>"3078739"</f>
        <v>3078739</v>
      </c>
      <c r="B4999" t="s">
        <v>15312</v>
      </c>
      <c r="C4999" t="str">
        <f>"50533000"</f>
        <v>50533000</v>
      </c>
      <c r="D4999" t="s">
        <v>15305</v>
      </c>
      <c r="E4999" t="s">
        <v>15306</v>
      </c>
      <c r="F4999" t="s">
        <v>15307</v>
      </c>
      <c r="I4999" t="s">
        <v>29</v>
      </c>
      <c r="J4999" t="s">
        <v>30</v>
      </c>
      <c r="K4999" t="s">
        <v>15308</v>
      </c>
      <c r="M4999" t="s">
        <v>32</v>
      </c>
      <c r="N4999" t="str">
        <f>"2/11/2010 12:00:00 AM"</f>
        <v>2/11/2010 12:00:00 AM</v>
      </c>
      <c r="O4999" t="s">
        <v>15305</v>
      </c>
      <c r="T4999" t="s">
        <v>15306</v>
      </c>
    </row>
    <row r="5000" spans="1:20" x14ac:dyDescent="0.25">
      <c r="A5000" t="str">
        <f>"3054021"</f>
        <v>3054021</v>
      </c>
      <c r="B5000" t="s">
        <v>15313</v>
      </c>
      <c r="C5000" t="str">
        <f>"24612000"</f>
        <v>24612000</v>
      </c>
      <c r="D5000" t="s">
        <v>15314</v>
      </c>
      <c r="E5000" t="s">
        <v>15315</v>
      </c>
      <c r="F5000" t="s">
        <v>15316</v>
      </c>
      <c r="I5000" t="s">
        <v>29</v>
      </c>
      <c r="J5000" t="s">
        <v>30</v>
      </c>
      <c r="K5000" t="s">
        <v>31</v>
      </c>
      <c r="M5000" t="s">
        <v>32</v>
      </c>
      <c r="N5000" t="str">
        <f>"8/14/2003 12:00:00 AM"</f>
        <v>8/14/2003 12:00:00 AM</v>
      </c>
      <c r="O5000" t="s">
        <v>15314</v>
      </c>
      <c r="T5000" t="s">
        <v>15315</v>
      </c>
    </row>
    <row r="5001" spans="1:20" x14ac:dyDescent="0.25">
      <c r="A5001" t="str">
        <f>"3054359"</f>
        <v>3054359</v>
      </c>
      <c r="B5001" t="s">
        <v>15317</v>
      </c>
      <c r="C5001" t="str">
        <f>"24612000"</f>
        <v>24612000</v>
      </c>
      <c r="D5001" t="s">
        <v>15314</v>
      </c>
      <c r="E5001" t="s">
        <v>15315</v>
      </c>
      <c r="F5001" t="s">
        <v>15316</v>
      </c>
      <c r="I5001" t="s">
        <v>29</v>
      </c>
      <c r="J5001" t="s">
        <v>30</v>
      </c>
      <c r="K5001" t="s">
        <v>31</v>
      </c>
      <c r="M5001" t="s">
        <v>32</v>
      </c>
      <c r="N5001" t="str">
        <f>"8/14/2003 12:00:00 AM"</f>
        <v>8/14/2003 12:00:00 AM</v>
      </c>
      <c r="O5001" t="s">
        <v>15314</v>
      </c>
      <c r="T5001" t="s">
        <v>15315</v>
      </c>
    </row>
    <row r="5002" spans="1:20" x14ac:dyDescent="0.25">
      <c r="A5002" t="str">
        <f>"3054072"</f>
        <v>3054072</v>
      </c>
      <c r="B5002" t="s">
        <v>15318</v>
      </c>
      <c r="C5002" t="str">
        <f>"24605000"</f>
        <v>24605000</v>
      </c>
      <c r="D5002" t="s">
        <v>15319</v>
      </c>
      <c r="F5002" t="s">
        <v>15316</v>
      </c>
      <c r="I5002" t="s">
        <v>29</v>
      </c>
      <c r="J5002" t="s">
        <v>30</v>
      </c>
      <c r="K5002" t="s">
        <v>31</v>
      </c>
      <c r="M5002" t="s">
        <v>32</v>
      </c>
      <c r="N5002" t="str">
        <f>"12/7/2005 12:00:00 AM"</f>
        <v>12/7/2005 12:00:00 AM</v>
      </c>
      <c r="O5002" t="s">
        <v>15319</v>
      </c>
    </row>
    <row r="5003" spans="1:20" x14ac:dyDescent="0.25">
      <c r="A5003" t="str">
        <f>"3078740"</f>
        <v>3078740</v>
      </c>
      <c r="B5003" t="s">
        <v>15320</v>
      </c>
      <c r="C5003" t="str">
        <f>"24605000"</f>
        <v>24605000</v>
      </c>
      <c r="D5003" t="s">
        <v>15319</v>
      </c>
      <c r="F5003" t="s">
        <v>15316</v>
      </c>
      <c r="I5003" t="s">
        <v>29</v>
      </c>
      <c r="J5003" t="s">
        <v>30</v>
      </c>
      <c r="K5003" t="s">
        <v>31</v>
      </c>
      <c r="M5003" t="s">
        <v>32</v>
      </c>
      <c r="N5003" t="str">
        <f>"12/7/2005 12:00:00 AM"</f>
        <v>12/7/2005 12:00:00 AM</v>
      </c>
      <c r="O5003" t="s">
        <v>15319</v>
      </c>
    </row>
    <row r="5004" spans="1:20" x14ac:dyDescent="0.25">
      <c r="A5004" t="str">
        <f>"3078741"</f>
        <v>3078741</v>
      </c>
      <c r="B5004" t="s">
        <v>15321</v>
      </c>
      <c r="C5004" t="str">
        <f>"24605000"</f>
        <v>24605000</v>
      </c>
      <c r="D5004" t="s">
        <v>15319</v>
      </c>
      <c r="F5004" t="s">
        <v>15316</v>
      </c>
      <c r="I5004" t="s">
        <v>29</v>
      </c>
      <c r="J5004" t="s">
        <v>30</v>
      </c>
      <c r="K5004" t="s">
        <v>31</v>
      </c>
      <c r="M5004" t="s">
        <v>32</v>
      </c>
      <c r="N5004" t="str">
        <f>"12/7/2005 12:00:00 AM"</f>
        <v>12/7/2005 12:00:00 AM</v>
      </c>
      <c r="O5004" t="s">
        <v>15319</v>
      </c>
    </row>
    <row r="5005" spans="1:20" x14ac:dyDescent="0.25">
      <c r="A5005" t="str">
        <f>"3054090"</f>
        <v>3054090</v>
      </c>
      <c r="B5005" t="s">
        <v>15322</v>
      </c>
      <c r="C5005" t="str">
        <f>"51026000"</f>
        <v>51026000</v>
      </c>
      <c r="D5005" t="s">
        <v>15323</v>
      </c>
      <c r="E5005" t="s">
        <v>15324</v>
      </c>
      <c r="F5005" t="s">
        <v>15325</v>
      </c>
      <c r="I5005" t="s">
        <v>29</v>
      </c>
      <c r="J5005" t="s">
        <v>30</v>
      </c>
      <c r="K5005" t="s">
        <v>31</v>
      </c>
      <c r="M5005" t="s">
        <v>32</v>
      </c>
      <c r="N5005" t="str">
        <f>"2/23/2004 12:00:00 AM"</f>
        <v>2/23/2004 12:00:00 AM</v>
      </c>
      <c r="O5005" t="s">
        <v>15323</v>
      </c>
      <c r="T5005" t="s">
        <v>15324</v>
      </c>
    </row>
    <row r="5006" spans="1:20" x14ac:dyDescent="0.25">
      <c r="A5006" t="str">
        <f>"3054883"</f>
        <v>3054883</v>
      </c>
      <c r="B5006" t="s">
        <v>15326</v>
      </c>
      <c r="C5006" t="str">
        <f>"51026000"</f>
        <v>51026000</v>
      </c>
      <c r="D5006" t="s">
        <v>15323</v>
      </c>
      <c r="E5006" t="s">
        <v>15324</v>
      </c>
      <c r="F5006" t="s">
        <v>15325</v>
      </c>
      <c r="I5006" t="s">
        <v>29</v>
      </c>
      <c r="J5006" t="s">
        <v>30</v>
      </c>
      <c r="K5006" t="s">
        <v>31</v>
      </c>
      <c r="M5006" t="s">
        <v>32</v>
      </c>
      <c r="N5006" t="str">
        <f>"2/23/2004 12:00:00 AM"</f>
        <v>2/23/2004 12:00:00 AM</v>
      </c>
      <c r="O5006" t="s">
        <v>15323</v>
      </c>
      <c r="T5006" t="s">
        <v>15324</v>
      </c>
    </row>
    <row r="5007" spans="1:20" x14ac:dyDescent="0.25">
      <c r="A5007" t="str">
        <f>"3055515"</f>
        <v>3055515</v>
      </c>
      <c r="B5007" t="s">
        <v>15327</v>
      </c>
      <c r="C5007" t="str">
        <f>"51026000"</f>
        <v>51026000</v>
      </c>
      <c r="D5007" t="s">
        <v>15323</v>
      </c>
      <c r="E5007" t="s">
        <v>15324</v>
      </c>
      <c r="F5007" t="s">
        <v>15325</v>
      </c>
      <c r="I5007" t="s">
        <v>29</v>
      </c>
      <c r="J5007" t="s">
        <v>30</v>
      </c>
      <c r="K5007" t="s">
        <v>31</v>
      </c>
      <c r="M5007" t="s">
        <v>32</v>
      </c>
      <c r="N5007" t="str">
        <f>"2/23/2004 12:00:00 AM"</f>
        <v>2/23/2004 12:00:00 AM</v>
      </c>
      <c r="O5007" t="s">
        <v>15323</v>
      </c>
      <c r="T5007" t="s">
        <v>15324</v>
      </c>
    </row>
    <row r="5008" spans="1:20" x14ac:dyDescent="0.25">
      <c r="A5008" t="str">
        <f>"3055503"</f>
        <v>3055503</v>
      </c>
      <c r="B5008" t="s">
        <v>15328</v>
      </c>
      <c r="C5008" t="str">
        <f>"82523953"</f>
        <v>82523953</v>
      </c>
      <c r="D5008" t="s">
        <v>15329</v>
      </c>
      <c r="E5008" t="s">
        <v>15330</v>
      </c>
      <c r="F5008" t="s">
        <v>15331</v>
      </c>
      <c r="I5008" t="s">
        <v>29</v>
      </c>
      <c r="J5008" t="s">
        <v>30</v>
      </c>
      <c r="K5008" t="s">
        <v>15332</v>
      </c>
      <c r="M5008" t="s">
        <v>32</v>
      </c>
      <c r="N5008" t="str">
        <f>"1/14/2010 12:00:00 AM"</f>
        <v>1/14/2010 12:00:00 AM</v>
      </c>
      <c r="O5008" t="s">
        <v>15329</v>
      </c>
      <c r="T5008" t="s">
        <v>15330</v>
      </c>
    </row>
    <row r="5009" spans="1:20" x14ac:dyDescent="0.25">
      <c r="A5009" t="str">
        <f>"3055545"</f>
        <v>3055545</v>
      </c>
      <c r="B5009" t="s">
        <v>15333</v>
      </c>
      <c r="C5009" t="str">
        <f>"69905750"</f>
        <v>69905750</v>
      </c>
      <c r="D5009" t="s">
        <v>15334</v>
      </c>
      <c r="E5009" t="s">
        <v>15335</v>
      </c>
      <c r="F5009" t="s">
        <v>15336</v>
      </c>
      <c r="I5009" t="s">
        <v>9580</v>
      </c>
      <c r="J5009" t="s">
        <v>30</v>
      </c>
      <c r="K5009" t="s">
        <v>15337</v>
      </c>
      <c r="M5009" t="s">
        <v>32</v>
      </c>
      <c r="N5009" t="str">
        <f>"1/6/2010 12:00:00 AM"</f>
        <v>1/6/2010 12:00:00 AM</v>
      </c>
      <c r="O5009" t="s">
        <v>15334</v>
      </c>
      <c r="T5009" t="s">
        <v>15335</v>
      </c>
    </row>
    <row r="5010" spans="1:20" x14ac:dyDescent="0.25">
      <c r="A5010" t="str">
        <f>"3055505"</f>
        <v>3055505</v>
      </c>
      <c r="B5010" t="s">
        <v>15338</v>
      </c>
      <c r="C5010" t="str">
        <f>"82529279"</f>
        <v>82529279</v>
      </c>
      <c r="D5010" t="s">
        <v>15339</v>
      </c>
      <c r="F5010" t="s">
        <v>15340</v>
      </c>
      <c r="I5010" t="s">
        <v>29</v>
      </c>
      <c r="J5010" t="s">
        <v>30</v>
      </c>
      <c r="K5010" t="s">
        <v>31</v>
      </c>
      <c r="M5010" t="s">
        <v>32</v>
      </c>
      <c r="N5010" t="str">
        <f>"3/11/2008 12:00:00 AM"</f>
        <v>3/11/2008 12:00:00 AM</v>
      </c>
      <c r="O5010" t="s">
        <v>15339</v>
      </c>
    </row>
    <row r="5011" spans="1:20" x14ac:dyDescent="0.25">
      <c r="A5011" t="str">
        <f>"3054750"</f>
        <v>3054750</v>
      </c>
      <c r="B5011" t="s">
        <v>15341</v>
      </c>
      <c r="C5011" t="str">
        <f>"82529279"</f>
        <v>82529279</v>
      </c>
      <c r="D5011" t="s">
        <v>15339</v>
      </c>
      <c r="F5011" t="s">
        <v>15340</v>
      </c>
      <c r="I5011" t="s">
        <v>29</v>
      </c>
      <c r="J5011" t="s">
        <v>30</v>
      </c>
      <c r="K5011" t="s">
        <v>31</v>
      </c>
      <c r="M5011" t="s">
        <v>32</v>
      </c>
      <c r="N5011" t="str">
        <f>"3/11/2008 12:00:00 AM"</f>
        <v>3/11/2008 12:00:00 AM</v>
      </c>
      <c r="O5011" t="s">
        <v>15339</v>
      </c>
    </row>
    <row r="5012" spans="1:20" x14ac:dyDescent="0.25">
      <c r="A5012" t="str">
        <f>"3055474"</f>
        <v>3055474</v>
      </c>
      <c r="B5012" t="s">
        <v>15342</v>
      </c>
      <c r="C5012" t="str">
        <f>"79292000"</f>
        <v>79292000</v>
      </c>
      <c r="D5012" t="s">
        <v>15343</v>
      </c>
      <c r="E5012" t="s">
        <v>15344</v>
      </c>
      <c r="F5012" t="s">
        <v>15345</v>
      </c>
      <c r="I5012" t="s">
        <v>29</v>
      </c>
      <c r="J5012" t="s">
        <v>30</v>
      </c>
      <c r="K5012" t="s">
        <v>15346</v>
      </c>
      <c r="M5012" t="s">
        <v>32</v>
      </c>
      <c r="N5012" t="str">
        <f>"1/21/2010 12:00:00 AM"</f>
        <v>1/21/2010 12:00:00 AM</v>
      </c>
      <c r="O5012" t="s">
        <v>15343</v>
      </c>
      <c r="T5012" t="s">
        <v>15344</v>
      </c>
    </row>
    <row r="5013" spans="1:20" x14ac:dyDescent="0.25">
      <c r="A5013" t="str">
        <f>"3050085"</f>
        <v>3050085</v>
      </c>
      <c r="B5013" t="s">
        <v>15347</v>
      </c>
      <c r="C5013" t="str">
        <f>"78140000"</f>
        <v>78140000</v>
      </c>
      <c r="D5013" t="s">
        <v>15348</v>
      </c>
      <c r="E5013" t="s">
        <v>15349</v>
      </c>
      <c r="F5013" t="s">
        <v>15350</v>
      </c>
      <c r="I5013" t="s">
        <v>29</v>
      </c>
      <c r="J5013" t="s">
        <v>30</v>
      </c>
      <c r="K5013" t="s">
        <v>31</v>
      </c>
      <c r="M5013" t="s">
        <v>32</v>
      </c>
      <c r="N5013" t="str">
        <f>"6/28/2004 12:00:00 AM"</f>
        <v>6/28/2004 12:00:00 AM</v>
      </c>
      <c r="O5013" t="s">
        <v>15348</v>
      </c>
      <c r="T5013" t="s">
        <v>15349</v>
      </c>
    </row>
    <row r="5014" spans="1:20" x14ac:dyDescent="0.25">
      <c r="A5014" t="str">
        <f>"3053985"</f>
        <v>3053985</v>
      </c>
      <c r="B5014" t="s">
        <v>15351</v>
      </c>
      <c r="C5014" t="str">
        <f>"82529351"</f>
        <v>82529351</v>
      </c>
      <c r="D5014" t="s">
        <v>15352</v>
      </c>
      <c r="E5014" t="s">
        <v>15353</v>
      </c>
      <c r="F5014" t="s">
        <v>15354</v>
      </c>
      <c r="I5014" t="s">
        <v>29</v>
      </c>
      <c r="J5014" t="s">
        <v>30</v>
      </c>
      <c r="K5014" t="s">
        <v>31</v>
      </c>
      <c r="M5014" t="s">
        <v>32</v>
      </c>
      <c r="N5014" t="str">
        <f>"1/8/2009 12:00:00 AM"</f>
        <v>1/8/2009 12:00:00 AM</v>
      </c>
      <c r="O5014" t="s">
        <v>15352</v>
      </c>
      <c r="T5014" t="s">
        <v>15353</v>
      </c>
    </row>
    <row r="5015" spans="1:20" x14ac:dyDescent="0.25">
      <c r="A5015" t="str">
        <f>"3059262"</f>
        <v>3059262</v>
      </c>
      <c r="B5015" t="s">
        <v>15355</v>
      </c>
      <c r="C5015" t="str">
        <f>"82526299"</f>
        <v>82526299</v>
      </c>
      <c r="D5015" t="s">
        <v>15356</v>
      </c>
      <c r="E5015" t="s">
        <v>15357</v>
      </c>
      <c r="F5015" t="s">
        <v>15358</v>
      </c>
      <c r="I5015" t="s">
        <v>29</v>
      </c>
      <c r="J5015" t="s">
        <v>30</v>
      </c>
      <c r="K5015" t="s">
        <v>31</v>
      </c>
      <c r="M5015" t="s">
        <v>32</v>
      </c>
      <c r="N5015" t="str">
        <f>"1/25/2007 12:00:00 AM"</f>
        <v>1/25/2007 12:00:00 AM</v>
      </c>
      <c r="O5015" t="s">
        <v>15356</v>
      </c>
      <c r="T5015" t="s">
        <v>15357</v>
      </c>
    </row>
    <row r="5016" spans="1:20" x14ac:dyDescent="0.25">
      <c r="A5016" t="str">
        <f>"3053639"</f>
        <v>3053639</v>
      </c>
      <c r="B5016" t="s">
        <v>15359</v>
      </c>
      <c r="C5016" t="str">
        <f>"31314000"</f>
        <v>31314000</v>
      </c>
      <c r="D5016" t="s">
        <v>15360</v>
      </c>
      <c r="E5016" t="s">
        <v>15361</v>
      </c>
      <c r="F5016" t="s">
        <v>15127</v>
      </c>
      <c r="I5016" t="s">
        <v>29</v>
      </c>
      <c r="J5016" t="s">
        <v>30</v>
      </c>
      <c r="K5016" t="s">
        <v>31</v>
      </c>
      <c r="M5016" t="s">
        <v>32</v>
      </c>
      <c r="N5016" t="str">
        <f>"2/9/2010 12:00:00 AM"</f>
        <v>2/9/2010 12:00:00 AM</v>
      </c>
      <c r="O5016" t="s">
        <v>15360</v>
      </c>
      <c r="T5016" t="s">
        <v>15361</v>
      </c>
    </row>
    <row r="5017" spans="1:20" x14ac:dyDescent="0.25">
      <c r="A5017" t="str">
        <f>"3055625"</f>
        <v>3055625</v>
      </c>
      <c r="B5017" t="s">
        <v>15362</v>
      </c>
      <c r="C5017" t="str">
        <f>"79772000"</f>
        <v>79772000</v>
      </c>
      <c r="D5017" t="s">
        <v>15363</v>
      </c>
      <c r="E5017" t="s">
        <v>15364</v>
      </c>
      <c r="F5017" t="s">
        <v>15365</v>
      </c>
      <c r="I5017" t="s">
        <v>29</v>
      </c>
      <c r="J5017" t="s">
        <v>30</v>
      </c>
      <c r="K5017" t="s">
        <v>15366</v>
      </c>
      <c r="M5017" t="s">
        <v>32</v>
      </c>
      <c r="N5017" t="str">
        <f>"1/15/2010 12:00:00 AM"</f>
        <v>1/15/2010 12:00:00 AM</v>
      </c>
      <c r="O5017" t="s">
        <v>15363</v>
      </c>
      <c r="T5017" t="s">
        <v>15364</v>
      </c>
    </row>
    <row r="5018" spans="1:20" x14ac:dyDescent="0.25">
      <c r="A5018" t="str">
        <f>"3055207"</f>
        <v>3055207</v>
      </c>
      <c r="B5018" t="s">
        <v>15367</v>
      </c>
      <c r="C5018" t="str">
        <f>"74164000"</f>
        <v>74164000</v>
      </c>
      <c r="D5018" t="s">
        <v>15368</v>
      </c>
      <c r="E5018" t="s">
        <v>15369</v>
      </c>
      <c r="F5018" t="s">
        <v>15370</v>
      </c>
      <c r="I5018" t="s">
        <v>29</v>
      </c>
      <c r="J5018" t="s">
        <v>30</v>
      </c>
      <c r="K5018" t="s">
        <v>15371</v>
      </c>
      <c r="M5018" t="s">
        <v>32</v>
      </c>
      <c r="N5018" t="str">
        <f>"2/13/2007 12:00:00 AM"</f>
        <v>2/13/2007 12:00:00 AM</v>
      </c>
      <c r="O5018" t="s">
        <v>15368</v>
      </c>
      <c r="T5018" t="s">
        <v>15369</v>
      </c>
    </row>
    <row r="5019" spans="1:20" x14ac:dyDescent="0.25">
      <c r="A5019" t="str">
        <f>"3055293"</f>
        <v>3055293</v>
      </c>
      <c r="B5019" t="s">
        <v>15372</v>
      </c>
      <c r="C5019" t="str">
        <f>"58578000"</f>
        <v>58578000</v>
      </c>
      <c r="D5019" t="s">
        <v>15373</v>
      </c>
      <c r="E5019" t="s">
        <v>15374</v>
      </c>
      <c r="F5019" t="s">
        <v>15375</v>
      </c>
      <c r="I5019" t="s">
        <v>29</v>
      </c>
      <c r="J5019" t="s">
        <v>30</v>
      </c>
      <c r="K5019" t="s">
        <v>31</v>
      </c>
      <c r="M5019" t="s">
        <v>32</v>
      </c>
      <c r="N5019" t="str">
        <f>"4/5/2004 12:00:00 AM"</f>
        <v>4/5/2004 12:00:00 AM</v>
      </c>
      <c r="O5019" t="s">
        <v>15373</v>
      </c>
      <c r="T5019" t="s">
        <v>15374</v>
      </c>
    </row>
    <row r="5020" spans="1:20" x14ac:dyDescent="0.25">
      <c r="A5020" t="str">
        <f>"3055294"</f>
        <v>3055294</v>
      </c>
      <c r="B5020" t="s">
        <v>15376</v>
      </c>
      <c r="C5020" t="str">
        <f>"41550500"</f>
        <v>41550500</v>
      </c>
      <c r="D5020" t="s">
        <v>15377</v>
      </c>
      <c r="E5020" t="s">
        <v>15378</v>
      </c>
      <c r="F5020" t="s">
        <v>15379</v>
      </c>
      <c r="I5020" t="s">
        <v>29</v>
      </c>
      <c r="J5020" t="s">
        <v>30</v>
      </c>
      <c r="K5020" t="s">
        <v>31</v>
      </c>
      <c r="M5020" t="s">
        <v>32</v>
      </c>
      <c r="N5020" t="str">
        <f>"11/19/2003 12:00:00 AM"</f>
        <v>11/19/2003 12:00:00 AM</v>
      </c>
      <c r="O5020" t="s">
        <v>15377</v>
      </c>
      <c r="T5020" t="s">
        <v>15378</v>
      </c>
    </row>
    <row r="5021" spans="1:20" x14ac:dyDescent="0.25">
      <c r="A5021" t="str">
        <f>"3067689"</f>
        <v>3067689</v>
      </c>
      <c r="B5021" t="s">
        <v>15380</v>
      </c>
      <c r="C5021" t="str">
        <f>"50750000"</f>
        <v>50750000</v>
      </c>
      <c r="D5021" t="s">
        <v>15381</v>
      </c>
      <c r="F5021" t="s">
        <v>15382</v>
      </c>
      <c r="I5021" t="s">
        <v>29</v>
      </c>
      <c r="J5021" t="s">
        <v>30</v>
      </c>
      <c r="K5021" t="s">
        <v>31</v>
      </c>
      <c r="M5021" t="s">
        <v>32</v>
      </c>
      <c r="N5021" t="str">
        <f>"3/19/2008 12:00:00 AM"</f>
        <v>3/19/2008 12:00:00 AM</v>
      </c>
      <c r="O5021" t="s">
        <v>15381</v>
      </c>
    </row>
    <row r="5022" spans="1:20" x14ac:dyDescent="0.25">
      <c r="A5022" t="str">
        <f>"3055341"</f>
        <v>3055341</v>
      </c>
      <c r="B5022" t="s">
        <v>15383</v>
      </c>
      <c r="C5022" t="str">
        <f>"82524140"</f>
        <v>82524140</v>
      </c>
      <c r="D5022" t="s">
        <v>15384</v>
      </c>
      <c r="E5022" t="s">
        <v>15385</v>
      </c>
      <c r="F5022" t="s">
        <v>15386</v>
      </c>
      <c r="I5022" t="s">
        <v>29</v>
      </c>
      <c r="J5022" t="s">
        <v>30</v>
      </c>
      <c r="K5022" t="s">
        <v>31</v>
      </c>
      <c r="M5022" t="s">
        <v>32</v>
      </c>
      <c r="N5022" t="str">
        <f>"6/13/2006 12:00:00 AM"</f>
        <v>6/13/2006 12:00:00 AM</v>
      </c>
      <c r="O5022" t="s">
        <v>15384</v>
      </c>
      <c r="T5022" t="s">
        <v>15385</v>
      </c>
    </row>
    <row r="5023" spans="1:20" x14ac:dyDescent="0.25">
      <c r="A5023" t="str">
        <f>"3055183"</f>
        <v>3055183</v>
      </c>
      <c r="B5023" t="s">
        <v>15387</v>
      </c>
      <c r="C5023" t="str">
        <f>"82523725"</f>
        <v>82523725</v>
      </c>
      <c r="D5023" t="s">
        <v>9560</v>
      </c>
      <c r="F5023" t="s">
        <v>9561</v>
      </c>
      <c r="I5023" t="s">
        <v>29</v>
      </c>
      <c r="J5023" t="s">
        <v>30</v>
      </c>
      <c r="K5023" t="s">
        <v>31</v>
      </c>
      <c r="M5023" t="s">
        <v>32</v>
      </c>
      <c r="N5023" t="str">
        <f>"1/14/2005 12:00:00 AM"</f>
        <v>1/14/2005 12:00:00 AM</v>
      </c>
      <c r="O5023" t="s">
        <v>9560</v>
      </c>
    </row>
    <row r="5024" spans="1:20" x14ac:dyDescent="0.25">
      <c r="A5024" t="str">
        <f>"3054391"</f>
        <v>3054391</v>
      </c>
      <c r="B5024" t="s">
        <v>15388</v>
      </c>
      <c r="C5024" t="str">
        <f>"82523725"</f>
        <v>82523725</v>
      </c>
      <c r="D5024" t="s">
        <v>9560</v>
      </c>
      <c r="F5024" t="s">
        <v>9561</v>
      </c>
      <c r="I5024" t="s">
        <v>29</v>
      </c>
      <c r="J5024" t="s">
        <v>30</v>
      </c>
      <c r="K5024" t="s">
        <v>31</v>
      </c>
      <c r="M5024" t="s">
        <v>32</v>
      </c>
      <c r="N5024" t="str">
        <f>"1/14/2005 12:00:00 AM"</f>
        <v>1/14/2005 12:00:00 AM</v>
      </c>
      <c r="O5024" t="s">
        <v>9560</v>
      </c>
    </row>
    <row r="5025" spans="1:20" x14ac:dyDescent="0.25">
      <c r="A5025" t="str">
        <f>"3078752"</f>
        <v>3078752</v>
      </c>
      <c r="B5025" t="s">
        <v>15389</v>
      </c>
      <c r="C5025" t="str">
        <f>"82523725"</f>
        <v>82523725</v>
      </c>
      <c r="D5025" t="s">
        <v>9560</v>
      </c>
      <c r="F5025" t="s">
        <v>9561</v>
      </c>
      <c r="I5025" t="s">
        <v>29</v>
      </c>
      <c r="J5025" t="s">
        <v>30</v>
      </c>
      <c r="K5025" t="s">
        <v>31</v>
      </c>
      <c r="M5025" t="s">
        <v>32</v>
      </c>
      <c r="N5025" t="str">
        <f>"1/14/2005 12:00:00 AM"</f>
        <v>1/14/2005 12:00:00 AM</v>
      </c>
      <c r="O5025" t="s">
        <v>9560</v>
      </c>
    </row>
    <row r="5026" spans="1:20" x14ac:dyDescent="0.25">
      <c r="A5026" t="str">
        <f>"3057587"</f>
        <v>3057587</v>
      </c>
      <c r="B5026" t="s">
        <v>15390</v>
      </c>
      <c r="C5026" t="str">
        <f>"47838250"</f>
        <v>47838250</v>
      </c>
      <c r="D5026" t="s">
        <v>15391</v>
      </c>
      <c r="E5026" t="s">
        <v>15392</v>
      </c>
      <c r="F5026" t="s">
        <v>15393</v>
      </c>
      <c r="I5026" t="s">
        <v>29</v>
      </c>
      <c r="J5026" t="s">
        <v>30</v>
      </c>
      <c r="K5026" t="s">
        <v>15394</v>
      </c>
      <c r="M5026" t="s">
        <v>32</v>
      </c>
      <c r="N5026" t="str">
        <f>"3/7/2005 12:00:00 AM"</f>
        <v>3/7/2005 12:00:00 AM</v>
      </c>
      <c r="O5026" t="s">
        <v>15391</v>
      </c>
      <c r="T5026" t="s">
        <v>15392</v>
      </c>
    </row>
    <row r="5027" spans="1:20" x14ac:dyDescent="0.25">
      <c r="A5027" t="str">
        <f>"3054389"</f>
        <v>3054389</v>
      </c>
      <c r="B5027" t="s">
        <v>15395</v>
      </c>
      <c r="C5027" t="str">
        <f>"82530384"</f>
        <v>82530384</v>
      </c>
      <c r="D5027" t="s">
        <v>15396</v>
      </c>
      <c r="E5027" t="s">
        <v>15397</v>
      </c>
      <c r="F5027" t="s">
        <v>15398</v>
      </c>
      <c r="I5027" t="s">
        <v>2280</v>
      </c>
      <c r="J5027" t="s">
        <v>30</v>
      </c>
      <c r="K5027" t="s">
        <v>9897</v>
      </c>
      <c r="M5027" t="s">
        <v>32</v>
      </c>
      <c r="N5027" t="str">
        <f>"10/16/2009 12:00:00 AM"</f>
        <v>10/16/2009 12:00:00 AM</v>
      </c>
      <c r="O5027" t="s">
        <v>15396</v>
      </c>
      <c r="T5027" t="s">
        <v>15397</v>
      </c>
    </row>
    <row r="5028" spans="1:20" x14ac:dyDescent="0.25">
      <c r="A5028" t="str">
        <f>"3054432"</f>
        <v>3054432</v>
      </c>
      <c r="B5028" t="s">
        <v>15399</v>
      </c>
      <c r="C5028" t="str">
        <f>"82529812"</f>
        <v>82529812</v>
      </c>
      <c r="D5028" t="s">
        <v>15400</v>
      </c>
      <c r="F5028" t="s">
        <v>15401</v>
      </c>
      <c r="I5028" t="s">
        <v>29</v>
      </c>
      <c r="J5028" t="s">
        <v>30</v>
      </c>
      <c r="K5028" t="s">
        <v>31</v>
      </c>
      <c r="M5028" t="s">
        <v>32</v>
      </c>
      <c r="N5028" t="str">
        <f>"2/11/2010 12:00:00 AM"</f>
        <v>2/11/2010 12:00:00 AM</v>
      </c>
      <c r="O5028" t="s">
        <v>15400</v>
      </c>
    </row>
    <row r="5029" spans="1:20" x14ac:dyDescent="0.25">
      <c r="A5029" t="str">
        <f>"3054503"</f>
        <v>3054503</v>
      </c>
      <c r="B5029" t="s">
        <v>15402</v>
      </c>
      <c r="C5029" t="str">
        <f>"606400"</f>
        <v>606400</v>
      </c>
      <c r="D5029" t="s">
        <v>15403</v>
      </c>
      <c r="E5029" t="s">
        <v>15404</v>
      </c>
      <c r="F5029" t="s">
        <v>15405</v>
      </c>
      <c r="I5029" t="s">
        <v>29</v>
      </c>
      <c r="J5029" t="s">
        <v>30</v>
      </c>
      <c r="K5029" t="s">
        <v>31</v>
      </c>
      <c r="M5029" t="s">
        <v>32</v>
      </c>
      <c r="N5029" t="str">
        <f>"3/14/2003 12:00:00 AM"</f>
        <v>3/14/2003 12:00:00 AM</v>
      </c>
      <c r="O5029" t="s">
        <v>15403</v>
      </c>
      <c r="T5029" t="s">
        <v>15404</v>
      </c>
    </row>
    <row r="5030" spans="1:20" x14ac:dyDescent="0.25">
      <c r="A5030" t="str">
        <f>"3054499"</f>
        <v>3054499</v>
      </c>
      <c r="B5030" t="s">
        <v>15406</v>
      </c>
      <c r="C5030" t="str">
        <f>"18416000"</f>
        <v>18416000</v>
      </c>
      <c r="D5030" t="s">
        <v>15407</v>
      </c>
      <c r="E5030" t="s">
        <v>15408</v>
      </c>
      <c r="F5030" t="s">
        <v>15409</v>
      </c>
      <c r="I5030" t="s">
        <v>29</v>
      </c>
      <c r="J5030" t="s">
        <v>30</v>
      </c>
      <c r="K5030" t="s">
        <v>31</v>
      </c>
      <c r="M5030" t="s">
        <v>32</v>
      </c>
      <c r="N5030" t="str">
        <f>"10/29/2002 12:00:00 AM"</f>
        <v>10/29/2002 12:00:00 AM</v>
      </c>
      <c r="O5030" t="s">
        <v>15407</v>
      </c>
      <c r="T5030" t="s">
        <v>15408</v>
      </c>
    </row>
    <row r="5031" spans="1:20" x14ac:dyDescent="0.25">
      <c r="A5031" t="str">
        <f>"3054692"</f>
        <v>3054692</v>
      </c>
      <c r="B5031" t="s">
        <v>15410</v>
      </c>
      <c r="C5031" t="str">
        <f>"18132000"</f>
        <v>18132000</v>
      </c>
      <c r="D5031" t="s">
        <v>15411</v>
      </c>
      <c r="E5031" t="s">
        <v>15412</v>
      </c>
      <c r="F5031" t="s">
        <v>15413</v>
      </c>
      <c r="I5031" t="s">
        <v>29</v>
      </c>
      <c r="J5031" t="s">
        <v>30</v>
      </c>
      <c r="K5031" t="s">
        <v>15414</v>
      </c>
      <c r="M5031" t="s">
        <v>32</v>
      </c>
      <c r="N5031" t="str">
        <f>"1/7/2009 12:00:00 AM"</f>
        <v>1/7/2009 12:00:00 AM</v>
      </c>
      <c r="O5031" t="s">
        <v>15411</v>
      </c>
      <c r="T5031" t="s">
        <v>15412</v>
      </c>
    </row>
    <row r="5032" spans="1:20" x14ac:dyDescent="0.25">
      <c r="A5032" t="str">
        <f>"3054317"</f>
        <v>3054317</v>
      </c>
      <c r="B5032" t="s">
        <v>15415</v>
      </c>
      <c r="C5032" t="str">
        <f>"46748000"</f>
        <v>46748000</v>
      </c>
      <c r="D5032" t="s">
        <v>15416</v>
      </c>
      <c r="E5032" t="s">
        <v>15417</v>
      </c>
      <c r="F5032" t="s">
        <v>15418</v>
      </c>
      <c r="I5032" t="s">
        <v>29</v>
      </c>
      <c r="J5032" t="s">
        <v>30</v>
      </c>
      <c r="K5032" t="s">
        <v>31</v>
      </c>
      <c r="M5032" t="s">
        <v>32</v>
      </c>
      <c r="N5032" t="str">
        <f>"12/17/2003 12:00:00 AM"</f>
        <v>12/17/2003 12:00:00 AM</v>
      </c>
      <c r="O5032" t="s">
        <v>15416</v>
      </c>
      <c r="T5032" t="s">
        <v>15417</v>
      </c>
    </row>
    <row r="5033" spans="1:20" x14ac:dyDescent="0.25">
      <c r="A5033" t="str">
        <f>"3054150"</f>
        <v>3054150</v>
      </c>
      <c r="B5033" t="s">
        <v>15419</v>
      </c>
      <c r="C5033" t="str">
        <f>"46748000"</f>
        <v>46748000</v>
      </c>
      <c r="D5033" t="s">
        <v>15416</v>
      </c>
      <c r="E5033" t="s">
        <v>15417</v>
      </c>
      <c r="F5033" t="s">
        <v>15418</v>
      </c>
      <c r="I5033" t="s">
        <v>29</v>
      </c>
      <c r="J5033" t="s">
        <v>30</v>
      </c>
      <c r="K5033" t="s">
        <v>31</v>
      </c>
      <c r="M5033" t="s">
        <v>32</v>
      </c>
      <c r="N5033" t="str">
        <f>"12/17/2003 12:00:00 AM"</f>
        <v>12/17/2003 12:00:00 AM</v>
      </c>
      <c r="O5033" t="s">
        <v>15416</v>
      </c>
      <c r="T5033" t="s">
        <v>15417</v>
      </c>
    </row>
    <row r="5034" spans="1:20" x14ac:dyDescent="0.25">
      <c r="A5034" t="str">
        <f>"3055103"</f>
        <v>3055103</v>
      </c>
      <c r="B5034" t="s">
        <v>15420</v>
      </c>
      <c r="C5034" t="str">
        <f>"36744000"</f>
        <v>36744000</v>
      </c>
      <c r="D5034" t="s">
        <v>15421</v>
      </c>
      <c r="F5034" t="s">
        <v>15422</v>
      </c>
      <c r="I5034" t="s">
        <v>29</v>
      </c>
      <c r="J5034" t="s">
        <v>30</v>
      </c>
      <c r="K5034" t="s">
        <v>31</v>
      </c>
      <c r="M5034" t="s">
        <v>32</v>
      </c>
      <c r="N5034" t="str">
        <f>"10/17/2003 12:00:00 AM"</f>
        <v>10/17/2003 12:00:00 AM</v>
      </c>
      <c r="O5034" t="s">
        <v>15421</v>
      </c>
    </row>
    <row r="5035" spans="1:20" x14ac:dyDescent="0.25">
      <c r="A5035" t="str">
        <f>"3055128"</f>
        <v>3055128</v>
      </c>
      <c r="B5035" t="s">
        <v>15423</v>
      </c>
      <c r="C5035" t="str">
        <f>"22647000"</f>
        <v>22647000</v>
      </c>
      <c r="D5035" t="s">
        <v>15424</v>
      </c>
      <c r="F5035" t="s">
        <v>15425</v>
      </c>
      <c r="I5035" t="s">
        <v>6707</v>
      </c>
      <c r="J5035" t="s">
        <v>30</v>
      </c>
      <c r="K5035" t="s">
        <v>7003</v>
      </c>
      <c r="N5035" t="str">
        <f>"10/31/2002 12:00:00 AM"</f>
        <v>10/31/2002 12:00:00 AM</v>
      </c>
      <c r="O5035" t="s">
        <v>15424</v>
      </c>
    </row>
    <row r="5036" spans="1:20" x14ac:dyDescent="0.25">
      <c r="A5036" t="str">
        <f>"3057535"</f>
        <v>3057535</v>
      </c>
      <c r="B5036" t="s">
        <v>15426</v>
      </c>
      <c r="C5036" t="str">
        <f>"47838250"</f>
        <v>47838250</v>
      </c>
      <c r="D5036" t="s">
        <v>15391</v>
      </c>
      <c r="E5036" t="s">
        <v>15392</v>
      </c>
      <c r="F5036" t="s">
        <v>15393</v>
      </c>
      <c r="I5036" t="s">
        <v>29</v>
      </c>
      <c r="J5036" t="s">
        <v>30</v>
      </c>
      <c r="K5036" t="s">
        <v>15394</v>
      </c>
      <c r="M5036" t="s">
        <v>32</v>
      </c>
      <c r="N5036" t="str">
        <f>"3/7/2005 12:00:00 AM"</f>
        <v>3/7/2005 12:00:00 AM</v>
      </c>
      <c r="O5036" t="s">
        <v>15391</v>
      </c>
      <c r="T5036" t="s">
        <v>15392</v>
      </c>
    </row>
    <row r="5037" spans="1:20" x14ac:dyDescent="0.25">
      <c r="A5037" t="str">
        <f>"3049875"</f>
        <v>3049875</v>
      </c>
      <c r="B5037" t="s">
        <v>15427</v>
      </c>
      <c r="C5037" t="str">
        <f>"82516229"</f>
        <v>82516229</v>
      </c>
      <c r="D5037" t="s">
        <v>15428</v>
      </c>
      <c r="E5037" t="s">
        <v>15429</v>
      </c>
      <c r="F5037" t="s">
        <v>15430</v>
      </c>
      <c r="I5037" t="s">
        <v>29</v>
      </c>
      <c r="J5037" t="s">
        <v>30</v>
      </c>
      <c r="K5037" t="s">
        <v>15431</v>
      </c>
      <c r="M5037" t="s">
        <v>32</v>
      </c>
      <c r="N5037" t="str">
        <f>"3/29/2011 12:00:00 AM"</f>
        <v>3/29/2011 12:00:00 AM</v>
      </c>
      <c r="O5037" t="s">
        <v>15428</v>
      </c>
      <c r="T5037" t="s">
        <v>15429</v>
      </c>
    </row>
    <row r="5038" spans="1:20" x14ac:dyDescent="0.25">
      <c r="A5038" t="str">
        <f>"3054936"</f>
        <v>3054936</v>
      </c>
      <c r="B5038" t="s">
        <v>15432</v>
      </c>
      <c r="C5038" t="str">
        <f>"82518543"</f>
        <v>82518543</v>
      </c>
      <c r="D5038" t="s">
        <v>15433</v>
      </c>
      <c r="G5038" t="s">
        <v>15434</v>
      </c>
      <c r="I5038" t="s">
        <v>29</v>
      </c>
      <c r="J5038" t="s">
        <v>30</v>
      </c>
      <c r="K5038" t="s">
        <v>31</v>
      </c>
      <c r="M5038" t="s">
        <v>32</v>
      </c>
      <c r="N5038" t="str">
        <f>"8/24/2006 12:00:00 AM"</f>
        <v>8/24/2006 12:00:00 AM</v>
      </c>
      <c r="O5038" t="s">
        <v>15433</v>
      </c>
    </row>
    <row r="5039" spans="1:20" x14ac:dyDescent="0.25">
      <c r="A5039" t="str">
        <f>"3054856"</f>
        <v>3054856</v>
      </c>
      <c r="B5039" t="s">
        <v>15435</v>
      </c>
      <c r="C5039" t="str">
        <f>"82518543"</f>
        <v>82518543</v>
      </c>
      <c r="D5039" t="s">
        <v>15433</v>
      </c>
      <c r="G5039" t="s">
        <v>15434</v>
      </c>
      <c r="I5039" t="s">
        <v>29</v>
      </c>
      <c r="J5039" t="s">
        <v>30</v>
      </c>
      <c r="K5039" t="s">
        <v>31</v>
      </c>
      <c r="M5039" t="s">
        <v>32</v>
      </c>
      <c r="N5039" t="str">
        <f>"8/24/2006 12:00:00 AM"</f>
        <v>8/24/2006 12:00:00 AM</v>
      </c>
      <c r="O5039" t="s">
        <v>15433</v>
      </c>
    </row>
    <row r="5040" spans="1:20" x14ac:dyDescent="0.25">
      <c r="A5040" t="str">
        <f>"3055252"</f>
        <v>3055252</v>
      </c>
      <c r="B5040" t="s">
        <v>15436</v>
      </c>
      <c r="C5040" t="str">
        <f>"72751500"</f>
        <v>72751500</v>
      </c>
      <c r="D5040" t="s">
        <v>15437</v>
      </c>
      <c r="E5040" t="s">
        <v>15438</v>
      </c>
      <c r="F5040" t="s">
        <v>15439</v>
      </c>
      <c r="I5040" t="s">
        <v>29</v>
      </c>
      <c r="J5040" t="s">
        <v>30</v>
      </c>
      <c r="K5040" t="s">
        <v>31</v>
      </c>
      <c r="M5040" t="s">
        <v>32</v>
      </c>
      <c r="N5040" t="str">
        <f>"4/21/2006 12:00:00 AM"</f>
        <v>4/21/2006 12:00:00 AM</v>
      </c>
      <c r="O5040" t="s">
        <v>15437</v>
      </c>
      <c r="T5040" t="s">
        <v>15438</v>
      </c>
    </row>
    <row r="5041" spans="1:20" x14ac:dyDescent="0.25">
      <c r="A5041" t="str">
        <f>"3055203"</f>
        <v>3055203</v>
      </c>
      <c r="B5041" t="s">
        <v>15440</v>
      </c>
      <c r="C5041" t="str">
        <f>"82528526"</f>
        <v>82528526</v>
      </c>
      <c r="D5041" t="s">
        <v>15441</v>
      </c>
      <c r="E5041" t="s">
        <v>15442</v>
      </c>
      <c r="F5041" t="s">
        <v>15443</v>
      </c>
      <c r="I5041" t="s">
        <v>29</v>
      </c>
      <c r="J5041" t="s">
        <v>30</v>
      </c>
      <c r="K5041" t="s">
        <v>31</v>
      </c>
      <c r="M5041" t="s">
        <v>32</v>
      </c>
      <c r="N5041" t="str">
        <f>"8/20/2007 12:00:00 AM"</f>
        <v>8/20/2007 12:00:00 AM</v>
      </c>
      <c r="O5041" t="s">
        <v>15441</v>
      </c>
      <c r="T5041" t="s">
        <v>15442</v>
      </c>
    </row>
    <row r="5042" spans="1:20" x14ac:dyDescent="0.25">
      <c r="A5042" t="str">
        <f>"3055651"</f>
        <v>3055651</v>
      </c>
      <c r="B5042" t="s">
        <v>15444</v>
      </c>
      <c r="C5042" t="str">
        <f>"82528526"</f>
        <v>82528526</v>
      </c>
      <c r="D5042" t="s">
        <v>15441</v>
      </c>
      <c r="E5042" t="s">
        <v>15442</v>
      </c>
      <c r="F5042" t="s">
        <v>15443</v>
      </c>
      <c r="I5042" t="s">
        <v>29</v>
      </c>
      <c r="J5042" t="s">
        <v>30</v>
      </c>
      <c r="K5042" t="s">
        <v>31</v>
      </c>
      <c r="M5042" t="s">
        <v>32</v>
      </c>
      <c r="N5042" t="str">
        <f>"8/20/2007 12:00:00 AM"</f>
        <v>8/20/2007 12:00:00 AM</v>
      </c>
      <c r="O5042" t="s">
        <v>15441</v>
      </c>
      <c r="T5042" t="s">
        <v>15442</v>
      </c>
    </row>
    <row r="5043" spans="1:20" x14ac:dyDescent="0.25">
      <c r="A5043" t="str">
        <f>"3054257"</f>
        <v>3054257</v>
      </c>
      <c r="B5043" t="s">
        <v>15445</v>
      </c>
      <c r="C5043" t="str">
        <f>"82521346"</f>
        <v>82521346</v>
      </c>
      <c r="D5043" t="s">
        <v>15446</v>
      </c>
      <c r="E5043" t="s">
        <v>15447</v>
      </c>
      <c r="F5043" t="s">
        <v>15448</v>
      </c>
      <c r="I5043" t="s">
        <v>29</v>
      </c>
      <c r="J5043" t="s">
        <v>30</v>
      </c>
      <c r="K5043" t="s">
        <v>15449</v>
      </c>
      <c r="M5043" t="s">
        <v>32</v>
      </c>
      <c r="N5043" t="str">
        <f>"1/11/2007 12:00:00 AM"</f>
        <v>1/11/2007 12:00:00 AM</v>
      </c>
      <c r="O5043" t="s">
        <v>15446</v>
      </c>
      <c r="T5043" t="s">
        <v>15447</v>
      </c>
    </row>
    <row r="5044" spans="1:20" x14ac:dyDescent="0.25">
      <c r="A5044" t="str">
        <f>"3054354"</f>
        <v>3054354</v>
      </c>
      <c r="B5044" t="s">
        <v>15450</v>
      </c>
      <c r="C5044" t="str">
        <f>"47551110"</f>
        <v>47551110</v>
      </c>
      <c r="D5044" t="s">
        <v>15451</v>
      </c>
      <c r="F5044" t="s">
        <v>15452</v>
      </c>
      <c r="I5044" t="s">
        <v>29</v>
      </c>
      <c r="J5044" t="s">
        <v>30</v>
      </c>
      <c r="K5044" t="s">
        <v>31</v>
      </c>
      <c r="M5044" t="s">
        <v>32</v>
      </c>
      <c r="N5044" t="str">
        <f>"10/29/2002 12:00:00 AM"</f>
        <v>10/29/2002 12:00:00 AM</v>
      </c>
      <c r="O5044" t="s">
        <v>15451</v>
      </c>
    </row>
    <row r="5045" spans="1:20" x14ac:dyDescent="0.25">
      <c r="A5045" t="str">
        <f>"3054263"</f>
        <v>3054263</v>
      </c>
      <c r="B5045" t="s">
        <v>15453</v>
      </c>
      <c r="C5045" t="str">
        <f>"71136000"</f>
        <v>71136000</v>
      </c>
      <c r="D5045" t="s">
        <v>15454</v>
      </c>
      <c r="F5045" t="s">
        <v>15455</v>
      </c>
      <c r="I5045" t="s">
        <v>29</v>
      </c>
      <c r="J5045" t="s">
        <v>30</v>
      </c>
      <c r="K5045" t="s">
        <v>31</v>
      </c>
      <c r="M5045" t="s">
        <v>32</v>
      </c>
      <c r="N5045" t="str">
        <f>"5/24/2004 12:00:00 AM"</f>
        <v>5/24/2004 12:00:00 AM</v>
      </c>
      <c r="O5045" t="s">
        <v>15454</v>
      </c>
    </row>
    <row r="5046" spans="1:20" x14ac:dyDescent="0.25">
      <c r="A5046" t="str">
        <f>"3053999"</f>
        <v>3053999</v>
      </c>
      <c r="B5046" t="s">
        <v>15456</v>
      </c>
      <c r="C5046" t="str">
        <f>"19805000"</f>
        <v>19805000</v>
      </c>
      <c r="D5046" t="s">
        <v>15457</v>
      </c>
      <c r="F5046" t="s">
        <v>15458</v>
      </c>
      <c r="I5046" t="s">
        <v>29</v>
      </c>
      <c r="J5046" t="s">
        <v>30</v>
      </c>
      <c r="K5046" t="s">
        <v>15459</v>
      </c>
      <c r="M5046" t="s">
        <v>32</v>
      </c>
      <c r="N5046" t="str">
        <f>"1/27/2011 12:00:00 AM"</f>
        <v>1/27/2011 12:00:00 AM</v>
      </c>
      <c r="O5046" t="s">
        <v>15457</v>
      </c>
    </row>
    <row r="5047" spans="1:20" x14ac:dyDescent="0.25">
      <c r="A5047" t="str">
        <f>"3075225"</f>
        <v>3075225</v>
      </c>
      <c r="B5047" t="s">
        <v>15460</v>
      </c>
      <c r="C5047" t="str">
        <f>"82530035"</f>
        <v>82530035</v>
      </c>
      <c r="D5047" t="s">
        <v>15461</v>
      </c>
      <c r="F5047" t="s">
        <v>15462</v>
      </c>
      <c r="I5047" t="s">
        <v>29</v>
      </c>
      <c r="J5047" t="s">
        <v>30</v>
      </c>
      <c r="K5047" t="s">
        <v>31</v>
      </c>
      <c r="M5047" t="s">
        <v>32</v>
      </c>
      <c r="N5047" t="str">
        <f>"9/8/2008 12:00:00 AM"</f>
        <v>9/8/2008 12:00:00 AM</v>
      </c>
      <c r="O5047" t="s">
        <v>15461</v>
      </c>
    </row>
    <row r="5048" spans="1:20" x14ac:dyDescent="0.25">
      <c r="A5048" t="str">
        <f>"3054562"</f>
        <v>3054562</v>
      </c>
      <c r="B5048" t="s">
        <v>15463</v>
      </c>
      <c r="C5048" t="str">
        <f>"82527347"</f>
        <v>82527347</v>
      </c>
      <c r="D5048" t="s">
        <v>15464</v>
      </c>
      <c r="E5048" t="s">
        <v>15465</v>
      </c>
      <c r="F5048" t="s">
        <v>15466</v>
      </c>
      <c r="I5048" t="s">
        <v>29</v>
      </c>
      <c r="J5048" t="s">
        <v>30</v>
      </c>
      <c r="K5048" t="s">
        <v>31</v>
      </c>
      <c r="M5048" t="s">
        <v>32</v>
      </c>
      <c r="N5048" t="str">
        <f>"4/15/2008 12:00:00 AM"</f>
        <v>4/15/2008 12:00:00 AM</v>
      </c>
      <c r="O5048" t="s">
        <v>15464</v>
      </c>
      <c r="T5048" t="s">
        <v>15465</v>
      </c>
    </row>
    <row r="5049" spans="1:20" x14ac:dyDescent="0.25">
      <c r="A5049" t="str">
        <f>"3054644"</f>
        <v>3054644</v>
      </c>
      <c r="B5049" t="s">
        <v>15467</v>
      </c>
      <c r="C5049" t="str">
        <f>"50049750"</f>
        <v>50049750</v>
      </c>
      <c r="D5049" t="s">
        <v>15243</v>
      </c>
      <c r="E5049" t="s">
        <v>15244</v>
      </c>
      <c r="F5049" t="s">
        <v>15245</v>
      </c>
      <c r="I5049" t="s">
        <v>29</v>
      </c>
      <c r="J5049" t="s">
        <v>30</v>
      </c>
      <c r="K5049" t="s">
        <v>15246</v>
      </c>
      <c r="M5049" t="s">
        <v>32</v>
      </c>
      <c r="N5049" t="str">
        <f>"2/15/2007 12:00:00 AM"</f>
        <v>2/15/2007 12:00:00 AM</v>
      </c>
      <c r="O5049" t="s">
        <v>15243</v>
      </c>
      <c r="T5049" t="s">
        <v>15244</v>
      </c>
    </row>
    <row r="5050" spans="1:20" x14ac:dyDescent="0.25">
      <c r="A5050" t="str">
        <f>"3054318"</f>
        <v>3054318</v>
      </c>
      <c r="B5050" t="s">
        <v>15468</v>
      </c>
      <c r="C5050" t="str">
        <f>"55633000"</f>
        <v>55633000</v>
      </c>
      <c r="D5050" t="s">
        <v>15469</v>
      </c>
      <c r="F5050" t="s">
        <v>15470</v>
      </c>
      <c r="I5050" t="s">
        <v>29</v>
      </c>
      <c r="J5050" t="s">
        <v>30</v>
      </c>
      <c r="K5050" t="s">
        <v>31</v>
      </c>
      <c r="M5050" t="s">
        <v>32</v>
      </c>
      <c r="N5050" t="str">
        <f>"3/26/2004 12:00:00 AM"</f>
        <v>3/26/2004 12:00:00 AM</v>
      </c>
      <c r="O5050" t="s">
        <v>15469</v>
      </c>
    </row>
    <row r="5051" spans="1:20" x14ac:dyDescent="0.25">
      <c r="A5051" t="str">
        <f>"3054340"</f>
        <v>3054340</v>
      </c>
      <c r="B5051" t="s">
        <v>15471</v>
      </c>
      <c r="C5051" t="str">
        <f>"70316000"</f>
        <v>70316000</v>
      </c>
      <c r="D5051" t="s">
        <v>15472</v>
      </c>
      <c r="E5051" t="s">
        <v>15473</v>
      </c>
      <c r="F5051" t="s">
        <v>15474</v>
      </c>
      <c r="I5051" t="s">
        <v>29</v>
      </c>
      <c r="J5051" t="s">
        <v>30</v>
      </c>
      <c r="K5051" t="s">
        <v>31</v>
      </c>
      <c r="M5051" t="s">
        <v>32</v>
      </c>
      <c r="N5051" t="str">
        <f>"5/19/2004 12:00:00 AM"</f>
        <v>5/19/2004 12:00:00 AM</v>
      </c>
      <c r="O5051" t="s">
        <v>15472</v>
      </c>
      <c r="T5051" t="s">
        <v>15473</v>
      </c>
    </row>
    <row r="5052" spans="1:20" x14ac:dyDescent="0.25">
      <c r="A5052" t="str">
        <f>"3054410"</f>
        <v>3054410</v>
      </c>
      <c r="B5052" t="s">
        <v>15475</v>
      </c>
      <c r="C5052" t="str">
        <f>"82528476"</f>
        <v>82528476</v>
      </c>
      <c r="D5052" t="s">
        <v>15476</v>
      </c>
      <c r="F5052" t="s">
        <v>15477</v>
      </c>
      <c r="I5052" t="s">
        <v>29</v>
      </c>
      <c r="J5052" t="s">
        <v>30</v>
      </c>
      <c r="K5052" t="s">
        <v>31</v>
      </c>
      <c r="M5052" t="s">
        <v>32</v>
      </c>
      <c r="N5052" t="str">
        <f>"8/10/2007 12:00:00 AM"</f>
        <v>8/10/2007 12:00:00 AM</v>
      </c>
      <c r="O5052" t="s">
        <v>15476</v>
      </c>
    </row>
    <row r="5053" spans="1:20" x14ac:dyDescent="0.25">
      <c r="A5053" t="str">
        <f>"3054433"</f>
        <v>3054433</v>
      </c>
      <c r="B5053" t="s">
        <v>15478</v>
      </c>
      <c r="C5053" t="str">
        <f>"82519295"</f>
        <v>82519295</v>
      </c>
      <c r="D5053" t="s">
        <v>15479</v>
      </c>
      <c r="E5053" t="s">
        <v>15476</v>
      </c>
      <c r="F5053" t="s">
        <v>15477</v>
      </c>
      <c r="I5053" t="s">
        <v>29</v>
      </c>
      <c r="J5053" t="s">
        <v>30</v>
      </c>
      <c r="K5053" t="s">
        <v>31</v>
      </c>
      <c r="M5053" t="s">
        <v>32</v>
      </c>
      <c r="N5053" t="str">
        <f>"8/9/2002 12:00:00 AM"</f>
        <v>8/9/2002 12:00:00 AM</v>
      </c>
      <c r="O5053" t="s">
        <v>15479</v>
      </c>
      <c r="T5053" t="s">
        <v>15476</v>
      </c>
    </row>
    <row r="5054" spans="1:20" x14ac:dyDescent="0.25">
      <c r="A5054" t="str">
        <f>"3054214"</f>
        <v>3054214</v>
      </c>
      <c r="B5054" t="s">
        <v>15480</v>
      </c>
      <c r="C5054" t="str">
        <f>"70316000"</f>
        <v>70316000</v>
      </c>
      <c r="D5054" t="s">
        <v>15472</v>
      </c>
      <c r="E5054" t="s">
        <v>15473</v>
      </c>
      <c r="F5054" t="s">
        <v>15474</v>
      </c>
      <c r="I5054" t="s">
        <v>29</v>
      </c>
      <c r="J5054" t="s">
        <v>30</v>
      </c>
      <c r="K5054" t="s">
        <v>31</v>
      </c>
      <c r="M5054" t="s">
        <v>32</v>
      </c>
      <c r="N5054" t="str">
        <f>"5/19/2004 12:00:00 AM"</f>
        <v>5/19/2004 12:00:00 AM</v>
      </c>
      <c r="O5054" t="s">
        <v>15472</v>
      </c>
      <c r="T5054" t="s">
        <v>15473</v>
      </c>
    </row>
    <row r="5055" spans="1:20" x14ac:dyDescent="0.25">
      <c r="A5055" t="str">
        <f>"3054118"</f>
        <v>3054118</v>
      </c>
      <c r="B5055" t="s">
        <v>15481</v>
      </c>
      <c r="C5055" t="str">
        <f>"70316000"</f>
        <v>70316000</v>
      </c>
      <c r="D5055" t="s">
        <v>15472</v>
      </c>
      <c r="E5055" t="s">
        <v>15473</v>
      </c>
      <c r="F5055" t="s">
        <v>15474</v>
      </c>
      <c r="I5055" t="s">
        <v>29</v>
      </c>
      <c r="J5055" t="s">
        <v>30</v>
      </c>
      <c r="K5055" t="s">
        <v>31</v>
      </c>
      <c r="M5055" t="s">
        <v>32</v>
      </c>
      <c r="N5055" t="str">
        <f>"5/19/2004 12:00:00 AM"</f>
        <v>5/19/2004 12:00:00 AM</v>
      </c>
      <c r="O5055" t="s">
        <v>15472</v>
      </c>
      <c r="T5055" t="s">
        <v>15473</v>
      </c>
    </row>
    <row r="5056" spans="1:20" x14ac:dyDescent="0.25">
      <c r="A5056" t="str">
        <f>"3054001"</f>
        <v>3054001</v>
      </c>
      <c r="B5056" t="s">
        <v>15482</v>
      </c>
      <c r="C5056" t="str">
        <f>"82518108"</f>
        <v>82518108</v>
      </c>
      <c r="D5056" t="s">
        <v>15483</v>
      </c>
      <c r="E5056" t="s">
        <v>15484</v>
      </c>
      <c r="F5056" t="s">
        <v>15485</v>
      </c>
      <c r="I5056" t="s">
        <v>29</v>
      </c>
      <c r="J5056" t="s">
        <v>30</v>
      </c>
      <c r="K5056" t="s">
        <v>31</v>
      </c>
      <c r="M5056" t="s">
        <v>32</v>
      </c>
      <c r="N5056" t="str">
        <f>"4/11/2002 12:00:00 AM"</f>
        <v>4/11/2002 12:00:00 AM</v>
      </c>
      <c r="O5056" t="s">
        <v>15483</v>
      </c>
      <c r="T5056" t="s">
        <v>15484</v>
      </c>
    </row>
    <row r="5057" spans="1:20" x14ac:dyDescent="0.25">
      <c r="A5057" t="str">
        <f>"3054320"</f>
        <v>3054320</v>
      </c>
      <c r="B5057" t="s">
        <v>15486</v>
      </c>
      <c r="C5057" t="str">
        <f>"82528051"</f>
        <v>82528051</v>
      </c>
      <c r="D5057" t="s">
        <v>15487</v>
      </c>
      <c r="E5057" t="s">
        <v>15488</v>
      </c>
      <c r="F5057" t="s">
        <v>15489</v>
      </c>
      <c r="I5057" t="s">
        <v>29</v>
      </c>
      <c r="J5057" t="s">
        <v>30</v>
      </c>
      <c r="K5057" t="s">
        <v>31</v>
      </c>
      <c r="M5057" t="s">
        <v>32</v>
      </c>
      <c r="N5057" t="str">
        <f>"1/11/2008 12:00:00 AM"</f>
        <v>1/11/2008 12:00:00 AM</v>
      </c>
      <c r="O5057" t="s">
        <v>15487</v>
      </c>
      <c r="T5057" t="s">
        <v>15488</v>
      </c>
    </row>
    <row r="5058" spans="1:20" x14ac:dyDescent="0.25">
      <c r="A5058" t="str">
        <f>"3054603"</f>
        <v>3054603</v>
      </c>
      <c r="B5058" t="s">
        <v>15490</v>
      </c>
      <c r="C5058" t="str">
        <f>"82516734"</f>
        <v>82516734</v>
      </c>
      <c r="D5058" t="s">
        <v>15491</v>
      </c>
      <c r="F5058" t="s">
        <v>15492</v>
      </c>
      <c r="I5058" t="s">
        <v>15493</v>
      </c>
      <c r="J5058" t="s">
        <v>30</v>
      </c>
      <c r="K5058" t="s">
        <v>31</v>
      </c>
      <c r="M5058" t="s">
        <v>32</v>
      </c>
      <c r="N5058" t="str">
        <f>"12/2/2009 12:00:00 AM"</f>
        <v>12/2/2009 12:00:00 AM</v>
      </c>
      <c r="O5058" t="s">
        <v>15491</v>
      </c>
    </row>
    <row r="5059" spans="1:20" x14ac:dyDescent="0.25">
      <c r="A5059" t="str">
        <f>"3054145"</f>
        <v>3054145</v>
      </c>
      <c r="B5059" t="s">
        <v>15494</v>
      </c>
      <c r="C5059" t="str">
        <f>"19873500"</f>
        <v>19873500</v>
      </c>
      <c r="D5059" t="s">
        <v>15495</v>
      </c>
      <c r="K5059" t="s">
        <v>586</v>
      </c>
      <c r="M5059" t="s">
        <v>32</v>
      </c>
      <c r="N5059" t="str">
        <f>"8/26/1985 12:00:00 AM"</f>
        <v>8/26/1985 12:00:00 AM</v>
      </c>
      <c r="O5059" t="s">
        <v>15495</v>
      </c>
    </row>
    <row r="5060" spans="1:20" x14ac:dyDescent="0.25">
      <c r="A5060" t="str">
        <f>"3054439"</f>
        <v>3054439</v>
      </c>
      <c r="B5060" t="s">
        <v>15496</v>
      </c>
      <c r="C5060" t="str">
        <f>"41248250"</f>
        <v>41248250</v>
      </c>
      <c r="D5060" t="s">
        <v>15497</v>
      </c>
      <c r="E5060" t="s">
        <v>15498</v>
      </c>
      <c r="F5060" t="s">
        <v>15499</v>
      </c>
      <c r="I5060" t="s">
        <v>29</v>
      </c>
      <c r="J5060" t="s">
        <v>30</v>
      </c>
      <c r="K5060" t="s">
        <v>31</v>
      </c>
      <c r="M5060" t="s">
        <v>32</v>
      </c>
      <c r="N5060" t="str">
        <f>"10/31/2002 12:00:00 AM"</f>
        <v>10/31/2002 12:00:00 AM</v>
      </c>
      <c r="O5060" t="s">
        <v>15497</v>
      </c>
      <c r="T5060" t="s">
        <v>15498</v>
      </c>
    </row>
    <row r="5061" spans="1:20" x14ac:dyDescent="0.25">
      <c r="A5061" t="str">
        <f>"3054538"</f>
        <v>3054538</v>
      </c>
      <c r="B5061" t="s">
        <v>15500</v>
      </c>
      <c r="C5061" t="str">
        <f>"8285130"</f>
        <v>8285130</v>
      </c>
      <c r="D5061" t="s">
        <v>15501</v>
      </c>
      <c r="F5061" t="s">
        <v>15502</v>
      </c>
      <c r="I5061" t="s">
        <v>29</v>
      </c>
      <c r="J5061" t="s">
        <v>30</v>
      </c>
      <c r="K5061" t="s">
        <v>31</v>
      </c>
      <c r="M5061" t="s">
        <v>32</v>
      </c>
      <c r="N5061" t="str">
        <f>"6/30/2005 12:00:00 AM"</f>
        <v>6/30/2005 12:00:00 AM</v>
      </c>
      <c r="O5061" t="s">
        <v>15501</v>
      </c>
    </row>
    <row r="5062" spans="1:20" x14ac:dyDescent="0.25">
      <c r="A5062" t="str">
        <f>"3054269"</f>
        <v>3054269</v>
      </c>
      <c r="B5062" t="s">
        <v>15503</v>
      </c>
      <c r="C5062" t="str">
        <f>"82522756"</f>
        <v>82522756</v>
      </c>
      <c r="D5062" t="s">
        <v>15504</v>
      </c>
      <c r="F5062" t="s">
        <v>13308</v>
      </c>
      <c r="I5062" t="s">
        <v>29</v>
      </c>
      <c r="J5062" t="s">
        <v>30</v>
      </c>
      <c r="K5062" t="s">
        <v>31</v>
      </c>
      <c r="M5062" t="s">
        <v>32</v>
      </c>
      <c r="N5062" t="str">
        <f>"5/20/2004 12:00:00 AM"</f>
        <v>5/20/2004 12:00:00 AM</v>
      </c>
      <c r="O5062" t="s">
        <v>15504</v>
      </c>
    </row>
    <row r="5063" spans="1:20" x14ac:dyDescent="0.25">
      <c r="A5063" t="str">
        <f>"3054695"</f>
        <v>3054695</v>
      </c>
      <c r="B5063" t="s">
        <v>15505</v>
      </c>
      <c r="C5063" t="str">
        <f>"82528994"</f>
        <v>82528994</v>
      </c>
      <c r="D5063" t="s">
        <v>15506</v>
      </c>
      <c r="F5063" t="s">
        <v>15507</v>
      </c>
      <c r="I5063" t="s">
        <v>29</v>
      </c>
      <c r="J5063" t="s">
        <v>30</v>
      </c>
      <c r="K5063" t="s">
        <v>31</v>
      </c>
      <c r="M5063" t="s">
        <v>32</v>
      </c>
      <c r="N5063" t="str">
        <f>"12/27/2007 12:00:00 AM"</f>
        <v>12/27/2007 12:00:00 AM</v>
      </c>
      <c r="O5063" t="s">
        <v>15506</v>
      </c>
    </row>
    <row r="5064" spans="1:20" x14ac:dyDescent="0.25">
      <c r="A5064" t="str">
        <f>"3054442"</f>
        <v>3054442</v>
      </c>
      <c r="B5064" t="s">
        <v>15508</v>
      </c>
      <c r="C5064" t="str">
        <f>"11066000"</f>
        <v>11066000</v>
      </c>
      <c r="D5064" t="s">
        <v>15509</v>
      </c>
      <c r="F5064" t="s">
        <v>15510</v>
      </c>
      <c r="I5064" t="s">
        <v>29</v>
      </c>
      <c r="J5064" t="s">
        <v>30</v>
      </c>
      <c r="K5064" t="s">
        <v>15511</v>
      </c>
      <c r="M5064" t="s">
        <v>32</v>
      </c>
      <c r="N5064" t="str">
        <f>"1/14/2009 12:00:00 AM"</f>
        <v>1/14/2009 12:00:00 AM</v>
      </c>
      <c r="O5064" t="s">
        <v>15509</v>
      </c>
    </row>
    <row r="5065" spans="1:20" x14ac:dyDescent="0.25">
      <c r="A5065" t="str">
        <f>"3054037"</f>
        <v>3054037</v>
      </c>
      <c r="B5065" t="s">
        <v>15512</v>
      </c>
      <c r="C5065" t="str">
        <f>"11066000"</f>
        <v>11066000</v>
      </c>
      <c r="D5065" t="s">
        <v>15509</v>
      </c>
      <c r="F5065" t="s">
        <v>15510</v>
      </c>
      <c r="I5065" t="s">
        <v>29</v>
      </c>
      <c r="J5065" t="s">
        <v>30</v>
      </c>
      <c r="K5065" t="s">
        <v>15511</v>
      </c>
      <c r="M5065" t="s">
        <v>32</v>
      </c>
      <c r="N5065" t="str">
        <f>"1/14/2009 12:00:00 AM"</f>
        <v>1/14/2009 12:00:00 AM</v>
      </c>
      <c r="O5065" t="s">
        <v>15509</v>
      </c>
    </row>
    <row r="5066" spans="1:20" x14ac:dyDescent="0.25">
      <c r="A5066" t="str">
        <f>"3055217"</f>
        <v>3055217</v>
      </c>
      <c r="B5066" t="s">
        <v>15513</v>
      </c>
      <c r="C5066" t="str">
        <f>"56148000"</f>
        <v>56148000</v>
      </c>
      <c r="D5066" t="s">
        <v>15514</v>
      </c>
      <c r="E5066" t="s">
        <v>15515</v>
      </c>
      <c r="F5066" t="s">
        <v>15290</v>
      </c>
      <c r="I5066" t="s">
        <v>29</v>
      </c>
      <c r="J5066" t="s">
        <v>30</v>
      </c>
      <c r="K5066" t="s">
        <v>15516</v>
      </c>
      <c r="M5066" t="s">
        <v>32</v>
      </c>
      <c r="N5066" t="str">
        <f>"1/31/2006 12:00:00 AM"</f>
        <v>1/31/2006 12:00:00 AM</v>
      </c>
      <c r="O5066" t="s">
        <v>15514</v>
      </c>
      <c r="T5066" t="s">
        <v>15515</v>
      </c>
    </row>
    <row r="5067" spans="1:20" x14ac:dyDescent="0.25">
      <c r="A5067" t="str">
        <f>"3055149"</f>
        <v>3055149</v>
      </c>
      <c r="B5067" t="s">
        <v>15517</v>
      </c>
      <c r="C5067" t="str">
        <f>"82524371"</f>
        <v>82524371</v>
      </c>
      <c r="D5067" t="s">
        <v>15289</v>
      </c>
      <c r="E5067" t="s">
        <v>15518</v>
      </c>
      <c r="F5067" t="s">
        <v>15290</v>
      </c>
      <c r="I5067" t="s">
        <v>29</v>
      </c>
      <c r="J5067" t="s">
        <v>30</v>
      </c>
      <c r="K5067" t="s">
        <v>15516</v>
      </c>
      <c r="M5067" t="s">
        <v>32</v>
      </c>
      <c r="N5067" t="str">
        <f>"1/26/2006 12:00:00 AM"</f>
        <v>1/26/2006 12:00:00 AM</v>
      </c>
      <c r="O5067" t="s">
        <v>15289</v>
      </c>
      <c r="T5067" t="s">
        <v>15518</v>
      </c>
    </row>
    <row r="5068" spans="1:20" x14ac:dyDescent="0.25">
      <c r="A5068" t="str">
        <f>"3055202"</f>
        <v>3055202</v>
      </c>
      <c r="B5068" t="s">
        <v>15519</v>
      </c>
      <c r="C5068" t="str">
        <f>"82526859"</f>
        <v>82526859</v>
      </c>
      <c r="D5068" t="s">
        <v>15520</v>
      </c>
      <c r="E5068" t="s">
        <v>15521</v>
      </c>
      <c r="F5068" t="s">
        <v>15522</v>
      </c>
      <c r="I5068" t="s">
        <v>29</v>
      </c>
      <c r="J5068" t="s">
        <v>30</v>
      </c>
      <c r="K5068" t="s">
        <v>31</v>
      </c>
      <c r="M5068" t="s">
        <v>32</v>
      </c>
      <c r="N5068" t="str">
        <f>"9/20/2006 12:00:00 AM"</f>
        <v>9/20/2006 12:00:00 AM</v>
      </c>
      <c r="O5068" t="s">
        <v>15520</v>
      </c>
      <c r="T5068" t="s">
        <v>15521</v>
      </c>
    </row>
    <row r="5069" spans="1:20" x14ac:dyDescent="0.25">
      <c r="A5069" t="str">
        <f>"3054768"</f>
        <v>3054768</v>
      </c>
      <c r="B5069" t="s">
        <v>15523</v>
      </c>
      <c r="C5069" t="str">
        <f>"56136000"</f>
        <v>56136000</v>
      </c>
      <c r="D5069" t="s">
        <v>15289</v>
      </c>
      <c r="F5069" t="s">
        <v>15290</v>
      </c>
      <c r="I5069" t="s">
        <v>29</v>
      </c>
      <c r="J5069" t="s">
        <v>30</v>
      </c>
      <c r="K5069" t="s">
        <v>31</v>
      </c>
      <c r="M5069" t="s">
        <v>32</v>
      </c>
      <c r="N5069" t="str">
        <f>"2/9/2006 12:00:00 AM"</f>
        <v>2/9/2006 12:00:00 AM</v>
      </c>
      <c r="O5069" t="s">
        <v>15289</v>
      </c>
    </row>
    <row r="5070" spans="1:20" x14ac:dyDescent="0.25">
      <c r="A5070" t="str">
        <f>"3055010"</f>
        <v>3055010</v>
      </c>
      <c r="B5070" t="s">
        <v>15524</v>
      </c>
      <c r="C5070" t="str">
        <f>"82521429"</f>
        <v>82521429</v>
      </c>
      <c r="D5070" t="s">
        <v>15525</v>
      </c>
      <c r="E5070" t="s">
        <v>15526</v>
      </c>
      <c r="F5070" t="s">
        <v>15527</v>
      </c>
      <c r="I5070" t="s">
        <v>29</v>
      </c>
      <c r="J5070" t="s">
        <v>30</v>
      </c>
      <c r="K5070" t="s">
        <v>31</v>
      </c>
      <c r="M5070" t="s">
        <v>32</v>
      </c>
      <c r="N5070" t="str">
        <f>"2/18/2005 12:00:00 AM"</f>
        <v>2/18/2005 12:00:00 AM</v>
      </c>
      <c r="O5070" t="s">
        <v>15525</v>
      </c>
      <c r="T5070" t="s">
        <v>15526</v>
      </c>
    </row>
    <row r="5071" spans="1:20" x14ac:dyDescent="0.25">
      <c r="A5071" t="str">
        <f>"3055006"</f>
        <v>3055006</v>
      </c>
      <c r="B5071" t="s">
        <v>15528</v>
      </c>
      <c r="C5071" t="str">
        <f t="shared" ref="C5071:C5076" si="72">"49293000"</f>
        <v>49293000</v>
      </c>
      <c r="D5071" t="s">
        <v>15529</v>
      </c>
      <c r="F5071" t="s">
        <v>15530</v>
      </c>
      <c r="I5071" t="s">
        <v>29</v>
      </c>
      <c r="J5071" t="s">
        <v>30</v>
      </c>
      <c r="K5071" t="s">
        <v>15531</v>
      </c>
      <c r="M5071" t="s">
        <v>32</v>
      </c>
      <c r="N5071" t="str">
        <f t="shared" ref="N5071:N5076" si="73">"4/3/2006 12:00:00 AM"</f>
        <v>4/3/2006 12:00:00 AM</v>
      </c>
      <c r="O5071" t="s">
        <v>15529</v>
      </c>
    </row>
    <row r="5072" spans="1:20" x14ac:dyDescent="0.25">
      <c r="A5072" t="str">
        <f>"3055059"</f>
        <v>3055059</v>
      </c>
      <c r="B5072" t="s">
        <v>15532</v>
      </c>
      <c r="C5072" t="str">
        <f t="shared" si="72"/>
        <v>49293000</v>
      </c>
      <c r="D5072" t="s">
        <v>15529</v>
      </c>
      <c r="F5072" t="s">
        <v>15530</v>
      </c>
      <c r="I5072" t="s">
        <v>29</v>
      </c>
      <c r="J5072" t="s">
        <v>30</v>
      </c>
      <c r="K5072" t="s">
        <v>15531</v>
      </c>
      <c r="M5072" t="s">
        <v>32</v>
      </c>
      <c r="N5072" t="str">
        <f t="shared" si="73"/>
        <v>4/3/2006 12:00:00 AM</v>
      </c>
      <c r="O5072" t="s">
        <v>15529</v>
      </c>
    </row>
    <row r="5073" spans="1:20" x14ac:dyDescent="0.25">
      <c r="A5073" t="str">
        <f>"3055209"</f>
        <v>3055209</v>
      </c>
      <c r="B5073" t="s">
        <v>15533</v>
      </c>
      <c r="C5073" t="str">
        <f t="shared" si="72"/>
        <v>49293000</v>
      </c>
      <c r="D5073" t="s">
        <v>15529</v>
      </c>
      <c r="F5073" t="s">
        <v>15530</v>
      </c>
      <c r="I5073" t="s">
        <v>29</v>
      </c>
      <c r="J5073" t="s">
        <v>30</v>
      </c>
      <c r="K5073" t="s">
        <v>15531</v>
      </c>
      <c r="M5073" t="s">
        <v>32</v>
      </c>
      <c r="N5073" t="str">
        <f t="shared" si="73"/>
        <v>4/3/2006 12:00:00 AM</v>
      </c>
      <c r="O5073" t="s">
        <v>15529</v>
      </c>
    </row>
    <row r="5074" spans="1:20" x14ac:dyDescent="0.25">
      <c r="A5074" t="str">
        <f>"3054870"</f>
        <v>3054870</v>
      </c>
      <c r="B5074" t="s">
        <v>15534</v>
      </c>
      <c r="C5074" t="str">
        <f t="shared" si="72"/>
        <v>49293000</v>
      </c>
      <c r="D5074" t="s">
        <v>15529</v>
      </c>
      <c r="F5074" t="s">
        <v>15530</v>
      </c>
      <c r="I5074" t="s">
        <v>29</v>
      </c>
      <c r="J5074" t="s">
        <v>30</v>
      </c>
      <c r="K5074" t="s">
        <v>15531</v>
      </c>
      <c r="M5074" t="s">
        <v>32</v>
      </c>
      <c r="N5074" t="str">
        <f t="shared" si="73"/>
        <v>4/3/2006 12:00:00 AM</v>
      </c>
      <c r="O5074" t="s">
        <v>15529</v>
      </c>
    </row>
    <row r="5075" spans="1:20" x14ac:dyDescent="0.25">
      <c r="A5075" t="str">
        <f>"3054929"</f>
        <v>3054929</v>
      </c>
      <c r="B5075" t="s">
        <v>15535</v>
      </c>
      <c r="C5075" t="str">
        <f t="shared" si="72"/>
        <v>49293000</v>
      </c>
      <c r="D5075" t="s">
        <v>15529</v>
      </c>
      <c r="F5075" t="s">
        <v>15530</v>
      </c>
      <c r="I5075" t="s">
        <v>29</v>
      </c>
      <c r="J5075" t="s">
        <v>30</v>
      </c>
      <c r="K5075" t="s">
        <v>15531</v>
      </c>
      <c r="M5075" t="s">
        <v>32</v>
      </c>
      <c r="N5075" t="str">
        <f t="shared" si="73"/>
        <v>4/3/2006 12:00:00 AM</v>
      </c>
      <c r="O5075" t="s">
        <v>15529</v>
      </c>
    </row>
    <row r="5076" spans="1:20" x14ac:dyDescent="0.25">
      <c r="A5076" t="str">
        <f>"3078773"</f>
        <v>3078773</v>
      </c>
      <c r="B5076" t="s">
        <v>15536</v>
      </c>
      <c r="C5076" t="str">
        <f t="shared" si="72"/>
        <v>49293000</v>
      </c>
      <c r="D5076" t="s">
        <v>15529</v>
      </c>
      <c r="F5076" t="s">
        <v>15530</v>
      </c>
      <c r="I5076" t="s">
        <v>29</v>
      </c>
      <c r="J5076" t="s">
        <v>30</v>
      </c>
      <c r="K5076" t="s">
        <v>15531</v>
      </c>
      <c r="M5076" t="s">
        <v>32</v>
      </c>
      <c r="N5076" t="str">
        <f t="shared" si="73"/>
        <v>4/3/2006 12:00:00 AM</v>
      </c>
      <c r="O5076" t="s">
        <v>15529</v>
      </c>
    </row>
    <row r="5077" spans="1:20" x14ac:dyDescent="0.25">
      <c r="A5077" t="str">
        <f>"3054309"</f>
        <v>3054309</v>
      </c>
      <c r="B5077" t="s">
        <v>15537</v>
      </c>
      <c r="C5077" t="str">
        <f>"39592000"</f>
        <v>39592000</v>
      </c>
      <c r="D5077" t="s">
        <v>15538</v>
      </c>
      <c r="E5077" t="s">
        <v>15539</v>
      </c>
      <c r="F5077" t="s">
        <v>15540</v>
      </c>
      <c r="I5077" t="s">
        <v>29</v>
      </c>
      <c r="J5077" t="s">
        <v>30</v>
      </c>
      <c r="K5077" t="s">
        <v>15511</v>
      </c>
      <c r="M5077" t="s">
        <v>32</v>
      </c>
      <c r="N5077" t="str">
        <f>"2/9/2010 12:00:00 AM"</f>
        <v>2/9/2010 12:00:00 AM</v>
      </c>
      <c r="O5077" t="s">
        <v>15538</v>
      </c>
      <c r="T5077" t="s">
        <v>15539</v>
      </c>
    </row>
    <row r="5078" spans="1:20" x14ac:dyDescent="0.25">
      <c r="A5078" t="str">
        <f>"3054020"</f>
        <v>3054020</v>
      </c>
      <c r="B5078" t="s">
        <v>15541</v>
      </c>
      <c r="C5078" t="str">
        <f>"24672000"</f>
        <v>24672000</v>
      </c>
      <c r="D5078" t="s">
        <v>15542</v>
      </c>
      <c r="F5078" t="s">
        <v>15316</v>
      </c>
      <c r="I5078" t="s">
        <v>29</v>
      </c>
      <c r="J5078" t="s">
        <v>30</v>
      </c>
      <c r="K5078" t="s">
        <v>31</v>
      </c>
      <c r="M5078" t="s">
        <v>32</v>
      </c>
      <c r="N5078" t="str">
        <f>"2/23/2005 12:00:00 AM"</f>
        <v>2/23/2005 12:00:00 AM</v>
      </c>
      <c r="O5078" t="s">
        <v>15542</v>
      </c>
    </row>
    <row r="5079" spans="1:20" x14ac:dyDescent="0.25">
      <c r="A5079" t="str">
        <f>"3057965"</f>
        <v>3057965</v>
      </c>
      <c r="B5079" t="s">
        <v>15543</v>
      </c>
      <c r="C5079" t="str">
        <f>"18929000"</f>
        <v>18929000</v>
      </c>
      <c r="D5079" t="s">
        <v>15544</v>
      </c>
      <c r="E5079" t="s">
        <v>15545</v>
      </c>
      <c r="F5079" t="s">
        <v>15546</v>
      </c>
      <c r="I5079" t="s">
        <v>29</v>
      </c>
      <c r="J5079" t="s">
        <v>30</v>
      </c>
      <c r="K5079" t="s">
        <v>31</v>
      </c>
      <c r="M5079" t="s">
        <v>32</v>
      </c>
      <c r="N5079" t="str">
        <f>"10/29/2002 12:00:00 AM"</f>
        <v>10/29/2002 12:00:00 AM</v>
      </c>
      <c r="O5079" t="s">
        <v>15544</v>
      </c>
      <c r="T5079" t="s">
        <v>15545</v>
      </c>
    </row>
    <row r="5080" spans="1:20" x14ac:dyDescent="0.25">
      <c r="A5080" t="str">
        <f>"3067821"</f>
        <v>3067821</v>
      </c>
      <c r="B5080" t="s">
        <v>15547</v>
      </c>
      <c r="C5080" t="str">
        <f>"10336000"</f>
        <v>10336000</v>
      </c>
      <c r="D5080" t="s">
        <v>15548</v>
      </c>
      <c r="E5080" t="s">
        <v>15549</v>
      </c>
      <c r="F5080" t="s">
        <v>15550</v>
      </c>
      <c r="I5080" t="s">
        <v>9580</v>
      </c>
      <c r="J5080" t="s">
        <v>30</v>
      </c>
      <c r="K5080" t="s">
        <v>9581</v>
      </c>
      <c r="M5080" t="s">
        <v>32</v>
      </c>
      <c r="N5080" t="str">
        <f>"6/10/2003 12:00:00 AM"</f>
        <v>6/10/2003 12:00:00 AM</v>
      </c>
      <c r="O5080" t="s">
        <v>15548</v>
      </c>
      <c r="T5080" t="s">
        <v>15549</v>
      </c>
    </row>
    <row r="5081" spans="1:20" x14ac:dyDescent="0.25">
      <c r="A5081" t="str">
        <f>"3055588"</f>
        <v>3055588</v>
      </c>
      <c r="B5081" t="s">
        <v>15551</v>
      </c>
      <c r="C5081" t="str">
        <f>"82524164"</f>
        <v>82524164</v>
      </c>
      <c r="D5081" t="s">
        <v>15552</v>
      </c>
      <c r="F5081" t="s">
        <v>15553</v>
      </c>
      <c r="I5081" t="s">
        <v>29</v>
      </c>
      <c r="J5081" t="s">
        <v>30</v>
      </c>
      <c r="K5081" t="s">
        <v>31</v>
      </c>
      <c r="M5081" t="s">
        <v>32</v>
      </c>
      <c r="N5081" t="str">
        <f>"2/1/2006 12:00:00 AM"</f>
        <v>2/1/2006 12:00:00 AM</v>
      </c>
      <c r="O5081" t="s">
        <v>15552</v>
      </c>
    </row>
    <row r="5082" spans="1:20" x14ac:dyDescent="0.25">
      <c r="A5082" t="str">
        <f>"3066515"</f>
        <v>3066515</v>
      </c>
      <c r="B5082" t="s">
        <v>15554</v>
      </c>
      <c r="C5082" t="str">
        <f>"82515962"</f>
        <v>82515962</v>
      </c>
      <c r="D5082" t="s">
        <v>15555</v>
      </c>
      <c r="E5082" t="s">
        <v>15556</v>
      </c>
      <c r="F5082" t="s">
        <v>15557</v>
      </c>
      <c r="I5082" t="s">
        <v>29</v>
      </c>
      <c r="J5082" t="s">
        <v>30</v>
      </c>
      <c r="K5082" t="s">
        <v>31</v>
      </c>
      <c r="M5082" t="s">
        <v>32</v>
      </c>
      <c r="N5082" t="str">
        <f>"11/1/2002 12:00:00 AM"</f>
        <v>11/1/2002 12:00:00 AM</v>
      </c>
      <c r="O5082" t="s">
        <v>15555</v>
      </c>
      <c r="T5082" t="s">
        <v>15556</v>
      </c>
    </row>
    <row r="5083" spans="1:20" x14ac:dyDescent="0.25">
      <c r="A5083" t="str">
        <f>"3054731"</f>
        <v>3054731</v>
      </c>
      <c r="B5083" t="s">
        <v>15558</v>
      </c>
      <c r="C5083" t="str">
        <f>"19738000"</f>
        <v>19738000</v>
      </c>
      <c r="D5083" t="s">
        <v>15559</v>
      </c>
      <c r="K5083" t="s">
        <v>586</v>
      </c>
      <c r="M5083" t="s">
        <v>32</v>
      </c>
      <c r="N5083" t="str">
        <f>"7/16/2003 12:00:00 AM"</f>
        <v>7/16/2003 12:00:00 AM</v>
      </c>
      <c r="O5083" t="s">
        <v>15559</v>
      </c>
    </row>
    <row r="5084" spans="1:20" x14ac:dyDescent="0.25">
      <c r="A5084" t="str">
        <f>"3055307"</f>
        <v>3055307</v>
      </c>
      <c r="B5084" t="s">
        <v>15560</v>
      </c>
      <c r="C5084" t="str">
        <f>"82522347"</f>
        <v>82522347</v>
      </c>
      <c r="D5084" t="s">
        <v>15561</v>
      </c>
      <c r="F5084" t="str">
        <f>"C/O ROGER WILLIAMS"</f>
        <v>C/O ROGER WILLIAMS</v>
      </c>
      <c r="G5084" t="s">
        <v>15365</v>
      </c>
      <c r="I5084" t="s">
        <v>29</v>
      </c>
      <c r="J5084" t="s">
        <v>30</v>
      </c>
      <c r="K5084" t="s">
        <v>15366</v>
      </c>
      <c r="M5084" t="s">
        <v>32</v>
      </c>
      <c r="N5084" t="str">
        <f>"3/7/2005 12:00:00 AM"</f>
        <v>3/7/2005 12:00:00 AM</v>
      </c>
      <c r="O5084" t="s">
        <v>15561</v>
      </c>
    </row>
    <row r="5085" spans="1:20" x14ac:dyDescent="0.25">
      <c r="A5085" t="str">
        <f>"3054799"</f>
        <v>3054799</v>
      </c>
      <c r="B5085" t="s">
        <v>15562</v>
      </c>
      <c r="C5085" t="str">
        <f>"56069620"</f>
        <v>56069620</v>
      </c>
      <c r="D5085" t="s">
        <v>15563</v>
      </c>
      <c r="E5085" t="s">
        <v>15564</v>
      </c>
      <c r="F5085" t="s">
        <v>15565</v>
      </c>
      <c r="I5085" t="s">
        <v>29</v>
      </c>
      <c r="J5085" t="s">
        <v>30</v>
      </c>
      <c r="K5085" t="s">
        <v>31</v>
      </c>
      <c r="M5085" t="s">
        <v>32</v>
      </c>
      <c r="N5085" t="str">
        <f>"11/1/2002 12:00:00 AM"</f>
        <v>11/1/2002 12:00:00 AM</v>
      </c>
      <c r="O5085" t="s">
        <v>15563</v>
      </c>
      <c r="T5085" t="s">
        <v>15564</v>
      </c>
    </row>
    <row r="5086" spans="1:20" x14ac:dyDescent="0.25">
      <c r="A5086" t="str">
        <f>"3055282"</f>
        <v>3055282</v>
      </c>
      <c r="B5086" t="s">
        <v>15566</v>
      </c>
      <c r="C5086" t="str">
        <f>"82530324"</f>
        <v>82530324</v>
      </c>
      <c r="D5086" t="s">
        <v>15567</v>
      </c>
      <c r="E5086" t="s">
        <v>15568</v>
      </c>
      <c r="F5086" t="s">
        <v>15569</v>
      </c>
      <c r="I5086" t="s">
        <v>29</v>
      </c>
      <c r="J5086" t="s">
        <v>30</v>
      </c>
      <c r="K5086" t="s">
        <v>31</v>
      </c>
      <c r="M5086" t="s">
        <v>32</v>
      </c>
      <c r="N5086" t="str">
        <f>"12/17/2008 12:00:00 AM"</f>
        <v>12/17/2008 12:00:00 AM</v>
      </c>
      <c r="O5086" t="s">
        <v>15567</v>
      </c>
      <c r="T5086" t="s">
        <v>15568</v>
      </c>
    </row>
    <row r="5087" spans="1:20" x14ac:dyDescent="0.25">
      <c r="A5087" t="str">
        <f>"3055235"</f>
        <v>3055235</v>
      </c>
      <c r="B5087" t="s">
        <v>15570</v>
      </c>
      <c r="C5087" t="str">
        <f>"81580150"</f>
        <v>81580150</v>
      </c>
      <c r="D5087" t="s">
        <v>15571</v>
      </c>
      <c r="E5087" t="s">
        <v>15572</v>
      </c>
      <c r="F5087" t="s">
        <v>15573</v>
      </c>
      <c r="I5087" t="s">
        <v>29</v>
      </c>
      <c r="J5087" t="s">
        <v>30</v>
      </c>
      <c r="K5087" t="s">
        <v>15574</v>
      </c>
      <c r="M5087" t="s">
        <v>32</v>
      </c>
      <c r="N5087" t="str">
        <f>"1/31/2006 12:00:00 AM"</f>
        <v>1/31/2006 12:00:00 AM</v>
      </c>
      <c r="O5087" t="s">
        <v>15571</v>
      </c>
      <c r="T5087" t="s">
        <v>15572</v>
      </c>
    </row>
    <row r="5088" spans="1:20" x14ac:dyDescent="0.25">
      <c r="A5088" t="str">
        <f>"3055094"</f>
        <v>3055094</v>
      </c>
      <c r="B5088" t="s">
        <v>15575</v>
      </c>
      <c r="C5088" t="str">
        <f t="shared" ref="C5088:C5095" si="74">"82523766"</f>
        <v>82523766</v>
      </c>
      <c r="D5088" t="s">
        <v>15576</v>
      </c>
      <c r="F5088" t="s">
        <v>15577</v>
      </c>
      <c r="I5088" t="s">
        <v>29</v>
      </c>
      <c r="J5088" t="s">
        <v>30</v>
      </c>
      <c r="K5088" t="s">
        <v>31</v>
      </c>
      <c r="M5088" t="s">
        <v>32</v>
      </c>
      <c r="N5088" t="str">
        <f t="shared" ref="N5088:N5095" si="75">"2/13/2008 12:00:00 AM"</f>
        <v>2/13/2008 12:00:00 AM</v>
      </c>
      <c r="O5088" t="s">
        <v>15576</v>
      </c>
    </row>
    <row r="5089" spans="1:20" x14ac:dyDescent="0.25">
      <c r="A5089" t="str">
        <f>"3054780"</f>
        <v>3054780</v>
      </c>
      <c r="B5089" t="s">
        <v>15578</v>
      </c>
      <c r="C5089" t="str">
        <f t="shared" si="74"/>
        <v>82523766</v>
      </c>
      <c r="D5089" t="s">
        <v>15576</v>
      </c>
      <c r="F5089" t="s">
        <v>15577</v>
      </c>
      <c r="I5089" t="s">
        <v>29</v>
      </c>
      <c r="J5089" t="s">
        <v>30</v>
      </c>
      <c r="K5089" t="s">
        <v>31</v>
      </c>
      <c r="M5089" t="s">
        <v>32</v>
      </c>
      <c r="N5089" t="str">
        <f t="shared" si="75"/>
        <v>2/13/2008 12:00:00 AM</v>
      </c>
      <c r="O5089" t="s">
        <v>15576</v>
      </c>
    </row>
    <row r="5090" spans="1:20" x14ac:dyDescent="0.25">
      <c r="A5090" t="str">
        <f>"3054716"</f>
        <v>3054716</v>
      </c>
      <c r="B5090" t="s">
        <v>15579</v>
      </c>
      <c r="C5090" t="str">
        <f t="shared" si="74"/>
        <v>82523766</v>
      </c>
      <c r="D5090" t="s">
        <v>15576</v>
      </c>
      <c r="F5090" t="s">
        <v>15577</v>
      </c>
      <c r="I5090" t="s">
        <v>29</v>
      </c>
      <c r="J5090" t="s">
        <v>30</v>
      </c>
      <c r="K5090" t="s">
        <v>31</v>
      </c>
      <c r="M5090" t="s">
        <v>32</v>
      </c>
      <c r="N5090" t="str">
        <f t="shared" si="75"/>
        <v>2/13/2008 12:00:00 AM</v>
      </c>
      <c r="O5090" t="s">
        <v>15576</v>
      </c>
    </row>
    <row r="5091" spans="1:20" x14ac:dyDescent="0.25">
      <c r="A5091" t="str">
        <f>"3056264"</f>
        <v>3056264</v>
      </c>
      <c r="B5091" t="s">
        <v>15580</v>
      </c>
      <c r="C5091" t="str">
        <f t="shared" si="74"/>
        <v>82523766</v>
      </c>
      <c r="D5091" t="s">
        <v>15576</v>
      </c>
      <c r="F5091" t="s">
        <v>15577</v>
      </c>
      <c r="I5091" t="s">
        <v>29</v>
      </c>
      <c r="J5091" t="s">
        <v>30</v>
      </c>
      <c r="K5091" t="s">
        <v>31</v>
      </c>
      <c r="M5091" t="s">
        <v>32</v>
      </c>
      <c r="N5091" t="str">
        <f t="shared" si="75"/>
        <v>2/13/2008 12:00:00 AM</v>
      </c>
      <c r="O5091" t="s">
        <v>15576</v>
      </c>
    </row>
    <row r="5092" spans="1:20" x14ac:dyDescent="0.25">
      <c r="A5092" t="str">
        <f>"3056213"</f>
        <v>3056213</v>
      </c>
      <c r="B5092" t="s">
        <v>15581</v>
      </c>
      <c r="C5092" t="str">
        <f t="shared" si="74"/>
        <v>82523766</v>
      </c>
      <c r="D5092" t="s">
        <v>15576</v>
      </c>
      <c r="F5092" t="s">
        <v>15577</v>
      </c>
      <c r="I5092" t="s">
        <v>29</v>
      </c>
      <c r="J5092" t="s">
        <v>30</v>
      </c>
      <c r="K5092" t="s">
        <v>31</v>
      </c>
      <c r="M5092" t="s">
        <v>32</v>
      </c>
      <c r="N5092" t="str">
        <f t="shared" si="75"/>
        <v>2/13/2008 12:00:00 AM</v>
      </c>
      <c r="O5092" t="s">
        <v>15576</v>
      </c>
    </row>
    <row r="5093" spans="1:20" x14ac:dyDescent="0.25">
      <c r="A5093" t="str">
        <f>"3056235"</f>
        <v>3056235</v>
      </c>
      <c r="B5093" t="s">
        <v>15582</v>
      </c>
      <c r="C5093" t="str">
        <f t="shared" si="74"/>
        <v>82523766</v>
      </c>
      <c r="D5093" t="s">
        <v>15576</v>
      </c>
      <c r="F5093" t="s">
        <v>15577</v>
      </c>
      <c r="I5093" t="s">
        <v>29</v>
      </c>
      <c r="J5093" t="s">
        <v>30</v>
      </c>
      <c r="K5093" t="s">
        <v>31</v>
      </c>
      <c r="M5093" t="s">
        <v>32</v>
      </c>
      <c r="N5093" t="str">
        <f t="shared" si="75"/>
        <v>2/13/2008 12:00:00 AM</v>
      </c>
      <c r="O5093" t="s">
        <v>15576</v>
      </c>
    </row>
    <row r="5094" spans="1:20" x14ac:dyDescent="0.25">
      <c r="A5094" t="str">
        <f>"3069285"</f>
        <v>3069285</v>
      </c>
      <c r="B5094" t="s">
        <v>15583</v>
      </c>
      <c r="C5094" t="str">
        <f t="shared" si="74"/>
        <v>82523766</v>
      </c>
      <c r="D5094" t="s">
        <v>15576</v>
      </c>
      <c r="F5094" t="s">
        <v>15577</v>
      </c>
      <c r="I5094" t="s">
        <v>29</v>
      </c>
      <c r="J5094" t="s">
        <v>30</v>
      </c>
      <c r="K5094" t="s">
        <v>31</v>
      </c>
      <c r="M5094" t="s">
        <v>32</v>
      </c>
      <c r="N5094" t="str">
        <f t="shared" si="75"/>
        <v>2/13/2008 12:00:00 AM</v>
      </c>
      <c r="O5094" t="s">
        <v>15576</v>
      </c>
    </row>
    <row r="5095" spans="1:20" x14ac:dyDescent="0.25">
      <c r="A5095" t="str">
        <f>"3078874"</f>
        <v>3078874</v>
      </c>
      <c r="B5095" t="s">
        <v>15584</v>
      </c>
      <c r="C5095" t="str">
        <f t="shared" si="74"/>
        <v>82523766</v>
      </c>
      <c r="D5095" t="s">
        <v>15576</v>
      </c>
      <c r="F5095" t="s">
        <v>15577</v>
      </c>
      <c r="I5095" t="s">
        <v>29</v>
      </c>
      <c r="J5095" t="s">
        <v>30</v>
      </c>
      <c r="K5095" t="s">
        <v>31</v>
      </c>
      <c r="M5095" t="s">
        <v>32</v>
      </c>
      <c r="N5095" t="str">
        <f t="shared" si="75"/>
        <v>2/13/2008 12:00:00 AM</v>
      </c>
      <c r="O5095" t="s">
        <v>15576</v>
      </c>
    </row>
    <row r="5096" spans="1:20" x14ac:dyDescent="0.25">
      <c r="A5096" t="str">
        <f>"3055397"</f>
        <v>3055397</v>
      </c>
      <c r="B5096" t="s">
        <v>15585</v>
      </c>
      <c r="C5096" t="str">
        <f>"82523767"</f>
        <v>82523767</v>
      </c>
      <c r="D5096" t="s">
        <v>15586</v>
      </c>
      <c r="E5096" t="s">
        <v>15587</v>
      </c>
      <c r="F5096" t="s">
        <v>15577</v>
      </c>
      <c r="I5096" t="s">
        <v>29</v>
      </c>
      <c r="J5096" t="s">
        <v>30</v>
      </c>
      <c r="K5096" t="s">
        <v>31</v>
      </c>
      <c r="N5096" t="str">
        <f>"1/24/2005 12:00:00 AM"</f>
        <v>1/24/2005 12:00:00 AM</v>
      </c>
      <c r="O5096" t="s">
        <v>15586</v>
      </c>
      <c r="T5096" t="s">
        <v>15587</v>
      </c>
    </row>
    <row r="5097" spans="1:20" x14ac:dyDescent="0.25">
      <c r="A5097" t="str">
        <f>"3055618"</f>
        <v>3055618</v>
      </c>
      <c r="B5097" t="s">
        <v>15588</v>
      </c>
      <c r="C5097" t="str">
        <f>"82525224"</f>
        <v>82525224</v>
      </c>
      <c r="D5097" t="s">
        <v>15589</v>
      </c>
      <c r="E5097" t="s">
        <v>15590</v>
      </c>
      <c r="F5097" t="s">
        <v>15591</v>
      </c>
      <c r="I5097" t="s">
        <v>29</v>
      </c>
      <c r="J5097" t="s">
        <v>30</v>
      </c>
      <c r="K5097" t="s">
        <v>12113</v>
      </c>
      <c r="M5097" t="s">
        <v>32</v>
      </c>
      <c r="N5097" t="str">
        <f>"1/11/2006 12:00:00 AM"</f>
        <v>1/11/2006 12:00:00 AM</v>
      </c>
      <c r="O5097" t="s">
        <v>15589</v>
      </c>
      <c r="T5097" t="s">
        <v>15590</v>
      </c>
    </row>
    <row r="5098" spans="1:20" x14ac:dyDescent="0.25">
      <c r="A5098" t="str">
        <f>"3055507"</f>
        <v>3055507</v>
      </c>
      <c r="B5098" t="s">
        <v>15592</v>
      </c>
      <c r="C5098" t="str">
        <f>"28140000"</f>
        <v>28140000</v>
      </c>
      <c r="D5098" t="s">
        <v>15593</v>
      </c>
      <c r="E5098" t="s">
        <v>15594</v>
      </c>
      <c r="F5098" t="s">
        <v>15595</v>
      </c>
      <c r="I5098" t="s">
        <v>29</v>
      </c>
      <c r="J5098" t="s">
        <v>30</v>
      </c>
      <c r="K5098" t="s">
        <v>31</v>
      </c>
      <c r="M5098" t="s">
        <v>32</v>
      </c>
      <c r="N5098" t="str">
        <f>"2/1/2010 12:00:00 AM"</f>
        <v>2/1/2010 12:00:00 AM</v>
      </c>
      <c r="O5098" t="s">
        <v>15593</v>
      </c>
      <c r="T5098" t="s">
        <v>15594</v>
      </c>
    </row>
    <row r="5099" spans="1:20" x14ac:dyDescent="0.25">
      <c r="A5099" t="str">
        <f>"3055472"</f>
        <v>3055472</v>
      </c>
      <c r="B5099" t="s">
        <v>15596</v>
      </c>
      <c r="C5099" t="str">
        <f>"16640250"</f>
        <v>16640250</v>
      </c>
      <c r="D5099" t="s">
        <v>15597</v>
      </c>
      <c r="F5099" t="s">
        <v>15598</v>
      </c>
      <c r="I5099" t="s">
        <v>29</v>
      </c>
      <c r="J5099" t="s">
        <v>30</v>
      </c>
      <c r="K5099" t="s">
        <v>31</v>
      </c>
      <c r="M5099" t="s">
        <v>32</v>
      </c>
      <c r="N5099" t="str">
        <f>"1/12/2005 12:00:00 AM"</f>
        <v>1/12/2005 12:00:00 AM</v>
      </c>
      <c r="O5099" t="s">
        <v>15597</v>
      </c>
    </row>
    <row r="5100" spans="1:20" x14ac:dyDescent="0.25">
      <c r="A5100" t="str">
        <f>"3055504"</f>
        <v>3055504</v>
      </c>
      <c r="B5100" t="s">
        <v>15599</v>
      </c>
      <c r="C5100" t="str">
        <f>"16640250"</f>
        <v>16640250</v>
      </c>
      <c r="D5100" t="s">
        <v>15597</v>
      </c>
      <c r="F5100" t="s">
        <v>15598</v>
      </c>
      <c r="I5100" t="s">
        <v>29</v>
      </c>
      <c r="J5100" t="s">
        <v>30</v>
      </c>
      <c r="K5100" t="s">
        <v>31</v>
      </c>
      <c r="M5100" t="s">
        <v>32</v>
      </c>
      <c r="N5100" t="str">
        <f>"1/12/2005 12:00:00 AM"</f>
        <v>1/12/2005 12:00:00 AM</v>
      </c>
      <c r="O5100" t="s">
        <v>15597</v>
      </c>
    </row>
    <row r="5101" spans="1:20" x14ac:dyDescent="0.25">
      <c r="A5101" t="str">
        <f>"3057576"</f>
        <v>3057576</v>
      </c>
      <c r="B5101" t="s">
        <v>15600</v>
      </c>
      <c r="C5101" t="str">
        <f>"47236500"</f>
        <v>47236500</v>
      </c>
      <c r="D5101" t="s">
        <v>15601</v>
      </c>
      <c r="E5101" t="s">
        <v>15602</v>
      </c>
      <c r="F5101" t="s">
        <v>15603</v>
      </c>
      <c r="I5101" t="s">
        <v>29</v>
      </c>
      <c r="J5101" t="s">
        <v>30</v>
      </c>
      <c r="K5101" t="s">
        <v>15604</v>
      </c>
      <c r="M5101" t="s">
        <v>32</v>
      </c>
      <c r="N5101" t="str">
        <f>"3/7/2005 12:00:00 AM"</f>
        <v>3/7/2005 12:00:00 AM</v>
      </c>
      <c r="O5101" t="s">
        <v>15601</v>
      </c>
      <c r="T5101" t="s">
        <v>15602</v>
      </c>
    </row>
    <row r="5102" spans="1:20" x14ac:dyDescent="0.25">
      <c r="A5102" t="str">
        <f>"3055147"</f>
        <v>3055147</v>
      </c>
      <c r="B5102" t="s">
        <v>15605</v>
      </c>
      <c r="C5102" t="str">
        <f>"7920000"</f>
        <v>7920000</v>
      </c>
      <c r="D5102" t="s">
        <v>15606</v>
      </c>
      <c r="F5102" t="s">
        <v>15607</v>
      </c>
      <c r="I5102" t="s">
        <v>29</v>
      </c>
      <c r="J5102" t="s">
        <v>30</v>
      </c>
      <c r="K5102" t="s">
        <v>31</v>
      </c>
      <c r="M5102" t="s">
        <v>32</v>
      </c>
      <c r="N5102" t="str">
        <f>"1/9/2008 12:00:00 AM"</f>
        <v>1/9/2008 12:00:00 AM</v>
      </c>
      <c r="O5102" t="s">
        <v>15606</v>
      </c>
    </row>
    <row r="5103" spans="1:20" x14ac:dyDescent="0.25">
      <c r="A5103" t="str">
        <f>"3054711"</f>
        <v>3054711</v>
      </c>
      <c r="B5103" t="s">
        <v>15608</v>
      </c>
      <c r="C5103" t="str">
        <f>"82526519"</f>
        <v>82526519</v>
      </c>
      <c r="D5103" t="s">
        <v>15609</v>
      </c>
      <c r="E5103" t="s">
        <v>15610</v>
      </c>
      <c r="F5103" t="s">
        <v>15611</v>
      </c>
      <c r="I5103" t="s">
        <v>29</v>
      </c>
      <c r="J5103" t="s">
        <v>30</v>
      </c>
      <c r="K5103" t="s">
        <v>15612</v>
      </c>
      <c r="M5103" t="s">
        <v>32</v>
      </c>
      <c r="N5103" t="str">
        <f>"1/9/2007 12:00:00 AM"</f>
        <v>1/9/2007 12:00:00 AM</v>
      </c>
      <c r="O5103" t="s">
        <v>15609</v>
      </c>
      <c r="T5103" t="s">
        <v>15610</v>
      </c>
    </row>
    <row r="5104" spans="1:20" x14ac:dyDescent="0.25">
      <c r="A5104" t="str">
        <f>"3055381"</f>
        <v>3055381</v>
      </c>
      <c r="B5104" t="s">
        <v>15613</v>
      </c>
      <c r="C5104" t="str">
        <f>"82526519"</f>
        <v>82526519</v>
      </c>
      <c r="D5104" t="s">
        <v>15609</v>
      </c>
      <c r="E5104" t="s">
        <v>15610</v>
      </c>
      <c r="F5104" t="s">
        <v>15611</v>
      </c>
      <c r="I5104" t="s">
        <v>29</v>
      </c>
      <c r="J5104" t="s">
        <v>30</v>
      </c>
      <c r="K5104" t="s">
        <v>15612</v>
      </c>
      <c r="M5104" t="s">
        <v>32</v>
      </c>
      <c r="N5104" t="str">
        <f>"1/9/2007 12:00:00 AM"</f>
        <v>1/9/2007 12:00:00 AM</v>
      </c>
      <c r="O5104" t="s">
        <v>15609</v>
      </c>
      <c r="T5104" t="s">
        <v>15610</v>
      </c>
    </row>
    <row r="5105" spans="1:20" x14ac:dyDescent="0.25">
      <c r="A5105" t="str">
        <f>"3064530"</f>
        <v>3064530</v>
      </c>
      <c r="B5105" t="s">
        <v>15614</v>
      </c>
      <c r="C5105" t="str">
        <f>"19229500"</f>
        <v>19229500</v>
      </c>
      <c r="D5105" t="s">
        <v>15615</v>
      </c>
      <c r="E5105" t="s">
        <v>15616</v>
      </c>
      <c r="F5105" t="s">
        <v>15617</v>
      </c>
      <c r="I5105" t="s">
        <v>29</v>
      </c>
      <c r="J5105" t="s">
        <v>30</v>
      </c>
      <c r="K5105" t="s">
        <v>15618</v>
      </c>
      <c r="M5105" t="s">
        <v>32</v>
      </c>
      <c r="N5105" t="str">
        <f>"2/7/2007 12:00:00 AM"</f>
        <v>2/7/2007 12:00:00 AM</v>
      </c>
      <c r="O5105" t="s">
        <v>15615</v>
      </c>
      <c r="T5105" t="s">
        <v>15616</v>
      </c>
    </row>
    <row r="5106" spans="1:20" x14ac:dyDescent="0.25">
      <c r="A5106" t="str">
        <f>"3055049"</f>
        <v>3055049</v>
      </c>
      <c r="B5106" t="s">
        <v>15619</v>
      </c>
      <c r="C5106" t="str">
        <f>"19123000"</f>
        <v>19123000</v>
      </c>
      <c r="D5106" t="s">
        <v>15620</v>
      </c>
      <c r="F5106" t="s">
        <v>15621</v>
      </c>
      <c r="I5106" t="s">
        <v>29</v>
      </c>
      <c r="J5106" t="s">
        <v>30</v>
      </c>
      <c r="K5106" t="s">
        <v>31</v>
      </c>
      <c r="M5106" t="s">
        <v>32</v>
      </c>
      <c r="N5106" t="str">
        <f>"1/8/2004 12:00:00 AM"</f>
        <v>1/8/2004 12:00:00 AM</v>
      </c>
      <c r="O5106" t="s">
        <v>15620</v>
      </c>
    </row>
    <row r="5107" spans="1:20" x14ac:dyDescent="0.25">
      <c r="A5107" t="str">
        <f>"3054962"</f>
        <v>3054962</v>
      </c>
      <c r="B5107" t="s">
        <v>15622</v>
      </c>
      <c r="C5107" t="str">
        <f>"19123000"</f>
        <v>19123000</v>
      </c>
      <c r="D5107" t="s">
        <v>15620</v>
      </c>
      <c r="F5107" t="s">
        <v>15621</v>
      </c>
      <c r="I5107" t="s">
        <v>29</v>
      </c>
      <c r="J5107" t="s">
        <v>30</v>
      </c>
      <c r="K5107" t="s">
        <v>31</v>
      </c>
      <c r="M5107" t="s">
        <v>32</v>
      </c>
      <c r="N5107" t="str">
        <f>"1/8/2004 12:00:00 AM"</f>
        <v>1/8/2004 12:00:00 AM</v>
      </c>
      <c r="O5107" t="s">
        <v>15620</v>
      </c>
    </row>
    <row r="5108" spans="1:20" x14ac:dyDescent="0.25">
      <c r="A5108" t="str">
        <f>"3054956"</f>
        <v>3054956</v>
      </c>
      <c r="B5108" t="s">
        <v>15623</v>
      </c>
      <c r="C5108" t="str">
        <f>"19123000"</f>
        <v>19123000</v>
      </c>
      <c r="D5108" t="s">
        <v>15620</v>
      </c>
      <c r="F5108" t="s">
        <v>15621</v>
      </c>
      <c r="I5108" t="s">
        <v>29</v>
      </c>
      <c r="J5108" t="s">
        <v>30</v>
      </c>
      <c r="K5108" t="s">
        <v>31</v>
      </c>
      <c r="M5108" t="s">
        <v>32</v>
      </c>
      <c r="N5108" t="str">
        <f>"1/8/2004 12:00:00 AM"</f>
        <v>1/8/2004 12:00:00 AM</v>
      </c>
      <c r="O5108" t="s">
        <v>15620</v>
      </c>
    </row>
    <row r="5109" spans="1:20" x14ac:dyDescent="0.25">
      <c r="A5109" t="str">
        <f>"3055018"</f>
        <v>3055018</v>
      </c>
      <c r="B5109" t="s">
        <v>15624</v>
      </c>
      <c r="C5109" t="str">
        <f>"82521956"</f>
        <v>82521956</v>
      </c>
      <c r="D5109" t="s">
        <v>15625</v>
      </c>
      <c r="F5109" t="s">
        <v>15626</v>
      </c>
      <c r="I5109" t="s">
        <v>29</v>
      </c>
      <c r="J5109" t="s">
        <v>30</v>
      </c>
      <c r="K5109" t="s">
        <v>31</v>
      </c>
      <c r="M5109" t="s">
        <v>32</v>
      </c>
      <c r="N5109" t="str">
        <f>"1/8/2004 12:00:00 AM"</f>
        <v>1/8/2004 12:00:00 AM</v>
      </c>
      <c r="O5109" t="s">
        <v>15625</v>
      </c>
    </row>
    <row r="5110" spans="1:20" x14ac:dyDescent="0.25">
      <c r="A5110" t="str">
        <f>"3055153"</f>
        <v>3055153</v>
      </c>
      <c r="B5110" t="s">
        <v>15627</v>
      </c>
      <c r="C5110" t="str">
        <f>"76372000"</f>
        <v>76372000</v>
      </c>
      <c r="D5110" t="s">
        <v>15628</v>
      </c>
      <c r="E5110" t="s">
        <v>15629</v>
      </c>
      <c r="F5110" t="s">
        <v>15630</v>
      </c>
      <c r="I5110" t="s">
        <v>29</v>
      </c>
      <c r="J5110" t="s">
        <v>30</v>
      </c>
      <c r="K5110" t="s">
        <v>15631</v>
      </c>
      <c r="M5110" t="s">
        <v>32</v>
      </c>
      <c r="N5110" t="str">
        <f>"1/22/2007 12:00:00 AM"</f>
        <v>1/22/2007 12:00:00 AM</v>
      </c>
      <c r="O5110" t="s">
        <v>15628</v>
      </c>
      <c r="T5110" t="s">
        <v>15629</v>
      </c>
    </row>
    <row r="5111" spans="1:20" x14ac:dyDescent="0.25">
      <c r="A5111" t="str">
        <f>"3055021"</f>
        <v>3055021</v>
      </c>
      <c r="B5111" t="s">
        <v>15632</v>
      </c>
      <c r="C5111" t="str">
        <f>"82518543"</f>
        <v>82518543</v>
      </c>
      <c r="D5111" t="s">
        <v>15433</v>
      </c>
      <c r="G5111" t="s">
        <v>15434</v>
      </c>
      <c r="I5111" t="s">
        <v>29</v>
      </c>
      <c r="J5111" t="s">
        <v>30</v>
      </c>
      <c r="K5111" t="s">
        <v>31</v>
      </c>
      <c r="M5111" t="s">
        <v>32</v>
      </c>
      <c r="N5111" t="str">
        <f>"8/24/2006 12:00:00 AM"</f>
        <v>8/24/2006 12:00:00 AM</v>
      </c>
      <c r="O5111" t="s">
        <v>15433</v>
      </c>
    </row>
    <row r="5112" spans="1:20" x14ac:dyDescent="0.25">
      <c r="A5112" t="str">
        <f>"3055934"</f>
        <v>3055934</v>
      </c>
      <c r="B5112" t="s">
        <v>15633</v>
      </c>
      <c r="C5112" t="str">
        <f>"22552000"</f>
        <v>22552000</v>
      </c>
      <c r="D5112" t="s">
        <v>15634</v>
      </c>
      <c r="E5112" t="s">
        <v>15635</v>
      </c>
      <c r="F5112" t="s">
        <v>15636</v>
      </c>
      <c r="I5112" t="s">
        <v>9580</v>
      </c>
      <c r="J5112" t="s">
        <v>30</v>
      </c>
      <c r="K5112" t="s">
        <v>15637</v>
      </c>
      <c r="M5112" t="s">
        <v>32</v>
      </c>
      <c r="N5112" t="str">
        <f>"8/3/2010 12:00:00 AM"</f>
        <v>8/3/2010 12:00:00 AM</v>
      </c>
      <c r="O5112" t="s">
        <v>15634</v>
      </c>
      <c r="T5112" t="s">
        <v>15635</v>
      </c>
    </row>
    <row r="5113" spans="1:20" x14ac:dyDescent="0.25">
      <c r="A5113" t="str">
        <f>"3055134"</f>
        <v>3055134</v>
      </c>
      <c r="B5113" t="s">
        <v>15638</v>
      </c>
      <c r="C5113" t="str">
        <f>"19123250"</f>
        <v>19123250</v>
      </c>
      <c r="D5113" t="s">
        <v>15639</v>
      </c>
      <c r="E5113" t="s">
        <v>15640</v>
      </c>
      <c r="F5113" t="s">
        <v>15641</v>
      </c>
      <c r="I5113" t="s">
        <v>29</v>
      </c>
      <c r="J5113" t="s">
        <v>30</v>
      </c>
      <c r="K5113" t="s">
        <v>31</v>
      </c>
      <c r="M5113" t="s">
        <v>32</v>
      </c>
      <c r="N5113" t="str">
        <f>"11/1/2002 12:00:00 AM"</f>
        <v>11/1/2002 12:00:00 AM</v>
      </c>
      <c r="O5113" t="s">
        <v>15639</v>
      </c>
      <c r="T5113" t="s">
        <v>15640</v>
      </c>
    </row>
    <row r="5114" spans="1:20" x14ac:dyDescent="0.25">
      <c r="A5114" t="str">
        <f>"3055119"</f>
        <v>3055119</v>
      </c>
      <c r="B5114" t="s">
        <v>15642</v>
      </c>
      <c r="C5114" t="str">
        <f>"19123250"</f>
        <v>19123250</v>
      </c>
      <c r="D5114" t="s">
        <v>15639</v>
      </c>
      <c r="E5114" t="s">
        <v>15640</v>
      </c>
      <c r="F5114" t="s">
        <v>15641</v>
      </c>
      <c r="I5114" t="s">
        <v>29</v>
      </c>
      <c r="J5114" t="s">
        <v>30</v>
      </c>
      <c r="K5114" t="s">
        <v>31</v>
      </c>
      <c r="M5114" t="s">
        <v>32</v>
      </c>
      <c r="N5114" t="str">
        <f>"11/1/2002 12:00:00 AM"</f>
        <v>11/1/2002 12:00:00 AM</v>
      </c>
      <c r="O5114" t="s">
        <v>15639</v>
      </c>
      <c r="T5114" t="s">
        <v>15640</v>
      </c>
    </row>
    <row r="5115" spans="1:20" x14ac:dyDescent="0.25">
      <c r="A5115" t="str">
        <f>"3055167"</f>
        <v>3055167</v>
      </c>
      <c r="B5115" t="s">
        <v>15643</v>
      </c>
      <c r="C5115" t="str">
        <f>"70534630"</f>
        <v>70534630</v>
      </c>
      <c r="D5115" t="s">
        <v>15644</v>
      </c>
      <c r="E5115" t="s">
        <v>15645</v>
      </c>
      <c r="F5115" t="s">
        <v>15646</v>
      </c>
      <c r="I5115" t="s">
        <v>29</v>
      </c>
      <c r="J5115" t="s">
        <v>30</v>
      </c>
      <c r="K5115" t="s">
        <v>31</v>
      </c>
      <c r="M5115" t="s">
        <v>32</v>
      </c>
      <c r="N5115" t="str">
        <f>"11/1/2002 12:00:00 AM"</f>
        <v>11/1/2002 12:00:00 AM</v>
      </c>
      <c r="O5115" t="s">
        <v>15644</v>
      </c>
      <c r="T5115" t="s">
        <v>15645</v>
      </c>
    </row>
    <row r="5116" spans="1:20" x14ac:dyDescent="0.25">
      <c r="A5116" t="str">
        <f>"3057250"</f>
        <v>3057250</v>
      </c>
      <c r="B5116" t="s">
        <v>15647</v>
      </c>
      <c r="C5116" t="str">
        <f>"82530118"</f>
        <v>82530118</v>
      </c>
      <c r="D5116" t="s">
        <v>15648</v>
      </c>
      <c r="E5116" t="s">
        <v>15649</v>
      </c>
      <c r="F5116" t="s">
        <v>15650</v>
      </c>
      <c r="I5116" t="s">
        <v>29</v>
      </c>
      <c r="J5116" t="s">
        <v>30</v>
      </c>
      <c r="K5116" t="s">
        <v>31</v>
      </c>
      <c r="M5116" t="s">
        <v>32</v>
      </c>
      <c r="N5116" t="str">
        <f>"9/26/2008 12:00:00 AM"</f>
        <v>9/26/2008 12:00:00 AM</v>
      </c>
      <c r="O5116" t="s">
        <v>15648</v>
      </c>
      <c r="T5116" t="s">
        <v>15649</v>
      </c>
    </row>
    <row r="5117" spans="1:20" x14ac:dyDescent="0.25">
      <c r="A5117" t="str">
        <f>"3069763"</f>
        <v>3069763</v>
      </c>
      <c r="B5117" t="s">
        <v>15651</v>
      </c>
      <c r="C5117" t="str">
        <f>"82530118"</f>
        <v>82530118</v>
      </c>
      <c r="D5117" t="s">
        <v>15648</v>
      </c>
      <c r="E5117" t="s">
        <v>15649</v>
      </c>
      <c r="F5117" t="s">
        <v>15650</v>
      </c>
      <c r="I5117" t="s">
        <v>29</v>
      </c>
      <c r="J5117" t="s">
        <v>30</v>
      </c>
      <c r="K5117" t="s">
        <v>31</v>
      </c>
      <c r="M5117" t="s">
        <v>32</v>
      </c>
      <c r="N5117" t="str">
        <f>"9/26/2008 12:00:00 AM"</f>
        <v>9/26/2008 12:00:00 AM</v>
      </c>
      <c r="O5117" t="s">
        <v>15648</v>
      </c>
      <c r="T5117" t="s">
        <v>15649</v>
      </c>
    </row>
    <row r="5118" spans="1:20" x14ac:dyDescent="0.25">
      <c r="A5118" t="str">
        <f>"3062206"</f>
        <v>3062206</v>
      </c>
      <c r="B5118" t="s">
        <v>15652</v>
      </c>
      <c r="C5118" t="str">
        <f>"82517146"</f>
        <v>82517146</v>
      </c>
      <c r="D5118" t="s">
        <v>15653</v>
      </c>
      <c r="E5118" t="s">
        <v>15654</v>
      </c>
      <c r="F5118" t="s">
        <v>15655</v>
      </c>
      <c r="I5118" t="s">
        <v>29</v>
      </c>
      <c r="J5118" t="s">
        <v>30</v>
      </c>
      <c r="K5118" t="s">
        <v>15656</v>
      </c>
      <c r="M5118" t="s">
        <v>32</v>
      </c>
      <c r="N5118" t="str">
        <f>"1/12/2007 12:00:00 AM"</f>
        <v>1/12/2007 12:00:00 AM</v>
      </c>
      <c r="O5118" t="s">
        <v>15653</v>
      </c>
      <c r="T5118" t="s">
        <v>15654</v>
      </c>
    </row>
    <row r="5119" spans="1:20" x14ac:dyDescent="0.25">
      <c r="A5119" t="str">
        <f>"3055164"</f>
        <v>3055164</v>
      </c>
      <c r="B5119" t="s">
        <v>15657</v>
      </c>
      <c r="C5119" t="str">
        <f>"17948000"</f>
        <v>17948000</v>
      </c>
      <c r="D5119" t="s">
        <v>15658</v>
      </c>
      <c r="E5119" t="s">
        <v>15659</v>
      </c>
      <c r="F5119" t="s">
        <v>15660</v>
      </c>
      <c r="I5119" t="s">
        <v>29</v>
      </c>
      <c r="J5119" t="s">
        <v>30</v>
      </c>
      <c r="K5119" t="s">
        <v>31</v>
      </c>
      <c r="M5119" t="s">
        <v>32</v>
      </c>
      <c r="N5119" t="str">
        <f>"10/31/2002 12:00:00 AM"</f>
        <v>10/31/2002 12:00:00 AM</v>
      </c>
      <c r="O5119" t="s">
        <v>15658</v>
      </c>
      <c r="T5119" t="s">
        <v>15659</v>
      </c>
    </row>
    <row r="5120" spans="1:20" x14ac:dyDescent="0.25">
      <c r="A5120" t="str">
        <f>"3054875"</f>
        <v>3054875</v>
      </c>
      <c r="B5120" t="s">
        <v>15661</v>
      </c>
      <c r="C5120" t="str">
        <f>"25328000"</f>
        <v>25328000</v>
      </c>
      <c r="D5120" t="s">
        <v>15662</v>
      </c>
      <c r="F5120" t="str">
        <f>"C/O APRIL RICHEE"</f>
        <v>C/O APRIL RICHEE</v>
      </c>
      <c r="G5120" t="s">
        <v>15663</v>
      </c>
      <c r="I5120" t="s">
        <v>3580</v>
      </c>
      <c r="J5120" t="s">
        <v>30</v>
      </c>
      <c r="K5120" t="s">
        <v>625</v>
      </c>
      <c r="M5120" t="s">
        <v>32</v>
      </c>
      <c r="N5120" t="str">
        <f>"8/26/2011 12:00:00 AM"</f>
        <v>8/26/2011 12:00:00 AM</v>
      </c>
      <c r="O5120" t="s">
        <v>15662</v>
      </c>
    </row>
    <row r="5121" spans="1:20" x14ac:dyDescent="0.25">
      <c r="A5121" t="str">
        <f>"3054086"</f>
        <v>3054086</v>
      </c>
      <c r="B5121" t="s">
        <v>15664</v>
      </c>
      <c r="C5121" t="str">
        <f>"24260000"</f>
        <v>24260000</v>
      </c>
      <c r="D5121" t="s">
        <v>15665</v>
      </c>
      <c r="F5121" t="s">
        <v>15666</v>
      </c>
      <c r="I5121" t="s">
        <v>9580</v>
      </c>
      <c r="J5121" t="s">
        <v>30</v>
      </c>
      <c r="K5121" t="s">
        <v>9581</v>
      </c>
      <c r="M5121" t="s">
        <v>32</v>
      </c>
      <c r="N5121" t="str">
        <f>"4/23/2003 12:00:00 AM"</f>
        <v>4/23/2003 12:00:00 AM</v>
      </c>
      <c r="O5121" t="s">
        <v>15665</v>
      </c>
    </row>
    <row r="5122" spans="1:20" x14ac:dyDescent="0.25">
      <c r="A5122" t="str">
        <f>"3055405"</f>
        <v>3055405</v>
      </c>
      <c r="B5122" t="s">
        <v>15667</v>
      </c>
      <c r="C5122" t="str">
        <f>"82518653"</f>
        <v>82518653</v>
      </c>
      <c r="D5122" t="s">
        <v>15668</v>
      </c>
      <c r="F5122" t="s">
        <v>15669</v>
      </c>
      <c r="I5122" t="s">
        <v>29</v>
      </c>
      <c r="J5122" t="s">
        <v>30</v>
      </c>
      <c r="K5122" t="s">
        <v>31</v>
      </c>
      <c r="M5122" t="s">
        <v>32</v>
      </c>
      <c r="N5122" t="str">
        <f>"6/16/2005 12:00:00 AM"</f>
        <v>6/16/2005 12:00:00 AM</v>
      </c>
      <c r="O5122" t="s">
        <v>15668</v>
      </c>
    </row>
    <row r="5123" spans="1:20" x14ac:dyDescent="0.25">
      <c r="A5123" t="str">
        <f>"3053572"</f>
        <v>3053572</v>
      </c>
      <c r="B5123" t="s">
        <v>15670</v>
      </c>
      <c r="C5123" t="str">
        <f>"82514577"</f>
        <v>82514577</v>
      </c>
      <c r="D5123" t="s">
        <v>15671</v>
      </c>
      <c r="E5123" t="s">
        <v>15672</v>
      </c>
      <c r="F5123" t="s">
        <v>15673</v>
      </c>
      <c r="I5123" t="s">
        <v>184</v>
      </c>
      <c r="J5123" t="s">
        <v>30</v>
      </c>
      <c r="K5123" t="s">
        <v>15674</v>
      </c>
      <c r="N5123" t="str">
        <f>"2/9/2006 12:00:00 AM"</f>
        <v>2/9/2006 12:00:00 AM</v>
      </c>
      <c r="O5123" t="s">
        <v>15671</v>
      </c>
      <c r="T5123" t="s">
        <v>15672</v>
      </c>
    </row>
    <row r="5124" spans="1:20" x14ac:dyDescent="0.25">
      <c r="A5124" t="str">
        <f>"3053573"</f>
        <v>3053573</v>
      </c>
      <c r="B5124" t="s">
        <v>15675</v>
      </c>
      <c r="C5124" t="str">
        <f>"68868100"</f>
        <v>68868100</v>
      </c>
      <c r="D5124" t="s">
        <v>15676</v>
      </c>
      <c r="E5124" t="s">
        <v>15677</v>
      </c>
      <c r="F5124" t="s">
        <v>15678</v>
      </c>
      <c r="I5124" t="s">
        <v>184</v>
      </c>
      <c r="J5124" t="s">
        <v>30</v>
      </c>
      <c r="K5124" t="s">
        <v>185</v>
      </c>
      <c r="M5124" t="s">
        <v>32</v>
      </c>
      <c r="N5124" t="str">
        <f>"11/1/2002 12:00:00 AM"</f>
        <v>11/1/2002 12:00:00 AM</v>
      </c>
      <c r="O5124" t="s">
        <v>15676</v>
      </c>
      <c r="T5124" t="s">
        <v>15677</v>
      </c>
    </row>
    <row r="5125" spans="1:20" x14ac:dyDescent="0.25">
      <c r="A5125" t="str">
        <f>"3078790"</f>
        <v>3078790</v>
      </c>
      <c r="B5125" t="s">
        <v>15679</v>
      </c>
      <c r="C5125" t="str">
        <f>"5049000"</f>
        <v>5049000</v>
      </c>
      <c r="D5125" t="s">
        <v>15680</v>
      </c>
      <c r="E5125" t="s">
        <v>15681</v>
      </c>
      <c r="F5125" t="s">
        <v>15682</v>
      </c>
      <c r="I5125" t="s">
        <v>184</v>
      </c>
      <c r="J5125" t="s">
        <v>30</v>
      </c>
      <c r="K5125" t="s">
        <v>185</v>
      </c>
      <c r="M5125" t="s">
        <v>32</v>
      </c>
      <c r="N5125" t="str">
        <f>"5/20/2003 12:00:00 AM"</f>
        <v>5/20/2003 12:00:00 AM</v>
      </c>
      <c r="O5125" t="s">
        <v>15680</v>
      </c>
      <c r="T5125" t="s">
        <v>15681</v>
      </c>
    </row>
    <row r="5126" spans="1:20" x14ac:dyDescent="0.25">
      <c r="A5126" t="str">
        <f>"3070966"</f>
        <v>3070966</v>
      </c>
      <c r="B5126" t="s">
        <v>15683</v>
      </c>
      <c r="C5126" t="str">
        <f>"77452000"</f>
        <v>77452000</v>
      </c>
      <c r="D5126" t="s">
        <v>15684</v>
      </c>
      <c r="E5126" t="s">
        <v>15685</v>
      </c>
      <c r="F5126" t="s">
        <v>15686</v>
      </c>
      <c r="I5126" t="s">
        <v>29</v>
      </c>
      <c r="J5126" t="s">
        <v>30</v>
      </c>
      <c r="K5126" t="s">
        <v>31</v>
      </c>
      <c r="M5126" t="s">
        <v>32</v>
      </c>
      <c r="N5126" t="str">
        <f>"6/25/2004 12:00:00 AM"</f>
        <v>6/25/2004 12:00:00 AM</v>
      </c>
      <c r="O5126" t="s">
        <v>15684</v>
      </c>
      <c r="T5126" t="s">
        <v>15685</v>
      </c>
    </row>
    <row r="5127" spans="1:20" x14ac:dyDescent="0.25">
      <c r="A5127" t="str">
        <f>"3078759"</f>
        <v>3078759</v>
      </c>
      <c r="B5127" t="s">
        <v>15687</v>
      </c>
      <c r="C5127" t="str">
        <f>"82513052"</f>
        <v>82513052</v>
      </c>
      <c r="D5127" t="s">
        <v>15688</v>
      </c>
      <c r="E5127" t="s">
        <v>15689</v>
      </c>
      <c r="F5127" t="s">
        <v>15690</v>
      </c>
      <c r="I5127" t="s">
        <v>29</v>
      </c>
      <c r="J5127" t="s">
        <v>30</v>
      </c>
      <c r="K5127" t="s">
        <v>31</v>
      </c>
      <c r="M5127" t="s">
        <v>32</v>
      </c>
      <c r="N5127" t="str">
        <f>"9/28/1999 12:00:00 AM"</f>
        <v>9/28/1999 12:00:00 AM</v>
      </c>
      <c r="O5127" t="s">
        <v>15688</v>
      </c>
      <c r="T5127" t="s">
        <v>15689</v>
      </c>
    </row>
    <row r="5128" spans="1:20" x14ac:dyDescent="0.25">
      <c r="A5128" t="str">
        <f>"3053771"</f>
        <v>3053771</v>
      </c>
      <c r="B5128" t="s">
        <v>15691</v>
      </c>
      <c r="C5128" t="str">
        <f>"82524087"</f>
        <v>82524087</v>
      </c>
      <c r="D5128" t="s">
        <v>15692</v>
      </c>
      <c r="E5128" t="s">
        <v>15693</v>
      </c>
      <c r="F5128" t="s">
        <v>15694</v>
      </c>
      <c r="I5128" t="s">
        <v>184</v>
      </c>
      <c r="J5128" t="s">
        <v>30</v>
      </c>
      <c r="K5128" t="s">
        <v>15695</v>
      </c>
      <c r="M5128" t="s">
        <v>32</v>
      </c>
      <c r="N5128" t="str">
        <f>"2/1/2007 12:00:00 AM"</f>
        <v>2/1/2007 12:00:00 AM</v>
      </c>
      <c r="O5128" t="s">
        <v>15692</v>
      </c>
      <c r="T5128" t="s">
        <v>15693</v>
      </c>
    </row>
    <row r="5129" spans="1:20" x14ac:dyDescent="0.25">
      <c r="A5129" t="str">
        <f>"3071776"</f>
        <v>3071776</v>
      </c>
      <c r="B5129" t="s">
        <v>15696</v>
      </c>
      <c r="C5129" t="str">
        <f>"82518398"</f>
        <v>82518398</v>
      </c>
      <c r="D5129" t="s">
        <v>15697</v>
      </c>
      <c r="F5129" t="s">
        <v>15698</v>
      </c>
      <c r="I5129" t="s">
        <v>9824</v>
      </c>
      <c r="J5129" t="s">
        <v>30</v>
      </c>
      <c r="K5129" t="s">
        <v>15699</v>
      </c>
      <c r="M5129" t="s">
        <v>32</v>
      </c>
      <c r="N5129" t="str">
        <f>"1/12/2006 12:00:00 AM"</f>
        <v>1/12/2006 12:00:00 AM</v>
      </c>
      <c r="O5129" t="s">
        <v>15697</v>
      </c>
    </row>
    <row r="5130" spans="1:20" x14ac:dyDescent="0.25">
      <c r="A5130" t="str">
        <f>"3053506"</f>
        <v>3053506</v>
      </c>
      <c r="B5130" t="s">
        <v>15700</v>
      </c>
      <c r="C5130" t="str">
        <f>"82523867"</f>
        <v>82523867</v>
      </c>
      <c r="D5130" t="s">
        <v>15701</v>
      </c>
      <c r="F5130" t="s">
        <v>15702</v>
      </c>
      <c r="I5130" t="s">
        <v>184</v>
      </c>
      <c r="J5130" t="s">
        <v>30</v>
      </c>
      <c r="K5130" t="s">
        <v>15703</v>
      </c>
      <c r="M5130" t="s">
        <v>32</v>
      </c>
      <c r="N5130" t="str">
        <f>"1/4/2006 12:00:00 AM"</f>
        <v>1/4/2006 12:00:00 AM</v>
      </c>
      <c r="O5130" t="s">
        <v>15701</v>
      </c>
    </row>
    <row r="5131" spans="1:20" x14ac:dyDescent="0.25">
      <c r="A5131" t="str">
        <f>"3053605"</f>
        <v>3053605</v>
      </c>
      <c r="B5131" t="s">
        <v>15704</v>
      </c>
      <c r="C5131" t="str">
        <f>"26112000"</f>
        <v>26112000</v>
      </c>
      <c r="D5131" t="s">
        <v>15705</v>
      </c>
      <c r="E5131" t="s">
        <v>15706</v>
      </c>
      <c r="F5131" t="s">
        <v>15707</v>
      </c>
      <c r="I5131" t="s">
        <v>184</v>
      </c>
      <c r="J5131" t="s">
        <v>30</v>
      </c>
      <c r="K5131" t="s">
        <v>15703</v>
      </c>
      <c r="M5131" t="s">
        <v>32</v>
      </c>
      <c r="N5131" t="str">
        <f>"2/1/2006 12:00:00 AM"</f>
        <v>2/1/2006 12:00:00 AM</v>
      </c>
      <c r="O5131" t="s">
        <v>15705</v>
      </c>
      <c r="T5131" t="s">
        <v>15706</v>
      </c>
    </row>
    <row r="5132" spans="1:20" x14ac:dyDescent="0.25">
      <c r="A5132" t="str">
        <f>"3053575"</f>
        <v>3053575</v>
      </c>
      <c r="B5132" t="s">
        <v>15708</v>
      </c>
      <c r="C5132" t="str">
        <f>"79006000"</f>
        <v>79006000</v>
      </c>
      <c r="D5132" t="s">
        <v>15709</v>
      </c>
      <c r="E5132" t="s">
        <v>15710</v>
      </c>
      <c r="F5132" t="s">
        <v>15711</v>
      </c>
      <c r="I5132" t="s">
        <v>184</v>
      </c>
      <c r="J5132" t="s">
        <v>30</v>
      </c>
      <c r="K5132" t="s">
        <v>15712</v>
      </c>
      <c r="M5132" t="s">
        <v>32</v>
      </c>
      <c r="N5132" t="str">
        <f>"2/1/2006 12:00:00 AM"</f>
        <v>2/1/2006 12:00:00 AM</v>
      </c>
      <c r="O5132" t="s">
        <v>15709</v>
      </c>
      <c r="T5132" t="s">
        <v>15710</v>
      </c>
    </row>
    <row r="5133" spans="1:20" x14ac:dyDescent="0.25">
      <c r="A5133" t="str">
        <f>"3053607"</f>
        <v>3053607</v>
      </c>
      <c r="B5133" t="s">
        <v>15713</v>
      </c>
      <c r="C5133" t="str">
        <f>"81602500"</f>
        <v>81602500</v>
      </c>
      <c r="D5133" t="s">
        <v>15714</v>
      </c>
      <c r="E5133" t="s">
        <v>15715</v>
      </c>
      <c r="F5133" t="s">
        <v>15716</v>
      </c>
      <c r="I5133" t="s">
        <v>184</v>
      </c>
      <c r="J5133" t="s">
        <v>30</v>
      </c>
      <c r="K5133" t="s">
        <v>15717</v>
      </c>
      <c r="M5133" t="s">
        <v>32</v>
      </c>
      <c r="N5133" t="str">
        <f>"2/21/2005 12:00:00 AM"</f>
        <v>2/21/2005 12:00:00 AM</v>
      </c>
      <c r="O5133" t="s">
        <v>15714</v>
      </c>
      <c r="T5133" t="s">
        <v>15715</v>
      </c>
    </row>
    <row r="5134" spans="1:20" x14ac:dyDescent="0.25">
      <c r="A5134" t="str">
        <f>"3078794"</f>
        <v>3078794</v>
      </c>
      <c r="B5134" t="s">
        <v>15718</v>
      </c>
      <c r="C5134" t="str">
        <f>"81602500"</f>
        <v>81602500</v>
      </c>
      <c r="D5134" t="s">
        <v>15714</v>
      </c>
      <c r="E5134" t="s">
        <v>15715</v>
      </c>
      <c r="F5134" t="s">
        <v>15716</v>
      </c>
      <c r="I5134" t="s">
        <v>184</v>
      </c>
      <c r="J5134" t="s">
        <v>30</v>
      </c>
      <c r="K5134" t="s">
        <v>15717</v>
      </c>
      <c r="M5134" t="s">
        <v>32</v>
      </c>
      <c r="N5134" t="str">
        <f>"2/21/2005 12:00:00 AM"</f>
        <v>2/21/2005 12:00:00 AM</v>
      </c>
      <c r="O5134" t="s">
        <v>15714</v>
      </c>
      <c r="T5134" t="s">
        <v>15715</v>
      </c>
    </row>
    <row r="5135" spans="1:20" x14ac:dyDescent="0.25">
      <c r="A5135" t="str">
        <f>"3078795"</f>
        <v>3078795</v>
      </c>
      <c r="B5135" t="s">
        <v>15719</v>
      </c>
      <c r="C5135" t="str">
        <f>"81602500"</f>
        <v>81602500</v>
      </c>
      <c r="D5135" t="s">
        <v>15714</v>
      </c>
      <c r="E5135" t="s">
        <v>15715</v>
      </c>
      <c r="F5135" t="s">
        <v>15716</v>
      </c>
      <c r="I5135" t="s">
        <v>184</v>
      </c>
      <c r="J5135" t="s">
        <v>30</v>
      </c>
      <c r="K5135" t="s">
        <v>15717</v>
      </c>
      <c r="M5135" t="s">
        <v>32</v>
      </c>
      <c r="N5135" t="str">
        <f>"2/21/2005 12:00:00 AM"</f>
        <v>2/21/2005 12:00:00 AM</v>
      </c>
      <c r="O5135" t="s">
        <v>15714</v>
      </c>
      <c r="T5135" t="s">
        <v>15715</v>
      </c>
    </row>
    <row r="5136" spans="1:20" x14ac:dyDescent="0.25">
      <c r="A5136" t="str">
        <f>"3053243"</f>
        <v>3053243</v>
      </c>
      <c r="B5136" t="s">
        <v>15720</v>
      </c>
      <c r="C5136" t="str">
        <f>"45851500"</f>
        <v>45851500</v>
      </c>
      <c r="D5136" t="s">
        <v>15721</v>
      </c>
      <c r="F5136" t="s">
        <v>15722</v>
      </c>
      <c r="I5136" t="s">
        <v>184</v>
      </c>
      <c r="J5136" t="s">
        <v>30</v>
      </c>
      <c r="K5136" t="s">
        <v>185</v>
      </c>
      <c r="M5136" t="s">
        <v>32</v>
      </c>
      <c r="N5136" t="str">
        <f>"1/15/2008 12:00:00 AM"</f>
        <v>1/15/2008 12:00:00 AM</v>
      </c>
      <c r="O5136" t="s">
        <v>15721</v>
      </c>
    </row>
    <row r="5137" spans="1:20" x14ac:dyDescent="0.25">
      <c r="A5137" t="str">
        <f>"3054412"</f>
        <v>3054412</v>
      </c>
      <c r="B5137" t="s">
        <v>15723</v>
      </c>
      <c r="C5137" t="str">
        <f>"82529765"</f>
        <v>82529765</v>
      </c>
      <c r="D5137" t="s">
        <v>15724</v>
      </c>
      <c r="E5137" t="s">
        <v>15725</v>
      </c>
      <c r="F5137" t="s">
        <v>15726</v>
      </c>
      <c r="I5137" t="s">
        <v>29</v>
      </c>
      <c r="J5137" t="s">
        <v>30</v>
      </c>
      <c r="K5137" t="s">
        <v>15727</v>
      </c>
      <c r="M5137" t="s">
        <v>32</v>
      </c>
      <c r="N5137" t="str">
        <f>"1/7/2009 12:00:00 AM"</f>
        <v>1/7/2009 12:00:00 AM</v>
      </c>
      <c r="O5137" t="s">
        <v>15724</v>
      </c>
      <c r="T5137" t="s">
        <v>15725</v>
      </c>
    </row>
    <row r="5138" spans="1:20" x14ac:dyDescent="0.25">
      <c r="A5138" t="str">
        <f>"3054148"</f>
        <v>3054148</v>
      </c>
      <c r="B5138" t="s">
        <v>15728</v>
      </c>
      <c r="C5138" t="str">
        <f>"33739500"</f>
        <v>33739500</v>
      </c>
      <c r="D5138" t="s">
        <v>15729</v>
      </c>
      <c r="F5138" t="s">
        <v>15730</v>
      </c>
      <c r="I5138" t="s">
        <v>29</v>
      </c>
      <c r="J5138" t="s">
        <v>30</v>
      </c>
      <c r="K5138" t="s">
        <v>15731</v>
      </c>
      <c r="M5138" t="s">
        <v>32</v>
      </c>
      <c r="N5138" t="str">
        <f>"1/10/2008 12:00:00 AM"</f>
        <v>1/10/2008 12:00:00 AM</v>
      </c>
      <c r="O5138" t="s">
        <v>15729</v>
      </c>
    </row>
    <row r="5139" spans="1:20" x14ac:dyDescent="0.25">
      <c r="A5139" t="str">
        <f>"3054390"</f>
        <v>3054390</v>
      </c>
      <c r="B5139" t="s">
        <v>15732</v>
      </c>
      <c r="C5139" t="str">
        <f>"75084000"</f>
        <v>75084000</v>
      </c>
      <c r="D5139" t="s">
        <v>15733</v>
      </c>
      <c r="E5139" t="s">
        <v>15734</v>
      </c>
      <c r="F5139" t="s">
        <v>15735</v>
      </c>
      <c r="I5139" t="s">
        <v>29</v>
      </c>
      <c r="J5139" t="s">
        <v>30</v>
      </c>
      <c r="K5139" t="s">
        <v>31</v>
      </c>
      <c r="M5139" t="s">
        <v>32</v>
      </c>
      <c r="N5139" t="str">
        <f>"10/31/2002 12:00:00 AM"</f>
        <v>10/31/2002 12:00:00 AM</v>
      </c>
      <c r="O5139" t="s">
        <v>15733</v>
      </c>
      <c r="T5139" t="s">
        <v>15734</v>
      </c>
    </row>
    <row r="5140" spans="1:20" x14ac:dyDescent="0.25">
      <c r="A5140" t="str">
        <f>"3053698"</f>
        <v>3053698</v>
      </c>
      <c r="B5140" t="s">
        <v>15736</v>
      </c>
      <c r="C5140" t="str">
        <f>"44907500"</f>
        <v>44907500</v>
      </c>
      <c r="D5140" t="s">
        <v>15737</v>
      </c>
      <c r="F5140" t="s">
        <v>15738</v>
      </c>
      <c r="I5140" t="s">
        <v>184</v>
      </c>
      <c r="J5140" t="s">
        <v>30</v>
      </c>
      <c r="K5140" t="s">
        <v>15059</v>
      </c>
      <c r="M5140" t="s">
        <v>32</v>
      </c>
      <c r="N5140" t="str">
        <f>"2/14/2007 12:00:00 AM"</f>
        <v>2/14/2007 12:00:00 AM</v>
      </c>
      <c r="O5140" t="s">
        <v>15737</v>
      </c>
    </row>
    <row r="5141" spans="1:20" x14ac:dyDescent="0.25">
      <c r="A5141" t="str">
        <f>"3053229"</f>
        <v>3053229</v>
      </c>
      <c r="B5141" t="s">
        <v>15739</v>
      </c>
      <c r="C5141" t="str">
        <f>"44907500"</f>
        <v>44907500</v>
      </c>
      <c r="D5141" t="s">
        <v>15737</v>
      </c>
      <c r="F5141" t="s">
        <v>15738</v>
      </c>
      <c r="I5141" t="s">
        <v>184</v>
      </c>
      <c r="J5141" t="s">
        <v>30</v>
      </c>
      <c r="K5141" t="s">
        <v>15059</v>
      </c>
      <c r="M5141" t="s">
        <v>32</v>
      </c>
      <c r="N5141" t="str">
        <f>"2/14/2007 12:00:00 AM"</f>
        <v>2/14/2007 12:00:00 AM</v>
      </c>
      <c r="O5141" t="s">
        <v>15737</v>
      </c>
    </row>
    <row r="5142" spans="1:20" x14ac:dyDescent="0.25">
      <c r="A5142" t="str">
        <f>"3053499"</f>
        <v>3053499</v>
      </c>
      <c r="B5142" t="s">
        <v>15740</v>
      </c>
      <c r="C5142" t="str">
        <f>"44907500"</f>
        <v>44907500</v>
      </c>
      <c r="D5142" t="s">
        <v>15737</v>
      </c>
      <c r="F5142" t="s">
        <v>15738</v>
      </c>
      <c r="I5142" t="s">
        <v>184</v>
      </c>
      <c r="J5142" t="s">
        <v>30</v>
      </c>
      <c r="K5142" t="s">
        <v>15059</v>
      </c>
      <c r="M5142" t="s">
        <v>32</v>
      </c>
      <c r="N5142" t="str">
        <f>"2/14/2007 12:00:00 AM"</f>
        <v>2/14/2007 12:00:00 AM</v>
      </c>
      <c r="O5142" t="s">
        <v>15737</v>
      </c>
    </row>
    <row r="5143" spans="1:20" x14ac:dyDescent="0.25">
      <c r="A5143" t="str">
        <f>"3051212"</f>
        <v>3051212</v>
      </c>
      <c r="B5143" t="s">
        <v>15741</v>
      </c>
      <c r="C5143" t="str">
        <f>"82530352"</f>
        <v>82530352</v>
      </c>
      <c r="D5143" t="s">
        <v>15742</v>
      </c>
      <c r="E5143" t="s">
        <v>15743</v>
      </c>
      <c r="F5143" t="s">
        <v>15744</v>
      </c>
      <c r="I5143" t="s">
        <v>9580</v>
      </c>
      <c r="J5143" t="s">
        <v>30</v>
      </c>
      <c r="K5143" t="s">
        <v>9581</v>
      </c>
      <c r="M5143" t="s">
        <v>32</v>
      </c>
      <c r="N5143" t="str">
        <f>"1/7/2009 12:00:00 AM"</f>
        <v>1/7/2009 12:00:00 AM</v>
      </c>
      <c r="O5143" t="s">
        <v>15742</v>
      </c>
      <c r="T5143" t="s">
        <v>15743</v>
      </c>
    </row>
    <row r="5144" spans="1:20" x14ac:dyDescent="0.25">
      <c r="A5144" t="str">
        <f>"3051213"</f>
        <v>3051213</v>
      </c>
      <c r="B5144" t="s">
        <v>15745</v>
      </c>
      <c r="C5144" t="str">
        <f>"82520003"</f>
        <v>82520003</v>
      </c>
      <c r="D5144" t="s">
        <v>15746</v>
      </c>
      <c r="E5144" t="s">
        <v>15747</v>
      </c>
      <c r="F5144" t="s">
        <v>15748</v>
      </c>
      <c r="I5144" t="s">
        <v>9580</v>
      </c>
      <c r="J5144" t="s">
        <v>30</v>
      </c>
      <c r="K5144" t="s">
        <v>9581</v>
      </c>
      <c r="M5144" t="s">
        <v>32</v>
      </c>
      <c r="N5144" t="str">
        <f>"1/21/2004 12:00:00 AM"</f>
        <v>1/21/2004 12:00:00 AM</v>
      </c>
      <c r="O5144" t="s">
        <v>15746</v>
      </c>
      <c r="T5144" t="s">
        <v>15747</v>
      </c>
    </row>
    <row r="5145" spans="1:20" x14ac:dyDescent="0.25">
      <c r="A5145" t="str">
        <f>"3051204"</f>
        <v>3051204</v>
      </c>
      <c r="B5145" t="s">
        <v>15749</v>
      </c>
      <c r="C5145" t="str">
        <f>"65328000"</f>
        <v>65328000</v>
      </c>
      <c r="D5145" t="s">
        <v>15750</v>
      </c>
      <c r="F5145" t="s">
        <v>15113</v>
      </c>
      <c r="I5145" t="s">
        <v>2589</v>
      </c>
      <c r="J5145" t="s">
        <v>30</v>
      </c>
      <c r="K5145" t="s">
        <v>11780</v>
      </c>
      <c r="M5145" t="s">
        <v>32</v>
      </c>
      <c r="N5145" t="str">
        <f>"7/8/2010 12:00:00 AM"</f>
        <v>7/8/2010 12:00:00 AM</v>
      </c>
      <c r="O5145" t="s">
        <v>15750</v>
      </c>
    </row>
    <row r="5146" spans="1:20" x14ac:dyDescent="0.25">
      <c r="A5146" t="str">
        <f>"3054316"</f>
        <v>3054316</v>
      </c>
      <c r="B5146" t="s">
        <v>15751</v>
      </c>
      <c r="C5146" t="str">
        <f>"82518071"</f>
        <v>82518071</v>
      </c>
      <c r="D5146" t="s">
        <v>15752</v>
      </c>
      <c r="F5146" t="s">
        <v>15735</v>
      </c>
      <c r="I5146" t="s">
        <v>29</v>
      </c>
      <c r="J5146" t="s">
        <v>30</v>
      </c>
      <c r="K5146" t="s">
        <v>31</v>
      </c>
      <c r="M5146" t="s">
        <v>32</v>
      </c>
      <c r="N5146" t="str">
        <f>"11/17/2003 12:00:00 AM"</f>
        <v>11/17/2003 12:00:00 AM</v>
      </c>
      <c r="O5146" t="s">
        <v>15752</v>
      </c>
    </row>
    <row r="5147" spans="1:20" x14ac:dyDescent="0.25">
      <c r="A5147" t="str">
        <f>"3050144"</f>
        <v>3050144</v>
      </c>
      <c r="B5147" t="s">
        <v>15753</v>
      </c>
      <c r="C5147" t="str">
        <f>"32012000"</f>
        <v>32012000</v>
      </c>
      <c r="D5147" t="s">
        <v>15754</v>
      </c>
      <c r="F5147" t="s">
        <v>15755</v>
      </c>
      <c r="I5147" t="s">
        <v>29</v>
      </c>
      <c r="J5147" t="s">
        <v>30</v>
      </c>
      <c r="K5147" t="s">
        <v>15756</v>
      </c>
      <c r="M5147" t="s">
        <v>32</v>
      </c>
      <c r="N5147" t="str">
        <f>"1/12/2006 12:00:00 AM"</f>
        <v>1/12/2006 12:00:00 AM</v>
      </c>
      <c r="O5147" t="s">
        <v>15754</v>
      </c>
    </row>
    <row r="5148" spans="1:20" x14ac:dyDescent="0.25">
      <c r="A5148" t="str">
        <f>"3054591"</f>
        <v>3054591</v>
      </c>
      <c r="B5148" t="s">
        <v>15757</v>
      </c>
      <c r="C5148" t="str">
        <f>"82516752"</f>
        <v>82516752</v>
      </c>
      <c r="D5148" t="s">
        <v>15758</v>
      </c>
      <c r="F5148" t="s">
        <v>15759</v>
      </c>
      <c r="I5148" t="s">
        <v>29</v>
      </c>
      <c r="J5148" t="s">
        <v>30</v>
      </c>
      <c r="K5148" t="s">
        <v>15760</v>
      </c>
      <c r="M5148" t="s">
        <v>32</v>
      </c>
      <c r="N5148" t="str">
        <f>"6/29/2006 12:00:00 AM"</f>
        <v>6/29/2006 12:00:00 AM</v>
      </c>
      <c r="O5148" t="s">
        <v>15758</v>
      </c>
    </row>
    <row r="5149" spans="1:20" x14ac:dyDescent="0.25">
      <c r="A5149" t="str">
        <f>"3054638"</f>
        <v>3054638</v>
      </c>
      <c r="B5149" t="s">
        <v>15761</v>
      </c>
      <c r="C5149" t="str">
        <f>"25725000"</f>
        <v>25725000</v>
      </c>
      <c r="D5149" t="s">
        <v>15762</v>
      </c>
      <c r="F5149" t="str">
        <f>"C/O CLARENCE SPILLMAN"</f>
        <v>C/O CLARENCE SPILLMAN</v>
      </c>
      <c r="G5149" t="s">
        <v>15763</v>
      </c>
      <c r="I5149" t="s">
        <v>29</v>
      </c>
      <c r="J5149" t="s">
        <v>30</v>
      </c>
      <c r="K5149" t="s">
        <v>15764</v>
      </c>
      <c r="M5149" t="s">
        <v>32</v>
      </c>
      <c r="N5149" t="str">
        <f>"2/23/2005 12:00:00 AM"</f>
        <v>2/23/2005 12:00:00 AM</v>
      </c>
      <c r="O5149" t="s">
        <v>15762</v>
      </c>
    </row>
    <row r="5150" spans="1:20" x14ac:dyDescent="0.25">
      <c r="A5150" t="str">
        <f>"3054205"</f>
        <v>3054205</v>
      </c>
      <c r="B5150" t="s">
        <v>15765</v>
      </c>
      <c r="C5150" t="str">
        <f>"25725000"</f>
        <v>25725000</v>
      </c>
      <c r="D5150" t="s">
        <v>15762</v>
      </c>
      <c r="F5150" t="str">
        <f>"C/O CLARENCE SPILLMAN"</f>
        <v>C/O CLARENCE SPILLMAN</v>
      </c>
      <c r="G5150" t="s">
        <v>15763</v>
      </c>
      <c r="I5150" t="s">
        <v>29</v>
      </c>
      <c r="J5150" t="s">
        <v>30</v>
      </c>
      <c r="K5150" t="s">
        <v>15764</v>
      </c>
      <c r="M5150" t="s">
        <v>32</v>
      </c>
      <c r="N5150" t="str">
        <f>"2/23/2005 12:00:00 AM"</f>
        <v>2/23/2005 12:00:00 AM</v>
      </c>
      <c r="O5150" t="s">
        <v>15762</v>
      </c>
    </row>
    <row r="5151" spans="1:20" x14ac:dyDescent="0.25">
      <c r="A5151" t="str">
        <f>"3054206"</f>
        <v>3054206</v>
      </c>
      <c r="B5151" t="s">
        <v>15766</v>
      </c>
      <c r="C5151" t="str">
        <f>"25725000"</f>
        <v>25725000</v>
      </c>
      <c r="D5151" t="s">
        <v>15762</v>
      </c>
      <c r="F5151" t="str">
        <f>"C/O CLARENCE SPILLMAN"</f>
        <v>C/O CLARENCE SPILLMAN</v>
      </c>
      <c r="G5151" t="s">
        <v>15763</v>
      </c>
      <c r="I5151" t="s">
        <v>29</v>
      </c>
      <c r="J5151" t="s">
        <v>30</v>
      </c>
      <c r="K5151" t="s">
        <v>15764</v>
      </c>
      <c r="M5151" t="s">
        <v>32</v>
      </c>
      <c r="N5151" t="str">
        <f>"2/23/2005 12:00:00 AM"</f>
        <v>2/23/2005 12:00:00 AM</v>
      </c>
      <c r="O5151" t="s">
        <v>15762</v>
      </c>
    </row>
    <row r="5152" spans="1:20" x14ac:dyDescent="0.25">
      <c r="A5152" t="str">
        <f>"3078801"</f>
        <v>3078801</v>
      </c>
      <c r="B5152" t="s">
        <v>15767</v>
      </c>
      <c r="C5152" t="str">
        <f>"25725000"</f>
        <v>25725000</v>
      </c>
      <c r="D5152" t="s">
        <v>15762</v>
      </c>
      <c r="F5152" t="str">
        <f>"C/O CLARENCE SPILLMAN"</f>
        <v>C/O CLARENCE SPILLMAN</v>
      </c>
      <c r="G5152" t="s">
        <v>15763</v>
      </c>
      <c r="I5152" t="s">
        <v>29</v>
      </c>
      <c r="J5152" t="s">
        <v>30</v>
      </c>
      <c r="K5152" t="s">
        <v>15764</v>
      </c>
      <c r="M5152" t="s">
        <v>32</v>
      </c>
      <c r="N5152" t="str">
        <f>"2/23/2005 12:00:00 AM"</f>
        <v>2/23/2005 12:00:00 AM</v>
      </c>
      <c r="O5152" t="s">
        <v>15762</v>
      </c>
    </row>
    <row r="5153" spans="1:20" x14ac:dyDescent="0.25">
      <c r="A5153" t="str">
        <f>"3059831"</f>
        <v>3059831</v>
      </c>
      <c r="B5153" t="s">
        <v>15768</v>
      </c>
      <c r="C5153" t="str">
        <f>"25725000"</f>
        <v>25725000</v>
      </c>
      <c r="D5153" t="s">
        <v>15762</v>
      </c>
      <c r="F5153" t="str">
        <f>"C/O CLARENCE SPILLMAN"</f>
        <v>C/O CLARENCE SPILLMAN</v>
      </c>
      <c r="G5153" t="s">
        <v>15763</v>
      </c>
      <c r="I5153" t="s">
        <v>29</v>
      </c>
      <c r="J5153" t="s">
        <v>30</v>
      </c>
      <c r="K5153" t="s">
        <v>15764</v>
      </c>
      <c r="M5153" t="s">
        <v>32</v>
      </c>
      <c r="N5153" t="str">
        <f>"2/23/2005 12:00:00 AM"</f>
        <v>2/23/2005 12:00:00 AM</v>
      </c>
      <c r="O5153" t="s">
        <v>15762</v>
      </c>
    </row>
    <row r="5154" spans="1:20" x14ac:dyDescent="0.25">
      <c r="A5154" t="str">
        <f>"3054271"</f>
        <v>3054271</v>
      </c>
      <c r="B5154" t="s">
        <v>15769</v>
      </c>
      <c r="C5154" t="str">
        <f>"64519750"</f>
        <v>64519750</v>
      </c>
      <c r="D5154" t="s">
        <v>15770</v>
      </c>
      <c r="F5154" t="s">
        <v>15771</v>
      </c>
      <c r="I5154" t="s">
        <v>29</v>
      </c>
      <c r="J5154" t="s">
        <v>30</v>
      </c>
      <c r="K5154" t="s">
        <v>31</v>
      </c>
      <c r="M5154" t="s">
        <v>32</v>
      </c>
      <c r="N5154" t="str">
        <f>"5/3/2004 12:00:00 AM"</f>
        <v>5/3/2004 12:00:00 AM</v>
      </c>
      <c r="O5154" t="s">
        <v>15770</v>
      </c>
    </row>
    <row r="5155" spans="1:20" x14ac:dyDescent="0.25">
      <c r="A5155" t="str">
        <f>"3055111"</f>
        <v>3055111</v>
      </c>
      <c r="B5155" t="s">
        <v>15772</v>
      </c>
      <c r="C5155" t="str">
        <f>"56480000"</f>
        <v>56480000</v>
      </c>
      <c r="D5155" t="s">
        <v>15773</v>
      </c>
      <c r="E5155" t="s">
        <v>15774</v>
      </c>
      <c r="F5155" t="s">
        <v>15775</v>
      </c>
      <c r="I5155" t="s">
        <v>29</v>
      </c>
      <c r="J5155" t="s">
        <v>30</v>
      </c>
      <c r="K5155" t="s">
        <v>15776</v>
      </c>
      <c r="M5155" t="s">
        <v>32</v>
      </c>
      <c r="N5155" t="str">
        <f>"2/14/2007 12:00:00 AM"</f>
        <v>2/14/2007 12:00:00 AM</v>
      </c>
      <c r="O5155" t="s">
        <v>15773</v>
      </c>
      <c r="T5155" t="s">
        <v>15774</v>
      </c>
    </row>
    <row r="5156" spans="1:20" x14ac:dyDescent="0.25">
      <c r="A5156" t="str">
        <f>"3054619"</f>
        <v>3054619</v>
      </c>
      <c r="B5156" t="s">
        <v>15777</v>
      </c>
      <c r="C5156" t="str">
        <f>"82526742"</f>
        <v>82526742</v>
      </c>
      <c r="D5156" t="s">
        <v>15778</v>
      </c>
      <c r="E5156" t="s">
        <v>15779</v>
      </c>
      <c r="F5156" t="s">
        <v>15780</v>
      </c>
      <c r="I5156" t="s">
        <v>29</v>
      </c>
      <c r="J5156" t="s">
        <v>30</v>
      </c>
      <c r="K5156" t="s">
        <v>31</v>
      </c>
      <c r="M5156" t="s">
        <v>32</v>
      </c>
      <c r="N5156" t="str">
        <f>"2/14/2007 12:00:00 AM"</f>
        <v>2/14/2007 12:00:00 AM</v>
      </c>
      <c r="O5156" t="s">
        <v>15778</v>
      </c>
      <c r="T5156" t="s">
        <v>15779</v>
      </c>
    </row>
    <row r="5157" spans="1:20" x14ac:dyDescent="0.25">
      <c r="A5157" t="str">
        <f>"3054364"</f>
        <v>3054364</v>
      </c>
      <c r="B5157" t="s">
        <v>15781</v>
      </c>
      <c r="C5157" t="str">
        <f>"82529400"</f>
        <v>82529400</v>
      </c>
      <c r="D5157" t="s">
        <v>15782</v>
      </c>
      <c r="F5157" t="s">
        <v>15783</v>
      </c>
      <c r="I5157" t="s">
        <v>29</v>
      </c>
      <c r="J5157" t="s">
        <v>30</v>
      </c>
      <c r="K5157" t="s">
        <v>31</v>
      </c>
      <c r="N5157" t="str">
        <f>"8/27/2010 12:00:00 AM"</f>
        <v>8/27/2010 12:00:00 AM</v>
      </c>
      <c r="O5157" t="s">
        <v>15782</v>
      </c>
    </row>
    <row r="5158" spans="1:20" x14ac:dyDescent="0.25">
      <c r="A5158" t="str">
        <f>"3055051"</f>
        <v>3055051</v>
      </c>
      <c r="B5158" t="s">
        <v>15784</v>
      </c>
      <c r="C5158" t="str">
        <f>"18218430"</f>
        <v>18218430</v>
      </c>
      <c r="D5158" t="s">
        <v>15785</v>
      </c>
      <c r="F5158" t="s">
        <v>15786</v>
      </c>
      <c r="I5158" t="s">
        <v>15787</v>
      </c>
      <c r="J5158" t="s">
        <v>2109</v>
      </c>
      <c r="K5158" t="s">
        <v>15788</v>
      </c>
      <c r="M5158" t="s">
        <v>32</v>
      </c>
      <c r="N5158" t="str">
        <f>"10/31/2002 12:00:00 AM"</f>
        <v>10/31/2002 12:00:00 AM</v>
      </c>
      <c r="O5158" t="s">
        <v>15785</v>
      </c>
    </row>
    <row r="5159" spans="1:20" x14ac:dyDescent="0.25">
      <c r="A5159" t="str">
        <f>"3054501"</f>
        <v>3054501</v>
      </c>
      <c r="B5159" t="s">
        <v>15789</v>
      </c>
      <c r="C5159" t="str">
        <f>"82518738"</f>
        <v>82518738</v>
      </c>
      <c r="D5159" t="s">
        <v>15790</v>
      </c>
      <c r="F5159" t="s">
        <v>15791</v>
      </c>
      <c r="I5159" t="s">
        <v>29</v>
      </c>
      <c r="J5159" t="s">
        <v>30</v>
      </c>
      <c r="K5159" t="s">
        <v>31</v>
      </c>
      <c r="M5159" t="s">
        <v>32</v>
      </c>
      <c r="N5159" t="str">
        <f>"1/21/2003 12:00:00 AM"</f>
        <v>1/21/2003 12:00:00 AM</v>
      </c>
      <c r="O5159" t="s">
        <v>15790</v>
      </c>
    </row>
    <row r="5160" spans="1:20" x14ac:dyDescent="0.25">
      <c r="A5160" t="str">
        <f>"3054461"</f>
        <v>3054461</v>
      </c>
      <c r="B5160" t="s">
        <v>15792</v>
      </c>
      <c r="C5160" t="str">
        <f>"36684000"</f>
        <v>36684000</v>
      </c>
      <c r="D5160" t="s">
        <v>15793</v>
      </c>
      <c r="F5160" t="s">
        <v>15794</v>
      </c>
      <c r="G5160" t="s">
        <v>5247</v>
      </c>
      <c r="I5160" t="s">
        <v>9580</v>
      </c>
      <c r="J5160" t="s">
        <v>30</v>
      </c>
      <c r="K5160" t="s">
        <v>9581</v>
      </c>
      <c r="M5160" t="s">
        <v>32</v>
      </c>
      <c r="N5160" t="str">
        <f>"10/17/2003 12:00:00 AM"</f>
        <v>10/17/2003 12:00:00 AM</v>
      </c>
      <c r="O5160" t="s">
        <v>15793</v>
      </c>
    </row>
    <row r="5161" spans="1:20" x14ac:dyDescent="0.25">
      <c r="A5161" t="str">
        <f>"3054235"</f>
        <v>3054235</v>
      </c>
      <c r="B5161" t="s">
        <v>15795</v>
      </c>
      <c r="C5161" t="str">
        <f>"82525656"</f>
        <v>82525656</v>
      </c>
      <c r="D5161" t="s">
        <v>15796</v>
      </c>
      <c r="E5161" t="s">
        <v>15797</v>
      </c>
      <c r="F5161" t="s">
        <v>15798</v>
      </c>
      <c r="I5161" t="s">
        <v>29</v>
      </c>
      <c r="J5161" t="s">
        <v>30</v>
      </c>
      <c r="K5161" t="s">
        <v>31</v>
      </c>
      <c r="M5161" t="s">
        <v>32</v>
      </c>
      <c r="N5161" t="str">
        <f>"1/28/2010 12:00:00 AM"</f>
        <v>1/28/2010 12:00:00 AM</v>
      </c>
      <c r="O5161" t="s">
        <v>15796</v>
      </c>
      <c r="T5161" t="s">
        <v>15797</v>
      </c>
    </row>
    <row r="5162" spans="1:20" x14ac:dyDescent="0.25">
      <c r="A5162" t="str">
        <f>"3054424"</f>
        <v>3054424</v>
      </c>
      <c r="B5162" t="s">
        <v>15799</v>
      </c>
      <c r="C5162" t="str">
        <f>"11066000"</f>
        <v>11066000</v>
      </c>
      <c r="D5162" t="s">
        <v>15509</v>
      </c>
      <c r="F5162" t="s">
        <v>15510</v>
      </c>
      <c r="I5162" t="s">
        <v>29</v>
      </c>
      <c r="J5162" t="s">
        <v>30</v>
      </c>
      <c r="K5162" t="s">
        <v>15511</v>
      </c>
      <c r="M5162" t="s">
        <v>32</v>
      </c>
      <c r="N5162" t="str">
        <f>"1/14/2009 12:00:00 AM"</f>
        <v>1/14/2009 12:00:00 AM</v>
      </c>
      <c r="O5162" t="s">
        <v>15509</v>
      </c>
    </row>
    <row r="5163" spans="1:20" x14ac:dyDescent="0.25">
      <c r="A5163" t="str">
        <f>"3055628"</f>
        <v>3055628</v>
      </c>
      <c r="B5163" t="s">
        <v>15800</v>
      </c>
      <c r="C5163" t="str">
        <f>"17078500"</f>
        <v>17078500</v>
      </c>
      <c r="D5163" t="s">
        <v>15801</v>
      </c>
      <c r="F5163" t="s">
        <v>15802</v>
      </c>
      <c r="I5163" t="s">
        <v>29</v>
      </c>
      <c r="J5163" t="s">
        <v>30</v>
      </c>
      <c r="K5163" t="s">
        <v>15531</v>
      </c>
      <c r="M5163" t="s">
        <v>32</v>
      </c>
      <c r="N5163" t="str">
        <f>"2/20/2007 12:00:00 AM"</f>
        <v>2/20/2007 12:00:00 AM</v>
      </c>
      <c r="O5163" t="s">
        <v>15801</v>
      </c>
      <c r="T5163" t="s">
        <v>15801</v>
      </c>
    </row>
    <row r="5164" spans="1:20" x14ac:dyDescent="0.25">
      <c r="A5164" t="str">
        <f>"3055081"</f>
        <v>3055081</v>
      </c>
      <c r="B5164" t="s">
        <v>15803</v>
      </c>
      <c r="C5164" t="str">
        <f>"79463350"</f>
        <v>79463350</v>
      </c>
      <c r="D5164" t="s">
        <v>15804</v>
      </c>
      <c r="F5164" t="s">
        <v>15805</v>
      </c>
      <c r="I5164" t="s">
        <v>29</v>
      </c>
      <c r="J5164" t="s">
        <v>30</v>
      </c>
      <c r="K5164" t="s">
        <v>31</v>
      </c>
      <c r="M5164" t="s">
        <v>32</v>
      </c>
      <c r="N5164" t="str">
        <f>"10/31/2002 12:00:00 AM"</f>
        <v>10/31/2002 12:00:00 AM</v>
      </c>
      <c r="O5164" t="s">
        <v>15804</v>
      </c>
    </row>
    <row r="5165" spans="1:20" x14ac:dyDescent="0.25">
      <c r="A5165" t="str">
        <f>"3054462"</f>
        <v>3054462</v>
      </c>
      <c r="B5165" t="s">
        <v>15806</v>
      </c>
      <c r="C5165" t="str">
        <f>"62716000"</f>
        <v>62716000</v>
      </c>
      <c r="D5165" t="s">
        <v>15807</v>
      </c>
      <c r="F5165" t="s">
        <v>15808</v>
      </c>
      <c r="I5165" t="s">
        <v>9580</v>
      </c>
      <c r="J5165" t="s">
        <v>30</v>
      </c>
      <c r="K5165" t="s">
        <v>15809</v>
      </c>
      <c r="M5165" t="s">
        <v>32</v>
      </c>
      <c r="N5165" t="str">
        <f>"1/24/2006 12:00:00 AM"</f>
        <v>1/24/2006 12:00:00 AM</v>
      </c>
      <c r="O5165" t="s">
        <v>15807</v>
      </c>
    </row>
    <row r="5166" spans="1:20" x14ac:dyDescent="0.25">
      <c r="A5166" t="str">
        <f>"3056269"</f>
        <v>3056269</v>
      </c>
      <c r="B5166" t="s">
        <v>15810</v>
      </c>
      <c r="C5166" t="str">
        <f>"62716000"</f>
        <v>62716000</v>
      </c>
      <c r="D5166" t="s">
        <v>15807</v>
      </c>
      <c r="F5166" t="s">
        <v>15808</v>
      </c>
      <c r="I5166" t="s">
        <v>9580</v>
      </c>
      <c r="J5166" t="s">
        <v>30</v>
      </c>
      <c r="K5166" t="s">
        <v>15809</v>
      </c>
      <c r="M5166" t="s">
        <v>32</v>
      </c>
      <c r="N5166" t="str">
        <f>"1/24/2006 12:00:00 AM"</f>
        <v>1/24/2006 12:00:00 AM</v>
      </c>
      <c r="O5166" t="s">
        <v>15807</v>
      </c>
    </row>
    <row r="5167" spans="1:20" x14ac:dyDescent="0.25">
      <c r="A5167" t="str">
        <f>"3056712"</f>
        <v>3056712</v>
      </c>
      <c r="B5167" t="s">
        <v>15811</v>
      </c>
      <c r="C5167" t="str">
        <f>"62716000"</f>
        <v>62716000</v>
      </c>
      <c r="D5167" t="s">
        <v>15807</v>
      </c>
      <c r="F5167" t="s">
        <v>15808</v>
      </c>
      <c r="I5167" t="s">
        <v>9580</v>
      </c>
      <c r="J5167" t="s">
        <v>30</v>
      </c>
      <c r="K5167" t="s">
        <v>15809</v>
      </c>
      <c r="M5167" t="s">
        <v>32</v>
      </c>
      <c r="N5167" t="str">
        <f>"1/24/2006 12:00:00 AM"</f>
        <v>1/24/2006 12:00:00 AM</v>
      </c>
      <c r="O5167" t="s">
        <v>15807</v>
      </c>
    </row>
    <row r="5168" spans="1:20" x14ac:dyDescent="0.25">
      <c r="A5168" t="str">
        <f>"3054446"</f>
        <v>3054446</v>
      </c>
      <c r="B5168" t="s">
        <v>15812</v>
      </c>
      <c r="C5168" t="str">
        <f>"7328000"</f>
        <v>7328000</v>
      </c>
      <c r="D5168" t="s">
        <v>15813</v>
      </c>
      <c r="E5168" t="s">
        <v>15814</v>
      </c>
      <c r="F5168" t="s">
        <v>15815</v>
      </c>
      <c r="I5168" t="s">
        <v>184</v>
      </c>
      <c r="J5168" t="s">
        <v>30</v>
      </c>
      <c r="K5168" t="s">
        <v>185</v>
      </c>
      <c r="M5168" t="s">
        <v>32</v>
      </c>
      <c r="N5168" t="str">
        <f>"11/9/2005 12:00:00 AM"</f>
        <v>11/9/2005 12:00:00 AM</v>
      </c>
      <c r="O5168" t="s">
        <v>15813</v>
      </c>
      <c r="T5168" t="s">
        <v>15814</v>
      </c>
    </row>
    <row r="5169" spans="1:20" x14ac:dyDescent="0.25">
      <c r="A5169" t="str">
        <f>"3055023"</f>
        <v>3055023</v>
      </c>
      <c r="B5169" t="s">
        <v>15816</v>
      </c>
      <c r="C5169" t="str">
        <f>"64575870"</f>
        <v>64575870</v>
      </c>
      <c r="D5169" t="s">
        <v>15817</v>
      </c>
      <c r="E5169" t="s">
        <v>15818</v>
      </c>
      <c r="F5169" t="s">
        <v>15819</v>
      </c>
      <c r="I5169" t="s">
        <v>29</v>
      </c>
      <c r="J5169" t="s">
        <v>30</v>
      </c>
      <c r="K5169" t="s">
        <v>15820</v>
      </c>
      <c r="M5169" t="s">
        <v>32</v>
      </c>
      <c r="N5169" t="str">
        <f>"2/25/2005 12:00:00 AM"</f>
        <v>2/25/2005 12:00:00 AM</v>
      </c>
      <c r="O5169" t="s">
        <v>15817</v>
      </c>
      <c r="T5169" t="s">
        <v>15818</v>
      </c>
    </row>
    <row r="5170" spans="1:20" x14ac:dyDescent="0.25">
      <c r="A5170" t="str">
        <f>"3056025"</f>
        <v>3056025</v>
      </c>
      <c r="B5170" t="s">
        <v>15821</v>
      </c>
      <c r="C5170" t="str">
        <f>"69860000"</f>
        <v>69860000</v>
      </c>
      <c r="D5170" t="s">
        <v>15822</v>
      </c>
      <c r="F5170" t="s">
        <v>15763</v>
      </c>
      <c r="I5170" t="s">
        <v>29</v>
      </c>
      <c r="J5170" t="s">
        <v>30</v>
      </c>
      <c r="K5170" t="s">
        <v>15764</v>
      </c>
      <c r="M5170" t="s">
        <v>32</v>
      </c>
      <c r="N5170" t="str">
        <f>"1/31/2006 12:00:00 AM"</f>
        <v>1/31/2006 12:00:00 AM</v>
      </c>
      <c r="O5170" t="s">
        <v>15822</v>
      </c>
    </row>
    <row r="5171" spans="1:20" x14ac:dyDescent="0.25">
      <c r="A5171" t="str">
        <f>"3055737"</f>
        <v>3055737</v>
      </c>
      <c r="B5171" t="s">
        <v>15823</v>
      </c>
      <c r="C5171" t="str">
        <f>"69860000"</f>
        <v>69860000</v>
      </c>
      <c r="D5171" t="s">
        <v>15822</v>
      </c>
      <c r="F5171" t="s">
        <v>15763</v>
      </c>
      <c r="I5171" t="s">
        <v>29</v>
      </c>
      <c r="J5171" t="s">
        <v>30</v>
      </c>
      <c r="K5171" t="s">
        <v>15764</v>
      </c>
      <c r="M5171" t="s">
        <v>32</v>
      </c>
      <c r="N5171" t="str">
        <f>"1/31/2006 12:00:00 AM"</f>
        <v>1/31/2006 12:00:00 AM</v>
      </c>
      <c r="O5171" t="s">
        <v>15822</v>
      </c>
    </row>
    <row r="5172" spans="1:20" x14ac:dyDescent="0.25">
      <c r="A5172" t="str">
        <f>"3056166"</f>
        <v>3056166</v>
      </c>
      <c r="B5172" t="s">
        <v>15824</v>
      </c>
      <c r="C5172" t="str">
        <f>"1451250"</f>
        <v>1451250</v>
      </c>
      <c r="D5172" t="s">
        <v>15825</v>
      </c>
      <c r="F5172" t="s">
        <v>15826</v>
      </c>
      <c r="G5172" t="s">
        <v>15827</v>
      </c>
      <c r="I5172" t="s">
        <v>9580</v>
      </c>
      <c r="J5172" t="s">
        <v>30</v>
      </c>
      <c r="K5172" t="s">
        <v>9581</v>
      </c>
      <c r="M5172" t="s">
        <v>32</v>
      </c>
      <c r="N5172" t="str">
        <f>"2/21/2003 12:00:00 AM"</f>
        <v>2/21/2003 12:00:00 AM</v>
      </c>
      <c r="O5172" t="s">
        <v>15825</v>
      </c>
    </row>
    <row r="5173" spans="1:20" x14ac:dyDescent="0.25">
      <c r="A5173" t="str">
        <f>"3054324"</f>
        <v>3054324</v>
      </c>
      <c r="B5173" t="s">
        <v>15828</v>
      </c>
      <c r="C5173" t="str">
        <f>"1451250"</f>
        <v>1451250</v>
      </c>
      <c r="D5173" t="s">
        <v>15825</v>
      </c>
      <c r="F5173" t="s">
        <v>15826</v>
      </c>
      <c r="G5173" t="s">
        <v>15827</v>
      </c>
      <c r="I5173" t="s">
        <v>9580</v>
      </c>
      <c r="J5173" t="s">
        <v>30</v>
      </c>
      <c r="K5173" t="s">
        <v>9581</v>
      </c>
      <c r="M5173" t="s">
        <v>32</v>
      </c>
      <c r="N5173" t="str">
        <f>"2/21/2003 12:00:00 AM"</f>
        <v>2/21/2003 12:00:00 AM</v>
      </c>
      <c r="O5173" t="s">
        <v>15825</v>
      </c>
    </row>
    <row r="5174" spans="1:20" x14ac:dyDescent="0.25">
      <c r="A5174" t="str">
        <f>"3078820"</f>
        <v>3078820</v>
      </c>
      <c r="B5174" t="s">
        <v>15829</v>
      </c>
      <c r="C5174" t="str">
        <f>"82518849"</f>
        <v>82518849</v>
      </c>
      <c r="D5174" t="s">
        <v>15830</v>
      </c>
      <c r="E5174" t="s">
        <v>15831</v>
      </c>
      <c r="F5174" t="s">
        <v>15832</v>
      </c>
      <c r="I5174" t="s">
        <v>15833</v>
      </c>
      <c r="J5174" t="s">
        <v>1046</v>
      </c>
      <c r="K5174" t="s">
        <v>15834</v>
      </c>
      <c r="M5174" t="s">
        <v>32</v>
      </c>
      <c r="N5174" t="str">
        <f>"5/28/2010 12:00:00 AM"</f>
        <v>5/28/2010 12:00:00 AM</v>
      </c>
      <c r="O5174" t="s">
        <v>15830</v>
      </c>
      <c r="T5174" t="s">
        <v>15831</v>
      </c>
    </row>
    <row r="5175" spans="1:20" x14ac:dyDescent="0.25">
      <c r="A5175" t="str">
        <f>"3054486"</f>
        <v>3054486</v>
      </c>
      <c r="B5175" t="s">
        <v>15835</v>
      </c>
      <c r="C5175" t="str">
        <f>"49896000"</f>
        <v>49896000</v>
      </c>
      <c r="D5175" t="s">
        <v>15836</v>
      </c>
      <c r="F5175" t="s">
        <v>15837</v>
      </c>
      <c r="I5175" t="s">
        <v>29</v>
      </c>
      <c r="J5175" t="s">
        <v>30</v>
      </c>
      <c r="K5175" t="s">
        <v>15838</v>
      </c>
      <c r="M5175" t="s">
        <v>32</v>
      </c>
      <c r="N5175" t="str">
        <f>"2/5/2010 12:00:00 AM"</f>
        <v>2/5/2010 12:00:00 AM</v>
      </c>
      <c r="O5175" t="s">
        <v>15836</v>
      </c>
    </row>
    <row r="5176" spans="1:20" x14ac:dyDescent="0.25">
      <c r="A5176" t="str">
        <f>"3054649"</f>
        <v>3054649</v>
      </c>
      <c r="B5176" t="s">
        <v>15839</v>
      </c>
      <c r="C5176" t="str">
        <f>"308550"</f>
        <v>308550</v>
      </c>
      <c r="D5176" t="s">
        <v>15840</v>
      </c>
      <c r="F5176" t="s">
        <v>15841</v>
      </c>
      <c r="I5176" t="s">
        <v>29</v>
      </c>
      <c r="J5176" t="s">
        <v>30</v>
      </c>
      <c r="K5176" t="s">
        <v>31</v>
      </c>
      <c r="M5176" t="s">
        <v>32</v>
      </c>
      <c r="N5176" t="str">
        <f>"5/7/2003 12:00:00 AM"</f>
        <v>5/7/2003 12:00:00 AM</v>
      </c>
      <c r="O5176" t="s">
        <v>15840</v>
      </c>
    </row>
    <row r="5177" spans="1:20" x14ac:dyDescent="0.25">
      <c r="A5177" t="str">
        <f>"3052045"</f>
        <v>3052045</v>
      </c>
      <c r="B5177" t="s">
        <v>15842</v>
      </c>
      <c r="C5177" t="str">
        <f>"308550"</f>
        <v>308550</v>
      </c>
      <c r="D5177" t="s">
        <v>15840</v>
      </c>
      <c r="F5177" t="s">
        <v>15841</v>
      </c>
      <c r="I5177" t="s">
        <v>29</v>
      </c>
      <c r="J5177" t="s">
        <v>30</v>
      </c>
      <c r="K5177" t="s">
        <v>31</v>
      </c>
      <c r="M5177" t="s">
        <v>32</v>
      </c>
      <c r="N5177" t="str">
        <f>"5/7/2003 12:00:00 AM"</f>
        <v>5/7/2003 12:00:00 AM</v>
      </c>
      <c r="O5177" t="s">
        <v>15840</v>
      </c>
    </row>
    <row r="5178" spans="1:20" x14ac:dyDescent="0.25">
      <c r="A5178" t="str">
        <f>"3059848"</f>
        <v>3059848</v>
      </c>
      <c r="B5178" t="s">
        <v>15843</v>
      </c>
      <c r="C5178" t="str">
        <f>"308550"</f>
        <v>308550</v>
      </c>
      <c r="D5178" t="s">
        <v>15840</v>
      </c>
      <c r="F5178" t="s">
        <v>15841</v>
      </c>
      <c r="I5178" t="s">
        <v>29</v>
      </c>
      <c r="J5178" t="s">
        <v>30</v>
      </c>
      <c r="K5178" t="s">
        <v>31</v>
      </c>
      <c r="M5178" t="s">
        <v>32</v>
      </c>
      <c r="N5178" t="str">
        <f>"5/7/2003 12:00:00 AM"</f>
        <v>5/7/2003 12:00:00 AM</v>
      </c>
      <c r="O5178" t="s">
        <v>15840</v>
      </c>
    </row>
    <row r="5179" spans="1:20" x14ac:dyDescent="0.25">
      <c r="A5179" t="str">
        <f>"3054174"</f>
        <v>3054174</v>
      </c>
      <c r="B5179" t="s">
        <v>15844</v>
      </c>
      <c r="C5179" t="str">
        <f>"82513057"</f>
        <v>82513057</v>
      </c>
      <c r="D5179" t="s">
        <v>15845</v>
      </c>
      <c r="E5179" t="s">
        <v>15846</v>
      </c>
      <c r="F5179" t="s">
        <v>15847</v>
      </c>
      <c r="I5179" t="s">
        <v>15848</v>
      </c>
      <c r="J5179" t="s">
        <v>30</v>
      </c>
      <c r="K5179" t="s">
        <v>9581</v>
      </c>
      <c r="M5179" t="s">
        <v>32</v>
      </c>
      <c r="N5179" t="str">
        <f>"12/6/2010 12:00:00 AM"</f>
        <v>12/6/2010 12:00:00 AM</v>
      </c>
      <c r="O5179" t="s">
        <v>15845</v>
      </c>
      <c r="T5179" t="s">
        <v>15846</v>
      </c>
    </row>
    <row r="5180" spans="1:20" x14ac:dyDescent="0.25">
      <c r="A5180" t="str">
        <f>"3055064"</f>
        <v>3055064</v>
      </c>
      <c r="B5180" t="s">
        <v>15849</v>
      </c>
      <c r="C5180" t="str">
        <f>"56069620"</f>
        <v>56069620</v>
      </c>
      <c r="D5180" t="s">
        <v>15563</v>
      </c>
      <c r="E5180" t="s">
        <v>15564</v>
      </c>
      <c r="F5180" t="s">
        <v>15565</v>
      </c>
      <c r="I5180" t="s">
        <v>29</v>
      </c>
      <c r="J5180" t="s">
        <v>30</v>
      </c>
      <c r="K5180" t="s">
        <v>31</v>
      </c>
      <c r="M5180" t="s">
        <v>32</v>
      </c>
      <c r="N5180" t="str">
        <f>"11/1/2002 12:00:00 AM"</f>
        <v>11/1/2002 12:00:00 AM</v>
      </c>
      <c r="O5180" t="s">
        <v>15563</v>
      </c>
      <c r="T5180" t="s">
        <v>15564</v>
      </c>
    </row>
    <row r="5181" spans="1:20" x14ac:dyDescent="0.25">
      <c r="A5181" t="str">
        <f>"3055151"</f>
        <v>3055151</v>
      </c>
      <c r="B5181" t="s">
        <v>15850</v>
      </c>
      <c r="C5181" t="str">
        <f>"56069620"</f>
        <v>56069620</v>
      </c>
      <c r="D5181" t="s">
        <v>15563</v>
      </c>
      <c r="E5181" t="s">
        <v>15564</v>
      </c>
      <c r="F5181" t="s">
        <v>15565</v>
      </c>
      <c r="I5181" t="s">
        <v>29</v>
      </c>
      <c r="J5181" t="s">
        <v>30</v>
      </c>
      <c r="K5181" t="s">
        <v>31</v>
      </c>
      <c r="M5181" t="s">
        <v>32</v>
      </c>
      <c r="N5181" t="str">
        <f>"11/1/2002 12:00:00 AM"</f>
        <v>11/1/2002 12:00:00 AM</v>
      </c>
      <c r="O5181" t="s">
        <v>15563</v>
      </c>
      <c r="T5181" t="s">
        <v>15564</v>
      </c>
    </row>
    <row r="5182" spans="1:20" x14ac:dyDescent="0.25">
      <c r="A5182" t="str">
        <f>"3055275"</f>
        <v>3055275</v>
      </c>
      <c r="B5182" t="s">
        <v>15851</v>
      </c>
      <c r="C5182" t="str">
        <f>"82516045"</f>
        <v>82516045</v>
      </c>
      <c r="D5182" t="s">
        <v>15852</v>
      </c>
      <c r="E5182" t="s">
        <v>15853</v>
      </c>
      <c r="F5182" t="s">
        <v>15854</v>
      </c>
      <c r="I5182" t="s">
        <v>29</v>
      </c>
      <c r="J5182" t="s">
        <v>30</v>
      </c>
      <c r="K5182" t="s">
        <v>14700</v>
      </c>
      <c r="M5182" t="s">
        <v>32</v>
      </c>
      <c r="N5182" t="str">
        <f>"2/14/2007 12:00:00 AM"</f>
        <v>2/14/2007 12:00:00 AM</v>
      </c>
      <c r="O5182" t="s">
        <v>15852</v>
      </c>
      <c r="T5182" t="s">
        <v>15853</v>
      </c>
    </row>
    <row r="5183" spans="1:20" x14ac:dyDescent="0.25">
      <c r="A5183" t="str">
        <f>"3054990"</f>
        <v>3054990</v>
      </c>
      <c r="B5183" t="s">
        <v>15855</v>
      </c>
      <c r="C5183" t="str">
        <f>"32480000"</f>
        <v>32480000</v>
      </c>
      <c r="D5183" t="s">
        <v>15856</v>
      </c>
      <c r="E5183" t="s">
        <v>15857</v>
      </c>
      <c r="F5183" t="s">
        <v>15858</v>
      </c>
      <c r="I5183" t="s">
        <v>29</v>
      </c>
      <c r="J5183" t="s">
        <v>30</v>
      </c>
      <c r="K5183" t="s">
        <v>15859</v>
      </c>
      <c r="M5183" t="s">
        <v>32</v>
      </c>
      <c r="N5183" t="str">
        <f>"3/4/2005 12:00:00 AM"</f>
        <v>3/4/2005 12:00:00 AM</v>
      </c>
      <c r="O5183" t="s">
        <v>15856</v>
      </c>
      <c r="T5183" t="s">
        <v>15857</v>
      </c>
    </row>
    <row r="5184" spans="1:20" x14ac:dyDescent="0.25">
      <c r="A5184" t="str">
        <f>"3057725"</f>
        <v>3057725</v>
      </c>
      <c r="B5184" t="s">
        <v>15860</v>
      </c>
      <c r="C5184" t="str">
        <f>"82529987"</f>
        <v>82529987</v>
      </c>
      <c r="D5184" t="s">
        <v>15861</v>
      </c>
      <c r="E5184" t="s">
        <v>15862</v>
      </c>
      <c r="F5184" t="s">
        <v>15863</v>
      </c>
      <c r="I5184" t="s">
        <v>29</v>
      </c>
      <c r="J5184" t="s">
        <v>30</v>
      </c>
      <c r="K5184" t="s">
        <v>31</v>
      </c>
      <c r="M5184" t="s">
        <v>32</v>
      </c>
      <c r="N5184" t="str">
        <f>"8/15/2008 12:00:00 AM"</f>
        <v>8/15/2008 12:00:00 AM</v>
      </c>
      <c r="O5184" t="s">
        <v>15861</v>
      </c>
      <c r="T5184" t="s">
        <v>15862</v>
      </c>
    </row>
    <row r="5185" spans="1:20" x14ac:dyDescent="0.25">
      <c r="A5185" t="str">
        <f>"3057726"</f>
        <v>3057726</v>
      </c>
      <c r="B5185" t="s">
        <v>15864</v>
      </c>
      <c r="C5185" t="str">
        <f>"82515801"</f>
        <v>82515801</v>
      </c>
      <c r="D5185" t="s">
        <v>15865</v>
      </c>
      <c r="F5185" t="s">
        <v>15866</v>
      </c>
      <c r="I5185" t="s">
        <v>29</v>
      </c>
      <c r="J5185" t="s">
        <v>30</v>
      </c>
      <c r="K5185" t="s">
        <v>15867</v>
      </c>
      <c r="M5185" t="s">
        <v>32</v>
      </c>
      <c r="N5185" t="str">
        <f>"1/21/2005 12:00:00 AM"</f>
        <v>1/21/2005 12:00:00 AM</v>
      </c>
      <c r="O5185" t="s">
        <v>15865</v>
      </c>
    </row>
    <row r="5186" spans="1:20" x14ac:dyDescent="0.25">
      <c r="A5186" t="str">
        <f>"3055607"</f>
        <v>3055607</v>
      </c>
      <c r="B5186" t="s">
        <v>15868</v>
      </c>
      <c r="C5186" t="str">
        <f>"82529035"</f>
        <v>82529035</v>
      </c>
      <c r="D5186" t="s">
        <v>15869</v>
      </c>
      <c r="F5186" t="s">
        <v>15870</v>
      </c>
      <c r="I5186" t="s">
        <v>29</v>
      </c>
      <c r="J5186" t="s">
        <v>30</v>
      </c>
      <c r="K5186" t="s">
        <v>31</v>
      </c>
      <c r="M5186" t="s">
        <v>32</v>
      </c>
      <c r="N5186" t="str">
        <f>"1/2/2008 12:00:00 AM"</f>
        <v>1/2/2008 12:00:00 AM</v>
      </c>
      <c r="O5186" t="s">
        <v>15869</v>
      </c>
    </row>
    <row r="5187" spans="1:20" x14ac:dyDescent="0.25">
      <c r="A5187" t="str">
        <f>"3055357"</f>
        <v>3055357</v>
      </c>
      <c r="B5187" t="s">
        <v>15871</v>
      </c>
      <c r="C5187" t="str">
        <f>"70483000"</f>
        <v>70483000</v>
      </c>
      <c r="D5187" t="s">
        <v>15872</v>
      </c>
      <c r="E5187" t="s">
        <v>15873</v>
      </c>
      <c r="F5187" t="s">
        <v>15874</v>
      </c>
      <c r="I5187" t="s">
        <v>29</v>
      </c>
      <c r="J5187" t="s">
        <v>30</v>
      </c>
      <c r="K5187" t="s">
        <v>15875</v>
      </c>
      <c r="M5187" t="s">
        <v>32</v>
      </c>
      <c r="N5187" t="str">
        <f>"2/10/2010 12:00:00 AM"</f>
        <v>2/10/2010 12:00:00 AM</v>
      </c>
      <c r="O5187" t="s">
        <v>15872</v>
      </c>
      <c r="T5187" t="s">
        <v>15873</v>
      </c>
    </row>
    <row r="5188" spans="1:20" x14ac:dyDescent="0.25">
      <c r="A5188" t="str">
        <f>"3054321"</f>
        <v>3054321</v>
      </c>
      <c r="B5188" t="s">
        <v>15876</v>
      </c>
      <c r="C5188" t="str">
        <f>"82513301"</f>
        <v>82513301</v>
      </c>
      <c r="D5188" t="s">
        <v>15877</v>
      </c>
      <c r="F5188" t="str">
        <f>"C/O SHERRY MAE LANCASTER"</f>
        <v>C/O SHERRY MAE LANCASTER</v>
      </c>
      <c r="G5188" t="s">
        <v>15878</v>
      </c>
      <c r="I5188" t="s">
        <v>29</v>
      </c>
      <c r="J5188" t="s">
        <v>30</v>
      </c>
      <c r="K5188" t="s">
        <v>31</v>
      </c>
      <c r="M5188" t="s">
        <v>32</v>
      </c>
      <c r="N5188" t="str">
        <f>"7/22/2004 12:00:00 AM"</f>
        <v>7/22/2004 12:00:00 AM</v>
      </c>
      <c r="O5188" t="s">
        <v>15877</v>
      </c>
    </row>
    <row r="5189" spans="1:20" x14ac:dyDescent="0.25">
      <c r="A5189" t="str">
        <f>"3054166"</f>
        <v>3054166</v>
      </c>
      <c r="B5189" t="s">
        <v>15879</v>
      </c>
      <c r="C5189" t="str">
        <f>"82521932"</f>
        <v>82521932</v>
      </c>
      <c r="D5189" t="s">
        <v>15880</v>
      </c>
      <c r="E5189" t="s">
        <v>15881</v>
      </c>
      <c r="F5189" t="s">
        <v>15882</v>
      </c>
      <c r="I5189" t="s">
        <v>9580</v>
      </c>
      <c r="J5189" t="s">
        <v>30</v>
      </c>
      <c r="K5189" t="s">
        <v>9581</v>
      </c>
      <c r="M5189" t="s">
        <v>32</v>
      </c>
      <c r="N5189" t="str">
        <f>"1/6/2004 12:00:00 AM"</f>
        <v>1/6/2004 12:00:00 AM</v>
      </c>
      <c r="O5189" t="s">
        <v>15880</v>
      </c>
      <c r="T5189" t="s">
        <v>15881</v>
      </c>
    </row>
    <row r="5190" spans="1:20" x14ac:dyDescent="0.25">
      <c r="A5190" t="str">
        <f>"3054972"</f>
        <v>3054972</v>
      </c>
      <c r="B5190" t="s">
        <v>15883</v>
      </c>
      <c r="C5190" t="str">
        <f>"19224000"</f>
        <v>19224000</v>
      </c>
      <c r="D5190" t="s">
        <v>15884</v>
      </c>
      <c r="E5190" t="s">
        <v>15885</v>
      </c>
      <c r="F5190" t="s">
        <v>15886</v>
      </c>
      <c r="I5190" t="s">
        <v>163</v>
      </c>
      <c r="J5190" t="s">
        <v>30</v>
      </c>
      <c r="K5190" t="s">
        <v>2356</v>
      </c>
      <c r="M5190" t="s">
        <v>32</v>
      </c>
      <c r="N5190" t="str">
        <f>"11/1/2002 12:00:00 AM"</f>
        <v>11/1/2002 12:00:00 AM</v>
      </c>
      <c r="O5190" t="s">
        <v>15884</v>
      </c>
      <c r="T5190" t="s">
        <v>15885</v>
      </c>
    </row>
    <row r="5191" spans="1:20" x14ac:dyDescent="0.25">
      <c r="A5191" t="str">
        <f>"3054612"</f>
        <v>3054612</v>
      </c>
      <c r="B5191" t="s">
        <v>15887</v>
      </c>
      <c r="C5191" t="str">
        <f>"12676250"</f>
        <v>12676250</v>
      </c>
      <c r="D5191" t="s">
        <v>15888</v>
      </c>
      <c r="F5191" t="s">
        <v>15889</v>
      </c>
      <c r="I5191" t="s">
        <v>29</v>
      </c>
      <c r="J5191" t="s">
        <v>30</v>
      </c>
      <c r="K5191" t="s">
        <v>31</v>
      </c>
      <c r="M5191" t="s">
        <v>32</v>
      </c>
      <c r="N5191" t="str">
        <f>"10/17/2011 12:00:00 AM"</f>
        <v>10/17/2011 12:00:00 AM</v>
      </c>
      <c r="O5191" t="s">
        <v>15888</v>
      </c>
    </row>
    <row r="5192" spans="1:20" x14ac:dyDescent="0.25">
      <c r="A5192" t="str">
        <f>"3054963"</f>
        <v>3054963</v>
      </c>
      <c r="B5192" t="s">
        <v>15890</v>
      </c>
      <c r="C5192" t="str">
        <f>"19224000"</f>
        <v>19224000</v>
      </c>
      <c r="D5192" t="s">
        <v>15884</v>
      </c>
      <c r="E5192" t="s">
        <v>15885</v>
      </c>
      <c r="F5192" t="s">
        <v>15886</v>
      </c>
      <c r="I5192" t="s">
        <v>163</v>
      </c>
      <c r="J5192" t="s">
        <v>30</v>
      </c>
      <c r="K5192" t="s">
        <v>2356</v>
      </c>
      <c r="M5192" t="s">
        <v>32</v>
      </c>
      <c r="N5192" t="str">
        <f>"11/1/2002 12:00:00 AM"</f>
        <v>11/1/2002 12:00:00 AM</v>
      </c>
      <c r="O5192" t="s">
        <v>15884</v>
      </c>
      <c r="T5192" t="s">
        <v>15885</v>
      </c>
    </row>
    <row r="5193" spans="1:20" x14ac:dyDescent="0.25">
      <c r="A5193" t="str">
        <f>"3055166"</f>
        <v>3055166</v>
      </c>
      <c r="B5193" t="s">
        <v>15891</v>
      </c>
      <c r="C5193" t="str">
        <f>"52576000"</f>
        <v>52576000</v>
      </c>
      <c r="D5193" t="s">
        <v>15892</v>
      </c>
      <c r="F5193" t="s">
        <v>15893</v>
      </c>
      <c r="I5193" t="s">
        <v>29</v>
      </c>
      <c r="J5193" t="s">
        <v>30</v>
      </c>
      <c r="K5193" t="s">
        <v>31</v>
      </c>
      <c r="M5193" t="s">
        <v>32</v>
      </c>
      <c r="N5193" t="str">
        <f>"9/21/2007 12:00:00 AM"</f>
        <v>9/21/2007 12:00:00 AM</v>
      </c>
      <c r="O5193" t="s">
        <v>15892</v>
      </c>
    </row>
    <row r="5194" spans="1:20" x14ac:dyDescent="0.25">
      <c r="A5194" t="str">
        <f>"3056020"</f>
        <v>3056020</v>
      </c>
      <c r="B5194" t="s">
        <v>15894</v>
      </c>
      <c r="C5194" t="str">
        <f>"17062000"</f>
        <v>17062000</v>
      </c>
      <c r="D5194" t="s">
        <v>15895</v>
      </c>
      <c r="F5194" t="s">
        <v>15896</v>
      </c>
      <c r="I5194" t="s">
        <v>9580</v>
      </c>
      <c r="J5194" t="s">
        <v>30</v>
      </c>
      <c r="K5194" t="s">
        <v>9581</v>
      </c>
      <c r="M5194" t="s">
        <v>32</v>
      </c>
      <c r="N5194" t="str">
        <f>"9/21/2000 12:00:00 AM"</f>
        <v>9/21/2000 12:00:00 AM</v>
      </c>
      <c r="O5194" t="s">
        <v>15895</v>
      </c>
    </row>
    <row r="5195" spans="1:20" x14ac:dyDescent="0.25">
      <c r="A5195" t="str">
        <f>"3055673"</f>
        <v>3055673</v>
      </c>
      <c r="B5195" t="s">
        <v>15897</v>
      </c>
      <c r="C5195" t="str">
        <f>"17062000"</f>
        <v>17062000</v>
      </c>
      <c r="D5195" t="s">
        <v>15895</v>
      </c>
      <c r="F5195" t="s">
        <v>15896</v>
      </c>
      <c r="I5195" t="s">
        <v>9580</v>
      </c>
      <c r="J5195" t="s">
        <v>30</v>
      </c>
      <c r="K5195" t="s">
        <v>9581</v>
      </c>
      <c r="M5195" t="s">
        <v>32</v>
      </c>
      <c r="N5195" t="str">
        <f>"9/21/2000 12:00:00 AM"</f>
        <v>9/21/2000 12:00:00 AM</v>
      </c>
      <c r="O5195" t="s">
        <v>15895</v>
      </c>
    </row>
    <row r="5196" spans="1:20" x14ac:dyDescent="0.25">
      <c r="A5196" t="str">
        <f>"3055674"</f>
        <v>3055674</v>
      </c>
      <c r="B5196" t="s">
        <v>15898</v>
      </c>
      <c r="C5196" t="str">
        <f>"17062000"</f>
        <v>17062000</v>
      </c>
      <c r="D5196" t="s">
        <v>15895</v>
      </c>
      <c r="F5196" t="s">
        <v>15896</v>
      </c>
      <c r="I5196" t="s">
        <v>9580</v>
      </c>
      <c r="J5196" t="s">
        <v>30</v>
      </c>
      <c r="K5196" t="s">
        <v>9581</v>
      </c>
      <c r="M5196" t="s">
        <v>32</v>
      </c>
      <c r="N5196" t="str">
        <f>"9/21/2000 12:00:00 AM"</f>
        <v>9/21/2000 12:00:00 AM</v>
      </c>
      <c r="O5196" t="s">
        <v>15895</v>
      </c>
    </row>
    <row r="5197" spans="1:20" x14ac:dyDescent="0.25">
      <c r="A5197" t="str">
        <f>"3055821"</f>
        <v>3055821</v>
      </c>
      <c r="B5197" t="s">
        <v>15899</v>
      </c>
      <c r="C5197" t="str">
        <f>"78850750"</f>
        <v>78850750</v>
      </c>
      <c r="D5197" t="s">
        <v>15900</v>
      </c>
      <c r="E5197" t="s">
        <v>15901</v>
      </c>
      <c r="F5197" t="s">
        <v>15902</v>
      </c>
      <c r="I5197" t="s">
        <v>29</v>
      </c>
      <c r="J5197" t="s">
        <v>30</v>
      </c>
      <c r="K5197" t="s">
        <v>31</v>
      </c>
      <c r="M5197" t="s">
        <v>32</v>
      </c>
      <c r="N5197" t="str">
        <f>"6/29/2004 12:00:00 AM"</f>
        <v>6/29/2004 12:00:00 AM</v>
      </c>
      <c r="O5197" t="s">
        <v>15900</v>
      </c>
      <c r="T5197" t="s">
        <v>15901</v>
      </c>
    </row>
    <row r="5198" spans="1:20" x14ac:dyDescent="0.25">
      <c r="A5198" t="str">
        <f>"3056149"</f>
        <v>3056149</v>
      </c>
      <c r="B5198" t="s">
        <v>15903</v>
      </c>
      <c r="C5198" t="str">
        <f>"78850750"</f>
        <v>78850750</v>
      </c>
      <c r="D5198" t="s">
        <v>15900</v>
      </c>
      <c r="E5198" t="s">
        <v>15901</v>
      </c>
      <c r="F5198" t="s">
        <v>15902</v>
      </c>
      <c r="I5198" t="s">
        <v>29</v>
      </c>
      <c r="J5198" t="s">
        <v>30</v>
      </c>
      <c r="K5198" t="s">
        <v>31</v>
      </c>
      <c r="M5198" t="s">
        <v>32</v>
      </c>
      <c r="N5198" t="str">
        <f>"6/29/2004 12:00:00 AM"</f>
        <v>6/29/2004 12:00:00 AM</v>
      </c>
      <c r="O5198" t="s">
        <v>15900</v>
      </c>
      <c r="T5198" t="s">
        <v>15901</v>
      </c>
    </row>
    <row r="5199" spans="1:20" x14ac:dyDescent="0.25">
      <c r="A5199" t="str">
        <f>"3055137"</f>
        <v>3055137</v>
      </c>
      <c r="B5199" t="s">
        <v>15904</v>
      </c>
      <c r="C5199" t="str">
        <f>"19355630"</f>
        <v>19355630</v>
      </c>
      <c r="D5199" t="s">
        <v>15905</v>
      </c>
      <c r="F5199" t="s">
        <v>15906</v>
      </c>
      <c r="I5199" t="s">
        <v>29</v>
      </c>
      <c r="J5199" t="s">
        <v>30</v>
      </c>
      <c r="K5199" t="s">
        <v>31</v>
      </c>
      <c r="M5199" t="s">
        <v>32</v>
      </c>
      <c r="N5199" t="str">
        <f>"7/15/2003 12:00:00 AM"</f>
        <v>7/15/2003 12:00:00 AM</v>
      </c>
      <c r="O5199" t="s">
        <v>15905</v>
      </c>
    </row>
    <row r="5200" spans="1:20" x14ac:dyDescent="0.25">
      <c r="A5200" t="str">
        <f>"3053529"</f>
        <v>3053529</v>
      </c>
      <c r="B5200" t="s">
        <v>15907</v>
      </c>
      <c r="C5200" t="str">
        <f>"82523495"</f>
        <v>82523495</v>
      </c>
      <c r="D5200" t="s">
        <v>15908</v>
      </c>
      <c r="E5200" t="s">
        <v>15909</v>
      </c>
      <c r="F5200" t="s">
        <v>15910</v>
      </c>
      <c r="I5200" t="s">
        <v>29</v>
      </c>
      <c r="J5200" t="s">
        <v>30</v>
      </c>
      <c r="K5200" t="s">
        <v>31</v>
      </c>
      <c r="M5200" t="s">
        <v>32</v>
      </c>
      <c r="N5200" t="str">
        <f>"12/8/2004 12:00:00 AM"</f>
        <v>12/8/2004 12:00:00 AM</v>
      </c>
      <c r="O5200" t="s">
        <v>15908</v>
      </c>
      <c r="T5200" t="s">
        <v>15909</v>
      </c>
    </row>
    <row r="5201" spans="1:20" x14ac:dyDescent="0.25">
      <c r="A5201" t="str">
        <f>"3053628"</f>
        <v>3053628</v>
      </c>
      <c r="B5201" t="s">
        <v>15911</v>
      </c>
      <c r="C5201" t="str">
        <f>"82525569"</f>
        <v>82525569</v>
      </c>
      <c r="D5201" t="s">
        <v>15912</v>
      </c>
      <c r="F5201" t="s">
        <v>15913</v>
      </c>
      <c r="I5201" t="s">
        <v>184</v>
      </c>
      <c r="J5201" t="s">
        <v>30</v>
      </c>
      <c r="K5201" t="s">
        <v>185</v>
      </c>
      <c r="M5201" t="s">
        <v>32</v>
      </c>
      <c r="N5201" t="str">
        <f>"1/5/2006 12:00:00 AM"</f>
        <v>1/5/2006 12:00:00 AM</v>
      </c>
      <c r="O5201" t="s">
        <v>15912</v>
      </c>
    </row>
    <row r="5202" spans="1:20" x14ac:dyDescent="0.25">
      <c r="A5202" t="str">
        <f>"3053199"</f>
        <v>3053199</v>
      </c>
      <c r="B5202" t="s">
        <v>15914</v>
      </c>
      <c r="C5202" t="str">
        <f>"82519441"</f>
        <v>82519441</v>
      </c>
      <c r="D5202" t="s">
        <v>15915</v>
      </c>
      <c r="F5202" t="s">
        <v>15916</v>
      </c>
      <c r="I5202" t="s">
        <v>7917</v>
      </c>
      <c r="J5202" t="s">
        <v>30</v>
      </c>
      <c r="K5202" t="s">
        <v>7918</v>
      </c>
      <c r="M5202" t="s">
        <v>32</v>
      </c>
      <c r="N5202" t="str">
        <f>"9/11/2002 12:00:00 AM"</f>
        <v>9/11/2002 12:00:00 AM</v>
      </c>
      <c r="O5202" t="s">
        <v>15915</v>
      </c>
    </row>
    <row r="5203" spans="1:20" x14ac:dyDescent="0.25">
      <c r="A5203" t="str">
        <f>"3055763"</f>
        <v>3055763</v>
      </c>
      <c r="B5203" t="s">
        <v>15917</v>
      </c>
      <c r="C5203" t="str">
        <f>"45525950"</f>
        <v>45525950</v>
      </c>
      <c r="D5203" t="s">
        <v>15918</v>
      </c>
      <c r="E5203" t="s">
        <v>15919</v>
      </c>
      <c r="F5203" t="s">
        <v>15920</v>
      </c>
      <c r="I5203" t="s">
        <v>9580</v>
      </c>
      <c r="J5203" t="s">
        <v>30</v>
      </c>
      <c r="K5203" t="s">
        <v>15921</v>
      </c>
      <c r="M5203" t="s">
        <v>32</v>
      </c>
      <c r="N5203" t="str">
        <f>"2/10/2010 12:00:00 AM"</f>
        <v>2/10/2010 12:00:00 AM</v>
      </c>
      <c r="O5203" t="s">
        <v>15918</v>
      </c>
      <c r="T5203" t="s">
        <v>15919</v>
      </c>
    </row>
    <row r="5204" spans="1:20" x14ac:dyDescent="0.25">
      <c r="A5204" t="str">
        <f>"3055820"</f>
        <v>3055820</v>
      </c>
      <c r="B5204" t="s">
        <v>15922</v>
      </c>
      <c r="C5204" t="str">
        <f>"42652000"</f>
        <v>42652000</v>
      </c>
      <c r="D5204" t="s">
        <v>15923</v>
      </c>
      <c r="E5204" t="s">
        <v>15924</v>
      </c>
      <c r="F5204" t="s">
        <v>15925</v>
      </c>
      <c r="I5204" t="s">
        <v>9580</v>
      </c>
      <c r="J5204" t="s">
        <v>30</v>
      </c>
      <c r="K5204" t="s">
        <v>9581</v>
      </c>
      <c r="M5204" t="s">
        <v>32</v>
      </c>
      <c r="N5204" t="str">
        <f>"11/21/2003 12:00:00 AM"</f>
        <v>11/21/2003 12:00:00 AM</v>
      </c>
      <c r="O5204" t="s">
        <v>15923</v>
      </c>
      <c r="T5204" t="s">
        <v>15924</v>
      </c>
    </row>
    <row r="5205" spans="1:20" x14ac:dyDescent="0.25">
      <c r="A5205" t="str">
        <f>"3056195"</f>
        <v>3056195</v>
      </c>
      <c r="B5205" t="s">
        <v>15926</v>
      </c>
      <c r="C5205" t="str">
        <f>"62786000"</f>
        <v>62786000</v>
      </c>
      <c r="D5205" t="s">
        <v>15927</v>
      </c>
      <c r="E5205" t="s">
        <v>15928</v>
      </c>
      <c r="F5205" t="s">
        <v>15929</v>
      </c>
      <c r="I5205" t="s">
        <v>9580</v>
      </c>
      <c r="J5205" t="s">
        <v>30</v>
      </c>
      <c r="K5205" t="s">
        <v>15930</v>
      </c>
      <c r="M5205" t="s">
        <v>32</v>
      </c>
      <c r="N5205" t="str">
        <f>"9/13/2007 12:00:00 AM"</f>
        <v>9/13/2007 12:00:00 AM</v>
      </c>
      <c r="O5205" t="s">
        <v>15927</v>
      </c>
      <c r="T5205" t="s">
        <v>15928</v>
      </c>
    </row>
    <row r="5206" spans="1:20" x14ac:dyDescent="0.25">
      <c r="A5206" t="str">
        <f>"3055788"</f>
        <v>3055788</v>
      </c>
      <c r="B5206" t="s">
        <v>15931</v>
      </c>
      <c r="C5206" t="str">
        <f>"54780000"</f>
        <v>54780000</v>
      </c>
      <c r="D5206" t="s">
        <v>15932</v>
      </c>
      <c r="E5206" t="s">
        <v>15933</v>
      </c>
      <c r="F5206" t="s">
        <v>15934</v>
      </c>
      <c r="I5206" t="s">
        <v>9580</v>
      </c>
      <c r="J5206" t="s">
        <v>30</v>
      </c>
      <c r="K5206" t="s">
        <v>9581</v>
      </c>
      <c r="M5206" t="s">
        <v>32</v>
      </c>
      <c r="N5206" t="str">
        <f>"3/25/2004 12:00:00 AM"</f>
        <v>3/25/2004 12:00:00 AM</v>
      </c>
      <c r="O5206" t="s">
        <v>15932</v>
      </c>
      <c r="T5206" t="s">
        <v>15933</v>
      </c>
    </row>
    <row r="5207" spans="1:20" x14ac:dyDescent="0.25">
      <c r="A5207" t="str">
        <f>"3055757"</f>
        <v>3055757</v>
      </c>
      <c r="B5207" t="s">
        <v>15935</v>
      </c>
      <c r="C5207" t="str">
        <f>"82521948"</f>
        <v>82521948</v>
      </c>
      <c r="D5207" t="s">
        <v>15936</v>
      </c>
      <c r="E5207" t="s">
        <v>15937</v>
      </c>
      <c r="F5207" t="s">
        <v>15938</v>
      </c>
      <c r="I5207" t="s">
        <v>9580</v>
      </c>
      <c r="J5207" t="s">
        <v>30</v>
      </c>
      <c r="K5207" t="s">
        <v>15939</v>
      </c>
      <c r="M5207" t="s">
        <v>32</v>
      </c>
      <c r="N5207" t="str">
        <f>"3/7/2005 12:00:00 AM"</f>
        <v>3/7/2005 12:00:00 AM</v>
      </c>
      <c r="O5207" t="s">
        <v>15936</v>
      </c>
      <c r="T5207" t="s">
        <v>15937</v>
      </c>
    </row>
    <row r="5208" spans="1:20" x14ac:dyDescent="0.25">
      <c r="A5208" t="str">
        <f>"3055706"</f>
        <v>3055706</v>
      </c>
      <c r="B5208" t="s">
        <v>15940</v>
      </c>
      <c r="C5208" t="str">
        <f>"82518578"</f>
        <v>82518578</v>
      </c>
      <c r="D5208" t="s">
        <v>15941</v>
      </c>
      <c r="E5208" t="s">
        <v>15942</v>
      </c>
      <c r="F5208" t="s">
        <v>15943</v>
      </c>
      <c r="I5208" t="s">
        <v>9580</v>
      </c>
      <c r="J5208" t="s">
        <v>30</v>
      </c>
      <c r="K5208" t="s">
        <v>9581</v>
      </c>
      <c r="M5208" t="s">
        <v>32</v>
      </c>
      <c r="N5208" t="str">
        <f>"2/10/2003 12:00:00 AM"</f>
        <v>2/10/2003 12:00:00 AM</v>
      </c>
      <c r="O5208" t="s">
        <v>15941</v>
      </c>
      <c r="T5208" t="s">
        <v>15942</v>
      </c>
    </row>
    <row r="5209" spans="1:20" x14ac:dyDescent="0.25">
      <c r="A5209" t="str">
        <f>"3055736"</f>
        <v>3055736</v>
      </c>
      <c r="B5209" t="s">
        <v>15944</v>
      </c>
      <c r="C5209" t="str">
        <f>"1398500"</f>
        <v>1398500</v>
      </c>
      <c r="D5209" t="s">
        <v>15945</v>
      </c>
      <c r="E5209" t="s">
        <v>15946</v>
      </c>
      <c r="F5209" t="s">
        <v>15947</v>
      </c>
      <c r="I5209" t="s">
        <v>29</v>
      </c>
      <c r="J5209" t="s">
        <v>30</v>
      </c>
      <c r="K5209" t="s">
        <v>31</v>
      </c>
      <c r="M5209" t="s">
        <v>32</v>
      </c>
      <c r="N5209" t="str">
        <f>"2/28/2002 12:00:00 AM"</f>
        <v>2/28/2002 12:00:00 AM</v>
      </c>
      <c r="O5209" t="s">
        <v>15945</v>
      </c>
      <c r="T5209" t="s">
        <v>15946</v>
      </c>
    </row>
    <row r="5210" spans="1:20" x14ac:dyDescent="0.25">
      <c r="A5210" t="str">
        <f>"3056167"</f>
        <v>3056167</v>
      </c>
      <c r="B5210" t="s">
        <v>15948</v>
      </c>
      <c r="C5210" t="str">
        <f>"1398500"</f>
        <v>1398500</v>
      </c>
      <c r="D5210" t="s">
        <v>15945</v>
      </c>
      <c r="E5210" t="s">
        <v>15946</v>
      </c>
      <c r="F5210" t="s">
        <v>15947</v>
      </c>
      <c r="I5210" t="s">
        <v>29</v>
      </c>
      <c r="J5210" t="s">
        <v>30</v>
      </c>
      <c r="K5210" t="s">
        <v>31</v>
      </c>
      <c r="M5210" t="s">
        <v>32</v>
      </c>
      <c r="N5210" t="str">
        <f>"2/28/2002 12:00:00 AM"</f>
        <v>2/28/2002 12:00:00 AM</v>
      </c>
      <c r="O5210" t="s">
        <v>15945</v>
      </c>
      <c r="T5210" t="s">
        <v>15946</v>
      </c>
    </row>
    <row r="5211" spans="1:20" x14ac:dyDescent="0.25">
      <c r="A5211" t="str">
        <f>"3056099"</f>
        <v>3056099</v>
      </c>
      <c r="B5211" t="s">
        <v>15949</v>
      </c>
      <c r="C5211" t="str">
        <f>"50090750"</f>
        <v>50090750</v>
      </c>
      <c r="D5211" t="s">
        <v>15950</v>
      </c>
      <c r="E5211" t="s">
        <v>15951</v>
      </c>
      <c r="F5211" t="s">
        <v>15952</v>
      </c>
      <c r="I5211" t="s">
        <v>29</v>
      </c>
      <c r="J5211" t="s">
        <v>30</v>
      </c>
      <c r="K5211" t="s">
        <v>31</v>
      </c>
      <c r="M5211" t="s">
        <v>32</v>
      </c>
      <c r="N5211" t="str">
        <f>"10/31/2011 12:00:00 AM"</f>
        <v>10/31/2011 12:00:00 AM</v>
      </c>
      <c r="O5211" t="s">
        <v>15950</v>
      </c>
      <c r="T5211" t="s">
        <v>15951</v>
      </c>
    </row>
    <row r="5212" spans="1:20" x14ac:dyDescent="0.25">
      <c r="A5212" t="str">
        <f>"3053794"</f>
        <v>3053794</v>
      </c>
      <c r="B5212" t="s">
        <v>15953</v>
      </c>
      <c r="C5212" t="str">
        <f>"82519443"</f>
        <v>82519443</v>
      </c>
      <c r="D5212" t="s">
        <v>15954</v>
      </c>
      <c r="F5212" t="s">
        <v>12784</v>
      </c>
      <c r="I5212" t="s">
        <v>184</v>
      </c>
      <c r="J5212" t="s">
        <v>30</v>
      </c>
      <c r="K5212" t="s">
        <v>12785</v>
      </c>
      <c r="M5212" t="s">
        <v>32</v>
      </c>
      <c r="N5212" t="str">
        <f>"1/21/2003 12:00:00 AM"</f>
        <v>1/21/2003 12:00:00 AM</v>
      </c>
      <c r="O5212" t="s">
        <v>15954</v>
      </c>
    </row>
    <row r="5213" spans="1:20" x14ac:dyDescent="0.25">
      <c r="A5213" t="str">
        <f>"3059875"</f>
        <v>3059875</v>
      </c>
      <c r="B5213" t="s">
        <v>15955</v>
      </c>
      <c r="C5213" t="str">
        <f>"82519494"</f>
        <v>82519494</v>
      </c>
      <c r="D5213" t="s">
        <v>15956</v>
      </c>
      <c r="F5213" t="s">
        <v>15808</v>
      </c>
      <c r="I5213" t="s">
        <v>9580</v>
      </c>
      <c r="J5213" t="s">
        <v>30</v>
      </c>
      <c r="K5213" t="s">
        <v>9581</v>
      </c>
      <c r="M5213" t="s">
        <v>32</v>
      </c>
      <c r="N5213" t="str">
        <f>"1/16/2003 12:00:00 AM"</f>
        <v>1/16/2003 12:00:00 AM</v>
      </c>
      <c r="O5213" t="s">
        <v>15956</v>
      </c>
    </row>
    <row r="5214" spans="1:20" x14ac:dyDescent="0.25">
      <c r="A5214" t="str">
        <f>"3063416"</f>
        <v>3063416</v>
      </c>
      <c r="B5214" t="s">
        <v>15957</v>
      </c>
      <c r="C5214" t="str">
        <f>"82519443"</f>
        <v>82519443</v>
      </c>
      <c r="D5214" t="s">
        <v>15954</v>
      </c>
      <c r="F5214" t="s">
        <v>12784</v>
      </c>
      <c r="I5214" t="s">
        <v>184</v>
      </c>
      <c r="J5214" t="s">
        <v>30</v>
      </c>
      <c r="K5214" t="s">
        <v>12785</v>
      </c>
      <c r="M5214" t="s">
        <v>32</v>
      </c>
      <c r="N5214" t="str">
        <f>"1/21/2003 12:00:00 AM"</f>
        <v>1/21/2003 12:00:00 AM</v>
      </c>
      <c r="O5214" t="s">
        <v>15954</v>
      </c>
    </row>
    <row r="5215" spans="1:20" x14ac:dyDescent="0.25">
      <c r="A5215" t="str">
        <f>"3049614"</f>
        <v>3049614</v>
      </c>
      <c r="B5215" t="s">
        <v>15958</v>
      </c>
      <c r="C5215" t="str">
        <f>"32012000"</f>
        <v>32012000</v>
      </c>
      <c r="D5215" t="s">
        <v>15754</v>
      </c>
      <c r="F5215" t="s">
        <v>15755</v>
      </c>
      <c r="I5215" t="s">
        <v>29</v>
      </c>
      <c r="J5215" t="s">
        <v>30</v>
      </c>
      <c r="K5215" t="s">
        <v>15756</v>
      </c>
      <c r="M5215" t="s">
        <v>32</v>
      </c>
      <c r="N5215" t="str">
        <f>"1/12/2006 12:00:00 AM"</f>
        <v>1/12/2006 12:00:00 AM</v>
      </c>
      <c r="O5215" t="s">
        <v>15754</v>
      </c>
    </row>
    <row r="5216" spans="1:20" x14ac:dyDescent="0.25">
      <c r="A5216" t="str">
        <f>"3054253"</f>
        <v>3054253</v>
      </c>
      <c r="B5216" t="s">
        <v>15959</v>
      </c>
      <c r="C5216" t="str">
        <f>"82526163"</f>
        <v>82526163</v>
      </c>
      <c r="D5216" t="s">
        <v>15960</v>
      </c>
      <c r="F5216" t="s">
        <v>15961</v>
      </c>
      <c r="I5216" t="s">
        <v>29</v>
      </c>
      <c r="J5216" t="s">
        <v>30</v>
      </c>
      <c r="K5216" t="s">
        <v>31</v>
      </c>
      <c r="M5216" t="s">
        <v>32</v>
      </c>
      <c r="N5216" t="str">
        <f>"6/5/2006 12:00:00 AM"</f>
        <v>6/5/2006 12:00:00 AM</v>
      </c>
      <c r="O5216" t="s">
        <v>15960</v>
      </c>
    </row>
    <row r="5217" spans="1:20" x14ac:dyDescent="0.25">
      <c r="A5217" t="str">
        <f>"3074698"</f>
        <v>3074698</v>
      </c>
      <c r="B5217" t="s">
        <v>15962</v>
      </c>
      <c r="C5217" t="str">
        <f>"45714000"</f>
        <v>45714000</v>
      </c>
      <c r="D5217" t="s">
        <v>15963</v>
      </c>
      <c r="F5217" t="s">
        <v>15964</v>
      </c>
      <c r="I5217" t="s">
        <v>29</v>
      </c>
      <c r="J5217" t="s">
        <v>30</v>
      </c>
      <c r="K5217" t="s">
        <v>31</v>
      </c>
      <c r="M5217" t="s">
        <v>32</v>
      </c>
      <c r="N5217" t="str">
        <f>"1/5/2004 12:00:00 AM"</f>
        <v>1/5/2004 12:00:00 AM</v>
      </c>
      <c r="O5217" t="s">
        <v>15963</v>
      </c>
    </row>
    <row r="5218" spans="1:20" x14ac:dyDescent="0.25">
      <c r="A5218" t="str">
        <f>"3062311"</f>
        <v>3062311</v>
      </c>
      <c r="B5218" t="s">
        <v>15965</v>
      </c>
      <c r="C5218" t="str">
        <f>"45718000"</f>
        <v>45718000</v>
      </c>
      <c r="D5218" t="s">
        <v>15966</v>
      </c>
      <c r="F5218" t="s">
        <v>15967</v>
      </c>
      <c r="I5218" t="s">
        <v>9580</v>
      </c>
      <c r="J5218" t="s">
        <v>30</v>
      </c>
      <c r="K5218" t="s">
        <v>9581</v>
      </c>
      <c r="M5218" t="s">
        <v>32</v>
      </c>
      <c r="N5218" t="str">
        <f>"2/14/2007 12:00:00 AM"</f>
        <v>2/14/2007 12:00:00 AM</v>
      </c>
      <c r="O5218" t="s">
        <v>15966</v>
      </c>
    </row>
    <row r="5219" spans="1:20" x14ac:dyDescent="0.25">
      <c r="A5219" t="str">
        <f>"3054221"</f>
        <v>3054221</v>
      </c>
      <c r="B5219" t="s">
        <v>15968</v>
      </c>
      <c r="C5219" t="str">
        <f>"45718000"</f>
        <v>45718000</v>
      </c>
      <c r="D5219" t="s">
        <v>15966</v>
      </c>
      <c r="F5219" t="s">
        <v>15967</v>
      </c>
      <c r="I5219" t="s">
        <v>9580</v>
      </c>
      <c r="J5219" t="s">
        <v>30</v>
      </c>
      <c r="K5219" t="s">
        <v>9581</v>
      </c>
      <c r="M5219" t="s">
        <v>32</v>
      </c>
      <c r="N5219" t="str">
        <f>"2/14/2007 12:00:00 AM"</f>
        <v>2/14/2007 12:00:00 AM</v>
      </c>
      <c r="O5219" t="s">
        <v>15966</v>
      </c>
    </row>
    <row r="5220" spans="1:20" x14ac:dyDescent="0.25">
      <c r="A5220" t="str">
        <f>"3057109"</f>
        <v>3057109</v>
      </c>
      <c r="B5220" t="s">
        <v>15969</v>
      </c>
      <c r="C5220" t="str">
        <f>"45718000"</f>
        <v>45718000</v>
      </c>
      <c r="D5220" t="s">
        <v>15966</v>
      </c>
      <c r="F5220" t="s">
        <v>15967</v>
      </c>
      <c r="I5220" t="s">
        <v>9580</v>
      </c>
      <c r="J5220" t="s">
        <v>30</v>
      </c>
      <c r="K5220" t="s">
        <v>9581</v>
      </c>
      <c r="M5220" t="s">
        <v>32</v>
      </c>
      <c r="N5220" t="str">
        <f>"2/14/2007 12:00:00 AM"</f>
        <v>2/14/2007 12:00:00 AM</v>
      </c>
      <c r="O5220" t="s">
        <v>15966</v>
      </c>
    </row>
    <row r="5221" spans="1:20" x14ac:dyDescent="0.25">
      <c r="A5221" t="str">
        <f>"3054266"</f>
        <v>3054266</v>
      </c>
      <c r="B5221" t="s">
        <v>15970</v>
      </c>
      <c r="C5221" t="str">
        <f>"82517777"</f>
        <v>82517777</v>
      </c>
      <c r="D5221" t="s">
        <v>15971</v>
      </c>
      <c r="F5221" t="s">
        <v>15964</v>
      </c>
      <c r="I5221" t="s">
        <v>29</v>
      </c>
      <c r="J5221" t="s">
        <v>30</v>
      </c>
      <c r="K5221" t="s">
        <v>15972</v>
      </c>
      <c r="M5221" t="s">
        <v>32</v>
      </c>
      <c r="N5221" t="str">
        <f>"1/27/2006 12:00:00 AM"</f>
        <v>1/27/2006 12:00:00 AM</v>
      </c>
      <c r="O5221" t="s">
        <v>15971</v>
      </c>
    </row>
    <row r="5222" spans="1:20" x14ac:dyDescent="0.25">
      <c r="A5222" t="str">
        <f>"3054222"</f>
        <v>3054222</v>
      </c>
      <c r="B5222" t="s">
        <v>15973</v>
      </c>
      <c r="C5222" t="str">
        <f>"45719000"</f>
        <v>45719000</v>
      </c>
      <c r="D5222" t="s">
        <v>15966</v>
      </c>
      <c r="E5222" t="s">
        <v>15974</v>
      </c>
      <c r="F5222" t="s">
        <v>15967</v>
      </c>
      <c r="I5222" t="s">
        <v>9580</v>
      </c>
      <c r="J5222" t="s">
        <v>30</v>
      </c>
      <c r="K5222" t="s">
        <v>9581</v>
      </c>
      <c r="M5222" t="s">
        <v>32</v>
      </c>
      <c r="N5222" t="str">
        <f>"12/16/2003 12:00:00 AM"</f>
        <v>12/16/2003 12:00:00 AM</v>
      </c>
      <c r="O5222" t="s">
        <v>15966</v>
      </c>
      <c r="T5222" t="s">
        <v>15974</v>
      </c>
    </row>
    <row r="5223" spans="1:20" x14ac:dyDescent="0.25">
      <c r="A5223" t="str">
        <f>"3054076"</f>
        <v>3054076</v>
      </c>
      <c r="B5223" t="s">
        <v>15975</v>
      </c>
      <c r="C5223" t="str">
        <f>"45719000"</f>
        <v>45719000</v>
      </c>
      <c r="D5223" t="s">
        <v>15966</v>
      </c>
      <c r="E5223" t="s">
        <v>15974</v>
      </c>
      <c r="F5223" t="s">
        <v>15967</v>
      </c>
      <c r="I5223" t="s">
        <v>9580</v>
      </c>
      <c r="J5223" t="s">
        <v>30</v>
      </c>
      <c r="K5223" t="s">
        <v>9581</v>
      </c>
      <c r="M5223" t="s">
        <v>32</v>
      </c>
      <c r="N5223" t="str">
        <f>"12/16/2003 12:00:00 AM"</f>
        <v>12/16/2003 12:00:00 AM</v>
      </c>
      <c r="O5223" t="s">
        <v>15966</v>
      </c>
      <c r="T5223" t="s">
        <v>15974</v>
      </c>
    </row>
    <row r="5224" spans="1:20" x14ac:dyDescent="0.25">
      <c r="A5224" t="str">
        <f>"3054077"</f>
        <v>3054077</v>
      </c>
      <c r="B5224" t="s">
        <v>15976</v>
      </c>
      <c r="C5224" t="str">
        <f>"45719000"</f>
        <v>45719000</v>
      </c>
      <c r="D5224" t="s">
        <v>15966</v>
      </c>
      <c r="E5224" t="s">
        <v>15974</v>
      </c>
      <c r="F5224" t="s">
        <v>15967</v>
      </c>
      <c r="I5224" t="s">
        <v>9580</v>
      </c>
      <c r="J5224" t="s">
        <v>30</v>
      </c>
      <c r="K5224" t="s">
        <v>9581</v>
      </c>
      <c r="M5224" t="s">
        <v>32</v>
      </c>
      <c r="N5224" t="str">
        <f>"12/16/2003 12:00:00 AM"</f>
        <v>12/16/2003 12:00:00 AM</v>
      </c>
      <c r="O5224" t="s">
        <v>15966</v>
      </c>
      <c r="T5224" t="s">
        <v>15974</v>
      </c>
    </row>
    <row r="5225" spans="1:20" x14ac:dyDescent="0.25">
      <c r="A5225" t="str">
        <f>"3055675"</f>
        <v>3055675</v>
      </c>
      <c r="B5225" t="s">
        <v>15977</v>
      </c>
      <c r="C5225" t="str">
        <f>"45719000"</f>
        <v>45719000</v>
      </c>
      <c r="D5225" t="s">
        <v>15966</v>
      </c>
      <c r="E5225" t="s">
        <v>15974</v>
      </c>
      <c r="F5225" t="s">
        <v>15967</v>
      </c>
      <c r="I5225" t="s">
        <v>9580</v>
      </c>
      <c r="J5225" t="s">
        <v>30</v>
      </c>
      <c r="K5225" t="s">
        <v>9581</v>
      </c>
      <c r="M5225" t="s">
        <v>32</v>
      </c>
      <c r="N5225" t="str">
        <f>"12/16/2003 12:00:00 AM"</f>
        <v>12/16/2003 12:00:00 AM</v>
      </c>
      <c r="O5225" t="s">
        <v>15966</v>
      </c>
      <c r="T5225" t="s">
        <v>15974</v>
      </c>
    </row>
    <row r="5226" spans="1:20" x14ac:dyDescent="0.25">
      <c r="A5226" t="str">
        <f>"3074619"</f>
        <v>3074619</v>
      </c>
      <c r="B5226" t="s">
        <v>15978</v>
      </c>
      <c r="C5226" t="str">
        <f>"45719000"</f>
        <v>45719000</v>
      </c>
      <c r="D5226" t="s">
        <v>15966</v>
      </c>
      <c r="E5226" t="s">
        <v>15974</v>
      </c>
      <c r="F5226" t="s">
        <v>15967</v>
      </c>
      <c r="I5226" t="s">
        <v>9580</v>
      </c>
      <c r="J5226" t="s">
        <v>30</v>
      </c>
      <c r="K5226" t="s">
        <v>9581</v>
      </c>
      <c r="M5226" t="s">
        <v>32</v>
      </c>
      <c r="N5226" t="str">
        <f>"12/16/2003 12:00:00 AM"</f>
        <v>12/16/2003 12:00:00 AM</v>
      </c>
      <c r="O5226" t="s">
        <v>15966</v>
      </c>
      <c r="T5226" t="s">
        <v>15974</v>
      </c>
    </row>
    <row r="5227" spans="1:20" x14ac:dyDescent="0.25">
      <c r="A5227" t="str">
        <f>"3054026"</f>
        <v>3054026</v>
      </c>
      <c r="B5227" t="s">
        <v>15979</v>
      </c>
      <c r="C5227" t="str">
        <f>"33972000"</f>
        <v>33972000</v>
      </c>
      <c r="D5227" t="s">
        <v>15980</v>
      </c>
      <c r="F5227" t="s">
        <v>15981</v>
      </c>
      <c r="I5227" t="s">
        <v>3196</v>
      </c>
      <c r="J5227" t="s">
        <v>30</v>
      </c>
      <c r="K5227" t="s">
        <v>15982</v>
      </c>
      <c r="M5227" t="s">
        <v>32</v>
      </c>
      <c r="N5227" t="str">
        <f>"11/4/2002 12:00:00 AM"</f>
        <v>11/4/2002 12:00:00 AM</v>
      </c>
      <c r="O5227" t="s">
        <v>15980</v>
      </c>
    </row>
    <row r="5228" spans="1:20" x14ac:dyDescent="0.25">
      <c r="A5228" t="str">
        <f>"3059899"</f>
        <v>3059899</v>
      </c>
      <c r="B5228" t="s">
        <v>15983</v>
      </c>
      <c r="C5228" t="str">
        <f>"12838000"</f>
        <v>12838000</v>
      </c>
      <c r="D5228" t="s">
        <v>15984</v>
      </c>
      <c r="E5228" t="s">
        <v>15985</v>
      </c>
      <c r="F5228" t="s">
        <v>15986</v>
      </c>
      <c r="I5228" t="s">
        <v>29</v>
      </c>
      <c r="J5228" t="s">
        <v>30</v>
      </c>
      <c r="K5228" t="s">
        <v>15987</v>
      </c>
      <c r="M5228" t="s">
        <v>32</v>
      </c>
      <c r="N5228" t="str">
        <f>"1/18/2005 12:00:00 AM"</f>
        <v>1/18/2005 12:00:00 AM</v>
      </c>
      <c r="O5228" t="s">
        <v>15984</v>
      </c>
      <c r="T5228" t="s">
        <v>15985</v>
      </c>
    </row>
    <row r="5229" spans="1:20" x14ac:dyDescent="0.25">
      <c r="A5229" t="str">
        <f>"3059944"</f>
        <v>3059944</v>
      </c>
      <c r="B5229" t="s">
        <v>15988</v>
      </c>
      <c r="C5229" t="str">
        <f>"38427830"</f>
        <v>38427830</v>
      </c>
      <c r="D5229" t="s">
        <v>15989</v>
      </c>
      <c r="E5229" t="s">
        <v>15990</v>
      </c>
      <c r="F5229" t="s">
        <v>15991</v>
      </c>
      <c r="I5229" t="s">
        <v>29</v>
      </c>
      <c r="J5229" t="s">
        <v>30</v>
      </c>
      <c r="K5229" t="s">
        <v>31</v>
      </c>
      <c r="M5229" t="s">
        <v>32</v>
      </c>
      <c r="N5229" t="str">
        <f>"11/7/2003 12:00:00 AM"</f>
        <v>11/7/2003 12:00:00 AM</v>
      </c>
      <c r="O5229" t="s">
        <v>15989</v>
      </c>
      <c r="T5229" t="s">
        <v>15990</v>
      </c>
    </row>
    <row r="5230" spans="1:20" x14ac:dyDescent="0.25">
      <c r="A5230" t="str">
        <f>"3059926"</f>
        <v>3059926</v>
      </c>
      <c r="B5230" t="s">
        <v>15992</v>
      </c>
      <c r="C5230" t="str">
        <f>"55297000"</f>
        <v>55297000</v>
      </c>
      <c r="D5230" t="s">
        <v>15993</v>
      </c>
      <c r="F5230" t="s">
        <v>15994</v>
      </c>
      <c r="I5230" t="s">
        <v>29</v>
      </c>
      <c r="J5230" t="s">
        <v>30</v>
      </c>
      <c r="K5230" t="s">
        <v>31</v>
      </c>
      <c r="M5230" t="s">
        <v>32</v>
      </c>
      <c r="N5230" t="str">
        <f>"11/29/2010 12:00:00 AM"</f>
        <v>11/29/2010 12:00:00 AM</v>
      </c>
      <c r="O5230" t="s">
        <v>15993</v>
      </c>
    </row>
    <row r="5231" spans="1:20" x14ac:dyDescent="0.25">
      <c r="A5231" t="str">
        <f>"3069951"</f>
        <v>3069951</v>
      </c>
      <c r="B5231" t="s">
        <v>15995</v>
      </c>
      <c r="C5231" t="str">
        <f>"19366000"</f>
        <v>19366000</v>
      </c>
      <c r="D5231" t="s">
        <v>15996</v>
      </c>
      <c r="E5231" t="s">
        <v>15997</v>
      </c>
      <c r="F5231" t="s">
        <v>15998</v>
      </c>
      <c r="I5231" t="s">
        <v>29</v>
      </c>
      <c r="J5231" t="s">
        <v>30</v>
      </c>
      <c r="K5231" t="s">
        <v>15999</v>
      </c>
      <c r="M5231" t="s">
        <v>32</v>
      </c>
      <c r="N5231" t="str">
        <f>"2/28/2007 12:00:00 AM"</f>
        <v>2/28/2007 12:00:00 AM</v>
      </c>
      <c r="O5231" t="s">
        <v>15996</v>
      </c>
      <c r="T5231" t="s">
        <v>15997</v>
      </c>
    </row>
    <row r="5232" spans="1:20" x14ac:dyDescent="0.25">
      <c r="A5232" t="str">
        <f>"3078879"</f>
        <v>3078879</v>
      </c>
      <c r="B5232" t="s">
        <v>16000</v>
      </c>
      <c r="C5232" t="str">
        <f>"50144210"</f>
        <v>50144210</v>
      </c>
      <c r="D5232" t="s">
        <v>16001</v>
      </c>
      <c r="E5232" t="s">
        <v>16002</v>
      </c>
      <c r="F5232" t="s">
        <v>16003</v>
      </c>
      <c r="I5232" t="s">
        <v>29</v>
      </c>
      <c r="J5232" t="s">
        <v>30</v>
      </c>
      <c r="K5232" t="s">
        <v>31</v>
      </c>
      <c r="M5232" t="s">
        <v>32</v>
      </c>
      <c r="N5232" t="str">
        <f>"8/5/2003 12:00:00 AM"</f>
        <v>8/5/2003 12:00:00 AM</v>
      </c>
      <c r="O5232" t="s">
        <v>16001</v>
      </c>
      <c r="T5232" t="s">
        <v>16002</v>
      </c>
    </row>
    <row r="5233" spans="1:20" x14ac:dyDescent="0.25">
      <c r="A5233" t="str">
        <f>"3056449"</f>
        <v>3056449</v>
      </c>
      <c r="B5233" t="s">
        <v>16004</v>
      </c>
      <c r="C5233" t="str">
        <f>"50144210"</f>
        <v>50144210</v>
      </c>
      <c r="D5233" t="s">
        <v>16001</v>
      </c>
      <c r="E5233" t="s">
        <v>16002</v>
      </c>
      <c r="F5233" t="s">
        <v>16003</v>
      </c>
      <c r="I5233" t="s">
        <v>29</v>
      </c>
      <c r="J5233" t="s">
        <v>30</v>
      </c>
      <c r="K5233" t="s">
        <v>31</v>
      </c>
      <c r="M5233" t="s">
        <v>32</v>
      </c>
      <c r="N5233" t="str">
        <f>"8/5/2003 12:00:00 AM"</f>
        <v>8/5/2003 12:00:00 AM</v>
      </c>
      <c r="O5233" t="s">
        <v>16001</v>
      </c>
      <c r="T5233" t="s">
        <v>16002</v>
      </c>
    </row>
    <row r="5234" spans="1:20" x14ac:dyDescent="0.25">
      <c r="A5234" t="str">
        <f>"3056760"</f>
        <v>3056760</v>
      </c>
      <c r="B5234" t="s">
        <v>16005</v>
      </c>
      <c r="C5234" t="str">
        <f>"82529539"</f>
        <v>82529539</v>
      </c>
      <c r="D5234" t="s">
        <v>16006</v>
      </c>
      <c r="E5234" t="s">
        <v>16007</v>
      </c>
      <c r="F5234" t="s">
        <v>16008</v>
      </c>
      <c r="I5234" t="s">
        <v>29</v>
      </c>
      <c r="J5234" t="s">
        <v>30</v>
      </c>
      <c r="K5234" t="s">
        <v>31</v>
      </c>
      <c r="M5234" t="s">
        <v>32</v>
      </c>
      <c r="N5234" t="str">
        <f>"5/7/2008 12:00:00 AM"</f>
        <v>5/7/2008 12:00:00 AM</v>
      </c>
      <c r="O5234" t="s">
        <v>16006</v>
      </c>
      <c r="T5234" t="s">
        <v>16007</v>
      </c>
    </row>
    <row r="5235" spans="1:20" x14ac:dyDescent="0.25">
      <c r="A5235" t="str">
        <f>"3056817"</f>
        <v>3056817</v>
      </c>
      <c r="B5235" t="s">
        <v>16009</v>
      </c>
      <c r="C5235" t="str">
        <f t="shared" ref="C5235:C5253" si="76">"82527111"</f>
        <v>82527111</v>
      </c>
      <c r="D5235" t="s">
        <v>16010</v>
      </c>
      <c r="E5235" t="s">
        <v>16011</v>
      </c>
      <c r="F5235" t="s">
        <v>16012</v>
      </c>
      <c r="I5235" t="s">
        <v>29</v>
      </c>
      <c r="J5235" t="s">
        <v>30</v>
      </c>
      <c r="K5235" t="s">
        <v>31</v>
      </c>
      <c r="M5235" t="s">
        <v>32</v>
      </c>
      <c r="N5235" t="str">
        <f t="shared" ref="N5235:N5253" si="77">"11/9/2006 12:00:00 AM"</f>
        <v>11/9/2006 12:00:00 AM</v>
      </c>
      <c r="O5235" t="s">
        <v>16010</v>
      </c>
      <c r="T5235" t="s">
        <v>16011</v>
      </c>
    </row>
    <row r="5236" spans="1:20" x14ac:dyDescent="0.25">
      <c r="A5236" t="str">
        <f>"3057219"</f>
        <v>3057219</v>
      </c>
      <c r="B5236" t="s">
        <v>16013</v>
      </c>
      <c r="C5236" t="str">
        <f t="shared" si="76"/>
        <v>82527111</v>
      </c>
      <c r="D5236" t="s">
        <v>16010</v>
      </c>
      <c r="E5236" t="s">
        <v>16011</v>
      </c>
      <c r="F5236" t="s">
        <v>16012</v>
      </c>
      <c r="I5236" t="s">
        <v>29</v>
      </c>
      <c r="J5236" t="s">
        <v>30</v>
      </c>
      <c r="K5236" t="s">
        <v>31</v>
      </c>
      <c r="M5236" t="s">
        <v>32</v>
      </c>
      <c r="N5236" t="str">
        <f t="shared" si="77"/>
        <v>11/9/2006 12:00:00 AM</v>
      </c>
      <c r="O5236" t="s">
        <v>16010</v>
      </c>
      <c r="T5236" t="s">
        <v>16011</v>
      </c>
    </row>
    <row r="5237" spans="1:20" x14ac:dyDescent="0.25">
      <c r="A5237" t="str">
        <f>"3057213"</f>
        <v>3057213</v>
      </c>
      <c r="B5237" t="s">
        <v>16014</v>
      </c>
      <c r="C5237" t="str">
        <f t="shared" si="76"/>
        <v>82527111</v>
      </c>
      <c r="D5237" t="s">
        <v>16010</v>
      </c>
      <c r="E5237" t="s">
        <v>16011</v>
      </c>
      <c r="F5237" t="s">
        <v>16012</v>
      </c>
      <c r="I5237" t="s">
        <v>29</v>
      </c>
      <c r="J5237" t="s">
        <v>30</v>
      </c>
      <c r="K5237" t="s">
        <v>31</v>
      </c>
      <c r="M5237" t="s">
        <v>32</v>
      </c>
      <c r="N5237" t="str">
        <f t="shared" si="77"/>
        <v>11/9/2006 12:00:00 AM</v>
      </c>
      <c r="O5237" t="s">
        <v>16010</v>
      </c>
      <c r="T5237" t="s">
        <v>16011</v>
      </c>
    </row>
    <row r="5238" spans="1:20" x14ac:dyDescent="0.25">
      <c r="A5238" t="str">
        <f>"3057177"</f>
        <v>3057177</v>
      </c>
      <c r="B5238" t="s">
        <v>16015</v>
      </c>
      <c r="C5238" t="str">
        <f t="shared" si="76"/>
        <v>82527111</v>
      </c>
      <c r="D5238" t="s">
        <v>16010</v>
      </c>
      <c r="E5238" t="s">
        <v>16011</v>
      </c>
      <c r="F5238" t="s">
        <v>16012</v>
      </c>
      <c r="I5238" t="s">
        <v>29</v>
      </c>
      <c r="J5238" t="s">
        <v>30</v>
      </c>
      <c r="K5238" t="s">
        <v>31</v>
      </c>
      <c r="M5238" t="s">
        <v>32</v>
      </c>
      <c r="N5238" t="str">
        <f t="shared" si="77"/>
        <v>11/9/2006 12:00:00 AM</v>
      </c>
      <c r="O5238" t="s">
        <v>16010</v>
      </c>
      <c r="T5238" t="s">
        <v>16011</v>
      </c>
    </row>
    <row r="5239" spans="1:20" x14ac:dyDescent="0.25">
      <c r="A5239" t="str">
        <f>"3057178"</f>
        <v>3057178</v>
      </c>
      <c r="B5239" t="s">
        <v>16016</v>
      </c>
      <c r="C5239" t="str">
        <f t="shared" si="76"/>
        <v>82527111</v>
      </c>
      <c r="D5239" t="s">
        <v>16010</v>
      </c>
      <c r="E5239" t="s">
        <v>16011</v>
      </c>
      <c r="F5239" t="s">
        <v>16012</v>
      </c>
      <c r="I5239" t="s">
        <v>29</v>
      </c>
      <c r="J5239" t="s">
        <v>30</v>
      </c>
      <c r="K5239" t="s">
        <v>31</v>
      </c>
      <c r="M5239" t="s">
        <v>32</v>
      </c>
      <c r="N5239" t="str">
        <f t="shared" si="77"/>
        <v>11/9/2006 12:00:00 AM</v>
      </c>
      <c r="O5239" t="s">
        <v>16010</v>
      </c>
      <c r="T5239" t="s">
        <v>16011</v>
      </c>
    </row>
    <row r="5240" spans="1:20" x14ac:dyDescent="0.25">
      <c r="A5240" t="str">
        <f>"3057179"</f>
        <v>3057179</v>
      </c>
      <c r="B5240" t="s">
        <v>16017</v>
      </c>
      <c r="C5240" t="str">
        <f t="shared" si="76"/>
        <v>82527111</v>
      </c>
      <c r="D5240" t="s">
        <v>16010</v>
      </c>
      <c r="E5240" t="s">
        <v>16011</v>
      </c>
      <c r="F5240" t="s">
        <v>16012</v>
      </c>
      <c r="I5240" t="s">
        <v>29</v>
      </c>
      <c r="J5240" t="s">
        <v>30</v>
      </c>
      <c r="K5240" t="s">
        <v>31</v>
      </c>
      <c r="M5240" t="s">
        <v>32</v>
      </c>
      <c r="N5240" t="str">
        <f t="shared" si="77"/>
        <v>11/9/2006 12:00:00 AM</v>
      </c>
      <c r="O5240" t="s">
        <v>16010</v>
      </c>
      <c r="T5240" t="s">
        <v>16011</v>
      </c>
    </row>
    <row r="5241" spans="1:20" x14ac:dyDescent="0.25">
      <c r="A5241" t="str">
        <f>"3057180"</f>
        <v>3057180</v>
      </c>
      <c r="B5241" t="s">
        <v>16018</v>
      </c>
      <c r="C5241" t="str">
        <f t="shared" si="76"/>
        <v>82527111</v>
      </c>
      <c r="D5241" t="s">
        <v>16010</v>
      </c>
      <c r="E5241" t="s">
        <v>16011</v>
      </c>
      <c r="F5241" t="s">
        <v>16012</v>
      </c>
      <c r="I5241" t="s">
        <v>29</v>
      </c>
      <c r="J5241" t="s">
        <v>30</v>
      </c>
      <c r="K5241" t="s">
        <v>31</v>
      </c>
      <c r="M5241" t="s">
        <v>32</v>
      </c>
      <c r="N5241" t="str">
        <f t="shared" si="77"/>
        <v>11/9/2006 12:00:00 AM</v>
      </c>
      <c r="O5241" t="s">
        <v>16010</v>
      </c>
      <c r="T5241" t="s">
        <v>16011</v>
      </c>
    </row>
    <row r="5242" spans="1:20" x14ac:dyDescent="0.25">
      <c r="A5242" t="str">
        <f>"3057184"</f>
        <v>3057184</v>
      </c>
      <c r="B5242" t="s">
        <v>16019</v>
      </c>
      <c r="C5242" t="str">
        <f t="shared" si="76"/>
        <v>82527111</v>
      </c>
      <c r="D5242" t="s">
        <v>16010</v>
      </c>
      <c r="E5242" t="s">
        <v>16011</v>
      </c>
      <c r="F5242" t="s">
        <v>16012</v>
      </c>
      <c r="I5242" t="s">
        <v>29</v>
      </c>
      <c r="J5242" t="s">
        <v>30</v>
      </c>
      <c r="K5242" t="s">
        <v>31</v>
      </c>
      <c r="M5242" t="s">
        <v>32</v>
      </c>
      <c r="N5242" t="str">
        <f t="shared" si="77"/>
        <v>11/9/2006 12:00:00 AM</v>
      </c>
      <c r="O5242" t="s">
        <v>16010</v>
      </c>
      <c r="T5242" t="s">
        <v>16011</v>
      </c>
    </row>
    <row r="5243" spans="1:20" x14ac:dyDescent="0.25">
      <c r="A5243" t="str">
        <f>"3057186"</f>
        <v>3057186</v>
      </c>
      <c r="B5243" t="s">
        <v>16020</v>
      </c>
      <c r="C5243" t="str">
        <f t="shared" si="76"/>
        <v>82527111</v>
      </c>
      <c r="D5243" t="s">
        <v>16010</v>
      </c>
      <c r="E5243" t="s">
        <v>16011</v>
      </c>
      <c r="F5243" t="s">
        <v>16012</v>
      </c>
      <c r="I5243" t="s">
        <v>29</v>
      </c>
      <c r="J5243" t="s">
        <v>30</v>
      </c>
      <c r="K5243" t="s">
        <v>31</v>
      </c>
      <c r="M5243" t="s">
        <v>32</v>
      </c>
      <c r="N5243" t="str">
        <f t="shared" si="77"/>
        <v>11/9/2006 12:00:00 AM</v>
      </c>
      <c r="O5243" t="s">
        <v>16010</v>
      </c>
      <c r="T5243" t="s">
        <v>16011</v>
      </c>
    </row>
    <row r="5244" spans="1:20" x14ac:dyDescent="0.25">
      <c r="A5244" t="str">
        <f>"3057187"</f>
        <v>3057187</v>
      </c>
      <c r="B5244" t="s">
        <v>16021</v>
      </c>
      <c r="C5244" t="str">
        <f t="shared" si="76"/>
        <v>82527111</v>
      </c>
      <c r="D5244" t="s">
        <v>16010</v>
      </c>
      <c r="E5244" t="s">
        <v>16011</v>
      </c>
      <c r="F5244" t="s">
        <v>16012</v>
      </c>
      <c r="I5244" t="s">
        <v>29</v>
      </c>
      <c r="J5244" t="s">
        <v>30</v>
      </c>
      <c r="K5244" t="s">
        <v>31</v>
      </c>
      <c r="M5244" t="s">
        <v>32</v>
      </c>
      <c r="N5244" t="str">
        <f t="shared" si="77"/>
        <v>11/9/2006 12:00:00 AM</v>
      </c>
      <c r="O5244" t="s">
        <v>16010</v>
      </c>
      <c r="T5244" t="s">
        <v>16011</v>
      </c>
    </row>
    <row r="5245" spans="1:20" x14ac:dyDescent="0.25">
      <c r="A5245" t="str">
        <f>"3057188"</f>
        <v>3057188</v>
      </c>
      <c r="B5245" t="s">
        <v>16022</v>
      </c>
      <c r="C5245" t="str">
        <f t="shared" si="76"/>
        <v>82527111</v>
      </c>
      <c r="D5245" t="s">
        <v>16010</v>
      </c>
      <c r="E5245" t="s">
        <v>16011</v>
      </c>
      <c r="F5245" t="s">
        <v>16012</v>
      </c>
      <c r="I5245" t="s">
        <v>29</v>
      </c>
      <c r="J5245" t="s">
        <v>30</v>
      </c>
      <c r="K5245" t="s">
        <v>31</v>
      </c>
      <c r="M5245" t="s">
        <v>32</v>
      </c>
      <c r="N5245" t="str">
        <f t="shared" si="77"/>
        <v>11/9/2006 12:00:00 AM</v>
      </c>
      <c r="O5245" t="s">
        <v>16010</v>
      </c>
      <c r="T5245" t="s">
        <v>16011</v>
      </c>
    </row>
    <row r="5246" spans="1:20" x14ac:dyDescent="0.25">
      <c r="A5246" t="str">
        <f>"3057189"</f>
        <v>3057189</v>
      </c>
      <c r="B5246" t="s">
        <v>16023</v>
      </c>
      <c r="C5246" t="str">
        <f t="shared" si="76"/>
        <v>82527111</v>
      </c>
      <c r="D5246" t="s">
        <v>16010</v>
      </c>
      <c r="E5246" t="s">
        <v>16011</v>
      </c>
      <c r="F5246" t="s">
        <v>16012</v>
      </c>
      <c r="I5246" t="s">
        <v>29</v>
      </c>
      <c r="J5246" t="s">
        <v>30</v>
      </c>
      <c r="K5246" t="s">
        <v>31</v>
      </c>
      <c r="M5246" t="s">
        <v>32</v>
      </c>
      <c r="N5246" t="str">
        <f t="shared" si="77"/>
        <v>11/9/2006 12:00:00 AM</v>
      </c>
      <c r="O5246" t="s">
        <v>16010</v>
      </c>
      <c r="T5246" t="s">
        <v>16011</v>
      </c>
    </row>
    <row r="5247" spans="1:20" x14ac:dyDescent="0.25">
      <c r="A5247" t="str">
        <f>"3057190"</f>
        <v>3057190</v>
      </c>
      <c r="B5247" t="s">
        <v>16024</v>
      </c>
      <c r="C5247" t="str">
        <f t="shared" si="76"/>
        <v>82527111</v>
      </c>
      <c r="D5247" t="s">
        <v>16010</v>
      </c>
      <c r="E5247" t="s">
        <v>16011</v>
      </c>
      <c r="F5247" t="s">
        <v>16012</v>
      </c>
      <c r="I5247" t="s">
        <v>29</v>
      </c>
      <c r="J5247" t="s">
        <v>30</v>
      </c>
      <c r="K5247" t="s">
        <v>31</v>
      </c>
      <c r="M5247" t="s">
        <v>32</v>
      </c>
      <c r="N5247" t="str">
        <f t="shared" si="77"/>
        <v>11/9/2006 12:00:00 AM</v>
      </c>
      <c r="O5247" t="s">
        <v>16010</v>
      </c>
      <c r="T5247" t="s">
        <v>16011</v>
      </c>
    </row>
    <row r="5248" spans="1:20" x14ac:dyDescent="0.25">
      <c r="A5248" t="str">
        <f>"3057191"</f>
        <v>3057191</v>
      </c>
      <c r="B5248" t="s">
        <v>16025</v>
      </c>
      <c r="C5248" t="str">
        <f t="shared" si="76"/>
        <v>82527111</v>
      </c>
      <c r="D5248" t="s">
        <v>16010</v>
      </c>
      <c r="E5248" t="s">
        <v>16011</v>
      </c>
      <c r="F5248" t="s">
        <v>16012</v>
      </c>
      <c r="I5248" t="s">
        <v>29</v>
      </c>
      <c r="J5248" t="s">
        <v>30</v>
      </c>
      <c r="K5248" t="s">
        <v>31</v>
      </c>
      <c r="M5248" t="s">
        <v>32</v>
      </c>
      <c r="N5248" t="str">
        <f t="shared" si="77"/>
        <v>11/9/2006 12:00:00 AM</v>
      </c>
      <c r="O5248" t="s">
        <v>16010</v>
      </c>
      <c r="T5248" t="s">
        <v>16011</v>
      </c>
    </row>
    <row r="5249" spans="1:20" x14ac:dyDescent="0.25">
      <c r="A5249" t="str">
        <f>"3057192"</f>
        <v>3057192</v>
      </c>
      <c r="B5249" t="s">
        <v>16026</v>
      </c>
      <c r="C5249" t="str">
        <f t="shared" si="76"/>
        <v>82527111</v>
      </c>
      <c r="D5249" t="s">
        <v>16010</v>
      </c>
      <c r="E5249" t="s">
        <v>16011</v>
      </c>
      <c r="F5249" t="s">
        <v>16012</v>
      </c>
      <c r="I5249" t="s">
        <v>29</v>
      </c>
      <c r="J5249" t="s">
        <v>30</v>
      </c>
      <c r="K5249" t="s">
        <v>31</v>
      </c>
      <c r="M5249" t="s">
        <v>32</v>
      </c>
      <c r="N5249" t="str">
        <f t="shared" si="77"/>
        <v>11/9/2006 12:00:00 AM</v>
      </c>
      <c r="O5249" t="s">
        <v>16010</v>
      </c>
      <c r="T5249" t="s">
        <v>16011</v>
      </c>
    </row>
    <row r="5250" spans="1:20" x14ac:dyDescent="0.25">
      <c r="A5250" t="str">
        <f>"3057193"</f>
        <v>3057193</v>
      </c>
      <c r="B5250" t="s">
        <v>16027</v>
      </c>
      <c r="C5250" t="str">
        <f t="shared" si="76"/>
        <v>82527111</v>
      </c>
      <c r="D5250" t="s">
        <v>16010</v>
      </c>
      <c r="E5250" t="s">
        <v>16011</v>
      </c>
      <c r="F5250" t="s">
        <v>16012</v>
      </c>
      <c r="I5250" t="s">
        <v>29</v>
      </c>
      <c r="J5250" t="s">
        <v>30</v>
      </c>
      <c r="K5250" t="s">
        <v>31</v>
      </c>
      <c r="M5250" t="s">
        <v>32</v>
      </c>
      <c r="N5250" t="str">
        <f t="shared" si="77"/>
        <v>11/9/2006 12:00:00 AM</v>
      </c>
      <c r="O5250" t="s">
        <v>16010</v>
      </c>
      <c r="T5250" t="s">
        <v>16011</v>
      </c>
    </row>
    <row r="5251" spans="1:20" x14ac:dyDescent="0.25">
      <c r="A5251" t="str">
        <f>"3057194"</f>
        <v>3057194</v>
      </c>
      <c r="B5251" t="s">
        <v>16028</v>
      </c>
      <c r="C5251" t="str">
        <f t="shared" si="76"/>
        <v>82527111</v>
      </c>
      <c r="D5251" t="s">
        <v>16010</v>
      </c>
      <c r="E5251" t="s">
        <v>16011</v>
      </c>
      <c r="F5251" t="s">
        <v>16012</v>
      </c>
      <c r="I5251" t="s">
        <v>29</v>
      </c>
      <c r="J5251" t="s">
        <v>30</v>
      </c>
      <c r="K5251" t="s">
        <v>31</v>
      </c>
      <c r="M5251" t="s">
        <v>32</v>
      </c>
      <c r="N5251" t="str">
        <f t="shared" si="77"/>
        <v>11/9/2006 12:00:00 AM</v>
      </c>
      <c r="O5251" t="s">
        <v>16010</v>
      </c>
      <c r="T5251" t="s">
        <v>16011</v>
      </c>
    </row>
    <row r="5252" spans="1:20" x14ac:dyDescent="0.25">
      <c r="A5252" t="str">
        <f>"3057195"</f>
        <v>3057195</v>
      </c>
      <c r="B5252" t="s">
        <v>16029</v>
      </c>
      <c r="C5252" t="str">
        <f t="shared" si="76"/>
        <v>82527111</v>
      </c>
      <c r="D5252" t="s">
        <v>16010</v>
      </c>
      <c r="E5252" t="s">
        <v>16011</v>
      </c>
      <c r="F5252" t="s">
        <v>16012</v>
      </c>
      <c r="I5252" t="s">
        <v>29</v>
      </c>
      <c r="J5252" t="s">
        <v>30</v>
      </c>
      <c r="K5252" t="s">
        <v>31</v>
      </c>
      <c r="M5252" t="s">
        <v>32</v>
      </c>
      <c r="N5252" t="str">
        <f t="shared" si="77"/>
        <v>11/9/2006 12:00:00 AM</v>
      </c>
      <c r="O5252" t="s">
        <v>16010</v>
      </c>
      <c r="T5252" t="s">
        <v>16011</v>
      </c>
    </row>
    <row r="5253" spans="1:20" x14ac:dyDescent="0.25">
      <c r="A5253" t="str">
        <f>"3078889"</f>
        <v>3078889</v>
      </c>
      <c r="B5253" t="s">
        <v>16030</v>
      </c>
      <c r="C5253" t="str">
        <f t="shared" si="76"/>
        <v>82527111</v>
      </c>
      <c r="D5253" t="s">
        <v>16010</v>
      </c>
      <c r="E5253" t="s">
        <v>16011</v>
      </c>
      <c r="F5253" t="s">
        <v>16012</v>
      </c>
      <c r="I5253" t="s">
        <v>29</v>
      </c>
      <c r="J5253" t="s">
        <v>30</v>
      </c>
      <c r="K5253" t="s">
        <v>31</v>
      </c>
      <c r="M5253" t="s">
        <v>32</v>
      </c>
      <c r="N5253" t="str">
        <f t="shared" si="77"/>
        <v>11/9/2006 12:00:00 AM</v>
      </c>
      <c r="O5253" t="s">
        <v>16010</v>
      </c>
      <c r="T5253" t="s">
        <v>16011</v>
      </c>
    </row>
    <row r="5254" spans="1:20" x14ac:dyDescent="0.25">
      <c r="A5254" t="str">
        <f>"3056610"</f>
        <v>3056610</v>
      </c>
      <c r="B5254" t="s">
        <v>16031</v>
      </c>
      <c r="C5254" t="str">
        <f>"47574500"</f>
        <v>47574500</v>
      </c>
      <c r="D5254" t="s">
        <v>16032</v>
      </c>
      <c r="E5254" t="s">
        <v>16033</v>
      </c>
      <c r="F5254" t="s">
        <v>16034</v>
      </c>
      <c r="I5254" t="s">
        <v>29</v>
      </c>
      <c r="J5254" t="s">
        <v>30</v>
      </c>
      <c r="K5254" t="s">
        <v>16035</v>
      </c>
      <c r="M5254" t="s">
        <v>32</v>
      </c>
      <c r="N5254" t="str">
        <f>"2/10/2005 12:00:00 AM"</f>
        <v>2/10/2005 12:00:00 AM</v>
      </c>
      <c r="O5254" t="s">
        <v>16032</v>
      </c>
      <c r="T5254" t="s">
        <v>16033</v>
      </c>
    </row>
    <row r="5255" spans="1:20" x14ac:dyDescent="0.25">
      <c r="A5255" t="str">
        <f>"3056640"</f>
        <v>3056640</v>
      </c>
      <c r="B5255" t="s">
        <v>16036</v>
      </c>
      <c r="C5255" t="str">
        <f>"39976000"</f>
        <v>39976000</v>
      </c>
      <c r="D5255" t="s">
        <v>16037</v>
      </c>
      <c r="E5255" t="s">
        <v>16038</v>
      </c>
      <c r="F5255" t="s">
        <v>16039</v>
      </c>
      <c r="I5255" t="s">
        <v>29</v>
      </c>
      <c r="J5255" t="s">
        <v>30</v>
      </c>
      <c r="K5255" t="s">
        <v>16040</v>
      </c>
      <c r="M5255" t="s">
        <v>32</v>
      </c>
      <c r="N5255" t="str">
        <f>"2/10/2005 12:00:00 AM"</f>
        <v>2/10/2005 12:00:00 AM</v>
      </c>
      <c r="O5255" t="s">
        <v>16037</v>
      </c>
      <c r="T5255" t="s">
        <v>16038</v>
      </c>
    </row>
    <row r="5256" spans="1:20" x14ac:dyDescent="0.25">
      <c r="A5256" t="str">
        <f>"3062616"</f>
        <v>3062616</v>
      </c>
      <c r="B5256" t="s">
        <v>16041</v>
      </c>
      <c r="C5256" t="str">
        <f>"70253000"</f>
        <v>70253000</v>
      </c>
      <c r="D5256" t="s">
        <v>16042</v>
      </c>
      <c r="F5256" t="s">
        <v>16043</v>
      </c>
      <c r="I5256" t="s">
        <v>15493</v>
      </c>
      <c r="J5256" t="s">
        <v>30</v>
      </c>
      <c r="K5256" t="s">
        <v>31</v>
      </c>
      <c r="M5256" t="s">
        <v>32</v>
      </c>
      <c r="N5256" t="str">
        <f>"11/26/2008 12:00:00 AM"</f>
        <v>11/26/2008 12:00:00 AM</v>
      </c>
      <c r="O5256" t="s">
        <v>16042</v>
      </c>
    </row>
    <row r="5257" spans="1:20" x14ac:dyDescent="0.25">
      <c r="A5257" t="str">
        <f>"3054508"</f>
        <v>3054508</v>
      </c>
      <c r="B5257" t="s">
        <v>16044</v>
      </c>
      <c r="C5257" t="str">
        <f>"49203500"</f>
        <v>49203500</v>
      </c>
      <c r="D5257" t="s">
        <v>16045</v>
      </c>
      <c r="E5257" t="s">
        <v>16046</v>
      </c>
      <c r="F5257" t="s">
        <v>16047</v>
      </c>
      <c r="I5257" t="s">
        <v>29</v>
      </c>
      <c r="J5257" t="s">
        <v>30</v>
      </c>
      <c r="K5257" t="s">
        <v>31</v>
      </c>
      <c r="M5257" t="s">
        <v>32</v>
      </c>
      <c r="N5257" t="str">
        <f>"2/19/2004 12:00:00 AM"</f>
        <v>2/19/2004 12:00:00 AM</v>
      </c>
      <c r="O5257" t="s">
        <v>16045</v>
      </c>
      <c r="T5257" t="s">
        <v>16046</v>
      </c>
    </row>
    <row r="5258" spans="1:20" x14ac:dyDescent="0.25">
      <c r="A5258" t="str">
        <f>"3059784"</f>
        <v>3059784</v>
      </c>
      <c r="B5258" t="s">
        <v>16048</v>
      </c>
      <c r="C5258" t="str">
        <f>"82519185"</f>
        <v>82519185</v>
      </c>
      <c r="D5258" t="s">
        <v>16049</v>
      </c>
      <c r="F5258" t="s">
        <v>16050</v>
      </c>
      <c r="I5258" t="s">
        <v>16051</v>
      </c>
      <c r="J5258" t="s">
        <v>12725</v>
      </c>
      <c r="K5258" t="s">
        <v>16052</v>
      </c>
      <c r="M5258" t="s">
        <v>32</v>
      </c>
      <c r="N5258" t="str">
        <f>"9/9/2010 12:00:00 AM"</f>
        <v>9/9/2010 12:00:00 AM</v>
      </c>
      <c r="O5258" t="s">
        <v>16049</v>
      </c>
    </row>
    <row r="5259" spans="1:20" x14ac:dyDescent="0.25">
      <c r="A5259" t="str">
        <f>"3059786"</f>
        <v>3059786</v>
      </c>
      <c r="B5259" t="s">
        <v>16053</v>
      </c>
      <c r="C5259" t="str">
        <f>"31720000"</f>
        <v>31720000</v>
      </c>
      <c r="D5259" t="s">
        <v>16054</v>
      </c>
      <c r="F5259" t="s">
        <v>16055</v>
      </c>
      <c r="I5259" t="s">
        <v>29</v>
      </c>
      <c r="J5259" t="s">
        <v>30</v>
      </c>
      <c r="K5259" t="s">
        <v>16056</v>
      </c>
      <c r="M5259" t="s">
        <v>32</v>
      </c>
      <c r="N5259" t="str">
        <f>"2/10/2010 12:00:00 AM"</f>
        <v>2/10/2010 12:00:00 AM</v>
      </c>
      <c r="O5259" t="s">
        <v>16054</v>
      </c>
    </row>
    <row r="5260" spans="1:20" x14ac:dyDescent="0.25">
      <c r="A5260" t="str">
        <f>"3045178"</f>
        <v>3045178</v>
      </c>
      <c r="B5260" t="s">
        <v>16057</v>
      </c>
      <c r="C5260" t="str">
        <f>"49203500"</f>
        <v>49203500</v>
      </c>
      <c r="D5260" t="s">
        <v>16045</v>
      </c>
      <c r="E5260" t="s">
        <v>16046</v>
      </c>
      <c r="F5260" t="s">
        <v>16047</v>
      </c>
      <c r="I5260" t="s">
        <v>29</v>
      </c>
      <c r="J5260" t="s">
        <v>30</v>
      </c>
      <c r="K5260" t="s">
        <v>31</v>
      </c>
      <c r="M5260" t="s">
        <v>32</v>
      </c>
      <c r="N5260" t="str">
        <f>"2/19/2004 12:00:00 AM"</f>
        <v>2/19/2004 12:00:00 AM</v>
      </c>
      <c r="O5260" t="s">
        <v>16045</v>
      </c>
      <c r="T5260" t="s">
        <v>16046</v>
      </c>
    </row>
    <row r="5261" spans="1:20" x14ac:dyDescent="0.25">
      <c r="A5261" t="str">
        <f>"3056146"</f>
        <v>3056146</v>
      </c>
      <c r="B5261" t="s">
        <v>16058</v>
      </c>
      <c r="C5261" t="str">
        <f>"69860000"</f>
        <v>69860000</v>
      </c>
      <c r="D5261" t="s">
        <v>15822</v>
      </c>
      <c r="F5261" t="s">
        <v>15763</v>
      </c>
      <c r="I5261" t="s">
        <v>29</v>
      </c>
      <c r="J5261" t="s">
        <v>30</v>
      </c>
      <c r="K5261" t="s">
        <v>15764</v>
      </c>
      <c r="M5261" t="s">
        <v>32</v>
      </c>
      <c r="N5261" t="str">
        <f>"1/31/2006 12:00:00 AM"</f>
        <v>1/31/2006 12:00:00 AM</v>
      </c>
      <c r="O5261" t="s">
        <v>15822</v>
      </c>
    </row>
    <row r="5262" spans="1:20" x14ac:dyDescent="0.25">
      <c r="A5262" t="str">
        <f>"3055226"</f>
        <v>3055226</v>
      </c>
      <c r="B5262" t="s">
        <v>16059</v>
      </c>
      <c r="C5262" t="str">
        <f>"56069500"</f>
        <v>56069500</v>
      </c>
      <c r="D5262" t="s">
        <v>16060</v>
      </c>
      <c r="F5262" t="s">
        <v>15565</v>
      </c>
      <c r="I5262" t="s">
        <v>29</v>
      </c>
      <c r="J5262" t="s">
        <v>30</v>
      </c>
      <c r="K5262" t="s">
        <v>15612</v>
      </c>
      <c r="M5262" t="s">
        <v>32</v>
      </c>
      <c r="N5262" t="str">
        <f>"1/25/2006 12:00:00 AM"</f>
        <v>1/25/2006 12:00:00 AM</v>
      </c>
      <c r="O5262" t="s">
        <v>16060</v>
      </c>
    </row>
    <row r="5263" spans="1:20" x14ac:dyDescent="0.25">
      <c r="A5263" t="str">
        <f>"3054889"</f>
        <v>3054889</v>
      </c>
      <c r="B5263" t="s">
        <v>16061</v>
      </c>
      <c r="C5263" t="str">
        <f>"56069500"</f>
        <v>56069500</v>
      </c>
      <c r="D5263" t="s">
        <v>16060</v>
      </c>
      <c r="F5263" t="s">
        <v>15565</v>
      </c>
      <c r="I5263" t="s">
        <v>29</v>
      </c>
      <c r="J5263" t="s">
        <v>30</v>
      </c>
      <c r="K5263" t="s">
        <v>15612</v>
      </c>
      <c r="M5263" t="s">
        <v>32</v>
      </c>
      <c r="N5263" t="str">
        <f>"1/25/2006 12:00:00 AM"</f>
        <v>1/25/2006 12:00:00 AM</v>
      </c>
      <c r="O5263" t="s">
        <v>16060</v>
      </c>
    </row>
    <row r="5264" spans="1:20" x14ac:dyDescent="0.25">
      <c r="A5264" t="str">
        <f>"3057697"</f>
        <v>3057697</v>
      </c>
      <c r="B5264" t="s">
        <v>16062</v>
      </c>
      <c r="C5264" t="str">
        <f>"38001500"</f>
        <v>38001500</v>
      </c>
      <c r="D5264" t="s">
        <v>16063</v>
      </c>
      <c r="F5264" t="s">
        <v>16064</v>
      </c>
      <c r="I5264" t="s">
        <v>29</v>
      </c>
      <c r="J5264" t="s">
        <v>30</v>
      </c>
      <c r="K5264" t="s">
        <v>15867</v>
      </c>
      <c r="M5264" t="s">
        <v>32</v>
      </c>
      <c r="N5264" t="str">
        <f>"7/18/2007 12:00:00 AM"</f>
        <v>7/18/2007 12:00:00 AM</v>
      </c>
      <c r="O5264" t="s">
        <v>16063</v>
      </c>
    </row>
    <row r="5265" spans="1:20" x14ac:dyDescent="0.25">
      <c r="A5265" t="str">
        <f>"3054163"</f>
        <v>3054163</v>
      </c>
      <c r="B5265" t="s">
        <v>16065</v>
      </c>
      <c r="C5265" t="str">
        <f>"82513301"</f>
        <v>82513301</v>
      </c>
      <c r="D5265" t="s">
        <v>15877</v>
      </c>
      <c r="F5265" t="str">
        <f>"C/O SHERRY MAE LANCASTER"</f>
        <v>C/O SHERRY MAE LANCASTER</v>
      </c>
      <c r="G5265" t="s">
        <v>15878</v>
      </c>
      <c r="I5265" t="s">
        <v>29</v>
      </c>
      <c r="J5265" t="s">
        <v>30</v>
      </c>
      <c r="K5265" t="s">
        <v>31</v>
      </c>
      <c r="M5265" t="s">
        <v>32</v>
      </c>
      <c r="N5265" t="str">
        <f>"7/22/2004 12:00:00 AM"</f>
        <v>7/22/2004 12:00:00 AM</v>
      </c>
      <c r="O5265" t="s">
        <v>15877</v>
      </c>
    </row>
    <row r="5266" spans="1:20" x14ac:dyDescent="0.25">
      <c r="A5266" t="str">
        <f>"3054429"</f>
        <v>3054429</v>
      </c>
      <c r="B5266" t="s">
        <v>16066</v>
      </c>
      <c r="C5266" t="str">
        <f>"12676250"</f>
        <v>12676250</v>
      </c>
      <c r="D5266" t="s">
        <v>15888</v>
      </c>
      <c r="F5266" t="s">
        <v>15889</v>
      </c>
      <c r="I5266" t="s">
        <v>29</v>
      </c>
      <c r="J5266" t="s">
        <v>30</v>
      </c>
      <c r="K5266" t="s">
        <v>31</v>
      </c>
      <c r="M5266" t="s">
        <v>32</v>
      </c>
      <c r="N5266" t="str">
        <f>"10/17/2011 12:00:00 AM"</f>
        <v>10/17/2011 12:00:00 AM</v>
      </c>
      <c r="O5266" t="s">
        <v>15888</v>
      </c>
    </row>
    <row r="5267" spans="1:20" x14ac:dyDescent="0.25">
      <c r="A5267" t="str">
        <f>"3056147"</f>
        <v>3056147</v>
      </c>
      <c r="B5267" t="s">
        <v>16067</v>
      </c>
      <c r="C5267" t="str">
        <f>"17062000"</f>
        <v>17062000</v>
      </c>
      <c r="D5267" t="s">
        <v>15895</v>
      </c>
      <c r="F5267" t="s">
        <v>15896</v>
      </c>
      <c r="I5267" t="s">
        <v>9580</v>
      </c>
      <c r="J5267" t="s">
        <v>30</v>
      </c>
      <c r="K5267" t="s">
        <v>9581</v>
      </c>
      <c r="M5267" t="s">
        <v>32</v>
      </c>
      <c r="N5267" t="str">
        <f>"9/21/2000 12:00:00 AM"</f>
        <v>9/21/2000 12:00:00 AM</v>
      </c>
      <c r="O5267" t="s">
        <v>15895</v>
      </c>
    </row>
    <row r="5268" spans="1:20" x14ac:dyDescent="0.25">
      <c r="A5268" t="str">
        <f>"3056181"</f>
        <v>3056181</v>
      </c>
      <c r="B5268" t="s">
        <v>16068</v>
      </c>
      <c r="C5268" t="str">
        <f>"17062000"</f>
        <v>17062000</v>
      </c>
      <c r="D5268" t="s">
        <v>15895</v>
      </c>
      <c r="F5268" t="s">
        <v>15896</v>
      </c>
      <c r="I5268" t="s">
        <v>9580</v>
      </c>
      <c r="J5268" t="s">
        <v>30</v>
      </c>
      <c r="K5268" t="s">
        <v>9581</v>
      </c>
      <c r="M5268" t="s">
        <v>32</v>
      </c>
      <c r="N5268" t="str">
        <f>"9/21/2000 12:00:00 AM"</f>
        <v>9/21/2000 12:00:00 AM</v>
      </c>
      <c r="O5268" t="s">
        <v>15895</v>
      </c>
    </row>
    <row r="5269" spans="1:20" x14ac:dyDescent="0.25">
      <c r="A5269" t="str">
        <f>"3055770"</f>
        <v>3055770</v>
      </c>
      <c r="B5269" t="s">
        <v>16069</v>
      </c>
      <c r="C5269" t="str">
        <f>"82529068"</f>
        <v>82529068</v>
      </c>
      <c r="D5269" t="s">
        <v>16070</v>
      </c>
      <c r="E5269" t="s">
        <v>16071</v>
      </c>
      <c r="F5269" t="s">
        <v>16072</v>
      </c>
      <c r="I5269" t="s">
        <v>9580</v>
      </c>
      <c r="J5269" t="s">
        <v>30</v>
      </c>
      <c r="K5269" t="s">
        <v>16073</v>
      </c>
      <c r="M5269" t="s">
        <v>32</v>
      </c>
      <c r="N5269" t="str">
        <f>"1/15/2009 12:00:00 AM"</f>
        <v>1/15/2009 12:00:00 AM</v>
      </c>
      <c r="O5269" t="s">
        <v>16070</v>
      </c>
      <c r="T5269" t="s">
        <v>16071</v>
      </c>
    </row>
    <row r="5270" spans="1:20" x14ac:dyDescent="0.25">
      <c r="A5270" t="str">
        <f>"3054186"</f>
        <v>3054186</v>
      </c>
      <c r="B5270" t="s">
        <v>16074</v>
      </c>
      <c r="C5270" t="str">
        <f>"69984000"</f>
        <v>69984000</v>
      </c>
      <c r="D5270" t="s">
        <v>16075</v>
      </c>
      <c r="E5270" t="s">
        <v>16076</v>
      </c>
      <c r="F5270" t="s">
        <v>9579</v>
      </c>
      <c r="I5270" t="s">
        <v>9580</v>
      </c>
      <c r="J5270" t="s">
        <v>30</v>
      </c>
      <c r="K5270" t="s">
        <v>9581</v>
      </c>
      <c r="M5270" t="s">
        <v>32</v>
      </c>
      <c r="N5270" t="str">
        <f>"5/19/2004 12:00:00 AM"</f>
        <v>5/19/2004 12:00:00 AM</v>
      </c>
      <c r="O5270" t="s">
        <v>16075</v>
      </c>
      <c r="T5270" t="s">
        <v>16076</v>
      </c>
    </row>
    <row r="5271" spans="1:20" x14ac:dyDescent="0.25">
      <c r="A5271" t="str">
        <f>"3055812"</f>
        <v>3055812</v>
      </c>
      <c r="B5271" t="s">
        <v>16077</v>
      </c>
      <c r="C5271" t="str">
        <f>"25473000"</f>
        <v>25473000</v>
      </c>
      <c r="D5271" t="s">
        <v>16078</v>
      </c>
      <c r="F5271" t="s">
        <v>16079</v>
      </c>
      <c r="I5271" t="s">
        <v>9580</v>
      </c>
      <c r="J5271" t="s">
        <v>30</v>
      </c>
      <c r="K5271" t="s">
        <v>9581</v>
      </c>
      <c r="M5271" t="s">
        <v>32</v>
      </c>
      <c r="N5271" t="str">
        <f>"8/15/2003 12:00:00 AM"</f>
        <v>8/15/2003 12:00:00 AM</v>
      </c>
      <c r="O5271" t="s">
        <v>16078</v>
      </c>
    </row>
    <row r="5272" spans="1:20" x14ac:dyDescent="0.25">
      <c r="A5272" t="str">
        <f>"3056192"</f>
        <v>3056192</v>
      </c>
      <c r="B5272" t="s">
        <v>16080</v>
      </c>
      <c r="C5272" t="str">
        <f>"25473000"</f>
        <v>25473000</v>
      </c>
      <c r="D5272" t="s">
        <v>16078</v>
      </c>
      <c r="F5272" t="s">
        <v>16079</v>
      </c>
      <c r="I5272" t="s">
        <v>9580</v>
      </c>
      <c r="J5272" t="s">
        <v>30</v>
      </c>
      <c r="K5272" t="s">
        <v>9581</v>
      </c>
      <c r="M5272" t="s">
        <v>32</v>
      </c>
      <c r="N5272" t="str">
        <f>"8/15/2003 12:00:00 AM"</f>
        <v>8/15/2003 12:00:00 AM</v>
      </c>
      <c r="O5272" t="s">
        <v>16078</v>
      </c>
    </row>
    <row r="5273" spans="1:20" x14ac:dyDescent="0.25">
      <c r="A5273" t="str">
        <f>"3056105"</f>
        <v>3056105</v>
      </c>
      <c r="B5273" t="s">
        <v>16081</v>
      </c>
      <c r="C5273" t="str">
        <f>"82529297"</f>
        <v>82529297</v>
      </c>
      <c r="D5273" t="s">
        <v>16082</v>
      </c>
      <c r="F5273" t="s">
        <v>16083</v>
      </c>
      <c r="I5273" t="s">
        <v>29</v>
      </c>
      <c r="J5273" t="s">
        <v>30</v>
      </c>
      <c r="K5273" t="s">
        <v>31</v>
      </c>
      <c r="M5273" t="s">
        <v>32</v>
      </c>
      <c r="N5273" t="str">
        <f>"2/9/2010 12:00:00 AM"</f>
        <v>2/9/2010 12:00:00 AM</v>
      </c>
      <c r="O5273" t="s">
        <v>16082</v>
      </c>
    </row>
    <row r="5274" spans="1:20" x14ac:dyDescent="0.25">
      <c r="A5274" t="str">
        <f>"3056349"</f>
        <v>3056349</v>
      </c>
      <c r="B5274" t="s">
        <v>16084</v>
      </c>
      <c r="C5274" t="str">
        <f>"82519494"</f>
        <v>82519494</v>
      </c>
      <c r="D5274" t="s">
        <v>15956</v>
      </c>
      <c r="F5274" t="s">
        <v>15808</v>
      </c>
      <c r="I5274" t="s">
        <v>9580</v>
      </c>
      <c r="J5274" t="s">
        <v>30</v>
      </c>
      <c r="K5274" t="s">
        <v>9581</v>
      </c>
      <c r="M5274" t="s">
        <v>32</v>
      </c>
      <c r="N5274" t="str">
        <f>"1/16/2003 12:00:00 AM"</f>
        <v>1/16/2003 12:00:00 AM</v>
      </c>
      <c r="O5274" t="s">
        <v>15956</v>
      </c>
    </row>
    <row r="5275" spans="1:20" x14ac:dyDescent="0.25">
      <c r="A5275" t="str">
        <f>"3054017"</f>
        <v>3054017</v>
      </c>
      <c r="B5275" t="s">
        <v>16085</v>
      </c>
      <c r="C5275" t="str">
        <f>"82528282"</f>
        <v>82528282</v>
      </c>
      <c r="D5275" t="s">
        <v>16086</v>
      </c>
      <c r="E5275" t="s">
        <v>16087</v>
      </c>
      <c r="F5275" t="s">
        <v>16088</v>
      </c>
      <c r="I5275" t="s">
        <v>16089</v>
      </c>
      <c r="J5275" t="s">
        <v>12725</v>
      </c>
      <c r="K5275" t="s">
        <v>16090</v>
      </c>
      <c r="M5275" t="s">
        <v>32</v>
      </c>
      <c r="N5275" t="str">
        <f>"7/5/2007 12:00:00 AM"</f>
        <v>7/5/2007 12:00:00 AM</v>
      </c>
      <c r="O5275" t="s">
        <v>16086</v>
      </c>
      <c r="T5275" t="s">
        <v>16087</v>
      </c>
    </row>
    <row r="5276" spans="1:20" x14ac:dyDescent="0.25">
      <c r="A5276" t="str">
        <f>"3059829"</f>
        <v>3059829</v>
      </c>
      <c r="B5276" t="s">
        <v>16091</v>
      </c>
      <c r="C5276" t="str">
        <f>"45708000"</f>
        <v>45708000</v>
      </c>
      <c r="D5276" t="s">
        <v>16092</v>
      </c>
      <c r="F5276" t="s">
        <v>15967</v>
      </c>
      <c r="I5276" t="s">
        <v>9580</v>
      </c>
      <c r="J5276" t="s">
        <v>30</v>
      </c>
      <c r="K5276" t="s">
        <v>9581</v>
      </c>
      <c r="M5276" t="s">
        <v>32</v>
      </c>
      <c r="N5276" t="str">
        <f>"12/16/2003 12:00:00 AM"</f>
        <v>12/16/2003 12:00:00 AM</v>
      </c>
      <c r="O5276" t="s">
        <v>16092</v>
      </c>
    </row>
    <row r="5277" spans="1:20" x14ac:dyDescent="0.25">
      <c r="A5277" t="str">
        <f>"3078866"</f>
        <v>3078866</v>
      </c>
      <c r="B5277" t="s">
        <v>16093</v>
      </c>
      <c r="C5277" t="str">
        <f>"45708000"</f>
        <v>45708000</v>
      </c>
      <c r="D5277" t="s">
        <v>16092</v>
      </c>
      <c r="F5277" t="s">
        <v>15967</v>
      </c>
      <c r="I5277" t="s">
        <v>9580</v>
      </c>
      <c r="J5277" t="s">
        <v>30</v>
      </c>
      <c r="K5277" t="s">
        <v>9581</v>
      </c>
      <c r="M5277" t="s">
        <v>32</v>
      </c>
      <c r="N5277" t="str">
        <f>"12/16/2003 12:00:00 AM"</f>
        <v>12/16/2003 12:00:00 AM</v>
      </c>
      <c r="O5277" t="s">
        <v>16092</v>
      </c>
    </row>
    <row r="5278" spans="1:20" x14ac:dyDescent="0.25">
      <c r="A5278" t="str">
        <f>"3059915"</f>
        <v>3059915</v>
      </c>
      <c r="B5278" t="s">
        <v>16094</v>
      </c>
      <c r="C5278" t="str">
        <f>"48818000"</f>
        <v>48818000</v>
      </c>
      <c r="D5278" t="s">
        <v>16095</v>
      </c>
      <c r="F5278" t="s">
        <v>16096</v>
      </c>
      <c r="I5278" t="s">
        <v>29</v>
      </c>
      <c r="J5278" t="s">
        <v>30</v>
      </c>
      <c r="K5278" t="s">
        <v>31</v>
      </c>
      <c r="M5278" t="s">
        <v>32</v>
      </c>
      <c r="N5278" t="str">
        <f>"2/18/2004 12:00:00 AM"</f>
        <v>2/18/2004 12:00:00 AM</v>
      </c>
      <c r="O5278" t="s">
        <v>16095</v>
      </c>
    </row>
    <row r="5279" spans="1:20" x14ac:dyDescent="0.25">
      <c r="A5279" t="str">
        <f>"3078878"</f>
        <v>3078878</v>
      </c>
      <c r="B5279" t="s">
        <v>16097</v>
      </c>
      <c r="C5279" t="str">
        <f>"50144210"</f>
        <v>50144210</v>
      </c>
      <c r="D5279" t="s">
        <v>16001</v>
      </c>
      <c r="E5279" t="s">
        <v>16002</v>
      </c>
      <c r="F5279" t="s">
        <v>16003</v>
      </c>
      <c r="I5279" t="s">
        <v>29</v>
      </c>
      <c r="J5279" t="s">
        <v>30</v>
      </c>
      <c r="K5279" t="s">
        <v>31</v>
      </c>
      <c r="M5279" t="s">
        <v>32</v>
      </c>
      <c r="N5279" t="str">
        <f>"8/5/2003 12:00:00 AM"</f>
        <v>8/5/2003 12:00:00 AM</v>
      </c>
      <c r="O5279" t="s">
        <v>16001</v>
      </c>
      <c r="T5279" t="s">
        <v>16002</v>
      </c>
    </row>
    <row r="5280" spans="1:20" x14ac:dyDescent="0.25">
      <c r="A5280" t="str">
        <f>"3059806"</f>
        <v>3059806</v>
      </c>
      <c r="B5280" t="s">
        <v>16098</v>
      </c>
      <c r="C5280" t="str">
        <f>"82525587"</f>
        <v>82525587</v>
      </c>
      <c r="D5280" t="s">
        <v>16099</v>
      </c>
      <c r="F5280" t="s">
        <v>16100</v>
      </c>
      <c r="I5280" t="s">
        <v>29</v>
      </c>
      <c r="J5280" t="s">
        <v>30</v>
      </c>
      <c r="K5280" t="s">
        <v>31</v>
      </c>
      <c r="N5280" t="str">
        <f>"1/5/2006 12:00:00 AM"</f>
        <v>1/5/2006 12:00:00 AM</v>
      </c>
      <c r="O5280" t="s">
        <v>16099</v>
      </c>
    </row>
    <row r="5281" spans="1:20" x14ac:dyDescent="0.25">
      <c r="A5281" t="str">
        <f>"3062551"</f>
        <v>3062551</v>
      </c>
      <c r="B5281" t="s">
        <v>16101</v>
      </c>
      <c r="C5281" t="str">
        <f>"82522304"</f>
        <v>82522304</v>
      </c>
      <c r="D5281" t="s">
        <v>15846</v>
      </c>
      <c r="F5281" t="s">
        <v>16102</v>
      </c>
      <c r="I5281" t="s">
        <v>29</v>
      </c>
      <c r="J5281" t="s">
        <v>30</v>
      </c>
      <c r="K5281" t="s">
        <v>31</v>
      </c>
      <c r="M5281" t="s">
        <v>32</v>
      </c>
      <c r="N5281" t="str">
        <f>"7/8/2008 12:00:00 AM"</f>
        <v>7/8/2008 12:00:00 AM</v>
      </c>
      <c r="O5281" t="s">
        <v>15846</v>
      </c>
    </row>
    <row r="5282" spans="1:20" x14ac:dyDescent="0.25">
      <c r="A5282" t="str">
        <f>"3062552"</f>
        <v>3062552</v>
      </c>
      <c r="B5282" t="s">
        <v>16103</v>
      </c>
      <c r="C5282" t="str">
        <f>"82517283"</f>
        <v>82517283</v>
      </c>
      <c r="D5282" t="s">
        <v>16104</v>
      </c>
      <c r="F5282" t="s">
        <v>16105</v>
      </c>
      <c r="I5282" t="s">
        <v>29</v>
      </c>
      <c r="J5282" t="s">
        <v>30</v>
      </c>
      <c r="K5282" t="s">
        <v>31</v>
      </c>
      <c r="M5282" t="s">
        <v>32</v>
      </c>
      <c r="N5282" t="str">
        <f>"9/20/2001 12:00:00 AM"</f>
        <v>9/20/2001 12:00:00 AM</v>
      </c>
      <c r="O5282" t="s">
        <v>16104</v>
      </c>
    </row>
    <row r="5283" spans="1:20" x14ac:dyDescent="0.25">
      <c r="A5283" t="str">
        <f>"3062553"</f>
        <v>3062553</v>
      </c>
      <c r="B5283" t="s">
        <v>16106</v>
      </c>
      <c r="C5283" t="str">
        <f>"82526649"</f>
        <v>82526649</v>
      </c>
      <c r="D5283" t="s">
        <v>16107</v>
      </c>
      <c r="F5283" t="s">
        <v>16108</v>
      </c>
      <c r="I5283" t="s">
        <v>29</v>
      </c>
      <c r="J5283" t="s">
        <v>30</v>
      </c>
      <c r="K5283" t="s">
        <v>31</v>
      </c>
      <c r="M5283" t="s">
        <v>32</v>
      </c>
      <c r="N5283" t="str">
        <f>"2/13/2007 12:00:00 AM"</f>
        <v>2/13/2007 12:00:00 AM</v>
      </c>
      <c r="O5283" t="s">
        <v>16107</v>
      </c>
    </row>
    <row r="5284" spans="1:20" x14ac:dyDescent="0.25">
      <c r="A5284" t="str">
        <f>"3062549"</f>
        <v>3062549</v>
      </c>
      <c r="B5284" t="s">
        <v>16109</v>
      </c>
      <c r="C5284" t="str">
        <f>"34369000"</f>
        <v>34369000</v>
      </c>
      <c r="D5284" t="s">
        <v>16110</v>
      </c>
      <c r="F5284" t="s">
        <v>16111</v>
      </c>
      <c r="I5284" t="s">
        <v>29</v>
      </c>
      <c r="J5284" t="s">
        <v>30</v>
      </c>
      <c r="K5284" t="s">
        <v>16112</v>
      </c>
      <c r="M5284" t="s">
        <v>32</v>
      </c>
      <c r="N5284" t="str">
        <f>"1/13/2006 12:00:00 AM"</f>
        <v>1/13/2006 12:00:00 AM</v>
      </c>
      <c r="O5284" t="s">
        <v>16110</v>
      </c>
    </row>
    <row r="5285" spans="1:20" x14ac:dyDescent="0.25">
      <c r="A5285" t="str">
        <f>"3056820"</f>
        <v>3056820</v>
      </c>
      <c r="B5285" t="s">
        <v>16113</v>
      </c>
      <c r="C5285" t="str">
        <f>"73806000"</f>
        <v>73806000</v>
      </c>
      <c r="D5285" t="s">
        <v>16006</v>
      </c>
      <c r="F5285" t="s">
        <v>16114</v>
      </c>
      <c r="I5285" t="s">
        <v>29</v>
      </c>
      <c r="J5285" t="s">
        <v>30</v>
      </c>
      <c r="K5285" t="s">
        <v>31</v>
      </c>
      <c r="M5285" t="s">
        <v>32</v>
      </c>
      <c r="N5285" t="str">
        <f>"11/7/2002 12:00:00 AM"</f>
        <v>11/7/2002 12:00:00 AM</v>
      </c>
      <c r="O5285" t="s">
        <v>16006</v>
      </c>
    </row>
    <row r="5286" spans="1:20" x14ac:dyDescent="0.25">
      <c r="A5286" t="str">
        <f>"3056473"</f>
        <v>3056473</v>
      </c>
      <c r="B5286" t="s">
        <v>16115</v>
      </c>
      <c r="C5286" t="str">
        <f>"25228000"</f>
        <v>25228000</v>
      </c>
      <c r="D5286" t="s">
        <v>16116</v>
      </c>
      <c r="F5286" t="s">
        <v>16117</v>
      </c>
      <c r="I5286" t="s">
        <v>29</v>
      </c>
      <c r="J5286" t="s">
        <v>30</v>
      </c>
      <c r="K5286" t="s">
        <v>31</v>
      </c>
      <c r="M5286" t="s">
        <v>32</v>
      </c>
      <c r="N5286" t="str">
        <f>"11/7/2002 12:00:00 AM"</f>
        <v>11/7/2002 12:00:00 AM</v>
      </c>
      <c r="O5286" t="s">
        <v>16116</v>
      </c>
    </row>
    <row r="5287" spans="1:20" x14ac:dyDescent="0.25">
      <c r="A5287" t="str">
        <f>"3056498"</f>
        <v>3056498</v>
      </c>
      <c r="B5287" t="s">
        <v>16118</v>
      </c>
      <c r="C5287" t="str">
        <f>"82519613"</f>
        <v>82519613</v>
      </c>
      <c r="D5287" t="s">
        <v>16119</v>
      </c>
      <c r="E5287" t="s">
        <v>16120</v>
      </c>
      <c r="F5287" t="s">
        <v>16121</v>
      </c>
      <c r="I5287" t="s">
        <v>29</v>
      </c>
      <c r="J5287" t="s">
        <v>30</v>
      </c>
      <c r="K5287" t="s">
        <v>31</v>
      </c>
      <c r="M5287" t="s">
        <v>32</v>
      </c>
      <c r="N5287" t="str">
        <f>"10/17/2002 12:00:00 AM"</f>
        <v>10/17/2002 12:00:00 AM</v>
      </c>
      <c r="O5287" t="s">
        <v>16119</v>
      </c>
      <c r="T5287" t="s">
        <v>16120</v>
      </c>
    </row>
    <row r="5288" spans="1:20" x14ac:dyDescent="0.25">
      <c r="A5288" t="str">
        <f>"3056807"</f>
        <v>3056807</v>
      </c>
      <c r="B5288" t="s">
        <v>16122</v>
      </c>
      <c r="C5288" t="str">
        <f>"10322000"</f>
        <v>10322000</v>
      </c>
      <c r="D5288" t="s">
        <v>16123</v>
      </c>
      <c r="F5288" t="s">
        <v>16124</v>
      </c>
      <c r="I5288" t="s">
        <v>9580</v>
      </c>
      <c r="J5288" t="s">
        <v>30</v>
      </c>
      <c r="K5288" t="s">
        <v>9581</v>
      </c>
      <c r="M5288" t="s">
        <v>32</v>
      </c>
      <c r="N5288" t="str">
        <f>"6/10/2003 12:00:00 AM"</f>
        <v>6/10/2003 12:00:00 AM</v>
      </c>
      <c r="O5288" t="s">
        <v>16123</v>
      </c>
    </row>
    <row r="5289" spans="1:20" x14ac:dyDescent="0.25">
      <c r="A5289" t="str">
        <f>"3070326"</f>
        <v>3070326</v>
      </c>
      <c r="B5289" t="s">
        <v>16125</v>
      </c>
      <c r="C5289" t="str">
        <f>"30936000"</f>
        <v>30936000</v>
      </c>
      <c r="D5289" t="s">
        <v>16126</v>
      </c>
      <c r="E5289" t="s">
        <v>16127</v>
      </c>
      <c r="F5289" t="s">
        <v>16128</v>
      </c>
      <c r="I5289" t="s">
        <v>9580</v>
      </c>
      <c r="J5289" t="s">
        <v>30</v>
      </c>
      <c r="K5289" t="s">
        <v>16129</v>
      </c>
      <c r="M5289" t="s">
        <v>32</v>
      </c>
      <c r="N5289" t="str">
        <f>"2/2/2010 12:00:00 AM"</f>
        <v>2/2/2010 12:00:00 AM</v>
      </c>
      <c r="O5289" t="s">
        <v>16126</v>
      </c>
      <c r="T5289" t="s">
        <v>16127</v>
      </c>
    </row>
    <row r="5290" spans="1:20" x14ac:dyDescent="0.25">
      <c r="A5290" t="str">
        <f>"3060351"</f>
        <v>3060351</v>
      </c>
      <c r="B5290" t="s">
        <v>16130</v>
      </c>
      <c r="C5290" t="str">
        <f>"65822000"</f>
        <v>65822000</v>
      </c>
      <c r="D5290" t="s">
        <v>16131</v>
      </c>
      <c r="F5290" t="s">
        <v>16132</v>
      </c>
      <c r="I5290" t="s">
        <v>29</v>
      </c>
      <c r="J5290" t="s">
        <v>30</v>
      </c>
      <c r="K5290" t="s">
        <v>31</v>
      </c>
      <c r="M5290" t="s">
        <v>32</v>
      </c>
      <c r="N5290" t="str">
        <f>"9/14/2011 12:00:00 AM"</f>
        <v>9/14/2011 12:00:00 AM</v>
      </c>
      <c r="O5290" t="s">
        <v>16131</v>
      </c>
    </row>
    <row r="5291" spans="1:20" x14ac:dyDescent="0.25">
      <c r="A5291" t="str">
        <f>"3056509"</f>
        <v>3056509</v>
      </c>
      <c r="B5291" t="s">
        <v>16133</v>
      </c>
      <c r="C5291" t="str">
        <f>"65822000"</f>
        <v>65822000</v>
      </c>
      <c r="D5291" t="s">
        <v>16131</v>
      </c>
      <c r="F5291" t="s">
        <v>16132</v>
      </c>
      <c r="I5291" t="s">
        <v>29</v>
      </c>
      <c r="J5291" t="s">
        <v>30</v>
      </c>
      <c r="K5291" t="s">
        <v>31</v>
      </c>
      <c r="M5291" t="s">
        <v>32</v>
      </c>
      <c r="N5291" t="str">
        <f>"9/14/2011 12:00:00 AM"</f>
        <v>9/14/2011 12:00:00 AM</v>
      </c>
      <c r="O5291" t="s">
        <v>16131</v>
      </c>
    </row>
    <row r="5292" spans="1:20" x14ac:dyDescent="0.25">
      <c r="A5292" t="str">
        <f>"3056510"</f>
        <v>3056510</v>
      </c>
      <c r="B5292" t="s">
        <v>16134</v>
      </c>
      <c r="C5292" t="str">
        <f>"65822000"</f>
        <v>65822000</v>
      </c>
      <c r="D5292" t="s">
        <v>16131</v>
      </c>
      <c r="F5292" t="s">
        <v>16132</v>
      </c>
      <c r="I5292" t="s">
        <v>29</v>
      </c>
      <c r="J5292" t="s">
        <v>30</v>
      </c>
      <c r="K5292" t="s">
        <v>31</v>
      </c>
      <c r="M5292" t="s">
        <v>32</v>
      </c>
      <c r="N5292" t="str">
        <f>"9/14/2011 12:00:00 AM"</f>
        <v>9/14/2011 12:00:00 AM</v>
      </c>
      <c r="O5292" t="s">
        <v>16131</v>
      </c>
    </row>
    <row r="5293" spans="1:20" x14ac:dyDescent="0.25">
      <c r="A5293" t="str">
        <f>"3056512"</f>
        <v>3056512</v>
      </c>
      <c r="B5293" t="s">
        <v>16135</v>
      </c>
      <c r="C5293" t="str">
        <f>"65822000"</f>
        <v>65822000</v>
      </c>
      <c r="D5293" t="s">
        <v>16131</v>
      </c>
      <c r="F5293" t="s">
        <v>16132</v>
      </c>
      <c r="I5293" t="s">
        <v>29</v>
      </c>
      <c r="J5293" t="s">
        <v>30</v>
      </c>
      <c r="K5293" t="s">
        <v>31</v>
      </c>
      <c r="M5293" t="s">
        <v>32</v>
      </c>
      <c r="N5293" t="str">
        <f>"9/14/2011 12:00:00 AM"</f>
        <v>9/14/2011 12:00:00 AM</v>
      </c>
      <c r="O5293" t="s">
        <v>16131</v>
      </c>
    </row>
    <row r="5294" spans="1:20" x14ac:dyDescent="0.25">
      <c r="A5294" t="str">
        <f>"3056501"</f>
        <v>3056501</v>
      </c>
      <c r="B5294" t="s">
        <v>16136</v>
      </c>
      <c r="C5294" t="str">
        <f>"40860000"</f>
        <v>40860000</v>
      </c>
      <c r="D5294" t="s">
        <v>16137</v>
      </c>
      <c r="E5294" t="s">
        <v>16138</v>
      </c>
      <c r="F5294" t="s">
        <v>9530</v>
      </c>
      <c r="I5294" t="s">
        <v>29</v>
      </c>
      <c r="J5294" t="s">
        <v>30</v>
      </c>
      <c r="K5294" t="s">
        <v>16139</v>
      </c>
      <c r="M5294" t="s">
        <v>32</v>
      </c>
      <c r="N5294" t="str">
        <f>"1/11/2007 12:00:00 AM"</f>
        <v>1/11/2007 12:00:00 AM</v>
      </c>
      <c r="O5294" t="s">
        <v>16137</v>
      </c>
      <c r="T5294" t="s">
        <v>16138</v>
      </c>
    </row>
    <row r="5295" spans="1:20" x14ac:dyDescent="0.25">
      <c r="A5295" t="str">
        <f>"3055765"</f>
        <v>3055765</v>
      </c>
      <c r="B5295" t="s">
        <v>16140</v>
      </c>
      <c r="C5295" t="str">
        <f>"14839000"</f>
        <v>14839000</v>
      </c>
      <c r="D5295" t="s">
        <v>16141</v>
      </c>
      <c r="E5295" t="s">
        <v>16142</v>
      </c>
      <c r="F5295" t="s">
        <v>16143</v>
      </c>
      <c r="I5295" t="s">
        <v>9580</v>
      </c>
      <c r="J5295" t="s">
        <v>30</v>
      </c>
      <c r="K5295" t="s">
        <v>9581</v>
      </c>
      <c r="M5295" t="s">
        <v>32</v>
      </c>
      <c r="N5295" t="str">
        <f>"11/8/2002 12:00:00 AM"</f>
        <v>11/8/2002 12:00:00 AM</v>
      </c>
      <c r="O5295" t="s">
        <v>16141</v>
      </c>
      <c r="T5295" t="s">
        <v>16142</v>
      </c>
    </row>
    <row r="5296" spans="1:20" x14ac:dyDescent="0.25">
      <c r="A5296" t="str">
        <f>"3055856"</f>
        <v>3055856</v>
      </c>
      <c r="B5296" t="s">
        <v>16144</v>
      </c>
      <c r="C5296" t="str">
        <f>"21391000"</f>
        <v>21391000</v>
      </c>
      <c r="D5296" t="s">
        <v>16145</v>
      </c>
      <c r="E5296" t="s">
        <v>16146</v>
      </c>
      <c r="F5296" t="s">
        <v>16147</v>
      </c>
      <c r="I5296" t="s">
        <v>9580</v>
      </c>
      <c r="J5296" t="s">
        <v>30</v>
      </c>
      <c r="K5296" t="s">
        <v>16148</v>
      </c>
      <c r="M5296" t="s">
        <v>32</v>
      </c>
      <c r="N5296" t="str">
        <f>"6/22/2007 12:00:00 AM"</f>
        <v>6/22/2007 12:00:00 AM</v>
      </c>
      <c r="O5296" t="s">
        <v>16145</v>
      </c>
      <c r="T5296" t="s">
        <v>16146</v>
      </c>
    </row>
    <row r="5297" spans="1:20" x14ac:dyDescent="0.25">
      <c r="A5297" t="str">
        <f>"3055925"</f>
        <v>3055925</v>
      </c>
      <c r="B5297" t="s">
        <v>16149</v>
      </c>
      <c r="C5297" t="str">
        <f>"21391250"</f>
        <v>21391250</v>
      </c>
      <c r="D5297" t="s">
        <v>16150</v>
      </c>
      <c r="E5297" t="s">
        <v>16151</v>
      </c>
      <c r="F5297" t="s">
        <v>16152</v>
      </c>
      <c r="I5297" t="s">
        <v>9580</v>
      </c>
      <c r="J5297" t="s">
        <v>30</v>
      </c>
      <c r="K5297" t="s">
        <v>16153</v>
      </c>
      <c r="M5297" t="s">
        <v>32</v>
      </c>
      <c r="N5297" t="str">
        <f>"1/13/2010 12:00:00 AM"</f>
        <v>1/13/2010 12:00:00 AM</v>
      </c>
      <c r="O5297" t="s">
        <v>16150</v>
      </c>
      <c r="T5297" t="s">
        <v>16151</v>
      </c>
    </row>
    <row r="5298" spans="1:20" x14ac:dyDescent="0.25">
      <c r="A5298" t="str">
        <f>"3055930"</f>
        <v>3055930</v>
      </c>
      <c r="B5298" t="s">
        <v>16154</v>
      </c>
      <c r="C5298" t="str">
        <f>"55340000"</f>
        <v>55340000</v>
      </c>
      <c r="D5298" t="s">
        <v>16155</v>
      </c>
      <c r="E5298" t="s">
        <v>16156</v>
      </c>
      <c r="F5298" t="s">
        <v>16157</v>
      </c>
      <c r="I5298" t="s">
        <v>9580</v>
      </c>
      <c r="J5298" t="s">
        <v>30</v>
      </c>
      <c r="K5298" t="s">
        <v>16158</v>
      </c>
      <c r="M5298" t="s">
        <v>32</v>
      </c>
      <c r="N5298" t="str">
        <f>"4/25/2011 12:00:00 AM"</f>
        <v>4/25/2011 12:00:00 AM</v>
      </c>
      <c r="O5298" t="s">
        <v>16155</v>
      </c>
      <c r="T5298" t="s">
        <v>16156</v>
      </c>
    </row>
    <row r="5299" spans="1:20" x14ac:dyDescent="0.25">
      <c r="A5299" t="str">
        <f>"3055896"</f>
        <v>3055896</v>
      </c>
      <c r="B5299" t="s">
        <v>16159</v>
      </c>
      <c r="C5299" t="str">
        <f>"23852500"</f>
        <v>23852500</v>
      </c>
      <c r="D5299" t="s">
        <v>16160</v>
      </c>
      <c r="E5299" t="s">
        <v>16161</v>
      </c>
      <c r="F5299" t="s">
        <v>16162</v>
      </c>
      <c r="I5299" t="s">
        <v>9580</v>
      </c>
      <c r="J5299" t="s">
        <v>30</v>
      </c>
      <c r="K5299" t="s">
        <v>9581</v>
      </c>
      <c r="M5299" t="s">
        <v>32</v>
      </c>
      <c r="N5299" t="str">
        <f>"5/28/2008 12:00:00 AM"</f>
        <v>5/28/2008 12:00:00 AM</v>
      </c>
      <c r="O5299" t="s">
        <v>16160</v>
      </c>
      <c r="T5299" t="s">
        <v>16161</v>
      </c>
    </row>
    <row r="5300" spans="1:20" x14ac:dyDescent="0.25">
      <c r="A5300" t="str">
        <f>"3056347"</f>
        <v>3056347</v>
      </c>
      <c r="B5300" t="s">
        <v>16163</v>
      </c>
      <c r="C5300" t="str">
        <f>"40860000"</f>
        <v>40860000</v>
      </c>
      <c r="D5300" t="s">
        <v>16137</v>
      </c>
      <c r="E5300" t="s">
        <v>16138</v>
      </c>
      <c r="F5300" t="s">
        <v>9530</v>
      </c>
      <c r="I5300" t="s">
        <v>29</v>
      </c>
      <c r="J5300" t="s">
        <v>30</v>
      </c>
      <c r="K5300" t="s">
        <v>16139</v>
      </c>
      <c r="M5300" t="s">
        <v>32</v>
      </c>
      <c r="N5300" t="str">
        <f>"1/11/2007 12:00:00 AM"</f>
        <v>1/11/2007 12:00:00 AM</v>
      </c>
      <c r="O5300" t="s">
        <v>16137</v>
      </c>
      <c r="T5300" t="s">
        <v>16138</v>
      </c>
    </row>
    <row r="5301" spans="1:20" x14ac:dyDescent="0.25">
      <c r="A5301" t="str">
        <f>"3059867"</f>
        <v>3059867</v>
      </c>
      <c r="B5301" t="s">
        <v>16164</v>
      </c>
      <c r="C5301" t="str">
        <f>"82526001"</f>
        <v>82526001</v>
      </c>
      <c r="D5301" t="s">
        <v>16165</v>
      </c>
      <c r="E5301" t="s">
        <v>16166</v>
      </c>
      <c r="F5301" t="s">
        <v>16167</v>
      </c>
      <c r="I5301" t="s">
        <v>29</v>
      </c>
      <c r="J5301" t="s">
        <v>30</v>
      </c>
      <c r="K5301" t="s">
        <v>31</v>
      </c>
      <c r="M5301" t="s">
        <v>32</v>
      </c>
      <c r="N5301" t="str">
        <f>"10/5/2011 12:00:00 AM"</f>
        <v>10/5/2011 12:00:00 AM</v>
      </c>
      <c r="O5301" t="s">
        <v>16165</v>
      </c>
      <c r="T5301" t="s">
        <v>16166</v>
      </c>
    </row>
    <row r="5302" spans="1:20" x14ac:dyDescent="0.25">
      <c r="A5302" t="str">
        <f>"3059870"</f>
        <v>3059870</v>
      </c>
      <c r="B5302" t="s">
        <v>16168</v>
      </c>
      <c r="C5302" t="str">
        <f>"82530300"</f>
        <v>82530300</v>
      </c>
      <c r="D5302" t="s">
        <v>16169</v>
      </c>
      <c r="F5302" t="s">
        <v>16170</v>
      </c>
      <c r="I5302" t="s">
        <v>9580</v>
      </c>
      <c r="J5302" t="s">
        <v>30</v>
      </c>
      <c r="K5302" t="s">
        <v>9581</v>
      </c>
      <c r="M5302" t="s">
        <v>32</v>
      </c>
      <c r="N5302" t="str">
        <f>"9/6/2011 12:00:00 AM"</f>
        <v>9/6/2011 12:00:00 AM</v>
      </c>
      <c r="O5302" t="s">
        <v>16169</v>
      </c>
    </row>
    <row r="5303" spans="1:20" x14ac:dyDescent="0.25">
      <c r="A5303" t="str">
        <f>"3059889"</f>
        <v>3059889</v>
      </c>
      <c r="B5303" t="s">
        <v>16171</v>
      </c>
      <c r="C5303" t="str">
        <f>"31860500"</f>
        <v>31860500</v>
      </c>
      <c r="D5303" t="s">
        <v>16172</v>
      </c>
      <c r="E5303" t="s">
        <v>16173</v>
      </c>
      <c r="F5303" t="s">
        <v>16174</v>
      </c>
      <c r="I5303" t="s">
        <v>29</v>
      </c>
      <c r="J5303" t="s">
        <v>30</v>
      </c>
      <c r="K5303" t="s">
        <v>31</v>
      </c>
      <c r="M5303" t="s">
        <v>32</v>
      </c>
      <c r="N5303" t="str">
        <f>"11/7/2002 12:00:00 AM"</f>
        <v>11/7/2002 12:00:00 AM</v>
      </c>
      <c r="O5303" t="s">
        <v>16172</v>
      </c>
      <c r="T5303" t="s">
        <v>16173</v>
      </c>
    </row>
    <row r="5304" spans="1:20" x14ac:dyDescent="0.25">
      <c r="A5304" t="str">
        <f>"3054285"</f>
        <v>3054285</v>
      </c>
      <c r="B5304" t="s">
        <v>16175</v>
      </c>
      <c r="C5304" t="str">
        <f>"82517504"</f>
        <v>82517504</v>
      </c>
      <c r="D5304" t="s">
        <v>16176</v>
      </c>
      <c r="F5304" t="s">
        <v>16177</v>
      </c>
      <c r="I5304" t="s">
        <v>29</v>
      </c>
      <c r="J5304" t="s">
        <v>30</v>
      </c>
      <c r="K5304" t="s">
        <v>31</v>
      </c>
      <c r="M5304" t="s">
        <v>32</v>
      </c>
      <c r="N5304" t="str">
        <f>"11/16/2009 12:00:00 AM"</f>
        <v>11/16/2009 12:00:00 AM</v>
      </c>
      <c r="O5304" t="s">
        <v>16176</v>
      </c>
    </row>
    <row r="5305" spans="1:20" x14ac:dyDescent="0.25">
      <c r="A5305" t="str">
        <f>"3055793"</f>
        <v>3055793</v>
      </c>
      <c r="B5305" t="s">
        <v>16178</v>
      </c>
      <c r="C5305" t="str">
        <f>"82519711"</f>
        <v>82519711</v>
      </c>
      <c r="D5305" t="s">
        <v>16179</v>
      </c>
      <c r="F5305" t="s">
        <v>16180</v>
      </c>
      <c r="I5305" t="s">
        <v>9580</v>
      </c>
      <c r="J5305" t="s">
        <v>30</v>
      </c>
      <c r="K5305" t="s">
        <v>16181</v>
      </c>
      <c r="M5305" t="s">
        <v>32</v>
      </c>
      <c r="N5305" t="str">
        <f>"7/9/2003 12:00:00 AM"</f>
        <v>7/9/2003 12:00:00 AM</v>
      </c>
      <c r="O5305" t="s">
        <v>16179</v>
      </c>
    </row>
    <row r="5306" spans="1:20" x14ac:dyDescent="0.25">
      <c r="A5306" t="str">
        <f>"3055973"</f>
        <v>3055973</v>
      </c>
      <c r="B5306" t="s">
        <v>16182</v>
      </c>
      <c r="C5306" t="str">
        <f>"3506100"</f>
        <v>3506100</v>
      </c>
      <c r="D5306" t="s">
        <v>16183</v>
      </c>
      <c r="F5306" t="s">
        <v>16184</v>
      </c>
      <c r="I5306" t="s">
        <v>29</v>
      </c>
      <c r="J5306" t="s">
        <v>30</v>
      </c>
      <c r="K5306" t="s">
        <v>31</v>
      </c>
      <c r="M5306" t="s">
        <v>32</v>
      </c>
      <c r="N5306" t="str">
        <f>"8/13/2003 12:00:00 AM"</f>
        <v>8/13/2003 12:00:00 AM</v>
      </c>
      <c r="O5306" t="s">
        <v>16183</v>
      </c>
    </row>
    <row r="5307" spans="1:20" x14ac:dyDescent="0.25">
      <c r="A5307" t="str">
        <f>"3056867"</f>
        <v>3056867</v>
      </c>
      <c r="B5307" t="s">
        <v>16185</v>
      </c>
      <c r="C5307" t="str">
        <f>"25574260"</f>
        <v>25574260</v>
      </c>
      <c r="D5307" t="s">
        <v>16186</v>
      </c>
      <c r="F5307" t="s">
        <v>16187</v>
      </c>
      <c r="I5307" t="s">
        <v>16188</v>
      </c>
      <c r="J5307" t="s">
        <v>11994</v>
      </c>
      <c r="K5307" t="s">
        <v>16189</v>
      </c>
      <c r="M5307" t="s">
        <v>32</v>
      </c>
      <c r="N5307" t="str">
        <f>"8/20/2003 12:00:00 AM"</f>
        <v>8/20/2003 12:00:00 AM</v>
      </c>
      <c r="O5307" t="s">
        <v>16186</v>
      </c>
    </row>
    <row r="5308" spans="1:20" x14ac:dyDescent="0.25">
      <c r="A5308" t="str">
        <f>"3056193"</f>
        <v>3056193</v>
      </c>
      <c r="B5308" t="s">
        <v>16190</v>
      </c>
      <c r="C5308" t="str">
        <f>"15253500"</f>
        <v>15253500</v>
      </c>
      <c r="D5308" t="s">
        <v>16191</v>
      </c>
      <c r="F5308" t="s">
        <v>16192</v>
      </c>
      <c r="G5308" t="s">
        <v>16193</v>
      </c>
      <c r="I5308" t="s">
        <v>9580</v>
      </c>
      <c r="J5308" t="s">
        <v>30</v>
      </c>
      <c r="K5308" t="s">
        <v>9581</v>
      </c>
      <c r="M5308" t="s">
        <v>32</v>
      </c>
      <c r="N5308" t="str">
        <f>"10/11/1991 12:00:00 AM"</f>
        <v>10/11/1991 12:00:00 AM</v>
      </c>
      <c r="O5308" t="s">
        <v>16191</v>
      </c>
    </row>
    <row r="5309" spans="1:20" x14ac:dyDescent="0.25">
      <c r="A5309" t="str">
        <f>"3055914"</f>
        <v>3055914</v>
      </c>
      <c r="B5309" t="s">
        <v>16194</v>
      </c>
      <c r="C5309" t="str">
        <f>"27675750"</f>
        <v>27675750</v>
      </c>
      <c r="D5309" t="s">
        <v>16195</v>
      </c>
      <c r="F5309" t="str">
        <f>"C/O MARY WHITE"</f>
        <v>C/O MARY WHITE</v>
      </c>
      <c r="G5309" t="s">
        <v>16196</v>
      </c>
      <c r="I5309" t="s">
        <v>9580</v>
      </c>
      <c r="J5309" t="s">
        <v>30</v>
      </c>
      <c r="K5309" t="s">
        <v>9581</v>
      </c>
      <c r="M5309" t="s">
        <v>32</v>
      </c>
      <c r="N5309" t="str">
        <f>"12/15/2004 12:00:00 AM"</f>
        <v>12/15/2004 12:00:00 AM</v>
      </c>
      <c r="O5309" t="s">
        <v>16195</v>
      </c>
    </row>
    <row r="5310" spans="1:20" x14ac:dyDescent="0.25">
      <c r="A5310" t="str">
        <f>"3055491"</f>
        <v>3055491</v>
      </c>
      <c r="B5310" t="s">
        <v>16197</v>
      </c>
      <c r="C5310" t="str">
        <f>"32912000"</f>
        <v>32912000</v>
      </c>
      <c r="D5310" t="s">
        <v>16198</v>
      </c>
      <c r="E5310" t="s">
        <v>16199</v>
      </c>
      <c r="F5310" t="s">
        <v>16200</v>
      </c>
      <c r="I5310" t="s">
        <v>29</v>
      </c>
      <c r="J5310" t="s">
        <v>30</v>
      </c>
      <c r="K5310" t="s">
        <v>31</v>
      </c>
      <c r="M5310" t="s">
        <v>32</v>
      </c>
      <c r="N5310" t="str">
        <f>"9/12/2003 12:00:00 AM"</f>
        <v>9/12/2003 12:00:00 AM</v>
      </c>
      <c r="O5310" t="s">
        <v>16198</v>
      </c>
      <c r="T5310" t="s">
        <v>16199</v>
      </c>
    </row>
    <row r="5311" spans="1:20" x14ac:dyDescent="0.25">
      <c r="A5311" t="str">
        <f>"3054751"</f>
        <v>3054751</v>
      </c>
      <c r="B5311" t="s">
        <v>16201</v>
      </c>
      <c r="C5311" t="str">
        <f>"15887000"</f>
        <v>15887000</v>
      </c>
      <c r="D5311" t="s">
        <v>16202</v>
      </c>
      <c r="K5311" t="s">
        <v>586</v>
      </c>
      <c r="M5311" t="s">
        <v>32</v>
      </c>
      <c r="N5311" t="str">
        <f>"8/26/1985 12:00:00 AM"</f>
        <v>8/26/1985 12:00:00 AM</v>
      </c>
      <c r="O5311" t="s">
        <v>16202</v>
      </c>
    </row>
    <row r="5312" spans="1:20" x14ac:dyDescent="0.25">
      <c r="A5312" t="str">
        <f>"3055612"</f>
        <v>3055612</v>
      </c>
      <c r="B5312" t="s">
        <v>16203</v>
      </c>
      <c r="C5312" t="str">
        <f>"82525238"</f>
        <v>82525238</v>
      </c>
      <c r="D5312" t="s">
        <v>16204</v>
      </c>
      <c r="E5312" t="s">
        <v>16205</v>
      </c>
      <c r="F5312" t="s">
        <v>16206</v>
      </c>
      <c r="I5312" t="s">
        <v>29</v>
      </c>
      <c r="J5312" t="s">
        <v>30</v>
      </c>
      <c r="K5312" t="s">
        <v>31</v>
      </c>
      <c r="M5312" t="s">
        <v>32</v>
      </c>
      <c r="N5312" t="str">
        <f>"8/14/2006 12:00:00 AM"</f>
        <v>8/14/2006 12:00:00 AM</v>
      </c>
      <c r="O5312" t="s">
        <v>16204</v>
      </c>
      <c r="T5312" t="s">
        <v>16205</v>
      </c>
    </row>
    <row r="5313" spans="1:20" x14ac:dyDescent="0.25">
      <c r="A5313" t="str">
        <f>"3055550"</f>
        <v>3055550</v>
      </c>
      <c r="B5313" t="s">
        <v>16207</v>
      </c>
      <c r="C5313" t="str">
        <f>"72960000"</f>
        <v>72960000</v>
      </c>
      <c r="D5313" t="s">
        <v>16208</v>
      </c>
      <c r="E5313" t="s">
        <v>16209</v>
      </c>
      <c r="F5313" t="s">
        <v>16210</v>
      </c>
      <c r="I5313" t="s">
        <v>29</v>
      </c>
      <c r="J5313" t="s">
        <v>30</v>
      </c>
      <c r="K5313" t="s">
        <v>16211</v>
      </c>
      <c r="M5313" t="s">
        <v>32</v>
      </c>
      <c r="N5313" t="str">
        <f>"1/26/2010 12:00:00 AM"</f>
        <v>1/26/2010 12:00:00 AM</v>
      </c>
      <c r="O5313" t="s">
        <v>16208</v>
      </c>
      <c r="T5313" t="s">
        <v>16209</v>
      </c>
    </row>
    <row r="5314" spans="1:20" x14ac:dyDescent="0.25">
      <c r="A5314" t="str">
        <f>"3059768"</f>
        <v>3059768</v>
      </c>
      <c r="B5314" t="s">
        <v>16212</v>
      </c>
      <c r="C5314" t="str">
        <f>"25574260"</f>
        <v>25574260</v>
      </c>
      <c r="D5314" t="s">
        <v>16186</v>
      </c>
      <c r="F5314" t="s">
        <v>16187</v>
      </c>
      <c r="I5314" t="s">
        <v>16188</v>
      </c>
      <c r="J5314" t="s">
        <v>11994</v>
      </c>
      <c r="K5314" t="s">
        <v>16189</v>
      </c>
      <c r="M5314" t="s">
        <v>32</v>
      </c>
      <c r="N5314" t="str">
        <f>"8/20/2003 12:00:00 AM"</f>
        <v>8/20/2003 12:00:00 AM</v>
      </c>
      <c r="O5314" t="s">
        <v>16186</v>
      </c>
    </row>
    <row r="5315" spans="1:20" x14ac:dyDescent="0.25">
      <c r="A5315" t="str">
        <f>"3056858"</f>
        <v>3056858</v>
      </c>
      <c r="B5315" t="s">
        <v>16213</v>
      </c>
      <c r="C5315" t="str">
        <f>"82513059"</f>
        <v>82513059</v>
      </c>
      <c r="D5315" t="s">
        <v>16214</v>
      </c>
      <c r="F5315" t="s">
        <v>16215</v>
      </c>
      <c r="I5315" t="s">
        <v>2280</v>
      </c>
      <c r="J5315" t="s">
        <v>30</v>
      </c>
      <c r="K5315" t="s">
        <v>9897</v>
      </c>
      <c r="M5315" t="s">
        <v>32</v>
      </c>
      <c r="N5315" t="str">
        <f>"7/21/2004 12:00:00 AM"</f>
        <v>7/21/2004 12:00:00 AM</v>
      </c>
      <c r="O5315" t="s">
        <v>16214</v>
      </c>
    </row>
    <row r="5316" spans="1:20" x14ac:dyDescent="0.25">
      <c r="A5316" t="str">
        <f>"3059816"</f>
        <v>3059816</v>
      </c>
      <c r="B5316" t="s">
        <v>16216</v>
      </c>
      <c r="C5316" t="str">
        <f>"82527899"</f>
        <v>82527899</v>
      </c>
      <c r="D5316" t="s">
        <v>16217</v>
      </c>
      <c r="F5316" t="s">
        <v>16218</v>
      </c>
      <c r="I5316" t="s">
        <v>9580</v>
      </c>
      <c r="J5316" t="s">
        <v>30</v>
      </c>
      <c r="K5316" t="s">
        <v>9581</v>
      </c>
      <c r="M5316" t="s">
        <v>32</v>
      </c>
      <c r="N5316" t="str">
        <f>"1/23/2008 12:00:00 AM"</f>
        <v>1/23/2008 12:00:00 AM</v>
      </c>
      <c r="O5316" t="s">
        <v>16217</v>
      </c>
    </row>
    <row r="5317" spans="1:20" x14ac:dyDescent="0.25">
      <c r="A5317" t="str">
        <f>"3059817"</f>
        <v>3059817</v>
      </c>
      <c r="B5317" t="s">
        <v>16219</v>
      </c>
      <c r="C5317" t="str">
        <f>"82524949"</f>
        <v>82524949</v>
      </c>
      <c r="D5317" t="s">
        <v>16220</v>
      </c>
      <c r="E5317" t="s">
        <v>16221</v>
      </c>
      <c r="F5317" t="s">
        <v>16222</v>
      </c>
      <c r="I5317" t="s">
        <v>9580</v>
      </c>
      <c r="J5317" t="s">
        <v>30</v>
      </c>
      <c r="K5317" t="s">
        <v>16223</v>
      </c>
      <c r="M5317" t="s">
        <v>32</v>
      </c>
      <c r="N5317" t="str">
        <f>"2/7/2006 12:00:00 AM"</f>
        <v>2/7/2006 12:00:00 AM</v>
      </c>
      <c r="O5317" t="s">
        <v>16220</v>
      </c>
      <c r="T5317" t="s">
        <v>16221</v>
      </c>
    </row>
    <row r="5318" spans="1:20" x14ac:dyDescent="0.25">
      <c r="A5318" t="str">
        <f>"3056300"</f>
        <v>3056300</v>
      </c>
      <c r="B5318" t="s">
        <v>16224</v>
      </c>
      <c r="C5318" t="str">
        <f>"62752000"</f>
        <v>62752000</v>
      </c>
      <c r="D5318" t="s">
        <v>16225</v>
      </c>
      <c r="E5318" t="s">
        <v>16226</v>
      </c>
      <c r="F5318" t="s">
        <v>16227</v>
      </c>
      <c r="I5318" t="s">
        <v>29</v>
      </c>
      <c r="J5318" t="s">
        <v>30</v>
      </c>
      <c r="K5318" t="s">
        <v>16228</v>
      </c>
      <c r="M5318" t="s">
        <v>32</v>
      </c>
      <c r="N5318" t="str">
        <f>"1/12/2006 12:00:00 AM"</f>
        <v>1/12/2006 12:00:00 AM</v>
      </c>
      <c r="O5318" t="s">
        <v>16225</v>
      </c>
      <c r="T5318" t="s">
        <v>16226</v>
      </c>
    </row>
    <row r="5319" spans="1:20" x14ac:dyDescent="0.25">
      <c r="A5319" t="str">
        <f>"3056215"</f>
        <v>3056215</v>
      </c>
      <c r="B5319" t="s">
        <v>16229</v>
      </c>
      <c r="C5319" t="str">
        <f>"30110400"</f>
        <v>30110400</v>
      </c>
      <c r="D5319" t="s">
        <v>16230</v>
      </c>
      <c r="F5319" t="s">
        <v>16231</v>
      </c>
      <c r="I5319" t="s">
        <v>29</v>
      </c>
      <c r="J5319" t="s">
        <v>30</v>
      </c>
      <c r="K5319" t="s">
        <v>16228</v>
      </c>
      <c r="M5319" t="s">
        <v>32</v>
      </c>
      <c r="N5319" t="str">
        <f>"3/4/2005 12:00:00 AM"</f>
        <v>3/4/2005 12:00:00 AM</v>
      </c>
      <c r="O5319" t="s">
        <v>16230</v>
      </c>
    </row>
    <row r="5320" spans="1:20" x14ac:dyDescent="0.25">
      <c r="A5320" t="str">
        <f>"3059913"</f>
        <v>3059913</v>
      </c>
      <c r="B5320" t="s">
        <v>16232</v>
      </c>
      <c r="C5320" t="str">
        <f>"30110400"</f>
        <v>30110400</v>
      </c>
      <c r="D5320" t="s">
        <v>16230</v>
      </c>
      <c r="F5320" t="s">
        <v>16231</v>
      </c>
      <c r="I5320" t="s">
        <v>29</v>
      </c>
      <c r="J5320" t="s">
        <v>30</v>
      </c>
      <c r="K5320" t="s">
        <v>16228</v>
      </c>
      <c r="M5320" t="s">
        <v>32</v>
      </c>
      <c r="N5320" t="str">
        <f>"3/4/2005 12:00:00 AM"</f>
        <v>3/4/2005 12:00:00 AM</v>
      </c>
      <c r="O5320" t="s">
        <v>16230</v>
      </c>
    </row>
    <row r="5321" spans="1:20" x14ac:dyDescent="0.25">
      <c r="A5321" t="str">
        <f>"3062312"</f>
        <v>3062312</v>
      </c>
      <c r="B5321" t="s">
        <v>16233</v>
      </c>
      <c r="C5321" t="str">
        <f>"30110400"</f>
        <v>30110400</v>
      </c>
      <c r="D5321" t="s">
        <v>16230</v>
      </c>
      <c r="F5321" t="s">
        <v>16231</v>
      </c>
      <c r="I5321" t="s">
        <v>29</v>
      </c>
      <c r="J5321" t="s">
        <v>30</v>
      </c>
      <c r="K5321" t="s">
        <v>16228</v>
      </c>
      <c r="M5321" t="s">
        <v>32</v>
      </c>
      <c r="N5321" t="str">
        <f>"3/4/2005 12:00:00 AM"</f>
        <v>3/4/2005 12:00:00 AM</v>
      </c>
      <c r="O5321" t="s">
        <v>16230</v>
      </c>
    </row>
    <row r="5322" spans="1:20" x14ac:dyDescent="0.25">
      <c r="A5322" t="str">
        <f>"3059946"</f>
        <v>3059946</v>
      </c>
      <c r="B5322" t="s">
        <v>16234</v>
      </c>
      <c r="C5322" t="str">
        <f>"82515527"</f>
        <v>82515527</v>
      </c>
      <c r="D5322" t="s">
        <v>16235</v>
      </c>
      <c r="F5322" t="s">
        <v>16236</v>
      </c>
      <c r="I5322" t="s">
        <v>29</v>
      </c>
      <c r="J5322" t="s">
        <v>30</v>
      </c>
      <c r="K5322" t="s">
        <v>31</v>
      </c>
      <c r="M5322" t="s">
        <v>32</v>
      </c>
      <c r="N5322" t="str">
        <f>"11/8/2002 12:00:00 AM"</f>
        <v>11/8/2002 12:00:00 AM</v>
      </c>
      <c r="O5322" t="s">
        <v>16235</v>
      </c>
    </row>
    <row r="5323" spans="1:20" x14ac:dyDescent="0.25">
      <c r="A5323" t="str">
        <f>"3059947"</f>
        <v>3059947</v>
      </c>
      <c r="B5323" t="s">
        <v>16237</v>
      </c>
      <c r="C5323" t="str">
        <f>"82515527"</f>
        <v>82515527</v>
      </c>
      <c r="D5323" t="s">
        <v>16235</v>
      </c>
      <c r="F5323" t="s">
        <v>16236</v>
      </c>
      <c r="I5323" t="s">
        <v>29</v>
      </c>
      <c r="J5323" t="s">
        <v>30</v>
      </c>
      <c r="K5323" t="s">
        <v>31</v>
      </c>
      <c r="M5323" t="s">
        <v>32</v>
      </c>
      <c r="N5323" t="str">
        <f>"11/8/2002 12:00:00 AM"</f>
        <v>11/8/2002 12:00:00 AM</v>
      </c>
      <c r="O5323" t="s">
        <v>16235</v>
      </c>
    </row>
    <row r="5324" spans="1:20" x14ac:dyDescent="0.25">
      <c r="A5324" t="str">
        <f>"3056234"</f>
        <v>3056234</v>
      </c>
      <c r="B5324" t="s">
        <v>16238</v>
      </c>
      <c r="C5324" t="str">
        <f>"82515527"</f>
        <v>82515527</v>
      </c>
      <c r="D5324" t="s">
        <v>16235</v>
      </c>
      <c r="F5324" t="s">
        <v>16236</v>
      </c>
      <c r="I5324" t="s">
        <v>29</v>
      </c>
      <c r="J5324" t="s">
        <v>30</v>
      </c>
      <c r="K5324" t="s">
        <v>31</v>
      </c>
      <c r="M5324" t="s">
        <v>32</v>
      </c>
      <c r="N5324" t="str">
        <f>"11/8/2002 12:00:00 AM"</f>
        <v>11/8/2002 12:00:00 AM</v>
      </c>
      <c r="O5324" t="s">
        <v>16235</v>
      </c>
    </row>
    <row r="5325" spans="1:20" x14ac:dyDescent="0.25">
      <c r="A5325" t="str">
        <f>"3059877"</f>
        <v>3059877</v>
      </c>
      <c r="B5325" t="s">
        <v>16239</v>
      </c>
      <c r="C5325" t="str">
        <f>"23614800"</f>
        <v>23614800</v>
      </c>
      <c r="D5325" t="s">
        <v>16240</v>
      </c>
      <c r="F5325" t="s">
        <v>16241</v>
      </c>
      <c r="I5325" t="s">
        <v>9580</v>
      </c>
      <c r="J5325" t="s">
        <v>30</v>
      </c>
      <c r="K5325" t="s">
        <v>9581</v>
      </c>
      <c r="M5325" t="s">
        <v>32</v>
      </c>
      <c r="N5325" t="str">
        <f>"8/12/2003 12:00:00 AM"</f>
        <v>8/12/2003 12:00:00 AM</v>
      </c>
      <c r="O5325" t="s">
        <v>16240</v>
      </c>
    </row>
    <row r="5326" spans="1:20" x14ac:dyDescent="0.25">
      <c r="A5326" t="str">
        <f>"3054879"</f>
        <v>3054879</v>
      </c>
      <c r="B5326" t="s">
        <v>16242</v>
      </c>
      <c r="C5326" t="str">
        <f>"31192000"</f>
        <v>31192000</v>
      </c>
      <c r="D5326" t="s">
        <v>16243</v>
      </c>
      <c r="F5326" t="s">
        <v>16244</v>
      </c>
      <c r="I5326" t="s">
        <v>29</v>
      </c>
      <c r="J5326" t="s">
        <v>30</v>
      </c>
      <c r="K5326" t="s">
        <v>31</v>
      </c>
      <c r="M5326" t="s">
        <v>32</v>
      </c>
      <c r="N5326" t="str">
        <f>"11/12/2002 12:00:00 AM"</f>
        <v>11/12/2002 12:00:00 AM</v>
      </c>
      <c r="O5326" t="s">
        <v>16243</v>
      </c>
    </row>
    <row r="5327" spans="1:20" x14ac:dyDescent="0.25">
      <c r="A5327" t="str">
        <f>"3055552"</f>
        <v>3055552</v>
      </c>
      <c r="B5327" t="s">
        <v>16245</v>
      </c>
      <c r="C5327" t="str">
        <f>"31192000"</f>
        <v>31192000</v>
      </c>
      <c r="D5327" t="s">
        <v>16243</v>
      </c>
      <c r="F5327" t="s">
        <v>16244</v>
      </c>
      <c r="I5327" t="s">
        <v>29</v>
      </c>
      <c r="J5327" t="s">
        <v>30</v>
      </c>
      <c r="K5327" t="s">
        <v>31</v>
      </c>
      <c r="M5327" t="s">
        <v>32</v>
      </c>
      <c r="N5327" t="str">
        <f>"11/12/2002 12:00:00 AM"</f>
        <v>11/12/2002 12:00:00 AM</v>
      </c>
      <c r="O5327" t="s">
        <v>16243</v>
      </c>
    </row>
    <row r="5328" spans="1:20" x14ac:dyDescent="0.25">
      <c r="A5328" t="str">
        <f>"3069319"</f>
        <v>3069319</v>
      </c>
      <c r="B5328" t="s">
        <v>16246</v>
      </c>
      <c r="C5328" t="str">
        <f>"1563000"</f>
        <v>1563000</v>
      </c>
      <c r="D5328" t="s">
        <v>16247</v>
      </c>
      <c r="E5328" t="s">
        <v>16248</v>
      </c>
      <c r="F5328" t="s">
        <v>16249</v>
      </c>
      <c r="I5328" t="s">
        <v>29</v>
      </c>
      <c r="J5328" t="s">
        <v>30</v>
      </c>
      <c r="K5328" t="s">
        <v>31</v>
      </c>
      <c r="M5328" t="s">
        <v>32</v>
      </c>
      <c r="N5328" t="str">
        <f>"5/13/2010 12:00:00 AM"</f>
        <v>5/13/2010 12:00:00 AM</v>
      </c>
      <c r="O5328" t="s">
        <v>16247</v>
      </c>
      <c r="T5328" t="s">
        <v>16248</v>
      </c>
    </row>
    <row r="5329" spans="1:20" x14ac:dyDescent="0.25">
      <c r="A5329" t="str">
        <f>"3055567"</f>
        <v>3055567</v>
      </c>
      <c r="B5329" t="s">
        <v>16250</v>
      </c>
      <c r="C5329" t="str">
        <f>"82521199"</f>
        <v>82521199</v>
      </c>
      <c r="D5329" t="s">
        <v>16251</v>
      </c>
      <c r="E5329" t="s">
        <v>16252</v>
      </c>
      <c r="F5329" t="s">
        <v>16253</v>
      </c>
      <c r="I5329" t="s">
        <v>29</v>
      </c>
      <c r="J5329" t="s">
        <v>30</v>
      </c>
      <c r="K5329" t="s">
        <v>16254</v>
      </c>
      <c r="N5329" t="str">
        <f>"2/11/2010 12:00:00 AM"</f>
        <v>2/11/2010 12:00:00 AM</v>
      </c>
      <c r="O5329" t="s">
        <v>16251</v>
      </c>
      <c r="T5329" t="s">
        <v>16252</v>
      </c>
    </row>
    <row r="5330" spans="1:20" x14ac:dyDescent="0.25">
      <c r="A5330" t="str">
        <f>"3055559"</f>
        <v>3055559</v>
      </c>
      <c r="B5330" t="s">
        <v>16255</v>
      </c>
      <c r="C5330" t="str">
        <f>"82522894"</f>
        <v>82522894</v>
      </c>
      <c r="D5330" t="s">
        <v>16256</v>
      </c>
      <c r="E5330" t="s">
        <v>16257</v>
      </c>
      <c r="F5330" t="s">
        <v>16258</v>
      </c>
      <c r="I5330" t="s">
        <v>29</v>
      </c>
      <c r="J5330" t="s">
        <v>30</v>
      </c>
      <c r="K5330" t="s">
        <v>16259</v>
      </c>
      <c r="M5330" t="s">
        <v>32</v>
      </c>
      <c r="N5330" t="str">
        <f>"4/20/2007 12:00:00 AM"</f>
        <v>4/20/2007 12:00:00 AM</v>
      </c>
      <c r="O5330" t="s">
        <v>16256</v>
      </c>
      <c r="T5330" t="s">
        <v>16257</v>
      </c>
    </row>
    <row r="5331" spans="1:20" x14ac:dyDescent="0.25">
      <c r="A5331" t="str">
        <f>"3054885"</f>
        <v>3054885</v>
      </c>
      <c r="B5331" t="s">
        <v>16260</v>
      </c>
      <c r="C5331" t="str">
        <f>"31146000"</f>
        <v>31146000</v>
      </c>
      <c r="D5331" t="s">
        <v>16261</v>
      </c>
      <c r="F5331" t="s">
        <v>16262</v>
      </c>
      <c r="I5331" t="s">
        <v>29</v>
      </c>
      <c r="J5331" t="s">
        <v>30</v>
      </c>
      <c r="K5331" t="s">
        <v>31</v>
      </c>
      <c r="L5331" t="s">
        <v>2497</v>
      </c>
      <c r="M5331" t="s">
        <v>32</v>
      </c>
      <c r="N5331" t="str">
        <f>"9/9/2003 12:00:00 AM"</f>
        <v>9/9/2003 12:00:00 AM</v>
      </c>
      <c r="O5331" t="s">
        <v>16261</v>
      </c>
    </row>
    <row r="5332" spans="1:20" x14ac:dyDescent="0.25">
      <c r="A5332" t="str">
        <f>"3055557"</f>
        <v>3055557</v>
      </c>
      <c r="B5332" t="s">
        <v>16263</v>
      </c>
      <c r="C5332" t="str">
        <f>"77372220"</f>
        <v>77372220</v>
      </c>
      <c r="D5332" t="s">
        <v>16264</v>
      </c>
      <c r="E5332" t="s">
        <v>16265</v>
      </c>
      <c r="F5332" t="s">
        <v>16266</v>
      </c>
      <c r="I5332" t="s">
        <v>29</v>
      </c>
      <c r="J5332" t="s">
        <v>30</v>
      </c>
      <c r="K5332" t="s">
        <v>31</v>
      </c>
      <c r="M5332" t="s">
        <v>32</v>
      </c>
      <c r="N5332" t="str">
        <f>"11/12/2002 12:00:00 AM"</f>
        <v>11/12/2002 12:00:00 AM</v>
      </c>
      <c r="O5332" t="s">
        <v>16264</v>
      </c>
      <c r="T5332" t="s">
        <v>16265</v>
      </c>
    </row>
    <row r="5333" spans="1:20" x14ac:dyDescent="0.25">
      <c r="A5333" t="str">
        <f>"3055533"</f>
        <v>3055533</v>
      </c>
      <c r="B5333" t="s">
        <v>16267</v>
      </c>
      <c r="C5333" t="str">
        <f>"59133870"</f>
        <v>59133870</v>
      </c>
      <c r="D5333" t="s">
        <v>16268</v>
      </c>
      <c r="F5333" t="s">
        <v>16269</v>
      </c>
      <c r="I5333" t="s">
        <v>29</v>
      </c>
      <c r="J5333" t="s">
        <v>30</v>
      </c>
      <c r="K5333" t="s">
        <v>31</v>
      </c>
      <c r="M5333" t="s">
        <v>32</v>
      </c>
      <c r="N5333" t="str">
        <f>"2/6/2009 12:00:00 AM"</f>
        <v>2/6/2009 12:00:00 AM</v>
      </c>
      <c r="O5333" t="s">
        <v>16268</v>
      </c>
    </row>
    <row r="5334" spans="1:20" x14ac:dyDescent="0.25">
      <c r="A5334" t="str">
        <f>"3058050"</f>
        <v>3058050</v>
      </c>
      <c r="B5334" t="s">
        <v>16270</v>
      </c>
      <c r="C5334" t="str">
        <f>"23614800"</f>
        <v>23614800</v>
      </c>
      <c r="D5334" t="s">
        <v>16240</v>
      </c>
      <c r="F5334" t="s">
        <v>16241</v>
      </c>
      <c r="I5334" t="s">
        <v>9580</v>
      </c>
      <c r="J5334" t="s">
        <v>30</v>
      </c>
      <c r="K5334" t="s">
        <v>9581</v>
      </c>
      <c r="M5334" t="s">
        <v>32</v>
      </c>
      <c r="N5334" t="str">
        <f>"8/12/2003 12:00:00 AM"</f>
        <v>8/12/2003 12:00:00 AM</v>
      </c>
      <c r="O5334" t="s">
        <v>16240</v>
      </c>
    </row>
    <row r="5335" spans="1:20" x14ac:dyDescent="0.25">
      <c r="A5335" t="str">
        <f>"3056662"</f>
        <v>3056662</v>
      </c>
      <c r="B5335" t="s">
        <v>16271</v>
      </c>
      <c r="C5335" t="str">
        <f>"77064500"</f>
        <v>77064500</v>
      </c>
      <c r="D5335" t="s">
        <v>16272</v>
      </c>
      <c r="F5335" t="s">
        <v>16273</v>
      </c>
      <c r="I5335" t="s">
        <v>29</v>
      </c>
      <c r="J5335" t="s">
        <v>30</v>
      </c>
      <c r="K5335" t="s">
        <v>31</v>
      </c>
      <c r="M5335" t="s">
        <v>32</v>
      </c>
      <c r="N5335" t="str">
        <f>"6/24/2004 12:00:00 AM"</f>
        <v>6/24/2004 12:00:00 AM</v>
      </c>
      <c r="O5335" t="s">
        <v>16272</v>
      </c>
    </row>
    <row r="5336" spans="1:20" x14ac:dyDescent="0.25">
      <c r="A5336" t="str">
        <f>"3056669"</f>
        <v>3056669</v>
      </c>
      <c r="B5336" t="s">
        <v>16274</v>
      </c>
      <c r="C5336" t="str">
        <f>"22510000"</f>
        <v>22510000</v>
      </c>
      <c r="D5336" t="s">
        <v>7903</v>
      </c>
      <c r="F5336" t="str">
        <f>"C/O ELIZABETH S DURHAM"</f>
        <v>C/O ELIZABETH S DURHAM</v>
      </c>
      <c r="G5336" t="s">
        <v>16275</v>
      </c>
      <c r="I5336" t="s">
        <v>29</v>
      </c>
      <c r="J5336" t="s">
        <v>30</v>
      </c>
      <c r="K5336" t="s">
        <v>31</v>
      </c>
      <c r="M5336" t="s">
        <v>32</v>
      </c>
      <c r="N5336" t="str">
        <f>"8/7/2003 12:00:00 AM"</f>
        <v>8/7/2003 12:00:00 AM</v>
      </c>
      <c r="O5336" t="s">
        <v>7903</v>
      </c>
    </row>
    <row r="5337" spans="1:20" x14ac:dyDescent="0.25">
      <c r="A5337" t="str">
        <f>"3055105"</f>
        <v>3055105</v>
      </c>
      <c r="B5337" t="s">
        <v>16276</v>
      </c>
      <c r="C5337" t="str">
        <f>"5652000"</f>
        <v>5652000</v>
      </c>
      <c r="D5337" t="s">
        <v>16277</v>
      </c>
      <c r="F5337" t="s">
        <v>16278</v>
      </c>
      <c r="I5337" t="s">
        <v>29</v>
      </c>
      <c r="J5337" t="s">
        <v>30</v>
      </c>
      <c r="K5337" t="s">
        <v>16279</v>
      </c>
      <c r="M5337" t="s">
        <v>32</v>
      </c>
      <c r="N5337" t="str">
        <f>"7/14/2010 12:00:00 AM"</f>
        <v>7/14/2010 12:00:00 AM</v>
      </c>
      <c r="O5337" t="s">
        <v>16277</v>
      </c>
    </row>
    <row r="5338" spans="1:20" x14ac:dyDescent="0.25">
      <c r="A5338" t="str">
        <f>"3055596"</f>
        <v>3055596</v>
      </c>
      <c r="B5338" t="s">
        <v>16280</v>
      </c>
      <c r="C5338" t="str">
        <f>"5637500"</f>
        <v>5637500</v>
      </c>
      <c r="D5338" t="s">
        <v>16277</v>
      </c>
      <c r="F5338" t="s">
        <v>16278</v>
      </c>
      <c r="I5338" t="s">
        <v>29</v>
      </c>
      <c r="J5338" t="s">
        <v>30</v>
      </c>
      <c r="K5338" t="s">
        <v>31</v>
      </c>
      <c r="M5338" t="s">
        <v>32</v>
      </c>
      <c r="N5338" t="str">
        <f>"11/12/2002 12:00:00 AM"</f>
        <v>11/12/2002 12:00:00 AM</v>
      </c>
      <c r="O5338" t="s">
        <v>16277</v>
      </c>
    </row>
    <row r="5339" spans="1:20" x14ac:dyDescent="0.25">
      <c r="A5339" t="str">
        <f>"3075720"</f>
        <v>3075720</v>
      </c>
      <c r="B5339" t="s">
        <v>16281</v>
      </c>
      <c r="C5339" t="str">
        <f>"76704000"</f>
        <v>76704000</v>
      </c>
      <c r="D5339" t="s">
        <v>16282</v>
      </c>
      <c r="E5339" t="s">
        <v>16283</v>
      </c>
      <c r="F5339" t="s">
        <v>16284</v>
      </c>
      <c r="I5339" t="s">
        <v>29</v>
      </c>
      <c r="J5339" t="s">
        <v>30</v>
      </c>
      <c r="K5339" t="s">
        <v>31</v>
      </c>
      <c r="M5339" t="s">
        <v>32</v>
      </c>
      <c r="N5339" t="str">
        <f>"7/13/2011 12:00:00 AM"</f>
        <v>7/13/2011 12:00:00 AM</v>
      </c>
      <c r="O5339" t="s">
        <v>16282</v>
      </c>
      <c r="T5339" t="s">
        <v>16283</v>
      </c>
    </row>
    <row r="5340" spans="1:20" x14ac:dyDescent="0.25">
      <c r="A5340" t="str">
        <f>"3056670"</f>
        <v>3056670</v>
      </c>
      <c r="B5340" t="s">
        <v>16285</v>
      </c>
      <c r="C5340" t="str">
        <f>"40482000"</f>
        <v>40482000</v>
      </c>
      <c r="D5340" t="s">
        <v>16286</v>
      </c>
      <c r="F5340" t="str">
        <f>"C/O TANGEE R YOUNG"</f>
        <v>C/O TANGEE R YOUNG</v>
      </c>
      <c r="G5340" t="s">
        <v>16287</v>
      </c>
      <c r="I5340" t="s">
        <v>29</v>
      </c>
      <c r="J5340" t="s">
        <v>30</v>
      </c>
      <c r="K5340" t="s">
        <v>31</v>
      </c>
      <c r="M5340" t="s">
        <v>32</v>
      </c>
      <c r="N5340" t="str">
        <f>"5/12/2005 12:00:00 AM"</f>
        <v>5/12/2005 12:00:00 AM</v>
      </c>
      <c r="O5340" t="s">
        <v>16286</v>
      </c>
    </row>
    <row r="5341" spans="1:20" x14ac:dyDescent="0.25">
      <c r="A5341" t="str">
        <f>"3055518"</f>
        <v>3055518</v>
      </c>
      <c r="B5341" t="s">
        <v>16288</v>
      </c>
      <c r="C5341" t="str">
        <f>"23024000"</f>
        <v>23024000</v>
      </c>
      <c r="D5341" t="s">
        <v>16289</v>
      </c>
      <c r="E5341" t="s">
        <v>16290</v>
      </c>
      <c r="F5341" t="s">
        <v>16291</v>
      </c>
      <c r="I5341" t="s">
        <v>29</v>
      </c>
      <c r="J5341" t="s">
        <v>30</v>
      </c>
      <c r="K5341" t="s">
        <v>31</v>
      </c>
      <c r="M5341" t="s">
        <v>32</v>
      </c>
      <c r="N5341" t="str">
        <f>"8/8/2003 12:00:00 AM"</f>
        <v>8/8/2003 12:00:00 AM</v>
      </c>
      <c r="O5341" t="s">
        <v>16289</v>
      </c>
      <c r="T5341" t="s">
        <v>16290</v>
      </c>
    </row>
    <row r="5342" spans="1:20" x14ac:dyDescent="0.25">
      <c r="A5342" t="str">
        <f>"3055569"</f>
        <v>3055569</v>
      </c>
      <c r="B5342" t="s">
        <v>16292</v>
      </c>
      <c r="C5342" t="str">
        <f>"82517116"</f>
        <v>82517116</v>
      </c>
      <c r="D5342" t="s">
        <v>16293</v>
      </c>
      <c r="E5342" t="s">
        <v>16294</v>
      </c>
      <c r="F5342" t="s">
        <v>16295</v>
      </c>
      <c r="I5342" t="s">
        <v>29</v>
      </c>
      <c r="J5342" t="s">
        <v>30</v>
      </c>
      <c r="K5342" t="s">
        <v>16296</v>
      </c>
      <c r="M5342" t="s">
        <v>32</v>
      </c>
      <c r="N5342" t="str">
        <f>"3/11/2005 12:00:00 AM"</f>
        <v>3/11/2005 12:00:00 AM</v>
      </c>
      <c r="O5342" t="s">
        <v>16293</v>
      </c>
      <c r="T5342" t="s">
        <v>16294</v>
      </c>
    </row>
    <row r="5343" spans="1:20" x14ac:dyDescent="0.25">
      <c r="A5343" t="str">
        <f>"3055497"</f>
        <v>3055497</v>
      </c>
      <c r="B5343" t="s">
        <v>16297</v>
      </c>
      <c r="C5343" t="str">
        <f>"82519397"</f>
        <v>82519397</v>
      </c>
      <c r="D5343" t="s">
        <v>16298</v>
      </c>
      <c r="E5343" t="s">
        <v>16299</v>
      </c>
      <c r="F5343" t="s">
        <v>16300</v>
      </c>
      <c r="I5343" t="s">
        <v>29</v>
      </c>
      <c r="J5343" t="s">
        <v>30</v>
      </c>
      <c r="K5343" t="s">
        <v>31</v>
      </c>
      <c r="M5343" t="s">
        <v>32</v>
      </c>
      <c r="N5343" t="str">
        <f>"5/18/2010 12:00:00 AM"</f>
        <v>5/18/2010 12:00:00 AM</v>
      </c>
      <c r="O5343" t="s">
        <v>16298</v>
      </c>
      <c r="T5343" t="s">
        <v>16299</v>
      </c>
    </row>
    <row r="5344" spans="1:20" x14ac:dyDescent="0.25">
      <c r="A5344" t="str">
        <f>"3055473"</f>
        <v>3055473</v>
      </c>
      <c r="B5344" t="s">
        <v>16301</v>
      </c>
      <c r="C5344" t="str">
        <f>"82518973"</f>
        <v>82518973</v>
      </c>
      <c r="D5344" t="s">
        <v>16302</v>
      </c>
      <c r="E5344" t="s">
        <v>16303</v>
      </c>
      <c r="F5344" t="s">
        <v>16304</v>
      </c>
      <c r="I5344" t="s">
        <v>29</v>
      </c>
      <c r="J5344" t="s">
        <v>30</v>
      </c>
      <c r="K5344" t="s">
        <v>16305</v>
      </c>
      <c r="M5344" t="s">
        <v>32</v>
      </c>
      <c r="N5344" t="str">
        <f>"8/4/2006 12:00:00 AM"</f>
        <v>8/4/2006 12:00:00 AM</v>
      </c>
      <c r="O5344" t="s">
        <v>16302</v>
      </c>
      <c r="T5344" t="s">
        <v>16303</v>
      </c>
    </row>
    <row r="5345" spans="1:20" x14ac:dyDescent="0.25">
      <c r="A5345" t="str">
        <f>"3059884"</f>
        <v>3059884</v>
      </c>
      <c r="B5345" t="s">
        <v>16306</v>
      </c>
      <c r="C5345" t="str">
        <f>"30788000"</f>
        <v>30788000</v>
      </c>
      <c r="D5345" t="s">
        <v>16307</v>
      </c>
      <c r="E5345" t="s">
        <v>16308</v>
      </c>
      <c r="F5345" t="s">
        <v>16309</v>
      </c>
      <c r="I5345" t="s">
        <v>29</v>
      </c>
      <c r="J5345" t="s">
        <v>30</v>
      </c>
      <c r="K5345" t="s">
        <v>31</v>
      </c>
      <c r="M5345" t="s">
        <v>32</v>
      </c>
      <c r="N5345" t="str">
        <f>"11/7/2002 12:00:00 AM"</f>
        <v>11/7/2002 12:00:00 AM</v>
      </c>
      <c r="O5345" t="s">
        <v>16307</v>
      </c>
      <c r="T5345" t="s">
        <v>16308</v>
      </c>
    </row>
    <row r="5346" spans="1:20" x14ac:dyDescent="0.25">
      <c r="A5346" t="str">
        <f>"3059852"</f>
        <v>3059852</v>
      </c>
      <c r="B5346" t="s">
        <v>16310</v>
      </c>
      <c r="C5346" t="str">
        <f>"33060000"</f>
        <v>33060000</v>
      </c>
      <c r="D5346" t="s">
        <v>16311</v>
      </c>
      <c r="E5346" t="s">
        <v>16312</v>
      </c>
      <c r="F5346" t="s">
        <v>16313</v>
      </c>
      <c r="I5346" t="s">
        <v>29</v>
      </c>
      <c r="J5346" t="s">
        <v>30</v>
      </c>
      <c r="K5346" t="s">
        <v>31</v>
      </c>
      <c r="M5346" t="s">
        <v>32</v>
      </c>
      <c r="N5346" t="str">
        <f>"9/12/2003 12:00:00 AM"</f>
        <v>9/12/2003 12:00:00 AM</v>
      </c>
      <c r="O5346" t="s">
        <v>16311</v>
      </c>
      <c r="T5346" t="s">
        <v>16312</v>
      </c>
    </row>
    <row r="5347" spans="1:20" x14ac:dyDescent="0.25">
      <c r="A5347" t="str">
        <f>"3056338"</f>
        <v>3056338</v>
      </c>
      <c r="B5347" t="s">
        <v>16314</v>
      </c>
      <c r="C5347" t="str">
        <f>"27539880"</f>
        <v>27539880</v>
      </c>
      <c r="D5347" t="s">
        <v>16315</v>
      </c>
      <c r="F5347" t="s">
        <v>16316</v>
      </c>
      <c r="I5347" t="s">
        <v>1176</v>
      </c>
      <c r="J5347" t="s">
        <v>30</v>
      </c>
      <c r="K5347" t="s">
        <v>1177</v>
      </c>
      <c r="M5347" t="s">
        <v>32</v>
      </c>
      <c r="N5347" t="str">
        <f>"7/15/2008 12:00:00 AM"</f>
        <v>7/15/2008 12:00:00 AM</v>
      </c>
      <c r="O5347" t="s">
        <v>16315</v>
      </c>
    </row>
    <row r="5348" spans="1:20" x14ac:dyDescent="0.25">
      <c r="A5348" t="str">
        <f>"3055872"</f>
        <v>3055872</v>
      </c>
      <c r="B5348" t="s">
        <v>16317</v>
      </c>
      <c r="C5348" t="str">
        <f>"22504000"</f>
        <v>22504000</v>
      </c>
      <c r="D5348" t="s">
        <v>16318</v>
      </c>
      <c r="E5348" t="s">
        <v>16319</v>
      </c>
      <c r="F5348" t="s">
        <v>16320</v>
      </c>
      <c r="G5348" t="s">
        <v>16321</v>
      </c>
      <c r="I5348" t="s">
        <v>9580</v>
      </c>
      <c r="J5348" t="s">
        <v>30</v>
      </c>
      <c r="K5348" t="s">
        <v>9581</v>
      </c>
      <c r="M5348" t="s">
        <v>32</v>
      </c>
      <c r="N5348" t="str">
        <f>"8/7/2003 12:00:00 AM"</f>
        <v>8/7/2003 12:00:00 AM</v>
      </c>
      <c r="O5348" t="s">
        <v>16318</v>
      </c>
      <c r="T5348" t="s">
        <v>16319</v>
      </c>
    </row>
    <row r="5349" spans="1:20" x14ac:dyDescent="0.25">
      <c r="A5349" t="str">
        <f>"3056574"</f>
        <v>3056574</v>
      </c>
      <c r="B5349" t="s">
        <v>16322</v>
      </c>
      <c r="C5349" t="str">
        <f>"82524434"</f>
        <v>82524434</v>
      </c>
      <c r="D5349" t="s">
        <v>16323</v>
      </c>
      <c r="E5349" t="s">
        <v>16324</v>
      </c>
      <c r="F5349" t="s">
        <v>16325</v>
      </c>
      <c r="I5349" t="s">
        <v>29</v>
      </c>
      <c r="J5349" t="s">
        <v>30</v>
      </c>
      <c r="K5349" t="s">
        <v>31</v>
      </c>
      <c r="N5349" t="str">
        <f>"2/14/2007 12:00:00 AM"</f>
        <v>2/14/2007 12:00:00 AM</v>
      </c>
      <c r="O5349" t="s">
        <v>16323</v>
      </c>
      <c r="T5349" t="s">
        <v>16324</v>
      </c>
    </row>
    <row r="5350" spans="1:20" x14ac:dyDescent="0.25">
      <c r="A5350" t="str">
        <f>"3056871"</f>
        <v>3056871</v>
      </c>
      <c r="B5350" t="s">
        <v>16326</v>
      </c>
      <c r="C5350" t="str">
        <f>"53302000"</f>
        <v>53302000</v>
      </c>
      <c r="D5350" t="s">
        <v>16327</v>
      </c>
      <c r="F5350" t="s">
        <v>4059</v>
      </c>
      <c r="I5350" t="s">
        <v>9580</v>
      </c>
      <c r="J5350" t="s">
        <v>30</v>
      </c>
      <c r="K5350" t="s">
        <v>9581</v>
      </c>
      <c r="M5350" t="s">
        <v>32</v>
      </c>
      <c r="N5350" t="str">
        <f>"4/28/2003 12:00:00 AM"</f>
        <v>4/28/2003 12:00:00 AM</v>
      </c>
      <c r="O5350" t="s">
        <v>16327</v>
      </c>
    </row>
    <row r="5351" spans="1:20" x14ac:dyDescent="0.25">
      <c r="A5351" t="str">
        <f>"3059927"</f>
        <v>3059927</v>
      </c>
      <c r="B5351" t="s">
        <v>16328</v>
      </c>
      <c r="C5351" t="str">
        <f>"82524667"</f>
        <v>82524667</v>
      </c>
      <c r="D5351" t="s">
        <v>16329</v>
      </c>
      <c r="F5351" t="s">
        <v>16330</v>
      </c>
      <c r="I5351" t="s">
        <v>29</v>
      </c>
      <c r="J5351" t="s">
        <v>30</v>
      </c>
      <c r="K5351" t="s">
        <v>31</v>
      </c>
      <c r="M5351" t="s">
        <v>32</v>
      </c>
      <c r="N5351" t="str">
        <f>"6/21/2005 12:00:00 AM"</f>
        <v>6/21/2005 12:00:00 AM</v>
      </c>
      <c r="O5351" t="s">
        <v>16329</v>
      </c>
    </row>
    <row r="5352" spans="1:20" x14ac:dyDescent="0.25">
      <c r="A5352" t="str">
        <f>"3062195"</f>
        <v>3062195</v>
      </c>
      <c r="B5352" t="s">
        <v>16331</v>
      </c>
      <c r="C5352" t="str">
        <f>"82513352"</f>
        <v>82513352</v>
      </c>
      <c r="D5352" t="s">
        <v>16332</v>
      </c>
      <c r="E5352" t="s">
        <v>16333</v>
      </c>
      <c r="F5352" t="s">
        <v>16334</v>
      </c>
      <c r="I5352" t="s">
        <v>29</v>
      </c>
      <c r="J5352" t="s">
        <v>30</v>
      </c>
      <c r="K5352" t="s">
        <v>31</v>
      </c>
      <c r="M5352" t="s">
        <v>32</v>
      </c>
      <c r="N5352" t="str">
        <f>"7/22/2004 12:00:00 AM"</f>
        <v>7/22/2004 12:00:00 AM</v>
      </c>
      <c r="O5352" t="s">
        <v>16332</v>
      </c>
      <c r="T5352" t="s">
        <v>16333</v>
      </c>
    </row>
    <row r="5353" spans="1:20" x14ac:dyDescent="0.25">
      <c r="A5353" t="str">
        <f>"3055825"</f>
        <v>3055825</v>
      </c>
      <c r="B5353" t="s">
        <v>16335</v>
      </c>
      <c r="C5353" t="str">
        <f>"70340000"</f>
        <v>70340000</v>
      </c>
      <c r="D5353" t="s">
        <v>16336</v>
      </c>
      <c r="E5353" t="s">
        <v>16337</v>
      </c>
      <c r="F5353" t="s">
        <v>16338</v>
      </c>
      <c r="I5353" t="s">
        <v>9580</v>
      </c>
      <c r="J5353" t="s">
        <v>30</v>
      </c>
      <c r="K5353" t="s">
        <v>9581</v>
      </c>
      <c r="N5353" t="str">
        <f>"5/19/2004 12:00:00 AM"</f>
        <v>5/19/2004 12:00:00 AM</v>
      </c>
      <c r="O5353" t="s">
        <v>16336</v>
      </c>
      <c r="T5353" t="s">
        <v>16337</v>
      </c>
    </row>
    <row r="5354" spans="1:20" x14ac:dyDescent="0.25">
      <c r="A5354" t="str">
        <f>"3056191"</f>
        <v>3056191</v>
      </c>
      <c r="B5354" t="s">
        <v>16339</v>
      </c>
      <c r="C5354" t="str">
        <f>"24425370"</f>
        <v>24425370</v>
      </c>
      <c r="D5354" t="s">
        <v>16340</v>
      </c>
      <c r="F5354" t="s">
        <v>16341</v>
      </c>
      <c r="I5354" t="s">
        <v>9580</v>
      </c>
      <c r="J5354" t="s">
        <v>30</v>
      </c>
      <c r="K5354" t="s">
        <v>9581</v>
      </c>
      <c r="M5354" t="s">
        <v>32</v>
      </c>
      <c r="N5354" t="str">
        <f>"8/13/2003 12:00:00 AM"</f>
        <v>8/13/2003 12:00:00 AM</v>
      </c>
      <c r="O5354" t="s">
        <v>16340</v>
      </c>
    </row>
    <row r="5355" spans="1:20" x14ac:dyDescent="0.25">
      <c r="A5355" t="str">
        <f>"3055893"</f>
        <v>3055893</v>
      </c>
      <c r="B5355" t="s">
        <v>16342</v>
      </c>
      <c r="C5355" t="str">
        <f>"24420000"</f>
        <v>24420000</v>
      </c>
      <c r="D5355" t="s">
        <v>16343</v>
      </c>
      <c r="E5355" t="s">
        <v>16344</v>
      </c>
      <c r="F5355" t="s">
        <v>16345</v>
      </c>
      <c r="I5355" t="s">
        <v>9580</v>
      </c>
      <c r="J5355" t="s">
        <v>30</v>
      </c>
      <c r="K5355" t="s">
        <v>9581</v>
      </c>
      <c r="M5355" t="s">
        <v>32</v>
      </c>
      <c r="N5355" t="str">
        <f>"8/13/2003 12:00:00 AM"</f>
        <v>8/13/2003 12:00:00 AM</v>
      </c>
      <c r="O5355" t="s">
        <v>16343</v>
      </c>
      <c r="T5355" t="s">
        <v>16344</v>
      </c>
    </row>
    <row r="5356" spans="1:20" x14ac:dyDescent="0.25">
      <c r="A5356" t="str">
        <f>"3056357"</f>
        <v>3056357</v>
      </c>
      <c r="B5356" t="s">
        <v>16346</v>
      </c>
      <c r="C5356" t="str">
        <f>"45116000"</f>
        <v>45116000</v>
      </c>
      <c r="D5356" t="s">
        <v>16347</v>
      </c>
      <c r="E5356" t="s">
        <v>16348</v>
      </c>
      <c r="F5356" t="s">
        <v>16349</v>
      </c>
      <c r="I5356" t="s">
        <v>9580</v>
      </c>
      <c r="J5356" t="s">
        <v>30</v>
      </c>
      <c r="K5356" t="s">
        <v>9581</v>
      </c>
      <c r="M5356" t="s">
        <v>32</v>
      </c>
      <c r="N5356" t="str">
        <f>"11/13/2002 12:00:00 AM"</f>
        <v>11/13/2002 12:00:00 AM</v>
      </c>
      <c r="O5356" t="s">
        <v>16347</v>
      </c>
      <c r="T5356" t="s">
        <v>16348</v>
      </c>
    </row>
    <row r="5357" spans="1:20" x14ac:dyDescent="0.25">
      <c r="A5357" t="str">
        <f>"3078490"</f>
        <v>3078490</v>
      </c>
      <c r="B5357" t="s">
        <v>16350</v>
      </c>
      <c r="C5357" t="str">
        <f>"45116000"</f>
        <v>45116000</v>
      </c>
      <c r="D5357" t="s">
        <v>16347</v>
      </c>
      <c r="E5357" t="s">
        <v>16348</v>
      </c>
      <c r="F5357" t="s">
        <v>16349</v>
      </c>
      <c r="I5357" t="s">
        <v>9580</v>
      </c>
      <c r="J5357" t="s">
        <v>30</v>
      </c>
      <c r="K5357" t="s">
        <v>9581</v>
      </c>
      <c r="M5357" t="s">
        <v>32</v>
      </c>
      <c r="N5357" t="str">
        <f>"11/13/2002 12:00:00 AM"</f>
        <v>11/13/2002 12:00:00 AM</v>
      </c>
      <c r="O5357" t="s">
        <v>16347</v>
      </c>
      <c r="T5357" t="s">
        <v>16348</v>
      </c>
    </row>
    <row r="5358" spans="1:20" x14ac:dyDescent="0.25">
      <c r="A5358" t="str">
        <f>"3078491"</f>
        <v>3078491</v>
      </c>
      <c r="B5358" t="s">
        <v>16351</v>
      </c>
      <c r="C5358" t="str">
        <f>"28075550"</f>
        <v>28075550</v>
      </c>
      <c r="D5358" t="s">
        <v>16352</v>
      </c>
      <c r="F5358" t="s">
        <v>16353</v>
      </c>
      <c r="I5358" t="s">
        <v>29</v>
      </c>
      <c r="J5358" t="s">
        <v>30</v>
      </c>
      <c r="K5358" t="s">
        <v>31</v>
      </c>
      <c r="M5358" t="s">
        <v>32</v>
      </c>
      <c r="N5358" t="str">
        <f>"8/27/2003 12:00:00 AM"</f>
        <v>8/27/2003 12:00:00 AM</v>
      </c>
      <c r="O5358" t="s">
        <v>16352</v>
      </c>
    </row>
    <row r="5359" spans="1:20" x14ac:dyDescent="0.25">
      <c r="A5359" t="str">
        <f>"3056676"</f>
        <v>3056676</v>
      </c>
      <c r="B5359" t="s">
        <v>16354</v>
      </c>
      <c r="C5359" t="str">
        <f>"28075550"</f>
        <v>28075550</v>
      </c>
      <c r="D5359" t="s">
        <v>16352</v>
      </c>
      <c r="F5359" t="s">
        <v>16353</v>
      </c>
      <c r="I5359" t="s">
        <v>29</v>
      </c>
      <c r="J5359" t="s">
        <v>30</v>
      </c>
      <c r="K5359" t="s">
        <v>31</v>
      </c>
      <c r="M5359" t="s">
        <v>32</v>
      </c>
      <c r="N5359" t="str">
        <f>"8/27/2003 12:00:00 AM"</f>
        <v>8/27/2003 12:00:00 AM</v>
      </c>
      <c r="O5359" t="s">
        <v>16352</v>
      </c>
    </row>
    <row r="5360" spans="1:20" x14ac:dyDescent="0.25">
      <c r="A5360" t="str">
        <f>"3056483"</f>
        <v>3056483</v>
      </c>
      <c r="B5360" t="s">
        <v>16355</v>
      </c>
      <c r="C5360" t="str">
        <f>"39468000"</f>
        <v>39468000</v>
      </c>
      <c r="D5360" t="s">
        <v>16356</v>
      </c>
      <c r="F5360" t="s">
        <v>16357</v>
      </c>
      <c r="I5360" t="s">
        <v>29</v>
      </c>
      <c r="J5360" t="s">
        <v>30</v>
      </c>
      <c r="K5360" t="s">
        <v>16358</v>
      </c>
      <c r="M5360" t="s">
        <v>32</v>
      </c>
      <c r="N5360" t="str">
        <f>"1/17/2006 12:00:00 AM"</f>
        <v>1/17/2006 12:00:00 AM</v>
      </c>
      <c r="O5360" t="s">
        <v>16356</v>
      </c>
      <c r="T5360" t="s">
        <v>16356</v>
      </c>
    </row>
    <row r="5361" spans="1:20" x14ac:dyDescent="0.25">
      <c r="A5361" t="str">
        <f>"3068972"</f>
        <v>3068972</v>
      </c>
      <c r="B5361" t="s">
        <v>16359</v>
      </c>
      <c r="C5361" t="str">
        <f>"1025750"</f>
        <v>1025750</v>
      </c>
      <c r="D5361" t="s">
        <v>16360</v>
      </c>
      <c r="F5361" t="s">
        <v>16361</v>
      </c>
      <c r="I5361" t="s">
        <v>29</v>
      </c>
      <c r="J5361" t="s">
        <v>30</v>
      </c>
      <c r="K5361" t="s">
        <v>31</v>
      </c>
      <c r="M5361" t="s">
        <v>32</v>
      </c>
      <c r="N5361" t="str">
        <f>"5/9/2003 12:00:00 AM"</f>
        <v>5/9/2003 12:00:00 AM</v>
      </c>
      <c r="O5361" t="s">
        <v>16360</v>
      </c>
    </row>
    <row r="5362" spans="1:20" x14ac:dyDescent="0.25">
      <c r="A5362" t="str">
        <f>"3066668"</f>
        <v>3066668</v>
      </c>
      <c r="B5362" t="s">
        <v>16362</v>
      </c>
      <c r="C5362" t="str">
        <f>"55558000"</f>
        <v>55558000</v>
      </c>
      <c r="D5362" t="s">
        <v>16363</v>
      </c>
      <c r="E5362" t="s">
        <v>16364</v>
      </c>
      <c r="F5362" t="s">
        <v>16365</v>
      </c>
      <c r="I5362" t="s">
        <v>29</v>
      </c>
      <c r="J5362" t="s">
        <v>30</v>
      </c>
      <c r="K5362" t="s">
        <v>31</v>
      </c>
      <c r="M5362" t="s">
        <v>32</v>
      </c>
      <c r="N5362" t="str">
        <f>"3/26/2004 12:00:00 AM"</f>
        <v>3/26/2004 12:00:00 AM</v>
      </c>
      <c r="O5362" t="s">
        <v>16363</v>
      </c>
      <c r="T5362" t="s">
        <v>16364</v>
      </c>
    </row>
    <row r="5363" spans="1:20" x14ac:dyDescent="0.25">
      <c r="A5363" t="str">
        <f>"3056032"</f>
        <v>3056032</v>
      </c>
      <c r="B5363" t="s">
        <v>16366</v>
      </c>
      <c r="C5363" t="str">
        <f>"19896000"</f>
        <v>19896000</v>
      </c>
      <c r="D5363" t="s">
        <v>16367</v>
      </c>
      <c r="F5363" t="s">
        <v>16368</v>
      </c>
      <c r="I5363" t="s">
        <v>9580</v>
      </c>
      <c r="J5363" t="s">
        <v>30</v>
      </c>
      <c r="K5363" t="s">
        <v>9581</v>
      </c>
      <c r="M5363" t="s">
        <v>32</v>
      </c>
      <c r="N5363" t="str">
        <f>"9/9/2005 12:00:00 AM"</f>
        <v>9/9/2005 12:00:00 AM</v>
      </c>
      <c r="O5363" t="s">
        <v>16367</v>
      </c>
    </row>
    <row r="5364" spans="1:20" x14ac:dyDescent="0.25">
      <c r="A5364" t="str">
        <f>"3056571"</f>
        <v>3056571</v>
      </c>
      <c r="B5364" t="s">
        <v>16369</v>
      </c>
      <c r="C5364" t="str">
        <f>"82524828"</f>
        <v>82524828</v>
      </c>
      <c r="D5364" t="s">
        <v>16370</v>
      </c>
      <c r="E5364" t="s">
        <v>16371</v>
      </c>
      <c r="F5364" t="s">
        <v>16372</v>
      </c>
      <c r="I5364" t="s">
        <v>29</v>
      </c>
      <c r="J5364" t="s">
        <v>30</v>
      </c>
      <c r="K5364" t="s">
        <v>11749</v>
      </c>
      <c r="N5364" t="str">
        <f>"1/20/2006 12:00:00 AM"</f>
        <v>1/20/2006 12:00:00 AM</v>
      </c>
      <c r="O5364" t="s">
        <v>16370</v>
      </c>
      <c r="T5364" t="s">
        <v>16371</v>
      </c>
    </row>
    <row r="5365" spans="1:20" x14ac:dyDescent="0.25">
      <c r="A5365" t="str">
        <f>"3056489"</f>
        <v>3056489</v>
      </c>
      <c r="B5365" t="s">
        <v>16373</v>
      </c>
      <c r="C5365" t="str">
        <f>"82526262"</f>
        <v>82526262</v>
      </c>
      <c r="D5365" t="s">
        <v>16374</v>
      </c>
      <c r="E5365" t="s">
        <v>16375</v>
      </c>
      <c r="F5365" t="s">
        <v>16376</v>
      </c>
      <c r="I5365" t="s">
        <v>29</v>
      </c>
      <c r="J5365" t="s">
        <v>30</v>
      </c>
      <c r="K5365" t="s">
        <v>31</v>
      </c>
      <c r="M5365" t="s">
        <v>32</v>
      </c>
      <c r="N5365" t="str">
        <f>"2/13/2007 12:00:00 AM"</f>
        <v>2/13/2007 12:00:00 AM</v>
      </c>
      <c r="O5365" t="s">
        <v>16374</v>
      </c>
      <c r="T5365" t="s">
        <v>16375</v>
      </c>
    </row>
    <row r="5366" spans="1:20" x14ac:dyDescent="0.25">
      <c r="A5366" t="str">
        <f>"3056433"</f>
        <v>3056433</v>
      </c>
      <c r="B5366" t="s">
        <v>16377</v>
      </c>
      <c r="C5366" t="str">
        <f>"82526262"</f>
        <v>82526262</v>
      </c>
      <c r="D5366" t="s">
        <v>16374</v>
      </c>
      <c r="E5366" t="s">
        <v>16375</v>
      </c>
      <c r="F5366" t="s">
        <v>16376</v>
      </c>
      <c r="I5366" t="s">
        <v>29</v>
      </c>
      <c r="J5366" t="s">
        <v>30</v>
      </c>
      <c r="K5366" t="s">
        <v>31</v>
      </c>
      <c r="M5366" t="s">
        <v>32</v>
      </c>
      <c r="N5366" t="str">
        <f>"2/13/2007 12:00:00 AM"</f>
        <v>2/13/2007 12:00:00 AM</v>
      </c>
      <c r="O5366" t="s">
        <v>16374</v>
      </c>
      <c r="T5366" t="s">
        <v>16375</v>
      </c>
    </row>
    <row r="5367" spans="1:20" x14ac:dyDescent="0.25">
      <c r="A5367" t="str">
        <f>"3056233"</f>
        <v>3056233</v>
      </c>
      <c r="B5367" t="s">
        <v>16378</v>
      </c>
      <c r="C5367" t="str">
        <f>"82526262"</f>
        <v>82526262</v>
      </c>
      <c r="D5367" t="s">
        <v>16374</v>
      </c>
      <c r="E5367" t="s">
        <v>16375</v>
      </c>
      <c r="F5367" t="s">
        <v>16376</v>
      </c>
      <c r="I5367" t="s">
        <v>29</v>
      </c>
      <c r="J5367" t="s">
        <v>30</v>
      </c>
      <c r="K5367" t="s">
        <v>31</v>
      </c>
      <c r="M5367" t="s">
        <v>32</v>
      </c>
      <c r="N5367" t="str">
        <f>"2/13/2007 12:00:00 AM"</f>
        <v>2/13/2007 12:00:00 AM</v>
      </c>
      <c r="O5367" t="s">
        <v>16374</v>
      </c>
      <c r="T5367" t="s">
        <v>16375</v>
      </c>
    </row>
    <row r="5368" spans="1:20" x14ac:dyDescent="0.25">
      <c r="A5368" t="str">
        <f>"3056314"</f>
        <v>3056314</v>
      </c>
      <c r="B5368" t="s">
        <v>16379</v>
      </c>
      <c r="C5368" t="str">
        <f t="shared" ref="C5368:C5381" si="78">"19056000"</f>
        <v>19056000</v>
      </c>
      <c r="D5368" t="s">
        <v>16380</v>
      </c>
      <c r="E5368" t="s">
        <v>16381</v>
      </c>
      <c r="F5368" t="s">
        <v>16382</v>
      </c>
      <c r="I5368" t="s">
        <v>29</v>
      </c>
      <c r="J5368" t="s">
        <v>30</v>
      </c>
      <c r="K5368" t="s">
        <v>31</v>
      </c>
      <c r="M5368" t="s">
        <v>32</v>
      </c>
      <c r="N5368" t="str">
        <f t="shared" ref="N5368:N5381" si="79">"7/10/2003 12:00:00 AM"</f>
        <v>7/10/2003 12:00:00 AM</v>
      </c>
      <c r="O5368" t="s">
        <v>16380</v>
      </c>
      <c r="T5368" t="s">
        <v>16381</v>
      </c>
    </row>
    <row r="5369" spans="1:20" x14ac:dyDescent="0.25">
      <c r="A5369" t="str">
        <f>"3056519"</f>
        <v>3056519</v>
      </c>
      <c r="B5369" t="s">
        <v>16383</v>
      </c>
      <c r="C5369" t="str">
        <f t="shared" si="78"/>
        <v>19056000</v>
      </c>
      <c r="D5369" t="s">
        <v>16380</v>
      </c>
      <c r="E5369" t="s">
        <v>16381</v>
      </c>
      <c r="F5369" t="s">
        <v>16382</v>
      </c>
      <c r="I5369" t="s">
        <v>29</v>
      </c>
      <c r="J5369" t="s">
        <v>30</v>
      </c>
      <c r="K5369" t="s">
        <v>31</v>
      </c>
      <c r="M5369" t="s">
        <v>32</v>
      </c>
      <c r="N5369" t="str">
        <f t="shared" si="79"/>
        <v>7/10/2003 12:00:00 AM</v>
      </c>
      <c r="O5369" t="s">
        <v>16380</v>
      </c>
      <c r="T5369" t="s">
        <v>16381</v>
      </c>
    </row>
    <row r="5370" spans="1:20" x14ac:dyDescent="0.25">
      <c r="A5370" t="str">
        <f>"3056442"</f>
        <v>3056442</v>
      </c>
      <c r="B5370" t="s">
        <v>16384</v>
      </c>
      <c r="C5370" t="str">
        <f t="shared" si="78"/>
        <v>19056000</v>
      </c>
      <c r="D5370" t="s">
        <v>16380</v>
      </c>
      <c r="E5370" t="s">
        <v>16381</v>
      </c>
      <c r="F5370" t="s">
        <v>16382</v>
      </c>
      <c r="I5370" t="s">
        <v>29</v>
      </c>
      <c r="J5370" t="s">
        <v>30</v>
      </c>
      <c r="K5370" t="s">
        <v>31</v>
      </c>
      <c r="M5370" t="s">
        <v>32</v>
      </c>
      <c r="N5370" t="str">
        <f t="shared" si="79"/>
        <v>7/10/2003 12:00:00 AM</v>
      </c>
      <c r="O5370" t="s">
        <v>16380</v>
      </c>
      <c r="T5370" t="s">
        <v>16381</v>
      </c>
    </row>
    <row r="5371" spans="1:20" x14ac:dyDescent="0.25">
      <c r="A5371" t="str">
        <f>"3056658"</f>
        <v>3056658</v>
      </c>
      <c r="B5371" t="s">
        <v>16385</v>
      </c>
      <c r="C5371" t="str">
        <f t="shared" si="78"/>
        <v>19056000</v>
      </c>
      <c r="D5371" t="s">
        <v>16380</v>
      </c>
      <c r="E5371" t="s">
        <v>16381</v>
      </c>
      <c r="F5371" t="s">
        <v>16382</v>
      </c>
      <c r="I5371" t="s">
        <v>29</v>
      </c>
      <c r="J5371" t="s">
        <v>30</v>
      </c>
      <c r="K5371" t="s">
        <v>31</v>
      </c>
      <c r="M5371" t="s">
        <v>32</v>
      </c>
      <c r="N5371" t="str">
        <f t="shared" si="79"/>
        <v>7/10/2003 12:00:00 AM</v>
      </c>
      <c r="O5371" t="s">
        <v>16380</v>
      </c>
      <c r="T5371" t="s">
        <v>16381</v>
      </c>
    </row>
    <row r="5372" spans="1:20" x14ac:dyDescent="0.25">
      <c r="A5372" t="str">
        <f>"3056824"</f>
        <v>3056824</v>
      </c>
      <c r="B5372" t="s">
        <v>16386</v>
      </c>
      <c r="C5372" t="str">
        <f t="shared" si="78"/>
        <v>19056000</v>
      </c>
      <c r="D5372" t="s">
        <v>16380</v>
      </c>
      <c r="E5372" t="s">
        <v>16381</v>
      </c>
      <c r="F5372" t="s">
        <v>16382</v>
      </c>
      <c r="I5372" t="s">
        <v>29</v>
      </c>
      <c r="J5372" t="s">
        <v>30</v>
      </c>
      <c r="K5372" t="s">
        <v>31</v>
      </c>
      <c r="M5372" t="s">
        <v>32</v>
      </c>
      <c r="N5372" t="str">
        <f t="shared" si="79"/>
        <v>7/10/2003 12:00:00 AM</v>
      </c>
      <c r="O5372" t="s">
        <v>16380</v>
      </c>
      <c r="T5372" t="s">
        <v>16381</v>
      </c>
    </row>
    <row r="5373" spans="1:20" x14ac:dyDescent="0.25">
      <c r="A5373" t="str">
        <f>"3078497"</f>
        <v>3078497</v>
      </c>
      <c r="B5373" t="s">
        <v>16387</v>
      </c>
      <c r="C5373" t="str">
        <f t="shared" si="78"/>
        <v>19056000</v>
      </c>
      <c r="D5373" t="s">
        <v>16380</v>
      </c>
      <c r="E5373" t="s">
        <v>16381</v>
      </c>
      <c r="F5373" t="s">
        <v>16382</v>
      </c>
      <c r="I5373" t="s">
        <v>29</v>
      </c>
      <c r="J5373" t="s">
        <v>30</v>
      </c>
      <c r="K5373" t="s">
        <v>31</v>
      </c>
      <c r="M5373" t="s">
        <v>32</v>
      </c>
      <c r="N5373" t="str">
        <f t="shared" si="79"/>
        <v>7/10/2003 12:00:00 AM</v>
      </c>
      <c r="O5373" t="s">
        <v>16380</v>
      </c>
      <c r="T5373" t="s">
        <v>16381</v>
      </c>
    </row>
    <row r="5374" spans="1:20" x14ac:dyDescent="0.25">
      <c r="A5374" t="str">
        <f>"3078498"</f>
        <v>3078498</v>
      </c>
      <c r="B5374" t="s">
        <v>16388</v>
      </c>
      <c r="C5374" t="str">
        <f t="shared" si="78"/>
        <v>19056000</v>
      </c>
      <c r="D5374" t="s">
        <v>16380</v>
      </c>
      <c r="E5374" t="s">
        <v>16381</v>
      </c>
      <c r="F5374" t="s">
        <v>16382</v>
      </c>
      <c r="I5374" t="s">
        <v>29</v>
      </c>
      <c r="J5374" t="s">
        <v>30</v>
      </c>
      <c r="K5374" t="s">
        <v>31</v>
      </c>
      <c r="M5374" t="s">
        <v>32</v>
      </c>
      <c r="N5374" t="str">
        <f t="shared" si="79"/>
        <v>7/10/2003 12:00:00 AM</v>
      </c>
      <c r="O5374" t="s">
        <v>16380</v>
      </c>
      <c r="T5374" t="s">
        <v>16381</v>
      </c>
    </row>
    <row r="5375" spans="1:20" x14ac:dyDescent="0.25">
      <c r="A5375" t="str">
        <f>"3078501"</f>
        <v>3078501</v>
      </c>
      <c r="B5375" t="s">
        <v>16389</v>
      </c>
      <c r="C5375" t="str">
        <f t="shared" si="78"/>
        <v>19056000</v>
      </c>
      <c r="D5375" t="s">
        <v>16380</v>
      </c>
      <c r="E5375" t="s">
        <v>16381</v>
      </c>
      <c r="F5375" t="s">
        <v>16382</v>
      </c>
      <c r="I5375" t="s">
        <v>29</v>
      </c>
      <c r="J5375" t="s">
        <v>30</v>
      </c>
      <c r="K5375" t="s">
        <v>31</v>
      </c>
      <c r="M5375" t="s">
        <v>32</v>
      </c>
      <c r="N5375" t="str">
        <f t="shared" si="79"/>
        <v>7/10/2003 12:00:00 AM</v>
      </c>
      <c r="O5375" t="s">
        <v>16380</v>
      </c>
      <c r="T5375" t="s">
        <v>16381</v>
      </c>
    </row>
    <row r="5376" spans="1:20" x14ac:dyDescent="0.25">
      <c r="A5376" t="str">
        <f>"3078502"</f>
        <v>3078502</v>
      </c>
      <c r="B5376" t="s">
        <v>16390</v>
      </c>
      <c r="C5376" t="str">
        <f t="shared" si="78"/>
        <v>19056000</v>
      </c>
      <c r="D5376" t="s">
        <v>16380</v>
      </c>
      <c r="E5376" t="s">
        <v>16381</v>
      </c>
      <c r="F5376" t="s">
        <v>16382</v>
      </c>
      <c r="I5376" t="s">
        <v>29</v>
      </c>
      <c r="J5376" t="s">
        <v>30</v>
      </c>
      <c r="K5376" t="s">
        <v>31</v>
      </c>
      <c r="M5376" t="s">
        <v>32</v>
      </c>
      <c r="N5376" t="str">
        <f t="shared" si="79"/>
        <v>7/10/2003 12:00:00 AM</v>
      </c>
      <c r="O5376" t="s">
        <v>16380</v>
      </c>
      <c r="T5376" t="s">
        <v>16381</v>
      </c>
    </row>
    <row r="5377" spans="1:20" x14ac:dyDescent="0.25">
      <c r="A5377" t="str">
        <f>"3078503"</f>
        <v>3078503</v>
      </c>
      <c r="B5377" t="s">
        <v>16391</v>
      </c>
      <c r="C5377" t="str">
        <f t="shared" si="78"/>
        <v>19056000</v>
      </c>
      <c r="D5377" t="s">
        <v>16380</v>
      </c>
      <c r="E5377" t="s">
        <v>16381</v>
      </c>
      <c r="F5377" t="s">
        <v>16382</v>
      </c>
      <c r="I5377" t="s">
        <v>29</v>
      </c>
      <c r="J5377" t="s">
        <v>30</v>
      </c>
      <c r="K5377" t="s">
        <v>31</v>
      </c>
      <c r="M5377" t="s">
        <v>32</v>
      </c>
      <c r="N5377" t="str">
        <f t="shared" si="79"/>
        <v>7/10/2003 12:00:00 AM</v>
      </c>
      <c r="O5377" t="s">
        <v>16380</v>
      </c>
      <c r="T5377" t="s">
        <v>16381</v>
      </c>
    </row>
    <row r="5378" spans="1:20" x14ac:dyDescent="0.25">
      <c r="A5378" t="str">
        <f>"3078504"</f>
        <v>3078504</v>
      </c>
      <c r="B5378" t="s">
        <v>16392</v>
      </c>
      <c r="C5378" t="str">
        <f t="shared" si="78"/>
        <v>19056000</v>
      </c>
      <c r="D5378" t="s">
        <v>16380</v>
      </c>
      <c r="E5378" t="s">
        <v>16381</v>
      </c>
      <c r="F5378" t="s">
        <v>16382</v>
      </c>
      <c r="I5378" t="s">
        <v>29</v>
      </c>
      <c r="J5378" t="s">
        <v>30</v>
      </c>
      <c r="K5378" t="s">
        <v>31</v>
      </c>
      <c r="M5378" t="s">
        <v>32</v>
      </c>
      <c r="N5378" t="str">
        <f t="shared" si="79"/>
        <v>7/10/2003 12:00:00 AM</v>
      </c>
      <c r="O5378" t="s">
        <v>16380</v>
      </c>
      <c r="T5378" t="s">
        <v>16381</v>
      </c>
    </row>
    <row r="5379" spans="1:20" x14ac:dyDescent="0.25">
      <c r="A5379" t="str">
        <f>"3078681"</f>
        <v>3078681</v>
      </c>
      <c r="B5379" t="s">
        <v>16393</v>
      </c>
      <c r="C5379" t="str">
        <f t="shared" si="78"/>
        <v>19056000</v>
      </c>
      <c r="D5379" t="s">
        <v>16380</v>
      </c>
      <c r="E5379" t="s">
        <v>16381</v>
      </c>
      <c r="F5379" t="s">
        <v>16382</v>
      </c>
      <c r="I5379" t="s">
        <v>29</v>
      </c>
      <c r="J5379" t="s">
        <v>30</v>
      </c>
      <c r="K5379" t="s">
        <v>31</v>
      </c>
      <c r="M5379" t="s">
        <v>32</v>
      </c>
      <c r="N5379" t="str">
        <f t="shared" si="79"/>
        <v>7/10/2003 12:00:00 AM</v>
      </c>
      <c r="O5379" t="s">
        <v>16380</v>
      </c>
      <c r="T5379" t="s">
        <v>16381</v>
      </c>
    </row>
    <row r="5380" spans="1:20" x14ac:dyDescent="0.25">
      <c r="A5380" t="str">
        <f>"3062132"</f>
        <v>3062132</v>
      </c>
      <c r="B5380" t="s">
        <v>16394</v>
      </c>
      <c r="C5380" t="str">
        <f t="shared" si="78"/>
        <v>19056000</v>
      </c>
      <c r="D5380" t="s">
        <v>16380</v>
      </c>
      <c r="E5380" t="s">
        <v>16381</v>
      </c>
      <c r="F5380" t="s">
        <v>16382</v>
      </c>
      <c r="I5380" t="s">
        <v>29</v>
      </c>
      <c r="J5380" t="s">
        <v>30</v>
      </c>
      <c r="K5380" t="s">
        <v>31</v>
      </c>
      <c r="M5380" t="s">
        <v>32</v>
      </c>
      <c r="N5380" t="str">
        <f t="shared" si="79"/>
        <v>7/10/2003 12:00:00 AM</v>
      </c>
      <c r="O5380" t="s">
        <v>16380</v>
      </c>
      <c r="T5380" t="s">
        <v>16381</v>
      </c>
    </row>
    <row r="5381" spans="1:20" x14ac:dyDescent="0.25">
      <c r="A5381" t="str">
        <f>"3062172"</f>
        <v>3062172</v>
      </c>
      <c r="B5381" t="s">
        <v>16395</v>
      </c>
      <c r="C5381" t="str">
        <f t="shared" si="78"/>
        <v>19056000</v>
      </c>
      <c r="D5381" t="s">
        <v>16380</v>
      </c>
      <c r="E5381" t="s">
        <v>16381</v>
      </c>
      <c r="F5381" t="s">
        <v>16382</v>
      </c>
      <c r="I5381" t="s">
        <v>29</v>
      </c>
      <c r="J5381" t="s">
        <v>30</v>
      </c>
      <c r="K5381" t="s">
        <v>31</v>
      </c>
      <c r="M5381" t="s">
        <v>32</v>
      </c>
      <c r="N5381" t="str">
        <f t="shared" si="79"/>
        <v>7/10/2003 12:00:00 AM</v>
      </c>
      <c r="O5381" t="s">
        <v>16380</v>
      </c>
      <c r="T5381" t="s">
        <v>16381</v>
      </c>
    </row>
    <row r="5382" spans="1:20" x14ac:dyDescent="0.25">
      <c r="A5382" t="str">
        <f>"3055921"</f>
        <v>3055921</v>
      </c>
      <c r="B5382" t="s">
        <v>16396</v>
      </c>
      <c r="C5382" t="str">
        <f>"82518380"</f>
        <v>82518380</v>
      </c>
      <c r="D5382" t="s">
        <v>16397</v>
      </c>
      <c r="F5382" t="s">
        <v>16398</v>
      </c>
      <c r="I5382" t="s">
        <v>9580</v>
      </c>
      <c r="J5382" t="s">
        <v>30</v>
      </c>
      <c r="K5382" t="s">
        <v>9581</v>
      </c>
      <c r="M5382" t="s">
        <v>32</v>
      </c>
      <c r="N5382" t="str">
        <f>"6/15/2005 12:00:00 AM"</f>
        <v>6/15/2005 12:00:00 AM</v>
      </c>
      <c r="O5382" t="s">
        <v>16397</v>
      </c>
    </row>
    <row r="5383" spans="1:20" x14ac:dyDescent="0.25">
      <c r="A5383" t="str">
        <f>"3056520"</f>
        <v>3056520</v>
      </c>
      <c r="B5383" t="s">
        <v>16399</v>
      </c>
      <c r="C5383" t="str">
        <f>"13664000"</f>
        <v>13664000</v>
      </c>
      <c r="D5383" t="s">
        <v>16400</v>
      </c>
      <c r="E5383" t="s">
        <v>16401</v>
      </c>
      <c r="F5383" t="s">
        <v>16402</v>
      </c>
      <c r="I5383" t="s">
        <v>29</v>
      </c>
      <c r="J5383" t="s">
        <v>30</v>
      </c>
      <c r="K5383" t="s">
        <v>16358</v>
      </c>
      <c r="M5383" t="s">
        <v>32</v>
      </c>
      <c r="N5383" t="str">
        <f>"2/8/2005 12:00:00 AM"</f>
        <v>2/8/2005 12:00:00 AM</v>
      </c>
      <c r="O5383" t="s">
        <v>16400</v>
      </c>
      <c r="T5383" t="s">
        <v>16401</v>
      </c>
    </row>
    <row r="5384" spans="1:20" x14ac:dyDescent="0.25">
      <c r="A5384" t="str">
        <f>"3056255"</f>
        <v>3056255</v>
      </c>
      <c r="B5384" t="s">
        <v>16403</v>
      </c>
      <c r="C5384" t="str">
        <f>"13664000"</f>
        <v>13664000</v>
      </c>
      <c r="D5384" t="s">
        <v>16400</v>
      </c>
      <c r="E5384" t="s">
        <v>16401</v>
      </c>
      <c r="F5384" t="s">
        <v>16402</v>
      </c>
      <c r="I5384" t="s">
        <v>29</v>
      </c>
      <c r="J5384" t="s">
        <v>30</v>
      </c>
      <c r="K5384" t="s">
        <v>16358</v>
      </c>
      <c r="M5384" t="s">
        <v>32</v>
      </c>
      <c r="N5384" t="str">
        <f>"2/8/2005 12:00:00 AM"</f>
        <v>2/8/2005 12:00:00 AM</v>
      </c>
      <c r="O5384" t="s">
        <v>16400</v>
      </c>
      <c r="T5384" t="s">
        <v>16401</v>
      </c>
    </row>
    <row r="5385" spans="1:20" x14ac:dyDescent="0.25">
      <c r="A5385" t="str">
        <f>"3055722"</f>
        <v>3055722</v>
      </c>
      <c r="B5385" t="s">
        <v>16404</v>
      </c>
      <c r="C5385" t="str">
        <f>"82523913"</f>
        <v>82523913</v>
      </c>
      <c r="D5385" t="s">
        <v>16405</v>
      </c>
      <c r="F5385" t="s">
        <v>15827</v>
      </c>
      <c r="I5385" t="s">
        <v>9580</v>
      </c>
      <c r="J5385" t="s">
        <v>30</v>
      </c>
      <c r="K5385" t="s">
        <v>16406</v>
      </c>
      <c r="M5385" t="s">
        <v>32</v>
      </c>
      <c r="N5385" t="str">
        <f>"1/10/2006 12:00:00 AM"</f>
        <v>1/10/2006 12:00:00 AM</v>
      </c>
      <c r="O5385" t="s">
        <v>16405</v>
      </c>
    </row>
    <row r="5386" spans="1:20" x14ac:dyDescent="0.25">
      <c r="A5386" t="str">
        <f>"3055895"</f>
        <v>3055895</v>
      </c>
      <c r="B5386" t="s">
        <v>16407</v>
      </c>
      <c r="C5386" t="str">
        <f>"41744000"</f>
        <v>41744000</v>
      </c>
      <c r="D5386" t="s">
        <v>16408</v>
      </c>
      <c r="F5386" t="s">
        <v>16409</v>
      </c>
      <c r="I5386" t="s">
        <v>9580</v>
      </c>
      <c r="J5386" t="s">
        <v>30</v>
      </c>
      <c r="K5386" t="s">
        <v>16410</v>
      </c>
      <c r="M5386" t="s">
        <v>32</v>
      </c>
      <c r="N5386" t="str">
        <f>"2/10/2005 12:00:00 AM"</f>
        <v>2/10/2005 12:00:00 AM</v>
      </c>
      <c r="O5386" t="s">
        <v>16408</v>
      </c>
    </row>
    <row r="5387" spans="1:20" x14ac:dyDescent="0.25">
      <c r="A5387" t="str">
        <f>"3055959"</f>
        <v>3055959</v>
      </c>
      <c r="B5387" t="s">
        <v>16411</v>
      </c>
      <c r="C5387" t="str">
        <f>"45507500"</f>
        <v>45507500</v>
      </c>
      <c r="D5387" t="s">
        <v>16412</v>
      </c>
      <c r="E5387" t="s">
        <v>11439</v>
      </c>
      <c r="F5387" t="s">
        <v>11440</v>
      </c>
      <c r="I5387" t="s">
        <v>29</v>
      </c>
      <c r="J5387" t="s">
        <v>30</v>
      </c>
      <c r="K5387" t="s">
        <v>31</v>
      </c>
      <c r="M5387" t="s">
        <v>32</v>
      </c>
      <c r="N5387" t="str">
        <f>"11/13/2002 12:00:00 AM"</f>
        <v>11/13/2002 12:00:00 AM</v>
      </c>
      <c r="O5387" t="s">
        <v>16412</v>
      </c>
      <c r="T5387" t="s">
        <v>11439</v>
      </c>
    </row>
    <row r="5388" spans="1:20" x14ac:dyDescent="0.25">
      <c r="A5388" t="str">
        <f>"3064401"</f>
        <v>3064401</v>
      </c>
      <c r="B5388" t="s">
        <v>16413</v>
      </c>
      <c r="C5388" t="str">
        <f>"82521222"</f>
        <v>82521222</v>
      </c>
      <c r="D5388" t="s">
        <v>16414</v>
      </c>
      <c r="F5388" t="s">
        <v>16415</v>
      </c>
      <c r="I5388" t="s">
        <v>9580</v>
      </c>
      <c r="J5388" t="s">
        <v>30</v>
      </c>
      <c r="K5388" t="s">
        <v>9581</v>
      </c>
      <c r="M5388" t="s">
        <v>32</v>
      </c>
      <c r="N5388" t="str">
        <f>"8/5/2003 12:00:00 AM"</f>
        <v>8/5/2003 12:00:00 AM</v>
      </c>
      <c r="O5388" t="s">
        <v>16414</v>
      </c>
    </row>
    <row r="5389" spans="1:20" x14ac:dyDescent="0.25">
      <c r="A5389" t="str">
        <f>"3055705"</f>
        <v>3055705</v>
      </c>
      <c r="B5389" t="s">
        <v>16416</v>
      </c>
      <c r="C5389" t="str">
        <f>"20328000"</f>
        <v>20328000</v>
      </c>
      <c r="D5389" t="s">
        <v>16417</v>
      </c>
      <c r="F5389" t="s">
        <v>16418</v>
      </c>
      <c r="I5389" t="s">
        <v>29</v>
      </c>
      <c r="J5389" t="s">
        <v>30</v>
      </c>
      <c r="K5389" t="s">
        <v>16419</v>
      </c>
      <c r="M5389" t="s">
        <v>32</v>
      </c>
      <c r="N5389" t="str">
        <f>"2/14/2005 12:00:00 AM"</f>
        <v>2/14/2005 12:00:00 AM</v>
      </c>
      <c r="O5389" t="s">
        <v>16417</v>
      </c>
    </row>
    <row r="5390" spans="1:20" x14ac:dyDescent="0.25">
      <c r="A5390" t="str">
        <f>"3055956"</f>
        <v>3055956</v>
      </c>
      <c r="B5390" t="s">
        <v>16420</v>
      </c>
      <c r="C5390" t="str">
        <f>"82524344"</f>
        <v>82524344</v>
      </c>
      <c r="D5390" t="s">
        <v>16421</v>
      </c>
      <c r="F5390" t="s">
        <v>16422</v>
      </c>
      <c r="I5390" t="s">
        <v>9580</v>
      </c>
      <c r="J5390" t="s">
        <v>30</v>
      </c>
      <c r="K5390" t="s">
        <v>16423</v>
      </c>
      <c r="M5390" t="s">
        <v>32</v>
      </c>
      <c r="N5390" t="str">
        <f>"1/24/2006 12:00:00 AM"</f>
        <v>1/24/2006 12:00:00 AM</v>
      </c>
      <c r="O5390" t="s">
        <v>16421</v>
      </c>
    </row>
    <row r="5391" spans="1:20" x14ac:dyDescent="0.25">
      <c r="A5391" t="str">
        <f>"3057232"</f>
        <v>3057232</v>
      </c>
      <c r="B5391" t="s">
        <v>16424</v>
      </c>
      <c r="C5391" t="str">
        <f>"75135000"</f>
        <v>75135000</v>
      </c>
      <c r="D5391" t="s">
        <v>16425</v>
      </c>
      <c r="E5391" t="s">
        <v>16426</v>
      </c>
      <c r="F5391" t="s">
        <v>16427</v>
      </c>
      <c r="I5391" t="s">
        <v>29</v>
      </c>
      <c r="J5391" t="s">
        <v>30</v>
      </c>
      <c r="K5391" t="s">
        <v>31</v>
      </c>
      <c r="M5391" t="s">
        <v>32</v>
      </c>
      <c r="N5391" t="str">
        <f>"6/22/2004 12:00:00 AM"</f>
        <v>6/22/2004 12:00:00 AM</v>
      </c>
      <c r="O5391" t="s">
        <v>16425</v>
      </c>
      <c r="T5391" t="s">
        <v>16426</v>
      </c>
    </row>
    <row r="5392" spans="1:20" x14ac:dyDescent="0.25">
      <c r="A5392" t="str">
        <f>"3059922"</f>
        <v>3059922</v>
      </c>
      <c r="B5392" t="s">
        <v>16428</v>
      </c>
      <c r="C5392" t="str">
        <f>"75135000"</f>
        <v>75135000</v>
      </c>
      <c r="D5392" t="s">
        <v>16425</v>
      </c>
      <c r="E5392" t="s">
        <v>16426</v>
      </c>
      <c r="F5392" t="s">
        <v>16427</v>
      </c>
      <c r="I5392" t="s">
        <v>29</v>
      </c>
      <c r="J5392" t="s">
        <v>30</v>
      </c>
      <c r="K5392" t="s">
        <v>31</v>
      </c>
      <c r="M5392" t="s">
        <v>32</v>
      </c>
      <c r="N5392" t="str">
        <f>"6/22/2004 12:00:00 AM"</f>
        <v>6/22/2004 12:00:00 AM</v>
      </c>
      <c r="O5392" t="s">
        <v>16425</v>
      </c>
      <c r="T5392" t="s">
        <v>16426</v>
      </c>
    </row>
    <row r="5393" spans="1:20" x14ac:dyDescent="0.25">
      <c r="A5393" t="str">
        <f>"3059942"</f>
        <v>3059942</v>
      </c>
      <c r="B5393" t="s">
        <v>16429</v>
      </c>
      <c r="C5393" t="str">
        <f>"62752000"</f>
        <v>62752000</v>
      </c>
      <c r="D5393" t="s">
        <v>16225</v>
      </c>
      <c r="E5393" t="s">
        <v>16226</v>
      </c>
      <c r="F5393" t="s">
        <v>16227</v>
      </c>
      <c r="I5393" t="s">
        <v>29</v>
      </c>
      <c r="J5393" t="s">
        <v>30</v>
      </c>
      <c r="K5393" t="s">
        <v>16228</v>
      </c>
      <c r="M5393" t="s">
        <v>32</v>
      </c>
      <c r="N5393" t="str">
        <f>"1/12/2006 12:00:00 AM"</f>
        <v>1/12/2006 12:00:00 AM</v>
      </c>
      <c r="O5393" t="s">
        <v>16225</v>
      </c>
      <c r="T5393" t="s">
        <v>16226</v>
      </c>
    </row>
    <row r="5394" spans="1:20" x14ac:dyDescent="0.25">
      <c r="A5394" t="str">
        <f>"3057229"</f>
        <v>3057229</v>
      </c>
      <c r="B5394" t="s">
        <v>16430</v>
      </c>
      <c r="C5394" t="str">
        <f>"62752000"</f>
        <v>62752000</v>
      </c>
      <c r="D5394" t="s">
        <v>16225</v>
      </c>
      <c r="E5394" t="s">
        <v>16226</v>
      </c>
      <c r="F5394" t="s">
        <v>16227</v>
      </c>
      <c r="I5394" t="s">
        <v>29</v>
      </c>
      <c r="J5394" t="s">
        <v>30</v>
      </c>
      <c r="K5394" t="s">
        <v>16228</v>
      </c>
      <c r="M5394" t="s">
        <v>32</v>
      </c>
      <c r="N5394" t="str">
        <f>"1/12/2006 12:00:00 AM"</f>
        <v>1/12/2006 12:00:00 AM</v>
      </c>
      <c r="O5394" t="s">
        <v>16225</v>
      </c>
      <c r="T5394" t="s">
        <v>16226</v>
      </c>
    </row>
    <row r="5395" spans="1:20" x14ac:dyDescent="0.25">
      <c r="A5395" t="str">
        <f>"3054877"</f>
        <v>3054877</v>
      </c>
      <c r="B5395" t="s">
        <v>16431</v>
      </c>
      <c r="C5395" t="str">
        <f>"31194000"</f>
        <v>31194000</v>
      </c>
      <c r="D5395" t="s">
        <v>16243</v>
      </c>
      <c r="E5395" t="s">
        <v>16432</v>
      </c>
      <c r="F5395" t="s">
        <v>16244</v>
      </c>
      <c r="I5395" t="s">
        <v>29</v>
      </c>
      <c r="J5395" t="s">
        <v>30</v>
      </c>
      <c r="K5395" t="s">
        <v>31</v>
      </c>
      <c r="M5395" t="s">
        <v>32</v>
      </c>
      <c r="N5395" t="str">
        <f>"11/12/2002 12:00:00 AM"</f>
        <v>11/12/2002 12:00:00 AM</v>
      </c>
      <c r="O5395" t="s">
        <v>16243</v>
      </c>
      <c r="T5395" t="s">
        <v>16432</v>
      </c>
    </row>
    <row r="5396" spans="1:20" x14ac:dyDescent="0.25">
      <c r="A5396" t="str">
        <f>"3055585"</f>
        <v>3055585</v>
      </c>
      <c r="B5396" t="s">
        <v>16433</v>
      </c>
      <c r="C5396" t="str">
        <f>"82529705"</f>
        <v>82529705</v>
      </c>
      <c r="D5396" t="s">
        <v>16434</v>
      </c>
      <c r="E5396" t="s">
        <v>16435</v>
      </c>
      <c r="F5396" t="s">
        <v>16436</v>
      </c>
      <c r="I5396" t="s">
        <v>29</v>
      </c>
      <c r="J5396" t="s">
        <v>30</v>
      </c>
      <c r="K5396" t="s">
        <v>31</v>
      </c>
      <c r="M5396" t="s">
        <v>32</v>
      </c>
      <c r="N5396" t="str">
        <f>"6/10/2008 12:00:00 AM"</f>
        <v>6/10/2008 12:00:00 AM</v>
      </c>
      <c r="O5396" t="s">
        <v>16434</v>
      </c>
      <c r="T5396" t="s">
        <v>16435</v>
      </c>
    </row>
    <row r="5397" spans="1:20" x14ac:dyDescent="0.25">
      <c r="A5397" t="str">
        <f>"3056104"</f>
        <v>3056104</v>
      </c>
      <c r="B5397" t="s">
        <v>16437</v>
      </c>
      <c r="C5397" t="str">
        <f>"75248000"</f>
        <v>75248000</v>
      </c>
      <c r="D5397" t="s">
        <v>16438</v>
      </c>
      <c r="F5397" t="s">
        <v>16439</v>
      </c>
      <c r="I5397" t="s">
        <v>9580</v>
      </c>
      <c r="J5397" t="s">
        <v>30</v>
      </c>
      <c r="K5397" t="s">
        <v>9581</v>
      </c>
      <c r="M5397" t="s">
        <v>32</v>
      </c>
      <c r="N5397" t="str">
        <f>"4/29/2003 12:00:00 AM"</f>
        <v>4/29/2003 12:00:00 AM</v>
      </c>
      <c r="O5397" t="s">
        <v>16438</v>
      </c>
    </row>
    <row r="5398" spans="1:20" x14ac:dyDescent="0.25">
      <c r="A5398" t="str">
        <f>"3056210"</f>
        <v>3056210</v>
      </c>
      <c r="B5398" t="s">
        <v>16440</v>
      </c>
      <c r="C5398" t="str">
        <f>"79011000"</f>
        <v>79011000</v>
      </c>
      <c r="D5398" t="s">
        <v>16441</v>
      </c>
      <c r="F5398" t="s">
        <v>16442</v>
      </c>
      <c r="I5398" t="s">
        <v>9580</v>
      </c>
      <c r="J5398" t="s">
        <v>30</v>
      </c>
      <c r="K5398" t="s">
        <v>16443</v>
      </c>
      <c r="M5398" t="s">
        <v>32</v>
      </c>
      <c r="N5398" t="str">
        <f>"1/23/2006 12:00:00 AM"</f>
        <v>1/23/2006 12:00:00 AM</v>
      </c>
      <c r="O5398" t="s">
        <v>16441</v>
      </c>
    </row>
    <row r="5399" spans="1:20" x14ac:dyDescent="0.25">
      <c r="A5399" t="str">
        <f>"3055847"</f>
        <v>3055847</v>
      </c>
      <c r="B5399" t="s">
        <v>16444</v>
      </c>
      <c r="C5399" t="str">
        <f>"79011000"</f>
        <v>79011000</v>
      </c>
      <c r="D5399" t="s">
        <v>16441</v>
      </c>
      <c r="F5399" t="s">
        <v>16442</v>
      </c>
      <c r="I5399" t="s">
        <v>9580</v>
      </c>
      <c r="J5399" t="s">
        <v>30</v>
      </c>
      <c r="K5399" t="s">
        <v>16443</v>
      </c>
      <c r="M5399" t="s">
        <v>32</v>
      </c>
      <c r="N5399" t="str">
        <f>"1/23/2006 12:00:00 AM"</f>
        <v>1/23/2006 12:00:00 AM</v>
      </c>
      <c r="O5399" t="s">
        <v>16441</v>
      </c>
    </row>
    <row r="5400" spans="1:20" x14ac:dyDescent="0.25">
      <c r="A5400" t="str">
        <f>"3055571"</f>
        <v>3055571</v>
      </c>
      <c r="B5400" t="s">
        <v>16445</v>
      </c>
      <c r="C5400" t="str">
        <f>"5652000"</f>
        <v>5652000</v>
      </c>
      <c r="D5400" t="s">
        <v>16277</v>
      </c>
      <c r="F5400" t="s">
        <v>16278</v>
      </c>
      <c r="I5400" t="s">
        <v>29</v>
      </c>
      <c r="J5400" t="s">
        <v>30</v>
      </c>
      <c r="K5400" t="s">
        <v>16279</v>
      </c>
      <c r="M5400" t="s">
        <v>32</v>
      </c>
      <c r="N5400" t="str">
        <f>"7/14/2010 12:00:00 AM"</f>
        <v>7/14/2010 12:00:00 AM</v>
      </c>
      <c r="O5400" t="s">
        <v>16277</v>
      </c>
    </row>
    <row r="5401" spans="1:20" x14ac:dyDescent="0.25">
      <c r="A5401" t="str">
        <f>"3055093"</f>
        <v>3055093</v>
      </c>
      <c r="B5401" t="s">
        <v>16446</v>
      </c>
      <c r="C5401" t="str">
        <f>"5652000"</f>
        <v>5652000</v>
      </c>
      <c r="D5401" t="s">
        <v>16277</v>
      </c>
      <c r="F5401" t="s">
        <v>16278</v>
      </c>
      <c r="I5401" t="s">
        <v>29</v>
      </c>
      <c r="J5401" t="s">
        <v>30</v>
      </c>
      <c r="K5401" t="s">
        <v>16279</v>
      </c>
      <c r="M5401" t="s">
        <v>32</v>
      </c>
      <c r="N5401" t="str">
        <f>"7/14/2010 12:00:00 AM"</f>
        <v>7/14/2010 12:00:00 AM</v>
      </c>
      <c r="O5401" t="s">
        <v>16277</v>
      </c>
    </row>
    <row r="5402" spans="1:20" x14ac:dyDescent="0.25">
      <c r="A5402" t="str">
        <f>"3055532"</f>
        <v>3055532</v>
      </c>
      <c r="B5402" t="s">
        <v>16447</v>
      </c>
      <c r="C5402" t="str">
        <f>"70204000"</f>
        <v>70204000</v>
      </c>
      <c r="D5402" t="s">
        <v>15483</v>
      </c>
      <c r="F5402" t="s">
        <v>15485</v>
      </c>
      <c r="I5402" t="s">
        <v>29</v>
      </c>
      <c r="J5402" t="s">
        <v>30</v>
      </c>
      <c r="K5402" t="s">
        <v>31</v>
      </c>
      <c r="M5402" t="s">
        <v>32</v>
      </c>
      <c r="N5402" t="str">
        <f>"11/12/2002 12:00:00 AM"</f>
        <v>11/12/2002 12:00:00 AM</v>
      </c>
      <c r="O5402" t="s">
        <v>15483</v>
      </c>
    </row>
    <row r="5403" spans="1:20" x14ac:dyDescent="0.25">
      <c r="A5403" t="str">
        <f>"3068951"</f>
        <v>3068951</v>
      </c>
      <c r="B5403" t="s">
        <v>16448</v>
      </c>
      <c r="C5403" t="str">
        <f>"1062000"</f>
        <v>1062000</v>
      </c>
      <c r="D5403" t="s">
        <v>16449</v>
      </c>
      <c r="E5403" t="s">
        <v>16450</v>
      </c>
      <c r="F5403" t="s">
        <v>16451</v>
      </c>
      <c r="I5403" t="s">
        <v>29</v>
      </c>
      <c r="J5403" t="s">
        <v>30</v>
      </c>
      <c r="K5403" t="s">
        <v>16452</v>
      </c>
      <c r="M5403" t="s">
        <v>32</v>
      </c>
      <c r="N5403" t="str">
        <f>"2/11/2010 12:00:00 AM"</f>
        <v>2/11/2010 12:00:00 AM</v>
      </c>
      <c r="O5403" t="s">
        <v>16449</v>
      </c>
      <c r="T5403" t="s">
        <v>16450</v>
      </c>
    </row>
    <row r="5404" spans="1:20" x14ac:dyDescent="0.25">
      <c r="A5404" t="str">
        <f>"3055758"</f>
        <v>3055758</v>
      </c>
      <c r="B5404" t="s">
        <v>16453</v>
      </c>
      <c r="C5404" t="str">
        <f>"82524150"</f>
        <v>82524150</v>
      </c>
      <c r="D5404" t="s">
        <v>16454</v>
      </c>
      <c r="F5404" t="s">
        <v>16455</v>
      </c>
      <c r="I5404" t="s">
        <v>9580</v>
      </c>
      <c r="J5404" t="s">
        <v>30</v>
      </c>
      <c r="K5404" t="s">
        <v>9581</v>
      </c>
      <c r="M5404" t="s">
        <v>32</v>
      </c>
      <c r="N5404" t="str">
        <f>"3/30/2005 12:00:00 AM"</f>
        <v>3/30/2005 12:00:00 AM</v>
      </c>
      <c r="O5404" t="s">
        <v>16454</v>
      </c>
    </row>
    <row r="5405" spans="1:20" x14ac:dyDescent="0.25">
      <c r="A5405" t="str">
        <f>"3055989"</f>
        <v>3055989</v>
      </c>
      <c r="B5405" t="s">
        <v>16456</v>
      </c>
      <c r="C5405" t="str">
        <f>"25360500"</f>
        <v>25360500</v>
      </c>
      <c r="D5405" t="s">
        <v>16457</v>
      </c>
      <c r="E5405" t="s">
        <v>16458</v>
      </c>
      <c r="F5405" t="s">
        <v>8348</v>
      </c>
      <c r="I5405" t="s">
        <v>9580</v>
      </c>
      <c r="J5405" t="s">
        <v>30</v>
      </c>
      <c r="K5405" t="s">
        <v>16459</v>
      </c>
      <c r="M5405" t="s">
        <v>32</v>
      </c>
      <c r="N5405" t="str">
        <f>"2/13/2007 12:00:00 AM"</f>
        <v>2/13/2007 12:00:00 AM</v>
      </c>
      <c r="O5405" t="s">
        <v>16457</v>
      </c>
      <c r="T5405" t="s">
        <v>16458</v>
      </c>
    </row>
    <row r="5406" spans="1:20" x14ac:dyDescent="0.25">
      <c r="A5406" t="str">
        <f>"3055938"</f>
        <v>3055938</v>
      </c>
      <c r="B5406" t="s">
        <v>16460</v>
      </c>
      <c r="C5406" t="str">
        <f>"73756000"</f>
        <v>73756000</v>
      </c>
      <c r="D5406" t="s">
        <v>16461</v>
      </c>
      <c r="E5406" t="s">
        <v>16462</v>
      </c>
      <c r="F5406" t="s">
        <v>8348</v>
      </c>
      <c r="I5406" t="s">
        <v>9580</v>
      </c>
      <c r="J5406" t="s">
        <v>30</v>
      </c>
      <c r="K5406" t="s">
        <v>9581</v>
      </c>
      <c r="M5406" t="s">
        <v>32</v>
      </c>
      <c r="N5406" t="str">
        <f>"6/21/2004 12:00:00 AM"</f>
        <v>6/21/2004 12:00:00 AM</v>
      </c>
      <c r="O5406" t="s">
        <v>16461</v>
      </c>
      <c r="T5406" t="s">
        <v>16462</v>
      </c>
    </row>
    <row r="5407" spans="1:20" x14ac:dyDescent="0.25">
      <c r="A5407" t="str">
        <f>"3056096"</f>
        <v>3056096</v>
      </c>
      <c r="B5407" t="s">
        <v>16463</v>
      </c>
      <c r="C5407" t="str">
        <f>"70324000"</f>
        <v>70324000</v>
      </c>
      <c r="D5407" t="s">
        <v>16464</v>
      </c>
      <c r="E5407" t="s">
        <v>16465</v>
      </c>
      <c r="F5407" t="s">
        <v>16466</v>
      </c>
      <c r="I5407" t="s">
        <v>9580</v>
      </c>
      <c r="J5407" t="s">
        <v>30</v>
      </c>
      <c r="K5407" t="s">
        <v>16467</v>
      </c>
      <c r="M5407" t="s">
        <v>32</v>
      </c>
      <c r="N5407" t="str">
        <f>"2/21/2005 12:00:00 AM"</f>
        <v>2/21/2005 12:00:00 AM</v>
      </c>
      <c r="O5407" t="s">
        <v>16464</v>
      </c>
      <c r="T5407" t="s">
        <v>16465</v>
      </c>
    </row>
    <row r="5408" spans="1:20" x14ac:dyDescent="0.25">
      <c r="A5408" t="str">
        <f>"3056537"</f>
        <v>3056537</v>
      </c>
      <c r="B5408" t="s">
        <v>16468</v>
      </c>
      <c r="C5408" t="str">
        <f>"70324000"</f>
        <v>70324000</v>
      </c>
      <c r="D5408" t="s">
        <v>16464</v>
      </c>
      <c r="E5408" t="s">
        <v>16465</v>
      </c>
      <c r="F5408" t="s">
        <v>16466</v>
      </c>
      <c r="I5408" t="s">
        <v>9580</v>
      </c>
      <c r="J5408" t="s">
        <v>30</v>
      </c>
      <c r="K5408" t="s">
        <v>16467</v>
      </c>
      <c r="M5408" t="s">
        <v>32</v>
      </c>
      <c r="N5408" t="str">
        <f>"2/21/2005 12:00:00 AM"</f>
        <v>2/21/2005 12:00:00 AM</v>
      </c>
      <c r="O5408" t="s">
        <v>16464</v>
      </c>
      <c r="T5408" t="s">
        <v>16465</v>
      </c>
    </row>
    <row r="5409" spans="1:20" x14ac:dyDescent="0.25">
      <c r="A5409" t="str">
        <f>"3078907"</f>
        <v>3078907</v>
      </c>
      <c r="B5409" t="s">
        <v>16469</v>
      </c>
      <c r="C5409" t="str">
        <f>"49996000"</f>
        <v>49996000</v>
      </c>
      <c r="D5409" t="s">
        <v>16470</v>
      </c>
      <c r="F5409" t="s">
        <v>16471</v>
      </c>
      <c r="I5409" t="s">
        <v>29</v>
      </c>
      <c r="J5409" t="s">
        <v>30</v>
      </c>
      <c r="K5409" t="s">
        <v>31</v>
      </c>
      <c r="M5409" t="s">
        <v>32</v>
      </c>
      <c r="N5409" t="str">
        <f>"2/13/2007 12:00:00 AM"</f>
        <v>2/13/2007 12:00:00 AM</v>
      </c>
      <c r="O5409" t="s">
        <v>16470</v>
      </c>
    </row>
    <row r="5410" spans="1:20" x14ac:dyDescent="0.25">
      <c r="A5410" t="str">
        <f>"3056202"</f>
        <v>3056202</v>
      </c>
      <c r="B5410" t="s">
        <v>16472</v>
      </c>
      <c r="C5410" t="str">
        <f>"39086000"</f>
        <v>39086000</v>
      </c>
      <c r="D5410" t="s">
        <v>16473</v>
      </c>
      <c r="F5410" t="s">
        <v>11324</v>
      </c>
      <c r="I5410" t="s">
        <v>16474</v>
      </c>
      <c r="J5410" t="s">
        <v>30</v>
      </c>
      <c r="K5410" t="s">
        <v>9581</v>
      </c>
      <c r="M5410" t="s">
        <v>32</v>
      </c>
      <c r="N5410" t="str">
        <f>"11/10/2003 12:00:00 AM"</f>
        <v>11/10/2003 12:00:00 AM</v>
      </c>
      <c r="O5410" t="s">
        <v>16473</v>
      </c>
    </row>
    <row r="5411" spans="1:20" x14ac:dyDescent="0.25">
      <c r="A5411" t="str">
        <f>"3055850"</f>
        <v>3055850</v>
      </c>
      <c r="B5411" t="s">
        <v>16475</v>
      </c>
      <c r="C5411" t="str">
        <f>"10484000"</f>
        <v>10484000</v>
      </c>
      <c r="D5411" t="s">
        <v>16476</v>
      </c>
      <c r="E5411" t="s">
        <v>16477</v>
      </c>
      <c r="F5411" t="s">
        <v>16478</v>
      </c>
      <c r="I5411" t="s">
        <v>9580</v>
      </c>
      <c r="J5411" t="s">
        <v>30</v>
      </c>
      <c r="K5411" t="s">
        <v>9581</v>
      </c>
      <c r="M5411" t="s">
        <v>32</v>
      </c>
      <c r="N5411" t="str">
        <f>"11/14/2002 12:00:00 AM"</f>
        <v>11/14/2002 12:00:00 AM</v>
      </c>
      <c r="O5411" t="s">
        <v>16476</v>
      </c>
      <c r="T5411" t="s">
        <v>16477</v>
      </c>
    </row>
    <row r="5412" spans="1:20" x14ac:dyDescent="0.25">
      <c r="A5412" t="str">
        <f>"3056609"</f>
        <v>3056609</v>
      </c>
      <c r="B5412" t="s">
        <v>16479</v>
      </c>
      <c r="C5412" t="str">
        <f>"4924000"</f>
        <v>4924000</v>
      </c>
      <c r="D5412" t="s">
        <v>16480</v>
      </c>
      <c r="E5412" t="s">
        <v>16481</v>
      </c>
      <c r="F5412" t="s">
        <v>16482</v>
      </c>
      <c r="I5412" t="s">
        <v>29</v>
      </c>
      <c r="J5412" t="s">
        <v>30</v>
      </c>
      <c r="K5412" t="s">
        <v>31</v>
      </c>
      <c r="M5412" t="s">
        <v>32</v>
      </c>
      <c r="N5412" t="str">
        <f>"11/14/2002 12:00:00 AM"</f>
        <v>11/14/2002 12:00:00 AM</v>
      </c>
      <c r="O5412" t="s">
        <v>16480</v>
      </c>
      <c r="T5412" t="s">
        <v>16481</v>
      </c>
    </row>
    <row r="5413" spans="1:20" x14ac:dyDescent="0.25">
      <c r="A5413" t="str">
        <f>"3064712"</f>
        <v>3064712</v>
      </c>
      <c r="B5413" t="s">
        <v>16483</v>
      </c>
      <c r="C5413" t="str">
        <f>"53302000"</f>
        <v>53302000</v>
      </c>
      <c r="D5413" t="s">
        <v>16327</v>
      </c>
      <c r="F5413" t="s">
        <v>4059</v>
      </c>
      <c r="I5413" t="s">
        <v>9580</v>
      </c>
      <c r="J5413" t="s">
        <v>30</v>
      </c>
      <c r="K5413" t="s">
        <v>9581</v>
      </c>
      <c r="M5413" t="s">
        <v>32</v>
      </c>
      <c r="N5413" t="str">
        <f>"4/28/2003 12:00:00 AM"</f>
        <v>4/28/2003 12:00:00 AM</v>
      </c>
      <c r="O5413" t="s">
        <v>16327</v>
      </c>
    </row>
    <row r="5414" spans="1:20" x14ac:dyDescent="0.25">
      <c r="A5414" t="str">
        <f>"3056870"</f>
        <v>3056870</v>
      </c>
      <c r="B5414" t="s">
        <v>16484</v>
      </c>
      <c r="C5414" t="str">
        <f>"53302000"</f>
        <v>53302000</v>
      </c>
      <c r="D5414" t="s">
        <v>16327</v>
      </c>
      <c r="F5414" t="s">
        <v>4059</v>
      </c>
      <c r="I5414" t="s">
        <v>9580</v>
      </c>
      <c r="J5414" t="s">
        <v>30</v>
      </c>
      <c r="K5414" t="s">
        <v>9581</v>
      </c>
      <c r="M5414" t="s">
        <v>32</v>
      </c>
      <c r="N5414" t="str">
        <f>"4/28/2003 12:00:00 AM"</f>
        <v>4/28/2003 12:00:00 AM</v>
      </c>
      <c r="O5414" t="s">
        <v>16327</v>
      </c>
    </row>
    <row r="5415" spans="1:20" x14ac:dyDescent="0.25">
      <c r="A5415" t="str">
        <f>"3064410"</f>
        <v>3064410</v>
      </c>
      <c r="B5415" t="s">
        <v>16485</v>
      </c>
      <c r="C5415" t="str">
        <f>"82514400"</f>
        <v>82514400</v>
      </c>
      <c r="D5415" t="s">
        <v>16486</v>
      </c>
      <c r="E5415" t="s">
        <v>16487</v>
      </c>
      <c r="F5415" t="s">
        <v>16488</v>
      </c>
      <c r="I5415" t="s">
        <v>29</v>
      </c>
      <c r="J5415" t="s">
        <v>30</v>
      </c>
      <c r="K5415" t="s">
        <v>16489</v>
      </c>
      <c r="M5415" t="s">
        <v>32</v>
      </c>
      <c r="N5415" t="str">
        <f>"2/10/2006 12:00:00 AM"</f>
        <v>2/10/2006 12:00:00 AM</v>
      </c>
      <c r="O5415" t="s">
        <v>16486</v>
      </c>
      <c r="T5415" t="s">
        <v>16487</v>
      </c>
    </row>
    <row r="5416" spans="1:20" x14ac:dyDescent="0.25">
      <c r="A5416" t="str">
        <f>"3056308"</f>
        <v>3056308</v>
      </c>
      <c r="B5416" t="s">
        <v>16490</v>
      </c>
      <c r="C5416" t="str">
        <f>"45120000"</f>
        <v>45120000</v>
      </c>
      <c r="D5416" t="s">
        <v>16491</v>
      </c>
      <c r="E5416" t="s">
        <v>16492</v>
      </c>
      <c r="F5416" t="s">
        <v>16349</v>
      </c>
      <c r="I5416" t="s">
        <v>9580</v>
      </c>
      <c r="J5416" t="s">
        <v>30</v>
      </c>
      <c r="K5416" t="s">
        <v>16493</v>
      </c>
      <c r="M5416" t="s">
        <v>32</v>
      </c>
      <c r="N5416" t="str">
        <f>"1/31/2006 12:00:00 AM"</f>
        <v>1/31/2006 12:00:00 AM</v>
      </c>
      <c r="O5416" t="s">
        <v>16491</v>
      </c>
      <c r="T5416" t="s">
        <v>16492</v>
      </c>
    </row>
    <row r="5417" spans="1:20" x14ac:dyDescent="0.25">
      <c r="A5417" t="str">
        <f>"3056710"</f>
        <v>3056710</v>
      </c>
      <c r="B5417" t="s">
        <v>16494</v>
      </c>
      <c r="C5417" t="str">
        <f>"9772000"</f>
        <v>9772000</v>
      </c>
      <c r="D5417" t="s">
        <v>16495</v>
      </c>
      <c r="E5417" t="s">
        <v>16496</v>
      </c>
      <c r="F5417" t="s">
        <v>16497</v>
      </c>
      <c r="I5417" t="s">
        <v>29</v>
      </c>
      <c r="J5417" t="s">
        <v>30</v>
      </c>
      <c r="K5417" t="s">
        <v>16498</v>
      </c>
      <c r="M5417" t="s">
        <v>32</v>
      </c>
      <c r="N5417" t="str">
        <f>"1/3/2006 12:00:00 AM"</f>
        <v>1/3/2006 12:00:00 AM</v>
      </c>
      <c r="O5417" t="s">
        <v>16495</v>
      </c>
      <c r="T5417" t="s">
        <v>16496</v>
      </c>
    </row>
    <row r="5418" spans="1:20" x14ac:dyDescent="0.25">
      <c r="A5418" t="str">
        <f>"3056273"</f>
        <v>3056273</v>
      </c>
      <c r="B5418" t="s">
        <v>16499</v>
      </c>
      <c r="C5418" t="str">
        <f>"9772000"</f>
        <v>9772000</v>
      </c>
      <c r="D5418" t="s">
        <v>16495</v>
      </c>
      <c r="E5418" t="s">
        <v>16496</v>
      </c>
      <c r="F5418" t="s">
        <v>16497</v>
      </c>
      <c r="I5418" t="s">
        <v>29</v>
      </c>
      <c r="J5418" t="s">
        <v>30</v>
      </c>
      <c r="K5418" t="s">
        <v>16498</v>
      </c>
      <c r="M5418" t="s">
        <v>32</v>
      </c>
      <c r="N5418" t="str">
        <f>"1/3/2006 12:00:00 AM"</f>
        <v>1/3/2006 12:00:00 AM</v>
      </c>
      <c r="O5418" t="s">
        <v>16495</v>
      </c>
      <c r="T5418" t="s">
        <v>16496</v>
      </c>
    </row>
    <row r="5419" spans="1:20" x14ac:dyDescent="0.25">
      <c r="A5419" t="str">
        <f>"3056225"</f>
        <v>3056225</v>
      </c>
      <c r="B5419" t="s">
        <v>16500</v>
      </c>
      <c r="C5419" t="str">
        <f>"9772000"</f>
        <v>9772000</v>
      </c>
      <c r="D5419" t="s">
        <v>16495</v>
      </c>
      <c r="E5419" t="s">
        <v>16496</v>
      </c>
      <c r="F5419" t="s">
        <v>16497</v>
      </c>
      <c r="I5419" t="s">
        <v>29</v>
      </c>
      <c r="J5419" t="s">
        <v>30</v>
      </c>
      <c r="K5419" t="s">
        <v>16498</v>
      </c>
      <c r="M5419" t="s">
        <v>32</v>
      </c>
      <c r="N5419" t="str">
        <f>"1/3/2006 12:00:00 AM"</f>
        <v>1/3/2006 12:00:00 AM</v>
      </c>
      <c r="O5419" t="s">
        <v>16495</v>
      </c>
      <c r="T5419" t="s">
        <v>16496</v>
      </c>
    </row>
    <row r="5420" spans="1:20" x14ac:dyDescent="0.25">
      <c r="A5420" t="str">
        <f>"3056678"</f>
        <v>3056678</v>
      </c>
      <c r="B5420" t="s">
        <v>16501</v>
      </c>
      <c r="C5420" t="str">
        <f>"82523793"</f>
        <v>82523793</v>
      </c>
      <c r="D5420" t="s">
        <v>16502</v>
      </c>
      <c r="F5420" t="s">
        <v>16503</v>
      </c>
      <c r="I5420" t="s">
        <v>29</v>
      </c>
      <c r="J5420" t="s">
        <v>30</v>
      </c>
      <c r="K5420" t="s">
        <v>31</v>
      </c>
      <c r="N5420" t="str">
        <f>"1/26/2005 12:00:00 AM"</f>
        <v>1/26/2005 12:00:00 AM</v>
      </c>
      <c r="O5420" t="s">
        <v>16502</v>
      </c>
    </row>
    <row r="5421" spans="1:20" x14ac:dyDescent="0.25">
      <c r="A5421" t="str">
        <f>"3056634"</f>
        <v>3056634</v>
      </c>
      <c r="B5421" t="s">
        <v>16504</v>
      </c>
      <c r="C5421" t="str">
        <f>"82530150"</f>
        <v>82530150</v>
      </c>
      <c r="D5421" t="s">
        <v>16505</v>
      </c>
      <c r="F5421" t="s">
        <v>16506</v>
      </c>
      <c r="I5421" t="s">
        <v>29</v>
      </c>
      <c r="J5421" t="s">
        <v>30</v>
      </c>
      <c r="K5421" t="s">
        <v>31</v>
      </c>
      <c r="M5421" t="s">
        <v>32</v>
      </c>
      <c r="N5421" t="str">
        <f>"10/6/2008 12:00:00 AM"</f>
        <v>10/6/2008 12:00:00 AM</v>
      </c>
      <c r="O5421" t="s">
        <v>16505</v>
      </c>
    </row>
    <row r="5422" spans="1:20" x14ac:dyDescent="0.25">
      <c r="A5422" t="str">
        <f>"3056555"</f>
        <v>3056555</v>
      </c>
      <c r="B5422" t="s">
        <v>16507</v>
      </c>
      <c r="C5422" t="str">
        <f>"31439500"</f>
        <v>31439500</v>
      </c>
      <c r="D5422" t="s">
        <v>16508</v>
      </c>
      <c r="E5422" t="s">
        <v>16509</v>
      </c>
      <c r="F5422" t="s">
        <v>16510</v>
      </c>
      <c r="I5422" t="s">
        <v>29</v>
      </c>
      <c r="J5422" t="s">
        <v>30</v>
      </c>
      <c r="K5422" t="s">
        <v>31</v>
      </c>
      <c r="M5422" t="s">
        <v>32</v>
      </c>
      <c r="N5422" t="str">
        <f>"9/9/2003 12:00:00 AM"</f>
        <v>9/9/2003 12:00:00 AM</v>
      </c>
      <c r="O5422" t="s">
        <v>16508</v>
      </c>
      <c r="T5422" t="s">
        <v>16509</v>
      </c>
    </row>
    <row r="5423" spans="1:20" x14ac:dyDescent="0.25">
      <c r="A5423" t="str">
        <f>"3056651"</f>
        <v>3056651</v>
      </c>
      <c r="B5423" t="s">
        <v>16511</v>
      </c>
      <c r="C5423" t="str">
        <f>"57249500"</f>
        <v>57249500</v>
      </c>
      <c r="D5423" t="s">
        <v>16512</v>
      </c>
      <c r="E5423" t="s">
        <v>16513</v>
      </c>
      <c r="F5423" t="s">
        <v>16514</v>
      </c>
      <c r="I5423" t="s">
        <v>29</v>
      </c>
      <c r="J5423" t="s">
        <v>30</v>
      </c>
      <c r="K5423" t="s">
        <v>31</v>
      </c>
      <c r="M5423" t="s">
        <v>32</v>
      </c>
      <c r="N5423" t="str">
        <f>"4/1/2004 12:00:00 AM"</f>
        <v>4/1/2004 12:00:00 AM</v>
      </c>
      <c r="O5423" t="s">
        <v>16512</v>
      </c>
      <c r="T5423" t="s">
        <v>16513</v>
      </c>
    </row>
    <row r="5424" spans="1:20" x14ac:dyDescent="0.25">
      <c r="A5424" t="str">
        <f>"3056356"</f>
        <v>3056356</v>
      </c>
      <c r="B5424" t="s">
        <v>16515</v>
      </c>
      <c r="C5424" t="str">
        <f>"45120000"</f>
        <v>45120000</v>
      </c>
      <c r="D5424" t="s">
        <v>16491</v>
      </c>
      <c r="E5424" t="s">
        <v>16492</v>
      </c>
      <c r="F5424" t="s">
        <v>16349</v>
      </c>
      <c r="I5424" t="s">
        <v>9580</v>
      </c>
      <c r="J5424" t="s">
        <v>30</v>
      </c>
      <c r="K5424" t="s">
        <v>16493</v>
      </c>
      <c r="M5424" t="s">
        <v>32</v>
      </c>
      <c r="N5424" t="str">
        <f>"1/31/2006 12:00:00 AM"</f>
        <v>1/31/2006 12:00:00 AM</v>
      </c>
      <c r="O5424" t="s">
        <v>16491</v>
      </c>
      <c r="T5424" t="s">
        <v>16492</v>
      </c>
    </row>
    <row r="5425" spans="1:20" x14ac:dyDescent="0.25">
      <c r="A5425" t="str">
        <f>"3056394"</f>
        <v>3056394</v>
      </c>
      <c r="B5425" t="s">
        <v>16516</v>
      </c>
      <c r="C5425" t="str">
        <f>"45120000"</f>
        <v>45120000</v>
      </c>
      <c r="D5425" t="s">
        <v>16491</v>
      </c>
      <c r="E5425" t="s">
        <v>16492</v>
      </c>
      <c r="F5425" t="s">
        <v>16349</v>
      </c>
      <c r="I5425" t="s">
        <v>9580</v>
      </c>
      <c r="J5425" t="s">
        <v>30</v>
      </c>
      <c r="K5425" t="s">
        <v>16493</v>
      </c>
      <c r="M5425" t="s">
        <v>32</v>
      </c>
      <c r="N5425" t="str">
        <f>"1/31/2006 12:00:00 AM"</f>
        <v>1/31/2006 12:00:00 AM</v>
      </c>
      <c r="O5425" t="s">
        <v>16491</v>
      </c>
      <c r="T5425" t="s">
        <v>16492</v>
      </c>
    </row>
    <row r="5426" spans="1:20" x14ac:dyDescent="0.25">
      <c r="A5426" t="str">
        <f>"3056554"</f>
        <v>3056554</v>
      </c>
      <c r="B5426" t="s">
        <v>16517</v>
      </c>
      <c r="C5426" t="str">
        <f>"82527051"</f>
        <v>82527051</v>
      </c>
      <c r="D5426" t="s">
        <v>16518</v>
      </c>
      <c r="E5426" t="s">
        <v>16519</v>
      </c>
      <c r="F5426" t="s">
        <v>16520</v>
      </c>
      <c r="I5426" t="s">
        <v>9580</v>
      </c>
      <c r="J5426" t="s">
        <v>30</v>
      </c>
      <c r="K5426" t="s">
        <v>16521</v>
      </c>
      <c r="M5426" t="s">
        <v>32</v>
      </c>
      <c r="N5426" t="str">
        <f>"1/17/2007 12:00:00 AM"</f>
        <v>1/17/2007 12:00:00 AM</v>
      </c>
      <c r="O5426" t="s">
        <v>16518</v>
      </c>
      <c r="T5426" t="s">
        <v>16519</v>
      </c>
    </row>
    <row r="5427" spans="1:20" x14ac:dyDescent="0.25">
      <c r="A5427" t="str">
        <f>"3056654"</f>
        <v>3056654</v>
      </c>
      <c r="B5427" t="s">
        <v>16522</v>
      </c>
      <c r="C5427" t="str">
        <f>"82524496"</f>
        <v>82524496</v>
      </c>
      <c r="D5427" t="s">
        <v>16523</v>
      </c>
      <c r="E5427" t="s">
        <v>16524</v>
      </c>
      <c r="F5427" t="s">
        <v>16525</v>
      </c>
      <c r="I5427" t="s">
        <v>29</v>
      </c>
      <c r="J5427" t="s">
        <v>30</v>
      </c>
      <c r="K5427" t="s">
        <v>16526</v>
      </c>
      <c r="M5427" t="s">
        <v>32</v>
      </c>
      <c r="N5427" t="str">
        <f>"2/2/2006 12:00:00 AM"</f>
        <v>2/2/2006 12:00:00 AM</v>
      </c>
      <c r="O5427" t="s">
        <v>16523</v>
      </c>
      <c r="T5427" t="s">
        <v>16524</v>
      </c>
    </row>
    <row r="5428" spans="1:20" x14ac:dyDescent="0.25">
      <c r="A5428" t="str">
        <f>"3056458"</f>
        <v>3056458</v>
      </c>
      <c r="B5428" t="s">
        <v>16527</v>
      </c>
      <c r="C5428" t="str">
        <f>"82516920"</f>
        <v>82516920</v>
      </c>
      <c r="D5428" t="s">
        <v>16528</v>
      </c>
      <c r="E5428" t="s">
        <v>16529</v>
      </c>
      <c r="F5428" t="s">
        <v>16530</v>
      </c>
      <c r="I5428" t="s">
        <v>29</v>
      </c>
      <c r="J5428" t="s">
        <v>30</v>
      </c>
      <c r="K5428" t="s">
        <v>31</v>
      </c>
      <c r="M5428" t="s">
        <v>32</v>
      </c>
      <c r="N5428" t="str">
        <f>"8/3/2001 12:00:00 AM"</f>
        <v>8/3/2001 12:00:00 AM</v>
      </c>
      <c r="O5428" t="s">
        <v>16528</v>
      </c>
      <c r="T5428" t="s">
        <v>16529</v>
      </c>
    </row>
    <row r="5429" spans="1:20" x14ac:dyDescent="0.25">
      <c r="A5429" t="str">
        <f>"3078562"</f>
        <v>3078562</v>
      </c>
      <c r="B5429" t="s">
        <v>16531</v>
      </c>
      <c r="C5429" t="str">
        <f>"11715000"</f>
        <v>11715000</v>
      </c>
      <c r="D5429" t="s">
        <v>16532</v>
      </c>
      <c r="F5429" t="s">
        <v>16533</v>
      </c>
      <c r="I5429" t="s">
        <v>29</v>
      </c>
      <c r="J5429" t="s">
        <v>30</v>
      </c>
      <c r="K5429" t="s">
        <v>16534</v>
      </c>
      <c r="M5429" t="s">
        <v>32</v>
      </c>
      <c r="N5429" t="str">
        <f>"1/18/2005 12:00:00 AM"</f>
        <v>1/18/2005 12:00:00 AM</v>
      </c>
      <c r="O5429" t="s">
        <v>16532</v>
      </c>
    </row>
    <row r="5430" spans="1:20" x14ac:dyDescent="0.25">
      <c r="A5430" t="str">
        <f>"3069284"</f>
        <v>3069284</v>
      </c>
      <c r="B5430" t="s">
        <v>16535</v>
      </c>
      <c r="C5430" t="str">
        <f>"82523768"</f>
        <v>82523768</v>
      </c>
      <c r="D5430" t="s">
        <v>15587</v>
      </c>
      <c r="F5430" t="s">
        <v>15577</v>
      </c>
      <c r="I5430" t="s">
        <v>29</v>
      </c>
      <c r="J5430" t="s">
        <v>30</v>
      </c>
      <c r="K5430" t="s">
        <v>31</v>
      </c>
      <c r="M5430" t="s">
        <v>32</v>
      </c>
      <c r="N5430" t="str">
        <f>"1/24/2005 12:00:00 AM"</f>
        <v>1/24/2005 12:00:00 AM</v>
      </c>
      <c r="O5430" t="s">
        <v>15587</v>
      </c>
    </row>
    <row r="5431" spans="1:20" x14ac:dyDescent="0.25">
      <c r="A5431" t="str">
        <f>"3069282"</f>
        <v>3069282</v>
      </c>
      <c r="B5431" t="s">
        <v>16536</v>
      </c>
      <c r="C5431" t="str">
        <f>"82523769"</f>
        <v>82523769</v>
      </c>
      <c r="D5431" t="s">
        <v>15586</v>
      </c>
      <c r="F5431" t="s">
        <v>15577</v>
      </c>
      <c r="I5431" t="s">
        <v>29</v>
      </c>
      <c r="J5431" t="s">
        <v>30</v>
      </c>
      <c r="K5431" t="s">
        <v>16537</v>
      </c>
      <c r="M5431" t="s">
        <v>32</v>
      </c>
      <c r="N5431" t="str">
        <f>"1/24/2005 12:00:00 AM"</f>
        <v>1/24/2005 12:00:00 AM</v>
      </c>
      <c r="O5431" t="s">
        <v>15586</v>
      </c>
    </row>
    <row r="5432" spans="1:20" x14ac:dyDescent="0.25">
      <c r="A5432" t="str">
        <f>"3067373"</f>
        <v>3067373</v>
      </c>
      <c r="B5432" t="s">
        <v>16538</v>
      </c>
      <c r="C5432" t="str">
        <f>"82524511"</f>
        <v>82524511</v>
      </c>
      <c r="D5432" t="s">
        <v>16539</v>
      </c>
      <c r="E5432" t="s">
        <v>16540</v>
      </c>
      <c r="F5432" t="s">
        <v>16541</v>
      </c>
      <c r="I5432" t="s">
        <v>29</v>
      </c>
      <c r="J5432" t="s">
        <v>30</v>
      </c>
      <c r="K5432" t="s">
        <v>16542</v>
      </c>
      <c r="M5432" t="s">
        <v>32</v>
      </c>
      <c r="N5432" t="str">
        <f>"1/14/2010 12:00:00 AM"</f>
        <v>1/14/2010 12:00:00 AM</v>
      </c>
      <c r="O5432" t="s">
        <v>16539</v>
      </c>
      <c r="T5432" t="s">
        <v>16540</v>
      </c>
    </row>
    <row r="5433" spans="1:20" x14ac:dyDescent="0.25">
      <c r="A5433" t="str">
        <f>"3056387"</f>
        <v>3056387</v>
      </c>
      <c r="B5433" t="s">
        <v>16543</v>
      </c>
      <c r="C5433" t="str">
        <f>"82524511"</f>
        <v>82524511</v>
      </c>
      <c r="D5433" t="s">
        <v>16539</v>
      </c>
      <c r="E5433" t="s">
        <v>16540</v>
      </c>
      <c r="F5433" t="s">
        <v>16541</v>
      </c>
      <c r="I5433" t="s">
        <v>29</v>
      </c>
      <c r="J5433" t="s">
        <v>30</v>
      </c>
      <c r="K5433" t="s">
        <v>16542</v>
      </c>
      <c r="M5433" t="s">
        <v>32</v>
      </c>
      <c r="N5433" t="str">
        <f>"1/14/2010 12:00:00 AM"</f>
        <v>1/14/2010 12:00:00 AM</v>
      </c>
      <c r="O5433" t="s">
        <v>16539</v>
      </c>
      <c r="T5433" t="s">
        <v>16540</v>
      </c>
    </row>
    <row r="5434" spans="1:20" x14ac:dyDescent="0.25">
      <c r="A5434" t="str">
        <f>"3069562"</f>
        <v>3069562</v>
      </c>
      <c r="B5434" t="s">
        <v>16544</v>
      </c>
      <c r="C5434" t="str">
        <f>"79881000"</f>
        <v>79881000</v>
      </c>
      <c r="D5434" t="s">
        <v>16545</v>
      </c>
      <c r="F5434" t="s">
        <v>16546</v>
      </c>
      <c r="I5434" t="s">
        <v>29</v>
      </c>
      <c r="J5434" t="s">
        <v>30</v>
      </c>
      <c r="K5434" t="s">
        <v>16542</v>
      </c>
      <c r="M5434" t="s">
        <v>32</v>
      </c>
      <c r="N5434" t="str">
        <f>"1/9/2006 12:00:00 AM"</f>
        <v>1/9/2006 12:00:00 AM</v>
      </c>
      <c r="O5434" t="s">
        <v>16545</v>
      </c>
    </row>
    <row r="5435" spans="1:20" x14ac:dyDescent="0.25">
      <c r="A5435" t="str">
        <f>"3055568"</f>
        <v>3055568</v>
      </c>
      <c r="B5435" t="s">
        <v>16547</v>
      </c>
      <c r="C5435" t="str">
        <f>"36774000"</f>
        <v>36774000</v>
      </c>
      <c r="D5435" t="s">
        <v>16548</v>
      </c>
      <c r="F5435" t="s">
        <v>16549</v>
      </c>
      <c r="I5435" t="s">
        <v>29</v>
      </c>
      <c r="J5435" t="s">
        <v>30</v>
      </c>
      <c r="K5435" t="s">
        <v>16537</v>
      </c>
      <c r="M5435" t="s">
        <v>32</v>
      </c>
      <c r="N5435" t="str">
        <f>"1/26/2006 12:00:00 AM"</f>
        <v>1/26/2006 12:00:00 AM</v>
      </c>
      <c r="O5435" t="s">
        <v>16548</v>
      </c>
    </row>
    <row r="5436" spans="1:20" x14ac:dyDescent="0.25">
      <c r="A5436" t="str">
        <f>"3055488"</f>
        <v>3055488</v>
      </c>
      <c r="B5436" t="s">
        <v>16550</v>
      </c>
      <c r="C5436" t="str">
        <f>"9313870"</f>
        <v>9313870</v>
      </c>
      <c r="D5436" t="s">
        <v>16551</v>
      </c>
      <c r="F5436" t="s">
        <v>16552</v>
      </c>
      <c r="G5436" t="s">
        <v>16553</v>
      </c>
      <c r="I5436" t="s">
        <v>1176</v>
      </c>
      <c r="J5436" t="s">
        <v>30</v>
      </c>
      <c r="K5436" t="s">
        <v>1177</v>
      </c>
      <c r="M5436" t="s">
        <v>32</v>
      </c>
      <c r="N5436" t="str">
        <f>"6/6/2003 12:00:00 AM"</f>
        <v>6/6/2003 12:00:00 AM</v>
      </c>
      <c r="O5436" t="s">
        <v>16551</v>
      </c>
    </row>
    <row r="5437" spans="1:20" x14ac:dyDescent="0.25">
      <c r="A5437" t="str">
        <f>"3055700"</f>
        <v>3055700</v>
      </c>
      <c r="B5437" t="s">
        <v>16554</v>
      </c>
      <c r="C5437" t="str">
        <f>"54875000"</f>
        <v>54875000</v>
      </c>
      <c r="D5437" t="s">
        <v>16555</v>
      </c>
      <c r="F5437" t="s">
        <v>16556</v>
      </c>
      <c r="I5437" t="s">
        <v>29</v>
      </c>
      <c r="J5437" t="s">
        <v>30</v>
      </c>
      <c r="K5437" t="s">
        <v>31</v>
      </c>
      <c r="M5437" t="s">
        <v>32</v>
      </c>
      <c r="N5437" t="str">
        <f>"11/13/2002 12:00:00 AM"</f>
        <v>11/13/2002 12:00:00 AM</v>
      </c>
      <c r="O5437" t="s">
        <v>16555</v>
      </c>
    </row>
    <row r="5438" spans="1:20" x14ac:dyDescent="0.25">
      <c r="A5438" t="str">
        <f>"3056733"</f>
        <v>3056733</v>
      </c>
      <c r="B5438" t="s">
        <v>16557</v>
      </c>
      <c r="C5438" t="str">
        <f>"82517306"</f>
        <v>82517306</v>
      </c>
      <c r="D5438" t="s">
        <v>16558</v>
      </c>
      <c r="F5438" t="s">
        <v>16559</v>
      </c>
      <c r="I5438" t="s">
        <v>29</v>
      </c>
      <c r="J5438" t="s">
        <v>30</v>
      </c>
      <c r="K5438" t="s">
        <v>16560</v>
      </c>
      <c r="M5438" t="s">
        <v>32</v>
      </c>
      <c r="N5438" t="str">
        <f>"1/9/2009 12:00:00 AM"</f>
        <v>1/9/2009 12:00:00 AM</v>
      </c>
      <c r="O5438" t="s">
        <v>16558</v>
      </c>
    </row>
    <row r="5439" spans="1:20" x14ac:dyDescent="0.25">
      <c r="A5439" t="str">
        <f>"3056696"</f>
        <v>3056696</v>
      </c>
      <c r="B5439" t="s">
        <v>16561</v>
      </c>
      <c r="C5439" t="str">
        <f>"82519344"</f>
        <v>82519344</v>
      </c>
      <c r="D5439" t="s">
        <v>16562</v>
      </c>
      <c r="E5439" t="s">
        <v>16563</v>
      </c>
      <c r="F5439" t="s">
        <v>16564</v>
      </c>
      <c r="I5439" t="s">
        <v>29</v>
      </c>
      <c r="J5439" t="s">
        <v>30</v>
      </c>
      <c r="K5439" t="s">
        <v>31</v>
      </c>
      <c r="M5439" t="s">
        <v>32</v>
      </c>
      <c r="N5439" t="str">
        <f>"8/26/2002 12:00:00 AM"</f>
        <v>8/26/2002 12:00:00 AM</v>
      </c>
      <c r="O5439" t="s">
        <v>16562</v>
      </c>
      <c r="T5439" t="s">
        <v>16563</v>
      </c>
    </row>
    <row r="5440" spans="1:20" x14ac:dyDescent="0.25">
      <c r="A5440" t="str">
        <f>"3056693"</f>
        <v>3056693</v>
      </c>
      <c r="B5440" t="s">
        <v>16565</v>
      </c>
      <c r="C5440" t="str">
        <f>"45492000"</f>
        <v>45492000</v>
      </c>
      <c r="D5440" t="s">
        <v>16566</v>
      </c>
      <c r="E5440" t="s">
        <v>16567</v>
      </c>
      <c r="F5440" t="s">
        <v>16568</v>
      </c>
      <c r="I5440" t="s">
        <v>29</v>
      </c>
      <c r="J5440" t="s">
        <v>30</v>
      </c>
      <c r="K5440" t="s">
        <v>31</v>
      </c>
      <c r="M5440" t="s">
        <v>32</v>
      </c>
      <c r="N5440" t="str">
        <f>"12/15/2003 12:00:00 AM"</f>
        <v>12/15/2003 12:00:00 AM</v>
      </c>
      <c r="O5440" t="s">
        <v>16566</v>
      </c>
      <c r="T5440" t="s">
        <v>16567</v>
      </c>
    </row>
    <row r="5441" spans="1:20" x14ac:dyDescent="0.25">
      <c r="A5441" t="str">
        <f>"3056295"</f>
        <v>3056295</v>
      </c>
      <c r="B5441" t="s">
        <v>16569</v>
      </c>
      <c r="C5441" t="str">
        <f>"45492000"</f>
        <v>45492000</v>
      </c>
      <c r="D5441" t="s">
        <v>16566</v>
      </c>
      <c r="E5441" t="s">
        <v>16567</v>
      </c>
      <c r="F5441" t="s">
        <v>16568</v>
      </c>
      <c r="I5441" t="s">
        <v>29</v>
      </c>
      <c r="J5441" t="s">
        <v>30</v>
      </c>
      <c r="K5441" t="s">
        <v>31</v>
      </c>
      <c r="M5441" t="s">
        <v>32</v>
      </c>
      <c r="N5441" t="str">
        <f>"12/15/2003 12:00:00 AM"</f>
        <v>12/15/2003 12:00:00 AM</v>
      </c>
      <c r="O5441" t="s">
        <v>16566</v>
      </c>
      <c r="T5441" t="s">
        <v>16567</v>
      </c>
    </row>
    <row r="5442" spans="1:20" x14ac:dyDescent="0.25">
      <c r="A5442" t="str">
        <f>"3055777"</f>
        <v>3055777</v>
      </c>
      <c r="B5442" t="s">
        <v>16570</v>
      </c>
      <c r="C5442" t="str">
        <f>"82523263"</f>
        <v>82523263</v>
      </c>
      <c r="D5442" t="s">
        <v>16571</v>
      </c>
      <c r="E5442" t="s">
        <v>16572</v>
      </c>
      <c r="F5442" t="s">
        <v>16573</v>
      </c>
      <c r="I5442" t="s">
        <v>9580</v>
      </c>
      <c r="J5442" t="s">
        <v>30</v>
      </c>
      <c r="K5442" t="s">
        <v>9581</v>
      </c>
      <c r="M5442" t="s">
        <v>32</v>
      </c>
      <c r="N5442" t="str">
        <f>"8/18/2008 12:00:00 AM"</f>
        <v>8/18/2008 12:00:00 AM</v>
      </c>
      <c r="O5442" t="s">
        <v>16571</v>
      </c>
      <c r="T5442" t="s">
        <v>16572</v>
      </c>
    </row>
    <row r="5443" spans="1:20" x14ac:dyDescent="0.25">
      <c r="A5443" t="str">
        <f>"3055946"</f>
        <v>3055946</v>
      </c>
      <c r="B5443" t="s">
        <v>16574</v>
      </c>
      <c r="C5443" t="str">
        <f>"54337950"</f>
        <v>54337950</v>
      </c>
      <c r="D5443" t="s">
        <v>16575</v>
      </c>
      <c r="E5443" t="s">
        <v>16576</v>
      </c>
      <c r="F5443" t="s">
        <v>16577</v>
      </c>
      <c r="I5443" t="s">
        <v>9580</v>
      </c>
      <c r="J5443" t="s">
        <v>30</v>
      </c>
      <c r="K5443" t="s">
        <v>16578</v>
      </c>
      <c r="M5443" t="s">
        <v>32</v>
      </c>
      <c r="N5443" t="str">
        <f>"8/26/2011 12:00:00 AM"</f>
        <v>8/26/2011 12:00:00 AM</v>
      </c>
      <c r="O5443" t="s">
        <v>16575</v>
      </c>
      <c r="T5443" t="s">
        <v>16576</v>
      </c>
    </row>
    <row r="5444" spans="1:20" x14ac:dyDescent="0.25">
      <c r="A5444" t="str">
        <f>"3055863"</f>
        <v>3055863</v>
      </c>
      <c r="B5444" t="s">
        <v>16579</v>
      </c>
      <c r="C5444" t="str">
        <f>"82513232"</f>
        <v>82513232</v>
      </c>
      <c r="D5444" t="s">
        <v>16580</v>
      </c>
      <c r="E5444" t="s">
        <v>16581</v>
      </c>
      <c r="F5444" t="s">
        <v>16582</v>
      </c>
      <c r="I5444" t="s">
        <v>9580</v>
      </c>
      <c r="J5444" t="s">
        <v>30</v>
      </c>
      <c r="K5444" t="s">
        <v>9581</v>
      </c>
      <c r="M5444" t="s">
        <v>32</v>
      </c>
      <c r="N5444" t="str">
        <f>"9/14/2009 12:00:00 AM"</f>
        <v>9/14/2009 12:00:00 AM</v>
      </c>
      <c r="O5444" t="s">
        <v>16580</v>
      </c>
      <c r="T5444" t="s">
        <v>16581</v>
      </c>
    </row>
    <row r="5445" spans="1:20" x14ac:dyDescent="0.25">
      <c r="A5445" t="str">
        <f>"3055841"</f>
        <v>3055841</v>
      </c>
      <c r="B5445" t="s">
        <v>16583</v>
      </c>
      <c r="C5445" t="str">
        <f>"77226000"</f>
        <v>77226000</v>
      </c>
      <c r="D5445" t="s">
        <v>16584</v>
      </c>
      <c r="F5445" t="s">
        <v>7550</v>
      </c>
      <c r="I5445" t="s">
        <v>9580</v>
      </c>
      <c r="J5445" t="s">
        <v>30</v>
      </c>
      <c r="K5445" t="s">
        <v>9581</v>
      </c>
      <c r="M5445" t="s">
        <v>32</v>
      </c>
      <c r="N5445" t="str">
        <f>"6/25/2004 12:00:00 AM"</f>
        <v>6/25/2004 12:00:00 AM</v>
      </c>
      <c r="O5445" t="s">
        <v>16584</v>
      </c>
    </row>
    <row r="5446" spans="1:20" x14ac:dyDescent="0.25">
      <c r="A5446" t="str">
        <f>"3054723"</f>
        <v>3054723</v>
      </c>
      <c r="B5446" t="s">
        <v>16585</v>
      </c>
      <c r="C5446" t="str">
        <f>"82522015"</f>
        <v>82522015</v>
      </c>
      <c r="D5446" t="s">
        <v>16586</v>
      </c>
      <c r="F5446" t="s">
        <v>16587</v>
      </c>
      <c r="I5446" t="s">
        <v>16588</v>
      </c>
      <c r="J5446" t="s">
        <v>1046</v>
      </c>
      <c r="K5446" t="s">
        <v>16589</v>
      </c>
      <c r="M5446" t="s">
        <v>32</v>
      </c>
      <c r="N5446" t="str">
        <f>"3/25/2004 12:00:00 AM"</f>
        <v>3/25/2004 12:00:00 AM</v>
      </c>
      <c r="O5446" t="s">
        <v>16586</v>
      </c>
    </row>
    <row r="5447" spans="1:20" x14ac:dyDescent="0.25">
      <c r="A5447" t="str">
        <f>"3054807"</f>
        <v>3054807</v>
      </c>
      <c r="B5447" t="s">
        <v>16590</v>
      </c>
      <c r="C5447" t="str">
        <f>"82529887"</f>
        <v>82529887</v>
      </c>
      <c r="D5447" t="s">
        <v>16591</v>
      </c>
      <c r="E5447" t="s">
        <v>16592</v>
      </c>
      <c r="F5447" t="s">
        <v>16593</v>
      </c>
      <c r="I5447" t="s">
        <v>184</v>
      </c>
      <c r="J5447" t="s">
        <v>30</v>
      </c>
      <c r="K5447" t="s">
        <v>185</v>
      </c>
      <c r="M5447" t="s">
        <v>32</v>
      </c>
      <c r="N5447" t="str">
        <f>"7/21/2008 12:00:00 AM"</f>
        <v>7/21/2008 12:00:00 AM</v>
      </c>
      <c r="O5447" t="s">
        <v>16591</v>
      </c>
      <c r="T5447" t="s">
        <v>16592</v>
      </c>
    </row>
    <row r="5448" spans="1:20" x14ac:dyDescent="0.25">
      <c r="A5448" t="str">
        <f>"3055390"</f>
        <v>3055390</v>
      </c>
      <c r="B5448" t="s">
        <v>16594</v>
      </c>
      <c r="C5448" t="str">
        <f>"5142620"</f>
        <v>5142620</v>
      </c>
      <c r="D5448" t="s">
        <v>16595</v>
      </c>
      <c r="E5448" t="s">
        <v>16596</v>
      </c>
      <c r="F5448" t="s">
        <v>16597</v>
      </c>
      <c r="I5448" t="s">
        <v>29</v>
      </c>
      <c r="J5448" t="s">
        <v>30</v>
      </c>
      <c r="K5448" t="s">
        <v>31</v>
      </c>
      <c r="M5448" t="s">
        <v>32</v>
      </c>
      <c r="N5448" t="str">
        <f>"1/7/2008 12:00:00 AM"</f>
        <v>1/7/2008 12:00:00 AM</v>
      </c>
      <c r="O5448" t="s">
        <v>16595</v>
      </c>
      <c r="T5448" t="s">
        <v>16596</v>
      </c>
    </row>
    <row r="5449" spans="1:20" x14ac:dyDescent="0.25">
      <c r="A5449" t="str">
        <f>"3055616"</f>
        <v>3055616</v>
      </c>
      <c r="B5449" t="s">
        <v>16598</v>
      </c>
      <c r="C5449" t="str">
        <f>"5142620"</f>
        <v>5142620</v>
      </c>
      <c r="D5449" t="s">
        <v>16595</v>
      </c>
      <c r="E5449" t="s">
        <v>16596</v>
      </c>
      <c r="F5449" t="s">
        <v>16597</v>
      </c>
      <c r="I5449" t="s">
        <v>29</v>
      </c>
      <c r="J5449" t="s">
        <v>30</v>
      </c>
      <c r="K5449" t="s">
        <v>31</v>
      </c>
      <c r="M5449" t="s">
        <v>32</v>
      </c>
      <c r="N5449" t="str">
        <f>"1/7/2008 12:00:00 AM"</f>
        <v>1/7/2008 12:00:00 AM</v>
      </c>
      <c r="O5449" t="s">
        <v>16595</v>
      </c>
      <c r="T5449" t="s">
        <v>16596</v>
      </c>
    </row>
    <row r="5450" spans="1:20" x14ac:dyDescent="0.25">
      <c r="A5450" t="str">
        <f>"3055789"</f>
        <v>3055789</v>
      </c>
      <c r="B5450" t="s">
        <v>16599</v>
      </c>
      <c r="C5450" t="str">
        <f>"48168000"</f>
        <v>48168000</v>
      </c>
      <c r="D5450" t="s">
        <v>16600</v>
      </c>
      <c r="F5450" t="s">
        <v>15847</v>
      </c>
      <c r="I5450" t="s">
        <v>9580</v>
      </c>
      <c r="J5450" t="s">
        <v>30</v>
      </c>
      <c r="K5450" t="s">
        <v>9581</v>
      </c>
      <c r="M5450" t="s">
        <v>32</v>
      </c>
      <c r="N5450" t="str">
        <f>"2/18/2004 12:00:00 AM"</f>
        <v>2/18/2004 12:00:00 AM</v>
      </c>
      <c r="O5450" t="s">
        <v>16600</v>
      </c>
    </row>
    <row r="5451" spans="1:20" x14ac:dyDescent="0.25">
      <c r="A5451" t="str">
        <f>"3055957"</f>
        <v>3055957</v>
      </c>
      <c r="B5451" t="s">
        <v>16601</v>
      </c>
      <c r="C5451" t="str">
        <f>"42964000"</f>
        <v>42964000</v>
      </c>
      <c r="D5451" t="s">
        <v>16602</v>
      </c>
      <c r="E5451" t="s">
        <v>16603</v>
      </c>
      <c r="F5451" t="s">
        <v>16422</v>
      </c>
      <c r="I5451" t="s">
        <v>9580</v>
      </c>
      <c r="J5451" t="s">
        <v>30</v>
      </c>
      <c r="K5451" t="s">
        <v>9581</v>
      </c>
      <c r="N5451" t="str">
        <f>"9/9/2005 12:00:00 AM"</f>
        <v>9/9/2005 12:00:00 AM</v>
      </c>
      <c r="O5451" t="s">
        <v>16602</v>
      </c>
      <c r="T5451" t="s">
        <v>16603</v>
      </c>
    </row>
    <row r="5452" spans="1:20" x14ac:dyDescent="0.25">
      <c r="A5452" t="str">
        <f>"3056211"</f>
        <v>3056211</v>
      </c>
      <c r="B5452" t="s">
        <v>16604</v>
      </c>
      <c r="C5452" t="str">
        <f>"75248000"</f>
        <v>75248000</v>
      </c>
      <c r="D5452" t="s">
        <v>16438</v>
      </c>
      <c r="F5452" t="s">
        <v>16439</v>
      </c>
      <c r="I5452" t="s">
        <v>9580</v>
      </c>
      <c r="J5452" t="s">
        <v>30</v>
      </c>
      <c r="K5452" t="s">
        <v>9581</v>
      </c>
      <c r="M5452" t="s">
        <v>32</v>
      </c>
      <c r="N5452" t="str">
        <f>"4/29/2003 12:00:00 AM"</f>
        <v>4/29/2003 12:00:00 AM</v>
      </c>
      <c r="O5452" t="s">
        <v>16438</v>
      </c>
    </row>
    <row r="5453" spans="1:20" x14ac:dyDescent="0.25">
      <c r="A5453" t="str">
        <f>"3055750"</f>
        <v>3055750</v>
      </c>
      <c r="B5453" t="s">
        <v>16605</v>
      </c>
      <c r="C5453" t="str">
        <f>"82518714"</f>
        <v>82518714</v>
      </c>
      <c r="D5453" t="s">
        <v>16606</v>
      </c>
      <c r="F5453" t="s">
        <v>16607</v>
      </c>
      <c r="I5453" t="s">
        <v>9580</v>
      </c>
      <c r="J5453" t="s">
        <v>30</v>
      </c>
      <c r="K5453" t="s">
        <v>16608</v>
      </c>
      <c r="M5453" t="s">
        <v>32</v>
      </c>
      <c r="N5453" t="str">
        <f>"1/9/2006 12:00:00 AM"</f>
        <v>1/9/2006 12:00:00 AM</v>
      </c>
      <c r="O5453" t="s">
        <v>16606</v>
      </c>
    </row>
    <row r="5454" spans="1:20" x14ac:dyDescent="0.25">
      <c r="A5454" t="str">
        <f>"3055514"</f>
        <v>3055514</v>
      </c>
      <c r="B5454" t="s">
        <v>16609</v>
      </c>
      <c r="C5454" t="str">
        <f>"12107530"</f>
        <v>12107530</v>
      </c>
      <c r="D5454" t="s">
        <v>16610</v>
      </c>
      <c r="E5454" t="s">
        <v>16611</v>
      </c>
      <c r="F5454" t="s">
        <v>16612</v>
      </c>
      <c r="I5454" t="s">
        <v>29</v>
      </c>
      <c r="J5454" t="s">
        <v>30</v>
      </c>
      <c r="K5454" t="s">
        <v>16613</v>
      </c>
      <c r="M5454" t="s">
        <v>32</v>
      </c>
      <c r="N5454" t="str">
        <f>"1/13/2006 12:00:00 AM"</f>
        <v>1/13/2006 12:00:00 AM</v>
      </c>
      <c r="O5454" t="s">
        <v>16610</v>
      </c>
      <c r="T5454" t="s">
        <v>16611</v>
      </c>
    </row>
    <row r="5455" spans="1:20" x14ac:dyDescent="0.25">
      <c r="A5455" t="str">
        <f>"3055642"</f>
        <v>3055642</v>
      </c>
      <c r="B5455" t="s">
        <v>16614</v>
      </c>
      <c r="C5455" t="str">
        <f>"82522440"</f>
        <v>82522440</v>
      </c>
      <c r="D5455" t="s">
        <v>16615</v>
      </c>
      <c r="F5455" t="s">
        <v>16616</v>
      </c>
      <c r="I5455" t="s">
        <v>29</v>
      </c>
      <c r="J5455" t="s">
        <v>30</v>
      </c>
      <c r="K5455" t="s">
        <v>16228</v>
      </c>
      <c r="M5455" t="s">
        <v>32</v>
      </c>
      <c r="N5455" t="str">
        <f>"2/25/2005 12:00:00 AM"</f>
        <v>2/25/2005 12:00:00 AM</v>
      </c>
      <c r="O5455" t="s">
        <v>16615</v>
      </c>
    </row>
    <row r="5456" spans="1:20" x14ac:dyDescent="0.25">
      <c r="A5456" t="str">
        <f>"3063534"</f>
        <v>3063534</v>
      </c>
      <c r="B5456" t="s">
        <v>16617</v>
      </c>
      <c r="C5456" t="str">
        <f>"47899750"</f>
        <v>47899750</v>
      </c>
      <c r="D5456" t="s">
        <v>16618</v>
      </c>
      <c r="E5456" t="s">
        <v>16619</v>
      </c>
      <c r="F5456" t="s">
        <v>16620</v>
      </c>
      <c r="I5456" t="s">
        <v>29</v>
      </c>
      <c r="J5456" t="s">
        <v>30</v>
      </c>
      <c r="K5456" t="s">
        <v>16621</v>
      </c>
      <c r="M5456" t="s">
        <v>32</v>
      </c>
      <c r="N5456" t="str">
        <f>"1/4/2010 12:00:00 AM"</f>
        <v>1/4/2010 12:00:00 AM</v>
      </c>
      <c r="O5456" t="s">
        <v>16618</v>
      </c>
      <c r="T5456" t="s">
        <v>16619</v>
      </c>
    </row>
    <row r="5457" spans="1:20" x14ac:dyDescent="0.25">
      <c r="A5457" t="str">
        <f>"3056704"</f>
        <v>3056704</v>
      </c>
      <c r="B5457" t="s">
        <v>16622</v>
      </c>
      <c r="C5457" t="str">
        <f>"48834900"</f>
        <v>48834900</v>
      </c>
      <c r="D5457" t="s">
        <v>16623</v>
      </c>
      <c r="E5457" t="s">
        <v>16624</v>
      </c>
      <c r="F5457" t="s">
        <v>16625</v>
      </c>
      <c r="I5457" t="s">
        <v>29</v>
      </c>
      <c r="J5457" t="s">
        <v>30</v>
      </c>
      <c r="K5457" t="s">
        <v>16534</v>
      </c>
      <c r="M5457" t="s">
        <v>32</v>
      </c>
      <c r="N5457" t="str">
        <f>"2/11/2005 12:00:00 AM"</f>
        <v>2/11/2005 12:00:00 AM</v>
      </c>
      <c r="O5457" t="s">
        <v>16623</v>
      </c>
      <c r="T5457" t="s">
        <v>16624</v>
      </c>
    </row>
    <row r="5458" spans="1:20" x14ac:dyDescent="0.25">
      <c r="A5458" t="str">
        <f>"3056681"</f>
        <v>3056681</v>
      </c>
      <c r="B5458" t="s">
        <v>16626</v>
      </c>
      <c r="C5458" t="str">
        <f>"61324000"</f>
        <v>61324000</v>
      </c>
      <c r="D5458" t="s">
        <v>16627</v>
      </c>
      <c r="E5458" t="s">
        <v>16628</v>
      </c>
      <c r="F5458" t="s">
        <v>16629</v>
      </c>
      <c r="I5458" t="s">
        <v>29</v>
      </c>
      <c r="J5458" t="s">
        <v>30</v>
      </c>
      <c r="K5458" t="s">
        <v>31</v>
      </c>
      <c r="M5458" t="s">
        <v>32</v>
      </c>
      <c r="N5458" t="str">
        <f>"11/15/2002 12:00:00 AM"</f>
        <v>11/15/2002 12:00:00 AM</v>
      </c>
      <c r="O5458" t="s">
        <v>16627</v>
      </c>
      <c r="T5458" t="s">
        <v>16628</v>
      </c>
    </row>
    <row r="5459" spans="1:20" x14ac:dyDescent="0.25">
      <c r="A5459" t="str">
        <f>"3056302"</f>
        <v>3056302</v>
      </c>
      <c r="B5459" t="s">
        <v>16630</v>
      </c>
      <c r="C5459" t="str">
        <f>"61324000"</f>
        <v>61324000</v>
      </c>
      <c r="D5459" t="s">
        <v>16627</v>
      </c>
      <c r="E5459" t="s">
        <v>16628</v>
      </c>
      <c r="F5459" t="s">
        <v>16629</v>
      </c>
      <c r="I5459" t="s">
        <v>29</v>
      </c>
      <c r="J5459" t="s">
        <v>30</v>
      </c>
      <c r="K5459" t="s">
        <v>31</v>
      </c>
      <c r="M5459" t="s">
        <v>32</v>
      </c>
      <c r="N5459" t="str">
        <f>"11/15/2002 12:00:00 AM"</f>
        <v>11/15/2002 12:00:00 AM</v>
      </c>
      <c r="O5459" t="s">
        <v>16627</v>
      </c>
      <c r="T5459" t="s">
        <v>16628</v>
      </c>
    </row>
    <row r="5460" spans="1:20" x14ac:dyDescent="0.25">
      <c r="A5460" t="str">
        <f>"3070309"</f>
        <v>3070309</v>
      </c>
      <c r="B5460" t="s">
        <v>16631</v>
      </c>
      <c r="C5460" t="str">
        <f>"49431000"</f>
        <v>49431000</v>
      </c>
      <c r="D5460" t="s">
        <v>16632</v>
      </c>
      <c r="E5460" t="s">
        <v>16633</v>
      </c>
      <c r="F5460" t="s">
        <v>16634</v>
      </c>
      <c r="I5460" t="s">
        <v>29</v>
      </c>
      <c r="J5460" t="s">
        <v>30</v>
      </c>
      <c r="K5460" t="s">
        <v>31</v>
      </c>
      <c r="M5460" t="s">
        <v>32</v>
      </c>
      <c r="N5460" t="str">
        <f>"2/19/2004 12:00:00 AM"</f>
        <v>2/19/2004 12:00:00 AM</v>
      </c>
      <c r="O5460" t="s">
        <v>16632</v>
      </c>
      <c r="T5460" t="s">
        <v>16633</v>
      </c>
    </row>
    <row r="5461" spans="1:20" x14ac:dyDescent="0.25">
      <c r="A5461" t="str">
        <f>"3056731"</f>
        <v>3056731</v>
      </c>
      <c r="B5461" t="s">
        <v>16635</v>
      </c>
      <c r="C5461" t="str">
        <f>"55802000"</f>
        <v>55802000</v>
      </c>
      <c r="D5461" t="s">
        <v>16636</v>
      </c>
      <c r="E5461" t="s">
        <v>16637</v>
      </c>
      <c r="F5461" t="s">
        <v>16638</v>
      </c>
      <c r="I5461" t="s">
        <v>29</v>
      </c>
      <c r="J5461" t="s">
        <v>30</v>
      </c>
      <c r="K5461" t="s">
        <v>31</v>
      </c>
      <c r="M5461" t="s">
        <v>32</v>
      </c>
      <c r="N5461" t="str">
        <f>"5/22/2008 12:00:00 AM"</f>
        <v>5/22/2008 12:00:00 AM</v>
      </c>
      <c r="O5461" t="s">
        <v>16636</v>
      </c>
      <c r="T5461" t="s">
        <v>16637</v>
      </c>
    </row>
    <row r="5462" spans="1:20" x14ac:dyDescent="0.25">
      <c r="A5462" t="str">
        <f>"3075344"</f>
        <v>3075344</v>
      </c>
      <c r="B5462" t="s">
        <v>16639</v>
      </c>
      <c r="C5462" t="str">
        <f>"64477500"</f>
        <v>64477500</v>
      </c>
      <c r="D5462" t="s">
        <v>16640</v>
      </c>
      <c r="F5462" t="s">
        <v>16641</v>
      </c>
      <c r="I5462" t="s">
        <v>29</v>
      </c>
      <c r="J5462" t="s">
        <v>30</v>
      </c>
      <c r="K5462" t="s">
        <v>31</v>
      </c>
      <c r="M5462" t="s">
        <v>32</v>
      </c>
      <c r="N5462" t="str">
        <f>"11/15/2002 12:00:00 AM"</f>
        <v>11/15/2002 12:00:00 AM</v>
      </c>
      <c r="O5462" t="s">
        <v>16640</v>
      </c>
    </row>
    <row r="5463" spans="1:20" x14ac:dyDescent="0.25">
      <c r="A5463" t="str">
        <f>"3056538"</f>
        <v>3056538</v>
      </c>
      <c r="B5463" t="s">
        <v>16642</v>
      </c>
      <c r="C5463" t="str">
        <f>"64658840"</f>
        <v>64658840</v>
      </c>
      <c r="D5463" t="s">
        <v>16643</v>
      </c>
      <c r="E5463" t="s">
        <v>16644</v>
      </c>
      <c r="F5463" t="s">
        <v>16645</v>
      </c>
      <c r="I5463" t="s">
        <v>29</v>
      </c>
      <c r="J5463" t="s">
        <v>30</v>
      </c>
      <c r="K5463" t="s">
        <v>31</v>
      </c>
      <c r="M5463" t="s">
        <v>32</v>
      </c>
      <c r="N5463" t="str">
        <f>"5/3/2004 12:00:00 AM"</f>
        <v>5/3/2004 12:00:00 AM</v>
      </c>
      <c r="O5463" t="s">
        <v>16643</v>
      </c>
      <c r="T5463" t="s">
        <v>16644</v>
      </c>
    </row>
    <row r="5464" spans="1:20" x14ac:dyDescent="0.25">
      <c r="A5464" t="str">
        <f>"3056497"</f>
        <v>3056497</v>
      </c>
      <c r="B5464" t="s">
        <v>16646</v>
      </c>
      <c r="C5464" t="str">
        <f>"6697750"</f>
        <v>6697750</v>
      </c>
      <c r="D5464" t="s">
        <v>16647</v>
      </c>
      <c r="F5464" t="s">
        <v>16648</v>
      </c>
      <c r="I5464" t="s">
        <v>29</v>
      </c>
      <c r="J5464" t="s">
        <v>30</v>
      </c>
      <c r="K5464" t="s">
        <v>31</v>
      </c>
      <c r="M5464" t="s">
        <v>32</v>
      </c>
      <c r="N5464" t="str">
        <f>"9/26/2005 12:00:00 AM"</f>
        <v>9/26/2005 12:00:00 AM</v>
      </c>
      <c r="O5464" t="s">
        <v>16647</v>
      </c>
    </row>
    <row r="5465" spans="1:20" x14ac:dyDescent="0.25">
      <c r="A5465" t="str">
        <f>"3056657"</f>
        <v>3056657</v>
      </c>
      <c r="B5465" t="s">
        <v>16649</v>
      </c>
      <c r="C5465" t="str">
        <f>"6697520"</f>
        <v>6697520</v>
      </c>
      <c r="D5465" t="s">
        <v>16650</v>
      </c>
      <c r="E5465" t="s">
        <v>16647</v>
      </c>
      <c r="F5465" t="s">
        <v>16648</v>
      </c>
      <c r="I5465" t="s">
        <v>29</v>
      </c>
      <c r="J5465" t="s">
        <v>30</v>
      </c>
      <c r="K5465" t="s">
        <v>31</v>
      </c>
      <c r="M5465" t="s">
        <v>32</v>
      </c>
      <c r="N5465" t="str">
        <f>"5/23/2003 12:00:00 AM"</f>
        <v>5/23/2003 12:00:00 AM</v>
      </c>
      <c r="O5465" t="s">
        <v>16650</v>
      </c>
      <c r="T5465" t="s">
        <v>16647</v>
      </c>
    </row>
    <row r="5466" spans="1:20" x14ac:dyDescent="0.25">
      <c r="A5466" t="str">
        <f>"3056719"</f>
        <v>3056719</v>
      </c>
      <c r="B5466" t="s">
        <v>16651</v>
      </c>
      <c r="C5466" t="str">
        <f>"27948000"</f>
        <v>27948000</v>
      </c>
      <c r="D5466" t="s">
        <v>16652</v>
      </c>
      <c r="F5466" t="s">
        <v>16653</v>
      </c>
      <c r="I5466" t="s">
        <v>29</v>
      </c>
      <c r="J5466" t="s">
        <v>30</v>
      </c>
      <c r="K5466" t="s">
        <v>31</v>
      </c>
      <c r="M5466" t="s">
        <v>32</v>
      </c>
      <c r="N5466" t="str">
        <f>"8/27/2003 12:00:00 AM"</f>
        <v>8/27/2003 12:00:00 AM</v>
      </c>
      <c r="O5466" t="s">
        <v>16652</v>
      </c>
    </row>
    <row r="5467" spans="1:20" x14ac:dyDescent="0.25">
      <c r="A5467" t="str">
        <f>"3055980"</f>
        <v>3055980</v>
      </c>
      <c r="B5467" t="s">
        <v>16654</v>
      </c>
      <c r="C5467" t="str">
        <f>"68976000"</f>
        <v>68976000</v>
      </c>
      <c r="D5467" t="s">
        <v>16655</v>
      </c>
      <c r="E5467" t="s">
        <v>16656</v>
      </c>
      <c r="F5467" t="s">
        <v>16657</v>
      </c>
      <c r="I5467" t="s">
        <v>9580</v>
      </c>
      <c r="J5467" t="s">
        <v>30</v>
      </c>
      <c r="K5467" t="s">
        <v>9581</v>
      </c>
      <c r="N5467" t="str">
        <f>"5/17/2004 12:00:00 AM"</f>
        <v>5/17/2004 12:00:00 AM</v>
      </c>
      <c r="O5467" t="s">
        <v>16655</v>
      </c>
      <c r="T5467" t="s">
        <v>16656</v>
      </c>
    </row>
    <row r="5468" spans="1:20" x14ac:dyDescent="0.25">
      <c r="A5468" t="str">
        <f>"3056573"</f>
        <v>3056573</v>
      </c>
      <c r="B5468" t="s">
        <v>16658</v>
      </c>
      <c r="C5468" t="str">
        <f>"82528717"</f>
        <v>82528717</v>
      </c>
      <c r="D5468" t="s">
        <v>16659</v>
      </c>
      <c r="F5468" t="s">
        <v>16660</v>
      </c>
      <c r="I5468" t="s">
        <v>964</v>
      </c>
      <c r="J5468" t="s">
        <v>30</v>
      </c>
      <c r="K5468" t="s">
        <v>16661</v>
      </c>
      <c r="N5468" t="str">
        <f>"1/23/2008 12:00:00 AM"</f>
        <v>1/23/2008 12:00:00 AM</v>
      </c>
      <c r="O5468" t="s">
        <v>16659</v>
      </c>
    </row>
    <row r="5469" spans="1:20" x14ac:dyDescent="0.25">
      <c r="A5469" t="str">
        <f>"3056217"</f>
        <v>3056217</v>
      </c>
      <c r="B5469" t="s">
        <v>16662</v>
      </c>
      <c r="C5469" t="str">
        <f>"82528865"</f>
        <v>82528865</v>
      </c>
      <c r="D5469" t="s">
        <v>16663</v>
      </c>
      <c r="E5469" t="s">
        <v>16664</v>
      </c>
      <c r="F5469" t="s">
        <v>16665</v>
      </c>
      <c r="I5469" t="s">
        <v>1107</v>
      </c>
      <c r="J5469" t="s">
        <v>30</v>
      </c>
      <c r="K5469" t="s">
        <v>16666</v>
      </c>
      <c r="N5469" t="str">
        <f>"5/5/2008 12:00:00 AM"</f>
        <v>5/5/2008 12:00:00 AM</v>
      </c>
      <c r="O5469" t="s">
        <v>16663</v>
      </c>
      <c r="T5469" t="s">
        <v>16664</v>
      </c>
    </row>
    <row r="5470" spans="1:20" x14ac:dyDescent="0.25">
      <c r="A5470" t="str">
        <f>"3056250"</f>
        <v>3056250</v>
      </c>
      <c r="B5470" t="s">
        <v>16667</v>
      </c>
      <c r="C5470" t="str">
        <f>"57411500"</f>
        <v>57411500</v>
      </c>
      <c r="D5470" t="s">
        <v>16668</v>
      </c>
      <c r="E5470" t="s">
        <v>16669</v>
      </c>
      <c r="F5470" t="s">
        <v>16670</v>
      </c>
      <c r="I5470" t="s">
        <v>2681</v>
      </c>
      <c r="J5470" t="s">
        <v>30</v>
      </c>
      <c r="K5470" t="s">
        <v>2682</v>
      </c>
      <c r="N5470" t="str">
        <f>"9/12/2005 12:00:00 AM"</f>
        <v>9/12/2005 12:00:00 AM</v>
      </c>
      <c r="O5470" t="s">
        <v>16668</v>
      </c>
      <c r="T5470" t="s">
        <v>16669</v>
      </c>
    </row>
    <row r="5471" spans="1:20" x14ac:dyDescent="0.25">
      <c r="A5471" t="str">
        <f>"3055911"</f>
        <v>3055911</v>
      </c>
      <c r="B5471" t="s">
        <v>16671</v>
      </c>
      <c r="C5471" t="str">
        <f>"41773000"</f>
        <v>41773000</v>
      </c>
      <c r="D5471" t="s">
        <v>16672</v>
      </c>
      <c r="F5471" t="s">
        <v>16673</v>
      </c>
      <c r="I5471" t="s">
        <v>9580</v>
      </c>
      <c r="J5471" t="s">
        <v>30</v>
      </c>
      <c r="K5471" t="s">
        <v>9581</v>
      </c>
      <c r="M5471" t="s">
        <v>32</v>
      </c>
      <c r="N5471" t="str">
        <f>"11/19/2003 12:00:00 AM"</f>
        <v>11/19/2003 12:00:00 AM</v>
      </c>
      <c r="O5471" t="s">
        <v>16672</v>
      </c>
    </row>
    <row r="5472" spans="1:20" x14ac:dyDescent="0.25">
      <c r="A5472" t="str">
        <f>"3056767"</f>
        <v>3056767</v>
      </c>
      <c r="B5472" t="s">
        <v>16674</v>
      </c>
      <c r="C5472" t="str">
        <f>"82523188"</f>
        <v>82523188</v>
      </c>
      <c r="D5472" t="s">
        <v>16675</v>
      </c>
      <c r="E5472" t="s">
        <v>16676</v>
      </c>
      <c r="F5472" t="s">
        <v>16677</v>
      </c>
      <c r="I5472" t="s">
        <v>29</v>
      </c>
      <c r="J5472" t="s">
        <v>30</v>
      </c>
      <c r="K5472" t="s">
        <v>16678</v>
      </c>
      <c r="N5472" t="str">
        <f>"2/18/2005 12:00:00 AM"</f>
        <v>2/18/2005 12:00:00 AM</v>
      </c>
      <c r="O5472" t="s">
        <v>16675</v>
      </c>
      <c r="T5472" t="s">
        <v>16676</v>
      </c>
    </row>
    <row r="5473" spans="1:20" x14ac:dyDescent="0.25">
      <c r="A5473" t="str">
        <f>"3056743"</f>
        <v>3056743</v>
      </c>
      <c r="B5473" t="s">
        <v>16679</v>
      </c>
      <c r="C5473" t="str">
        <f>"9870000"</f>
        <v>9870000</v>
      </c>
      <c r="D5473" t="s">
        <v>16680</v>
      </c>
      <c r="E5473" t="s">
        <v>16681</v>
      </c>
      <c r="F5473" t="s">
        <v>16682</v>
      </c>
      <c r="I5473" t="s">
        <v>29</v>
      </c>
      <c r="J5473" t="s">
        <v>30</v>
      </c>
      <c r="K5473" t="s">
        <v>16678</v>
      </c>
      <c r="M5473" t="s">
        <v>32</v>
      </c>
      <c r="N5473" t="str">
        <f>"8/26/2011 12:00:00 AM"</f>
        <v>8/26/2011 12:00:00 AM</v>
      </c>
      <c r="O5473" t="s">
        <v>16680</v>
      </c>
      <c r="T5473" t="s">
        <v>16681</v>
      </c>
    </row>
    <row r="5474" spans="1:20" x14ac:dyDescent="0.25">
      <c r="A5474" t="str">
        <f>"3056263"</f>
        <v>3056263</v>
      </c>
      <c r="B5474" t="s">
        <v>16683</v>
      </c>
      <c r="C5474" t="str">
        <f>"19776000"</f>
        <v>19776000</v>
      </c>
      <c r="D5474" t="s">
        <v>16684</v>
      </c>
      <c r="E5474" t="s">
        <v>16685</v>
      </c>
      <c r="F5474" t="s">
        <v>16686</v>
      </c>
      <c r="I5474" t="s">
        <v>29</v>
      </c>
      <c r="J5474" t="s">
        <v>30</v>
      </c>
      <c r="K5474" t="s">
        <v>31</v>
      </c>
      <c r="M5474" t="s">
        <v>32</v>
      </c>
      <c r="N5474" t="str">
        <f>"2/24/2005 12:00:00 AM"</f>
        <v>2/24/2005 12:00:00 AM</v>
      </c>
      <c r="O5474" t="s">
        <v>16684</v>
      </c>
      <c r="T5474" t="s">
        <v>16685</v>
      </c>
    </row>
    <row r="5475" spans="1:20" x14ac:dyDescent="0.25">
      <c r="A5475" t="str">
        <f>"3055910"</f>
        <v>3055910</v>
      </c>
      <c r="B5475" t="s">
        <v>16687</v>
      </c>
      <c r="C5475" t="str">
        <f>"48823650"</f>
        <v>48823650</v>
      </c>
      <c r="D5475" t="s">
        <v>16688</v>
      </c>
      <c r="E5475" t="s">
        <v>16689</v>
      </c>
      <c r="F5475" t="s">
        <v>16690</v>
      </c>
      <c r="I5475" t="s">
        <v>9580</v>
      </c>
      <c r="J5475" t="s">
        <v>30</v>
      </c>
      <c r="K5475" t="s">
        <v>16691</v>
      </c>
      <c r="N5475" t="str">
        <f>"1/18/2006 12:00:00 AM"</f>
        <v>1/18/2006 12:00:00 AM</v>
      </c>
      <c r="O5475" t="s">
        <v>16688</v>
      </c>
      <c r="T5475" t="s">
        <v>16689</v>
      </c>
    </row>
    <row r="5476" spans="1:20" x14ac:dyDescent="0.25">
      <c r="A5476" t="str">
        <f>"3055986"</f>
        <v>3055986</v>
      </c>
      <c r="B5476" t="s">
        <v>16692</v>
      </c>
      <c r="C5476" t="str">
        <f>"60290250"</f>
        <v>60290250</v>
      </c>
      <c r="D5476" t="s">
        <v>16693</v>
      </c>
      <c r="F5476" t="s">
        <v>16694</v>
      </c>
      <c r="I5476" t="s">
        <v>9580</v>
      </c>
      <c r="J5476" t="s">
        <v>30</v>
      </c>
      <c r="K5476" t="s">
        <v>9581</v>
      </c>
      <c r="M5476" t="s">
        <v>32</v>
      </c>
      <c r="N5476" t="str">
        <f>"9/13/2007 12:00:00 AM"</f>
        <v>9/13/2007 12:00:00 AM</v>
      </c>
      <c r="O5476" t="s">
        <v>16693</v>
      </c>
    </row>
    <row r="5477" spans="1:20" x14ac:dyDescent="0.25">
      <c r="A5477" t="str">
        <f>"3056663"</f>
        <v>3056663</v>
      </c>
      <c r="B5477" t="s">
        <v>16695</v>
      </c>
      <c r="C5477" t="str">
        <f>"11052060"</f>
        <v>11052060</v>
      </c>
      <c r="D5477" t="s">
        <v>16696</v>
      </c>
      <c r="F5477" t="str">
        <f>"C/O RHONDA N SPRY BROWN"</f>
        <v>C/O RHONDA N SPRY BROWN</v>
      </c>
      <c r="G5477" t="s">
        <v>16697</v>
      </c>
      <c r="I5477" t="s">
        <v>29</v>
      </c>
      <c r="J5477" t="s">
        <v>30</v>
      </c>
      <c r="K5477" t="s">
        <v>31</v>
      </c>
      <c r="M5477" t="s">
        <v>32</v>
      </c>
      <c r="N5477" t="str">
        <f>"6/13/2003 12:00:00 AM"</f>
        <v>6/13/2003 12:00:00 AM</v>
      </c>
      <c r="O5477" t="s">
        <v>16696</v>
      </c>
    </row>
    <row r="5478" spans="1:20" x14ac:dyDescent="0.25">
      <c r="A5478" t="str">
        <f>"3056639"</f>
        <v>3056639</v>
      </c>
      <c r="B5478" t="s">
        <v>16698</v>
      </c>
      <c r="C5478" t="str">
        <f>"10098750"</f>
        <v>10098750</v>
      </c>
      <c r="D5478" t="s">
        <v>16699</v>
      </c>
      <c r="E5478" t="s">
        <v>16700</v>
      </c>
      <c r="F5478" t="s">
        <v>16701</v>
      </c>
      <c r="I5478" t="s">
        <v>29</v>
      </c>
      <c r="J5478" t="s">
        <v>30</v>
      </c>
      <c r="K5478" t="s">
        <v>31</v>
      </c>
      <c r="M5478" t="s">
        <v>32</v>
      </c>
      <c r="N5478" t="str">
        <f>"11/7/2003 12:00:00 AM"</f>
        <v>11/7/2003 12:00:00 AM</v>
      </c>
      <c r="O5478" t="s">
        <v>16699</v>
      </c>
      <c r="T5478" t="s">
        <v>16700</v>
      </c>
    </row>
    <row r="5479" spans="1:20" x14ac:dyDescent="0.25">
      <c r="A5479" t="str">
        <f>"3056641"</f>
        <v>3056641</v>
      </c>
      <c r="B5479" t="s">
        <v>16702</v>
      </c>
      <c r="C5479" t="str">
        <f>"40394090"</f>
        <v>40394090</v>
      </c>
      <c r="D5479" t="s">
        <v>16703</v>
      </c>
      <c r="F5479" t="s">
        <v>16704</v>
      </c>
      <c r="I5479" t="s">
        <v>29</v>
      </c>
      <c r="J5479" t="s">
        <v>30</v>
      </c>
      <c r="K5479" t="s">
        <v>31</v>
      </c>
      <c r="M5479" t="s">
        <v>32</v>
      </c>
      <c r="N5479" t="str">
        <f>"11/14/2002 12:00:00 AM"</f>
        <v>11/14/2002 12:00:00 AM</v>
      </c>
      <c r="O5479" t="s">
        <v>16703</v>
      </c>
    </row>
    <row r="5480" spans="1:20" x14ac:dyDescent="0.25">
      <c r="A5480" t="str">
        <f>"3056242"</f>
        <v>3056242</v>
      </c>
      <c r="B5480" t="s">
        <v>16705</v>
      </c>
      <c r="C5480" t="str">
        <f>"55667750"</f>
        <v>55667750</v>
      </c>
      <c r="D5480" t="s">
        <v>16706</v>
      </c>
      <c r="F5480" t="s">
        <v>16707</v>
      </c>
      <c r="I5480" t="s">
        <v>964</v>
      </c>
      <c r="J5480" t="s">
        <v>30</v>
      </c>
      <c r="K5480" t="s">
        <v>965</v>
      </c>
      <c r="M5480" t="s">
        <v>32</v>
      </c>
      <c r="N5480" t="str">
        <f>"3/26/2004 12:00:00 AM"</f>
        <v>3/26/2004 12:00:00 AM</v>
      </c>
      <c r="O5480" t="s">
        <v>16706</v>
      </c>
    </row>
    <row r="5481" spans="1:20" x14ac:dyDescent="0.25">
      <c r="A5481" t="str">
        <f>"3056715"</f>
        <v>3056715</v>
      </c>
      <c r="B5481" t="s">
        <v>16708</v>
      </c>
      <c r="C5481" t="str">
        <f>"746000"</f>
        <v>746000</v>
      </c>
      <c r="D5481" t="s">
        <v>16709</v>
      </c>
      <c r="E5481" t="s">
        <v>16710</v>
      </c>
      <c r="F5481" t="s">
        <v>16711</v>
      </c>
      <c r="I5481" t="s">
        <v>964</v>
      </c>
      <c r="J5481" t="s">
        <v>30</v>
      </c>
      <c r="K5481" t="s">
        <v>16712</v>
      </c>
      <c r="M5481" t="s">
        <v>32</v>
      </c>
      <c r="N5481" t="str">
        <f>"2/3/2005 12:00:00 AM"</f>
        <v>2/3/2005 12:00:00 AM</v>
      </c>
      <c r="O5481" t="s">
        <v>16709</v>
      </c>
      <c r="T5481" t="s">
        <v>16710</v>
      </c>
    </row>
    <row r="5482" spans="1:20" x14ac:dyDescent="0.25">
      <c r="A5482" t="str">
        <f>"3056746"</f>
        <v>3056746</v>
      </c>
      <c r="B5482" t="s">
        <v>16713</v>
      </c>
      <c r="C5482" t="str">
        <f>"54833000"</f>
        <v>54833000</v>
      </c>
      <c r="D5482" t="s">
        <v>16714</v>
      </c>
      <c r="E5482" t="s">
        <v>16715</v>
      </c>
      <c r="F5482" t="s">
        <v>16716</v>
      </c>
      <c r="I5482" t="s">
        <v>964</v>
      </c>
      <c r="J5482" t="s">
        <v>30</v>
      </c>
      <c r="K5482" t="s">
        <v>16661</v>
      </c>
      <c r="M5482" t="s">
        <v>32</v>
      </c>
      <c r="N5482" t="str">
        <f>"5/24/2010 12:00:00 AM"</f>
        <v>5/24/2010 12:00:00 AM</v>
      </c>
      <c r="O5482" t="s">
        <v>16714</v>
      </c>
      <c r="T5482" t="s">
        <v>16715</v>
      </c>
    </row>
    <row r="5483" spans="1:20" x14ac:dyDescent="0.25">
      <c r="A5483" t="str">
        <f>"3069271"</f>
        <v>3069271</v>
      </c>
      <c r="B5483" t="s">
        <v>16717</v>
      </c>
      <c r="C5483" t="str">
        <f>"82517999"</f>
        <v>82517999</v>
      </c>
      <c r="D5483" t="s">
        <v>16718</v>
      </c>
      <c r="E5483" t="s">
        <v>16719</v>
      </c>
      <c r="F5483" t="s">
        <v>15577</v>
      </c>
      <c r="I5483" t="s">
        <v>29</v>
      </c>
      <c r="J5483" t="s">
        <v>30</v>
      </c>
      <c r="K5483" t="s">
        <v>31</v>
      </c>
      <c r="M5483" t="s">
        <v>32</v>
      </c>
      <c r="N5483" t="str">
        <f>"11/15/2002 12:00:00 AM"</f>
        <v>11/15/2002 12:00:00 AM</v>
      </c>
      <c r="O5483" t="s">
        <v>16718</v>
      </c>
      <c r="T5483" t="s">
        <v>16719</v>
      </c>
    </row>
    <row r="5484" spans="1:20" x14ac:dyDescent="0.25">
      <c r="A5484" t="str">
        <f>"3069978"</f>
        <v>3069978</v>
      </c>
      <c r="B5484" t="s">
        <v>16720</v>
      </c>
      <c r="C5484" t="str">
        <f>"82517951"</f>
        <v>82517951</v>
      </c>
      <c r="D5484" t="s">
        <v>16721</v>
      </c>
      <c r="F5484" t="s">
        <v>16722</v>
      </c>
      <c r="I5484" t="s">
        <v>29</v>
      </c>
      <c r="J5484" t="s">
        <v>30</v>
      </c>
      <c r="K5484" t="s">
        <v>31</v>
      </c>
      <c r="M5484" t="s">
        <v>32</v>
      </c>
      <c r="N5484" t="str">
        <f>"2/27/2002 12:00:00 AM"</f>
        <v>2/27/2002 12:00:00 AM</v>
      </c>
      <c r="O5484" t="s">
        <v>16721</v>
      </c>
    </row>
    <row r="5485" spans="1:20" x14ac:dyDescent="0.25">
      <c r="A5485" t="str">
        <f>"3056527"</f>
        <v>3056527</v>
      </c>
      <c r="B5485" t="s">
        <v>16723</v>
      </c>
      <c r="C5485" t="str">
        <f>"15220000"</f>
        <v>15220000</v>
      </c>
      <c r="D5485" t="s">
        <v>16724</v>
      </c>
      <c r="F5485" t="s">
        <v>16725</v>
      </c>
      <c r="I5485" t="s">
        <v>29</v>
      </c>
      <c r="J5485" t="s">
        <v>30</v>
      </c>
      <c r="K5485" t="s">
        <v>31</v>
      </c>
      <c r="M5485" t="s">
        <v>32</v>
      </c>
      <c r="N5485" t="str">
        <f>"11/18/2002 12:00:00 AM"</f>
        <v>11/18/2002 12:00:00 AM</v>
      </c>
      <c r="O5485" t="s">
        <v>16724</v>
      </c>
    </row>
    <row r="5486" spans="1:20" x14ac:dyDescent="0.25">
      <c r="A5486" t="str">
        <f>"3056226"</f>
        <v>3056226</v>
      </c>
      <c r="B5486" t="s">
        <v>16726</v>
      </c>
      <c r="C5486" t="str">
        <f>"82519276"</f>
        <v>82519276</v>
      </c>
      <c r="D5486" t="s">
        <v>16727</v>
      </c>
      <c r="E5486" t="s">
        <v>16728</v>
      </c>
      <c r="F5486" t="s">
        <v>16729</v>
      </c>
      <c r="I5486" t="s">
        <v>12628</v>
      </c>
      <c r="J5486" t="s">
        <v>30</v>
      </c>
      <c r="K5486" t="s">
        <v>12842</v>
      </c>
      <c r="M5486" t="s">
        <v>32</v>
      </c>
      <c r="N5486" t="str">
        <f>"1/24/2007 12:00:00 AM"</f>
        <v>1/24/2007 12:00:00 AM</v>
      </c>
      <c r="O5486" t="s">
        <v>16727</v>
      </c>
      <c r="T5486" t="s">
        <v>16728</v>
      </c>
    </row>
    <row r="5487" spans="1:20" x14ac:dyDescent="0.25">
      <c r="A5487" t="str">
        <f>"3056374"</f>
        <v>3056374</v>
      </c>
      <c r="B5487" t="s">
        <v>16730</v>
      </c>
      <c r="C5487" t="str">
        <f>"15420000"</f>
        <v>15420000</v>
      </c>
      <c r="D5487" t="s">
        <v>16731</v>
      </c>
      <c r="E5487" t="s">
        <v>16732</v>
      </c>
      <c r="F5487" t="s">
        <v>16733</v>
      </c>
      <c r="I5487" t="s">
        <v>964</v>
      </c>
      <c r="J5487" t="s">
        <v>30</v>
      </c>
      <c r="K5487" t="s">
        <v>16661</v>
      </c>
      <c r="N5487" t="str">
        <f>"6/26/2003 12:00:00 AM"</f>
        <v>6/26/2003 12:00:00 AM</v>
      </c>
      <c r="O5487" t="s">
        <v>16731</v>
      </c>
      <c r="T5487" t="s">
        <v>16732</v>
      </c>
    </row>
    <row r="5488" spans="1:20" x14ac:dyDescent="0.25">
      <c r="A5488" t="str">
        <f>"3076597"</f>
        <v>3076597</v>
      </c>
      <c r="B5488" t="s">
        <v>16734</v>
      </c>
      <c r="C5488" t="str">
        <f>"50672000"</f>
        <v>50672000</v>
      </c>
      <c r="D5488" t="s">
        <v>16735</v>
      </c>
      <c r="F5488" t="s">
        <v>10355</v>
      </c>
      <c r="I5488" t="s">
        <v>184</v>
      </c>
      <c r="J5488" t="s">
        <v>30</v>
      </c>
      <c r="K5488" t="s">
        <v>185</v>
      </c>
      <c r="M5488" t="s">
        <v>32</v>
      </c>
      <c r="N5488" t="str">
        <f>"11/18/2002 12:00:00 AM"</f>
        <v>11/18/2002 12:00:00 AM</v>
      </c>
      <c r="O5488" t="s">
        <v>16735</v>
      </c>
    </row>
    <row r="5489" spans="1:20" x14ac:dyDescent="0.25">
      <c r="A5489" t="str">
        <f>"3054791"</f>
        <v>3054791</v>
      </c>
      <c r="B5489" t="s">
        <v>16736</v>
      </c>
      <c r="C5489" t="str">
        <f>"34512000"</f>
        <v>34512000</v>
      </c>
      <c r="D5489" t="s">
        <v>16737</v>
      </c>
      <c r="K5489" t="s">
        <v>586</v>
      </c>
      <c r="M5489" t="s">
        <v>32</v>
      </c>
      <c r="N5489" t="str">
        <f>"8/29/1985 12:00:00 AM"</f>
        <v>8/29/1985 12:00:00 AM</v>
      </c>
      <c r="O5489" t="s">
        <v>16737</v>
      </c>
    </row>
    <row r="5490" spans="1:20" x14ac:dyDescent="0.25">
      <c r="A5490" t="str">
        <f>"3054770"</f>
        <v>3054770</v>
      </c>
      <c r="B5490" t="s">
        <v>16738</v>
      </c>
      <c r="C5490" t="str">
        <f>"82525020"</f>
        <v>82525020</v>
      </c>
      <c r="D5490" t="s">
        <v>16739</v>
      </c>
      <c r="E5490" t="s">
        <v>16740</v>
      </c>
      <c r="F5490" t="s">
        <v>16741</v>
      </c>
      <c r="I5490" t="s">
        <v>964</v>
      </c>
      <c r="J5490" t="s">
        <v>30</v>
      </c>
      <c r="K5490" t="s">
        <v>965</v>
      </c>
      <c r="N5490" t="str">
        <f>"8/23/2005 12:00:00 AM"</f>
        <v>8/23/2005 12:00:00 AM</v>
      </c>
      <c r="O5490" t="s">
        <v>16739</v>
      </c>
      <c r="T5490" t="s">
        <v>16740</v>
      </c>
    </row>
    <row r="5491" spans="1:20" x14ac:dyDescent="0.25">
      <c r="A5491" t="str">
        <f>"3071121"</f>
        <v>3071121</v>
      </c>
      <c r="B5491" t="s">
        <v>16742</v>
      </c>
      <c r="C5491" t="str">
        <f>"13276000"</f>
        <v>13276000</v>
      </c>
      <c r="D5491" t="s">
        <v>16743</v>
      </c>
      <c r="E5491" t="s">
        <v>776</v>
      </c>
      <c r="F5491" t="s">
        <v>16744</v>
      </c>
      <c r="I5491" t="s">
        <v>29</v>
      </c>
      <c r="J5491" t="s">
        <v>30</v>
      </c>
      <c r="K5491" t="s">
        <v>31</v>
      </c>
      <c r="M5491" t="s">
        <v>32</v>
      </c>
      <c r="N5491" t="str">
        <f>"6/19/2003 12:00:00 AM"</f>
        <v>6/19/2003 12:00:00 AM</v>
      </c>
      <c r="O5491" t="s">
        <v>16743</v>
      </c>
      <c r="T5491" t="s">
        <v>776</v>
      </c>
    </row>
    <row r="5492" spans="1:20" x14ac:dyDescent="0.25">
      <c r="A5492" t="str">
        <f>"3055403"</f>
        <v>3055403</v>
      </c>
      <c r="B5492" t="s">
        <v>16745</v>
      </c>
      <c r="C5492" t="str">
        <f>"70987120"</f>
        <v>70987120</v>
      </c>
      <c r="D5492" t="s">
        <v>16739</v>
      </c>
      <c r="F5492" t="s">
        <v>16741</v>
      </c>
      <c r="I5492" t="s">
        <v>964</v>
      </c>
      <c r="J5492" t="s">
        <v>30</v>
      </c>
      <c r="K5492" t="s">
        <v>965</v>
      </c>
      <c r="M5492" t="s">
        <v>32</v>
      </c>
      <c r="N5492" t="str">
        <f>"4/27/2006 12:00:00 AM"</f>
        <v>4/27/2006 12:00:00 AM</v>
      </c>
      <c r="O5492" t="s">
        <v>16739</v>
      </c>
    </row>
    <row r="5493" spans="1:20" x14ac:dyDescent="0.25">
      <c r="A5493" t="str">
        <f>"3056672"</f>
        <v>3056672</v>
      </c>
      <c r="B5493" t="s">
        <v>16746</v>
      </c>
      <c r="C5493" t="str">
        <f>"54294250"</f>
        <v>54294250</v>
      </c>
      <c r="D5493" t="s">
        <v>16747</v>
      </c>
      <c r="F5493" t="s">
        <v>16748</v>
      </c>
      <c r="I5493" t="s">
        <v>29</v>
      </c>
      <c r="J5493" t="s">
        <v>30</v>
      </c>
      <c r="K5493" t="s">
        <v>31</v>
      </c>
      <c r="M5493" t="s">
        <v>32</v>
      </c>
      <c r="N5493" t="str">
        <f>"11/18/2002 12:00:00 AM"</f>
        <v>11/18/2002 12:00:00 AM</v>
      </c>
      <c r="O5493" t="s">
        <v>16747</v>
      </c>
    </row>
    <row r="5494" spans="1:20" x14ac:dyDescent="0.25">
      <c r="A5494" t="str">
        <f>"3056673"</f>
        <v>3056673</v>
      </c>
      <c r="B5494" t="s">
        <v>16749</v>
      </c>
      <c r="C5494" t="str">
        <f>"82523357"</f>
        <v>82523357</v>
      </c>
      <c r="D5494" t="s">
        <v>16750</v>
      </c>
      <c r="E5494" t="s">
        <v>16751</v>
      </c>
      <c r="F5494" t="s">
        <v>16752</v>
      </c>
      <c r="I5494" t="s">
        <v>29</v>
      </c>
      <c r="J5494" t="s">
        <v>30</v>
      </c>
      <c r="K5494" t="s">
        <v>16753</v>
      </c>
      <c r="M5494" t="s">
        <v>32</v>
      </c>
      <c r="N5494" t="str">
        <f>"1/24/2005 12:00:00 AM"</f>
        <v>1/24/2005 12:00:00 AM</v>
      </c>
      <c r="O5494" t="s">
        <v>16750</v>
      </c>
      <c r="T5494" t="s">
        <v>16751</v>
      </c>
    </row>
    <row r="5495" spans="1:20" x14ac:dyDescent="0.25">
      <c r="A5495" t="str">
        <f>"3056660"</f>
        <v>3056660</v>
      </c>
      <c r="B5495" t="s">
        <v>16754</v>
      </c>
      <c r="C5495" t="str">
        <f>"61652000"</f>
        <v>61652000</v>
      </c>
      <c r="D5495" t="s">
        <v>16755</v>
      </c>
      <c r="E5495" t="s">
        <v>16756</v>
      </c>
      <c r="F5495" t="s">
        <v>16757</v>
      </c>
      <c r="I5495" t="s">
        <v>29</v>
      </c>
      <c r="J5495" t="s">
        <v>30</v>
      </c>
      <c r="K5495" t="s">
        <v>16758</v>
      </c>
      <c r="M5495" t="s">
        <v>32</v>
      </c>
      <c r="N5495" t="str">
        <f>"6/25/2007 12:00:00 AM"</f>
        <v>6/25/2007 12:00:00 AM</v>
      </c>
      <c r="O5495" t="s">
        <v>16755</v>
      </c>
      <c r="T5495" t="s">
        <v>16756</v>
      </c>
    </row>
    <row r="5496" spans="1:20" x14ac:dyDescent="0.25">
      <c r="A5496" t="str">
        <f>"3056524"</f>
        <v>3056524</v>
      </c>
      <c r="B5496" t="s">
        <v>16759</v>
      </c>
      <c r="C5496" t="str">
        <f>"55124000"</f>
        <v>55124000</v>
      </c>
      <c r="D5496" t="s">
        <v>16760</v>
      </c>
      <c r="E5496" t="s">
        <v>16761</v>
      </c>
      <c r="F5496" t="s">
        <v>16762</v>
      </c>
      <c r="I5496" t="s">
        <v>29</v>
      </c>
      <c r="J5496" t="s">
        <v>30</v>
      </c>
      <c r="K5496" t="s">
        <v>16526</v>
      </c>
      <c r="M5496" t="s">
        <v>32</v>
      </c>
      <c r="N5496" t="str">
        <f>"1/22/2010 12:00:00 AM"</f>
        <v>1/22/2010 12:00:00 AM</v>
      </c>
      <c r="O5496" t="s">
        <v>16760</v>
      </c>
      <c r="T5496" t="s">
        <v>16761</v>
      </c>
    </row>
    <row r="5497" spans="1:20" x14ac:dyDescent="0.25">
      <c r="A5497" t="str">
        <f>"3054955"</f>
        <v>3054955</v>
      </c>
      <c r="B5497" t="s">
        <v>16763</v>
      </c>
      <c r="C5497" t="str">
        <f>"19122000"</f>
        <v>19122000</v>
      </c>
      <c r="D5497" t="s">
        <v>16764</v>
      </c>
      <c r="F5497" t="s">
        <v>14893</v>
      </c>
      <c r="I5497" t="s">
        <v>29</v>
      </c>
      <c r="J5497" t="s">
        <v>30</v>
      </c>
      <c r="K5497" t="s">
        <v>16765</v>
      </c>
      <c r="M5497" t="s">
        <v>32</v>
      </c>
      <c r="N5497" t="str">
        <f>"1/24/2006 12:00:00 AM"</f>
        <v>1/24/2006 12:00:00 AM</v>
      </c>
      <c r="O5497" t="s">
        <v>16764</v>
      </c>
      <c r="T5497" t="s">
        <v>16764</v>
      </c>
    </row>
    <row r="5498" spans="1:20" x14ac:dyDescent="0.25">
      <c r="A5498" t="str">
        <f>"3056597"</f>
        <v>3056597</v>
      </c>
      <c r="B5498" t="s">
        <v>16766</v>
      </c>
      <c r="C5498" t="str">
        <f>"82524209"</f>
        <v>82524209</v>
      </c>
      <c r="D5498" t="s">
        <v>16767</v>
      </c>
      <c r="F5498" t="s">
        <v>16768</v>
      </c>
      <c r="I5498" t="s">
        <v>29</v>
      </c>
      <c r="J5498" t="s">
        <v>30</v>
      </c>
      <c r="K5498" t="s">
        <v>31</v>
      </c>
      <c r="M5498" t="s">
        <v>32</v>
      </c>
      <c r="N5498" t="str">
        <f>"1/13/2006 12:00:00 AM"</f>
        <v>1/13/2006 12:00:00 AM</v>
      </c>
      <c r="O5498" t="s">
        <v>16767</v>
      </c>
    </row>
    <row r="5499" spans="1:20" x14ac:dyDescent="0.25">
      <c r="A5499" t="str">
        <f>"3056714"</f>
        <v>3056714</v>
      </c>
      <c r="B5499" t="s">
        <v>16769</v>
      </c>
      <c r="C5499" t="str">
        <f>"45549500"</f>
        <v>45549500</v>
      </c>
      <c r="D5499" t="s">
        <v>16770</v>
      </c>
      <c r="E5499" t="s">
        <v>16771</v>
      </c>
      <c r="F5499" t="s">
        <v>16772</v>
      </c>
      <c r="I5499" t="s">
        <v>29</v>
      </c>
      <c r="J5499" t="s">
        <v>30</v>
      </c>
      <c r="K5499" t="s">
        <v>31</v>
      </c>
      <c r="M5499" t="s">
        <v>32</v>
      </c>
      <c r="N5499" t="str">
        <f>"12/15/2003 12:00:00 AM"</f>
        <v>12/15/2003 12:00:00 AM</v>
      </c>
      <c r="O5499" t="s">
        <v>16770</v>
      </c>
      <c r="T5499" t="s">
        <v>16771</v>
      </c>
    </row>
    <row r="5500" spans="1:20" x14ac:dyDescent="0.25">
      <c r="A5500" t="str">
        <f>"3062197"</f>
        <v>3062197</v>
      </c>
      <c r="B5500" t="s">
        <v>16773</v>
      </c>
      <c r="C5500" t="str">
        <f>"68322500"</f>
        <v>68322500</v>
      </c>
      <c r="D5500" t="s">
        <v>16774</v>
      </c>
      <c r="E5500" t="s">
        <v>16775</v>
      </c>
      <c r="F5500" t="s">
        <v>16776</v>
      </c>
      <c r="I5500" t="s">
        <v>29</v>
      </c>
      <c r="J5500" t="s">
        <v>30</v>
      </c>
      <c r="K5500" t="s">
        <v>31</v>
      </c>
      <c r="M5500" t="s">
        <v>32</v>
      </c>
      <c r="N5500" t="str">
        <f>"5/14/2004 12:00:00 AM"</f>
        <v>5/14/2004 12:00:00 AM</v>
      </c>
      <c r="O5500" t="s">
        <v>16774</v>
      </c>
      <c r="T5500" t="s">
        <v>16775</v>
      </c>
    </row>
    <row r="5501" spans="1:20" x14ac:dyDescent="0.25">
      <c r="A5501" t="str">
        <f>"3056735"</f>
        <v>3056735</v>
      </c>
      <c r="B5501" t="s">
        <v>16777</v>
      </c>
      <c r="C5501" t="str">
        <f>"82526273"</f>
        <v>82526273</v>
      </c>
      <c r="D5501" t="s">
        <v>16778</v>
      </c>
      <c r="F5501" t="s">
        <v>16779</v>
      </c>
      <c r="I5501" t="s">
        <v>29</v>
      </c>
      <c r="J5501" t="s">
        <v>30</v>
      </c>
      <c r="K5501" t="s">
        <v>31</v>
      </c>
      <c r="M5501" t="s">
        <v>32</v>
      </c>
      <c r="N5501" t="str">
        <f>"5/30/2006 12:00:00 AM"</f>
        <v>5/30/2006 12:00:00 AM</v>
      </c>
      <c r="O5501" t="s">
        <v>16778</v>
      </c>
    </row>
    <row r="5502" spans="1:20" x14ac:dyDescent="0.25">
      <c r="A5502" t="str">
        <f>"3056986"</f>
        <v>3056986</v>
      </c>
      <c r="B5502" t="s">
        <v>16780</v>
      </c>
      <c r="C5502" t="str">
        <f>"62386000"</f>
        <v>62386000</v>
      </c>
      <c r="D5502" t="s">
        <v>16781</v>
      </c>
      <c r="F5502" t="s">
        <v>16782</v>
      </c>
      <c r="I5502" t="s">
        <v>29</v>
      </c>
      <c r="J5502" t="s">
        <v>30</v>
      </c>
      <c r="K5502" t="s">
        <v>11073</v>
      </c>
      <c r="M5502" t="s">
        <v>32</v>
      </c>
      <c r="N5502" t="str">
        <f>"2/9/2010 12:00:00 AM"</f>
        <v>2/9/2010 12:00:00 AM</v>
      </c>
      <c r="O5502" t="s">
        <v>16781</v>
      </c>
    </row>
    <row r="5503" spans="1:20" x14ac:dyDescent="0.25">
      <c r="A5503" t="str">
        <f>"3048211"</f>
        <v>3048211</v>
      </c>
      <c r="B5503" t="s">
        <v>16783</v>
      </c>
      <c r="C5503" t="str">
        <f>"62386000"</f>
        <v>62386000</v>
      </c>
      <c r="D5503" t="s">
        <v>16781</v>
      </c>
      <c r="F5503" t="s">
        <v>16782</v>
      </c>
      <c r="I5503" t="s">
        <v>29</v>
      </c>
      <c r="J5503" t="s">
        <v>30</v>
      </c>
      <c r="K5503" t="s">
        <v>11073</v>
      </c>
      <c r="M5503" t="s">
        <v>32</v>
      </c>
      <c r="N5503" t="str">
        <f>"2/9/2010 12:00:00 AM"</f>
        <v>2/9/2010 12:00:00 AM</v>
      </c>
      <c r="O5503" t="s">
        <v>16781</v>
      </c>
    </row>
    <row r="5504" spans="1:20" x14ac:dyDescent="0.25">
      <c r="A5504" t="str">
        <f>"3062131"</f>
        <v>3062131</v>
      </c>
      <c r="B5504" t="s">
        <v>16784</v>
      </c>
      <c r="C5504" t="str">
        <f>"82516882"</f>
        <v>82516882</v>
      </c>
      <c r="D5504" t="s">
        <v>16785</v>
      </c>
      <c r="E5504" t="s">
        <v>16786</v>
      </c>
      <c r="F5504" t="s">
        <v>16787</v>
      </c>
      <c r="I5504" t="s">
        <v>29</v>
      </c>
      <c r="J5504" t="s">
        <v>30</v>
      </c>
      <c r="K5504" t="s">
        <v>31</v>
      </c>
      <c r="M5504" t="s">
        <v>32</v>
      </c>
      <c r="N5504" t="str">
        <f>"8/1/2001 12:00:00 AM"</f>
        <v>8/1/2001 12:00:00 AM</v>
      </c>
      <c r="O5504" t="s">
        <v>16785</v>
      </c>
      <c r="T5504" t="s">
        <v>16786</v>
      </c>
    </row>
    <row r="5505" spans="1:20" x14ac:dyDescent="0.25">
      <c r="A5505" t="str">
        <f>"3055521"</f>
        <v>3055521</v>
      </c>
      <c r="B5505" t="s">
        <v>16788</v>
      </c>
      <c r="C5505" t="str">
        <f>"25666000"</f>
        <v>25666000</v>
      </c>
      <c r="D5505" t="s">
        <v>16789</v>
      </c>
      <c r="E5505" t="s">
        <v>16790</v>
      </c>
      <c r="F5505" t="s">
        <v>16791</v>
      </c>
      <c r="I5505" t="s">
        <v>29</v>
      </c>
      <c r="J5505" t="s">
        <v>30</v>
      </c>
      <c r="K5505" t="s">
        <v>31</v>
      </c>
      <c r="N5505" t="str">
        <f>"8/21/2003 12:00:00 AM"</f>
        <v>8/21/2003 12:00:00 AM</v>
      </c>
      <c r="O5505" t="s">
        <v>16789</v>
      </c>
      <c r="T5505" t="s">
        <v>16790</v>
      </c>
    </row>
    <row r="5506" spans="1:20" x14ac:dyDescent="0.25">
      <c r="A5506" t="str">
        <f>"3056162"</f>
        <v>3056162</v>
      </c>
      <c r="B5506" t="s">
        <v>16792</v>
      </c>
      <c r="C5506" t="str">
        <f>"31456750"</f>
        <v>31456750</v>
      </c>
      <c r="D5506" t="s">
        <v>16793</v>
      </c>
      <c r="F5506" t="s">
        <v>16794</v>
      </c>
      <c r="I5506" t="s">
        <v>29</v>
      </c>
      <c r="J5506" t="s">
        <v>30</v>
      </c>
      <c r="K5506" t="s">
        <v>16795</v>
      </c>
      <c r="M5506" t="s">
        <v>32</v>
      </c>
      <c r="N5506" t="str">
        <f>"12/6/2006 12:00:00 AM"</f>
        <v>12/6/2006 12:00:00 AM</v>
      </c>
      <c r="O5506" t="s">
        <v>16793</v>
      </c>
    </row>
    <row r="5507" spans="1:20" x14ac:dyDescent="0.25">
      <c r="A5507" t="str">
        <f>"3056143"</f>
        <v>3056143</v>
      </c>
      <c r="B5507" t="s">
        <v>16796</v>
      </c>
      <c r="C5507" t="str">
        <f>"31456750"</f>
        <v>31456750</v>
      </c>
      <c r="D5507" t="s">
        <v>16793</v>
      </c>
      <c r="F5507" t="s">
        <v>16794</v>
      </c>
      <c r="I5507" t="s">
        <v>29</v>
      </c>
      <c r="J5507" t="s">
        <v>30</v>
      </c>
      <c r="K5507" t="s">
        <v>16795</v>
      </c>
      <c r="M5507" t="s">
        <v>32</v>
      </c>
      <c r="N5507" t="str">
        <f>"12/6/2006 12:00:00 AM"</f>
        <v>12/6/2006 12:00:00 AM</v>
      </c>
      <c r="O5507" t="s">
        <v>16793</v>
      </c>
    </row>
    <row r="5508" spans="1:20" x14ac:dyDescent="0.25">
      <c r="A5508" t="str">
        <f>"3075006"</f>
        <v>3075006</v>
      </c>
      <c r="B5508" t="s">
        <v>16797</v>
      </c>
      <c r="C5508" t="str">
        <f>"31456750"</f>
        <v>31456750</v>
      </c>
      <c r="D5508" t="s">
        <v>16793</v>
      </c>
      <c r="F5508" t="s">
        <v>16794</v>
      </c>
      <c r="I5508" t="s">
        <v>29</v>
      </c>
      <c r="J5508" t="s">
        <v>30</v>
      </c>
      <c r="K5508" t="s">
        <v>16795</v>
      </c>
      <c r="M5508" t="s">
        <v>32</v>
      </c>
      <c r="N5508" t="str">
        <f>"12/6/2006 12:00:00 AM"</f>
        <v>12/6/2006 12:00:00 AM</v>
      </c>
      <c r="O5508" t="s">
        <v>16793</v>
      </c>
    </row>
    <row r="5509" spans="1:20" x14ac:dyDescent="0.25">
      <c r="A5509" t="str">
        <f>"3054794"</f>
        <v>3054794</v>
      </c>
      <c r="B5509" t="s">
        <v>16798</v>
      </c>
      <c r="C5509" t="str">
        <f>"82517139"</f>
        <v>82517139</v>
      </c>
      <c r="D5509" t="s">
        <v>16591</v>
      </c>
      <c r="E5509" t="s">
        <v>16592</v>
      </c>
      <c r="F5509" t="s">
        <v>16593</v>
      </c>
      <c r="I5509" t="s">
        <v>184</v>
      </c>
      <c r="J5509" t="s">
        <v>30</v>
      </c>
      <c r="K5509" t="s">
        <v>185</v>
      </c>
      <c r="M5509" t="s">
        <v>32</v>
      </c>
      <c r="N5509" t="str">
        <f>"11/15/2002 12:00:00 AM"</f>
        <v>11/15/2002 12:00:00 AM</v>
      </c>
      <c r="O5509" t="s">
        <v>16591</v>
      </c>
      <c r="T5509" t="s">
        <v>16592</v>
      </c>
    </row>
    <row r="5510" spans="1:20" x14ac:dyDescent="0.25">
      <c r="A5510" t="str">
        <f>"3054724"</f>
        <v>3054724</v>
      </c>
      <c r="B5510" t="s">
        <v>16799</v>
      </c>
      <c r="C5510" t="str">
        <f>"82517139"</f>
        <v>82517139</v>
      </c>
      <c r="D5510" t="s">
        <v>16591</v>
      </c>
      <c r="E5510" t="s">
        <v>16592</v>
      </c>
      <c r="F5510" t="s">
        <v>16593</v>
      </c>
      <c r="I5510" t="s">
        <v>184</v>
      </c>
      <c r="J5510" t="s">
        <v>30</v>
      </c>
      <c r="K5510" t="s">
        <v>185</v>
      </c>
      <c r="M5510" t="s">
        <v>32</v>
      </c>
      <c r="N5510" t="str">
        <f>"11/15/2002 12:00:00 AM"</f>
        <v>11/15/2002 12:00:00 AM</v>
      </c>
      <c r="O5510" t="s">
        <v>16591</v>
      </c>
      <c r="T5510" t="s">
        <v>16592</v>
      </c>
    </row>
    <row r="5511" spans="1:20" x14ac:dyDescent="0.25">
      <c r="A5511" t="str">
        <f>"3078588"</f>
        <v>3078588</v>
      </c>
      <c r="B5511" t="s">
        <v>16800</v>
      </c>
      <c r="C5511" t="str">
        <f>"82517139"</f>
        <v>82517139</v>
      </c>
      <c r="D5511" t="s">
        <v>16591</v>
      </c>
      <c r="E5511" t="s">
        <v>16592</v>
      </c>
      <c r="F5511" t="s">
        <v>16593</v>
      </c>
      <c r="I5511" t="s">
        <v>184</v>
      </c>
      <c r="J5511" t="s">
        <v>30</v>
      </c>
      <c r="K5511" t="s">
        <v>185</v>
      </c>
      <c r="M5511" t="s">
        <v>32</v>
      </c>
      <c r="N5511" t="str">
        <f>"11/15/2002 12:00:00 AM"</f>
        <v>11/15/2002 12:00:00 AM</v>
      </c>
      <c r="O5511" t="s">
        <v>16591</v>
      </c>
      <c r="T5511" t="s">
        <v>16592</v>
      </c>
    </row>
    <row r="5512" spans="1:20" x14ac:dyDescent="0.25">
      <c r="A5512" t="str">
        <f>"3056794"</f>
        <v>3056794</v>
      </c>
      <c r="B5512" t="s">
        <v>16801</v>
      </c>
      <c r="C5512" t="str">
        <f>"82529529"</f>
        <v>82529529</v>
      </c>
      <c r="D5512" t="s">
        <v>16802</v>
      </c>
      <c r="E5512" t="s">
        <v>16803</v>
      </c>
      <c r="F5512" t="s">
        <v>16804</v>
      </c>
      <c r="I5512" t="s">
        <v>29</v>
      </c>
      <c r="J5512" t="s">
        <v>30</v>
      </c>
      <c r="K5512" t="s">
        <v>31</v>
      </c>
      <c r="M5512" t="s">
        <v>32</v>
      </c>
      <c r="N5512" t="str">
        <f>"8/2/2010 12:00:00 AM"</f>
        <v>8/2/2010 12:00:00 AM</v>
      </c>
      <c r="O5512" t="s">
        <v>16802</v>
      </c>
      <c r="T5512" t="s">
        <v>16803</v>
      </c>
    </row>
    <row r="5513" spans="1:20" x14ac:dyDescent="0.25">
      <c r="A5513" t="str">
        <f>"3056227"</f>
        <v>3056227</v>
      </c>
      <c r="B5513" t="s">
        <v>16805</v>
      </c>
      <c r="C5513" t="str">
        <f>"56829120"</f>
        <v>56829120</v>
      </c>
      <c r="D5513" t="s">
        <v>16806</v>
      </c>
      <c r="F5513" t="s">
        <v>16807</v>
      </c>
      <c r="I5513" t="s">
        <v>3196</v>
      </c>
      <c r="J5513" t="s">
        <v>30</v>
      </c>
      <c r="K5513" t="s">
        <v>16808</v>
      </c>
      <c r="M5513" t="s">
        <v>32</v>
      </c>
      <c r="N5513" t="str">
        <f>"3/31/2004 12:00:00 AM"</f>
        <v>3/31/2004 12:00:00 AM</v>
      </c>
      <c r="O5513" t="s">
        <v>16806</v>
      </c>
    </row>
    <row r="5514" spans="1:20" x14ac:dyDescent="0.25">
      <c r="A5514" t="str">
        <f>"3056703"</f>
        <v>3056703</v>
      </c>
      <c r="B5514" t="s">
        <v>16809</v>
      </c>
      <c r="C5514" t="str">
        <f>"32927000"</f>
        <v>32927000</v>
      </c>
      <c r="D5514" t="s">
        <v>16810</v>
      </c>
      <c r="E5514" t="s">
        <v>16811</v>
      </c>
      <c r="F5514" t="s">
        <v>16812</v>
      </c>
      <c r="I5514" t="s">
        <v>964</v>
      </c>
      <c r="J5514" t="s">
        <v>30</v>
      </c>
      <c r="K5514" t="s">
        <v>16661</v>
      </c>
      <c r="M5514" t="s">
        <v>32</v>
      </c>
      <c r="N5514" t="str">
        <f>"9/12/2003 12:00:00 AM"</f>
        <v>9/12/2003 12:00:00 AM</v>
      </c>
      <c r="O5514" t="s">
        <v>16810</v>
      </c>
      <c r="T5514" t="s">
        <v>16811</v>
      </c>
    </row>
    <row r="5515" spans="1:20" x14ac:dyDescent="0.25">
      <c r="A5515" t="str">
        <f>"3056270"</f>
        <v>3056270</v>
      </c>
      <c r="B5515" t="s">
        <v>16813</v>
      </c>
      <c r="C5515" t="str">
        <f>"66940000"</f>
        <v>66940000</v>
      </c>
      <c r="D5515" t="s">
        <v>16814</v>
      </c>
      <c r="E5515" t="s">
        <v>16815</v>
      </c>
      <c r="F5515" t="s">
        <v>15577</v>
      </c>
      <c r="I5515" t="s">
        <v>29</v>
      </c>
      <c r="J5515" t="s">
        <v>30</v>
      </c>
      <c r="K5515" t="s">
        <v>16537</v>
      </c>
      <c r="M5515" t="s">
        <v>32</v>
      </c>
      <c r="N5515" t="str">
        <f>"1/31/2006 12:00:00 AM"</f>
        <v>1/31/2006 12:00:00 AM</v>
      </c>
      <c r="O5515" t="s">
        <v>16814</v>
      </c>
      <c r="T5515" t="s">
        <v>16815</v>
      </c>
    </row>
    <row r="5516" spans="1:20" x14ac:dyDescent="0.25">
      <c r="A5516" t="str">
        <f>"3078569"</f>
        <v>3078569</v>
      </c>
      <c r="B5516" t="s">
        <v>16816</v>
      </c>
      <c r="C5516" t="str">
        <f>"66940000"</f>
        <v>66940000</v>
      </c>
      <c r="D5516" t="s">
        <v>16814</v>
      </c>
      <c r="E5516" t="s">
        <v>16815</v>
      </c>
      <c r="F5516" t="s">
        <v>15577</v>
      </c>
      <c r="I5516" t="s">
        <v>29</v>
      </c>
      <c r="J5516" t="s">
        <v>30</v>
      </c>
      <c r="K5516" t="s">
        <v>16537</v>
      </c>
      <c r="M5516" t="s">
        <v>32</v>
      </c>
      <c r="N5516" t="str">
        <f>"1/31/2006 12:00:00 AM"</f>
        <v>1/31/2006 12:00:00 AM</v>
      </c>
      <c r="O5516" t="s">
        <v>16814</v>
      </c>
      <c r="T5516" t="s">
        <v>16815</v>
      </c>
    </row>
    <row r="5517" spans="1:20" x14ac:dyDescent="0.25">
      <c r="A5517" t="str">
        <f>"3069042"</f>
        <v>3069042</v>
      </c>
      <c r="B5517" t="s">
        <v>16817</v>
      </c>
      <c r="C5517" t="str">
        <f>"66940000"</f>
        <v>66940000</v>
      </c>
      <c r="D5517" t="s">
        <v>16814</v>
      </c>
      <c r="E5517" t="s">
        <v>16815</v>
      </c>
      <c r="F5517" t="s">
        <v>15577</v>
      </c>
      <c r="I5517" t="s">
        <v>29</v>
      </c>
      <c r="J5517" t="s">
        <v>30</v>
      </c>
      <c r="K5517" t="s">
        <v>16537</v>
      </c>
      <c r="M5517" t="s">
        <v>32</v>
      </c>
      <c r="N5517" t="str">
        <f>"1/31/2006 12:00:00 AM"</f>
        <v>1/31/2006 12:00:00 AM</v>
      </c>
      <c r="O5517" t="s">
        <v>16814</v>
      </c>
      <c r="T5517" t="s">
        <v>16815</v>
      </c>
    </row>
    <row r="5518" spans="1:20" x14ac:dyDescent="0.25">
      <c r="A5518" t="str">
        <f>"3056376"</f>
        <v>3056376</v>
      </c>
      <c r="B5518" t="s">
        <v>16818</v>
      </c>
      <c r="C5518" t="str">
        <f>"15313000"</f>
        <v>15313000</v>
      </c>
      <c r="D5518" t="s">
        <v>16819</v>
      </c>
      <c r="E5518" t="s">
        <v>16820</v>
      </c>
      <c r="F5518" t="s">
        <v>16821</v>
      </c>
      <c r="I5518" t="s">
        <v>16822</v>
      </c>
      <c r="J5518" t="s">
        <v>2738</v>
      </c>
      <c r="K5518" t="s">
        <v>16823</v>
      </c>
      <c r="N5518" t="str">
        <f>"11/18/2002 12:00:00 AM"</f>
        <v>11/18/2002 12:00:00 AM</v>
      </c>
      <c r="O5518" t="s">
        <v>16819</v>
      </c>
      <c r="T5518" t="s">
        <v>16820</v>
      </c>
    </row>
    <row r="5519" spans="1:20" x14ac:dyDescent="0.25">
      <c r="A5519" t="str">
        <f>"3054771"</f>
        <v>3054771</v>
      </c>
      <c r="B5519" t="s">
        <v>16824</v>
      </c>
      <c r="C5519" t="str">
        <f>"70987120"</f>
        <v>70987120</v>
      </c>
      <c r="D5519" t="s">
        <v>16739</v>
      </c>
      <c r="F5519" t="s">
        <v>16741</v>
      </c>
      <c r="I5519" t="s">
        <v>964</v>
      </c>
      <c r="J5519" t="s">
        <v>30</v>
      </c>
      <c r="K5519" t="s">
        <v>965</v>
      </c>
      <c r="M5519" t="s">
        <v>32</v>
      </c>
      <c r="N5519" t="str">
        <f>"4/27/2006 12:00:00 AM"</f>
        <v>4/27/2006 12:00:00 AM</v>
      </c>
      <c r="O5519" t="s">
        <v>16739</v>
      </c>
    </row>
    <row r="5520" spans="1:20" x14ac:dyDescent="0.25">
      <c r="A5520" t="str">
        <f>"3055123"</f>
        <v>3055123</v>
      </c>
      <c r="B5520" t="s">
        <v>16825</v>
      </c>
      <c r="C5520" t="str">
        <f>"19122000"</f>
        <v>19122000</v>
      </c>
      <c r="D5520" t="s">
        <v>16764</v>
      </c>
      <c r="F5520" t="s">
        <v>14893</v>
      </c>
      <c r="I5520" t="s">
        <v>29</v>
      </c>
      <c r="J5520" t="s">
        <v>30</v>
      </c>
      <c r="K5520" t="s">
        <v>16765</v>
      </c>
      <c r="M5520" t="s">
        <v>32</v>
      </c>
      <c r="N5520" t="str">
        <f>"1/24/2006 12:00:00 AM"</f>
        <v>1/24/2006 12:00:00 AM</v>
      </c>
      <c r="O5520" t="s">
        <v>16764</v>
      </c>
      <c r="T5520" t="s">
        <v>16764</v>
      </c>
    </row>
    <row r="5521" spans="1:20" x14ac:dyDescent="0.25">
      <c r="A5521" t="str">
        <f>"3055278"</f>
        <v>3055278</v>
      </c>
      <c r="B5521" t="s">
        <v>16826</v>
      </c>
      <c r="C5521" t="str">
        <f>"19122000"</f>
        <v>19122000</v>
      </c>
      <c r="D5521" t="s">
        <v>16764</v>
      </c>
      <c r="F5521" t="s">
        <v>14893</v>
      </c>
      <c r="I5521" t="s">
        <v>29</v>
      </c>
      <c r="J5521" t="s">
        <v>30</v>
      </c>
      <c r="K5521" t="s">
        <v>16765</v>
      </c>
      <c r="M5521" t="s">
        <v>32</v>
      </c>
      <c r="N5521" t="str">
        <f>"1/24/2006 12:00:00 AM"</f>
        <v>1/24/2006 12:00:00 AM</v>
      </c>
      <c r="O5521" t="s">
        <v>16764</v>
      </c>
      <c r="T5521" t="s">
        <v>16764</v>
      </c>
    </row>
    <row r="5522" spans="1:20" x14ac:dyDescent="0.25">
      <c r="A5522" t="str">
        <f>"3038505"</f>
        <v>3038505</v>
      </c>
      <c r="B5522" t="s">
        <v>16827</v>
      </c>
      <c r="C5522" t="str">
        <f>"21274000"</f>
        <v>21274000</v>
      </c>
      <c r="D5522" t="s">
        <v>16828</v>
      </c>
      <c r="F5522" t="s">
        <v>16829</v>
      </c>
      <c r="I5522" t="s">
        <v>29</v>
      </c>
      <c r="J5522" t="s">
        <v>30</v>
      </c>
      <c r="K5522" t="s">
        <v>16830</v>
      </c>
      <c r="M5522" t="s">
        <v>32</v>
      </c>
      <c r="N5522" t="str">
        <f>"1/17/2006 12:00:00 AM"</f>
        <v>1/17/2006 12:00:00 AM</v>
      </c>
      <c r="O5522" t="s">
        <v>16828</v>
      </c>
    </row>
    <row r="5523" spans="1:20" x14ac:dyDescent="0.25">
      <c r="A5523" t="str">
        <f>"3046706"</f>
        <v>3046706</v>
      </c>
      <c r="B5523" t="s">
        <v>16831</v>
      </c>
      <c r="C5523" t="str">
        <f>"34112000"</f>
        <v>34112000</v>
      </c>
      <c r="D5523" t="s">
        <v>16832</v>
      </c>
      <c r="F5523" t="s">
        <v>16833</v>
      </c>
      <c r="I5523" t="s">
        <v>29</v>
      </c>
      <c r="J5523" t="s">
        <v>30</v>
      </c>
      <c r="K5523" t="s">
        <v>16834</v>
      </c>
      <c r="M5523" t="s">
        <v>32</v>
      </c>
      <c r="N5523" t="str">
        <f>"2/4/2010 12:00:00 AM"</f>
        <v>2/4/2010 12:00:00 AM</v>
      </c>
      <c r="O5523" t="s">
        <v>16832</v>
      </c>
    </row>
    <row r="5524" spans="1:20" x14ac:dyDescent="0.25">
      <c r="A5524" t="str">
        <f>"3054749"</f>
        <v>3054749</v>
      </c>
      <c r="B5524" t="s">
        <v>16835</v>
      </c>
      <c r="C5524" t="str">
        <f>"48177500"</f>
        <v>48177500</v>
      </c>
      <c r="D5524" t="s">
        <v>16836</v>
      </c>
      <c r="E5524" t="s">
        <v>16837</v>
      </c>
      <c r="F5524" t="s">
        <v>16838</v>
      </c>
      <c r="I5524" t="s">
        <v>29</v>
      </c>
      <c r="J5524" t="s">
        <v>30</v>
      </c>
      <c r="K5524" t="s">
        <v>16839</v>
      </c>
      <c r="M5524" t="s">
        <v>32</v>
      </c>
      <c r="N5524" t="str">
        <f>"10/17/2011 12:00:00 AM"</f>
        <v>10/17/2011 12:00:00 AM</v>
      </c>
      <c r="O5524" t="s">
        <v>16836</v>
      </c>
      <c r="T5524" t="s">
        <v>16837</v>
      </c>
    </row>
    <row r="5525" spans="1:20" x14ac:dyDescent="0.25">
      <c r="A5525" t="str">
        <f>"3056902"</f>
        <v>3056902</v>
      </c>
      <c r="B5525" t="s">
        <v>16840</v>
      </c>
      <c r="C5525" t="str">
        <f>"69870000"</f>
        <v>69870000</v>
      </c>
      <c r="D5525" t="s">
        <v>16841</v>
      </c>
      <c r="F5525" t="s">
        <v>15763</v>
      </c>
      <c r="I5525" t="s">
        <v>29</v>
      </c>
      <c r="J5525" t="s">
        <v>30</v>
      </c>
      <c r="K5525" t="s">
        <v>31</v>
      </c>
      <c r="M5525" t="s">
        <v>32</v>
      </c>
      <c r="N5525" t="str">
        <f>"11/6/2002 12:00:00 AM"</f>
        <v>11/6/2002 12:00:00 AM</v>
      </c>
      <c r="O5525" t="s">
        <v>16841</v>
      </c>
    </row>
    <row r="5526" spans="1:20" x14ac:dyDescent="0.25">
      <c r="A5526" t="str">
        <f>"3056883"</f>
        <v>3056883</v>
      </c>
      <c r="B5526" t="s">
        <v>16842</v>
      </c>
      <c r="C5526" t="str">
        <f>"69870000"</f>
        <v>69870000</v>
      </c>
      <c r="D5526" t="s">
        <v>16841</v>
      </c>
      <c r="F5526" t="s">
        <v>15763</v>
      </c>
      <c r="I5526" t="s">
        <v>29</v>
      </c>
      <c r="J5526" t="s">
        <v>30</v>
      </c>
      <c r="K5526" t="s">
        <v>31</v>
      </c>
      <c r="M5526" t="s">
        <v>32</v>
      </c>
      <c r="N5526" t="str">
        <f>"11/6/2002 12:00:00 AM"</f>
        <v>11/6/2002 12:00:00 AM</v>
      </c>
      <c r="O5526" t="s">
        <v>16841</v>
      </c>
    </row>
    <row r="5527" spans="1:20" x14ac:dyDescent="0.25">
      <c r="A5527" t="str">
        <f>"3057320"</f>
        <v>3057320</v>
      </c>
      <c r="B5527" t="s">
        <v>16843</v>
      </c>
      <c r="C5527" t="str">
        <f>"82517273"</f>
        <v>82517273</v>
      </c>
      <c r="D5527" t="s">
        <v>16844</v>
      </c>
      <c r="F5527" t="s">
        <v>15763</v>
      </c>
      <c r="I5527" t="s">
        <v>29</v>
      </c>
      <c r="J5527" t="s">
        <v>30</v>
      </c>
      <c r="K5527" t="s">
        <v>31</v>
      </c>
      <c r="M5527" t="s">
        <v>32</v>
      </c>
      <c r="N5527" t="str">
        <f>"6/19/2003 12:00:00 AM"</f>
        <v>6/19/2003 12:00:00 AM</v>
      </c>
      <c r="O5527" t="s">
        <v>16844</v>
      </c>
    </row>
    <row r="5528" spans="1:20" x14ac:dyDescent="0.25">
      <c r="A5528" t="str">
        <f>"3056958"</f>
        <v>3056958</v>
      </c>
      <c r="B5528" t="s">
        <v>16845</v>
      </c>
      <c r="C5528" t="str">
        <f>"62386000"</f>
        <v>62386000</v>
      </c>
      <c r="D5528" t="s">
        <v>16781</v>
      </c>
      <c r="F5528" t="s">
        <v>16782</v>
      </c>
      <c r="I5528" t="s">
        <v>29</v>
      </c>
      <c r="J5528" t="s">
        <v>30</v>
      </c>
      <c r="K5528" t="s">
        <v>11073</v>
      </c>
      <c r="M5528" t="s">
        <v>32</v>
      </c>
      <c r="N5528" t="str">
        <f>"2/9/2010 12:00:00 AM"</f>
        <v>2/9/2010 12:00:00 AM</v>
      </c>
      <c r="O5528" t="s">
        <v>16781</v>
      </c>
    </row>
    <row r="5529" spans="1:20" x14ac:dyDescent="0.25">
      <c r="A5529" t="str">
        <f>"3042161"</f>
        <v>3042161</v>
      </c>
      <c r="B5529" t="s">
        <v>16846</v>
      </c>
      <c r="C5529" t="str">
        <f>"65552000"</f>
        <v>65552000</v>
      </c>
      <c r="D5529" t="s">
        <v>16847</v>
      </c>
      <c r="F5529" t="s">
        <v>16848</v>
      </c>
      <c r="I5529" t="s">
        <v>29</v>
      </c>
      <c r="J5529" t="s">
        <v>30</v>
      </c>
      <c r="K5529" t="s">
        <v>16849</v>
      </c>
      <c r="M5529" t="s">
        <v>32</v>
      </c>
      <c r="N5529" t="str">
        <f>"2/1/2006 12:00:00 AM"</f>
        <v>2/1/2006 12:00:00 AM</v>
      </c>
      <c r="O5529" t="s">
        <v>16847</v>
      </c>
    </row>
    <row r="5530" spans="1:20" x14ac:dyDescent="0.25">
      <c r="A5530" t="str">
        <f>"3052925"</f>
        <v>3052925</v>
      </c>
      <c r="B5530" t="s">
        <v>16850</v>
      </c>
      <c r="C5530" t="str">
        <f>"31456750"</f>
        <v>31456750</v>
      </c>
      <c r="D5530" t="s">
        <v>16793</v>
      </c>
      <c r="F5530" t="s">
        <v>16794</v>
      </c>
      <c r="I5530" t="s">
        <v>29</v>
      </c>
      <c r="J5530" t="s">
        <v>30</v>
      </c>
      <c r="K5530" t="s">
        <v>16795</v>
      </c>
      <c r="M5530" t="s">
        <v>32</v>
      </c>
      <c r="N5530" t="str">
        <f>"12/6/2006 12:00:00 AM"</f>
        <v>12/6/2006 12:00:00 AM</v>
      </c>
      <c r="O5530" t="s">
        <v>16793</v>
      </c>
    </row>
    <row r="5531" spans="1:20" x14ac:dyDescent="0.25">
      <c r="A5531" t="str">
        <f>"3041162"</f>
        <v>3041162</v>
      </c>
      <c r="B5531" t="s">
        <v>16851</v>
      </c>
      <c r="C5531" t="str">
        <f>"82526540"</f>
        <v>82526540</v>
      </c>
      <c r="D5531" t="s">
        <v>16852</v>
      </c>
      <c r="F5531" t="s">
        <v>16853</v>
      </c>
      <c r="I5531" t="s">
        <v>29</v>
      </c>
      <c r="J5531" t="s">
        <v>30</v>
      </c>
      <c r="K5531" t="s">
        <v>31</v>
      </c>
      <c r="M5531" t="s">
        <v>32</v>
      </c>
      <c r="N5531" t="str">
        <f>"8/3/2006 12:00:00 AM"</f>
        <v>8/3/2006 12:00:00 AM</v>
      </c>
      <c r="O5531" t="s">
        <v>16852</v>
      </c>
    </row>
    <row r="5532" spans="1:20" x14ac:dyDescent="0.25">
      <c r="A5532" t="str">
        <f>"3038071"</f>
        <v>3038071</v>
      </c>
      <c r="B5532" t="s">
        <v>16854</v>
      </c>
      <c r="C5532" t="str">
        <f>"77406000"</f>
        <v>77406000</v>
      </c>
      <c r="D5532" t="s">
        <v>1231</v>
      </c>
      <c r="F5532" t="s">
        <v>1232</v>
      </c>
      <c r="I5532" t="s">
        <v>29</v>
      </c>
      <c r="J5532" t="s">
        <v>30</v>
      </c>
      <c r="K5532" t="s">
        <v>31</v>
      </c>
      <c r="N5532" t="str">
        <f>"6/25/2004 12:00:00 AM"</f>
        <v>6/25/2004 12:00:00 AM</v>
      </c>
      <c r="O5532" t="s">
        <v>1231</v>
      </c>
    </row>
    <row r="5533" spans="1:20" x14ac:dyDescent="0.25">
      <c r="A5533" t="str">
        <f>"3052509"</f>
        <v>3052509</v>
      </c>
      <c r="B5533" t="s">
        <v>16855</v>
      </c>
      <c r="C5533" t="str">
        <f>"82526212"</f>
        <v>82526212</v>
      </c>
      <c r="D5533" t="s">
        <v>16856</v>
      </c>
      <c r="F5533" t="s">
        <v>16857</v>
      </c>
      <c r="I5533" t="s">
        <v>29</v>
      </c>
      <c r="J5533" t="s">
        <v>30</v>
      </c>
      <c r="K5533" t="s">
        <v>16858</v>
      </c>
      <c r="M5533" t="s">
        <v>32</v>
      </c>
      <c r="N5533" t="str">
        <f>"5/22/2006 12:00:00 AM"</f>
        <v>5/22/2006 12:00:00 AM</v>
      </c>
      <c r="O5533" t="s">
        <v>16856</v>
      </c>
    </row>
    <row r="5534" spans="1:20" x14ac:dyDescent="0.25">
      <c r="A5534" t="str">
        <f>"3057345"</f>
        <v>3057345</v>
      </c>
      <c r="B5534" t="s">
        <v>16859</v>
      </c>
      <c r="C5534" t="str">
        <f>"82523835"</f>
        <v>82523835</v>
      </c>
      <c r="D5534" t="s">
        <v>16860</v>
      </c>
      <c r="F5534" t="s">
        <v>16861</v>
      </c>
      <c r="I5534" t="s">
        <v>49</v>
      </c>
      <c r="J5534" t="s">
        <v>30</v>
      </c>
      <c r="K5534" t="s">
        <v>16862</v>
      </c>
      <c r="M5534" t="s">
        <v>32</v>
      </c>
      <c r="N5534" t="str">
        <f>"1/12/2006 12:00:00 AM"</f>
        <v>1/12/2006 12:00:00 AM</v>
      </c>
      <c r="O5534" t="s">
        <v>16860</v>
      </c>
    </row>
    <row r="5535" spans="1:20" x14ac:dyDescent="0.25">
      <c r="A5535" t="str">
        <f>"3062170"</f>
        <v>3062170</v>
      </c>
      <c r="B5535" t="s">
        <v>16863</v>
      </c>
      <c r="C5535" t="str">
        <f>"82523835"</f>
        <v>82523835</v>
      </c>
      <c r="D5535" t="s">
        <v>16860</v>
      </c>
      <c r="F5535" t="s">
        <v>16861</v>
      </c>
      <c r="I5535" t="s">
        <v>49</v>
      </c>
      <c r="J5535" t="s">
        <v>30</v>
      </c>
      <c r="K5535" t="s">
        <v>16862</v>
      </c>
      <c r="M5535" t="s">
        <v>32</v>
      </c>
      <c r="N5535" t="str">
        <f>"1/12/2006 12:00:00 AM"</f>
        <v>1/12/2006 12:00:00 AM</v>
      </c>
      <c r="O5535" t="s">
        <v>16860</v>
      </c>
    </row>
    <row r="5536" spans="1:20" x14ac:dyDescent="0.25">
      <c r="A5536" t="str">
        <f>"3056745"</f>
        <v>3056745</v>
      </c>
      <c r="B5536" t="s">
        <v>16864</v>
      </c>
      <c r="C5536" t="str">
        <f>"82529485"</f>
        <v>82529485</v>
      </c>
      <c r="D5536" t="s">
        <v>16865</v>
      </c>
      <c r="E5536" t="s">
        <v>16866</v>
      </c>
      <c r="F5536" t="s">
        <v>16867</v>
      </c>
      <c r="I5536" t="s">
        <v>29</v>
      </c>
      <c r="J5536" t="s">
        <v>30</v>
      </c>
      <c r="K5536" t="s">
        <v>31</v>
      </c>
      <c r="M5536" t="s">
        <v>32</v>
      </c>
      <c r="N5536" t="str">
        <f>"4/23/2008 12:00:00 AM"</f>
        <v>4/23/2008 12:00:00 AM</v>
      </c>
      <c r="O5536" t="s">
        <v>16865</v>
      </c>
      <c r="T5536" t="s">
        <v>16866</v>
      </c>
    </row>
    <row r="5537" spans="1:20" x14ac:dyDescent="0.25">
      <c r="A5537" t="str">
        <f>"3038175"</f>
        <v>3038175</v>
      </c>
      <c r="B5537" t="s">
        <v>16868</v>
      </c>
      <c r="C5537" t="str">
        <f>"82530668"</f>
        <v>82530668</v>
      </c>
      <c r="D5537" t="s">
        <v>15094</v>
      </c>
      <c r="F5537" t="s">
        <v>15096</v>
      </c>
      <c r="I5537" t="s">
        <v>29</v>
      </c>
      <c r="J5537" t="s">
        <v>30</v>
      </c>
      <c r="K5537" t="s">
        <v>31</v>
      </c>
      <c r="M5537" t="s">
        <v>32</v>
      </c>
      <c r="N5537" t="str">
        <f>"5/18/2009 12:00:00 AM"</f>
        <v>5/18/2009 12:00:00 AM</v>
      </c>
      <c r="O5537" t="s">
        <v>15094</v>
      </c>
    </row>
    <row r="5538" spans="1:20" x14ac:dyDescent="0.25">
      <c r="A5538" t="str">
        <f>"3057520"</f>
        <v>3057520</v>
      </c>
      <c r="B5538" t="s">
        <v>16869</v>
      </c>
      <c r="C5538" t="str">
        <f>"82530669"</f>
        <v>82530669</v>
      </c>
      <c r="D5538" t="s">
        <v>16870</v>
      </c>
      <c r="E5538" t="s">
        <v>16871</v>
      </c>
      <c r="F5538" t="s">
        <v>16872</v>
      </c>
      <c r="I5538" t="s">
        <v>184</v>
      </c>
      <c r="J5538" t="s">
        <v>30</v>
      </c>
      <c r="K5538" t="s">
        <v>185</v>
      </c>
      <c r="M5538" t="s">
        <v>32</v>
      </c>
      <c r="N5538" t="str">
        <f>"5/18/2009 12:00:00 AM"</f>
        <v>5/18/2009 12:00:00 AM</v>
      </c>
      <c r="O5538" t="s">
        <v>16870</v>
      </c>
      <c r="T5538" t="s">
        <v>16871</v>
      </c>
    </row>
    <row r="5539" spans="1:20" x14ac:dyDescent="0.25">
      <c r="A5539" t="str">
        <f>"3056420"</f>
        <v>3056420</v>
      </c>
      <c r="B5539" t="s">
        <v>16873</v>
      </c>
      <c r="C5539" t="str">
        <f>"82523880"</f>
        <v>82523880</v>
      </c>
      <c r="D5539" t="s">
        <v>16874</v>
      </c>
      <c r="F5539" t="s">
        <v>16875</v>
      </c>
      <c r="I5539" t="s">
        <v>29</v>
      </c>
      <c r="J5539" t="s">
        <v>30</v>
      </c>
      <c r="K5539" t="s">
        <v>31</v>
      </c>
      <c r="M5539" t="s">
        <v>32</v>
      </c>
      <c r="N5539" t="str">
        <f>"5/22/2008 12:00:00 AM"</f>
        <v>5/22/2008 12:00:00 AM</v>
      </c>
      <c r="O5539" t="s">
        <v>16874</v>
      </c>
    </row>
    <row r="5540" spans="1:20" x14ac:dyDescent="0.25">
      <c r="A5540" t="str">
        <f>"3056723"</f>
        <v>3056723</v>
      </c>
      <c r="B5540" t="s">
        <v>16876</v>
      </c>
      <c r="C5540" t="str">
        <f>"82519586"</f>
        <v>82519586</v>
      </c>
      <c r="D5540" t="s">
        <v>16877</v>
      </c>
      <c r="F5540" t="s">
        <v>16878</v>
      </c>
      <c r="I5540" t="s">
        <v>964</v>
      </c>
      <c r="J5540" t="s">
        <v>30</v>
      </c>
      <c r="K5540" t="s">
        <v>11521</v>
      </c>
      <c r="N5540" t="str">
        <f>"10/15/2002 12:00:00 AM"</f>
        <v>10/15/2002 12:00:00 AM</v>
      </c>
      <c r="O5540" t="s">
        <v>16877</v>
      </c>
    </row>
    <row r="5541" spans="1:20" x14ac:dyDescent="0.25">
      <c r="A5541" t="str">
        <f>"3056768"</f>
        <v>3056768</v>
      </c>
      <c r="B5541" t="s">
        <v>16879</v>
      </c>
      <c r="C5541" t="str">
        <f>"11568000"</f>
        <v>11568000</v>
      </c>
      <c r="D5541" t="s">
        <v>16880</v>
      </c>
      <c r="F5541" t="s">
        <v>16881</v>
      </c>
      <c r="I5541" t="s">
        <v>29</v>
      </c>
      <c r="J5541" t="s">
        <v>30</v>
      </c>
      <c r="K5541" t="s">
        <v>16882</v>
      </c>
      <c r="M5541" t="s">
        <v>32</v>
      </c>
      <c r="N5541" t="str">
        <f>"1/20/2004 12:00:00 AM"</f>
        <v>1/20/2004 12:00:00 AM</v>
      </c>
      <c r="O5541" t="s">
        <v>16880</v>
      </c>
    </row>
    <row r="5542" spans="1:20" x14ac:dyDescent="0.25">
      <c r="A5542" t="str">
        <f>"3056661"</f>
        <v>3056661</v>
      </c>
      <c r="B5542" t="s">
        <v>16883</v>
      </c>
      <c r="C5542" t="str">
        <f>"55667750"</f>
        <v>55667750</v>
      </c>
      <c r="D5542" t="s">
        <v>16706</v>
      </c>
      <c r="F5542" t="s">
        <v>16707</v>
      </c>
      <c r="I5542" t="s">
        <v>964</v>
      </c>
      <c r="J5542" t="s">
        <v>30</v>
      </c>
      <c r="K5542" t="s">
        <v>965</v>
      </c>
      <c r="M5542" t="s">
        <v>32</v>
      </c>
      <c r="N5542" t="str">
        <f>"3/26/2004 12:00:00 AM"</f>
        <v>3/26/2004 12:00:00 AM</v>
      </c>
      <c r="O5542" t="s">
        <v>16706</v>
      </c>
    </row>
    <row r="5543" spans="1:20" x14ac:dyDescent="0.25">
      <c r="A5543" t="str">
        <f>"3041621"</f>
        <v>3041621</v>
      </c>
      <c r="B5543" t="s">
        <v>16884</v>
      </c>
      <c r="C5543" t="str">
        <f>"64155800"</f>
        <v>64155800</v>
      </c>
      <c r="D5543" t="s">
        <v>16885</v>
      </c>
      <c r="F5543" t="s">
        <v>16886</v>
      </c>
      <c r="I5543" t="s">
        <v>2071</v>
      </c>
      <c r="J5543" t="s">
        <v>30</v>
      </c>
      <c r="K5543" t="s">
        <v>185</v>
      </c>
      <c r="M5543" t="s">
        <v>32</v>
      </c>
      <c r="N5543" t="str">
        <f>"4/17/2002 12:00:00 AM"</f>
        <v>4/17/2002 12:00:00 AM</v>
      </c>
      <c r="O5543" t="s">
        <v>16885</v>
      </c>
    </row>
    <row r="5544" spans="1:20" x14ac:dyDescent="0.25">
      <c r="A5544" t="str">
        <f>"3060617"</f>
        <v>3060617</v>
      </c>
      <c r="B5544" t="s">
        <v>16887</v>
      </c>
      <c r="C5544" t="str">
        <f>"82530452"</f>
        <v>82530452</v>
      </c>
      <c r="D5544" t="s">
        <v>16888</v>
      </c>
      <c r="E5544" t="s">
        <v>16889</v>
      </c>
      <c r="F5544" t="s">
        <v>16890</v>
      </c>
      <c r="I5544" t="s">
        <v>2071</v>
      </c>
      <c r="J5544" t="s">
        <v>30</v>
      </c>
      <c r="K5544" t="s">
        <v>185</v>
      </c>
      <c r="M5544" t="s">
        <v>32</v>
      </c>
      <c r="N5544" t="str">
        <f>"3/2/2009 12:00:00 AM"</f>
        <v>3/2/2009 12:00:00 AM</v>
      </c>
      <c r="O5544" t="s">
        <v>16888</v>
      </c>
      <c r="T5544" t="s">
        <v>16889</v>
      </c>
    </row>
    <row r="5545" spans="1:20" x14ac:dyDescent="0.25">
      <c r="A5545" t="str">
        <f>"3054291"</f>
        <v>3054291</v>
      </c>
      <c r="B5545" t="s">
        <v>16891</v>
      </c>
      <c r="C5545" t="str">
        <f>"82516208"</f>
        <v>82516208</v>
      </c>
      <c r="D5545" t="s">
        <v>16892</v>
      </c>
      <c r="F5545" t="s">
        <v>9579</v>
      </c>
      <c r="I5545" t="s">
        <v>9580</v>
      </c>
      <c r="J5545" t="s">
        <v>30</v>
      </c>
      <c r="K5545" t="s">
        <v>16893</v>
      </c>
      <c r="M5545" t="s">
        <v>32</v>
      </c>
      <c r="N5545" t="str">
        <f>"2/18/2005 12:00:00 AM"</f>
        <v>2/18/2005 12:00:00 AM</v>
      </c>
      <c r="O5545" t="s">
        <v>16892</v>
      </c>
    </row>
    <row r="5546" spans="1:20" x14ac:dyDescent="0.25">
      <c r="A5546" t="str">
        <f>"3045811"</f>
        <v>3045811</v>
      </c>
      <c r="B5546" t="s">
        <v>16894</v>
      </c>
      <c r="C5546" t="str">
        <f>"82530464"</f>
        <v>82530464</v>
      </c>
      <c r="D5546" t="s">
        <v>16895</v>
      </c>
      <c r="F5546" t="s">
        <v>16896</v>
      </c>
      <c r="I5546" t="s">
        <v>29</v>
      </c>
      <c r="J5546" t="s">
        <v>30</v>
      </c>
      <c r="K5546" t="s">
        <v>31</v>
      </c>
      <c r="M5546" t="s">
        <v>32</v>
      </c>
      <c r="N5546" t="str">
        <f>"3/3/2009 12:00:00 AM"</f>
        <v>3/3/2009 12:00:00 AM</v>
      </c>
      <c r="O5546" t="s">
        <v>16895</v>
      </c>
    </row>
    <row r="5547" spans="1:20" x14ac:dyDescent="0.25">
      <c r="A5547" t="str">
        <f>"3042601"</f>
        <v>3042601</v>
      </c>
      <c r="B5547" t="s">
        <v>16897</v>
      </c>
      <c r="C5547" t="str">
        <f>"79463300"</f>
        <v>79463300</v>
      </c>
      <c r="D5547" t="s">
        <v>16898</v>
      </c>
      <c r="F5547" t="s">
        <v>16899</v>
      </c>
      <c r="I5547" t="s">
        <v>184</v>
      </c>
      <c r="J5547" t="s">
        <v>30</v>
      </c>
      <c r="K5547" t="s">
        <v>5010</v>
      </c>
      <c r="M5547" t="s">
        <v>32</v>
      </c>
      <c r="N5547" t="str">
        <f>"2/21/2005 12:00:00 AM"</f>
        <v>2/21/2005 12:00:00 AM</v>
      </c>
      <c r="O5547" t="s">
        <v>16898</v>
      </c>
    </row>
    <row r="5548" spans="1:20" x14ac:dyDescent="0.25">
      <c r="A5548" t="str">
        <f>"3039635"</f>
        <v>3039635</v>
      </c>
      <c r="B5548" t="s">
        <v>16900</v>
      </c>
      <c r="C5548" t="str">
        <f>"82518747"</f>
        <v>82518747</v>
      </c>
      <c r="D5548" t="s">
        <v>16901</v>
      </c>
      <c r="E5548" t="s">
        <v>16902</v>
      </c>
      <c r="F5548" t="s">
        <v>1730</v>
      </c>
      <c r="I5548" t="s">
        <v>184</v>
      </c>
      <c r="J5548" t="s">
        <v>30</v>
      </c>
      <c r="K5548" t="s">
        <v>185</v>
      </c>
      <c r="N5548" t="str">
        <f>"1/16/2003 12:00:00 AM"</f>
        <v>1/16/2003 12:00:00 AM</v>
      </c>
      <c r="O5548" t="s">
        <v>16901</v>
      </c>
      <c r="T5548" t="s">
        <v>16902</v>
      </c>
    </row>
    <row r="5549" spans="1:20" x14ac:dyDescent="0.25">
      <c r="A5549" t="str">
        <f>"3061737"</f>
        <v>3061737</v>
      </c>
      <c r="B5549" t="s">
        <v>16903</v>
      </c>
      <c r="C5549" t="str">
        <f>"56974000"</f>
        <v>56974000</v>
      </c>
      <c r="D5549" t="s">
        <v>16904</v>
      </c>
      <c r="F5549" t="s">
        <v>2746</v>
      </c>
      <c r="I5549" t="s">
        <v>29</v>
      </c>
      <c r="J5549" t="s">
        <v>30</v>
      </c>
      <c r="K5549" t="s">
        <v>31</v>
      </c>
      <c r="M5549" t="s">
        <v>32</v>
      </c>
      <c r="N5549" t="str">
        <f>"2/4/2004 12:00:00 AM"</f>
        <v>2/4/2004 12:00:00 AM</v>
      </c>
      <c r="O5549" t="s">
        <v>16904</v>
      </c>
    </row>
    <row r="5550" spans="1:20" x14ac:dyDescent="0.25">
      <c r="A5550" t="str">
        <f>"3056901"</f>
        <v>3056901</v>
      </c>
      <c r="B5550" t="s">
        <v>16905</v>
      </c>
      <c r="C5550" t="str">
        <f>"69870000"</f>
        <v>69870000</v>
      </c>
      <c r="D5550" t="s">
        <v>16841</v>
      </c>
      <c r="F5550" t="s">
        <v>15763</v>
      </c>
      <c r="I5550" t="s">
        <v>29</v>
      </c>
      <c r="J5550" t="s">
        <v>30</v>
      </c>
      <c r="K5550" t="s">
        <v>31</v>
      </c>
      <c r="M5550" t="s">
        <v>32</v>
      </c>
      <c r="N5550" t="str">
        <f>"11/6/2002 12:00:00 AM"</f>
        <v>11/6/2002 12:00:00 AM</v>
      </c>
      <c r="O5550" t="s">
        <v>16841</v>
      </c>
    </row>
    <row r="5551" spans="1:20" x14ac:dyDescent="0.25">
      <c r="A5551" t="str">
        <f>"3050344"</f>
        <v>3050344</v>
      </c>
      <c r="B5551" t="s">
        <v>16906</v>
      </c>
      <c r="C5551" t="str">
        <f>"82515529"</f>
        <v>82515529</v>
      </c>
      <c r="D5551" t="s">
        <v>16907</v>
      </c>
      <c r="F5551" t="s">
        <v>16908</v>
      </c>
      <c r="I5551" t="s">
        <v>184</v>
      </c>
      <c r="J5551" t="s">
        <v>30</v>
      </c>
      <c r="K5551" t="s">
        <v>185</v>
      </c>
      <c r="M5551" t="s">
        <v>32</v>
      </c>
      <c r="N5551" t="str">
        <f>"8/20/2007 12:00:00 AM"</f>
        <v>8/20/2007 12:00:00 AM</v>
      </c>
      <c r="O5551" t="s">
        <v>16907</v>
      </c>
    </row>
    <row r="5552" spans="1:20" x14ac:dyDescent="0.25">
      <c r="A5552" t="str">
        <f>"3039515"</f>
        <v>3039515</v>
      </c>
      <c r="B5552" t="s">
        <v>16909</v>
      </c>
      <c r="C5552" t="str">
        <f>"82516653"</f>
        <v>82516653</v>
      </c>
      <c r="D5552" t="s">
        <v>16910</v>
      </c>
      <c r="E5552" t="s">
        <v>1925</v>
      </c>
      <c r="F5552" t="s">
        <v>1926</v>
      </c>
      <c r="I5552" t="s">
        <v>184</v>
      </c>
      <c r="J5552" t="s">
        <v>30</v>
      </c>
      <c r="K5552" t="s">
        <v>185</v>
      </c>
      <c r="M5552" t="s">
        <v>32</v>
      </c>
      <c r="N5552" t="str">
        <f>"8/6/2002 12:00:00 AM"</f>
        <v>8/6/2002 12:00:00 AM</v>
      </c>
      <c r="O5552" t="s">
        <v>16910</v>
      </c>
      <c r="T5552" t="s">
        <v>1925</v>
      </c>
    </row>
    <row r="5553" spans="1:20" x14ac:dyDescent="0.25">
      <c r="A5553" t="str">
        <f>"3038549"</f>
        <v>3038549</v>
      </c>
      <c r="B5553" t="s">
        <v>16911</v>
      </c>
      <c r="C5553" t="str">
        <f>"77406000"</f>
        <v>77406000</v>
      </c>
      <c r="D5553" t="s">
        <v>1231</v>
      </c>
      <c r="F5553" t="s">
        <v>1232</v>
      </c>
      <c r="I5553" t="s">
        <v>29</v>
      </c>
      <c r="J5553" t="s">
        <v>30</v>
      </c>
      <c r="K5553" t="s">
        <v>31</v>
      </c>
      <c r="N5553" t="str">
        <f>"6/25/2004 12:00:00 AM"</f>
        <v>6/25/2004 12:00:00 AM</v>
      </c>
      <c r="O5553" t="s">
        <v>1231</v>
      </c>
    </row>
    <row r="5554" spans="1:20" x14ac:dyDescent="0.25">
      <c r="A5554" t="str">
        <f>"3037950"</f>
        <v>3037950</v>
      </c>
      <c r="B5554" t="s">
        <v>16912</v>
      </c>
      <c r="C5554" t="str">
        <f>"77406000"</f>
        <v>77406000</v>
      </c>
      <c r="D5554" t="s">
        <v>1231</v>
      </c>
      <c r="F5554" t="s">
        <v>1232</v>
      </c>
      <c r="I5554" t="s">
        <v>29</v>
      </c>
      <c r="J5554" t="s">
        <v>30</v>
      </c>
      <c r="K5554" t="s">
        <v>31</v>
      </c>
      <c r="N5554" t="str">
        <f>"6/25/2004 12:00:00 AM"</f>
        <v>6/25/2004 12:00:00 AM</v>
      </c>
      <c r="O5554" t="s">
        <v>1231</v>
      </c>
    </row>
    <row r="5555" spans="1:20" x14ac:dyDescent="0.25">
      <c r="A5555" t="str">
        <f>"3044017"</f>
        <v>3044017</v>
      </c>
      <c r="B5555" t="s">
        <v>16913</v>
      </c>
      <c r="C5555" t="str">
        <f>"36316000"</f>
        <v>36316000</v>
      </c>
      <c r="D5555" t="s">
        <v>16914</v>
      </c>
      <c r="E5555" t="s">
        <v>16915</v>
      </c>
      <c r="F5555" t="s">
        <v>5519</v>
      </c>
      <c r="I5555" t="s">
        <v>184</v>
      </c>
      <c r="J5555" t="s">
        <v>30</v>
      </c>
      <c r="K5555" t="s">
        <v>185</v>
      </c>
      <c r="M5555" t="s">
        <v>32</v>
      </c>
      <c r="N5555" t="str">
        <f>"10/16/2003 12:00:00 AM"</f>
        <v>10/16/2003 12:00:00 AM</v>
      </c>
      <c r="O5555" t="s">
        <v>16914</v>
      </c>
      <c r="T5555" t="s">
        <v>16915</v>
      </c>
    </row>
    <row r="5556" spans="1:20" x14ac:dyDescent="0.25">
      <c r="A5556" t="str">
        <f>"3058381"</f>
        <v>3058381</v>
      </c>
      <c r="B5556" t="s">
        <v>16916</v>
      </c>
      <c r="C5556" t="str">
        <f>"82530569"</f>
        <v>82530569</v>
      </c>
      <c r="D5556" t="s">
        <v>16917</v>
      </c>
      <c r="E5556" t="s">
        <v>16918</v>
      </c>
      <c r="F5556" t="s">
        <v>16919</v>
      </c>
      <c r="I5556" t="s">
        <v>2071</v>
      </c>
      <c r="J5556" t="s">
        <v>30</v>
      </c>
      <c r="K5556" t="s">
        <v>185</v>
      </c>
      <c r="M5556" t="s">
        <v>32</v>
      </c>
      <c r="N5556" t="str">
        <f>"4/15/2009 12:00:00 AM"</f>
        <v>4/15/2009 12:00:00 AM</v>
      </c>
      <c r="O5556" t="s">
        <v>16917</v>
      </c>
      <c r="T5556" t="s">
        <v>16918</v>
      </c>
    </row>
    <row r="5557" spans="1:20" x14ac:dyDescent="0.25">
      <c r="A5557" t="str">
        <f>"3042563"</f>
        <v>3042563</v>
      </c>
      <c r="B5557" t="s">
        <v>16920</v>
      </c>
      <c r="C5557" t="str">
        <f>"64868500"</f>
        <v>64868500</v>
      </c>
      <c r="D5557" t="s">
        <v>16921</v>
      </c>
      <c r="F5557" t="s">
        <v>16922</v>
      </c>
      <c r="I5557" t="s">
        <v>184</v>
      </c>
      <c r="J5557" t="s">
        <v>30</v>
      </c>
      <c r="K5557" t="s">
        <v>185</v>
      </c>
      <c r="M5557" t="s">
        <v>32</v>
      </c>
      <c r="N5557" t="str">
        <f>"5/3/2004 12:00:00 AM"</f>
        <v>5/3/2004 12:00:00 AM</v>
      </c>
      <c r="O5557" t="s">
        <v>16921</v>
      </c>
    </row>
    <row r="5558" spans="1:20" x14ac:dyDescent="0.25">
      <c r="A5558" t="str">
        <f>"3062559"</f>
        <v>3062559</v>
      </c>
      <c r="B5558" t="s">
        <v>16923</v>
      </c>
      <c r="C5558" t="str">
        <f>"82513257"</f>
        <v>82513257</v>
      </c>
      <c r="D5558" t="s">
        <v>16924</v>
      </c>
      <c r="F5558" t="s">
        <v>16925</v>
      </c>
      <c r="I5558" t="s">
        <v>29</v>
      </c>
      <c r="J5558" t="s">
        <v>30</v>
      </c>
      <c r="K5558" t="s">
        <v>31</v>
      </c>
      <c r="N5558" t="str">
        <f>"11/19/1999 12:00:00 AM"</f>
        <v>11/19/1999 12:00:00 AM</v>
      </c>
      <c r="O5558" t="s">
        <v>16924</v>
      </c>
    </row>
    <row r="5559" spans="1:20" x14ac:dyDescent="0.25">
      <c r="A5559" t="str">
        <f>"3052187"</f>
        <v>3052187</v>
      </c>
      <c r="B5559" t="s">
        <v>16926</v>
      </c>
      <c r="C5559" t="str">
        <f>"82530649"</f>
        <v>82530649</v>
      </c>
      <c r="D5559" t="s">
        <v>16927</v>
      </c>
      <c r="F5559" t="s">
        <v>13689</v>
      </c>
      <c r="I5559" t="s">
        <v>29</v>
      </c>
      <c r="J5559" t="s">
        <v>30</v>
      </c>
      <c r="K5559" t="s">
        <v>31</v>
      </c>
      <c r="M5559" t="s">
        <v>32</v>
      </c>
      <c r="N5559" t="str">
        <f>"5/13/2009 12:00:00 AM"</f>
        <v>5/13/2009 12:00:00 AM</v>
      </c>
      <c r="O5559" t="s">
        <v>16927</v>
      </c>
    </row>
    <row r="5560" spans="1:20" x14ac:dyDescent="0.25">
      <c r="A5560" t="str">
        <f>"3044757"</f>
        <v>3044757</v>
      </c>
      <c r="B5560" t="s">
        <v>16928</v>
      </c>
      <c r="C5560" t="str">
        <f>"82519121"</f>
        <v>82519121</v>
      </c>
      <c r="D5560" t="s">
        <v>16929</v>
      </c>
      <c r="F5560" t="s">
        <v>16930</v>
      </c>
      <c r="I5560" t="s">
        <v>184</v>
      </c>
      <c r="J5560" t="s">
        <v>30</v>
      </c>
      <c r="K5560" t="s">
        <v>6111</v>
      </c>
      <c r="N5560" t="str">
        <f>"11/30/2005 12:00:00 AM"</f>
        <v>11/30/2005 12:00:00 AM</v>
      </c>
      <c r="O5560" t="s">
        <v>16929</v>
      </c>
    </row>
    <row r="5561" spans="1:20" x14ac:dyDescent="0.25">
      <c r="A5561" t="str">
        <f>"3037663"</f>
        <v>3037663</v>
      </c>
      <c r="B5561" t="s">
        <v>16931</v>
      </c>
      <c r="C5561" t="str">
        <f>"82524571"</f>
        <v>82524571</v>
      </c>
      <c r="D5561" t="s">
        <v>1059</v>
      </c>
      <c r="E5561" t="s">
        <v>16932</v>
      </c>
      <c r="F5561" t="s">
        <v>1060</v>
      </c>
      <c r="I5561" t="s">
        <v>29</v>
      </c>
      <c r="J5561" t="s">
        <v>30</v>
      </c>
      <c r="K5561" t="s">
        <v>31</v>
      </c>
      <c r="M5561" t="s">
        <v>32</v>
      </c>
      <c r="N5561" t="str">
        <f>"6/13/2005 12:00:00 AM"</f>
        <v>6/13/2005 12:00:00 AM</v>
      </c>
      <c r="O5561" t="s">
        <v>1059</v>
      </c>
      <c r="T5561" t="s">
        <v>16932</v>
      </c>
    </row>
    <row r="5562" spans="1:20" x14ac:dyDescent="0.25">
      <c r="A5562" t="str">
        <f>"3049123"</f>
        <v>3049123</v>
      </c>
      <c r="B5562" t="s">
        <v>16933</v>
      </c>
      <c r="C5562" t="str">
        <f>"82522234"</f>
        <v>82522234</v>
      </c>
      <c r="D5562" t="s">
        <v>14237</v>
      </c>
      <c r="F5562" t="s">
        <v>14239</v>
      </c>
      <c r="I5562" t="s">
        <v>29</v>
      </c>
      <c r="J5562" t="s">
        <v>30</v>
      </c>
      <c r="K5562" t="s">
        <v>31</v>
      </c>
      <c r="M5562" t="s">
        <v>32</v>
      </c>
      <c r="N5562" t="str">
        <f>"2/23/2004 12:00:00 AM"</f>
        <v>2/23/2004 12:00:00 AM</v>
      </c>
      <c r="O5562" t="s">
        <v>14237</v>
      </c>
    </row>
    <row r="5563" spans="1:20" x14ac:dyDescent="0.25">
      <c r="A5563" t="str">
        <f>"3049738"</f>
        <v>3049738</v>
      </c>
      <c r="B5563" t="s">
        <v>16934</v>
      </c>
      <c r="C5563" t="str">
        <f>"82530690"</f>
        <v>82530690</v>
      </c>
      <c r="D5563" t="s">
        <v>16935</v>
      </c>
      <c r="F5563" t="s">
        <v>16936</v>
      </c>
      <c r="I5563" t="s">
        <v>29</v>
      </c>
      <c r="J5563" t="s">
        <v>30</v>
      </c>
      <c r="K5563" t="s">
        <v>31</v>
      </c>
      <c r="M5563" t="s">
        <v>32</v>
      </c>
      <c r="N5563" t="str">
        <f>"1/19/2010 12:00:00 AM"</f>
        <v>1/19/2010 12:00:00 AM</v>
      </c>
      <c r="O5563" t="s">
        <v>16935</v>
      </c>
    </row>
    <row r="5564" spans="1:20" x14ac:dyDescent="0.25">
      <c r="A5564" t="str">
        <f>"3062057"</f>
        <v>3062057</v>
      </c>
      <c r="B5564" t="s">
        <v>16937</v>
      </c>
      <c r="C5564" t="str">
        <f>"82530429"</f>
        <v>82530429</v>
      </c>
      <c r="D5564" t="s">
        <v>16938</v>
      </c>
      <c r="F5564" t="s">
        <v>16939</v>
      </c>
      <c r="I5564" t="s">
        <v>184</v>
      </c>
      <c r="J5564" t="s">
        <v>30</v>
      </c>
      <c r="K5564" t="s">
        <v>185</v>
      </c>
      <c r="M5564" t="s">
        <v>32</v>
      </c>
      <c r="N5564" t="str">
        <f>"2/25/2009 12:00:00 AM"</f>
        <v>2/25/2009 12:00:00 AM</v>
      </c>
      <c r="O5564" t="s">
        <v>16938</v>
      </c>
    </row>
    <row r="5565" spans="1:20" x14ac:dyDescent="0.25">
      <c r="A5565" t="str">
        <f>"3056920"</f>
        <v>3056920</v>
      </c>
      <c r="B5565" t="s">
        <v>16940</v>
      </c>
      <c r="C5565" t="str">
        <f>"82530708"</f>
        <v>82530708</v>
      </c>
      <c r="D5565" t="s">
        <v>16941</v>
      </c>
      <c r="E5565" t="s">
        <v>16942</v>
      </c>
      <c r="F5565" t="s">
        <v>13656</v>
      </c>
      <c r="I5565" t="s">
        <v>29</v>
      </c>
      <c r="J5565" t="s">
        <v>30</v>
      </c>
      <c r="K5565" t="s">
        <v>31</v>
      </c>
      <c r="M5565" t="s">
        <v>32</v>
      </c>
      <c r="N5565" t="str">
        <f>"5/26/2009 12:00:00 AM"</f>
        <v>5/26/2009 12:00:00 AM</v>
      </c>
      <c r="O5565" t="s">
        <v>16941</v>
      </c>
      <c r="T5565" t="s">
        <v>16942</v>
      </c>
    </row>
    <row r="5566" spans="1:20" x14ac:dyDescent="0.25">
      <c r="A5566" t="str">
        <f>"3049106"</f>
        <v>3049106</v>
      </c>
      <c r="B5566" t="s">
        <v>16943</v>
      </c>
      <c r="C5566" t="str">
        <f>"82522234"</f>
        <v>82522234</v>
      </c>
      <c r="D5566" t="s">
        <v>14237</v>
      </c>
      <c r="F5566" t="s">
        <v>14239</v>
      </c>
      <c r="I5566" t="s">
        <v>29</v>
      </c>
      <c r="J5566" t="s">
        <v>30</v>
      </c>
      <c r="K5566" t="s">
        <v>31</v>
      </c>
      <c r="M5566" t="s">
        <v>32</v>
      </c>
      <c r="N5566" t="str">
        <f>"2/23/2004 12:00:00 AM"</f>
        <v>2/23/2004 12:00:00 AM</v>
      </c>
      <c r="O5566" t="s">
        <v>14237</v>
      </c>
    </row>
    <row r="5567" spans="1:20" x14ac:dyDescent="0.25">
      <c r="A5567" t="str">
        <f>"3039355"</f>
        <v>3039355</v>
      </c>
      <c r="B5567" t="s">
        <v>16944</v>
      </c>
      <c r="C5567" t="str">
        <f>"56831000"</f>
        <v>56831000</v>
      </c>
      <c r="D5567" t="s">
        <v>1513</v>
      </c>
      <c r="F5567" t="s">
        <v>16945</v>
      </c>
      <c r="I5567" t="s">
        <v>29</v>
      </c>
      <c r="J5567" t="s">
        <v>30</v>
      </c>
      <c r="K5567" t="s">
        <v>16946</v>
      </c>
      <c r="M5567" t="s">
        <v>32</v>
      </c>
      <c r="N5567" t="str">
        <f>"1/31/2006 12:00:00 AM"</f>
        <v>1/31/2006 12:00:00 AM</v>
      </c>
      <c r="O5567" t="s">
        <v>1513</v>
      </c>
    </row>
    <row r="5568" spans="1:20" x14ac:dyDescent="0.25">
      <c r="A5568" t="str">
        <f>"3055839"</f>
        <v>3055839</v>
      </c>
      <c r="B5568" t="s">
        <v>16947</v>
      </c>
      <c r="C5568" t="str">
        <f>"82527367"</f>
        <v>82527367</v>
      </c>
      <c r="D5568" t="s">
        <v>16948</v>
      </c>
      <c r="F5568" t="s">
        <v>16949</v>
      </c>
      <c r="I5568" t="s">
        <v>9580</v>
      </c>
      <c r="J5568" t="s">
        <v>30</v>
      </c>
      <c r="K5568" t="s">
        <v>9581</v>
      </c>
      <c r="M5568" t="s">
        <v>32</v>
      </c>
      <c r="N5568" t="str">
        <f>"1/5/2007 12:00:00 AM"</f>
        <v>1/5/2007 12:00:00 AM</v>
      </c>
      <c r="O5568" t="s">
        <v>16948</v>
      </c>
    </row>
    <row r="5569" spans="1:20" x14ac:dyDescent="0.25">
      <c r="A5569" t="str">
        <f>"3054484"</f>
        <v>3054484</v>
      </c>
      <c r="B5569" t="s">
        <v>16950</v>
      </c>
      <c r="C5569" t="str">
        <f>"82530520"</f>
        <v>82530520</v>
      </c>
      <c r="D5569" t="s">
        <v>16951</v>
      </c>
      <c r="E5569" t="s">
        <v>16952</v>
      </c>
      <c r="F5569" t="s">
        <v>16953</v>
      </c>
      <c r="I5569" t="s">
        <v>29</v>
      </c>
      <c r="J5569" t="s">
        <v>30</v>
      </c>
      <c r="K5569" t="s">
        <v>31</v>
      </c>
      <c r="M5569" t="s">
        <v>32</v>
      </c>
      <c r="N5569" t="str">
        <f>"3/13/2009 12:00:00 AM"</f>
        <v>3/13/2009 12:00:00 AM</v>
      </c>
      <c r="O5569" t="s">
        <v>16951</v>
      </c>
      <c r="T5569" t="s">
        <v>16952</v>
      </c>
    </row>
    <row r="5570" spans="1:20" x14ac:dyDescent="0.25">
      <c r="A5570" t="str">
        <f>"3043708"</f>
        <v>3043708</v>
      </c>
      <c r="B5570" t="s">
        <v>16954</v>
      </c>
      <c r="C5570" t="str">
        <f>"82530471"</f>
        <v>82530471</v>
      </c>
      <c r="D5570" t="s">
        <v>16955</v>
      </c>
      <c r="E5570" t="s">
        <v>16956</v>
      </c>
      <c r="F5570" t="s">
        <v>16957</v>
      </c>
      <c r="I5570" t="s">
        <v>29</v>
      </c>
      <c r="J5570" t="s">
        <v>30</v>
      </c>
      <c r="K5570" t="s">
        <v>31</v>
      </c>
      <c r="M5570" t="s">
        <v>32</v>
      </c>
      <c r="N5570" t="str">
        <f>"2/10/2010 12:00:00 AM"</f>
        <v>2/10/2010 12:00:00 AM</v>
      </c>
      <c r="O5570" t="s">
        <v>16955</v>
      </c>
      <c r="T5570" t="s">
        <v>16956</v>
      </c>
    </row>
    <row r="5571" spans="1:20" x14ac:dyDescent="0.25">
      <c r="A5571" t="str">
        <f>"3050790"</f>
        <v>3050790</v>
      </c>
      <c r="B5571" t="s">
        <v>16958</v>
      </c>
      <c r="C5571" t="str">
        <f>"82530472"</f>
        <v>82530472</v>
      </c>
      <c r="D5571" t="s">
        <v>16959</v>
      </c>
      <c r="E5571" t="s">
        <v>16592</v>
      </c>
      <c r="F5571" t="s">
        <v>16960</v>
      </c>
      <c r="I5571" t="s">
        <v>184</v>
      </c>
      <c r="J5571" t="s">
        <v>30</v>
      </c>
      <c r="K5571" t="s">
        <v>185</v>
      </c>
      <c r="M5571" t="s">
        <v>32</v>
      </c>
      <c r="N5571" t="str">
        <f>"3/4/2009 12:00:00 AM"</f>
        <v>3/4/2009 12:00:00 AM</v>
      </c>
      <c r="O5571" t="s">
        <v>16959</v>
      </c>
      <c r="T5571" t="s">
        <v>16592</v>
      </c>
    </row>
    <row r="5572" spans="1:20" x14ac:dyDescent="0.25">
      <c r="A5572" t="str">
        <f>"3062530"</f>
        <v>3062530</v>
      </c>
      <c r="B5572" t="s">
        <v>16961</v>
      </c>
      <c r="C5572" t="str">
        <f>"82530725"</f>
        <v>82530725</v>
      </c>
      <c r="D5572" t="s">
        <v>16962</v>
      </c>
      <c r="E5572" t="s">
        <v>16963</v>
      </c>
      <c r="F5572" t="s">
        <v>16964</v>
      </c>
      <c r="I5572" t="s">
        <v>184</v>
      </c>
      <c r="J5572" t="s">
        <v>30</v>
      </c>
      <c r="K5572" t="s">
        <v>185</v>
      </c>
      <c r="M5572" t="s">
        <v>32</v>
      </c>
      <c r="N5572" t="str">
        <f>"2/8/2010 12:00:00 AM"</f>
        <v>2/8/2010 12:00:00 AM</v>
      </c>
      <c r="O5572" t="s">
        <v>16962</v>
      </c>
      <c r="T5572" t="s">
        <v>16963</v>
      </c>
    </row>
    <row r="5573" spans="1:20" x14ac:dyDescent="0.25">
      <c r="A5573" t="str">
        <f>"3054437"</f>
        <v>3054437</v>
      </c>
      <c r="B5573" t="s">
        <v>16965</v>
      </c>
      <c r="C5573" t="str">
        <f>"82530493"</f>
        <v>82530493</v>
      </c>
      <c r="D5573" t="s">
        <v>16966</v>
      </c>
      <c r="E5573" t="s">
        <v>16967</v>
      </c>
      <c r="F5573" t="s">
        <v>16968</v>
      </c>
      <c r="I5573" t="s">
        <v>29</v>
      </c>
      <c r="J5573" t="s">
        <v>30</v>
      </c>
      <c r="K5573" t="s">
        <v>31</v>
      </c>
      <c r="M5573" t="s">
        <v>32</v>
      </c>
      <c r="N5573" t="str">
        <f>"3/11/2009 12:00:00 AM"</f>
        <v>3/11/2009 12:00:00 AM</v>
      </c>
      <c r="O5573" t="s">
        <v>16966</v>
      </c>
      <c r="T5573" t="s">
        <v>16967</v>
      </c>
    </row>
    <row r="5574" spans="1:20" x14ac:dyDescent="0.25">
      <c r="A5574" t="str">
        <f>"3052025"</f>
        <v>3052025</v>
      </c>
      <c r="B5574" t="s">
        <v>16969</v>
      </c>
      <c r="C5574" t="str">
        <f>"82530896"</f>
        <v>82530896</v>
      </c>
      <c r="D5574" t="s">
        <v>16970</v>
      </c>
      <c r="E5574" t="s">
        <v>16971</v>
      </c>
      <c r="F5574" t="s">
        <v>16972</v>
      </c>
      <c r="I5574" t="s">
        <v>29</v>
      </c>
      <c r="J5574" t="s">
        <v>30</v>
      </c>
      <c r="K5574" t="s">
        <v>31</v>
      </c>
      <c r="M5574" t="s">
        <v>32</v>
      </c>
      <c r="N5574" t="str">
        <f>"7/1/2009 12:00:00 AM"</f>
        <v>7/1/2009 12:00:00 AM</v>
      </c>
      <c r="O5574" t="s">
        <v>16970</v>
      </c>
      <c r="T5574" t="s">
        <v>16971</v>
      </c>
    </row>
    <row r="5575" spans="1:20" x14ac:dyDescent="0.25">
      <c r="A5575" t="str">
        <f>"3067040"</f>
        <v>3067040</v>
      </c>
      <c r="B5575" t="s">
        <v>16973</v>
      </c>
      <c r="C5575" t="str">
        <f>"82530900"</f>
        <v>82530900</v>
      </c>
      <c r="D5575" t="s">
        <v>16974</v>
      </c>
      <c r="E5575" t="s">
        <v>16975</v>
      </c>
      <c r="F5575" t="s">
        <v>16976</v>
      </c>
      <c r="I5575" t="s">
        <v>2071</v>
      </c>
      <c r="J5575" t="s">
        <v>30</v>
      </c>
      <c r="K5575" t="s">
        <v>185</v>
      </c>
      <c r="M5575" t="s">
        <v>32</v>
      </c>
      <c r="N5575" t="str">
        <f>"10/26/2011 12:00:00 AM"</f>
        <v>10/26/2011 12:00:00 AM</v>
      </c>
      <c r="O5575" t="s">
        <v>16974</v>
      </c>
      <c r="T5575" t="s">
        <v>16975</v>
      </c>
    </row>
    <row r="5576" spans="1:20" x14ac:dyDescent="0.25">
      <c r="A5576" t="str">
        <f>"3041732"</f>
        <v>3041732</v>
      </c>
      <c r="B5576" t="s">
        <v>16977</v>
      </c>
      <c r="C5576" t="str">
        <f>"82530510"</f>
        <v>82530510</v>
      </c>
      <c r="D5576" t="s">
        <v>16978</v>
      </c>
      <c r="E5576" t="s">
        <v>16979</v>
      </c>
      <c r="F5576" t="s">
        <v>16980</v>
      </c>
      <c r="I5576" t="s">
        <v>2071</v>
      </c>
      <c r="J5576" t="s">
        <v>30</v>
      </c>
      <c r="K5576" t="s">
        <v>185</v>
      </c>
      <c r="M5576" t="s">
        <v>32</v>
      </c>
      <c r="N5576" t="str">
        <f>"1/5/2010 12:00:00 AM"</f>
        <v>1/5/2010 12:00:00 AM</v>
      </c>
      <c r="O5576" t="s">
        <v>16978</v>
      </c>
      <c r="T5576" t="s">
        <v>16979</v>
      </c>
    </row>
    <row r="5577" spans="1:20" x14ac:dyDescent="0.25">
      <c r="A5577" t="str">
        <f>"3044845"</f>
        <v>3044845</v>
      </c>
      <c r="B5577" t="s">
        <v>16981</v>
      </c>
      <c r="C5577" t="str">
        <f>"82530515"</f>
        <v>82530515</v>
      </c>
      <c r="D5577" t="s">
        <v>16982</v>
      </c>
      <c r="E5577" t="s">
        <v>16983</v>
      </c>
      <c r="F5577" t="s">
        <v>16984</v>
      </c>
      <c r="I5577" t="s">
        <v>184</v>
      </c>
      <c r="J5577" t="s">
        <v>30</v>
      </c>
      <c r="K5577" t="s">
        <v>185</v>
      </c>
      <c r="M5577" t="s">
        <v>32</v>
      </c>
      <c r="N5577" t="str">
        <f>"3/13/2009 12:00:00 AM"</f>
        <v>3/13/2009 12:00:00 AM</v>
      </c>
      <c r="O5577" t="s">
        <v>16982</v>
      </c>
      <c r="T5577" t="s">
        <v>16983</v>
      </c>
    </row>
    <row r="5578" spans="1:20" x14ac:dyDescent="0.25">
      <c r="A5578" t="str">
        <f>"3048069"</f>
        <v>3048069</v>
      </c>
      <c r="B5578" t="s">
        <v>16985</v>
      </c>
      <c r="C5578" t="str">
        <f>"82530914"</f>
        <v>82530914</v>
      </c>
      <c r="D5578" t="s">
        <v>16986</v>
      </c>
      <c r="E5578" t="s">
        <v>16987</v>
      </c>
      <c r="F5578" t="s">
        <v>16988</v>
      </c>
      <c r="I5578" t="s">
        <v>184</v>
      </c>
      <c r="J5578" t="s">
        <v>30</v>
      </c>
      <c r="K5578" t="s">
        <v>185</v>
      </c>
      <c r="M5578" t="s">
        <v>32</v>
      </c>
      <c r="N5578" t="str">
        <f>"1/12/2010 12:00:00 AM"</f>
        <v>1/12/2010 12:00:00 AM</v>
      </c>
      <c r="O5578" t="s">
        <v>16986</v>
      </c>
      <c r="T5578" t="s">
        <v>16987</v>
      </c>
    </row>
    <row r="5579" spans="1:20" x14ac:dyDescent="0.25">
      <c r="A5579" t="str">
        <f>"3055621"</f>
        <v>3055621</v>
      </c>
      <c r="B5579" t="s">
        <v>16989</v>
      </c>
      <c r="C5579" t="str">
        <f>"82530729"</f>
        <v>82530729</v>
      </c>
      <c r="D5579" t="s">
        <v>16990</v>
      </c>
      <c r="E5579" t="s">
        <v>16991</v>
      </c>
      <c r="F5579" t="s">
        <v>16992</v>
      </c>
      <c r="I5579" t="s">
        <v>2525</v>
      </c>
      <c r="J5579" t="s">
        <v>30</v>
      </c>
      <c r="K5579" t="s">
        <v>10998</v>
      </c>
      <c r="M5579" t="s">
        <v>32</v>
      </c>
      <c r="N5579" t="str">
        <f>"6/4/2009 12:00:00 AM"</f>
        <v>6/4/2009 12:00:00 AM</v>
      </c>
      <c r="O5579" t="s">
        <v>16990</v>
      </c>
      <c r="T5579" t="s">
        <v>16991</v>
      </c>
    </row>
    <row r="5580" spans="1:20" x14ac:dyDescent="0.25">
      <c r="A5580" t="str">
        <f>"3041522"</f>
        <v>3041522</v>
      </c>
      <c r="B5580" t="s">
        <v>16993</v>
      </c>
      <c r="C5580" t="str">
        <f>"82530933"</f>
        <v>82530933</v>
      </c>
      <c r="D5580" t="s">
        <v>16994</v>
      </c>
      <c r="E5580" t="s">
        <v>16995</v>
      </c>
      <c r="F5580" t="s">
        <v>16996</v>
      </c>
      <c r="I5580" t="s">
        <v>2071</v>
      </c>
      <c r="J5580" t="s">
        <v>30</v>
      </c>
      <c r="K5580" t="s">
        <v>185</v>
      </c>
      <c r="M5580" t="s">
        <v>32</v>
      </c>
      <c r="N5580" t="str">
        <f>"1/26/2010 12:00:00 AM"</f>
        <v>1/26/2010 12:00:00 AM</v>
      </c>
      <c r="O5580" t="s">
        <v>16994</v>
      </c>
      <c r="T5580" t="s">
        <v>16995</v>
      </c>
    </row>
    <row r="5581" spans="1:20" x14ac:dyDescent="0.25">
      <c r="A5581" t="str">
        <f>"3049807"</f>
        <v>3049807</v>
      </c>
      <c r="B5581" t="s">
        <v>16997</v>
      </c>
      <c r="C5581" t="str">
        <f>"82530934"</f>
        <v>82530934</v>
      </c>
      <c r="D5581" t="s">
        <v>16998</v>
      </c>
      <c r="E5581" t="s">
        <v>16999</v>
      </c>
      <c r="F5581" t="s">
        <v>17000</v>
      </c>
      <c r="I5581" t="s">
        <v>29</v>
      </c>
      <c r="J5581" t="s">
        <v>30</v>
      </c>
      <c r="K5581" t="s">
        <v>31</v>
      </c>
      <c r="M5581" t="s">
        <v>32</v>
      </c>
      <c r="N5581" t="str">
        <f>"1/15/2010 12:00:00 AM"</f>
        <v>1/15/2010 12:00:00 AM</v>
      </c>
      <c r="O5581" t="s">
        <v>16998</v>
      </c>
      <c r="T5581" t="s">
        <v>16999</v>
      </c>
    </row>
    <row r="5582" spans="1:20" x14ac:dyDescent="0.25">
      <c r="A5582" t="str">
        <f>"3048780"</f>
        <v>3048780</v>
      </c>
      <c r="B5582" t="s">
        <v>17001</v>
      </c>
      <c r="C5582" t="str">
        <f>"82530560"</f>
        <v>82530560</v>
      </c>
      <c r="D5582" t="s">
        <v>17002</v>
      </c>
      <c r="E5582" t="s">
        <v>17003</v>
      </c>
      <c r="F5582" t="s">
        <v>17004</v>
      </c>
      <c r="I5582" t="s">
        <v>29</v>
      </c>
      <c r="J5582" t="s">
        <v>30</v>
      </c>
      <c r="K5582" t="s">
        <v>31</v>
      </c>
      <c r="M5582" t="s">
        <v>32</v>
      </c>
      <c r="N5582" t="str">
        <f>"4/14/2009 12:00:00 AM"</f>
        <v>4/14/2009 12:00:00 AM</v>
      </c>
      <c r="O5582" t="s">
        <v>17002</v>
      </c>
      <c r="T5582" t="s">
        <v>17003</v>
      </c>
    </row>
    <row r="5583" spans="1:20" x14ac:dyDescent="0.25">
      <c r="A5583" t="str">
        <f>"3051867"</f>
        <v>3051867</v>
      </c>
      <c r="B5583" t="s">
        <v>17005</v>
      </c>
      <c r="C5583" t="str">
        <f>"82530650"</f>
        <v>82530650</v>
      </c>
      <c r="D5583" t="s">
        <v>17006</v>
      </c>
      <c r="F5583" t="s">
        <v>17007</v>
      </c>
      <c r="I5583" t="s">
        <v>29</v>
      </c>
      <c r="J5583" t="s">
        <v>30</v>
      </c>
      <c r="K5583" t="s">
        <v>31</v>
      </c>
      <c r="M5583" t="s">
        <v>32</v>
      </c>
      <c r="N5583" t="str">
        <f>"1/12/2010 12:00:00 AM"</f>
        <v>1/12/2010 12:00:00 AM</v>
      </c>
      <c r="O5583" t="s">
        <v>17006</v>
      </c>
    </row>
    <row r="5584" spans="1:20" x14ac:dyDescent="0.25">
      <c r="A5584" t="str">
        <f>"3058223"</f>
        <v>3058223</v>
      </c>
      <c r="B5584" t="s">
        <v>17008</v>
      </c>
      <c r="C5584" t="str">
        <f>"82530741"</f>
        <v>82530741</v>
      </c>
      <c r="D5584" t="s">
        <v>17009</v>
      </c>
      <c r="F5584" t="s">
        <v>17010</v>
      </c>
      <c r="I5584" t="s">
        <v>29</v>
      </c>
      <c r="J5584" t="s">
        <v>30</v>
      </c>
      <c r="K5584" t="s">
        <v>31</v>
      </c>
      <c r="M5584" t="s">
        <v>32</v>
      </c>
      <c r="N5584" t="str">
        <f>"6/5/2009 12:00:00 AM"</f>
        <v>6/5/2009 12:00:00 AM</v>
      </c>
      <c r="O5584" t="s">
        <v>17009</v>
      </c>
    </row>
    <row r="5585" spans="1:20" x14ac:dyDescent="0.25">
      <c r="A5585" t="str">
        <f>"3055780"</f>
        <v>3055780</v>
      </c>
      <c r="B5585" t="s">
        <v>17011</v>
      </c>
      <c r="C5585" t="str">
        <f>"82530746"</f>
        <v>82530746</v>
      </c>
      <c r="D5585" t="s">
        <v>17012</v>
      </c>
      <c r="F5585" t="s">
        <v>17013</v>
      </c>
      <c r="I5585" t="s">
        <v>14378</v>
      </c>
      <c r="J5585" t="s">
        <v>30</v>
      </c>
      <c r="K5585" t="s">
        <v>17014</v>
      </c>
      <c r="M5585" t="s">
        <v>32</v>
      </c>
      <c r="N5585" t="str">
        <f>"6/5/2009 12:00:00 AM"</f>
        <v>6/5/2009 12:00:00 AM</v>
      </c>
      <c r="O5585" t="s">
        <v>17012</v>
      </c>
    </row>
    <row r="5586" spans="1:20" x14ac:dyDescent="0.25">
      <c r="A5586" t="str">
        <f>"3052634"</f>
        <v>3052634</v>
      </c>
      <c r="B5586" t="s">
        <v>17015</v>
      </c>
      <c r="C5586" t="str">
        <f>"82530749"</f>
        <v>82530749</v>
      </c>
      <c r="D5586" t="s">
        <v>17016</v>
      </c>
      <c r="E5586" t="s">
        <v>17017</v>
      </c>
      <c r="F5586" t="s">
        <v>17018</v>
      </c>
      <c r="I5586" t="s">
        <v>29</v>
      </c>
      <c r="J5586" t="s">
        <v>30</v>
      </c>
      <c r="K5586" t="s">
        <v>31</v>
      </c>
      <c r="M5586" t="s">
        <v>32</v>
      </c>
      <c r="N5586" t="str">
        <f>"6/5/2009 12:00:00 AM"</f>
        <v>6/5/2009 12:00:00 AM</v>
      </c>
      <c r="O5586" t="s">
        <v>17016</v>
      </c>
      <c r="T5586" t="s">
        <v>17017</v>
      </c>
    </row>
    <row r="5587" spans="1:20" x14ac:dyDescent="0.25">
      <c r="A5587" t="str">
        <f>"3045037"</f>
        <v>3045037</v>
      </c>
      <c r="B5587" t="s">
        <v>17019</v>
      </c>
      <c r="C5587" t="str">
        <f>"49280500"</f>
        <v>49280500</v>
      </c>
      <c r="D5587" t="s">
        <v>7751</v>
      </c>
      <c r="E5587" t="s">
        <v>7750</v>
      </c>
      <c r="F5587" t="s">
        <v>7752</v>
      </c>
      <c r="I5587" t="s">
        <v>29</v>
      </c>
      <c r="J5587" t="s">
        <v>30</v>
      </c>
      <c r="K5587" t="s">
        <v>31</v>
      </c>
      <c r="N5587" t="str">
        <f>"2/19/2004 12:00:00 AM"</f>
        <v>2/19/2004 12:00:00 AM</v>
      </c>
      <c r="O5587" t="s">
        <v>7751</v>
      </c>
      <c r="T5587" t="s">
        <v>7750</v>
      </c>
    </row>
    <row r="5588" spans="1:20" x14ac:dyDescent="0.25">
      <c r="A5588" t="str">
        <f>"3037724"</f>
        <v>3037724</v>
      </c>
      <c r="B5588" t="s">
        <v>17020</v>
      </c>
      <c r="C5588" t="str">
        <f>"51730000"</f>
        <v>51730000</v>
      </c>
      <c r="D5588" t="s">
        <v>17021</v>
      </c>
      <c r="E5588" t="s">
        <v>17022</v>
      </c>
      <c r="F5588" t="s">
        <v>17023</v>
      </c>
      <c r="I5588" t="s">
        <v>49</v>
      </c>
      <c r="J5588" t="s">
        <v>30</v>
      </c>
      <c r="K5588" t="s">
        <v>50</v>
      </c>
      <c r="M5588" t="s">
        <v>32</v>
      </c>
      <c r="N5588" t="str">
        <f>"3/4/2004 12:00:00 AM"</f>
        <v>3/4/2004 12:00:00 AM</v>
      </c>
      <c r="O5588" t="s">
        <v>17021</v>
      </c>
      <c r="T5588" t="s">
        <v>17022</v>
      </c>
    </row>
    <row r="5589" spans="1:20" x14ac:dyDescent="0.25">
      <c r="A5589" t="str">
        <f>"3060545"</f>
        <v>3060545</v>
      </c>
      <c r="B5589" t="s">
        <v>17024</v>
      </c>
      <c r="C5589" t="str">
        <f>"32685500"</f>
        <v>32685500</v>
      </c>
      <c r="D5589" t="s">
        <v>17025</v>
      </c>
      <c r="E5589" t="s">
        <v>17026</v>
      </c>
      <c r="F5589" t="s">
        <v>17027</v>
      </c>
      <c r="I5589" t="s">
        <v>2071</v>
      </c>
      <c r="J5589" t="s">
        <v>30</v>
      </c>
      <c r="K5589" t="s">
        <v>185</v>
      </c>
      <c r="M5589" t="s">
        <v>32</v>
      </c>
      <c r="N5589" t="str">
        <f>"9/8/2009 12:00:00 AM"</f>
        <v>9/8/2009 12:00:00 AM</v>
      </c>
      <c r="O5589" t="s">
        <v>17025</v>
      </c>
      <c r="T5589" t="s">
        <v>17026</v>
      </c>
    </row>
    <row r="5590" spans="1:20" x14ac:dyDescent="0.25">
      <c r="A5590" t="str">
        <f>"3061958"</f>
        <v>3061958</v>
      </c>
      <c r="B5590" t="s">
        <v>17028</v>
      </c>
      <c r="C5590" t="str">
        <f>"82530808"</f>
        <v>82530808</v>
      </c>
      <c r="D5590" t="s">
        <v>17029</v>
      </c>
      <c r="E5590" t="s">
        <v>17030</v>
      </c>
      <c r="F5590" t="s">
        <v>17031</v>
      </c>
      <c r="I5590" t="s">
        <v>184</v>
      </c>
      <c r="J5590" t="s">
        <v>30</v>
      </c>
      <c r="K5590" t="s">
        <v>185</v>
      </c>
      <c r="M5590" t="s">
        <v>32</v>
      </c>
      <c r="N5590" t="str">
        <f>"2/10/2010 12:00:00 AM"</f>
        <v>2/10/2010 12:00:00 AM</v>
      </c>
      <c r="O5590" t="s">
        <v>17029</v>
      </c>
      <c r="T5590" t="s">
        <v>17030</v>
      </c>
    </row>
    <row r="5591" spans="1:20" x14ac:dyDescent="0.25">
      <c r="A5591" t="str">
        <f>"3052462"</f>
        <v>3052462</v>
      </c>
      <c r="B5591" t="s">
        <v>17032</v>
      </c>
      <c r="C5591" t="str">
        <f>"82530815"</f>
        <v>82530815</v>
      </c>
      <c r="D5591" t="s">
        <v>17033</v>
      </c>
      <c r="E5591" t="s">
        <v>17034</v>
      </c>
      <c r="F5591" t="s">
        <v>17035</v>
      </c>
      <c r="I5591" t="s">
        <v>29</v>
      </c>
      <c r="J5591" t="s">
        <v>30</v>
      </c>
      <c r="K5591" t="s">
        <v>31</v>
      </c>
      <c r="M5591" t="s">
        <v>32</v>
      </c>
      <c r="N5591" t="str">
        <f>"5/25/2011 12:00:00 AM"</f>
        <v>5/25/2011 12:00:00 AM</v>
      </c>
      <c r="O5591" t="s">
        <v>17033</v>
      </c>
      <c r="T5591" t="s">
        <v>17034</v>
      </c>
    </row>
    <row r="5592" spans="1:20" x14ac:dyDescent="0.25">
      <c r="A5592" t="str">
        <f>"3062003"</f>
        <v>3062003</v>
      </c>
      <c r="B5592" t="s">
        <v>17036</v>
      </c>
      <c r="C5592" t="str">
        <f>"82530818"</f>
        <v>82530818</v>
      </c>
      <c r="D5592" t="s">
        <v>17037</v>
      </c>
      <c r="E5592" t="s">
        <v>17038</v>
      </c>
      <c r="F5592" t="s">
        <v>17039</v>
      </c>
      <c r="I5592" t="s">
        <v>29</v>
      </c>
      <c r="J5592" t="s">
        <v>30</v>
      </c>
      <c r="K5592" t="s">
        <v>31</v>
      </c>
      <c r="M5592" t="s">
        <v>32</v>
      </c>
      <c r="N5592" t="str">
        <f>"1/22/2010 12:00:00 AM"</f>
        <v>1/22/2010 12:00:00 AM</v>
      </c>
      <c r="O5592" t="s">
        <v>17037</v>
      </c>
      <c r="T5592" t="s">
        <v>17038</v>
      </c>
    </row>
    <row r="5593" spans="1:20" x14ac:dyDescent="0.25">
      <c r="A5593" t="str">
        <f>"3060005"</f>
        <v>3060005</v>
      </c>
      <c r="B5593" t="s">
        <v>17040</v>
      </c>
      <c r="C5593" t="str">
        <f>"82530823"</f>
        <v>82530823</v>
      </c>
      <c r="D5593" t="s">
        <v>17041</v>
      </c>
      <c r="E5593" t="s">
        <v>17042</v>
      </c>
      <c r="F5593" t="s">
        <v>17043</v>
      </c>
      <c r="I5593" t="s">
        <v>184</v>
      </c>
      <c r="J5593" t="s">
        <v>30</v>
      </c>
      <c r="K5593" t="s">
        <v>185</v>
      </c>
      <c r="M5593" t="s">
        <v>32</v>
      </c>
      <c r="N5593" t="str">
        <f>"2/9/2010 12:00:00 AM"</f>
        <v>2/9/2010 12:00:00 AM</v>
      </c>
      <c r="O5593" t="s">
        <v>17041</v>
      </c>
      <c r="T5593" t="s">
        <v>17042</v>
      </c>
    </row>
    <row r="5594" spans="1:20" x14ac:dyDescent="0.25">
      <c r="A5594" t="str">
        <f>"3058958"</f>
        <v>3058958</v>
      </c>
      <c r="B5594" t="s">
        <v>17044</v>
      </c>
      <c r="C5594" t="str">
        <f>"82530983"</f>
        <v>82530983</v>
      </c>
      <c r="D5594" t="s">
        <v>17045</v>
      </c>
      <c r="F5594" t="s">
        <v>17046</v>
      </c>
      <c r="I5594" t="s">
        <v>29</v>
      </c>
      <c r="J5594" t="s">
        <v>30</v>
      </c>
      <c r="K5594" t="s">
        <v>31</v>
      </c>
      <c r="M5594" t="s">
        <v>32</v>
      </c>
      <c r="N5594" t="str">
        <f>"2/5/2010 12:00:00 AM"</f>
        <v>2/5/2010 12:00:00 AM</v>
      </c>
      <c r="O5594" t="s">
        <v>17045</v>
      </c>
      <c r="T5594" t="s">
        <v>17045</v>
      </c>
    </row>
    <row r="5595" spans="1:20" x14ac:dyDescent="0.25">
      <c r="A5595" t="str">
        <f>"3057561"</f>
        <v>3057561</v>
      </c>
      <c r="B5595" t="s">
        <v>17047</v>
      </c>
      <c r="C5595" t="str">
        <f>"82530712"</f>
        <v>82530712</v>
      </c>
      <c r="D5595" t="s">
        <v>17048</v>
      </c>
      <c r="F5595" t="s">
        <v>17049</v>
      </c>
      <c r="I5595" t="s">
        <v>29</v>
      </c>
      <c r="J5595" t="s">
        <v>30</v>
      </c>
      <c r="K5595" t="s">
        <v>31</v>
      </c>
      <c r="M5595" t="s">
        <v>32</v>
      </c>
      <c r="N5595" t="str">
        <f>"6/1/2009 12:00:00 AM"</f>
        <v>6/1/2009 12:00:00 AM</v>
      </c>
      <c r="O5595" t="s">
        <v>17048</v>
      </c>
    </row>
    <row r="5596" spans="1:20" x14ac:dyDescent="0.25">
      <c r="A5596" t="str">
        <f>"3040479"</f>
        <v>3040479</v>
      </c>
      <c r="B5596" t="s">
        <v>17050</v>
      </c>
      <c r="C5596" t="str">
        <f>"82530450"</f>
        <v>82530450</v>
      </c>
      <c r="D5596" t="s">
        <v>17051</v>
      </c>
      <c r="E5596" t="s">
        <v>17052</v>
      </c>
      <c r="F5596" t="s">
        <v>17053</v>
      </c>
      <c r="I5596" t="s">
        <v>184</v>
      </c>
      <c r="J5596" t="s">
        <v>30</v>
      </c>
      <c r="K5596" t="s">
        <v>185</v>
      </c>
      <c r="M5596" t="s">
        <v>32</v>
      </c>
      <c r="N5596" t="str">
        <f>"3/2/2009 12:00:00 AM"</f>
        <v>3/2/2009 12:00:00 AM</v>
      </c>
      <c r="O5596" t="s">
        <v>17051</v>
      </c>
      <c r="T5596" t="s">
        <v>17052</v>
      </c>
    </row>
    <row r="5597" spans="1:20" x14ac:dyDescent="0.25">
      <c r="A5597" t="str">
        <f>"3039279"</f>
        <v>3039279</v>
      </c>
      <c r="B5597" t="s">
        <v>17054</v>
      </c>
      <c r="C5597" t="str">
        <f>"82530856"</f>
        <v>82530856</v>
      </c>
      <c r="D5597" t="s">
        <v>17055</v>
      </c>
      <c r="E5597" t="s">
        <v>17056</v>
      </c>
      <c r="F5597" t="s">
        <v>17057</v>
      </c>
      <c r="I5597" t="s">
        <v>471</v>
      </c>
      <c r="J5597" t="s">
        <v>30</v>
      </c>
      <c r="K5597" t="s">
        <v>1210</v>
      </c>
      <c r="M5597" t="s">
        <v>32</v>
      </c>
      <c r="N5597" t="str">
        <f>"1/25/2010 12:00:00 AM"</f>
        <v>1/25/2010 12:00:00 AM</v>
      </c>
      <c r="O5597" t="s">
        <v>17055</v>
      </c>
      <c r="T5597" t="s">
        <v>17056</v>
      </c>
    </row>
    <row r="5598" spans="1:20" x14ac:dyDescent="0.25">
      <c r="A5598" t="str">
        <f>"3044925"</f>
        <v>3044925</v>
      </c>
      <c r="B5598" t="s">
        <v>17058</v>
      </c>
      <c r="C5598" t="str">
        <f>"82530871"</f>
        <v>82530871</v>
      </c>
      <c r="D5598" t="s">
        <v>17059</v>
      </c>
      <c r="F5598" t="s">
        <v>17060</v>
      </c>
      <c r="I5598" t="s">
        <v>471</v>
      </c>
      <c r="J5598" t="s">
        <v>30</v>
      </c>
      <c r="K5598" t="s">
        <v>1262</v>
      </c>
      <c r="M5598" t="s">
        <v>32</v>
      </c>
      <c r="N5598" t="str">
        <f>"6/23/2009 12:00:00 AM"</f>
        <v>6/23/2009 12:00:00 AM</v>
      </c>
      <c r="O5598" t="s">
        <v>17059</v>
      </c>
    </row>
    <row r="5599" spans="1:20" x14ac:dyDescent="0.25">
      <c r="A5599" t="str">
        <f>"3041355"</f>
        <v>3041355</v>
      </c>
      <c r="B5599" t="s">
        <v>17061</v>
      </c>
      <c r="C5599" t="str">
        <f>"82530890"</f>
        <v>82530890</v>
      </c>
      <c r="D5599" t="s">
        <v>17062</v>
      </c>
      <c r="F5599" t="s">
        <v>17063</v>
      </c>
      <c r="I5599" t="s">
        <v>2071</v>
      </c>
      <c r="J5599" t="s">
        <v>30</v>
      </c>
      <c r="K5599" t="s">
        <v>185</v>
      </c>
      <c r="M5599" t="s">
        <v>32</v>
      </c>
      <c r="N5599" t="str">
        <f>"7/1/2009 12:00:00 AM"</f>
        <v>7/1/2009 12:00:00 AM</v>
      </c>
      <c r="O5599" t="s">
        <v>17062</v>
      </c>
    </row>
    <row r="5600" spans="1:20" x14ac:dyDescent="0.25">
      <c r="A5600" t="str">
        <f>"3042284"</f>
        <v>3042284</v>
      </c>
      <c r="B5600" t="s">
        <v>17064</v>
      </c>
      <c r="C5600" t="str">
        <f>"82530893"</f>
        <v>82530893</v>
      </c>
      <c r="D5600" t="s">
        <v>17065</v>
      </c>
      <c r="E5600" t="s">
        <v>17066</v>
      </c>
      <c r="F5600" t="s">
        <v>17067</v>
      </c>
      <c r="I5600" t="s">
        <v>29</v>
      </c>
      <c r="J5600" t="s">
        <v>30</v>
      </c>
      <c r="K5600" t="s">
        <v>31</v>
      </c>
      <c r="M5600" t="s">
        <v>32</v>
      </c>
      <c r="N5600" t="str">
        <f>"7/1/2009 12:00:00 AM"</f>
        <v>7/1/2009 12:00:00 AM</v>
      </c>
      <c r="O5600" t="s">
        <v>17065</v>
      </c>
      <c r="T5600" t="s">
        <v>17066</v>
      </c>
    </row>
    <row r="5601" spans="1:20" x14ac:dyDescent="0.25">
      <c r="A5601" t="str">
        <f>"3044508"</f>
        <v>3044508</v>
      </c>
      <c r="B5601" t="s">
        <v>17068</v>
      </c>
      <c r="C5601" t="str">
        <f>"82530904"</f>
        <v>82530904</v>
      </c>
      <c r="D5601" t="s">
        <v>17069</v>
      </c>
      <c r="E5601" t="s">
        <v>17070</v>
      </c>
      <c r="F5601" t="s">
        <v>17071</v>
      </c>
      <c r="I5601" t="s">
        <v>184</v>
      </c>
      <c r="J5601" t="s">
        <v>30</v>
      </c>
      <c r="K5601" t="s">
        <v>185</v>
      </c>
      <c r="M5601" t="s">
        <v>32</v>
      </c>
      <c r="N5601" t="str">
        <f>"1/27/2010 12:00:00 AM"</f>
        <v>1/27/2010 12:00:00 AM</v>
      </c>
      <c r="O5601" t="s">
        <v>17069</v>
      </c>
      <c r="T5601" t="s">
        <v>17070</v>
      </c>
    </row>
    <row r="5602" spans="1:20" x14ac:dyDescent="0.25">
      <c r="A5602" t="str">
        <f>"3048155"</f>
        <v>3048155</v>
      </c>
      <c r="B5602" t="s">
        <v>17072</v>
      </c>
      <c r="C5602" t="str">
        <f>"82530914"</f>
        <v>82530914</v>
      </c>
      <c r="D5602" t="s">
        <v>16986</v>
      </c>
      <c r="E5602" t="s">
        <v>16987</v>
      </c>
      <c r="F5602" t="s">
        <v>16988</v>
      </c>
      <c r="I5602" t="s">
        <v>184</v>
      </c>
      <c r="J5602" t="s">
        <v>30</v>
      </c>
      <c r="K5602" t="s">
        <v>185</v>
      </c>
      <c r="M5602" t="s">
        <v>32</v>
      </c>
      <c r="N5602" t="str">
        <f>"1/12/2010 12:00:00 AM"</f>
        <v>1/12/2010 12:00:00 AM</v>
      </c>
      <c r="O5602" t="s">
        <v>16986</v>
      </c>
      <c r="T5602" t="s">
        <v>16987</v>
      </c>
    </row>
    <row r="5603" spans="1:20" x14ac:dyDescent="0.25">
      <c r="A5603" t="str">
        <f>"3044656"</f>
        <v>3044656</v>
      </c>
      <c r="B5603" t="s">
        <v>17073</v>
      </c>
      <c r="C5603" t="str">
        <f>"82530930"</f>
        <v>82530930</v>
      </c>
      <c r="D5603" t="s">
        <v>17074</v>
      </c>
      <c r="E5603" t="s">
        <v>17075</v>
      </c>
      <c r="F5603" t="s">
        <v>17076</v>
      </c>
      <c r="I5603" t="s">
        <v>184</v>
      </c>
      <c r="J5603" t="s">
        <v>30</v>
      </c>
      <c r="K5603" t="s">
        <v>185</v>
      </c>
      <c r="M5603" t="s">
        <v>32</v>
      </c>
      <c r="N5603" t="str">
        <f>"2/9/2010 12:00:00 AM"</f>
        <v>2/9/2010 12:00:00 AM</v>
      </c>
      <c r="O5603" t="s">
        <v>17074</v>
      </c>
      <c r="T5603" t="s">
        <v>17075</v>
      </c>
    </row>
    <row r="5604" spans="1:20" x14ac:dyDescent="0.25">
      <c r="A5604" t="str">
        <f>"3042642"</f>
        <v>3042642</v>
      </c>
      <c r="B5604" t="s">
        <v>17077</v>
      </c>
      <c r="C5604" t="str">
        <f>"82530938"</f>
        <v>82530938</v>
      </c>
      <c r="D5604" t="s">
        <v>17078</v>
      </c>
      <c r="E5604" t="s">
        <v>17079</v>
      </c>
      <c r="F5604" t="s">
        <v>17080</v>
      </c>
      <c r="I5604" t="s">
        <v>29</v>
      </c>
      <c r="J5604" t="s">
        <v>30</v>
      </c>
      <c r="K5604" t="s">
        <v>31</v>
      </c>
      <c r="M5604" t="s">
        <v>32</v>
      </c>
      <c r="N5604" t="str">
        <f>"12/22/2010 12:00:00 AM"</f>
        <v>12/22/2010 12:00:00 AM</v>
      </c>
      <c r="O5604" t="s">
        <v>17078</v>
      </c>
      <c r="T5604" t="s">
        <v>17079</v>
      </c>
    </row>
    <row r="5605" spans="1:20" x14ac:dyDescent="0.25">
      <c r="A5605" t="str">
        <f>"3055392"</f>
        <v>3055392</v>
      </c>
      <c r="B5605" t="s">
        <v>17081</v>
      </c>
      <c r="C5605" t="str">
        <f>"82530950"</f>
        <v>82530950</v>
      </c>
      <c r="D5605" t="s">
        <v>17082</v>
      </c>
      <c r="F5605" t="s">
        <v>17083</v>
      </c>
      <c r="I5605" t="s">
        <v>17084</v>
      </c>
      <c r="J5605" t="s">
        <v>30</v>
      </c>
      <c r="K5605" t="s">
        <v>17085</v>
      </c>
      <c r="M5605" t="s">
        <v>32</v>
      </c>
      <c r="N5605" t="str">
        <f>"7/15/2009 12:00:00 AM"</f>
        <v>7/15/2009 12:00:00 AM</v>
      </c>
      <c r="O5605" t="s">
        <v>17082</v>
      </c>
    </row>
    <row r="5606" spans="1:20" x14ac:dyDescent="0.25">
      <c r="A5606" t="str">
        <f>"3054046"</f>
        <v>3054046</v>
      </c>
      <c r="B5606" t="s">
        <v>17086</v>
      </c>
      <c r="C5606" t="str">
        <f>"82531091"</f>
        <v>82531091</v>
      </c>
      <c r="D5606" t="s">
        <v>17087</v>
      </c>
      <c r="E5606" t="s">
        <v>17088</v>
      </c>
      <c r="F5606" t="s">
        <v>17089</v>
      </c>
      <c r="I5606" t="s">
        <v>29</v>
      </c>
      <c r="J5606" t="s">
        <v>30</v>
      </c>
      <c r="K5606" t="s">
        <v>31</v>
      </c>
      <c r="M5606" t="s">
        <v>32</v>
      </c>
      <c r="N5606" t="str">
        <f>"2/17/2011 12:00:00 AM"</f>
        <v>2/17/2011 12:00:00 AM</v>
      </c>
      <c r="O5606" t="s">
        <v>17087</v>
      </c>
      <c r="T5606" t="s">
        <v>17088</v>
      </c>
    </row>
    <row r="5607" spans="1:20" x14ac:dyDescent="0.25">
      <c r="A5607" t="str">
        <f>"3052631"</f>
        <v>3052631</v>
      </c>
      <c r="B5607" t="s">
        <v>17090</v>
      </c>
      <c r="C5607" t="str">
        <f>"82530952"</f>
        <v>82530952</v>
      </c>
      <c r="D5607" t="s">
        <v>17091</v>
      </c>
      <c r="F5607" t="s">
        <v>17092</v>
      </c>
      <c r="I5607" t="s">
        <v>29</v>
      </c>
      <c r="J5607" t="s">
        <v>30</v>
      </c>
      <c r="K5607" t="s">
        <v>31</v>
      </c>
      <c r="M5607" t="s">
        <v>32</v>
      </c>
      <c r="N5607" t="str">
        <f>"7/16/2009 12:00:00 AM"</f>
        <v>7/16/2009 12:00:00 AM</v>
      </c>
      <c r="O5607" t="s">
        <v>17091</v>
      </c>
    </row>
    <row r="5608" spans="1:20" x14ac:dyDescent="0.25">
      <c r="A5608" t="str">
        <f>"3043563"</f>
        <v>3043563</v>
      </c>
      <c r="B5608" t="s">
        <v>17093</v>
      </c>
      <c r="C5608" t="str">
        <f>"82530954"</f>
        <v>82530954</v>
      </c>
      <c r="D5608" t="s">
        <v>8174</v>
      </c>
      <c r="E5608" t="s">
        <v>17094</v>
      </c>
      <c r="F5608" t="s">
        <v>8175</v>
      </c>
      <c r="I5608" t="s">
        <v>29</v>
      </c>
      <c r="J5608" t="s">
        <v>30</v>
      </c>
      <c r="K5608" t="s">
        <v>31</v>
      </c>
      <c r="M5608" t="s">
        <v>32</v>
      </c>
      <c r="N5608" t="str">
        <f>"7/16/2009 12:00:00 AM"</f>
        <v>7/16/2009 12:00:00 AM</v>
      </c>
      <c r="O5608" t="s">
        <v>8174</v>
      </c>
      <c r="T5608" t="s">
        <v>17094</v>
      </c>
    </row>
    <row r="5609" spans="1:20" x14ac:dyDescent="0.25">
      <c r="A5609" t="str">
        <f>"3051464"</f>
        <v>3051464</v>
      </c>
      <c r="B5609" t="s">
        <v>17095</v>
      </c>
      <c r="C5609" t="str">
        <f>"82531101"</f>
        <v>82531101</v>
      </c>
      <c r="D5609" t="s">
        <v>14492</v>
      </c>
      <c r="E5609" t="s">
        <v>17096</v>
      </c>
      <c r="F5609" t="s">
        <v>14493</v>
      </c>
      <c r="I5609" t="s">
        <v>29</v>
      </c>
      <c r="J5609" t="s">
        <v>30</v>
      </c>
      <c r="K5609" t="s">
        <v>31</v>
      </c>
      <c r="M5609" t="s">
        <v>32</v>
      </c>
      <c r="N5609" t="str">
        <f>"9/8/2009 12:00:00 AM"</f>
        <v>9/8/2009 12:00:00 AM</v>
      </c>
      <c r="O5609" t="s">
        <v>14492</v>
      </c>
      <c r="T5609" t="s">
        <v>17096</v>
      </c>
    </row>
    <row r="5610" spans="1:20" x14ac:dyDescent="0.25">
      <c r="A5610" t="str">
        <f>"3057869"</f>
        <v>3057869</v>
      </c>
      <c r="B5610" t="s">
        <v>17097</v>
      </c>
      <c r="C5610" t="str">
        <f>"82531107"</f>
        <v>82531107</v>
      </c>
      <c r="D5610" t="s">
        <v>17098</v>
      </c>
      <c r="E5610" t="s">
        <v>17099</v>
      </c>
      <c r="F5610" t="s">
        <v>17100</v>
      </c>
      <c r="I5610" t="s">
        <v>184</v>
      </c>
      <c r="J5610" t="s">
        <v>30</v>
      </c>
      <c r="K5610" t="s">
        <v>185</v>
      </c>
      <c r="M5610" t="s">
        <v>32</v>
      </c>
      <c r="N5610" t="str">
        <f>"9/10/2009 12:00:00 AM"</f>
        <v>9/10/2009 12:00:00 AM</v>
      </c>
      <c r="O5610" t="s">
        <v>17098</v>
      </c>
      <c r="T5610" t="s">
        <v>17099</v>
      </c>
    </row>
    <row r="5611" spans="1:20" x14ac:dyDescent="0.25">
      <c r="A5611" t="str">
        <f>"3049232"</f>
        <v>3049232</v>
      </c>
      <c r="B5611" t="s">
        <v>17101</v>
      </c>
      <c r="C5611" t="str">
        <f>"82531111"</f>
        <v>82531111</v>
      </c>
      <c r="D5611" t="s">
        <v>17102</v>
      </c>
      <c r="E5611" t="s">
        <v>17103</v>
      </c>
      <c r="F5611" t="s">
        <v>17104</v>
      </c>
      <c r="I5611" t="s">
        <v>184</v>
      </c>
      <c r="J5611" t="s">
        <v>30</v>
      </c>
      <c r="K5611" t="s">
        <v>185</v>
      </c>
      <c r="M5611" t="s">
        <v>32</v>
      </c>
      <c r="N5611" t="str">
        <f>"9/10/2009 12:00:00 AM"</f>
        <v>9/10/2009 12:00:00 AM</v>
      </c>
      <c r="O5611" t="s">
        <v>17102</v>
      </c>
      <c r="T5611" t="s">
        <v>17103</v>
      </c>
    </row>
    <row r="5612" spans="1:20" x14ac:dyDescent="0.25">
      <c r="A5612" t="str">
        <f>"3042271"</f>
        <v>3042271</v>
      </c>
      <c r="B5612" t="s">
        <v>17105</v>
      </c>
      <c r="C5612" t="str">
        <f>"82531117"</f>
        <v>82531117</v>
      </c>
      <c r="D5612" t="s">
        <v>17106</v>
      </c>
      <c r="F5612" t="s">
        <v>17107</v>
      </c>
      <c r="I5612" t="s">
        <v>29</v>
      </c>
      <c r="J5612" t="s">
        <v>30</v>
      </c>
      <c r="K5612" t="s">
        <v>31</v>
      </c>
      <c r="M5612" t="s">
        <v>32</v>
      </c>
      <c r="N5612" t="str">
        <f>"1/7/2010 12:00:00 AM"</f>
        <v>1/7/2010 12:00:00 AM</v>
      </c>
      <c r="O5612" t="s">
        <v>17106</v>
      </c>
    </row>
    <row r="5613" spans="1:20" x14ac:dyDescent="0.25">
      <c r="A5613" t="str">
        <f>"3043258"</f>
        <v>3043258</v>
      </c>
      <c r="B5613" t="s">
        <v>17108</v>
      </c>
      <c r="C5613" t="str">
        <f>"82530954"</f>
        <v>82530954</v>
      </c>
      <c r="D5613" t="s">
        <v>8174</v>
      </c>
      <c r="E5613" t="s">
        <v>17094</v>
      </c>
      <c r="F5613" t="s">
        <v>8175</v>
      </c>
      <c r="I5613" t="s">
        <v>29</v>
      </c>
      <c r="J5613" t="s">
        <v>30</v>
      </c>
      <c r="K5613" t="s">
        <v>31</v>
      </c>
      <c r="M5613" t="s">
        <v>32</v>
      </c>
      <c r="N5613" t="str">
        <f>"7/16/2009 12:00:00 AM"</f>
        <v>7/16/2009 12:00:00 AM</v>
      </c>
      <c r="O5613" t="s">
        <v>8174</v>
      </c>
      <c r="T5613" t="s">
        <v>17094</v>
      </c>
    </row>
    <row r="5614" spans="1:20" x14ac:dyDescent="0.25">
      <c r="A5614" t="str">
        <f>"3043262"</f>
        <v>3043262</v>
      </c>
      <c r="B5614" t="s">
        <v>17109</v>
      </c>
      <c r="C5614" t="str">
        <f>"82530954"</f>
        <v>82530954</v>
      </c>
      <c r="D5614" t="s">
        <v>8174</v>
      </c>
      <c r="E5614" t="s">
        <v>17094</v>
      </c>
      <c r="F5614" t="s">
        <v>8175</v>
      </c>
      <c r="I5614" t="s">
        <v>29</v>
      </c>
      <c r="J5614" t="s">
        <v>30</v>
      </c>
      <c r="K5614" t="s">
        <v>31</v>
      </c>
      <c r="M5614" t="s">
        <v>32</v>
      </c>
      <c r="N5614" t="str">
        <f>"7/16/2009 12:00:00 AM"</f>
        <v>7/16/2009 12:00:00 AM</v>
      </c>
      <c r="O5614" t="s">
        <v>8174</v>
      </c>
      <c r="T5614" t="s">
        <v>17094</v>
      </c>
    </row>
    <row r="5615" spans="1:20" x14ac:dyDescent="0.25">
      <c r="A5615" t="str">
        <f>"3058177"</f>
        <v>3058177</v>
      </c>
      <c r="B5615" t="s">
        <v>17110</v>
      </c>
      <c r="C5615" t="str">
        <f>"82530959"</f>
        <v>82530959</v>
      </c>
      <c r="D5615" t="s">
        <v>17111</v>
      </c>
      <c r="F5615" t="s">
        <v>17112</v>
      </c>
      <c r="I5615" t="s">
        <v>29</v>
      </c>
      <c r="J5615" t="s">
        <v>30</v>
      </c>
      <c r="K5615" t="s">
        <v>31</v>
      </c>
      <c r="M5615" t="s">
        <v>32</v>
      </c>
      <c r="N5615" t="str">
        <f>"1/26/2010 12:00:00 AM"</f>
        <v>1/26/2010 12:00:00 AM</v>
      </c>
      <c r="O5615" t="s">
        <v>17111</v>
      </c>
    </row>
    <row r="5616" spans="1:20" x14ac:dyDescent="0.25">
      <c r="A5616" t="str">
        <f>"3042638"</f>
        <v>3042638</v>
      </c>
      <c r="B5616" t="s">
        <v>17113</v>
      </c>
      <c r="C5616" t="str">
        <f>"82530962"</f>
        <v>82530962</v>
      </c>
      <c r="D5616" t="s">
        <v>17114</v>
      </c>
      <c r="E5616" t="s">
        <v>17115</v>
      </c>
      <c r="F5616" t="s">
        <v>17116</v>
      </c>
      <c r="I5616" t="s">
        <v>29</v>
      </c>
      <c r="J5616" t="s">
        <v>30</v>
      </c>
      <c r="K5616" t="s">
        <v>31</v>
      </c>
      <c r="M5616" t="s">
        <v>32</v>
      </c>
      <c r="N5616" t="str">
        <f>"1/11/2010 12:00:00 AM"</f>
        <v>1/11/2010 12:00:00 AM</v>
      </c>
      <c r="O5616" t="s">
        <v>17114</v>
      </c>
      <c r="T5616" t="s">
        <v>17115</v>
      </c>
    </row>
    <row r="5617" spans="1:20" x14ac:dyDescent="0.25">
      <c r="A5617" t="str">
        <f>"3054097"</f>
        <v>3054097</v>
      </c>
      <c r="B5617" t="s">
        <v>17117</v>
      </c>
      <c r="C5617" t="str">
        <f>"82531131"</f>
        <v>82531131</v>
      </c>
      <c r="D5617" t="s">
        <v>17118</v>
      </c>
      <c r="F5617" t="s">
        <v>14801</v>
      </c>
      <c r="I5617" t="s">
        <v>29</v>
      </c>
      <c r="J5617" t="s">
        <v>30</v>
      </c>
      <c r="K5617" t="s">
        <v>31</v>
      </c>
      <c r="M5617" t="s">
        <v>32</v>
      </c>
      <c r="N5617" t="str">
        <f>"9/11/2009 12:00:00 AM"</f>
        <v>9/11/2009 12:00:00 AM</v>
      </c>
      <c r="O5617" t="s">
        <v>17118</v>
      </c>
    </row>
    <row r="5618" spans="1:20" x14ac:dyDescent="0.25">
      <c r="A5618" t="str">
        <f>"3054213"</f>
        <v>3054213</v>
      </c>
      <c r="B5618" t="s">
        <v>17119</v>
      </c>
      <c r="C5618" t="str">
        <f>"82531131"</f>
        <v>82531131</v>
      </c>
      <c r="D5618" t="s">
        <v>17118</v>
      </c>
      <c r="F5618" t="s">
        <v>14801</v>
      </c>
      <c r="I5618" t="s">
        <v>29</v>
      </c>
      <c r="J5618" t="s">
        <v>30</v>
      </c>
      <c r="K5618" t="s">
        <v>31</v>
      </c>
      <c r="M5618" t="s">
        <v>32</v>
      </c>
      <c r="N5618" t="str">
        <f>"9/11/2009 12:00:00 AM"</f>
        <v>9/11/2009 12:00:00 AM</v>
      </c>
      <c r="O5618" t="s">
        <v>17118</v>
      </c>
    </row>
    <row r="5619" spans="1:20" x14ac:dyDescent="0.25">
      <c r="A5619" t="str">
        <f>"3054387"</f>
        <v>3054387</v>
      </c>
      <c r="B5619" t="s">
        <v>17120</v>
      </c>
      <c r="C5619" t="str">
        <f>"82531131"</f>
        <v>82531131</v>
      </c>
      <c r="D5619" t="s">
        <v>17118</v>
      </c>
      <c r="F5619" t="s">
        <v>14801</v>
      </c>
      <c r="I5619" t="s">
        <v>29</v>
      </c>
      <c r="J5619" t="s">
        <v>30</v>
      </c>
      <c r="K5619" t="s">
        <v>31</v>
      </c>
      <c r="M5619" t="s">
        <v>32</v>
      </c>
      <c r="N5619" t="str">
        <f>"9/11/2009 12:00:00 AM"</f>
        <v>9/11/2009 12:00:00 AM</v>
      </c>
      <c r="O5619" t="s">
        <v>17118</v>
      </c>
    </row>
    <row r="5620" spans="1:20" x14ac:dyDescent="0.25">
      <c r="A5620" t="str">
        <f>"3048212"</f>
        <v>3048212</v>
      </c>
      <c r="B5620" t="s">
        <v>17121</v>
      </c>
      <c r="C5620" t="str">
        <f>"82530971"</f>
        <v>82530971</v>
      </c>
      <c r="D5620" t="s">
        <v>17122</v>
      </c>
      <c r="E5620" t="s">
        <v>17123</v>
      </c>
      <c r="F5620" t="s">
        <v>17124</v>
      </c>
      <c r="I5620" t="s">
        <v>1149</v>
      </c>
      <c r="J5620" t="s">
        <v>30</v>
      </c>
      <c r="K5620" t="s">
        <v>1150</v>
      </c>
      <c r="M5620" t="s">
        <v>32</v>
      </c>
      <c r="N5620" t="str">
        <f>"7/27/2009 12:00:00 AM"</f>
        <v>7/27/2009 12:00:00 AM</v>
      </c>
      <c r="O5620" t="s">
        <v>17122</v>
      </c>
      <c r="T5620" t="s">
        <v>17123</v>
      </c>
    </row>
    <row r="5621" spans="1:20" x14ac:dyDescent="0.25">
      <c r="A5621" t="str">
        <f>"3050969"</f>
        <v>3050969</v>
      </c>
      <c r="B5621" t="s">
        <v>17125</v>
      </c>
      <c r="C5621" t="str">
        <f>"82530972"</f>
        <v>82530972</v>
      </c>
      <c r="D5621" t="s">
        <v>17126</v>
      </c>
      <c r="F5621" t="s">
        <v>17127</v>
      </c>
      <c r="I5621" t="s">
        <v>184</v>
      </c>
      <c r="J5621" t="s">
        <v>30</v>
      </c>
      <c r="K5621" t="s">
        <v>185</v>
      </c>
      <c r="M5621" t="s">
        <v>32</v>
      </c>
      <c r="N5621" t="str">
        <f>"7/27/2009 12:00:00 AM"</f>
        <v>7/27/2009 12:00:00 AM</v>
      </c>
      <c r="O5621" t="s">
        <v>17126</v>
      </c>
    </row>
    <row r="5622" spans="1:20" x14ac:dyDescent="0.25">
      <c r="A5622" t="str">
        <f>"3049838"</f>
        <v>3049838</v>
      </c>
      <c r="B5622" t="s">
        <v>17128</v>
      </c>
      <c r="C5622" t="str">
        <f>"82530810"</f>
        <v>82530810</v>
      </c>
      <c r="D5622" t="s">
        <v>17129</v>
      </c>
      <c r="E5622" t="s">
        <v>17130</v>
      </c>
      <c r="F5622" t="s">
        <v>17131</v>
      </c>
      <c r="I5622" t="s">
        <v>29</v>
      </c>
      <c r="J5622" t="s">
        <v>30</v>
      </c>
      <c r="K5622" t="s">
        <v>17132</v>
      </c>
      <c r="M5622" t="s">
        <v>32</v>
      </c>
      <c r="N5622" t="str">
        <f>"10/15/2009 12:00:00 AM"</f>
        <v>10/15/2009 12:00:00 AM</v>
      </c>
      <c r="O5622" t="s">
        <v>17129</v>
      </c>
      <c r="T5622" t="s">
        <v>17130</v>
      </c>
    </row>
    <row r="5623" spans="1:20" x14ac:dyDescent="0.25">
      <c r="A5623" t="str">
        <f>"3052841"</f>
        <v>3052841</v>
      </c>
      <c r="B5623" t="s">
        <v>17133</v>
      </c>
      <c r="C5623" t="str">
        <f>"82530648"</f>
        <v>82530648</v>
      </c>
      <c r="D5623" t="s">
        <v>11428</v>
      </c>
      <c r="F5623" t="s">
        <v>11430</v>
      </c>
      <c r="I5623" t="s">
        <v>29</v>
      </c>
      <c r="J5623" t="s">
        <v>30</v>
      </c>
      <c r="K5623" t="s">
        <v>31</v>
      </c>
      <c r="M5623" t="s">
        <v>32</v>
      </c>
      <c r="N5623" t="str">
        <f>"12/22/2010 12:00:00 AM"</f>
        <v>12/22/2010 12:00:00 AM</v>
      </c>
      <c r="O5623" t="s">
        <v>11428</v>
      </c>
      <c r="T5623" t="s">
        <v>11428</v>
      </c>
    </row>
    <row r="5624" spans="1:20" x14ac:dyDescent="0.25">
      <c r="A5624" t="str">
        <f>"3052317"</f>
        <v>3052317</v>
      </c>
      <c r="B5624" t="s">
        <v>17134</v>
      </c>
      <c r="C5624" t="str">
        <f>"82530648"</f>
        <v>82530648</v>
      </c>
      <c r="D5624" t="s">
        <v>11428</v>
      </c>
      <c r="F5624" t="s">
        <v>11430</v>
      </c>
      <c r="I5624" t="s">
        <v>29</v>
      </c>
      <c r="J5624" t="s">
        <v>30</v>
      </c>
      <c r="K5624" t="s">
        <v>31</v>
      </c>
      <c r="M5624" t="s">
        <v>32</v>
      </c>
      <c r="N5624" t="str">
        <f>"12/22/2010 12:00:00 AM"</f>
        <v>12/22/2010 12:00:00 AM</v>
      </c>
      <c r="O5624" t="s">
        <v>11428</v>
      </c>
      <c r="T5624" t="s">
        <v>11428</v>
      </c>
    </row>
    <row r="5625" spans="1:20" x14ac:dyDescent="0.25">
      <c r="A5625" t="str">
        <f>"3054411"</f>
        <v>3054411</v>
      </c>
      <c r="B5625" t="s">
        <v>17135</v>
      </c>
      <c r="C5625" t="str">
        <f>"82530635"</f>
        <v>82530635</v>
      </c>
      <c r="D5625" t="s">
        <v>17136</v>
      </c>
      <c r="F5625" t="s">
        <v>17137</v>
      </c>
      <c r="I5625" t="s">
        <v>29</v>
      </c>
      <c r="J5625" t="s">
        <v>30</v>
      </c>
      <c r="K5625" t="s">
        <v>31</v>
      </c>
      <c r="M5625" t="s">
        <v>32</v>
      </c>
      <c r="N5625" t="str">
        <f>"5/12/2009 12:00:00 AM"</f>
        <v>5/12/2009 12:00:00 AM</v>
      </c>
      <c r="O5625" t="s">
        <v>17136</v>
      </c>
    </row>
    <row r="5626" spans="1:20" x14ac:dyDescent="0.25">
      <c r="A5626" t="str">
        <f>"3044774"</f>
        <v>3044774</v>
      </c>
      <c r="B5626" t="s">
        <v>17138</v>
      </c>
      <c r="C5626" t="str">
        <f>"82530812"</f>
        <v>82530812</v>
      </c>
      <c r="D5626" t="s">
        <v>17139</v>
      </c>
      <c r="E5626" t="s">
        <v>17140</v>
      </c>
      <c r="F5626" t="s">
        <v>17141</v>
      </c>
      <c r="I5626" t="s">
        <v>184</v>
      </c>
      <c r="J5626" t="s">
        <v>30</v>
      </c>
      <c r="K5626" t="s">
        <v>185</v>
      </c>
      <c r="M5626" t="s">
        <v>32</v>
      </c>
      <c r="N5626" t="str">
        <f>"2/11/2010 12:00:00 AM"</f>
        <v>2/11/2010 12:00:00 AM</v>
      </c>
      <c r="O5626" t="s">
        <v>17139</v>
      </c>
      <c r="T5626" t="s">
        <v>17140</v>
      </c>
    </row>
    <row r="5627" spans="1:20" x14ac:dyDescent="0.25">
      <c r="A5627" t="str">
        <f>"3041885"</f>
        <v>3041885</v>
      </c>
      <c r="B5627" t="s">
        <v>17142</v>
      </c>
      <c r="C5627" t="str">
        <f>"82530973"</f>
        <v>82530973</v>
      </c>
      <c r="D5627" t="s">
        <v>17143</v>
      </c>
      <c r="F5627" t="s">
        <v>17144</v>
      </c>
      <c r="G5627" t="str">
        <f>"C/O TOM MORRIS"</f>
        <v>C/O TOM MORRIS</v>
      </c>
      <c r="I5627" t="s">
        <v>2589</v>
      </c>
      <c r="J5627" t="s">
        <v>30</v>
      </c>
      <c r="K5627" t="s">
        <v>17145</v>
      </c>
      <c r="M5627" t="s">
        <v>32</v>
      </c>
      <c r="N5627" t="str">
        <f>"7/28/2009 12:00:00 AM"</f>
        <v>7/28/2009 12:00:00 AM</v>
      </c>
      <c r="O5627" t="s">
        <v>17143</v>
      </c>
    </row>
    <row r="5628" spans="1:20" x14ac:dyDescent="0.25">
      <c r="A5628" t="str">
        <f>"3050741"</f>
        <v>3050741</v>
      </c>
      <c r="B5628" t="s">
        <v>17146</v>
      </c>
      <c r="C5628" t="str">
        <f>"82530982"</f>
        <v>82530982</v>
      </c>
      <c r="D5628" t="s">
        <v>17147</v>
      </c>
      <c r="F5628" t="s">
        <v>17148</v>
      </c>
      <c r="I5628" t="s">
        <v>184</v>
      </c>
      <c r="J5628" t="s">
        <v>30</v>
      </c>
      <c r="K5628" t="s">
        <v>185</v>
      </c>
      <c r="M5628" t="s">
        <v>32</v>
      </c>
      <c r="N5628" t="str">
        <f>"2/1/2010 12:00:00 AM"</f>
        <v>2/1/2010 12:00:00 AM</v>
      </c>
      <c r="O5628" t="s">
        <v>17147</v>
      </c>
    </row>
    <row r="5629" spans="1:20" x14ac:dyDescent="0.25">
      <c r="A5629" t="str">
        <f>"3042372"</f>
        <v>3042372</v>
      </c>
      <c r="B5629" t="s">
        <v>17149</v>
      </c>
      <c r="C5629" t="str">
        <f>"82530988"</f>
        <v>82530988</v>
      </c>
      <c r="D5629" t="s">
        <v>17150</v>
      </c>
      <c r="E5629" t="s">
        <v>17151</v>
      </c>
      <c r="F5629" t="s">
        <v>17152</v>
      </c>
      <c r="I5629" t="s">
        <v>184</v>
      </c>
      <c r="J5629" t="s">
        <v>30</v>
      </c>
      <c r="K5629" t="s">
        <v>185</v>
      </c>
      <c r="M5629" t="s">
        <v>32</v>
      </c>
      <c r="N5629" t="str">
        <f>"2/9/2010 12:00:00 AM"</f>
        <v>2/9/2010 12:00:00 AM</v>
      </c>
      <c r="O5629" t="s">
        <v>17150</v>
      </c>
      <c r="T5629" t="s">
        <v>17151</v>
      </c>
    </row>
    <row r="5630" spans="1:20" x14ac:dyDescent="0.25">
      <c r="A5630" t="str">
        <f>"3046914"</f>
        <v>3046914</v>
      </c>
      <c r="B5630" t="s">
        <v>17153</v>
      </c>
      <c r="C5630" t="str">
        <f>"82531171"</f>
        <v>82531171</v>
      </c>
      <c r="D5630" t="s">
        <v>17154</v>
      </c>
      <c r="F5630" t="s">
        <v>17155</v>
      </c>
      <c r="I5630" t="s">
        <v>29</v>
      </c>
      <c r="J5630" t="s">
        <v>30</v>
      </c>
      <c r="K5630" t="s">
        <v>31</v>
      </c>
      <c r="M5630" t="s">
        <v>32</v>
      </c>
      <c r="N5630" t="str">
        <f>"10/21/2009 12:00:00 AM"</f>
        <v>10/21/2009 12:00:00 AM</v>
      </c>
      <c r="O5630" t="s">
        <v>17154</v>
      </c>
    </row>
    <row r="5631" spans="1:20" x14ac:dyDescent="0.25">
      <c r="A5631" t="str">
        <f>"3046925"</f>
        <v>3046925</v>
      </c>
      <c r="B5631" t="s">
        <v>17156</v>
      </c>
      <c r="C5631" t="str">
        <f>"82531171"</f>
        <v>82531171</v>
      </c>
      <c r="D5631" t="s">
        <v>17154</v>
      </c>
      <c r="F5631" t="s">
        <v>17155</v>
      </c>
      <c r="I5631" t="s">
        <v>29</v>
      </c>
      <c r="J5631" t="s">
        <v>30</v>
      </c>
      <c r="K5631" t="s">
        <v>31</v>
      </c>
      <c r="M5631" t="s">
        <v>32</v>
      </c>
      <c r="N5631" t="str">
        <f>"10/21/2009 12:00:00 AM"</f>
        <v>10/21/2009 12:00:00 AM</v>
      </c>
      <c r="O5631" t="s">
        <v>17154</v>
      </c>
    </row>
    <row r="5632" spans="1:20" x14ac:dyDescent="0.25">
      <c r="A5632" t="str">
        <f>"3041376"</f>
        <v>3041376</v>
      </c>
      <c r="B5632" t="s">
        <v>17157</v>
      </c>
      <c r="C5632" t="str">
        <f>"51944000"</f>
        <v>51944000</v>
      </c>
      <c r="D5632" t="s">
        <v>17158</v>
      </c>
      <c r="E5632" t="s">
        <v>17159</v>
      </c>
      <c r="F5632" t="s">
        <v>17160</v>
      </c>
      <c r="I5632" t="s">
        <v>2071</v>
      </c>
      <c r="J5632" t="s">
        <v>30</v>
      </c>
      <c r="K5632" t="s">
        <v>185</v>
      </c>
      <c r="M5632" t="s">
        <v>32</v>
      </c>
      <c r="N5632" t="str">
        <f>"1/8/2010 12:00:00 AM"</f>
        <v>1/8/2010 12:00:00 AM</v>
      </c>
      <c r="O5632" t="s">
        <v>17158</v>
      </c>
      <c r="T5632" t="s">
        <v>17159</v>
      </c>
    </row>
    <row r="5633" spans="1:20" x14ac:dyDescent="0.25">
      <c r="A5633" t="str">
        <f>"3038366"</f>
        <v>3038366</v>
      </c>
      <c r="B5633" t="s">
        <v>17161</v>
      </c>
      <c r="C5633" t="str">
        <f>"82531004"</f>
        <v>82531004</v>
      </c>
      <c r="D5633" t="s">
        <v>17162</v>
      </c>
      <c r="E5633" t="s">
        <v>17163</v>
      </c>
      <c r="F5633" t="s">
        <v>17164</v>
      </c>
      <c r="I5633" t="s">
        <v>29</v>
      </c>
      <c r="J5633" t="s">
        <v>30</v>
      </c>
      <c r="K5633" t="s">
        <v>31</v>
      </c>
      <c r="M5633" t="s">
        <v>32</v>
      </c>
      <c r="N5633" t="str">
        <f>"8/16/2010 12:00:00 AM"</f>
        <v>8/16/2010 12:00:00 AM</v>
      </c>
      <c r="O5633" t="s">
        <v>17162</v>
      </c>
      <c r="T5633" t="s">
        <v>17163</v>
      </c>
    </row>
    <row r="5634" spans="1:20" x14ac:dyDescent="0.25">
      <c r="A5634" t="str">
        <f>"3040606"</f>
        <v>3040606</v>
      </c>
      <c r="B5634" t="s">
        <v>17165</v>
      </c>
      <c r="C5634" t="str">
        <f>"82531007"</f>
        <v>82531007</v>
      </c>
      <c r="D5634" t="s">
        <v>17166</v>
      </c>
      <c r="F5634" t="s">
        <v>17167</v>
      </c>
      <c r="I5634" t="s">
        <v>184</v>
      </c>
      <c r="J5634" t="s">
        <v>30</v>
      </c>
      <c r="K5634" t="s">
        <v>185</v>
      </c>
      <c r="M5634" t="s">
        <v>32</v>
      </c>
      <c r="N5634" t="str">
        <f>"1/27/2010 12:00:00 AM"</f>
        <v>1/27/2010 12:00:00 AM</v>
      </c>
      <c r="O5634" t="s">
        <v>17166</v>
      </c>
    </row>
    <row r="5635" spans="1:20" x14ac:dyDescent="0.25">
      <c r="A5635" t="str">
        <f>"3050786"</f>
        <v>3050786</v>
      </c>
      <c r="B5635" t="s">
        <v>17168</v>
      </c>
      <c r="C5635" t="str">
        <f>"82531195"</f>
        <v>82531195</v>
      </c>
      <c r="D5635" t="s">
        <v>17169</v>
      </c>
      <c r="E5635" t="s">
        <v>17170</v>
      </c>
      <c r="F5635" t="s">
        <v>17171</v>
      </c>
      <c r="I5635" t="s">
        <v>184</v>
      </c>
      <c r="J5635" t="s">
        <v>30</v>
      </c>
      <c r="K5635" t="s">
        <v>185</v>
      </c>
      <c r="M5635" t="s">
        <v>32</v>
      </c>
      <c r="N5635" t="str">
        <f>"11/5/2009 12:00:00 AM"</f>
        <v>11/5/2009 12:00:00 AM</v>
      </c>
      <c r="O5635" t="s">
        <v>17169</v>
      </c>
      <c r="T5635" t="s">
        <v>17170</v>
      </c>
    </row>
    <row r="5636" spans="1:20" x14ac:dyDescent="0.25">
      <c r="A5636" t="str">
        <f>"3060683"</f>
        <v>3060683</v>
      </c>
      <c r="B5636" t="s">
        <v>17172</v>
      </c>
      <c r="C5636" t="str">
        <f>"82531197"</f>
        <v>82531197</v>
      </c>
      <c r="D5636" t="s">
        <v>17173</v>
      </c>
      <c r="E5636" t="s">
        <v>17174</v>
      </c>
      <c r="F5636" t="s">
        <v>17175</v>
      </c>
      <c r="I5636" t="s">
        <v>2071</v>
      </c>
      <c r="J5636" t="s">
        <v>30</v>
      </c>
      <c r="K5636" t="s">
        <v>185</v>
      </c>
      <c r="M5636" t="s">
        <v>32</v>
      </c>
      <c r="N5636" t="str">
        <f>"11/5/2009 12:00:00 AM"</f>
        <v>11/5/2009 12:00:00 AM</v>
      </c>
      <c r="O5636" t="s">
        <v>17173</v>
      </c>
      <c r="T5636" t="s">
        <v>17174</v>
      </c>
    </row>
    <row r="5637" spans="1:20" x14ac:dyDescent="0.25">
      <c r="A5637" t="str">
        <f>"3052632"</f>
        <v>3052632</v>
      </c>
      <c r="B5637" t="s">
        <v>17176</v>
      </c>
      <c r="C5637" t="str">
        <f>"82531008"</f>
        <v>82531008</v>
      </c>
      <c r="D5637" t="s">
        <v>17177</v>
      </c>
      <c r="F5637" t="s">
        <v>17178</v>
      </c>
      <c r="I5637" t="s">
        <v>29</v>
      </c>
      <c r="J5637" t="s">
        <v>30</v>
      </c>
      <c r="K5637" t="s">
        <v>31</v>
      </c>
      <c r="M5637" t="s">
        <v>32</v>
      </c>
      <c r="N5637" t="str">
        <f>"1/29/2010 12:00:00 AM"</f>
        <v>1/29/2010 12:00:00 AM</v>
      </c>
      <c r="O5637" t="s">
        <v>17177</v>
      </c>
    </row>
    <row r="5638" spans="1:20" x14ac:dyDescent="0.25">
      <c r="A5638" t="str">
        <f>"3057944"</f>
        <v>3057944</v>
      </c>
      <c r="B5638" t="s">
        <v>17179</v>
      </c>
      <c r="C5638" t="str">
        <f>"82531010"</f>
        <v>82531010</v>
      </c>
      <c r="D5638" t="s">
        <v>17180</v>
      </c>
      <c r="E5638" t="s">
        <v>17181</v>
      </c>
      <c r="F5638" t="s">
        <v>17182</v>
      </c>
      <c r="I5638" t="s">
        <v>184</v>
      </c>
      <c r="J5638" t="s">
        <v>30</v>
      </c>
      <c r="K5638" t="s">
        <v>185</v>
      </c>
      <c r="M5638" t="s">
        <v>32</v>
      </c>
      <c r="N5638" t="str">
        <f>"2/10/2010 12:00:00 AM"</f>
        <v>2/10/2010 12:00:00 AM</v>
      </c>
      <c r="O5638" t="s">
        <v>17180</v>
      </c>
      <c r="T5638" t="s">
        <v>17181</v>
      </c>
    </row>
    <row r="5639" spans="1:20" x14ac:dyDescent="0.25">
      <c r="A5639" t="str">
        <f>"3038235"</f>
        <v>3038235</v>
      </c>
      <c r="B5639" t="s">
        <v>17183</v>
      </c>
      <c r="C5639" t="str">
        <f>"82531013"</f>
        <v>82531013</v>
      </c>
      <c r="D5639" t="s">
        <v>17184</v>
      </c>
      <c r="F5639" t="s">
        <v>16853</v>
      </c>
      <c r="I5639" t="s">
        <v>29</v>
      </c>
      <c r="J5639" t="s">
        <v>30</v>
      </c>
      <c r="K5639" t="s">
        <v>31</v>
      </c>
      <c r="M5639" t="s">
        <v>32</v>
      </c>
      <c r="N5639" t="str">
        <f>"2/9/2010 12:00:00 AM"</f>
        <v>2/9/2010 12:00:00 AM</v>
      </c>
      <c r="O5639" t="s">
        <v>17184</v>
      </c>
    </row>
    <row r="5640" spans="1:20" x14ac:dyDescent="0.25">
      <c r="A5640" t="str">
        <f>"3076876"</f>
        <v>3076876</v>
      </c>
      <c r="B5640" t="s">
        <v>17185</v>
      </c>
      <c r="C5640" t="str">
        <f>"82531013"</f>
        <v>82531013</v>
      </c>
      <c r="D5640" t="s">
        <v>17184</v>
      </c>
      <c r="F5640" t="s">
        <v>16853</v>
      </c>
      <c r="I5640" t="s">
        <v>29</v>
      </c>
      <c r="J5640" t="s">
        <v>30</v>
      </c>
      <c r="K5640" t="s">
        <v>31</v>
      </c>
      <c r="M5640" t="s">
        <v>32</v>
      </c>
      <c r="N5640" t="str">
        <f>"2/9/2010 12:00:00 AM"</f>
        <v>2/9/2010 12:00:00 AM</v>
      </c>
      <c r="O5640" t="s">
        <v>17184</v>
      </c>
    </row>
    <row r="5641" spans="1:20" x14ac:dyDescent="0.25">
      <c r="A5641" t="str">
        <f>"3062409"</f>
        <v>3062409</v>
      </c>
      <c r="B5641" t="s">
        <v>17186</v>
      </c>
      <c r="C5641" t="str">
        <f>"82531021"</f>
        <v>82531021</v>
      </c>
      <c r="D5641" t="s">
        <v>17187</v>
      </c>
      <c r="E5641" t="s">
        <v>17188</v>
      </c>
      <c r="F5641" t="s">
        <v>17189</v>
      </c>
      <c r="I5641" t="s">
        <v>29</v>
      </c>
      <c r="J5641" t="s">
        <v>30</v>
      </c>
      <c r="K5641" t="s">
        <v>31</v>
      </c>
      <c r="M5641" t="s">
        <v>32</v>
      </c>
      <c r="N5641" t="str">
        <f>"2/9/2010 12:00:00 AM"</f>
        <v>2/9/2010 12:00:00 AM</v>
      </c>
      <c r="O5641" t="s">
        <v>17187</v>
      </c>
      <c r="T5641" t="s">
        <v>17188</v>
      </c>
    </row>
    <row r="5642" spans="1:20" x14ac:dyDescent="0.25">
      <c r="A5642" t="str">
        <f>"3045612"</f>
        <v>3045612</v>
      </c>
      <c r="B5642" t="s">
        <v>17190</v>
      </c>
      <c r="C5642" t="str">
        <f>"82531090"</f>
        <v>82531090</v>
      </c>
      <c r="D5642" t="s">
        <v>17191</v>
      </c>
      <c r="F5642" t="s">
        <v>17192</v>
      </c>
      <c r="I5642" t="s">
        <v>29</v>
      </c>
      <c r="J5642" t="s">
        <v>30</v>
      </c>
      <c r="K5642" t="s">
        <v>31</v>
      </c>
      <c r="M5642" t="s">
        <v>32</v>
      </c>
      <c r="N5642" t="str">
        <f>"9/1/2009 12:00:00 AM"</f>
        <v>9/1/2009 12:00:00 AM</v>
      </c>
      <c r="O5642" t="s">
        <v>17191</v>
      </c>
    </row>
    <row r="5643" spans="1:20" x14ac:dyDescent="0.25">
      <c r="A5643" t="str">
        <f>"3058783"</f>
        <v>3058783</v>
      </c>
      <c r="B5643" t="s">
        <v>17193</v>
      </c>
      <c r="C5643" t="str">
        <f>"82531099"</f>
        <v>82531099</v>
      </c>
      <c r="D5643" t="s">
        <v>17194</v>
      </c>
      <c r="F5643" t="s">
        <v>17195</v>
      </c>
      <c r="I5643" t="s">
        <v>29</v>
      </c>
      <c r="J5643" t="s">
        <v>30</v>
      </c>
      <c r="K5643" t="s">
        <v>31</v>
      </c>
      <c r="M5643" t="s">
        <v>32</v>
      </c>
      <c r="N5643" t="str">
        <f>"9/8/2009 12:00:00 AM"</f>
        <v>9/8/2009 12:00:00 AM</v>
      </c>
      <c r="O5643" t="s">
        <v>17194</v>
      </c>
    </row>
    <row r="5644" spans="1:20" x14ac:dyDescent="0.25">
      <c r="A5644" t="str">
        <f>"3045293"</f>
        <v>3045293</v>
      </c>
      <c r="B5644" t="s">
        <v>17196</v>
      </c>
      <c r="C5644" t="str">
        <f>"82531228"</f>
        <v>82531228</v>
      </c>
      <c r="D5644" t="s">
        <v>17197</v>
      </c>
      <c r="E5644" t="s">
        <v>17198</v>
      </c>
      <c r="F5644" t="s">
        <v>17199</v>
      </c>
      <c r="I5644" t="s">
        <v>1149</v>
      </c>
      <c r="J5644" t="s">
        <v>30</v>
      </c>
      <c r="K5644" t="s">
        <v>1150</v>
      </c>
      <c r="M5644" t="s">
        <v>32</v>
      </c>
      <c r="N5644" t="str">
        <f>"11/10/2009 12:00:00 AM"</f>
        <v>11/10/2009 12:00:00 AM</v>
      </c>
      <c r="O5644" t="s">
        <v>17197</v>
      </c>
      <c r="T5644" t="s">
        <v>17198</v>
      </c>
    </row>
    <row r="5645" spans="1:20" x14ac:dyDescent="0.25">
      <c r="A5645" t="str">
        <f>"3050242"</f>
        <v>3050242</v>
      </c>
      <c r="B5645" t="s">
        <v>17200</v>
      </c>
      <c r="C5645" t="str">
        <f>"82531229"</f>
        <v>82531229</v>
      </c>
      <c r="D5645" t="s">
        <v>17201</v>
      </c>
      <c r="E5645" t="s">
        <v>17202</v>
      </c>
      <c r="F5645" t="s">
        <v>17203</v>
      </c>
      <c r="I5645" t="s">
        <v>29</v>
      </c>
      <c r="J5645" t="s">
        <v>30</v>
      </c>
      <c r="K5645" t="s">
        <v>31</v>
      </c>
      <c r="M5645" t="s">
        <v>32</v>
      </c>
      <c r="N5645" t="str">
        <f>"11/10/2009 12:00:00 AM"</f>
        <v>11/10/2009 12:00:00 AM</v>
      </c>
      <c r="O5645" t="s">
        <v>17201</v>
      </c>
      <c r="T5645" t="s">
        <v>17202</v>
      </c>
    </row>
    <row r="5646" spans="1:20" x14ac:dyDescent="0.25">
      <c r="A5646" t="str">
        <f>"3051546"</f>
        <v>3051546</v>
      </c>
      <c r="B5646" t="s">
        <v>17204</v>
      </c>
      <c r="C5646" t="str">
        <f>"82531101"</f>
        <v>82531101</v>
      </c>
      <c r="D5646" t="s">
        <v>14492</v>
      </c>
      <c r="E5646" t="s">
        <v>17096</v>
      </c>
      <c r="F5646" t="s">
        <v>14493</v>
      </c>
      <c r="I5646" t="s">
        <v>29</v>
      </c>
      <c r="J5646" t="s">
        <v>30</v>
      </c>
      <c r="K5646" t="s">
        <v>31</v>
      </c>
      <c r="M5646" t="s">
        <v>32</v>
      </c>
      <c r="N5646" t="str">
        <f>"9/8/2009 12:00:00 AM"</f>
        <v>9/8/2009 12:00:00 AM</v>
      </c>
      <c r="O5646" t="s">
        <v>14492</v>
      </c>
      <c r="T5646" t="s">
        <v>17096</v>
      </c>
    </row>
    <row r="5647" spans="1:20" x14ac:dyDescent="0.25">
      <c r="A5647" t="str">
        <f>"3049147"</f>
        <v>3049147</v>
      </c>
      <c r="B5647" t="s">
        <v>17205</v>
      </c>
      <c r="C5647" t="str">
        <f>"82531120"</f>
        <v>82531120</v>
      </c>
      <c r="D5647" t="s">
        <v>17206</v>
      </c>
      <c r="E5647" t="s">
        <v>17207</v>
      </c>
      <c r="F5647" t="s">
        <v>17208</v>
      </c>
      <c r="I5647" t="s">
        <v>29</v>
      </c>
      <c r="J5647" t="s">
        <v>30</v>
      </c>
      <c r="K5647" t="s">
        <v>31</v>
      </c>
      <c r="M5647" t="s">
        <v>32</v>
      </c>
      <c r="N5647" t="str">
        <f>"1/12/2010 12:00:00 AM"</f>
        <v>1/12/2010 12:00:00 AM</v>
      </c>
      <c r="O5647" t="s">
        <v>17206</v>
      </c>
      <c r="T5647" t="s">
        <v>17207</v>
      </c>
    </row>
    <row r="5648" spans="1:20" x14ac:dyDescent="0.25">
      <c r="A5648" t="str">
        <f>"3058273"</f>
        <v>3058273</v>
      </c>
      <c r="B5648" t="s">
        <v>17209</v>
      </c>
      <c r="C5648" t="str">
        <f>"82531120"</f>
        <v>82531120</v>
      </c>
      <c r="D5648" t="s">
        <v>17206</v>
      </c>
      <c r="E5648" t="s">
        <v>17207</v>
      </c>
      <c r="F5648" t="s">
        <v>17208</v>
      </c>
      <c r="I5648" t="s">
        <v>29</v>
      </c>
      <c r="J5648" t="s">
        <v>30</v>
      </c>
      <c r="K5648" t="s">
        <v>31</v>
      </c>
      <c r="M5648" t="s">
        <v>32</v>
      </c>
      <c r="N5648" t="str">
        <f>"1/12/2010 12:00:00 AM"</f>
        <v>1/12/2010 12:00:00 AM</v>
      </c>
      <c r="O5648" t="s">
        <v>17206</v>
      </c>
      <c r="T5648" t="s">
        <v>17207</v>
      </c>
    </row>
    <row r="5649" spans="1:20" x14ac:dyDescent="0.25">
      <c r="A5649" t="str">
        <f>"3054105"</f>
        <v>3054105</v>
      </c>
      <c r="B5649" t="s">
        <v>17210</v>
      </c>
      <c r="C5649" t="str">
        <f>"82531131"</f>
        <v>82531131</v>
      </c>
      <c r="D5649" t="s">
        <v>17118</v>
      </c>
      <c r="F5649" t="s">
        <v>14801</v>
      </c>
      <c r="I5649" t="s">
        <v>29</v>
      </c>
      <c r="J5649" t="s">
        <v>30</v>
      </c>
      <c r="K5649" t="s">
        <v>31</v>
      </c>
      <c r="M5649" t="s">
        <v>32</v>
      </c>
      <c r="N5649" t="str">
        <f>"9/11/2009 12:00:00 AM"</f>
        <v>9/11/2009 12:00:00 AM</v>
      </c>
      <c r="O5649" t="s">
        <v>17118</v>
      </c>
    </row>
    <row r="5650" spans="1:20" x14ac:dyDescent="0.25">
      <c r="A5650" t="str">
        <f>"3054100"</f>
        <v>3054100</v>
      </c>
      <c r="B5650" t="s">
        <v>17211</v>
      </c>
      <c r="C5650" t="str">
        <f>"82531131"</f>
        <v>82531131</v>
      </c>
      <c r="D5650" t="s">
        <v>17118</v>
      </c>
      <c r="F5650" t="s">
        <v>14801</v>
      </c>
      <c r="I5650" t="s">
        <v>29</v>
      </c>
      <c r="J5650" t="s">
        <v>30</v>
      </c>
      <c r="K5650" t="s">
        <v>31</v>
      </c>
      <c r="M5650" t="s">
        <v>32</v>
      </c>
      <c r="N5650" t="str">
        <f>"9/11/2009 12:00:00 AM"</f>
        <v>9/11/2009 12:00:00 AM</v>
      </c>
      <c r="O5650" t="s">
        <v>17118</v>
      </c>
    </row>
    <row r="5651" spans="1:20" x14ac:dyDescent="0.25">
      <c r="A5651" t="str">
        <f>"3047828"</f>
        <v>3047828</v>
      </c>
      <c r="B5651" t="s">
        <v>17212</v>
      </c>
      <c r="C5651" t="str">
        <f>"82531149"</f>
        <v>82531149</v>
      </c>
      <c r="D5651" t="s">
        <v>17213</v>
      </c>
      <c r="F5651" t="s">
        <v>17214</v>
      </c>
      <c r="I5651" t="s">
        <v>184</v>
      </c>
      <c r="J5651" t="s">
        <v>30</v>
      </c>
      <c r="K5651" t="s">
        <v>185</v>
      </c>
      <c r="N5651" t="str">
        <f>"1/26/2010 12:00:00 AM"</f>
        <v>1/26/2010 12:00:00 AM</v>
      </c>
      <c r="O5651" t="s">
        <v>17213</v>
      </c>
    </row>
    <row r="5652" spans="1:20" x14ac:dyDescent="0.25">
      <c r="A5652" t="str">
        <f>"3055998"</f>
        <v>3055998</v>
      </c>
      <c r="B5652" t="s">
        <v>17215</v>
      </c>
      <c r="C5652" t="str">
        <f>"82531157"</f>
        <v>82531157</v>
      </c>
      <c r="D5652" t="s">
        <v>17216</v>
      </c>
      <c r="F5652" t="s">
        <v>17217</v>
      </c>
      <c r="I5652" t="s">
        <v>29</v>
      </c>
      <c r="J5652" t="s">
        <v>30</v>
      </c>
      <c r="K5652" t="s">
        <v>31</v>
      </c>
      <c r="N5652" t="str">
        <f>"9/23/2009 12:00:00 AM"</f>
        <v>9/23/2009 12:00:00 AM</v>
      </c>
      <c r="O5652" t="s">
        <v>17216</v>
      </c>
    </row>
    <row r="5653" spans="1:20" x14ac:dyDescent="0.25">
      <c r="A5653" t="str">
        <f>"3045115"</f>
        <v>3045115</v>
      </c>
      <c r="B5653" t="s">
        <v>17218</v>
      </c>
      <c r="C5653" t="str">
        <f>"82530625"</f>
        <v>82530625</v>
      </c>
      <c r="D5653" t="s">
        <v>17219</v>
      </c>
      <c r="E5653" t="s">
        <v>17220</v>
      </c>
      <c r="F5653" t="s">
        <v>17221</v>
      </c>
      <c r="I5653" t="s">
        <v>2525</v>
      </c>
      <c r="J5653" t="s">
        <v>30</v>
      </c>
      <c r="K5653" t="s">
        <v>10998</v>
      </c>
      <c r="M5653" t="s">
        <v>32</v>
      </c>
      <c r="N5653" t="str">
        <f>"1/15/2010 12:00:00 AM"</f>
        <v>1/15/2010 12:00:00 AM</v>
      </c>
      <c r="O5653" t="s">
        <v>17219</v>
      </c>
      <c r="T5653" t="s">
        <v>17220</v>
      </c>
    </row>
    <row r="5654" spans="1:20" x14ac:dyDescent="0.25">
      <c r="A5654" t="str">
        <f>"3069888"</f>
        <v>3069888</v>
      </c>
      <c r="B5654" t="s">
        <v>17222</v>
      </c>
      <c r="C5654" t="str">
        <f>"82524152"</f>
        <v>82524152</v>
      </c>
      <c r="D5654" t="s">
        <v>17223</v>
      </c>
      <c r="E5654" t="s">
        <v>17224</v>
      </c>
      <c r="F5654" t="s">
        <v>17225</v>
      </c>
      <c r="I5654" t="s">
        <v>184</v>
      </c>
      <c r="J5654" t="s">
        <v>30</v>
      </c>
      <c r="K5654" t="s">
        <v>185</v>
      </c>
      <c r="M5654" t="s">
        <v>32</v>
      </c>
      <c r="N5654" t="str">
        <f>"3/30/2005 12:00:00 AM"</f>
        <v>3/30/2005 12:00:00 AM</v>
      </c>
      <c r="O5654" t="s">
        <v>17223</v>
      </c>
      <c r="T5654" t="s">
        <v>17224</v>
      </c>
    </row>
    <row r="5655" spans="1:20" x14ac:dyDescent="0.25">
      <c r="A5655" t="str">
        <f>"3062995"</f>
        <v>3062995</v>
      </c>
      <c r="B5655" t="s">
        <v>17226</v>
      </c>
      <c r="C5655" t="str">
        <f>"82530103"</f>
        <v>82530103</v>
      </c>
      <c r="D5655" t="s">
        <v>17227</v>
      </c>
      <c r="F5655" t="s">
        <v>17228</v>
      </c>
      <c r="I5655" t="s">
        <v>29</v>
      </c>
      <c r="J5655" t="s">
        <v>30</v>
      </c>
      <c r="K5655" t="s">
        <v>31</v>
      </c>
      <c r="M5655" t="s">
        <v>32</v>
      </c>
      <c r="N5655" t="str">
        <f>"9/22/2008 12:00:00 AM"</f>
        <v>9/22/2008 12:00:00 AM</v>
      </c>
      <c r="O5655" t="s">
        <v>17227</v>
      </c>
    </row>
    <row r="5656" spans="1:20" x14ac:dyDescent="0.25">
      <c r="A5656" t="str">
        <f>"3052736"</f>
        <v>3052736</v>
      </c>
      <c r="B5656" t="s">
        <v>17229</v>
      </c>
      <c r="C5656" t="str">
        <f>"82531321"</f>
        <v>82531321</v>
      </c>
      <c r="D5656" t="s">
        <v>17230</v>
      </c>
      <c r="F5656" t="s">
        <v>17231</v>
      </c>
      <c r="I5656" t="s">
        <v>29</v>
      </c>
      <c r="J5656" t="s">
        <v>30</v>
      </c>
      <c r="K5656" t="s">
        <v>31</v>
      </c>
      <c r="M5656" t="s">
        <v>32</v>
      </c>
      <c r="N5656" t="str">
        <f>"3/10/2011 12:00:00 AM"</f>
        <v>3/10/2011 12:00:00 AM</v>
      </c>
      <c r="O5656" t="s">
        <v>17230</v>
      </c>
    </row>
    <row r="5657" spans="1:20" x14ac:dyDescent="0.25">
      <c r="A5657" t="str">
        <f>"3046680"</f>
        <v>3046680</v>
      </c>
      <c r="B5657" t="s">
        <v>17232</v>
      </c>
      <c r="C5657" t="str">
        <f>"82531171"</f>
        <v>82531171</v>
      </c>
      <c r="D5657" t="s">
        <v>17154</v>
      </c>
      <c r="F5657" t="s">
        <v>17155</v>
      </c>
      <c r="I5657" t="s">
        <v>29</v>
      </c>
      <c r="J5657" t="s">
        <v>30</v>
      </c>
      <c r="K5657" t="s">
        <v>31</v>
      </c>
      <c r="M5657" t="s">
        <v>32</v>
      </c>
      <c r="N5657" t="str">
        <f>"10/21/2009 12:00:00 AM"</f>
        <v>10/21/2009 12:00:00 AM</v>
      </c>
      <c r="O5657" t="s">
        <v>17154</v>
      </c>
    </row>
    <row r="5658" spans="1:20" x14ac:dyDescent="0.25">
      <c r="A5658" t="str">
        <f>"3046505"</f>
        <v>3046505</v>
      </c>
      <c r="B5658" t="s">
        <v>17233</v>
      </c>
      <c r="C5658" t="str">
        <f>"82531171"</f>
        <v>82531171</v>
      </c>
      <c r="D5658" t="s">
        <v>17154</v>
      </c>
      <c r="F5658" t="s">
        <v>17155</v>
      </c>
      <c r="I5658" t="s">
        <v>29</v>
      </c>
      <c r="J5658" t="s">
        <v>30</v>
      </c>
      <c r="K5658" t="s">
        <v>31</v>
      </c>
      <c r="M5658" t="s">
        <v>32</v>
      </c>
      <c r="N5658" t="str">
        <f>"10/21/2009 12:00:00 AM"</f>
        <v>10/21/2009 12:00:00 AM</v>
      </c>
      <c r="O5658" t="s">
        <v>17154</v>
      </c>
    </row>
    <row r="5659" spans="1:20" x14ac:dyDescent="0.25">
      <c r="A5659" t="str">
        <f>"3043035"</f>
        <v>3043035</v>
      </c>
      <c r="B5659" t="s">
        <v>17234</v>
      </c>
      <c r="C5659" t="str">
        <f>"82531176"</f>
        <v>82531176</v>
      </c>
      <c r="D5659" t="s">
        <v>17235</v>
      </c>
      <c r="E5659" t="s">
        <v>17236</v>
      </c>
      <c r="F5659" t="s">
        <v>17237</v>
      </c>
      <c r="I5659" t="s">
        <v>29</v>
      </c>
      <c r="J5659" t="s">
        <v>30</v>
      </c>
      <c r="K5659" t="s">
        <v>31</v>
      </c>
      <c r="M5659" t="s">
        <v>32</v>
      </c>
      <c r="N5659" t="str">
        <f>"8/31/2010 12:00:00 AM"</f>
        <v>8/31/2010 12:00:00 AM</v>
      </c>
      <c r="O5659" t="s">
        <v>17235</v>
      </c>
      <c r="T5659" t="s">
        <v>17236</v>
      </c>
    </row>
    <row r="5660" spans="1:20" x14ac:dyDescent="0.25">
      <c r="A5660" t="str">
        <f>"3061590"</f>
        <v>3061590</v>
      </c>
      <c r="B5660" t="s">
        <v>17238</v>
      </c>
      <c r="C5660" t="str">
        <f>"82530999"</f>
        <v>82530999</v>
      </c>
      <c r="D5660" t="s">
        <v>17239</v>
      </c>
      <c r="F5660" t="s">
        <v>17240</v>
      </c>
      <c r="I5660" t="s">
        <v>29</v>
      </c>
      <c r="J5660" t="s">
        <v>30</v>
      </c>
      <c r="K5660" t="s">
        <v>31</v>
      </c>
      <c r="M5660" t="s">
        <v>32</v>
      </c>
      <c r="N5660" t="str">
        <f>"8/6/2009 12:00:00 AM"</f>
        <v>8/6/2009 12:00:00 AM</v>
      </c>
      <c r="O5660" t="s">
        <v>17239</v>
      </c>
    </row>
    <row r="5661" spans="1:20" x14ac:dyDescent="0.25">
      <c r="A5661" t="str">
        <f>"3044762"</f>
        <v>3044762</v>
      </c>
      <c r="B5661" t="s">
        <v>17241</v>
      </c>
      <c r="C5661" t="str">
        <f>"82531000"</f>
        <v>82531000</v>
      </c>
      <c r="D5661" t="s">
        <v>17242</v>
      </c>
      <c r="E5661" t="s">
        <v>17243</v>
      </c>
      <c r="F5661" t="s">
        <v>17244</v>
      </c>
      <c r="I5661" t="s">
        <v>184</v>
      </c>
      <c r="J5661" t="s">
        <v>30</v>
      </c>
      <c r="K5661" t="s">
        <v>185</v>
      </c>
      <c r="M5661" t="s">
        <v>32</v>
      </c>
      <c r="N5661" t="str">
        <f>"2/5/2010 12:00:00 AM"</f>
        <v>2/5/2010 12:00:00 AM</v>
      </c>
      <c r="O5661" t="s">
        <v>17242</v>
      </c>
      <c r="T5661" t="s">
        <v>17243</v>
      </c>
    </row>
    <row r="5662" spans="1:20" x14ac:dyDescent="0.25">
      <c r="A5662" t="str">
        <f>"3037680"</f>
        <v>3037680</v>
      </c>
      <c r="B5662" t="s">
        <v>17245</v>
      </c>
      <c r="C5662" t="str">
        <f>"82531191"</f>
        <v>82531191</v>
      </c>
      <c r="D5662" t="s">
        <v>17246</v>
      </c>
      <c r="E5662" t="s">
        <v>17247</v>
      </c>
      <c r="F5662" t="s">
        <v>17248</v>
      </c>
      <c r="I5662" t="s">
        <v>29</v>
      </c>
      <c r="J5662" t="s">
        <v>30</v>
      </c>
      <c r="K5662" t="s">
        <v>31</v>
      </c>
      <c r="M5662" t="s">
        <v>32</v>
      </c>
      <c r="N5662" t="str">
        <f>"11/5/2009 12:00:00 AM"</f>
        <v>11/5/2009 12:00:00 AM</v>
      </c>
      <c r="O5662" t="s">
        <v>17246</v>
      </c>
      <c r="T5662" t="s">
        <v>17247</v>
      </c>
    </row>
    <row r="5663" spans="1:20" x14ac:dyDescent="0.25">
      <c r="A5663" t="str">
        <f>"3045829"</f>
        <v>3045829</v>
      </c>
      <c r="B5663" t="s">
        <v>17249</v>
      </c>
      <c r="C5663" t="str">
        <f>"82531198"</f>
        <v>82531198</v>
      </c>
      <c r="D5663" t="s">
        <v>17250</v>
      </c>
      <c r="E5663" t="s">
        <v>17251</v>
      </c>
      <c r="F5663" t="s">
        <v>17252</v>
      </c>
      <c r="I5663" t="s">
        <v>29</v>
      </c>
      <c r="J5663" t="s">
        <v>30</v>
      </c>
      <c r="K5663" t="s">
        <v>31</v>
      </c>
      <c r="M5663" t="s">
        <v>32</v>
      </c>
      <c r="N5663" t="str">
        <f>"11/5/2009 12:00:00 AM"</f>
        <v>11/5/2009 12:00:00 AM</v>
      </c>
      <c r="O5663" t="s">
        <v>17250</v>
      </c>
      <c r="T5663" t="s">
        <v>17251</v>
      </c>
    </row>
    <row r="5664" spans="1:20" x14ac:dyDescent="0.25">
      <c r="A5664" t="str">
        <f>"3052328"</f>
        <v>3052328</v>
      </c>
      <c r="B5664" t="s">
        <v>17253</v>
      </c>
      <c r="C5664" t="str">
        <f>"82531202"</f>
        <v>82531202</v>
      </c>
      <c r="D5664" t="s">
        <v>17254</v>
      </c>
      <c r="F5664" t="s">
        <v>17255</v>
      </c>
      <c r="I5664" t="s">
        <v>29</v>
      </c>
      <c r="J5664" t="s">
        <v>30</v>
      </c>
      <c r="K5664" t="s">
        <v>31</v>
      </c>
      <c r="M5664" t="s">
        <v>32</v>
      </c>
      <c r="N5664" t="str">
        <f>"11/5/2009 12:00:00 AM"</f>
        <v>11/5/2009 12:00:00 AM</v>
      </c>
      <c r="O5664" t="s">
        <v>17254</v>
      </c>
    </row>
    <row r="5665" spans="1:20" x14ac:dyDescent="0.25">
      <c r="A5665" t="str">
        <f>"3046499"</f>
        <v>3046499</v>
      </c>
      <c r="B5665" t="s">
        <v>17256</v>
      </c>
      <c r="C5665" t="str">
        <f>"82531366"</f>
        <v>82531366</v>
      </c>
      <c r="D5665" t="s">
        <v>17257</v>
      </c>
      <c r="F5665" t="s">
        <v>5519</v>
      </c>
      <c r="I5665" t="s">
        <v>184</v>
      </c>
      <c r="J5665" t="s">
        <v>30</v>
      </c>
      <c r="K5665" t="s">
        <v>185</v>
      </c>
      <c r="M5665" t="s">
        <v>32</v>
      </c>
      <c r="N5665" t="str">
        <f>"12/31/2009 12:00:00 AM"</f>
        <v>12/31/2009 12:00:00 AM</v>
      </c>
      <c r="O5665" t="s">
        <v>17257</v>
      </c>
    </row>
    <row r="5666" spans="1:20" x14ac:dyDescent="0.25">
      <c r="A5666" t="str">
        <f>"3046645"</f>
        <v>3046645</v>
      </c>
      <c r="B5666" t="s">
        <v>17258</v>
      </c>
      <c r="C5666" t="str">
        <f>"82531366"</f>
        <v>82531366</v>
      </c>
      <c r="D5666" t="s">
        <v>17257</v>
      </c>
      <c r="F5666" t="s">
        <v>5519</v>
      </c>
      <c r="I5666" t="s">
        <v>184</v>
      </c>
      <c r="J5666" t="s">
        <v>30</v>
      </c>
      <c r="K5666" t="s">
        <v>185</v>
      </c>
      <c r="M5666" t="s">
        <v>32</v>
      </c>
      <c r="N5666" t="str">
        <f>"12/31/2009 12:00:00 AM"</f>
        <v>12/31/2009 12:00:00 AM</v>
      </c>
      <c r="O5666" t="s">
        <v>17257</v>
      </c>
    </row>
    <row r="5667" spans="1:20" x14ac:dyDescent="0.25">
      <c r="A5667" t="str">
        <f>"3077750"</f>
        <v>3077750</v>
      </c>
      <c r="B5667" t="s">
        <v>17259</v>
      </c>
      <c r="C5667" t="str">
        <f>"82531366"</f>
        <v>82531366</v>
      </c>
      <c r="D5667" t="s">
        <v>17257</v>
      </c>
      <c r="F5667" t="s">
        <v>5519</v>
      </c>
      <c r="I5667" t="s">
        <v>184</v>
      </c>
      <c r="J5667" t="s">
        <v>30</v>
      </c>
      <c r="K5667" t="s">
        <v>185</v>
      </c>
      <c r="M5667" t="s">
        <v>32</v>
      </c>
      <c r="N5667" t="str">
        <f>"12/31/2009 12:00:00 AM"</f>
        <v>12/31/2009 12:00:00 AM</v>
      </c>
      <c r="O5667" t="s">
        <v>17257</v>
      </c>
    </row>
    <row r="5668" spans="1:20" x14ac:dyDescent="0.25">
      <c r="A5668" t="str">
        <f>"3053620"</f>
        <v>3053620</v>
      </c>
      <c r="B5668" t="s">
        <v>17260</v>
      </c>
      <c r="C5668" t="str">
        <f>"82531210"</f>
        <v>82531210</v>
      </c>
      <c r="D5668" t="s">
        <v>17261</v>
      </c>
      <c r="F5668" t="s">
        <v>17262</v>
      </c>
      <c r="I5668" t="s">
        <v>29</v>
      </c>
      <c r="J5668" t="s">
        <v>30</v>
      </c>
      <c r="K5668" t="s">
        <v>31</v>
      </c>
      <c r="M5668" t="s">
        <v>32</v>
      </c>
      <c r="N5668" t="str">
        <f>"11/6/2009 12:00:00 AM"</f>
        <v>11/6/2009 12:00:00 AM</v>
      </c>
      <c r="O5668" t="s">
        <v>17261</v>
      </c>
    </row>
    <row r="5669" spans="1:20" x14ac:dyDescent="0.25">
      <c r="A5669" t="str">
        <f>"3039584"</f>
        <v>3039584</v>
      </c>
      <c r="B5669" t="s">
        <v>17263</v>
      </c>
      <c r="C5669" t="str">
        <f>"82531369"</f>
        <v>82531369</v>
      </c>
      <c r="D5669" t="s">
        <v>17264</v>
      </c>
      <c r="E5669" t="s">
        <v>17265</v>
      </c>
      <c r="F5669" t="s">
        <v>17266</v>
      </c>
      <c r="I5669" t="s">
        <v>29</v>
      </c>
      <c r="J5669" t="s">
        <v>30</v>
      </c>
      <c r="K5669" t="s">
        <v>31</v>
      </c>
      <c r="M5669" t="s">
        <v>32</v>
      </c>
      <c r="N5669" t="str">
        <f>"1/4/2010 12:00:00 AM"</f>
        <v>1/4/2010 12:00:00 AM</v>
      </c>
      <c r="O5669" t="s">
        <v>17264</v>
      </c>
      <c r="T5669" t="s">
        <v>17265</v>
      </c>
    </row>
    <row r="5670" spans="1:20" x14ac:dyDescent="0.25">
      <c r="A5670" t="str">
        <f>"3056495"</f>
        <v>3056495</v>
      </c>
      <c r="B5670" t="s">
        <v>17267</v>
      </c>
      <c r="C5670" t="str">
        <f>"82531222"</f>
        <v>82531222</v>
      </c>
      <c r="D5670" t="s">
        <v>17268</v>
      </c>
      <c r="F5670" t="s">
        <v>17269</v>
      </c>
      <c r="I5670" t="s">
        <v>29</v>
      </c>
      <c r="J5670" t="s">
        <v>30</v>
      </c>
      <c r="K5670" t="s">
        <v>31</v>
      </c>
      <c r="M5670" t="s">
        <v>32</v>
      </c>
      <c r="N5670" t="str">
        <f>"11/10/2009 12:00:00 AM"</f>
        <v>11/10/2009 12:00:00 AM</v>
      </c>
      <c r="O5670" t="s">
        <v>17268</v>
      </c>
    </row>
    <row r="5671" spans="1:20" x14ac:dyDescent="0.25">
      <c r="A5671" t="str">
        <f>"3058996"</f>
        <v>3058996</v>
      </c>
      <c r="B5671" t="s">
        <v>17270</v>
      </c>
      <c r="C5671" t="str">
        <f>"82531224"</f>
        <v>82531224</v>
      </c>
      <c r="D5671" t="s">
        <v>17271</v>
      </c>
      <c r="E5671" t="s">
        <v>17272</v>
      </c>
      <c r="F5671" t="s">
        <v>17273</v>
      </c>
      <c r="I5671" t="s">
        <v>29</v>
      </c>
      <c r="J5671" t="s">
        <v>30</v>
      </c>
      <c r="K5671" t="s">
        <v>31</v>
      </c>
      <c r="M5671" t="s">
        <v>32</v>
      </c>
      <c r="N5671" t="str">
        <f>"11/10/2009 12:00:00 AM"</f>
        <v>11/10/2009 12:00:00 AM</v>
      </c>
      <c r="O5671" t="s">
        <v>17271</v>
      </c>
      <c r="T5671" t="s">
        <v>17272</v>
      </c>
    </row>
    <row r="5672" spans="1:20" x14ac:dyDescent="0.25">
      <c r="A5672" t="str">
        <f>"3049450"</f>
        <v>3049450</v>
      </c>
      <c r="B5672" t="s">
        <v>17274</v>
      </c>
      <c r="C5672" t="str">
        <f>"82531385"</f>
        <v>82531385</v>
      </c>
      <c r="D5672" t="s">
        <v>17275</v>
      </c>
      <c r="E5672" t="s">
        <v>17276</v>
      </c>
      <c r="F5672" t="s">
        <v>17277</v>
      </c>
      <c r="I5672" t="s">
        <v>29</v>
      </c>
      <c r="J5672" t="s">
        <v>30</v>
      </c>
      <c r="K5672" t="s">
        <v>31</v>
      </c>
      <c r="M5672" t="s">
        <v>32</v>
      </c>
      <c r="N5672" t="str">
        <f>"1/5/2010 12:00:00 AM"</f>
        <v>1/5/2010 12:00:00 AM</v>
      </c>
      <c r="O5672" t="s">
        <v>17275</v>
      </c>
      <c r="T5672" t="s">
        <v>17276</v>
      </c>
    </row>
    <row r="5673" spans="1:20" x14ac:dyDescent="0.25">
      <c r="A5673" t="str">
        <f>"3044511"</f>
        <v>3044511</v>
      </c>
      <c r="B5673" t="s">
        <v>17278</v>
      </c>
      <c r="C5673" t="str">
        <f>"82531226"</f>
        <v>82531226</v>
      </c>
      <c r="D5673" t="s">
        <v>17279</v>
      </c>
      <c r="E5673" t="s">
        <v>17280</v>
      </c>
      <c r="F5673" t="s">
        <v>17281</v>
      </c>
      <c r="I5673" t="s">
        <v>184</v>
      </c>
      <c r="J5673" t="s">
        <v>30</v>
      </c>
      <c r="K5673" t="s">
        <v>185</v>
      </c>
      <c r="M5673" t="s">
        <v>32</v>
      </c>
      <c r="N5673" t="str">
        <f>"11/10/2009 12:00:00 AM"</f>
        <v>11/10/2009 12:00:00 AM</v>
      </c>
      <c r="O5673" t="s">
        <v>17279</v>
      </c>
      <c r="T5673" t="s">
        <v>17280</v>
      </c>
    </row>
    <row r="5674" spans="1:20" x14ac:dyDescent="0.25">
      <c r="A5674" t="str">
        <f>"3051385"</f>
        <v>3051385</v>
      </c>
      <c r="B5674" t="s">
        <v>17282</v>
      </c>
      <c r="C5674" t="str">
        <f>"82531392"</f>
        <v>82531392</v>
      </c>
      <c r="D5674" t="s">
        <v>17283</v>
      </c>
      <c r="E5674" t="s">
        <v>17284</v>
      </c>
      <c r="F5674" t="s">
        <v>17285</v>
      </c>
      <c r="I5674" t="s">
        <v>29</v>
      </c>
      <c r="J5674" t="s">
        <v>30</v>
      </c>
      <c r="K5674" t="s">
        <v>31</v>
      </c>
      <c r="M5674" t="s">
        <v>32</v>
      </c>
      <c r="N5674" t="str">
        <f>"1/7/2010 12:00:00 AM"</f>
        <v>1/7/2010 12:00:00 AM</v>
      </c>
      <c r="O5674" t="s">
        <v>17283</v>
      </c>
      <c r="T5674" t="s">
        <v>17284</v>
      </c>
    </row>
    <row r="5675" spans="1:20" x14ac:dyDescent="0.25">
      <c r="A5675" t="str">
        <f>"3045036"</f>
        <v>3045036</v>
      </c>
      <c r="B5675" t="s">
        <v>17286</v>
      </c>
      <c r="C5675" t="str">
        <f>"82531228"</f>
        <v>82531228</v>
      </c>
      <c r="D5675" t="s">
        <v>17197</v>
      </c>
      <c r="E5675" t="s">
        <v>17198</v>
      </c>
      <c r="F5675" t="s">
        <v>17199</v>
      </c>
      <c r="I5675" t="s">
        <v>1149</v>
      </c>
      <c r="J5675" t="s">
        <v>30</v>
      </c>
      <c r="K5675" t="s">
        <v>1150</v>
      </c>
      <c r="M5675" t="s">
        <v>32</v>
      </c>
      <c r="N5675" t="str">
        <f>"11/10/2009 12:00:00 AM"</f>
        <v>11/10/2009 12:00:00 AM</v>
      </c>
      <c r="O5675" t="s">
        <v>17197</v>
      </c>
      <c r="T5675" t="s">
        <v>17198</v>
      </c>
    </row>
    <row r="5676" spans="1:20" x14ac:dyDescent="0.25">
      <c r="A5676" t="str">
        <f>"3057973"</f>
        <v>3057973</v>
      </c>
      <c r="B5676" t="s">
        <v>17287</v>
      </c>
      <c r="C5676" t="str">
        <f>"82531267"</f>
        <v>82531267</v>
      </c>
      <c r="D5676" t="s">
        <v>17288</v>
      </c>
      <c r="E5676" t="s">
        <v>17289</v>
      </c>
      <c r="F5676" t="s">
        <v>17290</v>
      </c>
      <c r="I5676" t="s">
        <v>29</v>
      </c>
      <c r="J5676" t="s">
        <v>30</v>
      </c>
      <c r="K5676" t="s">
        <v>31</v>
      </c>
      <c r="M5676" t="s">
        <v>32</v>
      </c>
      <c r="N5676" t="str">
        <f>"11/25/2009 12:00:00 AM"</f>
        <v>11/25/2009 12:00:00 AM</v>
      </c>
      <c r="O5676" t="s">
        <v>17288</v>
      </c>
      <c r="T5676" t="s">
        <v>17289</v>
      </c>
    </row>
    <row r="5677" spans="1:20" x14ac:dyDescent="0.25">
      <c r="A5677" t="str">
        <f>"3057526"</f>
        <v>3057526</v>
      </c>
      <c r="B5677" t="s">
        <v>17291</v>
      </c>
      <c r="C5677" t="str">
        <f>"82531268"</f>
        <v>82531268</v>
      </c>
      <c r="D5677" t="s">
        <v>17292</v>
      </c>
      <c r="E5677" t="s">
        <v>17293</v>
      </c>
      <c r="F5677" t="s">
        <v>17294</v>
      </c>
      <c r="I5677" t="s">
        <v>184</v>
      </c>
      <c r="J5677" t="s">
        <v>30</v>
      </c>
      <c r="K5677" t="s">
        <v>185</v>
      </c>
      <c r="M5677" t="s">
        <v>32</v>
      </c>
      <c r="N5677" t="str">
        <f>"11/25/2009 12:00:00 AM"</f>
        <v>11/25/2009 12:00:00 AM</v>
      </c>
      <c r="O5677" t="s">
        <v>17292</v>
      </c>
      <c r="T5677" t="s">
        <v>17293</v>
      </c>
    </row>
    <row r="5678" spans="1:20" x14ac:dyDescent="0.25">
      <c r="A5678" t="str">
        <f>"3040132"</f>
        <v>3040132</v>
      </c>
      <c r="B5678" t="s">
        <v>17295</v>
      </c>
      <c r="C5678" t="str">
        <f>"82531271"</f>
        <v>82531271</v>
      </c>
      <c r="D5678" t="s">
        <v>17296</v>
      </c>
      <c r="F5678" t="s">
        <v>17297</v>
      </c>
      <c r="I5678" t="s">
        <v>29</v>
      </c>
      <c r="J5678" t="s">
        <v>30</v>
      </c>
      <c r="K5678" t="s">
        <v>31</v>
      </c>
      <c r="M5678" t="s">
        <v>32</v>
      </c>
      <c r="N5678" t="str">
        <f>"1/12/2010 12:00:00 AM"</f>
        <v>1/12/2010 12:00:00 AM</v>
      </c>
      <c r="O5678" t="s">
        <v>17296</v>
      </c>
    </row>
    <row r="5679" spans="1:20" x14ac:dyDescent="0.25">
      <c r="A5679" t="str">
        <f>"3041527"</f>
        <v>3041527</v>
      </c>
      <c r="B5679" t="s">
        <v>17298</v>
      </c>
      <c r="C5679" t="str">
        <f>"82531274"</f>
        <v>82531274</v>
      </c>
      <c r="D5679" t="s">
        <v>17299</v>
      </c>
      <c r="F5679" t="s">
        <v>17300</v>
      </c>
      <c r="I5679" t="s">
        <v>2071</v>
      </c>
      <c r="J5679" t="s">
        <v>30</v>
      </c>
      <c r="K5679" t="s">
        <v>185</v>
      </c>
      <c r="M5679" t="s">
        <v>32</v>
      </c>
      <c r="N5679" t="str">
        <f>"11/25/2009 12:00:00 AM"</f>
        <v>11/25/2009 12:00:00 AM</v>
      </c>
      <c r="O5679" t="s">
        <v>17299</v>
      </c>
    </row>
    <row r="5680" spans="1:20" x14ac:dyDescent="0.25">
      <c r="A5680" t="str">
        <f>"3047161"</f>
        <v>3047161</v>
      </c>
      <c r="B5680" t="s">
        <v>17301</v>
      </c>
      <c r="C5680" t="str">
        <f>"82531448"</f>
        <v>82531448</v>
      </c>
      <c r="D5680" t="s">
        <v>17302</v>
      </c>
      <c r="F5680" t="s">
        <v>17303</v>
      </c>
      <c r="I5680" t="s">
        <v>29</v>
      </c>
      <c r="J5680" t="s">
        <v>30</v>
      </c>
      <c r="K5680" t="s">
        <v>31</v>
      </c>
      <c r="M5680" t="s">
        <v>32</v>
      </c>
      <c r="N5680" t="str">
        <f>"5/31/2011 12:00:00 AM"</f>
        <v>5/31/2011 12:00:00 AM</v>
      </c>
      <c r="O5680" t="s">
        <v>17302</v>
      </c>
      <c r="T5680" t="s">
        <v>17302</v>
      </c>
    </row>
    <row r="5681" spans="1:20" x14ac:dyDescent="0.25">
      <c r="A5681" t="str">
        <f>"3040006"</f>
        <v>3040006</v>
      </c>
      <c r="B5681" t="s">
        <v>17304</v>
      </c>
      <c r="C5681" t="str">
        <f>"82531279"</f>
        <v>82531279</v>
      </c>
      <c r="D5681" t="s">
        <v>17305</v>
      </c>
      <c r="E5681" t="s">
        <v>17306</v>
      </c>
      <c r="F5681" t="s">
        <v>17307</v>
      </c>
      <c r="I5681" t="s">
        <v>17308</v>
      </c>
      <c r="J5681" t="s">
        <v>12725</v>
      </c>
      <c r="K5681" t="s">
        <v>17309</v>
      </c>
      <c r="M5681" t="s">
        <v>32</v>
      </c>
      <c r="N5681" t="str">
        <f>"12/1/2009 12:00:00 AM"</f>
        <v>12/1/2009 12:00:00 AM</v>
      </c>
      <c r="O5681" t="s">
        <v>17305</v>
      </c>
      <c r="T5681" t="s">
        <v>17306</v>
      </c>
    </row>
    <row r="5682" spans="1:20" x14ac:dyDescent="0.25">
      <c r="A5682" t="str">
        <f>"3041351"</f>
        <v>3041351</v>
      </c>
      <c r="B5682" t="s">
        <v>17310</v>
      </c>
      <c r="C5682" t="str">
        <f>"82531456"</f>
        <v>82531456</v>
      </c>
      <c r="D5682" t="s">
        <v>17311</v>
      </c>
      <c r="F5682" t="s">
        <v>17312</v>
      </c>
      <c r="I5682" t="s">
        <v>2071</v>
      </c>
      <c r="J5682" t="s">
        <v>30</v>
      </c>
      <c r="K5682" t="s">
        <v>185</v>
      </c>
      <c r="M5682" t="s">
        <v>32</v>
      </c>
      <c r="N5682" t="str">
        <f>"1/27/2010 12:00:00 AM"</f>
        <v>1/27/2010 12:00:00 AM</v>
      </c>
      <c r="O5682" t="s">
        <v>17311</v>
      </c>
    </row>
    <row r="5683" spans="1:20" x14ac:dyDescent="0.25">
      <c r="A5683" t="str">
        <f>"3038022"</f>
        <v>3038022</v>
      </c>
      <c r="B5683" t="s">
        <v>17313</v>
      </c>
      <c r="C5683" t="str">
        <f>"82531291"</f>
        <v>82531291</v>
      </c>
      <c r="D5683" t="s">
        <v>17314</v>
      </c>
      <c r="F5683" t="s">
        <v>2887</v>
      </c>
      <c r="I5683" t="s">
        <v>184</v>
      </c>
      <c r="J5683" t="s">
        <v>30</v>
      </c>
      <c r="K5683" t="s">
        <v>185</v>
      </c>
      <c r="M5683" t="s">
        <v>32</v>
      </c>
      <c r="N5683" t="str">
        <f>"12/9/2009 12:00:00 AM"</f>
        <v>12/9/2009 12:00:00 AM</v>
      </c>
      <c r="O5683" t="s">
        <v>17314</v>
      </c>
    </row>
    <row r="5684" spans="1:20" x14ac:dyDescent="0.25">
      <c r="A5684" t="str">
        <f>"3048079"</f>
        <v>3048079</v>
      </c>
      <c r="B5684" t="s">
        <v>17315</v>
      </c>
      <c r="C5684" t="str">
        <f>"82531299"</f>
        <v>82531299</v>
      </c>
      <c r="D5684" t="s">
        <v>17316</v>
      </c>
      <c r="F5684" t="s">
        <v>17317</v>
      </c>
      <c r="I5684" t="s">
        <v>184</v>
      </c>
      <c r="J5684" t="s">
        <v>30</v>
      </c>
      <c r="K5684" t="s">
        <v>185</v>
      </c>
      <c r="M5684" t="s">
        <v>32</v>
      </c>
      <c r="N5684" t="str">
        <f>"2/9/2010 12:00:00 AM"</f>
        <v>2/9/2010 12:00:00 AM</v>
      </c>
      <c r="O5684" t="s">
        <v>17316</v>
      </c>
    </row>
    <row r="5685" spans="1:20" x14ac:dyDescent="0.25">
      <c r="A5685" t="str">
        <f>"3043594"</f>
        <v>3043594</v>
      </c>
      <c r="B5685" t="s">
        <v>17318</v>
      </c>
      <c r="C5685" t="str">
        <f>"82531302"</f>
        <v>82531302</v>
      </c>
      <c r="D5685" t="s">
        <v>17319</v>
      </c>
      <c r="F5685" t="s">
        <v>17320</v>
      </c>
      <c r="I5685" t="s">
        <v>29</v>
      </c>
      <c r="J5685" t="s">
        <v>30</v>
      </c>
      <c r="K5685" t="s">
        <v>31</v>
      </c>
      <c r="M5685" t="s">
        <v>32</v>
      </c>
      <c r="N5685" t="str">
        <f>"12/10/2009 12:00:00 AM"</f>
        <v>12/10/2009 12:00:00 AM</v>
      </c>
      <c r="O5685" t="s">
        <v>17319</v>
      </c>
    </row>
    <row r="5686" spans="1:20" x14ac:dyDescent="0.25">
      <c r="A5686" t="str">
        <f>"3060580"</f>
        <v>3060580</v>
      </c>
      <c r="B5686" t="s">
        <v>17321</v>
      </c>
      <c r="C5686" t="str">
        <f>"82531304"</f>
        <v>82531304</v>
      </c>
      <c r="D5686" t="s">
        <v>17322</v>
      </c>
      <c r="E5686" t="s">
        <v>17323</v>
      </c>
      <c r="F5686" t="s">
        <v>17324</v>
      </c>
      <c r="I5686" t="s">
        <v>184</v>
      </c>
      <c r="J5686" t="s">
        <v>30</v>
      </c>
      <c r="K5686" t="s">
        <v>185</v>
      </c>
      <c r="M5686" t="s">
        <v>32</v>
      </c>
      <c r="N5686" t="str">
        <f>"12/10/2009 12:00:00 AM"</f>
        <v>12/10/2009 12:00:00 AM</v>
      </c>
      <c r="O5686" t="s">
        <v>17322</v>
      </c>
      <c r="T5686" t="s">
        <v>17323</v>
      </c>
    </row>
    <row r="5687" spans="1:20" x14ac:dyDescent="0.25">
      <c r="A5687" t="str">
        <f>"3044522"</f>
        <v>3044522</v>
      </c>
      <c r="B5687" t="s">
        <v>17325</v>
      </c>
      <c r="C5687" t="str">
        <f>"82531320"</f>
        <v>82531320</v>
      </c>
      <c r="D5687" t="s">
        <v>17326</v>
      </c>
      <c r="F5687" t="s">
        <v>17327</v>
      </c>
      <c r="I5687" t="s">
        <v>184</v>
      </c>
      <c r="J5687" t="s">
        <v>30</v>
      </c>
      <c r="K5687" t="s">
        <v>185</v>
      </c>
      <c r="M5687" t="s">
        <v>32</v>
      </c>
      <c r="N5687" t="str">
        <f>"12/17/2009 12:00:00 AM"</f>
        <v>12/17/2009 12:00:00 AM</v>
      </c>
      <c r="O5687" t="s">
        <v>17326</v>
      </c>
    </row>
    <row r="5688" spans="1:20" x14ac:dyDescent="0.25">
      <c r="A5688" t="str">
        <f>"3052380"</f>
        <v>3052380</v>
      </c>
      <c r="B5688" t="s">
        <v>17328</v>
      </c>
      <c r="C5688" t="str">
        <f>"82531324"</f>
        <v>82531324</v>
      </c>
      <c r="D5688" t="s">
        <v>17329</v>
      </c>
      <c r="E5688" t="s">
        <v>17330</v>
      </c>
      <c r="F5688" t="s">
        <v>17331</v>
      </c>
      <c r="I5688" t="s">
        <v>29</v>
      </c>
      <c r="J5688" t="s">
        <v>30</v>
      </c>
      <c r="K5688" t="s">
        <v>31</v>
      </c>
      <c r="M5688" t="s">
        <v>32</v>
      </c>
      <c r="N5688" t="str">
        <f>"12/21/2009 12:00:00 AM"</f>
        <v>12/21/2009 12:00:00 AM</v>
      </c>
      <c r="O5688" t="s">
        <v>17329</v>
      </c>
      <c r="T5688" t="s">
        <v>17330</v>
      </c>
    </row>
    <row r="5689" spans="1:20" x14ac:dyDescent="0.25">
      <c r="A5689" t="str">
        <f>"3042698"</f>
        <v>3042698</v>
      </c>
      <c r="B5689" t="s">
        <v>17332</v>
      </c>
      <c r="C5689" t="str">
        <f>"82531327"</f>
        <v>82531327</v>
      </c>
      <c r="D5689" t="s">
        <v>17333</v>
      </c>
      <c r="F5689" t="s">
        <v>16848</v>
      </c>
      <c r="I5689" t="s">
        <v>29</v>
      </c>
      <c r="J5689" t="s">
        <v>30</v>
      </c>
      <c r="K5689" t="s">
        <v>31</v>
      </c>
      <c r="M5689" t="s">
        <v>32</v>
      </c>
      <c r="N5689" t="str">
        <f>"12/17/2009 12:00:00 AM"</f>
        <v>12/17/2009 12:00:00 AM</v>
      </c>
      <c r="O5689" t="s">
        <v>17333</v>
      </c>
    </row>
    <row r="5690" spans="1:20" x14ac:dyDescent="0.25">
      <c r="A5690" t="str">
        <f>"3048409"</f>
        <v>3048409</v>
      </c>
      <c r="B5690" t="s">
        <v>17334</v>
      </c>
      <c r="C5690" t="str">
        <f>"82531501"</f>
        <v>82531501</v>
      </c>
      <c r="D5690" t="s">
        <v>17335</v>
      </c>
      <c r="F5690" t="s">
        <v>17336</v>
      </c>
      <c r="I5690" t="s">
        <v>17337</v>
      </c>
      <c r="J5690" t="s">
        <v>2738</v>
      </c>
      <c r="K5690" t="s">
        <v>17338</v>
      </c>
      <c r="M5690" t="s">
        <v>32</v>
      </c>
      <c r="N5690" t="str">
        <f>"1/18/2011 12:00:00 AM"</f>
        <v>1/18/2011 12:00:00 AM</v>
      </c>
      <c r="O5690" t="s">
        <v>17335</v>
      </c>
    </row>
    <row r="5691" spans="1:20" x14ac:dyDescent="0.25">
      <c r="A5691" t="str">
        <f>"3042029"</f>
        <v>3042029</v>
      </c>
      <c r="B5691" t="s">
        <v>17339</v>
      </c>
      <c r="C5691" t="str">
        <f>"82531327"</f>
        <v>82531327</v>
      </c>
      <c r="D5691" t="s">
        <v>17333</v>
      </c>
      <c r="F5691" t="s">
        <v>16848</v>
      </c>
      <c r="I5691" t="s">
        <v>29</v>
      </c>
      <c r="J5691" t="s">
        <v>30</v>
      </c>
      <c r="K5691" t="s">
        <v>31</v>
      </c>
      <c r="M5691" t="s">
        <v>32</v>
      </c>
      <c r="N5691" t="str">
        <f>"12/17/2009 12:00:00 AM"</f>
        <v>12/17/2009 12:00:00 AM</v>
      </c>
      <c r="O5691" t="s">
        <v>17333</v>
      </c>
    </row>
    <row r="5692" spans="1:20" x14ac:dyDescent="0.25">
      <c r="A5692" t="str">
        <f>"3059976"</f>
        <v>3059976</v>
      </c>
      <c r="B5692" t="s">
        <v>17340</v>
      </c>
      <c r="C5692" t="str">
        <f>"82531333"</f>
        <v>82531333</v>
      </c>
      <c r="D5692" t="s">
        <v>17341</v>
      </c>
      <c r="E5692" t="s">
        <v>17342</v>
      </c>
      <c r="F5692" t="s">
        <v>17343</v>
      </c>
      <c r="I5692" t="s">
        <v>184</v>
      </c>
      <c r="J5692" t="s">
        <v>30</v>
      </c>
      <c r="K5692" t="s">
        <v>185</v>
      </c>
      <c r="M5692" t="s">
        <v>32</v>
      </c>
      <c r="N5692" t="str">
        <f>"12/17/2009 12:00:00 AM"</f>
        <v>12/17/2009 12:00:00 AM</v>
      </c>
      <c r="O5692" t="s">
        <v>17341</v>
      </c>
      <c r="T5692" t="s">
        <v>17342</v>
      </c>
    </row>
    <row r="5693" spans="1:20" x14ac:dyDescent="0.25">
      <c r="A5693" t="str">
        <f>"3043683"</f>
        <v>3043683</v>
      </c>
      <c r="B5693" t="s">
        <v>17344</v>
      </c>
      <c r="C5693" t="str">
        <f>"82531183"</f>
        <v>82531183</v>
      </c>
      <c r="D5693" t="s">
        <v>17345</v>
      </c>
      <c r="E5693" t="s">
        <v>17346</v>
      </c>
      <c r="F5693" t="s">
        <v>17347</v>
      </c>
      <c r="I5693" t="s">
        <v>29</v>
      </c>
      <c r="J5693" t="s">
        <v>30</v>
      </c>
      <c r="K5693" t="s">
        <v>31</v>
      </c>
      <c r="M5693" t="s">
        <v>32</v>
      </c>
      <c r="N5693" t="str">
        <f>"11/4/2009 12:00:00 AM"</f>
        <v>11/4/2009 12:00:00 AM</v>
      </c>
      <c r="O5693" t="s">
        <v>17345</v>
      </c>
      <c r="T5693" t="s">
        <v>17346</v>
      </c>
    </row>
    <row r="5694" spans="1:20" x14ac:dyDescent="0.25">
      <c r="A5694" t="str">
        <f>"3046985"</f>
        <v>3046985</v>
      </c>
      <c r="B5694" t="s">
        <v>17348</v>
      </c>
      <c r="C5694" t="str">
        <f>"82531366"</f>
        <v>82531366</v>
      </c>
      <c r="D5694" t="s">
        <v>17257</v>
      </c>
      <c r="F5694" t="s">
        <v>5519</v>
      </c>
      <c r="I5694" t="s">
        <v>184</v>
      </c>
      <c r="J5694" t="s">
        <v>30</v>
      </c>
      <c r="K5694" t="s">
        <v>185</v>
      </c>
      <c r="M5694" t="s">
        <v>32</v>
      </c>
      <c r="N5694" t="str">
        <f>"12/31/2009 12:00:00 AM"</f>
        <v>12/31/2009 12:00:00 AM</v>
      </c>
      <c r="O5694" t="s">
        <v>17257</v>
      </c>
    </row>
    <row r="5695" spans="1:20" x14ac:dyDescent="0.25">
      <c r="A5695" t="str">
        <f>"3046498"</f>
        <v>3046498</v>
      </c>
      <c r="B5695" t="s">
        <v>17349</v>
      </c>
      <c r="C5695" t="str">
        <f>"82531366"</f>
        <v>82531366</v>
      </c>
      <c r="D5695" t="s">
        <v>17257</v>
      </c>
      <c r="F5695" t="s">
        <v>5519</v>
      </c>
      <c r="I5695" t="s">
        <v>184</v>
      </c>
      <c r="J5695" t="s">
        <v>30</v>
      </c>
      <c r="K5695" t="s">
        <v>185</v>
      </c>
      <c r="M5695" t="s">
        <v>32</v>
      </c>
      <c r="N5695" t="str">
        <f>"12/31/2009 12:00:00 AM"</f>
        <v>12/31/2009 12:00:00 AM</v>
      </c>
      <c r="O5695" t="s">
        <v>17257</v>
      </c>
    </row>
    <row r="5696" spans="1:20" x14ac:dyDescent="0.25">
      <c r="A5696" t="str">
        <f>"3039520"</f>
        <v>3039520</v>
      </c>
      <c r="B5696" t="s">
        <v>17350</v>
      </c>
      <c r="C5696" t="str">
        <f>"82531369"</f>
        <v>82531369</v>
      </c>
      <c r="D5696" t="s">
        <v>17264</v>
      </c>
      <c r="E5696" t="s">
        <v>17265</v>
      </c>
      <c r="F5696" t="s">
        <v>17266</v>
      </c>
      <c r="I5696" t="s">
        <v>29</v>
      </c>
      <c r="J5696" t="s">
        <v>30</v>
      </c>
      <c r="K5696" t="s">
        <v>31</v>
      </c>
      <c r="M5696" t="s">
        <v>32</v>
      </c>
      <c r="N5696" t="str">
        <f>"1/4/2010 12:00:00 AM"</f>
        <v>1/4/2010 12:00:00 AM</v>
      </c>
      <c r="O5696" t="s">
        <v>17264</v>
      </c>
      <c r="T5696" t="s">
        <v>17265</v>
      </c>
    </row>
    <row r="5697" spans="1:20" x14ac:dyDescent="0.25">
      <c r="A5697" t="str">
        <f>"3038508"</f>
        <v>3038508</v>
      </c>
      <c r="B5697" t="s">
        <v>17351</v>
      </c>
      <c r="C5697" t="str">
        <f>"82531372"</f>
        <v>82531372</v>
      </c>
      <c r="D5697" t="s">
        <v>17352</v>
      </c>
      <c r="F5697" t="s">
        <v>17353</v>
      </c>
      <c r="I5697" t="s">
        <v>29</v>
      </c>
      <c r="J5697" t="s">
        <v>30</v>
      </c>
      <c r="K5697" t="s">
        <v>31</v>
      </c>
      <c r="M5697" t="s">
        <v>32</v>
      </c>
      <c r="N5697" t="str">
        <f>"1/5/2010 12:00:00 AM"</f>
        <v>1/5/2010 12:00:00 AM</v>
      </c>
      <c r="O5697" t="s">
        <v>17352</v>
      </c>
    </row>
    <row r="5698" spans="1:20" x14ac:dyDescent="0.25">
      <c r="A5698" t="str">
        <f>"3050495"</f>
        <v>3050495</v>
      </c>
      <c r="B5698" t="s">
        <v>17354</v>
      </c>
      <c r="C5698" t="str">
        <f>"82531385"</f>
        <v>82531385</v>
      </c>
      <c r="D5698" t="s">
        <v>17275</v>
      </c>
      <c r="E5698" t="s">
        <v>17276</v>
      </c>
      <c r="F5698" t="s">
        <v>17277</v>
      </c>
      <c r="I5698" t="s">
        <v>29</v>
      </c>
      <c r="J5698" t="s">
        <v>30</v>
      </c>
      <c r="K5698" t="s">
        <v>31</v>
      </c>
      <c r="M5698" t="s">
        <v>32</v>
      </c>
      <c r="N5698" t="str">
        <f>"1/5/2010 12:00:00 AM"</f>
        <v>1/5/2010 12:00:00 AM</v>
      </c>
      <c r="O5698" t="s">
        <v>17275</v>
      </c>
      <c r="T5698" t="s">
        <v>17276</v>
      </c>
    </row>
    <row r="5699" spans="1:20" x14ac:dyDescent="0.25">
      <c r="A5699" t="str">
        <f>"3051044"</f>
        <v>3051044</v>
      </c>
      <c r="B5699" t="s">
        <v>17355</v>
      </c>
      <c r="C5699" t="str">
        <f>"82531392"</f>
        <v>82531392</v>
      </c>
      <c r="D5699" t="s">
        <v>17283</v>
      </c>
      <c r="E5699" t="s">
        <v>17284</v>
      </c>
      <c r="F5699" t="s">
        <v>17285</v>
      </c>
      <c r="I5699" t="s">
        <v>29</v>
      </c>
      <c r="J5699" t="s">
        <v>30</v>
      </c>
      <c r="K5699" t="s">
        <v>31</v>
      </c>
      <c r="M5699" t="s">
        <v>32</v>
      </c>
      <c r="N5699" t="str">
        <f>"1/7/2010 12:00:00 AM"</f>
        <v>1/7/2010 12:00:00 AM</v>
      </c>
      <c r="O5699" t="s">
        <v>17283</v>
      </c>
      <c r="T5699" t="s">
        <v>17284</v>
      </c>
    </row>
    <row r="5700" spans="1:20" x14ac:dyDescent="0.25">
      <c r="A5700" t="str">
        <f>"3057982"</f>
        <v>3057982</v>
      </c>
      <c r="B5700" t="s">
        <v>17356</v>
      </c>
      <c r="C5700" t="str">
        <f>"82531411"</f>
        <v>82531411</v>
      </c>
      <c r="D5700" t="s">
        <v>17357</v>
      </c>
      <c r="E5700" t="s">
        <v>17358</v>
      </c>
      <c r="F5700" t="s">
        <v>17359</v>
      </c>
      <c r="I5700" t="s">
        <v>29</v>
      </c>
      <c r="J5700" t="s">
        <v>30</v>
      </c>
      <c r="K5700" t="s">
        <v>31</v>
      </c>
      <c r="M5700" t="s">
        <v>32</v>
      </c>
      <c r="N5700" t="str">
        <f>"5/24/2010 12:00:00 AM"</f>
        <v>5/24/2010 12:00:00 AM</v>
      </c>
      <c r="O5700" t="s">
        <v>17357</v>
      </c>
      <c r="T5700" t="s">
        <v>17358</v>
      </c>
    </row>
    <row r="5701" spans="1:20" x14ac:dyDescent="0.25">
      <c r="A5701" t="str">
        <f>"3040345"</f>
        <v>3040345</v>
      </c>
      <c r="B5701" t="s">
        <v>17360</v>
      </c>
      <c r="C5701" t="str">
        <f>"82531423"</f>
        <v>82531423</v>
      </c>
      <c r="D5701" t="s">
        <v>17361</v>
      </c>
      <c r="E5701" t="s">
        <v>17362</v>
      </c>
      <c r="F5701" t="s">
        <v>17363</v>
      </c>
      <c r="I5701" t="s">
        <v>2275</v>
      </c>
      <c r="J5701" t="s">
        <v>30</v>
      </c>
      <c r="K5701" t="s">
        <v>2276</v>
      </c>
      <c r="M5701" t="s">
        <v>32</v>
      </c>
      <c r="N5701" t="str">
        <f>"1/19/2010 12:00:00 AM"</f>
        <v>1/19/2010 12:00:00 AM</v>
      </c>
      <c r="O5701" t="s">
        <v>17361</v>
      </c>
      <c r="T5701" t="s">
        <v>17362</v>
      </c>
    </row>
    <row r="5702" spans="1:20" x14ac:dyDescent="0.25">
      <c r="A5702" t="str">
        <f>"3049844"</f>
        <v>3049844</v>
      </c>
      <c r="B5702" t="s">
        <v>17364</v>
      </c>
      <c r="C5702" t="str">
        <f>"82531438"</f>
        <v>82531438</v>
      </c>
      <c r="D5702" t="s">
        <v>17365</v>
      </c>
      <c r="E5702" t="s">
        <v>17366</v>
      </c>
      <c r="F5702" t="s">
        <v>17367</v>
      </c>
      <c r="I5702" t="s">
        <v>29</v>
      </c>
      <c r="J5702" t="s">
        <v>30</v>
      </c>
      <c r="K5702" t="s">
        <v>31</v>
      </c>
      <c r="M5702" t="s">
        <v>32</v>
      </c>
      <c r="N5702" t="str">
        <f>"8/26/2011 12:00:00 AM"</f>
        <v>8/26/2011 12:00:00 AM</v>
      </c>
      <c r="O5702" t="s">
        <v>17365</v>
      </c>
      <c r="T5702" t="s">
        <v>17366</v>
      </c>
    </row>
    <row r="5703" spans="1:20" x14ac:dyDescent="0.25">
      <c r="A5703" t="str">
        <f>"3058091"</f>
        <v>3058091</v>
      </c>
      <c r="B5703" t="s">
        <v>17368</v>
      </c>
      <c r="C5703" t="str">
        <f>"82531442"</f>
        <v>82531442</v>
      </c>
      <c r="D5703" t="s">
        <v>17369</v>
      </c>
      <c r="E5703" t="s">
        <v>17370</v>
      </c>
      <c r="F5703" t="s">
        <v>17371</v>
      </c>
      <c r="I5703" t="s">
        <v>184</v>
      </c>
      <c r="J5703" t="s">
        <v>30</v>
      </c>
      <c r="K5703" t="s">
        <v>185</v>
      </c>
      <c r="M5703" t="s">
        <v>32</v>
      </c>
      <c r="N5703" t="str">
        <f>"1/26/2010 12:00:00 AM"</f>
        <v>1/26/2010 12:00:00 AM</v>
      </c>
      <c r="O5703" t="s">
        <v>17369</v>
      </c>
      <c r="T5703" t="s">
        <v>17370</v>
      </c>
    </row>
    <row r="5704" spans="1:20" x14ac:dyDescent="0.25">
      <c r="A5704" t="str">
        <f>"3045212"</f>
        <v>3045212</v>
      </c>
      <c r="B5704" t="s">
        <v>17372</v>
      </c>
      <c r="C5704" t="str">
        <f>"82531446"</f>
        <v>82531446</v>
      </c>
      <c r="D5704" t="s">
        <v>5184</v>
      </c>
      <c r="E5704" t="s">
        <v>17373</v>
      </c>
      <c r="F5704" t="s">
        <v>5185</v>
      </c>
      <c r="I5704" t="s">
        <v>184</v>
      </c>
      <c r="J5704" t="s">
        <v>30</v>
      </c>
      <c r="K5704" t="s">
        <v>185</v>
      </c>
      <c r="M5704" t="s">
        <v>32</v>
      </c>
      <c r="N5704" t="str">
        <f>"1/27/2010 12:00:00 AM"</f>
        <v>1/27/2010 12:00:00 AM</v>
      </c>
      <c r="O5704" t="s">
        <v>5184</v>
      </c>
      <c r="T5704" t="s">
        <v>17373</v>
      </c>
    </row>
    <row r="5705" spans="1:20" x14ac:dyDescent="0.25">
      <c r="A5705" t="str">
        <f>"3045008"</f>
        <v>3045008</v>
      </c>
      <c r="B5705" t="s">
        <v>17374</v>
      </c>
      <c r="C5705" t="str">
        <f>"82531451"</f>
        <v>82531451</v>
      </c>
      <c r="D5705" t="s">
        <v>17375</v>
      </c>
      <c r="F5705" t="s">
        <v>7827</v>
      </c>
      <c r="I5705" t="s">
        <v>29</v>
      </c>
      <c r="J5705" t="s">
        <v>30</v>
      </c>
      <c r="K5705" t="s">
        <v>31</v>
      </c>
      <c r="M5705" t="s">
        <v>32</v>
      </c>
      <c r="N5705" t="str">
        <f>"1/27/2010 12:00:00 AM"</f>
        <v>1/27/2010 12:00:00 AM</v>
      </c>
      <c r="O5705" t="s">
        <v>17375</v>
      </c>
    </row>
    <row r="5706" spans="1:20" x14ac:dyDescent="0.25">
      <c r="A5706" t="str">
        <f>"3051826"</f>
        <v>3051826</v>
      </c>
      <c r="B5706" t="s">
        <v>17376</v>
      </c>
      <c r="C5706" t="str">
        <f>"82531467"</f>
        <v>82531467</v>
      </c>
      <c r="D5706" t="s">
        <v>17377</v>
      </c>
      <c r="E5706" t="s">
        <v>17378</v>
      </c>
      <c r="F5706" t="s">
        <v>17379</v>
      </c>
      <c r="I5706" t="s">
        <v>29</v>
      </c>
      <c r="J5706" t="s">
        <v>30</v>
      </c>
      <c r="K5706" t="s">
        <v>31</v>
      </c>
      <c r="M5706" t="s">
        <v>32</v>
      </c>
      <c r="N5706" t="str">
        <f>"2/2/2010 12:00:00 AM"</f>
        <v>2/2/2010 12:00:00 AM</v>
      </c>
      <c r="O5706" t="s">
        <v>17377</v>
      </c>
      <c r="T5706" t="s">
        <v>17378</v>
      </c>
    </row>
    <row r="5707" spans="1:20" x14ac:dyDescent="0.25">
      <c r="A5707" t="str">
        <f>"3063908"</f>
        <v>3063908</v>
      </c>
      <c r="B5707" t="s">
        <v>17380</v>
      </c>
      <c r="C5707" t="str">
        <f>"82531605"</f>
        <v>82531605</v>
      </c>
      <c r="D5707" t="s">
        <v>17381</v>
      </c>
      <c r="E5707" t="s">
        <v>17382</v>
      </c>
      <c r="F5707" t="s">
        <v>17383</v>
      </c>
      <c r="I5707" t="s">
        <v>184</v>
      </c>
      <c r="J5707" t="s">
        <v>30</v>
      </c>
      <c r="K5707" t="s">
        <v>185</v>
      </c>
      <c r="M5707" t="s">
        <v>32</v>
      </c>
      <c r="N5707" t="str">
        <f>"3/19/2010 12:00:00 AM"</f>
        <v>3/19/2010 12:00:00 AM</v>
      </c>
      <c r="O5707" t="s">
        <v>17381</v>
      </c>
      <c r="T5707" t="s">
        <v>17382</v>
      </c>
    </row>
    <row r="5708" spans="1:20" x14ac:dyDescent="0.25">
      <c r="A5708" t="str">
        <f>"3042121"</f>
        <v>3042121</v>
      </c>
      <c r="B5708" t="s">
        <v>17384</v>
      </c>
      <c r="C5708" t="str">
        <f>"82531605"</f>
        <v>82531605</v>
      </c>
      <c r="D5708" t="s">
        <v>17381</v>
      </c>
      <c r="E5708" t="s">
        <v>17382</v>
      </c>
      <c r="F5708" t="s">
        <v>17383</v>
      </c>
      <c r="I5708" t="s">
        <v>184</v>
      </c>
      <c r="J5708" t="s">
        <v>30</v>
      </c>
      <c r="K5708" t="s">
        <v>185</v>
      </c>
      <c r="M5708" t="s">
        <v>32</v>
      </c>
      <c r="N5708" t="str">
        <f>"3/19/2010 12:00:00 AM"</f>
        <v>3/19/2010 12:00:00 AM</v>
      </c>
      <c r="O5708" t="s">
        <v>17381</v>
      </c>
      <c r="T5708" t="s">
        <v>17382</v>
      </c>
    </row>
    <row r="5709" spans="1:20" x14ac:dyDescent="0.25">
      <c r="A5709" t="str">
        <f>"3042201"</f>
        <v>3042201</v>
      </c>
      <c r="B5709" t="s">
        <v>17385</v>
      </c>
      <c r="C5709" t="str">
        <f>"82531605"</f>
        <v>82531605</v>
      </c>
      <c r="D5709" t="s">
        <v>17381</v>
      </c>
      <c r="E5709" t="s">
        <v>17382</v>
      </c>
      <c r="F5709" t="s">
        <v>17383</v>
      </c>
      <c r="I5709" t="s">
        <v>184</v>
      </c>
      <c r="J5709" t="s">
        <v>30</v>
      </c>
      <c r="K5709" t="s">
        <v>185</v>
      </c>
      <c r="M5709" t="s">
        <v>32</v>
      </c>
      <c r="N5709" t="str">
        <f>"3/19/2010 12:00:00 AM"</f>
        <v>3/19/2010 12:00:00 AM</v>
      </c>
      <c r="O5709" t="s">
        <v>17381</v>
      </c>
      <c r="T5709" t="s">
        <v>17382</v>
      </c>
    </row>
    <row r="5710" spans="1:20" x14ac:dyDescent="0.25">
      <c r="A5710" t="str">
        <f>"3058913"</f>
        <v>3058913</v>
      </c>
      <c r="B5710" t="s">
        <v>17386</v>
      </c>
      <c r="C5710" t="str">
        <f>"82531475"</f>
        <v>82531475</v>
      </c>
      <c r="D5710" t="s">
        <v>17387</v>
      </c>
      <c r="F5710" t="s">
        <v>17388</v>
      </c>
      <c r="I5710" t="s">
        <v>29</v>
      </c>
      <c r="J5710" t="s">
        <v>30</v>
      </c>
      <c r="K5710" t="s">
        <v>31</v>
      </c>
      <c r="M5710" t="s">
        <v>32</v>
      </c>
      <c r="N5710" t="str">
        <f>"2/3/2010 12:00:00 AM"</f>
        <v>2/3/2010 12:00:00 AM</v>
      </c>
      <c r="O5710" t="s">
        <v>17387</v>
      </c>
    </row>
    <row r="5711" spans="1:20" x14ac:dyDescent="0.25">
      <c r="A5711" t="str">
        <f>"3060570"</f>
        <v>3060570</v>
      </c>
      <c r="B5711" t="s">
        <v>17389</v>
      </c>
      <c r="C5711" t="str">
        <f>"82531478"</f>
        <v>82531478</v>
      </c>
      <c r="D5711" t="s">
        <v>17390</v>
      </c>
      <c r="F5711" t="s">
        <v>17391</v>
      </c>
      <c r="I5711" t="s">
        <v>2071</v>
      </c>
      <c r="J5711" t="s">
        <v>30</v>
      </c>
      <c r="K5711" t="s">
        <v>6342</v>
      </c>
      <c r="M5711" t="s">
        <v>32</v>
      </c>
      <c r="N5711" t="str">
        <f>"2/4/2010 12:00:00 AM"</f>
        <v>2/4/2010 12:00:00 AM</v>
      </c>
      <c r="O5711" t="s">
        <v>17390</v>
      </c>
    </row>
    <row r="5712" spans="1:20" x14ac:dyDescent="0.25">
      <c r="A5712" t="str">
        <f>"3059779"</f>
        <v>3059779</v>
      </c>
      <c r="B5712" t="s">
        <v>17392</v>
      </c>
      <c r="C5712" t="str">
        <f>"82531480"</f>
        <v>82531480</v>
      </c>
      <c r="D5712" t="s">
        <v>17393</v>
      </c>
      <c r="F5712" t="s">
        <v>17394</v>
      </c>
      <c r="I5712" t="s">
        <v>29</v>
      </c>
      <c r="J5712" t="s">
        <v>30</v>
      </c>
      <c r="K5712" t="s">
        <v>31</v>
      </c>
      <c r="M5712" t="s">
        <v>32</v>
      </c>
      <c r="N5712" t="str">
        <f>"2/4/2010 12:00:00 AM"</f>
        <v>2/4/2010 12:00:00 AM</v>
      </c>
      <c r="O5712" t="s">
        <v>17393</v>
      </c>
    </row>
    <row r="5713" spans="1:20" x14ac:dyDescent="0.25">
      <c r="A5713" t="str">
        <f>"3038392"</f>
        <v>3038392</v>
      </c>
      <c r="B5713" t="s">
        <v>17395</v>
      </c>
      <c r="C5713" t="str">
        <f>"82531483"</f>
        <v>82531483</v>
      </c>
      <c r="D5713" t="s">
        <v>17396</v>
      </c>
      <c r="E5713" t="s">
        <v>17397</v>
      </c>
      <c r="F5713" t="s">
        <v>17398</v>
      </c>
      <c r="I5713" t="s">
        <v>29</v>
      </c>
      <c r="J5713" t="s">
        <v>30</v>
      </c>
      <c r="K5713" t="s">
        <v>31</v>
      </c>
      <c r="M5713" t="s">
        <v>32</v>
      </c>
      <c r="N5713" t="str">
        <f>"1/18/2011 12:00:00 AM"</f>
        <v>1/18/2011 12:00:00 AM</v>
      </c>
      <c r="O5713" t="s">
        <v>17396</v>
      </c>
      <c r="T5713" t="s">
        <v>17397</v>
      </c>
    </row>
    <row r="5714" spans="1:20" x14ac:dyDescent="0.25">
      <c r="A5714" t="str">
        <f>"3052857"</f>
        <v>3052857</v>
      </c>
      <c r="B5714" t="s">
        <v>17399</v>
      </c>
      <c r="C5714" t="str">
        <f>"82531493"</f>
        <v>82531493</v>
      </c>
      <c r="D5714" t="s">
        <v>17400</v>
      </c>
      <c r="F5714" t="s">
        <v>17401</v>
      </c>
      <c r="I5714" t="s">
        <v>29</v>
      </c>
      <c r="J5714" t="s">
        <v>30</v>
      </c>
      <c r="K5714" t="s">
        <v>31</v>
      </c>
      <c r="M5714" t="s">
        <v>32</v>
      </c>
      <c r="N5714" t="str">
        <f>"3/8/2010 12:00:00 AM"</f>
        <v>3/8/2010 12:00:00 AM</v>
      </c>
      <c r="O5714" t="s">
        <v>17400</v>
      </c>
    </row>
    <row r="5715" spans="1:20" x14ac:dyDescent="0.25">
      <c r="A5715" t="str">
        <f>"3043335"</f>
        <v>3043335</v>
      </c>
      <c r="B5715" t="s">
        <v>17402</v>
      </c>
      <c r="C5715" t="str">
        <f>"82531499"</f>
        <v>82531499</v>
      </c>
      <c r="D5715" t="s">
        <v>17403</v>
      </c>
      <c r="E5715" t="s">
        <v>17404</v>
      </c>
      <c r="F5715" t="s">
        <v>17405</v>
      </c>
      <c r="I5715" t="s">
        <v>29</v>
      </c>
      <c r="J5715" t="s">
        <v>30</v>
      </c>
      <c r="K5715" t="s">
        <v>31</v>
      </c>
      <c r="M5715" t="s">
        <v>32</v>
      </c>
      <c r="N5715" t="str">
        <f>"2/15/2010 12:00:00 AM"</f>
        <v>2/15/2010 12:00:00 AM</v>
      </c>
      <c r="O5715" t="s">
        <v>17403</v>
      </c>
      <c r="T5715" t="s">
        <v>17404</v>
      </c>
    </row>
    <row r="5716" spans="1:20" x14ac:dyDescent="0.25">
      <c r="A5716" t="str">
        <f>"3037949"</f>
        <v>3037949</v>
      </c>
      <c r="B5716" t="s">
        <v>17406</v>
      </c>
      <c r="C5716" t="str">
        <f>"82531509"</f>
        <v>82531509</v>
      </c>
      <c r="D5716" t="s">
        <v>17407</v>
      </c>
      <c r="F5716" t="s">
        <v>17408</v>
      </c>
      <c r="I5716" t="s">
        <v>184</v>
      </c>
      <c r="J5716" t="s">
        <v>30</v>
      </c>
      <c r="K5716" t="s">
        <v>185</v>
      </c>
      <c r="M5716" t="s">
        <v>32</v>
      </c>
      <c r="N5716" t="str">
        <f>"2/22/2010 12:00:00 AM"</f>
        <v>2/22/2010 12:00:00 AM</v>
      </c>
      <c r="O5716" t="s">
        <v>17407</v>
      </c>
    </row>
    <row r="5717" spans="1:20" x14ac:dyDescent="0.25">
      <c r="A5717" t="str">
        <f>"3057532"</f>
        <v>3057532</v>
      </c>
      <c r="B5717" t="s">
        <v>17409</v>
      </c>
      <c r="C5717" t="str">
        <f>"82531511"</f>
        <v>82531511</v>
      </c>
      <c r="D5717" t="s">
        <v>17410</v>
      </c>
      <c r="E5717" t="s">
        <v>17411</v>
      </c>
      <c r="F5717" t="s">
        <v>17412</v>
      </c>
      <c r="I5717" t="s">
        <v>29</v>
      </c>
      <c r="J5717" t="s">
        <v>30</v>
      </c>
      <c r="K5717" t="s">
        <v>31</v>
      </c>
      <c r="M5717" t="s">
        <v>32</v>
      </c>
      <c r="N5717" t="str">
        <f>"2/22/2010 12:00:00 AM"</f>
        <v>2/22/2010 12:00:00 AM</v>
      </c>
      <c r="O5717" t="s">
        <v>17410</v>
      </c>
      <c r="T5717" t="s">
        <v>17411</v>
      </c>
    </row>
    <row r="5718" spans="1:20" x14ac:dyDescent="0.25">
      <c r="A5718" t="str">
        <f>"3077102"</f>
        <v>3077102</v>
      </c>
      <c r="B5718" t="s">
        <v>17413</v>
      </c>
      <c r="C5718" t="str">
        <f>"82531348"</f>
        <v>82531348</v>
      </c>
      <c r="D5718" t="s">
        <v>17414</v>
      </c>
      <c r="E5718" t="s">
        <v>17415</v>
      </c>
      <c r="F5718" t="s">
        <v>17416</v>
      </c>
      <c r="I5718" t="s">
        <v>29</v>
      </c>
      <c r="J5718" t="s">
        <v>30</v>
      </c>
      <c r="K5718" t="s">
        <v>31</v>
      </c>
      <c r="M5718" t="s">
        <v>32</v>
      </c>
      <c r="N5718" t="str">
        <f>"12/23/2009 12:00:00 AM"</f>
        <v>12/23/2009 12:00:00 AM</v>
      </c>
      <c r="O5718" t="s">
        <v>17414</v>
      </c>
      <c r="T5718" t="s">
        <v>17415</v>
      </c>
    </row>
    <row r="5719" spans="1:20" x14ac:dyDescent="0.25">
      <c r="A5719" t="str">
        <f>"3052065"</f>
        <v>3052065</v>
      </c>
      <c r="B5719" t="s">
        <v>17417</v>
      </c>
      <c r="C5719" t="str">
        <f>"82531362"</f>
        <v>82531362</v>
      </c>
      <c r="D5719" t="s">
        <v>17418</v>
      </c>
      <c r="E5719" t="s">
        <v>17419</v>
      </c>
      <c r="F5719" t="s">
        <v>17420</v>
      </c>
      <c r="I5719" t="s">
        <v>29</v>
      </c>
      <c r="J5719" t="s">
        <v>30</v>
      </c>
      <c r="K5719" t="s">
        <v>31</v>
      </c>
      <c r="N5719" t="str">
        <f>"12/31/2009 12:00:00 AM"</f>
        <v>12/31/2009 12:00:00 AM</v>
      </c>
      <c r="O5719" t="s">
        <v>17418</v>
      </c>
      <c r="T5719" t="s">
        <v>17419</v>
      </c>
    </row>
    <row r="5720" spans="1:20" x14ac:dyDescent="0.25">
      <c r="A5720" t="str">
        <f>"3039273"</f>
        <v>3039273</v>
      </c>
      <c r="B5720" t="s">
        <v>17421</v>
      </c>
      <c r="C5720" t="str">
        <f>"82531536"</f>
        <v>82531536</v>
      </c>
      <c r="D5720" t="s">
        <v>17422</v>
      </c>
      <c r="E5720" t="s">
        <v>17423</v>
      </c>
      <c r="F5720" t="s">
        <v>17424</v>
      </c>
      <c r="I5720" t="s">
        <v>163</v>
      </c>
      <c r="J5720" t="s">
        <v>30</v>
      </c>
      <c r="K5720" t="s">
        <v>2356</v>
      </c>
      <c r="M5720" t="s">
        <v>32</v>
      </c>
      <c r="N5720" t="str">
        <f>"2/24/2010 12:00:00 AM"</f>
        <v>2/24/2010 12:00:00 AM</v>
      </c>
      <c r="O5720" t="s">
        <v>17422</v>
      </c>
      <c r="T5720" t="s">
        <v>17423</v>
      </c>
    </row>
    <row r="5721" spans="1:20" x14ac:dyDescent="0.25">
      <c r="A5721" t="str">
        <f>"3052357"</f>
        <v>3052357</v>
      </c>
      <c r="B5721" t="s">
        <v>17425</v>
      </c>
      <c r="C5721" t="str">
        <f>"82531543"</f>
        <v>82531543</v>
      </c>
      <c r="D5721" t="s">
        <v>17426</v>
      </c>
      <c r="F5721" t="s">
        <v>17427</v>
      </c>
      <c r="I5721" t="s">
        <v>29</v>
      </c>
      <c r="J5721" t="s">
        <v>30</v>
      </c>
      <c r="K5721" t="s">
        <v>31</v>
      </c>
      <c r="M5721" t="s">
        <v>32</v>
      </c>
      <c r="N5721" t="str">
        <f>"3/2/2010 12:00:00 AM"</f>
        <v>3/2/2010 12:00:00 AM</v>
      </c>
      <c r="O5721" t="s">
        <v>17426</v>
      </c>
    </row>
    <row r="5722" spans="1:20" x14ac:dyDescent="0.25">
      <c r="A5722" t="str">
        <f>"3044235"</f>
        <v>3044235</v>
      </c>
      <c r="B5722" t="s">
        <v>17428</v>
      </c>
      <c r="C5722" t="str">
        <f>"82531552"</f>
        <v>82531552</v>
      </c>
      <c r="D5722" t="s">
        <v>17429</v>
      </c>
      <c r="E5722" t="s">
        <v>17430</v>
      </c>
      <c r="F5722" t="s">
        <v>17431</v>
      </c>
      <c r="I5722" t="s">
        <v>184</v>
      </c>
      <c r="J5722" t="s">
        <v>30</v>
      </c>
      <c r="K5722" t="s">
        <v>185</v>
      </c>
      <c r="M5722" t="s">
        <v>32</v>
      </c>
      <c r="N5722" t="str">
        <f>"3/5/2010 12:00:00 AM"</f>
        <v>3/5/2010 12:00:00 AM</v>
      </c>
      <c r="O5722" t="s">
        <v>17429</v>
      </c>
      <c r="T5722" t="s">
        <v>17430</v>
      </c>
    </row>
    <row r="5723" spans="1:20" x14ac:dyDescent="0.25">
      <c r="A5723" t="str">
        <f>"3055420"</f>
        <v>3055420</v>
      </c>
      <c r="B5723" t="s">
        <v>17432</v>
      </c>
      <c r="C5723" t="str">
        <f>"82531554"</f>
        <v>82531554</v>
      </c>
      <c r="D5723" t="s">
        <v>17433</v>
      </c>
      <c r="E5723" t="s">
        <v>17434</v>
      </c>
      <c r="F5723" t="s">
        <v>17435</v>
      </c>
      <c r="I5723" t="s">
        <v>29</v>
      </c>
      <c r="J5723" t="s">
        <v>30</v>
      </c>
      <c r="K5723" t="s">
        <v>31</v>
      </c>
      <c r="M5723" t="s">
        <v>32</v>
      </c>
      <c r="N5723" t="str">
        <f>"3/5/2010 12:00:00 AM"</f>
        <v>3/5/2010 12:00:00 AM</v>
      </c>
      <c r="O5723" t="s">
        <v>17433</v>
      </c>
      <c r="T5723" t="s">
        <v>17434</v>
      </c>
    </row>
    <row r="5724" spans="1:20" x14ac:dyDescent="0.25">
      <c r="A5724" t="str">
        <f>"3041486"</f>
        <v>3041486</v>
      </c>
      <c r="B5724" t="s">
        <v>17436</v>
      </c>
      <c r="C5724" t="str">
        <f>"82531558"</f>
        <v>82531558</v>
      </c>
      <c r="D5724" t="s">
        <v>17437</v>
      </c>
      <c r="E5724" t="s">
        <v>17438</v>
      </c>
      <c r="F5724" t="s">
        <v>17439</v>
      </c>
      <c r="I5724" t="s">
        <v>2071</v>
      </c>
      <c r="J5724" t="s">
        <v>30</v>
      </c>
      <c r="K5724" t="s">
        <v>185</v>
      </c>
      <c r="M5724" t="s">
        <v>32</v>
      </c>
      <c r="N5724" t="str">
        <f>"3/9/2010 12:00:00 AM"</f>
        <v>3/9/2010 12:00:00 AM</v>
      </c>
      <c r="O5724" t="s">
        <v>17437</v>
      </c>
      <c r="T5724" t="s">
        <v>17438</v>
      </c>
    </row>
    <row r="5725" spans="1:20" x14ac:dyDescent="0.25">
      <c r="A5725" t="str">
        <f>"3051087"</f>
        <v>3051087</v>
      </c>
      <c r="B5725" t="s">
        <v>17440</v>
      </c>
      <c r="C5725" t="str">
        <f>"82531562"</f>
        <v>82531562</v>
      </c>
      <c r="D5725" t="s">
        <v>17441</v>
      </c>
      <c r="E5725" t="s">
        <v>17442</v>
      </c>
      <c r="F5725" t="s">
        <v>17443</v>
      </c>
      <c r="I5725" t="s">
        <v>29</v>
      </c>
      <c r="J5725" t="s">
        <v>30</v>
      </c>
      <c r="K5725" t="s">
        <v>31</v>
      </c>
      <c r="M5725" t="s">
        <v>32</v>
      </c>
      <c r="N5725" t="str">
        <f>"1/31/2011 12:00:00 AM"</f>
        <v>1/31/2011 12:00:00 AM</v>
      </c>
      <c r="O5725" t="s">
        <v>17441</v>
      </c>
      <c r="T5725" t="s">
        <v>17442</v>
      </c>
    </row>
    <row r="5726" spans="1:20" x14ac:dyDescent="0.25">
      <c r="A5726" t="str">
        <f>"3045465"</f>
        <v>3045465</v>
      </c>
      <c r="B5726" t="s">
        <v>17444</v>
      </c>
      <c r="C5726" t="str">
        <f>"82531567"</f>
        <v>82531567</v>
      </c>
      <c r="D5726" t="s">
        <v>17445</v>
      </c>
      <c r="F5726" t="s">
        <v>17446</v>
      </c>
      <c r="I5726" t="s">
        <v>29</v>
      </c>
      <c r="J5726" t="s">
        <v>30</v>
      </c>
      <c r="K5726" t="s">
        <v>31</v>
      </c>
      <c r="M5726" t="s">
        <v>32</v>
      </c>
      <c r="N5726" t="str">
        <f>"3/10/2010 12:00:00 AM"</f>
        <v>3/10/2010 12:00:00 AM</v>
      </c>
      <c r="O5726" t="s">
        <v>17445</v>
      </c>
    </row>
    <row r="5727" spans="1:20" x14ac:dyDescent="0.25">
      <c r="A5727" t="str">
        <f>"3051942"</f>
        <v>3051942</v>
      </c>
      <c r="B5727" t="s">
        <v>17447</v>
      </c>
      <c r="C5727" t="str">
        <f>"82531586"</f>
        <v>82531586</v>
      </c>
      <c r="D5727" t="s">
        <v>17448</v>
      </c>
      <c r="F5727" t="s">
        <v>17449</v>
      </c>
      <c r="I5727" t="s">
        <v>29</v>
      </c>
      <c r="J5727" t="s">
        <v>30</v>
      </c>
      <c r="K5727" t="s">
        <v>31</v>
      </c>
      <c r="M5727" t="s">
        <v>32</v>
      </c>
      <c r="N5727" t="str">
        <f>"3/15/2010 12:00:00 AM"</f>
        <v>3/15/2010 12:00:00 AM</v>
      </c>
      <c r="O5727" t="s">
        <v>17448</v>
      </c>
    </row>
    <row r="5728" spans="1:20" x14ac:dyDescent="0.25">
      <c r="A5728" t="str">
        <f>"3054360"</f>
        <v>3054360</v>
      </c>
      <c r="B5728" t="s">
        <v>17450</v>
      </c>
      <c r="C5728" t="str">
        <f>"82531600"</f>
        <v>82531600</v>
      </c>
      <c r="D5728" t="s">
        <v>17451</v>
      </c>
      <c r="F5728" t="s">
        <v>17452</v>
      </c>
      <c r="I5728" t="s">
        <v>29</v>
      </c>
      <c r="J5728" t="s">
        <v>30</v>
      </c>
      <c r="K5728" t="s">
        <v>31</v>
      </c>
      <c r="M5728" t="s">
        <v>32</v>
      </c>
      <c r="N5728" t="str">
        <f>"7/12/2010 12:00:00 AM"</f>
        <v>7/12/2010 12:00:00 AM</v>
      </c>
      <c r="O5728" t="s">
        <v>17451</v>
      </c>
    </row>
    <row r="5729" spans="1:20" x14ac:dyDescent="0.25">
      <c r="A5729" t="str">
        <f>"3054234"</f>
        <v>3054234</v>
      </c>
      <c r="B5729" t="s">
        <v>17453</v>
      </c>
      <c r="C5729" t="str">
        <f>"82531600"</f>
        <v>82531600</v>
      </c>
      <c r="D5729" t="s">
        <v>17451</v>
      </c>
      <c r="F5729" t="s">
        <v>17452</v>
      </c>
      <c r="I5729" t="s">
        <v>29</v>
      </c>
      <c r="J5729" t="s">
        <v>30</v>
      </c>
      <c r="K5729" t="s">
        <v>31</v>
      </c>
      <c r="M5729" t="s">
        <v>32</v>
      </c>
      <c r="N5729" t="str">
        <f>"7/12/2010 12:00:00 AM"</f>
        <v>7/12/2010 12:00:00 AM</v>
      </c>
      <c r="O5729" t="s">
        <v>17451</v>
      </c>
    </row>
    <row r="5730" spans="1:20" x14ac:dyDescent="0.25">
      <c r="A5730" t="str">
        <f>"3060463"</f>
        <v>3060463</v>
      </c>
      <c r="B5730" t="s">
        <v>17454</v>
      </c>
      <c r="C5730" t="str">
        <f>"82531603"</f>
        <v>82531603</v>
      </c>
      <c r="D5730" t="s">
        <v>17455</v>
      </c>
      <c r="E5730" t="s">
        <v>17456</v>
      </c>
      <c r="F5730" t="s">
        <v>17457</v>
      </c>
      <c r="I5730" t="s">
        <v>184</v>
      </c>
      <c r="J5730" t="s">
        <v>30</v>
      </c>
      <c r="K5730" t="s">
        <v>185</v>
      </c>
      <c r="M5730" t="s">
        <v>32</v>
      </c>
      <c r="N5730" t="str">
        <f>"3/19/2010 12:00:00 AM"</f>
        <v>3/19/2010 12:00:00 AM</v>
      </c>
      <c r="O5730" t="s">
        <v>17455</v>
      </c>
      <c r="T5730" t="s">
        <v>17456</v>
      </c>
    </row>
    <row r="5731" spans="1:20" x14ac:dyDescent="0.25">
      <c r="A5731" t="str">
        <f>"3059513"</f>
        <v>3059513</v>
      </c>
      <c r="B5731" t="s">
        <v>17458</v>
      </c>
      <c r="C5731" t="str">
        <f>"82531604"</f>
        <v>82531604</v>
      </c>
      <c r="D5731" t="s">
        <v>17459</v>
      </c>
      <c r="F5731" t="s">
        <v>17460</v>
      </c>
      <c r="I5731" t="s">
        <v>29</v>
      </c>
      <c r="J5731" t="s">
        <v>30</v>
      </c>
      <c r="K5731" t="s">
        <v>31</v>
      </c>
      <c r="M5731" t="s">
        <v>32</v>
      </c>
      <c r="N5731" t="str">
        <f>"3/19/2010 12:00:00 AM"</f>
        <v>3/19/2010 12:00:00 AM</v>
      </c>
      <c r="O5731" t="s">
        <v>17459</v>
      </c>
    </row>
    <row r="5732" spans="1:20" x14ac:dyDescent="0.25">
      <c r="A5732" t="str">
        <f>"3048825"</f>
        <v>3048825</v>
      </c>
      <c r="B5732" t="s">
        <v>17461</v>
      </c>
      <c r="C5732" t="str">
        <f>"82531608"</f>
        <v>82531608</v>
      </c>
      <c r="D5732" t="s">
        <v>17462</v>
      </c>
      <c r="F5732" t="s">
        <v>17463</v>
      </c>
      <c r="I5732" t="s">
        <v>29</v>
      </c>
      <c r="J5732" t="s">
        <v>30</v>
      </c>
      <c r="K5732" t="s">
        <v>31</v>
      </c>
      <c r="M5732" t="s">
        <v>32</v>
      </c>
      <c r="N5732" t="str">
        <f>"3/22/2010 12:00:00 AM"</f>
        <v>3/22/2010 12:00:00 AM</v>
      </c>
      <c r="O5732" t="s">
        <v>17462</v>
      </c>
    </row>
    <row r="5733" spans="1:20" x14ac:dyDescent="0.25">
      <c r="A5733" t="str">
        <f>"3038720"</f>
        <v>3038720</v>
      </c>
      <c r="B5733" t="s">
        <v>17464</v>
      </c>
      <c r="C5733" t="str">
        <f>"82531629"</f>
        <v>82531629</v>
      </c>
      <c r="D5733" t="s">
        <v>17465</v>
      </c>
      <c r="F5733" t="s">
        <v>17466</v>
      </c>
      <c r="I5733" t="s">
        <v>29</v>
      </c>
      <c r="J5733" t="s">
        <v>30</v>
      </c>
      <c r="K5733" t="s">
        <v>31</v>
      </c>
      <c r="M5733" t="s">
        <v>32</v>
      </c>
      <c r="N5733" t="str">
        <f>"4/1/2010 12:00:00 AM"</f>
        <v>4/1/2010 12:00:00 AM</v>
      </c>
      <c r="O5733" t="s">
        <v>17465</v>
      </c>
    </row>
    <row r="5734" spans="1:20" x14ac:dyDescent="0.25">
      <c r="A5734" t="str">
        <f>"3063895"</f>
        <v>3063895</v>
      </c>
      <c r="B5734" t="s">
        <v>17467</v>
      </c>
      <c r="C5734" t="str">
        <f>"82531636"</f>
        <v>82531636</v>
      </c>
      <c r="D5734" t="s">
        <v>17468</v>
      </c>
      <c r="E5734" t="s">
        <v>17469</v>
      </c>
      <c r="F5734" t="s">
        <v>17470</v>
      </c>
      <c r="I5734" t="s">
        <v>184</v>
      </c>
      <c r="J5734" t="s">
        <v>30</v>
      </c>
      <c r="K5734" t="s">
        <v>185</v>
      </c>
      <c r="M5734" t="s">
        <v>32</v>
      </c>
      <c r="N5734" t="str">
        <f>"4/6/2010 12:00:00 AM"</f>
        <v>4/6/2010 12:00:00 AM</v>
      </c>
      <c r="O5734" t="s">
        <v>17468</v>
      </c>
      <c r="T5734" t="s">
        <v>17469</v>
      </c>
    </row>
    <row r="5735" spans="1:20" x14ac:dyDescent="0.25">
      <c r="A5735" t="str">
        <f>"3063646"</f>
        <v>3063646</v>
      </c>
      <c r="B5735" t="s">
        <v>17471</v>
      </c>
      <c r="C5735" t="str">
        <f>"82531639"</f>
        <v>82531639</v>
      </c>
      <c r="D5735" t="s">
        <v>17472</v>
      </c>
      <c r="F5735" t="s">
        <v>17473</v>
      </c>
      <c r="I5735" t="s">
        <v>29</v>
      </c>
      <c r="J5735" t="s">
        <v>30</v>
      </c>
      <c r="K5735" t="s">
        <v>31</v>
      </c>
      <c r="M5735" t="s">
        <v>32</v>
      </c>
      <c r="N5735" t="str">
        <f>"4/23/2010 12:00:00 AM"</f>
        <v>4/23/2010 12:00:00 AM</v>
      </c>
      <c r="O5735" t="s">
        <v>17472</v>
      </c>
    </row>
    <row r="5736" spans="1:20" x14ac:dyDescent="0.25">
      <c r="A5736" t="str">
        <f>"3050934"</f>
        <v>3050934</v>
      </c>
      <c r="B5736" t="s">
        <v>17474</v>
      </c>
      <c r="C5736" t="str">
        <f>"82531644"</f>
        <v>82531644</v>
      </c>
      <c r="D5736" t="s">
        <v>17475</v>
      </c>
      <c r="F5736" t="s">
        <v>17476</v>
      </c>
      <c r="I5736" t="s">
        <v>184</v>
      </c>
      <c r="J5736" t="s">
        <v>30</v>
      </c>
      <c r="K5736" t="s">
        <v>185</v>
      </c>
      <c r="M5736" t="s">
        <v>32</v>
      </c>
      <c r="N5736" t="str">
        <f>"4/8/2010 12:00:00 AM"</f>
        <v>4/8/2010 12:00:00 AM</v>
      </c>
      <c r="O5736" t="s">
        <v>17475</v>
      </c>
    </row>
    <row r="5737" spans="1:20" x14ac:dyDescent="0.25">
      <c r="A5737" t="str">
        <f>"3060528"</f>
        <v>3060528</v>
      </c>
      <c r="B5737" t="s">
        <v>17477</v>
      </c>
      <c r="C5737" t="str">
        <f>"82531645"</f>
        <v>82531645</v>
      </c>
      <c r="D5737" t="s">
        <v>17478</v>
      </c>
      <c r="E5737" t="s">
        <v>17479</v>
      </c>
      <c r="F5737" t="s">
        <v>17480</v>
      </c>
      <c r="I5737" t="s">
        <v>184</v>
      </c>
      <c r="J5737" t="s">
        <v>30</v>
      </c>
      <c r="K5737" t="s">
        <v>185</v>
      </c>
      <c r="M5737" t="s">
        <v>32</v>
      </c>
      <c r="N5737" t="str">
        <f>"4/8/2010 12:00:00 AM"</f>
        <v>4/8/2010 12:00:00 AM</v>
      </c>
      <c r="O5737" t="s">
        <v>17478</v>
      </c>
      <c r="T5737" t="s">
        <v>17479</v>
      </c>
    </row>
    <row r="5738" spans="1:20" x14ac:dyDescent="0.25">
      <c r="A5738" t="str">
        <f>"3059232"</f>
        <v>3059232</v>
      </c>
      <c r="B5738" t="s">
        <v>17481</v>
      </c>
      <c r="C5738" t="str">
        <f>"82531657"</f>
        <v>82531657</v>
      </c>
      <c r="D5738" t="s">
        <v>17482</v>
      </c>
      <c r="E5738" t="s">
        <v>17483</v>
      </c>
      <c r="F5738" t="s">
        <v>17484</v>
      </c>
      <c r="I5738" t="s">
        <v>184</v>
      </c>
      <c r="J5738" t="s">
        <v>30</v>
      </c>
      <c r="K5738" t="s">
        <v>185</v>
      </c>
      <c r="M5738" t="s">
        <v>32</v>
      </c>
      <c r="N5738" t="str">
        <f>"4/8/2010 12:00:00 AM"</f>
        <v>4/8/2010 12:00:00 AM</v>
      </c>
      <c r="O5738" t="s">
        <v>17482</v>
      </c>
      <c r="T5738" t="s">
        <v>17483</v>
      </c>
    </row>
    <row r="5739" spans="1:20" x14ac:dyDescent="0.25">
      <c r="A5739" t="str">
        <f>"3042842"</f>
        <v>3042842</v>
      </c>
      <c r="B5739" t="s">
        <v>17485</v>
      </c>
      <c r="C5739" t="str">
        <f>"82531979"</f>
        <v>82531979</v>
      </c>
      <c r="D5739" t="s">
        <v>17486</v>
      </c>
      <c r="E5739" t="s">
        <v>17487</v>
      </c>
      <c r="F5739" t="s">
        <v>17488</v>
      </c>
      <c r="I5739" t="s">
        <v>29</v>
      </c>
      <c r="J5739" t="s">
        <v>30</v>
      </c>
      <c r="K5739" t="s">
        <v>31</v>
      </c>
      <c r="M5739" t="s">
        <v>32</v>
      </c>
      <c r="N5739" t="str">
        <f>"6/9/2010 12:00:00 AM"</f>
        <v>6/9/2010 12:00:00 AM</v>
      </c>
      <c r="O5739" t="s">
        <v>17486</v>
      </c>
      <c r="T5739" t="s">
        <v>17487</v>
      </c>
    </row>
    <row r="5740" spans="1:20" x14ac:dyDescent="0.25">
      <c r="A5740" t="str">
        <f>"3076690"</f>
        <v>3076690</v>
      </c>
      <c r="B5740" t="s">
        <v>17489</v>
      </c>
      <c r="C5740" t="str">
        <f>"82531661"</f>
        <v>82531661</v>
      </c>
      <c r="D5740" t="s">
        <v>17490</v>
      </c>
      <c r="F5740" t="s">
        <v>17491</v>
      </c>
      <c r="I5740" t="s">
        <v>29</v>
      </c>
      <c r="J5740" t="s">
        <v>30</v>
      </c>
      <c r="K5740" t="s">
        <v>31</v>
      </c>
      <c r="M5740" t="s">
        <v>32</v>
      </c>
      <c r="N5740" t="str">
        <f>"4/8/2010 12:00:00 AM"</f>
        <v>4/8/2010 12:00:00 AM</v>
      </c>
      <c r="O5740" t="s">
        <v>17490</v>
      </c>
    </row>
    <row r="5741" spans="1:20" x14ac:dyDescent="0.25">
      <c r="A5741" t="str">
        <f>"3038501"</f>
        <v>3038501</v>
      </c>
      <c r="B5741" t="s">
        <v>17492</v>
      </c>
      <c r="C5741" t="str">
        <f>"82531661"</f>
        <v>82531661</v>
      </c>
      <c r="D5741" t="s">
        <v>17490</v>
      </c>
      <c r="F5741" t="s">
        <v>17491</v>
      </c>
      <c r="I5741" t="s">
        <v>29</v>
      </c>
      <c r="J5741" t="s">
        <v>30</v>
      </c>
      <c r="K5741" t="s">
        <v>31</v>
      </c>
      <c r="M5741" t="s">
        <v>32</v>
      </c>
      <c r="N5741" t="str">
        <f>"4/8/2010 12:00:00 AM"</f>
        <v>4/8/2010 12:00:00 AM</v>
      </c>
      <c r="O5741" t="s">
        <v>17490</v>
      </c>
    </row>
    <row r="5742" spans="1:20" x14ac:dyDescent="0.25">
      <c r="A5742" t="str">
        <f>"3050966"</f>
        <v>3050966</v>
      </c>
      <c r="B5742" t="s">
        <v>17493</v>
      </c>
      <c r="C5742" t="str">
        <f>"82531528"</f>
        <v>82531528</v>
      </c>
      <c r="D5742" t="s">
        <v>17494</v>
      </c>
      <c r="E5742" t="s">
        <v>17495</v>
      </c>
      <c r="F5742" t="s">
        <v>17496</v>
      </c>
      <c r="I5742" t="s">
        <v>29</v>
      </c>
      <c r="J5742" t="s">
        <v>30</v>
      </c>
      <c r="K5742" t="s">
        <v>31</v>
      </c>
      <c r="M5742" t="s">
        <v>32</v>
      </c>
      <c r="N5742" t="str">
        <f>"2/24/2010 12:00:00 AM"</f>
        <v>2/24/2010 12:00:00 AM</v>
      </c>
      <c r="O5742" t="s">
        <v>17494</v>
      </c>
      <c r="T5742" t="s">
        <v>17495</v>
      </c>
    </row>
    <row r="5743" spans="1:20" x14ac:dyDescent="0.25">
      <c r="A5743" t="str">
        <f>"3056564"</f>
        <v>3056564</v>
      </c>
      <c r="B5743" t="s">
        <v>17497</v>
      </c>
      <c r="C5743" t="str">
        <f>"82531666"</f>
        <v>82531666</v>
      </c>
      <c r="D5743" t="s">
        <v>8892</v>
      </c>
      <c r="F5743" t="s">
        <v>17498</v>
      </c>
      <c r="I5743" t="s">
        <v>29</v>
      </c>
      <c r="J5743" t="s">
        <v>30</v>
      </c>
      <c r="K5743" t="s">
        <v>31</v>
      </c>
      <c r="M5743" t="s">
        <v>32</v>
      </c>
      <c r="N5743" t="str">
        <f>"4/14/2010 12:00:00 AM"</f>
        <v>4/14/2010 12:00:00 AM</v>
      </c>
      <c r="O5743" t="s">
        <v>8892</v>
      </c>
    </row>
    <row r="5744" spans="1:20" x14ac:dyDescent="0.25">
      <c r="A5744" t="str">
        <f>"3078958"</f>
        <v>3078958</v>
      </c>
      <c r="B5744" t="s">
        <v>17499</v>
      </c>
      <c r="C5744" t="str">
        <f>"82531987"</f>
        <v>82531987</v>
      </c>
      <c r="D5744" t="s">
        <v>17500</v>
      </c>
      <c r="E5744" t="s">
        <v>17501</v>
      </c>
      <c r="F5744" t="s">
        <v>17502</v>
      </c>
      <c r="I5744" t="s">
        <v>29</v>
      </c>
      <c r="J5744" t="s">
        <v>30</v>
      </c>
      <c r="K5744" t="s">
        <v>31</v>
      </c>
      <c r="M5744" t="s">
        <v>32</v>
      </c>
      <c r="N5744" t="str">
        <f>"6/10/2010 12:00:00 AM"</f>
        <v>6/10/2010 12:00:00 AM</v>
      </c>
      <c r="O5744" t="s">
        <v>17500</v>
      </c>
      <c r="T5744" t="s">
        <v>17501</v>
      </c>
    </row>
    <row r="5745" spans="1:20" x14ac:dyDescent="0.25">
      <c r="A5745" t="str">
        <f>"3061156"</f>
        <v>3061156</v>
      </c>
      <c r="B5745" t="s">
        <v>17503</v>
      </c>
      <c r="C5745" t="str">
        <f>"82531534"</f>
        <v>82531534</v>
      </c>
      <c r="D5745" t="s">
        <v>17504</v>
      </c>
      <c r="F5745" t="s">
        <v>17505</v>
      </c>
      <c r="I5745" t="s">
        <v>2071</v>
      </c>
      <c r="J5745" t="s">
        <v>30</v>
      </c>
      <c r="K5745" t="s">
        <v>185</v>
      </c>
      <c r="M5745" t="s">
        <v>32</v>
      </c>
      <c r="N5745" t="str">
        <f>"2/24/2010 12:00:00 AM"</f>
        <v>2/24/2010 12:00:00 AM</v>
      </c>
      <c r="O5745" t="s">
        <v>17504</v>
      </c>
    </row>
    <row r="5746" spans="1:20" x14ac:dyDescent="0.25">
      <c r="A5746" t="str">
        <f>"3048966"</f>
        <v>3048966</v>
      </c>
      <c r="B5746" t="s">
        <v>17506</v>
      </c>
      <c r="C5746" t="str">
        <f>"82531683"</f>
        <v>82531683</v>
      </c>
      <c r="D5746" t="s">
        <v>17507</v>
      </c>
      <c r="E5746" t="s">
        <v>17508</v>
      </c>
      <c r="F5746" t="s">
        <v>17509</v>
      </c>
      <c r="I5746" t="s">
        <v>17510</v>
      </c>
      <c r="J5746" t="s">
        <v>17511</v>
      </c>
      <c r="K5746" t="s">
        <v>17512</v>
      </c>
      <c r="M5746" t="s">
        <v>32</v>
      </c>
      <c r="N5746" t="str">
        <f>"1/28/2011 12:00:00 AM"</f>
        <v>1/28/2011 12:00:00 AM</v>
      </c>
      <c r="O5746" t="s">
        <v>17507</v>
      </c>
      <c r="T5746" t="s">
        <v>17508</v>
      </c>
    </row>
    <row r="5747" spans="1:20" x14ac:dyDescent="0.25">
      <c r="A5747" t="str">
        <f>"3058536"</f>
        <v>3058536</v>
      </c>
      <c r="B5747" t="s">
        <v>17513</v>
      </c>
      <c r="C5747" t="str">
        <f>"82532014"</f>
        <v>82532014</v>
      </c>
      <c r="D5747" t="s">
        <v>17514</v>
      </c>
      <c r="F5747" t="s">
        <v>17515</v>
      </c>
      <c r="I5747" t="s">
        <v>2589</v>
      </c>
      <c r="J5747" t="s">
        <v>30</v>
      </c>
      <c r="K5747" t="s">
        <v>11780</v>
      </c>
      <c r="M5747" t="s">
        <v>32</v>
      </c>
      <c r="N5747" t="str">
        <f>"6/22/2010 12:00:00 AM"</f>
        <v>6/22/2010 12:00:00 AM</v>
      </c>
      <c r="O5747" t="s">
        <v>17514</v>
      </c>
    </row>
    <row r="5748" spans="1:20" x14ac:dyDescent="0.25">
      <c r="A5748" t="str">
        <f>"3058550"</f>
        <v>3058550</v>
      </c>
      <c r="B5748" t="s">
        <v>17516</v>
      </c>
      <c r="C5748" t="str">
        <f>"82532014"</f>
        <v>82532014</v>
      </c>
      <c r="D5748" t="s">
        <v>17514</v>
      </c>
      <c r="F5748" t="s">
        <v>17515</v>
      </c>
      <c r="I5748" t="s">
        <v>2589</v>
      </c>
      <c r="J5748" t="s">
        <v>30</v>
      </c>
      <c r="K5748" t="s">
        <v>11780</v>
      </c>
      <c r="M5748" t="s">
        <v>32</v>
      </c>
      <c r="N5748" t="str">
        <f>"6/22/2010 12:00:00 AM"</f>
        <v>6/22/2010 12:00:00 AM</v>
      </c>
      <c r="O5748" t="s">
        <v>17514</v>
      </c>
    </row>
    <row r="5749" spans="1:20" x14ac:dyDescent="0.25">
      <c r="A5749" t="str">
        <f>"3060855"</f>
        <v>3060855</v>
      </c>
      <c r="B5749" t="s">
        <v>17517</v>
      </c>
      <c r="C5749" t="str">
        <f>"82531689"</f>
        <v>82531689</v>
      </c>
      <c r="D5749" t="s">
        <v>17518</v>
      </c>
      <c r="E5749" t="s">
        <v>17519</v>
      </c>
      <c r="F5749" t="s">
        <v>17520</v>
      </c>
      <c r="I5749" t="s">
        <v>184</v>
      </c>
      <c r="J5749" t="s">
        <v>30</v>
      </c>
      <c r="K5749" t="s">
        <v>185</v>
      </c>
      <c r="M5749" t="s">
        <v>32</v>
      </c>
      <c r="N5749" t="str">
        <f>"4/19/2010 12:00:00 AM"</f>
        <v>4/19/2010 12:00:00 AM</v>
      </c>
      <c r="O5749" t="s">
        <v>17518</v>
      </c>
      <c r="T5749" t="s">
        <v>17519</v>
      </c>
    </row>
    <row r="5750" spans="1:20" x14ac:dyDescent="0.25">
      <c r="A5750" t="str">
        <f>"3042318"</f>
        <v>3042318</v>
      </c>
      <c r="B5750" t="s">
        <v>17521</v>
      </c>
      <c r="C5750" t="str">
        <f>"82531695"</f>
        <v>82531695</v>
      </c>
      <c r="D5750" t="s">
        <v>17522</v>
      </c>
      <c r="E5750" t="s">
        <v>17523</v>
      </c>
      <c r="F5750" t="s">
        <v>17524</v>
      </c>
      <c r="I5750" t="s">
        <v>29</v>
      </c>
      <c r="J5750" t="s">
        <v>30</v>
      </c>
      <c r="K5750" t="s">
        <v>31</v>
      </c>
      <c r="M5750" t="s">
        <v>32</v>
      </c>
      <c r="N5750" t="str">
        <f>"4/20/2010 12:00:00 AM"</f>
        <v>4/20/2010 12:00:00 AM</v>
      </c>
      <c r="O5750" t="s">
        <v>17522</v>
      </c>
      <c r="T5750" t="s">
        <v>17523</v>
      </c>
    </row>
    <row r="5751" spans="1:20" x14ac:dyDescent="0.25">
      <c r="A5751" t="str">
        <f>"3060568"</f>
        <v>3060568</v>
      </c>
      <c r="B5751" t="s">
        <v>17525</v>
      </c>
      <c r="C5751" t="str">
        <f>"82531723"</f>
        <v>82531723</v>
      </c>
      <c r="D5751" t="s">
        <v>17526</v>
      </c>
      <c r="F5751" t="s">
        <v>17527</v>
      </c>
      <c r="I5751" t="s">
        <v>2071</v>
      </c>
      <c r="J5751" t="s">
        <v>30</v>
      </c>
      <c r="K5751" t="s">
        <v>185</v>
      </c>
      <c r="M5751" t="s">
        <v>32</v>
      </c>
      <c r="N5751" t="str">
        <f>"4/30/2010 12:00:00 AM"</f>
        <v>4/30/2010 12:00:00 AM</v>
      </c>
      <c r="O5751" t="s">
        <v>17526</v>
      </c>
    </row>
    <row r="5752" spans="1:20" x14ac:dyDescent="0.25">
      <c r="A5752" t="str">
        <f>"3062833"</f>
        <v>3062833</v>
      </c>
      <c r="B5752" t="s">
        <v>17528</v>
      </c>
      <c r="C5752" t="str">
        <f>"82531739"</f>
        <v>82531739</v>
      </c>
      <c r="D5752" t="s">
        <v>17529</v>
      </c>
      <c r="F5752" t="s">
        <v>17530</v>
      </c>
      <c r="I5752" t="s">
        <v>29</v>
      </c>
      <c r="J5752" t="s">
        <v>30</v>
      </c>
      <c r="K5752" t="s">
        <v>31</v>
      </c>
      <c r="M5752" t="s">
        <v>32</v>
      </c>
      <c r="N5752" t="str">
        <f>"5/3/2010 12:00:00 AM"</f>
        <v>5/3/2010 12:00:00 AM</v>
      </c>
      <c r="O5752" t="s">
        <v>17529</v>
      </c>
    </row>
    <row r="5753" spans="1:20" x14ac:dyDescent="0.25">
      <c r="A5753" t="str">
        <f>"3040570"</f>
        <v>3040570</v>
      </c>
      <c r="B5753" t="s">
        <v>17531</v>
      </c>
      <c r="C5753" t="str">
        <f>"82531747"</f>
        <v>82531747</v>
      </c>
      <c r="D5753" t="s">
        <v>17532</v>
      </c>
      <c r="E5753" t="s">
        <v>17533</v>
      </c>
      <c r="F5753" t="s">
        <v>17534</v>
      </c>
      <c r="I5753" t="s">
        <v>184</v>
      </c>
      <c r="J5753" t="s">
        <v>30</v>
      </c>
      <c r="K5753" t="s">
        <v>185</v>
      </c>
      <c r="M5753" t="s">
        <v>32</v>
      </c>
      <c r="N5753" t="str">
        <f>"5/3/2010 12:00:00 AM"</f>
        <v>5/3/2010 12:00:00 AM</v>
      </c>
      <c r="O5753" t="s">
        <v>17532</v>
      </c>
      <c r="T5753" t="s">
        <v>17533</v>
      </c>
    </row>
    <row r="5754" spans="1:20" x14ac:dyDescent="0.25">
      <c r="A5754" t="str">
        <f>"3053714"</f>
        <v>3053714</v>
      </c>
      <c r="B5754" t="s">
        <v>17535</v>
      </c>
      <c r="C5754" t="str">
        <f>"82531755"</f>
        <v>82531755</v>
      </c>
      <c r="D5754" t="s">
        <v>17536</v>
      </c>
      <c r="F5754" t="s">
        <v>17537</v>
      </c>
      <c r="I5754" t="s">
        <v>29</v>
      </c>
      <c r="J5754" t="s">
        <v>30</v>
      </c>
      <c r="K5754" t="s">
        <v>31</v>
      </c>
      <c r="M5754" t="s">
        <v>32</v>
      </c>
      <c r="N5754" t="str">
        <f>"1/14/2011 12:00:00 AM"</f>
        <v>1/14/2011 12:00:00 AM</v>
      </c>
      <c r="O5754" t="s">
        <v>17536</v>
      </c>
    </row>
    <row r="5755" spans="1:20" x14ac:dyDescent="0.25">
      <c r="A5755" t="str">
        <f>"3047617"</f>
        <v>3047617</v>
      </c>
      <c r="B5755" t="s">
        <v>17538</v>
      </c>
      <c r="C5755" t="str">
        <f>"82531772"</f>
        <v>82531772</v>
      </c>
      <c r="D5755" t="s">
        <v>17539</v>
      </c>
      <c r="F5755" t="s">
        <v>17540</v>
      </c>
      <c r="I5755" t="s">
        <v>1149</v>
      </c>
      <c r="J5755" t="s">
        <v>30</v>
      </c>
      <c r="K5755" t="s">
        <v>1150</v>
      </c>
      <c r="M5755" t="s">
        <v>32</v>
      </c>
      <c r="N5755" t="str">
        <f>"5/10/2010 12:00:00 AM"</f>
        <v>5/10/2010 12:00:00 AM</v>
      </c>
      <c r="O5755" t="s">
        <v>17539</v>
      </c>
    </row>
    <row r="5756" spans="1:20" x14ac:dyDescent="0.25">
      <c r="A5756" t="str">
        <f>"3058479"</f>
        <v>3058479</v>
      </c>
      <c r="B5756" t="s">
        <v>17541</v>
      </c>
      <c r="C5756" t="str">
        <f>"82531797"</f>
        <v>82531797</v>
      </c>
      <c r="D5756" t="s">
        <v>17542</v>
      </c>
      <c r="F5756" t="s">
        <v>15841</v>
      </c>
      <c r="G5756" t="s">
        <v>17543</v>
      </c>
      <c r="I5756" t="s">
        <v>29</v>
      </c>
      <c r="J5756" t="s">
        <v>30</v>
      </c>
      <c r="K5756" t="s">
        <v>31</v>
      </c>
      <c r="M5756" t="s">
        <v>32</v>
      </c>
      <c r="N5756" t="str">
        <f>"5/12/2010 12:00:00 AM"</f>
        <v>5/12/2010 12:00:00 AM</v>
      </c>
      <c r="O5756" t="s">
        <v>17542</v>
      </c>
    </row>
    <row r="5757" spans="1:20" x14ac:dyDescent="0.25">
      <c r="A5757" t="str">
        <f>"3048852"</f>
        <v>3048852</v>
      </c>
      <c r="B5757" t="s">
        <v>17544</v>
      </c>
      <c r="C5757" t="str">
        <f>"82531799"</f>
        <v>82531799</v>
      </c>
      <c r="D5757" t="s">
        <v>17545</v>
      </c>
      <c r="F5757" t="s">
        <v>17546</v>
      </c>
      <c r="I5757" t="s">
        <v>29</v>
      </c>
      <c r="J5757" t="s">
        <v>30</v>
      </c>
      <c r="K5757" t="s">
        <v>31</v>
      </c>
      <c r="M5757" t="s">
        <v>32</v>
      </c>
      <c r="N5757" t="str">
        <f>"1/13/2011 12:00:00 AM"</f>
        <v>1/13/2011 12:00:00 AM</v>
      </c>
      <c r="O5757" t="s">
        <v>17545</v>
      </c>
    </row>
    <row r="5758" spans="1:20" x14ac:dyDescent="0.25">
      <c r="A5758" t="str">
        <f>"3059257"</f>
        <v>3059257</v>
      </c>
      <c r="B5758" t="s">
        <v>17547</v>
      </c>
      <c r="C5758" t="str">
        <f>"82531816"</f>
        <v>82531816</v>
      </c>
      <c r="D5758" t="s">
        <v>17548</v>
      </c>
      <c r="F5758" t="s">
        <v>17549</v>
      </c>
      <c r="I5758" t="s">
        <v>29</v>
      </c>
      <c r="J5758" t="s">
        <v>30</v>
      </c>
      <c r="K5758" t="s">
        <v>31</v>
      </c>
      <c r="M5758" t="s">
        <v>32</v>
      </c>
      <c r="N5758" t="str">
        <f>"5/13/2010 12:00:00 AM"</f>
        <v>5/13/2010 12:00:00 AM</v>
      </c>
      <c r="O5758" t="s">
        <v>17548</v>
      </c>
    </row>
    <row r="5759" spans="1:20" x14ac:dyDescent="0.25">
      <c r="A5759" t="str">
        <f>"3037915"</f>
        <v>3037915</v>
      </c>
      <c r="B5759" t="s">
        <v>17550</v>
      </c>
      <c r="C5759" t="str">
        <f>"82531884"</f>
        <v>82531884</v>
      </c>
      <c r="D5759" t="s">
        <v>17184</v>
      </c>
      <c r="F5759" t="s">
        <v>17551</v>
      </c>
      <c r="I5759" t="s">
        <v>29</v>
      </c>
      <c r="J5759" t="s">
        <v>30</v>
      </c>
      <c r="K5759" t="s">
        <v>31</v>
      </c>
      <c r="M5759" t="s">
        <v>32</v>
      </c>
      <c r="N5759" t="str">
        <f>"5/27/2010 12:00:00 AM"</f>
        <v>5/27/2010 12:00:00 AM</v>
      </c>
      <c r="O5759" t="s">
        <v>17184</v>
      </c>
    </row>
    <row r="5760" spans="1:20" x14ac:dyDescent="0.25">
      <c r="A5760" t="str">
        <f>"3046516"</f>
        <v>3046516</v>
      </c>
      <c r="B5760" t="s">
        <v>17552</v>
      </c>
      <c r="C5760" t="str">
        <f>"82532076"</f>
        <v>82532076</v>
      </c>
      <c r="D5760" t="s">
        <v>17553</v>
      </c>
      <c r="E5760" t="s">
        <v>17554</v>
      </c>
      <c r="F5760" t="s">
        <v>17555</v>
      </c>
      <c r="I5760" t="s">
        <v>29</v>
      </c>
      <c r="J5760" t="s">
        <v>30</v>
      </c>
      <c r="K5760" t="s">
        <v>31</v>
      </c>
      <c r="M5760" t="s">
        <v>32</v>
      </c>
      <c r="N5760" t="str">
        <f>"9/9/2010 12:00:00 AM"</f>
        <v>9/9/2010 12:00:00 AM</v>
      </c>
      <c r="O5760" t="s">
        <v>17553</v>
      </c>
      <c r="T5760" t="s">
        <v>17554</v>
      </c>
    </row>
    <row r="5761" spans="1:20" x14ac:dyDescent="0.25">
      <c r="A5761" t="str">
        <f>"3043391"</f>
        <v>3043391</v>
      </c>
      <c r="B5761" t="s">
        <v>17556</v>
      </c>
      <c r="C5761" t="str">
        <f>"82531893"</f>
        <v>82531893</v>
      </c>
      <c r="D5761" t="s">
        <v>17557</v>
      </c>
      <c r="E5761" t="s">
        <v>17558</v>
      </c>
      <c r="F5761" t="s">
        <v>17559</v>
      </c>
      <c r="I5761" t="s">
        <v>29</v>
      </c>
      <c r="J5761" t="s">
        <v>30</v>
      </c>
      <c r="K5761" t="s">
        <v>31</v>
      </c>
      <c r="M5761" t="s">
        <v>32</v>
      </c>
      <c r="N5761" t="str">
        <f>"6/4/2010 12:00:00 AM"</f>
        <v>6/4/2010 12:00:00 AM</v>
      </c>
      <c r="O5761" t="s">
        <v>17557</v>
      </c>
      <c r="T5761" t="s">
        <v>17558</v>
      </c>
    </row>
    <row r="5762" spans="1:20" x14ac:dyDescent="0.25">
      <c r="A5762" t="str">
        <f>"3067339"</f>
        <v>3067339</v>
      </c>
      <c r="B5762" t="s">
        <v>17560</v>
      </c>
      <c r="C5762" t="str">
        <f>"82532079"</f>
        <v>82532079</v>
      </c>
      <c r="D5762" t="s">
        <v>17561</v>
      </c>
      <c r="F5762" t="s">
        <v>17562</v>
      </c>
      <c r="I5762" t="s">
        <v>29</v>
      </c>
      <c r="J5762" t="s">
        <v>30</v>
      </c>
      <c r="K5762" t="s">
        <v>31</v>
      </c>
      <c r="M5762" t="s">
        <v>32</v>
      </c>
      <c r="N5762" t="str">
        <f>"7/12/2010 12:00:00 AM"</f>
        <v>7/12/2010 12:00:00 AM</v>
      </c>
      <c r="O5762" t="s">
        <v>17561</v>
      </c>
    </row>
    <row r="5763" spans="1:20" x14ac:dyDescent="0.25">
      <c r="A5763" t="str">
        <f>"3054544"</f>
        <v>3054544</v>
      </c>
      <c r="B5763" t="s">
        <v>17563</v>
      </c>
      <c r="C5763" t="str">
        <f>"82532079"</f>
        <v>82532079</v>
      </c>
      <c r="D5763" t="s">
        <v>17561</v>
      </c>
      <c r="F5763" t="s">
        <v>17562</v>
      </c>
      <c r="I5763" t="s">
        <v>29</v>
      </c>
      <c r="J5763" t="s">
        <v>30</v>
      </c>
      <c r="K5763" t="s">
        <v>31</v>
      </c>
      <c r="M5763" t="s">
        <v>32</v>
      </c>
      <c r="N5763" t="str">
        <f>"7/12/2010 12:00:00 AM"</f>
        <v>7/12/2010 12:00:00 AM</v>
      </c>
      <c r="O5763" t="s">
        <v>17561</v>
      </c>
    </row>
    <row r="5764" spans="1:20" x14ac:dyDescent="0.25">
      <c r="A5764" t="str">
        <f>"3059060"</f>
        <v>3059060</v>
      </c>
      <c r="B5764" t="s">
        <v>17564</v>
      </c>
      <c r="C5764" t="str">
        <f>"82531957"</f>
        <v>82531957</v>
      </c>
      <c r="D5764" t="s">
        <v>17565</v>
      </c>
      <c r="E5764" t="s">
        <v>17566</v>
      </c>
      <c r="F5764" t="s">
        <v>17567</v>
      </c>
      <c r="I5764" t="s">
        <v>29</v>
      </c>
      <c r="J5764" t="s">
        <v>30</v>
      </c>
      <c r="K5764" t="s">
        <v>31</v>
      </c>
      <c r="M5764" t="s">
        <v>32</v>
      </c>
      <c r="N5764" t="str">
        <f t="shared" ref="N5764:N5769" si="80">"6/9/2010 12:00:00 AM"</f>
        <v>6/9/2010 12:00:00 AM</v>
      </c>
      <c r="O5764" t="s">
        <v>17565</v>
      </c>
      <c r="T5764" t="s">
        <v>17566</v>
      </c>
    </row>
    <row r="5765" spans="1:20" x14ac:dyDescent="0.25">
      <c r="A5765" t="str">
        <f>"3041322"</f>
        <v>3041322</v>
      </c>
      <c r="B5765" t="s">
        <v>17568</v>
      </c>
      <c r="C5765" t="str">
        <f>"82531961"</f>
        <v>82531961</v>
      </c>
      <c r="D5765" t="s">
        <v>17569</v>
      </c>
      <c r="F5765" t="s">
        <v>17570</v>
      </c>
      <c r="I5765" t="s">
        <v>184</v>
      </c>
      <c r="J5765" t="s">
        <v>30</v>
      </c>
      <c r="K5765" t="s">
        <v>185</v>
      </c>
      <c r="M5765" t="s">
        <v>32</v>
      </c>
      <c r="N5765" t="str">
        <f t="shared" si="80"/>
        <v>6/9/2010 12:00:00 AM</v>
      </c>
      <c r="O5765" t="s">
        <v>17569</v>
      </c>
    </row>
    <row r="5766" spans="1:20" x14ac:dyDescent="0.25">
      <c r="A5766" t="str">
        <f>"3048942"</f>
        <v>3048942</v>
      </c>
      <c r="B5766" t="s">
        <v>17571</v>
      </c>
      <c r="C5766" t="str">
        <f>"82531972"</f>
        <v>82531972</v>
      </c>
      <c r="D5766" t="s">
        <v>17572</v>
      </c>
      <c r="F5766" t="s">
        <v>17573</v>
      </c>
      <c r="I5766" t="s">
        <v>29</v>
      </c>
      <c r="J5766" t="s">
        <v>30</v>
      </c>
      <c r="K5766" t="s">
        <v>31</v>
      </c>
      <c r="M5766" t="s">
        <v>32</v>
      </c>
      <c r="N5766" t="str">
        <f t="shared" si="80"/>
        <v>6/9/2010 12:00:00 AM</v>
      </c>
      <c r="O5766" t="s">
        <v>17572</v>
      </c>
    </row>
    <row r="5767" spans="1:20" x14ac:dyDescent="0.25">
      <c r="A5767" t="str">
        <f>"3058142"</f>
        <v>3058142</v>
      </c>
      <c r="B5767" t="s">
        <v>17574</v>
      </c>
      <c r="C5767" t="str">
        <f>"82531973"</f>
        <v>82531973</v>
      </c>
      <c r="D5767" t="s">
        <v>17575</v>
      </c>
      <c r="E5767" t="s">
        <v>17576</v>
      </c>
      <c r="F5767" t="s">
        <v>17577</v>
      </c>
      <c r="I5767" t="s">
        <v>29</v>
      </c>
      <c r="J5767" t="s">
        <v>30</v>
      </c>
      <c r="K5767" t="s">
        <v>31</v>
      </c>
      <c r="M5767" t="s">
        <v>32</v>
      </c>
      <c r="N5767" t="str">
        <f t="shared" si="80"/>
        <v>6/9/2010 12:00:00 AM</v>
      </c>
      <c r="O5767" t="s">
        <v>17575</v>
      </c>
      <c r="T5767" t="s">
        <v>17576</v>
      </c>
    </row>
    <row r="5768" spans="1:20" x14ac:dyDescent="0.25">
      <c r="A5768" t="str">
        <f>"3044859"</f>
        <v>3044859</v>
      </c>
      <c r="B5768" t="s">
        <v>17578</v>
      </c>
      <c r="C5768" t="str">
        <f>"82531976"</f>
        <v>82531976</v>
      </c>
      <c r="D5768" t="s">
        <v>17579</v>
      </c>
      <c r="E5768" t="s">
        <v>17580</v>
      </c>
      <c r="F5768" t="s">
        <v>17581</v>
      </c>
      <c r="I5768" t="s">
        <v>184</v>
      </c>
      <c r="J5768" t="s">
        <v>30</v>
      </c>
      <c r="K5768" t="s">
        <v>185</v>
      </c>
      <c r="M5768" t="s">
        <v>32</v>
      </c>
      <c r="N5768" t="str">
        <f t="shared" si="80"/>
        <v>6/9/2010 12:00:00 AM</v>
      </c>
      <c r="O5768" t="s">
        <v>17579</v>
      </c>
      <c r="T5768" t="s">
        <v>17580</v>
      </c>
    </row>
    <row r="5769" spans="1:20" x14ac:dyDescent="0.25">
      <c r="A5769" t="str">
        <f>"3049931"</f>
        <v>3049931</v>
      </c>
      <c r="B5769" t="s">
        <v>17582</v>
      </c>
      <c r="C5769" t="str">
        <f>"82531963"</f>
        <v>82531963</v>
      </c>
      <c r="D5769" t="s">
        <v>17583</v>
      </c>
      <c r="E5769" t="s">
        <v>17584</v>
      </c>
      <c r="F5769" t="s">
        <v>17585</v>
      </c>
      <c r="I5769" t="s">
        <v>29</v>
      </c>
      <c r="J5769" t="s">
        <v>30</v>
      </c>
      <c r="K5769" t="s">
        <v>31</v>
      </c>
      <c r="M5769" t="s">
        <v>32</v>
      </c>
      <c r="N5769" t="str">
        <f t="shared" si="80"/>
        <v>6/9/2010 12:00:00 AM</v>
      </c>
      <c r="O5769" t="s">
        <v>17583</v>
      </c>
      <c r="T5769" t="s">
        <v>17584</v>
      </c>
    </row>
    <row r="5770" spans="1:20" x14ac:dyDescent="0.25">
      <c r="A5770" t="str">
        <f>"3050071"</f>
        <v>3050071</v>
      </c>
      <c r="B5770" t="s">
        <v>17586</v>
      </c>
      <c r="C5770" t="str">
        <f>"82531987"</f>
        <v>82531987</v>
      </c>
      <c r="D5770" t="s">
        <v>17500</v>
      </c>
      <c r="E5770" t="s">
        <v>17501</v>
      </c>
      <c r="F5770" t="s">
        <v>17502</v>
      </c>
      <c r="I5770" t="s">
        <v>29</v>
      </c>
      <c r="J5770" t="s">
        <v>30</v>
      </c>
      <c r="K5770" t="s">
        <v>31</v>
      </c>
      <c r="M5770" t="s">
        <v>32</v>
      </c>
      <c r="N5770" t="str">
        <f>"6/10/2010 12:00:00 AM"</f>
        <v>6/10/2010 12:00:00 AM</v>
      </c>
      <c r="O5770" t="s">
        <v>17500</v>
      </c>
      <c r="T5770" t="s">
        <v>17501</v>
      </c>
    </row>
    <row r="5771" spans="1:20" x14ac:dyDescent="0.25">
      <c r="A5771" t="str">
        <f>"3050059"</f>
        <v>3050059</v>
      </c>
      <c r="B5771" t="s">
        <v>17587</v>
      </c>
      <c r="C5771" t="str">
        <f>"82531987"</f>
        <v>82531987</v>
      </c>
      <c r="D5771" t="s">
        <v>17500</v>
      </c>
      <c r="E5771" t="s">
        <v>17501</v>
      </c>
      <c r="F5771" t="s">
        <v>17502</v>
      </c>
      <c r="I5771" t="s">
        <v>29</v>
      </c>
      <c r="J5771" t="s">
        <v>30</v>
      </c>
      <c r="K5771" t="s">
        <v>31</v>
      </c>
      <c r="M5771" t="s">
        <v>32</v>
      </c>
      <c r="N5771" t="str">
        <f>"6/10/2010 12:00:00 AM"</f>
        <v>6/10/2010 12:00:00 AM</v>
      </c>
      <c r="O5771" t="s">
        <v>17500</v>
      </c>
      <c r="T5771" t="s">
        <v>17501</v>
      </c>
    </row>
    <row r="5772" spans="1:20" x14ac:dyDescent="0.25">
      <c r="A5772" t="str">
        <f>"3078668"</f>
        <v>3078668</v>
      </c>
      <c r="B5772" t="s">
        <v>17588</v>
      </c>
      <c r="C5772" t="str">
        <f>"82531987"</f>
        <v>82531987</v>
      </c>
      <c r="D5772" t="s">
        <v>17500</v>
      </c>
      <c r="E5772" t="s">
        <v>17501</v>
      </c>
      <c r="F5772" t="s">
        <v>17502</v>
      </c>
      <c r="I5772" t="s">
        <v>29</v>
      </c>
      <c r="J5772" t="s">
        <v>30</v>
      </c>
      <c r="K5772" t="s">
        <v>31</v>
      </c>
      <c r="M5772" t="s">
        <v>32</v>
      </c>
      <c r="N5772" t="str">
        <f>"6/10/2010 12:00:00 AM"</f>
        <v>6/10/2010 12:00:00 AM</v>
      </c>
      <c r="O5772" t="s">
        <v>17500</v>
      </c>
      <c r="T5772" t="s">
        <v>17501</v>
      </c>
    </row>
    <row r="5773" spans="1:20" x14ac:dyDescent="0.25">
      <c r="A5773" t="str">
        <f>"3057551"</f>
        <v>3057551</v>
      </c>
      <c r="B5773" t="s">
        <v>17589</v>
      </c>
      <c r="C5773" t="str">
        <f>"82531997"</f>
        <v>82531997</v>
      </c>
      <c r="D5773" t="s">
        <v>17590</v>
      </c>
      <c r="F5773" t="s">
        <v>17591</v>
      </c>
      <c r="I5773" t="s">
        <v>29</v>
      </c>
      <c r="J5773" t="s">
        <v>30</v>
      </c>
      <c r="K5773" t="s">
        <v>31</v>
      </c>
      <c r="M5773" t="s">
        <v>32</v>
      </c>
      <c r="N5773" t="str">
        <f>"2/7/2011 12:00:00 AM"</f>
        <v>2/7/2011 12:00:00 AM</v>
      </c>
      <c r="O5773" t="s">
        <v>17590</v>
      </c>
    </row>
    <row r="5774" spans="1:20" x14ac:dyDescent="0.25">
      <c r="A5774" t="str">
        <f>"3060096"</f>
        <v>3060096</v>
      </c>
      <c r="B5774" t="s">
        <v>17592</v>
      </c>
      <c r="C5774" t="str">
        <f>"82531673"</f>
        <v>82531673</v>
      </c>
      <c r="D5774" t="s">
        <v>17593</v>
      </c>
      <c r="E5774" t="s">
        <v>17594</v>
      </c>
      <c r="F5774" t="s">
        <v>17595</v>
      </c>
      <c r="I5774" t="s">
        <v>184</v>
      </c>
      <c r="J5774" t="s">
        <v>30</v>
      </c>
      <c r="K5774" t="s">
        <v>185</v>
      </c>
      <c r="M5774" t="s">
        <v>32</v>
      </c>
      <c r="N5774" t="str">
        <f>"4/15/2010 12:00:00 AM"</f>
        <v>4/15/2010 12:00:00 AM</v>
      </c>
      <c r="O5774" t="s">
        <v>17593</v>
      </c>
      <c r="T5774" t="s">
        <v>17594</v>
      </c>
    </row>
    <row r="5775" spans="1:20" x14ac:dyDescent="0.25">
      <c r="A5775" t="str">
        <f>"3050731"</f>
        <v>3050731</v>
      </c>
      <c r="B5775" t="s">
        <v>17596</v>
      </c>
      <c r="C5775" t="str">
        <f>"82532021"</f>
        <v>82532021</v>
      </c>
      <c r="D5775" t="s">
        <v>17597</v>
      </c>
      <c r="E5775" t="s">
        <v>17598</v>
      </c>
      <c r="F5775" t="s">
        <v>17599</v>
      </c>
      <c r="I5775" t="s">
        <v>184</v>
      </c>
      <c r="J5775" t="s">
        <v>30</v>
      </c>
      <c r="K5775" t="s">
        <v>185</v>
      </c>
      <c r="M5775" t="s">
        <v>32</v>
      </c>
      <c r="N5775" t="str">
        <f>"6/24/2010 12:00:00 AM"</f>
        <v>6/24/2010 12:00:00 AM</v>
      </c>
      <c r="O5775" t="s">
        <v>17597</v>
      </c>
      <c r="T5775" t="s">
        <v>17598</v>
      </c>
    </row>
    <row r="5776" spans="1:20" x14ac:dyDescent="0.25">
      <c r="A5776" t="str">
        <f>"3060805"</f>
        <v>3060805</v>
      </c>
      <c r="B5776" t="s">
        <v>17600</v>
      </c>
      <c r="C5776" t="str">
        <f>"82532023"</f>
        <v>82532023</v>
      </c>
      <c r="D5776" t="s">
        <v>17601</v>
      </c>
      <c r="E5776" t="s">
        <v>17602</v>
      </c>
      <c r="F5776" t="s">
        <v>17603</v>
      </c>
      <c r="I5776" t="s">
        <v>184</v>
      </c>
      <c r="J5776" t="s">
        <v>30</v>
      </c>
      <c r="K5776" t="s">
        <v>185</v>
      </c>
      <c r="M5776" t="s">
        <v>32</v>
      </c>
      <c r="N5776" t="str">
        <f>"6/24/2010 12:00:00 AM"</f>
        <v>6/24/2010 12:00:00 AM</v>
      </c>
      <c r="O5776" t="s">
        <v>17601</v>
      </c>
      <c r="T5776" t="s">
        <v>17602</v>
      </c>
    </row>
    <row r="5777" spans="1:20" x14ac:dyDescent="0.25">
      <c r="A5777" t="str">
        <f>"3045651"</f>
        <v>3045651</v>
      </c>
      <c r="B5777" t="s">
        <v>17604</v>
      </c>
      <c r="C5777" t="str">
        <f>"82532039"</f>
        <v>82532039</v>
      </c>
      <c r="D5777" t="s">
        <v>17605</v>
      </c>
      <c r="E5777" t="s">
        <v>17606</v>
      </c>
      <c r="F5777" t="s">
        <v>17607</v>
      </c>
      <c r="I5777" t="s">
        <v>29</v>
      </c>
      <c r="J5777" t="s">
        <v>30</v>
      </c>
      <c r="K5777" t="s">
        <v>31</v>
      </c>
      <c r="M5777" t="s">
        <v>32</v>
      </c>
      <c r="N5777" t="str">
        <f>"6/29/2010 12:00:00 AM"</f>
        <v>6/29/2010 12:00:00 AM</v>
      </c>
      <c r="O5777" t="s">
        <v>17605</v>
      </c>
      <c r="T5777" t="s">
        <v>17606</v>
      </c>
    </row>
    <row r="5778" spans="1:20" x14ac:dyDescent="0.25">
      <c r="A5778" t="str">
        <f>"3060149"</f>
        <v>3060149</v>
      </c>
      <c r="B5778" t="s">
        <v>17608</v>
      </c>
      <c r="C5778" t="str">
        <f>"82532136"</f>
        <v>82532136</v>
      </c>
      <c r="D5778" t="s">
        <v>17609</v>
      </c>
      <c r="E5778" t="s">
        <v>17610</v>
      </c>
      <c r="F5778" t="s">
        <v>17611</v>
      </c>
      <c r="I5778" t="s">
        <v>184</v>
      </c>
      <c r="J5778" t="s">
        <v>30</v>
      </c>
      <c r="K5778" t="s">
        <v>185</v>
      </c>
      <c r="M5778" t="s">
        <v>32</v>
      </c>
      <c r="N5778" t="str">
        <f>"8/2/2010 12:00:00 AM"</f>
        <v>8/2/2010 12:00:00 AM</v>
      </c>
      <c r="O5778" t="s">
        <v>17609</v>
      </c>
      <c r="T5778" t="s">
        <v>17610</v>
      </c>
    </row>
    <row r="5779" spans="1:20" x14ac:dyDescent="0.25">
      <c r="A5779" t="str">
        <f>"3041845"</f>
        <v>3041845</v>
      </c>
      <c r="B5779" t="s">
        <v>17612</v>
      </c>
      <c r="C5779" t="str">
        <f>"82532046"</f>
        <v>82532046</v>
      </c>
      <c r="D5779" t="s">
        <v>17613</v>
      </c>
      <c r="F5779" t="s">
        <v>17614</v>
      </c>
      <c r="I5779" t="s">
        <v>2071</v>
      </c>
      <c r="J5779" t="s">
        <v>30</v>
      </c>
      <c r="K5779" t="s">
        <v>185</v>
      </c>
      <c r="M5779" t="s">
        <v>32</v>
      </c>
      <c r="N5779" t="str">
        <f>"6/29/2010 12:00:00 AM"</f>
        <v>6/29/2010 12:00:00 AM</v>
      </c>
      <c r="O5779" t="s">
        <v>17613</v>
      </c>
    </row>
    <row r="5780" spans="1:20" x14ac:dyDescent="0.25">
      <c r="A5780" t="str">
        <f>"3041261"</f>
        <v>3041261</v>
      </c>
      <c r="B5780" t="s">
        <v>17615</v>
      </c>
      <c r="C5780" t="str">
        <f>"82532050"</f>
        <v>82532050</v>
      </c>
      <c r="D5780" t="s">
        <v>17616</v>
      </c>
      <c r="F5780" t="s">
        <v>17617</v>
      </c>
      <c r="I5780" t="s">
        <v>2071</v>
      </c>
      <c r="J5780" t="s">
        <v>30</v>
      </c>
      <c r="K5780" t="s">
        <v>185</v>
      </c>
      <c r="M5780" t="s">
        <v>32</v>
      </c>
      <c r="N5780" t="str">
        <f>"6/29/2010 12:00:00 AM"</f>
        <v>6/29/2010 12:00:00 AM</v>
      </c>
      <c r="O5780" t="s">
        <v>17616</v>
      </c>
    </row>
    <row r="5781" spans="1:20" x14ac:dyDescent="0.25">
      <c r="A5781" t="str">
        <f>"3049759"</f>
        <v>3049759</v>
      </c>
      <c r="B5781" t="s">
        <v>17618</v>
      </c>
      <c r="C5781" t="str">
        <f>"82532051"</f>
        <v>82532051</v>
      </c>
      <c r="D5781" t="s">
        <v>17619</v>
      </c>
      <c r="F5781" t="s">
        <v>17620</v>
      </c>
      <c r="I5781" t="s">
        <v>402</v>
      </c>
      <c r="J5781" t="s">
        <v>30</v>
      </c>
      <c r="K5781" t="s">
        <v>403</v>
      </c>
      <c r="M5781" t="s">
        <v>32</v>
      </c>
      <c r="N5781" t="str">
        <f>"6/29/2010 12:00:00 AM"</f>
        <v>6/29/2010 12:00:00 AM</v>
      </c>
      <c r="O5781" t="s">
        <v>17619</v>
      </c>
    </row>
    <row r="5782" spans="1:20" x14ac:dyDescent="0.25">
      <c r="A5782" t="str">
        <f>"3041780"</f>
        <v>3041780</v>
      </c>
      <c r="B5782" t="s">
        <v>17621</v>
      </c>
      <c r="C5782" t="str">
        <f>"82532053"</f>
        <v>82532053</v>
      </c>
      <c r="D5782" t="s">
        <v>17622</v>
      </c>
      <c r="E5782" t="s">
        <v>17623</v>
      </c>
      <c r="F5782" t="s">
        <v>17624</v>
      </c>
      <c r="I5782" t="s">
        <v>2071</v>
      </c>
      <c r="J5782" t="s">
        <v>30</v>
      </c>
      <c r="K5782" t="s">
        <v>185</v>
      </c>
      <c r="M5782" t="s">
        <v>32</v>
      </c>
      <c r="N5782" t="str">
        <f>"6/29/2010 12:00:00 AM"</f>
        <v>6/29/2010 12:00:00 AM</v>
      </c>
      <c r="O5782" t="s">
        <v>17622</v>
      </c>
      <c r="T5782" t="s">
        <v>17623</v>
      </c>
    </row>
    <row r="5783" spans="1:20" x14ac:dyDescent="0.25">
      <c r="A5783" t="str">
        <f>"3058272"</f>
        <v>3058272</v>
      </c>
      <c r="B5783" t="s">
        <v>17625</v>
      </c>
      <c r="C5783" t="str">
        <f>"82532057"</f>
        <v>82532057</v>
      </c>
      <c r="D5783" t="s">
        <v>17626</v>
      </c>
      <c r="E5783" t="s">
        <v>17627</v>
      </c>
      <c r="F5783" t="s">
        <v>17628</v>
      </c>
      <c r="I5783" t="s">
        <v>29</v>
      </c>
      <c r="J5783" t="s">
        <v>30</v>
      </c>
      <c r="K5783" t="s">
        <v>31</v>
      </c>
      <c r="M5783" t="s">
        <v>32</v>
      </c>
      <c r="N5783" t="str">
        <f>"7/7/2010 12:00:00 AM"</f>
        <v>7/7/2010 12:00:00 AM</v>
      </c>
      <c r="O5783" t="s">
        <v>17626</v>
      </c>
      <c r="T5783" t="s">
        <v>17627</v>
      </c>
    </row>
    <row r="5784" spans="1:20" x14ac:dyDescent="0.25">
      <c r="A5784" t="str">
        <f>"3062437"</f>
        <v>3062437</v>
      </c>
      <c r="B5784" t="s">
        <v>17629</v>
      </c>
      <c r="C5784" t="str">
        <f>"82532067"</f>
        <v>82532067</v>
      </c>
      <c r="D5784" t="s">
        <v>17630</v>
      </c>
      <c r="E5784" t="s">
        <v>17631</v>
      </c>
      <c r="F5784" t="s">
        <v>17632</v>
      </c>
      <c r="I5784" t="s">
        <v>2071</v>
      </c>
      <c r="J5784" t="s">
        <v>30</v>
      </c>
      <c r="K5784" t="s">
        <v>185</v>
      </c>
      <c r="M5784" t="s">
        <v>32</v>
      </c>
      <c r="N5784" t="str">
        <f>"7/8/2010 12:00:00 AM"</f>
        <v>7/8/2010 12:00:00 AM</v>
      </c>
      <c r="O5784" t="s">
        <v>17630</v>
      </c>
      <c r="T5784" t="s">
        <v>17631</v>
      </c>
    </row>
    <row r="5785" spans="1:20" x14ac:dyDescent="0.25">
      <c r="A5785" t="str">
        <f>"3044610"</f>
        <v>3044610</v>
      </c>
      <c r="B5785" t="s">
        <v>17633</v>
      </c>
      <c r="C5785" t="str">
        <f>"82532072"</f>
        <v>82532072</v>
      </c>
      <c r="D5785" t="s">
        <v>17634</v>
      </c>
      <c r="E5785" t="s">
        <v>17635</v>
      </c>
      <c r="F5785" t="s">
        <v>17636</v>
      </c>
      <c r="I5785" t="s">
        <v>184</v>
      </c>
      <c r="J5785" t="s">
        <v>30</v>
      </c>
      <c r="K5785" t="s">
        <v>185</v>
      </c>
      <c r="M5785" t="s">
        <v>32</v>
      </c>
      <c r="N5785" t="str">
        <f>"7/12/2010 12:00:00 AM"</f>
        <v>7/12/2010 12:00:00 AM</v>
      </c>
      <c r="O5785" t="s">
        <v>17634</v>
      </c>
      <c r="T5785" t="s">
        <v>17635</v>
      </c>
    </row>
    <row r="5786" spans="1:20" x14ac:dyDescent="0.25">
      <c r="A5786" t="str">
        <f>"3046492"</f>
        <v>3046492</v>
      </c>
      <c r="B5786" t="s">
        <v>17637</v>
      </c>
      <c r="C5786" t="str">
        <f>"82532076"</f>
        <v>82532076</v>
      </c>
      <c r="D5786" t="s">
        <v>17553</v>
      </c>
      <c r="E5786" t="s">
        <v>17554</v>
      </c>
      <c r="F5786" t="s">
        <v>17555</v>
      </c>
      <c r="I5786" t="s">
        <v>29</v>
      </c>
      <c r="J5786" t="s">
        <v>30</v>
      </c>
      <c r="K5786" t="s">
        <v>31</v>
      </c>
      <c r="M5786" t="s">
        <v>32</v>
      </c>
      <c r="N5786" t="str">
        <f>"9/9/2010 12:00:00 AM"</f>
        <v>9/9/2010 12:00:00 AM</v>
      </c>
      <c r="O5786" t="s">
        <v>17553</v>
      </c>
      <c r="T5786" t="s">
        <v>17554</v>
      </c>
    </row>
    <row r="5787" spans="1:20" x14ac:dyDescent="0.25">
      <c r="A5787" t="str">
        <f>"3069263"</f>
        <v>3069263</v>
      </c>
      <c r="B5787" t="s">
        <v>17638</v>
      </c>
      <c r="C5787" t="str">
        <f>"82532078"</f>
        <v>82532078</v>
      </c>
      <c r="D5787" t="s">
        <v>17639</v>
      </c>
      <c r="F5787" t="s">
        <v>17640</v>
      </c>
      <c r="I5787" t="s">
        <v>29</v>
      </c>
      <c r="J5787" t="s">
        <v>30</v>
      </c>
      <c r="K5787" t="s">
        <v>31</v>
      </c>
      <c r="M5787" t="s">
        <v>32</v>
      </c>
      <c r="N5787" t="str">
        <f>"7/12/2010 12:00:00 AM"</f>
        <v>7/12/2010 12:00:00 AM</v>
      </c>
      <c r="O5787" t="s">
        <v>17639</v>
      </c>
    </row>
    <row r="5788" spans="1:20" x14ac:dyDescent="0.25">
      <c r="A5788" t="str">
        <f>"3058526"</f>
        <v>3058526</v>
      </c>
      <c r="B5788" t="s">
        <v>17641</v>
      </c>
      <c r="C5788" t="str">
        <f>"82532014"</f>
        <v>82532014</v>
      </c>
      <c r="D5788" t="s">
        <v>17514</v>
      </c>
      <c r="F5788" t="s">
        <v>17515</v>
      </c>
      <c r="I5788" t="s">
        <v>2589</v>
      </c>
      <c r="J5788" t="s">
        <v>30</v>
      </c>
      <c r="K5788" t="s">
        <v>11780</v>
      </c>
      <c r="M5788" t="s">
        <v>32</v>
      </c>
      <c r="N5788" t="str">
        <f>"6/22/2010 12:00:00 AM"</f>
        <v>6/22/2010 12:00:00 AM</v>
      </c>
      <c r="O5788" t="s">
        <v>17514</v>
      </c>
    </row>
    <row r="5789" spans="1:20" x14ac:dyDescent="0.25">
      <c r="A5789" t="str">
        <f>"3051588"</f>
        <v>3051588</v>
      </c>
      <c r="B5789" t="s">
        <v>17642</v>
      </c>
      <c r="C5789" t="str">
        <f>"82532114"</f>
        <v>82532114</v>
      </c>
      <c r="D5789" t="s">
        <v>12832</v>
      </c>
      <c r="F5789" t="s">
        <v>12834</v>
      </c>
      <c r="I5789" t="s">
        <v>29</v>
      </c>
      <c r="J5789" t="s">
        <v>30</v>
      </c>
      <c r="K5789" t="s">
        <v>31</v>
      </c>
      <c r="M5789" t="s">
        <v>32</v>
      </c>
      <c r="N5789" t="str">
        <f>"7/27/2010 12:00:00 AM"</f>
        <v>7/27/2010 12:00:00 AM</v>
      </c>
      <c r="O5789" t="s">
        <v>12832</v>
      </c>
    </row>
    <row r="5790" spans="1:20" x14ac:dyDescent="0.25">
      <c r="A5790" t="str">
        <f>"3061735"</f>
        <v>3061735</v>
      </c>
      <c r="B5790" t="s">
        <v>17643</v>
      </c>
      <c r="C5790" t="str">
        <f>"82532135"</f>
        <v>82532135</v>
      </c>
      <c r="D5790" t="s">
        <v>17644</v>
      </c>
      <c r="F5790" t="s">
        <v>17645</v>
      </c>
      <c r="I5790" t="s">
        <v>2071</v>
      </c>
      <c r="J5790" t="s">
        <v>30</v>
      </c>
      <c r="K5790" t="s">
        <v>185</v>
      </c>
      <c r="M5790" t="s">
        <v>32</v>
      </c>
      <c r="N5790" t="str">
        <f>"8/2/2010 12:00:00 AM"</f>
        <v>8/2/2010 12:00:00 AM</v>
      </c>
      <c r="O5790" t="s">
        <v>17644</v>
      </c>
    </row>
    <row r="5791" spans="1:20" x14ac:dyDescent="0.25">
      <c r="A5791" t="str">
        <f>"3049865"</f>
        <v>3049865</v>
      </c>
      <c r="B5791" t="s">
        <v>17646</v>
      </c>
      <c r="C5791" t="str">
        <f>"82532138"</f>
        <v>82532138</v>
      </c>
      <c r="D5791" t="s">
        <v>17647</v>
      </c>
      <c r="E5791" t="s">
        <v>17648</v>
      </c>
      <c r="F5791" t="s">
        <v>17649</v>
      </c>
      <c r="I5791" t="s">
        <v>29</v>
      </c>
      <c r="J5791" t="s">
        <v>30</v>
      </c>
      <c r="K5791" t="s">
        <v>31</v>
      </c>
      <c r="M5791" t="s">
        <v>32</v>
      </c>
      <c r="N5791" t="str">
        <f>"8/3/2010 12:00:00 AM"</f>
        <v>8/3/2010 12:00:00 AM</v>
      </c>
      <c r="O5791" t="s">
        <v>17647</v>
      </c>
      <c r="T5791" t="s">
        <v>17648</v>
      </c>
    </row>
    <row r="5792" spans="1:20" x14ac:dyDescent="0.25">
      <c r="A5792" t="str">
        <f>"3067494"</f>
        <v>3067494</v>
      </c>
      <c r="B5792" t="s">
        <v>17650</v>
      </c>
      <c r="C5792" t="str">
        <f>"8180000"</f>
        <v>8180000</v>
      </c>
      <c r="D5792" t="s">
        <v>17651</v>
      </c>
      <c r="E5792" t="s">
        <v>17652</v>
      </c>
      <c r="F5792" t="s">
        <v>17653</v>
      </c>
      <c r="I5792" t="s">
        <v>184</v>
      </c>
      <c r="J5792" t="s">
        <v>30</v>
      </c>
      <c r="K5792" t="s">
        <v>185</v>
      </c>
      <c r="M5792" t="s">
        <v>32</v>
      </c>
      <c r="N5792" t="str">
        <f>"8/3/2010 12:00:00 AM"</f>
        <v>8/3/2010 12:00:00 AM</v>
      </c>
      <c r="O5792" t="s">
        <v>17651</v>
      </c>
      <c r="T5792" t="s">
        <v>17652</v>
      </c>
    </row>
    <row r="5793" spans="1:20" x14ac:dyDescent="0.25">
      <c r="A5793" t="str">
        <f>"3038182"</f>
        <v>3038182</v>
      </c>
      <c r="B5793" t="s">
        <v>17654</v>
      </c>
      <c r="C5793" t="str">
        <f>"82532084"</f>
        <v>82532084</v>
      </c>
      <c r="D5793" t="s">
        <v>17655</v>
      </c>
      <c r="E5793" t="s">
        <v>17656</v>
      </c>
      <c r="F5793" t="s">
        <v>17657</v>
      </c>
      <c r="I5793" t="s">
        <v>3580</v>
      </c>
      <c r="J5793" t="s">
        <v>30</v>
      </c>
      <c r="K5793" t="s">
        <v>772</v>
      </c>
      <c r="M5793" t="s">
        <v>32</v>
      </c>
      <c r="N5793" t="str">
        <f>"7/13/2010 12:00:00 AM"</f>
        <v>7/13/2010 12:00:00 AM</v>
      </c>
      <c r="O5793" t="s">
        <v>17655</v>
      </c>
      <c r="T5793" t="s">
        <v>17656</v>
      </c>
    </row>
    <row r="5794" spans="1:20" x14ac:dyDescent="0.25">
      <c r="A5794" t="str">
        <f>"3058833"</f>
        <v>3058833</v>
      </c>
      <c r="B5794" t="s">
        <v>17658</v>
      </c>
      <c r="C5794" t="str">
        <f>"82532102"</f>
        <v>82532102</v>
      </c>
      <c r="D5794" t="s">
        <v>17659</v>
      </c>
      <c r="F5794" t="s">
        <v>17660</v>
      </c>
      <c r="I5794" t="s">
        <v>29</v>
      </c>
      <c r="J5794" t="s">
        <v>30</v>
      </c>
      <c r="K5794" t="s">
        <v>31</v>
      </c>
      <c r="M5794" t="s">
        <v>32</v>
      </c>
      <c r="N5794" t="str">
        <f>"7/20/2010 12:00:00 AM"</f>
        <v>7/20/2010 12:00:00 AM</v>
      </c>
      <c r="O5794" t="s">
        <v>17659</v>
      </c>
    </row>
    <row r="5795" spans="1:20" x14ac:dyDescent="0.25">
      <c r="A5795" t="str">
        <f>"3062395"</f>
        <v>3062395</v>
      </c>
      <c r="B5795" t="s">
        <v>17661</v>
      </c>
      <c r="C5795" t="str">
        <f>"82532105"</f>
        <v>82532105</v>
      </c>
      <c r="D5795" t="s">
        <v>17662</v>
      </c>
      <c r="E5795" t="s">
        <v>17663</v>
      </c>
      <c r="F5795" t="s">
        <v>17664</v>
      </c>
      <c r="I5795" t="s">
        <v>29</v>
      </c>
      <c r="J5795" t="s">
        <v>30</v>
      </c>
      <c r="K5795" t="s">
        <v>31</v>
      </c>
      <c r="M5795" t="s">
        <v>32</v>
      </c>
      <c r="N5795" t="str">
        <f>"7/20/2010 12:00:00 AM"</f>
        <v>7/20/2010 12:00:00 AM</v>
      </c>
      <c r="O5795" t="s">
        <v>17662</v>
      </c>
      <c r="T5795" t="s">
        <v>17663</v>
      </c>
    </row>
    <row r="5796" spans="1:20" x14ac:dyDescent="0.25">
      <c r="A5796" t="str">
        <f>"3047491"</f>
        <v>3047491</v>
      </c>
      <c r="B5796" t="s">
        <v>17665</v>
      </c>
      <c r="C5796" t="str">
        <f>"82532111"</f>
        <v>82532111</v>
      </c>
      <c r="D5796" t="s">
        <v>17666</v>
      </c>
      <c r="F5796" t="s">
        <v>17667</v>
      </c>
      <c r="I5796" t="s">
        <v>7917</v>
      </c>
      <c r="J5796" t="s">
        <v>30</v>
      </c>
      <c r="K5796" t="s">
        <v>7918</v>
      </c>
      <c r="M5796" t="s">
        <v>32</v>
      </c>
      <c r="N5796" t="str">
        <f t="shared" ref="N5796:N5804" si="81">"7/27/2010 12:00:00 AM"</f>
        <v>7/27/2010 12:00:00 AM</v>
      </c>
      <c r="O5796" t="s">
        <v>17666</v>
      </c>
    </row>
    <row r="5797" spans="1:20" x14ac:dyDescent="0.25">
      <c r="A5797" t="str">
        <f>"3048203"</f>
        <v>3048203</v>
      </c>
      <c r="B5797" t="s">
        <v>17668</v>
      </c>
      <c r="C5797" t="str">
        <f>"82532111"</f>
        <v>82532111</v>
      </c>
      <c r="D5797" t="s">
        <v>17666</v>
      </c>
      <c r="F5797" t="s">
        <v>17667</v>
      </c>
      <c r="I5797" t="s">
        <v>7917</v>
      </c>
      <c r="J5797" t="s">
        <v>30</v>
      </c>
      <c r="K5797" t="s">
        <v>7918</v>
      </c>
      <c r="M5797" t="s">
        <v>32</v>
      </c>
      <c r="N5797" t="str">
        <f t="shared" si="81"/>
        <v>7/27/2010 12:00:00 AM</v>
      </c>
      <c r="O5797" t="s">
        <v>17666</v>
      </c>
    </row>
    <row r="5798" spans="1:20" x14ac:dyDescent="0.25">
      <c r="A5798" t="str">
        <f>"3051039"</f>
        <v>3051039</v>
      </c>
      <c r="B5798" t="s">
        <v>17669</v>
      </c>
      <c r="C5798" t="str">
        <f>"82532111"</f>
        <v>82532111</v>
      </c>
      <c r="D5798" t="s">
        <v>17666</v>
      </c>
      <c r="F5798" t="s">
        <v>17667</v>
      </c>
      <c r="I5798" t="s">
        <v>7917</v>
      </c>
      <c r="J5798" t="s">
        <v>30</v>
      </c>
      <c r="K5798" t="s">
        <v>7918</v>
      </c>
      <c r="M5798" t="s">
        <v>32</v>
      </c>
      <c r="N5798" t="str">
        <f t="shared" si="81"/>
        <v>7/27/2010 12:00:00 AM</v>
      </c>
      <c r="O5798" t="s">
        <v>17666</v>
      </c>
    </row>
    <row r="5799" spans="1:20" x14ac:dyDescent="0.25">
      <c r="A5799" t="str">
        <f>"3051275"</f>
        <v>3051275</v>
      </c>
      <c r="B5799" t="s">
        <v>17670</v>
      </c>
      <c r="C5799" t="str">
        <f>"82532112"</f>
        <v>82532112</v>
      </c>
      <c r="D5799" t="s">
        <v>17671</v>
      </c>
      <c r="F5799" t="s">
        <v>17672</v>
      </c>
      <c r="I5799" t="s">
        <v>17673</v>
      </c>
      <c r="J5799" t="s">
        <v>11346</v>
      </c>
      <c r="K5799" t="s">
        <v>17674</v>
      </c>
      <c r="M5799" t="s">
        <v>32</v>
      </c>
      <c r="N5799" t="str">
        <f t="shared" si="81"/>
        <v>7/27/2010 12:00:00 AM</v>
      </c>
      <c r="O5799" t="s">
        <v>17671</v>
      </c>
    </row>
    <row r="5800" spans="1:20" x14ac:dyDescent="0.25">
      <c r="A5800" t="str">
        <f>"3048249"</f>
        <v>3048249</v>
      </c>
      <c r="B5800" t="s">
        <v>17675</v>
      </c>
      <c r="C5800" t="str">
        <f>"82532113"</f>
        <v>82532113</v>
      </c>
      <c r="D5800" t="s">
        <v>17676</v>
      </c>
      <c r="F5800" t="s">
        <v>9363</v>
      </c>
      <c r="I5800" t="s">
        <v>29</v>
      </c>
      <c r="J5800" t="s">
        <v>30</v>
      </c>
      <c r="K5800" t="s">
        <v>31</v>
      </c>
      <c r="M5800" t="s">
        <v>32</v>
      </c>
      <c r="N5800" t="str">
        <f t="shared" si="81"/>
        <v>7/27/2010 12:00:00 AM</v>
      </c>
      <c r="O5800" t="s">
        <v>17676</v>
      </c>
    </row>
    <row r="5801" spans="1:20" x14ac:dyDescent="0.25">
      <c r="A5801" t="str">
        <f>"3048361"</f>
        <v>3048361</v>
      </c>
      <c r="B5801" t="s">
        <v>17677</v>
      </c>
      <c r="C5801" t="str">
        <f>"82532113"</f>
        <v>82532113</v>
      </c>
      <c r="D5801" t="s">
        <v>17676</v>
      </c>
      <c r="F5801" t="s">
        <v>9363</v>
      </c>
      <c r="I5801" t="s">
        <v>29</v>
      </c>
      <c r="J5801" t="s">
        <v>30</v>
      </c>
      <c r="K5801" t="s">
        <v>31</v>
      </c>
      <c r="M5801" t="s">
        <v>32</v>
      </c>
      <c r="N5801" t="str">
        <f t="shared" si="81"/>
        <v>7/27/2010 12:00:00 AM</v>
      </c>
      <c r="O5801" t="s">
        <v>17676</v>
      </c>
    </row>
    <row r="5802" spans="1:20" x14ac:dyDescent="0.25">
      <c r="A5802" t="str">
        <f>"3078221"</f>
        <v>3078221</v>
      </c>
      <c r="B5802" t="s">
        <v>17678</v>
      </c>
      <c r="C5802" t="str">
        <f>"82532113"</f>
        <v>82532113</v>
      </c>
      <c r="D5802" t="s">
        <v>17676</v>
      </c>
      <c r="F5802" t="s">
        <v>9363</v>
      </c>
      <c r="I5802" t="s">
        <v>29</v>
      </c>
      <c r="J5802" t="s">
        <v>30</v>
      </c>
      <c r="K5802" t="s">
        <v>31</v>
      </c>
      <c r="M5802" t="s">
        <v>32</v>
      </c>
      <c r="N5802" t="str">
        <f t="shared" si="81"/>
        <v>7/27/2010 12:00:00 AM</v>
      </c>
      <c r="O5802" t="s">
        <v>17676</v>
      </c>
    </row>
    <row r="5803" spans="1:20" x14ac:dyDescent="0.25">
      <c r="A5803" t="str">
        <f>"3048353"</f>
        <v>3048353</v>
      </c>
      <c r="B5803" t="s">
        <v>17679</v>
      </c>
      <c r="C5803" t="str">
        <f>"82532114"</f>
        <v>82532114</v>
      </c>
      <c r="D5803" t="s">
        <v>12832</v>
      </c>
      <c r="F5803" t="s">
        <v>12834</v>
      </c>
      <c r="I5803" t="s">
        <v>29</v>
      </c>
      <c r="J5803" t="s">
        <v>30</v>
      </c>
      <c r="K5803" t="s">
        <v>31</v>
      </c>
      <c r="M5803" t="s">
        <v>32</v>
      </c>
      <c r="N5803" t="str">
        <f t="shared" si="81"/>
        <v>7/27/2010 12:00:00 AM</v>
      </c>
      <c r="O5803" t="s">
        <v>12832</v>
      </c>
    </row>
    <row r="5804" spans="1:20" x14ac:dyDescent="0.25">
      <c r="A5804" t="str">
        <f>"3048354"</f>
        <v>3048354</v>
      </c>
      <c r="B5804" t="s">
        <v>17680</v>
      </c>
      <c r="C5804" t="str">
        <f>"82532114"</f>
        <v>82532114</v>
      </c>
      <c r="D5804" t="s">
        <v>12832</v>
      </c>
      <c r="F5804" t="s">
        <v>12834</v>
      </c>
      <c r="I5804" t="s">
        <v>29</v>
      </c>
      <c r="J5804" t="s">
        <v>30</v>
      </c>
      <c r="K5804" t="s">
        <v>31</v>
      </c>
      <c r="M5804" t="s">
        <v>32</v>
      </c>
      <c r="N5804" t="str">
        <f t="shared" si="81"/>
        <v>7/27/2010 12:00:00 AM</v>
      </c>
      <c r="O5804" t="s">
        <v>12832</v>
      </c>
    </row>
    <row r="5805" spans="1:20" x14ac:dyDescent="0.25">
      <c r="A5805" t="str">
        <f>"3040505"</f>
        <v>3040505</v>
      </c>
      <c r="B5805" t="s">
        <v>17681</v>
      </c>
      <c r="C5805" t="str">
        <f>"82532171"</f>
        <v>82532171</v>
      </c>
      <c r="D5805" t="s">
        <v>17682</v>
      </c>
      <c r="F5805" t="s">
        <v>17683</v>
      </c>
      <c r="I5805" t="s">
        <v>184</v>
      </c>
      <c r="J5805" t="s">
        <v>30</v>
      </c>
      <c r="K5805" t="s">
        <v>185</v>
      </c>
      <c r="M5805" t="s">
        <v>32</v>
      </c>
      <c r="N5805" t="str">
        <f>"8/23/2010 12:00:00 AM"</f>
        <v>8/23/2010 12:00:00 AM</v>
      </c>
      <c r="O5805" t="s">
        <v>17682</v>
      </c>
    </row>
    <row r="5806" spans="1:20" x14ac:dyDescent="0.25">
      <c r="A5806" t="str">
        <f>"3056491"</f>
        <v>3056491</v>
      </c>
      <c r="B5806" t="s">
        <v>17684</v>
      </c>
      <c r="C5806" t="str">
        <f>"82532172"</f>
        <v>82532172</v>
      </c>
      <c r="D5806" t="s">
        <v>17685</v>
      </c>
      <c r="F5806" t="s">
        <v>16124</v>
      </c>
      <c r="I5806" t="s">
        <v>9580</v>
      </c>
      <c r="J5806" t="s">
        <v>30</v>
      </c>
      <c r="K5806" t="s">
        <v>9581</v>
      </c>
      <c r="M5806" t="s">
        <v>32</v>
      </c>
      <c r="N5806" t="str">
        <f>"8/23/2010 12:00:00 AM"</f>
        <v>8/23/2010 12:00:00 AM</v>
      </c>
      <c r="O5806" t="s">
        <v>17685</v>
      </c>
    </row>
    <row r="5807" spans="1:20" x14ac:dyDescent="0.25">
      <c r="A5807" t="str">
        <f>"3059828"</f>
        <v>3059828</v>
      </c>
      <c r="B5807" t="s">
        <v>17686</v>
      </c>
      <c r="C5807" t="str">
        <f>"82532172"</f>
        <v>82532172</v>
      </c>
      <c r="D5807" t="s">
        <v>17685</v>
      </c>
      <c r="F5807" t="s">
        <v>16124</v>
      </c>
      <c r="I5807" t="s">
        <v>9580</v>
      </c>
      <c r="J5807" t="s">
        <v>30</v>
      </c>
      <c r="K5807" t="s">
        <v>9581</v>
      </c>
      <c r="M5807" t="s">
        <v>32</v>
      </c>
      <c r="N5807" t="str">
        <f>"8/23/2010 12:00:00 AM"</f>
        <v>8/23/2010 12:00:00 AM</v>
      </c>
      <c r="O5807" t="s">
        <v>17685</v>
      </c>
    </row>
    <row r="5808" spans="1:20" x14ac:dyDescent="0.25">
      <c r="A5808" t="str">
        <f>"3040943"</f>
        <v>3040943</v>
      </c>
      <c r="B5808" t="s">
        <v>17687</v>
      </c>
      <c r="C5808" t="str">
        <f>"82532190"</f>
        <v>82532190</v>
      </c>
      <c r="D5808" t="s">
        <v>17688</v>
      </c>
      <c r="F5808" t="s">
        <v>17689</v>
      </c>
      <c r="I5808" t="s">
        <v>184</v>
      </c>
      <c r="J5808" t="s">
        <v>30</v>
      </c>
      <c r="K5808" t="s">
        <v>185</v>
      </c>
      <c r="M5808" t="s">
        <v>32</v>
      </c>
      <c r="N5808" t="str">
        <f>"8/31/2010 12:00:00 AM"</f>
        <v>8/31/2010 12:00:00 AM</v>
      </c>
      <c r="O5808" t="s">
        <v>17688</v>
      </c>
    </row>
    <row r="5809" spans="1:20" x14ac:dyDescent="0.25">
      <c r="A5809" t="str">
        <f>"3040258"</f>
        <v>3040258</v>
      </c>
      <c r="B5809" t="s">
        <v>17690</v>
      </c>
      <c r="C5809" t="str">
        <f>"82532206"</f>
        <v>82532206</v>
      </c>
      <c r="D5809" t="s">
        <v>17691</v>
      </c>
      <c r="F5809" t="s">
        <v>1839</v>
      </c>
      <c r="I5809" t="s">
        <v>184</v>
      </c>
      <c r="J5809" t="s">
        <v>30</v>
      </c>
      <c r="K5809" t="s">
        <v>185</v>
      </c>
      <c r="M5809" t="s">
        <v>32</v>
      </c>
      <c r="N5809" t="str">
        <f>"9/3/2010 12:00:00 AM"</f>
        <v>9/3/2010 12:00:00 AM</v>
      </c>
      <c r="O5809" t="s">
        <v>17691</v>
      </c>
    </row>
    <row r="5810" spans="1:20" x14ac:dyDescent="0.25">
      <c r="A5810" t="str">
        <f>"3041574"</f>
        <v>3041574</v>
      </c>
      <c r="B5810" t="s">
        <v>17692</v>
      </c>
      <c r="C5810" t="str">
        <f>"82532288"</f>
        <v>82532288</v>
      </c>
      <c r="D5810" t="s">
        <v>17693</v>
      </c>
      <c r="E5810" t="s">
        <v>17694</v>
      </c>
      <c r="F5810" t="s">
        <v>17695</v>
      </c>
      <c r="I5810" t="s">
        <v>2071</v>
      </c>
      <c r="J5810" t="s">
        <v>30</v>
      </c>
      <c r="K5810" t="s">
        <v>185</v>
      </c>
      <c r="M5810" t="s">
        <v>32</v>
      </c>
      <c r="N5810" t="str">
        <f>"8/26/2011 12:00:00 AM"</f>
        <v>8/26/2011 12:00:00 AM</v>
      </c>
      <c r="O5810" t="s">
        <v>17693</v>
      </c>
      <c r="T5810" t="s">
        <v>17694</v>
      </c>
    </row>
    <row r="5811" spans="1:20" x14ac:dyDescent="0.25">
      <c r="A5811" t="str">
        <f>"3039404"</f>
        <v>3039404</v>
      </c>
      <c r="B5811" t="s">
        <v>17696</v>
      </c>
      <c r="C5811" t="str">
        <f>"82532206"</f>
        <v>82532206</v>
      </c>
      <c r="D5811" t="s">
        <v>17691</v>
      </c>
      <c r="F5811" t="s">
        <v>1839</v>
      </c>
      <c r="I5811" t="s">
        <v>184</v>
      </c>
      <c r="J5811" t="s">
        <v>30</v>
      </c>
      <c r="K5811" t="s">
        <v>185</v>
      </c>
      <c r="M5811" t="s">
        <v>32</v>
      </c>
      <c r="N5811" t="str">
        <f>"9/3/2010 12:00:00 AM"</f>
        <v>9/3/2010 12:00:00 AM</v>
      </c>
      <c r="O5811" t="s">
        <v>17691</v>
      </c>
    </row>
    <row r="5812" spans="1:20" x14ac:dyDescent="0.25">
      <c r="A5812" t="str">
        <f>"3061159"</f>
        <v>3061159</v>
      </c>
      <c r="B5812" t="s">
        <v>17697</v>
      </c>
      <c r="C5812" t="str">
        <f>"82532208"</f>
        <v>82532208</v>
      </c>
      <c r="D5812" t="s">
        <v>17698</v>
      </c>
      <c r="E5812" t="s">
        <v>17699</v>
      </c>
      <c r="F5812" t="s">
        <v>17700</v>
      </c>
      <c r="I5812" t="s">
        <v>184</v>
      </c>
      <c r="J5812" t="s">
        <v>30</v>
      </c>
      <c r="K5812" t="s">
        <v>185</v>
      </c>
      <c r="M5812" t="s">
        <v>32</v>
      </c>
      <c r="N5812" t="str">
        <f>"9/10/2010 12:00:00 AM"</f>
        <v>9/10/2010 12:00:00 AM</v>
      </c>
      <c r="O5812" t="s">
        <v>17698</v>
      </c>
      <c r="T5812" t="s">
        <v>17699</v>
      </c>
    </row>
    <row r="5813" spans="1:20" x14ac:dyDescent="0.25">
      <c r="A5813" t="str">
        <f>"3061432"</f>
        <v>3061432</v>
      </c>
      <c r="B5813" t="s">
        <v>17701</v>
      </c>
      <c r="C5813" t="str">
        <f>"82532211"</f>
        <v>82532211</v>
      </c>
      <c r="D5813" t="s">
        <v>17702</v>
      </c>
      <c r="F5813" t="s">
        <v>17703</v>
      </c>
      <c r="I5813" t="s">
        <v>184</v>
      </c>
      <c r="J5813" t="s">
        <v>30</v>
      </c>
      <c r="K5813" t="s">
        <v>185</v>
      </c>
      <c r="M5813" t="s">
        <v>32</v>
      </c>
      <c r="N5813" t="str">
        <f>"9/10/2010 12:00:00 AM"</f>
        <v>9/10/2010 12:00:00 AM</v>
      </c>
      <c r="O5813" t="s">
        <v>17702</v>
      </c>
    </row>
    <row r="5814" spans="1:20" x14ac:dyDescent="0.25">
      <c r="A5814" t="str">
        <f>"3043512"</f>
        <v>3043512</v>
      </c>
      <c r="B5814" t="s">
        <v>17704</v>
      </c>
      <c r="C5814" t="str">
        <f>"82532152"</f>
        <v>82532152</v>
      </c>
      <c r="D5814" t="s">
        <v>17705</v>
      </c>
      <c r="F5814" t="s">
        <v>17706</v>
      </c>
      <c r="I5814" t="s">
        <v>29</v>
      </c>
      <c r="J5814" t="s">
        <v>30</v>
      </c>
      <c r="K5814" t="s">
        <v>31</v>
      </c>
      <c r="M5814" t="s">
        <v>32</v>
      </c>
      <c r="N5814" t="str">
        <f>"8/11/2010 12:00:00 AM"</f>
        <v>8/11/2010 12:00:00 AM</v>
      </c>
      <c r="O5814" t="s">
        <v>17705</v>
      </c>
    </row>
    <row r="5815" spans="1:20" x14ac:dyDescent="0.25">
      <c r="A5815" t="str">
        <f>"3041250"</f>
        <v>3041250</v>
      </c>
      <c r="B5815" t="s">
        <v>17707</v>
      </c>
      <c r="C5815" t="str">
        <f>"82532153"</f>
        <v>82532153</v>
      </c>
      <c r="D5815" t="s">
        <v>17708</v>
      </c>
      <c r="F5815" t="s">
        <v>17709</v>
      </c>
      <c r="I5815" t="s">
        <v>2071</v>
      </c>
      <c r="J5815" t="s">
        <v>30</v>
      </c>
      <c r="K5815" t="s">
        <v>185</v>
      </c>
      <c r="M5815" t="s">
        <v>32</v>
      </c>
      <c r="N5815" t="str">
        <f>"8/11/2010 12:00:00 AM"</f>
        <v>8/11/2010 12:00:00 AM</v>
      </c>
      <c r="O5815" t="s">
        <v>17708</v>
      </c>
    </row>
    <row r="5816" spans="1:20" x14ac:dyDescent="0.25">
      <c r="A5816" t="str">
        <f>"3038724"</f>
        <v>3038724</v>
      </c>
      <c r="B5816" t="s">
        <v>17710</v>
      </c>
      <c r="C5816" t="str">
        <f>"82532264"</f>
        <v>82532264</v>
      </c>
      <c r="D5816" t="s">
        <v>17711</v>
      </c>
      <c r="F5816" t="s">
        <v>17712</v>
      </c>
      <c r="I5816" t="s">
        <v>29</v>
      </c>
      <c r="J5816" t="s">
        <v>30</v>
      </c>
      <c r="K5816" t="s">
        <v>31</v>
      </c>
      <c r="M5816" t="s">
        <v>32</v>
      </c>
      <c r="N5816" t="str">
        <f>"10/4/2010 12:00:00 AM"</f>
        <v>10/4/2010 12:00:00 AM</v>
      </c>
      <c r="O5816" t="s">
        <v>17711</v>
      </c>
    </row>
    <row r="5817" spans="1:20" x14ac:dyDescent="0.25">
      <c r="A5817" t="str">
        <f>"3066644"</f>
        <v>3066644</v>
      </c>
      <c r="B5817" t="s">
        <v>17713</v>
      </c>
      <c r="C5817" t="str">
        <f>"82532269"</f>
        <v>82532269</v>
      </c>
      <c r="D5817" t="s">
        <v>17714</v>
      </c>
      <c r="E5817" t="s">
        <v>17715</v>
      </c>
      <c r="F5817" t="s">
        <v>17716</v>
      </c>
      <c r="I5817" t="s">
        <v>29</v>
      </c>
      <c r="J5817" t="s">
        <v>30</v>
      </c>
      <c r="K5817" t="s">
        <v>31</v>
      </c>
      <c r="M5817" t="s">
        <v>32</v>
      </c>
      <c r="N5817" t="str">
        <f>"10/5/2010 12:00:00 AM"</f>
        <v>10/5/2010 12:00:00 AM</v>
      </c>
      <c r="O5817" t="s">
        <v>17714</v>
      </c>
      <c r="T5817" t="s">
        <v>17715</v>
      </c>
    </row>
    <row r="5818" spans="1:20" x14ac:dyDescent="0.25">
      <c r="A5818" t="str">
        <f>"3061957"</f>
        <v>3061957</v>
      </c>
      <c r="B5818" t="s">
        <v>17717</v>
      </c>
      <c r="C5818" t="str">
        <f>"82532279"</f>
        <v>82532279</v>
      </c>
      <c r="D5818" t="s">
        <v>17718</v>
      </c>
      <c r="E5818" t="s">
        <v>17719</v>
      </c>
      <c r="F5818" t="s">
        <v>17720</v>
      </c>
      <c r="I5818" t="s">
        <v>184</v>
      </c>
      <c r="J5818" t="s">
        <v>30</v>
      </c>
      <c r="K5818" t="s">
        <v>185</v>
      </c>
      <c r="M5818" t="s">
        <v>32</v>
      </c>
      <c r="N5818" t="str">
        <f>"10/5/2010 12:00:00 AM"</f>
        <v>10/5/2010 12:00:00 AM</v>
      </c>
      <c r="O5818" t="s">
        <v>17718</v>
      </c>
      <c r="T5818" t="s">
        <v>17719</v>
      </c>
    </row>
    <row r="5819" spans="1:20" x14ac:dyDescent="0.25">
      <c r="A5819" t="str">
        <f>"3067876"</f>
        <v>3067876</v>
      </c>
      <c r="B5819" t="s">
        <v>17721</v>
      </c>
      <c r="C5819" t="str">
        <f>"82532178"</f>
        <v>82532178</v>
      </c>
      <c r="D5819" t="str">
        <f>"MCKEOWN JOHN T REV TRUST U/A"</f>
        <v>MCKEOWN JOHN T REV TRUST U/A</v>
      </c>
      <c r="F5819" t="s">
        <v>17722</v>
      </c>
      <c r="I5819" t="s">
        <v>2071</v>
      </c>
      <c r="J5819" t="s">
        <v>30</v>
      </c>
      <c r="K5819" t="s">
        <v>185</v>
      </c>
      <c r="M5819" t="s">
        <v>32</v>
      </c>
      <c r="N5819" t="str">
        <f>"8/26/2010 12:00:00 AM"</f>
        <v>8/26/2010 12:00:00 AM</v>
      </c>
      <c r="O5819" t="str">
        <f>"MCKEOWN JOHN T REV TRUST U/A"</f>
        <v>MCKEOWN JOHN T REV TRUST U/A</v>
      </c>
    </row>
    <row r="5820" spans="1:20" x14ac:dyDescent="0.25">
      <c r="A5820" t="str">
        <f>"3048687"</f>
        <v>3048687</v>
      </c>
      <c r="B5820" t="s">
        <v>17723</v>
      </c>
      <c r="C5820" t="str">
        <f>"82532186"</f>
        <v>82532186</v>
      </c>
      <c r="D5820" t="s">
        <v>17724</v>
      </c>
      <c r="E5820" t="s">
        <v>17725</v>
      </c>
      <c r="F5820" t="s">
        <v>17726</v>
      </c>
      <c r="I5820" t="s">
        <v>184</v>
      </c>
      <c r="J5820" t="s">
        <v>30</v>
      </c>
      <c r="K5820" t="s">
        <v>185</v>
      </c>
      <c r="M5820" t="s">
        <v>32</v>
      </c>
      <c r="N5820" t="str">
        <f>"8/26/2010 12:00:00 AM"</f>
        <v>8/26/2010 12:00:00 AM</v>
      </c>
      <c r="O5820" t="s">
        <v>17724</v>
      </c>
      <c r="T5820" t="s">
        <v>17725</v>
      </c>
    </row>
    <row r="5821" spans="1:20" x14ac:dyDescent="0.25">
      <c r="A5821" t="str">
        <f>"3040905"</f>
        <v>3040905</v>
      </c>
      <c r="B5821" t="s">
        <v>17727</v>
      </c>
      <c r="C5821" t="str">
        <f>"82532186"</f>
        <v>82532186</v>
      </c>
      <c r="D5821" t="s">
        <v>17724</v>
      </c>
      <c r="E5821" t="s">
        <v>17725</v>
      </c>
      <c r="F5821" t="s">
        <v>17726</v>
      </c>
      <c r="I5821" t="s">
        <v>184</v>
      </c>
      <c r="J5821" t="s">
        <v>30</v>
      </c>
      <c r="K5821" t="s">
        <v>185</v>
      </c>
      <c r="M5821" t="s">
        <v>32</v>
      </c>
      <c r="N5821" t="str">
        <f>"8/26/2010 12:00:00 AM"</f>
        <v>8/26/2010 12:00:00 AM</v>
      </c>
      <c r="O5821" t="s">
        <v>17724</v>
      </c>
      <c r="T5821" t="s">
        <v>17725</v>
      </c>
    </row>
    <row r="5822" spans="1:20" x14ac:dyDescent="0.25">
      <c r="A5822" t="str">
        <f>"3050743"</f>
        <v>3050743</v>
      </c>
      <c r="B5822" t="s">
        <v>17728</v>
      </c>
      <c r="C5822" t="str">
        <f>"82532213"</f>
        <v>82532213</v>
      </c>
      <c r="D5822" t="s">
        <v>17729</v>
      </c>
      <c r="E5822" t="s">
        <v>17730</v>
      </c>
      <c r="F5822" t="s">
        <v>17731</v>
      </c>
      <c r="I5822" t="s">
        <v>184</v>
      </c>
      <c r="J5822" t="s">
        <v>30</v>
      </c>
      <c r="K5822" t="s">
        <v>185</v>
      </c>
      <c r="M5822" t="s">
        <v>32</v>
      </c>
      <c r="N5822" t="str">
        <f>"9/10/2010 12:00:00 AM"</f>
        <v>9/10/2010 12:00:00 AM</v>
      </c>
      <c r="O5822" t="s">
        <v>17729</v>
      </c>
      <c r="T5822" t="s">
        <v>17730</v>
      </c>
    </row>
    <row r="5823" spans="1:20" x14ac:dyDescent="0.25">
      <c r="A5823" t="str">
        <f>"3074620"</f>
        <v>3074620</v>
      </c>
      <c r="B5823" t="s">
        <v>17732</v>
      </c>
      <c r="C5823" t="str">
        <f>"82532382"</f>
        <v>82532382</v>
      </c>
      <c r="D5823" t="s">
        <v>17733</v>
      </c>
      <c r="F5823" t="s">
        <v>9579</v>
      </c>
      <c r="I5823" t="s">
        <v>9580</v>
      </c>
      <c r="J5823" t="s">
        <v>30</v>
      </c>
      <c r="K5823" t="s">
        <v>9581</v>
      </c>
      <c r="M5823" t="s">
        <v>32</v>
      </c>
      <c r="N5823" t="str">
        <f>"9/21/2011 12:00:00 AM"</f>
        <v>9/21/2011 12:00:00 AM</v>
      </c>
      <c r="O5823" t="s">
        <v>17733</v>
      </c>
    </row>
    <row r="5824" spans="1:20" x14ac:dyDescent="0.25">
      <c r="A5824" t="str">
        <f>"3074626"</f>
        <v>3074626</v>
      </c>
      <c r="B5824" t="s">
        <v>17734</v>
      </c>
      <c r="C5824" t="str">
        <f>"82532382"</f>
        <v>82532382</v>
      </c>
      <c r="D5824" t="s">
        <v>17733</v>
      </c>
      <c r="F5824" t="s">
        <v>9579</v>
      </c>
      <c r="I5824" t="s">
        <v>9580</v>
      </c>
      <c r="J5824" t="s">
        <v>30</v>
      </c>
      <c r="K5824" t="s">
        <v>9581</v>
      </c>
      <c r="M5824" t="s">
        <v>32</v>
      </c>
      <c r="N5824" t="str">
        <f>"9/21/2011 12:00:00 AM"</f>
        <v>9/21/2011 12:00:00 AM</v>
      </c>
      <c r="O5824" t="s">
        <v>17733</v>
      </c>
    </row>
    <row r="5825" spans="1:20" x14ac:dyDescent="0.25">
      <c r="A5825" t="str">
        <f>"3054069"</f>
        <v>3054069</v>
      </c>
      <c r="B5825" t="s">
        <v>17735</v>
      </c>
      <c r="C5825" t="str">
        <f>"82532382"</f>
        <v>82532382</v>
      </c>
      <c r="D5825" t="s">
        <v>17733</v>
      </c>
      <c r="F5825" t="s">
        <v>9579</v>
      </c>
      <c r="I5825" t="s">
        <v>9580</v>
      </c>
      <c r="J5825" t="s">
        <v>30</v>
      </c>
      <c r="K5825" t="s">
        <v>9581</v>
      </c>
      <c r="M5825" t="s">
        <v>32</v>
      </c>
      <c r="N5825" t="str">
        <f>"9/21/2011 12:00:00 AM"</f>
        <v>9/21/2011 12:00:00 AM</v>
      </c>
      <c r="O5825" t="s">
        <v>17733</v>
      </c>
    </row>
    <row r="5826" spans="1:20" x14ac:dyDescent="0.25">
      <c r="A5826" t="str">
        <f>"3045370"</f>
        <v>3045370</v>
      </c>
      <c r="B5826" t="s">
        <v>17736</v>
      </c>
      <c r="C5826" t="str">
        <f>"82532384"</f>
        <v>82532384</v>
      </c>
      <c r="D5826" t="s">
        <v>17737</v>
      </c>
      <c r="E5826" t="s">
        <v>17738</v>
      </c>
      <c r="F5826" t="s">
        <v>9291</v>
      </c>
      <c r="I5826" t="s">
        <v>402</v>
      </c>
      <c r="J5826" t="s">
        <v>30</v>
      </c>
      <c r="K5826" t="s">
        <v>17739</v>
      </c>
      <c r="M5826" t="s">
        <v>32</v>
      </c>
      <c r="N5826" t="str">
        <f>"11/8/2010 12:00:00 AM"</f>
        <v>11/8/2010 12:00:00 AM</v>
      </c>
      <c r="O5826" t="s">
        <v>17737</v>
      </c>
      <c r="T5826" t="s">
        <v>17738</v>
      </c>
    </row>
    <row r="5827" spans="1:20" x14ac:dyDescent="0.25">
      <c r="A5827" t="str">
        <f>"3044977"</f>
        <v>3044977</v>
      </c>
      <c r="B5827" t="s">
        <v>17740</v>
      </c>
      <c r="C5827" t="str">
        <f>"82532384"</f>
        <v>82532384</v>
      </c>
      <c r="D5827" t="s">
        <v>17737</v>
      </c>
      <c r="E5827" t="s">
        <v>17738</v>
      </c>
      <c r="F5827" t="s">
        <v>9291</v>
      </c>
      <c r="I5827" t="s">
        <v>402</v>
      </c>
      <c r="J5827" t="s">
        <v>30</v>
      </c>
      <c r="K5827" t="s">
        <v>17739</v>
      </c>
      <c r="M5827" t="s">
        <v>32</v>
      </c>
      <c r="N5827" t="str">
        <f>"11/8/2010 12:00:00 AM"</f>
        <v>11/8/2010 12:00:00 AM</v>
      </c>
      <c r="O5827" t="s">
        <v>17737</v>
      </c>
      <c r="T5827" t="s">
        <v>17738</v>
      </c>
    </row>
    <row r="5828" spans="1:20" x14ac:dyDescent="0.25">
      <c r="A5828" t="str">
        <f>"3078071"</f>
        <v>3078071</v>
      </c>
      <c r="B5828" t="s">
        <v>17741</v>
      </c>
      <c r="C5828" t="str">
        <f>"82532384"</f>
        <v>82532384</v>
      </c>
      <c r="D5828" t="s">
        <v>17737</v>
      </c>
      <c r="E5828" t="s">
        <v>17738</v>
      </c>
      <c r="F5828" t="s">
        <v>9291</v>
      </c>
      <c r="I5828" t="s">
        <v>402</v>
      </c>
      <c r="J5828" t="s">
        <v>30</v>
      </c>
      <c r="K5828" t="s">
        <v>17739</v>
      </c>
      <c r="M5828" t="s">
        <v>32</v>
      </c>
      <c r="N5828" t="str">
        <f>"11/8/2010 12:00:00 AM"</f>
        <v>11/8/2010 12:00:00 AM</v>
      </c>
      <c r="O5828" t="s">
        <v>17737</v>
      </c>
      <c r="T5828" t="s">
        <v>17738</v>
      </c>
    </row>
    <row r="5829" spans="1:20" x14ac:dyDescent="0.25">
      <c r="A5829" t="str">
        <f>"3060072"</f>
        <v>3060072</v>
      </c>
      <c r="B5829" t="s">
        <v>17742</v>
      </c>
      <c r="C5829" t="str">
        <f>"82532228"</f>
        <v>82532228</v>
      </c>
      <c r="D5829" t="s">
        <v>17743</v>
      </c>
      <c r="F5829" t="s">
        <v>17744</v>
      </c>
      <c r="I5829" t="s">
        <v>184</v>
      </c>
      <c r="J5829" t="s">
        <v>30</v>
      </c>
      <c r="K5829" t="s">
        <v>185</v>
      </c>
      <c r="M5829" t="s">
        <v>32</v>
      </c>
      <c r="N5829" t="str">
        <f>"9/20/2010 12:00:00 AM"</f>
        <v>9/20/2010 12:00:00 AM</v>
      </c>
      <c r="O5829" t="s">
        <v>17743</v>
      </c>
    </row>
    <row r="5830" spans="1:20" x14ac:dyDescent="0.25">
      <c r="A5830" t="str">
        <f>"3044238"</f>
        <v>3044238</v>
      </c>
      <c r="B5830" t="s">
        <v>17745</v>
      </c>
      <c r="C5830" t="str">
        <f>"82532232"</f>
        <v>82532232</v>
      </c>
      <c r="D5830" t="s">
        <v>17746</v>
      </c>
      <c r="F5830" t="s">
        <v>17747</v>
      </c>
      <c r="I5830" t="s">
        <v>184</v>
      </c>
      <c r="J5830" t="s">
        <v>30</v>
      </c>
      <c r="K5830" t="s">
        <v>185</v>
      </c>
      <c r="M5830" t="s">
        <v>32</v>
      </c>
      <c r="N5830" t="str">
        <f>"9/21/2010 12:00:00 AM"</f>
        <v>9/21/2010 12:00:00 AM</v>
      </c>
      <c r="O5830" t="s">
        <v>17746</v>
      </c>
    </row>
    <row r="5831" spans="1:20" x14ac:dyDescent="0.25">
      <c r="A5831" t="str">
        <f>"3043957"</f>
        <v>3043957</v>
      </c>
      <c r="B5831" t="s">
        <v>17748</v>
      </c>
      <c r="C5831" t="str">
        <f>"82532232"</f>
        <v>82532232</v>
      </c>
      <c r="D5831" t="s">
        <v>17746</v>
      </c>
      <c r="F5831" t="s">
        <v>17747</v>
      </c>
      <c r="I5831" t="s">
        <v>184</v>
      </c>
      <c r="J5831" t="s">
        <v>30</v>
      </c>
      <c r="K5831" t="s">
        <v>185</v>
      </c>
      <c r="M5831" t="s">
        <v>32</v>
      </c>
      <c r="N5831" t="str">
        <f>"9/21/2010 12:00:00 AM"</f>
        <v>9/21/2010 12:00:00 AM</v>
      </c>
      <c r="O5831" t="s">
        <v>17746</v>
      </c>
    </row>
    <row r="5832" spans="1:20" x14ac:dyDescent="0.25">
      <c r="A5832" t="str">
        <f>"3043924"</f>
        <v>3043924</v>
      </c>
      <c r="B5832" t="s">
        <v>17749</v>
      </c>
      <c r="C5832" t="str">
        <f>"82532232"</f>
        <v>82532232</v>
      </c>
      <c r="D5832" t="s">
        <v>17746</v>
      </c>
      <c r="F5832" t="s">
        <v>17747</v>
      </c>
      <c r="I5832" t="s">
        <v>184</v>
      </c>
      <c r="J5832" t="s">
        <v>30</v>
      </c>
      <c r="K5832" t="s">
        <v>185</v>
      </c>
      <c r="M5832" t="s">
        <v>32</v>
      </c>
      <c r="N5832" t="str">
        <f>"9/21/2010 12:00:00 AM"</f>
        <v>9/21/2010 12:00:00 AM</v>
      </c>
      <c r="O5832" t="s">
        <v>17746</v>
      </c>
    </row>
    <row r="5833" spans="1:20" x14ac:dyDescent="0.25">
      <c r="A5833" t="str">
        <f>"3044083"</f>
        <v>3044083</v>
      </c>
      <c r="B5833" t="s">
        <v>17750</v>
      </c>
      <c r="C5833" t="str">
        <f>"82532232"</f>
        <v>82532232</v>
      </c>
      <c r="D5833" t="s">
        <v>17746</v>
      </c>
      <c r="F5833" t="s">
        <v>17747</v>
      </c>
      <c r="I5833" t="s">
        <v>184</v>
      </c>
      <c r="J5833" t="s">
        <v>30</v>
      </c>
      <c r="K5833" t="s">
        <v>185</v>
      </c>
      <c r="M5833" t="s">
        <v>32</v>
      </c>
      <c r="N5833" t="str">
        <f>"9/21/2010 12:00:00 AM"</f>
        <v>9/21/2010 12:00:00 AM</v>
      </c>
      <c r="O5833" t="s">
        <v>17746</v>
      </c>
    </row>
    <row r="5834" spans="1:20" x14ac:dyDescent="0.25">
      <c r="A5834" t="str">
        <f>"3040503"</f>
        <v>3040503</v>
      </c>
      <c r="B5834" t="s">
        <v>17751</v>
      </c>
      <c r="C5834" t="str">
        <f>"82532235"</f>
        <v>82532235</v>
      </c>
      <c r="D5834" t="s">
        <v>17752</v>
      </c>
      <c r="F5834" t="s">
        <v>17753</v>
      </c>
      <c r="I5834" t="s">
        <v>2071</v>
      </c>
      <c r="J5834" t="s">
        <v>30</v>
      </c>
      <c r="K5834" t="s">
        <v>185</v>
      </c>
      <c r="M5834" t="s">
        <v>32</v>
      </c>
      <c r="N5834" t="str">
        <f>"9/21/2010 12:00:00 AM"</f>
        <v>9/21/2010 12:00:00 AM</v>
      </c>
      <c r="O5834" t="s">
        <v>17752</v>
      </c>
    </row>
    <row r="5835" spans="1:20" x14ac:dyDescent="0.25">
      <c r="A5835" t="str">
        <f>"3047367"</f>
        <v>3047367</v>
      </c>
      <c r="B5835" t="s">
        <v>17754</v>
      </c>
      <c r="C5835" t="str">
        <f>"5592000"</f>
        <v>5592000</v>
      </c>
      <c r="D5835" t="s">
        <v>17755</v>
      </c>
      <c r="E5835" t="s">
        <v>17756</v>
      </c>
      <c r="F5835" t="s">
        <v>17757</v>
      </c>
      <c r="I5835" t="s">
        <v>184</v>
      </c>
      <c r="J5835" t="s">
        <v>30</v>
      </c>
      <c r="K5835" t="s">
        <v>17758</v>
      </c>
      <c r="M5835" t="s">
        <v>32</v>
      </c>
      <c r="N5835" t="str">
        <f>"11/24/2010 12:00:00 AM"</f>
        <v>11/24/2010 12:00:00 AM</v>
      </c>
      <c r="O5835" t="s">
        <v>17755</v>
      </c>
      <c r="T5835" t="s">
        <v>17756</v>
      </c>
    </row>
    <row r="5836" spans="1:20" x14ac:dyDescent="0.25">
      <c r="A5836" t="str">
        <f>"3078186"</f>
        <v>3078186</v>
      </c>
      <c r="B5836" t="s">
        <v>17759</v>
      </c>
      <c r="C5836" t="str">
        <f>"5592000"</f>
        <v>5592000</v>
      </c>
      <c r="D5836" t="s">
        <v>17755</v>
      </c>
      <c r="E5836" t="s">
        <v>17756</v>
      </c>
      <c r="F5836" t="s">
        <v>17757</v>
      </c>
      <c r="I5836" t="s">
        <v>184</v>
      </c>
      <c r="J5836" t="s">
        <v>30</v>
      </c>
      <c r="K5836" t="s">
        <v>17758</v>
      </c>
      <c r="M5836" t="s">
        <v>32</v>
      </c>
      <c r="N5836" t="str">
        <f>"11/24/2010 12:00:00 AM"</f>
        <v>11/24/2010 12:00:00 AM</v>
      </c>
      <c r="O5836" t="s">
        <v>17755</v>
      </c>
      <c r="T5836" t="s">
        <v>17756</v>
      </c>
    </row>
    <row r="5837" spans="1:20" x14ac:dyDescent="0.25">
      <c r="A5837" t="str">
        <f>"3052506"</f>
        <v>3052506</v>
      </c>
      <c r="B5837" t="s">
        <v>17760</v>
      </c>
      <c r="C5837" t="str">
        <f>"82532238"</f>
        <v>82532238</v>
      </c>
      <c r="D5837" t="s">
        <v>17761</v>
      </c>
      <c r="E5837" t="s">
        <v>17762</v>
      </c>
      <c r="F5837" t="s">
        <v>17763</v>
      </c>
      <c r="I5837" t="s">
        <v>29</v>
      </c>
      <c r="J5837" t="s">
        <v>30</v>
      </c>
      <c r="K5837" t="s">
        <v>31</v>
      </c>
      <c r="M5837" t="s">
        <v>32</v>
      </c>
      <c r="N5837" t="str">
        <f>"9/21/2010 12:00:00 AM"</f>
        <v>9/21/2010 12:00:00 AM</v>
      </c>
      <c r="O5837" t="s">
        <v>17761</v>
      </c>
      <c r="T5837" t="s">
        <v>17762</v>
      </c>
    </row>
    <row r="5838" spans="1:20" x14ac:dyDescent="0.25">
      <c r="A5838" t="str">
        <f>"3042362"</f>
        <v>3042362</v>
      </c>
      <c r="B5838" t="s">
        <v>17764</v>
      </c>
      <c r="C5838" t="str">
        <f>"82532239"</f>
        <v>82532239</v>
      </c>
      <c r="D5838" t="s">
        <v>17765</v>
      </c>
      <c r="E5838" t="s">
        <v>17766</v>
      </c>
      <c r="F5838" t="s">
        <v>17767</v>
      </c>
      <c r="I5838" t="s">
        <v>184</v>
      </c>
      <c r="J5838" t="s">
        <v>30</v>
      </c>
      <c r="K5838" t="s">
        <v>185</v>
      </c>
      <c r="M5838" t="s">
        <v>32</v>
      </c>
      <c r="N5838" t="str">
        <f>"9/21/2010 12:00:00 AM"</f>
        <v>9/21/2010 12:00:00 AM</v>
      </c>
      <c r="O5838" t="s">
        <v>17765</v>
      </c>
      <c r="T5838" t="s">
        <v>17766</v>
      </c>
    </row>
    <row r="5839" spans="1:20" x14ac:dyDescent="0.25">
      <c r="A5839" t="str">
        <f>"3056921"</f>
        <v>3056921</v>
      </c>
      <c r="B5839" t="s">
        <v>17768</v>
      </c>
      <c r="C5839" t="str">
        <f>"82532251"</f>
        <v>82532251</v>
      </c>
      <c r="D5839" t="s">
        <v>16941</v>
      </c>
      <c r="F5839" t="s">
        <v>13656</v>
      </c>
      <c r="I5839" t="s">
        <v>29</v>
      </c>
      <c r="J5839" t="s">
        <v>30</v>
      </c>
      <c r="K5839" t="s">
        <v>31</v>
      </c>
      <c r="M5839" t="s">
        <v>32</v>
      </c>
      <c r="N5839" t="str">
        <f>"9/29/2010 12:00:00 AM"</f>
        <v>9/29/2010 12:00:00 AM</v>
      </c>
      <c r="O5839" t="s">
        <v>16941</v>
      </c>
    </row>
    <row r="5840" spans="1:20" x14ac:dyDescent="0.25">
      <c r="A5840" t="str">
        <f>"3047569"</f>
        <v>3047569</v>
      </c>
      <c r="B5840" t="s">
        <v>17769</v>
      </c>
      <c r="C5840" t="str">
        <f>"82532257"</f>
        <v>82532257</v>
      </c>
      <c r="D5840" t="s">
        <v>17770</v>
      </c>
      <c r="F5840" t="s">
        <v>17771</v>
      </c>
      <c r="I5840" t="s">
        <v>29</v>
      </c>
      <c r="J5840" t="s">
        <v>30</v>
      </c>
      <c r="K5840" t="s">
        <v>31</v>
      </c>
      <c r="M5840" t="s">
        <v>32</v>
      </c>
      <c r="N5840" t="str">
        <f>"10/1/2010 12:00:00 AM"</f>
        <v>10/1/2010 12:00:00 AM</v>
      </c>
      <c r="O5840" t="s">
        <v>17770</v>
      </c>
    </row>
    <row r="5841" spans="1:20" x14ac:dyDescent="0.25">
      <c r="A5841" t="str">
        <f>"3054242"</f>
        <v>3054242</v>
      </c>
      <c r="B5841" t="s">
        <v>17772</v>
      </c>
      <c r="C5841" t="str">
        <f>"82532259"</f>
        <v>82532259</v>
      </c>
      <c r="D5841" t="s">
        <v>17773</v>
      </c>
      <c r="F5841" t="s">
        <v>17774</v>
      </c>
      <c r="I5841" t="s">
        <v>29</v>
      </c>
      <c r="J5841" t="s">
        <v>30</v>
      </c>
      <c r="K5841" t="s">
        <v>31</v>
      </c>
      <c r="M5841" t="s">
        <v>32</v>
      </c>
      <c r="N5841" t="str">
        <f>"9/20/2011 12:00:00 AM"</f>
        <v>9/20/2011 12:00:00 AM</v>
      </c>
      <c r="O5841" t="s">
        <v>17773</v>
      </c>
    </row>
    <row r="5842" spans="1:20" x14ac:dyDescent="0.25">
      <c r="A5842" t="str">
        <f>"3058990"</f>
        <v>3058990</v>
      </c>
      <c r="B5842" t="s">
        <v>17775</v>
      </c>
      <c r="C5842" t="str">
        <f>"82532315"</f>
        <v>82532315</v>
      </c>
      <c r="D5842" t="s">
        <v>17776</v>
      </c>
      <c r="E5842" t="s">
        <v>17777</v>
      </c>
      <c r="F5842" t="s">
        <v>17778</v>
      </c>
      <c r="I5842" t="s">
        <v>29</v>
      </c>
      <c r="J5842" t="s">
        <v>30</v>
      </c>
      <c r="K5842" t="s">
        <v>31</v>
      </c>
      <c r="M5842" t="s">
        <v>32</v>
      </c>
      <c r="N5842" t="str">
        <f>"10/18/2010 12:00:00 AM"</f>
        <v>10/18/2010 12:00:00 AM</v>
      </c>
      <c r="O5842" t="s">
        <v>17776</v>
      </c>
      <c r="T5842" t="s">
        <v>17777</v>
      </c>
    </row>
    <row r="5843" spans="1:20" x14ac:dyDescent="0.25">
      <c r="A5843" t="str">
        <f>"3049714"</f>
        <v>3049714</v>
      </c>
      <c r="B5843" t="s">
        <v>17779</v>
      </c>
      <c r="C5843" t="str">
        <f>"82532501"</f>
        <v>82532501</v>
      </c>
      <c r="D5843" t="s">
        <v>17780</v>
      </c>
      <c r="E5843" t="s">
        <v>17781</v>
      </c>
      <c r="F5843" t="s">
        <v>14889</v>
      </c>
      <c r="I5843" t="s">
        <v>29</v>
      </c>
      <c r="J5843" t="s">
        <v>30</v>
      </c>
      <c r="K5843" t="s">
        <v>31</v>
      </c>
      <c r="M5843" t="s">
        <v>32</v>
      </c>
      <c r="N5843" t="str">
        <f>"12/14/2010 12:00:00 AM"</f>
        <v>12/14/2010 12:00:00 AM</v>
      </c>
      <c r="O5843" t="s">
        <v>17780</v>
      </c>
      <c r="T5843" t="s">
        <v>17781</v>
      </c>
    </row>
    <row r="5844" spans="1:20" x14ac:dyDescent="0.25">
      <c r="A5844" t="str">
        <f>"3049715"</f>
        <v>3049715</v>
      </c>
      <c r="B5844" t="s">
        <v>17782</v>
      </c>
      <c r="C5844" t="str">
        <f>"82532501"</f>
        <v>82532501</v>
      </c>
      <c r="D5844" t="s">
        <v>17780</v>
      </c>
      <c r="E5844" t="s">
        <v>17781</v>
      </c>
      <c r="F5844" t="s">
        <v>14889</v>
      </c>
      <c r="I5844" t="s">
        <v>29</v>
      </c>
      <c r="J5844" t="s">
        <v>30</v>
      </c>
      <c r="K5844" t="s">
        <v>31</v>
      </c>
      <c r="M5844" t="s">
        <v>32</v>
      </c>
      <c r="N5844" t="str">
        <f>"12/14/2010 12:00:00 AM"</f>
        <v>12/14/2010 12:00:00 AM</v>
      </c>
      <c r="O5844" t="s">
        <v>17780</v>
      </c>
      <c r="T5844" t="s">
        <v>17781</v>
      </c>
    </row>
    <row r="5845" spans="1:20" x14ac:dyDescent="0.25">
      <c r="A5845" t="str">
        <f>"3078670"</f>
        <v>3078670</v>
      </c>
      <c r="B5845" t="s">
        <v>17783</v>
      </c>
      <c r="C5845" t="str">
        <f>"82532501"</f>
        <v>82532501</v>
      </c>
      <c r="D5845" t="s">
        <v>17780</v>
      </c>
      <c r="E5845" t="s">
        <v>17781</v>
      </c>
      <c r="F5845" t="s">
        <v>14889</v>
      </c>
      <c r="I5845" t="s">
        <v>29</v>
      </c>
      <c r="J5845" t="s">
        <v>30</v>
      </c>
      <c r="K5845" t="s">
        <v>31</v>
      </c>
      <c r="M5845" t="s">
        <v>32</v>
      </c>
      <c r="N5845" t="str">
        <f>"12/14/2010 12:00:00 AM"</f>
        <v>12/14/2010 12:00:00 AM</v>
      </c>
      <c r="O5845" t="s">
        <v>17780</v>
      </c>
      <c r="T5845" t="s">
        <v>17781</v>
      </c>
    </row>
    <row r="5846" spans="1:20" x14ac:dyDescent="0.25">
      <c r="A5846" t="str">
        <f>"3057292"</f>
        <v>3057292</v>
      </c>
      <c r="B5846" t="s">
        <v>17784</v>
      </c>
      <c r="C5846" t="str">
        <f>"82532507"</f>
        <v>82532507</v>
      </c>
      <c r="D5846" t="s">
        <v>17785</v>
      </c>
      <c r="F5846" t="s">
        <v>17786</v>
      </c>
      <c r="I5846" t="s">
        <v>17787</v>
      </c>
      <c r="J5846" t="s">
        <v>1046</v>
      </c>
      <c r="K5846" t="s">
        <v>17788</v>
      </c>
      <c r="M5846" t="s">
        <v>32</v>
      </c>
      <c r="N5846" t="str">
        <f>"12/15/2010 12:00:00 AM"</f>
        <v>12/15/2010 12:00:00 AM</v>
      </c>
      <c r="O5846" t="s">
        <v>17785</v>
      </c>
    </row>
    <row r="5847" spans="1:20" x14ac:dyDescent="0.25">
      <c r="A5847" t="str">
        <f>"3057293"</f>
        <v>3057293</v>
      </c>
      <c r="B5847" t="s">
        <v>17789</v>
      </c>
      <c r="C5847" t="str">
        <f>"82532507"</f>
        <v>82532507</v>
      </c>
      <c r="D5847" t="s">
        <v>17785</v>
      </c>
      <c r="F5847" t="s">
        <v>17786</v>
      </c>
      <c r="I5847" t="s">
        <v>17787</v>
      </c>
      <c r="J5847" t="s">
        <v>1046</v>
      </c>
      <c r="K5847" t="s">
        <v>17788</v>
      </c>
      <c r="M5847" t="s">
        <v>32</v>
      </c>
      <c r="N5847" t="str">
        <f>"12/15/2010 12:00:00 AM"</f>
        <v>12/15/2010 12:00:00 AM</v>
      </c>
      <c r="O5847" t="s">
        <v>17785</v>
      </c>
    </row>
    <row r="5848" spans="1:20" x14ac:dyDescent="0.25">
      <c r="A5848" t="str">
        <f>"3057270"</f>
        <v>3057270</v>
      </c>
      <c r="B5848" t="s">
        <v>17790</v>
      </c>
      <c r="C5848" t="str">
        <f>"82532507"</f>
        <v>82532507</v>
      </c>
      <c r="D5848" t="s">
        <v>17785</v>
      </c>
      <c r="F5848" t="s">
        <v>17786</v>
      </c>
      <c r="I5848" t="s">
        <v>17787</v>
      </c>
      <c r="J5848" t="s">
        <v>1046</v>
      </c>
      <c r="K5848" t="s">
        <v>17788</v>
      </c>
      <c r="M5848" t="s">
        <v>32</v>
      </c>
      <c r="N5848" t="str">
        <f>"12/15/2010 12:00:00 AM"</f>
        <v>12/15/2010 12:00:00 AM</v>
      </c>
      <c r="O5848" t="s">
        <v>17785</v>
      </c>
    </row>
    <row r="5849" spans="1:20" x14ac:dyDescent="0.25">
      <c r="A5849" t="str">
        <f>"3037632"</f>
        <v>3037632</v>
      </c>
      <c r="B5849" t="s">
        <v>17791</v>
      </c>
      <c r="C5849" t="str">
        <f>"82532326"</f>
        <v>82532326</v>
      </c>
      <c r="D5849" t="s">
        <v>17792</v>
      </c>
      <c r="E5849" t="s">
        <v>17793</v>
      </c>
      <c r="F5849" t="s">
        <v>17794</v>
      </c>
      <c r="I5849" t="s">
        <v>29</v>
      </c>
      <c r="J5849" t="s">
        <v>30</v>
      </c>
      <c r="K5849" t="s">
        <v>31</v>
      </c>
      <c r="M5849" t="s">
        <v>32</v>
      </c>
      <c r="N5849" t="str">
        <f>"10/21/2010 12:00:00 AM"</f>
        <v>10/21/2010 12:00:00 AM</v>
      </c>
      <c r="O5849" t="s">
        <v>17792</v>
      </c>
      <c r="T5849" t="s">
        <v>17793</v>
      </c>
    </row>
    <row r="5850" spans="1:20" x14ac:dyDescent="0.25">
      <c r="A5850" t="str">
        <f>"3078949"</f>
        <v>3078949</v>
      </c>
      <c r="B5850" t="s">
        <v>17795</v>
      </c>
      <c r="C5850" t="str">
        <f>"82532332"</f>
        <v>82532332</v>
      </c>
      <c r="D5850" t="s">
        <v>17796</v>
      </c>
      <c r="E5850" t="s">
        <v>17797</v>
      </c>
      <c r="F5850" t="s">
        <v>17798</v>
      </c>
      <c r="I5850" t="s">
        <v>17799</v>
      </c>
      <c r="J5850" t="s">
        <v>12725</v>
      </c>
      <c r="K5850" t="s">
        <v>17800</v>
      </c>
      <c r="M5850" t="s">
        <v>32</v>
      </c>
      <c r="N5850" t="str">
        <f>"10/21/2010 12:00:00 AM"</f>
        <v>10/21/2010 12:00:00 AM</v>
      </c>
      <c r="O5850" t="s">
        <v>17796</v>
      </c>
      <c r="T5850" t="s">
        <v>17797</v>
      </c>
    </row>
    <row r="5851" spans="1:20" x14ac:dyDescent="0.25">
      <c r="A5851" t="str">
        <f>"3046021"</f>
        <v>3046021</v>
      </c>
      <c r="B5851" t="s">
        <v>17801</v>
      </c>
      <c r="C5851" t="str">
        <f>"82532336"</f>
        <v>82532336</v>
      </c>
      <c r="D5851" t="s">
        <v>17802</v>
      </c>
      <c r="E5851" t="s">
        <v>17803</v>
      </c>
      <c r="F5851" t="s">
        <v>17804</v>
      </c>
      <c r="I5851" t="s">
        <v>29</v>
      </c>
      <c r="J5851" t="s">
        <v>30</v>
      </c>
      <c r="K5851" t="s">
        <v>31</v>
      </c>
      <c r="M5851" t="s">
        <v>32</v>
      </c>
      <c r="N5851" t="str">
        <f>"10/26/2010 12:00:00 AM"</f>
        <v>10/26/2010 12:00:00 AM</v>
      </c>
      <c r="O5851" t="s">
        <v>17802</v>
      </c>
      <c r="T5851" t="s">
        <v>17803</v>
      </c>
    </row>
    <row r="5852" spans="1:20" x14ac:dyDescent="0.25">
      <c r="A5852" t="str">
        <f>"3050211"</f>
        <v>3050211</v>
      </c>
      <c r="B5852" t="s">
        <v>17805</v>
      </c>
      <c r="C5852" t="str">
        <f>"82532336"</f>
        <v>82532336</v>
      </c>
      <c r="D5852" t="s">
        <v>17802</v>
      </c>
      <c r="E5852" t="s">
        <v>17803</v>
      </c>
      <c r="F5852" t="s">
        <v>17804</v>
      </c>
      <c r="I5852" t="s">
        <v>29</v>
      </c>
      <c r="J5852" t="s">
        <v>30</v>
      </c>
      <c r="K5852" t="s">
        <v>31</v>
      </c>
      <c r="M5852" t="s">
        <v>32</v>
      </c>
      <c r="N5852" t="str">
        <f>"10/26/2010 12:00:00 AM"</f>
        <v>10/26/2010 12:00:00 AM</v>
      </c>
      <c r="O5852" t="s">
        <v>17802</v>
      </c>
      <c r="T5852" t="s">
        <v>17803</v>
      </c>
    </row>
    <row r="5853" spans="1:20" x14ac:dyDescent="0.25">
      <c r="A5853" t="str">
        <f>"3063019"</f>
        <v>3063019</v>
      </c>
      <c r="B5853" t="s">
        <v>17806</v>
      </c>
      <c r="C5853" t="str">
        <f>"82532345"</f>
        <v>82532345</v>
      </c>
      <c r="D5853" t="s">
        <v>17807</v>
      </c>
      <c r="E5853" t="s">
        <v>17808</v>
      </c>
      <c r="F5853" t="s">
        <v>17809</v>
      </c>
      <c r="I5853" t="s">
        <v>184</v>
      </c>
      <c r="J5853" t="s">
        <v>30</v>
      </c>
      <c r="K5853" t="s">
        <v>185</v>
      </c>
      <c r="M5853" t="s">
        <v>32</v>
      </c>
      <c r="N5853" t="str">
        <f>"10/27/2010 12:00:00 AM"</f>
        <v>10/27/2010 12:00:00 AM</v>
      </c>
      <c r="O5853" t="s">
        <v>17807</v>
      </c>
      <c r="T5853" t="s">
        <v>17808</v>
      </c>
    </row>
    <row r="5854" spans="1:20" x14ac:dyDescent="0.25">
      <c r="A5854" t="str">
        <f>"3039551"</f>
        <v>3039551</v>
      </c>
      <c r="B5854" t="s">
        <v>17810</v>
      </c>
      <c r="C5854" t="str">
        <f>"82532364"</f>
        <v>82532364</v>
      </c>
      <c r="D5854" t="s">
        <v>17811</v>
      </c>
      <c r="E5854" t="s">
        <v>17812</v>
      </c>
      <c r="F5854" t="s">
        <v>17813</v>
      </c>
      <c r="I5854" t="s">
        <v>184</v>
      </c>
      <c r="J5854" t="s">
        <v>30</v>
      </c>
      <c r="K5854" t="s">
        <v>185</v>
      </c>
      <c r="M5854" t="s">
        <v>32</v>
      </c>
      <c r="N5854" t="str">
        <f>"11/2/2010 12:00:00 AM"</f>
        <v>11/2/2010 12:00:00 AM</v>
      </c>
      <c r="O5854" t="s">
        <v>17811</v>
      </c>
      <c r="T5854" t="s">
        <v>17812</v>
      </c>
    </row>
    <row r="5855" spans="1:20" x14ac:dyDescent="0.25">
      <c r="A5855" t="str">
        <f>"3040588"</f>
        <v>3040588</v>
      </c>
      <c r="B5855" t="s">
        <v>17814</v>
      </c>
      <c r="C5855" t="str">
        <f>"82532545"</f>
        <v>82532545</v>
      </c>
      <c r="D5855" t="s">
        <v>17815</v>
      </c>
      <c r="E5855" t="s">
        <v>17816</v>
      </c>
      <c r="F5855" t="s">
        <v>17817</v>
      </c>
      <c r="I5855" t="s">
        <v>184</v>
      </c>
      <c r="J5855" t="s">
        <v>30</v>
      </c>
      <c r="K5855" t="s">
        <v>185</v>
      </c>
      <c r="M5855" t="s">
        <v>32</v>
      </c>
      <c r="N5855" t="str">
        <f>"12/29/2010 12:00:00 AM"</f>
        <v>12/29/2010 12:00:00 AM</v>
      </c>
      <c r="O5855" t="s">
        <v>17815</v>
      </c>
      <c r="T5855" t="s">
        <v>17816</v>
      </c>
    </row>
    <row r="5856" spans="1:20" x14ac:dyDescent="0.25">
      <c r="A5856" t="str">
        <f>"3040585"</f>
        <v>3040585</v>
      </c>
      <c r="B5856" t="s">
        <v>17818</v>
      </c>
      <c r="C5856" t="str">
        <f>"82532364"</f>
        <v>82532364</v>
      </c>
      <c r="D5856" t="s">
        <v>17811</v>
      </c>
      <c r="E5856" t="s">
        <v>17812</v>
      </c>
      <c r="F5856" t="s">
        <v>17813</v>
      </c>
      <c r="I5856" t="s">
        <v>184</v>
      </c>
      <c r="J5856" t="s">
        <v>30</v>
      </c>
      <c r="K5856" t="s">
        <v>185</v>
      </c>
      <c r="M5856" t="s">
        <v>32</v>
      </c>
      <c r="N5856" t="str">
        <f>"11/2/2010 12:00:00 AM"</f>
        <v>11/2/2010 12:00:00 AM</v>
      </c>
      <c r="O5856" t="s">
        <v>17811</v>
      </c>
      <c r="T5856" t="s">
        <v>17812</v>
      </c>
    </row>
    <row r="5857" spans="1:20" x14ac:dyDescent="0.25">
      <c r="A5857" t="str">
        <f>"3056027"</f>
        <v>3056027</v>
      </c>
      <c r="B5857" t="s">
        <v>17819</v>
      </c>
      <c r="C5857" t="str">
        <f>"82532367"</f>
        <v>82532367</v>
      </c>
      <c r="D5857" t="s">
        <v>17820</v>
      </c>
      <c r="E5857" t="s">
        <v>17821</v>
      </c>
      <c r="F5857" t="s">
        <v>17822</v>
      </c>
      <c r="I5857" t="s">
        <v>29</v>
      </c>
      <c r="J5857" t="s">
        <v>30</v>
      </c>
      <c r="K5857" t="s">
        <v>31</v>
      </c>
      <c r="M5857" t="s">
        <v>32</v>
      </c>
      <c r="N5857" t="str">
        <f>"11/3/2010 12:00:00 AM"</f>
        <v>11/3/2010 12:00:00 AM</v>
      </c>
      <c r="O5857" t="s">
        <v>17820</v>
      </c>
      <c r="T5857" t="s">
        <v>17821</v>
      </c>
    </row>
    <row r="5858" spans="1:20" x14ac:dyDescent="0.25">
      <c r="A5858" t="str">
        <f>"3061092"</f>
        <v>3061092</v>
      </c>
      <c r="B5858" t="s">
        <v>17823</v>
      </c>
      <c r="C5858" t="str">
        <f>"82532379"</f>
        <v>82532379</v>
      </c>
      <c r="D5858" t="s">
        <v>17824</v>
      </c>
      <c r="E5858" t="s">
        <v>17825</v>
      </c>
      <c r="F5858" t="s">
        <v>17826</v>
      </c>
      <c r="I5858" t="s">
        <v>184</v>
      </c>
      <c r="J5858" t="s">
        <v>30</v>
      </c>
      <c r="K5858" t="s">
        <v>185</v>
      </c>
      <c r="M5858" t="s">
        <v>32</v>
      </c>
      <c r="N5858" t="str">
        <f>"11/3/2010 12:00:00 AM"</f>
        <v>11/3/2010 12:00:00 AM</v>
      </c>
      <c r="O5858" t="s">
        <v>17824</v>
      </c>
      <c r="T5858" t="s">
        <v>17825</v>
      </c>
    </row>
    <row r="5859" spans="1:20" x14ac:dyDescent="0.25">
      <c r="A5859" t="str">
        <f>"3059624"</f>
        <v>3059624</v>
      </c>
      <c r="B5859" t="s">
        <v>17827</v>
      </c>
      <c r="C5859" t="str">
        <f>"82532371"</f>
        <v>82532371</v>
      </c>
      <c r="D5859" t="s">
        <v>17828</v>
      </c>
      <c r="F5859" t="s">
        <v>17829</v>
      </c>
      <c r="I5859" t="s">
        <v>29</v>
      </c>
      <c r="J5859" t="s">
        <v>30</v>
      </c>
      <c r="K5859" t="s">
        <v>31</v>
      </c>
      <c r="M5859" t="s">
        <v>32</v>
      </c>
      <c r="N5859" t="str">
        <f>"11/3/2010 12:00:00 AM"</f>
        <v>11/3/2010 12:00:00 AM</v>
      </c>
      <c r="O5859" t="s">
        <v>17828</v>
      </c>
    </row>
    <row r="5860" spans="1:20" x14ac:dyDescent="0.25">
      <c r="A5860" t="str">
        <f>"3078822"</f>
        <v>3078822</v>
      </c>
      <c r="B5860" t="s">
        <v>17830</v>
      </c>
      <c r="C5860" t="str">
        <f>"82532382"</f>
        <v>82532382</v>
      </c>
      <c r="D5860" t="s">
        <v>17733</v>
      </c>
      <c r="F5860" t="s">
        <v>9579</v>
      </c>
      <c r="I5860" t="s">
        <v>9580</v>
      </c>
      <c r="J5860" t="s">
        <v>30</v>
      </c>
      <c r="K5860" t="s">
        <v>9581</v>
      </c>
      <c r="M5860" t="s">
        <v>32</v>
      </c>
      <c r="N5860" t="str">
        <f>"9/21/2011 12:00:00 AM"</f>
        <v>9/21/2011 12:00:00 AM</v>
      </c>
      <c r="O5860" t="s">
        <v>17733</v>
      </c>
    </row>
    <row r="5861" spans="1:20" x14ac:dyDescent="0.25">
      <c r="A5861" t="str">
        <f>"3057694"</f>
        <v>3057694</v>
      </c>
      <c r="B5861" t="s">
        <v>17831</v>
      </c>
      <c r="C5861" t="str">
        <f>"82532396"</f>
        <v>82532396</v>
      </c>
      <c r="D5861" t="s">
        <v>17832</v>
      </c>
      <c r="E5861" t="s">
        <v>17833</v>
      </c>
      <c r="F5861" t="s">
        <v>17834</v>
      </c>
      <c r="I5861" t="s">
        <v>184</v>
      </c>
      <c r="J5861" t="s">
        <v>30</v>
      </c>
      <c r="K5861" t="s">
        <v>185</v>
      </c>
      <c r="M5861" t="s">
        <v>32</v>
      </c>
      <c r="N5861" t="str">
        <f>"11/9/2010 12:00:00 AM"</f>
        <v>11/9/2010 12:00:00 AM</v>
      </c>
      <c r="O5861" t="s">
        <v>17832</v>
      </c>
      <c r="T5861" t="s">
        <v>17833</v>
      </c>
    </row>
    <row r="5862" spans="1:20" x14ac:dyDescent="0.25">
      <c r="A5862" t="str">
        <f>"3038609"</f>
        <v>3038609</v>
      </c>
      <c r="B5862" t="s">
        <v>17835</v>
      </c>
      <c r="C5862" t="str">
        <f>"82532397"</f>
        <v>82532397</v>
      </c>
      <c r="D5862" t="s">
        <v>17836</v>
      </c>
      <c r="E5862" t="s">
        <v>17837</v>
      </c>
      <c r="F5862" t="s">
        <v>17838</v>
      </c>
      <c r="I5862" t="s">
        <v>29</v>
      </c>
      <c r="J5862" t="s">
        <v>30</v>
      </c>
      <c r="K5862" t="s">
        <v>31</v>
      </c>
      <c r="M5862" t="s">
        <v>32</v>
      </c>
      <c r="N5862" t="str">
        <f>"11/9/2010 12:00:00 AM"</f>
        <v>11/9/2010 12:00:00 AM</v>
      </c>
      <c r="O5862" t="s">
        <v>17836</v>
      </c>
      <c r="T5862" t="s">
        <v>17837</v>
      </c>
    </row>
    <row r="5863" spans="1:20" x14ac:dyDescent="0.25">
      <c r="A5863" t="str">
        <f>"3038480"</f>
        <v>3038480</v>
      </c>
      <c r="B5863" t="s">
        <v>17839</v>
      </c>
      <c r="C5863" t="str">
        <f>"82532397"</f>
        <v>82532397</v>
      </c>
      <c r="D5863" t="s">
        <v>17836</v>
      </c>
      <c r="E5863" t="s">
        <v>17837</v>
      </c>
      <c r="F5863" t="s">
        <v>17838</v>
      </c>
      <c r="I5863" t="s">
        <v>29</v>
      </c>
      <c r="J5863" t="s">
        <v>30</v>
      </c>
      <c r="K5863" t="s">
        <v>31</v>
      </c>
      <c r="M5863" t="s">
        <v>32</v>
      </c>
      <c r="N5863" t="str">
        <f>"11/9/2010 12:00:00 AM"</f>
        <v>11/9/2010 12:00:00 AM</v>
      </c>
      <c r="O5863" t="s">
        <v>17836</v>
      </c>
      <c r="T5863" t="s">
        <v>17837</v>
      </c>
    </row>
    <row r="5864" spans="1:20" x14ac:dyDescent="0.25">
      <c r="A5864" t="str">
        <f>"3048061"</f>
        <v>3048061</v>
      </c>
      <c r="B5864" t="s">
        <v>17840</v>
      </c>
      <c r="C5864" t="str">
        <f>"82532398"</f>
        <v>82532398</v>
      </c>
      <c r="D5864" t="s">
        <v>17841</v>
      </c>
      <c r="F5864" t="s">
        <v>17842</v>
      </c>
      <c r="I5864" t="s">
        <v>184</v>
      </c>
      <c r="J5864" t="s">
        <v>30</v>
      </c>
      <c r="K5864" t="s">
        <v>185</v>
      </c>
      <c r="M5864" t="s">
        <v>32</v>
      </c>
      <c r="N5864" t="str">
        <f>"11/15/2010 12:00:00 AM"</f>
        <v>11/15/2010 12:00:00 AM</v>
      </c>
      <c r="O5864" t="s">
        <v>17841</v>
      </c>
    </row>
    <row r="5865" spans="1:20" x14ac:dyDescent="0.25">
      <c r="A5865" t="str">
        <f>"3048178"</f>
        <v>3048178</v>
      </c>
      <c r="B5865" t="s">
        <v>17843</v>
      </c>
      <c r="C5865" t="str">
        <f>"5592000"</f>
        <v>5592000</v>
      </c>
      <c r="D5865" t="s">
        <v>17755</v>
      </c>
      <c r="E5865" t="s">
        <v>17756</v>
      </c>
      <c r="F5865" t="s">
        <v>17757</v>
      </c>
      <c r="I5865" t="s">
        <v>184</v>
      </c>
      <c r="J5865" t="s">
        <v>30</v>
      </c>
      <c r="K5865" t="s">
        <v>17758</v>
      </c>
      <c r="M5865" t="s">
        <v>32</v>
      </c>
      <c r="N5865" t="str">
        <f>"11/24/2010 12:00:00 AM"</f>
        <v>11/24/2010 12:00:00 AM</v>
      </c>
      <c r="O5865" t="s">
        <v>17755</v>
      </c>
      <c r="T5865" t="s">
        <v>17756</v>
      </c>
    </row>
    <row r="5866" spans="1:20" x14ac:dyDescent="0.25">
      <c r="A5866" t="str">
        <f>"3050572"</f>
        <v>3050572</v>
      </c>
      <c r="B5866" t="s">
        <v>17844</v>
      </c>
      <c r="C5866" t="str">
        <f>"5592000"</f>
        <v>5592000</v>
      </c>
      <c r="D5866" t="s">
        <v>17755</v>
      </c>
      <c r="E5866" t="s">
        <v>17756</v>
      </c>
      <c r="F5866" t="s">
        <v>17757</v>
      </c>
      <c r="I5866" t="s">
        <v>184</v>
      </c>
      <c r="J5866" t="s">
        <v>30</v>
      </c>
      <c r="K5866" t="s">
        <v>17758</v>
      </c>
      <c r="M5866" t="s">
        <v>32</v>
      </c>
      <c r="N5866" t="str">
        <f>"11/24/2010 12:00:00 AM"</f>
        <v>11/24/2010 12:00:00 AM</v>
      </c>
      <c r="O5866" t="s">
        <v>17755</v>
      </c>
      <c r="T5866" t="s">
        <v>17756</v>
      </c>
    </row>
    <row r="5867" spans="1:20" x14ac:dyDescent="0.25">
      <c r="A5867" t="str">
        <f>"3051454"</f>
        <v>3051454</v>
      </c>
      <c r="B5867" t="s">
        <v>17845</v>
      </c>
      <c r="C5867" t="str">
        <f>"82532420"</f>
        <v>82532420</v>
      </c>
      <c r="D5867" t="s">
        <v>17846</v>
      </c>
      <c r="E5867" t="s">
        <v>17847</v>
      </c>
      <c r="F5867" t="s">
        <v>12805</v>
      </c>
      <c r="I5867" t="s">
        <v>29</v>
      </c>
      <c r="J5867" t="s">
        <v>30</v>
      </c>
      <c r="K5867" t="s">
        <v>31</v>
      </c>
      <c r="M5867" t="s">
        <v>32</v>
      </c>
      <c r="N5867" t="str">
        <f>"11/29/2010 12:00:00 AM"</f>
        <v>11/29/2010 12:00:00 AM</v>
      </c>
      <c r="O5867" t="s">
        <v>17846</v>
      </c>
      <c r="T5867" t="s">
        <v>17847</v>
      </c>
    </row>
    <row r="5868" spans="1:20" x14ac:dyDescent="0.25">
      <c r="A5868" t="str">
        <f>"3060840"</f>
        <v>3060840</v>
      </c>
      <c r="B5868" t="s">
        <v>17848</v>
      </c>
      <c r="C5868" t="str">
        <f>"82532421"</f>
        <v>82532421</v>
      </c>
      <c r="D5868" t="s">
        <v>17849</v>
      </c>
      <c r="E5868" t="s">
        <v>17850</v>
      </c>
      <c r="F5868" t="s">
        <v>17851</v>
      </c>
      <c r="I5868" t="s">
        <v>184</v>
      </c>
      <c r="J5868" t="s">
        <v>30</v>
      </c>
      <c r="K5868" t="s">
        <v>185</v>
      </c>
      <c r="M5868" t="s">
        <v>32</v>
      </c>
      <c r="N5868" t="str">
        <f>"11/29/2010 12:00:00 AM"</f>
        <v>11/29/2010 12:00:00 AM</v>
      </c>
      <c r="O5868" t="s">
        <v>17849</v>
      </c>
      <c r="T5868" t="s">
        <v>17850</v>
      </c>
    </row>
    <row r="5869" spans="1:20" x14ac:dyDescent="0.25">
      <c r="A5869" t="str">
        <f>"3050863"</f>
        <v>3050863</v>
      </c>
      <c r="B5869" t="s">
        <v>17852</v>
      </c>
      <c r="C5869" t="str">
        <f>"82532430"</f>
        <v>82532430</v>
      </c>
      <c r="D5869" t="s">
        <v>17853</v>
      </c>
      <c r="E5869" t="s">
        <v>17854</v>
      </c>
      <c r="F5869" t="s">
        <v>17855</v>
      </c>
      <c r="I5869" t="s">
        <v>184</v>
      </c>
      <c r="J5869" t="s">
        <v>30</v>
      </c>
      <c r="K5869" t="s">
        <v>185</v>
      </c>
      <c r="M5869" t="s">
        <v>32</v>
      </c>
      <c r="N5869" t="str">
        <f>"11/29/2010 12:00:00 AM"</f>
        <v>11/29/2010 12:00:00 AM</v>
      </c>
      <c r="O5869" t="s">
        <v>17853</v>
      </c>
      <c r="T5869" t="s">
        <v>17854</v>
      </c>
    </row>
    <row r="5870" spans="1:20" x14ac:dyDescent="0.25">
      <c r="A5870" t="str">
        <f>"3043455"</f>
        <v>3043455</v>
      </c>
      <c r="B5870" t="s">
        <v>17856</v>
      </c>
      <c r="C5870" t="str">
        <f>"82532092"</f>
        <v>82532092</v>
      </c>
      <c r="D5870" t="s">
        <v>17857</v>
      </c>
      <c r="E5870" t="s">
        <v>17858</v>
      </c>
      <c r="F5870" t="s">
        <v>17859</v>
      </c>
      <c r="I5870" t="s">
        <v>29</v>
      </c>
      <c r="J5870" t="s">
        <v>30</v>
      </c>
      <c r="K5870" t="s">
        <v>17860</v>
      </c>
      <c r="M5870" t="s">
        <v>17861</v>
      </c>
      <c r="N5870" t="str">
        <f>"1/24/2011 11:01:00 AM"</f>
        <v>1/24/2011 11:01:00 AM</v>
      </c>
      <c r="O5870" t="s">
        <v>17857</v>
      </c>
      <c r="T5870" t="s">
        <v>17858</v>
      </c>
    </row>
    <row r="5871" spans="1:20" x14ac:dyDescent="0.25">
      <c r="A5871" t="str">
        <f>"3058767"</f>
        <v>3058767</v>
      </c>
      <c r="B5871" t="s">
        <v>17862</v>
      </c>
      <c r="C5871" t="str">
        <f>"82532284"</f>
        <v>82532284</v>
      </c>
      <c r="D5871" t="s">
        <v>17863</v>
      </c>
      <c r="F5871" t="s">
        <v>17864</v>
      </c>
      <c r="I5871" t="s">
        <v>29</v>
      </c>
      <c r="J5871" t="s">
        <v>30</v>
      </c>
      <c r="K5871" t="s">
        <v>31</v>
      </c>
      <c r="M5871" t="s">
        <v>32</v>
      </c>
      <c r="N5871" t="str">
        <f>"10/6/2010 12:00:00 AM"</f>
        <v>10/6/2010 12:00:00 AM</v>
      </c>
      <c r="O5871" t="s">
        <v>17863</v>
      </c>
    </row>
    <row r="5872" spans="1:20" x14ac:dyDescent="0.25">
      <c r="A5872" t="str">
        <f>"3058711"</f>
        <v>3058711</v>
      </c>
      <c r="B5872" t="s">
        <v>17865</v>
      </c>
      <c r="C5872" t="str">
        <f>"82532513"</f>
        <v>82532513</v>
      </c>
      <c r="D5872" t="s">
        <v>17866</v>
      </c>
      <c r="E5872" t="s">
        <v>17867</v>
      </c>
      <c r="F5872" t="s">
        <v>4911</v>
      </c>
      <c r="I5872" t="s">
        <v>184</v>
      </c>
      <c r="J5872" t="s">
        <v>30</v>
      </c>
      <c r="K5872" t="s">
        <v>185</v>
      </c>
      <c r="M5872" t="s">
        <v>32</v>
      </c>
      <c r="N5872" t="str">
        <f>"1/6/2011 12:00:00 AM"</f>
        <v>1/6/2011 12:00:00 AM</v>
      </c>
      <c r="O5872" t="s">
        <v>17866</v>
      </c>
      <c r="T5872" t="s">
        <v>17867</v>
      </c>
    </row>
    <row r="5873" spans="1:20" x14ac:dyDescent="0.25">
      <c r="A5873" t="str">
        <f>"3045823"</f>
        <v>3045823</v>
      </c>
      <c r="B5873" t="s">
        <v>17868</v>
      </c>
      <c r="C5873" t="str">
        <f>"82531942"</f>
        <v>82531942</v>
      </c>
      <c r="D5873" t="s">
        <v>17869</v>
      </c>
      <c r="E5873" t="s">
        <v>17870</v>
      </c>
      <c r="F5873" t="s">
        <v>17871</v>
      </c>
      <c r="I5873" t="s">
        <v>29</v>
      </c>
      <c r="J5873" t="s">
        <v>30</v>
      </c>
      <c r="K5873" t="s">
        <v>31</v>
      </c>
      <c r="M5873" t="s">
        <v>17861</v>
      </c>
      <c r="N5873" t="str">
        <f>"2/7/2011 3:57:00 PM"</f>
        <v>2/7/2011 3:57:00 PM</v>
      </c>
      <c r="O5873" t="s">
        <v>17869</v>
      </c>
      <c r="T5873" t="s">
        <v>17870</v>
      </c>
    </row>
    <row r="5874" spans="1:20" x14ac:dyDescent="0.25">
      <c r="A5874" t="str">
        <f>"3050047"</f>
        <v>3050047</v>
      </c>
      <c r="B5874" t="s">
        <v>17872</v>
      </c>
      <c r="C5874" t="str">
        <f>"82532525"</f>
        <v>82532525</v>
      </c>
      <c r="D5874" t="s">
        <v>17873</v>
      </c>
      <c r="F5874" t="s">
        <v>17874</v>
      </c>
      <c r="I5874" t="s">
        <v>29</v>
      </c>
      <c r="J5874" t="s">
        <v>30</v>
      </c>
      <c r="K5874" t="s">
        <v>31</v>
      </c>
      <c r="M5874" t="s">
        <v>32</v>
      </c>
      <c r="N5874" t="str">
        <f>"12/21/2010 12:00:00 AM"</f>
        <v>12/21/2010 12:00:00 AM</v>
      </c>
      <c r="O5874" t="s">
        <v>17873</v>
      </c>
    </row>
    <row r="5875" spans="1:20" x14ac:dyDescent="0.25">
      <c r="A5875" t="str">
        <f>"3053593"</f>
        <v>3053593</v>
      </c>
      <c r="B5875" t="s">
        <v>17875</v>
      </c>
      <c r="C5875" t="str">
        <f>"82532532"</f>
        <v>82532532</v>
      </c>
      <c r="D5875" t="s">
        <v>17876</v>
      </c>
      <c r="E5875" t="s">
        <v>17877</v>
      </c>
      <c r="F5875" t="s">
        <v>17878</v>
      </c>
      <c r="I5875" t="s">
        <v>184</v>
      </c>
      <c r="J5875" t="s">
        <v>30</v>
      </c>
      <c r="K5875" t="s">
        <v>185</v>
      </c>
      <c r="M5875" t="s">
        <v>32</v>
      </c>
      <c r="N5875" t="str">
        <f>"12/22/2010 12:00:00 AM"</f>
        <v>12/22/2010 12:00:00 AM</v>
      </c>
      <c r="O5875" t="s">
        <v>17876</v>
      </c>
      <c r="T5875" t="s">
        <v>17877</v>
      </c>
    </row>
    <row r="5876" spans="1:20" x14ac:dyDescent="0.25">
      <c r="A5876" t="str">
        <f>"3060362"</f>
        <v>3060362</v>
      </c>
      <c r="B5876" t="s">
        <v>17879</v>
      </c>
      <c r="C5876" t="str">
        <f>"82532535"</f>
        <v>82532535</v>
      </c>
      <c r="D5876" t="s">
        <v>17880</v>
      </c>
      <c r="F5876" t="s">
        <v>17881</v>
      </c>
      <c r="I5876" t="s">
        <v>29</v>
      </c>
      <c r="J5876" t="s">
        <v>30</v>
      </c>
      <c r="K5876" t="s">
        <v>31</v>
      </c>
      <c r="M5876" t="s">
        <v>32</v>
      </c>
      <c r="N5876" t="str">
        <f>"12/22/2010 12:00:00 AM"</f>
        <v>12/22/2010 12:00:00 AM</v>
      </c>
      <c r="O5876" t="s">
        <v>17880</v>
      </c>
    </row>
    <row r="5877" spans="1:20" x14ac:dyDescent="0.25">
      <c r="A5877" t="str">
        <f>"3037948"</f>
        <v>3037948</v>
      </c>
      <c r="B5877" t="s">
        <v>17882</v>
      </c>
      <c r="C5877" t="str">
        <f>"82532559"</f>
        <v>82532559</v>
      </c>
      <c r="D5877" t="s">
        <v>17883</v>
      </c>
      <c r="E5877" t="s">
        <v>17884</v>
      </c>
      <c r="F5877" t="s">
        <v>17885</v>
      </c>
      <c r="I5877" t="s">
        <v>29</v>
      </c>
      <c r="J5877" t="s">
        <v>30</v>
      </c>
      <c r="K5877" t="s">
        <v>31</v>
      </c>
      <c r="M5877" t="s">
        <v>32</v>
      </c>
      <c r="N5877" t="str">
        <f>"12/29/2010 12:00:00 AM"</f>
        <v>12/29/2010 12:00:00 AM</v>
      </c>
      <c r="O5877" t="s">
        <v>17883</v>
      </c>
      <c r="T5877" t="s">
        <v>17884</v>
      </c>
    </row>
    <row r="5878" spans="1:20" x14ac:dyDescent="0.25">
      <c r="A5878" t="str">
        <f>"3055701"</f>
        <v>3055701</v>
      </c>
      <c r="B5878" t="s">
        <v>17886</v>
      </c>
      <c r="C5878" t="str">
        <f>"82532544"</f>
        <v>82532544</v>
      </c>
      <c r="D5878" t="s">
        <v>17887</v>
      </c>
      <c r="F5878" t="s">
        <v>17888</v>
      </c>
      <c r="I5878" t="s">
        <v>29</v>
      </c>
      <c r="J5878" t="s">
        <v>30</v>
      </c>
      <c r="K5878" t="s">
        <v>31</v>
      </c>
      <c r="M5878" t="s">
        <v>32</v>
      </c>
      <c r="N5878" t="str">
        <f>"12/29/2010 12:00:00 AM"</f>
        <v>12/29/2010 12:00:00 AM</v>
      </c>
      <c r="O5878" t="s">
        <v>17887</v>
      </c>
    </row>
    <row r="5879" spans="1:20" x14ac:dyDescent="0.25">
      <c r="A5879" t="str">
        <f>"3066509"</f>
        <v>3066509</v>
      </c>
      <c r="B5879" t="s">
        <v>17889</v>
      </c>
      <c r="C5879" t="str">
        <f>"82532548"</f>
        <v>82532548</v>
      </c>
      <c r="D5879" t="s">
        <v>17890</v>
      </c>
      <c r="F5879" t="s">
        <v>17891</v>
      </c>
      <c r="I5879" t="s">
        <v>17892</v>
      </c>
      <c r="J5879" t="s">
        <v>11346</v>
      </c>
      <c r="K5879" t="s">
        <v>17893</v>
      </c>
      <c r="M5879" t="s">
        <v>32</v>
      </c>
      <c r="N5879" t="str">
        <f>"12/29/2010 12:00:00 AM"</f>
        <v>12/29/2010 12:00:00 AM</v>
      </c>
      <c r="O5879" t="s">
        <v>17890</v>
      </c>
    </row>
    <row r="5880" spans="1:20" x14ac:dyDescent="0.25">
      <c r="A5880" t="str">
        <f>"3062603"</f>
        <v>3062603</v>
      </c>
      <c r="B5880" t="s">
        <v>17894</v>
      </c>
      <c r="C5880" t="str">
        <f>"82532557"</f>
        <v>82532557</v>
      </c>
      <c r="D5880" t="s">
        <v>17895</v>
      </c>
      <c r="E5880" t="s">
        <v>17896</v>
      </c>
      <c r="F5880" t="s">
        <v>17897</v>
      </c>
      <c r="I5880" t="s">
        <v>184</v>
      </c>
      <c r="J5880" t="s">
        <v>30</v>
      </c>
      <c r="K5880" t="s">
        <v>185</v>
      </c>
      <c r="M5880" t="s">
        <v>32</v>
      </c>
      <c r="N5880" t="str">
        <f>"12/29/2010 12:00:00 AM"</f>
        <v>12/29/2010 12:00:00 AM</v>
      </c>
      <c r="O5880" t="s">
        <v>17895</v>
      </c>
      <c r="T5880" t="s">
        <v>17896</v>
      </c>
    </row>
    <row r="5881" spans="1:20" x14ac:dyDescent="0.25">
      <c r="A5881" t="str">
        <f>"3049442"</f>
        <v>3049442</v>
      </c>
      <c r="B5881" t="s">
        <v>17898</v>
      </c>
      <c r="C5881" t="str">
        <f>"82532569"</f>
        <v>82532569</v>
      </c>
      <c r="D5881" t="s">
        <v>17899</v>
      </c>
      <c r="E5881" t="s">
        <v>17900</v>
      </c>
      <c r="F5881" t="str">
        <f>"C/O EDWARD L EMBREE III"</f>
        <v>C/O EDWARD L EMBREE III</v>
      </c>
      <c r="G5881" t="s">
        <v>17901</v>
      </c>
      <c r="I5881" t="s">
        <v>17902</v>
      </c>
      <c r="J5881" t="s">
        <v>30</v>
      </c>
      <c r="K5881" t="s">
        <v>17903</v>
      </c>
      <c r="M5881" t="s">
        <v>32</v>
      </c>
      <c r="N5881" t="str">
        <f>"1/5/2011 12:00:00 AM"</f>
        <v>1/5/2011 12:00:00 AM</v>
      </c>
      <c r="O5881" t="s">
        <v>17899</v>
      </c>
      <c r="T5881" t="s">
        <v>17900</v>
      </c>
    </row>
    <row r="5882" spans="1:20" x14ac:dyDescent="0.25">
      <c r="A5882" t="str">
        <f>"3056956"</f>
        <v>3056956</v>
      </c>
      <c r="B5882" t="s">
        <v>17904</v>
      </c>
      <c r="C5882" t="str">
        <f>"82532575"</f>
        <v>82532575</v>
      </c>
      <c r="D5882" t="s">
        <v>17905</v>
      </c>
      <c r="E5882" t="s">
        <v>17906</v>
      </c>
      <c r="F5882" t="s">
        <v>17907</v>
      </c>
      <c r="I5882" t="s">
        <v>1107</v>
      </c>
      <c r="J5882" t="s">
        <v>30</v>
      </c>
      <c r="K5882" t="s">
        <v>17908</v>
      </c>
      <c r="M5882" t="s">
        <v>32</v>
      </c>
      <c r="N5882" t="str">
        <f>"1/5/2011 12:00:00 AM"</f>
        <v>1/5/2011 12:00:00 AM</v>
      </c>
      <c r="O5882" t="s">
        <v>17905</v>
      </c>
      <c r="T5882" t="s">
        <v>17906</v>
      </c>
    </row>
    <row r="5883" spans="1:20" x14ac:dyDescent="0.25">
      <c r="A5883" t="str">
        <f>"3056957"</f>
        <v>3056957</v>
      </c>
      <c r="B5883" t="s">
        <v>17909</v>
      </c>
      <c r="C5883" t="str">
        <f>"82532575"</f>
        <v>82532575</v>
      </c>
      <c r="D5883" t="s">
        <v>17905</v>
      </c>
      <c r="E5883" t="s">
        <v>17906</v>
      </c>
      <c r="F5883" t="s">
        <v>17907</v>
      </c>
      <c r="I5883" t="s">
        <v>1107</v>
      </c>
      <c r="J5883" t="s">
        <v>30</v>
      </c>
      <c r="K5883" t="s">
        <v>17908</v>
      </c>
      <c r="M5883" t="s">
        <v>32</v>
      </c>
      <c r="N5883" t="str">
        <f>"1/5/2011 12:00:00 AM"</f>
        <v>1/5/2011 12:00:00 AM</v>
      </c>
      <c r="O5883" t="s">
        <v>17905</v>
      </c>
      <c r="T5883" t="s">
        <v>17906</v>
      </c>
    </row>
    <row r="5884" spans="1:20" x14ac:dyDescent="0.25">
      <c r="A5884" t="str">
        <f>"3046746"</f>
        <v>3046746</v>
      </c>
      <c r="B5884" t="s">
        <v>17910</v>
      </c>
      <c r="C5884" t="str">
        <f>"82532578"</f>
        <v>82532578</v>
      </c>
      <c r="D5884" t="s">
        <v>17911</v>
      </c>
      <c r="F5884" t="s">
        <v>17912</v>
      </c>
      <c r="I5884" t="s">
        <v>184</v>
      </c>
      <c r="J5884" t="s">
        <v>30</v>
      </c>
      <c r="K5884" t="s">
        <v>185</v>
      </c>
      <c r="M5884" t="s">
        <v>32</v>
      </c>
      <c r="N5884" t="str">
        <f>"1/5/2011 12:00:00 AM"</f>
        <v>1/5/2011 12:00:00 AM</v>
      </c>
      <c r="O5884" t="s">
        <v>17911</v>
      </c>
    </row>
    <row r="5885" spans="1:20" x14ac:dyDescent="0.25">
      <c r="A5885" t="str">
        <f>"3041193"</f>
        <v>3041193</v>
      </c>
      <c r="B5885" t="s">
        <v>17913</v>
      </c>
      <c r="C5885" t="str">
        <f>"82532581"</f>
        <v>82532581</v>
      </c>
      <c r="D5885" t="s">
        <v>17914</v>
      </c>
      <c r="E5885" t="s">
        <v>17915</v>
      </c>
      <c r="F5885" t="s">
        <v>17916</v>
      </c>
      <c r="I5885" t="s">
        <v>184</v>
      </c>
      <c r="J5885" t="s">
        <v>30</v>
      </c>
      <c r="K5885" t="s">
        <v>185</v>
      </c>
      <c r="M5885" t="s">
        <v>32</v>
      </c>
      <c r="N5885" t="str">
        <f>"1/5/2011 12:00:00 AM"</f>
        <v>1/5/2011 12:00:00 AM</v>
      </c>
      <c r="O5885" t="s">
        <v>17914</v>
      </c>
      <c r="T5885" t="s">
        <v>17915</v>
      </c>
    </row>
    <row r="5886" spans="1:20" x14ac:dyDescent="0.25">
      <c r="A5886" t="str">
        <f>"3049932"</f>
        <v>3049932</v>
      </c>
      <c r="B5886" t="s">
        <v>17917</v>
      </c>
      <c r="C5886" t="str">
        <f>"82529952"</f>
        <v>82529952</v>
      </c>
      <c r="D5886" t="s">
        <v>17918</v>
      </c>
      <c r="E5886" t="s">
        <v>17919</v>
      </c>
      <c r="F5886" t="s">
        <v>17920</v>
      </c>
      <c r="I5886" t="s">
        <v>17921</v>
      </c>
      <c r="J5886" t="s">
        <v>30</v>
      </c>
      <c r="K5886" t="str">
        <f>"27028"</f>
        <v>27028</v>
      </c>
      <c r="M5886" t="s">
        <v>17922</v>
      </c>
      <c r="N5886" t="str">
        <f>"1/7/2011 10:45:00 AM"</f>
        <v>1/7/2011 10:45:00 AM</v>
      </c>
      <c r="O5886" t="s">
        <v>17918</v>
      </c>
      <c r="T5886" t="s">
        <v>17919</v>
      </c>
    </row>
    <row r="5887" spans="1:20" x14ac:dyDescent="0.25">
      <c r="A5887" t="str">
        <f>"3043445"</f>
        <v>3043445</v>
      </c>
      <c r="B5887" t="s">
        <v>17923</v>
      </c>
      <c r="C5887" t="str">
        <f>"8300315"</f>
        <v>8300315</v>
      </c>
      <c r="D5887" t="s">
        <v>17924</v>
      </c>
      <c r="E5887" t="s">
        <v>17925</v>
      </c>
      <c r="F5887" t="s">
        <v>17926</v>
      </c>
      <c r="I5887" t="s">
        <v>29</v>
      </c>
      <c r="J5887" t="s">
        <v>30</v>
      </c>
      <c r="K5887" t="s">
        <v>31</v>
      </c>
      <c r="M5887" t="s">
        <v>32</v>
      </c>
      <c r="N5887" t="str">
        <f>"8/11/2011 12:00:00 AM"</f>
        <v>8/11/2011 12:00:00 AM</v>
      </c>
      <c r="O5887" t="s">
        <v>17924</v>
      </c>
      <c r="T5887" t="s">
        <v>17925</v>
      </c>
    </row>
    <row r="5888" spans="1:20" x14ac:dyDescent="0.25">
      <c r="A5888" t="str">
        <f>"3040625"</f>
        <v>3040625</v>
      </c>
      <c r="B5888" t="s">
        <v>17927</v>
      </c>
      <c r="C5888" t="str">
        <f>"8300322"</f>
        <v>8300322</v>
      </c>
      <c r="D5888" t="s">
        <v>17928</v>
      </c>
      <c r="E5888" t="s">
        <v>17929</v>
      </c>
      <c r="F5888" t="s">
        <v>17930</v>
      </c>
      <c r="I5888" t="s">
        <v>184</v>
      </c>
      <c r="J5888" t="s">
        <v>30</v>
      </c>
      <c r="K5888" t="s">
        <v>185</v>
      </c>
      <c r="M5888" t="s">
        <v>32</v>
      </c>
      <c r="N5888" t="str">
        <f>"8/11/2011 12:00:00 AM"</f>
        <v>8/11/2011 12:00:00 AM</v>
      </c>
      <c r="O5888" t="s">
        <v>17928</v>
      </c>
      <c r="T5888" t="s">
        <v>17929</v>
      </c>
    </row>
    <row r="5889" spans="1:20" x14ac:dyDescent="0.25">
      <c r="A5889" t="str">
        <f>"3078678"</f>
        <v>3078678</v>
      </c>
      <c r="B5889" t="s">
        <v>17931</v>
      </c>
      <c r="C5889" t="str">
        <f>"82529952"</f>
        <v>82529952</v>
      </c>
      <c r="D5889" t="s">
        <v>17918</v>
      </c>
      <c r="E5889" t="s">
        <v>17919</v>
      </c>
      <c r="F5889" t="s">
        <v>17920</v>
      </c>
      <c r="I5889" t="s">
        <v>17921</v>
      </c>
      <c r="J5889" t="s">
        <v>30</v>
      </c>
      <c r="K5889" t="str">
        <f>"27028"</f>
        <v>27028</v>
      </c>
      <c r="M5889" t="s">
        <v>17922</v>
      </c>
      <c r="N5889" t="str">
        <f>"1/7/2011 10:45:00 AM"</f>
        <v>1/7/2011 10:45:00 AM</v>
      </c>
      <c r="O5889" t="s">
        <v>17918</v>
      </c>
      <c r="T5889" t="s">
        <v>17919</v>
      </c>
    </row>
    <row r="5890" spans="1:20" x14ac:dyDescent="0.25">
      <c r="A5890" t="str">
        <f>"3078726"</f>
        <v>3078726</v>
      </c>
      <c r="B5890" t="s">
        <v>17932</v>
      </c>
      <c r="C5890" t="str">
        <f>"82529952"</f>
        <v>82529952</v>
      </c>
      <c r="D5890" t="s">
        <v>17918</v>
      </c>
      <c r="E5890" t="s">
        <v>17919</v>
      </c>
      <c r="F5890" t="s">
        <v>17920</v>
      </c>
      <c r="I5890" t="s">
        <v>17921</v>
      </c>
      <c r="J5890" t="s">
        <v>30</v>
      </c>
      <c r="K5890" t="str">
        <f>"27028"</f>
        <v>27028</v>
      </c>
      <c r="M5890" t="s">
        <v>17922</v>
      </c>
      <c r="N5890" t="str">
        <f>"1/7/2011 10:45:00 AM"</f>
        <v>1/7/2011 10:45:00 AM</v>
      </c>
      <c r="O5890" t="s">
        <v>17918</v>
      </c>
      <c r="T5890" t="s">
        <v>17919</v>
      </c>
    </row>
    <row r="5891" spans="1:20" x14ac:dyDescent="0.25">
      <c r="A5891" t="str">
        <f>"3060136"</f>
        <v>3060136</v>
      </c>
      <c r="B5891" t="s">
        <v>17933</v>
      </c>
      <c r="C5891" t="str">
        <f>"82514846"</f>
        <v>82514846</v>
      </c>
      <c r="D5891" t="s">
        <v>17934</v>
      </c>
      <c r="F5891" t="s">
        <v>17935</v>
      </c>
      <c r="I5891" t="s">
        <v>184</v>
      </c>
      <c r="J5891" t="s">
        <v>30</v>
      </c>
      <c r="K5891" t="s">
        <v>185</v>
      </c>
      <c r="M5891" t="s">
        <v>17861</v>
      </c>
      <c r="N5891" t="str">
        <f>"1/11/2011 1:46:00 PM"</f>
        <v>1/11/2011 1:46:00 PM</v>
      </c>
      <c r="O5891" t="s">
        <v>17934</v>
      </c>
    </row>
    <row r="5892" spans="1:20" x14ac:dyDescent="0.25">
      <c r="A5892" t="str">
        <f>"3051296"</f>
        <v>3051296</v>
      </c>
      <c r="B5892" t="s">
        <v>17936</v>
      </c>
      <c r="C5892" t="str">
        <f>"82528842"</f>
        <v>82528842</v>
      </c>
      <c r="D5892" t="s">
        <v>17937</v>
      </c>
      <c r="E5892" t="s">
        <v>17938</v>
      </c>
      <c r="F5892" t="s">
        <v>17939</v>
      </c>
      <c r="I5892" t="s">
        <v>29</v>
      </c>
      <c r="J5892" t="s">
        <v>30</v>
      </c>
      <c r="K5892" t="s">
        <v>31</v>
      </c>
      <c r="M5892" t="s">
        <v>17861</v>
      </c>
      <c r="N5892" t="str">
        <f>"1/18/2011 3:02:00 PM"</f>
        <v>1/18/2011 3:02:00 PM</v>
      </c>
      <c r="O5892" t="s">
        <v>17937</v>
      </c>
      <c r="T5892" t="s">
        <v>17938</v>
      </c>
    </row>
    <row r="5893" spans="1:20" x14ac:dyDescent="0.25">
      <c r="A5893" t="str">
        <f>"3040938"</f>
        <v>3040938</v>
      </c>
      <c r="B5893" t="s">
        <v>17940</v>
      </c>
      <c r="C5893" t="str">
        <f>"82532307"</f>
        <v>82532307</v>
      </c>
      <c r="D5893" t="s">
        <v>17941</v>
      </c>
      <c r="F5893" t="s">
        <v>17942</v>
      </c>
      <c r="I5893" t="s">
        <v>184</v>
      </c>
      <c r="J5893" t="s">
        <v>30</v>
      </c>
      <c r="K5893" t="s">
        <v>185</v>
      </c>
      <c r="M5893" t="s">
        <v>17861</v>
      </c>
      <c r="N5893" t="str">
        <f>"1/19/2011 9:02:00 AM"</f>
        <v>1/19/2011 9:02:00 AM</v>
      </c>
      <c r="O5893" t="s">
        <v>17941</v>
      </c>
    </row>
    <row r="5894" spans="1:20" x14ac:dyDescent="0.25">
      <c r="A5894" t="str">
        <f>"3041464"</f>
        <v>3041464</v>
      </c>
      <c r="B5894" t="s">
        <v>17943</v>
      </c>
      <c r="C5894" t="str">
        <f>"8300150"</f>
        <v>8300150</v>
      </c>
      <c r="D5894" t="s">
        <v>17944</v>
      </c>
      <c r="E5894" t="s">
        <v>17945</v>
      </c>
      <c r="F5894" t="s">
        <v>17946</v>
      </c>
      <c r="I5894" t="s">
        <v>2071</v>
      </c>
      <c r="J5894" t="s">
        <v>30</v>
      </c>
      <c r="K5894" t="s">
        <v>185</v>
      </c>
      <c r="M5894" t="s">
        <v>32</v>
      </c>
      <c r="N5894" t="str">
        <f t="shared" ref="N5894:N5899" si="82">"8/9/2011 12:00:00 AM"</f>
        <v>8/9/2011 12:00:00 AM</v>
      </c>
      <c r="O5894" t="s">
        <v>17944</v>
      </c>
      <c r="T5894" t="s">
        <v>17945</v>
      </c>
    </row>
    <row r="5895" spans="1:20" x14ac:dyDescent="0.25">
      <c r="A5895" t="str">
        <f>"3041526"</f>
        <v>3041526</v>
      </c>
      <c r="B5895" t="s">
        <v>17947</v>
      </c>
      <c r="C5895" t="str">
        <f>"8300043"</f>
        <v>8300043</v>
      </c>
      <c r="D5895" t="s">
        <v>17948</v>
      </c>
      <c r="F5895" t="s">
        <v>17949</v>
      </c>
      <c r="I5895" t="s">
        <v>2071</v>
      </c>
      <c r="J5895" t="s">
        <v>30</v>
      </c>
      <c r="K5895" t="s">
        <v>185</v>
      </c>
      <c r="M5895" t="s">
        <v>32</v>
      </c>
      <c r="N5895" t="str">
        <f t="shared" si="82"/>
        <v>8/9/2011 12:00:00 AM</v>
      </c>
      <c r="O5895" t="s">
        <v>17948</v>
      </c>
    </row>
    <row r="5896" spans="1:20" x14ac:dyDescent="0.25">
      <c r="A5896" t="str">
        <f>"3038360"</f>
        <v>3038360</v>
      </c>
      <c r="B5896" t="s">
        <v>17950</v>
      </c>
      <c r="C5896" t="str">
        <f>"8300054"</f>
        <v>8300054</v>
      </c>
      <c r="D5896" t="s">
        <v>17951</v>
      </c>
      <c r="E5896" t="s">
        <v>17952</v>
      </c>
      <c r="F5896" t="s">
        <v>17953</v>
      </c>
      <c r="I5896" t="s">
        <v>29</v>
      </c>
      <c r="J5896" t="s">
        <v>30</v>
      </c>
      <c r="K5896" t="s">
        <v>31</v>
      </c>
      <c r="M5896" t="s">
        <v>32</v>
      </c>
      <c r="N5896" t="str">
        <f t="shared" si="82"/>
        <v>8/9/2011 12:00:00 AM</v>
      </c>
      <c r="O5896" t="s">
        <v>17951</v>
      </c>
      <c r="T5896" t="s">
        <v>17952</v>
      </c>
    </row>
    <row r="5897" spans="1:20" x14ac:dyDescent="0.25">
      <c r="A5897" t="str">
        <f>"3037803"</f>
        <v>3037803</v>
      </c>
      <c r="B5897" t="s">
        <v>17954</v>
      </c>
      <c r="C5897" t="str">
        <f>"8300054"</f>
        <v>8300054</v>
      </c>
      <c r="D5897" t="s">
        <v>17951</v>
      </c>
      <c r="E5897" t="s">
        <v>17952</v>
      </c>
      <c r="F5897" t="s">
        <v>17953</v>
      </c>
      <c r="I5897" t="s">
        <v>29</v>
      </c>
      <c r="J5897" t="s">
        <v>30</v>
      </c>
      <c r="K5897" t="s">
        <v>31</v>
      </c>
      <c r="M5897" t="s">
        <v>32</v>
      </c>
      <c r="N5897" t="str">
        <f t="shared" si="82"/>
        <v>8/9/2011 12:00:00 AM</v>
      </c>
      <c r="O5897" t="s">
        <v>17951</v>
      </c>
      <c r="T5897" t="s">
        <v>17952</v>
      </c>
    </row>
    <row r="5898" spans="1:20" x14ac:dyDescent="0.25">
      <c r="A5898" t="str">
        <f>"3039793"</f>
        <v>3039793</v>
      </c>
      <c r="B5898" t="s">
        <v>17955</v>
      </c>
      <c r="C5898" t="str">
        <f>"8300067"</f>
        <v>8300067</v>
      </c>
      <c r="D5898" t="s">
        <v>17956</v>
      </c>
      <c r="E5898" t="s">
        <v>2818</v>
      </c>
      <c r="F5898" t="s">
        <v>2819</v>
      </c>
      <c r="I5898" t="s">
        <v>29</v>
      </c>
      <c r="J5898" t="s">
        <v>30</v>
      </c>
      <c r="K5898" t="s">
        <v>31</v>
      </c>
      <c r="M5898" t="s">
        <v>32</v>
      </c>
      <c r="N5898" t="str">
        <f t="shared" si="82"/>
        <v>8/9/2011 12:00:00 AM</v>
      </c>
      <c r="O5898" t="s">
        <v>17956</v>
      </c>
      <c r="T5898" t="s">
        <v>2818</v>
      </c>
    </row>
    <row r="5899" spans="1:20" x14ac:dyDescent="0.25">
      <c r="A5899" t="str">
        <f>"3065941"</f>
        <v>3065941</v>
      </c>
      <c r="B5899" t="s">
        <v>17957</v>
      </c>
      <c r="C5899" t="str">
        <f>"8300067"</f>
        <v>8300067</v>
      </c>
      <c r="D5899" t="s">
        <v>17956</v>
      </c>
      <c r="E5899" t="s">
        <v>2818</v>
      </c>
      <c r="F5899" t="s">
        <v>2819</v>
      </c>
      <c r="I5899" t="s">
        <v>29</v>
      </c>
      <c r="J5899" t="s">
        <v>30</v>
      </c>
      <c r="K5899" t="s">
        <v>31</v>
      </c>
      <c r="M5899" t="s">
        <v>32</v>
      </c>
      <c r="N5899" t="str">
        <f t="shared" si="82"/>
        <v>8/9/2011 12:00:00 AM</v>
      </c>
      <c r="O5899" t="s">
        <v>17956</v>
      </c>
      <c r="T5899" t="s">
        <v>2818</v>
      </c>
    </row>
    <row r="5900" spans="1:20" x14ac:dyDescent="0.25">
      <c r="A5900" t="str">
        <f>"3044702"</f>
        <v>3044702</v>
      </c>
      <c r="B5900" t="s">
        <v>17958</v>
      </c>
      <c r="C5900" t="str">
        <f>"82529591"</f>
        <v>82529591</v>
      </c>
      <c r="D5900" t="s">
        <v>17959</v>
      </c>
      <c r="E5900" t="s">
        <v>17960</v>
      </c>
      <c r="F5900" t="s">
        <v>17961</v>
      </c>
      <c r="I5900" t="s">
        <v>184</v>
      </c>
      <c r="J5900" t="s">
        <v>30</v>
      </c>
      <c r="K5900" t="s">
        <v>17962</v>
      </c>
      <c r="M5900" t="s">
        <v>17861</v>
      </c>
      <c r="N5900" t="str">
        <f>"1/24/2011 10:55:00 AM"</f>
        <v>1/24/2011 10:55:00 AM</v>
      </c>
      <c r="O5900" t="s">
        <v>17959</v>
      </c>
      <c r="T5900" t="s">
        <v>17960</v>
      </c>
    </row>
    <row r="5901" spans="1:20" x14ac:dyDescent="0.25">
      <c r="A5901" t="str">
        <f>"3039370"</f>
        <v>3039370</v>
      </c>
      <c r="B5901" t="s">
        <v>17963</v>
      </c>
      <c r="C5901" t="str">
        <f>"82532438"</f>
        <v>82532438</v>
      </c>
      <c r="D5901" t="s">
        <v>17964</v>
      </c>
      <c r="F5901" t="s">
        <v>17965</v>
      </c>
      <c r="I5901" t="s">
        <v>402</v>
      </c>
      <c r="J5901" t="s">
        <v>30</v>
      </c>
      <c r="K5901" t="s">
        <v>403</v>
      </c>
      <c r="M5901" t="s">
        <v>32</v>
      </c>
      <c r="N5901" t="str">
        <f>"12/1/2010 12:00:00 AM"</f>
        <v>12/1/2010 12:00:00 AM</v>
      </c>
      <c r="O5901" t="s">
        <v>17964</v>
      </c>
    </row>
    <row r="5902" spans="1:20" x14ac:dyDescent="0.25">
      <c r="A5902" t="str">
        <f>"3038984"</f>
        <v>3038984</v>
      </c>
      <c r="B5902" t="s">
        <v>17966</v>
      </c>
      <c r="C5902" t="str">
        <f>"82532440"</f>
        <v>82532440</v>
      </c>
      <c r="D5902" t="s">
        <v>17967</v>
      </c>
      <c r="E5902" t="s">
        <v>17968</v>
      </c>
      <c r="F5902" t="s">
        <v>17969</v>
      </c>
      <c r="I5902" t="s">
        <v>29</v>
      </c>
      <c r="J5902" t="s">
        <v>30</v>
      </c>
      <c r="K5902" t="s">
        <v>31</v>
      </c>
      <c r="M5902" t="s">
        <v>32</v>
      </c>
      <c r="N5902" t="str">
        <f>"12/1/2010 12:00:00 AM"</f>
        <v>12/1/2010 12:00:00 AM</v>
      </c>
      <c r="O5902" t="s">
        <v>17967</v>
      </c>
      <c r="T5902" t="s">
        <v>17968</v>
      </c>
    </row>
    <row r="5903" spans="1:20" x14ac:dyDescent="0.25">
      <c r="A5903" t="str">
        <f>"3044755"</f>
        <v>3044755</v>
      </c>
      <c r="B5903" t="s">
        <v>17970</v>
      </c>
      <c r="C5903" t="str">
        <f>"8300062"</f>
        <v>8300062</v>
      </c>
      <c r="D5903" t="s">
        <v>17971</v>
      </c>
      <c r="E5903" t="s">
        <v>17972</v>
      </c>
      <c r="F5903" t="s">
        <v>17973</v>
      </c>
      <c r="I5903" t="s">
        <v>184</v>
      </c>
      <c r="J5903" t="s">
        <v>30</v>
      </c>
      <c r="K5903" t="s">
        <v>185</v>
      </c>
      <c r="M5903" t="s">
        <v>32</v>
      </c>
      <c r="N5903" t="str">
        <f>"8/9/2011 12:00:00 AM"</f>
        <v>8/9/2011 12:00:00 AM</v>
      </c>
      <c r="O5903" t="s">
        <v>17971</v>
      </c>
      <c r="T5903" t="s">
        <v>17972</v>
      </c>
    </row>
    <row r="5904" spans="1:20" x14ac:dyDescent="0.25">
      <c r="A5904" t="str">
        <f>"3044791"</f>
        <v>3044791</v>
      </c>
      <c r="B5904" t="s">
        <v>17974</v>
      </c>
      <c r="C5904" t="str">
        <f>"8300044"</f>
        <v>8300044</v>
      </c>
      <c r="D5904" t="s">
        <v>17975</v>
      </c>
      <c r="E5904" t="s">
        <v>17976</v>
      </c>
      <c r="F5904" t="s">
        <v>17977</v>
      </c>
      <c r="I5904" t="s">
        <v>184</v>
      </c>
      <c r="J5904" t="s">
        <v>30</v>
      </c>
      <c r="K5904" t="s">
        <v>185</v>
      </c>
      <c r="M5904" t="s">
        <v>32</v>
      </c>
      <c r="N5904" t="str">
        <f>"8/9/2011 12:00:00 AM"</f>
        <v>8/9/2011 12:00:00 AM</v>
      </c>
      <c r="O5904" t="s">
        <v>17975</v>
      </c>
      <c r="T5904" t="s">
        <v>17976</v>
      </c>
    </row>
    <row r="5905" spans="1:20" x14ac:dyDescent="0.25">
      <c r="A5905" t="str">
        <f>"3042892"</f>
        <v>3042892</v>
      </c>
      <c r="B5905" t="s">
        <v>17978</v>
      </c>
      <c r="C5905" t="str">
        <f>"67200000"</f>
        <v>67200000</v>
      </c>
      <c r="D5905" t="s">
        <v>17979</v>
      </c>
      <c r="E5905" t="s">
        <v>14256</v>
      </c>
      <c r="F5905" t="s">
        <v>14257</v>
      </c>
      <c r="I5905" t="s">
        <v>29</v>
      </c>
      <c r="J5905" t="s">
        <v>30</v>
      </c>
      <c r="K5905" t="s">
        <v>31</v>
      </c>
      <c r="M5905" t="s">
        <v>17861</v>
      </c>
      <c r="N5905" t="str">
        <f>"5/19/2011 3:15:00 PM"</f>
        <v>5/19/2011 3:15:00 PM</v>
      </c>
      <c r="O5905" t="s">
        <v>17979</v>
      </c>
      <c r="T5905" t="s">
        <v>14256</v>
      </c>
    </row>
    <row r="5906" spans="1:20" x14ac:dyDescent="0.25">
      <c r="A5906" t="str">
        <f>"3050253"</f>
        <v>3050253</v>
      </c>
      <c r="B5906" t="s">
        <v>17980</v>
      </c>
      <c r="C5906" t="str">
        <f>"82532501"</f>
        <v>82532501</v>
      </c>
      <c r="D5906" t="s">
        <v>17780</v>
      </c>
      <c r="E5906" t="s">
        <v>17781</v>
      </c>
      <c r="F5906" t="s">
        <v>14889</v>
      </c>
      <c r="I5906" t="s">
        <v>29</v>
      </c>
      <c r="J5906" t="s">
        <v>30</v>
      </c>
      <c r="K5906" t="s">
        <v>31</v>
      </c>
      <c r="M5906" t="s">
        <v>32</v>
      </c>
      <c r="N5906" t="str">
        <f>"12/14/2010 12:00:00 AM"</f>
        <v>12/14/2010 12:00:00 AM</v>
      </c>
      <c r="O5906" t="s">
        <v>17780</v>
      </c>
      <c r="T5906" t="s">
        <v>17781</v>
      </c>
    </row>
    <row r="5907" spans="1:20" x14ac:dyDescent="0.25">
      <c r="A5907" t="str">
        <f>"3055198"</f>
        <v>3055198</v>
      </c>
      <c r="B5907" t="s">
        <v>17981</v>
      </c>
      <c r="C5907" t="str">
        <f>"82531472"</f>
        <v>82531472</v>
      </c>
      <c r="D5907" t="s">
        <v>17982</v>
      </c>
      <c r="F5907" t="s">
        <v>17983</v>
      </c>
      <c r="I5907" t="s">
        <v>29</v>
      </c>
      <c r="J5907" t="s">
        <v>30</v>
      </c>
      <c r="K5907" t="s">
        <v>31</v>
      </c>
      <c r="M5907" t="s">
        <v>17861</v>
      </c>
      <c r="N5907" t="str">
        <f>"2/11/2011 12:47:00 PM"</f>
        <v>2/11/2011 12:47:00 PM</v>
      </c>
      <c r="O5907" t="s">
        <v>17982</v>
      </c>
    </row>
    <row r="5908" spans="1:20" x14ac:dyDescent="0.25">
      <c r="A5908" t="str">
        <f>"3047521"</f>
        <v>3047521</v>
      </c>
      <c r="B5908" t="s">
        <v>17984</v>
      </c>
      <c r="C5908" t="str">
        <f>"8300206"</f>
        <v>8300206</v>
      </c>
      <c r="D5908" t="s">
        <v>17985</v>
      </c>
      <c r="F5908" t="s">
        <v>17986</v>
      </c>
      <c r="I5908" t="s">
        <v>29</v>
      </c>
      <c r="J5908" t="s">
        <v>30</v>
      </c>
      <c r="K5908" t="s">
        <v>31</v>
      </c>
      <c r="M5908" t="s">
        <v>32</v>
      </c>
      <c r="N5908" t="str">
        <f>"8/18/2011 12:00:00 AM"</f>
        <v>8/18/2011 12:00:00 AM</v>
      </c>
      <c r="O5908" t="s">
        <v>17985</v>
      </c>
    </row>
    <row r="5909" spans="1:20" x14ac:dyDescent="0.25">
      <c r="A5909" t="str">
        <f>"3068636"</f>
        <v>3068636</v>
      </c>
      <c r="B5909" t="s">
        <v>17987</v>
      </c>
      <c r="C5909" t="str">
        <f>"8300120"</f>
        <v>8300120</v>
      </c>
      <c r="D5909" t="s">
        <v>17988</v>
      </c>
      <c r="F5909" t="s">
        <v>17989</v>
      </c>
      <c r="I5909" t="s">
        <v>29</v>
      </c>
      <c r="J5909" t="s">
        <v>30</v>
      </c>
      <c r="K5909" t="s">
        <v>31</v>
      </c>
      <c r="M5909" t="s">
        <v>32</v>
      </c>
      <c r="N5909" t="str">
        <f>"8/9/2011 12:00:00 AM"</f>
        <v>8/9/2011 12:00:00 AM</v>
      </c>
      <c r="O5909" t="s">
        <v>17988</v>
      </c>
    </row>
    <row r="5910" spans="1:20" x14ac:dyDescent="0.25">
      <c r="A5910" t="str">
        <f>"3068634"</f>
        <v>3068634</v>
      </c>
      <c r="B5910" t="s">
        <v>17990</v>
      </c>
      <c r="C5910" t="str">
        <f>"8300120"</f>
        <v>8300120</v>
      </c>
      <c r="D5910" t="s">
        <v>17988</v>
      </c>
      <c r="F5910" t="s">
        <v>17989</v>
      </c>
      <c r="I5910" t="s">
        <v>29</v>
      </c>
      <c r="J5910" t="s">
        <v>30</v>
      </c>
      <c r="K5910" t="s">
        <v>31</v>
      </c>
      <c r="M5910" t="s">
        <v>32</v>
      </c>
      <c r="N5910" t="str">
        <f>"8/9/2011 12:00:00 AM"</f>
        <v>8/9/2011 12:00:00 AM</v>
      </c>
      <c r="O5910" t="s">
        <v>17988</v>
      </c>
    </row>
    <row r="5911" spans="1:20" x14ac:dyDescent="0.25">
      <c r="A5911" t="str">
        <f>"3078096"</f>
        <v>3078096</v>
      </c>
      <c r="B5911" t="s">
        <v>17991</v>
      </c>
      <c r="C5911" t="str">
        <f>"8300120"</f>
        <v>8300120</v>
      </c>
      <c r="D5911" t="s">
        <v>17988</v>
      </c>
      <c r="F5911" t="s">
        <v>17989</v>
      </c>
      <c r="I5911" t="s">
        <v>29</v>
      </c>
      <c r="J5911" t="s">
        <v>30</v>
      </c>
      <c r="K5911" t="s">
        <v>31</v>
      </c>
      <c r="M5911" t="s">
        <v>32</v>
      </c>
      <c r="N5911" t="str">
        <f>"8/9/2011 12:00:00 AM"</f>
        <v>8/9/2011 12:00:00 AM</v>
      </c>
      <c r="O5911" t="s">
        <v>17988</v>
      </c>
    </row>
    <row r="5912" spans="1:20" x14ac:dyDescent="0.25">
      <c r="A5912" t="str">
        <f>"3058280"</f>
        <v>3058280</v>
      </c>
      <c r="B5912" t="s">
        <v>17992</v>
      </c>
      <c r="C5912" t="str">
        <f>"8300046"</f>
        <v>8300046</v>
      </c>
      <c r="D5912" t="s">
        <v>17993</v>
      </c>
      <c r="E5912" t="s">
        <v>17994</v>
      </c>
      <c r="F5912" t="s">
        <v>17995</v>
      </c>
      <c r="I5912" t="s">
        <v>29</v>
      </c>
      <c r="J5912" t="s">
        <v>30</v>
      </c>
      <c r="K5912" t="s">
        <v>31</v>
      </c>
      <c r="M5912" t="s">
        <v>32</v>
      </c>
      <c r="N5912" t="str">
        <f>"8/9/2011 12:00:00 AM"</f>
        <v>8/9/2011 12:00:00 AM</v>
      </c>
      <c r="O5912" t="s">
        <v>17993</v>
      </c>
      <c r="T5912" t="s">
        <v>17994</v>
      </c>
    </row>
    <row r="5913" spans="1:20" x14ac:dyDescent="0.25">
      <c r="A5913" t="str">
        <f>"3046464"</f>
        <v>3046464</v>
      </c>
      <c r="B5913" t="s">
        <v>17996</v>
      </c>
      <c r="C5913" t="str">
        <f>"8300186"</f>
        <v>8300186</v>
      </c>
      <c r="D5913" t="s">
        <v>17997</v>
      </c>
      <c r="E5913" t="s">
        <v>17998</v>
      </c>
      <c r="F5913" t="s">
        <v>17999</v>
      </c>
      <c r="I5913" t="s">
        <v>184</v>
      </c>
      <c r="J5913" t="s">
        <v>30</v>
      </c>
      <c r="K5913" t="s">
        <v>185</v>
      </c>
      <c r="M5913" t="s">
        <v>32</v>
      </c>
      <c r="N5913" t="str">
        <f>"8/9/2011 12:00:00 AM"</f>
        <v>8/9/2011 12:00:00 AM</v>
      </c>
      <c r="O5913" t="s">
        <v>17997</v>
      </c>
      <c r="T5913" t="s">
        <v>17998</v>
      </c>
    </row>
    <row r="5914" spans="1:20" x14ac:dyDescent="0.25">
      <c r="A5914" t="str">
        <f>"3062284"</f>
        <v>3062284</v>
      </c>
      <c r="B5914" t="s">
        <v>18000</v>
      </c>
      <c r="C5914" t="str">
        <f>"8300199"</f>
        <v>8300199</v>
      </c>
      <c r="D5914" t="s">
        <v>18001</v>
      </c>
      <c r="E5914" t="s">
        <v>18002</v>
      </c>
      <c r="F5914" t="s">
        <v>10901</v>
      </c>
      <c r="I5914" t="s">
        <v>29</v>
      </c>
      <c r="J5914" t="s">
        <v>30</v>
      </c>
      <c r="K5914" t="s">
        <v>31</v>
      </c>
      <c r="M5914" t="s">
        <v>32</v>
      </c>
      <c r="N5914" t="str">
        <f>"8/10/2011 12:00:00 AM"</f>
        <v>8/10/2011 12:00:00 AM</v>
      </c>
      <c r="O5914" t="s">
        <v>18001</v>
      </c>
      <c r="T5914" t="s">
        <v>18002</v>
      </c>
    </row>
    <row r="5915" spans="1:20" x14ac:dyDescent="0.25">
      <c r="A5915" t="str">
        <f>"3059335"</f>
        <v>3059335</v>
      </c>
      <c r="B5915" t="s">
        <v>18003</v>
      </c>
      <c r="C5915" t="str">
        <f>"82525242"</f>
        <v>82525242</v>
      </c>
      <c r="D5915" t="s">
        <v>18004</v>
      </c>
      <c r="F5915" t="s">
        <v>18005</v>
      </c>
      <c r="I5915" t="s">
        <v>29</v>
      </c>
      <c r="J5915" t="s">
        <v>30</v>
      </c>
      <c r="K5915" t="s">
        <v>18006</v>
      </c>
      <c r="M5915" t="s">
        <v>17861</v>
      </c>
      <c r="N5915" t="str">
        <f>"2/16/2011 12:51:00 PM"</f>
        <v>2/16/2011 12:51:00 PM</v>
      </c>
      <c r="O5915" t="s">
        <v>18004</v>
      </c>
    </row>
    <row r="5916" spans="1:20" x14ac:dyDescent="0.25">
      <c r="A5916" t="str">
        <f>"3053615"</f>
        <v>3053615</v>
      </c>
      <c r="B5916" t="s">
        <v>18007</v>
      </c>
      <c r="C5916" t="str">
        <f>"82526646"</f>
        <v>82526646</v>
      </c>
      <c r="D5916" t="s">
        <v>18008</v>
      </c>
      <c r="E5916" t="s">
        <v>18009</v>
      </c>
      <c r="F5916" t="s">
        <v>18010</v>
      </c>
      <c r="I5916" t="s">
        <v>29</v>
      </c>
      <c r="J5916" t="s">
        <v>30</v>
      </c>
      <c r="K5916" t="s">
        <v>31</v>
      </c>
      <c r="M5916" t="s">
        <v>32</v>
      </c>
      <c r="N5916" t="str">
        <f>"4/8/2011 12:00:00 AM"</f>
        <v>4/8/2011 12:00:00 AM</v>
      </c>
      <c r="O5916" t="s">
        <v>18008</v>
      </c>
      <c r="T5916" t="s">
        <v>18009</v>
      </c>
    </row>
    <row r="5917" spans="1:20" x14ac:dyDescent="0.25">
      <c r="A5917" t="str">
        <f>"3047064"</f>
        <v>3047064</v>
      </c>
      <c r="B5917" t="s">
        <v>18011</v>
      </c>
      <c r="C5917" t="str">
        <f>"43106000"</f>
        <v>43106000</v>
      </c>
      <c r="D5917" t="s">
        <v>18012</v>
      </c>
      <c r="E5917" t="s">
        <v>18013</v>
      </c>
      <c r="F5917" t="s">
        <v>18014</v>
      </c>
      <c r="I5917" t="s">
        <v>29</v>
      </c>
      <c r="J5917" t="s">
        <v>30</v>
      </c>
      <c r="K5917" t="s">
        <v>18015</v>
      </c>
      <c r="M5917" t="s">
        <v>17861</v>
      </c>
      <c r="N5917" t="str">
        <f>"4/14/2011 4:03:00 PM"</f>
        <v>4/14/2011 4:03:00 PM</v>
      </c>
      <c r="O5917" t="s">
        <v>18012</v>
      </c>
      <c r="T5917" t="s">
        <v>18013</v>
      </c>
    </row>
    <row r="5918" spans="1:20" x14ac:dyDescent="0.25">
      <c r="A5918" t="str">
        <f>"3056652"</f>
        <v>3056652</v>
      </c>
      <c r="B5918" t="s">
        <v>18016</v>
      </c>
      <c r="C5918" t="str">
        <f>"8300152"</f>
        <v>8300152</v>
      </c>
      <c r="D5918" t="s">
        <v>18017</v>
      </c>
      <c r="E5918" t="s">
        <v>18018</v>
      </c>
      <c r="F5918" t="s">
        <v>18019</v>
      </c>
      <c r="I5918" t="s">
        <v>29</v>
      </c>
      <c r="J5918" t="s">
        <v>30</v>
      </c>
      <c r="K5918" t="s">
        <v>31</v>
      </c>
      <c r="M5918" t="s">
        <v>32</v>
      </c>
      <c r="N5918" t="str">
        <f>"8/9/2011 12:00:00 AM"</f>
        <v>8/9/2011 12:00:00 AM</v>
      </c>
      <c r="O5918" t="s">
        <v>18017</v>
      </c>
      <c r="T5918" t="s">
        <v>18018</v>
      </c>
    </row>
    <row r="5919" spans="1:20" x14ac:dyDescent="0.25">
      <c r="A5919" t="str">
        <f>"3056214"</f>
        <v>3056214</v>
      </c>
      <c r="B5919" t="s">
        <v>18020</v>
      </c>
      <c r="C5919" t="str">
        <f>"8300152"</f>
        <v>8300152</v>
      </c>
      <c r="D5919" t="s">
        <v>18017</v>
      </c>
      <c r="E5919" t="s">
        <v>18018</v>
      </c>
      <c r="F5919" t="s">
        <v>18019</v>
      </c>
      <c r="I5919" t="s">
        <v>29</v>
      </c>
      <c r="J5919" t="s">
        <v>30</v>
      </c>
      <c r="K5919" t="s">
        <v>31</v>
      </c>
      <c r="M5919" t="s">
        <v>32</v>
      </c>
      <c r="N5919" t="str">
        <f>"8/9/2011 12:00:00 AM"</f>
        <v>8/9/2011 12:00:00 AM</v>
      </c>
      <c r="O5919" t="s">
        <v>18017</v>
      </c>
      <c r="T5919" t="s">
        <v>18018</v>
      </c>
    </row>
    <row r="5920" spans="1:20" x14ac:dyDescent="0.25">
      <c r="A5920" t="str">
        <f>"3042950"</f>
        <v>3042950</v>
      </c>
      <c r="B5920" t="s">
        <v>18021</v>
      </c>
      <c r="C5920" t="str">
        <f>"82530026"</f>
        <v>82530026</v>
      </c>
      <c r="D5920" t="s">
        <v>18022</v>
      </c>
      <c r="E5920" t="s">
        <v>18023</v>
      </c>
      <c r="F5920" t="s">
        <v>18024</v>
      </c>
      <c r="I5920" t="s">
        <v>29</v>
      </c>
      <c r="J5920" t="s">
        <v>30</v>
      </c>
      <c r="K5920" t="s">
        <v>31</v>
      </c>
      <c r="M5920" t="s">
        <v>32</v>
      </c>
      <c r="N5920" t="str">
        <f>"4/18/2011 12:00:00 AM"</f>
        <v>4/18/2011 12:00:00 AM</v>
      </c>
      <c r="O5920" t="s">
        <v>18022</v>
      </c>
      <c r="T5920" t="s">
        <v>18023</v>
      </c>
    </row>
    <row r="5921" spans="1:20" x14ac:dyDescent="0.25">
      <c r="A5921" t="str">
        <f>"3042089"</f>
        <v>3042089</v>
      </c>
      <c r="B5921" t="s">
        <v>18025</v>
      </c>
      <c r="C5921" t="str">
        <f>"82530026"</f>
        <v>82530026</v>
      </c>
      <c r="D5921" t="s">
        <v>18022</v>
      </c>
      <c r="E5921" t="s">
        <v>18023</v>
      </c>
      <c r="F5921" t="s">
        <v>18024</v>
      </c>
      <c r="I5921" t="s">
        <v>29</v>
      </c>
      <c r="J5921" t="s">
        <v>30</v>
      </c>
      <c r="K5921" t="s">
        <v>31</v>
      </c>
      <c r="M5921" t="s">
        <v>32</v>
      </c>
      <c r="N5921" t="str">
        <f>"4/18/2011 12:00:00 AM"</f>
        <v>4/18/2011 12:00:00 AM</v>
      </c>
      <c r="O5921" t="s">
        <v>18022</v>
      </c>
      <c r="T5921" t="s">
        <v>18023</v>
      </c>
    </row>
    <row r="5922" spans="1:20" x14ac:dyDescent="0.25">
      <c r="A5922" t="str">
        <f>"3038128"</f>
        <v>3038128</v>
      </c>
      <c r="B5922" t="s">
        <v>18026</v>
      </c>
      <c r="C5922" t="str">
        <f>"70694000"</f>
        <v>70694000</v>
      </c>
      <c r="D5922" t="s">
        <v>18027</v>
      </c>
      <c r="E5922" t="s">
        <v>18028</v>
      </c>
      <c r="F5922" t="s">
        <v>18029</v>
      </c>
      <c r="I5922" t="s">
        <v>29</v>
      </c>
      <c r="J5922" t="s">
        <v>30</v>
      </c>
      <c r="K5922" t="s">
        <v>18030</v>
      </c>
      <c r="M5922" t="s">
        <v>17861</v>
      </c>
      <c r="N5922" t="str">
        <f>"4/20/2011 9:14:00 AM"</f>
        <v>4/20/2011 9:14:00 AM</v>
      </c>
      <c r="O5922" t="s">
        <v>18027</v>
      </c>
      <c r="T5922" t="s">
        <v>18028</v>
      </c>
    </row>
    <row r="5923" spans="1:20" x14ac:dyDescent="0.25">
      <c r="A5923" t="str">
        <f>"3053746"</f>
        <v>3053746</v>
      </c>
      <c r="B5923" t="s">
        <v>18031</v>
      </c>
      <c r="C5923" t="str">
        <f>"8300088"</f>
        <v>8300088</v>
      </c>
      <c r="D5923" t="s">
        <v>18032</v>
      </c>
      <c r="E5923" t="s">
        <v>18033</v>
      </c>
      <c r="F5923" t="s">
        <v>18034</v>
      </c>
      <c r="I5923" t="s">
        <v>29</v>
      </c>
      <c r="J5923" t="s">
        <v>30</v>
      </c>
      <c r="K5923" t="s">
        <v>31</v>
      </c>
      <c r="M5923" t="s">
        <v>32</v>
      </c>
      <c r="N5923" t="str">
        <f>"8/8/2011 12:00:00 AM"</f>
        <v>8/8/2011 12:00:00 AM</v>
      </c>
      <c r="O5923" t="s">
        <v>18032</v>
      </c>
      <c r="T5923" t="s">
        <v>18033</v>
      </c>
    </row>
    <row r="5924" spans="1:20" x14ac:dyDescent="0.25">
      <c r="A5924" t="str">
        <f>"3053263"</f>
        <v>3053263</v>
      </c>
      <c r="B5924" t="s">
        <v>18035</v>
      </c>
      <c r="C5924" t="str">
        <f>"8300088"</f>
        <v>8300088</v>
      </c>
      <c r="D5924" t="s">
        <v>18032</v>
      </c>
      <c r="E5924" t="s">
        <v>18033</v>
      </c>
      <c r="F5924" t="s">
        <v>18034</v>
      </c>
      <c r="I5924" t="s">
        <v>29</v>
      </c>
      <c r="J5924" t="s">
        <v>30</v>
      </c>
      <c r="K5924" t="s">
        <v>31</v>
      </c>
      <c r="M5924" t="s">
        <v>32</v>
      </c>
      <c r="N5924" t="str">
        <f>"8/8/2011 12:00:00 AM"</f>
        <v>8/8/2011 12:00:00 AM</v>
      </c>
      <c r="O5924" t="s">
        <v>18032</v>
      </c>
      <c r="T5924" t="s">
        <v>18033</v>
      </c>
    </row>
    <row r="5925" spans="1:20" x14ac:dyDescent="0.25">
      <c r="A5925" t="str">
        <f>"3076032"</f>
        <v>3076032</v>
      </c>
      <c r="B5925" t="s">
        <v>18036</v>
      </c>
      <c r="C5925" t="str">
        <f>"70694000"</f>
        <v>70694000</v>
      </c>
      <c r="D5925" t="s">
        <v>18027</v>
      </c>
      <c r="E5925" t="s">
        <v>18028</v>
      </c>
      <c r="F5925" t="s">
        <v>18029</v>
      </c>
      <c r="I5925" t="s">
        <v>29</v>
      </c>
      <c r="J5925" t="s">
        <v>30</v>
      </c>
      <c r="K5925" t="s">
        <v>18030</v>
      </c>
      <c r="M5925" t="s">
        <v>17861</v>
      </c>
      <c r="N5925" t="str">
        <f>"4/20/2011 9:14:00 AM"</f>
        <v>4/20/2011 9:14:00 AM</v>
      </c>
      <c r="O5925" t="s">
        <v>18027</v>
      </c>
      <c r="T5925" t="s">
        <v>18028</v>
      </c>
    </row>
    <row r="5926" spans="1:20" x14ac:dyDescent="0.25">
      <c r="A5926" t="str">
        <f>"3054306"</f>
        <v>3054306</v>
      </c>
      <c r="B5926" t="s">
        <v>18037</v>
      </c>
      <c r="C5926" t="str">
        <f>"45627040"</f>
        <v>45627040</v>
      </c>
      <c r="D5926" t="s">
        <v>18038</v>
      </c>
      <c r="F5926" t="s">
        <v>18039</v>
      </c>
      <c r="I5926" t="s">
        <v>29</v>
      </c>
      <c r="J5926" t="s">
        <v>30</v>
      </c>
      <c r="K5926" t="s">
        <v>31</v>
      </c>
      <c r="M5926" t="s">
        <v>17861</v>
      </c>
      <c r="N5926" t="str">
        <f>"4/20/2011 1:23:00 PM"</f>
        <v>4/20/2011 1:23:00 PM</v>
      </c>
      <c r="O5926" t="s">
        <v>18038</v>
      </c>
    </row>
    <row r="5927" spans="1:20" x14ac:dyDescent="0.25">
      <c r="A5927" t="str">
        <f>"3054325"</f>
        <v>3054325</v>
      </c>
      <c r="B5927" t="s">
        <v>18040</v>
      </c>
      <c r="C5927" t="str">
        <f>"45627040"</f>
        <v>45627040</v>
      </c>
      <c r="D5927" t="s">
        <v>18038</v>
      </c>
      <c r="F5927" t="s">
        <v>18039</v>
      </c>
      <c r="I5927" t="s">
        <v>29</v>
      </c>
      <c r="J5927" t="s">
        <v>30</v>
      </c>
      <c r="K5927" t="s">
        <v>31</v>
      </c>
      <c r="M5927" t="s">
        <v>17861</v>
      </c>
      <c r="N5927" t="str">
        <f>"4/20/2011 1:23:00 PM"</f>
        <v>4/20/2011 1:23:00 PM</v>
      </c>
      <c r="O5927" t="s">
        <v>18038</v>
      </c>
    </row>
    <row r="5928" spans="1:20" x14ac:dyDescent="0.25">
      <c r="A5928" t="str">
        <f>"3051349"</f>
        <v>3051349</v>
      </c>
      <c r="B5928" t="s">
        <v>18041</v>
      </c>
      <c r="C5928" t="str">
        <f>"8300296"</f>
        <v>8300296</v>
      </c>
      <c r="D5928" t="s">
        <v>18042</v>
      </c>
      <c r="E5928" t="s">
        <v>18043</v>
      </c>
      <c r="F5928" t="s">
        <v>18044</v>
      </c>
      <c r="I5928" t="s">
        <v>29</v>
      </c>
      <c r="J5928" t="s">
        <v>30</v>
      </c>
      <c r="K5928" t="s">
        <v>31</v>
      </c>
      <c r="M5928" t="s">
        <v>32</v>
      </c>
      <c r="N5928" t="str">
        <f>"8/10/2011 12:00:00 AM"</f>
        <v>8/10/2011 12:00:00 AM</v>
      </c>
      <c r="O5928" t="s">
        <v>18042</v>
      </c>
      <c r="T5928" t="s">
        <v>18043</v>
      </c>
    </row>
    <row r="5929" spans="1:20" x14ac:dyDescent="0.25">
      <c r="A5929" t="str">
        <f>"3045523"</f>
        <v>3045523</v>
      </c>
      <c r="B5929" t="s">
        <v>18045</v>
      </c>
      <c r="C5929" t="str">
        <f>"72352000"</f>
        <v>72352000</v>
      </c>
      <c r="D5929" t="s">
        <v>18046</v>
      </c>
      <c r="E5929" t="s">
        <v>18047</v>
      </c>
      <c r="F5929" t="s">
        <v>18048</v>
      </c>
      <c r="I5929" t="s">
        <v>29</v>
      </c>
      <c r="J5929" t="s">
        <v>30</v>
      </c>
      <c r="K5929" t="s">
        <v>18049</v>
      </c>
      <c r="M5929" t="s">
        <v>17861</v>
      </c>
      <c r="N5929" t="str">
        <f>"5/9/2011 9:53:00 AM"</f>
        <v>5/9/2011 9:53:00 AM</v>
      </c>
      <c r="O5929" t="s">
        <v>18046</v>
      </c>
      <c r="T5929" t="s">
        <v>18047</v>
      </c>
    </row>
    <row r="5930" spans="1:20" x14ac:dyDescent="0.25">
      <c r="A5930" t="str">
        <f>"3038008"</f>
        <v>3038008</v>
      </c>
      <c r="B5930" t="s">
        <v>18050</v>
      </c>
      <c r="C5930" t="str">
        <f>"8300211"</f>
        <v>8300211</v>
      </c>
      <c r="D5930" t="s">
        <v>18051</v>
      </c>
      <c r="F5930" t="s">
        <v>18052</v>
      </c>
      <c r="I5930" t="s">
        <v>49</v>
      </c>
      <c r="J5930" t="s">
        <v>30</v>
      </c>
      <c r="K5930" t="s">
        <v>50</v>
      </c>
      <c r="M5930" t="s">
        <v>32</v>
      </c>
      <c r="N5930" t="str">
        <f>"8/10/2011 12:00:00 AM"</f>
        <v>8/10/2011 12:00:00 AM</v>
      </c>
      <c r="O5930" t="s">
        <v>18051</v>
      </c>
    </row>
    <row r="5931" spans="1:20" x14ac:dyDescent="0.25">
      <c r="A5931" t="str">
        <f>"3038009"</f>
        <v>3038009</v>
      </c>
      <c r="B5931" t="s">
        <v>18053</v>
      </c>
      <c r="C5931" t="str">
        <f>"8300211"</f>
        <v>8300211</v>
      </c>
      <c r="D5931" t="s">
        <v>18051</v>
      </c>
      <c r="F5931" t="s">
        <v>18052</v>
      </c>
      <c r="I5931" t="s">
        <v>49</v>
      </c>
      <c r="J5931" t="s">
        <v>30</v>
      </c>
      <c r="K5931" t="s">
        <v>50</v>
      </c>
      <c r="M5931" t="s">
        <v>32</v>
      </c>
      <c r="N5931" t="str">
        <f>"8/10/2011 12:00:00 AM"</f>
        <v>8/10/2011 12:00:00 AM</v>
      </c>
      <c r="O5931" t="s">
        <v>18051</v>
      </c>
    </row>
    <row r="5932" spans="1:20" x14ac:dyDescent="0.25">
      <c r="A5932" t="str">
        <f>"3076509"</f>
        <v>3076509</v>
      </c>
      <c r="B5932" t="s">
        <v>18054</v>
      </c>
      <c r="C5932" t="str">
        <f>"8300224"</f>
        <v>8300224</v>
      </c>
      <c r="D5932" t="s">
        <v>7691</v>
      </c>
      <c r="F5932" t="s">
        <v>7693</v>
      </c>
      <c r="I5932" t="s">
        <v>1149</v>
      </c>
      <c r="J5932" t="s">
        <v>30</v>
      </c>
      <c r="K5932" t="str">
        <f>"28634"</f>
        <v>28634</v>
      </c>
      <c r="M5932" t="s">
        <v>17861</v>
      </c>
      <c r="N5932" t="str">
        <f>"5/20/2011 10:32:00 AM"</f>
        <v>5/20/2011 10:32:00 AM</v>
      </c>
      <c r="O5932" t="s">
        <v>7691</v>
      </c>
    </row>
    <row r="5933" spans="1:20" x14ac:dyDescent="0.25">
      <c r="A5933" t="str">
        <f>"3042110"</f>
        <v>3042110</v>
      </c>
      <c r="B5933" t="s">
        <v>18055</v>
      </c>
      <c r="C5933" t="str">
        <f>"8300226"</f>
        <v>8300226</v>
      </c>
      <c r="D5933" t="s">
        <v>18056</v>
      </c>
      <c r="F5933" t="s">
        <v>18057</v>
      </c>
      <c r="I5933" t="s">
        <v>29</v>
      </c>
      <c r="J5933" t="s">
        <v>30</v>
      </c>
      <c r="K5933" t="s">
        <v>31</v>
      </c>
      <c r="M5933" t="s">
        <v>32</v>
      </c>
      <c r="N5933" t="str">
        <f>"8/8/2011 12:00:00 AM"</f>
        <v>8/8/2011 12:00:00 AM</v>
      </c>
      <c r="O5933" t="s">
        <v>18056</v>
      </c>
    </row>
    <row r="5934" spans="1:20" x14ac:dyDescent="0.25">
      <c r="A5934" t="str">
        <f>"3042055"</f>
        <v>3042055</v>
      </c>
      <c r="B5934" t="s">
        <v>18058</v>
      </c>
      <c r="C5934" t="str">
        <f>"8300226"</f>
        <v>8300226</v>
      </c>
      <c r="D5934" t="s">
        <v>18056</v>
      </c>
      <c r="F5934" t="s">
        <v>18057</v>
      </c>
      <c r="I5934" t="s">
        <v>29</v>
      </c>
      <c r="J5934" t="s">
        <v>30</v>
      </c>
      <c r="K5934" t="s">
        <v>31</v>
      </c>
      <c r="M5934" t="s">
        <v>32</v>
      </c>
      <c r="N5934" t="str">
        <f>"8/8/2011 12:00:00 AM"</f>
        <v>8/8/2011 12:00:00 AM</v>
      </c>
      <c r="O5934" t="s">
        <v>18056</v>
      </c>
    </row>
    <row r="5935" spans="1:20" x14ac:dyDescent="0.25">
      <c r="A5935" t="str">
        <f>"3042672"</f>
        <v>3042672</v>
      </c>
      <c r="B5935" t="s">
        <v>18059</v>
      </c>
      <c r="C5935" t="str">
        <f>"8300226"</f>
        <v>8300226</v>
      </c>
      <c r="D5935" t="s">
        <v>18056</v>
      </c>
      <c r="F5935" t="s">
        <v>18057</v>
      </c>
      <c r="I5935" t="s">
        <v>29</v>
      </c>
      <c r="J5935" t="s">
        <v>30</v>
      </c>
      <c r="K5935" t="s">
        <v>31</v>
      </c>
      <c r="M5935" t="s">
        <v>32</v>
      </c>
      <c r="N5935" t="str">
        <f>"8/8/2011 12:00:00 AM"</f>
        <v>8/8/2011 12:00:00 AM</v>
      </c>
      <c r="O5935" t="s">
        <v>18056</v>
      </c>
    </row>
    <row r="5936" spans="1:20" x14ac:dyDescent="0.25">
      <c r="A5936" t="str">
        <f>"3054570"</f>
        <v>3054570</v>
      </c>
      <c r="B5936" t="s">
        <v>18060</v>
      </c>
      <c r="C5936" t="str">
        <f>"8300311"</f>
        <v>8300311</v>
      </c>
      <c r="D5936" t="s">
        <v>18061</v>
      </c>
      <c r="E5936" t="s">
        <v>18062</v>
      </c>
      <c r="F5936" t="s">
        <v>18063</v>
      </c>
      <c r="I5936" t="s">
        <v>29</v>
      </c>
      <c r="J5936" t="s">
        <v>30</v>
      </c>
      <c r="K5936" t="s">
        <v>31</v>
      </c>
      <c r="M5936" t="s">
        <v>32</v>
      </c>
      <c r="N5936" t="str">
        <f>"8/11/2011 12:00:00 AM"</f>
        <v>8/11/2011 12:00:00 AM</v>
      </c>
      <c r="O5936" t="s">
        <v>18061</v>
      </c>
      <c r="T5936" t="s">
        <v>18062</v>
      </c>
    </row>
    <row r="5937" spans="1:20" x14ac:dyDescent="0.25">
      <c r="A5937" t="str">
        <f>"3037635"</f>
        <v>3037635</v>
      </c>
      <c r="B5937" t="s">
        <v>18064</v>
      </c>
      <c r="C5937" t="str">
        <f>"76356000"</f>
        <v>76356000</v>
      </c>
      <c r="D5937" t="s">
        <v>18065</v>
      </c>
      <c r="E5937" t="s">
        <v>18066</v>
      </c>
      <c r="F5937" t="s">
        <v>18067</v>
      </c>
      <c r="I5937" t="s">
        <v>29</v>
      </c>
      <c r="J5937" t="s">
        <v>30</v>
      </c>
      <c r="K5937" t="s">
        <v>31</v>
      </c>
      <c r="M5937" t="s">
        <v>17861</v>
      </c>
      <c r="N5937" t="str">
        <f>"5/16/2011 9:58:00 AM"</f>
        <v>5/16/2011 9:58:00 AM</v>
      </c>
      <c r="O5937" t="s">
        <v>18065</v>
      </c>
      <c r="T5937" t="s">
        <v>18066</v>
      </c>
    </row>
    <row r="5938" spans="1:20" x14ac:dyDescent="0.25">
      <c r="A5938" t="str">
        <f>"3038130"</f>
        <v>3038130</v>
      </c>
      <c r="B5938" t="s">
        <v>18068</v>
      </c>
      <c r="C5938" t="str">
        <f>"8300254"</f>
        <v>8300254</v>
      </c>
      <c r="D5938" t="s">
        <v>18069</v>
      </c>
      <c r="F5938" t="s">
        <v>18070</v>
      </c>
      <c r="I5938" t="s">
        <v>29</v>
      </c>
      <c r="J5938" t="s">
        <v>30</v>
      </c>
      <c r="K5938" t="s">
        <v>31</v>
      </c>
      <c r="M5938" t="s">
        <v>32</v>
      </c>
      <c r="N5938" t="str">
        <f>"8/10/2011 12:00:00 AM"</f>
        <v>8/10/2011 12:00:00 AM</v>
      </c>
      <c r="O5938" t="s">
        <v>18069</v>
      </c>
    </row>
    <row r="5939" spans="1:20" x14ac:dyDescent="0.25">
      <c r="A5939" t="str">
        <f>"3038919"</f>
        <v>3038919</v>
      </c>
      <c r="B5939" t="s">
        <v>18071</v>
      </c>
      <c r="C5939" t="str">
        <f>"8300254"</f>
        <v>8300254</v>
      </c>
      <c r="D5939" t="s">
        <v>18069</v>
      </c>
      <c r="F5939" t="s">
        <v>18070</v>
      </c>
      <c r="I5939" t="s">
        <v>29</v>
      </c>
      <c r="J5939" t="s">
        <v>30</v>
      </c>
      <c r="K5939" t="s">
        <v>31</v>
      </c>
      <c r="M5939" t="s">
        <v>32</v>
      </c>
      <c r="N5939" t="str">
        <f>"8/10/2011 12:00:00 AM"</f>
        <v>8/10/2011 12:00:00 AM</v>
      </c>
      <c r="O5939" t="s">
        <v>18069</v>
      </c>
    </row>
    <row r="5940" spans="1:20" x14ac:dyDescent="0.25">
      <c r="A5940" t="str">
        <f>"3043317"</f>
        <v>3043317</v>
      </c>
      <c r="B5940" t="s">
        <v>18072</v>
      </c>
      <c r="C5940" t="str">
        <f>"8300258"</f>
        <v>8300258</v>
      </c>
      <c r="D5940" t="s">
        <v>18073</v>
      </c>
      <c r="F5940" t="s">
        <v>18074</v>
      </c>
      <c r="I5940" t="s">
        <v>29</v>
      </c>
      <c r="J5940" t="s">
        <v>30</v>
      </c>
      <c r="K5940" t="s">
        <v>31</v>
      </c>
      <c r="M5940" t="s">
        <v>32</v>
      </c>
      <c r="N5940" t="str">
        <f>"8/10/2011 12:00:00 AM"</f>
        <v>8/10/2011 12:00:00 AM</v>
      </c>
      <c r="O5940" t="s">
        <v>18073</v>
      </c>
    </row>
    <row r="5941" spans="1:20" x14ac:dyDescent="0.25">
      <c r="A5941" t="str">
        <f>"3037586"</f>
        <v>3037586</v>
      </c>
      <c r="B5941" t="s">
        <v>18075</v>
      </c>
      <c r="C5941" t="str">
        <f>"77130000"</f>
        <v>77130000</v>
      </c>
      <c r="D5941" t="s">
        <v>18076</v>
      </c>
      <c r="E5941" t="s">
        <v>18077</v>
      </c>
      <c r="F5941" t="s">
        <v>18078</v>
      </c>
      <c r="I5941" t="s">
        <v>29</v>
      </c>
      <c r="J5941" t="s">
        <v>30</v>
      </c>
      <c r="K5941" t="s">
        <v>70</v>
      </c>
      <c r="M5941" t="s">
        <v>17861</v>
      </c>
      <c r="N5941" t="str">
        <f>"5/16/2011 10:01:00 AM"</f>
        <v>5/16/2011 10:01:00 AM</v>
      </c>
      <c r="O5941" t="s">
        <v>18076</v>
      </c>
      <c r="T5941" t="s">
        <v>18077</v>
      </c>
    </row>
    <row r="5942" spans="1:20" x14ac:dyDescent="0.25">
      <c r="A5942" t="str">
        <f>"3046602"</f>
        <v>3046602</v>
      </c>
      <c r="B5942" t="s">
        <v>18079</v>
      </c>
      <c r="C5942" t="str">
        <f>"8300325"</f>
        <v>8300325</v>
      </c>
      <c r="D5942" t="s">
        <v>18080</v>
      </c>
      <c r="F5942" t="s">
        <v>18081</v>
      </c>
      <c r="I5942" t="s">
        <v>29</v>
      </c>
      <c r="J5942" t="s">
        <v>30</v>
      </c>
      <c r="K5942" t="s">
        <v>31</v>
      </c>
      <c r="M5942" t="s">
        <v>32</v>
      </c>
      <c r="N5942" t="str">
        <f>"8/9/2011 12:00:00 AM"</f>
        <v>8/9/2011 12:00:00 AM</v>
      </c>
      <c r="O5942" t="s">
        <v>18080</v>
      </c>
    </row>
    <row r="5943" spans="1:20" x14ac:dyDescent="0.25">
      <c r="A5943" t="str">
        <f>"3039626"</f>
        <v>3039626</v>
      </c>
      <c r="B5943" t="s">
        <v>18082</v>
      </c>
      <c r="C5943" t="str">
        <f>"8300191"</f>
        <v>8300191</v>
      </c>
      <c r="D5943" t="s">
        <v>18083</v>
      </c>
      <c r="F5943" t="s">
        <v>658</v>
      </c>
      <c r="I5943" t="s">
        <v>184</v>
      </c>
      <c r="J5943" t="s">
        <v>30</v>
      </c>
      <c r="K5943" t="s">
        <v>185</v>
      </c>
      <c r="M5943" t="s">
        <v>32</v>
      </c>
      <c r="N5943" t="str">
        <f>"8/10/2011 12:00:00 AM"</f>
        <v>8/10/2011 12:00:00 AM</v>
      </c>
      <c r="O5943" t="s">
        <v>18083</v>
      </c>
    </row>
    <row r="5944" spans="1:20" x14ac:dyDescent="0.25">
      <c r="A5944" t="str">
        <f>"3039682"</f>
        <v>3039682</v>
      </c>
      <c r="B5944" t="s">
        <v>18084</v>
      </c>
      <c r="C5944" t="str">
        <f>"8300191"</f>
        <v>8300191</v>
      </c>
      <c r="D5944" t="s">
        <v>18083</v>
      </c>
      <c r="F5944" t="s">
        <v>658</v>
      </c>
      <c r="I5944" t="s">
        <v>184</v>
      </c>
      <c r="J5944" t="s">
        <v>30</v>
      </c>
      <c r="K5944" t="s">
        <v>185</v>
      </c>
      <c r="M5944" t="s">
        <v>32</v>
      </c>
      <c r="N5944" t="str">
        <f>"8/10/2011 12:00:00 AM"</f>
        <v>8/10/2011 12:00:00 AM</v>
      </c>
      <c r="O5944" t="s">
        <v>18083</v>
      </c>
    </row>
    <row r="5945" spans="1:20" x14ac:dyDescent="0.25">
      <c r="A5945" t="str">
        <f>"3062424"</f>
        <v>3062424</v>
      </c>
      <c r="B5945" t="s">
        <v>18085</v>
      </c>
      <c r="C5945" t="str">
        <f>"8300066"</f>
        <v>8300066</v>
      </c>
      <c r="D5945" t="s">
        <v>18086</v>
      </c>
      <c r="F5945" t="s">
        <v>18087</v>
      </c>
      <c r="I5945" t="s">
        <v>471</v>
      </c>
      <c r="J5945" t="s">
        <v>30</v>
      </c>
      <c r="K5945" t="s">
        <v>1210</v>
      </c>
      <c r="M5945" t="s">
        <v>32</v>
      </c>
      <c r="N5945" t="str">
        <f>"8/9/2011 12:00:00 AM"</f>
        <v>8/9/2011 12:00:00 AM</v>
      </c>
      <c r="O5945" t="s">
        <v>18086</v>
      </c>
    </row>
    <row r="5946" spans="1:20" x14ac:dyDescent="0.25">
      <c r="A5946" t="str">
        <f>"3042889"</f>
        <v>3042889</v>
      </c>
      <c r="B5946" t="s">
        <v>18088</v>
      </c>
      <c r="C5946" t="str">
        <f>"8300032"</f>
        <v>8300032</v>
      </c>
      <c r="D5946" t="s">
        <v>18089</v>
      </c>
      <c r="F5946" t="s">
        <v>18090</v>
      </c>
      <c r="I5946" t="s">
        <v>29</v>
      </c>
      <c r="J5946" t="s">
        <v>30</v>
      </c>
      <c r="K5946" t="s">
        <v>31</v>
      </c>
      <c r="M5946" t="s">
        <v>32</v>
      </c>
      <c r="N5946" t="str">
        <f>"8/8/2011 12:00:00 AM"</f>
        <v>8/8/2011 12:00:00 AM</v>
      </c>
      <c r="O5946" t="s">
        <v>18089</v>
      </c>
    </row>
    <row r="5947" spans="1:20" x14ac:dyDescent="0.25">
      <c r="A5947" t="str">
        <f>"3044271"</f>
        <v>3044271</v>
      </c>
      <c r="B5947" t="s">
        <v>18091</v>
      </c>
      <c r="C5947" t="str">
        <f>"82532539"</f>
        <v>82532539</v>
      </c>
      <c r="D5947" t="s">
        <v>18092</v>
      </c>
      <c r="E5947" t="s">
        <v>18093</v>
      </c>
      <c r="F5947" t="s">
        <v>18094</v>
      </c>
      <c r="I5947" t="s">
        <v>184</v>
      </c>
      <c r="J5947" t="s">
        <v>30</v>
      </c>
      <c r="K5947" t="s">
        <v>185</v>
      </c>
      <c r="M5947" t="s">
        <v>17922</v>
      </c>
      <c r="N5947" t="str">
        <f>"2/2/2011 3:13:00 PM"</f>
        <v>2/2/2011 3:13:00 PM</v>
      </c>
      <c r="O5947" t="s">
        <v>18092</v>
      </c>
      <c r="T5947" t="s">
        <v>18093</v>
      </c>
    </row>
    <row r="5948" spans="1:20" x14ac:dyDescent="0.25">
      <c r="A5948" t="str">
        <f>"3055479"</f>
        <v>3055479</v>
      </c>
      <c r="B5948" t="s">
        <v>18095</v>
      </c>
      <c r="C5948" t="str">
        <f>"15058500"</f>
        <v>15058500</v>
      </c>
      <c r="D5948" t="s">
        <v>18096</v>
      </c>
      <c r="I5948" t="s">
        <v>29</v>
      </c>
      <c r="J5948" t="s">
        <v>30</v>
      </c>
      <c r="K5948" t="s">
        <v>31</v>
      </c>
      <c r="M5948" t="s">
        <v>17861</v>
      </c>
      <c r="N5948" t="str">
        <f>"5/20/2011 3:13:00 PM"</f>
        <v>5/20/2011 3:13:00 PM</v>
      </c>
      <c r="O5948" t="s">
        <v>18096</v>
      </c>
    </row>
    <row r="5949" spans="1:20" x14ac:dyDescent="0.25">
      <c r="A5949" t="str">
        <f>"3052092"</f>
        <v>3052092</v>
      </c>
      <c r="B5949" t="s">
        <v>18097</v>
      </c>
      <c r="C5949" t="str">
        <f>"15725000"</f>
        <v>15725000</v>
      </c>
      <c r="D5949" t="s">
        <v>18098</v>
      </c>
      <c r="I5949" t="s">
        <v>29</v>
      </c>
      <c r="J5949" t="s">
        <v>30</v>
      </c>
      <c r="K5949" t="s">
        <v>31</v>
      </c>
      <c r="M5949" t="s">
        <v>17861</v>
      </c>
      <c r="N5949" t="str">
        <f>"5/20/2011 3:14:00 PM"</f>
        <v>5/20/2011 3:14:00 PM</v>
      </c>
      <c r="O5949" t="s">
        <v>18098</v>
      </c>
    </row>
    <row r="5950" spans="1:20" x14ac:dyDescent="0.25">
      <c r="A5950" t="str">
        <f>"3049693"</f>
        <v>3049693</v>
      </c>
      <c r="B5950" t="s">
        <v>18099</v>
      </c>
      <c r="C5950" t="str">
        <f>"33683000"</f>
        <v>33683000</v>
      </c>
      <c r="D5950" t="s">
        <v>18100</v>
      </c>
      <c r="I5950" t="s">
        <v>29</v>
      </c>
      <c r="J5950" t="s">
        <v>30</v>
      </c>
      <c r="K5950" t="s">
        <v>31</v>
      </c>
      <c r="M5950" t="s">
        <v>17861</v>
      </c>
      <c r="N5950" t="str">
        <f>"5/20/2011 3:14:00 PM"</f>
        <v>5/20/2011 3:14:00 PM</v>
      </c>
      <c r="O5950" t="s">
        <v>18100</v>
      </c>
    </row>
    <row r="5951" spans="1:20" x14ac:dyDescent="0.25">
      <c r="A5951" t="str">
        <f>"3043239"</f>
        <v>3043239</v>
      </c>
      <c r="B5951" t="s">
        <v>18101</v>
      </c>
      <c r="C5951" t="str">
        <f>"53535750"</f>
        <v>53535750</v>
      </c>
      <c r="D5951" t="s">
        <v>18102</v>
      </c>
      <c r="I5951" t="s">
        <v>29</v>
      </c>
      <c r="J5951" t="s">
        <v>30</v>
      </c>
      <c r="K5951" t="s">
        <v>31</v>
      </c>
      <c r="M5951" t="s">
        <v>17861</v>
      </c>
      <c r="N5951" t="str">
        <f>"5/20/2011 3:15:00 PM"</f>
        <v>5/20/2011 3:15:00 PM</v>
      </c>
      <c r="O5951" t="s">
        <v>18102</v>
      </c>
    </row>
    <row r="5952" spans="1:20" x14ac:dyDescent="0.25">
      <c r="A5952" t="str">
        <f>"3046533"</f>
        <v>3046533</v>
      </c>
      <c r="B5952" t="s">
        <v>18103</v>
      </c>
      <c r="C5952" t="str">
        <f>"54329950"</f>
        <v>54329950</v>
      </c>
      <c r="D5952" t="s">
        <v>18104</v>
      </c>
      <c r="I5952" t="s">
        <v>29</v>
      </c>
      <c r="J5952" t="s">
        <v>30</v>
      </c>
      <c r="K5952" t="s">
        <v>31</v>
      </c>
      <c r="M5952" t="s">
        <v>17861</v>
      </c>
      <c r="N5952" t="str">
        <f>"5/20/2011 3:18:00 PM"</f>
        <v>5/20/2011 3:18:00 PM</v>
      </c>
      <c r="O5952" t="s">
        <v>18104</v>
      </c>
    </row>
    <row r="5953" spans="1:20" x14ac:dyDescent="0.25">
      <c r="A5953" t="str">
        <f>"3047386"</f>
        <v>3047386</v>
      </c>
      <c r="B5953" t="s">
        <v>18105</v>
      </c>
      <c r="C5953" t="str">
        <f>"55842500"</f>
        <v>55842500</v>
      </c>
      <c r="D5953" t="s">
        <v>18106</v>
      </c>
      <c r="I5953" t="s">
        <v>184</v>
      </c>
      <c r="J5953" t="s">
        <v>30</v>
      </c>
      <c r="K5953" t="s">
        <v>185</v>
      </c>
      <c r="M5953" t="s">
        <v>17861</v>
      </c>
      <c r="N5953" t="str">
        <f>"5/20/2011 3:18:00 PM"</f>
        <v>5/20/2011 3:18:00 PM</v>
      </c>
      <c r="O5953" t="s">
        <v>18106</v>
      </c>
    </row>
    <row r="5954" spans="1:20" x14ac:dyDescent="0.25">
      <c r="A5954" t="str">
        <f>"3060809"</f>
        <v>3060809</v>
      </c>
      <c r="B5954" t="s">
        <v>18107</v>
      </c>
      <c r="C5954" t="str">
        <f>"8300087"</f>
        <v>8300087</v>
      </c>
      <c r="D5954" t="s">
        <v>18108</v>
      </c>
      <c r="E5954" t="s">
        <v>18109</v>
      </c>
      <c r="F5954" t="s">
        <v>18110</v>
      </c>
      <c r="I5954" t="s">
        <v>184</v>
      </c>
      <c r="J5954" t="s">
        <v>30</v>
      </c>
      <c r="K5954" t="s">
        <v>185</v>
      </c>
      <c r="M5954" t="s">
        <v>32</v>
      </c>
      <c r="N5954" t="str">
        <f>"8/9/2011 12:00:00 AM"</f>
        <v>8/9/2011 12:00:00 AM</v>
      </c>
      <c r="O5954" t="s">
        <v>18108</v>
      </c>
      <c r="T5954" t="s">
        <v>18109</v>
      </c>
    </row>
    <row r="5955" spans="1:20" x14ac:dyDescent="0.25">
      <c r="A5955" t="str">
        <f>"3041528"</f>
        <v>3041528</v>
      </c>
      <c r="B5955" t="s">
        <v>18111</v>
      </c>
      <c r="C5955" t="str">
        <f>"82532020"</f>
        <v>82532020</v>
      </c>
      <c r="D5955" t="s">
        <v>18112</v>
      </c>
      <c r="E5955" t="s">
        <v>18113</v>
      </c>
      <c r="F5955" t="s">
        <v>18114</v>
      </c>
      <c r="I5955" t="s">
        <v>2071</v>
      </c>
      <c r="J5955" t="s">
        <v>30</v>
      </c>
      <c r="K5955" t="s">
        <v>185</v>
      </c>
      <c r="M5955" t="s">
        <v>17861</v>
      </c>
      <c r="N5955" t="str">
        <f>"2/7/2011 11:05:00 AM"</f>
        <v>2/7/2011 11:05:00 AM</v>
      </c>
      <c r="O5955" t="s">
        <v>18112</v>
      </c>
      <c r="T5955" t="s">
        <v>18113</v>
      </c>
    </row>
    <row r="5956" spans="1:20" x14ac:dyDescent="0.25">
      <c r="A5956" t="str">
        <f>"3049178"</f>
        <v>3049178</v>
      </c>
      <c r="B5956" t="s">
        <v>18115</v>
      </c>
      <c r="C5956" t="str">
        <f>"8300077"</f>
        <v>8300077</v>
      </c>
      <c r="D5956" t="s">
        <v>18116</v>
      </c>
      <c r="E5956" t="s">
        <v>18117</v>
      </c>
      <c r="F5956" t="s">
        <v>18118</v>
      </c>
      <c r="I5956" t="s">
        <v>29</v>
      </c>
      <c r="J5956" t="s">
        <v>30</v>
      </c>
      <c r="K5956" t="s">
        <v>31</v>
      </c>
      <c r="M5956" t="s">
        <v>32</v>
      </c>
      <c r="N5956" t="str">
        <f>"8/9/2011 12:00:00 AM"</f>
        <v>8/9/2011 12:00:00 AM</v>
      </c>
      <c r="O5956" t="s">
        <v>18116</v>
      </c>
      <c r="T5956" t="s">
        <v>18117</v>
      </c>
    </row>
    <row r="5957" spans="1:20" x14ac:dyDescent="0.25">
      <c r="A5957" t="str">
        <f>"3049667"</f>
        <v>3049667</v>
      </c>
      <c r="B5957" t="s">
        <v>18119</v>
      </c>
      <c r="C5957" t="str">
        <f t="shared" ref="C5957:C5988" si="83">"51538750"</f>
        <v>51538750</v>
      </c>
      <c r="D5957" t="s">
        <v>18120</v>
      </c>
      <c r="F5957" t="s">
        <v>18121</v>
      </c>
      <c r="I5957" t="s">
        <v>29</v>
      </c>
      <c r="J5957" t="s">
        <v>30</v>
      </c>
      <c r="K5957" t="s">
        <v>31</v>
      </c>
      <c r="M5957" t="s">
        <v>17861</v>
      </c>
      <c r="N5957" t="str">
        <f t="shared" ref="N5957:N5988" si="84">"6/7/2011 10:59:00 AM"</f>
        <v>6/7/2011 10:59:00 AM</v>
      </c>
      <c r="O5957" t="s">
        <v>18120</v>
      </c>
    </row>
    <row r="5958" spans="1:20" x14ac:dyDescent="0.25">
      <c r="A5958" t="str">
        <f>"3049492"</f>
        <v>3049492</v>
      </c>
      <c r="B5958" t="s">
        <v>18122</v>
      </c>
      <c r="C5958" t="str">
        <f t="shared" si="83"/>
        <v>51538750</v>
      </c>
      <c r="D5958" t="s">
        <v>18120</v>
      </c>
      <c r="F5958" t="s">
        <v>18121</v>
      </c>
      <c r="I5958" t="s">
        <v>29</v>
      </c>
      <c r="J5958" t="s">
        <v>30</v>
      </c>
      <c r="K5958" t="s">
        <v>31</v>
      </c>
      <c r="M5958" t="s">
        <v>17861</v>
      </c>
      <c r="N5958" t="str">
        <f t="shared" si="84"/>
        <v>6/7/2011 10:59:00 AM</v>
      </c>
      <c r="O5958" t="s">
        <v>18120</v>
      </c>
    </row>
    <row r="5959" spans="1:20" x14ac:dyDescent="0.25">
      <c r="A5959" t="str">
        <f>"3049595"</f>
        <v>3049595</v>
      </c>
      <c r="B5959" t="s">
        <v>18123</v>
      </c>
      <c r="C5959" t="str">
        <f t="shared" si="83"/>
        <v>51538750</v>
      </c>
      <c r="D5959" t="s">
        <v>18120</v>
      </c>
      <c r="F5959" t="s">
        <v>18121</v>
      </c>
      <c r="I5959" t="s">
        <v>29</v>
      </c>
      <c r="J5959" t="s">
        <v>30</v>
      </c>
      <c r="K5959" t="s">
        <v>31</v>
      </c>
      <c r="M5959" t="s">
        <v>17861</v>
      </c>
      <c r="N5959" t="str">
        <f t="shared" si="84"/>
        <v>6/7/2011 10:59:00 AM</v>
      </c>
      <c r="O5959" t="s">
        <v>18120</v>
      </c>
    </row>
    <row r="5960" spans="1:20" x14ac:dyDescent="0.25">
      <c r="A5960" t="str">
        <f>"3049629"</f>
        <v>3049629</v>
      </c>
      <c r="B5960" t="s">
        <v>18124</v>
      </c>
      <c r="C5960" t="str">
        <f t="shared" si="83"/>
        <v>51538750</v>
      </c>
      <c r="D5960" t="s">
        <v>18120</v>
      </c>
      <c r="F5960" t="s">
        <v>18121</v>
      </c>
      <c r="I5960" t="s">
        <v>29</v>
      </c>
      <c r="J5960" t="s">
        <v>30</v>
      </c>
      <c r="K5960" t="s">
        <v>31</v>
      </c>
      <c r="M5960" t="s">
        <v>17861</v>
      </c>
      <c r="N5960" t="str">
        <f t="shared" si="84"/>
        <v>6/7/2011 10:59:00 AM</v>
      </c>
      <c r="O5960" t="s">
        <v>18120</v>
      </c>
    </row>
    <row r="5961" spans="1:20" x14ac:dyDescent="0.25">
      <c r="A5961" t="str">
        <f>"3049161"</f>
        <v>3049161</v>
      </c>
      <c r="B5961" t="s">
        <v>18125</v>
      </c>
      <c r="C5961" t="str">
        <f t="shared" si="83"/>
        <v>51538750</v>
      </c>
      <c r="D5961" t="s">
        <v>18120</v>
      </c>
      <c r="F5961" t="s">
        <v>18121</v>
      </c>
      <c r="I5961" t="s">
        <v>29</v>
      </c>
      <c r="J5961" t="s">
        <v>30</v>
      </c>
      <c r="K5961" t="s">
        <v>31</v>
      </c>
      <c r="M5961" t="s">
        <v>17861</v>
      </c>
      <c r="N5961" t="str">
        <f t="shared" si="84"/>
        <v>6/7/2011 10:59:00 AM</v>
      </c>
      <c r="O5961" t="s">
        <v>18120</v>
      </c>
    </row>
    <row r="5962" spans="1:20" x14ac:dyDescent="0.25">
      <c r="A5962" t="str">
        <f>"3049144"</f>
        <v>3049144</v>
      </c>
      <c r="B5962" t="s">
        <v>18126</v>
      </c>
      <c r="C5962" t="str">
        <f t="shared" si="83"/>
        <v>51538750</v>
      </c>
      <c r="D5962" t="s">
        <v>18120</v>
      </c>
      <c r="F5962" t="s">
        <v>18121</v>
      </c>
      <c r="I5962" t="s">
        <v>29</v>
      </c>
      <c r="J5962" t="s">
        <v>30</v>
      </c>
      <c r="K5962" t="s">
        <v>31</v>
      </c>
      <c r="M5962" t="s">
        <v>17861</v>
      </c>
      <c r="N5962" t="str">
        <f t="shared" si="84"/>
        <v>6/7/2011 10:59:00 AM</v>
      </c>
      <c r="O5962" t="s">
        <v>18120</v>
      </c>
    </row>
    <row r="5963" spans="1:20" x14ac:dyDescent="0.25">
      <c r="A5963" t="str">
        <f>"3049364"</f>
        <v>3049364</v>
      </c>
      <c r="B5963" t="s">
        <v>18127</v>
      </c>
      <c r="C5963" t="str">
        <f t="shared" si="83"/>
        <v>51538750</v>
      </c>
      <c r="D5963" t="s">
        <v>18120</v>
      </c>
      <c r="F5963" t="s">
        <v>18121</v>
      </c>
      <c r="I5963" t="s">
        <v>29</v>
      </c>
      <c r="J5963" t="s">
        <v>30</v>
      </c>
      <c r="K5963" t="s">
        <v>31</v>
      </c>
      <c r="M5963" t="s">
        <v>17861</v>
      </c>
      <c r="N5963" t="str">
        <f t="shared" si="84"/>
        <v>6/7/2011 10:59:00 AM</v>
      </c>
      <c r="O5963" t="s">
        <v>18120</v>
      </c>
    </row>
    <row r="5964" spans="1:20" x14ac:dyDescent="0.25">
      <c r="A5964" t="str">
        <f>"3049381"</f>
        <v>3049381</v>
      </c>
      <c r="B5964" t="s">
        <v>18128</v>
      </c>
      <c r="C5964" t="str">
        <f t="shared" si="83"/>
        <v>51538750</v>
      </c>
      <c r="D5964" t="s">
        <v>18120</v>
      </c>
      <c r="F5964" t="s">
        <v>18121</v>
      </c>
      <c r="I5964" t="s">
        <v>29</v>
      </c>
      <c r="J5964" t="s">
        <v>30</v>
      </c>
      <c r="K5964" t="s">
        <v>31</v>
      </c>
      <c r="M5964" t="s">
        <v>17861</v>
      </c>
      <c r="N5964" t="str">
        <f t="shared" si="84"/>
        <v>6/7/2011 10:59:00 AM</v>
      </c>
      <c r="O5964" t="s">
        <v>18120</v>
      </c>
    </row>
    <row r="5965" spans="1:20" x14ac:dyDescent="0.25">
      <c r="A5965" t="str">
        <f>"3049327"</f>
        <v>3049327</v>
      </c>
      <c r="B5965" t="s">
        <v>18129</v>
      </c>
      <c r="C5965" t="str">
        <f t="shared" si="83"/>
        <v>51538750</v>
      </c>
      <c r="D5965" t="s">
        <v>18120</v>
      </c>
      <c r="F5965" t="s">
        <v>18121</v>
      </c>
      <c r="I5965" t="s">
        <v>29</v>
      </c>
      <c r="J5965" t="s">
        <v>30</v>
      </c>
      <c r="K5965" t="s">
        <v>31</v>
      </c>
      <c r="M5965" t="s">
        <v>17861</v>
      </c>
      <c r="N5965" t="str">
        <f t="shared" si="84"/>
        <v>6/7/2011 10:59:00 AM</v>
      </c>
      <c r="O5965" t="s">
        <v>18120</v>
      </c>
    </row>
    <row r="5966" spans="1:20" x14ac:dyDescent="0.25">
      <c r="A5966" t="str">
        <f>"3049332"</f>
        <v>3049332</v>
      </c>
      <c r="B5966" t="s">
        <v>18130</v>
      </c>
      <c r="C5966" t="str">
        <f t="shared" si="83"/>
        <v>51538750</v>
      </c>
      <c r="D5966" t="s">
        <v>18120</v>
      </c>
      <c r="F5966" t="s">
        <v>18121</v>
      </c>
      <c r="I5966" t="s">
        <v>29</v>
      </c>
      <c r="J5966" t="s">
        <v>30</v>
      </c>
      <c r="K5966" t="s">
        <v>31</v>
      </c>
      <c r="M5966" t="s">
        <v>17861</v>
      </c>
      <c r="N5966" t="str">
        <f t="shared" si="84"/>
        <v>6/7/2011 10:59:00 AM</v>
      </c>
      <c r="O5966" t="s">
        <v>18120</v>
      </c>
    </row>
    <row r="5967" spans="1:20" x14ac:dyDescent="0.25">
      <c r="A5967" t="str">
        <f>"3048433"</f>
        <v>3048433</v>
      </c>
      <c r="B5967" t="s">
        <v>18131</v>
      </c>
      <c r="C5967" t="str">
        <f t="shared" si="83"/>
        <v>51538750</v>
      </c>
      <c r="D5967" t="s">
        <v>18120</v>
      </c>
      <c r="F5967" t="s">
        <v>18121</v>
      </c>
      <c r="I5967" t="s">
        <v>29</v>
      </c>
      <c r="J5967" t="s">
        <v>30</v>
      </c>
      <c r="K5967" t="s">
        <v>31</v>
      </c>
      <c r="M5967" t="s">
        <v>17861</v>
      </c>
      <c r="N5967" t="str">
        <f t="shared" si="84"/>
        <v>6/7/2011 10:59:00 AM</v>
      </c>
      <c r="O5967" t="s">
        <v>18120</v>
      </c>
    </row>
    <row r="5968" spans="1:20" x14ac:dyDescent="0.25">
      <c r="A5968" t="str">
        <f>"3048368"</f>
        <v>3048368</v>
      </c>
      <c r="B5968" t="s">
        <v>18132</v>
      </c>
      <c r="C5968" t="str">
        <f t="shared" si="83"/>
        <v>51538750</v>
      </c>
      <c r="D5968" t="s">
        <v>18120</v>
      </c>
      <c r="F5968" t="s">
        <v>18121</v>
      </c>
      <c r="I5968" t="s">
        <v>29</v>
      </c>
      <c r="J5968" t="s">
        <v>30</v>
      </c>
      <c r="K5968" t="s">
        <v>31</v>
      </c>
      <c r="M5968" t="s">
        <v>17861</v>
      </c>
      <c r="N5968" t="str">
        <f t="shared" si="84"/>
        <v>6/7/2011 10:59:00 AM</v>
      </c>
      <c r="O5968" t="s">
        <v>18120</v>
      </c>
    </row>
    <row r="5969" spans="1:15" x14ac:dyDescent="0.25">
      <c r="A5969" t="str">
        <f>"3048754"</f>
        <v>3048754</v>
      </c>
      <c r="B5969" t="s">
        <v>18133</v>
      </c>
      <c r="C5969" t="str">
        <f t="shared" si="83"/>
        <v>51538750</v>
      </c>
      <c r="D5969" t="s">
        <v>18120</v>
      </c>
      <c r="F5969" t="s">
        <v>18121</v>
      </c>
      <c r="I5969" t="s">
        <v>29</v>
      </c>
      <c r="J5969" t="s">
        <v>30</v>
      </c>
      <c r="K5969" t="s">
        <v>31</v>
      </c>
      <c r="M5969" t="s">
        <v>17861</v>
      </c>
      <c r="N5969" t="str">
        <f t="shared" si="84"/>
        <v>6/7/2011 10:59:00 AM</v>
      </c>
      <c r="O5969" t="s">
        <v>18120</v>
      </c>
    </row>
    <row r="5970" spans="1:15" x14ac:dyDescent="0.25">
      <c r="A5970" t="str">
        <f>"3048519"</f>
        <v>3048519</v>
      </c>
      <c r="B5970" t="s">
        <v>18134</v>
      </c>
      <c r="C5970" t="str">
        <f t="shared" si="83"/>
        <v>51538750</v>
      </c>
      <c r="D5970" t="s">
        <v>18120</v>
      </c>
      <c r="F5970" t="s">
        <v>18121</v>
      </c>
      <c r="I5970" t="s">
        <v>29</v>
      </c>
      <c r="J5970" t="s">
        <v>30</v>
      </c>
      <c r="K5970" t="s">
        <v>31</v>
      </c>
      <c r="M5970" t="s">
        <v>17861</v>
      </c>
      <c r="N5970" t="str">
        <f t="shared" si="84"/>
        <v>6/7/2011 10:59:00 AM</v>
      </c>
      <c r="O5970" t="s">
        <v>18120</v>
      </c>
    </row>
    <row r="5971" spans="1:15" x14ac:dyDescent="0.25">
      <c r="A5971" t="str">
        <f>"3048506"</f>
        <v>3048506</v>
      </c>
      <c r="B5971" t="s">
        <v>18135</v>
      </c>
      <c r="C5971" t="str">
        <f t="shared" si="83"/>
        <v>51538750</v>
      </c>
      <c r="D5971" t="s">
        <v>18120</v>
      </c>
      <c r="F5971" t="s">
        <v>18121</v>
      </c>
      <c r="I5971" t="s">
        <v>29</v>
      </c>
      <c r="J5971" t="s">
        <v>30</v>
      </c>
      <c r="K5971" t="s">
        <v>31</v>
      </c>
      <c r="M5971" t="s">
        <v>17861</v>
      </c>
      <c r="N5971" t="str">
        <f t="shared" si="84"/>
        <v>6/7/2011 10:59:00 AM</v>
      </c>
      <c r="O5971" t="s">
        <v>18120</v>
      </c>
    </row>
    <row r="5972" spans="1:15" x14ac:dyDescent="0.25">
      <c r="A5972" t="str">
        <f>"3048489"</f>
        <v>3048489</v>
      </c>
      <c r="B5972" t="s">
        <v>18136</v>
      </c>
      <c r="C5972" t="str">
        <f t="shared" si="83"/>
        <v>51538750</v>
      </c>
      <c r="D5972" t="s">
        <v>18120</v>
      </c>
      <c r="F5972" t="s">
        <v>18121</v>
      </c>
      <c r="I5972" t="s">
        <v>29</v>
      </c>
      <c r="J5972" t="s">
        <v>30</v>
      </c>
      <c r="K5972" t="s">
        <v>31</v>
      </c>
      <c r="M5972" t="s">
        <v>17861</v>
      </c>
      <c r="N5972" t="str">
        <f t="shared" si="84"/>
        <v>6/7/2011 10:59:00 AM</v>
      </c>
      <c r="O5972" t="s">
        <v>18120</v>
      </c>
    </row>
    <row r="5973" spans="1:15" x14ac:dyDescent="0.25">
      <c r="A5973" t="str">
        <f>"3048461"</f>
        <v>3048461</v>
      </c>
      <c r="B5973" t="s">
        <v>18137</v>
      </c>
      <c r="C5973" t="str">
        <f t="shared" si="83"/>
        <v>51538750</v>
      </c>
      <c r="D5973" t="s">
        <v>18120</v>
      </c>
      <c r="F5973" t="s">
        <v>18121</v>
      </c>
      <c r="I5973" t="s">
        <v>29</v>
      </c>
      <c r="J5973" t="s">
        <v>30</v>
      </c>
      <c r="K5973" t="s">
        <v>31</v>
      </c>
      <c r="M5973" t="s">
        <v>17861</v>
      </c>
      <c r="N5973" t="str">
        <f t="shared" si="84"/>
        <v>6/7/2011 10:59:00 AM</v>
      </c>
      <c r="O5973" t="s">
        <v>18120</v>
      </c>
    </row>
    <row r="5974" spans="1:15" x14ac:dyDescent="0.25">
      <c r="A5974" t="str">
        <f>"3048932"</f>
        <v>3048932</v>
      </c>
      <c r="B5974" t="s">
        <v>18138</v>
      </c>
      <c r="C5974" t="str">
        <f t="shared" si="83"/>
        <v>51538750</v>
      </c>
      <c r="D5974" t="s">
        <v>18120</v>
      </c>
      <c r="F5974" t="s">
        <v>18121</v>
      </c>
      <c r="I5974" t="s">
        <v>29</v>
      </c>
      <c r="J5974" t="s">
        <v>30</v>
      </c>
      <c r="K5974" t="s">
        <v>31</v>
      </c>
      <c r="M5974" t="s">
        <v>17861</v>
      </c>
      <c r="N5974" t="str">
        <f t="shared" si="84"/>
        <v>6/7/2011 10:59:00 AM</v>
      </c>
      <c r="O5974" t="s">
        <v>18120</v>
      </c>
    </row>
    <row r="5975" spans="1:15" x14ac:dyDescent="0.25">
      <c r="A5975" t="str">
        <f>"3052104"</f>
        <v>3052104</v>
      </c>
      <c r="B5975" t="s">
        <v>18139</v>
      </c>
      <c r="C5975" t="str">
        <f t="shared" si="83"/>
        <v>51538750</v>
      </c>
      <c r="D5975" t="s">
        <v>18120</v>
      </c>
      <c r="F5975" t="s">
        <v>18121</v>
      </c>
      <c r="I5975" t="s">
        <v>29</v>
      </c>
      <c r="J5975" t="s">
        <v>30</v>
      </c>
      <c r="K5975" t="s">
        <v>31</v>
      </c>
      <c r="M5975" t="s">
        <v>17861</v>
      </c>
      <c r="N5975" t="str">
        <f t="shared" si="84"/>
        <v>6/7/2011 10:59:00 AM</v>
      </c>
      <c r="O5975" t="s">
        <v>18120</v>
      </c>
    </row>
    <row r="5976" spans="1:15" x14ac:dyDescent="0.25">
      <c r="A5976" t="str">
        <f>"3052309"</f>
        <v>3052309</v>
      </c>
      <c r="B5976" t="s">
        <v>18140</v>
      </c>
      <c r="C5976" t="str">
        <f t="shared" si="83"/>
        <v>51538750</v>
      </c>
      <c r="D5976" t="s">
        <v>18120</v>
      </c>
      <c r="F5976" t="s">
        <v>18121</v>
      </c>
      <c r="I5976" t="s">
        <v>29</v>
      </c>
      <c r="J5976" t="s">
        <v>30</v>
      </c>
      <c r="K5976" t="s">
        <v>31</v>
      </c>
      <c r="M5976" t="s">
        <v>17861</v>
      </c>
      <c r="N5976" t="str">
        <f t="shared" si="84"/>
        <v>6/7/2011 10:59:00 AM</v>
      </c>
      <c r="O5976" t="s">
        <v>18120</v>
      </c>
    </row>
    <row r="5977" spans="1:15" x14ac:dyDescent="0.25">
      <c r="A5977" t="str">
        <f>"3052304"</f>
        <v>3052304</v>
      </c>
      <c r="B5977" t="s">
        <v>18141</v>
      </c>
      <c r="C5977" t="str">
        <f t="shared" si="83"/>
        <v>51538750</v>
      </c>
      <c r="D5977" t="s">
        <v>18120</v>
      </c>
      <c r="F5977" t="s">
        <v>18121</v>
      </c>
      <c r="I5977" t="s">
        <v>29</v>
      </c>
      <c r="J5977" t="s">
        <v>30</v>
      </c>
      <c r="K5977" t="s">
        <v>31</v>
      </c>
      <c r="M5977" t="s">
        <v>17861</v>
      </c>
      <c r="N5977" t="str">
        <f t="shared" si="84"/>
        <v>6/7/2011 10:59:00 AM</v>
      </c>
      <c r="O5977" t="s">
        <v>18120</v>
      </c>
    </row>
    <row r="5978" spans="1:15" x14ac:dyDescent="0.25">
      <c r="A5978" t="str">
        <f>"3052279"</f>
        <v>3052279</v>
      </c>
      <c r="B5978" t="s">
        <v>18142</v>
      </c>
      <c r="C5978" t="str">
        <f t="shared" si="83"/>
        <v>51538750</v>
      </c>
      <c r="D5978" t="s">
        <v>18120</v>
      </c>
      <c r="F5978" t="s">
        <v>18121</v>
      </c>
      <c r="I5978" t="s">
        <v>29</v>
      </c>
      <c r="J5978" t="s">
        <v>30</v>
      </c>
      <c r="K5978" t="s">
        <v>31</v>
      </c>
      <c r="M5978" t="s">
        <v>17861</v>
      </c>
      <c r="N5978" t="str">
        <f t="shared" si="84"/>
        <v>6/7/2011 10:59:00 AM</v>
      </c>
      <c r="O5978" t="s">
        <v>18120</v>
      </c>
    </row>
    <row r="5979" spans="1:15" x14ac:dyDescent="0.25">
      <c r="A5979" t="str">
        <f>"3052171"</f>
        <v>3052171</v>
      </c>
      <c r="B5979" t="s">
        <v>18143</v>
      </c>
      <c r="C5979" t="str">
        <f t="shared" si="83"/>
        <v>51538750</v>
      </c>
      <c r="D5979" t="s">
        <v>18120</v>
      </c>
      <c r="F5979" t="s">
        <v>18121</v>
      </c>
      <c r="I5979" t="s">
        <v>29</v>
      </c>
      <c r="J5979" t="s">
        <v>30</v>
      </c>
      <c r="K5979" t="s">
        <v>31</v>
      </c>
      <c r="M5979" t="s">
        <v>17861</v>
      </c>
      <c r="N5979" t="str">
        <f t="shared" si="84"/>
        <v>6/7/2011 10:59:00 AM</v>
      </c>
      <c r="O5979" t="s">
        <v>18120</v>
      </c>
    </row>
    <row r="5980" spans="1:15" x14ac:dyDescent="0.25">
      <c r="A5980" t="str">
        <f>"3052252"</f>
        <v>3052252</v>
      </c>
      <c r="B5980" t="s">
        <v>18144</v>
      </c>
      <c r="C5980" t="str">
        <f t="shared" si="83"/>
        <v>51538750</v>
      </c>
      <c r="D5980" t="s">
        <v>18120</v>
      </c>
      <c r="F5980" t="s">
        <v>18121</v>
      </c>
      <c r="I5980" t="s">
        <v>29</v>
      </c>
      <c r="J5980" t="s">
        <v>30</v>
      </c>
      <c r="K5980" t="s">
        <v>31</v>
      </c>
      <c r="M5980" t="s">
        <v>17861</v>
      </c>
      <c r="N5980" t="str">
        <f t="shared" si="84"/>
        <v>6/7/2011 10:59:00 AM</v>
      </c>
      <c r="O5980" t="s">
        <v>18120</v>
      </c>
    </row>
    <row r="5981" spans="1:15" x14ac:dyDescent="0.25">
      <c r="A5981" t="str">
        <f>"3052254"</f>
        <v>3052254</v>
      </c>
      <c r="B5981" t="s">
        <v>18145</v>
      </c>
      <c r="C5981" t="str">
        <f t="shared" si="83"/>
        <v>51538750</v>
      </c>
      <c r="D5981" t="s">
        <v>18120</v>
      </c>
      <c r="F5981" t="s">
        <v>18121</v>
      </c>
      <c r="I5981" t="s">
        <v>29</v>
      </c>
      <c r="J5981" t="s">
        <v>30</v>
      </c>
      <c r="K5981" t="s">
        <v>31</v>
      </c>
      <c r="M5981" t="s">
        <v>17861</v>
      </c>
      <c r="N5981" t="str">
        <f t="shared" si="84"/>
        <v>6/7/2011 10:59:00 AM</v>
      </c>
      <c r="O5981" t="s">
        <v>18120</v>
      </c>
    </row>
    <row r="5982" spans="1:15" x14ac:dyDescent="0.25">
      <c r="A5982" t="str">
        <f>"3052256"</f>
        <v>3052256</v>
      </c>
      <c r="B5982" t="s">
        <v>18146</v>
      </c>
      <c r="C5982" t="str">
        <f t="shared" si="83"/>
        <v>51538750</v>
      </c>
      <c r="D5982" t="s">
        <v>18120</v>
      </c>
      <c r="F5982" t="s">
        <v>18121</v>
      </c>
      <c r="I5982" t="s">
        <v>29</v>
      </c>
      <c r="J5982" t="s">
        <v>30</v>
      </c>
      <c r="K5982" t="s">
        <v>31</v>
      </c>
      <c r="M5982" t="s">
        <v>17861</v>
      </c>
      <c r="N5982" t="str">
        <f t="shared" si="84"/>
        <v>6/7/2011 10:59:00 AM</v>
      </c>
      <c r="O5982" t="s">
        <v>18120</v>
      </c>
    </row>
    <row r="5983" spans="1:15" x14ac:dyDescent="0.25">
      <c r="A5983" t="str">
        <f>"3052249"</f>
        <v>3052249</v>
      </c>
      <c r="B5983" t="s">
        <v>18147</v>
      </c>
      <c r="C5983" t="str">
        <f t="shared" si="83"/>
        <v>51538750</v>
      </c>
      <c r="D5983" t="s">
        <v>18120</v>
      </c>
      <c r="F5983" t="s">
        <v>18121</v>
      </c>
      <c r="I5983" t="s">
        <v>29</v>
      </c>
      <c r="J5983" t="s">
        <v>30</v>
      </c>
      <c r="K5983" t="s">
        <v>31</v>
      </c>
      <c r="M5983" t="s">
        <v>17861</v>
      </c>
      <c r="N5983" t="str">
        <f t="shared" si="84"/>
        <v>6/7/2011 10:59:00 AM</v>
      </c>
      <c r="O5983" t="s">
        <v>18120</v>
      </c>
    </row>
    <row r="5984" spans="1:15" x14ac:dyDescent="0.25">
      <c r="A5984" t="str">
        <f>"3052265"</f>
        <v>3052265</v>
      </c>
      <c r="B5984" t="s">
        <v>18148</v>
      </c>
      <c r="C5984" t="str">
        <f t="shared" si="83"/>
        <v>51538750</v>
      </c>
      <c r="D5984" t="s">
        <v>18120</v>
      </c>
      <c r="F5984" t="s">
        <v>18121</v>
      </c>
      <c r="I5984" t="s">
        <v>29</v>
      </c>
      <c r="J5984" t="s">
        <v>30</v>
      </c>
      <c r="K5984" t="s">
        <v>31</v>
      </c>
      <c r="M5984" t="s">
        <v>17861</v>
      </c>
      <c r="N5984" t="str">
        <f t="shared" si="84"/>
        <v>6/7/2011 10:59:00 AM</v>
      </c>
      <c r="O5984" t="s">
        <v>18120</v>
      </c>
    </row>
    <row r="5985" spans="1:20" x14ac:dyDescent="0.25">
      <c r="A5985" t="str">
        <f>"3052244"</f>
        <v>3052244</v>
      </c>
      <c r="B5985" t="s">
        <v>18149</v>
      </c>
      <c r="C5985" t="str">
        <f t="shared" si="83"/>
        <v>51538750</v>
      </c>
      <c r="D5985" t="s">
        <v>18120</v>
      </c>
      <c r="F5985" t="s">
        <v>18121</v>
      </c>
      <c r="I5985" t="s">
        <v>29</v>
      </c>
      <c r="J5985" t="s">
        <v>30</v>
      </c>
      <c r="K5985" t="s">
        <v>31</v>
      </c>
      <c r="M5985" t="s">
        <v>17861</v>
      </c>
      <c r="N5985" t="str">
        <f t="shared" si="84"/>
        <v>6/7/2011 10:59:00 AM</v>
      </c>
      <c r="O5985" t="s">
        <v>18120</v>
      </c>
    </row>
    <row r="5986" spans="1:20" x14ac:dyDescent="0.25">
      <c r="A5986" t="str">
        <f>"3052245"</f>
        <v>3052245</v>
      </c>
      <c r="B5986" t="s">
        <v>18150</v>
      </c>
      <c r="C5986" t="str">
        <f t="shared" si="83"/>
        <v>51538750</v>
      </c>
      <c r="D5986" t="s">
        <v>18120</v>
      </c>
      <c r="F5986" t="s">
        <v>18121</v>
      </c>
      <c r="I5986" t="s">
        <v>29</v>
      </c>
      <c r="J5986" t="s">
        <v>30</v>
      </c>
      <c r="K5986" t="s">
        <v>31</v>
      </c>
      <c r="M5986" t="s">
        <v>17861</v>
      </c>
      <c r="N5986" t="str">
        <f t="shared" si="84"/>
        <v>6/7/2011 10:59:00 AM</v>
      </c>
      <c r="O5986" t="s">
        <v>18120</v>
      </c>
    </row>
    <row r="5987" spans="1:20" x14ac:dyDescent="0.25">
      <c r="A5987" t="str">
        <f>"3052246"</f>
        <v>3052246</v>
      </c>
      <c r="B5987" t="s">
        <v>18151</v>
      </c>
      <c r="C5987" t="str">
        <f t="shared" si="83"/>
        <v>51538750</v>
      </c>
      <c r="D5987" t="s">
        <v>18120</v>
      </c>
      <c r="F5987" t="s">
        <v>18121</v>
      </c>
      <c r="I5987" t="s">
        <v>29</v>
      </c>
      <c r="J5987" t="s">
        <v>30</v>
      </c>
      <c r="K5987" t="s">
        <v>31</v>
      </c>
      <c r="M5987" t="s">
        <v>17861</v>
      </c>
      <c r="N5987" t="str">
        <f t="shared" si="84"/>
        <v>6/7/2011 10:59:00 AM</v>
      </c>
      <c r="O5987" t="s">
        <v>18120</v>
      </c>
    </row>
    <row r="5988" spans="1:20" x14ac:dyDescent="0.25">
      <c r="A5988" t="str">
        <f>"3052291"</f>
        <v>3052291</v>
      </c>
      <c r="B5988" t="s">
        <v>18152</v>
      </c>
      <c r="C5988" t="str">
        <f t="shared" si="83"/>
        <v>51538750</v>
      </c>
      <c r="D5988" t="s">
        <v>18120</v>
      </c>
      <c r="F5988" t="s">
        <v>18121</v>
      </c>
      <c r="I5988" t="s">
        <v>29</v>
      </c>
      <c r="J5988" t="s">
        <v>30</v>
      </c>
      <c r="K5988" t="s">
        <v>31</v>
      </c>
      <c r="M5988" t="s">
        <v>17861</v>
      </c>
      <c r="N5988" t="str">
        <f t="shared" si="84"/>
        <v>6/7/2011 10:59:00 AM</v>
      </c>
      <c r="O5988" t="s">
        <v>18120</v>
      </c>
    </row>
    <row r="5989" spans="1:20" x14ac:dyDescent="0.25">
      <c r="A5989" t="str">
        <f>"3078635"</f>
        <v>3078635</v>
      </c>
      <c r="B5989" t="s">
        <v>18153</v>
      </c>
      <c r="C5989" t="str">
        <f>"8300235"</f>
        <v>8300235</v>
      </c>
      <c r="D5989" t="s">
        <v>18154</v>
      </c>
      <c r="E5989" t="s">
        <v>18155</v>
      </c>
      <c r="F5989" t="s">
        <v>18156</v>
      </c>
      <c r="I5989" t="s">
        <v>29</v>
      </c>
      <c r="J5989" t="s">
        <v>30</v>
      </c>
      <c r="K5989" t="s">
        <v>31</v>
      </c>
      <c r="M5989" t="s">
        <v>32</v>
      </c>
      <c r="N5989" t="str">
        <f>"8/10/2011 12:00:00 AM"</f>
        <v>8/10/2011 12:00:00 AM</v>
      </c>
      <c r="O5989" t="s">
        <v>18154</v>
      </c>
      <c r="T5989" t="s">
        <v>18155</v>
      </c>
    </row>
    <row r="5990" spans="1:20" x14ac:dyDescent="0.25">
      <c r="A5990" t="str">
        <f>"3054455"</f>
        <v>3054455</v>
      </c>
      <c r="B5990" t="s">
        <v>18157</v>
      </c>
      <c r="C5990" t="str">
        <f>"8300196"</f>
        <v>8300196</v>
      </c>
      <c r="D5990" t="s">
        <v>18158</v>
      </c>
      <c r="F5990" t="s">
        <v>18159</v>
      </c>
      <c r="I5990" t="s">
        <v>29</v>
      </c>
      <c r="J5990" t="s">
        <v>30</v>
      </c>
      <c r="K5990" t="s">
        <v>31</v>
      </c>
      <c r="M5990" t="s">
        <v>32</v>
      </c>
      <c r="N5990" t="str">
        <f>"8/10/2011 12:00:00 AM"</f>
        <v>8/10/2011 12:00:00 AM</v>
      </c>
      <c r="O5990" t="s">
        <v>18158</v>
      </c>
    </row>
    <row r="5991" spans="1:20" x14ac:dyDescent="0.25">
      <c r="A5991" t="str">
        <f>"3055229"</f>
        <v>3055229</v>
      </c>
      <c r="B5991" t="s">
        <v>18160</v>
      </c>
      <c r="C5991" t="str">
        <f>"8300025"</f>
        <v>8300025</v>
      </c>
      <c r="D5991" t="s">
        <v>16837</v>
      </c>
      <c r="E5991" t="s">
        <v>18161</v>
      </c>
      <c r="F5991" t="s">
        <v>18162</v>
      </c>
      <c r="I5991" t="s">
        <v>29</v>
      </c>
      <c r="J5991" t="s">
        <v>30</v>
      </c>
      <c r="K5991" t="s">
        <v>31</v>
      </c>
      <c r="M5991" t="s">
        <v>32</v>
      </c>
      <c r="N5991" t="str">
        <f>"10/17/2011 12:00:00 AM"</f>
        <v>10/17/2011 12:00:00 AM</v>
      </c>
      <c r="O5991" t="s">
        <v>16837</v>
      </c>
      <c r="T5991" t="s">
        <v>18161</v>
      </c>
    </row>
    <row r="5992" spans="1:20" x14ac:dyDescent="0.25">
      <c r="A5992" t="str">
        <f>"3042692"</f>
        <v>3042692</v>
      </c>
      <c r="B5992" t="s">
        <v>18163</v>
      </c>
      <c r="C5992" t="str">
        <f>"8300055"</f>
        <v>8300055</v>
      </c>
      <c r="D5992" t="s">
        <v>18164</v>
      </c>
      <c r="F5992" t="s">
        <v>18165</v>
      </c>
      <c r="I5992" t="s">
        <v>29</v>
      </c>
      <c r="J5992" t="s">
        <v>30</v>
      </c>
      <c r="K5992" t="s">
        <v>31</v>
      </c>
      <c r="M5992" t="s">
        <v>32</v>
      </c>
      <c r="N5992" t="str">
        <f>"8/9/2011 12:00:00 AM"</f>
        <v>8/9/2011 12:00:00 AM</v>
      </c>
      <c r="O5992" t="s">
        <v>18164</v>
      </c>
    </row>
    <row r="5993" spans="1:20" x14ac:dyDescent="0.25">
      <c r="A5993" t="str">
        <f>"3055558"</f>
        <v>3055558</v>
      </c>
      <c r="B5993" t="s">
        <v>18166</v>
      </c>
      <c r="C5993" t="str">
        <f>"8300085"</f>
        <v>8300085</v>
      </c>
      <c r="D5993" t="s">
        <v>18167</v>
      </c>
      <c r="F5993" t="s">
        <v>18168</v>
      </c>
      <c r="I5993" t="s">
        <v>29</v>
      </c>
      <c r="J5993" t="s">
        <v>30</v>
      </c>
      <c r="K5993" t="s">
        <v>31</v>
      </c>
      <c r="M5993" t="s">
        <v>32</v>
      </c>
      <c r="N5993" t="str">
        <f>"8/9/2011 12:00:00 AM"</f>
        <v>8/9/2011 12:00:00 AM</v>
      </c>
      <c r="O5993" t="s">
        <v>18167</v>
      </c>
    </row>
    <row r="5994" spans="1:20" x14ac:dyDescent="0.25">
      <c r="A5994" t="str">
        <f>"3059498"</f>
        <v>3059498</v>
      </c>
      <c r="B5994" t="s">
        <v>18169</v>
      </c>
      <c r="C5994" t="str">
        <f>"8300093"</f>
        <v>8300093</v>
      </c>
      <c r="D5994" t="s">
        <v>18170</v>
      </c>
      <c r="F5994" t="s">
        <v>18171</v>
      </c>
      <c r="I5994" t="s">
        <v>29</v>
      </c>
      <c r="J5994" t="s">
        <v>30</v>
      </c>
      <c r="K5994" t="s">
        <v>31</v>
      </c>
      <c r="M5994" t="s">
        <v>32</v>
      </c>
      <c r="N5994" t="str">
        <f>"8/8/2011 12:00:00 AM"</f>
        <v>8/8/2011 12:00:00 AM</v>
      </c>
      <c r="O5994" t="s">
        <v>18170</v>
      </c>
    </row>
    <row r="5995" spans="1:20" x14ac:dyDescent="0.25">
      <c r="A5995" t="str">
        <f>"3055465"</f>
        <v>3055465</v>
      </c>
      <c r="B5995" t="s">
        <v>18172</v>
      </c>
      <c r="C5995" t="str">
        <f>"8300094"</f>
        <v>8300094</v>
      </c>
      <c r="D5995" t="s">
        <v>18173</v>
      </c>
      <c r="F5995" t="s">
        <v>18174</v>
      </c>
      <c r="I5995" t="s">
        <v>29</v>
      </c>
      <c r="J5995" t="s">
        <v>30</v>
      </c>
      <c r="K5995" t="s">
        <v>31</v>
      </c>
      <c r="M5995" t="s">
        <v>32</v>
      </c>
      <c r="N5995" t="str">
        <f>"8/8/2011 12:00:00 AM"</f>
        <v>8/8/2011 12:00:00 AM</v>
      </c>
      <c r="O5995" t="s">
        <v>18173</v>
      </c>
    </row>
    <row r="5996" spans="1:20" x14ac:dyDescent="0.25">
      <c r="A5996" t="str">
        <f>"3043724"</f>
        <v>3043724</v>
      </c>
      <c r="B5996" t="s">
        <v>18175</v>
      </c>
      <c r="C5996" t="str">
        <f>"8300114"</f>
        <v>8300114</v>
      </c>
      <c r="D5996" t="s">
        <v>18176</v>
      </c>
      <c r="E5996" t="s">
        <v>18177</v>
      </c>
      <c r="F5996" t="s">
        <v>18178</v>
      </c>
      <c r="I5996" t="s">
        <v>29</v>
      </c>
      <c r="J5996" t="s">
        <v>30</v>
      </c>
      <c r="K5996" t="s">
        <v>31</v>
      </c>
      <c r="M5996" t="s">
        <v>32</v>
      </c>
      <c r="N5996" t="str">
        <f>"8/9/2011 12:00:00 AM"</f>
        <v>8/9/2011 12:00:00 AM</v>
      </c>
      <c r="O5996" t="s">
        <v>18176</v>
      </c>
      <c r="T5996" t="s">
        <v>18177</v>
      </c>
    </row>
    <row r="5997" spans="1:20" x14ac:dyDescent="0.25">
      <c r="A5997" t="str">
        <f>"3047473"</f>
        <v>3047473</v>
      </c>
      <c r="B5997" t="s">
        <v>18179</v>
      </c>
      <c r="C5997" t="str">
        <f>"8300138"</f>
        <v>8300138</v>
      </c>
      <c r="D5997" t="s">
        <v>18180</v>
      </c>
      <c r="E5997" t="s">
        <v>18181</v>
      </c>
      <c r="F5997" t="s">
        <v>18182</v>
      </c>
      <c r="I5997" t="s">
        <v>29</v>
      </c>
      <c r="J5997" t="s">
        <v>30</v>
      </c>
      <c r="K5997" t="s">
        <v>31</v>
      </c>
      <c r="M5997" t="s">
        <v>32</v>
      </c>
      <c r="N5997" t="str">
        <f>"8/9/2011 12:00:00 AM"</f>
        <v>8/9/2011 12:00:00 AM</v>
      </c>
      <c r="O5997" t="s">
        <v>18180</v>
      </c>
      <c r="T5997" t="s">
        <v>18181</v>
      </c>
    </row>
    <row r="5998" spans="1:20" x14ac:dyDescent="0.25">
      <c r="A5998" t="str">
        <f>"3037825"</f>
        <v>3037825</v>
      </c>
      <c r="B5998" t="s">
        <v>18183</v>
      </c>
      <c r="C5998" t="str">
        <f>"8300211"</f>
        <v>8300211</v>
      </c>
      <c r="D5998" t="s">
        <v>18051</v>
      </c>
      <c r="F5998" t="s">
        <v>18052</v>
      </c>
      <c r="I5998" t="s">
        <v>49</v>
      </c>
      <c r="J5998" t="s">
        <v>30</v>
      </c>
      <c r="K5998" t="s">
        <v>50</v>
      </c>
      <c r="M5998" t="s">
        <v>32</v>
      </c>
      <c r="N5998" t="str">
        <f>"8/10/2011 12:00:00 AM"</f>
        <v>8/10/2011 12:00:00 AM</v>
      </c>
      <c r="O5998" t="s">
        <v>18051</v>
      </c>
    </row>
    <row r="5999" spans="1:20" x14ac:dyDescent="0.25">
      <c r="A5999" t="str">
        <f>"3077007"</f>
        <v>3077007</v>
      </c>
      <c r="B5999" t="s">
        <v>18184</v>
      </c>
      <c r="C5999" t="str">
        <f>"8300242"</f>
        <v>8300242</v>
      </c>
      <c r="D5999" t="s">
        <v>18185</v>
      </c>
      <c r="F5999" t="s">
        <v>18186</v>
      </c>
      <c r="I5999" t="s">
        <v>29</v>
      </c>
      <c r="J5999" t="s">
        <v>30</v>
      </c>
      <c r="K5999" t="s">
        <v>31</v>
      </c>
      <c r="M5999" t="s">
        <v>32</v>
      </c>
      <c r="N5999" t="str">
        <f>"8/8/2011 12:00:00 AM"</f>
        <v>8/8/2011 12:00:00 AM</v>
      </c>
      <c r="O5999" t="s">
        <v>18185</v>
      </c>
    </row>
    <row r="6000" spans="1:20" x14ac:dyDescent="0.25">
      <c r="A6000" t="str">
        <f>"3076864"</f>
        <v>3076864</v>
      </c>
      <c r="B6000" t="s">
        <v>18187</v>
      </c>
      <c r="C6000" t="str">
        <f>"8300254"</f>
        <v>8300254</v>
      </c>
      <c r="D6000" t="s">
        <v>18069</v>
      </c>
      <c r="F6000" t="s">
        <v>18070</v>
      </c>
      <c r="I6000" t="s">
        <v>29</v>
      </c>
      <c r="J6000" t="s">
        <v>30</v>
      </c>
      <c r="K6000" t="s">
        <v>31</v>
      </c>
      <c r="M6000" t="s">
        <v>32</v>
      </c>
      <c r="N6000" t="str">
        <f>"8/10/2011 12:00:00 AM"</f>
        <v>8/10/2011 12:00:00 AM</v>
      </c>
      <c r="O6000" t="s">
        <v>18069</v>
      </c>
    </row>
    <row r="6001" spans="1:20" x14ac:dyDescent="0.25">
      <c r="A6001" t="str">
        <f>"3053361"</f>
        <v>3053361</v>
      </c>
      <c r="B6001" t="s">
        <v>18188</v>
      </c>
      <c r="C6001" t="str">
        <f>"8300267"</f>
        <v>8300267</v>
      </c>
      <c r="D6001" t="s">
        <v>18189</v>
      </c>
      <c r="E6001" t="s">
        <v>18190</v>
      </c>
      <c r="F6001" t="s">
        <v>18191</v>
      </c>
      <c r="I6001" t="s">
        <v>29</v>
      </c>
      <c r="J6001" t="s">
        <v>30</v>
      </c>
      <c r="K6001" t="s">
        <v>31</v>
      </c>
      <c r="M6001" t="s">
        <v>32</v>
      </c>
      <c r="N6001" t="str">
        <f>"8/10/2011 12:00:00 AM"</f>
        <v>8/10/2011 12:00:00 AM</v>
      </c>
      <c r="O6001" t="s">
        <v>18189</v>
      </c>
      <c r="T6001" t="s">
        <v>18190</v>
      </c>
    </row>
    <row r="6002" spans="1:20" x14ac:dyDescent="0.25">
      <c r="A6002" t="str">
        <f>"3053411"</f>
        <v>3053411</v>
      </c>
      <c r="B6002" t="s">
        <v>18192</v>
      </c>
      <c r="C6002" t="str">
        <f>"8300267"</f>
        <v>8300267</v>
      </c>
      <c r="D6002" t="s">
        <v>18189</v>
      </c>
      <c r="E6002" t="s">
        <v>18190</v>
      </c>
      <c r="F6002" t="s">
        <v>18191</v>
      </c>
      <c r="I6002" t="s">
        <v>29</v>
      </c>
      <c r="J6002" t="s">
        <v>30</v>
      </c>
      <c r="K6002" t="s">
        <v>31</v>
      </c>
      <c r="M6002" t="s">
        <v>32</v>
      </c>
      <c r="N6002" t="str">
        <f>"8/10/2011 12:00:00 AM"</f>
        <v>8/10/2011 12:00:00 AM</v>
      </c>
      <c r="O6002" t="s">
        <v>18189</v>
      </c>
      <c r="T6002" t="s">
        <v>18190</v>
      </c>
    </row>
    <row r="6003" spans="1:20" x14ac:dyDescent="0.25">
      <c r="A6003" t="str">
        <f>"3053378"</f>
        <v>3053378</v>
      </c>
      <c r="B6003" t="s">
        <v>18193</v>
      </c>
      <c r="C6003" t="str">
        <f>"8300285"</f>
        <v>8300285</v>
      </c>
      <c r="D6003" t="s">
        <v>18194</v>
      </c>
      <c r="F6003" t="s">
        <v>18195</v>
      </c>
      <c r="I6003" t="s">
        <v>964</v>
      </c>
      <c r="J6003" t="s">
        <v>30</v>
      </c>
      <c r="K6003" t="s">
        <v>11521</v>
      </c>
      <c r="M6003" t="s">
        <v>32</v>
      </c>
      <c r="N6003" t="str">
        <f>"8/10/2011 12:00:00 AM"</f>
        <v>8/10/2011 12:00:00 AM</v>
      </c>
      <c r="O6003" t="s">
        <v>18194</v>
      </c>
    </row>
    <row r="6004" spans="1:20" x14ac:dyDescent="0.25">
      <c r="A6004" t="str">
        <f>"3050691"</f>
        <v>3050691</v>
      </c>
      <c r="B6004" t="s">
        <v>18196</v>
      </c>
      <c r="C6004" t="str">
        <f>"8300286"</f>
        <v>8300286</v>
      </c>
      <c r="D6004" t="s">
        <v>18197</v>
      </c>
      <c r="F6004" t="s">
        <v>18198</v>
      </c>
      <c r="I6004" t="s">
        <v>964</v>
      </c>
      <c r="J6004" t="s">
        <v>30</v>
      </c>
      <c r="K6004" t="str">
        <f>"28144"</f>
        <v>28144</v>
      </c>
      <c r="M6004" t="s">
        <v>17861</v>
      </c>
      <c r="N6004" t="str">
        <f>"5/20/2011 10:44:00 AM"</f>
        <v>5/20/2011 10:44:00 AM</v>
      </c>
      <c r="O6004" t="s">
        <v>18197</v>
      </c>
    </row>
    <row r="6005" spans="1:20" x14ac:dyDescent="0.25">
      <c r="A6005" t="str">
        <f>"3053578"</f>
        <v>3053578</v>
      </c>
      <c r="B6005" t="s">
        <v>18199</v>
      </c>
      <c r="C6005" t="str">
        <f>"8300287"</f>
        <v>8300287</v>
      </c>
      <c r="D6005" t="s">
        <v>18200</v>
      </c>
      <c r="F6005" t="s">
        <v>18195</v>
      </c>
      <c r="I6005" t="s">
        <v>964</v>
      </c>
      <c r="J6005" t="s">
        <v>30</v>
      </c>
      <c r="K6005" t="s">
        <v>11521</v>
      </c>
      <c r="M6005" t="s">
        <v>32</v>
      </c>
      <c r="N6005" t="str">
        <f>"8/10/2011 12:00:00 AM"</f>
        <v>8/10/2011 12:00:00 AM</v>
      </c>
      <c r="O6005" t="s">
        <v>18200</v>
      </c>
    </row>
    <row r="6006" spans="1:20" x14ac:dyDescent="0.25">
      <c r="A6006" t="str">
        <f>"3041473"</f>
        <v>3041473</v>
      </c>
      <c r="B6006" t="s">
        <v>18201</v>
      </c>
      <c r="C6006" t="str">
        <f>"8300289"</f>
        <v>8300289</v>
      </c>
      <c r="D6006" t="s">
        <v>18202</v>
      </c>
      <c r="F6006" t="s">
        <v>18203</v>
      </c>
      <c r="I6006" t="s">
        <v>2071</v>
      </c>
      <c r="J6006" t="s">
        <v>30</v>
      </c>
      <c r="K6006" t="s">
        <v>185</v>
      </c>
      <c r="M6006" t="s">
        <v>32</v>
      </c>
      <c r="N6006" t="str">
        <f>"8/19/2011 12:00:00 AM"</f>
        <v>8/19/2011 12:00:00 AM</v>
      </c>
      <c r="O6006" t="s">
        <v>18202</v>
      </c>
    </row>
    <row r="6007" spans="1:20" x14ac:dyDescent="0.25">
      <c r="A6007" t="str">
        <f>"3049466"</f>
        <v>3049466</v>
      </c>
      <c r="B6007" t="s">
        <v>18204</v>
      </c>
      <c r="C6007" t="str">
        <f>"12752040"</f>
        <v>12752040</v>
      </c>
      <c r="D6007" t="s">
        <v>18205</v>
      </c>
      <c r="I6007" t="s">
        <v>29</v>
      </c>
      <c r="J6007" t="s">
        <v>30</v>
      </c>
      <c r="K6007" t="s">
        <v>31</v>
      </c>
      <c r="M6007" t="s">
        <v>17861</v>
      </c>
      <c r="N6007" t="str">
        <f>"5/20/2011 3:13:00 PM"</f>
        <v>5/20/2011 3:13:00 PM</v>
      </c>
      <c r="O6007" t="s">
        <v>18205</v>
      </c>
    </row>
    <row r="6008" spans="1:20" x14ac:dyDescent="0.25">
      <c r="A6008" t="str">
        <f>"3050442"</f>
        <v>3050442</v>
      </c>
      <c r="B6008" t="s">
        <v>18206</v>
      </c>
      <c r="C6008" t="str">
        <f>"8300348"</f>
        <v>8300348</v>
      </c>
      <c r="D6008" t="s">
        <v>18207</v>
      </c>
      <c r="E6008" t="s">
        <v>18208</v>
      </c>
      <c r="F6008" t="s">
        <v>18209</v>
      </c>
      <c r="I6008" t="s">
        <v>29</v>
      </c>
      <c r="J6008" t="s">
        <v>30</v>
      </c>
      <c r="K6008" t="s">
        <v>31</v>
      </c>
      <c r="M6008" t="s">
        <v>32</v>
      </c>
      <c r="N6008" t="str">
        <f>"8/12/2011 12:00:00 AM"</f>
        <v>8/12/2011 12:00:00 AM</v>
      </c>
      <c r="O6008" t="s">
        <v>18207</v>
      </c>
      <c r="T6008" t="s">
        <v>18208</v>
      </c>
    </row>
    <row r="6009" spans="1:20" x14ac:dyDescent="0.25">
      <c r="A6009" t="str">
        <f>"3048437"</f>
        <v>3048437</v>
      </c>
      <c r="B6009" t="s">
        <v>18210</v>
      </c>
      <c r="C6009" t="str">
        <f>"8300277"</f>
        <v>8300277</v>
      </c>
      <c r="D6009" t="s">
        <v>18211</v>
      </c>
      <c r="E6009" t="s">
        <v>18212</v>
      </c>
      <c r="F6009" t="s">
        <v>18213</v>
      </c>
      <c r="I6009" t="s">
        <v>184</v>
      </c>
      <c r="J6009" t="s">
        <v>30</v>
      </c>
      <c r="K6009" t="s">
        <v>185</v>
      </c>
      <c r="M6009" t="s">
        <v>32</v>
      </c>
      <c r="N6009" t="str">
        <f>"8/15/2011 12:00:00 AM"</f>
        <v>8/15/2011 12:00:00 AM</v>
      </c>
      <c r="O6009" t="s">
        <v>18211</v>
      </c>
      <c r="T6009" t="s">
        <v>18212</v>
      </c>
    </row>
    <row r="6010" spans="1:20" x14ac:dyDescent="0.25">
      <c r="A6010" t="str">
        <f>"3057792"</f>
        <v>3057792</v>
      </c>
      <c r="B6010" t="s">
        <v>18214</v>
      </c>
      <c r="C6010" t="str">
        <f>"8300206"</f>
        <v>8300206</v>
      </c>
      <c r="D6010" t="s">
        <v>17985</v>
      </c>
      <c r="F6010" t="s">
        <v>17986</v>
      </c>
      <c r="I6010" t="s">
        <v>29</v>
      </c>
      <c r="J6010" t="s">
        <v>30</v>
      </c>
      <c r="K6010" t="s">
        <v>31</v>
      </c>
      <c r="M6010" t="s">
        <v>32</v>
      </c>
      <c r="N6010" t="str">
        <f>"8/18/2011 12:00:00 AM"</f>
        <v>8/18/2011 12:00:00 AM</v>
      </c>
      <c r="O6010" t="s">
        <v>17985</v>
      </c>
    </row>
    <row r="6011" spans="1:20" x14ac:dyDescent="0.25">
      <c r="A6011" t="str">
        <f>"3058391"</f>
        <v>3058391</v>
      </c>
      <c r="B6011" t="s">
        <v>18215</v>
      </c>
      <c r="C6011" t="str">
        <f>"8300369"</f>
        <v>8300369</v>
      </c>
      <c r="D6011" t="s">
        <v>18216</v>
      </c>
      <c r="E6011" t="s">
        <v>18217</v>
      </c>
      <c r="F6011" t="s">
        <v>18218</v>
      </c>
      <c r="I6011" t="s">
        <v>29</v>
      </c>
      <c r="J6011" t="s">
        <v>30</v>
      </c>
      <c r="K6011" t="s">
        <v>31</v>
      </c>
      <c r="M6011" t="s">
        <v>32</v>
      </c>
      <c r="N6011" t="str">
        <f>"8/12/2011 12:00:00 AM"</f>
        <v>8/12/2011 12:00:00 AM</v>
      </c>
      <c r="O6011" t="s">
        <v>18216</v>
      </c>
      <c r="T6011" t="s">
        <v>18217</v>
      </c>
    </row>
    <row r="6012" spans="1:20" x14ac:dyDescent="0.25">
      <c r="A6012" t="str">
        <f>"3049685"</f>
        <v>3049685</v>
      </c>
      <c r="B6012" t="s">
        <v>18219</v>
      </c>
      <c r="C6012" t="str">
        <f t="shared" ref="C6012:C6020" si="85">"51538750"</f>
        <v>51538750</v>
      </c>
      <c r="D6012" t="s">
        <v>18120</v>
      </c>
      <c r="F6012" t="s">
        <v>18121</v>
      </c>
      <c r="I6012" t="s">
        <v>29</v>
      </c>
      <c r="J6012" t="s">
        <v>30</v>
      </c>
      <c r="K6012" t="s">
        <v>31</v>
      </c>
      <c r="M6012" t="s">
        <v>17861</v>
      </c>
      <c r="N6012" t="str">
        <f t="shared" ref="N6012:N6020" si="86">"6/7/2011 10:59:00 AM"</f>
        <v>6/7/2011 10:59:00 AM</v>
      </c>
      <c r="O6012" t="s">
        <v>18120</v>
      </c>
    </row>
    <row r="6013" spans="1:20" x14ac:dyDescent="0.25">
      <c r="A6013" t="str">
        <f>"3052203"</f>
        <v>3052203</v>
      </c>
      <c r="B6013" t="s">
        <v>18220</v>
      </c>
      <c r="C6013" t="str">
        <f t="shared" si="85"/>
        <v>51538750</v>
      </c>
      <c r="D6013" t="s">
        <v>18120</v>
      </c>
      <c r="F6013" t="s">
        <v>18121</v>
      </c>
      <c r="I6013" t="s">
        <v>29</v>
      </c>
      <c r="J6013" t="s">
        <v>30</v>
      </c>
      <c r="K6013" t="s">
        <v>31</v>
      </c>
      <c r="M6013" t="s">
        <v>17861</v>
      </c>
      <c r="N6013" t="str">
        <f t="shared" si="86"/>
        <v>6/7/2011 10:59:00 AM</v>
      </c>
      <c r="O6013" t="s">
        <v>18120</v>
      </c>
    </row>
    <row r="6014" spans="1:20" x14ac:dyDescent="0.25">
      <c r="A6014" t="str">
        <f>"3051678"</f>
        <v>3051678</v>
      </c>
      <c r="B6014" t="s">
        <v>18221</v>
      </c>
      <c r="C6014" t="str">
        <f t="shared" si="85"/>
        <v>51538750</v>
      </c>
      <c r="D6014" t="s">
        <v>18120</v>
      </c>
      <c r="F6014" t="s">
        <v>18121</v>
      </c>
      <c r="I6014" t="s">
        <v>29</v>
      </c>
      <c r="J6014" t="s">
        <v>30</v>
      </c>
      <c r="K6014" t="s">
        <v>31</v>
      </c>
      <c r="M6014" t="s">
        <v>17861</v>
      </c>
      <c r="N6014" t="str">
        <f t="shared" si="86"/>
        <v>6/7/2011 10:59:00 AM</v>
      </c>
      <c r="O6014" t="s">
        <v>18120</v>
      </c>
    </row>
    <row r="6015" spans="1:20" x14ac:dyDescent="0.25">
      <c r="A6015" t="str">
        <f>"3051685"</f>
        <v>3051685</v>
      </c>
      <c r="B6015" t="s">
        <v>18222</v>
      </c>
      <c r="C6015" t="str">
        <f t="shared" si="85"/>
        <v>51538750</v>
      </c>
      <c r="D6015" t="s">
        <v>18120</v>
      </c>
      <c r="F6015" t="s">
        <v>18121</v>
      </c>
      <c r="I6015" t="s">
        <v>29</v>
      </c>
      <c r="J6015" t="s">
        <v>30</v>
      </c>
      <c r="K6015" t="s">
        <v>31</v>
      </c>
      <c r="M6015" t="s">
        <v>17861</v>
      </c>
      <c r="N6015" t="str">
        <f t="shared" si="86"/>
        <v>6/7/2011 10:59:00 AM</v>
      </c>
      <c r="O6015" t="s">
        <v>18120</v>
      </c>
    </row>
    <row r="6016" spans="1:20" x14ac:dyDescent="0.25">
      <c r="A6016" t="str">
        <f>"3051747"</f>
        <v>3051747</v>
      </c>
      <c r="B6016" t="s">
        <v>18223</v>
      </c>
      <c r="C6016" t="str">
        <f t="shared" si="85"/>
        <v>51538750</v>
      </c>
      <c r="D6016" t="s">
        <v>18120</v>
      </c>
      <c r="F6016" t="s">
        <v>18121</v>
      </c>
      <c r="I6016" t="s">
        <v>29</v>
      </c>
      <c r="J6016" t="s">
        <v>30</v>
      </c>
      <c r="K6016" t="s">
        <v>31</v>
      </c>
      <c r="M6016" t="s">
        <v>17861</v>
      </c>
      <c r="N6016" t="str">
        <f t="shared" si="86"/>
        <v>6/7/2011 10:59:00 AM</v>
      </c>
      <c r="O6016" t="s">
        <v>18120</v>
      </c>
    </row>
    <row r="6017" spans="1:20" x14ac:dyDescent="0.25">
      <c r="A6017" t="str">
        <f>"3051772"</f>
        <v>3051772</v>
      </c>
      <c r="B6017" t="s">
        <v>18224</v>
      </c>
      <c r="C6017" t="str">
        <f t="shared" si="85"/>
        <v>51538750</v>
      </c>
      <c r="D6017" t="s">
        <v>18120</v>
      </c>
      <c r="F6017" t="s">
        <v>18121</v>
      </c>
      <c r="I6017" t="s">
        <v>29</v>
      </c>
      <c r="J6017" t="s">
        <v>30</v>
      </c>
      <c r="K6017" t="s">
        <v>31</v>
      </c>
      <c r="M6017" t="s">
        <v>17861</v>
      </c>
      <c r="N6017" t="str">
        <f t="shared" si="86"/>
        <v>6/7/2011 10:59:00 AM</v>
      </c>
      <c r="O6017" t="s">
        <v>18120</v>
      </c>
    </row>
    <row r="6018" spans="1:20" x14ac:dyDescent="0.25">
      <c r="A6018" t="str">
        <f>"3056862"</f>
        <v>3056862</v>
      </c>
      <c r="B6018" t="s">
        <v>18225</v>
      </c>
      <c r="C6018" t="str">
        <f t="shared" si="85"/>
        <v>51538750</v>
      </c>
      <c r="D6018" t="s">
        <v>18120</v>
      </c>
      <c r="F6018" t="s">
        <v>18121</v>
      </c>
      <c r="I6018" t="s">
        <v>29</v>
      </c>
      <c r="J6018" t="s">
        <v>30</v>
      </c>
      <c r="K6018" t="s">
        <v>31</v>
      </c>
      <c r="M6018" t="s">
        <v>17861</v>
      </c>
      <c r="N6018" t="str">
        <f t="shared" si="86"/>
        <v>6/7/2011 10:59:00 AM</v>
      </c>
      <c r="O6018" t="s">
        <v>18120</v>
      </c>
    </row>
    <row r="6019" spans="1:20" x14ac:dyDescent="0.25">
      <c r="A6019" t="str">
        <f>"3057330"</f>
        <v>3057330</v>
      </c>
      <c r="B6019" t="s">
        <v>18226</v>
      </c>
      <c r="C6019" t="str">
        <f t="shared" si="85"/>
        <v>51538750</v>
      </c>
      <c r="D6019" t="s">
        <v>18120</v>
      </c>
      <c r="F6019" t="s">
        <v>18121</v>
      </c>
      <c r="I6019" t="s">
        <v>29</v>
      </c>
      <c r="J6019" t="s">
        <v>30</v>
      </c>
      <c r="K6019" t="s">
        <v>31</v>
      </c>
      <c r="M6019" t="s">
        <v>17861</v>
      </c>
      <c r="N6019" t="str">
        <f t="shared" si="86"/>
        <v>6/7/2011 10:59:00 AM</v>
      </c>
      <c r="O6019" t="s">
        <v>18120</v>
      </c>
    </row>
    <row r="6020" spans="1:20" x14ac:dyDescent="0.25">
      <c r="A6020" t="str">
        <f>"3046041"</f>
        <v>3046041</v>
      </c>
      <c r="B6020" t="s">
        <v>18227</v>
      </c>
      <c r="C6020" t="str">
        <f t="shared" si="85"/>
        <v>51538750</v>
      </c>
      <c r="D6020" t="s">
        <v>18120</v>
      </c>
      <c r="F6020" t="s">
        <v>18121</v>
      </c>
      <c r="I6020" t="s">
        <v>29</v>
      </c>
      <c r="J6020" t="s">
        <v>30</v>
      </c>
      <c r="K6020" t="s">
        <v>31</v>
      </c>
      <c r="M6020" t="s">
        <v>17861</v>
      </c>
      <c r="N6020" t="str">
        <f t="shared" si="86"/>
        <v>6/7/2011 10:59:00 AM</v>
      </c>
      <c r="O6020" t="s">
        <v>18120</v>
      </c>
    </row>
    <row r="6021" spans="1:20" x14ac:dyDescent="0.25">
      <c r="A6021" t="str">
        <f>"3048388"</f>
        <v>3048388</v>
      </c>
      <c r="B6021" t="s">
        <v>18228</v>
      </c>
      <c r="C6021" t="str">
        <f>"8300378"</f>
        <v>8300378</v>
      </c>
      <c r="D6021" t="s">
        <v>18229</v>
      </c>
      <c r="F6021" t="s">
        <v>18230</v>
      </c>
      <c r="I6021" t="s">
        <v>184</v>
      </c>
      <c r="J6021" t="s">
        <v>30</v>
      </c>
      <c r="K6021" t="s">
        <v>185</v>
      </c>
      <c r="M6021" t="s">
        <v>32</v>
      </c>
      <c r="N6021" t="str">
        <f>"8/12/2011 12:00:00 AM"</f>
        <v>8/12/2011 12:00:00 AM</v>
      </c>
      <c r="O6021" t="s">
        <v>18229</v>
      </c>
    </row>
    <row r="6022" spans="1:20" x14ac:dyDescent="0.25">
      <c r="A6022" t="str">
        <f>"3064007"</f>
        <v>3064007</v>
      </c>
      <c r="B6022" t="s">
        <v>18231</v>
      </c>
      <c r="C6022" t="str">
        <f>"8300401"</f>
        <v>8300401</v>
      </c>
      <c r="D6022" t="s">
        <v>18232</v>
      </c>
      <c r="F6022" t="s">
        <v>18233</v>
      </c>
      <c r="I6022" t="s">
        <v>184</v>
      </c>
      <c r="J6022" t="s">
        <v>30</v>
      </c>
      <c r="K6022" t="s">
        <v>185</v>
      </c>
      <c r="M6022" t="s">
        <v>32</v>
      </c>
      <c r="N6022" t="str">
        <f>"8/12/2011 12:00:00 AM"</f>
        <v>8/12/2011 12:00:00 AM</v>
      </c>
      <c r="O6022" t="s">
        <v>18232</v>
      </c>
    </row>
    <row r="6023" spans="1:20" x14ac:dyDescent="0.25">
      <c r="A6023" t="str">
        <f>"3044159"</f>
        <v>3044159</v>
      </c>
      <c r="B6023" t="s">
        <v>18234</v>
      </c>
      <c r="C6023" t="str">
        <f>"8300408"</f>
        <v>8300408</v>
      </c>
      <c r="D6023" t="s">
        <v>18235</v>
      </c>
      <c r="E6023" t="s">
        <v>18236</v>
      </c>
      <c r="F6023" t="s">
        <v>18237</v>
      </c>
      <c r="I6023" t="s">
        <v>184</v>
      </c>
      <c r="J6023" t="s">
        <v>30</v>
      </c>
      <c r="K6023" t="s">
        <v>185</v>
      </c>
      <c r="M6023" t="s">
        <v>32</v>
      </c>
      <c r="N6023" t="str">
        <f>"8/12/2011 12:00:00 AM"</f>
        <v>8/12/2011 12:00:00 AM</v>
      </c>
      <c r="O6023" t="s">
        <v>18235</v>
      </c>
      <c r="T6023" t="s">
        <v>18236</v>
      </c>
    </row>
    <row r="6024" spans="1:20" x14ac:dyDescent="0.25">
      <c r="A6024" t="str">
        <f>"3057593"</f>
        <v>3057593</v>
      </c>
      <c r="B6024" t="s">
        <v>18238</v>
      </c>
      <c r="C6024" t="str">
        <f>"8300426"</f>
        <v>8300426</v>
      </c>
      <c r="D6024" t="s">
        <v>18239</v>
      </c>
      <c r="E6024" t="s">
        <v>18240</v>
      </c>
      <c r="F6024" t="s">
        <v>18241</v>
      </c>
      <c r="I6024" t="s">
        <v>184</v>
      </c>
      <c r="J6024" t="s">
        <v>30</v>
      </c>
      <c r="K6024" t="s">
        <v>185</v>
      </c>
      <c r="M6024" t="s">
        <v>32</v>
      </c>
      <c r="N6024" t="str">
        <f>"8/12/2011 12:00:00 AM"</f>
        <v>8/12/2011 12:00:00 AM</v>
      </c>
      <c r="O6024" t="s">
        <v>18239</v>
      </c>
      <c r="T6024" t="s">
        <v>18240</v>
      </c>
    </row>
    <row r="6025" spans="1:20" x14ac:dyDescent="0.25">
      <c r="A6025" t="str">
        <f>"3052042"</f>
        <v>3052042</v>
      </c>
      <c r="B6025" t="s">
        <v>18242</v>
      </c>
      <c r="C6025" t="str">
        <f>"8300428"</f>
        <v>8300428</v>
      </c>
      <c r="D6025" t="s">
        <v>18243</v>
      </c>
      <c r="E6025" t="s">
        <v>18244</v>
      </c>
      <c r="F6025" t="s">
        <v>18245</v>
      </c>
      <c r="I6025" t="s">
        <v>29</v>
      </c>
      <c r="J6025" t="s">
        <v>30</v>
      </c>
      <c r="K6025" t="s">
        <v>31</v>
      </c>
      <c r="M6025" t="s">
        <v>32</v>
      </c>
      <c r="N6025" t="str">
        <f>"8/8/2011 12:00:00 AM"</f>
        <v>8/8/2011 12:00:00 AM</v>
      </c>
      <c r="O6025" t="s">
        <v>18243</v>
      </c>
      <c r="T6025" t="s">
        <v>18244</v>
      </c>
    </row>
    <row r="6026" spans="1:20" x14ac:dyDescent="0.25">
      <c r="A6026" t="str">
        <f>"3046088"</f>
        <v>3046088</v>
      </c>
      <c r="B6026" t="s">
        <v>18246</v>
      </c>
      <c r="C6026" t="str">
        <f>"8300442"</f>
        <v>8300442</v>
      </c>
      <c r="D6026" t="s">
        <v>18247</v>
      </c>
      <c r="E6026" t="s">
        <v>18248</v>
      </c>
      <c r="F6026" t="s">
        <v>18249</v>
      </c>
      <c r="I6026" t="s">
        <v>29</v>
      </c>
      <c r="J6026" t="s">
        <v>30</v>
      </c>
      <c r="K6026" t="s">
        <v>31</v>
      </c>
      <c r="M6026" t="s">
        <v>32</v>
      </c>
      <c r="N6026" t="str">
        <f>"8/12/2011 12:00:00 AM"</f>
        <v>8/12/2011 12:00:00 AM</v>
      </c>
      <c r="O6026" t="s">
        <v>18247</v>
      </c>
      <c r="T6026" t="s">
        <v>18248</v>
      </c>
    </row>
    <row r="6027" spans="1:20" x14ac:dyDescent="0.25">
      <c r="A6027" t="str">
        <f>"3038908"</f>
        <v>3038908</v>
      </c>
      <c r="B6027" t="s">
        <v>18250</v>
      </c>
      <c r="C6027" t="str">
        <f>"8300448"</f>
        <v>8300448</v>
      </c>
      <c r="D6027" t="s">
        <v>5014</v>
      </c>
      <c r="F6027" t="s">
        <v>18251</v>
      </c>
      <c r="I6027" t="s">
        <v>29</v>
      </c>
      <c r="J6027" t="s">
        <v>30</v>
      </c>
      <c r="K6027" t="s">
        <v>31</v>
      </c>
      <c r="M6027" t="s">
        <v>32</v>
      </c>
      <c r="N6027" t="str">
        <f t="shared" ref="N6027:N6038" si="87">"8/15/2011 12:00:00 AM"</f>
        <v>8/15/2011 12:00:00 AM</v>
      </c>
      <c r="O6027" t="s">
        <v>5014</v>
      </c>
    </row>
    <row r="6028" spans="1:20" x14ac:dyDescent="0.25">
      <c r="A6028" t="str">
        <f>"3039226"</f>
        <v>3039226</v>
      </c>
      <c r="B6028" t="s">
        <v>18252</v>
      </c>
      <c r="C6028" t="str">
        <f>"8300448"</f>
        <v>8300448</v>
      </c>
      <c r="D6028" t="s">
        <v>5014</v>
      </c>
      <c r="F6028" t="s">
        <v>18251</v>
      </c>
      <c r="I6028" t="s">
        <v>29</v>
      </c>
      <c r="J6028" t="s">
        <v>30</v>
      </c>
      <c r="K6028" t="s">
        <v>31</v>
      </c>
      <c r="M6028" t="s">
        <v>32</v>
      </c>
      <c r="N6028" t="str">
        <f t="shared" si="87"/>
        <v>8/15/2011 12:00:00 AM</v>
      </c>
      <c r="O6028" t="s">
        <v>5014</v>
      </c>
    </row>
    <row r="6029" spans="1:20" x14ac:dyDescent="0.25">
      <c r="A6029" t="str">
        <f>"3077062"</f>
        <v>3077062</v>
      </c>
      <c r="B6029" t="s">
        <v>18253</v>
      </c>
      <c r="C6029" t="str">
        <f>"8300448"</f>
        <v>8300448</v>
      </c>
      <c r="D6029" t="s">
        <v>5014</v>
      </c>
      <c r="F6029" t="s">
        <v>18251</v>
      </c>
      <c r="I6029" t="s">
        <v>29</v>
      </c>
      <c r="J6029" t="s">
        <v>30</v>
      </c>
      <c r="K6029" t="s">
        <v>31</v>
      </c>
      <c r="M6029" t="s">
        <v>32</v>
      </c>
      <c r="N6029" t="str">
        <f t="shared" si="87"/>
        <v>8/15/2011 12:00:00 AM</v>
      </c>
      <c r="O6029" t="s">
        <v>5014</v>
      </c>
    </row>
    <row r="6030" spans="1:20" x14ac:dyDescent="0.25">
      <c r="A6030" t="str">
        <f>"3077084"</f>
        <v>3077084</v>
      </c>
      <c r="B6030" t="s">
        <v>18254</v>
      </c>
      <c r="C6030" t="str">
        <f>"8300448"</f>
        <v>8300448</v>
      </c>
      <c r="D6030" t="s">
        <v>5014</v>
      </c>
      <c r="F6030" t="s">
        <v>18251</v>
      </c>
      <c r="I6030" t="s">
        <v>29</v>
      </c>
      <c r="J6030" t="s">
        <v>30</v>
      </c>
      <c r="K6030" t="s">
        <v>31</v>
      </c>
      <c r="M6030" t="s">
        <v>32</v>
      </c>
      <c r="N6030" t="str">
        <f t="shared" si="87"/>
        <v>8/15/2011 12:00:00 AM</v>
      </c>
      <c r="O6030" t="s">
        <v>5014</v>
      </c>
    </row>
    <row r="6031" spans="1:20" x14ac:dyDescent="0.25">
      <c r="A6031" t="str">
        <f>"3044442"</f>
        <v>3044442</v>
      </c>
      <c r="B6031" t="s">
        <v>18255</v>
      </c>
      <c r="C6031" t="str">
        <f>"8300451"</f>
        <v>8300451</v>
      </c>
      <c r="D6031" t="s">
        <v>18256</v>
      </c>
      <c r="E6031" t="s">
        <v>18257</v>
      </c>
      <c r="F6031" t="s">
        <v>18258</v>
      </c>
      <c r="I6031" t="s">
        <v>184</v>
      </c>
      <c r="J6031" t="s">
        <v>30</v>
      </c>
      <c r="K6031" t="s">
        <v>185</v>
      </c>
      <c r="M6031" t="s">
        <v>32</v>
      </c>
      <c r="N6031" t="str">
        <f t="shared" si="87"/>
        <v>8/15/2011 12:00:00 AM</v>
      </c>
      <c r="O6031" t="s">
        <v>18256</v>
      </c>
      <c r="T6031" t="s">
        <v>18257</v>
      </c>
    </row>
    <row r="6032" spans="1:20" x14ac:dyDescent="0.25">
      <c r="A6032" t="str">
        <f>"3051424"</f>
        <v>3051424</v>
      </c>
      <c r="B6032" t="s">
        <v>18259</v>
      </c>
      <c r="C6032" t="str">
        <f>"8300490"</f>
        <v>8300490</v>
      </c>
      <c r="D6032" t="s">
        <v>18260</v>
      </c>
      <c r="F6032" t="s">
        <v>18261</v>
      </c>
      <c r="I6032" t="s">
        <v>29</v>
      </c>
      <c r="J6032" t="s">
        <v>30</v>
      </c>
      <c r="K6032" t="s">
        <v>31</v>
      </c>
      <c r="M6032" t="s">
        <v>32</v>
      </c>
      <c r="N6032" t="str">
        <f t="shared" si="87"/>
        <v>8/15/2011 12:00:00 AM</v>
      </c>
      <c r="O6032" t="s">
        <v>18260</v>
      </c>
    </row>
    <row r="6033" spans="1:20" x14ac:dyDescent="0.25">
      <c r="A6033" t="str">
        <f>"3048392"</f>
        <v>3048392</v>
      </c>
      <c r="B6033" t="s">
        <v>18262</v>
      </c>
      <c r="C6033" t="str">
        <f>"8300495"</f>
        <v>8300495</v>
      </c>
      <c r="D6033" t="s">
        <v>18263</v>
      </c>
      <c r="F6033" t="s">
        <v>18264</v>
      </c>
      <c r="I6033" t="s">
        <v>29</v>
      </c>
      <c r="J6033" t="s">
        <v>30</v>
      </c>
      <c r="K6033" t="s">
        <v>31</v>
      </c>
      <c r="M6033" t="s">
        <v>32</v>
      </c>
      <c r="N6033" t="str">
        <f t="shared" si="87"/>
        <v>8/15/2011 12:00:00 AM</v>
      </c>
      <c r="O6033" t="s">
        <v>18263</v>
      </c>
    </row>
    <row r="6034" spans="1:20" x14ac:dyDescent="0.25">
      <c r="A6034" t="str">
        <f>"3064603"</f>
        <v>3064603</v>
      </c>
      <c r="B6034" t="s">
        <v>18265</v>
      </c>
      <c r="C6034" t="str">
        <f>"8300495"</f>
        <v>8300495</v>
      </c>
      <c r="D6034" t="s">
        <v>18263</v>
      </c>
      <c r="F6034" t="s">
        <v>18264</v>
      </c>
      <c r="I6034" t="s">
        <v>29</v>
      </c>
      <c r="J6034" t="s">
        <v>30</v>
      </c>
      <c r="K6034" t="s">
        <v>31</v>
      </c>
      <c r="M6034" t="s">
        <v>32</v>
      </c>
      <c r="N6034" t="str">
        <f t="shared" si="87"/>
        <v>8/15/2011 12:00:00 AM</v>
      </c>
      <c r="O6034" t="s">
        <v>18263</v>
      </c>
    </row>
    <row r="6035" spans="1:20" x14ac:dyDescent="0.25">
      <c r="A6035" t="str">
        <f>"3044779"</f>
        <v>3044779</v>
      </c>
      <c r="B6035" t="s">
        <v>18266</v>
      </c>
      <c r="C6035" t="str">
        <f>"8300501"</f>
        <v>8300501</v>
      </c>
      <c r="D6035" t="s">
        <v>18267</v>
      </c>
      <c r="E6035" t="s">
        <v>18268</v>
      </c>
      <c r="F6035" t="s">
        <v>18269</v>
      </c>
      <c r="I6035" t="s">
        <v>184</v>
      </c>
      <c r="J6035" t="s">
        <v>30</v>
      </c>
      <c r="K6035" t="s">
        <v>185</v>
      </c>
      <c r="M6035" t="s">
        <v>32</v>
      </c>
      <c r="N6035" t="str">
        <f t="shared" si="87"/>
        <v>8/15/2011 12:00:00 AM</v>
      </c>
      <c r="O6035" t="s">
        <v>18267</v>
      </c>
      <c r="T6035" t="s">
        <v>18268</v>
      </c>
    </row>
    <row r="6036" spans="1:20" x14ac:dyDescent="0.25">
      <c r="A6036" t="str">
        <f>"3043217"</f>
        <v>3043217</v>
      </c>
      <c r="B6036" t="s">
        <v>18270</v>
      </c>
      <c r="C6036" t="str">
        <f>"8300502"</f>
        <v>8300502</v>
      </c>
      <c r="D6036" t="s">
        <v>18271</v>
      </c>
      <c r="F6036" t="s">
        <v>18272</v>
      </c>
      <c r="I6036" t="s">
        <v>29</v>
      </c>
      <c r="J6036" t="s">
        <v>30</v>
      </c>
      <c r="K6036" t="s">
        <v>31</v>
      </c>
      <c r="M6036" t="s">
        <v>32</v>
      </c>
      <c r="N6036" t="str">
        <f t="shared" si="87"/>
        <v>8/15/2011 12:00:00 AM</v>
      </c>
      <c r="O6036" t="s">
        <v>18271</v>
      </c>
    </row>
    <row r="6037" spans="1:20" x14ac:dyDescent="0.25">
      <c r="A6037" t="str">
        <f>"3043725"</f>
        <v>3043725</v>
      </c>
      <c r="B6037" t="s">
        <v>18273</v>
      </c>
      <c r="C6037" t="str">
        <f>"8300502"</f>
        <v>8300502</v>
      </c>
      <c r="D6037" t="s">
        <v>18271</v>
      </c>
      <c r="F6037" t="s">
        <v>18272</v>
      </c>
      <c r="I6037" t="s">
        <v>29</v>
      </c>
      <c r="J6037" t="s">
        <v>30</v>
      </c>
      <c r="K6037" t="s">
        <v>31</v>
      </c>
      <c r="M6037" t="s">
        <v>32</v>
      </c>
      <c r="N6037" t="str">
        <f t="shared" si="87"/>
        <v>8/15/2011 12:00:00 AM</v>
      </c>
      <c r="O6037" t="s">
        <v>18271</v>
      </c>
    </row>
    <row r="6038" spans="1:20" x14ac:dyDescent="0.25">
      <c r="A6038" t="str">
        <f>"3041634"</f>
        <v>3041634</v>
      </c>
      <c r="B6038" t="s">
        <v>18274</v>
      </c>
      <c r="C6038" t="str">
        <f>"8300503"</f>
        <v>8300503</v>
      </c>
      <c r="D6038" t="s">
        <v>18275</v>
      </c>
      <c r="E6038" t="s">
        <v>18276</v>
      </c>
      <c r="F6038" t="s">
        <v>18277</v>
      </c>
      <c r="I6038" t="s">
        <v>2071</v>
      </c>
      <c r="J6038" t="s">
        <v>30</v>
      </c>
      <c r="K6038" t="s">
        <v>185</v>
      </c>
      <c r="M6038" t="s">
        <v>32</v>
      </c>
      <c r="N6038" t="str">
        <f t="shared" si="87"/>
        <v>8/15/2011 12:00:00 AM</v>
      </c>
      <c r="O6038" t="s">
        <v>18275</v>
      </c>
      <c r="T6038" t="s">
        <v>18276</v>
      </c>
    </row>
    <row r="6039" spans="1:20" x14ac:dyDescent="0.25">
      <c r="A6039" t="str">
        <f>"3041186"</f>
        <v>3041186</v>
      </c>
      <c r="B6039" t="s">
        <v>18278</v>
      </c>
      <c r="C6039" t="str">
        <f t="shared" ref="C6039:C6045" si="88">"82515839"</f>
        <v>82515839</v>
      </c>
      <c r="D6039" t="s">
        <v>18279</v>
      </c>
      <c r="F6039" t="s">
        <v>18280</v>
      </c>
      <c r="I6039" t="s">
        <v>2071</v>
      </c>
      <c r="J6039" t="s">
        <v>30</v>
      </c>
      <c r="K6039" t="s">
        <v>185</v>
      </c>
      <c r="M6039" t="s">
        <v>17861</v>
      </c>
      <c r="N6039" t="str">
        <f t="shared" ref="N6039:N6045" si="89">"8/3/2011 10:35:00 AM"</f>
        <v>8/3/2011 10:35:00 AM</v>
      </c>
      <c r="O6039" t="s">
        <v>18279</v>
      </c>
    </row>
    <row r="6040" spans="1:20" x14ac:dyDescent="0.25">
      <c r="A6040" t="str">
        <f>"3041093"</f>
        <v>3041093</v>
      </c>
      <c r="B6040" t="s">
        <v>18281</v>
      </c>
      <c r="C6040" t="str">
        <f t="shared" si="88"/>
        <v>82515839</v>
      </c>
      <c r="D6040" t="s">
        <v>18279</v>
      </c>
      <c r="F6040" t="s">
        <v>18280</v>
      </c>
      <c r="I6040" t="s">
        <v>2071</v>
      </c>
      <c r="J6040" t="s">
        <v>30</v>
      </c>
      <c r="K6040" t="s">
        <v>185</v>
      </c>
      <c r="M6040" t="s">
        <v>17861</v>
      </c>
      <c r="N6040" t="str">
        <f t="shared" si="89"/>
        <v>8/3/2011 10:35:00 AM</v>
      </c>
      <c r="O6040" t="s">
        <v>18279</v>
      </c>
    </row>
    <row r="6041" spans="1:20" x14ac:dyDescent="0.25">
      <c r="A6041" t="str">
        <f>"3041082"</f>
        <v>3041082</v>
      </c>
      <c r="B6041" t="s">
        <v>18282</v>
      </c>
      <c r="C6041" t="str">
        <f t="shared" si="88"/>
        <v>82515839</v>
      </c>
      <c r="D6041" t="s">
        <v>18279</v>
      </c>
      <c r="F6041" t="s">
        <v>18280</v>
      </c>
      <c r="I6041" t="s">
        <v>2071</v>
      </c>
      <c r="J6041" t="s">
        <v>30</v>
      </c>
      <c r="K6041" t="s">
        <v>185</v>
      </c>
      <c r="M6041" t="s">
        <v>17861</v>
      </c>
      <c r="N6041" t="str">
        <f t="shared" si="89"/>
        <v>8/3/2011 10:35:00 AM</v>
      </c>
      <c r="O6041" t="s">
        <v>18279</v>
      </c>
    </row>
    <row r="6042" spans="1:20" x14ac:dyDescent="0.25">
      <c r="A6042" t="str">
        <f>"3041030"</f>
        <v>3041030</v>
      </c>
      <c r="B6042" t="s">
        <v>18283</v>
      </c>
      <c r="C6042" t="str">
        <f t="shared" si="88"/>
        <v>82515839</v>
      </c>
      <c r="D6042" t="s">
        <v>18279</v>
      </c>
      <c r="F6042" t="s">
        <v>18280</v>
      </c>
      <c r="I6042" t="s">
        <v>2071</v>
      </c>
      <c r="J6042" t="s">
        <v>30</v>
      </c>
      <c r="K6042" t="s">
        <v>185</v>
      </c>
      <c r="M6042" t="s">
        <v>17861</v>
      </c>
      <c r="N6042" t="str">
        <f t="shared" si="89"/>
        <v>8/3/2011 10:35:00 AM</v>
      </c>
      <c r="O6042" t="s">
        <v>18279</v>
      </c>
    </row>
    <row r="6043" spans="1:20" x14ac:dyDescent="0.25">
      <c r="A6043" t="str">
        <f>"3056825"</f>
        <v>3056825</v>
      </c>
      <c r="B6043" t="s">
        <v>18284</v>
      </c>
      <c r="C6043" t="str">
        <f t="shared" si="88"/>
        <v>82515839</v>
      </c>
      <c r="D6043" t="s">
        <v>18279</v>
      </c>
      <c r="F6043" t="s">
        <v>18280</v>
      </c>
      <c r="I6043" t="s">
        <v>2071</v>
      </c>
      <c r="J6043" t="s">
        <v>30</v>
      </c>
      <c r="K6043" t="s">
        <v>185</v>
      </c>
      <c r="M6043" t="s">
        <v>17861</v>
      </c>
      <c r="N6043" t="str">
        <f t="shared" si="89"/>
        <v>8/3/2011 10:35:00 AM</v>
      </c>
      <c r="O6043" t="s">
        <v>18279</v>
      </c>
    </row>
    <row r="6044" spans="1:20" x14ac:dyDescent="0.25">
      <c r="A6044" t="str">
        <f>"3056826"</f>
        <v>3056826</v>
      </c>
      <c r="B6044" t="s">
        <v>18285</v>
      </c>
      <c r="C6044" t="str">
        <f t="shared" si="88"/>
        <v>82515839</v>
      </c>
      <c r="D6044" t="s">
        <v>18279</v>
      </c>
      <c r="F6044" t="s">
        <v>18280</v>
      </c>
      <c r="I6044" t="s">
        <v>2071</v>
      </c>
      <c r="J6044" t="s">
        <v>30</v>
      </c>
      <c r="K6044" t="s">
        <v>185</v>
      </c>
      <c r="M6044" t="s">
        <v>17861</v>
      </c>
      <c r="N6044" t="str">
        <f t="shared" si="89"/>
        <v>8/3/2011 10:35:00 AM</v>
      </c>
      <c r="O6044" t="s">
        <v>18279</v>
      </c>
    </row>
    <row r="6045" spans="1:20" x14ac:dyDescent="0.25">
      <c r="A6045" t="str">
        <f>"3060581"</f>
        <v>3060581</v>
      </c>
      <c r="B6045" t="s">
        <v>18286</v>
      </c>
      <c r="C6045" t="str">
        <f t="shared" si="88"/>
        <v>82515839</v>
      </c>
      <c r="D6045" t="s">
        <v>18279</v>
      </c>
      <c r="F6045" t="s">
        <v>18280</v>
      </c>
      <c r="I6045" t="s">
        <v>2071</v>
      </c>
      <c r="J6045" t="s">
        <v>30</v>
      </c>
      <c r="K6045" t="s">
        <v>185</v>
      </c>
      <c r="M6045" t="s">
        <v>17861</v>
      </c>
      <c r="N6045" t="str">
        <f t="shared" si="89"/>
        <v>8/3/2011 10:35:00 AM</v>
      </c>
      <c r="O6045" t="s">
        <v>18279</v>
      </c>
    </row>
    <row r="6046" spans="1:20" x14ac:dyDescent="0.25">
      <c r="A6046" t="str">
        <f>"3037577"</f>
        <v>3037577</v>
      </c>
      <c r="B6046" t="s">
        <v>18287</v>
      </c>
      <c r="C6046" t="str">
        <f>"82517748"</f>
        <v>82517748</v>
      </c>
      <c r="D6046" t="s">
        <v>18288</v>
      </c>
      <c r="F6046" t="s">
        <v>18289</v>
      </c>
      <c r="I6046" t="s">
        <v>49</v>
      </c>
      <c r="J6046" t="s">
        <v>30</v>
      </c>
      <c r="K6046" t="s">
        <v>50</v>
      </c>
      <c r="M6046" t="s">
        <v>17861</v>
      </c>
      <c r="N6046" t="str">
        <f>"8/4/2011 10:08:00 AM"</f>
        <v>8/4/2011 10:08:00 AM</v>
      </c>
      <c r="O6046" t="s">
        <v>18288</v>
      </c>
    </row>
    <row r="6047" spans="1:20" x14ac:dyDescent="0.25">
      <c r="A6047" t="str">
        <f>"3037627"</f>
        <v>3037627</v>
      </c>
      <c r="B6047" t="s">
        <v>18290</v>
      </c>
      <c r="C6047" t="str">
        <f>"65673100"</f>
        <v>65673100</v>
      </c>
      <c r="D6047" t="s">
        <v>18291</v>
      </c>
      <c r="E6047" t="s">
        <v>18292</v>
      </c>
      <c r="F6047" t="s">
        <v>18293</v>
      </c>
      <c r="I6047" t="s">
        <v>49</v>
      </c>
      <c r="J6047" t="s">
        <v>30</v>
      </c>
      <c r="K6047" t="str">
        <f>"27055"</f>
        <v>27055</v>
      </c>
      <c r="M6047" t="s">
        <v>17861</v>
      </c>
      <c r="N6047" t="str">
        <f>"8/4/2011 10:07:00 AM"</f>
        <v>8/4/2011 10:07:00 AM</v>
      </c>
      <c r="O6047" t="s">
        <v>18291</v>
      </c>
      <c r="T6047" t="s">
        <v>18292</v>
      </c>
    </row>
    <row r="6048" spans="1:20" x14ac:dyDescent="0.25">
      <c r="A6048" t="str">
        <f>"3047801"</f>
        <v>3047801</v>
      </c>
      <c r="B6048" t="s">
        <v>18294</v>
      </c>
      <c r="C6048" t="str">
        <f>"82532784"</f>
        <v>82532784</v>
      </c>
      <c r="D6048" t="s">
        <v>18295</v>
      </c>
      <c r="E6048" t="s">
        <v>18296</v>
      </c>
      <c r="F6048" t="s">
        <v>18297</v>
      </c>
      <c r="I6048" t="s">
        <v>184</v>
      </c>
      <c r="J6048" t="s">
        <v>30</v>
      </c>
      <c r="K6048" t="s">
        <v>185</v>
      </c>
      <c r="M6048" t="s">
        <v>32</v>
      </c>
      <c r="N6048" t="str">
        <f t="shared" ref="N6048:N6054" si="90">"8/17/2011 12:00:00 AM"</f>
        <v>8/17/2011 12:00:00 AM</v>
      </c>
      <c r="O6048" t="s">
        <v>18295</v>
      </c>
      <c r="T6048" t="s">
        <v>18296</v>
      </c>
    </row>
    <row r="6049" spans="1:20" x14ac:dyDescent="0.25">
      <c r="A6049" t="str">
        <f>"3060590"</f>
        <v>3060590</v>
      </c>
      <c r="B6049" t="s">
        <v>18298</v>
      </c>
      <c r="C6049" t="str">
        <f>"82532792"</f>
        <v>82532792</v>
      </c>
      <c r="D6049" t="s">
        <v>18299</v>
      </c>
      <c r="E6049" t="s">
        <v>18300</v>
      </c>
      <c r="F6049" t="s">
        <v>18301</v>
      </c>
      <c r="I6049" t="s">
        <v>2071</v>
      </c>
      <c r="J6049" t="s">
        <v>30</v>
      </c>
      <c r="K6049" t="s">
        <v>185</v>
      </c>
      <c r="M6049" t="s">
        <v>32</v>
      </c>
      <c r="N6049" t="str">
        <f t="shared" si="90"/>
        <v>8/17/2011 12:00:00 AM</v>
      </c>
      <c r="O6049" t="s">
        <v>18299</v>
      </c>
      <c r="T6049" t="s">
        <v>18300</v>
      </c>
    </row>
    <row r="6050" spans="1:20" x14ac:dyDescent="0.25">
      <c r="A6050" t="str">
        <f>"3060468"</f>
        <v>3060468</v>
      </c>
      <c r="B6050" t="s">
        <v>18302</v>
      </c>
      <c r="C6050" t="str">
        <f>"82532801"</f>
        <v>82532801</v>
      </c>
      <c r="D6050" t="s">
        <v>18303</v>
      </c>
      <c r="F6050" t="s">
        <v>18304</v>
      </c>
      <c r="I6050" t="s">
        <v>184</v>
      </c>
      <c r="J6050" t="s">
        <v>30</v>
      </c>
      <c r="K6050" t="s">
        <v>185</v>
      </c>
      <c r="M6050" t="s">
        <v>32</v>
      </c>
      <c r="N6050" t="str">
        <f t="shared" si="90"/>
        <v>8/17/2011 12:00:00 AM</v>
      </c>
      <c r="O6050" t="s">
        <v>18303</v>
      </c>
    </row>
    <row r="6051" spans="1:20" x14ac:dyDescent="0.25">
      <c r="A6051" t="str">
        <f>"3056852"</f>
        <v>3056852</v>
      </c>
      <c r="B6051" t="s">
        <v>18305</v>
      </c>
      <c r="C6051" t="str">
        <f>"82532170"</f>
        <v>82532170</v>
      </c>
      <c r="D6051" t="s">
        <v>18306</v>
      </c>
      <c r="F6051" t="s">
        <v>18307</v>
      </c>
      <c r="I6051" t="s">
        <v>29</v>
      </c>
      <c r="J6051" t="s">
        <v>30</v>
      </c>
      <c r="K6051" t="s">
        <v>31</v>
      </c>
      <c r="M6051" t="s">
        <v>32</v>
      </c>
      <c r="N6051" t="str">
        <f t="shared" si="90"/>
        <v>8/17/2011 12:00:00 AM</v>
      </c>
      <c r="O6051" t="s">
        <v>18306</v>
      </c>
    </row>
    <row r="6052" spans="1:20" x14ac:dyDescent="0.25">
      <c r="A6052" t="str">
        <f>"3056840"</f>
        <v>3056840</v>
      </c>
      <c r="B6052" t="s">
        <v>18308</v>
      </c>
      <c r="C6052" t="str">
        <f>"82532170"</f>
        <v>82532170</v>
      </c>
      <c r="D6052" t="s">
        <v>18306</v>
      </c>
      <c r="F6052" t="s">
        <v>18307</v>
      </c>
      <c r="I6052" t="s">
        <v>29</v>
      </c>
      <c r="J6052" t="s">
        <v>30</v>
      </c>
      <c r="K6052" t="s">
        <v>31</v>
      </c>
      <c r="M6052" t="s">
        <v>32</v>
      </c>
      <c r="N6052" t="str">
        <f t="shared" si="90"/>
        <v>8/17/2011 12:00:00 AM</v>
      </c>
      <c r="O6052" t="s">
        <v>18306</v>
      </c>
    </row>
    <row r="6053" spans="1:20" x14ac:dyDescent="0.25">
      <c r="A6053" t="str">
        <f>"3057962"</f>
        <v>3057962</v>
      </c>
      <c r="B6053" t="s">
        <v>18309</v>
      </c>
      <c r="C6053" t="str">
        <f>"82532170"</f>
        <v>82532170</v>
      </c>
      <c r="D6053" t="s">
        <v>18306</v>
      </c>
      <c r="F6053" t="s">
        <v>18307</v>
      </c>
      <c r="I6053" t="s">
        <v>29</v>
      </c>
      <c r="J6053" t="s">
        <v>30</v>
      </c>
      <c r="K6053" t="s">
        <v>31</v>
      </c>
      <c r="M6053" t="s">
        <v>32</v>
      </c>
      <c r="N6053" t="str">
        <f t="shared" si="90"/>
        <v>8/17/2011 12:00:00 AM</v>
      </c>
      <c r="O6053" t="s">
        <v>18306</v>
      </c>
    </row>
    <row r="6054" spans="1:20" x14ac:dyDescent="0.25">
      <c r="A6054" t="str">
        <f>"3057950"</f>
        <v>3057950</v>
      </c>
      <c r="B6054" t="s">
        <v>18310</v>
      </c>
      <c r="C6054" t="str">
        <f>"82532808"</f>
        <v>82532808</v>
      </c>
      <c r="D6054" t="s">
        <v>18311</v>
      </c>
      <c r="F6054" t="s">
        <v>18312</v>
      </c>
      <c r="I6054" t="s">
        <v>184</v>
      </c>
      <c r="J6054" t="s">
        <v>30</v>
      </c>
      <c r="K6054" t="s">
        <v>185</v>
      </c>
      <c r="M6054" t="s">
        <v>32</v>
      </c>
      <c r="N6054" t="str">
        <f t="shared" si="90"/>
        <v>8/17/2011 12:00:00 AM</v>
      </c>
      <c r="O6054" t="s">
        <v>18311</v>
      </c>
    </row>
    <row r="6055" spans="1:20" x14ac:dyDescent="0.25">
      <c r="A6055" t="str">
        <f>"3058254"</f>
        <v>3058254</v>
      </c>
      <c r="B6055" t="s">
        <v>18313</v>
      </c>
      <c r="C6055" t="str">
        <f>"8300213"</f>
        <v>8300213</v>
      </c>
      <c r="D6055" t="s">
        <v>18314</v>
      </c>
      <c r="F6055" t="s">
        <v>18315</v>
      </c>
      <c r="I6055" t="s">
        <v>184</v>
      </c>
      <c r="J6055" t="s">
        <v>30</v>
      </c>
      <c r="K6055" t="s">
        <v>185</v>
      </c>
      <c r="M6055" t="s">
        <v>32</v>
      </c>
      <c r="N6055" t="str">
        <f>"8/18/2011 12:00:00 AM"</f>
        <v>8/18/2011 12:00:00 AM</v>
      </c>
      <c r="O6055" t="s">
        <v>18314</v>
      </c>
    </row>
    <row r="6056" spans="1:20" x14ac:dyDescent="0.25">
      <c r="A6056" t="str">
        <f>"3041083"</f>
        <v>3041083</v>
      </c>
      <c r="B6056" t="s">
        <v>18316</v>
      </c>
      <c r="C6056" t="str">
        <f>"8300264"</f>
        <v>8300264</v>
      </c>
      <c r="D6056" t="s">
        <v>18317</v>
      </c>
      <c r="F6056" t="s">
        <v>2284</v>
      </c>
      <c r="I6056" t="s">
        <v>2071</v>
      </c>
      <c r="J6056" t="s">
        <v>30</v>
      </c>
      <c r="K6056" t="s">
        <v>185</v>
      </c>
      <c r="M6056" t="s">
        <v>32</v>
      </c>
      <c r="N6056" t="str">
        <f>"8/19/2011 12:00:00 AM"</f>
        <v>8/19/2011 12:00:00 AM</v>
      </c>
      <c r="O6056" t="s">
        <v>18317</v>
      </c>
    </row>
    <row r="6057" spans="1:20" x14ac:dyDescent="0.25">
      <c r="A6057" t="str">
        <f>"3041081"</f>
        <v>3041081</v>
      </c>
      <c r="B6057" t="s">
        <v>18318</v>
      </c>
      <c r="C6057" t="str">
        <f>"8300506"</f>
        <v>8300506</v>
      </c>
      <c r="D6057" t="s">
        <v>18319</v>
      </c>
      <c r="E6057" t="str">
        <f>"D/B/A BERMUDA RUN COUNTRY CLUB"</f>
        <v>D/B/A BERMUDA RUN COUNTRY CLUB</v>
      </c>
      <c r="F6057" t="s">
        <v>18320</v>
      </c>
      <c r="I6057" t="s">
        <v>18321</v>
      </c>
      <c r="J6057" t="s">
        <v>18322</v>
      </c>
      <c r="K6057" t="s">
        <v>18323</v>
      </c>
      <c r="M6057" t="s">
        <v>32</v>
      </c>
      <c r="N6057" t="str">
        <f t="shared" ref="N6057:N6062" si="91">"8/22/2011 12:00:00 AM"</f>
        <v>8/22/2011 12:00:00 AM</v>
      </c>
      <c r="O6057" t="s">
        <v>18319</v>
      </c>
      <c r="T6057" t="str">
        <f>"D/B/A BERMUDA RUN COUNTRY CLUB"</f>
        <v>D/B/A BERMUDA RUN COUNTRY CLUB</v>
      </c>
    </row>
    <row r="6058" spans="1:20" x14ac:dyDescent="0.25">
      <c r="A6058" t="str">
        <f>"3041051"</f>
        <v>3041051</v>
      </c>
      <c r="B6058" t="s">
        <v>18324</v>
      </c>
      <c r="C6058" t="str">
        <f>"8300506"</f>
        <v>8300506</v>
      </c>
      <c r="D6058" t="s">
        <v>18319</v>
      </c>
      <c r="E6058" t="str">
        <f>"D/B/A BERMUDA RUN COUNTRY CLUB"</f>
        <v>D/B/A BERMUDA RUN COUNTRY CLUB</v>
      </c>
      <c r="F6058" t="s">
        <v>18320</v>
      </c>
      <c r="I6058" t="s">
        <v>18321</v>
      </c>
      <c r="J6058" t="s">
        <v>18322</v>
      </c>
      <c r="K6058" t="s">
        <v>18323</v>
      </c>
      <c r="M6058" t="s">
        <v>32</v>
      </c>
      <c r="N6058" t="str">
        <f t="shared" si="91"/>
        <v>8/22/2011 12:00:00 AM</v>
      </c>
      <c r="O6058" t="s">
        <v>18319</v>
      </c>
      <c r="T6058" t="str">
        <f>"D/B/A BERMUDA RUN COUNTRY CLUB"</f>
        <v>D/B/A BERMUDA RUN COUNTRY CLUB</v>
      </c>
    </row>
    <row r="6059" spans="1:20" x14ac:dyDescent="0.25">
      <c r="A6059" t="str">
        <f>"3041047"</f>
        <v>3041047</v>
      </c>
      <c r="B6059" t="s">
        <v>18325</v>
      </c>
      <c r="C6059" t="str">
        <f>"8300506"</f>
        <v>8300506</v>
      </c>
      <c r="D6059" t="s">
        <v>18319</v>
      </c>
      <c r="E6059" t="str">
        <f>"D/B/A BERMUDA RUN COUNTRY CLUB"</f>
        <v>D/B/A BERMUDA RUN COUNTRY CLUB</v>
      </c>
      <c r="F6059" t="s">
        <v>18320</v>
      </c>
      <c r="I6059" t="s">
        <v>18321</v>
      </c>
      <c r="J6059" t="s">
        <v>18322</v>
      </c>
      <c r="K6059" t="s">
        <v>18323</v>
      </c>
      <c r="M6059" t="s">
        <v>32</v>
      </c>
      <c r="N6059" t="str">
        <f t="shared" si="91"/>
        <v>8/22/2011 12:00:00 AM</v>
      </c>
      <c r="O6059" t="s">
        <v>18319</v>
      </c>
      <c r="T6059" t="str">
        <f>"D/B/A BERMUDA RUN COUNTRY CLUB"</f>
        <v>D/B/A BERMUDA RUN COUNTRY CLUB</v>
      </c>
    </row>
    <row r="6060" spans="1:20" x14ac:dyDescent="0.25">
      <c r="A6060" t="str">
        <f>"3041038"</f>
        <v>3041038</v>
      </c>
      <c r="B6060" t="s">
        <v>18326</v>
      </c>
      <c r="C6060" t="str">
        <f>"8300506"</f>
        <v>8300506</v>
      </c>
      <c r="D6060" t="s">
        <v>18319</v>
      </c>
      <c r="E6060" t="str">
        <f>"D/B/A BERMUDA RUN COUNTRY CLUB"</f>
        <v>D/B/A BERMUDA RUN COUNTRY CLUB</v>
      </c>
      <c r="F6060" t="s">
        <v>18320</v>
      </c>
      <c r="I6060" t="s">
        <v>18321</v>
      </c>
      <c r="J6060" t="s">
        <v>18322</v>
      </c>
      <c r="K6060" t="s">
        <v>18323</v>
      </c>
      <c r="M6060" t="s">
        <v>32</v>
      </c>
      <c r="N6060" t="str">
        <f t="shared" si="91"/>
        <v>8/22/2011 12:00:00 AM</v>
      </c>
      <c r="O6060" t="s">
        <v>18319</v>
      </c>
      <c r="T6060" t="str">
        <f>"D/B/A BERMUDA RUN COUNTRY CLUB"</f>
        <v>D/B/A BERMUDA RUN COUNTRY CLUB</v>
      </c>
    </row>
    <row r="6061" spans="1:20" x14ac:dyDescent="0.25">
      <c r="A6061" t="str">
        <f>"3057043"</f>
        <v>3057043</v>
      </c>
      <c r="B6061" t="s">
        <v>18327</v>
      </c>
      <c r="C6061" t="str">
        <f>"8300506"</f>
        <v>8300506</v>
      </c>
      <c r="D6061" t="s">
        <v>18319</v>
      </c>
      <c r="E6061" t="str">
        <f>"D/B/A BERMUDA RUN COUNTRY CLUB"</f>
        <v>D/B/A BERMUDA RUN COUNTRY CLUB</v>
      </c>
      <c r="F6061" t="s">
        <v>18320</v>
      </c>
      <c r="I6061" t="s">
        <v>18321</v>
      </c>
      <c r="J6061" t="s">
        <v>18322</v>
      </c>
      <c r="K6061" t="s">
        <v>18323</v>
      </c>
      <c r="M6061" t="s">
        <v>32</v>
      </c>
      <c r="N6061" t="str">
        <f t="shared" si="91"/>
        <v>8/22/2011 12:00:00 AM</v>
      </c>
      <c r="O6061" t="s">
        <v>18319</v>
      </c>
      <c r="T6061" t="str">
        <f>"D/B/A BERMUDA RUN COUNTRY CLUB"</f>
        <v>D/B/A BERMUDA RUN COUNTRY CLUB</v>
      </c>
    </row>
    <row r="6062" spans="1:20" x14ac:dyDescent="0.25">
      <c r="A6062" t="str">
        <f>"3054115"</f>
        <v>3054115</v>
      </c>
      <c r="B6062" t="s">
        <v>18328</v>
      </c>
      <c r="C6062" t="str">
        <f>"8300513"</f>
        <v>8300513</v>
      </c>
      <c r="D6062" t="s">
        <v>18329</v>
      </c>
      <c r="F6062" t="s">
        <v>18330</v>
      </c>
      <c r="I6062" t="s">
        <v>18331</v>
      </c>
      <c r="J6062" t="s">
        <v>30</v>
      </c>
      <c r="K6062" t="s">
        <v>31</v>
      </c>
      <c r="M6062" t="s">
        <v>32</v>
      </c>
      <c r="N6062" t="str">
        <f t="shared" si="91"/>
        <v>8/22/2011 12:00:00 AM</v>
      </c>
      <c r="O6062" t="s">
        <v>18329</v>
      </c>
    </row>
    <row r="6063" spans="1:20" x14ac:dyDescent="0.25">
      <c r="A6063" t="str">
        <f>"3050133"</f>
        <v>3050133</v>
      </c>
      <c r="B6063" t="s">
        <v>18332</v>
      </c>
      <c r="C6063" t="str">
        <f>"82532829"</f>
        <v>82532829</v>
      </c>
      <c r="D6063" t="s">
        <v>18333</v>
      </c>
      <c r="E6063" t="s">
        <v>18334</v>
      </c>
      <c r="F6063" t="s">
        <v>18335</v>
      </c>
      <c r="I6063" t="s">
        <v>29</v>
      </c>
      <c r="J6063" t="s">
        <v>30</v>
      </c>
      <c r="K6063" t="s">
        <v>31</v>
      </c>
      <c r="M6063" t="s">
        <v>32</v>
      </c>
      <c r="N6063" t="str">
        <f>"8/26/2011 12:00:00 AM"</f>
        <v>8/26/2011 12:00:00 AM</v>
      </c>
      <c r="O6063" t="s">
        <v>18333</v>
      </c>
      <c r="T6063" t="s">
        <v>18334</v>
      </c>
    </row>
    <row r="6064" spans="1:20" x14ac:dyDescent="0.25">
      <c r="A6064" t="str">
        <f>"3058040"</f>
        <v>3058040</v>
      </c>
      <c r="B6064" t="s">
        <v>18336</v>
      </c>
      <c r="C6064" t="str">
        <f>"82532835"</f>
        <v>82532835</v>
      </c>
      <c r="D6064" t="s">
        <v>18337</v>
      </c>
      <c r="E6064" t="s">
        <v>18338</v>
      </c>
      <c r="F6064" t="s">
        <v>18339</v>
      </c>
      <c r="I6064" t="s">
        <v>184</v>
      </c>
      <c r="J6064" t="s">
        <v>30</v>
      </c>
      <c r="K6064" t="s">
        <v>185</v>
      </c>
      <c r="M6064" t="s">
        <v>32</v>
      </c>
      <c r="N6064" t="str">
        <f>"8/26/2011 12:00:00 AM"</f>
        <v>8/26/2011 12:00:00 AM</v>
      </c>
      <c r="O6064" t="s">
        <v>18337</v>
      </c>
      <c r="T6064" t="s">
        <v>18338</v>
      </c>
    </row>
    <row r="6065" spans="1:20" x14ac:dyDescent="0.25">
      <c r="A6065" t="str">
        <f>"3053635"</f>
        <v>3053635</v>
      </c>
      <c r="B6065" t="s">
        <v>18340</v>
      </c>
      <c r="C6065" t="str">
        <f>"82532837"</f>
        <v>82532837</v>
      </c>
      <c r="D6065" t="s">
        <v>18341</v>
      </c>
      <c r="F6065" t="s">
        <v>18342</v>
      </c>
      <c r="I6065" t="s">
        <v>29</v>
      </c>
      <c r="J6065" t="s">
        <v>30</v>
      </c>
      <c r="K6065" t="s">
        <v>31</v>
      </c>
      <c r="M6065" t="s">
        <v>32</v>
      </c>
      <c r="N6065" t="str">
        <f>"8/26/2011 12:00:00 AM"</f>
        <v>8/26/2011 12:00:00 AM</v>
      </c>
      <c r="O6065" t="s">
        <v>18341</v>
      </c>
    </row>
    <row r="6066" spans="1:20" x14ac:dyDescent="0.25">
      <c r="A6066" t="str">
        <f>"3045081"</f>
        <v>3045081</v>
      </c>
      <c r="B6066" t="s">
        <v>18343</v>
      </c>
      <c r="C6066" t="str">
        <f>"80868000"</f>
        <v>80868000</v>
      </c>
      <c r="D6066" t="s">
        <v>18344</v>
      </c>
      <c r="E6066" t="s">
        <v>18345</v>
      </c>
      <c r="F6066" t="s">
        <v>18346</v>
      </c>
      <c r="G6066" t="s">
        <v>18347</v>
      </c>
      <c r="I6066" t="s">
        <v>18348</v>
      </c>
      <c r="J6066" t="s">
        <v>4132</v>
      </c>
      <c r="K6066" t="s">
        <v>18349</v>
      </c>
      <c r="M6066" t="s">
        <v>17861</v>
      </c>
      <c r="N6066" t="str">
        <f>"8/31/2011 1:23:00 PM"</f>
        <v>8/31/2011 1:23:00 PM</v>
      </c>
      <c r="O6066" t="s">
        <v>18344</v>
      </c>
      <c r="T6066" t="s">
        <v>18345</v>
      </c>
    </row>
    <row r="6067" spans="1:20" x14ac:dyDescent="0.25">
      <c r="A6067" t="str">
        <f>"3062422"</f>
        <v>3062422</v>
      </c>
      <c r="B6067" t="s">
        <v>18350</v>
      </c>
      <c r="C6067" t="str">
        <f>"82532868"</f>
        <v>82532868</v>
      </c>
      <c r="D6067" t="s">
        <v>18351</v>
      </c>
      <c r="F6067" t="s">
        <v>18352</v>
      </c>
      <c r="I6067" t="s">
        <v>2071</v>
      </c>
      <c r="J6067" t="s">
        <v>30</v>
      </c>
      <c r="K6067" t="s">
        <v>185</v>
      </c>
      <c r="M6067" t="s">
        <v>32</v>
      </c>
      <c r="N6067" t="str">
        <f>"9/6/2011 12:00:00 AM"</f>
        <v>9/6/2011 12:00:00 AM</v>
      </c>
      <c r="O6067" t="s">
        <v>18351</v>
      </c>
    </row>
    <row r="6068" spans="1:20" x14ac:dyDescent="0.25">
      <c r="A6068" t="str">
        <f>"3046207"</f>
        <v>3046207</v>
      </c>
      <c r="B6068" t="s">
        <v>18353</v>
      </c>
      <c r="C6068" t="str">
        <f>"82516180"</f>
        <v>82516180</v>
      </c>
      <c r="D6068" t="s">
        <v>13192</v>
      </c>
      <c r="E6068" t="s">
        <v>18354</v>
      </c>
      <c r="F6068" t="s">
        <v>18355</v>
      </c>
      <c r="I6068" t="s">
        <v>29</v>
      </c>
      <c r="J6068" t="s">
        <v>30</v>
      </c>
      <c r="K6068" t="s">
        <v>31</v>
      </c>
      <c r="M6068" t="s">
        <v>32</v>
      </c>
      <c r="N6068" t="str">
        <f>"9/15/2011 12:00:00 AM"</f>
        <v>9/15/2011 12:00:00 AM</v>
      </c>
      <c r="O6068" t="s">
        <v>13192</v>
      </c>
      <c r="T6068" t="s">
        <v>18354</v>
      </c>
    </row>
    <row r="6069" spans="1:20" x14ac:dyDescent="0.25">
      <c r="A6069" t="str">
        <f>"3078877"</f>
        <v>3078877</v>
      </c>
      <c r="B6069" t="s">
        <v>18356</v>
      </c>
      <c r="C6069" t="str">
        <f>"82532898"</f>
        <v>82532898</v>
      </c>
      <c r="D6069" t="s">
        <v>18357</v>
      </c>
      <c r="E6069" t="s">
        <v>18358</v>
      </c>
      <c r="F6069" t="s">
        <v>16012</v>
      </c>
      <c r="I6069" t="s">
        <v>29</v>
      </c>
      <c r="J6069" t="s">
        <v>30</v>
      </c>
      <c r="K6069" t="s">
        <v>31</v>
      </c>
      <c r="M6069" t="s">
        <v>32</v>
      </c>
      <c r="N6069" t="str">
        <f>"9/19/2011 12:00:00 AM"</f>
        <v>9/19/2011 12:00:00 AM</v>
      </c>
      <c r="O6069" t="s">
        <v>18357</v>
      </c>
      <c r="T6069" t="s">
        <v>18358</v>
      </c>
    </row>
    <row r="6070" spans="1:20" x14ac:dyDescent="0.25">
      <c r="A6070" t="str">
        <f>"3046270"</f>
        <v>3046270</v>
      </c>
      <c r="B6070" t="s">
        <v>18359</v>
      </c>
      <c r="C6070" t="str">
        <f>"82532900"</f>
        <v>82532900</v>
      </c>
      <c r="D6070" t="s">
        <v>18360</v>
      </c>
      <c r="E6070" t="s">
        <v>18361</v>
      </c>
      <c r="F6070" t="s">
        <v>18362</v>
      </c>
      <c r="I6070" t="s">
        <v>29</v>
      </c>
      <c r="J6070" t="s">
        <v>30</v>
      </c>
      <c r="K6070" t="s">
        <v>31</v>
      </c>
      <c r="M6070" t="s">
        <v>32</v>
      </c>
      <c r="N6070" t="str">
        <f>"9/20/2011 12:00:00 AM"</f>
        <v>9/20/2011 12:00:00 AM</v>
      </c>
      <c r="O6070" t="s">
        <v>18360</v>
      </c>
      <c r="T6070" t="s">
        <v>18361</v>
      </c>
    </row>
    <row r="6071" spans="1:20" x14ac:dyDescent="0.25">
      <c r="A6071" t="str">
        <f>"3038812"</f>
        <v>3038812</v>
      </c>
      <c r="B6071" t="s">
        <v>18363</v>
      </c>
      <c r="C6071" t="str">
        <f>"82532911"</f>
        <v>82532911</v>
      </c>
      <c r="D6071" t="s">
        <v>18364</v>
      </c>
      <c r="E6071" t="s">
        <v>18365</v>
      </c>
      <c r="F6071" t="s">
        <v>18366</v>
      </c>
      <c r="I6071" t="s">
        <v>29</v>
      </c>
      <c r="J6071" t="s">
        <v>30</v>
      </c>
      <c r="K6071" t="s">
        <v>31</v>
      </c>
      <c r="M6071" t="s">
        <v>32</v>
      </c>
      <c r="N6071" t="str">
        <f>"9/27/2011 12:00:00 AM"</f>
        <v>9/27/2011 12:00:00 AM</v>
      </c>
      <c r="O6071" t="s">
        <v>18364</v>
      </c>
      <c r="T6071" t="s">
        <v>18365</v>
      </c>
    </row>
    <row r="6072" spans="1:20" x14ac:dyDescent="0.25">
      <c r="A6072" t="str">
        <f>"3041769"</f>
        <v>3041769</v>
      </c>
      <c r="B6072" t="s">
        <v>18367</v>
      </c>
      <c r="C6072" t="str">
        <f>"82527637"</f>
        <v>82527637</v>
      </c>
      <c r="D6072" t="s">
        <v>18368</v>
      </c>
      <c r="E6072" t="s">
        <v>18369</v>
      </c>
      <c r="F6072" t="s">
        <v>18370</v>
      </c>
      <c r="I6072" t="s">
        <v>2071</v>
      </c>
      <c r="J6072" t="s">
        <v>30</v>
      </c>
      <c r="K6072" t="s">
        <v>185</v>
      </c>
      <c r="M6072" t="s">
        <v>32</v>
      </c>
      <c r="N6072" t="str">
        <f>"10/4/2011 12:00:00 AM"</f>
        <v>10/4/2011 12:00:00 AM</v>
      </c>
      <c r="O6072" t="s">
        <v>18368</v>
      </c>
      <c r="T6072" t="s">
        <v>18369</v>
      </c>
    </row>
    <row r="6073" spans="1:20" x14ac:dyDescent="0.25">
      <c r="A6073" t="str">
        <f>"3048953"</f>
        <v>3048953</v>
      </c>
      <c r="B6073" t="s">
        <v>18371</v>
      </c>
      <c r="C6073" t="str">
        <f>"82532927"</f>
        <v>82532927</v>
      </c>
      <c r="D6073" t="s">
        <v>18372</v>
      </c>
      <c r="F6073" t="s">
        <v>18373</v>
      </c>
      <c r="I6073" t="s">
        <v>471</v>
      </c>
      <c r="J6073" t="s">
        <v>30</v>
      </c>
      <c r="K6073" t="s">
        <v>3221</v>
      </c>
      <c r="M6073" t="s">
        <v>32</v>
      </c>
      <c r="N6073" t="str">
        <f>"10/4/2011 12:00:00 AM"</f>
        <v>10/4/2011 12:00:00 AM</v>
      </c>
      <c r="O6073" t="s">
        <v>18372</v>
      </c>
    </row>
    <row r="6074" spans="1:20" x14ac:dyDescent="0.25">
      <c r="A6074" t="str">
        <f>"3057506"</f>
        <v>3057506</v>
      </c>
      <c r="B6074" t="s">
        <v>18374</v>
      </c>
      <c r="C6074" t="str">
        <f>"82532936"</f>
        <v>82532936</v>
      </c>
      <c r="D6074" t="s">
        <v>18375</v>
      </c>
      <c r="E6074" t="s">
        <v>18376</v>
      </c>
      <c r="F6074" t="s">
        <v>18377</v>
      </c>
      <c r="I6074" t="s">
        <v>29</v>
      </c>
      <c r="J6074" t="s">
        <v>30</v>
      </c>
      <c r="K6074" t="s">
        <v>31</v>
      </c>
      <c r="M6074" t="s">
        <v>32</v>
      </c>
      <c r="N6074" t="str">
        <f>"10/5/2011 12:00:00 AM"</f>
        <v>10/5/2011 12:00:00 AM</v>
      </c>
      <c r="O6074" t="s">
        <v>18375</v>
      </c>
      <c r="T6074" t="s">
        <v>18376</v>
      </c>
    </row>
    <row r="6075" spans="1:20" x14ac:dyDescent="0.25">
      <c r="A6075" t="str">
        <f>"3060375"</f>
        <v>3060375</v>
      </c>
      <c r="B6075" t="s">
        <v>18378</v>
      </c>
      <c r="C6075" t="str">
        <f>"82532936"</f>
        <v>82532936</v>
      </c>
      <c r="D6075" t="s">
        <v>18375</v>
      </c>
      <c r="E6075" t="s">
        <v>18376</v>
      </c>
      <c r="F6075" t="s">
        <v>18377</v>
      </c>
      <c r="I6075" t="s">
        <v>29</v>
      </c>
      <c r="J6075" t="s">
        <v>30</v>
      </c>
      <c r="K6075" t="s">
        <v>31</v>
      </c>
      <c r="M6075" t="s">
        <v>32</v>
      </c>
      <c r="N6075" t="str">
        <f>"10/5/2011 12:00:00 AM"</f>
        <v>10/5/2011 12:00:00 AM</v>
      </c>
      <c r="O6075" t="s">
        <v>18375</v>
      </c>
      <c r="T6075" t="s">
        <v>18376</v>
      </c>
    </row>
    <row r="6076" spans="1:20" x14ac:dyDescent="0.25">
      <c r="A6076" t="str">
        <f>"3060457"</f>
        <v>3060457</v>
      </c>
      <c r="B6076" t="s">
        <v>18379</v>
      </c>
      <c r="C6076" t="str">
        <f>"82532936"</f>
        <v>82532936</v>
      </c>
      <c r="D6076" t="s">
        <v>18375</v>
      </c>
      <c r="E6076" t="s">
        <v>18376</v>
      </c>
      <c r="F6076" t="s">
        <v>18377</v>
      </c>
      <c r="I6076" t="s">
        <v>29</v>
      </c>
      <c r="J6076" t="s">
        <v>30</v>
      </c>
      <c r="K6076" t="s">
        <v>31</v>
      </c>
      <c r="M6076" t="s">
        <v>32</v>
      </c>
      <c r="N6076" t="str">
        <f>"10/5/2011 12:00:00 AM"</f>
        <v>10/5/2011 12:00:00 AM</v>
      </c>
      <c r="O6076" t="s">
        <v>18375</v>
      </c>
      <c r="T6076" t="s">
        <v>18376</v>
      </c>
    </row>
    <row r="6077" spans="1:20" x14ac:dyDescent="0.25">
      <c r="A6077" t="str">
        <f>"3042576"</f>
        <v>3042576</v>
      </c>
      <c r="B6077" t="s">
        <v>18380</v>
      </c>
      <c r="C6077" t="str">
        <f>"82532949"</f>
        <v>82532949</v>
      </c>
      <c r="D6077" t="s">
        <v>18381</v>
      </c>
      <c r="E6077" t="s">
        <v>18382</v>
      </c>
      <c r="F6077" t="s">
        <v>18383</v>
      </c>
      <c r="I6077" t="s">
        <v>184</v>
      </c>
      <c r="J6077" t="s">
        <v>30</v>
      </c>
      <c r="K6077" t="s">
        <v>185</v>
      </c>
      <c r="M6077" t="s">
        <v>32</v>
      </c>
      <c r="N6077" t="str">
        <f>"10/11/2011 12:00:00 AM"</f>
        <v>10/11/2011 12:00:00 AM</v>
      </c>
      <c r="O6077" t="s">
        <v>18381</v>
      </c>
      <c r="T6077" t="s">
        <v>18382</v>
      </c>
    </row>
    <row r="6078" spans="1:20" x14ac:dyDescent="0.25">
      <c r="A6078" t="str">
        <f>"3059990"</f>
        <v>3059990</v>
      </c>
      <c r="B6078" t="s">
        <v>18384</v>
      </c>
      <c r="C6078" t="str">
        <f>"82532953"</f>
        <v>82532953</v>
      </c>
      <c r="D6078" t="s">
        <v>18385</v>
      </c>
      <c r="F6078" t="s">
        <v>18386</v>
      </c>
      <c r="I6078" t="s">
        <v>184</v>
      </c>
      <c r="J6078" t="s">
        <v>30</v>
      </c>
      <c r="K6078" t="s">
        <v>185</v>
      </c>
      <c r="M6078" t="s">
        <v>32</v>
      </c>
      <c r="N6078" t="str">
        <f>"10/11/2011 12:00:00 AM"</f>
        <v>10/11/2011 12:00:00 AM</v>
      </c>
      <c r="O6078" t="s">
        <v>18385</v>
      </c>
    </row>
    <row r="6079" spans="1:20" x14ac:dyDescent="0.25">
      <c r="A6079" t="str">
        <f>"3048283"</f>
        <v>3048283</v>
      </c>
      <c r="B6079" t="s">
        <v>18387</v>
      </c>
      <c r="C6079" t="str">
        <f>"82532962"</f>
        <v>82532962</v>
      </c>
      <c r="D6079" t="s">
        <v>18388</v>
      </c>
      <c r="F6079" t="s">
        <v>18389</v>
      </c>
      <c r="I6079" t="s">
        <v>1149</v>
      </c>
      <c r="J6079" t="s">
        <v>30</v>
      </c>
      <c r="K6079" t="s">
        <v>1150</v>
      </c>
      <c r="M6079" t="s">
        <v>32</v>
      </c>
      <c r="N6079" t="str">
        <f>"10/14/2011 12:00:00 AM"</f>
        <v>10/14/2011 12:00:00 AM</v>
      </c>
      <c r="O6079" t="s">
        <v>18388</v>
      </c>
    </row>
    <row r="6080" spans="1:20" x14ac:dyDescent="0.25">
      <c r="A6080" t="str">
        <f>"3044496"</f>
        <v>3044496</v>
      </c>
      <c r="B6080" t="s">
        <v>18390</v>
      </c>
      <c r="C6080" t="str">
        <f>"82532970"</f>
        <v>82532970</v>
      </c>
      <c r="D6080" t="s">
        <v>9239</v>
      </c>
      <c r="E6080" t="s">
        <v>18391</v>
      </c>
      <c r="F6080" t="s">
        <v>18392</v>
      </c>
      <c r="I6080" t="s">
        <v>184</v>
      </c>
      <c r="J6080" t="s">
        <v>30</v>
      </c>
      <c r="K6080" t="s">
        <v>185</v>
      </c>
      <c r="M6080" t="s">
        <v>32</v>
      </c>
      <c r="N6080" t="str">
        <f>"10/18/2011 12:00:00 AM"</f>
        <v>10/18/2011 12:00:00 AM</v>
      </c>
      <c r="O6080" t="s">
        <v>9239</v>
      </c>
      <c r="T6080" t="s">
        <v>18391</v>
      </c>
    </row>
    <row r="6081" spans="1:20" x14ac:dyDescent="0.25">
      <c r="A6081" t="str">
        <f>"3038411"</f>
        <v>3038411</v>
      </c>
      <c r="B6081" t="s">
        <v>18393</v>
      </c>
      <c r="C6081" t="str">
        <f>"82532975"</f>
        <v>82532975</v>
      </c>
      <c r="D6081" t="s">
        <v>18394</v>
      </c>
      <c r="E6081" t="s">
        <v>18395</v>
      </c>
      <c r="F6081" t="s">
        <v>18396</v>
      </c>
      <c r="I6081" t="s">
        <v>29</v>
      </c>
      <c r="J6081" t="s">
        <v>30</v>
      </c>
      <c r="K6081" t="s">
        <v>31</v>
      </c>
      <c r="M6081" t="s">
        <v>32</v>
      </c>
      <c r="N6081" t="str">
        <f>"10/24/2011 12:00:00 AM"</f>
        <v>10/24/2011 12:00:00 AM</v>
      </c>
      <c r="O6081" t="s">
        <v>18394</v>
      </c>
      <c r="T6081" t="s">
        <v>18395</v>
      </c>
    </row>
    <row r="6082" spans="1:20" x14ac:dyDescent="0.25">
      <c r="A6082" t="str">
        <f>"3038192"</f>
        <v>3038192</v>
      </c>
      <c r="B6082" t="s">
        <v>18397</v>
      </c>
      <c r="C6082" t="str">
        <f>"82532976"</f>
        <v>82532976</v>
      </c>
      <c r="D6082" t="s">
        <v>18395</v>
      </c>
      <c r="E6082" t="s">
        <v>18394</v>
      </c>
      <c r="F6082" t="s">
        <v>18396</v>
      </c>
      <c r="I6082" t="s">
        <v>29</v>
      </c>
      <c r="J6082" t="s">
        <v>30</v>
      </c>
      <c r="K6082" t="s">
        <v>31</v>
      </c>
      <c r="M6082" t="s">
        <v>32</v>
      </c>
      <c r="N6082" t="str">
        <f>"10/24/2011 12:00:00 AM"</f>
        <v>10/24/2011 12:00:00 AM</v>
      </c>
      <c r="O6082" t="s">
        <v>18395</v>
      </c>
      <c r="T6082" t="s">
        <v>18394</v>
      </c>
    </row>
    <row r="6083" spans="1:20" x14ac:dyDescent="0.25">
      <c r="A6083" t="str">
        <f>"3038193"</f>
        <v>3038193</v>
      </c>
      <c r="B6083" t="s">
        <v>18398</v>
      </c>
      <c r="C6083" t="str">
        <f>"82532976"</f>
        <v>82532976</v>
      </c>
      <c r="D6083" t="s">
        <v>18395</v>
      </c>
      <c r="E6083" t="s">
        <v>18394</v>
      </c>
      <c r="F6083" t="s">
        <v>18396</v>
      </c>
      <c r="I6083" t="s">
        <v>29</v>
      </c>
      <c r="J6083" t="s">
        <v>30</v>
      </c>
      <c r="K6083" t="s">
        <v>31</v>
      </c>
      <c r="M6083" t="s">
        <v>32</v>
      </c>
      <c r="N6083" t="str">
        <f>"10/24/2011 12:00:00 AM"</f>
        <v>10/24/2011 12:00:00 AM</v>
      </c>
      <c r="O6083" t="s">
        <v>18395</v>
      </c>
      <c r="T6083" t="s">
        <v>18394</v>
      </c>
    </row>
    <row r="6084" spans="1:20" x14ac:dyDescent="0.25">
      <c r="A6084" t="str">
        <f>"3037971"</f>
        <v>3037971</v>
      </c>
      <c r="B6084" t="s">
        <v>18399</v>
      </c>
      <c r="C6084" t="str">
        <f>"82532976"</f>
        <v>82532976</v>
      </c>
      <c r="D6084" t="s">
        <v>18395</v>
      </c>
      <c r="E6084" t="s">
        <v>18394</v>
      </c>
      <c r="F6084" t="s">
        <v>18396</v>
      </c>
      <c r="I6084" t="s">
        <v>29</v>
      </c>
      <c r="J6084" t="s">
        <v>30</v>
      </c>
      <c r="K6084" t="s">
        <v>31</v>
      </c>
      <c r="M6084" t="s">
        <v>32</v>
      </c>
      <c r="N6084" t="str">
        <f>"10/24/2011 12:00:00 AM"</f>
        <v>10/24/2011 12:00:00 AM</v>
      </c>
      <c r="O6084" t="s">
        <v>18395</v>
      </c>
      <c r="T6084" t="s">
        <v>18394</v>
      </c>
    </row>
    <row r="6085" spans="1:20" x14ac:dyDescent="0.25">
      <c r="A6085" t="str">
        <f>"3037836"</f>
        <v>3037836</v>
      </c>
      <c r="B6085" t="s">
        <v>18400</v>
      </c>
      <c r="C6085" t="str">
        <f>"82532976"</f>
        <v>82532976</v>
      </c>
      <c r="D6085" t="s">
        <v>18395</v>
      </c>
      <c r="E6085" t="s">
        <v>18394</v>
      </c>
      <c r="F6085" t="s">
        <v>18396</v>
      </c>
      <c r="I6085" t="s">
        <v>29</v>
      </c>
      <c r="J6085" t="s">
        <v>30</v>
      </c>
      <c r="K6085" t="s">
        <v>31</v>
      </c>
      <c r="M6085" t="s">
        <v>32</v>
      </c>
      <c r="N6085" t="str">
        <f>"10/24/2011 12:00:00 AM"</f>
        <v>10/24/2011 12:00:00 AM</v>
      </c>
      <c r="O6085" t="s">
        <v>18395</v>
      </c>
      <c r="T6085" t="s">
        <v>18394</v>
      </c>
    </row>
    <row r="6086" spans="1:20" x14ac:dyDescent="0.25">
      <c r="A6086" t="str">
        <f>"3038118"</f>
        <v>3038118</v>
      </c>
      <c r="B6086" t="s">
        <v>18401</v>
      </c>
      <c r="C6086" t="str">
        <f>"82518655"</f>
        <v>82518655</v>
      </c>
      <c r="D6086" t="s">
        <v>18402</v>
      </c>
      <c r="F6086" t="s">
        <v>18403</v>
      </c>
      <c r="I6086" t="s">
        <v>29</v>
      </c>
      <c r="J6086" t="s">
        <v>30</v>
      </c>
      <c r="K6086" t="s">
        <v>31</v>
      </c>
      <c r="M6086" t="s">
        <v>17861</v>
      </c>
      <c r="N6086" t="str">
        <f>"10/25/2011 10:57:00 AM"</f>
        <v>10/25/2011 10:57:00 AM</v>
      </c>
      <c r="O6086" t="s">
        <v>18402</v>
      </c>
    </row>
    <row r="6087" spans="1:20" x14ac:dyDescent="0.25">
      <c r="A6087" t="str">
        <f>"3039125"</f>
        <v>3039125</v>
      </c>
      <c r="B6087" t="s">
        <v>18404</v>
      </c>
      <c r="C6087" t="str">
        <f>"82518655"</f>
        <v>82518655</v>
      </c>
      <c r="D6087" t="s">
        <v>18402</v>
      </c>
      <c r="F6087" t="s">
        <v>18403</v>
      </c>
      <c r="I6087" t="s">
        <v>29</v>
      </c>
      <c r="J6087" t="s">
        <v>30</v>
      </c>
      <c r="K6087" t="s">
        <v>31</v>
      </c>
      <c r="M6087" t="s">
        <v>17861</v>
      </c>
      <c r="N6087" t="str">
        <f>"10/25/2011 10:57:00 AM"</f>
        <v>10/25/2011 10:57:00 AM</v>
      </c>
      <c r="O6087" t="s">
        <v>18402</v>
      </c>
    </row>
    <row r="6088" spans="1:20" x14ac:dyDescent="0.25">
      <c r="A6088" t="str">
        <f>"3044934"</f>
        <v>3044934</v>
      </c>
      <c r="B6088" t="s">
        <v>18405</v>
      </c>
      <c r="C6088" t="str">
        <f>"82532978"</f>
        <v>82532978</v>
      </c>
      <c r="D6088" t="s">
        <v>18406</v>
      </c>
      <c r="E6088" t="s">
        <v>18407</v>
      </c>
      <c r="F6088" t="s">
        <v>18408</v>
      </c>
      <c r="I6088" t="s">
        <v>29</v>
      </c>
      <c r="J6088" t="s">
        <v>30</v>
      </c>
      <c r="K6088" t="s">
        <v>31</v>
      </c>
      <c r="M6088" t="s">
        <v>32</v>
      </c>
      <c r="N6088" t="str">
        <f>"10/26/2011 12:00:00 AM"</f>
        <v>10/26/2011 12:00:00 AM</v>
      </c>
      <c r="O6088" t="s">
        <v>18406</v>
      </c>
      <c r="T6088" t="s">
        <v>18407</v>
      </c>
    </row>
    <row r="6089" spans="1:20" x14ac:dyDescent="0.25">
      <c r="A6089" t="str">
        <f>"3044929"</f>
        <v>3044929</v>
      </c>
      <c r="B6089" t="s">
        <v>18409</v>
      </c>
      <c r="C6089" t="str">
        <f>"82532978"</f>
        <v>82532978</v>
      </c>
      <c r="D6089" t="s">
        <v>18406</v>
      </c>
      <c r="E6089" t="s">
        <v>18407</v>
      </c>
      <c r="F6089" t="s">
        <v>18408</v>
      </c>
      <c r="I6089" t="s">
        <v>29</v>
      </c>
      <c r="J6089" t="s">
        <v>30</v>
      </c>
      <c r="K6089" t="s">
        <v>31</v>
      </c>
      <c r="M6089" t="s">
        <v>32</v>
      </c>
      <c r="N6089" t="str">
        <f>"10/26/2011 12:00:00 AM"</f>
        <v>10/26/2011 12:00:00 AM</v>
      </c>
      <c r="O6089" t="s">
        <v>18406</v>
      </c>
      <c r="T6089" t="s">
        <v>18407</v>
      </c>
    </row>
    <row r="6090" spans="1:20" x14ac:dyDescent="0.25">
      <c r="A6090" t="str">
        <f>"3045538"</f>
        <v>3045538</v>
      </c>
      <c r="B6090" t="s">
        <v>18410</v>
      </c>
      <c r="C6090" t="str">
        <f>"82532978"</f>
        <v>82532978</v>
      </c>
      <c r="D6090" t="s">
        <v>18406</v>
      </c>
      <c r="E6090" t="s">
        <v>18407</v>
      </c>
      <c r="F6090" t="s">
        <v>18408</v>
      </c>
      <c r="I6090" t="s">
        <v>29</v>
      </c>
      <c r="J6090" t="s">
        <v>30</v>
      </c>
      <c r="K6090" t="s">
        <v>31</v>
      </c>
      <c r="M6090" t="s">
        <v>32</v>
      </c>
      <c r="N6090" t="str">
        <f>"10/26/2011 12:00:00 AM"</f>
        <v>10/26/2011 12:00:00 AM</v>
      </c>
      <c r="O6090" t="s">
        <v>18406</v>
      </c>
      <c r="T6090" t="s">
        <v>18407</v>
      </c>
    </row>
    <row r="6091" spans="1:20" x14ac:dyDescent="0.25">
      <c r="A6091" t="str">
        <f>"3044591"</f>
        <v>3044591</v>
      </c>
      <c r="B6091" t="s">
        <v>18411</v>
      </c>
      <c r="C6091" t="str">
        <f>"82533007"</f>
        <v>82533007</v>
      </c>
      <c r="D6091" t="s">
        <v>18412</v>
      </c>
      <c r="E6091" t="s">
        <v>18413</v>
      </c>
      <c r="F6091" t="s">
        <v>18414</v>
      </c>
      <c r="I6091" t="s">
        <v>184</v>
      </c>
      <c r="J6091" t="s">
        <v>30</v>
      </c>
      <c r="K6091" t="s">
        <v>185</v>
      </c>
      <c r="M6091" t="s">
        <v>32</v>
      </c>
      <c r="N6091" t="str">
        <f>"11/1/2011 12:00:00 AM"</f>
        <v>11/1/2011 12:00:00 AM</v>
      </c>
      <c r="O6091" t="s">
        <v>18412</v>
      </c>
      <c r="T6091" t="s">
        <v>18413</v>
      </c>
    </row>
    <row r="6092" spans="1:20" x14ac:dyDescent="0.25">
      <c r="A6092" t="str">
        <f>"3055003"</f>
        <v>3055003</v>
      </c>
      <c r="B6092" t="s">
        <v>18415</v>
      </c>
      <c r="C6092" t="str">
        <f>"8300525"</f>
        <v>8300525</v>
      </c>
      <c r="D6092" t="s">
        <v>18416</v>
      </c>
      <c r="F6092" t="s">
        <v>18417</v>
      </c>
      <c r="I6092" t="s">
        <v>964</v>
      </c>
      <c r="J6092" t="s">
        <v>30</v>
      </c>
      <c r="K6092" t="str">
        <f>"28147"</f>
        <v>28147</v>
      </c>
      <c r="M6092" t="s">
        <v>17861</v>
      </c>
      <c r="N6092" t="str">
        <f>"12/28/2011 1:17:00 PM"</f>
        <v>12/28/2011 1:17:00 PM</v>
      </c>
      <c r="O6092" t="s">
        <v>18416</v>
      </c>
    </row>
    <row r="6093" spans="1:20" x14ac:dyDescent="0.25">
      <c r="A6093" t="str">
        <f>"3052738"</f>
        <v>3052738</v>
      </c>
      <c r="B6093" t="s">
        <v>18418</v>
      </c>
      <c r="C6093" t="str">
        <f>"8300525"</f>
        <v>8300525</v>
      </c>
      <c r="D6093" t="s">
        <v>18416</v>
      </c>
      <c r="F6093" t="s">
        <v>18417</v>
      </c>
      <c r="I6093" t="s">
        <v>964</v>
      </c>
      <c r="J6093" t="s">
        <v>30</v>
      </c>
      <c r="K6093" t="str">
        <f>"28147"</f>
        <v>28147</v>
      </c>
      <c r="M6093" t="s">
        <v>17861</v>
      </c>
      <c r="N6093" t="str">
        <f>"12/28/2011 1:17:00 PM"</f>
        <v>12/28/2011 1:17:00 PM</v>
      </c>
      <c r="O6093" t="s">
        <v>18416</v>
      </c>
    </row>
    <row r="6094" spans="1:20" x14ac:dyDescent="0.25">
      <c r="A6094" t="str">
        <f>"3076594"</f>
        <v>3076594</v>
      </c>
      <c r="B6094" t="s">
        <v>18419</v>
      </c>
      <c r="C6094" t="str">
        <f>"8300525"</f>
        <v>8300525</v>
      </c>
      <c r="D6094" t="s">
        <v>18416</v>
      </c>
      <c r="F6094" t="s">
        <v>18417</v>
      </c>
      <c r="I6094" t="s">
        <v>964</v>
      </c>
      <c r="J6094" t="s">
        <v>30</v>
      </c>
      <c r="K6094" t="str">
        <f>"28147"</f>
        <v>28147</v>
      </c>
      <c r="M6094" t="s">
        <v>17861</v>
      </c>
      <c r="N6094" t="str">
        <f>"12/28/2011 1:17:00 PM"</f>
        <v>12/28/2011 1:17:00 PM</v>
      </c>
      <c r="O6094" t="s">
        <v>18416</v>
      </c>
    </row>
    <row r="6095" spans="1:20" x14ac:dyDescent="0.25">
      <c r="A6095" t="str">
        <f>"3078747"</f>
        <v>3078747</v>
      </c>
      <c r="B6095" t="s">
        <v>18420</v>
      </c>
      <c r="C6095" t="str">
        <f>"8300525"</f>
        <v>8300525</v>
      </c>
      <c r="D6095" t="s">
        <v>18416</v>
      </c>
      <c r="F6095" t="s">
        <v>18417</v>
      </c>
      <c r="I6095" t="s">
        <v>964</v>
      </c>
      <c r="J6095" t="s">
        <v>30</v>
      </c>
      <c r="K6095" t="str">
        <f>"28147"</f>
        <v>28147</v>
      </c>
      <c r="M6095" t="s">
        <v>17861</v>
      </c>
      <c r="N6095" t="str">
        <f>"12/28/2011 1:17:00 PM"</f>
        <v>12/28/2011 1:17:00 PM</v>
      </c>
      <c r="O6095" t="s">
        <v>18416</v>
      </c>
    </row>
    <row r="6096" spans="1:20" x14ac:dyDescent="0.25">
      <c r="A6096" t="str">
        <f>"3054999"</f>
        <v>3054999</v>
      </c>
      <c r="B6096" t="s">
        <v>18421</v>
      </c>
      <c r="C6096" t="str">
        <f>"8300525"</f>
        <v>8300525</v>
      </c>
      <c r="D6096" t="s">
        <v>18416</v>
      </c>
      <c r="F6096" t="s">
        <v>18417</v>
      </c>
      <c r="I6096" t="s">
        <v>964</v>
      </c>
      <c r="J6096" t="s">
        <v>30</v>
      </c>
      <c r="K6096" t="str">
        <f>"28147"</f>
        <v>28147</v>
      </c>
      <c r="M6096" t="s">
        <v>17861</v>
      </c>
      <c r="N6096" t="str">
        <f>"12/28/2011 1:17:00 PM"</f>
        <v>12/28/2011 1:17:00 PM</v>
      </c>
      <c r="O6096" t="s">
        <v>18416</v>
      </c>
    </row>
    <row r="6097" spans="1:20" x14ac:dyDescent="0.25">
      <c r="A6097" t="str">
        <f>"3053304"</f>
        <v>3053304</v>
      </c>
      <c r="B6097" t="s">
        <v>18422</v>
      </c>
      <c r="C6097" t="str">
        <f>"8300523"</f>
        <v>8300523</v>
      </c>
      <c r="D6097" t="s">
        <v>18423</v>
      </c>
      <c r="F6097" t="s">
        <v>18424</v>
      </c>
      <c r="I6097" t="s">
        <v>29</v>
      </c>
      <c r="J6097" t="s">
        <v>30</v>
      </c>
      <c r="K6097" t="s">
        <v>18425</v>
      </c>
      <c r="M6097" t="s">
        <v>17861</v>
      </c>
      <c r="N6097" t="str">
        <f>"12/28/2011 9:36:00 AM"</f>
        <v>12/28/2011 9:36:00 AM</v>
      </c>
      <c r="O6097" t="s">
        <v>18423</v>
      </c>
    </row>
    <row r="6098" spans="1:20" x14ac:dyDescent="0.25">
      <c r="A6098" t="str">
        <f>"3053348"</f>
        <v>3053348</v>
      </c>
      <c r="B6098" t="s">
        <v>18426</v>
      </c>
      <c r="C6098" t="str">
        <f>"8300523"</f>
        <v>8300523</v>
      </c>
      <c r="D6098" t="s">
        <v>18423</v>
      </c>
      <c r="F6098" t="s">
        <v>18424</v>
      </c>
      <c r="I6098" t="s">
        <v>29</v>
      </c>
      <c r="J6098" t="s">
        <v>30</v>
      </c>
      <c r="K6098" t="s">
        <v>18425</v>
      </c>
      <c r="M6098" t="s">
        <v>17861</v>
      </c>
      <c r="N6098" t="str">
        <f>"12/28/2011 9:36:00 AM"</f>
        <v>12/28/2011 9:36:00 AM</v>
      </c>
      <c r="O6098" t="s">
        <v>18423</v>
      </c>
    </row>
    <row r="6099" spans="1:20" x14ac:dyDescent="0.25">
      <c r="A6099" t="str">
        <f>"3053757"</f>
        <v>3053757</v>
      </c>
      <c r="B6099" t="s">
        <v>18427</v>
      </c>
      <c r="C6099" t="str">
        <f>"8300523"</f>
        <v>8300523</v>
      </c>
      <c r="D6099" t="s">
        <v>18423</v>
      </c>
      <c r="F6099" t="s">
        <v>18424</v>
      </c>
      <c r="I6099" t="s">
        <v>29</v>
      </c>
      <c r="J6099" t="s">
        <v>30</v>
      </c>
      <c r="K6099" t="s">
        <v>18425</v>
      </c>
      <c r="M6099" t="s">
        <v>17861</v>
      </c>
      <c r="N6099" t="str">
        <f>"12/28/2011 9:36:00 AM"</f>
        <v>12/28/2011 9:36:00 AM</v>
      </c>
      <c r="O6099" t="s">
        <v>18423</v>
      </c>
    </row>
    <row r="6100" spans="1:20" x14ac:dyDescent="0.25">
      <c r="A6100" t="str">
        <f>"3055554"</f>
        <v>3055554</v>
      </c>
      <c r="B6100" t="s">
        <v>18428</v>
      </c>
      <c r="C6100" t="str">
        <f>"82532552"</f>
        <v>82532552</v>
      </c>
      <c r="D6100" t="s">
        <v>18429</v>
      </c>
      <c r="E6100" t="s">
        <v>18430</v>
      </c>
      <c r="F6100" t="s">
        <v>18431</v>
      </c>
      <c r="I6100" t="s">
        <v>29</v>
      </c>
      <c r="J6100" t="s">
        <v>30</v>
      </c>
      <c r="K6100" t="s">
        <v>31</v>
      </c>
      <c r="M6100" t="s">
        <v>18432</v>
      </c>
      <c r="N6100" t="str">
        <f>"12/20/2011 11:28:00 AM"</f>
        <v>12/20/2011 11:28:00 AM</v>
      </c>
      <c r="O6100" t="s">
        <v>18429</v>
      </c>
      <c r="T6100" t="s">
        <v>18430</v>
      </c>
    </row>
    <row r="6101" spans="1:20" x14ac:dyDescent="0.25">
      <c r="A6101" t="str">
        <f>"3039837"</f>
        <v>3039837</v>
      </c>
      <c r="B6101" t="s">
        <v>18433</v>
      </c>
      <c r="C6101" t="str">
        <f>"8300519"</f>
        <v>8300519</v>
      </c>
      <c r="D6101" t="s">
        <v>18434</v>
      </c>
      <c r="F6101" t="s">
        <v>18435</v>
      </c>
      <c r="I6101" t="s">
        <v>29</v>
      </c>
      <c r="J6101" t="s">
        <v>30</v>
      </c>
      <c r="K6101" t="str">
        <f>"27028"</f>
        <v>27028</v>
      </c>
      <c r="M6101" t="s">
        <v>17861</v>
      </c>
      <c r="N6101" t="str">
        <f>"12/20/2011 9:55:00 AM"</f>
        <v>12/20/2011 9:55:00 AM</v>
      </c>
      <c r="O6101" t="s">
        <v>18434</v>
      </c>
    </row>
    <row r="6102" spans="1:20" x14ac:dyDescent="0.25">
      <c r="A6102" t="str">
        <f>"3047254"</f>
        <v>3047254</v>
      </c>
      <c r="B6102" t="s">
        <v>18436</v>
      </c>
      <c r="C6102" t="str">
        <f>"82533119"</f>
        <v>82533119</v>
      </c>
      <c r="D6102" t="s">
        <v>18437</v>
      </c>
      <c r="E6102" t="s">
        <v>18438</v>
      </c>
      <c r="F6102" t="s">
        <v>18439</v>
      </c>
      <c r="I6102" t="s">
        <v>29</v>
      </c>
      <c r="J6102" t="s">
        <v>30</v>
      </c>
      <c r="K6102" t="str">
        <f>"27028"</f>
        <v>27028</v>
      </c>
      <c r="M6102" t="s">
        <v>17861</v>
      </c>
      <c r="N6102" t="str">
        <f>"12/19/2011 2:06:00 PM"</f>
        <v>12/19/2011 2:06:00 PM</v>
      </c>
      <c r="O6102" t="s">
        <v>18437</v>
      </c>
      <c r="T6102" t="s">
        <v>18438</v>
      </c>
    </row>
    <row r="6103" spans="1:20" x14ac:dyDescent="0.25">
      <c r="A6103" t="str">
        <f>"3037676"</f>
        <v>3037676</v>
      </c>
      <c r="B6103" t="s">
        <v>18440</v>
      </c>
      <c r="C6103" t="str">
        <f>"82533035"</f>
        <v>82533035</v>
      </c>
      <c r="D6103" t="s">
        <v>18441</v>
      </c>
      <c r="F6103" t="s">
        <v>18442</v>
      </c>
      <c r="I6103" t="s">
        <v>29</v>
      </c>
      <c r="J6103" t="s">
        <v>30</v>
      </c>
      <c r="K6103" t="s">
        <v>31</v>
      </c>
      <c r="M6103" t="s">
        <v>32</v>
      </c>
      <c r="N6103" t="str">
        <f>"11/9/2011 12:00:00 AM"</f>
        <v>11/9/2011 12:00:00 AM</v>
      </c>
      <c r="O6103" t="s">
        <v>18441</v>
      </c>
    </row>
    <row r="6104" spans="1:20" x14ac:dyDescent="0.25">
      <c r="A6104" t="str">
        <f>"3054400"</f>
        <v>3054400</v>
      </c>
      <c r="B6104" t="s">
        <v>18443</v>
      </c>
      <c r="C6104" t="str">
        <f>"8300547"</f>
        <v>8300547</v>
      </c>
      <c r="D6104" t="s">
        <v>18444</v>
      </c>
      <c r="F6104" t="s">
        <v>18445</v>
      </c>
      <c r="I6104" t="s">
        <v>29</v>
      </c>
      <c r="J6104" t="s">
        <v>30</v>
      </c>
      <c r="K6104" t="str">
        <f>"27028"</f>
        <v>27028</v>
      </c>
      <c r="M6104" t="s">
        <v>17861</v>
      </c>
      <c r="N6104" t="str">
        <f>"12/30/2011 2:05:00 PM"</f>
        <v>12/30/2011 2:05:00 PM</v>
      </c>
      <c r="O6104" t="s">
        <v>18444</v>
      </c>
    </row>
    <row r="6105" spans="1:20" x14ac:dyDescent="0.25">
      <c r="A6105" t="str">
        <f>"3063917"</f>
        <v>3063917</v>
      </c>
      <c r="B6105" t="s">
        <v>18446</v>
      </c>
      <c r="C6105" t="str">
        <f>"82533030"</f>
        <v>82533030</v>
      </c>
      <c r="D6105" t="s">
        <v>18447</v>
      </c>
      <c r="F6105" t="s">
        <v>18448</v>
      </c>
      <c r="I6105" t="s">
        <v>184</v>
      </c>
      <c r="J6105" t="s">
        <v>30</v>
      </c>
      <c r="K6105" t="s">
        <v>185</v>
      </c>
      <c r="M6105" t="s">
        <v>32</v>
      </c>
      <c r="N6105" t="str">
        <f>"11/9/2011 12:00:00 AM"</f>
        <v>11/9/2011 12:00:00 AM</v>
      </c>
      <c r="O6105" t="s">
        <v>18447</v>
      </c>
    </row>
    <row r="6106" spans="1:20" x14ac:dyDescent="0.25">
      <c r="A6106" t="str">
        <f>"3049111"</f>
        <v>3049111</v>
      </c>
      <c r="B6106" t="s">
        <v>18449</v>
      </c>
      <c r="C6106" t="str">
        <f>"82532933"</f>
        <v>82532933</v>
      </c>
      <c r="D6106" t="s">
        <v>18450</v>
      </c>
      <c r="E6106" t="s">
        <v>14694</v>
      </c>
      <c r="F6106" t="s">
        <v>18451</v>
      </c>
      <c r="I6106" t="s">
        <v>29</v>
      </c>
      <c r="J6106" t="s">
        <v>30</v>
      </c>
      <c r="K6106" t="s">
        <v>31</v>
      </c>
      <c r="M6106" t="s">
        <v>17861</v>
      </c>
      <c r="N6106" t="str">
        <f>"1/3/2012 4:04:00 PM"</f>
        <v>1/3/2012 4:04:00 PM</v>
      </c>
      <c r="O6106" t="s">
        <v>18450</v>
      </c>
      <c r="T6106" t="s">
        <v>14694</v>
      </c>
    </row>
    <row r="6107" spans="1:20" x14ac:dyDescent="0.25">
      <c r="A6107" t="str">
        <f>"3078918"</f>
        <v>3078918</v>
      </c>
      <c r="B6107" t="s">
        <v>18452</v>
      </c>
      <c r="C6107" t="str">
        <f>"82533026"</f>
        <v>82533026</v>
      </c>
      <c r="D6107" t="s">
        <v>18453</v>
      </c>
      <c r="F6107" t="s">
        <v>18454</v>
      </c>
      <c r="I6107" t="s">
        <v>184</v>
      </c>
      <c r="J6107" t="s">
        <v>30</v>
      </c>
      <c r="K6107" t="s">
        <v>185</v>
      </c>
      <c r="M6107" t="s">
        <v>32</v>
      </c>
      <c r="N6107" t="str">
        <f>"11/9/2011 12:00:00 AM"</f>
        <v>11/9/2011 12:00:00 AM</v>
      </c>
      <c r="O6107" t="s">
        <v>18453</v>
      </c>
    </row>
    <row r="6108" spans="1:20" x14ac:dyDescent="0.25">
      <c r="A6108" t="str">
        <f>"3039330"</f>
        <v>3039330</v>
      </c>
      <c r="B6108" t="s">
        <v>18455</v>
      </c>
      <c r="C6108" t="str">
        <f>"82533026"</f>
        <v>82533026</v>
      </c>
      <c r="D6108" t="s">
        <v>18453</v>
      </c>
      <c r="F6108" t="s">
        <v>18454</v>
      </c>
      <c r="I6108" t="s">
        <v>184</v>
      </c>
      <c r="J6108" t="s">
        <v>30</v>
      </c>
      <c r="K6108" t="s">
        <v>185</v>
      </c>
      <c r="M6108" t="s">
        <v>32</v>
      </c>
      <c r="N6108" t="str">
        <f>"11/9/2011 12:00:00 AM"</f>
        <v>11/9/2011 12:00:00 AM</v>
      </c>
      <c r="O6108" t="s">
        <v>18453</v>
      </c>
    </row>
    <row r="6109" spans="1:20" x14ac:dyDescent="0.25">
      <c r="A6109" t="str">
        <f>"3037360"</f>
        <v>3037360</v>
      </c>
      <c r="B6109" t="s">
        <v>18456</v>
      </c>
      <c r="C6109" t="str">
        <f>"82533023"</f>
        <v>82533023</v>
      </c>
      <c r="D6109" t="s">
        <v>18457</v>
      </c>
      <c r="E6109" t="s">
        <v>18458</v>
      </c>
      <c r="F6109" t="s">
        <v>18459</v>
      </c>
      <c r="I6109" t="s">
        <v>184</v>
      </c>
      <c r="J6109" t="s">
        <v>30</v>
      </c>
      <c r="K6109" t="s">
        <v>185</v>
      </c>
      <c r="M6109" t="s">
        <v>32</v>
      </c>
      <c r="N6109" t="str">
        <f>"11/2/2011 12:00:00 AM"</f>
        <v>11/2/2011 12:00:00 AM</v>
      </c>
      <c r="O6109" t="s">
        <v>18457</v>
      </c>
      <c r="T6109" t="s">
        <v>18458</v>
      </c>
    </row>
    <row r="6110" spans="1:20" x14ac:dyDescent="0.25">
      <c r="A6110" t="str">
        <f>"3037490"</f>
        <v>3037490</v>
      </c>
      <c r="B6110" t="s">
        <v>18460</v>
      </c>
      <c r="C6110" t="str">
        <f>"82533022"</f>
        <v>82533022</v>
      </c>
      <c r="D6110" t="s">
        <v>18461</v>
      </c>
      <c r="F6110" t="s">
        <v>18462</v>
      </c>
      <c r="I6110" t="s">
        <v>471</v>
      </c>
      <c r="J6110" t="s">
        <v>30</v>
      </c>
      <c r="K6110" t="s">
        <v>1210</v>
      </c>
      <c r="M6110" t="s">
        <v>32</v>
      </c>
      <c r="N6110" t="str">
        <f>"11/2/2011 12:00:00 AM"</f>
        <v>11/2/2011 12:00:00 AM</v>
      </c>
      <c r="O6110" t="s">
        <v>18461</v>
      </c>
    </row>
    <row r="6111" spans="1:20" x14ac:dyDescent="0.25">
      <c r="A6111" t="str">
        <f>"3037510"</f>
        <v>3037510</v>
      </c>
      <c r="B6111" t="s">
        <v>18463</v>
      </c>
      <c r="C6111" t="str">
        <f>"82533022"</f>
        <v>82533022</v>
      </c>
      <c r="D6111" t="s">
        <v>18461</v>
      </c>
      <c r="F6111" t="s">
        <v>18462</v>
      </c>
      <c r="I6111" t="s">
        <v>471</v>
      </c>
      <c r="J6111" t="s">
        <v>30</v>
      </c>
      <c r="K6111" t="s">
        <v>1210</v>
      </c>
      <c r="M6111" t="s">
        <v>32</v>
      </c>
      <c r="N6111" t="str">
        <f>"11/2/2011 12:00:00 AM"</f>
        <v>11/2/2011 12:00:00 AM</v>
      </c>
      <c r="O6111" t="s">
        <v>18461</v>
      </c>
    </row>
    <row r="6112" spans="1:20" x14ac:dyDescent="0.25">
      <c r="A6112" t="str">
        <f>"3037699"</f>
        <v>3037699</v>
      </c>
      <c r="B6112" t="s">
        <v>18464</v>
      </c>
      <c r="C6112" t="str">
        <f>"82533022"</f>
        <v>82533022</v>
      </c>
      <c r="D6112" t="s">
        <v>18461</v>
      </c>
      <c r="F6112" t="s">
        <v>18462</v>
      </c>
      <c r="I6112" t="s">
        <v>471</v>
      </c>
      <c r="J6112" t="s">
        <v>30</v>
      </c>
      <c r="K6112" t="s">
        <v>1210</v>
      </c>
      <c r="M6112" t="s">
        <v>32</v>
      </c>
      <c r="N6112" t="str">
        <f>"11/2/2011 12:00:00 AM"</f>
        <v>11/2/2011 12:00:00 AM</v>
      </c>
      <c r="O6112" t="s">
        <v>18461</v>
      </c>
    </row>
    <row r="6113" spans="1:20" x14ac:dyDescent="0.25">
      <c r="A6113" t="str">
        <f>"3045889"</f>
        <v>3045889</v>
      </c>
      <c r="B6113" t="s">
        <v>18465</v>
      </c>
      <c r="C6113" t="str">
        <f>"62928000"</f>
        <v>62928000</v>
      </c>
      <c r="D6113" t="s">
        <v>18466</v>
      </c>
      <c r="E6113" t="s">
        <v>18467</v>
      </c>
      <c r="F6113" t="s">
        <v>18468</v>
      </c>
      <c r="I6113" t="s">
        <v>29</v>
      </c>
      <c r="J6113" t="s">
        <v>30</v>
      </c>
      <c r="K6113" t="s">
        <v>18469</v>
      </c>
      <c r="M6113" t="s">
        <v>18470</v>
      </c>
      <c r="N6113" t="str">
        <f>"12/28/2011 1:30:00 PM"</f>
        <v>12/28/2011 1:30:00 PM</v>
      </c>
      <c r="O6113" t="s">
        <v>18466</v>
      </c>
      <c r="T6113" t="s">
        <v>18467</v>
      </c>
    </row>
    <row r="6114" spans="1:20" x14ac:dyDescent="0.25">
      <c r="A6114" t="str">
        <f>"3049666"</f>
        <v>3049666</v>
      </c>
      <c r="B6114" t="s">
        <v>18471</v>
      </c>
      <c r="C6114" t="str">
        <f>"8300526"</f>
        <v>8300526</v>
      </c>
      <c r="D6114" t="s">
        <v>18472</v>
      </c>
      <c r="F6114" t="s">
        <v>18473</v>
      </c>
      <c r="I6114" t="s">
        <v>29</v>
      </c>
      <c r="J6114" t="s">
        <v>30</v>
      </c>
      <c r="K6114" t="str">
        <f>"27028"</f>
        <v>27028</v>
      </c>
      <c r="M6114" t="s">
        <v>17861</v>
      </c>
      <c r="N6114" t="str">
        <f>"12/28/2011 1:41:00 PM"</f>
        <v>12/28/2011 1:41:00 PM</v>
      </c>
      <c r="O6114" t="s">
        <v>18472</v>
      </c>
    </row>
    <row r="6115" spans="1:20" x14ac:dyDescent="0.25">
      <c r="A6115" t="str">
        <f>"3045859"</f>
        <v>3045859</v>
      </c>
      <c r="B6115" t="s">
        <v>18474</v>
      </c>
      <c r="C6115" t="str">
        <f>"82532322"</f>
        <v>82532322</v>
      </c>
      <c r="D6115" t="s">
        <v>18466</v>
      </c>
      <c r="E6115" t="s">
        <v>18467</v>
      </c>
      <c r="F6115" t="s">
        <v>18468</v>
      </c>
      <c r="I6115" t="s">
        <v>29</v>
      </c>
      <c r="J6115" t="s">
        <v>30</v>
      </c>
      <c r="K6115" t="s">
        <v>18469</v>
      </c>
      <c r="M6115" t="s">
        <v>18470</v>
      </c>
      <c r="N6115" t="str">
        <f>"12/28/2011 1:43:00 PM"</f>
        <v>12/28/2011 1:43:00 PM</v>
      </c>
      <c r="O6115" t="s">
        <v>18466</v>
      </c>
      <c r="T6115" t="s">
        <v>18467</v>
      </c>
    </row>
    <row r="6116" spans="1:20" x14ac:dyDescent="0.25">
      <c r="A6116" t="str">
        <f>"3043168"</f>
        <v>3043168</v>
      </c>
      <c r="B6116" t="s">
        <v>18475</v>
      </c>
      <c r="C6116" t="str">
        <f>"9868000"</f>
        <v>9868000</v>
      </c>
      <c r="D6116" t="s">
        <v>18476</v>
      </c>
      <c r="E6116" t="s">
        <v>18477</v>
      </c>
      <c r="F6116" t="s">
        <v>18478</v>
      </c>
      <c r="I6116" t="s">
        <v>29</v>
      </c>
      <c r="J6116" t="s">
        <v>30</v>
      </c>
      <c r="K6116" t="s">
        <v>31</v>
      </c>
      <c r="M6116" t="s">
        <v>18479</v>
      </c>
      <c r="N6116" t="str">
        <f>"1/12/2012 12:25:00 PM"</f>
        <v>1/12/2012 12:25:00 PM</v>
      </c>
      <c r="O6116" t="s">
        <v>18476</v>
      </c>
      <c r="T6116" t="s">
        <v>18477</v>
      </c>
    </row>
    <row r="6117" spans="1:20" x14ac:dyDescent="0.25">
      <c r="A6117" t="str">
        <f>"3041984"</f>
        <v>3041984</v>
      </c>
      <c r="B6117" t="s">
        <v>18480</v>
      </c>
      <c r="C6117" t="str">
        <f>"9868000"</f>
        <v>9868000</v>
      </c>
      <c r="D6117" t="s">
        <v>18476</v>
      </c>
      <c r="E6117" t="s">
        <v>18477</v>
      </c>
      <c r="F6117" t="s">
        <v>18478</v>
      </c>
      <c r="I6117" t="s">
        <v>29</v>
      </c>
      <c r="J6117" t="s">
        <v>30</v>
      </c>
      <c r="K6117" t="s">
        <v>31</v>
      </c>
      <c r="M6117" t="s">
        <v>18479</v>
      </c>
      <c r="N6117" t="str">
        <f>"1/12/2012 12:25:00 PM"</f>
        <v>1/12/2012 12:25:00 PM</v>
      </c>
      <c r="O6117" t="s">
        <v>18476</v>
      </c>
      <c r="T6117" t="s">
        <v>18477</v>
      </c>
    </row>
    <row r="6118" spans="1:20" x14ac:dyDescent="0.25">
      <c r="A6118" t="str">
        <f>"3041998"</f>
        <v>3041998</v>
      </c>
      <c r="B6118" t="s">
        <v>18481</v>
      </c>
      <c r="C6118" t="str">
        <f>"9868000"</f>
        <v>9868000</v>
      </c>
      <c r="D6118" t="s">
        <v>18476</v>
      </c>
      <c r="E6118" t="s">
        <v>18477</v>
      </c>
      <c r="F6118" t="s">
        <v>18478</v>
      </c>
      <c r="I6118" t="s">
        <v>29</v>
      </c>
      <c r="J6118" t="s">
        <v>30</v>
      </c>
      <c r="K6118" t="s">
        <v>31</v>
      </c>
      <c r="M6118" t="s">
        <v>18479</v>
      </c>
      <c r="N6118" t="str">
        <f>"1/12/2012 12:25:00 PM"</f>
        <v>1/12/2012 12:25:00 PM</v>
      </c>
      <c r="O6118" t="s">
        <v>18476</v>
      </c>
      <c r="T6118" t="s">
        <v>18477</v>
      </c>
    </row>
    <row r="6119" spans="1:20" x14ac:dyDescent="0.25">
      <c r="A6119" t="str">
        <f>"3078152"</f>
        <v>3078152</v>
      </c>
      <c r="B6119" t="s">
        <v>18482</v>
      </c>
      <c r="C6119" t="str">
        <f>"62930000"</f>
        <v>62930000</v>
      </c>
      <c r="D6119" t="s">
        <v>18483</v>
      </c>
      <c r="F6119" t="s">
        <v>18468</v>
      </c>
      <c r="I6119" t="s">
        <v>29</v>
      </c>
      <c r="J6119" t="s">
        <v>30</v>
      </c>
      <c r="K6119" t="s">
        <v>18469</v>
      </c>
      <c r="M6119" t="s">
        <v>18470</v>
      </c>
      <c r="N6119" t="str">
        <f>"12/28/2011 1:51:00 PM"</f>
        <v>12/28/2011 1:51:00 PM</v>
      </c>
      <c r="O6119" t="s">
        <v>18483</v>
      </c>
    </row>
    <row r="6120" spans="1:20" x14ac:dyDescent="0.25">
      <c r="A6120" t="str">
        <f>"3051900"</f>
        <v>3051900</v>
      </c>
      <c r="B6120" t="s">
        <v>18484</v>
      </c>
      <c r="C6120" t="str">
        <f>"8300541"</f>
        <v>8300541</v>
      </c>
      <c r="D6120" t="s">
        <v>18485</v>
      </c>
      <c r="F6120" t="s">
        <v>18486</v>
      </c>
      <c r="I6120" t="s">
        <v>29</v>
      </c>
      <c r="J6120" t="s">
        <v>30</v>
      </c>
      <c r="K6120" t="str">
        <f>"27028"</f>
        <v>27028</v>
      </c>
      <c r="M6120" t="s">
        <v>17861</v>
      </c>
      <c r="N6120" t="str">
        <f>"12/30/2011 9:07:00 AM"</f>
        <v>12/30/2011 9:07:00 AM</v>
      </c>
      <c r="O6120" t="s">
        <v>18485</v>
      </c>
    </row>
    <row r="6121" spans="1:20" x14ac:dyDescent="0.25">
      <c r="A6121" t="str">
        <f>"3043347"</f>
        <v>3043347</v>
      </c>
      <c r="B6121" t="s">
        <v>18487</v>
      </c>
      <c r="C6121" t="str">
        <f>"8300543"</f>
        <v>8300543</v>
      </c>
      <c r="D6121" t="s">
        <v>18488</v>
      </c>
      <c r="F6121" t="s">
        <v>18489</v>
      </c>
      <c r="I6121" t="s">
        <v>29</v>
      </c>
      <c r="J6121" t="s">
        <v>30</v>
      </c>
      <c r="K6121" t="str">
        <f>"27028"</f>
        <v>27028</v>
      </c>
      <c r="M6121" t="s">
        <v>17861</v>
      </c>
      <c r="N6121" t="str">
        <f>"12/30/2011 12:52:00 PM"</f>
        <v>12/30/2011 12:52:00 PM</v>
      </c>
      <c r="O6121" t="s">
        <v>18488</v>
      </c>
    </row>
    <row r="6122" spans="1:20" x14ac:dyDescent="0.25">
      <c r="A6122" t="str">
        <f>"3047434"</f>
        <v>3047434</v>
      </c>
      <c r="B6122" t="s">
        <v>18490</v>
      </c>
      <c r="C6122" t="str">
        <f>"8300546"</f>
        <v>8300546</v>
      </c>
      <c r="D6122" t="s">
        <v>18491</v>
      </c>
      <c r="E6122" t="s">
        <v>18492</v>
      </c>
      <c r="F6122" t="s">
        <v>18493</v>
      </c>
      <c r="I6122" t="s">
        <v>29</v>
      </c>
      <c r="J6122" t="s">
        <v>30</v>
      </c>
      <c r="K6122" t="str">
        <f>"27028"</f>
        <v>27028</v>
      </c>
      <c r="M6122" t="s">
        <v>17861</v>
      </c>
      <c r="N6122" t="str">
        <f>"12/30/2011 2:01:00 PM"</f>
        <v>12/30/2011 2:01:00 PM</v>
      </c>
      <c r="O6122" t="s">
        <v>18491</v>
      </c>
      <c r="T6122" t="s">
        <v>18492</v>
      </c>
    </row>
    <row r="6123" spans="1:20" x14ac:dyDescent="0.25">
      <c r="A6123" t="str">
        <f>"3060194"</f>
        <v>3060194</v>
      </c>
      <c r="B6123" t="s">
        <v>18494</v>
      </c>
      <c r="C6123" t="str">
        <f>"8044000"</f>
        <v>8044000</v>
      </c>
      <c r="D6123" t="s">
        <v>18495</v>
      </c>
      <c r="E6123" t="s">
        <v>18496</v>
      </c>
      <c r="F6123" t="s">
        <v>18497</v>
      </c>
      <c r="I6123" t="s">
        <v>29</v>
      </c>
      <c r="J6123" t="s">
        <v>30</v>
      </c>
      <c r="K6123" t="s">
        <v>1505</v>
      </c>
      <c r="M6123" t="s">
        <v>18479</v>
      </c>
      <c r="N6123" t="str">
        <f>"1/17/2012 9:10:00 AM"</f>
        <v>1/17/2012 9:10:00 AM</v>
      </c>
      <c r="O6123" t="s">
        <v>18495</v>
      </c>
      <c r="T6123" t="s">
        <v>18496</v>
      </c>
    </row>
    <row r="6124" spans="1:20" x14ac:dyDescent="0.25">
      <c r="A6124" t="str">
        <f>"3048288"</f>
        <v>3048288</v>
      </c>
      <c r="B6124" t="s">
        <v>18498</v>
      </c>
      <c r="C6124" t="str">
        <f>"8300546"</f>
        <v>8300546</v>
      </c>
      <c r="D6124" t="s">
        <v>18491</v>
      </c>
      <c r="E6124" t="s">
        <v>18492</v>
      </c>
      <c r="F6124" t="s">
        <v>18493</v>
      </c>
      <c r="I6124" t="s">
        <v>29</v>
      </c>
      <c r="J6124" t="s">
        <v>30</v>
      </c>
      <c r="K6124" t="str">
        <f>"27028"</f>
        <v>27028</v>
      </c>
      <c r="M6124" t="s">
        <v>17861</v>
      </c>
      <c r="N6124" t="str">
        <f>"12/30/2011 2:01:00 PM"</f>
        <v>12/30/2011 2:01:00 PM</v>
      </c>
      <c r="O6124" t="s">
        <v>18491</v>
      </c>
      <c r="T6124" t="s">
        <v>18492</v>
      </c>
    </row>
    <row r="6125" spans="1:20" x14ac:dyDescent="0.25">
      <c r="A6125" t="str">
        <f>"3040094"</f>
        <v>3040094</v>
      </c>
      <c r="B6125" t="s">
        <v>18499</v>
      </c>
      <c r="C6125" t="str">
        <f>"19024000"</f>
        <v>19024000</v>
      </c>
      <c r="D6125" t="s">
        <v>18500</v>
      </c>
      <c r="E6125" t="s">
        <v>18501</v>
      </c>
      <c r="F6125" t="s">
        <v>18502</v>
      </c>
      <c r="I6125" t="s">
        <v>29</v>
      </c>
      <c r="J6125" t="s">
        <v>30</v>
      </c>
      <c r="K6125" t="str">
        <f>"27028"</f>
        <v>27028</v>
      </c>
      <c r="M6125" t="s">
        <v>18470</v>
      </c>
      <c r="N6125" t="str">
        <f>"12/13/2011 1:12:00 PM"</f>
        <v>12/13/2011 1:12:00 PM</v>
      </c>
      <c r="O6125" t="s">
        <v>18500</v>
      </c>
      <c r="T6125" t="s">
        <v>18501</v>
      </c>
    </row>
    <row r="6126" spans="1:20" x14ac:dyDescent="0.25">
      <c r="A6126" t="str">
        <f>"3045009"</f>
        <v>3045009</v>
      </c>
      <c r="B6126" t="s">
        <v>18503</v>
      </c>
      <c r="C6126" t="str">
        <f>"82532155"</f>
        <v>82532155</v>
      </c>
      <c r="D6126" t="s">
        <v>18504</v>
      </c>
      <c r="E6126" t="s">
        <v>18505</v>
      </c>
      <c r="F6126" t="s">
        <v>18506</v>
      </c>
      <c r="I6126" t="s">
        <v>29</v>
      </c>
      <c r="J6126" t="s">
        <v>30</v>
      </c>
      <c r="K6126" t="s">
        <v>31</v>
      </c>
      <c r="M6126" t="s">
        <v>18479</v>
      </c>
      <c r="N6126" t="str">
        <f>"1/17/2012 9:59:00 AM"</f>
        <v>1/17/2012 9:59:00 AM</v>
      </c>
      <c r="O6126" t="s">
        <v>18504</v>
      </c>
      <c r="T6126" t="s">
        <v>18505</v>
      </c>
    </row>
    <row r="6127" spans="1:20" x14ac:dyDescent="0.25">
      <c r="A6127" t="str">
        <f>"3045483"</f>
        <v>3045483</v>
      </c>
      <c r="B6127" t="s">
        <v>18507</v>
      </c>
      <c r="C6127" t="str">
        <f>"82532155"</f>
        <v>82532155</v>
      </c>
      <c r="D6127" t="s">
        <v>18504</v>
      </c>
      <c r="E6127" t="s">
        <v>18505</v>
      </c>
      <c r="F6127" t="s">
        <v>18506</v>
      </c>
      <c r="I6127" t="s">
        <v>29</v>
      </c>
      <c r="J6127" t="s">
        <v>30</v>
      </c>
      <c r="K6127" t="s">
        <v>31</v>
      </c>
      <c r="M6127" t="s">
        <v>18479</v>
      </c>
      <c r="N6127" t="str">
        <f>"1/17/2012 9:59:00 AM"</f>
        <v>1/17/2012 9:59:00 AM</v>
      </c>
      <c r="O6127" t="s">
        <v>18504</v>
      </c>
      <c r="T6127" t="s">
        <v>18505</v>
      </c>
    </row>
    <row r="6128" spans="1:20" x14ac:dyDescent="0.25">
      <c r="A6128" t="str">
        <f>"3040104"</f>
        <v>3040104</v>
      </c>
      <c r="B6128" t="s">
        <v>18508</v>
      </c>
      <c r="C6128" t="str">
        <f>"19024000"</f>
        <v>19024000</v>
      </c>
      <c r="D6128" t="s">
        <v>18500</v>
      </c>
      <c r="E6128" t="s">
        <v>18501</v>
      </c>
      <c r="F6128" t="s">
        <v>18502</v>
      </c>
      <c r="I6128" t="s">
        <v>29</v>
      </c>
      <c r="J6128" t="s">
        <v>30</v>
      </c>
      <c r="K6128" t="str">
        <f>"27028"</f>
        <v>27028</v>
      </c>
      <c r="M6128" t="s">
        <v>18470</v>
      </c>
      <c r="N6128" t="str">
        <f>"12/13/2011 1:12:00 PM"</f>
        <v>12/13/2011 1:12:00 PM</v>
      </c>
      <c r="O6128" t="s">
        <v>18500</v>
      </c>
      <c r="T6128" t="s">
        <v>18501</v>
      </c>
    </row>
    <row r="6129" spans="1:20" x14ac:dyDescent="0.25">
      <c r="A6129" t="str">
        <f>"3037943"</f>
        <v>3037943</v>
      </c>
      <c r="B6129" t="s">
        <v>18509</v>
      </c>
      <c r="C6129" t="str">
        <f>"81502000"</f>
        <v>81502000</v>
      </c>
      <c r="D6129" t="s">
        <v>18510</v>
      </c>
      <c r="F6129" t="s">
        <v>18511</v>
      </c>
      <c r="I6129" t="s">
        <v>29</v>
      </c>
      <c r="J6129" t="s">
        <v>30</v>
      </c>
      <c r="K6129" t="s">
        <v>18512</v>
      </c>
      <c r="M6129" t="s">
        <v>18513</v>
      </c>
      <c r="N6129" t="str">
        <f>"12/9/2011 10:28:00 AM"</f>
        <v>12/9/2011 10:28:00 AM</v>
      </c>
      <c r="O6129" t="s">
        <v>18510</v>
      </c>
    </row>
    <row r="6130" spans="1:20" x14ac:dyDescent="0.25">
      <c r="A6130" t="str">
        <f>"3061910"</f>
        <v>3061910</v>
      </c>
      <c r="B6130" t="s">
        <v>18514</v>
      </c>
      <c r="C6130" t="str">
        <f>"16079930"</f>
        <v>16079930</v>
      </c>
      <c r="D6130" t="s">
        <v>18515</v>
      </c>
      <c r="F6130" t="s">
        <v>18516</v>
      </c>
      <c r="I6130" t="s">
        <v>29</v>
      </c>
      <c r="J6130" t="s">
        <v>30</v>
      </c>
      <c r="K6130" t="s">
        <v>31</v>
      </c>
      <c r="M6130" t="s">
        <v>18513</v>
      </c>
      <c r="N6130" t="str">
        <f>"1/18/2012 10:54:00 AM"</f>
        <v>1/18/2012 10:54:00 AM</v>
      </c>
      <c r="O6130" t="s">
        <v>18515</v>
      </c>
    </row>
    <row r="6131" spans="1:20" x14ac:dyDescent="0.25">
      <c r="A6131" t="str">
        <f>"3058924"</f>
        <v>3058924</v>
      </c>
      <c r="B6131" t="s">
        <v>18517</v>
      </c>
      <c r="C6131" t="str">
        <f>"980000"</f>
        <v>980000</v>
      </c>
      <c r="D6131" t="s">
        <v>18518</v>
      </c>
      <c r="E6131" t="s">
        <v>18519</v>
      </c>
      <c r="F6131" t="s">
        <v>18520</v>
      </c>
      <c r="I6131" t="s">
        <v>29</v>
      </c>
      <c r="J6131" t="s">
        <v>30</v>
      </c>
      <c r="K6131" t="s">
        <v>18521</v>
      </c>
      <c r="M6131" t="s">
        <v>18479</v>
      </c>
      <c r="N6131" t="str">
        <f>"1/18/2012 12:09:00 PM"</f>
        <v>1/18/2012 12:09:00 PM</v>
      </c>
      <c r="O6131" t="s">
        <v>18518</v>
      </c>
      <c r="T6131" t="s">
        <v>18519</v>
      </c>
    </row>
    <row r="6132" spans="1:20" x14ac:dyDescent="0.25">
      <c r="A6132" t="str">
        <f>"3057412"</f>
        <v>3057412</v>
      </c>
      <c r="B6132" t="s">
        <v>18522</v>
      </c>
      <c r="C6132" t="str">
        <f>"980000"</f>
        <v>980000</v>
      </c>
      <c r="D6132" t="s">
        <v>18518</v>
      </c>
      <c r="E6132" t="s">
        <v>18519</v>
      </c>
      <c r="F6132" t="s">
        <v>18520</v>
      </c>
      <c r="I6132" t="s">
        <v>29</v>
      </c>
      <c r="J6132" t="s">
        <v>30</v>
      </c>
      <c r="K6132" t="s">
        <v>18521</v>
      </c>
      <c r="M6132" t="s">
        <v>18479</v>
      </c>
      <c r="N6132" t="str">
        <f>"1/18/2012 12:09:00 PM"</f>
        <v>1/18/2012 12:09:00 PM</v>
      </c>
      <c r="O6132" t="s">
        <v>18518</v>
      </c>
      <c r="T6132" t="s">
        <v>18519</v>
      </c>
    </row>
    <row r="6133" spans="1:20" x14ac:dyDescent="0.25">
      <c r="A6133" t="str">
        <f>"3060119"</f>
        <v>3060119</v>
      </c>
      <c r="B6133" t="s">
        <v>18523</v>
      </c>
      <c r="C6133" t="str">
        <f>"82513003"</f>
        <v>82513003</v>
      </c>
      <c r="D6133" t="s">
        <v>18524</v>
      </c>
      <c r="E6133" t="s">
        <v>18525</v>
      </c>
      <c r="F6133" t="s">
        <v>18526</v>
      </c>
      <c r="I6133" t="s">
        <v>184</v>
      </c>
      <c r="J6133" t="s">
        <v>30</v>
      </c>
      <c r="K6133" t="s">
        <v>10767</v>
      </c>
      <c r="M6133" t="s">
        <v>18479</v>
      </c>
      <c r="N6133" t="str">
        <f>"1/18/2012 12:11:00 PM"</f>
        <v>1/18/2012 12:11:00 PM</v>
      </c>
      <c r="O6133" t="s">
        <v>18524</v>
      </c>
      <c r="T6133" t="s">
        <v>18525</v>
      </c>
    </row>
    <row r="6134" spans="1:20" x14ac:dyDescent="0.25">
      <c r="A6134" t="str">
        <f>"3037841"</f>
        <v>3037841</v>
      </c>
      <c r="B6134" t="s">
        <v>18527</v>
      </c>
      <c r="C6134" t="str">
        <f>"81502000"</f>
        <v>81502000</v>
      </c>
      <c r="D6134" t="s">
        <v>18510</v>
      </c>
      <c r="F6134" t="s">
        <v>18511</v>
      </c>
      <c r="I6134" t="s">
        <v>29</v>
      </c>
      <c r="J6134" t="s">
        <v>30</v>
      </c>
      <c r="K6134" t="s">
        <v>18512</v>
      </c>
      <c r="M6134" t="s">
        <v>18513</v>
      </c>
      <c r="N6134" t="str">
        <f>"12/9/2011 10:28:00 AM"</f>
        <v>12/9/2011 10:28:00 AM</v>
      </c>
      <c r="O6134" t="s">
        <v>18510</v>
      </c>
    </row>
    <row r="6135" spans="1:20" x14ac:dyDescent="0.25">
      <c r="A6135" t="str">
        <f>"3055499"</f>
        <v>3055499</v>
      </c>
      <c r="B6135" t="s">
        <v>18528</v>
      </c>
      <c r="C6135" t="str">
        <f>"82517289"</f>
        <v>82517289</v>
      </c>
      <c r="D6135" t="s">
        <v>18529</v>
      </c>
      <c r="E6135" t="s">
        <v>18530</v>
      </c>
      <c r="F6135" t="s">
        <v>18531</v>
      </c>
      <c r="I6135" t="s">
        <v>29</v>
      </c>
      <c r="J6135" t="s">
        <v>30</v>
      </c>
      <c r="K6135" t="s">
        <v>31</v>
      </c>
      <c r="M6135" t="s">
        <v>17861</v>
      </c>
      <c r="N6135" t="str">
        <f>"12/7/2011 2:33:00 PM"</f>
        <v>12/7/2011 2:33:00 PM</v>
      </c>
      <c r="O6135" t="s">
        <v>18529</v>
      </c>
      <c r="T6135" t="s">
        <v>18530</v>
      </c>
    </row>
    <row r="6136" spans="1:20" x14ac:dyDescent="0.25">
      <c r="A6136" t="str">
        <f>"3054212"</f>
        <v>3054212</v>
      </c>
      <c r="B6136" t="s">
        <v>18532</v>
      </c>
      <c r="C6136" t="str">
        <f>"82533097"</f>
        <v>82533097</v>
      </c>
      <c r="D6136" t="s">
        <v>18533</v>
      </c>
      <c r="F6136" t="s">
        <v>18534</v>
      </c>
      <c r="I6136" t="s">
        <v>29</v>
      </c>
      <c r="J6136" t="s">
        <v>30</v>
      </c>
      <c r="K6136" t="str">
        <f>"27028"</f>
        <v>27028</v>
      </c>
      <c r="M6136" t="s">
        <v>17861</v>
      </c>
      <c r="N6136" t="str">
        <f>"12/6/2011 10:23:00 AM"</f>
        <v>12/6/2011 10:23:00 AM</v>
      </c>
      <c r="O6136" t="s">
        <v>18533</v>
      </c>
    </row>
    <row r="6137" spans="1:20" x14ac:dyDescent="0.25">
      <c r="A6137" t="str">
        <f>"3049587"</f>
        <v>3049587</v>
      </c>
      <c r="B6137" t="s">
        <v>18535</v>
      </c>
      <c r="C6137" t="str">
        <f>"82533096"</f>
        <v>82533096</v>
      </c>
      <c r="D6137" t="s">
        <v>18536</v>
      </c>
      <c r="F6137" t="s">
        <v>18537</v>
      </c>
      <c r="I6137" t="s">
        <v>29</v>
      </c>
      <c r="J6137" t="s">
        <v>30</v>
      </c>
      <c r="K6137" t="str">
        <f>"27028"</f>
        <v>27028</v>
      </c>
      <c r="M6137" t="s">
        <v>17861</v>
      </c>
      <c r="N6137" t="str">
        <f>"12/6/2011 9:54:00 AM"</f>
        <v>12/6/2011 9:54:00 AM</v>
      </c>
      <c r="O6137" t="s">
        <v>18536</v>
      </c>
    </row>
    <row r="6138" spans="1:20" x14ac:dyDescent="0.25">
      <c r="A6138" t="str">
        <f>"3045678"</f>
        <v>3045678</v>
      </c>
      <c r="B6138" t="s">
        <v>18538</v>
      </c>
      <c r="C6138" t="str">
        <f>"82533079"</f>
        <v>82533079</v>
      </c>
      <c r="D6138" t="s">
        <v>18539</v>
      </c>
      <c r="E6138" t="s">
        <v>18540</v>
      </c>
      <c r="F6138" t="s">
        <v>18541</v>
      </c>
      <c r="I6138" t="s">
        <v>29</v>
      </c>
      <c r="J6138" t="s">
        <v>30</v>
      </c>
      <c r="K6138" t="str">
        <f>"27028"</f>
        <v>27028</v>
      </c>
      <c r="M6138" t="s">
        <v>17861</v>
      </c>
      <c r="N6138" t="str">
        <f>"12/2/2011 8:54:00 AM"</f>
        <v>12/2/2011 8:54:00 AM</v>
      </c>
      <c r="O6138" t="s">
        <v>18539</v>
      </c>
      <c r="T6138" t="s">
        <v>18540</v>
      </c>
    </row>
    <row r="6139" spans="1:20" x14ac:dyDescent="0.25">
      <c r="A6139" t="str">
        <f>"3045352"</f>
        <v>3045352</v>
      </c>
      <c r="B6139" t="s">
        <v>18542</v>
      </c>
      <c r="C6139" t="str">
        <f>"36868220"</f>
        <v>36868220</v>
      </c>
      <c r="D6139" t="s">
        <v>18543</v>
      </c>
      <c r="F6139" t="s">
        <v>18544</v>
      </c>
      <c r="I6139" t="s">
        <v>29</v>
      </c>
      <c r="J6139" t="s">
        <v>30</v>
      </c>
      <c r="K6139" t="s">
        <v>31</v>
      </c>
      <c r="M6139" t="s">
        <v>18513</v>
      </c>
      <c r="N6139" t="str">
        <f>"1/18/2012 4:45:00 PM"</f>
        <v>1/18/2012 4:45:00 PM</v>
      </c>
      <c r="O6139" t="s">
        <v>18543</v>
      </c>
    </row>
    <row r="6140" spans="1:20" x14ac:dyDescent="0.25">
      <c r="A6140" t="str">
        <f>"3044781"</f>
        <v>3044781</v>
      </c>
      <c r="B6140" t="s">
        <v>18545</v>
      </c>
      <c r="C6140" t="str">
        <f>"82533052"</f>
        <v>82533052</v>
      </c>
      <c r="D6140" t="s">
        <v>18546</v>
      </c>
      <c r="E6140" t="s">
        <v>18547</v>
      </c>
      <c r="F6140" t="s">
        <v>18548</v>
      </c>
      <c r="I6140" t="s">
        <v>184</v>
      </c>
      <c r="J6140" t="s">
        <v>30</v>
      </c>
      <c r="K6140" t="str">
        <f>"27006"</f>
        <v>27006</v>
      </c>
      <c r="M6140" t="s">
        <v>17861</v>
      </c>
      <c r="N6140" t="str">
        <f>"11/15/2011 10:38:00 AM"</f>
        <v>11/15/2011 10:38:00 AM</v>
      </c>
      <c r="O6140" t="s">
        <v>18546</v>
      </c>
      <c r="T6140" t="s">
        <v>18547</v>
      </c>
    </row>
    <row r="6141" spans="1:20" x14ac:dyDescent="0.25">
      <c r="A6141" t="str">
        <f>"3046102"</f>
        <v>3046102</v>
      </c>
      <c r="B6141" t="s">
        <v>18549</v>
      </c>
      <c r="C6141" t="str">
        <f>"82533057"</f>
        <v>82533057</v>
      </c>
      <c r="D6141" t="s">
        <v>18550</v>
      </c>
      <c r="F6141" t="s">
        <v>18551</v>
      </c>
      <c r="I6141" t="s">
        <v>29</v>
      </c>
      <c r="J6141" t="s">
        <v>30</v>
      </c>
      <c r="K6141" t="str">
        <f>"27028"</f>
        <v>27028</v>
      </c>
      <c r="M6141" t="s">
        <v>18479</v>
      </c>
      <c r="N6141" t="str">
        <f>"1/19/2012 9:08:00 AM"</f>
        <v>1/19/2012 9:08:00 AM</v>
      </c>
      <c r="O6141" t="s">
        <v>18550</v>
      </c>
    </row>
    <row r="6142" spans="1:20" x14ac:dyDescent="0.25">
      <c r="A6142" t="str">
        <f>"3044183"</f>
        <v>3044183</v>
      </c>
      <c r="B6142" t="s">
        <v>18552</v>
      </c>
      <c r="C6142" t="str">
        <f>"73286500"</f>
        <v>73286500</v>
      </c>
      <c r="D6142" t="s">
        <v>18553</v>
      </c>
      <c r="F6142" t="s">
        <v>18554</v>
      </c>
      <c r="I6142" t="s">
        <v>184</v>
      </c>
      <c r="J6142" t="s">
        <v>30</v>
      </c>
      <c r="K6142" t="s">
        <v>185</v>
      </c>
      <c r="M6142" t="s">
        <v>18513</v>
      </c>
      <c r="N6142" t="str">
        <f>"1/19/2012 9:34:00 AM"</f>
        <v>1/19/2012 9:34:00 AM</v>
      </c>
      <c r="O6142" t="s">
        <v>18553</v>
      </c>
    </row>
    <row r="6143" spans="1:20" x14ac:dyDescent="0.25">
      <c r="A6143" t="str">
        <f>"3061631"</f>
        <v>3061631</v>
      </c>
      <c r="B6143" t="s">
        <v>18555</v>
      </c>
      <c r="C6143" t="str">
        <f>"82523864"</f>
        <v>82523864</v>
      </c>
      <c r="D6143" t="s">
        <v>18556</v>
      </c>
      <c r="E6143" t="s">
        <v>18557</v>
      </c>
      <c r="G6143" t="s">
        <v>18558</v>
      </c>
      <c r="I6143" t="s">
        <v>29</v>
      </c>
      <c r="J6143" t="s">
        <v>30</v>
      </c>
      <c r="K6143" t="s">
        <v>31</v>
      </c>
      <c r="M6143" t="s">
        <v>18513</v>
      </c>
      <c r="N6143" t="str">
        <f>"1/19/2012 10:17:00 AM"</f>
        <v>1/19/2012 10:17:00 AM</v>
      </c>
      <c r="O6143" t="s">
        <v>18556</v>
      </c>
      <c r="T6143" t="s">
        <v>18557</v>
      </c>
    </row>
    <row r="6144" spans="1:20" x14ac:dyDescent="0.25">
      <c r="A6144" t="str">
        <f>"3063911"</f>
        <v>3063911</v>
      </c>
      <c r="B6144" t="s">
        <v>18559</v>
      </c>
      <c r="C6144" t="str">
        <f>"2516000"</f>
        <v>2516000</v>
      </c>
      <c r="D6144" t="s">
        <v>18560</v>
      </c>
      <c r="E6144" t="s">
        <v>18561</v>
      </c>
      <c r="F6144" t="s">
        <v>18562</v>
      </c>
      <c r="I6144" t="s">
        <v>184</v>
      </c>
      <c r="J6144" t="s">
        <v>30</v>
      </c>
      <c r="K6144" t="s">
        <v>185</v>
      </c>
      <c r="M6144" t="s">
        <v>18479</v>
      </c>
      <c r="N6144" t="str">
        <f>"1/19/2012 10:36:00 AM"</f>
        <v>1/19/2012 10:36:00 AM</v>
      </c>
      <c r="O6144" t="s">
        <v>18560</v>
      </c>
      <c r="T6144" t="s">
        <v>18561</v>
      </c>
    </row>
    <row r="6145" spans="1:20" x14ac:dyDescent="0.25">
      <c r="A6145" t="str">
        <f>"3042061"</f>
        <v>3042061</v>
      </c>
      <c r="B6145" t="s">
        <v>18563</v>
      </c>
      <c r="C6145" t="str">
        <f>"2516000"</f>
        <v>2516000</v>
      </c>
      <c r="D6145" t="s">
        <v>18560</v>
      </c>
      <c r="E6145" t="s">
        <v>18561</v>
      </c>
      <c r="F6145" t="s">
        <v>18562</v>
      </c>
      <c r="I6145" t="s">
        <v>184</v>
      </c>
      <c r="J6145" t="s">
        <v>30</v>
      </c>
      <c r="K6145" t="s">
        <v>185</v>
      </c>
      <c r="M6145" t="s">
        <v>18479</v>
      </c>
      <c r="N6145" t="str">
        <f>"1/19/2012 10:36:00 AM"</f>
        <v>1/19/2012 10:36:00 AM</v>
      </c>
      <c r="O6145" t="s">
        <v>18560</v>
      </c>
      <c r="T6145" t="s">
        <v>18561</v>
      </c>
    </row>
    <row r="6146" spans="1:20" x14ac:dyDescent="0.25">
      <c r="A6146" t="str">
        <f>"3041970"</f>
        <v>3041970</v>
      </c>
      <c r="B6146" t="s">
        <v>18564</v>
      </c>
      <c r="C6146" t="str">
        <f>"2516000"</f>
        <v>2516000</v>
      </c>
      <c r="D6146" t="s">
        <v>18560</v>
      </c>
      <c r="E6146" t="s">
        <v>18561</v>
      </c>
      <c r="F6146" t="s">
        <v>18562</v>
      </c>
      <c r="I6146" t="s">
        <v>184</v>
      </c>
      <c r="J6146" t="s">
        <v>30</v>
      </c>
      <c r="K6146" t="s">
        <v>185</v>
      </c>
      <c r="M6146" t="s">
        <v>18479</v>
      </c>
      <c r="N6146" t="str">
        <f>"1/19/2012 10:36:00 AM"</f>
        <v>1/19/2012 10:36:00 AM</v>
      </c>
      <c r="O6146" t="s">
        <v>18560</v>
      </c>
      <c r="T6146" t="s">
        <v>18561</v>
      </c>
    </row>
    <row r="6147" spans="1:20" x14ac:dyDescent="0.25">
      <c r="A6147" t="str">
        <f>"3056785"</f>
        <v>3056785</v>
      </c>
      <c r="B6147" t="s">
        <v>18565</v>
      </c>
      <c r="C6147" t="str">
        <f>"54016000"</f>
        <v>54016000</v>
      </c>
      <c r="D6147" t="s">
        <v>18566</v>
      </c>
      <c r="E6147" t="s">
        <v>18567</v>
      </c>
      <c r="F6147" t="s">
        <v>18568</v>
      </c>
      <c r="I6147" t="s">
        <v>18569</v>
      </c>
      <c r="J6147" t="s">
        <v>3737</v>
      </c>
      <c r="K6147" t="s">
        <v>18570</v>
      </c>
      <c r="M6147" t="s">
        <v>18513</v>
      </c>
      <c r="N6147" t="str">
        <f>"1/19/2012 10:40:00 AM"</f>
        <v>1/19/2012 10:40:00 AM</v>
      </c>
      <c r="O6147" t="s">
        <v>18566</v>
      </c>
      <c r="T6147" t="s">
        <v>18567</v>
      </c>
    </row>
    <row r="6148" spans="1:20" x14ac:dyDescent="0.25">
      <c r="A6148" t="str">
        <f>"3056486"</f>
        <v>3056486</v>
      </c>
      <c r="B6148" t="s">
        <v>18571</v>
      </c>
      <c r="C6148" t="str">
        <f>"82519233"</f>
        <v>82519233</v>
      </c>
      <c r="D6148" t="s">
        <v>18572</v>
      </c>
      <c r="E6148" t="s">
        <v>18573</v>
      </c>
      <c r="F6148" t="s">
        <v>18574</v>
      </c>
      <c r="I6148" t="s">
        <v>29</v>
      </c>
      <c r="J6148" t="s">
        <v>30</v>
      </c>
      <c r="K6148" t="s">
        <v>31</v>
      </c>
      <c r="M6148" t="s">
        <v>18513</v>
      </c>
      <c r="N6148" t="str">
        <f>"1/19/2012 10:53:00 AM"</f>
        <v>1/19/2012 10:53:00 AM</v>
      </c>
      <c r="O6148" t="s">
        <v>18572</v>
      </c>
      <c r="T6148" t="s">
        <v>18573</v>
      </c>
    </row>
    <row r="6149" spans="1:20" x14ac:dyDescent="0.25">
      <c r="A6149" t="str">
        <f>"3039055"</f>
        <v>3039055</v>
      </c>
      <c r="B6149" t="s">
        <v>18575</v>
      </c>
      <c r="C6149" t="str">
        <f>"82531289"</f>
        <v>82531289</v>
      </c>
      <c r="D6149" t="s">
        <v>18576</v>
      </c>
      <c r="F6149" t="s">
        <v>17570</v>
      </c>
      <c r="I6149" t="s">
        <v>184</v>
      </c>
      <c r="J6149" t="s">
        <v>30</v>
      </c>
      <c r="K6149" t="s">
        <v>185</v>
      </c>
      <c r="M6149" t="s">
        <v>18577</v>
      </c>
      <c r="N6149" t="str">
        <f>"1/3/2012 12:42:00 PM"</f>
        <v>1/3/2012 12:42:00 PM</v>
      </c>
      <c r="O6149" t="s">
        <v>18576</v>
      </c>
    </row>
    <row r="6150" spans="1:20" x14ac:dyDescent="0.25">
      <c r="A6150" t="str">
        <f>"3053857"</f>
        <v>3053857</v>
      </c>
      <c r="B6150" t="s">
        <v>18578</v>
      </c>
      <c r="C6150" t="str">
        <f>"8300564"</f>
        <v>8300564</v>
      </c>
      <c r="D6150" t="s">
        <v>18579</v>
      </c>
      <c r="E6150" t="s">
        <v>18580</v>
      </c>
      <c r="F6150" t="s">
        <v>18581</v>
      </c>
      <c r="I6150" t="s">
        <v>29</v>
      </c>
      <c r="J6150" t="s">
        <v>30</v>
      </c>
      <c r="K6150" t="str">
        <f>"27028"</f>
        <v>27028</v>
      </c>
      <c r="M6150" t="s">
        <v>17861</v>
      </c>
      <c r="N6150" t="str">
        <f>"1/5/2012 9:18:00 AM"</f>
        <v>1/5/2012 9:18:00 AM</v>
      </c>
      <c r="O6150" t="s">
        <v>18579</v>
      </c>
      <c r="T6150" t="s">
        <v>18580</v>
      </c>
    </row>
    <row r="6151" spans="1:20" x14ac:dyDescent="0.25">
      <c r="A6151" t="str">
        <f>"3044204"</f>
        <v>3044204</v>
      </c>
      <c r="B6151" t="s">
        <v>18582</v>
      </c>
      <c r="C6151" t="str">
        <f>"7307500"</f>
        <v>7307500</v>
      </c>
      <c r="D6151" t="s">
        <v>18583</v>
      </c>
      <c r="E6151" t="s">
        <v>18584</v>
      </c>
      <c r="F6151" t="s">
        <v>16939</v>
      </c>
      <c r="I6151" t="s">
        <v>184</v>
      </c>
      <c r="J6151" t="s">
        <v>30</v>
      </c>
      <c r="K6151" t="s">
        <v>8944</v>
      </c>
      <c r="M6151" t="s">
        <v>17861</v>
      </c>
      <c r="N6151" t="str">
        <f>"1/9/2012 1:56:00 PM"</f>
        <v>1/9/2012 1:56:00 PM</v>
      </c>
      <c r="O6151" t="s">
        <v>18583</v>
      </c>
      <c r="T6151" t="s">
        <v>18584</v>
      </c>
    </row>
    <row r="6152" spans="1:20" x14ac:dyDescent="0.25">
      <c r="A6152" t="str">
        <f>"3039529"</f>
        <v>3039529</v>
      </c>
      <c r="B6152" t="s">
        <v>18585</v>
      </c>
      <c r="C6152" t="str">
        <f>"356000"</f>
        <v>356000</v>
      </c>
      <c r="D6152" t="s">
        <v>18586</v>
      </c>
      <c r="E6152" t="s">
        <v>18587</v>
      </c>
      <c r="F6152" t="s">
        <v>18588</v>
      </c>
      <c r="I6152" t="s">
        <v>184</v>
      </c>
      <c r="J6152" t="s">
        <v>30</v>
      </c>
      <c r="K6152" t="s">
        <v>663</v>
      </c>
      <c r="M6152" t="s">
        <v>18479</v>
      </c>
      <c r="N6152" t="str">
        <f>"1/11/2012 10:47:00 AM"</f>
        <v>1/11/2012 10:47:00 AM</v>
      </c>
      <c r="O6152" t="s">
        <v>18586</v>
      </c>
      <c r="T6152" t="s">
        <v>18587</v>
      </c>
    </row>
    <row r="6153" spans="1:20" x14ac:dyDescent="0.25">
      <c r="A6153" t="str">
        <f>"3048340"</f>
        <v>3048340</v>
      </c>
      <c r="B6153" t="s">
        <v>18589</v>
      </c>
      <c r="C6153" t="str">
        <f t="shared" ref="C6153:C6159" si="92">"82532857"</f>
        <v>82532857</v>
      </c>
      <c r="D6153" t="s">
        <v>18590</v>
      </c>
      <c r="F6153" t="s">
        <v>18591</v>
      </c>
      <c r="I6153" t="s">
        <v>184</v>
      </c>
      <c r="J6153" t="s">
        <v>30</v>
      </c>
      <c r="K6153" t="s">
        <v>185</v>
      </c>
      <c r="M6153" t="s">
        <v>18479</v>
      </c>
      <c r="N6153" t="str">
        <f t="shared" ref="N6153:N6159" si="93">"1/19/2012 4:01:00 PM"</f>
        <v>1/19/2012 4:01:00 PM</v>
      </c>
      <c r="O6153" t="s">
        <v>18590</v>
      </c>
    </row>
    <row r="6154" spans="1:20" x14ac:dyDescent="0.25">
      <c r="A6154" t="str">
        <f>"3047419"</f>
        <v>3047419</v>
      </c>
      <c r="B6154" t="s">
        <v>18592</v>
      </c>
      <c r="C6154" t="str">
        <f t="shared" si="92"/>
        <v>82532857</v>
      </c>
      <c r="D6154" t="s">
        <v>18590</v>
      </c>
      <c r="F6154" t="s">
        <v>18591</v>
      </c>
      <c r="I6154" t="s">
        <v>184</v>
      </c>
      <c r="J6154" t="s">
        <v>30</v>
      </c>
      <c r="K6154" t="s">
        <v>185</v>
      </c>
      <c r="M6154" t="s">
        <v>18479</v>
      </c>
      <c r="N6154" t="str">
        <f t="shared" si="93"/>
        <v>1/19/2012 4:01:00 PM</v>
      </c>
      <c r="O6154" t="s">
        <v>18590</v>
      </c>
    </row>
    <row r="6155" spans="1:20" x14ac:dyDescent="0.25">
      <c r="A6155" t="str">
        <f>"3047824"</f>
        <v>3047824</v>
      </c>
      <c r="B6155" t="s">
        <v>18593</v>
      </c>
      <c r="C6155" t="str">
        <f t="shared" si="92"/>
        <v>82532857</v>
      </c>
      <c r="D6155" t="s">
        <v>18590</v>
      </c>
      <c r="F6155" t="s">
        <v>18591</v>
      </c>
      <c r="I6155" t="s">
        <v>184</v>
      </c>
      <c r="J6155" t="s">
        <v>30</v>
      </c>
      <c r="K6155" t="s">
        <v>185</v>
      </c>
      <c r="M6155" t="s">
        <v>18479</v>
      </c>
      <c r="N6155" t="str">
        <f t="shared" si="93"/>
        <v>1/19/2012 4:01:00 PM</v>
      </c>
      <c r="O6155" t="s">
        <v>18590</v>
      </c>
    </row>
    <row r="6156" spans="1:20" x14ac:dyDescent="0.25">
      <c r="A6156" t="str">
        <f>"3047774"</f>
        <v>3047774</v>
      </c>
      <c r="B6156" t="s">
        <v>18594</v>
      </c>
      <c r="C6156" t="str">
        <f t="shared" si="92"/>
        <v>82532857</v>
      </c>
      <c r="D6156" t="s">
        <v>18590</v>
      </c>
      <c r="F6156" t="s">
        <v>18591</v>
      </c>
      <c r="I6156" t="s">
        <v>184</v>
      </c>
      <c r="J6156" t="s">
        <v>30</v>
      </c>
      <c r="K6156" t="s">
        <v>185</v>
      </c>
      <c r="M6156" t="s">
        <v>18479</v>
      </c>
      <c r="N6156" t="str">
        <f t="shared" si="93"/>
        <v>1/19/2012 4:01:00 PM</v>
      </c>
      <c r="O6156" t="s">
        <v>18590</v>
      </c>
    </row>
    <row r="6157" spans="1:20" x14ac:dyDescent="0.25">
      <c r="A6157" t="str">
        <f>"3047556"</f>
        <v>3047556</v>
      </c>
      <c r="B6157" t="s">
        <v>18595</v>
      </c>
      <c r="C6157" t="str">
        <f t="shared" si="92"/>
        <v>82532857</v>
      </c>
      <c r="D6157" t="s">
        <v>18590</v>
      </c>
      <c r="F6157" t="s">
        <v>18591</v>
      </c>
      <c r="I6157" t="s">
        <v>184</v>
      </c>
      <c r="J6157" t="s">
        <v>30</v>
      </c>
      <c r="K6157" t="s">
        <v>185</v>
      </c>
      <c r="M6157" t="s">
        <v>18479</v>
      </c>
      <c r="N6157" t="str">
        <f t="shared" si="93"/>
        <v>1/19/2012 4:01:00 PM</v>
      </c>
      <c r="O6157" t="s">
        <v>18590</v>
      </c>
    </row>
    <row r="6158" spans="1:20" x14ac:dyDescent="0.25">
      <c r="A6158" t="str">
        <f>"3047536"</f>
        <v>3047536</v>
      </c>
      <c r="B6158" t="s">
        <v>18596</v>
      </c>
      <c r="C6158" t="str">
        <f t="shared" si="92"/>
        <v>82532857</v>
      </c>
      <c r="D6158" t="s">
        <v>18590</v>
      </c>
      <c r="F6158" t="s">
        <v>18591</v>
      </c>
      <c r="I6158" t="s">
        <v>184</v>
      </c>
      <c r="J6158" t="s">
        <v>30</v>
      </c>
      <c r="K6158" t="s">
        <v>185</v>
      </c>
      <c r="M6158" t="s">
        <v>18479</v>
      </c>
      <c r="N6158" t="str">
        <f t="shared" si="93"/>
        <v>1/19/2012 4:01:00 PM</v>
      </c>
      <c r="O6158" t="s">
        <v>18590</v>
      </c>
    </row>
    <row r="6159" spans="1:20" x14ac:dyDescent="0.25">
      <c r="A6159" t="str">
        <f>"3047643"</f>
        <v>3047643</v>
      </c>
      <c r="B6159" t="s">
        <v>18597</v>
      </c>
      <c r="C6159" t="str">
        <f t="shared" si="92"/>
        <v>82532857</v>
      </c>
      <c r="D6159" t="s">
        <v>18590</v>
      </c>
      <c r="F6159" t="s">
        <v>18591</v>
      </c>
      <c r="I6159" t="s">
        <v>184</v>
      </c>
      <c r="J6159" t="s">
        <v>30</v>
      </c>
      <c r="K6159" t="s">
        <v>185</v>
      </c>
      <c r="M6159" t="s">
        <v>18479</v>
      </c>
      <c r="N6159" t="str">
        <f t="shared" si="93"/>
        <v>1/19/2012 4:01:00 PM</v>
      </c>
      <c r="O6159" t="s">
        <v>18590</v>
      </c>
    </row>
    <row r="6160" spans="1:20" x14ac:dyDescent="0.25">
      <c r="A6160" t="str">
        <f>"3061161"</f>
        <v>3061161</v>
      </c>
      <c r="B6160" t="s">
        <v>18598</v>
      </c>
      <c r="C6160" t="str">
        <f>"82532493"</f>
        <v>82532493</v>
      </c>
      <c r="D6160" t="s">
        <v>18599</v>
      </c>
      <c r="F6160" t="s">
        <v>18600</v>
      </c>
      <c r="I6160" t="s">
        <v>184</v>
      </c>
      <c r="J6160" t="s">
        <v>30</v>
      </c>
      <c r="K6160" t="s">
        <v>185</v>
      </c>
      <c r="M6160" t="s">
        <v>18479</v>
      </c>
      <c r="N6160" t="str">
        <f>"1/12/2012 12:07:00 PM"</f>
        <v>1/12/2012 12:07:00 PM</v>
      </c>
      <c r="O6160" t="s">
        <v>18599</v>
      </c>
    </row>
    <row r="6161" spans="1:20" x14ac:dyDescent="0.25">
      <c r="A6161" t="str">
        <f>"3064004"</f>
        <v>3064004</v>
      </c>
      <c r="B6161" t="s">
        <v>18601</v>
      </c>
      <c r="C6161" t="str">
        <f>"9868000"</f>
        <v>9868000</v>
      </c>
      <c r="D6161" t="s">
        <v>18476</v>
      </c>
      <c r="E6161" t="s">
        <v>18477</v>
      </c>
      <c r="F6161" t="s">
        <v>18478</v>
      </c>
      <c r="I6161" t="s">
        <v>29</v>
      </c>
      <c r="J6161" t="s">
        <v>30</v>
      </c>
      <c r="K6161" t="s">
        <v>31</v>
      </c>
      <c r="M6161" t="s">
        <v>18479</v>
      </c>
      <c r="N6161" t="str">
        <f>"1/12/2012 12:25:00 PM"</f>
        <v>1/12/2012 12:25:00 PM</v>
      </c>
      <c r="O6161" t="s">
        <v>18476</v>
      </c>
      <c r="T6161" t="s">
        <v>18477</v>
      </c>
    </row>
    <row r="6162" spans="1:20" x14ac:dyDescent="0.25">
      <c r="A6162" t="str">
        <f>"3059351"</f>
        <v>3059351</v>
      </c>
      <c r="B6162" t="s">
        <v>18602</v>
      </c>
      <c r="C6162" t="str">
        <f>"82532846"</f>
        <v>82532846</v>
      </c>
      <c r="D6162" t="s">
        <v>18603</v>
      </c>
      <c r="F6162" t="s">
        <v>18604</v>
      </c>
      <c r="I6162" t="s">
        <v>29</v>
      </c>
      <c r="J6162" t="s">
        <v>30</v>
      </c>
      <c r="K6162" t="s">
        <v>31</v>
      </c>
      <c r="M6162" t="s">
        <v>18479</v>
      </c>
      <c r="N6162" t="str">
        <f>"1/12/2012 2:25:00 PM"</f>
        <v>1/12/2012 2:25:00 PM</v>
      </c>
      <c r="O6162" t="s">
        <v>18603</v>
      </c>
    </row>
    <row r="6163" spans="1:20" x14ac:dyDescent="0.25">
      <c r="A6163" t="str">
        <f>"3043869"</f>
        <v>3043869</v>
      </c>
      <c r="B6163" t="s">
        <v>18605</v>
      </c>
      <c r="C6163" t="str">
        <f>"82529515"</f>
        <v>82529515</v>
      </c>
      <c r="D6163" t="s">
        <v>18606</v>
      </c>
      <c r="E6163" t="s">
        <v>18607</v>
      </c>
      <c r="F6163" t="s">
        <v>18608</v>
      </c>
      <c r="I6163" t="s">
        <v>184</v>
      </c>
      <c r="J6163" t="s">
        <v>30</v>
      </c>
      <c r="K6163" t="s">
        <v>185</v>
      </c>
      <c r="M6163" t="s">
        <v>18479</v>
      </c>
      <c r="N6163" t="str">
        <f>"1/23/2012 9:32:00 AM"</f>
        <v>1/23/2012 9:32:00 AM</v>
      </c>
      <c r="O6163" t="s">
        <v>18606</v>
      </c>
      <c r="T6163" t="s">
        <v>18607</v>
      </c>
    </row>
    <row r="6164" spans="1:20" x14ac:dyDescent="0.25">
      <c r="A6164" t="str">
        <f>"3044283"</f>
        <v>3044283</v>
      </c>
      <c r="B6164" t="s">
        <v>18609</v>
      </c>
      <c r="C6164" t="str">
        <f>"82529515"</f>
        <v>82529515</v>
      </c>
      <c r="D6164" t="s">
        <v>18606</v>
      </c>
      <c r="E6164" t="s">
        <v>18607</v>
      </c>
      <c r="F6164" t="s">
        <v>18608</v>
      </c>
      <c r="I6164" t="s">
        <v>184</v>
      </c>
      <c r="J6164" t="s">
        <v>30</v>
      </c>
      <c r="K6164" t="s">
        <v>185</v>
      </c>
      <c r="M6164" t="s">
        <v>18479</v>
      </c>
      <c r="N6164" t="str">
        <f>"1/23/2012 9:32:00 AM"</f>
        <v>1/23/2012 9:32:00 AM</v>
      </c>
      <c r="O6164" t="s">
        <v>18606</v>
      </c>
      <c r="T6164" t="s">
        <v>18607</v>
      </c>
    </row>
    <row r="6165" spans="1:20" x14ac:dyDescent="0.25">
      <c r="A6165" t="str">
        <f>"3062000"</f>
        <v>3062000</v>
      </c>
      <c r="B6165" t="s">
        <v>18610</v>
      </c>
      <c r="C6165" t="str">
        <f>"8300474"</f>
        <v>8300474</v>
      </c>
      <c r="D6165" t="s">
        <v>18611</v>
      </c>
      <c r="E6165" t="s">
        <v>18612</v>
      </c>
      <c r="F6165" t="s">
        <v>18613</v>
      </c>
      <c r="I6165" t="s">
        <v>29</v>
      </c>
      <c r="J6165" t="s">
        <v>30</v>
      </c>
      <c r="K6165" t="s">
        <v>31</v>
      </c>
      <c r="M6165" t="s">
        <v>18479</v>
      </c>
      <c r="N6165" t="str">
        <f>"1/12/2012 4:53:00 PM"</f>
        <v>1/12/2012 4:53:00 PM</v>
      </c>
      <c r="O6165" t="s">
        <v>18611</v>
      </c>
      <c r="T6165" t="s">
        <v>18612</v>
      </c>
    </row>
    <row r="6166" spans="1:20" x14ac:dyDescent="0.25">
      <c r="A6166" t="str">
        <f>"3057411"</f>
        <v>3057411</v>
      </c>
      <c r="B6166" t="s">
        <v>18614</v>
      </c>
      <c r="C6166" t="str">
        <f>"8300474"</f>
        <v>8300474</v>
      </c>
      <c r="D6166" t="s">
        <v>18611</v>
      </c>
      <c r="E6166" t="s">
        <v>18612</v>
      </c>
      <c r="F6166" t="s">
        <v>18613</v>
      </c>
      <c r="I6166" t="s">
        <v>29</v>
      </c>
      <c r="J6166" t="s">
        <v>30</v>
      </c>
      <c r="K6166" t="s">
        <v>31</v>
      </c>
      <c r="M6166" t="s">
        <v>18479</v>
      </c>
      <c r="N6166" t="str">
        <f>"1/12/2012 4:53:00 PM"</f>
        <v>1/12/2012 4:53:00 PM</v>
      </c>
      <c r="O6166" t="s">
        <v>18611</v>
      </c>
      <c r="T6166" t="s">
        <v>18612</v>
      </c>
    </row>
    <row r="6167" spans="1:20" x14ac:dyDescent="0.25">
      <c r="A6167" t="str">
        <f>"3062313"</f>
        <v>3062313</v>
      </c>
      <c r="B6167" t="s">
        <v>18615</v>
      </c>
      <c r="C6167" t="str">
        <f>"8044000"</f>
        <v>8044000</v>
      </c>
      <c r="D6167" t="s">
        <v>18495</v>
      </c>
      <c r="E6167" t="s">
        <v>18496</v>
      </c>
      <c r="F6167" t="s">
        <v>18497</v>
      </c>
      <c r="I6167" t="s">
        <v>29</v>
      </c>
      <c r="J6167" t="s">
        <v>30</v>
      </c>
      <c r="K6167" t="s">
        <v>1505</v>
      </c>
      <c r="M6167" t="s">
        <v>18479</v>
      </c>
      <c r="N6167" t="str">
        <f>"1/17/2012 9:10:00 AM"</f>
        <v>1/17/2012 9:10:00 AM</v>
      </c>
      <c r="O6167" t="s">
        <v>18495</v>
      </c>
      <c r="T6167" t="s">
        <v>18496</v>
      </c>
    </row>
    <row r="6168" spans="1:20" x14ac:dyDescent="0.25">
      <c r="A6168" t="str">
        <f>"3077898"</f>
        <v>3077898</v>
      </c>
      <c r="B6168" t="s">
        <v>18616</v>
      </c>
      <c r="C6168" t="str">
        <f>"82532155"</f>
        <v>82532155</v>
      </c>
      <c r="D6168" t="s">
        <v>18504</v>
      </c>
      <c r="E6168" t="s">
        <v>18505</v>
      </c>
      <c r="F6168" t="s">
        <v>18506</v>
      </c>
      <c r="I6168" t="s">
        <v>29</v>
      </c>
      <c r="J6168" t="s">
        <v>30</v>
      </c>
      <c r="K6168" t="s">
        <v>31</v>
      </c>
      <c r="M6168" t="s">
        <v>18479</v>
      </c>
      <c r="N6168" t="str">
        <f>"1/17/2012 9:59:00 AM"</f>
        <v>1/17/2012 9:59:00 AM</v>
      </c>
      <c r="O6168" t="s">
        <v>18504</v>
      </c>
      <c r="T6168" t="s">
        <v>18505</v>
      </c>
    </row>
    <row r="6169" spans="1:20" x14ac:dyDescent="0.25">
      <c r="A6169" t="str">
        <f>"3044969"</f>
        <v>3044969</v>
      </c>
      <c r="B6169" t="s">
        <v>18617</v>
      </c>
      <c r="C6169" t="str">
        <f>"82532155"</f>
        <v>82532155</v>
      </c>
      <c r="D6169" t="s">
        <v>18504</v>
      </c>
      <c r="E6169" t="s">
        <v>18505</v>
      </c>
      <c r="F6169" t="s">
        <v>18506</v>
      </c>
      <c r="I6169" t="s">
        <v>29</v>
      </c>
      <c r="J6169" t="s">
        <v>30</v>
      </c>
      <c r="K6169" t="s">
        <v>31</v>
      </c>
      <c r="M6169" t="s">
        <v>18479</v>
      </c>
      <c r="N6169" t="str">
        <f>"1/17/2012 9:59:00 AM"</f>
        <v>1/17/2012 9:59:00 AM</v>
      </c>
      <c r="O6169" t="s">
        <v>18504</v>
      </c>
      <c r="T6169" t="s">
        <v>18505</v>
      </c>
    </row>
    <row r="6170" spans="1:20" x14ac:dyDescent="0.25">
      <c r="A6170" t="str">
        <f>"3050340"</f>
        <v>3050340</v>
      </c>
      <c r="B6170" t="s">
        <v>18618</v>
      </c>
      <c r="C6170" t="str">
        <f>"3064000"</f>
        <v>3064000</v>
      </c>
      <c r="D6170" t="s">
        <v>18619</v>
      </c>
      <c r="E6170" t="s">
        <v>18620</v>
      </c>
      <c r="F6170" t="s">
        <v>18621</v>
      </c>
      <c r="I6170" t="s">
        <v>184</v>
      </c>
      <c r="J6170" t="s">
        <v>30</v>
      </c>
      <c r="K6170" t="s">
        <v>18622</v>
      </c>
      <c r="M6170" t="s">
        <v>18479</v>
      </c>
      <c r="N6170" t="str">
        <f>"1/18/2012 8:31:00 AM"</f>
        <v>1/18/2012 8:31:00 AM</v>
      </c>
      <c r="O6170" t="s">
        <v>18619</v>
      </c>
      <c r="T6170" t="s">
        <v>18620</v>
      </c>
    </row>
    <row r="6171" spans="1:20" x14ac:dyDescent="0.25">
      <c r="A6171" t="str">
        <f>"3050600"</f>
        <v>3050600</v>
      </c>
      <c r="B6171" t="s">
        <v>18623</v>
      </c>
      <c r="C6171" t="str">
        <f>"3064000"</f>
        <v>3064000</v>
      </c>
      <c r="D6171" t="s">
        <v>18619</v>
      </c>
      <c r="E6171" t="s">
        <v>18620</v>
      </c>
      <c r="F6171" t="s">
        <v>18621</v>
      </c>
      <c r="I6171" t="s">
        <v>184</v>
      </c>
      <c r="J6171" t="s">
        <v>30</v>
      </c>
      <c r="K6171" t="s">
        <v>18622</v>
      </c>
      <c r="M6171" t="s">
        <v>18479</v>
      </c>
      <c r="N6171" t="str">
        <f>"1/18/2012 8:31:00 AM"</f>
        <v>1/18/2012 8:31:00 AM</v>
      </c>
      <c r="O6171" t="s">
        <v>18619</v>
      </c>
      <c r="T6171" t="s">
        <v>18620</v>
      </c>
    </row>
    <row r="6172" spans="1:20" x14ac:dyDescent="0.25">
      <c r="A6172" t="str">
        <f>"3040937"</f>
        <v>3040937</v>
      </c>
      <c r="B6172" t="s">
        <v>18624</v>
      </c>
      <c r="C6172" t="str">
        <f>"82532194"</f>
        <v>82532194</v>
      </c>
      <c r="D6172" t="s">
        <v>18625</v>
      </c>
      <c r="F6172" t="s">
        <v>18626</v>
      </c>
      <c r="I6172" t="s">
        <v>184</v>
      </c>
      <c r="J6172" t="s">
        <v>30</v>
      </c>
      <c r="K6172" t="s">
        <v>185</v>
      </c>
      <c r="M6172" t="s">
        <v>18513</v>
      </c>
      <c r="N6172" t="str">
        <f>"1/18/2012 3:40:00 PM"</f>
        <v>1/18/2012 3:40:00 PM</v>
      </c>
      <c r="O6172" t="s">
        <v>18625</v>
      </c>
    </row>
    <row r="6173" spans="1:20" x14ac:dyDescent="0.25">
      <c r="A6173" t="str">
        <f>"3051551"</f>
        <v>3051551</v>
      </c>
      <c r="B6173" t="s">
        <v>18627</v>
      </c>
      <c r="C6173" t="str">
        <f>"12875000"</f>
        <v>12875000</v>
      </c>
      <c r="D6173" t="s">
        <v>18628</v>
      </c>
      <c r="E6173" t="s">
        <v>18629</v>
      </c>
      <c r="F6173" t="s">
        <v>18630</v>
      </c>
      <c r="I6173" t="s">
        <v>29</v>
      </c>
      <c r="J6173" t="s">
        <v>30</v>
      </c>
      <c r="K6173" t="s">
        <v>18631</v>
      </c>
      <c r="M6173" t="s">
        <v>18479</v>
      </c>
      <c r="N6173" t="str">
        <f>"1/24/2012 4:11:00 PM"</f>
        <v>1/24/2012 4:11:00 PM</v>
      </c>
      <c r="O6173" t="s">
        <v>18628</v>
      </c>
      <c r="T6173" t="s">
        <v>18629</v>
      </c>
    </row>
    <row r="6174" spans="1:20" x14ac:dyDescent="0.25">
      <c r="A6174" t="str">
        <f>"3053428"</f>
        <v>3053428</v>
      </c>
      <c r="B6174" t="s">
        <v>18632</v>
      </c>
      <c r="C6174" t="str">
        <f>"82523692"</f>
        <v>82523692</v>
      </c>
      <c r="D6174" t="s">
        <v>18633</v>
      </c>
      <c r="E6174" t="s">
        <v>18634</v>
      </c>
      <c r="F6174" t="s">
        <v>18635</v>
      </c>
      <c r="I6174" t="s">
        <v>29</v>
      </c>
      <c r="J6174" t="s">
        <v>30</v>
      </c>
      <c r="K6174" t="s">
        <v>31</v>
      </c>
      <c r="M6174" t="s">
        <v>18479</v>
      </c>
      <c r="N6174" t="str">
        <f>"1/24/2012 4:16:00 PM"</f>
        <v>1/24/2012 4:16:00 PM</v>
      </c>
      <c r="O6174" t="s">
        <v>18633</v>
      </c>
      <c r="T6174" t="s">
        <v>18634</v>
      </c>
    </row>
    <row r="6175" spans="1:20" x14ac:dyDescent="0.25">
      <c r="A6175" t="str">
        <f>"3048230"</f>
        <v>3048230</v>
      </c>
      <c r="B6175" t="s">
        <v>18636</v>
      </c>
      <c r="C6175" t="str">
        <f>"10015750"</f>
        <v>10015750</v>
      </c>
      <c r="D6175" t="s">
        <v>18637</v>
      </c>
      <c r="E6175" t="s">
        <v>18638</v>
      </c>
      <c r="F6175" t="s">
        <v>18639</v>
      </c>
      <c r="I6175" t="s">
        <v>29</v>
      </c>
      <c r="J6175" t="s">
        <v>30</v>
      </c>
      <c r="K6175" t="s">
        <v>18640</v>
      </c>
      <c r="M6175" t="s">
        <v>18479</v>
      </c>
      <c r="N6175" t="str">
        <f>"1/18/2012 4:02:00 PM"</f>
        <v>1/18/2012 4:02:00 PM</v>
      </c>
      <c r="O6175" t="s">
        <v>18637</v>
      </c>
      <c r="T6175" t="s">
        <v>18638</v>
      </c>
    </row>
    <row r="6176" spans="1:20" x14ac:dyDescent="0.25">
      <c r="A6176" t="str">
        <f>"3039566"</f>
        <v>3039566</v>
      </c>
      <c r="B6176" t="s">
        <v>18641</v>
      </c>
      <c r="C6176" t="str">
        <f>"17124000"</f>
        <v>17124000</v>
      </c>
      <c r="D6176" t="s">
        <v>18642</v>
      </c>
      <c r="E6176" t="s">
        <v>18643</v>
      </c>
      <c r="F6176" t="s">
        <v>18644</v>
      </c>
      <c r="I6176" t="s">
        <v>184</v>
      </c>
      <c r="J6176" t="s">
        <v>30</v>
      </c>
      <c r="K6176" t="s">
        <v>18645</v>
      </c>
      <c r="M6176" t="s">
        <v>18479</v>
      </c>
      <c r="N6176" t="str">
        <f>"1/25/2012 8:40:00 AM"</f>
        <v>1/25/2012 8:40:00 AM</v>
      </c>
      <c r="O6176" t="s">
        <v>18642</v>
      </c>
      <c r="T6176" t="s">
        <v>18643</v>
      </c>
    </row>
    <row r="6177" spans="1:20" x14ac:dyDescent="0.25">
      <c r="A6177" t="str">
        <f>"3052616"</f>
        <v>3052616</v>
      </c>
      <c r="B6177" t="s">
        <v>18646</v>
      </c>
      <c r="C6177" t="str">
        <f>"8300592"</f>
        <v>8300592</v>
      </c>
      <c r="D6177" t="s">
        <v>18647</v>
      </c>
      <c r="E6177" t="s">
        <v>18648</v>
      </c>
      <c r="F6177" t="s">
        <v>18649</v>
      </c>
      <c r="I6177" t="s">
        <v>29</v>
      </c>
      <c r="J6177" t="s">
        <v>30</v>
      </c>
      <c r="K6177" t="str">
        <f>"27028"</f>
        <v>27028</v>
      </c>
      <c r="M6177" t="s">
        <v>17861</v>
      </c>
      <c r="N6177" t="str">
        <f>"1/25/2012 9:46:00 AM"</f>
        <v>1/25/2012 9:46:00 AM</v>
      </c>
      <c r="O6177" t="s">
        <v>18647</v>
      </c>
      <c r="T6177" t="s">
        <v>18648</v>
      </c>
    </row>
    <row r="6178" spans="1:20" x14ac:dyDescent="0.25">
      <c r="A6178" t="str">
        <f>"3047891"</f>
        <v>3047891</v>
      </c>
      <c r="B6178" t="s">
        <v>18650</v>
      </c>
      <c r="C6178" t="str">
        <f>"10015750"</f>
        <v>10015750</v>
      </c>
      <c r="D6178" t="s">
        <v>18637</v>
      </c>
      <c r="E6178" t="s">
        <v>18638</v>
      </c>
      <c r="F6178" t="s">
        <v>18639</v>
      </c>
      <c r="I6178" t="s">
        <v>29</v>
      </c>
      <c r="J6178" t="s">
        <v>30</v>
      </c>
      <c r="K6178" t="s">
        <v>18640</v>
      </c>
      <c r="M6178" t="s">
        <v>18479</v>
      </c>
      <c r="N6178" t="str">
        <f>"1/18/2012 4:02:00 PM"</f>
        <v>1/18/2012 4:02:00 PM</v>
      </c>
      <c r="O6178" t="s">
        <v>18637</v>
      </c>
      <c r="T6178" t="s">
        <v>18638</v>
      </c>
    </row>
    <row r="6179" spans="1:20" x14ac:dyDescent="0.25">
      <c r="A6179" t="str">
        <f>"3054464"</f>
        <v>3054464</v>
      </c>
      <c r="B6179" t="s">
        <v>18651</v>
      </c>
      <c r="C6179" t="str">
        <f>"82532127"</f>
        <v>82532127</v>
      </c>
      <c r="D6179" t="s">
        <v>18652</v>
      </c>
      <c r="F6179" t="s">
        <v>18653</v>
      </c>
      <c r="I6179" t="s">
        <v>29</v>
      </c>
      <c r="J6179" t="s">
        <v>30</v>
      </c>
      <c r="K6179" t="s">
        <v>31</v>
      </c>
      <c r="M6179" t="s">
        <v>18479</v>
      </c>
      <c r="N6179" t="str">
        <f>"1/18/2012 4:20:00 PM"</f>
        <v>1/18/2012 4:20:00 PM</v>
      </c>
      <c r="O6179" t="s">
        <v>18652</v>
      </c>
    </row>
    <row r="6180" spans="1:20" x14ac:dyDescent="0.25">
      <c r="A6180" t="str">
        <f>"3061761"</f>
        <v>3061761</v>
      </c>
      <c r="B6180" t="s">
        <v>18654</v>
      </c>
      <c r="C6180" t="str">
        <f>"8300598"</f>
        <v>8300598</v>
      </c>
      <c r="D6180" t="s">
        <v>18655</v>
      </c>
      <c r="F6180" t="s">
        <v>18656</v>
      </c>
      <c r="I6180" t="s">
        <v>2071</v>
      </c>
      <c r="J6180" t="s">
        <v>30</v>
      </c>
      <c r="K6180" t="str">
        <f>"27006"</f>
        <v>27006</v>
      </c>
      <c r="M6180" t="s">
        <v>17861</v>
      </c>
      <c r="N6180" t="str">
        <f>"1/25/2012 10:19:00 AM"</f>
        <v>1/25/2012 10:19:00 AM</v>
      </c>
      <c r="O6180" t="s">
        <v>18655</v>
      </c>
    </row>
    <row r="6181" spans="1:20" x14ac:dyDescent="0.25">
      <c r="A6181" t="str">
        <f>"3040540"</f>
        <v>3040540</v>
      </c>
      <c r="B6181" t="s">
        <v>18657</v>
      </c>
      <c r="C6181" t="str">
        <f>"8300599"</f>
        <v>8300599</v>
      </c>
      <c r="D6181" t="s">
        <v>18658</v>
      </c>
      <c r="F6181" t="s">
        <v>18659</v>
      </c>
      <c r="I6181" t="s">
        <v>184</v>
      </c>
      <c r="J6181" t="s">
        <v>30</v>
      </c>
      <c r="K6181" t="str">
        <f>"27006"</f>
        <v>27006</v>
      </c>
      <c r="M6181" t="s">
        <v>17861</v>
      </c>
      <c r="N6181" t="str">
        <f>"1/25/2012 10:20:00 AM"</f>
        <v>1/25/2012 10:20:00 AM</v>
      </c>
      <c r="O6181" t="s">
        <v>18658</v>
      </c>
    </row>
    <row r="6182" spans="1:20" x14ac:dyDescent="0.25">
      <c r="A6182" t="str">
        <f>"3059948"</f>
        <v>3059948</v>
      </c>
      <c r="B6182" t="s">
        <v>18660</v>
      </c>
      <c r="C6182" t="str">
        <f>"82532147"</f>
        <v>82532147</v>
      </c>
      <c r="D6182" t="s">
        <v>18661</v>
      </c>
      <c r="E6182" t="s">
        <v>18662</v>
      </c>
      <c r="F6182" t="s">
        <v>18663</v>
      </c>
      <c r="I6182" t="s">
        <v>29</v>
      </c>
      <c r="J6182" t="s">
        <v>30</v>
      </c>
      <c r="K6182" t="s">
        <v>31</v>
      </c>
      <c r="M6182" t="s">
        <v>18479</v>
      </c>
      <c r="N6182" t="str">
        <f>"1/25/2012 11:21:00 AM"</f>
        <v>1/25/2012 11:21:00 AM</v>
      </c>
      <c r="O6182" t="s">
        <v>18661</v>
      </c>
      <c r="T6182" t="s">
        <v>18662</v>
      </c>
    </row>
    <row r="6183" spans="1:20" x14ac:dyDescent="0.25">
      <c r="A6183" t="str">
        <f>"3038325"</f>
        <v>3038325</v>
      </c>
      <c r="B6183" t="s">
        <v>18664</v>
      </c>
      <c r="C6183" t="str">
        <f>"8300604"</f>
        <v>8300604</v>
      </c>
      <c r="D6183" t="s">
        <v>18665</v>
      </c>
      <c r="E6183" t="s">
        <v>18666</v>
      </c>
      <c r="F6183" t="s">
        <v>18667</v>
      </c>
      <c r="I6183" t="s">
        <v>29</v>
      </c>
      <c r="J6183" t="s">
        <v>30</v>
      </c>
      <c r="K6183" t="str">
        <f>"27028"</f>
        <v>27028</v>
      </c>
      <c r="M6183" t="s">
        <v>17861</v>
      </c>
      <c r="N6183" t="str">
        <f>"1/25/2012 11:27:00 AM"</f>
        <v>1/25/2012 11:27:00 AM</v>
      </c>
      <c r="O6183" t="s">
        <v>18665</v>
      </c>
      <c r="T6183" t="s">
        <v>18666</v>
      </c>
    </row>
    <row r="6184" spans="1:20" x14ac:dyDescent="0.25">
      <c r="A6184" t="str">
        <f>"3060575"</f>
        <v>3060575</v>
      </c>
      <c r="B6184" t="s">
        <v>18668</v>
      </c>
      <c r="C6184" t="str">
        <f>"82522144"</f>
        <v>82522144</v>
      </c>
      <c r="D6184" t="s">
        <v>18669</v>
      </c>
      <c r="E6184" t="s">
        <v>18670</v>
      </c>
      <c r="F6184" t="s">
        <v>18671</v>
      </c>
      <c r="I6184" t="s">
        <v>9824</v>
      </c>
      <c r="J6184" t="s">
        <v>30</v>
      </c>
      <c r="K6184" t="s">
        <v>9825</v>
      </c>
      <c r="M6184" t="s">
        <v>18513</v>
      </c>
      <c r="N6184" t="str">
        <f>"1/18/2012 4:41:00 PM"</f>
        <v>1/18/2012 4:41:00 PM</v>
      </c>
      <c r="O6184" t="s">
        <v>18669</v>
      </c>
      <c r="T6184" t="s">
        <v>18670</v>
      </c>
    </row>
    <row r="6185" spans="1:20" x14ac:dyDescent="0.25">
      <c r="A6185" t="str">
        <f>"3047975"</f>
        <v>3047975</v>
      </c>
      <c r="B6185" t="s">
        <v>18672</v>
      </c>
      <c r="C6185" t="str">
        <f>"11267000"</f>
        <v>11267000</v>
      </c>
      <c r="D6185" t="s">
        <v>18673</v>
      </c>
      <c r="E6185" t="s">
        <v>18674</v>
      </c>
      <c r="F6185" t="s">
        <v>18675</v>
      </c>
      <c r="I6185" t="s">
        <v>471</v>
      </c>
      <c r="J6185" t="s">
        <v>30</v>
      </c>
      <c r="K6185" t="s">
        <v>625</v>
      </c>
      <c r="M6185" t="s">
        <v>18513</v>
      </c>
      <c r="N6185" t="str">
        <f>"1/19/2012 8:18:00 AM"</f>
        <v>1/19/2012 8:18:00 AM</v>
      </c>
      <c r="O6185" t="s">
        <v>18673</v>
      </c>
      <c r="T6185" t="s">
        <v>18674</v>
      </c>
    </row>
    <row r="6186" spans="1:20" x14ac:dyDescent="0.25">
      <c r="A6186" t="str">
        <f>"3042963"</f>
        <v>3042963</v>
      </c>
      <c r="B6186" t="s">
        <v>18676</v>
      </c>
      <c r="C6186" t="str">
        <f>"11042000"</f>
        <v>11042000</v>
      </c>
      <c r="D6186" t="s">
        <v>18677</v>
      </c>
      <c r="E6186" t="s">
        <v>18678</v>
      </c>
      <c r="F6186" t="s">
        <v>18679</v>
      </c>
      <c r="I6186" t="s">
        <v>29</v>
      </c>
      <c r="J6186" t="s">
        <v>30</v>
      </c>
      <c r="K6186" t="s">
        <v>18680</v>
      </c>
      <c r="M6186" t="s">
        <v>18479</v>
      </c>
      <c r="N6186" t="str">
        <f>"1/19/2012 12:06:00 PM"</f>
        <v>1/19/2012 12:06:00 PM</v>
      </c>
      <c r="O6186" t="s">
        <v>18677</v>
      </c>
      <c r="T6186" t="s">
        <v>18678</v>
      </c>
    </row>
    <row r="6187" spans="1:20" x14ac:dyDescent="0.25">
      <c r="A6187" t="str">
        <f>"3045728"</f>
        <v>3045728</v>
      </c>
      <c r="B6187" t="s">
        <v>18681</v>
      </c>
      <c r="C6187" t="str">
        <f>"82521717"</f>
        <v>82521717</v>
      </c>
      <c r="D6187" t="s">
        <v>18682</v>
      </c>
      <c r="F6187" t="s">
        <v>18683</v>
      </c>
      <c r="I6187" t="s">
        <v>29</v>
      </c>
      <c r="J6187" t="s">
        <v>30</v>
      </c>
      <c r="K6187" t="s">
        <v>31</v>
      </c>
      <c r="M6187" t="s">
        <v>18479</v>
      </c>
      <c r="N6187" t="str">
        <f>"1/19/2012 12:42:00 PM"</f>
        <v>1/19/2012 12:42:00 PM</v>
      </c>
      <c r="O6187" t="s">
        <v>18682</v>
      </c>
      <c r="T6187" t="s">
        <v>18682</v>
      </c>
    </row>
    <row r="6188" spans="1:20" x14ac:dyDescent="0.25">
      <c r="A6188" t="str">
        <f>"3056836"</f>
        <v>3056836</v>
      </c>
      <c r="B6188" t="s">
        <v>18684</v>
      </c>
      <c r="C6188" t="str">
        <f>"4380000"</f>
        <v>4380000</v>
      </c>
      <c r="D6188" t="s">
        <v>18685</v>
      </c>
      <c r="E6188" t="s">
        <v>18686</v>
      </c>
      <c r="F6188" t="s">
        <v>18687</v>
      </c>
      <c r="I6188" t="s">
        <v>184</v>
      </c>
      <c r="J6188" t="s">
        <v>30</v>
      </c>
      <c r="K6188" t="s">
        <v>185</v>
      </c>
      <c r="M6188" t="s">
        <v>18479</v>
      </c>
      <c r="N6188" t="str">
        <f>"1/19/2012 2:37:00 PM"</f>
        <v>1/19/2012 2:37:00 PM</v>
      </c>
      <c r="O6188" t="s">
        <v>18685</v>
      </c>
      <c r="T6188" t="s">
        <v>18686</v>
      </c>
    </row>
    <row r="6189" spans="1:20" x14ac:dyDescent="0.25">
      <c r="A6189" t="str">
        <f>"3060798"</f>
        <v>3060798</v>
      </c>
      <c r="B6189" t="s">
        <v>18688</v>
      </c>
      <c r="C6189" t="str">
        <f>"82528827"</f>
        <v>82528827</v>
      </c>
      <c r="D6189" t="s">
        <v>18689</v>
      </c>
      <c r="E6189" t="s">
        <v>18690</v>
      </c>
      <c r="F6189" t="s">
        <v>18691</v>
      </c>
      <c r="I6189" t="s">
        <v>2071</v>
      </c>
      <c r="J6189" t="s">
        <v>30</v>
      </c>
      <c r="K6189" t="s">
        <v>185</v>
      </c>
      <c r="M6189" t="s">
        <v>18479</v>
      </c>
      <c r="N6189" t="str">
        <f>"1/26/2012 2:52:00 PM"</f>
        <v>1/26/2012 2:52:00 PM</v>
      </c>
      <c r="O6189" t="s">
        <v>18689</v>
      </c>
      <c r="T6189" t="s">
        <v>18690</v>
      </c>
    </row>
    <row r="6190" spans="1:20" x14ac:dyDescent="0.25">
      <c r="A6190" t="str">
        <f>"3045320"</f>
        <v>3045320</v>
      </c>
      <c r="B6190" t="s">
        <v>18692</v>
      </c>
      <c r="C6190" t="str">
        <f>"53015500"</f>
        <v>53015500</v>
      </c>
      <c r="D6190" t="s">
        <v>18693</v>
      </c>
      <c r="E6190" t="s">
        <v>18694</v>
      </c>
      <c r="F6190" t="s">
        <v>18695</v>
      </c>
      <c r="I6190" t="s">
        <v>29</v>
      </c>
      <c r="J6190" t="s">
        <v>30</v>
      </c>
      <c r="K6190" t="str">
        <f>"27028"</f>
        <v>27028</v>
      </c>
      <c r="M6190" t="s">
        <v>17861</v>
      </c>
      <c r="N6190" t="str">
        <f>"1/26/2012 3:15:00 PM"</f>
        <v>1/26/2012 3:15:00 PM</v>
      </c>
      <c r="O6190" t="s">
        <v>18693</v>
      </c>
      <c r="T6190" t="s">
        <v>18694</v>
      </c>
    </row>
    <row r="6191" spans="1:20" x14ac:dyDescent="0.25">
      <c r="A6191" t="str">
        <f>"3044960"</f>
        <v>3044960</v>
      </c>
      <c r="B6191" t="s">
        <v>18696</v>
      </c>
      <c r="C6191" t="str">
        <f>"53015500"</f>
        <v>53015500</v>
      </c>
      <c r="D6191" t="s">
        <v>18693</v>
      </c>
      <c r="E6191" t="s">
        <v>18694</v>
      </c>
      <c r="F6191" t="s">
        <v>18695</v>
      </c>
      <c r="I6191" t="s">
        <v>29</v>
      </c>
      <c r="J6191" t="s">
        <v>30</v>
      </c>
      <c r="K6191" t="str">
        <f>"27028"</f>
        <v>27028</v>
      </c>
      <c r="M6191" t="s">
        <v>17861</v>
      </c>
      <c r="N6191" t="str">
        <f>"1/26/2012 3:15:00 PM"</f>
        <v>1/26/2012 3:15:00 PM</v>
      </c>
      <c r="O6191" t="s">
        <v>18693</v>
      </c>
      <c r="T6191" t="s">
        <v>18694</v>
      </c>
    </row>
    <row r="6192" spans="1:20" x14ac:dyDescent="0.25">
      <c r="A6192" t="str">
        <f>"3044944"</f>
        <v>3044944</v>
      </c>
      <c r="B6192" t="s">
        <v>18697</v>
      </c>
      <c r="C6192" t="str">
        <f>"53015500"</f>
        <v>53015500</v>
      </c>
      <c r="D6192" t="s">
        <v>18693</v>
      </c>
      <c r="E6192" t="s">
        <v>18694</v>
      </c>
      <c r="F6192" t="s">
        <v>18695</v>
      </c>
      <c r="I6192" t="s">
        <v>29</v>
      </c>
      <c r="J6192" t="s">
        <v>30</v>
      </c>
      <c r="K6192" t="str">
        <f>"27028"</f>
        <v>27028</v>
      </c>
      <c r="M6192" t="s">
        <v>17861</v>
      </c>
      <c r="N6192" t="str">
        <f>"1/26/2012 3:15:00 PM"</f>
        <v>1/26/2012 3:15:00 PM</v>
      </c>
      <c r="O6192" t="s">
        <v>18693</v>
      </c>
      <c r="T6192" t="s">
        <v>18694</v>
      </c>
    </row>
    <row r="6193" spans="1:20" x14ac:dyDescent="0.25">
      <c r="A6193" t="str">
        <f>"3061547"</f>
        <v>3061547</v>
      </c>
      <c r="B6193" t="s">
        <v>18698</v>
      </c>
      <c r="C6193" t="str">
        <f>"4380000"</f>
        <v>4380000</v>
      </c>
      <c r="D6193" t="s">
        <v>18685</v>
      </c>
      <c r="E6193" t="s">
        <v>18686</v>
      </c>
      <c r="F6193" t="s">
        <v>18687</v>
      </c>
      <c r="I6193" t="s">
        <v>184</v>
      </c>
      <c r="J6193" t="s">
        <v>30</v>
      </c>
      <c r="K6193" t="s">
        <v>185</v>
      </c>
      <c r="M6193" t="s">
        <v>18479</v>
      </c>
      <c r="N6193" t="str">
        <f>"1/19/2012 2:37:00 PM"</f>
        <v>1/19/2012 2:37:00 PM</v>
      </c>
      <c r="O6193" t="s">
        <v>18685</v>
      </c>
      <c r="T6193" t="s">
        <v>18686</v>
      </c>
    </row>
    <row r="6194" spans="1:20" x14ac:dyDescent="0.25">
      <c r="A6194" t="str">
        <f>"3062619"</f>
        <v>3062619</v>
      </c>
      <c r="B6194" t="s">
        <v>18699</v>
      </c>
      <c r="C6194" t="str">
        <f>"1254000"</f>
        <v>1254000</v>
      </c>
      <c r="D6194" t="s">
        <v>18700</v>
      </c>
      <c r="E6194" t="s">
        <v>18701</v>
      </c>
      <c r="F6194" t="s">
        <v>18702</v>
      </c>
      <c r="I6194" t="s">
        <v>29</v>
      </c>
      <c r="J6194" t="s">
        <v>30</v>
      </c>
      <c r="K6194" t="s">
        <v>31</v>
      </c>
      <c r="M6194" t="s">
        <v>18479</v>
      </c>
      <c r="N6194" t="str">
        <f>"1/11/2012 1:48:00 PM"</f>
        <v>1/11/2012 1:48:00 PM</v>
      </c>
      <c r="O6194" t="s">
        <v>18700</v>
      </c>
      <c r="T6194" t="s">
        <v>18701</v>
      </c>
    </row>
    <row r="6195" spans="1:20" x14ac:dyDescent="0.25">
      <c r="A6195" t="str">
        <f>"3069583"</f>
        <v>3069583</v>
      </c>
      <c r="B6195" t="s">
        <v>18703</v>
      </c>
      <c r="C6195" t="str">
        <f>"2588000"</f>
        <v>2588000</v>
      </c>
      <c r="D6195" t="s">
        <v>18704</v>
      </c>
      <c r="E6195" t="s">
        <v>18705</v>
      </c>
      <c r="F6195" t="s">
        <v>18706</v>
      </c>
      <c r="I6195" t="s">
        <v>184</v>
      </c>
      <c r="J6195" t="s">
        <v>30</v>
      </c>
      <c r="K6195" t="s">
        <v>819</v>
      </c>
      <c r="M6195" t="s">
        <v>18479</v>
      </c>
      <c r="N6195" t="str">
        <f>"1/11/2012 3:16:00 PM"</f>
        <v>1/11/2012 3:16:00 PM</v>
      </c>
      <c r="O6195" t="s">
        <v>18704</v>
      </c>
      <c r="T6195" t="s">
        <v>18705</v>
      </c>
    </row>
    <row r="6196" spans="1:20" x14ac:dyDescent="0.25">
      <c r="A6196" t="str">
        <f>"3069127"</f>
        <v>3069127</v>
      </c>
      <c r="B6196" t="s">
        <v>18707</v>
      </c>
      <c r="C6196" t="str">
        <f>"18152000"</f>
        <v>18152000</v>
      </c>
      <c r="D6196" t="s">
        <v>18708</v>
      </c>
      <c r="F6196" t="s">
        <v>18709</v>
      </c>
      <c r="I6196" t="s">
        <v>29</v>
      </c>
      <c r="J6196" t="s">
        <v>30</v>
      </c>
      <c r="K6196" t="s">
        <v>18710</v>
      </c>
      <c r="M6196" t="s">
        <v>18479</v>
      </c>
      <c r="N6196" t="str">
        <f>"1/11/2012 4:58:00 PM"</f>
        <v>1/11/2012 4:58:00 PM</v>
      </c>
      <c r="O6196" t="s">
        <v>18708</v>
      </c>
    </row>
    <row r="6197" spans="1:20" x14ac:dyDescent="0.25">
      <c r="A6197" t="str">
        <f>"3044210"</f>
        <v>3044210</v>
      </c>
      <c r="B6197" t="s">
        <v>18711</v>
      </c>
      <c r="C6197" t="str">
        <f>"82532802"</f>
        <v>82532802</v>
      </c>
      <c r="D6197" t="s">
        <v>18712</v>
      </c>
      <c r="E6197" t="s">
        <v>18713</v>
      </c>
      <c r="F6197" t="s">
        <v>18714</v>
      </c>
      <c r="I6197" t="s">
        <v>184</v>
      </c>
      <c r="J6197" t="s">
        <v>30</v>
      </c>
      <c r="K6197" t="s">
        <v>185</v>
      </c>
      <c r="M6197" t="s">
        <v>18479</v>
      </c>
      <c r="N6197" t="str">
        <f>"1/12/2012 9:18:00 AM"</f>
        <v>1/12/2012 9:18:00 AM</v>
      </c>
      <c r="O6197" t="s">
        <v>18712</v>
      </c>
      <c r="T6197" t="s">
        <v>18713</v>
      </c>
    </row>
    <row r="6198" spans="1:20" x14ac:dyDescent="0.25">
      <c r="A6198" t="str">
        <f>"3053924"</f>
        <v>3053924</v>
      </c>
      <c r="B6198" t="s">
        <v>18715</v>
      </c>
      <c r="C6198" t="str">
        <f>"8300505"</f>
        <v>8300505</v>
      </c>
      <c r="D6198" t="s">
        <v>18716</v>
      </c>
      <c r="E6198" t="s">
        <v>18717</v>
      </c>
      <c r="F6198" t="s">
        <v>18718</v>
      </c>
      <c r="I6198" t="s">
        <v>29</v>
      </c>
      <c r="J6198" t="s">
        <v>30</v>
      </c>
      <c r="K6198" t="s">
        <v>31</v>
      </c>
      <c r="M6198" t="s">
        <v>17861</v>
      </c>
      <c r="N6198" t="str">
        <f>"1/27/2012 1:14:00 PM"</f>
        <v>1/27/2012 1:14:00 PM</v>
      </c>
      <c r="O6198" t="s">
        <v>18716</v>
      </c>
      <c r="T6198" t="s">
        <v>18717</v>
      </c>
    </row>
    <row r="6199" spans="1:20" x14ac:dyDescent="0.25">
      <c r="A6199" t="str">
        <f>"3043245"</f>
        <v>3043245</v>
      </c>
      <c r="B6199" t="s">
        <v>18719</v>
      </c>
      <c r="C6199" t="str">
        <f>"82531355"</f>
        <v>82531355</v>
      </c>
      <c r="D6199" t="s">
        <v>18720</v>
      </c>
      <c r="F6199" t="s">
        <v>18721</v>
      </c>
      <c r="I6199" t="s">
        <v>29</v>
      </c>
      <c r="J6199" t="s">
        <v>30</v>
      </c>
      <c r="K6199" t="s">
        <v>31</v>
      </c>
      <c r="M6199" t="s">
        <v>18479</v>
      </c>
      <c r="N6199" t="str">
        <f>"1/23/2012 8:50:00 AM"</f>
        <v>1/23/2012 8:50:00 AM</v>
      </c>
      <c r="O6199" t="s">
        <v>18720</v>
      </c>
    </row>
    <row r="6200" spans="1:20" x14ac:dyDescent="0.25">
      <c r="A6200" t="str">
        <f>"3046857"</f>
        <v>3046857</v>
      </c>
      <c r="B6200" t="s">
        <v>18722</v>
      </c>
      <c r="C6200" t="str">
        <f>"14418000"</f>
        <v>14418000</v>
      </c>
      <c r="D6200" t="s">
        <v>18723</v>
      </c>
      <c r="E6200" t="s">
        <v>18724</v>
      </c>
      <c r="F6200" t="s">
        <v>18725</v>
      </c>
      <c r="I6200" t="s">
        <v>29</v>
      </c>
      <c r="J6200" t="s">
        <v>30</v>
      </c>
      <c r="K6200" t="s">
        <v>10186</v>
      </c>
      <c r="M6200" t="s">
        <v>18479</v>
      </c>
      <c r="N6200" t="str">
        <f>"1/30/2012 9:07:00 AM"</f>
        <v>1/30/2012 9:07:00 AM</v>
      </c>
      <c r="O6200" t="s">
        <v>18723</v>
      </c>
      <c r="T6200" t="s">
        <v>18724</v>
      </c>
    </row>
    <row r="6201" spans="1:20" x14ac:dyDescent="0.25">
      <c r="A6201" t="str">
        <f>"3044121"</f>
        <v>3044121</v>
      </c>
      <c r="B6201" t="s">
        <v>18726</v>
      </c>
      <c r="C6201" t="str">
        <f>"82529515"</f>
        <v>82529515</v>
      </c>
      <c r="D6201" t="s">
        <v>18606</v>
      </c>
      <c r="E6201" t="s">
        <v>18607</v>
      </c>
      <c r="F6201" t="s">
        <v>18608</v>
      </c>
      <c r="I6201" t="s">
        <v>184</v>
      </c>
      <c r="J6201" t="s">
        <v>30</v>
      </c>
      <c r="K6201" t="s">
        <v>185</v>
      </c>
      <c r="M6201" t="s">
        <v>18479</v>
      </c>
      <c r="N6201" t="str">
        <f>"1/23/2012 9:32:00 AM"</f>
        <v>1/23/2012 9:32:00 AM</v>
      </c>
      <c r="O6201" t="s">
        <v>18606</v>
      </c>
      <c r="T6201" t="s">
        <v>18607</v>
      </c>
    </row>
    <row r="6202" spans="1:20" x14ac:dyDescent="0.25">
      <c r="A6202" t="str">
        <f>"3041705"</f>
        <v>3041705</v>
      </c>
      <c r="B6202" t="s">
        <v>18727</v>
      </c>
      <c r="C6202" t="str">
        <f>"63491000"</f>
        <v>63491000</v>
      </c>
      <c r="D6202" t="s">
        <v>18728</v>
      </c>
      <c r="E6202" t="s">
        <v>18729</v>
      </c>
      <c r="F6202" t="s">
        <v>18730</v>
      </c>
      <c r="I6202" t="s">
        <v>2071</v>
      </c>
      <c r="J6202" t="s">
        <v>30</v>
      </c>
      <c r="K6202" t="s">
        <v>3789</v>
      </c>
      <c r="M6202" t="s">
        <v>18432</v>
      </c>
      <c r="N6202" t="str">
        <f>"1/23/2012 10:03:00 AM"</f>
        <v>1/23/2012 10:03:00 AM</v>
      </c>
      <c r="O6202" t="s">
        <v>18728</v>
      </c>
      <c r="T6202" t="s">
        <v>18729</v>
      </c>
    </row>
    <row r="6203" spans="1:20" x14ac:dyDescent="0.25">
      <c r="A6203" t="str">
        <f>"3037235"</f>
        <v>3037235</v>
      </c>
      <c r="B6203" t="s">
        <v>18731</v>
      </c>
      <c r="C6203" t="str">
        <f>"13641000"</f>
        <v>13641000</v>
      </c>
      <c r="D6203" t="s">
        <v>18732</v>
      </c>
      <c r="E6203" t="s">
        <v>18733</v>
      </c>
      <c r="F6203" t="s">
        <v>18734</v>
      </c>
      <c r="I6203" t="s">
        <v>184</v>
      </c>
      <c r="J6203" t="s">
        <v>30</v>
      </c>
      <c r="K6203" t="s">
        <v>18735</v>
      </c>
      <c r="M6203" t="s">
        <v>18479</v>
      </c>
      <c r="N6203" t="str">
        <f>"1/23/2012 3:11:00 PM"</f>
        <v>1/23/2012 3:11:00 PM</v>
      </c>
      <c r="O6203" t="s">
        <v>18732</v>
      </c>
      <c r="T6203" t="s">
        <v>18733</v>
      </c>
    </row>
    <row r="6204" spans="1:20" x14ac:dyDescent="0.25">
      <c r="A6204" t="str">
        <f>"3040929"</f>
        <v>3040929</v>
      </c>
      <c r="B6204" t="s">
        <v>18736</v>
      </c>
      <c r="C6204" t="str">
        <f>"17908000"</f>
        <v>17908000</v>
      </c>
      <c r="D6204" t="s">
        <v>18737</v>
      </c>
      <c r="E6204" t="s">
        <v>18738</v>
      </c>
      <c r="F6204" t="s">
        <v>18739</v>
      </c>
      <c r="I6204" t="s">
        <v>184</v>
      </c>
      <c r="J6204" t="s">
        <v>30</v>
      </c>
      <c r="K6204" t="s">
        <v>185</v>
      </c>
      <c r="M6204" t="s">
        <v>18479</v>
      </c>
      <c r="N6204" t="str">
        <f>"1/23/2012 4:35:00 PM"</f>
        <v>1/23/2012 4:35:00 PM</v>
      </c>
      <c r="O6204" t="s">
        <v>18737</v>
      </c>
      <c r="T6204" t="s">
        <v>18738</v>
      </c>
    </row>
    <row r="6205" spans="1:20" x14ac:dyDescent="0.25">
      <c r="A6205" t="str">
        <f>"3050686"</f>
        <v>3050686</v>
      </c>
      <c r="B6205" t="s">
        <v>18740</v>
      </c>
      <c r="C6205" t="str">
        <f>"82532821"</f>
        <v>82532821</v>
      </c>
      <c r="D6205" t="s">
        <v>18741</v>
      </c>
      <c r="E6205" t="s">
        <v>18742</v>
      </c>
      <c r="F6205" t="s">
        <v>18743</v>
      </c>
      <c r="I6205" t="s">
        <v>184</v>
      </c>
      <c r="J6205" t="s">
        <v>30</v>
      </c>
      <c r="K6205" t="s">
        <v>185</v>
      </c>
      <c r="M6205" t="s">
        <v>18479</v>
      </c>
      <c r="N6205" t="str">
        <f>"1/23/2012 4:37:00 PM"</f>
        <v>1/23/2012 4:37:00 PM</v>
      </c>
      <c r="O6205" t="s">
        <v>18741</v>
      </c>
      <c r="T6205" t="s">
        <v>18742</v>
      </c>
    </row>
    <row r="6206" spans="1:20" x14ac:dyDescent="0.25">
      <c r="A6206" t="str">
        <f>"3063065"</f>
        <v>3063065</v>
      </c>
      <c r="B6206" t="s">
        <v>18744</v>
      </c>
      <c r="C6206" t="str">
        <f>"8300440"</f>
        <v>8300440</v>
      </c>
      <c r="D6206" t="s">
        <v>18745</v>
      </c>
      <c r="E6206" t="s">
        <v>18746</v>
      </c>
      <c r="F6206" t="s">
        <v>18747</v>
      </c>
      <c r="I6206" t="s">
        <v>184</v>
      </c>
      <c r="J6206" t="s">
        <v>30</v>
      </c>
      <c r="K6206" t="s">
        <v>185</v>
      </c>
      <c r="M6206" t="s">
        <v>18479</v>
      </c>
      <c r="N6206" t="str">
        <f>"1/24/2012 10:25:00 AM"</f>
        <v>1/24/2012 10:25:00 AM</v>
      </c>
      <c r="O6206" t="s">
        <v>18745</v>
      </c>
      <c r="T6206" t="s">
        <v>18746</v>
      </c>
    </row>
    <row r="6207" spans="1:20" x14ac:dyDescent="0.25">
      <c r="A6207" t="str">
        <f>"3044948"</f>
        <v>3044948</v>
      </c>
      <c r="B6207" t="s">
        <v>18748</v>
      </c>
      <c r="C6207" t="str">
        <f>"82524413"</f>
        <v>82524413</v>
      </c>
      <c r="D6207" t="s">
        <v>18749</v>
      </c>
      <c r="E6207" t="s">
        <v>18750</v>
      </c>
      <c r="F6207" t="s">
        <v>11162</v>
      </c>
      <c r="I6207" t="s">
        <v>29</v>
      </c>
      <c r="J6207" t="s">
        <v>30</v>
      </c>
      <c r="K6207" t="s">
        <v>11163</v>
      </c>
      <c r="M6207" t="s">
        <v>18432</v>
      </c>
      <c r="N6207" t="str">
        <f>"1/30/2012 2:22:00 PM"</f>
        <v>1/30/2012 2:22:00 PM</v>
      </c>
      <c r="O6207" t="s">
        <v>18749</v>
      </c>
      <c r="T6207" t="s">
        <v>18750</v>
      </c>
    </row>
    <row r="6208" spans="1:20" x14ac:dyDescent="0.25">
      <c r="A6208" t="str">
        <f>"3054252"</f>
        <v>3054252</v>
      </c>
      <c r="B6208" t="s">
        <v>18751</v>
      </c>
      <c r="C6208" t="str">
        <f>"10081250"</f>
        <v>10081250</v>
      </c>
      <c r="D6208" t="s">
        <v>18752</v>
      </c>
      <c r="F6208" t="s">
        <v>18753</v>
      </c>
      <c r="I6208" t="s">
        <v>29</v>
      </c>
      <c r="J6208" t="s">
        <v>30</v>
      </c>
      <c r="K6208" t="s">
        <v>31</v>
      </c>
      <c r="M6208" t="s">
        <v>18479</v>
      </c>
      <c r="N6208" t="str">
        <f>"1/30/2012 3:16:00 PM"</f>
        <v>1/30/2012 3:16:00 PM</v>
      </c>
      <c r="O6208" t="s">
        <v>18752</v>
      </c>
    </row>
    <row r="6209" spans="1:20" x14ac:dyDescent="0.25">
      <c r="A6209" t="str">
        <f>"3054040"</f>
        <v>3054040</v>
      </c>
      <c r="B6209" t="s">
        <v>18754</v>
      </c>
      <c r="C6209" t="str">
        <f>"10081250"</f>
        <v>10081250</v>
      </c>
      <c r="D6209" t="s">
        <v>18752</v>
      </c>
      <c r="F6209" t="s">
        <v>18753</v>
      </c>
      <c r="I6209" t="s">
        <v>29</v>
      </c>
      <c r="J6209" t="s">
        <v>30</v>
      </c>
      <c r="K6209" t="s">
        <v>31</v>
      </c>
      <c r="M6209" t="s">
        <v>18479</v>
      </c>
      <c r="N6209" t="str">
        <f>"1/30/2012 3:16:00 PM"</f>
        <v>1/30/2012 3:16:00 PM</v>
      </c>
      <c r="O6209" t="s">
        <v>18752</v>
      </c>
    </row>
    <row r="6210" spans="1:20" x14ac:dyDescent="0.25">
      <c r="A6210" t="str">
        <f>"3078825"</f>
        <v>3078825</v>
      </c>
      <c r="B6210" t="s">
        <v>18755</v>
      </c>
      <c r="C6210" t="str">
        <f>"10081250"</f>
        <v>10081250</v>
      </c>
      <c r="D6210" t="s">
        <v>18752</v>
      </c>
      <c r="F6210" t="s">
        <v>18753</v>
      </c>
      <c r="I6210" t="s">
        <v>29</v>
      </c>
      <c r="J6210" t="s">
        <v>30</v>
      </c>
      <c r="K6210" t="s">
        <v>31</v>
      </c>
      <c r="M6210" t="s">
        <v>18479</v>
      </c>
      <c r="N6210" t="str">
        <f>"1/30/2012 3:16:00 PM"</f>
        <v>1/30/2012 3:16:00 PM</v>
      </c>
      <c r="O6210" t="s">
        <v>18752</v>
      </c>
    </row>
    <row r="6211" spans="1:20" x14ac:dyDescent="0.25">
      <c r="A6211" t="str">
        <f>"3044325"</f>
        <v>3044325</v>
      </c>
      <c r="B6211" t="s">
        <v>18756</v>
      </c>
      <c r="C6211" t="str">
        <f>"8300274"</f>
        <v>8300274</v>
      </c>
      <c r="D6211" t="s">
        <v>18757</v>
      </c>
      <c r="E6211" t="s">
        <v>18758</v>
      </c>
      <c r="F6211" t="s">
        <v>18759</v>
      </c>
      <c r="I6211" t="s">
        <v>184</v>
      </c>
      <c r="J6211" t="s">
        <v>30</v>
      </c>
      <c r="K6211" t="s">
        <v>185</v>
      </c>
      <c r="M6211" t="s">
        <v>18470</v>
      </c>
      <c r="N6211" t="str">
        <f>"1/24/2012 11:19:00 AM"</f>
        <v>1/24/2012 11:19:00 AM</v>
      </c>
      <c r="O6211" t="s">
        <v>18757</v>
      </c>
      <c r="T6211" t="s">
        <v>18758</v>
      </c>
    </row>
    <row r="6212" spans="1:20" x14ac:dyDescent="0.25">
      <c r="A6212" t="str">
        <f>"3044248"</f>
        <v>3044248</v>
      </c>
      <c r="B6212" t="s">
        <v>18760</v>
      </c>
      <c r="C6212" t="str">
        <f>"13536000"</f>
        <v>13536000</v>
      </c>
      <c r="D6212" t="s">
        <v>18761</v>
      </c>
      <c r="E6212" t="s">
        <v>18762</v>
      </c>
      <c r="F6212" t="s">
        <v>18763</v>
      </c>
      <c r="I6212" t="s">
        <v>184</v>
      </c>
      <c r="J6212" t="s">
        <v>30</v>
      </c>
      <c r="K6212" t="s">
        <v>185</v>
      </c>
      <c r="M6212" t="s">
        <v>18479</v>
      </c>
      <c r="N6212" t="str">
        <f>"1/30/2012 5:01:00 PM"</f>
        <v>1/30/2012 5:01:00 PM</v>
      </c>
      <c r="O6212" t="s">
        <v>18761</v>
      </c>
      <c r="T6212" t="s">
        <v>18762</v>
      </c>
    </row>
    <row r="6213" spans="1:20" x14ac:dyDescent="0.25">
      <c r="A6213" t="str">
        <f>"3046294"</f>
        <v>3046294</v>
      </c>
      <c r="B6213" t="s">
        <v>18764</v>
      </c>
      <c r="C6213" t="str">
        <f>"82524670"</f>
        <v>82524670</v>
      </c>
      <c r="D6213" t="s">
        <v>18765</v>
      </c>
      <c r="E6213" t="s">
        <v>18766</v>
      </c>
      <c r="F6213" t="s">
        <v>18767</v>
      </c>
      <c r="I6213" t="s">
        <v>29</v>
      </c>
      <c r="J6213" t="s">
        <v>30</v>
      </c>
      <c r="K6213" t="s">
        <v>18768</v>
      </c>
      <c r="M6213" t="s">
        <v>18479</v>
      </c>
      <c r="N6213" t="str">
        <f>"1/24/2012 11:28:00 AM"</f>
        <v>1/24/2012 11:28:00 AM</v>
      </c>
      <c r="O6213" t="s">
        <v>18765</v>
      </c>
      <c r="T6213" t="s">
        <v>18766</v>
      </c>
    </row>
    <row r="6214" spans="1:20" x14ac:dyDescent="0.25">
      <c r="A6214" t="str">
        <f>"3056549"</f>
        <v>3056549</v>
      </c>
      <c r="B6214" t="s">
        <v>18769</v>
      </c>
      <c r="C6214" t="str">
        <f>"8300411"</f>
        <v>8300411</v>
      </c>
      <c r="D6214" t="s">
        <v>18770</v>
      </c>
      <c r="E6214" t="s">
        <v>18771</v>
      </c>
      <c r="F6214" t="s">
        <v>18772</v>
      </c>
      <c r="I6214" t="s">
        <v>29</v>
      </c>
      <c r="J6214" t="s">
        <v>30</v>
      </c>
      <c r="K6214" t="s">
        <v>31</v>
      </c>
      <c r="M6214" t="s">
        <v>18479</v>
      </c>
      <c r="N6214" t="str">
        <f>"1/24/2012 3:23:00 PM"</f>
        <v>1/24/2012 3:23:00 PM</v>
      </c>
      <c r="O6214" t="s">
        <v>18770</v>
      </c>
      <c r="T6214" t="s">
        <v>18771</v>
      </c>
    </row>
    <row r="6215" spans="1:20" x14ac:dyDescent="0.25">
      <c r="A6215" t="str">
        <f>"3047460"</f>
        <v>3047460</v>
      </c>
      <c r="B6215" t="s">
        <v>18773</v>
      </c>
      <c r="C6215" t="str">
        <f>"8300351"</f>
        <v>8300351</v>
      </c>
      <c r="D6215" t="s">
        <v>18774</v>
      </c>
      <c r="F6215" t="s">
        <v>18775</v>
      </c>
      <c r="I6215" t="s">
        <v>2280</v>
      </c>
      <c r="J6215" t="s">
        <v>30</v>
      </c>
      <c r="K6215" t="str">
        <f>"27292"</f>
        <v>27292</v>
      </c>
      <c r="M6215" t="s">
        <v>18479</v>
      </c>
      <c r="N6215" t="str">
        <f>"1/25/2012 8:25:00 AM"</f>
        <v>1/25/2012 8:25:00 AM</v>
      </c>
      <c r="O6215" t="s">
        <v>18774</v>
      </c>
    </row>
    <row r="6216" spans="1:20" x14ac:dyDescent="0.25">
      <c r="A6216" t="str">
        <f>"3046172"</f>
        <v>3046172</v>
      </c>
      <c r="B6216" t="s">
        <v>18776</v>
      </c>
      <c r="C6216" t="str">
        <f>"8300594"</f>
        <v>8300594</v>
      </c>
      <c r="D6216" t="s">
        <v>18777</v>
      </c>
      <c r="F6216" t="s">
        <v>18778</v>
      </c>
      <c r="I6216" t="s">
        <v>29</v>
      </c>
      <c r="J6216" t="s">
        <v>30</v>
      </c>
      <c r="K6216" t="str">
        <f>"27028"</f>
        <v>27028</v>
      </c>
      <c r="M6216" t="s">
        <v>17861</v>
      </c>
      <c r="N6216" t="str">
        <f>"1/25/2012 10:03:00 AM"</f>
        <v>1/25/2012 10:03:00 AM</v>
      </c>
      <c r="O6216" t="s">
        <v>18777</v>
      </c>
    </row>
    <row r="6217" spans="1:20" x14ac:dyDescent="0.25">
      <c r="A6217" t="str">
        <f>"3049915"</f>
        <v>3049915</v>
      </c>
      <c r="B6217" t="s">
        <v>18779</v>
      </c>
      <c r="C6217" t="str">
        <f>"82532063"</f>
        <v>82532063</v>
      </c>
      <c r="D6217" t="s">
        <v>18780</v>
      </c>
      <c r="F6217" t="s">
        <v>18781</v>
      </c>
      <c r="I6217" t="s">
        <v>29</v>
      </c>
      <c r="J6217" t="s">
        <v>30</v>
      </c>
      <c r="K6217" t="s">
        <v>31</v>
      </c>
      <c r="M6217" t="s">
        <v>18479</v>
      </c>
      <c r="N6217" t="str">
        <f>"2/1/2012 4:12:00 PM"</f>
        <v>2/1/2012 4:12:00 PM</v>
      </c>
      <c r="O6217" t="s">
        <v>18780</v>
      </c>
    </row>
    <row r="6218" spans="1:20" x14ac:dyDescent="0.25">
      <c r="A6218" t="str">
        <f>"3055583"</f>
        <v>3055583</v>
      </c>
      <c r="B6218" t="s">
        <v>18782</v>
      </c>
      <c r="C6218" t="str">
        <f>"1859000"</f>
        <v>1859000</v>
      </c>
      <c r="D6218" t="s">
        <v>18783</v>
      </c>
      <c r="E6218" t="s">
        <v>18784</v>
      </c>
      <c r="F6218" t="s">
        <v>18785</v>
      </c>
      <c r="I6218" t="s">
        <v>29</v>
      </c>
      <c r="J6218" t="s">
        <v>30</v>
      </c>
      <c r="K6218" t="s">
        <v>18786</v>
      </c>
      <c r="M6218" t="s">
        <v>18479</v>
      </c>
      <c r="N6218" t="str">
        <f>"2/1/2012 4:13:00 PM"</f>
        <v>2/1/2012 4:13:00 PM</v>
      </c>
      <c r="O6218" t="s">
        <v>18783</v>
      </c>
      <c r="T6218" t="s">
        <v>18784</v>
      </c>
    </row>
    <row r="6219" spans="1:20" x14ac:dyDescent="0.25">
      <c r="A6219" t="str">
        <f>"3053986"</f>
        <v>3053986</v>
      </c>
      <c r="B6219" t="s">
        <v>18787</v>
      </c>
      <c r="C6219" t="str">
        <f>"8300597"</f>
        <v>8300597</v>
      </c>
      <c r="D6219" t="s">
        <v>18788</v>
      </c>
      <c r="E6219" t="s">
        <v>18789</v>
      </c>
      <c r="F6219" t="s">
        <v>18790</v>
      </c>
      <c r="I6219" t="s">
        <v>29</v>
      </c>
      <c r="J6219" t="s">
        <v>30</v>
      </c>
      <c r="K6219" t="str">
        <f>"27028"</f>
        <v>27028</v>
      </c>
      <c r="M6219" t="s">
        <v>17861</v>
      </c>
      <c r="N6219" t="str">
        <f>"1/25/2012 10:09:00 AM"</f>
        <v>1/25/2012 10:09:00 AM</v>
      </c>
      <c r="O6219" t="s">
        <v>18788</v>
      </c>
      <c r="T6219" t="s">
        <v>18789</v>
      </c>
    </row>
    <row r="6220" spans="1:20" x14ac:dyDescent="0.25">
      <c r="A6220" t="str">
        <f>"3046155"</f>
        <v>3046155</v>
      </c>
      <c r="B6220" t="s">
        <v>18791</v>
      </c>
      <c r="C6220" t="str">
        <f>"3813500"</f>
        <v>3813500</v>
      </c>
      <c r="D6220" t="s">
        <v>18792</v>
      </c>
      <c r="E6220" t="s">
        <v>18793</v>
      </c>
      <c r="F6220" t="s">
        <v>18794</v>
      </c>
      <c r="I6220" t="s">
        <v>29</v>
      </c>
      <c r="J6220" t="s">
        <v>30</v>
      </c>
      <c r="K6220" t="s">
        <v>18795</v>
      </c>
      <c r="M6220" t="s">
        <v>18479</v>
      </c>
      <c r="N6220" t="str">
        <f>"1/25/2012 12:32:00 PM"</f>
        <v>1/25/2012 12:32:00 PM</v>
      </c>
      <c r="O6220" t="s">
        <v>18792</v>
      </c>
      <c r="T6220" t="s">
        <v>18793</v>
      </c>
    </row>
    <row r="6221" spans="1:20" x14ac:dyDescent="0.25">
      <c r="A6221" t="str">
        <f>"3041844"</f>
        <v>3041844</v>
      </c>
      <c r="B6221" t="s">
        <v>18796</v>
      </c>
      <c r="C6221" t="str">
        <f>"8300633"</f>
        <v>8300633</v>
      </c>
      <c r="D6221" t="s">
        <v>18797</v>
      </c>
      <c r="F6221" t="s">
        <v>18798</v>
      </c>
      <c r="I6221" t="s">
        <v>2071</v>
      </c>
      <c r="J6221" t="s">
        <v>30</v>
      </c>
      <c r="K6221" t="str">
        <f>"27006"</f>
        <v>27006</v>
      </c>
      <c r="M6221" t="s">
        <v>17861</v>
      </c>
      <c r="N6221" t="str">
        <f>"2/2/2012 3:20:00 PM"</f>
        <v>2/2/2012 3:20:00 PM</v>
      </c>
      <c r="O6221" t="s">
        <v>18797</v>
      </c>
    </row>
    <row r="6222" spans="1:20" x14ac:dyDescent="0.25">
      <c r="A6222" t="str">
        <f>"3042069"</f>
        <v>3042069</v>
      </c>
      <c r="B6222" t="s">
        <v>18799</v>
      </c>
      <c r="C6222" t="str">
        <f t="shared" ref="C6222:C6229" si="94">"23068000"</f>
        <v>23068000</v>
      </c>
      <c r="D6222" t="s">
        <v>18800</v>
      </c>
      <c r="E6222" t="s">
        <v>18801</v>
      </c>
      <c r="F6222" t="s">
        <v>18802</v>
      </c>
      <c r="I6222" t="s">
        <v>29</v>
      </c>
      <c r="J6222" t="s">
        <v>30</v>
      </c>
      <c r="K6222" t="s">
        <v>4087</v>
      </c>
      <c r="M6222" t="s">
        <v>18479</v>
      </c>
      <c r="N6222" t="str">
        <f t="shared" ref="N6222:N6229" si="95">"2/2/2012 4:17:00 PM"</f>
        <v>2/2/2012 4:17:00 PM</v>
      </c>
      <c r="O6222" t="s">
        <v>18800</v>
      </c>
      <c r="T6222" t="s">
        <v>18801</v>
      </c>
    </row>
    <row r="6223" spans="1:20" x14ac:dyDescent="0.25">
      <c r="A6223" t="str">
        <f>"3042065"</f>
        <v>3042065</v>
      </c>
      <c r="B6223" t="s">
        <v>18803</v>
      </c>
      <c r="C6223" t="str">
        <f t="shared" si="94"/>
        <v>23068000</v>
      </c>
      <c r="D6223" t="s">
        <v>18800</v>
      </c>
      <c r="E6223" t="s">
        <v>18801</v>
      </c>
      <c r="F6223" t="s">
        <v>18802</v>
      </c>
      <c r="I6223" t="s">
        <v>29</v>
      </c>
      <c r="J6223" t="s">
        <v>30</v>
      </c>
      <c r="K6223" t="s">
        <v>4087</v>
      </c>
      <c r="M6223" t="s">
        <v>18479</v>
      </c>
      <c r="N6223" t="str">
        <f t="shared" si="95"/>
        <v>2/2/2012 4:17:00 PM</v>
      </c>
      <c r="O6223" t="s">
        <v>18800</v>
      </c>
      <c r="T6223" t="s">
        <v>18801</v>
      </c>
    </row>
    <row r="6224" spans="1:20" x14ac:dyDescent="0.25">
      <c r="A6224" t="str">
        <f>"3042087"</f>
        <v>3042087</v>
      </c>
      <c r="B6224" t="s">
        <v>18804</v>
      </c>
      <c r="C6224" t="str">
        <f t="shared" si="94"/>
        <v>23068000</v>
      </c>
      <c r="D6224" t="s">
        <v>18800</v>
      </c>
      <c r="E6224" t="s">
        <v>18801</v>
      </c>
      <c r="F6224" t="s">
        <v>18802</v>
      </c>
      <c r="I6224" t="s">
        <v>29</v>
      </c>
      <c r="J6224" t="s">
        <v>30</v>
      </c>
      <c r="K6224" t="s">
        <v>4087</v>
      </c>
      <c r="M6224" t="s">
        <v>18479</v>
      </c>
      <c r="N6224" t="str">
        <f t="shared" si="95"/>
        <v>2/2/2012 4:17:00 PM</v>
      </c>
      <c r="O6224" t="s">
        <v>18800</v>
      </c>
      <c r="T6224" t="s">
        <v>18801</v>
      </c>
    </row>
    <row r="6225" spans="1:20" x14ac:dyDescent="0.25">
      <c r="A6225" t="str">
        <f>"3042164"</f>
        <v>3042164</v>
      </c>
      <c r="B6225" t="s">
        <v>18805</v>
      </c>
      <c r="C6225" t="str">
        <f t="shared" si="94"/>
        <v>23068000</v>
      </c>
      <c r="D6225" t="s">
        <v>18800</v>
      </c>
      <c r="E6225" t="s">
        <v>18801</v>
      </c>
      <c r="F6225" t="s">
        <v>18802</v>
      </c>
      <c r="I6225" t="s">
        <v>29</v>
      </c>
      <c r="J6225" t="s">
        <v>30</v>
      </c>
      <c r="K6225" t="s">
        <v>4087</v>
      </c>
      <c r="M6225" t="s">
        <v>18479</v>
      </c>
      <c r="N6225" t="str">
        <f t="shared" si="95"/>
        <v>2/2/2012 4:17:00 PM</v>
      </c>
      <c r="O6225" t="s">
        <v>18800</v>
      </c>
      <c r="T6225" t="s">
        <v>18801</v>
      </c>
    </row>
    <row r="6226" spans="1:20" x14ac:dyDescent="0.25">
      <c r="A6226" t="str">
        <f>"3042986"</f>
        <v>3042986</v>
      </c>
      <c r="B6226" t="s">
        <v>18806</v>
      </c>
      <c r="C6226" t="str">
        <f t="shared" si="94"/>
        <v>23068000</v>
      </c>
      <c r="D6226" t="s">
        <v>18800</v>
      </c>
      <c r="E6226" t="s">
        <v>18801</v>
      </c>
      <c r="F6226" t="s">
        <v>18802</v>
      </c>
      <c r="I6226" t="s">
        <v>29</v>
      </c>
      <c r="J6226" t="s">
        <v>30</v>
      </c>
      <c r="K6226" t="s">
        <v>4087</v>
      </c>
      <c r="M6226" t="s">
        <v>18479</v>
      </c>
      <c r="N6226" t="str">
        <f t="shared" si="95"/>
        <v>2/2/2012 4:17:00 PM</v>
      </c>
      <c r="O6226" t="s">
        <v>18800</v>
      </c>
      <c r="T6226" t="s">
        <v>18801</v>
      </c>
    </row>
    <row r="6227" spans="1:20" x14ac:dyDescent="0.25">
      <c r="A6227" t="str">
        <f>"3077005"</f>
        <v>3077005</v>
      </c>
      <c r="B6227" t="s">
        <v>18807</v>
      </c>
      <c r="C6227" t="str">
        <f t="shared" si="94"/>
        <v>23068000</v>
      </c>
      <c r="D6227" t="s">
        <v>18800</v>
      </c>
      <c r="E6227" t="s">
        <v>18801</v>
      </c>
      <c r="F6227" t="s">
        <v>18802</v>
      </c>
      <c r="I6227" t="s">
        <v>29</v>
      </c>
      <c r="J6227" t="s">
        <v>30</v>
      </c>
      <c r="K6227" t="s">
        <v>4087</v>
      </c>
      <c r="M6227" t="s">
        <v>18479</v>
      </c>
      <c r="N6227" t="str">
        <f t="shared" si="95"/>
        <v>2/2/2012 4:17:00 PM</v>
      </c>
      <c r="O6227" t="s">
        <v>18800</v>
      </c>
      <c r="T6227" t="s">
        <v>18801</v>
      </c>
    </row>
    <row r="6228" spans="1:20" x14ac:dyDescent="0.25">
      <c r="A6228" t="str">
        <f>"3077006"</f>
        <v>3077006</v>
      </c>
      <c r="B6228" t="s">
        <v>18808</v>
      </c>
      <c r="C6228" t="str">
        <f t="shared" si="94"/>
        <v>23068000</v>
      </c>
      <c r="D6228" t="s">
        <v>18800</v>
      </c>
      <c r="E6228" t="s">
        <v>18801</v>
      </c>
      <c r="F6228" t="s">
        <v>18802</v>
      </c>
      <c r="I6228" t="s">
        <v>29</v>
      </c>
      <c r="J6228" t="s">
        <v>30</v>
      </c>
      <c r="K6228" t="s">
        <v>4087</v>
      </c>
      <c r="M6228" t="s">
        <v>18479</v>
      </c>
      <c r="N6228" t="str">
        <f t="shared" si="95"/>
        <v>2/2/2012 4:17:00 PM</v>
      </c>
      <c r="O6228" t="s">
        <v>18800</v>
      </c>
      <c r="T6228" t="s">
        <v>18801</v>
      </c>
    </row>
    <row r="6229" spans="1:20" x14ac:dyDescent="0.25">
      <c r="A6229" t="str">
        <f>"3077002"</f>
        <v>3077002</v>
      </c>
      <c r="B6229" t="s">
        <v>18809</v>
      </c>
      <c r="C6229" t="str">
        <f t="shared" si="94"/>
        <v>23068000</v>
      </c>
      <c r="D6229" t="s">
        <v>18800</v>
      </c>
      <c r="E6229" t="s">
        <v>18801</v>
      </c>
      <c r="F6229" t="s">
        <v>18802</v>
      </c>
      <c r="I6229" t="s">
        <v>29</v>
      </c>
      <c r="J6229" t="s">
        <v>30</v>
      </c>
      <c r="K6229" t="s">
        <v>4087</v>
      </c>
      <c r="M6229" t="s">
        <v>18479</v>
      </c>
      <c r="N6229" t="str">
        <f t="shared" si="95"/>
        <v>2/2/2012 4:17:00 PM</v>
      </c>
      <c r="O6229" t="s">
        <v>18800</v>
      </c>
      <c r="T6229" t="s">
        <v>18801</v>
      </c>
    </row>
    <row r="6230" spans="1:20" x14ac:dyDescent="0.25">
      <c r="A6230" t="str">
        <f>"3052367"</f>
        <v>3052367</v>
      </c>
      <c r="B6230" t="s">
        <v>18810</v>
      </c>
      <c r="C6230" t="str">
        <f>"8300615"</f>
        <v>8300615</v>
      </c>
      <c r="D6230" t="s">
        <v>18811</v>
      </c>
      <c r="E6230" t="s">
        <v>18812</v>
      </c>
      <c r="F6230" t="s">
        <v>18813</v>
      </c>
      <c r="I6230" t="s">
        <v>29</v>
      </c>
      <c r="J6230" t="s">
        <v>30</v>
      </c>
      <c r="K6230" t="str">
        <f>"27028"</f>
        <v>27028</v>
      </c>
      <c r="M6230" t="s">
        <v>17861</v>
      </c>
      <c r="N6230" t="str">
        <f>"1/25/2012 1:29:00 PM"</f>
        <v>1/25/2012 1:29:00 PM</v>
      </c>
      <c r="O6230" t="s">
        <v>18811</v>
      </c>
      <c r="T6230" t="s">
        <v>18812</v>
      </c>
    </row>
    <row r="6231" spans="1:20" x14ac:dyDescent="0.25">
      <c r="A6231" t="str">
        <f>"3045269"</f>
        <v>3045269</v>
      </c>
      <c r="B6231" t="s">
        <v>18814</v>
      </c>
      <c r="C6231" t="str">
        <f>"21708000"</f>
        <v>21708000</v>
      </c>
      <c r="D6231" t="s">
        <v>7743</v>
      </c>
      <c r="E6231" t="s">
        <v>18815</v>
      </c>
      <c r="F6231" t="s">
        <v>7744</v>
      </c>
      <c r="I6231" t="s">
        <v>29</v>
      </c>
      <c r="J6231" t="s">
        <v>30</v>
      </c>
      <c r="K6231" t="s">
        <v>18049</v>
      </c>
      <c r="M6231" t="s">
        <v>18479</v>
      </c>
      <c r="N6231" t="str">
        <f>"2/3/2012 3:03:00 PM"</f>
        <v>2/3/2012 3:03:00 PM</v>
      </c>
      <c r="O6231" t="s">
        <v>7743</v>
      </c>
      <c r="T6231" t="s">
        <v>18815</v>
      </c>
    </row>
    <row r="6232" spans="1:20" x14ac:dyDescent="0.25">
      <c r="A6232" t="str">
        <f>"3078058"</f>
        <v>3078058</v>
      </c>
      <c r="B6232" t="s">
        <v>18816</v>
      </c>
      <c r="C6232" t="str">
        <f>"21708000"</f>
        <v>21708000</v>
      </c>
      <c r="D6232" t="s">
        <v>7743</v>
      </c>
      <c r="E6232" t="s">
        <v>18815</v>
      </c>
      <c r="F6232" t="s">
        <v>7744</v>
      </c>
      <c r="I6232" t="s">
        <v>29</v>
      </c>
      <c r="J6232" t="s">
        <v>30</v>
      </c>
      <c r="K6232" t="s">
        <v>18049</v>
      </c>
      <c r="M6232" t="s">
        <v>18479</v>
      </c>
      <c r="N6232" t="str">
        <f>"2/3/2012 3:03:00 PM"</f>
        <v>2/3/2012 3:03:00 PM</v>
      </c>
      <c r="O6232" t="s">
        <v>7743</v>
      </c>
      <c r="T6232" t="s">
        <v>18815</v>
      </c>
    </row>
    <row r="6233" spans="1:20" x14ac:dyDescent="0.25">
      <c r="A6233" t="str">
        <f>"3037401"</f>
        <v>3037401</v>
      </c>
      <c r="B6233" t="s">
        <v>18817</v>
      </c>
      <c r="C6233" t="str">
        <f>"8300309"</f>
        <v>8300309</v>
      </c>
      <c r="D6233" t="s">
        <v>18818</v>
      </c>
      <c r="E6233" t="s">
        <v>18819</v>
      </c>
      <c r="F6233" t="s">
        <v>18820</v>
      </c>
      <c r="I6233" t="s">
        <v>184</v>
      </c>
      <c r="J6233" t="s">
        <v>30</v>
      </c>
      <c r="K6233" t="s">
        <v>185</v>
      </c>
      <c r="M6233" t="s">
        <v>18479</v>
      </c>
      <c r="N6233" t="str">
        <f>"2/3/2012 3:19:00 PM"</f>
        <v>2/3/2012 3:19:00 PM</v>
      </c>
      <c r="O6233" t="s">
        <v>18818</v>
      </c>
      <c r="T6233" t="s">
        <v>18819</v>
      </c>
    </row>
    <row r="6234" spans="1:20" x14ac:dyDescent="0.25">
      <c r="A6234" t="str">
        <f>"3053935"</f>
        <v>3053935</v>
      </c>
      <c r="B6234" t="s">
        <v>18821</v>
      </c>
      <c r="C6234" t="str">
        <f>"21408000"</f>
        <v>21408000</v>
      </c>
      <c r="D6234" t="s">
        <v>18822</v>
      </c>
      <c r="E6234" t="s">
        <v>18823</v>
      </c>
      <c r="F6234" t="s">
        <v>18824</v>
      </c>
      <c r="I6234" t="s">
        <v>29</v>
      </c>
      <c r="J6234" t="s">
        <v>30</v>
      </c>
      <c r="K6234" t="s">
        <v>18825</v>
      </c>
      <c r="M6234" t="s">
        <v>18479</v>
      </c>
      <c r="N6234" t="str">
        <f>"2/3/2012 3:29:00 PM"</f>
        <v>2/3/2012 3:29:00 PM</v>
      </c>
      <c r="O6234" t="s">
        <v>18822</v>
      </c>
      <c r="T6234" t="s">
        <v>18823</v>
      </c>
    </row>
    <row r="6235" spans="1:20" x14ac:dyDescent="0.25">
      <c r="A6235" t="str">
        <f>"3053827"</f>
        <v>3053827</v>
      </c>
      <c r="B6235" t="s">
        <v>18826</v>
      </c>
      <c r="C6235" t="str">
        <f>"21408000"</f>
        <v>21408000</v>
      </c>
      <c r="D6235" t="s">
        <v>18822</v>
      </c>
      <c r="E6235" t="s">
        <v>18823</v>
      </c>
      <c r="F6235" t="s">
        <v>18824</v>
      </c>
      <c r="I6235" t="s">
        <v>29</v>
      </c>
      <c r="J6235" t="s">
        <v>30</v>
      </c>
      <c r="K6235" t="s">
        <v>18825</v>
      </c>
      <c r="M6235" t="s">
        <v>18479</v>
      </c>
      <c r="N6235" t="str">
        <f>"2/3/2012 3:29:00 PM"</f>
        <v>2/3/2012 3:29:00 PM</v>
      </c>
      <c r="O6235" t="s">
        <v>18822</v>
      </c>
      <c r="T6235" t="s">
        <v>18823</v>
      </c>
    </row>
    <row r="6236" spans="1:20" x14ac:dyDescent="0.25">
      <c r="A6236" t="str">
        <f>"3053438"</f>
        <v>3053438</v>
      </c>
      <c r="B6236" t="s">
        <v>18827</v>
      </c>
      <c r="C6236" t="str">
        <f>"19493000"</f>
        <v>19493000</v>
      </c>
      <c r="D6236" t="s">
        <v>18828</v>
      </c>
      <c r="E6236" t="s">
        <v>18829</v>
      </c>
      <c r="F6236" t="s">
        <v>18830</v>
      </c>
      <c r="I6236" t="s">
        <v>29</v>
      </c>
      <c r="J6236" t="s">
        <v>30</v>
      </c>
      <c r="K6236" t="s">
        <v>13576</v>
      </c>
      <c r="M6236" t="s">
        <v>18479</v>
      </c>
      <c r="N6236" t="str">
        <f>"2/3/2012 3:32:00 PM"</f>
        <v>2/3/2012 3:32:00 PM</v>
      </c>
      <c r="O6236" t="s">
        <v>18828</v>
      </c>
      <c r="T6236" t="s">
        <v>18829</v>
      </c>
    </row>
    <row r="6237" spans="1:20" x14ac:dyDescent="0.25">
      <c r="A6237" t="str">
        <f>"3056989"</f>
        <v>3056989</v>
      </c>
      <c r="B6237" t="s">
        <v>18831</v>
      </c>
      <c r="C6237" t="str">
        <f>"20032000"</f>
        <v>20032000</v>
      </c>
      <c r="D6237" t="s">
        <v>10918</v>
      </c>
      <c r="F6237" t="s">
        <v>18832</v>
      </c>
      <c r="I6237" t="s">
        <v>29</v>
      </c>
      <c r="J6237" t="s">
        <v>30</v>
      </c>
      <c r="K6237" t="s">
        <v>10915</v>
      </c>
      <c r="M6237" t="s">
        <v>18479</v>
      </c>
      <c r="N6237" t="str">
        <f>"2/3/2012 4:25:00 PM"</f>
        <v>2/3/2012 4:25:00 PM</v>
      </c>
      <c r="O6237" t="s">
        <v>10918</v>
      </c>
    </row>
    <row r="6238" spans="1:20" x14ac:dyDescent="0.25">
      <c r="A6238" t="str">
        <f>"3056990"</f>
        <v>3056990</v>
      </c>
      <c r="B6238" t="s">
        <v>18833</v>
      </c>
      <c r="C6238" t="str">
        <f>"20032000"</f>
        <v>20032000</v>
      </c>
      <c r="D6238" t="s">
        <v>10918</v>
      </c>
      <c r="F6238" t="s">
        <v>18832</v>
      </c>
      <c r="I6238" t="s">
        <v>29</v>
      </c>
      <c r="J6238" t="s">
        <v>30</v>
      </c>
      <c r="K6238" t="s">
        <v>10915</v>
      </c>
      <c r="M6238" t="s">
        <v>18479</v>
      </c>
      <c r="N6238" t="str">
        <f>"2/3/2012 4:25:00 PM"</f>
        <v>2/3/2012 4:25:00 PM</v>
      </c>
      <c r="O6238" t="s">
        <v>10918</v>
      </c>
    </row>
    <row r="6239" spans="1:20" x14ac:dyDescent="0.25">
      <c r="A6239" t="str">
        <f>"3056991"</f>
        <v>3056991</v>
      </c>
      <c r="B6239" t="s">
        <v>18834</v>
      </c>
      <c r="C6239" t="str">
        <f>"20032000"</f>
        <v>20032000</v>
      </c>
      <c r="D6239" t="s">
        <v>10918</v>
      </c>
      <c r="F6239" t="s">
        <v>18832</v>
      </c>
      <c r="I6239" t="s">
        <v>29</v>
      </c>
      <c r="J6239" t="s">
        <v>30</v>
      </c>
      <c r="K6239" t="s">
        <v>10915</v>
      </c>
      <c r="M6239" t="s">
        <v>18479</v>
      </c>
      <c r="N6239" t="str">
        <f>"2/3/2012 4:25:00 PM"</f>
        <v>2/3/2012 4:25:00 PM</v>
      </c>
      <c r="O6239" t="s">
        <v>10918</v>
      </c>
    </row>
    <row r="6240" spans="1:20" x14ac:dyDescent="0.25">
      <c r="A6240" t="str">
        <f>"3057005"</f>
        <v>3057005</v>
      </c>
      <c r="B6240" t="s">
        <v>18835</v>
      </c>
      <c r="C6240" t="str">
        <f>"20032000"</f>
        <v>20032000</v>
      </c>
      <c r="D6240" t="s">
        <v>10918</v>
      </c>
      <c r="F6240" t="s">
        <v>18832</v>
      </c>
      <c r="I6240" t="s">
        <v>29</v>
      </c>
      <c r="J6240" t="s">
        <v>30</v>
      </c>
      <c r="K6240" t="s">
        <v>10915</v>
      </c>
      <c r="M6240" t="s">
        <v>18479</v>
      </c>
      <c r="N6240" t="str">
        <f>"2/3/2012 4:25:00 PM"</f>
        <v>2/3/2012 4:25:00 PM</v>
      </c>
      <c r="O6240" t="s">
        <v>10918</v>
      </c>
    </row>
    <row r="6241" spans="1:20" x14ac:dyDescent="0.25">
      <c r="A6241" t="str">
        <f>"3057006"</f>
        <v>3057006</v>
      </c>
      <c r="B6241" t="s">
        <v>18836</v>
      </c>
      <c r="C6241" t="str">
        <f>"20032000"</f>
        <v>20032000</v>
      </c>
      <c r="D6241" t="s">
        <v>10918</v>
      </c>
      <c r="F6241" t="s">
        <v>18832</v>
      </c>
      <c r="I6241" t="s">
        <v>29</v>
      </c>
      <c r="J6241" t="s">
        <v>30</v>
      </c>
      <c r="K6241" t="s">
        <v>10915</v>
      </c>
      <c r="M6241" t="s">
        <v>18479</v>
      </c>
      <c r="N6241" t="str">
        <f>"2/3/2012 4:25:00 PM"</f>
        <v>2/3/2012 4:25:00 PM</v>
      </c>
      <c r="O6241" t="s">
        <v>10918</v>
      </c>
    </row>
    <row r="6242" spans="1:20" x14ac:dyDescent="0.25">
      <c r="A6242" t="str">
        <f>"3055935"</f>
        <v>3055935</v>
      </c>
      <c r="B6242" t="s">
        <v>18837</v>
      </c>
      <c r="C6242" t="str">
        <f>"82517487"</f>
        <v>82517487</v>
      </c>
      <c r="D6242" t="s">
        <v>18838</v>
      </c>
      <c r="F6242" t="s">
        <v>18839</v>
      </c>
      <c r="I6242" t="s">
        <v>9580</v>
      </c>
      <c r="J6242" t="s">
        <v>30</v>
      </c>
      <c r="K6242" t="s">
        <v>18840</v>
      </c>
      <c r="M6242" t="s">
        <v>18479</v>
      </c>
      <c r="N6242" t="str">
        <f>"1/25/2012 4:24:00 PM"</f>
        <v>1/25/2012 4:24:00 PM</v>
      </c>
      <c r="O6242" t="s">
        <v>18838</v>
      </c>
    </row>
    <row r="6243" spans="1:20" x14ac:dyDescent="0.25">
      <c r="A6243" t="str">
        <f>"3060560"</f>
        <v>3060560</v>
      </c>
      <c r="B6243" t="s">
        <v>18841</v>
      </c>
      <c r="C6243" t="str">
        <f>"82533071"</f>
        <v>82533071</v>
      </c>
      <c r="D6243" t="s">
        <v>18842</v>
      </c>
      <c r="F6243" t="s">
        <v>18843</v>
      </c>
      <c r="I6243" t="s">
        <v>2071</v>
      </c>
      <c r="J6243" t="s">
        <v>30</v>
      </c>
      <c r="K6243" t="str">
        <f>"27006"</f>
        <v>27006</v>
      </c>
      <c r="M6243" t="s">
        <v>18479</v>
      </c>
      <c r="N6243" t="str">
        <f>"2/6/2012 9:18:00 AM"</f>
        <v>2/6/2012 9:18:00 AM</v>
      </c>
      <c r="O6243" t="s">
        <v>18842</v>
      </c>
    </row>
    <row r="6244" spans="1:20" x14ac:dyDescent="0.25">
      <c r="A6244" t="str">
        <f>"3076916"</f>
        <v>3076916</v>
      </c>
      <c r="B6244" t="s">
        <v>18844</v>
      </c>
      <c r="C6244" t="str">
        <f>"82532943"</f>
        <v>82532943</v>
      </c>
      <c r="D6244" t="s">
        <v>18845</v>
      </c>
      <c r="E6244" t="s">
        <v>18846</v>
      </c>
      <c r="F6244" t="s">
        <v>18847</v>
      </c>
      <c r="I6244" t="s">
        <v>184</v>
      </c>
      <c r="J6244" t="s">
        <v>30</v>
      </c>
      <c r="K6244" t="s">
        <v>185</v>
      </c>
      <c r="M6244" t="s">
        <v>18479</v>
      </c>
      <c r="N6244" t="str">
        <f>"2/6/2012 9:19:00 AM"</f>
        <v>2/6/2012 9:19:00 AM</v>
      </c>
      <c r="O6244" t="s">
        <v>18845</v>
      </c>
      <c r="T6244" t="s">
        <v>18846</v>
      </c>
    </row>
    <row r="6245" spans="1:20" x14ac:dyDescent="0.25">
      <c r="A6245" t="str">
        <f>"3061606"</f>
        <v>3061606</v>
      </c>
      <c r="B6245" t="s">
        <v>18848</v>
      </c>
      <c r="C6245" t="str">
        <f>"8300302"</f>
        <v>8300302</v>
      </c>
      <c r="D6245" t="s">
        <v>18849</v>
      </c>
      <c r="E6245" t="s">
        <v>18850</v>
      </c>
      <c r="F6245" t="s">
        <v>18851</v>
      </c>
      <c r="I6245" t="s">
        <v>184</v>
      </c>
      <c r="J6245" t="s">
        <v>30</v>
      </c>
      <c r="K6245" t="s">
        <v>185</v>
      </c>
      <c r="M6245" t="s">
        <v>18479</v>
      </c>
      <c r="N6245" t="str">
        <f>"2/6/2012 9:26:00 AM"</f>
        <v>2/6/2012 9:26:00 AM</v>
      </c>
      <c r="O6245" t="s">
        <v>18849</v>
      </c>
      <c r="T6245" t="s">
        <v>18850</v>
      </c>
    </row>
    <row r="6246" spans="1:20" x14ac:dyDescent="0.25">
      <c r="A6246" t="str">
        <f>"3040315"</f>
        <v>3040315</v>
      </c>
      <c r="B6246" t="s">
        <v>18852</v>
      </c>
      <c r="C6246" t="str">
        <f>"82514771"</f>
        <v>82514771</v>
      </c>
      <c r="D6246" t="s">
        <v>18853</v>
      </c>
      <c r="E6246" t="s">
        <v>18854</v>
      </c>
      <c r="F6246" t="s">
        <v>18855</v>
      </c>
      <c r="I6246" t="s">
        <v>184</v>
      </c>
      <c r="J6246" t="s">
        <v>30</v>
      </c>
      <c r="K6246" t="s">
        <v>185</v>
      </c>
      <c r="M6246" t="s">
        <v>18479</v>
      </c>
      <c r="N6246" t="str">
        <f>"2/6/2012 9:46:00 AM"</f>
        <v>2/6/2012 9:46:00 AM</v>
      </c>
      <c r="O6246" t="s">
        <v>18853</v>
      </c>
      <c r="T6246" t="s">
        <v>18854</v>
      </c>
    </row>
    <row r="6247" spans="1:20" x14ac:dyDescent="0.25">
      <c r="A6247" t="str">
        <f>"3060880"</f>
        <v>3060880</v>
      </c>
      <c r="B6247" t="s">
        <v>18856</v>
      </c>
      <c r="C6247" t="str">
        <f>"82526288"</f>
        <v>82526288</v>
      </c>
      <c r="D6247" t="s">
        <v>18857</v>
      </c>
      <c r="E6247" t="s">
        <v>18858</v>
      </c>
      <c r="F6247" t="s">
        <v>18859</v>
      </c>
      <c r="I6247" t="s">
        <v>184</v>
      </c>
      <c r="J6247" t="s">
        <v>30</v>
      </c>
      <c r="K6247" t="s">
        <v>185</v>
      </c>
      <c r="M6247" t="s">
        <v>18479</v>
      </c>
      <c r="N6247" t="str">
        <f>"1/26/2012 12:01:00 PM"</f>
        <v>1/26/2012 12:01:00 PM</v>
      </c>
      <c r="O6247" t="s">
        <v>18857</v>
      </c>
      <c r="T6247" t="s">
        <v>18858</v>
      </c>
    </row>
    <row r="6248" spans="1:20" x14ac:dyDescent="0.25">
      <c r="A6248" t="str">
        <f>"3048234"</f>
        <v>3048234</v>
      </c>
      <c r="B6248" t="s">
        <v>18860</v>
      </c>
      <c r="C6248" t="str">
        <f>"12652000"</f>
        <v>12652000</v>
      </c>
      <c r="D6248" t="s">
        <v>18861</v>
      </c>
      <c r="E6248" t="s">
        <v>18862</v>
      </c>
      <c r="F6248" t="s">
        <v>18863</v>
      </c>
      <c r="I6248" t="s">
        <v>1149</v>
      </c>
      <c r="J6248" t="s">
        <v>30</v>
      </c>
      <c r="K6248" t="s">
        <v>9441</v>
      </c>
      <c r="M6248" t="s">
        <v>18479</v>
      </c>
      <c r="N6248" t="str">
        <f>"1/26/2012 12:48:00 PM"</f>
        <v>1/26/2012 12:48:00 PM</v>
      </c>
      <c r="O6248" t="s">
        <v>18861</v>
      </c>
      <c r="T6248" t="s">
        <v>18862</v>
      </c>
    </row>
    <row r="6249" spans="1:20" x14ac:dyDescent="0.25">
      <c r="A6249" t="str">
        <f>"3061102"</f>
        <v>3061102</v>
      </c>
      <c r="B6249" t="s">
        <v>18864</v>
      </c>
      <c r="C6249" t="str">
        <f>"15884500"</f>
        <v>15884500</v>
      </c>
      <c r="D6249" t="s">
        <v>18865</v>
      </c>
      <c r="E6249" t="s">
        <v>18866</v>
      </c>
      <c r="F6249" t="s">
        <v>18867</v>
      </c>
      <c r="I6249" t="s">
        <v>184</v>
      </c>
      <c r="J6249" t="s">
        <v>30</v>
      </c>
      <c r="K6249" t="s">
        <v>185</v>
      </c>
      <c r="M6249" t="s">
        <v>18479</v>
      </c>
      <c r="N6249" t="str">
        <f>"1/27/2012 8:44:00 AM"</f>
        <v>1/27/2012 8:44:00 AM</v>
      </c>
      <c r="O6249" t="s">
        <v>18865</v>
      </c>
      <c r="T6249" t="s">
        <v>18866</v>
      </c>
    </row>
    <row r="6250" spans="1:20" x14ac:dyDescent="0.25">
      <c r="A6250" t="str">
        <f>"3044594"</f>
        <v>3044594</v>
      </c>
      <c r="B6250" t="s">
        <v>18868</v>
      </c>
      <c r="C6250" t="str">
        <f>"8300462"</f>
        <v>8300462</v>
      </c>
      <c r="D6250" t="s">
        <v>18869</v>
      </c>
      <c r="E6250" t="s">
        <v>18870</v>
      </c>
      <c r="F6250" t="s">
        <v>18871</v>
      </c>
      <c r="I6250" t="s">
        <v>184</v>
      </c>
      <c r="J6250" t="s">
        <v>30</v>
      </c>
      <c r="K6250" t="s">
        <v>185</v>
      </c>
      <c r="M6250" t="s">
        <v>18479</v>
      </c>
      <c r="N6250" t="str">
        <f>"1/27/2012 9:22:00 AM"</f>
        <v>1/27/2012 9:22:00 AM</v>
      </c>
      <c r="O6250" t="s">
        <v>18869</v>
      </c>
      <c r="T6250" t="s">
        <v>18870</v>
      </c>
    </row>
    <row r="6251" spans="1:20" x14ac:dyDescent="0.25">
      <c r="A6251" t="str">
        <f>"3058078"</f>
        <v>3058078</v>
      </c>
      <c r="B6251" t="s">
        <v>18872</v>
      </c>
      <c r="C6251" t="str">
        <f>"82532987"</f>
        <v>82532987</v>
      </c>
      <c r="D6251" t="s">
        <v>1747</v>
      </c>
      <c r="F6251" t="s">
        <v>18873</v>
      </c>
      <c r="I6251" t="s">
        <v>184</v>
      </c>
      <c r="J6251" t="s">
        <v>30</v>
      </c>
      <c r="K6251" t="s">
        <v>185</v>
      </c>
      <c r="M6251" t="s">
        <v>18479</v>
      </c>
      <c r="N6251" t="str">
        <f>"1/20/2012 10:08:00 AM"</f>
        <v>1/20/2012 10:08:00 AM</v>
      </c>
      <c r="O6251" t="s">
        <v>1747</v>
      </c>
    </row>
    <row r="6252" spans="1:20" x14ac:dyDescent="0.25">
      <c r="A6252" t="str">
        <f>"3062521"</f>
        <v>3062521</v>
      </c>
      <c r="B6252" t="s">
        <v>18874</v>
      </c>
      <c r="C6252" t="str">
        <f>"24438500"</f>
        <v>24438500</v>
      </c>
      <c r="D6252" t="s">
        <v>18875</v>
      </c>
      <c r="E6252" t="s">
        <v>18876</v>
      </c>
      <c r="F6252" t="s">
        <v>18877</v>
      </c>
      <c r="I6252" t="s">
        <v>184</v>
      </c>
      <c r="J6252" t="s">
        <v>30</v>
      </c>
      <c r="K6252" t="s">
        <v>18878</v>
      </c>
      <c r="M6252" t="s">
        <v>18479</v>
      </c>
      <c r="N6252" t="str">
        <f>"2/7/2012 10:57:00 AM"</f>
        <v>2/7/2012 10:57:00 AM</v>
      </c>
      <c r="O6252" t="s">
        <v>18875</v>
      </c>
      <c r="T6252" t="s">
        <v>18876</v>
      </c>
    </row>
    <row r="6253" spans="1:20" x14ac:dyDescent="0.25">
      <c r="A6253" t="str">
        <f>"3078165"</f>
        <v>3078165</v>
      </c>
      <c r="B6253" t="s">
        <v>18879</v>
      </c>
      <c r="C6253" t="str">
        <f>"24573500"</f>
        <v>24573500</v>
      </c>
      <c r="D6253" t="s">
        <v>18880</v>
      </c>
      <c r="E6253" t="s">
        <v>18881</v>
      </c>
      <c r="F6253" t="s">
        <v>18882</v>
      </c>
      <c r="I6253" t="s">
        <v>29</v>
      </c>
      <c r="J6253" t="s">
        <v>30</v>
      </c>
      <c r="K6253" t="s">
        <v>18883</v>
      </c>
      <c r="M6253" t="s">
        <v>18479</v>
      </c>
      <c r="N6253" t="str">
        <f>"2/7/2012 11:22:00 AM"</f>
        <v>2/7/2012 11:22:00 AM</v>
      </c>
      <c r="O6253" t="s">
        <v>18880</v>
      </c>
      <c r="T6253" t="s">
        <v>18881</v>
      </c>
    </row>
    <row r="6254" spans="1:20" x14ac:dyDescent="0.25">
      <c r="A6254" t="str">
        <f>"3047641"</f>
        <v>3047641</v>
      </c>
      <c r="B6254" t="s">
        <v>18884</v>
      </c>
      <c r="C6254" t="str">
        <f>"24787550"</f>
        <v>24787550</v>
      </c>
      <c r="D6254" t="s">
        <v>18885</v>
      </c>
      <c r="E6254" t="s">
        <v>18886</v>
      </c>
      <c r="F6254" t="s">
        <v>18887</v>
      </c>
      <c r="I6254" t="s">
        <v>184</v>
      </c>
      <c r="J6254" t="s">
        <v>30</v>
      </c>
      <c r="K6254" t="s">
        <v>18888</v>
      </c>
      <c r="M6254" t="s">
        <v>18479</v>
      </c>
      <c r="N6254" t="str">
        <f>"2/7/2012 12:37:00 PM"</f>
        <v>2/7/2012 12:37:00 PM</v>
      </c>
      <c r="O6254" t="s">
        <v>18885</v>
      </c>
      <c r="T6254" t="s">
        <v>18886</v>
      </c>
    </row>
    <row r="6255" spans="1:20" x14ac:dyDescent="0.25">
      <c r="A6255" t="str">
        <f>"3044455"</f>
        <v>3044455</v>
      </c>
      <c r="B6255" t="s">
        <v>18889</v>
      </c>
      <c r="C6255" t="str">
        <f>"24787550"</f>
        <v>24787550</v>
      </c>
      <c r="D6255" t="s">
        <v>18885</v>
      </c>
      <c r="E6255" t="s">
        <v>18886</v>
      </c>
      <c r="F6255" t="s">
        <v>18887</v>
      </c>
      <c r="I6255" t="s">
        <v>184</v>
      </c>
      <c r="J6255" t="s">
        <v>30</v>
      </c>
      <c r="K6255" t="s">
        <v>18888</v>
      </c>
      <c r="M6255" t="s">
        <v>18479</v>
      </c>
      <c r="N6255" t="str">
        <f>"2/7/2012 12:37:00 PM"</f>
        <v>2/7/2012 12:37:00 PM</v>
      </c>
      <c r="O6255" t="s">
        <v>18885</v>
      </c>
      <c r="T6255" t="s">
        <v>18886</v>
      </c>
    </row>
    <row r="6256" spans="1:20" x14ac:dyDescent="0.25">
      <c r="A6256" t="str">
        <f>"3041783"</f>
        <v>3041783</v>
      </c>
      <c r="B6256" t="s">
        <v>18890</v>
      </c>
      <c r="C6256" t="str">
        <f>"16300000"</f>
        <v>16300000</v>
      </c>
      <c r="D6256" t="s">
        <v>18891</v>
      </c>
      <c r="E6256" t="s">
        <v>18892</v>
      </c>
      <c r="F6256" t="s">
        <v>18893</v>
      </c>
      <c r="I6256" t="s">
        <v>184</v>
      </c>
      <c r="J6256" t="s">
        <v>30</v>
      </c>
      <c r="K6256" t="s">
        <v>18894</v>
      </c>
      <c r="M6256" t="s">
        <v>18479</v>
      </c>
      <c r="N6256" t="str">
        <f>"1/27/2012 9:30:00 AM"</f>
        <v>1/27/2012 9:30:00 AM</v>
      </c>
      <c r="O6256" t="s">
        <v>18891</v>
      </c>
      <c r="T6256" t="s">
        <v>18892</v>
      </c>
    </row>
    <row r="6257" spans="1:20" x14ac:dyDescent="0.25">
      <c r="A6257" t="str">
        <f>"3043744"</f>
        <v>3043744</v>
      </c>
      <c r="B6257" t="s">
        <v>18895</v>
      </c>
      <c r="C6257" t="str">
        <f>"82516270"</f>
        <v>82516270</v>
      </c>
      <c r="D6257" t="s">
        <v>18896</v>
      </c>
      <c r="F6257" t="s">
        <v>18897</v>
      </c>
      <c r="I6257" t="s">
        <v>29</v>
      </c>
      <c r="J6257" t="s">
        <v>30</v>
      </c>
      <c r="K6257" t="s">
        <v>18898</v>
      </c>
      <c r="M6257" t="s">
        <v>18479</v>
      </c>
      <c r="N6257" t="str">
        <f>"1/27/2012 9:49:00 AM"</f>
        <v>1/27/2012 9:49:00 AM</v>
      </c>
      <c r="O6257" t="s">
        <v>18896</v>
      </c>
    </row>
    <row r="6258" spans="1:20" x14ac:dyDescent="0.25">
      <c r="A6258" t="str">
        <f>"3037983"</f>
        <v>3037983</v>
      </c>
      <c r="B6258" t="s">
        <v>18899</v>
      </c>
      <c r="C6258" t="str">
        <f>"24500500"</f>
        <v>24500500</v>
      </c>
      <c r="D6258" t="s">
        <v>18900</v>
      </c>
      <c r="E6258" t="s">
        <v>18901</v>
      </c>
      <c r="F6258" t="s">
        <v>18902</v>
      </c>
      <c r="I6258" t="s">
        <v>29</v>
      </c>
      <c r="J6258" t="s">
        <v>30</v>
      </c>
      <c r="K6258" t="s">
        <v>18903</v>
      </c>
      <c r="M6258" t="s">
        <v>18479</v>
      </c>
      <c r="N6258" t="str">
        <f>"2/7/2012 3:14:00 PM"</f>
        <v>2/7/2012 3:14:00 PM</v>
      </c>
      <c r="O6258" t="s">
        <v>18900</v>
      </c>
      <c r="T6258" t="s">
        <v>18901</v>
      </c>
    </row>
    <row r="6259" spans="1:20" x14ac:dyDescent="0.25">
      <c r="A6259" t="str">
        <f>"3038856"</f>
        <v>3038856</v>
      </c>
      <c r="B6259" t="s">
        <v>18904</v>
      </c>
      <c r="C6259" t="str">
        <f>"24500500"</f>
        <v>24500500</v>
      </c>
      <c r="D6259" t="s">
        <v>18900</v>
      </c>
      <c r="E6259" t="s">
        <v>18901</v>
      </c>
      <c r="F6259" t="s">
        <v>18902</v>
      </c>
      <c r="I6259" t="s">
        <v>29</v>
      </c>
      <c r="J6259" t="s">
        <v>30</v>
      </c>
      <c r="K6259" t="s">
        <v>18903</v>
      </c>
      <c r="M6259" t="s">
        <v>18479</v>
      </c>
      <c r="N6259" t="str">
        <f>"2/7/2012 3:14:00 PM"</f>
        <v>2/7/2012 3:14:00 PM</v>
      </c>
      <c r="O6259" t="s">
        <v>18900</v>
      </c>
      <c r="T6259" t="s">
        <v>18901</v>
      </c>
    </row>
    <row r="6260" spans="1:20" x14ac:dyDescent="0.25">
      <c r="A6260" t="str">
        <f>"3046253"</f>
        <v>3046253</v>
      </c>
      <c r="B6260" t="s">
        <v>18905</v>
      </c>
      <c r="C6260" t="str">
        <f>"24501000"</f>
        <v>24501000</v>
      </c>
      <c r="D6260" t="s">
        <v>18906</v>
      </c>
      <c r="E6260" t="s">
        <v>18907</v>
      </c>
      <c r="F6260" t="s">
        <v>18908</v>
      </c>
      <c r="I6260" t="s">
        <v>29</v>
      </c>
      <c r="J6260" t="s">
        <v>30</v>
      </c>
      <c r="K6260" t="s">
        <v>18909</v>
      </c>
      <c r="M6260" t="s">
        <v>18479</v>
      </c>
      <c r="N6260" t="str">
        <f>"2/7/2012 3:47:00 PM"</f>
        <v>2/7/2012 3:47:00 PM</v>
      </c>
      <c r="O6260" t="s">
        <v>18906</v>
      </c>
      <c r="T6260" t="s">
        <v>18907</v>
      </c>
    </row>
    <row r="6261" spans="1:20" x14ac:dyDescent="0.25">
      <c r="A6261" t="str">
        <f>"3049514"</f>
        <v>3049514</v>
      </c>
      <c r="B6261" t="s">
        <v>18910</v>
      </c>
      <c r="C6261" t="str">
        <f>"24501000"</f>
        <v>24501000</v>
      </c>
      <c r="D6261" t="s">
        <v>18906</v>
      </c>
      <c r="E6261" t="s">
        <v>18907</v>
      </c>
      <c r="F6261" t="s">
        <v>18908</v>
      </c>
      <c r="I6261" t="s">
        <v>29</v>
      </c>
      <c r="J6261" t="s">
        <v>30</v>
      </c>
      <c r="K6261" t="s">
        <v>18909</v>
      </c>
      <c r="M6261" t="s">
        <v>18479</v>
      </c>
      <c r="N6261" t="str">
        <f>"2/7/2012 3:47:00 PM"</f>
        <v>2/7/2012 3:47:00 PM</v>
      </c>
      <c r="O6261" t="s">
        <v>18906</v>
      </c>
      <c r="T6261" t="s">
        <v>18907</v>
      </c>
    </row>
    <row r="6262" spans="1:20" x14ac:dyDescent="0.25">
      <c r="A6262" t="str">
        <f>"3040895"</f>
        <v>3040895</v>
      </c>
      <c r="B6262" t="s">
        <v>18911</v>
      </c>
      <c r="C6262" t="str">
        <f>"23516000"</f>
        <v>23516000</v>
      </c>
      <c r="D6262" t="s">
        <v>18912</v>
      </c>
      <c r="E6262" t="s">
        <v>18913</v>
      </c>
      <c r="F6262" t="s">
        <v>18914</v>
      </c>
      <c r="I6262" t="s">
        <v>184</v>
      </c>
      <c r="J6262" t="s">
        <v>30</v>
      </c>
      <c r="K6262" t="s">
        <v>18915</v>
      </c>
      <c r="M6262" t="s">
        <v>18479</v>
      </c>
      <c r="N6262" t="str">
        <f>"2/7/2012 4:42:00 PM"</f>
        <v>2/7/2012 4:42:00 PM</v>
      </c>
      <c r="O6262" t="s">
        <v>18912</v>
      </c>
      <c r="T6262" t="s">
        <v>18913</v>
      </c>
    </row>
    <row r="6263" spans="1:20" x14ac:dyDescent="0.25">
      <c r="A6263" t="str">
        <f>"3060143"</f>
        <v>3060143</v>
      </c>
      <c r="B6263" t="s">
        <v>18916</v>
      </c>
      <c r="C6263" t="str">
        <f>"82525696"</f>
        <v>82525696</v>
      </c>
      <c r="D6263" t="s">
        <v>18917</v>
      </c>
      <c r="E6263" t="s">
        <v>18918</v>
      </c>
      <c r="F6263" t="s">
        <v>18919</v>
      </c>
      <c r="I6263" t="s">
        <v>184</v>
      </c>
      <c r="J6263" t="s">
        <v>30</v>
      </c>
      <c r="K6263" t="s">
        <v>185</v>
      </c>
      <c r="M6263" t="s">
        <v>18479</v>
      </c>
      <c r="N6263" t="str">
        <f>"1/27/2012 12:10:00 PM"</f>
        <v>1/27/2012 12:10:00 PM</v>
      </c>
      <c r="O6263" t="s">
        <v>18917</v>
      </c>
      <c r="T6263" t="s">
        <v>18918</v>
      </c>
    </row>
    <row r="6264" spans="1:20" x14ac:dyDescent="0.25">
      <c r="A6264" t="str">
        <f>"3039238"</f>
        <v>3039238</v>
      </c>
      <c r="B6264" t="s">
        <v>18920</v>
      </c>
      <c r="C6264" t="str">
        <f>"82530285"</f>
        <v>82530285</v>
      </c>
      <c r="D6264" t="s">
        <v>18921</v>
      </c>
      <c r="E6264" t="s">
        <v>18922</v>
      </c>
      <c r="F6264" t="s">
        <v>18923</v>
      </c>
      <c r="I6264" t="s">
        <v>29</v>
      </c>
      <c r="J6264" t="s">
        <v>30</v>
      </c>
      <c r="K6264" t="s">
        <v>31</v>
      </c>
      <c r="M6264" t="s">
        <v>18513</v>
      </c>
      <c r="N6264" t="str">
        <f>"2/8/2012 8:56:00 AM"</f>
        <v>2/8/2012 8:56:00 AM</v>
      </c>
      <c r="O6264" t="s">
        <v>18921</v>
      </c>
      <c r="T6264" t="s">
        <v>18922</v>
      </c>
    </row>
    <row r="6265" spans="1:20" x14ac:dyDescent="0.25">
      <c r="A6265" t="str">
        <f>"3049993"</f>
        <v>3049993</v>
      </c>
      <c r="B6265" t="s">
        <v>18924</v>
      </c>
      <c r="C6265" t="str">
        <f>"24426730"</f>
        <v>24426730</v>
      </c>
      <c r="D6265" t="s">
        <v>18925</v>
      </c>
      <c r="E6265" t="s">
        <v>18926</v>
      </c>
      <c r="F6265" t="s">
        <v>18927</v>
      </c>
      <c r="I6265" t="s">
        <v>29</v>
      </c>
      <c r="J6265" t="s">
        <v>30</v>
      </c>
      <c r="K6265" t="s">
        <v>18928</v>
      </c>
      <c r="M6265" t="s">
        <v>18479</v>
      </c>
      <c r="N6265" t="str">
        <f>"2/8/2012 9:01:00 AM"</f>
        <v>2/8/2012 9:01:00 AM</v>
      </c>
      <c r="O6265" t="s">
        <v>18925</v>
      </c>
      <c r="T6265" t="s">
        <v>18926</v>
      </c>
    </row>
    <row r="6266" spans="1:20" x14ac:dyDescent="0.25">
      <c r="A6266" t="str">
        <f>"3065633"</f>
        <v>3065633</v>
      </c>
      <c r="B6266" t="s">
        <v>18929</v>
      </c>
      <c r="C6266" t="str">
        <f>"12190500"</f>
        <v>12190500</v>
      </c>
      <c r="D6266" t="s">
        <v>18930</v>
      </c>
      <c r="F6266" t="s">
        <v>18931</v>
      </c>
      <c r="I6266" t="s">
        <v>29</v>
      </c>
      <c r="J6266" t="s">
        <v>30</v>
      </c>
      <c r="K6266" t="s">
        <v>31</v>
      </c>
      <c r="M6266" t="s">
        <v>18479</v>
      </c>
      <c r="N6266" t="str">
        <f>"1/30/2012 9:21:00 AM"</f>
        <v>1/30/2012 9:21:00 AM</v>
      </c>
      <c r="O6266" t="s">
        <v>18930</v>
      </c>
    </row>
    <row r="6267" spans="1:20" x14ac:dyDescent="0.25">
      <c r="A6267" t="str">
        <f>"3055703"</f>
        <v>3055703</v>
      </c>
      <c r="B6267" t="s">
        <v>18932</v>
      </c>
      <c r="C6267" t="str">
        <f>"82517246"</f>
        <v>82517246</v>
      </c>
      <c r="D6267" t="s">
        <v>18933</v>
      </c>
      <c r="E6267" t="s">
        <v>18934</v>
      </c>
      <c r="F6267" t="s">
        <v>18935</v>
      </c>
      <c r="I6267" t="s">
        <v>9580</v>
      </c>
      <c r="J6267" t="s">
        <v>30</v>
      </c>
      <c r="K6267" t="s">
        <v>18936</v>
      </c>
      <c r="M6267" t="s">
        <v>18479</v>
      </c>
      <c r="N6267" t="str">
        <f>"1/30/2012 9:37:00 AM"</f>
        <v>1/30/2012 9:37:00 AM</v>
      </c>
      <c r="O6267" t="s">
        <v>18933</v>
      </c>
      <c r="T6267" t="s">
        <v>18934</v>
      </c>
    </row>
    <row r="6268" spans="1:20" x14ac:dyDescent="0.25">
      <c r="A6268" t="str">
        <f>"3050826"</f>
        <v>3050826</v>
      </c>
      <c r="B6268" t="s">
        <v>18937</v>
      </c>
      <c r="C6268" t="str">
        <f>"13852000"</f>
        <v>13852000</v>
      </c>
      <c r="D6268" t="s">
        <v>7652</v>
      </c>
      <c r="E6268" t="s">
        <v>18938</v>
      </c>
      <c r="F6268" t="s">
        <v>7653</v>
      </c>
      <c r="I6268" t="s">
        <v>184</v>
      </c>
      <c r="J6268" t="s">
        <v>30</v>
      </c>
      <c r="K6268" t="s">
        <v>18939</v>
      </c>
      <c r="M6268" t="s">
        <v>18479</v>
      </c>
      <c r="N6268" t="str">
        <f>"1/30/2012 10:01:00 AM"</f>
        <v>1/30/2012 10:01:00 AM</v>
      </c>
      <c r="O6268" t="s">
        <v>7652</v>
      </c>
      <c r="T6268" t="s">
        <v>18938</v>
      </c>
    </row>
    <row r="6269" spans="1:20" x14ac:dyDescent="0.25">
      <c r="A6269" t="str">
        <f>"3055230"</f>
        <v>3055230</v>
      </c>
      <c r="B6269" t="s">
        <v>18940</v>
      </c>
      <c r="C6269" t="str">
        <f>"8300058"</f>
        <v>8300058</v>
      </c>
      <c r="D6269" t="s">
        <v>18941</v>
      </c>
      <c r="E6269" t="s">
        <v>18942</v>
      </c>
      <c r="F6269" t="s">
        <v>18943</v>
      </c>
      <c r="I6269" t="s">
        <v>29</v>
      </c>
      <c r="J6269" t="s">
        <v>30</v>
      </c>
      <c r="K6269" t="s">
        <v>31</v>
      </c>
      <c r="M6269" t="s">
        <v>18479</v>
      </c>
      <c r="N6269" t="str">
        <f>"2/10/2012 8:49:00 AM"</f>
        <v>2/10/2012 8:49:00 AM</v>
      </c>
      <c r="O6269" t="s">
        <v>18941</v>
      </c>
      <c r="T6269" t="s">
        <v>18942</v>
      </c>
    </row>
    <row r="6270" spans="1:20" x14ac:dyDescent="0.25">
      <c r="A6270" t="str">
        <f>"3045162"</f>
        <v>3045162</v>
      </c>
      <c r="B6270" t="s">
        <v>18944</v>
      </c>
      <c r="C6270" t="str">
        <f>"82524413"</f>
        <v>82524413</v>
      </c>
      <c r="D6270" t="s">
        <v>18749</v>
      </c>
      <c r="E6270" t="s">
        <v>18750</v>
      </c>
      <c r="F6270" t="s">
        <v>11162</v>
      </c>
      <c r="I6270" t="s">
        <v>29</v>
      </c>
      <c r="J6270" t="s">
        <v>30</v>
      </c>
      <c r="K6270" t="s">
        <v>11163</v>
      </c>
      <c r="M6270" t="s">
        <v>18432</v>
      </c>
      <c r="N6270" t="str">
        <f>"1/30/2012 2:22:00 PM"</f>
        <v>1/30/2012 2:22:00 PM</v>
      </c>
      <c r="O6270" t="s">
        <v>18749</v>
      </c>
      <c r="T6270" t="s">
        <v>18750</v>
      </c>
    </row>
    <row r="6271" spans="1:20" x14ac:dyDescent="0.25">
      <c r="A6271" t="str">
        <f>"3045163"</f>
        <v>3045163</v>
      </c>
      <c r="B6271" t="s">
        <v>18945</v>
      </c>
      <c r="C6271" t="str">
        <f>"82524413"</f>
        <v>82524413</v>
      </c>
      <c r="D6271" t="s">
        <v>18749</v>
      </c>
      <c r="E6271" t="s">
        <v>18750</v>
      </c>
      <c r="F6271" t="s">
        <v>11162</v>
      </c>
      <c r="I6271" t="s">
        <v>29</v>
      </c>
      <c r="J6271" t="s">
        <v>30</v>
      </c>
      <c r="K6271" t="s">
        <v>11163</v>
      </c>
      <c r="M6271" t="s">
        <v>18432</v>
      </c>
      <c r="N6271" t="str">
        <f>"1/30/2012 2:22:00 PM"</f>
        <v>1/30/2012 2:22:00 PM</v>
      </c>
      <c r="O6271" t="s">
        <v>18749</v>
      </c>
      <c r="T6271" t="s">
        <v>18750</v>
      </c>
    </row>
    <row r="6272" spans="1:20" x14ac:dyDescent="0.25">
      <c r="A6272" t="str">
        <f>"3045569"</f>
        <v>3045569</v>
      </c>
      <c r="B6272" t="s">
        <v>18946</v>
      </c>
      <c r="C6272" t="str">
        <f>"82524413"</f>
        <v>82524413</v>
      </c>
      <c r="D6272" t="s">
        <v>18749</v>
      </c>
      <c r="E6272" t="s">
        <v>18750</v>
      </c>
      <c r="F6272" t="s">
        <v>11162</v>
      </c>
      <c r="I6272" t="s">
        <v>29</v>
      </c>
      <c r="J6272" t="s">
        <v>30</v>
      </c>
      <c r="K6272" t="s">
        <v>11163</v>
      </c>
      <c r="M6272" t="s">
        <v>18432</v>
      </c>
      <c r="N6272" t="str">
        <f>"1/30/2012 2:22:00 PM"</f>
        <v>1/30/2012 2:22:00 PM</v>
      </c>
      <c r="O6272" t="s">
        <v>18749</v>
      </c>
      <c r="T6272" t="s">
        <v>18750</v>
      </c>
    </row>
    <row r="6273" spans="1:20" x14ac:dyDescent="0.25">
      <c r="A6273" t="str">
        <f>"3052868"</f>
        <v>3052868</v>
      </c>
      <c r="B6273" t="s">
        <v>18947</v>
      </c>
      <c r="C6273" t="str">
        <f>"8300020"</f>
        <v>8300020</v>
      </c>
      <c r="D6273" t="s">
        <v>18948</v>
      </c>
      <c r="E6273" t="s">
        <v>18949</v>
      </c>
      <c r="F6273" t="s">
        <v>18950</v>
      </c>
      <c r="I6273" t="s">
        <v>29</v>
      </c>
      <c r="J6273" t="s">
        <v>30</v>
      </c>
      <c r="K6273" t="s">
        <v>31</v>
      </c>
      <c r="M6273" t="s">
        <v>18479</v>
      </c>
      <c r="N6273" t="str">
        <f>"1/30/2012 3:50:00 PM"</f>
        <v>1/30/2012 3:50:00 PM</v>
      </c>
      <c r="O6273" t="s">
        <v>18948</v>
      </c>
      <c r="T6273" t="s">
        <v>18949</v>
      </c>
    </row>
    <row r="6274" spans="1:20" x14ac:dyDescent="0.25">
      <c r="A6274" t="str">
        <f>"3044745"</f>
        <v>3044745</v>
      </c>
      <c r="B6274" t="s">
        <v>18951</v>
      </c>
      <c r="C6274" t="str">
        <f>"82533090"</f>
        <v>82533090</v>
      </c>
      <c r="D6274" t="s">
        <v>18952</v>
      </c>
      <c r="E6274" t="s">
        <v>18953</v>
      </c>
      <c r="F6274" t="s">
        <v>18954</v>
      </c>
      <c r="I6274" t="s">
        <v>184</v>
      </c>
      <c r="J6274" t="s">
        <v>30</v>
      </c>
      <c r="K6274" t="str">
        <f>"27006"</f>
        <v>27006</v>
      </c>
      <c r="M6274" t="s">
        <v>18479</v>
      </c>
      <c r="N6274" t="str">
        <f>"1/31/2012 2:30:00 PM"</f>
        <v>1/31/2012 2:30:00 PM</v>
      </c>
      <c r="O6274" t="s">
        <v>18952</v>
      </c>
      <c r="T6274" t="s">
        <v>18953</v>
      </c>
    </row>
    <row r="6275" spans="1:20" x14ac:dyDescent="0.25">
      <c r="A6275" t="str">
        <f>"3043700"</f>
        <v>3043700</v>
      </c>
      <c r="B6275" t="s">
        <v>18955</v>
      </c>
      <c r="C6275" t="str">
        <f>"82533078"</f>
        <v>82533078</v>
      </c>
      <c r="D6275" t="s">
        <v>18956</v>
      </c>
      <c r="E6275" t="s">
        <v>18957</v>
      </c>
      <c r="F6275" t="s">
        <v>18958</v>
      </c>
      <c r="I6275" t="s">
        <v>29</v>
      </c>
      <c r="J6275" t="s">
        <v>30</v>
      </c>
      <c r="K6275" t="str">
        <f>"27028"</f>
        <v>27028</v>
      </c>
      <c r="M6275" t="s">
        <v>18479</v>
      </c>
      <c r="N6275" t="str">
        <f>"2/1/2012 3:38:00 PM"</f>
        <v>2/1/2012 3:38:00 PM</v>
      </c>
      <c r="O6275" t="s">
        <v>18956</v>
      </c>
      <c r="T6275" t="s">
        <v>18957</v>
      </c>
    </row>
    <row r="6276" spans="1:20" x14ac:dyDescent="0.25">
      <c r="A6276" t="str">
        <f>"3040717"</f>
        <v>3040717</v>
      </c>
      <c r="B6276" t="s">
        <v>18959</v>
      </c>
      <c r="C6276" t="str">
        <f>"67317750"</f>
        <v>67317750</v>
      </c>
      <c r="D6276" t="s">
        <v>18960</v>
      </c>
      <c r="F6276" t="s">
        <v>18961</v>
      </c>
      <c r="I6276" t="s">
        <v>184</v>
      </c>
      <c r="J6276" t="s">
        <v>30</v>
      </c>
      <c r="K6276" t="s">
        <v>185</v>
      </c>
      <c r="M6276" t="s">
        <v>17861</v>
      </c>
      <c r="N6276" t="str">
        <f>"2/14/2012 11:25:00 AM"</f>
        <v>2/14/2012 11:25:00 AM</v>
      </c>
      <c r="O6276" t="s">
        <v>18960</v>
      </c>
    </row>
    <row r="6277" spans="1:20" x14ac:dyDescent="0.25">
      <c r="A6277" t="str">
        <f>"3040265"</f>
        <v>3040265</v>
      </c>
      <c r="B6277" t="s">
        <v>18962</v>
      </c>
      <c r="C6277" t="str">
        <f>"67317750"</f>
        <v>67317750</v>
      </c>
      <c r="D6277" t="s">
        <v>18960</v>
      </c>
      <c r="F6277" t="s">
        <v>18961</v>
      </c>
      <c r="I6277" t="s">
        <v>184</v>
      </c>
      <c r="J6277" t="s">
        <v>30</v>
      </c>
      <c r="K6277" t="s">
        <v>185</v>
      </c>
      <c r="M6277" t="s">
        <v>17861</v>
      </c>
      <c r="N6277" t="str">
        <f>"2/14/2012 11:25:00 AM"</f>
        <v>2/14/2012 11:25:00 AM</v>
      </c>
      <c r="O6277" t="s">
        <v>18960</v>
      </c>
    </row>
    <row r="6278" spans="1:20" x14ac:dyDescent="0.25">
      <c r="A6278" t="str">
        <f>"3040047"</f>
        <v>3040047</v>
      </c>
      <c r="B6278" t="s">
        <v>18963</v>
      </c>
      <c r="C6278" t="str">
        <f>"65618500"</f>
        <v>65618500</v>
      </c>
      <c r="D6278" t="s">
        <v>18964</v>
      </c>
      <c r="F6278" t="s">
        <v>18965</v>
      </c>
      <c r="I6278" t="s">
        <v>29</v>
      </c>
      <c r="J6278" t="s">
        <v>30</v>
      </c>
      <c r="K6278" t="s">
        <v>31</v>
      </c>
      <c r="M6278" t="s">
        <v>18432</v>
      </c>
      <c r="N6278" t="str">
        <f>"2/14/2012 12:57:00 PM"</f>
        <v>2/14/2012 12:57:00 PM</v>
      </c>
      <c r="O6278" t="s">
        <v>18964</v>
      </c>
    </row>
    <row r="6279" spans="1:20" x14ac:dyDescent="0.25">
      <c r="A6279" t="str">
        <f>"3050331"</f>
        <v>3050331</v>
      </c>
      <c r="B6279" t="s">
        <v>18966</v>
      </c>
      <c r="C6279" t="str">
        <f>"76786000"</f>
        <v>76786000</v>
      </c>
      <c r="D6279" t="s">
        <v>18967</v>
      </c>
      <c r="E6279" t="s">
        <v>18968</v>
      </c>
      <c r="F6279" t="s">
        <v>18969</v>
      </c>
      <c r="I6279" t="s">
        <v>184</v>
      </c>
      <c r="J6279" t="s">
        <v>30</v>
      </c>
      <c r="K6279" t="s">
        <v>185</v>
      </c>
      <c r="M6279" t="s">
        <v>17861</v>
      </c>
      <c r="N6279" t="str">
        <f>"2/14/2012 4:21:00 PM"</f>
        <v>2/14/2012 4:21:00 PM</v>
      </c>
      <c r="O6279" t="s">
        <v>18967</v>
      </c>
      <c r="T6279" t="s">
        <v>18968</v>
      </c>
    </row>
    <row r="6280" spans="1:20" x14ac:dyDescent="0.25">
      <c r="A6280" t="str">
        <f>"3039408"</f>
        <v>3039408</v>
      </c>
      <c r="B6280" t="s">
        <v>18970</v>
      </c>
      <c r="C6280" t="str">
        <f>"82533078"</f>
        <v>82533078</v>
      </c>
      <c r="D6280" t="s">
        <v>18956</v>
      </c>
      <c r="E6280" t="s">
        <v>18957</v>
      </c>
      <c r="F6280" t="s">
        <v>18958</v>
      </c>
      <c r="I6280" t="s">
        <v>29</v>
      </c>
      <c r="J6280" t="s">
        <v>30</v>
      </c>
      <c r="K6280" t="str">
        <f>"27028"</f>
        <v>27028</v>
      </c>
      <c r="M6280" t="s">
        <v>18479</v>
      </c>
      <c r="N6280" t="str">
        <f>"2/1/2012 3:38:00 PM"</f>
        <v>2/1/2012 3:38:00 PM</v>
      </c>
      <c r="O6280" t="s">
        <v>18956</v>
      </c>
      <c r="T6280" t="s">
        <v>18957</v>
      </c>
    </row>
    <row r="6281" spans="1:20" x14ac:dyDescent="0.25">
      <c r="A6281" t="str">
        <f>"3040610"</f>
        <v>3040610</v>
      </c>
      <c r="B6281" t="s">
        <v>18971</v>
      </c>
      <c r="C6281" t="str">
        <f>"9400000"</f>
        <v>9400000</v>
      </c>
      <c r="D6281" t="s">
        <v>18972</v>
      </c>
      <c r="E6281" t="s">
        <v>18973</v>
      </c>
      <c r="F6281" t="s">
        <v>18974</v>
      </c>
      <c r="I6281" t="s">
        <v>184</v>
      </c>
      <c r="J6281" t="s">
        <v>30</v>
      </c>
      <c r="K6281" t="s">
        <v>18975</v>
      </c>
      <c r="M6281" t="s">
        <v>18479</v>
      </c>
      <c r="N6281" t="str">
        <f>"2/1/2012 3:59:00 PM"</f>
        <v>2/1/2012 3:59:00 PM</v>
      </c>
      <c r="O6281" t="s">
        <v>18972</v>
      </c>
      <c r="T6281" t="s">
        <v>18973</v>
      </c>
    </row>
    <row r="6282" spans="1:20" x14ac:dyDescent="0.25">
      <c r="A6282" t="str">
        <f>"3042926"</f>
        <v>3042926</v>
      </c>
      <c r="B6282" t="s">
        <v>18976</v>
      </c>
      <c r="C6282" t="str">
        <f>"8300625"</f>
        <v>8300625</v>
      </c>
      <c r="D6282" t="s">
        <v>18977</v>
      </c>
      <c r="E6282" t="s">
        <v>18978</v>
      </c>
      <c r="F6282" t="s">
        <v>18979</v>
      </c>
      <c r="I6282" t="s">
        <v>29</v>
      </c>
      <c r="J6282" t="s">
        <v>30</v>
      </c>
      <c r="K6282" t="str">
        <f>"27028"</f>
        <v>27028</v>
      </c>
      <c r="M6282" t="s">
        <v>17861</v>
      </c>
      <c r="N6282" t="str">
        <f>"2/2/2012 12:50:00 PM"</f>
        <v>2/2/2012 12:50:00 PM</v>
      </c>
      <c r="O6282" t="s">
        <v>18977</v>
      </c>
      <c r="T6282" t="s">
        <v>18978</v>
      </c>
    </row>
    <row r="6283" spans="1:20" x14ac:dyDescent="0.25">
      <c r="A6283" t="str">
        <f>"3067235"</f>
        <v>3067235</v>
      </c>
      <c r="B6283" t="s">
        <v>18980</v>
      </c>
      <c r="C6283" t="str">
        <f>"82530716"</f>
        <v>82530716</v>
      </c>
      <c r="D6283" t="s">
        <v>18981</v>
      </c>
      <c r="F6283" t="s">
        <v>18982</v>
      </c>
      <c r="I6283" t="s">
        <v>184</v>
      </c>
      <c r="J6283" t="s">
        <v>30</v>
      </c>
      <c r="K6283" t="s">
        <v>185</v>
      </c>
      <c r="M6283" t="s">
        <v>17861</v>
      </c>
      <c r="N6283" t="str">
        <f>"2/15/2012 10:13:00 AM"</f>
        <v>2/15/2012 10:13:00 AM</v>
      </c>
      <c r="O6283" t="s">
        <v>18981</v>
      </c>
    </row>
    <row r="6284" spans="1:20" x14ac:dyDescent="0.25">
      <c r="A6284" t="str">
        <f>"3053072"</f>
        <v>3053072</v>
      </c>
      <c r="B6284" t="s">
        <v>18983</v>
      </c>
      <c r="C6284" t="str">
        <f>"8300631"</f>
        <v>8300631</v>
      </c>
      <c r="D6284" t="s">
        <v>18984</v>
      </c>
      <c r="E6284" t="s">
        <v>18985</v>
      </c>
      <c r="F6284" t="s">
        <v>18986</v>
      </c>
      <c r="I6284" t="s">
        <v>29</v>
      </c>
      <c r="J6284" t="s">
        <v>30</v>
      </c>
      <c r="K6284" t="str">
        <f>"27028"</f>
        <v>27028</v>
      </c>
      <c r="M6284" t="s">
        <v>17861</v>
      </c>
      <c r="N6284" t="str">
        <f>"2/2/2012 3:12:00 PM"</f>
        <v>2/2/2012 3:12:00 PM</v>
      </c>
      <c r="O6284" t="s">
        <v>18984</v>
      </c>
      <c r="T6284" t="s">
        <v>18985</v>
      </c>
    </row>
    <row r="6285" spans="1:20" x14ac:dyDescent="0.25">
      <c r="A6285" t="str">
        <f>"3055067"</f>
        <v>3055067</v>
      </c>
      <c r="B6285" t="s">
        <v>18987</v>
      </c>
      <c r="C6285" t="str">
        <f>"8300517"</f>
        <v>8300517</v>
      </c>
      <c r="D6285" t="s">
        <v>18988</v>
      </c>
      <c r="E6285" t="s">
        <v>18989</v>
      </c>
      <c r="F6285" t="s">
        <v>18990</v>
      </c>
      <c r="I6285" t="s">
        <v>29</v>
      </c>
      <c r="J6285" t="s">
        <v>30</v>
      </c>
      <c r="K6285" t="str">
        <f>"27028"</f>
        <v>27028</v>
      </c>
      <c r="M6285" t="s">
        <v>18479</v>
      </c>
      <c r="N6285" t="str">
        <f>"2/3/2012 3:02:00 PM"</f>
        <v>2/3/2012 3:02:00 PM</v>
      </c>
      <c r="O6285" t="s">
        <v>18988</v>
      </c>
      <c r="T6285" t="s">
        <v>18989</v>
      </c>
    </row>
    <row r="6286" spans="1:20" x14ac:dyDescent="0.25">
      <c r="A6286" t="str">
        <f>"3077000"</f>
        <v>3077000</v>
      </c>
      <c r="B6286" t="s">
        <v>18991</v>
      </c>
      <c r="C6286" t="str">
        <f>"22933000"</f>
        <v>22933000</v>
      </c>
      <c r="D6286" t="s">
        <v>18992</v>
      </c>
      <c r="F6286" t="s">
        <v>18993</v>
      </c>
      <c r="I6286" t="s">
        <v>29</v>
      </c>
      <c r="J6286" t="s">
        <v>30</v>
      </c>
      <c r="K6286" t="s">
        <v>18994</v>
      </c>
      <c r="M6286" t="s">
        <v>18479</v>
      </c>
      <c r="N6286" t="str">
        <f>"2/6/2012 9:13:00 AM"</f>
        <v>2/6/2012 9:13:00 AM</v>
      </c>
      <c r="O6286" t="s">
        <v>18992</v>
      </c>
      <c r="T6286" t="s">
        <v>18992</v>
      </c>
    </row>
    <row r="6287" spans="1:20" x14ac:dyDescent="0.25">
      <c r="A6287" t="str">
        <f>"3045421"</f>
        <v>3045421</v>
      </c>
      <c r="B6287" t="s">
        <v>18995</v>
      </c>
      <c r="C6287" t="str">
        <f>"21723500"</f>
        <v>21723500</v>
      </c>
      <c r="D6287" t="s">
        <v>18996</v>
      </c>
      <c r="F6287" t="s">
        <v>18997</v>
      </c>
      <c r="I6287" t="s">
        <v>29</v>
      </c>
      <c r="J6287" t="s">
        <v>30</v>
      </c>
      <c r="K6287" t="s">
        <v>18998</v>
      </c>
      <c r="M6287" t="s">
        <v>18479</v>
      </c>
      <c r="N6287" t="str">
        <f>"2/6/2012 12:20:00 PM"</f>
        <v>2/6/2012 12:20:00 PM</v>
      </c>
      <c r="O6287" t="s">
        <v>18996</v>
      </c>
      <c r="T6287" t="s">
        <v>18996</v>
      </c>
    </row>
    <row r="6288" spans="1:20" x14ac:dyDescent="0.25">
      <c r="A6288" t="str">
        <f>"3078056"</f>
        <v>3078056</v>
      </c>
      <c r="B6288" t="s">
        <v>18999</v>
      </c>
      <c r="C6288" t="str">
        <f>"21723500"</f>
        <v>21723500</v>
      </c>
      <c r="D6288" t="s">
        <v>18996</v>
      </c>
      <c r="F6288" t="s">
        <v>18997</v>
      </c>
      <c r="I6288" t="s">
        <v>29</v>
      </c>
      <c r="J6288" t="s">
        <v>30</v>
      </c>
      <c r="K6288" t="s">
        <v>18998</v>
      </c>
      <c r="M6288" t="s">
        <v>18479</v>
      </c>
      <c r="N6288" t="str">
        <f>"2/6/2012 12:20:00 PM"</f>
        <v>2/6/2012 12:20:00 PM</v>
      </c>
      <c r="O6288" t="s">
        <v>18996</v>
      </c>
      <c r="T6288" t="s">
        <v>18996</v>
      </c>
    </row>
    <row r="6289" spans="1:20" x14ac:dyDescent="0.25">
      <c r="A6289" t="str">
        <f>"3045638"</f>
        <v>3045638</v>
      </c>
      <c r="B6289" t="s">
        <v>19000</v>
      </c>
      <c r="C6289" t="str">
        <f>"82529554"</f>
        <v>82529554</v>
      </c>
      <c r="D6289" t="s">
        <v>19001</v>
      </c>
      <c r="E6289" t="s">
        <v>19002</v>
      </c>
      <c r="F6289" t="s">
        <v>19003</v>
      </c>
      <c r="I6289" t="s">
        <v>1149</v>
      </c>
      <c r="J6289" t="s">
        <v>30</v>
      </c>
      <c r="K6289" t="s">
        <v>1150</v>
      </c>
      <c r="M6289" t="s">
        <v>18479</v>
      </c>
      <c r="N6289" t="str">
        <f>"2/6/2012 12:22:00 PM"</f>
        <v>2/6/2012 12:22:00 PM</v>
      </c>
      <c r="O6289" t="s">
        <v>19001</v>
      </c>
      <c r="T6289" t="s">
        <v>19002</v>
      </c>
    </row>
    <row r="6290" spans="1:20" x14ac:dyDescent="0.25">
      <c r="A6290" t="str">
        <f>"3060417"</f>
        <v>3060417</v>
      </c>
      <c r="B6290" t="s">
        <v>19004</v>
      </c>
      <c r="C6290" t="str">
        <f>"8300484"</f>
        <v>8300484</v>
      </c>
      <c r="D6290" t="s">
        <v>19005</v>
      </c>
      <c r="F6290" t="s">
        <v>19006</v>
      </c>
      <c r="I6290" t="s">
        <v>2071</v>
      </c>
      <c r="J6290" t="s">
        <v>30</v>
      </c>
      <c r="K6290" t="s">
        <v>185</v>
      </c>
      <c r="M6290" t="s">
        <v>18479</v>
      </c>
      <c r="N6290" t="str">
        <f>"2/6/2012 4:08:00 PM"</f>
        <v>2/6/2012 4:08:00 PM</v>
      </c>
      <c r="O6290" t="s">
        <v>19005</v>
      </c>
    </row>
    <row r="6291" spans="1:20" x14ac:dyDescent="0.25">
      <c r="A6291" t="str">
        <f>"3037641"</f>
        <v>3037641</v>
      </c>
      <c r="B6291" t="s">
        <v>19007</v>
      </c>
      <c r="C6291" t="str">
        <f>"31125000"</f>
        <v>31125000</v>
      </c>
      <c r="D6291" t="s">
        <v>19008</v>
      </c>
      <c r="F6291" t="s">
        <v>19009</v>
      </c>
      <c r="I6291" t="s">
        <v>49</v>
      </c>
      <c r="J6291" t="s">
        <v>30</v>
      </c>
      <c r="K6291" t="s">
        <v>19010</v>
      </c>
      <c r="M6291" t="s">
        <v>18479</v>
      </c>
      <c r="N6291" t="str">
        <f>"2/21/2012 8:58:00 AM"</f>
        <v>2/21/2012 8:58:00 AM</v>
      </c>
      <c r="O6291" t="s">
        <v>19008</v>
      </c>
      <c r="T6291" t="s">
        <v>19008</v>
      </c>
    </row>
    <row r="6292" spans="1:20" x14ac:dyDescent="0.25">
      <c r="A6292" t="str">
        <f>"3040605"</f>
        <v>3040605</v>
      </c>
      <c r="B6292" t="s">
        <v>19011</v>
      </c>
      <c r="C6292" t="str">
        <f>"8300465"</f>
        <v>8300465</v>
      </c>
      <c r="D6292" t="s">
        <v>19012</v>
      </c>
      <c r="F6292" t="s">
        <v>19013</v>
      </c>
      <c r="I6292" t="s">
        <v>184</v>
      </c>
      <c r="J6292" t="s">
        <v>30</v>
      </c>
      <c r="K6292" t="s">
        <v>185</v>
      </c>
      <c r="M6292" t="s">
        <v>18479</v>
      </c>
      <c r="N6292" t="str">
        <f>"2/21/2012 9:34:00 AM"</f>
        <v>2/21/2012 9:34:00 AM</v>
      </c>
      <c r="O6292" t="s">
        <v>19012</v>
      </c>
    </row>
    <row r="6293" spans="1:20" x14ac:dyDescent="0.25">
      <c r="A6293" t="str">
        <f>"3042131"</f>
        <v>3042131</v>
      </c>
      <c r="B6293" t="s">
        <v>19014</v>
      </c>
      <c r="C6293" t="str">
        <f>"30530000"</f>
        <v>30530000</v>
      </c>
      <c r="D6293" t="s">
        <v>19015</v>
      </c>
      <c r="E6293" t="s">
        <v>19016</v>
      </c>
      <c r="F6293" t="s">
        <v>19017</v>
      </c>
      <c r="I6293" t="s">
        <v>184</v>
      </c>
      <c r="J6293" t="s">
        <v>30</v>
      </c>
      <c r="K6293" t="s">
        <v>19018</v>
      </c>
      <c r="M6293" t="s">
        <v>18479</v>
      </c>
      <c r="N6293" t="str">
        <f>"2/21/2012 9:46:00 AM"</f>
        <v>2/21/2012 9:46:00 AM</v>
      </c>
      <c r="O6293" t="s">
        <v>19015</v>
      </c>
      <c r="T6293" t="s">
        <v>19016</v>
      </c>
    </row>
    <row r="6294" spans="1:20" x14ac:dyDescent="0.25">
      <c r="A6294" t="str">
        <f>"3047373"</f>
        <v>3047373</v>
      </c>
      <c r="B6294" t="s">
        <v>19019</v>
      </c>
      <c r="C6294" t="str">
        <f>"8300680"</f>
        <v>8300680</v>
      </c>
      <c r="D6294" t="s">
        <v>19020</v>
      </c>
      <c r="F6294" t="s">
        <v>19021</v>
      </c>
      <c r="I6294" t="s">
        <v>184</v>
      </c>
      <c r="J6294" t="s">
        <v>30</v>
      </c>
      <c r="K6294" t="str">
        <f>"27006"</f>
        <v>27006</v>
      </c>
      <c r="M6294" t="s">
        <v>17861</v>
      </c>
      <c r="N6294" t="str">
        <f>"2/21/2012 10:02:00 AM"</f>
        <v>2/21/2012 10:02:00 AM</v>
      </c>
      <c r="O6294" t="s">
        <v>19020</v>
      </c>
    </row>
    <row r="6295" spans="1:20" x14ac:dyDescent="0.25">
      <c r="A6295" t="str">
        <f>"3047374"</f>
        <v>3047374</v>
      </c>
      <c r="B6295" t="s">
        <v>19022</v>
      </c>
      <c r="C6295" t="str">
        <f>"8300680"</f>
        <v>8300680</v>
      </c>
      <c r="D6295" t="s">
        <v>19020</v>
      </c>
      <c r="F6295" t="s">
        <v>19021</v>
      </c>
      <c r="I6295" t="s">
        <v>184</v>
      </c>
      <c r="J6295" t="s">
        <v>30</v>
      </c>
      <c r="K6295" t="str">
        <f>"27006"</f>
        <v>27006</v>
      </c>
      <c r="M6295" t="s">
        <v>17861</v>
      </c>
      <c r="N6295" t="str">
        <f>"2/21/2012 10:02:00 AM"</f>
        <v>2/21/2012 10:02:00 AM</v>
      </c>
      <c r="O6295" t="s">
        <v>19020</v>
      </c>
    </row>
    <row r="6296" spans="1:20" x14ac:dyDescent="0.25">
      <c r="A6296" t="str">
        <f>"3047376"</f>
        <v>3047376</v>
      </c>
      <c r="B6296" t="s">
        <v>19023</v>
      </c>
      <c r="C6296" t="str">
        <f>"8300680"</f>
        <v>8300680</v>
      </c>
      <c r="D6296" t="s">
        <v>19020</v>
      </c>
      <c r="F6296" t="s">
        <v>19021</v>
      </c>
      <c r="I6296" t="s">
        <v>184</v>
      </c>
      <c r="J6296" t="s">
        <v>30</v>
      </c>
      <c r="K6296" t="str">
        <f>"27006"</f>
        <v>27006</v>
      </c>
      <c r="M6296" t="s">
        <v>17861</v>
      </c>
      <c r="N6296" t="str">
        <f>"2/21/2012 10:02:00 AM"</f>
        <v>2/21/2012 10:02:00 AM</v>
      </c>
      <c r="O6296" t="s">
        <v>19020</v>
      </c>
    </row>
    <row r="6297" spans="1:20" x14ac:dyDescent="0.25">
      <c r="A6297" t="str">
        <f>"3041554"</f>
        <v>3041554</v>
      </c>
      <c r="B6297" t="s">
        <v>19024</v>
      </c>
      <c r="C6297" t="str">
        <f>"82518175"</f>
        <v>82518175</v>
      </c>
      <c r="D6297" t="s">
        <v>19025</v>
      </c>
      <c r="E6297" t="s">
        <v>19026</v>
      </c>
      <c r="F6297" t="s">
        <v>19027</v>
      </c>
      <c r="I6297" t="s">
        <v>2071</v>
      </c>
      <c r="J6297" t="s">
        <v>30</v>
      </c>
      <c r="K6297" t="s">
        <v>185</v>
      </c>
      <c r="M6297" t="s">
        <v>18479</v>
      </c>
      <c r="N6297" t="str">
        <f>"2/21/2012 10:09:00 AM"</f>
        <v>2/21/2012 10:09:00 AM</v>
      </c>
      <c r="O6297" t="s">
        <v>19025</v>
      </c>
      <c r="T6297" t="s">
        <v>19026</v>
      </c>
    </row>
    <row r="6298" spans="1:20" x14ac:dyDescent="0.25">
      <c r="A6298" t="str">
        <f>"3060820"</f>
        <v>3060820</v>
      </c>
      <c r="B6298" t="s">
        <v>19028</v>
      </c>
      <c r="C6298" t="str">
        <f>"82525423"</f>
        <v>82525423</v>
      </c>
      <c r="D6298" t="s">
        <v>19029</v>
      </c>
      <c r="E6298" t="s">
        <v>19030</v>
      </c>
      <c r="F6298" t="s">
        <v>19031</v>
      </c>
      <c r="I6298" t="s">
        <v>184</v>
      </c>
      <c r="J6298" t="s">
        <v>30</v>
      </c>
      <c r="K6298" t="s">
        <v>185</v>
      </c>
      <c r="M6298" t="s">
        <v>18479</v>
      </c>
      <c r="N6298" t="str">
        <f>"2/7/2012 10:52:00 AM"</f>
        <v>2/7/2012 10:52:00 AM</v>
      </c>
      <c r="O6298" t="s">
        <v>19029</v>
      </c>
      <c r="T6298" t="s">
        <v>19030</v>
      </c>
    </row>
    <row r="6299" spans="1:20" x14ac:dyDescent="0.25">
      <c r="A6299" t="str">
        <f>"3055498"</f>
        <v>3055498</v>
      </c>
      <c r="B6299" t="s">
        <v>19032</v>
      </c>
      <c r="C6299" t="str">
        <f>"82532838"</f>
        <v>82532838</v>
      </c>
      <c r="D6299" t="s">
        <v>19033</v>
      </c>
      <c r="E6299" t="s">
        <v>19034</v>
      </c>
      <c r="F6299" t="s">
        <v>19035</v>
      </c>
      <c r="I6299" t="s">
        <v>29</v>
      </c>
      <c r="J6299" t="s">
        <v>30</v>
      </c>
      <c r="K6299" t="s">
        <v>31</v>
      </c>
      <c r="M6299" t="s">
        <v>17861</v>
      </c>
      <c r="N6299" t="str">
        <f>"2/7/2012 2:45:00 PM"</f>
        <v>2/7/2012 2:45:00 PM</v>
      </c>
      <c r="O6299" t="s">
        <v>19033</v>
      </c>
      <c r="T6299" t="s">
        <v>19034</v>
      </c>
    </row>
    <row r="6300" spans="1:20" x14ac:dyDescent="0.25">
      <c r="A6300" t="str">
        <f>"3078587"</f>
        <v>3078587</v>
      </c>
      <c r="B6300" t="s">
        <v>19036</v>
      </c>
      <c r="C6300" t="str">
        <f>"82532838"</f>
        <v>82532838</v>
      </c>
      <c r="D6300" t="s">
        <v>19033</v>
      </c>
      <c r="E6300" t="s">
        <v>19034</v>
      </c>
      <c r="F6300" t="s">
        <v>19035</v>
      </c>
      <c r="I6300" t="s">
        <v>29</v>
      </c>
      <c r="J6300" t="s">
        <v>30</v>
      </c>
      <c r="K6300" t="s">
        <v>31</v>
      </c>
      <c r="M6300" t="s">
        <v>17861</v>
      </c>
      <c r="N6300" t="str">
        <f>"2/7/2012 2:45:00 PM"</f>
        <v>2/7/2012 2:45:00 PM</v>
      </c>
      <c r="O6300" t="s">
        <v>19033</v>
      </c>
      <c r="T6300" t="s">
        <v>19034</v>
      </c>
    </row>
    <row r="6301" spans="1:20" x14ac:dyDescent="0.25">
      <c r="A6301" t="str">
        <f>"3038666"</f>
        <v>3038666</v>
      </c>
      <c r="B6301" t="s">
        <v>19037</v>
      </c>
      <c r="C6301" t="str">
        <f>"82530285"</f>
        <v>82530285</v>
      </c>
      <c r="D6301" t="s">
        <v>18921</v>
      </c>
      <c r="E6301" t="s">
        <v>18922</v>
      </c>
      <c r="F6301" t="s">
        <v>18923</v>
      </c>
      <c r="I6301" t="s">
        <v>29</v>
      </c>
      <c r="J6301" t="s">
        <v>30</v>
      </c>
      <c r="K6301" t="s">
        <v>31</v>
      </c>
      <c r="M6301" t="s">
        <v>18513</v>
      </c>
      <c r="N6301" t="str">
        <f>"2/8/2012 8:56:00 AM"</f>
        <v>2/8/2012 8:56:00 AM</v>
      </c>
      <c r="O6301" t="s">
        <v>18921</v>
      </c>
      <c r="T6301" t="s">
        <v>18922</v>
      </c>
    </row>
    <row r="6302" spans="1:20" x14ac:dyDescent="0.25">
      <c r="A6302" t="str">
        <f>"3060203"</f>
        <v>3060203</v>
      </c>
      <c r="B6302" t="s">
        <v>19038</v>
      </c>
      <c r="C6302" t="str">
        <f>"8300380"</f>
        <v>8300380</v>
      </c>
      <c r="D6302" t="s">
        <v>19039</v>
      </c>
      <c r="F6302" t="s">
        <v>19040</v>
      </c>
      <c r="I6302" t="s">
        <v>471</v>
      </c>
      <c r="J6302" t="s">
        <v>30</v>
      </c>
      <c r="K6302" t="s">
        <v>1262</v>
      </c>
      <c r="M6302" t="s">
        <v>18479</v>
      </c>
      <c r="N6302" t="str">
        <f>"1/30/2012 8:35:00 AM"</f>
        <v>1/30/2012 8:35:00 AM</v>
      </c>
      <c r="O6302" t="s">
        <v>19039</v>
      </c>
    </row>
    <row r="6303" spans="1:20" x14ac:dyDescent="0.25">
      <c r="A6303" t="str">
        <f>"3056422"</f>
        <v>3056422</v>
      </c>
      <c r="B6303" t="s">
        <v>19041</v>
      </c>
      <c r="C6303" t="str">
        <f>"82514423"</f>
        <v>82514423</v>
      </c>
      <c r="D6303" t="s">
        <v>19042</v>
      </c>
      <c r="E6303" t="s">
        <v>19043</v>
      </c>
      <c r="F6303" t="s">
        <v>19044</v>
      </c>
      <c r="I6303" t="s">
        <v>29</v>
      </c>
      <c r="J6303" t="s">
        <v>30</v>
      </c>
      <c r="K6303" t="s">
        <v>19045</v>
      </c>
      <c r="M6303" t="s">
        <v>18479</v>
      </c>
      <c r="N6303" t="str">
        <f>"2/10/2012 8:40:00 AM"</f>
        <v>2/10/2012 8:40:00 AM</v>
      </c>
      <c r="O6303" t="s">
        <v>19042</v>
      </c>
      <c r="T6303" t="s">
        <v>19043</v>
      </c>
    </row>
    <row r="6304" spans="1:20" x14ac:dyDescent="0.25">
      <c r="A6304" t="str">
        <f>"3057557"</f>
        <v>3057557</v>
      </c>
      <c r="B6304" t="s">
        <v>19046</v>
      </c>
      <c r="C6304" t="str">
        <f>"8300387"</f>
        <v>8300387</v>
      </c>
      <c r="D6304" t="s">
        <v>19047</v>
      </c>
      <c r="F6304" t="s">
        <v>19048</v>
      </c>
      <c r="I6304" t="s">
        <v>29</v>
      </c>
      <c r="J6304" t="s">
        <v>30</v>
      </c>
      <c r="K6304" t="s">
        <v>31</v>
      </c>
      <c r="M6304" t="s">
        <v>18479</v>
      </c>
      <c r="N6304" t="str">
        <f>"2/10/2012 8:45:00 AM"</f>
        <v>2/10/2012 8:45:00 AM</v>
      </c>
      <c r="O6304" t="s">
        <v>19047</v>
      </c>
    </row>
    <row r="6305" spans="1:20" x14ac:dyDescent="0.25">
      <c r="A6305" t="str">
        <f>"3042803"</f>
        <v>3042803</v>
      </c>
      <c r="B6305" t="s">
        <v>19049</v>
      </c>
      <c r="C6305" t="str">
        <f>"82518599"</f>
        <v>82518599</v>
      </c>
      <c r="D6305" t="s">
        <v>19050</v>
      </c>
      <c r="F6305" t="s">
        <v>19051</v>
      </c>
      <c r="I6305" t="s">
        <v>29</v>
      </c>
      <c r="J6305" t="s">
        <v>30</v>
      </c>
      <c r="K6305" t="s">
        <v>19052</v>
      </c>
      <c r="M6305" t="s">
        <v>18479</v>
      </c>
      <c r="N6305" t="str">
        <f>"2/10/2012 9:01:00 AM"</f>
        <v>2/10/2012 9:01:00 AM</v>
      </c>
      <c r="O6305" t="s">
        <v>19050</v>
      </c>
    </row>
    <row r="6306" spans="1:20" x14ac:dyDescent="0.25">
      <c r="A6306" t="str">
        <f>"3041465"</f>
        <v>3041465</v>
      </c>
      <c r="B6306" t="s">
        <v>19053</v>
      </c>
      <c r="C6306" t="str">
        <f>"82532782"</f>
        <v>82532782</v>
      </c>
      <c r="D6306" t="s">
        <v>19054</v>
      </c>
      <c r="E6306" t="s">
        <v>19055</v>
      </c>
      <c r="F6306" t="s">
        <v>19056</v>
      </c>
      <c r="I6306" t="s">
        <v>2071</v>
      </c>
      <c r="J6306" t="s">
        <v>30</v>
      </c>
      <c r="K6306" t="s">
        <v>185</v>
      </c>
      <c r="M6306" t="s">
        <v>18479</v>
      </c>
      <c r="N6306" t="str">
        <f>"2/13/2012 11:08:00 AM"</f>
        <v>2/13/2012 11:08:00 AM</v>
      </c>
      <c r="O6306" t="s">
        <v>19054</v>
      </c>
      <c r="T6306" t="s">
        <v>19055</v>
      </c>
    </row>
    <row r="6307" spans="1:20" x14ac:dyDescent="0.25">
      <c r="A6307" t="str">
        <f>"3060392"</f>
        <v>3060392</v>
      </c>
      <c r="B6307" t="s">
        <v>19057</v>
      </c>
      <c r="C6307" t="str">
        <f>"25030250"</f>
        <v>25030250</v>
      </c>
      <c r="D6307" t="s">
        <v>19058</v>
      </c>
      <c r="E6307" t="s">
        <v>19059</v>
      </c>
      <c r="F6307" t="s">
        <v>19060</v>
      </c>
      <c r="I6307" t="s">
        <v>29</v>
      </c>
      <c r="J6307" t="s">
        <v>30</v>
      </c>
      <c r="K6307" t="s">
        <v>19061</v>
      </c>
      <c r="M6307" t="s">
        <v>18479</v>
      </c>
      <c r="N6307" t="str">
        <f>"2/13/2012 11:21:00 AM"</f>
        <v>2/13/2012 11:21:00 AM</v>
      </c>
      <c r="O6307" t="s">
        <v>19058</v>
      </c>
      <c r="T6307" t="s">
        <v>19059</v>
      </c>
    </row>
    <row r="6308" spans="1:20" x14ac:dyDescent="0.25">
      <c r="A6308" t="str">
        <f>"3057113"</f>
        <v>3057113</v>
      </c>
      <c r="B6308" t="s">
        <v>19062</v>
      </c>
      <c r="C6308" t="str">
        <f>"38351390"</f>
        <v>38351390</v>
      </c>
      <c r="D6308" t="s">
        <v>19063</v>
      </c>
      <c r="E6308" t="s">
        <v>19064</v>
      </c>
      <c r="F6308" t="s">
        <v>19065</v>
      </c>
      <c r="I6308" t="s">
        <v>29</v>
      </c>
      <c r="J6308" t="s">
        <v>30</v>
      </c>
      <c r="K6308" t="s">
        <v>19066</v>
      </c>
      <c r="M6308" t="s">
        <v>18479</v>
      </c>
      <c r="N6308" t="str">
        <f>"2/24/2012 1:51:00 PM"</f>
        <v>2/24/2012 1:51:00 PM</v>
      </c>
      <c r="O6308" t="s">
        <v>19063</v>
      </c>
      <c r="T6308" t="s">
        <v>19064</v>
      </c>
    </row>
    <row r="6309" spans="1:20" x14ac:dyDescent="0.25">
      <c r="A6309" t="str">
        <f>"3058004"</f>
        <v>3058004</v>
      </c>
      <c r="B6309" t="s">
        <v>19067</v>
      </c>
      <c r="C6309" t="str">
        <f>"38351390"</f>
        <v>38351390</v>
      </c>
      <c r="D6309" t="s">
        <v>19063</v>
      </c>
      <c r="E6309" t="s">
        <v>19064</v>
      </c>
      <c r="F6309" t="s">
        <v>19065</v>
      </c>
      <c r="I6309" t="s">
        <v>29</v>
      </c>
      <c r="J6309" t="s">
        <v>30</v>
      </c>
      <c r="K6309" t="s">
        <v>19066</v>
      </c>
      <c r="M6309" t="s">
        <v>18479</v>
      </c>
      <c r="N6309" t="str">
        <f>"2/24/2012 1:51:00 PM"</f>
        <v>2/24/2012 1:51:00 PM</v>
      </c>
      <c r="O6309" t="s">
        <v>19063</v>
      </c>
      <c r="T6309" t="s">
        <v>19064</v>
      </c>
    </row>
    <row r="6310" spans="1:20" x14ac:dyDescent="0.25">
      <c r="A6310" t="str">
        <f>"3062952"</f>
        <v>3062952</v>
      </c>
      <c r="B6310" t="s">
        <v>19068</v>
      </c>
      <c r="C6310" t="str">
        <f>"8300647"</f>
        <v>8300647</v>
      </c>
      <c r="D6310" t="s">
        <v>19069</v>
      </c>
      <c r="F6310" t="s">
        <v>19070</v>
      </c>
      <c r="I6310" t="s">
        <v>471</v>
      </c>
      <c r="J6310" t="s">
        <v>30</v>
      </c>
      <c r="K6310" t="str">
        <f>"27127"</f>
        <v>27127</v>
      </c>
      <c r="M6310" t="s">
        <v>17861</v>
      </c>
      <c r="N6310" t="str">
        <f>"2/13/2012 3:20:00 PM"</f>
        <v>2/13/2012 3:20:00 PM</v>
      </c>
      <c r="O6310" t="s">
        <v>19069</v>
      </c>
    </row>
    <row r="6311" spans="1:20" x14ac:dyDescent="0.25">
      <c r="A6311" t="str">
        <f>"3049645"</f>
        <v>3049645</v>
      </c>
      <c r="B6311" t="s">
        <v>19071</v>
      </c>
      <c r="C6311" t="str">
        <f>"40103750"</f>
        <v>40103750</v>
      </c>
      <c r="D6311" t="s">
        <v>19072</v>
      </c>
      <c r="F6311" t="s">
        <v>19073</v>
      </c>
      <c r="I6311" t="s">
        <v>29</v>
      </c>
      <c r="J6311" t="s">
        <v>30</v>
      </c>
      <c r="K6311" t="s">
        <v>19074</v>
      </c>
      <c r="M6311" t="s">
        <v>18479</v>
      </c>
      <c r="N6311" t="str">
        <f>"2/13/2012 4:28:00 PM"</f>
        <v>2/13/2012 4:28:00 PM</v>
      </c>
      <c r="O6311" t="s">
        <v>19072</v>
      </c>
      <c r="T6311" t="s">
        <v>19072</v>
      </c>
    </row>
    <row r="6312" spans="1:20" x14ac:dyDescent="0.25">
      <c r="A6312" t="str">
        <f>"3041801"</f>
        <v>3041801</v>
      </c>
      <c r="B6312" t="s">
        <v>19075</v>
      </c>
      <c r="C6312" t="str">
        <f>"82532217"</f>
        <v>82532217</v>
      </c>
      <c r="D6312" t="s">
        <v>19076</v>
      </c>
      <c r="E6312" t="s">
        <v>19077</v>
      </c>
      <c r="F6312" t="s">
        <v>19078</v>
      </c>
      <c r="I6312" t="s">
        <v>2071</v>
      </c>
      <c r="J6312" t="s">
        <v>30</v>
      </c>
      <c r="K6312" t="s">
        <v>185</v>
      </c>
      <c r="M6312" t="s">
        <v>18479</v>
      </c>
      <c r="N6312" t="str">
        <f>"2/14/2012 10:22:00 AM"</f>
        <v>2/14/2012 10:22:00 AM</v>
      </c>
      <c r="O6312" t="s">
        <v>19076</v>
      </c>
      <c r="T6312" t="s">
        <v>19077</v>
      </c>
    </row>
    <row r="6313" spans="1:20" x14ac:dyDescent="0.25">
      <c r="A6313" t="str">
        <f>"3047355"</f>
        <v>3047355</v>
      </c>
      <c r="B6313" t="s">
        <v>19079</v>
      </c>
      <c r="C6313" t="str">
        <f>"82530716"</f>
        <v>82530716</v>
      </c>
      <c r="D6313" t="s">
        <v>18981</v>
      </c>
      <c r="F6313" t="s">
        <v>18982</v>
      </c>
      <c r="I6313" t="s">
        <v>184</v>
      </c>
      <c r="J6313" t="s">
        <v>30</v>
      </c>
      <c r="K6313" t="s">
        <v>185</v>
      </c>
      <c r="M6313" t="s">
        <v>17861</v>
      </c>
      <c r="N6313" t="str">
        <f>"2/15/2012 10:13:00 AM"</f>
        <v>2/15/2012 10:13:00 AM</v>
      </c>
      <c r="O6313" t="s">
        <v>18981</v>
      </c>
    </row>
    <row r="6314" spans="1:20" x14ac:dyDescent="0.25">
      <c r="A6314" t="str">
        <f>"3047286"</f>
        <v>3047286</v>
      </c>
      <c r="B6314" t="s">
        <v>19080</v>
      </c>
      <c r="C6314" t="str">
        <f>"82530716"</f>
        <v>82530716</v>
      </c>
      <c r="D6314" t="s">
        <v>18981</v>
      </c>
      <c r="F6314" t="s">
        <v>18982</v>
      </c>
      <c r="I6314" t="s">
        <v>184</v>
      </c>
      <c r="J6314" t="s">
        <v>30</v>
      </c>
      <c r="K6314" t="s">
        <v>185</v>
      </c>
      <c r="M6314" t="s">
        <v>17861</v>
      </c>
      <c r="N6314" t="str">
        <f>"2/15/2012 10:13:00 AM"</f>
        <v>2/15/2012 10:13:00 AM</v>
      </c>
      <c r="O6314" t="s">
        <v>18981</v>
      </c>
    </row>
    <row r="6315" spans="1:20" x14ac:dyDescent="0.25">
      <c r="A6315" t="str">
        <f>"3047319"</f>
        <v>3047319</v>
      </c>
      <c r="B6315" t="s">
        <v>19081</v>
      </c>
      <c r="C6315" t="str">
        <f>"82530716"</f>
        <v>82530716</v>
      </c>
      <c r="D6315" t="s">
        <v>18981</v>
      </c>
      <c r="F6315" t="s">
        <v>18982</v>
      </c>
      <c r="I6315" t="s">
        <v>184</v>
      </c>
      <c r="J6315" t="s">
        <v>30</v>
      </c>
      <c r="K6315" t="s">
        <v>185</v>
      </c>
      <c r="M6315" t="s">
        <v>17861</v>
      </c>
      <c r="N6315" t="str">
        <f>"2/15/2012 10:13:00 AM"</f>
        <v>2/15/2012 10:13:00 AM</v>
      </c>
      <c r="O6315" t="s">
        <v>18981</v>
      </c>
    </row>
    <row r="6316" spans="1:20" x14ac:dyDescent="0.25">
      <c r="A6316" t="str">
        <f>"3052737"</f>
        <v>3052737</v>
      </c>
      <c r="B6316" t="s">
        <v>19082</v>
      </c>
      <c r="C6316" t="str">
        <f>"10320000"</f>
        <v>10320000</v>
      </c>
      <c r="D6316" t="s">
        <v>19083</v>
      </c>
      <c r="F6316" t="s">
        <v>15553</v>
      </c>
      <c r="I6316" t="s">
        <v>29</v>
      </c>
      <c r="J6316" t="s">
        <v>30</v>
      </c>
      <c r="K6316" t="s">
        <v>31</v>
      </c>
      <c r="M6316" t="s">
        <v>18479</v>
      </c>
      <c r="N6316" t="str">
        <f>"2/17/2012 11:02:00 AM"</f>
        <v>2/17/2012 11:02:00 AM</v>
      </c>
      <c r="O6316" t="s">
        <v>19083</v>
      </c>
    </row>
    <row r="6317" spans="1:20" x14ac:dyDescent="0.25">
      <c r="A6317" t="str">
        <f>"3048339"</f>
        <v>3048339</v>
      </c>
      <c r="B6317" t="s">
        <v>19084</v>
      </c>
      <c r="C6317" t="str">
        <f>"8300195"</f>
        <v>8300195</v>
      </c>
      <c r="D6317" t="s">
        <v>19085</v>
      </c>
      <c r="E6317" t="s">
        <v>19086</v>
      </c>
      <c r="F6317" t="s">
        <v>19087</v>
      </c>
      <c r="I6317" t="s">
        <v>29</v>
      </c>
      <c r="J6317" t="s">
        <v>30</v>
      </c>
      <c r="K6317" t="s">
        <v>31</v>
      </c>
      <c r="M6317" t="s">
        <v>18479</v>
      </c>
      <c r="N6317" t="str">
        <f>"2/27/2012 4:12:00 PM"</f>
        <v>2/27/2012 4:12:00 PM</v>
      </c>
      <c r="O6317" t="s">
        <v>19085</v>
      </c>
      <c r="T6317" t="s">
        <v>19086</v>
      </c>
    </row>
    <row r="6318" spans="1:20" x14ac:dyDescent="0.25">
      <c r="A6318" t="str">
        <f>"3048562"</f>
        <v>3048562</v>
      </c>
      <c r="B6318" t="s">
        <v>19088</v>
      </c>
      <c r="C6318" t="str">
        <f>"82532212"</f>
        <v>82532212</v>
      </c>
      <c r="D6318" t="s">
        <v>19089</v>
      </c>
      <c r="E6318" t="s">
        <v>19090</v>
      </c>
      <c r="F6318" t="s">
        <v>19091</v>
      </c>
      <c r="I6318" t="s">
        <v>184</v>
      </c>
      <c r="J6318" t="s">
        <v>30</v>
      </c>
      <c r="K6318" t="s">
        <v>185</v>
      </c>
      <c r="M6318" t="s">
        <v>18479</v>
      </c>
      <c r="N6318" t="str">
        <f>"2/27/2012 4:54:00 PM"</f>
        <v>2/27/2012 4:54:00 PM</v>
      </c>
      <c r="O6318" t="s">
        <v>19089</v>
      </c>
      <c r="T6318" t="s">
        <v>19090</v>
      </c>
    </row>
    <row r="6319" spans="1:20" x14ac:dyDescent="0.25">
      <c r="A6319" t="str">
        <f>"3037231"</f>
        <v>3037231</v>
      </c>
      <c r="B6319" t="s">
        <v>19092</v>
      </c>
      <c r="C6319" t="str">
        <f>"29467400"</f>
        <v>29467400</v>
      </c>
      <c r="D6319" t="s">
        <v>19093</v>
      </c>
      <c r="F6319" t="s">
        <v>19094</v>
      </c>
      <c r="I6319" t="s">
        <v>184</v>
      </c>
      <c r="J6319" t="s">
        <v>30</v>
      </c>
      <c r="K6319" t="s">
        <v>19095</v>
      </c>
      <c r="M6319" t="s">
        <v>18479</v>
      </c>
      <c r="N6319" t="str">
        <f>"2/20/2012 3:04:00 PM"</f>
        <v>2/20/2012 3:04:00 PM</v>
      </c>
      <c r="O6319" t="s">
        <v>19093</v>
      </c>
    </row>
    <row r="6320" spans="1:20" x14ac:dyDescent="0.25">
      <c r="A6320" t="str">
        <f>"3038531"</f>
        <v>3038531</v>
      </c>
      <c r="B6320" t="s">
        <v>19096</v>
      </c>
      <c r="C6320" t="str">
        <f>"29331500"</f>
        <v>29331500</v>
      </c>
      <c r="D6320" t="s">
        <v>19097</v>
      </c>
      <c r="E6320" t="s">
        <v>19098</v>
      </c>
      <c r="F6320" t="s">
        <v>19099</v>
      </c>
      <c r="I6320" t="s">
        <v>29</v>
      </c>
      <c r="J6320" t="s">
        <v>30</v>
      </c>
      <c r="K6320" t="s">
        <v>19100</v>
      </c>
      <c r="M6320" t="s">
        <v>18479</v>
      </c>
      <c r="N6320" t="str">
        <f>"2/20/2012 3:23:00 PM"</f>
        <v>2/20/2012 3:23:00 PM</v>
      </c>
      <c r="O6320" t="s">
        <v>19097</v>
      </c>
      <c r="T6320" t="s">
        <v>19098</v>
      </c>
    </row>
    <row r="6321" spans="1:20" x14ac:dyDescent="0.25">
      <c r="A6321" t="str">
        <f>"3049923"</f>
        <v>3049923</v>
      </c>
      <c r="B6321" t="s">
        <v>19101</v>
      </c>
      <c r="C6321" t="str">
        <f>"8300677"</f>
        <v>8300677</v>
      </c>
      <c r="D6321" t="s">
        <v>19102</v>
      </c>
      <c r="E6321" t="s">
        <v>19103</v>
      </c>
      <c r="F6321" t="s">
        <v>19104</v>
      </c>
      <c r="I6321" t="s">
        <v>29</v>
      </c>
      <c r="J6321" t="s">
        <v>30</v>
      </c>
      <c r="K6321" t="str">
        <f>"27028"</f>
        <v>27028</v>
      </c>
      <c r="M6321" t="s">
        <v>17861</v>
      </c>
      <c r="N6321" t="str">
        <f>"2/20/2012 3:48:00 PM"</f>
        <v>2/20/2012 3:48:00 PM</v>
      </c>
      <c r="O6321" t="s">
        <v>19102</v>
      </c>
      <c r="T6321" t="s">
        <v>19103</v>
      </c>
    </row>
    <row r="6322" spans="1:20" x14ac:dyDescent="0.25">
      <c r="A6322" t="str">
        <f>"3061588"</f>
        <v>3061588</v>
      </c>
      <c r="B6322" t="s">
        <v>19105</v>
      </c>
      <c r="C6322" t="str">
        <f>"33170000"</f>
        <v>33170000</v>
      </c>
      <c r="D6322" t="s">
        <v>19106</v>
      </c>
      <c r="F6322" t="s">
        <v>19107</v>
      </c>
      <c r="I6322" t="s">
        <v>29</v>
      </c>
      <c r="J6322" t="s">
        <v>30</v>
      </c>
      <c r="K6322" t="s">
        <v>19108</v>
      </c>
      <c r="M6322" t="s">
        <v>18479</v>
      </c>
      <c r="N6322" t="str">
        <f>"2/28/2012 12:38:00 PM"</f>
        <v>2/28/2012 12:38:00 PM</v>
      </c>
      <c r="O6322" t="s">
        <v>19106</v>
      </c>
    </row>
    <row r="6323" spans="1:20" x14ac:dyDescent="0.25">
      <c r="A6323" t="str">
        <f>"3044334"</f>
        <v>3044334</v>
      </c>
      <c r="B6323" t="s">
        <v>19109</v>
      </c>
      <c r="C6323" t="str">
        <f>"32335000"</f>
        <v>32335000</v>
      </c>
      <c r="D6323" t="s">
        <v>19110</v>
      </c>
      <c r="F6323" t="s">
        <v>19111</v>
      </c>
      <c r="I6323" t="s">
        <v>184</v>
      </c>
      <c r="J6323" t="s">
        <v>30</v>
      </c>
      <c r="K6323" t="s">
        <v>19112</v>
      </c>
      <c r="M6323" t="s">
        <v>18479</v>
      </c>
      <c r="N6323" t="str">
        <f>"2/28/2012 3:33:00 PM"</f>
        <v>2/28/2012 3:33:00 PM</v>
      </c>
      <c r="O6323" t="s">
        <v>19110</v>
      </c>
    </row>
    <row r="6324" spans="1:20" x14ac:dyDescent="0.25">
      <c r="A6324" t="str">
        <f>"3048172"</f>
        <v>3048172</v>
      </c>
      <c r="B6324" t="s">
        <v>19113</v>
      </c>
      <c r="C6324" t="str">
        <f>"30554250"</f>
        <v>30554250</v>
      </c>
      <c r="D6324" t="s">
        <v>19114</v>
      </c>
      <c r="E6324" t="s">
        <v>19115</v>
      </c>
      <c r="F6324" t="s">
        <v>19116</v>
      </c>
      <c r="I6324" t="s">
        <v>184</v>
      </c>
      <c r="J6324" t="s">
        <v>30</v>
      </c>
      <c r="K6324" t="s">
        <v>19117</v>
      </c>
      <c r="M6324" t="s">
        <v>18479</v>
      </c>
      <c r="N6324" t="str">
        <f>"2/20/2012 4:10:00 PM"</f>
        <v>2/20/2012 4:10:00 PM</v>
      </c>
      <c r="O6324" t="s">
        <v>19114</v>
      </c>
      <c r="T6324" t="s">
        <v>19115</v>
      </c>
    </row>
    <row r="6325" spans="1:20" x14ac:dyDescent="0.25">
      <c r="A6325" t="str">
        <f>"3061457"</f>
        <v>3061457</v>
      </c>
      <c r="B6325" t="s">
        <v>19118</v>
      </c>
      <c r="C6325" t="str">
        <f>"82532986"</f>
        <v>82532986</v>
      </c>
      <c r="D6325" t="s">
        <v>19119</v>
      </c>
      <c r="E6325" t="s">
        <v>19120</v>
      </c>
      <c r="F6325" t="s">
        <v>19121</v>
      </c>
      <c r="I6325" t="s">
        <v>19122</v>
      </c>
      <c r="J6325" t="s">
        <v>30</v>
      </c>
      <c r="K6325" t="s">
        <v>19123</v>
      </c>
      <c r="M6325" t="s">
        <v>18479</v>
      </c>
      <c r="N6325" t="str">
        <f>"2/21/2012 8:28:00 AM"</f>
        <v>2/21/2012 8:28:00 AM</v>
      </c>
      <c r="O6325" t="s">
        <v>19119</v>
      </c>
      <c r="T6325" t="s">
        <v>19120</v>
      </c>
    </row>
    <row r="6326" spans="1:20" x14ac:dyDescent="0.25">
      <c r="A6326" t="str">
        <f>"3037706"</f>
        <v>3037706</v>
      </c>
      <c r="B6326" t="s">
        <v>19124</v>
      </c>
      <c r="C6326" t="str">
        <f>"31125000"</f>
        <v>31125000</v>
      </c>
      <c r="D6326" t="s">
        <v>19008</v>
      </c>
      <c r="F6326" t="s">
        <v>19009</v>
      </c>
      <c r="I6326" t="s">
        <v>49</v>
      </c>
      <c r="J6326" t="s">
        <v>30</v>
      </c>
      <c r="K6326" t="s">
        <v>19010</v>
      </c>
      <c r="M6326" t="s">
        <v>18479</v>
      </c>
      <c r="N6326" t="str">
        <f>"2/21/2012 8:58:00 AM"</f>
        <v>2/21/2012 8:58:00 AM</v>
      </c>
      <c r="O6326" t="s">
        <v>19008</v>
      </c>
      <c r="T6326" t="s">
        <v>19008</v>
      </c>
    </row>
    <row r="6327" spans="1:20" x14ac:dyDescent="0.25">
      <c r="A6327" t="str">
        <f>"3053822"</f>
        <v>3053822</v>
      </c>
      <c r="B6327" t="s">
        <v>19125</v>
      </c>
      <c r="C6327" t="str">
        <f>"29564000"</f>
        <v>29564000</v>
      </c>
      <c r="D6327" t="s">
        <v>19126</v>
      </c>
      <c r="E6327" t="s">
        <v>19127</v>
      </c>
      <c r="F6327" t="s">
        <v>19128</v>
      </c>
      <c r="I6327" t="s">
        <v>184</v>
      </c>
      <c r="J6327" t="s">
        <v>30</v>
      </c>
      <c r="K6327" t="s">
        <v>185</v>
      </c>
      <c r="M6327" t="s">
        <v>18479</v>
      </c>
      <c r="N6327" t="str">
        <f>"2/21/2012 10:20:00 AM"</f>
        <v>2/21/2012 10:20:00 AM</v>
      </c>
      <c r="O6327" t="s">
        <v>19126</v>
      </c>
      <c r="T6327" t="s">
        <v>19127</v>
      </c>
    </row>
    <row r="6328" spans="1:20" x14ac:dyDescent="0.25">
      <c r="A6328" t="str">
        <f>"3067470"</f>
        <v>3067470</v>
      </c>
      <c r="B6328" t="s">
        <v>19129</v>
      </c>
      <c r="C6328" t="str">
        <f>"29564000"</f>
        <v>29564000</v>
      </c>
      <c r="D6328" t="s">
        <v>19126</v>
      </c>
      <c r="E6328" t="s">
        <v>19127</v>
      </c>
      <c r="F6328" t="s">
        <v>19128</v>
      </c>
      <c r="I6328" t="s">
        <v>184</v>
      </c>
      <c r="J6328" t="s">
        <v>30</v>
      </c>
      <c r="K6328" t="s">
        <v>185</v>
      </c>
      <c r="M6328" t="s">
        <v>18479</v>
      </c>
      <c r="N6328" t="str">
        <f>"2/21/2012 10:20:00 AM"</f>
        <v>2/21/2012 10:20:00 AM</v>
      </c>
      <c r="O6328" t="s">
        <v>19126</v>
      </c>
      <c r="T6328" t="s">
        <v>19127</v>
      </c>
    </row>
    <row r="6329" spans="1:20" x14ac:dyDescent="0.25">
      <c r="A6329" t="str">
        <f>"3043393"</f>
        <v>3043393</v>
      </c>
      <c r="B6329" t="s">
        <v>19130</v>
      </c>
      <c r="C6329" t="str">
        <f>"8300214"</f>
        <v>8300214</v>
      </c>
      <c r="D6329" t="s">
        <v>19131</v>
      </c>
      <c r="E6329" t="s">
        <v>19132</v>
      </c>
      <c r="F6329" t="s">
        <v>19133</v>
      </c>
      <c r="I6329" t="s">
        <v>29</v>
      </c>
      <c r="J6329" t="s">
        <v>30</v>
      </c>
      <c r="K6329" t="s">
        <v>31</v>
      </c>
      <c r="M6329" t="s">
        <v>18479</v>
      </c>
      <c r="N6329" t="str">
        <f>"2/23/2012 10:43:00 AM"</f>
        <v>2/23/2012 10:43:00 AM</v>
      </c>
      <c r="O6329" t="s">
        <v>19131</v>
      </c>
      <c r="T6329" t="s">
        <v>19132</v>
      </c>
    </row>
    <row r="6330" spans="1:20" x14ac:dyDescent="0.25">
      <c r="A6330" t="str">
        <f>"3042036"</f>
        <v>3042036</v>
      </c>
      <c r="B6330" t="s">
        <v>19134</v>
      </c>
      <c r="C6330" t="str">
        <f>"82527790"</f>
        <v>82527790</v>
      </c>
      <c r="D6330" t="s">
        <v>19135</v>
      </c>
      <c r="F6330" t="s">
        <v>19136</v>
      </c>
      <c r="I6330" t="s">
        <v>184</v>
      </c>
      <c r="J6330" t="s">
        <v>30</v>
      </c>
      <c r="K6330" t="s">
        <v>185</v>
      </c>
      <c r="M6330" t="s">
        <v>18479</v>
      </c>
      <c r="N6330" t="str">
        <f>"3/1/2012 3:25:00 PM"</f>
        <v>3/1/2012 3:25:00 PM</v>
      </c>
      <c r="O6330" t="s">
        <v>19135</v>
      </c>
    </row>
    <row r="6331" spans="1:20" x14ac:dyDescent="0.25">
      <c r="A6331" t="str">
        <f>"3039013"</f>
        <v>3039013</v>
      </c>
      <c r="B6331" t="s">
        <v>19137</v>
      </c>
      <c r="C6331" t="str">
        <f>"38236000"</f>
        <v>38236000</v>
      </c>
      <c r="D6331" t="s">
        <v>19138</v>
      </c>
      <c r="E6331" t="s">
        <v>19139</v>
      </c>
      <c r="F6331" t="s">
        <v>19140</v>
      </c>
      <c r="I6331" t="s">
        <v>29</v>
      </c>
      <c r="J6331" t="s">
        <v>30</v>
      </c>
      <c r="K6331" t="s">
        <v>19141</v>
      </c>
      <c r="M6331" t="s">
        <v>18479</v>
      </c>
      <c r="N6331" t="str">
        <f>"3/1/2012 4:02:00 PM"</f>
        <v>3/1/2012 4:02:00 PM</v>
      </c>
      <c r="O6331" t="s">
        <v>19138</v>
      </c>
      <c r="T6331" t="s">
        <v>19139</v>
      </c>
    </row>
    <row r="6332" spans="1:20" x14ac:dyDescent="0.25">
      <c r="A6332" t="str">
        <f>"3043614"</f>
        <v>3043614</v>
      </c>
      <c r="B6332" t="s">
        <v>19142</v>
      </c>
      <c r="C6332" t="str">
        <f>"82522623"</f>
        <v>82522623</v>
      </c>
      <c r="D6332" t="s">
        <v>19143</v>
      </c>
      <c r="F6332" t="s">
        <v>19144</v>
      </c>
      <c r="I6332" t="s">
        <v>2275</v>
      </c>
      <c r="J6332" t="s">
        <v>30</v>
      </c>
      <c r="K6332" t="s">
        <v>19145</v>
      </c>
      <c r="M6332" t="s">
        <v>18479</v>
      </c>
      <c r="N6332" t="str">
        <f>"2/8/2012 4:09:00 PM"</f>
        <v>2/8/2012 4:09:00 PM</v>
      </c>
      <c r="O6332" t="s">
        <v>19143</v>
      </c>
    </row>
    <row r="6333" spans="1:20" x14ac:dyDescent="0.25">
      <c r="A6333" t="str">
        <f>"3038902"</f>
        <v>3038902</v>
      </c>
      <c r="B6333" t="s">
        <v>19146</v>
      </c>
      <c r="C6333" t="str">
        <f>"82530423"</f>
        <v>82530423</v>
      </c>
      <c r="D6333" t="s">
        <v>19147</v>
      </c>
      <c r="F6333" t="s">
        <v>19148</v>
      </c>
      <c r="I6333" t="s">
        <v>29</v>
      </c>
      <c r="J6333" t="s">
        <v>30</v>
      </c>
      <c r="K6333" t="s">
        <v>31</v>
      </c>
      <c r="M6333" t="s">
        <v>18479</v>
      </c>
      <c r="N6333" t="str">
        <f>"2/24/2012 10:59:00 AM"</f>
        <v>2/24/2012 10:59:00 AM</v>
      </c>
      <c r="O6333" t="s">
        <v>19147</v>
      </c>
    </row>
    <row r="6334" spans="1:20" x14ac:dyDescent="0.25">
      <c r="A6334" t="str">
        <f>"3044850"</f>
        <v>3044850</v>
      </c>
      <c r="B6334" t="s">
        <v>19149</v>
      </c>
      <c r="C6334" t="str">
        <f>"8300708"</f>
        <v>8300708</v>
      </c>
      <c r="D6334" t="s">
        <v>19150</v>
      </c>
      <c r="E6334" t="s">
        <v>19151</v>
      </c>
      <c r="F6334" t="s">
        <v>19152</v>
      </c>
      <c r="I6334" t="s">
        <v>184</v>
      </c>
      <c r="J6334" t="s">
        <v>30</v>
      </c>
      <c r="K6334" t="str">
        <f>"27006"</f>
        <v>27006</v>
      </c>
      <c r="M6334" t="s">
        <v>17861</v>
      </c>
      <c r="N6334" t="str">
        <f>"3/2/2012 4:20:00 PM"</f>
        <v>3/2/2012 4:20:00 PM</v>
      </c>
      <c r="O6334" t="s">
        <v>19150</v>
      </c>
      <c r="T6334" t="s">
        <v>19151</v>
      </c>
    </row>
    <row r="6335" spans="1:20" x14ac:dyDescent="0.25">
      <c r="A6335" t="str">
        <f>"3051780"</f>
        <v>3051780</v>
      </c>
      <c r="B6335" t="s">
        <v>19153</v>
      </c>
      <c r="C6335" t="str">
        <f>"37024000"</f>
        <v>37024000</v>
      </c>
      <c r="D6335" t="s">
        <v>19154</v>
      </c>
      <c r="F6335" t="s">
        <v>19155</v>
      </c>
      <c r="I6335" t="s">
        <v>29</v>
      </c>
      <c r="J6335" t="s">
        <v>30</v>
      </c>
      <c r="K6335" t="s">
        <v>19156</v>
      </c>
      <c r="M6335" t="s">
        <v>18479</v>
      </c>
      <c r="N6335" t="str">
        <f>"2/24/2012 12:14:00 PM"</f>
        <v>2/24/2012 12:14:00 PM</v>
      </c>
      <c r="O6335" t="s">
        <v>19154</v>
      </c>
    </row>
    <row r="6336" spans="1:20" x14ac:dyDescent="0.25">
      <c r="A6336" t="str">
        <f>"3074557"</f>
        <v>3074557</v>
      </c>
      <c r="B6336" t="s">
        <v>19157</v>
      </c>
      <c r="C6336" t="str">
        <f>"37024000"</f>
        <v>37024000</v>
      </c>
      <c r="D6336" t="s">
        <v>19154</v>
      </c>
      <c r="F6336" t="s">
        <v>19155</v>
      </c>
      <c r="I6336" t="s">
        <v>29</v>
      </c>
      <c r="J6336" t="s">
        <v>30</v>
      </c>
      <c r="K6336" t="s">
        <v>19156</v>
      </c>
      <c r="M6336" t="s">
        <v>18479</v>
      </c>
      <c r="N6336" t="str">
        <f>"2/24/2012 12:14:00 PM"</f>
        <v>2/24/2012 12:14:00 PM</v>
      </c>
      <c r="O6336" t="s">
        <v>19154</v>
      </c>
    </row>
    <row r="6337" spans="1:20" x14ac:dyDescent="0.25">
      <c r="A6337" t="str">
        <f>"3074563"</f>
        <v>3074563</v>
      </c>
      <c r="B6337" t="s">
        <v>19158</v>
      </c>
      <c r="C6337" t="str">
        <f>"37024000"</f>
        <v>37024000</v>
      </c>
      <c r="D6337" t="s">
        <v>19154</v>
      </c>
      <c r="F6337" t="s">
        <v>19155</v>
      </c>
      <c r="I6337" t="s">
        <v>29</v>
      </c>
      <c r="J6337" t="s">
        <v>30</v>
      </c>
      <c r="K6337" t="s">
        <v>19156</v>
      </c>
      <c r="M6337" t="s">
        <v>18479</v>
      </c>
      <c r="N6337" t="str">
        <f>"2/24/2012 12:14:00 PM"</f>
        <v>2/24/2012 12:14:00 PM</v>
      </c>
      <c r="O6337" t="s">
        <v>19154</v>
      </c>
    </row>
    <row r="6338" spans="1:20" x14ac:dyDescent="0.25">
      <c r="A6338" t="str">
        <f>"3040732"</f>
        <v>3040732</v>
      </c>
      <c r="B6338" t="s">
        <v>19159</v>
      </c>
      <c r="C6338" t="str">
        <f>"38013000"</f>
        <v>38013000</v>
      </c>
      <c r="D6338" t="s">
        <v>19160</v>
      </c>
      <c r="F6338" t="s">
        <v>19161</v>
      </c>
      <c r="I6338" t="s">
        <v>184</v>
      </c>
      <c r="J6338" t="s">
        <v>30</v>
      </c>
      <c r="K6338" t="s">
        <v>2900</v>
      </c>
      <c r="M6338" t="s">
        <v>18479</v>
      </c>
      <c r="N6338" t="str">
        <f>"2/24/2012 2:56:00 PM"</f>
        <v>2/24/2012 2:56:00 PM</v>
      </c>
      <c r="O6338" t="s">
        <v>19160</v>
      </c>
      <c r="T6338" t="s">
        <v>19160</v>
      </c>
    </row>
    <row r="6339" spans="1:20" x14ac:dyDescent="0.25">
      <c r="A6339" t="str">
        <f>"3059073"</f>
        <v>3059073</v>
      </c>
      <c r="B6339" t="s">
        <v>19162</v>
      </c>
      <c r="C6339" t="str">
        <f>"32733350"</f>
        <v>32733350</v>
      </c>
      <c r="D6339" t="s">
        <v>19163</v>
      </c>
      <c r="F6339" t="s">
        <v>19164</v>
      </c>
      <c r="I6339" t="s">
        <v>29</v>
      </c>
      <c r="J6339" t="s">
        <v>30</v>
      </c>
      <c r="K6339" t="s">
        <v>31</v>
      </c>
      <c r="M6339" t="s">
        <v>18479</v>
      </c>
      <c r="N6339" t="str">
        <f>"2/24/2012 3:32:00 PM"</f>
        <v>2/24/2012 3:32:00 PM</v>
      </c>
      <c r="O6339" t="s">
        <v>19163</v>
      </c>
    </row>
    <row r="6340" spans="1:20" x14ac:dyDescent="0.25">
      <c r="A6340" t="str">
        <f>"3048091"</f>
        <v>3048091</v>
      </c>
      <c r="B6340" t="s">
        <v>19165</v>
      </c>
      <c r="C6340" t="str">
        <f>"82531025"</f>
        <v>82531025</v>
      </c>
      <c r="D6340" t="s">
        <v>19166</v>
      </c>
      <c r="E6340" t="s">
        <v>19167</v>
      </c>
      <c r="F6340" t="s">
        <v>19168</v>
      </c>
      <c r="I6340" t="s">
        <v>184</v>
      </c>
      <c r="K6340" t="s">
        <v>185</v>
      </c>
      <c r="M6340" t="s">
        <v>18479</v>
      </c>
      <c r="N6340" t="str">
        <f>"2/27/2012 9:06:00 AM"</f>
        <v>2/27/2012 9:06:00 AM</v>
      </c>
      <c r="O6340" t="s">
        <v>19166</v>
      </c>
      <c r="T6340" t="s">
        <v>19167</v>
      </c>
    </row>
    <row r="6341" spans="1:20" x14ac:dyDescent="0.25">
      <c r="A6341" t="str">
        <f>"3057624"</f>
        <v>3057624</v>
      </c>
      <c r="B6341" t="s">
        <v>19169</v>
      </c>
      <c r="C6341" t="str">
        <f>"82526451"</f>
        <v>82526451</v>
      </c>
      <c r="D6341" t="s">
        <v>19170</v>
      </c>
      <c r="F6341" t="s">
        <v>19171</v>
      </c>
      <c r="I6341" t="s">
        <v>184</v>
      </c>
      <c r="J6341" t="s">
        <v>30</v>
      </c>
      <c r="K6341" t="s">
        <v>185</v>
      </c>
      <c r="M6341" t="s">
        <v>18479</v>
      </c>
      <c r="N6341" t="str">
        <f>"2/27/2012 11:24:00 AM"</f>
        <v>2/27/2012 11:24:00 AM</v>
      </c>
      <c r="O6341" t="s">
        <v>19170</v>
      </c>
    </row>
    <row r="6342" spans="1:20" x14ac:dyDescent="0.25">
      <c r="A6342" t="str">
        <f>"3059977"</f>
        <v>3059977</v>
      </c>
      <c r="B6342" t="s">
        <v>19172</v>
      </c>
      <c r="C6342" t="str">
        <f>"33704000"</f>
        <v>33704000</v>
      </c>
      <c r="D6342" t="s">
        <v>19173</v>
      </c>
      <c r="F6342" t="s">
        <v>19174</v>
      </c>
      <c r="I6342" t="s">
        <v>184</v>
      </c>
      <c r="J6342" t="s">
        <v>30</v>
      </c>
      <c r="K6342" t="s">
        <v>19175</v>
      </c>
      <c r="M6342" t="s">
        <v>18479</v>
      </c>
      <c r="N6342" t="str">
        <f>"2/27/2012 11:40:00 AM"</f>
        <v>2/27/2012 11:40:00 AM</v>
      </c>
      <c r="O6342" t="s">
        <v>19173</v>
      </c>
    </row>
    <row r="6343" spans="1:20" x14ac:dyDescent="0.25">
      <c r="A6343" t="str">
        <f>"3069333"</f>
        <v>3069333</v>
      </c>
      <c r="B6343" t="s">
        <v>19176</v>
      </c>
      <c r="C6343" t="str">
        <f>"50788000"</f>
        <v>50788000</v>
      </c>
      <c r="D6343" t="s">
        <v>19177</v>
      </c>
      <c r="E6343" t="s">
        <v>19178</v>
      </c>
      <c r="F6343" t="s">
        <v>19179</v>
      </c>
      <c r="I6343" t="s">
        <v>29</v>
      </c>
      <c r="J6343" t="s">
        <v>30</v>
      </c>
      <c r="K6343" t="s">
        <v>31</v>
      </c>
      <c r="M6343" t="s">
        <v>18432</v>
      </c>
      <c r="N6343" t="str">
        <f>"2/27/2012 11:58:00 AM"</f>
        <v>2/27/2012 11:58:00 AM</v>
      </c>
      <c r="O6343" t="s">
        <v>19177</v>
      </c>
      <c r="T6343" t="s">
        <v>19178</v>
      </c>
    </row>
    <row r="6344" spans="1:20" x14ac:dyDescent="0.25">
      <c r="A6344" t="str">
        <f>"3050401"</f>
        <v>3050401</v>
      </c>
      <c r="B6344" t="s">
        <v>19180</v>
      </c>
      <c r="C6344" t="str">
        <f>"40852000"</f>
        <v>40852000</v>
      </c>
      <c r="D6344" t="s">
        <v>19181</v>
      </c>
      <c r="E6344" t="s">
        <v>19182</v>
      </c>
      <c r="F6344" t="s">
        <v>19183</v>
      </c>
      <c r="I6344" t="s">
        <v>29</v>
      </c>
      <c r="J6344" t="s">
        <v>30</v>
      </c>
      <c r="K6344" t="s">
        <v>31</v>
      </c>
      <c r="M6344" t="s">
        <v>18479</v>
      </c>
      <c r="N6344" t="str">
        <f>"3/8/2012 4:24:00 PM"</f>
        <v>3/8/2012 4:24:00 PM</v>
      </c>
      <c r="O6344" t="s">
        <v>19181</v>
      </c>
      <c r="T6344" t="s">
        <v>19182</v>
      </c>
    </row>
    <row r="6345" spans="1:20" x14ac:dyDescent="0.25">
      <c r="A6345" t="str">
        <f>"3049584"</f>
        <v>3049584</v>
      </c>
      <c r="B6345" t="s">
        <v>19184</v>
      </c>
      <c r="C6345" t="str">
        <f>"40852000"</f>
        <v>40852000</v>
      </c>
      <c r="D6345" t="s">
        <v>19181</v>
      </c>
      <c r="E6345" t="s">
        <v>19182</v>
      </c>
      <c r="F6345" t="s">
        <v>19183</v>
      </c>
      <c r="I6345" t="s">
        <v>29</v>
      </c>
      <c r="J6345" t="s">
        <v>30</v>
      </c>
      <c r="K6345" t="s">
        <v>31</v>
      </c>
      <c r="M6345" t="s">
        <v>18479</v>
      </c>
      <c r="N6345" t="str">
        <f>"3/8/2012 4:24:00 PM"</f>
        <v>3/8/2012 4:24:00 PM</v>
      </c>
      <c r="O6345" t="s">
        <v>19181</v>
      </c>
      <c r="T6345" t="s">
        <v>19182</v>
      </c>
    </row>
    <row r="6346" spans="1:20" x14ac:dyDescent="0.25">
      <c r="A6346" t="str">
        <f>"3049451"</f>
        <v>3049451</v>
      </c>
      <c r="B6346" t="s">
        <v>19185</v>
      </c>
      <c r="C6346" t="str">
        <f>"40852000"</f>
        <v>40852000</v>
      </c>
      <c r="D6346" t="s">
        <v>19181</v>
      </c>
      <c r="E6346" t="s">
        <v>19182</v>
      </c>
      <c r="F6346" t="s">
        <v>19183</v>
      </c>
      <c r="I6346" t="s">
        <v>29</v>
      </c>
      <c r="J6346" t="s">
        <v>30</v>
      </c>
      <c r="K6346" t="s">
        <v>31</v>
      </c>
      <c r="M6346" t="s">
        <v>18479</v>
      </c>
      <c r="N6346" t="str">
        <f>"3/8/2012 4:24:00 PM"</f>
        <v>3/8/2012 4:24:00 PM</v>
      </c>
      <c r="O6346" t="s">
        <v>19181</v>
      </c>
      <c r="T6346" t="s">
        <v>19182</v>
      </c>
    </row>
    <row r="6347" spans="1:20" x14ac:dyDescent="0.25">
      <c r="A6347" t="str">
        <f>"3040689"</f>
        <v>3040689</v>
      </c>
      <c r="B6347" t="s">
        <v>19186</v>
      </c>
      <c r="C6347" t="str">
        <f>"82532100"</f>
        <v>82532100</v>
      </c>
      <c r="D6347" t="s">
        <v>19187</v>
      </c>
      <c r="E6347" t="s">
        <v>19188</v>
      </c>
      <c r="F6347" t="s">
        <v>19189</v>
      </c>
      <c r="I6347" t="s">
        <v>184</v>
      </c>
      <c r="J6347" t="s">
        <v>30</v>
      </c>
      <c r="K6347" t="s">
        <v>19190</v>
      </c>
      <c r="M6347" t="s">
        <v>18479</v>
      </c>
      <c r="N6347" t="str">
        <f>"2/27/2012 2:21:00 PM"</f>
        <v>2/27/2012 2:21:00 PM</v>
      </c>
      <c r="O6347" t="s">
        <v>19187</v>
      </c>
      <c r="T6347" t="s">
        <v>19188</v>
      </c>
    </row>
    <row r="6348" spans="1:20" x14ac:dyDescent="0.25">
      <c r="A6348" t="str">
        <f>"3054815"</f>
        <v>3054815</v>
      </c>
      <c r="B6348" t="s">
        <v>19191</v>
      </c>
      <c r="C6348" t="str">
        <f>"82520766"</f>
        <v>82520766</v>
      </c>
      <c r="D6348" t="s">
        <v>19192</v>
      </c>
      <c r="F6348" t="s">
        <v>19193</v>
      </c>
      <c r="I6348" t="s">
        <v>29</v>
      </c>
      <c r="J6348" t="s">
        <v>30</v>
      </c>
      <c r="K6348" t="s">
        <v>19194</v>
      </c>
      <c r="M6348" t="s">
        <v>18479</v>
      </c>
      <c r="N6348" t="str">
        <f>"3/8/2012 4:30:00 PM"</f>
        <v>3/8/2012 4:30:00 PM</v>
      </c>
      <c r="O6348" t="s">
        <v>19192</v>
      </c>
    </row>
    <row r="6349" spans="1:20" x14ac:dyDescent="0.25">
      <c r="A6349" t="str">
        <f>"3078906"</f>
        <v>3078906</v>
      </c>
      <c r="B6349" t="s">
        <v>19195</v>
      </c>
      <c r="C6349" t="str">
        <f>"82525101"</f>
        <v>82525101</v>
      </c>
      <c r="D6349" t="s">
        <v>19196</v>
      </c>
      <c r="E6349" t="s">
        <v>19197</v>
      </c>
      <c r="F6349" t="str">
        <f>"C/O DR ANDREW STOVALL JETER"</f>
        <v>C/O DR ANDREW STOVALL JETER</v>
      </c>
      <c r="G6349" t="s">
        <v>19198</v>
      </c>
      <c r="I6349" t="s">
        <v>29</v>
      </c>
      <c r="J6349" t="s">
        <v>30</v>
      </c>
      <c r="K6349" t="s">
        <v>19199</v>
      </c>
      <c r="M6349" t="s">
        <v>18479</v>
      </c>
      <c r="N6349" t="str">
        <f>"3/8/2012 4:54:00 PM"</f>
        <v>3/8/2012 4:54:00 PM</v>
      </c>
      <c r="O6349" t="s">
        <v>19196</v>
      </c>
      <c r="T6349" t="s">
        <v>19197</v>
      </c>
    </row>
    <row r="6350" spans="1:20" x14ac:dyDescent="0.25">
      <c r="A6350" t="str">
        <f>"3078904"</f>
        <v>3078904</v>
      </c>
      <c r="B6350" t="s">
        <v>19200</v>
      </c>
      <c r="C6350" t="str">
        <f>"82525101"</f>
        <v>82525101</v>
      </c>
      <c r="D6350" t="s">
        <v>19196</v>
      </c>
      <c r="E6350" t="s">
        <v>19197</v>
      </c>
      <c r="F6350" t="str">
        <f>"C/O DR ANDREW STOVALL JETER"</f>
        <v>C/O DR ANDREW STOVALL JETER</v>
      </c>
      <c r="G6350" t="s">
        <v>19198</v>
      </c>
      <c r="I6350" t="s">
        <v>29</v>
      </c>
      <c r="J6350" t="s">
        <v>30</v>
      </c>
      <c r="K6350" t="s">
        <v>19199</v>
      </c>
      <c r="M6350" t="s">
        <v>18479</v>
      </c>
      <c r="N6350" t="str">
        <f>"3/8/2012 4:54:00 PM"</f>
        <v>3/8/2012 4:54:00 PM</v>
      </c>
      <c r="O6350" t="s">
        <v>19196</v>
      </c>
      <c r="T6350" t="s">
        <v>19197</v>
      </c>
    </row>
    <row r="6351" spans="1:20" x14ac:dyDescent="0.25">
      <c r="A6351" t="str">
        <f>"3047138"</f>
        <v>3047138</v>
      </c>
      <c r="B6351" t="s">
        <v>19201</v>
      </c>
      <c r="C6351" t="str">
        <f>"82526402"</f>
        <v>82526402</v>
      </c>
      <c r="D6351" t="s">
        <v>19202</v>
      </c>
      <c r="E6351" t="s">
        <v>19203</v>
      </c>
      <c r="F6351" t="s">
        <v>19204</v>
      </c>
      <c r="I6351" t="s">
        <v>29</v>
      </c>
      <c r="J6351" t="s">
        <v>30</v>
      </c>
      <c r="K6351" t="s">
        <v>31</v>
      </c>
      <c r="M6351" t="s">
        <v>18479</v>
      </c>
      <c r="N6351" t="str">
        <f>"2/28/2012 11:33:00 AM"</f>
        <v>2/28/2012 11:33:00 AM</v>
      </c>
      <c r="O6351" t="s">
        <v>19202</v>
      </c>
      <c r="T6351" t="s">
        <v>19203</v>
      </c>
    </row>
    <row r="6352" spans="1:20" x14ac:dyDescent="0.25">
      <c r="A6352" t="str">
        <f>"3041007"</f>
        <v>3041007</v>
      </c>
      <c r="B6352" t="s">
        <v>19205</v>
      </c>
      <c r="C6352" t="str">
        <f>"82529242"</f>
        <v>82529242</v>
      </c>
      <c r="D6352" t="s">
        <v>19206</v>
      </c>
      <c r="F6352" t="s">
        <v>19207</v>
      </c>
      <c r="I6352" t="s">
        <v>2071</v>
      </c>
      <c r="J6352" t="s">
        <v>30</v>
      </c>
      <c r="K6352" t="s">
        <v>185</v>
      </c>
      <c r="M6352" t="s">
        <v>18479</v>
      </c>
      <c r="N6352" t="str">
        <f>"3/12/2012 8:42:00 AM"</f>
        <v>3/12/2012 8:42:00 AM</v>
      </c>
      <c r="O6352" t="s">
        <v>19206</v>
      </c>
    </row>
    <row r="6353" spans="1:20" x14ac:dyDescent="0.25">
      <c r="A6353" t="str">
        <f>"3037538"</f>
        <v>3037538</v>
      </c>
      <c r="B6353" t="s">
        <v>19208</v>
      </c>
      <c r="C6353" t="str">
        <f>"8300148"</f>
        <v>8300148</v>
      </c>
      <c r="D6353" t="s">
        <v>19209</v>
      </c>
      <c r="F6353" t="s">
        <v>19210</v>
      </c>
      <c r="I6353" t="s">
        <v>19211</v>
      </c>
      <c r="J6353" t="s">
        <v>30</v>
      </c>
      <c r="K6353" t="s">
        <v>19212</v>
      </c>
      <c r="M6353" t="s">
        <v>18479</v>
      </c>
      <c r="N6353" t="str">
        <f>"3/12/2012 8:46:00 AM"</f>
        <v>3/12/2012 8:46:00 AM</v>
      </c>
      <c r="O6353" t="s">
        <v>19209</v>
      </c>
    </row>
    <row r="6354" spans="1:20" x14ac:dyDescent="0.25">
      <c r="A6354" t="str">
        <f>"3060465"</f>
        <v>3060465</v>
      </c>
      <c r="B6354" t="s">
        <v>19213</v>
      </c>
      <c r="C6354" t="str">
        <f>"82526307"</f>
        <v>82526307</v>
      </c>
      <c r="D6354" t="s">
        <v>19214</v>
      </c>
      <c r="E6354" t="s">
        <v>19215</v>
      </c>
      <c r="F6354" t="s">
        <v>19216</v>
      </c>
      <c r="I6354" t="s">
        <v>184</v>
      </c>
      <c r="J6354" t="s">
        <v>30</v>
      </c>
      <c r="K6354" t="s">
        <v>185</v>
      </c>
      <c r="M6354" t="s">
        <v>18479</v>
      </c>
      <c r="N6354" t="str">
        <f>"3/12/2012 9:00:00 AM"</f>
        <v>3/12/2012 9:00:00 AM</v>
      </c>
      <c r="O6354" t="s">
        <v>19214</v>
      </c>
      <c r="T6354" t="s">
        <v>19215</v>
      </c>
    </row>
    <row r="6355" spans="1:20" x14ac:dyDescent="0.25">
      <c r="A6355" t="str">
        <f>"3042213"</f>
        <v>3042213</v>
      </c>
      <c r="B6355" t="s">
        <v>19217</v>
      </c>
      <c r="C6355" t="str">
        <f>"33170000"</f>
        <v>33170000</v>
      </c>
      <c r="D6355" t="s">
        <v>19106</v>
      </c>
      <c r="F6355" t="s">
        <v>19107</v>
      </c>
      <c r="I6355" t="s">
        <v>29</v>
      </c>
      <c r="J6355" t="s">
        <v>30</v>
      </c>
      <c r="K6355" t="s">
        <v>19108</v>
      </c>
      <c r="M6355" t="s">
        <v>18479</v>
      </c>
      <c r="N6355" t="str">
        <f>"2/28/2012 12:38:00 PM"</f>
        <v>2/28/2012 12:38:00 PM</v>
      </c>
      <c r="O6355" t="s">
        <v>19106</v>
      </c>
    </row>
    <row r="6356" spans="1:20" x14ac:dyDescent="0.25">
      <c r="A6356" t="str">
        <f>"3056845"</f>
        <v>3056845</v>
      </c>
      <c r="B6356" t="s">
        <v>19218</v>
      </c>
      <c r="C6356" t="str">
        <f>"33170000"</f>
        <v>33170000</v>
      </c>
      <c r="D6356" t="s">
        <v>19106</v>
      </c>
      <c r="F6356" t="s">
        <v>19107</v>
      </c>
      <c r="I6356" t="s">
        <v>29</v>
      </c>
      <c r="J6356" t="s">
        <v>30</v>
      </c>
      <c r="K6356" t="s">
        <v>19108</v>
      </c>
      <c r="M6356" t="s">
        <v>18479</v>
      </c>
      <c r="N6356" t="str">
        <f>"2/28/2012 12:38:00 PM"</f>
        <v>2/28/2012 12:38:00 PM</v>
      </c>
      <c r="O6356" t="s">
        <v>19106</v>
      </c>
    </row>
    <row r="6357" spans="1:20" x14ac:dyDescent="0.25">
      <c r="A6357" t="str">
        <f>"3078286"</f>
        <v>3078286</v>
      </c>
      <c r="B6357" t="s">
        <v>19219</v>
      </c>
      <c r="C6357" t="str">
        <f>"8300695"</f>
        <v>8300695</v>
      </c>
      <c r="D6357" t="s">
        <v>19220</v>
      </c>
      <c r="E6357" t="s">
        <v>19221</v>
      </c>
      <c r="F6357" t="s">
        <v>19222</v>
      </c>
      <c r="I6357" t="s">
        <v>29</v>
      </c>
      <c r="J6357" t="s">
        <v>30</v>
      </c>
      <c r="K6357" t="str">
        <f>"27028"</f>
        <v>27028</v>
      </c>
      <c r="M6357" t="s">
        <v>17861</v>
      </c>
      <c r="N6357" t="str">
        <f>"2/29/2012 10:39:00 AM"</f>
        <v>2/29/2012 10:39:00 AM</v>
      </c>
      <c r="O6357" t="s">
        <v>19220</v>
      </c>
      <c r="T6357" t="s">
        <v>19221</v>
      </c>
    </row>
    <row r="6358" spans="1:20" x14ac:dyDescent="0.25">
      <c r="A6358" t="str">
        <f>"3054083"</f>
        <v>3054083</v>
      </c>
      <c r="B6358" t="s">
        <v>19223</v>
      </c>
      <c r="C6358" t="str">
        <f>"8300730"</f>
        <v>8300730</v>
      </c>
      <c r="D6358" t="s">
        <v>19224</v>
      </c>
      <c r="F6358" t="s">
        <v>19225</v>
      </c>
      <c r="I6358" t="s">
        <v>29</v>
      </c>
      <c r="J6358" t="s">
        <v>30</v>
      </c>
      <c r="K6358" t="str">
        <f>"27028"</f>
        <v>27028</v>
      </c>
      <c r="M6358" t="s">
        <v>17861</v>
      </c>
      <c r="N6358" t="str">
        <f>"3/13/2012 3:34:00 PM"</f>
        <v>3/13/2012 3:34:00 PM</v>
      </c>
      <c r="O6358" t="s">
        <v>19224</v>
      </c>
    </row>
    <row r="6359" spans="1:20" x14ac:dyDescent="0.25">
      <c r="A6359" t="str">
        <f>"3047129"</f>
        <v>3047129</v>
      </c>
      <c r="B6359" t="s">
        <v>19226</v>
      </c>
      <c r="C6359" t="str">
        <f>"8300185"</f>
        <v>8300185</v>
      </c>
      <c r="D6359" t="s">
        <v>19227</v>
      </c>
      <c r="E6359" t="s">
        <v>19228</v>
      </c>
      <c r="F6359" t="s">
        <v>19229</v>
      </c>
      <c r="I6359" t="s">
        <v>29</v>
      </c>
      <c r="J6359" t="s">
        <v>30</v>
      </c>
      <c r="K6359" t="s">
        <v>185</v>
      </c>
      <c r="M6359" t="s">
        <v>17861</v>
      </c>
      <c r="N6359" t="str">
        <f>"2/29/2012 10:44:00 AM"</f>
        <v>2/29/2012 10:44:00 AM</v>
      </c>
      <c r="O6359" t="s">
        <v>19227</v>
      </c>
      <c r="T6359" t="s">
        <v>19228</v>
      </c>
    </row>
    <row r="6360" spans="1:20" x14ac:dyDescent="0.25">
      <c r="A6360" t="str">
        <f>"3038359"</f>
        <v>3038359</v>
      </c>
      <c r="B6360" t="s">
        <v>19230</v>
      </c>
      <c r="C6360" t="str">
        <f>"82531481"</f>
        <v>82531481</v>
      </c>
      <c r="D6360" t="s">
        <v>19231</v>
      </c>
      <c r="E6360" t="s">
        <v>19232</v>
      </c>
      <c r="F6360" t="s">
        <v>19233</v>
      </c>
      <c r="I6360" t="s">
        <v>29</v>
      </c>
      <c r="K6360" t="s">
        <v>19234</v>
      </c>
      <c r="M6360" t="s">
        <v>17861</v>
      </c>
      <c r="N6360" t="str">
        <f>"2/29/2012 2:32:00 PM"</f>
        <v>2/29/2012 2:32:00 PM</v>
      </c>
      <c r="O6360" t="s">
        <v>19231</v>
      </c>
      <c r="T6360" t="s">
        <v>19232</v>
      </c>
    </row>
    <row r="6361" spans="1:20" x14ac:dyDescent="0.25">
      <c r="A6361" t="str">
        <f>"3057151"</f>
        <v>3057151</v>
      </c>
      <c r="B6361" t="s">
        <v>19235</v>
      </c>
      <c r="C6361" t="str">
        <f>"8300744"</f>
        <v>8300744</v>
      </c>
      <c r="D6361" t="s">
        <v>19236</v>
      </c>
      <c r="E6361" t="s">
        <v>19237</v>
      </c>
      <c r="F6361" t="s">
        <v>19238</v>
      </c>
      <c r="I6361" t="s">
        <v>9580</v>
      </c>
      <c r="J6361" t="s">
        <v>30</v>
      </c>
      <c r="K6361" t="str">
        <f>"27014"</f>
        <v>27014</v>
      </c>
      <c r="M6361" t="s">
        <v>17861</v>
      </c>
      <c r="N6361" t="str">
        <f>"3/14/2012 10:43:00 AM"</f>
        <v>3/14/2012 10:43:00 AM</v>
      </c>
      <c r="O6361" t="s">
        <v>19236</v>
      </c>
      <c r="T6361" t="s">
        <v>19237</v>
      </c>
    </row>
    <row r="6362" spans="1:20" x14ac:dyDescent="0.25">
      <c r="A6362" t="str">
        <f>"3059821"</f>
        <v>3059821</v>
      </c>
      <c r="B6362" t="s">
        <v>19239</v>
      </c>
      <c r="C6362" t="str">
        <f>"8300744"</f>
        <v>8300744</v>
      </c>
      <c r="D6362" t="s">
        <v>19236</v>
      </c>
      <c r="E6362" t="s">
        <v>19237</v>
      </c>
      <c r="F6362" t="s">
        <v>19238</v>
      </c>
      <c r="I6362" t="s">
        <v>9580</v>
      </c>
      <c r="J6362" t="s">
        <v>30</v>
      </c>
      <c r="K6362" t="str">
        <f>"27014"</f>
        <v>27014</v>
      </c>
      <c r="M6362" t="s">
        <v>17861</v>
      </c>
      <c r="N6362" t="str">
        <f>"3/14/2012 10:43:00 AM"</f>
        <v>3/14/2012 10:43:00 AM</v>
      </c>
      <c r="O6362" t="s">
        <v>19236</v>
      </c>
      <c r="T6362" t="s">
        <v>19237</v>
      </c>
    </row>
    <row r="6363" spans="1:20" x14ac:dyDescent="0.25">
      <c r="A6363" t="str">
        <f>"3043539"</f>
        <v>3043539</v>
      </c>
      <c r="B6363" t="s">
        <v>19240</v>
      </c>
      <c r="C6363" t="str">
        <f>"8300127"</f>
        <v>8300127</v>
      </c>
      <c r="D6363" t="s">
        <v>19241</v>
      </c>
      <c r="E6363" t="s">
        <v>19242</v>
      </c>
      <c r="F6363" t="s">
        <v>19243</v>
      </c>
      <c r="I6363" t="s">
        <v>29</v>
      </c>
      <c r="J6363" t="s">
        <v>30</v>
      </c>
      <c r="K6363" t="s">
        <v>31</v>
      </c>
      <c r="M6363" t="s">
        <v>18479</v>
      </c>
      <c r="N6363" t="str">
        <f>"3/1/2012 9:48:00 AM"</f>
        <v>3/1/2012 9:48:00 AM</v>
      </c>
      <c r="O6363" t="s">
        <v>19241</v>
      </c>
      <c r="T6363" t="s">
        <v>19242</v>
      </c>
    </row>
    <row r="6364" spans="1:20" x14ac:dyDescent="0.25">
      <c r="A6364" t="str">
        <f>"3042267"</f>
        <v>3042267</v>
      </c>
      <c r="B6364" t="s">
        <v>19244</v>
      </c>
      <c r="C6364" t="str">
        <f>"82529537"</f>
        <v>82529537</v>
      </c>
      <c r="D6364" t="s">
        <v>19245</v>
      </c>
      <c r="E6364" t="s">
        <v>19246</v>
      </c>
      <c r="F6364" t="s">
        <v>19247</v>
      </c>
      <c r="I6364" t="s">
        <v>29</v>
      </c>
      <c r="J6364" t="s">
        <v>30</v>
      </c>
      <c r="K6364" t="s">
        <v>31</v>
      </c>
      <c r="M6364" t="s">
        <v>18479</v>
      </c>
      <c r="N6364" t="str">
        <f>"3/14/2012 1:57:00 PM"</f>
        <v>3/14/2012 1:57:00 PM</v>
      </c>
      <c r="O6364" t="s">
        <v>19245</v>
      </c>
      <c r="T6364" t="s">
        <v>19246</v>
      </c>
    </row>
    <row r="6365" spans="1:20" x14ac:dyDescent="0.25">
      <c r="A6365" t="str">
        <f>"3044272"</f>
        <v>3044272</v>
      </c>
      <c r="B6365" t="s">
        <v>19248</v>
      </c>
      <c r="C6365" t="str">
        <f>"8300337"</f>
        <v>8300337</v>
      </c>
      <c r="D6365" t="s">
        <v>19249</v>
      </c>
      <c r="E6365" t="s">
        <v>19250</v>
      </c>
      <c r="F6365" t="s">
        <v>19251</v>
      </c>
      <c r="I6365" t="s">
        <v>184</v>
      </c>
      <c r="J6365" t="s">
        <v>30</v>
      </c>
      <c r="K6365" t="s">
        <v>185</v>
      </c>
      <c r="M6365" t="s">
        <v>18479</v>
      </c>
      <c r="N6365" t="str">
        <f>"3/1/2012 3:23:00 PM"</f>
        <v>3/1/2012 3:23:00 PM</v>
      </c>
      <c r="O6365" t="s">
        <v>19249</v>
      </c>
      <c r="T6365" t="s">
        <v>19250</v>
      </c>
    </row>
    <row r="6366" spans="1:20" x14ac:dyDescent="0.25">
      <c r="A6366" t="str">
        <f>"3043876"</f>
        <v>3043876</v>
      </c>
      <c r="B6366" t="s">
        <v>19252</v>
      </c>
      <c r="C6366" t="str">
        <f>"8300337"</f>
        <v>8300337</v>
      </c>
      <c r="D6366" t="s">
        <v>19249</v>
      </c>
      <c r="E6366" t="s">
        <v>19250</v>
      </c>
      <c r="F6366" t="s">
        <v>19251</v>
      </c>
      <c r="I6366" t="s">
        <v>184</v>
      </c>
      <c r="J6366" t="s">
        <v>30</v>
      </c>
      <c r="K6366" t="s">
        <v>185</v>
      </c>
      <c r="M6366" t="s">
        <v>18479</v>
      </c>
      <c r="N6366" t="str">
        <f>"3/1/2012 3:23:00 PM"</f>
        <v>3/1/2012 3:23:00 PM</v>
      </c>
      <c r="O6366" t="s">
        <v>19249</v>
      </c>
      <c r="T6366" t="s">
        <v>19250</v>
      </c>
    </row>
    <row r="6367" spans="1:20" x14ac:dyDescent="0.25">
      <c r="A6367" t="str">
        <f>"3061611"</f>
        <v>3061611</v>
      </c>
      <c r="B6367" t="s">
        <v>19253</v>
      </c>
      <c r="C6367" t="str">
        <f>"82525475"</f>
        <v>82525475</v>
      </c>
      <c r="D6367" t="s">
        <v>19254</v>
      </c>
      <c r="E6367" t="s">
        <v>19255</v>
      </c>
      <c r="F6367" t="s">
        <v>19256</v>
      </c>
      <c r="I6367" t="s">
        <v>184</v>
      </c>
      <c r="J6367" t="s">
        <v>30</v>
      </c>
      <c r="K6367" t="s">
        <v>185</v>
      </c>
      <c r="M6367" t="s">
        <v>18479</v>
      </c>
      <c r="N6367" t="str">
        <f>"2/23/2012 11:06:00 AM"</f>
        <v>2/23/2012 11:06:00 AM</v>
      </c>
      <c r="O6367" t="s">
        <v>19254</v>
      </c>
      <c r="T6367" t="s">
        <v>19255</v>
      </c>
    </row>
    <row r="6368" spans="1:20" x14ac:dyDescent="0.25">
      <c r="A6368" t="str">
        <f>"3059763"</f>
        <v>3059763</v>
      </c>
      <c r="B6368" t="s">
        <v>19257</v>
      </c>
      <c r="C6368" t="str">
        <f>"82525874"</f>
        <v>82525874</v>
      </c>
      <c r="D6368" t="s">
        <v>19258</v>
      </c>
      <c r="E6368" t="s">
        <v>19259</v>
      </c>
      <c r="F6368" t="s">
        <v>19260</v>
      </c>
      <c r="I6368" t="s">
        <v>29</v>
      </c>
      <c r="J6368" t="s">
        <v>30</v>
      </c>
      <c r="K6368" t="s">
        <v>31</v>
      </c>
      <c r="M6368" t="s">
        <v>18479</v>
      </c>
      <c r="N6368" t="str">
        <f>"2/23/2012 2:43:00 PM"</f>
        <v>2/23/2012 2:43:00 PM</v>
      </c>
      <c r="O6368" t="s">
        <v>19258</v>
      </c>
      <c r="T6368" t="s">
        <v>19259</v>
      </c>
    </row>
    <row r="6369" spans="1:20" x14ac:dyDescent="0.25">
      <c r="A6369" t="str">
        <f>"3048057"</f>
        <v>3048057</v>
      </c>
      <c r="B6369" t="s">
        <v>19261</v>
      </c>
      <c r="C6369" t="str">
        <f>"36926000"</f>
        <v>36926000</v>
      </c>
      <c r="D6369" t="s">
        <v>19262</v>
      </c>
      <c r="E6369" t="s">
        <v>19263</v>
      </c>
      <c r="F6369" t="s">
        <v>19264</v>
      </c>
      <c r="I6369" t="s">
        <v>184</v>
      </c>
      <c r="J6369" t="s">
        <v>30</v>
      </c>
      <c r="K6369" t="s">
        <v>10608</v>
      </c>
      <c r="M6369" t="s">
        <v>18479</v>
      </c>
      <c r="N6369" t="str">
        <f>"2/24/2012 9:45:00 AM"</f>
        <v>2/24/2012 9:45:00 AM</v>
      </c>
      <c r="O6369" t="s">
        <v>19262</v>
      </c>
      <c r="T6369" t="s">
        <v>19263</v>
      </c>
    </row>
    <row r="6370" spans="1:20" x14ac:dyDescent="0.25">
      <c r="A6370" t="str">
        <f>"3041243"</f>
        <v>3041243</v>
      </c>
      <c r="B6370" t="s">
        <v>19265</v>
      </c>
      <c r="C6370" t="str">
        <f>"82532947"</f>
        <v>82532947</v>
      </c>
      <c r="D6370" t="s">
        <v>19266</v>
      </c>
      <c r="F6370" t="s">
        <v>19267</v>
      </c>
      <c r="I6370" t="s">
        <v>2071</v>
      </c>
      <c r="J6370" t="s">
        <v>30</v>
      </c>
      <c r="K6370" t="s">
        <v>185</v>
      </c>
      <c r="M6370" t="s">
        <v>18479</v>
      </c>
      <c r="N6370" t="str">
        <f>"3/15/2012 3:02:00 PM"</f>
        <v>3/15/2012 3:02:00 PM</v>
      </c>
      <c r="O6370" t="s">
        <v>19266</v>
      </c>
    </row>
    <row r="6371" spans="1:20" x14ac:dyDescent="0.25">
      <c r="A6371" t="str">
        <f>"3044367"</f>
        <v>3044367</v>
      </c>
      <c r="B6371" t="s">
        <v>19268</v>
      </c>
      <c r="C6371" t="str">
        <f>"82513087"</f>
        <v>82513087</v>
      </c>
      <c r="D6371" t="s">
        <v>19269</v>
      </c>
      <c r="E6371" t="s">
        <v>19270</v>
      </c>
      <c r="F6371" t="s">
        <v>19271</v>
      </c>
      <c r="I6371" t="s">
        <v>184</v>
      </c>
      <c r="J6371" t="s">
        <v>30</v>
      </c>
      <c r="K6371" t="s">
        <v>6274</v>
      </c>
      <c r="M6371" t="s">
        <v>18479</v>
      </c>
      <c r="N6371" t="str">
        <f>"3/15/2012 3:41:00 PM"</f>
        <v>3/15/2012 3:41:00 PM</v>
      </c>
      <c r="O6371" t="s">
        <v>19269</v>
      </c>
      <c r="T6371" t="s">
        <v>19270</v>
      </c>
    </row>
    <row r="6372" spans="1:20" x14ac:dyDescent="0.25">
      <c r="A6372" t="str">
        <f>"3057799"</f>
        <v>3057799</v>
      </c>
      <c r="B6372" t="s">
        <v>19272</v>
      </c>
      <c r="C6372" t="str">
        <f>"8300711"</f>
        <v>8300711</v>
      </c>
      <c r="D6372" t="s">
        <v>19273</v>
      </c>
      <c r="E6372" t="s">
        <v>19274</v>
      </c>
      <c r="F6372" t="s">
        <v>19275</v>
      </c>
      <c r="I6372" t="s">
        <v>184</v>
      </c>
      <c r="J6372" t="s">
        <v>30</v>
      </c>
      <c r="K6372" t="str">
        <f>"27006"</f>
        <v>27006</v>
      </c>
      <c r="M6372" t="s">
        <v>17861</v>
      </c>
      <c r="N6372" t="str">
        <f>"3/2/2012 4:31:00 PM"</f>
        <v>3/2/2012 4:31:00 PM</v>
      </c>
      <c r="O6372" t="s">
        <v>19273</v>
      </c>
      <c r="T6372" t="s">
        <v>19274</v>
      </c>
    </row>
    <row r="6373" spans="1:20" x14ac:dyDescent="0.25">
      <c r="A6373" t="str">
        <f>"3058815"</f>
        <v>3058815</v>
      </c>
      <c r="B6373" t="s">
        <v>19276</v>
      </c>
      <c r="C6373" t="str">
        <f>"8300767"</f>
        <v>8300767</v>
      </c>
      <c r="D6373" t="s">
        <v>19277</v>
      </c>
      <c r="E6373" t="s">
        <v>19278</v>
      </c>
      <c r="F6373" t="s">
        <v>19279</v>
      </c>
      <c r="I6373" t="s">
        <v>29</v>
      </c>
      <c r="J6373" t="s">
        <v>30</v>
      </c>
      <c r="K6373" t="str">
        <f>"27028"</f>
        <v>27028</v>
      </c>
      <c r="M6373" t="s">
        <v>17861</v>
      </c>
      <c r="N6373" t="str">
        <f>"3/20/2012 1:27:00 PM"</f>
        <v>3/20/2012 1:27:00 PM</v>
      </c>
      <c r="O6373" t="s">
        <v>19277</v>
      </c>
      <c r="T6373" t="s">
        <v>19278</v>
      </c>
    </row>
    <row r="6374" spans="1:20" x14ac:dyDescent="0.25">
      <c r="A6374" t="str">
        <f>"3051864"</f>
        <v>3051864</v>
      </c>
      <c r="B6374" t="s">
        <v>19280</v>
      </c>
      <c r="C6374" t="str">
        <f>"82523589"</f>
        <v>82523589</v>
      </c>
      <c r="D6374" t="s">
        <v>19281</v>
      </c>
      <c r="E6374" t="s">
        <v>19282</v>
      </c>
      <c r="F6374" t="s">
        <v>19283</v>
      </c>
      <c r="I6374" t="s">
        <v>29</v>
      </c>
      <c r="J6374" t="s">
        <v>30</v>
      </c>
      <c r="K6374" t="s">
        <v>19284</v>
      </c>
      <c r="M6374" t="s">
        <v>18479</v>
      </c>
      <c r="N6374" t="str">
        <f>"3/5/2012 11:57:00 AM"</f>
        <v>3/5/2012 11:57:00 AM</v>
      </c>
      <c r="O6374" t="s">
        <v>19281</v>
      </c>
      <c r="T6374" t="s">
        <v>19282</v>
      </c>
    </row>
    <row r="6375" spans="1:20" x14ac:dyDescent="0.25">
      <c r="A6375" t="str">
        <f>"3053724"</f>
        <v>3053724</v>
      </c>
      <c r="B6375" t="s">
        <v>19285</v>
      </c>
      <c r="C6375" t="str">
        <f>"82525997"</f>
        <v>82525997</v>
      </c>
      <c r="D6375" t="s">
        <v>19286</v>
      </c>
      <c r="E6375" t="s">
        <v>19287</v>
      </c>
      <c r="F6375" t="s">
        <v>19288</v>
      </c>
      <c r="I6375" t="s">
        <v>29</v>
      </c>
      <c r="J6375" t="s">
        <v>30</v>
      </c>
      <c r="K6375" t="s">
        <v>31</v>
      </c>
      <c r="M6375" t="s">
        <v>18479</v>
      </c>
      <c r="N6375" t="str">
        <f>"3/5/2012 1:46:00 PM"</f>
        <v>3/5/2012 1:46:00 PM</v>
      </c>
      <c r="O6375" t="s">
        <v>19286</v>
      </c>
      <c r="T6375" t="s">
        <v>19287</v>
      </c>
    </row>
    <row r="6376" spans="1:20" x14ac:dyDescent="0.25">
      <c r="A6376" t="str">
        <f>"3037337"</f>
        <v>3037337</v>
      </c>
      <c r="B6376" t="s">
        <v>19289</v>
      </c>
      <c r="C6376" t="str">
        <f>"38643900"</f>
        <v>38643900</v>
      </c>
      <c r="D6376" t="s">
        <v>19290</v>
      </c>
      <c r="E6376" t="s">
        <v>19291</v>
      </c>
      <c r="F6376" t="s">
        <v>19292</v>
      </c>
      <c r="I6376" t="s">
        <v>184</v>
      </c>
      <c r="J6376" t="s">
        <v>30</v>
      </c>
      <c r="K6376" t="s">
        <v>1915</v>
      </c>
      <c r="M6376" t="s">
        <v>18479</v>
      </c>
      <c r="N6376" t="str">
        <f>"3/5/2012 2:17:00 PM"</f>
        <v>3/5/2012 2:17:00 PM</v>
      </c>
      <c r="O6376" t="s">
        <v>19290</v>
      </c>
      <c r="T6376" t="s">
        <v>19291</v>
      </c>
    </row>
    <row r="6377" spans="1:20" x14ac:dyDescent="0.25">
      <c r="A6377" t="str">
        <f>"3039652"</f>
        <v>3039652</v>
      </c>
      <c r="B6377" t="s">
        <v>19293</v>
      </c>
      <c r="C6377" t="str">
        <f>"36036000"</f>
        <v>36036000</v>
      </c>
      <c r="D6377" t="s">
        <v>19294</v>
      </c>
      <c r="E6377" t="s">
        <v>19295</v>
      </c>
      <c r="F6377" t="s">
        <v>19296</v>
      </c>
      <c r="I6377" t="s">
        <v>184</v>
      </c>
      <c r="J6377" t="s">
        <v>30</v>
      </c>
      <c r="K6377" t="s">
        <v>19297</v>
      </c>
      <c r="M6377" t="s">
        <v>18479</v>
      </c>
      <c r="N6377" t="str">
        <f>"3/5/2012 3:53:00 PM"</f>
        <v>3/5/2012 3:53:00 PM</v>
      </c>
      <c r="O6377" t="s">
        <v>19294</v>
      </c>
      <c r="T6377" t="s">
        <v>19295</v>
      </c>
    </row>
    <row r="6378" spans="1:20" x14ac:dyDescent="0.25">
      <c r="A6378" t="str">
        <f>"3044098"</f>
        <v>3044098</v>
      </c>
      <c r="B6378" t="s">
        <v>19298</v>
      </c>
      <c r="C6378" t="str">
        <f>"36036000"</f>
        <v>36036000</v>
      </c>
      <c r="D6378" t="s">
        <v>19294</v>
      </c>
      <c r="E6378" t="s">
        <v>19295</v>
      </c>
      <c r="F6378" t="s">
        <v>19296</v>
      </c>
      <c r="I6378" t="s">
        <v>184</v>
      </c>
      <c r="J6378" t="s">
        <v>30</v>
      </c>
      <c r="K6378" t="s">
        <v>19297</v>
      </c>
      <c r="M6378" t="s">
        <v>18479</v>
      </c>
      <c r="N6378" t="str">
        <f>"3/5/2012 3:53:00 PM"</f>
        <v>3/5/2012 3:53:00 PM</v>
      </c>
      <c r="O6378" t="s">
        <v>19294</v>
      </c>
      <c r="T6378" t="s">
        <v>19295</v>
      </c>
    </row>
    <row r="6379" spans="1:20" x14ac:dyDescent="0.25">
      <c r="A6379" t="str">
        <f>"3078199"</f>
        <v>3078199</v>
      </c>
      <c r="B6379" t="s">
        <v>19299</v>
      </c>
      <c r="C6379" t="str">
        <f>"82517163"</f>
        <v>82517163</v>
      </c>
      <c r="D6379" t="s">
        <v>19300</v>
      </c>
      <c r="E6379" t="s">
        <v>19301</v>
      </c>
      <c r="F6379" t="s">
        <v>19302</v>
      </c>
      <c r="I6379" t="s">
        <v>184</v>
      </c>
      <c r="J6379" t="s">
        <v>30</v>
      </c>
      <c r="K6379" t="s">
        <v>185</v>
      </c>
      <c r="M6379" t="s">
        <v>18479</v>
      </c>
      <c r="N6379" t="str">
        <f>"3/5/2012 4:08:00 PM"</f>
        <v>3/5/2012 4:08:00 PM</v>
      </c>
      <c r="O6379" t="s">
        <v>19300</v>
      </c>
      <c r="T6379" t="s">
        <v>19301</v>
      </c>
    </row>
    <row r="6380" spans="1:20" x14ac:dyDescent="0.25">
      <c r="A6380" t="str">
        <f>"3057900"</f>
        <v>3057900</v>
      </c>
      <c r="B6380" t="s">
        <v>19303</v>
      </c>
      <c r="C6380" t="str">
        <f>"34780000"</f>
        <v>34780000</v>
      </c>
      <c r="D6380" t="s">
        <v>19304</v>
      </c>
      <c r="E6380" t="s">
        <v>19305</v>
      </c>
      <c r="F6380" t="s">
        <v>19306</v>
      </c>
      <c r="I6380" t="s">
        <v>184</v>
      </c>
      <c r="J6380" t="s">
        <v>30</v>
      </c>
      <c r="K6380" t="s">
        <v>3236</v>
      </c>
      <c r="M6380" t="s">
        <v>18479</v>
      </c>
      <c r="N6380" t="str">
        <f>"3/5/2012 4:12:00 PM"</f>
        <v>3/5/2012 4:12:00 PM</v>
      </c>
      <c r="O6380" t="s">
        <v>19304</v>
      </c>
      <c r="T6380" t="s">
        <v>19305</v>
      </c>
    </row>
    <row r="6381" spans="1:20" x14ac:dyDescent="0.25">
      <c r="A6381" t="str">
        <f>"3045801"</f>
        <v>3045801</v>
      </c>
      <c r="B6381" t="s">
        <v>19307</v>
      </c>
      <c r="C6381" t="str">
        <f>"82532300"</f>
        <v>82532300</v>
      </c>
      <c r="D6381" t="s">
        <v>19308</v>
      </c>
      <c r="E6381" t="s">
        <v>19309</v>
      </c>
      <c r="F6381" t="s">
        <v>19310</v>
      </c>
      <c r="I6381" t="s">
        <v>29</v>
      </c>
      <c r="J6381" t="s">
        <v>30</v>
      </c>
      <c r="K6381" t="s">
        <v>31</v>
      </c>
      <c r="M6381" t="s">
        <v>18513</v>
      </c>
      <c r="N6381" t="str">
        <f>"3/8/2012 2:50:00 PM"</f>
        <v>3/8/2012 2:50:00 PM</v>
      </c>
      <c r="O6381" t="s">
        <v>19308</v>
      </c>
      <c r="T6381" t="s">
        <v>19309</v>
      </c>
    </row>
    <row r="6382" spans="1:20" x14ac:dyDescent="0.25">
      <c r="A6382" t="str">
        <f>"3055291"</f>
        <v>3055291</v>
      </c>
      <c r="B6382" t="s">
        <v>19311</v>
      </c>
      <c r="C6382" t="str">
        <f>"82520766"</f>
        <v>82520766</v>
      </c>
      <c r="D6382" t="s">
        <v>19192</v>
      </c>
      <c r="F6382" t="s">
        <v>19193</v>
      </c>
      <c r="I6382" t="s">
        <v>29</v>
      </c>
      <c r="J6382" t="s">
        <v>30</v>
      </c>
      <c r="K6382" t="s">
        <v>19194</v>
      </c>
      <c r="M6382" t="s">
        <v>18479</v>
      </c>
      <c r="N6382" t="str">
        <f>"3/8/2012 4:30:00 PM"</f>
        <v>3/8/2012 4:30:00 PM</v>
      </c>
      <c r="O6382" t="s">
        <v>19192</v>
      </c>
    </row>
    <row r="6383" spans="1:20" x14ac:dyDescent="0.25">
      <c r="A6383" t="str">
        <f>"3060420"</f>
        <v>3060420</v>
      </c>
      <c r="B6383" t="s">
        <v>19312</v>
      </c>
      <c r="C6383" t="str">
        <f>"82529242"</f>
        <v>82529242</v>
      </c>
      <c r="D6383" t="s">
        <v>19206</v>
      </c>
      <c r="F6383" t="s">
        <v>19207</v>
      </c>
      <c r="I6383" t="s">
        <v>2071</v>
      </c>
      <c r="J6383" t="s">
        <v>30</v>
      </c>
      <c r="K6383" t="s">
        <v>185</v>
      </c>
      <c r="M6383" t="s">
        <v>18479</v>
      </c>
      <c r="N6383" t="str">
        <f>"3/12/2012 8:42:00 AM"</f>
        <v>3/12/2012 8:42:00 AM</v>
      </c>
      <c r="O6383" t="s">
        <v>19206</v>
      </c>
    </row>
    <row r="6384" spans="1:20" x14ac:dyDescent="0.25">
      <c r="A6384" t="str">
        <f>"3060328"</f>
        <v>3060328</v>
      </c>
      <c r="B6384" t="s">
        <v>19313</v>
      </c>
      <c r="C6384" t="str">
        <f>"41912000"</f>
        <v>41912000</v>
      </c>
      <c r="D6384" t="s">
        <v>19314</v>
      </c>
      <c r="E6384" t="s">
        <v>19315</v>
      </c>
      <c r="F6384" t="s">
        <v>19316</v>
      </c>
      <c r="I6384" t="s">
        <v>29</v>
      </c>
      <c r="J6384" t="s">
        <v>30</v>
      </c>
      <c r="K6384" t="s">
        <v>19061</v>
      </c>
      <c r="M6384" t="s">
        <v>18479</v>
      </c>
      <c r="N6384" t="str">
        <f>"3/12/2012 10:06:00 AM"</f>
        <v>3/12/2012 10:06:00 AM</v>
      </c>
      <c r="O6384" t="s">
        <v>19314</v>
      </c>
      <c r="T6384" t="s">
        <v>19315</v>
      </c>
    </row>
    <row r="6385" spans="1:20" x14ac:dyDescent="0.25">
      <c r="A6385" t="str">
        <f>"3045540"</f>
        <v>3045540</v>
      </c>
      <c r="B6385" t="s">
        <v>19317</v>
      </c>
      <c r="C6385" t="str">
        <f>"44290000"</f>
        <v>44290000</v>
      </c>
      <c r="D6385" t="s">
        <v>19318</v>
      </c>
      <c r="E6385" t="s">
        <v>19319</v>
      </c>
      <c r="F6385" t="s">
        <v>19320</v>
      </c>
      <c r="I6385" t="s">
        <v>29</v>
      </c>
      <c r="J6385" t="s">
        <v>30</v>
      </c>
      <c r="K6385" t="s">
        <v>31</v>
      </c>
      <c r="M6385" t="s">
        <v>18479</v>
      </c>
      <c r="N6385" t="str">
        <f>"4/3/2012 3:16:00 PM"</f>
        <v>4/3/2012 3:16:00 PM</v>
      </c>
      <c r="O6385" t="s">
        <v>19318</v>
      </c>
      <c r="T6385" t="s">
        <v>19319</v>
      </c>
    </row>
    <row r="6386" spans="1:20" x14ac:dyDescent="0.25">
      <c r="A6386" t="str">
        <f>"3046067"</f>
        <v>3046067</v>
      </c>
      <c r="B6386" t="s">
        <v>19321</v>
      </c>
      <c r="C6386" t="str">
        <f>"8300726"</f>
        <v>8300726</v>
      </c>
      <c r="D6386" t="s">
        <v>19322</v>
      </c>
      <c r="F6386" t="s">
        <v>19323</v>
      </c>
      <c r="I6386" t="s">
        <v>29</v>
      </c>
      <c r="J6386" t="s">
        <v>30</v>
      </c>
      <c r="K6386" t="str">
        <f>"27028"</f>
        <v>27028</v>
      </c>
      <c r="M6386" t="s">
        <v>17861</v>
      </c>
      <c r="N6386" t="str">
        <f>"3/13/2012 3:02:00 PM"</f>
        <v>3/13/2012 3:02:00 PM</v>
      </c>
      <c r="O6386" t="s">
        <v>19322</v>
      </c>
    </row>
    <row r="6387" spans="1:20" x14ac:dyDescent="0.25">
      <c r="A6387" t="str">
        <f>"3054542"</f>
        <v>3054542</v>
      </c>
      <c r="B6387" t="s">
        <v>19324</v>
      </c>
      <c r="C6387" t="str">
        <f>"8300730"</f>
        <v>8300730</v>
      </c>
      <c r="D6387" t="s">
        <v>19224</v>
      </c>
      <c r="F6387" t="s">
        <v>19225</v>
      </c>
      <c r="I6387" t="s">
        <v>29</v>
      </c>
      <c r="J6387" t="s">
        <v>30</v>
      </c>
      <c r="K6387" t="str">
        <f>"27028"</f>
        <v>27028</v>
      </c>
      <c r="M6387" t="s">
        <v>17861</v>
      </c>
      <c r="N6387" t="str">
        <f>"3/13/2012 3:34:00 PM"</f>
        <v>3/13/2012 3:34:00 PM</v>
      </c>
      <c r="O6387" t="s">
        <v>19224</v>
      </c>
    </row>
    <row r="6388" spans="1:20" x14ac:dyDescent="0.25">
      <c r="A6388" t="str">
        <f>"3053321"</f>
        <v>3053321</v>
      </c>
      <c r="B6388" t="s">
        <v>19325</v>
      </c>
      <c r="C6388" t="str">
        <f>"8300743"</f>
        <v>8300743</v>
      </c>
      <c r="D6388" t="s">
        <v>19326</v>
      </c>
      <c r="E6388" t="s">
        <v>19327</v>
      </c>
      <c r="F6388" t="s">
        <v>19328</v>
      </c>
      <c r="I6388" t="s">
        <v>19329</v>
      </c>
      <c r="J6388" t="s">
        <v>9877</v>
      </c>
      <c r="K6388" t="str">
        <f>"07003"</f>
        <v>07003</v>
      </c>
      <c r="M6388" t="s">
        <v>17861</v>
      </c>
      <c r="N6388" t="str">
        <f>"3/14/2012 10:37:00 AM"</f>
        <v>3/14/2012 10:37:00 AM</v>
      </c>
      <c r="O6388" t="s">
        <v>19326</v>
      </c>
      <c r="T6388" t="s">
        <v>19327</v>
      </c>
    </row>
    <row r="6389" spans="1:20" x14ac:dyDescent="0.25">
      <c r="A6389" t="str">
        <f>"3057101"</f>
        <v>3057101</v>
      </c>
      <c r="B6389" t="s">
        <v>19330</v>
      </c>
      <c r="C6389" t="str">
        <f>"8300744"</f>
        <v>8300744</v>
      </c>
      <c r="D6389" t="s">
        <v>19236</v>
      </c>
      <c r="E6389" t="s">
        <v>19237</v>
      </c>
      <c r="F6389" t="s">
        <v>19238</v>
      </c>
      <c r="I6389" t="s">
        <v>9580</v>
      </c>
      <c r="J6389" t="s">
        <v>30</v>
      </c>
      <c r="K6389" t="str">
        <f>"27014"</f>
        <v>27014</v>
      </c>
      <c r="M6389" t="s">
        <v>17861</v>
      </c>
      <c r="N6389" t="str">
        <f>"3/14/2012 10:43:00 AM"</f>
        <v>3/14/2012 10:43:00 AM</v>
      </c>
      <c r="O6389" t="s">
        <v>19236</v>
      </c>
      <c r="T6389" t="s">
        <v>19237</v>
      </c>
    </row>
    <row r="6390" spans="1:20" x14ac:dyDescent="0.25">
      <c r="A6390" t="str">
        <f>"3052432"</f>
        <v>3052432</v>
      </c>
      <c r="B6390" t="s">
        <v>19331</v>
      </c>
      <c r="C6390" t="str">
        <f>"82524277"</f>
        <v>82524277</v>
      </c>
      <c r="D6390" t="s">
        <v>19332</v>
      </c>
      <c r="E6390" t="s">
        <v>19333</v>
      </c>
      <c r="F6390" t="s">
        <v>19334</v>
      </c>
      <c r="I6390" t="s">
        <v>29</v>
      </c>
      <c r="J6390" t="s">
        <v>30</v>
      </c>
      <c r="K6390" t="s">
        <v>19335</v>
      </c>
      <c r="M6390" t="s">
        <v>19336</v>
      </c>
      <c r="N6390" t="str">
        <f>"3/14/2012 1:08:00 PM"</f>
        <v>3/14/2012 1:08:00 PM</v>
      </c>
      <c r="O6390" t="s">
        <v>19332</v>
      </c>
      <c r="T6390" t="s">
        <v>19333</v>
      </c>
    </row>
    <row r="6391" spans="1:20" x14ac:dyDescent="0.25">
      <c r="A6391" t="str">
        <f>"3061413"</f>
        <v>3061413</v>
      </c>
      <c r="B6391" t="s">
        <v>19337</v>
      </c>
      <c r="C6391" t="str">
        <f>"82518405"</f>
        <v>82518405</v>
      </c>
      <c r="D6391" t="s">
        <v>19338</v>
      </c>
      <c r="E6391" t="s">
        <v>19339</v>
      </c>
      <c r="F6391" t="s">
        <v>19340</v>
      </c>
      <c r="I6391" t="s">
        <v>184</v>
      </c>
      <c r="J6391" t="s">
        <v>30</v>
      </c>
      <c r="K6391" t="s">
        <v>185</v>
      </c>
      <c r="M6391" t="s">
        <v>18479</v>
      </c>
      <c r="N6391" t="str">
        <f>"4/4/2012 9:15:00 AM"</f>
        <v>4/4/2012 9:15:00 AM</v>
      </c>
      <c r="O6391" t="s">
        <v>19338</v>
      </c>
      <c r="T6391" t="s">
        <v>19339</v>
      </c>
    </row>
    <row r="6392" spans="1:20" x14ac:dyDescent="0.25">
      <c r="A6392" t="str">
        <f>"3060466"</f>
        <v>3060466</v>
      </c>
      <c r="B6392" t="s">
        <v>19341</v>
      </c>
      <c r="C6392" t="str">
        <f>"82524417"</f>
        <v>82524417</v>
      </c>
      <c r="D6392" t="s">
        <v>19342</v>
      </c>
      <c r="F6392" t="s">
        <v>19343</v>
      </c>
      <c r="I6392" t="s">
        <v>184</v>
      </c>
      <c r="J6392" t="s">
        <v>30</v>
      </c>
      <c r="K6392" t="s">
        <v>9200</v>
      </c>
      <c r="M6392" t="s">
        <v>18479</v>
      </c>
      <c r="N6392" t="str">
        <f>"3/14/2012 2:03:00 PM"</f>
        <v>3/14/2012 2:03:00 PM</v>
      </c>
      <c r="O6392" t="s">
        <v>19342</v>
      </c>
    </row>
    <row r="6393" spans="1:20" x14ac:dyDescent="0.25">
      <c r="A6393" t="str">
        <f>"3058026"</f>
        <v>3058026</v>
      </c>
      <c r="B6393" t="s">
        <v>19344</v>
      </c>
      <c r="C6393" t="str">
        <f>"45472000"</f>
        <v>45472000</v>
      </c>
      <c r="D6393" t="s">
        <v>19345</v>
      </c>
      <c r="E6393" t="s">
        <v>19346</v>
      </c>
      <c r="F6393" t="s">
        <v>19347</v>
      </c>
      <c r="I6393" t="s">
        <v>184</v>
      </c>
      <c r="J6393" t="s">
        <v>30</v>
      </c>
      <c r="K6393" t="s">
        <v>19348</v>
      </c>
      <c r="M6393" t="s">
        <v>18479</v>
      </c>
      <c r="N6393" t="str">
        <f>"4/4/2012 4:34:00 PM"</f>
        <v>4/4/2012 4:34:00 PM</v>
      </c>
      <c r="O6393" t="s">
        <v>19345</v>
      </c>
      <c r="T6393" t="s">
        <v>19346</v>
      </c>
    </row>
    <row r="6394" spans="1:20" x14ac:dyDescent="0.25">
      <c r="A6394" t="str">
        <f>"3057060"</f>
        <v>3057060</v>
      </c>
      <c r="B6394" t="s">
        <v>19349</v>
      </c>
      <c r="C6394" t="str">
        <f>"45472000"</f>
        <v>45472000</v>
      </c>
      <c r="D6394" t="s">
        <v>19345</v>
      </c>
      <c r="E6394" t="s">
        <v>19346</v>
      </c>
      <c r="F6394" t="s">
        <v>19347</v>
      </c>
      <c r="I6394" t="s">
        <v>184</v>
      </c>
      <c r="J6394" t="s">
        <v>30</v>
      </c>
      <c r="K6394" t="s">
        <v>19348</v>
      </c>
      <c r="M6394" t="s">
        <v>18479</v>
      </c>
      <c r="N6394" t="str">
        <f>"4/4/2012 4:34:00 PM"</f>
        <v>4/4/2012 4:34:00 PM</v>
      </c>
      <c r="O6394" t="s">
        <v>19345</v>
      </c>
      <c r="T6394" t="s">
        <v>19346</v>
      </c>
    </row>
    <row r="6395" spans="1:20" x14ac:dyDescent="0.25">
      <c r="A6395" t="str">
        <f>"3059673"</f>
        <v>3059673</v>
      </c>
      <c r="B6395" t="s">
        <v>19350</v>
      </c>
      <c r="C6395" t="str">
        <f>"82528639"</f>
        <v>82528639</v>
      </c>
      <c r="D6395" t="s">
        <v>19351</v>
      </c>
      <c r="E6395" t="s">
        <v>19352</v>
      </c>
      <c r="F6395" t="s">
        <v>19353</v>
      </c>
      <c r="I6395" t="s">
        <v>29</v>
      </c>
      <c r="J6395" t="s">
        <v>30</v>
      </c>
      <c r="K6395" t="s">
        <v>31</v>
      </c>
      <c r="M6395" t="s">
        <v>18479</v>
      </c>
      <c r="N6395" t="str">
        <f>"4/4/2012 4:38:00 PM"</f>
        <v>4/4/2012 4:38:00 PM</v>
      </c>
      <c r="O6395" t="s">
        <v>19351</v>
      </c>
      <c r="T6395" t="s">
        <v>19352</v>
      </c>
    </row>
    <row r="6396" spans="1:20" x14ac:dyDescent="0.25">
      <c r="A6396" t="str">
        <f>"3042712"</f>
        <v>3042712</v>
      </c>
      <c r="B6396" t="s">
        <v>19354</v>
      </c>
      <c r="C6396" t="str">
        <f>"82532304"</f>
        <v>82532304</v>
      </c>
      <c r="D6396" t="s">
        <v>19355</v>
      </c>
      <c r="E6396" t="s">
        <v>19356</v>
      </c>
      <c r="F6396" t="s">
        <v>19357</v>
      </c>
      <c r="I6396" t="s">
        <v>29</v>
      </c>
      <c r="J6396" t="s">
        <v>30</v>
      </c>
      <c r="K6396" t="s">
        <v>31</v>
      </c>
      <c r="M6396" t="s">
        <v>18479</v>
      </c>
      <c r="N6396" t="str">
        <f>"3/14/2012 2:11:00 PM"</f>
        <v>3/14/2012 2:11:00 PM</v>
      </c>
      <c r="O6396" t="s">
        <v>19355</v>
      </c>
      <c r="T6396" t="s">
        <v>19356</v>
      </c>
    </row>
    <row r="6397" spans="1:20" x14ac:dyDescent="0.25">
      <c r="A6397" t="str">
        <f>"3046887"</f>
        <v>3046887</v>
      </c>
      <c r="B6397" t="s">
        <v>19358</v>
      </c>
      <c r="C6397" t="str">
        <f>"82533076"</f>
        <v>82533076</v>
      </c>
      <c r="D6397" t="s">
        <v>19359</v>
      </c>
      <c r="F6397" t="s">
        <v>19360</v>
      </c>
      <c r="I6397" t="s">
        <v>29</v>
      </c>
      <c r="J6397" t="s">
        <v>30</v>
      </c>
      <c r="K6397" t="str">
        <f>"27028"</f>
        <v>27028</v>
      </c>
      <c r="M6397" t="s">
        <v>18479</v>
      </c>
      <c r="N6397" t="str">
        <f>"3/14/2012 2:23:00 PM"</f>
        <v>3/14/2012 2:23:00 PM</v>
      </c>
      <c r="O6397" t="s">
        <v>19359</v>
      </c>
    </row>
    <row r="6398" spans="1:20" x14ac:dyDescent="0.25">
      <c r="A6398" t="str">
        <f>"3045778"</f>
        <v>3045778</v>
      </c>
      <c r="B6398" t="s">
        <v>19361</v>
      </c>
      <c r="C6398" t="str">
        <f>"8300707"</f>
        <v>8300707</v>
      </c>
      <c r="D6398" t="s">
        <v>19362</v>
      </c>
      <c r="F6398" t="s">
        <v>19363</v>
      </c>
      <c r="I6398" t="s">
        <v>29</v>
      </c>
      <c r="J6398" t="s">
        <v>30</v>
      </c>
      <c r="K6398" t="str">
        <f>"27028"</f>
        <v>27028</v>
      </c>
      <c r="M6398" t="s">
        <v>17861</v>
      </c>
      <c r="N6398" t="str">
        <f>"3/2/2012 4:17:00 PM"</f>
        <v>3/2/2012 4:17:00 PM</v>
      </c>
      <c r="O6398" t="s">
        <v>19362</v>
      </c>
    </row>
    <row r="6399" spans="1:20" x14ac:dyDescent="0.25">
      <c r="A6399" t="str">
        <f>"3056675"</f>
        <v>3056675</v>
      </c>
      <c r="B6399" t="s">
        <v>19364</v>
      </c>
      <c r="C6399" t="str">
        <f>"10082450"</f>
        <v>10082450</v>
      </c>
      <c r="D6399" t="s">
        <v>19365</v>
      </c>
      <c r="F6399" t="s">
        <v>19366</v>
      </c>
      <c r="I6399" t="s">
        <v>29</v>
      </c>
      <c r="J6399" t="s">
        <v>30</v>
      </c>
      <c r="K6399" t="s">
        <v>16489</v>
      </c>
      <c r="M6399" t="s">
        <v>18479</v>
      </c>
      <c r="N6399" t="str">
        <f>"3/15/2012 1:06:00 PM"</f>
        <v>3/15/2012 1:06:00 PM</v>
      </c>
      <c r="O6399" t="s">
        <v>19365</v>
      </c>
    </row>
    <row r="6400" spans="1:20" x14ac:dyDescent="0.25">
      <c r="A6400" t="str">
        <f>"3078489"</f>
        <v>3078489</v>
      </c>
      <c r="B6400" t="s">
        <v>19367</v>
      </c>
      <c r="C6400" t="str">
        <f>"10082450"</f>
        <v>10082450</v>
      </c>
      <c r="D6400" t="s">
        <v>19365</v>
      </c>
      <c r="F6400" t="s">
        <v>19366</v>
      </c>
      <c r="I6400" t="s">
        <v>29</v>
      </c>
      <c r="J6400" t="s">
        <v>30</v>
      </c>
      <c r="K6400" t="s">
        <v>16489</v>
      </c>
      <c r="M6400" t="s">
        <v>18479</v>
      </c>
      <c r="N6400" t="str">
        <f>"3/15/2012 1:06:00 PM"</f>
        <v>3/15/2012 1:06:00 PM</v>
      </c>
      <c r="O6400" t="s">
        <v>19365</v>
      </c>
    </row>
    <row r="6401" spans="1:20" x14ac:dyDescent="0.25">
      <c r="A6401" t="str">
        <f>"3045356"</f>
        <v>3045356</v>
      </c>
      <c r="B6401" t="s">
        <v>19368</v>
      </c>
      <c r="C6401" t="str">
        <f>"8300707"</f>
        <v>8300707</v>
      </c>
      <c r="D6401" t="s">
        <v>19362</v>
      </c>
      <c r="F6401" t="s">
        <v>19363</v>
      </c>
      <c r="I6401" t="s">
        <v>29</v>
      </c>
      <c r="J6401" t="s">
        <v>30</v>
      </c>
      <c r="K6401" t="str">
        <f>"27028"</f>
        <v>27028</v>
      </c>
      <c r="M6401" t="s">
        <v>17861</v>
      </c>
      <c r="N6401" t="str">
        <f>"3/2/2012 4:17:00 PM"</f>
        <v>3/2/2012 4:17:00 PM</v>
      </c>
      <c r="O6401" t="s">
        <v>19362</v>
      </c>
    </row>
    <row r="6402" spans="1:20" x14ac:dyDescent="0.25">
      <c r="A6402" t="str">
        <f>"3046094"</f>
        <v>3046094</v>
      </c>
      <c r="B6402" t="s">
        <v>19369</v>
      </c>
      <c r="C6402" t="str">
        <f>"8300772"</f>
        <v>8300772</v>
      </c>
      <c r="D6402" t="s">
        <v>19370</v>
      </c>
      <c r="E6402" t="s">
        <v>19371</v>
      </c>
      <c r="F6402" t="s">
        <v>19372</v>
      </c>
      <c r="I6402" t="s">
        <v>184</v>
      </c>
      <c r="J6402" t="s">
        <v>30</v>
      </c>
      <c r="K6402" t="str">
        <f>"27006"</f>
        <v>27006</v>
      </c>
      <c r="M6402" t="s">
        <v>17861</v>
      </c>
      <c r="N6402" t="str">
        <f>"3/20/2012 1:56:00 PM"</f>
        <v>3/20/2012 1:56:00 PM</v>
      </c>
      <c r="O6402" t="s">
        <v>19370</v>
      </c>
      <c r="T6402" t="s">
        <v>19371</v>
      </c>
    </row>
    <row r="6403" spans="1:20" x14ac:dyDescent="0.25">
      <c r="A6403" t="str">
        <f>"3041417"</f>
        <v>3041417</v>
      </c>
      <c r="B6403" t="s">
        <v>19373</v>
      </c>
      <c r="C6403" t="str">
        <f>"82525519"</f>
        <v>82525519</v>
      </c>
      <c r="D6403" t="s">
        <v>19374</v>
      </c>
      <c r="F6403" t="s">
        <v>19375</v>
      </c>
      <c r="I6403" t="s">
        <v>2071</v>
      </c>
      <c r="J6403" t="s">
        <v>30</v>
      </c>
      <c r="K6403" t="s">
        <v>185</v>
      </c>
      <c r="M6403" t="s">
        <v>17861</v>
      </c>
      <c r="N6403" t="str">
        <f>"3/23/2012 3:51:00 PM"</f>
        <v>3/23/2012 3:51:00 PM</v>
      </c>
      <c r="O6403" t="s">
        <v>19374</v>
      </c>
    </row>
    <row r="6404" spans="1:20" x14ac:dyDescent="0.25">
      <c r="A6404" t="str">
        <f>"3050481"</f>
        <v>3050481</v>
      </c>
      <c r="B6404" t="s">
        <v>19376</v>
      </c>
      <c r="C6404" t="str">
        <f>"8300307"</f>
        <v>8300307</v>
      </c>
      <c r="D6404" t="s">
        <v>19377</v>
      </c>
      <c r="F6404" t="s">
        <v>19378</v>
      </c>
      <c r="I6404" t="s">
        <v>29</v>
      </c>
      <c r="J6404" t="s">
        <v>30</v>
      </c>
      <c r="K6404" t="s">
        <v>31</v>
      </c>
      <c r="M6404" t="s">
        <v>18479</v>
      </c>
      <c r="N6404" t="str">
        <f>"4/11/2012 2:19:00 PM"</f>
        <v>4/11/2012 2:19:00 PM</v>
      </c>
      <c r="O6404" t="s">
        <v>19377</v>
      </c>
    </row>
    <row r="6405" spans="1:20" x14ac:dyDescent="0.25">
      <c r="A6405" t="str">
        <f>"3054277"</f>
        <v>3054277</v>
      </c>
      <c r="B6405" t="s">
        <v>19379</v>
      </c>
      <c r="C6405" t="str">
        <f>"8300788"</f>
        <v>8300788</v>
      </c>
      <c r="D6405" t="s">
        <v>19380</v>
      </c>
      <c r="F6405" t="s">
        <v>19381</v>
      </c>
      <c r="I6405" t="s">
        <v>29</v>
      </c>
      <c r="J6405" t="s">
        <v>30</v>
      </c>
      <c r="K6405" t="str">
        <f>"27028"</f>
        <v>27028</v>
      </c>
      <c r="M6405" t="s">
        <v>17861</v>
      </c>
      <c r="N6405" t="str">
        <f>"3/27/2012 9:09:00 AM"</f>
        <v>3/27/2012 9:09:00 AM</v>
      </c>
      <c r="O6405" t="s">
        <v>19380</v>
      </c>
    </row>
    <row r="6406" spans="1:20" x14ac:dyDescent="0.25">
      <c r="A6406" t="str">
        <f>"3038659"</f>
        <v>3038659</v>
      </c>
      <c r="B6406" t="s">
        <v>19382</v>
      </c>
      <c r="C6406" t="str">
        <f>"8300849"</f>
        <v>8300849</v>
      </c>
      <c r="D6406" t="s">
        <v>19383</v>
      </c>
      <c r="E6406" t="s">
        <v>19384</v>
      </c>
      <c r="F6406" t="s">
        <v>19385</v>
      </c>
      <c r="I6406" t="s">
        <v>29</v>
      </c>
      <c r="J6406" t="s">
        <v>30</v>
      </c>
      <c r="K6406" t="str">
        <f>"27028"</f>
        <v>27028</v>
      </c>
      <c r="M6406" t="s">
        <v>17861</v>
      </c>
      <c r="N6406" t="str">
        <f>"4/12/2012 10:19:00 AM"</f>
        <v>4/12/2012 10:19:00 AM</v>
      </c>
      <c r="O6406" t="s">
        <v>19383</v>
      </c>
      <c r="T6406" t="s">
        <v>19384</v>
      </c>
    </row>
    <row r="6407" spans="1:20" x14ac:dyDescent="0.25">
      <c r="A6407" t="str">
        <f>"3077059"</f>
        <v>3077059</v>
      </c>
      <c r="B6407" t="s">
        <v>19386</v>
      </c>
      <c r="C6407" t="str">
        <f>"8300849"</f>
        <v>8300849</v>
      </c>
      <c r="D6407" t="s">
        <v>19383</v>
      </c>
      <c r="E6407" t="s">
        <v>19384</v>
      </c>
      <c r="F6407" t="s">
        <v>19385</v>
      </c>
      <c r="I6407" t="s">
        <v>29</v>
      </c>
      <c r="J6407" t="s">
        <v>30</v>
      </c>
      <c r="K6407" t="str">
        <f>"27028"</f>
        <v>27028</v>
      </c>
      <c r="M6407" t="s">
        <v>17861</v>
      </c>
      <c r="N6407" t="str">
        <f>"4/12/2012 10:19:00 AM"</f>
        <v>4/12/2012 10:19:00 AM</v>
      </c>
      <c r="O6407" t="s">
        <v>19383</v>
      </c>
      <c r="T6407" t="s">
        <v>19384</v>
      </c>
    </row>
    <row r="6408" spans="1:20" x14ac:dyDescent="0.25">
      <c r="A6408" t="str">
        <f>"3058265"</f>
        <v>3058265</v>
      </c>
      <c r="B6408" t="s">
        <v>19387</v>
      </c>
      <c r="C6408" t="str">
        <f>"8300794"</f>
        <v>8300794</v>
      </c>
      <c r="D6408" t="s">
        <v>19388</v>
      </c>
      <c r="E6408" t="s">
        <v>19389</v>
      </c>
      <c r="F6408" t="s">
        <v>19390</v>
      </c>
      <c r="I6408" t="s">
        <v>29</v>
      </c>
      <c r="J6408" t="s">
        <v>30</v>
      </c>
      <c r="K6408" t="str">
        <f>"27028"</f>
        <v>27028</v>
      </c>
      <c r="M6408" t="s">
        <v>17861</v>
      </c>
      <c r="N6408" t="str">
        <f>"3/27/2012 10:15:00 AM"</f>
        <v>3/27/2012 10:15:00 AM</v>
      </c>
      <c r="O6408" t="s">
        <v>19388</v>
      </c>
      <c r="T6408" t="s">
        <v>19389</v>
      </c>
    </row>
    <row r="6409" spans="1:20" x14ac:dyDescent="0.25">
      <c r="A6409" t="str">
        <f>"3038722"</f>
        <v>3038722</v>
      </c>
      <c r="B6409" t="s">
        <v>19391</v>
      </c>
      <c r="C6409" t="str">
        <f>"47699000"</f>
        <v>47699000</v>
      </c>
      <c r="D6409" t="s">
        <v>19392</v>
      </c>
      <c r="E6409" t="s">
        <v>19393</v>
      </c>
      <c r="F6409" t="s">
        <v>19394</v>
      </c>
      <c r="I6409" t="s">
        <v>29</v>
      </c>
      <c r="J6409" t="s">
        <v>30</v>
      </c>
      <c r="K6409" t="s">
        <v>19395</v>
      </c>
      <c r="M6409" t="s">
        <v>18479</v>
      </c>
      <c r="N6409" t="str">
        <f>"4/13/2012 9:08:00 AM"</f>
        <v>4/13/2012 9:08:00 AM</v>
      </c>
      <c r="O6409" t="s">
        <v>19392</v>
      </c>
      <c r="T6409" t="s">
        <v>19393</v>
      </c>
    </row>
    <row r="6410" spans="1:20" x14ac:dyDescent="0.25">
      <c r="A6410" t="str">
        <f>"3037965"</f>
        <v>3037965</v>
      </c>
      <c r="B6410" t="s">
        <v>19396</v>
      </c>
      <c r="C6410" t="str">
        <f>"47699000"</f>
        <v>47699000</v>
      </c>
      <c r="D6410" t="s">
        <v>19392</v>
      </c>
      <c r="E6410" t="s">
        <v>19393</v>
      </c>
      <c r="F6410" t="s">
        <v>19394</v>
      </c>
      <c r="I6410" t="s">
        <v>29</v>
      </c>
      <c r="J6410" t="s">
        <v>30</v>
      </c>
      <c r="K6410" t="s">
        <v>19395</v>
      </c>
      <c r="M6410" t="s">
        <v>18479</v>
      </c>
      <c r="N6410" t="str">
        <f>"4/13/2012 9:08:00 AM"</f>
        <v>4/13/2012 9:08:00 AM</v>
      </c>
      <c r="O6410" t="s">
        <v>19392</v>
      </c>
      <c r="T6410" t="s">
        <v>19393</v>
      </c>
    </row>
    <row r="6411" spans="1:20" x14ac:dyDescent="0.25">
      <c r="A6411" t="str">
        <f>"3037920"</f>
        <v>3037920</v>
      </c>
      <c r="B6411" t="s">
        <v>19397</v>
      </c>
      <c r="C6411" t="str">
        <f>"47699000"</f>
        <v>47699000</v>
      </c>
      <c r="D6411" t="s">
        <v>19392</v>
      </c>
      <c r="E6411" t="s">
        <v>19393</v>
      </c>
      <c r="F6411" t="s">
        <v>19394</v>
      </c>
      <c r="I6411" t="s">
        <v>29</v>
      </c>
      <c r="J6411" t="s">
        <v>30</v>
      </c>
      <c r="K6411" t="s">
        <v>19395</v>
      </c>
      <c r="M6411" t="s">
        <v>18479</v>
      </c>
      <c r="N6411" t="str">
        <f>"4/13/2012 9:08:00 AM"</f>
        <v>4/13/2012 9:08:00 AM</v>
      </c>
      <c r="O6411" t="s">
        <v>19392</v>
      </c>
      <c r="T6411" t="s">
        <v>19393</v>
      </c>
    </row>
    <row r="6412" spans="1:20" x14ac:dyDescent="0.25">
      <c r="A6412" t="str">
        <f>"3037848"</f>
        <v>3037848</v>
      </c>
      <c r="B6412" t="s">
        <v>19398</v>
      </c>
      <c r="C6412" t="str">
        <f>"47699000"</f>
        <v>47699000</v>
      </c>
      <c r="D6412" t="s">
        <v>19392</v>
      </c>
      <c r="E6412" t="s">
        <v>19393</v>
      </c>
      <c r="F6412" t="s">
        <v>19394</v>
      </c>
      <c r="I6412" t="s">
        <v>29</v>
      </c>
      <c r="J6412" t="s">
        <v>30</v>
      </c>
      <c r="K6412" t="s">
        <v>19395</v>
      </c>
      <c r="M6412" t="s">
        <v>18479</v>
      </c>
      <c r="N6412" t="str">
        <f>"4/13/2012 9:08:00 AM"</f>
        <v>4/13/2012 9:08:00 AM</v>
      </c>
      <c r="O6412" t="s">
        <v>19392</v>
      </c>
      <c r="T6412" t="s">
        <v>19393</v>
      </c>
    </row>
    <row r="6413" spans="1:20" x14ac:dyDescent="0.25">
      <c r="A6413" t="str">
        <f>"3037858"</f>
        <v>3037858</v>
      </c>
      <c r="B6413" t="s">
        <v>19399</v>
      </c>
      <c r="C6413" t="str">
        <f>"47699000"</f>
        <v>47699000</v>
      </c>
      <c r="D6413" t="s">
        <v>19392</v>
      </c>
      <c r="E6413" t="s">
        <v>19393</v>
      </c>
      <c r="F6413" t="s">
        <v>19394</v>
      </c>
      <c r="I6413" t="s">
        <v>29</v>
      </c>
      <c r="J6413" t="s">
        <v>30</v>
      </c>
      <c r="K6413" t="s">
        <v>19395</v>
      </c>
      <c r="M6413" t="s">
        <v>18479</v>
      </c>
      <c r="N6413" t="str">
        <f>"4/13/2012 9:08:00 AM"</f>
        <v>4/13/2012 9:08:00 AM</v>
      </c>
      <c r="O6413" t="s">
        <v>19392</v>
      </c>
      <c r="T6413" t="s">
        <v>19393</v>
      </c>
    </row>
    <row r="6414" spans="1:20" x14ac:dyDescent="0.25">
      <c r="A6414" t="str">
        <f>"3053680"</f>
        <v>3053680</v>
      </c>
      <c r="B6414" t="s">
        <v>19400</v>
      </c>
      <c r="C6414" t="str">
        <f>"47788000"</f>
        <v>47788000</v>
      </c>
      <c r="D6414" t="s">
        <v>19401</v>
      </c>
      <c r="E6414" t="s">
        <v>19402</v>
      </c>
      <c r="F6414" t="s">
        <v>19403</v>
      </c>
      <c r="I6414" t="s">
        <v>184</v>
      </c>
      <c r="J6414" t="s">
        <v>30</v>
      </c>
      <c r="K6414" t="s">
        <v>185</v>
      </c>
      <c r="M6414" t="s">
        <v>18479</v>
      </c>
      <c r="N6414" t="str">
        <f>"4/13/2012 9:13:00 AM"</f>
        <v>4/13/2012 9:13:00 AM</v>
      </c>
      <c r="O6414" t="s">
        <v>19401</v>
      </c>
      <c r="T6414" t="s">
        <v>19402</v>
      </c>
    </row>
    <row r="6415" spans="1:20" x14ac:dyDescent="0.25">
      <c r="A6415" t="str">
        <f>"3045753"</f>
        <v>3045753</v>
      </c>
      <c r="B6415" t="s">
        <v>19404</v>
      </c>
      <c r="C6415" t="str">
        <f>"82532995"</f>
        <v>82532995</v>
      </c>
      <c r="D6415" t="s">
        <v>19405</v>
      </c>
      <c r="E6415" t="s">
        <v>19406</v>
      </c>
      <c r="F6415" t="s">
        <v>19407</v>
      </c>
      <c r="I6415" t="s">
        <v>1149</v>
      </c>
      <c r="J6415" t="s">
        <v>30</v>
      </c>
      <c r="K6415" t="s">
        <v>1150</v>
      </c>
      <c r="M6415" t="s">
        <v>18479</v>
      </c>
      <c r="N6415" t="str">
        <f>"4/13/2012 9:35:00 AM"</f>
        <v>4/13/2012 9:35:00 AM</v>
      </c>
      <c r="O6415" t="s">
        <v>19405</v>
      </c>
      <c r="T6415" t="s">
        <v>19406</v>
      </c>
    </row>
    <row r="6416" spans="1:20" x14ac:dyDescent="0.25">
      <c r="A6416" t="str">
        <f>"3055387"</f>
        <v>3055387</v>
      </c>
      <c r="B6416" t="s">
        <v>19408</v>
      </c>
      <c r="C6416" t="str">
        <f>"71020000"</f>
        <v>71020000</v>
      </c>
      <c r="D6416" t="s">
        <v>19409</v>
      </c>
      <c r="F6416" t="s">
        <v>19410</v>
      </c>
      <c r="I6416" t="s">
        <v>29</v>
      </c>
      <c r="J6416" t="s">
        <v>30</v>
      </c>
      <c r="K6416" t="s">
        <v>31</v>
      </c>
      <c r="M6416" t="s">
        <v>18432</v>
      </c>
      <c r="N6416" t="str">
        <f>"4/13/2012 10:17:00 AM"</f>
        <v>4/13/2012 10:17:00 AM</v>
      </c>
      <c r="O6416" t="s">
        <v>19409</v>
      </c>
    </row>
    <row r="6417" spans="1:20" x14ac:dyDescent="0.25">
      <c r="A6417" t="str">
        <f>"3055530"</f>
        <v>3055530</v>
      </c>
      <c r="B6417" t="s">
        <v>19411</v>
      </c>
      <c r="C6417" t="str">
        <f>"71020000"</f>
        <v>71020000</v>
      </c>
      <c r="D6417" t="s">
        <v>19409</v>
      </c>
      <c r="F6417" t="s">
        <v>19410</v>
      </c>
      <c r="I6417" t="s">
        <v>29</v>
      </c>
      <c r="J6417" t="s">
        <v>30</v>
      </c>
      <c r="K6417" t="s">
        <v>31</v>
      </c>
      <c r="M6417" t="s">
        <v>18432</v>
      </c>
      <c r="N6417" t="str">
        <f>"4/13/2012 10:17:00 AM"</f>
        <v>4/13/2012 10:17:00 AM</v>
      </c>
      <c r="O6417" t="s">
        <v>19409</v>
      </c>
    </row>
    <row r="6418" spans="1:20" x14ac:dyDescent="0.25">
      <c r="A6418" t="str">
        <f>"3040549"</f>
        <v>3040549</v>
      </c>
      <c r="B6418" t="s">
        <v>19412</v>
      </c>
      <c r="C6418" t="str">
        <f>"82514767"</f>
        <v>82514767</v>
      </c>
      <c r="D6418" t="s">
        <v>19413</v>
      </c>
      <c r="E6418" t="s">
        <v>19414</v>
      </c>
      <c r="F6418" t="s">
        <v>19415</v>
      </c>
      <c r="I6418" t="s">
        <v>184</v>
      </c>
      <c r="J6418" t="s">
        <v>30</v>
      </c>
      <c r="K6418" t="s">
        <v>19416</v>
      </c>
      <c r="M6418" t="s">
        <v>18432</v>
      </c>
      <c r="N6418" t="str">
        <f>"3/28/2012 10:02:00 AM"</f>
        <v>3/28/2012 10:02:00 AM</v>
      </c>
      <c r="O6418" t="s">
        <v>19413</v>
      </c>
      <c r="T6418" t="s">
        <v>19414</v>
      </c>
    </row>
    <row r="6419" spans="1:20" x14ac:dyDescent="0.25">
      <c r="A6419" t="str">
        <f>"3042769"</f>
        <v>3042769</v>
      </c>
      <c r="B6419" t="s">
        <v>19417</v>
      </c>
      <c r="C6419" t="str">
        <f>"47962250"</f>
        <v>47962250</v>
      </c>
      <c r="D6419" t="s">
        <v>19418</v>
      </c>
      <c r="E6419" t="s">
        <v>19419</v>
      </c>
      <c r="F6419" t="s">
        <v>19420</v>
      </c>
      <c r="I6419" t="s">
        <v>29</v>
      </c>
      <c r="J6419" t="s">
        <v>30</v>
      </c>
      <c r="K6419" t="s">
        <v>31</v>
      </c>
      <c r="M6419" t="s">
        <v>18479</v>
      </c>
      <c r="N6419" t="str">
        <f>"4/16/2012 9:13:00 AM"</f>
        <v>4/16/2012 9:13:00 AM</v>
      </c>
      <c r="O6419" t="s">
        <v>19418</v>
      </c>
      <c r="T6419" t="s">
        <v>19419</v>
      </c>
    </row>
    <row r="6420" spans="1:20" x14ac:dyDescent="0.25">
      <c r="A6420" t="str">
        <f>"3057658"</f>
        <v>3057658</v>
      </c>
      <c r="B6420" t="s">
        <v>19421</v>
      </c>
      <c r="C6420" t="str">
        <f>"82522153"</f>
        <v>82522153</v>
      </c>
      <c r="D6420" t="s">
        <v>19422</v>
      </c>
      <c r="E6420" t="s">
        <v>19423</v>
      </c>
      <c r="F6420" t="s">
        <v>19424</v>
      </c>
      <c r="I6420" t="s">
        <v>184</v>
      </c>
      <c r="J6420" t="s">
        <v>30</v>
      </c>
      <c r="K6420" t="s">
        <v>4918</v>
      </c>
      <c r="M6420" t="s">
        <v>17861</v>
      </c>
      <c r="N6420" t="str">
        <f>"3/28/2012 4:50:00 PM"</f>
        <v>3/28/2012 4:50:00 PM</v>
      </c>
      <c r="O6420" t="s">
        <v>19422</v>
      </c>
      <c r="T6420" t="s">
        <v>19423</v>
      </c>
    </row>
    <row r="6421" spans="1:20" x14ac:dyDescent="0.25">
      <c r="A6421" t="str">
        <f>"3059524"</f>
        <v>3059524</v>
      </c>
      <c r="B6421" t="s">
        <v>19425</v>
      </c>
      <c r="C6421" t="str">
        <f>"82523008"</f>
        <v>82523008</v>
      </c>
      <c r="D6421" t="s">
        <v>19426</v>
      </c>
      <c r="E6421" t="s">
        <v>19427</v>
      </c>
      <c r="F6421" t="s">
        <v>19428</v>
      </c>
      <c r="I6421" t="s">
        <v>29</v>
      </c>
      <c r="J6421" t="s">
        <v>30</v>
      </c>
      <c r="K6421" t="s">
        <v>31</v>
      </c>
      <c r="M6421" t="s">
        <v>18432</v>
      </c>
      <c r="N6421" t="str">
        <f>"3/29/2012 11:04:00 AM"</f>
        <v>3/29/2012 11:04:00 AM</v>
      </c>
      <c r="O6421" t="s">
        <v>19426</v>
      </c>
      <c r="T6421" t="s">
        <v>19427</v>
      </c>
    </row>
    <row r="6422" spans="1:20" x14ac:dyDescent="0.25">
      <c r="A6422" t="str">
        <f>"3044133"</f>
        <v>3044133</v>
      </c>
      <c r="B6422" t="s">
        <v>19429</v>
      </c>
      <c r="C6422" t="str">
        <f>"82527384"</f>
        <v>82527384</v>
      </c>
      <c r="D6422" t="s">
        <v>19430</v>
      </c>
      <c r="E6422" t="s">
        <v>19431</v>
      </c>
      <c r="F6422" t="s">
        <v>19432</v>
      </c>
      <c r="I6422" t="s">
        <v>184</v>
      </c>
      <c r="J6422" t="s">
        <v>30</v>
      </c>
      <c r="K6422" t="s">
        <v>185</v>
      </c>
      <c r="M6422" t="s">
        <v>18432</v>
      </c>
      <c r="N6422" t="str">
        <f>"3/29/2012 3:03:00 PM"</f>
        <v>3/29/2012 3:03:00 PM</v>
      </c>
      <c r="O6422" t="s">
        <v>19430</v>
      </c>
      <c r="T6422" t="s">
        <v>19431</v>
      </c>
    </row>
    <row r="6423" spans="1:20" x14ac:dyDescent="0.25">
      <c r="A6423" t="str">
        <f>"3052648"</f>
        <v>3052648</v>
      </c>
      <c r="B6423" t="s">
        <v>19433</v>
      </c>
      <c r="C6423" t="str">
        <f>"82524076"</f>
        <v>82524076</v>
      </c>
      <c r="D6423" t="s">
        <v>19434</v>
      </c>
      <c r="E6423" t="s">
        <v>19435</v>
      </c>
      <c r="F6423" t="s">
        <v>19436</v>
      </c>
      <c r="I6423" t="s">
        <v>29</v>
      </c>
      <c r="J6423" t="s">
        <v>30</v>
      </c>
      <c r="K6423" t="s">
        <v>31</v>
      </c>
      <c r="M6423" t="s">
        <v>18432</v>
      </c>
      <c r="N6423" t="str">
        <f>"3/30/2012 8:48:00 AM"</f>
        <v>3/30/2012 8:48:00 AM</v>
      </c>
      <c r="O6423" t="s">
        <v>19434</v>
      </c>
      <c r="T6423" t="s">
        <v>19435</v>
      </c>
    </row>
    <row r="6424" spans="1:20" x14ac:dyDescent="0.25">
      <c r="A6424" t="str">
        <f>"3037638"</f>
        <v>3037638</v>
      </c>
      <c r="B6424" t="s">
        <v>19437</v>
      </c>
      <c r="C6424" t="str">
        <f>"82518601"</f>
        <v>82518601</v>
      </c>
      <c r="D6424" t="s">
        <v>19438</v>
      </c>
      <c r="E6424" t="s">
        <v>19439</v>
      </c>
      <c r="F6424" t="s">
        <v>19440</v>
      </c>
      <c r="I6424" t="s">
        <v>49</v>
      </c>
      <c r="J6424" t="s">
        <v>30</v>
      </c>
      <c r="K6424" t="s">
        <v>58</v>
      </c>
      <c r="M6424" t="s">
        <v>18432</v>
      </c>
      <c r="N6424" t="str">
        <f>"4/3/2012 10:06:00 AM"</f>
        <v>4/3/2012 10:06:00 AM</v>
      </c>
      <c r="O6424" t="s">
        <v>19438</v>
      </c>
      <c r="T6424" t="s">
        <v>19439</v>
      </c>
    </row>
    <row r="6425" spans="1:20" x14ac:dyDescent="0.25">
      <c r="A6425" t="str">
        <f>"3058185"</f>
        <v>3058185</v>
      </c>
      <c r="B6425" t="s">
        <v>19441</v>
      </c>
      <c r="C6425" t="str">
        <f>"82526422"</f>
        <v>82526422</v>
      </c>
      <c r="D6425" t="s">
        <v>19442</v>
      </c>
      <c r="E6425" t="s">
        <v>19443</v>
      </c>
      <c r="F6425" t="s">
        <v>19444</v>
      </c>
      <c r="I6425" t="s">
        <v>29</v>
      </c>
      <c r="J6425" t="s">
        <v>30</v>
      </c>
      <c r="K6425" t="s">
        <v>31</v>
      </c>
      <c r="M6425" t="s">
        <v>18479</v>
      </c>
      <c r="N6425" t="str">
        <f>"4/3/2012 2:40:00 PM"</f>
        <v>4/3/2012 2:40:00 PM</v>
      </c>
      <c r="O6425" t="s">
        <v>19442</v>
      </c>
      <c r="T6425" t="s">
        <v>19443</v>
      </c>
    </row>
    <row r="6426" spans="1:20" x14ac:dyDescent="0.25">
      <c r="A6426" t="str">
        <f>"3053976"</f>
        <v>3053976</v>
      </c>
      <c r="B6426" t="s">
        <v>19445</v>
      </c>
      <c r="C6426" t="str">
        <f>"82521594"</f>
        <v>82521594</v>
      </c>
      <c r="D6426" t="s">
        <v>19446</v>
      </c>
      <c r="E6426" t="s">
        <v>19447</v>
      </c>
      <c r="F6426" t="s">
        <v>19448</v>
      </c>
      <c r="I6426" t="s">
        <v>29</v>
      </c>
      <c r="J6426" t="s">
        <v>30</v>
      </c>
      <c r="K6426" t="s">
        <v>31</v>
      </c>
      <c r="M6426" t="s">
        <v>18479</v>
      </c>
      <c r="N6426" t="str">
        <f>"4/3/2012 4:50:00 PM"</f>
        <v>4/3/2012 4:50:00 PM</v>
      </c>
      <c r="O6426" t="s">
        <v>19446</v>
      </c>
      <c r="T6426" t="s">
        <v>19447</v>
      </c>
    </row>
    <row r="6427" spans="1:20" x14ac:dyDescent="0.25">
      <c r="A6427" t="str">
        <f>"3038871"</f>
        <v>3038871</v>
      </c>
      <c r="B6427" t="s">
        <v>19449</v>
      </c>
      <c r="C6427" t="str">
        <f>"82531399"</f>
        <v>82531399</v>
      </c>
      <c r="D6427" t="s">
        <v>19450</v>
      </c>
      <c r="F6427" t="s">
        <v>2460</v>
      </c>
      <c r="I6427" t="s">
        <v>29</v>
      </c>
      <c r="J6427" t="s">
        <v>30</v>
      </c>
      <c r="K6427" t="s">
        <v>31</v>
      </c>
      <c r="M6427" t="s">
        <v>18479</v>
      </c>
      <c r="N6427" t="str">
        <f>"4/4/2012 9:00:00 AM"</f>
        <v>4/4/2012 9:00:00 AM</v>
      </c>
      <c r="O6427" t="s">
        <v>19450</v>
      </c>
    </row>
    <row r="6428" spans="1:20" x14ac:dyDescent="0.25">
      <c r="A6428" t="str">
        <f>"3038879"</f>
        <v>3038879</v>
      </c>
      <c r="B6428" t="s">
        <v>19451</v>
      </c>
      <c r="C6428" t="str">
        <f>"82531399"</f>
        <v>82531399</v>
      </c>
      <c r="D6428" t="s">
        <v>19450</v>
      </c>
      <c r="F6428" t="s">
        <v>2460</v>
      </c>
      <c r="I6428" t="s">
        <v>29</v>
      </c>
      <c r="J6428" t="s">
        <v>30</v>
      </c>
      <c r="K6428" t="s">
        <v>31</v>
      </c>
      <c r="M6428" t="s">
        <v>18479</v>
      </c>
      <c r="N6428" t="str">
        <f>"4/4/2012 9:00:00 AM"</f>
        <v>4/4/2012 9:00:00 AM</v>
      </c>
      <c r="O6428" t="s">
        <v>19450</v>
      </c>
    </row>
    <row r="6429" spans="1:20" x14ac:dyDescent="0.25">
      <c r="A6429" t="str">
        <f>"3038769"</f>
        <v>3038769</v>
      </c>
      <c r="B6429" t="s">
        <v>19452</v>
      </c>
      <c r="C6429" t="str">
        <f>"82531399"</f>
        <v>82531399</v>
      </c>
      <c r="D6429" t="s">
        <v>19450</v>
      </c>
      <c r="F6429" t="s">
        <v>2460</v>
      </c>
      <c r="I6429" t="s">
        <v>29</v>
      </c>
      <c r="J6429" t="s">
        <v>30</v>
      </c>
      <c r="K6429" t="s">
        <v>31</v>
      </c>
      <c r="M6429" t="s">
        <v>18479</v>
      </c>
      <c r="N6429" t="str">
        <f>"4/4/2012 9:00:00 AM"</f>
        <v>4/4/2012 9:00:00 AM</v>
      </c>
      <c r="O6429" t="s">
        <v>19450</v>
      </c>
    </row>
    <row r="6430" spans="1:20" x14ac:dyDescent="0.25">
      <c r="A6430" t="str">
        <f>"3040156"</f>
        <v>3040156</v>
      </c>
      <c r="B6430" t="s">
        <v>19453</v>
      </c>
      <c r="C6430" t="str">
        <f>"82531399"</f>
        <v>82531399</v>
      </c>
      <c r="D6430" t="s">
        <v>19450</v>
      </c>
      <c r="F6430" t="s">
        <v>2460</v>
      </c>
      <c r="I6430" t="s">
        <v>29</v>
      </c>
      <c r="J6430" t="s">
        <v>30</v>
      </c>
      <c r="K6430" t="s">
        <v>31</v>
      </c>
      <c r="M6430" t="s">
        <v>18479</v>
      </c>
      <c r="N6430" t="str">
        <f>"4/4/2012 9:00:00 AM"</f>
        <v>4/4/2012 9:00:00 AM</v>
      </c>
      <c r="O6430" t="s">
        <v>19450</v>
      </c>
    </row>
    <row r="6431" spans="1:20" x14ac:dyDescent="0.25">
      <c r="A6431" t="str">
        <f>"3044208"</f>
        <v>3044208</v>
      </c>
      <c r="B6431" t="s">
        <v>19454</v>
      </c>
      <c r="C6431" t="str">
        <f>"44960000"</f>
        <v>44960000</v>
      </c>
      <c r="D6431" t="s">
        <v>19455</v>
      </c>
      <c r="E6431" t="s">
        <v>19456</v>
      </c>
      <c r="F6431" t="s">
        <v>19457</v>
      </c>
      <c r="I6431" t="s">
        <v>184</v>
      </c>
      <c r="J6431" t="s">
        <v>30</v>
      </c>
      <c r="K6431" t="s">
        <v>185</v>
      </c>
      <c r="M6431" t="s">
        <v>18479</v>
      </c>
      <c r="N6431" t="str">
        <f>"4/4/2012 1:23:00 PM"</f>
        <v>4/4/2012 1:23:00 PM</v>
      </c>
      <c r="O6431" t="s">
        <v>19455</v>
      </c>
      <c r="T6431" t="s">
        <v>19456</v>
      </c>
    </row>
    <row r="6432" spans="1:20" x14ac:dyDescent="0.25">
      <c r="A6432" t="str">
        <f>"3077969"</f>
        <v>3077969</v>
      </c>
      <c r="B6432" t="s">
        <v>19458</v>
      </c>
      <c r="C6432" t="str">
        <f>"49849500"</f>
        <v>49849500</v>
      </c>
      <c r="D6432" t="s">
        <v>19459</v>
      </c>
      <c r="E6432" t="s">
        <v>19460</v>
      </c>
      <c r="F6432" t="s">
        <v>19461</v>
      </c>
      <c r="I6432" t="s">
        <v>29</v>
      </c>
      <c r="J6432" t="s">
        <v>30</v>
      </c>
      <c r="K6432" t="s">
        <v>8401</v>
      </c>
      <c r="M6432" t="s">
        <v>18479</v>
      </c>
      <c r="N6432" t="str">
        <f>"4/17/2012 10:01:00 AM"</f>
        <v>4/17/2012 10:01:00 AM</v>
      </c>
      <c r="O6432" t="s">
        <v>19459</v>
      </c>
      <c r="T6432" t="s">
        <v>19460</v>
      </c>
    </row>
    <row r="6433" spans="1:20" x14ac:dyDescent="0.25">
      <c r="A6433" t="str">
        <f>"3053882"</f>
        <v>3053882</v>
      </c>
      <c r="B6433" t="s">
        <v>19462</v>
      </c>
      <c r="C6433" t="str">
        <f>"45810000"</f>
        <v>45810000</v>
      </c>
      <c r="D6433" t="s">
        <v>19463</v>
      </c>
      <c r="E6433" t="s">
        <v>19464</v>
      </c>
      <c r="F6433" t="s">
        <v>19465</v>
      </c>
      <c r="I6433" t="s">
        <v>29</v>
      </c>
      <c r="J6433" t="s">
        <v>30</v>
      </c>
      <c r="K6433" t="s">
        <v>31</v>
      </c>
      <c r="M6433" t="s">
        <v>18479</v>
      </c>
      <c r="N6433" t="str">
        <f>"4/5/2012 10:37:00 AM"</f>
        <v>4/5/2012 10:37:00 AM</v>
      </c>
      <c r="O6433" t="s">
        <v>19463</v>
      </c>
      <c r="T6433" t="s">
        <v>19464</v>
      </c>
    </row>
    <row r="6434" spans="1:20" x14ac:dyDescent="0.25">
      <c r="A6434" t="str">
        <f>"3053778"</f>
        <v>3053778</v>
      </c>
      <c r="B6434" t="s">
        <v>19466</v>
      </c>
      <c r="C6434" t="str">
        <f>"50010000"</f>
        <v>50010000</v>
      </c>
      <c r="D6434" t="s">
        <v>19467</v>
      </c>
      <c r="E6434" t="s">
        <v>19468</v>
      </c>
      <c r="F6434" t="s">
        <v>19469</v>
      </c>
      <c r="I6434" t="s">
        <v>184</v>
      </c>
      <c r="J6434" t="s">
        <v>30</v>
      </c>
      <c r="K6434" t="s">
        <v>185</v>
      </c>
      <c r="M6434" t="s">
        <v>18479</v>
      </c>
      <c r="N6434" t="str">
        <f>"4/17/2012 10:10:00 AM"</f>
        <v>4/17/2012 10:10:00 AM</v>
      </c>
      <c r="O6434" t="s">
        <v>19467</v>
      </c>
      <c r="T6434" t="s">
        <v>19468</v>
      </c>
    </row>
    <row r="6435" spans="1:20" x14ac:dyDescent="0.25">
      <c r="A6435" t="str">
        <f>"3054556"</f>
        <v>3054556</v>
      </c>
      <c r="B6435" t="s">
        <v>19470</v>
      </c>
      <c r="C6435" t="str">
        <f>"82516265"</f>
        <v>82516265</v>
      </c>
      <c r="D6435" t="s">
        <v>19471</v>
      </c>
      <c r="E6435" t="s">
        <v>19472</v>
      </c>
      <c r="F6435" t="s">
        <v>19473</v>
      </c>
      <c r="I6435" t="s">
        <v>29</v>
      </c>
      <c r="J6435" t="s">
        <v>30</v>
      </c>
      <c r="K6435" t="s">
        <v>31</v>
      </c>
      <c r="M6435" t="s">
        <v>18479</v>
      </c>
      <c r="N6435" t="str">
        <f>"4/5/2012 2:22:00 PM"</f>
        <v>4/5/2012 2:22:00 PM</v>
      </c>
      <c r="O6435" t="s">
        <v>19471</v>
      </c>
      <c r="T6435" t="s">
        <v>19472</v>
      </c>
    </row>
    <row r="6436" spans="1:20" x14ac:dyDescent="0.25">
      <c r="A6436" t="str">
        <f>"3048634"</f>
        <v>3048634</v>
      </c>
      <c r="B6436" t="s">
        <v>19474</v>
      </c>
      <c r="C6436" t="str">
        <f>"82516383"</f>
        <v>82516383</v>
      </c>
      <c r="D6436" t="s">
        <v>19475</v>
      </c>
      <c r="E6436" t="s">
        <v>19476</v>
      </c>
      <c r="F6436" t="s">
        <v>19477</v>
      </c>
      <c r="I6436" t="s">
        <v>184</v>
      </c>
      <c r="J6436" t="s">
        <v>30</v>
      </c>
      <c r="K6436" t="s">
        <v>19478</v>
      </c>
      <c r="M6436" t="s">
        <v>18479</v>
      </c>
      <c r="N6436" t="str">
        <f>"4/17/2012 12:24:00 PM"</f>
        <v>4/17/2012 12:24:00 PM</v>
      </c>
      <c r="O6436" t="s">
        <v>19475</v>
      </c>
      <c r="T6436" t="s">
        <v>19476</v>
      </c>
    </row>
    <row r="6437" spans="1:20" x14ac:dyDescent="0.25">
      <c r="A6437" t="str">
        <f>"3094968"</f>
        <v>3094968</v>
      </c>
      <c r="B6437" t="s">
        <v>19479</v>
      </c>
      <c r="C6437" t="str">
        <f>"82516383"</f>
        <v>82516383</v>
      </c>
      <c r="D6437" t="s">
        <v>19475</v>
      </c>
      <c r="E6437" t="s">
        <v>19476</v>
      </c>
      <c r="F6437" t="s">
        <v>19477</v>
      </c>
      <c r="I6437" t="s">
        <v>184</v>
      </c>
      <c r="J6437" t="s">
        <v>30</v>
      </c>
      <c r="K6437" t="s">
        <v>19478</v>
      </c>
      <c r="M6437" t="s">
        <v>18479</v>
      </c>
      <c r="N6437" t="str">
        <f>"4/17/2012 12:24:00 PM"</f>
        <v>4/17/2012 12:24:00 PM</v>
      </c>
      <c r="O6437" t="s">
        <v>19475</v>
      </c>
      <c r="T6437" t="s">
        <v>19476</v>
      </c>
    </row>
    <row r="6438" spans="1:20" x14ac:dyDescent="0.25">
      <c r="A6438" t="str">
        <f>"3055519"</f>
        <v>3055519</v>
      </c>
      <c r="B6438" t="s">
        <v>19480</v>
      </c>
      <c r="C6438" t="str">
        <f>"50098500"</f>
        <v>50098500</v>
      </c>
      <c r="D6438" t="s">
        <v>19481</v>
      </c>
      <c r="F6438" t="s">
        <v>19482</v>
      </c>
      <c r="I6438" t="s">
        <v>29</v>
      </c>
      <c r="J6438" t="s">
        <v>30</v>
      </c>
      <c r="K6438" t="s">
        <v>19483</v>
      </c>
      <c r="M6438" t="s">
        <v>18479</v>
      </c>
      <c r="N6438" t="str">
        <f>"4/17/2012 12:35:00 PM"</f>
        <v>4/17/2012 12:35:00 PM</v>
      </c>
      <c r="O6438" t="s">
        <v>19481</v>
      </c>
    </row>
    <row r="6439" spans="1:20" x14ac:dyDescent="0.25">
      <c r="A6439" t="str">
        <f>"3058404"</f>
        <v>3058404</v>
      </c>
      <c r="B6439" t="s">
        <v>19484</v>
      </c>
      <c r="C6439" t="str">
        <f>"8300766"</f>
        <v>8300766</v>
      </c>
      <c r="D6439" t="s">
        <v>19485</v>
      </c>
      <c r="E6439" t="s">
        <v>19486</v>
      </c>
      <c r="F6439" t="s">
        <v>19487</v>
      </c>
      <c r="I6439" t="s">
        <v>2071</v>
      </c>
      <c r="J6439" t="s">
        <v>30</v>
      </c>
      <c r="K6439" t="str">
        <f>"27006"</f>
        <v>27006</v>
      </c>
      <c r="M6439" t="s">
        <v>17861</v>
      </c>
      <c r="N6439" t="str">
        <f>"3/20/2012 1:22:00 PM"</f>
        <v>3/20/2012 1:22:00 PM</v>
      </c>
      <c r="O6439" t="s">
        <v>19485</v>
      </c>
      <c r="T6439" t="s">
        <v>19486</v>
      </c>
    </row>
    <row r="6440" spans="1:20" x14ac:dyDescent="0.25">
      <c r="A6440" t="str">
        <f>"3061472"</f>
        <v>3061472</v>
      </c>
      <c r="B6440" t="s">
        <v>19488</v>
      </c>
      <c r="C6440" t="str">
        <f>"46799000"</f>
        <v>46799000</v>
      </c>
      <c r="D6440" t="s">
        <v>19489</v>
      </c>
      <c r="E6440" t="s">
        <v>19490</v>
      </c>
      <c r="F6440" t="s">
        <v>19491</v>
      </c>
      <c r="I6440" t="s">
        <v>184</v>
      </c>
      <c r="J6440" t="s">
        <v>30</v>
      </c>
      <c r="K6440" t="s">
        <v>1984</v>
      </c>
      <c r="M6440" t="s">
        <v>18479</v>
      </c>
      <c r="N6440" t="str">
        <f>"4/11/2012 1:58:00 PM"</f>
        <v>4/11/2012 1:58:00 PM</v>
      </c>
      <c r="O6440" t="s">
        <v>19489</v>
      </c>
      <c r="T6440" t="s">
        <v>19490</v>
      </c>
    </row>
    <row r="6441" spans="1:20" x14ac:dyDescent="0.25">
      <c r="A6441" t="str">
        <f>"3053373"</f>
        <v>3053373</v>
      </c>
      <c r="B6441" t="s">
        <v>19492</v>
      </c>
      <c r="C6441" t="str">
        <f>"50130000"</f>
        <v>50130000</v>
      </c>
      <c r="D6441" t="s">
        <v>19493</v>
      </c>
      <c r="E6441" t="s">
        <v>19494</v>
      </c>
      <c r="F6441" t="s">
        <v>19495</v>
      </c>
      <c r="I6441" t="s">
        <v>29</v>
      </c>
      <c r="J6441" t="s">
        <v>30</v>
      </c>
      <c r="K6441" t="s">
        <v>14976</v>
      </c>
      <c r="M6441" t="s">
        <v>18479</v>
      </c>
      <c r="N6441" t="str">
        <f>"4/17/2012 1:06:00 PM"</f>
        <v>4/17/2012 1:06:00 PM</v>
      </c>
      <c r="O6441" t="s">
        <v>19493</v>
      </c>
      <c r="T6441" t="s">
        <v>19494</v>
      </c>
    </row>
    <row r="6442" spans="1:20" x14ac:dyDescent="0.25">
      <c r="A6442" t="str">
        <f>"3062921"</f>
        <v>3062921</v>
      </c>
      <c r="B6442" t="s">
        <v>19496</v>
      </c>
      <c r="C6442" t="str">
        <f>"50292000"</f>
        <v>50292000</v>
      </c>
      <c r="D6442" t="s">
        <v>19497</v>
      </c>
      <c r="F6442" t="s">
        <v>19498</v>
      </c>
      <c r="I6442" t="s">
        <v>29</v>
      </c>
      <c r="J6442" t="s">
        <v>30</v>
      </c>
      <c r="K6442" t="s">
        <v>31</v>
      </c>
      <c r="M6442" t="s">
        <v>18479</v>
      </c>
      <c r="N6442" t="str">
        <f>"4/17/2012 1:20:00 PM"</f>
        <v>4/17/2012 1:20:00 PM</v>
      </c>
      <c r="O6442" t="s">
        <v>19497</v>
      </c>
    </row>
    <row r="6443" spans="1:20" x14ac:dyDescent="0.25">
      <c r="A6443" t="str">
        <f>"3050354"</f>
        <v>3050354</v>
      </c>
      <c r="B6443" t="s">
        <v>19499</v>
      </c>
      <c r="C6443" t="str">
        <f>"50388000"</f>
        <v>50388000</v>
      </c>
      <c r="D6443" t="s">
        <v>19500</v>
      </c>
      <c r="E6443" t="s">
        <v>19501</v>
      </c>
      <c r="F6443" t="s">
        <v>19502</v>
      </c>
      <c r="I6443" t="s">
        <v>29</v>
      </c>
      <c r="J6443" t="s">
        <v>30</v>
      </c>
      <c r="K6443" t="s">
        <v>12425</v>
      </c>
      <c r="M6443" t="s">
        <v>18479</v>
      </c>
      <c r="N6443" t="str">
        <f>"4/17/2012 1:23:00 PM"</f>
        <v>4/17/2012 1:23:00 PM</v>
      </c>
      <c r="O6443" t="s">
        <v>19500</v>
      </c>
      <c r="T6443" t="s">
        <v>19501</v>
      </c>
    </row>
    <row r="6444" spans="1:20" x14ac:dyDescent="0.25">
      <c r="A6444" t="str">
        <f>"3051456"</f>
        <v>3051456</v>
      </c>
      <c r="B6444" t="s">
        <v>19503</v>
      </c>
      <c r="C6444" t="str">
        <f>"82528728"</f>
        <v>82528728</v>
      </c>
      <c r="D6444" t="s">
        <v>19504</v>
      </c>
      <c r="E6444" t="s">
        <v>19505</v>
      </c>
      <c r="F6444" t="s">
        <v>19506</v>
      </c>
      <c r="I6444" t="s">
        <v>29</v>
      </c>
      <c r="J6444" t="s">
        <v>30</v>
      </c>
      <c r="K6444" t="s">
        <v>31</v>
      </c>
      <c r="M6444" t="s">
        <v>18479</v>
      </c>
      <c r="N6444" t="str">
        <f>"4/17/2012 1:39:00 PM"</f>
        <v>4/17/2012 1:39:00 PM</v>
      </c>
      <c r="O6444" t="s">
        <v>19504</v>
      </c>
      <c r="T6444" t="s">
        <v>19505</v>
      </c>
    </row>
    <row r="6445" spans="1:20" x14ac:dyDescent="0.25">
      <c r="A6445" t="str">
        <f>"3051476"</f>
        <v>3051476</v>
      </c>
      <c r="B6445" t="s">
        <v>19507</v>
      </c>
      <c r="C6445" t="str">
        <f>"82526292"</f>
        <v>82526292</v>
      </c>
      <c r="D6445" t="s">
        <v>19508</v>
      </c>
      <c r="E6445" t="s">
        <v>19509</v>
      </c>
      <c r="F6445" t="s">
        <v>19510</v>
      </c>
      <c r="I6445" t="s">
        <v>29</v>
      </c>
      <c r="J6445" t="s">
        <v>30</v>
      </c>
      <c r="K6445" t="s">
        <v>31</v>
      </c>
      <c r="M6445" t="s">
        <v>18479</v>
      </c>
      <c r="N6445" t="str">
        <f>"4/17/2012 1:45:00 PM"</f>
        <v>4/17/2012 1:45:00 PM</v>
      </c>
      <c r="O6445" t="s">
        <v>19508</v>
      </c>
      <c r="T6445" t="s">
        <v>19509</v>
      </c>
    </row>
    <row r="6446" spans="1:20" x14ac:dyDescent="0.25">
      <c r="A6446" t="str">
        <f>"3054457"</f>
        <v>3054457</v>
      </c>
      <c r="B6446" t="s">
        <v>19511</v>
      </c>
      <c r="C6446" t="str">
        <f>"50541120"</f>
        <v>50541120</v>
      </c>
      <c r="D6446" t="s">
        <v>19512</v>
      </c>
      <c r="E6446" t="s">
        <v>19513</v>
      </c>
      <c r="F6446" t="s">
        <v>19514</v>
      </c>
      <c r="I6446" t="s">
        <v>29</v>
      </c>
      <c r="J6446" t="s">
        <v>30</v>
      </c>
      <c r="K6446" t="s">
        <v>31</v>
      </c>
      <c r="M6446" t="s">
        <v>18479</v>
      </c>
      <c r="N6446" t="str">
        <f>"4/17/2012 2:16:00 PM"</f>
        <v>4/17/2012 2:16:00 PM</v>
      </c>
      <c r="O6446" t="s">
        <v>19512</v>
      </c>
      <c r="T6446" t="s">
        <v>19513</v>
      </c>
    </row>
    <row r="6447" spans="1:20" x14ac:dyDescent="0.25">
      <c r="A6447" t="str">
        <f>"3054414"</f>
        <v>3054414</v>
      </c>
      <c r="B6447" t="s">
        <v>19515</v>
      </c>
      <c r="C6447" t="str">
        <f>"50541120"</f>
        <v>50541120</v>
      </c>
      <c r="D6447" t="s">
        <v>19512</v>
      </c>
      <c r="E6447" t="s">
        <v>19513</v>
      </c>
      <c r="F6447" t="s">
        <v>19514</v>
      </c>
      <c r="I6447" t="s">
        <v>29</v>
      </c>
      <c r="J6447" t="s">
        <v>30</v>
      </c>
      <c r="K6447" t="s">
        <v>31</v>
      </c>
      <c r="M6447" t="s">
        <v>18479</v>
      </c>
      <c r="N6447" t="str">
        <f>"4/17/2012 2:16:00 PM"</f>
        <v>4/17/2012 2:16:00 PM</v>
      </c>
      <c r="O6447" t="s">
        <v>19512</v>
      </c>
      <c r="T6447" t="s">
        <v>19513</v>
      </c>
    </row>
    <row r="6448" spans="1:20" x14ac:dyDescent="0.25">
      <c r="A6448" t="str">
        <f>"3048843"</f>
        <v>3048843</v>
      </c>
      <c r="B6448" t="s">
        <v>19516</v>
      </c>
      <c r="C6448" t="str">
        <f>"82514754"</f>
        <v>82514754</v>
      </c>
      <c r="D6448" t="s">
        <v>19517</v>
      </c>
      <c r="E6448" t="s">
        <v>19518</v>
      </c>
      <c r="F6448" t="s">
        <v>19519</v>
      </c>
      <c r="I6448" t="s">
        <v>29</v>
      </c>
      <c r="J6448" t="s">
        <v>30</v>
      </c>
      <c r="K6448" t="s">
        <v>31</v>
      </c>
      <c r="M6448" t="s">
        <v>18479</v>
      </c>
      <c r="N6448" t="str">
        <f>"4/12/2012 10:00:00 AM"</f>
        <v>4/12/2012 10:00:00 AM</v>
      </c>
      <c r="O6448" t="s">
        <v>19517</v>
      </c>
      <c r="T6448" t="s">
        <v>19518</v>
      </c>
    </row>
    <row r="6449" spans="1:20" x14ac:dyDescent="0.25">
      <c r="A6449" t="str">
        <f>"3058296"</f>
        <v>3058296</v>
      </c>
      <c r="B6449" t="s">
        <v>19520</v>
      </c>
      <c r="C6449" t="str">
        <f>"82532104"</f>
        <v>82532104</v>
      </c>
      <c r="D6449" t="s">
        <v>19521</v>
      </c>
      <c r="E6449" t="s">
        <v>19522</v>
      </c>
      <c r="F6449" t="s">
        <v>19523</v>
      </c>
      <c r="I6449" t="s">
        <v>29</v>
      </c>
      <c r="J6449" t="s">
        <v>30</v>
      </c>
      <c r="K6449" t="s">
        <v>31</v>
      </c>
      <c r="M6449" t="s">
        <v>18479</v>
      </c>
      <c r="N6449" t="str">
        <f>"4/13/2012 8:41:00 AM"</f>
        <v>4/13/2012 8:41:00 AM</v>
      </c>
      <c r="O6449" t="s">
        <v>19521</v>
      </c>
      <c r="T6449" t="s">
        <v>19522</v>
      </c>
    </row>
    <row r="6450" spans="1:20" x14ac:dyDescent="0.25">
      <c r="A6450" t="str">
        <f>"3042715"</f>
        <v>3042715</v>
      </c>
      <c r="B6450" t="s">
        <v>19524</v>
      </c>
      <c r="C6450" t="str">
        <f>"47962250"</f>
        <v>47962250</v>
      </c>
      <c r="D6450" t="s">
        <v>19418</v>
      </c>
      <c r="E6450" t="s">
        <v>19419</v>
      </c>
      <c r="F6450" t="s">
        <v>19420</v>
      </c>
      <c r="I6450" t="s">
        <v>29</v>
      </c>
      <c r="J6450" t="s">
        <v>30</v>
      </c>
      <c r="K6450" t="s">
        <v>31</v>
      </c>
      <c r="M6450" t="s">
        <v>18479</v>
      </c>
      <c r="N6450" t="str">
        <f>"4/16/2012 9:13:00 AM"</f>
        <v>4/16/2012 9:13:00 AM</v>
      </c>
      <c r="O6450" t="s">
        <v>19418</v>
      </c>
      <c r="T6450" t="s">
        <v>19419</v>
      </c>
    </row>
    <row r="6451" spans="1:20" x14ac:dyDescent="0.25">
      <c r="A6451" t="str">
        <f>"3040076"</f>
        <v>3040076</v>
      </c>
      <c r="B6451" t="s">
        <v>19525</v>
      </c>
      <c r="C6451" t="str">
        <f>"48327000"</f>
        <v>48327000</v>
      </c>
      <c r="D6451" t="s">
        <v>19526</v>
      </c>
      <c r="E6451" t="s">
        <v>19527</v>
      </c>
      <c r="F6451" t="s">
        <v>19528</v>
      </c>
      <c r="I6451" t="s">
        <v>29</v>
      </c>
      <c r="J6451" t="s">
        <v>30</v>
      </c>
      <c r="K6451" t="s">
        <v>31</v>
      </c>
      <c r="M6451" t="s">
        <v>18479</v>
      </c>
      <c r="N6451" t="str">
        <f>"4/16/2012 10:13:00 AM"</f>
        <v>4/16/2012 10:13:00 AM</v>
      </c>
      <c r="O6451" t="s">
        <v>19526</v>
      </c>
      <c r="T6451" t="s">
        <v>19527</v>
      </c>
    </row>
    <row r="6452" spans="1:20" x14ac:dyDescent="0.25">
      <c r="A6452" t="str">
        <f>"3057867"</f>
        <v>3057867</v>
      </c>
      <c r="B6452" t="s">
        <v>19529</v>
      </c>
      <c r="C6452" t="str">
        <f>"48372000"</f>
        <v>48372000</v>
      </c>
      <c r="D6452" t="s">
        <v>19530</v>
      </c>
      <c r="E6452" t="s">
        <v>19531</v>
      </c>
      <c r="F6452" t="s">
        <v>7296</v>
      </c>
      <c r="I6452" t="s">
        <v>184</v>
      </c>
      <c r="J6452" t="s">
        <v>30</v>
      </c>
      <c r="K6452" t="s">
        <v>185</v>
      </c>
      <c r="M6452" t="s">
        <v>18479</v>
      </c>
      <c r="N6452" t="str">
        <f>"4/16/2012 10:47:00 AM"</f>
        <v>4/16/2012 10:47:00 AM</v>
      </c>
      <c r="O6452" t="s">
        <v>19530</v>
      </c>
      <c r="T6452" t="s">
        <v>19531</v>
      </c>
    </row>
    <row r="6453" spans="1:20" x14ac:dyDescent="0.25">
      <c r="A6453" t="str">
        <f>"3057643"</f>
        <v>3057643</v>
      </c>
      <c r="B6453" t="s">
        <v>19532</v>
      </c>
      <c r="C6453" t="str">
        <f>"51213000"</f>
        <v>51213000</v>
      </c>
      <c r="D6453" t="s">
        <v>19533</v>
      </c>
      <c r="E6453" t="s">
        <v>19534</v>
      </c>
      <c r="F6453" t="s">
        <v>19535</v>
      </c>
      <c r="I6453" t="s">
        <v>184</v>
      </c>
      <c r="J6453" t="s">
        <v>30</v>
      </c>
      <c r="K6453" t="s">
        <v>185</v>
      </c>
      <c r="M6453" t="s">
        <v>18479</v>
      </c>
      <c r="N6453" t="str">
        <f>"4/19/2012 10:04:00 AM"</f>
        <v>4/19/2012 10:04:00 AM</v>
      </c>
      <c r="O6453" t="s">
        <v>19533</v>
      </c>
      <c r="T6453" t="s">
        <v>19534</v>
      </c>
    </row>
    <row r="6454" spans="1:20" x14ac:dyDescent="0.25">
      <c r="A6454" t="str">
        <f>"3041811"</f>
        <v>3041811</v>
      </c>
      <c r="B6454" t="s">
        <v>19536</v>
      </c>
      <c r="C6454" t="str">
        <f>"8300870"</f>
        <v>8300870</v>
      </c>
      <c r="D6454" t="s">
        <v>19537</v>
      </c>
      <c r="F6454" t="s">
        <v>19538</v>
      </c>
      <c r="I6454" t="s">
        <v>2071</v>
      </c>
      <c r="J6454" t="s">
        <v>30</v>
      </c>
      <c r="K6454" t="str">
        <f>"27006"</f>
        <v>27006</v>
      </c>
      <c r="M6454" t="s">
        <v>17861</v>
      </c>
      <c r="N6454" t="str">
        <f>"4/19/2012 10:35:00 AM"</f>
        <v>4/19/2012 10:35:00 AM</v>
      </c>
      <c r="O6454" t="s">
        <v>19537</v>
      </c>
    </row>
    <row r="6455" spans="1:20" x14ac:dyDescent="0.25">
      <c r="A6455" t="str">
        <f>"3037814"</f>
        <v>3037814</v>
      </c>
      <c r="B6455" t="s">
        <v>19539</v>
      </c>
      <c r="C6455" t="str">
        <f>"48768000"</f>
        <v>48768000</v>
      </c>
      <c r="D6455" t="s">
        <v>19540</v>
      </c>
      <c r="E6455" t="s">
        <v>19541</v>
      </c>
      <c r="F6455" t="s">
        <v>19542</v>
      </c>
      <c r="I6455" t="s">
        <v>29</v>
      </c>
      <c r="J6455" t="s">
        <v>30</v>
      </c>
      <c r="K6455" t="s">
        <v>19543</v>
      </c>
      <c r="M6455" t="s">
        <v>18479</v>
      </c>
      <c r="N6455" t="str">
        <f>"4/16/2012 1:52:00 PM"</f>
        <v>4/16/2012 1:52:00 PM</v>
      </c>
      <c r="O6455" t="s">
        <v>19540</v>
      </c>
      <c r="T6455" t="s">
        <v>19541</v>
      </c>
    </row>
    <row r="6456" spans="1:20" x14ac:dyDescent="0.25">
      <c r="A6456" t="str">
        <f>"3039313"</f>
        <v>3039313</v>
      </c>
      <c r="B6456" t="s">
        <v>19544</v>
      </c>
      <c r="C6456" t="str">
        <f>"51316000"</f>
        <v>51316000</v>
      </c>
      <c r="D6456" t="s">
        <v>19545</v>
      </c>
      <c r="F6456" t="s">
        <v>19546</v>
      </c>
      <c r="I6456" t="s">
        <v>29</v>
      </c>
      <c r="J6456" t="s">
        <v>30</v>
      </c>
      <c r="K6456" t="s">
        <v>19547</v>
      </c>
      <c r="M6456" t="s">
        <v>18479</v>
      </c>
      <c r="N6456" t="str">
        <f>"4/19/2012 1:02:00 PM"</f>
        <v>4/19/2012 1:02:00 PM</v>
      </c>
      <c r="O6456" t="s">
        <v>19545</v>
      </c>
    </row>
    <row r="6457" spans="1:20" x14ac:dyDescent="0.25">
      <c r="A6457" t="str">
        <f>"3037694"</f>
        <v>3037694</v>
      </c>
      <c r="B6457" t="s">
        <v>19548</v>
      </c>
      <c r="C6457" t="str">
        <f>"51316000"</f>
        <v>51316000</v>
      </c>
      <c r="D6457" t="s">
        <v>19545</v>
      </c>
      <c r="F6457" t="s">
        <v>19546</v>
      </c>
      <c r="I6457" t="s">
        <v>29</v>
      </c>
      <c r="J6457" t="s">
        <v>30</v>
      </c>
      <c r="K6457" t="s">
        <v>19547</v>
      </c>
      <c r="M6457" t="s">
        <v>18479</v>
      </c>
      <c r="N6457" t="str">
        <f>"4/19/2012 1:02:00 PM"</f>
        <v>4/19/2012 1:02:00 PM</v>
      </c>
      <c r="O6457" t="s">
        <v>19545</v>
      </c>
    </row>
    <row r="6458" spans="1:20" x14ac:dyDescent="0.25">
      <c r="A6458" t="str">
        <f>"3061647"</f>
        <v>3061647</v>
      </c>
      <c r="B6458" t="s">
        <v>19549</v>
      </c>
      <c r="C6458" t="str">
        <f>"82527350"</f>
        <v>82527350</v>
      </c>
      <c r="D6458" t="s">
        <v>19550</v>
      </c>
      <c r="E6458" t="s">
        <v>19551</v>
      </c>
      <c r="F6458" t="s">
        <v>19552</v>
      </c>
      <c r="I6458" t="s">
        <v>29</v>
      </c>
      <c r="J6458" t="s">
        <v>30</v>
      </c>
      <c r="K6458" t="s">
        <v>19553</v>
      </c>
      <c r="M6458" t="s">
        <v>18479</v>
      </c>
      <c r="N6458" t="str">
        <f>"4/19/2012 1:57:00 PM"</f>
        <v>4/19/2012 1:57:00 PM</v>
      </c>
      <c r="O6458" t="s">
        <v>19550</v>
      </c>
      <c r="T6458" t="s">
        <v>19551</v>
      </c>
    </row>
    <row r="6459" spans="1:20" x14ac:dyDescent="0.25">
      <c r="A6459" t="str">
        <f>"3038622"</f>
        <v>3038622</v>
      </c>
      <c r="B6459" t="s">
        <v>19554</v>
      </c>
      <c r="C6459" t="str">
        <f>"51599300"</f>
        <v>51599300</v>
      </c>
      <c r="D6459" t="s">
        <v>19555</v>
      </c>
      <c r="E6459" t="s">
        <v>19556</v>
      </c>
      <c r="F6459" t="s">
        <v>19557</v>
      </c>
      <c r="I6459" t="s">
        <v>29</v>
      </c>
      <c r="J6459" t="s">
        <v>30</v>
      </c>
      <c r="K6459" t="s">
        <v>31</v>
      </c>
      <c r="M6459" t="s">
        <v>18479</v>
      </c>
      <c r="N6459" t="str">
        <f>"4/19/2012 1:59:00 PM"</f>
        <v>4/19/2012 1:59:00 PM</v>
      </c>
      <c r="O6459" t="s">
        <v>19555</v>
      </c>
      <c r="T6459" t="s">
        <v>19556</v>
      </c>
    </row>
    <row r="6460" spans="1:20" x14ac:dyDescent="0.25">
      <c r="A6460" t="str">
        <f>"3038576"</f>
        <v>3038576</v>
      </c>
      <c r="B6460" t="s">
        <v>19558</v>
      </c>
      <c r="C6460" t="str">
        <f>"48768000"</f>
        <v>48768000</v>
      </c>
      <c r="D6460" t="s">
        <v>19540</v>
      </c>
      <c r="E6460" t="s">
        <v>19541</v>
      </c>
      <c r="F6460" t="s">
        <v>19542</v>
      </c>
      <c r="I6460" t="s">
        <v>29</v>
      </c>
      <c r="J6460" t="s">
        <v>30</v>
      </c>
      <c r="K6460" t="s">
        <v>19543</v>
      </c>
      <c r="M6460" t="s">
        <v>18479</v>
      </c>
      <c r="N6460" t="str">
        <f>"4/16/2012 1:52:00 PM"</f>
        <v>4/16/2012 1:52:00 PM</v>
      </c>
      <c r="O6460" t="s">
        <v>19540</v>
      </c>
      <c r="T6460" t="s">
        <v>19541</v>
      </c>
    </row>
    <row r="6461" spans="1:20" x14ac:dyDescent="0.25">
      <c r="A6461" t="str">
        <f>"3051457"</f>
        <v>3051457</v>
      </c>
      <c r="B6461" t="s">
        <v>19559</v>
      </c>
      <c r="C6461" t="str">
        <f>"48798000"</f>
        <v>48798000</v>
      </c>
      <c r="D6461" t="s">
        <v>19560</v>
      </c>
      <c r="E6461" t="s">
        <v>19561</v>
      </c>
      <c r="F6461" t="s">
        <v>19562</v>
      </c>
      <c r="I6461" t="s">
        <v>29</v>
      </c>
      <c r="J6461" t="s">
        <v>30</v>
      </c>
      <c r="K6461" t="s">
        <v>19563</v>
      </c>
      <c r="M6461" t="s">
        <v>18479</v>
      </c>
      <c r="N6461" t="str">
        <f>"4/16/2012 2:31:00 PM"</f>
        <v>4/16/2012 2:31:00 PM</v>
      </c>
      <c r="O6461" t="s">
        <v>19560</v>
      </c>
      <c r="T6461" t="s">
        <v>19561</v>
      </c>
    </row>
    <row r="6462" spans="1:20" x14ac:dyDescent="0.25">
      <c r="A6462" t="str">
        <f>"3040139"</f>
        <v>3040139</v>
      </c>
      <c r="B6462" t="s">
        <v>19564</v>
      </c>
      <c r="C6462" t="str">
        <f>"11368000"</f>
        <v>11368000</v>
      </c>
      <c r="D6462" t="s">
        <v>19565</v>
      </c>
      <c r="F6462" t="s">
        <v>19566</v>
      </c>
      <c r="I6462" t="s">
        <v>29</v>
      </c>
      <c r="J6462" t="s">
        <v>30</v>
      </c>
      <c r="K6462" t="s">
        <v>31</v>
      </c>
      <c r="M6462" t="s">
        <v>18432</v>
      </c>
      <c r="N6462" t="str">
        <f>"4/16/2012 2:55:00 PM"</f>
        <v>4/16/2012 2:55:00 PM</v>
      </c>
      <c r="O6462" t="s">
        <v>19565</v>
      </c>
    </row>
    <row r="6463" spans="1:20" x14ac:dyDescent="0.25">
      <c r="A6463" t="str">
        <f>"3041558"</f>
        <v>3041558</v>
      </c>
      <c r="B6463" t="s">
        <v>19567</v>
      </c>
      <c r="C6463" t="str">
        <f>"8300453"</f>
        <v>8300453</v>
      </c>
      <c r="D6463" t="s">
        <v>19568</v>
      </c>
      <c r="E6463" t="s">
        <v>19569</v>
      </c>
      <c r="F6463" t="s">
        <v>19570</v>
      </c>
      <c r="I6463" t="s">
        <v>2071</v>
      </c>
      <c r="J6463" t="s">
        <v>30</v>
      </c>
      <c r="K6463" t="s">
        <v>185</v>
      </c>
      <c r="M6463" t="s">
        <v>18479</v>
      </c>
      <c r="N6463" t="str">
        <f>"4/16/2012 3:15:00 PM"</f>
        <v>4/16/2012 3:15:00 PM</v>
      </c>
      <c r="O6463" t="s">
        <v>19568</v>
      </c>
      <c r="T6463" t="s">
        <v>19569</v>
      </c>
    </row>
    <row r="6464" spans="1:20" x14ac:dyDescent="0.25">
      <c r="A6464" t="str">
        <f>"3045809"</f>
        <v>3045809</v>
      </c>
      <c r="B6464" t="s">
        <v>19571</v>
      </c>
      <c r="C6464" t="str">
        <f>"82519094"</f>
        <v>82519094</v>
      </c>
      <c r="D6464" t="s">
        <v>19572</v>
      </c>
      <c r="E6464" t="s">
        <v>19573</v>
      </c>
      <c r="F6464" t="s">
        <v>19574</v>
      </c>
      <c r="I6464" t="s">
        <v>29</v>
      </c>
      <c r="J6464" t="s">
        <v>30</v>
      </c>
      <c r="K6464" t="s">
        <v>19575</v>
      </c>
      <c r="M6464" t="s">
        <v>18479</v>
      </c>
      <c r="N6464" t="str">
        <f>"4/20/2012 9:12:00 AM"</f>
        <v>4/20/2012 9:12:00 AM</v>
      </c>
      <c r="O6464" t="s">
        <v>19572</v>
      </c>
      <c r="T6464" t="s">
        <v>19573</v>
      </c>
    </row>
    <row r="6465" spans="1:20" x14ac:dyDescent="0.25">
      <c r="A6465" t="str">
        <f>"3046712"</f>
        <v>3046712</v>
      </c>
      <c r="B6465" t="s">
        <v>19576</v>
      </c>
      <c r="C6465" t="str">
        <f>"8300153"</f>
        <v>8300153</v>
      </c>
      <c r="D6465" t="s">
        <v>19577</v>
      </c>
      <c r="F6465" t="s">
        <v>19578</v>
      </c>
      <c r="I6465" t="s">
        <v>184</v>
      </c>
      <c r="J6465" t="s">
        <v>30</v>
      </c>
      <c r="K6465" t="s">
        <v>185</v>
      </c>
      <c r="M6465" t="s">
        <v>18479</v>
      </c>
      <c r="N6465" t="str">
        <f>"4/20/2012 10:06:00 AM"</f>
        <v>4/20/2012 10:06:00 AM</v>
      </c>
      <c r="O6465" t="s">
        <v>19577</v>
      </c>
    </row>
    <row r="6466" spans="1:20" x14ac:dyDescent="0.25">
      <c r="A6466" t="str">
        <f>"3070386"</f>
        <v>3070386</v>
      </c>
      <c r="B6466" t="s">
        <v>19579</v>
      </c>
      <c r="C6466" t="str">
        <f>"49482000"</f>
        <v>49482000</v>
      </c>
      <c r="D6466" t="s">
        <v>19580</v>
      </c>
      <c r="E6466" t="s">
        <v>19581</v>
      </c>
      <c r="F6466" t="s">
        <v>19582</v>
      </c>
      <c r="I6466" t="s">
        <v>29</v>
      </c>
      <c r="J6466" t="s">
        <v>30</v>
      </c>
      <c r="K6466" t="s">
        <v>19583</v>
      </c>
      <c r="M6466" t="s">
        <v>18479</v>
      </c>
      <c r="N6466" t="str">
        <f>"4/16/2012 4:28:00 PM"</f>
        <v>4/16/2012 4:28:00 PM</v>
      </c>
      <c r="O6466" t="s">
        <v>19580</v>
      </c>
      <c r="T6466" t="s">
        <v>19581</v>
      </c>
    </row>
    <row r="6467" spans="1:20" x14ac:dyDescent="0.25">
      <c r="A6467" t="str">
        <f>"3066113"</f>
        <v>3066113</v>
      </c>
      <c r="B6467" t="s">
        <v>19584</v>
      </c>
      <c r="C6467" t="str">
        <f>"53204000"</f>
        <v>53204000</v>
      </c>
      <c r="D6467" t="s">
        <v>19585</v>
      </c>
      <c r="E6467" t="s">
        <v>19586</v>
      </c>
      <c r="F6467" t="s">
        <v>19587</v>
      </c>
      <c r="I6467" t="s">
        <v>2071</v>
      </c>
      <c r="J6467" t="s">
        <v>30</v>
      </c>
      <c r="K6467" t="s">
        <v>6459</v>
      </c>
      <c r="M6467" t="s">
        <v>18479</v>
      </c>
      <c r="N6467" t="str">
        <f>"4/20/2012 3:16:00 PM"</f>
        <v>4/20/2012 3:16:00 PM</v>
      </c>
      <c r="O6467" t="s">
        <v>19585</v>
      </c>
      <c r="T6467" t="s">
        <v>19586</v>
      </c>
    </row>
    <row r="6468" spans="1:20" x14ac:dyDescent="0.25">
      <c r="A6468" t="str">
        <f>"3041602"</f>
        <v>3041602</v>
      </c>
      <c r="B6468" t="s">
        <v>19588</v>
      </c>
      <c r="C6468" t="str">
        <f>"49588500"</f>
        <v>49588500</v>
      </c>
      <c r="D6468" t="s">
        <v>19589</v>
      </c>
      <c r="E6468" t="s">
        <v>19590</v>
      </c>
      <c r="F6468" t="s">
        <v>19591</v>
      </c>
      <c r="I6468" t="s">
        <v>2071</v>
      </c>
      <c r="J6468" t="s">
        <v>30</v>
      </c>
      <c r="K6468" t="s">
        <v>185</v>
      </c>
      <c r="M6468" t="s">
        <v>18479</v>
      </c>
      <c r="N6468" t="str">
        <f>"4/17/2012 8:48:00 AM"</f>
        <v>4/17/2012 8:48:00 AM</v>
      </c>
      <c r="O6468" t="s">
        <v>19589</v>
      </c>
      <c r="T6468" t="s">
        <v>19590</v>
      </c>
    </row>
    <row r="6469" spans="1:20" x14ac:dyDescent="0.25">
      <c r="A6469" t="str">
        <f>"3037456"</f>
        <v>3037456</v>
      </c>
      <c r="B6469" t="s">
        <v>19592</v>
      </c>
      <c r="C6469" t="str">
        <f>"53564000"</f>
        <v>53564000</v>
      </c>
      <c r="D6469" t="s">
        <v>19593</v>
      </c>
      <c r="E6469" t="s">
        <v>19594</v>
      </c>
      <c r="F6469" t="s">
        <v>19595</v>
      </c>
      <c r="I6469" t="s">
        <v>29</v>
      </c>
      <c r="J6469" t="s">
        <v>30</v>
      </c>
      <c r="K6469" t="s">
        <v>31</v>
      </c>
      <c r="M6469" t="s">
        <v>18479</v>
      </c>
      <c r="N6469" t="str">
        <f>"4/23/2012 8:59:00 AM"</f>
        <v>4/23/2012 8:59:00 AM</v>
      </c>
      <c r="O6469" t="s">
        <v>19593</v>
      </c>
      <c r="T6469" t="s">
        <v>19594</v>
      </c>
    </row>
    <row r="6470" spans="1:20" x14ac:dyDescent="0.25">
      <c r="A6470" t="str">
        <f>"3044794"</f>
        <v>3044794</v>
      </c>
      <c r="B6470" t="s">
        <v>19596</v>
      </c>
      <c r="C6470" t="str">
        <f>"82530953"</f>
        <v>82530953</v>
      </c>
      <c r="D6470" t="s">
        <v>19597</v>
      </c>
      <c r="F6470" t="s">
        <v>19598</v>
      </c>
      <c r="I6470" t="s">
        <v>184</v>
      </c>
      <c r="J6470" t="s">
        <v>30</v>
      </c>
      <c r="K6470" t="s">
        <v>6077</v>
      </c>
      <c r="M6470" t="s">
        <v>18479</v>
      </c>
      <c r="N6470" t="str">
        <f>"4/23/2012 10:51:00 AM"</f>
        <v>4/23/2012 10:51:00 AM</v>
      </c>
      <c r="O6470" t="s">
        <v>19597</v>
      </c>
    </row>
    <row r="6471" spans="1:20" x14ac:dyDescent="0.25">
      <c r="A6471" t="str">
        <f>"3041037"</f>
        <v>3041037</v>
      </c>
      <c r="B6471" t="s">
        <v>19599</v>
      </c>
      <c r="C6471" t="str">
        <f>"49588500"</f>
        <v>49588500</v>
      </c>
      <c r="D6471" t="s">
        <v>19589</v>
      </c>
      <c r="E6471" t="s">
        <v>19590</v>
      </c>
      <c r="F6471" t="s">
        <v>19591</v>
      </c>
      <c r="I6471" t="s">
        <v>2071</v>
      </c>
      <c r="J6471" t="s">
        <v>30</v>
      </c>
      <c r="K6471" t="s">
        <v>185</v>
      </c>
      <c r="M6471" t="s">
        <v>18479</v>
      </c>
      <c r="N6471" t="str">
        <f>"4/17/2012 8:48:00 AM"</f>
        <v>4/17/2012 8:48:00 AM</v>
      </c>
      <c r="O6471" t="s">
        <v>19589</v>
      </c>
      <c r="T6471" t="s">
        <v>19590</v>
      </c>
    </row>
    <row r="6472" spans="1:20" x14ac:dyDescent="0.25">
      <c r="A6472" t="str">
        <f>"3045670"</f>
        <v>3045670</v>
      </c>
      <c r="B6472" t="s">
        <v>19600</v>
      </c>
      <c r="C6472" t="str">
        <f>"49791000"</f>
        <v>49791000</v>
      </c>
      <c r="D6472" t="s">
        <v>19601</v>
      </c>
      <c r="F6472" t="s">
        <v>19602</v>
      </c>
      <c r="I6472" t="s">
        <v>184</v>
      </c>
      <c r="J6472" t="s">
        <v>30</v>
      </c>
      <c r="K6472" t="s">
        <v>19603</v>
      </c>
      <c r="M6472" t="s">
        <v>18479</v>
      </c>
      <c r="N6472" t="str">
        <f>"4/17/2012 9:41:00 AM"</f>
        <v>4/17/2012 9:41:00 AM</v>
      </c>
      <c r="O6472" t="s">
        <v>19601</v>
      </c>
      <c r="T6472" t="s">
        <v>19601</v>
      </c>
    </row>
    <row r="6473" spans="1:20" x14ac:dyDescent="0.25">
      <c r="A6473" t="str">
        <f>"3058630"</f>
        <v>3058630</v>
      </c>
      <c r="B6473" t="s">
        <v>19604</v>
      </c>
      <c r="C6473" t="str">
        <f>"54296750"</f>
        <v>54296750</v>
      </c>
      <c r="D6473" t="s">
        <v>19605</v>
      </c>
      <c r="E6473" t="s">
        <v>19606</v>
      </c>
      <c r="F6473" t="s">
        <v>19607</v>
      </c>
      <c r="I6473" t="s">
        <v>29</v>
      </c>
      <c r="J6473" t="s">
        <v>30</v>
      </c>
      <c r="K6473" t="s">
        <v>19608</v>
      </c>
      <c r="M6473" t="s">
        <v>18479</v>
      </c>
      <c r="N6473" t="str">
        <f>"4/23/2012 12:15:00 PM"</f>
        <v>4/23/2012 12:15:00 PM</v>
      </c>
      <c r="O6473" t="s">
        <v>19605</v>
      </c>
      <c r="T6473" t="s">
        <v>19606</v>
      </c>
    </row>
    <row r="6474" spans="1:20" x14ac:dyDescent="0.25">
      <c r="A6474" t="str">
        <f>"3060519"</f>
        <v>3060519</v>
      </c>
      <c r="B6474" t="s">
        <v>19609</v>
      </c>
      <c r="C6474" t="str">
        <f>"82528878"</f>
        <v>82528878</v>
      </c>
      <c r="D6474" t="s">
        <v>19610</v>
      </c>
      <c r="E6474" t="s">
        <v>19611</v>
      </c>
      <c r="F6474" t="s">
        <v>19612</v>
      </c>
      <c r="I6474" t="s">
        <v>184</v>
      </c>
      <c r="J6474" t="s">
        <v>30</v>
      </c>
      <c r="K6474" t="s">
        <v>185</v>
      </c>
      <c r="M6474" t="s">
        <v>18479</v>
      </c>
      <c r="N6474" t="str">
        <f>"4/23/2012 12:52:00 PM"</f>
        <v>4/23/2012 12:52:00 PM</v>
      </c>
      <c r="O6474" t="s">
        <v>19610</v>
      </c>
      <c r="T6474" t="s">
        <v>19611</v>
      </c>
    </row>
    <row r="6475" spans="1:20" x14ac:dyDescent="0.25">
      <c r="A6475" t="str">
        <f>"3050065"</f>
        <v>3050065</v>
      </c>
      <c r="B6475" t="s">
        <v>19613</v>
      </c>
      <c r="C6475" t="str">
        <f>"54420000"</f>
        <v>54420000</v>
      </c>
      <c r="D6475" t="s">
        <v>19614</v>
      </c>
      <c r="E6475" t="s">
        <v>19615</v>
      </c>
      <c r="F6475" t="s">
        <v>19616</v>
      </c>
      <c r="I6475" t="s">
        <v>29</v>
      </c>
      <c r="J6475" t="s">
        <v>30</v>
      </c>
      <c r="K6475" t="s">
        <v>19617</v>
      </c>
      <c r="M6475" t="s">
        <v>18479</v>
      </c>
      <c r="N6475" t="str">
        <f>"4/23/2012 1:43:00 PM"</f>
        <v>4/23/2012 1:43:00 PM</v>
      </c>
      <c r="O6475" t="s">
        <v>19614</v>
      </c>
      <c r="T6475" t="s">
        <v>19615</v>
      </c>
    </row>
    <row r="6476" spans="1:20" x14ac:dyDescent="0.25">
      <c r="A6476" t="str">
        <f>"3077972"</f>
        <v>3077972</v>
      </c>
      <c r="B6476" t="s">
        <v>19618</v>
      </c>
      <c r="C6476" t="str">
        <f>"49849500"</f>
        <v>49849500</v>
      </c>
      <c r="D6476" t="s">
        <v>19459</v>
      </c>
      <c r="E6476" t="s">
        <v>19460</v>
      </c>
      <c r="F6476" t="s">
        <v>19461</v>
      </c>
      <c r="I6476" t="s">
        <v>29</v>
      </c>
      <c r="J6476" t="s">
        <v>30</v>
      </c>
      <c r="K6476" t="s">
        <v>8401</v>
      </c>
      <c r="M6476" t="s">
        <v>18479</v>
      </c>
      <c r="N6476" t="str">
        <f>"4/17/2012 10:01:00 AM"</f>
        <v>4/17/2012 10:01:00 AM</v>
      </c>
      <c r="O6476" t="s">
        <v>19459</v>
      </c>
      <c r="T6476" t="s">
        <v>19460</v>
      </c>
    </row>
    <row r="6477" spans="1:20" x14ac:dyDescent="0.25">
      <c r="A6477" t="str">
        <f>"3051375"</f>
        <v>3051375</v>
      </c>
      <c r="B6477" t="s">
        <v>19619</v>
      </c>
      <c r="C6477" t="str">
        <f>"82522825"</f>
        <v>82522825</v>
      </c>
      <c r="D6477" t="s">
        <v>19620</v>
      </c>
      <c r="E6477" t="s">
        <v>19621</v>
      </c>
      <c r="F6477" t="s">
        <v>19622</v>
      </c>
      <c r="I6477" t="s">
        <v>29</v>
      </c>
      <c r="J6477" t="s">
        <v>30</v>
      </c>
      <c r="K6477" t="s">
        <v>14280</v>
      </c>
      <c r="M6477" t="s">
        <v>18479</v>
      </c>
      <c r="N6477" t="str">
        <f>"4/17/2012 10:03:00 AM"</f>
        <v>4/17/2012 10:03:00 AM</v>
      </c>
      <c r="O6477" t="s">
        <v>19620</v>
      </c>
      <c r="T6477" t="s">
        <v>19621</v>
      </c>
    </row>
    <row r="6478" spans="1:20" x14ac:dyDescent="0.25">
      <c r="A6478" t="str">
        <f>"3041599"</f>
        <v>3041599</v>
      </c>
      <c r="B6478" t="s">
        <v>19623</v>
      </c>
      <c r="C6478" t="str">
        <f>"50039000"</f>
        <v>50039000</v>
      </c>
      <c r="D6478" t="s">
        <v>19624</v>
      </c>
      <c r="E6478" t="s">
        <v>19625</v>
      </c>
      <c r="F6478" t="s">
        <v>19626</v>
      </c>
      <c r="I6478" t="s">
        <v>2071</v>
      </c>
      <c r="J6478" t="s">
        <v>30</v>
      </c>
      <c r="K6478" t="s">
        <v>19627</v>
      </c>
      <c r="M6478" t="s">
        <v>18479</v>
      </c>
      <c r="N6478" t="str">
        <f>"4/17/2012 11:13:00 AM"</f>
        <v>4/17/2012 11:13:00 AM</v>
      </c>
      <c r="O6478" t="s">
        <v>19624</v>
      </c>
      <c r="T6478" t="s">
        <v>19625</v>
      </c>
    </row>
    <row r="6479" spans="1:20" x14ac:dyDescent="0.25">
      <c r="A6479" t="str">
        <f>"3042937"</f>
        <v>3042937</v>
      </c>
      <c r="B6479" t="s">
        <v>19628</v>
      </c>
      <c r="C6479" t="str">
        <f>"82523230"</f>
        <v>82523230</v>
      </c>
      <c r="D6479" t="s">
        <v>19629</v>
      </c>
      <c r="E6479" t="s">
        <v>19630</v>
      </c>
      <c r="F6479" t="s">
        <v>19631</v>
      </c>
      <c r="I6479" t="s">
        <v>29</v>
      </c>
      <c r="J6479" t="s">
        <v>30</v>
      </c>
      <c r="K6479" t="s">
        <v>19632</v>
      </c>
      <c r="M6479" t="s">
        <v>18479</v>
      </c>
      <c r="N6479" t="str">
        <f>"4/23/2012 4:31:00 PM"</f>
        <v>4/23/2012 4:31:00 PM</v>
      </c>
      <c r="O6479" t="s">
        <v>19629</v>
      </c>
      <c r="T6479" t="s">
        <v>19630</v>
      </c>
    </row>
    <row r="6480" spans="1:20" x14ac:dyDescent="0.25">
      <c r="A6480" t="str">
        <f>"3042177"</f>
        <v>3042177</v>
      </c>
      <c r="B6480" t="s">
        <v>19633</v>
      </c>
      <c r="C6480" t="str">
        <f>"82523230"</f>
        <v>82523230</v>
      </c>
      <c r="D6480" t="s">
        <v>19629</v>
      </c>
      <c r="E6480" t="s">
        <v>19630</v>
      </c>
      <c r="F6480" t="s">
        <v>19631</v>
      </c>
      <c r="I6480" t="s">
        <v>29</v>
      </c>
      <c r="J6480" t="s">
        <v>30</v>
      </c>
      <c r="K6480" t="s">
        <v>19632</v>
      </c>
      <c r="M6480" t="s">
        <v>18479</v>
      </c>
      <c r="N6480" t="str">
        <f>"4/23/2012 4:31:00 PM"</f>
        <v>4/23/2012 4:31:00 PM</v>
      </c>
      <c r="O6480" t="s">
        <v>19629</v>
      </c>
      <c r="T6480" t="s">
        <v>19630</v>
      </c>
    </row>
    <row r="6481" spans="1:20" x14ac:dyDescent="0.25">
      <c r="A6481" t="str">
        <f>"3053416"</f>
        <v>3053416</v>
      </c>
      <c r="B6481" t="s">
        <v>19634</v>
      </c>
      <c r="C6481" t="str">
        <f>"8300819"</f>
        <v>8300819</v>
      </c>
      <c r="D6481" t="s">
        <v>19635</v>
      </c>
      <c r="E6481" t="s">
        <v>19636</v>
      </c>
      <c r="F6481" t="s">
        <v>19637</v>
      </c>
      <c r="I6481" t="s">
        <v>29</v>
      </c>
      <c r="J6481" t="s">
        <v>30</v>
      </c>
      <c r="K6481" t="str">
        <f>"27028"</f>
        <v>27028</v>
      </c>
      <c r="M6481" t="s">
        <v>17861</v>
      </c>
      <c r="N6481" t="str">
        <f>"4/5/2012 4:22:00 PM"</f>
        <v>4/5/2012 4:22:00 PM</v>
      </c>
      <c r="O6481" t="s">
        <v>19635</v>
      </c>
      <c r="T6481" t="s">
        <v>19636</v>
      </c>
    </row>
    <row r="6482" spans="1:20" x14ac:dyDescent="0.25">
      <c r="A6482" t="str">
        <f>"3051479"</f>
        <v>3051479</v>
      </c>
      <c r="B6482" t="s">
        <v>19638</v>
      </c>
      <c r="C6482" t="str">
        <f>"8300887"</f>
        <v>8300887</v>
      </c>
      <c r="D6482" t="s">
        <v>19639</v>
      </c>
      <c r="E6482" t="s">
        <v>19640</v>
      </c>
      <c r="F6482" t="s">
        <v>19641</v>
      </c>
      <c r="I6482" t="s">
        <v>29</v>
      </c>
      <c r="J6482" t="s">
        <v>30</v>
      </c>
      <c r="K6482" t="str">
        <f>"27028"</f>
        <v>27028</v>
      </c>
      <c r="M6482" t="s">
        <v>17861</v>
      </c>
      <c r="N6482" t="str">
        <f>"4/24/2012 10:50:00 AM"</f>
        <v>4/24/2012 10:50:00 AM</v>
      </c>
      <c r="O6482" t="s">
        <v>19639</v>
      </c>
      <c r="T6482" t="s">
        <v>19640</v>
      </c>
    </row>
    <row r="6483" spans="1:20" x14ac:dyDescent="0.25">
      <c r="A6483" t="str">
        <f>"3048698"</f>
        <v>3048698</v>
      </c>
      <c r="B6483" t="s">
        <v>19642</v>
      </c>
      <c r="C6483" t="str">
        <f>"55794000"</f>
        <v>55794000</v>
      </c>
      <c r="D6483" t="s">
        <v>19643</v>
      </c>
      <c r="E6483" t="s">
        <v>19644</v>
      </c>
      <c r="F6483" t="s">
        <v>19645</v>
      </c>
      <c r="I6483" t="s">
        <v>29</v>
      </c>
      <c r="J6483" t="s">
        <v>30</v>
      </c>
      <c r="K6483" t="s">
        <v>31</v>
      </c>
      <c r="M6483" t="s">
        <v>18479</v>
      </c>
      <c r="N6483" t="str">
        <f>"4/24/2012 1:39:00 PM"</f>
        <v>4/24/2012 1:39:00 PM</v>
      </c>
      <c r="O6483" t="s">
        <v>19643</v>
      </c>
      <c r="T6483" t="s">
        <v>19644</v>
      </c>
    </row>
    <row r="6484" spans="1:20" x14ac:dyDescent="0.25">
      <c r="A6484" t="str">
        <f>"3054022"</f>
        <v>3054022</v>
      </c>
      <c r="B6484" t="s">
        <v>19646</v>
      </c>
      <c r="C6484" t="str">
        <f>"55794000"</f>
        <v>55794000</v>
      </c>
      <c r="D6484" t="s">
        <v>19643</v>
      </c>
      <c r="E6484" t="s">
        <v>19644</v>
      </c>
      <c r="F6484" t="s">
        <v>19645</v>
      </c>
      <c r="I6484" t="s">
        <v>29</v>
      </c>
      <c r="J6484" t="s">
        <v>30</v>
      </c>
      <c r="K6484" t="s">
        <v>31</v>
      </c>
      <c r="M6484" t="s">
        <v>18479</v>
      </c>
      <c r="N6484" t="str">
        <f>"4/24/2012 1:39:00 PM"</f>
        <v>4/24/2012 1:39:00 PM</v>
      </c>
      <c r="O6484" t="s">
        <v>19643</v>
      </c>
      <c r="T6484" t="s">
        <v>19644</v>
      </c>
    </row>
    <row r="6485" spans="1:20" x14ac:dyDescent="0.25">
      <c r="A6485" t="str">
        <f>"3038452"</f>
        <v>3038452</v>
      </c>
      <c r="B6485" t="s">
        <v>19647</v>
      </c>
      <c r="C6485" t="str">
        <f>"56061000"</f>
        <v>56061000</v>
      </c>
      <c r="D6485" t="s">
        <v>19648</v>
      </c>
      <c r="E6485" t="s">
        <v>19649</v>
      </c>
      <c r="F6485" t="s">
        <v>19650</v>
      </c>
      <c r="I6485" t="s">
        <v>29</v>
      </c>
      <c r="J6485" t="s">
        <v>30</v>
      </c>
      <c r="K6485" t="s">
        <v>19651</v>
      </c>
      <c r="M6485" t="s">
        <v>18479</v>
      </c>
      <c r="N6485" t="str">
        <f>"4/24/2012 1:49:00 PM"</f>
        <v>4/24/2012 1:49:00 PM</v>
      </c>
      <c r="O6485" t="s">
        <v>19648</v>
      </c>
      <c r="T6485" t="s">
        <v>19649</v>
      </c>
    </row>
    <row r="6486" spans="1:20" x14ac:dyDescent="0.25">
      <c r="A6486" t="str">
        <f>"3045082"</f>
        <v>3045082</v>
      </c>
      <c r="B6486" t="s">
        <v>19652</v>
      </c>
      <c r="C6486" t="str">
        <f>"8300890"</f>
        <v>8300890</v>
      </c>
      <c r="D6486" t="s">
        <v>19653</v>
      </c>
      <c r="F6486" t="s">
        <v>19654</v>
      </c>
      <c r="I6486" t="s">
        <v>1149</v>
      </c>
      <c r="J6486" t="s">
        <v>30</v>
      </c>
      <c r="K6486" t="str">
        <f>"28634"</f>
        <v>28634</v>
      </c>
      <c r="M6486" t="s">
        <v>17861</v>
      </c>
      <c r="N6486" t="str">
        <f>"4/24/2012 2:05:00 PM"</f>
        <v>4/24/2012 2:05:00 PM</v>
      </c>
      <c r="O6486" t="s">
        <v>19653</v>
      </c>
    </row>
    <row r="6487" spans="1:20" x14ac:dyDescent="0.25">
      <c r="A6487" t="str">
        <f>"3045530"</f>
        <v>3045530</v>
      </c>
      <c r="B6487" t="s">
        <v>19655</v>
      </c>
      <c r="C6487" t="str">
        <f>"8300890"</f>
        <v>8300890</v>
      </c>
      <c r="D6487" t="s">
        <v>19653</v>
      </c>
      <c r="F6487" t="s">
        <v>19654</v>
      </c>
      <c r="I6487" t="s">
        <v>1149</v>
      </c>
      <c r="J6487" t="s">
        <v>30</v>
      </c>
      <c r="K6487" t="str">
        <f>"28634"</f>
        <v>28634</v>
      </c>
      <c r="M6487" t="s">
        <v>17861</v>
      </c>
      <c r="N6487" t="str">
        <f>"4/24/2012 2:05:00 PM"</f>
        <v>4/24/2012 2:05:00 PM</v>
      </c>
      <c r="O6487" t="s">
        <v>19653</v>
      </c>
    </row>
    <row r="6488" spans="1:20" x14ac:dyDescent="0.25">
      <c r="A6488" t="str">
        <f>"3045738"</f>
        <v>3045738</v>
      </c>
      <c r="B6488" t="s">
        <v>19656</v>
      </c>
      <c r="C6488" t="str">
        <f>"8300891"</f>
        <v>8300891</v>
      </c>
      <c r="D6488" t="s">
        <v>19657</v>
      </c>
      <c r="F6488" t="s">
        <v>19658</v>
      </c>
      <c r="I6488" t="s">
        <v>19659</v>
      </c>
      <c r="J6488" t="s">
        <v>12725</v>
      </c>
      <c r="K6488" t="str">
        <f>"33139"</f>
        <v>33139</v>
      </c>
      <c r="M6488" t="s">
        <v>17861</v>
      </c>
      <c r="N6488" t="str">
        <f>"4/24/2012 3:31:00 PM"</f>
        <v>4/24/2012 3:31:00 PM</v>
      </c>
      <c r="O6488" t="s">
        <v>19657</v>
      </c>
    </row>
    <row r="6489" spans="1:20" x14ac:dyDescent="0.25">
      <c r="A6489" t="str">
        <f>"3040552"</f>
        <v>3040552</v>
      </c>
      <c r="B6489" t="s">
        <v>19660</v>
      </c>
      <c r="C6489" t="str">
        <f>"82531363"</f>
        <v>82531363</v>
      </c>
      <c r="D6489" t="s">
        <v>19661</v>
      </c>
      <c r="F6489" t="s">
        <v>19662</v>
      </c>
      <c r="I6489" t="s">
        <v>184</v>
      </c>
      <c r="J6489" t="s">
        <v>30</v>
      </c>
      <c r="K6489" t="s">
        <v>185</v>
      </c>
      <c r="M6489" t="s">
        <v>18479</v>
      </c>
      <c r="N6489" t="str">
        <f>"4/24/2012 4:07:00 PM"</f>
        <v>4/24/2012 4:07:00 PM</v>
      </c>
      <c r="O6489" t="s">
        <v>19661</v>
      </c>
    </row>
    <row r="6490" spans="1:20" x14ac:dyDescent="0.25">
      <c r="A6490" t="str">
        <f>"3046820"</f>
        <v>3046820</v>
      </c>
      <c r="B6490" t="s">
        <v>19663</v>
      </c>
      <c r="C6490" t="str">
        <f>"8300821"</f>
        <v>8300821</v>
      </c>
      <c r="D6490" t="s">
        <v>19664</v>
      </c>
      <c r="F6490" t="s">
        <v>19665</v>
      </c>
      <c r="I6490" t="s">
        <v>184</v>
      </c>
      <c r="J6490" t="s">
        <v>30</v>
      </c>
      <c r="K6490" t="str">
        <f>"27006"</f>
        <v>27006</v>
      </c>
      <c r="M6490" t="s">
        <v>17861</v>
      </c>
      <c r="N6490" t="str">
        <f>"4/5/2012 4:29:00 PM"</f>
        <v>4/5/2012 4:29:00 PM</v>
      </c>
      <c r="O6490" t="s">
        <v>19664</v>
      </c>
    </row>
    <row r="6491" spans="1:20" x14ac:dyDescent="0.25">
      <c r="A6491" t="str">
        <f>"3050015"</f>
        <v>3050015</v>
      </c>
      <c r="B6491" t="s">
        <v>19666</v>
      </c>
      <c r="C6491" t="str">
        <f>"82527668"</f>
        <v>82527668</v>
      </c>
      <c r="D6491" t="s">
        <v>19667</v>
      </c>
      <c r="F6491" t="s">
        <v>19668</v>
      </c>
      <c r="I6491" t="s">
        <v>29</v>
      </c>
      <c r="J6491" t="s">
        <v>30</v>
      </c>
      <c r="K6491" t="s">
        <v>31</v>
      </c>
      <c r="M6491" t="s">
        <v>18479</v>
      </c>
      <c r="N6491" t="str">
        <f>"4/9/2012 8:45:00 AM"</f>
        <v>4/9/2012 8:45:00 AM</v>
      </c>
      <c r="O6491" t="s">
        <v>19667</v>
      </c>
    </row>
    <row r="6492" spans="1:20" x14ac:dyDescent="0.25">
      <c r="A6492" t="str">
        <f>"3056559"</f>
        <v>3056559</v>
      </c>
      <c r="B6492" t="s">
        <v>19669</v>
      </c>
      <c r="C6492" t="str">
        <f>"56771100"</f>
        <v>56771100</v>
      </c>
      <c r="D6492" t="s">
        <v>19670</v>
      </c>
      <c r="E6492" t="s">
        <v>19671</v>
      </c>
      <c r="F6492" t="s">
        <v>19672</v>
      </c>
      <c r="I6492" t="s">
        <v>29</v>
      </c>
      <c r="J6492" t="s">
        <v>30</v>
      </c>
      <c r="K6492" t="s">
        <v>19673</v>
      </c>
      <c r="M6492" t="s">
        <v>18479</v>
      </c>
      <c r="N6492" t="str">
        <f>"4/25/2012 10:23:00 AM"</f>
        <v>4/25/2012 10:23:00 AM</v>
      </c>
      <c r="O6492" t="s">
        <v>19670</v>
      </c>
      <c r="T6492" t="s">
        <v>19671</v>
      </c>
    </row>
    <row r="6493" spans="1:20" x14ac:dyDescent="0.25">
      <c r="A6493" t="str">
        <f>"3054379"</f>
        <v>3054379</v>
      </c>
      <c r="B6493" t="s">
        <v>19674</v>
      </c>
      <c r="C6493" t="str">
        <f>"82513176"</f>
        <v>82513176</v>
      </c>
      <c r="D6493" t="s">
        <v>19675</v>
      </c>
      <c r="E6493" t="s">
        <v>19676</v>
      </c>
      <c r="F6493" t="s">
        <v>19677</v>
      </c>
      <c r="I6493" t="s">
        <v>29</v>
      </c>
      <c r="J6493" t="s">
        <v>30</v>
      </c>
      <c r="K6493" t="s">
        <v>15217</v>
      </c>
      <c r="M6493" t="s">
        <v>18432</v>
      </c>
      <c r="N6493" t="str">
        <f>"4/10/2012 11:17:00 AM"</f>
        <v>4/10/2012 11:17:00 AM</v>
      </c>
      <c r="O6493" t="s">
        <v>19675</v>
      </c>
      <c r="T6493" t="s">
        <v>19676</v>
      </c>
    </row>
    <row r="6494" spans="1:20" x14ac:dyDescent="0.25">
      <c r="A6494" t="str">
        <f>"3045501"</f>
        <v>3045501</v>
      </c>
      <c r="B6494" t="s">
        <v>19678</v>
      </c>
      <c r="C6494" t="str">
        <f>"5766100"</f>
        <v>5766100</v>
      </c>
      <c r="D6494" t="s">
        <v>19679</v>
      </c>
      <c r="E6494" t="s">
        <v>19680</v>
      </c>
      <c r="F6494" t="s">
        <v>19681</v>
      </c>
      <c r="I6494" t="s">
        <v>29</v>
      </c>
      <c r="J6494" t="s">
        <v>30</v>
      </c>
      <c r="K6494" t="s">
        <v>19682</v>
      </c>
      <c r="M6494" t="s">
        <v>18432</v>
      </c>
      <c r="N6494" t="str">
        <f>"4/10/2012 11:33:00 AM"</f>
        <v>4/10/2012 11:33:00 AM</v>
      </c>
      <c r="O6494" t="s">
        <v>19679</v>
      </c>
      <c r="T6494" t="s">
        <v>19680</v>
      </c>
    </row>
    <row r="6495" spans="1:20" x14ac:dyDescent="0.25">
      <c r="A6495" t="str">
        <f>"3044016"</f>
        <v>3044016</v>
      </c>
      <c r="B6495" t="s">
        <v>19683</v>
      </c>
      <c r="C6495" t="str">
        <f>"82519055"</f>
        <v>82519055</v>
      </c>
      <c r="D6495" t="s">
        <v>19684</v>
      </c>
      <c r="E6495" t="s">
        <v>19685</v>
      </c>
      <c r="F6495" t="s">
        <v>19686</v>
      </c>
      <c r="I6495" t="s">
        <v>184</v>
      </c>
      <c r="J6495" t="s">
        <v>30</v>
      </c>
      <c r="K6495" t="s">
        <v>19687</v>
      </c>
      <c r="M6495" t="s">
        <v>18479</v>
      </c>
      <c r="N6495" t="str">
        <f>"4/25/2012 1:25:00 PM"</f>
        <v>4/25/2012 1:25:00 PM</v>
      </c>
      <c r="O6495" t="s">
        <v>19684</v>
      </c>
      <c r="T6495" t="s">
        <v>19685</v>
      </c>
    </row>
    <row r="6496" spans="1:20" x14ac:dyDescent="0.25">
      <c r="A6496" t="str">
        <f>"3039796"</f>
        <v>3039796</v>
      </c>
      <c r="B6496" t="s">
        <v>19688</v>
      </c>
      <c r="C6496" t="str">
        <f>"57164000"</f>
        <v>57164000</v>
      </c>
      <c r="D6496" t="s">
        <v>19689</v>
      </c>
      <c r="E6496" t="s">
        <v>19690</v>
      </c>
      <c r="F6496" t="s">
        <v>19691</v>
      </c>
      <c r="I6496" t="s">
        <v>29</v>
      </c>
      <c r="J6496" t="s">
        <v>30</v>
      </c>
      <c r="K6496" t="s">
        <v>19692</v>
      </c>
      <c r="M6496" t="s">
        <v>18479</v>
      </c>
      <c r="N6496" t="str">
        <f>"4/25/2012 2:06:00 PM"</f>
        <v>4/25/2012 2:06:00 PM</v>
      </c>
      <c r="O6496" t="s">
        <v>19689</v>
      </c>
      <c r="T6496" t="s">
        <v>19690</v>
      </c>
    </row>
    <row r="6497" spans="1:20" x14ac:dyDescent="0.25">
      <c r="A6497" t="str">
        <f>"3042324"</f>
        <v>3042324</v>
      </c>
      <c r="B6497" t="s">
        <v>19693</v>
      </c>
      <c r="C6497" t="str">
        <f>"82532849"</f>
        <v>82532849</v>
      </c>
      <c r="D6497" t="s">
        <v>19694</v>
      </c>
      <c r="E6497" t="s">
        <v>19695</v>
      </c>
      <c r="F6497" t="s">
        <v>19696</v>
      </c>
      <c r="I6497" t="s">
        <v>184</v>
      </c>
      <c r="J6497" t="s">
        <v>30</v>
      </c>
      <c r="K6497" t="s">
        <v>185</v>
      </c>
      <c r="M6497" t="s">
        <v>18479</v>
      </c>
      <c r="N6497" t="str">
        <f>"4/25/2012 3:06:00 PM"</f>
        <v>4/25/2012 3:06:00 PM</v>
      </c>
      <c r="O6497" t="s">
        <v>19694</v>
      </c>
      <c r="T6497" t="s">
        <v>19695</v>
      </c>
    </row>
    <row r="6498" spans="1:20" x14ac:dyDescent="0.25">
      <c r="A6498" t="str">
        <f>"3045068"</f>
        <v>3045068</v>
      </c>
      <c r="B6498" t="s">
        <v>19697</v>
      </c>
      <c r="C6498" t="str">
        <f>"8300867"</f>
        <v>8300867</v>
      </c>
      <c r="D6498" t="s">
        <v>19698</v>
      </c>
      <c r="F6498" t="s">
        <v>19699</v>
      </c>
      <c r="I6498" t="s">
        <v>29</v>
      </c>
      <c r="J6498" t="s">
        <v>30</v>
      </c>
      <c r="K6498" t="str">
        <f>"27028"</f>
        <v>27028</v>
      </c>
      <c r="M6498" t="s">
        <v>17861</v>
      </c>
      <c r="N6498" t="str">
        <f>"4/18/2012 3:37:00 PM"</f>
        <v>4/18/2012 3:37:00 PM</v>
      </c>
      <c r="O6498" t="s">
        <v>19698</v>
      </c>
    </row>
    <row r="6499" spans="1:20" x14ac:dyDescent="0.25">
      <c r="A6499" t="str">
        <f>"3045130"</f>
        <v>3045130</v>
      </c>
      <c r="B6499" t="s">
        <v>19700</v>
      </c>
      <c r="C6499" t="str">
        <f>"8300867"</f>
        <v>8300867</v>
      </c>
      <c r="D6499" t="s">
        <v>19698</v>
      </c>
      <c r="F6499" t="s">
        <v>19699</v>
      </c>
      <c r="I6499" t="s">
        <v>29</v>
      </c>
      <c r="J6499" t="s">
        <v>30</v>
      </c>
      <c r="K6499" t="str">
        <f>"27028"</f>
        <v>27028</v>
      </c>
      <c r="M6499" t="s">
        <v>17861</v>
      </c>
      <c r="N6499" t="str">
        <f>"4/18/2012 3:37:00 PM"</f>
        <v>4/18/2012 3:37:00 PM</v>
      </c>
      <c r="O6499" t="s">
        <v>19698</v>
      </c>
    </row>
    <row r="6500" spans="1:20" x14ac:dyDescent="0.25">
      <c r="A6500" t="str">
        <f>"3045121"</f>
        <v>3045121</v>
      </c>
      <c r="B6500" t="s">
        <v>19701</v>
      </c>
      <c r="C6500" t="str">
        <f>"8300867"</f>
        <v>8300867</v>
      </c>
      <c r="D6500" t="s">
        <v>19698</v>
      </c>
      <c r="F6500" t="s">
        <v>19699</v>
      </c>
      <c r="I6500" t="s">
        <v>29</v>
      </c>
      <c r="J6500" t="s">
        <v>30</v>
      </c>
      <c r="K6500" t="str">
        <f>"27028"</f>
        <v>27028</v>
      </c>
      <c r="M6500" t="s">
        <v>17861</v>
      </c>
      <c r="N6500" t="str">
        <f>"4/18/2012 3:37:00 PM"</f>
        <v>4/18/2012 3:37:00 PM</v>
      </c>
      <c r="O6500" t="s">
        <v>19698</v>
      </c>
    </row>
    <row r="6501" spans="1:20" x14ac:dyDescent="0.25">
      <c r="A6501" t="str">
        <f>"3076496"</f>
        <v>3076496</v>
      </c>
      <c r="B6501" t="s">
        <v>19702</v>
      </c>
      <c r="C6501" t="str">
        <f>"8300867"</f>
        <v>8300867</v>
      </c>
      <c r="D6501" t="s">
        <v>19698</v>
      </c>
      <c r="F6501" t="s">
        <v>19699</v>
      </c>
      <c r="I6501" t="s">
        <v>29</v>
      </c>
      <c r="J6501" t="s">
        <v>30</v>
      </c>
      <c r="K6501" t="str">
        <f>"27028"</f>
        <v>27028</v>
      </c>
      <c r="M6501" t="s">
        <v>17861</v>
      </c>
      <c r="N6501" t="str">
        <f>"4/18/2012 3:37:00 PM"</f>
        <v>4/18/2012 3:37:00 PM</v>
      </c>
      <c r="O6501" t="s">
        <v>19698</v>
      </c>
    </row>
    <row r="6502" spans="1:20" x14ac:dyDescent="0.25">
      <c r="A6502" t="str">
        <f>"3076679"</f>
        <v>3076679</v>
      </c>
      <c r="B6502" t="s">
        <v>19703</v>
      </c>
      <c r="C6502" t="str">
        <f>"82517844"</f>
        <v>82517844</v>
      </c>
      <c r="D6502" t="s">
        <v>19704</v>
      </c>
      <c r="F6502" t="s">
        <v>19705</v>
      </c>
      <c r="I6502" t="s">
        <v>29</v>
      </c>
      <c r="J6502" t="s">
        <v>30</v>
      </c>
      <c r="K6502" t="s">
        <v>19706</v>
      </c>
      <c r="M6502" t="s">
        <v>18479</v>
      </c>
      <c r="N6502" t="str">
        <f>"4/19/2012 9:26:00 AM"</f>
        <v>4/19/2012 9:26:00 AM</v>
      </c>
      <c r="O6502" t="s">
        <v>19704</v>
      </c>
    </row>
    <row r="6503" spans="1:20" x14ac:dyDescent="0.25">
      <c r="A6503" t="str">
        <f>"3061104"</f>
        <v>3061104</v>
      </c>
      <c r="B6503" t="s">
        <v>19707</v>
      </c>
      <c r="C6503" t="str">
        <f>"51265000"</f>
        <v>51265000</v>
      </c>
      <c r="D6503" t="s">
        <v>19708</v>
      </c>
      <c r="E6503" t="s">
        <v>19709</v>
      </c>
      <c r="F6503" t="s">
        <v>19710</v>
      </c>
      <c r="I6503" t="s">
        <v>184</v>
      </c>
      <c r="J6503" t="s">
        <v>30</v>
      </c>
      <c r="K6503" t="s">
        <v>6285</v>
      </c>
      <c r="M6503" t="s">
        <v>18479</v>
      </c>
      <c r="N6503" t="str">
        <f>"4/19/2012 12:12:00 PM"</f>
        <v>4/19/2012 12:12:00 PM</v>
      </c>
      <c r="O6503" t="s">
        <v>19708</v>
      </c>
      <c r="T6503" t="s">
        <v>19709</v>
      </c>
    </row>
    <row r="6504" spans="1:20" x14ac:dyDescent="0.25">
      <c r="A6504" t="str">
        <f>"3044821"</f>
        <v>3044821</v>
      </c>
      <c r="B6504" t="s">
        <v>19711</v>
      </c>
      <c r="C6504" t="str">
        <f>"82532842"</f>
        <v>82532842</v>
      </c>
      <c r="D6504" t="s">
        <v>19712</v>
      </c>
      <c r="E6504" t="s">
        <v>19713</v>
      </c>
      <c r="F6504" t="s">
        <v>19714</v>
      </c>
      <c r="I6504" t="s">
        <v>184</v>
      </c>
      <c r="J6504" t="s">
        <v>30</v>
      </c>
      <c r="K6504" t="s">
        <v>185</v>
      </c>
      <c r="M6504" t="s">
        <v>18479</v>
      </c>
      <c r="N6504" t="str">
        <f>"4/19/2012 2:38:00 PM"</f>
        <v>4/19/2012 2:38:00 PM</v>
      </c>
      <c r="O6504" t="s">
        <v>19712</v>
      </c>
      <c r="T6504" t="s">
        <v>19713</v>
      </c>
    </row>
    <row r="6505" spans="1:20" x14ac:dyDescent="0.25">
      <c r="A6505" t="str">
        <f>"3048846"</f>
        <v>3048846</v>
      </c>
      <c r="B6505" t="s">
        <v>19715</v>
      </c>
      <c r="C6505" t="str">
        <f>"75181000"</f>
        <v>75181000</v>
      </c>
      <c r="D6505" t="s">
        <v>19716</v>
      </c>
      <c r="E6505" t="s">
        <v>19717</v>
      </c>
      <c r="F6505" t="s">
        <v>19718</v>
      </c>
      <c r="I6505" t="s">
        <v>29</v>
      </c>
      <c r="J6505" t="s">
        <v>30</v>
      </c>
      <c r="K6505" t="s">
        <v>19719</v>
      </c>
      <c r="M6505" t="s">
        <v>18479</v>
      </c>
      <c r="N6505" t="str">
        <f>"5/1/2012 8:46:00 AM"</f>
        <v>5/1/2012 8:46:00 AM</v>
      </c>
      <c r="O6505" t="s">
        <v>19716</v>
      </c>
      <c r="T6505" t="s">
        <v>19717</v>
      </c>
    </row>
    <row r="6506" spans="1:20" x14ac:dyDescent="0.25">
      <c r="A6506" t="str">
        <f>"3049483"</f>
        <v>3049483</v>
      </c>
      <c r="B6506" t="s">
        <v>19720</v>
      </c>
      <c r="C6506" t="str">
        <f>"75181000"</f>
        <v>75181000</v>
      </c>
      <c r="D6506" t="s">
        <v>19716</v>
      </c>
      <c r="E6506" t="s">
        <v>19717</v>
      </c>
      <c r="F6506" t="s">
        <v>19718</v>
      </c>
      <c r="I6506" t="s">
        <v>29</v>
      </c>
      <c r="J6506" t="s">
        <v>30</v>
      </c>
      <c r="K6506" t="s">
        <v>19719</v>
      </c>
      <c r="M6506" t="s">
        <v>18479</v>
      </c>
      <c r="N6506" t="str">
        <f>"5/1/2012 8:46:00 AM"</f>
        <v>5/1/2012 8:46:00 AM</v>
      </c>
      <c r="O6506" t="s">
        <v>19716</v>
      </c>
      <c r="T6506" t="s">
        <v>19717</v>
      </c>
    </row>
    <row r="6507" spans="1:20" x14ac:dyDescent="0.25">
      <c r="A6507" t="str">
        <f>"3051058"</f>
        <v>3051058</v>
      </c>
      <c r="B6507" t="s">
        <v>19721</v>
      </c>
      <c r="C6507" t="str">
        <f>"75181000"</f>
        <v>75181000</v>
      </c>
      <c r="D6507" t="s">
        <v>19716</v>
      </c>
      <c r="E6507" t="s">
        <v>19717</v>
      </c>
      <c r="F6507" t="s">
        <v>19718</v>
      </c>
      <c r="I6507" t="s">
        <v>29</v>
      </c>
      <c r="J6507" t="s">
        <v>30</v>
      </c>
      <c r="K6507" t="s">
        <v>19719</v>
      </c>
      <c r="M6507" t="s">
        <v>18479</v>
      </c>
      <c r="N6507" t="str">
        <f>"5/1/2012 8:46:00 AM"</f>
        <v>5/1/2012 8:46:00 AM</v>
      </c>
      <c r="O6507" t="s">
        <v>19716</v>
      </c>
      <c r="T6507" t="s">
        <v>19717</v>
      </c>
    </row>
    <row r="6508" spans="1:20" x14ac:dyDescent="0.25">
      <c r="A6508" t="str">
        <f>"3056890"</f>
        <v>3056890</v>
      </c>
      <c r="B6508" t="s">
        <v>19722</v>
      </c>
      <c r="C6508" t="str">
        <f>"75181000"</f>
        <v>75181000</v>
      </c>
      <c r="D6508" t="s">
        <v>19716</v>
      </c>
      <c r="E6508" t="s">
        <v>19717</v>
      </c>
      <c r="F6508" t="s">
        <v>19718</v>
      </c>
      <c r="I6508" t="s">
        <v>29</v>
      </c>
      <c r="J6508" t="s">
        <v>30</v>
      </c>
      <c r="K6508" t="s">
        <v>19719</v>
      </c>
      <c r="M6508" t="s">
        <v>18479</v>
      </c>
      <c r="N6508" t="str">
        <f>"5/1/2012 8:46:00 AM"</f>
        <v>5/1/2012 8:46:00 AM</v>
      </c>
      <c r="O6508" t="s">
        <v>19716</v>
      </c>
      <c r="T6508" t="s">
        <v>19717</v>
      </c>
    </row>
    <row r="6509" spans="1:20" x14ac:dyDescent="0.25">
      <c r="A6509" t="str">
        <f>"3060001"</f>
        <v>3060001</v>
      </c>
      <c r="B6509" t="s">
        <v>19723</v>
      </c>
      <c r="C6509" t="str">
        <f>"82521260"</f>
        <v>82521260</v>
      </c>
      <c r="D6509" t="s">
        <v>19724</v>
      </c>
      <c r="E6509" t="s">
        <v>19725</v>
      </c>
      <c r="F6509" t="s">
        <v>19726</v>
      </c>
      <c r="I6509" t="s">
        <v>184</v>
      </c>
      <c r="J6509" t="s">
        <v>30</v>
      </c>
      <c r="K6509" t="s">
        <v>185</v>
      </c>
      <c r="M6509" t="s">
        <v>18479</v>
      </c>
      <c r="N6509" t="str">
        <f>"4/19/2012 2:47:00 PM"</f>
        <v>4/19/2012 2:47:00 PM</v>
      </c>
      <c r="O6509" t="s">
        <v>19724</v>
      </c>
      <c r="T6509" t="s">
        <v>19725</v>
      </c>
    </row>
    <row r="6510" spans="1:20" x14ac:dyDescent="0.25">
      <c r="A6510" t="str">
        <f>"3060421"</f>
        <v>3060421</v>
      </c>
      <c r="B6510" t="s">
        <v>19727</v>
      </c>
      <c r="C6510" t="str">
        <f>"82532781"</f>
        <v>82532781</v>
      </c>
      <c r="D6510" t="s">
        <v>19728</v>
      </c>
      <c r="E6510" t="s">
        <v>19729</v>
      </c>
      <c r="F6510" t="s">
        <v>19730</v>
      </c>
      <c r="I6510" t="s">
        <v>2071</v>
      </c>
      <c r="J6510" t="s">
        <v>30</v>
      </c>
      <c r="K6510" t="s">
        <v>586</v>
      </c>
      <c r="M6510" t="s">
        <v>18479</v>
      </c>
      <c r="N6510" t="str">
        <f>"5/1/2012 12:17:00 PM"</f>
        <v>5/1/2012 12:17:00 PM</v>
      </c>
      <c r="O6510" t="s">
        <v>19728</v>
      </c>
      <c r="T6510" t="s">
        <v>19729</v>
      </c>
    </row>
    <row r="6511" spans="1:20" x14ac:dyDescent="0.25">
      <c r="A6511" t="str">
        <f>"3041661"</f>
        <v>3041661</v>
      </c>
      <c r="B6511" t="s">
        <v>19731</v>
      </c>
      <c r="C6511" t="str">
        <f>"51899250"</f>
        <v>51899250</v>
      </c>
      <c r="D6511" t="s">
        <v>19732</v>
      </c>
      <c r="E6511" t="s">
        <v>19733</v>
      </c>
      <c r="F6511" t="s">
        <v>19734</v>
      </c>
      <c r="I6511" t="s">
        <v>2071</v>
      </c>
      <c r="J6511" t="s">
        <v>30</v>
      </c>
      <c r="K6511" t="s">
        <v>3759</v>
      </c>
      <c r="M6511" t="s">
        <v>18479</v>
      </c>
      <c r="N6511" t="str">
        <f>"4/19/2012 4:31:00 PM"</f>
        <v>4/19/2012 4:31:00 PM</v>
      </c>
      <c r="O6511" t="s">
        <v>19732</v>
      </c>
      <c r="T6511" t="s">
        <v>19733</v>
      </c>
    </row>
    <row r="6512" spans="1:20" x14ac:dyDescent="0.25">
      <c r="A6512" t="str">
        <f>"3043147"</f>
        <v>3043147</v>
      </c>
      <c r="B6512" t="s">
        <v>19735</v>
      </c>
      <c r="C6512" t="str">
        <f>"59953000"</f>
        <v>59953000</v>
      </c>
      <c r="D6512" t="s">
        <v>19736</v>
      </c>
      <c r="E6512" t="s">
        <v>19737</v>
      </c>
      <c r="F6512" t="s">
        <v>19738</v>
      </c>
      <c r="I6512" t="s">
        <v>29</v>
      </c>
      <c r="J6512" t="s">
        <v>30</v>
      </c>
      <c r="K6512" t="s">
        <v>19739</v>
      </c>
      <c r="M6512" t="s">
        <v>18479</v>
      </c>
      <c r="N6512" t="str">
        <f>"5/1/2012 1:55:00 PM"</f>
        <v>5/1/2012 1:55:00 PM</v>
      </c>
      <c r="O6512" t="s">
        <v>19736</v>
      </c>
      <c r="T6512" t="s">
        <v>19737</v>
      </c>
    </row>
    <row r="6513" spans="1:20" x14ac:dyDescent="0.25">
      <c r="A6513" t="str">
        <f>"3043433"</f>
        <v>3043433</v>
      </c>
      <c r="B6513" t="s">
        <v>19740</v>
      </c>
      <c r="C6513" t="str">
        <f>"59953000"</f>
        <v>59953000</v>
      </c>
      <c r="D6513" t="s">
        <v>19736</v>
      </c>
      <c r="E6513" t="s">
        <v>19737</v>
      </c>
      <c r="F6513" t="s">
        <v>19738</v>
      </c>
      <c r="I6513" t="s">
        <v>29</v>
      </c>
      <c r="J6513" t="s">
        <v>30</v>
      </c>
      <c r="K6513" t="s">
        <v>19739</v>
      </c>
      <c r="M6513" t="s">
        <v>18479</v>
      </c>
      <c r="N6513" t="str">
        <f>"5/1/2012 1:55:00 PM"</f>
        <v>5/1/2012 1:55:00 PM</v>
      </c>
      <c r="O6513" t="s">
        <v>19736</v>
      </c>
      <c r="T6513" t="s">
        <v>19737</v>
      </c>
    </row>
    <row r="6514" spans="1:20" x14ac:dyDescent="0.25">
      <c r="A6514" t="str">
        <f>"3039790"</f>
        <v>3039790</v>
      </c>
      <c r="B6514" t="s">
        <v>19741</v>
      </c>
      <c r="C6514" t="str">
        <f>"60040000"</f>
        <v>60040000</v>
      </c>
      <c r="D6514" t="s">
        <v>19742</v>
      </c>
      <c r="E6514" t="s">
        <v>19743</v>
      </c>
      <c r="F6514" t="s">
        <v>19744</v>
      </c>
      <c r="I6514" t="s">
        <v>29</v>
      </c>
      <c r="J6514" t="s">
        <v>30</v>
      </c>
      <c r="K6514" t="s">
        <v>2862</v>
      </c>
      <c r="M6514" t="s">
        <v>18479</v>
      </c>
      <c r="N6514" t="str">
        <f>"5/1/2012 2:27:00 PM"</f>
        <v>5/1/2012 2:27:00 PM</v>
      </c>
      <c r="O6514" t="s">
        <v>19742</v>
      </c>
      <c r="T6514" t="s">
        <v>19743</v>
      </c>
    </row>
    <row r="6515" spans="1:20" x14ac:dyDescent="0.25">
      <c r="A6515" t="str">
        <f>"3037387"</f>
        <v>3037387</v>
      </c>
      <c r="B6515" t="s">
        <v>19745</v>
      </c>
      <c r="C6515" t="str">
        <f>"60107800"</f>
        <v>60107800</v>
      </c>
      <c r="D6515" t="s">
        <v>19746</v>
      </c>
      <c r="E6515" t="s">
        <v>19747</v>
      </c>
      <c r="F6515" t="s">
        <v>19748</v>
      </c>
      <c r="I6515" t="s">
        <v>184</v>
      </c>
      <c r="J6515" t="s">
        <v>30</v>
      </c>
      <c r="K6515" t="s">
        <v>19749</v>
      </c>
      <c r="M6515" t="s">
        <v>18479</v>
      </c>
      <c r="N6515" t="str">
        <f>"5/1/2012 4:11:00 PM"</f>
        <v>5/1/2012 4:11:00 PM</v>
      </c>
      <c r="O6515" t="s">
        <v>19746</v>
      </c>
      <c r="T6515" t="s">
        <v>19747</v>
      </c>
    </row>
    <row r="6516" spans="1:20" x14ac:dyDescent="0.25">
      <c r="A6516" t="str">
        <f>"3038642"</f>
        <v>3038642</v>
      </c>
      <c r="B6516" t="s">
        <v>19750</v>
      </c>
      <c r="C6516" t="str">
        <f>"3830000"</f>
        <v>3830000</v>
      </c>
      <c r="D6516" t="s">
        <v>19751</v>
      </c>
      <c r="E6516" t="s">
        <v>19752</v>
      </c>
      <c r="F6516" t="s">
        <v>19753</v>
      </c>
      <c r="I6516" t="s">
        <v>29</v>
      </c>
      <c r="J6516" t="s">
        <v>30</v>
      </c>
      <c r="K6516" t="s">
        <v>2564</v>
      </c>
      <c r="M6516" t="s">
        <v>18432</v>
      </c>
      <c r="N6516" t="str">
        <f>"5/2/2012 8:55:00 AM"</f>
        <v>5/2/2012 8:55:00 AM</v>
      </c>
      <c r="O6516" t="s">
        <v>19751</v>
      </c>
      <c r="T6516" t="s">
        <v>19752</v>
      </c>
    </row>
    <row r="6517" spans="1:20" x14ac:dyDescent="0.25">
      <c r="A6517" t="str">
        <f>"3048593"</f>
        <v>3048593</v>
      </c>
      <c r="B6517" t="s">
        <v>19754</v>
      </c>
      <c r="C6517" t="str">
        <f>"51902730"</f>
        <v>51902730</v>
      </c>
      <c r="D6517" t="s">
        <v>19755</v>
      </c>
      <c r="F6517" t="s">
        <v>10646</v>
      </c>
      <c r="I6517" t="s">
        <v>184</v>
      </c>
      <c r="J6517" t="s">
        <v>30</v>
      </c>
      <c r="K6517" t="s">
        <v>19756</v>
      </c>
      <c r="M6517" t="s">
        <v>18479</v>
      </c>
      <c r="N6517" t="str">
        <f>"4/20/2012 8:58:00 AM"</f>
        <v>4/20/2012 8:58:00 AM</v>
      </c>
      <c r="O6517" t="s">
        <v>19755</v>
      </c>
      <c r="T6517" t="s">
        <v>19755</v>
      </c>
    </row>
    <row r="6518" spans="1:20" x14ac:dyDescent="0.25">
      <c r="A6518" t="str">
        <f>"3055171"</f>
        <v>3055171</v>
      </c>
      <c r="B6518" t="s">
        <v>19757</v>
      </c>
      <c r="C6518" t="str">
        <f>"52756000"</f>
        <v>52756000</v>
      </c>
      <c r="D6518" t="s">
        <v>19758</v>
      </c>
      <c r="E6518" t="s">
        <v>19759</v>
      </c>
      <c r="F6518" t="s">
        <v>19760</v>
      </c>
      <c r="I6518" t="s">
        <v>29</v>
      </c>
      <c r="J6518" t="s">
        <v>30</v>
      </c>
      <c r="K6518" t="s">
        <v>16765</v>
      </c>
      <c r="M6518" t="s">
        <v>18479</v>
      </c>
      <c r="N6518" t="str">
        <f>"4/20/2012 1:45:00 PM"</f>
        <v>4/20/2012 1:45:00 PM</v>
      </c>
      <c r="O6518" t="s">
        <v>19758</v>
      </c>
      <c r="T6518" t="s">
        <v>19759</v>
      </c>
    </row>
    <row r="6519" spans="1:20" x14ac:dyDescent="0.25">
      <c r="A6519" t="str">
        <f>"3037573"</f>
        <v>3037573</v>
      </c>
      <c r="B6519" t="s">
        <v>19761</v>
      </c>
      <c r="C6519" t="str">
        <f>"53564000"</f>
        <v>53564000</v>
      </c>
      <c r="D6519" t="s">
        <v>19593</v>
      </c>
      <c r="E6519" t="s">
        <v>19594</v>
      </c>
      <c r="F6519" t="s">
        <v>19595</v>
      </c>
      <c r="I6519" t="s">
        <v>29</v>
      </c>
      <c r="J6519" t="s">
        <v>30</v>
      </c>
      <c r="K6519" t="s">
        <v>31</v>
      </c>
      <c r="M6519" t="s">
        <v>18479</v>
      </c>
      <c r="N6519" t="str">
        <f>"4/23/2012 8:59:00 AM"</f>
        <v>4/23/2012 8:59:00 AM</v>
      </c>
      <c r="O6519" t="s">
        <v>19593</v>
      </c>
      <c r="T6519" t="s">
        <v>19594</v>
      </c>
    </row>
    <row r="6520" spans="1:20" x14ac:dyDescent="0.25">
      <c r="A6520" t="str">
        <f>"3058011"</f>
        <v>3058011</v>
      </c>
      <c r="B6520" t="s">
        <v>19762</v>
      </c>
      <c r="C6520" t="str">
        <f>"8300421"</f>
        <v>8300421</v>
      </c>
      <c r="D6520" t="s">
        <v>19763</v>
      </c>
      <c r="E6520" t="s">
        <v>19764</v>
      </c>
      <c r="F6520" t="s">
        <v>19765</v>
      </c>
      <c r="I6520" t="s">
        <v>29</v>
      </c>
      <c r="J6520" t="s">
        <v>30</v>
      </c>
      <c r="K6520" t="s">
        <v>31</v>
      </c>
      <c r="M6520" t="s">
        <v>18479</v>
      </c>
      <c r="N6520" t="str">
        <f>"4/23/2012 10:55:00 AM"</f>
        <v>4/23/2012 10:55:00 AM</v>
      </c>
      <c r="O6520" t="s">
        <v>19763</v>
      </c>
      <c r="T6520" t="s">
        <v>19764</v>
      </c>
    </row>
    <row r="6521" spans="1:20" x14ac:dyDescent="0.25">
      <c r="A6521" t="str">
        <f>"3072966"</f>
        <v>3072966</v>
      </c>
      <c r="B6521" t="s">
        <v>19766</v>
      </c>
      <c r="C6521" t="str">
        <f>"61252000"</f>
        <v>61252000</v>
      </c>
      <c r="D6521" t="s">
        <v>19767</v>
      </c>
      <c r="E6521" t="s">
        <v>19768</v>
      </c>
      <c r="F6521" t="s">
        <v>19769</v>
      </c>
      <c r="I6521" t="s">
        <v>29</v>
      </c>
      <c r="J6521" t="s">
        <v>30</v>
      </c>
      <c r="K6521" t="s">
        <v>19770</v>
      </c>
      <c r="M6521" t="s">
        <v>18479</v>
      </c>
      <c r="N6521" t="str">
        <f>"5/3/2012 9:35:00 AM"</f>
        <v>5/3/2012 9:35:00 AM</v>
      </c>
      <c r="O6521" t="s">
        <v>19767</v>
      </c>
      <c r="T6521" t="s">
        <v>19768</v>
      </c>
    </row>
    <row r="6522" spans="1:20" x14ac:dyDescent="0.25">
      <c r="A6522" t="str">
        <f>"3077164"</f>
        <v>3077164</v>
      </c>
      <c r="B6522" t="s">
        <v>19771</v>
      </c>
      <c r="C6522" t="str">
        <f>"61252000"</f>
        <v>61252000</v>
      </c>
      <c r="D6522" t="s">
        <v>19767</v>
      </c>
      <c r="E6522" t="s">
        <v>19768</v>
      </c>
      <c r="F6522" t="s">
        <v>19769</v>
      </c>
      <c r="I6522" t="s">
        <v>29</v>
      </c>
      <c r="J6522" t="s">
        <v>30</v>
      </c>
      <c r="K6522" t="s">
        <v>19770</v>
      </c>
      <c r="M6522" t="s">
        <v>18479</v>
      </c>
      <c r="N6522" t="str">
        <f>"5/3/2012 9:35:00 AM"</f>
        <v>5/3/2012 9:35:00 AM</v>
      </c>
      <c r="O6522" t="s">
        <v>19767</v>
      </c>
      <c r="T6522" t="s">
        <v>19768</v>
      </c>
    </row>
    <row r="6523" spans="1:20" x14ac:dyDescent="0.25">
      <c r="A6523" t="str">
        <f>"3064005"</f>
        <v>3064005</v>
      </c>
      <c r="B6523" t="s">
        <v>19772</v>
      </c>
      <c r="C6523" t="str">
        <f>"61252000"</f>
        <v>61252000</v>
      </c>
      <c r="D6523" t="s">
        <v>19767</v>
      </c>
      <c r="E6523" t="s">
        <v>19768</v>
      </c>
      <c r="F6523" t="s">
        <v>19769</v>
      </c>
      <c r="I6523" t="s">
        <v>29</v>
      </c>
      <c r="J6523" t="s">
        <v>30</v>
      </c>
      <c r="K6523" t="s">
        <v>19770</v>
      </c>
      <c r="M6523" t="s">
        <v>18479</v>
      </c>
      <c r="N6523" t="str">
        <f>"5/3/2012 9:35:00 AM"</f>
        <v>5/3/2012 9:35:00 AM</v>
      </c>
      <c r="O6523" t="s">
        <v>19767</v>
      </c>
      <c r="T6523" t="s">
        <v>19768</v>
      </c>
    </row>
    <row r="6524" spans="1:20" x14ac:dyDescent="0.25">
      <c r="A6524" t="str">
        <f>"3056454"</f>
        <v>3056454</v>
      </c>
      <c r="B6524" t="s">
        <v>19773</v>
      </c>
      <c r="C6524" t="str">
        <f>"61647750"</f>
        <v>61647750</v>
      </c>
      <c r="D6524" t="s">
        <v>19774</v>
      </c>
      <c r="E6524" t="s">
        <v>19775</v>
      </c>
      <c r="F6524" t="s">
        <v>19776</v>
      </c>
      <c r="I6524" t="s">
        <v>29</v>
      </c>
      <c r="J6524" t="s">
        <v>30</v>
      </c>
      <c r="K6524" t="s">
        <v>19777</v>
      </c>
      <c r="M6524" t="s">
        <v>18479</v>
      </c>
      <c r="N6524" t="str">
        <f>"5/3/2012 9:42:00 AM"</f>
        <v>5/3/2012 9:42:00 AM</v>
      </c>
      <c r="O6524" t="s">
        <v>19774</v>
      </c>
      <c r="T6524" t="s">
        <v>19775</v>
      </c>
    </row>
    <row r="6525" spans="1:20" x14ac:dyDescent="0.25">
      <c r="A6525" t="str">
        <f>"3040212"</f>
        <v>3040212</v>
      </c>
      <c r="B6525" t="s">
        <v>19778</v>
      </c>
      <c r="C6525" t="str">
        <f>"54296750"</f>
        <v>54296750</v>
      </c>
      <c r="D6525" t="s">
        <v>19605</v>
      </c>
      <c r="E6525" t="s">
        <v>19606</v>
      </c>
      <c r="F6525" t="s">
        <v>19607</v>
      </c>
      <c r="I6525" t="s">
        <v>29</v>
      </c>
      <c r="J6525" t="s">
        <v>30</v>
      </c>
      <c r="K6525" t="s">
        <v>19608</v>
      </c>
      <c r="M6525" t="s">
        <v>18479</v>
      </c>
      <c r="N6525" t="str">
        <f>"4/23/2012 12:15:00 PM"</f>
        <v>4/23/2012 12:15:00 PM</v>
      </c>
      <c r="O6525" t="s">
        <v>19605</v>
      </c>
      <c r="T6525" t="s">
        <v>19606</v>
      </c>
    </row>
    <row r="6526" spans="1:20" x14ac:dyDescent="0.25">
      <c r="A6526" t="str">
        <f>"3050408"</f>
        <v>3050408</v>
      </c>
      <c r="B6526" t="s">
        <v>19779</v>
      </c>
      <c r="C6526" t="str">
        <f>"54475230"</f>
        <v>54475230</v>
      </c>
      <c r="D6526" t="s">
        <v>19780</v>
      </c>
      <c r="F6526" t="s">
        <v>19781</v>
      </c>
      <c r="I6526" t="s">
        <v>184</v>
      </c>
      <c r="J6526" t="s">
        <v>30</v>
      </c>
      <c r="K6526" t="s">
        <v>12712</v>
      </c>
      <c r="M6526" t="s">
        <v>18479</v>
      </c>
      <c r="N6526" t="str">
        <f>"4/23/2012 1:46:00 PM"</f>
        <v>4/23/2012 1:46:00 PM</v>
      </c>
      <c r="O6526" t="s">
        <v>19780</v>
      </c>
      <c r="T6526" t="s">
        <v>19780</v>
      </c>
    </row>
    <row r="6527" spans="1:20" x14ac:dyDescent="0.25">
      <c r="A6527" t="str">
        <f>"3051347"</f>
        <v>3051347</v>
      </c>
      <c r="B6527" t="s">
        <v>19782</v>
      </c>
      <c r="C6527" t="str">
        <f>"82516571"</f>
        <v>82516571</v>
      </c>
      <c r="D6527" t="s">
        <v>19783</v>
      </c>
      <c r="E6527" t="s">
        <v>19784</v>
      </c>
      <c r="F6527" t="s">
        <v>19785</v>
      </c>
      <c r="I6527" t="s">
        <v>29</v>
      </c>
      <c r="J6527" t="s">
        <v>30</v>
      </c>
      <c r="K6527" t="s">
        <v>14234</v>
      </c>
      <c r="M6527" t="s">
        <v>18479</v>
      </c>
      <c r="N6527" t="str">
        <f>"4/23/2012 1:51:00 PM"</f>
        <v>4/23/2012 1:51:00 PM</v>
      </c>
      <c r="O6527" t="s">
        <v>19783</v>
      </c>
      <c r="T6527" t="s">
        <v>19784</v>
      </c>
    </row>
    <row r="6528" spans="1:20" x14ac:dyDescent="0.25">
      <c r="A6528" t="str">
        <f>"3047363"</f>
        <v>3047363</v>
      </c>
      <c r="B6528" t="s">
        <v>19786</v>
      </c>
      <c r="C6528" t="str">
        <f>"8300884"</f>
        <v>8300884</v>
      </c>
      <c r="D6528" t="s">
        <v>19787</v>
      </c>
      <c r="F6528" t="s">
        <v>19788</v>
      </c>
      <c r="I6528" t="s">
        <v>184</v>
      </c>
      <c r="J6528" t="s">
        <v>30</v>
      </c>
      <c r="K6528" t="str">
        <f>"27006"</f>
        <v>27006</v>
      </c>
      <c r="M6528" t="s">
        <v>17861</v>
      </c>
      <c r="N6528" t="str">
        <f>"4/23/2012 3:55:00 PM"</f>
        <v>4/23/2012 3:55:00 PM</v>
      </c>
      <c r="O6528" t="s">
        <v>19787</v>
      </c>
    </row>
    <row r="6529" spans="1:20" x14ac:dyDescent="0.25">
      <c r="A6529" t="str">
        <f>"3074727"</f>
        <v>3074727</v>
      </c>
      <c r="B6529" t="s">
        <v>19789</v>
      </c>
      <c r="C6529" t="str">
        <f>"61996000"</f>
        <v>61996000</v>
      </c>
      <c r="D6529" t="s">
        <v>19790</v>
      </c>
      <c r="F6529" t="s">
        <v>19791</v>
      </c>
      <c r="I6529" t="s">
        <v>29</v>
      </c>
      <c r="J6529" t="s">
        <v>30</v>
      </c>
      <c r="K6529" t="s">
        <v>14730</v>
      </c>
      <c r="M6529" t="s">
        <v>18479</v>
      </c>
      <c r="N6529" t="str">
        <f>"5/4/2012 9:13:00 AM"</f>
        <v>5/4/2012 9:13:00 AM</v>
      </c>
      <c r="O6529" t="s">
        <v>19790</v>
      </c>
      <c r="T6529" t="s">
        <v>19790</v>
      </c>
    </row>
    <row r="6530" spans="1:20" x14ac:dyDescent="0.25">
      <c r="A6530" t="str">
        <f>"3037636"</f>
        <v>3037636</v>
      </c>
      <c r="B6530" t="s">
        <v>19792</v>
      </c>
      <c r="C6530" t="str">
        <f>"82533056"</f>
        <v>82533056</v>
      </c>
      <c r="D6530" t="s">
        <v>19793</v>
      </c>
      <c r="E6530" t="s">
        <v>19794</v>
      </c>
      <c r="F6530" t="s">
        <v>19795</v>
      </c>
      <c r="I6530" t="s">
        <v>29</v>
      </c>
      <c r="J6530" t="s">
        <v>30</v>
      </c>
      <c r="K6530" t="str">
        <f>"27028"</f>
        <v>27028</v>
      </c>
      <c r="M6530" t="s">
        <v>18479</v>
      </c>
      <c r="N6530" t="str">
        <f>"4/24/2012 10:42:00 AM"</f>
        <v>4/24/2012 10:42:00 AM</v>
      </c>
      <c r="O6530" t="s">
        <v>19793</v>
      </c>
      <c r="T6530" t="s">
        <v>19794</v>
      </c>
    </row>
    <row r="6531" spans="1:20" x14ac:dyDescent="0.25">
      <c r="A6531" t="str">
        <f>"3061493"</f>
        <v>3061493</v>
      </c>
      <c r="B6531" t="s">
        <v>19796</v>
      </c>
      <c r="C6531" t="str">
        <f>"50108000"</f>
        <v>50108000</v>
      </c>
      <c r="D6531" t="s">
        <v>19797</v>
      </c>
      <c r="E6531" t="s">
        <v>19798</v>
      </c>
      <c r="F6531" t="s">
        <v>19799</v>
      </c>
      <c r="I6531" t="s">
        <v>184</v>
      </c>
      <c r="J6531" t="s">
        <v>30</v>
      </c>
      <c r="K6531" t="s">
        <v>19800</v>
      </c>
      <c r="M6531" t="s">
        <v>18479</v>
      </c>
      <c r="N6531" t="str">
        <f>"4/17/2012 12:43:00 PM"</f>
        <v>4/17/2012 12:43:00 PM</v>
      </c>
      <c r="O6531" t="s">
        <v>19797</v>
      </c>
      <c r="T6531" t="s">
        <v>19798</v>
      </c>
    </row>
    <row r="6532" spans="1:20" x14ac:dyDescent="0.25">
      <c r="A6532" t="str">
        <f>"3044105"</f>
        <v>3044105</v>
      </c>
      <c r="B6532" t="s">
        <v>19801</v>
      </c>
      <c r="C6532" t="str">
        <f>"56440500"</f>
        <v>56440500</v>
      </c>
      <c r="D6532" t="s">
        <v>19802</v>
      </c>
      <c r="E6532" t="s">
        <v>19803</v>
      </c>
      <c r="F6532" t="s">
        <v>19804</v>
      </c>
      <c r="I6532" t="s">
        <v>184</v>
      </c>
      <c r="J6532" t="s">
        <v>30</v>
      </c>
      <c r="K6532" t="s">
        <v>19805</v>
      </c>
      <c r="M6532" t="s">
        <v>18479</v>
      </c>
      <c r="N6532" t="str">
        <f>"4/24/2012 4:16:00 PM"</f>
        <v>4/24/2012 4:16:00 PM</v>
      </c>
      <c r="O6532" t="s">
        <v>19802</v>
      </c>
      <c r="T6532" t="s">
        <v>19803</v>
      </c>
    </row>
    <row r="6533" spans="1:20" x14ac:dyDescent="0.25">
      <c r="A6533" t="str">
        <f>"3055460"</f>
        <v>3055460</v>
      </c>
      <c r="B6533" t="s">
        <v>19806</v>
      </c>
      <c r="C6533" t="str">
        <f>"56524000"</f>
        <v>56524000</v>
      </c>
      <c r="D6533" t="s">
        <v>19807</v>
      </c>
      <c r="E6533" t="s">
        <v>19808</v>
      </c>
      <c r="F6533" t="s">
        <v>19809</v>
      </c>
      <c r="I6533" t="s">
        <v>29</v>
      </c>
      <c r="J6533" t="s">
        <v>30</v>
      </c>
      <c r="K6533" t="s">
        <v>19483</v>
      </c>
      <c r="M6533" t="s">
        <v>18479</v>
      </c>
      <c r="N6533" t="str">
        <f>"4/25/2012 9:59:00 AM"</f>
        <v>4/25/2012 9:59:00 AM</v>
      </c>
      <c r="O6533" t="s">
        <v>19807</v>
      </c>
      <c r="T6533" t="s">
        <v>19808</v>
      </c>
    </row>
    <row r="6534" spans="1:20" x14ac:dyDescent="0.25">
      <c r="A6534" t="str">
        <f>"3038499"</f>
        <v>3038499</v>
      </c>
      <c r="B6534" t="s">
        <v>19810</v>
      </c>
      <c r="C6534" t="str">
        <f>"82529320"</f>
        <v>82529320</v>
      </c>
      <c r="D6534" t="s">
        <v>19811</v>
      </c>
      <c r="E6534" t="s">
        <v>19812</v>
      </c>
      <c r="F6534" t="s">
        <v>19813</v>
      </c>
      <c r="I6534" t="s">
        <v>29</v>
      </c>
      <c r="J6534" t="s">
        <v>30</v>
      </c>
      <c r="K6534" t="s">
        <v>31</v>
      </c>
      <c r="M6534" t="s">
        <v>18432</v>
      </c>
      <c r="N6534" t="str">
        <f>"4/25/2012 1:08:00 PM"</f>
        <v>4/25/2012 1:08:00 PM</v>
      </c>
      <c r="O6534" t="s">
        <v>19811</v>
      </c>
      <c r="T6534" t="s">
        <v>19812</v>
      </c>
    </row>
    <row r="6535" spans="1:20" x14ac:dyDescent="0.25">
      <c r="A6535" t="str">
        <f>"3044177"</f>
        <v>3044177</v>
      </c>
      <c r="B6535" t="s">
        <v>19814</v>
      </c>
      <c r="C6535" t="str">
        <f>"82519055"</f>
        <v>82519055</v>
      </c>
      <c r="D6535" t="s">
        <v>19684</v>
      </c>
      <c r="E6535" t="s">
        <v>19685</v>
      </c>
      <c r="F6535" t="s">
        <v>19686</v>
      </c>
      <c r="I6535" t="s">
        <v>184</v>
      </c>
      <c r="J6535" t="s">
        <v>30</v>
      </c>
      <c r="K6535" t="s">
        <v>19687</v>
      </c>
      <c r="M6535" t="s">
        <v>18479</v>
      </c>
      <c r="N6535" t="str">
        <f>"4/25/2012 1:25:00 PM"</f>
        <v>4/25/2012 1:25:00 PM</v>
      </c>
      <c r="O6535" t="s">
        <v>19684</v>
      </c>
      <c r="T6535" t="s">
        <v>19685</v>
      </c>
    </row>
    <row r="6536" spans="1:20" x14ac:dyDescent="0.25">
      <c r="A6536" t="str">
        <f>"3053509"</f>
        <v>3053509</v>
      </c>
      <c r="B6536" t="s">
        <v>19815</v>
      </c>
      <c r="C6536" t="str">
        <f>"50130000"</f>
        <v>50130000</v>
      </c>
      <c r="D6536" t="s">
        <v>19493</v>
      </c>
      <c r="E6536" t="s">
        <v>19494</v>
      </c>
      <c r="F6536" t="s">
        <v>19495</v>
      </c>
      <c r="I6536" t="s">
        <v>29</v>
      </c>
      <c r="J6536" t="s">
        <v>30</v>
      </c>
      <c r="K6536" t="s">
        <v>14976</v>
      </c>
      <c r="M6536" t="s">
        <v>18479</v>
      </c>
      <c r="N6536" t="str">
        <f>"4/17/2012 1:06:00 PM"</f>
        <v>4/17/2012 1:06:00 PM</v>
      </c>
      <c r="O6536" t="s">
        <v>19493</v>
      </c>
      <c r="T6536" t="s">
        <v>19494</v>
      </c>
    </row>
    <row r="6537" spans="1:20" x14ac:dyDescent="0.25">
      <c r="A6537" t="str">
        <f>"3061344"</f>
        <v>3061344</v>
      </c>
      <c r="B6537" t="s">
        <v>19816</v>
      </c>
      <c r="C6537" t="str">
        <f>"58423500"</f>
        <v>58423500</v>
      </c>
      <c r="D6537" t="s">
        <v>19817</v>
      </c>
      <c r="E6537" t="s">
        <v>19818</v>
      </c>
      <c r="F6537" t="s">
        <v>19819</v>
      </c>
      <c r="I6537" t="s">
        <v>184</v>
      </c>
      <c r="J6537" t="s">
        <v>30</v>
      </c>
      <c r="K6537" t="s">
        <v>185</v>
      </c>
      <c r="M6537" t="s">
        <v>18479</v>
      </c>
      <c r="N6537" t="str">
        <f>"4/26/2012 1:23:00 PM"</f>
        <v>4/26/2012 1:23:00 PM</v>
      </c>
      <c r="O6537" t="s">
        <v>19817</v>
      </c>
      <c r="T6537" t="s">
        <v>19818</v>
      </c>
    </row>
    <row r="6538" spans="1:20" x14ac:dyDescent="0.25">
      <c r="A6538" t="str">
        <f>"3058064"</f>
        <v>3058064</v>
      </c>
      <c r="B6538" t="s">
        <v>19820</v>
      </c>
      <c r="C6538" t="str">
        <f>"82519467"</f>
        <v>82519467</v>
      </c>
      <c r="D6538" t="s">
        <v>19821</v>
      </c>
      <c r="E6538" t="s">
        <v>19822</v>
      </c>
      <c r="F6538" t="s">
        <v>19823</v>
      </c>
      <c r="I6538" t="s">
        <v>184</v>
      </c>
      <c r="J6538" t="s">
        <v>30</v>
      </c>
      <c r="K6538" t="s">
        <v>185</v>
      </c>
      <c r="M6538" t="s">
        <v>18479</v>
      </c>
      <c r="N6538" t="str">
        <f>"4/26/2012 1:43:00 PM"</f>
        <v>4/26/2012 1:43:00 PM</v>
      </c>
      <c r="O6538" t="s">
        <v>19821</v>
      </c>
      <c r="T6538" t="s">
        <v>19822</v>
      </c>
    </row>
    <row r="6539" spans="1:20" x14ac:dyDescent="0.25">
      <c r="A6539" t="str">
        <f>"3054939"</f>
        <v>3054939</v>
      </c>
      <c r="B6539" t="s">
        <v>19824</v>
      </c>
      <c r="C6539" t="str">
        <f>"82522886"</f>
        <v>82522886</v>
      </c>
      <c r="D6539" t="s">
        <v>19825</v>
      </c>
      <c r="F6539" t="s">
        <v>19826</v>
      </c>
      <c r="I6539" t="s">
        <v>29</v>
      </c>
      <c r="J6539" t="s">
        <v>30</v>
      </c>
      <c r="K6539" t="s">
        <v>31</v>
      </c>
      <c r="M6539" t="s">
        <v>18479</v>
      </c>
      <c r="N6539" t="str">
        <f>"5/9/2012 8:58:00 AM"</f>
        <v>5/9/2012 8:58:00 AM</v>
      </c>
      <c r="O6539" t="s">
        <v>19825</v>
      </c>
    </row>
    <row r="6540" spans="1:20" x14ac:dyDescent="0.25">
      <c r="A6540" t="str">
        <f>"3053815"</f>
        <v>3053815</v>
      </c>
      <c r="B6540" t="s">
        <v>19827</v>
      </c>
      <c r="C6540" t="str">
        <f>"63932000"</f>
        <v>63932000</v>
      </c>
      <c r="D6540" t="s">
        <v>19828</v>
      </c>
      <c r="F6540" t="s">
        <v>19829</v>
      </c>
      <c r="I6540" t="s">
        <v>184</v>
      </c>
      <c r="J6540" t="s">
        <v>30</v>
      </c>
      <c r="K6540" t="s">
        <v>19830</v>
      </c>
      <c r="M6540" t="s">
        <v>18479</v>
      </c>
      <c r="N6540" t="str">
        <f>"5/9/2012 9:01:00 AM"</f>
        <v>5/9/2012 9:01:00 AM</v>
      </c>
      <c r="O6540" t="s">
        <v>19828</v>
      </c>
      <c r="T6540" t="s">
        <v>19828</v>
      </c>
    </row>
    <row r="6541" spans="1:20" x14ac:dyDescent="0.25">
      <c r="A6541" t="str">
        <f>"3050042"</f>
        <v>3050042</v>
      </c>
      <c r="B6541" t="s">
        <v>19831</v>
      </c>
      <c r="C6541" t="str">
        <f>"64060000"</f>
        <v>64060000</v>
      </c>
      <c r="D6541" t="s">
        <v>19832</v>
      </c>
      <c r="E6541" t="s">
        <v>19833</v>
      </c>
      <c r="F6541" t="s">
        <v>19834</v>
      </c>
      <c r="I6541" t="s">
        <v>29</v>
      </c>
      <c r="K6541" t="s">
        <v>19835</v>
      </c>
      <c r="M6541" t="s">
        <v>18479</v>
      </c>
      <c r="N6541" t="str">
        <f>"5/9/2012 9:37:00 AM"</f>
        <v>5/9/2012 9:37:00 AM</v>
      </c>
      <c r="O6541" t="s">
        <v>19832</v>
      </c>
      <c r="T6541" t="s">
        <v>19833</v>
      </c>
    </row>
    <row r="6542" spans="1:20" x14ac:dyDescent="0.25">
      <c r="A6542" t="str">
        <f>"3050919"</f>
        <v>3050919</v>
      </c>
      <c r="B6542" t="s">
        <v>19836</v>
      </c>
      <c r="C6542" t="str">
        <f>"58469000"</f>
        <v>58469000</v>
      </c>
      <c r="D6542" t="s">
        <v>19837</v>
      </c>
      <c r="E6542" t="s">
        <v>19838</v>
      </c>
      <c r="F6542" t="s">
        <v>19839</v>
      </c>
      <c r="I6542" t="s">
        <v>184</v>
      </c>
      <c r="J6542" t="s">
        <v>30</v>
      </c>
      <c r="K6542" t="s">
        <v>185</v>
      </c>
      <c r="M6542" t="s">
        <v>18479</v>
      </c>
      <c r="N6542" t="str">
        <f>"4/26/2012 2:02:00 PM"</f>
        <v>4/26/2012 2:02:00 PM</v>
      </c>
      <c r="O6542" t="s">
        <v>19837</v>
      </c>
      <c r="T6542" t="s">
        <v>19838</v>
      </c>
    </row>
    <row r="6543" spans="1:20" x14ac:dyDescent="0.25">
      <c r="A6543" t="str">
        <f>"3056588"</f>
        <v>3056588</v>
      </c>
      <c r="B6543" t="s">
        <v>19840</v>
      </c>
      <c r="C6543" t="str">
        <f>"64484000"</f>
        <v>64484000</v>
      </c>
      <c r="D6543" t="s">
        <v>19841</v>
      </c>
      <c r="E6543" t="s">
        <v>19842</v>
      </c>
      <c r="F6543" t="s">
        <v>19843</v>
      </c>
      <c r="I6543" t="s">
        <v>29</v>
      </c>
      <c r="J6543" t="s">
        <v>30</v>
      </c>
      <c r="K6543" t="s">
        <v>19844</v>
      </c>
      <c r="M6543" t="s">
        <v>18479</v>
      </c>
      <c r="N6543" t="str">
        <f>"5/9/2012 10:57:00 AM"</f>
        <v>5/9/2012 10:57:00 AM</v>
      </c>
      <c r="O6543" t="s">
        <v>19841</v>
      </c>
      <c r="T6543" t="s">
        <v>19842</v>
      </c>
    </row>
    <row r="6544" spans="1:20" x14ac:dyDescent="0.25">
      <c r="A6544" t="str">
        <f>"3058065"</f>
        <v>3058065</v>
      </c>
      <c r="B6544" t="s">
        <v>19845</v>
      </c>
      <c r="C6544" t="str">
        <f>"8300938"</f>
        <v>8300938</v>
      </c>
      <c r="D6544" t="s">
        <v>19846</v>
      </c>
      <c r="E6544" t="s">
        <v>19847</v>
      </c>
      <c r="F6544" t="s">
        <v>19848</v>
      </c>
      <c r="I6544" t="s">
        <v>184</v>
      </c>
      <c r="J6544" t="s">
        <v>30</v>
      </c>
      <c r="K6544" t="str">
        <f>"27006"</f>
        <v>27006</v>
      </c>
      <c r="M6544" t="s">
        <v>17861</v>
      </c>
      <c r="N6544" t="str">
        <f>"5/9/2012 11:02:00 AM"</f>
        <v>5/9/2012 11:02:00 AM</v>
      </c>
      <c r="O6544" t="s">
        <v>19846</v>
      </c>
      <c r="T6544" t="s">
        <v>19847</v>
      </c>
    </row>
    <row r="6545" spans="1:20" x14ac:dyDescent="0.25">
      <c r="A6545" t="str">
        <f>"3059364"</f>
        <v>3059364</v>
      </c>
      <c r="B6545" t="s">
        <v>19849</v>
      </c>
      <c r="C6545" t="str">
        <f>"8300939"</f>
        <v>8300939</v>
      </c>
      <c r="D6545" t="s">
        <v>19850</v>
      </c>
      <c r="F6545" t="s">
        <v>19851</v>
      </c>
      <c r="I6545" t="s">
        <v>29</v>
      </c>
      <c r="J6545" t="s">
        <v>30</v>
      </c>
      <c r="K6545" t="str">
        <f>"27028"</f>
        <v>27028</v>
      </c>
      <c r="M6545" t="s">
        <v>17861</v>
      </c>
      <c r="N6545" t="str">
        <f>"5/9/2012 11:13:00 AM"</f>
        <v>5/9/2012 11:13:00 AM</v>
      </c>
      <c r="O6545" t="s">
        <v>19850</v>
      </c>
    </row>
    <row r="6546" spans="1:20" x14ac:dyDescent="0.25">
      <c r="A6546" t="str">
        <f>"3048120"</f>
        <v>3048120</v>
      </c>
      <c r="B6546" t="s">
        <v>19852</v>
      </c>
      <c r="C6546" t="str">
        <f>"58744500"</f>
        <v>58744500</v>
      </c>
      <c r="D6546" t="s">
        <v>19853</v>
      </c>
      <c r="E6546" t="s">
        <v>19854</v>
      </c>
      <c r="F6546" t="s">
        <v>19855</v>
      </c>
      <c r="I6546" t="s">
        <v>184</v>
      </c>
      <c r="J6546" t="s">
        <v>30</v>
      </c>
      <c r="K6546" t="s">
        <v>185</v>
      </c>
      <c r="M6546" t="s">
        <v>18479</v>
      </c>
      <c r="N6546" t="str">
        <f>"4/26/2012 3:29:00 PM"</f>
        <v>4/26/2012 3:29:00 PM</v>
      </c>
      <c r="O6546" t="s">
        <v>19853</v>
      </c>
      <c r="T6546" t="s">
        <v>19854</v>
      </c>
    </row>
    <row r="6547" spans="1:20" x14ac:dyDescent="0.25">
      <c r="A6547" t="str">
        <f>"3042879"</f>
        <v>3042879</v>
      </c>
      <c r="B6547" t="s">
        <v>19856</v>
      </c>
      <c r="C6547" t="str">
        <f>"82525578"</f>
        <v>82525578</v>
      </c>
      <c r="D6547" t="s">
        <v>19857</v>
      </c>
      <c r="E6547" t="s">
        <v>19858</v>
      </c>
      <c r="F6547" t="s">
        <v>19859</v>
      </c>
      <c r="I6547" t="s">
        <v>29</v>
      </c>
      <c r="J6547" t="s">
        <v>30</v>
      </c>
      <c r="K6547" t="s">
        <v>31</v>
      </c>
      <c r="M6547" t="s">
        <v>18432</v>
      </c>
      <c r="N6547" t="str">
        <f>"4/27/2012 9:23:00 AM"</f>
        <v>4/27/2012 9:23:00 AM</v>
      </c>
      <c r="O6547" t="s">
        <v>19857</v>
      </c>
      <c r="T6547" t="s">
        <v>19858</v>
      </c>
    </row>
    <row r="6548" spans="1:20" x14ac:dyDescent="0.25">
      <c r="A6548" t="str">
        <f>"3044684"</f>
        <v>3044684</v>
      </c>
      <c r="B6548" t="s">
        <v>19860</v>
      </c>
      <c r="C6548" t="str">
        <f>"82523891"</f>
        <v>82523891</v>
      </c>
      <c r="D6548" t="s">
        <v>19861</v>
      </c>
      <c r="E6548" t="s">
        <v>19862</v>
      </c>
      <c r="F6548" t="s">
        <v>19863</v>
      </c>
      <c r="I6548" t="s">
        <v>184</v>
      </c>
      <c r="J6548" t="s">
        <v>30</v>
      </c>
      <c r="K6548" t="s">
        <v>185</v>
      </c>
      <c r="M6548" t="s">
        <v>18432</v>
      </c>
      <c r="N6548" t="str">
        <f>"4/30/2012 12:06:00 PM"</f>
        <v>4/30/2012 12:06:00 PM</v>
      </c>
      <c r="O6548" t="s">
        <v>19861</v>
      </c>
      <c r="T6548" t="s">
        <v>19862</v>
      </c>
    </row>
    <row r="6549" spans="1:20" x14ac:dyDescent="0.25">
      <c r="A6549" t="str">
        <f>"3046015"</f>
        <v>3046015</v>
      </c>
      <c r="B6549" t="s">
        <v>19864</v>
      </c>
      <c r="C6549" t="str">
        <f>"82524293"</f>
        <v>82524293</v>
      </c>
      <c r="D6549" t="s">
        <v>19865</v>
      </c>
      <c r="E6549" t="s">
        <v>19866</v>
      </c>
      <c r="F6549" t="s">
        <v>19867</v>
      </c>
      <c r="I6549" t="s">
        <v>29</v>
      </c>
      <c r="J6549" t="s">
        <v>30</v>
      </c>
      <c r="K6549" t="s">
        <v>19868</v>
      </c>
      <c r="M6549" t="s">
        <v>18479</v>
      </c>
      <c r="N6549" t="str">
        <f>"5/9/2012 3:10:00 PM"</f>
        <v>5/9/2012 3:10:00 PM</v>
      </c>
      <c r="O6549" t="s">
        <v>19865</v>
      </c>
      <c r="T6549" t="s">
        <v>19866</v>
      </c>
    </row>
    <row r="6550" spans="1:20" x14ac:dyDescent="0.25">
      <c r="A6550" t="str">
        <f>"3057689"</f>
        <v>3057689</v>
      </c>
      <c r="B6550" t="s">
        <v>19869</v>
      </c>
      <c r="C6550" t="str">
        <f>"82514822"</f>
        <v>82514822</v>
      </c>
      <c r="D6550" t="s">
        <v>19870</v>
      </c>
      <c r="E6550" t="s">
        <v>19871</v>
      </c>
      <c r="F6550" t="s">
        <v>19872</v>
      </c>
      <c r="I6550" t="s">
        <v>184</v>
      </c>
      <c r="J6550" t="s">
        <v>30</v>
      </c>
      <c r="K6550" t="s">
        <v>19873</v>
      </c>
      <c r="M6550" t="s">
        <v>18479</v>
      </c>
      <c r="N6550" t="str">
        <f>"5/1/2012 9:13:00 AM"</f>
        <v>5/1/2012 9:13:00 AM</v>
      </c>
      <c r="O6550" t="s">
        <v>19870</v>
      </c>
      <c r="T6550" t="s">
        <v>19871</v>
      </c>
    </row>
    <row r="6551" spans="1:20" x14ac:dyDescent="0.25">
      <c r="A6551" t="str">
        <f>"3076824"</f>
        <v>3076824</v>
      </c>
      <c r="B6551" t="s">
        <v>19874</v>
      </c>
      <c r="C6551" t="str">
        <f>"59953000"</f>
        <v>59953000</v>
      </c>
      <c r="D6551" t="s">
        <v>19736</v>
      </c>
      <c r="E6551" t="s">
        <v>19737</v>
      </c>
      <c r="F6551" t="s">
        <v>19738</v>
      </c>
      <c r="I6551" t="s">
        <v>29</v>
      </c>
      <c r="J6551" t="s">
        <v>30</v>
      </c>
      <c r="K6551" t="s">
        <v>19739</v>
      </c>
      <c r="M6551" t="s">
        <v>18479</v>
      </c>
      <c r="N6551" t="str">
        <f>"5/1/2012 1:55:00 PM"</f>
        <v>5/1/2012 1:55:00 PM</v>
      </c>
      <c r="O6551" t="s">
        <v>19736</v>
      </c>
      <c r="T6551" t="s">
        <v>19737</v>
      </c>
    </row>
    <row r="6552" spans="1:20" x14ac:dyDescent="0.25">
      <c r="A6552" t="str">
        <f>"3057934"</f>
        <v>3057934</v>
      </c>
      <c r="B6552" t="s">
        <v>19875</v>
      </c>
      <c r="C6552" t="str">
        <f>"82524514"</f>
        <v>82524514</v>
      </c>
      <c r="D6552" t="s">
        <v>19876</v>
      </c>
      <c r="E6552" t="s">
        <v>19877</v>
      </c>
      <c r="F6552" t="s">
        <v>19878</v>
      </c>
      <c r="I6552" t="s">
        <v>184</v>
      </c>
      <c r="J6552" t="s">
        <v>30</v>
      </c>
      <c r="K6552" t="s">
        <v>5491</v>
      </c>
      <c r="M6552" t="s">
        <v>18479</v>
      </c>
      <c r="N6552" t="str">
        <f>"5/2/2012 10:10:00 AM"</f>
        <v>5/2/2012 10:10:00 AM</v>
      </c>
      <c r="O6552" t="s">
        <v>19876</v>
      </c>
      <c r="T6552" t="s">
        <v>19877</v>
      </c>
    </row>
    <row r="6553" spans="1:20" x14ac:dyDescent="0.25">
      <c r="A6553" t="str">
        <f>"3048006"</f>
        <v>3048006</v>
      </c>
      <c r="B6553" t="s">
        <v>19879</v>
      </c>
      <c r="C6553" t="str">
        <f>"82529959"</f>
        <v>82529959</v>
      </c>
      <c r="D6553" t="s">
        <v>19880</v>
      </c>
      <c r="F6553" t="s">
        <v>19881</v>
      </c>
      <c r="I6553" t="s">
        <v>184</v>
      </c>
      <c r="J6553" t="s">
        <v>30</v>
      </c>
      <c r="K6553" t="s">
        <v>185</v>
      </c>
      <c r="M6553" t="s">
        <v>18479</v>
      </c>
      <c r="N6553" t="str">
        <f>"5/2/2012 10:23:00 AM"</f>
        <v>5/2/2012 10:23:00 AM</v>
      </c>
      <c r="O6553" t="s">
        <v>19880</v>
      </c>
    </row>
    <row r="6554" spans="1:20" x14ac:dyDescent="0.25">
      <c r="A6554" t="str">
        <f>"3049809"</f>
        <v>3049809</v>
      </c>
      <c r="B6554" t="s">
        <v>19882</v>
      </c>
      <c r="C6554" t="str">
        <f>"82533065"</f>
        <v>82533065</v>
      </c>
      <c r="D6554" t="s">
        <v>19883</v>
      </c>
      <c r="E6554" t="s">
        <v>19884</v>
      </c>
      <c r="F6554" t="s">
        <v>19885</v>
      </c>
      <c r="I6554" t="s">
        <v>29</v>
      </c>
      <c r="J6554" t="s">
        <v>30</v>
      </c>
      <c r="K6554" t="str">
        <f>"27028"</f>
        <v>27028</v>
      </c>
      <c r="M6554" t="s">
        <v>18479</v>
      </c>
      <c r="N6554" t="str">
        <f>"5/2/2012 3:43:00 PM"</f>
        <v>5/2/2012 3:43:00 PM</v>
      </c>
      <c r="O6554" t="s">
        <v>19883</v>
      </c>
      <c r="T6554" t="s">
        <v>19884</v>
      </c>
    </row>
    <row r="6555" spans="1:20" x14ac:dyDescent="0.25">
      <c r="A6555" t="str">
        <f>"3051533"</f>
        <v>3051533</v>
      </c>
      <c r="B6555" t="s">
        <v>19886</v>
      </c>
      <c r="C6555" t="str">
        <f>"61252000"</f>
        <v>61252000</v>
      </c>
      <c r="D6555" t="s">
        <v>19767</v>
      </c>
      <c r="E6555" t="s">
        <v>19768</v>
      </c>
      <c r="F6555" t="s">
        <v>19769</v>
      </c>
      <c r="I6555" t="s">
        <v>29</v>
      </c>
      <c r="J6555" t="s">
        <v>30</v>
      </c>
      <c r="K6555" t="s">
        <v>19770</v>
      </c>
      <c r="M6555" t="s">
        <v>18479</v>
      </c>
      <c r="N6555" t="str">
        <f>"5/3/2012 9:35:00 AM"</f>
        <v>5/3/2012 9:35:00 AM</v>
      </c>
      <c r="O6555" t="s">
        <v>19767</v>
      </c>
      <c r="T6555" t="s">
        <v>19768</v>
      </c>
    </row>
    <row r="6556" spans="1:20" x14ac:dyDescent="0.25">
      <c r="A6556" t="str">
        <f>"3072989"</f>
        <v>3072989</v>
      </c>
      <c r="B6556" t="s">
        <v>19887</v>
      </c>
      <c r="C6556" t="str">
        <f>"82523855"</f>
        <v>82523855</v>
      </c>
      <c r="D6556" t="s">
        <v>19888</v>
      </c>
      <c r="E6556" t="s">
        <v>19889</v>
      </c>
      <c r="F6556" t="s">
        <v>19890</v>
      </c>
      <c r="I6556" t="s">
        <v>29</v>
      </c>
      <c r="J6556" t="s">
        <v>30</v>
      </c>
      <c r="K6556" t="s">
        <v>19891</v>
      </c>
      <c r="M6556" t="s">
        <v>18479</v>
      </c>
      <c r="N6556" t="str">
        <f>"5/3/2012 10:25:00 AM"</f>
        <v>5/3/2012 10:25:00 AM</v>
      </c>
      <c r="O6556" t="s">
        <v>19888</v>
      </c>
      <c r="T6556" t="s">
        <v>19889</v>
      </c>
    </row>
    <row r="6557" spans="1:20" x14ac:dyDescent="0.25">
      <c r="A6557" t="str">
        <f>"3057559"</f>
        <v>3057559</v>
      </c>
      <c r="B6557" t="s">
        <v>19892</v>
      </c>
      <c r="C6557" t="str">
        <f>"61714500"</f>
        <v>61714500</v>
      </c>
      <c r="D6557" t="s">
        <v>19893</v>
      </c>
      <c r="E6557" t="s">
        <v>19894</v>
      </c>
      <c r="F6557" t="s">
        <v>19895</v>
      </c>
      <c r="I6557" t="s">
        <v>29</v>
      </c>
      <c r="J6557" t="s">
        <v>30</v>
      </c>
      <c r="K6557" t="s">
        <v>31</v>
      </c>
      <c r="M6557" t="s">
        <v>18479</v>
      </c>
      <c r="N6557" t="str">
        <f>"5/3/2012 10:54:00 AM"</f>
        <v>5/3/2012 10:54:00 AM</v>
      </c>
      <c r="O6557" t="s">
        <v>19893</v>
      </c>
      <c r="T6557" t="s">
        <v>19894</v>
      </c>
    </row>
    <row r="6558" spans="1:20" x14ac:dyDescent="0.25">
      <c r="A6558" t="str">
        <f>"3039850"</f>
        <v>3039850</v>
      </c>
      <c r="B6558" t="s">
        <v>19896</v>
      </c>
      <c r="C6558" t="str">
        <f>"8300923"</f>
        <v>8300923</v>
      </c>
      <c r="D6558" t="s">
        <v>19897</v>
      </c>
      <c r="E6558" t="s">
        <v>19898</v>
      </c>
      <c r="F6558" t="s">
        <v>19899</v>
      </c>
      <c r="I6558" t="s">
        <v>184</v>
      </c>
      <c r="J6558" t="s">
        <v>30</v>
      </c>
      <c r="K6558" t="str">
        <f>"27006"</f>
        <v>27006</v>
      </c>
      <c r="M6558" t="s">
        <v>17861</v>
      </c>
      <c r="N6558" t="str">
        <f>"5/3/2012 1:45:00 PM"</f>
        <v>5/3/2012 1:45:00 PM</v>
      </c>
      <c r="O6558" t="s">
        <v>19897</v>
      </c>
      <c r="T6558" t="s">
        <v>19898</v>
      </c>
    </row>
    <row r="6559" spans="1:20" x14ac:dyDescent="0.25">
      <c r="A6559" t="str">
        <f>"3044157"</f>
        <v>3044157</v>
      </c>
      <c r="B6559" t="s">
        <v>19900</v>
      </c>
      <c r="C6559" t="str">
        <f>"61925500"</f>
        <v>61925500</v>
      </c>
      <c r="D6559" t="s">
        <v>19901</v>
      </c>
      <c r="E6559" t="s">
        <v>19902</v>
      </c>
      <c r="F6559" t="s">
        <v>19903</v>
      </c>
      <c r="I6559" t="s">
        <v>184</v>
      </c>
      <c r="J6559" t="s">
        <v>30</v>
      </c>
      <c r="K6559" t="s">
        <v>19904</v>
      </c>
      <c r="M6559" t="s">
        <v>18479</v>
      </c>
      <c r="N6559" t="str">
        <f>"5/4/2012 8:59:00 AM"</f>
        <v>5/4/2012 8:59:00 AM</v>
      </c>
      <c r="O6559" t="s">
        <v>19901</v>
      </c>
      <c r="T6559" t="s">
        <v>19902</v>
      </c>
    </row>
    <row r="6560" spans="1:20" x14ac:dyDescent="0.25">
      <c r="A6560" t="str">
        <f>"3047255"</f>
        <v>3047255</v>
      </c>
      <c r="B6560" t="s">
        <v>19905</v>
      </c>
      <c r="C6560" t="str">
        <f>"82522377"</f>
        <v>82522377</v>
      </c>
      <c r="D6560" t="s">
        <v>19906</v>
      </c>
      <c r="F6560" t="s">
        <v>19907</v>
      </c>
      <c r="I6560" t="s">
        <v>29</v>
      </c>
      <c r="J6560" t="s">
        <v>30</v>
      </c>
      <c r="K6560" t="s">
        <v>19908</v>
      </c>
      <c r="M6560" t="s">
        <v>18479</v>
      </c>
      <c r="N6560" t="str">
        <f>"5/4/2012 10:57:00 AM"</f>
        <v>5/4/2012 10:57:00 AM</v>
      </c>
      <c r="O6560" t="s">
        <v>19906</v>
      </c>
      <c r="T6560" t="s">
        <v>19906</v>
      </c>
    </row>
    <row r="6561" spans="1:20" x14ac:dyDescent="0.25">
      <c r="A6561" t="str">
        <f>"3063980"</f>
        <v>3063980</v>
      </c>
      <c r="B6561" t="s">
        <v>19909</v>
      </c>
      <c r="C6561" t="str">
        <f>"82522368"</f>
        <v>82522368</v>
      </c>
      <c r="D6561" t="s">
        <v>19910</v>
      </c>
      <c r="E6561" t="s">
        <v>19911</v>
      </c>
      <c r="F6561" t="s">
        <v>19372</v>
      </c>
      <c r="I6561" t="s">
        <v>184</v>
      </c>
      <c r="J6561" t="s">
        <v>30</v>
      </c>
      <c r="K6561" t="s">
        <v>185</v>
      </c>
      <c r="M6561" t="s">
        <v>18479</v>
      </c>
      <c r="N6561" t="str">
        <f>"5/15/2012 10:53:00 AM"</f>
        <v>5/15/2012 10:53:00 AM</v>
      </c>
      <c r="O6561" t="s">
        <v>19910</v>
      </c>
      <c r="T6561" t="s">
        <v>19911</v>
      </c>
    </row>
    <row r="6562" spans="1:20" x14ac:dyDescent="0.25">
      <c r="A6562" t="str">
        <f>"3052449"</f>
        <v>3052449</v>
      </c>
      <c r="B6562" t="s">
        <v>19912</v>
      </c>
      <c r="C6562" t="str">
        <f>"9692250"</f>
        <v>9692250</v>
      </c>
      <c r="D6562" t="s">
        <v>19913</v>
      </c>
      <c r="F6562" t="s">
        <v>19914</v>
      </c>
      <c r="I6562" t="s">
        <v>29</v>
      </c>
      <c r="J6562" t="s">
        <v>30</v>
      </c>
      <c r="K6562" t="s">
        <v>31</v>
      </c>
      <c r="M6562" t="s">
        <v>19336</v>
      </c>
      <c r="N6562" t="str">
        <f>"5/15/2012 11:30:00 AM"</f>
        <v>5/15/2012 11:30:00 AM</v>
      </c>
      <c r="O6562" t="s">
        <v>19913</v>
      </c>
    </row>
    <row r="6563" spans="1:20" x14ac:dyDescent="0.25">
      <c r="A6563" t="str">
        <f>"3061471"</f>
        <v>3061471</v>
      </c>
      <c r="B6563" t="s">
        <v>19915</v>
      </c>
      <c r="C6563" t="str">
        <f>"8300237"</f>
        <v>8300237</v>
      </c>
      <c r="D6563" t="s">
        <v>19916</v>
      </c>
      <c r="F6563" t="s">
        <v>19917</v>
      </c>
      <c r="I6563" t="s">
        <v>184</v>
      </c>
      <c r="J6563" t="s">
        <v>30</v>
      </c>
      <c r="K6563" t="s">
        <v>185</v>
      </c>
      <c r="M6563" t="s">
        <v>18479</v>
      </c>
      <c r="N6563" t="str">
        <f>"5/7/2012 10:28:00 AM"</f>
        <v>5/7/2012 10:28:00 AM</v>
      </c>
      <c r="O6563" t="s">
        <v>19916</v>
      </c>
    </row>
    <row r="6564" spans="1:20" x14ac:dyDescent="0.25">
      <c r="A6564" t="str">
        <f>"3054777"</f>
        <v>3054777</v>
      </c>
      <c r="B6564" t="s">
        <v>19918</v>
      </c>
      <c r="C6564" t="str">
        <f>"82514875"</f>
        <v>82514875</v>
      </c>
      <c r="D6564" t="s">
        <v>19919</v>
      </c>
      <c r="F6564" t="s">
        <v>19920</v>
      </c>
      <c r="I6564" t="s">
        <v>29</v>
      </c>
      <c r="J6564" t="s">
        <v>30</v>
      </c>
      <c r="K6564" t="s">
        <v>31</v>
      </c>
      <c r="M6564" t="s">
        <v>19336</v>
      </c>
      <c r="N6564" t="str">
        <f>"5/15/2012 1:19:00 PM"</f>
        <v>5/15/2012 1:19:00 PM</v>
      </c>
      <c r="O6564" t="s">
        <v>19919</v>
      </c>
    </row>
    <row r="6565" spans="1:20" x14ac:dyDescent="0.25">
      <c r="A6565" t="str">
        <f>"3054783"</f>
        <v>3054783</v>
      </c>
      <c r="B6565" t="s">
        <v>19921</v>
      </c>
      <c r="C6565" t="str">
        <f>"82514875"</f>
        <v>82514875</v>
      </c>
      <c r="D6565" t="s">
        <v>19919</v>
      </c>
      <c r="F6565" t="s">
        <v>19920</v>
      </c>
      <c r="I6565" t="s">
        <v>29</v>
      </c>
      <c r="J6565" t="s">
        <v>30</v>
      </c>
      <c r="K6565" t="s">
        <v>31</v>
      </c>
      <c r="M6565" t="s">
        <v>19336</v>
      </c>
      <c r="N6565" t="str">
        <f>"5/15/2012 1:19:00 PM"</f>
        <v>5/15/2012 1:19:00 PM</v>
      </c>
      <c r="O6565" t="s">
        <v>19919</v>
      </c>
    </row>
    <row r="6566" spans="1:20" x14ac:dyDescent="0.25">
      <c r="A6566" t="str">
        <f>"3068759"</f>
        <v>3068759</v>
      </c>
      <c r="B6566" t="s">
        <v>19922</v>
      </c>
      <c r="C6566" t="str">
        <f>"82514875"</f>
        <v>82514875</v>
      </c>
      <c r="D6566" t="s">
        <v>19919</v>
      </c>
      <c r="F6566" t="s">
        <v>19920</v>
      </c>
      <c r="I6566" t="s">
        <v>29</v>
      </c>
      <c r="J6566" t="s">
        <v>30</v>
      </c>
      <c r="K6566" t="s">
        <v>31</v>
      </c>
      <c r="M6566" t="s">
        <v>19336</v>
      </c>
      <c r="N6566" t="str">
        <f>"5/15/2012 1:19:00 PM"</f>
        <v>5/15/2012 1:19:00 PM</v>
      </c>
      <c r="O6566" t="s">
        <v>19919</v>
      </c>
    </row>
    <row r="6567" spans="1:20" x14ac:dyDescent="0.25">
      <c r="A6567" t="str">
        <f>"3071367"</f>
        <v>3071367</v>
      </c>
      <c r="B6567" t="s">
        <v>19923</v>
      </c>
      <c r="C6567" t="str">
        <f>"82514875"</f>
        <v>82514875</v>
      </c>
      <c r="D6567" t="s">
        <v>19919</v>
      </c>
      <c r="F6567" t="s">
        <v>19920</v>
      </c>
      <c r="I6567" t="s">
        <v>29</v>
      </c>
      <c r="J6567" t="s">
        <v>30</v>
      </c>
      <c r="K6567" t="s">
        <v>31</v>
      </c>
      <c r="M6567" t="s">
        <v>19336</v>
      </c>
      <c r="N6567" t="str">
        <f>"5/15/2012 1:19:00 PM"</f>
        <v>5/15/2012 1:19:00 PM</v>
      </c>
      <c r="O6567" t="s">
        <v>19919</v>
      </c>
    </row>
    <row r="6568" spans="1:20" x14ac:dyDescent="0.25">
      <c r="A6568" t="str">
        <f>"3044554"</f>
        <v>3044554</v>
      </c>
      <c r="B6568" t="s">
        <v>19924</v>
      </c>
      <c r="C6568" t="str">
        <f>"62538450"</f>
        <v>62538450</v>
      </c>
      <c r="D6568" t="s">
        <v>19925</v>
      </c>
      <c r="E6568" t="s">
        <v>19926</v>
      </c>
      <c r="F6568" t="s">
        <v>19927</v>
      </c>
      <c r="I6568" t="s">
        <v>184</v>
      </c>
      <c r="J6568" t="s">
        <v>30</v>
      </c>
      <c r="K6568" t="s">
        <v>19928</v>
      </c>
      <c r="M6568" t="s">
        <v>18479</v>
      </c>
      <c r="N6568" t="str">
        <f>"5/7/2012 10:52:00 AM"</f>
        <v>5/7/2012 10:52:00 AM</v>
      </c>
      <c r="O6568" t="s">
        <v>19925</v>
      </c>
      <c r="T6568" t="s">
        <v>19926</v>
      </c>
    </row>
    <row r="6569" spans="1:20" x14ac:dyDescent="0.25">
      <c r="A6569" t="str">
        <f>"3048938"</f>
        <v>3048938</v>
      </c>
      <c r="B6569" t="s">
        <v>19929</v>
      </c>
      <c r="C6569" t="str">
        <f>"66932000"</f>
        <v>66932000</v>
      </c>
      <c r="D6569" t="s">
        <v>19930</v>
      </c>
      <c r="E6569" t="s">
        <v>19931</v>
      </c>
      <c r="F6569" t="s">
        <v>19932</v>
      </c>
      <c r="I6569" t="s">
        <v>29</v>
      </c>
      <c r="J6569" t="s">
        <v>30</v>
      </c>
      <c r="K6569" t="s">
        <v>19933</v>
      </c>
      <c r="M6569" t="s">
        <v>18479</v>
      </c>
      <c r="N6569" t="str">
        <f>"5/16/2012 9:13:00 AM"</f>
        <v>5/16/2012 9:13:00 AM</v>
      </c>
      <c r="O6569" t="s">
        <v>19930</v>
      </c>
      <c r="T6569" t="s">
        <v>19931</v>
      </c>
    </row>
    <row r="6570" spans="1:20" x14ac:dyDescent="0.25">
      <c r="A6570" t="str">
        <f>"3047140"</f>
        <v>3047140</v>
      </c>
      <c r="B6570" t="s">
        <v>19934</v>
      </c>
      <c r="C6570" t="str">
        <f>"66932000"</f>
        <v>66932000</v>
      </c>
      <c r="D6570" t="s">
        <v>19930</v>
      </c>
      <c r="E6570" t="s">
        <v>19931</v>
      </c>
      <c r="F6570" t="s">
        <v>19932</v>
      </c>
      <c r="I6570" t="s">
        <v>29</v>
      </c>
      <c r="J6570" t="s">
        <v>30</v>
      </c>
      <c r="K6570" t="s">
        <v>19933</v>
      </c>
      <c r="M6570" t="s">
        <v>18479</v>
      </c>
      <c r="N6570" t="str">
        <f>"5/16/2012 9:13:00 AM"</f>
        <v>5/16/2012 9:13:00 AM</v>
      </c>
      <c r="O6570" t="s">
        <v>19930</v>
      </c>
      <c r="T6570" t="s">
        <v>19931</v>
      </c>
    </row>
    <row r="6571" spans="1:20" x14ac:dyDescent="0.25">
      <c r="A6571" t="str">
        <f>"3045556"</f>
        <v>3045556</v>
      </c>
      <c r="B6571" t="s">
        <v>19935</v>
      </c>
      <c r="C6571" t="str">
        <f>"62561000"</f>
        <v>62561000</v>
      </c>
      <c r="D6571" t="s">
        <v>19936</v>
      </c>
      <c r="E6571" t="s">
        <v>19937</v>
      </c>
      <c r="F6571" t="s">
        <v>19938</v>
      </c>
      <c r="I6571" t="s">
        <v>29</v>
      </c>
      <c r="J6571" t="s">
        <v>30</v>
      </c>
      <c r="K6571" t="s">
        <v>19939</v>
      </c>
      <c r="M6571" t="s">
        <v>18479</v>
      </c>
      <c r="N6571" t="str">
        <f>"5/7/2012 10:55:00 AM"</f>
        <v>5/7/2012 10:55:00 AM</v>
      </c>
      <c r="O6571" t="s">
        <v>19936</v>
      </c>
      <c r="T6571" t="s">
        <v>19937</v>
      </c>
    </row>
    <row r="6572" spans="1:20" x14ac:dyDescent="0.25">
      <c r="A6572" t="str">
        <f>"3055394"</f>
        <v>3055394</v>
      </c>
      <c r="B6572" t="s">
        <v>19940</v>
      </c>
      <c r="C6572" t="str">
        <f>"8300496"</f>
        <v>8300496</v>
      </c>
      <c r="D6572" t="s">
        <v>19941</v>
      </c>
      <c r="F6572" t="s">
        <v>19942</v>
      </c>
      <c r="I6572" t="s">
        <v>8536</v>
      </c>
      <c r="J6572" t="s">
        <v>30</v>
      </c>
      <c r="K6572" t="s">
        <v>8537</v>
      </c>
      <c r="M6572" t="s">
        <v>18479</v>
      </c>
      <c r="N6572" t="str">
        <f>"5/7/2012 12:54:00 PM"</f>
        <v>5/7/2012 12:54:00 PM</v>
      </c>
      <c r="O6572" t="s">
        <v>19941</v>
      </c>
    </row>
    <row r="6573" spans="1:20" x14ac:dyDescent="0.25">
      <c r="A6573" t="str">
        <f>"3046968"</f>
        <v>3046968</v>
      </c>
      <c r="B6573" t="s">
        <v>19943</v>
      </c>
      <c r="C6573" t="str">
        <f>"67714000"</f>
        <v>67714000</v>
      </c>
      <c r="D6573" t="s">
        <v>19944</v>
      </c>
      <c r="E6573" t="s">
        <v>19945</v>
      </c>
      <c r="F6573" t="s">
        <v>12291</v>
      </c>
      <c r="I6573" t="s">
        <v>29</v>
      </c>
      <c r="J6573" t="s">
        <v>30</v>
      </c>
      <c r="K6573" t="s">
        <v>19946</v>
      </c>
      <c r="M6573" t="s">
        <v>18479</v>
      </c>
      <c r="N6573" t="str">
        <f>"5/16/2012 2:32:00 PM"</f>
        <v>5/16/2012 2:32:00 PM</v>
      </c>
      <c r="O6573" t="s">
        <v>19944</v>
      </c>
      <c r="T6573" t="s">
        <v>19945</v>
      </c>
    </row>
    <row r="6574" spans="1:20" x14ac:dyDescent="0.25">
      <c r="A6574" t="str">
        <f>"3046623"</f>
        <v>3046623</v>
      </c>
      <c r="B6574" t="s">
        <v>19947</v>
      </c>
      <c r="C6574" t="str">
        <f>"67714000"</f>
        <v>67714000</v>
      </c>
      <c r="D6574" t="s">
        <v>19944</v>
      </c>
      <c r="E6574" t="s">
        <v>19945</v>
      </c>
      <c r="F6574" t="s">
        <v>12291</v>
      </c>
      <c r="I6574" t="s">
        <v>29</v>
      </c>
      <c r="J6574" t="s">
        <v>30</v>
      </c>
      <c r="K6574" t="s">
        <v>19946</v>
      </c>
      <c r="M6574" t="s">
        <v>18479</v>
      </c>
      <c r="N6574" t="str">
        <f>"5/16/2012 2:32:00 PM"</f>
        <v>5/16/2012 2:32:00 PM</v>
      </c>
      <c r="O6574" t="s">
        <v>19944</v>
      </c>
      <c r="T6574" t="s">
        <v>19945</v>
      </c>
    </row>
    <row r="6575" spans="1:20" x14ac:dyDescent="0.25">
      <c r="A6575" t="str">
        <f>"3046664"</f>
        <v>3046664</v>
      </c>
      <c r="B6575" t="s">
        <v>19948</v>
      </c>
      <c r="C6575" t="str">
        <f>"67714000"</f>
        <v>67714000</v>
      </c>
      <c r="D6575" t="s">
        <v>19944</v>
      </c>
      <c r="E6575" t="s">
        <v>19945</v>
      </c>
      <c r="F6575" t="s">
        <v>12291</v>
      </c>
      <c r="I6575" t="s">
        <v>29</v>
      </c>
      <c r="J6575" t="s">
        <v>30</v>
      </c>
      <c r="K6575" t="s">
        <v>19946</v>
      </c>
      <c r="M6575" t="s">
        <v>18479</v>
      </c>
      <c r="N6575" t="str">
        <f>"5/16/2012 2:32:00 PM"</f>
        <v>5/16/2012 2:32:00 PM</v>
      </c>
      <c r="O6575" t="s">
        <v>19944</v>
      </c>
      <c r="T6575" t="s">
        <v>19945</v>
      </c>
    </row>
    <row r="6576" spans="1:20" x14ac:dyDescent="0.25">
      <c r="A6576" t="str">
        <f>"3054613"</f>
        <v>3054613</v>
      </c>
      <c r="B6576" t="s">
        <v>19949</v>
      </c>
      <c r="C6576" t="str">
        <f>"82529127"</f>
        <v>82529127</v>
      </c>
      <c r="D6576" t="s">
        <v>19950</v>
      </c>
      <c r="E6576" t="s">
        <v>19951</v>
      </c>
      <c r="F6576" t="s">
        <v>19952</v>
      </c>
      <c r="I6576" t="s">
        <v>29</v>
      </c>
      <c r="J6576" t="s">
        <v>30</v>
      </c>
      <c r="K6576" t="s">
        <v>31</v>
      </c>
      <c r="M6576" t="s">
        <v>18432</v>
      </c>
      <c r="N6576" t="str">
        <f>"5/16/2012 3:42:00 PM"</f>
        <v>5/16/2012 3:42:00 PM</v>
      </c>
      <c r="O6576" t="s">
        <v>19950</v>
      </c>
      <c r="T6576" t="s">
        <v>19951</v>
      </c>
    </row>
    <row r="6577" spans="1:20" x14ac:dyDescent="0.25">
      <c r="A6577" t="str">
        <f>"3039660"</f>
        <v>3039660</v>
      </c>
      <c r="B6577" t="s">
        <v>19953</v>
      </c>
      <c r="C6577" t="str">
        <f>"82532022"</f>
        <v>82532022</v>
      </c>
      <c r="D6577" t="s">
        <v>19954</v>
      </c>
      <c r="F6577" t="s">
        <v>19955</v>
      </c>
      <c r="I6577" t="s">
        <v>29</v>
      </c>
      <c r="J6577" t="s">
        <v>30</v>
      </c>
      <c r="K6577" t="s">
        <v>31</v>
      </c>
      <c r="M6577" t="s">
        <v>18479</v>
      </c>
      <c r="N6577" t="str">
        <f>"5/16/2012 4:10:00 PM"</f>
        <v>5/16/2012 4:10:00 PM</v>
      </c>
      <c r="O6577" t="s">
        <v>19954</v>
      </c>
    </row>
    <row r="6578" spans="1:20" x14ac:dyDescent="0.25">
      <c r="A6578" t="str">
        <f>"3039661"</f>
        <v>3039661</v>
      </c>
      <c r="B6578" t="s">
        <v>19956</v>
      </c>
      <c r="C6578" t="str">
        <f>"82532022"</f>
        <v>82532022</v>
      </c>
      <c r="D6578" t="s">
        <v>19954</v>
      </c>
      <c r="F6578" t="s">
        <v>19955</v>
      </c>
      <c r="I6578" t="s">
        <v>29</v>
      </c>
      <c r="J6578" t="s">
        <v>30</v>
      </c>
      <c r="K6578" t="s">
        <v>31</v>
      </c>
      <c r="M6578" t="s">
        <v>18479</v>
      </c>
      <c r="N6578" t="str">
        <f>"5/16/2012 4:10:00 PM"</f>
        <v>5/16/2012 4:10:00 PM</v>
      </c>
      <c r="O6578" t="s">
        <v>19954</v>
      </c>
    </row>
    <row r="6579" spans="1:20" x14ac:dyDescent="0.25">
      <c r="A6579" t="str">
        <f>"3039357"</f>
        <v>3039357</v>
      </c>
      <c r="B6579" t="s">
        <v>19957</v>
      </c>
      <c r="C6579" t="str">
        <f>"82532022"</f>
        <v>82532022</v>
      </c>
      <c r="D6579" t="s">
        <v>19954</v>
      </c>
      <c r="F6579" t="s">
        <v>19955</v>
      </c>
      <c r="I6579" t="s">
        <v>29</v>
      </c>
      <c r="J6579" t="s">
        <v>30</v>
      </c>
      <c r="K6579" t="s">
        <v>31</v>
      </c>
      <c r="M6579" t="s">
        <v>18479</v>
      </c>
      <c r="N6579" t="str">
        <f>"5/16/2012 4:10:00 PM"</f>
        <v>5/16/2012 4:10:00 PM</v>
      </c>
      <c r="O6579" t="s">
        <v>19954</v>
      </c>
    </row>
    <row r="6580" spans="1:20" x14ac:dyDescent="0.25">
      <c r="A6580" t="str">
        <f>"3063887"</f>
        <v>3063887</v>
      </c>
      <c r="B6580" t="s">
        <v>19958</v>
      </c>
      <c r="C6580" t="str">
        <f>"82532385"</f>
        <v>82532385</v>
      </c>
      <c r="D6580" t="s">
        <v>3123</v>
      </c>
      <c r="F6580" t="s">
        <v>3124</v>
      </c>
      <c r="I6580" t="s">
        <v>184</v>
      </c>
      <c r="J6580" t="s">
        <v>30</v>
      </c>
      <c r="K6580" t="s">
        <v>185</v>
      </c>
      <c r="M6580" t="s">
        <v>18479</v>
      </c>
      <c r="N6580" t="str">
        <f>"5/16/2012 4:24:00 PM"</f>
        <v>5/16/2012 4:24:00 PM</v>
      </c>
      <c r="O6580" t="s">
        <v>3123</v>
      </c>
    </row>
    <row r="6581" spans="1:20" x14ac:dyDescent="0.25">
      <c r="A6581" t="str">
        <f>"3054408"</f>
        <v>3054408</v>
      </c>
      <c r="B6581" t="s">
        <v>19959</v>
      </c>
      <c r="C6581" t="str">
        <f>"67995630"</f>
        <v>67995630</v>
      </c>
      <c r="D6581" t="s">
        <v>19960</v>
      </c>
      <c r="E6581" t="s">
        <v>19961</v>
      </c>
      <c r="F6581" t="s">
        <v>19962</v>
      </c>
      <c r="I6581" t="s">
        <v>29</v>
      </c>
      <c r="J6581" t="s">
        <v>30</v>
      </c>
      <c r="K6581" t="s">
        <v>31</v>
      </c>
      <c r="M6581" t="s">
        <v>18479</v>
      </c>
      <c r="N6581" t="str">
        <f>"5/16/2012 4:27:00 PM"</f>
        <v>5/16/2012 4:27:00 PM</v>
      </c>
      <c r="O6581" t="s">
        <v>19960</v>
      </c>
      <c r="T6581" t="s">
        <v>19961</v>
      </c>
    </row>
    <row r="6582" spans="1:20" x14ac:dyDescent="0.25">
      <c r="A6582" t="str">
        <f>"3054085"</f>
        <v>3054085</v>
      </c>
      <c r="B6582" t="s">
        <v>19963</v>
      </c>
      <c r="C6582" t="str">
        <f>"67995630"</f>
        <v>67995630</v>
      </c>
      <c r="D6582" t="s">
        <v>19960</v>
      </c>
      <c r="E6582" t="s">
        <v>19961</v>
      </c>
      <c r="F6582" t="s">
        <v>19962</v>
      </c>
      <c r="I6582" t="s">
        <v>29</v>
      </c>
      <c r="J6582" t="s">
        <v>30</v>
      </c>
      <c r="K6582" t="s">
        <v>31</v>
      </c>
      <c r="M6582" t="s">
        <v>18479</v>
      </c>
      <c r="N6582" t="str">
        <f>"5/16/2012 4:27:00 PM"</f>
        <v>5/16/2012 4:27:00 PM</v>
      </c>
      <c r="O6582" t="s">
        <v>19960</v>
      </c>
      <c r="T6582" t="s">
        <v>19961</v>
      </c>
    </row>
    <row r="6583" spans="1:20" x14ac:dyDescent="0.25">
      <c r="A6583" t="str">
        <f>"3067282"</f>
        <v>3067282</v>
      </c>
      <c r="B6583" t="s">
        <v>19964</v>
      </c>
      <c r="C6583" t="str">
        <f>"82532431"</f>
        <v>82532431</v>
      </c>
      <c r="D6583" t="s">
        <v>19965</v>
      </c>
      <c r="E6583" t="s">
        <v>19966</v>
      </c>
      <c r="F6583" t="s">
        <v>19967</v>
      </c>
      <c r="I6583" t="s">
        <v>29</v>
      </c>
      <c r="J6583" t="s">
        <v>30</v>
      </c>
      <c r="K6583" t="s">
        <v>31</v>
      </c>
      <c r="M6583" t="s">
        <v>18479</v>
      </c>
      <c r="N6583" t="str">
        <f>"4/25/2012 3:25:00 PM"</f>
        <v>4/25/2012 3:25:00 PM</v>
      </c>
      <c r="O6583" t="s">
        <v>19965</v>
      </c>
      <c r="T6583" t="s">
        <v>19966</v>
      </c>
    </row>
    <row r="6584" spans="1:20" x14ac:dyDescent="0.25">
      <c r="A6584" t="str">
        <f>"3063888"</f>
        <v>3063888</v>
      </c>
      <c r="B6584" t="s">
        <v>19968</v>
      </c>
      <c r="C6584" t="str">
        <f>"82532524"</f>
        <v>82532524</v>
      </c>
      <c r="D6584" t="s">
        <v>5574</v>
      </c>
      <c r="F6584" t="s">
        <v>5575</v>
      </c>
      <c r="I6584" t="s">
        <v>184</v>
      </c>
      <c r="J6584" t="s">
        <v>30</v>
      </c>
      <c r="K6584" t="s">
        <v>185</v>
      </c>
      <c r="M6584" t="s">
        <v>18479</v>
      </c>
      <c r="N6584" t="str">
        <f>"5/17/2012 9:35:00 AM"</f>
        <v>5/17/2012 9:35:00 AM</v>
      </c>
      <c r="O6584" t="s">
        <v>5574</v>
      </c>
    </row>
    <row r="6585" spans="1:20" x14ac:dyDescent="0.25">
      <c r="A6585" t="str">
        <f>"3037628"</f>
        <v>3037628</v>
      </c>
      <c r="B6585" t="s">
        <v>19969</v>
      </c>
      <c r="C6585" t="str">
        <f>"82520034"</f>
        <v>82520034</v>
      </c>
      <c r="D6585" t="s">
        <v>350</v>
      </c>
      <c r="E6585" t="s">
        <v>19970</v>
      </c>
      <c r="F6585" t="s">
        <v>19971</v>
      </c>
      <c r="I6585" t="s">
        <v>29</v>
      </c>
      <c r="J6585" t="s">
        <v>30</v>
      </c>
      <c r="K6585" t="s">
        <v>31</v>
      </c>
      <c r="M6585" t="s">
        <v>18479</v>
      </c>
      <c r="N6585" t="str">
        <f>"5/8/2012 2:36:00 PM"</f>
        <v>5/8/2012 2:36:00 PM</v>
      </c>
      <c r="O6585" t="s">
        <v>350</v>
      </c>
      <c r="T6585" t="s">
        <v>19970</v>
      </c>
    </row>
    <row r="6586" spans="1:20" x14ac:dyDescent="0.25">
      <c r="A6586" t="str">
        <f>"3046603"</f>
        <v>3046603</v>
      </c>
      <c r="B6586" t="s">
        <v>19972</v>
      </c>
      <c r="C6586" t="str">
        <f>"68924000"</f>
        <v>68924000</v>
      </c>
      <c r="D6586" t="s">
        <v>19973</v>
      </c>
      <c r="E6586" t="s">
        <v>19974</v>
      </c>
      <c r="F6586" t="s">
        <v>19975</v>
      </c>
      <c r="I6586" t="s">
        <v>29</v>
      </c>
      <c r="J6586" t="s">
        <v>30</v>
      </c>
      <c r="K6586" t="s">
        <v>10124</v>
      </c>
      <c r="M6586" t="s">
        <v>18479</v>
      </c>
      <c r="N6586" t="str">
        <f>"5/17/2012 11:23:00 AM"</f>
        <v>5/17/2012 11:23:00 AM</v>
      </c>
      <c r="O6586" t="s">
        <v>19973</v>
      </c>
      <c r="T6586" t="s">
        <v>19974</v>
      </c>
    </row>
    <row r="6587" spans="1:20" x14ac:dyDescent="0.25">
      <c r="A6587" t="str">
        <f>"3046983"</f>
        <v>3046983</v>
      </c>
      <c r="B6587" t="s">
        <v>19976</v>
      </c>
      <c r="C6587" t="str">
        <f>"68924000"</f>
        <v>68924000</v>
      </c>
      <c r="D6587" t="s">
        <v>19973</v>
      </c>
      <c r="E6587" t="s">
        <v>19974</v>
      </c>
      <c r="F6587" t="s">
        <v>19975</v>
      </c>
      <c r="I6587" t="s">
        <v>29</v>
      </c>
      <c r="J6587" t="s">
        <v>30</v>
      </c>
      <c r="K6587" t="s">
        <v>10124</v>
      </c>
      <c r="M6587" t="s">
        <v>18479</v>
      </c>
      <c r="N6587" t="str">
        <f>"5/17/2012 11:23:00 AM"</f>
        <v>5/17/2012 11:23:00 AM</v>
      </c>
      <c r="O6587" t="s">
        <v>19973</v>
      </c>
      <c r="T6587" t="s">
        <v>19974</v>
      </c>
    </row>
    <row r="6588" spans="1:20" x14ac:dyDescent="0.25">
      <c r="A6588" t="str">
        <f>"3047031"</f>
        <v>3047031</v>
      </c>
      <c r="B6588" t="s">
        <v>19977</v>
      </c>
      <c r="C6588" t="str">
        <f>"68924000"</f>
        <v>68924000</v>
      </c>
      <c r="D6588" t="s">
        <v>19973</v>
      </c>
      <c r="E6588" t="s">
        <v>19974</v>
      </c>
      <c r="F6588" t="s">
        <v>19975</v>
      </c>
      <c r="I6588" t="s">
        <v>29</v>
      </c>
      <c r="J6588" t="s">
        <v>30</v>
      </c>
      <c r="K6588" t="s">
        <v>10124</v>
      </c>
      <c r="M6588" t="s">
        <v>18479</v>
      </c>
      <c r="N6588" t="str">
        <f>"5/17/2012 11:23:00 AM"</f>
        <v>5/17/2012 11:23:00 AM</v>
      </c>
      <c r="O6588" t="s">
        <v>19973</v>
      </c>
      <c r="T6588" t="s">
        <v>19974</v>
      </c>
    </row>
    <row r="6589" spans="1:20" x14ac:dyDescent="0.25">
      <c r="A6589" t="str">
        <f>"3050602"</f>
        <v>3050602</v>
      </c>
      <c r="B6589" t="s">
        <v>19978</v>
      </c>
      <c r="C6589" t="str">
        <f>"68924000"</f>
        <v>68924000</v>
      </c>
      <c r="D6589" t="s">
        <v>19973</v>
      </c>
      <c r="E6589" t="s">
        <v>19974</v>
      </c>
      <c r="F6589" t="s">
        <v>19975</v>
      </c>
      <c r="I6589" t="s">
        <v>29</v>
      </c>
      <c r="J6589" t="s">
        <v>30</v>
      </c>
      <c r="K6589" t="s">
        <v>10124</v>
      </c>
      <c r="M6589" t="s">
        <v>18479</v>
      </c>
      <c r="N6589" t="str">
        <f>"5/17/2012 11:23:00 AM"</f>
        <v>5/17/2012 11:23:00 AM</v>
      </c>
      <c r="O6589" t="s">
        <v>19973</v>
      </c>
      <c r="T6589" t="s">
        <v>19974</v>
      </c>
    </row>
    <row r="6590" spans="1:20" x14ac:dyDescent="0.25">
      <c r="A6590" t="str">
        <f>"3047185"</f>
        <v>3047185</v>
      </c>
      <c r="B6590" t="s">
        <v>19979</v>
      </c>
      <c r="C6590" t="str">
        <f>"69071690"</f>
        <v>69071690</v>
      </c>
      <c r="D6590" t="s">
        <v>19980</v>
      </c>
      <c r="F6590" t="s">
        <v>19981</v>
      </c>
      <c r="I6590" t="s">
        <v>29</v>
      </c>
      <c r="J6590" t="s">
        <v>30</v>
      </c>
      <c r="K6590" t="s">
        <v>31</v>
      </c>
      <c r="M6590" t="s">
        <v>18479</v>
      </c>
      <c r="N6590" t="str">
        <f>"5/17/2012 11:48:00 AM"</f>
        <v>5/17/2012 11:48:00 AM</v>
      </c>
      <c r="O6590" t="s">
        <v>19980</v>
      </c>
      <c r="T6590" t="s">
        <v>19980</v>
      </c>
    </row>
    <row r="6591" spans="1:20" x14ac:dyDescent="0.25">
      <c r="A6591" t="str">
        <f>"3061806"</f>
        <v>3061806</v>
      </c>
      <c r="B6591" t="s">
        <v>19982</v>
      </c>
      <c r="C6591" t="str">
        <f>"82532967"</f>
        <v>82532967</v>
      </c>
      <c r="D6591" t="s">
        <v>19983</v>
      </c>
      <c r="E6591" t="s">
        <v>19984</v>
      </c>
      <c r="F6591" t="s">
        <v>19985</v>
      </c>
      <c r="I6591" t="s">
        <v>2071</v>
      </c>
      <c r="J6591" t="s">
        <v>30</v>
      </c>
      <c r="K6591" t="s">
        <v>185</v>
      </c>
      <c r="M6591" t="s">
        <v>18479</v>
      </c>
      <c r="N6591" t="str">
        <f>"5/17/2012 12:29:00 PM"</f>
        <v>5/17/2012 12:29:00 PM</v>
      </c>
      <c r="O6591" t="s">
        <v>19983</v>
      </c>
      <c r="T6591" t="s">
        <v>19984</v>
      </c>
    </row>
    <row r="6592" spans="1:20" x14ac:dyDescent="0.25">
      <c r="A6592" t="str">
        <f>"3039411"</f>
        <v>3039411</v>
      </c>
      <c r="B6592" t="s">
        <v>19986</v>
      </c>
      <c r="C6592" t="str">
        <f>"8300937"</f>
        <v>8300937</v>
      </c>
      <c r="D6592" t="s">
        <v>19987</v>
      </c>
      <c r="F6592" t="s">
        <v>19988</v>
      </c>
      <c r="I6592" t="s">
        <v>184</v>
      </c>
      <c r="J6592" t="s">
        <v>30</v>
      </c>
      <c r="K6592" t="str">
        <f>"27006"</f>
        <v>27006</v>
      </c>
      <c r="M6592" t="s">
        <v>17861</v>
      </c>
      <c r="N6592" t="str">
        <f>"5/9/2012 10:54:00 AM"</f>
        <v>5/9/2012 10:54:00 AM</v>
      </c>
      <c r="O6592" t="s">
        <v>19987</v>
      </c>
    </row>
    <row r="6593" spans="1:20" x14ac:dyDescent="0.25">
      <c r="A6593" t="str">
        <f>"3057000"</f>
        <v>3057000</v>
      </c>
      <c r="B6593" t="s">
        <v>19989</v>
      </c>
      <c r="C6593" t="str">
        <f>"82532120"</f>
        <v>82532120</v>
      </c>
      <c r="D6593" t="s">
        <v>19990</v>
      </c>
      <c r="F6593" t="s">
        <v>19991</v>
      </c>
      <c r="I6593" t="s">
        <v>19992</v>
      </c>
      <c r="J6593" t="s">
        <v>12725</v>
      </c>
      <c r="K6593" t="s">
        <v>19993</v>
      </c>
      <c r="M6593" t="s">
        <v>18479</v>
      </c>
      <c r="N6593" t="str">
        <f>"5/9/2012 12:13:00 PM"</f>
        <v>5/9/2012 12:13:00 PM</v>
      </c>
      <c r="O6593" t="s">
        <v>19990</v>
      </c>
    </row>
    <row r="6594" spans="1:20" x14ac:dyDescent="0.25">
      <c r="A6594" t="str">
        <f>"3054854"</f>
        <v>3054854</v>
      </c>
      <c r="B6594" t="s">
        <v>19994</v>
      </c>
      <c r="C6594" t="str">
        <f>"64516000"</f>
        <v>64516000</v>
      </c>
      <c r="D6594" t="s">
        <v>19990</v>
      </c>
      <c r="E6594" t="s">
        <v>19995</v>
      </c>
      <c r="F6594" t="s">
        <v>19996</v>
      </c>
      <c r="I6594" t="s">
        <v>19992</v>
      </c>
      <c r="J6594" t="s">
        <v>12725</v>
      </c>
      <c r="K6594" t="s">
        <v>19997</v>
      </c>
      <c r="M6594" t="s">
        <v>18479</v>
      </c>
      <c r="N6594" t="str">
        <f>"5/9/2012 12:14:00 PM"</f>
        <v>5/9/2012 12:14:00 PM</v>
      </c>
      <c r="O6594" t="s">
        <v>19990</v>
      </c>
      <c r="T6594" t="s">
        <v>19995</v>
      </c>
    </row>
    <row r="6595" spans="1:20" x14ac:dyDescent="0.25">
      <c r="A6595" t="str">
        <f>"3048872"</f>
        <v>3048872</v>
      </c>
      <c r="B6595" t="s">
        <v>19998</v>
      </c>
      <c r="C6595" t="str">
        <f>"8300945"</f>
        <v>8300945</v>
      </c>
      <c r="D6595" t="s">
        <v>19999</v>
      </c>
      <c r="F6595" t="s">
        <v>7464</v>
      </c>
      <c r="I6595" t="s">
        <v>29</v>
      </c>
      <c r="J6595" t="s">
        <v>30</v>
      </c>
      <c r="K6595" t="str">
        <f>"27028"</f>
        <v>27028</v>
      </c>
      <c r="M6595" t="s">
        <v>17861</v>
      </c>
      <c r="N6595" t="str">
        <f>"5/9/2012 3:03:00 PM"</f>
        <v>5/9/2012 3:03:00 PM</v>
      </c>
      <c r="O6595" t="s">
        <v>19999</v>
      </c>
    </row>
    <row r="6596" spans="1:20" x14ac:dyDescent="0.25">
      <c r="A6596" t="str">
        <f>"3038533"</f>
        <v>3038533</v>
      </c>
      <c r="B6596" t="s">
        <v>20000</v>
      </c>
      <c r="C6596" t="str">
        <f>"64740000"</f>
        <v>64740000</v>
      </c>
      <c r="D6596" t="s">
        <v>20001</v>
      </c>
      <c r="E6596" t="s">
        <v>20002</v>
      </c>
      <c r="F6596" t="s">
        <v>20003</v>
      </c>
      <c r="I6596" t="s">
        <v>184</v>
      </c>
      <c r="J6596" t="s">
        <v>30</v>
      </c>
      <c r="K6596" t="s">
        <v>20004</v>
      </c>
      <c r="M6596" t="s">
        <v>18479</v>
      </c>
      <c r="N6596" t="str">
        <f>"5/9/2012 3:20:00 PM"</f>
        <v>5/9/2012 3:20:00 PM</v>
      </c>
      <c r="O6596" t="s">
        <v>20001</v>
      </c>
      <c r="T6596" t="s">
        <v>20002</v>
      </c>
    </row>
    <row r="6597" spans="1:20" x14ac:dyDescent="0.25">
      <c r="A6597" t="str">
        <f>"3037371"</f>
        <v>3037371</v>
      </c>
      <c r="B6597" t="s">
        <v>20005</v>
      </c>
      <c r="C6597" t="str">
        <f>"64740000"</f>
        <v>64740000</v>
      </c>
      <c r="D6597" t="s">
        <v>20001</v>
      </c>
      <c r="E6597" t="s">
        <v>20002</v>
      </c>
      <c r="F6597" t="s">
        <v>20003</v>
      </c>
      <c r="I6597" t="s">
        <v>184</v>
      </c>
      <c r="J6597" t="s">
        <v>30</v>
      </c>
      <c r="K6597" t="s">
        <v>20004</v>
      </c>
      <c r="M6597" t="s">
        <v>18479</v>
      </c>
      <c r="N6597" t="str">
        <f>"5/9/2012 3:20:00 PM"</f>
        <v>5/9/2012 3:20:00 PM</v>
      </c>
      <c r="O6597" t="s">
        <v>20001</v>
      </c>
      <c r="T6597" t="s">
        <v>20002</v>
      </c>
    </row>
    <row r="6598" spans="1:20" x14ac:dyDescent="0.25">
      <c r="A6598" t="str">
        <f>"3038174"</f>
        <v>3038174</v>
      </c>
      <c r="B6598" t="s">
        <v>20006</v>
      </c>
      <c r="C6598" t="str">
        <f>"64740000"</f>
        <v>64740000</v>
      </c>
      <c r="D6598" t="s">
        <v>20001</v>
      </c>
      <c r="E6598" t="s">
        <v>20002</v>
      </c>
      <c r="F6598" t="s">
        <v>20003</v>
      </c>
      <c r="I6598" t="s">
        <v>184</v>
      </c>
      <c r="J6598" t="s">
        <v>30</v>
      </c>
      <c r="K6598" t="s">
        <v>20004</v>
      </c>
      <c r="M6598" t="s">
        <v>18479</v>
      </c>
      <c r="N6598" t="str">
        <f>"5/9/2012 3:20:00 PM"</f>
        <v>5/9/2012 3:20:00 PM</v>
      </c>
      <c r="O6598" t="s">
        <v>20001</v>
      </c>
      <c r="T6598" t="s">
        <v>20002</v>
      </c>
    </row>
    <row r="6599" spans="1:20" x14ac:dyDescent="0.25">
      <c r="A6599" t="str">
        <f>"3038178"</f>
        <v>3038178</v>
      </c>
      <c r="B6599" t="s">
        <v>20007</v>
      </c>
      <c r="C6599" t="str">
        <f>"64740000"</f>
        <v>64740000</v>
      </c>
      <c r="D6599" t="s">
        <v>20001</v>
      </c>
      <c r="E6599" t="s">
        <v>20002</v>
      </c>
      <c r="F6599" t="s">
        <v>20003</v>
      </c>
      <c r="I6599" t="s">
        <v>184</v>
      </c>
      <c r="J6599" t="s">
        <v>30</v>
      </c>
      <c r="K6599" t="s">
        <v>20004</v>
      </c>
      <c r="M6599" t="s">
        <v>18479</v>
      </c>
      <c r="N6599" t="str">
        <f>"5/9/2012 3:20:00 PM"</f>
        <v>5/9/2012 3:20:00 PM</v>
      </c>
      <c r="O6599" t="s">
        <v>20001</v>
      </c>
      <c r="T6599" t="s">
        <v>20002</v>
      </c>
    </row>
    <row r="6600" spans="1:20" x14ac:dyDescent="0.25">
      <c r="A6600" t="str">
        <f>"3049866"</f>
        <v>3049866</v>
      </c>
      <c r="B6600" t="s">
        <v>20008</v>
      </c>
      <c r="C6600" t="str">
        <f>"82516737"</f>
        <v>82516737</v>
      </c>
      <c r="D6600" t="s">
        <v>20009</v>
      </c>
      <c r="E6600" t="s">
        <v>20010</v>
      </c>
      <c r="F6600" t="s">
        <v>20011</v>
      </c>
      <c r="I6600" t="s">
        <v>29</v>
      </c>
      <c r="J6600" t="s">
        <v>30</v>
      </c>
      <c r="K6600" t="s">
        <v>31</v>
      </c>
      <c r="M6600" t="s">
        <v>18479</v>
      </c>
      <c r="N6600" t="str">
        <f>"5/9/2012 4:59:00 PM"</f>
        <v>5/9/2012 4:59:00 PM</v>
      </c>
      <c r="O6600" t="s">
        <v>20009</v>
      </c>
      <c r="T6600" t="s">
        <v>20010</v>
      </c>
    </row>
    <row r="6601" spans="1:20" x14ac:dyDescent="0.25">
      <c r="A6601" t="str">
        <f>"3049582"</f>
        <v>3049582</v>
      </c>
      <c r="B6601" t="s">
        <v>20012</v>
      </c>
      <c r="C6601" t="str">
        <f>"82529671"</f>
        <v>82529671</v>
      </c>
      <c r="D6601" t="s">
        <v>20013</v>
      </c>
      <c r="F6601" t="s">
        <v>20014</v>
      </c>
      <c r="I6601" t="s">
        <v>184</v>
      </c>
      <c r="J6601" t="s">
        <v>30</v>
      </c>
      <c r="K6601" t="s">
        <v>10530</v>
      </c>
      <c r="M6601" t="s">
        <v>20015</v>
      </c>
      <c r="N6601" t="str">
        <f>"5/14/2012 10:30:00 AM"</f>
        <v>5/14/2012 10:30:00 AM</v>
      </c>
      <c r="O6601" t="s">
        <v>20013</v>
      </c>
    </row>
    <row r="6602" spans="1:20" x14ac:dyDescent="0.25">
      <c r="A6602" t="str">
        <f>"3040643"</f>
        <v>3040643</v>
      </c>
      <c r="B6602" t="s">
        <v>20016</v>
      </c>
      <c r="C6602" t="str">
        <f>"82533093"</f>
        <v>82533093</v>
      </c>
      <c r="D6602" t="s">
        <v>20017</v>
      </c>
      <c r="E6602" t="s">
        <v>20018</v>
      </c>
      <c r="F6602" t="s">
        <v>20019</v>
      </c>
      <c r="I6602" t="s">
        <v>184</v>
      </c>
      <c r="J6602" t="s">
        <v>30</v>
      </c>
      <c r="K6602" t="str">
        <f>"27006"</f>
        <v>27006</v>
      </c>
      <c r="M6602" t="s">
        <v>18479</v>
      </c>
      <c r="N6602" t="str">
        <f>"5/14/2012 1:58:00 PM"</f>
        <v>5/14/2012 1:58:00 PM</v>
      </c>
      <c r="O6602" t="s">
        <v>20017</v>
      </c>
      <c r="T6602" t="s">
        <v>20018</v>
      </c>
    </row>
    <row r="6603" spans="1:20" x14ac:dyDescent="0.25">
      <c r="A6603" t="str">
        <f>"3037673"</f>
        <v>3037673</v>
      </c>
      <c r="B6603" t="s">
        <v>20020</v>
      </c>
      <c r="C6603" t="str">
        <f>"8300461"</f>
        <v>8300461</v>
      </c>
      <c r="D6603" t="s">
        <v>20021</v>
      </c>
      <c r="E6603" t="s">
        <v>20022</v>
      </c>
      <c r="F6603" t="s">
        <v>20023</v>
      </c>
      <c r="I6603" t="s">
        <v>49</v>
      </c>
      <c r="J6603" t="s">
        <v>30</v>
      </c>
      <c r="K6603" t="s">
        <v>50</v>
      </c>
      <c r="M6603" t="s">
        <v>18479</v>
      </c>
      <c r="N6603" t="str">
        <f>"5/15/2012 9:24:00 AM"</f>
        <v>5/15/2012 9:24:00 AM</v>
      </c>
      <c r="O6603" t="s">
        <v>20021</v>
      </c>
      <c r="T6603" t="s">
        <v>20022</v>
      </c>
    </row>
    <row r="6604" spans="1:20" x14ac:dyDescent="0.25">
      <c r="A6604" t="str">
        <f>"3055494"</f>
        <v>3055494</v>
      </c>
      <c r="B6604" t="s">
        <v>20024</v>
      </c>
      <c r="C6604" t="str">
        <f>"71012000"</f>
        <v>71012000</v>
      </c>
      <c r="D6604" t="s">
        <v>20025</v>
      </c>
      <c r="E6604" t="s">
        <v>20026</v>
      </c>
      <c r="F6604" t="s">
        <v>20027</v>
      </c>
      <c r="I6604" t="s">
        <v>29</v>
      </c>
      <c r="J6604" t="s">
        <v>30</v>
      </c>
      <c r="K6604" t="s">
        <v>20028</v>
      </c>
      <c r="M6604" t="s">
        <v>18479</v>
      </c>
      <c r="N6604" t="str">
        <f>"5/22/2012 1:50:00 PM"</f>
        <v>5/22/2012 1:50:00 PM</v>
      </c>
      <c r="O6604" t="s">
        <v>20025</v>
      </c>
      <c r="T6604" t="s">
        <v>20026</v>
      </c>
    </row>
    <row r="6605" spans="1:20" x14ac:dyDescent="0.25">
      <c r="A6605" t="str">
        <f>"3039613"</f>
        <v>3039613</v>
      </c>
      <c r="B6605" t="s">
        <v>20029</v>
      </c>
      <c r="C6605" t="str">
        <f>"82529355"</f>
        <v>82529355</v>
      </c>
      <c r="D6605" t="s">
        <v>20030</v>
      </c>
      <c r="E6605" t="s">
        <v>20031</v>
      </c>
      <c r="F6605" t="s">
        <v>20032</v>
      </c>
      <c r="I6605" t="s">
        <v>184</v>
      </c>
      <c r="J6605" t="s">
        <v>30</v>
      </c>
      <c r="K6605" t="s">
        <v>185</v>
      </c>
      <c r="M6605" t="s">
        <v>18479</v>
      </c>
      <c r="N6605" t="str">
        <f>"5/15/2012 9:26:00 AM"</f>
        <v>5/15/2012 9:26:00 AM</v>
      </c>
      <c r="O6605" t="s">
        <v>20030</v>
      </c>
      <c r="T6605" t="s">
        <v>20031</v>
      </c>
    </row>
    <row r="6606" spans="1:20" x14ac:dyDescent="0.25">
      <c r="A6606" t="str">
        <f>"3042225"</f>
        <v>3042225</v>
      </c>
      <c r="B6606" t="s">
        <v>20033</v>
      </c>
      <c r="C6606" t="str">
        <f>"82522368"</f>
        <v>82522368</v>
      </c>
      <c r="D6606" t="s">
        <v>19910</v>
      </c>
      <c r="E6606" t="s">
        <v>19911</v>
      </c>
      <c r="F6606" t="s">
        <v>19372</v>
      </c>
      <c r="I6606" t="s">
        <v>184</v>
      </c>
      <c r="J6606" t="s">
        <v>30</v>
      </c>
      <c r="K6606" t="s">
        <v>185</v>
      </c>
      <c r="M6606" t="s">
        <v>18479</v>
      </c>
      <c r="N6606" t="str">
        <f>"5/15/2012 10:53:00 AM"</f>
        <v>5/15/2012 10:53:00 AM</v>
      </c>
      <c r="O6606" t="s">
        <v>19910</v>
      </c>
      <c r="T6606" t="s">
        <v>19911</v>
      </c>
    </row>
    <row r="6607" spans="1:20" x14ac:dyDescent="0.25">
      <c r="A6607" t="str">
        <f>"3063979"</f>
        <v>3063979</v>
      </c>
      <c r="B6607" t="s">
        <v>20034</v>
      </c>
      <c r="C6607" t="str">
        <f>"82522368"</f>
        <v>82522368</v>
      </c>
      <c r="D6607" t="s">
        <v>19910</v>
      </c>
      <c r="E6607" t="s">
        <v>19911</v>
      </c>
      <c r="F6607" t="s">
        <v>19372</v>
      </c>
      <c r="I6607" t="s">
        <v>184</v>
      </c>
      <c r="J6607" t="s">
        <v>30</v>
      </c>
      <c r="K6607" t="s">
        <v>185</v>
      </c>
      <c r="M6607" t="s">
        <v>18479</v>
      </c>
      <c r="N6607" t="str">
        <f>"5/15/2012 10:53:00 AM"</f>
        <v>5/15/2012 10:53:00 AM</v>
      </c>
      <c r="O6607" t="s">
        <v>19910</v>
      </c>
      <c r="T6607" t="s">
        <v>19911</v>
      </c>
    </row>
    <row r="6608" spans="1:20" x14ac:dyDescent="0.25">
      <c r="A6608" t="str">
        <f>"3051572"</f>
        <v>3051572</v>
      </c>
      <c r="B6608" t="s">
        <v>20035</v>
      </c>
      <c r="C6608" t="str">
        <f>"11970500"</f>
        <v>11970500</v>
      </c>
      <c r="D6608" t="s">
        <v>20036</v>
      </c>
      <c r="E6608" t="s">
        <v>20037</v>
      </c>
      <c r="F6608" t="s">
        <v>20038</v>
      </c>
      <c r="I6608" t="s">
        <v>29</v>
      </c>
      <c r="J6608" t="s">
        <v>30</v>
      </c>
      <c r="K6608" t="s">
        <v>20039</v>
      </c>
      <c r="M6608" t="s">
        <v>19336</v>
      </c>
      <c r="N6608" t="str">
        <f>"5/15/2012 1:16:00 PM"</f>
        <v>5/15/2012 1:16:00 PM</v>
      </c>
      <c r="O6608" t="s">
        <v>20036</v>
      </c>
      <c r="T6608" t="s">
        <v>20037</v>
      </c>
    </row>
    <row r="6609" spans="1:20" x14ac:dyDescent="0.25">
      <c r="A6609" t="str">
        <f>"3043566"</f>
        <v>3043566</v>
      </c>
      <c r="B6609" t="s">
        <v>20040</v>
      </c>
      <c r="C6609" t="str">
        <f>"72036000"</f>
        <v>72036000</v>
      </c>
      <c r="D6609" t="s">
        <v>20041</v>
      </c>
      <c r="E6609" t="s">
        <v>20042</v>
      </c>
      <c r="F6609" t="s">
        <v>20043</v>
      </c>
      <c r="I6609" t="s">
        <v>29</v>
      </c>
      <c r="J6609" t="s">
        <v>30</v>
      </c>
      <c r="K6609" t="s">
        <v>31</v>
      </c>
      <c r="M6609" t="s">
        <v>18479</v>
      </c>
      <c r="N6609" t="str">
        <f>"5/23/2012 9:56:00 AM"</f>
        <v>5/23/2012 9:56:00 AM</v>
      </c>
      <c r="O6609" t="s">
        <v>20041</v>
      </c>
      <c r="T6609" t="s">
        <v>20042</v>
      </c>
    </row>
    <row r="6610" spans="1:20" x14ac:dyDescent="0.25">
      <c r="A6610" t="str">
        <f>"3049247"</f>
        <v>3049247</v>
      </c>
      <c r="B6610" t="s">
        <v>20044</v>
      </c>
      <c r="C6610" t="str">
        <f>"8300404"</f>
        <v>8300404</v>
      </c>
      <c r="D6610" t="s">
        <v>20045</v>
      </c>
      <c r="E6610" t="s">
        <v>20046</v>
      </c>
      <c r="F6610" t="s">
        <v>20047</v>
      </c>
      <c r="I6610" t="s">
        <v>184</v>
      </c>
      <c r="J6610" t="s">
        <v>30</v>
      </c>
      <c r="K6610" t="s">
        <v>185</v>
      </c>
      <c r="M6610" t="s">
        <v>18479</v>
      </c>
      <c r="N6610" t="str">
        <f>"5/23/2012 10:43:00 AM"</f>
        <v>5/23/2012 10:43:00 AM</v>
      </c>
      <c r="O6610" t="s">
        <v>20045</v>
      </c>
      <c r="T6610" t="s">
        <v>20046</v>
      </c>
    </row>
    <row r="6611" spans="1:20" x14ac:dyDescent="0.25">
      <c r="A6611" t="str">
        <f>"3078955"</f>
        <v>3078955</v>
      </c>
      <c r="B6611" t="s">
        <v>20048</v>
      </c>
      <c r="C6611" t="str">
        <f>"66932000"</f>
        <v>66932000</v>
      </c>
      <c r="D6611" t="s">
        <v>19930</v>
      </c>
      <c r="E6611" t="s">
        <v>19931</v>
      </c>
      <c r="F6611" t="s">
        <v>19932</v>
      </c>
      <c r="I6611" t="s">
        <v>29</v>
      </c>
      <c r="J6611" t="s">
        <v>30</v>
      </c>
      <c r="K6611" t="s">
        <v>19933</v>
      </c>
      <c r="M6611" t="s">
        <v>18479</v>
      </c>
      <c r="N6611" t="str">
        <f>"5/16/2012 9:13:00 AM"</f>
        <v>5/16/2012 9:13:00 AM</v>
      </c>
      <c r="O6611" t="s">
        <v>19930</v>
      </c>
      <c r="T6611" t="s">
        <v>19931</v>
      </c>
    </row>
    <row r="6612" spans="1:20" x14ac:dyDescent="0.25">
      <c r="A6612" t="str">
        <f>"3044219"</f>
        <v>3044219</v>
      </c>
      <c r="B6612" t="s">
        <v>20049</v>
      </c>
      <c r="C6612" t="str">
        <f>"82520979"</f>
        <v>82520979</v>
      </c>
      <c r="D6612" t="s">
        <v>20050</v>
      </c>
      <c r="E6612" t="s">
        <v>20051</v>
      </c>
      <c r="F6612" t="s">
        <v>20052</v>
      </c>
      <c r="I6612" t="s">
        <v>184</v>
      </c>
      <c r="J6612" t="s">
        <v>30</v>
      </c>
      <c r="K6612" t="s">
        <v>185</v>
      </c>
      <c r="M6612" t="s">
        <v>18479</v>
      </c>
      <c r="N6612" t="str">
        <f>"5/16/2012 1:29:00 PM"</f>
        <v>5/16/2012 1:29:00 PM</v>
      </c>
      <c r="O6612" t="s">
        <v>20050</v>
      </c>
      <c r="T6612" t="s">
        <v>20051</v>
      </c>
    </row>
    <row r="6613" spans="1:20" x14ac:dyDescent="0.25">
      <c r="A6613" t="str">
        <f>"3066370"</f>
        <v>3066370</v>
      </c>
      <c r="B6613" t="s">
        <v>20053</v>
      </c>
      <c r="C6613" t="str">
        <f>"72190250"</f>
        <v>72190250</v>
      </c>
      <c r="D6613" t="s">
        <v>20054</v>
      </c>
      <c r="E6613" t="s">
        <v>20055</v>
      </c>
      <c r="F6613" t="s">
        <v>20056</v>
      </c>
      <c r="I6613" t="s">
        <v>29</v>
      </c>
      <c r="J6613" t="s">
        <v>30</v>
      </c>
      <c r="K6613" t="s">
        <v>594</v>
      </c>
      <c r="M6613" t="s">
        <v>18479</v>
      </c>
      <c r="N6613" t="str">
        <f>"5/23/2012 1:15:00 PM"</f>
        <v>5/23/2012 1:15:00 PM</v>
      </c>
      <c r="O6613" t="s">
        <v>20054</v>
      </c>
      <c r="T6613" t="s">
        <v>20055</v>
      </c>
    </row>
    <row r="6614" spans="1:20" x14ac:dyDescent="0.25">
      <c r="A6614" t="str">
        <f>"3045596"</f>
        <v>3045596</v>
      </c>
      <c r="B6614" t="s">
        <v>20057</v>
      </c>
      <c r="C6614" t="str">
        <f>"72336500"</f>
        <v>72336500</v>
      </c>
      <c r="D6614" t="s">
        <v>20058</v>
      </c>
      <c r="E6614" t="s">
        <v>20059</v>
      </c>
      <c r="F6614" t="s">
        <v>20060</v>
      </c>
      <c r="I6614" t="s">
        <v>29</v>
      </c>
      <c r="J6614" t="s">
        <v>30</v>
      </c>
      <c r="K6614" t="s">
        <v>31</v>
      </c>
      <c r="M6614" t="s">
        <v>18479</v>
      </c>
      <c r="N6614" t="str">
        <f>"5/23/2012 1:56:00 PM"</f>
        <v>5/23/2012 1:56:00 PM</v>
      </c>
      <c r="O6614" t="s">
        <v>20058</v>
      </c>
      <c r="T6614" t="s">
        <v>20059</v>
      </c>
    </row>
    <row r="6615" spans="1:20" x14ac:dyDescent="0.25">
      <c r="A6615" t="str">
        <f>"3047094"</f>
        <v>3047094</v>
      </c>
      <c r="B6615" t="s">
        <v>20061</v>
      </c>
      <c r="C6615" t="str">
        <f>"67714000"</f>
        <v>67714000</v>
      </c>
      <c r="D6615" t="s">
        <v>19944</v>
      </c>
      <c r="E6615" t="s">
        <v>19945</v>
      </c>
      <c r="F6615" t="s">
        <v>12291</v>
      </c>
      <c r="I6615" t="s">
        <v>29</v>
      </c>
      <c r="J6615" t="s">
        <v>30</v>
      </c>
      <c r="K6615" t="s">
        <v>19946</v>
      </c>
      <c r="M6615" t="s">
        <v>18479</v>
      </c>
      <c r="N6615" t="str">
        <f>"5/16/2012 2:32:00 PM"</f>
        <v>5/16/2012 2:32:00 PM</v>
      </c>
      <c r="O6615" t="s">
        <v>19944</v>
      </c>
      <c r="T6615" t="s">
        <v>19945</v>
      </c>
    </row>
    <row r="6616" spans="1:20" x14ac:dyDescent="0.25">
      <c r="A6616" t="str">
        <f>"3057793"</f>
        <v>3057793</v>
      </c>
      <c r="B6616" t="s">
        <v>20062</v>
      </c>
      <c r="C6616" t="str">
        <f>"8300308"</f>
        <v>8300308</v>
      </c>
      <c r="D6616" t="s">
        <v>20063</v>
      </c>
      <c r="F6616" t="s">
        <v>20064</v>
      </c>
      <c r="I6616" t="s">
        <v>29</v>
      </c>
      <c r="J6616" t="s">
        <v>30</v>
      </c>
      <c r="K6616" t="s">
        <v>31</v>
      </c>
      <c r="M6616" t="s">
        <v>18479</v>
      </c>
      <c r="N6616" t="str">
        <f>"5/17/2012 9:17:00 AM"</f>
        <v>5/17/2012 9:17:00 AM</v>
      </c>
      <c r="O6616" t="s">
        <v>20063</v>
      </c>
    </row>
    <row r="6617" spans="1:20" x14ac:dyDescent="0.25">
      <c r="A6617" t="str">
        <f>"3038887"</f>
        <v>3038887</v>
      </c>
      <c r="B6617" t="s">
        <v>20065</v>
      </c>
      <c r="C6617" t="str">
        <f>"82524799"</f>
        <v>82524799</v>
      </c>
      <c r="D6617" t="s">
        <v>20066</v>
      </c>
      <c r="F6617" t="s">
        <v>20067</v>
      </c>
      <c r="I6617" t="s">
        <v>29</v>
      </c>
      <c r="J6617" t="s">
        <v>30</v>
      </c>
      <c r="K6617" t="s">
        <v>1087</v>
      </c>
      <c r="M6617" t="s">
        <v>18479</v>
      </c>
      <c r="N6617" t="str">
        <f>"5/24/2012 8:38:00 AM"</f>
        <v>5/24/2012 8:38:00 AM</v>
      </c>
      <c r="O6617" t="s">
        <v>20066</v>
      </c>
    </row>
    <row r="6618" spans="1:20" x14ac:dyDescent="0.25">
      <c r="A6618" t="str">
        <f>"3057588"</f>
        <v>3057588</v>
      </c>
      <c r="B6618" t="s">
        <v>20068</v>
      </c>
      <c r="C6618" t="str">
        <f>"72627500"</f>
        <v>72627500</v>
      </c>
      <c r="D6618" t="s">
        <v>20069</v>
      </c>
      <c r="E6618" t="s">
        <v>20070</v>
      </c>
      <c r="F6618" t="s">
        <v>20071</v>
      </c>
      <c r="I6618" t="s">
        <v>29</v>
      </c>
      <c r="J6618" t="s">
        <v>30</v>
      </c>
      <c r="K6618" t="s">
        <v>20072</v>
      </c>
      <c r="M6618" t="s">
        <v>18479</v>
      </c>
      <c r="N6618" t="str">
        <f>"5/24/2012 8:40:00 AM"</f>
        <v>5/24/2012 8:40:00 AM</v>
      </c>
      <c r="O6618" t="s">
        <v>20069</v>
      </c>
      <c r="T6618" t="s">
        <v>20070</v>
      </c>
    </row>
    <row r="6619" spans="1:20" x14ac:dyDescent="0.25">
      <c r="A6619" t="str">
        <f>"3056923"</f>
        <v>3056923</v>
      </c>
      <c r="B6619" t="s">
        <v>20073</v>
      </c>
      <c r="C6619" t="str">
        <f>"72627500"</f>
        <v>72627500</v>
      </c>
      <c r="D6619" t="s">
        <v>20069</v>
      </c>
      <c r="E6619" t="s">
        <v>20070</v>
      </c>
      <c r="F6619" t="s">
        <v>20071</v>
      </c>
      <c r="I6619" t="s">
        <v>29</v>
      </c>
      <c r="J6619" t="s">
        <v>30</v>
      </c>
      <c r="K6619" t="s">
        <v>20072</v>
      </c>
      <c r="M6619" t="s">
        <v>18479</v>
      </c>
      <c r="N6619" t="str">
        <f>"5/24/2012 8:40:00 AM"</f>
        <v>5/24/2012 8:40:00 AM</v>
      </c>
      <c r="O6619" t="s">
        <v>20069</v>
      </c>
      <c r="T6619" t="s">
        <v>20070</v>
      </c>
    </row>
    <row r="6620" spans="1:20" x14ac:dyDescent="0.25">
      <c r="A6620" t="str">
        <f>"3060695"</f>
        <v>3060695</v>
      </c>
      <c r="B6620" t="s">
        <v>20074</v>
      </c>
      <c r="C6620" t="str">
        <f>"8300163"</f>
        <v>8300163</v>
      </c>
      <c r="D6620" t="s">
        <v>20075</v>
      </c>
      <c r="E6620" t="s">
        <v>20076</v>
      </c>
      <c r="F6620" t="s">
        <v>20077</v>
      </c>
      <c r="I6620" t="s">
        <v>2071</v>
      </c>
      <c r="J6620" t="s">
        <v>30</v>
      </c>
      <c r="K6620" t="s">
        <v>20078</v>
      </c>
      <c r="M6620" t="s">
        <v>18479</v>
      </c>
      <c r="N6620" t="str">
        <f>"5/24/2012 9:19:00 AM"</f>
        <v>5/24/2012 9:19:00 AM</v>
      </c>
      <c r="O6620" t="s">
        <v>20075</v>
      </c>
      <c r="T6620" t="s">
        <v>20076</v>
      </c>
    </row>
    <row r="6621" spans="1:20" x14ac:dyDescent="0.25">
      <c r="A6621" t="str">
        <f>"3039058"</f>
        <v>3039058</v>
      </c>
      <c r="B6621" t="s">
        <v>20079</v>
      </c>
      <c r="C6621" t="str">
        <f>"8300781"</f>
        <v>8300781</v>
      </c>
      <c r="D6621" t="s">
        <v>20080</v>
      </c>
      <c r="E6621" t="s">
        <v>20081</v>
      </c>
      <c r="F6621" t="s">
        <v>20082</v>
      </c>
      <c r="I6621" t="s">
        <v>29</v>
      </c>
      <c r="J6621" t="s">
        <v>30</v>
      </c>
      <c r="K6621" t="str">
        <f>"27028"</f>
        <v>27028</v>
      </c>
      <c r="M6621" t="s">
        <v>17861</v>
      </c>
      <c r="N6621" t="str">
        <f>"5/24/2012 10:06:00 AM"</f>
        <v>5/24/2012 10:06:00 AM</v>
      </c>
      <c r="O6621" t="s">
        <v>20080</v>
      </c>
      <c r="T6621" t="s">
        <v>20081</v>
      </c>
    </row>
    <row r="6622" spans="1:20" x14ac:dyDescent="0.25">
      <c r="A6622" t="str">
        <f>"3045917"</f>
        <v>3045917</v>
      </c>
      <c r="B6622" t="s">
        <v>20083</v>
      </c>
      <c r="C6622" t="str">
        <f>"62888000"</f>
        <v>62888000</v>
      </c>
      <c r="D6622" t="s">
        <v>20084</v>
      </c>
      <c r="E6622" t="s">
        <v>20085</v>
      </c>
      <c r="F6622" t="s">
        <v>20086</v>
      </c>
      <c r="I6622" t="s">
        <v>29</v>
      </c>
      <c r="J6622" t="s">
        <v>30</v>
      </c>
      <c r="K6622" t="s">
        <v>31</v>
      </c>
      <c r="M6622" t="s">
        <v>18479</v>
      </c>
      <c r="N6622" t="str">
        <f>"5/7/2012 2:38:00 PM"</f>
        <v>5/7/2012 2:38:00 PM</v>
      </c>
      <c r="O6622" t="s">
        <v>20084</v>
      </c>
      <c r="T6622" t="s">
        <v>20085</v>
      </c>
    </row>
    <row r="6623" spans="1:20" x14ac:dyDescent="0.25">
      <c r="A6623" t="str">
        <f>"3061405"</f>
        <v>3061405</v>
      </c>
      <c r="B6623" t="s">
        <v>20087</v>
      </c>
      <c r="C6623" t="str">
        <f>"73008600"</f>
        <v>73008600</v>
      </c>
      <c r="D6623" t="s">
        <v>20088</v>
      </c>
      <c r="E6623" t="s">
        <v>20089</v>
      </c>
      <c r="F6623" t="s">
        <v>20090</v>
      </c>
      <c r="I6623" t="s">
        <v>184</v>
      </c>
      <c r="J6623" t="s">
        <v>30</v>
      </c>
      <c r="K6623" t="s">
        <v>5339</v>
      </c>
      <c r="M6623" t="s">
        <v>18479</v>
      </c>
      <c r="N6623" t="str">
        <f>"5/24/2012 12:16:00 PM"</f>
        <v>5/24/2012 12:16:00 PM</v>
      </c>
      <c r="O6623" t="s">
        <v>20088</v>
      </c>
      <c r="T6623" t="s">
        <v>20089</v>
      </c>
    </row>
    <row r="6624" spans="1:20" x14ac:dyDescent="0.25">
      <c r="A6624" t="str">
        <f>"3054560"</f>
        <v>3054560</v>
      </c>
      <c r="B6624" t="s">
        <v>20091</v>
      </c>
      <c r="C6624" t="str">
        <f>"82532977"</f>
        <v>82532977</v>
      </c>
      <c r="D6624" t="s">
        <v>20092</v>
      </c>
      <c r="E6624" t="s">
        <v>20093</v>
      </c>
      <c r="F6624" t="s">
        <v>20094</v>
      </c>
      <c r="I6624" t="s">
        <v>29</v>
      </c>
      <c r="J6624" t="s">
        <v>30</v>
      </c>
      <c r="K6624" t="s">
        <v>31</v>
      </c>
      <c r="M6624" t="s">
        <v>18479</v>
      </c>
      <c r="N6624" t="str">
        <f>"5/24/2012 12:36:00 PM"</f>
        <v>5/24/2012 12:36:00 PM</v>
      </c>
      <c r="O6624" t="s">
        <v>20092</v>
      </c>
      <c r="T6624" t="s">
        <v>20093</v>
      </c>
    </row>
    <row r="6625" spans="1:20" x14ac:dyDescent="0.25">
      <c r="A6625" t="str">
        <f>"3046321"</f>
        <v>3046321</v>
      </c>
      <c r="B6625" t="s">
        <v>20095</v>
      </c>
      <c r="C6625" t="str">
        <f>"62888000"</f>
        <v>62888000</v>
      </c>
      <c r="D6625" t="s">
        <v>20084</v>
      </c>
      <c r="E6625" t="s">
        <v>20085</v>
      </c>
      <c r="F6625" t="s">
        <v>20086</v>
      </c>
      <c r="I6625" t="s">
        <v>29</v>
      </c>
      <c r="J6625" t="s">
        <v>30</v>
      </c>
      <c r="K6625" t="s">
        <v>31</v>
      </c>
      <c r="M6625" t="s">
        <v>18479</v>
      </c>
      <c r="N6625" t="str">
        <f>"5/7/2012 2:38:00 PM"</f>
        <v>5/7/2012 2:38:00 PM</v>
      </c>
      <c r="O6625" t="s">
        <v>20084</v>
      </c>
      <c r="T6625" t="s">
        <v>20085</v>
      </c>
    </row>
    <row r="6626" spans="1:20" x14ac:dyDescent="0.25">
      <c r="A6626" t="str">
        <f>"3038866"</f>
        <v>3038866</v>
      </c>
      <c r="B6626" t="s">
        <v>20096</v>
      </c>
      <c r="C6626" t="str">
        <f>"63251000"</f>
        <v>63251000</v>
      </c>
      <c r="D6626" t="s">
        <v>20097</v>
      </c>
      <c r="E6626" t="s">
        <v>20098</v>
      </c>
      <c r="F6626" t="s">
        <v>20099</v>
      </c>
      <c r="I6626" t="s">
        <v>29</v>
      </c>
      <c r="J6626" t="s">
        <v>30</v>
      </c>
      <c r="K6626" t="s">
        <v>1189</v>
      </c>
      <c r="M6626" t="s">
        <v>18479</v>
      </c>
      <c r="N6626" t="str">
        <f>"5/8/2012 10:51:00 AM"</f>
        <v>5/8/2012 10:51:00 AM</v>
      </c>
      <c r="O6626" t="s">
        <v>20097</v>
      </c>
      <c r="T6626" t="s">
        <v>20098</v>
      </c>
    </row>
    <row r="6627" spans="1:20" x14ac:dyDescent="0.25">
      <c r="A6627" t="str">
        <f>"3056487"</f>
        <v>3056487</v>
      </c>
      <c r="B6627" t="s">
        <v>20100</v>
      </c>
      <c r="C6627" t="str">
        <f>"73743000"</f>
        <v>73743000</v>
      </c>
      <c r="D6627" t="s">
        <v>20101</v>
      </c>
      <c r="F6627" t="s">
        <v>20102</v>
      </c>
      <c r="I6627" t="s">
        <v>9580</v>
      </c>
      <c r="J6627" t="s">
        <v>30</v>
      </c>
      <c r="K6627" t="s">
        <v>20103</v>
      </c>
      <c r="M6627" t="s">
        <v>18479</v>
      </c>
      <c r="N6627" t="str">
        <f>"5/24/2012 3:24:00 PM"</f>
        <v>5/24/2012 3:24:00 PM</v>
      </c>
      <c r="O6627" t="s">
        <v>20101</v>
      </c>
      <c r="T6627" t="s">
        <v>20101</v>
      </c>
    </row>
    <row r="6628" spans="1:20" x14ac:dyDescent="0.25">
      <c r="A6628" t="str">
        <f>"3061771"</f>
        <v>3061771</v>
      </c>
      <c r="B6628" t="s">
        <v>20104</v>
      </c>
      <c r="C6628" t="str">
        <f>"82532380"</f>
        <v>82532380</v>
      </c>
      <c r="D6628" t="s">
        <v>20105</v>
      </c>
      <c r="F6628" t="s">
        <v>20106</v>
      </c>
      <c r="I6628" t="s">
        <v>2071</v>
      </c>
      <c r="J6628" t="s">
        <v>30</v>
      </c>
      <c r="K6628" t="s">
        <v>185</v>
      </c>
      <c r="M6628" t="s">
        <v>18479</v>
      </c>
      <c r="N6628" t="str">
        <f>"5/17/2012 1:59:00 PM"</f>
        <v>5/17/2012 1:59:00 PM</v>
      </c>
      <c r="O6628" t="s">
        <v>20105</v>
      </c>
    </row>
    <row r="6629" spans="1:20" x14ac:dyDescent="0.25">
      <c r="A6629" t="str">
        <f>"3044789"</f>
        <v>3044789</v>
      </c>
      <c r="B6629" t="s">
        <v>20107</v>
      </c>
      <c r="C6629" t="str">
        <f>"8300379"</f>
        <v>8300379</v>
      </c>
      <c r="D6629" t="s">
        <v>20108</v>
      </c>
      <c r="E6629" t="s">
        <v>20109</v>
      </c>
      <c r="F6629" t="s">
        <v>20110</v>
      </c>
      <c r="I6629" t="s">
        <v>184</v>
      </c>
      <c r="J6629" t="s">
        <v>30</v>
      </c>
      <c r="K6629" t="s">
        <v>185</v>
      </c>
      <c r="M6629" t="s">
        <v>18479</v>
      </c>
      <c r="N6629" t="str">
        <f>"5/29/2012 12:49:00 PM"</f>
        <v>5/29/2012 12:49:00 PM</v>
      </c>
      <c r="O6629" t="s">
        <v>20108</v>
      </c>
      <c r="T6629" t="s">
        <v>20109</v>
      </c>
    </row>
    <row r="6630" spans="1:20" x14ac:dyDescent="0.25">
      <c r="A6630" t="str">
        <f>"3052640"</f>
        <v>3052640</v>
      </c>
      <c r="B6630" t="s">
        <v>20111</v>
      </c>
      <c r="C6630" t="str">
        <f>"74374370"</f>
        <v>74374370</v>
      </c>
      <c r="D6630" t="s">
        <v>20112</v>
      </c>
      <c r="F6630" t="s">
        <v>20113</v>
      </c>
      <c r="I6630" t="s">
        <v>29</v>
      </c>
      <c r="J6630" t="s">
        <v>30</v>
      </c>
      <c r="K6630" t="s">
        <v>31</v>
      </c>
      <c r="M6630" t="s">
        <v>18479</v>
      </c>
      <c r="N6630" t="str">
        <f>"5/29/2012 1:09:00 PM"</f>
        <v>5/29/2012 1:09:00 PM</v>
      </c>
      <c r="O6630" t="s">
        <v>20112</v>
      </c>
    </row>
    <row r="6631" spans="1:20" x14ac:dyDescent="0.25">
      <c r="A6631" t="str">
        <f>"3045148"</f>
        <v>3045148</v>
      </c>
      <c r="B6631" t="s">
        <v>20114</v>
      </c>
      <c r="C6631" t="str">
        <f>"74684000"</f>
        <v>74684000</v>
      </c>
      <c r="D6631" t="s">
        <v>7755</v>
      </c>
      <c r="E6631" t="s">
        <v>20115</v>
      </c>
      <c r="F6631" t="s">
        <v>7756</v>
      </c>
      <c r="I6631" t="s">
        <v>29</v>
      </c>
      <c r="J6631" t="s">
        <v>30</v>
      </c>
      <c r="K6631" t="s">
        <v>7753</v>
      </c>
      <c r="M6631" t="s">
        <v>18479</v>
      </c>
      <c r="N6631" t="str">
        <f>"5/29/2012 1:56:00 PM"</f>
        <v>5/29/2012 1:56:00 PM</v>
      </c>
      <c r="O6631" t="s">
        <v>7755</v>
      </c>
      <c r="T6631" t="s">
        <v>20115</v>
      </c>
    </row>
    <row r="6632" spans="1:20" x14ac:dyDescent="0.25">
      <c r="A6632" t="str">
        <f>"3045736"</f>
        <v>3045736</v>
      </c>
      <c r="B6632" t="s">
        <v>20116</v>
      </c>
      <c r="C6632" t="str">
        <f>"74684000"</f>
        <v>74684000</v>
      </c>
      <c r="D6632" t="s">
        <v>7755</v>
      </c>
      <c r="E6632" t="s">
        <v>20115</v>
      </c>
      <c r="F6632" t="s">
        <v>7756</v>
      </c>
      <c r="I6632" t="s">
        <v>29</v>
      </c>
      <c r="J6632" t="s">
        <v>30</v>
      </c>
      <c r="K6632" t="s">
        <v>7753</v>
      </c>
      <c r="M6632" t="s">
        <v>18479</v>
      </c>
      <c r="N6632" t="str">
        <f>"5/29/2012 1:56:00 PM"</f>
        <v>5/29/2012 1:56:00 PM</v>
      </c>
      <c r="O6632" t="s">
        <v>7755</v>
      </c>
      <c r="T6632" t="s">
        <v>20115</v>
      </c>
    </row>
    <row r="6633" spans="1:20" x14ac:dyDescent="0.25">
      <c r="A6633" t="str">
        <f>"3045272"</f>
        <v>3045272</v>
      </c>
      <c r="B6633" t="s">
        <v>20117</v>
      </c>
      <c r="C6633" t="str">
        <f>"74684000"</f>
        <v>74684000</v>
      </c>
      <c r="D6633" t="s">
        <v>7755</v>
      </c>
      <c r="E6633" t="s">
        <v>20115</v>
      </c>
      <c r="F6633" t="s">
        <v>7756</v>
      </c>
      <c r="I6633" t="s">
        <v>29</v>
      </c>
      <c r="J6633" t="s">
        <v>30</v>
      </c>
      <c r="K6633" t="s">
        <v>7753</v>
      </c>
      <c r="M6633" t="s">
        <v>18479</v>
      </c>
      <c r="N6633" t="str">
        <f>"5/29/2012 1:56:00 PM"</f>
        <v>5/29/2012 1:56:00 PM</v>
      </c>
      <c r="O6633" t="s">
        <v>7755</v>
      </c>
      <c r="T6633" t="s">
        <v>20115</v>
      </c>
    </row>
    <row r="6634" spans="1:20" x14ac:dyDescent="0.25">
      <c r="A6634" t="str">
        <f>"3044766"</f>
        <v>3044766</v>
      </c>
      <c r="B6634" t="s">
        <v>20118</v>
      </c>
      <c r="C6634" t="str">
        <f>"8300236"</f>
        <v>8300236</v>
      </c>
      <c r="D6634" t="s">
        <v>20119</v>
      </c>
      <c r="E6634" t="s">
        <v>20120</v>
      </c>
      <c r="F6634" t="s">
        <v>20121</v>
      </c>
      <c r="I6634" t="s">
        <v>184</v>
      </c>
      <c r="J6634" t="s">
        <v>30</v>
      </c>
      <c r="K6634" t="s">
        <v>185</v>
      </c>
      <c r="M6634" t="s">
        <v>18479</v>
      </c>
      <c r="N6634" t="str">
        <f>"5/29/2012 2:21:00 PM"</f>
        <v>5/29/2012 2:21:00 PM</v>
      </c>
      <c r="O6634" t="s">
        <v>20119</v>
      </c>
      <c r="T6634" t="s">
        <v>20120</v>
      </c>
    </row>
    <row r="6635" spans="1:20" x14ac:dyDescent="0.25">
      <c r="A6635" t="str">
        <f>"3042034"</f>
        <v>3042034</v>
      </c>
      <c r="B6635" t="s">
        <v>20122</v>
      </c>
      <c r="C6635" t="str">
        <f>"82532353"</f>
        <v>82532353</v>
      </c>
      <c r="D6635" t="s">
        <v>20123</v>
      </c>
      <c r="F6635" t="s">
        <v>6317</v>
      </c>
      <c r="I6635" t="s">
        <v>184</v>
      </c>
      <c r="J6635" t="s">
        <v>30</v>
      </c>
      <c r="K6635" t="s">
        <v>185</v>
      </c>
      <c r="M6635" t="s">
        <v>18479</v>
      </c>
      <c r="N6635" t="str">
        <f>"5/17/2012 2:19:00 PM"</f>
        <v>5/17/2012 2:19:00 PM</v>
      </c>
      <c r="O6635" t="s">
        <v>20123</v>
      </c>
    </row>
    <row r="6636" spans="1:20" x14ac:dyDescent="0.25">
      <c r="A6636" t="str">
        <f>"3040473"</f>
        <v>3040473</v>
      </c>
      <c r="B6636" t="s">
        <v>20124</v>
      </c>
      <c r="C6636" t="str">
        <f>"82523376"</f>
        <v>82523376</v>
      </c>
      <c r="D6636" t="s">
        <v>20125</v>
      </c>
      <c r="E6636" t="s">
        <v>20126</v>
      </c>
      <c r="F6636" t="s">
        <v>20127</v>
      </c>
      <c r="I6636" t="s">
        <v>184</v>
      </c>
      <c r="J6636" t="s">
        <v>30</v>
      </c>
      <c r="K6636" t="s">
        <v>20128</v>
      </c>
      <c r="M6636" t="s">
        <v>18432</v>
      </c>
      <c r="N6636" t="str">
        <f>"5/18/2012 10:23:00 AM"</f>
        <v>5/18/2012 10:23:00 AM</v>
      </c>
      <c r="O6636" t="s">
        <v>20125</v>
      </c>
      <c r="T6636" t="s">
        <v>20126</v>
      </c>
    </row>
    <row r="6637" spans="1:20" x14ac:dyDescent="0.25">
      <c r="A6637" t="str">
        <f>"3050165"</f>
        <v>3050165</v>
      </c>
      <c r="B6637" t="s">
        <v>20129</v>
      </c>
      <c r="C6637" t="str">
        <f>"20932000"</f>
        <v>20932000</v>
      </c>
      <c r="D6637" t="s">
        <v>20130</v>
      </c>
      <c r="E6637" t="s">
        <v>20131</v>
      </c>
      <c r="F6637" t="s">
        <v>20132</v>
      </c>
      <c r="I6637" t="s">
        <v>9580</v>
      </c>
      <c r="J6637" t="s">
        <v>30</v>
      </c>
      <c r="K6637" t="s">
        <v>20133</v>
      </c>
      <c r="M6637" t="s">
        <v>20134</v>
      </c>
      <c r="N6637" t="str">
        <f>"5/18/2012 3:05:00 PM"</f>
        <v>5/18/2012 3:05:00 PM</v>
      </c>
      <c r="O6637" t="s">
        <v>20130</v>
      </c>
      <c r="T6637" t="s">
        <v>20131</v>
      </c>
    </row>
    <row r="6638" spans="1:20" x14ac:dyDescent="0.25">
      <c r="A6638" t="str">
        <f>"3044443"</f>
        <v>3044443</v>
      </c>
      <c r="B6638" t="s">
        <v>20135</v>
      </c>
      <c r="C6638" t="str">
        <f>"8300977"</f>
        <v>8300977</v>
      </c>
      <c r="D6638" t="s">
        <v>20136</v>
      </c>
      <c r="E6638" t="s">
        <v>20137</v>
      </c>
      <c r="F6638" t="s">
        <v>20138</v>
      </c>
      <c r="I6638" t="s">
        <v>184</v>
      </c>
      <c r="J6638" t="s">
        <v>30</v>
      </c>
      <c r="K6638" t="str">
        <f>"27006"</f>
        <v>27006</v>
      </c>
      <c r="M6638" t="s">
        <v>17861</v>
      </c>
      <c r="N6638" t="str">
        <f>"5/21/2012 3:21:00 PM"</f>
        <v>5/21/2012 3:21:00 PM</v>
      </c>
      <c r="O6638" t="s">
        <v>20136</v>
      </c>
      <c r="T6638" t="s">
        <v>20137</v>
      </c>
    </row>
    <row r="6639" spans="1:20" x14ac:dyDescent="0.25">
      <c r="A6639" t="str">
        <f>"3076858"</f>
        <v>3076858</v>
      </c>
      <c r="B6639" t="s">
        <v>20139</v>
      </c>
      <c r="C6639" t="str">
        <f>"8301005"</f>
        <v>8301005</v>
      </c>
      <c r="D6639" t="s">
        <v>20140</v>
      </c>
      <c r="F6639" t="s">
        <v>20141</v>
      </c>
      <c r="I6639" t="s">
        <v>29</v>
      </c>
      <c r="J6639" t="s">
        <v>30</v>
      </c>
      <c r="K6639" t="str">
        <f>"27028"</f>
        <v>27028</v>
      </c>
      <c r="M6639" t="s">
        <v>17861</v>
      </c>
      <c r="N6639" t="str">
        <f>"5/30/2012 9:21:00 AM"</f>
        <v>5/30/2012 9:21:00 AM</v>
      </c>
      <c r="O6639" t="s">
        <v>20140</v>
      </c>
    </row>
    <row r="6640" spans="1:20" x14ac:dyDescent="0.25">
      <c r="A6640" t="str">
        <f>"3050839"</f>
        <v>3050839</v>
      </c>
      <c r="B6640" t="s">
        <v>20142</v>
      </c>
      <c r="C6640" t="str">
        <f>"8300978"</f>
        <v>8300978</v>
      </c>
      <c r="D6640" t="s">
        <v>20143</v>
      </c>
      <c r="F6640" t="s">
        <v>20144</v>
      </c>
      <c r="I6640" t="s">
        <v>184</v>
      </c>
      <c r="J6640" t="s">
        <v>30</v>
      </c>
      <c r="K6640" t="str">
        <f>"27006"</f>
        <v>27006</v>
      </c>
      <c r="M6640" t="s">
        <v>17861</v>
      </c>
      <c r="N6640" t="str">
        <f>"5/21/2012 3:42:00 PM"</f>
        <v>5/21/2012 3:42:00 PM</v>
      </c>
      <c r="O6640" t="s">
        <v>20143</v>
      </c>
    </row>
    <row r="6641" spans="1:20" x14ac:dyDescent="0.25">
      <c r="A6641" t="str">
        <f>"3047174"</f>
        <v>3047174</v>
      </c>
      <c r="B6641" t="s">
        <v>20145</v>
      </c>
      <c r="C6641" t="str">
        <f>"51560000"</f>
        <v>51560000</v>
      </c>
      <c r="D6641" t="s">
        <v>20146</v>
      </c>
      <c r="E6641" t="s">
        <v>20147</v>
      </c>
      <c r="F6641" t="s">
        <v>20148</v>
      </c>
      <c r="I6641" t="s">
        <v>29</v>
      </c>
      <c r="J6641" t="s">
        <v>30</v>
      </c>
      <c r="K6641" t="s">
        <v>7356</v>
      </c>
      <c r="M6641" t="s">
        <v>17861</v>
      </c>
      <c r="N6641" t="str">
        <f>"5/21/2012 4:20:00 PM"</f>
        <v>5/21/2012 4:20:00 PM</v>
      </c>
      <c r="O6641" t="s">
        <v>20146</v>
      </c>
      <c r="T6641" t="s">
        <v>20147</v>
      </c>
    </row>
    <row r="6642" spans="1:20" x14ac:dyDescent="0.25">
      <c r="A6642" t="str">
        <f>"3044046"</f>
        <v>3044046</v>
      </c>
      <c r="B6642" t="s">
        <v>20149</v>
      </c>
      <c r="C6642" t="str">
        <f>"82525559"</f>
        <v>82525559</v>
      </c>
      <c r="D6642" t="s">
        <v>20150</v>
      </c>
      <c r="E6642" t="str">
        <f>"C/O PAM HARPE"</f>
        <v>C/O PAM HARPE</v>
      </c>
      <c r="F6642" t="s">
        <v>17570</v>
      </c>
      <c r="I6642" t="s">
        <v>184</v>
      </c>
      <c r="J6642" t="s">
        <v>30</v>
      </c>
      <c r="K6642" t="s">
        <v>185</v>
      </c>
      <c r="M6642" t="s">
        <v>18479</v>
      </c>
      <c r="N6642" t="str">
        <f>"5/30/2012 10:02:00 AM"</f>
        <v>5/30/2012 10:02:00 AM</v>
      </c>
      <c r="O6642" t="s">
        <v>20150</v>
      </c>
      <c r="T6642" t="str">
        <f>"C/O PAM HARPE"</f>
        <v>C/O PAM HARPE</v>
      </c>
    </row>
    <row r="6643" spans="1:20" x14ac:dyDescent="0.25">
      <c r="A6643" t="str">
        <f>"3057116"</f>
        <v>3057116</v>
      </c>
      <c r="B6643" t="s">
        <v>20151</v>
      </c>
      <c r="C6643" t="str">
        <f>"8301010"</f>
        <v>8301010</v>
      </c>
      <c r="D6643" t="s">
        <v>20152</v>
      </c>
      <c r="E6643" t="s">
        <v>20153</v>
      </c>
      <c r="F6643" t="s">
        <v>20154</v>
      </c>
      <c r="I6643" t="s">
        <v>402</v>
      </c>
      <c r="J6643" t="s">
        <v>30</v>
      </c>
      <c r="K6643" t="str">
        <f>"27012"</f>
        <v>27012</v>
      </c>
      <c r="M6643" t="s">
        <v>17861</v>
      </c>
      <c r="N6643" t="str">
        <f>"5/30/2012 10:28:00 AM"</f>
        <v>5/30/2012 10:28:00 AM</v>
      </c>
      <c r="O6643" t="s">
        <v>20152</v>
      </c>
      <c r="T6643" t="s">
        <v>20153</v>
      </c>
    </row>
    <row r="6644" spans="1:20" x14ac:dyDescent="0.25">
      <c r="A6644" t="str">
        <f>"3047965"</f>
        <v>3047965</v>
      </c>
      <c r="B6644" t="s">
        <v>20155</v>
      </c>
      <c r="C6644" t="str">
        <f>"76684000"</f>
        <v>76684000</v>
      </c>
      <c r="D6644" t="s">
        <v>20156</v>
      </c>
      <c r="E6644" t="s">
        <v>20157</v>
      </c>
      <c r="F6644" t="s">
        <v>20158</v>
      </c>
      <c r="I6644" t="s">
        <v>184</v>
      </c>
      <c r="J6644" t="s">
        <v>30</v>
      </c>
      <c r="K6644" t="s">
        <v>10511</v>
      </c>
      <c r="M6644" t="s">
        <v>18479</v>
      </c>
      <c r="N6644" t="str">
        <f>"5/30/2012 1:12:00 PM"</f>
        <v>5/30/2012 1:12:00 PM</v>
      </c>
      <c r="O6644" t="s">
        <v>20156</v>
      </c>
      <c r="T6644" t="s">
        <v>20157</v>
      </c>
    </row>
    <row r="6645" spans="1:20" x14ac:dyDescent="0.25">
      <c r="A6645" t="str">
        <f>"3048148"</f>
        <v>3048148</v>
      </c>
      <c r="B6645" t="s">
        <v>20159</v>
      </c>
      <c r="C6645" t="str">
        <f>"76684000"</f>
        <v>76684000</v>
      </c>
      <c r="D6645" t="s">
        <v>20156</v>
      </c>
      <c r="E6645" t="s">
        <v>20157</v>
      </c>
      <c r="F6645" t="s">
        <v>20158</v>
      </c>
      <c r="I6645" t="s">
        <v>184</v>
      </c>
      <c r="J6645" t="s">
        <v>30</v>
      </c>
      <c r="K6645" t="s">
        <v>10511</v>
      </c>
      <c r="M6645" t="s">
        <v>18479</v>
      </c>
      <c r="N6645" t="str">
        <f>"5/30/2012 1:12:00 PM"</f>
        <v>5/30/2012 1:12:00 PM</v>
      </c>
      <c r="O6645" t="s">
        <v>20156</v>
      </c>
      <c r="T6645" t="s">
        <v>20157</v>
      </c>
    </row>
    <row r="6646" spans="1:20" x14ac:dyDescent="0.25">
      <c r="A6646" t="str">
        <f>"3049448"</f>
        <v>3049448</v>
      </c>
      <c r="B6646" t="s">
        <v>20160</v>
      </c>
      <c r="C6646" t="str">
        <f>"76684000"</f>
        <v>76684000</v>
      </c>
      <c r="D6646" t="s">
        <v>20156</v>
      </c>
      <c r="E6646" t="s">
        <v>20157</v>
      </c>
      <c r="F6646" t="s">
        <v>20158</v>
      </c>
      <c r="I6646" t="s">
        <v>184</v>
      </c>
      <c r="J6646" t="s">
        <v>30</v>
      </c>
      <c r="K6646" t="s">
        <v>10511</v>
      </c>
      <c r="M6646" t="s">
        <v>18479</v>
      </c>
      <c r="N6646" t="str">
        <f>"5/30/2012 1:12:00 PM"</f>
        <v>5/30/2012 1:12:00 PM</v>
      </c>
      <c r="O6646" t="s">
        <v>20156</v>
      </c>
      <c r="T6646" t="s">
        <v>20157</v>
      </c>
    </row>
    <row r="6647" spans="1:20" x14ac:dyDescent="0.25">
      <c r="A6647" t="str">
        <f>"3050302"</f>
        <v>3050302</v>
      </c>
      <c r="B6647" t="s">
        <v>20161</v>
      </c>
      <c r="C6647" t="str">
        <f>"76684000"</f>
        <v>76684000</v>
      </c>
      <c r="D6647" t="s">
        <v>20156</v>
      </c>
      <c r="E6647" t="s">
        <v>20157</v>
      </c>
      <c r="F6647" t="s">
        <v>20158</v>
      </c>
      <c r="I6647" t="s">
        <v>184</v>
      </c>
      <c r="J6647" t="s">
        <v>30</v>
      </c>
      <c r="K6647" t="s">
        <v>10511</v>
      </c>
      <c r="M6647" t="s">
        <v>18479</v>
      </c>
      <c r="N6647" t="str">
        <f>"5/30/2012 1:12:00 PM"</f>
        <v>5/30/2012 1:12:00 PM</v>
      </c>
      <c r="O6647" t="s">
        <v>20156</v>
      </c>
      <c r="T6647" t="s">
        <v>20157</v>
      </c>
    </row>
    <row r="6648" spans="1:20" x14ac:dyDescent="0.25">
      <c r="A6648" t="str">
        <f>"3047458"</f>
        <v>3047458</v>
      </c>
      <c r="B6648" t="s">
        <v>20162</v>
      </c>
      <c r="C6648" t="str">
        <f>"76684000"</f>
        <v>76684000</v>
      </c>
      <c r="D6648" t="s">
        <v>20156</v>
      </c>
      <c r="E6648" t="s">
        <v>20157</v>
      </c>
      <c r="F6648" t="s">
        <v>20158</v>
      </c>
      <c r="I6648" t="s">
        <v>184</v>
      </c>
      <c r="J6648" t="s">
        <v>30</v>
      </c>
      <c r="K6648" t="s">
        <v>10511</v>
      </c>
      <c r="M6648" t="s">
        <v>18479</v>
      </c>
      <c r="N6648" t="str">
        <f>"5/30/2012 1:12:00 PM"</f>
        <v>5/30/2012 1:12:00 PM</v>
      </c>
      <c r="O6648" t="s">
        <v>20156</v>
      </c>
      <c r="T6648" t="s">
        <v>20157</v>
      </c>
    </row>
    <row r="6649" spans="1:20" x14ac:dyDescent="0.25">
      <c r="A6649" t="str">
        <f>"3066773"</f>
        <v>3066773</v>
      </c>
      <c r="B6649" t="s">
        <v>20163</v>
      </c>
      <c r="C6649" t="str">
        <f>"70344000"</f>
        <v>70344000</v>
      </c>
      <c r="D6649" t="s">
        <v>20164</v>
      </c>
      <c r="F6649" t="s">
        <v>20165</v>
      </c>
      <c r="I6649" t="s">
        <v>184</v>
      </c>
      <c r="J6649" t="s">
        <v>30</v>
      </c>
      <c r="K6649" t="s">
        <v>20166</v>
      </c>
      <c r="M6649" t="s">
        <v>18479</v>
      </c>
      <c r="N6649" t="str">
        <f>"5/21/2012 4:58:00 PM"</f>
        <v>5/21/2012 4:58:00 PM</v>
      </c>
      <c r="O6649" t="s">
        <v>20164</v>
      </c>
    </row>
    <row r="6650" spans="1:20" x14ac:dyDescent="0.25">
      <c r="A6650" t="str">
        <f>"3056976"</f>
        <v>3056976</v>
      </c>
      <c r="B6650" t="s">
        <v>20167</v>
      </c>
      <c r="C6650" t="str">
        <f>"82531580"</f>
        <v>82531580</v>
      </c>
      <c r="D6650" t="s">
        <v>18001</v>
      </c>
      <c r="E6650" t="s">
        <v>20168</v>
      </c>
      <c r="F6650" t="s">
        <v>10901</v>
      </c>
      <c r="I6650" t="s">
        <v>29</v>
      </c>
      <c r="J6650" t="s">
        <v>30</v>
      </c>
      <c r="K6650" t="s">
        <v>31</v>
      </c>
      <c r="M6650" t="s">
        <v>18479</v>
      </c>
      <c r="N6650" t="str">
        <f>"5/30/2012 2:26:00 PM"</f>
        <v>5/30/2012 2:26:00 PM</v>
      </c>
      <c r="O6650" t="s">
        <v>18001</v>
      </c>
      <c r="T6650" t="s">
        <v>20168</v>
      </c>
    </row>
    <row r="6651" spans="1:20" x14ac:dyDescent="0.25">
      <c r="A6651" t="str">
        <f>"3056977"</f>
        <v>3056977</v>
      </c>
      <c r="B6651" t="s">
        <v>20169</v>
      </c>
      <c r="C6651" t="str">
        <f>"82531580"</f>
        <v>82531580</v>
      </c>
      <c r="D6651" t="s">
        <v>18001</v>
      </c>
      <c r="E6651" t="s">
        <v>20168</v>
      </c>
      <c r="F6651" t="s">
        <v>10901</v>
      </c>
      <c r="I6651" t="s">
        <v>29</v>
      </c>
      <c r="J6651" t="s">
        <v>30</v>
      </c>
      <c r="K6651" t="s">
        <v>31</v>
      </c>
      <c r="M6651" t="s">
        <v>18479</v>
      </c>
      <c r="N6651" t="str">
        <f>"5/30/2012 2:26:00 PM"</f>
        <v>5/30/2012 2:26:00 PM</v>
      </c>
      <c r="O6651" t="s">
        <v>18001</v>
      </c>
      <c r="T6651" t="s">
        <v>20168</v>
      </c>
    </row>
    <row r="6652" spans="1:20" x14ac:dyDescent="0.25">
      <c r="A6652" t="str">
        <f>"3077093"</f>
        <v>3077093</v>
      </c>
      <c r="B6652" t="s">
        <v>20170</v>
      </c>
      <c r="C6652" t="str">
        <f>"77113500"</f>
        <v>77113500</v>
      </c>
      <c r="D6652" t="s">
        <v>20171</v>
      </c>
      <c r="E6652" t="s">
        <v>20172</v>
      </c>
      <c r="F6652" t="s">
        <v>20173</v>
      </c>
      <c r="I6652" t="s">
        <v>29</v>
      </c>
      <c r="J6652" t="s">
        <v>30</v>
      </c>
      <c r="K6652" t="s">
        <v>20174</v>
      </c>
      <c r="M6652" t="s">
        <v>18479</v>
      </c>
      <c r="N6652" t="str">
        <f>"5/30/2012 2:32:00 PM"</f>
        <v>5/30/2012 2:32:00 PM</v>
      </c>
      <c r="O6652" t="s">
        <v>20171</v>
      </c>
      <c r="T6652" t="s">
        <v>20172</v>
      </c>
    </row>
    <row r="6653" spans="1:20" x14ac:dyDescent="0.25">
      <c r="A6653" t="str">
        <f>"3037356"</f>
        <v>3037356</v>
      </c>
      <c r="B6653" t="s">
        <v>20175</v>
      </c>
      <c r="C6653" t="str">
        <f>"8300188"</f>
        <v>8300188</v>
      </c>
      <c r="D6653" t="s">
        <v>20176</v>
      </c>
      <c r="E6653" t="s">
        <v>10020</v>
      </c>
      <c r="F6653" t="s">
        <v>20177</v>
      </c>
      <c r="I6653" t="s">
        <v>184</v>
      </c>
      <c r="J6653" t="s">
        <v>30</v>
      </c>
      <c r="K6653" t="s">
        <v>185</v>
      </c>
      <c r="M6653" t="s">
        <v>17861</v>
      </c>
      <c r="N6653" t="str">
        <f>"5/30/2012 2:53:00 PM"</f>
        <v>5/30/2012 2:53:00 PM</v>
      </c>
      <c r="O6653" t="s">
        <v>20176</v>
      </c>
      <c r="T6653" t="s">
        <v>10020</v>
      </c>
    </row>
    <row r="6654" spans="1:20" x14ac:dyDescent="0.25">
      <c r="A6654" t="str">
        <f>"3042925"</f>
        <v>3042925</v>
      </c>
      <c r="B6654" t="s">
        <v>20178</v>
      </c>
      <c r="C6654" t="str">
        <f>"8300983"</f>
        <v>8300983</v>
      </c>
      <c r="D6654" t="s">
        <v>20179</v>
      </c>
      <c r="F6654" t="s">
        <v>20180</v>
      </c>
      <c r="I6654" t="s">
        <v>29</v>
      </c>
      <c r="J6654" t="s">
        <v>30</v>
      </c>
      <c r="K6654" t="str">
        <f>"27028"</f>
        <v>27028</v>
      </c>
      <c r="M6654" t="s">
        <v>17861</v>
      </c>
      <c r="N6654" t="str">
        <f>"5/21/2012 4:56:00 PM"</f>
        <v>5/21/2012 4:56:00 PM</v>
      </c>
      <c r="O6654" t="s">
        <v>20179</v>
      </c>
    </row>
    <row r="6655" spans="1:20" x14ac:dyDescent="0.25">
      <c r="A6655" t="str">
        <f>"3054615"</f>
        <v>3054615</v>
      </c>
      <c r="B6655" t="s">
        <v>20181</v>
      </c>
      <c r="C6655" t="str">
        <f>"70392000"</f>
        <v>70392000</v>
      </c>
      <c r="D6655" t="s">
        <v>20182</v>
      </c>
      <c r="E6655" t="s">
        <v>20183</v>
      </c>
      <c r="F6655" t="s">
        <v>20184</v>
      </c>
      <c r="I6655" t="s">
        <v>29</v>
      </c>
      <c r="J6655" t="s">
        <v>30</v>
      </c>
      <c r="K6655" t="s">
        <v>20185</v>
      </c>
      <c r="M6655" t="s">
        <v>18479</v>
      </c>
      <c r="N6655" t="str">
        <f>"5/22/2012 8:44:00 AM"</f>
        <v>5/22/2012 8:44:00 AM</v>
      </c>
      <c r="O6655" t="s">
        <v>20182</v>
      </c>
      <c r="T6655" t="s">
        <v>20183</v>
      </c>
    </row>
    <row r="6656" spans="1:20" x14ac:dyDescent="0.25">
      <c r="A6656" t="str">
        <f>"3053731"</f>
        <v>3053731</v>
      </c>
      <c r="B6656" t="s">
        <v>20186</v>
      </c>
      <c r="C6656" t="str">
        <f>"77969500"</f>
        <v>77969500</v>
      </c>
      <c r="D6656" t="s">
        <v>20187</v>
      </c>
      <c r="E6656" t="s">
        <v>20188</v>
      </c>
      <c r="F6656" t="s">
        <v>20189</v>
      </c>
      <c r="I6656" t="s">
        <v>29</v>
      </c>
      <c r="J6656" t="s">
        <v>30</v>
      </c>
      <c r="K6656" t="s">
        <v>31</v>
      </c>
      <c r="M6656" t="s">
        <v>18479</v>
      </c>
      <c r="N6656" t="str">
        <f>"5/31/2012 10:46:00 AM"</f>
        <v>5/31/2012 10:46:00 AM</v>
      </c>
      <c r="O6656" t="s">
        <v>20187</v>
      </c>
      <c r="T6656" t="s">
        <v>20188</v>
      </c>
    </row>
    <row r="6657" spans="1:20" x14ac:dyDescent="0.25">
      <c r="A6657" t="str">
        <f>"3053294"</f>
        <v>3053294</v>
      </c>
      <c r="B6657" t="s">
        <v>20190</v>
      </c>
      <c r="C6657" t="str">
        <f>"77969500"</f>
        <v>77969500</v>
      </c>
      <c r="D6657" t="s">
        <v>20187</v>
      </c>
      <c r="E6657" t="s">
        <v>20188</v>
      </c>
      <c r="F6657" t="s">
        <v>20189</v>
      </c>
      <c r="I6657" t="s">
        <v>29</v>
      </c>
      <c r="J6657" t="s">
        <v>30</v>
      </c>
      <c r="K6657" t="s">
        <v>31</v>
      </c>
      <c r="M6657" t="s">
        <v>18479</v>
      </c>
      <c r="N6657" t="str">
        <f>"5/31/2012 10:46:00 AM"</f>
        <v>5/31/2012 10:46:00 AM</v>
      </c>
      <c r="O6657" t="s">
        <v>20187</v>
      </c>
      <c r="T6657" t="s">
        <v>20188</v>
      </c>
    </row>
    <row r="6658" spans="1:20" x14ac:dyDescent="0.25">
      <c r="A6658" t="str">
        <f>"3058503"</f>
        <v>3058503</v>
      </c>
      <c r="B6658" t="s">
        <v>20191</v>
      </c>
      <c r="C6658" t="str">
        <f>"8300984"</f>
        <v>8300984</v>
      </c>
      <c r="D6658" t="s">
        <v>20192</v>
      </c>
      <c r="E6658" t="s">
        <v>20193</v>
      </c>
      <c r="F6658" t="s">
        <v>20194</v>
      </c>
      <c r="I6658" t="s">
        <v>29</v>
      </c>
      <c r="J6658" t="s">
        <v>30</v>
      </c>
      <c r="K6658" t="str">
        <f>"27028"</f>
        <v>27028</v>
      </c>
      <c r="M6658" t="s">
        <v>17861</v>
      </c>
      <c r="N6658" t="str">
        <f>"5/22/2012 9:11:00 AM"</f>
        <v>5/22/2012 9:11:00 AM</v>
      </c>
      <c r="O6658" t="s">
        <v>20192</v>
      </c>
      <c r="T6658" t="s">
        <v>20193</v>
      </c>
    </row>
    <row r="6659" spans="1:20" x14ac:dyDescent="0.25">
      <c r="A6659" t="str">
        <f>"3077682"</f>
        <v>3077682</v>
      </c>
      <c r="B6659" t="s">
        <v>20195</v>
      </c>
      <c r="C6659" t="str">
        <f>"82514329"</f>
        <v>82514329</v>
      </c>
      <c r="D6659" t="s">
        <v>20196</v>
      </c>
      <c r="F6659" t="s">
        <v>20197</v>
      </c>
      <c r="I6659" t="s">
        <v>29</v>
      </c>
      <c r="J6659" t="s">
        <v>30</v>
      </c>
      <c r="K6659" t="s">
        <v>7007</v>
      </c>
      <c r="M6659" t="s">
        <v>17861</v>
      </c>
      <c r="N6659" t="str">
        <f>"5/31/2012 12:46:00 PM"</f>
        <v>5/31/2012 12:46:00 PM</v>
      </c>
      <c r="O6659" t="s">
        <v>20196</v>
      </c>
    </row>
    <row r="6660" spans="1:20" x14ac:dyDescent="0.25">
      <c r="A6660" t="str">
        <f>"3051048"</f>
        <v>3051048</v>
      </c>
      <c r="B6660" t="s">
        <v>20198</v>
      </c>
      <c r="C6660" t="str">
        <f>"78069000"</f>
        <v>78069000</v>
      </c>
      <c r="D6660" t="s">
        <v>20199</v>
      </c>
      <c r="F6660" t="s">
        <v>20200</v>
      </c>
      <c r="I6660" t="s">
        <v>29</v>
      </c>
      <c r="J6660" t="s">
        <v>30</v>
      </c>
      <c r="K6660" t="s">
        <v>20201</v>
      </c>
      <c r="M6660" t="s">
        <v>18479</v>
      </c>
      <c r="N6660" t="str">
        <f>"5/31/2012 1:21:00 PM"</f>
        <v>5/31/2012 1:21:00 PM</v>
      </c>
      <c r="O6660" t="s">
        <v>20199</v>
      </c>
    </row>
    <row r="6661" spans="1:20" x14ac:dyDescent="0.25">
      <c r="A6661" t="str">
        <f>"3045952"</f>
        <v>3045952</v>
      </c>
      <c r="B6661" t="s">
        <v>20202</v>
      </c>
      <c r="C6661" t="str">
        <f t="shared" ref="C6661:C6666" si="96">"82532017"</f>
        <v>82532017</v>
      </c>
      <c r="D6661" t="s">
        <v>20203</v>
      </c>
      <c r="F6661" t="s">
        <v>20204</v>
      </c>
      <c r="I6661" t="s">
        <v>29</v>
      </c>
      <c r="J6661" t="s">
        <v>30</v>
      </c>
      <c r="K6661" t="s">
        <v>31</v>
      </c>
      <c r="M6661" t="s">
        <v>18479</v>
      </c>
      <c r="N6661" t="str">
        <f t="shared" ref="N6661:N6666" si="97">"5/31/2012 2:45:00 PM"</f>
        <v>5/31/2012 2:45:00 PM</v>
      </c>
      <c r="O6661" t="s">
        <v>20203</v>
      </c>
    </row>
    <row r="6662" spans="1:20" x14ac:dyDescent="0.25">
      <c r="A6662" t="str">
        <f>"3046420"</f>
        <v>3046420</v>
      </c>
      <c r="B6662" t="s">
        <v>20205</v>
      </c>
      <c r="C6662" t="str">
        <f t="shared" si="96"/>
        <v>82532017</v>
      </c>
      <c r="D6662" t="s">
        <v>20203</v>
      </c>
      <c r="F6662" t="s">
        <v>20204</v>
      </c>
      <c r="I6662" t="s">
        <v>29</v>
      </c>
      <c r="J6662" t="s">
        <v>30</v>
      </c>
      <c r="K6662" t="s">
        <v>31</v>
      </c>
      <c r="M6662" t="s">
        <v>18479</v>
      </c>
      <c r="N6662" t="str">
        <f t="shared" si="97"/>
        <v>5/31/2012 2:45:00 PM</v>
      </c>
      <c r="O6662" t="s">
        <v>20203</v>
      </c>
    </row>
    <row r="6663" spans="1:20" x14ac:dyDescent="0.25">
      <c r="A6663" t="str">
        <f>"3046424"</f>
        <v>3046424</v>
      </c>
      <c r="B6663" t="s">
        <v>20206</v>
      </c>
      <c r="C6663" t="str">
        <f t="shared" si="96"/>
        <v>82532017</v>
      </c>
      <c r="D6663" t="s">
        <v>20203</v>
      </c>
      <c r="F6663" t="s">
        <v>20204</v>
      </c>
      <c r="I6663" t="s">
        <v>29</v>
      </c>
      <c r="J6663" t="s">
        <v>30</v>
      </c>
      <c r="K6663" t="s">
        <v>31</v>
      </c>
      <c r="M6663" t="s">
        <v>18479</v>
      </c>
      <c r="N6663" t="str">
        <f t="shared" si="97"/>
        <v>5/31/2012 2:45:00 PM</v>
      </c>
      <c r="O6663" t="s">
        <v>20203</v>
      </c>
    </row>
    <row r="6664" spans="1:20" x14ac:dyDescent="0.25">
      <c r="A6664" t="str">
        <f>"3046425"</f>
        <v>3046425</v>
      </c>
      <c r="B6664" t="s">
        <v>20207</v>
      </c>
      <c r="C6664" t="str">
        <f t="shared" si="96"/>
        <v>82532017</v>
      </c>
      <c r="D6664" t="s">
        <v>20203</v>
      </c>
      <c r="F6664" t="s">
        <v>20204</v>
      </c>
      <c r="I6664" t="s">
        <v>29</v>
      </c>
      <c r="J6664" t="s">
        <v>30</v>
      </c>
      <c r="K6664" t="s">
        <v>31</v>
      </c>
      <c r="M6664" t="s">
        <v>18479</v>
      </c>
      <c r="N6664" t="str">
        <f t="shared" si="97"/>
        <v>5/31/2012 2:45:00 PM</v>
      </c>
      <c r="O6664" t="s">
        <v>20203</v>
      </c>
    </row>
    <row r="6665" spans="1:20" x14ac:dyDescent="0.25">
      <c r="A6665" t="str">
        <f>"3046406"</f>
        <v>3046406</v>
      </c>
      <c r="B6665" t="s">
        <v>20208</v>
      </c>
      <c r="C6665" t="str">
        <f t="shared" si="96"/>
        <v>82532017</v>
      </c>
      <c r="D6665" t="s">
        <v>20203</v>
      </c>
      <c r="F6665" t="s">
        <v>20204</v>
      </c>
      <c r="I6665" t="s">
        <v>29</v>
      </c>
      <c r="J6665" t="s">
        <v>30</v>
      </c>
      <c r="K6665" t="s">
        <v>31</v>
      </c>
      <c r="M6665" t="s">
        <v>18479</v>
      </c>
      <c r="N6665" t="str">
        <f t="shared" si="97"/>
        <v>5/31/2012 2:45:00 PM</v>
      </c>
      <c r="O6665" t="s">
        <v>20203</v>
      </c>
    </row>
    <row r="6666" spans="1:20" x14ac:dyDescent="0.25">
      <c r="A6666" t="str">
        <f>"3077936"</f>
        <v>3077936</v>
      </c>
      <c r="B6666" t="s">
        <v>20209</v>
      </c>
      <c r="C6666" t="str">
        <f t="shared" si="96"/>
        <v>82532017</v>
      </c>
      <c r="D6666" t="s">
        <v>20203</v>
      </c>
      <c r="F6666" t="s">
        <v>20204</v>
      </c>
      <c r="I6666" t="s">
        <v>29</v>
      </c>
      <c r="J6666" t="s">
        <v>30</v>
      </c>
      <c r="K6666" t="s">
        <v>31</v>
      </c>
      <c r="M6666" t="s">
        <v>18479</v>
      </c>
      <c r="N6666" t="str">
        <f t="shared" si="97"/>
        <v>5/31/2012 2:45:00 PM</v>
      </c>
      <c r="O6666" t="s">
        <v>20203</v>
      </c>
    </row>
    <row r="6667" spans="1:20" x14ac:dyDescent="0.25">
      <c r="A6667" t="str">
        <f>"3038770"</f>
        <v>3038770</v>
      </c>
      <c r="B6667" t="s">
        <v>20210</v>
      </c>
      <c r="C6667" t="str">
        <f>"78296000"</f>
        <v>78296000</v>
      </c>
      <c r="D6667" t="s">
        <v>20211</v>
      </c>
      <c r="E6667" t="s">
        <v>20212</v>
      </c>
      <c r="F6667" t="s">
        <v>20213</v>
      </c>
      <c r="I6667" t="s">
        <v>29</v>
      </c>
      <c r="J6667" t="s">
        <v>30</v>
      </c>
      <c r="K6667" t="s">
        <v>20214</v>
      </c>
      <c r="M6667" t="s">
        <v>18479</v>
      </c>
      <c r="N6667" t="str">
        <f>"5/31/2012 3:23:00 PM"</f>
        <v>5/31/2012 3:23:00 PM</v>
      </c>
      <c r="O6667" t="s">
        <v>20211</v>
      </c>
      <c r="T6667" t="s">
        <v>20212</v>
      </c>
    </row>
    <row r="6668" spans="1:20" x14ac:dyDescent="0.25">
      <c r="A6668" t="str">
        <f>"3061953"</f>
        <v>3061953</v>
      </c>
      <c r="B6668" t="s">
        <v>20215</v>
      </c>
      <c r="C6668" t="str">
        <f>"82530739"</f>
        <v>82530739</v>
      </c>
      <c r="D6668" t="s">
        <v>20216</v>
      </c>
      <c r="E6668" t="s">
        <v>20217</v>
      </c>
      <c r="F6668" t="s">
        <v>20218</v>
      </c>
      <c r="I6668" t="s">
        <v>184</v>
      </c>
      <c r="J6668" t="s">
        <v>30</v>
      </c>
      <c r="K6668" t="s">
        <v>20219</v>
      </c>
      <c r="M6668" t="s">
        <v>18479</v>
      </c>
      <c r="N6668" t="str">
        <f>"5/31/2012 3:40:00 PM"</f>
        <v>5/31/2012 3:40:00 PM</v>
      </c>
      <c r="O6668" t="s">
        <v>20216</v>
      </c>
      <c r="T6668" t="s">
        <v>20217</v>
      </c>
    </row>
    <row r="6669" spans="1:20" x14ac:dyDescent="0.25">
      <c r="A6669" t="str">
        <f>"3047151"</f>
        <v>3047151</v>
      </c>
      <c r="B6669" t="s">
        <v>20220</v>
      </c>
      <c r="C6669" t="str">
        <f>"70982500"</f>
        <v>70982500</v>
      </c>
      <c r="D6669" t="s">
        <v>20221</v>
      </c>
      <c r="E6669" t="s">
        <v>20222</v>
      </c>
      <c r="F6669" t="s">
        <v>20223</v>
      </c>
      <c r="I6669" t="s">
        <v>29</v>
      </c>
      <c r="J6669" t="s">
        <v>30</v>
      </c>
      <c r="K6669" t="s">
        <v>12250</v>
      </c>
      <c r="M6669" t="s">
        <v>18479</v>
      </c>
      <c r="N6669" t="str">
        <f>"5/22/2012 1:38:00 PM"</f>
        <v>5/22/2012 1:38:00 PM</v>
      </c>
      <c r="O6669" t="s">
        <v>20221</v>
      </c>
      <c r="T6669" t="s">
        <v>20222</v>
      </c>
    </row>
    <row r="6670" spans="1:20" x14ac:dyDescent="0.25">
      <c r="A6670" t="str">
        <f>"3078982"</f>
        <v>3078982</v>
      </c>
      <c r="B6670" t="s">
        <v>20224</v>
      </c>
      <c r="C6670" t="str">
        <f>"82527075"</f>
        <v>82527075</v>
      </c>
      <c r="D6670" t="s">
        <v>20225</v>
      </c>
      <c r="E6670" t="s">
        <v>20226</v>
      </c>
      <c r="F6670" t="s">
        <v>20227</v>
      </c>
      <c r="I6670" t="s">
        <v>29</v>
      </c>
      <c r="J6670" t="s">
        <v>30</v>
      </c>
      <c r="K6670" t="s">
        <v>31</v>
      </c>
      <c r="M6670" t="s">
        <v>18479</v>
      </c>
      <c r="N6670" t="str">
        <f>"5/22/2012 3:47:00 PM"</f>
        <v>5/22/2012 3:47:00 PM</v>
      </c>
      <c r="O6670" t="s">
        <v>20225</v>
      </c>
      <c r="T6670" t="s">
        <v>20226</v>
      </c>
    </row>
    <row r="6671" spans="1:20" x14ac:dyDescent="0.25">
      <c r="A6671" t="str">
        <f>"3043532"</f>
        <v>3043532</v>
      </c>
      <c r="B6671" t="s">
        <v>20228</v>
      </c>
      <c r="C6671" t="str">
        <f>"71456000"</f>
        <v>71456000</v>
      </c>
      <c r="D6671" t="s">
        <v>20229</v>
      </c>
      <c r="E6671" t="s">
        <v>20230</v>
      </c>
      <c r="F6671" t="s">
        <v>20231</v>
      </c>
      <c r="I6671" t="s">
        <v>29</v>
      </c>
      <c r="J6671" t="s">
        <v>30</v>
      </c>
      <c r="K6671" t="s">
        <v>20232</v>
      </c>
      <c r="M6671" t="s">
        <v>18479</v>
      </c>
      <c r="N6671" t="str">
        <f>"5/22/2012 4:27:00 PM"</f>
        <v>5/22/2012 4:27:00 PM</v>
      </c>
      <c r="O6671" t="s">
        <v>20229</v>
      </c>
      <c r="T6671" t="s">
        <v>20230</v>
      </c>
    </row>
    <row r="6672" spans="1:20" x14ac:dyDescent="0.25">
      <c r="A6672" t="str">
        <f>"3040604"</f>
        <v>3040604</v>
      </c>
      <c r="B6672" t="s">
        <v>20233</v>
      </c>
      <c r="C6672" t="str">
        <f>"79042000"</f>
        <v>79042000</v>
      </c>
      <c r="D6672" t="s">
        <v>20234</v>
      </c>
      <c r="E6672" t="s">
        <v>20235</v>
      </c>
      <c r="F6672" t="s">
        <v>20236</v>
      </c>
      <c r="I6672" t="s">
        <v>184</v>
      </c>
      <c r="J6672" t="s">
        <v>30</v>
      </c>
      <c r="K6672" t="s">
        <v>3559</v>
      </c>
      <c r="M6672" t="s">
        <v>18479</v>
      </c>
      <c r="N6672" t="str">
        <f>"6/6/2012 9:28:00 AM"</f>
        <v>6/6/2012 9:28:00 AM</v>
      </c>
      <c r="O6672" t="s">
        <v>20234</v>
      </c>
      <c r="T6672" t="s">
        <v>20235</v>
      </c>
    </row>
    <row r="6673" spans="1:20" x14ac:dyDescent="0.25">
      <c r="A6673" t="str">
        <f>"3060762"</f>
        <v>3060762</v>
      </c>
      <c r="B6673" t="s">
        <v>20237</v>
      </c>
      <c r="C6673" t="str">
        <f>"71973000"</f>
        <v>71973000</v>
      </c>
      <c r="D6673" t="s">
        <v>20238</v>
      </c>
      <c r="E6673" t="s">
        <v>20239</v>
      </c>
      <c r="F6673" t="s">
        <v>20240</v>
      </c>
      <c r="I6673" t="s">
        <v>2071</v>
      </c>
      <c r="J6673" t="s">
        <v>30</v>
      </c>
      <c r="K6673" t="s">
        <v>4269</v>
      </c>
      <c r="M6673" t="s">
        <v>18479</v>
      </c>
      <c r="N6673" t="str">
        <f>"5/23/2012 9:30:00 AM"</f>
        <v>5/23/2012 9:30:00 AM</v>
      </c>
      <c r="O6673" t="s">
        <v>20238</v>
      </c>
      <c r="T6673" t="s">
        <v>20239</v>
      </c>
    </row>
    <row r="6674" spans="1:20" x14ac:dyDescent="0.25">
      <c r="A6674" t="str">
        <f>"3057999"</f>
        <v>3057999</v>
      </c>
      <c r="B6674" t="s">
        <v>20241</v>
      </c>
      <c r="C6674" t="str">
        <f>"82524000"</f>
        <v>82524000</v>
      </c>
      <c r="D6674" t="s">
        <v>20242</v>
      </c>
      <c r="E6674" t="s">
        <v>20243</v>
      </c>
      <c r="F6674" t="s">
        <v>20244</v>
      </c>
      <c r="I6674" t="s">
        <v>184</v>
      </c>
      <c r="J6674" t="s">
        <v>30</v>
      </c>
      <c r="K6674" t="s">
        <v>185</v>
      </c>
      <c r="M6674" t="s">
        <v>18479</v>
      </c>
      <c r="N6674" t="str">
        <f>"5/23/2012 9:39:00 AM"</f>
        <v>5/23/2012 9:39:00 AM</v>
      </c>
      <c r="O6674" t="s">
        <v>20242</v>
      </c>
      <c r="T6674" t="s">
        <v>20243</v>
      </c>
    </row>
    <row r="6675" spans="1:20" x14ac:dyDescent="0.25">
      <c r="A6675" t="str">
        <f>"3102306"</f>
        <v>3102306</v>
      </c>
      <c r="B6675" t="s">
        <v>20245</v>
      </c>
      <c r="C6675" t="str">
        <f>"72164000"</f>
        <v>72164000</v>
      </c>
      <c r="D6675" t="s">
        <v>20246</v>
      </c>
      <c r="E6675" t="s">
        <v>20247</v>
      </c>
      <c r="F6675" t="s">
        <v>10293</v>
      </c>
      <c r="I6675" t="s">
        <v>29</v>
      </c>
      <c r="J6675" t="s">
        <v>30</v>
      </c>
      <c r="K6675" t="s">
        <v>20248</v>
      </c>
      <c r="M6675" t="s">
        <v>18479</v>
      </c>
      <c r="N6675" t="str">
        <f>"5/23/2012 12:29:00 PM"</f>
        <v>5/23/2012 12:29:00 PM</v>
      </c>
      <c r="O6675" t="s">
        <v>20246</v>
      </c>
      <c r="T6675" t="s">
        <v>20247</v>
      </c>
    </row>
    <row r="6676" spans="1:20" x14ac:dyDescent="0.25">
      <c r="A6676" t="str">
        <f>"3048098"</f>
        <v>3048098</v>
      </c>
      <c r="B6676" t="s">
        <v>20249</v>
      </c>
      <c r="C6676" t="str">
        <f>"72186000"</f>
        <v>72186000</v>
      </c>
      <c r="D6676" t="s">
        <v>20250</v>
      </c>
      <c r="E6676" t="s">
        <v>20251</v>
      </c>
      <c r="F6676" t="s">
        <v>20252</v>
      </c>
      <c r="I6676" t="s">
        <v>184</v>
      </c>
      <c r="J6676" t="s">
        <v>30</v>
      </c>
      <c r="K6676" t="s">
        <v>20253</v>
      </c>
      <c r="M6676" t="s">
        <v>18479</v>
      </c>
      <c r="N6676" t="str">
        <f>"5/23/2012 1:13:00 PM"</f>
        <v>5/23/2012 1:13:00 PM</v>
      </c>
      <c r="O6676" t="s">
        <v>20250</v>
      </c>
      <c r="T6676" t="s">
        <v>20251</v>
      </c>
    </row>
    <row r="6677" spans="1:20" x14ac:dyDescent="0.25">
      <c r="A6677" t="str">
        <f>"3063493"</f>
        <v>3063493</v>
      </c>
      <c r="B6677" t="s">
        <v>20254</v>
      </c>
      <c r="C6677" t="str">
        <f>"82530293"</f>
        <v>82530293</v>
      </c>
      <c r="D6677" t="s">
        <v>20255</v>
      </c>
      <c r="E6677" t="s">
        <v>20256</v>
      </c>
      <c r="F6677" t="s">
        <v>20257</v>
      </c>
      <c r="I6677" t="s">
        <v>29</v>
      </c>
      <c r="J6677" t="s">
        <v>30</v>
      </c>
      <c r="K6677" t="s">
        <v>31</v>
      </c>
      <c r="M6677" t="s">
        <v>18432</v>
      </c>
      <c r="N6677" t="str">
        <f>"5/23/2012 3:39:00 PM"</f>
        <v>5/23/2012 3:39:00 PM</v>
      </c>
      <c r="O6677" t="s">
        <v>20255</v>
      </c>
      <c r="T6677" t="s">
        <v>20256</v>
      </c>
    </row>
    <row r="6678" spans="1:20" x14ac:dyDescent="0.25">
      <c r="A6678" t="str">
        <f>"3076637"</f>
        <v>3076637</v>
      </c>
      <c r="B6678" t="s">
        <v>20258</v>
      </c>
      <c r="C6678" t="str">
        <f>"82524799"</f>
        <v>82524799</v>
      </c>
      <c r="D6678" t="s">
        <v>20066</v>
      </c>
      <c r="F6678" t="s">
        <v>20067</v>
      </c>
      <c r="I6678" t="s">
        <v>29</v>
      </c>
      <c r="J6678" t="s">
        <v>30</v>
      </c>
      <c r="K6678" t="s">
        <v>1087</v>
      </c>
      <c r="M6678" t="s">
        <v>18479</v>
      </c>
      <c r="N6678" t="str">
        <f>"5/24/2012 8:38:00 AM"</f>
        <v>5/24/2012 8:38:00 AM</v>
      </c>
      <c r="O6678" t="s">
        <v>20066</v>
      </c>
    </row>
    <row r="6679" spans="1:20" x14ac:dyDescent="0.25">
      <c r="A6679" t="str">
        <f>"3046752"</f>
        <v>3046752</v>
      </c>
      <c r="B6679" t="s">
        <v>20259</v>
      </c>
      <c r="C6679" t="str">
        <f>"8300472"</f>
        <v>8300472</v>
      </c>
      <c r="D6679" t="s">
        <v>20260</v>
      </c>
      <c r="E6679" t="s">
        <v>20261</v>
      </c>
      <c r="F6679" t="s">
        <v>20262</v>
      </c>
      <c r="I6679" t="s">
        <v>184</v>
      </c>
      <c r="J6679" t="s">
        <v>30</v>
      </c>
      <c r="K6679" t="s">
        <v>185</v>
      </c>
      <c r="M6679" t="s">
        <v>18479</v>
      </c>
      <c r="N6679" t="str">
        <f>"5/24/2012 10:20:00 AM"</f>
        <v>5/24/2012 10:20:00 AM</v>
      </c>
      <c r="O6679" t="s">
        <v>20260</v>
      </c>
      <c r="T6679" t="s">
        <v>20261</v>
      </c>
    </row>
    <row r="6680" spans="1:20" x14ac:dyDescent="0.25">
      <c r="A6680" t="str">
        <f>"3041753"</f>
        <v>3041753</v>
      </c>
      <c r="B6680" t="s">
        <v>20263</v>
      </c>
      <c r="C6680" t="str">
        <f>"82522705"</f>
        <v>82522705</v>
      </c>
      <c r="D6680" t="s">
        <v>20264</v>
      </c>
      <c r="E6680" t="s">
        <v>20265</v>
      </c>
      <c r="F6680" t="s">
        <v>20266</v>
      </c>
      <c r="I6680" t="s">
        <v>2071</v>
      </c>
      <c r="J6680" t="s">
        <v>30</v>
      </c>
      <c r="K6680" t="s">
        <v>20267</v>
      </c>
      <c r="M6680" t="s">
        <v>18479</v>
      </c>
      <c r="N6680" t="str">
        <f>"5/24/2012 2:31:00 PM"</f>
        <v>5/24/2012 2:31:00 PM</v>
      </c>
      <c r="O6680" t="s">
        <v>20264</v>
      </c>
      <c r="T6680" t="s">
        <v>20265</v>
      </c>
    </row>
    <row r="6681" spans="1:20" x14ac:dyDescent="0.25">
      <c r="A6681" t="str">
        <f>"3061371"</f>
        <v>3061371</v>
      </c>
      <c r="B6681" t="s">
        <v>20268</v>
      </c>
      <c r="C6681" t="str">
        <f>"82513161"</f>
        <v>82513161</v>
      </c>
      <c r="D6681" t="s">
        <v>20269</v>
      </c>
      <c r="E6681" t="s">
        <v>20270</v>
      </c>
      <c r="F6681" t="s">
        <v>20271</v>
      </c>
      <c r="I6681" t="s">
        <v>184</v>
      </c>
      <c r="J6681" t="s">
        <v>30</v>
      </c>
      <c r="K6681" t="s">
        <v>20272</v>
      </c>
      <c r="M6681" t="s">
        <v>18479</v>
      </c>
      <c r="N6681" t="str">
        <f>"5/24/2012 2:46:00 PM"</f>
        <v>5/24/2012 2:46:00 PM</v>
      </c>
      <c r="O6681" t="s">
        <v>20269</v>
      </c>
      <c r="T6681" t="s">
        <v>20270</v>
      </c>
    </row>
    <row r="6682" spans="1:20" x14ac:dyDescent="0.25">
      <c r="A6682" t="str">
        <f>"3044754"</f>
        <v>3044754</v>
      </c>
      <c r="B6682" t="s">
        <v>20273</v>
      </c>
      <c r="C6682" t="str">
        <f>"82532795"</f>
        <v>82532795</v>
      </c>
      <c r="D6682" t="s">
        <v>20274</v>
      </c>
      <c r="F6682" t="s">
        <v>20275</v>
      </c>
      <c r="I6682" t="s">
        <v>184</v>
      </c>
      <c r="J6682" t="s">
        <v>30</v>
      </c>
      <c r="K6682" t="s">
        <v>185</v>
      </c>
      <c r="M6682" t="s">
        <v>18479</v>
      </c>
      <c r="N6682" t="str">
        <f>"5/17/2012 10:01:00 AM"</f>
        <v>5/17/2012 10:01:00 AM</v>
      </c>
      <c r="O6682" t="s">
        <v>20274</v>
      </c>
    </row>
    <row r="6683" spans="1:20" x14ac:dyDescent="0.25">
      <c r="A6683" t="str">
        <f>"3040070"</f>
        <v>3040070</v>
      </c>
      <c r="B6683" t="s">
        <v>20276</v>
      </c>
      <c r="C6683" t="str">
        <f>"8301112"</f>
        <v>8301112</v>
      </c>
      <c r="D6683" t="s">
        <v>20277</v>
      </c>
      <c r="F6683" t="s">
        <v>20278</v>
      </c>
      <c r="I6683" t="s">
        <v>29</v>
      </c>
      <c r="J6683" t="s">
        <v>30</v>
      </c>
      <c r="K6683" t="str">
        <f>"27028"</f>
        <v>27028</v>
      </c>
      <c r="M6683" t="s">
        <v>17861</v>
      </c>
      <c r="N6683" t="str">
        <f>"6/14/2012 11:11:00 AM"</f>
        <v>6/14/2012 11:11:00 AM</v>
      </c>
      <c r="O6683" t="s">
        <v>20277</v>
      </c>
    </row>
    <row r="6684" spans="1:20" x14ac:dyDescent="0.25">
      <c r="A6684" t="str">
        <f>"3054357"</f>
        <v>3054357</v>
      </c>
      <c r="B6684" t="s">
        <v>20279</v>
      </c>
      <c r="C6684" t="str">
        <f>"8300994"</f>
        <v>8300994</v>
      </c>
      <c r="D6684" t="s">
        <v>20280</v>
      </c>
      <c r="F6684" t="s">
        <v>20281</v>
      </c>
      <c r="I6684" t="s">
        <v>29</v>
      </c>
      <c r="J6684" t="s">
        <v>30</v>
      </c>
      <c r="K6684" t="str">
        <f>"27028"</f>
        <v>27028</v>
      </c>
      <c r="M6684" t="s">
        <v>17861</v>
      </c>
      <c r="N6684" t="str">
        <f>"5/29/2012 3:13:00 PM"</f>
        <v>5/29/2012 3:13:00 PM</v>
      </c>
      <c r="O6684" t="s">
        <v>20280</v>
      </c>
    </row>
    <row r="6685" spans="1:20" x14ac:dyDescent="0.25">
      <c r="A6685" t="str">
        <f>"3041499"</f>
        <v>3041499</v>
      </c>
      <c r="B6685" t="s">
        <v>20282</v>
      </c>
      <c r="C6685" t="str">
        <f>"8301117"</f>
        <v>8301117</v>
      </c>
      <c r="D6685" t="s">
        <v>20283</v>
      </c>
      <c r="E6685" t="s">
        <v>20284</v>
      </c>
      <c r="F6685" t="s">
        <v>20285</v>
      </c>
      <c r="I6685" t="s">
        <v>2071</v>
      </c>
      <c r="J6685" t="s">
        <v>30</v>
      </c>
      <c r="K6685" t="str">
        <f>"27006"</f>
        <v>27006</v>
      </c>
      <c r="M6685" t="s">
        <v>17861</v>
      </c>
      <c r="N6685" t="str">
        <f>"6/14/2012 12:35:00 PM"</f>
        <v>6/14/2012 12:35:00 PM</v>
      </c>
      <c r="O6685" t="s">
        <v>20283</v>
      </c>
      <c r="T6685" t="s">
        <v>20284</v>
      </c>
    </row>
    <row r="6686" spans="1:20" x14ac:dyDescent="0.25">
      <c r="A6686" t="str">
        <f>"3061436"</f>
        <v>3061436</v>
      </c>
      <c r="B6686" t="s">
        <v>20286</v>
      </c>
      <c r="C6686" t="str">
        <f>"8301128"</f>
        <v>8301128</v>
      </c>
      <c r="D6686" t="s">
        <v>20287</v>
      </c>
      <c r="E6686" t="s">
        <v>20288</v>
      </c>
      <c r="F6686" t="s">
        <v>20289</v>
      </c>
      <c r="I6686" t="s">
        <v>184</v>
      </c>
      <c r="J6686" t="s">
        <v>30</v>
      </c>
      <c r="K6686" t="str">
        <f>"27006"</f>
        <v>27006</v>
      </c>
      <c r="M6686" t="s">
        <v>17861</v>
      </c>
      <c r="N6686" t="str">
        <f>"6/14/2012 1:13:00 PM"</f>
        <v>6/14/2012 1:13:00 PM</v>
      </c>
      <c r="O6686" t="s">
        <v>20287</v>
      </c>
      <c r="T6686" t="s">
        <v>20288</v>
      </c>
    </row>
    <row r="6687" spans="1:20" x14ac:dyDescent="0.25">
      <c r="A6687" t="str">
        <f>"3055762"</f>
        <v>3055762</v>
      </c>
      <c r="B6687" t="s">
        <v>20290</v>
      </c>
      <c r="C6687" t="str">
        <f>"8300995"</f>
        <v>8300995</v>
      </c>
      <c r="D6687" t="s">
        <v>20291</v>
      </c>
      <c r="F6687" t="s">
        <v>20292</v>
      </c>
      <c r="I6687" t="s">
        <v>9580</v>
      </c>
      <c r="J6687" t="s">
        <v>30</v>
      </c>
      <c r="K6687" t="str">
        <f>"27014"</f>
        <v>27014</v>
      </c>
      <c r="M6687" t="s">
        <v>17861</v>
      </c>
      <c r="N6687" t="str">
        <f>"5/29/2012 3:25:00 PM"</f>
        <v>5/29/2012 3:25:00 PM</v>
      </c>
      <c r="O6687" t="s">
        <v>20291</v>
      </c>
    </row>
    <row r="6688" spans="1:20" x14ac:dyDescent="0.25">
      <c r="A6688" t="str">
        <f>"3037373"</f>
        <v>3037373</v>
      </c>
      <c r="B6688" t="s">
        <v>20293</v>
      </c>
      <c r="C6688" t="str">
        <f>"8300996"</f>
        <v>8300996</v>
      </c>
      <c r="D6688" t="s">
        <v>20294</v>
      </c>
      <c r="E6688" t="s">
        <v>20295</v>
      </c>
      <c r="F6688" t="s">
        <v>20296</v>
      </c>
      <c r="I6688" t="s">
        <v>184</v>
      </c>
      <c r="J6688" t="s">
        <v>30</v>
      </c>
      <c r="K6688" t="str">
        <f>"27006"</f>
        <v>27006</v>
      </c>
      <c r="M6688" t="s">
        <v>17861</v>
      </c>
      <c r="N6688" t="str">
        <f>"5/29/2012 3:28:00 PM"</f>
        <v>5/29/2012 3:28:00 PM</v>
      </c>
      <c r="O6688" t="s">
        <v>20294</v>
      </c>
      <c r="T6688" t="s">
        <v>20295</v>
      </c>
    </row>
    <row r="6689" spans="1:20" x14ac:dyDescent="0.25">
      <c r="A6689" t="str">
        <f>"3078948"</f>
        <v>3078948</v>
      </c>
      <c r="B6689" t="s">
        <v>20297</v>
      </c>
      <c r="C6689" t="str">
        <f>"34724000"</f>
        <v>34724000</v>
      </c>
      <c r="D6689" t="s">
        <v>20298</v>
      </c>
      <c r="I6689" t="s">
        <v>29</v>
      </c>
      <c r="J6689" t="s">
        <v>30</v>
      </c>
      <c r="K6689" t="s">
        <v>31</v>
      </c>
      <c r="M6689" t="s">
        <v>17861</v>
      </c>
      <c r="N6689" t="str">
        <f>"6/21/2012 1:18:00 PM"</f>
        <v>6/21/2012 1:18:00 PM</v>
      </c>
      <c r="O6689" t="s">
        <v>20298</v>
      </c>
    </row>
    <row r="6690" spans="1:20" x14ac:dyDescent="0.25">
      <c r="A6690" t="str">
        <f>"3060532"</f>
        <v>3060532</v>
      </c>
      <c r="B6690" t="s">
        <v>20299</v>
      </c>
      <c r="C6690" t="str">
        <f>"8301004"</f>
        <v>8301004</v>
      </c>
      <c r="D6690" t="s">
        <v>20300</v>
      </c>
      <c r="E6690" t="s">
        <v>20301</v>
      </c>
      <c r="F6690" t="s">
        <v>20302</v>
      </c>
      <c r="I6690" t="s">
        <v>184</v>
      </c>
      <c r="J6690" t="s">
        <v>30</v>
      </c>
      <c r="K6690" t="str">
        <f>"27006"</f>
        <v>27006</v>
      </c>
      <c r="M6690" t="s">
        <v>17861</v>
      </c>
      <c r="N6690" t="str">
        <f>"5/30/2012 9:13:00 AM"</f>
        <v>5/30/2012 9:13:00 AM</v>
      </c>
      <c r="O6690" t="s">
        <v>20300</v>
      </c>
      <c r="T6690" t="s">
        <v>20301</v>
      </c>
    </row>
    <row r="6691" spans="1:20" x14ac:dyDescent="0.25">
      <c r="A6691" t="str">
        <f>"3063062"</f>
        <v>3063062</v>
      </c>
      <c r="B6691" t="s">
        <v>20303</v>
      </c>
      <c r="C6691" t="str">
        <f>"76446000"</f>
        <v>76446000</v>
      </c>
      <c r="D6691" t="s">
        <v>20304</v>
      </c>
      <c r="E6691" t="s">
        <v>20305</v>
      </c>
      <c r="F6691" t="s">
        <v>20306</v>
      </c>
      <c r="I6691" t="s">
        <v>184</v>
      </c>
      <c r="J6691" t="s">
        <v>30</v>
      </c>
      <c r="K6691" t="s">
        <v>7326</v>
      </c>
      <c r="M6691" t="s">
        <v>18479</v>
      </c>
      <c r="N6691" t="str">
        <f>"5/30/2012 9:56:00 AM"</f>
        <v>5/30/2012 9:56:00 AM</v>
      </c>
      <c r="O6691" t="s">
        <v>20304</v>
      </c>
      <c r="T6691" t="s">
        <v>20305</v>
      </c>
    </row>
    <row r="6692" spans="1:20" x14ac:dyDescent="0.25">
      <c r="A6692" t="str">
        <f>"3044343"</f>
        <v>3044343</v>
      </c>
      <c r="B6692" t="s">
        <v>20307</v>
      </c>
      <c r="C6692" t="str">
        <f>"82525559"</f>
        <v>82525559</v>
      </c>
      <c r="D6692" t="s">
        <v>20150</v>
      </c>
      <c r="E6692" t="str">
        <f>"C/O PAM HARPE"</f>
        <v>C/O PAM HARPE</v>
      </c>
      <c r="F6692" t="s">
        <v>17570</v>
      </c>
      <c r="I6692" t="s">
        <v>184</v>
      </c>
      <c r="J6692" t="s">
        <v>30</v>
      </c>
      <c r="K6692" t="s">
        <v>185</v>
      </c>
      <c r="M6692" t="s">
        <v>18479</v>
      </c>
      <c r="N6692" t="str">
        <f>"5/30/2012 10:02:00 AM"</f>
        <v>5/30/2012 10:02:00 AM</v>
      </c>
      <c r="O6692" t="s">
        <v>20150</v>
      </c>
      <c r="T6692" t="str">
        <f>"C/O PAM HARPE"</f>
        <v>C/O PAM HARPE</v>
      </c>
    </row>
    <row r="6693" spans="1:20" x14ac:dyDescent="0.25">
      <c r="A6693" t="str">
        <f>"3045290"</f>
        <v>3045290</v>
      </c>
      <c r="B6693" t="s">
        <v>20308</v>
      </c>
      <c r="C6693" t="str">
        <f>"8300445"</f>
        <v>8300445</v>
      </c>
      <c r="D6693" t="s">
        <v>20309</v>
      </c>
      <c r="E6693" t="s">
        <v>20310</v>
      </c>
      <c r="F6693" t="s">
        <v>20311</v>
      </c>
      <c r="I6693" t="s">
        <v>1149</v>
      </c>
      <c r="J6693" t="s">
        <v>30</v>
      </c>
      <c r="K6693" t="s">
        <v>1150</v>
      </c>
      <c r="M6693" t="s">
        <v>18479</v>
      </c>
      <c r="N6693" t="str">
        <f>"5/30/2012 1:46:00 PM"</f>
        <v>5/30/2012 1:46:00 PM</v>
      </c>
      <c r="O6693" t="s">
        <v>20309</v>
      </c>
      <c r="T6693" t="s">
        <v>20310</v>
      </c>
    </row>
    <row r="6694" spans="1:20" x14ac:dyDescent="0.25">
      <c r="A6694" t="str">
        <f>"3054801"</f>
        <v>3054801</v>
      </c>
      <c r="B6694" t="s">
        <v>20312</v>
      </c>
      <c r="C6694" t="str">
        <f>"77610000"</f>
        <v>77610000</v>
      </c>
      <c r="D6694" t="s">
        <v>20313</v>
      </c>
      <c r="E6694" t="s">
        <v>20314</v>
      </c>
      <c r="F6694" t="s">
        <v>20315</v>
      </c>
      <c r="I6694" t="s">
        <v>29</v>
      </c>
      <c r="J6694" t="s">
        <v>30</v>
      </c>
      <c r="K6694" t="s">
        <v>20316</v>
      </c>
      <c r="M6694" t="s">
        <v>18479</v>
      </c>
      <c r="N6694" t="str">
        <f>"5/31/2012 9:03:00 AM"</f>
        <v>5/31/2012 9:03:00 AM</v>
      </c>
      <c r="O6694" t="s">
        <v>20313</v>
      </c>
      <c r="T6694" t="s">
        <v>20314</v>
      </c>
    </row>
    <row r="6695" spans="1:20" x14ac:dyDescent="0.25">
      <c r="A6695" t="str">
        <f>"3058852"</f>
        <v>3058852</v>
      </c>
      <c r="B6695" t="s">
        <v>20317</v>
      </c>
      <c r="C6695" t="str">
        <f>"8301181"</f>
        <v>8301181</v>
      </c>
      <c r="D6695" t="s">
        <v>20318</v>
      </c>
      <c r="E6695" t="s">
        <v>20319</v>
      </c>
      <c r="F6695" t="s">
        <v>20320</v>
      </c>
      <c r="I6695" t="s">
        <v>29</v>
      </c>
      <c r="J6695" t="s">
        <v>30</v>
      </c>
      <c r="K6695" t="str">
        <f>"27028"</f>
        <v>27028</v>
      </c>
      <c r="M6695" t="s">
        <v>17861</v>
      </c>
      <c r="N6695" t="str">
        <f>"7/10/2012 11:12:00 AM"</f>
        <v>7/10/2012 11:12:00 AM</v>
      </c>
      <c r="O6695" t="s">
        <v>20318</v>
      </c>
      <c r="T6695" t="s">
        <v>20319</v>
      </c>
    </row>
    <row r="6696" spans="1:20" x14ac:dyDescent="0.25">
      <c r="A6696" t="str">
        <f>"3045720"</f>
        <v>3045720</v>
      </c>
      <c r="B6696" t="s">
        <v>20321</v>
      </c>
      <c r="C6696" t="str">
        <f>"8301185"</f>
        <v>8301185</v>
      </c>
      <c r="D6696" t="s">
        <v>20322</v>
      </c>
      <c r="E6696" t="s">
        <v>20323</v>
      </c>
      <c r="F6696" t="s">
        <v>20324</v>
      </c>
      <c r="I6696" t="s">
        <v>29</v>
      </c>
      <c r="J6696" t="s">
        <v>30</v>
      </c>
      <c r="K6696" t="str">
        <f>"27028"</f>
        <v>27028</v>
      </c>
      <c r="M6696" t="s">
        <v>17861</v>
      </c>
      <c r="N6696" t="str">
        <f>"7/10/2012 12:01:00 PM"</f>
        <v>7/10/2012 12:01:00 PM</v>
      </c>
      <c r="O6696" t="s">
        <v>20322</v>
      </c>
      <c r="T6696" t="s">
        <v>20323</v>
      </c>
    </row>
    <row r="6697" spans="1:20" x14ac:dyDescent="0.25">
      <c r="A6697" t="str">
        <f>"3061666"</f>
        <v>3061666</v>
      </c>
      <c r="B6697" t="s">
        <v>20325</v>
      </c>
      <c r="C6697" t="str">
        <f>"8301188"</f>
        <v>8301188</v>
      </c>
      <c r="D6697" t="s">
        <v>20326</v>
      </c>
      <c r="E6697" t="s">
        <v>20327</v>
      </c>
      <c r="F6697" t="s">
        <v>20328</v>
      </c>
      <c r="I6697" t="s">
        <v>184</v>
      </c>
      <c r="J6697" t="s">
        <v>30</v>
      </c>
      <c r="K6697" t="str">
        <f>"27006"</f>
        <v>27006</v>
      </c>
      <c r="M6697" t="s">
        <v>17861</v>
      </c>
      <c r="N6697" t="str">
        <f>"7/10/2012 12:09:00 PM"</f>
        <v>7/10/2012 12:09:00 PM</v>
      </c>
      <c r="O6697" t="s">
        <v>20326</v>
      </c>
      <c r="T6697" t="s">
        <v>20327</v>
      </c>
    </row>
    <row r="6698" spans="1:20" x14ac:dyDescent="0.25">
      <c r="A6698" t="str">
        <f>"3074096"</f>
        <v>3074096</v>
      </c>
      <c r="B6698" t="s">
        <v>20329</v>
      </c>
      <c r="C6698" t="str">
        <f>"77610000"</f>
        <v>77610000</v>
      </c>
      <c r="D6698" t="s">
        <v>20313</v>
      </c>
      <c r="E6698" t="s">
        <v>20314</v>
      </c>
      <c r="F6698" t="s">
        <v>20315</v>
      </c>
      <c r="I6698" t="s">
        <v>29</v>
      </c>
      <c r="J6698" t="s">
        <v>30</v>
      </c>
      <c r="K6698" t="s">
        <v>20316</v>
      </c>
      <c r="M6698" t="s">
        <v>18479</v>
      </c>
      <c r="N6698" t="str">
        <f>"5/31/2012 9:03:00 AM"</f>
        <v>5/31/2012 9:03:00 AM</v>
      </c>
      <c r="O6698" t="s">
        <v>20313</v>
      </c>
      <c r="T6698" t="s">
        <v>20314</v>
      </c>
    </row>
    <row r="6699" spans="1:20" x14ac:dyDescent="0.25">
      <c r="A6699" t="str">
        <f>"3077684"</f>
        <v>3077684</v>
      </c>
      <c r="B6699" t="s">
        <v>20330</v>
      </c>
      <c r="C6699" t="str">
        <f>"82514329"</f>
        <v>82514329</v>
      </c>
      <c r="D6699" t="s">
        <v>20196</v>
      </c>
      <c r="F6699" t="s">
        <v>20197</v>
      </c>
      <c r="I6699" t="s">
        <v>29</v>
      </c>
      <c r="J6699" t="s">
        <v>30</v>
      </c>
      <c r="K6699" t="s">
        <v>7007</v>
      </c>
      <c r="M6699" t="s">
        <v>17861</v>
      </c>
      <c r="N6699" t="str">
        <f>"5/31/2012 12:46:00 PM"</f>
        <v>5/31/2012 12:46:00 PM</v>
      </c>
      <c r="O6699" t="s">
        <v>20196</v>
      </c>
    </row>
    <row r="6700" spans="1:20" x14ac:dyDescent="0.25">
      <c r="A6700" t="str">
        <f>"3037611"</f>
        <v>3037611</v>
      </c>
      <c r="B6700" t="s">
        <v>20331</v>
      </c>
      <c r="C6700" t="str">
        <f>"82517175"</f>
        <v>82517175</v>
      </c>
      <c r="D6700" t="s">
        <v>20332</v>
      </c>
      <c r="F6700" t="s">
        <v>20333</v>
      </c>
      <c r="I6700" t="s">
        <v>29</v>
      </c>
      <c r="J6700" t="s">
        <v>30</v>
      </c>
      <c r="K6700" t="s">
        <v>31</v>
      </c>
      <c r="M6700" t="s">
        <v>20015</v>
      </c>
      <c r="N6700" t="str">
        <f>"6/5/2012 1:55:00 PM"</f>
        <v>6/5/2012 1:55:00 PM</v>
      </c>
      <c r="O6700" t="s">
        <v>20332</v>
      </c>
    </row>
    <row r="6701" spans="1:20" x14ac:dyDescent="0.25">
      <c r="A6701" t="str">
        <f>"3058274"</f>
        <v>3058274</v>
      </c>
      <c r="B6701" t="s">
        <v>20334</v>
      </c>
      <c r="C6701" t="str">
        <f>"82523284"</f>
        <v>82523284</v>
      </c>
      <c r="D6701" t="s">
        <v>20335</v>
      </c>
      <c r="E6701" t="s">
        <v>20336</v>
      </c>
      <c r="F6701" t="s">
        <v>20337</v>
      </c>
      <c r="I6701" t="s">
        <v>29</v>
      </c>
      <c r="J6701" t="s">
        <v>30</v>
      </c>
      <c r="K6701" t="s">
        <v>20338</v>
      </c>
      <c r="M6701" t="s">
        <v>18479</v>
      </c>
      <c r="N6701" t="str">
        <f>"6/6/2012 9:07:00 AM"</f>
        <v>6/6/2012 9:07:00 AM</v>
      </c>
      <c r="O6701" t="s">
        <v>20335</v>
      </c>
      <c r="T6701" t="s">
        <v>20336</v>
      </c>
    </row>
    <row r="6702" spans="1:20" x14ac:dyDescent="0.25">
      <c r="A6702" t="str">
        <f>"3038108"</f>
        <v>3038108</v>
      </c>
      <c r="B6702" t="s">
        <v>20339</v>
      </c>
      <c r="C6702" t="str">
        <f>"79042000"</f>
        <v>79042000</v>
      </c>
      <c r="D6702" t="s">
        <v>20234</v>
      </c>
      <c r="E6702" t="s">
        <v>20235</v>
      </c>
      <c r="F6702" t="s">
        <v>20236</v>
      </c>
      <c r="I6702" t="s">
        <v>184</v>
      </c>
      <c r="J6702" t="s">
        <v>30</v>
      </c>
      <c r="K6702" t="s">
        <v>3559</v>
      </c>
      <c r="M6702" t="s">
        <v>18479</v>
      </c>
      <c r="N6702" t="str">
        <f>"6/6/2012 9:28:00 AM"</f>
        <v>6/6/2012 9:28:00 AM</v>
      </c>
      <c r="O6702" t="s">
        <v>20234</v>
      </c>
      <c r="T6702" t="s">
        <v>20235</v>
      </c>
    </row>
    <row r="6703" spans="1:20" x14ac:dyDescent="0.25">
      <c r="A6703" t="str">
        <f>"3068704"</f>
        <v>3068704</v>
      </c>
      <c r="B6703" t="s">
        <v>20340</v>
      </c>
      <c r="C6703" t="str">
        <f>"11826000"</f>
        <v>11826000</v>
      </c>
      <c r="D6703" t="s">
        <v>19919</v>
      </c>
      <c r="E6703" t="s">
        <v>20341</v>
      </c>
      <c r="F6703" t="s">
        <v>20342</v>
      </c>
      <c r="I6703" t="s">
        <v>29</v>
      </c>
      <c r="J6703" t="s">
        <v>30</v>
      </c>
      <c r="K6703" t="s">
        <v>31</v>
      </c>
      <c r="M6703" t="s">
        <v>20343</v>
      </c>
      <c r="N6703" t="str">
        <f>"6/6/2012 1:37:00 PM"</f>
        <v>6/6/2012 1:37:00 PM</v>
      </c>
      <c r="O6703" t="s">
        <v>19919</v>
      </c>
      <c r="T6703" t="s">
        <v>20341</v>
      </c>
    </row>
    <row r="6704" spans="1:20" x14ac:dyDescent="0.25">
      <c r="A6704" t="str">
        <f>"3068705"</f>
        <v>3068705</v>
      </c>
      <c r="B6704" t="s">
        <v>20344</v>
      </c>
      <c r="C6704" t="str">
        <f>"11826000"</f>
        <v>11826000</v>
      </c>
      <c r="D6704" t="s">
        <v>19919</v>
      </c>
      <c r="E6704" t="s">
        <v>20341</v>
      </c>
      <c r="F6704" t="s">
        <v>20342</v>
      </c>
      <c r="I6704" t="s">
        <v>29</v>
      </c>
      <c r="J6704" t="s">
        <v>30</v>
      </c>
      <c r="K6704" t="s">
        <v>31</v>
      </c>
      <c r="M6704" t="s">
        <v>20343</v>
      </c>
      <c r="N6704" t="str">
        <f>"6/6/2012 1:37:00 PM"</f>
        <v>6/6/2012 1:37:00 PM</v>
      </c>
      <c r="O6704" t="s">
        <v>19919</v>
      </c>
      <c r="T6704" t="s">
        <v>20341</v>
      </c>
    </row>
    <row r="6705" spans="1:20" x14ac:dyDescent="0.25">
      <c r="A6705" t="str">
        <f>"3078900"</f>
        <v>3078900</v>
      </c>
      <c r="B6705" t="s">
        <v>20345</v>
      </c>
      <c r="C6705" t="str">
        <f>"11826000"</f>
        <v>11826000</v>
      </c>
      <c r="D6705" t="s">
        <v>19919</v>
      </c>
      <c r="E6705" t="s">
        <v>20341</v>
      </c>
      <c r="F6705" t="s">
        <v>20342</v>
      </c>
      <c r="I6705" t="s">
        <v>29</v>
      </c>
      <c r="J6705" t="s">
        <v>30</v>
      </c>
      <c r="K6705" t="s">
        <v>31</v>
      </c>
      <c r="M6705" t="s">
        <v>20343</v>
      </c>
      <c r="N6705" t="str">
        <f>"6/6/2012 1:37:00 PM"</f>
        <v>6/6/2012 1:37:00 PM</v>
      </c>
      <c r="O6705" t="s">
        <v>19919</v>
      </c>
      <c r="T6705" t="s">
        <v>20341</v>
      </c>
    </row>
    <row r="6706" spans="1:20" x14ac:dyDescent="0.25">
      <c r="A6706" t="str">
        <f>"3064065"</f>
        <v>3064065</v>
      </c>
      <c r="B6706" t="s">
        <v>20346</v>
      </c>
      <c r="C6706" t="str">
        <f>"79748000"</f>
        <v>79748000</v>
      </c>
      <c r="D6706" t="s">
        <v>20347</v>
      </c>
      <c r="E6706" t="s">
        <v>20348</v>
      </c>
      <c r="F6706" t="s">
        <v>20349</v>
      </c>
      <c r="I6706" t="s">
        <v>184</v>
      </c>
      <c r="J6706" t="s">
        <v>30</v>
      </c>
      <c r="K6706" t="s">
        <v>20350</v>
      </c>
      <c r="M6706" t="s">
        <v>18479</v>
      </c>
      <c r="N6706" t="str">
        <f>"6/6/2012 4:38:00 PM"</f>
        <v>6/6/2012 4:38:00 PM</v>
      </c>
      <c r="O6706" t="s">
        <v>20347</v>
      </c>
      <c r="T6706" t="s">
        <v>20348</v>
      </c>
    </row>
    <row r="6707" spans="1:20" x14ac:dyDescent="0.25">
      <c r="A6707" t="str">
        <f>"3044446"</f>
        <v>3044446</v>
      </c>
      <c r="B6707" t="s">
        <v>20351</v>
      </c>
      <c r="C6707" t="str">
        <f>"8300168"</f>
        <v>8300168</v>
      </c>
      <c r="D6707" t="s">
        <v>20352</v>
      </c>
      <c r="E6707" t="s">
        <v>20353</v>
      </c>
      <c r="F6707" t="s">
        <v>20354</v>
      </c>
      <c r="I6707" t="s">
        <v>184</v>
      </c>
      <c r="J6707" t="s">
        <v>30</v>
      </c>
      <c r="K6707" t="s">
        <v>185</v>
      </c>
      <c r="M6707" t="s">
        <v>18479</v>
      </c>
      <c r="N6707" t="str">
        <f>"6/7/2012 10:03:00 AM"</f>
        <v>6/7/2012 10:03:00 AM</v>
      </c>
      <c r="O6707" t="s">
        <v>20352</v>
      </c>
      <c r="T6707" t="s">
        <v>20353</v>
      </c>
    </row>
    <row r="6708" spans="1:20" x14ac:dyDescent="0.25">
      <c r="A6708" t="str">
        <f>"3042765"</f>
        <v>3042765</v>
      </c>
      <c r="B6708" t="s">
        <v>20355</v>
      </c>
      <c r="C6708" t="str">
        <f>"82531865"</f>
        <v>82531865</v>
      </c>
      <c r="D6708" t="s">
        <v>20356</v>
      </c>
      <c r="E6708" t="s">
        <v>20357</v>
      </c>
      <c r="F6708" t="s">
        <v>20358</v>
      </c>
      <c r="I6708" t="s">
        <v>29</v>
      </c>
      <c r="J6708" t="s">
        <v>30</v>
      </c>
      <c r="K6708" t="s">
        <v>185</v>
      </c>
      <c r="M6708" t="s">
        <v>18513</v>
      </c>
      <c r="N6708" t="str">
        <f>"6/7/2012 11:40:00 AM"</f>
        <v>6/7/2012 11:40:00 AM</v>
      </c>
      <c r="O6708" t="s">
        <v>20356</v>
      </c>
      <c r="T6708" t="s">
        <v>20357</v>
      </c>
    </row>
    <row r="6709" spans="1:20" x14ac:dyDescent="0.25">
      <c r="A6709" t="str">
        <f>"3043990"</f>
        <v>3043990</v>
      </c>
      <c r="B6709" t="s">
        <v>20359</v>
      </c>
      <c r="C6709" t="str">
        <f>"8301196"</f>
        <v>8301196</v>
      </c>
      <c r="D6709" t="s">
        <v>20360</v>
      </c>
      <c r="F6709" t="s">
        <v>16939</v>
      </c>
      <c r="I6709" t="s">
        <v>184</v>
      </c>
      <c r="J6709" t="s">
        <v>30</v>
      </c>
      <c r="K6709" t="str">
        <f>"27006"</f>
        <v>27006</v>
      </c>
      <c r="M6709" t="s">
        <v>17861</v>
      </c>
      <c r="N6709" t="str">
        <f>"7/18/2012 1:02:00 PM"</f>
        <v>7/18/2012 1:02:00 PM</v>
      </c>
      <c r="O6709" t="s">
        <v>20360</v>
      </c>
    </row>
    <row r="6710" spans="1:20" x14ac:dyDescent="0.25">
      <c r="A6710" t="str">
        <f>"3044648"</f>
        <v>3044648</v>
      </c>
      <c r="B6710" t="s">
        <v>20361</v>
      </c>
      <c r="C6710" t="str">
        <f>"8301198"</f>
        <v>8301198</v>
      </c>
      <c r="D6710" t="s">
        <v>20362</v>
      </c>
      <c r="E6710" t="s">
        <v>20363</v>
      </c>
      <c r="F6710" t="s">
        <v>20364</v>
      </c>
      <c r="I6710" t="s">
        <v>184</v>
      </c>
      <c r="J6710" t="s">
        <v>30</v>
      </c>
      <c r="K6710" t="str">
        <f>"27006"</f>
        <v>27006</v>
      </c>
      <c r="M6710" t="s">
        <v>17861</v>
      </c>
      <c r="N6710" t="str">
        <f>"7/18/2012 1:07:00 PM"</f>
        <v>7/18/2012 1:07:00 PM</v>
      </c>
      <c r="O6710" t="s">
        <v>20362</v>
      </c>
      <c r="T6710" t="s">
        <v>20363</v>
      </c>
    </row>
    <row r="6711" spans="1:20" x14ac:dyDescent="0.25">
      <c r="A6711" t="str">
        <f>"3059631"</f>
        <v>3059631</v>
      </c>
      <c r="B6711" t="s">
        <v>20365</v>
      </c>
      <c r="C6711" t="str">
        <f>"82527688"</f>
        <v>82527688</v>
      </c>
      <c r="D6711" t="s">
        <v>20366</v>
      </c>
      <c r="E6711" t="s">
        <v>20367</v>
      </c>
      <c r="F6711" t="s">
        <v>20368</v>
      </c>
      <c r="I6711" t="s">
        <v>29</v>
      </c>
      <c r="J6711" t="s">
        <v>30</v>
      </c>
      <c r="K6711" t="s">
        <v>31</v>
      </c>
      <c r="M6711" t="s">
        <v>18432</v>
      </c>
      <c r="N6711" t="str">
        <f>"6/11/2012 12:53:00 PM"</f>
        <v>6/11/2012 12:53:00 PM</v>
      </c>
      <c r="O6711" t="s">
        <v>20366</v>
      </c>
      <c r="T6711" t="s">
        <v>20367</v>
      </c>
    </row>
    <row r="6712" spans="1:20" x14ac:dyDescent="0.25">
      <c r="A6712" t="str">
        <f>"3078798"</f>
        <v>3078798</v>
      </c>
      <c r="B6712" t="s">
        <v>20369</v>
      </c>
      <c r="C6712" t="str">
        <f>"54382000"</f>
        <v>54382000</v>
      </c>
      <c r="D6712" t="s">
        <v>20370</v>
      </c>
      <c r="E6712" t="s">
        <v>20371</v>
      </c>
      <c r="F6712" t="s">
        <v>15748</v>
      </c>
      <c r="I6712" t="s">
        <v>9580</v>
      </c>
      <c r="J6712" t="s">
        <v>30</v>
      </c>
      <c r="K6712" t="s">
        <v>9581</v>
      </c>
      <c r="M6712" t="s">
        <v>17861</v>
      </c>
      <c r="N6712" t="str">
        <f>"6/11/2012 1:33:00 PM"</f>
        <v>6/11/2012 1:33:00 PM</v>
      </c>
      <c r="O6712" t="s">
        <v>20370</v>
      </c>
      <c r="T6712" t="s">
        <v>20371</v>
      </c>
    </row>
    <row r="6713" spans="1:20" x14ac:dyDescent="0.25">
      <c r="A6713" t="str">
        <f>"3048643"</f>
        <v>3048643</v>
      </c>
      <c r="B6713" t="s">
        <v>20372</v>
      </c>
      <c r="C6713" t="str">
        <f>"82531988"</f>
        <v>82531988</v>
      </c>
      <c r="D6713" t="s">
        <v>20373</v>
      </c>
      <c r="E6713" t="s">
        <v>20374</v>
      </c>
      <c r="F6713" t="s">
        <v>20375</v>
      </c>
      <c r="I6713" t="s">
        <v>184</v>
      </c>
      <c r="J6713" t="s">
        <v>30</v>
      </c>
      <c r="K6713" t="s">
        <v>185</v>
      </c>
      <c r="M6713" t="s">
        <v>18479</v>
      </c>
      <c r="N6713" t="str">
        <f>"6/12/2012 9:43:00 AM"</f>
        <v>6/12/2012 9:43:00 AM</v>
      </c>
      <c r="O6713" t="s">
        <v>20373</v>
      </c>
      <c r="T6713" t="s">
        <v>20374</v>
      </c>
    </row>
    <row r="6714" spans="1:20" x14ac:dyDescent="0.25">
      <c r="A6714" t="str">
        <f>"3040112"</f>
        <v>3040112</v>
      </c>
      <c r="B6714" t="s">
        <v>20376</v>
      </c>
      <c r="C6714" t="str">
        <f>"8301111"</f>
        <v>8301111</v>
      </c>
      <c r="D6714" t="s">
        <v>20377</v>
      </c>
      <c r="E6714" t="s">
        <v>20378</v>
      </c>
      <c r="F6714" t="s">
        <v>20379</v>
      </c>
      <c r="I6714" t="s">
        <v>29</v>
      </c>
      <c r="J6714" t="s">
        <v>30</v>
      </c>
      <c r="K6714" t="str">
        <f>"27028"</f>
        <v>27028</v>
      </c>
      <c r="M6714" t="s">
        <v>17861</v>
      </c>
      <c r="N6714" t="str">
        <f>"6/14/2012 11:09:00 AM"</f>
        <v>6/14/2012 11:09:00 AM</v>
      </c>
      <c r="O6714" t="s">
        <v>20377</v>
      </c>
      <c r="T6714" t="s">
        <v>20378</v>
      </c>
    </row>
    <row r="6715" spans="1:20" x14ac:dyDescent="0.25">
      <c r="A6715" t="str">
        <f>"3050933"</f>
        <v>3050933</v>
      </c>
      <c r="B6715" t="s">
        <v>20380</v>
      </c>
      <c r="C6715" t="str">
        <f>"82520114"</f>
        <v>82520114</v>
      </c>
      <c r="D6715" t="s">
        <v>20381</v>
      </c>
      <c r="E6715" t="s">
        <v>20382</v>
      </c>
      <c r="F6715" t="s">
        <v>20383</v>
      </c>
      <c r="I6715" t="s">
        <v>184</v>
      </c>
      <c r="J6715" t="s">
        <v>30</v>
      </c>
      <c r="K6715" t="s">
        <v>20384</v>
      </c>
      <c r="M6715" t="s">
        <v>18432</v>
      </c>
      <c r="N6715" t="str">
        <f>"5/29/2012 11:00:00 AM"</f>
        <v>5/29/2012 11:00:00 AM</v>
      </c>
      <c r="O6715" t="s">
        <v>20381</v>
      </c>
      <c r="T6715" t="s">
        <v>20382</v>
      </c>
    </row>
    <row r="6716" spans="1:20" x14ac:dyDescent="0.25">
      <c r="A6716" t="str">
        <f>"3062590"</f>
        <v>3062590</v>
      </c>
      <c r="B6716" t="s">
        <v>20385</v>
      </c>
      <c r="C6716" t="str">
        <f>"82527665"</f>
        <v>82527665</v>
      </c>
      <c r="D6716" t="s">
        <v>20386</v>
      </c>
      <c r="E6716" t="s">
        <v>20387</v>
      </c>
      <c r="F6716" t="s">
        <v>20388</v>
      </c>
      <c r="I6716" t="s">
        <v>29</v>
      </c>
      <c r="J6716" t="s">
        <v>30</v>
      </c>
      <c r="K6716" t="s">
        <v>31</v>
      </c>
      <c r="M6716" t="s">
        <v>18432</v>
      </c>
      <c r="N6716" t="str">
        <f>"7/26/2012 10:13:00 AM"</f>
        <v>7/26/2012 10:13:00 AM</v>
      </c>
      <c r="O6716" t="s">
        <v>20386</v>
      </c>
      <c r="T6716" t="s">
        <v>20387</v>
      </c>
    </row>
    <row r="6717" spans="1:20" x14ac:dyDescent="0.25">
      <c r="A6717" t="str">
        <f>"3046910"</f>
        <v>3046910</v>
      </c>
      <c r="B6717" t="s">
        <v>20389</v>
      </c>
      <c r="C6717" t="str">
        <f>"8301133"</f>
        <v>8301133</v>
      </c>
      <c r="D6717" t="s">
        <v>20390</v>
      </c>
      <c r="F6717" t="s">
        <v>20391</v>
      </c>
      <c r="I6717" t="s">
        <v>29</v>
      </c>
      <c r="J6717" t="s">
        <v>30</v>
      </c>
      <c r="K6717" t="str">
        <f>"27028"</f>
        <v>27028</v>
      </c>
      <c r="M6717" t="s">
        <v>17861</v>
      </c>
      <c r="N6717" t="str">
        <f>"6/19/2012 1:10:00 PM"</f>
        <v>6/19/2012 1:10:00 PM</v>
      </c>
      <c r="O6717" t="s">
        <v>20390</v>
      </c>
    </row>
    <row r="6718" spans="1:20" x14ac:dyDescent="0.25">
      <c r="A6718" t="str">
        <f>"3037445"</f>
        <v>3037445</v>
      </c>
      <c r="B6718" t="s">
        <v>20392</v>
      </c>
      <c r="C6718" t="str">
        <f>"34724000"</f>
        <v>34724000</v>
      </c>
      <c r="D6718" t="s">
        <v>20298</v>
      </c>
      <c r="I6718" t="s">
        <v>29</v>
      </c>
      <c r="J6718" t="s">
        <v>30</v>
      </c>
      <c r="K6718" t="s">
        <v>31</v>
      </c>
      <c r="M6718" t="s">
        <v>17861</v>
      </c>
      <c r="N6718" t="str">
        <f>"6/21/2012 1:18:00 PM"</f>
        <v>6/21/2012 1:18:00 PM</v>
      </c>
      <c r="O6718" t="s">
        <v>20298</v>
      </c>
    </row>
    <row r="6719" spans="1:20" x14ac:dyDescent="0.25">
      <c r="A6719" t="str">
        <f>"3043086"</f>
        <v>3043086</v>
      </c>
      <c r="B6719" t="s">
        <v>20393</v>
      </c>
      <c r="C6719" t="str">
        <f>"8301152"</f>
        <v>8301152</v>
      </c>
      <c r="D6719" t="s">
        <v>20394</v>
      </c>
      <c r="E6719" t="str">
        <f>"HICKS JAMES B  (1/2 INT.)"</f>
        <v>HICKS JAMES B  (1/2 INT.)</v>
      </c>
      <c r="F6719" t="s">
        <v>20395</v>
      </c>
      <c r="I6719" t="s">
        <v>20396</v>
      </c>
      <c r="J6719" t="s">
        <v>20397</v>
      </c>
      <c r="K6719" t="str">
        <f>"06757"</f>
        <v>06757</v>
      </c>
      <c r="M6719" t="s">
        <v>17861</v>
      </c>
      <c r="N6719" t="str">
        <f>"6/26/2012 4:38:00 PM"</f>
        <v>6/26/2012 4:38:00 PM</v>
      </c>
      <c r="O6719" t="s">
        <v>20394</v>
      </c>
      <c r="T6719" t="str">
        <f>"HICKS JAMES B  (1/2 INT.)"</f>
        <v>HICKS JAMES B  (1/2 INT.)</v>
      </c>
    </row>
    <row r="6720" spans="1:20" x14ac:dyDescent="0.25">
      <c r="A6720" t="str">
        <f>"3059991"</f>
        <v>3059991</v>
      </c>
      <c r="B6720" t="s">
        <v>20398</v>
      </c>
      <c r="C6720" t="str">
        <f>"8301155"</f>
        <v>8301155</v>
      </c>
      <c r="D6720" t="s">
        <v>1168</v>
      </c>
      <c r="E6720" t="s">
        <v>20399</v>
      </c>
      <c r="F6720" t="s">
        <v>20400</v>
      </c>
      <c r="I6720" t="s">
        <v>184</v>
      </c>
      <c r="J6720" t="s">
        <v>30</v>
      </c>
      <c r="K6720" t="str">
        <f>"27006"</f>
        <v>27006</v>
      </c>
      <c r="M6720" t="s">
        <v>17861</v>
      </c>
      <c r="N6720" t="str">
        <f>"6/27/2012 9:14:00 AM"</f>
        <v>6/27/2012 9:14:00 AM</v>
      </c>
      <c r="O6720" t="s">
        <v>1168</v>
      </c>
      <c r="T6720" t="s">
        <v>20399</v>
      </c>
    </row>
    <row r="6721" spans="1:20" x14ac:dyDescent="0.25">
      <c r="A6721" t="str">
        <f>"3041745"</f>
        <v>3041745</v>
      </c>
      <c r="B6721" t="s">
        <v>20401</v>
      </c>
      <c r="C6721" t="str">
        <f>"69352000"</f>
        <v>69352000</v>
      </c>
      <c r="D6721" t="s">
        <v>20402</v>
      </c>
      <c r="F6721" t="s">
        <v>20403</v>
      </c>
      <c r="I6721" t="s">
        <v>2071</v>
      </c>
      <c r="J6721" t="s">
        <v>30</v>
      </c>
      <c r="K6721" t="s">
        <v>20404</v>
      </c>
      <c r="M6721" t="s">
        <v>20405</v>
      </c>
      <c r="N6721" t="str">
        <f>"7/6/2012 12:25:00 PM"</f>
        <v>7/6/2012 12:25:00 PM</v>
      </c>
      <c r="O6721" t="s">
        <v>20402</v>
      </c>
    </row>
    <row r="6722" spans="1:20" x14ac:dyDescent="0.25">
      <c r="A6722" t="str">
        <f>"3080092"</f>
        <v>3080092</v>
      </c>
      <c r="B6722" t="s">
        <v>20406</v>
      </c>
      <c r="C6722" t="str">
        <f>"8301172"</f>
        <v>8301172</v>
      </c>
      <c r="D6722" t="s">
        <v>20407</v>
      </c>
      <c r="F6722" t="s">
        <v>20408</v>
      </c>
      <c r="I6722" t="s">
        <v>29</v>
      </c>
      <c r="J6722" t="s">
        <v>30</v>
      </c>
      <c r="K6722" t="str">
        <f>"27028"</f>
        <v>27028</v>
      </c>
      <c r="M6722" t="s">
        <v>17861</v>
      </c>
      <c r="N6722" t="str">
        <f>"7/10/2012 9:56:00 AM"</f>
        <v>7/10/2012 9:56:00 AM</v>
      </c>
      <c r="O6722" t="s">
        <v>20407</v>
      </c>
    </row>
    <row r="6723" spans="1:20" x14ac:dyDescent="0.25">
      <c r="A6723" t="str">
        <f>"3043475"</f>
        <v>3043475</v>
      </c>
      <c r="B6723" t="s">
        <v>20409</v>
      </c>
      <c r="C6723" t="str">
        <f>"8301180"</f>
        <v>8301180</v>
      </c>
      <c r="D6723" t="s">
        <v>20410</v>
      </c>
      <c r="F6723" t="s">
        <v>20411</v>
      </c>
      <c r="I6723" t="s">
        <v>29</v>
      </c>
      <c r="J6723" t="s">
        <v>30</v>
      </c>
      <c r="K6723" t="str">
        <f>"27028"</f>
        <v>27028</v>
      </c>
      <c r="M6723" t="s">
        <v>17861</v>
      </c>
      <c r="N6723" t="str">
        <f>"7/10/2012 10:54:00 AM"</f>
        <v>7/10/2012 10:54:00 AM</v>
      </c>
      <c r="O6723" t="s">
        <v>20410</v>
      </c>
    </row>
    <row r="6724" spans="1:20" x14ac:dyDescent="0.25">
      <c r="A6724" t="str">
        <f>"3055303"</f>
        <v>3055303</v>
      </c>
      <c r="B6724" t="s">
        <v>20412</v>
      </c>
      <c r="C6724" t="str">
        <f>"27529000"</f>
        <v>27529000</v>
      </c>
      <c r="D6724" t="s">
        <v>20413</v>
      </c>
      <c r="E6724" t="s">
        <v>20414</v>
      </c>
      <c r="F6724" t="s">
        <v>20415</v>
      </c>
      <c r="I6724" t="s">
        <v>29</v>
      </c>
      <c r="J6724" t="s">
        <v>30</v>
      </c>
      <c r="K6724" t="s">
        <v>31</v>
      </c>
      <c r="M6724" t="s">
        <v>18513</v>
      </c>
      <c r="N6724" t="str">
        <f>"7/11/2012 9:49:00 AM"</f>
        <v>7/11/2012 9:49:00 AM</v>
      </c>
      <c r="O6724" t="s">
        <v>20413</v>
      </c>
      <c r="T6724" t="s">
        <v>20414</v>
      </c>
    </row>
    <row r="6725" spans="1:20" x14ac:dyDescent="0.25">
      <c r="A6725" t="str">
        <f>"3044818"</f>
        <v>3044818</v>
      </c>
      <c r="B6725" t="s">
        <v>20416</v>
      </c>
      <c r="C6725" t="str">
        <f>"8301261"</f>
        <v>8301261</v>
      </c>
      <c r="D6725" t="s">
        <v>20417</v>
      </c>
      <c r="F6725" t="s">
        <v>20418</v>
      </c>
      <c r="I6725" t="s">
        <v>184</v>
      </c>
      <c r="J6725" t="s">
        <v>30</v>
      </c>
      <c r="K6725" t="str">
        <f>"27006"</f>
        <v>27006</v>
      </c>
      <c r="M6725" t="s">
        <v>17861</v>
      </c>
      <c r="N6725" t="str">
        <f>"8/7/2012 11:29:00 AM"</f>
        <v>8/7/2012 11:29:00 AM</v>
      </c>
      <c r="O6725" t="s">
        <v>20417</v>
      </c>
    </row>
    <row r="6726" spans="1:20" x14ac:dyDescent="0.25">
      <c r="A6726" t="str">
        <f>"3059140"</f>
        <v>3059140</v>
      </c>
      <c r="B6726" t="s">
        <v>20419</v>
      </c>
      <c r="C6726" t="str">
        <f>"82520239"</f>
        <v>82520239</v>
      </c>
      <c r="D6726" t="s">
        <v>20420</v>
      </c>
      <c r="E6726" t="s">
        <v>20421</v>
      </c>
      <c r="F6726" t="s">
        <v>20422</v>
      </c>
      <c r="I6726" t="s">
        <v>29</v>
      </c>
      <c r="J6726" t="s">
        <v>30</v>
      </c>
      <c r="K6726" t="s">
        <v>31</v>
      </c>
      <c r="M6726" t="s">
        <v>17922</v>
      </c>
      <c r="N6726" t="str">
        <f>"8/8/2012 2:17:00 PM"</f>
        <v>8/8/2012 2:17:00 PM</v>
      </c>
      <c r="O6726" t="s">
        <v>20420</v>
      </c>
      <c r="T6726" t="s">
        <v>20421</v>
      </c>
    </row>
    <row r="6727" spans="1:20" x14ac:dyDescent="0.25">
      <c r="A6727" t="str">
        <f>"3054167"</f>
        <v>3054167</v>
      </c>
      <c r="B6727" t="s">
        <v>20423</v>
      </c>
      <c r="C6727" t="str">
        <f>"78518000"</f>
        <v>78518000</v>
      </c>
      <c r="D6727" t="s">
        <v>20424</v>
      </c>
      <c r="E6727" t="s">
        <v>20425</v>
      </c>
      <c r="F6727" t="str">
        <f>"C/O MICHAEL WHITE"</f>
        <v>C/O MICHAEL WHITE</v>
      </c>
      <c r="G6727" t="s">
        <v>20426</v>
      </c>
      <c r="I6727" t="s">
        <v>2280</v>
      </c>
      <c r="J6727" t="s">
        <v>30</v>
      </c>
      <c r="K6727" t="s">
        <v>9127</v>
      </c>
      <c r="M6727" t="s">
        <v>18577</v>
      </c>
      <c r="N6727" t="str">
        <f>"7/11/2012 10:30:00 AM"</f>
        <v>7/11/2012 10:30:00 AM</v>
      </c>
      <c r="O6727" t="s">
        <v>20424</v>
      </c>
      <c r="T6727" t="s">
        <v>20425</v>
      </c>
    </row>
    <row r="6728" spans="1:20" x14ac:dyDescent="0.25">
      <c r="A6728" t="str">
        <f>"3057459"</f>
        <v>3057459</v>
      </c>
      <c r="B6728" t="s">
        <v>20427</v>
      </c>
      <c r="C6728" t="str">
        <f>"82518749"</f>
        <v>82518749</v>
      </c>
      <c r="D6728" t="s">
        <v>20428</v>
      </c>
      <c r="E6728" t="s">
        <v>20429</v>
      </c>
      <c r="F6728" t="s">
        <v>20430</v>
      </c>
      <c r="I6728" t="s">
        <v>29</v>
      </c>
      <c r="J6728" t="s">
        <v>30</v>
      </c>
      <c r="K6728" t="s">
        <v>20431</v>
      </c>
      <c r="M6728" t="s">
        <v>18577</v>
      </c>
      <c r="N6728" t="str">
        <f>"8/8/2012 2:43:00 PM"</f>
        <v>8/8/2012 2:43:00 PM</v>
      </c>
      <c r="O6728" t="s">
        <v>20428</v>
      </c>
      <c r="T6728" t="s">
        <v>20429</v>
      </c>
    </row>
    <row r="6729" spans="1:20" x14ac:dyDescent="0.25">
      <c r="A6729" t="str">
        <f>"3057508"</f>
        <v>3057508</v>
      </c>
      <c r="B6729" t="s">
        <v>20432</v>
      </c>
      <c r="C6729" t="str">
        <f>"82518749"</f>
        <v>82518749</v>
      </c>
      <c r="D6729" t="s">
        <v>20428</v>
      </c>
      <c r="E6729" t="s">
        <v>20429</v>
      </c>
      <c r="F6729" t="s">
        <v>20430</v>
      </c>
      <c r="I6729" t="s">
        <v>29</v>
      </c>
      <c r="J6729" t="s">
        <v>30</v>
      </c>
      <c r="K6729" t="s">
        <v>20431</v>
      </c>
      <c r="M6729" t="s">
        <v>18577</v>
      </c>
      <c r="N6729" t="str">
        <f>"8/8/2012 2:43:00 PM"</f>
        <v>8/8/2012 2:43:00 PM</v>
      </c>
      <c r="O6729" t="s">
        <v>20428</v>
      </c>
      <c r="T6729" t="s">
        <v>20429</v>
      </c>
    </row>
    <row r="6730" spans="1:20" x14ac:dyDescent="0.25">
      <c r="A6730" t="str">
        <f>"3055995"</f>
        <v>3055995</v>
      </c>
      <c r="B6730" t="s">
        <v>20433</v>
      </c>
      <c r="C6730" t="str">
        <f>"82532889"</f>
        <v>82532889</v>
      </c>
      <c r="D6730" t="s">
        <v>20434</v>
      </c>
      <c r="E6730" t="s">
        <v>20435</v>
      </c>
      <c r="F6730" t="s">
        <v>20436</v>
      </c>
      <c r="I6730" t="s">
        <v>9580</v>
      </c>
      <c r="J6730" t="s">
        <v>30</v>
      </c>
      <c r="K6730" t="s">
        <v>9581</v>
      </c>
      <c r="M6730" t="s">
        <v>17922</v>
      </c>
      <c r="N6730" t="str">
        <f>"8/8/2012 3:55:00 PM"</f>
        <v>8/8/2012 3:55:00 PM</v>
      </c>
      <c r="O6730" t="s">
        <v>20434</v>
      </c>
      <c r="T6730" t="s">
        <v>20435</v>
      </c>
    </row>
    <row r="6731" spans="1:20" x14ac:dyDescent="0.25">
      <c r="A6731" t="str">
        <f>"3061569"</f>
        <v>3061569</v>
      </c>
      <c r="B6731" t="s">
        <v>20437</v>
      </c>
      <c r="C6731" t="str">
        <f>"82533127"</f>
        <v>82533127</v>
      </c>
      <c r="D6731" t="s">
        <v>20438</v>
      </c>
      <c r="F6731" t="s">
        <v>20439</v>
      </c>
      <c r="I6731" t="s">
        <v>29</v>
      </c>
      <c r="J6731" t="s">
        <v>30</v>
      </c>
      <c r="K6731" t="s">
        <v>12311</v>
      </c>
      <c r="M6731" t="s">
        <v>18513</v>
      </c>
      <c r="N6731" t="str">
        <f>"7/11/2012 11:18:00 AM"</f>
        <v>7/11/2012 11:18:00 AM</v>
      </c>
      <c r="O6731" t="s">
        <v>20438</v>
      </c>
    </row>
    <row r="6732" spans="1:20" x14ac:dyDescent="0.25">
      <c r="A6732" t="str">
        <f>"3040276"</f>
        <v>3040276</v>
      </c>
      <c r="B6732" t="s">
        <v>20440</v>
      </c>
      <c r="C6732" t="str">
        <f>"8301267"</f>
        <v>8301267</v>
      </c>
      <c r="D6732" t="s">
        <v>20441</v>
      </c>
      <c r="F6732" t="s">
        <v>20442</v>
      </c>
      <c r="I6732" t="s">
        <v>29</v>
      </c>
      <c r="J6732" t="s">
        <v>30</v>
      </c>
      <c r="K6732" t="str">
        <f>"27028"</f>
        <v>27028</v>
      </c>
      <c r="M6732" t="s">
        <v>17861</v>
      </c>
      <c r="N6732" t="str">
        <f>"8/13/2012 11:23:00 AM"</f>
        <v>8/13/2012 11:23:00 AM</v>
      </c>
      <c r="O6732" t="s">
        <v>20441</v>
      </c>
    </row>
    <row r="6733" spans="1:20" x14ac:dyDescent="0.25">
      <c r="A6733" t="str">
        <f>"3068901"</f>
        <v>3068901</v>
      </c>
      <c r="B6733" t="s">
        <v>20443</v>
      </c>
      <c r="C6733" t="str">
        <f>"8301267"</f>
        <v>8301267</v>
      </c>
      <c r="D6733" t="s">
        <v>20441</v>
      </c>
      <c r="F6733" t="s">
        <v>20442</v>
      </c>
      <c r="I6733" t="s">
        <v>29</v>
      </c>
      <c r="J6733" t="s">
        <v>30</v>
      </c>
      <c r="K6733" t="str">
        <f>"27028"</f>
        <v>27028</v>
      </c>
      <c r="M6733" t="s">
        <v>17861</v>
      </c>
      <c r="N6733" t="str">
        <f>"8/13/2012 11:23:00 AM"</f>
        <v>8/13/2012 11:23:00 AM</v>
      </c>
      <c r="O6733" t="s">
        <v>20441</v>
      </c>
    </row>
    <row r="6734" spans="1:20" x14ac:dyDescent="0.25">
      <c r="A6734" t="str">
        <f>"3052576"</f>
        <v>3052576</v>
      </c>
      <c r="B6734" t="s">
        <v>20444</v>
      </c>
      <c r="C6734" t="str">
        <f>"40485750"</f>
        <v>40485750</v>
      </c>
      <c r="D6734" t="s">
        <v>20445</v>
      </c>
      <c r="F6734" t="s">
        <v>20446</v>
      </c>
      <c r="I6734" t="s">
        <v>29</v>
      </c>
      <c r="J6734" t="s">
        <v>30</v>
      </c>
      <c r="K6734" t="s">
        <v>20447</v>
      </c>
      <c r="M6734" t="s">
        <v>18432</v>
      </c>
      <c r="N6734" t="str">
        <f>"7/11/2012 2:43:00 PM"</f>
        <v>7/11/2012 2:43:00 PM</v>
      </c>
      <c r="O6734" t="s">
        <v>20445</v>
      </c>
    </row>
    <row r="6735" spans="1:20" x14ac:dyDescent="0.25">
      <c r="A6735" t="str">
        <f>"3055712"</f>
        <v>3055712</v>
      </c>
      <c r="B6735" t="s">
        <v>20448</v>
      </c>
      <c r="C6735" t="str">
        <f>"20732000"</f>
        <v>20732000</v>
      </c>
      <c r="D6735" t="s">
        <v>20449</v>
      </c>
      <c r="E6735" t="s">
        <v>20450</v>
      </c>
      <c r="F6735" t="s">
        <v>20451</v>
      </c>
      <c r="I6735" t="s">
        <v>9580</v>
      </c>
      <c r="J6735" t="s">
        <v>30</v>
      </c>
      <c r="K6735" t="s">
        <v>20452</v>
      </c>
      <c r="M6735" t="s">
        <v>18432</v>
      </c>
      <c r="N6735" t="str">
        <f>"7/13/2012 10:58:00 AM"</f>
        <v>7/13/2012 10:58:00 AM</v>
      </c>
      <c r="O6735" t="s">
        <v>20449</v>
      </c>
      <c r="T6735" t="s">
        <v>20450</v>
      </c>
    </row>
    <row r="6736" spans="1:20" x14ac:dyDescent="0.25">
      <c r="A6736" t="str">
        <f>"3076598"</f>
        <v>3076598</v>
      </c>
      <c r="B6736" t="s">
        <v>20453</v>
      </c>
      <c r="C6736" t="str">
        <f>"70490500"</f>
        <v>70490500</v>
      </c>
      <c r="D6736" t="s">
        <v>20454</v>
      </c>
      <c r="F6736" t="s">
        <v>20455</v>
      </c>
      <c r="I6736" t="s">
        <v>29</v>
      </c>
      <c r="J6736" t="s">
        <v>30</v>
      </c>
      <c r="K6736" t="s">
        <v>31</v>
      </c>
      <c r="M6736" t="s">
        <v>18432</v>
      </c>
      <c r="N6736" t="str">
        <f>"8/15/2012 9:11:00 AM"</f>
        <v>8/15/2012 9:11:00 AM</v>
      </c>
      <c r="O6736" t="s">
        <v>20454</v>
      </c>
    </row>
    <row r="6737" spans="1:20" x14ac:dyDescent="0.25">
      <c r="A6737" t="str">
        <f>"3055853"</f>
        <v>3055853</v>
      </c>
      <c r="B6737" t="s">
        <v>20456</v>
      </c>
      <c r="C6737" t="str">
        <f>"20732000"</f>
        <v>20732000</v>
      </c>
      <c r="D6737" t="s">
        <v>20449</v>
      </c>
      <c r="E6737" t="s">
        <v>20450</v>
      </c>
      <c r="F6737" t="s">
        <v>20451</v>
      </c>
      <c r="I6737" t="s">
        <v>9580</v>
      </c>
      <c r="J6737" t="s">
        <v>30</v>
      </c>
      <c r="K6737" t="s">
        <v>20452</v>
      </c>
      <c r="M6737" t="s">
        <v>18432</v>
      </c>
      <c r="N6737" t="str">
        <f>"7/13/2012 10:58:00 AM"</f>
        <v>7/13/2012 10:58:00 AM</v>
      </c>
      <c r="O6737" t="s">
        <v>20449</v>
      </c>
      <c r="T6737" t="s">
        <v>20450</v>
      </c>
    </row>
    <row r="6738" spans="1:20" x14ac:dyDescent="0.25">
      <c r="A6738" t="str">
        <f>"3055908"</f>
        <v>3055908</v>
      </c>
      <c r="B6738" t="s">
        <v>20457</v>
      </c>
      <c r="C6738" t="str">
        <f>"20732000"</f>
        <v>20732000</v>
      </c>
      <c r="D6738" t="s">
        <v>20449</v>
      </c>
      <c r="E6738" t="s">
        <v>20450</v>
      </c>
      <c r="F6738" t="s">
        <v>20451</v>
      </c>
      <c r="I6738" t="s">
        <v>9580</v>
      </c>
      <c r="J6738" t="s">
        <v>30</v>
      </c>
      <c r="K6738" t="s">
        <v>20452</v>
      </c>
      <c r="M6738" t="s">
        <v>18432</v>
      </c>
      <c r="N6738" t="str">
        <f>"7/13/2012 10:58:00 AM"</f>
        <v>7/13/2012 10:58:00 AM</v>
      </c>
      <c r="O6738" t="s">
        <v>20449</v>
      </c>
      <c r="T6738" t="s">
        <v>20450</v>
      </c>
    </row>
    <row r="6739" spans="1:20" x14ac:dyDescent="0.25">
      <c r="A6739" t="str">
        <f>"3056525"</f>
        <v>3056525</v>
      </c>
      <c r="B6739" t="s">
        <v>20458</v>
      </c>
      <c r="C6739" t="str">
        <f>"20732000"</f>
        <v>20732000</v>
      </c>
      <c r="D6739" t="s">
        <v>20449</v>
      </c>
      <c r="E6739" t="s">
        <v>20450</v>
      </c>
      <c r="F6739" t="s">
        <v>20451</v>
      </c>
      <c r="I6739" t="s">
        <v>9580</v>
      </c>
      <c r="J6739" t="s">
        <v>30</v>
      </c>
      <c r="K6739" t="s">
        <v>20452</v>
      </c>
      <c r="M6739" t="s">
        <v>18432</v>
      </c>
      <c r="N6739" t="str">
        <f>"7/13/2012 10:58:00 AM"</f>
        <v>7/13/2012 10:58:00 AM</v>
      </c>
      <c r="O6739" t="s">
        <v>20449</v>
      </c>
      <c r="T6739" t="s">
        <v>20450</v>
      </c>
    </row>
    <row r="6740" spans="1:20" x14ac:dyDescent="0.25">
      <c r="A6740" t="str">
        <f>"3059130"</f>
        <v>3059130</v>
      </c>
      <c r="B6740" t="s">
        <v>20459</v>
      </c>
      <c r="C6740" t="str">
        <f>"82518530"</f>
        <v>82518530</v>
      </c>
      <c r="D6740" t="s">
        <v>20460</v>
      </c>
      <c r="F6740" t="s">
        <v>20461</v>
      </c>
      <c r="I6740" t="s">
        <v>29</v>
      </c>
      <c r="J6740" t="s">
        <v>30</v>
      </c>
      <c r="K6740" t="s">
        <v>31</v>
      </c>
      <c r="M6740" t="s">
        <v>18432</v>
      </c>
      <c r="N6740" t="str">
        <f>"7/16/2012 2:35:00 PM"</f>
        <v>7/16/2012 2:35:00 PM</v>
      </c>
      <c r="O6740" t="s">
        <v>20460</v>
      </c>
    </row>
    <row r="6741" spans="1:20" x14ac:dyDescent="0.25">
      <c r="A6741" t="str">
        <f>"3057540"</f>
        <v>3057540</v>
      </c>
      <c r="B6741" t="s">
        <v>20462</v>
      </c>
      <c r="C6741" t="str">
        <f>"82515472"</f>
        <v>82515472</v>
      </c>
      <c r="D6741" t="s">
        <v>20463</v>
      </c>
      <c r="E6741" t="s">
        <v>20464</v>
      </c>
      <c r="F6741" t="s">
        <v>20465</v>
      </c>
      <c r="I6741" t="s">
        <v>184</v>
      </c>
      <c r="J6741" t="s">
        <v>30</v>
      </c>
      <c r="K6741" t="s">
        <v>20466</v>
      </c>
      <c r="M6741" t="s">
        <v>18432</v>
      </c>
      <c r="N6741" t="str">
        <f>"7/16/2012 3:55:00 PM"</f>
        <v>7/16/2012 3:55:00 PM</v>
      </c>
      <c r="O6741" t="s">
        <v>20463</v>
      </c>
      <c r="T6741" t="s">
        <v>20464</v>
      </c>
    </row>
    <row r="6742" spans="1:20" x14ac:dyDescent="0.25">
      <c r="A6742" t="str">
        <f>"3043224"</f>
        <v>3043224</v>
      </c>
      <c r="B6742" t="s">
        <v>20467</v>
      </c>
      <c r="C6742" t="str">
        <f>"8301196"</f>
        <v>8301196</v>
      </c>
      <c r="D6742" t="s">
        <v>20360</v>
      </c>
      <c r="F6742" t="s">
        <v>16939</v>
      </c>
      <c r="I6742" t="s">
        <v>184</v>
      </c>
      <c r="J6742" t="s">
        <v>30</v>
      </c>
      <c r="K6742" t="str">
        <f>"27006"</f>
        <v>27006</v>
      </c>
      <c r="M6742" t="s">
        <v>17861</v>
      </c>
      <c r="N6742" t="str">
        <f>"7/18/2012 1:02:00 PM"</f>
        <v>7/18/2012 1:02:00 PM</v>
      </c>
      <c r="O6742" t="s">
        <v>20360</v>
      </c>
    </row>
    <row r="6743" spans="1:20" x14ac:dyDescent="0.25">
      <c r="A6743" t="str">
        <f>"3057477"</f>
        <v>3057477</v>
      </c>
      <c r="B6743" t="s">
        <v>20468</v>
      </c>
      <c r="C6743" t="str">
        <f>"8301199"</f>
        <v>8301199</v>
      </c>
      <c r="D6743" t="s">
        <v>20469</v>
      </c>
      <c r="F6743" t="s">
        <v>20470</v>
      </c>
      <c r="I6743" t="s">
        <v>49</v>
      </c>
      <c r="J6743" t="s">
        <v>30</v>
      </c>
      <c r="K6743" t="str">
        <f>"27055"</f>
        <v>27055</v>
      </c>
      <c r="M6743" t="s">
        <v>17861</v>
      </c>
      <c r="N6743" t="str">
        <f>"7/19/2012 1:38:00 PM"</f>
        <v>7/19/2012 1:38:00 PM</v>
      </c>
      <c r="O6743" t="s">
        <v>20469</v>
      </c>
    </row>
    <row r="6744" spans="1:20" x14ac:dyDescent="0.25">
      <c r="A6744" t="str">
        <f>"3053526"</f>
        <v>3053526</v>
      </c>
      <c r="B6744" t="s">
        <v>20471</v>
      </c>
      <c r="C6744" t="str">
        <f>"8301215"</f>
        <v>8301215</v>
      </c>
      <c r="D6744" t="s">
        <v>20472</v>
      </c>
      <c r="E6744" t="s">
        <v>20473</v>
      </c>
      <c r="F6744" t="s">
        <v>20474</v>
      </c>
      <c r="I6744" t="s">
        <v>29</v>
      </c>
      <c r="J6744" t="s">
        <v>30</v>
      </c>
      <c r="K6744" t="str">
        <f>"27028"</f>
        <v>27028</v>
      </c>
      <c r="M6744" t="s">
        <v>17861</v>
      </c>
      <c r="N6744" t="str">
        <f>"7/23/2012 2:35:00 PM"</f>
        <v>7/23/2012 2:35:00 PM</v>
      </c>
      <c r="O6744" t="s">
        <v>20472</v>
      </c>
      <c r="T6744" t="s">
        <v>20473</v>
      </c>
    </row>
    <row r="6745" spans="1:20" x14ac:dyDescent="0.25">
      <c r="A6745" t="str">
        <f>"3042620"</f>
        <v>3042620</v>
      </c>
      <c r="B6745" t="s">
        <v>20475</v>
      </c>
      <c r="C6745" t="str">
        <f>"82530390"</f>
        <v>82530390</v>
      </c>
      <c r="D6745" t="s">
        <v>20476</v>
      </c>
      <c r="E6745" t="s">
        <v>20477</v>
      </c>
      <c r="F6745" t="s">
        <v>20478</v>
      </c>
      <c r="I6745" t="s">
        <v>29</v>
      </c>
      <c r="J6745" t="s">
        <v>30</v>
      </c>
      <c r="K6745" t="s">
        <v>31</v>
      </c>
      <c r="M6745" t="s">
        <v>17861</v>
      </c>
      <c r="N6745" t="str">
        <f>"8/23/2012 2:26:00 PM"</f>
        <v>8/23/2012 2:26:00 PM</v>
      </c>
      <c r="O6745" t="s">
        <v>20476</v>
      </c>
      <c r="T6745" t="s">
        <v>20477</v>
      </c>
    </row>
    <row r="6746" spans="1:20" x14ac:dyDescent="0.25">
      <c r="A6746" t="str">
        <f>"3048611"</f>
        <v>3048611</v>
      </c>
      <c r="B6746" t="s">
        <v>20479</v>
      </c>
      <c r="C6746" t="str">
        <f>"82525495"</f>
        <v>82525495</v>
      </c>
      <c r="D6746" t="s">
        <v>20480</v>
      </c>
      <c r="E6746" t="s">
        <v>20481</v>
      </c>
      <c r="F6746" t="s">
        <v>20482</v>
      </c>
      <c r="I6746" t="s">
        <v>184</v>
      </c>
      <c r="J6746" t="s">
        <v>30</v>
      </c>
      <c r="K6746" t="s">
        <v>185</v>
      </c>
      <c r="M6746" t="s">
        <v>18577</v>
      </c>
      <c r="N6746" t="str">
        <f>"8/24/2012 9:01:00 AM"</f>
        <v>8/24/2012 9:01:00 AM</v>
      </c>
      <c r="O6746" t="s">
        <v>20480</v>
      </c>
      <c r="T6746" t="s">
        <v>20481</v>
      </c>
    </row>
    <row r="6747" spans="1:20" x14ac:dyDescent="0.25">
      <c r="A6747" t="str">
        <f>"3042632"</f>
        <v>3042632</v>
      </c>
      <c r="B6747" t="s">
        <v>20483</v>
      </c>
      <c r="C6747" t="str">
        <f>"8301217"</f>
        <v>8301217</v>
      </c>
      <c r="D6747" t="s">
        <v>20484</v>
      </c>
      <c r="F6747" t="s">
        <v>20485</v>
      </c>
      <c r="I6747" t="s">
        <v>29</v>
      </c>
      <c r="J6747" t="s">
        <v>30</v>
      </c>
      <c r="K6747" t="str">
        <f>"27028"</f>
        <v>27028</v>
      </c>
      <c r="M6747" t="s">
        <v>17861</v>
      </c>
      <c r="N6747" t="str">
        <f>"7/24/2012 3:10:00 PM"</f>
        <v>7/24/2012 3:10:00 PM</v>
      </c>
      <c r="O6747" t="s">
        <v>20484</v>
      </c>
    </row>
    <row r="6748" spans="1:20" x14ac:dyDescent="0.25">
      <c r="A6748" t="str">
        <f>"3059788"</f>
        <v>3059788</v>
      </c>
      <c r="B6748" t="s">
        <v>20486</v>
      </c>
      <c r="C6748" t="str">
        <f>"8301293"</f>
        <v>8301293</v>
      </c>
      <c r="D6748" t="s">
        <v>20487</v>
      </c>
      <c r="F6748" t="s">
        <v>20488</v>
      </c>
      <c r="I6748" t="s">
        <v>29</v>
      </c>
      <c r="J6748" t="s">
        <v>30</v>
      </c>
      <c r="K6748" t="str">
        <f>"27028"</f>
        <v>27028</v>
      </c>
      <c r="M6748" t="s">
        <v>17861</v>
      </c>
      <c r="N6748" t="str">
        <f>"8/28/2012 1:49:00 PM"</f>
        <v>8/28/2012 1:49:00 PM</v>
      </c>
      <c r="O6748" t="s">
        <v>20487</v>
      </c>
    </row>
    <row r="6749" spans="1:20" x14ac:dyDescent="0.25">
      <c r="A6749" t="str">
        <f>"3045802"</f>
        <v>3045802</v>
      </c>
      <c r="B6749" t="s">
        <v>20489</v>
      </c>
      <c r="C6749" t="str">
        <f>"8301220"</f>
        <v>8301220</v>
      </c>
      <c r="D6749" t="s">
        <v>20490</v>
      </c>
      <c r="E6749" t="s">
        <v>20491</v>
      </c>
      <c r="F6749" t="s">
        <v>20492</v>
      </c>
      <c r="I6749" t="s">
        <v>29</v>
      </c>
      <c r="J6749" t="s">
        <v>30</v>
      </c>
      <c r="K6749" t="str">
        <f>"27028"</f>
        <v>27028</v>
      </c>
      <c r="M6749" t="s">
        <v>17861</v>
      </c>
      <c r="N6749" t="str">
        <f>"7/24/2012 3:37:00 PM"</f>
        <v>7/24/2012 3:37:00 PM</v>
      </c>
      <c r="O6749" t="s">
        <v>20490</v>
      </c>
      <c r="T6749" t="s">
        <v>20491</v>
      </c>
    </row>
    <row r="6750" spans="1:20" x14ac:dyDescent="0.25">
      <c r="A6750" t="str">
        <f>"3048862"</f>
        <v>3048862</v>
      </c>
      <c r="B6750" t="s">
        <v>20493</v>
      </c>
      <c r="C6750" t="str">
        <f>"8301225"</f>
        <v>8301225</v>
      </c>
      <c r="D6750" t="s">
        <v>20494</v>
      </c>
      <c r="E6750" t="s">
        <v>20495</v>
      </c>
      <c r="F6750" t="s">
        <v>10989</v>
      </c>
      <c r="I6750" t="s">
        <v>29</v>
      </c>
      <c r="J6750" t="s">
        <v>30</v>
      </c>
      <c r="K6750" t="str">
        <f>"27028"</f>
        <v>27028</v>
      </c>
      <c r="M6750" t="s">
        <v>17861</v>
      </c>
      <c r="N6750" t="str">
        <f>"7/25/2012 12:45:00 PM"</f>
        <v>7/25/2012 12:45:00 PM</v>
      </c>
      <c r="O6750" t="s">
        <v>20494</v>
      </c>
      <c r="T6750" t="s">
        <v>20495</v>
      </c>
    </row>
    <row r="6751" spans="1:20" x14ac:dyDescent="0.25">
      <c r="A6751" t="str">
        <f>"3049625"</f>
        <v>3049625</v>
      </c>
      <c r="B6751" t="s">
        <v>20496</v>
      </c>
      <c r="C6751" t="str">
        <f>"82518668"</f>
        <v>82518668</v>
      </c>
      <c r="D6751" t="s">
        <v>20497</v>
      </c>
      <c r="F6751" t="s">
        <v>20498</v>
      </c>
      <c r="I6751" t="s">
        <v>29</v>
      </c>
      <c r="J6751" t="s">
        <v>30</v>
      </c>
      <c r="K6751" t="s">
        <v>31</v>
      </c>
      <c r="M6751" t="s">
        <v>18470</v>
      </c>
      <c r="N6751" t="str">
        <f>"8/31/2012 11:28:00 AM"</f>
        <v>8/31/2012 11:28:00 AM</v>
      </c>
      <c r="O6751" t="s">
        <v>20497</v>
      </c>
    </row>
    <row r="6752" spans="1:20" x14ac:dyDescent="0.25">
      <c r="A6752" t="str">
        <f>"3050886"</f>
        <v>3050886</v>
      </c>
      <c r="B6752" t="s">
        <v>20499</v>
      </c>
      <c r="C6752" t="str">
        <f>"82525181"</f>
        <v>82525181</v>
      </c>
      <c r="D6752" t="s">
        <v>20500</v>
      </c>
      <c r="E6752" t="s">
        <v>20501</v>
      </c>
      <c r="F6752" t="s">
        <v>20502</v>
      </c>
      <c r="I6752" t="s">
        <v>184</v>
      </c>
      <c r="J6752" t="s">
        <v>30</v>
      </c>
      <c r="K6752" t="s">
        <v>12590</v>
      </c>
      <c r="M6752" t="s">
        <v>18432</v>
      </c>
      <c r="N6752" t="str">
        <f>"6/14/2012 12:10:00 PM"</f>
        <v>6/14/2012 12:10:00 PM</v>
      </c>
      <c r="O6752" t="s">
        <v>20500</v>
      </c>
      <c r="T6752" t="s">
        <v>20501</v>
      </c>
    </row>
    <row r="6753" spans="1:20" x14ac:dyDescent="0.25">
      <c r="A6753" t="str">
        <f>"3058046"</f>
        <v>3058046</v>
      </c>
      <c r="B6753" t="s">
        <v>20503</v>
      </c>
      <c r="C6753" t="str">
        <f>"8301229"</f>
        <v>8301229</v>
      </c>
      <c r="D6753" t="s">
        <v>20504</v>
      </c>
      <c r="E6753" t="s">
        <v>20505</v>
      </c>
      <c r="F6753" t="s">
        <v>20506</v>
      </c>
      <c r="I6753" t="s">
        <v>184</v>
      </c>
      <c r="J6753" t="s">
        <v>30</v>
      </c>
      <c r="K6753" t="str">
        <f>"27006"</f>
        <v>27006</v>
      </c>
      <c r="M6753" t="s">
        <v>17861</v>
      </c>
      <c r="N6753" t="str">
        <f>"8/1/2012 10:54:00 AM"</f>
        <v>8/1/2012 10:54:00 AM</v>
      </c>
      <c r="O6753" t="s">
        <v>20504</v>
      </c>
      <c r="T6753" t="s">
        <v>20505</v>
      </c>
    </row>
    <row r="6754" spans="1:20" x14ac:dyDescent="0.25">
      <c r="A6754" t="str">
        <f>"3059711"</f>
        <v>3059711</v>
      </c>
      <c r="B6754" t="s">
        <v>20507</v>
      </c>
      <c r="C6754" t="str">
        <f>"8301232"</f>
        <v>8301232</v>
      </c>
      <c r="D6754" t="s">
        <v>20508</v>
      </c>
      <c r="E6754" t="s">
        <v>20509</v>
      </c>
      <c r="F6754" t="s">
        <v>20510</v>
      </c>
      <c r="I6754" t="s">
        <v>29</v>
      </c>
      <c r="J6754" t="s">
        <v>30</v>
      </c>
      <c r="K6754" t="str">
        <f>"27028"</f>
        <v>27028</v>
      </c>
      <c r="M6754" t="s">
        <v>17861</v>
      </c>
      <c r="N6754" t="str">
        <f>"8/1/2012 11:30:00 AM"</f>
        <v>8/1/2012 11:30:00 AM</v>
      </c>
      <c r="O6754" t="s">
        <v>20508</v>
      </c>
      <c r="T6754" t="s">
        <v>20509</v>
      </c>
    </row>
    <row r="6755" spans="1:20" x14ac:dyDescent="0.25">
      <c r="A6755" t="str">
        <f>"3053791"</f>
        <v>3053791</v>
      </c>
      <c r="B6755" t="s">
        <v>20511</v>
      </c>
      <c r="C6755" t="str">
        <f>"46900000"</f>
        <v>46900000</v>
      </c>
      <c r="D6755" t="s">
        <v>20512</v>
      </c>
      <c r="E6755" t="s">
        <v>20513</v>
      </c>
      <c r="F6755" t="s">
        <v>20514</v>
      </c>
      <c r="I6755" t="s">
        <v>29</v>
      </c>
      <c r="J6755" t="s">
        <v>30</v>
      </c>
      <c r="K6755" t="s">
        <v>31</v>
      </c>
      <c r="M6755" t="s">
        <v>18513</v>
      </c>
      <c r="N6755" t="str">
        <f>"9/7/2012 9:50:00 AM"</f>
        <v>9/7/2012 9:50:00 AM</v>
      </c>
      <c r="O6755" t="s">
        <v>20512</v>
      </c>
      <c r="T6755" t="s">
        <v>20513</v>
      </c>
    </row>
    <row r="6756" spans="1:20" x14ac:dyDescent="0.25">
      <c r="A6756" t="str">
        <f>"3049035"</f>
        <v>3049035</v>
      </c>
      <c r="B6756" t="s">
        <v>20515</v>
      </c>
      <c r="C6756" t="str">
        <f>"82517178"</f>
        <v>82517178</v>
      </c>
      <c r="D6756" t="s">
        <v>20516</v>
      </c>
      <c r="F6756" t="s">
        <v>20517</v>
      </c>
      <c r="I6756" t="s">
        <v>184</v>
      </c>
      <c r="J6756" t="s">
        <v>30</v>
      </c>
      <c r="K6756" t="s">
        <v>185</v>
      </c>
      <c r="M6756" t="s">
        <v>18513</v>
      </c>
      <c r="N6756" t="str">
        <f>"9/7/2012 10:15:00 AM"</f>
        <v>9/7/2012 10:15:00 AM</v>
      </c>
      <c r="O6756" t="s">
        <v>20516</v>
      </c>
    </row>
    <row r="6757" spans="1:20" x14ac:dyDescent="0.25">
      <c r="A6757" t="str">
        <f>"3053271"</f>
        <v>3053271</v>
      </c>
      <c r="B6757" t="s">
        <v>20518</v>
      </c>
      <c r="C6757" t="str">
        <f>"8301266"</f>
        <v>8301266</v>
      </c>
      <c r="D6757" t="s">
        <v>20519</v>
      </c>
      <c r="E6757" t="s">
        <v>20520</v>
      </c>
      <c r="F6757" t="s">
        <v>20521</v>
      </c>
      <c r="I6757" t="s">
        <v>471</v>
      </c>
      <c r="J6757" t="s">
        <v>30</v>
      </c>
      <c r="K6757" t="str">
        <f>"27106"</f>
        <v>27106</v>
      </c>
      <c r="M6757" t="s">
        <v>17861</v>
      </c>
      <c r="N6757" t="str">
        <f>"9/7/2012 11:06:00 AM"</f>
        <v>9/7/2012 11:06:00 AM</v>
      </c>
      <c r="O6757" t="s">
        <v>20519</v>
      </c>
      <c r="T6757" t="s">
        <v>20520</v>
      </c>
    </row>
    <row r="6758" spans="1:20" x14ac:dyDescent="0.25">
      <c r="A6758" t="str">
        <f>"3040579"</f>
        <v>3040579</v>
      </c>
      <c r="B6758" t="s">
        <v>20522</v>
      </c>
      <c r="C6758" t="str">
        <f>"8301238"</f>
        <v>8301238</v>
      </c>
      <c r="D6758" t="s">
        <v>20523</v>
      </c>
      <c r="E6758" t="s">
        <v>20524</v>
      </c>
      <c r="F6758" t="s">
        <v>20525</v>
      </c>
      <c r="I6758" t="s">
        <v>184</v>
      </c>
      <c r="J6758" t="s">
        <v>30</v>
      </c>
      <c r="K6758" t="str">
        <f>"27006"</f>
        <v>27006</v>
      </c>
      <c r="M6758" t="s">
        <v>17861</v>
      </c>
      <c r="N6758" t="str">
        <f>"8/1/2012 12:08:00 PM"</f>
        <v>8/1/2012 12:08:00 PM</v>
      </c>
      <c r="O6758" t="s">
        <v>20523</v>
      </c>
      <c r="T6758" t="s">
        <v>20524</v>
      </c>
    </row>
    <row r="6759" spans="1:20" x14ac:dyDescent="0.25">
      <c r="A6759" t="str">
        <f>"3041487"</f>
        <v>3041487</v>
      </c>
      <c r="B6759" t="s">
        <v>20526</v>
      </c>
      <c r="C6759" t="str">
        <f>"8301320"</f>
        <v>8301320</v>
      </c>
      <c r="D6759" t="s">
        <v>20527</v>
      </c>
      <c r="E6759" t="s">
        <v>20528</v>
      </c>
      <c r="F6759" t="s">
        <v>20529</v>
      </c>
      <c r="I6759" t="s">
        <v>2071</v>
      </c>
      <c r="J6759" t="s">
        <v>30</v>
      </c>
      <c r="K6759" t="str">
        <f>"27006"</f>
        <v>27006</v>
      </c>
      <c r="M6759" t="s">
        <v>17861</v>
      </c>
      <c r="N6759" t="str">
        <f>"9/7/2012 4:33:00 PM"</f>
        <v>9/7/2012 4:33:00 PM</v>
      </c>
      <c r="O6759" t="s">
        <v>20527</v>
      </c>
      <c r="T6759" t="s">
        <v>20528</v>
      </c>
    </row>
    <row r="6760" spans="1:20" x14ac:dyDescent="0.25">
      <c r="A6760" t="str">
        <f>"3057597"</f>
        <v>3057597</v>
      </c>
      <c r="B6760" t="s">
        <v>20530</v>
      </c>
      <c r="C6760" t="str">
        <f>"8301321"</f>
        <v>8301321</v>
      </c>
      <c r="D6760" t="s">
        <v>20531</v>
      </c>
      <c r="E6760" t="s">
        <v>20532</v>
      </c>
      <c r="F6760" t="s">
        <v>20533</v>
      </c>
      <c r="I6760" t="s">
        <v>184</v>
      </c>
      <c r="J6760" t="s">
        <v>30</v>
      </c>
      <c r="K6760" t="str">
        <f>"27006"</f>
        <v>27006</v>
      </c>
      <c r="M6760" t="s">
        <v>17861</v>
      </c>
      <c r="N6760" t="str">
        <f>"9/7/2012 4:37:00 PM"</f>
        <v>9/7/2012 4:37:00 PM</v>
      </c>
      <c r="O6760" t="s">
        <v>20531</v>
      </c>
      <c r="T6760" t="s">
        <v>20532</v>
      </c>
    </row>
    <row r="6761" spans="1:20" x14ac:dyDescent="0.25">
      <c r="A6761" t="str">
        <f>"3061115"</f>
        <v>3061115</v>
      </c>
      <c r="B6761" t="s">
        <v>20534</v>
      </c>
      <c r="C6761" t="str">
        <f>"82520089"</f>
        <v>82520089</v>
      </c>
      <c r="D6761" t="s">
        <v>20535</v>
      </c>
      <c r="F6761" t="s">
        <v>20536</v>
      </c>
      <c r="I6761" t="s">
        <v>184</v>
      </c>
      <c r="J6761" t="s">
        <v>30</v>
      </c>
      <c r="K6761" t="s">
        <v>6297</v>
      </c>
      <c r="M6761" t="s">
        <v>20537</v>
      </c>
      <c r="N6761" t="str">
        <f>"8/1/2012 2:43:00 PM"</f>
        <v>8/1/2012 2:43:00 PM</v>
      </c>
      <c r="O6761" t="s">
        <v>20535</v>
      </c>
    </row>
    <row r="6762" spans="1:20" x14ac:dyDescent="0.25">
      <c r="A6762" t="str">
        <f>"3076642"</f>
        <v>3076642</v>
      </c>
      <c r="B6762" t="s">
        <v>20538</v>
      </c>
      <c r="C6762" t="str">
        <f>"82532799"</f>
        <v>82532799</v>
      </c>
      <c r="D6762" t="s">
        <v>20539</v>
      </c>
      <c r="E6762" t="s">
        <v>20540</v>
      </c>
      <c r="F6762" t="s">
        <v>20541</v>
      </c>
      <c r="I6762" t="s">
        <v>20542</v>
      </c>
      <c r="J6762" t="s">
        <v>30</v>
      </c>
      <c r="K6762" t="s">
        <v>31</v>
      </c>
      <c r="M6762" t="s">
        <v>18470</v>
      </c>
      <c r="N6762" t="str">
        <f>"9/10/2012 10:36:00 AM"</f>
        <v>9/10/2012 10:36:00 AM</v>
      </c>
      <c r="O6762" t="s">
        <v>20539</v>
      </c>
      <c r="T6762" t="s">
        <v>20540</v>
      </c>
    </row>
    <row r="6763" spans="1:20" x14ac:dyDescent="0.25">
      <c r="A6763" t="str">
        <f>"3038492"</f>
        <v>3038492</v>
      </c>
      <c r="B6763" t="s">
        <v>20543</v>
      </c>
      <c r="C6763" t="str">
        <f>"10276000"</f>
        <v>10276000</v>
      </c>
      <c r="D6763" t="s">
        <v>20544</v>
      </c>
      <c r="E6763" t="s">
        <v>20545</v>
      </c>
      <c r="F6763" t="s">
        <v>20546</v>
      </c>
      <c r="I6763" t="s">
        <v>29</v>
      </c>
      <c r="J6763" t="s">
        <v>30</v>
      </c>
      <c r="K6763" t="s">
        <v>31</v>
      </c>
      <c r="M6763" t="s">
        <v>20537</v>
      </c>
      <c r="N6763" t="str">
        <f>"8/1/2012 4:10:00 PM"</f>
        <v>8/1/2012 4:10:00 PM</v>
      </c>
      <c r="O6763" t="s">
        <v>20544</v>
      </c>
      <c r="T6763" t="s">
        <v>20545</v>
      </c>
    </row>
    <row r="6764" spans="1:20" x14ac:dyDescent="0.25">
      <c r="A6764" t="str">
        <f>"3046639"</f>
        <v>3046639</v>
      </c>
      <c r="B6764" t="s">
        <v>20547</v>
      </c>
      <c r="C6764" t="str">
        <f>"8301252"</f>
        <v>8301252</v>
      </c>
      <c r="D6764" t="s">
        <v>20548</v>
      </c>
      <c r="F6764" t="s">
        <v>20549</v>
      </c>
      <c r="I6764" t="s">
        <v>184</v>
      </c>
      <c r="J6764" t="s">
        <v>30</v>
      </c>
      <c r="K6764" t="str">
        <f>"27006"</f>
        <v>27006</v>
      </c>
      <c r="M6764" t="s">
        <v>17861</v>
      </c>
      <c r="N6764" t="str">
        <f>"8/6/2012 10:48:00 AM"</f>
        <v>8/6/2012 10:48:00 AM</v>
      </c>
      <c r="O6764" t="s">
        <v>20548</v>
      </c>
    </row>
    <row r="6765" spans="1:20" x14ac:dyDescent="0.25">
      <c r="A6765" t="str">
        <f>"3050821"</f>
        <v>3050821</v>
      </c>
      <c r="B6765" t="s">
        <v>20550</v>
      </c>
      <c r="C6765" t="str">
        <f>"8301346"</f>
        <v>8301346</v>
      </c>
      <c r="D6765" t="s">
        <v>20551</v>
      </c>
      <c r="F6765" t="s">
        <v>20552</v>
      </c>
      <c r="I6765" t="s">
        <v>184</v>
      </c>
      <c r="J6765" t="s">
        <v>30</v>
      </c>
      <c r="K6765" t="str">
        <f>"27006"</f>
        <v>27006</v>
      </c>
      <c r="M6765" t="s">
        <v>17861</v>
      </c>
      <c r="N6765" t="str">
        <f>"9/13/2012 2:03:00 PM"</f>
        <v>9/13/2012 2:03:00 PM</v>
      </c>
      <c r="O6765" t="s">
        <v>20551</v>
      </c>
    </row>
    <row r="6766" spans="1:20" x14ac:dyDescent="0.25">
      <c r="A6766" t="str">
        <f>"3044601"</f>
        <v>3044601</v>
      </c>
      <c r="B6766" t="s">
        <v>20553</v>
      </c>
      <c r="C6766" t="str">
        <f>"8301258"</f>
        <v>8301258</v>
      </c>
      <c r="D6766" t="s">
        <v>20554</v>
      </c>
      <c r="E6766" t="s">
        <v>20555</v>
      </c>
      <c r="F6766" t="s">
        <v>20556</v>
      </c>
      <c r="I6766" t="s">
        <v>184</v>
      </c>
      <c r="J6766" t="s">
        <v>30</v>
      </c>
      <c r="K6766" t="str">
        <f>"27006"</f>
        <v>27006</v>
      </c>
      <c r="M6766" t="s">
        <v>17861</v>
      </c>
      <c r="N6766" t="str">
        <f>"8/7/2012 11:18:00 AM"</f>
        <v>8/7/2012 11:18:00 AM</v>
      </c>
      <c r="O6766" t="s">
        <v>20554</v>
      </c>
      <c r="T6766" t="s">
        <v>20555</v>
      </c>
    </row>
    <row r="6767" spans="1:20" x14ac:dyDescent="0.25">
      <c r="A6767" t="str">
        <f>"3060396"</f>
        <v>3060396</v>
      </c>
      <c r="B6767" t="s">
        <v>20557</v>
      </c>
      <c r="C6767" t="str">
        <f>"82518749"</f>
        <v>82518749</v>
      </c>
      <c r="D6767" t="s">
        <v>20428</v>
      </c>
      <c r="E6767" t="s">
        <v>20429</v>
      </c>
      <c r="F6767" t="s">
        <v>20430</v>
      </c>
      <c r="I6767" t="s">
        <v>29</v>
      </c>
      <c r="J6767" t="s">
        <v>30</v>
      </c>
      <c r="K6767" t="s">
        <v>20431</v>
      </c>
      <c r="M6767" t="s">
        <v>18577</v>
      </c>
      <c r="N6767" t="str">
        <f>"8/8/2012 2:43:00 PM"</f>
        <v>8/8/2012 2:43:00 PM</v>
      </c>
      <c r="O6767" t="s">
        <v>20428</v>
      </c>
      <c r="T6767" t="s">
        <v>20429</v>
      </c>
    </row>
    <row r="6768" spans="1:20" x14ac:dyDescent="0.25">
      <c r="A6768" t="str">
        <f>"3043555"</f>
        <v>3043555</v>
      </c>
      <c r="B6768" t="s">
        <v>20558</v>
      </c>
      <c r="C6768" t="str">
        <f>"8301267"</f>
        <v>8301267</v>
      </c>
      <c r="D6768" t="s">
        <v>20441</v>
      </c>
      <c r="F6768" t="s">
        <v>20442</v>
      </c>
      <c r="I6768" t="s">
        <v>29</v>
      </c>
      <c r="J6768" t="s">
        <v>30</v>
      </c>
      <c r="K6768" t="str">
        <f>"27028"</f>
        <v>27028</v>
      </c>
      <c r="M6768" t="s">
        <v>17861</v>
      </c>
      <c r="N6768" t="str">
        <f>"8/13/2012 11:23:00 AM"</f>
        <v>8/13/2012 11:23:00 AM</v>
      </c>
      <c r="O6768" t="s">
        <v>20441</v>
      </c>
    </row>
    <row r="6769" spans="1:20" x14ac:dyDescent="0.25">
      <c r="A6769" t="str">
        <f>"3037633"</f>
        <v>3037633</v>
      </c>
      <c r="B6769" t="s">
        <v>20559</v>
      </c>
      <c r="C6769" t="str">
        <f>"33670500"</f>
        <v>33670500</v>
      </c>
      <c r="D6769" t="s">
        <v>20560</v>
      </c>
      <c r="E6769" t="s">
        <v>20561</v>
      </c>
      <c r="F6769" t="s">
        <v>20562</v>
      </c>
      <c r="I6769" t="s">
        <v>29</v>
      </c>
      <c r="K6769" t="s">
        <v>20563</v>
      </c>
      <c r="M6769" t="s">
        <v>18432</v>
      </c>
      <c r="N6769" t="str">
        <f>"8/14/2012 2:26:00 PM"</f>
        <v>8/14/2012 2:26:00 PM</v>
      </c>
      <c r="O6769" t="s">
        <v>20560</v>
      </c>
      <c r="T6769" t="s">
        <v>20561</v>
      </c>
    </row>
    <row r="6770" spans="1:20" x14ac:dyDescent="0.25">
      <c r="A6770" t="str">
        <f>"3056636"</f>
        <v>3056636</v>
      </c>
      <c r="B6770" t="s">
        <v>20564</v>
      </c>
      <c r="C6770" t="str">
        <f>"70490500"</f>
        <v>70490500</v>
      </c>
      <c r="D6770" t="s">
        <v>20454</v>
      </c>
      <c r="F6770" t="s">
        <v>20455</v>
      </c>
      <c r="I6770" t="s">
        <v>29</v>
      </c>
      <c r="J6770" t="s">
        <v>30</v>
      </c>
      <c r="K6770" t="s">
        <v>31</v>
      </c>
      <c r="M6770" t="s">
        <v>18432</v>
      </c>
      <c r="N6770" t="str">
        <f>"8/15/2012 9:11:00 AM"</f>
        <v>8/15/2012 9:11:00 AM</v>
      </c>
      <c r="O6770" t="s">
        <v>20454</v>
      </c>
    </row>
    <row r="6771" spans="1:20" x14ac:dyDescent="0.25">
      <c r="A6771" t="str">
        <f>"3059680"</f>
        <v>3059680</v>
      </c>
      <c r="B6771" t="s">
        <v>20565</v>
      </c>
      <c r="C6771" t="str">
        <f>"8301277"</f>
        <v>8301277</v>
      </c>
      <c r="D6771" t="s">
        <v>20566</v>
      </c>
      <c r="F6771" t="s">
        <v>20567</v>
      </c>
      <c r="I6771" t="s">
        <v>29</v>
      </c>
      <c r="J6771" t="s">
        <v>30</v>
      </c>
      <c r="K6771" t="str">
        <f>"27028"</f>
        <v>27028</v>
      </c>
      <c r="M6771" t="s">
        <v>17861</v>
      </c>
      <c r="N6771" t="str">
        <f>"8/20/2012 10:40:00 AM"</f>
        <v>8/20/2012 10:40:00 AM</v>
      </c>
      <c r="O6771" t="s">
        <v>20566</v>
      </c>
    </row>
    <row r="6772" spans="1:20" x14ac:dyDescent="0.25">
      <c r="A6772" t="str">
        <f>"3061607"</f>
        <v>3061607</v>
      </c>
      <c r="B6772" t="s">
        <v>20568</v>
      </c>
      <c r="C6772" t="str">
        <f>"8301280"</f>
        <v>8301280</v>
      </c>
      <c r="D6772" t="s">
        <v>20569</v>
      </c>
      <c r="E6772" t="s">
        <v>20570</v>
      </c>
      <c r="F6772" t="s">
        <v>20571</v>
      </c>
      <c r="I6772" t="s">
        <v>184</v>
      </c>
      <c r="J6772" t="s">
        <v>30</v>
      </c>
      <c r="K6772" t="str">
        <f>"27006"</f>
        <v>27006</v>
      </c>
      <c r="M6772" t="s">
        <v>17861</v>
      </c>
      <c r="N6772" t="str">
        <f>"8/20/2012 1:02:00 PM"</f>
        <v>8/20/2012 1:02:00 PM</v>
      </c>
      <c r="O6772" t="s">
        <v>20569</v>
      </c>
      <c r="T6772" t="s">
        <v>20570</v>
      </c>
    </row>
    <row r="6773" spans="1:20" x14ac:dyDescent="0.25">
      <c r="A6773" t="str">
        <f>"3057564"</f>
        <v>3057564</v>
      </c>
      <c r="B6773" t="s">
        <v>20572</v>
      </c>
      <c r="C6773" t="str">
        <f>"8301364"</f>
        <v>8301364</v>
      </c>
      <c r="D6773" t="s">
        <v>20573</v>
      </c>
      <c r="F6773" t="s">
        <v>20574</v>
      </c>
      <c r="I6773" t="s">
        <v>29</v>
      </c>
      <c r="J6773" t="s">
        <v>30</v>
      </c>
      <c r="K6773" t="str">
        <f>"27028"</f>
        <v>27028</v>
      </c>
      <c r="M6773" t="s">
        <v>17861</v>
      </c>
      <c r="N6773" t="str">
        <f>"9/25/2012 10:02:00 AM"</f>
        <v>9/25/2012 10:02:00 AM</v>
      </c>
      <c r="O6773" t="s">
        <v>20573</v>
      </c>
    </row>
    <row r="6774" spans="1:20" x14ac:dyDescent="0.25">
      <c r="A6774" t="str">
        <f>"3044109"</f>
        <v>3044109</v>
      </c>
      <c r="B6774" t="s">
        <v>20575</v>
      </c>
      <c r="C6774" t="str">
        <f>"8300317"</f>
        <v>8300317</v>
      </c>
      <c r="D6774" t="s">
        <v>20576</v>
      </c>
      <c r="F6774" t="s">
        <v>20577</v>
      </c>
      <c r="I6774" t="s">
        <v>184</v>
      </c>
      <c r="J6774" t="s">
        <v>30</v>
      </c>
      <c r="K6774" t="s">
        <v>185</v>
      </c>
      <c r="M6774" t="s">
        <v>18479</v>
      </c>
      <c r="N6774" t="str">
        <f>"8/20/2012 1:15:00 PM"</f>
        <v>8/20/2012 1:15:00 PM</v>
      </c>
      <c r="O6774" t="s">
        <v>20576</v>
      </c>
    </row>
    <row r="6775" spans="1:20" x14ac:dyDescent="0.25">
      <c r="A6775" t="str">
        <f>"3041463"</f>
        <v>3041463</v>
      </c>
      <c r="B6775" t="s">
        <v>20578</v>
      </c>
      <c r="C6775" t="str">
        <f>"8301374"</f>
        <v>8301374</v>
      </c>
      <c r="D6775" t="s">
        <v>20579</v>
      </c>
      <c r="F6775" t="s">
        <v>20580</v>
      </c>
      <c r="I6775" t="s">
        <v>2071</v>
      </c>
      <c r="J6775" t="s">
        <v>30</v>
      </c>
      <c r="K6775" t="str">
        <f>"27006"</f>
        <v>27006</v>
      </c>
      <c r="M6775" t="s">
        <v>17861</v>
      </c>
      <c r="N6775" t="str">
        <f>"9/25/2012 2:57:00 PM"</f>
        <v>9/25/2012 2:57:00 PM</v>
      </c>
      <c r="O6775" t="s">
        <v>20579</v>
      </c>
    </row>
    <row r="6776" spans="1:20" x14ac:dyDescent="0.25">
      <c r="A6776" t="str">
        <f>"3060413"</f>
        <v>3060413</v>
      </c>
      <c r="B6776" t="s">
        <v>20581</v>
      </c>
      <c r="C6776" t="str">
        <f>"8301375"</f>
        <v>8301375</v>
      </c>
      <c r="D6776" t="s">
        <v>20582</v>
      </c>
      <c r="E6776" t="s">
        <v>20583</v>
      </c>
      <c r="F6776" t="s">
        <v>20584</v>
      </c>
      <c r="I6776" t="s">
        <v>2071</v>
      </c>
      <c r="J6776" t="s">
        <v>30</v>
      </c>
      <c r="K6776" t="str">
        <f>"27006"</f>
        <v>27006</v>
      </c>
      <c r="M6776" t="s">
        <v>17861</v>
      </c>
      <c r="N6776" t="str">
        <f>"9/25/2012 3:02:00 PM"</f>
        <v>9/25/2012 3:02:00 PM</v>
      </c>
      <c r="O6776" t="s">
        <v>20582</v>
      </c>
      <c r="T6776" t="s">
        <v>20583</v>
      </c>
    </row>
    <row r="6777" spans="1:20" x14ac:dyDescent="0.25">
      <c r="A6777" t="str">
        <f>"3054240"</f>
        <v>3054240</v>
      </c>
      <c r="B6777" t="s">
        <v>20585</v>
      </c>
      <c r="C6777" t="str">
        <f>"8301380"</f>
        <v>8301380</v>
      </c>
      <c r="D6777" t="s">
        <v>20586</v>
      </c>
      <c r="F6777" t="s">
        <v>20587</v>
      </c>
      <c r="I6777" t="s">
        <v>29</v>
      </c>
      <c r="J6777" t="s">
        <v>30</v>
      </c>
      <c r="K6777" t="str">
        <f>"27028"</f>
        <v>27028</v>
      </c>
      <c r="M6777" t="s">
        <v>17861</v>
      </c>
      <c r="N6777" t="str">
        <f>"9/25/2012 4:26:00 PM"</f>
        <v>9/25/2012 4:26:00 PM</v>
      </c>
      <c r="O6777" t="s">
        <v>20586</v>
      </c>
    </row>
    <row r="6778" spans="1:20" x14ac:dyDescent="0.25">
      <c r="A6778" t="str">
        <f>"3059269"</f>
        <v>3059269</v>
      </c>
      <c r="B6778" t="s">
        <v>20588</v>
      </c>
      <c r="C6778" t="str">
        <f>"82523870"</f>
        <v>82523870</v>
      </c>
      <c r="D6778" t="s">
        <v>20589</v>
      </c>
      <c r="F6778" t="s">
        <v>20590</v>
      </c>
      <c r="G6778" t="s">
        <v>20591</v>
      </c>
      <c r="I6778" t="s">
        <v>20592</v>
      </c>
      <c r="J6778" t="s">
        <v>30</v>
      </c>
      <c r="K6778" t="s">
        <v>20593</v>
      </c>
      <c r="M6778" t="s">
        <v>18479</v>
      </c>
      <c r="N6778" t="str">
        <f>"8/20/2012 3:18:00 PM"</f>
        <v>8/20/2012 3:18:00 PM</v>
      </c>
      <c r="O6778" t="s">
        <v>20589</v>
      </c>
    </row>
    <row r="6779" spans="1:20" x14ac:dyDescent="0.25">
      <c r="A6779" t="str">
        <f>"3058245"</f>
        <v>3058245</v>
      </c>
      <c r="B6779" t="s">
        <v>20594</v>
      </c>
      <c r="C6779" t="str">
        <f>"82525008"</f>
        <v>82525008</v>
      </c>
      <c r="D6779" t="s">
        <v>20595</v>
      </c>
      <c r="E6779" t="s">
        <v>20596</v>
      </c>
      <c r="F6779" t="s">
        <v>20597</v>
      </c>
      <c r="I6779" t="s">
        <v>2275</v>
      </c>
      <c r="J6779" t="s">
        <v>30</v>
      </c>
      <c r="K6779" t="s">
        <v>20598</v>
      </c>
      <c r="M6779" t="s">
        <v>18479</v>
      </c>
      <c r="N6779" t="str">
        <f>"8/20/2012 4:34:00 PM"</f>
        <v>8/20/2012 4:34:00 PM</v>
      </c>
      <c r="O6779" t="s">
        <v>20595</v>
      </c>
      <c r="T6779" t="s">
        <v>20596</v>
      </c>
    </row>
    <row r="6780" spans="1:20" x14ac:dyDescent="0.25">
      <c r="A6780" t="str">
        <f>"3037755"</f>
        <v>3037755</v>
      </c>
      <c r="B6780" t="s">
        <v>20599</v>
      </c>
      <c r="C6780" t="str">
        <f>"77148000"</f>
        <v>77148000</v>
      </c>
      <c r="D6780" t="s">
        <v>20600</v>
      </c>
      <c r="E6780" t="s">
        <v>20601</v>
      </c>
      <c r="F6780" t="s">
        <v>20602</v>
      </c>
      <c r="I6780" t="s">
        <v>29</v>
      </c>
      <c r="J6780" t="s">
        <v>30</v>
      </c>
      <c r="K6780" t="s">
        <v>31</v>
      </c>
      <c r="M6780" t="s">
        <v>17861</v>
      </c>
      <c r="N6780" t="str">
        <f>"9/27/2012 1:47:00 PM"</f>
        <v>9/27/2012 1:47:00 PM</v>
      </c>
      <c r="O6780" t="s">
        <v>20600</v>
      </c>
      <c r="T6780" t="s">
        <v>20601</v>
      </c>
    </row>
    <row r="6781" spans="1:20" x14ac:dyDescent="0.25">
      <c r="A6781" t="str">
        <f>"3037774"</f>
        <v>3037774</v>
      </c>
      <c r="B6781" t="s">
        <v>20603</v>
      </c>
      <c r="C6781" t="str">
        <f>"77148000"</f>
        <v>77148000</v>
      </c>
      <c r="D6781" t="s">
        <v>20600</v>
      </c>
      <c r="E6781" t="s">
        <v>20601</v>
      </c>
      <c r="F6781" t="s">
        <v>20602</v>
      </c>
      <c r="I6781" t="s">
        <v>29</v>
      </c>
      <c r="J6781" t="s">
        <v>30</v>
      </c>
      <c r="K6781" t="s">
        <v>31</v>
      </c>
      <c r="M6781" t="s">
        <v>17861</v>
      </c>
      <c r="N6781" t="str">
        <f>"9/27/2012 1:47:00 PM"</f>
        <v>9/27/2012 1:47:00 PM</v>
      </c>
      <c r="O6781" t="s">
        <v>20600</v>
      </c>
      <c r="T6781" t="s">
        <v>20601</v>
      </c>
    </row>
    <row r="6782" spans="1:20" x14ac:dyDescent="0.25">
      <c r="A6782" t="str">
        <f>"3076626"</f>
        <v>3076626</v>
      </c>
      <c r="B6782" t="s">
        <v>20604</v>
      </c>
      <c r="C6782" t="str">
        <f>"77148000"</f>
        <v>77148000</v>
      </c>
      <c r="D6782" t="s">
        <v>20600</v>
      </c>
      <c r="E6782" t="s">
        <v>20601</v>
      </c>
      <c r="F6782" t="s">
        <v>20602</v>
      </c>
      <c r="I6782" t="s">
        <v>29</v>
      </c>
      <c r="J6782" t="s">
        <v>30</v>
      </c>
      <c r="K6782" t="s">
        <v>31</v>
      </c>
      <c r="M6782" t="s">
        <v>17861</v>
      </c>
      <c r="N6782" t="str">
        <f>"9/27/2012 1:47:00 PM"</f>
        <v>9/27/2012 1:47:00 PM</v>
      </c>
      <c r="O6782" t="s">
        <v>20600</v>
      </c>
      <c r="T6782" t="s">
        <v>20601</v>
      </c>
    </row>
    <row r="6783" spans="1:20" x14ac:dyDescent="0.25">
      <c r="A6783" t="str">
        <f>"3079108"</f>
        <v>3079108</v>
      </c>
      <c r="B6783" t="s">
        <v>20605</v>
      </c>
      <c r="C6783" t="str">
        <f>"77148000"</f>
        <v>77148000</v>
      </c>
      <c r="D6783" t="s">
        <v>20600</v>
      </c>
      <c r="E6783" t="s">
        <v>20601</v>
      </c>
      <c r="F6783" t="s">
        <v>20602</v>
      </c>
      <c r="I6783" t="s">
        <v>29</v>
      </c>
      <c r="J6783" t="s">
        <v>30</v>
      </c>
      <c r="K6783" t="s">
        <v>31</v>
      </c>
      <c r="M6783" t="s">
        <v>17861</v>
      </c>
      <c r="N6783" t="str">
        <f>"9/27/2012 1:47:00 PM"</f>
        <v>9/27/2012 1:47:00 PM</v>
      </c>
      <c r="O6783" t="s">
        <v>20600</v>
      </c>
      <c r="T6783" t="s">
        <v>20601</v>
      </c>
    </row>
    <row r="6784" spans="1:20" x14ac:dyDescent="0.25">
      <c r="A6784" t="str">
        <f>"3041333"</f>
        <v>3041333</v>
      </c>
      <c r="B6784" t="s">
        <v>20606</v>
      </c>
      <c r="C6784" t="str">
        <f>"82523394"</f>
        <v>82523394</v>
      </c>
      <c r="D6784" t="s">
        <v>20607</v>
      </c>
      <c r="E6784" t="s">
        <v>20608</v>
      </c>
      <c r="F6784" t="s">
        <v>20609</v>
      </c>
      <c r="I6784" t="s">
        <v>20610</v>
      </c>
      <c r="J6784" t="s">
        <v>30</v>
      </c>
      <c r="K6784" t="s">
        <v>20611</v>
      </c>
      <c r="M6784" t="s">
        <v>18479</v>
      </c>
      <c r="N6784" t="str">
        <f>"8/21/2012 9:38:00 AM"</f>
        <v>8/21/2012 9:38:00 AM</v>
      </c>
      <c r="O6784" t="s">
        <v>20607</v>
      </c>
      <c r="T6784" t="s">
        <v>20608</v>
      </c>
    </row>
    <row r="6785" spans="1:20" x14ac:dyDescent="0.25">
      <c r="A6785" t="str">
        <f>"3052313"</f>
        <v>3052313</v>
      </c>
      <c r="B6785" t="s">
        <v>20612</v>
      </c>
      <c r="C6785" t="str">
        <f>"8301394"</f>
        <v>8301394</v>
      </c>
      <c r="D6785" t="s">
        <v>20613</v>
      </c>
      <c r="F6785" t="s">
        <v>20614</v>
      </c>
      <c r="I6785" t="s">
        <v>3196</v>
      </c>
      <c r="J6785" t="s">
        <v>30</v>
      </c>
      <c r="K6785" t="str">
        <f>"28262"</f>
        <v>28262</v>
      </c>
      <c r="M6785" t="s">
        <v>17861</v>
      </c>
      <c r="N6785" t="str">
        <f>"10/2/2012 2:07:00 PM"</f>
        <v>10/2/2012 2:07:00 PM</v>
      </c>
      <c r="O6785" t="s">
        <v>20613</v>
      </c>
    </row>
    <row r="6786" spans="1:20" x14ac:dyDescent="0.25">
      <c r="A6786" t="str">
        <f>"3051298"</f>
        <v>3051298</v>
      </c>
      <c r="B6786" t="s">
        <v>20615</v>
      </c>
      <c r="C6786" t="str">
        <f>"82530915"</f>
        <v>82530915</v>
      </c>
      <c r="D6786" t="s">
        <v>20616</v>
      </c>
      <c r="E6786" t="s">
        <v>20617</v>
      </c>
      <c r="F6786" t="s">
        <v>20618</v>
      </c>
      <c r="I6786" t="s">
        <v>29</v>
      </c>
      <c r="J6786" t="s">
        <v>30</v>
      </c>
      <c r="K6786" t="s">
        <v>31</v>
      </c>
      <c r="M6786" t="s">
        <v>18432</v>
      </c>
      <c r="N6786" t="str">
        <f>"8/21/2012 11:22:00 AM"</f>
        <v>8/21/2012 11:22:00 AM</v>
      </c>
      <c r="O6786" t="s">
        <v>20616</v>
      </c>
      <c r="T6786" t="s">
        <v>20617</v>
      </c>
    </row>
    <row r="6787" spans="1:20" x14ac:dyDescent="0.25">
      <c r="A6787" t="str">
        <f>"3042108"</f>
        <v>3042108</v>
      </c>
      <c r="B6787" t="s">
        <v>20619</v>
      </c>
      <c r="C6787" t="str">
        <f>"82530390"</f>
        <v>82530390</v>
      </c>
      <c r="D6787" t="s">
        <v>20476</v>
      </c>
      <c r="E6787" t="s">
        <v>20477</v>
      </c>
      <c r="F6787" t="s">
        <v>20478</v>
      </c>
      <c r="I6787" t="s">
        <v>29</v>
      </c>
      <c r="J6787" t="s">
        <v>30</v>
      </c>
      <c r="K6787" t="s">
        <v>31</v>
      </c>
      <c r="M6787" t="s">
        <v>17861</v>
      </c>
      <c r="N6787" t="str">
        <f>"8/23/2012 2:26:00 PM"</f>
        <v>8/23/2012 2:26:00 PM</v>
      </c>
      <c r="O6787" t="s">
        <v>20476</v>
      </c>
      <c r="T6787" t="s">
        <v>20477</v>
      </c>
    </row>
    <row r="6788" spans="1:20" x14ac:dyDescent="0.25">
      <c r="A6788" t="str">
        <f>"3078450"</f>
        <v>3078450</v>
      </c>
      <c r="B6788" t="s">
        <v>20620</v>
      </c>
      <c r="C6788" t="str">
        <f>"137"</f>
        <v>137</v>
      </c>
      <c r="D6788" t="s">
        <v>20621</v>
      </c>
      <c r="F6788" t="s">
        <v>7040</v>
      </c>
      <c r="I6788" t="s">
        <v>29</v>
      </c>
      <c r="J6788" t="s">
        <v>30</v>
      </c>
      <c r="K6788" t="s">
        <v>31</v>
      </c>
      <c r="M6788" t="s">
        <v>17861</v>
      </c>
      <c r="N6788" t="str">
        <f>"8/28/2012 1:34:00 PM"</f>
        <v>8/28/2012 1:34:00 PM</v>
      </c>
      <c r="O6788" t="s">
        <v>20621</v>
      </c>
    </row>
    <row r="6789" spans="1:20" x14ac:dyDescent="0.25">
      <c r="A6789" t="str">
        <f>"3060596"</f>
        <v>3060596</v>
      </c>
      <c r="B6789" t="s">
        <v>20622</v>
      </c>
      <c r="C6789" t="str">
        <f>"8301406"</f>
        <v>8301406</v>
      </c>
      <c r="D6789" t="s">
        <v>20623</v>
      </c>
      <c r="E6789" t="s">
        <v>20624</v>
      </c>
      <c r="F6789" t="s">
        <v>20625</v>
      </c>
      <c r="I6789" t="s">
        <v>2071</v>
      </c>
      <c r="J6789" t="s">
        <v>30</v>
      </c>
      <c r="K6789" t="str">
        <f>"27006"</f>
        <v>27006</v>
      </c>
      <c r="M6789" t="s">
        <v>17861</v>
      </c>
      <c r="N6789" t="str">
        <f>"10/2/2012 3:32:00 PM"</f>
        <v>10/2/2012 3:32:00 PM</v>
      </c>
      <c r="O6789" t="s">
        <v>20623</v>
      </c>
      <c r="T6789" t="s">
        <v>20624</v>
      </c>
    </row>
    <row r="6790" spans="1:20" x14ac:dyDescent="0.25">
      <c r="A6790" t="str">
        <f>"3061083"</f>
        <v>3061083</v>
      </c>
      <c r="B6790" t="s">
        <v>20626</v>
      </c>
      <c r="C6790" t="str">
        <f>"8301409"</f>
        <v>8301409</v>
      </c>
      <c r="D6790" t="s">
        <v>20627</v>
      </c>
      <c r="E6790" t="s">
        <v>20628</v>
      </c>
      <c r="F6790" t="s">
        <v>20629</v>
      </c>
      <c r="I6790" t="s">
        <v>184</v>
      </c>
      <c r="J6790" t="s">
        <v>30</v>
      </c>
      <c r="K6790" t="str">
        <f>"27006"</f>
        <v>27006</v>
      </c>
      <c r="M6790" t="s">
        <v>17861</v>
      </c>
      <c r="N6790" t="str">
        <f>"10/2/2012 3:41:00 PM"</f>
        <v>10/2/2012 3:41:00 PM</v>
      </c>
      <c r="O6790" t="s">
        <v>20627</v>
      </c>
      <c r="T6790" t="s">
        <v>20628</v>
      </c>
    </row>
    <row r="6791" spans="1:20" x14ac:dyDescent="0.25">
      <c r="A6791" t="str">
        <f>"3047963"</f>
        <v>3047963</v>
      </c>
      <c r="B6791" t="s">
        <v>20630</v>
      </c>
      <c r="C6791" t="str">
        <f>"82527995"</f>
        <v>82527995</v>
      </c>
      <c r="D6791" t="s">
        <v>20631</v>
      </c>
      <c r="E6791" t="s">
        <v>20632</v>
      </c>
      <c r="F6791" t="s">
        <v>20633</v>
      </c>
      <c r="I6791" t="s">
        <v>184</v>
      </c>
      <c r="J6791" t="s">
        <v>30</v>
      </c>
      <c r="K6791" t="s">
        <v>185</v>
      </c>
      <c r="M6791" t="s">
        <v>18432</v>
      </c>
      <c r="N6791" t="str">
        <f>"8/29/2012 9:17:00 AM"</f>
        <v>8/29/2012 9:17:00 AM</v>
      </c>
      <c r="O6791" t="s">
        <v>20631</v>
      </c>
      <c r="T6791" t="s">
        <v>20632</v>
      </c>
    </row>
    <row r="6792" spans="1:20" x14ac:dyDescent="0.25">
      <c r="A6792" t="str">
        <f>"3051503"</f>
        <v>3051503</v>
      </c>
      <c r="B6792" t="s">
        <v>20634</v>
      </c>
      <c r="C6792" t="str">
        <f>"34516000"</f>
        <v>34516000</v>
      </c>
      <c r="D6792" t="s">
        <v>20635</v>
      </c>
      <c r="E6792" t="s">
        <v>20636</v>
      </c>
      <c r="F6792" t="s">
        <v>12867</v>
      </c>
      <c r="I6792" t="s">
        <v>29</v>
      </c>
      <c r="J6792" t="s">
        <v>30</v>
      </c>
      <c r="K6792" t="s">
        <v>20637</v>
      </c>
      <c r="M6792" t="s">
        <v>17861</v>
      </c>
      <c r="N6792" t="str">
        <f>"10/2/2012 3:57:00 PM"</f>
        <v>10/2/2012 3:57:00 PM</v>
      </c>
      <c r="O6792" t="s">
        <v>20635</v>
      </c>
      <c r="T6792" t="s">
        <v>20636</v>
      </c>
    </row>
    <row r="6793" spans="1:20" x14ac:dyDescent="0.25">
      <c r="A6793" t="str">
        <f>"3049624"</f>
        <v>3049624</v>
      </c>
      <c r="B6793" t="s">
        <v>20638</v>
      </c>
      <c r="C6793" t="str">
        <f>"82518668"</f>
        <v>82518668</v>
      </c>
      <c r="D6793" t="s">
        <v>20497</v>
      </c>
      <c r="F6793" t="s">
        <v>20498</v>
      </c>
      <c r="I6793" t="s">
        <v>29</v>
      </c>
      <c r="J6793" t="s">
        <v>30</v>
      </c>
      <c r="K6793" t="s">
        <v>31</v>
      </c>
      <c r="M6793" t="s">
        <v>18470</v>
      </c>
      <c r="N6793" t="str">
        <f>"8/31/2012 11:28:00 AM"</f>
        <v>8/31/2012 11:28:00 AM</v>
      </c>
      <c r="O6793" t="s">
        <v>20497</v>
      </c>
    </row>
    <row r="6794" spans="1:20" x14ac:dyDescent="0.25">
      <c r="A6794" t="str">
        <f>"3046574"</f>
        <v>3046574</v>
      </c>
      <c r="B6794" t="s">
        <v>20639</v>
      </c>
      <c r="C6794" t="str">
        <f>"82522573"</f>
        <v>82522573</v>
      </c>
      <c r="D6794" t="s">
        <v>20640</v>
      </c>
      <c r="E6794" t="s">
        <v>18712</v>
      </c>
      <c r="F6794" t="s">
        <v>20641</v>
      </c>
      <c r="I6794" t="s">
        <v>184</v>
      </c>
      <c r="J6794" t="s">
        <v>30</v>
      </c>
      <c r="K6794" t="str">
        <f>"27006"</f>
        <v>27006</v>
      </c>
      <c r="M6794" t="s">
        <v>18513</v>
      </c>
      <c r="N6794" t="str">
        <f>"7/31/2012 8:08:00 AM"</f>
        <v>7/31/2012 8:08:00 AM</v>
      </c>
      <c r="O6794" t="s">
        <v>20640</v>
      </c>
      <c r="T6794" t="s">
        <v>18712</v>
      </c>
    </row>
    <row r="6795" spans="1:20" x14ac:dyDescent="0.25">
      <c r="A6795" t="str">
        <f>"3049348"</f>
        <v>3049348</v>
      </c>
      <c r="B6795" t="s">
        <v>20642</v>
      </c>
      <c r="C6795" t="str">
        <f>"43982500"</f>
        <v>43982500</v>
      </c>
      <c r="D6795" t="s">
        <v>20643</v>
      </c>
      <c r="E6795" t="s">
        <v>20644</v>
      </c>
      <c r="F6795" t="s">
        <v>20645</v>
      </c>
      <c r="I6795" t="s">
        <v>29</v>
      </c>
      <c r="J6795" t="s">
        <v>30</v>
      </c>
      <c r="K6795" t="s">
        <v>11159</v>
      </c>
      <c r="M6795" t="s">
        <v>18479</v>
      </c>
      <c r="N6795" t="str">
        <f>"9/6/2012 3:24:00 PM"</f>
        <v>9/6/2012 3:24:00 PM</v>
      </c>
      <c r="O6795" t="s">
        <v>20643</v>
      </c>
      <c r="T6795" t="s">
        <v>20644</v>
      </c>
    </row>
    <row r="6796" spans="1:20" x14ac:dyDescent="0.25">
      <c r="A6796" t="str">
        <f>"3058188"</f>
        <v>3058188</v>
      </c>
      <c r="B6796" t="s">
        <v>20646</v>
      </c>
      <c r="C6796" t="str">
        <f>"8301318"</f>
        <v>8301318</v>
      </c>
      <c r="D6796" t="s">
        <v>20647</v>
      </c>
      <c r="F6796" t="s">
        <v>20648</v>
      </c>
      <c r="I6796" t="s">
        <v>29</v>
      </c>
      <c r="J6796" t="s">
        <v>30</v>
      </c>
      <c r="K6796" t="str">
        <f>"27028"</f>
        <v>27028</v>
      </c>
      <c r="M6796" t="s">
        <v>17861</v>
      </c>
      <c r="N6796" t="str">
        <f>"9/7/2012 4:00:00 PM"</f>
        <v>9/7/2012 4:00:00 PM</v>
      </c>
      <c r="O6796" t="s">
        <v>20647</v>
      </c>
    </row>
    <row r="6797" spans="1:20" x14ac:dyDescent="0.25">
      <c r="A6797" t="str">
        <f>"3040093"</f>
        <v>3040093</v>
      </c>
      <c r="B6797" t="s">
        <v>20649</v>
      </c>
      <c r="C6797" t="str">
        <f>"82532799"</f>
        <v>82532799</v>
      </c>
      <c r="D6797" t="s">
        <v>20539</v>
      </c>
      <c r="E6797" t="s">
        <v>20540</v>
      </c>
      <c r="F6797" t="s">
        <v>20541</v>
      </c>
      <c r="I6797" t="s">
        <v>20542</v>
      </c>
      <c r="J6797" t="s">
        <v>30</v>
      </c>
      <c r="K6797" t="s">
        <v>31</v>
      </c>
      <c r="M6797" t="s">
        <v>18470</v>
      </c>
      <c r="N6797" t="str">
        <f>"9/10/2012 10:36:00 AM"</f>
        <v>9/10/2012 10:36:00 AM</v>
      </c>
      <c r="O6797" t="s">
        <v>20539</v>
      </c>
      <c r="T6797" t="s">
        <v>20540</v>
      </c>
    </row>
    <row r="6798" spans="1:20" x14ac:dyDescent="0.25">
      <c r="A6798" t="str">
        <f>"3039077"</f>
        <v>3039077</v>
      </c>
      <c r="B6798" t="s">
        <v>20650</v>
      </c>
      <c r="C6798" t="str">
        <f>"8301338"</f>
        <v>8301338</v>
      </c>
      <c r="D6798" t="s">
        <v>20651</v>
      </c>
      <c r="E6798" t="s">
        <v>20652</v>
      </c>
      <c r="F6798" t="s">
        <v>20653</v>
      </c>
      <c r="I6798" t="s">
        <v>29</v>
      </c>
      <c r="J6798" t="s">
        <v>30</v>
      </c>
      <c r="K6798" t="str">
        <f>"27028"</f>
        <v>27028</v>
      </c>
      <c r="M6798" t="s">
        <v>17861</v>
      </c>
      <c r="N6798" t="str">
        <f>"9/10/2012 11:11:00 AM"</f>
        <v>9/10/2012 11:11:00 AM</v>
      </c>
      <c r="O6798" t="s">
        <v>20651</v>
      </c>
      <c r="T6798" t="s">
        <v>20652</v>
      </c>
    </row>
    <row r="6799" spans="1:20" x14ac:dyDescent="0.25">
      <c r="A6799" t="str">
        <f>"3059260"</f>
        <v>3059260</v>
      </c>
      <c r="B6799" t="s">
        <v>20654</v>
      </c>
      <c r="C6799" t="str">
        <f>"82530775"</f>
        <v>82530775</v>
      </c>
      <c r="D6799" t="s">
        <v>20655</v>
      </c>
      <c r="E6799" t="s">
        <v>20656</v>
      </c>
      <c r="F6799" t="s">
        <v>14962</v>
      </c>
      <c r="I6799" t="s">
        <v>29</v>
      </c>
      <c r="J6799" t="s">
        <v>30</v>
      </c>
      <c r="K6799" t="s">
        <v>31</v>
      </c>
      <c r="M6799" t="s">
        <v>18432</v>
      </c>
      <c r="N6799" t="str">
        <f>"9/13/2012 1:08:00 PM"</f>
        <v>9/13/2012 1:08:00 PM</v>
      </c>
      <c r="O6799" t="s">
        <v>20655</v>
      </c>
      <c r="T6799" t="s">
        <v>20656</v>
      </c>
    </row>
    <row r="6800" spans="1:20" x14ac:dyDescent="0.25">
      <c r="A6800" t="str">
        <f>"3050584"</f>
        <v>3050584</v>
      </c>
      <c r="B6800" t="s">
        <v>20657</v>
      </c>
      <c r="C6800" t="str">
        <f>"82531311"</f>
        <v>82531311</v>
      </c>
      <c r="D6800" t="s">
        <v>20658</v>
      </c>
      <c r="E6800" t="s">
        <v>20659</v>
      </c>
      <c r="F6800" t="s">
        <v>20660</v>
      </c>
      <c r="I6800" t="s">
        <v>184</v>
      </c>
      <c r="J6800" t="s">
        <v>30</v>
      </c>
      <c r="K6800" t="s">
        <v>185</v>
      </c>
      <c r="M6800" t="s">
        <v>17861</v>
      </c>
      <c r="N6800" t="str">
        <f>"9/17/2012 4:43:00 PM"</f>
        <v>9/17/2012 4:43:00 PM</v>
      </c>
      <c r="O6800" t="s">
        <v>20658</v>
      </c>
      <c r="T6800" t="s">
        <v>20659</v>
      </c>
    </row>
    <row r="6801" spans="1:20" x14ac:dyDescent="0.25">
      <c r="A6801" t="str">
        <f>"3038987"</f>
        <v>3038987</v>
      </c>
      <c r="B6801" t="s">
        <v>20661</v>
      </c>
      <c r="C6801" t="str">
        <f>"8301350"</f>
        <v>8301350</v>
      </c>
      <c r="D6801" t="s">
        <v>20662</v>
      </c>
      <c r="E6801" t="s">
        <v>20663</v>
      </c>
      <c r="F6801" t="s">
        <v>20664</v>
      </c>
      <c r="I6801" t="s">
        <v>29</v>
      </c>
      <c r="J6801" t="s">
        <v>30</v>
      </c>
      <c r="K6801" t="str">
        <f>"27028"</f>
        <v>27028</v>
      </c>
      <c r="M6801" t="s">
        <v>17861</v>
      </c>
      <c r="N6801" t="str">
        <f>"9/18/2012 3:22:00 PM"</f>
        <v>9/18/2012 3:22:00 PM</v>
      </c>
      <c r="O6801" t="s">
        <v>20662</v>
      </c>
      <c r="T6801" t="s">
        <v>20663</v>
      </c>
    </row>
    <row r="6802" spans="1:20" x14ac:dyDescent="0.25">
      <c r="A6802" t="str">
        <f>"3042266"</f>
        <v>3042266</v>
      </c>
      <c r="B6802" t="s">
        <v>20665</v>
      </c>
      <c r="C6802" t="str">
        <f>"8301358"</f>
        <v>8301358</v>
      </c>
      <c r="D6802" t="s">
        <v>20666</v>
      </c>
      <c r="E6802" t="s">
        <v>20667</v>
      </c>
      <c r="F6802" t="s">
        <v>20668</v>
      </c>
      <c r="I6802" t="s">
        <v>29</v>
      </c>
      <c r="J6802" t="s">
        <v>30</v>
      </c>
      <c r="K6802" t="str">
        <f>"27028"</f>
        <v>27028</v>
      </c>
      <c r="M6802" t="s">
        <v>17861</v>
      </c>
      <c r="N6802" t="str">
        <f>"9/18/2012 4:19:00 PM"</f>
        <v>9/18/2012 4:19:00 PM</v>
      </c>
      <c r="O6802" t="s">
        <v>20666</v>
      </c>
      <c r="T6802" t="s">
        <v>20667</v>
      </c>
    </row>
    <row r="6803" spans="1:20" x14ac:dyDescent="0.25">
      <c r="A6803" t="str">
        <f>"3049723"</f>
        <v>3049723</v>
      </c>
      <c r="B6803" t="s">
        <v>20669</v>
      </c>
      <c r="C6803" t="str">
        <f>"7397190"</f>
        <v>7397190</v>
      </c>
      <c r="D6803" t="s">
        <v>20670</v>
      </c>
      <c r="E6803" t="s">
        <v>20671</v>
      </c>
      <c r="F6803" t="s">
        <v>20672</v>
      </c>
      <c r="I6803" t="s">
        <v>29</v>
      </c>
      <c r="J6803" t="s">
        <v>30</v>
      </c>
      <c r="K6803" t="s">
        <v>31</v>
      </c>
      <c r="M6803" t="s">
        <v>18432</v>
      </c>
      <c r="N6803" t="str">
        <f>"9/20/2012 1:55:00 PM"</f>
        <v>9/20/2012 1:55:00 PM</v>
      </c>
      <c r="O6803" t="s">
        <v>20670</v>
      </c>
      <c r="T6803" t="s">
        <v>20671</v>
      </c>
    </row>
    <row r="6804" spans="1:20" x14ac:dyDescent="0.25">
      <c r="A6804" t="str">
        <f>"3059774"</f>
        <v>3059774</v>
      </c>
      <c r="B6804" t="s">
        <v>20673</v>
      </c>
      <c r="C6804" t="str">
        <f>"8300521"</f>
        <v>8300521</v>
      </c>
      <c r="D6804" t="s">
        <v>20674</v>
      </c>
      <c r="E6804" t="s">
        <v>20675</v>
      </c>
      <c r="F6804" t="s">
        <v>20676</v>
      </c>
      <c r="I6804" t="s">
        <v>9580</v>
      </c>
      <c r="J6804" t="s">
        <v>30</v>
      </c>
      <c r="K6804" t="str">
        <f>"27014"</f>
        <v>27014</v>
      </c>
      <c r="M6804" t="s">
        <v>20015</v>
      </c>
      <c r="N6804" t="str">
        <f>"9/21/2012 11:09:00 AM"</f>
        <v>9/21/2012 11:09:00 AM</v>
      </c>
      <c r="O6804" t="s">
        <v>20674</v>
      </c>
      <c r="T6804" t="s">
        <v>20675</v>
      </c>
    </row>
    <row r="6805" spans="1:20" x14ac:dyDescent="0.25">
      <c r="A6805" t="str">
        <f>"3056516"</f>
        <v>3056516</v>
      </c>
      <c r="B6805" t="s">
        <v>20677</v>
      </c>
      <c r="C6805" t="str">
        <f>"18528000"</f>
        <v>18528000</v>
      </c>
      <c r="D6805" t="s">
        <v>20678</v>
      </c>
      <c r="E6805" t="s">
        <v>20679</v>
      </c>
      <c r="F6805" t="s">
        <v>20680</v>
      </c>
      <c r="I6805" t="s">
        <v>29</v>
      </c>
      <c r="J6805" t="s">
        <v>30</v>
      </c>
      <c r="K6805" t="s">
        <v>31</v>
      </c>
      <c r="M6805" t="s">
        <v>18432</v>
      </c>
      <c r="N6805" t="str">
        <f>"9/24/2012 2:24:00 PM"</f>
        <v>9/24/2012 2:24:00 PM</v>
      </c>
      <c r="O6805" t="s">
        <v>20678</v>
      </c>
      <c r="T6805" t="s">
        <v>20679</v>
      </c>
    </row>
    <row r="6806" spans="1:20" x14ac:dyDescent="0.25">
      <c r="A6806" t="str">
        <f>"3060968"</f>
        <v>3060968</v>
      </c>
      <c r="B6806" t="s">
        <v>20681</v>
      </c>
      <c r="C6806" t="str">
        <f>"8301363"</f>
        <v>8301363</v>
      </c>
      <c r="D6806" t="s">
        <v>20682</v>
      </c>
      <c r="E6806" t="s">
        <v>20683</v>
      </c>
      <c r="F6806" t="s">
        <v>20684</v>
      </c>
      <c r="I6806" t="s">
        <v>2071</v>
      </c>
      <c r="J6806" t="s">
        <v>30</v>
      </c>
      <c r="K6806" t="str">
        <f>"27006"</f>
        <v>27006</v>
      </c>
      <c r="M6806" t="s">
        <v>17861</v>
      </c>
      <c r="N6806" t="str">
        <f>"9/25/2012 9:57:00 AM"</f>
        <v>9/25/2012 9:57:00 AM</v>
      </c>
      <c r="O6806" t="s">
        <v>20682</v>
      </c>
      <c r="T6806" t="s">
        <v>20683</v>
      </c>
    </row>
    <row r="6807" spans="1:20" x14ac:dyDescent="0.25">
      <c r="A6807" t="str">
        <f>"3050872"</f>
        <v>3050872</v>
      </c>
      <c r="B6807" t="s">
        <v>20685</v>
      </c>
      <c r="C6807" t="str">
        <f>"8301371"</f>
        <v>8301371</v>
      </c>
      <c r="D6807" t="s">
        <v>20686</v>
      </c>
      <c r="E6807" t="s">
        <v>20687</v>
      </c>
      <c r="F6807" t="s">
        <v>20688</v>
      </c>
      <c r="I6807" t="s">
        <v>184</v>
      </c>
      <c r="J6807" t="s">
        <v>30</v>
      </c>
      <c r="K6807" t="str">
        <f>"27006"</f>
        <v>27006</v>
      </c>
      <c r="M6807" t="s">
        <v>17861</v>
      </c>
      <c r="N6807" t="str">
        <f>"9/25/2012 2:11:00 PM"</f>
        <v>9/25/2012 2:11:00 PM</v>
      </c>
      <c r="O6807" t="s">
        <v>20686</v>
      </c>
      <c r="T6807" t="s">
        <v>20687</v>
      </c>
    </row>
    <row r="6808" spans="1:20" x14ac:dyDescent="0.25">
      <c r="A6808" t="str">
        <f>"3053902"</f>
        <v>3053902</v>
      </c>
      <c r="B6808" t="s">
        <v>20689</v>
      </c>
      <c r="C6808" t="str">
        <f>"8301382"</f>
        <v>8301382</v>
      </c>
      <c r="D6808" t="s">
        <v>20690</v>
      </c>
      <c r="E6808" t="s">
        <v>20691</v>
      </c>
      <c r="F6808" t="s">
        <v>20692</v>
      </c>
      <c r="I6808" t="s">
        <v>29</v>
      </c>
      <c r="J6808" t="s">
        <v>30</v>
      </c>
      <c r="K6808" t="str">
        <f>"27028"</f>
        <v>27028</v>
      </c>
      <c r="M6808" t="s">
        <v>17861</v>
      </c>
      <c r="N6808" t="str">
        <f>"9/25/2012 4:40:00 PM"</f>
        <v>9/25/2012 4:40:00 PM</v>
      </c>
      <c r="O6808" t="s">
        <v>20690</v>
      </c>
      <c r="T6808" t="s">
        <v>20691</v>
      </c>
    </row>
    <row r="6809" spans="1:20" x14ac:dyDescent="0.25">
      <c r="A6809" t="str">
        <f>"3037685"</f>
        <v>3037685</v>
      </c>
      <c r="B6809" t="s">
        <v>20693</v>
      </c>
      <c r="C6809" t="str">
        <f>"25204000"</f>
        <v>25204000</v>
      </c>
      <c r="D6809" t="s">
        <v>20694</v>
      </c>
      <c r="E6809" t="s">
        <v>20695</v>
      </c>
      <c r="F6809" t="s">
        <v>20696</v>
      </c>
      <c r="I6809" t="s">
        <v>29</v>
      </c>
      <c r="K6809" t="s">
        <v>31</v>
      </c>
      <c r="M6809" t="s">
        <v>17861</v>
      </c>
      <c r="N6809" t="str">
        <f>"9/27/2012 1:45:00 PM"</f>
        <v>9/27/2012 1:45:00 PM</v>
      </c>
      <c r="O6809" t="s">
        <v>20694</v>
      </c>
      <c r="T6809" t="s">
        <v>20695</v>
      </c>
    </row>
    <row r="6810" spans="1:20" x14ac:dyDescent="0.25">
      <c r="A6810" t="str">
        <f>"3072157"</f>
        <v>3072157</v>
      </c>
      <c r="B6810" t="s">
        <v>20697</v>
      </c>
      <c r="C6810" t="str">
        <f>"8301389"</f>
        <v>8301389</v>
      </c>
      <c r="D6810" t="s">
        <v>20698</v>
      </c>
      <c r="E6810" t="s">
        <v>20699</v>
      </c>
      <c r="F6810" t="s">
        <v>20700</v>
      </c>
      <c r="I6810" t="s">
        <v>184</v>
      </c>
      <c r="J6810" t="s">
        <v>30</v>
      </c>
      <c r="K6810" t="str">
        <f>"27006"</f>
        <v>27006</v>
      </c>
      <c r="M6810" t="s">
        <v>17861</v>
      </c>
      <c r="N6810" t="str">
        <f>"10/2/2012 1:47:00 PM"</f>
        <v>10/2/2012 1:47:00 PM</v>
      </c>
      <c r="O6810" t="s">
        <v>20698</v>
      </c>
      <c r="T6810" t="s">
        <v>20699</v>
      </c>
    </row>
    <row r="6811" spans="1:20" x14ac:dyDescent="0.25">
      <c r="A6811" t="str">
        <f>"3058073"</f>
        <v>3058073</v>
      </c>
      <c r="B6811" t="s">
        <v>20701</v>
      </c>
      <c r="C6811" t="str">
        <f>"8301398"</f>
        <v>8301398</v>
      </c>
      <c r="D6811" t="s">
        <v>20702</v>
      </c>
      <c r="E6811" t="s">
        <v>20703</v>
      </c>
      <c r="F6811" t="s">
        <v>20704</v>
      </c>
      <c r="I6811" t="s">
        <v>184</v>
      </c>
      <c r="J6811" t="s">
        <v>30</v>
      </c>
      <c r="K6811" t="str">
        <f>"27006"</f>
        <v>27006</v>
      </c>
      <c r="M6811" t="s">
        <v>17861</v>
      </c>
      <c r="N6811" t="str">
        <f>"10/2/2012 2:35:00 PM"</f>
        <v>10/2/2012 2:35:00 PM</v>
      </c>
      <c r="O6811" t="s">
        <v>20702</v>
      </c>
      <c r="T6811" t="s">
        <v>20703</v>
      </c>
    </row>
    <row r="6812" spans="1:20" x14ac:dyDescent="0.25">
      <c r="A6812" t="str">
        <f>"3052936"</f>
        <v>3052936</v>
      </c>
      <c r="B6812" t="s">
        <v>20705</v>
      </c>
      <c r="C6812" t="str">
        <f>"8301401"</f>
        <v>8301401</v>
      </c>
      <c r="D6812" t="s">
        <v>15391</v>
      </c>
      <c r="E6812" t="s">
        <v>15392</v>
      </c>
      <c r="F6812" t="s">
        <v>19104</v>
      </c>
      <c r="I6812" t="s">
        <v>29</v>
      </c>
      <c r="J6812" t="s">
        <v>30</v>
      </c>
      <c r="K6812" t="str">
        <f>"27028"</f>
        <v>27028</v>
      </c>
      <c r="M6812" t="s">
        <v>17861</v>
      </c>
      <c r="N6812" t="str">
        <f>"10/2/2012 2:52:00 PM"</f>
        <v>10/2/2012 2:52:00 PM</v>
      </c>
      <c r="O6812" t="s">
        <v>15391</v>
      </c>
      <c r="T6812" t="s">
        <v>15392</v>
      </c>
    </row>
    <row r="6813" spans="1:20" x14ac:dyDescent="0.25">
      <c r="A6813" t="str">
        <f>"3051973"</f>
        <v>3051973</v>
      </c>
      <c r="B6813" t="s">
        <v>20706</v>
      </c>
      <c r="C6813" t="str">
        <f>"8301405"</f>
        <v>8301405</v>
      </c>
      <c r="D6813" t="s">
        <v>20707</v>
      </c>
      <c r="E6813" t="s">
        <v>20708</v>
      </c>
      <c r="F6813" t="s">
        <v>20709</v>
      </c>
      <c r="I6813" t="s">
        <v>29</v>
      </c>
      <c r="J6813" t="s">
        <v>30</v>
      </c>
      <c r="K6813" t="str">
        <f>"27028"</f>
        <v>27028</v>
      </c>
      <c r="M6813" t="s">
        <v>17861</v>
      </c>
      <c r="N6813" t="str">
        <f>"10/2/2012 3:29:00 PM"</f>
        <v>10/2/2012 3:29:00 PM</v>
      </c>
      <c r="O6813" t="s">
        <v>20707</v>
      </c>
      <c r="T6813" t="s">
        <v>20708</v>
      </c>
    </row>
    <row r="6814" spans="1:20" x14ac:dyDescent="0.25">
      <c r="A6814" t="str">
        <f>"3052137"</f>
        <v>3052137</v>
      </c>
      <c r="B6814" t="s">
        <v>20710</v>
      </c>
      <c r="C6814" t="str">
        <f>"8301411"</f>
        <v>8301411</v>
      </c>
      <c r="D6814" t="s">
        <v>20711</v>
      </c>
      <c r="F6814" t="s">
        <v>20712</v>
      </c>
      <c r="I6814" t="s">
        <v>29</v>
      </c>
      <c r="J6814" t="s">
        <v>30</v>
      </c>
      <c r="K6814" t="str">
        <f>"27028"</f>
        <v>27028</v>
      </c>
      <c r="M6814" t="s">
        <v>17861</v>
      </c>
      <c r="N6814" t="str">
        <f>"10/2/2012 3:48:00 PM"</f>
        <v>10/2/2012 3:48:00 PM</v>
      </c>
      <c r="O6814" t="s">
        <v>20711</v>
      </c>
    </row>
    <row r="6815" spans="1:20" x14ac:dyDescent="0.25">
      <c r="A6815" t="str">
        <f>"3037443"</f>
        <v>3037443</v>
      </c>
      <c r="B6815" t="s">
        <v>20713</v>
      </c>
      <c r="C6815" t="str">
        <f>"8301418"</f>
        <v>8301418</v>
      </c>
      <c r="D6815" t="s">
        <v>20714</v>
      </c>
      <c r="E6815" t="s">
        <v>20715</v>
      </c>
      <c r="F6815" t="s">
        <v>20716</v>
      </c>
      <c r="I6815" t="s">
        <v>2525</v>
      </c>
      <c r="J6815" t="s">
        <v>30</v>
      </c>
      <c r="K6815" t="str">
        <f>"27406"</f>
        <v>27406</v>
      </c>
      <c r="M6815" t="s">
        <v>17861</v>
      </c>
      <c r="N6815" t="str">
        <f>"10/3/2012 4:32:00 PM"</f>
        <v>10/3/2012 4:32:00 PM</v>
      </c>
      <c r="O6815" t="s">
        <v>20714</v>
      </c>
      <c r="T6815" t="s">
        <v>20715</v>
      </c>
    </row>
    <row r="6816" spans="1:20" x14ac:dyDescent="0.25">
      <c r="A6816" t="str">
        <f>"3037441"</f>
        <v>3037441</v>
      </c>
      <c r="B6816" t="s">
        <v>20717</v>
      </c>
      <c r="C6816" t="str">
        <f>"8301419"</f>
        <v>8301419</v>
      </c>
      <c r="D6816" t="s">
        <v>20718</v>
      </c>
      <c r="E6816" t="s">
        <v>20719</v>
      </c>
      <c r="F6816" t="s">
        <v>20720</v>
      </c>
      <c r="I6816" t="s">
        <v>1149</v>
      </c>
      <c r="J6816" t="s">
        <v>30</v>
      </c>
      <c r="K6816" t="str">
        <f>"28634"</f>
        <v>28634</v>
      </c>
      <c r="M6816" t="s">
        <v>17861</v>
      </c>
      <c r="N6816" t="str">
        <f>"10/3/2012 4:28:00 PM"</f>
        <v>10/3/2012 4:28:00 PM</v>
      </c>
      <c r="O6816" t="s">
        <v>20718</v>
      </c>
      <c r="T6816" t="s">
        <v>20719</v>
      </c>
    </row>
    <row r="6817" spans="1:20" x14ac:dyDescent="0.25">
      <c r="A6817" t="str">
        <f>"3043008"</f>
        <v>3043008</v>
      </c>
      <c r="B6817" t="s">
        <v>20721</v>
      </c>
      <c r="C6817" t="str">
        <f>"82518126"</f>
        <v>82518126</v>
      </c>
      <c r="D6817" t="s">
        <v>20722</v>
      </c>
      <c r="F6817" t="s">
        <v>20723</v>
      </c>
      <c r="I6817" t="s">
        <v>184</v>
      </c>
      <c r="J6817" t="s">
        <v>30</v>
      </c>
      <c r="K6817" t="s">
        <v>185</v>
      </c>
      <c r="M6817" t="s">
        <v>17861</v>
      </c>
      <c r="N6817" t="str">
        <f>"9/4/2012 3:20:00 PM"</f>
        <v>9/4/2012 3:20:00 PM</v>
      </c>
      <c r="O6817" t="s">
        <v>20722</v>
      </c>
    </row>
    <row r="6818" spans="1:20" x14ac:dyDescent="0.25">
      <c r="A6818" t="str">
        <f>"3037626"</f>
        <v>3037626</v>
      </c>
      <c r="B6818" t="s">
        <v>20724</v>
      </c>
      <c r="C6818" t="str">
        <f>"8300871"</f>
        <v>8300871</v>
      </c>
      <c r="D6818" t="s">
        <v>153</v>
      </c>
      <c r="E6818" t="s">
        <v>154</v>
      </c>
      <c r="F6818" t="s">
        <v>155</v>
      </c>
      <c r="I6818" t="s">
        <v>49</v>
      </c>
      <c r="J6818" t="s">
        <v>30</v>
      </c>
      <c r="K6818" t="str">
        <f>"27055"</f>
        <v>27055</v>
      </c>
      <c r="M6818" t="s">
        <v>17861</v>
      </c>
      <c r="N6818" t="str">
        <f>"9/4/2012 3:34:00 PM"</f>
        <v>9/4/2012 3:34:00 PM</v>
      </c>
      <c r="O6818" t="s">
        <v>153</v>
      </c>
      <c r="T6818" t="s">
        <v>154</v>
      </c>
    </row>
    <row r="6819" spans="1:20" x14ac:dyDescent="0.25">
      <c r="A6819" t="str">
        <f>"3046902"</f>
        <v>3046902</v>
      </c>
      <c r="B6819" t="s">
        <v>20725</v>
      </c>
      <c r="C6819" t="str">
        <f>"82527172"</f>
        <v>82527172</v>
      </c>
      <c r="D6819" t="s">
        <v>20726</v>
      </c>
      <c r="F6819" t="s">
        <v>20727</v>
      </c>
      <c r="I6819" t="s">
        <v>184</v>
      </c>
      <c r="J6819" t="s">
        <v>30</v>
      </c>
      <c r="K6819" t="s">
        <v>185</v>
      </c>
      <c r="M6819" t="s">
        <v>18432</v>
      </c>
      <c r="N6819" t="str">
        <f>"10/8/2012 8:35:00 AM"</f>
        <v>10/8/2012 8:35:00 AM</v>
      </c>
      <c r="O6819" t="s">
        <v>20726</v>
      </c>
    </row>
    <row r="6820" spans="1:20" x14ac:dyDescent="0.25">
      <c r="A6820" t="str">
        <f>"3053554"</f>
        <v>3053554</v>
      </c>
      <c r="B6820" t="s">
        <v>20728</v>
      </c>
      <c r="C6820" t="str">
        <f>"41828000"</f>
        <v>41828000</v>
      </c>
      <c r="D6820" t="s">
        <v>20729</v>
      </c>
      <c r="F6820" t="s">
        <v>20730</v>
      </c>
      <c r="I6820" t="s">
        <v>29</v>
      </c>
      <c r="J6820" t="s">
        <v>30</v>
      </c>
      <c r="K6820" t="s">
        <v>20731</v>
      </c>
      <c r="M6820" t="s">
        <v>18432</v>
      </c>
      <c r="N6820" t="str">
        <f>"10/8/2012 3:03:00 PM"</f>
        <v>10/8/2012 3:03:00 PM</v>
      </c>
      <c r="O6820" t="s">
        <v>20729</v>
      </c>
    </row>
    <row r="6821" spans="1:20" x14ac:dyDescent="0.25">
      <c r="A6821" t="str">
        <f>"3060126"</f>
        <v>3060126</v>
      </c>
      <c r="B6821" t="s">
        <v>20732</v>
      </c>
      <c r="C6821" t="str">
        <f>"8301437"</f>
        <v>8301437</v>
      </c>
      <c r="D6821" t="s">
        <v>20733</v>
      </c>
      <c r="E6821" t="s">
        <v>20734</v>
      </c>
      <c r="F6821" t="s">
        <v>20735</v>
      </c>
      <c r="I6821" t="s">
        <v>184</v>
      </c>
      <c r="J6821" t="s">
        <v>30</v>
      </c>
      <c r="K6821" t="str">
        <f>"27006"</f>
        <v>27006</v>
      </c>
      <c r="M6821" t="s">
        <v>17861</v>
      </c>
      <c r="N6821" t="str">
        <f>"10/9/2012 3:02:00 PM"</f>
        <v>10/9/2012 3:02:00 PM</v>
      </c>
      <c r="O6821" t="s">
        <v>20733</v>
      </c>
      <c r="T6821" t="s">
        <v>20734</v>
      </c>
    </row>
    <row r="6822" spans="1:20" x14ac:dyDescent="0.25">
      <c r="A6822" t="str">
        <f>"3049879"</f>
        <v>3049879</v>
      </c>
      <c r="B6822" t="s">
        <v>20736</v>
      </c>
      <c r="C6822" t="str">
        <f>"8301420"</f>
        <v>8301420</v>
      </c>
      <c r="D6822" t="s">
        <v>20737</v>
      </c>
      <c r="E6822" t="s">
        <v>20738</v>
      </c>
      <c r="F6822" t="s">
        <v>20739</v>
      </c>
      <c r="I6822" t="s">
        <v>29</v>
      </c>
      <c r="J6822" t="s">
        <v>30</v>
      </c>
      <c r="K6822" t="str">
        <f>"27028"</f>
        <v>27028</v>
      </c>
      <c r="M6822" t="s">
        <v>17861</v>
      </c>
      <c r="N6822" t="str">
        <f>"10/4/2012 3:34:00 PM"</f>
        <v>10/4/2012 3:34:00 PM</v>
      </c>
      <c r="O6822" t="s">
        <v>20737</v>
      </c>
      <c r="T6822" t="s">
        <v>20738</v>
      </c>
    </row>
    <row r="6823" spans="1:20" x14ac:dyDescent="0.25">
      <c r="A6823" t="str">
        <f>"3077966"</f>
        <v>3077966</v>
      </c>
      <c r="B6823" t="s">
        <v>20740</v>
      </c>
      <c r="C6823" t="str">
        <f>"47044000"</f>
        <v>47044000</v>
      </c>
      <c r="D6823" t="s">
        <v>20741</v>
      </c>
      <c r="E6823" t="s">
        <v>20742</v>
      </c>
      <c r="F6823" t="s">
        <v>20743</v>
      </c>
      <c r="I6823" t="s">
        <v>29</v>
      </c>
      <c r="J6823" t="s">
        <v>30</v>
      </c>
      <c r="K6823" t="s">
        <v>20744</v>
      </c>
      <c r="M6823" t="s">
        <v>17861</v>
      </c>
      <c r="N6823" t="str">
        <f>"11/1/2012 9:01:00 AM"</f>
        <v>11/1/2012 9:01:00 AM</v>
      </c>
      <c r="O6823" t="s">
        <v>20741</v>
      </c>
      <c r="T6823" t="s">
        <v>20742</v>
      </c>
    </row>
    <row r="6824" spans="1:20" x14ac:dyDescent="0.25">
      <c r="A6824" t="str">
        <f>"3046477"</f>
        <v>3046477</v>
      </c>
      <c r="B6824" t="s">
        <v>20745</v>
      </c>
      <c r="C6824" t="str">
        <f>"47048000"</f>
        <v>47048000</v>
      </c>
      <c r="D6824" t="s">
        <v>20746</v>
      </c>
      <c r="E6824" t="s">
        <v>20747</v>
      </c>
      <c r="F6824" t="s">
        <v>20743</v>
      </c>
      <c r="I6824" t="s">
        <v>29</v>
      </c>
      <c r="J6824" t="s">
        <v>30</v>
      </c>
      <c r="K6824" t="s">
        <v>31</v>
      </c>
      <c r="M6824" t="s">
        <v>17861</v>
      </c>
      <c r="N6824" t="str">
        <f>"11/1/2012 9:02:00 AM"</f>
        <v>11/1/2012 9:02:00 AM</v>
      </c>
      <c r="O6824" t="s">
        <v>20746</v>
      </c>
      <c r="T6824" t="s">
        <v>20747</v>
      </c>
    </row>
    <row r="6825" spans="1:20" x14ac:dyDescent="0.25">
      <c r="A6825" t="str">
        <f>"3050841"</f>
        <v>3050841</v>
      </c>
      <c r="B6825" t="s">
        <v>20748</v>
      </c>
      <c r="C6825" t="str">
        <f>"8301527"</f>
        <v>8301527</v>
      </c>
      <c r="D6825" t="s">
        <v>20749</v>
      </c>
      <c r="E6825" t="s">
        <v>20750</v>
      </c>
      <c r="F6825" t="s">
        <v>20751</v>
      </c>
      <c r="I6825" t="s">
        <v>184</v>
      </c>
      <c r="J6825" t="s">
        <v>30</v>
      </c>
      <c r="K6825" t="str">
        <f>"27006"</f>
        <v>27006</v>
      </c>
      <c r="M6825" t="s">
        <v>17861</v>
      </c>
      <c r="N6825" t="str">
        <f>"11/1/2012 11:10:00 AM"</f>
        <v>11/1/2012 11:10:00 AM</v>
      </c>
      <c r="O6825" t="s">
        <v>20749</v>
      </c>
      <c r="T6825" t="s">
        <v>20750</v>
      </c>
    </row>
    <row r="6826" spans="1:20" x14ac:dyDescent="0.25">
      <c r="A6826" t="str">
        <f>"3052655"</f>
        <v>3052655</v>
      </c>
      <c r="B6826" t="s">
        <v>20752</v>
      </c>
      <c r="C6826" t="str">
        <f>"82516235"</f>
        <v>82516235</v>
      </c>
      <c r="D6826" t="s">
        <v>20753</v>
      </c>
      <c r="E6826" t="s">
        <v>20754</v>
      </c>
      <c r="F6826" t="s">
        <v>20755</v>
      </c>
      <c r="I6826" t="s">
        <v>29</v>
      </c>
      <c r="J6826" t="s">
        <v>30</v>
      </c>
      <c r="K6826" t="s">
        <v>20756</v>
      </c>
      <c r="M6826" t="s">
        <v>18432</v>
      </c>
      <c r="N6826" t="str">
        <f>"10/12/2012 1:09:00 PM"</f>
        <v>10/12/2012 1:09:00 PM</v>
      </c>
      <c r="O6826" t="s">
        <v>20753</v>
      </c>
      <c r="T6826" t="s">
        <v>20754</v>
      </c>
    </row>
    <row r="6827" spans="1:20" x14ac:dyDescent="0.25">
      <c r="A6827" t="str">
        <f>"3045462"</f>
        <v>3045462</v>
      </c>
      <c r="B6827" t="s">
        <v>20757</v>
      </c>
      <c r="C6827" t="str">
        <f>"61796000"</f>
        <v>61796000</v>
      </c>
      <c r="D6827" t="s">
        <v>20758</v>
      </c>
      <c r="E6827" t="s">
        <v>20759</v>
      </c>
      <c r="F6827" t="s">
        <v>20760</v>
      </c>
      <c r="I6827" t="s">
        <v>29</v>
      </c>
      <c r="J6827" t="s">
        <v>30</v>
      </c>
      <c r="K6827" t="s">
        <v>31</v>
      </c>
      <c r="M6827" t="s">
        <v>18470</v>
      </c>
      <c r="N6827" t="str">
        <f>"11/6/2012 12:48:00 PM"</f>
        <v>11/6/2012 12:48:00 PM</v>
      </c>
      <c r="O6827" t="s">
        <v>20758</v>
      </c>
      <c r="T6827" t="s">
        <v>20759</v>
      </c>
    </row>
    <row r="6828" spans="1:20" x14ac:dyDescent="0.25">
      <c r="A6828" t="str">
        <f>"3044994"</f>
        <v>3044994</v>
      </c>
      <c r="B6828" t="s">
        <v>20761</v>
      </c>
      <c r="C6828" t="str">
        <f>"61796000"</f>
        <v>61796000</v>
      </c>
      <c r="D6828" t="s">
        <v>20758</v>
      </c>
      <c r="E6828" t="s">
        <v>20759</v>
      </c>
      <c r="F6828" t="s">
        <v>20760</v>
      </c>
      <c r="I6828" t="s">
        <v>29</v>
      </c>
      <c r="J6828" t="s">
        <v>30</v>
      </c>
      <c r="K6828" t="s">
        <v>31</v>
      </c>
      <c r="M6828" t="s">
        <v>18470</v>
      </c>
      <c r="N6828" t="str">
        <f>"11/6/2012 12:48:00 PM"</f>
        <v>11/6/2012 12:48:00 PM</v>
      </c>
      <c r="O6828" t="s">
        <v>20758</v>
      </c>
      <c r="T6828" t="s">
        <v>20759</v>
      </c>
    </row>
    <row r="6829" spans="1:20" x14ac:dyDescent="0.25">
      <c r="A6829" t="str">
        <f>"3045191"</f>
        <v>3045191</v>
      </c>
      <c r="B6829" t="s">
        <v>20762</v>
      </c>
      <c r="C6829" t="str">
        <f>"60564000"</f>
        <v>60564000</v>
      </c>
      <c r="D6829" t="s">
        <v>20763</v>
      </c>
      <c r="F6829" t="s">
        <v>20764</v>
      </c>
      <c r="I6829" t="s">
        <v>19211</v>
      </c>
      <c r="J6829" t="s">
        <v>30</v>
      </c>
      <c r="K6829" t="s">
        <v>19212</v>
      </c>
      <c r="M6829" t="s">
        <v>18470</v>
      </c>
      <c r="N6829" t="str">
        <f>"11/6/2012 1:36:00 PM"</f>
        <v>11/6/2012 1:36:00 PM</v>
      </c>
      <c r="O6829" t="s">
        <v>20763</v>
      </c>
    </row>
    <row r="6830" spans="1:20" x14ac:dyDescent="0.25">
      <c r="A6830" t="str">
        <f>"3045210"</f>
        <v>3045210</v>
      </c>
      <c r="B6830" t="s">
        <v>20765</v>
      </c>
      <c r="C6830" t="str">
        <f>"60564000"</f>
        <v>60564000</v>
      </c>
      <c r="D6830" t="s">
        <v>20763</v>
      </c>
      <c r="F6830" t="s">
        <v>20764</v>
      </c>
      <c r="I6830" t="s">
        <v>19211</v>
      </c>
      <c r="J6830" t="s">
        <v>30</v>
      </c>
      <c r="K6830" t="s">
        <v>19212</v>
      </c>
      <c r="M6830" t="s">
        <v>18470</v>
      </c>
      <c r="N6830" t="str">
        <f>"11/6/2012 1:36:00 PM"</f>
        <v>11/6/2012 1:36:00 PM</v>
      </c>
      <c r="O6830" t="s">
        <v>20763</v>
      </c>
    </row>
    <row r="6831" spans="1:20" x14ac:dyDescent="0.25">
      <c r="A6831" t="str">
        <f>"3045242"</f>
        <v>3045242</v>
      </c>
      <c r="B6831" t="s">
        <v>20766</v>
      </c>
      <c r="C6831" t="str">
        <f>"60564000"</f>
        <v>60564000</v>
      </c>
      <c r="D6831" t="s">
        <v>20763</v>
      </c>
      <c r="F6831" t="s">
        <v>20764</v>
      </c>
      <c r="I6831" t="s">
        <v>19211</v>
      </c>
      <c r="J6831" t="s">
        <v>30</v>
      </c>
      <c r="K6831" t="s">
        <v>19212</v>
      </c>
      <c r="M6831" t="s">
        <v>18470</v>
      </c>
      <c r="N6831" t="str">
        <f>"11/6/2012 1:36:00 PM"</f>
        <v>11/6/2012 1:36:00 PM</v>
      </c>
      <c r="O6831" t="s">
        <v>20763</v>
      </c>
    </row>
    <row r="6832" spans="1:20" x14ac:dyDescent="0.25">
      <c r="A6832" t="str">
        <f>"3070807"</f>
        <v>3070807</v>
      </c>
      <c r="B6832" t="s">
        <v>20767</v>
      </c>
      <c r="C6832" t="str">
        <f>"50139500"</f>
        <v>50139500</v>
      </c>
      <c r="D6832" t="s">
        <v>20768</v>
      </c>
      <c r="F6832" t="s">
        <v>20769</v>
      </c>
      <c r="I6832" t="s">
        <v>29</v>
      </c>
      <c r="J6832" t="s">
        <v>30</v>
      </c>
      <c r="K6832" t="s">
        <v>31</v>
      </c>
      <c r="M6832" t="s">
        <v>18470</v>
      </c>
      <c r="N6832" t="str">
        <f>"11/6/2012 2:27:00 PM"</f>
        <v>11/6/2012 2:27:00 PM</v>
      </c>
      <c r="O6832" t="s">
        <v>20768</v>
      </c>
    </row>
    <row r="6833" spans="1:20" x14ac:dyDescent="0.25">
      <c r="A6833" t="str">
        <f>"3040743"</f>
        <v>3040743</v>
      </c>
      <c r="B6833" t="s">
        <v>20770</v>
      </c>
      <c r="C6833" t="str">
        <f>"82514436"</f>
        <v>82514436</v>
      </c>
      <c r="D6833" t="s">
        <v>20771</v>
      </c>
      <c r="E6833" t="s">
        <v>20772</v>
      </c>
      <c r="F6833" t="s">
        <v>20773</v>
      </c>
      <c r="I6833" t="s">
        <v>184</v>
      </c>
      <c r="J6833" t="s">
        <v>30</v>
      </c>
      <c r="K6833" t="s">
        <v>185</v>
      </c>
      <c r="M6833" t="s">
        <v>17861</v>
      </c>
      <c r="N6833" t="str">
        <f>"11/6/2012 2:32:00 PM"</f>
        <v>11/6/2012 2:32:00 PM</v>
      </c>
      <c r="O6833" t="s">
        <v>20771</v>
      </c>
      <c r="T6833" t="s">
        <v>20772</v>
      </c>
    </row>
    <row r="6834" spans="1:20" x14ac:dyDescent="0.25">
      <c r="A6834" t="str">
        <f>"3076987"</f>
        <v>3076987</v>
      </c>
      <c r="B6834" t="s">
        <v>20774</v>
      </c>
      <c r="C6834" t="str">
        <f>"8301447"</f>
        <v>8301447</v>
      </c>
      <c r="D6834" t="s">
        <v>20775</v>
      </c>
      <c r="F6834" t="s">
        <v>20776</v>
      </c>
      <c r="I6834" t="s">
        <v>29</v>
      </c>
      <c r="J6834" t="s">
        <v>30</v>
      </c>
      <c r="K6834" t="str">
        <f>"27028"</f>
        <v>27028</v>
      </c>
      <c r="M6834" t="s">
        <v>17861</v>
      </c>
      <c r="N6834" t="str">
        <f>"10/12/2012 2:39:00 PM"</f>
        <v>10/12/2012 2:39:00 PM</v>
      </c>
      <c r="O6834" t="s">
        <v>20775</v>
      </c>
    </row>
    <row r="6835" spans="1:20" x14ac:dyDescent="0.25">
      <c r="A6835" t="str">
        <f>"3049944"</f>
        <v>3049944</v>
      </c>
      <c r="B6835" t="s">
        <v>20777</v>
      </c>
      <c r="C6835" t="str">
        <f>"78112000"</f>
        <v>78112000</v>
      </c>
      <c r="D6835" t="s">
        <v>20778</v>
      </c>
      <c r="F6835" t="s">
        <v>20779</v>
      </c>
      <c r="I6835" t="s">
        <v>29</v>
      </c>
      <c r="J6835" t="s">
        <v>30</v>
      </c>
      <c r="K6835" t="s">
        <v>20780</v>
      </c>
      <c r="M6835" t="s">
        <v>18470</v>
      </c>
      <c r="N6835" t="str">
        <f>"11/7/2012 9:39:00 AM"</f>
        <v>11/7/2012 9:39:00 AM</v>
      </c>
      <c r="O6835" t="s">
        <v>20778</v>
      </c>
    </row>
    <row r="6836" spans="1:20" x14ac:dyDescent="0.25">
      <c r="A6836" t="str">
        <f>"3076988"</f>
        <v>3076988</v>
      </c>
      <c r="B6836" t="s">
        <v>20781</v>
      </c>
      <c r="C6836" t="str">
        <f>"8301447"</f>
        <v>8301447</v>
      </c>
      <c r="D6836" t="s">
        <v>20775</v>
      </c>
      <c r="F6836" t="s">
        <v>20776</v>
      </c>
      <c r="I6836" t="s">
        <v>29</v>
      </c>
      <c r="J6836" t="s">
        <v>30</v>
      </c>
      <c r="K6836" t="str">
        <f>"27028"</f>
        <v>27028</v>
      </c>
      <c r="M6836" t="s">
        <v>17861</v>
      </c>
      <c r="N6836" t="str">
        <f>"10/12/2012 2:39:00 PM"</f>
        <v>10/12/2012 2:39:00 PM</v>
      </c>
      <c r="O6836" t="s">
        <v>20775</v>
      </c>
    </row>
    <row r="6837" spans="1:20" x14ac:dyDescent="0.25">
      <c r="A6837" t="str">
        <f>"3076990"</f>
        <v>3076990</v>
      </c>
      <c r="B6837" t="s">
        <v>20782</v>
      </c>
      <c r="C6837" t="str">
        <f>"8301447"</f>
        <v>8301447</v>
      </c>
      <c r="D6837" t="s">
        <v>20775</v>
      </c>
      <c r="F6837" t="s">
        <v>20776</v>
      </c>
      <c r="I6837" t="s">
        <v>29</v>
      </c>
      <c r="J6837" t="s">
        <v>30</v>
      </c>
      <c r="K6837" t="str">
        <f>"27028"</f>
        <v>27028</v>
      </c>
      <c r="M6837" t="s">
        <v>17861</v>
      </c>
      <c r="N6837" t="str">
        <f>"10/12/2012 2:39:00 PM"</f>
        <v>10/12/2012 2:39:00 PM</v>
      </c>
      <c r="O6837" t="s">
        <v>20775</v>
      </c>
    </row>
    <row r="6838" spans="1:20" x14ac:dyDescent="0.25">
      <c r="A6838" t="str">
        <f>"3062991"</f>
        <v>3062991</v>
      </c>
      <c r="B6838" t="s">
        <v>20783</v>
      </c>
      <c r="C6838" t="str">
        <f>"8301453"</f>
        <v>8301453</v>
      </c>
      <c r="D6838" t="s">
        <v>20784</v>
      </c>
      <c r="E6838" t="s">
        <v>20785</v>
      </c>
      <c r="F6838" t="s">
        <v>20786</v>
      </c>
      <c r="I6838" t="s">
        <v>184</v>
      </c>
      <c r="J6838" t="s">
        <v>30</v>
      </c>
      <c r="K6838" t="str">
        <f>"27006"</f>
        <v>27006</v>
      </c>
      <c r="M6838" t="s">
        <v>17861</v>
      </c>
      <c r="N6838" t="str">
        <f>"10/16/2012 1:47:00 PM"</f>
        <v>10/16/2012 1:47:00 PM</v>
      </c>
      <c r="O6838" t="s">
        <v>20784</v>
      </c>
      <c r="T6838" t="s">
        <v>20785</v>
      </c>
    </row>
    <row r="6839" spans="1:20" x14ac:dyDescent="0.25">
      <c r="A6839" t="str">
        <f>"3047992"</f>
        <v>3047992</v>
      </c>
      <c r="B6839" t="s">
        <v>20787</v>
      </c>
      <c r="C6839" t="str">
        <f>"8301557"</f>
        <v>8301557</v>
      </c>
      <c r="D6839" t="s">
        <v>20788</v>
      </c>
      <c r="F6839" t="s">
        <v>20789</v>
      </c>
      <c r="I6839" t="s">
        <v>184</v>
      </c>
      <c r="J6839" t="s">
        <v>30</v>
      </c>
      <c r="K6839" t="str">
        <f>"27006"</f>
        <v>27006</v>
      </c>
      <c r="M6839" t="s">
        <v>17861</v>
      </c>
      <c r="N6839" t="str">
        <f>"11/13/2012 3:21:00 PM"</f>
        <v>11/13/2012 3:21:00 PM</v>
      </c>
      <c r="O6839" t="s">
        <v>20788</v>
      </c>
    </row>
    <row r="6840" spans="1:20" x14ac:dyDescent="0.25">
      <c r="A6840" t="str">
        <f>"3044848"</f>
        <v>3044848</v>
      </c>
      <c r="B6840" t="s">
        <v>20790</v>
      </c>
      <c r="C6840" t="str">
        <f>"8301561"</f>
        <v>8301561</v>
      </c>
      <c r="D6840" t="s">
        <v>20791</v>
      </c>
      <c r="E6840" t="s">
        <v>20792</v>
      </c>
      <c r="F6840" t="s">
        <v>20793</v>
      </c>
      <c r="I6840" t="s">
        <v>184</v>
      </c>
      <c r="J6840" t="s">
        <v>30</v>
      </c>
      <c r="K6840" t="str">
        <f>"27006"</f>
        <v>27006</v>
      </c>
      <c r="M6840" t="s">
        <v>17861</v>
      </c>
      <c r="N6840" t="str">
        <f>"11/14/2012 1:54:00 PM"</f>
        <v>11/14/2012 1:54:00 PM</v>
      </c>
      <c r="O6840" t="s">
        <v>20791</v>
      </c>
      <c r="T6840" t="s">
        <v>20792</v>
      </c>
    </row>
    <row r="6841" spans="1:20" x14ac:dyDescent="0.25">
      <c r="A6841" t="str">
        <f>"3059220"</f>
        <v>3059220</v>
      </c>
      <c r="B6841" t="s">
        <v>20794</v>
      </c>
      <c r="C6841" t="str">
        <f>"8301562"</f>
        <v>8301562</v>
      </c>
      <c r="D6841" t="s">
        <v>20795</v>
      </c>
      <c r="E6841" t="s">
        <v>20796</v>
      </c>
      <c r="F6841" t="s">
        <v>20797</v>
      </c>
      <c r="I6841" t="s">
        <v>184</v>
      </c>
      <c r="J6841" t="s">
        <v>30</v>
      </c>
      <c r="K6841" t="str">
        <f>"27006"</f>
        <v>27006</v>
      </c>
      <c r="M6841" t="s">
        <v>17861</v>
      </c>
      <c r="N6841" t="str">
        <f>"11/14/2012 2:17:00 PM"</f>
        <v>11/14/2012 2:17:00 PM</v>
      </c>
      <c r="O6841" t="s">
        <v>20795</v>
      </c>
      <c r="T6841" t="s">
        <v>20796</v>
      </c>
    </row>
    <row r="6842" spans="1:20" x14ac:dyDescent="0.25">
      <c r="A6842" t="str">
        <f>"3058547"</f>
        <v>3058547</v>
      </c>
      <c r="B6842" t="s">
        <v>20798</v>
      </c>
      <c r="C6842" t="str">
        <f t="shared" ref="C6842:C6847" si="98">"8301567"</f>
        <v>8301567</v>
      </c>
      <c r="D6842" t="s">
        <v>20799</v>
      </c>
      <c r="E6842" t="s">
        <v>20800</v>
      </c>
      <c r="F6842" t="s">
        <v>20801</v>
      </c>
      <c r="I6842" t="s">
        <v>2280</v>
      </c>
      <c r="J6842" t="s">
        <v>30</v>
      </c>
      <c r="K6842" t="str">
        <f t="shared" ref="K6842:K6847" si="99">"27292"</f>
        <v>27292</v>
      </c>
      <c r="M6842" t="s">
        <v>17861</v>
      </c>
      <c r="N6842" t="str">
        <f t="shared" ref="N6842:N6847" si="100">"11/14/2012 3:47:00 PM"</f>
        <v>11/14/2012 3:47:00 PM</v>
      </c>
      <c r="O6842" t="s">
        <v>20799</v>
      </c>
      <c r="T6842" t="s">
        <v>20800</v>
      </c>
    </row>
    <row r="6843" spans="1:20" x14ac:dyDescent="0.25">
      <c r="A6843" t="str">
        <f>"3045152"</f>
        <v>3045152</v>
      </c>
      <c r="B6843" t="s">
        <v>20802</v>
      </c>
      <c r="C6843" t="str">
        <f t="shared" si="98"/>
        <v>8301567</v>
      </c>
      <c r="D6843" t="s">
        <v>20799</v>
      </c>
      <c r="E6843" t="s">
        <v>20800</v>
      </c>
      <c r="F6843" t="s">
        <v>20801</v>
      </c>
      <c r="I6843" t="s">
        <v>2280</v>
      </c>
      <c r="J6843" t="s">
        <v>30</v>
      </c>
      <c r="K6843" t="str">
        <f t="shared" si="99"/>
        <v>27292</v>
      </c>
      <c r="M6843" t="s">
        <v>17861</v>
      </c>
      <c r="N6843" t="str">
        <f t="shared" si="100"/>
        <v>11/14/2012 3:47:00 PM</v>
      </c>
      <c r="O6843" t="s">
        <v>20799</v>
      </c>
      <c r="T6843" t="s">
        <v>20800</v>
      </c>
    </row>
    <row r="6844" spans="1:20" x14ac:dyDescent="0.25">
      <c r="A6844" t="str">
        <f>"3045583"</f>
        <v>3045583</v>
      </c>
      <c r="B6844" t="s">
        <v>20803</v>
      </c>
      <c r="C6844" t="str">
        <f t="shared" si="98"/>
        <v>8301567</v>
      </c>
      <c r="D6844" t="s">
        <v>20799</v>
      </c>
      <c r="E6844" t="s">
        <v>20800</v>
      </c>
      <c r="F6844" t="s">
        <v>20801</v>
      </c>
      <c r="I6844" t="s">
        <v>2280</v>
      </c>
      <c r="J6844" t="s">
        <v>30</v>
      </c>
      <c r="K6844" t="str">
        <f t="shared" si="99"/>
        <v>27292</v>
      </c>
      <c r="M6844" t="s">
        <v>17861</v>
      </c>
      <c r="N6844" t="str">
        <f t="shared" si="100"/>
        <v>11/14/2012 3:47:00 PM</v>
      </c>
      <c r="O6844" t="s">
        <v>20799</v>
      </c>
      <c r="T6844" t="s">
        <v>20800</v>
      </c>
    </row>
    <row r="6845" spans="1:20" x14ac:dyDescent="0.25">
      <c r="A6845" t="str">
        <f>"3045639"</f>
        <v>3045639</v>
      </c>
      <c r="B6845" t="s">
        <v>20804</v>
      </c>
      <c r="C6845" t="str">
        <f t="shared" si="98"/>
        <v>8301567</v>
      </c>
      <c r="D6845" t="s">
        <v>20799</v>
      </c>
      <c r="E6845" t="s">
        <v>20800</v>
      </c>
      <c r="F6845" t="s">
        <v>20801</v>
      </c>
      <c r="I6845" t="s">
        <v>2280</v>
      </c>
      <c r="J6845" t="s">
        <v>30</v>
      </c>
      <c r="K6845" t="str">
        <f t="shared" si="99"/>
        <v>27292</v>
      </c>
      <c r="M6845" t="s">
        <v>17861</v>
      </c>
      <c r="N6845" t="str">
        <f t="shared" si="100"/>
        <v>11/14/2012 3:47:00 PM</v>
      </c>
      <c r="O6845" t="s">
        <v>20799</v>
      </c>
      <c r="T6845" t="s">
        <v>20800</v>
      </c>
    </row>
    <row r="6846" spans="1:20" x14ac:dyDescent="0.25">
      <c r="A6846" t="str">
        <f>"3045617"</f>
        <v>3045617</v>
      </c>
      <c r="B6846" t="s">
        <v>20805</v>
      </c>
      <c r="C6846" t="str">
        <f t="shared" si="98"/>
        <v>8301567</v>
      </c>
      <c r="D6846" t="s">
        <v>20799</v>
      </c>
      <c r="E6846" t="s">
        <v>20800</v>
      </c>
      <c r="F6846" t="s">
        <v>20801</v>
      </c>
      <c r="I6846" t="s">
        <v>2280</v>
      </c>
      <c r="J6846" t="s">
        <v>30</v>
      </c>
      <c r="K6846" t="str">
        <f t="shared" si="99"/>
        <v>27292</v>
      </c>
      <c r="M6846" t="s">
        <v>17861</v>
      </c>
      <c r="N6846" t="str">
        <f t="shared" si="100"/>
        <v>11/14/2012 3:47:00 PM</v>
      </c>
      <c r="O6846" t="s">
        <v>20799</v>
      </c>
      <c r="T6846" t="s">
        <v>20800</v>
      </c>
    </row>
    <row r="6847" spans="1:20" x14ac:dyDescent="0.25">
      <c r="A6847" t="str">
        <f>"3045622"</f>
        <v>3045622</v>
      </c>
      <c r="B6847" t="s">
        <v>20806</v>
      </c>
      <c r="C6847" t="str">
        <f t="shared" si="98"/>
        <v>8301567</v>
      </c>
      <c r="D6847" t="s">
        <v>20799</v>
      </c>
      <c r="E6847" t="s">
        <v>20800</v>
      </c>
      <c r="F6847" t="s">
        <v>20801</v>
      </c>
      <c r="I6847" t="s">
        <v>2280</v>
      </c>
      <c r="J6847" t="s">
        <v>30</v>
      </c>
      <c r="K6847" t="str">
        <f t="shared" si="99"/>
        <v>27292</v>
      </c>
      <c r="M6847" t="s">
        <v>17861</v>
      </c>
      <c r="N6847" t="str">
        <f t="shared" si="100"/>
        <v>11/14/2012 3:47:00 PM</v>
      </c>
      <c r="O6847" t="s">
        <v>20799</v>
      </c>
      <c r="T6847" t="s">
        <v>20800</v>
      </c>
    </row>
    <row r="6848" spans="1:20" x14ac:dyDescent="0.25">
      <c r="A6848" t="str">
        <f>"3061033"</f>
        <v>3061033</v>
      </c>
      <c r="B6848" t="s">
        <v>20807</v>
      </c>
      <c r="C6848" t="str">
        <f>"8301454"</f>
        <v>8301454</v>
      </c>
      <c r="D6848" t="s">
        <v>20808</v>
      </c>
      <c r="F6848" t="s">
        <v>20809</v>
      </c>
      <c r="I6848" t="s">
        <v>2071</v>
      </c>
      <c r="J6848" t="s">
        <v>30</v>
      </c>
      <c r="K6848" t="str">
        <f>"27006"</f>
        <v>27006</v>
      </c>
      <c r="M6848" t="s">
        <v>17861</v>
      </c>
      <c r="N6848" t="str">
        <f>"10/16/2012 1:55:00 PM"</f>
        <v>10/16/2012 1:55:00 PM</v>
      </c>
      <c r="O6848" t="s">
        <v>20808</v>
      </c>
    </row>
    <row r="6849" spans="1:20" x14ac:dyDescent="0.25">
      <c r="A6849" t="str">
        <f>"3060726"</f>
        <v>3060726</v>
      </c>
      <c r="B6849" t="s">
        <v>20810</v>
      </c>
      <c r="C6849" t="str">
        <f>"8301458"</f>
        <v>8301458</v>
      </c>
      <c r="D6849" t="s">
        <v>20811</v>
      </c>
      <c r="E6849" t="s">
        <v>20812</v>
      </c>
      <c r="F6849" t="s">
        <v>20813</v>
      </c>
      <c r="I6849" t="s">
        <v>184</v>
      </c>
      <c r="J6849" t="s">
        <v>30</v>
      </c>
      <c r="K6849" t="str">
        <f>"27006"</f>
        <v>27006</v>
      </c>
      <c r="M6849" t="s">
        <v>17861</v>
      </c>
      <c r="N6849" t="str">
        <f>"10/16/2012 2:19:00 PM"</f>
        <v>10/16/2012 2:19:00 PM</v>
      </c>
      <c r="O6849" t="s">
        <v>20811</v>
      </c>
      <c r="T6849" t="s">
        <v>20812</v>
      </c>
    </row>
    <row r="6850" spans="1:20" x14ac:dyDescent="0.25">
      <c r="A6850" t="str">
        <f>"3062486"</f>
        <v>3062486</v>
      </c>
      <c r="B6850" t="s">
        <v>20814</v>
      </c>
      <c r="C6850" t="str">
        <f>"8301459"</f>
        <v>8301459</v>
      </c>
      <c r="D6850" t="str">
        <f>"WININGER JOHN DAVID/SANDRA S"</f>
        <v>WININGER JOHN DAVID/SANDRA S</v>
      </c>
      <c r="E6850" t="s">
        <v>20815</v>
      </c>
      <c r="F6850" t="s">
        <v>20816</v>
      </c>
      <c r="G6850" t="s">
        <v>20817</v>
      </c>
      <c r="I6850" t="s">
        <v>184</v>
      </c>
      <c r="J6850" t="s">
        <v>30</v>
      </c>
      <c r="K6850" t="str">
        <f>"27006"</f>
        <v>27006</v>
      </c>
      <c r="M6850" t="s">
        <v>17861</v>
      </c>
      <c r="N6850" t="str">
        <f>"10/16/2012 2:53:00 PM"</f>
        <v>10/16/2012 2:53:00 PM</v>
      </c>
      <c r="O6850" t="str">
        <f>"WININGER JOHN DAVID/SANDRA S"</f>
        <v>WININGER JOHN DAVID/SANDRA S</v>
      </c>
      <c r="T6850" t="s">
        <v>20815</v>
      </c>
    </row>
    <row r="6851" spans="1:20" x14ac:dyDescent="0.25">
      <c r="A6851" t="str">
        <f>"3074525"</f>
        <v>3074525</v>
      </c>
      <c r="B6851" t="s">
        <v>20818</v>
      </c>
      <c r="C6851" t="str">
        <f>"8301460"</f>
        <v>8301460</v>
      </c>
      <c r="D6851" t="s">
        <v>20819</v>
      </c>
      <c r="E6851" t="s">
        <v>20820</v>
      </c>
      <c r="F6851" t="s">
        <v>20821</v>
      </c>
      <c r="I6851" t="s">
        <v>9580</v>
      </c>
      <c r="J6851" t="s">
        <v>30</v>
      </c>
      <c r="K6851" t="str">
        <f>"27014"</f>
        <v>27014</v>
      </c>
      <c r="M6851" t="s">
        <v>17861</v>
      </c>
      <c r="N6851" t="str">
        <f>"10/16/2012 3:04:00 PM"</f>
        <v>10/16/2012 3:04:00 PM</v>
      </c>
      <c r="O6851" t="s">
        <v>20819</v>
      </c>
      <c r="T6851" t="s">
        <v>20820</v>
      </c>
    </row>
    <row r="6852" spans="1:20" x14ac:dyDescent="0.25">
      <c r="A6852" t="str">
        <f>"3055328"</f>
        <v>3055328</v>
      </c>
      <c r="B6852" t="s">
        <v>20822</v>
      </c>
      <c r="C6852" t="str">
        <f>"82518754"</f>
        <v>82518754</v>
      </c>
      <c r="D6852" t="s">
        <v>20823</v>
      </c>
      <c r="F6852" t="s">
        <v>20824</v>
      </c>
      <c r="I6852" t="s">
        <v>29</v>
      </c>
      <c r="J6852" t="s">
        <v>30</v>
      </c>
      <c r="K6852" t="s">
        <v>20825</v>
      </c>
      <c r="M6852" t="s">
        <v>19336</v>
      </c>
      <c r="N6852" t="str">
        <f>"10/17/2012 2:49:00 PM"</f>
        <v>10/17/2012 2:49:00 PM</v>
      </c>
      <c r="O6852" t="s">
        <v>20823</v>
      </c>
    </row>
    <row r="6853" spans="1:20" x14ac:dyDescent="0.25">
      <c r="A6853" t="str">
        <f>"3056186"</f>
        <v>3056186</v>
      </c>
      <c r="B6853" t="s">
        <v>20826</v>
      </c>
      <c r="C6853" t="str">
        <f>"82514858"</f>
        <v>82514858</v>
      </c>
      <c r="D6853" t="s">
        <v>20827</v>
      </c>
      <c r="F6853" t="s">
        <v>20828</v>
      </c>
      <c r="I6853" t="s">
        <v>9580</v>
      </c>
      <c r="J6853" t="s">
        <v>30</v>
      </c>
      <c r="K6853" t="s">
        <v>20829</v>
      </c>
      <c r="M6853" t="s">
        <v>17861</v>
      </c>
      <c r="N6853" t="str">
        <f>"11/21/2012 9:26:00 AM"</f>
        <v>11/21/2012 9:26:00 AM</v>
      </c>
      <c r="O6853" t="s">
        <v>20827</v>
      </c>
    </row>
    <row r="6854" spans="1:20" x14ac:dyDescent="0.25">
      <c r="A6854" t="str">
        <f>"3056378"</f>
        <v>3056378</v>
      </c>
      <c r="B6854" t="s">
        <v>20830</v>
      </c>
      <c r="C6854" t="str">
        <f>"82514858"</f>
        <v>82514858</v>
      </c>
      <c r="D6854" t="s">
        <v>20827</v>
      </c>
      <c r="F6854" t="s">
        <v>20828</v>
      </c>
      <c r="I6854" t="s">
        <v>9580</v>
      </c>
      <c r="J6854" t="s">
        <v>30</v>
      </c>
      <c r="K6854" t="s">
        <v>20829</v>
      </c>
      <c r="M6854" t="s">
        <v>17861</v>
      </c>
      <c r="N6854" t="str">
        <f>"11/21/2012 9:26:00 AM"</f>
        <v>11/21/2012 9:26:00 AM</v>
      </c>
      <c r="O6854" t="s">
        <v>20827</v>
      </c>
    </row>
    <row r="6855" spans="1:20" x14ac:dyDescent="0.25">
      <c r="A6855" t="str">
        <f>"3056380"</f>
        <v>3056380</v>
      </c>
      <c r="B6855" t="s">
        <v>20831</v>
      </c>
      <c r="C6855" t="str">
        <f>"82514858"</f>
        <v>82514858</v>
      </c>
      <c r="D6855" t="s">
        <v>20827</v>
      </c>
      <c r="F6855" t="s">
        <v>20828</v>
      </c>
      <c r="I6855" t="s">
        <v>9580</v>
      </c>
      <c r="J6855" t="s">
        <v>30</v>
      </c>
      <c r="K6855" t="s">
        <v>20829</v>
      </c>
      <c r="M6855" t="s">
        <v>17861</v>
      </c>
      <c r="N6855" t="str">
        <f>"11/21/2012 9:26:00 AM"</f>
        <v>11/21/2012 9:26:00 AM</v>
      </c>
      <c r="O6855" t="s">
        <v>20827</v>
      </c>
    </row>
    <row r="6856" spans="1:20" x14ac:dyDescent="0.25">
      <c r="A6856" t="str">
        <f>"3052318"</f>
        <v>3052318</v>
      </c>
      <c r="B6856" t="s">
        <v>20832</v>
      </c>
      <c r="C6856" t="str">
        <f>"8301468"</f>
        <v>8301468</v>
      </c>
      <c r="D6856" t="s">
        <v>20833</v>
      </c>
      <c r="E6856" t="s">
        <v>20834</v>
      </c>
      <c r="F6856" t="s">
        <v>20835</v>
      </c>
      <c r="I6856" t="s">
        <v>20836</v>
      </c>
      <c r="J6856" t="s">
        <v>30</v>
      </c>
      <c r="K6856" t="str">
        <f>"28217"</f>
        <v>28217</v>
      </c>
      <c r="M6856" t="s">
        <v>17861</v>
      </c>
      <c r="N6856" t="str">
        <f>"10/22/2012 3:33:00 PM"</f>
        <v>10/22/2012 3:33:00 PM</v>
      </c>
      <c r="O6856" t="s">
        <v>20833</v>
      </c>
      <c r="T6856" t="s">
        <v>20834</v>
      </c>
    </row>
    <row r="6857" spans="1:20" x14ac:dyDescent="0.25">
      <c r="A6857" t="str">
        <f>"3044595"</f>
        <v>3044595</v>
      </c>
      <c r="B6857" t="s">
        <v>20837</v>
      </c>
      <c r="C6857" t="str">
        <f>"8301592"</f>
        <v>8301592</v>
      </c>
      <c r="D6857" t="s">
        <v>20838</v>
      </c>
      <c r="E6857" t="s">
        <v>20839</v>
      </c>
      <c r="F6857" t="s">
        <v>20840</v>
      </c>
      <c r="I6857" t="s">
        <v>184</v>
      </c>
      <c r="J6857" t="s">
        <v>30</v>
      </c>
      <c r="K6857" t="str">
        <f>"27006"</f>
        <v>27006</v>
      </c>
      <c r="M6857" t="s">
        <v>17861</v>
      </c>
      <c r="N6857" t="str">
        <f>"11/21/2012 11:07:00 AM"</f>
        <v>11/21/2012 11:07:00 AM</v>
      </c>
      <c r="O6857" t="s">
        <v>20838</v>
      </c>
      <c r="T6857" t="s">
        <v>20839</v>
      </c>
    </row>
    <row r="6858" spans="1:20" x14ac:dyDescent="0.25">
      <c r="A6858" t="str">
        <f>"3042947"</f>
        <v>3042947</v>
      </c>
      <c r="B6858" t="s">
        <v>20841</v>
      </c>
      <c r="C6858" t="str">
        <f>"8301475"</f>
        <v>8301475</v>
      </c>
      <c r="D6858" t="s">
        <v>20842</v>
      </c>
      <c r="E6858" t="s">
        <v>20843</v>
      </c>
      <c r="F6858" t="s">
        <v>20844</v>
      </c>
      <c r="I6858" t="s">
        <v>29</v>
      </c>
      <c r="J6858" t="s">
        <v>30</v>
      </c>
      <c r="K6858" t="str">
        <f>"27028"</f>
        <v>27028</v>
      </c>
      <c r="M6858" t="s">
        <v>17861</v>
      </c>
      <c r="N6858" t="str">
        <f>"10/22/2012 4:03:00 PM"</f>
        <v>10/22/2012 4:03:00 PM</v>
      </c>
      <c r="O6858" t="s">
        <v>20842</v>
      </c>
      <c r="T6858" t="s">
        <v>20843</v>
      </c>
    </row>
    <row r="6859" spans="1:20" x14ac:dyDescent="0.25">
      <c r="A6859" t="str">
        <f>"3048048"</f>
        <v>3048048</v>
      </c>
      <c r="B6859" t="s">
        <v>20845</v>
      </c>
      <c r="C6859" t="str">
        <f>"8301595"</f>
        <v>8301595</v>
      </c>
      <c r="D6859" t="s">
        <v>20846</v>
      </c>
      <c r="E6859" t="s">
        <v>20847</v>
      </c>
      <c r="F6859" t="s">
        <v>20848</v>
      </c>
      <c r="I6859" t="s">
        <v>184</v>
      </c>
      <c r="J6859" t="s">
        <v>30</v>
      </c>
      <c r="K6859" t="str">
        <f>"27006"</f>
        <v>27006</v>
      </c>
      <c r="M6859" t="s">
        <v>17861</v>
      </c>
      <c r="N6859" t="str">
        <f>"11/26/2012 2:09:00 PM"</f>
        <v>11/26/2012 2:09:00 PM</v>
      </c>
      <c r="O6859" t="s">
        <v>20846</v>
      </c>
      <c r="T6859" t="s">
        <v>20847</v>
      </c>
    </row>
    <row r="6860" spans="1:20" x14ac:dyDescent="0.25">
      <c r="A6860" t="str">
        <f>"3049615"</f>
        <v>3049615</v>
      </c>
      <c r="B6860" t="s">
        <v>20849</v>
      </c>
      <c r="C6860" t="str">
        <f>"8300947"</f>
        <v>8300947</v>
      </c>
      <c r="D6860" t="s">
        <v>20850</v>
      </c>
      <c r="E6860" t="s">
        <v>10020</v>
      </c>
      <c r="F6860" t="s">
        <v>20851</v>
      </c>
      <c r="I6860" t="s">
        <v>29</v>
      </c>
      <c r="J6860" t="s">
        <v>30</v>
      </c>
      <c r="K6860" t="str">
        <f>"27028"</f>
        <v>27028</v>
      </c>
      <c r="M6860" t="s">
        <v>17861</v>
      </c>
      <c r="N6860" t="str">
        <f>"11/26/2012 4:23:00 PM"</f>
        <v>11/26/2012 4:23:00 PM</v>
      </c>
      <c r="O6860" t="s">
        <v>20850</v>
      </c>
      <c r="T6860" t="s">
        <v>10020</v>
      </c>
    </row>
    <row r="6861" spans="1:20" x14ac:dyDescent="0.25">
      <c r="A6861" t="str">
        <f>"3050351"</f>
        <v>3050351</v>
      </c>
      <c r="B6861" t="s">
        <v>20852</v>
      </c>
      <c r="C6861" t="str">
        <f>"8301598"</f>
        <v>8301598</v>
      </c>
      <c r="D6861" t="s">
        <v>20853</v>
      </c>
      <c r="F6861" t="s">
        <v>20854</v>
      </c>
      <c r="I6861" t="s">
        <v>29</v>
      </c>
      <c r="J6861" t="s">
        <v>30</v>
      </c>
      <c r="K6861" t="str">
        <f>"27028"</f>
        <v>27028</v>
      </c>
      <c r="M6861" t="s">
        <v>17861</v>
      </c>
      <c r="N6861" t="str">
        <f>"11/26/2012 4:25:00 PM"</f>
        <v>11/26/2012 4:25:00 PM</v>
      </c>
      <c r="O6861" t="s">
        <v>20853</v>
      </c>
    </row>
    <row r="6862" spans="1:20" x14ac:dyDescent="0.25">
      <c r="A6862" t="str">
        <f>"3052436"</f>
        <v>3052436</v>
      </c>
      <c r="B6862" t="s">
        <v>20855</v>
      </c>
      <c r="C6862" t="str">
        <f>"8301478"</f>
        <v>8301478</v>
      </c>
      <c r="D6862" t="s">
        <v>20856</v>
      </c>
      <c r="F6862" t="s">
        <v>20857</v>
      </c>
      <c r="I6862" t="s">
        <v>471</v>
      </c>
      <c r="J6862" t="s">
        <v>30</v>
      </c>
      <c r="K6862" t="str">
        <f>"27127"</f>
        <v>27127</v>
      </c>
      <c r="M6862" t="s">
        <v>17861</v>
      </c>
      <c r="N6862" t="str">
        <f>"10/22/2012 4:12:00 PM"</f>
        <v>10/22/2012 4:12:00 PM</v>
      </c>
      <c r="O6862" t="s">
        <v>20856</v>
      </c>
    </row>
    <row r="6863" spans="1:20" x14ac:dyDescent="0.25">
      <c r="A6863" t="str">
        <f>"3060634"</f>
        <v>3060634</v>
      </c>
      <c r="B6863" t="s">
        <v>20858</v>
      </c>
      <c r="C6863" t="str">
        <f>"8301602"</f>
        <v>8301602</v>
      </c>
      <c r="D6863" t="s">
        <v>20859</v>
      </c>
      <c r="E6863" t="s">
        <v>20860</v>
      </c>
      <c r="F6863" t="s">
        <v>20861</v>
      </c>
      <c r="I6863" t="s">
        <v>2071</v>
      </c>
      <c r="J6863" t="s">
        <v>30</v>
      </c>
      <c r="K6863" t="str">
        <f>"27006"</f>
        <v>27006</v>
      </c>
      <c r="M6863" t="s">
        <v>17861</v>
      </c>
      <c r="N6863" t="str">
        <f>"11/28/2012 9:33:00 AM"</f>
        <v>11/28/2012 9:33:00 AM</v>
      </c>
      <c r="O6863" t="s">
        <v>20859</v>
      </c>
      <c r="T6863" t="s">
        <v>20860</v>
      </c>
    </row>
    <row r="6864" spans="1:20" x14ac:dyDescent="0.25">
      <c r="A6864" t="str">
        <f>"3052437"</f>
        <v>3052437</v>
      </c>
      <c r="B6864" t="s">
        <v>20862</v>
      </c>
      <c r="C6864" t="str">
        <f>"8301478"</f>
        <v>8301478</v>
      </c>
      <c r="D6864" t="s">
        <v>20856</v>
      </c>
      <c r="F6864" t="s">
        <v>20857</v>
      </c>
      <c r="I6864" t="s">
        <v>471</v>
      </c>
      <c r="J6864" t="s">
        <v>30</v>
      </c>
      <c r="K6864" t="str">
        <f>"27127"</f>
        <v>27127</v>
      </c>
      <c r="M6864" t="s">
        <v>17861</v>
      </c>
      <c r="N6864" t="str">
        <f>"10/22/2012 4:12:00 PM"</f>
        <v>10/22/2012 4:12:00 PM</v>
      </c>
      <c r="O6864" t="s">
        <v>20856</v>
      </c>
    </row>
    <row r="6865" spans="1:20" x14ac:dyDescent="0.25">
      <c r="A6865" t="str">
        <f>"3052762"</f>
        <v>3052762</v>
      </c>
      <c r="B6865" t="s">
        <v>20863</v>
      </c>
      <c r="C6865" t="str">
        <f>"8301478"</f>
        <v>8301478</v>
      </c>
      <c r="D6865" t="s">
        <v>20856</v>
      </c>
      <c r="F6865" t="s">
        <v>20857</v>
      </c>
      <c r="I6865" t="s">
        <v>471</v>
      </c>
      <c r="J6865" t="s">
        <v>30</v>
      </c>
      <c r="K6865" t="str">
        <f>"27127"</f>
        <v>27127</v>
      </c>
      <c r="M6865" t="s">
        <v>17861</v>
      </c>
      <c r="N6865" t="str">
        <f>"10/22/2012 4:12:00 PM"</f>
        <v>10/22/2012 4:12:00 PM</v>
      </c>
      <c r="O6865" t="s">
        <v>20856</v>
      </c>
    </row>
    <row r="6866" spans="1:20" x14ac:dyDescent="0.25">
      <c r="A6866" t="str">
        <f>"3062387"</f>
        <v>3062387</v>
      </c>
      <c r="B6866" t="s">
        <v>20864</v>
      </c>
      <c r="C6866" t="str">
        <f>"8301487"</f>
        <v>8301487</v>
      </c>
      <c r="D6866" t="s">
        <v>20865</v>
      </c>
      <c r="F6866" t="s">
        <v>20866</v>
      </c>
      <c r="I6866" t="s">
        <v>29</v>
      </c>
      <c r="J6866" t="s">
        <v>30</v>
      </c>
      <c r="K6866" t="str">
        <f>"27028"</f>
        <v>27028</v>
      </c>
      <c r="M6866" t="s">
        <v>17861</v>
      </c>
      <c r="N6866" t="str">
        <f>"10/23/2012 9:59:00 AM"</f>
        <v>10/23/2012 9:59:00 AM</v>
      </c>
      <c r="O6866" t="s">
        <v>20865</v>
      </c>
    </row>
    <row r="6867" spans="1:20" x14ac:dyDescent="0.25">
      <c r="A6867" t="str">
        <f>"3041680"</f>
        <v>3041680</v>
      </c>
      <c r="B6867" t="s">
        <v>20867</v>
      </c>
      <c r="C6867" t="str">
        <f>"82528390"</f>
        <v>82528390</v>
      </c>
      <c r="D6867" t="s">
        <v>20868</v>
      </c>
      <c r="E6867" t="s">
        <v>20869</v>
      </c>
      <c r="F6867" t="s">
        <v>20870</v>
      </c>
      <c r="I6867" t="s">
        <v>2071</v>
      </c>
      <c r="J6867" t="s">
        <v>30</v>
      </c>
      <c r="K6867" t="s">
        <v>185</v>
      </c>
      <c r="M6867" t="s">
        <v>18432</v>
      </c>
      <c r="N6867" t="str">
        <f>"10/24/2012 3:49:00 PM"</f>
        <v>10/24/2012 3:49:00 PM</v>
      </c>
      <c r="O6867" t="s">
        <v>20868</v>
      </c>
      <c r="T6867" t="s">
        <v>20869</v>
      </c>
    </row>
    <row r="6868" spans="1:20" x14ac:dyDescent="0.25">
      <c r="A6868" t="str">
        <f>"3055849"</f>
        <v>3055849</v>
      </c>
      <c r="B6868" t="s">
        <v>20871</v>
      </c>
      <c r="C6868" t="str">
        <f>"8301516"</f>
        <v>8301516</v>
      </c>
      <c r="D6868" t="s">
        <v>20872</v>
      </c>
      <c r="E6868" t="s">
        <v>20873</v>
      </c>
      <c r="F6868" t="s">
        <v>20874</v>
      </c>
      <c r="I6868" t="s">
        <v>964</v>
      </c>
      <c r="J6868" t="s">
        <v>30</v>
      </c>
      <c r="K6868" t="str">
        <f>"28146"</f>
        <v>28146</v>
      </c>
      <c r="M6868" t="s">
        <v>17861</v>
      </c>
      <c r="N6868" t="str">
        <f>"10/31/2012 4:00:00 PM"</f>
        <v>10/31/2012 4:00:00 PM</v>
      </c>
      <c r="O6868" t="s">
        <v>20872</v>
      </c>
      <c r="T6868" t="s">
        <v>20873</v>
      </c>
    </row>
    <row r="6869" spans="1:20" x14ac:dyDescent="0.25">
      <c r="A6869" t="str">
        <f>"3044065"</f>
        <v>3044065</v>
      </c>
      <c r="B6869" t="s">
        <v>20875</v>
      </c>
      <c r="C6869" t="str">
        <f>"8301620"</f>
        <v>8301620</v>
      </c>
      <c r="D6869" t="s">
        <v>20876</v>
      </c>
      <c r="F6869" t="s">
        <v>20877</v>
      </c>
      <c r="I6869" t="s">
        <v>184</v>
      </c>
      <c r="J6869" t="s">
        <v>30</v>
      </c>
      <c r="K6869" t="str">
        <f>"27006"</f>
        <v>27006</v>
      </c>
      <c r="M6869" t="s">
        <v>17861</v>
      </c>
      <c r="N6869" t="str">
        <f>"12/3/2012 4:24:00 PM"</f>
        <v>12/3/2012 4:24:00 PM</v>
      </c>
      <c r="O6869" t="s">
        <v>20876</v>
      </c>
    </row>
    <row r="6870" spans="1:20" x14ac:dyDescent="0.25">
      <c r="A6870" t="str">
        <f>"3045158"</f>
        <v>3045158</v>
      </c>
      <c r="B6870" t="s">
        <v>20878</v>
      </c>
      <c r="C6870" t="str">
        <f>"8301621"</f>
        <v>8301621</v>
      </c>
      <c r="D6870" t="s">
        <v>20879</v>
      </c>
      <c r="E6870" t="s">
        <v>20880</v>
      </c>
      <c r="F6870" t="s">
        <v>20881</v>
      </c>
      <c r="I6870" t="s">
        <v>29</v>
      </c>
      <c r="J6870" t="s">
        <v>30</v>
      </c>
      <c r="K6870" t="str">
        <f>"27028"</f>
        <v>27028</v>
      </c>
      <c r="M6870" t="s">
        <v>17861</v>
      </c>
      <c r="N6870" t="str">
        <f>"12/3/2012 4:27:00 PM"</f>
        <v>12/3/2012 4:27:00 PM</v>
      </c>
      <c r="O6870" t="s">
        <v>20879</v>
      </c>
      <c r="T6870" t="s">
        <v>20880</v>
      </c>
    </row>
    <row r="6871" spans="1:20" x14ac:dyDescent="0.25">
      <c r="A6871" t="str">
        <f>"3045459"</f>
        <v>3045459</v>
      </c>
      <c r="B6871" t="s">
        <v>20882</v>
      </c>
      <c r="C6871" t="str">
        <f>"8301621"</f>
        <v>8301621</v>
      </c>
      <c r="D6871" t="s">
        <v>20879</v>
      </c>
      <c r="E6871" t="s">
        <v>20880</v>
      </c>
      <c r="F6871" t="s">
        <v>20881</v>
      </c>
      <c r="I6871" t="s">
        <v>29</v>
      </c>
      <c r="J6871" t="s">
        <v>30</v>
      </c>
      <c r="K6871" t="str">
        <f>"27028"</f>
        <v>27028</v>
      </c>
      <c r="M6871" t="s">
        <v>17861</v>
      </c>
      <c r="N6871" t="str">
        <f>"12/3/2012 4:27:00 PM"</f>
        <v>12/3/2012 4:27:00 PM</v>
      </c>
      <c r="O6871" t="s">
        <v>20879</v>
      </c>
      <c r="T6871" t="s">
        <v>20880</v>
      </c>
    </row>
    <row r="6872" spans="1:20" x14ac:dyDescent="0.25">
      <c r="A6872" t="str">
        <f>"3044751"</f>
        <v>3044751</v>
      </c>
      <c r="B6872" t="s">
        <v>20883</v>
      </c>
      <c r="C6872" t="str">
        <f>"8301626"</f>
        <v>8301626</v>
      </c>
      <c r="D6872" t="s">
        <v>20884</v>
      </c>
      <c r="E6872" t="s">
        <v>20885</v>
      </c>
      <c r="F6872" t="s">
        <v>20886</v>
      </c>
      <c r="I6872" t="s">
        <v>184</v>
      </c>
      <c r="J6872" t="s">
        <v>30</v>
      </c>
      <c r="K6872" t="str">
        <f>"27006"</f>
        <v>27006</v>
      </c>
      <c r="M6872" t="s">
        <v>17861</v>
      </c>
      <c r="N6872" t="str">
        <f>"12/3/2012 4:45:00 PM"</f>
        <v>12/3/2012 4:45:00 PM</v>
      </c>
      <c r="O6872" t="s">
        <v>20884</v>
      </c>
      <c r="T6872" t="s">
        <v>20885</v>
      </c>
    </row>
    <row r="6873" spans="1:20" x14ac:dyDescent="0.25">
      <c r="A6873" t="str">
        <f>"3047075"</f>
        <v>3047075</v>
      </c>
      <c r="B6873" t="s">
        <v>20887</v>
      </c>
      <c r="C6873" t="str">
        <f>"47044000"</f>
        <v>47044000</v>
      </c>
      <c r="D6873" t="s">
        <v>20741</v>
      </c>
      <c r="E6873" t="s">
        <v>20742</v>
      </c>
      <c r="F6873" t="s">
        <v>20743</v>
      </c>
      <c r="I6873" t="s">
        <v>29</v>
      </c>
      <c r="J6873" t="s">
        <v>30</v>
      </c>
      <c r="K6873" t="s">
        <v>20744</v>
      </c>
      <c r="M6873" t="s">
        <v>17861</v>
      </c>
      <c r="N6873" t="str">
        <f>"11/1/2012 9:01:00 AM"</f>
        <v>11/1/2012 9:01:00 AM</v>
      </c>
      <c r="O6873" t="s">
        <v>20741</v>
      </c>
      <c r="T6873" t="s">
        <v>20742</v>
      </c>
    </row>
    <row r="6874" spans="1:20" x14ac:dyDescent="0.25">
      <c r="A6874" t="str">
        <f>"3046590"</f>
        <v>3046590</v>
      </c>
      <c r="B6874" t="s">
        <v>20888</v>
      </c>
      <c r="C6874" t="str">
        <f>"47044000"</f>
        <v>47044000</v>
      </c>
      <c r="D6874" t="s">
        <v>20741</v>
      </c>
      <c r="E6874" t="s">
        <v>20742</v>
      </c>
      <c r="F6874" t="s">
        <v>20743</v>
      </c>
      <c r="I6874" t="s">
        <v>29</v>
      </c>
      <c r="J6874" t="s">
        <v>30</v>
      </c>
      <c r="K6874" t="s">
        <v>20744</v>
      </c>
      <c r="M6874" t="s">
        <v>17861</v>
      </c>
      <c r="N6874" t="str">
        <f>"11/1/2012 9:01:00 AM"</f>
        <v>11/1/2012 9:01:00 AM</v>
      </c>
      <c r="O6874" t="s">
        <v>20741</v>
      </c>
      <c r="T6874" t="s">
        <v>20742</v>
      </c>
    </row>
    <row r="6875" spans="1:20" x14ac:dyDescent="0.25">
      <c r="A6875" t="str">
        <f>"3077965"</f>
        <v>3077965</v>
      </c>
      <c r="B6875" t="s">
        <v>20889</v>
      </c>
      <c r="C6875" t="str">
        <f>"47044000"</f>
        <v>47044000</v>
      </c>
      <c r="D6875" t="s">
        <v>20741</v>
      </c>
      <c r="E6875" t="s">
        <v>20742</v>
      </c>
      <c r="F6875" t="s">
        <v>20743</v>
      </c>
      <c r="I6875" t="s">
        <v>29</v>
      </c>
      <c r="J6875" t="s">
        <v>30</v>
      </c>
      <c r="K6875" t="s">
        <v>20744</v>
      </c>
      <c r="M6875" t="s">
        <v>17861</v>
      </c>
      <c r="N6875" t="str">
        <f>"11/1/2012 9:01:00 AM"</f>
        <v>11/1/2012 9:01:00 AM</v>
      </c>
      <c r="O6875" t="s">
        <v>20741</v>
      </c>
      <c r="T6875" t="s">
        <v>20742</v>
      </c>
    </row>
    <row r="6876" spans="1:20" x14ac:dyDescent="0.25">
      <c r="A6876" t="str">
        <f>"3055490"</f>
        <v>3055490</v>
      </c>
      <c r="B6876" t="s">
        <v>20890</v>
      </c>
      <c r="C6876" t="str">
        <f>"8301530"</f>
        <v>8301530</v>
      </c>
      <c r="D6876" t="s">
        <v>20891</v>
      </c>
      <c r="E6876" t="s">
        <v>20892</v>
      </c>
      <c r="F6876" t="s">
        <v>20893</v>
      </c>
      <c r="I6876" t="s">
        <v>29</v>
      </c>
      <c r="J6876" t="s">
        <v>30</v>
      </c>
      <c r="K6876" t="str">
        <f>"27028"</f>
        <v>27028</v>
      </c>
      <c r="M6876" t="s">
        <v>17861</v>
      </c>
      <c r="N6876" t="str">
        <f>"11/1/2012 11:27:00 AM"</f>
        <v>11/1/2012 11:27:00 AM</v>
      </c>
      <c r="O6876" t="s">
        <v>20891</v>
      </c>
      <c r="T6876" t="s">
        <v>20892</v>
      </c>
    </row>
    <row r="6877" spans="1:20" x14ac:dyDescent="0.25">
      <c r="A6877" t="str">
        <f>"3055243"</f>
        <v>3055243</v>
      </c>
      <c r="B6877" t="s">
        <v>20894</v>
      </c>
      <c r="C6877" t="str">
        <f>"8301535"</f>
        <v>8301535</v>
      </c>
      <c r="D6877" t="s">
        <v>20895</v>
      </c>
      <c r="E6877" t="s">
        <v>20896</v>
      </c>
      <c r="F6877" t="s">
        <v>20897</v>
      </c>
      <c r="I6877" t="s">
        <v>29</v>
      </c>
      <c r="J6877" t="s">
        <v>30</v>
      </c>
      <c r="K6877" t="str">
        <f>"27028"</f>
        <v>27028</v>
      </c>
      <c r="M6877" t="s">
        <v>17861</v>
      </c>
      <c r="N6877" t="str">
        <f>"11/1/2012 3:01:00 PM"</f>
        <v>11/1/2012 3:01:00 PM</v>
      </c>
      <c r="O6877" t="s">
        <v>20895</v>
      </c>
      <c r="T6877" t="s">
        <v>20896</v>
      </c>
    </row>
    <row r="6878" spans="1:20" x14ac:dyDescent="0.25">
      <c r="A6878" t="str">
        <f>"3059228"</f>
        <v>3059228</v>
      </c>
      <c r="B6878" t="s">
        <v>20898</v>
      </c>
      <c r="C6878" t="str">
        <f>"8301549"</f>
        <v>8301549</v>
      </c>
      <c r="D6878" t="s">
        <v>20899</v>
      </c>
      <c r="E6878" t="s">
        <v>20900</v>
      </c>
      <c r="F6878" t="s">
        <v>20901</v>
      </c>
      <c r="I6878" t="s">
        <v>184</v>
      </c>
      <c r="J6878" t="s">
        <v>30</v>
      </c>
      <c r="K6878" t="str">
        <f>"27006"</f>
        <v>27006</v>
      </c>
      <c r="M6878" t="s">
        <v>17861</v>
      </c>
      <c r="N6878" t="str">
        <f>"11/5/2012 3:57:00 PM"</f>
        <v>11/5/2012 3:57:00 PM</v>
      </c>
      <c r="O6878" t="s">
        <v>20899</v>
      </c>
      <c r="T6878" t="s">
        <v>20900</v>
      </c>
    </row>
    <row r="6879" spans="1:20" x14ac:dyDescent="0.25">
      <c r="A6879" t="str">
        <f>"3050018"</f>
        <v>3050018</v>
      </c>
      <c r="B6879" t="s">
        <v>20902</v>
      </c>
      <c r="C6879" t="str">
        <f>"61796000"</f>
        <v>61796000</v>
      </c>
      <c r="D6879" t="s">
        <v>20758</v>
      </c>
      <c r="E6879" t="s">
        <v>20759</v>
      </c>
      <c r="F6879" t="s">
        <v>20760</v>
      </c>
      <c r="I6879" t="s">
        <v>29</v>
      </c>
      <c r="J6879" t="s">
        <v>30</v>
      </c>
      <c r="K6879" t="s">
        <v>31</v>
      </c>
      <c r="M6879" t="s">
        <v>18470</v>
      </c>
      <c r="N6879" t="str">
        <f>"11/6/2012 12:48:00 PM"</f>
        <v>11/6/2012 12:48:00 PM</v>
      </c>
      <c r="O6879" t="s">
        <v>20758</v>
      </c>
      <c r="T6879" t="s">
        <v>20759</v>
      </c>
    </row>
    <row r="6880" spans="1:20" x14ac:dyDescent="0.25">
      <c r="A6880" t="str">
        <f>"3049994"</f>
        <v>3049994</v>
      </c>
      <c r="B6880" t="s">
        <v>20903</v>
      </c>
      <c r="C6880" t="str">
        <f>"78112000"</f>
        <v>78112000</v>
      </c>
      <c r="D6880" t="s">
        <v>20778</v>
      </c>
      <c r="F6880" t="s">
        <v>20779</v>
      </c>
      <c r="I6880" t="s">
        <v>29</v>
      </c>
      <c r="J6880" t="s">
        <v>30</v>
      </c>
      <c r="K6880" t="s">
        <v>20780</v>
      </c>
      <c r="M6880" t="s">
        <v>18470</v>
      </c>
      <c r="N6880" t="str">
        <f>"11/7/2012 9:39:00 AM"</f>
        <v>11/7/2012 9:39:00 AM</v>
      </c>
      <c r="O6880" t="s">
        <v>20778</v>
      </c>
    </row>
    <row r="6881" spans="1:20" x14ac:dyDescent="0.25">
      <c r="A6881" t="str">
        <f>"3042743"</f>
        <v>3042743</v>
      </c>
      <c r="B6881" t="s">
        <v>20904</v>
      </c>
      <c r="C6881" t="str">
        <f>"8301556"</f>
        <v>8301556</v>
      </c>
      <c r="D6881" t="s">
        <v>20905</v>
      </c>
      <c r="F6881" t="s">
        <v>20906</v>
      </c>
      <c r="I6881" t="s">
        <v>29</v>
      </c>
      <c r="J6881" t="s">
        <v>30</v>
      </c>
      <c r="K6881" t="str">
        <f>"27028"</f>
        <v>27028</v>
      </c>
      <c r="M6881" t="s">
        <v>17861</v>
      </c>
      <c r="N6881" t="str">
        <f>"11/13/2012 3:17:00 PM"</f>
        <v>11/13/2012 3:17:00 PM</v>
      </c>
      <c r="O6881" t="s">
        <v>20905</v>
      </c>
    </row>
    <row r="6882" spans="1:20" x14ac:dyDescent="0.25">
      <c r="A6882" t="str">
        <f>"3047530"</f>
        <v>3047530</v>
      </c>
      <c r="B6882" t="s">
        <v>20907</v>
      </c>
      <c r="C6882" t="str">
        <f>"8301557"</f>
        <v>8301557</v>
      </c>
      <c r="D6882" t="s">
        <v>20788</v>
      </c>
      <c r="F6882" t="s">
        <v>20789</v>
      </c>
      <c r="I6882" t="s">
        <v>184</v>
      </c>
      <c r="J6882" t="s">
        <v>30</v>
      </c>
      <c r="K6882" t="str">
        <f>"27006"</f>
        <v>27006</v>
      </c>
      <c r="M6882" t="s">
        <v>17861</v>
      </c>
      <c r="N6882" t="str">
        <f>"11/13/2012 3:21:00 PM"</f>
        <v>11/13/2012 3:21:00 PM</v>
      </c>
      <c r="O6882" t="s">
        <v>20788</v>
      </c>
    </row>
    <row r="6883" spans="1:20" x14ac:dyDescent="0.25">
      <c r="A6883" t="str">
        <f>"3048011"</f>
        <v>3048011</v>
      </c>
      <c r="B6883" t="s">
        <v>20908</v>
      </c>
      <c r="C6883" t="str">
        <f>"8301557"</f>
        <v>8301557</v>
      </c>
      <c r="D6883" t="s">
        <v>20788</v>
      </c>
      <c r="F6883" t="s">
        <v>20789</v>
      </c>
      <c r="I6883" t="s">
        <v>184</v>
      </c>
      <c r="J6883" t="s">
        <v>30</v>
      </c>
      <c r="K6883" t="str">
        <f>"27006"</f>
        <v>27006</v>
      </c>
      <c r="M6883" t="s">
        <v>17861</v>
      </c>
      <c r="N6883" t="str">
        <f>"11/13/2012 3:21:00 PM"</f>
        <v>11/13/2012 3:21:00 PM</v>
      </c>
      <c r="O6883" t="s">
        <v>20788</v>
      </c>
    </row>
    <row r="6884" spans="1:20" x14ac:dyDescent="0.25">
      <c r="A6884" t="str">
        <f>"3042614"</f>
        <v>3042614</v>
      </c>
      <c r="B6884" t="s">
        <v>20909</v>
      </c>
      <c r="C6884" t="str">
        <f>"8301574"</f>
        <v>8301574</v>
      </c>
      <c r="D6884" t="s">
        <v>20910</v>
      </c>
      <c r="E6884" t="s">
        <v>20911</v>
      </c>
      <c r="F6884" t="s">
        <v>20912</v>
      </c>
      <c r="I6884" t="s">
        <v>29</v>
      </c>
      <c r="J6884" t="s">
        <v>30</v>
      </c>
      <c r="K6884" t="str">
        <f>"27028"</f>
        <v>27028</v>
      </c>
      <c r="M6884" t="s">
        <v>17861</v>
      </c>
      <c r="N6884" t="str">
        <f>"11/14/2012 4:49:00 PM"</f>
        <v>11/14/2012 4:49:00 PM</v>
      </c>
      <c r="O6884" t="s">
        <v>20910</v>
      </c>
      <c r="T6884" t="s">
        <v>20911</v>
      </c>
    </row>
    <row r="6885" spans="1:20" x14ac:dyDescent="0.25">
      <c r="A6885" t="str">
        <f>"3061417"</f>
        <v>3061417</v>
      </c>
      <c r="B6885" t="s">
        <v>20913</v>
      </c>
      <c r="C6885" t="str">
        <f>"8301577"</f>
        <v>8301577</v>
      </c>
      <c r="D6885" t="s">
        <v>20914</v>
      </c>
      <c r="E6885" t="s">
        <v>20915</v>
      </c>
      <c r="F6885" t="s">
        <v>20916</v>
      </c>
      <c r="I6885" t="s">
        <v>184</v>
      </c>
      <c r="J6885" t="s">
        <v>30</v>
      </c>
      <c r="K6885" t="str">
        <f>"27006"</f>
        <v>27006</v>
      </c>
      <c r="M6885" t="s">
        <v>17861</v>
      </c>
      <c r="N6885" t="str">
        <f>"11/20/2012 11:02:00 AM"</f>
        <v>11/20/2012 11:02:00 AM</v>
      </c>
      <c r="O6885" t="s">
        <v>20914</v>
      </c>
      <c r="T6885" t="s">
        <v>20915</v>
      </c>
    </row>
    <row r="6886" spans="1:20" x14ac:dyDescent="0.25">
      <c r="A6886" t="str">
        <f>"3077012"</f>
        <v>3077012</v>
      </c>
      <c r="B6886" t="s">
        <v>20917</v>
      </c>
      <c r="C6886" t="str">
        <f>"82519674"</f>
        <v>82519674</v>
      </c>
      <c r="D6886" t="s">
        <v>20918</v>
      </c>
      <c r="F6886" t="s">
        <v>20919</v>
      </c>
      <c r="I6886" t="s">
        <v>29</v>
      </c>
      <c r="J6886" t="s">
        <v>30</v>
      </c>
      <c r="K6886" t="s">
        <v>31</v>
      </c>
      <c r="M6886" t="s">
        <v>18577</v>
      </c>
      <c r="N6886" t="str">
        <f>"12/11/2012 8:52:00 AM"</f>
        <v>12/11/2012 8:52:00 AM</v>
      </c>
      <c r="O6886" t="s">
        <v>20918</v>
      </c>
    </row>
    <row r="6887" spans="1:20" x14ac:dyDescent="0.25">
      <c r="A6887" t="str">
        <f>"3055672"</f>
        <v>3055672</v>
      </c>
      <c r="B6887" t="s">
        <v>20920</v>
      </c>
      <c r="C6887" t="str">
        <f>"82514858"</f>
        <v>82514858</v>
      </c>
      <c r="D6887" t="s">
        <v>20827</v>
      </c>
      <c r="F6887" t="s">
        <v>20828</v>
      </c>
      <c r="I6887" t="s">
        <v>9580</v>
      </c>
      <c r="J6887" t="s">
        <v>30</v>
      </c>
      <c r="K6887" t="s">
        <v>20829</v>
      </c>
      <c r="M6887" t="s">
        <v>17861</v>
      </c>
      <c r="N6887" t="str">
        <f>"11/21/2012 9:26:00 AM"</f>
        <v>11/21/2012 9:26:00 AM</v>
      </c>
      <c r="O6887" t="s">
        <v>20827</v>
      </c>
    </row>
    <row r="6888" spans="1:20" x14ac:dyDescent="0.25">
      <c r="A6888" t="str">
        <f>"3055875"</f>
        <v>3055875</v>
      </c>
      <c r="B6888" t="s">
        <v>20921</v>
      </c>
      <c r="C6888" t="str">
        <f>"82514858"</f>
        <v>82514858</v>
      </c>
      <c r="D6888" t="s">
        <v>20827</v>
      </c>
      <c r="F6888" t="s">
        <v>20828</v>
      </c>
      <c r="I6888" t="s">
        <v>9580</v>
      </c>
      <c r="J6888" t="s">
        <v>30</v>
      </c>
      <c r="K6888" t="s">
        <v>20829</v>
      </c>
      <c r="M6888" t="s">
        <v>17861</v>
      </c>
      <c r="N6888" t="str">
        <f>"11/21/2012 9:26:00 AM"</f>
        <v>11/21/2012 9:26:00 AM</v>
      </c>
      <c r="O6888" t="s">
        <v>20827</v>
      </c>
    </row>
    <row r="6889" spans="1:20" x14ac:dyDescent="0.25">
      <c r="A6889" t="str">
        <f>"3056248"</f>
        <v>3056248</v>
      </c>
      <c r="B6889" t="s">
        <v>20922</v>
      </c>
      <c r="C6889" t="str">
        <f>"82514858"</f>
        <v>82514858</v>
      </c>
      <c r="D6889" t="s">
        <v>20827</v>
      </c>
      <c r="F6889" t="s">
        <v>20828</v>
      </c>
      <c r="I6889" t="s">
        <v>9580</v>
      </c>
      <c r="J6889" t="s">
        <v>30</v>
      </c>
      <c r="K6889" t="s">
        <v>20829</v>
      </c>
      <c r="M6889" t="s">
        <v>17861</v>
      </c>
      <c r="N6889" t="str">
        <f>"11/21/2012 9:26:00 AM"</f>
        <v>11/21/2012 9:26:00 AM</v>
      </c>
      <c r="O6889" t="s">
        <v>20827</v>
      </c>
    </row>
    <row r="6890" spans="1:20" x14ac:dyDescent="0.25">
      <c r="A6890" t="str">
        <f>"3053434"</f>
        <v>3053434</v>
      </c>
      <c r="B6890" t="s">
        <v>20923</v>
      </c>
      <c r="C6890" t="str">
        <f>"8301591"</f>
        <v>8301591</v>
      </c>
      <c r="D6890" t="s">
        <v>20924</v>
      </c>
      <c r="E6890" t="s">
        <v>20925</v>
      </c>
      <c r="F6890" t="s">
        <v>20926</v>
      </c>
      <c r="I6890" t="s">
        <v>29</v>
      </c>
      <c r="J6890" t="s">
        <v>30</v>
      </c>
      <c r="K6890" t="str">
        <f>"27028"</f>
        <v>27028</v>
      </c>
      <c r="M6890" t="s">
        <v>17861</v>
      </c>
      <c r="N6890" t="str">
        <f>"11/21/2012 11:04:00 AM"</f>
        <v>11/21/2012 11:04:00 AM</v>
      </c>
      <c r="O6890" t="s">
        <v>20924</v>
      </c>
      <c r="T6890" t="s">
        <v>20925</v>
      </c>
    </row>
    <row r="6891" spans="1:20" x14ac:dyDescent="0.25">
      <c r="A6891" t="str">
        <f>"3052497"</f>
        <v>3052497</v>
      </c>
      <c r="B6891" t="s">
        <v>20927</v>
      </c>
      <c r="C6891" t="str">
        <f>"82522799"</f>
        <v>82522799</v>
      </c>
      <c r="D6891" t="s">
        <v>20928</v>
      </c>
      <c r="F6891" t="s">
        <v>20929</v>
      </c>
      <c r="I6891" t="s">
        <v>29</v>
      </c>
      <c r="J6891" t="s">
        <v>30</v>
      </c>
      <c r="K6891" t="s">
        <v>20930</v>
      </c>
      <c r="M6891" t="s">
        <v>20405</v>
      </c>
      <c r="N6891" t="str">
        <f>"11/26/2012 12:23:00 PM"</f>
        <v>11/26/2012 12:23:00 PM</v>
      </c>
      <c r="O6891" t="s">
        <v>20928</v>
      </c>
    </row>
    <row r="6892" spans="1:20" x14ac:dyDescent="0.25">
      <c r="A6892" t="str">
        <f>"3053817"</f>
        <v>3053817</v>
      </c>
      <c r="B6892" t="s">
        <v>20931</v>
      </c>
      <c r="C6892" t="str">
        <f>"8301601"</f>
        <v>8301601</v>
      </c>
      <c r="D6892" t="s">
        <v>20932</v>
      </c>
      <c r="E6892" t="s">
        <v>20933</v>
      </c>
      <c r="F6892" t="s">
        <v>20934</v>
      </c>
      <c r="I6892" t="s">
        <v>29</v>
      </c>
      <c r="J6892" t="s">
        <v>30</v>
      </c>
      <c r="K6892" t="str">
        <f>"27028"</f>
        <v>27028</v>
      </c>
      <c r="M6892" t="s">
        <v>17861</v>
      </c>
      <c r="N6892" t="str">
        <f>"11/27/2012 4:40:00 PM"</f>
        <v>11/27/2012 4:40:00 PM</v>
      </c>
      <c r="O6892" t="s">
        <v>20932</v>
      </c>
      <c r="T6892" t="s">
        <v>20933</v>
      </c>
    </row>
    <row r="6893" spans="1:20" x14ac:dyDescent="0.25">
      <c r="A6893" t="str">
        <f>"3052125"</f>
        <v>3052125</v>
      </c>
      <c r="B6893" t="s">
        <v>20935</v>
      </c>
      <c r="C6893" t="str">
        <f>"8301433"</f>
        <v>8301433</v>
      </c>
      <c r="D6893" t="s">
        <v>20936</v>
      </c>
      <c r="F6893" t="s">
        <v>20937</v>
      </c>
      <c r="G6893" t="s">
        <v>20938</v>
      </c>
      <c r="I6893" t="s">
        <v>184</v>
      </c>
      <c r="J6893" t="s">
        <v>30</v>
      </c>
      <c r="K6893" t="str">
        <f>"27006"</f>
        <v>27006</v>
      </c>
      <c r="M6893" t="s">
        <v>17861</v>
      </c>
      <c r="N6893" t="str">
        <f>"11/28/2012 3:40:00 PM"</f>
        <v>11/28/2012 3:40:00 PM</v>
      </c>
      <c r="O6893" t="s">
        <v>20936</v>
      </c>
    </row>
    <row r="6894" spans="1:20" x14ac:dyDescent="0.25">
      <c r="A6894" t="str">
        <f>"3051776"</f>
        <v>3051776</v>
      </c>
      <c r="B6894" t="s">
        <v>20939</v>
      </c>
      <c r="C6894" t="str">
        <f>"8301433"</f>
        <v>8301433</v>
      </c>
      <c r="D6894" t="s">
        <v>20936</v>
      </c>
      <c r="F6894" t="s">
        <v>20937</v>
      </c>
      <c r="G6894" t="s">
        <v>20938</v>
      </c>
      <c r="I6894" t="s">
        <v>184</v>
      </c>
      <c r="J6894" t="s">
        <v>30</v>
      </c>
      <c r="K6894" t="str">
        <f>"27006"</f>
        <v>27006</v>
      </c>
      <c r="M6894" t="s">
        <v>17861</v>
      </c>
      <c r="N6894" t="str">
        <f>"11/28/2012 3:40:00 PM"</f>
        <v>11/28/2012 3:40:00 PM</v>
      </c>
      <c r="O6894" t="s">
        <v>20936</v>
      </c>
    </row>
    <row r="6895" spans="1:20" x14ac:dyDescent="0.25">
      <c r="A6895" t="str">
        <f>"3037735"</f>
        <v>3037735</v>
      </c>
      <c r="B6895" t="s">
        <v>20940</v>
      </c>
      <c r="C6895" t="str">
        <f>"82517399"</f>
        <v>82517399</v>
      </c>
      <c r="D6895" t="s">
        <v>20941</v>
      </c>
      <c r="F6895" t="s">
        <v>20942</v>
      </c>
      <c r="I6895" t="s">
        <v>29</v>
      </c>
      <c r="J6895" t="s">
        <v>30</v>
      </c>
      <c r="K6895" t="s">
        <v>31</v>
      </c>
      <c r="M6895" t="s">
        <v>18432</v>
      </c>
      <c r="N6895" t="str">
        <f>"11/30/2012 2:15:00 PM"</f>
        <v>11/30/2012 2:15:00 PM</v>
      </c>
      <c r="O6895" t="s">
        <v>20941</v>
      </c>
    </row>
    <row r="6896" spans="1:20" x14ac:dyDescent="0.25">
      <c r="A6896" t="str">
        <f>"3039968"</f>
        <v>3039968</v>
      </c>
      <c r="B6896" t="s">
        <v>20943</v>
      </c>
      <c r="C6896" t="str">
        <f>"8301610"</f>
        <v>8301610</v>
      </c>
      <c r="D6896" t="s">
        <v>20944</v>
      </c>
      <c r="F6896" t="s">
        <v>912</v>
      </c>
      <c r="I6896" t="s">
        <v>29</v>
      </c>
      <c r="J6896" t="s">
        <v>30</v>
      </c>
      <c r="K6896" t="str">
        <f>"27028"</f>
        <v>27028</v>
      </c>
      <c r="M6896" t="s">
        <v>17861</v>
      </c>
      <c r="N6896" t="str">
        <f>"12/3/2012 9:41:00 AM"</f>
        <v>12/3/2012 9:41:00 AM</v>
      </c>
      <c r="O6896" t="s">
        <v>20944</v>
      </c>
    </row>
    <row r="6897" spans="1:20" x14ac:dyDescent="0.25">
      <c r="A6897" t="str">
        <f>"3060442"</f>
        <v>3060442</v>
      </c>
      <c r="B6897" t="s">
        <v>20945</v>
      </c>
      <c r="C6897" t="str">
        <f>"8301655"</f>
        <v>8301655</v>
      </c>
      <c r="D6897" t="s">
        <v>20946</v>
      </c>
      <c r="F6897" t="s">
        <v>20947</v>
      </c>
      <c r="I6897" t="s">
        <v>20948</v>
      </c>
      <c r="J6897" t="s">
        <v>12725</v>
      </c>
      <c r="K6897" t="s">
        <v>20949</v>
      </c>
      <c r="M6897" t="s">
        <v>17861</v>
      </c>
      <c r="N6897" t="str">
        <f>"12/12/2012 3:58:00 PM"</f>
        <v>12/12/2012 3:58:00 PM</v>
      </c>
      <c r="O6897" t="s">
        <v>20946</v>
      </c>
    </row>
    <row r="6898" spans="1:20" x14ac:dyDescent="0.25">
      <c r="A6898" t="str">
        <f>"3060737"</f>
        <v>3060737</v>
      </c>
      <c r="B6898" t="s">
        <v>20950</v>
      </c>
      <c r="C6898" t="str">
        <f>"8301657"</f>
        <v>8301657</v>
      </c>
      <c r="D6898" t="s">
        <v>20951</v>
      </c>
      <c r="F6898" t="s">
        <v>20952</v>
      </c>
      <c r="I6898" t="s">
        <v>2071</v>
      </c>
      <c r="J6898" t="s">
        <v>30</v>
      </c>
      <c r="K6898" t="str">
        <f>"27006"</f>
        <v>27006</v>
      </c>
      <c r="M6898" t="s">
        <v>17861</v>
      </c>
      <c r="N6898" t="str">
        <f>"12/12/2012 4:25:00 PM"</f>
        <v>12/12/2012 4:25:00 PM</v>
      </c>
      <c r="O6898" t="s">
        <v>20951</v>
      </c>
    </row>
    <row r="6899" spans="1:20" x14ac:dyDescent="0.25">
      <c r="A6899" t="str">
        <f>"3054233"</f>
        <v>3054233</v>
      </c>
      <c r="B6899" t="s">
        <v>20953</v>
      </c>
      <c r="C6899" t="str">
        <f>"8301616"</f>
        <v>8301616</v>
      </c>
      <c r="D6899" t="s">
        <v>20954</v>
      </c>
      <c r="F6899" t="s">
        <v>20955</v>
      </c>
      <c r="I6899" t="s">
        <v>29</v>
      </c>
      <c r="J6899" t="s">
        <v>30</v>
      </c>
      <c r="K6899" t="str">
        <f>"27028"</f>
        <v>27028</v>
      </c>
      <c r="M6899" t="s">
        <v>17861</v>
      </c>
      <c r="N6899" t="str">
        <f>"12/3/2012 4:06:00 PM"</f>
        <v>12/3/2012 4:06:00 PM</v>
      </c>
      <c r="O6899" t="s">
        <v>20954</v>
      </c>
    </row>
    <row r="6900" spans="1:20" x14ac:dyDescent="0.25">
      <c r="A6900" t="str">
        <f>"3046122"</f>
        <v>3046122</v>
      </c>
      <c r="B6900" t="s">
        <v>20956</v>
      </c>
      <c r="C6900" t="str">
        <f>"52235000"</f>
        <v>52235000</v>
      </c>
      <c r="D6900" t="s">
        <v>20957</v>
      </c>
      <c r="E6900" t="s">
        <v>20958</v>
      </c>
      <c r="F6900" t="s">
        <v>20959</v>
      </c>
      <c r="I6900" t="s">
        <v>29</v>
      </c>
      <c r="J6900" t="s">
        <v>30</v>
      </c>
      <c r="K6900" t="s">
        <v>31</v>
      </c>
      <c r="M6900" t="s">
        <v>18577</v>
      </c>
      <c r="N6900" t="str">
        <f>"12/17/2012 10:27:00 AM"</f>
        <v>12/17/2012 10:27:00 AM</v>
      </c>
      <c r="O6900" t="s">
        <v>20957</v>
      </c>
      <c r="T6900" t="s">
        <v>20958</v>
      </c>
    </row>
    <row r="6901" spans="1:20" x14ac:dyDescent="0.25">
      <c r="A6901" t="str">
        <f>"3055194"</f>
        <v>3055194</v>
      </c>
      <c r="B6901" t="s">
        <v>20960</v>
      </c>
      <c r="C6901" t="str">
        <f>"82523628"</f>
        <v>82523628</v>
      </c>
      <c r="D6901" t="s">
        <v>20961</v>
      </c>
      <c r="F6901" t="s">
        <v>20962</v>
      </c>
      <c r="I6901" t="s">
        <v>29</v>
      </c>
      <c r="J6901" t="s">
        <v>30</v>
      </c>
      <c r="K6901" t="s">
        <v>20963</v>
      </c>
      <c r="M6901" t="s">
        <v>20405</v>
      </c>
      <c r="N6901" t="str">
        <f>"12/6/2012 10:34:00 AM"</f>
        <v>12/6/2012 10:34:00 AM</v>
      </c>
      <c r="O6901" t="s">
        <v>20961</v>
      </c>
    </row>
    <row r="6902" spans="1:20" x14ac:dyDescent="0.25">
      <c r="A6902" t="str">
        <f>"3051426"</f>
        <v>3051426</v>
      </c>
      <c r="B6902" t="s">
        <v>20964</v>
      </c>
      <c r="C6902" t="str">
        <f>"82521700"</f>
        <v>82521700</v>
      </c>
      <c r="D6902" t="s">
        <v>20965</v>
      </c>
      <c r="E6902" t="s">
        <v>20966</v>
      </c>
      <c r="F6902" t="s">
        <v>20967</v>
      </c>
      <c r="I6902" t="s">
        <v>29</v>
      </c>
      <c r="J6902" t="s">
        <v>30</v>
      </c>
      <c r="K6902" t="s">
        <v>31</v>
      </c>
      <c r="M6902" t="s">
        <v>18577</v>
      </c>
      <c r="N6902" t="str">
        <f>"12/10/2012 1:00:00 PM"</f>
        <v>12/10/2012 1:00:00 PM</v>
      </c>
      <c r="O6902" t="s">
        <v>20965</v>
      </c>
      <c r="T6902" t="s">
        <v>20966</v>
      </c>
    </row>
    <row r="6903" spans="1:20" x14ac:dyDescent="0.25">
      <c r="A6903" t="str">
        <f>"3038600"</f>
        <v>3038600</v>
      </c>
      <c r="B6903" t="s">
        <v>20968</v>
      </c>
      <c r="C6903" t="str">
        <f>"8301672"</f>
        <v>8301672</v>
      </c>
      <c r="D6903" t="s">
        <v>20969</v>
      </c>
      <c r="E6903" t="s">
        <v>20970</v>
      </c>
      <c r="F6903" t="s">
        <v>20971</v>
      </c>
      <c r="I6903" t="s">
        <v>29</v>
      </c>
      <c r="J6903" t="s">
        <v>30</v>
      </c>
      <c r="K6903" t="str">
        <f>"27028"</f>
        <v>27028</v>
      </c>
      <c r="M6903" t="s">
        <v>17861</v>
      </c>
      <c r="N6903" t="str">
        <f>"12/19/2012 10:36:00 AM"</f>
        <v>12/19/2012 10:36:00 AM</v>
      </c>
      <c r="O6903" t="s">
        <v>20969</v>
      </c>
      <c r="T6903" t="s">
        <v>20970</v>
      </c>
    </row>
    <row r="6904" spans="1:20" x14ac:dyDescent="0.25">
      <c r="A6904" t="str">
        <f>"3038496"</f>
        <v>3038496</v>
      </c>
      <c r="B6904" t="s">
        <v>20972</v>
      </c>
      <c r="C6904" t="str">
        <f>"82531258"</f>
        <v>82531258</v>
      </c>
      <c r="D6904" t="s">
        <v>20973</v>
      </c>
      <c r="F6904" t="s">
        <v>20974</v>
      </c>
      <c r="I6904" t="s">
        <v>471</v>
      </c>
      <c r="J6904" t="s">
        <v>30</v>
      </c>
      <c r="K6904" t="s">
        <v>472</v>
      </c>
      <c r="M6904" t="s">
        <v>18577</v>
      </c>
      <c r="N6904" t="str">
        <f>"12/10/2012 1:13:00 PM"</f>
        <v>12/10/2012 1:13:00 PM</v>
      </c>
      <c r="O6904" t="s">
        <v>20973</v>
      </c>
    </row>
    <row r="6905" spans="1:20" x14ac:dyDescent="0.25">
      <c r="A6905" t="str">
        <f>"3037956"</f>
        <v>3037956</v>
      </c>
      <c r="B6905" t="s">
        <v>20975</v>
      </c>
      <c r="C6905" t="str">
        <f>"23372000"</f>
        <v>23372000</v>
      </c>
      <c r="D6905" t="s">
        <v>20976</v>
      </c>
      <c r="F6905" t="s">
        <v>20974</v>
      </c>
      <c r="I6905" t="s">
        <v>471</v>
      </c>
      <c r="J6905" t="s">
        <v>30</v>
      </c>
      <c r="K6905" t="s">
        <v>472</v>
      </c>
      <c r="M6905" t="s">
        <v>18577</v>
      </c>
      <c r="N6905" t="str">
        <f>"12/10/2012 1:16:00 PM"</f>
        <v>12/10/2012 1:16:00 PM</v>
      </c>
      <c r="O6905" t="s">
        <v>20976</v>
      </c>
    </row>
    <row r="6906" spans="1:20" x14ac:dyDescent="0.25">
      <c r="A6906" t="str">
        <f>"3051884"</f>
        <v>3051884</v>
      </c>
      <c r="B6906" t="s">
        <v>20977</v>
      </c>
      <c r="C6906" t="str">
        <f>"308500"</f>
        <v>308500</v>
      </c>
      <c r="D6906" t="s">
        <v>20978</v>
      </c>
      <c r="F6906" t="s">
        <v>20979</v>
      </c>
      <c r="I6906" t="s">
        <v>20980</v>
      </c>
      <c r="J6906" t="s">
        <v>2109</v>
      </c>
      <c r="K6906" t="s">
        <v>20981</v>
      </c>
      <c r="M6906" t="s">
        <v>18577</v>
      </c>
      <c r="N6906" t="str">
        <f>"12/10/2012 4:04:00 PM"</f>
        <v>12/10/2012 4:04:00 PM</v>
      </c>
      <c r="O6906" t="s">
        <v>20978</v>
      </c>
    </row>
    <row r="6907" spans="1:20" x14ac:dyDescent="0.25">
      <c r="A6907" t="str">
        <f>"3048609"</f>
        <v>3048609</v>
      </c>
      <c r="B6907" t="s">
        <v>20982</v>
      </c>
      <c r="C6907" t="str">
        <f>"82528811"</f>
        <v>82528811</v>
      </c>
      <c r="D6907" t="s">
        <v>20983</v>
      </c>
      <c r="E6907" t="s">
        <v>20984</v>
      </c>
      <c r="F6907" t="s">
        <v>20985</v>
      </c>
      <c r="I6907" t="s">
        <v>184</v>
      </c>
      <c r="J6907" t="s">
        <v>30</v>
      </c>
      <c r="K6907" t="s">
        <v>185</v>
      </c>
      <c r="M6907" t="s">
        <v>18577</v>
      </c>
      <c r="N6907" t="str">
        <f>"12/10/2012 4:23:00 PM"</f>
        <v>12/10/2012 4:23:00 PM</v>
      </c>
      <c r="O6907" t="s">
        <v>20983</v>
      </c>
      <c r="T6907" t="s">
        <v>20984</v>
      </c>
    </row>
    <row r="6908" spans="1:20" x14ac:dyDescent="0.25">
      <c r="A6908" t="str">
        <f>"3050210"</f>
        <v>3050210</v>
      </c>
      <c r="B6908" t="s">
        <v>20986</v>
      </c>
      <c r="C6908" t="str">
        <f>"82519674"</f>
        <v>82519674</v>
      </c>
      <c r="D6908" t="s">
        <v>20918</v>
      </c>
      <c r="F6908" t="s">
        <v>20919</v>
      </c>
      <c r="I6908" t="s">
        <v>29</v>
      </c>
      <c r="J6908" t="s">
        <v>30</v>
      </c>
      <c r="K6908" t="s">
        <v>31</v>
      </c>
      <c r="M6908" t="s">
        <v>18577</v>
      </c>
      <c r="N6908" t="str">
        <f>"12/11/2012 8:52:00 AM"</f>
        <v>12/11/2012 8:52:00 AM</v>
      </c>
      <c r="O6908" t="s">
        <v>20918</v>
      </c>
    </row>
    <row r="6909" spans="1:20" x14ac:dyDescent="0.25">
      <c r="A6909" t="str">
        <f>"3043014"</f>
        <v>3043014</v>
      </c>
      <c r="B6909" t="s">
        <v>20987</v>
      </c>
      <c r="C6909" t="str">
        <f>"82519674"</f>
        <v>82519674</v>
      </c>
      <c r="D6909" t="s">
        <v>20918</v>
      </c>
      <c r="F6909" t="s">
        <v>20919</v>
      </c>
      <c r="I6909" t="s">
        <v>29</v>
      </c>
      <c r="J6909" t="s">
        <v>30</v>
      </c>
      <c r="K6909" t="s">
        <v>31</v>
      </c>
      <c r="M6909" t="s">
        <v>18577</v>
      </c>
      <c r="N6909" t="str">
        <f>"12/11/2012 8:52:00 AM"</f>
        <v>12/11/2012 8:52:00 AM</v>
      </c>
      <c r="O6909" t="s">
        <v>20918</v>
      </c>
    </row>
    <row r="6910" spans="1:20" x14ac:dyDescent="0.25">
      <c r="A6910" t="str">
        <f>"3055842"</f>
        <v>3055842</v>
      </c>
      <c r="B6910" t="s">
        <v>20988</v>
      </c>
      <c r="C6910" t="str">
        <f>"44420630"</f>
        <v>44420630</v>
      </c>
      <c r="D6910" t="s">
        <v>20989</v>
      </c>
      <c r="F6910" t="s">
        <v>20990</v>
      </c>
      <c r="I6910" t="s">
        <v>20991</v>
      </c>
      <c r="J6910" t="s">
        <v>12725</v>
      </c>
      <c r="K6910" t="s">
        <v>20992</v>
      </c>
      <c r="M6910" t="s">
        <v>18577</v>
      </c>
      <c r="N6910" t="str">
        <f>"12/11/2012 10:31:00 AM"</f>
        <v>12/11/2012 10:31:00 AM</v>
      </c>
      <c r="O6910" t="s">
        <v>20989</v>
      </c>
    </row>
    <row r="6911" spans="1:20" x14ac:dyDescent="0.25">
      <c r="A6911" t="str">
        <f>"3038092"</f>
        <v>3038092</v>
      </c>
      <c r="B6911" t="s">
        <v>20993</v>
      </c>
      <c r="C6911" t="str">
        <f>"8301688"</f>
        <v>8301688</v>
      </c>
      <c r="D6911" t="s">
        <v>20994</v>
      </c>
      <c r="F6911" t="s">
        <v>20995</v>
      </c>
      <c r="I6911" t="s">
        <v>49</v>
      </c>
      <c r="J6911" t="s">
        <v>30</v>
      </c>
      <c r="K6911" t="str">
        <f>"27055"</f>
        <v>27055</v>
      </c>
      <c r="M6911" t="s">
        <v>17861</v>
      </c>
      <c r="N6911" t="str">
        <f>"12/28/2012 2:50:00 PM"</f>
        <v>12/28/2012 2:50:00 PM</v>
      </c>
      <c r="O6911" t="s">
        <v>20994</v>
      </c>
    </row>
    <row r="6912" spans="1:20" x14ac:dyDescent="0.25">
      <c r="A6912" t="str">
        <f>"3039561"</f>
        <v>3039561</v>
      </c>
      <c r="B6912" t="s">
        <v>20996</v>
      </c>
      <c r="C6912" t="str">
        <f>"8301689"</f>
        <v>8301689</v>
      </c>
      <c r="D6912" t="s">
        <v>20997</v>
      </c>
      <c r="F6912" t="s">
        <v>20998</v>
      </c>
      <c r="I6912" t="s">
        <v>29</v>
      </c>
      <c r="J6912" t="s">
        <v>30</v>
      </c>
      <c r="K6912" t="str">
        <f>"27028"</f>
        <v>27028</v>
      </c>
      <c r="M6912" t="s">
        <v>17861</v>
      </c>
      <c r="N6912" t="str">
        <f>"12/28/2012 3:23:00 PM"</f>
        <v>12/28/2012 3:23:00 PM</v>
      </c>
      <c r="O6912" t="s">
        <v>20997</v>
      </c>
    </row>
    <row r="6913" spans="1:20" x14ac:dyDescent="0.25">
      <c r="A6913" t="str">
        <f>"3061001"</f>
        <v>3061001</v>
      </c>
      <c r="B6913" t="s">
        <v>20999</v>
      </c>
      <c r="C6913" t="str">
        <f>"8301695"</f>
        <v>8301695</v>
      </c>
      <c r="D6913" t="str">
        <f>"SMITH JOSEPH THOMAS/EDNA A"</f>
        <v>SMITH JOSEPH THOMAS/EDNA A</v>
      </c>
      <c r="E6913" t="s">
        <v>21000</v>
      </c>
      <c r="F6913" t="s">
        <v>21001</v>
      </c>
      <c r="I6913" t="s">
        <v>2071</v>
      </c>
      <c r="J6913" t="s">
        <v>30</v>
      </c>
      <c r="K6913" t="str">
        <f>"27006"</f>
        <v>27006</v>
      </c>
      <c r="M6913" t="s">
        <v>17861</v>
      </c>
      <c r="N6913" t="str">
        <f>"12/31/2012 10:19:00 AM"</f>
        <v>12/31/2012 10:19:00 AM</v>
      </c>
      <c r="O6913" t="str">
        <f>"SMITH JOSEPH THOMAS/EDNA A"</f>
        <v>SMITH JOSEPH THOMAS/EDNA A</v>
      </c>
      <c r="T6913" t="s">
        <v>21000</v>
      </c>
    </row>
    <row r="6914" spans="1:20" x14ac:dyDescent="0.25">
      <c r="A6914" t="str">
        <f>"3043376"</f>
        <v>3043376</v>
      </c>
      <c r="B6914" t="s">
        <v>21002</v>
      </c>
      <c r="C6914" t="str">
        <f>"44421300"</f>
        <v>44421300</v>
      </c>
      <c r="D6914" t="s">
        <v>21003</v>
      </c>
      <c r="E6914" t="s">
        <v>21004</v>
      </c>
      <c r="F6914" t="s">
        <v>20990</v>
      </c>
      <c r="I6914" t="s">
        <v>20991</v>
      </c>
      <c r="J6914" t="s">
        <v>12725</v>
      </c>
      <c r="K6914" t="s">
        <v>20992</v>
      </c>
      <c r="M6914" t="s">
        <v>18577</v>
      </c>
      <c r="N6914" t="str">
        <f>"12/11/2012 11:02:00 AM"</f>
        <v>12/11/2012 11:02:00 AM</v>
      </c>
      <c r="O6914" t="s">
        <v>21003</v>
      </c>
      <c r="T6914" t="s">
        <v>21004</v>
      </c>
    </row>
    <row r="6915" spans="1:20" x14ac:dyDescent="0.25">
      <c r="A6915" t="str">
        <f>"3050517"</f>
        <v>3050517</v>
      </c>
      <c r="B6915" t="s">
        <v>21005</v>
      </c>
      <c r="C6915" t="str">
        <f>"82519642"</f>
        <v>82519642</v>
      </c>
      <c r="D6915" t="s">
        <v>21006</v>
      </c>
      <c r="F6915" t="s">
        <v>21007</v>
      </c>
      <c r="I6915" t="s">
        <v>184</v>
      </c>
      <c r="J6915" t="s">
        <v>30</v>
      </c>
      <c r="K6915" t="s">
        <v>185</v>
      </c>
      <c r="M6915" t="s">
        <v>18577</v>
      </c>
      <c r="N6915" t="str">
        <f>"12/31/2012 12:44:00 PM"</f>
        <v>12/31/2012 12:44:00 PM</v>
      </c>
      <c r="O6915" t="s">
        <v>21006</v>
      </c>
    </row>
    <row r="6916" spans="1:20" x14ac:dyDescent="0.25">
      <c r="A6916" t="str">
        <f>"3042935"</f>
        <v>3042935</v>
      </c>
      <c r="B6916" t="s">
        <v>21008</v>
      </c>
      <c r="C6916" t="str">
        <f t="shared" ref="C6916:C6923" si="101">"8301704"</f>
        <v>8301704</v>
      </c>
      <c r="D6916" t="s">
        <v>21009</v>
      </c>
      <c r="F6916" t="s">
        <v>21010</v>
      </c>
      <c r="I6916" t="s">
        <v>49</v>
      </c>
      <c r="J6916" t="s">
        <v>30</v>
      </c>
      <c r="K6916" t="str">
        <f t="shared" ref="K6916:K6923" si="102">"27055"</f>
        <v>27055</v>
      </c>
      <c r="M6916" t="s">
        <v>17861</v>
      </c>
      <c r="N6916" t="str">
        <f t="shared" ref="N6916:N6923" si="103">"12/31/2012 1:56:00 PM"</f>
        <v>12/31/2012 1:56:00 PM</v>
      </c>
      <c r="O6916" t="s">
        <v>21009</v>
      </c>
    </row>
    <row r="6917" spans="1:20" x14ac:dyDescent="0.25">
      <c r="A6917" t="str">
        <f>"3037758"</f>
        <v>3037758</v>
      </c>
      <c r="B6917" t="s">
        <v>21011</v>
      </c>
      <c r="C6917" t="str">
        <f t="shared" si="101"/>
        <v>8301704</v>
      </c>
      <c r="D6917" t="s">
        <v>21009</v>
      </c>
      <c r="F6917" t="s">
        <v>21010</v>
      </c>
      <c r="I6917" t="s">
        <v>49</v>
      </c>
      <c r="J6917" t="s">
        <v>30</v>
      </c>
      <c r="K6917" t="str">
        <f t="shared" si="102"/>
        <v>27055</v>
      </c>
      <c r="M6917" t="s">
        <v>17861</v>
      </c>
      <c r="N6917" t="str">
        <f t="shared" si="103"/>
        <v>12/31/2012 1:56:00 PM</v>
      </c>
      <c r="O6917" t="s">
        <v>21009</v>
      </c>
    </row>
    <row r="6918" spans="1:20" x14ac:dyDescent="0.25">
      <c r="A6918" t="str">
        <f>"3037747"</f>
        <v>3037747</v>
      </c>
      <c r="B6918" t="s">
        <v>21012</v>
      </c>
      <c r="C6918" t="str">
        <f t="shared" si="101"/>
        <v>8301704</v>
      </c>
      <c r="D6918" t="s">
        <v>21009</v>
      </c>
      <c r="F6918" t="s">
        <v>21010</v>
      </c>
      <c r="I6918" t="s">
        <v>49</v>
      </c>
      <c r="J6918" t="s">
        <v>30</v>
      </c>
      <c r="K6918" t="str">
        <f t="shared" si="102"/>
        <v>27055</v>
      </c>
      <c r="M6918" t="s">
        <v>17861</v>
      </c>
      <c r="N6918" t="str">
        <f t="shared" si="103"/>
        <v>12/31/2012 1:56:00 PM</v>
      </c>
      <c r="O6918" t="s">
        <v>21009</v>
      </c>
    </row>
    <row r="6919" spans="1:20" x14ac:dyDescent="0.25">
      <c r="A6919" t="str">
        <f>"3037543"</f>
        <v>3037543</v>
      </c>
      <c r="B6919" t="s">
        <v>21013</v>
      </c>
      <c r="C6919" t="str">
        <f t="shared" si="101"/>
        <v>8301704</v>
      </c>
      <c r="D6919" t="s">
        <v>21009</v>
      </c>
      <c r="F6919" t="s">
        <v>21010</v>
      </c>
      <c r="I6919" t="s">
        <v>49</v>
      </c>
      <c r="J6919" t="s">
        <v>30</v>
      </c>
      <c r="K6919" t="str">
        <f t="shared" si="102"/>
        <v>27055</v>
      </c>
      <c r="M6919" t="s">
        <v>17861</v>
      </c>
      <c r="N6919" t="str">
        <f t="shared" si="103"/>
        <v>12/31/2012 1:56:00 PM</v>
      </c>
      <c r="O6919" t="s">
        <v>21009</v>
      </c>
    </row>
    <row r="6920" spans="1:20" x14ac:dyDescent="0.25">
      <c r="A6920" t="str">
        <f>"3037505"</f>
        <v>3037505</v>
      </c>
      <c r="B6920" t="s">
        <v>21014</v>
      </c>
      <c r="C6920" t="str">
        <f t="shared" si="101"/>
        <v>8301704</v>
      </c>
      <c r="D6920" t="s">
        <v>21009</v>
      </c>
      <c r="F6920" t="s">
        <v>21010</v>
      </c>
      <c r="I6920" t="s">
        <v>49</v>
      </c>
      <c r="J6920" t="s">
        <v>30</v>
      </c>
      <c r="K6920" t="str">
        <f t="shared" si="102"/>
        <v>27055</v>
      </c>
      <c r="M6920" t="s">
        <v>17861</v>
      </c>
      <c r="N6920" t="str">
        <f t="shared" si="103"/>
        <v>12/31/2012 1:56:00 PM</v>
      </c>
      <c r="O6920" t="s">
        <v>21009</v>
      </c>
    </row>
    <row r="6921" spans="1:20" x14ac:dyDescent="0.25">
      <c r="A6921" t="str">
        <f>"3037440"</f>
        <v>3037440</v>
      </c>
      <c r="B6921" t="s">
        <v>21015</v>
      </c>
      <c r="C6921" t="str">
        <f t="shared" si="101"/>
        <v>8301704</v>
      </c>
      <c r="D6921" t="s">
        <v>21009</v>
      </c>
      <c r="F6921" t="s">
        <v>21010</v>
      </c>
      <c r="I6921" t="s">
        <v>49</v>
      </c>
      <c r="J6921" t="s">
        <v>30</v>
      </c>
      <c r="K6921" t="str">
        <f t="shared" si="102"/>
        <v>27055</v>
      </c>
      <c r="M6921" t="s">
        <v>17861</v>
      </c>
      <c r="N6921" t="str">
        <f t="shared" si="103"/>
        <v>12/31/2012 1:56:00 PM</v>
      </c>
      <c r="O6921" t="s">
        <v>21009</v>
      </c>
    </row>
    <row r="6922" spans="1:20" x14ac:dyDescent="0.25">
      <c r="A6922" t="str">
        <f>"3042020"</f>
        <v>3042020</v>
      </c>
      <c r="B6922" t="s">
        <v>21016</v>
      </c>
      <c r="C6922" t="str">
        <f t="shared" si="101"/>
        <v>8301704</v>
      </c>
      <c r="D6922" t="s">
        <v>21009</v>
      </c>
      <c r="F6922" t="s">
        <v>21010</v>
      </c>
      <c r="I6922" t="s">
        <v>49</v>
      </c>
      <c r="J6922" t="s">
        <v>30</v>
      </c>
      <c r="K6922" t="str">
        <f t="shared" si="102"/>
        <v>27055</v>
      </c>
      <c r="M6922" t="s">
        <v>17861</v>
      </c>
      <c r="N6922" t="str">
        <f t="shared" si="103"/>
        <v>12/31/2012 1:56:00 PM</v>
      </c>
      <c r="O6922" t="s">
        <v>21009</v>
      </c>
    </row>
    <row r="6923" spans="1:20" x14ac:dyDescent="0.25">
      <c r="A6923" t="str">
        <f>"3042047"</f>
        <v>3042047</v>
      </c>
      <c r="B6923" t="s">
        <v>21017</v>
      </c>
      <c r="C6923" t="str">
        <f t="shared" si="101"/>
        <v>8301704</v>
      </c>
      <c r="D6923" t="s">
        <v>21009</v>
      </c>
      <c r="F6923" t="s">
        <v>21010</v>
      </c>
      <c r="I6923" t="s">
        <v>49</v>
      </c>
      <c r="J6923" t="s">
        <v>30</v>
      </c>
      <c r="K6923" t="str">
        <f t="shared" si="102"/>
        <v>27055</v>
      </c>
      <c r="M6923" t="s">
        <v>17861</v>
      </c>
      <c r="N6923" t="str">
        <f t="shared" si="103"/>
        <v>12/31/2012 1:56:00 PM</v>
      </c>
      <c r="O6923" t="s">
        <v>21009</v>
      </c>
    </row>
    <row r="6924" spans="1:20" x14ac:dyDescent="0.25">
      <c r="A6924" t="str">
        <f>"3039496"</f>
        <v>3039496</v>
      </c>
      <c r="B6924" t="s">
        <v>21018</v>
      </c>
      <c r="C6924" t="str">
        <f>"8301706"</f>
        <v>8301706</v>
      </c>
      <c r="D6924" t="s">
        <v>21019</v>
      </c>
      <c r="E6924" t="s">
        <v>21020</v>
      </c>
      <c r="F6924" t="s">
        <v>21021</v>
      </c>
      <c r="I6924" t="s">
        <v>184</v>
      </c>
      <c r="J6924" t="s">
        <v>30</v>
      </c>
      <c r="K6924" t="str">
        <f>"27006"</f>
        <v>27006</v>
      </c>
      <c r="M6924" t="s">
        <v>17861</v>
      </c>
      <c r="N6924" t="str">
        <f>"12/31/2012 3:05:00 PM"</f>
        <v>12/31/2012 3:05:00 PM</v>
      </c>
      <c r="O6924" t="s">
        <v>21019</v>
      </c>
      <c r="T6924" t="s">
        <v>21020</v>
      </c>
    </row>
    <row r="6925" spans="1:20" x14ac:dyDescent="0.25">
      <c r="A6925" t="str">
        <f>"3040630"</f>
        <v>3040630</v>
      </c>
      <c r="B6925" t="s">
        <v>21022</v>
      </c>
      <c r="C6925" t="str">
        <f>"8301707"</f>
        <v>8301707</v>
      </c>
      <c r="D6925" t="s">
        <v>21023</v>
      </c>
      <c r="F6925" t="s">
        <v>21024</v>
      </c>
      <c r="I6925" t="s">
        <v>184</v>
      </c>
      <c r="J6925" t="s">
        <v>30</v>
      </c>
      <c r="K6925" t="str">
        <f>"27006"</f>
        <v>27006</v>
      </c>
      <c r="M6925" t="s">
        <v>17861</v>
      </c>
      <c r="N6925" t="str">
        <f>"12/31/2012 3:11:00 PM"</f>
        <v>12/31/2012 3:11:00 PM</v>
      </c>
      <c r="O6925" t="s">
        <v>21023</v>
      </c>
    </row>
    <row r="6926" spans="1:20" x14ac:dyDescent="0.25">
      <c r="A6926" t="str">
        <f>"3046174"</f>
        <v>3046174</v>
      </c>
      <c r="B6926" t="s">
        <v>21025</v>
      </c>
      <c r="C6926" t="str">
        <f>"8301643"</f>
        <v>8301643</v>
      </c>
      <c r="D6926" t="s">
        <v>21026</v>
      </c>
      <c r="E6926" t="s">
        <v>21027</v>
      </c>
      <c r="F6926" t="s">
        <v>21028</v>
      </c>
      <c r="I6926" t="s">
        <v>29</v>
      </c>
      <c r="J6926" t="s">
        <v>30</v>
      </c>
      <c r="K6926" t="str">
        <f>"27028"</f>
        <v>27028</v>
      </c>
      <c r="M6926" t="s">
        <v>17861</v>
      </c>
      <c r="N6926" t="str">
        <f>"12/11/2012 4:15:00 PM"</f>
        <v>12/11/2012 4:15:00 PM</v>
      </c>
      <c r="O6926" t="s">
        <v>21026</v>
      </c>
      <c r="T6926" t="s">
        <v>21027</v>
      </c>
    </row>
    <row r="6927" spans="1:20" x14ac:dyDescent="0.25">
      <c r="A6927" t="str">
        <f>"3060738"</f>
        <v>3060738</v>
      </c>
      <c r="B6927" t="s">
        <v>21029</v>
      </c>
      <c r="C6927" t="str">
        <f>"8301644"</f>
        <v>8301644</v>
      </c>
      <c r="D6927" t="s">
        <v>21030</v>
      </c>
      <c r="E6927" t="s">
        <v>21031</v>
      </c>
      <c r="F6927" t="s">
        <v>21032</v>
      </c>
      <c r="I6927" t="s">
        <v>2071</v>
      </c>
      <c r="J6927" t="s">
        <v>30</v>
      </c>
      <c r="K6927" t="str">
        <f>"27006"</f>
        <v>27006</v>
      </c>
      <c r="M6927" t="s">
        <v>17861</v>
      </c>
      <c r="N6927" t="str">
        <f>"12/11/2012 4:33:00 PM"</f>
        <v>12/11/2012 4:33:00 PM</v>
      </c>
      <c r="O6927" t="s">
        <v>21030</v>
      </c>
      <c r="T6927" t="s">
        <v>21031</v>
      </c>
    </row>
    <row r="6928" spans="1:20" x14ac:dyDescent="0.25">
      <c r="A6928" t="str">
        <f>"3052389"</f>
        <v>3052389</v>
      </c>
      <c r="B6928" t="s">
        <v>21033</v>
      </c>
      <c r="C6928" t="str">
        <f>"8301649"</f>
        <v>8301649</v>
      </c>
      <c r="D6928" t="s">
        <v>21034</v>
      </c>
      <c r="E6928" t="s">
        <v>21035</v>
      </c>
      <c r="F6928" t="s">
        <v>21036</v>
      </c>
      <c r="I6928" t="s">
        <v>29</v>
      </c>
      <c r="J6928" t="s">
        <v>30</v>
      </c>
      <c r="K6928" t="str">
        <f>"27028"</f>
        <v>27028</v>
      </c>
      <c r="M6928" t="s">
        <v>17861</v>
      </c>
      <c r="N6928" t="str">
        <f>"12/12/2012 10:07:00 AM"</f>
        <v>12/12/2012 10:07:00 AM</v>
      </c>
      <c r="O6928" t="s">
        <v>21034</v>
      </c>
      <c r="T6928" t="s">
        <v>21035</v>
      </c>
    </row>
    <row r="6929" spans="1:20" x14ac:dyDescent="0.25">
      <c r="A6929" t="str">
        <f>"3059643"</f>
        <v>3059643</v>
      </c>
      <c r="B6929" t="s">
        <v>21037</v>
      </c>
      <c r="C6929" t="str">
        <f>"82521010"</f>
        <v>82521010</v>
      </c>
      <c r="D6929" t="s">
        <v>21038</v>
      </c>
      <c r="F6929" t="s">
        <v>21039</v>
      </c>
      <c r="I6929" t="s">
        <v>29</v>
      </c>
      <c r="J6929" t="s">
        <v>30</v>
      </c>
      <c r="K6929" t="s">
        <v>31</v>
      </c>
      <c r="M6929" t="s">
        <v>18577</v>
      </c>
      <c r="N6929" t="str">
        <f>"1/3/2013 11:20:00 AM"</f>
        <v>1/3/2013 11:20:00 AM</v>
      </c>
      <c r="O6929" t="s">
        <v>21038</v>
      </c>
    </row>
    <row r="6930" spans="1:20" x14ac:dyDescent="0.25">
      <c r="A6930" t="str">
        <f>"3044776"</f>
        <v>3044776</v>
      </c>
      <c r="B6930" t="s">
        <v>21040</v>
      </c>
      <c r="C6930" t="str">
        <f>"82530948"</f>
        <v>82530948</v>
      </c>
      <c r="D6930" t="s">
        <v>21041</v>
      </c>
      <c r="E6930" t="s">
        <v>21042</v>
      </c>
      <c r="F6930" t="s">
        <v>21043</v>
      </c>
      <c r="I6930" t="s">
        <v>184</v>
      </c>
      <c r="J6930" t="s">
        <v>30</v>
      </c>
      <c r="K6930" t="s">
        <v>185</v>
      </c>
      <c r="M6930" t="s">
        <v>18432</v>
      </c>
      <c r="N6930" t="str">
        <f>"12/12/2012 1:39:00 PM"</f>
        <v>12/12/2012 1:39:00 PM</v>
      </c>
      <c r="O6930" t="s">
        <v>21041</v>
      </c>
      <c r="T6930" t="s">
        <v>21042</v>
      </c>
    </row>
    <row r="6931" spans="1:20" x14ac:dyDescent="0.25">
      <c r="A6931" t="str">
        <f>"3050098"</f>
        <v>3050098</v>
      </c>
      <c r="B6931" t="s">
        <v>21044</v>
      </c>
      <c r="C6931" t="str">
        <f>"8301651"</f>
        <v>8301651</v>
      </c>
      <c r="D6931" t="s">
        <v>21045</v>
      </c>
      <c r="F6931" t="s">
        <v>21046</v>
      </c>
      <c r="I6931" t="s">
        <v>29</v>
      </c>
      <c r="J6931" t="s">
        <v>30</v>
      </c>
      <c r="K6931" t="str">
        <f>"27028"</f>
        <v>27028</v>
      </c>
      <c r="M6931" t="s">
        <v>17861</v>
      </c>
      <c r="N6931" t="str">
        <f>"12/12/2012 3:16:00 PM"</f>
        <v>12/12/2012 3:16:00 PM</v>
      </c>
      <c r="O6931" t="s">
        <v>21045</v>
      </c>
    </row>
    <row r="6932" spans="1:20" x14ac:dyDescent="0.25">
      <c r="A6932" t="str">
        <f>"3041838"</f>
        <v>3041838</v>
      </c>
      <c r="B6932" t="s">
        <v>21047</v>
      </c>
      <c r="C6932" t="str">
        <f>"8301655"</f>
        <v>8301655</v>
      </c>
      <c r="D6932" t="s">
        <v>20946</v>
      </c>
      <c r="F6932" t="s">
        <v>20947</v>
      </c>
      <c r="I6932" t="s">
        <v>20948</v>
      </c>
      <c r="J6932" t="s">
        <v>12725</v>
      </c>
      <c r="K6932" t="s">
        <v>20949</v>
      </c>
      <c r="M6932" t="s">
        <v>17861</v>
      </c>
      <c r="N6932" t="str">
        <f>"12/12/2012 3:58:00 PM"</f>
        <v>12/12/2012 3:58:00 PM</v>
      </c>
      <c r="O6932" t="s">
        <v>20946</v>
      </c>
    </row>
    <row r="6933" spans="1:20" x14ac:dyDescent="0.25">
      <c r="A6933" t="str">
        <f>"3062478"</f>
        <v>3062478</v>
      </c>
      <c r="B6933" t="s">
        <v>21048</v>
      </c>
      <c r="C6933" t="str">
        <f>"8301655"</f>
        <v>8301655</v>
      </c>
      <c r="D6933" t="s">
        <v>20946</v>
      </c>
      <c r="F6933" t="s">
        <v>20947</v>
      </c>
      <c r="I6933" t="s">
        <v>20948</v>
      </c>
      <c r="J6933" t="s">
        <v>12725</v>
      </c>
      <c r="K6933" t="s">
        <v>20949</v>
      </c>
      <c r="M6933" t="s">
        <v>17861</v>
      </c>
      <c r="N6933" t="str">
        <f>"12/12/2012 3:58:00 PM"</f>
        <v>12/12/2012 3:58:00 PM</v>
      </c>
      <c r="O6933" t="s">
        <v>20946</v>
      </c>
    </row>
    <row r="6934" spans="1:20" x14ac:dyDescent="0.25">
      <c r="A6934" t="str">
        <f>"3060409"</f>
        <v>3060409</v>
      </c>
      <c r="B6934" t="s">
        <v>21049</v>
      </c>
      <c r="C6934" t="str">
        <f>"8301655"</f>
        <v>8301655</v>
      </c>
      <c r="D6934" t="s">
        <v>20946</v>
      </c>
      <c r="F6934" t="s">
        <v>20947</v>
      </c>
      <c r="I6934" t="s">
        <v>20948</v>
      </c>
      <c r="J6934" t="s">
        <v>12725</v>
      </c>
      <c r="K6934" t="s">
        <v>20949</v>
      </c>
      <c r="M6934" t="s">
        <v>17861</v>
      </c>
      <c r="N6934" t="str">
        <f>"12/12/2012 3:58:00 PM"</f>
        <v>12/12/2012 3:58:00 PM</v>
      </c>
      <c r="O6934" t="s">
        <v>20946</v>
      </c>
    </row>
    <row r="6935" spans="1:20" x14ac:dyDescent="0.25">
      <c r="A6935" t="str">
        <f>"3046016"</f>
        <v>3046016</v>
      </c>
      <c r="B6935" t="s">
        <v>21050</v>
      </c>
      <c r="C6935" t="str">
        <f>"52235000"</f>
        <v>52235000</v>
      </c>
      <c r="D6935" t="s">
        <v>20957</v>
      </c>
      <c r="E6935" t="s">
        <v>20958</v>
      </c>
      <c r="F6935" t="s">
        <v>20959</v>
      </c>
      <c r="I6935" t="s">
        <v>29</v>
      </c>
      <c r="J6935" t="s">
        <v>30</v>
      </c>
      <c r="K6935" t="s">
        <v>31</v>
      </c>
      <c r="M6935" t="s">
        <v>18577</v>
      </c>
      <c r="N6935" t="str">
        <f>"12/17/2012 10:27:00 AM"</f>
        <v>12/17/2012 10:27:00 AM</v>
      </c>
      <c r="O6935" t="s">
        <v>20957</v>
      </c>
      <c r="T6935" t="s">
        <v>20958</v>
      </c>
    </row>
    <row r="6936" spans="1:20" x14ac:dyDescent="0.25">
      <c r="A6936" t="str">
        <f>"3060587"</f>
        <v>3060587</v>
      </c>
      <c r="B6936" t="s">
        <v>21051</v>
      </c>
      <c r="C6936" t="str">
        <f>"8301631"</f>
        <v>8301631</v>
      </c>
      <c r="D6936" t="s">
        <v>21052</v>
      </c>
      <c r="E6936" t="s">
        <v>21053</v>
      </c>
      <c r="F6936" t="s">
        <v>21054</v>
      </c>
      <c r="I6936" t="s">
        <v>2071</v>
      </c>
      <c r="J6936" t="s">
        <v>30</v>
      </c>
      <c r="K6936" t="str">
        <f>"27006"</f>
        <v>27006</v>
      </c>
      <c r="M6936" t="s">
        <v>17861</v>
      </c>
      <c r="N6936" t="str">
        <f>"12/4/2012 9:36:00 AM"</f>
        <v>12/4/2012 9:36:00 AM</v>
      </c>
      <c r="O6936" t="s">
        <v>21052</v>
      </c>
      <c r="T6936" t="s">
        <v>21053</v>
      </c>
    </row>
    <row r="6937" spans="1:20" x14ac:dyDescent="0.25">
      <c r="A6937" t="str">
        <f>"3038521"</f>
        <v>3038521</v>
      </c>
      <c r="B6937" t="s">
        <v>21055</v>
      </c>
      <c r="C6937" t="str">
        <f>"1108000"</f>
        <v>1108000</v>
      </c>
      <c r="D6937" t="s">
        <v>21056</v>
      </c>
      <c r="E6937" t="s">
        <v>21057</v>
      </c>
      <c r="F6937" t="s">
        <v>21058</v>
      </c>
      <c r="I6937" t="s">
        <v>29</v>
      </c>
      <c r="J6937" t="s">
        <v>30</v>
      </c>
      <c r="K6937" t="s">
        <v>21059</v>
      </c>
      <c r="M6937" t="s">
        <v>18479</v>
      </c>
      <c r="N6937" t="str">
        <f>"1/22/2013 1:05:00 PM"</f>
        <v>1/22/2013 1:05:00 PM</v>
      </c>
      <c r="O6937" t="s">
        <v>21056</v>
      </c>
      <c r="T6937" t="s">
        <v>21057</v>
      </c>
    </row>
    <row r="6938" spans="1:20" x14ac:dyDescent="0.25">
      <c r="A6938" t="str">
        <f>"3052582"</f>
        <v>3052582</v>
      </c>
      <c r="B6938" t="s">
        <v>21060</v>
      </c>
      <c r="C6938" t="str">
        <f>"8301093"</f>
        <v>8301093</v>
      </c>
      <c r="D6938" t="s">
        <v>21061</v>
      </c>
      <c r="F6938" t="s">
        <v>21062</v>
      </c>
      <c r="I6938" t="s">
        <v>1176</v>
      </c>
      <c r="J6938" t="s">
        <v>30</v>
      </c>
      <c r="K6938" t="str">
        <f>"27054"</f>
        <v>27054</v>
      </c>
      <c r="M6938" t="s">
        <v>18479</v>
      </c>
      <c r="N6938" t="str">
        <f>"1/22/2013 1:40:00 PM"</f>
        <v>1/22/2013 1:40:00 PM</v>
      </c>
      <c r="O6938" t="s">
        <v>21061</v>
      </c>
    </row>
    <row r="6939" spans="1:20" x14ac:dyDescent="0.25">
      <c r="A6939" t="str">
        <f>"3041593"</f>
        <v>3041593</v>
      </c>
      <c r="B6939" t="s">
        <v>21063</v>
      </c>
      <c r="C6939" t="str">
        <f>"8301224"</f>
        <v>8301224</v>
      </c>
      <c r="D6939" t="s">
        <v>21064</v>
      </c>
      <c r="E6939" t="s">
        <v>21065</v>
      </c>
      <c r="F6939" t="s">
        <v>21066</v>
      </c>
      <c r="I6939" t="s">
        <v>2071</v>
      </c>
      <c r="J6939" t="s">
        <v>30</v>
      </c>
      <c r="K6939" t="str">
        <f>"27006"</f>
        <v>27006</v>
      </c>
      <c r="M6939" t="s">
        <v>18479</v>
      </c>
      <c r="N6939" t="str">
        <f>"1/22/2013 1:53:00 PM"</f>
        <v>1/22/2013 1:53:00 PM</v>
      </c>
      <c r="O6939" t="s">
        <v>21064</v>
      </c>
      <c r="T6939" t="s">
        <v>21065</v>
      </c>
    </row>
    <row r="6940" spans="1:20" x14ac:dyDescent="0.25">
      <c r="A6940" t="str">
        <f>"3057443"</f>
        <v>3057443</v>
      </c>
      <c r="B6940" t="s">
        <v>21067</v>
      </c>
      <c r="C6940" t="str">
        <f>"8301053"</f>
        <v>8301053</v>
      </c>
      <c r="D6940" t="s">
        <v>21068</v>
      </c>
      <c r="F6940" t="s">
        <v>21069</v>
      </c>
      <c r="I6940" t="s">
        <v>29</v>
      </c>
      <c r="J6940" t="s">
        <v>30</v>
      </c>
      <c r="K6940" t="str">
        <f>"27028"</f>
        <v>27028</v>
      </c>
      <c r="M6940" t="s">
        <v>18479</v>
      </c>
      <c r="N6940" t="str">
        <f>"1/22/2013 1:55:00 PM"</f>
        <v>1/22/2013 1:55:00 PM</v>
      </c>
      <c r="O6940" t="s">
        <v>21068</v>
      </c>
    </row>
    <row r="6941" spans="1:20" x14ac:dyDescent="0.25">
      <c r="A6941" t="str">
        <f>"3060305"</f>
        <v>3060305</v>
      </c>
      <c r="B6941" t="s">
        <v>21070</v>
      </c>
      <c r="C6941" t="str">
        <f>"8301053"</f>
        <v>8301053</v>
      </c>
      <c r="D6941" t="s">
        <v>21068</v>
      </c>
      <c r="F6941" t="s">
        <v>21069</v>
      </c>
      <c r="I6941" t="s">
        <v>29</v>
      </c>
      <c r="J6941" t="s">
        <v>30</v>
      </c>
      <c r="K6941" t="str">
        <f>"27028"</f>
        <v>27028</v>
      </c>
      <c r="M6941" t="s">
        <v>18479</v>
      </c>
      <c r="N6941" t="str">
        <f>"1/22/2013 1:55:00 PM"</f>
        <v>1/22/2013 1:55:00 PM</v>
      </c>
      <c r="O6941" t="s">
        <v>21068</v>
      </c>
    </row>
    <row r="6942" spans="1:20" x14ac:dyDescent="0.25">
      <c r="A6942" t="str">
        <f>"3048526"</f>
        <v>3048526</v>
      </c>
      <c r="B6942" t="s">
        <v>21071</v>
      </c>
      <c r="C6942" t="str">
        <f>"8301632"</f>
        <v>8301632</v>
      </c>
      <c r="D6942" t="s">
        <v>21072</v>
      </c>
      <c r="E6942" t="s">
        <v>21073</v>
      </c>
      <c r="F6942" t="s">
        <v>8329</v>
      </c>
      <c r="I6942" t="s">
        <v>29</v>
      </c>
      <c r="J6942" t="s">
        <v>30</v>
      </c>
      <c r="K6942" t="str">
        <f>"27028"</f>
        <v>27028</v>
      </c>
      <c r="M6942" t="s">
        <v>17861</v>
      </c>
      <c r="N6942" t="str">
        <f>"12/4/2012 9:53:00 AM"</f>
        <v>12/4/2012 9:53:00 AM</v>
      </c>
      <c r="O6942" t="s">
        <v>21072</v>
      </c>
      <c r="T6942" t="s">
        <v>21073</v>
      </c>
    </row>
    <row r="6943" spans="1:20" x14ac:dyDescent="0.25">
      <c r="A6943" t="str">
        <f>"3057810"</f>
        <v>3057810</v>
      </c>
      <c r="B6943" t="s">
        <v>21074</v>
      </c>
      <c r="C6943" t="str">
        <f>"8301636"</f>
        <v>8301636</v>
      </c>
      <c r="D6943" t="s">
        <v>21075</v>
      </c>
      <c r="E6943" t="s">
        <v>21076</v>
      </c>
      <c r="F6943" t="s">
        <v>21077</v>
      </c>
      <c r="I6943" t="s">
        <v>184</v>
      </c>
      <c r="J6943" t="s">
        <v>30</v>
      </c>
      <c r="K6943" t="str">
        <f>"27006"</f>
        <v>27006</v>
      </c>
      <c r="M6943" t="s">
        <v>17861</v>
      </c>
      <c r="N6943" t="str">
        <f>"12/4/2012 10:03:00 AM"</f>
        <v>12/4/2012 10:03:00 AM</v>
      </c>
      <c r="O6943" t="s">
        <v>21075</v>
      </c>
      <c r="T6943" t="s">
        <v>21076</v>
      </c>
    </row>
    <row r="6944" spans="1:20" x14ac:dyDescent="0.25">
      <c r="A6944" t="str">
        <f>"3040958"</f>
        <v>3040958</v>
      </c>
      <c r="B6944" t="s">
        <v>21078</v>
      </c>
      <c r="C6944" t="str">
        <f>"8301637"</f>
        <v>8301637</v>
      </c>
      <c r="D6944" t="s">
        <v>1648</v>
      </c>
      <c r="F6944" t="s">
        <v>1650</v>
      </c>
      <c r="I6944" t="s">
        <v>184</v>
      </c>
      <c r="J6944" t="s">
        <v>30</v>
      </c>
      <c r="K6944" t="str">
        <f>"27006"</f>
        <v>27006</v>
      </c>
      <c r="M6944" t="s">
        <v>17861</v>
      </c>
      <c r="N6944" t="str">
        <f>"12/4/2012 10:08:00 AM"</f>
        <v>12/4/2012 10:08:00 AM</v>
      </c>
      <c r="O6944" t="s">
        <v>1648</v>
      </c>
    </row>
    <row r="6945" spans="1:20" x14ac:dyDescent="0.25">
      <c r="A6945" t="str">
        <f>"3040878"</f>
        <v>3040878</v>
      </c>
      <c r="B6945" t="s">
        <v>21079</v>
      </c>
      <c r="C6945" t="str">
        <f>"8301637"</f>
        <v>8301637</v>
      </c>
      <c r="D6945" t="s">
        <v>1648</v>
      </c>
      <c r="F6945" t="s">
        <v>1650</v>
      </c>
      <c r="I6945" t="s">
        <v>184</v>
      </c>
      <c r="J6945" t="s">
        <v>30</v>
      </c>
      <c r="K6945" t="str">
        <f>"27006"</f>
        <v>27006</v>
      </c>
      <c r="M6945" t="s">
        <v>17861</v>
      </c>
      <c r="N6945" t="str">
        <f>"12/4/2012 10:08:00 AM"</f>
        <v>12/4/2012 10:08:00 AM</v>
      </c>
      <c r="O6945" t="s">
        <v>1648</v>
      </c>
    </row>
    <row r="6946" spans="1:20" x14ac:dyDescent="0.25">
      <c r="A6946" t="str">
        <f>"3054229"</f>
        <v>3054229</v>
      </c>
      <c r="B6946" t="s">
        <v>21080</v>
      </c>
      <c r="C6946" t="str">
        <f>"8301670"</f>
        <v>8301670</v>
      </c>
      <c r="D6946" t="s">
        <v>21081</v>
      </c>
      <c r="F6946" t="s">
        <v>21082</v>
      </c>
      <c r="I6946" t="s">
        <v>29</v>
      </c>
      <c r="J6946" t="s">
        <v>30</v>
      </c>
      <c r="K6946" t="str">
        <f>"27028"</f>
        <v>27028</v>
      </c>
      <c r="M6946" t="s">
        <v>17861</v>
      </c>
      <c r="N6946" t="str">
        <f>"12/19/2012 10:05:00 AM"</f>
        <v>12/19/2012 10:05:00 AM</v>
      </c>
      <c r="O6946" t="s">
        <v>21081</v>
      </c>
    </row>
    <row r="6947" spans="1:20" x14ac:dyDescent="0.25">
      <c r="A6947" t="str">
        <f>"3055242"</f>
        <v>3055242</v>
      </c>
      <c r="B6947" t="s">
        <v>21083</v>
      </c>
      <c r="C6947" t="str">
        <f>"82517993"</f>
        <v>82517993</v>
      </c>
      <c r="D6947" t="s">
        <v>21084</v>
      </c>
      <c r="E6947" t="s">
        <v>21085</v>
      </c>
      <c r="F6947" t="s">
        <v>21086</v>
      </c>
      <c r="I6947" t="s">
        <v>29</v>
      </c>
      <c r="J6947" t="s">
        <v>30</v>
      </c>
      <c r="K6947" t="s">
        <v>31</v>
      </c>
      <c r="M6947" t="s">
        <v>18432</v>
      </c>
      <c r="N6947" t="str">
        <f>"1/24/2013 4:40:00 PM"</f>
        <v>1/24/2013 4:40:00 PM</v>
      </c>
      <c r="O6947" t="s">
        <v>21084</v>
      </c>
      <c r="T6947" t="s">
        <v>21085</v>
      </c>
    </row>
    <row r="6948" spans="1:20" x14ac:dyDescent="0.25">
      <c r="A6948" t="str">
        <f>"3044333"</f>
        <v>3044333</v>
      </c>
      <c r="B6948" t="s">
        <v>21087</v>
      </c>
      <c r="C6948" t="str">
        <f>"53184000"</f>
        <v>53184000</v>
      </c>
      <c r="D6948" t="s">
        <v>21088</v>
      </c>
      <c r="E6948" t="s">
        <v>21089</v>
      </c>
      <c r="F6948" t="s">
        <v>20735</v>
      </c>
      <c r="I6948" t="s">
        <v>184</v>
      </c>
      <c r="J6948" t="s">
        <v>30</v>
      </c>
      <c r="K6948" t="s">
        <v>10705</v>
      </c>
      <c r="M6948" t="s">
        <v>18513</v>
      </c>
      <c r="N6948" t="str">
        <f>"12/21/2012 10:17:00 AM"</f>
        <v>12/21/2012 10:17:00 AM</v>
      </c>
      <c r="O6948" t="s">
        <v>21088</v>
      </c>
      <c r="T6948" t="s">
        <v>21089</v>
      </c>
    </row>
    <row r="6949" spans="1:20" x14ac:dyDescent="0.25">
      <c r="A6949" t="str">
        <f>"3037749"</f>
        <v>3037749</v>
      </c>
      <c r="B6949" t="s">
        <v>21090</v>
      </c>
      <c r="C6949" t="str">
        <f>"82520900"</f>
        <v>82520900</v>
      </c>
      <c r="D6949" t="s">
        <v>21091</v>
      </c>
      <c r="F6949" t="s">
        <v>21092</v>
      </c>
      <c r="I6949" t="s">
        <v>29</v>
      </c>
      <c r="J6949" t="s">
        <v>30</v>
      </c>
      <c r="K6949" t="str">
        <f>"27028"</f>
        <v>27028</v>
      </c>
      <c r="M6949" t="s">
        <v>18479</v>
      </c>
      <c r="N6949" t="str">
        <f>"1/25/2013 1:56:00 PM"</f>
        <v>1/25/2013 1:56:00 PM</v>
      </c>
      <c r="O6949" t="s">
        <v>21091</v>
      </c>
    </row>
    <row r="6950" spans="1:20" x14ac:dyDescent="0.25">
      <c r="A6950" t="str">
        <f>"3041601"</f>
        <v>3041601</v>
      </c>
      <c r="B6950" t="s">
        <v>21093</v>
      </c>
      <c r="C6950" t="str">
        <f>"8300822"</f>
        <v>8300822</v>
      </c>
      <c r="D6950" t="s">
        <v>21094</v>
      </c>
      <c r="E6950" t="s">
        <v>21095</v>
      </c>
      <c r="F6950" t="s">
        <v>21096</v>
      </c>
      <c r="I6950" t="s">
        <v>2071</v>
      </c>
      <c r="J6950" t="s">
        <v>30</v>
      </c>
      <c r="K6950" t="s">
        <v>21097</v>
      </c>
      <c r="M6950" t="s">
        <v>18513</v>
      </c>
      <c r="N6950" t="str">
        <f>"12/21/2012 10:42:00 AM"</f>
        <v>12/21/2012 10:42:00 AM</v>
      </c>
      <c r="O6950" t="s">
        <v>21094</v>
      </c>
      <c r="T6950" t="s">
        <v>21095</v>
      </c>
    </row>
    <row r="6951" spans="1:20" x14ac:dyDescent="0.25">
      <c r="A6951" t="str">
        <f>"3038358"</f>
        <v>3038358</v>
      </c>
      <c r="B6951" t="s">
        <v>21098</v>
      </c>
      <c r="C6951" t="str">
        <f>"82533031"</f>
        <v>82533031</v>
      </c>
      <c r="D6951" t="s">
        <v>21099</v>
      </c>
      <c r="E6951" t="s">
        <v>21100</v>
      </c>
      <c r="F6951" t="s">
        <v>21101</v>
      </c>
      <c r="I6951" t="s">
        <v>29</v>
      </c>
      <c r="J6951" t="s">
        <v>30</v>
      </c>
      <c r="K6951" t="s">
        <v>21102</v>
      </c>
      <c r="M6951" t="s">
        <v>18479</v>
      </c>
      <c r="N6951" t="str">
        <f>"1/28/2013 11:06:00 AM"</f>
        <v>1/28/2013 11:06:00 AM</v>
      </c>
      <c r="O6951" t="s">
        <v>21099</v>
      </c>
      <c r="T6951" t="s">
        <v>21100</v>
      </c>
    </row>
    <row r="6952" spans="1:20" x14ac:dyDescent="0.25">
      <c r="A6952" t="str">
        <f>"3063867"</f>
        <v>3063867</v>
      </c>
      <c r="B6952" t="s">
        <v>21103</v>
      </c>
      <c r="C6952" t="str">
        <f>"3220000"</f>
        <v>3220000</v>
      </c>
      <c r="D6952" t="s">
        <v>21104</v>
      </c>
      <c r="E6952" t="s">
        <v>21105</v>
      </c>
      <c r="F6952" t="s">
        <v>21106</v>
      </c>
      <c r="I6952" t="s">
        <v>184</v>
      </c>
      <c r="J6952" t="s">
        <v>30</v>
      </c>
      <c r="K6952" t="str">
        <f>"27006"</f>
        <v>27006</v>
      </c>
      <c r="M6952" t="s">
        <v>18479</v>
      </c>
      <c r="N6952" t="str">
        <f>"1/28/2013 11:55:00 AM"</f>
        <v>1/28/2013 11:55:00 AM</v>
      </c>
      <c r="O6952" t="s">
        <v>21104</v>
      </c>
      <c r="T6952" t="s">
        <v>21105</v>
      </c>
    </row>
    <row r="6953" spans="1:20" x14ac:dyDescent="0.25">
      <c r="A6953" t="str">
        <f>"3055772"</f>
        <v>3055772</v>
      </c>
      <c r="B6953" t="s">
        <v>21107</v>
      </c>
      <c r="C6953" t="str">
        <f>"82521099"</f>
        <v>82521099</v>
      </c>
      <c r="D6953" t="s">
        <v>21108</v>
      </c>
      <c r="F6953" t="s">
        <v>21109</v>
      </c>
      <c r="I6953" t="s">
        <v>14378</v>
      </c>
      <c r="J6953" t="s">
        <v>30</v>
      </c>
      <c r="K6953" t="s">
        <v>21110</v>
      </c>
      <c r="M6953" t="s">
        <v>18513</v>
      </c>
      <c r="N6953" t="str">
        <f>"12/21/2012 11:35:00 AM"</f>
        <v>12/21/2012 11:35:00 AM</v>
      </c>
      <c r="O6953" t="s">
        <v>21108</v>
      </c>
    </row>
    <row r="6954" spans="1:20" x14ac:dyDescent="0.25">
      <c r="A6954" t="str">
        <f>"3061064"</f>
        <v>3061064</v>
      </c>
      <c r="B6954" t="s">
        <v>21111</v>
      </c>
      <c r="C6954" t="str">
        <f>"8301684"</f>
        <v>8301684</v>
      </c>
      <c r="D6954" t="s">
        <v>21112</v>
      </c>
      <c r="E6954" t="s">
        <v>21113</v>
      </c>
      <c r="F6954" t="s">
        <v>21114</v>
      </c>
      <c r="I6954" t="s">
        <v>184</v>
      </c>
      <c r="J6954" t="s">
        <v>30</v>
      </c>
      <c r="K6954" t="str">
        <f>"27006"</f>
        <v>27006</v>
      </c>
      <c r="M6954" t="s">
        <v>17861</v>
      </c>
      <c r="N6954" t="str">
        <f>"12/28/2012 12:55:00 PM"</f>
        <v>12/28/2012 12:55:00 PM</v>
      </c>
      <c r="O6954" t="s">
        <v>21112</v>
      </c>
      <c r="T6954" t="s">
        <v>21113</v>
      </c>
    </row>
    <row r="6955" spans="1:20" x14ac:dyDescent="0.25">
      <c r="A6955" t="str">
        <f>"3039887"</f>
        <v>3039887</v>
      </c>
      <c r="B6955" t="s">
        <v>21115</v>
      </c>
      <c r="C6955" t="str">
        <f>"8301685"</f>
        <v>8301685</v>
      </c>
      <c r="D6955" t="s">
        <v>21116</v>
      </c>
      <c r="E6955" t="s">
        <v>21117</v>
      </c>
      <c r="F6955" t="s">
        <v>21118</v>
      </c>
      <c r="I6955" t="s">
        <v>29</v>
      </c>
      <c r="J6955" t="s">
        <v>30</v>
      </c>
      <c r="K6955" t="str">
        <f>"27028"</f>
        <v>27028</v>
      </c>
      <c r="M6955" t="s">
        <v>17861</v>
      </c>
      <c r="N6955" t="str">
        <f>"12/28/2012 2:11:00 PM"</f>
        <v>12/28/2012 2:11:00 PM</v>
      </c>
      <c r="O6955" t="s">
        <v>21116</v>
      </c>
      <c r="T6955" t="s">
        <v>21117</v>
      </c>
    </row>
    <row r="6956" spans="1:20" x14ac:dyDescent="0.25">
      <c r="A6956" t="str">
        <f>"3043270"</f>
        <v>3043270</v>
      </c>
      <c r="B6956" t="s">
        <v>21119</v>
      </c>
      <c r="C6956" t="str">
        <f>"8301686"</f>
        <v>8301686</v>
      </c>
      <c r="D6956" t="s">
        <v>21120</v>
      </c>
      <c r="F6956" t="s">
        <v>21121</v>
      </c>
      <c r="I6956" t="s">
        <v>29</v>
      </c>
      <c r="J6956" t="s">
        <v>30</v>
      </c>
      <c r="K6956" t="str">
        <f>"27028"</f>
        <v>27028</v>
      </c>
      <c r="M6956" t="s">
        <v>17861</v>
      </c>
      <c r="N6956" t="str">
        <f>"12/28/2012 2:34:00 PM"</f>
        <v>12/28/2012 2:34:00 PM</v>
      </c>
      <c r="O6956" t="s">
        <v>21120</v>
      </c>
    </row>
    <row r="6957" spans="1:20" x14ac:dyDescent="0.25">
      <c r="A6957" t="str">
        <f>"3055668"</f>
        <v>3055668</v>
      </c>
      <c r="B6957" t="s">
        <v>21122</v>
      </c>
      <c r="C6957" t="str">
        <f>"54268370"</f>
        <v>54268370</v>
      </c>
      <c r="D6957" t="s">
        <v>21123</v>
      </c>
      <c r="F6957" t="s">
        <v>21124</v>
      </c>
      <c r="I6957" t="s">
        <v>2589</v>
      </c>
      <c r="J6957" t="s">
        <v>30</v>
      </c>
      <c r="K6957" t="s">
        <v>21125</v>
      </c>
      <c r="M6957" t="s">
        <v>17861</v>
      </c>
      <c r="N6957" t="str">
        <f>"1/29/2013 3:36:00 PM"</f>
        <v>1/29/2013 3:36:00 PM</v>
      </c>
      <c r="O6957" t="s">
        <v>21123</v>
      </c>
    </row>
    <row r="6958" spans="1:20" x14ac:dyDescent="0.25">
      <c r="A6958" t="str">
        <f>"3039061"</f>
        <v>3039061</v>
      </c>
      <c r="B6958" t="s">
        <v>21126</v>
      </c>
      <c r="C6958" t="str">
        <f>"8301687"</f>
        <v>8301687</v>
      </c>
      <c r="D6958" t="s">
        <v>1404</v>
      </c>
      <c r="E6958" t="s">
        <v>21127</v>
      </c>
      <c r="F6958" t="s">
        <v>21128</v>
      </c>
      <c r="I6958" t="s">
        <v>49</v>
      </c>
      <c r="J6958" t="s">
        <v>30</v>
      </c>
      <c r="K6958" t="str">
        <f>"27055"</f>
        <v>27055</v>
      </c>
      <c r="M6958" t="s">
        <v>17861</v>
      </c>
      <c r="N6958" t="str">
        <f>"12/28/2012 2:41:00 PM"</f>
        <v>12/28/2012 2:41:00 PM</v>
      </c>
      <c r="O6958" t="s">
        <v>1404</v>
      </c>
      <c r="T6958" t="s">
        <v>21127</v>
      </c>
    </row>
    <row r="6959" spans="1:20" x14ac:dyDescent="0.25">
      <c r="A6959" t="str">
        <f>"3045820"</f>
        <v>3045820</v>
      </c>
      <c r="B6959" t="s">
        <v>21129</v>
      </c>
      <c r="C6959" t="str">
        <f>"8301702"</f>
        <v>8301702</v>
      </c>
      <c r="D6959" t="s">
        <v>21130</v>
      </c>
      <c r="E6959" t="s">
        <v>21131</v>
      </c>
      <c r="F6959" t="s">
        <v>21132</v>
      </c>
      <c r="I6959" t="s">
        <v>29</v>
      </c>
      <c r="J6959" t="s">
        <v>30</v>
      </c>
      <c r="K6959" t="str">
        <f>"27028"</f>
        <v>27028</v>
      </c>
      <c r="M6959" t="s">
        <v>17861</v>
      </c>
      <c r="N6959" t="str">
        <f>"12/31/2012 11:50:00 AM"</f>
        <v>12/31/2012 11:50:00 AM</v>
      </c>
      <c r="O6959" t="s">
        <v>21130</v>
      </c>
      <c r="T6959" t="s">
        <v>21131</v>
      </c>
    </row>
    <row r="6960" spans="1:20" x14ac:dyDescent="0.25">
      <c r="A6960" t="str">
        <f>"3050827"</f>
        <v>3050827</v>
      </c>
      <c r="B6960" t="s">
        <v>21133</v>
      </c>
      <c r="C6960" t="str">
        <f>"8301717"</f>
        <v>8301717</v>
      </c>
      <c r="D6960" t="s">
        <v>21134</v>
      </c>
      <c r="E6960" t="s">
        <v>21135</v>
      </c>
      <c r="F6960" t="s">
        <v>21136</v>
      </c>
      <c r="I6960" t="s">
        <v>184</v>
      </c>
      <c r="J6960" t="s">
        <v>30</v>
      </c>
      <c r="K6960" t="str">
        <f>"27006"</f>
        <v>27006</v>
      </c>
      <c r="M6960" t="s">
        <v>17861</v>
      </c>
      <c r="N6960" t="str">
        <f>"1/2/2013 1:24:00 PM"</f>
        <v>1/2/2013 1:24:00 PM</v>
      </c>
      <c r="O6960" t="s">
        <v>21134</v>
      </c>
      <c r="T6960" t="s">
        <v>21135</v>
      </c>
    </row>
    <row r="6961" spans="1:20" x14ac:dyDescent="0.25">
      <c r="A6961" t="str">
        <f>"3044018"</f>
        <v>3044018</v>
      </c>
      <c r="B6961" t="s">
        <v>21137</v>
      </c>
      <c r="C6961" t="str">
        <f>"8301720"</f>
        <v>8301720</v>
      </c>
      <c r="D6961" t="s">
        <v>5008</v>
      </c>
      <c r="F6961" t="s">
        <v>5009</v>
      </c>
      <c r="I6961" t="s">
        <v>184</v>
      </c>
      <c r="J6961" t="s">
        <v>30</v>
      </c>
      <c r="K6961" t="str">
        <f>"27006"</f>
        <v>27006</v>
      </c>
      <c r="M6961" t="s">
        <v>17861</v>
      </c>
      <c r="N6961" t="str">
        <f>"1/2/2013 2:26:00 PM"</f>
        <v>1/2/2013 2:26:00 PM</v>
      </c>
      <c r="O6961" t="s">
        <v>5008</v>
      </c>
    </row>
    <row r="6962" spans="1:20" x14ac:dyDescent="0.25">
      <c r="A6962" t="str">
        <f>"3048961"</f>
        <v>3048961</v>
      </c>
      <c r="B6962" t="s">
        <v>21138</v>
      </c>
      <c r="C6962" t="str">
        <f>"8300780"</f>
        <v>8300780</v>
      </c>
      <c r="D6962" t="s">
        <v>21139</v>
      </c>
      <c r="E6962" t="s">
        <v>21140</v>
      </c>
      <c r="F6962" t="s">
        <v>21141</v>
      </c>
      <c r="I6962" t="s">
        <v>21142</v>
      </c>
      <c r="J6962" t="s">
        <v>1543</v>
      </c>
      <c r="K6962" t="str">
        <f>"16602"</f>
        <v>16602</v>
      </c>
      <c r="M6962" t="s">
        <v>18577</v>
      </c>
      <c r="N6962" t="str">
        <f>"1/2/2013 3:01:00 PM"</f>
        <v>1/2/2013 3:01:00 PM</v>
      </c>
      <c r="O6962" t="s">
        <v>21139</v>
      </c>
      <c r="T6962" t="s">
        <v>21140</v>
      </c>
    </row>
    <row r="6963" spans="1:20" x14ac:dyDescent="0.25">
      <c r="A6963" t="str">
        <f>"3041166"</f>
        <v>3041166</v>
      </c>
      <c r="B6963" t="s">
        <v>21143</v>
      </c>
      <c r="C6963" t="str">
        <f>"8301732"</f>
        <v>8301732</v>
      </c>
      <c r="D6963" t="s">
        <v>21144</v>
      </c>
      <c r="F6963" t="s">
        <v>21145</v>
      </c>
      <c r="I6963" t="s">
        <v>2071</v>
      </c>
      <c r="J6963" t="s">
        <v>30</v>
      </c>
      <c r="K6963" t="str">
        <f>"27006"</f>
        <v>27006</v>
      </c>
      <c r="M6963" t="s">
        <v>17861</v>
      </c>
      <c r="N6963" t="str">
        <f>"1/3/2013 2:01:00 PM"</f>
        <v>1/3/2013 2:01:00 PM</v>
      </c>
      <c r="O6963" t="s">
        <v>21144</v>
      </c>
    </row>
    <row r="6964" spans="1:20" x14ac:dyDescent="0.25">
      <c r="A6964" t="str">
        <f>"3056633"</f>
        <v>3056633</v>
      </c>
      <c r="B6964" t="s">
        <v>21146</v>
      </c>
      <c r="C6964" t="str">
        <f>"40050350"</f>
        <v>40050350</v>
      </c>
      <c r="D6964" t="s">
        <v>21147</v>
      </c>
      <c r="F6964" t="s">
        <v>21148</v>
      </c>
      <c r="G6964" t="s">
        <v>15345</v>
      </c>
      <c r="I6964" t="s">
        <v>29</v>
      </c>
      <c r="J6964" t="s">
        <v>30</v>
      </c>
      <c r="K6964" t="s">
        <v>15346</v>
      </c>
      <c r="M6964" t="s">
        <v>17861</v>
      </c>
      <c r="N6964" t="str">
        <f>"1/31/2013 4:01:00 PM"</f>
        <v>1/31/2013 4:01:00 PM</v>
      </c>
      <c r="O6964" t="s">
        <v>21147</v>
      </c>
    </row>
    <row r="6965" spans="1:20" x14ac:dyDescent="0.25">
      <c r="A6965" t="str">
        <f>"3055180"</f>
        <v>3055180</v>
      </c>
      <c r="B6965" t="s">
        <v>21149</v>
      </c>
      <c r="C6965" t="str">
        <f>"8301633"</f>
        <v>8301633</v>
      </c>
      <c r="D6965" t="s">
        <v>21150</v>
      </c>
      <c r="E6965" t="s">
        <v>21151</v>
      </c>
      <c r="F6965" t="s">
        <v>21152</v>
      </c>
      <c r="I6965" t="s">
        <v>29</v>
      </c>
      <c r="J6965" t="s">
        <v>30</v>
      </c>
      <c r="K6965" t="str">
        <f>"27028"</f>
        <v>27028</v>
      </c>
      <c r="M6965" t="s">
        <v>17861</v>
      </c>
      <c r="N6965" t="str">
        <f>"1/31/2013 4:07:00 PM"</f>
        <v>1/31/2013 4:07:00 PM</v>
      </c>
      <c r="O6965" t="s">
        <v>21150</v>
      </c>
      <c r="T6965" t="s">
        <v>21151</v>
      </c>
    </row>
    <row r="6966" spans="1:20" x14ac:dyDescent="0.25">
      <c r="A6966" t="str">
        <f>"3047501"</f>
        <v>3047501</v>
      </c>
      <c r="B6966" t="s">
        <v>21153</v>
      </c>
      <c r="C6966" t="str">
        <f>"8301767"</f>
        <v>8301767</v>
      </c>
      <c r="D6966" t="s">
        <v>21154</v>
      </c>
      <c r="E6966" t="s">
        <v>21155</v>
      </c>
      <c r="F6966" t="s">
        <v>21156</v>
      </c>
      <c r="I6966" t="s">
        <v>471</v>
      </c>
      <c r="J6966" t="s">
        <v>30</v>
      </c>
      <c r="K6966" t="str">
        <f>"27106"</f>
        <v>27106</v>
      </c>
      <c r="M6966" t="s">
        <v>17861</v>
      </c>
      <c r="N6966" t="str">
        <f>"1/31/2013 4:44:00 PM"</f>
        <v>1/31/2013 4:44:00 PM</v>
      </c>
      <c r="O6966" t="s">
        <v>21154</v>
      </c>
      <c r="T6966" t="s">
        <v>21155</v>
      </c>
    </row>
    <row r="6967" spans="1:20" x14ac:dyDescent="0.25">
      <c r="A6967" t="str">
        <f>"3077769"</f>
        <v>3077769</v>
      </c>
      <c r="B6967" t="s">
        <v>21157</v>
      </c>
      <c r="C6967" t="str">
        <f>"8301767"</f>
        <v>8301767</v>
      </c>
      <c r="D6967" t="s">
        <v>21154</v>
      </c>
      <c r="E6967" t="s">
        <v>21155</v>
      </c>
      <c r="F6967" t="s">
        <v>21156</v>
      </c>
      <c r="I6967" t="s">
        <v>471</v>
      </c>
      <c r="J6967" t="s">
        <v>30</v>
      </c>
      <c r="K6967" t="str">
        <f>"27106"</f>
        <v>27106</v>
      </c>
      <c r="M6967" t="s">
        <v>17861</v>
      </c>
      <c r="N6967" t="str">
        <f>"1/31/2013 4:44:00 PM"</f>
        <v>1/31/2013 4:44:00 PM</v>
      </c>
      <c r="O6967" t="s">
        <v>21154</v>
      </c>
      <c r="T6967" t="s">
        <v>21155</v>
      </c>
    </row>
    <row r="6968" spans="1:20" x14ac:dyDescent="0.25">
      <c r="A6968" t="str">
        <f>"3070370"</f>
        <v>3070370</v>
      </c>
      <c r="B6968" t="s">
        <v>21158</v>
      </c>
      <c r="C6968" t="str">
        <f>"82532289"</f>
        <v>82532289</v>
      </c>
      <c r="D6968" t="s">
        <v>21159</v>
      </c>
      <c r="E6968" t="s">
        <v>21160</v>
      </c>
      <c r="F6968" t="s">
        <v>21161</v>
      </c>
      <c r="I6968" t="s">
        <v>184</v>
      </c>
      <c r="J6968" t="s">
        <v>30</v>
      </c>
      <c r="K6968" t="s">
        <v>185</v>
      </c>
      <c r="M6968" t="s">
        <v>18432</v>
      </c>
      <c r="N6968" t="str">
        <f>"1/7/2013 9:47:00 AM"</f>
        <v>1/7/2013 9:47:00 AM</v>
      </c>
      <c r="O6968" t="s">
        <v>21159</v>
      </c>
      <c r="T6968" t="s">
        <v>21160</v>
      </c>
    </row>
    <row r="6969" spans="1:20" x14ac:dyDescent="0.25">
      <c r="A6969" t="str">
        <f>"3055619"</f>
        <v>3055619</v>
      </c>
      <c r="B6969" t="s">
        <v>21162</v>
      </c>
      <c r="C6969" t="str">
        <f>"8301744"</f>
        <v>8301744</v>
      </c>
      <c r="D6969" t="s">
        <v>21163</v>
      </c>
      <c r="F6969" t="s">
        <v>21164</v>
      </c>
      <c r="I6969" t="s">
        <v>29</v>
      </c>
      <c r="J6969" t="s">
        <v>30</v>
      </c>
      <c r="K6969" t="str">
        <f>"27028"</f>
        <v>27028</v>
      </c>
      <c r="M6969" t="s">
        <v>17861</v>
      </c>
      <c r="N6969" t="str">
        <f>"1/9/2013 10:11:00 AM"</f>
        <v>1/9/2013 10:11:00 AM</v>
      </c>
      <c r="O6969" t="s">
        <v>21163</v>
      </c>
    </row>
    <row r="6970" spans="1:20" x14ac:dyDescent="0.25">
      <c r="A6970" t="str">
        <f>"3062495"</f>
        <v>3062495</v>
      </c>
      <c r="B6970" t="s">
        <v>21165</v>
      </c>
      <c r="C6970" t="str">
        <f>"222250"</f>
        <v>222250</v>
      </c>
      <c r="D6970" t="s">
        <v>21166</v>
      </c>
      <c r="E6970" t="s">
        <v>21167</v>
      </c>
      <c r="F6970" t="s">
        <v>21168</v>
      </c>
      <c r="I6970" t="s">
        <v>184</v>
      </c>
      <c r="J6970" t="s">
        <v>30</v>
      </c>
      <c r="K6970" t="s">
        <v>21169</v>
      </c>
      <c r="M6970" t="s">
        <v>18479</v>
      </c>
      <c r="N6970" t="str">
        <f>"2/5/2013 9:18:00 AM"</f>
        <v>2/5/2013 9:18:00 AM</v>
      </c>
      <c r="O6970" t="s">
        <v>21166</v>
      </c>
      <c r="T6970" t="s">
        <v>21167</v>
      </c>
    </row>
    <row r="6971" spans="1:20" x14ac:dyDescent="0.25">
      <c r="A6971" t="str">
        <f>"3044198"</f>
        <v>3044198</v>
      </c>
      <c r="B6971" t="s">
        <v>21170</v>
      </c>
      <c r="C6971" t="str">
        <f>"82517270"</f>
        <v>82517270</v>
      </c>
      <c r="D6971" t="s">
        <v>21171</v>
      </c>
      <c r="E6971" t="s">
        <v>21172</v>
      </c>
      <c r="F6971" t="s">
        <v>21173</v>
      </c>
      <c r="I6971" t="s">
        <v>184</v>
      </c>
      <c r="J6971" t="s">
        <v>30</v>
      </c>
      <c r="K6971" t="s">
        <v>185</v>
      </c>
      <c r="M6971" t="s">
        <v>18432</v>
      </c>
      <c r="N6971" t="str">
        <f>"1/15/2013 9:17:00 AM"</f>
        <v>1/15/2013 9:17:00 AM</v>
      </c>
      <c r="O6971" t="s">
        <v>21171</v>
      </c>
      <c r="T6971" t="s">
        <v>21172</v>
      </c>
    </row>
    <row r="6972" spans="1:20" x14ac:dyDescent="0.25">
      <c r="A6972" t="str">
        <f>"3056175"</f>
        <v>3056175</v>
      </c>
      <c r="B6972" t="s">
        <v>21174</v>
      </c>
      <c r="C6972" t="str">
        <f>"17067750"</f>
        <v>17067750</v>
      </c>
      <c r="D6972" t="s">
        <v>21175</v>
      </c>
      <c r="F6972" t="s">
        <v>21176</v>
      </c>
      <c r="I6972" t="s">
        <v>9580</v>
      </c>
      <c r="J6972" t="s">
        <v>30</v>
      </c>
      <c r="K6972" t="s">
        <v>9581</v>
      </c>
      <c r="M6972" t="s">
        <v>17861</v>
      </c>
      <c r="N6972" t="str">
        <f>"2/5/2013 10:23:00 AM"</f>
        <v>2/5/2013 10:23:00 AM</v>
      </c>
      <c r="O6972" t="s">
        <v>21175</v>
      </c>
    </row>
    <row r="6973" spans="1:20" x14ac:dyDescent="0.25">
      <c r="A6973" t="str">
        <f>"3056176"</f>
        <v>3056176</v>
      </c>
      <c r="B6973" t="s">
        <v>21177</v>
      </c>
      <c r="C6973" t="str">
        <f>"17067750"</f>
        <v>17067750</v>
      </c>
      <c r="D6973" t="s">
        <v>21175</v>
      </c>
      <c r="F6973" t="s">
        <v>21176</v>
      </c>
      <c r="I6973" t="s">
        <v>9580</v>
      </c>
      <c r="J6973" t="s">
        <v>30</v>
      </c>
      <c r="K6973" t="s">
        <v>9581</v>
      </c>
      <c r="M6973" t="s">
        <v>17861</v>
      </c>
      <c r="N6973" t="str">
        <f>"2/5/2013 10:23:00 AM"</f>
        <v>2/5/2013 10:23:00 AM</v>
      </c>
      <c r="O6973" t="s">
        <v>21175</v>
      </c>
    </row>
    <row r="6974" spans="1:20" x14ac:dyDescent="0.25">
      <c r="A6974" t="str">
        <f>"3045503"</f>
        <v>3045503</v>
      </c>
      <c r="B6974" t="s">
        <v>21178</v>
      </c>
      <c r="C6974" t="str">
        <f>"8301763"</f>
        <v>8301763</v>
      </c>
      <c r="D6974" t="s">
        <v>21179</v>
      </c>
      <c r="F6974" t="s">
        <v>21180</v>
      </c>
      <c r="I6974" t="s">
        <v>29</v>
      </c>
      <c r="J6974" t="s">
        <v>30</v>
      </c>
      <c r="K6974" t="str">
        <f>"27028"</f>
        <v>27028</v>
      </c>
      <c r="M6974" t="s">
        <v>17861</v>
      </c>
      <c r="N6974" t="str">
        <f>"1/22/2013 11:51:00 AM"</f>
        <v>1/22/2013 11:51:00 AM</v>
      </c>
      <c r="O6974" t="s">
        <v>21179</v>
      </c>
    </row>
    <row r="6975" spans="1:20" x14ac:dyDescent="0.25">
      <c r="A6975" t="str">
        <f>"3046176"</f>
        <v>3046176</v>
      </c>
      <c r="B6975" t="s">
        <v>21181</v>
      </c>
      <c r="C6975" t="str">
        <f>"1108000"</f>
        <v>1108000</v>
      </c>
      <c r="D6975" t="s">
        <v>21056</v>
      </c>
      <c r="E6975" t="s">
        <v>21057</v>
      </c>
      <c r="F6975" t="s">
        <v>21058</v>
      </c>
      <c r="I6975" t="s">
        <v>29</v>
      </c>
      <c r="J6975" t="s">
        <v>30</v>
      </c>
      <c r="K6975" t="s">
        <v>21059</v>
      </c>
      <c r="M6975" t="s">
        <v>18479</v>
      </c>
      <c r="N6975" t="str">
        <f>"1/22/2013 1:05:00 PM"</f>
        <v>1/22/2013 1:05:00 PM</v>
      </c>
      <c r="O6975" t="s">
        <v>21056</v>
      </c>
      <c r="T6975" t="s">
        <v>21057</v>
      </c>
    </row>
    <row r="6976" spans="1:20" x14ac:dyDescent="0.25">
      <c r="A6976" t="str">
        <f>"3038523"</f>
        <v>3038523</v>
      </c>
      <c r="B6976" t="s">
        <v>21182</v>
      </c>
      <c r="C6976" t="str">
        <f>"1108000"</f>
        <v>1108000</v>
      </c>
      <c r="D6976" t="s">
        <v>21056</v>
      </c>
      <c r="E6976" t="s">
        <v>21057</v>
      </c>
      <c r="F6976" t="s">
        <v>21058</v>
      </c>
      <c r="I6976" t="s">
        <v>29</v>
      </c>
      <c r="J6976" t="s">
        <v>30</v>
      </c>
      <c r="K6976" t="s">
        <v>21059</v>
      </c>
      <c r="M6976" t="s">
        <v>18479</v>
      </c>
      <c r="N6976" t="str">
        <f>"1/22/2013 1:05:00 PM"</f>
        <v>1/22/2013 1:05:00 PM</v>
      </c>
      <c r="O6976" t="s">
        <v>21056</v>
      </c>
      <c r="T6976" t="s">
        <v>21057</v>
      </c>
    </row>
    <row r="6977" spans="1:20" x14ac:dyDescent="0.25">
      <c r="A6977" t="str">
        <f>"3058088"</f>
        <v>3058088</v>
      </c>
      <c r="B6977" t="s">
        <v>21183</v>
      </c>
      <c r="C6977" t="str">
        <f>"8301666"</f>
        <v>8301666</v>
      </c>
      <c r="D6977" t="s">
        <v>21184</v>
      </c>
      <c r="E6977" t="s">
        <v>21185</v>
      </c>
      <c r="F6977" t="s">
        <v>21186</v>
      </c>
      <c r="I6977" t="s">
        <v>184</v>
      </c>
      <c r="J6977" t="s">
        <v>30</v>
      </c>
      <c r="K6977" t="str">
        <f>"27006"</f>
        <v>27006</v>
      </c>
      <c r="M6977" t="s">
        <v>17861</v>
      </c>
      <c r="N6977" t="str">
        <f>"12/19/2012 9:19:00 AM"</f>
        <v>12/19/2012 9:19:00 AM</v>
      </c>
      <c r="O6977" t="s">
        <v>21184</v>
      </c>
      <c r="T6977" t="s">
        <v>21185</v>
      </c>
    </row>
    <row r="6978" spans="1:20" x14ac:dyDescent="0.25">
      <c r="A6978" t="str">
        <f>"3050904"</f>
        <v>3050904</v>
      </c>
      <c r="B6978" t="s">
        <v>21187</v>
      </c>
      <c r="C6978" t="str">
        <f>"76182000"</f>
        <v>76182000</v>
      </c>
      <c r="D6978" t="s">
        <v>21188</v>
      </c>
      <c r="E6978" t="s">
        <v>21189</v>
      </c>
      <c r="F6978" t="s">
        <v>21190</v>
      </c>
      <c r="I6978" t="s">
        <v>184</v>
      </c>
      <c r="J6978" t="s">
        <v>30</v>
      </c>
      <c r="K6978" t="s">
        <v>185</v>
      </c>
      <c r="M6978" t="s">
        <v>18432</v>
      </c>
      <c r="N6978" t="str">
        <f>"1/23/2013 10:35:00 AM"</f>
        <v>1/23/2013 10:35:00 AM</v>
      </c>
      <c r="O6978" t="s">
        <v>21188</v>
      </c>
      <c r="T6978" t="s">
        <v>21189</v>
      </c>
    </row>
    <row r="6979" spans="1:20" x14ac:dyDescent="0.25">
      <c r="A6979" t="str">
        <f>"3059080"</f>
        <v>3059080</v>
      </c>
      <c r="B6979" t="s">
        <v>21191</v>
      </c>
      <c r="C6979" t="str">
        <f>"8301764"</f>
        <v>8301764</v>
      </c>
      <c r="D6979" t="s">
        <v>21192</v>
      </c>
      <c r="F6979" t="s">
        <v>21193</v>
      </c>
      <c r="I6979" t="s">
        <v>29</v>
      </c>
      <c r="J6979" t="s">
        <v>30</v>
      </c>
      <c r="K6979" t="s">
        <v>11703</v>
      </c>
      <c r="M6979" t="s">
        <v>17861</v>
      </c>
      <c r="N6979" t="str">
        <f>"1/25/2013 10:18:00 AM"</f>
        <v>1/25/2013 10:18:00 AM</v>
      </c>
      <c r="O6979" t="s">
        <v>21192</v>
      </c>
    </row>
    <row r="6980" spans="1:20" x14ac:dyDescent="0.25">
      <c r="A6980" t="str">
        <f>"3044674"</f>
        <v>3044674</v>
      </c>
      <c r="B6980" t="s">
        <v>21194</v>
      </c>
      <c r="C6980" t="str">
        <f>"44172850"</f>
        <v>44172850</v>
      </c>
      <c r="D6980" t="s">
        <v>21195</v>
      </c>
      <c r="E6980" t="s">
        <v>21196</v>
      </c>
      <c r="F6980" t="s">
        <v>21197</v>
      </c>
      <c r="I6980" t="s">
        <v>184</v>
      </c>
      <c r="J6980" t="s">
        <v>30</v>
      </c>
      <c r="K6980" t="str">
        <f>"27006"</f>
        <v>27006</v>
      </c>
      <c r="M6980" t="s">
        <v>18479</v>
      </c>
      <c r="N6980" t="str">
        <f>"1/28/2013 9:45:00 AM"</f>
        <v>1/28/2013 9:45:00 AM</v>
      </c>
      <c r="O6980" t="s">
        <v>21195</v>
      </c>
      <c r="T6980" t="s">
        <v>21196</v>
      </c>
    </row>
    <row r="6981" spans="1:20" x14ac:dyDescent="0.25">
      <c r="A6981" t="str">
        <f>"3077657"</f>
        <v>3077657</v>
      </c>
      <c r="B6981" t="s">
        <v>21198</v>
      </c>
      <c r="C6981" t="str">
        <f>"82525432"</f>
        <v>82525432</v>
      </c>
      <c r="D6981" t="s">
        <v>18505</v>
      </c>
      <c r="F6981" t="s">
        <v>904</v>
      </c>
      <c r="I6981" t="s">
        <v>29</v>
      </c>
      <c r="J6981" t="s">
        <v>30</v>
      </c>
      <c r="K6981" t="s">
        <v>31</v>
      </c>
      <c r="M6981" t="s">
        <v>18479</v>
      </c>
      <c r="N6981" t="str">
        <f>"2/6/2013 3:59:00 PM"</f>
        <v>2/6/2013 3:59:00 PM</v>
      </c>
      <c r="O6981" t="s">
        <v>18505</v>
      </c>
    </row>
    <row r="6982" spans="1:20" x14ac:dyDescent="0.25">
      <c r="A6982" t="str">
        <f>"3077663"</f>
        <v>3077663</v>
      </c>
      <c r="B6982" t="s">
        <v>21199</v>
      </c>
      <c r="C6982" t="str">
        <f>"82525432"</f>
        <v>82525432</v>
      </c>
      <c r="D6982" t="s">
        <v>18505</v>
      </c>
      <c r="F6982" t="s">
        <v>904</v>
      </c>
      <c r="I6982" t="s">
        <v>29</v>
      </c>
      <c r="J6982" t="s">
        <v>30</v>
      </c>
      <c r="K6982" t="s">
        <v>31</v>
      </c>
      <c r="M6982" t="s">
        <v>18479</v>
      </c>
      <c r="N6982" t="str">
        <f>"2/6/2013 3:59:00 PM"</f>
        <v>2/6/2013 3:59:00 PM</v>
      </c>
      <c r="O6982" t="s">
        <v>18505</v>
      </c>
    </row>
    <row r="6983" spans="1:20" x14ac:dyDescent="0.25">
      <c r="A6983" t="str">
        <f>"3038334"</f>
        <v>3038334</v>
      </c>
      <c r="B6983" t="s">
        <v>21200</v>
      </c>
      <c r="C6983" t="str">
        <f>"7438500"</f>
        <v>7438500</v>
      </c>
      <c r="D6983" t="s">
        <v>21201</v>
      </c>
      <c r="E6983" t="s">
        <v>21202</v>
      </c>
      <c r="F6983" t="s">
        <v>21203</v>
      </c>
      <c r="I6983" t="s">
        <v>29</v>
      </c>
      <c r="J6983" t="s">
        <v>30</v>
      </c>
      <c r="K6983" t="s">
        <v>21204</v>
      </c>
      <c r="M6983" t="s">
        <v>18479</v>
      </c>
      <c r="N6983" t="str">
        <f>"2/6/2013 4:03:00 PM"</f>
        <v>2/6/2013 4:03:00 PM</v>
      </c>
      <c r="O6983" t="s">
        <v>21201</v>
      </c>
      <c r="T6983" t="s">
        <v>21202</v>
      </c>
    </row>
    <row r="6984" spans="1:20" x14ac:dyDescent="0.25">
      <c r="A6984" t="str">
        <f>"3051325"</f>
        <v>3051325</v>
      </c>
      <c r="B6984" t="s">
        <v>21205</v>
      </c>
      <c r="C6984" t="str">
        <f>"82531420"</f>
        <v>82531420</v>
      </c>
      <c r="D6984" t="s">
        <v>21206</v>
      </c>
      <c r="E6984" t="s">
        <v>21207</v>
      </c>
      <c r="F6984" t="s">
        <v>21208</v>
      </c>
      <c r="I6984" t="s">
        <v>29</v>
      </c>
      <c r="J6984" t="s">
        <v>30</v>
      </c>
      <c r="K6984" t="s">
        <v>31</v>
      </c>
      <c r="M6984" t="s">
        <v>18479</v>
      </c>
      <c r="N6984" t="str">
        <f>"1/28/2013 4:15:00 PM"</f>
        <v>1/28/2013 4:15:00 PM</v>
      </c>
      <c r="O6984" t="s">
        <v>21206</v>
      </c>
      <c r="T6984" t="s">
        <v>21207</v>
      </c>
    </row>
    <row r="6985" spans="1:20" x14ac:dyDescent="0.25">
      <c r="A6985" t="str">
        <f>"3040017"</f>
        <v>3040017</v>
      </c>
      <c r="B6985" t="s">
        <v>21209</v>
      </c>
      <c r="C6985" t="str">
        <f>"60356000"</f>
        <v>60356000</v>
      </c>
      <c r="D6985" t="s">
        <v>21210</v>
      </c>
      <c r="F6985" t="s">
        <v>2742</v>
      </c>
      <c r="I6985" t="s">
        <v>29</v>
      </c>
      <c r="J6985" t="s">
        <v>30</v>
      </c>
      <c r="K6985" t="s">
        <v>21211</v>
      </c>
      <c r="M6985" t="s">
        <v>18479</v>
      </c>
      <c r="N6985" t="str">
        <f>"1/29/2013 9:21:00 AM"</f>
        <v>1/29/2013 9:21:00 AM</v>
      </c>
      <c r="O6985" t="s">
        <v>21210</v>
      </c>
      <c r="T6985" t="s">
        <v>21210</v>
      </c>
    </row>
    <row r="6986" spans="1:20" x14ac:dyDescent="0.25">
      <c r="A6986" t="str">
        <f>"3069877"</f>
        <v>3069877</v>
      </c>
      <c r="B6986" t="s">
        <v>21212</v>
      </c>
      <c r="C6986" t="str">
        <f>"82532015"</f>
        <v>82532015</v>
      </c>
      <c r="D6986" t="s">
        <v>21213</v>
      </c>
      <c r="F6986" t="s">
        <v>21214</v>
      </c>
      <c r="I6986" t="s">
        <v>3493</v>
      </c>
      <c r="J6986" t="s">
        <v>30</v>
      </c>
      <c r="K6986" t="s">
        <v>21215</v>
      </c>
      <c r="M6986" t="s">
        <v>18432</v>
      </c>
      <c r="N6986" t="str">
        <f>"1/29/2013 11:04:00 AM"</f>
        <v>1/29/2013 11:04:00 AM</v>
      </c>
      <c r="O6986" t="s">
        <v>21213</v>
      </c>
    </row>
    <row r="6987" spans="1:20" x14ac:dyDescent="0.25">
      <c r="A6987" t="str">
        <f>"3038526"</f>
        <v>3038526</v>
      </c>
      <c r="B6987" t="s">
        <v>21216</v>
      </c>
      <c r="C6987" t="str">
        <f>"82517608"</f>
        <v>82517608</v>
      </c>
      <c r="D6987" t="s">
        <v>21217</v>
      </c>
      <c r="F6987" t="str">
        <f>"C/O JESSE GENTRY"</f>
        <v>C/O JESSE GENTRY</v>
      </c>
      <c r="G6987" t="s">
        <v>21218</v>
      </c>
      <c r="I6987" t="s">
        <v>29</v>
      </c>
      <c r="J6987" t="s">
        <v>30</v>
      </c>
      <c r="K6987" t="s">
        <v>31</v>
      </c>
      <c r="M6987" t="s">
        <v>17861</v>
      </c>
      <c r="N6987" t="str">
        <f>"2/7/2013 4:11:00 PM"</f>
        <v>2/7/2013 4:11:00 PM</v>
      </c>
      <c r="O6987" t="s">
        <v>21217</v>
      </c>
    </row>
    <row r="6988" spans="1:20" x14ac:dyDescent="0.25">
      <c r="A6988" t="str">
        <f>"3038073"</f>
        <v>3038073</v>
      </c>
      <c r="B6988" t="s">
        <v>21219</v>
      </c>
      <c r="C6988" t="str">
        <f>"82517608"</f>
        <v>82517608</v>
      </c>
      <c r="D6988" t="s">
        <v>21217</v>
      </c>
      <c r="F6988" t="str">
        <f>"C/O JESSE GENTRY"</f>
        <v>C/O JESSE GENTRY</v>
      </c>
      <c r="G6988" t="s">
        <v>21218</v>
      </c>
      <c r="I6988" t="s">
        <v>29</v>
      </c>
      <c r="J6988" t="s">
        <v>30</v>
      </c>
      <c r="K6988" t="s">
        <v>31</v>
      </c>
      <c r="M6988" t="s">
        <v>17861</v>
      </c>
      <c r="N6988" t="str">
        <f>"2/7/2013 4:11:00 PM"</f>
        <v>2/7/2013 4:11:00 PM</v>
      </c>
      <c r="O6988" t="s">
        <v>21217</v>
      </c>
    </row>
    <row r="6989" spans="1:20" x14ac:dyDescent="0.25">
      <c r="A6989" t="str">
        <f>"3037991"</f>
        <v>3037991</v>
      </c>
      <c r="B6989" t="s">
        <v>21220</v>
      </c>
      <c r="C6989" t="str">
        <f>"82517608"</f>
        <v>82517608</v>
      </c>
      <c r="D6989" t="s">
        <v>21217</v>
      </c>
      <c r="F6989" t="str">
        <f>"C/O JESSE GENTRY"</f>
        <v>C/O JESSE GENTRY</v>
      </c>
      <c r="G6989" t="s">
        <v>21218</v>
      </c>
      <c r="I6989" t="s">
        <v>29</v>
      </c>
      <c r="J6989" t="s">
        <v>30</v>
      </c>
      <c r="K6989" t="s">
        <v>31</v>
      </c>
      <c r="M6989" t="s">
        <v>17861</v>
      </c>
      <c r="N6989" t="str">
        <f>"2/7/2013 4:11:00 PM"</f>
        <v>2/7/2013 4:11:00 PM</v>
      </c>
      <c r="O6989" t="s">
        <v>21217</v>
      </c>
    </row>
    <row r="6990" spans="1:20" x14ac:dyDescent="0.25">
      <c r="A6990" t="str">
        <f>"3053413"</f>
        <v>3053413</v>
      </c>
      <c r="B6990" t="s">
        <v>21221</v>
      </c>
      <c r="C6990" t="str">
        <f>"8300975"</f>
        <v>8300975</v>
      </c>
      <c r="D6990" t="s">
        <v>21222</v>
      </c>
      <c r="E6990" t="s">
        <v>21223</v>
      </c>
      <c r="F6990" t="s">
        <v>21224</v>
      </c>
      <c r="I6990" t="s">
        <v>21225</v>
      </c>
      <c r="J6990" t="s">
        <v>30</v>
      </c>
      <c r="K6990" t="str">
        <f>"27028"</f>
        <v>27028</v>
      </c>
      <c r="M6990" t="s">
        <v>18479</v>
      </c>
      <c r="N6990" t="str">
        <f>"2/7/2013 4:29:00 PM"</f>
        <v>2/7/2013 4:29:00 PM</v>
      </c>
      <c r="O6990" t="s">
        <v>21222</v>
      </c>
      <c r="T6990" t="s">
        <v>21223</v>
      </c>
    </row>
    <row r="6991" spans="1:20" x14ac:dyDescent="0.25">
      <c r="A6991" t="str">
        <f>"3040663"</f>
        <v>3040663</v>
      </c>
      <c r="B6991" t="s">
        <v>21226</v>
      </c>
      <c r="C6991" t="str">
        <f>"25192850"</f>
        <v>25192850</v>
      </c>
      <c r="D6991" t="s">
        <v>21227</v>
      </c>
      <c r="F6991" t="s">
        <v>21228</v>
      </c>
      <c r="I6991" t="s">
        <v>184</v>
      </c>
      <c r="J6991" t="s">
        <v>30</v>
      </c>
      <c r="K6991" t="s">
        <v>185</v>
      </c>
      <c r="M6991" t="s">
        <v>18432</v>
      </c>
      <c r="N6991" t="str">
        <f>"1/29/2013 2:47:00 PM"</f>
        <v>1/29/2013 2:47:00 PM</v>
      </c>
      <c r="O6991" t="s">
        <v>21227</v>
      </c>
    </row>
    <row r="6992" spans="1:20" x14ac:dyDescent="0.25">
      <c r="A6992" t="str">
        <f>"3039498"</f>
        <v>3039498</v>
      </c>
      <c r="B6992" t="s">
        <v>21229</v>
      </c>
      <c r="C6992" t="str">
        <f>"82532817"</f>
        <v>82532817</v>
      </c>
      <c r="D6992" t="s">
        <v>21230</v>
      </c>
      <c r="E6992" t="s">
        <v>21231</v>
      </c>
      <c r="F6992" t="s">
        <v>21232</v>
      </c>
      <c r="I6992" t="s">
        <v>29</v>
      </c>
      <c r="J6992" t="s">
        <v>30</v>
      </c>
      <c r="K6992" t="s">
        <v>31</v>
      </c>
      <c r="M6992" t="s">
        <v>18479</v>
      </c>
      <c r="N6992" t="str">
        <f>"1/30/2013 9:50:00 AM"</f>
        <v>1/30/2013 9:50:00 AM</v>
      </c>
      <c r="O6992" t="s">
        <v>21230</v>
      </c>
      <c r="T6992" t="s">
        <v>21231</v>
      </c>
    </row>
    <row r="6993" spans="1:20" x14ac:dyDescent="0.25">
      <c r="A6993" t="str">
        <f>"3051721"</f>
        <v>3051721</v>
      </c>
      <c r="B6993" t="s">
        <v>21233</v>
      </c>
      <c r="C6993" t="str">
        <f t="shared" ref="C6993:C6998" si="104">"8846500"</f>
        <v>8846500</v>
      </c>
      <c r="D6993" t="s">
        <v>21234</v>
      </c>
      <c r="E6993" t="s">
        <v>21235</v>
      </c>
      <c r="F6993" t="s">
        <v>15841</v>
      </c>
      <c r="G6993" t="s">
        <v>17543</v>
      </c>
      <c r="I6993" t="s">
        <v>29</v>
      </c>
      <c r="J6993" t="s">
        <v>30</v>
      </c>
      <c r="K6993" t="s">
        <v>21236</v>
      </c>
      <c r="M6993" t="s">
        <v>18479</v>
      </c>
      <c r="N6993" t="str">
        <f t="shared" ref="N6993:N6998" si="105">"2/8/2013 9:51:00 AM"</f>
        <v>2/8/2013 9:51:00 AM</v>
      </c>
      <c r="O6993" t="s">
        <v>21234</v>
      </c>
      <c r="T6993" t="s">
        <v>21235</v>
      </c>
    </row>
    <row r="6994" spans="1:20" x14ac:dyDescent="0.25">
      <c r="A6994" t="str">
        <f>"3051908"</f>
        <v>3051908</v>
      </c>
      <c r="B6994" t="s">
        <v>21237</v>
      </c>
      <c r="C6994" t="str">
        <f t="shared" si="104"/>
        <v>8846500</v>
      </c>
      <c r="D6994" t="s">
        <v>21234</v>
      </c>
      <c r="E6994" t="s">
        <v>21235</v>
      </c>
      <c r="F6994" t="s">
        <v>15841</v>
      </c>
      <c r="G6994" t="s">
        <v>17543</v>
      </c>
      <c r="I6994" t="s">
        <v>29</v>
      </c>
      <c r="J6994" t="s">
        <v>30</v>
      </c>
      <c r="K6994" t="s">
        <v>21236</v>
      </c>
      <c r="M6994" t="s">
        <v>18479</v>
      </c>
      <c r="N6994" t="str">
        <f t="shared" si="105"/>
        <v>2/8/2013 9:51:00 AM</v>
      </c>
      <c r="O6994" t="s">
        <v>21234</v>
      </c>
      <c r="T6994" t="s">
        <v>21235</v>
      </c>
    </row>
    <row r="6995" spans="1:20" x14ac:dyDescent="0.25">
      <c r="A6995" t="str">
        <f>"3051957"</f>
        <v>3051957</v>
      </c>
      <c r="B6995" t="s">
        <v>21238</v>
      </c>
      <c r="C6995" t="str">
        <f t="shared" si="104"/>
        <v>8846500</v>
      </c>
      <c r="D6995" t="s">
        <v>21234</v>
      </c>
      <c r="E6995" t="s">
        <v>21235</v>
      </c>
      <c r="F6995" t="s">
        <v>15841</v>
      </c>
      <c r="G6995" t="s">
        <v>17543</v>
      </c>
      <c r="I6995" t="s">
        <v>29</v>
      </c>
      <c r="J6995" t="s">
        <v>30</v>
      </c>
      <c r="K6995" t="s">
        <v>21236</v>
      </c>
      <c r="M6995" t="s">
        <v>18479</v>
      </c>
      <c r="N6995" t="str">
        <f t="shared" si="105"/>
        <v>2/8/2013 9:51:00 AM</v>
      </c>
      <c r="O6995" t="s">
        <v>21234</v>
      </c>
      <c r="T6995" t="s">
        <v>21235</v>
      </c>
    </row>
    <row r="6996" spans="1:20" x14ac:dyDescent="0.25">
      <c r="A6996" t="str">
        <f>"3049050"</f>
        <v>3049050</v>
      </c>
      <c r="B6996" t="s">
        <v>21239</v>
      </c>
      <c r="C6996" t="str">
        <f t="shared" si="104"/>
        <v>8846500</v>
      </c>
      <c r="D6996" t="s">
        <v>21234</v>
      </c>
      <c r="E6996" t="s">
        <v>21235</v>
      </c>
      <c r="F6996" t="s">
        <v>15841</v>
      </c>
      <c r="G6996" t="s">
        <v>17543</v>
      </c>
      <c r="I6996" t="s">
        <v>29</v>
      </c>
      <c r="J6996" t="s">
        <v>30</v>
      </c>
      <c r="K6996" t="s">
        <v>21236</v>
      </c>
      <c r="M6996" t="s">
        <v>18479</v>
      </c>
      <c r="N6996" t="str">
        <f t="shared" si="105"/>
        <v>2/8/2013 9:51:00 AM</v>
      </c>
      <c r="O6996" t="s">
        <v>21234</v>
      </c>
      <c r="T6996" t="s">
        <v>21235</v>
      </c>
    </row>
    <row r="6997" spans="1:20" x14ac:dyDescent="0.25">
      <c r="A6997" t="str">
        <f>"3049051"</f>
        <v>3049051</v>
      </c>
      <c r="B6997" t="s">
        <v>21240</v>
      </c>
      <c r="C6997" t="str">
        <f t="shared" si="104"/>
        <v>8846500</v>
      </c>
      <c r="D6997" t="s">
        <v>21234</v>
      </c>
      <c r="E6997" t="s">
        <v>21235</v>
      </c>
      <c r="F6997" t="s">
        <v>15841</v>
      </c>
      <c r="G6997" t="s">
        <v>17543</v>
      </c>
      <c r="I6997" t="s">
        <v>29</v>
      </c>
      <c r="J6997" t="s">
        <v>30</v>
      </c>
      <c r="K6997" t="s">
        <v>21236</v>
      </c>
      <c r="M6997" t="s">
        <v>18479</v>
      </c>
      <c r="N6997" t="str">
        <f t="shared" si="105"/>
        <v>2/8/2013 9:51:00 AM</v>
      </c>
      <c r="O6997" t="s">
        <v>21234</v>
      </c>
      <c r="T6997" t="s">
        <v>21235</v>
      </c>
    </row>
    <row r="6998" spans="1:20" x14ac:dyDescent="0.25">
      <c r="A6998" t="str">
        <f>"3076923"</f>
        <v>3076923</v>
      </c>
      <c r="B6998" t="s">
        <v>21241</v>
      </c>
      <c r="C6998" t="str">
        <f t="shared" si="104"/>
        <v>8846500</v>
      </c>
      <c r="D6998" t="s">
        <v>21234</v>
      </c>
      <c r="E6998" t="s">
        <v>21235</v>
      </c>
      <c r="F6998" t="s">
        <v>15841</v>
      </c>
      <c r="G6998" t="s">
        <v>17543</v>
      </c>
      <c r="I6998" t="s">
        <v>29</v>
      </c>
      <c r="J6998" t="s">
        <v>30</v>
      </c>
      <c r="K6998" t="s">
        <v>21236</v>
      </c>
      <c r="M6998" t="s">
        <v>18479</v>
      </c>
      <c r="N6998" t="str">
        <f t="shared" si="105"/>
        <v>2/8/2013 9:51:00 AM</v>
      </c>
      <c r="O6998" t="s">
        <v>21234</v>
      </c>
      <c r="T6998" t="s">
        <v>21235</v>
      </c>
    </row>
    <row r="6999" spans="1:20" x14ac:dyDescent="0.25">
      <c r="A6999" t="str">
        <f>"3060504"</f>
        <v>3060504</v>
      </c>
      <c r="B6999" t="s">
        <v>21242</v>
      </c>
      <c r="C6999" t="str">
        <f>"8301386"</f>
        <v>8301386</v>
      </c>
      <c r="D6999" t="s">
        <v>21243</v>
      </c>
      <c r="E6999" t="s">
        <v>21244</v>
      </c>
      <c r="F6999" t="s">
        <v>21245</v>
      </c>
      <c r="I6999" t="s">
        <v>184</v>
      </c>
      <c r="J6999" t="s">
        <v>30</v>
      </c>
      <c r="K6999" t="str">
        <f>"27006"</f>
        <v>27006</v>
      </c>
      <c r="M6999" t="s">
        <v>18479</v>
      </c>
      <c r="N6999" t="str">
        <f>"1/30/2013 9:53:00 AM"</f>
        <v>1/30/2013 9:53:00 AM</v>
      </c>
      <c r="O6999" t="s">
        <v>21243</v>
      </c>
      <c r="T6999" t="s">
        <v>21244</v>
      </c>
    </row>
    <row r="7000" spans="1:20" x14ac:dyDescent="0.25">
      <c r="A7000" t="str">
        <f>"3051520"</f>
        <v>3051520</v>
      </c>
      <c r="B7000" t="s">
        <v>21246</v>
      </c>
      <c r="C7000" t="str">
        <f>"8735250"</f>
        <v>8735250</v>
      </c>
      <c r="D7000" t="s">
        <v>21247</v>
      </c>
      <c r="E7000" t="s">
        <v>21248</v>
      </c>
      <c r="F7000" t="s">
        <v>21249</v>
      </c>
      <c r="I7000" t="s">
        <v>29</v>
      </c>
      <c r="J7000" t="s">
        <v>30</v>
      </c>
      <c r="K7000" t="s">
        <v>21250</v>
      </c>
      <c r="M7000" t="s">
        <v>18479</v>
      </c>
      <c r="N7000" t="str">
        <f>"2/8/2013 3:02:00 PM"</f>
        <v>2/8/2013 3:02:00 PM</v>
      </c>
      <c r="O7000" t="s">
        <v>21247</v>
      </c>
      <c r="T7000" t="s">
        <v>21248</v>
      </c>
    </row>
    <row r="7001" spans="1:20" x14ac:dyDescent="0.25">
      <c r="A7001" t="str">
        <f>"3051279"</f>
        <v>3051279</v>
      </c>
      <c r="B7001" t="s">
        <v>21251</v>
      </c>
      <c r="C7001" t="str">
        <f>"8735250"</f>
        <v>8735250</v>
      </c>
      <c r="D7001" t="s">
        <v>21247</v>
      </c>
      <c r="E7001" t="s">
        <v>21248</v>
      </c>
      <c r="F7001" t="s">
        <v>21249</v>
      </c>
      <c r="I7001" t="s">
        <v>29</v>
      </c>
      <c r="J7001" t="s">
        <v>30</v>
      </c>
      <c r="K7001" t="s">
        <v>21250</v>
      </c>
      <c r="M7001" t="s">
        <v>18479</v>
      </c>
      <c r="N7001" t="str">
        <f>"2/8/2013 3:02:00 PM"</f>
        <v>2/8/2013 3:02:00 PM</v>
      </c>
      <c r="O7001" t="s">
        <v>21247</v>
      </c>
      <c r="T7001" t="s">
        <v>21248</v>
      </c>
    </row>
    <row r="7002" spans="1:20" x14ac:dyDescent="0.25">
      <c r="A7002" t="str">
        <f>"3051292"</f>
        <v>3051292</v>
      </c>
      <c r="B7002" t="s">
        <v>21252</v>
      </c>
      <c r="C7002" t="str">
        <f>"8735250"</f>
        <v>8735250</v>
      </c>
      <c r="D7002" t="s">
        <v>21247</v>
      </c>
      <c r="E7002" t="s">
        <v>21248</v>
      </c>
      <c r="F7002" t="s">
        <v>21249</v>
      </c>
      <c r="I7002" t="s">
        <v>29</v>
      </c>
      <c r="J7002" t="s">
        <v>30</v>
      </c>
      <c r="K7002" t="s">
        <v>21250</v>
      </c>
      <c r="M7002" t="s">
        <v>18479</v>
      </c>
      <c r="N7002" t="str">
        <f>"2/8/2013 3:02:00 PM"</f>
        <v>2/8/2013 3:02:00 PM</v>
      </c>
      <c r="O7002" t="s">
        <v>21247</v>
      </c>
      <c r="T7002" t="s">
        <v>21248</v>
      </c>
    </row>
    <row r="7003" spans="1:20" x14ac:dyDescent="0.25">
      <c r="A7003" t="str">
        <f>"3051155"</f>
        <v>3051155</v>
      </c>
      <c r="B7003" t="s">
        <v>21253</v>
      </c>
      <c r="C7003" t="str">
        <f>"8735250"</f>
        <v>8735250</v>
      </c>
      <c r="D7003" t="s">
        <v>21247</v>
      </c>
      <c r="E7003" t="s">
        <v>21248</v>
      </c>
      <c r="F7003" t="s">
        <v>21249</v>
      </c>
      <c r="I7003" t="s">
        <v>29</v>
      </c>
      <c r="J7003" t="s">
        <v>30</v>
      </c>
      <c r="K7003" t="s">
        <v>21250</v>
      </c>
      <c r="M7003" t="s">
        <v>18479</v>
      </c>
      <c r="N7003" t="str">
        <f>"2/8/2013 3:02:00 PM"</f>
        <v>2/8/2013 3:02:00 PM</v>
      </c>
      <c r="O7003" t="s">
        <v>21247</v>
      </c>
      <c r="T7003" t="s">
        <v>21248</v>
      </c>
    </row>
    <row r="7004" spans="1:20" x14ac:dyDescent="0.25">
      <c r="A7004" t="str">
        <f>"3039005"</f>
        <v>3039005</v>
      </c>
      <c r="B7004" t="s">
        <v>21254</v>
      </c>
      <c r="C7004" t="str">
        <f>"8300201"</f>
        <v>8300201</v>
      </c>
      <c r="D7004" t="s">
        <v>21255</v>
      </c>
      <c r="E7004" t="s">
        <v>21256</v>
      </c>
      <c r="F7004" t="s">
        <v>21257</v>
      </c>
      <c r="I7004" t="s">
        <v>29</v>
      </c>
      <c r="J7004" t="s">
        <v>30</v>
      </c>
      <c r="K7004" t="str">
        <f>"27028"</f>
        <v>27028</v>
      </c>
      <c r="M7004" t="s">
        <v>18479</v>
      </c>
      <c r="N7004" t="str">
        <f>"1/30/2013 9:59:00 AM"</f>
        <v>1/30/2013 9:59:00 AM</v>
      </c>
      <c r="O7004" t="s">
        <v>21255</v>
      </c>
      <c r="T7004" t="s">
        <v>21256</v>
      </c>
    </row>
    <row r="7005" spans="1:20" x14ac:dyDescent="0.25">
      <c r="A7005" t="str">
        <f>"3061534"</f>
        <v>3061534</v>
      </c>
      <c r="B7005" t="s">
        <v>21258</v>
      </c>
      <c r="C7005" t="str">
        <f>"37258000"</f>
        <v>37258000</v>
      </c>
      <c r="D7005" t="s">
        <v>21259</v>
      </c>
      <c r="F7005" t="s">
        <v>21260</v>
      </c>
      <c r="I7005" t="s">
        <v>402</v>
      </c>
      <c r="J7005" t="s">
        <v>30</v>
      </c>
      <c r="K7005" t="s">
        <v>21261</v>
      </c>
      <c r="M7005" t="s">
        <v>17861</v>
      </c>
      <c r="N7005" t="str">
        <f>"1/31/2013 12:48:00 PM"</f>
        <v>1/31/2013 12:48:00 PM</v>
      </c>
      <c r="O7005" t="s">
        <v>21259</v>
      </c>
    </row>
    <row r="7006" spans="1:20" x14ac:dyDescent="0.25">
      <c r="A7006" t="str">
        <f>"3056983"</f>
        <v>3056983</v>
      </c>
      <c r="B7006" t="s">
        <v>21262</v>
      </c>
      <c r="C7006" t="str">
        <f>"6695920"</f>
        <v>6695920</v>
      </c>
      <c r="D7006" t="s">
        <v>21263</v>
      </c>
      <c r="F7006" t="s">
        <v>21264</v>
      </c>
      <c r="I7006" t="s">
        <v>29</v>
      </c>
      <c r="J7006" t="s">
        <v>30</v>
      </c>
      <c r="K7006" t="s">
        <v>13386</v>
      </c>
      <c r="M7006" t="s">
        <v>18479</v>
      </c>
      <c r="N7006" t="str">
        <f>"2/11/2013 8:50:00 AM"</f>
        <v>2/11/2013 8:50:00 AM</v>
      </c>
      <c r="O7006" t="s">
        <v>21263</v>
      </c>
      <c r="T7006" t="s">
        <v>21263</v>
      </c>
    </row>
    <row r="7007" spans="1:20" x14ac:dyDescent="0.25">
      <c r="A7007" t="str">
        <f>"3056984"</f>
        <v>3056984</v>
      </c>
      <c r="B7007" t="s">
        <v>21265</v>
      </c>
      <c r="C7007" t="str">
        <f>"6695920"</f>
        <v>6695920</v>
      </c>
      <c r="D7007" t="s">
        <v>21263</v>
      </c>
      <c r="F7007" t="s">
        <v>21264</v>
      </c>
      <c r="I7007" t="s">
        <v>29</v>
      </c>
      <c r="J7007" t="s">
        <v>30</v>
      </c>
      <c r="K7007" t="s">
        <v>13386</v>
      </c>
      <c r="M7007" t="s">
        <v>18479</v>
      </c>
      <c r="N7007" t="str">
        <f>"2/11/2013 8:50:00 AM"</f>
        <v>2/11/2013 8:50:00 AM</v>
      </c>
      <c r="O7007" t="s">
        <v>21263</v>
      </c>
      <c r="T7007" t="s">
        <v>21263</v>
      </c>
    </row>
    <row r="7008" spans="1:20" x14ac:dyDescent="0.25">
      <c r="A7008" t="str">
        <f>"3051090"</f>
        <v>3051090</v>
      </c>
      <c r="B7008" t="s">
        <v>21266</v>
      </c>
      <c r="C7008" t="str">
        <f>"71126000"</f>
        <v>71126000</v>
      </c>
      <c r="D7008" t="s">
        <v>21267</v>
      </c>
      <c r="E7008" t="s">
        <v>21268</v>
      </c>
      <c r="F7008" t="s">
        <v>21269</v>
      </c>
      <c r="I7008" t="s">
        <v>21270</v>
      </c>
      <c r="J7008" t="s">
        <v>30</v>
      </c>
      <c r="K7008" t="s">
        <v>21271</v>
      </c>
      <c r="M7008" t="s">
        <v>17861</v>
      </c>
      <c r="N7008" t="str">
        <f>"1/31/2013 1:11:00 PM"</f>
        <v>1/31/2013 1:11:00 PM</v>
      </c>
      <c r="O7008" t="s">
        <v>21267</v>
      </c>
      <c r="T7008" t="s">
        <v>21268</v>
      </c>
    </row>
    <row r="7009" spans="1:20" x14ac:dyDescent="0.25">
      <c r="A7009" t="str">
        <f>"3054676"</f>
        <v>3054676</v>
      </c>
      <c r="B7009" t="s">
        <v>21272</v>
      </c>
      <c r="C7009" t="str">
        <f>"82532528"</f>
        <v>82532528</v>
      </c>
      <c r="D7009" t="s">
        <v>21273</v>
      </c>
      <c r="F7009" t="s">
        <v>21274</v>
      </c>
      <c r="I7009" t="s">
        <v>29</v>
      </c>
      <c r="J7009" t="s">
        <v>30</v>
      </c>
      <c r="K7009" t="s">
        <v>31</v>
      </c>
      <c r="M7009" t="s">
        <v>17861</v>
      </c>
      <c r="N7009" t="str">
        <f>"2/11/2013 4:47:00 PM"</f>
        <v>2/11/2013 4:47:00 PM</v>
      </c>
      <c r="O7009" t="s">
        <v>21273</v>
      </c>
    </row>
    <row r="7010" spans="1:20" x14ac:dyDescent="0.25">
      <c r="A7010" t="str">
        <f>"3038454"</f>
        <v>3038454</v>
      </c>
      <c r="B7010" t="s">
        <v>21275</v>
      </c>
      <c r="C7010" t="str">
        <f>"82516930"</f>
        <v>82516930</v>
      </c>
      <c r="D7010" t="s">
        <v>21276</v>
      </c>
      <c r="E7010" t="s">
        <v>21277</v>
      </c>
      <c r="F7010" t="s">
        <v>21278</v>
      </c>
      <c r="I7010" t="s">
        <v>29</v>
      </c>
      <c r="J7010" t="s">
        <v>30</v>
      </c>
      <c r="K7010" t="s">
        <v>19651</v>
      </c>
      <c r="M7010" t="s">
        <v>18479</v>
      </c>
      <c r="N7010" t="str">
        <f>"2/12/2013 9:21:00 AM"</f>
        <v>2/12/2013 9:21:00 AM</v>
      </c>
      <c r="O7010" t="s">
        <v>21276</v>
      </c>
      <c r="T7010" t="s">
        <v>21277</v>
      </c>
    </row>
    <row r="7011" spans="1:20" x14ac:dyDescent="0.25">
      <c r="A7011" t="str">
        <f>"3045680"</f>
        <v>3045680</v>
      </c>
      <c r="B7011" t="s">
        <v>21279</v>
      </c>
      <c r="C7011" t="str">
        <f>"82525270"</f>
        <v>82525270</v>
      </c>
      <c r="D7011" t="s">
        <v>21280</v>
      </c>
      <c r="F7011" t="str">
        <f>"C/O BRANDI BECK DRYE"</f>
        <v>C/O BRANDI BECK DRYE</v>
      </c>
      <c r="G7011" t="s">
        <v>21281</v>
      </c>
      <c r="I7011" t="s">
        <v>29</v>
      </c>
      <c r="J7011" t="s">
        <v>30</v>
      </c>
      <c r="K7011" t="s">
        <v>31</v>
      </c>
      <c r="M7011" t="s">
        <v>18479</v>
      </c>
      <c r="N7011" t="str">
        <f>"2/12/2013 10:11:00 AM"</f>
        <v>2/12/2013 10:11:00 AM</v>
      </c>
      <c r="O7011" t="s">
        <v>21280</v>
      </c>
    </row>
    <row r="7012" spans="1:20" x14ac:dyDescent="0.25">
      <c r="A7012" t="str">
        <f>"3051089"</f>
        <v>3051089</v>
      </c>
      <c r="B7012" t="s">
        <v>21282</v>
      </c>
      <c r="C7012" t="str">
        <f>"71126000"</f>
        <v>71126000</v>
      </c>
      <c r="D7012" t="s">
        <v>21267</v>
      </c>
      <c r="E7012" t="s">
        <v>21268</v>
      </c>
      <c r="F7012" t="s">
        <v>21269</v>
      </c>
      <c r="I7012" t="s">
        <v>21270</v>
      </c>
      <c r="J7012" t="s">
        <v>30</v>
      </c>
      <c r="K7012" t="s">
        <v>21271</v>
      </c>
      <c r="M7012" t="s">
        <v>17861</v>
      </c>
      <c r="N7012" t="str">
        <f>"1/31/2013 1:11:00 PM"</f>
        <v>1/31/2013 1:11:00 PM</v>
      </c>
      <c r="O7012" t="s">
        <v>21267</v>
      </c>
      <c r="T7012" t="s">
        <v>21268</v>
      </c>
    </row>
    <row r="7013" spans="1:20" x14ac:dyDescent="0.25">
      <c r="A7013" t="str">
        <f>"3049380"</f>
        <v>3049380</v>
      </c>
      <c r="B7013" t="s">
        <v>21283</v>
      </c>
      <c r="C7013" t="str">
        <f>"81295000"</f>
        <v>81295000</v>
      </c>
      <c r="D7013" t="s">
        <v>21284</v>
      </c>
      <c r="E7013" t="s">
        <v>21285</v>
      </c>
      <c r="F7013" t="s">
        <v>21286</v>
      </c>
      <c r="G7013" t="s">
        <v>21287</v>
      </c>
      <c r="I7013" t="s">
        <v>471</v>
      </c>
      <c r="J7013" t="s">
        <v>30</v>
      </c>
      <c r="K7013" t="s">
        <v>21288</v>
      </c>
      <c r="M7013" t="s">
        <v>17861</v>
      </c>
      <c r="N7013" t="str">
        <f>"2/1/2013 2:13:00 PM"</f>
        <v>2/1/2013 2:13:00 PM</v>
      </c>
      <c r="O7013" t="s">
        <v>21284</v>
      </c>
      <c r="T7013" t="s">
        <v>21285</v>
      </c>
    </row>
    <row r="7014" spans="1:20" x14ac:dyDescent="0.25">
      <c r="A7014" t="str">
        <f>"3054280"</f>
        <v>3054280</v>
      </c>
      <c r="B7014" t="s">
        <v>21289</v>
      </c>
      <c r="C7014" t="str">
        <f>"7945000"</f>
        <v>7945000</v>
      </c>
      <c r="D7014" t="s">
        <v>21290</v>
      </c>
      <c r="F7014" t="s">
        <v>21291</v>
      </c>
      <c r="I7014" t="s">
        <v>29</v>
      </c>
      <c r="J7014" t="s">
        <v>30</v>
      </c>
      <c r="K7014" t="s">
        <v>21292</v>
      </c>
      <c r="M7014" t="s">
        <v>18479</v>
      </c>
      <c r="N7014" t="str">
        <f>"2/13/2013 1:34:00 PM"</f>
        <v>2/13/2013 1:34:00 PM</v>
      </c>
      <c r="O7014" t="s">
        <v>21290</v>
      </c>
    </row>
    <row r="7015" spans="1:20" x14ac:dyDescent="0.25">
      <c r="A7015" t="str">
        <f>"3056222"</f>
        <v>3056222</v>
      </c>
      <c r="B7015" t="s">
        <v>21293</v>
      </c>
      <c r="C7015" t="str">
        <f>"8301416"</f>
        <v>8301416</v>
      </c>
      <c r="D7015" t="s">
        <v>21294</v>
      </c>
      <c r="F7015" t="s">
        <v>16701</v>
      </c>
      <c r="I7015" t="s">
        <v>29</v>
      </c>
      <c r="J7015" t="s">
        <v>30</v>
      </c>
      <c r="K7015" t="str">
        <f>"27028"</f>
        <v>27028</v>
      </c>
      <c r="M7015" t="s">
        <v>18479</v>
      </c>
      <c r="N7015" t="str">
        <f>"2/13/2013 2:05:00 PM"</f>
        <v>2/13/2013 2:05:00 PM</v>
      </c>
      <c r="O7015" t="s">
        <v>21294</v>
      </c>
    </row>
    <row r="7016" spans="1:20" x14ac:dyDescent="0.25">
      <c r="A7016" t="str">
        <f>"3050566"</f>
        <v>3050566</v>
      </c>
      <c r="B7016" t="s">
        <v>21295</v>
      </c>
      <c r="C7016" t="str">
        <f>"4396370"</f>
        <v>4396370</v>
      </c>
      <c r="D7016" t="s">
        <v>21296</v>
      </c>
      <c r="F7016" t="s">
        <v>21297</v>
      </c>
      <c r="I7016" t="s">
        <v>184</v>
      </c>
      <c r="J7016" t="s">
        <v>30</v>
      </c>
      <c r="K7016" t="s">
        <v>21298</v>
      </c>
      <c r="M7016" t="s">
        <v>18479</v>
      </c>
      <c r="N7016" t="str">
        <f>"2/13/2013 2:18:00 PM"</f>
        <v>2/13/2013 2:18:00 PM</v>
      </c>
      <c r="O7016" t="s">
        <v>21296</v>
      </c>
    </row>
    <row r="7017" spans="1:20" x14ac:dyDescent="0.25">
      <c r="A7017" t="str">
        <f>"3067353"</f>
        <v>3067353</v>
      </c>
      <c r="B7017" t="s">
        <v>21299</v>
      </c>
      <c r="C7017" t="str">
        <f>"4396370"</f>
        <v>4396370</v>
      </c>
      <c r="D7017" t="s">
        <v>21296</v>
      </c>
      <c r="F7017" t="s">
        <v>21297</v>
      </c>
      <c r="I7017" t="s">
        <v>184</v>
      </c>
      <c r="J7017" t="s">
        <v>30</v>
      </c>
      <c r="K7017" t="s">
        <v>21298</v>
      </c>
      <c r="M7017" t="s">
        <v>18479</v>
      </c>
      <c r="N7017" t="str">
        <f>"2/13/2013 2:18:00 PM"</f>
        <v>2/13/2013 2:18:00 PM</v>
      </c>
      <c r="O7017" t="s">
        <v>21296</v>
      </c>
    </row>
    <row r="7018" spans="1:20" x14ac:dyDescent="0.25">
      <c r="A7018" t="str">
        <f>"3067359"</f>
        <v>3067359</v>
      </c>
      <c r="B7018" t="s">
        <v>21300</v>
      </c>
      <c r="C7018" t="str">
        <f>"4396370"</f>
        <v>4396370</v>
      </c>
      <c r="D7018" t="s">
        <v>21296</v>
      </c>
      <c r="F7018" t="s">
        <v>21297</v>
      </c>
      <c r="I7018" t="s">
        <v>184</v>
      </c>
      <c r="J7018" t="s">
        <v>30</v>
      </c>
      <c r="K7018" t="s">
        <v>21298</v>
      </c>
      <c r="M7018" t="s">
        <v>18479</v>
      </c>
      <c r="N7018" t="str">
        <f>"2/13/2013 2:18:00 PM"</f>
        <v>2/13/2013 2:18:00 PM</v>
      </c>
      <c r="O7018" t="s">
        <v>21296</v>
      </c>
    </row>
    <row r="7019" spans="1:20" x14ac:dyDescent="0.25">
      <c r="A7019" t="str">
        <f>"3077639"</f>
        <v>3077639</v>
      </c>
      <c r="B7019" t="s">
        <v>21301</v>
      </c>
      <c r="C7019" t="str">
        <f>"82524175"</f>
        <v>82524175</v>
      </c>
      <c r="D7019" t="s">
        <v>21302</v>
      </c>
      <c r="E7019" t="s">
        <v>21303</v>
      </c>
      <c r="F7019" t="s">
        <v>21304</v>
      </c>
      <c r="I7019" t="s">
        <v>29</v>
      </c>
      <c r="J7019" t="s">
        <v>30</v>
      </c>
      <c r="K7019" t="s">
        <v>31</v>
      </c>
      <c r="M7019" t="s">
        <v>18479</v>
      </c>
      <c r="N7019" t="str">
        <f>"2/5/2013 8:59:00 AM"</f>
        <v>2/5/2013 8:59:00 AM</v>
      </c>
      <c r="O7019" t="s">
        <v>21302</v>
      </c>
      <c r="T7019" t="s">
        <v>21303</v>
      </c>
    </row>
    <row r="7020" spans="1:20" x14ac:dyDescent="0.25">
      <c r="A7020" t="str">
        <f>"3056196"</f>
        <v>3056196</v>
      </c>
      <c r="B7020" t="s">
        <v>21305</v>
      </c>
      <c r="C7020" t="str">
        <f>"17067750"</f>
        <v>17067750</v>
      </c>
      <c r="D7020" t="s">
        <v>21175</v>
      </c>
      <c r="F7020" t="s">
        <v>21176</v>
      </c>
      <c r="I7020" t="s">
        <v>9580</v>
      </c>
      <c r="J7020" t="s">
        <v>30</v>
      </c>
      <c r="K7020" t="s">
        <v>9581</v>
      </c>
      <c r="M7020" t="s">
        <v>17861</v>
      </c>
      <c r="N7020" t="str">
        <f>"2/5/2013 10:23:00 AM"</f>
        <v>2/5/2013 10:23:00 AM</v>
      </c>
      <c r="O7020" t="s">
        <v>21175</v>
      </c>
    </row>
    <row r="7021" spans="1:20" x14ac:dyDescent="0.25">
      <c r="A7021" t="str">
        <f>"3075430"</f>
        <v>3075430</v>
      </c>
      <c r="B7021" t="s">
        <v>21306</v>
      </c>
      <c r="C7021" t="str">
        <f>"82531121"</f>
        <v>82531121</v>
      </c>
      <c r="D7021" t="s">
        <v>21307</v>
      </c>
      <c r="F7021" t="s">
        <v>21308</v>
      </c>
      <c r="I7021" t="s">
        <v>2525</v>
      </c>
      <c r="J7021" t="s">
        <v>30</v>
      </c>
      <c r="K7021" t="s">
        <v>21309</v>
      </c>
      <c r="M7021" t="s">
        <v>17861</v>
      </c>
      <c r="N7021" t="str">
        <f>"2/6/2013 10:54:00 AM"</f>
        <v>2/6/2013 10:54:00 AM</v>
      </c>
      <c r="O7021" t="s">
        <v>21307</v>
      </c>
    </row>
    <row r="7022" spans="1:20" x14ac:dyDescent="0.25">
      <c r="A7022" t="str">
        <f>"3041551"</f>
        <v>3041551</v>
      </c>
      <c r="B7022" t="s">
        <v>21310</v>
      </c>
      <c r="C7022" t="str">
        <f>"12898000"</f>
        <v>12898000</v>
      </c>
      <c r="D7022" t="s">
        <v>21311</v>
      </c>
      <c r="E7022" t="s">
        <v>21312</v>
      </c>
      <c r="F7022" t="s">
        <v>21313</v>
      </c>
      <c r="I7022" t="s">
        <v>402</v>
      </c>
      <c r="J7022" t="s">
        <v>30</v>
      </c>
      <c r="K7022" t="s">
        <v>403</v>
      </c>
      <c r="M7022" t="s">
        <v>18479</v>
      </c>
      <c r="N7022" t="str">
        <f>"2/14/2013 4:19:00 PM"</f>
        <v>2/14/2013 4:19:00 PM</v>
      </c>
      <c r="O7022" t="s">
        <v>21311</v>
      </c>
      <c r="T7022" t="s">
        <v>21312</v>
      </c>
    </row>
    <row r="7023" spans="1:20" x14ac:dyDescent="0.25">
      <c r="A7023" t="str">
        <f>"3041064"</f>
        <v>3041064</v>
      </c>
      <c r="B7023" t="s">
        <v>21314</v>
      </c>
      <c r="C7023" t="str">
        <f>"12898000"</f>
        <v>12898000</v>
      </c>
      <c r="D7023" t="s">
        <v>21311</v>
      </c>
      <c r="E7023" t="s">
        <v>21312</v>
      </c>
      <c r="F7023" t="s">
        <v>21313</v>
      </c>
      <c r="I7023" t="s">
        <v>402</v>
      </c>
      <c r="J7023" t="s">
        <v>30</v>
      </c>
      <c r="K7023" t="s">
        <v>403</v>
      </c>
      <c r="M7023" t="s">
        <v>18479</v>
      </c>
      <c r="N7023" t="str">
        <f>"2/14/2013 4:19:00 PM"</f>
        <v>2/14/2013 4:19:00 PM</v>
      </c>
      <c r="O7023" t="s">
        <v>21311</v>
      </c>
      <c r="T7023" t="s">
        <v>21312</v>
      </c>
    </row>
    <row r="7024" spans="1:20" x14ac:dyDescent="0.25">
      <c r="A7024" t="str">
        <f>"3042767"</f>
        <v>3042767</v>
      </c>
      <c r="B7024" t="s">
        <v>21315</v>
      </c>
      <c r="C7024" t="str">
        <f>"82530186"</f>
        <v>82530186</v>
      </c>
      <c r="D7024" t="s">
        <v>21316</v>
      </c>
      <c r="E7024" t="s">
        <v>21317</v>
      </c>
      <c r="F7024" t="s">
        <v>21318</v>
      </c>
      <c r="I7024" t="s">
        <v>29</v>
      </c>
      <c r="J7024" t="s">
        <v>30</v>
      </c>
      <c r="K7024" t="s">
        <v>6750</v>
      </c>
      <c r="M7024" t="s">
        <v>17861</v>
      </c>
      <c r="N7024" t="str">
        <f>"2/6/2013 11:02:00 AM"</f>
        <v>2/6/2013 11:02:00 AM</v>
      </c>
      <c r="O7024" t="s">
        <v>21316</v>
      </c>
      <c r="T7024" t="s">
        <v>21317</v>
      </c>
    </row>
    <row r="7025" spans="1:20" x14ac:dyDescent="0.25">
      <c r="A7025" t="str">
        <f>"3042176"</f>
        <v>3042176</v>
      </c>
      <c r="B7025" t="s">
        <v>21319</v>
      </c>
      <c r="C7025" t="str">
        <f>"82530186"</f>
        <v>82530186</v>
      </c>
      <c r="D7025" t="s">
        <v>21316</v>
      </c>
      <c r="E7025" t="s">
        <v>21317</v>
      </c>
      <c r="F7025" t="s">
        <v>21318</v>
      </c>
      <c r="I7025" t="s">
        <v>29</v>
      </c>
      <c r="J7025" t="s">
        <v>30</v>
      </c>
      <c r="K7025" t="s">
        <v>6750</v>
      </c>
      <c r="M7025" t="s">
        <v>17861</v>
      </c>
      <c r="N7025" t="str">
        <f>"2/6/2013 11:02:00 AM"</f>
        <v>2/6/2013 11:02:00 AM</v>
      </c>
      <c r="O7025" t="s">
        <v>21316</v>
      </c>
      <c r="T7025" t="s">
        <v>21317</v>
      </c>
    </row>
    <row r="7026" spans="1:20" x14ac:dyDescent="0.25">
      <c r="A7026" t="str">
        <f>"3051005"</f>
        <v>3051005</v>
      </c>
      <c r="B7026" t="s">
        <v>21320</v>
      </c>
      <c r="C7026" t="str">
        <f>"82528465"</f>
        <v>82528465</v>
      </c>
      <c r="D7026" t="s">
        <v>21321</v>
      </c>
      <c r="F7026" t="s">
        <v>21322</v>
      </c>
      <c r="I7026" t="s">
        <v>10172</v>
      </c>
      <c r="J7026" t="s">
        <v>30</v>
      </c>
      <c r="K7026" t="s">
        <v>21323</v>
      </c>
      <c r="M7026" t="s">
        <v>17861</v>
      </c>
      <c r="N7026" t="str">
        <f>"2/6/2013 11:06:00 AM"</f>
        <v>2/6/2013 11:06:00 AM</v>
      </c>
      <c r="O7026" t="s">
        <v>21321</v>
      </c>
    </row>
    <row r="7027" spans="1:20" x14ac:dyDescent="0.25">
      <c r="A7027" t="str">
        <f>"3058120"</f>
        <v>3058120</v>
      </c>
      <c r="B7027" t="s">
        <v>21324</v>
      </c>
      <c r="C7027" t="str">
        <f>"82530980"</f>
        <v>82530980</v>
      </c>
      <c r="D7027" t="s">
        <v>21325</v>
      </c>
      <c r="E7027" t="s">
        <v>21326</v>
      </c>
      <c r="F7027" t="s">
        <v>21327</v>
      </c>
      <c r="I7027" t="s">
        <v>184</v>
      </c>
      <c r="J7027" t="s">
        <v>30</v>
      </c>
      <c r="K7027" t="s">
        <v>6203</v>
      </c>
      <c r="M7027" t="s">
        <v>17861</v>
      </c>
      <c r="N7027" t="str">
        <f>"2/6/2013 11:14:00 AM"</f>
        <v>2/6/2013 11:14:00 AM</v>
      </c>
      <c r="O7027" t="s">
        <v>21325</v>
      </c>
      <c r="T7027" t="s">
        <v>21326</v>
      </c>
    </row>
    <row r="7028" spans="1:20" x14ac:dyDescent="0.25">
      <c r="A7028" t="str">
        <f>"3043425"</f>
        <v>3043425</v>
      </c>
      <c r="B7028" t="s">
        <v>21328</v>
      </c>
      <c r="C7028" t="str">
        <f>"82523338"</f>
        <v>82523338</v>
      </c>
      <c r="D7028" t="s">
        <v>21329</v>
      </c>
      <c r="F7028" t="s">
        <v>21330</v>
      </c>
      <c r="I7028" t="s">
        <v>29</v>
      </c>
      <c r="J7028" t="s">
        <v>30</v>
      </c>
      <c r="K7028" t="s">
        <v>31</v>
      </c>
      <c r="M7028" t="s">
        <v>18432</v>
      </c>
      <c r="N7028" t="str">
        <f>"1/23/2013 1:13:00 PM"</f>
        <v>1/23/2013 1:13:00 PM</v>
      </c>
      <c r="O7028" t="s">
        <v>21329</v>
      </c>
    </row>
    <row r="7029" spans="1:20" x14ac:dyDescent="0.25">
      <c r="A7029" t="str">
        <f>"3054748"</f>
        <v>3054748</v>
      </c>
      <c r="B7029" t="s">
        <v>21331</v>
      </c>
      <c r="C7029" t="str">
        <f>"8301802"</f>
        <v>8301802</v>
      </c>
      <c r="D7029" t="s">
        <v>21332</v>
      </c>
      <c r="F7029" t="s">
        <v>21333</v>
      </c>
      <c r="I7029" t="s">
        <v>29</v>
      </c>
      <c r="J7029" t="s">
        <v>30</v>
      </c>
      <c r="K7029" t="str">
        <f>"27028"</f>
        <v>27028</v>
      </c>
      <c r="M7029" t="s">
        <v>17861</v>
      </c>
      <c r="N7029" t="str">
        <f>"2/18/2013 4:30:00 PM"</f>
        <v>2/18/2013 4:30:00 PM</v>
      </c>
      <c r="O7029" t="s">
        <v>21332</v>
      </c>
    </row>
    <row r="7030" spans="1:20" x14ac:dyDescent="0.25">
      <c r="A7030" t="str">
        <f>"3051045"</f>
        <v>3051045</v>
      </c>
      <c r="B7030" t="s">
        <v>21334</v>
      </c>
      <c r="C7030" t="str">
        <f>"8301803"</f>
        <v>8301803</v>
      </c>
      <c r="D7030" t="s">
        <v>11243</v>
      </c>
      <c r="F7030" t="s">
        <v>11245</v>
      </c>
      <c r="I7030" t="s">
        <v>29</v>
      </c>
      <c r="J7030" t="s">
        <v>30</v>
      </c>
      <c r="K7030" t="str">
        <f>"27028"</f>
        <v>27028</v>
      </c>
      <c r="M7030" t="s">
        <v>17861</v>
      </c>
      <c r="N7030" t="str">
        <f>"2/18/2013 4:40:00 PM"</f>
        <v>2/18/2013 4:40:00 PM</v>
      </c>
      <c r="O7030" t="s">
        <v>11243</v>
      </c>
    </row>
    <row r="7031" spans="1:20" x14ac:dyDescent="0.25">
      <c r="A7031" t="str">
        <f>"3054579"</f>
        <v>3054579</v>
      </c>
      <c r="B7031" t="s">
        <v>21335</v>
      </c>
      <c r="C7031" t="str">
        <f>"8300420"</f>
        <v>8300420</v>
      </c>
      <c r="D7031" t="s">
        <v>21336</v>
      </c>
      <c r="E7031" t="s">
        <v>21337</v>
      </c>
      <c r="F7031" t="s">
        <v>21338</v>
      </c>
      <c r="I7031" t="s">
        <v>29</v>
      </c>
      <c r="J7031" t="s">
        <v>30</v>
      </c>
      <c r="K7031" t="s">
        <v>31</v>
      </c>
      <c r="M7031" t="s">
        <v>20405</v>
      </c>
      <c r="N7031" t="str">
        <f>"1/23/2013 2:17:00 PM"</f>
        <v>1/23/2013 2:17:00 PM</v>
      </c>
      <c r="O7031" t="s">
        <v>21336</v>
      </c>
      <c r="T7031" t="s">
        <v>21337</v>
      </c>
    </row>
    <row r="7032" spans="1:20" x14ac:dyDescent="0.25">
      <c r="A7032" t="str">
        <f>"3055175"</f>
        <v>3055175</v>
      </c>
      <c r="B7032" t="s">
        <v>21339</v>
      </c>
      <c r="C7032" t="str">
        <f>"8301811"</f>
        <v>8301811</v>
      </c>
      <c r="D7032" t="s">
        <v>21340</v>
      </c>
      <c r="F7032" t="s">
        <v>21341</v>
      </c>
      <c r="I7032" t="s">
        <v>29</v>
      </c>
      <c r="J7032" t="s">
        <v>30</v>
      </c>
      <c r="K7032" t="str">
        <f>"27028"</f>
        <v>27028</v>
      </c>
      <c r="M7032" t="s">
        <v>17861</v>
      </c>
      <c r="N7032" t="str">
        <f>"2/19/2013 1:02:00 PM"</f>
        <v>2/19/2013 1:02:00 PM</v>
      </c>
      <c r="O7032" t="s">
        <v>21340</v>
      </c>
    </row>
    <row r="7033" spans="1:20" x14ac:dyDescent="0.25">
      <c r="A7033" t="str">
        <f>"3052656"</f>
        <v>3052656</v>
      </c>
      <c r="B7033" t="s">
        <v>21342</v>
      </c>
      <c r="C7033" t="str">
        <f>"15153330"</f>
        <v>15153330</v>
      </c>
      <c r="D7033" t="s">
        <v>21343</v>
      </c>
      <c r="F7033" t="s">
        <v>21344</v>
      </c>
      <c r="I7033" t="s">
        <v>29</v>
      </c>
      <c r="J7033" t="s">
        <v>30</v>
      </c>
      <c r="K7033" t="str">
        <f>"27028"</f>
        <v>27028</v>
      </c>
      <c r="M7033" t="s">
        <v>18479</v>
      </c>
      <c r="N7033" t="str">
        <f>"1/24/2013 3:02:00 PM"</f>
        <v>1/24/2013 3:02:00 PM</v>
      </c>
      <c r="O7033" t="s">
        <v>21343</v>
      </c>
    </row>
    <row r="7034" spans="1:20" x14ac:dyDescent="0.25">
      <c r="A7034" t="str">
        <f>"3048691"</f>
        <v>3048691</v>
      </c>
      <c r="B7034" t="s">
        <v>21345</v>
      </c>
      <c r="C7034" t="str">
        <f>"15153330"</f>
        <v>15153330</v>
      </c>
      <c r="D7034" t="s">
        <v>21343</v>
      </c>
      <c r="F7034" t="s">
        <v>21344</v>
      </c>
      <c r="I7034" t="s">
        <v>29</v>
      </c>
      <c r="J7034" t="s">
        <v>30</v>
      </c>
      <c r="K7034" t="str">
        <f>"27028"</f>
        <v>27028</v>
      </c>
      <c r="M7034" t="s">
        <v>18479</v>
      </c>
      <c r="N7034" t="str">
        <f>"1/24/2013 3:02:00 PM"</f>
        <v>1/24/2013 3:02:00 PM</v>
      </c>
      <c r="O7034" t="s">
        <v>21343</v>
      </c>
    </row>
    <row r="7035" spans="1:20" x14ac:dyDescent="0.25">
      <c r="A7035" t="str">
        <f>"3041964"</f>
        <v>3041964</v>
      </c>
      <c r="B7035" t="s">
        <v>21346</v>
      </c>
      <c r="C7035" t="str">
        <f>"82525432"</f>
        <v>82525432</v>
      </c>
      <c r="D7035" t="s">
        <v>18505</v>
      </c>
      <c r="F7035" t="s">
        <v>904</v>
      </c>
      <c r="I7035" t="s">
        <v>29</v>
      </c>
      <c r="J7035" t="s">
        <v>30</v>
      </c>
      <c r="K7035" t="s">
        <v>31</v>
      </c>
      <c r="M7035" t="s">
        <v>18479</v>
      </c>
      <c r="N7035" t="str">
        <f>"2/6/2013 3:59:00 PM"</f>
        <v>2/6/2013 3:59:00 PM</v>
      </c>
      <c r="O7035" t="s">
        <v>18505</v>
      </c>
    </row>
    <row r="7036" spans="1:20" x14ac:dyDescent="0.25">
      <c r="A7036" t="str">
        <f>"3038644"</f>
        <v>3038644</v>
      </c>
      <c r="B7036" t="s">
        <v>21347</v>
      </c>
      <c r="C7036" t="str">
        <f>"8301249"</f>
        <v>8301249</v>
      </c>
      <c r="D7036" t="s">
        <v>21348</v>
      </c>
      <c r="E7036" t="s">
        <v>21349</v>
      </c>
      <c r="F7036" t="s">
        <v>21350</v>
      </c>
      <c r="I7036" t="s">
        <v>29</v>
      </c>
      <c r="J7036" t="s">
        <v>30</v>
      </c>
      <c r="K7036" t="str">
        <f>"27028"</f>
        <v>27028</v>
      </c>
      <c r="M7036" t="s">
        <v>18479</v>
      </c>
      <c r="N7036" t="str">
        <f>"2/7/2013 1:50:00 PM"</f>
        <v>2/7/2013 1:50:00 PM</v>
      </c>
      <c r="O7036" t="s">
        <v>21348</v>
      </c>
      <c r="T7036" t="s">
        <v>21349</v>
      </c>
    </row>
    <row r="7037" spans="1:20" x14ac:dyDescent="0.25">
      <c r="A7037" t="str">
        <f>"3039834"</f>
        <v>3039834</v>
      </c>
      <c r="B7037" t="s">
        <v>21351</v>
      </c>
      <c r="C7037" t="str">
        <f>"8301174"</f>
        <v>8301174</v>
      </c>
      <c r="D7037" t="s">
        <v>21352</v>
      </c>
      <c r="F7037" t="s">
        <v>21353</v>
      </c>
      <c r="I7037" t="s">
        <v>29</v>
      </c>
      <c r="J7037" t="s">
        <v>30</v>
      </c>
      <c r="K7037" t="str">
        <f>"27028"</f>
        <v>27028</v>
      </c>
      <c r="M7037" t="s">
        <v>18479</v>
      </c>
      <c r="N7037" t="str">
        <f>"2/7/2013 3:16:00 PM"</f>
        <v>2/7/2013 3:16:00 PM</v>
      </c>
      <c r="O7037" t="s">
        <v>21352</v>
      </c>
    </row>
    <row r="7038" spans="1:20" x14ac:dyDescent="0.25">
      <c r="A7038" t="str">
        <f>"3052754"</f>
        <v>3052754</v>
      </c>
      <c r="B7038" t="s">
        <v>21354</v>
      </c>
      <c r="C7038" t="str">
        <f>"8301841"</f>
        <v>8301841</v>
      </c>
      <c r="D7038" t="s">
        <v>21355</v>
      </c>
      <c r="F7038" t="s">
        <v>21356</v>
      </c>
      <c r="I7038" t="s">
        <v>29</v>
      </c>
      <c r="J7038" t="s">
        <v>30</v>
      </c>
      <c r="K7038" t="str">
        <f>"27028"</f>
        <v>27028</v>
      </c>
      <c r="M7038" t="s">
        <v>17861</v>
      </c>
      <c r="N7038" t="str">
        <f>"2/25/2013 11:13:00 AM"</f>
        <v>2/25/2013 11:13:00 AM</v>
      </c>
      <c r="O7038" t="s">
        <v>21355</v>
      </c>
    </row>
    <row r="7039" spans="1:20" x14ac:dyDescent="0.25">
      <c r="A7039" t="str">
        <f>"3052296"</f>
        <v>3052296</v>
      </c>
      <c r="B7039" t="s">
        <v>21357</v>
      </c>
      <c r="C7039" t="str">
        <f>"8301841"</f>
        <v>8301841</v>
      </c>
      <c r="D7039" t="s">
        <v>21355</v>
      </c>
      <c r="F7039" t="s">
        <v>21356</v>
      </c>
      <c r="I7039" t="s">
        <v>29</v>
      </c>
      <c r="J7039" t="s">
        <v>30</v>
      </c>
      <c r="K7039" t="str">
        <f>"27028"</f>
        <v>27028</v>
      </c>
      <c r="M7039" t="s">
        <v>17861</v>
      </c>
      <c r="N7039" t="str">
        <f>"2/25/2013 11:13:00 AM"</f>
        <v>2/25/2013 11:13:00 AM</v>
      </c>
      <c r="O7039" t="s">
        <v>21355</v>
      </c>
    </row>
    <row r="7040" spans="1:20" x14ac:dyDescent="0.25">
      <c r="A7040" t="str">
        <f>"3067900"</f>
        <v>3067900</v>
      </c>
      <c r="B7040" t="s">
        <v>21358</v>
      </c>
      <c r="C7040" t="str">
        <f>"3710000"</f>
        <v>3710000</v>
      </c>
      <c r="D7040" t="s">
        <v>21359</v>
      </c>
      <c r="E7040" t="s">
        <v>21360</v>
      </c>
      <c r="F7040" t="s">
        <v>21361</v>
      </c>
      <c r="I7040" t="s">
        <v>29</v>
      </c>
      <c r="J7040" t="s">
        <v>30</v>
      </c>
      <c r="K7040" t="s">
        <v>21362</v>
      </c>
      <c r="M7040" t="s">
        <v>18479</v>
      </c>
      <c r="N7040" t="str">
        <f>"2/7/2013 3:43:00 PM"</f>
        <v>2/7/2013 3:43:00 PM</v>
      </c>
      <c r="O7040" t="s">
        <v>21359</v>
      </c>
      <c r="T7040" t="s">
        <v>21360</v>
      </c>
    </row>
    <row r="7041" spans="1:20" x14ac:dyDescent="0.25">
      <c r="A7041" t="str">
        <f>"3050888"</f>
        <v>3050888</v>
      </c>
      <c r="B7041" t="s">
        <v>21363</v>
      </c>
      <c r="C7041" t="str">
        <f>"82514383"</f>
        <v>82514383</v>
      </c>
      <c r="D7041" t="s">
        <v>21364</v>
      </c>
      <c r="E7041" t="s">
        <v>21365</v>
      </c>
      <c r="F7041" t="s">
        <v>21366</v>
      </c>
      <c r="I7041" t="s">
        <v>184</v>
      </c>
      <c r="J7041" t="s">
        <v>30</v>
      </c>
      <c r="K7041" t="s">
        <v>185</v>
      </c>
      <c r="M7041" t="s">
        <v>18479</v>
      </c>
      <c r="N7041" t="str">
        <f>"2/8/2013 9:15:00 AM"</f>
        <v>2/8/2013 9:15:00 AM</v>
      </c>
      <c r="O7041" t="s">
        <v>21364</v>
      </c>
      <c r="T7041" t="s">
        <v>21365</v>
      </c>
    </row>
    <row r="7042" spans="1:20" x14ac:dyDescent="0.25">
      <c r="A7042" t="str">
        <f>"3050570"</f>
        <v>3050570</v>
      </c>
      <c r="B7042" t="s">
        <v>21367</v>
      </c>
      <c r="C7042" t="str">
        <f>"82514383"</f>
        <v>82514383</v>
      </c>
      <c r="D7042" t="s">
        <v>21364</v>
      </c>
      <c r="E7042" t="s">
        <v>21365</v>
      </c>
      <c r="F7042" t="s">
        <v>21366</v>
      </c>
      <c r="I7042" t="s">
        <v>184</v>
      </c>
      <c r="J7042" t="s">
        <v>30</v>
      </c>
      <c r="K7042" t="s">
        <v>185</v>
      </c>
      <c r="M7042" t="s">
        <v>18479</v>
      </c>
      <c r="N7042" t="str">
        <f>"2/8/2013 9:15:00 AM"</f>
        <v>2/8/2013 9:15:00 AM</v>
      </c>
      <c r="O7042" t="s">
        <v>21364</v>
      </c>
      <c r="T7042" t="s">
        <v>21365</v>
      </c>
    </row>
    <row r="7043" spans="1:20" x14ac:dyDescent="0.25">
      <c r="A7043" t="str">
        <f>"3078397"</f>
        <v>3078397</v>
      </c>
      <c r="B7043" t="s">
        <v>21368</v>
      </c>
      <c r="C7043" t="str">
        <f>"8735250"</f>
        <v>8735250</v>
      </c>
      <c r="D7043" t="s">
        <v>21247</v>
      </c>
      <c r="E7043" t="s">
        <v>21248</v>
      </c>
      <c r="F7043" t="s">
        <v>21249</v>
      </c>
      <c r="I7043" t="s">
        <v>29</v>
      </c>
      <c r="J7043" t="s">
        <v>30</v>
      </c>
      <c r="K7043" t="s">
        <v>21250</v>
      </c>
      <c r="M7043" t="s">
        <v>18479</v>
      </c>
      <c r="N7043" t="str">
        <f>"2/8/2013 3:02:00 PM"</f>
        <v>2/8/2013 3:02:00 PM</v>
      </c>
      <c r="O7043" t="s">
        <v>21247</v>
      </c>
      <c r="T7043" t="s">
        <v>21248</v>
      </c>
    </row>
    <row r="7044" spans="1:20" x14ac:dyDescent="0.25">
      <c r="A7044" t="str">
        <f>"3045660"</f>
        <v>3045660</v>
      </c>
      <c r="B7044" t="s">
        <v>21369</v>
      </c>
      <c r="C7044" t="str">
        <f>"82528885"</f>
        <v>82528885</v>
      </c>
      <c r="D7044" t="s">
        <v>21370</v>
      </c>
      <c r="F7044" t="s">
        <v>21371</v>
      </c>
      <c r="I7044" t="s">
        <v>29</v>
      </c>
      <c r="J7044" t="s">
        <v>30</v>
      </c>
      <c r="K7044" t="s">
        <v>21372</v>
      </c>
      <c r="M7044" t="s">
        <v>18479</v>
      </c>
      <c r="N7044" t="str">
        <f>"2/8/2013 3:31:00 PM"</f>
        <v>2/8/2013 3:31:00 PM</v>
      </c>
      <c r="O7044" t="s">
        <v>21370</v>
      </c>
    </row>
    <row r="7045" spans="1:20" x14ac:dyDescent="0.25">
      <c r="A7045" t="str">
        <f>"3060502"</f>
        <v>3060502</v>
      </c>
      <c r="B7045" t="s">
        <v>21373</v>
      </c>
      <c r="C7045" t="str">
        <f>"82523205"</f>
        <v>82523205</v>
      </c>
      <c r="D7045" t="s">
        <v>21374</v>
      </c>
      <c r="E7045" t="s">
        <v>21375</v>
      </c>
      <c r="F7045" t="s">
        <v>21376</v>
      </c>
      <c r="I7045" t="s">
        <v>184</v>
      </c>
      <c r="J7045" t="s">
        <v>30</v>
      </c>
      <c r="K7045" t="s">
        <v>9218</v>
      </c>
      <c r="M7045" t="s">
        <v>18479</v>
      </c>
      <c r="N7045" t="str">
        <f>"2/8/2013 4:00:00 PM"</f>
        <v>2/8/2013 4:00:00 PM</v>
      </c>
      <c r="O7045" t="s">
        <v>21374</v>
      </c>
      <c r="T7045" t="s">
        <v>21375</v>
      </c>
    </row>
    <row r="7046" spans="1:20" x14ac:dyDescent="0.25">
      <c r="A7046" t="str">
        <f>"3051209"</f>
        <v>3051209</v>
      </c>
      <c r="B7046" t="s">
        <v>21377</v>
      </c>
      <c r="C7046" t="str">
        <f>"8301778"</f>
        <v>8301778</v>
      </c>
      <c r="D7046" t="s">
        <v>21378</v>
      </c>
      <c r="F7046" t="s">
        <v>21379</v>
      </c>
      <c r="I7046" t="s">
        <v>1107</v>
      </c>
      <c r="J7046" t="s">
        <v>30</v>
      </c>
      <c r="K7046" t="str">
        <f>"28677"</f>
        <v>28677</v>
      </c>
      <c r="M7046" t="s">
        <v>17861</v>
      </c>
      <c r="N7046" t="str">
        <f>"2/11/2013 1:52:00 PM"</f>
        <v>2/11/2013 1:52:00 PM</v>
      </c>
      <c r="O7046" t="s">
        <v>21378</v>
      </c>
    </row>
    <row r="7047" spans="1:20" x14ac:dyDescent="0.25">
      <c r="A7047" t="str">
        <f>"3052849"</f>
        <v>3052849</v>
      </c>
      <c r="B7047" t="s">
        <v>21380</v>
      </c>
      <c r="C7047" t="str">
        <f>"6605350"</f>
        <v>6605350</v>
      </c>
      <c r="D7047" t="s">
        <v>21381</v>
      </c>
      <c r="F7047" t="s">
        <v>21382</v>
      </c>
      <c r="G7047" t="s">
        <v>21383</v>
      </c>
      <c r="I7047" t="s">
        <v>29</v>
      </c>
      <c r="J7047" t="s">
        <v>30</v>
      </c>
      <c r="K7047" t="s">
        <v>31</v>
      </c>
      <c r="M7047" t="s">
        <v>18513</v>
      </c>
      <c r="N7047" t="str">
        <f>"2/12/2013 12:47:00 PM"</f>
        <v>2/12/2013 12:47:00 PM</v>
      </c>
      <c r="O7047" t="s">
        <v>21381</v>
      </c>
    </row>
    <row r="7048" spans="1:20" x14ac:dyDescent="0.25">
      <c r="A7048" t="str">
        <f>"3055220"</f>
        <v>3055220</v>
      </c>
      <c r="B7048" t="s">
        <v>21384</v>
      </c>
      <c r="C7048" t="str">
        <f>"8301869"</f>
        <v>8301869</v>
      </c>
      <c r="D7048" t="s">
        <v>21385</v>
      </c>
      <c r="E7048" t="s">
        <v>21386</v>
      </c>
      <c r="F7048" t="s">
        <v>21387</v>
      </c>
      <c r="I7048" t="s">
        <v>29</v>
      </c>
      <c r="J7048" t="s">
        <v>30</v>
      </c>
      <c r="K7048" t="str">
        <f>"28028"</f>
        <v>28028</v>
      </c>
      <c r="M7048" t="s">
        <v>17861</v>
      </c>
      <c r="N7048" t="str">
        <f>"2/27/2013 9:39:00 AM"</f>
        <v>2/27/2013 9:39:00 AM</v>
      </c>
      <c r="O7048" t="s">
        <v>21385</v>
      </c>
      <c r="T7048" t="s">
        <v>21386</v>
      </c>
    </row>
    <row r="7049" spans="1:20" x14ac:dyDescent="0.25">
      <c r="A7049" t="str">
        <f>"3055372"</f>
        <v>3055372</v>
      </c>
      <c r="B7049" t="s">
        <v>21388</v>
      </c>
      <c r="C7049" t="str">
        <f>"8301869"</f>
        <v>8301869</v>
      </c>
      <c r="D7049" t="s">
        <v>21385</v>
      </c>
      <c r="E7049" t="s">
        <v>21386</v>
      </c>
      <c r="F7049" t="s">
        <v>21387</v>
      </c>
      <c r="I7049" t="s">
        <v>29</v>
      </c>
      <c r="J7049" t="s">
        <v>30</v>
      </c>
      <c r="K7049" t="str">
        <f>"28028"</f>
        <v>28028</v>
      </c>
      <c r="M7049" t="s">
        <v>17861</v>
      </c>
      <c r="N7049" t="str">
        <f>"2/27/2013 9:39:00 AM"</f>
        <v>2/27/2013 9:39:00 AM</v>
      </c>
      <c r="O7049" t="s">
        <v>21385</v>
      </c>
      <c r="T7049" t="s">
        <v>21386</v>
      </c>
    </row>
    <row r="7050" spans="1:20" x14ac:dyDescent="0.25">
      <c r="A7050" t="str">
        <f>"3053716"</f>
        <v>3053716</v>
      </c>
      <c r="B7050" t="s">
        <v>21389</v>
      </c>
      <c r="C7050" t="str">
        <f>"8301486"</f>
        <v>8301486</v>
      </c>
      <c r="D7050" t="s">
        <v>21390</v>
      </c>
      <c r="E7050" t="s">
        <v>21391</v>
      </c>
      <c r="F7050" t="s">
        <v>21392</v>
      </c>
      <c r="I7050" t="s">
        <v>184</v>
      </c>
      <c r="J7050" t="s">
        <v>30</v>
      </c>
      <c r="K7050" t="str">
        <f>"27006"</f>
        <v>27006</v>
      </c>
      <c r="M7050" t="s">
        <v>18432</v>
      </c>
      <c r="N7050" t="str">
        <f>"2/13/2013 1:06:00 PM"</f>
        <v>2/13/2013 1:06:00 PM</v>
      </c>
      <c r="O7050" t="s">
        <v>21390</v>
      </c>
      <c r="T7050" t="s">
        <v>21391</v>
      </c>
    </row>
    <row r="7051" spans="1:20" x14ac:dyDescent="0.25">
      <c r="A7051" t="str">
        <f>"3053395"</f>
        <v>3053395</v>
      </c>
      <c r="B7051" t="s">
        <v>21393</v>
      </c>
      <c r="C7051" t="str">
        <f>"8301878"</f>
        <v>8301878</v>
      </c>
      <c r="D7051" t="s">
        <v>21394</v>
      </c>
      <c r="E7051" t="s">
        <v>21395</v>
      </c>
      <c r="F7051" t="s">
        <v>21396</v>
      </c>
      <c r="I7051" t="s">
        <v>29</v>
      </c>
      <c r="J7051" t="s">
        <v>30</v>
      </c>
      <c r="K7051" t="str">
        <f>"27028"</f>
        <v>27028</v>
      </c>
      <c r="M7051" t="s">
        <v>17861</v>
      </c>
      <c r="N7051" t="str">
        <f>"2/28/2013 12:05:00 PM"</f>
        <v>2/28/2013 12:05:00 PM</v>
      </c>
      <c r="O7051" t="s">
        <v>21394</v>
      </c>
      <c r="T7051" t="s">
        <v>21395</v>
      </c>
    </row>
    <row r="7052" spans="1:20" x14ac:dyDescent="0.25">
      <c r="A7052" t="str">
        <f>"3077609"</f>
        <v>3077609</v>
      </c>
      <c r="B7052" t="s">
        <v>21397</v>
      </c>
      <c r="C7052" t="str">
        <f>"8301879"</f>
        <v>8301879</v>
      </c>
      <c r="D7052" t="s">
        <v>21398</v>
      </c>
      <c r="E7052" t="s">
        <v>21399</v>
      </c>
      <c r="F7052" t="s">
        <v>21400</v>
      </c>
      <c r="I7052" t="s">
        <v>1149</v>
      </c>
      <c r="J7052" t="s">
        <v>30</v>
      </c>
      <c r="K7052" t="s">
        <v>21401</v>
      </c>
      <c r="M7052" t="s">
        <v>17861</v>
      </c>
      <c r="N7052" t="str">
        <f>"2/28/2013 12:11:00 PM"</f>
        <v>2/28/2013 12:11:00 PM</v>
      </c>
      <c r="O7052" t="s">
        <v>21398</v>
      </c>
      <c r="T7052" t="s">
        <v>21399</v>
      </c>
    </row>
    <row r="7053" spans="1:20" x14ac:dyDescent="0.25">
      <c r="A7053" t="str">
        <f>"3062442"</f>
        <v>3062442</v>
      </c>
      <c r="B7053" t="s">
        <v>21402</v>
      </c>
      <c r="C7053" t="str">
        <f>"8301881"</f>
        <v>8301881</v>
      </c>
      <c r="D7053" t="s">
        <v>21403</v>
      </c>
      <c r="F7053" t="s">
        <v>21404</v>
      </c>
      <c r="I7053" t="s">
        <v>2071</v>
      </c>
      <c r="J7053" t="s">
        <v>30</v>
      </c>
      <c r="K7053" t="str">
        <f>"27006"</f>
        <v>27006</v>
      </c>
      <c r="M7053" t="s">
        <v>17861</v>
      </c>
      <c r="N7053" t="str">
        <f>"2/28/2013 12:18:00 PM"</f>
        <v>2/28/2013 12:18:00 PM</v>
      </c>
      <c r="O7053" t="s">
        <v>21403</v>
      </c>
    </row>
    <row r="7054" spans="1:20" x14ac:dyDescent="0.25">
      <c r="A7054" t="str">
        <f>"3048713"</f>
        <v>3048713</v>
      </c>
      <c r="B7054" t="s">
        <v>21405</v>
      </c>
      <c r="C7054" t="str">
        <f>"8301883"</f>
        <v>8301883</v>
      </c>
      <c r="D7054" t="s">
        <v>21406</v>
      </c>
      <c r="F7054" t="s">
        <v>21407</v>
      </c>
      <c r="I7054" t="s">
        <v>29</v>
      </c>
      <c r="J7054" t="s">
        <v>30</v>
      </c>
      <c r="K7054" t="str">
        <f>"27028"</f>
        <v>27028</v>
      </c>
      <c r="M7054" t="s">
        <v>17861</v>
      </c>
      <c r="N7054" t="str">
        <f>"2/28/2013 12:52:00 PM"</f>
        <v>2/28/2013 12:52:00 PM</v>
      </c>
      <c r="O7054" t="s">
        <v>21406</v>
      </c>
    </row>
    <row r="7055" spans="1:20" x14ac:dyDescent="0.25">
      <c r="A7055" t="str">
        <f>"3040528"</f>
        <v>3040528</v>
      </c>
      <c r="B7055" t="s">
        <v>21408</v>
      </c>
      <c r="C7055" t="str">
        <f>"8301120"</f>
        <v>8301120</v>
      </c>
      <c r="D7055" t="s">
        <v>21409</v>
      </c>
      <c r="E7055" t="s">
        <v>21410</v>
      </c>
      <c r="F7055" t="s">
        <v>21411</v>
      </c>
      <c r="I7055" t="s">
        <v>184</v>
      </c>
      <c r="J7055" t="s">
        <v>30</v>
      </c>
      <c r="K7055" t="str">
        <f>"27006"</f>
        <v>27006</v>
      </c>
      <c r="M7055" t="s">
        <v>18479</v>
      </c>
      <c r="N7055" t="str">
        <f>"2/14/2013 3:52:00 PM"</f>
        <v>2/14/2013 3:52:00 PM</v>
      </c>
      <c r="O7055" t="s">
        <v>21409</v>
      </c>
      <c r="T7055" t="s">
        <v>21410</v>
      </c>
    </row>
    <row r="7056" spans="1:20" x14ac:dyDescent="0.25">
      <c r="A7056" t="str">
        <f>"3040342"</f>
        <v>3040342</v>
      </c>
      <c r="B7056" t="s">
        <v>21412</v>
      </c>
      <c r="C7056" t="str">
        <f>"8301885"</f>
        <v>8301885</v>
      </c>
      <c r="D7056" t="s">
        <v>21413</v>
      </c>
      <c r="F7056" t="s">
        <v>21414</v>
      </c>
      <c r="I7056" t="s">
        <v>184</v>
      </c>
      <c r="J7056" t="s">
        <v>30</v>
      </c>
      <c r="K7056" t="str">
        <f>"27006"</f>
        <v>27006</v>
      </c>
      <c r="M7056" t="s">
        <v>17861</v>
      </c>
      <c r="N7056" t="str">
        <f>"2/28/2013 1:18:00 PM"</f>
        <v>2/28/2013 1:18:00 PM</v>
      </c>
      <c r="O7056" t="s">
        <v>21413</v>
      </c>
    </row>
    <row r="7057" spans="1:20" x14ac:dyDescent="0.25">
      <c r="A7057" t="str">
        <f>"3040343"</f>
        <v>3040343</v>
      </c>
      <c r="B7057" t="s">
        <v>21415</v>
      </c>
      <c r="C7057" t="str">
        <f>"8301885"</f>
        <v>8301885</v>
      </c>
      <c r="D7057" t="s">
        <v>21413</v>
      </c>
      <c r="F7057" t="s">
        <v>21414</v>
      </c>
      <c r="I7057" t="s">
        <v>184</v>
      </c>
      <c r="J7057" t="s">
        <v>30</v>
      </c>
      <c r="K7057" t="str">
        <f>"27006"</f>
        <v>27006</v>
      </c>
      <c r="M7057" t="s">
        <v>17861</v>
      </c>
      <c r="N7057" t="str">
        <f>"2/28/2013 1:18:00 PM"</f>
        <v>2/28/2013 1:18:00 PM</v>
      </c>
      <c r="O7057" t="s">
        <v>21413</v>
      </c>
    </row>
    <row r="7058" spans="1:20" x14ac:dyDescent="0.25">
      <c r="A7058" t="str">
        <f>"3040793"</f>
        <v>3040793</v>
      </c>
      <c r="B7058" t="s">
        <v>21416</v>
      </c>
      <c r="C7058" t="str">
        <f>"8301886"</f>
        <v>8301886</v>
      </c>
      <c r="D7058" t="s">
        <v>21417</v>
      </c>
      <c r="E7058" t="s">
        <v>21418</v>
      </c>
      <c r="F7058" t="s">
        <v>21419</v>
      </c>
      <c r="I7058" t="s">
        <v>184</v>
      </c>
      <c r="J7058" t="s">
        <v>30</v>
      </c>
      <c r="K7058" t="str">
        <f>"27006"</f>
        <v>27006</v>
      </c>
      <c r="M7058" t="s">
        <v>17861</v>
      </c>
      <c r="N7058" t="str">
        <f>"2/28/2013 1:26:00 PM"</f>
        <v>2/28/2013 1:26:00 PM</v>
      </c>
      <c r="O7058" t="s">
        <v>21417</v>
      </c>
      <c r="T7058" t="s">
        <v>21418</v>
      </c>
    </row>
    <row r="7059" spans="1:20" x14ac:dyDescent="0.25">
      <c r="A7059" t="str">
        <f>"3077177"</f>
        <v>3077177</v>
      </c>
      <c r="B7059" t="s">
        <v>21420</v>
      </c>
      <c r="C7059" t="str">
        <f>"8301888"</f>
        <v>8301888</v>
      </c>
      <c r="D7059" t="s">
        <v>21421</v>
      </c>
      <c r="E7059" t="s">
        <v>21422</v>
      </c>
      <c r="F7059" t="s">
        <v>21423</v>
      </c>
      <c r="I7059" t="s">
        <v>184</v>
      </c>
      <c r="J7059" t="s">
        <v>30</v>
      </c>
      <c r="K7059" t="str">
        <f>"27006"</f>
        <v>27006</v>
      </c>
      <c r="M7059" t="s">
        <v>17861</v>
      </c>
      <c r="N7059" t="str">
        <f>"2/28/2013 1:38:00 PM"</f>
        <v>2/28/2013 1:38:00 PM</v>
      </c>
      <c r="O7059" t="s">
        <v>21421</v>
      </c>
      <c r="T7059" t="s">
        <v>21422</v>
      </c>
    </row>
    <row r="7060" spans="1:20" x14ac:dyDescent="0.25">
      <c r="A7060" t="str">
        <f>"3038586"</f>
        <v>3038586</v>
      </c>
      <c r="B7060" t="s">
        <v>21424</v>
      </c>
      <c r="C7060" t="str">
        <f>"8301890"</f>
        <v>8301890</v>
      </c>
      <c r="D7060" t="s">
        <v>21425</v>
      </c>
      <c r="E7060" t="s">
        <v>21426</v>
      </c>
      <c r="F7060" t="s">
        <v>21427</v>
      </c>
      <c r="I7060" t="s">
        <v>29</v>
      </c>
      <c r="J7060" t="s">
        <v>30</v>
      </c>
      <c r="K7060" t="str">
        <f>"27028"</f>
        <v>27028</v>
      </c>
      <c r="M7060" t="s">
        <v>17861</v>
      </c>
      <c r="N7060" t="str">
        <f>"2/28/2013 1:45:00 PM"</f>
        <v>2/28/2013 1:45:00 PM</v>
      </c>
      <c r="O7060" t="s">
        <v>21425</v>
      </c>
      <c r="T7060" t="s">
        <v>21426</v>
      </c>
    </row>
    <row r="7061" spans="1:20" x14ac:dyDescent="0.25">
      <c r="A7061" t="str">
        <f>"3037917"</f>
        <v>3037917</v>
      </c>
      <c r="B7061" t="s">
        <v>21428</v>
      </c>
      <c r="C7061" t="str">
        <f>"8301890"</f>
        <v>8301890</v>
      </c>
      <c r="D7061" t="s">
        <v>21425</v>
      </c>
      <c r="E7061" t="s">
        <v>21426</v>
      </c>
      <c r="F7061" t="s">
        <v>21427</v>
      </c>
      <c r="I7061" t="s">
        <v>29</v>
      </c>
      <c r="J7061" t="s">
        <v>30</v>
      </c>
      <c r="K7061" t="str">
        <f>"27028"</f>
        <v>27028</v>
      </c>
      <c r="M7061" t="s">
        <v>17861</v>
      </c>
      <c r="N7061" t="str">
        <f>"2/28/2013 1:45:00 PM"</f>
        <v>2/28/2013 1:45:00 PM</v>
      </c>
      <c r="O7061" t="s">
        <v>21425</v>
      </c>
      <c r="T7061" t="s">
        <v>21426</v>
      </c>
    </row>
    <row r="7062" spans="1:20" x14ac:dyDescent="0.25">
      <c r="A7062" t="str">
        <f>"3050861"</f>
        <v>3050861</v>
      </c>
      <c r="B7062" t="s">
        <v>21429</v>
      </c>
      <c r="C7062" t="str">
        <f>"8301894"</f>
        <v>8301894</v>
      </c>
      <c r="D7062" t="s">
        <v>21430</v>
      </c>
      <c r="F7062" t="s">
        <v>21431</v>
      </c>
      <c r="I7062" t="s">
        <v>184</v>
      </c>
      <c r="J7062" t="s">
        <v>30</v>
      </c>
      <c r="K7062" t="str">
        <f>"27006"</f>
        <v>27006</v>
      </c>
      <c r="M7062" t="s">
        <v>17861</v>
      </c>
      <c r="N7062" t="str">
        <f>"2/28/2013 2:17:00 PM"</f>
        <v>2/28/2013 2:17:00 PM</v>
      </c>
      <c r="O7062" t="s">
        <v>21430</v>
      </c>
    </row>
    <row r="7063" spans="1:20" x14ac:dyDescent="0.25">
      <c r="A7063" t="str">
        <f>"3066434"</f>
        <v>3066434</v>
      </c>
      <c r="B7063" t="s">
        <v>21432</v>
      </c>
      <c r="C7063" t="str">
        <f>"82528504"</f>
        <v>82528504</v>
      </c>
      <c r="D7063" t="s">
        <v>21433</v>
      </c>
      <c r="E7063" t="s">
        <v>21434</v>
      </c>
      <c r="F7063" t="s">
        <v>21435</v>
      </c>
      <c r="I7063" t="s">
        <v>29</v>
      </c>
      <c r="J7063" t="s">
        <v>30</v>
      </c>
      <c r="K7063" t="s">
        <v>31</v>
      </c>
      <c r="M7063" t="s">
        <v>18479</v>
      </c>
      <c r="N7063" t="str">
        <f>"2/14/2013 3:55:00 PM"</f>
        <v>2/14/2013 3:55:00 PM</v>
      </c>
      <c r="O7063" t="s">
        <v>21433</v>
      </c>
      <c r="T7063" t="s">
        <v>21434</v>
      </c>
    </row>
    <row r="7064" spans="1:20" x14ac:dyDescent="0.25">
      <c r="A7064" t="str">
        <f>"3041054"</f>
        <v>3041054</v>
      </c>
      <c r="B7064" t="s">
        <v>21436</v>
      </c>
      <c r="C7064" t="str">
        <f>"12898000"</f>
        <v>12898000</v>
      </c>
      <c r="D7064" t="s">
        <v>21311</v>
      </c>
      <c r="E7064" t="s">
        <v>21312</v>
      </c>
      <c r="F7064" t="s">
        <v>21313</v>
      </c>
      <c r="I7064" t="s">
        <v>402</v>
      </c>
      <c r="J7064" t="s">
        <v>30</v>
      </c>
      <c r="K7064" t="s">
        <v>403</v>
      </c>
      <c r="M7064" t="s">
        <v>18479</v>
      </c>
      <c r="N7064" t="str">
        <f>"2/14/2013 4:19:00 PM"</f>
        <v>2/14/2013 4:19:00 PM</v>
      </c>
      <c r="O7064" t="s">
        <v>21311</v>
      </c>
      <c r="T7064" t="s">
        <v>21312</v>
      </c>
    </row>
    <row r="7065" spans="1:20" x14ac:dyDescent="0.25">
      <c r="A7065" t="str">
        <f>"3044534"</f>
        <v>3044534</v>
      </c>
      <c r="B7065" t="s">
        <v>21437</v>
      </c>
      <c r="C7065" t="str">
        <f>"82522112"</f>
        <v>82522112</v>
      </c>
      <c r="D7065" t="s">
        <v>18267</v>
      </c>
      <c r="F7065" t="s">
        <v>18269</v>
      </c>
      <c r="I7065" t="s">
        <v>184</v>
      </c>
      <c r="J7065" t="s">
        <v>30</v>
      </c>
      <c r="K7065" t="s">
        <v>21438</v>
      </c>
      <c r="M7065" t="s">
        <v>17861</v>
      </c>
      <c r="N7065" t="str">
        <f>"2/15/2013 10:32:00 AM"</f>
        <v>2/15/2013 10:32:00 AM</v>
      </c>
      <c r="O7065" t="s">
        <v>18267</v>
      </c>
      <c r="T7065" t="s">
        <v>18267</v>
      </c>
    </row>
    <row r="7066" spans="1:20" x14ac:dyDescent="0.25">
      <c r="A7066" t="str">
        <f>"3044076"</f>
        <v>3044076</v>
      </c>
      <c r="B7066" t="s">
        <v>21439</v>
      </c>
      <c r="C7066" t="str">
        <f>"8301899"</f>
        <v>8301899</v>
      </c>
      <c r="D7066" t="s">
        <v>21440</v>
      </c>
      <c r="F7066" t="s">
        <v>19296</v>
      </c>
      <c r="I7066" t="s">
        <v>184</v>
      </c>
      <c r="J7066" t="s">
        <v>30</v>
      </c>
      <c r="K7066" t="str">
        <f>"27028"</f>
        <v>27028</v>
      </c>
      <c r="M7066" t="s">
        <v>17861</v>
      </c>
      <c r="N7066" t="str">
        <f>"3/1/2013 2:05:00 PM"</f>
        <v>3/1/2013 2:05:00 PM</v>
      </c>
      <c r="O7066" t="s">
        <v>21440</v>
      </c>
    </row>
    <row r="7067" spans="1:20" x14ac:dyDescent="0.25">
      <c r="A7067" t="str">
        <f>"3043952"</f>
        <v>3043952</v>
      </c>
      <c r="B7067" t="s">
        <v>21441</v>
      </c>
      <c r="C7067" t="str">
        <f>"8301899"</f>
        <v>8301899</v>
      </c>
      <c r="D7067" t="s">
        <v>21440</v>
      </c>
      <c r="F7067" t="s">
        <v>19296</v>
      </c>
      <c r="I7067" t="s">
        <v>184</v>
      </c>
      <c r="J7067" t="s">
        <v>30</v>
      </c>
      <c r="K7067" t="str">
        <f>"27028"</f>
        <v>27028</v>
      </c>
      <c r="M7067" t="s">
        <v>17861</v>
      </c>
      <c r="N7067" t="str">
        <f>"3/1/2013 2:05:00 PM"</f>
        <v>3/1/2013 2:05:00 PM</v>
      </c>
      <c r="O7067" t="s">
        <v>21440</v>
      </c>
    </row>
    <row r="7068" spans="1:20" x14ac:dyDescent="0.25">
      <c r="A7068" t="str">
        <f>"3067311"</f>
        <v>3067311</v>
      </c>
      <c r="B7068" t="s">
        <v>21442</v>
      </c>
      <c r="C7068" t="str">
        <f>"8301899"</f>
        <v>8301899</v>
      </c>
      <c r="D7068" t="s">
        <v>21440</v>
      </c>
      <c r="F7068" t="s">
        <v>19296</v>
      </c>
      <c r="I7068" t="s">
        <v>184</v>
      </c>
      <c r="J7068" t="s">
        <v>30</v>
      </c>
      <c r="K7068" t="str">
        <f>"27028"</f>
        <v>27028</v>
      </c>
      <c r="M7068" t="s">
        <v>17861</v>
      </c>
      <c r="N7068" t="str">
        <f>"3/1/2013 2:05:00 PM"</f>
        <v>3/1/2013 2:05:00 PM</v>
      </c>
      <c r="O7068" t="s">
        <v>21440</v>
      </c>
    </row>
    <row r="7069" spans="1:20" x14ac:dyDescent="0.25">
      <c r="A7069" t="str">
        <f>"3044138"</f>
        <v>3044138</v>
      </c>
      <c r="B7069" t="s">
        <v>21443</v>
      </c>
      <c r="C7069" t="str">
        <f>"16939930"</f>
        <v>16939930</v>
      </c>
      <c r="D7069" t="s">
        <v>21444</v>
      </c>
      <c r="E7069" t="s">
        <v>21445</v>
      </c>
      <c r="F7069" t="s">
        <v>21446</v>
      </c>
      <c r="I7069" t="s">
        <v>184</v>
      </c>
      <c r="J7069" t="s">
        <v>30</v>
      </c>
      <c r="K7069" t="s">
        <v>185</v>
      </c>
      <c r="M7069" t="s">
        <v>18479</v>
      </c>
      <c r="N7069" t="str">
        <f>"2/18/2013 12:52:00 PM"</f>
        <v>2/18/2013 12:52:00 PM</v>
      </c>
      <c r="O7069" t="s">
        <v>21444</v>
      </c>
      <c r="T7069" t="s">
        <v>21445</v>
      </c>
    </row>
    <row r="7070" spans="1:20" x14ac:dyDescent="0.25">
      <c r="A7070" t="str">
        <f>"3046692"</f>
        <v>3046692</v>
      </c>
      <c r="B7070" t="s">
        <v>21447</v>
      </c>
      <c r="C7070" t="str">
        <f>"8301787"</f>
        <v>8301787</v>
      </c>
      <c r="D7070" t="s">
        <v>5184</v>
      </c>
      <c r="E7070" t="s">
        <v>21448</v>
      </c>
      <c r="F7070" t="s">
        <v>5185</v>
      </c>
      <c r="I7070" t="s">
        <v>184</v>
      </c>
      <c r="J7070" t="s">
        <v>30</v>
      </c>
      <c r="K7070" t="str">
        <f>"27006"</f>
        <v>27006</v>
      </c>
      <c r="M7070" t="s">
        <v>17861</v>
      </c>
      <c r="N7070" t="str">
        <f>"2/18/2013 2:05:00 PM"</f>
        <v>2/18/2013 2:05:00 PM</v>
      </c>
      <c r="O7070" t="s">
        <v>5184</v>
      </c>
      <c r="T7070" t="s">
        <v>21448</v>
      </c>
    </row>
    <row r="7071" spans="1:20" x14ac:dyDescent="0.25">
      <c r="A7071" t="str">
        <f>"3055113"</f>
        <v>3055113</v>
      </c>
      <c r="B7071" t="s">
        <v>21449</v>
      </c>
      <c r="C7071" t="str">
        <f>"8301789"</f>
        <v>8301789</v>
      </c>
      <c r="D7071" t="s">
        <v>21450</v>
      </c>
      <c r="F7071" t="s">
        <v>21451</v>
      </c>
      <c r="I7071" t="s">
        <v>29</v>
      </c>
      <c r="J7071" t="s">
        <v>30</v>
      </c>
      <c r="K7071" t="str">
        <f>"27028"</f>
        <v>27028</v>
      </c>
      <c r="M7071" t="s">
        <v>17861</v>
      </c>
      <c r="N7071" t="str">
        <f>"2/18/2013 2:16:00 PM"</f>
        <v>2/18/2013 2:16:00 PM</v>
      </c>
      <c r="O7071" t="s">
        <v>21450</v>
      </c>
    </row>
    <row r="7072" spans="1:20" x14ac:dyDescent="0.25">
      <c r="A7072" t="str">
        <f>"3057684"</f>
        <v>3057684</v>
      </c>
      <c r="B7072" t="s">
        <v>21452</v>
      </c>
      <c r="C7072" t="str">
        <f>"82526502"</f>
        <v>82526502</v>
      </c>
      <c r="D7072" t="s">
        <v>21453</v>
      </c>
      <c r="F7072" t="s">
        <v>21454</v>
      </c>
      <c r="I7072" t="s">
        <v>184</v>
      </c>
      <c r="J7072" t="s">
        <v>30</v>
      </c>
      <c r="K7072" t="s">
        <v>185</v>
      </c>
      <c r="M7072" t="s">
        <v>18479</v>
      </c>
      <c r="N7072" t="str">
        <f>"2/18/2013 3:44:00 PM"</f>
        <v>2/18/2013 3:44:00 PM</v>
      </c>
      <c r="O7072" t="s">
        <v>21453</v>
      </c>
    </row>
    <row r="7073" spans="1:20" x14ac:dyDescent="0.25">
      <c r="A7073" t="str">
        <f>"3058113"</f>
        <v>3058113</v>
      </c>
      <c r="B7073" t="s">
        <v>21455</v>
      </c>
      <c r="C7073" t="str">
        <f>"8300981"</f>
        <v>8300981</v>
      </c>
      <c r="D7073" t="s">
        <v>21456</v>
      </c>
      <c r="E7073" t="s">
        <v>21457</v>
      </c>
      <c r="F7073" t="s">
        <v>21458</v>
      </c>
      <c r="I7073" t="s">
        <v>184</v>
      </c>
      <c r="J7073" t="s">
        <v>30</v>
      </c>
      <c r="K7073" t="str">
        <f>"27006"</f>
        <v>27006</v>
      </c>
      <c r="M7073" t="s">
        <v>18479</v>
      </c>
      <c r="N7073" t="str">
        <f>"2/6/2013 3:37:00 PM"</f>
        <v>2/6/2013 3:37:00 PM</v>
      </c>
      <c r="O7073" t="s">
        <v>21456</v>
      </c>
      <c r="T7073" t="s">
        <v>21457</v>
      </c>
    </row>
    <row r="7074" spans="1:20" x14ac:dyDescent="0.25">
      <c r="A7074" t="str">
        <f>"3055000"</f>
        <v>3055000</v>
      </c>
      <c r="B7074" t="s">
        <v>21459</v>
      </c>
      <c r="C7074" t="str">
        <f>"8301811"</f>
        <v>8301811</v>
      </c>
      <c r="D7074" t="s">
        <v>21340</v>
      </c>
      <c r="F7074" t="s">
        <v>21341</v>
      </c>
      <c r="I7074" t="s">
        <v>29</v>
      </c>
      <c r="J7074" t="s">
        <v>30</v>
      </c>
      <c r="K7074" t="str">
        <f>"27028"</f>
        <v>27028</v>
      </c>
      <c r="M7074" t="s">
        <v>17861</v>
      </c>
      <c r="N7074" t="str">
        <f>"2/19/2013 1:02:00 PM"</f>
        <v>2/19/2013 1:02:00 PM</v>
      </c>
      <c r="O7074" t="s">
        <v>21340</v>
      </c>
    </row>
    <row r="7075" spans="1:20" x14ac:dyDescent="0.25">
      <c r="A7075" t="str">
        <f>"3047349"</f>
        <v>3047349</v>
      </c>
      <c r="B7075" t="s">
        <v>21460</v>
      </c>
      <c r="C7075" t="str">
        <f>"8301830"</f>
        <v>8301830</v>
      </c>
      <c r="D7075" t="s">
        <v>21461</v>
      </c>
      <c r="F7075" t="s">
        <v>21462</v>
      </c>
      <c r="I7075" t="s">
        <v>184</v>
      </c>
      <c r="J7075" t="s">
        <v>30</v>
      </c>
      <c r="K7075" t="str">
        <f>"27006"</f>
        <v>27006</v>
      </c>
      <c r="M7075" t="s">
        <v>17861</v>
      </c>
      <c r="N7075" t="str">
        <f>"2/22/2013 4:45:00 PM"</f>
        <v>2/22/2013 4:45:00 PM</v>
      </c>
      <c r="O7075" t="s">
        <v>21461</v>
      </c>
    </row>
    <row r="7076" spans="1:20" x14ac:dyDescent="0.25">
      <c r="A7076" t="str">
        <f>"3038781"</f>
        <v>3038781</v>
      </c>
      <c r="B7076" t="s">
        <v>21463</v>
      </c>
      <c r="C7076" t="str">
        <f>"8301838"</f>
        <v>8301838</v>
      </c>
      <c r="D7076" t="s">
        <v>21464</v>
      </c>
      <c r="F7076" t="s">
        <v>21465</v>
      </c>
      <c r="I7076" t="s">
        <v>29</v>
      </c>
      <c r="J7076" t="s">
        <v>30</v>
      </c>
      <c r="K7076" t="str">
        <f>"27028"</f>
        <v>27028</v>
      </c>
      <c r="M7076" t="s">
        <v>17861</v>
      </c>
      <c r="N7076" t="str">
        <f>"2/25/2013 10:30:00 AM"</f>
        <v>2/25/2013 10:30:00 AM</v>
      </c>
      <c r="O7076" t="s">
        <v>21464</v>
      </c>
    </row>
    <row r="7077" spans="1:20" x14ac:dyDescent="0.25">
      <c r="A7077" t="str">
        <f>"3043420"</f>
        <v>3043420</v>
      </c>
      <c r="B7077" t="s">
        <v>21466</v>
      </c>
      <c r="C7077" t="str">
        <f>"8301844"</f>
        <v>8301844</v>
      </c>
      <c r="D7077" t="s">
        <v>21467</v>
      </c>
      <c r="E7077" t="s">
        <v>21468</v>
      </c>
      <c r="F7077" t="s">
        <v>21469</v>
      </c>
      <c r="I7077" t="s">
        <v>29</v>
      </c>
      <c r="J7077" t="s">
        <v>30</v>
      </c>
      <c r="K7077" t="str">
        <f>"27028"</f>
        <v>27028</v>
      </c>
      <c r="M7077" t="s">
        <v>17861</v>
      </c>
      <c r="N7077" t="str">
        <f>"2/25/2013 3:06:00 PM"</f>
        <v>2/25/2013 3:06:00 PM</v>
      </c>
      <c r="O7077" t="s">
        <v>21467</v>
      </c>
      <c r="T7077" t="s">
        <v>21468</v>
      </c>
    </row>
    <row r="7078" spans="1:20" x14ac:dyDescent="0.25">
      <c r="A7078" t="str">
        <f>"3042941"</f>
        <v>3042941</v>
      </c>
      <c r="B7078" t="s">
        <v>21470</v>
      </c>
      <c r="C7078" t="str">
        <f>"8301847"</f>
        <v>8301847</v>
      </c>
      <c r="D7078" t="s">
        <v>21471</v>
      </c>
      <c r="F7078" t="s">
        <v>21472</v>
      </c>
      <c r="I7078" t="s">
        <v>29</v>
      </c>
      <c r="J7078" t="s">
        <v>30</v>
      </c>
      <c r="K7078" t="str">
        <f>"27028"</f>
        <v>27028</v>
      </c>
      <c r="M7078" t="s">
        <v>17861</v>
      </c>
      <c r="N7078" t="str">
        <f>"2/25/2013 3:17:00 PM"</f>
        <v>2/25/2013 3:17:00 PM</v>
      </c>
      <c r="O7078" t="s">
        <v>21471</v>
      </c>
    </row>
    <row r="7079" spans="1:20" x14ac:dyDescent="0.25">
      <c r="A7079" t="str">
        <f>"3054443"</f>
        <v>3054443</v>
      </c>
      <c r="B7079" t="s">
        <v>21473</v>
      </c>
      <c r="C7079" t="str">
        <f>"8301849"</f>
        <v>8301849</v>
      </c>
      <c r="D7079" t="s">
        <v>21474</v>
      </c>
      <c r="E7079" t="s">
        <v>21475</v>
      </c>
      <c r="F7079" t="s">
        <v>21476</v>
      </c>
      <c r="I7079" t="s">
        <v>29</v>
      </c>
      <c r="J7079" t="s">
        <v>30</v>
      </c>
      <c r="K7079" t="str">
        <f>"27028"</f>
        <v>27028</v>
      </c>
      <c r="M7079" t="s">
        <v>17861</v>
      </c>
      <c r="N7079" t="str">
        <f>"2/26/2013 3:27:00 PM"</f>
        <v>2/26/2013 3:27:00 PM</v>
      </c>
      <c r="O7079" t="s">
        <v>21474</v>
      </c>
      <c r="T7079" t="s">
        <v>21475</v>
      </c>
    </row>
    <row r="7080" spans="1:20" x14ac:dyDescent="0.25">
      <c r="A7080" t="str">
        <f>"3056173"</f>
        <v>3056173</v>
      </c>
      <c r="B7080" t="s">
        <v>21477</v>
      </c>
      <c r="C7080" t="str">
        <f>"8301851"</f>
        <v>8301851</v>
      </c>
      <c r="D7080" t="s">
        <v>21478</v>
      </c>
      <c r="E7080" t="s">
        <v>21479</v>
      </c>
      <c r="F7080" t="s">
        <v>21480</v>
      </c>
      <c r="I7080" t="s">
        <v>9580</v>
      </c>
      <c r="J7080" t="s">
        <v>30</v>
      </c>
      <c r="K7080" t="str">
        <f>"27014"</f>
        <v>27014</v>
      </c>
      <c r="M7080" t="s">
        <v>17861</v>
      </c>
      <c r="N7080" t="str">
        <f>"2/26/2013 3:51:00 PM"</f>
        <v>2/26/2013 3:51:00 PM</v>
      </c>
      <c r="O7080" t="s">
        <v>21478</v>
      </c>
      <c r="T7080" t="s">
        <v>21479</v>
      </c>
    </row>
    <row r="7081" spans="1:20" x14ac:dyDescent="0.25">
      <c r="A7081" t="str">
        <f>"3061754"</f>
        <v>3061754</v>
      </c>
      <c r="B7081" t="s">
        <v>21481</v>
      </c>
      <c r="C7081" t="str">
        <f>"8301852"</f>
        <v>8301852</v>
      </c>
      <c r="D7081" t="s">
        <v>21482</v>
      </c>
      <c r="E7081" t="s">
        <v>21483</v>
      </c>
      <c r="F7081" t="s">
        <v>21484</v>
      </c>
      <c r="I7081" t="s">
        <v>2071</v>
      </c>
      <c r="J7081" t="s">
        <v>30</v>
      </c>
      <c r="K7081" t="str">
        <f>"27006"</f>
        <v>27006</v>
      </c>
      <c r="M7081" t="s">
        <v>17861</v>
      </c>
      <c r="N7081" t="str">
        <f>"2/26/2013 3:53:00 PM"</f>
        <v>2/26/2013 3:53:00 PM</v>
      </c>
      <c r="O7081" t="s">
        <v>21482</v>
      </c>
      <c r="T7081" t="s">
        <v>21483</v>
      </c>
    </row>
    <row r="7082" spans="1:20" x14ac:dyDescent="0.25">
      <c r="A7082" t="str">
        <f>"3042339"</f>
        <v>3042339</v>
      </c>
      <c r="B7082" t="s">
        <v>21485</v>
      </c>
      <c r="C7082" t="str">
        <f>"8301854"</f>
        <v>8301854</v>
      </c>
      <c r="D7082" t="s">
        <v>21486</v>
      </c>
      <c r="F7082" t="s">
        <v>21487</v>
      </c>
      <c r="I7082" t="s">
        <v>184</v>
      </c>
      <c r="J7082" t="s">
        <v>30</v>
      </c>
      <c r="K7082" t="str">
        <f>"27006"</f>
        <v>27006</v>
      </c>
      <c r="M7082" t="s">
        <v>17861</v>
      </c>
      <c r="N7082" t="str">
        <f>"2/26/2013 4:03:00 PM"</f>
        <v>2/26/2013 4:03:00 PM</v>
      </c>
      <c r="O7082" t="s">
        <v>21486</v>
      </c>
    </row>
    <row r="7083" spans="1:20" x14ac:dyDescent="0.25">
      <c r="A7083" t="str">
        <f>"3053713"</f>
        <v>3053713</v>
      </c>
      <c r="B7083" t="s">
        <v>21488</v>
      </c>
      <c r="C7083" t="str">
        <f>"8301864"</f>
        <v>8301864</v>
      </c>
      <c r="D7083" t="s">
        <v>21489</v>
      </c>
      <c r="F7083" t="s">
        <v>21490</v>
      </c>
      <c r="I7083" t="s">
        <v>29</v>
      </c>
      <c r="J7083" t="s">
        <v>30</v>
      </c>
      <c r="K7083" t="str">
        <f>"27028"</f>
        <v>27028</v>
      </c>
      <c r="M7083" t="s">
        <v>17861</v>
      </c>
      <c r="N7083" t="str">
        <f>"2/27/2013 9:15:00 AM"</f>
        <v>2/27/2013 9:15:00 AM</v>
      </c>
      <c r="O7083" t="s">
        <v>21489</v>
      </c>
    </row>
    <row r="7084" spans="1:20" x14ac:dyDescent="0.25">
      <c r="A7084" t="str">
        <f>"3043709"</f>
        <v>3043709</v>
      </c>
      <c r="B7084" t="s">
        <v>21491</v>
      </c>
      <c r="C7084" t="str">
        <f>"8301948"</f>
        <v>8301948</v>
      </c>
      <c r="D7084" t="s">
        <v>21492</v>
      </c>
      <c r="F7084" t="s">
        <v>21493</v>
      </c>
      <c r="I7084" t="s">
        <v>184</v>
      </c>
      <c r="J7084" t="s">
        <v>30</v>
      </c>
      <c r="K7084" t="str">
        <f>"27006"</f>
        <v>27006</v>
      </c>
      <c r="M7084" t="s">
        <v>17861</v>
      </c>
      <c r="N7084" t="str">
        <f>"3/28/2013 3:44:00 PM"</f>
        <v>3/28/2013 3:44:00 PM</v>
      </c>
      <c r="O7084" t="s">
        <v>21492</v>
      </c>
    </row>
    <row r="7085" spans="1:20" x14ac:dyDescent="0.25">
      <c r="A7085" t="str">
        <f>"3061935"</f>
        <v>3061935</v>
      </c>
      <c r="B7085" t="s">
        <v>21494</v>
      </c>
      <c r="C7085" t="str">
        <f>"40156000"</f>
        <v>40156000</v>
      </c>
      <c r="D7085" t="s">
        <v>21495</v>
      </c>
      <c r="E7085" t="s">
        <v>21496</v>
      </c>
      <c r="F7085" t="s">
        <v>21497</v>
      </c>
      <c r="I7085" t="s">
        <v>29</v>
      </c>
      <c r="J7085" t="s">
        <v>30</v>
      </c>
      <c r="K7085" t="s">
        <v>9495</v>
      </c>
      <c r="M7085" t="s">
        <v>20405</v>
      </c>
      <c r="N7085" t="str">
        <f>"4/1/2013 9:18:00 AM"</f>
        <v>4/1/2013 9:18:00 AM</v>
      </c>
      <c r="O7085" t="s">
        <v>21495</v>
      </c>
      <c r="T7085" t="s">
        <v>21496</v>
      </c>
    </row>
    <row r="7086" spans="1:20" x14ac:dyDescent="0.25">
      <c r="A7086" t="str">
        <f>"3054827"</f>
        <v>3054827</v>
      </c>
      <c r="B7086" t="s">
        <v>21498</v>
      </c>
      <c r="C7086" t="str">
        <f>"8301869"</f>
        <v>8301869</v>
      </c>
      <c r="D7086" t="s">
        <v>21385</v>
      </c>
      <c r="E7086" t="s">
        <v>21386</v>
      </c>
      <c r="F7086" t="s">
        <v>21387</v>
      </c>
      <c r="I7086" t="s">
        <v>29</v>
      </c>
      <c r="J7086" t="s">
        <v>30</v>
      </c>
      <c r="K7086" t="str">
        <f>"28028"</f>
        <v>28028</v>
      </c>
      <c r="M7086" t="s">
        <v>17861</v>
      </c>
      <c r="N7086" t="str">
        <f>"2/27/2013 9:39:00 AM"</f>
        <v>2/27/2013 9:39:00 AM</v>
      </c>
      <c r="O7086" t="s">
        <v>21385</v>
      </c>
      <c r="T7086" t="s">
        <v>21386</v>
      </c>
    </row>
    <row r="7087" spans="1:20" x14ac:dyDescent="0.25">
      <c r="A7087" t="str">
        <f>"3050349"</f>
        <v>3050349</v>
      </c>
      <c r="B7087" t="s">
        <v>21499</v>
      </c>
      <c r="C7087" t="str">
        <f>"5348000"</f>
        <v>5348000</v>
      </c>
      <c r="D7087" t="s">
        <v>21500</v>
      </c>
      <c r="F7087" t="s">
        <v>21501</v>
      </c>
      <c r="I7087" t="s">
        <v>29</v>
      </c>
      <c r="J7087" t="s">
        <v>30</v>
      </c>
      <c r="K7087" t="s">
        <v>31</v>
      </c>
      <c r="M7087" t="s">
        <v>20343</v>
      </c>
      <c r="N7087" t="str">
        <f>"2/28/2013 10:33:00 AM"</f>
        <v>2/28/2013 10:33:00 AM</v>
      </c>
      <c r="O7087" t="s">
        <v>21500</v>
      </c>
    </row>
    <row r="7088" spans="1:20" x14ac:dyDescent="0.25">
      <c r="A7088" t="str">
        <f>"3040655"</f>
        <v>3040655</v>
      </c>
      <c r="B7088" t="s">
        <v>21502</v>
      </c>
      <c r="C7088" t="str">
        <f>"8301885"</f>
        <v>8301885</v>
      </c>
      <c r="D7088" t="s">
        <v>21413</v>
      </c>
      <c r="F7088" t="s">
        <v>21414</v>
      </c>
      <c r="I7088" t="s">
        <v>184</v>
      </c>
      <c r="J7088" t="s">
        <v>30</v>
      </c>
      <c r="K7088" t="str">
        <f>"27006"</f>
        <v>27006</v>
      </c>
      <c r="M7088" t="s">
        <v>17861</v>
      </c>
      <c r="N7088" t="str">
        <f>"2/28/2013 1:18:00 PM"</f>
        <v>2/28/2013 1:18:00 PM</v>
      </c>
      <c r="O7088" t="s">
        <v>21413</v>
      </c>
    </row>
    <row r="7089" spans="1:20" x14ac:dyDescent="0.25">
      <c r="A7089" t="str">
        <f>"3048838"</f>
        <v>3048838</v>
      </c>
      <c r="B7089" t="s">
        <v>21503</v>
      </c>
      <c r="C7089" t="str">
        <f>"8301895"</f>
        <v>8301895</v>
      </c>
      <c r="D7089" t="s">
        <v>21504</v>
      </c>
      <c r="E7089" t="s">
        <v>21505</v>
      </c>
      <c r="F7089" t="s">
        <v>21506</v>
      </c>
      <c r="I7089" t="s">
        <v>29</v>
      </c>
      <c r="J7089" t="s">
        <v>30</v>
      </c>
      <c r="K7089" t="str">
        <f>"27028"</f>
        <v>27028</v>
      </c>
      <c r="M7089" t="s">
        <v>17861</v>
      </c>
      <c r="N7089" t="str">
        <f>"3/1/2013 11:22:00 AM"</f>
        <v>3/1/2013 11:22:00 AM</v>
      </c>
      <c r="O7089" t="s">
        <v>21504</v>
      </c>
      <c r="T7089" t="s">
        <v>21505</v>
      </c>
    </row>
    <row r="7090" spans="1:20" x14ac:dyDescent="0.25">
      <c r="A7090" t="str">
        <f>"3052272"</f>
        <v>3052272</v>
      </c>
      <c r="B7090" t="s">
        <v>21507</v>
      </c>
      <c r="C7090" t="str">
        <f>"82513258"</f>
        <v>82513258</v>
      </c>
      <c r="D7090" t="s">
        <v>21508</v>
      </c>
      <c r="F7090" t="s">
        <v>21509</v>
      </c>
      <c r="I7090" t="s">
        <v>29</v>
      </c>
      <c r="J7090" t="s">
        <v>30</v>
      </c>
      <c r="K7090" t="s">
        <v>31</v>
      </c>
      <c r="M7090" t="s">
        <v>21510</v>
      </c>
      <c r="N7090" t="str">
        <f>"4/5/2013 1:51:00 PM"</f>
        <v>4/5/2013 1:51:00 PM</v>
      </c>
      <c r="O7090" t="s">
        <v>21508</v>
      </c>
    </row>
    <row r="7091" spans="1:20" x14ac:dyDescent="0.25">
      <c r="A7091" t="str">
        <f>"3041326"</f>
        <v>3041326</v>
      </c>
      <c r="B7091" t="s">
        <v>21511</v>
      </c>
      <c r="C7091" t="str">
        <f>"82523189"</f>
        <v>82523189</v>
      </c>
      <c r="D7091" t="s">
        <v>21512</v>
      </c>
      <c r="E7091" t="s">
        <v>21513</v>
      </c>
      <c r="F7091" t="s">
        <v>21514</v>
      </c>
      <c r="I7091" t="s">
        <v>2071</v>
      </c>
      <c r="J7091" t="s">
        <v>30</v>
      </c>
      <c r="K7091" t="s">
        <v>2076</v>
      </c>
      <c r="M7091" t="s">
        <v>20134</v>
      </c>
      <c r="N7091" t="str">
        <f>"3/1/2013 11:47:00 AM"</f>
        <v>3/1/2013 11:47:00 AM</v>
      </c>
      <c r="O7091" t="s">
        <v>21512</v>
      </c>
      <c r="T7091" t="s">
        <v>21513</v>
      </c>
    </row>
    <row r="7092" spans="1:20" x14ac:dyDescent="0.25">
      <c r="A7092" t="str">
        <f>"3039376"</f>
        <v>3039376</v>
      </c>
      <c r="B7092" t="s">
        <v>21515</v>
      </c>
      <c r="C7092" t="str">
        <f>"8301899"</f>
        <v>8301899</v>
      </c>
      <c r="D7092" t="s">
        <v>21440</v>
      </c>
      <c r="F7092" t="s">
        <v>19296</v>
      </c>
      <c r="I7092" t="s">
        <v>184</v>
      </c>
      <c r="J7092" t="s">
        <v>30</v>
      </c>
      <c r="K7092" t="str">
        <f>"27028"</f>
        <v>27028</v>
      </c>
      <c r="M7092" t="s">
        <v>17861</v>
      </c>
      <c r="N7092" t="str">
        <f>"3/1/2013 2:05:00 PM"</f>
        <v>3/1/2013 2:05:00 PM</v>
      </c>
      <c r="O7092" t="s">
        <v>21440</v>
      </c>
    </row>
    <row r="7093" spans="1:20" x14ac:dyDescent="0.25">
      <c r="A7093" t="str">
        <f>"3044861"</f>
        <v>3044861</v>
      </c>
      <c r="B7093" t="s">
        <v>21516</v>
      </c>
      <c r="C7093" t="str">
        <f>"82521785"</f>
        <v>82521785</v>
      </c>
      <c r="D7093" t="s">
        <v>21517</v>
      </c>
      <c r="E7093" t="s">
        <v>21518</v>
      </c>
      <c r="F7093" t="s">
        <v>21519</v>
      </c>
      <c r="I7093" t="s">
        <v>184</v>
      </c>
      <c r="J7093" t="s">
        <v>30</v>
      </c>
      <c r="K7093" t="s">
        <v>185</v>
      </c>
      <c r="M7093" t="s">
        <v>20405</v>
      </c>
      <c r="N7093" t="str">
        <f>"3/6/2013 2:53:00 PM"</f>
        <v>3/6/2013 2:53:00 PM</v>
      </c>
      <c r="O7093" t="s">
        <v>21517</v>
      </c>
      <c r="T7093" t="s">
        <v>21518</v>
      </c>
    </row>
    <row r="7094" spans="1:20" x14ac:dyDescent="0.25">
      <c r="A7094" t="str">
        <f>"3059923"</f>
        <v>3059923</v>
      </c>
      <c r="B7094" t="s">
        <v>21520</v>
      </c>
      <c r="C7094" t="str">
        <f>"8301985"</f>
        <v>8301985</v>
      </c>
      <c r="D7094" t="s">
        <v>21521</v>
      </c>
      <c r="F7094" t="s">
        <v>21522</v>
      </c>
      <c r="I7094" t="s">
        <v>29</v>
      </c>
      <c r="J7094" t="s">
        <v>30</v>
      </c>
      <c r="K7094" t="str">
        <f>"27028"</f>
        <v>27028</v>
      </c>
      <c r="M7094" t="s">
        <v>17861</v>
      </c>
      <c r="N7094" t="str">
        <f>"4/11/2013 4:42:00 PM"</f>
        <v>4/11/2013 4:42:00 PM</v>
      </c>
      <c r="O7094" t="s">
        <v>21521</v>
      </c>
    </row>
    <row r="7095" spans="1:20" x14ac:dyDescent="0.25">
      <c r="A7095" t="str">
        <f>"3042005"</f>
        <v>3042005</v>
      </c>
      <c r="B7095" t="s">
        <v>21523</v>
      </c>
      <c r="C7095" t="str">
        <f>"8300225"</f>
        <v>8300225</v>
      </c>
      <c r="D7095" t="s">
        <v>6598</v>
      </c>
      <c r="F7095" t="s">
        <v>21524</v>
      </c>
      <c r="I7095" t="s">
        <v>1149</v>
      </c>
      <c r="J7095" t="s">
        <v>30</v>
      </c>
      <c r="K7095" t="s">
        <v>1150</v>
      </c>
      <c r="M7095" t="s">
        <v>18577</v>
      </c>
      <c r="N7095" t="str">
        <f>"3/8/2013 12:00:00 PM"</f>
        <v>3/8/2013 12:00:00 PM</v>
      </c>
      <c r="O7095" t="s">
        <v>6598</v>
      </c>
    </row>
    <row r="7096" spans="1:20" x14ac:dyDescent="0.25">
      <c r="A7096" t="str">
        <f>"3065882"</f>
        <v>3065882</v>
      </c>
      <c r="B7096" t="s">
        <v>21525</v>
      </c>
      <c r="C7096" t="str">
        <f>"82526557"</f>
        <v>82526557</v>
      </c>
      <c r="D7096" t="s">
        <v>21526</v>
      </c>
      <c r="F7096" t="s">
        <v>21527</v>
      </c>
      <c r="I7096" t="s">
        <v>29</v>
      </c>
      <c r="J7096" t="s">
        <v>30</v>
      </c>
      <c r="K7096" t="s">
        <v>185</v>
      </c>
      <c r="M7096" t="s">
        <v>20405</v>
      </c>
      <c r="N7096" t="str">
        <f>"3/8/2013 3:58:00 PM"</f>
        <v>3/8/2013 3:58:00 PM</v>
      </c>
      <c r="O7096" t="s">
        <v>21526</v>
      </c>
    </row>
    <row r="7097" spans="1:20" x14ac:dyDescent="0.25">
      <c r="A7097" t="str">
        <f>"3051329"</f>
        <v>3051329</v>
      </c>
      <c r="B7097" t="s">
        <v>21528</v>
      </c>
      <c r="C7097" t="str">
        <f>"8301202"</f>
        <v>8301202</v>
      </c>
      <c r="D7097" t="s">
        <v>21529</v>
      </c>
      <c r="F7097" t="s">
        <v>21530</v>
      </c>
      <c r="I7097" t="s">
        <v>29</v>
      </c>
      <c r="J7097" t="s">
        <v>30</v>
      </c>
      <c r="K7097" t="str">
        <f>"27028"</f>
        <v>27028</v>
      </c>
      <c r="M7097" t="s">
        <v>18513</v>
      </c>
      <c r="N7097" t="str">
        <f>"3/12/2013 11:49:00 AM"</f>
        <v>3/12/2013 11:49:00 AM</v>
      </c>
      <c r="O7097" t="s">
        <v>21529</v>
      </c>
    </row>
    <row r="7098" spans="1:20" x14ac:dyDescent="0.25">
      <c r="A7098" t="str">
        <f>"3059224"</f>
        <v>3059224</v>
      </c>
      <c r="B7098" t="s">
        <v>21531</v>
      </c>
      <c r="C7098" t="str">
        <f>"8301822"</f>
        <v>8301822</v>
      </c>
      <c r="D7098" t="s">
        <v>21532</v>
      </c>
      <c r="F7098" t="s">
        <v>21533</v>
      </c>
      <c r="I7098" t="s">
        <v>184</v>
      </c>
      <c r="J7098" t="s">
        <v>30</v>
      </c>
      <c r="K7098" t="str">
        <f>"27006"</f>
        <v>27006</v>
      </c>
      <c r="M7098" t="s">
        <v>17861</v>
      </c>
      <c r="N7098" t="str">
        <f>"2/22/2013 11:11:00 AM"</f>
        <v>2/22/2013 11:11:00 AM</v>
      </c>
      <c r="O7098" t="s">
        <v>21532</v>
      </c>
    </row>
    <row r="7099" spans="1:20" x14ac:dyDescent="0.25">
      <c r="A7099" t="str">
        <f>"3059839"</f>
        <v>3059839</v>
      </c>
      <c r="B7099" t="s">
        <v>21534</v>
      </c>
      <c r="C7099" t="str">
        <f>"8301825"</f>
        <v>8301825</v>
      </c>
      <c r="D7099" t="s">
        <v>21535</v>
      </c>
      <c r="F7099" t="s">
        <v>21536</v>
      </c>
      <c r="I7099" t="s">
        <v>29</v>
      </c>
      <c r="J7099" t="s">
        <v>30</v>
      </c>
      <c r="K7099" t="str">
        <f>"27028"</f>
        <v>27028</v>
      </c>
      <c r="M7099" t="s">
        <v>17861</v>
      </c>
      <c r="N7099" t="str">
        <f>"2/22/2013 11:30:00 AM"</f>
        <v>2/22/2013 11:30:00 AM</v>
      </c>
      <c r="O7099" t="s">
        <v>21535</v>
      </c>
    </row>
    <row r="7100" spans="1:20" x14ac:dyDescent="0.25">
      <c r="A7100" t="str">
        <f>"3054458"</f>
        <v>3054458</v>
      </c>
      <c r="B7100" t="s">
        <v>21537</v>
      </c>
      <c r="C7100" t="str">
        <f>"8301828"</f>
        <v>8301828</v>
      </c>
      <c r="D7100" t="s">
        <v>21538</v>
      </c>
      <c r="E7100" t="s">
        <v>21539</v>
      </c>
      <c r="F7100" t="s">
        <v>21540</v>
      </c>
      <c r="I7100" t="s">
        <v>29</v>
      </c>
      <c r="J7100" t="s">
        <v>30</v>
      </c>
      <c r="K7100" t="str">
        <f>"27028"</f>
        <v>27028</v>
      </c>
      <c r="M7100" t="s">
        <v>17861</v>
      </c>
      <c r="N7100" t="str">
        <f>"2/22/2013 12:44:00 PM"</f>
        <v>2/22/2013 12:44:00 PM</v>
      </c>
      <c r="O7100" t="s">
        <v>21538</v>
      </c>
      <c r="T7100" t="s">
        <v>21539</v>
      </c>
    </row>
    <row r="7101" spans="1:20" x14ac:dyDescent="0.25">
      <c r="A7101" t="str">
        <f>"3043530"</f>
        <v>3043530</v>
      </c>
      <c r="B7101" t="s">
        <v>21541</v>
      </c>
      <c r="C7101" t="str">
        <f>"82524453"</f>
        <v>82524453</v>
      </c>
      <c r="D7101" t="s">
        <v>21542</v>
      </c>
      <c r="E7101" t="s">
        <v>21543</v>
      </c>
      <c r="F7101" t="s">
        <v>8281</v>
      </c>
      <c r="I7101" t="s">
        <v>29</v>
      </c>
      <c r="J7101" t="s">
        <v>30</v>
      </c>
      <c r="K7101" t="s">
        <v>21544</v>
      </c>
      <c r="M7101" t="s">
        <v>18432</v>
      </c>
      <c r="N7101" t="str">
        <f>"3/14/2013 2:52:00 PM"</f>
        <v>3/14/2013 2:52:00 PM</v>
      </c>
      <c r="O7101" t="s">
        <v>21542</v>
      </c>
      <c r="T7101" t="s">
        <v>21543</v>
      </c>
    </row>
    <row r="7102" spans="1:20" x14ac:dyDescent="0.25">
      <c r="A7102" t="str">
        <f>"3062941"</f>
        <v>3062941</v>
      </c>
      <c r="B7102" t="s">
        <v>21545</v>
      </c>
      <c r="C7102" t="str">
        <f>"45248000"</f>
        <v>45248000</v>
      </c>
      <c r="D7102" t="s">
        <v>21546</v>
      </c>
      <c r="E7102" t="s">
        <v>21547</v>
      </c>
      <c r="F7102" t="s">
        <v>17004</v>
      </c>
      <c r="I7102" t="s">
        <v>29</v>
      </c>
      <c r="J7102" t="s">
        <v>30</v>
      </c>
      <c r="K7102" t="s">
        <v>31</v>
      </c>
      <c r="M7102" t="s">
        <v>18470</v>
      </c>
      <c r="N7102" t="str">
        <f>"3/15/2013 12:59:00 PM"</f>
        <v>3/15/2013 12:59:00 PM</v>
      </c>
      <c r="O7102" t="s">
        <v>21546</v>
      </c>
      <c r="T7102" t="s">
        <v>21547</v>
      </c>
    </row>
    <row r="7103" spans="1:20" x14ac:dyDescent="0.25">
      <c r="A7103" t="str">
        <f>"3054469"</f>
        <v>3054469</v>
      </c>
      <c r="B7103" t="s">
        <v>21548</v>
      </c>
      <c r="C7103" t="str">
        <f>"20122500"</f>
        <v>20122500</v>
      </c>
      <c r="D7103" t="s">
        <v>21549</v>
      </c>
      <c r="E7103" t="s">
        <v>21550</v>
      </c>
      <c r="F7103" t="str">
        <f>"C/O ROBERT PANCOAST"</f>
        <v>C/O ROBERT PANCOAST</v>
      </c>
      <c r="G7103" t="s">
        <v>21551</v>
      </c>
      <c r="I7103" t="s">
        <v>29</v>
      </c>
      <c r="J7103" t="s">
        <v>30</v>
      </c>
      <c r="K7103" t="s">
        <v>31</v>
      </c>
      <c r="M7103" t="s">
        <v>18513</v>
      </c>
      <c r="N7103" t="str">
        <f>"3/19/2013 9:21:00 AM"</f>
        <v>3/19/2013 9:21:00 AM</v>
      </c>
      <c r="O7103" t="s">
        <v>21549</v>
      </c>
      <c r="T7103" t="s">
        <v>21550</v>
      </c>
    </row>
    <row r="7104" spans="1:20" x14ac:dyDescent="0.25">
      <c r="A7104" t="str">
        <f>"3054064"</f>
        <v>3054064</v>
      </c>
      <c r="B7104" t="s">
        <v>21552</v>
      </c>
      <c r="C7104" t="str">
        <f>"8301136"</f>
        <v>8301136</v>
      </c>
      <c r="D7104" t="s">
        <v>20896</v>
      </c>
      <c r="F7104" t="s">
        <v>21553</v>
      </c>
      <c r="I7104" t="s">
        <v>29</v>
      </c>
      <c r="J7104" t="s">
        <v>30</v>
      </c>
      <c r="K7104" t="str">
        <f>"27028"</f>
        <v>27028</v>
      </c>
      <c r="M7104" t="s">
        <v>18479</v>
      </c>
      <c r="N7104" t="str">
        <f>"3/21/2013 4:10:00 PM"</f>
        <v>3/21/2013 4:10:00 PM</v>
      </c>
      <c r="O7104" t="s">
        <v>20896</v>
      </c>
    </row>
    <row r="7105" spans="1:20" x14ac:dyDescent="0.25">
      <c r="A7105" t="str">
        <f>"3048599"</f>
        <v>3048599</v>
      </c>
      <c r="B7105" t="s">
        <v>21554</v>
      </c>
      <c r="C7105" t="str">
        <f>"54331980"</f>
        <v>54331980</v>
      </c>
      <c r="D7105" t="s">
        <v>21555</v>
      </c>
      <c r="F7105" t="s">
        <v>21556</v>
      </c>
      <c r="I7105" t="s">
        <v>184</v>
      </c>
      <c r="J7105" t="s">
        <v>30</v>
      </c>
      <c r="K7105" t="s">
        <v>185</v>
      </c>
      <c r="M7105" t="s">
        <v>20405</v>
      </c>
      <c r="N7105" t="str">
        <f>"3/26/2013 12:15:00 PM"</f>
        <v>3/26/2013 12:15:00 PM</v>
      </c>
      <c r="O7105" t="s">
        <v>21555</v>
      </c>
    </row>
    <row r="7106" spans="1:20" x14ac:dyDescent="0.25">
      <c r="A7106" t="str">
        <f>"3042944"</f>
        <v>3042944</v>
      </c>
      <c r="B7106" t="s">
        <v>21557</v>
      </c>
      <c r="C7106" t="str">
        <f>"82532280"</f>
        <v>82532280</v>
      </c>
      <c r="D7106" t="s">
        <v>21558</v>
      </c>
      <c r="E7106" t="s">
        <v>21559</v>
      </c>
      <c r="F7106" t="s">
        <v>21560</v>
      </c>
      <c r="I7106" t="s">
        <v>29</v>
      </c>
      <c r="J7106" t="s">
        <v>30</v>
      </c>
      <c r="K7106" t="s">
        <v>31</v>
      </c>
      <c r="M7106" t="s">
        <v>18479</v>
      </c>
      <c r="N7106" t="str">
        <f>"3/27/2013 2:10:00 PM"</f>
        <v>3/27/2013 2:10:00 PM</v>
      </c>
      <c r="O7106" t="s">
        <v>21558</v>
      </c>
      <c r="T7106" t="s">
        <v>21559</v>
      </c>
    </row>
    <row r="7107" spans="1:20" x14ac:dyDescent="0.25">
      <c r="A7107" t="str">
        <f>"3041005"</f>
        <v>3041005</v>
      </c>
      <c r="B7107" t="s">
        <v>21561</v>
      </c>
      <c r="C7107" t="str">
        <f>"8301943"</f>
        <v>8301943</v>
      </c>
      <c r="D7107" t="s">
        <v>21562</v>
      </c>
      <c r="F7107" t="s">
        <v>21563</v>
      </c>
      <c r="I7107" t="s">
        <v>21564</v>
      </c>
      <c r="J7107" t="s">
        <v>30</v>
      </c>
      <c r="K7107" t="str">
        <f>"28645"</f>
        <v>28645</v>
      </c>
      <c r="M7107" t="s">
        <v>17861</v>
      </c>
      <c r="N7107" t="str">
        <f>"3/27/2013 2:32:00 PM"</f>
        <v>3/27/2013 2:32:00 PM</v>
      </c>
      <c r="O7107" t="s">
        <v>21562</v>
      </c>
    </row>
    <row r="7108" spans="1:20" x14ac:dyDescent="0.25">
      <c r="A7108" t="str">
        <f>"3043599"</f>
        <v>3043599</v>
      </c>
      <c r="B7108" t="s">
        <v>21565</v>
      </c>
      <c r="C7108" t="str">
        <f>"8301948"</f>
        <v>8301948</v>
      </c>
      <c r="D7108" t="s">
        <v>21492</v>
      </c>
      <c r="F7108" t="s">
        <v>21493</v>
      </c>
      <c r="I7108" t="s">
        <v>184</v>
      </c>
      <c r="J7108" t="s">
        <v>30</v>
      </c>
      <c r="K7108" t="str">
        <f>"27006"</f>
        <v>27006</v>
      </c>
      <c r="M7108" t="s">
        <v>17861</v>
      </c>
      <c r="N7108" t="str">
        <f>"3/28/2013 3:44:00 PM"</f>
        <v>3/28/2013 3:44:00 PM</v>
      </c>
      <c r="O7108" t="s">
        <v>21492</v>
      </c>
    </row>
    <row r="7109" spans="1:20" x14ac:dyDescent="0.25">
      <c r="A7109" t="str">
        <f>"3052507"</f>
        <v>3052507</v>
      </c>
      <c r="B7109" t="s">
        <v>21566</v>
      </c>
      <c r="C7109" t="str">
        <f>"14468000"</f>
        <v>14468000</v>
      </c>
      <c r="D7109" t="s">
        <v>21567</v>
      </c>
      <c r="E7109" t="s">
        <v>21568</v>
      </c>
      <c r="F7109" t="s">
        <v>21569</v>
      </c>
      <c r="I7109" t="s">
        <v>29</v>
      </c>
      <c r="J7109" t="s">
        <v>30</v>
      </c>
      <c r="K7109" t="s">
        <v>21570</v>
      </c>
      <c r="M7109" t="s">
        <v>20405</v>
      </c>
      <c r="N7109" t="str">
        <f>"4/1/2013 12:03:00 PM"</f>
        <v>4/1/2013 12:03:00 PM</v>
      </c>
      <c r="O7109" t="s">
        <v>21567</v>
      </c>
      <c r="T7109" t="s">
        <v>21568</v>
      </c>
    </row>
    <row r="7110" spans="1:20" x14ac:dyDescent="0.25">
      <c r="A7110" t="str">
        <f>"3049326"</f>
        <v>3049326</v>
      </c>
      <c r="B7110" t="s">
        <v>21571</v>
      </c>
      <c r="C7110" t="str">
        <f>"82523603"</f>
        <v>82523603</v>
      </c>
      <c r="D7110" t="s">
        <v>21572</v>
      </c>
      <c r="F7110" t="s">
        <v>12212</v>
      </c>
      <c r="G7110" t="s">
        <v>21573</v>
      </c>
      <c r="I7110" t="s">
        <v>7917</v>
      </c>
      <c r="J7110" t="s">
        <v>30</v>
      </c>
      <c r="K7110" t="s">
        <v>21574</v>
      </c>
      <c r="M7110" t="s">
        <v>18479</v>
      </c>
      <c r="N7110" t="str">
        <f>"4/1/2013 2:51:00 PM"</f>
        <v>4/1/2013 2:51:00 PM</v>
      </c>
      <c r="O7110" t="s">
        <v>21572</v>
      </c>
    </row>
    <row r="7111" spans="1:20" x14ac:dyDescent="0.25">
      <c r="A7111" t="str">
        <f>"3045608"</f>
        <v>3045608</v>
      </c>
      <c r="B7111" t="s">
        <v>21575</v>
      </c>
      <c r="C7111" t="str">
        <f>"8301952"</f>
        <v>8301952</v>
      </c>
      <c r="D7111" t="s">
        <v>21576</v>
      </c>
      <c r="F7111" t="s">
        <v>21577</v>
      </c>
      <c r="I7111" t="s">
        <v>1149</v>
      </c>
      <c r="J7111" t="s">
        <v>30</v>
      </c>
      <c r="K7111" t="str">
        <f>"28634"</f>
        <v>28634</v>
      </c>
      <c r="M7111" t="s">
        <v>17861</v>
      </c>
      <c r="N7111" t="str">
        <f>"4/3/2013 1:17:00 PM"</f>
        <v>4/3/2013 1:17:00 PM</v>
      </c>
      <c r="O7111" t="s">
        <v>21576</v>
      </c>
    </row>
    <row r="7112" spans="1:20" x14ac:dyDescent="0.25">
      <c r="A7112" t="str">
        <f>"3040442"</f>
        <v>3040442</v>
      </c>
      <c r="B7112" t="s">
        <v>21578</v>
      </c>
      <c r="C7112" t="str">
        <f t="shared" ref="C7112:C7117" si="106">"77234000"</f>
        <v>77234000</v>
      </c>
      <c r="D7112" t="s">
        <v>21579</v>
      </c>
      <c r="E7112" t="s">
        <v>21580</v>
      </c>
      <c r="F7112" t="s">
        <v>21581</v>
      </c>
      <c r="I7112" t="s">
        <v>29</v>
      </c>
      <c r="J7112" t="s">
        <v>30</v>
      </c>
      <c r="K7112" t="s">
        <v>31</v>
      </c>
      <c r="M7112" t="s">
        <v>17861</v>
      </c>
      <c r="N7112" t="str">
        <f t="shared" ref="N7112:N7117" si="107">"5/3/2013 9:10:00 AM"</f>
        <v>5/3/2013 9:10:00 AM</v>
      </c>
      <c r="O7112" t="s">
        <v>21579</v>
      </c>
      <c r="T7112" t="s">
        <v>21580</v>
      </c>
    </row>
    <row r="7113" spans="1:20" x14ac:dyDescent="0.25">
      <c r="A7113" t="str">
        <f>"3041136"</f>
        <v>3041136</v>
      </c>
      <c r="B7113" t="s">
        <v>21582</v>
      </c>
      <c r="C7113" t="str">
        <f t="shared" si="106"/>
        <v>77234000</v>
      </c>
      <c r="D7113" t="s">
        <v>21579</v>
      </c>
      <c r="E7113" t="s">
        <v>21580</v>
      </c>
      <c r="F7113" t="s">
        <v>21581</v>
      </c>
      <c r="I7113" t="s">
        <v>29</v>
      </c>
      <c r="J7113" t="s">
        <v>30</v>
      </c>
      <c r="K7113" t="s">
        <v>31</v>
      </c>
      <c r="M7113" t="s">
        <v>17861</v>
      </c>
      <c r="N7113" t="str">
        <f t="shared" si="107"/>
        <v>5/3/2013 9:10:00 AM</v>
      </c>
      <c r="O7113" t="s">
        <v>21579</v>
      </c>
      <c r="T7113" t="s">
        <v>21580</v>
      </c>
    </row>
    <row r="7114" spans="1:20" x14ac:dyDescent="0.25">
      <c r="A7114" t="str">
        <f>"3041188"</f>
        <v>3041188</v>
      </c>
      <c r="B7114" t="s">
        <v>21583</v>
      </c>
      <c r="C7114" t="str">
        <f t="shared" si="106"/>
        <v>77234000</v>
      </c>
      <c r="D7114" t="s">
        <v>21579</v>
      </c>
      <c r="E7114" t="s">
        <v>21580</v>
      </c>
      <c r="F7114" t="s">
        <v>21581</v>
      </c>
      <c r="I7114" t="s">
        <v>29</v>
      </c>
      <c r="J7114" t="s">
        <v>30</v>
      </c>
      <c r="K7114" t="s">
        <v>31</v>
      </c>
      <c r="M7114" t="s">
        <v>17861</v>
      </c>
      <c r="N7114" t="str">
        <f t="shared" si="107"/>
        <v>5/3/2013 9:10:00 AM</v>
      </c>
      <c r="O7114" t="s">
        <v>21579</v>
      </c>
      <c r="T7114" t="s">
        <v>21580</v>
      </c>
    </row>
    <row r="7115" spans="1:20" x14ac:dyDescent="0.25">
      <c r="A7115" t="str">
        <f>"3041174"</f>
        <v>3041174</v>
      </c>
      <c r="B7115" t="s">
        <v>21584</v>
      </c>
      <c r="C7115" t="str">
        <f t="shared" si="106"/>
        <v>77234000</v>
      </c>
      <c r="D7115" t="s">
        <v>21579</v>
      </c>
      <c r="E7115" t="s">
        <v>21580</v>
      </c>
      <c r="F7115" t="s">
        <v>21581</v>
      </c>
      <c r="I7115" t="s">
        <v>29</v>
      </c>
      <c r="J7115" t="s">
        <v>30</v>
      </c>
      <c r="K7115" t="s">
        <v>31</v>
      </c>
      <c r="M7115" t="s">
        <v>17861</v>
      </c>
      <c r="N7115" t="str">
        <f t="shared" si="107"/>
        <v>5/3/2013 9:10:00 AM</v>
      </c>
      <c r="O7115" t="s">
        <v>21579</v>
      </c>
      <c r="T7115" t="s">
        <v>21580</v>
      </c>
    </row>
    <row r="7116" spans="1:20" x14ac:dyDescent="0.25">
      <c r="A7116" t="str">
        <f>"3041178"</f>
        <v>3041178</v>
      </c>
      <c r="B7116" t="s">
        <v>21585</v>
      </c>
      <c r="C7116" t="str">
        <f t="shared" si="106"/>
        <v>77234000</v>
      </c>
      <c r="D7116" t="s">
        <v>21579</v>
      </c>
      <c r="E7116" t="s">
        <v>21580</v>
      </c>
      <c r="F7116" t="s">
        <v>21581</v>
      </c>
      <c r="I7116" t="s">
        <v>29</v>
      </c>
      <c r="J7116" t="s">
        <v>30</v>
      </c>
      <c r="K7116" t="s">
        <v>31</v>
      </c>
      <c r="M7116" t="s">
        <v>17861</v>
      </c>
      <c r="N7116" t="str">
        <f t="shared" si="107"/>
        <v>5/3/2013 9:10:00 AM</v>
      </c>
      <c r="O7116" t="s">
        <v>21579</v>
      </c>
      <c r="T7116" t="s">
        <v>21580</v>
      </c>
    </row>
    <row r="7117" spans="1:20" x14ac:dyDescent="0.25">
      <c r="A7117" t="str">
        <f>"3041149"</f>
        <v>3041149</v>
      </c>
      <c r="B7117" t="s">
        <v>21586</v>
      </c>
      <c r="C7117" t="str">
        <f t="shared" si="106"/>
        <v>77234000</v>
      </c>
      <c r="D7117" t="s">
        <v>21579</v>
      </c>
      <c r="E7117" t="s">
        <v>21580</v>
      </c>
      <c r="F7117" t="s">
        <v>21581</v>
      </c>
      <c r="I7117" t="s">
        <v>29</v>
      </c>
      <c r="J7117" t="s">
        <v>30</v>
      </c>
      <c r="K7117" t="s">
        <v>31</v>
      </c>
      <c r="M7117" t="s">
        <v>17861</v>
      </c>
      <c r="N7117" t="str">
        <f t="shared" si="107"/>
        <v>5/3/2013 9:10:00 AM</v>
      </c>
      <c r="O7117" t="s">
        <v>21579</v>
      </c>
      <c r="T7117" t="s">
        <v>21580</v>
      </c>
    </row>
    <row r="7118" spans="1:20" x14ac:dyDescent="0.25">
      <c r="A7118" t="str">
        <f>"3052271"</f>
        <v>3052271</v>
      </c>
      <c r="B7118" t="s">
        <v>21587</v>
      </c>
      <c r="C7118" t="str">
        <f>"82513258"</f>
        <v>82513258</v>
      </c>
      <c r="D7118" t="s">
        <v>21508</v>
      </c>
      <c r="F7118" t="s">
        <v>21509</v>
      </c>
      <c r="I7118" t="s">
        <v>29</v>
      </c>
      <c r="J7118" t="s">
        <v>30</v>
      </c>
      <c r="K7118" t="s">
        <v>31</v>
      </c>
      <c r="M7118" t="s">
        <v>21510</v>
      </c>
      <c r="N7118" t="str">
        <f>"4/5/2013 1:51:00 PM"</f>
        <v>4/5/2013 1:51:00 PM</v>
      </c>
      <c r="O7118" t="s">
        <v>21508</v>
      </c>
    </row>
    <row r="7119" spans="1:20" x14ac:dyDescent="0.25">
      <c r="A7119" t="str">
        <f>"3037708"</f>
        <v>3037708</v>
      </c>
      <c r="B7119" t="s">
        <v>21588</v>
      </c>
      <c r="C7119" t="str">
        <f>"78053000"</f>
        <v>78053000</v>
      </c>
      <c r="D7119" t="s">
        <v>21589</v>
      </c>
      <c r="F7119" t="s">
        <v>21590</v>
      </c>
      <c r="I7119" t="s">
        <v>29</v>
      </c>
      <c r="J7119" t="s">
        <v>30</v>
      </c>
      <c r="K7119" t="s">
        <v>31</v>
      </c>
      <c r="M7119" t="s">
        <v>20405</v>
      </c>
      <c r="N7119" t="str">
        <f>"4/10/2013 11:11:00 AM"</f>
        <v>4/10/2013 11:11:00 AM</v>
      </c>
      <c r="O7119" t="s">
        <v>21589</v>
      </c>
    </row>
    <row r="7120" spans="1:20" x14ac:dyDescent="0.25">
      <c r="A7120" t="str">
        <f>"3059537"</f>
        <v>3059537</v>
      </c>
      <c r="B7120" t="s">
        <v>21591</v>
      </c>
      <c r="C7120" t="str">
        <f>"8302061"</f>
        <v>8302061</v>
      </c>
      <c r="D7120" t="s">
        <v>21592</v>
      </c>
      <c r="E7120" t="s">
        <v>21593</v>
      </c>
      <c r="F7120" t="s">
        <v>21594</v>
      </c>
      <c r="I7120" t="s">
        <v>29</v>
      </c>
      <c r="J7120" t="s">
        <v>30</v>
      </c>
      <c r="K7120" t="str">
        <f t="shared" ref="K7120:K7127" si="108">"27028"</f>
        <v>27028</v>
      </c>
      <c r="M7120" t="s">
        <v>17861</v>
      </c>
      <c r="N7120" t="str">
        <f>"5/3/2013 4:12:00 PM"</f>
        <v>5/3/2013 4:12:00 PM</v>
      </c>
      <c r="O7120" t="s">
        <v>21592</v>
      </c>
      <c r="T7120" t="s">
        <v>21593</v>
      </c>
    </row>
    <row r="7121" spans="1:20" x14ac:dyDescent="0.25">
      <c r="A7121" t="str">
        <f>"3077641"</f>
        <v>3077641</v>
      </c>
      <c r="B7121" t="s">
        <v>21595</v>
      </c>
      <c r="C7121" t="str">
        <f>"8302067"</f>
        <v>8302067</v>
      </c>
      <c r="D7121" t="s">
        <v>21596</v>
      </c>
      <c r="F7121" t="s">
        <v>12822</v>
      </c>
      <c r="I7121" t="s">
        <v>29</v>
      </c>
      <c r="J7121" t="s">
        <v>30</v>
      </c>
      <c r="K7121" t="str">
        <f t="shared" si="108"/>
        <v>27028</v>
      </c>
      <c r="M7121" t="s">
        <v>17861</v>
      </c>
      <c r="N7121" t="str">
        <f>"5/6/2013 10:51:00 AM"</f>
        <v>5/6/2013 10:51:00 AM</v>
      </c>
      <c r="O7121" t="s">
        <v>21596</v>
      </c>
    </row>
    <row r="7122" spans="1:20" x14ac:dyDescent="0.25">
      <c r="A7122" t="str">
        <f>"3047539"</f>
        <v>3047539</v>
      </c>
      <c r="B7122" t="s">
        <v>21597</v>
      </c>
      <c r="C7122" t="str">
        <f>"8302067"</f>
        <v>8302067</v>
      </c>
      <c r="D7122" t="s">
        <v>21596</v>
      </c>
      <c r="F7122" t="s">
        <v>12822</v>
      </c>
      <c r="I7122" t="s">
        <v>29</v>
      </c>
      <c r="J7122" t="s">
        <v>30</v>
      </c>
      <c r="K7122" t="str">
        <f t="shared" si="108"/>
        <v>27028</v>
      </c>
      <c r="M7122" t="s">
        <v>17861</v>
      </c>
      <c r="N7122" t="str">
        <f>"5/6/2013 10:51:00 AM"</f>
        <v>5/6/2013 10:51:00 AM</v>
      </c>
      <c r="O7122" t="s">
        <v>21596</v>
      </c>
    </row>
    <row r="7123" spans="1:20" x14ac:dyDescent="0.25">
      <c r="A7123" t="str">
        <f>"3051034"</f>
        <v>3051034</v>
      </c>
      <c r="B7123" t="s">
        <v>21598</v>
      </c>
      <c r="C7123" t="str">
        <f>"8302067"</f>
        <v>8302067</v>
      </c>
      <c r="D7123" t="s">
        <v>21596</v>
      </c>
      <c r="F7123" t="s">
        <v>12822</v>
      </c>
      <c r="I7123" t="s">
        <v>29</v>
      </c>
      <c r="J7123" t="s">
        <v>30</v>
      </c>
      <c r="K7123" t="str">
        <f t="shared" si="108"/>
        <v>27028</v>
      </c>
      <c r="M7123" t="s">
        <v>17861</v>
      </c>
      <c r="N7123" t="str">
        <f>"5/6/2013 10:51:00 AM"</f>
        <v>5/6/2013 10:51:00 AM</v>
      </c>
      <c r="O7123" t="s">
        <v>21596</v>
      </c>
    </row>
    <row r="7124" spans="1:20" x14ac:dyDescent="0.25">
      <c r="A7124" t="str">
        <f>"3051079"</f>
        <v>3051079</v>
      </c>
      <c r="B7124" t="s">
        <v>21599</v>
      </c>
      <c r="C7124" t="str">
        <f>"8302067"</f>
        <v>8302067</v>
      </c>
      <c r="D7124" t="s">
        <v>21596</v>
      </c>
      <c r="F7124" t="s">
        <v>12822</v>
      </c>
      <c r="I7124" t="s">
        <v>29</v>
      </c>
      <c r="J7124" t="s">
        <v>30</v>
      </c>
      <c r="K7124" t="str">
        <f t="shared" si="108"/>
        <v>27028</v>
      </c>
      <c r="M7124" t="s">
        <v>17861</v>
      </c>
      <c r="N7124" t="str">
        <f>"5/6/2013 10:51:00 AM"</f>
        <v>5/6/2013 10:51:00 AM</v>
      </c>
      <c r="O7124" t="s">
        <v>21596</v>
      </c>
    </row>
    <row r="7125" spans="1:20" x14ac:dyDescent="0.25">
      <c r="A7125" t="str">
        <f>"3054981"</f>
        <v>3054981</v>
      </c>
      <c r="B7125" t="s">
        <v>21600</v>
      </c>
      <c r="C7125" t="str">
        <f>"8302067"</f>
        <v>8302067</v>
      </c>
      <c r="D7125" t="s">
        <v>21596</v>
      </c>
      <c r="F7125" t="s">
        <v>12822</v>
      </c>
      <c r="I7125" t="s">
        <v>29</v>
      </c>
      <c r="J7125" t="s">
        <v>30</v>
      </c>
      <c r="K7125" t="str">
        <f t="shared" si="108"/>
        <v>27028</v>
      </c>
      <c r="M7125" t="s">
        <v>17861</v>
      </c>
      <c r="N7125" t="str">
        <f>"5/6/2013 10:51:00 AM"</f>
        <v>5/6/2013 10:51:00 AM</v>
      </c>
      <c r="O7125" t="s">
        <v>21596</v>
      </c>
    </row>
    <row r="7126" spans="1:20" x14ac:dyDescent="0.25">
      <c r="A7126" t="str">
        <f>"3043458"</f>
        <v>3043458</v>
      </c>
      <c r="B7126" t="s">
        <v>21601</v>
      </c>
      <c r="C7126" t="str">
        <f>"8301972"</f>
        <v>8301972</v>
      </c>
      <c r="D7126" t="s">
        <v>21602</v>
      </c>
      <c r="E7126" t="s">
        <v>21603</v>
      </c>
      <c r="F7126" t="s">
        <v>21604</v>
      </c>
      <c r="I7126" t="s">
        <v>29</v>
      </c>
      <c r="J7126" t="s">
        <v>30</v>
      </c>
      <c r="K7126" t="str">
        <f t="shared" si="108"/>
        <v>27028</v>
      </c>
      <c r="M7126" t="s">
        <v>17861</v>
      </c>
      <c r="N7126" t="str">
        <f>"4/11/2013 3:22:00 PM"</f>
        <v>4/11/2013 3:22:00 PM</v>
      </c>
      <c r="O7126" t="s">
        <v>21602</v>
      </c>
      <c r="T7126" t="s">
        <v>21603</v>
      </c>
    </row>
    <row r="7127" spans="1:20" x14ac:dyDescent="0.25">
      <c r="A7127" t="str">
        <f>"3043548"</f>
        <v>3043548</v>
      </c>
      <c r="B7127" t="s">
        <v>21605</v>
      </c>
      <c r="C7127" t="str">
        <f>"8302070"</f>
        <v>8302070</v>
      </c>
      <c r="D7127" t="s">
        <v>21606</v>
      </c>
      <c r="E7127" t="s">
        <v>21607</v>
      </c>
      <c r="F7127" t="s">
        <v>21608</v>
      </c>
      <c r="I7127" t="s">
        <v>29</v>
      </c>
      <c r="J7127" t="s">
        <v>30</v>
      </c>
      <c r="K7127" t="str">
        <f t="shared" si="108"/>
        <v>27028</v>
      </c>
      <c r="M7127" t="s">
        <v>17861</v>
      </c>
      <c r="N7127" t="str">
        <f>"5/6/2013 2:03:00 PM"</f>
        <v>5/6/2013 2:03:00 PM</v>
      </c>
      <c r="O7127" t="s">
        <v>21606</v>
      </c>
      <c r="T7127" t="s">
        <v>21607</v>
      </c>
    </row>
    <row r="7128" spans="1:20" x14ac:dyDescent="0.25">
      <c r="A7128" t="str">
        <f>"3072683"</f>
        <v>3072683</v>
      </c>
      <c r="B7128" t="s">
        <v>21609</v>
      </c>
      <c r="C7128" t="str">
        <f>"82528232"</f>
        <v>82528232</v>
      </c>
      <c r="D7128" t="s">
        <v>21610</v>
      </c>
      <c r="F7128" t="s">
        <v>21611</v>
      </c>
      <c r="I7128" t="s">
        <v>471</v>
      </c>
      <c r="J7128" t="s">
        <v>30</v>
      </c>
      <c r="K7128" t="s">
        <v>472</v>
      </c>
      <c r="M7128" t="s">
        <v>20134</v>
      </c>
      <c r="N7128" t="str">
        <f>"5/7/2013 12:05:00 PM"</f>
        <v>5/7/2013 12:05:00 PM</v>
      </c>
      <c r="O7128" t="s">
        <v>21610</v>
      </c>
    </row>
    <row r="7129" spans="1:20" x14ac:dyDescent="0.25">
      <c r="A7129" t="str">
        <f>"3059906"</f>
        <v>3059906</v>
      </c>
      <c r="B7129" t="s">
        <v>21612</v>
      </c>
      <c r="C7129" t="str">
        <f>"8301978"</f>
        <v>8301978</v>
      </c>
      <c r="D7129" t="s">
        <v>21613</v>
      </c>
      <c r="E7129" t="s">
        <v>21614</v>
      </c>
      <c r="F7129" t="s">
        <v>21615</v>
      </c>
      <c r="I7129" t="s">
        <v>29</v>
      </c>
      <c r="J7129" t="s">
        <v>30</v>
      </c>
      <c r="K7129" t="str">
        <f>"27028"</f>
        <v>27028</v>
      </c>
      <c r="M7129" t="s">
        <v>17861</v>
      </c>
      <c r="N7129" t="str">
        <f>"4/11/2013 3:39:00 PM"</f>
        <v>4/11/2013 3:39:00 PM</v>
      </c>
      <c r="O7129" t="s">
        <v>21613</v>
      </c>
      <c r="T7129" t="s">
        <v>21614</v>
      </c>
    </row>
    <row r="7130" spans="1:20" x14ac:dyDescent="0.25">
      <c r="A7130" t="str">
        <f>"3039670"</f>
        <v>3039670</v>
      </c>
      <c r="B7130" t="s">
        <v>21616</v>
      </c>
      <c r="C7130" t="str">
        <f>"8302086"</f>
        <v>8302086</v>
      </c>
      <c r="D7130" t="s">
        <v>21617</v>
      </c>
      <c r="F7130" t="s">
        <v>21618</v>
      </c>
      <c r="I7130" t="s">
        <v>184</v>
      </c>
      <c r="J7130" t="s">
        <v>30</v>
      </c>
      <c r="K7130" t="str">
        <f>"27006"</f>
        <v>27006</v>
      </c>
      <c r="M7130" t="s">
        <v>17861</v>
      </c>
      <c r="N7130" t="str">
        <f>"5/9/2013 3:46:00 PM"</f>
        <v>5/9/2013 3:46:00 PM</v>
      </c>
      <c r="O7130" t="s">
        <v>21617</v>
      </c>
    </row>
    <row r="7131" spans="1:20" x14ac:dyDescent="0.25">
      <c r="A7131" t="str">
        <f>"3051465"</f>
        <v>3051465</v>
      </c>
      <c r="B7131" t="s">
        <v>21619</v>
      </c>
      <c r="C7131" t="str">
        <f>"8301989"</f>
        <v>8301989</v>
      </c>
      <c r="D7131" t="s">
        <v>21620</v>
      </c>
      <c r="E7131" t="s">
        <v>21621</v>
      </c>
      <c r="F7131" t="s">
        <v>21622</v>
      </c>
      <c r="I7131" t="s">
        <v>29</v>
      </c>
      <c r="J7131" t="s">
        <v>30</v>
      </c>
      <c r="K7131" t="str">
        <f>"27028"</f>
        <v>27028</v>
      </c>
      <c r="M7131" t="s">
        <v>17861</v>
      </c>
      <c r="N7131" t="str">
        <f>"4/11/2013 4:55:00 PM"</f>
        <v>4/11/2013 4:55:00 PM</v>
      </c>
      <c r="O7131" t="s">
        <v>21620</v>
      </c>
      <c r="T7131" t="s">
        <v>21621</v>
      </c>
    </row>
    <row r="7132" spans="1:20" x14ac:dyDescent="0.25">
      <c r="A7132" t="str">
        <f>"3060371"</f>
        <v>3060371</v>
      </c>
      <c r="B7132" t="s">
        <v>21623</v>
      </c>
      <c r="C7132" t="str">
        <f>"47552440"</f>
        <v>47552440</v>
      </c>
      <c r="D7132" t="s">
        <v>21624</v>
      </c>
      <c r="F7132" t="s">
        <v>21625</v>
      </c>
      <c r="I7132" t="s">
        <v>29</v>
      </c>
      <c r="J7132" t="s">
        <v>30</v>
      </c>
      <c r="K7132" t="s">
        <v>21626</v>
      </c>
      <c r="M7132" t="s">
        <v>21627</v>
      </c>
      <c r="N7132" t="str">
        <f>"3/13/2013 4:14:00 PM"</f>
        <v>3/13/2013 4:14:00 PM</v>
      </c>
      <c r="O7132" t="s">
        <v>21624</v>
      </c>
    </row>
    <row r="7133" spans="1:20" x14ac:dyDescent="0.25">
      <c r="A7133" t="str">
        <f>"3051201"</f>
        <v>3051201</v>
      </c>
      <c r="B7133" t="s">
        <v>21628</v>
      </c>
      <c r="C7133" t="str">
        <f>"36336250"</f>
        <v>36336250</v>
      </c>
      <c r="D7133" t="s">
        <v>21629</v>
      </c>
      <c r="E7133" t="s">
        <v>21630</v>
      </c>
      <c r="F7133" t="s">
        <v>21631</v>
      </c>
      <c r="I7133" t="s">
        <v>29</v>
      </c>
      <c r="J7133" t="s">
        <v>30</v>
      </c>
      <c r="K7133" t="s">
        <v>21632</v>
      </c>
      <c r="M7133" t="s">
        <v>20343</v>
      </c>
      <c r="N7133" t="str">
        <f>"3/14/2013 8:12:00 AM"</f>
        <v>3/14/2013 8:12:00 AM</v>
      </c>
      <c r="O7133" t="s">
        <v>21629</v>
      </c>
      <c r="T7133" t="s">
        <v>21630</v>
      </c>
    </row>
    <row r="7134" spans="1:20" x14ac:dyDescent="0.25">
      <c r="A7134" t="str">
        <f>"3050730"</f>
        <v>3050730</v>
      </c>
      <c r="B7134" t="s">
        <v>21633</v>
      </c>
      <c r="C7134" t="str">
        <f>"82533130"</f>
        <v>82533130</v>
      </c>
      <c r="D7134" t="s">
        <v>21634</v>
      </c>
      <c r="E7134" t="s">
        <v>21635</v>
      </c>
      <c r="F7134" t="s">
        <v>21636</v>
      </c>
      <c r="I7134" t="s">
        <v>184</v>
      </c>
      <c r="J7134" t="s">
        <v>30</v>
      </c>
      <c r="K7134" t="str">
        <f>"27006"</f>
        <v>27006</v>
      </c>
      <c r="M7134" t="s">
        <v>18432</v>
      </c>
      <c r="N7134" t="str">
        <f>"3/14/2013 10:13:00 AM"</f>
        <v>3/14/2013 10:13:00 AM</v>
      </c>
      <c r="O7134" t="s">
        <v>21634</v>
      </c>
      <c r="T7134" t="s">
        <v>21635</v>
      </c>
    </row>
    <row r="7135" spans="1:20" x14ac:dyDescent="0.25">
      <c r="A7135" t="str">
        <f>"3041923"</f>
        <v>3041923</v>
      </c>
      <c r="B7135" t="s">
        <v>21637</v>
      </c>
      <c r="C7135" t="str">
        <f>"82528684"</f>
        <v>82528684</v>
      </c>
      <c r="D7135" t="s">
        <v>21638</v>
      </c>
      <c r="E7135" t="str">
        <f>"C/O SHIRLEY OZMENT/FINANCES"</f>
        <v>C/O SHIRLEY OZMENT/FINANCES</v>
      </c>
      <c r="F7135" t="s">
        <v>18373</v>
      </c>
      <c r="I7135" t="s">
        <v>471</v>
      </c>
      <c r="J7135" t="s">
        <v>30</v>
      </c>
      <c r="K7135" t="s">
        <v>3221</v>
      </c>
      <c r="M7135" t="s">
        <v>18513</v>
      </c>
      <c r="N7135" t="str">
        <f>"5/16/2013 9:48:00 AM"</f>
        <v>5/16/2013 9:48:00 AM</v>
      </c>
      <c r="O7135" t="s">
        <v>21638</v>
      </c>
      <c r="T7135" t="str">
        <f>"C/O SHIRLEY OZMENT/FINANCES"</f>
        <v>C/O SHIRLEY OZMENT/FINANCES</v>
      </c>
    </row>
    <row r="7136" spans="1:20" x14ac:dyDescent="0.25">
      <c r="A7136" t="str">
        <f>"3042799"</f>
        <v>3042799</v>
      </c>
      <c r="B7136" t="s">
        <v>21639</v>
      </c>
      <c r="C7136" t="str">
        <f>"82523358"</f>
        <v>82523358</v>
      </c>
      <c r="D7136" t="s">
        <v>21640</v>
      </c>
      <c r="E7136" t="s">
        <v>21641</v>
      </c>
      <c r="F7136" t="s">
        <v>17524</v>
      </c>
      <c r="I7136" t="s">
        <v>29</v>
      </c>
      <c r="J7136" t="s">
        <v>30</v>
      </c>
      <c r="K7136" t="s">
        <v>21642</v>
      </c>
      <c r="M7136" t="s">
        <v>18513</v>
      </c>
      <c r="N7136" t="str">
        <f>"5/16/2013 10:15:00 AM"</f>
        <v>5/16/2013 10:15:00 AM</v>
      </c>
      <c r="O7136" t="s">
        <v>21640</v>
      </c>
      <c r="T7136" t="s">
        <v>21641</v>
      </c>
    </row>
    <row r="7137" spans="1:20" x14ac:dyDescent="0.25">
      <c r="A7137" t="str">
        <f>"3045170"</f>
        <v>3045170</v>
      </c>
      <c r="B7137" t="s">
        <v>21643</v>
      </c>
      <c r="C7137" t="str">
        <f>"82526749"</f>
        <v>82526749</v>
      </c>
      <c r="D7137" t="s">
        <v>21644</v>
      </c>
      <c r="F7137" t="s">
        <v>21645</v>
      </c>
      <c r="I7137" t="s">
        <v>1107</v>
      </c>
      <c r="J7137" t="s">
        <v>30</v>
      </c>
      <c r="K7137" t="s">
        <v>13026</v>
      </c>
      <c r="M7137" t="s">
        <v>18513</v>
      </c>
      <c r="N7137" t="str">
        <f>"5/16/2013 10:46:00 AM"</f>
        <v>5/16/2013 10:46:00 AM</v>
      </c>
      <c r="O7137" t="s">
        <v>21644</v>
      </c>
    </row>
    <row r="7138" spans="1:20" x14ac:dyDescent="0.25">
      <c r="A7138" t="str">
        <f>"3045250"</f>
        <v>3045250</v>
      </c>
      <c r="B7138" t="s">
        <v>21646</v>
      </c>
      <c r="C7138" t="str">
        <f>"82526749"</f>
        <v>82526749</v>
      </c>
      <c r="D7138" t="s">
        <v>21644</v>
      </c>
      <c r="F7138" t="s">
        <v>21645</v>
      </c>
      <c r="I7138" t="s">
        <v>1107</v>
      </c>
      <c r="J7138" t="s">
        <v>30</v>
      </c>
      <c r="K7138" t="s">
        <v>13026</v>
      </c>
      <c r="M7138" t="s">
        <v>18513</v>
      </c>
      <c r="N7138" t="str">
        <f>"5/16/2013 10:46:00 AM"</f>
        <v>5/16/2013 10:46:00 AM</v>
      </c>
      <c r="O7138" t="s">
        <v>21644</v>
      </c>
    </row>
    <row r="7139" spans="1:20" x14ac:dyDescent="0.25">
      <c r="A7139" t="str">
        <f>"3043131"</f>
        <v>3043131</v>
      </c>
      <c r="B7139" t="s">
        <v>21647</v>
      </c>
      <c r="C7139" t="str">
        <f>"82516851"</f>
        <v>82516851</v>
      </c>
      <c r="D7139" t="s">
        <v>21648</v>
      </c>
      <c r="F7139" t="s">
        <v>17859</v>
      </c>
      <c r="I7139" t="s">
        <v>29</v>
      </c>
      <c r="J7139" t="s">
        <v>30</v>
      </c>
      <c r="K7139" t="s">
        <v>31</v>
      </c>
      <c r="M7139" t="s">
        <v>18513</v>
      </c>
      <c r="N7139" t="str">
        <f>"5/16/2013 10:54:00 AM"</f>
        <v>5/16/2013 10:54:00 AM</v>
      </c>
      <c r="O7139" t="s">
        <v>21648</v>
      </c>
    </row>
    <row r="7140" spans="1:20" x14ac:dyDescent="0.25">
      <c r="A7140" t="str">
        <f>"3038564"</f>
        <v>3038564</v>
      </c>
      <c r="B7140" t="s">
        <v>21649</v>
      </c>
      <c r="C7140" t="str">
        <f>"69343750"</f>
        <v>69343750</v>
      </c>
      <c r="D7140" t="s">
        <v>21650</v>
      </c>
      <c r="F7140" t="s">
        <v>21651</v>
      </c>
      <c r="I7140" t="s">
        <v>29</v>
      </c>
      <c r="J7140" t="s">
        <v>30</v>
      </c>
      <c r="K7140" t="s">
        <v>31</v>
      </c>
      <c r="M7140" t="s">
        <v>18513</v>
      </c>
      <c r="N7140" t="str">
        <f>"5/16/2013 10:56:00 AM"</f>
        <v>5/16/2013 10:56:00 AM</v>
      </c>
      <c r="O7140" t="s">
        <v>21650</v>
      </c>
    </row>
    <row r="7141" spans="1:20" x14ac:dyDescent="0.25">
      <c r="A7141" t="str">
        <f>"3038191"</f>
        <v>3038191</v>
      </c>
      <c r="B7141" t="s">
        <v>21652</v>
      </c>
      <c r="C7141" t="str">
        <f>"69343750"</f>
        <v>69343750</v>
      </c>
      <c r="D7141" t="s">
        <v>21650</v>
      </c>
      <c r="F7141" t="s">
        <v>21651</v>
      </c>
      <c r="I7141" t="s">
        <v>29</v>
      </c>
      <c r="J7141" t="s">
        <v>30</v>
      </c>
      <c r="K7141" t="s">
        <v>31</v>
      </c>
      <c r="M7141" t="s">
        <v>18513</v>
      </c>
      <c r="N7141" t="str">
        <f>"5/16/2013 10:56:00 AM"</f>
        <v>5/16/2013 10:56:00 AM</v>
      </c>
      <c r="O7141" t="s">
        <v>21650</v>
      </c>
    </row>
    <row r="7142" spans="1:20" x14ac:dyDescent="0.25">
      <c r="A7142" t="str">
        <f>"3076695"</f>
        <v>3076695</v>
      </c>
      <c r="B7142" t="s">
        <v>21653</v>
      </c>
      <c r="C7142" t="str">
        <f>"69343750"</f>
        <v>69343750</v>
      </c>
      <c r="D7142" t="s">
        <v>21650</v>
      </c>
      <c r="F7142" t="s">
        <v>21651</v>
      </c>
      <c r="I7142" t="s">
        <v>29</v>
      </c>
      <c r="J7142" t="s">
        <v>30</v>
      </c>
      <c r="K7142" t="s">
        <v>31</v>
      </c>
      <c r="M7142" t="s">
        <v>18513</v>
      </c>
      <c r="N7142" t="str">
        <f>"5/16/2013 10:56:00 AM"</f>
        <v>5/16/2013 10:56:00 AM</v>
      </c>
      <c r="O7142" t="s">
        <v>21650</v>
      </c>
    </row>
    <row r="7143" spans="1:20" x14ac:dyDescent="0.25">
      <c r="A7143" t="str">
        <f>"3048292"</f>
        <v>3048292</v>
      </c>
      <c r="B7143" t="s">
        <v>21654</v>
      </c>
      <c r="C7143" t="str">
        <f>"8302031"</f>
        <v>8302031</v>
      </c>
      <c r="D7143" t="s">
        <v>12776</v>
      </c>
      <c r="E7143" t="s">
        <v>21655</v>
      </c>
      <c r="F7143" t="s">
        <v>21656</v>
      </c>
      <c r="I7143" t="s">
        <v>1176</v>
      </c>
      <c r="J7143" t="s">
        <v>30</v>
      </c>
      <c r="K7143" t="str">
        <f>"27054"</f>
        <v>27054</v>
      </c>
      <c r="M7143" t="s">
        <v>17861</v>
      </c>
      <c r="N7143" t="str">
        <f>"4/30/2013 4:15:00 PM"</f>
        <v>4/30/2013 4:15:00 PM</v>
      </c>
      <c r="O7143" t="s">
        <v>12776</v>
      </c>
      <c r="T7143" t="s">
        <v>21655</v>
      </c>
    </row>
    <row r="7144" spans="1:20" x14ac:dyDescent="0.25">
      <c r="A7144" t="str">
        <f>"3042586"</f>
        <v>3042586</v>
      </c>
      <c r="B7144" t="s">
        <v>21657</v>
      </c>
      <c r="C7144" t="str">
        <f>"82523877"</f>
        <v>82523877</v>
      </c>
      <c r="D7144" t="s">
        <v>21658</v>
      </c>
      <c r="F7144" t="s">
        <v>21659</v>
      </c>
      <c r="I7144" t="s">
        <v>184</v>
      </c>
      <c r="J7144" t="s">
        <v>30</v>
      </c>
      <c r="K7144" t="s">
        <v>185</v>
      </c>
      <c r="M7144" t="s">
        <v>18513</v>
      </c>
      <c r="N7144" t="str">
        <f>"5/16/2013 3:44:00 PM"</f>
        <v>5/16/2013 3:44:00 PM</v>
      </c>
      <c r="O7144" t="s">
        <v>21658</v>
      </c>
    </row>
    <row r="7145" spans="1:20" x14ac:dyDescent="0.25">
      <c r="A7145" t="str">
        <f>"3060815"</f>
        <v>3060815</v>
      </c>
      <c r="B7145" t="s">
        <v>21660</v>
      </c>
      <c r="C7145" t="str">
        <f>"8302103"</f>
        <v>8302103</v>
      </c>
      <c r="D7145" t="s">
        <v>21661</v>
      </c>
      <c r="F7145" t="s">
        <v>21662</v>
      </c>
      <c r="I7145" t="s">
        <v>184</v>
      </c>
      <c r="J7145" t="s">
        <v>30</v>
      </c>
      <c r="K7145" t="str">
        <f>"27006"</f>
        <v>27006</v>
      </c>
      <c r="M7145" t="s">
        <v>17861</v>
      </c>
      <c r="N7145" t="str">
        <f>"5/16/2013 4:24:00 PM"</f>
        <v>5/16/2013 4:24:00 PM</v>
      </c>
      <c r="O7145" t="s">
        <v>21661</v>
      </c>
    </row>
    <row r="7146" spans="1:20" x14ac:dyDescent="0.25">
      <c r="A7146" t="str">
        <f>"3051218"</f>
        <v>3051218</v>
      </c>
      <c r="B7146" t="s">
        <v>21663</v>
      </c>
      <c r="C7146" t="str">
        <f>"8302031"</f>
        <v>8302031</v>
      </c>
      <c r="D7146" t="s">
        <v>12776</v>
      </c>
      <c r="E7146" t="s">
        <v>21655</v>
      </c>
      <c r="F7146" t="s">
        <v>21656</v>
      </c>
      <c r="I7146" t="s">
        <v>1176</v>
      </c>
      <c r="J7146" t="s">
        <v>30</v>
      </c>
      <c r="K7146" t="str">
        <f>"27054"</f>
        <v>27054</v>
      </c>
      <c r="M7146" t="s">
        <v>17861</v>
      </c>
      <c r="N7146" t="str">
        <f>"4/30/2013 4:15:00 PM"</f>
        <v>4/30/2013 4:15:00 PM</v>
      </c>
      <c r="O7146" t="s">
        <v>12776</v>
      </c>
      <c r="T7146" t="s">
        <v>21655</v>
      </c>
    </row>
    <row r="7147" spans="1:20" x14ac:dyDescent="0.25">
      <c r="A7147" t="str">
        <f>"3049869"</f>
        <v>3049869</v>
      </c>
      <c r="B7147" t="s">
        <v>21664</v>
      </c>
      <c r="C7147" t="str">
        <f>"82528234"</f>
        <v>82528234</v>
      </c>
      <c r="D7147" t="s">
        <v>21665</v>
      </c>
      <c r="E7147" t="s">
        <v>21666</v>
      </c>
      <c r="F7147" t="s">
        <v>21667</v>
      </c>
      <c r="I7147" t="s">
        <v>29</v>
      </c>
      <c r="J7147" t="s">
        <v>30</v>
      </c>
      <c r="K7147" t="s">
        <v>31</v>
      </c>
      <c r="M7147" t="s">
        <v>18432</v>
      </c>
      <c r="N7147" t="str">
        <f>"4/30/2013 4:19:00 PM"</f>
        <v>4/30/2013 4:19:00 PM</v>
      </c>
      <c r="O7147" t="s">
        <v>21665</v>
      </c>
      <c r="T7147" t="s">
        <v>21666</v>
      </c>
    </row>
    <row r="7148" spans="1:20" x14ac:dyDescent="0.25">
      <c r="A7148" t="str">
        <f>"3047805"</f>
        <v>3047805</v>
      </c>
      <c r="B7148" t="s">
        <v>21668</v>
      </c>
      <c r="C7148" t="str">
        <f>"8302033"</f>
        <v>8302033</v>
      </c>
      <c r="D7148" t="s">
        <v>21669</v>
      </c>
      <c r="F7148" t="s">
        <v>21670</v>
      </c>
      <c r="I7148" t="s">
        <v>184</v>
      </c>
      <c r="J7148" t="s">
        <v>30</v>
      </c>
      <c r="K7148" t="str">
        <f>"27006"</f>
        <v>27006</v>
      </c>
      <c r="M7148" t="s">
        <v>17861</v>
      </c>
      <c r="N7148" t="str">
        <f>"5/1/2013 9:43:00 AM"</f>
        <v>5/1/2013 9:43:00 AM</v>
      </c>
      <c r="O7148" t="s">
        <v>21669</v>
      </c>
    </row>
    <row r="7149" spans="1:20" x14ac:dyDescent="0.25">
      <c r="A7149" t="str">
        <f>"3059106"</f>
        <v>3059106</v>
      </c>
      <c r="B7149" t="s">
        <v>21671</v>
      </c>
      <c r="C7149" t="str">
        <f>"82523936"</f>
        <v>82523936</v>
      </c>
      <c r="D7149" t="s">
        <v>21672</v>
      </c>
      <c r="E7149" t="s">
        <v>21673</v>
      </c>
      <c r="F7149" t="s">
        <v>21674</v>
      </c>
      <c r="I7149" t="s">
        <v>29</v>
      </c>
      <c r="J7149" t="s">
        <v>30</v>
      </c>
      <c r="K7149" t="s">
        <v>15135</v>
      </c>
      <c r="M7149" t="s">
        <v>18432</v>
      </c>
      <c r="N7149" t="str">
        <f>"5/2/2013 9:52:00 AM"</f>
        <v>5/2/2013 9:52:00 AM</v>
      </c>
      <c r="O7149" t="s">
        <v>21672</v>
      </c>
      <c r="T7149" t="s">
        <v>21673</v>
      </c>
    </row>
    <row r="7150" spans="1:20" x14ac:dyDescent="0.25">
      <c r="A7150" t="str">
        <f>"3061705"</f>
        <v>3061705</v>
      </c>
      <c r="B7150" t="s">
        <v>21675</v>
      </c>
      <c r="C7150" t="str">
        <f>"77234000"</f>
        <v>77234000</v>
      </c>
      <c r="D7150" t="s">
        <v>21579</v>
      </c>
      <c r="E7150" t="s">
        <v>21580</v>
      </c>
      <c r="F7150" t="s">
        <v>21581</v>
      </c>
      <c r="I7150" t="s">
        <v>29</v>
      </c>
      <c r="J7150" t="s">
        <v>30</v>
      </c>
      <c r="K7150" t="s">
        <v>31</v>
      </c>
      <c r="M7150" t="s">
        <v>17861</v>
      </c>
      <c r="N7150" t="str">
        <f>"5/3/2013 9:10:00 AM"</f>
        <v>5/3/2013 9:10:00 AM</v>
      </c>
      <c r="O7150" t="s">
        <v>21579</v>
      </c>
      <c r="T7150" t="s">
        <v>21580</v>
      </c>
    </row>
    <row r="7151" spans="1:20" x14ac:dyDescent="0.25">
      <c r="A7151" t="str">
        <f>"3076706"</f>
        <v>3076706</v>
      </c>
      <c r="B7151" t="s">
        <v>21676</v>
      </c>
      <c r="C7151" t="str">
        <f>"77234000"</f>
        <v>77234000</v>
      </c>
      <c r="D7151" t="s">
        <v>21579</v>
      </c>
      <c r="E7151" t="s">
        <v>21580</v>
      </c>
      <c r="F7151" t="s">
        <v>21581</v>
      </c>
      <c r="I7151" t="s">
        <v>29</v>
      </c>
      <c r="J7151" t="s">
        <v>30</v>
      </c>
      <c r="K7151" t="s">
        <v>31</v>
      </c>
      <c r="M7151" t="s">
        <v>17861</v>
      </c>
      <c r="N7151" t="str">
        <f>"5/3/2013 9:10:00 AM"</f>
        <v>5/3/2013 9:10:00 AM</v>
      </c>
      <c r="O7151" t="s">
        <v>21579</v>
      </c>
      <c r="T7151" t="s">
        <v>21580</v>
      </c>
    </row>
    <row r="7152" spans="1:20" x14ac:dyDescent="0.25">
      <c r="A7152" t="str">
        <f>"3039184"</f>
        <v>3039184</v>
      </c>
      <c r="B7152" t="s">
        <v>21677</v>
      </c>
      <c r="C7152" t="str">
        <f>"77234000"</f>
        <v>77234000</v>
      </c>
      <c r="D7152" t="s">
        <v>21579</v>
      </c>
      <c r="E7152" t="s">
        <v>21580</v>
      </c>
      <c r="F7152" t="s">
        <v>21581</v>
      </c>
      <c r="I7152" t="s">
        <v>29</v>
      </c>
      <c r="J7152" t="s">
        <v>30</v>
      </c>
      <c r="K7152" t="s">
        <v>31</v>
      </c>
      <c r="M7152" t="s">
        <v>17861</v>
      </c>
      <c r="N7152" t="str">
        <f>"5/3/2013 9:10:00 AM"</f>
        <v>5/3/2013 9:10:00 AM</v>
      </c>
      <c r="O7152" t="s">
        <v>21579</v>
      </c>
      <c r="T7152" t="s">
        <v>21580</v>
      </c>
    </row>
    <row r="7153" spans="1:20" x14ac:dyDescent="0.25">
      <c r="A7153" t="str">
        <f>"3040751"</f>
        <v>3040751</v>
      </c>
      <c r="B7153" t="s">
        <v>21678</v>
      </c>
      <c r="C7153" t="str">
        <f>"77234000"</f>
        <v>77234000</v>
      </c>
      <c r="D7153" t="s">
        <v>21579</v>
      </c>
      <c r="E7153" t="s">
        <v>21580</v>
      </c>
      <c r="F7153" t="s">
        <v>21581</v>
      </c>
      <c r="I7153" t="s">
        <v>29</v>
      </c>
      <c r="J7153" t="s">
        <v>30</v>
      </c>
      <c r="K7153" t="s">
        <v>31</v>
      </c>
      <c r="M7153" t="s">
        <v>17861</v>
      </c>
      <c r="N7153" t="str">
        <f>"5/3/2013 9:10:00 AM"</f>
        <v>5/3/2013 9:10:00 AM</v>
      </c>
      <c r="O7153" t="s">
        <v>21579</v>
      </c>
      <c r="T7153" t="s">
        <v>21580</v>
      </c>
    </row>
    <row r="7154" spans="1:20" x14ac:dyDescent="0.25">
      <c r="A7154" t="str">
        <f>"3040437"</f>
        <v>3040437</v>
      </c>
      <c r="B7154" t="s">
        <v>21679</v>
      </c>
      <c r="C7154" t="str">
        <f>"77234000"</f>
        <v>77234000</v>
      </c>
      <c r="D7154" t="s">
        <v>21579</v>
      </c>
      <c r="E7154" t="s">
        <v>21580</v>
      </c>
      <c r="F7154" t="s">
        <v>21581</v>
      </c>
      <c r="I7154" t="s">
        <v>29</v>
      </c>
      <c r="J7154" t="s">
        <v>30</v>
      </c>
      <c r="K7154" t="s">
        <v>31</v>
      </c>
      <c r="M7154" t="s">
        <v>17861</v>
      </c>
      <c r="N7154" t="str">
        <f>"5/3/2013 9:10:00 AM"</f>
        <v>5/3/2013 9:10:00 AM</v>
      </c>
      <c r="O7154" t="s">
        <v>21579</v>
      </c>
      <c r="T7154" t="s">
        <v>21580</v>
      </c>
    </row>
    <row r="7155" spans="1:20" x14ac:dyDescent="0.25">
      <c r="A7155" t="str">
        <f>"3038652"</f>
        <v>3038652</v>
      </c>
      <c r="B7155" t="s">
        <v>21680</v>
      </c>
      <c r="C7155" t="str">
        <f>"8302059"</f>
        <v>8302059</v>
      </c>
      <c r="D7155" t="s">
        <v>21681</v>
      </c>
      <c r="F7155" t="s">
        <v>21682</v>
      </c>
      <c r="I7155" t="s">
        <v>29</v>
      </c>
      <c r="J7155" t="s">
        <v>30</v>
      </c>
      <c r="K7155" t="str">
        <f>"27028"</f>
        <v>27028</v>
      </c>
      <c r="M7155" t="s">
        <v>17861</v>
      </c>
      <c r="N7155" t="str">
        <f>"5/3/2013 4:00:00 PM"</f>
        <v>5/3/2013 4:00:00 PM</v>
      </c>
      <c r="O7155" t="s">
        <v>21681</v>
      </c>
    </row>
    <row r="7156" spans="1:20" x14ac:dyDescent="0.25">
      <c r="A7156" t="str">
        <f>"3045806"</f>
        <v>3045806</v>
      </c>
      <c r="B7156" t="s">
        <v>21683</v>
      </c>
      <c r="C7156" t="str">
        <f>"8302059"</f>
        <v>8302059</v>
      </c>
      <c r="D7156" t="s">
        <v>21681</v>
      </c>
      <c r="F7156" t="s">
        <v>21682</v>
      </c>
      <c r="I7156" t="s">
        <v>29</v>
      </c>
      <c r="J7156" t="s">
        <v>30</v>
      </c>
      <c r="K7156" t="str">
        <f>"27028"</f>
        <v>27028</v>
      </c>
      <c r="M7156" t="s">
        <v>17861</v>
      </c>
      <c r="N7156" t="str">
        <f>"5/3/2013 4:00:00 PM"</f>
        <v>5/3/2013 4:00:00 PM</v>
      </c>
      <c r="O7156" t="s">
        <v>21681</v>
      </c>
    </row>
    <row r="7157" spans="1:20" x14ac:dyDescent="0.25">
      <c r="A7157" t="str">
        <f>"3060833"</f>
        <v>3060833</v>
      </c>
      <c r="B7157" t="s">
        <v>21684</v>
      </c>
      <c r="C7157" t="str">
        <f>"8302069"</f>
        <v>8302069</v>
      </c>
      <c r="D7157" t="s">
        <v>21685</v>
      </c>
      <c r="E7157" t="s">
        <v>21686</v>
      </c>
      <c r="F7157" t="s">
        <v>21687</v>
      </c>
      <c r="I7157" t="s">
        <v>184</v>
      </c>
      <c r="J7157" t="s">
        <v>30</v>
      </c>
      <c r="K7157" t="str">
        <f>"27006"</f>
        <v>27006</v>
      </c>
      <c r="M7157" t="s">
        <v>17861</v>
      </c>
      <c r="N7157" t="str">
        <f>"5/6/2013 12:58:00 PM"</f>
        <v>5/6/2013 12:58:00 PM</v>
      </c>
      <c r="O7157" t="s">
        <v>21685</v>
      </c>
      <c r="T7157" t="s">
        <v>21686</v>
      </c>
    </row>
    <row r="7158" spans="1:20" x14ac:dyDescent="0.25">
      <c r="A7158" t="str">
        <f>"3070905"</f>
        <v>3070905</v>
      </c>
      <c r="B7158" t="s">
        <v>21688</v>
      </c>
      <c r="C7158" t="str">
        <f>"8302083"</f>
        <v>8302083</v>
      </c>
      <c r="D7158" t="s">
        <v>21689</v>
      </c>
      <c r="F7158" t="s">
        <v>21690</v>
      </c>
      <c r="I7158" t="s">
        <v>184</v>
      </c>
      <c r="J7158" t="s">
        <v>30</v>
      </c>
      <c r="K7158" t="str">
        <f>"27006"</f>
        <v>27006</v>
      </c>
      <c r="M7158" t="s">
        <v>17861</v>
      </c>
      <c r="N7158" t="str">
        <f>"5/9/2013 1:54:00 PM"</f>
        <v>5/9/2013 1:54:00 PM</v>
      </c>
      <c r="O7158" t="s">
        <v>21689</v>
      </c>
    </row>
    <row r="7159" spans="1:20" x14ac:dyDescent="0.25">
      <c r="A7159" t="str">
        <f>"3059324"</f>
        <v>3059324</v>
      </c>
      <c r="B7159" t="s">
        <v>21691</v>
      </c>
      <c r="C7159" t="str">
        <f>"62395570"</f>
        <v>62395570</v>
      </c>
      <c r="D7159" t="s">
        <v>21692</v>
      </c>
      <c r="F7159" t="s">
        <v>21693</v>
      </c>
      <c r="I7159" t="s">
        <v>21694</v>
      </c>
      <c r="J7159" t="s">
        <v>30</v>
      </c>
      <c r="K7159" t="str">
        <f>"28612"</f>
        <v>28612</v>
      </c>
      <c r="M7159" t="s">
        <v>18577</v>
      </c>
      <c r="N7159" t="str">
        <f>"5/10/2013 4:26:00 PM"</f>
        <v>5/10/2013 4:26:00 PM</v>
      </c>
      <c r="O7159" t="s">
        <v>21692</v>
      </c>
    </row>
    <row r="7160" spans="1:20" x14ac:dyDescent="0.25">
      <c r="A7160" t="str">
        <f>"3038777"</f>
        <v>3038777</v>
      </c>
      <c r="B7160" t="s">
        <v>21695</v>
      </c>
      <c r="C7160" t="str">
        <f>"8302148"</f>
        <v>8302148</v>
      </c>
      <c r="D7160" t="s">
        <v>21696</v>
      </c>
      <c r="E7160" t="s">
        <v>21697</v>
      </c>
      <c r="F7160" t="s">
        <v>21698</v>
      </c>
      <c r="I7160" t="s">
        <v>29</v>
      </c>
      <c r="J7160" t="s">
        <v>30</v>
      </c>
      <c r="K7160" t="str">
        <f>"27028"</f>
        <v>27028</v>
      </c>
      <c r="M7160" t="s">
        <v>17861</v>
      </c>
      <c r="N7160" t="str">
        <f>"5/24/2013 10:38:00 AM"</f>
        <v>5/24/2013 10:38:00 AM</v>
      </c>
      <c r="O7160" t="s">
        <v>21696</v>
      </c>
      <c r="T7160" t="s">
        <v>21697</v>
      </c>
    </row>
    <row r="7161" spans="1:20" x14ac:dyDescent="0.25">
      <c r="A7161" t="str">
        <f>"3051153"</f>
        <v>3051153</v>
      </c>
      <c r="B7161" t="s">
        <v>21699</v>
      </c>
      <c r="C7161" t="str">
        <f>"37060000"</f>
        <v>37060000</v>
      </c>
      <c r="D7161" t="s">
        <v>21700</v>
      </c>
      <c r="F7161" t="s">
        <v>19155</v>
      </c>
      <c r="I7161" t="s">
        <v>29</v>
      </c>
      <c r="J7161" t="s">
        <v>30</v>
      </c>
      <c r="K7161" t="s">
        <v>31</v>
      </c>
      <c r="L7161" t="s">
        <v>2497</v>
      </c>
      <c r="M7161" t="s">
        <v>18577</v>
      </c>
      <c r="N7161" t="str">
        <f>"5/13/2013 11:52:00 AM"</f>
        <v>5/13/2013 11:52:00 AM</v>
      </c>
      <c r="O7161" t="s">
        <v>21700</v>
      </c>
    </row>
    <row r="7162" spans="1:20" x14ac:dyDescent="0.25">
      <c r="A7162" t="str">
        <f>"3059880"</f>
        <v>3059880</v>
      </c>
      <c r="B7162" t="s">
        <v>21701</v>
      </c>
      <c r="C7162" t="str">
        <f>"8302162"</f>
        <v>8302162</v>
      </c>
      <c r="D7162" t="s">
        <v>21702</v>
      </c>
      <c r="E7162" t="s">
        <v>21703</v>
      </c>
      <c r="F7162" t="s">
        <v>21704</v>
      </c>
      <c r="I7162" t="s">
        <v>29</v>
      </c>
      <c r="J7162" t="s">
        <v>30</v>
      </c>
      <c r="K7162" t="str">
        <f>"27028"</f>
        <v>27028</v>
      </c>
      <c r="M7162" t="s">
        <v>17861</v>
      </c>
      <c r="N7162" t="str">
        <f>"5/28/2013 10:30:00 AM"</f>
        <v>5/28/2013 10:30:00 AM</v>
      </c>
      <c r="O7162" t="s">
        <v>21702</v>
      </c>
      <c r="T7162" t="s">
        <v>21703</v>
      </c>
    </row>
    <row r="7163" spans="1:20" x14ac:dyDescent="0.25">
      <c r="A7163" t="str">
        <f>"3060093"</f>
        <v>3060093</v>
      </c>
      <c r="B7163" t="s">
        <v>21705</v>
      </c>
      <c r="C7163" t="str">
        <f>"8302003"</f>
        <v>8302003</v>
      </c>
      <c r="D7163" t="s">
        <v>21706</v>
      </c>
      <c r="E7163" t="s">
        <v>21707</v>
      </c>
      <c r="F7163" t="s">
        <v>21708</v>
      </c>
      <c r="I7163" t="s">
        <v>184</v>
      </c>
      <c r="J7163" t="s">
        <v>30</v>
      </c>
      <c r="K7163" t="str">
        <f>"27006"</f>
        <v>27006</v>
      </c>
      <c r="M7163" t="s">
        <v>17861</v>
      </c>
      <c r="N7163" t="str">
        <f>"4/25/2013 1:46:00 PM"</f>
        <v>4/25/2013 1:46:00 PM</v>
      </c>
      <c r="O7163" t="s">
        <v>21706</v>
      </c>
      <c r="T7163" t="s">
        <v>21707</v>
      </c>
    </row>
    <row r="7164" spans="1:20" x14ac:dyDescent="0.25">
      <c r="A7164" t="str">
        <f>"3049005"</f>
        <v>3049005</v>
      </c>
      <c r="B7164" t="s">
        <v>21709</v>
      </c>
      <c r="C7164" t="str">
        <f>"8302180"</f>
        <v>8302180</v>
      </c>
      <c r="D7164" t="s">
        <v>21710</v>
      </c>
      <c r="F7164" t="s">
        <v>21711</v>
      </c>
      <c r="I7164" t="s">
        <v>29</v>
      </c>
      <c r="J7164" t="s">
        <v>30</v>
      </c>
      <c r="K7164" t="str">
        <f>"27028"</f>
        <v>27028</v>
      </c>
      <c r="M7164" t="s">
        <v>17861</v>
      </c>
      <c r="N7164" t="str">
        <f>"5/28/2013 4:14:00 PM"</f>
        <v>5/28/2013 4:14:00 PM</v>
      </c>
      <c r="O7164" t="s">
        <v>21710</v>
      </c>
    </row>
    <row r="7165" spans="1:20" x14ac:dyDescent="0.25">
      <c r="A7165" t="str">
        <f>"3060935"</f>
        <v>3060935</v>
      </c>
      <c r="B7165" t="s">
        <v>21712</v>
      </c>
      <c r="C7165" t="str">
        <f>"8302185"</f>
        <v>8302185</v>
      </c>
      <c r="D7165" t="s">
        <v>21713</v>
      </c>
      <c r="F7165" t="s">
        <v>21714</v>
      </c>
      <c r="I7165" t="s">
        <v>2071</v>
      </c>
      <c r="J7165" t="s">
        <v>30</v>
      </c>
      <c r="K7165" t="str">
        <f>"27006"</f>
        <v>27006</v>
      </c>
      <c r="M7165" t="s">
        <v>17861</v>
      </c>
      <c r="N7165" t="str">
        <f>"5/29/2013 10:34:00 AM"</f>
        <v>5/29/2013 10:34:00 AM</v>
      </c>
      <c r="O7165" t="s">
        <v>21713</v>
      </c>
    </row>
    <row r="7166" spans="1:20" x14ac:dyDescent="0.25">
      <c r="A7166" t="str">
        <f>"3048696"</f>
        <v>3048696</v>
      </c>
      <c r="B7166" t="s">
        <v>21715</v>
      </c>
      <c r="C7166" t="str">
        <f>"8302005"</f>
        <v>8302005</v>
      </c>
      <c r="D7166" t="s">
        <v>21716</v>
      </c>
      <c r="E7166" t="s">
        <v>21717</v>
      </c>
      <c r="F7166" t="s">
        <v>21718</v>
      </c>
      <c r="I7166" t="s">
        <v>29</v>
      </c>
      <c r="J7166" t="s">
        <v>30</v>
      </c>
      <c r="K7166" t="str">
        <f>"27028"</f>
        <v>27028</v>
      </c>
      <c r="M7166" t="s">
        <v>17861</v>
      </c>
      <c r="N7166" t="str">
        <f>"4/25/2013 3:14:00 PM"</f>
        <v>4/25/2013 3:14:00 PM</v>
      </c>
      <c r="O7166" t="s">
        <v>21716</v>
      </c>
      <c r="T7166" t="s">
        <v>21717</v>
      </c>
    </row>
    <row r="7167" spans="1:20" x14ac:dyDescent="0.25">
      <c r="A7167" t="str">
        <f>"3070790"</f>
        <v>3070790</v>
      </c>
      <c r="B7167" t="s">
        <v>21719</v>
      </c>
      <c r="C7167" t="str">
        <f>"8302011"</f>
        <v>8302011</v>
      </c>
      <c r="D7167" t="s">
        <v>21720</v>
      </c>
      <c r="F7167" t="s">
        <v>21721</v>
      </c>
      <c r="I7167" t="s">
        <v>29</v>
      </c>
      <c r="J7167" t="s">
        <v>30</v>
      </c>
      <c r="K7167" t="str">
        <f>"27028"</f>
        <v>27028</v>
      </c>
      <c r="M7167" t="s">
        <v>17861</v>
      </c>
      <c r="N7167" t="str">
        <f>"4/29/2013 1:40:00 PM"</f>
        <v>4/29/2013 1:40:00 PM</v>
      </c>
      <c r="O7167" t="s">
        <v>21720</v>
      </c>
    </row>
    <row r="7168" spans="1:20" x14ac:dyDescent="0.25">
      <c r="A7168" t="str">
        <f>"3061798"</f>
        <v>3061798</v>
      </c>
      <c r="B7168" t="s">
        <v>21722</v>
      </c>
      <c r="C7168" t="str">
        <f>"8302196"</f>
        <v>8302196</v>
      </c>
      <c r="D7168" t="s">
        <v>21723</v>
      </c>
      <c r="E7168" t="s">
        <v>21724</v>
      </c>
      <c r="F7168" t="s">
        <v>21725</v>
      </c>
      <c r="I7168" t="s">
        <v>2071</v>
      </c>
      <c r="J7168" t="s">
        <v>30</v>
      </c>
      <c r="K7168" t="str">
        <f>"27006"</f>
        <v>27006</v>
      </c>
      <c r="M7168" t="s">
        <v>17861</v>
      </c>
      <c r="N7168" t="str">
        <f>"5/30/2013 11:18:00 AM"</f>
        <v>5/30/2013 11:18:00 AM</v>
      </c>
      <c r="O7168" t="s">
        <v>21723</v>
      </c>
      <c r="T7168" t="s">
        <v>21724</v>
      </c>
    </row>
    <row r="7169" spans="1:20" x14ac:dyDescent="0.25">
      <c r="A7169" t="str">
        <f>"3041848"</f>
        <v>3041848</v>
      </c>
      <c r="B7169" t="s">
        <v>21726</v>
      </c>
      <c r="C7169" t="str">
        <f>"8302197"</f>
        <v>8302197</v>
      </c>
      <c r="D7169" t="s">
        <v>21727</v>
      </c>
      <c r="F7169" t="s">
        <v>3604</v>
      </c>
      <c r="I7169" t="s">
        <v>2071</v>
      </c>
      <c r="J7169" t="s">
        <v>30</v>
      </c>
      <c r="K7169" t="str">
        <f>"27006"</f>
        <v>27006</v>
      </c>
      <c r="M7169" t="s">
        <v>17861</v>
      </c>
      <c r="N7169" t="str">
        <f>"5/30/2013 1:08:00 PM"</f>
        <v>5/30/2013 1:08:00 PM</v>
      </c>
      <c r="O7169" t="s">
        <v>21727</v>
      </c>
    </row>
    <row r="7170" spans="1:20" x14ac:dyDescent="0.25">
      <c r="A7170" t="str">
        <f>"3041886"</f>
        <v>3041886</v>
      </c>
      <c r="B7170" t="s">
        <v>21728</v>
      </c>
      <c r="C7170" t="str">
        <f>"82528684"</f>
        <v>82528684</v>
      </c>
      <c r="D7170" t="s">
        <v>21638</v>
      </c>
      <c r="E7170" t="str">
        <f>"C/O SHIRLEY OZMENT/FINANCES"</f>
        <v>C/O SHIRLEY OZMENT/FINANCES</v>
      </c>
      <c r="F7170" t="s">
        <v>18373</v>
      </c>
      <c r="I7170" t="s">
        <v>471</v>
      </c>
      <c r="J7170" t="s">
        <v>30</v>
      </c>
      <c r="K7170" t="s">
        <v>3221</v>
      </c>
      <c r="M7170" t="s">
        <v>18513</v>
      </c>
      <c r="N7170" t="str">
        <f>"5/16/2013 9:48:00 AM"</f>
        <v>5/16/2013 9:48:00 AM</v>
      </c>
      <c r="O7170" t="s">
        <v>21638</v>
      </c>
      <c r="T7170" t="str">
        <f>"C/O SHIRLEY OZMENT/FINANCES"</f>
        <v>C/O SHIRLEY OZMENT/FINANCES</v>
      </c>
    </row>
    <row r="7171" spans="1:20" x14ac:dyDescent="0.25">
      <c r="A7171" t="str">
        <f>"3041887"</f>
        <v>3041887</v>
      </c>
      <c r="B7171" t="s">
        <v>21729</v>
      </c>
      <c r="C7171" t="str">
        <f>"82528684"</f>
        <v>82528684</v>
      </c>
      <c r="D7171" t="s">
        <v>21638</v>
      </c>
      <c r="E7171" t="str">
        <f>"C/O SHIRLEY OZMENT/FINANCES"</f>
        <v>C/O SHIRLEY OZMENT/FINANCES</v>
      </c>
      <c r="F7171" t="s">
        <v>18373</v>
      </c>
      <c r="I7171" t="s">
        <v>471</v>
      </c>
      <c r="J7171" t="s">
        <v>30</v>
      </c>
      <c r="K7171" t="s">
        <v>3221</v>
      </c>
      <c r="M7171" t="s">
        <v>18513</v>
      </c>
      <c r="N7171" t="str">
        <f>"5/16/2013 9:48:00 AM"</f>
        <v>5/16/2013 9:48:00 AM</v>
      </c>
      <c r="O7171" t="s">
        <v>21638</v>
      </c>
      <c r="T7171" t="str">
        <f>"C/O SHIRLEY OZMENT/FINANCES"</f>
        <v>C/O SHIRLEY OZMENT/FINANCES</v>
      </c>
    </row>
    <row r="7172" spans="1:20" x14ac:dyDescent="0.25">
      <c r="A7172" t="str">
        <f>"3061991"</f>
        <v>3061991</v>
      </c>
      <c r="B7172" t="s">
        <v>21730</v>
      </c>
      <c r="C7172" t="str">
        <f>"8302023"</f>
        <v>8302023</v>
      </c>
      <c r="D7172" t="s">
        <v>21731</v>
      </c>
      <c r="F7172" t="s">
        <v>21732</v>
      </c>
      <c r="I7172" t="s">
        <v>163</v>
      </c>
      <c r="J7172" t="s">
        <v>30</v>
      </c>
      <c r="K7172" t="str">
        <f>"27285"</f>
        <v>27285</v>
      </c>
      <c r="M7172" t="s">
        <v>17861</v>
      </c>
      <c r="N7172" t="str">
        <f>"4/29/2013 3:52:00 PM"</f>
        <v>4/29/2013 3:52:00 PM</v>
      </c>
      <c r="O7172" t="s">
        <v>21731</v>
      </c>
    </row>
    <row r="7173" spans="1:20" x14ac:dyDescent="0.25">
      <c r="A7173" t="str">
        <f>"3037726"</f>
        <v>3037726</v>
      </c>
      <c r="B7173" t="s">
        <v>21733</v>
      </c>
      <c r="C7173" t="str">
        <f>"8302214"</f>
        <v>8302214</v>
      </c>
      <c r="D7173" t="s">
        <v>21734</v>
      </c>
      <c r="G7173" t="s">
        <v>21735</v>
      </c>
      <c r="I7173" t="s">
        <v>29</v>
      </c>
      <c r="J7173" t="s">
        <v>30</v>
      </c>
      <c r="K7173" t="str">
        <f>"27028"</f>
        <v>27028</v>
      </c>
      <c r="M7173" t="s">
        <v>17861</v>
      </c>
      <c r="N7173" t="str">
        <f>"5/30/2013 4:25:00 PM"</f>
        <v>5/30/2013 4:25:00 PM</v>
      </c>
      <c r="O7173" t="s">
        <v>21734</v>
      </c>
    </row>
    <row r="7174" spans="1:20" x14ac:dyDescent="0.25">
      <c r="A7174" t="str">
        <f>"3044405"</f>
        <v>3044405</v>
      </c>
      <c r="B7174" t="s">
        <v>21736</v>
      </c>
      <c r="C7174" t="str">
        <f>"8302027"</f>
        <v>8302027</v>
      </c>
      <c r="D7174" t="s">
        <v>21737</v>
      </c>
      <c r="E7174" t="s">
        <v>21738</v>
      </c>
      <c r="F7174" t="s">
        <v>21739</v>
      </c>
      <c r="I7174" t="s">
        <v>184</v>
      </c>
      <c r="J7174" t="s">
        <v>30</v>
      </c>
      <c r="K7174" t="str">
        <f>"27006"</f>
        <v>27006</v>
      </c>
      <c r="M7174" t="s">
        <v>17861</v>
      </c>
      <c r="N7174" t="str">
        <f>"4/30/2013 3:51:00 PM"</f>
        <v>4/30/2013 3:51:00 PM</v>
      </c>
      <c r="O7174" t="s">
        <v>21737</v>
      </c>
      <c r="T7174" t="s">
        <v>21738</v>
      </c>
    </row>
    <row r="7175" spans="1:20" x14ac:dyDescent="0.25">
      <c r="A7175" t="str">
        <f>"3062937"</f>
        <v>3062937</v>
      </c>
      <c r="B7175" t="s">
        <v>21740</v>
      </c>
      <c r="C7175" t="str">
        <f>"8302030"</f>
        <v>8302030</v>
      </c>
      <c r="D7175" t="s">
        <v>21741</v>
      </c>
      <c r="F7175" t="s">
        <v>21742</v>
      </c>
      <c r="I7175" t="s">
        <v>29</v>
      </c>
      <c r="J7175" t="s">
        <v>30</v>
      </c>
      <c r="K7175" t="str">
        <f>"27028"</f>
        <v>27028</v>
      </c>
      <c r="M7175" t="s">
        <v>17861</v>
      </c>
      <c r="N7175" t="str">
        <f>"4/30/2013 4:04:00 PM"</f>
        <v>4/30/2013 4:04:00 PM</v>
      </c>
      <c r="O7175" t="s">
        <v>21741</v>
      </c>
    </row>
    <row r="7176" spans="1:20" x14ac:dyDescent="0.25">
      <c r="A7176" t="str">
        <f>"3050642"</f>
        <v>3050642</v>
      </c>
      <c r="B7176" t="s">
        <v>21743</v>
      </c>
      <c r="C7176" t="str">
        <f>"82532961"</f>
        <v>82532961</v>
      </c>
      <c r="D7176" t="s">
        <v>21744</v>
      </c>
      <c r="F7176" t="s">
        <v>11214</v>
      </c>
      <c r="I7176" t="s">
        <v>11215</v>
      </c>
      <c r="J7176" t="s">
        <v>30</v>
      </c>
      <c r="K7176" t="str">
        <f>"27374"</f>
        <v>27374</v>
      </c>
      <c r="M7176" t="s">
        <v>18513</v>
      </c>
      <c r="N7176" t="str">
        <f>"5/17/2013 9:16:00 AM"</f>
        <v>5/17/2013 9:16:00 AM</v>
      </c>
      <c r="O7176" t="s">
        <v>21744</v>
      </c>
    </row>
    <row r="7177" spans="1:20" x14ac:dyDescent="0.25">
      <c r="A7177" t="str">
        <f>"3050632"</f>
        <v>3050632</v>
      </c>
      <c r="B7177" t="s">
        <v>21745</v>
      </c>
      <c r="C7177" t="str">
        <f>"82532961"</f>
        <v>82532961</v>
      </c>
      <c r="D7177" t="s">
        <v>21744</v>
      </c>
      <c r="F7177" t="s">
        <v>11214</v>
      </c>
      <c r="I7177" t="s">
        <v>11215</v>
      </c>
      <c r="J7177" t="s">
        <v>30</v>
      </c>
      <c r="K7177" t="str">
        <f>"27374"</f>
        <v>27374</v>
      </c>
      <c r="M7177" t="s">
        <v>18513</v>
      </c>
      <c r="N7177" t="str">
        <f>"5/17/2013 9:16:00 AM"</f>
        <v>5/17/2013 9:16:00 AM</v>
      </c>
      <c r="O7177" t="s">
        <v>21744</v>
      </c>
    </row>
    <row r="7178" spans="1:20" x14ac:dyDescent="0.25">
      <c r="A7178" t="str">
        <f>"3050076"</f>
        <v>3050076</v>
      </c>
      <c r="B7178" t="s">
        <v>21746</v>
      </c>
      <c r="C7178" t="str">
        <f>"82530022"</f>
        <v>82530022</v>
      </c>
      <c r="D7178" t="s">
        <v>21747</v>
      </c>
      <c r="F7178" t="s">
        <v>21748</v>
      </c>
      <c r="I7178" t="s">
        <v>21749</v>
      </c>
      <c r="J7178" t="s">
        <v>30</v>
      </c>
      <c r="K7178" t="s">
        <v>21750</v>
      </c>
      <c r="M7178" t="s">
        <v>18513</v>
      </c>
      <c r="N7178" t="str">
        <f>"5/17/2013 3:36:00 PM"</f>
        <v>5/17/2013 3:36:00 PM</v>
      </c>
      <c r="O7178" t="s">
        <v>21747</v>
      </c>
    </row>
    <row r="7179" spans="1:20" x14ac:dyDescent="0.25">
      <c r="A7179" t="str">
        <f>"3039415"</f>
        <v>3039415</v>
      </c>
      <c r="B7179" t="s">
        <v>21751</v>
      </c>
      <c r="C7179" t="str">
        <f>"8302232"</f>
        <v>8302232</v>
      </c>
      <c r="D7179" t="s">
        <v>21752</v>
      </c>
      <c r="E7179" t="s">
        <v>21753</v>
      </c>
      <c r="F7179" t="s">
        <v>2199</v>
      </c>
      <c r="I7179" t="s">
        <v>184</v>
      </c>
      <c r="J7179" t="s">
        <v>30</v>
      </c>
      <c r="K7179" t="str">
        <f>"27006"</f>
        <v>27006</v>
      </c>
      <c r="M7179" t="s">
        <v>17861</v>
      </c>
      <c r="N7179" t="str">
        <f>"6/4/2013 1:52:00 PM"</f>
        <v>6/4/2013 1:52:00 PM</v>
      </c>
      <c r="O7179" t="s">
        <v>21752</v>
      </c>
      <c r="T7179" t="s">
        <v>21753</v>
      </c>
    </row>
    <row r="7180" spans="1:20" x14ac:dyDescent="0.25">
      <c r="A7180" t="str">
        <f>"3038237"</f>
        <v>3038237</v>
      </c>
      <c r="B7180" t="s">
        <v>21754</v>
      </c>
      <c r="C7180" t="str">
        <f>"50970000"</f>
        <v>50970000</v>
      </c>
      <c r="D7180" t="s">
        <v>21755</v>
      </c>
      <c r="F7180" t="s">
        <v>21756</v>
      </c>
      <c r="I7180" t="s">
        <v>29</v>
      </c>
      <c r="J7180" t="s">
        <v>30</v>
      </c>
      <c r="K7180" t="s">
        <v>31</v>
      </c>
      <c r="M7180" t="s">
        <v>18513</v>
      </c>
      <c r="N7180" t="str">
        <f>"5/17/2013 4:02:00 PM"</f>
        <v>5/17/2013 4:02:00 PM</v>
      </c>
      <c r="O7180" t="s">
        <v>21755</v>
      </c>
    </row>
    <row r="7181" spans="1:20" x14ac:dyDescent="0.25">
      <c r="A7181" t="str">
        <f>"3038447"</f>
        <v>3038447</v>
      </c>
      <c r="B7181" t="s">
        <v>21757</v>
      </c>
      <c r="C7181" t="str">
        <f>"50970000"</f>
        <v>50970000</v>
      </c>
      <c r="D7181" t="s">
        <v>21755</v>
      </c>
      <c r="F7181" t="s">
        <v>21756</v>
      </c>
      <c r="I7181" t="s">
        <v>29</v>
      </c>
      <c r="J7181" t="s">
        <v>30</v>
      </c>
      <c r="K7181" t="s">
        <v>31</v>
      </c>
      <c r="M7181" t="s">
        <v>18513</v>
      </c>
      <c r="N7181" t="str">
        <f>"5/17/2013 4:02:00 PM"</f>
        <v>5/17/2013 4:02:00 PM</v>
      </c>
      <c r="O7181" t="s">
        <v>21755</v>
      </c>
    </row>
    <row r="7182" spans="1:20" x14ac:dyDescent="0.25">
      <c r="A7182" t="str">
        <f>"3076688"</f>
        <v>3076688</v>
      </c>
      <c r="B7182" t="s">
        <v>21758</v>
      </c>
      <c r="C7182" t="str">
        <f>"50970000"</f>
        <v>50970000</v>
      </c>
      <c r="D7182" t="s">
        <v>21755</v>
      </c>
      <c r="F7182" t="s">
        <v>21756</v>
      </c>
      <c r="I7182" t="s">
        <v>29</v>
      </c>
      <c r="J7182" t="s">
        <v>30</v>
      </c>
      <c r="K7182" t="s">
        <v>31</v>
      </c>
      <c r="M7182" t="s">
        <v>18513</v>
      </c>
      <c r="N7182" t="str">
        <f>"5/17/2013 4:02:00 PM"</f>
        <v>5/17/2013 4:02:00 PM</v>
      </c>
      <c r="O7182" t="s">
        <v>21755</v>
      </c>
    </row>
    <row r="7183" spans="1:20" x14ac:dyDescent="0.25">
      <c r="A7183" t="str">
        <f>"3064045"</f>
        <v>3064045</v>
      </c>
      <c r="B7183" t="s">
        <v>21759</v>
      </c>
      <c r="C7183" t="str">
        <f>"82514314"</f>
        <v>82514314</v>
      </c>
      <c r="D7183" t="s">
        <v>21760</v>
      </c>
      <c r="E7183" t="s">
        <v>21761</v>
      </c>
      <c r="F7183" t="s">
        <v>21762</v>
      </c>
      <c r="I7183" t="s">
        <v>184</v>
      </c>
      <c r="J7183" t="s">
        <v>30</v>
      </c>
      <c r="K7183" t="s">
        <v>185</v>
      </c>
      <c r="M7183" t="s">
        <v>20134</v>
      </c>
      <c r="N7183" t="str">
        <f>"5/21/2013 11:52:00 AM"</f>
        <v>5/21/2013 11:52:00 AM</v>
      </c>
      <c r="O7183" t="s">
        <v>21760</v>
      </c>
      <c r="T7183" t="s">
        <v>21761</v>
      </c>
    </row>
    <row r="7184" spans="1:20" x14ac:dyDescent="0.25">
      <c r="A7184" t="str">
        <f>"3088798"</f>
        <v>3088798</v>
      </c>
      <c r="B7184" t="s">
        <v>21763</v>
      </c>
      <c r="C7184" t="str">
        <f>"30228000"</f>
        <v>30228000</v>
      </c>
      <c r="D7184" t="s">
        <v>21764</v>
      </c>
      <c r="E7184" t="s">
        <v>21765</v>
      </c>
      <c r="F7184" t="s">
        <v>21766</v>
      </c>
      <c r="I7184" t="s">
        <v>29</v>
      </c>
      <c r="J7184" t="s">
        <v>30</v>
      </c>
      <c r="K7184" t="s">
        <v>31</v>
      </c>
      <c r="M7184" t="s">
        <v>20134</v>
      </c>
      <c r="N7184" t="str">
        <f>"5/21/2013 12:19:00 PM"</f>
        <v>5/21/2013 12:19:00 PM</v>
      </c>
      <c r="O7184" t="s">
        <v>21764</v>
      </c>
      <c r="T7184" t="s">
        <v>21765</v>
      </c>
    </row>
    <row r="7185" spans="1:20" x14ac:dyDescent="0.25">
      <c r="A7185" t="str">
        <f>"3044540"</f>
        <v>3044540</v>
      </c>
      <c r="B7185" t="s">
        <v>21767</v>
      </c>
      <c r="C7185" t="str">
        <f>"8302108"</f>
        <v>8302108</v>
      </c>
      <c r="D7185" t="s">
        <v>21768</v>
      </c>
      <c r="E7185" t="s">
        <v>21769</v>
      </c>
      <c r="F7185" t="s">
        <v>21770</v>
      </c>
      <c r="I7185" t="s">
        <v>184</v>
      </c>
      <c r="J7185" t="s">
        <v>30</v>
      </c>
      <c r="K7185" t="str">
        <f>"27006"</f>
        <v>27006</v>
      </c>
      <c r="M7185" t="s">
        <v>17861</v>
      </c>
      <c r="N7185" t="str">
        <f>"5/21/2013 4:08:00 PM"</f>
        <v>5/21/2013 4:08:00 PM</v>
      </c>
      <c r="O7185" t="s">
        <v>21768</v>
      </c>
      <c r="T7185" t="s">
        <v>21769</v>
      </c>
    </row>
    <row r="7186" spans="1:20" x14ac:dyDescent="0.25">
      <c r="A7186" t="str">
        <f>"3040192"</f>
        <v>3040192</v>
      </c>
      <c r="B7186" t="s">
        <v>21771</v>
      </c>
      <c r="C7186" t="str">
        <f>"8300101"</f>
        <v>8300101</v>
      </c>
      <c r="D7186" t="s">
        <v>21772</v>
      </c>
      <c r="F7186" t="s">
        <v>21773</v>
      </c>
      <c r="I7186" t="s">
        <v>29</v>
      </c>
      <c r="J7186" t="s">
        <v>30</v>
      </c>
      <c r="K7186" t="s">
        <v>31</v>
      </c>
      <c r="M7186" t="s">
        <v>17861</v>
      </c>
      <c r="N7186" t="str">
        <f>"6/17/2013 11:03:00 AM"</f>
        <v>6/17/2013 11:03:00 AM</v>
      </c>
      <c r="O7186" t="s">
        <v>21772</v>
      </c>
    </row>
    <row r="7187" spans="1:20" x14ac:dyDescent="0.25">
      <c r="A7187" t="str">
        <f>"3076629"</f>
        <v>3076629</v>
      </c>
      <c r="B7187" t="s">
        <v>21774</v>
      </c>
      <c r="C7187" t="str">
        <f>"8300101"</f>
        <v>8300101</v>
      </c>
      <c r="D7187" t="s">
        <v>21772</v>
      </c>
      <c r="F7187" t="s">
        <v>21773</v>
      </c>
      <c r="I7187" t="s">
        <v>29</v>
      </c>
      <c r="J7187" t="s">
        <v>30</v>
      </c>
      <c r="K7187" t="s">
        <v>31</v>
      </c>
      <c r="M7187" t="s">
        <v>17861</v>
      </c>
      <c r="N7187" t="str">
        <f>"6/17/2013 11:03:00 AM"</f>
        <v>6/17/2013 11:03:00 AM</v>
      </c>
      <c r="O7187" t="s">
        <v>21772</v>
      </c>
    </row>
    <row r="7188" spans="1:20" x14ac:dyDescent="0.25">
      <c r="A7188" t="str">
        <f>"3076630"</f>
        <v>3076630</v>
      </c>
      <c r="B7188" t="s">
        <v>21775</v>
      </c>
      <c r="C7188" t="str">
        <f>"8300101"</f>
        <v>8300101</v>
      </c>
      <c r="D7188" t="s">
        <v>21772</v>
      </c>
      <c r="F7188" t="s">
        <v>21773</v>
      </c>
      <c r="I7188" t="s">
        <v>29</v>
      </c>
      <c r="J7188" t="s">
        <v>30</v>
      </c>
      <c r="K7188" t="s">
        <v>31</v>
      </c>
      <c r="M7188" t="s">
        <v>17861</v>
      </c>
      <c r="N7188" t="str">
        <f>"6/17/2013 11:03:00 AM"</f>
        <v>6/17/2013 11:03:00 AM</v>
      </c>
      <c r="O7188" t="s">
        <v>21772</v>
      </c>
    </row>
    <row r="7189" spans="1:20" x14ac:dyDescent="0.25">
      <c r="A7189" t="str">
        <f>"3041203"</f>
        <v>3041203</v>
      </c>
      <c r="B7189" t="s">
        <v>21776</v>
      </c>
      <c r="C7189" t="str">
        <f>"82518657"</f>
        <v>82518657</v>
      </c>
      <c r="D7189" t="s">
        <v>21777</v>
      </c>
      <c r="E7189" t="s">
        <v>21778</v>
      </c>
      <c r="F7189" t="s">
        <v>21779</v>
      </c>
      <c r="I7189" t="s">
        <v>184</v>
      </c>
      <c r="J7189" t="s">
        <v>30</v>
      </c>
      <c r="K7189" t="s">
        <v>185</v>
      </c>
      <c r="M7189" t="s">
        <v>17861</v>
      </c>
      <c r="N7189" t="str">
        <f>"6/17/2013 1:38:00 PM"</f>
        <v>6/17/2013 1:38:00 PM</v>
      </c>
      <c r="O7189" t="s">
        <v>21777</v>
      </c>
      <c r="T7189" t="s">
        <v>21778</v>
      </c>
    </row>
    <row r="7190" spans="1:20" x14ac:dyDescent="0.25">
      <c r="A7190" t="str">
        <f>"3041205"</f>
        <v>3041205</v>
      </c>
      <c r="B7190" t="s">
        <v>21780</v>
      </c>
      <c r="C7190" t="str">
        <f>"82518657"</f>
        <v>82518657</v>
      </c>
      <c r="D7190" t="s">
        <v>21777</v>
      </c>
      <c r="E7190" t="s">
        <v>21778</v>
      </c>
      <c r="F7190" t="s">
        <v>21779</v>
      </c>
      <c r="I7190" t="s">
        <v>184</v>
      </c>
      <c r="J7190" t="s">
        <v>30</v>
      </c>
      <c r="K7190" t="s">
        <v>185</v>
      </c>
      <c r="M7190" t="s">
        <v>17861</v>
      </c>
      <c r="N7190" t="str">
        <f>"6/17/2013 1:38:00 PM"</f>
        <v>6/17/2013 1:38:00 PM</v>
      </c>
      <c r="O7190" t="s">
        <v>21777</v>
      </c>
      <c r="T7190" t="s">
        <v>21778</v>
      </c>
    </row>
    <row r="7191" spans="1:20" x14ac:dyDescent="0.25">
      <c r="A7191" t="str">
        <f>"3041210"</f>
        <v>3041210</v>
      </c>
      <c r="B7191" t="s">
        <v>21781</v>
      </c>
      <c r="C7191" t="str">
        <f>"82518657"</f>
        <v>82518657</v>
      </c>
      <c r="D7191" t="s">
        <v>21777</v>
      </c>
      <c r="E7191" t="s">
        <v>21778</v>
      </c>
      <c r="F7191" t="s">
        <v>21779</v>
      </c>
      <c r="I7191" t="s">
        <v>184</v>
      </c>
      <c r="J7191" t="s">
        <v>30</v>
      </c>
      <c r="K7191" t="s">
        <v>185</v>
      </c>
      <c r="M7191" t="s">
        <v>17861</v>
      </c>
      <c r="N7191" t="str">
        <f>"6/17/2013 1:38:00 PM"</f>
        <v>6/17/2013 1:38:00 PM</v>
      </c>
      <c r="O7191" t="s">
        <v>21777</v>
      </c>
      <c r="T7191" t="s">
        <v>21778</v>
      </c>
    </row>
    <row r="7192" spans="1:20" x14ac:dyDescent="0.25">
      <c r="A7192" t="str">
        <f>"3041890"</f>
        <v>3041890</v>
      </c>
      <c r="B7192" t="s">
        <v>21782</v>
      </c>
      <c r="C7192" t="str">
        <f>"82518657"</f>
        <v>82518657</v>
      </c>
      <c r="D7192" t="s">
        <v>21777</v>
      </c>
      <c r="E7192" t="s">
        <v>21778</v>
      </c>
      <c r="F7192" t="s">
        <v>21779</v>
      </c>
      <c r="I7192" t="s">
        <v>184</v>
      </c>
      <c r="J7192" t="s">
        <v>30</v>
      </c>
      <c r="K7192" t="s">
        <v>185</v>
      </c>
      <c r="M7192" t="s">
        <v>17861</v>
      </c>
      <c r="N7192" t="str">
        <f>"6/17/2013 1:38:00 PM"</f>
        <v>6/17/2013 1:38:00 PM</v>
      </c>
      <c r="O7192" t="s">
        <v>21777</v>
      </c>
      <c r="T7192" t="s">
        <v>21778</v>
      </c>
    </row>
    <row r="7193" spans="1:20" x14ac:dyDescent="0.25">
      <c r="A7193" t="str">
        <f>"3076891"</f>
        <v>3076891</v>
      </c>
      <c r="B7193" t="s">
        <v>21783</v>
      </c>
      <c r="C7193" t="str">
        <f>"82532461"</f>
        <v>82532461</v>
      </c>
      <c r="D7193" t="s">
        <v>21784</v>
      </c>
      <c r="F7193" t="s">
        <v>21785</v>
      </c>
      <c r="I7193" t="s">
        <v>29</v>
      </c>
      <c r="J7193" t="s">
        <v>30</v>
      </c>
      <c r="K7193" t="s">
        <v>31</v>
      </c>
      <c r="M7193" t="s">
        <v>17861</v>
      </c>
      <c r="N7193" t="str">
        <f>"6/17/2013 2:25:00 PM"</f>
        <v>6/17/2013 2:25:00 PM</v>
      </c>
      <c r="O7193" t="s">
        <v>21784</v>
      </c>
    </row>
    <row r="7194" spans="1:20" x14ac:dyDescent="0.25">
      <c r="A7194" t="str">
        <f>"3067680"</f>
        <v>3067680</v>
      </c>
      <c r="B7194" t="s">
        <v>21786</v>
      </c>
      <c r="C7194" t="str">
        <f>"82532461"</f>
        <v>82532461</v>
      </c>
      <c r="D7194" t="s">
        <v>21784</v>
      </c>
      <c r="F7194" t="s">
        <v>21785</v>
      </c>
      <c r="I7194" t="s">
        <v>29</v>
      </c>
      <c r="J7194" t="s">
        <v>30</v>
      </c>
      <c r="K7194" t="s">
        <v>31</v>
      </c>
      <c r="M7194" t="s">
        <v>17861</v>
      </c>
      <c r="N7194" t="str">
        <f>"6/17/2013 2:25:00 PM"</f>
        <v>6/17/2013 2:25:00 PM</v>
      </c>
      <c r="O7194" t="s">
        <v>21784</v>
      </c>
    </row>
    <row r="7195" spans="1:20" x14ac:dyDescent="0.25">
      <c r="A7195" t="str">
        <f>"3062362"</f>
        <v>3062362</v>
      </c>
      <c r="B7195" t="s">
        <v>21787</v>
      </c>
      <c r="C7195" t="str">
        <f>"8302125"</f>
        <v>8302125</v>
      </c>
      <c r="D7195" t="s">
        <v>21788</v>
      </c>
      <c r="E7195" t="s">
        <v>21789</v>
      </c>
      <c r="F7195" t="s">
        <v>21790</v>
      </c>
      <c r="I7195" t="s">
        <v>29</v>
      </c>
      <c r="J7195" t="s">
        <v>30</v>
      </c>
      <c r="K7195" t="str">
        <f>"27028"</f>
        <v>27028</v>
      </c>
      <c r="M7195" t="s">
        <v>17861</v>
      </c>
      <c r="N7195" t="str">
        <f>"5/22/2013 1:56:00 PM"</f>
        <v>5/22/2013 1:56:00 PM</v>
      </c>
      <c r="O7195" t="s">
        <v>21788</v>
      </c>
      <c r="T7195" t="s">
        <v>21789</v>
      </c>
    </row>
    <row r="7196" spans="1:20" x14ac:dyDescent="0.25">
      <c r="A7196" t="str">
        <f>"3062531"</f>
        <v>3062531</v>
      </c>
      <c r="B7196" t="s">
        <v>21791</v>
      </c>
      <c r="C7196" t="str">
        <f>"82524515"</f>
        <v>82524515</v>
      </c>
      <c r="D7196" t="s">
        <v>5188</v>
      </c>
      <c r="F7196" t="s">
        <v>21792</v>
      </c>
      <c r="I7196" t="s">
        <v>184</v>
      </c>
      <c r="J7196" t="s">
        <v>30</v>
      </c>
      <c r="K7196" t="s">
        <v>5191</v>
      </c>
      <c r="M7196" t="s">
        <v>17861</v>
      </c>
      <c r="N7196" t="str">
        <f>"6/17/2013 4:54:00 PM"</f>
        <v>6/17/2013 4:54:00 PM</v>
      </c>
      <c r="O7196" t="s">
        <v>5188</v>
      </c>
    </row>
    <row r="7197" spans="1:20" x14ac:dyDescent="0.25">
      <c r="A7197" t="str">
        <f>"3045788"</f>
        <v>3045788</v>
      </c>
      <c r="B7197" t="s">
        <v>21793</v>
      </c>
      <c r="C7197" t="str">
        <f>"8302129"</f>
        <v>8302129</v>
      </c>
      <c r="D7197" t="s">
        <v>21794</v>
      </c>
      <c r="F7197" t="s">
        <v>21795</v>
      </c>
      <c r="I7197" t="s">
        <v>29</v>
      </c>
      <c r="J7197" t="s">
        <v>30</v>
      </c>
      <c r="K7197" t="str">
        <f>"27028"</f>
        <v>27028</v>
      </c>
      <c r="M7197" t="s">
        <v>17861</v>
      </c>
      <c r="N7197" t="str">
        <f>"5/23/2013 1:01:00 PM"</f>
        <v>5/23/2013 1:01:00 PM</v>
      </c>
      <c r="O7197" t="s">
        <v>21794</v>
      </c>
    </row>
    <row r="7198" spans="1:20" x14ac:dyDescent="0.25">
      <c r="A7198" t="str">
        <f>"3038431"</f>
        <v>3038431</v>
      </c>
      <c r="B7198" t="s">
        <v>21796</v>
      </c>
      <c r="C7198" t="str">
        <f>"8302131"</f>
        <v>8302131</v>
      </c>
      <c r="D7198" t="s">
        <v>21797</v>
      </c>
      <c r="E7198" t="s">
        <v>21798</v>
      </c>
      <c r="F7198" t="s">
        <v>21799</v>
      </c>
      <c r="I7198" t="s">
        <v>29</v>
      </c>
      <c r="J7198" t="s">
        <v>30</v>
      </c>
      <c r="K7198" t="str">
        <f>"27028"</f>
        <v>27028</v>
      </c>
      <c r="M7198" t="s">
        <v>17861</v>
      </c>
      <c r="N7198" t="str">
        <f>"5/23/2013 2:23:00 PM"</f>
        <v>5/23/2013 2:23:00 PM</v>
      </c>
      <c r="O7198" t="s">
        <v>21797</v>
      </c>
      <c r="T7198" t="s">
        <v>21798</v>
      </c>
    </row>
    <row r="7199" spans="1:20" x14ac:dyDescent="0.25">
      <c r="A7199" t="str">
        <f>"3078289"</f>
        <v>3078289</v>
      </c>
      <c r="B7199" t="s">
        <v>21800</v>
      </c>
      <c r="C7199" t="str">
        <f>"8302301"</f>
        <v>8302301</v>
      </c>
      <c r="D7199" t="str">
        <f>"CRAFT RUTH F REV TRUST 5/24/13"</f>
        <v>CRAFT RUTH F REV TRUST 5/24/13</v>
      </c>
      <c r="F7199" t="s">
        <v>21801</v>
      </c>
      <c r="I7199" t="s">
        <v>21802</v>
      </c>
      <c r="J7199" t="s">
        <v>11994</v>
      </c>
      <c r="K7199" t="str">
        <f>"21032"</f>
        <v>21032</v>
      </c>
      <c r="M7199" t="s">
        <v>17861</v>
      </c>
      <c r="N7199" t="str">
        <f>"6/24/2013 4:06:00 PM"</f>
        <v>6/24/2013 4:06:00 PM</v>
      </c>
      <c r="O7199" t="str">
        <f>"CRAFT RUTH F REV TRUST 5/24/13"</f>
        <v>CRAFT RUTH F REV TRUST 5/24/13</v>
      </c>
    </row>
    <row r="7200" spans="1:20" x14ac:dyDescent="0.25">
      <c r="A7200" t="str">
        <f>"3061630"</f>
        <v>3061630</v>
      </c>
      <c r="B7200" t="s">
        <v>21803</v>
      </c>
      <c r="C7200" t="str">
        <f>"8302309"</f>
        <v>8302309</v>
      </c>
      <c r="D7200" t="s">
        <v>21804</v>
      </c>
      <c r="E7200" t="s">
        <v>21805</v>
      </c>
      <c r="F7200" t="s">
        <v>21806</v>
      </c>
      <c r="I7200" t="s">
        <v>29</v>
      </c>
      <c r="J7200" t="s">
        <v>30</v>
      </c>
      <c r="K7200" t="str">
        <f>"27028"</f>
        <v>27028</v>
      </c>
      <c r="M7200" t="s">
        <v>17861</v>
      </c>
      <c r="N7200" t="str">
        <f>"6/25/2013 12:49:00 PM"</f>
        <v>6/25/2013 12:49:00 PM</v>
      </c>
      <c r="O7200" t="s">
        <v>21804</v>
      </c>
      <c r="T7200" t="s">
        <v>21805</v>
      </c>
    </row>
    <row r="7201" spans="1:20" x14ac:dyDescent="0.25">
      <c r="A7201" t="str">
        <f>"3042282"</f>
        <v>3042282</v>
      </c>
      <c r="B7201" t="s">
        <v>21807</v>
      </c>
      <c r="C7201" t="str">
        <f>"8302310"</f>
        <v>8302310</v>
      </c>
      <c r="D7201" t="s">
        <v>21808</v>
      </c>
      <c r="E7201" t="s">
        <v>21809</v>
      </c>
      <c r="F7201" t="s">
        <v>21810</v>
      </c>
      <c r="I7201" t="s">
        <v>29</v>
      </c>
      <c r="J7201" t="s">
        <v>30</v>
      </c>
      <c r="K7201" t="str">
        <f>"27028"</f>
        <v>27028</v>
      </c>
      <c r="M7201" t="s">
        <v>17861</v>
      </c>
      <c r="N7201" t="str">
        <f>"6/25/2013 12:52:00 PM"</f>
        <v>6/25/2013 12:52:00 PM</v>
      </c>
      <c r="O7201" t="s">
        <v>21808</v>
      </c>
      <c r="T7201" t="s">
        <v>21809</v>
      </c>
    </row>
    <row r="7202" spans="1:20" x14ac:dyDescent="0.25">
      <c r="A7202" t="str">
        <f>"3041591"</f>
        <v>3041591</v>
      </c>
      <c r="B7202" t="s">
        <v>21811</v>
      </c>
      <c r="C7202" t="str">
        <f>"8302313"</f>
        <v>8302313</v>
      </c>
      <c r="D7202" t="s">
        <v>21812</v>
      </c>
      <c r="E7202" t="s">
        <v>21813</v>
      </c>
      <c r="F7202" t="s">
        <v>21814</v>
      </c>
      <c r="I7202" t="s">
        <v>2071</v>
      </c>
      <c r="J7202" t="s">
        <v>30</v>
      </c>
      <c r="K7202" t="str">
        <f>"27006"</f>
        <v>27006</v>
      </c>
      <c r="M7202" t="s">
        <v>17861</v>
      </c>
      <c r="N7202" t="str">
        <f>"6/25/2013 1:55:00 PM"</f>
        <v>6/25/2013 1:55:00 PM</v>
      </c>
      <c r="O7202" t="s">
        <v>21812</v>
      </c>
      <c r="T7202" t="s">
        <v>21813</v>
      </c>
    </row>
    <row r="7203" spans="1:20" x14ac:dyDescent="0.25">
      <c r="A7203" t="str">
        <f>"3041571"</f>
        <v>3041571</v>
      </c>
      <c r="B7203" t="s">
        <v>21815</v>
      </c>
      <c r="C7203" t="str">
        <f>"8302144"</f>
        <v>8302144</v>
      </c>
      <c r="D7203" t="s">
        <v>21816</v>
      </c>
      <c r="E7203" t="s">
        <v>21817</v>
      </c>
      <c r="F7203" t="s">
        <v>21818</v>
      </c>
      <c r="I7203" t="s">
        <v>2071</v>
      </c>
      <c r="J7203" t="s">
        <v>30</v>
      </c>
      <c r="K7203" t="str">
        <f>"27006"</f>
        <v>27006</v>
      </c>
      <c r="M7203" t="s">
        <v>17861</v>
      </c>
      <c r="N7203" t="str">
        <f>"5/24/2013 10:00:00 AM"</f>
        <v>5/24/2013 10:00:00 AM</v>
      </c>
      <c r="O7203" t="s">
        <v>21816</v>
      </c>
      <c r="T7203" t="s">
        <v>21817</v>
      </c>
    </row>
    <row r="7204" spans="1:20" x14ac:dyDescent="0.25">
      <c r="A7204" t="str">
        <f>"3058553"</f>
        <v>3058553</v>
      </c>
      <c r="B7204" t="s">
        <v>21819</v>
      </c>
      <c r="C7204" t="str">
        <f>"8302319"</f>
        <v>8302319</v>
      </c>
      <c r="D7204" t="s">
        <v>21820</v>
      </c>
      <c r="F7204" t="s">
        <v>21821</v>
      </c>
      <c r="I7204" t="s">
        <v>29</v>
      </c>
      <c r="J7204" t="s">
        <v>30</v>
      </c>
      <c r="K7204" t="str">
        <f>"27028"</f>
        <v>27028</v>
      </c>
      <c r="M7204" t="s">
        <v>17861</v>
      </c>
      <c r="N7204" t="str">
        <f>"6/25/2013 3:18:00 PM"</f>
        <v>6/25/2013 3:18:00 PM</v>
      </c>
      <c r="O7204" t="s">
        <v>21820</v>
      </c>
    </row>
    <row r="7205" spans="1:20" x14ac:dyDescent="0.25">
      <c r="A7205" t="str">
        <f>"3044419"</f>
        <v>3044419</v>
      </c>
      <c r="B7205" t="s">
        <v>21822</v>
      </c>
      <c r="C7205" t="str">
        <f>"8302326"</f>
        <v>8302326</v>
      </c>
      <c r="D7205" t="s">
        <v>21823</v>
      </c>
      <c r="E7205" t="s">
        <v>21824</v>
      </c>
      <c r="F7205" t="s">
        <v>21825</v>
      </c>
      <c r="I7205" t="s">
        <v>184</v>
      </c>
      <c r="J7205" t="s">
        <v>30</v>
      </c>
      <c r="K7205" t="str">
        <f>"27006"</f>
        <v>27006</v>
      </c>
      <c r="M7205" t="s">
        <v>17861</v>
      </c>
      <c r="N7205" t="str">
        <f>"6/25/2013 4:45:00 PM"</f>
        <v>6/25/2013 4:45:00 PM</v>
      </c>
      <c r="O7205" t="s">
        <v>21823</v>
      </c>
      <c r="T7205" t="s">
        <v>21824</v>
      </c>
    </row>
    <row r="7206" spans="1:20" x14ac:dyDescent="0.25">
      <c r="A7206" t="str">
        <f>"3060497"</f>
        <v>3060497</v>
      </c>
      <c r="B7206" t="s">
        <v>21826</v>
      </c>
      <c r="C7206" t="str">
        <f>"8302328"</f>
        <v>8302328</v>
      </c>
      <c r="D7206" t="s">
        <v>21827</v>
      </c>
      <c r="E7206" t="s">
        <v>21828</v>
      </c>
      <c r="F7206" t="s">
        <v>21829</v>
      </c>
      <c r="I7206" t="s">
        <v>184</v>
      </c>
      <c r="J7206" t="s">
        <v>30</v>
      </c>
      <c r="K7206" t="str">
        <f>"27006"</f>
        <v>27006</v>
      </c>
      <c r="M7206" t="s">
        <v>17861</v>
      </c>
      <c r="N7206" t="str">
        <f>"6/26/2013 9:04:00 AM"</f>
        <v>6/26/2013 9:04:00 AM</v>
      </c>
      <c r="O7206" t="s">
        <v>21827</v>
      </c>
      <c r="T7206" t="s">
        <v>21828</v>
      </c>
    </row>
    <row r="7207" spans="1:20" x14ac:dyDescent="0.25">
      <c r="A7207" t="str">
        <f>"3048060"</f>
        <v>3048060</v>
      </c>
      <c r="B7207" t="s">
        <v>21830</v>
      </c>
      <c r="C7207" t="str">
        <f>"8302329"</f>
        <v>8302329</v>
      </c>
      <c r="D7207" t="s">
        <v>21831</v>
      </c>
      <c r="E7207" t="s">
        <v>21832</v>
      </c>
      <c r="F7207" t="s">
        <v>21833</v>
      </c>
      <c r="I7207" t="s">
        <v>184</v>
      </c>
      <c r="J7207" t="s">
        <v>30</v>
      </c>
      <c r="K7207" t="str">
        <f>"27006"</f>
        <v>27006</v>
      </c>
      <c r="M7207" t="s">
        <v>17861</v>
      </c>
      <c r="N7207" t="str">
        <f>"6/26/2013 9:24:00 AM"</f>
        <v>6/26/2013 9:24:00 AM</v>
      </c>
      <c r="O7207" t="s">
        <v>21831</v>
      </c>
      <c r="T7207" t="s">
        <v>21832</v>
      </c>
    </row>
    <row r="7208" spans="1:20" x14ac:dyDescent="0.25">
      <c r="A7208" t="str">
        <f>"3058266"</f>
        <v>3058266</v>
      </c>
      <c r="B7208" t="s">
        <v>21834</v>
      </c>
      <c r="C7208" t="str">
        <f>"8302145"</f>
        <v>8302145</v>
      </c>
      <c r="D7208" t="s">
        <v>21835</v>
      </c>
      <c r="E7208" t="s">
        <v>21836</v>
      </c>
      <c r="F7208" t="s">
        <v>21837</v>
      </c>
      <c r="I7208" t="s">
        <v>29</v>
      </c>
      <c r="J7208" t="s">
        <v>30</v>
      </c>
      <c r="K7208" t="str">
        <f>"27028"</f>
        <v>27028</v>
      </c>
      <c r="M7208" t="s">
        <v>17861</v>
      </c>
      <c r="N7208" t="str">
        <f>"5/24/2013 10:04:00 AM"</f>
        <v>5/24/2013 10:04:00 AM</v>
      </c>
      <c r="O7208" t="s">
        <v>21835</v>
      </c>
      <c r="T7208" t="s">
        <v>21836</v>
      </c>
    </row>
    <row r="7209" spans="1:20" x14ac:dyDescent="0.25">
      <c r="A7209" t="str">
        <f>"3056861"</f>
        <v>3056861</v>
      </c>
      <c r="B7209" t="s">
        <v>21838</v>
      </c>
      <c r="C7209" t="str">
        <f>"8302155"</f>
        <v>8302155</v>
      </c>
      <c r="D7209" t="s">
        <v>15094</v>
      </c>
      <c r="E7209" t="s">
        <v>21839</v>
      </c>
      <c r="F7209" t="s">
        <v>21840</v>
      </c>
      <c r="I7209" t="s">
        <v>29</v>
      </c>
      <c r="J7209" t="s">
        <v>30</v>
      </c>
      <c r="K7209" t="str">
        <f>"27028"</f>
        <v>27028</v>
      </c>
      <c r="M7209" t="s">
        <v>17861</v>
      </c>
      <c r="N7209" t="str">
        <f>"5/24/2013 2:51:00 PM"</f>
        <v>5/24/2013 2:51:00 PM</v>
      </c>
      <c r="O7209" t="s">
        <v>15094</v>
      </c>
      <c r="T7209" t="s">
        <v>21839</v>
      </c>
    </row>
    <row r="7210" spans="1:20" x14ac:dyDescent="0.25">
      <c r="A7210" t="str">
        <f>"3045682"</f>
        <v>3045682</v>
      </c>
      <c r="B7210" t="s">
        <v>21841</v>
      </c>
      <c r="C7210" t="str">
        <f>"8302175"</f>
        <v>8302175</v>
      </c>
      <c r="D7210" t="s">
        <v>21842</v>
      </c>
      <c r="E7210" t="s">
        <v>21843</v>
      </c>
      <c r="F7210" t="s">
        <v>21844</v>
      </c>
      <c r="I7210" t="s">
        <v>29</v>
      </c>
      <c r="J7210" t="s">
        <v>30</v>
      </c>
      <c r="K7210" t="str">
        <f>"27028"</f>
        <v>27028</v>
      </c>
      <c r="M7210" t="s">
        <v>17861</v>
      </c>
      <c r="N7210" t="str">
        <f>"5/28/2013 3:13:00 PM"</f>
        <v>5/28/2013 3:13:00 PM</v>
      </c>
      <c r="O7210" t="s">
        <v>21842</v>
      </c>
      <c r="T7210" t="s">
        <v>21843</v>
      </c>
    </row>
    <row r="7211" spans="1:20" x14ac:dyDescent="0.25">
      <c r="A7211" t="str">
        <f>"3055509"</f>
        <v>3055509</v>
      </c>
      <c r="B7211" t="s">
        <v>21845</v>
      </c>
      <c r="C7211" t="str">
        <f>"8302191"</f>
        <v>8302191</v>
      </c>
      <c r="D7211" t="s">
        <v>21846</v>
      </c>
      <c r="F7211" t="s">
        <v>21847</v>
      </c>
      <c r="I7211" t="s">
        <v>29</v>
      </c>
      <c r="J7211" t="s">
        <v>30</v>
      </c>
      <c r="K7211" t="str">
        <f>"27028"</f>
        <v>27028</v>
      </c>
      <c r="M7211" t="s">
        <v>17861</v>
      </c>
      <c r="N7211" t="str">
        <f>"5/29/2013 3:04:00 PM"</f>
        <v>5/29/2013 3:04:00 PM</v>
      </c>
      <c r="O7211" t="s">
        <v>21846</v>
      </c>
    </row>
    <row r="7212" spans="1:20" x14ac:dyDescent="0.25">
      <c r="A7212" t="str">
        <f>"3044617"</f>
        <v>3044617</v>
      </c>
      <c r="B7212" t="s">
        <v>21848</v>
      </c>
      <c r="C7212" t="str">
        <f>"8302195"</f>
        <v>8302195</v>
      </c>
      <c r="D7212" t="s">
        <v>21849</v>
      </c>
      <c r="E7212" t="s">
        <v>21850</v>
      </c>
      <c r="F7212" t="s">
        <v>21851</v>
      </c>
      <c r="I7212" t="s">
        <v>184</v>
      </c>
      <c r="J7212" t="s">
        <v>30</v>
      </c>
      <c r="K7212" t="str">
        <f>"27006"</f>
        <v>27006</v>
      </c>
      <c r="M7212" t="s">
        <v>17861</v>
      </c>
      <c r="N7212" t="str">
        <f>"5/30/2013 11:14:00 AM"</f>
        <v>5/30/2013 11:14:00 AM</v>
      </c>
      <c r="O7212" t="s">
        <v>21849</v>
      </c>
      <c r="T7212" t="s">
        <v>21850</v>
      </c>
    </row>
    <row r="7213" spans="1:20" x14ac:dyDescent="0.25">
      <c r="A7213" t="str">
        <f>"3077115"</f>
        <v>3077115</v>
      </c>
      <c r="B7213" t="s">
        <v>21852</v>
      </c>
      <c r="C7213" t="str">
        <f>"8302204"</f>
        <v>8302204</v>
      </c>
      <c r="D7213" t="s">
        <v>21853</v>
      </c>
      <c r="E7213" t="s">
        <v>21854</v>
      </c>
      <c r="F7213" t="s">
        <v>21855</v>
      </c>
      <c r="I7213" t="s">
        <v>471</v>
      </c>
      <c r="J7213" t="s">
        <v>30</v>
      </c>
      <c r="K7213" t="str">
        <f>"27104"</f>
        <v>27104</v>
      </c>
      <c r="M7213" t="s">
        <v>17861</v>
      </c>
      <c r="N7213" t="str">
        <f>"5/30/2013 2:32:00 PM"</f>
        <v>5/30/2013 2:32:00 PM</v>
      </c>
      <c r="O7213" t="s">
        <v>21853</v>
      </c>
      <c r="T7213" t="s">
        <v>21854</v>
      </c>
    </row>
    <row r="7214" spans="1:20" x14ac:dyDescent="0.25">
      <c r="A7214" t="str">
        <f>"3052373"</f>
        <v>3052373</v>
      </c>
      <c r="B7214" t="s">
        <v>21856</v>
      </c>
      <c r="C7214" t="str">
        <f>"8302358"</f>
        <v>8302358</v>
      </c>
      <c r="D7214" t="s">
        <v>21857</v>
      </c>
      <c r="F7214" t="s">
        <v>21858</v>
      </c>
      <c r="I7214" t="s">
        <v>2280</v>
      </c>
      <c r="J7214" t="s">
        <v>30</v>
      </c>
      <c r="K7214" t="str">
        <f>"27295"</f>
        <v>27295</v>
      </c>
      <c r="M7214" t="s">
        <v>17861</v>
      </c>
      <c r="N7214" t="str">
        <f>"7/5/2013 4:22:00 PM"</f>
        <v>7/5/2013 4:22:00 PM</v>
      </c>
      <c r="O7214" t="s">
        <v>21857</v>
      </c>
    </row>
    <row r="7215" spans="1:20" x14ac:dyDescent="0.25">
      <c r="A7215" t="str">
        <f>"3052418"</f>
        <v>3052418</v>
      </c>
      <c r="B7215" t="s">
        <v>21859</v>
      </c>
      <c r="C7215" t="str">
        <f>"8302361"</f>
        <v>8302361</v>
      </c>
      <c r="D7215" t="s">
        <v>21860</v>
      </c>
      <c r="E7215" t="s">
        <v>21861</v>
      </c>
      <c r="F7215" t="s">
        <v>21862</v>
      </c>
      <c r="I7215" t="s">
        <v>29</v>
      </c>
      <c r="J7215" t="s">
        <v>30</v>
      </c>
      <c r="K7215" t="str">
        <f>"27028"</f>
        <v>27028</v>
      </c>
      <c r="M7215" t="s">
        <v>17861</v>
      </c>
      <c r="N7215" t="str">
        <f>"7/5/2013 4:34:00 PM"</f>
        <v>7/5/2013 4:34:00 PM</v>
      </c>
      <c r="O7215" t="s">
        <v>21860</v>
      </c>
      <c r="T7215" t="s">
        <v>21861</v>
      </c>
    </row>
    <row r="7216" spans="1:20" x14ac:dyDescent="0.25">
      <c r="A7216" t="str">
        <f>"3041524"</f>
        <v>3041524</v>
      </c>
      <c r="B7216" t="s">
        <v>21863</v>
      </c>
      <c r="C7216" t="str">
        <f>"8302205"</f>
        <v>8302205</v>
      </c>
      <c r="D7216" t="s">
        <v>21864</v>
      </c>
      <c r="E7216" t="s">
        <v>21865</v>
      </c>
      <c r="F7216" t="s">
        <v>21866</v>
      </c>
      <c r="I7216" t="s">
        <v>2071</v>
      </c>
      <c r="J7216" t="s">
        <v>30</v>
      </c>
      <c r="K7216" t="str">
        <f>"27006"</f>
        <v>27006</v>
      </c>
      <c r="M7216" t="s">
        <v>17861</v>
      </c>
      <c r="N7216" t="str">
        <f>"5/30/2013 2:35:00 PM"</f>
        <v>5/30/2013 2:35:00 PM</v>
      </c>
      <c r="O7216" t="s">
        <v>21864</v>
      </c>
      <c r="T7216" t="s">
        <v>21865</v>
      </c>
    </row>
    <row r="7217" spans="1:20" x14ac:dyDescent="0.25">
      <c r="A7217" t="str">
        <f>"3077810"</f>
        <v>3077810</v>
      </c>
      <c r="B7217" t="s">
        <v>21867</v>
      </c>
      <c r="C7217" t="str">
        <f>"8302210"</f>
        <v>8302210</v>
      </c>
      <c r="D7217" t="s">
        <v>21868</v>
      </c>
      <c r="E7217" t="s">
        <v>21869</v>
      </c>
      <c r="F7217" t="s">
        <v>21870</v>
      </c>
      <c r="I7217" t="s">
        <v>1149</v>
      </c>
      <c r="J7217" t="s">
        <v>30</v>
      </c>
      <c r="K7217" t="str">
        <f>"28634"</f>
        <v>28634</v>
      </c>
      <c r="M7217" t="s">
        <v>17861</v>
      </c>
      <c r="N7217" t="str">
        <f>"5/30/2013 3:20:00 PM"</f>
        <v>5/30/2013 3:20:00 PM</v>
      </c>
      <c r="O7217" t="s">
        <v>21868</v>
      </c>
      <c r="T7217" t="s">
        <v>21869</v>
      </c>
    </row>
    <row r="7218" spans="1:20" x14ac:dyDescent="0.25">
      <c r="A7218" t="str">
        <f>"3064002"</f>
        <v>3064002</v>
      </c>
      <c r="B7218" t="s">
        <v>21871</v>
      </c>
      <c r="C7218" t="str">
        <f>"82523877"</f>
        <v>82523877</v>
      </c>
      <c r="D7218" t="s">
        <v>21658</v>
      </c>
      <c r="F7218" t="s">
        <v>21659</v>
      </c>
      <c r="I7218" t="s">
        <v>184</v>
      </c>
      <c r="J7218" t="s">
        <v>30</v>
      </c>
      <c r="K7218" t="s">
        <v>185</v>
      </c>
      <c r="M7218" t="s">
        <v>18513</v>
      </c>
      <c r="N7218" t="str">
        <f>"5/16/2013 3:44:00 PM"</f>
        <v>5/16/2013 3:44:00 PM</v>
      </c>
      <c r="O7218" t="s">
        <v>21658</v>
      </c>
    </row>
    <row r="7219" spans="1:20" x14ac:dyDescent="0.25">
      <c r="A7219" t="str">
        <f>"3058488"</f>
        <v>3058488</v>
      </c>
      <c r="B7219" t="s">
        <v>21872</v>
      </c>
      <c r="C7219" t="str">
        <f>"542000"</f>
        <v>542000</v>
      </c>
      <c r="D7219" t="s">
        <v>21873</v>
      </c>
      <c r="F7219" t="s">
        <v>21874</v>
      </c>
      <c r="I7219" t="s">
        <v>29</v>
      </c>
      <c r="J7219" t="s">
        <v>30</v>
      </c>
      <c r="K7219" t="s">
        <v>21875</v>
      </c>
      <c r="M7219" t="s">
        <v>20134</v>
      </c>
      <c r="N7219" t="str">
        <f>"5/31/2013 10:52:00 AM"</f>
        <v>5/31/2013 10:52:00 AM</v>
      </c>
      <c r="O7219" t="s">
        <v>21873</v>
      </c>
    </row>
    <row r="7220" spans="1:20" x14ac:dyDescent="0.25">
      <c r="A7220" t="str">
        <f>"3047608"</f>
        <v>3047608</v>
      </c>
      <c r="B7220" t="s">
        <v>21876</v>
      </c>
      <c r="C7220" t="str">
        <f>"82529871"</f>
        <v>82529871</v>
      </c>
      <c r="D7220" t="s">
        <v>21877</v>
      </c>
      <c r="G7220" t="s">
        <v>21878</v>
      </c>
      <c r="I7220" t="s">
        <v>964</v>
      </c>
      <c r="J7220" t="s">
        <v>30</v>
      </c>
      <c r="K7220" t="s">
        <v>965</v>
      </c>
      <c r="M7220" t="s">
        <v>17861</v>
      </c>
      <c r="N7220" t="str">
        <f>"7/12/2013 10:12:00 AM"</f>
        <v>7/12/2013 10:12:00 AM</v>
      </c>
      <c r="O7220" t="s">
        <v>21877</v>
      </c>
    </row>
    <row r="7221" spans="1:20" x14ac:dyDescent="0.25">
      <c r="A7221" t="str">
        <f>"3059455"</f>
        <v>3059455</v>
      </c>
      <c r="B7221" t="s">
        <v>21879</v>
      </c>
      <c r="C7221" t="str">
        <f>"8302371"</f>
        <v>8302371</v>
      </c>
      <c r="D7221" t="s">
        <v>21880</v>
      </c>
      <c r="F7221" t="s">
        <v>21881</v>
      </c>
      <c r="I7221" t="s">
        <v>29</v>
      </c>
      <c r="J7221" t="s">
        <v>30</v>
      </c>
      <c r="K7221" t="str">
        <f>"27028"</f>
        <v>27028</v>
      </c>
      <c r="M7221" t="s">
        <v>17861</v>
      </c>
      <c r="N7221" t="str">
        <f>"7/12/2013 10:36:00 AM"</f>
        <v>7/12/2013 10:36:00 AM</v>
      </c>
      <c r="O7221" t="s">
        <v>21880</v>
      </c>
    </row>
    <row r="7222" spans="1:20" x14ac:dyDescent="0.25">
      <c r="A7222" t="str">
        <f>"3039436"</f>
        <v>3039436</v>
      </c>
      <c r="B7222" t="s">
        <v>21882</v>
      </c>
      <c r="C7222" t="str">
        <f>"16350750"</f>
        <v>16350750</v>
      </c>
      <c r="D7222" t="s">
        <v>21883</v>
      </c>
      <c r="F7222" t="s">
        <v>21884</v>
      </c>
      <c r="I7222" t="s">
        <v>2275</v>
      </c>
      <c r="J7222" t="s">
        <v>30</v>
      </c>
      <c r="K7222" t="str">
        <f>"27023"</f>
        <v>27023</v>
      </c>
      <c r="M7222" t="s">
        <v>17861</v>
      </c>
      <c r="N7222" t="str">
        <f>"7/12/2013 10:45:00 AM"</f>
        <v>7/12/2013 10:45:00 AM</v>
      </c>
      <c r="O7222" t="s">
        <v>21883</v>
      </c>
    </row>
    <row r="7223" spans="1:20" x14ac:dyDescent="0.25">
      <c r="A7223" t="str">
        <f>"3039541"</f>
        <v>3039541</v>
      </c>
      <c r="B7223" t="s">
        <v>21885</v>
      </c>
      <c r="C7223" t="str">
        <f>"16350750"</f>
        <v>16350750</v>
      </c>
      <c r="D7223" t="s">
        <v>21883</v>
      </c>
      <c r="F7223" t="s">
        <v>21884</v>
      </c>
      <c r="I7223" t="s">
        <v>2275</v>
      </c>
      <c r="J7223" t="s">
        <v>30</v>
      </c>
      <c r="K7223" t="str">
        <f>"27023"</f>
        <v>27023</v>
      </c>
      <c r="M7223" t="s">
        <v>17861</v>
      </c>
      <c r="N7223" t="str">
        <f>"7/12/2013 10:45:00 AM"</f>
        <v>7/12/2013 10:45:00 AM</v>
      </c>
      <c r="O7223" t="s">
        <v>21883</v>
      </c>
    </row>
    <row r="7224" spans="1:20" x14ac:dyDescent="0.25">
      <c r="A7224" t="str">
        <f>"3040042"</f>
        <v>3040042</v>
      </c>
      <c r="B7224" t="s">
        <v>21886</v>
      </c>
      <c r="C7224" t="str">
        <f>"82529213"</f>
        <v>82529213</v>
      </c>
      <c r="D7224" t="s">
        <v>21887</v>
      </c>
      <c r="F7224" t="s">
        <v>21888</v>
      </c>
      <c r="I7224" t="s">
        <v>29</v>
      </c>
      <c r="J7224" t="s">
        <v>30</v>
      </c>
      <c r="K7224" t="s">
        <v>21889</v>
      </c>
      <c r="M7224" t="s">
        <v>17861</v>
      </c>
      <c r="N7224" t="str">
        <f>"6/3/2013 4:29:00 PM"</f>
        <v>6/3/2013 4:29:00 PM</v>
      </c>
      <c r="O7224" t="s">
        <v>21887</v>
      </c>
    </row>
    <row r="7225" spans="1:20" x14ac:dyDescent="0.25">
      <c r="A7225" t="str">
        <f>"3037330"</f>
        <v>3037330</v>
      </c>
      <c r="B7225" t="s">
        <v>21890</v>
      </c>
      <c r="C7225" t="str">
        <f>"8302381"</f>
        <v>8302381</v>
      </c>
      <c r="D7225" t="s">
        <v>21891</v>
      </c>
      <c r="F7225" t="s">
        <v>21892</v>
      </c>
      <c r="I7225" t="s">
        <v>184</v>
      </c>
      <c r="J7225" t="s">
        <v>30</v>
      </c>
      <c r="K7225" t="str">
        <f>"27006"</f>
        <v>27006</v>
      </c>
      <c r="M7225" t="s">
        <v>17861</v>
      </c>
      <c r="N7225" t="str">
        <f>"7/15/2013 1:44:00 PM"</f>
        <v>7/15/2013 1:44:00 PM</v>
      </c>
      <c r="O7225" t="s">
        <v>21891</v>
      </c>
    </row>
    <row r="7226" spans="1:20" x14ac:dyDescent="0.25">
      <c r="A7226" t="str">
        <f>"3038484"</f>
        <v>3038484</v>
      </c>
      <c r="B7226" t="s">
        <v>21893</v>
      </c>
      <c r="C7226" t="str">
        <f>"8302231"</f>
        <v>8302231</v>
      </c>
      <c r="D7226" t="s">
        <v>21894</v>
      </c>
      <c r="E7226" t="s">
        <v>21895</v>
      </c>
      <c r="F7226" t="s">
        <v>21896</v>
      </c>
      <c r="I7226" t="s">
        <v>29</v>
      </c>
      <c r="J7226" t="s">
        <v>30</v>
      </c>
      <c r="K7226" t="str">
        <f>"27028"</f>
        <v>27028</v>
      </c>
      <c r="M7226" t="s">
        <v>17861</v>
      </c>
      <c r="N7226" t="str">
        <f>"6/4/2013 1:06:00 PM"</f>
        <v>6/4/2013 1:06:00 PM</v>
      </c>
      <c r="O7226" t="s">
        <v>21894</v>
      </c>
      <c r="T7226" t="s">
        <v>21895</v>
      </c>
    </row>
    <row r="7227" spans="1:20" x14ac:dyDescent="0.25">
      <c r="A7227" t="str">
        <f>"3058087"</f>
        <v>3058087</v>
      </c>
      <c r="B7227" t="s">
        <v>21897</v>
      </c>
      <c r="C7227" t="str">
        <f>"8302384"</f>
        <v>8302384</v>
      </c>
      <c r="D7227" t="s">
        <v>21898</v>
      </c>
      <c r="F7227" t="s">
        <v>21899</v>
      </c>
      <c r="I7227" t="s">
        <v>184</v>
      </c>
      <c r="J7227" t="s">
        <v>30</v>
      </c>
      <c r="K7227" t="str">
        <f>"27006"</f>
        <v>27006</v>
      </c>
      <c r="M7227" t="s">
        <v>17861</v>
      </c>
      <c r="N7227" t="str">
        <f>"7/15/2013 3:23:00 PM"</f>
        <v>7/15/2013 3:23:00 PM</v>
      </c>
      <c r="O7227" t="s">
        <v>21898</v>
      </c>
    </row>
    <row r="7228" spans="1:20" x14ac:dyDescent="0.25">
      <c r="A7228" t="str">
        <f>"3037799"</f>
        <v>3037799</v>
      </c>
      <c r="B7228" t="s">
        <v>21900</v>
      </c>
      <c r="C7228" t="str">
        <f>"8302386"</f>
        <v>8302386</v>
      </c>
      <c r="D7228" t="s">
        <v>21901</v>
      </c>
      <c r="E7228" t="s">
        <v>21902</v>
      </c>
      <c r="F7228" t="s">
        <v>21903</v>
      </c>
      <c r="I7228" t="s">
        <v>29</v>
      </c>
      <c r="J7228" t="s">
        <v>30</v>
      </c>
      <c r="K7228" t="str">
        <f>"27028"</f>
        <v>27028</v>
      </c>
      <c r="M7228" t="s">
        <v>17861</v>
      </c>
      <c r="N7228" t="str">
        <f>"7/15/2013 3:34:00 PM"</f>
        <v>7/15/2013 3:34:00 PM</v>
      </c>
      <c r="O7228" t="s">
        <v>21901</v>
      </c>
      <c r="T7228" t="s">
        <v>21902</v>
      </c>
    </row>
    <row r="7229" spans="1:20" x14ac:dyDescent="0.25">
      <c r="A7229" t="str">
        <f>"3069884"</f>
        <v>3069884</v>
      </c>
      <c r="B7229" t="s">
        <v>21904</v>
      </c>
      <c r="C7229" t="str">
        <f>"8302386"</f>
        <v>8302386</v>
      </c>
      <c r="D7229" t="s">
        <v>21901</v>
      </c>
      <c r="E7229" t="s">
        <v>21902</v>
      </c>
      <c r="F7229" t="s">
        <v>21903</v>
      </c>
      <c r="I7229" t="s">
        <v>29</v>
      </c>
      <c r="J7229" t="s">
        <v>30</v>
      </c>
      <c r="K7229" t="str">
        <f>"27028"</f>
        <v>27028</v>
      </c>
      <c r="M7229" t="s">
        <v>17861</v>
      </c>
      <c r="N7229" t="str">
        <f>"7/15/2013 3:34:00 PM"</f>
        <v>7/15/2013 3:34:00 PM</v>
      </c>
      <c r="O7229" t="s">
        <v>21901</v>
      </c>
      <c r="T7229" t="s">
        <v>21902</v>
      </c>
    </row>
    <row r="7230" spans="1:20" x14ac:dyDescent="0.25">
      <c r="A7230" t="str">
        <f>"3060418"</f>
        <v>3060418</v>
      </c>
      <c r="B7230" t="s">
        <v>21905</v>
      </c>
      <c r="C7230" t="str">
        <f>"8302233"</f>
        <v>8302233</v>
      </c>
      <c r="D7230" t="s">
        <v>21906</v>
      </c>
      <c r="F7230" t="s">
        <v>21907</v>
      </c>
      <c r="I7230" t="s">
        <v>2071</v>
      </c>
      <c r="J7230" t="s">
        <v>30</v>
      </c>
      <c r="K7230" t="str">
        <f>"27006"</f>
        <v>27006</v>
      </c>
      <c r="M7230" t="s">
        <v>17861</v>
      </c>
      <c r="N7230" t="str">
        <f>"6/4/2013 1:55:00 PM"</f>
        <v>6/4/2013 1:55:00 PM</v>
      </c>
      <c r="O7230" t="s">
        <v>21906</v>
      </c>
    </row>
    <row r="7231" spans="1:20" x14ac:dyDescent="0.25">
      <c r="A7231" t="str">
        <f>"3050496"</f>
        <v>3050496</v>
      </c>
      <c r="B7231" t="s">
        <v>21908</v>
      </c>
      <c r="C7231" t="str">
        <f>"8302239"</f>
        <v>8302239</v>
      </c>
      <c r="D7231" t="s">
        <v>21909</v>
      </c>
      <c r="E7231" t="s">
        <v>21910</v>
      </c>
      <c r="F7231" t="s">
        <v>21911</v>
      </c>
      <c r="I7231" t="s">
        <v>184</v>
      </c>
      <c r="J7231" t="s">
        <v>30</v>
      </c>
      <c r="K7231" t="str">
        <f>"27006"</f>
        <v>27006</v>
      </c>
      <c r="M7231" t="s">
        <v>17861</v>
      </c>
      <c r="N7231" t="str">
        <f>"6/4/2013 4:13:00 PM"</f>
        <v>6/4/2013 4:13:00 PM</v>
      </c>
      <c r="O7231" t="s">
        <v>21909</v>
      </c>
      <c r="T7231" t="s">
        <v>21910</v>
      </c>
    </row>
    <row r="7232" spans="1:20" x14ac:dyDescent="0.25">
      <c r="A7232" t="str">
        <f>"3066002"</f>
        <v>3066002</v>
      </c>
      <c r="B7232" t="s">
        <v>21912</v>
      </c>
      <c r="C7232" t="str">
        <f>"8302397"</f>
        <v>8302397</v>
      </c>
      <c r="D7232" t="s">
        <v>21913</v>
      </c>
      <c r="E7232" t="s">
        <v>21914</v>
      </c>
      <c r="F7232" t="s">
        <v>21915</v>
      </c>
      <c r="I7232" t="s">
        <v>29</v>
      </c>
      <c r="J7232" t="s">
        <v>30</v>
      </c>
      <c r="K7232" t="str">
        <f>"27028"</f>
        <v>27028</v>
      </c>
      <c r="M7232" t="s">
        <v>17861</v>
      </c>
      <c r="N7232" t="str">
        <f>"7/17/2013 3:25:00 PM"</f>
        <v>7/17/2013 3:25:00 PM</v>
      </c>
      <c r="O7232" t="s">
        <v>21913</v>
      </c>
      <c r="T7232" t="s">
        <v>21914</v>
      </c>
    </row>
    <row r="7233" spans="1:20" x14ac:dyDescent="0.25">
      <c r="A7233" t="str">
        <f>"3051966"</f>
        <v>3051966</v>
      </c>
      <c r="B7233" t="s">
        <v>21916</v>
      </c>
      <c r="C7233" t="str">
        <f>"8302257"</f>
        <v>8302257</v>
      </c>
      <c r="D7233" t="s">
        <v>21917</v>
      </c>
      <c r="E7233" t="s">
        <v>21918</v>
      </c>
      <c r="F7233" t="s">
        <v>21919</v>
      </c>
      <c r="I7233" t="s">
        <v>29</v>
      </c>
      <c r="J7233" t="s">
        <v>30</v>
      </c>
      <c r="K7233" t="str">
        <f>"27028"</f>
        <v>27028</v>
      </c>
      <c r="M7233" t="s">
        <v>17861</v>
      </c>
      <c r="N7233" t="str">
        <f>"6/12/2013 2:32:00 PM"</f>
        <v>6/12/2013 2:32:00 PM</v>
      </c>
      <c r="O7233" t="s">
        <v>21917</v>
      </c>
      <c r="T7233" t="s">
        <v>21918</v>
      </c>
    </row>
    <row r="7234" spans="1:20" x14ac:dyDescent="0.25">
      <c r="A7234" t="str">
        <f>"3059579"</f>
        <v>3059579</v>
      </c>
      <c r="B7234" t="s">
        <v>21920</v>
      </c>
      <c r="C7234" t="str">
        <f>"8302264"</f>
        <v>8302264</v>
      </c>
      <c r="D7234" t="s">
        <v>21921</v>
      </c>
      <c r="E7234" t="s">
        <v>21922</v>
      </c>
      <c r="F7234" t="s">
        <v>21923</v>
      </c>
      <c r="I7234" t="s">
        <v>29</v>
      </c>
      <c r="J7234" t="s">
        <v>30</v>
      </c>
      <c r="K7234" t="str">
        <f>"27028"</f>
        <v>27028</v>
      </c>
      <c r="M7234" t="s">
        <v>17861</v>
      </c>
      <c r="N7234" t="str">
        <f>"6/12/2013 4:51:00 PM"</f>
        <v>6/12/2013 4:51:00 PM</v>
      </c>
      <c r="O7234" t="s">
        <v>21921</v>
      </c>
      <c r="T7234" t="s">
        <v>21922</v>
      </c>
    </row>
    <row r="7235" spans="1:20" x14ac:dyDescent="0.25">
      <c r="A7235" t="str">
        <f>"3060189"</f>
        <v>3060189</v>
      </c>
      <c r="B7235" t="s">
        <v>21924</v>
      </c>
      <c r="C7235" t="str">
        <f>"8302408"</f>
        <v>8302408</v>
      </c>
      <c r="D7235" t="s">
        <v>21925</v>
      </c>
      <c r="E7235" t="s">
        <v>21926</v>
      </c>
      <c r="F7235" t="s">
        <v>21927</v>
      </c>
      <c r="I7235" t="s">
        <v>29</v>
      </c>
      <c r="J7235" t="s">
        <v>30</v>
      </c>
      <c r="K7235" t="str">
        <f>"27028"</f>
        <v>27028</v>
      </c>
      <c r="M7235" t="s">
        <v>17861</v>
      </c>
      <c r="N7235" t="str">
        <f>"7/22/2013 2:10:00 PM"</f>
        <v>7/22/2013 2:10:00 PM</v>
      </c>
      <c r="O7235" t="s">
        <v>21925</v>
      </c>
      <c r="T7235" t="s">
        <v>21926</v>
      </c>
    </row>
    <row r="7236" spans="1:20" x14ac:dyDescent="0.25">
      <c r="A7236" t="str">
        <f>"3076569"</f>
        <v>3076569</v>
      </c>
      <c r="B7236" t="s">
        <v>21928</v>
      </c>
      <c r="C7236" t="str">
        <f>"44148000"</f>
        <v>44148000</v>
      </c>
      <c r="D7236" t="s">
        <v>21929</v>
      </c>
      <c r="E7236" t="s">
        <v>21930</v>
      </c>
      <c r="F7236" t="s">
        <v>21931</v>
      </c>
      <c r="I7236" t="s">
        <v>184</v>
      </c>
      <c r="J7236" t="s">
        <v>30</v>
      </c>
      <c r="K7236" t="s">
        <v>21932</v>
      </c>
      <c r="M7236" t="s">
        <v>17861</v>
      </c>
      <c r="N7236" t="str">
        <f>"6/17/2013 11:00:00 AM"</f>
        <v>6/17/2013 11:00:00 AM</v>
      </c>
      <c r="O7236" t="s">
        <v>21929</v>
      </c>
      <c r="T7236" t="s">
        <v>21930</v>
      </c>
    </row>
    <row r="7237" spans="1:20" x14ac:dyDescent="0.25">
      <c r="A7237" t="str">
        <f>"3041185"</f>
        <v>3041185</v>
      </c>
      <c r="B7237" t="s">
        <v>21933</v>
      </c>
      <c r="C7237" t="str">
        <f>"44148000"</f>
        <v>44148000</v>
      </c>
      <c r="D7237" t="s">
        <v>21929</v>
      </c>
      <c r="E7237" t="s">
        <v>21930</v>
      </c>
      <c r="F7237" t="s">
        <v>21931</v>
      </c>
      <c r="I7237" t="s">
        <v>184</v>
      </c>
      <c r="J7237" t="s">
        <v>30</v>
      </c>
      <c r="K7237" t="s">
        <v>21932</v>
      </c>
      <c r="M7237" t="s">
        <v>17861</v>
      </c>
      <c r="N7237" t="str">
        <f>"6/17/2013 11:00:00 AM"</f>
        <v>6/17/2013 11:00:00 AM</v>
      </c>
      <c r="O7237" t="s">
        <v>21929</v>
      </c>
      <c r="T7237" t="s">
        <v>21930</v>
      </c>
    </row>
    <row r="7238" spans="1:20" x14ac:dyDescent="0.25">
      <c r="A7238" t="str">
        <f>"3040686"</f>
        <v>3040686</v>
      </c>
      <c r="B7238" t="s">
        <v>21934</v>
      </c>
      <c r="C7238" t="str">
        <f>"82528541"</f>
        <v>82528541</v>
      </c>
      <c r="D7238" t="s">
        <v>21935</v>
      </c>
      <c r="E7238" t="s">
        <v>21936</v>
      </c>
      <c r="F7238" t="s">
        <v>21937</v>
      </c>
      <c r="I7238" t="s">
        <v>184</v>
      </c>
      <c r="J7238" t="s">
        <v>30</v>
      </c>
      <c r="K7238" t="s">
        <v>19095</v>
      </c>
      <c r="M7238" t="s">
        <v>17861</v>
      </c>
      <c r="N7238" t="str">
        <f>"6/17/2013 4:44:00 PM"</f>
        <v>6/17/2013 4:44:00 PM</v>
      </c>
      <c r="O7238" t="s">
        <v>21935</v>
      </c>
      <c r="T7238" t="s">
        <v>21936</v>
      </c>
    </row>
    <row r="7239" spans="1:20" x14ac:dyDescent="0.25">
      <c r="A7239" t="str">
        <f>"3053545"</f>
        <v>3053545</v>
      </c>
      <c r="B7239" t="s">
        <v>21938</v>
      </c>
      <c r="C7239" t="str">
        <f>"8302299"</f>
        <v>8302299</v>
      </c>
      <c r="D7239" t="s">
        <v>21939</v>
      </c>
      <c r="E7239" t="s">
        <v>21940</v>
      </c>
      <c r="F7239" t="s">
        <v>21941</v>
      </c>
      <c r="I7239" t="s">
        <v>29</v>
      </c>
      <c r="J7239" t="s">
        <v>30</v>
      </c>
      <c r="K7239" t="str">
        <f>"27028"</f>
        <v>27028</v>
      </c>
      <c r="M7239" t="s">
        <v>17861</v>
      </c>
      <c r="N7239" t="str">
        <f>"6/24/2013 2:20:00 PM"</f>
        <v>6/24/2013 2:20:00 PM</v>
      </c>
      <c r="O7239" t="s">
        <v>21939</v>
      </c>
      <c r="T7239" t="s">
        <v>21940</v>
      </c>
    </row>
    <row r="7240" spans="1:20" x14ac:dyDescent="0.25">
      <c r="A7240" t="str">
        <f>"3049577"</f>
        <v>3049577</v>
      </c>
      <c r="B7240" t="s">
        <v>21942</v>
      </c>
      <c r="C7240" t="str">
        <f>"8302301"</f>
        <v>8302301</v>
      </c>
      <c r="D7240" t="str">
        <f>"CRAFT RUTH F REV TRUST 5/24/13"</f>
        <v>CRAFT RUTH F REV TRUST 5/24/13</v>
      </c>
      <c r="F7240" t="s">
        <v>21801</v>
      </c>
      <c r="I7240" t="s">
        <v>21802</v>
      </c>
      <c r="J7240" t="s">
        <v>11994</v>
      </c>
      <c r="K7240" t="str">
        <f>"21032"</f>
        <v>21032</v>
      </c>
      <c r="M7240" t="s">
        <v>17861</v>
      </c>
      <c r="N7240" t="str">
        <f>"6/24/2013 4:06:00 PM"</f>
        <v>6/24/2013 4:06:00 PM</v>
      </c>
      <c r="O7240" t="str">
        <f>"CRAFT RUTH F REV TRUST 5/24/13"</f>
        <v>CRAFT RUTH F REV TRUST 5/24/13</v>
      </c>
    </row>
    <row r="7241" spans="1:20" x14ac:dyDescent="0.25">
      <c r="A7241" t="str">
        <f>"3038733"</f>
        <v>3038733</v>
      </c>
      <c r="B7241" t="s">
        <v>21943</v>
      </c>
      <c r="C7241" t="str">
        <f>"8302318"</f>
        <v>8302318</v>
      </c>
      <c r="D7241" t="s">
        <v>21944</v>
      </c>
      <c r="E7241" t="s">
        <v>21945</v>
      </c>
      <c r="F7241" t="s">
        <v>21946</v>
      </c>
      <c r="I7241" t="s">
        <v>29</v>
      </c>
      <c r="J7241" t="s">
        <v>30</v>
      </c>
      <c r="K7241" t="str">
        <f>"27028"</f>
        <v>27028</v>
      </c>
      <c r="M7241" t="s">
        <v>17861</v>
      </c>
      <c r="N7241" t="str">
        <f>"6/25/2013 3:05:00 PM"</f>
        <v>6/25/2013 3:05:00 PM</v>
      </c>
      <c r="O7241" t="s">
        <v>21944</v>
      </c>
      <c r="T7241" t="s">
        <v>21945</v>
      </c>
    </row>
    <row r="7242" spans="1:20" x14ac:dyDescent="0.25">
      <c r="A7242" t="str">
        <f>"3047445"</f>
        <v>3047445</v>
      </c>
      <c r="B7242" t="s">
        <v>21947</v>
      </c>
      <c r="C7242" t="str">
        <f>"33487000"</f>
        <v>33487000</v>
      </c>
      <c r="D7242" t="s">
        <v>21948</v>
      </c>
      <c r="E7242" t="s">
        <v>21949</v>
      </c>
      <c r="F7242" t="s">
        <v>21950</v>
      </c>
      <c r="I7242" t="s">
        <v>29</v>
      </c>
      <c r="J7242" t="s">
        <v>30</v>
      </c>
      <c r="K7242" t="s">
        <v>31</v>
      </c>
      <c r="M7242" t="s">
        <v>17861</v>
      </c>
      <c r="N7242" t="str">
        <f>"8/1/2013 8:33:00 AM"</f>
        <v>8/1/2013 8:33:00 AM</v>
      </c>
      <c r="O7242" t="s">
        <v>21948</v>
      </c>
      <c r="T7242" t="s">
        <v>21949</v>
      </c>
    </row>
    <row r="7243" spans="1:20" x14ac:dyDescent="0.25">
      <c r="A7243" t="str">
        <f>"3040490"</f>
        <v>3040490</v>
      </c>
      <c r="B7243" t="s">
        <v>21951</v>
      </c>
      <c r="C7243" t="str">
        <f>"8302438"</f>
        <v>8302438</v>
      </c>
      <c r="D7243" t="s">
        <v>21952</v>
      </c>
      <c r="E7243" t="s">
        <v>21953</v>
      </c>
      <c r="F7243" t="s">
        <v>21954</v>
      </c>
      <c r="I7243" t="s">
        <v>184</v>
      </c>
      <c r="J7243" t="s">
        <v>30</v>
      </c>
      <c r="K7243" t="str">
        <f>"27006"</f>
        <v>27006</v>
      </c>
      <c r="M7243" t="s">
        <v>17861</v>
      </c>
      <c r="N7243" t="str">
        <f>"8/1/2013 10:16:00 AM"</f>
        <v>8/1/2013 10:16:00 AM</v>
      </c>
      <c r="O7243" t="s">
        <v>21952</v>
      </c>
      <c r="T7243" t="s">
        <v>21953</v>
      </c>
    </row>
    <row r="7244" spans="1:20" x14ac:dyDescent="0.25">
      <c r="A7244" t="str">
        <f>"3040107"</f>
        <v>3040107</v>
      </c>
      <c r="B7244" t="s">
        <v>21955</v>
      </c>
      <c r="C7244" t="str">
        <f>"8302442"</f>
        <v>8302442</v>
      </c>
      <c r="D7244" t="s">
        <v>21956</v>
      </c>
      <c r="E7244" t="s">
        <v>21957</v>
      </c>
      <c r="F7244" t="s">
        <v>21958</v>
      </c>
      <c r="I7244" t="s">
        <v>29</v>
      </c>
      <c r="J7244" t="s">
        <v>30</v>
      </c>
      <c r="K7244" t="str">
        <f>"27028"</f>
        <v>27028</v>
      </c>
      <c r="M7244" t="s">
        <v>17861</v>
      </c>
      <c r="N7244" t="str">
        <f>"8/1/2013 1:26:00 PM"</f>
        <v>8/1/2013 1:26:00 PM</v>
      </c>
      <c r="O7244" t="s">
        <v>21956</v>
      </c>
      <c r="T7244" t="s">
        <v>21957</v>
      </c>
    </row>
    <row r="7245" spans="1:20" x14ac:dyDescent="0.25">
      <c r="A7245" t="str">
        <f>"3045807"</f>
        <v>3045807</v>
      </c>
      <c r="B7245" t="s">
        <v>21959</v>
      </c>
      <c r="C7245" t="str">
        <f>"8302444"</f>
        <v>8302444</v>
      </c>
      <c r="D7245" t="s">
        <v>21960</v>
      </c>
      <c r="F7245" t="s">
        <v>21961</v>
      </c>
      <c r="I7245" t="s">
        <v>29</v>
      </c>
      <c r="J7245" t="s">
        <v>30</v>
      </c>
      <c r="K7245" t="str">
        <f>"27028"</f>
        <v>27028</v>
      </c>
      <c r="M7245" t="s">
        <v>17861</v>
      </c>
      <c r="N7245" t="str">
        <f>"8/1/2013 1:37:00 PM"</f>
        <v>8/1/2013 1:37:00 PM</v>
      </c>
      <c r="O7245" t="s">
        <v>21960</v>
      </c>
    </row>
    <row r="7246" spans="1:20" x14ac:dyDescent="0.25">
      <c r="A7246" t="str">
        <f>"3041640"</f>
        <v>3041640</v>
      </c>
      <c r="B7246" t="s">
        <v>21962</v>
      </c>
      <c r="C7246" t="str">
        <f>"82528591"</f>
        <v>82528591</v>
      </c>
      <c r="D7246" t="s">
        <v>21963</v>
      </c>
      <c r="E7246" t="s">
        <v>21964</v>
      </c>
      <c r="F7246" t="s">
        <v>21965</v>
      </c>
      <c r="I7246" t="s">
        <v>21966</v>
      </c>
      <c r="J7246" t="s">
        <v>21967</v>
      </c>
      <c r="K7246" t="s">
        <v>21968</v>
      </c>
      <c r="M7246" t="s">
        <v>18577</v>
      </c>
      <c r="N7246" t="str">
        <f>"6/27/2013 2:54:00 PM"</f>
        <v>6/27/2013 2:54:00 PM</v>
      </c>
      <c r="O7246" t="s">
        <v>21963</v>
      </c>
      <c r="T7246" t="s">
        <v>21964</v>
      </c>
    </row>
    <row r="7247" spans="1:20" x14ac:dyDescent="0.25">
      <c r="A7247" t="str">
        <f>"3048027"</f>
        <v>3048027</v>
      </c>
      <c r="B7247" t="s">
        <v>21969</v>
      </c>
      <c r="C7247" t="str">
        <f>"8302449"</f>
        <v>8302449</v>
      </c>
      <c r="D7247" t="s">
        <v>21970</v>
      </c>
      <c r="E7247" t="s">
        <v>21971</v>
      </c>
      <c r="F7247" t="s">
        <v>12893</v>
      </c>
      <c r="I7247" t="s">
        <v>184</v>
      </c>
      <c r="J7247" t="s">
        <v>30</v>
      </c>
      <c r="K7247" t="str">
        <f>"27006"</f>
        <v>27006</v>
      </c>
      <c r="M7247" t="s">
        <v>17861</v>
      </c>
      <c r="N7247" t="str">
        <f>"8/1/2013 3:39:00 PM"</f>
        <v>8/1/2013 3:39:00 PM</v>
      </c>
      <c r="O7247" t="s">
        <v>21970</v>
      </c>
      <c r="T7247" t="s">
        <v>21971</v>
      </c>
    </row>
    <row r="7248" spans="1:20" x14ac:dyDescent="0.25">
      <c r="A7248" t="str">
        <f>"3060323"</f>
        <v>3060323</v>
      </c>
      <c r="B7248" t="s">
        <v>21972</v>
      </c>
      <c r="C7248" t="str">
        <f>"8302450"</f>
        <v>8302450</v>
      </c>
      <c r="D7248" t="s">
        <v>1407</v>
      </c>
      <c r="E7248" t="s">
        <v>21973</v>
      </c>
      <c r="F7248" t="s">
        <v>1408</v>
      </c>
      <c r="I7248" t="s">
        <v>29</v>
      </c>
      <c r="J7248" t="s">
        <v>30</v>
      </c>
      <c r="K7248" t="str">
        <f>"27028"</f>
        <v>27028</v>
      </c>
      <c r="M7248" t="s">
        <v>17861</v>
      </c>
      <c r="N7248" t="str">
        <f>"8/1/2013 3:45:00 PM"</f>
        <v>8/1/2013 3:45:00 PM</v>
      </c>
      <c r="O7248" t="s">
        <v>1407</v>
      </c>
      <c r="T7248" t="s">
        <v>21973</v>
      </c>
    </row>
    <row r="7249" spans="1:20" x14ac:dyDescent="0.25">
      <c r="A7249" t="str">
        <f>"3061126"</f>
        <v>3061126</v>
      </c>
      <c r="B7249" t="s">
        <v>21974</v>
      </c>
      <c r="C7249" t="str">
        <f>"8302456"</f>
        <v>8302456</v>
      </c>
      <c r="D7249" t="s">
        <v>21975</v>
      </c>
      <c r="F7249" t="s">
        <v>21976</v>
      </c>
      <c r="I7249" t="s">
        <v>184</v>
      </c>
      <c r="J7249" t="s">
        <v>30</v>
      </c>
      <c r="K7249" t="str">
        <f>"27006"</f>
        <v>27006</v>
      </c>
      <c r="M7249" t="s">
        <v>17861</v>
      </c>
      <c r="N7249" t="str">
        <f>"8/1/2013 4:51:00 PM"</f>
        <v>8/1/2013 4:51:00 PM</v>
      </c>
      <c r="O7249" t="s">
        <v>21975</v>
      </c>
    </row>
    <row r="7250" spans="1:20" x14ac:dyDescent="0.25">
      <c r="A7250" t="str">
        <f>"3048967"</f>
        <v>3048967</v>
      </c>
      <c r="B7250" t="s">
        <v>21977</v>
      </c>
      <c r="C7250" t="str">
        <f>"8302458"</f>
        <v>8302458</v>
      </c>
      <c r="D7250" t="s">
        <v>21978</v>
      </c>
      <c r="F7250" t="s">
        <v>21979</v>
      </c>
      <c r="I7250" t="s">
        <v>21270</v>
      </c>
      <c r="J7250" t="s">
        <v>30</v>
      </c>
      <c r="K7250" t="str">
        <f>"28642"</f>
        <v>28642</v>
      </c>
      <c r="M7250" t="s">
        <v>17861</v>
      </c>
      <c r="N7250" t="str">
        <f>"8/2/2013 10:20:00 AM"</f>
        <v>8/2/2013 10:20:00 AM</v>
      </c>
      <c r="O7250" t="s">
        <v>21978</v>
      </c>
    </row>
    <row r="7251" spans="1:20" x14ac:dyDescent="0.25">
      <c r="A7251" t="str">
        <f>"3048968"</f>
        <v>3048968</v>
      </c>
      <c r="B7251" t="s">
        <v>21980</v>
      </c>
      <c r="C7251" t="str">
        <f>"8302458"</f>
        <v>8302458</v>
      </c>
      <c r="D7251" t="s">
        <v>21978</v>
      </c>
      <c r="F7251" t="s">
        <v>21979</v>
      </c>
      <c r="I7251" t="s">
        <v>21270</v>
      </c>
      <c r="J7251" t="s">
        <v>30</v>
      </c>
      <c r="K7251" t="str">
        <f>"28642"</f>
        <v>28642</v>
      </c>
      <c r="M7251" t="s">
        <v>17861</v>
      </c>
      <c r="N7251" t="str">
        <f>"8/2/2013 10:20:00 AM"</f>
        <v>8/2/2013 10:20:00 AM</v>
      </c>
      <c r="O7251" t="s">
        <v>21978</v>
      </c>
    </row>
    <row r="7252" spans="1:20" x14ac:dyDescent="0.25">
      <c r="A7252" t="str">
        <f>"3055143"</f>
        <v>3055143</v>
      </c>
      <c r="B7252" t="s">
        <v>21981</v>
      </c>
      <c r="C7252" t="str">
        <f>"26292000"</f>
        <v>26292000</v>
      </c>
      <c r="D7252" t="s">
        <v>21982</v>
      </c>
      <c r="F7252" t="str">
        <f>"C/O MONTE WILLIAMS"</f>
        <v>C/O MONTE WILLIAMS</v>
      </c>
      <c r="G7252" t="s">
        <v>21983</v>
      </c>
      <c r="I7252" t="s">
        <v>471</v>
      </c>
      <c r="J7252" t="s">
        <v>30</v>
      </c>
      <c r="K7252" t="s">
        <v>625</v>
      </c>
      <c r="M7252" t="s">
        <v>18432</v>
      </c>
      <c r="N7252" t="str">
        <f>"7/1/2013 8:49:00 AM"</f>
        <v>7/1/2013 8:49:00 AM</v>
      </c>
      <c r="O7252" t="s">
        <v>21982</v>
      </c>
    </row>
    <row r="7253" spans="1:20" x14ac:dyDescent="0.25">
      <c r="A7253" t="str">
        <f>"3037885"</f>
        <v>3037885</v>
      </c>
      <c r="B7253" t="s">
        <v>21984</v>
      </c>
      <c r="C7253" t="str">
        <f>"8302464"</f>
        <v>8302464</v>
      </c>
      <c r="D7253" t="s">
        <v>21985</v>
      </c>
      <c r="F7253" t="s">
        <v>21986</v>
      </c>
      <c r="I7253" t="s">
        <v>402</v>
      </c>
      <c r="J7253" t="s">
        <v>30</v>
      </c>
      <c r="K7253" t="str">
        <f>"27012"</f>
        <v>27012</v>
      </c>
      <c r="M7253" t="s">
        <v>17861</v>
      </c>
      <c r="N7253" t="str">
        <f>"8/6/2013 2:42:00 PM"</f>
        <v>8/6/2013 2:42:00 PM</v>
      </c>
      <c r="O7253" t="s">
        <v>21985</v>
      </c>
    </row>
    <row r="7254" spans="1:20" x14ac:dyDescent="0.25">
      <c r="A7254" t="str">
        <f>"3061057"</f>
        <v>3061057</v>
      </c>
      <c r="B7254" t="s">
        <v>21987</v>
      </c>
      <c r="C7254" t="str">
        <f>"8302466"</f>
        <v>8302466</v>
      </c>
      <c r="D7254" t="s">
        <v>21988</v>
      </c>
      <c r="F7254" t="s">
        <v>21989</v>
      </c>
      <c r="I7254" t="s">
        <v>184</v>
      </c>
      <c r="J7254" t="s">
        <v>30</v>
      </c>
      <c r="K7254" t="str">
        <f>"27006"</f>
        <v>27006</v>
      </c>
      <c r="M7254" t="s">
        <v>17861</v>
      </c>
      <c r="N7254" t="str">
        <f>"8/6/2013 3:56:00 PM"</f>
        <v>8/6/2013 3:56:00 PM</v>
      </c>
      <c r="O7254" t="s">
        <v>21988</v>
      </c>
    </row>
    <row r="7255" spans="1:20" x14ac:dyDescent="0.25">
      <c r="A7255" t="str">
        <f>"3050204"</f>
        <v>3050204</v>
      </c>
      <c r="B7255" t="s">
        <v>21990</v>
      </c>
      <c r="C7255" t="str">
        <f>"8302468"</f>
        <v>8302468</v>
      </c>
      <c r="D7255" t="s">
        <v>21991</v>
      </c>
      <c r="E7255" t="s">
        <v>21992</v>
      </c>
      <c r="F7255" t="s">
        <v>21993</v>
      </c>
      <c r="I7255" t="s">
        <v>29</v>
      </c>
      <c r="J7255" t="s">
        <v>30</v>
      </c>
      <c r="K7255" t="str">
        <f>"27028"</f>
        <v>27028</v>
      </c>
      <c r="M7255" t="s">
        <v>17861</v>
      </c>
      <c r="N7255" t="str">
        <f>"8/6/2013 4:11:00 PM"</f>
        <v>8/6/2013 4:11:00 PM</v>
      </c>
      <c r="O7255" t="s">
        <v>21991</v>
      </c>
      <c r="T7255" t="s">
        <v>21992</v>
      </c>
    </row>
    <row r="7256" spans="1:20" x14ac:dyDescent="0.25">
      <c r="A7256" t="str">
        <f>"3059911"</f>
        <v>3059911</v>
      </c>
      <c r="B7256" t="s">
        <v>21994</v>
      </c>
      <c r="C7256" t="str">
        <f>"8302346"</f>
        <v>8302346</v>
      </c>
      <c r="D7256" t="s">
        <v>21995</v>
      </c>
      <c r="E7256" t="s">
        <v>21996</v>
      </c>
      <c r="F7256" t="s">
        <v>21997</v>
      </c>
      <c r="I7256" t="s">
        <v>29</v>
      </c>
      <c r="J7256" t="s">
        <v>30</v>
      </c>
      <c r="K7256" t="str">
        <f>"27028"</f>
        <v>27028</v>
      </c>
      <c r="M7256" t="s">
        <v>17861</v>
      </c>
      <c r="N7256" t="str">
        <f>"7/5/2013 1:47:00 PM"</f>
        <v>7/5/2013 1:47:00 PM</v>
      </c>
      <c r="O7256" t="s">
        <v>21995</v>
      </c>
      <c r="T7256" t="s">
        <v>21996</v>
      </c>
    </row>
    <row r="7257" spans="1:20" x14ac:dyDescent="0.25">
      <c r="A7257" t="str">
        <f>"3055388"</f>
        <v>3055388</v>
      </c>
      <c r="B7257" t="s">
        <v>21998</v>
      </c>
      <c r="C7257" t="str">
        <f>"82520544"</f>
        <v>82520544</v>
      </c>
      <c r="D7257" t="s">
        <v>21999</v>
      </c>
      <c r="E7257" t="s">
        <v>22000</v>
      </c>
      <c r="F7257" t="s">
        <v>22001</v>
      </c>
      <c r="I7257" t="s">
        <v>29</v>
      </c>
      <c r="J7257" t="s">
        <v>30</v>
      </c>
      <c r="K7257" t="s">
        <v>15332</v>
      </c>
      <c r="M7257" t="s">
        <v>22002</v>
      </c>
      <c r="N7257" t="str">
        <f>"8/13/2013 10:29:00 AM"</f>
        <v>8/13/2013 10:29:00 AM</v>
      </c>
      <c r="O7257" t="s">
        <v>21999</v>
      </c>
      <c r="T7257" t="s">
        <v>22000</v>
      </c>
    </row>
    <row r="7258" spans="1:20" x14ac:dyDescent="0.25">
      <c r="A7258" t="str">
        <f>"3053143"</f>
        <v>3053143</v>
      </c>
      <c r="B7258" t="s">
        <v>22003</v>
      </c>
      <c r="C7258" t="str">
        <f>"8302349"</f>
        <v>8302349</v>
      </c>
      <c r="D7258" t="s">
        <v>22004</v>
      </c>
      <c r="E7258" t="s">
        <v>22005</v>
      </c>
      <c r="F7258" t="s">
        <v>22006</v>
      </c>
      <c r="I7258" t="s">
        <v>29</v>
      </c>
      <c r="J7258" t="s">
        <v>30</v>
      </c>
      <c r="K7258" t="str">
        <f>"27028"</f>
        <v>27028</v>
      </c>
      <c r="M7258" t="s">
        <v>17861</v>
      </c>
      <c r="N7258" t="str">
        <f>"7/5/2013 3:20:00 PM"</f>
        <v>7/5/2013 3:20:00 PM</v>
      </c>
      <c r="O7258" t="s">
        <v>22004</v>
      </c>
      <c r="T7258" t="s">
        <v>22005</v>
      </c>
    </row>
    <row r="7259" spans="1:20" x14ac:dyDescent="0.25">
      <c r="A7259" t="str">
        <f>"3059798"</f>
        <v>3059798</v>
      </c>
      <c r="B7259" t="s">
        <v>22007</v>
      </c>
      <c r="C7259" t="str">
        <f>"8302453"</f>
        <v>8302453</v>
      </c>
      <c r="D7259" t="s">
        <v>22008</v>
      </c>
      <c r="E7259" t="s">
        <v>22009</v>
      </c>
      <c r="F7259" t="s">
        <v>22010</v>
      </c>
      <c r="I7259" t="s">
        <v>9580</v>
      </c>
      <c r="J7259" t="s">
        <v>30</v>
      </c>
      <c r="K7259" t="str">
        <f>"27014"</f>
        <v>27014</v>
      </c>
      <c r="M7259" t="s">
        <v>18470</v>
      </c>
      <c r="N7259" t="str">
        <f>"8/13/2013 3:41:00 PM"</f>
        <v>8/13/2013 3:41:00 PM</v>
      </c>
      <c r="O7259" t="s">
        <v>22008</v>
      </c>
      <c r="T7259" t="s">
        <v>22009</v>
      </c>
    </row>
    <row r="7260" spans="1:20" x14ac:dyDescent="0.25">
      <c r="A7260" t="str">
        <f>"3078483"</f>
        <v>3078483</v>
      </c>
      <c r="B7260" t="s">
        <v>22011</v>
      </c>
      <c r="C7260" t="str">
        <f>"8302356"</f>
        <v>8302356</v>
      </c>
      <c r="D7260" t="s">
        <v>22012</v>
      </c>
      <c r="F7260" t="s">
        <v>22013</v>
      </c>
      <c r="I7260" t="s">
        <v>184</v>
      </c>
      <c r="J7260" t="s">
        <v>30</v>
      </c>
      <c r="K7260" t="str">
        <f>"27006"</f>
        <v>27006</v>
      </c>
      <c r="M7260" t="s">
        <v>17861</v>
      </c>
      <c r="N7260" t="str">
        <f>"7/5/2013 4:14:00 PM"</f>
        <v>7/5/2013 4:14:00 PM</v>
      </c>
      <c r="O7260" t="s">
        <v>22012</v>
      </c>
    </row>
    <row r="7261" spans="1:20" x14ac:dyDescent="0.25">
      <c r="A7261" t="str">
        <f>"3055351"</f>
        <v>3055351</v>
      </c>
      <c r="B7261" t="s">
        <v>22014</v>
      </c>
      <c r="C7261" t="str">
        <f>"8302358"</f>
        <v>8302358</v>
      </c>
      <c r="D7261" t="s">
        <v>21857</v>
      </c>
      <c r="F7261" t="s">
        <v>21858</v>
      </c>
      <c r="I7261" t="s">
        <v>2280</v>
      </c>
      <c r="J7261" t="s">
        <v>30</v>
      </c>
      <c r="K7261" t="str">
        <f>"27295"</f>
        <v>27295</v>
      </c>
      <c r="M7261" t="s">
        <v>17861</v>
      </c>
      <c r="N7261" t="str">
        <f>"7/5/2013 4:22:00 PM"</f>
        <v>7/5/2013 4:22:00 PM</v>
      </c>
      <c r="O7261" t="s">
        <v>21857</v>
      </c>
    </row>
    <row r="7262" spans="1:20" x14ac:dyDescent="0.25">
      <c r="A7262" t="str">
        <f>"3042603"</f>
        <v>3042603</v>
      </c>
      <c r="B7262" t="s">
        <v>22015</v>
      </c>
      <c r="C7262" t="str">
        <f>"82528982"</f>
        <v>82528982</v>
      </c>
      <c r="D7262" t="s">
        <v>22016</v>
      </c>
      <c r="E7262" t="s">
        <v>22017</v>
      </c>
      <c r="F7262" t="s">
        <v>22018</v>
      </c>
      <c r="I7262" t="s">
        <v>29</v>
      </c>
      <c r="J7262" t="s">
        <v>30</v>
      </c>
      <c r="K7262" t="s">
        <v>31</v>
      </c>
      <c r="M7262" t="s">
        <v>18432</v>
      </c>
      <c r="N7262" t="str">
        <f>"7/8/2013 12:20:00 PM"</f>
        <v>7/8/2013 12:20:00 PM</v>
      </c>
      <c r="O7262" t="s">
        <v>22016</v>
      </c>
      <c r="T7262" t="s">
        <v>22017</v>
      </c>
    </row>
    <row r="7263" spans="1:20" x14ac:dyDescent="0.25">
      <c r="A7263" t="str">
        <f>"3045474"</f>
        <v>3045474</v>
      </c>
      <c r="B7263" t="s">
        <v>22019</v>
      </c>
      <c r="C7263" t="str">
        <f>"8301568"</f>
        <v>8301568</v>
      </c>
      <c r="D7263" t="s">
        <v>22020</v>
      </c>
      <c r="E7263" t="s">
        <v>22021</v>
      </c>
      <c r="F7263" t="s">
        <v>20801</v>
      </c>
      <c r="I7263" t="s">
        <v>2280</v>
      </c>
      <c r="J7263" t="s">
        <v>30</v>
      </c>
      <c r="K7263" t="str">
        <f>"27292"</f>
        <v>27292</v>
      </c>
      <c r="M7263" t="s">
        <v>17861</v>
      </c>
      <c r="N7263" t="str">
        <f>"8/15/2013 1:48:00 PM"</f>
        <v>8/15/2013 1:48:00 PM</v>
      </c>
      <c r="O7263" t="s">
        <v>22020</v>
      </c>
      <c r="T7263" t="s">
        <v>22021</v>
      </c>
    </row>
    <row r="7264" spans="1:20" x14ac:dyDescent="0.25">
      <c r="A7264" t="str">
        <f>"3078245"</f>
        <v>3078245</v>
      </c>
      <c r="B7264" t="s">
        <v>22022</v>
      </c>
      <c r="C7264" t="str">
        <f>"82532080"</f>
        <v>82532080</v>
      </c>
      <c r="D7264" t="s">
        <v>22023</v>
      </c>
      <c r="E7264" t="str">
        <f>"C/O GREGG WOOTEN"</f>
        <v>C/O GREGG WOOTEN</v>
      </c>
      <c r="F7264" t="s">
        <v>22024</v>
      </c>
      <c r="I7264" t="s">
        <v>29</v>
      </c>
      <c r="J7264" t="s">
        <v>30</v>
      </c>
      <c r="K7264" t="s">
        <v>31</v>
      </c>
      <c r="M7264" t="s">
        <v>18479</v>
      </c>
      <c r="N7264" t="str">
        <f>"7/10/2013 8:58:00 AM"</f>
        <v>7/10/2013 8:58:00 AM</v>
      </c>
      <c r="O7264" t="s">
        <v>22023</v>
      </c>
      <c r="T7264" t="str">
        <f>"C/O GREGG WOOTEN"</f>
        <v>C/O GREGG WOOTEN</v>
      </c>
    </row>
    <row r="7265" spans="1:20" x14ac:dyDescent="0.25">
      <c r="A7265" t="str">
        <f>"3056189"</f>
        <v>3056189</v>
      </c>
      <c r="B7265" t="s">
        <v>22025</v>
      </c>
      <c r="C7265" t="str">
        <f>"72797500"</f>
        <v>72797500</v>
      </c>
      <c r="D7265" t="s">
        <v>22026</v>
      </c>
      <c r="E7265" t="s">
        <v>22027</v>
      </c>
      <c r="F7265" t="s">
        <v>22028</v>
      </c>
      <c r="I7265" t="s">
        <v>9580</v>
      </c>
      <c r="J7265" t="s">
        <v>30</v>
      </c>
      <c r="K7265" t="s">
        <v>9581</v>
      </c>
      <c r="M7265" t="s">
        <v>18432</v>
      </c>
      <c r="N7265" t="str">
        <f>"8/19/2013 9:27:00 AM"</f>
        <v>8/19/2013 9:27:00 AM</v>
      </c>
      <c r="O7265" t="s">
        <v>22026</v>
      </c>
      <c r="T7265" t="s">
        <v>22027</v>
      </c>
    </row>
    <row r="7266" spans="1:20" x14ac:dyDescent="0.25">
      <c r="A7266" t="str">
        <f>"3055859"</f>
        <v>3055859</v>
      </c>
      <c r="B7266" t="s">
        <v>22029</v>
      </c>
      <c r="C7266" t="str">
        <f>"72797500"</f>
        <v>72797500</v>
      </c>
      <c r="D7266" t="s">
        <v>22026</v>
      </c>
      <c r="E7266" t="s">
        <v>22027</v>
      </c>
      <c r="F7266" t="s">
        <v>22028</v>
      </c>
      <c r="I7266" t="s">
        <v>9580</v>
      </c>
      <c r="J7266" t="s">
        <v>30</v>
      </c>
      <c r="K7266" t="s">
        <v>9581</v>
      </c>
      <c r="M7266" t="s">
        <v>18432</v>
      </c>
      <c r="N7266" t="str">
        <f>"8/19/2013 9:27:00 AM"</f>
        <v>8/19/2013 9:27:00 AM</v>
      </c>
      <c r="O7266" t="s">
        <v>22026</v>
      </c>
      <c r="T7266" t="s">
        <v>22027</v>
      </c>
    </row>
    <row r="7267" spans="1:20" x14ac:dyDescent="0.25">
      <c r="A7267" t="str">
        <f>"3037901"</f>
        <v>3037901</v>
      </c>
      <c r="B7267" t="s">
        <v>22030</v>
      </c>
      <c r="C7267" t="str">
        <f>"8302478"</f>
        <v>8302478</v>
      </c>
      <c r="D7267" t="s">
        <v>22031</v>
      </c>
      <c r="E7267" t="s">
        <v>22032</v>
      </c>
      <c r="F7267" t="s">
        <v>12834</v>
      </c>
      <c r="I7267" t="s">
        <v>29</v>
      </c>
      <c r="J7267" t="s">
        <v>30</v>
      </c>
      <c r="K7267" t="str">
        <f>"27028"</f>
        <v>27028</v>
      </c>
      <c r="M7267" t="s">
        <v>17861</v>
      </c>
      <c r="N7267" t="str">
        <f>"8/19/2013 10:07:00 AM"</f>
        <v>8/19/2013 10:07:00 AM</v>
      </c>
      <c r="O7267" t="s">
        <v>22031</v>
      </c>
      <c r="T7267" t="s">
        <v>22032</v>
      </c>
    </row>
    <row r="7268" spans="1:20" x14ac:dyDescent="0.25">
      <c r="A7268" t="str">
        <f>"3038222"</f>
        <v>3038222</v>
      </c>
      <c r="B7268" t="s">
        <v>22033</v>
      </c>
      <c r="C7268" t="str">
        <f>"8302478"</f>
        <v>8302478</v>
      </c>
      <c r="D7268" t="s">
        <v>22031</v>
      </c>
      <c r="E7268" t="s">
        <v>22032</v>
      </c>
      <c r="F7268" t="s">
        <v>12834</v>
      </c>
      <c r="I7268" t="s">
        <v>29</v>
      </c>
      <c r="J7268" t="s">
        <v>30</v>
      </c>
      <c r="K7268" t="str">
        <f>"27028"</f>
        <v>27028</v>
      </c>
      <c r="M7268" t="s">
        <v>17861</v>
      </c>
      <c r="N7268" t="str">
        <f>"8/19/2013 10:07:00 AM"</f>
        <v>8/19/2013 10:07:00 AM</v>
      </c>
      <c r="O7268" t="s">
        <v>22031</v>
      </c>
      <c r="T7268" t="s">
        <v>22032</v>
      </c>
    </row>
    <row r="7269" spans="1:20" x14ac:dyDescent="0.25">
      <c r="A7269" t="str">
        <f>"3039232"</f>
        <v>3039232</v>
      </c>
      <c r="B7269" t="s">
        <v>22034</v>
      </c>
      <c r="C7269" t="str">
        <f>"8302478"</f>
        <v>8302478</v>
      </c>
      <c r="D7269" t="s">
        <v>22031</v>
      </c>
      <c r="E7269" t="s">
        <v>22032</v>
      </c>
      <c r="F7269" t="s">
        <v>12834</v>
      </c>
      <c r="I7269" t="s">
        <v>29</v>
      </c>
      <c r="J7269" t="s">
        <v>30</v>
      </c>
      <c r="K7269" t="str">
        <f>"27028"</f>
        <v>27028</v>
      </c>
      <c r="M7269" t="s">
        <v>17861</v>
      </c>
      <c r="N7269" t="str">
        <f>"8/19/2013 10:07:00 AM"</f>
        <v>8/19/2013 10:07:00 AM</v>
      </c>
      <c r="O7269" t="s">
        <v>22031</v>
      </c>
      <c r="T7269" t="s">
        <v>22032</v>
      </c>
    </row>
    <row r="7270" spans="1:20" x14ac:dyDescent="0.25">
      <c r="A7270" t="str">
        <f>"3048750"</f>
        <v>3048750</v>
      </c>
      <c r="B7270" t="s">
        <v>22035</v>
      </c>
      <c r="C7270" t="str">
        <f>"8302367"</f>
        <v>8302367</v>
      </c>
      <c r="D7270" t="s">
        <v>22036</v>
      </c>
      <c r="E7270" t="s">
        <v>22037</v>
      </c>
      <c r="F7270" t="s">
        <v>9452</v>
      </c>
      <c r="I7270" t="s">
        <v>29</v>
      </c>
      <c r="J7270" t="s">
        <v>30</v>
      </c>
      <c r="K7270" t="str">
        <f>"27028"</f>
        <v>27028</v>
      </c>
      <c r="M7270" t="s">
        <v>17861</v>
      </c>
      <c r="N7270" t="str">
        <f>"7/12/2013 9:28:00 AM"</f>
        <v>7/12/2013 9:28:00 AM</v>
      </c>
      <c r="O7270" t="s">
        <v>22036</v>
      </c>
      <c r="T7270" t="s">
        <v>22037</v>
      </c>
    </row>
    <row r="7271" spans="1:20" x14ac:dyDescent="0.25">
      <c r="A7271" t="str">
        <f>"3055972"</f>
        <v>3055972</v>
      </c>
      <c r="B7271" t="s">
        <v>22038</v>
      </c>
      <c r="C7271" t="str">
        <f>"8302481"</f>
        <v>8302481</v>
      </c>
      <c r="D7271" t="s">
        <v>22039</v>
      </c>
      <c r="E7271" t="s">
        <v>22040</v>
      </c>
      <c r="F7271" t="s">
        <v>22041</v>
      </c>
      <c r="I7271" t="s">
        <v>22042</v>
      </c>
      <c r="J7271" t="s">
        <v>30</v>
      </c>
      <c r="K7271" t="str">
        <f>"27014"</f>
        <v>27014</v>
      </c>
      <c r="M7271" t="s">
        <v>17861</v>
      </c>
      <c r="N7271" t="str">
        <f>"8/19/2013 2:25:00 PM"</f>
        <v>8/19/2013 2:25:00 PM</v>
      </c>
      <c r="O7271" t="s">
        <v>22039</v>
      </c>
      <c r="T7271" t="s">
        <v>22040</v>
      </c>
    </row>
    <row r="7272" spans="1:20" x14ac:dyDescent="0.25">
      <c r="A7272" t="str">
        <f>"3062039"</f>
        <v>3062039</v>
      </c>
      <c r="B7272" t="s">
        <v>22043</v>
      </c>
      <c r="C7272" t="str">
        <f>"8302483"</f>
        <v>8302483</v>
      </c>
      <c r="D7272" t="s">
        <v>22044</v>
      </c>
      <c r="F7272" t="s">
        <v>22045</v>
      </c>
      <c r="I7272" t="s">
        <v>184</v>
      </c>
      <c r="J7272" t="s">
        <v>30</v>
      </c>
      <c r="K7272" t="str">
        <f>"27006"</f>
        <v>27006</v>
      </c>
      <c r="M7272" t="s">
        <v>17861</v>
      </c>
      <c r="N7272" t="str">
        <f>"8/20/2013 11:10:00 AM"</f>
        <v>8/20/2013 11:10:00 AM</v>
      </c>
      <c r="O7272" t="s">
        <v>22044</v>
      </c>
    </row>
    <row r="7273" spans="1:20" x14ac:dyDescent="0.25">
      <c r="A7273" t="str">
        <f>"3056546"</f>
        <v>3056546</v>
      </c>
      <c r="B7273" t="s">
        <v>22046</v>
      </c>
      <c r="C7273" t="str">
        <f>"8302485"</f>
        <v>8302485</v>
      </c>
      <c r="D7273" t="s">
        <v>22047</v>
      </c>
      <c r="F7273" t="s">
        <v>22048</v>
      </c>
      <c r="I7273" t="s">
        <v>29</v>
      </c>
      <c r="J7273" t="s">
        <v>30</v>
      </c>
      <c r="K7273" t="str">
        <f>"27028"</f>
        <v>27028</v>
      </c>
      <c r="M7273" t="s">
        <v>17861</v>
      </c>
      <c r="N7273" t="str">
        <f>"8/20/2013 1:14:00 PM"</f>
        <v>8/20/2013 1:14:00 PM</v>
      </c>
      <c r="O7273" t="s">
        <v>22047</v>
      </c>
    </row>
    <row r="7274" spans="1:20" x14ac:dyDescent="0.25">
      <c r="A7274" t="str">
        <f>"3061079"</f>
        <v>3061079</v>
      </c>
      <c r="B7274" t="s">
        <v>22049</v>
      </c>
      <c r="C7274" t="str">
        <f>"8301579"</f>
        <v>8301579</v>
      </c>
      <c r="D7274" t="s">
        <v>22050</v>
      </c>
      <c r="F7274" t="s">
        <v>22051</v>
      </c>
      <c r="G7274" t="s">
        <v>22052</v>
      </c>
      <c r="I7274" t="s">
        <v>22053</v>
      </c>
      <c r="J7274" t="s">
        <v>11697</v>
      </c>
      <c r="K7274" t="str">
        <f>"91107"</f>
        <v>91107</v>
      </c>
      <c r="M7274" t="s">
        <v>18479</v>
      </c>
      <c r="N7274" t="str">
        <f>"8/20/2013 1:22:00 PM"</f>
        <v>8/20/2013 1:22:00 PM</v>
      </c>
      <c r="O7274" t="s">
        <v>22050</v>
      </c>
    </row>
    <row r="7275" spans="1:20" x14ac:dyDescent="0.25">
      <c r="A7275" t="str">
        <f>"3047607"</f>
        <v>3047607</v>
      </c>
      <c r="B7275" t="s">
        <v>22054</v>
      </c>
      <c r="C7275" t="str">
        <f>"82529871"</f>
        <v>82529871</v>
      </c>
      <c r="D7275" t="s">
        <v>21877</v>
      </c>
      <c r="G7275" t="s">
        <v>21878</v>
      </c>
      <c r="I7275" t="s">
        <v>964</v>
      </c>
      <c r="J7275" t="s">
        <v>30</v>
      </c>
      <c r="K7275" t="s">
        <v>965</v>
      </c>
      <c r="M7275" t="s">
        <v>17861</v>
      </c>
      <c r="N7275" t="str">
        <f>"7/12/2013 10:12:00 AM"</f>
        <v>7/12/2013 10:12:00 AM</v>
      </c>
      <c r="O7275" t="s">
        <v>21877</v>
      </c>
    </row>
    <row r="7276" spans="1:20" x14ac:dyDescent="0.25">
      <c r="A7276" t="str">
        <f>"3040058"</f>
        <v>3040058</v>
      </c>
      <c r="B7276" t="s">
        <v>22055</v>
      </c>
      <c r="C7276" t="str">
        <f>"8301484"</f>
        <v>8301484</v>
      </c>
      <c r="D7276" t="s">
        <v>22056</v>
      </c>
      <c r="E7276" t="s">
        <v>22057</v>
      </c>
      <c r="F7276" t="s">
        <v>22058</v>
      </c>
      <c r="I7276" t="s">
        <v>29</v>
      </c>
      <c r="J7276" t="s">
        <v>30</v>
      </c>
      <c r="K7276" t="str">
        <f>"27028"</f>
        <v>27028</v>
      </c>
      <c r="M7276" t="s">
        <v>17861</v>
      </c>
      <c r="N7276" t="str">
        <f>"6/3/2013 4:20:00 PM"</f>
        <v>6/3/2013 4:20:00 PM</v>
      </c>
      <c r="O7276" t="s">
        <v>22056</v>
      </c>
      <c r="T7276" t="s">
        <v>22057</v>
      </c>
    </row>
    <row r="7277" spans="1:20" x14ac:dyDescent="0.25">
      <c r="A7277" t="str">
        <f>"3040105"</f>
        <v>3040105</v>
      </c>
      <c r="B7277" t="s">
        <v>22059</v>
      </c>
      <c r="C7277" t="str">
        <f>"19961000"</f>
        <v>19961000</v>
      </c>
      <c r="D7277" t="s">
        <v>22060</v>
      </c>
      <c r="F7277" t="s">
        <v>22061</v>
      </c>
      <c r="I7277" t="s">
        <v>29</v>
      </c>
      <c r="J7277" t="s">
        <v>30</v>
      </c>
      <c r="K7277" t="s">
        <v>31</v>
      </c>
      <c r="M7277" t="s">
        <v>17861</v>
      </c>
      <c r="N7277" t="str">
        <f>"6/3/2013 4:20:00 PM"</f>
        <v>6/3/2013 4:20:00 PM</v>
      </c>
      <c r="O7277" t="s">
        <v>22060</v>
      </c>
    </row>
    <row r="7278" spans="1:20" x14ac:dyDescent="0.25">
      <c r="A7278" t="str">
        <f>"3053450"</f>
        <v>3053450</v>
      </c>
      <c r="B7278" t="s">
        <v>22062</v>
      </c>
      <c r="C7278" t="str">
        <f>"8302382"</f>
        <v>8302382</v>
      </c>
      <c r="D7278" t="s">
        <v>22063</v>
      </c>
      <c r="E7278" t="s">
        <v>22064</v>
      </c>
      <c r="F7278" t="s">
        <v>22065</v>
      </c>
      <c r="I7278" t="s">
        <v>29</v>
      </c>
      <c r="J7278" t="s">
        <v>30</v>
      </c>
      <c r="K7278" t="str">
        <f>"27028"</f>
        <v>27028</v>
      </c>
      <c r="M7278" t="s">
        <v>17861</v>
      </c>
      <c r="N7278" t="str">
        <f>"7/15/2013 2:42:00 PM"</f>
        <v>7/15/2013 2:42:00 PM</v>
      </c>
      <c r="O7278" t="s">
        <v>22063</v>
      </c>
      <c r="T7278" t="s">
        <v>22064</v>
      </c>
    </row>
    <row r="7279" spans="1:20" x14ac:dyDescent="0.25">
      <c r="A7279" t="str">
        <f>"3071284"</f>
        <v>3071284</v>
      </c>
      <c r="B7279" t="s">
        <v>22066</v>
      </c>
      <c r="C7279" t="str">
        <f>"82517756"</f>
        <v>82517756</v>
      </c>
      <c r="D7279" t="s">
        <v>22067</v>
      </c>
      <c r="F7279" t="s">
        <v>22068</v>
      </c>
      <c r="I7279" t="s">
        <v>29</v>
      </c>
      <c r="J7279" t="s">
        <v>30</v>
      </c>
      <c r="K7279" t="s">
        <v>31</v>
      </c>
      <c r="M7279" t="s">
        <v>18577</v>
      </c>
      <c r="N7279" t="str">
        <f>"8/23/2013 3:22:00 PM"</f>
        <v>8/23/2013 3:22:00 PM</v>
      </c>
      <c r="O7279" t="s">
        <v>22067</v>
      </c>
    </row>
    <row r="7280" spans="1:20" x14ac:dyDescent="0.25">
      <c r="A7280" t="str">
        <f>"3041603"</f>
        <v>3041603</v>
      </c>
      <c r="B7280" t="s">
        <v>22069</v>
      </c>
      <c r="C7280" t="str">
        <f>"11679440"</f>
        <v>11679440</v>
      </c>
      <c r="D7280" t="s">
        <v>22070</v>
      </c>
      <c r="E7280" t="s">
        <v>22071</v>
      </c>
      <c r="F7280" t="s">
        <v>22072</v>
      </c>
      <c r="I7280" t="s">
        <v>2071</v>
      </c>
      <c r="J7280" t="s">
        <v>30</v>
      </c>
      <c r="K7280" t="s">
        <v>185</v>
      </c>
      <c r="M7280" t="s">
        <v>20405</v>
      </c>
      <c r="N7280" t="str">
        <f>"7/17/2013 9:13:00 AM"</f>
        <v>7/17/2013 9:13:00 AM</v>
      </c>
      <c r="O7280" t="s">
        <v>22070</v>
      </c>
      <c r="T7280" t="s">
        <v>22071</v>
      </c>
    </row>
    <row r="7281" spans="1:20" x14ac:dyDescent="0.25">
      <c r="A7281" t="str">
        <f>"3041959"</f>
        <v>3041959</v>
      </c>
      <c r="B7281" t="s">
        <v>22073</v>
      </c>
      <c r="C7281" t="str">
        <f>"8302397"</f>
        <v>8302397</v>
      </c>
      <c r="D7281" t="s">
        <v>21913</v>
      </c>
      <c r="E7281" t="s">
        <v>21914</v>
      </c>
      <c r="F7281" t="s">
        <v>21915</v>
      </c>
      <c r="I7281" t="s">
        <v>29</v>
      </c>
      <c r="J7281" t="s">
        <v>30</v>
      </c>
      <c r="K7281" t="str">
        <f>"27028"</f>
        <v>27028</v>
      </c>
      <c r="M7281" t="s">
        <v>17861</v>
      </c>
      <c r="N7281" t="str">
        <f>"7/17/2013 3:25:00 PM"</f>
        <v>7/17/2013 3:25:00 PM</v>
      </c>
      <c r="O7281" t="s">
        <v>21913</v>
      </c>
      <c r="T7281" t="s">
        <v>21914</v>
      </c>
    </row>
    <row r="7282" spans="1:20" x14ac:dyDescent="0.25">
      <c r="A7282" t="str">
        <f>"3056291"</f>
        <v>3056291</v>
      </c>
      <c r="B7282" t="s">
        <v>22074</v>
      </c>
      <c r="C7282" t="str">
        <f>"8302404"</f>
        <v>8302404</v>
      </c>
      <c r="D7282" t="s">
        <v>22075</v>
      </c>
      <c r="F7282" t="s">
        <v>22076</v>
      </c>
      <c r="I7282" t="s">
        <v>9580</v>
      </c>
      <c r="J7282" t="s">
        <v>30</v>
      </c>
      <c r="K7282" t="str">
        <f>"27014"</f>
        <v>27014</v>
      </c>
      <c r="M7282" t="s">
        <v>17861</v>
      </c>
      <c r="N7282" t="str">
        <f>"7/19/2013 11:18:00 AM"</f>
        <v>7/19/2013 11:18:00 AM</v>
      </c>
      <c r="O7282" t="s">
        <v>22075</v>
      </c>
    </row>
    <row r="7283" spans="1:20" x14ac:dyDescent="0.25">
      <c r="A7283" t="str">
        <f>"3049191"</f>
        <v>3049191</v>
      </c>
      <c r="B7283" t="s">
        <v>22077</v>
      </c>
      <c r="C7283" t="str">
        <f>"8302504"</f>
        <v>8302504</v>
      </c>
      <c r="D7283" t="s">
        <v>22078</v>
      </c>
      <c r="F7283" t="s">
        <v>15827</v>
      </c>
      <c r="I7283" t="s">
        <v>29</v>
      </c>
      <c r="J7283" t="s">
        <v>30</v>
      </c>
      <c r="K7283" t="str">
        <f>"27028"</f>
        <v>27028</v>
      </c>
      <c r="M7283" t="s">
        <v>17861</v>
      </c>
      <c r="N7283" t="str">
        <f>"8/27/2013 10:30:00 AM"</f>
        <v>8/27/2013 10:30:00 AM</v>
      </c>
      <c r="O7283" t="s">
        <v>22078</v>
      </c>
    </row>
    <row r="7284" spans="1:20" x14ac:dyDescent="0.25">
      <c r="A7284" t="str">
        <f>"3038583"</f>
        <v>3038583</v>
      </c>
      <c r="B7284" t="s">
        <v>22079</v>
      </c>
      <c r="C7284" t="str">
        <f>"8302137"</f>
        <v>8302137</v>
      </c>
      <c r="D7284" t="s">
        <v>22080</v>
      </c>
      <c r="F7284" t="s">
        <v>22081</v>
      </c>
      <c r="I7284" t="s">
        <v>29</v>
      </c>
      <c r="J7284" t="s">
        <v>30</v>
      </c>
      <c r="K7284" t="str">
        <f>"27028"</f>
        <v>27028</v>
      </c>
      <c r="M7284" t="s">
        <v>18513</v>
      </c>
      <c r="N7284" t="str">
        <f>"8/27/2013 10:47:00 AM"</f>
        <v>8/27/2013 10:47:00 AM</v>
      </c>
      <c r="O7284" t="s">
        <v>22080</v>
      </c>
    </row>
    <row r="7285" spans="1:20" x14ac:dyDescent="0.25">
      <c r="A7285" t="str">
        <f>"3058270"</f>
        <v>3058270</v>
      </c>
      <c r="B7285" t="s">
        <v>22082</v>
      </c>
      <c r="C7285" t="str">
        <f>"8302407"</f>
        <v>8302407</v>
      </c>
      <c r="D7285" t="s">
        <v>22083</v>
      </c>
      <c r="E7285" t="s">
        <v>22084</v>
      </c>
      <c r="F7285" t="s">
        <v>22085</v>
      </c>
      <c r="I7285" t="s">
        <v>29</v>
      </c>
      <c r="J7285" t="s">
        <v>30</v>
      </c>
      <c r="K7285" t="str">
        <f>"27028"</f>
        <v>27028</v>
      </c>
      <c r="M7285" t="s">
        <v>17861</v>
      </c>
      <c r="N7285" t="str">
        <f>"7/22/2013 1:49:00 PM"</f>
        <v>7/22/2013 1:49:00 PM</v>
      </c>
      <c r="O7285" t="s">
        <v>22083</v>
      </c>
      <c r="T7285" t="s">
        <v>22084</v>
      </c>
    </row>
    <row r="7286" spans="1:20" x14ac:dyDescent="0.25">
      <c r="A7286" t="str">
        <f>"3056586"</f>
        <v>3056586</v>
      </c>
      <c r="B7286" t="s">
        <v>22086</v>
      </c>
      <c r="C7286" t="str">
        <f>"8302521"</f>
        <v>8302521</v>
      </c>
      <c r="D7286" t="s">
        <v>22087</v>
      </c>
      <c r="E7286" t="s">
        <v>22088</v>
      </c>
      <c r="F7286" t="s">
        <v>22089</v>
      </c>
      <c r="I7286" t="s">
        <v>29</v>
      </c>
      <c r="J7286" t="s">
        <v>30</v>
      </c>
      <c r="K7286" t="str">
        <f>"27028"</f>
        <v>27028</v>
      </c>
      <c r="M7286" t="s">
        <v>17861</v>
      </c>
      <c r="N7286" t="str">
        <f>"8/28/2013 2:18:00 PM"</f>
        <v>8/28/2013 2:18:00 PM</v>
      </c>
      <c r="O7286" t="s">
        <v>22087</v>
      </c>
      <c r="T7286" t="s">
        <v>22088</v>
      </c>
    </row>
    <row r="7287" spans="1:20" x14ac:dyDescent="0.25">
      <c r="A7287" t="str">
        <f>"3041249"</f>
        <v>3041249</v>
      </c>
      <c r="B7287" t="s">
        <v>22090</v>
      </c>
      <c r="C7287" t="str">
        <f>"8302524"</f>
        <v>8302524</v>
      </c>
      <c r="D7287" t="s">
        <v>22091</v>
      </c>
      <c r="F7287" t="s">
        <v>22092</v>
      </c>
      <c r="I7287" t="s">
        <v>2071</v>
      </c>
      <c r="J7287" t="s">
        <v>30</v>
      </c>
      <c r="K7287" t="str">
        <f>"27006"</f>
        <v>27006</v>
      </c>
      <c r="M7287" t="s">
        <v>17861</v>
      </c>
      <c r="N7287" t="str">
        <f>"8/28/2013 2:32:00 PM"</f>
        <v>8/28/2013 2:32:00 PM</v>
      </c>
      <c r="O7287" t="s">
        <v>22091</v>
      </c>
    </row>
    <row r="7288" spans="1:20" x14ac:dyDescent="0.25">
      <c r="A7288" t="str">
        <f>"3045504"</f>
        <v>3045504</v>
      </c>
      <c r="B7288" t="s">
        <v>22093</v>
      </c>
      <c r="C7288" t="str">
        <f>"8302413"</f>
        <v>8302413</v>
      </c>
      <c r="D7288" t="s">
        <v>22094</v>
      </c>
      <c r="E7288" t="s">
        <v>22095</v>
      </c>
      <c r="F7288" t="s">
        <v>22096</v>
      </c>
      <c r="I7288" t="s">
        <v>29</v>
      </c>
      <c r="J7288" t="s">
        <v>30</v>
      </c>
      <c r="K7288" t="str">
        <f>"27028"</f>
        <v>27028</v>
      </c>
      <c r="M7288" t="s">
        <v>17861</v>
      </c>
      <c r="N7288" t="str">
        <f>"7/23/2013 2:54:00 PM"</f>
        <v>7/23/2013 2:54:00 PM</v>
      </c>
      <c r="O7288" t="s">
        <v>22094</v>
      </c>
      <c r="T7288" t="s">
        <v>22095</v>
      </c>
    </row>
    <row r="7289" spans="1:20" x14ac:dyDescent="0.25">
      <c r="A7289" t="str">
        <f>"3061955"</f>
        <v>3061955</v>
      </c>
      <c r="B7289" t="s">
        <v>22097</v>
      </c>
      <c r="C7289" t="str">
        <f>"8302424"</f>
        <v>8302424</v>
      </c>
      <c r="D7289" t="s">
        <v>22098</v>
      </c>
      <c r="E7289" t="s">
        <v>22099</v>
      </c>
      <c r="F7289" t="s">
        <v>22100</v>
      </c>
      <c r="I7289" t="s">
        <v>184</v>
      </c>
      <c r="J7289" t="s">
        <v>30</v>
      </c>
      <c r="K7289" t="str">
        <f>"27006"</f>
        <v>27006</v>
      </c>
      <c r="M7289" t="s">
        <v>17861</v>
      </c>
      <c r="N7289" t="str">
        <f>"7/24/2013 12:53:00 PM"</f>
        <v>7/24/2013 12:53:00 PM</v>
      </c>
      <c r="O7289" t="s">
        <v>22098</v>
      </c>
      <c r="T7289" t="s">
        <v>22099</v>
      </c>
    </row>
    <row r="7290" spans="1:20" x14ac:dyDescent="0.25">
      <c r="A7290" t="str">
        <f>"3047767"</f>
        <v>3047767</v>
      </c>
      <c r="B7290" t="s">
        <v>22101</v>
      </c>
      <c r="C7290" t="str">
        <f>"8302533"</f>
        <v>8302533</v>
      </c>
      <c r="D7290" t="s">
        <v>22102</v>
      </c>
      <c r="E7290" t="s">
        <v>22103</v>
      </c>
      <c r="F7290" t="s">
        <v>22104</v>
      </c>
      <c r="I7290" t="s">
        <v>184</v>
      </c>
      <c r="J7290" t="s">
        <v>30</v>
      </c>
      <c r="K7290" t="str">
        <f>"27006"</f>
        <v>27006</v>
      </c>
      <c r="M7290" t="s">
        <v>17861</v>
      </c>
      <c r="N7290" t="str">
        <f>"9/5/2013 12:45:00 PM"</f>
        <v>9/5/2013 12:45:00 PM</v>
      </c>
      <c r="O7290" t="s">
        <v>22102</v>
      </c>
      <c r="T7290" t="s">
        <v>22103</v>
      </c>
    </row>
    <row r="7291" spans="1:20" x14ac:dyDescent="0.25">
      <c r="A7291" t="str">
        <f>"3044820"</f>
        <v>3044820</v>
      </c>
      <c r="B7291" t="s">
        <v>22105</v>
      </c>
      <c r="C7291" t="str">
        <f>"8302428"</f>
        <v>8302428</v>
      </c>
      <c r="D7291" t="s">
        <v>22106</v>
      </c>
      <c r="E7291" t="s">
        <v>22107</v>
      </c>
      <c r="F7291" t="s">
        <v>22108</v>
      </c>
      <c r="I7291" t="s">
        <v>184</v>
      </c>
      <c r="J7291" t="s">
        <v>30</v>
      </c>
      <c r="K7291" t="str">
        <f>"27006"</f>
        <v>27006</v>
      </c>
      <c r="M7291" t="s">
        <v>17861</v>
      </c>
      <c r="N7291" t="str">
        <f>"7/30/2013 11:57:00 AM"</f>
        <v>7/30/2013 11:57:00 AM</v>
      </c>
      <c r="O7291" t="s">
        <v>22106</v>
      </c>
      <c r="T7291" t="s">
        <v>22107</v>
      </c>
    </row>
    <row r="7292" spans="1:20" x14ac:dyDescent="0.25">
      <c r="A7292" t="str">
        <f>"3051282"</f>
        <v>3051282</v>
      </c>
      <c r="B7292" t="s">
        <v>22109</v>
      </c>
      <c r="C7292" t="str">
        <f>"8302429"</f>
        <v>8302429</v>
      </c>
      <c r="D7292" t="s">
        <v>22110</v>
      </c>
      <c r="F7292" t="s">
        <v>22111</v>
      </c>
      <c r="I7292" t="s">
        <v>29</v>
      </c>
      <c r="J7292" t="s">
        <v>30</v>
      </c>
      <c r="K7292" t="str">
        <f>"27028"</f>
        <v>27028</v>
      </c>
      <c r="M7292" t="s">
        <v>17861</v>
      </c>
      <c r="N7292" t="str">
        <f>"7/30/2013 12:01:00 PM"</f>
        <v>7/30/2013 12:01:00 PM</v>
      </c>
      <c r="O7292" t="s">
        <v>22110</v>
      </c>
    </row>
    <row r="7293" spans="1:20" x14ac:dyDescent="0.25">
      <c r="A7293" t="str">
        <f>"3048304"</f>
        <v>3048304</v>
      </c>
      <c r="B7293" t="s">
        <v>22112</v>
      </c>
      <c r="C7293" t="str">
        <f>"33488000"</f>
        <v>33488000</v>
      </c>
      <c r="D7293" t="s">
        <v>22113</v>
      </c>
      <c r="F7293" t="s">
        <v>21950</v>
      </c>
      <c r="I7293" t="s">
        <v>29</v>
      </c>
      <c r="J7293" t="s">
        <v>30</v>
      </c>
      <c r="K7293" t="s">
        <v>31</v>
      </c>
      <c r="M7293" t="s">
        <v>17861</v>
      </c>
      <c r="N7293" t="str">
        <f>"8/1/2013 8:33:00 AM"</f>
        <v>8/1/2013 8:33:00 AM</v>
      </c>
      <c r="O7293" t="s">
        <v>22113</v>
      </c>
    </row>
    <row r="7294" spans="1:20" x14ac:dyDescent="0.25">
      <c r="A7294" t="str">
        <f>"3047611"</f>
        <v>3047611</v>
      </c>
      <c r="B7294" t="s">
        <v>22114</v>
      </c>
      <c r="C7294" t="str">
        <f>"33487000"</f>
        <v>33487000</v>
      </c>
      <c r="D7294" t="s">
        <v>21948</v>
      </c>
      <c r="E7294" t="s">
        <v>21949</v>
      </c>
      <c r="F7294" t="s">
        <v>21950</v>
      </c>
      <c r="I7294" t="s">
        <v>29</v>
      </c>
      <c r="J7294" t="s">
        <v>30</v>
      </c>
      <c r="K7294" t="s">
        <v>31</v>
      </c>
      <c r="M7294" t="s">
        <v>17861</v>
      </c>
      <c r="N7294" t="str">
        <f>"8/1/2013 8:33:00 AM"</f>
        <v>8/1/2013 8:33:00 AM</v>
      </c>
      <c r="O7294" t="s">
        <v>21948</v>
      </c>
      <c r="T7294" t="s">
        <v>21949</v>
      </c>
    </row>
    <row r="7295" spans="1:20" x14ac:dyDescent="0.25">
      <c r="A7295" t="str">
        <f>"3047480"</f>
        <v>3047480</v>
      </c>
      <c r="B7295" t="s">
        <v>22115</v>
      </c>
      <c r="C7295" t="str">
        <f>"8302449"</f>
        <v>8302449</v>
      </c>
      <c r="D7295" t="s">
        <v>21970</v>
      </c>
      <c r="E7295" t="s">
        <v>21971</v>
      </c>
      <c r="F7295" t="s">
        <v>12893</v>
      </c>
      <c r="I7295" t="s">
        <v>184</v>
      </c>
      <c r="J7295" t="s">
        <v>30</v>
      </c>
      <c r="K7295" t="str">
        <f>"27006"</f>
        <v>27006</v>
      </c>
      <c r="M7295" t="s">
        <v>17861</v>
      </c>
      <c r="N7295" t="str">
        <f>"8/1/2013 3:39:00 PM"</f>
        <v>8/1/2013 3:39:00 PM</v>
      </c>
      <c r="O7295" t="s">
        <v>21970</v>
      </c>
      <c r="T7295" t="s">
        <v>21971</v>
      </c>
    </row>
    <row r="7296" spans="1:20" x14ac:dyDescent="0.25">
      <c r="A7296" t="str">
        <f>"3040491"</f>
        <v>3040491</v>
      </c>
      <c r="B7296" t="s">
        <v>22116</v>
      </c>
      <c r="C7296" t="str">
        <f>"8302462"</f>
        <v>8302462</v>
      </c>
      <c r="D7296" t="s">
        <v>22117</v>
      </c>
      <c r="E7296" t="s">
        <v>22118</v>
      </c>
      <c r="F7296" t="s">
        <v>22119</v>
      </c>
      <c r="I7296" t="s">
        <v>184</v>
      </c>
      <c r="J7296" t="s">
        <v>30</v>
      </c>
      <c r="K7296" t="str">
        <f>"27006"</f>
        <v>27006</v>
      </c>
      <c r="M7296" t="s">
        <v>17861</v>
      </c>
      <c r="N7296" t="str">
        <f>"8/2/2013 12:51:00 PM"</f>
        <v>8/2/2013 12:51:00 PM</v>
      </c>
      <c r="O7296" t="s">
        <v>22117</v>
      </c>
      <c r="T7296" t="s">
        <v>22118</v>
      </c>
    </row>
    <row r="7297" spans="1:20" x14ac:dyDescent="0.25">
      <c r="A7297" t="str">
        <f>"3045415"</f>
        <v>3045415</v>
      </c>
      <c r="B7297" t="s">
        <v>22120</v>
      </c>
      <c r="C7297" t="str">
        <f>"8302472"</f>
        <v>8302472</v>
      </c>
      <c r="D7297" t="s">
        <v>22121</v>
      </c>
      <c r="F7297" t="s">
        <v>17443</v>
      </c>
      <c r="I7297" t="s">
        <v>29</v>
      </c>
      <c r="J7297" t="s">
        <v>30</v>
      </c>
      <c r="K7297" t="str">
        <f>"27028"</f>
        <v>27028</v>
      </c>
      <c r="M7297" t="s">
        <v>17861</v>
      </c>
      <c r="N7297" t="str">
        <f>"8/12/2013 3:58:00 PM"</f>
        <v>8/12/2013 3:58:00 PM</v>
      </c>
      <c r="O7297" t="s">
        <v>22121</v>
      </c>
    </row>
    <row r="7298" spans="1:20" x14ac:dyDescent="0.25">
      <c r="A7298" t="str">
        <f>"3055132"</f>
        <v>3055132</v>
      </c>
      <c r="B7298" t="s">
        <v>22122</v>
      </c>
      <c r="C7298" t="str">
        <f>"8302474"</f>
        <v>8302474</v>
      </c>
      <c r="D7298" t="s">
        <v>22123</v>
      </c>
      <c r="E7298" t="s">
        <v>22124</v>
      </c>
      <c r="F7298" t="s">
        <v>22125</v>
      </c>
      <c r="I7298" t="s">
        <v>29</v>
      </c>
      <c r="J7298" t="s">
        <v>30</v>
      </c>
      <c r="K7298" t="str">
        <f>"27028"</f>
        <v>27028</v>
      </c>
      <c r="M7298" t="s">
        <v>17861</v>
      </c>
      <c r="N7298" t="str">
        <f>"8/13/2013 10:56:00 AM"</f>
        <v>8/13/2013 10:56:00 AM</v>
      </c>
      <c r="O7298" t="s">
        <v>22123</v>
      </c>
      <c r="T7298" t="s">
        <v>22124</v>
      </c>
    </row>
    <row r="7299" spans="1:20" x14ac:dyDescent="0.25">
      <c r="A7299" t="str">
        <f>"3041053"</f>
        <v>3041053</v>
      </c>
      <c r="B7299" t="s">
        <v>22126</v>
      </c>
      <c r="C7299" t="str">
        <f>"82528049"</f>
        <v>82528049</v>
      </c>
      <c r="D7299" t="s">
        <v>22127</v>
      </c>
      <c r="F7299" t="s">
        <v>22128</v>
      </c>
      <c r="I7299" t="s">
        <v>2071</v>
      </c>
      <c r="J7299" t="s">
        <v>30</v>
      </c>
      <c r="K7299" t="s">
        <v>185</v>
      </c>
      <c r="M7299" t="s">
        <v>18432</v>
      </c>
      <c r="N7299" t="str">
        <f>"8/14/2013 7:55:00 AM"</f>
        <v>8/14/2013 7:55:00 AM</v>
      </c>
      <c r="O7299" t="s">
        <v>22127</v>
      </c>
    </row>
    <row r="7300" spans="1:20" x14ac:dyDescent="0.25">
      <c r="A7300" t="str">
        <f>"3041626"</f>
        <v>3041626</v>
      </c>
      <c r="B7300" t="s">
        <v>22129</v>
      </c>
      <c r="C7300" t="str">
        <f>"82528049"</f>
        <v>82528049</v>
      </c>
      <c r="D7300" t="s">
        <v>22127</v>
      </c>
      <c r="F7300" t="s">
        <v>22128</v>
      </c>
      <c r="I7300" t="s">
        <v>2071</v>
      </c>
      <c r="J7300" t="s">
        <v>30</v>
      </c>
      <c r="K7300" t="s">
        <v>185</v>
      </c>
      <c r="M7300" t="s">
        <v>18432</v>
      </c>
      <c r="N7300" t="str">
        <f>"8/14/2013 7:55:00 AM"</f>
        <v>8/14/2013 7:55:00 AM</v>
      </c>
      <c r="O7300" t="s">
        <v>22127</v>
      </c>
    </row>
    <row r="7301" spans="1:20" x14ac:dyDescent="0.25">
      <c r="A7301" t="str">
        <f>"3045497"</f>
        <v>3045497</v>
      </c>
      <c r="B7301" t="s">
        <v>22130</v>
      </c>
      <c r="C7301" t="str">
        <f>"8301568"</f>
        <v>8301568</v>
      </c>
      <c r="D7301" t="s">
        <v>22020</v>
      </c>
      <c r="E7301" t="s">
        <v>22021</v>
      </c>
      <c r="F7301" t="s">
        <v>20801</v>
      </c>
      <c r="I7301" t="s">
        <v>2280</v>
      </c>
      <c r="J7301" t="s">
        <v>30</v>
      </c>
      <c r="K7301" t="str">
        <f>"27292"</f>
        <v>27292</v>
      </c>
      <c r="M7301" t="s">
        <v>17861</v>
      </c>
      <c r="N7301" t="str">
        <f>"8/15/2013 1:48:00 PM"</f>
        <v>8/15/2013 1:48:00 PM</v>
      </c>
      <c r="O7301" t="s">
        <v>22020</v>
      </c>
      <c r="T7301" t="s">
        <v>22021</v>
      </c>
    </row>
    <row r="7302" spans="1:20" x14ac:dyDescent="0.25">
      <c r="A7302" t="str">
        <f>"3059844"</f>
        <v>3059844</v>
      </c>
      <c r="B7302" t="s">
        <v>22131</v>
      </c>
      <c r="C7302" t="str">
        <f>"8302475"</f>
        <v>8302475</v>
      </c>
      <c r="D7302" t="s">
        <v>22132</v>
      </c>
      <c r="E7302" t="s">
        <v>22133</v>
      </c>
      <c r="F7302" t="s">
        <v>22134</v>
      </c>
      <c r="I7302" t="s">
        <v>29</v>
      </c>
      <c r="J7302" t="s">
        <v>30</v>
      </c>
      <c r="K7302" t="str">
        <f>"27028"</f>
        <v>27028</v>
      </c>
      <c r="M7302" t="s">
        <v>17861</v>
      </c>
      <c r="N7302" t="str">
        <f>"8/16/2013 2:49:00 PM"</f>
        <v>8/16/2013 2:49:00 PM</v>
      </c>
      <c r="O7302" t="s">
        <v>22132</v>
      </c>
      <c r="T7302" t="s">
        <v>22133</v>
      </c>
    </row>
    <row r="7303" spans="1:20" x14ac:dyDescent="0.25">
      <c r="A7303" t="str">
        <f>"3057610"</f>
        <v>3057610</v>
      </c>
      <c r="B7303" t="s">
        <v>22135</v>
      </c>
      <c r="C7303" t="str">
        <f>"8302480"</f>
        <v>8302480</v>
      </c>
      <c r="D7303" t="s">
        <v>22136</v>
      </c>
      <c r="E7303" t="s">
        <v>22137</v>
      </c>
      <c r="F7303" t="s">
        <v>22138</v>
      </c>
      <c r="I7303" t="s">
        <v>29</v>
      </c>
      <c r="J7303" t="s">
        <v>30</v>
      </c>
      <c r="K7303" t="str">
        <f>"27028"</f>
        <v>27028</v>
      </c>
      <c r="M7303" t="s">
        <v>17861</v>
      </c>
      <c r="N7303" t="str">
        <f>"8/19/2013 2:12:00 PM"</f>
        <v>8/19/2013 2:12:00 PM</v>
      </c>
      <c r="O7303" t="s">
        <v>22136</v>
      </c>
      <c r="T7303" t="s">
        <v>22137</v>
      </c>
    </row>
    <row r="7304" spans="1:20" x14ac:dyDescent="0.25">
      <c r="A7304" t="str">
        <f>"3042348"</f>
        <v>3042348</v>
      </c>
      <c r="B7304" t="s">
        <v>22139</v>
      </c>
      <c r="C7304" t="str">
        <f>"8302377"</f>
        <v>8302377</v>
      </c>
      <c r="D7304" t="s">
        <v>22140</v>
      </c>
      <c r="E7304" t="s">
        <v>22141</v>
      </c>
      <c r="F7304" t="s">
        <v>22142</v>
      </c>
      <c r="I7304" t="s">
        <v>184</v>
      </c>
      <c r="J7304" t="s">
        <v>30</v>
      </c>
      <c r="K7304" t="str">
        <f>"27006"</f>
        <v>27006</v>
      </c>
      <c r="M7304" t="s">
        <v>17861</v>
      </c>
      <c r="N7304" t="str">
        <f>"7/15/2013 10:32:00 AM"</f>
        <v>7/15/2013 10:32:00 AM</v>
      </c>
      <c r="O7304" t="s">
        <v>22140</v>
      </c>
      <c r="T7304" t="s">
        <v>22141</v>
      </c>
    </row>
    <row r="7305" spans="1:20" x14ac:dyDescent="0.25">
      <c r="A7305" t="str">
        <f>"3039031"</f>
        <v>3039031</v>
      </c>
      <c r="B7305" t="s">
        <v>22143</v>
      </c>
      <c r="C7305" t="str">
        <f>"8302499"</f>
        <v>8302499</v>
      </c>
      <c r="D7305" t="s">
        <v>22144</v>
      </c>
      <c r="E7305" t="s">
        <v>22145</v>
      </c>
      <c r="F7305" t="s">
        <v>22146</v>
      </c>
      <c r="I7305" t="s">
        <v>29</v>
      </c>
      <c r="J7305" t="s">
        <v>30</v>
      </c>
      <c r="K7305" t="str">
        <f>"27028"</f>
        <v>27028</v>
      </c>
      <c r="M7305" t="s">
        <v>17861</v>
      </c>
      <c r="N7305" t="str">
        <f>"8/26/2013 10:44:00 AM"</f>
        <v>8/26/2013 10:44:00 AM</v>
      </c>
      <c r="O7305" t="s">
        <v>22144</v>
      </c>
      <c r="T7305" t="s">
        <v>22145</v>
      </c>
    </row>
    <row r="7306" spans="1:20" x14ac:dyDescent="0.25">
      <c r="A7306" t="str">
        <f>"3057688"</f>
        <v>3057688</v>
      </c>
      <c r="B7306" t="s">
        <v>22147</v>
      </c>
      <c r="C7306" t="str">
        <f>"8302501"</f>
        <v>8302501</v>
      </c>
      <c r="D7306" t="s">
        <v>22148</v>
      </c>
      <c r="E7306" t="s">
        <v>22149</v>
      </c>
      <c r="F7306" t="s">
        <v>22150</v>
      </c>
      <c r="I7306" t="s">
        <v>184</v>
      </c>
      <c r="J7306" t="s">
        <v>30</v>
      </c>
      <c r="K7306" t="str">
        <f>"27006"</f>
        <v>27006</v>
      </c>
      <c r="M7306" t="s">
        <v>17861</v>
      </c>
      <c r="N7306" t="str">
        <f>"8/27/2013 9:53:00 AM"</f>
        <v>8/27/2013 9:53:00 AM</v>
      </c>
      <c r="O7306" t="s">
        <v>22148</v>
      </c>
      <c r="T7306" t="s">
        <v>22149</v>
      </c>
    </row>
    <row r="7307" spans="1:20" x14ac:dyDescent="0.25">
      <c r="A7307" t="str">
        <f>"3049189"</f>
        <v>3049189</v>
      </c>
      <c r="B7307" t="s">
        <v>22151</v>
      </c>
      <c r="C7307" t="str">
        <f>"8302504"</f>
        <v>8302504</v>
      </c>
      <c r="D7307" t="s">
        <v>22078</v>
      </c>
      <c r="F7307" t="s">
        <v>15827</v>
      </c>
      <c r="I7307" t="s">
        <v>29</v>
      </c>
      <c r="J7307" t="s">
        <v>30</v>
      </c>
      <c r="K7307" t="str">
        <f>"27028"</f>
        <v>27028</v>
      </c>
      <c r="M7307" t="s">
        <v>17861</v>
      </c>
      <c r="N7307" t="str">
        <f>"8/27/2013 10:30:00 AM"</f>
        <v>8/27/2013 10:30:00 AM</v>
      </c>
      <c r="O7307" t="s">
        <v>22078</v>
      </c>
    </row>
    <row r="7308" spans="1:20" x14ac:dyDescent="0.25">
      <c r="A7308" t="str">
        <f>"3045742"</f>
        <v>3045742</v>
      </c>
      <c r="B7308" t="s">
        <v>22152</v>
      </c>
      <c r="C7308" t="str">
        <f>"8302519"</f>
        <v>8302519</v>
      </c>
      <c r="D7308" t="s">
        <v>22153</v>
      </c>
      <c r="F7308" t="s">
        <v>22154</v>
      </c>
      <c r="I7308" t="s">
        <v>1149</v>
      </c>
      <c r="J7308" t="s">
        <v>30</v>
      </c>
      <c r="K7308" t="str">
        <f>"28634"</f>
        <v>28634</v>
      </c>
      <c r="M7308" t="s">
        <v>17861</v>
      </c>
      <c r="N7308" t="str">
        <f>"8/28/2013 2:09:00 PM"</f>
        <v>8/28/2013 2:09:00 PM</v>
      </c>
      <c r="O7308" t="s">
        <v>22153</v>
      </c>
    </row>
    <row r="7309" spans="1:20" x14ac:dyDescent="0.25">
      <c r="A7309" t="str">
        <f>"3039117"</f>
        <v>3039117</v>
      </c>
      <c r="B7309" t="s">
        <v>22155</v>
      </c>
      <c r="C7309" t="str">
        <f>"14443000"</f>
        <v>14443000</v>
      </c>
      <c r="D7309" t="s">
        <v>22156</v>
      </c>
      <c r="F7309" t="s">
        <v>22157</v>
      </c>
      <c r="I7309" t="s">
        <v>29</v>
      </c>
      <c r="J7309" t="s">
        <v>30</v>
      </c>
      <c r="K7309" t="str">
        <f>"27028"</f>
        <v>27028</v>
      </c>
      <c r="M7309" t="s">
        <v>18577</v>
      </c>
      <c r="N7309" t="str">
        <f>"9/3/2013 12:10:00 PM"</f>
        <v>9/3/2013 12:10:00 PM</v>
      </c>
      <c r="O7309" t="s">
        <v>22156</v>
      </c>
    </row>
    <row r="7310" spans="1:20" x14ac:dyDescent="0.25">
      <c r="A7310" t="str">
        <f>"3047390"</f>
        <v>3047390</v>
      </c>
      <c r="B7310" t="s">
        <v>22158</v>
      </c>
      <c r="C7310" t="str">
        <f>"8302533"</f>
        <v>8302533</v>
      </c>
      <c r="D7310" t="s">
        <v>22102</v>
      </c>
      <c r="E7310" t="s">
        <v>22103</v>
      </c>
      <c r="F7310" t="s">
        <v>22104</v>
      </c>
      <c r="I7310" t="s">
        <v>184</v>
      </c>
      <c r="J7310" t="s">
        <v>30</v>
      </c>
      <c r="K7310" t="str">
        <f>"27006"</f>
        <v>27006</v>
      </c>
      <c r="M7310" t="s">
        <v>17861</v>
      </c>
      <c r="N7310" t="str">
        <f>"9/5/2013 12:45:00 PM"</f>
        <v>9/5/2013 12:45:00 PM</v>
      </c>
      <c r="O7310" t="s">
        <v>22102</v>
      </c>
      <c r="T7310" t="s">
        <v>22103</v>
      </c>
    </row>
    <row r="7311" spans="1:20" x14ac:dyDescent="0.25">
      <c r="A7311" t="str">
        <f>"3061946"</f>
        <v>3061946</v>
      </c>
      <c r="B7311" t="s">
        <v>22159</v>
      </c>
      <c r="C7311" t="str">
        <f>"8302544"</f>
        <v>8302544</v>
      </c>
      <c r="D7311" t="s">
        <v>22160</v>
      </c>
      <c r="E7311" t="s">
        <v>22161</v>
      </c>
      <c r="F7311" t="s">
        <v>22162</v>
      </c>
      <c r="I7311" t="s">
        <v>184</v>
      </c>
      <c r="J7311" t="s">
        <v>30</v>
      </c>
      <c r="K7311" t="str">
        <f>"27006"</f>
        <v>27006</v>
      </c>
      <c r="M7311" t="s">
        <v>17861</v>
      </c>
      <c r="N7311" t="str">
        <f>"9/6/2013 4:40:00 PM"</f>
        <v>9/6/2013 4:40:00 PM</v>
      </c>
      <c r="O7311" t="s">
        <v>22160</v>
      </c>
      <c r="T7311" t="s">
        <v>22161</v>
      </c>
    </row>
    <row r="7312" spans="1:20" x14ac:dyDescent="0.25">
      <c r="A7312" t="str">
        <f>"3043477"</f>
        <v>3043477</v>
      </c>
      <c r="B7312" t="s">
        <v>22163</v>
      </c>
      <c r="C7312" t="str">
        <f>"8301792"</f>
        <v>8301792</v>
      </c>
      <c r="D7312" t="s">
        <v>22164</v>
      </c>
      <c r="F7312" t="s">
        <v>22165</v>
      </c>
      <c r="I7312" t="s">
        <v>29</v>
      </c>
      <c r="J7312" t="s">
        <v>30</v>
      </c>
      <c r="K7312" t="str">
        <f>"27028"</f>
        <v>27028</v>
      </c>
      <c r="M7312" t="s">
        <v>20015</v>
      </c>
      <c r="N7312" t="str">
        <f>"9/9/2013 1:46:00 PM"</f>
        <v>9/9/2013 1:46:00 PM</v>
      </c>
      <c r="O7312" t="s">
        <v>22164</v>
      </c>
    </row>
    <row r="7313" spans="1:20" x14ac:dyDescent="0.25">
      <c r="A7313" t="str">
        <f>"3046972"</f>
        <v>3046972</v>
      </c>
      <c r="B7313" t="s">
        <v>22166</v>
      </c>
      <c r="C7313" t="str">
        <f>"8302580"</f>
        <v>8302580</v>
      </c>
      <c r="D7313" t="s">
        <v>22167</v>
      </c>
      <c r="F7313" t="s">
        <v>22168</v>
      </c>
      <c r="I7313" t="s">
        <v>29</v>
      </c>
      <c r="J7313" t="s">
        <v>30</v>
      </c>
      <c r="K7313" t="str">
        <f>"27028"</f>
        <v>27028</v>
      </c>
      <c r="M7313" t="s">
        <v>17861</v>
      </c>
      <c r="N7313" t="str">
        <f>"9/23/2013 11:05:00 AM"</f>
        <v>9/23/2013 11:05:00 AM</v>
      </c>
      <c r="O7313" t="s">
        <v>22167</v>
      </c>
    </row>
    <row r="7314" spans="1:20" x14ac:dyDescent="0.25">
      <c r="A7314" t="str">
        <f>"3043162"</f>
        <v>3043162</v>
      </c>
      <c r="B7314" t="s">
        <v>22169</v>
      </c>
      <c r="C7314" t="str">
        <f>"8302581"</f>
        <v>8302581</v>
      </c>
      <c r="D7314" t="s">
        <v>20394</v>
      </c>
      <c r="F7314" t="s">
        <v>20395</v>
      </c>
      <c r="I7314" t="s">
        <v>20396</v>
      </c>
      <c r="J7314" t="s">
        <v>20397</v>
      </c>
      <c r="K7314" t="str">
        <f>"06757"</f>
        <v>06757</v>
      </c>
      <c r="M7314" t="s">
        <v>17861</v>
      </c>
      <c r="N7314" t="str">
        <f>"9/23/2013 1:14:00 PM"</f>
        <v>9/23/2013 1:14:00 PM</v>
      </c>
      <c r="O7314" t="s">
        <v>20394</v>
      </c>
    </row>
    <row r="7315" spans="1:20" x14ac:dyDescent="0.25">
      <c r="A7315" t="str">
        <f>"3043163"</f>
        <v>3043163</v>
      </c>
      <c r="B7315" t="s">
        <v>22170</v>
      </c>
      <c r="C7315" t="str">
        <f>"8302581"</f>
        <v>8302581</v>
      </c>
      <c r="D7315" t="s">
        <v>20394</v>
      </c>
      <c r="F7315" t="s">
        <v>20395</v>
      </c>
      <c r="I7315" t="s">
        <v>20396</v>
      </c>
      <c r="J7315" t="s">
        <v>20397</v>
      </c>
      <c r="K7315" t="str">
        <f>"06757"</f>
        <v>06757</v>
      </c>
      <c r="M7315" t="s">
        <v>17861</v>
      </c>
      <c r="N7315" t="str">
        <f>"9/23/2013 1:14:00 PM"</f>
        <v>9/23/2013 1:14:00 PM</v>
      </c>
      <c r="O7315" t="s">
        <v>20394</v>
      </c>
    </row>
    <row r="7316" spans="1:20" x14ac:dyDescent="0.25">
      <c r="A7316" t="str">
        <f>"3050030"</f>
        <v>3050030</v>
      </c>
      <c r="B7316" t="s">
        <v>22171</v>
      </c>
      <c r="C7316" t="str">
        <f>"82525732"</f>
        <v>82525732</v>
      </c>
      <c r="D7316" t="s">
        <v>22172</v>
      </c>
      <c r="F7316" t="s">
        <v>22173</v>
      </c>
      <c r="I7316" t="s">
        <v>29</v>
      </c>
      <c r="J7316" t="s">
        <v>30</v>
      </c>
      <c r="K7316" t="s">
        <v>31</v>
      </c>
      <c r="M7316" t="s">
        <v>20015</v>
      </c>
      <c r="N7316" t="str">
        <f>"9/10/2013 10:04:00 AM"</f>
        <v>9/10/2013 10:04:00 AM</v>
      </c>
      <c r="O7316" t="s">
        <v>22172</v>
      </c>
    </row>
    <row r="7317" spans="1:20" x14ac:dyDescent="0.25">
      <c r="A7317" t="str">
        <f>"3045270"</f>
        <v>3045270</v>
      </c>
      <c r="B7317" t="s">
        <v>22174</v>
      </c>
      <c r="C7317" t="str">
        <f>"8302587"</f>
        <v>8302587</v>
      </c>
      <c r="D7317" t="s">
        <v>22175</v>
      </c>
      <c r="E7317" t="s">
        <v>22176</v>
      </c>
      <c r="F7317" t="s">
        <v>22177</v>
      </c>
      <c r="I7317" t="s">
        <v>29</v>
      </c>
      <c r="J7317" t="s">
        <v>30</v>
      </c>
      <c r="K7317" t="str">
        <f>"27028"</f>
        <v>27028</v>
      </c>
      <c r="M7317" t="s">
        <v>17861</v>
      </c>
      <c r="N7317" t="str">
        <f>"9/23/2013 4:00:00 PM"</f>
        <v>9/23/2013 4:00:00 PM</v>
      </c>
      <c r="O7317" t="s">
        <v>22175</v>
      </c>
      <c r="T7317" t="s">
        <v>22176</v>
      </c>
    </row>
    <row r="7318" spans="1:20" x14ac:dyDescent="0.25">
      <c r="A7318" t="str">
        <f>"3062480"</f>
        <v>3062480</v>
      </c>
      <c r="B7318" t="s">
        <v>22178</v>
      </c>
      <c r="C7318" t="str">
        <f>"8302588"</f>
        <v>8302588</v>
      </c>
      <c r="D7318" t="s">
        <v>22179</v>
      </c>
      <c r="E7318" t="s">
        <v>22180</v>
      </c>
      <c r="F7318" t="s">
        <v>22181</v>
      </c>
      <c r="I7318" t="s">
        <v>2071</v>
      </c>
      <c r="J7318" t="s">
        <v>30</v>
      </c>
      <c r="K7318" t="str">
        <f>"27006"</f>
        <v>27006</v>
      </c>
      <c r="M7318" t="s">
        <v>17861</v>
      </c>
      <c r="N7318" t="str">
        <f>"9/23/2013 4:49:00 PM"</f>
        <v>9/23/2013 4:49:00 PM</v>
      </c>
      <c r="O7318" t="s">
        <v>22179</v>
      </c>
      <c r="T7318" t="s">
        <v>22180</v>
      </c>
    </row>
    <row r="7319" spans="1:20" x14ac:dyDescent="0.25">
      <c r="A7319" t="str">
        <f>"3054039"</f>
        <v>3054039</v>
      </c>
      <c r="B7319" t="s">
        <v>22182</v>
      </c>
      <c r="C7319" t="str">
        <f>"8301944"</f>
        <v>8301944</v>
      </c>
      <c r="D7319" t="s">
        <v>22183</v>
      </c>
      <c r="F7319" t="s">
        <v>22184</v>
      </c>
      <c r="I7319" t="s">
        <v>29</v>
      </c>
      <c r="J7319" t="s">
        <v>30</v>
      </c>
      <c r="K7319" t="str">
        <f>"27028"</f>
        <v>27028</v>
      </c>
      <c r="M7319" t="s">
        <v>20015</v>
      </c>
      <c r="N7319" t="str">
        <f>"9/10/2013 10:07:00 AM"</f>
        <v>9/10/2013 10:07:00 AM</v>
      </c>
      <c r="O7319" t="s">
        <v>22183</v>
      </c>
    </row>
    <row r="7320" spans="1:20" x14ac:dyDescent="0.25">
      <c r="A7320" t="str">
        <f>"3078934"</f>
        <v>3078934</v>
      </c>
      <c r="B7320" t="s">
        <v>22185</v>
      </c>
      <c r="C7320" t="str">
        <f>"8301354"</f>
        <v>8301354</v>
      </c>
      <c r="D7320" t="s">
        <v>22186</v>
      </c>
      <c r="E7320" t="s">
        <v>22187</v>
      </c>
      <c r="F7320" t="s">
        <v>22188</v>
      </c>
      <c r="I7320" t="s">
        <v>29</v>
      </c>
      <c r="J7320" t="s">
        <v>30</v>
      </c>
      <c r="K7320" t="str">
        <f>"27028"</f>
        <v>27028</v>
      </c>
      <c r="M7320" t="s">
        <v>20015</v>
      </c>
      <c r="N7320" t="str">
        <f>"9/10/2013 10:24:00 AM"</f>
        <v>9/10/2013 10:24:00 AM</v>
      </c>
      <c r="O7320" t="s">
        <v>22186</v>
      </c>
      <c r="T7320" t="s">
        <v>22187</v>
      </c>
    </row>
    <row r="7321" spans="1:20" x14ac:dyDescent="0.25">
      <c r="A7321" t="str">
        <f>"3044087"</f>
        <v>3044087</v>
      </c>
      <c r="B7321" t="s">
        <v>22189</v>
      </c>
      <c r="C7321" t="str">
        <f>"8301981"</f>
        <v>8301981</v>
      </c>
      <c r="D7321" t="s">
        <v>22190</v>
      </c>
      <c r="E7321" t="s">
        <v>22191</v>
      </c>
      <c r="F7321" t="s">
        <v>22192</v>
      </c>
      <c r="I7321" t="s">
        <v>184</v>
      </c>
      <c r="J7321" t="s">
        <v>30</v>
      </c>
      <c r="K7321" t="str">
        <f>"27006"</f>
        <v>27006</v>
      </c>
      <c r="M7321" t="s">
        <v>20015</v>
      </c>
      <c r="N7321" t="str">
        <f>"9/10/2013 10:38:00 AM"</f>
        <v>9/10/2013 10:38:00 AM</v>
      </c>
      <c r="O7321" t="s">
        <v>22190</v>
      </c>
      <c r="T7321" t="s">
        <v>22191</v>
      </c>
    </row>
    <row r="7322" spans="1:20" x14ac:dyDescent="0.25">
      <c r="A7322" t="str">
        <f>"3050637"</f>
        <v>3050637</v>
      </c>
      <c r="B7322" t="s">
        <v>22193</v>
      </c>
      <c r="C7322" t="str">
        <f>"82526693"</f>
        <v>82526693</v>
      </c>
      <c r="D7322" t="s">
        <v>22194</v>
      </c>
      <c r="F7322" t="s">
        <v>22195</v>
      </c>
      <c r="I7322" t="s">
        <v>184</v>
      </c>
      <c r="J7322" t="s">
        <v>30</v>
      </c>
      <c r="K7322" t="s">
        <v>185</v>
      </c>
      <c r="M7322" t="s">
        <v>17861</v>
      </c>
      <c r="N7322" t="str">
        <f>"9/26/2013 8:46:00 AM"</f>
        <v>9/26/2013 8:46:00 AM</v>
      </c>
      <c r="O7322" t="s">
        <v>22194</v>
      </c>
    </row>
    <row r="7323" spans="1:20" x14ac:dyDescent="0.25">
      <c r="A7323" t="str">
        <f>"3050937"</f>
        <v>3050937</v>
      </c>
      <c r="B7323" t="s">
        <v>22196</v>
      </c>
      <c r="C7323" t="str">
        <f>"82526693"</f>
        <v>82526693</v>
      </c>
      <c r="D7323" t="s">
        <v>22194</v>
      </c>
      <c r="F7323" t="s">
        <v>22195</v>
      </c>
      <c r="I7323" t="s">
        <v>184</v>
      </c>
      <c r="J7323" t="s">
        <v>30</v>
      </c>
      <c r="K7323" t="s">
        <v>185</v>
      </c>
      <c r="M7323" t="s">
        <v>17861</v>
      </c>
      <c r="N7323" t="str">
        <f>"9/26/2013 8:46:00 AM"</f>
        <v>9/26/2013 8:46:00 AM</v>
      </c>
      <c r="O7323" t="s">
        <v>22194</v>
      </c>
    </row>
    <row r="7324" spans="1:20" x14ac:dyDescent="0.25">
      <c r="A7324" t="str">
        <f>"3049531"</f>
        <v>3049531</v>
      </c>
      <c r="B7324" t="s">
        <v>22197</v>
      </c>
      <c r="C7324" t="str">
        <f>"5792000"</f>
        <v>5792000</v>
      </c>
      <c r="D7324" t="s">
        <v>22198</v>
      </c>
      <c r="F7324" t="s">
        <v>22199</v>
      </c>
      <c r="I7324" t="s">
        <v>29</v>
      </c>
      <c r="J7324" t="s">
        <v>30</v>
      </c>
      <c r="K7324" t="s">
        <v>22200</v>
      </c>
      <c r="M7324" t="s">
        <v>18513</v>
      </c>
      <c r="N7324" t="str">
        <f>"9/10/2013 2:28:00 PM"</f>
        <v>9/10/2013 2:28:00 PM</v>
      </c>
      <c r="O7324" t="s">
        <v>22198</v>
      </c>
    </row>
    <row r="7325" spans="1:20" x14ac:dyDescent="0.25">
      <c r="A7325" t="str">
        <f>"3056488"</f>
        <v>3056488</v>
      </c>
      <c r="B7325" t="s">
        <v>22201</v>
      </c>
      <c r="C7325" t="str">
        <f t="shared" ref="C7325:C7340" si="109">"23156000"</f>
        <v>23156000</v>
      </c>
      <c r="D7325" t="s">
        <v>22202</v>
      </c>
      <c r="E7325" t="s">
        <v>22203</v>
      </c>
      <c r="F7325" t="s">
        <v>22204</v>
      </c>
      <c r="I7325" t="s">
        <v>9580</v>
      </c>
      <c r="J7325" t="s">
        <v>30</v>
      </c>
      <c r="K7325" t="s">
        <v>22205</v>
      </c>
      <c r="M7325" t="s">
        <v>21510</v>
      </c>
      <c r="N7325" t="str">
        <f t="shared" ref="N7325:N7340" si="110">"9/27/2013 10:57:00 AM"</f>
        <v>9/27/2013 10:57:00 AM</v>
      </c>
      <c r="O7325" t="s">
        <v>22202</v>
      </c>
      <c r="T7325" t="s">
        <v>22203</v>
      </c>
    </row>
    <row r="7326" spans="1:20" x14ac:dyDescent="0.25">
      <c r="A7326" t="str">
        <f>"3055928"</f>
        <v>3055928</v>
      </c>
      <c r="B7326" t="s">
        <v>22206</v>
      </c>
      <c r="C7326" t="str">
        <f t="shared" si="109"/>
        <v>23156000</v>
      </c>
      <c r="D7326" t="s">
        <v>22202</v>
      </c>
      <c r="E7326" t="s">
        <v>22203</v>
      </c>
      <c r="F7326" t="s">
        <v>22204</v>
      </c>
      <c r="I7326" t="s">
        <v>9580</v>
      </c>
      <c r="J7326" t="s">
        <v>30</v>
      </c>
      <c r="K7326" t="s">
        <v>22205</v>
      </c>
      <c r="M7326" t="s">
        <v>21510</v>
      </c>
      <c r="N7326" t="str">
        <f t="shared" si="110"/>
        <v>9/27/2013 10:57:00 AM</v>
      </c>
      <c r="O7326" t="s">
        <v>22202</v>
      </c>
      <c r="T7326" t="s">
        <v>22203</v>
      </c>
    </row>
    <row r="7327" spans="1:20" x14ac:dyDescent="0.25">
      <c r="A7327" t="str">
        <f>"3055944"</f>
        <v>3055944</v>
      </c>
      <c r="B7327" t="s">
        <v>22207</v>
      </c>
      <c r="C7327" t="str">
        <f t="shared" si="109"/>
        <v>23156000</v>
      </c>
      <c r="D7327" t="s">
        <v>22202</v>
      </c>
      <c r="E7327" t="s">
        <v>22203</v>
      </c>
      <c r="F7327" t="s">
        <v>22204</v>
      </c>
      <c r="I7327" t="s">
        <v>9580</v>
      </c>
      <c r="J7327" t="s">
        <v>30</v>
      </c>
      <c r="K7327" t="s">
        <v>22205</v>
      </c>
      <c r="M7327" t="s">
        <v>21510</v>
      </c>
      <c r="N7327" t="str">
        <f t="shared" si="110"/>
        <v>9/27/2013 10:57:00 AM</v>
      </c>
      <c r="O7327" t="s">
        <v>22202</v>
      </c>
      <c r="T7327" t="s">
        <v>22203</v>
      </c>
    </row>
    <row r="7328" spans="1:20" x14ac:dyDescent="0.25">
      <c r="A7328" t="str">
        <f>"3055878"</f>
        <v>3055878</v>
      </c>
      <c r="B7328" t="s">
        <v>22208</v>
      </c>
      <c r="C7328" t="str">
        <f t="shared" si="109"/>
        <v>23156000</v>
      </c>
      <c r="D7328" t="s">
        <v>22202</v>
      </c>
      <c r="E7328" t="s">
        <v>22203</v>
      </c>
      <c r="F7328" t="s">
        <v>22204</v>
      </c>
      <c r="I7328" t="s">
        <v>9580</v>
      </c>
      <c r="J7328" t="s">
        <v>30</v>
      </c>
      <c r="K7328" t="s">
        <v>22205</v>
      </c>
      <c r="M7328" t="s">
        <v>21510</v>
      </c>
      <c r="N7328" t="str">
        <f t="shared" si="110"/>
        <v>9/27/2013 10:57:00 AM</v>
      </c>
      <c r="O7328" t="s">
        <v>22202</v>
      </c>
      <c r="T7328" t="s">
        <v>22203</v>
      </c>
    </row>
    <row r="7329" spans="1:20" x14ac:dyDescent="0.25">
      <c r="A7329" t="str">
        <f>"3055717"</f>
        <v>3055717</v>
      </c>
      <c r="B7329" t="s">
        <v>22209</v>
      </c>
      <c r="C7329" t="str">
        <f t="shared" si="109"/>
        <v>23156000</v>
      </c>
      <c r="D7329" t="s">
        <v>22202</v>
      </c>
      <c r="E7329" t="s">
        <v>22203</v>
      </c>
      <c r="F7329" t="s">
        <v>22204</v>
      </c>
      <c r="I7329" t="s">
        <v>9580</v>
      </c>
      <c r="J7329" t="s">
        <v>30</v>
      </c>
      <c r="K7329" t="s">
        <v>22205</v>
      </c>
      <c r="M7329" t="s">
        <v>21510</v>
      </c>
      <c r="N7329" t="str">
        <f t="shared" si="110"/>
        <v>9/27/2013 10:57:00 AM</v>
      </c>
      <c r="O7329" t="s">
        <v>22202</v>
      </c>
      <c r="T7329" t="s">
        <v>22203</v>
      </c>
    </row>
    <row r="7330" spans="1:20" x14ac:dyDescent="0.25">
      <c r="A7330" t="str">
        <f>"3055711"</f>
        <v>3055711</v>
      </c>
      <c r="B7330" t="s">
        <v>22210</v>
      </c>
      <c r="C7330" t="str">
        <f t="shared" si="109"/>
        <v>23156000</v>
      </c>
      <c r="D7330" t="s">
        <v>22202</v>
      </c>
      <c r="E7330" t="s">
        <v>22203</v>
      </c>
      <c r="F7330" t="s">
        <v>22204</v>
      </c>
      <c r="I7330" t="s">
        <v>9580</v>
      </c>
      <c r="J7330" t="s">
        <v>30</v>
      </c>
      <c r="K7330" t="s">
        <v>22205</v>
      </c>
      <c r="M7330" t="s">
        <v>21510</v>
      </c>
      <c r="N7330" t="str">
        <f t="shared" si="110"/>
        <v>9/27/2013 10:57:00 AM</v>
      </c>
      <c r="O7330" t="s">
        <v>22202</v>
      </c>
      <c r="T7330" t="s">
        <v>22203</v>
      </c>
    </row>
    <row r="7331" spans="1:20" x14ac:dyDescent="0.25">
      <c r="A7331" t="str">
        <f>"3055741"</f>
        <v>3055741</v>
      </c>
      <c r="B7331" t="s">
        <v>22211</v>
      </c>
      <c r="C7331" t="str">
        <f t="shared" si="109"/>
        <v>23156000</v>
      </c>
      <c r="D7331" t="s">
        <v>22202</v>
      </c>
      <c r="E7331" t="s">
        <v>22203</v>
      </c>
      <c r="F7331" t="s">
        <v>22204</v>
      </c>
      <c r="I7331" t="s">
        <v>9580</v>
      </c>
      <c r="J7331" t="s">
        <v>30</v>
      </c>
      <c r="K7331" t="s">
        <v>22205</v>
      </c>
      <c r="M7331" t="s">
        <v>21510</v>
      </c>
      <c r="N7331" t="str">
        <f t="shared" si="110"/>
        <v>9/27/2013 10:57:00 AM</v>
      </c>
      <c r="O7331" t="s">
        <v>22202</v>
      </c>
      <c r="T7331" t="s">
        <v>22203</v>
      </c>
    </row>
    <row r="7332" spans="1:20" x14ac:dyDescent="0.25">
      <c r="A7332" t="str">
        <f>"3056185"</f>
        <v>3056185</v>
      </c>
      <c r="B7332" t="s">
        <v>22212</v>
      </c>
      <c r="C7332" t="str">
        <f t="shared" si="109"/>
        <v>23156000</v>
      </c>
      <c r="D7332" t="s">
        <v>22202</v>
      </c>
      <c r="E7332" t="s">
        <v>22203</v>
      </c>
      <c r="F7332" t="s">
        <v>22204</v>
      </c>
      <c r="I7332" t="s">
        <v>9580</v>
      </c>
      <c r="J7332" t="s">
        <v>30</v>
      </c>
      <c r="K7332" t="s">
        <v>22205</v>
      </c>
      <c r="M7332" t="s">
        <v>21510</v>
      </c>
      <c r="N7332" t="str">
        <f t="shared" si="110"/>
        <v>9/27/2013 10:57:00 AM</v>
      </c>
      <c r="O7332" t="s">
        <v>22202</v>
      </c>
      <c r="T7332" t="s">
        <v>22203</v>
      </c>
    </row>
    <row r="7333" spans="1:20" x14ac:dyDescent="0.25">
      <c r="A7333" t="str">
        <f>"3056177"</f>
        <v>3056177</v>
      </c>
      <c r="B7333" t="s">
        <v>22213</v>
      </c>
      <c r="C7333" t="str">
        <f t="shared" si="109"/>
        <v>23156000</v>
      </c>
      <c r="D7333" t="s">
        <v>22202</v>
      </c>
      <c r="E7333" t="s">
        <v>22203</v>
      </c>
      <c r="F7333" t="s">
        <v>22204</v>
      </c>
      <c r="I7333" t="s">
        <v>9580</v>
      </c>
      <c r="J7333" t="s">
        <v>30</v>
      </c>
      <c r="K7333" t="s">
        <v>22205</v>
      </c>
      <c r="M7333" t="s">
        <v>21510</v>
      </c>
      <c r="N7333" t="str">
        <f t="shared" si="110"/>
        <v>9/27/2013 10:57:00 AM</v>
      </c>
      <c r="O7333" t="s">
        <v>22202</v>
      </c>
      <c r="T7333" t="s">
        <v>22203</v>
      </c>
    </row>
    <row r="7334" spans="1:20" x14ac:dyDescent="0.25">
      <c r="A7334" t="str">
        <f>"3056172"</f>
        <v>3056172</v>
      </c>
      <c r="B7334" t="s">
        <v>22214</v>
      </c>
      <c r="C7334" t="str">
        <f t="shared" si="109"/>
        <v>23156000</v>
      </c>
      <c r="D7334" t="s">
        <v>22202</v>
      </c>
      <c r="E7334" t="s">
        <v>22203</v>
      </c>
      <c r="F7334" t="s">
        <v>22204</v>
      </c>
      <c r="I7334" t="s">
        <v>9580</v>
      </c>
      <c r="J7334" t="s">
        <v>30</v>
      </c>
      <c r="K7334" t="s">
        <v>22205</v>
      </c>
      <c r="M7334" t="s">
        <v>21510</v>
      </c>
      <c r="N7334" t="str">
        <f t="shared" si="110"/>
        <v>9/27/2013 10:57:00 AM</v>
      </c>
      <c r="O7334" t="s">
        <v>22202</v>
      </c>
      <c r="T7334" t="s">
        <v>22203</v>
      </c>
    </row>
    <row r="7335" spans="1:20" x14ac:dyDescent="0.25">
      <c r="A7335" t="str">
        <f>"3056016"</f>
        <v>3056016</v>
      </c>
      <c r="B7335" t="s">
        <v>22215</v>
      </c>
      <c r="C7335" t="str">
        <f t="shared" si="109"/>
        <v>23156000</v>
      </c>
      <c r="D7335" t="s">
        <v>22202</v>
      </c>
      <c r="E7335" t="s">
        <v>22203</v>
      </c>
      <c r="F7335" t="s">
        <v>22204</v>
      </c>
      <c r="I7335" t="s">
        <v>9580</v>
      </c>
      <c r="J7335" t="s">
        <v>30</v>
      </c>
      <c r="K7335" t="s">
        <v>22205</v>
      </c>
      <c r="M7335" t="s">
        <v>21510</v>
      </c>
      <c r="N7335" t="str">
        <f t="shared" si="110"/>
        <v>9/27/2013 10:57:00 AM</v>
      </c>
      <c r="O7335" t="s">
        <v>22202</v>
      </c>
      <c r="T7335" t="s">
        <v>22203</v>
      </c>
    </row>
    <row r="7336" spans="1:20" x14ac:dyDescent="0.25">
      <c r="A7336" t="str">
        <f>"3057094"</f>
        <v>3057094</v>
      </c>
      <c r="B7336" t="s">
        <v>22216</v>
      </c>
      <c r="C7336" t="str">
        <f t="shared" si="109"/>
        <v>23156000</v>
      </c>
      <c r="D7336" t="s">
        <v>22202</v>
      </c>
      <c r="E7336" t="s">
        <v>22203</v>
      </c>
      <c r="F7336" t="s">
        <v>22204</v>
      </c>
      <c r="I7336" t="s">
        <v>9580</v>
      </c>
      <c r="J7336" t="s">
        <v>30</v>
      </c>
      <c r="K7336" t="s">
        <v>22205</v>
      </c>
      <c r="M7336" t="s">
        <v>21510</v>
      </c>
      <c r="N7336" t="str">
        <f t="shared" si="110"/>
        <v>9/27/2013 10:57:00 AM</v>
      </c>
      <c r="O7336" t="s">
        <v>22202</v>
      </c>
      <c r="T7336" t="s">
        <v>22203</v>
      </c>
    </row>
    <row r="7337" spans="1:20" x14ac:dyDescent="0.25">
      <c r="A7337" t="str">
        <f>"3059809"</f>
        <v>3059809</v>
      </c>
      <c r="B7337" t="s">
        <v>22217</v>
      </c>
      <c r="C7337" t="str">
        <f t="shared" si="109"/>
        <v>23156000</v>
      </c>
      <c r="D7337" t="s">
        <v>22202</v>
      </c>
      <c r="E7337" t="s">
        <v>22203</v>
      </c>
      <c r="F7337" t="s">
        <v>22204</v>
      </c>
      <c r="I7337" t="s">
        <v>9580</v>
      </c>
      <c r="J7337" t="s">
        <v>30</v>
      </c>
      <c r="K7337" t="s">
        <v>22205</v>
      </c>
      <c r="M7337" t="s">
        <v>21510</v>
      </c>
      <c r="N7337" t="str">
        <f t="shared" si="110"/>
        <v>9/27/2013 10:57:00 AM</v>
      </c>
      <c r="O7337" t="s">
        <v>22202</v>
      </c>
      <c r="T7337" t="s">
        <v>22203</v>
      </c>
    </row>
    <row r="7338" spans="1:20" x14ac:dyDescent="0.25">
      <c r="A7338" t="str">
        <f>"3059793"</f>
        <v>3059793</v>
      </c>
      <c r="B7338" t="s">
        <v>22218</v>
      </c>
      <c r="C7338" t="str">
        <f t="shared" si="109"/>
        <v>23156000</v>
      </c>
      <c r="D7338" t="s">
        <v>22202</v>
      </c>
      <c r="E7338" t="s">
        <v>22203</v>
      </c>
      <c r="F7338" t="s">
        <v>22204</v>
      </c>
      <c r="I7338" t="s">
        <v>9580</v>
      </c>
      <c r="J7338" t="s">
        <v>30</v>
      </c>
      <c r="K7338" t="s">
        <v>22205</v>
      </c>
      <c r="M7338" t="s">
        <v>21510</v>
      </c>
      <c r="N7338" t="str">
        <f t="shared" si="110"/>
        <v>9/27/2013 10:57:00 AM</v>
      </c>
      <c r="O7338" t="s">
        <v>22202</v>
      </c>
      <c r="T7338" t="s">
        <v>22203</v>
      </c>
    </row>
    <row r="7339" spans="1:20" x14ac:dyDescent="0.25">
      <c r="A7339" t="str">
        <f>"3078487"</f>
        <v>3078487</v>
      </c>
      <c r="B7339" t="s">
        <v>22219</v>
      </c>
      <c r="C7339" t="str">
        <f t="shared" si="109"/>
        <v>23156000</v>
      </c>
      <c r="D7339" t="s">
        <v>22202</v>
      </c>
      <c r="E7339" t="s">
        <v>22203</v>
      </c>
      <c r="F7339" t="s">
        <v>22204</v>
      </c>
      <c r="I7339" t="s">
        <v>9580</v>
      </c>
      <c r="J7339" t="s">
        <v>30</v>
      </c>
      <c r="K7339" t="s">
        <v>22205</v>
      </c>
      <c r="M7339" t="s">
        <v>21510</v>
      </c>
      <c r="N7339" t="str">
        <f t="shared" si="110"/>
        <v>9/27/2013 10:57:00 AM</v>
      </c>
      <c r="O7339" t="s">
        <v>22202</v>
      </c>
      <c r="T7339" t="s">
        <v>22203</v>
      </c>
    </row>
    <row r="7340" spans="1:20" x14ac:dyDescent="0.25">
      <c r="A7340" t="str">
        <f>"3078548"</f>
        <v>3078548</v>
      </c>
      <c r="B7340" t="s">
        <v>22220</v>
      </c>
      <c r="C7340" t="str">
        <f t="shared" si="109"/>
        <v>23156000</v>
      </c>
      <c r="D7340" t="s">
        <v>22202</v>
      </c>
      <c r="E7340" t="s">
        <v>22203</v>
      </c>
      <c r="F7340" t="s">
        <v>22204</v>
      </c>
      <c r="I7340" t="s">
        <v>9580</v>
      </c>
      <c r="J7340" t="s">
        <v>30</v>
      </c>
      <c r="K7340" t="s">
        <v>22205</v>
      </c>
      <c r="M7340" t="s">
        <v>21510</v>
      </c>
      <c r="N7340" t="str">
        <f t="shared" si="110"/>
        <v>9/27/2013 10:57:00 AM</v>
      </c>
      <c r="O7340" t="s">
        <v>22202</v>
      </c>
      <c r="T7340" t="s">
        <v>22203</v>
      </c>
    </row>
    <row r="7341" spans="1:20" x14ac:dyDescent="0.25">
      <c r="A7341" t="str">
        <f>"3059675"</f>
        <v>3059675</v>
      </c>
      <c r="B7341" t="s">
        <v>22221</v>
      </c>
      <c r="C7341" t="str">
        <f>"8302158"</f>
        <v>8302158</v>
      </c>
      <c r="D7341" t="s">
        <v>22222</v>
      </c>
      <c r="E7341" t="s">
        <v>22223</v>
      </c>
      <c r="F7341" t="s">
        <v>22224</v>
      </c>
      <c r="I7341" t="s">
        <v>29</v>
      </c>
      <c r="J7341" t="s">
        <v>30</v>
      </c>
      <c r="K7341" t="str">
        <f>"27028"</f>
        <v>27028</v>
      </c>
      <c r="M7341" t="s">
        <v>20015</v>
      </c>
      <c r="N7341" t="str">
        <f>"9/11/2013 10:02:00 AM"</f>
        <v>9/11/2013 10:02:00 AM</v>
      </c>
      <c r="O7341" t="s">
        <v>22222</v>
      </c>
      <c r="T7341" t="s">
        <v>22223</v>
      </c>
    </row>
    <row r="7342" spans="1:20" x14ac:dyDescent="0.25">
      <c r="A7342" t="str">
        <f>"3057542"</f>
        <v>3057542</v>
      </c>
      <c r="B7342" t="s">
        <v>22225</v>
      </c>
      <c r="C7342" t="str">
        <f>"82520305"</f>
        <v>82520305</v>
      </c>
      <c r="D7342" t="s">
        <v>22226</v>
      </c>
      <c r="F7342" t="s">
        <v>22227</v>
      </c>
      <c r="I7342" t="s">
        <v>29</v>
      </c>
      <c r="J7342" t="s">
        <v>30</v>
      </c>
      <c r="K7342" t="s">
        <v>31</v>
      </c>
      <c r="M7342" t="s">
        <v>18432</v>
      </c>
      <c r="N7342" t="str">
        <f>"10/1/2013 1:28:00 PM"</f>
        <v>10/1/2013 1:28:00 PM</v>
      </c>
      <c r="O7342" t="s">
        <v>22226</v>
      </c>
    </row>
    <row r="7343" spans="1:20" x14ac:dyDescent="0.25">
      <c r="A7343" t="str">
        <f>"3061488"</f>
        <v>3061488</v>
      </c>
      <c r="B7343" t="s">
        <v>22228</v>
      </c>
      <c r="C7343" t="str">
        <f>"8302597"</f>
        <v>8302597</v>
      </c>
      <c r="D7343" t="s">
        <v>22229</v>
      </c>
      <c r="F7343" t="s">
        <v>22230</v>
      </c>
      <c r="I7343" t="s">
        <v>184</v>
      </c>
      <c r="J7343" t="s">
        <v>30</v>
      </c>
      <c r="K7343" t="str">
        <f>"27006"</f>
        <v>27006</v>
      </c>
      <c r="M7343" t="s">
        <v>17861</v>
      </c>
      <c r="N7343" t="str">
        <f>"10/1/2013 1:31:00 PM"</f>
        <v>10/1/2013 1:31:00 PM</v>
      </c>
      <c r="O7343" t="s">
        <v>22229</v>
      </c>
    </row>
    <row r="7344" spans="1:20" x14ac:dyDescent="0.25">
      <c r="A7344" t="str">
        <f>"3101684"</f>
        <v>3101684</v>
      </c>
      <c r="B7344" t="s">
        <v>22231</v>
      </c>
      <c r="C7344" t="str">
        <f>"8302599"</f>
        <v>8302599</v>
      </c>
      <c r="D7344" t="s">
        <v>22232</v>
      </c>
      <c r="E7344" t="s">
        <v>17584</v>
      </c>
      <c r="F7344" t="s">
        <v>22233</v>
      </c>
      <c r="I7344" t="s">
        <v>29</v>
      </c>
      <c r="J7344" t="s">
        <v>30</v>
      </c>
      <c r="K7344" t="str">
        <f>"27028"</f>
        <v>27028</v>
      </c>
      <c r="M7344" t="s">
        <v>17861</v>
      </c>
      <c r="N7344" t="str">
        <f>"10/1/2013 1:53:00 PM"</f>
        <v>10/1/2013 1:53:00 PM</v>
      </c>
      <c r="O7344" t="s">
        <v>22232</v>
      </c>
      <c r="T7344" t="s">
        <v>17584</v>
      </c>
    </row>
    <row r="7345" spans="1:20" x14ac:dyDescent="0.25">
      <c r="A7345" t="str">
        <f>"3056460"</f>
        <v>3056460</v>
      </c>
      <c r="B7345" t="s">
        <v>22234</v>
      </c>
      <c r="C7345" t="str">
        <f>"82514579"</f>
        <v>82514579</v>
      </c>
      <c r="D7345" t="s">
        <v>22235</v>
      </c>
      <c r="E7345" t="s">
        <v>22236</v>
      </c>
      <c r="F7345" t="s">
        <v>22237</v>
      </c>
      <c r="I7345" t="s">
        <v>29</v>
      </c>
      <c r="J7345" t="s">
        <v>30</v>
      </c>
      <c r="K7345" t="str">
        <f>"27028"</f>
        <v>27028</v>
      </c>
      <c r="M7345" t="s">
        <v>20015</v>
      </c>
      <c r="N7345" t="str">
        <f>"9/11/2013 1:57:00 PM"</f>
        <v>9/11/2013 1:57:00 PM</v>
      </c>
      <c r="O7345" t="s">
        <v>22235</v>
      </c>
      <c r="T7345" t="s">
        <v>22236</v>
      </c>
    </row>
    <row r="7346" spans="1:20" x14ac:dyDescent="0.25">
      <c r="A7346" t="str">
        <f>"3062493"</f>
        <v>3062493</v>
      </c>
      <c r="B7346" t="s">
        <v>22238</v>
      </c>
      <c r="C7346" t="str">
        <f>"8302602"</f>
        <v>8302602</v>
      </c>
      <c r="D7346" t="s">
        <v>22239</v>
      </c>
      <c r="F7346" t="s">
        <v>22240</v>
      </c>
      <c r="I7346" t="s">
        <v>184</v>
      </c>
      <c r="J7346" t="s">
        <v>30</v>
      </c>
      <c r="K7346" t="str">
        <f>"27006"</f>
        <v>27006</v>
      </c>
      <c r="M7346" t="s">
        <v>17861</v>
      </c>
      <c r="N7346" t="str">
        <f>"10/1/2013 2:06:00 PM"</f>
        <v>10/1/2013 2:06:00 PM</v>
      </c>
      <c r="O7346" t="s">
        <v>22239</v>
      </c>
    </row>
    <row r="7347" spans="1:20" x14ac:dyDescent="0.25">
      <c r="A7347" t="str">
        <f>"3057920"</f>
        <v>3057920</v>
      </c>
      <c r="B7347" t="s">
        <v>22241</v>
      </c>
      <c r="C7347" t="str">
        <f>"8302607"</f>
        <v>8302607</v>
      </c>
      <c r="D7347" t="s">
        <v>22242</v>
      </c>
      <c r="E7347" t="s">
        <v>22243</v>
      </c>
      <c r="F7347" t="s">
        <v>22244</v>
      </c>
      <c r="I7347" t="s">
        <v>184</v>
      </c>
      <c r="J7347" t="s">
        <v>30</v>
      </c>
      <c r="K7347" t="str">
        <f>"27006"</f>
        <v>27006</v>
      </c>
      <c r="M7347" t="s">
        <v>17861</v>
      </c>
      <c r="N7347" t="str">
        <f>"10/1/2013 4:58:00 PM"</f>
        <v>10/1/2013 4:58:00 PM</v>
      </c>
      <c r="O7347" t="s">
        <v>22242</v>
      </c>
      <c r="T7347" t="s">
        <v>22243</v>
      </c>
    </row>
    <row r="7348" spans="1:20" x14ac:dyDescent="0.25">
      <c r="A7348" t="str">
        <f>"3061682"</f>
        <v>3061682</v>
      </c>
      <c r="B7348" t="s">
        <v>22245</v>
      </c>
      <c r="C7348" t="str">
        <f>"82531377"</f>
        <v>82531377</v>
      </c>
      <c r="D7348" t="s">
        <v>22246</v>
      </c>
      <c r="E7348" t="s">
        <v>22247</v>
      </c>
      <c r="F7348" t="s">
        <v>22248</v>
      </c>
      <c r="I7348" t="s">
        <v>2071</v>
      </c>
      <c r="J7348" t="s">
        <v>30</v>
      </c>
      <c r="K7348" t="s">
        <v>185</v>
      </c>
      <c r="M7348" t="s">
        <v>20015</v>
      </c>
      <c r="N7348" t="str">
        <f>"9/12/2013 9:26:00 AM"</f>
        <v>9/12/2013 9:26:00 AM</v>
      </c>
      <c r="O7348" t="s">
        <v>22246</v>
      </c>
      <c r="T7348" t="s">
        <v>22247</v>
      </c>
    </row>
    <row r="7349" spans="1:20" x14ac:dyDescent="0.25">
      <c r="A7349" t="str">
        <f>"3055724"</f>
        <v>3055724</v>
      </c>
      <c r="B7349" t="s">
        <v>22249</v>
      </c>
      <c r="C7349" t="str">
        <f>"8302619"</f>
        <v>8302619</v>
      </c>
      <c r="D7349" t="s">
        <v>22250</v>
      </c>
      <c r="F7349" t="s">
        <v>22251</v>
      </c>
      <c r="I7349" t="s">
        <v>184</v>
      </c>
      <c r="J7349" t="s">
        <v>30</v>
      </c>
      <c r="K7349" t="str">
        <f>"27006"</f>
        <v>27006</v>
      </c>
      <c r="M7349" t="s">
        <v>17861</v>
      </c>
      <c r="N7349" t="str">
        <f>"10/2/2013 4:03:00 PM"</f>
        <v>10/2/2013 4:03:00 PM</v>
      </c>
      <c r="O7349" t="s">
        <v>22250</v>
      </c>
    </row>
    <row r="7350" spans="1:20" x14ac:dyDescent="0.25">
      <c r="A7350" t="str">
        <f>"3042003"</f>
        <v>3042003</v>
      </c>
      <c r="B7350" t="s">
        <v>22252</v>
      </c>
      <c r="C7350" t="str">
        <f>"8302622"</f>
        <v>8302622</v>
      </c>
      <c r="D7350" t="s">
        <v>22253</v>
      </c>
      <c r="E7350" t="s">
        <v>22254</v>
      </c>
      <c r="F7350" t="s">
        <v>22255</v>
      </c>
      <c r="I7350" t="s">
        <v>9842</v>
      </c>
      <c r="J7350" t="s">
        <v>30</v>
      </c>
      <c r="K7350" t="str">
        <f>"28678"</f>
        <v>28678</v>
      </c>
      <c r="M7350" t="s">
        <v>17861</v>
      </c>
      <c r="N7350" t="str">
        <f>"10/2/2013 4:16:00 PM"</f>
        <v>10/2/2013 4:16:00 PM</v>
      </c>
      <c r="O7350" t="s">
        <v>22253</v>
      </c>
      <c r="T7350" t="s">
        <v>22254</v>
      </c>
    </row>
    <row r="7351" spans="1:20" x14ac:dyDescent="0.25">
      <c r="A7351" t="str">
        <f>"3041980"</f>
        <v>3041980</v>
      </c>
      <c r="B7351" t="s">
        <v>22256</v>
      </c>
      <c r="C7351" t="str">
        <f>"8302622"</f>
        <v>8302622</v>
      </c>
      <c r="D7351" t="s">
        <v>22253</v>
      </c>
      <c r="E7351" t="s">
        <v>22254</v>
      </c>
      <c r="F7351" t="s">
        <v>22255</v>
      </c>
      <c r="I7351" t="s">
        <v>9842</v>
      </c>
      <c r="J7351" t="s">
        <v>30</v>
      </c>
      <c r="K7351" t="str">
        <f>"28678"</f>
        <v>28678</v>
      </c>
      <c r="M7351" t="s">
        <v>17861</v>
      </c>
      <c r="N7351" t="str">
        <f>"10/2/2013 4:16:00 PM"</f>
        <v>10/2/2013 4:16:00 PM</v>
      </c>
      <c r="O7351" t="s">
        <v>22253</v>
      </c>
      <c r="T7351" t="s">
        <v>22254</v>
      </c>
    </row>
    <row r="7352" spans="1:20" x14ac:dyDescent="0.25">
      <c r="A7352" t="str">
        <f>"3062589"</f>
        <v>3062589</v>
      </c>
      <c r="B7352" t="s">
        <v>22257</v>
      </c>
      <c r="C7352" t="str">
        <f>"82530870"</f>
        <v>82530870</v>
      </c>
      <c r="D7352" t="s">
        <v>22258</v>
      </c>
      <c r="F7352" t="str">
        <f>"C/O JILL LINDBLADE"</f>
        <v>C/O JILL LINDBLADE</v>
      </c>
      <c r="G7352" t="s">
        <v>22259</v>
      </c>
      <c r="I7352" t="s">
        <v>22260</v>
      </c>
      <c r="J7352" t="s">
        <v>3737</v>
      </c>
      <c r="K7352" t="s">
        <v>22261</v>
      </c>
      <c r="M7352" t="s">
        <v>20015</v>
      </c>
      <c r="N7352" t="str">
        <f>"9/12/2013 9:27:00 AM"</f>
        <v>9/12/2013 9:27:00 AM</v>
      </c>
      <c r="O7352" t="s">
        <v>22258</v>
      </c>
    </row>
    <row r="7353" spans="1:20" x14ac:dyDescent="0.25">
      <c r="A7353" t="str">
        <f>"3052491"</f>
        <v>3052491</v>
      </c>
      <c r="B7353" t="s">
        <v>22262</v>
      </c>
      <c r="C7353" t="str">
        <f>"62146000"</f>
        <v>62146000</v>
      </c>
      <c r="D7353" t="s">
        <v>22263</v>
      </c>
      <c r="F7353" t="s">
        <v>22264</v>
      </c>
      <c r="I7353" t="s">
        <v>29</v>
      </c>
      <c r="J7353" t="s">
        <v>30</v>
      </c>
      <c r="K7353" t="str">
        <f>"27028"</f>
        <v>27028</v>
      </c>
      <c r="M7353" t="s">
        <v>20015</v>
      </c>
      <c r="N7353" t="str">
        <f>"9/12/2013 9:47:00 AM"</f>
        <v>9/12/2013 9:47:00 AM</v>
      </c>
      <c r="O7353" t="s">
        <v>22263</v>
      </c>
    </row>
    <row r="7354" spans="1:20" x14ac:dyDescent="0.25">
      <c r="A7354" t="str">
        <f>"3050449"</f>
        <v>3050449</v>
      </c>
      <c r="B7354" t="s">
        <v>22265</v>
      </c>
      <c r="C7354" t="str">
        <f>"8302627"</f>
        <v>8302627</v>
      </c>
      <c r="D7354" t="s">
        <v>22266</v>
      </c>
      <c r="F7354" t="s">
        <v>14324</v>
      </c>
      <c r="I7354" t="s">
        <v>184</v>
      </c>
      <c r="J7354" t="s">
        <v>30</v>
      </c>
      <c r="K7354" t="str">
        <f>"27006"</f>
        <v>27006</v>
      </c>
      <c r="M7354" t="s">
        <v>17861</v>
      </c>
      <c r="N7354" t="str">
        <f>"10/4/2013 4:41:00 PM"</f>
        <v>10/4/2013 4:41:00 PM</v>
      </c>
      <c r="O7354" t="s">
        <v>22266</v>
      </c>
    </row>
    <row r="7355" spans="1:20" x14ac:dyDescent="0.25">
      <c r="A7355" t="str">
        <f>"3057850"</f>
        <v>3057850</v>
      </c>
      <c r="B7355" t="s">
        <v>22267</v>
      </c>
      <c r="C7355" t="str">
        <f>"8300446"</f>
        <v>8300446</v>
      </c>
      <c r="D7355" t="s">
        <v>22268</v>
      </c>
      <c r="F7355" t="s">
        <v>22269</v>
      </c>
      <c r="I7355" t="s">
        <v>402</v>
      </c>
      <c r="J7355" t="s">
        <v>30</v>
      </c>
      <c r="K7355" t="s">
        <v>403</v>
      </c>
      <c r="M7355" t="s">
        <v>22270</v>
      </c>
      <c r="N7355" t="str">
        <f>"10/7/2013 11:37:00 AM"</f>
        <v>10/7/2013 11:37:00 AM</v>
      </c>
      <c r="O7355" t="s">
        <v>22268</v>
      </c>
    </row>
    <row r="7356" spans="1:20" x14ac:dyDescent="0.25">
      <c r="A7356" t="str">
        <f>"3061503"</f>
        <v>3061503</v>
      </c>
      <c r="B7356" t="s">
        <v>22271</v>
      </c>
      <c r="C7356" t="str">
        <f>"8301426"</f>
        <v>8301426</v>
      </c>
      <c r="D7356" t="s">
        <v>22272</v>
      </c>
      <c r="E7356" t="s">
        <v>22273</v>
      </c>
      <c r="F7356" t="s">
        <v>22274</v>
      </c>
      <c r="I7356" t="s">
        <v>184</v>
      </c>
      <c r="J7356" t="s">
        <v>30</v>
      </c>
      <c r="K7356" t="str">
        <f>"27006"</f>
        <v>27006</v>
      </c>
      <c r="M7356" t="s">
        <v>18513</v>
      </c>
      <c r="N7356" t="str">
        <f>"9/12/2013 10:06:00 AM"</f>
        <v>9/12/2013 10:06:00 AM</v>
      </c>
      <c r="O7356" t="s">
        <v>22272</v>
      </c>
      <c r="T7356" t="s">
        <v>22273</v>
      </c>
    </row>
    <row r="7357" spans="1:20" x14ac:dyDescent="0.25">
      <c r="A7357" t="str">
        <f>"3038341"</f>
        <v>3038341</v>
      </c>
      <c r="B7357" t="s">
        <v>22275</v>
      </c>
      <c r="C7357" t="str">
        <f>"8302637"</f>
        <v>8302637</v>
      </c>
      <c r="D7357" t="s">
        <v>22276</v>
      </c>
      <c r="F7357" t="s">
        <v>22277</v>
      </c>
      <c r="I7357" t="s">
        <v>29</v>
      </c>
      <c r="J7357" t="s">
        <v>30</v>
      </c>
      <c r="K7357" t="str">
        <f>"27028"</f>
        <v>27028</v>
      </c>
      <c r="M7357" t="s">
        <v>17861</v>
      </c>
      <c r="N7357" t="str">
        <f>"10/7/2013 3:37:00 PM"</f>
        <v>10/7/2013 3:37:00 PM</v>
      </c>
      <c r="O7357" t="s">
        <v>22276</v>
      </c>
    </row>
    <row r="7358" spans="1:20" x14ac:dyDescent="0.25">
      <c r="A7358" t="str">
        <f>"3053327"</f>
        <v>3053327</v>
      </c>
      <c r="B7358" t="s">
        <v>22278</v>
      </c>
      <c r="C7358" t="str">
        <f>"8302638"</f>
        <v>8302638</v>
      </c>
      <c r="D7358" t="s">
        <v>22279</v>
      </c>
      <c r="E7358" t="s">
        <v>22280</v>
      </c>
      <c r="F7358" t="s">
        <v>22281</v>
      </c>
      <c r="I7358" t="s">
        <v>29</v>
      </c>
      <c r="J7358" t="s">
        <v>30</v>
      </c>
      <c r="K7358" t="str">
        <f>"27028"</f>
        <v>27028</v>
      </c>
      <c r="M7358" t="s">
        <v>17861</v>
      </c>
      <c r="N7358" t="str">
        <f>"10/7/2013 3:41:00 PM"</f>
        <v>10/7/2013 3:41:00 PM</v>
      </c>
      <c r="O7358" t="s">
        <v>22279</v>
      </c>
      <c r="T7358" t="s">
        <v>22280</v>
      </c>
    </row>
    <row r="7359" spans="1:20" x14ac:dyDescent="0.25">
      <c r="A7359" t="str">
        <f>"3053737"</f>
        <v>3053737</v>
      </c>
      <c r="B7359" t="s">
        <v>22282</v>
      </c>
      <c r="C7359" t="str">
        <f>"8302638"</f>
        <v>8302638</v>
      </c>
      <c r="D7359" t="s">
        <v>22279</v>
      </c>
      <c r="E7359" t="s">
        <v>22280</v>
      </c>
      <c r="F7359" t="s">
        <v>22281</v>
      </c>
      <c r="I7359" t="s">
        <v>29</v>
      </c>
      <c r="J7359" t="s">
        <v>30</v>
      </c>
      <c r="K7359" t="str">
        <f>"27028"</f>
        <v>27028</v>
      </c>
      <c r="M7359" t="s">
        <v>17861</v>
      </c>
      <c r="N7359" t="str">
        <f>"10/7/2013 3:41:00 PM"</f>
        <v>10/7/2013 3:41:00 PM</v>
      </c>
      <c r="O7359" t="s">
        <v>22279</v>
      </c>
      <c r="T7359" t="s">
        <v>22280</v>
      </c>
    </row>
    <row r="7360" spans="1:20" x14ac:dyDescent="0.25">
      <c r="A7360" t="str">
        <f>"3050658"</f>
        <v>3050658</v>
      </c>
      <c r="B7360" t="s">
        <v>22283</v>
      </c>
      <c r="C7360" t="str">
        <f>"8302639"</f>
        <v>8302639</v>
      </c>
      <c r="D7360" t="s">
        <v>22284</v>
      </c>
      <c r="E7360" t="s">
        <v>22285</v>
      </c>
      <c r="F7360" t="s">
        <v>22286</v>
      </c>
      <c r="I7360" t="s">
        <v>184</v>
      </c>
      <c r="J7360" t="s">
        <v>30</v>
      </c>
      <c r="K7360" t="str">
        <f>"27006"</f>
        <v>27006</v>
      </c>
      <c r="M7360" t="s">
        <v>17861</v>
      </c>
      <c r="N7360" t="str">
        <f>"10/7/2013 3:53:00 PM"</f>
        <v>10/7/2013 3:53:00 PM</v>
      </c>
      <c r="O7360" t="s">
        <v>22284</v>
      </c>
      <c r="T7360" t="s">
        <v>22285</v>
      </c>
    </row>
    <row r="7361" spans="1:20" x14ac:dyDescent="0.25">
      <c r="A7361" t="str">
        <f>"3057531"</f>
        <v>3057531</v>
      </c>
      <c r="B7361" t="s">
        <v>22287</v>
      </c>
      <c r="C7361" t="str">
        <f>"8302641"</f>
        <v>8302641</v>
      </c>
      <c r="D7361" t="s">
        <v>22288</v>
      </c>
      <c r="F7361" t="s">
        <v>22289</v>
      </c>
      <c r="I7361" t="s">
        <v>29</v>
      </c>
      <c r="J7361" t="s">
        <v>30</v>
      </c>
      <c r="K7361" t="str">
        <f>"27028"</f>
        <v>27028</v>
      </c>
      <c r="M7361" t="s">
        <v>17861</v>
      </c>
      <c r="N7361" t="str">
        <f>"10/7/2013 4:09:00 PM"</f>
        <v>10/7/2013 4:09:00 PM</v>
      </c>
      <c r="O7361" t="s">
        <v>22288</v>
      </c>
    </row>
    <row r="7362" spans="1:20" x14ac:dyDescent="0.25">
      <c r="A7362" t="str">
        <f>"3038401"</f>
        <v>3038401</v>
      </c>
      <c r="B7362" t="s">
        <v>22290</v>
      </c>
      <c r="C7362" t="str">
        <f>"8302643"</f>
        <v>8302643</v>
      </c>
      <c r="D7362" t="s">
        <v>22291</v>
      </c>
      <c r="E7362" t="s">
        <v>22292</v>
      </c>
      <c r="F7362" t="s">
        <v>22293</v>
      </c>
      <c r="I7362" t="s">
        <v>29</v>
      </c>
      <c r="J7362" t="s">
        <v>30</v>
      </c>
      <c r="K7362" t="str">
        <f>"27028"</f>
        <v>27028</v>
      </c>
      <c r="M7362" t="s">
        <v>17861</v>
      </c>
      <c r="N7362" t="str">
        <f>"10/7/2013 4:31:00 PM"</f>
        <v>10/7/2013 4:31:00 PM</v>
      </c>
      <c r="O7362" t="s">
        <v>22291</v>
      </c>
      <c r="T7362" t="s">
        <v>22292</v>
      </c>
    </row>
    <row r="7363" spans="1:20" x14ac:dyDescent="0.25">
      <c r="A7363" t="str">
        <f>"3056750"</f>
        <v>3056750</v>
      </c>
      <c r="B7363" t="s">
        <v>22294</v>
      </c>
      <c r="C7363" t="str">
        <f>"82530671"</f>
        <v>82530671</v>
      </c>
      <c r="D7363" t="s">
        <v>22295</v>
      </c>
      <c r="E7363" t="s">
        <v>22296</v>
      </c>
      <c r="F7363" t="s">
        <v>22297</v>
      </c>
      <c r="I7363" t="s">
        <v>29</v>
      </c>
      <c r="J7363" t="s">
        <v>30</v>
      </c>
      <c r="K7363" t="s">
        <v>22298</v>
      </c>
      <c r="M7363" t="s">
        <v>18513</v>
      </c>
      <c r="N7363" t="str">
        <f>"9/13/2013 10:33:00 AM"</f>
        <v>9/13/2013 10:33:00 AM</v>
      </c>
      <c r="O7363" t="s">
        <v>22295</v>
      </c>
      <c r="T7363" t="s">
        <v>22296</v>
      </c>
    </row>
    <row r="7364" spans="1:20" x14ac:dyDescent="0.25">
      <c r="A7364" t="str">
        <f>"3062241"</f>
        <v>3062241</v>
      </c>
      <c r="B7364" t="s">
        <v>22299</v>
      </c>
      <c r="C7364" t="str">
        <f>"13176000"</f>
        <v>13176000</v>
      </c>
      <c r="D7364" t="s">
        <v>22300</v>
      </c>
      <c r="E7364" t="s">
        <v>22301</v>
      </c>
      <c r="F7364" t="s">
        <v>22302</v>
      </c>
      <c r="I7364" t="s">
        <v>2071</v>
      </c>
      <c r="J7364" t="s">
        <v>30</v>
      </c>
      <c r="K7364" t="str">
        <f>"27006"</f>
        <v>27006</v>
      </c>
      <c r="M7364" t="s">
        <v>22270</v>
      </c>
      <c r="N7364" t="str">
        <f>"10/9/2013 10:10:00 AM"</f>
        <v>10/9/2013 10:10:00 AM</v>
      </c>
      <c r="O7364" t="s">
        <v>22300</v>
      </c>
      <c r="T7364" t="s">
        <v>22301</v>
      </c>
    </row>
    <row r="7365" spans="1:20" x14ac:dyDescent="0.25">
      <c r="A7365" t="str">
        <f>"3064023"</f>
        <v>3064023</v>
      </c>
      <c r="B7365" t="s">
        <v>22303</v>
      </c>
      <c r="C7365" t="str">
        <f>"21565750"</f>
        <v>21565750</v>
      </c>
      <c r="D7365" t="s">
        <v>22304</v>
      </c>
      <c r="E7365" t="s">
        <v>22305</v>
      </c>
      <c r="F7365" t="s">
        <v>22306</v>
      </c>
      <c r="I7365" t="s">
        <v>29</v>
      </c>
      <c r="J7365" t="s">
        <v>30</v>
      </c>
      <c r="K7365" t="s">
        <v>31</v>
      </c>
      <c r="M7365" t="s">
        <v>18513</v>
      </c>
      <c r="N7365" t="str">
        <f>"10/9/2013 10:49:00 AM"</f>
        <v>10/9/2013 10:49:00 AM</v>
      </c>
      <c r="O7365" t="s">
        <v>22304</v>
      </c>
      <c r="T7365" t="s">
        <v>22305</v>
      </c>
    </row>
    <row r="7366" spans="1:20" x14ac:dyDescent="0.25">
      <c r="A7366" t="str">
        <f>"3038625"</f>
        <v>3038625</v>
      </c>
      <c r="B7366" t="s">
        <v>22307</v>
      </c>
      <c r="C7366" t="str">
        <f>"8302493"</f>
        <v>8302493</v>
      </c>
      <c r="D7366" t="s">
        <v>22308</v>
      </c>
      <c r="F7366" t="s">
        <v>22309</v>
      </c>
      <c r="I7366" t="s">
        <v>49</v>
      </c>
      <c r="J7366" t="s">
        <v>30</v>
      </c>
      <c r="K7366" t="str">
        <f>"27055"</f>
        <v>27055</v>
      </c>
      <c r="M7366" t="s">
        <v>17861</v>
      </c>
      <c r="N7366" t="str">
        <f>"8/22/2013 4:28:00 PM"</f>
        <v>8/22/2013 4:28:00 PM</v>
      </c>
      <c r="O7366" t="s">
        <v>22308</v>
      </c>
    </row>
    <row r="7367" spans="1:20" x14ac:dyDescent="0.25">
      <c r="A7367" t="str">
        <f>"3041628"</f>
        <v>3041628</v>
      </c>
      <c r="B7367" t="s">
        <v>22310</v>
      </c>
      <c r="C7367" t="str">
        <f>"8302649"</f>
        <v>8302649</v>
      </c>
      <c r="D7367" t="s">
        <v>22311</v>
      </c>
      <c r="E7367" t="s">
        <v>22312</v>
      </c>
      <c r="F7367" t="s">
        <v>22313</v>
      </c>
      <c r="I7367" t="s">
        <v>2071</v>
      </c>
      <c r="J7367" t="s">
        <v>30</v>
      </c>
      <c r="K7367" t="str">
        <f>"27006"</f>
        <v>27006</v>
      </c>
      <c r="M7367" t="s">
        <v>17861</v>
      </c>
      <c r="N7367" t="str">
        <f>"10/14/2013 1:48:00 PM"</f>
        <v>10/14/2013 1:48:00 PM</v>
      </c>
      <c r="O7367" t="s">
        <v>22311</v>
      </c>
      <c r="T7367" t="s">
        <v>22312</v>
      </c>
    </row>
    <row r="7368" spans="1:20" x14ac:dyDescent="0.25">
      <c r="A7368" t="str">
        <f>"3056393"</f>
        <v>3056393</v>
      </c>
      <c r="B7368" t="s">
        <v>22314</v>
      </c>
      <c r="C7368" t="str">
        <f>"8302652"</f>
        <v>8302652</v>
      </c>
      <c r="D7368" t="s">
        <v>22315</v>
      </c>
      <c r="F7368" t="s">
        <v>22316</v>
      </c>
      <c r="I7368" t="s">
        <v>964</v>
      </c>
      <c r="J7368" t="s">
        <v>30</v>
      </c>
      <c r="K7368" t="str">
        <f>"28145"</f>
        <v>28145</v>
      </c>
      <c r="M7368" t="s">
        <v>17861</v>
      </c>
      <c r="N7368" t="str">
        <f>"10/14/2013 2:35:00 PM"</f>
        <v>10/14/2013 2:35:00 PM</v>
      </c>
      <c r="O7368" t="s">
        <v>22315</v>
      </c>
    </row>
    <row r="7369" spans="1:20" x14ac:dyDescent="0.25">
      <c r="A7369" t="str">
        <f>"3041158"</f>
        <v>3041158</v>
      </c>
      <c r="B7369" t="s">
        <v>22317</v>
      </c>
      <c r="C7369" t="str">
        <f>"8302656"</f>
        <v>8302656</v>
      </c>
      <c r="D7369" t="s">
        <v>22318</v>
      </c>
      <c r="F7369" t="s">
        <v>22319</v>
      </c>
      <c r="I7369" t="s">
        <v>471</v>
      </c>
      <c r="J7369" t="s">
        <v>30</v>
      </c>
      <c r="K7369" t="str">
        <f>"27103"</f>
        <v>27103</v>
      </c>
      <c r="M7369" t="s">
        <v>17861</v>
      </c>
      <c r="N7369" t="str">
        <f>"10/14/2013 3:19:00 PM"</f>
        <v>10/14/2013 3:19:00 PM</v>
      </c>
      <c r="O7369" t="s">
        <v>22318</v>
      </c>
    </row>
    <row r="7370" spans="1:20" x14ac:dyDescent="0.25">
      <c r="A7370" t="str">
        <f>"3041567"</f>
        <v>3041567</v>
      </c>
      <c r="B7370" t="s">
        <v>22320</v>
      </c>
      <c r="C7370" t="str">
        <f>"8302657"</f>
        <v>8302657</v>
      </c>
      <c r="D7370" t="s">
        <v>22321</v>
      </c>
      <c r="E7370" t="s">
        <v>22322</v>
      </c>
      <c r="F7370" t="s">
        <v>22323</v>
      </c>
      <c r="I7370" t="s">
        <v>2071</v>
      </c>
      <c r="J7370" t="s">
        <v>30</v>
      </c>
      <c r="K7370" t="str">
        <f>"27006"</f>
        <v>27006</v>
      </c>
      <c r="M7370" t="s">
        <v>17861</v>
      </c>
      <c r="N7370" t="str">
        <f>"10/14/2013 3:50:00 PM"</f>
        <v>10/14/2013 3:50:00 PM</v>
      </c>
      <c r="O7370" t="s">
        <v>22321</v>
      </c>
      <c r="T7370" t="s">
        <v>22322</v>
      </c>
    </row>
    <row r="7371" spans="1:20" x14ac:dyDescent="0.25">
      <c r="A7371" t="str">
        <f>"3059192"</f>
        <v>3059192</v>
      </c>
      <c r="B7371" t="s">
        <v>22324</v>
      </c>
      <c r="C7371" t="str">
        <f>"8302658"</f>
        <v>8302658</v>
      </c>
      <c r="D7371" t="s">
        <v>22325</v>
      </c>
      <c r="E7371" t="s">
        <v>22326</v>
      </c>
      <c r="F7371" t="s">
        <v>22327</v>
      </c>
      <c r="I7371" t="s">
        <v>29</v>
      </c>
      <c r="J7371" t="s">
        <v>30</v>
      </c>
      <c r="K7371" t="str">
        <f>"27028"</f>
        <v>27028</v>
      </c>
      <c r="M7371" t="s">
        <v>17861</v>
      </c>
      <c r="N7371" t="str">
        <f>"10/14/2013 3:57:00 PM"</f>
        <v>10/14/2013 3:57:00 PM</v>
      </c>
      <c r="O7371" t="s">
        <v>22325</v>
      </c>
      <c r="T7371" t="s">
        <v>22326</v>
      </c>
    </row>
    <row r="7372" spans="1:20" x14ac:dyDescent="0.25">
      <c r="A7372" t="str">
        <f>"3047190"</f>
        <v>3047190</v>
      </c>
      <c r="B7372" t="s">
        <v>22328</v>
      </c>
      <c r="C7372" t="str">
        <f>"8302497"</f>
        <v>8302497</v>
      </c>
      <c r="D7372" t="s">
        <v>22329</v>
      </c>
      <c r="E7372" t="s">
        <v>22330</v>
      </c>
      <c r="F7372" t="s">
        <v>22331</v>
      </c>
      <c r="I7372" t="s">
        <v>184</v>
      </c>
      <c r="J7372" t="s">
        <v>30</v>
      </c>
      <c r="K7372" t="str">
        <f>"27006"</f>
        <v>27006</v>
      </c>
      <c r="M7372" t="s">
        <v>17861</v>
      </c>
      <c r="N7372" t="str">
        <f>"8/22/2013 4:49:00 PM"</f>
        <v>8/22/2013 4:49:00 PM</v>
      </c>
      <c r="O7372" t="s">
        <v>22329</v>
      </c>
      <c r="T7372" t="s">
        <v>22330</v>
      </c>
    </row>
    <row r="7373" spans="1:20" x14ac:dyDescent="0.25">
      <c r="A7373" t="str">
        <f>"3041066"</f>
        <v>3041066</v>
      </c>
      <c r="B7373" t="s">
        <v>22332</v>
      </c>
      <c r="C7373" t="str">
        <f>"82531515"</f>
        <v>82531515</v>
      </c>
      <c r="D7373" t="s">
        <v>22333</v>
      </c>
      <c r="F7373" t="s">
        <v>22334</v>
      </c>
      <c r="I7373" t="s">
        <v>22335</v>
      </c>
      <c r="J7373" t="s">
        <v>30</v>
      </c>
      <c r="K7373" t="s">
        <v>185</v>
      </c>
      <c r="M7373" t="s">
        <v>17922</v>
      </c>
      <c r="N7373" t="str">
        <f>"10/22/2013 4:41:00 PM"</f>
        <v>10/22/2013 4:41:00 PM</v>
      </c>
      <c r="O7373" t="s">
        <v>22333</v>
      </c>
    </row>
    <row r="7374" spans="1:20" x14ac:dyDescent="0.25">
      <c r="A7374" t="str">
        <f>"3041252"</f>
        <v>3041252</v>
      </c>
      <c r="B7374" t="s">
        <v>22336</v>
      </c>
      <c r="C7374" t="str">
        <f>"8301788"</f>
        <v>8301788</v>
      </c>
      <c r="D7374" t="s">
        <v>22337</v>
      </c>
      <c r="E7374" t="s">
        <v>22338</v>
      </c>
      <c r="F7374" t="s">
        <v>22339</v>
      </c>
      <c r="I7374" t="s">
        <v>22335</v>
      </c>
      <c r="J7374" t="s">
        <v>30</v>
      </c>
      <c r="K7374" t="str">
        <f>"27006"</f>
        <v>27006</v>
      </c>
      <c r="M7374" t="s">
        <v>17922</v>
      </c>
      <c r="N7374" t="str">
        <f>"10/22/2013 4:48:00 PM"</f>
        <v>10/22/2013 4:48:00 PM</v>
      </c>
      <c r="O7374" t="s">
        <v>22337</v>
      </c>
      <c r="T7374" t="s">
        <v>22338</v>
      </c>
    </row>
    <row r="7375" spans="1:20" x14ac:dyDescent="0.25">
      <c r="A7375" t="str">
        <f>"3041253"</f>
        <v>3041253</v>
      </c>
      <c r="B7375" t="s">
        <v>22340</v>
      </c>
      <c r="C7375" t="str">
        <f>"8301227"</f>
        <v>8301227</v>
      </c>
      <c r="D7375" t="s">
        <v>22341</v>
      </c>
      <c r="F7375" t="s">
        <v>22342</v>
      </c>
      <c r="I7375" t="s">
        <v>22335</v>
      </c>
      <c r="J7375" t="s">
        <v>30</v>
      </c>
      <c r="K7375" t="str">
        <f>"27006"</f>
        <v>27006</v>
      </c>
      <c r="M7375" t="s">
        <v>17922</v>
      </c>
      <c r="N7375" t="str">
        <f>"10/22/2013 4:49:00 PM"</f>
        <v>10/22/2013 4:49:00 PM</v>
      </c>
      <c r="O7375" t="s">
        <v>22341</v>
      </c>
    </row>
    <row r="7376" spans="1:20" x14ac:dyDescent="0.25">
      <c r="A7376" t="str">
        <f>"3048903"</f>
        <v>3048903</v>
      </c>
      <c r="B7376" t="s">
        <v>22343</v>
      </c>
      <c r="C7376" t="str">
        <f>"82517756"</f>
        <v>82517756</v>
      </c>
      <c r="D7376" t="s">
        <v>22067</v>
      </c>
      <c r="F7376" t="s">
        <v>22068</v>
      </c>
      <c r="I7376" t="s">
        <v>29</v>
      </c>
      <c r="J7376" t="s">
        <v>30</v>
      </c>
      <c r="K7376" t="s">
        <v>31</v>
      </c>
      <c r="M7376" t="s">
        <v>18577</v>
      </c>
      <c r="N7376" t="str">
        <f>"8/23/2013 3:22:00 PM"</f>
        <v>8/23/2013 3:22:00 PM</v>
      </c>
      <c r="O7376" t="s">
        <v>22067</v>
      </c>
    </row>
    <row r="7377" spans="1:20" x14ac:dyDescent="0.25">
      <c r="A7377" t="str">
        <f>"3071286"</f>
        <v>3071286</v>
      </c>
      <c r="B7377" t="s">
        <v>22344</v>
      </c>
      <c r="C7377" t="str">
        <f>"82517756"</f>
        <v>82517756</v>
      </c>
      <c r="D7377" t="s">
        <v>22067</v>
      </c>
      <c r="F7377" t="s">
        <v>22068</v>
      </c>
      <c r="I7377" t="s">
        <v>29</v>
      </c>
      <c r="J7377" t="s">
        <v>30</v>
      </c>
      <c r="K7377" t="s">
        <v>31</v>
      </c>
      <c r="M7377" t="s">
        <v>18577</v>
      </c>
      <c r="N7377" t="str">
        <f>"8/23/2013 3:22:00 PM"</f>
        <v>8/23/2013 3:22:00 PM</v>
      </c>
      <c r="O7377" t="s">
        <v>22067</v>
      </c>
    </row>
    <row r="7378" spans="1:20" x14ac:dyDescent="0.25">
      <c r="A7378" t="str">
        <f>"3052489"</f>
        <v>3052489</v>
      </c>
      <c r="B7378" t="s">
        <v>22345</v>
      </c>
      <c r="C7378" t="str">
        <f>"8302561"</f>
        <v>8302561</v>
      </c>
      <c r="D7378" t="s">
        <v>22346</v>
      </c>
      <c r="E7378" t="s">
        <v>22347</v>
      </c>
      <c r="F7378" t="s">
        <v>11956</v>
      </c>
      <c r="I7378" t="s">
        <v>29</v>
      </c>
      <c r="J7378" t="s">
        <v>30</v>
      </c>
      <c r="K7378" t="str">
        <f>"27028"</f>
        <v>27028</v>
      </c>
      <c r="M7378" t="s">
        <v>17861</v>
      </c>
      <c r="N7378" t="str">
        <f>"9/18/2013 1:58:00 PM"</f>
        <v>9/18/2013 1:58:00 PM</v>
      </c>
      <c r="O7378" t="s">
        <v>22346</v>
      </c>
      <c r="T7378" t="s">
        <v>22347</v>
      </c>
    </row>
    <row r="7379" spans="1:20" x14ac:dyDescent="0.25">
      <c r="A7379" t="str">
        <f>"3041276"</f>
        <v>3041276</v>
      </c>
      <c r="B7379" t="s">
        <v>22348</v>
      </c>
      <c r="C7379" t="str">
        <f>"82522430"</f>
        <v>82522430</v>
      </c>
      <c r="D7379" t="s">
        <v>22349</v>
      </c>
      <c r="E7379" t="s">
        <v>22350</v>
      </c>
      <c r="F7379" t="s">
        <v>22351</v>
      </c>
      <c r="I7379" t="s">
        <v>22335</v>
      </c>
      <c r="J7379" t="s">
        <v>30</v>
      </c>
      <c r="K7379" t="s">
        <v>2136</v>
      </c>
      <c r="M7379" t="s">
        <v>17922</v>
      </c>
      <c r="N7379" t="str">
        <f>"10/22/2013 5:00:00 PM"</f>
        <v>10/22/2013 5:00:00 PM</v>
      </c>
      <c r="O7379" t="s">
        <v>22349</v>
      </c>
      <c r="T7379" t="s">
        <v>22350</v>
      </c>
    </row>
    <row r="7380" spans="1:20" x14ac:dyDescent="0.25">
      <c r="A7380" t="str">
        <f>"3041283"</f>
        <v>3041283</v>
      </c>
      <c r="B7380" t="s">
        <v>22352</v>
      </c>
      <c r="C7380" t="str">
        <f>"82523079"</f>
        <v>82523079</v>
      </c>
      <c r="D7380" t="s">
        <v>22353</v>
      </c>
      <c r="E7380" t="s">
        <v>22354</v>
      </c>
      <c r="F7380" t="s">
        <v>22355</v>
      </c>
      <c r="I7380" t="s">
        <v>22335</v>
      </c>
      <c r="J7380" t="s">
        <v>30</v>
      </c>
      <c r="K7380" t="s">
        <v>22356</v>
      </c>
      <c r="M7380" t="s">
        <v>17922</v>
      </c>
      <c r="N7380" t="str">
        <f>"10/22/2013 5:02:00 PM"</f>
        <v>10/22/2013 5:02:00 PM</v>
      </c>
      <c r="O7380" t="s">
        <v>22353</v>
      </c>
      <c r="T7380" t="s">
        <v>22354</v>
      </c>
    </row>
    <row r="7381" spans="1:20" x14ac:dyDescent="0.25">
      <c r="A7381" t="str">
        <f>"3058516"</f>
        <v>3058516</v>
      </c>
      <c r="B7381" t="s">
        <v>22357</v>
      </c>
      <c r="C7381" t="str">
        <f>"8302570"</f>
        <v>8302570</v>
      </c>
      <c r="D7381" t="s">
        <v>22358</v>
      </c>
      <c r="F7381" t="s">
        <v>22359</v>
      </c>
      <c r="I7381" t="s">
        <v>29</v>
      </c>
      <c r="J7381" t="s">
        <v>30</v>
      </c>
      <c r="K7381" t="str">
        <f>"27028"</f>
        <v>27028</v>
      </c>
      <c r="M7381" t="s">
        <v>17861</v>
      </c>
      <c r="N7381" t="str">
        <f>"9/19/2013 3:39:00 PM"</f>
        <v>9/19/2013 3:39:00 PM</v>
      </c>
      <c r="O7381" t="s">
        <v>22358</v>
      </c>
    </row>
    <row r="7382" spans="1:20" x14ac:dyDescent="0.25">
      <c r="A7382" t="str">
        <f>"3041265"</f>
        <v>3041265</v>
      </c>
      <c r="B7382" t="s">
        <v>22360</v>
      </c>
      <c r="C7382" t="str">
        <f>"82524506"</f>
        <v>82524506</v>
      </c>
      <c r="D7382" t="s">
        <v>22361</v>
      </c>
      <c r="E7382" t="s">
        <v>22362</v>
      </c>
      <c r="F7382" t="s">
        <v>22363</v>
      </c>
      <c r="I7382" t="s">
        <v>22335</v>
      </c>
      <c r="J7382" t="s">
        <v>30</v>
      </c>
      <c r="K7382" t="s">
        <v>22364</v>
      </c>
      <c r="M7382" t="s">
        <v>17922</v>
      </c>
      <c r="N7382" t="str">
        <f>"10/22/2013 5:06:00 PM"</f>
        <v>10/22/2013 5:06:00 PM</v>
      </c>
      <c r="O7382" t="s">
        <v>22361</v>
      </c>
      <c r="T7382" t="s">
        <v>22362</v>
      </c>
    </row>
    <row r="7383" spans="1:20" x14ac:dyDescent="0.25">
      <c r="A7383" t="str">
        <f>"3041266"</f>
        <v>3041266</v>
      </c>
      <c r="B7383" t="s">
        <v>22365</v>
      </c>
      <c r="C7383" t="str">
        <f>"82533024"</f>
        <v>82533024</v>
      </c>
      <c r="D7383" t="s">
        <v>22366</v>
      </c>
      <c r="E7383" t="s">
        <v>22367</v>
      </c>
      <c r="F7383" t="s">
        <v>22368</v>
      </c>
      <c r="I7383" t="s">
        <v>22335</v>
      </c>
      <c r="J7383" t="s">
        <v>30</v>
      </c>
      <c r="K7383" t="s">
        <v>185</v>
      </c>
      <c r="M7383" t="s">
        <v>17922</v>
      </c>
      <c r="N7383" t="str">
        <f>"10/22/2013 5:07:00 PM"</f>
        <v>10/22/2013 5:07:00 PM</v>
      </c>
      <c r="O7383" t="s">
        <v>22366</v>
      </c>
      <c r="T7383" t="s">
        <v>22367</v>
      </c>
    </row>
    <row r="7384" spans="1:20" x14ac:dyDescent="0.25">
      <c r="A7384" t="str">
        <f>"3041281"</f>
        <v>3041281</v>
      </c>
      <c r="B7384" t="s">
        <v>22369</v>
      </c>
      <c r="C7384" t="str">
        <f>"82520690"</f>
        <v>82520690</v>
      </c>
      <c r="D7384" t="s">
        <v>22370</v>
      </c>
      <c r="E7384" t="s">
        <v>22371</v>
      </c>
      <c r="F7384" t="s">
        <v>22372</v>
      </c>
      <c r="I7384" t="s">
        <v>22335</v>
      </c>
      <c r="J7384" t="s">
        <v>30</v>
      </c>
      <c r="K7384" t="s">
        <v>185</v>
      </c>
      <c r="M7384" t="s">
        <v>17922</v>
      </c>
      <c r="N7384" t="str">
        <f>"10/23/2013 10:38:00 AM"</f>
        <v>10/23/2013 10:38:00 AM</v>
      </c>
      <c r="O7384" t="s">
        <v>22370</v>
      </c>
      <c r="T7384" t="s">
        <v>22371</v>
      </c>
    </row>
    <row r="7385" spans="1:20" x14ac:dyDescent="0.25">
      <c r="A7385" t="str">
        <f>"3041307"</f>
        <v>3041307</v>
      </c>
      <c r="B7385" t="s">
        <v>22373</v>
      </c>
      <c r="C7385" t="str">
        <f>"82523704"</f>
        <v>82523704</v>
      </c>
      <c r="D7385" t="s">
        <v>22374</v>
      </c>
      <c r="F7385" t="s">
        <v>22375</v>
      </c>
      <c r="I7385" t="s">
        <v>22335</v>
      </c>
      <c r="J7385" t="s">
        <v>30</v>
      </c>
      <c r="K7385" t="s">
        <v>185</v>
      </c>
      <c r="M7385" t="s">
        <v>17922</v>
      </c>
      <c r="N7385" t="str">
        <f>"10/23/2013 11:26:00 AM"</f>
        <v>10/23/2013 11:26:00 AM</v>
      </c>
      <c r="O7385" t="s">
        <v>22374</v>
      </c>
    </row>
    <row r="7386" spans="1:20" x14ac:dyDescent="0.25">
      <c r="A7386" t="str">
        <f>"3041339"</f>
        <v>3041339</v>
      </c>
      <c r="B7386" t="s">
        <v>22376</v>
      </c>
      <c r="C7386" t="str">
        <f>"8302573"</f>
        <v>8302573</v>
      </c>
      <c r="D7386" t="s">
        <v>22377</v>
      </c>
      <c r="F7386" t="s">
        <v>22378</v>
      </c>
      <c r="I7386" t="s">
        <v>2071</v>
      </c>
      <c r="J7386" t="s">
        <v>30</v>
      </c>
      <c r="K7386" t="str">
        <f>"27006"</f>
        <v>27006</v>
      </c>
      <c r="M7386" t="s">
        <v>17861</v>
      </c>
      <c r="N7386" t="str">
        <f>"9/19/2013 4:00:00 PM"</f>
        <v>9/19/2013 4:00:00 PM</v>
      </c>
      <c r="O7386" t="s">
        <v>22377</v>
      </c>
    </row>
    <row r="7387" spans="1:20" x14ac:dyDescent="0.25">
      <c r="A7387" t="str">
        <f>"3052019"</f>
        <v>3052019</v>
      </c>
      <c r="B7387" t="s">
        <v>22379</v>
      </c>
      <c r="C7387" t="str">
        <f>"8302577"</f>
        <v>8302577</v>
      </c>
      <c r="D7387" t="s">
        <v>22380</v>
      </c>
      <c r="E7387" t="s">
        <v>22381</v>
      </c>
      <c r="F7387" t="s">
        <v>22382</v>
      </c>
      <c r="I7387" t="s">
        <v>29</v>
      </c>
      <c r="J7387" t="s">
        <v>30</v>
      </c>
      <c r="K7387" t="str">
        <f>"27028"</f>
        <v>27028</v>
      </c>
      <c r="M7387" t="s">
        <v>17861</v>
      </c>
      <c r="N7387" t="str">
        <f>"9/19/2013 4:58:00 PM"</f>
        <v>9/19/2013 4:58:00 PM</v>
      </c>
      <c r="O7387" t="s">
        <v>22380</v>
      </c>
      <c r="T7387" t="s">
        <v>22381</v>
      </c>
    </row>
    <row r="7388" spans="1:20" x14ac:dyDescent="0.25">
      <c r="A7388" t="str">
        <f>"3045860"</f>
        <v>3045860</v>
      </c>
      <c r="B7388" t="s">
        <v>22383</v>
      </c>
      <c r="C7388" t="str">
        <f>"8302679"</f>
        <v>8302679</v>
      </c>
      <c r="D7388" t="s">
        <v>18765</v>
      </c>
      <c r="F7388" t="s">
        <v>18767</v>
      </c>
      <c r="I7388" t="s">
        <v>29</v>
      </c>
      <c r="J7388" t="s">
        <v>30</v>
      </c>
      <c r="K7388" t="str">
        <f>"27028"</f>
        <v>27028</v>
      </c>
      <c r="M7388" t="s">
        <v>17861</v>
      </c>
      <c r="N7388" t="str">
        <f>"10/24/2013 9:58:00 AM"</f>
        <v>10/24/2013 9:58:00 AM</v>
      </c>
      <c r="O7388" t="s">
        <v>18765</v>
      </c>
    </row>
    <row r="7389" spans="1:20" x14ac:dyDescent="0.25">
      <c r="A7389" t="str">
        <f>"3046823"</f>
        <v>3046823</v>
      </c>
      <c r="B7389" t="s">
        <v>22384</v>
      </c>
      <c r="C7389" t="str">
        <f>"8302680"</f>
        <v>8302680</v>
      </c>
      <c r="D7389" t="s">
        <v>22385</v>
      </c>
      <c r="E7389" t="s">
        <v>22386</v>
      </c>
      <c r="F7389" t="s">
        <v>22387</v>
      </c>
      <c r="I7389" t="s">
        <v>184</v>
      </c>
      <c r="J7389" t="s">
        <v>30</v>
      </c>
      <c r="K7389" t="str">
        <f>"27006"</f>
        <v>27006</v>
      </c>
      <c r="M7389" t="s">
        <v>17861</v>
      </c>
      <c r="N7389" t="str">
        <f>"10/24/2013 10:05:00 AM"</f>
        <v>10/24/2013 10:05:00 AM</v>
      </c>
      <c r="O7389" t="s">
        <v>22385</v>
      </c>
      <c r="T7389" t="s">
        <v>22386</v>
      </c>
    </row>
    <row r="7390" spans="1:20" x14ac:dyDescent="0.25">
      <c r="A7390" t="str">
        <f>"3059581"</f>
        <v>3059581</v>
      </c>
      <c r="B7390" t="s">
        <v>22388</v>
      </c>
      <c r="C7390" t="str">
        <f>"8302684"</f>
        <v>8302684</v>
      </c>
      <c r="D7390" t="s">
        <v>22389</v>
      </c>
      <c r="E7390" t="s">
        <v>22390</v>
      </c>
      <c r="F7390" t="s">
        <v>22391</v>
      </c>
      <c r="I7390" t="s">
        <v>29</v>
      </c>
      <c r="J7390" t="s">
        <v>30</v>
      </c>
      <c r="K7390" t="str">
        <f>"27028"</f>
        <v>27028</v>
      </c>
      <c r="M7390" t="s">
        <v>17861</v>
      </c>
      <c r="N7390" t="str">
        <f>"10/24/2013 1:19:00 PM"</f>
        <v>10/24/2013 1:19:00 PM</v>
      </c>
      <c r="O7390" t="s">
        <v>22389</v>
      </c>
      <c r="T7390" t="s">
        <v>22390</v>
      </c>
    </row>
    <row r="7391" spans="1:20" x14ac:dyDescent="0.25">
      <c r="A7391" t="str">
        <f>"3052067"</f>
        <v>3052067</v>
      </c>
      <c r="B7391" t="s">
        <v>22392</v>
      </c>
      <c r="C7391" t="str">
        <f>"82531158"</f>
        <v>82531158</v>
      </c>
      <c r="D7391" t="s">
        <v>22393</v>
      </c>
      <c r="F7391" t="s">
        <v>22394</v>
      </c>
      <c r="I7391" t="s">
        <v>29</v>
      </c>
      <c r="J7391" t="s">
        <v>30</v>
      </c>
      <c r="K7391" t="s">
        <v>31</v>
      </c>
      <c r="M7391" t="s">
        <v>20015</v>
      </c>
      <c r="N7391" t="str">
        <f>"9/20/2013 1:31:00 PM"</f>
        <v>9/20/2013 1:31:00 PM</v>
      </c>
      <c r="O7391" t="s">
        <v>22393</v>
      </c>
    </row>
    <row r="7392" spans="1:20" x14ac:dyDescent="0.25">
      <c r="A7392" t="str">
        <f>"3038978"</f>
        <v>3038978</v>
      </c>
      <c r="B7392" t="s">
        <v>22395</v>
      </c>
      <c r="C7392" t="str">
        <f>"8301810"</f>
        <v>8301810</v>
      </c>
      <c r="D7392" t="s">
        <v>22396</v>
      </c>
      <c r="E7392" t="s">
        <v>22397</v>
      </c>
      <c r="F7392" t="s">
        <v>22398</v>
      </c>
      <c r="I7392" t="s">
        <v>29</v>
      </c>
      <c r="J7392" t="s">
        <v>30</v>
      </c>
      <c r="K7392" t="str">
        <f>"27028"</f>
        <v>27028</v>
      </c>
      <c r="M7392" t="s">
        <v>17861</v>
      </c>
      <c r="N7392" t="str">
        <f>"10/25/2013 11:15:00 AM"</f>
        <v>10/25/2013 11:15:00 AM</v>
      </c>
      <c r="O7392" t="s">
        <v>22396</v>
      </c>
      <c r="T7392" t="s">
        <v>22397</v>
      </c>
    </row>
    <row r="7393" spans="1:20" x14ac:dyDescent="0.25">
      <c r="A7393" t="str">
        <f>"3053206"</f>
        <v>3053206</v>
      </c>
      <c r="B7393" t="s">
        <v>22399</v>
      </c>
      <c r="C7393" t="str">
        <f>"82523268"</f>
        <v>82523268</v>
      </c>
      <c r="D7393" t="s">
        <v>22400</v>
      </c>
      <c r="F7393" t="s">
        <v>22401</v>
      </c>
      <c r="I7393" t="s">
        <v>2280</v>
      </c>
      <c r="J7393" t="s">
        <v>30</v>
      </c>
      <c r="K7393" t="s">
        <v>22402</v>
      </c>
      <c r="M7393" t="s">
        <v>20015</v>
      </c>
      <c r="N7393" t="str">
        <f>"9/20/2013 2:02:00 PM"</f>
        <v>9/20/2013 2:02:00 PM</v>
      </c>
      <c r="O7393" t="s">
        <v>22400</v>
      </c>
      <c r="T7393" t="s">
        <v>22400</v>
      </c>
    </row>
    <row r="7394" spans="1:20" x14ac:dyDescent="0.25">
      <c r="A7394" t="str">
        <f>"3047023"</f>
        <v>3047023</v>
      </c>
      <c r="B7394" t="s">
        <v>22403</v>
      </c>
      <c r="C7394" t="str">
        <f>"8302580"</f>
        <v>8302580</v>
      </c>
      <c r="D7394" t="s">
        <v>22167</v>
      </c>
      <c r="F7394" t="s">
        <v>22168</v>
      </c>
      <c r="I7394" t="s">
        <v>29</v>
      </c>
      <c r="J7394" t="s">
        <v>30</v>
      </c>
      <c r="K7394" t="str">
        <f>"27028"</f>
        <v>27028</v>
      </c>
      <c r="M7394" t="s">
        <v>17861</v>
      </c>
      <c r="N7394" t="str">
        <f>"9/23/2013 11:05:00 AM"</f>
        <v>9/23/2013 11:05:00 AM</v>
      </c>
      <c r="O7394" t="s">
        <v>22167</v>
      </c>
    </row>
    <row r="7395" spans="1:20" x14ac:dyDescent="0.25">
      <c r="A7395" t="str">
        <f>"3043720"</f>
        <v>3043720</v>
      </c>
      <c r="B7395" t="s">
        <v>22404</v>
      </c>
      <c r="C7395" t="str">
        <f>"8302585"</f>
        <v>8302585</v>
      </c>
      <c r="D7395" t="s">
        <v>22405</v>
      </c>
      <c r="F7395" t="s">
        <v>22406</v>
      </c>
      <c r="I7395" t="s">
        <v>29</v>
      </c>
      <c r="J7395" t="s">
        <v>30</v>
      </c>
      <c r="K7395" t="str">
        <f>"27028"</f>
        <v>27028</v>
      </c>
      <c r="M7395" t="s">
        <v>17861</v>
      </c>
      <c r="N7395" t="str">
        <f>"9/23/2013 2:34:00 PM"</f>
        <v>9/23/2013 2:34:00 PM</v>
      </c>
      <c r="O7395" t="s">
        <v>22405</v>
      </c>
    </row>
    <row r="7396" spans="1:20" x14ac:dyDescent="0.25">
      <c r="A7396" t="str">
        <f>"3060572"</f>
        <v>3060572</v>
      </c>
      <c r="B7396" t="s">
        <v>22407</v>
      </c>
      <c r="C7396" t="str">
        <f>"8302590"</f>
        <v>8302590</v>
      </c>
      <c r="D7396" t="s">
        <v>22408</v>
      </c>
      <c r="F7396" t="s">
        <v>22409</v>
      </c>
      <c r="I7396" t="s">
        <v>2071</v>
      </c>
      <c r="J7396" t="s">
        <v>30</v>
      </c>
      <c r="K7396" t="str">
        <f>"27006"</f>
        <v>27006</v>
      </c>
      <c r="M7396" t="s">
        <v>17861</v>
      </c>
      <c r="N7396" t="str">
        <f>"9/24/2013 10:54:00 AM"</f>
        <v>9/24/2013 10:54:00 AM</v>
      </c>
      <c r="O7396" t="s">
        <v>22408</v>
      </c>
    </row>
    <row r="7397" spans="1:20" x14ac:dyDescent="0.25">
      <c r="A7397" t="str">
        <f>"3042625"</f>
        <v>3042625</v>
      </c>
      <c r="B7397" t="s">
        <v>22410</v>
      </c>
      <c r="C7397" t="str">
        <f>"8302742"</f>
        <v>8302742</v>
      </c>
      <c r="D7397" t="s">
        <v>22411</v>
      </c>
      <c r="F7397" t="s">
        <v>22412</v>
      </c>
      <c r="I7397" t="s">
        <v>29</v>
      </c>
      <c r="J7397" t="s">
        <v>30</v>
      </c>
      <c r="K7397" t="str">
        <f>"27028"</f>
        <v>27028</v>
      </c>
      <c r="M7397" t="s">
        <v>17861</v>
      </c>
      <c r="N7397" t="str">
        <f>"11/4/2013 3:41:00 PM"</f>
        <v>11/4/2013 3:41:00 PM</v>
      </c>
      <c r="O7397" t="s">
        <v>22411</v>
      </c>
    </row>
    <row r="7398" spans="1:20" x14ac:dyDescent="0.25">
      <c r="A7398" t="str">
        <f>"3038899"</f>
        <v>3038899</v>
      </c>
      <c r="B7398" t="s">
        <v>22413</v>
      </c>
      <c r="C7398" t="str">
        <f>"8302593"</f>
        <v>8302593</v>
      </c>
      <c r="D7398" t="s">
        <v>22414</v>
      </c>
      <c r="E7398" t="s">
        <v>22415</v>
      </c>
      <c r="F7398" t="s">
        <v>22416</v>
      </c>
      <c r="I7398" t="s">
        <v>29</v>
      </c>
      <c r="J7398" t="s">
        <v>30</v>
      </c>
      <c r="K7398" t="str">
        <f>"27028"</f>
        <v>27028</v>
      </c>
      <c r="M7398" t="s">
        <v>17861</v>
      </c>
      <c r="N7398" t="str">
        <f>"9/25/2013 11:09:00 AM"</f>
        <v>9/25/2013 11:09:00 AM</v>
      </c>
      <c r="O7398" t="s">
        <v>22414</v>
      </c>
      <c r="T7398" t="s">
        <v>22415</v>
      </c>
    </row>
    <row r="7399" spans="1:20" x14ac:dyDescent="0.25">
      <c r="A7399" t="str">
        <f>"3050586"</f>
        <v>3050586</v>
      </c>
      <c r="B7399" t="s">
        <v>22417</v>
      </c>
      <c r="C7399" t="str">
        <f>"82526693"</f>
        <v>82526693</v>
      </c>
      <c r="D7399" t="s">
        <v>22194</v>
      </c>
      <c r="F7399" t="s">
        <v>22195</v>
      </c>
      <c r="I7399" t="s">
        <v>184</v>
      </c>
      <c r="J7399" t="s">
        <v>30</v>
      </c>
      <c r="K7399" t="s">
        <v>185</v>
      </c>
      <c r="M7399" t="s">
        <v>17861</v>
      </c>
      <c r="N7399" t="str">
        <f>"9/26/2013 8:46:00 AM"</f>
        <v>9/26/2013 8:46:00 AM</v>
      </c>
      <c r="O7399" t="s">
        <v>22194</v>
      </c>
    </row>
    <row r="7400" spans="1:20" x14ac:dyDescent="0.25">
      <c r="A7400" t="str">
        <f>"3048483"</f>
        <v>3048483</v>
      </c>
      <c r="B7400" t="s">
        <v>22418</v>
      </c>
      <c r="C7400" t="str">
        <f>"23156000"</f>
        <v>23156000</v>
      </c>
      <c r="D7400" t="s">
        <v>22202</v>
      </c>
      <c r="E7400" t="s">
        <v>22203</v>
      </c>
      <c r="F7400" t="s">
        <v>22204</v>
      </c>
      <c r="I7400" t="s">
        <v>9580</v>
      </c>
      <c r="J7400" t="s">
        <v>30</v>
      </c>
      <c r="K7400" t="s">
        <v>22205</v>
      </c>
      <c r="M7400" t="s">
        <v>21510</v>
      </c>
      <c r="N7400" t="str">
        <f>"9/27/2013 10:57:00 AM"</f>
        <v>9/27/2013 10:57:00 AM</v>
      </c>
      <c r="O7400" t="s">
        <v>22202</v>
      </c>
      <c r="T7400" t="s">
        <v>22203</v>
      </c>
    </row>
    <row r="7401" spans="1:20" x14ac:dyDescent="0.25">
      <c r="A7401" t="str">
        <f>"3057125"</f>
        <v>3057125</v>
      </c>
      <c r="B7401" t="s">
        <v>22419</v>
      </c>
      <c r="C7401" t="str">
        <f>"82520305"</f>
        <v>82520305</v>
      </c>
      <c r="D7401" t="s">
        <v>22226</v>
      </c>
      <c r="F7401" t="s">
        <v>22227</v>
      </c>
      <c r="I7401" t="s">
        <v>29</v>
      </c>
      <c r="J7401" t="s">
        <v>30</v>
      </c>
      <c r="K7401" t="s">
        <v>31</v>
      </c>
      <c r="M7401" t="s">
        <v>18432</v>
      </c>
      <c r="N7401" t="str">
        <f>"10/1/2013 1:28:00 PM"</f>
        <v>10/1/2013 1:28:00 PM</v>
      </c>
      <c r="O7401" t="s">
        <v>22226</v>
      </c>
    </row>
    <row r="7402" spans="1:20" x14ac:dyDescent="0.25">
      <c r="A7402" t="str">
        <f>"3061225"</f>
        <v>3061225</v>
      </c>
      <c r="B7402" t="s">
        <v>22420</v>
      </c>
      <c r="C7402" t="str">
        <f>"8302601"</f>
        <v>8302601</v>
      </c>
      <c r="D7402" t="s">
        <v>22421</v>
      </c>
      <c r="F7402" t="s">
        <v>22422</v>
      </c>
      <c r="I7402" t="s">
        <v>2071</v>
      </c>
      <c r="J7402" t="s">
        <v>30</v>
      </c>
      <c r="K7402" t="str">
        <f>"27006"</f>
        <v>27006</v>
      </c>
      <c r="M7402" t="s">
        <v>17861</v>
      </c>
      <c r="N7402" t="str">
        <f>"10/1/2013 2:04:00 PM"</f>
        <v>10/1/2013 2:04:00 PM</v>
      </c>
      <c r="O7402" t="s">
        <v>22421</v>
      </c>
    </row>
    <row r="7403" spans="1:20" x14ac:dyDescent="0.25">
      <c r="A7403" t="str">
        <f>"3052144"</f>
        <v>3052144</v>
      </c>
      <c r="B7403" t="s">
        <v>22423</v>
      </c>
      <c r="C7403" t="str">
        <f>"8302609"</f>
        <v>8302609</v>
      </c>
      <c r="D7403" t="s">
        <v>22424</v>
      </c>
      <c r="F7403" t="s">
        <v>22425</v>
      </c>
      <c r="I7403" t="s">
        <v>3196</v>
      </c>
      <c r="J7403" t="s">
        <v>30</v>
      </c>
      <c r="K7403" t="str">
        <f>"28225"</f>
        <v>28225</v>
      </c>
      <c r="M7403" t="s">
        <v>17861</v>
      </c>
      <c r="N7403" t="str">
        <f>"10/2/2013 12:46:00 PM"</f>
        <v>10/2/2013 12:46:00 PM</v>
      </c>
      <c r="O7403" t="s">
        <v>22424</v>
      </c>
    </row>
    <row r="7404" spans="1:20" x14ac:dyDescent="0.25">
      <c r="A7404" t="str">
        <f>"3052630"</f>
        <v>3052630</v>
      </c>
      <c r="B7404" t="s">
        <v>22426</v>
      </c>
      <c r="C7404" t="str">
        <f>"82519848"</f>
        <v>82519848</v>
      </c>
      <c r="D7404" t="s">
        <v>22427</v>
      </c>
      <c r="F7404" t="s">
        <v>22428</v>
      </c>
      <c r="I7404" t="s">
        <v>29</v>
      </c>
      <c r="J7404" t="s">
        <v>30</v>
      </c>
      <c r="K7404" t="s">
        <v>31</v>
      </c>
      <c r="M7404" t="s">
        <v>18513</v>
      </c>
      <c r="N7404" t="str">
        <f>"11/13/2013 10:04:00 AM"</f>
        <v>11/13/2013 10:04:00 AM</v>
      </c>
      <c r="O7404" t="s">
        <v>22427</v>
      </c>
    </row>
    <row r="7405" spans="1:20" x14ac:dyDescent="0.25">
      <c r="A7405" t="str">
        <f>"3041320"</f>
        <v>3041320</v>
      </c>
      <c r="B7405" t="s">
        <v>22429</v>
      </c>
      <c r="C7405" t="str">
        <f>"8302623"</f>
        <v>8302623</v>
      </c>
      <c r="D7405" t="s">
        <v>22430</v>
      </c>
      <c r="E7405" t="s">
        <v>22431</v>
      </c>
      <c r="F7405" t="s">
        <v>22432</v>
      </c>
      <c r="I7405" t="s">
        <v>2071</v>
      </c>
      <c r="J7405" t="s">
        <v>30</v>
      </c>
      <c r="K7405" t="str">
        <f>"27006"</f>
        <v>27006</v>
      </c>
      <c r="M7405" t="s">
        <v>17861</v>
      </c>
      <c r="N7405" t="str">
        <f>"10/2/2013 4:19:00 PM"</f>
        <v>10/2/2013 4:19:00 PM</v>
      </c>
      <c r="O7405" t="s">
        <v>22430</v>
      </c>
      <c r="T7405" t="s">
        <v>22431</v>
      </c>
    </row>
    <row r="7406" spans="1:20" x14ac:dyDescent="0.25">
      <c r="A7406" t="str">
        <f>"3050557"</f>
        <v>3050557</v>
      </c>
      <c r="B7406" t="s">
        <v>22433</v>
      </c>
      <c r="C7406" t="str">
        <f>"8302627"</f>
        <v>8302627</v>
      </c>
      <c r="D7406" t="s">
        <v>22266</v>
      </c>
      <c r="F7406" t="s">
        <v>14324</v>
      </c>
      <c r="I7406" t="s">
        <v>184</v>
      </c>
      <c r="J7406" t="s">
        <v>30</v>
      </c>
      <c r="K7406" t="str">
        <f>"27006"</f>
        <v>27006</v>
      </c>
      <c r="M7406" t="s">
        <v>17861</v>
      </c>
      <c r="N7406" t="str">
        <f>"10/4/2013 4:41:00 PM"</f>
        <v>10/4/2013 4:41:00 PM</v>
      </c>
      <c r="O7406" t="s">
        <v>22266</v>
      </c>
    </row>
    <row r="7407" spans="1:20" x14ac:dyDescent="0.25">
      <c r="A7407" t="str">
        <f>"3062121"</f>
        <v>3062121</v>
      </c>
      <c r="B7407" t="s">
        <v>22434</v>
      </c>
      <c r="C7407" t="str">
        <f>"8302630"</f>
        <v>8302630</v>
      </c>
      <c r="D7407" t="s">
        <v>22435</v>
      </c>
      <c r="E7407" t="s">
        <v>22436</v>
      </c>
      <c r="F7407" t="s">
        <v>22437</v>
      </c>
      <c r="I7407" t="s">
        <v>29</v>
      </c>
      <c r="J7407" t="s">
        <v>30</v>
      </c>
      <c r="K7407" t="str">
        <f>"27028"</f>
        <v>27028</v>
      </c>
      <c r="M7407" t="s">
        <v>17861</v>
      </c>
      <c r="N7407" t="str">
        <f>"10/7/2013 1:21:00 PM"</f>
        <v>10/7/2013 1:21:00 PM</v>
      </c>
      <c r="O7407" t="s">
        <v>22435</v>
      </c>
      <c r="T7407" t="s">
        <v>22436</v>
      </c>
    </row>
    <row r="7408" spans="1:20" x14ac:dyDescent="0.25">
      <c r="A7408" t="str">
        <f>"3041354"</f>
        <v>3041354</v>
      </c>
      <c r="B7408" t="s">
        <v>22438</v>
      </c>
      <c r="C7408" t="str">
        <f>"13176000"</f>
        <v>13176000</v>
      </c>
      <c r="D7408" t="s">
        <v>22300</v>
      </c>
      <c r="E7408" t="s">
        <v>22301</v>
      </c>
      <c r="F7408" t="s">
        <v>22302</v>
      </c>
      <c r="I7408" t="s">
        <v>2071</v>
      </c>
      <c r="J7408" t="s">
        <v>30</v>
      </c>
      <c r="K7408" t="str">
        <f>"27006"</f>
        <v>27006</v>
      </c>
      <c r="M7408" t="s">
        <v>22270</v>
      </c>
      <c r="N7408" t="str">
        <f>"10/9/2013 10:10:00 AM"</f>
        <v>10/9/2013 10:10:00 AM</v>
      </c>
      <c r="O7408" t="s">
        <v>22300</v>
      </c>
      <c r="T7408" t="s">
        <v>22301</v>
      </c>
    </row>
    <row r="7409" spans="1:20" x14ac:dyDescent="0.25">
      <c r="A7409" t="str">
        <f>"3060199"</f>
        <v>3060199</v>
      </c>
      <c r="B7409" t="s">
        <v>22439</v>
      </c>
      <c r="C7409" t="str">
        <f>"11874250"</f>
        <v>11874250</v>
      </c>
      <c r="D7409" t="s">
        <v>22440</v>
      </c>
      <c r="E7409" t="s">
        <v>22441</v>
      </c>
      <c r="F7409" t="s">
        <v>22442</v>
      </c>
      <c r="I7409" t="s">
        <v>29</v>
      </c>
      <c r="J7409" t="s">
        <v>30</v>
      </c>
      <c r="K7409" t="s">
        <v>31</v>
      </c>
      <c r="M7409" t="s">
        <v>18432</v>
      </c>
      <c r="N7409" t="str">
        <f>"10/14/2013 10:21:00 AM"</f>
        <v>10/14/2013 10:21:00 AM</v>
      </c>
      <c r="O7409" t="s">
        <v>22440</v>
      </c>
      <c r="T7409" t="s">
        <v>22441</v>
      </c>
    </row>
    <row r="7410" spans="1:20" x14ac:dyDescent="0.25">
      <c r="A7410" t="str">
        <f>"3059586"</f>
        <v>3059586</v>
      </c>
      <c r="B7410" t="s">
        <v>22443</v>
      </c>
      <c r="C7410" t="str">
        <f>"8302795"</f>
        <v>8302795</v>
      </c>
      <c r="D7410" t="s">
        <v>22444</v>
      </c>
      <c r="F7410" t="s">
        <v>22445</v>
      </c>
      <c r="I7410" t="s">
        <v>29</v>
      </c>
      <c r="J7410" t="s">
        <v>30</v>
      </c>
      <c r="K7410" t="str">
        <f>"27028"</f>
        <v>27028</v>
      </c>
      <c r="M7410" t="s">
        <v>17861</v>
      </c>
      <c r="N7410" t="str">
        <f>"11/25/2013 4:18:00 PM"</f>
        <v>11/25/2013 4:18:00 PM</v>
      </c>
      <c r="O7410" t="s">
        <v>22444</v>
      </c>
    </row>
    <row r="7411" spans="1:20" x14ac:dyDescent="0.25">
      <c r="A7411" t="str">
        <f>"3041471"</f>
        <v>3041471</v>
      </c>
      <c r="B7411" t="s">
        <v>22446</v>
      </c>
      <c r="C7411" t="str">
        <f>"8300956"</f>
        <v>8300956</v>
      </c>
      <c r="D7411" t="s">
        <v>22447</v>
      </c>
      <c r="F7411" t="s">
        <v>1968</v>
      </c>
      <c r="I7411" t="s">
        <v>22335</v>
      </c>
      <c r="J7411" t="s">
        <v>30</v>
      </c>
      <c r="K7411" t="str">
        <f>"27006"</f>
        <v>27006</v>
      </c>
      <c r="M7411" t="s">
        <v>17922</v>
      </c>
      <c r="N7411" t="str">
        <f>"10/22/2013 4:07:00 PM"</f>
        <v>10/22/2013 4:07:00 PM</v>
      </c>
      <c r="O7411" t="s">
        <v>22447</v>
      </c>
    </row>
    <row r="7412" spans="1:20" x14ac:dyDescent="0.25">
      <c r="A7412" t="str">
        <f>"3047799"</f>
        <v>3047799</v>
      </c>
      <c r="B7412" t="s">
        <v>22448</v>
      </c>
      <c r="C7412" t="str">
        <f>"8302559"</f>
        <v>8302559</v>
      </c>
      <c r="D7412" t="s">
        <v>22449</v>
      </c>
      <c r="E7412" t="s">
        <v>22450</v>
      </c>
      <c r="F7412" t="s">
        <v>22451</v>
      </c>
      <c r="I7412" t="s">
        <v>184</v>
      </c>
      <c r="J7412" t="s">
        <v>30</v>
      </c>
      <c r="K7412" t="str">
        <f>"27006"</f>
        <v>27006</v>
      </c>
      <c r="M7412" t="s">
        <v>17861</v>
      </c>
      <c r="N7412" t="str">
        <f>"9/17/2013 10:06:00 AM"</f>
        <v>9/17/2013 10:06:00 AM</v>
      </c>
      <c r="O7412" t="s">
        <v>22449</v>
      </c>
      <c r="T7412" t="s">
        <v>22450</v>
      </c>
    </row>
    <row r="7413" spans="1:20" x14ac:dyDescent="0.25">
      <c r="A7413" t="str">
        <f>"3041301"</f>
        <v>3041301</v>
      </c>
      <c r="B7413" t="s">
        <v>22452</v>
      </c>
      <c r="C7413" t="str">
        <f>"82519389"</f>
        <v>82519389</v>
      </c>
      <c r="D7413" t="s">
        <v>22453</v>
      </c>
      <c r="E7413" t="s">
        <v>22454</v>
      </c>
      <c r="F7413" t="s">
        <v>22455</v>
      </c>
      <c r="I7413" t="s">
        <v>22335</v>
      </c>
      <c r="J7413" t="s">
        <v>30</v>
      </c>
      <c r="K7413" t="s">
        <v>185</v>
      </c>
      <c r="M7413" t="s">
        <v>17922</v>
      </c>
      <c r="N7413" t="str">
        <f>"10/22/2013 5:05:00 PM"</f>
        <v>10/22/2013 5:05:00 PM</v>
      </c>
      <c r="O7413" t="s">
        <v>22453</v>
      </c>
      <c r="T7413" t="s">
        <v>22454</v>
      </c>
    </row>
    <row r="7414" spans="1:20" x14ac:dyDescent="0.25">
      <c r="A7414" t="str">
        <f>"3041312"</f>
        <v>3041312</v>
      </c>
      <c r="B7414" t="s">
        <v>22456</v>
      </c>
      <c r="C7414" t="str">
        <f>"82523053"</f>
        <v>82523053</v>
      </c>
      <c r="D7414" t="s">
        <v>22457</v>
      </c>
      <c r="E7414" t="s">
        <v>22458</v>
      </c>
      <c r="F7414" t="s">
        <v>22459</v>
      </c>
      <c r="I7414" t="s">
        <v>22335</v>
      </c>
      <c r="J7414" t="s">
        <v>30</v>
      </c>
      <c r="K7414" t="s">
        <v>22460</v>
      </c>
      <c r="M7414" t="s">
        <v>17922</v>
      </c>
      <c r="N7414" t="str">
        <f>"10/23/2013 11:29:00 AM"</f>
        <v>10/23/2013 11:29:00 AM</v>
      </c>
      <c r="O7414" t="s">
        <v>22457</v>
      </c>
      <c r="T7414" t="s">
        <v>22458</v>
      </c>
    </row>
    <row r="7415" spans="1:20" x14ac:dyDescent="0.25">
      <c r="A7415" t="str">
        <f>"3041308"</f>
        <v>3041308</v>
      </c>
      <c r="B7415" t="s">
        <v>22461</v>
      </c>
      <c r="C7415" t="str">
        <f>"82525228"</f>
        <v>82525228</v>
      </c>
      <c r="D7415" t="s">
        <v>22462</v>
      </c>
      <c r="F7415" t="s">
        <v>22463</v>
      </c>
      <c r="I7415" t="s">
        <v>22335</v>
      </c>
      <c r="J7415" t="s">
        <v>30</v>
      </c>
      <c r="K7415" t="s">
        <v>22460</v>
      </c>
      <c r="M7415" t="s">
        <v>17922</v>
      </c>
      <c r="N7415" t="str">
        <f>"10/23/2013 11:31:00 AM"</f>
        <v>10/23/2013 11:31:00 AM</v>
      </c>
      <c r="O7415" t="s">
        <v>22462</v>
      </c>
    </row>
    <row r="7416" spans="1:20" x14ac:dyDescent="0.25">
      <c r="A7416" t="str">
        <f>"3037807"</f>
        <v>3037807</v>
      </c>
      <c r="B7416" t="s">
        <v>22464</v>
      </c>
      <c r="C7416" t="str">
        <f>"82532963"</f>
        <v>82532963</v>
      </c>
      <c r="D7416" t="s">
        <v>22465</v>
      </c>
      <c r="E7416" t="s">
        <v>22466</v>
      </c>
      <c r="F7416" t="s">
        <v>22467</v>
      </c>
      <c r="I7416" t="s">
        <v>29</v>
      </c>
      <c r="J7416" t="s">
        <v>30</v>
      </c>
      <c r="K7416" t="s">
        <v>31</v>
      </c>
      <c r="M7416" t="s">
        <v>18513</v>
      </c>
      <c r="N7416" t="str">
        <f>"11/27/2013 12:23:00 PM"</f>
        <v>11/27/2013 12:23:00 PM</v>
      </c>
      <c r="O7416" t="s">
        <v>22465</v>
      </c>
      <c r="T7416" t="s">
        <v>22466</v>
      </c>
    </row>
    <row r="7417" spans="1:20" x14ac:dyDescent="0.25">
      <c r="A7417" t="str">
        <f>"3037852"</f>
        <v>3037852</v>
      </c>
      <c r="B7417" t="s">
        <v>22468</v>
      </c>
      <c r="C7417" t="str">
        <f>"82527427"</f>
        <v>82527427</v>
      </c>
      <c r="D7417" t="s">
        <v>22469</v>
      </c>
      <c r="F7417" t="s">
        <v>16478</v>
      </c>
      <c r="I7417" t="s">
        <v>22470</v>
      </c>
      <c r="J7417" t="s">
        <v>22471</v>
      </c>
      <c r="K7417" t="s">
        <v>22472</v>
      </c>
      <c r="M7417" t="s">
        <v>18513</v>
      </c>
      <c r="N7417" t="str">
        <f>"11/27/2013 2:06:00 PM"</f>
        <v>11/27/2013 2:06:00 PM</v>
      </c>
      <c r="O7417" t="s">
        <v>22469</v>
      </c>
    </row>
    <row r="7418" spans="1:20" x14ac:dyDescent="0.25">
      <c r="A7418" t="str">
        <f>"3060709"</f>
        <v>3060709</v>
      </c>
      <c r="B7418" t="s">
        <v>22473</v>
      </c>
      <c r="C7418" t="str">
        <f>"2215500"</f>
        <v>2215500</v>
      </c>
      <c r="D7418" t="s">
        <v>22474</v>
      </c>
      <c r="E7418" t="s">
        <v>22475</v>
      </c>
      <c r="G7418" t="s">
        <v>22476</v>
      </c>
      <c r="I7418" t="s">
        <v>2071</v>
      </c>
      <c r="J7418" t="s">
        <v>30</v>
      </c>
      <c r="K7418" t="s">
        <v>20078</v>
      </c>
      <c r="M7418" t="s">
        <v>18577</v>
      </c>
      <c r="N7418" t="str">
        <f>"10/25/2013 10:49:00 AM"</f>
        <v>10/25/2013 10:49:00 AM</v>
      </c>
      <c r="O7418" t="s">
        <v>22474</v>
      </c>
      <c r="T7418" t="s">
        <v>22475</v>
      </c>
    </row>
    <row r="7419" spans="1:20" x14ac:dyDescent="0.25">
      <c r="A7419" t="str">
        <f>"3042756"</f>
        <v>3042756</v>
      </c>
      <c r="B7419" t="s">
        <v>22477</v>
      </c>
      <c r="C7419" t="str">
        <f>"82527628"</f>
        <v>82527628</v>
      </c>
      <c r="D7419" t="s">
        <v>22478</v>
      </c>
      <c r="F7419" t="s">
        <v>22479</v>
      </c>
      <c r="I7419" t="s">
        <v>29</v>
      </c>
      <c r="J7419" t="s">
        <v>30</v>
      </c>
      <c r="K7419" t="str">
        <f>"27028"</f>
        <v>27028</v>
      </c>
      <c r="M7419" t="s">
        <v>18513</v>
      </c>
      <c r="N7419" t="str">
        <f>"12/3/2013 11:34:00 AM"</f>
        <v>12/3/2013 11:34:00 AM</v>
      </c>
      <c r="O7419" t="s">
        <v>22478</v>
      </c>
    </row>
    <row r="7420" spans="1:20" x14ac:dyDescent="0.25">
      <c r="A7420" t="str">
        <f>"3053116"</f>
        <v>3053116</v>
      </c>
      <c r="B7420" t="s">
        <v>22480</v>
      </c>
      <c r="C7420" t="str">
        <f>"63491870"</f>
        <v>63491870</v>
      </c>
      <c r="D7420" t="s">
        <v>22481</v>
      </c>
      <c r="E7420" t="s">
        <v>22482</v>
      </c>
      <c r="F7420" t="s">
        <v>22483</v>
      </c>
      <c r="I7420" t="s">
        <v>29</v>
      </c>
      <c r="J7420" t="s">
        <v>30</v>
      </c>
      <c r="K7420" t="str">
        <f>"27028"</f>
        <v>27028</v>
      </c>
      <c r="M7420" t="s">
        <v>18513</v>
      </c>
      <c r="N7420" t="str">
        <f>"10/30/2013 3:18:00 PM"</f>
        <v>10/30/2013 3:18:00 PM</v>
      </c>
      <c r="O7420" t="s">
        <v>22481</v>
      </c>
      <c r="T7420" t="s">
        <v>22482</v>
      </c>
    </row>
    <row r="7421" spans="1:20" x14ac:dyDescent="0.25">
      <c r="A7421" t="str">
        <f>"3048412"</f>
        <v>3048412</v>
      </c>
      <c r="B7421" t="s">
        <v>22484</v>
      </c>
      <c r="C7421" t="str">
        <f>"73836000"</f>
        <v>73836000</v>
      </c>
      <c r="D7421" t="s">
        <v>22485</v>
      </c>
      <c r="E7421" t="s">
        <v>22486</v>
      </c>
      <c r="F7421" t="s">
        <v>22487</v>
      </c>
      <c r="I7421" t="s">
        <v>29</v>
      </c>
      <c r="J7421" t="s">
        <v>30</v>
      </c>
      <c r="K7421" t="s">
        <v>31</v>
      </c>
      <c r="M7421" t="s">
        <v>17861</v>
      </c>
      <c r="N7421" t="str">
        <f>"12/3/2013 12:58:00 PM"</f>
        <v>12/3/2013 12:58:00 PM</v>
      </c>
      <c r="O7421" t="s">
        <v>22485</v>
      </c>
      <c r="T7421" t="s">
        <v>22486</v>
      </c>
    </row>
    <row r="7422" spans="1:20" x14ac:dyDescent="0.25">
      <c r="A7422" t="str">
        <f>"3038801"</f>
        <v>3038801</v>
      </c>
      <c r="B7422" t="s">
        <v>22488</v>
      </c>
      <c r="C7422" t="str">
        <f>"8302729"</f>
        <v>8302729</v>
      </c>
      <c r="D7422" t="s">
        <v>22489</v>
      </c>
      <c r="E7422" t="s">
        <v>22490</v>
      </c>
      <c r="F7422" t="s">
        <v>22491</v>
      </c>
      <c r="I7422" t="s">
        <v>29</v>
      </c>
      <c r="J7422" t="s">
        <v>30</v>
      </c>
      <c r="K7422" t="str">
        <f>"27028"</f>
        <v>27028</v>
      </c>
      <c r="M7422" t="s">
        <v>18432</v>
      </c>
      <c r="N7422" t="str">
        <f>"12/3/2013 1:20:00 PM"</f>
        <v>12/3/2013 1:20:00 PM</v>
      </c>
      <c r="O7422" t="s">
        <v>22489</v>
      </c>
      <c r="T7422" t="s">
        <v>22490</v>
      </c>
    </row>
    <row r="7423" spans="1:20" x14ac:dyDescent="0.25">
      <c r="A7423" t="str">
        <f>"3062829"</f>
        <v>3062829</v>
      </c>
      <c r="B7423" t="s">
        <v>22492</v>
      </c>
      <c r="C7423" t="str">
        <f>"8302723"</f>
        <v>8302723</v>
      </c>
      <c r="D7423" t="s">
        <v>22493</v>
      </c>
      <c r="F7423" t="s">
        <v>22494</v>
      </c>
      <c r="I7423" t="s">
        <v>29</v>
      </c>
      <c r="J7423" t="s">
        <v>30</v>
      </c>
      <c r="K7423" t="str">
        <f>"27028"</f>
        <v>27028</v>
      </c>
      <c r="M7423" t="s">
        <v>17861</v>
      </c>
      <c r="N7423" t="str">
        <f>"10/31/2013 1:56:00 PM"</f>
        <v>10/31/2013 1:56:00 PM</v>
      </c>
      <c r="O7423" t="s">
        <v>22493</v>
      </c>
    </row>
    <row r="7424" spans="1:20" x14ac:dyDescent="0.25">
      <c r="A7424" t="str">
        <f>"3050025"</f>
        <v>3050025</v>
      </c>
      <c r="B7424" t="s">
        <v>22495</v>
      </c>
      <c r="C7424" t="str">
        <f>"8302812"</f>
        <v>8302812</v>
      </c>
      <c r="D7424" t="s">
        <v>22496</v>
      </c>
      <c r="F7424" t="s">
        <v>22497</v>
      </c>
      <c r="I7424" t="s">
        <v>29</v>
      </c>
      <c r="J7424" t="s">
        <v>30</v>
      </c>
      <c r="K7424" t="str">
        <f>"27028"</f>
        <v>27028</v>
      </c>
      <c r="M7424" t="s">
        <v>17861</v>
      </c>
      <c r="N7424" t="str">
        <f>"12/3/2013 4:10:00 PM"</f>
        <v>12/3/2013 4:10:00 PM</v>
      </c>
      <c r="O7424" t="s">
        <v>22496</v>
      </c>
    </row>
    <row r="7425" spans="1:20" x14ac:dyDescent="0.25">
      <c r="A7425" t="str">
        <f>"3057958"</f>
        <v>3057958</v>
      </c>
      <c r="B7425" t="s">
        <v>22498</v>
      </c>
      <c r="C7425" t="str">
        <f>"8302727"</f>
        <v>8302727</v>
      </c>
      <c r="D7425" t="s">
        <v>22499</v>
      </c>
      <c r="E7425" t="s">
        <v>22500</v>
      </c>
      <c r="F7425" t="s">
        <v>22501</v>
      </c>
      <c r="I7425" t="s">
        <v>184</v>
      </c>
      <c r="J7425" t="s">
        <v>30</v>
      </c>
      <c r="K7425" t="str">
        <f>"27006"</f>
        <v>27006</v>
      </c>
      <c r="M7425" t="s">
        <v>17861</v>
      </c>
      <c r="N7425" t="str">
        <f>"10/31/2013 2:53:00 PM"</f>
        <v>10/31/2013 2:53:00 PM</v>
      </c>
      <c r="O7425" t="s">
        <v>22499</v>
      </c>
      <c r="T7425" t="s">
        <v>22500</v>
      </c>
    </row>
    <row r="7426" spans="1:20" x14ac:dyDescent="0.25">
      <c r="A7426" t="str">
        <f>"3063981"</f>
        <v>3063981</v>
      </c>
      <c r="B7426" t="s">
        <v>22502</v>
      </c>
      <c r="C7426" t="str">
        <f>"8302741"</f>
        <v>8302741</v>
      </c>
      <c r="D7426" t="s">
        <v>22503</v>
      </c>
      <c r="E7426" t="s">
        <v>22504</v>
      </c>
      <c r="F7426" t="s">
        <v>22505</v>
      </c>
      <c r="I7426" t="s">
        <v>184</v>
      </c>
      <c r="J7426" t="s">
        <v>30</v>
      </c>
      <c r="K7426" t="str">
        <f>"27006"</f>
        <v>27006</v>
      </c>
      <c r="M7426" t="s">
        <v>17861</v>
      </c>
      <c r="N7426" t="str">
        <f>"11/4/2013 3:30:00 PM"</f>
        <v>11/4/2013 3:30:00 PM</v>
      </c>
      <c r="O7426" t="s">
        <v>22503</v>
      </c>
      <c r="T7426" t="s">
        <v>22504</v>
      </c>
    </row>
    <row r="7427" spans="1:20" x14ac:dyDescent="0.25">
      <c r="A7427" t="str">
        <f>"3061348"</f>
        <v>3061348</v>
      </c>
      <c r="B7427" t="s">
        <v>22506</v>
      </c>
      <c r="C7427" t="str">
        <f>"38276000"</f>
        <v>38276000</v>
      </c>
      <c r="D7427" t="s">
        <v>22507</v>
      </c>
      <c r="E7427" t="s">
        <v>22508</v>
      </c>
      <c r="F7427" t="s">
        <v>22509</v>
      </c>
      <c r="I7427" t="s">
        <v>184</v>
      </c>
      <c r="J7427" t="s">
        <v>30</v>
      </c>
      <c r="K7427" t="s">
        <v>185</v>
      </c>
      <c r="M7427" t="s">
        <v>18432</v>
      </c>
      <c r="N7427" t="str">
        <f>"11/5/2013 2:30:00 PM"</f>
        <v>11/5/2013 2:30:00 PM</v>
      </c>
      <c r="O7427" t="s">
        <v>22507</v>
      </c>
      <c r="T7427" t="s">
        <v>22508</v>
      </c>
    </row>
    <row r="7428" spans="1:20" x14ac:dyDescent="0.25">
      <c r="A7428" t="str">
        <f>"3048076"</f>
        <v>3048076</v>
      </c>
      <c r="B7428" t="s">
        <v>22510</v>
      </c>
      <c r="C7428" t="str">
        <f>"8302750"</f>
        <v>8302750</v>
      </c>
      <c r="D7428" t="s">
        <v>22511</v>
      </c>
      <c r="F7428" t="s">
        <v>22512</v>
      </c>
      <c r="I7428" t="s">
        <v>184</v>
      </c>
      <c r="J7428" t="s">
        <v>30</v>
      </c>
      <c r="K7428" t="str">
        <f>"27006"</f>
        <v>27006</v>
      </c>
      <c r="M7428" t="s">
        <v>17861</v>
      </c>
      <c r="N7428" t="str">
        <f>"11/6/2013 2:55:00 PM"</f>
        <v>11/6/2013 2:55:00 PM</v>
      </c>
      <c r="O7428" t="s">
        <v>22511</v>
      </c>
    </row>
    <row r="7429" spans="1:20" x14ac:dyDescent="0.25">
      <c r="A7429" t="str">
        <f>"3047495"</f>
        <v>3047495</v>
      </c>
      <c r="B7429" t="s">
        <v>22513</v>
      </c>
      <c r="C7429" t="str">
        <f>"82532145"</f>
        <v>82532145</v>
      </c>
      <c r="D7429" t="s">
        <v>22514</v>
      </c>
      <c r="F7429" t="s">
        <v>22515</v>
      </c>
      <c r="I7429" t="s">
        <v>2280</v>
      </c>
      <c r="J7429" t="s">
        <v>30</v>
      </c>
      <c r="K7429" t="s">
        <v>9127</v>
      </c>
      <c r="M7429" t="s">
        <v>18513</v>
      </c>
      <c r="N7429" t="str">
        <f>"12/5/2013 10:49:00 AM"</f>
        <v>12/5/2013 10:49:00 AM</v>
      </c>
      <c r="O7429" t="s">
        <v>22514</v>
      </c>
    </row>
    <row r="7430" spans="1:20" x14ac:dyDescent="0.25">
      <c r="A7430" t="str">
        <f>"3078960"</f>
        <v>3078960</v>
      </c>
      <c r="B7430" t="s">
        <v>22516</v>
      </c>
      <c r="C7430" t="str">
        <f>"61554200"</f>
        <v>61554200</v>
      </c>
      <c r="D7430" t="s">
        <v>22517</v>
      </c>
      <c r="F7430" t="s">
        <v>22518</v>
      </c>
      <c r="I7430" t="s">
        <v>29</v>
      </c>
      <c r="J7430" t="s">
        <v>30</v>
      </c>
      <c r="K7430" t="str">
        <f>"27028"</f>
        <v>27028</v>
      </c>
      <c r="M7430" t="s">
        <v>18513</v>
      </c>
      <c r="N7430" t="str">
        <f>"12/5/2013 11:03:00 AM"</f>
        <v>12/5/2013 11:03:00 AM</v>
      </c>
      <c r="O7430" t="s">
        <v>22517</v>
      </c>
    </row>
    <row r="7431" spans="1:20" x14ac:dyDescent="0.25">
      <c r="A7431" t="str">
        <f>"3078979"</f>
        <v>3078979</v>
      </c>
      <c r="B7431" t="s">
        <v>22519</v>
      </c>
      <c r="C7431" t="str">
        <f>"8993000"</f>
        <v>8993000</v>
      </c>
      <c r="D7431" t="s">
        <v>22520</v>
      </c>
      <c r="F7431" t="s">
        <v>22521</v>
      </c>
      <c r="G7431" t="s">
        <v>22522</v>
      </c>
      <c r="I7431" t="s">
        <v>402</v>
      </c>
      <c r="J7431" t="s">
        <v>30</v>
      </c>
      <c r="K7431" t="s">
        <v>403</v>
      </c>
      <c r="M7431" t="s">
        <v>18432</v>
      </c>
      <c r="N7431" t="str">
        <f>"11/8/2013 11:14:00 AM"</f>
        <v>11/8/2013 11:14:00 AM</v>
      </c>
      <c r="O7431" t="s">
        <v>22520</v>
      </c>
    </row>
    <row r="7432" spans="1:20" x14ac:dyDescent="0.25">
      <c r="A7432" t="str">
        <f>"3060443"</f>
        <v>3060443</v>
      </c>
      <c r="B7432" t="s">
        <v>22523</v>
      </c>
      <c r="C7432" t="str">
        <f>"8302739"</f>
        <v>8302739</v>
      </c>
      <c r="D7432" t="s">
        <v>20946</v>
      </c>
      <c r="F7432" t="s">
        <v>20947</v>
      </c>
      <c r="I7432" t="s">
        <v>22524</v>
      </c>
      <c r="J7432" t="s">
        <v>12725</v>
      </c>
      <c r="K7432" t="str">
        <f>"32060"</f>
        <v>32060</v>
      </c>
      <c r="M7432" t="s">
        <v>18513</v>
      </c>
      <c r="N7432" t="str">
        <f>"11/8/2013 1:00:00 PM"</f>
        <v>11/8/2013 1:00:00 PM</v>
      </c>
      <c r="O7432" t="s">
        <v>20946</v>
      </c>
    </row>
    <row r="7433" spans="1:20" x14ac:dyDescent="0.25">
      <c r="A7433" t="str">
        <f>"3062923"</f>
        <v>3062923</v>
      </c>
      <c r="B7433" t="s">
        <v>22525</v>
      </c>
      <c r="C7433" t="str">
        <f>"8302154"</f>
        <v>8302154</v>
      </c>
      <c r="D7433" t="s">
        <v>21839</v>
      </c>
      <c r="E7433" t="s">
        <v>15094</v>
      </c>
      <c r="F7433" t="s">
        <v>21840</v>
      </c>
      <c r="I7433" t="s">
        <v>29</v>
      </c>
      <c r="J7433" t="s">
        <v>30</v>
      </c>
      <c r="K7433" t="str">
        <f>"27028"</f>
        <v>27028</v>
      </c>
      <c r="M7433" t="s">
        <v>17861</v>
      </c>
      <c r="N7433" t="str">
        <f>"11/12/2013 1:51:00 PM"</f>
        <v>11/12/2013 1:51:00 PM</v>
      </c>
      <c r="O7433" t="s">
        <v>21839</v>
      </c>
      <c r="T7433" t="s">
        <v>15094</v>
      </c>
    </row>
    <row r="7434" spans="1:20" x14ac:dyDescent="0.25">
      <c r="A7434" t="str">
        <f>"3054937"</f>
        <v>3054937</v>
      </c>
      <c r="B7434" t="s">
        <v>22526</v>
      </c>
      <c r="C7434" t="str">
        <f>"29181000"</f>
        <v>29181000</v>
      </c>
      <c r="D7434" t="s">
        <v>22527</v>
      </c>
      <c r="E7434" t="s">
        <v>22528</v>
      </c>
      <c r="F7434" t="s">
        <v>22529</v>
      </c>
      <c r="I7434" t="s">
        <v>29</v>
      </c>
      <c r="J7434" t="s">
        <v>30</v>
      </c>
      <c r="K7434" t="s">
        <v>31</v>
      </c>
      <c r="M7434" t="s">
        <v>20015</v>
      </c>
      <c r="N7434" t="str">
        <f>"12/10/2013 11:19:00 AM"</f>
        <v>12/10/2013 11:19:00 AM</v>
      </c>
      <c r="O7434" t="s">
        <v>22527</v>
      </c>
      <c r="T7434" t="s">
        <v>22528</v>
      </c>
    </row>
    <row r="7435" spans="1:20" x14ac:dyDescent="0.25">
      <c r="A7435" t="str">
        <f>"3049447"</f>
        <v>3049447</v>
      </c>
      <c r="B7435" t="s">
        <v>22530</v>
      </c>
      <c r="C7435" t="str">
        <f>"1228000"</f>
        <v>1228000</v>
      </c>
      <c r="D7435" t="s">
        <v>22531</v>
      </c>
      <c r="E7435" t="s">
        <v>22532</v>
      </c>
      <c r="F7435" t="s">
        <v>22533</v>
      </c>
      <c r="I7435" t="s">
        <v>29</v>
      </c>
      <c r="J7435" t="s">
        <v>30</v>
      </c>
      <c r="K7435" t="str">
        <f>"27028"</f>
        <v>27028</v>
      </c>
      <c r="M7435" t="s">
        <v>18432</v>
      </c>
      <c r="N7435" t="str">
        <f>"12/10/2013 11:52:00 AM"</f>
        <v>12/10/2013 11:52:00 AM</v>
      </c>
      <c r="O7435" t="s">
        <v>22531</v>
      </c>
      <c r="T7435" t="s">
        <v>22532</v>
      </c>
    </row>
    <row r="7436" spans="1:20" x14ac:dyDescent="0.25">
      <c r="A7436" t="str">
        <f>"3049535"</f>
        <v>3049535</v>
      </c>
      <c r="B7436" t="s">
        <v>22534</v>
      </c>
      <c r="C7436" t="str">
        <f>"1228000"</f>
        <v>1228000</v>
      </c>
      <c r="D7436" t="s">
        <v>22531</v>
      </c>
      <c r="E7436" t="s">
        <v>22532</v>
      </c>
      <c r="F7436" t="s">
        <v>22533</v>
      </c>
      <c r="I7436" t="s">
        <v>29</v>
      </c>
      <c r="J7436" t="s">
        <v>30</v>
      </c>
      <c r="K7436" t="str">
        <f>"27028"</f>
        <v>27028</v>
      </c>
      <c r="M7436" t="s">
        <v>18432</v>
      </c>
      <c r="N7436" t="str">
        <f>"12/10/2013 11:52:00 AM"</f>
        <v>12/10/2013 11:52:00 AM</v>
      </c>
      <c r="O7436" t="s">
        <v>22531</v>
      </c>
      <c r="T7436" t="s">
        <v>22532</v>
      </c>
    </row>
    <row r="7437" spans="1:20" x14ac:dyDescent="0.25">
      <c r="A7437" t="str">
        <f>"3049606"</f>
        <v>3049606</v>
      </c>
      <c r="B7437" t="s">
        <v>22535</v>
      </c>
      <c r="C7437" t="str">
        <f>"1228000"</f>
        <v>1228000</v>
      </c>
      <c r="D7437" t="s">
        <v>22531</v>
      </c>
      <c r="E7437" t="s">
        <v>22532</v>
      </c>
      <c r="F7437" t="s">
        <v>22533</v>
      </c>
      <c r="I7437" t="s">
        <v>29</v>
      </c>
      <c r="J7437" t="s">
        <v>30</v>
      </c>
      <c r="K7437" t="str">
        <f>"27028"</f>
        <v>27028</v>
      </c>
      <c r="M7437" t="s">
        <v>18432</v>
      </c>
      <c r="N7437" t="str">
        <f>"12/10/2013 11:52:00 AM"</f>
        <v>12/10/2013 11:52:00 AM</v>
      </c>
      <c r="O7437" t="s">
        <v>22531</v>
      </c>
      <c r="T7437" t="s">
        <v>22532</v>
      </c>
    </row>
    <row r="7438" spans="1:20" x14ac:dyDescent="0.25">
      <c r="A7438" t="str">
        <f>"3070226"</f>
        <v>3070226</v>
      </c>
      <c r="B7438" t="s">
        <v>22536</v>
      </c>
      <c r="C7438" t="str">
        <f>"1228000"</f>
        <v>1228000</v>
      </c>
      <c r="D7438" t="s">
        <v>22531</v>
      </c>
      <c r="E7438" t="s">
        <v>22532</v>
      </c>
      <c r="F7438" t="s">
        <v>22533</v>
      </c>
      <c r="I7438" t="s">
        <v>29</v>
      </c>
      <c r="J7438" t="s">
        <v>30</v>
      </c>
      <c r="K7438" t="str">
        <f>"27028"</f>
        <v>27028</v>
      </c>
      <c r="M7438" t="s">
        <v>18432</v>
      </c>
      <c r="N7438" t="str">
        <f>"12/10/2013 11:52:00 AM"</f>
        <v>12/10/2013 11:52:00 AM</v>
      </c>
      <c r="O7438" t="s">
        <v>22531</v>
      </c>
      <c r="T7438" t="s">
        <v>22532</v>
      </c>
    </row>
    <row r="7439" spans="1:20" x14ac:dyDescent="0.25">
      <c r="A7439" t="str">
        <f>"3049151"</f>
        <v>3049151</v>
      </c>
      <c r="B7439" t="s">
        <v>22537</v>
      </c>
      <c r="C7439" t="str">
        <f>"8302154"</f>
        <v>8302154</v>
      </c>
      <c r="D7439" t="s">
        <v>21839</v>
      </c>
      <c r="E7439" t="s">
        <v>15094</v>
      </c>
      <c r="F7439" t="s">
        <v>21840</v>
      </c>
      <c r="I7439" t="s">
        <v>29</v>
      </c>
      <c r="J7439" t="s">
        <v>30</v>
      </c>
      <c r="K7439" t="str">
        <f>"27028"</f>
        <v>27028</v>
      </c>
      <c r="M7439" t="s">
        <v>17861</v>
      </c>
      <c r="N7439" t="str">
        <f>"11/12/2013 1:51:00 PM"</f>
        <v>11/12/2013 1:51:00 PM</v>
      </c>
      <c r="O7439" t="s">
        <v>21839</v>
      </c>
      <c r="T7439" t="s">
        <v>15094</v>
      </c>
    </row>
    <row r="7440" spans="1:20" x14ac:dyDescent="0.25">
      <c r="A7440" t="str">
        <f>"3044704"</f>
        <v>3044704</v>
      </c>
      <c r="B7440" t="s">
        <v>22538</v>
      </c>
      <c r="C7440" t="str">
        <f>"82532347"</f>
        <v>82532347</v>
      </c>
      <c r="D7440" t="s">
        <v>22539</v>
      </c>
      <c r="E7440" t="s">
        <v>22540</v>
      </c>
      <c r="F7440" t="s">
        <v>22541</v>
      </c>
      <c r="I7440" t="s">
        <v>184</v>
      </c>
      <c r="J7440" t="s">
        <v>30</v>
      </c>
      <c r="K7440" t="s">
        <v>185</v>
      </c>
      <c r="M7440" t="s">
        <v>18432</v>
      </c>
      <c r="N7440" t="str">
        <f>"11/15/2013 1:21:00 PM"</f>
        <v>11/15/2013 1:21:00 PM</v>
      </c>
      <c r="O7440" t="s">
        <v>22539</v>
      </c>
      <c r="T7440" t="s">
        <v>22540</v>
      </c>
    </row>
    <row r="7441" spans="1:20" x14ac:dyDescent="0.25">
      <c r="A7441" t="str">
        <f>"3056943"</f>
        <v>3056943</v>
      </c>
      <c r="B7441" t="s">
        <v>22542</v>
      </c>
      <c r="C7441" t="str">
        <f>"8302920"</f>
        <v>8302920</v>
      </c>
      <c r="D7441" t="s">
        <v>22543</v>
      </c>
      <c r="E7441" t="s">
        <v>22544</v>
      </c>
      <c r="F7441" t="s">
        <v>22545</v>
      </c>
      <c r="I7441" t="s">
        <v>2280</v>
      </c>
      <c r="J7441" t="s">
        <v>30</v>
      </c>
      <c r="K7441" t="str">
        <f>"27295"</f>
        <v>27295</v>
      </c>
      <c r="M7441" t="s">
        <v>17861</v>
      </c>
      <c r="N7441" t="str">
        <f>"12/13/2013 4:10:00 PM"</f>
        <v>12/13/2013 4:10:00 PM</v>
      </c>
      <c r="O7441" t="s">
        <v>22543</v>
      </c>
      <c r="T7441" t="s">
        <v>22544</v>
      </c>
    </row>
    <row r="7442" spans="1:20" x14ac:dyDescent="0.25">
      <c r="A7442" t="str">
        <f>"3050719"</f>
        <v>3050719</v>
      </c>
      <c r="B7442" t="s">
        <v>22546</v>
      </c>
      <c r="C7442" t="str">
        <f>"8302922"</f>
        <v>8302922</v>
      </c>
      <c r="D7442" t="s">
        <v>22547</v>
      </c>
      <c r="E7442" t="s">
        <v>22548</v>
      </c>
      <c r="F7442" t="s">
        <v>22549</v>
      </c>
      <c r="I7442" t="s">
        <v>184</v>
      </c>
      <c r="J7442" t="s">
        <v>30</v>
      </c>
      <c r="K7442" t="str">
        <f>"27006"</f>
        <v>27006</v>
      </c>
      <c r="M7442" t="s">
        <v>17861</v>
      </c>
      <c r="N7442" t="str">
        <f>"12/13/2013 4:14:00 PM"</f>
        <v>12/13/2013 4:14:00 PM</v>
      </c>
      <c r="O7442" t="s">
        <v>22547</v>
      </c>
      <c r="T7442" t="s">
        <v>22548</v>
      </c>
    </row>
    <row r="7443" spans="1:20" x14ac:dyDescent="0.25">
      <c r="A7443" t="str">
        <f>"3060198"</f>
        <v>3060198</v>
      </c>
      <c r="B7443" t="s">
        <v>22550</v>
      </c>
      <c r="C7443" t="str">
        <f>"50102500"</f>
        <v>50102500</v>
      </c>
      <c r="D7443" t="s">
        <v>22551</v>
      </c>
      <c r="E7443" t="s">
        <v>22552</v>
      </c>
      <c r="F7443" t="s">
        <v>22553</v>
      </c>
      <c r="I7443" t="s">
        <v>29</v>
      </c>
      <c r="J7443" t="s">
        <v>30</v>
      </c>
      <c r="K7443" t="s">
        <v>31</v>
      </c>
      <c r="M7443" t="s">
        <v>17861</v>
      </c>
      <c r="N7443" t="str">
        <f>"11/18/2013 12:35:00 PM"</f>
        <v>11/18/2013 12:35:00 PM</v>
      </c>
      <c r="O7443" t="s">
        <v>22551</v>
      </c>
      <c r="T7443" t="s">
        <v>22552</v>
      </c>
    </row>
    <row r="7444" spans="1:20" x14ac:dyDescent="0.25">
      <c r="A7444" t="str">
        <f>"3052414"</f>
        <v>3052414</v>
      </c>
      <c r="B7444" t="s">
        <v>22554</v>
      </c>
      <c r="C7444" t="str">
        <f t="shared" ref="C7444:C7456" si="111">"30110248"</f>
        <v>30110248</v>
      </c>
      <c r="D7444" t="s">
        <v>22555</v>
      </c>
      <c r="F7444" t="s">
        <v>22556</v>
      </c>
      <c r="I7444" t="s">
        <v>471</v>
      </c>
      <c r="J7444" t="s">
        <v>30</v>
      </c>
      <c r="K7444" t="s">
        <v>1210</v>
      </c>
      <c r="M7444" t="s">
        <v>18432</v>
      </c>
      <c r="N7444" t="str">
        <f t="shared" ref="N7444:N7456" si="112">"12/16/2013 4:41:00 PM"</f>
        <v>12/16/2013 4:41:00 PM</v>
      </c>
      <c r="O7444" t="s">
        <v>22555</v>
      </c>
    </row>
    <row r="7445" spans="1:20" x14ac:dyDescent="0.25">
      <c r="A7445" t="str">
        <f>"3052368"</f>
        <v>3052368</v>
      </c>
      <c r="B7445" t="s">
        <v>22557</v>
      </c>
      <c r="C7445" t="str">
        <f t="shared" si="111"/>
        <v>30110248</v>
      </c>
      <c r="D7445" t="s">
        <v>22555</v>
      </c>
      <c r="F7445" t="s">
        <v>22556</v>
      </c>
      <c r="I7445" t="s">
        <v>471</v>
      </c>
      <c r="J7445" t="s">
        <v>30</v>
      </c>
      <c r="K7445" t="s">
        <v>1210</v>
      </c>
      <c r="M7445" t="s">
        <v>18432</v>
      </c>
      <c r="N7445" t="str">
        <f t="shared" si="112"/>
        <v>12/16/2013 4:41:00 PM</v>
      </c>
      <c r="O7445" t="s">
        <v>22555</v>
      </c>
    </row>
    <row r="7446" spans="1:20" x14ac:dyDescent="0.25">
      <c r="A7446" t="str">
        <f>"3052384"</f>
        <v>3052384</v>
      </c>
      <c r="B7446" t="s">
        <v>22558</v>
      </c>
      <c r="C7446" t="str">
        <f t="shared" si="111"/>
        <v>30110248</v>
      </c>
      <c r="D7446" t="s">
        <v>22555</v>
      </c>
      <c r="F7446" t="s">
        <v>22556</v>
      </c>
      <c r="I7446" t="s">
        <v>471</v>
      </c>
      <c r="J7446" t="s">
        <v>30</v>
      </c>
      <c r="K7446" t="s">
        <v>1210</v>
      </c>
      <c r="M7446" t="s">
        <v>18432</v>
      </c>
      <c r="N7446" t="str">
        <f t="shared" si="112"/>
        <v>12/16/2013 4:41:00 PM</v>
      </c>
      <c r="O7446" t="s">
        <v>22555</v>
      </c>
    </row>
    <row r="7447" spans="1:20" x14ac:dyDescent="0.25">
      <c r="A7447" t="str">
        <f>"3052377"</f>
        <v>3052377</v>
      </c>
      <c r="B7447" t="s">
        <v>22559</v>
      </c>
      <c r="C7447" t="str">
        <f t="shared" si="111"/>
        <v>30110248</v>
      </c>
      <c r="D7447" t="s">
        <v>22555</v>
      </c>
      <c r="F7447" t="s">
        <v>22556</v>
      </c>
      <c r="I7447" t="s">
        <v>471</v>
      </c>
      <c r="J7447" t="s">
        <v>30</v>
      </c>
      <c r="K7447" t="s">
        <v>1210</v>
      </c>
      <c r="M7447" t="s">
        <v>18432</v>
      </c>
      <c r="N7447" t="str">
        <f t="shared" si="112"/>
        <v>12/16/2013 4:41:00 PM</v>
      </c>
      <c r="O7447" t="s">
        <v>22555</v>
      </c>
    </row>
    <row r="7448" spans="1:20" x14ac:dyDescent="0.25">
      <c r="A7448" t="str">
        <f>"3052330"</f>
        <v>3052330</v>
      </c>
      <c r="B7448" t="s">
        <v>22560</v>
      </c>
      <c r="C7448" t="str">
        <f t="shared" si="111"/>
        <v>30110248</v>
      </c>
      <c r="D7448" t="s">
        <v>22555</v>
      </c>
      <c r="F7448" t="s">
        <v>22556</v>
      </c>
      <c r="I7448" t="s">
        <v>471</v>
      </c>
      <c r="J7448" t="s">
        <v>30</v>
      </c>
      <c r="K7448" t="s">
        <v>1210</v>
      </c>
      <c r="M7448" t="s">
        <v>18432</v>
      </c>
      <c r="N7448" t="str">
        <f t="shared" si="112"/>
        <v>12/16/2013 4:41:00 PM</v>
      </c>
      <c r="O7448" t="s">
        <v>22555</v>
      </c>
    </row>
    <row r="7449" spans="1:20" x14ac:dyDescent="0.25">
      <c r="A7449" t="str">
        <f>"3052358"</f>
        <v>3052358</v>
      </c>
      <c r="B7449" t="s">
        <v>22561</v>
      </c>
      <c r="C7449" t="str">
        <f t="shared" si="111"/>
        <v>30110248</v>
      </c>
      <c r="D7449" t="s">
        <v>22555</v>
      </c>
      <c r="F7449" t="s">
        <v>22556</v>
      </c>
      <c r="I7449" t="s">
        <v>471</v>
      </c>
      <c r="J7449" t="s">
        <v>30</v>
      </c>
      <c r="K7449" t="s">
        <v>1210</v>
      </c>
      <c r="M7449" t="s">
        <v>18432</v>
      </c>
      <c r="N7449" t="str">
        <f t="shared" si="112"/>
        <v>12/16/2013 4:41:00 PM</v>
      </c>
      <c r="O7449" t="s">
        <v>22555</v>
      </c>
    </row>
    <row r="7450" spans="1:20" x14ac:dyDescent="0.25">
      <c r="A7450" t="str">
        <f>"3052516"</f>
        <v>3052516</v>
      </c>
      <c r="B7450" t="s">
        <v>22562</v>
      </c>
      <c r="C7450" t="str">
        <f t="shared" si="111"/>
        <v>30110248</v>
      </c>
      <c r="D7450" t="s">
        <v>22555</v>
      </c>
      <c r="F7450" t="s">
        <v>22556</v>
      </c>
      <c r="I7450" t="s">
        <v>471</v>
      </c>
      <c r="J7450" t="s">
        <v>30</v>
      </c>
      <c r="K7450" t="s">
        <v>1210</v>
      </c>
      <c r="M7450" t="s">
        <v>18432</v>
      </c>
      <c r="N7450" t="str">
        <f t="shared" si="112"/>
        <v>12/16/2013 4:41:00 PM</v>
      </c>
      <c r="O7450" t="s">
        <v>22555</v>
      </c>
    </row>
    <row r="7451" spans="1:20" x14ac:dyDescent="0.25">
      <c r="A7451" t="str">
        <f>"3052520"</f>
        <v>3052520</v>
      </c>
      <c r="B7451" t="s">
        <v>22563</v>
      </c>
      <c r="C7451" t="str">
        <f t="shared" si="111"/>
        <v>30110248</v>
      </c>
      <c r="D7451" t="s">
        <v>22555</v>
      </c>
      <c r="F7451" t="s">
        <v>22556</v>
      </c>
      <c r="I7451" t="s">
        <v>471</v>
      </c>
      <c r="J7451" t="s">
        <v>30</v>
      </c>
      <c r="K7451" t="s">
        <v>1210</v>
      </c>
      <c r="M7451" t="s">
        <v>18432</v>
      </c>
      <c r="N7451" t="str">
        <f t="shared" si="112"/>
        <v>12/16/2013 4:41:00 PM</v>
      </c>
      <c r="O7451" t="s">
        <v>22555</v>
      </c>
    </row>
    <row r="7452" spans="1:20" x14ac:dyDescent="0.25">
      <c r="A7452" t="str">
        <f>"3037202"</f>
        <v>3037202</v>
      </c>
      <c r="B7452" t="s">
        <v>22564</v>
      </c>
      <c r="C7452" t="str">
        <f t="shared" si="111"/>
        <v>30110248</v>
      </c>
      <c r="D7452" t="s">
        <v>22555</v>
      </c>
      <c r="F7452" t="s">
        <v>22556</v>
      </c>
      <c r="I7452" t="s">
        <v>471</v>
      </c>
      <c r="J7452" t="s">
        <v>30</v>
      </c>
      <c r="K7452" t="s">
        <v>1210</v>
      </c>
      <c r="M7452" t="s">
        <v>18432</v>
      </c>
      <c r="N7452" t="str">
        <f t="shared" si="112"/>
        <v>12/16/2013 4:41:00 PM</v>
      </c>
      <c r="O7452" t="s">
        <v>22555</v>
      </c>
    </row>
    <row r="7453" spans="1:20" x14ac:dyDescent="0.25">
      <c r="A7453" t="str">
        <f>"3037170"</f>
        <v>3037170</v>
      </c>
      <c r="B7453" t="s">
        <v>22565</v>
      </c>
      <c r="C7453" t="str">
        <f t="shared" si="111"/>
        <v>30110248</v>
      </c>
      <c r="D7453" t="s">
        <v>22555</v>
      </c>
      <c r="F7453" t="s">
        <v>22556</v>
      </c>
      <c r="I7453" t="s">
        <v>471</v>
      </c>
      <c r="J7453" t="s">
        <v>30</v>
      </c>
      <c r="K7453" t="s">
        <v>1210</v>
      </c>
      <c r="M7453" t="s">
        <v>18432</v>
      </c>
      <c r="N7453" t="str">
        <f t="shared" si="112"/>
        <v>12/16/2013 4:41:00 PM</v>
      </c>
      <c r="O7453" t="s">
        <v>22555</v>
      </c>
    </row>
    <row r="7454" spans="1:20" x14ac:dyDescent="0.25">
      <c r="A7454" t="str">
        <f>"3037173"</f>
        <v>3037173</v>
      </c>
      <c r="B7454" t="s">
        <v>22566</v>
      </c>
      <c r="C7454" t="str">
        <f t="shared" si="111"/>
        <v>30110248</v>
      </c>
      <c r="D7454" t="s">
        <v>22555</v>
      </c>
      <c r="F7454" t="s">
        <v>22556</v>
      </c>
      <c r="I7454" t="s">
        <v>471</v>
      </c>
      <c r="J7454" t="s">
        <v>30</v>
      </c>
      <c r="K7454" t="s">
        <v>1210</v>
      </c>
      <c r="M7454" t="s">
        <v>18432</v>
      </c>
      <c r="N7454" t="str">
        <f t="shared" si="112"/>
        <v>12/16/2013 4:41:00 PM</v>
      </c>
      <c r="O7454" t="s">
        <v>22555</v>
      </c>
    </row>
    <row r="7455" spans="1:20" x14ac:dyDescent="0.25">
      <c r="A7455" t="str">
        <f>"3040418"</f>
        <v>3040418</v>
      </c>
      <c r="B7455" t="s">
        <v>22567</v>
      </c>
      <c r="C7455" t="str">
        <f t="shared" si="111"/>
        <v>30110248</v>
      </c>
      <c r="D7455" t="s">
        <v>22555</v>
      </c>
      <c r="F7455" t="s">
        <v>22556</v>
      </c>
      <c r="I7455" t="s">
        <v>471</v>
      </c>
      <c r="J7455" t="s">
        <v>30</v>
      </c>
      <c r="K7455" t="s">
        <v>1210</v>
      </c>
      <c r="M7455" t="s">
        <v>18432</v>
      </c>
      <c r="N7455" t="str">
        <f t="shared" si="112"/>
        <v>12/16/2013 4:41:00 PM</v>
      </c>
      <c r="O7455" t="s">
        <v>22555</v>
      </c>
    </row>
    <row r="7456" spans="1:20" x14ac:dyDescent="0.25">
      <c r="A7456" t="str">
        <f>"3076939"</f>
        <v>3076939</v>
      </c>
      <c r="B7456" t="s">
        <v>22568</v>
      </c>
      <c r="C7456" t="str">
        <f t="shared" si="111"/>
        <v>30110248</v>
      </c>
      <c r="D7456" t="s">
        <v>22555</v>
      </c>
      <c r="F7456" t="s">
        <v>22556</v>
      </c>
      <c r="I7456" t="s">
        <v>471</v>
      </c>
      <c r="J7456" t="s">
        <v>30</v>
      </c>
      <c r="K7456" t="s">
        <v>1210</v>
      </c>
      <c r="M7456" t="s">
        <v>18432</v>
      </c>
      <c r="N7456" t="str">
        <f t="shared" si="112"/>
        <v>12/16/2013 4:41:00 PM</v>
      </c>
      <c r="O7456" t="s">
        <v>22555</v>
      </c>
    </row>
    <row r="7457" spans="1:20" x14ac:dyDescent="0.25">
      <c r="A7457" t="str">
        <f>"3061791"</f>
        <v>3061791</v>
      </c>
      <c r="B7457" t="s">
        <v>22569</v>
      </c>
      <c r="C7457" t="str">
        <f>"8302952"</f>
        <v>8302952</v>
      </c>
      <c r="D7457" t="s">
        <v>22570</v>
      </c>
      <c r="F7457" t="s">
        <v>22571</v>
      </c>
      <c r="I7457" t="s">
        <v>184</v>
      </c>
      <c r="J7457" t="s">
        <v>30</v>
      </c>
      <c r="K7457" t="str">
        <f>"27006"</f>
        <v>27006</v>
      </c>
      <c r="M7457" t="s">
        <v>17861</v>
      </c>
      <c r="N7457" t="str">
        <f>"12/17/2013 1:04:00 PM"</f>
        <v>12/17/2013 1:04:00 PM</v>
      </c>
      <c r="O7457" t="s">
        <v>22570</v>
      </c>
    </row>
    <row r="7458" spans="1:20" x14ac:dyDescent="0.25">
      <c r="A7458" t="str">
        <f>"3051346"</f>
        <v>3051346</v>
      </c>
      <c r="B7458" t="s">
        <v>22572</v>
      </c>
      <c r="C7458" t="str">
        <f>"8302771"</f>
        <v>8302771</v>
      </c>
      <c r="D7458" t="s">
        <v>22573</v>
      </c>
      <c r="F7458" t="s">
        <v>22574</v>
      </c>
      <c r="I7458" t="s">
        <v>29</v>
      </c>
      <c r="J7458" t="s">
        <v>30</v>
      </c>
      <c r="K7458" t="str">
        <f>"27028"</f>
        <v>27028</v>
      </c>
      <c r="M7458" t="s">
        <v>17861</v>
      </c>
      <c r="N7458" t="str">
        <f>"11/19/2013 1:41:00 PM"</f>
        <v>11/19/2013 1:41:00 PM</v>
      </c>
      <c r="O7458" t="s">
        <v>22573</v>
      </c>
    </row>
    <row r="7459" spans="1:20" x14ac:dyDescent="0.25">
      <c r="A7459" t="str">
        <f>"3049212"</f>
        <v>3049212</v>
      </c>
      <c r="B7459" t="s">
        <v>22575</v>
      </c>
      <c r="C7459" t="str">
        <f>"82531424"</f>
        <v>82531424</v>
      </c>
      <c r="D7459" t="s">
        <v>22576</v>
      </c>
      <c r="F7459" t="s">
        <v>17989</v>
      </c>
      <c r="I7459" t="s">
        <v>29</v>
      </c>
      <c r="J7459" t="s">
        <v>30</v>
      </c>
      <c r="K7459" t="s">
        <v>31</v>
      </c>
      <c r="M7459" t="s">
        <v>18432</v>
      </c>
      <c r="N7459" t="str">
        <f>"12/17/2013 4:16:00 PM"</f>
        <v>12/17/2013 4:16:00 PM</v>
      </c>
      <c r="O7459" t="s">
        <v>22576</v>
      </c>
    </row>
    <row r="7460" spans="1:20" x14ac:dyDescent="0.25">
      <c r="A7460" t="str">
        <f>"3048671"</f>
        <v>3048671</v>
      </c>
      <c r="B7460" t="s">
        <v>22577</v>
      </c>
      <c r="C7460" t="str">
        <f>"82531424"</f>
        <v>82531424</v>
      </c>
      <c r="D7460" t="s">
        <v>22576</v>
      </c>
      <c r="F7460" t="s">
        <v>17989</v>
      </c>
      <c r="I7460" t="s">
        <v>29</v>
      </c>
      <c r="J7460" t="s">
        <v>30</v>
      </c>
      <c r="K7460" t="s">
        <v>31</v>
      </c>
      <c r="M7460" t="s">
        <v>18432</v>
      </c>
      <c r="N7460" t="str">
        <f>"12/17/2013 4:16:00 PM"</f>
        <v>12/17/2013 4:16:00 PM</v>
      </c>
      <c r="O7460" t="s">
        <v>22576</v>
      </c>
    </row>
    <row r="7461" spans="1:20" x14ac:dyDescent="0.25">
      <c r="A7461" t="str">
        <f>"3048875"</f>
        <v>3048875</v>
      </c>
      <c r="B7461" t="s">
        <v>22578</v>
      </c>
      <c r="C7461" t="str">
        <f>"82531424"</f>
        <v>82531424</v>
      </c>
      <c r="D7461" t="s">
        <v>22576</v>
      </c>
      <c r="F7461" t="s">
        <v>17989</v>
      </c>
      <c r="I7461" t="s">
        <v>29</v>
      </c>
      <c r="J7461" t="s">
        <v>30</v>
      </c>
      <c r="K7461" t="s">
        <v>31</v>
      </c>
      <c r="M7461" t="s">
        <v>18432</v>
      </c>
      <c r="N7461" t="str">
        <f>"12/17/2013 4:16:00 PM"</f>
        <v>12/17/2013 4:16:00 PM</v>
      </c>
      <c r="O7461" t="s">
        <v>22576</v>
      </c>
    </row>
    <row r="7462" spans="1:20" x14ac:dyDescent="0.25">
      <c r="A7462" t="str">
        <f>"3042977"</f>
        <v>3042977</v>
      </c>
      <c r="B7462" t="s">
        <v>22579</v>
      </c>
      <c r="C7462" t="str">
        <f>"8302967"</f>
        <v>8302967</v>
      </c>
      <c r="D7462" t="s">
        <v>22580</v>
      </c>
      <c r="F7462" t="s">
        <v>22581</v>
      </c>
      <c r="I7462" t="s">
        <v>29</v>
      </c>
      <c r="J7462" t="s">
        <v>30</v>
      </c>
      <c r="K7462" t="str">
        <f>"27028"</f>
        <v>27028</v>
      </c>
      <c r="M7462" t="s">
        <v>17861</v>
      </c>
      <c r="N7462" t="str">
        <f>"12/18/2013 11:34:00 AM"</f>
        <v>12/18/2013 11:34:00 AM</v>
      </c>
      <c r="O7462" t="s">
        <v>22580</v>
      </c>
    </row>
    <row r="7463" spans="1:20" x14ac:dyDescent="0.25">
      <c r="A7463" t="str">
        <f>"3048580"</f>
        <v>3048580</v>
      </c>
      <c r="B7463" t="s">
        <v>22582</v>
      </c>
      <c r="C7463" t="str">
        <f>"82532124"</f>
        <v>82532124</v>
      </c>
      <c r="D7463" t="s">
        <v>22583</v>
      </c>
      <c r="E7463" t="s">
        <v>18212</v>
      </c>
      <c r="F7463" t="s">
        <v>22584</v>
      </c>
      <c r="I7463" t="s">
        <v>184</v>
      </c>
      <c r="J7463" t="s">
        <v>30</v>
      </c>
      <c r="K7463" t="s">
        <v>185</v>
      </c>
      <c r="M7463" t="s">
        <v>18513</v>
      </c>
      <c r="N7463" t="str">
        <f>"11/21/2013 2:12:00 PM"</f>
        <v>11/21/2013 2:12:00 PM</v>
      </c>
      <c r="O7463" t="s">
        <v>22583</v>
      </c>
      <c r="T7463" t="s">
        <v>18212</v>
      </c>
    </row>
    <row r="7464" spans="1:20" x14ac:dyDescent="0.25">
      <c r="A7464" t="str">
        <f>"3066332"</f>
        <v>3066332</v>
      </c>
      <c r="B7464" t="s">
        <v>22585</v>
      </c>
      <c r="C7464" t="str">
        <f>"8302792"</f>
        <v>8302792</v>
      </c>
      <c r="D7464" t="s">
        <v>22586</v>
      </c>
      <c r="F7464" t="s">
        <v>22587</v>
      </c>
      <c r="I7464" t="s">
        <v>29</v>
      </c>
      <c r="J7464" t="s">
        <v>30</v>
      </c>
      <c r="K7464" t="str">
        <f>"27028"</f>
        <v>27028</v>
      </c>
      <c r="M7464" t="s">
        <v>17861</v>
      </c>
      <c r="N7464" t="str">
        <f>"11/25/2013 3:27:00 PM"</f>
        <v>11/25/2013 3:27:00 PM</v>
      </c>
      <c r="O7464" t="s">
        <v>22586</v>
      </c>
    </row>
    <row r="7465" spans="1:20" x14ac:dyDescent="0.25">
      <c r="A7465" t="str">
        <f>"3052133"</f>
        <v>3052133</v>
      </c>
      <c r="B7465" t="s">
        <v>22588</v>
      </c>
      <c r="C7465" t="str">
        <f>"82521110"</f>
        <v>82521110</v>
      </c>
      <c r="D7465" t="s">
        <v>22589</v>
      </c>
      <c r="E7465" t="s">
        <v>22590</v>
      </c>
      <c r="F7465" t="s">
        <v>22591</v>
      </c>
      <c r="I7465" t="s">
        <v>29</v>
      </c>
      <c r="J7465" t="s">
        <v>30</v>
      </c>
      <c r="K7465" t="s">
        <v>31</v>
      </c>
      <c r="M7465" t="s">
        <v>18513</v>
      </c>
      <c r="N7465" t="str">
        <f>"12/27/2013 2:22:00 PM"</f>
        <v>12/27/2013 2:22:00 PM</v>
      </c>
      <c r="O7465" t="s">
        <v>22589</v>
      </c>
      <c r="T7465" t="s">
        <v>22590</v>
      </c>
    </row>
    <row r="7466" spans="1:20" x14ac:dyDescent="0.25">
      <c r="A7466" t="str">
        <f>"3057361"</f>
        <v>3057361</v>
      </c>
      <c r="B7466" t="s">
        <v>22592</v>
      </c>
      <c r="C7466" t="str">
        <f>"8302398"</f>
        <v>8302398</v>
      </c>
      <c r="D7466" t="s">
        <v>22593</v>
      </c>
      <c r="F7466" t="s">
        <v>22594</v>
      </c>
      <c r="I7466" t="s">
        <v>184</v>
      </c>
      <c r="J7466" t="s">
        <v>30</v>
      </c>
      <c r="K7466" t="str">
        <f>"27006"</f>
        <v>27006</v>
      </c>
      <c r="M7466" t="s">
        <v>20015</v>
      </c>
      <c r="N7466" t="str">
        <f>"12/27/2013 4:10:00 PM"</f>
        <v>12/27/2013 4:10:00 PM</v>
      </c>
      <c r="O7466" t="s">
        <v>22593</v>
      </c>
    </row>
    <row r="7467" spans="1:20" x14ac:dyDescent="0.25">
      <c r="A7467" t="str">
        <f>"3044179"</f>
        <v>3044179</v>
      </c>
      <c r="B7467" t="s">
        <v>22595</v>
      </c>
      <c r="C7467" t="str">
        <f>"8302398"</f>
        <v>8302398</v>
      </c>
      <c r="D7467" t="s">
        <v>22593</v>
      </c>
      <c r="F7467" t="s">
        <v>22594</v>
      </c>
      <c r="I7467" t="s">
        <v>184</v>
      </c>
      <c r="J7467" t="s">
        <v>30</v>
      </c>
      <c r="K7467" t="str">
        <f>"27006"</f>
        <v>27006</v>
      </c>
      <c r="M7467" t="s">
        <v>20015</v>
      </c>
      <c r="N7467" t="str">
        <f>"12/27/2013 4:10:00 PM"</f>
        <v>12/27/2013 4:10:00 PM</v>
      </c>
      <c r="O7467" t="s">
        <v>22593</v>
      </c>
    </row>
    <row r="7468" spans="1:20" x14ac:dyDescent="0.25">
      <c r="A7468" t="str">
        <f>"3062414"</f>
        <v>3062414</v>
      </c>
      <c r="B7468" t="s">
        <v>22596</v>
      </c>
      <c r="C7468" t="str">
        <f>"6236500"</f>
        <v>6236500</v>
      </c>
      <c r="D7468" t="s">
        <v>22597</v>
      </c>
      <c r="F7468" t="s">
        <v>22598</v>
      </c>
      <c r="I7468" t="s">
        <v>22335</v>
      </c>
      <c r="J7468" t="s">
        <v>30</v>
      </c>
      <c r="K7468" t="s">
        <v>3885</v>
      </c>
      <c r="M7468" t="s">
        <v>17922</v>
      </c>
      <c r="N7468" t="str">
        <f>"10/22/2013 4:50:00 PM"</f>
        <v>10/22/2013 4:50:00 PM</v>
      </c>
      <c r="O7468" t="s">
        <v>22597</v>
      </c>
    </row>
    <row r="7469" spans="1:20" x14ac:dyDescent="0.25">
      <c r="A7469" t="str">
        <f>"3041279"</f>
        <v>3041279</v>
      </c>
      <c r="B7469" t="s">
        <v>22599</v>
      </c>
      <c r="C7469" t="str">
        <f>"82524942"</f>
        <v>82524942</v>
      </c>
      <c r="D7469" t="s">
        <v>22600</v>
      </c>
      <c r="E7469" t="s">
        <v>22601</v>
      </c>
      <c r="F7469" t="s">
        <v>22602</v>
      </c>
      <c r="I7469" t="s">
        <v>22335</v>
      </c>
      <c r="J7469" t="s">
        <v>30</v>
      </c>
      <c r="K7469" t="s">
        <v>185</v>
      </c>
      <c r="M7469" t="s">
        <v>17922</v>
      </c>
      <c r="N7469" t="str">
        <f>"10/22/2013 4:57:00 PM"</f>
        <v>10/22/2013 4:57:00 PM</v>
      </c>
      <c r="O7469" t="s">
        <v>22600</v>
      </c>
      <c r="T7469" t="s">
        <v>22601</v>
      </c>
    </row>
    <row r="7470" spans="1:20" x14ac:dyDescent="0.25">
      <c r="A7470" t="str">
        <f>"3041273"</f>
        <v>3041273</v>
      </c>
      <c r="B7470" t="s">
        <v>22603</v>
      </c>
      <c r="C7470" t="str">
        <f>"32482000"</f>
        <v>32482000</v>
      </c>
      <c r="D7470" t="s">
        <v>22604</v>
      </c>
      <c r="E7470" t="s">
        <v>22605</v>
      </c>
      <c r="F7470" t="s">
        <v>22606</v>
      </c>
      <c r="I7470" t="s">
        <v>22335</v>
      </c>
      <c r="J7470" t="s">
        <v>30</v>
      </c>
      <c r="K7470" t="s">
        <v>2136</v>
      </c>
      <c r="M7470" t="s">
        <v>17922</v>
      </c>
      <c r="N7470" t="str">
        <f>"10/22/2013 4:58:00 PM"</f>
        <v>10/22/2013 4:58:00 PM</v>
      </c>
      <c r="O7470" t="s">
        <v>22604</v>
      </c>
      <c r="T7470" t="s">
        <v>22605</v>
      </c>
    </row>
    <row r="7471" spans="1:20" x14ac:dyDescent="0.25">
      <c r="A7471" t="str">
        <f>"3046372"</f>
        <v>3046372</v>
      </c>
      <c r="B7471" t="s">
        <v>22607</v>
      </c>
      <c r="C7471" t="str">
        <f>"35412470"</f>
        <v>35412470</v>
      </c>
      <c r="D7471" t="s">
        <v>22608</v>
      </c>
      <c r="F7471" t="s">
        <v>22609</v>
      </c>
      <c r="I7471" t="s">
        <v>22610</v>
      </c>
      <c r="J7471" t="s">
        <v>12725</v>
      </c>
      <c r="K7471" t="s">
        <v>22611</v>
      </c>
      <c r="M7471" t="s">
        <v>18513</v>
      </c>
      <c r="N7471" t="str">
        <f>"11/27/2013 11:08:00 AM"</f>
        <v>11/27/2013 11:08:00 AM</v>
      </c>
      <c r="O7471" t="s">
        <v>22608</v>
      </c>
    </row>
    <row r="7472" spans="1:20" x14ac:dyDescent="0.25">
      <c r="A7472" t="str">
        <f>"3038357"</f>
        <v>3038357</v>
      </c>
      <c r="B7472" t="s">
        <v>22612</v>
      </c>
      <c r="C7472" t="str">
        <f>"82532963"</f>
        <v>82532963</v>
      </c>
      <c r="D7472" t="s">
        <v>22465</v>
      </c>
      <c r="E7472" t="s">
        <v>22466</v>
      </c>
      <c r="F7472" t="s">
        <v>22467</v>
      </c>
      <c r="I7472" t="s">
        <v>29</v>
      </c>
      <c r="J7472" t="s">
        <v>30</v>
      </c>
      <c r="K7472" t="s">
        <v>31</v>
      </c>
      <c r="M7472" t="s">
        <v>18513</v>
      </c>
      <c r="N7472" t="str">
        <f>"11/27/2013 12:23:00 PM"</f>
        <v>11/27/2013 12:23:00 PM</v>
      </c>
      <c r="O7472" t="s">
        <v>22465</v>
      </c>
      <c r="T7472" t="s">
        <v>22466</v>
      </c>
    </row>
    <row r="7473" spans="1:20" x14ac:dyDescent="0.25">
      <c r="A7473" t="str">
        <f>"3049022"</f>
        <v>3049022</v>
      </c>
      <c r="B7473" t="s">
        <v>22613</v>
      </c>
      <c r="C7473" t="str">
        <f>"82525314"</f>
        <v>82525314</v>
      </c>
      <c r="D7473" t="s">
        <v>22614</v>
      </c>
      <c r="F7473" t="s">
        <v>22615</v>
      </c>
      <c r="I7473" t="s">
        <v>471</v>
      </c>
      <c r="J7473" t="s">
        <v>30</v>
      </c>
      <c r="K7473" t="s">
        <v>1210</v>
      </c>
      <c r="M7473" t="s">
        <v>18513</v>
      </c>
      <c r="N7473" t="str">
        <f>"12/3/2013 11:10:00 AM"</f>
        <v>12/3/2013 11:10:00 AM</v>
      </c>
      <c r="O7473" t="s">
        <v>22614</v>
      </c>
    </row>
    <row r="7474" spans="1:20" x14ac:dyDescent="0.25">
      <c r="A7474" t="str">
        <f>"3059362"</f>
        <v>3059362</v>
      </c>
      <c r="B7474" t="s">
        <v>22616</v>
      </c>
      <c r="C7474" t="str">
        <f>"8302990"</f>
        <v>8302990</v>
      </c>
      <c r="D7474" t="s">
        <v>22617</v>
      </c>
      <c r="F7474" t="s">
        <v>22618</v>
      </c>
      <c r="I7474" t="s">
        <v>2525</v>
      </c>
      <c r="J7474" t="s">
        <v>30</v>
      </c>
      <c r="K7474" t="str">
        <f>"27407"</f>
        <v>27407</v>
      </c>
      <c r="M7474" t="s">
        <v>17861</v>
      </c>
      <c r="N7474" t="str">
        <f>"12/31/2013 10:17:00 AM"</f>
        <v>12/31/2013 10:17:00 AM</v>
      </c>
      <c r="O7474" t="s">
        <v>22617</v>
      </c>
    </row>
    <row r="7475" spans="1:20" x14ac:dyDescent="0.25">
      <c r="A7475" t="str">
        <f>"3038070"</f>
        <v>3038070</v>
      </c>
      <c r="B7475" t="s">
        <v>22619</v>
      </c>
      <c r="C7475" t="str">
        <f>"82522378"</f>
        <v>82522378</v>
      </c>
      <c r="D7475" t="s">
        <v>22620</v>
      </c>
      <c r="E7475" t="s">
        <v>22621</v>
      </c>
      <c r="F7475" t="s">
        <v>22622</v>
      </c>
      <c r="I7475" t="s">
        <v>22623</v>
      </c>
      <c r="J7475" t="s">
        <v>30</v>
      </c>
      <c r="K7475" t="str">
        <f>"28512"</f>
        <v>28512</v>
      </c>
      <c r="M7475" t="s">
        <v>18513</v>
      </c>
      <c r="N7475" t="str">
        <f>"12/3/2013 11:47:00 AM"</f>
        <v>12/3/2013 11:47:00 AM</v>
      </c>
      <c r="O7475" t="s">
        <v>22620</v>
      </c>
      <c r="T7475" t="s">
        <v>22621</v>
      </c>
    </row>
    <row r="7476" spans="1:20" x14ac:dyDescent="0.25">
      <c r="A7476" t="str">
        <f>"3054088"</f>
        <v>3054088</v>
      </c>
      <c r="B7476" t="s">
        <v>22624</v>
      </c>
      <c r="C7476" t="str">
        <f>"8302997"</f>
        <v>8302997</v>
      </c>
      <c r="D7476" t="s">
        <v>22625</v>
      </c>
      <c r="E7476" t="s">
        <v>22626</v>
      </c>
      <c r="F7476" t="s">
        <v>22627</v>
      </c>
      <c r="I7476" t="s">
        <v>9580</v>
      </c>
      <c r="J7476" t="s">
        <v>30</v>
      </c>
      <c r="K7476" t="str">
        <f>"27014"</f>
        <v>27014</v>
      </c>
      <c r="M7476" t="s">
        <v>17861</v>
      </c>
      <c r="N7476" t="str">
        <f>"12/31/2013 12:42:00 PM"</f>
        <v>12/31/2013 12:42:00 PM</v>
      </c>
      <c r="O7476" t="s">
        <v>22625</v>
      </c>
      <c r="T7476" t="s">
        <v>22626</v>
      </c>
    </row>
    <row r="7477" spans="1:20" x14ac:dyDescent="0.25">
      <c r="A7477" t="str">
        <f>"3044468"</f>
        <v>3044468</v>
      </c>
      <c r="B7477" t="s">
        <v>22628</v>
      </c>
      <c r="C7477" t="str">
        <f>"8303003"</f>
        <v>8303003</v>
      </c>
      <c r="D7477" t="s">
        <v>22629</v>
      </c>
      <c r="E7477" t="s">
        <v>22630</v>
      </c>
      <c r="F7477" t="s">
        <v>22631</v>
      </c>
      <c r="I7477" t="s">
        <v>184</v>
      </c>
      <c r="J7477" t="s">
        <v>30</v>
      </c>
      <c r="K7477" t="str">
        <f>"27006"</f>
        <v>27006</v>
      </c>
      <c r="M7477" t="s">
        <v>17861</v>
      </c>
      <c r="N7477" t="str">
        <f>"12/31/2013 1:12:00 PM"</f>
        <v>12/31/2013 1:12:00 PM</v>
      </c>
      <c r="O7477" t="s">
        <v>22629</v>
      </c>
      <c r="T7477" t="s">
        <v>22630</v>
      </c>
    </row>
    <row r="7478" spans="1:20" x14ac:dyDescent="0.25">
      <c r="A7478" t="str">
        <f>"3049255"</f>
        <v>3049255</v>
      </c>
      <c r="B7478" t="s">
        <v>22632</v>
      </c>
      <c r="C7478" t="str">
        <f>"8303004"</f>
        <v>8303004</v>
      </c>
      <c r="D7478" t="s">
        <v>22633</v>
      </c>
      <c r="E7478" t="s">
        <v>22634</v>
      </c>
      <c r="F7478" t="s">
        <v>22635</v>
      </c>
      <c r="I7478" t="s">
        <v>184</v>
      </c>
      <c r="J7478" t="s">
        <v>30</v>
      </c>
      <c r="K7478" t="str">
        <f>"27006"</f>
        <v>27006</v>
      </c>
      <c r="M7478" t="s">
        <v>17861</v>
      </c>
      <c r="N7478" t="str">
        <f>"12/31/2013 1:19:00 PM"</f>
        <v>12/31/2013 1:19:00 PM</v>
      </c>
      <c r="O7478" t="s">
        <v>22633</v>
      </c>
      <c r="T7478" t="s">
        <v>22634</v>
      </c>
    </row>
    <row r="7479" spans="1:20" x14ac:dyDescent="0.25">
      <c r="A7479" t="str">
        <f>"3039818"</f>
        <v>3039818</v>
      </c>
      <c r="B7479" t="s">
        <v>22636</v>
      </c>
      <c r="C7479" t="str">
        <f>"8303007"</f>
        <v>8303007</v>
      </c>
      <c r="D7479" t="s">
        <v>22637</v>
      </c>
      <c r="E7479" t="s">
        <v>22638</v>
      </c>
      <c r="F7479" t="s">
        <v>22639</v>
      </c>
      <c r="I7479" t="s">
        <v>29</v>
      </c>
      <c r="J7479" t="s">
        <v>30</v>
      </c>
      <c r="K7479" t="str">
        <f>"27028"</f>
        <v>27028</v>
      </c>
      <c r="M7479" t="s">
        <v>17861</v>
      </c>
      <c r="N7479" t="str">
        <f>"12/31/2013 1:35:00 PM"</f>
        <v>12/31/2013 1:35:00 PM</v>
      </c>
      <c r="O7479" t="s">
        <v>22637</v>
      </c>
      <c r="T7479" t="s">
        <v>22638</v>
      </c>
    </row>
    <row r="7480" spans="1:20" x14ac:dyDescent="0.25">
      <c r="A7480" t="str">
        <f>"3046241"</f>
        <v>3046241</v>
      </c>
      <c r="B7480" t="s">
        <v>22640</v>
      </c>
      <c r="C7480" t="str">
        <f>"8303008"</f>
        <v>8303008</v>
      </c>
      <c r="D7480" t="s">
        <v>22641</v>
      </c>
      <c r="E7480" t="s">
        <v>22642</v>
      </c>
      <c r="F7480" t="s">
        <v>22643</v>
      </c>
      <c r="I7480" t="s">
        <v>29</v>
      </c>
      <c r="J7480" t="s">
        <v>30</v>
      </c>
      <c r="K7480" t="str">
        <f>"27028"</f>
        <v>27028</v>
      </c>
      <c r="M7480" t="s">
        <v>17861</v>
      </c>
      <c r="N7480" t="str">
        <f>"12/31/2013 1:57:00 PM"</f>
        <v>12/31/2013 1:57:00 PM</v>
      </c>
      <c r="O7480" t="s">
        <v>22641</v>
      </c>
      <c r="T7480" t="s">
        <v>22642</v>
      </c>
    </row>
    <row r="7481" spans="1:20" x14ac:dyDescent="0.25">
      <c r="A7481" t="str">
        <f>"3041303"</f>
        <v>3041303</v>
      </c>
      <c r="B7481" t="s">
        <v>22644</v>
      </c>
      <c r="C7481" t="str">
        <f>"8303009"</f>
        <v>8303009</v>
      </c>
      <c r="D7481" t="s">
        <v>22645</v>
      </c>
      <c r="E7481" t="s">
        <v>22646</v>
      </c>
      <c r="F7481" t="s">
        <v>22647</v>
      </c>
      <c r="I7481" t="s">
        <v>184</v>
      </c>
      <c r="J7481" t="s">
        <v>30</v>
      </c>
      <c r="K7481" t="str">
        <f>"27006"</f>
        <v>27006</v>
      </c>
      <c r="M7481" t="s">
        <v>17861</v>
      </c>
      <c r="N7481" t="str">
        <f>"12/31/2013 1:59:00 PM"</f>
        <v>12/31/2013 1:59:00 PM</v>
      </c>
      <c r="O7481" t="s">
        <v>22645</v>
      </c>
      <c r="T7481" t="s">
        <v>22646</v>
      </c>
    </row>
    <row r="7482" spans="1:20" x14ac:dyDescent="0.25">
      <c r="A7482" t="str">
        <f>"3055315"</f>
        <v>3055315</v>
      </c>
      <c r="B7482" t="s">
        <v>22648</v>
      </c>
      <c r="C7482" t="str">
        <f>"8303010"</f>
        <v>8303010</v>
      </c>
      <c r="D7482" t="s">
        <v>22649</v>
      </c>
      <c r="E7482" t="s">
        <v>22650</v>
      </c>
      <c r="F7482" t="s">
        <v>22651</v>
      </c>
      <c r="I7482" t="s">
        <v>29</v>
      </c>
      <c r="J7482" t="s">
        <v>30</v>
      </c>
      <c r="K7482" t="str">
        <f>"27028"</f>
        <v>27028</v>
      </c>
      <c r="M7482" t="s">
        <v>17861</v>
      </c>
      <c r="N7482" t="str">
        <f>"12/31/2013 2:06:00 PM"</f>
        <v>12/31/2013 2:06:00 PM</v>
      </c>
      <c r="O7482" t="s">
        <v>22649</v>
      </c>
      <c r="T7482" t="s">
        <v>22650</v>
      </c>
    </row>
    <row r="7483" spans="1:20" x14ac:dyDescent="0.25">
      <c r="A7483" t="str">
        <f>"3059176"</f>
        <v>3059176</v>
      </c>
      <c r="B7483" t="s">
        <v>22652</v>
      </c>
      <c r="C7483" t="str">
        <f>"8302811"</f>
        <v>8302811</v>
      </c>
      <c r="D7483" t="s">
        <v>22653</v>
      </c>
      <c r="E7483" t="s">
        <v>22654</v>
      </c>
      <c r="F7483" t="s">
        <v>22655</v>
      </c>
      <c r="I7483" t="s">
        <v>29</v>
      </c>
      <c r="J7483" t="s">
        <v>30</v>
      </c>
      <c r="K7483" t="str">
        <f>"27028"</f>
        <v>27028</v>
      </c>
      <c r="M7483" t="s">
        <v>17861</v>
      </c>
      <c r="N7483" t="str">
        <f>"12/3/2013 4:05:00 PM"</f>
        <v>12/3/2013 4:05:00 PM</v>
      </c>
      <c r="O7483" t="s">
        <v>22653</v>
      </c>
      <c r="T7483" t="s">
        <v>22654</v>
      </c>
    </row>
    <row r="7484" spans="1:20" x14ac:dyDescent="0.25">
      <c r="A7484" t="str">
        <f>"3044750"</f>
        <v>3044750</v>
      </c>
      <c r="B7484" t="s">
        <v>22656</v>
      </c>
      <c r="C7484" t="str">
        <f>"8302814"</f>
        <v>8302814</v>
      </c>
      <c r="D7484" t="s">
        <v>22657</v>
      </c>
      <c r="E7484" t="s">
        <v>22658</v>
      </c>
      <c r="F7484" t="s">
        <v>22659</v>
      </c>
      <c r="I7484" t="s">
        <v>184</v>
      </c>
      <c r="J7484" t="s">
        <v>30</v>
      </c>
      <c r="K7484" t="str">
        <f>"27006"</f>
        <v>27006</v>
      </c>
      <c r="M7484" t="s">
        <v>17861</v>
      </c>
      <c r="N7484" t="str">
        <f>"12/3/2013 4:36:00 PM"</f>
        <v>12/3/2013 4:36:00 PM</v>
      </c>
      <c r="O7484" t="s">
        <v>22657</v>
      </c>
      <c r="T7484" t="s">
        <v>22658</v>
      </c>
    </row>
    <row r="7485" spans="1:20" x14ac:dyDescent="0.25">
      <c r="A7485" t="str">
        <f>"3048592"</f>
        <v>3048592</v>
      </c>
      <c r="B7485" t="s">
        <v>22660</v>
      </c>
      <c r="C7485" t="str">
        <f>"82523631"</f>
        <v>82523631</v>
      </c>
      <c r="D7485" t="s">
        <v>22661</v>
      </c>
      <c r="E7485" t="s">
        <v>22662</v>
      </c>
      <c r="F7485" t="s">
        <v>10202</v>
      </c>
      <c r="I7485" t="s">
        <v>184</v>
      </c>
      <c r="J7485" t="s">
        <v>30</v>
      </c>
      <c r="K7485" t="s">
        <v>185</v>
      </c>
      <c r="M7485" t="s">
        <v>18432</v>
      </c>
      <c r="N7485" t="str">
        <f>"1/2/2014 4:11:00 PM"</f>
        <v>1/2/2014 4:11:00 PM</v>
      </c>
      <c r="O7485" t="s">
        <v>22661</v>
      </c>
      <c r="T7485" t="s">
        <v>22662</v>
      </c>
    </row>
    <row r="7486" spans="1:20" x14ac:dyDescent="0.25">
      <c r="A7486" t="str">
        <f>"3041336"</f>
        <v>3041336</v>
      </c>
      <c r="B7486" t="s">
        <v>22663</v>
      </c>
      <c r="C7486" t="str">
        <f>"8302815"</f>
        <v>8302815</v>
      </c>
      <c r="D7486" t="s">
        <v>22664</v>
      </c>
      <c r="F7486" t="s">
        <v>22665</v>
      </c>
      <c r="I7486" t="s">
        <v>184</v>
      </c>
      <c r="J7486" t="s">
        <v>30</v>
      </c>
      <c r="K7486" t="str">
        <f>"27006"</f>
        <v>27006</v>
      </c>
      <c r="M7486" t="s">
        <v>17861</v>
      </c>
      <c r="N7486" t="str">
        <f>"12/4/2013 10:40:00 AM"</f>
        <v>12/4/2013 10:40:00 AM</v>
      </c>
      <c r="O7486" t="s">
        <v>22664</v>
      </c>
    </row>
    <row r="7487" spans="1:20" x14ac:dyDescent="0.25">
      <c r="A7487" t="str">
        <f>"3053074"</f>
        <v>3053074</v>
      </c>
      <c r="B7487" t="s">
        <v>22666</v>
      </c>
      <c r="C7487" t="str">
        <f>"8303027"</f>
        <v>8303027</v>
      </c>
      <c r="D7487" t="s">
        <v>22667</v>
      </c>
      <c r="E7487" t="s">
        <v>22668</v>
      </c>
      <c r="F7487" t="s">
        <v>22669</v>
      </c>
      <c r="I7487" t="s">
        <v>29</v>
      </c>
      <c r="J7487" t="s">
        <v>30</v>
      </c>
      <c r="K7487" t="str">
        <f>"27028"</f>
        <v>27028</v>
      </c>
      <c r="M7487" t="s">
        <v>17861</v>
      </c>
      <c r="N7487" t="str">
        <f>"1/3/2014 10:52:00 AM"</f>
        <v>1/3/2014 10:52:00 AM</v>
      </c>
      <c r="O7487" t="s">
        <v>22667</v>
      </c>
      <c r="T7487" t="s">
        <v>22668</v>
      </c>
    </row>
    <row r="7488" spans="1:20" x14ac:dyDescent="0.25">
      <c r="A7488" t="str">
        <f>"3069186"</f>
        <v>3069186</v>
      </c>
      <c r="B7488" t="s">
        <v>22670</v>
      </c>
      <c r="C7488" t="str">
        <f>"8303027"</f>
        <v>8303027</v>
      </c>
      <c r="D7488" t="s">
        <v>22667</v>
      </c>
      <c r="E7488" t="s">
        <v>22668</v>
      </c>
      <c r="F7488" t="s">
        <v>22669</v>
      </c>
      <c r="I7488" t="s">
        <v>29</v>
      </c>
      <c r="J7488" t="s">
        <v>30</v>
      </c>
      <c r="K7488" t="str">
        <f>"27028"</f>
        <v>27028</v>
      </c>
      <c r="M7488" t="s">
        <v>17861</v>
      </c>
      <c r="N7488" t="str">
        <f>"1/3/2014 10:52:00 AM"</f>
        <v>1/3/2014 10:52:00 AM</v>
      </c>
      <c r="O7488" t="s">
        <v>22667</v>
      </c>
      <c r="T7488" t="s">
        <v>22668</v>
      </c>
    </row>
    <row r="7489" spans="1:20" x14ac:dyDescent="0.25">
      <c r="A7489" t="str">
        <f>"3055747"</f>
        <v>3055747</v>
      </c>
      <c r="B7489" t="s">
        <v>22671</v>
      </c>
      <c r="C7489" t="str">
        <f>"8303031"</f>
        <v>8303031</v>
      </c>
      <c r="D7489" t="s">
        <v>22672</v>
      </c>
      <c r="F7489" t="s">
        <v>12246</v>
      </c>
      <c r="I7489" t="s">
        <v>29</v>
      </c>
      <c r="J7489" t="s">
        <v>30</v>
      </c>
      <c r="K7489" t="str">
        <f>"27028"</f>
        <v>27028</v>
      </c>
      <c r="M7489" t="s">
        <v>17861</v>
      </c>
      <c r="N7489" t="str">
        <f>"1/3/2014 11:33:00 AM"</f>
        <v>1/3/2014 11:33:00 AM</v>
      </c>
      <c r="O7489" t="s">
        <v>22672</v>
      </c>
    </row>
    <row r="7490" spans="1:20" x14ac:dyDescent="0.25">
      <c r="A7490" t="str">
        <f>"3055874"</f>
        <v>3055874</v>
      </c>
      <c r="B7490" t="s">
        <v>22673</v>
      </c>
      <c r="C7490" t="str">
        <f>"8303031"</f>
        <v>8303031</v>
      </c>
      <c r="D7490" t="s">
        <v>22672</v>
      </c>
      <c r="F7490" t="s">
        <v>12246</v>
      </c>
      <c r="I7490" t="s">
        <v>29</v>
      </c>
      <c r="J7490" t="s">
        <v>30</v>
      </c>
      <c r="K7490" t="str">
        <f>"27028"</f>
        <v>27028</v>
      </c>
      <c r="M7490" t="s">
        <v>17861</v>
      </c>
      <c r="N7490" t="str">
        <f>"1/3/2014 11:33:00 AM"</f>
        <v>1/3/2014 11:33:00 AM</v>
      </c>
      <c r="O7490" t="s">
        <v>22672</v>
      </c>
    </row>
    <row r="7491" spans="1:20" x14ac:dyDescent="0.25">
      <c r="A7491" t="str">
        <f>"3055917"</f>
        <v>3055917</v>
      </c>
      <c r="B7491" t="s">
        <v>22674</v>
      </c>
      <c r="C7491" t="str">
        <f>"8303031"</f>
        <v>8303031</v>
      </c>
      <c r="D7491" t="s">
        <v>22672</v>
      </c>
      <c r="F7491" t="s">
        <v>12246</v>
      </c>
      <c r="I7491" t="s">
        <v>29</v>
      </c>
      <c r="J7491" t="s">
        <v>30</v>
      </c>
      <c r="K7491" t="str">
        <f>"27028"</f>
        <v>27028</v>
      </c>
      <c r="M7491" t="s">
        <v>17861</v>
      </c>
      <c r="N7491" t="str">
        <f>"1/3/2014 11:33:00 AM"</f>
        <v>1/3/2014 11:33:00 AM</v>
      </c>
      <c r="O7491" t="s">
        <v>22672</v>
      </c>
    </row>
    <row r="7492" spans="1:20" x14ac:dyDescent="0.25">
      <c r="A7492" t="str">
        <f>"3049433"</f>
        <v>3049433</v>
      </c>
      <c r="B7492" t="s">
        <v>22675</v>
      </c>
      <c r="C7492" t="str">
        <f>"8303033"</f>
        <v>8303033</v>
      </c>
      <c r="D7492" t="s">
        <v>22676</v>
      </c>
      <c r="F7492" t="s">
        <v>22677</v>
      </c>
      <c r="I7492" t="s">
        <v>22678</v>
      </c>
      <c r="J7492" t="s">
        <v>14649</v>
      </c>
      <c r="K7492" t="str">
        <f>"40202"</f>
        <v>40202</v>
      </c>
      <c r="M7492" t="s">
        <v>17861</v>
      </c>
      <c r="N7492" t="str">
        <f>"1/3/2014 11:58:00 AM"</f>
        <v>1/3/2014 11:58:00 AM</v>
      </c>
      <c r="O7492" t="s">
        <v>22676</v>
      </c>
    </row>
    <row r="7493" spans="1:20" x14ac:dyDescent="0.25">
      <c r="A7493" t="str">
        <f>"3050290"</f>
        <v>3050290</v>
      </c>
      <c r="B7493" t="s">
        <v>22679</v>
      </c>
      <c r="C7493" t="str">
        <f>"8303040"</f>
        <v>8303040</v>
      </c>
      <c r="D7493" t="s">
        <v>22680</v>
      </c>
      <c r="E7493" t="s">
        <v>22681</v>
      </c>
      <c r="F7493" t="s">
        <v>22682</v>
      </c>
      <c r="I7493" t="s">
        <v>29</v>
      </c>
      <c r="J7493" t="s">
        <v>30</v>
      </c>
      <c r="K7493" t="str">
        <f>"27028"</f>
        <v>27028</v>
      </c>
      <c r="M7493" t="s">
        <v>17861</v>
      </c>
      <c r="N7493" t="str">
        <f>"1/3/2014 3:35:00 PM"</f>
        <v>1/3/2014 3:35:00 PM</v>
      </c>
      <c r="O7493" t="s">
        <v>22680</v>
      </c>
      <c r="T7493" t="s">
        <v>22681</v>
      </c>
    </row>
    <row r="7494" spans="1:20" x14ac:dyDescent="0.25">
      <c r="A7494" t="str">
        <f>"3052131"</f>
        <v>3052131</v>
      </c>
      <c r="B7494" t="s">
        <v>22683</v>
      </c>
      <c r="C7494" t="str">
        <f>"8302368"</f>
        <v>8302368</v>
      </c>
      <c r="D7494" t="s">
        <v>22684</v>
      </c>
      <c r="E7494" t="s">
        <v>22685</v>
      </c>
      <c r="F7494" t="s">
        <v>22686</v>
      </c>
      <c r="I7494" t="s">
        <v>29</v>
      </c>
      <c r="J7494" t="s">
        <v>30</v>
      </c>
      <c r="K7494" t="str">
        <f>"27028"</f>
        <v>27028</v>
      </c>
      <c r="M7494" t="s">
        <v>20015</v>
      </c>
      <c r="N7494" t="str">
        <f>"12/4/2013 12:34:00 PM"</f>
        <v>12/4/2013 12:34:00 PM</v>
      </c>
      <c r="O7494" t="s">
        <v>22684</v>
      </c>
      <c r="T7494" t="s">
        <v>22685</v>
      </c>
    </row>
    <row r="7495" spans="1:20" x14ac:dyDescent="0.25">
      <c r="A7495" t="str">
        <f>"3053255"</f>
        <v>3053255</v>
      </c>
      <c r="B7495" t="s">
        <v>22687</v>
      </c>
      <c r="C7495" t="str">
        <f>"17820000"</f>
        <v>17820000</v>
      </c>
      <c r="D7495" t="s">
        <v>22688</v>
      </c>
      <c r="E7495" t="s">
        <v>22689</v>
      </c>
      <c r="F7495" t="s">
        <v>22690</v>
      </c>
      <c r="I7495" t="s">
        <v>29</v>
      </c>
      <c r="J7495" t="s">
        <v>30</v>
      </c>
      <c r="K7495" t="s">
        <v>22691</v>
      </c>
      <c r="M7495" t="s">
        <v>18432</v>
      </c>
      <c r="N7495" t="str">
        <f>"1/6/2014 8:55:00 AM"</f>
        <v>1/6/2014 8:55:00 AM</v>
      </c>
      <c r="O7495" t="s">
        <v>22688</v>
      </c>
      <c r="T7495" t="s">
        <v>22689</v>
      </c>
    </row>
    <row r="7496" spans="1:20" x14ac:dyDescent="0.25">
      <c r="A7496" t="str">
        <f>"3053530"</f>
        <v>3053530</v>
      </c>
      <c r="B7496" t="s">
        <v>22692</v>
      </c>
      <c r="C7496" t="str">
        <f>"17820000"</f>
        <v>17820000</v>
      </c>
      <c r="D7496" t="s">
        <v>22688</v>
      </c>
      <c r="E7496" t="s">
        <v>22689</v>
      </c>
      <c r="F7496" t="s">
        <v>22690</v>
      </c>
      <c r="I7496" t="s">
        <v>29</v>
      </c>
      <c r="J7496" t="s">
        <v>30</v>
      </c>
      <c r="K7496" t="s">
        <v>22691</v>
      </c>
      <c r="M7496" t="s">
        <v>18432</v>
      </c>
      <c r="N7496" t="str">
        <f>"1/6/2014 8:55:00 AM"</f>
        <v>1/6/2014 8:55:00 AM</v>
      </c>
      <c r="O7496" t="s">
        <v>22688</v>
      </c>
      <c r="T7496" t="s">
        <v>22689</v>
      </c>
    </row>
    <row r="7497" spans="1:20" x14ac:dyDescent="0.25">
      <c r="A7497" t="str">
        <f>"3078453"</f>
        <v>3078453</v>
      </c>
      <c r="B7497" t="s">
        <v>22693</v>
      </c>
      <c r="C7497" t="str">
        <f>"17820000"</f>
        <v>17820000</v>
      </c>
      <c r="D7497" t="s">
        <v>22688</v>
      </c>
      <c r="E7497" t="s">
        <v>22689</v>
      </c>
      <c r="F7497" t="s">
        <v>22690</v>
      </c>
      <c r="I7497" t="s">
        <v>29</v>
      </c>
      <c r="J7497" t="s">
        <v>30</v>
      </c>
      <c r="K7497" t="s">
        <v>22691</v>
      </c>
      <c r="M7497" t="s">
        <v>18432</v>
      </c>
      <c r="N7497" t="str">
        <f>"1/6/2014 8:55:00 AM"</f>
        <v>1/6/2014 8:55:00 AM</v>
      </c>
      <c r="O7497" t="s">
        <v>22688</v>
      </c>
      <c r="T7497" t="s">
        <v>22689</v>
      </c>
    </row>
    <row r="7498" spans="1:20" x14ac:dyDescent="0.25">
      <c r="A7498" t="str">
        <f>"3046288"</f>
        <v>3046288</v>
      </c>
      <c r="B7498" t="s">
        <v>22694</v>
      </c>
      <c r="C7498" t="str">
        <f>"8303043"</f>
        <v>8303043</v>
      </c>
      <c r="D7498" t="s">
        <v>22695</v>
      </c>
      <c r="F7498" t="s">
        <v>22696</v>
      </c>
      <c r="I7498" t="s">
        <v>29</v>
      </c>
      <c r="J7498" t="s">
        <v>30</v>
      </c>
      <c r="K7498" t="str">
        <f>"27028"</f>
        <v>27028</v>
      </c>
      <c r="M7498" t="s">
        <v>17861</v>
      </c>
      <c r="N7498" t="str">
        <f>"1/6/2014 4:37:00 PM"</f>
        <v>1/6/2014 4:37:00 PM</v>
      </c>
      <c r="O7498" t="s">
        <v>22695</v>
      </c>
    </row>
    <row r="7499" spans="1:20" x14ac:dyDescent="0.25">
      <c r="A7499" t="str">
        <f>"3039783"</f>
        <v>3039783</v>
      </c>
      <c r="B7499" t="s">
        <v>22697</v>
      </c>
      <c r="C7499" t="str">
        <f>"8303046"</f>
        <v>8303046</v>
      </c>
      <c r="D7499" t="s">
        <v>22698</v>
      </c>
      <c r="F7499" t="s">
        <v>1580</v>
      </c>
      <c r="I7499" t="s">
        <v>184</v>
      </c>
      <c r="J7499" t="s">
        <v>30</v>
      </c>
      <c r="K7499" t="str">
        <f>"27006"</f>
        <v>27006</v>
      </c>
      <c r="M7499" t="s">
        <v>17861</v>
      </c>
      <c r="N7499" t="str">
        <f>"1/7/2014 9:42:00 AM"</f>
        <v>1/7/2014 9:42:00 AM</v>
      </c>
      <c r="O7499" t="s">
        <v>22698</v>
      </c>
    </row>
    <row r="7500" spans="1:20" x14ac:dyDescent="0.25">
      <c r="A7500" t="str">
        <f>"3039461"</f>
        <v>3039461</v>
      </c>
      <c r="B7500" t="s">
        <v>22699</v>
      </c>
      <c r="C7500" t="str">
        <f>"8303046"</f>
        <v>8303046</v>
      </c>
      <c r="D7500" t="s">
        <v>22698</v>
      </c>
      <c r="F7500" t="s">
        <v>1580</v>
      </c>
      <c r="I7500" t="s">
        <v>184</v>
      </c>
      <c r="J7500" t="s">
        <v>30</v>
      </c>
      <c r="K7500" t="str">
        <f>"27006"</f>
        <v>27006</v>
      </c>
      <c r="M7500" t="s">
        <v>17861</v>
      </c>
      <c r="N7500" t="str">
        <f>"1/7/2014 9:42:00 AM"</f>
        <v>1/7/2014 9:42:00 AM</v>
      </c>
      <c r="O7500" t="s">
        <v>22698</v>
      </c>
    </row>
    <row r="7501" spans="1:20" x14ac:dyDescent="0.25">
      <c r="A7501" t="str">
        <f>"3039457"</f>
        <v>3039457</v>
      </c>
      <c r="B7501" t="s">
        <v>22700</v>
      </c>
      <c r="C7501" t="str">
        <f>"11526000"</f>
        <v>11526000</v>
      </c>
      <c r="D7501" t="s">
        <v>22701</v>
      </c>
      <c r="E7501" t="str">
        <f>"C/O EDWARD WEST"</f>
        <v>C/O EDWARD WEST</v>
      </c>
      <c r="F7501" t="s">
        <v>22702</v>
      </c>
      <c r="I7501" t="s">
        <v>22703</v>
      </c>
      <c r="J7501" t="s">
        <v>30</v>
      </c>
      <c r="K7501" t="s">
        <v>22704</v>
      </c>
      <c r="M7501" t="s">
        <v>18513</v>
      </c>
      <c r="N7501" t="str">
        <f>"12/5/2013 9:16:00 AM"</f>
        <v>12/5/2013 9:16:00 AM</v>
      </c>
      <c r="O7501" t="s">
        <v>22701</v>
      </c>
      <c r="T7501" t="str">
        <f>"C/O EDWARD WEST"</f>
        <v>C/O EDWARD WEST</v>
      </c>
    </row>
    <row r="7502" spans="1:20" x14ac:dyDescent="0.25">
      <c r="A7502" t="str">
        <f>"3048962"</f>
        <v>3048962</v>
      </c>
      <c r="B7502" t="s">
        <v>22705</v>
      </c>
      <c r="C7502" t="str">
        <f>"8302826"</f>
        <v>8302826</v>
      </c>
      <c r="D7502" t="s">
        <v>22706</v>
      </c>
      <c r="F7502" t="s">
        <v>22707</v>
      </c>
      <c r="I7502" t="s">
        <v>22708</v>
      </c>
      <c r="J7502" t="s">
        <v>1046</v>
      </c>
      <c r="K7502" t="str">
        <f>"30071"</f>
        <v>30071</v>
      </c>
      <c r="M7502" t="s">
        <v>17861</v>
      </c>
      <c r="N7502" t="str">
        <f>"12/5/2013 2:03:00 PM"</f>
        <v>12/5/2013 2:03:00 PM</v>
      </c>
      <c r="O7502" t="s">
        <v>22706</v>
      </c>
    </row>
    <row r="7503" spans="1:20" x14ac:dyDescent="0.25">
      <c r="A7503" t="str">
        <f>"3048488"</f>
        <v>3048488</v>
      </c>
      <c r="B7503" t="s">
        <v>22709</v>
      </c>
      <c r="C7503" t="str">
        <f>"8302828"</f>
        <v>8302828</v>
      </c>
      <c r="D7503" t="s">
        <v>22710</v>
      </c>
      <c r="F7503" t="s">
        <v>12229</v>
      </c>
      <c r="I7503" t="s">
        <v>29</v>
      </c>
      <c r="J7503" t="s">
        <v>30</v>
      </c>
      <c r="K7503" t="str">
        <f>"27028"</f>
        <v>27028</v>
      </c>
      <c r="M7503" t="s">
        <v>17861</v>
      </c>
      <c r="N7503" t="str">
        <f>"12/5/2013 3:01:00 PM"</f>
        <v>12/5/2013 3:01:00 PM</v>
      </c>
      <c r="O7503" t="s">
        <v>22710</v>
      </c>
    </row>
    <row r="7504" spans="1:20" x14ac:dyDescent="0.25">
      <c r="A7504" t="str">
        <f>"3055047"</f>
        <v>3055047</v>
      </c>
      <c r="B7504" t="s">
        <v>22711</v>
      </c>
      <c r="C7504" t="str">
        <f>"29181000"</f>
        <v>29181000</v>
      </c>
      <c r="D7504" t="s">
        <v>22527</v>
      </c>
      <c r="E7504" t="s">
        <v>22528</v>
      </c>
      <c r="F7504" t="s">
        <v>22529</v>
      </c>
      <c r="I7504" t="s">
        <v>29</v>
      </c>
      <c r="J7504" t="s">
        <v>30</v>
      </c>
      <c r="K7504" t="s">
        <v>31</v>
      </c>
      <c r="M7504" t="s">
        <v>20015</v>
      </c>
      <c r="N7504" t="str">
        <f>"12/10/2013 11:19:00 AM"</f>
        <v>12/10/2013 11:19:00 AM</v>
      </c>
      <c r="O7504" t="s">
        <v>22527</v>
      </c>
      <c r="T7504" t="s">
        <v>22528</v>
      </c>
    </row>
    <row r="7505" spans="1:20" x14ac:dyDescent="0.25">
      <c r="A7505" t="str">
        <f>"3061214"</f>
        <v>3061214</v>
      </c>
      <c r="B7505" t="s">
        <v>22712</v>
      </c>
      <c r="C7505" t="str">
        <f>"82520687"</f>
        <v>82520687</v>
      </c>
      <c r="D7505" t="s">
        <v>22713</v>
      </c>
      <c r="F7505" t="s">
        <v>22714</v>
      </c>
      <c r="G7505" t="s">
        <v>22715</v>
      </c>
      <c r="I7505" t="s">
        <v>2071</v>
      </c>
      <c r="J7505" t="s">
        <v>30</v>
      </c>
      <c r="K7505" t="s">
        <v>185</v>
      </c>
      <c r="M7505" t="s">
        <v>18432</v>
      </c>
      <c r="N7505" t="str">
        <f>"12/11/2013 8:30:00 AM"</f>
        <v>12/11/2013 8:30:00 AM</v>
      </c>
      <c r="O7505" t="s">
        <v>22713</v>
      </c>
    </row>
    <row r="7506" spans="1:20" x14ac:dyDescent="0.25">
      <c r="A7506" t="str">
        <f>"3047585"</f>
        <v>3047585</v>
      </c>
      <c r="B7506" t="s">
        <v>22716</v>
      </c>
      <c r="C7506" t="str">
        <f>"82531375"</f>
        <v>82531375</v>
      </c>
      <c r="D7506" t="s">
        <v>22717</v>
      </c>
      <c r="F7506" t="s">
        <v>18182</v>
      </c>
      <c r="I7506" t="s">
        <v>29</v>
      </c>
      <c r="J7506" t="s">
        <v>30</v>
      </c>
      <c r="K7506" t="s">
        <v>31</v>
      </c>
      <c r="M7506" t="s">
        <v>18479</v>
      </c>
      <c r="N7506" t="str">
        <f>"1/14/2014 4:11:00 PM"</f>
        <v>1/14/2014 4:11:00 PM</v>
      </c>
      <c r="O7506" t="s">
        <v>22717</v>
      </c>
    </row>
    <row r="7507" spans="1:20" x14ac:dyDescent="0.25">
      <c r="A7507" t="str">
        <f>"3051124"</f>
        <v>3051124</v>
      </c>
      <c r="B7507" t="s">
        <v>22718</v>
      </c>
      <c r="C7507" t="str">
        <f>"82531375"</f>
        <v>82531375</v>
      </c>
      <c r="D7507" t="s">
        <v>22717</v>
      </c>
      <c r="F7507" t="s">
        <v>18182</v>
      </c>
      <c r="I7507" t="s">
        <v>29</v>
      </c>
      <c r="J7507" t="s">
        <v>30</v>
      </c>
      <c r="K7507" t="s">
        <v>31</v>
      </c>
      <c r="M7507" t="s">
        <v>18479</v>
      </c>
      <c r="N7507" t="str">
        <f>"1/14/2014 4:11:00 PM"</f>
        <v>1/14/2014 4:11:00 PM</v>
      </c>
      <c r="O7507" t="s">
        <v>22717</v>
      </c>
    </row>
    <row r="7508" spans="1:20" x14ac:dyDescent="0.25">
      <c r="A7508" t="str">
        <f>"3050469"</f>
        <v>3050469</v>
      </c>
      <c r="B7508" t="s">
        <v>22719</v>
      </c>
      <c r="C7508" t="str">
        <f>"8302920"</f>
        <v>8302920</v>
      </c>
      <c r="D7508" t="s">
        <v>22543</v>
      </c>
      <c r="E7508" t="s">
        <v>22544</v>
      </c>
      <c r="F7508" t="s">
        <v>22545</v>
      </c>
      <c r="I7508" t="s">
        <v>2280</v>
      </c>
      <c r="J7508" t="s">
        <v>30</v>
      </c>
      <c r="K7508" t="str">
        <f>"27295"</f>
        <v>27295</v>
      </c>
      <c r="M7508" t="s">
        <v>17861</v>
      </c>
      <c r="N7508" t="str">
        <f>"12/13/2013 4:10:00 PM"</f>
        <v>12/13/2013 4:10:00 PM</v>
      </c>
      <c r="O7508" t="s">
        <v>22543</v>
      </c>
      <c r="T7508" t="s">
        <v>22544</v>
      </c>
    </row>
    <row r="7509" spans="1:20" x14ac:dyDescent="0.25">
      <c r="A7509" t="str">
        <f>"3052255"</f>
        <v>3052255</v>
      </c>
      <c r="B7509" t="s">
        <v>22720</v>
      </c>
      <c r="C7509" t="str">
        <f>"30110248"</f>
        <v>30110248</v>
      </c>
      <c r="D7509" t="s">
        <v>22555</v>
      </c>
      <c r="F7509" t="s">
        <v>22556</v>
      </c>
      <c r="I7509" t="s">
        <v>471</v>
      </c>
      <c r="J7509" t="s">
        <v>30</v>
      </c>
      <c r="K7509" t="s">
        <v>1210</v>
      </c>
      <c r="M7509" t="s">
        <v>18432</v>
      </c>
      <c r="N7509" t="str">
        <f>"12/16/2013 4:41:00 PM"</f>
        <v>12/16/2013 4:41:00 PM</v>
      </c>
      <c r="O7509" t="s">
        <v>22555</v>
      </c>
    </row>
    <row r="7510" spans="1:20" x14ac:dyDescent="0.25">
      <c r="A7510" t="str">
        <f>"3068627"</f>
        <v>3068627</v>
      </c>
      <c r="B7510" t="s">
        <v>22721</v>
      </c>
      <c r="C7510" t="str">
        <f>"82531424"</f>
        <v>82531424</v>
      </c>
      <c r="D7510" t="s">
        <v>22576</v>
      </c>
      <c r="F7510" t="s">
        <v>17989</v>
      </c>
      <c r="I7510" t="s">
        <v>29</v>
      </c>
      <c r="J7510" t="s">
        <v>30</v>
      </c>
      <c r="K7510" t="s">
        <v>31</v>
      </c>
      <c r="M7510" t="s">
        <v>18432</v>
      </c>
      <c r="N7510" t="str">
        <f>"12/17/2013 4:16:00 PM"</f>
        <v>12/17/2013 4:16:00 PM</v>
      </c>
      <c r="O7510" t="s">
        <v>22576</v>
      </c>
    </row>
    <row r="7511" spans="1:20" x14ac:dyDescent="0.25">
      <c r="A7511" t="str">
        <f>"3075082"</f>
        <v>3075082</v>
      </c>
      <c r="B7511" t="s">
        <v>22722</v>
      </c>
      <c r="C7511" t="str">
        <f>"8302972"</f>
        <v>8302972</v>
      </c>
      <c r="D7511" t="s">
        <v>22723</v>
      </c>
      <c r="F7511" t="s">
        <v>22724</v>
      </c>
      <c r="I7511" t="s">
        <v>29</v>
      </c>
      <c r="J7511" t="s">
        <v>30</v>
      </c>
      <c r="K7511" t="str">
        <f>"27028"</f>
        <v>27028</v>
      </c>
      <c r="M7511" t="s">
        <v>17861</v>
      </c>
      <c r="N7511" t="str">
        <f>"12/18/2013 1:40:00 PM"</f>
        <v>12/18/2013 1:40:00 PM</v>
      </c>
      <c r="O7511" t="s">
        <v>22723</v>
      </c>
    </row>
    <row r="7512" spans="1:20" x14ac:dyDescent="0.25">
      <c r="A7512" t="str">
        <f>"3043859"</f>
        <v>3043859</v>
      </c>
      <c r="B7512" t="s">
        <v>22725</v>
      </c>
      <c r="C7512" t="str">
        <f>"8301547"</f>
        <v>8301547</v>
      </c>
      <c r="D7512" t="s">
        <v>22726</v>
      </c>
      <c r="E7512" t="s">
        <v>22727</v>
      </c>
      <c r="F7512" t="s">
        <v>22728</v>
      </c>
      <c r="I7512" t="s">
        <v>184</v>
      </c>
      <c r="J7512" t="s">
        <v>30</v>
      </c>
      <c r="K7512" t="str">
        <f>"27006"</f>
        <v>27006</v>
      </c>
      <c r="M7512" t="s">
        <v>18479</v>
      </c>
      <c r="N7512" t="str">
        <f>"1/22/2014 10:02:00 AM"</f>
        <v>1/22/2014 10:02:00 AM</v>
      </c>
      <c r="O7512" t="s">
        <v>22726</v>
      </c>
      <c r="T7512" t="s">
        <v>22727</v>
      </c>
    </row>
    <row r="7513" spans="1:20" x14ac:dyDescent="0.25">
      <c r="A7513" t="str">
        <f>"3061446"</f>
        <v>3061446</v>
      </c>
      <c r="B7513" t="s">
        <v>22729</v>
      </c>
      <c r="C7513" t="str">
        <f>"44811000"</f>
        <v>44811000</v>
      </c>
      <c r="D7513" t="s">
        <v>22730</v>
      </c>
      <c r="F7513" t="s">
        <v>22731</v>
      </c>
      <c r="I7513" t="s">
        <v>184</v>
      </c>
      <c r="K7513" t="s">
        <v>6059</v>
      </c>
      <c r="M7513" t="s">
        <v>18432</v>
      </c>
      <c r="N7513" t="str">
        <f>"1/22/2014 10:55:00 AM"</f>
        <v>1/22/2014 10:55:00 AM</v>
      </c>
      <c r="O7513" t="s">
        <v>22730</v>
      </c>
    </row>
    <row r="7514" spans="1:20" x14ac:dyDescent="0.25">
      <c r="A7514" t="str">
        <f>"3041060"</f>
        <v>3041060</v>
      </c>
      <c r="B7514" t="s">
        <v>22732</v>
      </c>
      <c r="C7514" t="str">
        <f>"1483750"</f>
        <v>1483750</v>
      </c>
      <c r="D7514" t="s">
        <v>22733</v>
      </c>
      <c r="E7514" t="s">
        <v>22734</v>
      </c>
      <c r="G7514" t="s">
        <v>22735</v>
      </c>
      <c r="I7514" t="s">
        <v>2071</v>
      </c>
      <c r="J7514" t="s">
        <v>30</v>
      </c>
      <c r="K7514" t="s">
        <v>185</v>
      </c>
      <c r="M7514" t="s">
        <v>18432</v>
      </c>
      <c r="N7514" t="str">
        <f>"1/22/2014 12:40:00 PM"</f>
        <v>1/22/2014 12:40:00 PM</v>
      </c>
      <c r="O7514" t="s">
        <v>22733</v>
      </c>
      <c r="T7514" t="s">
        <v>22734</v>
      </c>
    </row>
    <row r="7515" spans="1:20" x14ac:dyDescent="0.25">
      <c r="A7515" t="str">
        <f>"3041179"</f>
        <v>3041179</v>
      </c>
      <c r="B7515" t="s">
        <v>22736</v>
      </c>
      <c r="C7515" t="str">
        <f>"1483750"</f>
        <v>1483750</v>
      </c>
      <c r="D7515" t="s">
        <v>22733</v>
      </c>
      <c r="E7515" t="s">
        <v>22734</v>
      </c>
      <c r="G7515" t="s">
        <v>22735</v>
      </c>
      <c r="I7515" t="s">
        <v>2071</v>
      </c>
      <c r="J7515" t="s">
        <v>30</v>
      </c>
      <c r="K7515" t="s">
        <v>185</v>
      </c>
      <c r="M7515" t="s">
        <v>18432</v>
      </c>
      <c r="N7515" t="str">
        <f>"1/22/2014 12:40:00 PM"</f>
        <v>1/22/2014 12:40:00 PM</v>
      </c>
      <c r="O7515" t="s">
        <v>22733</v>
      </c>
      <c r="T7515" t="s">
        <v>22734</v>
      </c>
    </row>
    <row r="7516" spans="1:20" x14ac:dyDescent="0.25">
      <c r="A7516" t="str">
        <f>"3065887"</f>
        <v>3065887</v>
      </c>
      <c r="B7516" t="s">
        <v>22737</v>
      </c>
      <c r="C7516" t="str">
        <f>"82521110"</f>
        <v>82521110</v>
      </c>
      <c r="D7516" t="s">
        <v>22589</v>
      </c>
      <c r="E7516" t="s">
        <v>22590</v>
      </c>
      <c r="F7516" t="s">
        <v>22591</v>
      </c>
      <c r="I7516" t="s">
        <v>29</v>
      </c>
      <c r="J7516" t="s">
        <v>30</v>
      </c>
      <c r="K7516" t="s">
        <v>31</v>
      </c>
      <c r="M7516" t="s">
        <v>18513</v>
      </c>
      <c r="N7516" t="str">
        <f>"12/27/2013 2:22:00 PM"</f>
        <v>12/27/2013 2:22:00 PM</v>
      </c>
      <c r="O7516" t="s">
        <v>22589</v>
      </c>
      <c r="T7516" t="s">
        <v>22590</v>
      </c>
    </row>
    <row r="7517" spans="1:20" x14ac:dyDescent="0.25">
      <c r="A7517" t="str">
        <f>"3057362"</f>
        <v>3057362</v>
      </c>
      <c r="B7517" t="s">
        <v>22738</v>
      </c>
      <c r="C7517" t="str">
        <f>"12884000"</f>
        <v>12884000</v>
      </c>
      <c r="D7517" t="s">
        <v>22593</v>
      </c>
      <c r="E7517" t="s">
        <v>22739</v>
      </c>
      <c r="F7517" t="s">
        <v>22594</v>
      </c>
      <c r="I7517" t="s">
        <v>184</v>
      </c>
      <c r="J7517" t="s">
        <v>30</v>
      </c>
      <c r="K7517" t="str">
        <f>"27006"</f>
        <v>27006</v>
      </c>
      <c r="M7517" t="s">
        <v>20015</v>
      </c>
      <c r="N7517" t="str">
        <f>"12/27/2013 4:11:00 PM"</f>
        <v>12/27/2013 4:11:00 PM</v>
      </c>
      <c r="O7517" t="s">
        <v>22593</v>
      </c>
      <c r="T7517" t="s">
        <v>22739</v>
      </c>
    </row>
    <row r="7518" spans="1:20" x14ac:dyDescent="0.25">
      <c r="A7518" t="str">
        <f>"3060720"</f>
        <v>3060720</v>
      </c>
      <c r="B7518" t="s">
        <v>22740</v>
      </c>
      <c r="C7518" t="str">
        <f>"82516285"</f>
        <v>82516285</v>
      </c>
      <c r="D7518" t="s">
        <v>22741</v>
      </c>
      <c r="E7518" t="s">
        <v>22742</v>
      </c>
      <c r="F7518" t="s">
        <v>22743</v>
      </c>
      <c r="I7518" t="s">
        <v>2071</v>
      </c>
      <c r="J7518" t="s">
        <v>30</v>
      </c>
      <c r="K7518" t="s">
        <v>185</v>
      </c>
      <c r="M7518" t="s">
        <v>18470</v>
      </c>
      <c r="N7518" t="str">
        <f>"11/26/2013 12:29:00 PM"</f>
        <v>11/26/2013 12:29:00 PM</v>
      </c>
      <c r="O7518" t="s">
        <v>22741</v>
      </c>
      <c r="T7518" t="s">
        <v>22742</v>
      </c>
    </row>
    <row r="7519" spans="1:20" x14ac:dyDescent="0.25">
      <c r="A7519" t="str">
        <f>"3055296"</f>
        <v>3055296</v>
      </c>
      <c r="B7519" t="s">
        <v>22744</v>
      </c>
      <c r="C7519" t="str">
        <f>"8303066"</f>
        <v>8303066</v>
      </c>
      <c r="D7519" t="s">
        <v>22745</v>
      </c>
      <c r="F7519" t="s">
        <v>22746</v>
      </c>
      <c r="I7519" t="s">
        <v>29</v>
      </c>
      <c r="J7519" t="s">
        <v>30</v>
      </c>
      <c r="K7519" t="str">
        <f>"27028"</f>
        <v>27028</v>
      </c>
      <c r="M7519" t="s">
        <v>17861</v>
      </c>
      <c r="N7519" t="str">
        <f>"1/23/2014 1:39:00 PM"</f>
        <v>1/23/2014 1:39:00 PM</v>
      </c>
      <c r="O7519" t="s">
        <v>22745</v>
      </c>
    </row>
    <row r="7520" spans="1:20" x14ac:dyDescent="0.25">
      <c r="A7520" t="str">
        <f>"3058085"</f>
        <v>3058085</v>
      </c>
      <c r="B7520" t="s">
        <v>22747</v>
      </c>
      <c r="C7520" t="str">
        <f>"8303068"</f>
        <v>8303068</v>
      </c>
      <c r="D7520" t="s">
        <v>22748</v>
      </c>
      <c r="F7520" t="s">
        <v>22749</v>
      </c>
      <c r="I7520" t="s">
        <v>184</v>
      </c>
      <c r="J7520" t="s">
        <v>30</v>
      </c>
      <c r="K7520" t="str">
        <f>"27006"</f>
        <v>27006</v>
      </c>
      <c r="M7520" t="s">
        <v>17861</v>
      </c>
      <c r="N7520" t="str">
        <f>"1/24/2014 9:45:00 AM"</f>
        <v>1/24/2014 9:45:00 AM</v>
      </c>
      <c r="O7520" t="s">
        <v>22748</v>
      </c>
    </row>
    <row r="7521" spans="1:20" x14ac:dyDescent="0.25">
      <c r="A7521" t="str">
        <f>"3054666"</f>
        <v>3054666</v>
      </c>
      <c r="B7521" t="s">
        <v>22750</v>
      </c>
      <c r="C7521" t="str">
        <f>"8302784"</f>
        <v>8302784</v>
      </c>
      <c r="D7521" t="s">
        <v>13555</v>
      </c>
      <c r="E7521" t="s">
        <v>22751</v>
      </c>
      <c r="F7521" t="s">
        <v>13557</v>
      </c>
      <c r="I7521" t="s">
        <v>29</v>
      </c>
      <c r="J7521" t="s">
        <v>30</v>
      </c>
      <c r="K7521" t="str">
        <f>"27028"</f>
        <v>27028</v>
      </c>
      <c r="M7521" t="s">
        <v>18479</v>
      </c>
      <c r="N7521" t="str">
        <f>"1/24/2014 2:15:00 PM"</f>
        <v>1/24/2014 2:15:00 PM</v>
      </c>
      <c r="O7521" t="s">
        <v>13555</v>
      </c>
      <c r="T7521" t="s">
        <v>22751</v>
      </c>
    </row>
    <row r="7522" spans="1:20" x14ac:dyDescent="0.25">
      <c r="A7522" t="str">
        <f>"3048783"</f>
        <v>3048783</v>
      </c>
      <c r="B7522" t="s">
        <v>22752</v>
      </c>
      <c r="C7522" t="str">
        <f>"8302797"</f>
        <v>8302797</v>
      </c>
      <c r="D7522" t="s">
        <v>22753</v>
      </c>
      <c r="F7522" t="s">
        <v>3763</v>
      </c>
      <c r="I7522" t="s">
        <v>2071</v>
      </c>
      <c r="J7522" t="s">
        <v>30</v>
      </c>
      <c r="K7522" t="str">
        <f>"27006"</f>
        <v>27006</v>
      </c>
      <c r="M7522" t="s">
        <v>17861</v>
      </c>
      <c r="N7522" t="str">
        <f>"11/26/2013 1:27:00 PM"</f>
        <v>11/26/2013 1:27:00 PM</v>
      </c>
      <c r="O7522" t="s">
        <v>22753</v>
      </c>
    </row>
    <row r="7523" spans="1:20" x14ac:dyDescent="0.25">
      <c r="A7523" t="str">
        <f>"3037630"</f>
        <v>3037630</v>
      </c>
      <c r="B7523" t="s">
        <v>22754</v>
      </c>
      <c r="C7523" t="str">
        <f>"82530501"</f>
        <v>82530501</v>
      </c>
      <c r="D7523" t="s">
        <v>22755</v>
      </c>
      <c r="E7523" t="s">
        <v>22756</v>
      </c>
      <c r="F7523" t="s">
        <v>22757</v>
      </c>
      <c r="I7523" t="s">
        <v>29</v>
      </c>
      <c r="J7523" t="s">
        <v>30</v>
      </c>
      <c r="K7523" t="s">
        <v>31</v>
      </c>
      <c r="M7523" t="s">
        <v>18470</v>
      </c>
      <c r="N7523" t="str">
        <f>"12/30/2013 11:12:00 AM"</f>
        <v>12/30/2013 11:12:00 AM</v>
      </c>
      <c r="O7523" t="s">
        <v>22755</v>
      </c>
      <c r="T7523" t="s">
        <v>22756</v>
      </c>
    </row>
    <row r="7524" spans="1:20" x14ac:dyDescent="0.25">
      <c r="A7524" t="str">
        <f>"3049588"</f>
        <v>3049588</v>
      </c>
      <c r="B7524" t="s">
        <v>22758</v>
      </c>
      <c r="C7524" t="str">
        <f>"8303075"</f>
        <v>8303075</v>
      </c>
      <c r="D7524" t="s">
        <v>22759</v>
      </c>
      <c r="E7524" t="s">
        <v>22760</v>
      </c>
      <c r="F7524" t="s">
        <v>22761</v>
      </c>
      <c r="I7524" t="s">
        <v>29</v>
      </c>
      <c r="J7524" t="s">
        <v>30</v>
      </c>
      <c r="K7524" t="str">
        <f>"27028"</f>
        <v>27028</v>
      </c>
      <c r="M7524" t="s">
        <v>17861</v>
      </c>
      <c r="N7524" t="str">
        <f>"1/28/2014 12:28:00 PM"</f>
        <v>1/28/2014 12:28:00 PM</v>
      </c>
      <c r="O7524" t="s">
        <v>22759</v>
      </c>
      <c r="T7524" t="s">
        <v>22760</v>
      </c>
    </row>
    <row r="7525" spans="1:20" x14ac:dyDescent="0.25">
      <c r="A7525" t="str">
        <f>"3046732"</f>
        <v>3046732</v>
      </c>
      <c r="B7525" t="s">
        <v>22762</v>
      </c>
      <c r="C7525" t="str">
        <f>"8303079"</f>
        <v>8303079</v>
      </c>
      <c r="D7525" t="s">
        <v>22763</v>
      </c>
      <c r="F7525" t="s">
        <v>22764</v>
      </c>
      <c r="I7525" t="s">
        <v>184</v>
      </c>
      <c r="J7525" t="s">
        <v>30</v>
      </c>
      <c r="K7525" t="str">
        <f>"27006"</f>
        <v>27006</v>
      </c>
      <c r="M7525" t="s">
        <v>17861</v>
      </c>
      <c r="N7525" t="str">
        <f>"1/29/2014 1:04:00 PM"</f>
        <v>1/29/2014 1:04:00 PM</v>
      </c>
      <c r="O7525" t="s">
        <v>22763</v>
      </c>
    </row>
    <row r="7526" spans="1:20" x14ac:dyDescent="0.25">
      <c r="A7526" t="str">
        <f>"3043770"</f>
        <v>3043770</v>
      </c>
      <c r="B7526" t="s">
        <v>22765</v>
      </c>
      <c r="C7526" t="str">
        <f>"82517705"</f>
        <v>82517705</v>
      </c>
      <c r="D7526" t="s">
        <v>22766</v>
      </c>
      <c r="E7526" t="s">
        <v>22767</v>
      </c>
      <c r="F7526" t="s">
        <v>21493</v>
      </c>
      <c r="I7526" t="s">
        <v>184</v>
      </c>
      <c r="J7526" t="s">
        <v>30</v>
      </c>
      <c r="K7526" t="s">
        <v>185</v>
      </c>
      <c r="M7526" t="s">
        <v>18513</v>
      </c>
      <c r="N7526" t="str">
        <f>"11/27/2013 10:39:00 AM"</f>
        <v>11/27/2013 10:39:00 AM</v>
      </c>
      <c r="O7526" t="s">
        <v>22766</v>
      </c>
      <c r="T7526" t="s">
        <v>22767</v>
      </c>
    </row>
    <row r="7527" spans="1:20" x14ac:dyDescent="0.25">
      <c r="A7527" t="str">
        <f>"3048871"</f>
        <v>3048871</v>
      </c>
      <c r="B7527" t="s">
        <v>22768</v>
      </c>
      <c r="C7527" t="str">
        <f>"8303089"</f>
        <v>8303089</v>
      </c>
      <c r="D7527" t="s">
        <v>22769</v>
      </c>
      <c r="E7527" t="s">
        <v>22770</v>
      </c>
      <c r="F7527" t="s">
        <v>22771</v>
      </c>
      <c r="I7527" t="s">
        <v>22772</v>
      </c>
      <c r="J7527" t="s">
        <v>22773</v>
      </c>
      <c r="K7527" t="s">
        <v>22774</v>
      </c>
      <c r="M7527" t="s">
        <v>17861</v>
      </c>
      <c r="N7527" t="str">
        <f>"1/29/2014 3:57:00 PM"</f>
        <v>1/29/2014 3:57:00 PM</v>
      </c>
      <c r="O7527" t="s">
        <v>22769</v>
      </c>
      <c r="T7527" t="s">
        <v>22770</v>
      </c>
    </row>
    <row r="7528" spans="1:20" x14ac:dyDescent="0.25">
      <c r="A7528" t="str">
        <f>"3042272"</f>
        <v>3042272</v>
      </c>
      <c r="B7528" t="s">
        <v>22775</v>
      </c>
      <c r="C7528" t="str">
        <f>"82522757"</f>
        <v>82522757</v>
      </c>
      <c r="D7528" t="s">
        <v>22776</v>
      </c>
      <c r="E7528" t="s">
        <v>22777</v>
      </c>
      <c r="F7528" t="s">
        <v>22778</v>
      </c>
      <c r="I7528" t="s">
        <v>29</v>
      </c>
      <c r="J7528" t="s">
        <v>30</v>
      </c>
      <c r="K7528" t="s">
        <v>2624</v>
      </c>
      <c r="M7528" t="s">
        <v>18479</v>
      </c>
      <c r="N7528" t="str">
        <f>"1/29/2014 4:02:00 PM"</f>
        <v>1/29/2014 4:02:00 PM</v>
      </c>
      <c r="O7528" t="s">
        <v>22776</v>
      </c>
      <c r="T7528" t="s">
        <v>22777</v>
      </c>
    </row>
    <row r="7529" spans="1:20" x14ac:dyDescent="0.25">
      <c r="A7529" t="str">
        <f>"3066215"</f>
        <v>3066215</v>
      </c>
      <c r="B7529" t="s">
        <v>22779</v>
      </c>
      <c r="C7529" t="str">
        <f>"8303092"</f>
        <v>8303092</v>
      </c>
      <c r="D7529" t="s">
        <v>22780</v>
      </c>
      <c r="F7529" t="s">
        <v>22781</v>
      </c>
      <c r="I7529" t="s">
        <v>9580</v>
      </c>
      <c r="J7529" t="s">
        <v>30</v>
      </c>
      <c r="K7529" t="str">
        <f>"27014"</f>
        <v>27014</v>
      </c>
      <c r="M7529" t="s">
        <v>17861</v>
      </c>
      <c r="N7529" t="str">
        <f>"1/29/2014 4:32:00 PM"</f>
        <v>1/29/2014 4:32:00 PM</v>
      </c>
      <c r="O7529" t="s">
        <v>22780</v>
      </c>
    </row>
    <row r="7530" spans="1:20" x14ac:dyDescent="0.25">
      <c r="A7530" t="str">
        <f>"3056778"</f>
        <v>3056778</v>
      </c>
      <c r="B7530" t="s">
        <v>22782</v>
      </c>
      <c r="C7530" t="str">
        <f>"54884000"</f>
        <v>54884000</v>
      </c>
      <c r="D7530" t="s">
        <v>22783</v>
      </c>
      <c r="F7530" t="s">
        <v>22784</v>
      </c>
      <c r="I7530" t="s">
        <v>29</v>
      </c>
      <c r="J7530" t="s">
        <v>30</v>
      </c>
      <c r="K7530" t="s">
        <v>31</v>
      </c>
      <c r="M7530" t="s">
        <v>17861</v>
      </c>
      <c r="N7530" t="str">
        <f>"1/30/2014 12:33:00 PM"</f>
        <v>1/30/2014 12:33:00 PM</v>
      </c>
      <c r="O7530" t="s">
        <v>22783</v>
      </c>
    </row>
    <row r="7531" spans="1:20" x14ac:dyDescent="0.25">
      <c r="A7531" t="str">
        <f>"3060160"</f>
        <v>3060160</v>
      </c>
      <c r="B7531" t="s">
        <v>22785</v>
      </c>
      <c r="C7531" t="str">
        <f>"8302986"</f>
        <v>8302986</v>
      </c>
      <c r="D7531" t="s">
        <v>22786</v>
      </c>
      <c r="F7531" t="s">
        <v>22787</v>
      </c>
      <c r="I7531" t="s">
        <v>29</v>
      </c>
      <c r="J7531" t="s">
        <v>30</v>
      </c>
      <c r="K7531" t="str">
        <f>"27028"</f>
        <v>27028</v>
      </c>
      <c r="M7531" t="s">
        <v>17861</v>
      </c>
      <c r="N7531" t="str">
        <f>"12/31/2013 9:57:00 AM"</f>
        <v>12/31/2013 9:57:00 AM</v>
      </c>
      <c r="O7531" t="s">
        <v>22786</v>
      </c>
    </row>
    <row r="7532" spans="1:20" x14ac:dyDescent="0.25">
      <c r="A7532" t="str">
        <f>"3039247"</f>
        <v>3039247</v>
      </c>
      <c r="B7532" t="s">
        <v>22788</v>
      </c>
      <c r="C7532" t="str">
        <f>"8301113"</f>
        <v>8301113</v>
      </c>
      <c r="D7532" t="s">
        <v>22789</v>
      </c>
      <c r="E7532" t="s">
        <v>22790</v>
      </c>
      <c r="F7532" t="s">
        <v>22791</v>
      </c>
      <c r="I7532" t="s">
        <v>29</v>
      </c>
      <c r="J7532" t="s">
        <v>30</v>
      </c>
      <c r="K7532" t="s">
        <v>22792</v>
      </c>
      <c r="M7532" t="s">
        <v>17861</v>
      </c>
      <c r="N7532" t="str">
        <f>"2/3/2014 9:03:00 AM"</f>
        <v>2/3/2014 9:03:00 AM</v>
      </c>
      <c r="O7532" t="s">
        <v>22789</v>
      </c>
      <c r="T7532" t="s">
        <v>22790</v>
      </c>
    </row>
    <row r="7533" spans="1:20" x14ac:dyDescent="0.25">
      <c r="A7533" t="str">
        <f>"3038079"</f>
        <v>3038079</v>
      </c>
      <c r="B7533" t="s">
        <v>22793</v>
      </c>
      <c r="C7533" t="str">
        <f>"8301113"</f>
        <v>8301113</v>
      </c>
      <c r="D7533" t="s">
        <v>22789</v>
      </c>
      <c r="E7533" t="s">
        <v>22790</v>
      </c>
      <c r="F7533" t="s">
        <v>22791</v>
      </c>
      <c r="I7533" t="s">
        <v>29</v>
      </c>
      <c r="J7533" t="s">
        <v>30</v>
      </c>
      <c r="K7533" t="s">
        <v>22792</v>
      </c>
      <c r="M7533" t="s">
        <v>17861</v>
      </c>
      <c r="N7533" t="str">
        <f>"2/3/2014 9:03:00 AM"</f>
        <v>2/3/2014 9:03:00 AM</v>
      </c>
      <c r="O7533" t="s">
        <v>22789</v>
      </c>
      <c r="T7533" t="s">
        <v>22790</v>
      </c>
    </row>
    <row r="7534" spans="1:20" x14ac:dyDescent="0.25">
      <c r="A7534" t="str">
        <f>"3060671"</f>
        <v>3060671</v>
      </c>
      <c r="B7534" t="s">
        <v>22794</v>
      </c>
      <c r="C7534" t="str">
        <f>"8302624"</f>
        <v>8302624</v>
      </c>
      <c r="D7534" t="s">
        <v>22795</v>
      </c>
      <c r="E7534" t="s">
        <v>22796</v>
      </c>
      <c r="F7534" t="s">
        <v>22797</v>
      </c>
      <c r="I7534" t="s">
        <v>184</v>
      </c>
      <c r="J7534" t="s">
        <v>30</v>
      </c>
      <c r="K7534" t="s">
        <v>20078</v>
      </c>
      <c r="M7534" t="s">
        <v>17861</v>
      </c>
      <c r="N7534" t="str">
        <f>"2/3/2014 9:06:00 AM"</f>
        <v>2/3/2014 9:06:00 AM</v>
      </c>
      <c r="O7534" t="s">
        <v>22795</v>
      </c>
      <c r="T7534" t="s">
        <v>22796</v>
      </c>
    </row>
    <row r="7535" spans="1:20" x14ac:dyDescent="0.25">
      <c r="A7535" t="str">
        <f>"3062031"</f>
        <v>3062031</v>
      </c>
      <c r="B7535" t="s">
        <v>22798</v>
      </c>
      <c r="C7535" t="str">
        <f>"8302987"</f>
        <v>8302987</v>
      </c>
      <c r="D7535" t="s">
        <v>22799</v>
      </c>
      <c r="E7535" t="s">
        <v>22800</v>
      </c>
      <c r="F7535" t="s">
        <v>22801</v>
      </c>
      <c r="I7535" t="s">
        <v>29</v>
      </c>
      <c r="J7535" t="s">
        <v>30</v>
      </c>
      <c r="K7535" t="str">
        <f>"27028"</f>
        <v>27028</v>
      </c>
      <c r="M7535" t="s">
        <v>17861</v>
      </c>
      <c r="N7535" t="str">
        <f>"12/31/2013 10:01:00 AM"</f>
        <v>12/31/2013 10:01:00 AM</v>
      </c>
      <c r="O7535" t="s">
        <v>22799</v>
      </c>
      <c r="T7535" t="s">
        <v>22800</v>
      </c>
    </row>
    <row r="7536" spans="1:20" x14ac:dyDescent="0.25">
      <c r="A7536" t="str">
        <f>"3054565"</f>
        <v>3054565</v>
      </c>
      <c r="B7536" t="s">
        <v>22802</v>
      </c>
      <c r="C7536" t="str">
        <f>"8302997"</f>
        <v>8302997</v>
      </c>
      <c r="D7536" t="s">
        <v>22625</v>
      </c>
      <c r="E7536" t="s">
        <v>22626</v>
      </c>
      <c r="F7536" t="s">
        <v>22627</v>
      </c>
      <c r="I7536" t="s">
        <v>9580</v>
      </c>
      <c r="J7536" t="s">
        <v>30</v>
      </c>
      <c r="K7536" t="str">
        <f>"27014"</f>
        <v>27014</v>
      </c>
      <c r="M7536" t="s">
        <v>17861</v>
      </c>
      <c r="N7536" t="str">
        <f>"12/31/2013 12:42:00 PM"</f>
        <v>12/31/2013 12:42:00 PM</v>
      </c>
      <c r="O7536" t="s">
        <v>22625</v>
      </c>
      <c r="T7536" t="s">
        <v>22626</v>
      </c>
    </row>
    <row r="7537" spans="1:20" x14ac:dyDescent="0.25">
      <c r="A7537" t="str">
        <f>"3049736"</f>
        <v>3049736</v>
      </c>
      <c r="B7537" t="s">
        <v>22803</v>
      </c>
      <c r="C7537" t="str">
        <f>"8303015"</f>
        <v>8303015</v>
      </c>
      <c r="D7537" t="s">
        <v>22804</v>
      </c>
      <c r="F7537" t="s">
        <v>22805</v>
      </c>
      <c r="I7537" t="s">
        <v>29</v>
      </c>
      <c r="J7537" t="s">
        <v>30</v>
      </c>
      <c r="K7537" t="str">
        <f>"27028"</f>
        <v>27028</v>
      </c>
      <c r="M7537" t="s">
        <v>17861</v>
      </c>
      <c r="N7537" t="str">
        <f>"12/31/2013 2:26:00 PM"</f>
        <v>12/31/2013 2:26:00 PM</v>
      </c>
      <c r="O7537" t="s">
        <v>22804</v>
      </c>
    </row>
    <row r="7538" spans="1:20" x14ac:dyDescent="0.25">
      <c r="A7538" t="str">
        <f>"3038287"</f>
        <v>3038287</v>
      </c>
      <c r="B7538" t="s">
        <v>22806</v>
      </c>
      <c r="C7538" t="str">
        <f>"8301597"</f>
        <v>8301597</v>
      </c>
      <c r="D7538" t="s">
        <v>22807</v>
      </c>
      <c r="F7538" t="s">
        <v>22808</v>
      </c>
      <c r="I7538" t="s">
        <v>29</v>
      </c>
      <c r="J7538" t="s">
        <v>30</v>
      </c>
      <c r="K7538" t="s">
        <v>2531</v>
      </c>
      <c r="M7538" t="s">
        <v>17861</v>
      </c>
      <c r="N7538" t="str">
        <f>"2/3/2014 9:13:00 AM"</f>
        <v>2/3/2014 9:13:00 AM</v>
      </c>
      <c r="O7538" t="s">
        <v>22807</v>
      </c>
    </row>
    <row r="7539" spans="1:20" x14ac:dyDescent="0.25">
      <c r="A7539" t="str">
        <f>"3039099"</f>
        <v>3039099</v>
      </c>
      <c r="B7539" t="s">
        <v>22809</v>
      </c>
      <c r="C7539" t="str">
        <f>"8301597"</f>
        <v>8301597</v>
      </c>
      <c r="D7539" t="s">
        <v>22807</v>
      </c>
      <c r="F7539" t="s">
        <v>22808</v>
      </c>
      <c r="I7539" t="s">
        <v>29</v>
      </c>
      <c r="J7539" t="s">
        <v>30</v>
      </c>
      <c r="K7539" t="s">
        <v>2531</v>
      </c>
      <c r="M7539" t="s">
        <v>17861</v>
      </c>
      <c r="N7539" t="str">
        <f>"2/3/2014 9:13:00 AM"</f>
        <v>2/3/2014 9:13:00 AM</v>
      </c>
      <c r="O7539" t="s">
        <v>22807</v>
      </c>
    </row>
    <row r="7540" spans="1:20" x14ac:dyDescent="0.25">
      <c r="A7540" t="str">
        <f>"3058114"</f>
        <v>3058114</v>
      </c>
      <c r="B7540" t="s">
        <v>22810</v>
      </c>
      <c r="C7540" t="str">
        <f>"8302460"</f>
        <v>8302460</v>
      </c>
      <c r="D7540" t="s">
        <v>22811</v>
      </c>
      <c r="E7540" t="s">
        <v>22812</v>
      </c>
      <c r="F7540" t="s">
        <v>22813</v>
      </c>
      <c r="I7540" t="s">
        <v>184</v>
      </c>
      <c r="J7540" t="s">
        <v>30</v>
      </c>
      <c r="K7540" t="s">
        <v>22814</v>
      </c>
      <c r="M7540" t="s">
        <v>17861</v>
      </c>
      <c r="N7540" t="str">
        <f>"2/3/2014 9:15:00 AM"</f>
        <v>2/3/2014 9:15:00 AM</v>
      </c>
      <c r="O7540" t="s">
        <v>22811</v>
      </c>
      <c r="T7540" t="s">
        <v>22812</v>
      </c>
    </row>
    <row r="7541" spans="1:20" x14ac:dyDescent="0.25">
      <c r="A7541" t="str">
        <f>"3051971"</f>
        <v>3051971</v>
      </c>
      <c r="B7541" t="s">
        <v>22815</v>
      </c>
      <c r="C7541" t="str">
        <f>"82527750"</f>
        <v>82527750</v>
      </c>
      <c r="D7541" t="s">
        <v>22816</v>
      </c>
      <c r="E7541" t="s">
        <v>22817</v>
      </c>
      <c r="F7541" t="s">
        <v>22818</v>
      </c>
      <c r="I7541" t="s">
        <v>29</v>
      </c>
      <c r="J7541" t="s">
        <v>30</v>
      </c>
      <c r="K7541" t="s">
        <v>31</v>
      </c>
      <c r="M7541" t="s">
        <v>18432</v>
      </c>
      <c r="N7541" t="str">
        <f>"2/3/2014 9:53:00 AM"</f>
        <v>2/3/2014 9:53:00 AM</v>
      </c>
      <c r="O7541" t="s">
        <v>22816</v>
      </c>
      <c r="T7541" t="s">
        <v>22817</v>
      </c>
    </row>
    <row r="7542" spans="1:20" x14ac:dyDescent="0.25">
      <c r="A7542" t="str">
        <f>"3041520"</f>
        <v>3041520</v>
      </c>
      <c r="B7542" t="s">
        <v>22819</v>
      </c>
      <c r="C7542" t="str">
        <f>"8302360"</f>
        <v>8302360</v>
      </c>
      <c r="D7542" t="s">
        <v>22820</v>
      </c>
      <c r="F7542" t="s">
        <v>22821</v>
      </c>
      <c r="I7542" t="s">
        <v>184</v>
      </c>
      <c r="J7542" t="s">
        <v>30</v>
      </c>
      <c r="K7542" t="s">
        <v>22822</v>
      </c>
      <c r="M7542" t="s">
        <v>17861</v>
      </c>
      <c r="N7542" t="str">
        <f>"2/3/2014 4:07:00 PM"</f>
        <v>2/3/2014 4:07:00 PM</v>
      </c>
      <c r="O7542" t="s">
        <v>22820</v>
      </c>
    </row>
    <row r="7543" spans="1:20" x14ac:dyDescent="0.25">
      <c r="A7543" t="str">
        <f>"3046342"</f>
        <v>3046342</v>
      </c>
      <c r="B7543" t="s">
        <v>22823</v>
      </c>
      <c r="C7543" t="str">
        <f>"8303024"</f>
        <v>8303024</v>
      </c>
      <c r="D7543" t="s">
        <v>22824</v>
      </c>
      <c r="E7543" t="s">
        <v>22825</v>
      </c>
      <c r="F7543" t="s">
        <v>22826</v>
      </c>
      <c r="I7543" t="s">
        <v>29</v>
      </c>
      <c r="J7543" t="s">
        <v>30</v>
      </c>
      <c r="K7543" t="str">
        <f>"27028"</f>
        <v>27028</v>
      </c>
      <c r="M7543" t="s">
        <v>17861</v>
      </c>
      <c r="N7543" t="str">
        <f>"1/2/2014 2:17:00 PM"</f>
        <v>1/2/2014 2:17:00 PM</v>
      </c>
      <c r="O7543" t="s">
        <v>22824</v>
      </c>
      <c r="T7543" t="s">
        <v>22825</v>
      </c>
    </row>
    <row r="7544" spans="1:20" x14ac:dyDescent="0.25">
      <c r="A7544" t="str">
        <f>"3058392"</f>
        <v>3058392</v>
      </c>
      <c r="B7544" t="s">
        <v>22827</v>
      </c>
      <c r="C7544" t="str">
        <f>"8301001"</f>
        <v>8301001</v>
      </c>
      <c r="D7544" t="s">
        <v>22828</v>
      </c>
      <c r="F7544" t="s">
        <v>22829</v>
      </c>
      <c r="I7544" t="s">
        <v>29</v>
      </c>
      <c r="J7544" t="s">
        <v>30</v>
      </c>
      <c r="K7544" t="s">
        <v>10268</v>
      </c>
      <c r="M7544" t="s">
        <v>17861</v>
      </c>
      <c r="N7544" t="str">
        <f>"2/5/2014 2:21:00 PM"</f>
        <v>2/5/2014 2:21:00 PM</v>
      </c>
      <c r="O7544" t="s">
        <v>22828</v>
      </c>
    </row>
    <row r="7545" spans="1:20" x14ac:dyDescent="0.25">
      <c r="A7545" t="str">
        <f>"3053097"</f>
        <v>3053097</v>
      </c>
      <c r="B7545" t="s">
        <v>22830</v>
      </c>
      <c r="C7545" t="str">
        <f>"8303027"</f>
        <v>8303027</v>
      </c>
      <c r="D7545" t="s">
        <v>22667</v>
      </c>
      <c r="E7545" t="s">
        <v>22668</v>
      </c>
      <c r="F7545" t="s">
        <v>22669</v>
      </c>
      <c r="I7545" t="s">
        <v>29</v>
      </c>
      <c r="J7545" t="s">
        <v>30</v>
      </c>
      <c r="K7545" t="str">
        <f>"27028"</f>
        <v>27028</v>
      </c>
      <c r="M7545" t="s">
        <v>17861</v>
      </c>
      <c r="N7545" t="str">
        <f>"1/3/2014 10:52:00 AM"</f>
        <v>1/3/2014 10:52:00 AM</v>
      </c>
      <c r="O7545" t="s">
        <v>22667</v>
      </c>
      <c r="T7545" t="s">
        <v>22668</v>
      </c>
    </row>
    <row r="7546" spans="1:20" x14ac:dyDescent="0.25">
      <c r="A7546" t="str">
        <f>"3049527"</f>
        <v>3049527</v>
      </c>
      <c r="B7546" t="s">
        <v>22831</v>
      </c>
      <c r="C7546" t="str">
        <f>"17820000"</f>
        <v>17820000</v>
      </c>
      <c r="D7546" t="s">
        <v>22688</v>
      </c>
      <c r="E7546" t="s">
        <v>22689</v>
      </c>
      <c r="F7546" t="s">
        <v>22690</v>
      </c>
      <c r="I7546" t="s">
        <v>29</v>
      </c>
      <c r="J7546" t="s">
        <v>30</v>
      </c>
      <c r="K7546" t="s">
        <v>22691</v>
      </c>
      <c r="M7546" t="s">
        <v>18432</v>
      </c>
      <c r="N7546" t="str">
        <f>"1/6/2014 8:55:00 AM"</f>
        <v>1/6/2014 8:55:00 AM</v>
      </c>
      <c r="O7546" t="s">
        <v>22688</v>
      </c>
      <c r="T7546" t="s">
        <v>22689</v>
      </c>
    </row>
    <row r="7547" spans="1:20" x14ac:dyDescent="0.25">
      <c r="A7547" t="str">
        <f>"3039438"</f>
        <v>3039438</v>
      </c>
      <c r="B7547" t="s">
        <v>22832</v>
      </c>
      <c r="C7547" t="str">
        <f>"8303052"</f>
        <v>8303052</v>
      </c>
      <c r="D7547" t="s">
        <v>22833</v>
      </c>
      <c r="F7547" t="s">
        <v>22834</v>
      </c>
      <c r="I7547" t="s">
        <v>471</v>
      </c>
      <c r="J7547" t="s">
        <v>30</v>
      </c>
      <c r="K7547" t="str">
        <f>"27107"</f>
        <v>27107</v>
      </c>
      <c r="M7547" t="s">
        <v>17861</v>
      </c>
      <c r="N7547" t="str">
        <f>"1/9/2014 12:47:00 PM"</f>
        <v>1/9/2014 12:47:00 PM</v>
      </c>
      <c r="O7547" t="s">
        <v>22833</v>
      </c>
    </row>
    <row r="7548" spans="1:20" x14ac:dyDescent="0.25">
      <c r="A7548" t="str">
        <f>"3053465"</f>
        <v>3053465</v>
      </c>
      <c r="B7548" t="s">
        <v>22835</v>
      </c>
      <c r="C7548" t="str">
        <f>"8303117"</f>
        <v>8303117</v>
      </c>
      <c r="D7548" t="s">
        <v>22836</v>
      </c>
      <c r="E7548" t="s">
        <v>22837</v>
      </c>
      <c r="F7548" t="s">
        <v>22838</v>
      </c>
      <c r="I7548" t="s">
        <v>29</v>
      </c>
      <c r="J7548" t="s">
        <v>30</v>
      </c>
      <c r="K7548" t="str">
        <f>"27028"</f>
        <v>27028</v>
      </c>
      <c r="M7548" t="s">
        <v>17861</v>
      </c>
      <c r="N7548" t="str">
        <f>"2/6/2014 9:24:00 AM"</f>
        <v>2/6/2014 9:24:00 AM</v>
      </c>
      <c r="O7548" t="s">
        <v>22836</v>
      </c>
      <c r="T7548" t="s">
        <v>22837</v>
      </c>
    </row>
    <row r="7549" spans="1:20" x14ac:dyDescent="0.25">
      <c r="A7549" t="str">
        <f>"3051025"</f>
        <v>3051025</v>
      </c>
      <c r="B7549" t="s">
        <v>22839</v>
      </c>
      <c r="C7549" t="str">
        <f>"8303120"</f>
        <v>8303120</v>
      </c>
      <c r="D7549" t="s">
        <v>22840</v>
      </c>
      <c r="F7549" t="s">
        <v>22841</v>
      </c>
      <c r="I7549" t="s">
        <v>29</v>
      </c>
      <c r="J7549" t="s">
        <v>30</v>
      </c>
      <c r="K7549" t="str">
        <f>"27028"</f>
        <v>27028</v>
      </c>
      <c r="M7549" t="s">
        <v>17861</v>
      </c>
      <c r="N7549" t="str">
        <f>"2/6/2014 10:54:00 AM"</f>
        <v>2/6/2014 10:54:00 AM</v>
      </c>
      <c r="O7549" t="s">
        <v>22840</v>
      </c>
    </row>
    <row r="7550" spans="1:20" x14ac:dyDescent="0.25">
      <c r="A7550" t="str">
        <f>"3038784"</f>
        <v>3038784</v>
      </c>
      <c r="B7550" t="s">
        <v>22842</v>
      </c>
      <c r="C7550" t="str">
        <f>"8303123"</f>
        <v>8303123</v>
      </c>
      <c r="D7550" t="s">
        <v>22843</v>
      </c>
      <c r="E7550" t="s">
        <v>22844</v>
      </c>
      <c r="F7550" t="s">
        <v>22845</v>
      </c>
      <c r="I7550" t="s">
        <v>29</v>
      </c>
      <c r="J7550" t="s">
        <v>30</v>
      </c>
      <c r="K7550" t="str">
        <f>"27028"</f>
        <v>27028</v>
      </c>
      <c r="M7550" t="s">
        <v>17861</v>
      </c>
      <c r="N7550" t="str">
        <f>"2/6/2014 11:25:00 AM"</f>
        <v>2/6/2014 11:25:00 AM</v>
      </c>
      <c r="O7550" t="s">
        <v>22843</v>
      </c>
      <c r="T7550" t="s">
        <v>22844</v>
      </c>
    </row>
    <row r="7551" spans="1:20" x14ac:dyDescent="0.25">
      <c r="A7551" t="str">
        <f>"3076656"</f>
        <v>3076656</v>
      </c>
      <c r="B7551" t="s">
        <v>22846</v>
      </c>
      <c r="C7551" t="str">
        <f>"8303123"</f>
        <v>8303123</v>
      </c>
      <c r="D7551" t="s">
        <v>22843</v>
      </c>
      <c r="E7551" t="s">
        <v>22844</v>
      </c>
      <c r="F7551" t="s">
        <v>22845</v>
      </c>
      <c r="I7551" t="s">
        <v>29</v>
      </c>
      <c r="J7551" t="s">
        <v>30</v>
      </c>
      <c r="K7551" t="str">
        <f>"27028"</f>
        <v>27028</v>
      </c>
      <c r="M7551" t="s">
        <v>17861</v>
      </c>
      <c r="N7551" t="str">
        <f>"2/6/2014 11:25:00 AM"</f>
        <v>2/6/2014 11:25:00 AM</v>
      </c>
      <c r="O7551" t="s">
        <v>22843</v>
      </c>
      <c r="T7551" t="s">
        <v>22844</v>
      </c>
    </row>
    <row r="7552" spans="1:20" x14ac:dyDescent="0.25">
      <c r="A7552" t="str">
        <f>"3076657"</f>
        <v>3076657</v>
      </c>
      <c r="B7552" t="s">
        <v>22847</v>
      </c>
      <c r="C7552" t="str">
        <f>"8303123"</f>
        <v>8303123</v>
      </c>
      <c r="D7552" t="s">
        <v>22843</v>
      </c>
      <c r="E7552" t="s">
        <v>22844</v>
      </c>
      <c r="F7552" t="s">
        <v>22845</v>
      </c>
      <c r="I7552" t="s">
        <v>29</v>
      </c>
      <c r="J7552" t="s">
        <v>30</v>
      </c>
      <c r="K7552" t="str">
        <f>"27028"</f>
        <v>27028</v>
      </c>
      <c r="M7552" t="s">
        <v>17861</v>
      </c>
      <c r="N7552" t="str">
        <f>"2/6/2014 11:25:00 AM"</f>
        <v>2/6/2014 11:25:00 AM</v>
      </c>
      <c r="O7552" t="s">
        <v>22843</v>
      </c>
      <c r="T7552" t="s">
        <v>22844</v>
      </c>
    </row>
    <row r="7553" spans="1:20" x14ac:dyDescent="0.25">
      <c r="A7553" t="str">
        <f>"3044736"</f>
        <v>3044736</v>
      </c>
      <c r="B7553" t="s">
        <v>22848</v>
      </c>
      <c r="C7553" t="str">
        <f>"8303053"</f>
        <v>8303053</v>
      </c>
      <c r="D7553" t="s">
        <v>22849</v>
      </c>
      <c r="F7553" t="s">
        <v>22850</v>
      </c>
      <c r="I7553" t="s">
        <v>184</v>
      </c>
      <c r="J7553" t="s">
        <v>30</v>
      </c>
      <c r="K7553" t="str">
        <f>"27006"</f>
        <v>27006</v>
      </c>
      <c r="M7553" t="s">
        <v>17861</v>
      </c>
      <c r="N7553" t="str">
        <f>"1/10/2014 3:27:00 PM"</f>
        <v>1/10/2014 3:27:00 PM</v>
      </c>
      <c r="O7553" t="s">
        <v>22849</v>
      </c>
    </row>
    <row r="7554" spans="1:20" x14ac:dyDescent="0.25">
      <c r="A7554" t="str">
        <f>"3076718"</f>
        <v>3076718</v>
      </c>
      <c r="B7554" t="s">
        <v>22851</v>
      </c>
      <c r="C7554" t="str">
        <f>"8302527"</f>
        <v>8302527</v>
      </c>
      <c r="D7554" t="s">
        <v>22852</v>
      </c>
      <c r="E7554" t="s">
        <v>22853</v>
      </c>
      <c r="F7554" t="s">
        <v>22854</v>
      </c>
      <c r="I7554" t="s">
        <v>29</v>
      </c>
      <c r="J7554" t="s">
        <v>30</v>
      </c>
      <c r="K7554" t="str">
        <f>"27028"</f>
        <v>27028</v>
      </c>
      <c r="M7554" t="s">
        <v>17861</v>
      </c>
      <c r="N7554" t="str">
        <f>"2/7/2014 3:07:00 PM"</f>
        <v>2/7/2014 3:07:00 PM</v>
      </c>
      <c r="O7554" t="s">
        <v>22852</v>
      </c>
      <c r="T7554" t="s">
        <v>22853</v>
      </c>
    </row>
    <row r="7555" spans="1:20" x14ac:dyDescent="0.25">
      <c r="A7555" t="str">
        <f>"3063531"</f>
        <v>3063531</v>
      </c>
      <c r="B7555" t="s">
        <v>22855</v>
      </c>
      <c r="C7555" t="str">
        <f>"8300383"</f>
        <v>8300383</v>
      </c>
      <c r="D7555" t="s">
        <v>22856</v>
      </c>
      <c r="E7555" t="s">
        <v>22857</v>
      </c>
      <c r="F7555" t="s">
        <v>22858</v>
      </c>
      <c r="I7555" t="s">
        <v>29</v>
      </c>
      <c r="J7555" t="s">
        <v>30</v>
      </c>
      <c r="K7555" t="s">
        <v>31</v>
      </c>
      <c r="M7555" t="s">
        <v>22859</v>
      </c>
      <c r="N7555" t="str">
        <f>"2/7/2014 3:11:00 PM"</f>
        <v>2/7/2014 3:11:00 PM</v>
      </c>
      <c r="O7555" t="s">
        <v>22856</v>
      </c>
      <c r="T7555" t="s">
        <v>22857</v>
      </c>
    </row>
    <row r="7556" spans="1:20" x14ac:dyDescent="0.25">
      <c r="A7556" t="str">
        <f>"3054743"</f>
        <v>3054743</v>
      </c>
      <c r="B7556" t="s">
        <v>22860</v>
      </c>
      <c r="C7556" t="str">
        <f>"8300383"</f>
        <v>8300383</v>
      </c>
      <c r="D7556" t="s">
        <v>22856</v>
      </c>
      <c r="E7556" t="s">
        <v>22857</v>
      </c>
      <c r="F7556" t="s">
        <v>22858</v>
      </c>
      <c r="I7556" t="s">
        <v>29</v>
      </c>
      <c r="J7556" t="s">
        <v>30</v>
      </c>
      <c r="K7556" t="s">
        <v>31</v>
      </c>
      <c r="M7556" t="s">
        <v>22859</v>
      </c>
      <c r="N7556" t="str">
        <f>"2/7/2014 3:11:00 PM"</f>
        <v>2/7/2014 3:11:00 PM</v>
      </c>
      <c r="O7556" t="s">
        <v>22856</v>
      </c>
      <c r="T7556" t="s">
        <v>22857</v>
      </c>
    </row>
    <row r="7557" spans="1:20" x14ac:dyDescent="0.25">
      <c r="A7557" t="str">
        <f>"3055480"</f>
        <v>3055480</v>
      </c>
      <c r="B7557" t="s">
        <v>22861</v>
      </c>
      <c r="C7557" t="str">
        <f>"8300383"</f>
        <v>8300383</v>
      </c>
      <c r="D7557" t="s">
        <v>22856</v>
      </c>
      <c r="E7557" t="s">
        <v>22857</v>
      </c>
      <c r="F7557" t="s">
        <v>22858</v>
      </c>
      <c r="I7557" t="s">
        <v>29</v>
      </c>
      <c r="J7557" t="s">
        <v>30</v>
      </c>
      <c r="K7557" t="s">
        <v>31</v>
      </c>
      <c r="M7557" t="s">
        <v>22859</v>
      </c>
      <c r="N7557" t="str">
        <f>"2/7/2014 3:11:00 PM"</f>
        <v>2/7/2014 3:11:00 PM</v>
      </c>
      <c r="O7557" t="s">
        <v>22856</v>
      </c>
      <c r="T7557" t="s">
        <v>22857</v>
      </c>
    </row>
    <row r="7558" spans="1:20" x14ac:dyDescent="0.25">
      <c r="A7558" t="str">
        <f>"3072458"</f>
        <v>3072458</v>
      </c>
      <c r="B7558" t="s">
        <v>22862</v>
      </c>
      <c r="C7558" t="str">
        <f>"29367000"</f>
        <v>29367000</v>
      </c>
      <c r="D7558" t="s">
        <v>22863</v>
      </c>
      <c r="E7558" t="s">
        <v>22864</v>
      </c>
      <c r="F7558" t="s">
        <v>22865</v>
      </c>
      <c r="I7558" t="s">
        <v>29</v>
      </c>
      <c r="J7558" t="s">
        <v>30</v>
      </c>
      <c r="K7558" t="s">
        <v>31</v>
      </c>
      <c r="M7558" t="s">
        <v>18479</v>
      </c>
      <c r="N7558" t="str">
        <f>"1/14/2014 4:06:00 PM"</f>
        <v>1/14/2014 4:06:00 PM</v>
      </c>
      <c r="O7558" t="s">
        <v>22863</v>
      </c>
      <c r="T7558" t="s">
        <v>22864</v>
      </c>
    </row>
    <row r="7559" spans="1:20" x14ac:dyDescent="0.25">
      <c r="A7559" t="str">
        <f>"3043125"</f>
        <v>3043125</v>
      </c>
      <c r="B7559" t="s">
        <v>22866</v>
      </c>
      <c r="C7559" t="str">
        <f>"8303136"</f>
        <v>8303136</v>
      </c>
      <c r="D7559" t="s">
        <v>14441</v>
      </c>
      <c r="E7559" t="s">
        <v>22867</v>
      </c>
      <c r="F7559" t="s">
        <v>22868</v>
      </c>
      <c r="I7559" t="s">
        <v>184</v>
      </c>
      <c r="J7559" t="s">
        <v>30</v>
      </c>
      <c r="K7559" t="str">
        <f>"27006"</f>
        <v>27006</v>
      </c>
      <c r="M7559" t="s">
        <v>17861</v>
      </c>
      <c r="N7559" t="str">
        <f>"2/10/2014 4:50:00 PM"</f>
        <v>2/10/2014 4:50:00 PM</v>
      </c>
      <c r="O7559" t="s">
        <v>14441</v>
      </c>
      <c r="T7559" t="s">
        <v>22867</v>
      </c>
    </row>
    <row r="7560" spans="1:20" x14ac:dyDescent="0.25">
      <c r="A7560" t="str">
        <f>"3078721"</f>
        <v>3078721</v>
      </c>
      <c r="B7560" t="s">
        <v>22869</v>
      </c>
      <c r="C7560" t="str">
        <f>"82531375"</f>
        <v>82531375</v>
      </c>
      <c r="D7560" t="s">
        <v>22717</v>
      </c>
      <c r="F7560" t="s">
        <v>18182</v>
      </c>
      <c r="I7560" t="s">
        <v>29</v>
      </c>
      <c r="J7560" t="s">
        <v>30</v>
      </c>
      <c r="K7560" t="s">
        <v>31</v>
      </c>
      <c r="M7560" t="s">
        <v>18479</v>
      </c>
      <c r="N7560" t="str">
        <f>"1/14/2014 4:11:00 PM"</f>
        <v>1/14/2014 4:11:00 PM</v>
      </c>
      <c r="O7560" t="s">
        <v>22717</v>
      </c>
    </row>
    <row r="7561" spans="1:20" x14ac:dyDescent="0.25">
      <c r="A7561" t="str">
        <f>"3078722"</f>
        <v>3078722</v>
      </c>
      <c r="B7561" t="s">
        <v>22870</v>
      </c>
      <c r="C7561" t="str">
        <f>"82531375"</f>
        <v>82531375</v>
      </c>
      <c r="D7561" t="s">
        <v>22717</v>
      </c>
      <c r="F7561" t="s">
        <v>18182</v>
      </c>
      <c r="I7561" t="s">
        <v>29</v>
      </c>
      <c r="J7561" t="s">
        <v>30</v>
      </c>
      <c r="K7561" t="s">
        <v>31</v>
      </c>
      <c r="M7561" t="s">
        <v>18479</v>
      </c>
      <c r="N7561" t="str">
        <f>"1/14/2014 4:11:00 PM"</f>
        <v>1/14/2014 4:11:00 PM</v>
      </c>
      <c r="O7561" t="s">
        <v>22717</v>
      </c>
    </row>
    <row r="7562" spans="1:20" x14ac:dyDescent="0.25">
      <c r="A7562" t="str">
        <f>"3054571"</f>
        <v>3054571</v>
      </c>
      <c r="B7562" t="s">
        <v>22871</v>
      </c>
      <c r="C7562" t="str">
        <f>"39618000"</f>
        <v>39618000</v>
      </c>
      <c r="D7562" t="s">
        <v>22872</v>
      </c>
      <c r="F7562" t="s">
        <v>22873</v>
      </c>
      <c r="I7562" t="s">
        <v>29</v>
      </c>
      <c r="J7562" t="s">
        <v>30</v>
      </c>
      <c r="K7562" t="s">
        <v>22874</v>
      </c>
      <c r="M7562" t="s">
        <v>20405</v>
      </c>
      <c r="N7562" t="str">
        <f>"1/15/2014 4:29:00 PM"</f>
        <v>1/15/2014 4:29:00 PM</v>
      </c>
      <c r="O7562" t="s">
        <v>22872</v>
      </c>
    </row>
    <row r="7563" spans="1:20" x14ac:dyDescent="0.25">
      <c r="A7563" t="str">
        <f>"3044164"</f>
        <v>3044164</v>
      </c>
      <c r="B7563" t="s">
        <v>22875</v>
      </c>
      <c r="C7563" t="str">
        <f>"8302502"</f>
        <v>8302502</v>
      </c>
      <c r="D7563" t="s">
        <v>22876</v>
      </c>
      <c r="E7563" t="s">
        <v>22877</v>
      </c>
      <c r="F7563" t="s">
        <v>22878</v>
      </c>
      <c r="I7563" t="s">
        <v>184</v>
      </c>
      <c r="J7563" t="s">
        <v>30</v>
      </c>
      <c r="K7563" t="str">
        <f>"27006"</f>
        <v>27006</v>
      </c>
      <c r="M7563" t="s">
        <v>18479</v>
      </c>
      <c r="N7563" t="str">
        <f>"2/11/2014 4:15:00 PM"</f>
        <v>2/11/2014 4:15:00 PM</v>
      </c>
      <c r="O7563" t="s">
        <v>22876</v>
      </c>
      <c r="T7563" t="s">
        <v>22877</v>
      </c>
    </row>
    <row r="7564" spans="1:20" x14ac:dyDescent="0.25">
      <c r="A7564" t="str">
        <f>"3037347"</f>
        <v>3037347</v>
      </c>
      <c r="B7564" t="s">
        <v>22879</v>
      </c>
      <c r="C7564" t="str">
        <f>"82515844"</f>
        <v>82515844</v>
      </c>
      <c r="D7564" t="s">
        <v>22880</v>
      </c>
      <c r="E7564" t="s">
        <v>22881</v>
      </c>
      <c r="F7564" t="s">
        <v>22882</v>
      </c>
      <c r="I7564" t="s">
        <v>184</v>
      </c>
      <c r="J7564" t="s">
        <v>30</v>
      </c>
      <c r="K7564" t="s">
        <v>185</v>
      </c>
      <c r="M7564" t="s">
        <v>18479</v>
      </c>
      <c r="N7564" t="str">
        <f>"2/11/2014 4:36:00 PM"</f>
        <v>2/11/2014 4:36:00 PM</v>
      </c>
      <c r="O7564" t="s">
        <v>22880</v>
      </c>
      <c r="T7564" t="s">
        <v>22881</v>
      </c>
    </row>
    <row r="7565" spans="1:20" x14ac:dyDescent="0.25">
      <c r="A7565" t="str">
        <f>"3061573"</f>
        <v>3061573</v>
      </c>
      <c r="B7565" t="s">
        <v>22883</v>
      </c>
      <c r="C7565" t="str">
        <f>"8303060"</f>
        <v>8303060</v>
      </c>
      <c r="D7565" t="s">
        <v>22884</v>
      </c>
      <c r="F7565" t="s">
        <v>22885</v>
      </c>
      <c r="I7565" t="s">
        <v>184</v>
      </c>
      <c r="J7565" t="s">
        <v>30</v>
      </c>
      <c r="K7565" t="str">
        <f>"27006"</f>
        <v>27006</v>
      </c>
      <c r="M7565" t="s">
        <v>17861</v>
      </c>
      <c r="N7565" t="str">
        <f>"1/16/2014 10:55:00 AM"</f>
        <v>1/16/2014 10:55:00 AM</v>
      </c>
      <c r="O7565" t="s">
        <v>22884</v>
      </c>
    </row>
    <row r="7566" spans="1:20" x14ac:dyDescent="0.25">
      <c r="A7566" t="str">
        <f>"3042401"</f>
        <v>3042401</v>
      </c>
      <c r="B7566" t="s">
        <v>22886</v>
      </c>
      <c r="C7566" t="str">
        <f>"8302746"</f>
        <v>8302746</v>
      </c>
      <c r="D7566" t="s">
        <v>22887</v>
      </c>
      <c r="F7566" t="s">
        <v>19867</v>
      </c>
      <c r="I7566" t="s">
        <v>29</v>
      </c>
      <c r="J7566" t="s">
        <v>30</v>
      </c>
      <c r="K7566" t="str">
        <f>"27028"</f>
        <v>27028</v>
      </c>
      <c r="M7566" t="s">
        <v>18479</v>
      </c>
      <c r="N7566" t="str">
        <f>"2/17/2014 11:36:00 AM"</f>
        <v>2/17/2014 11:36:00 AM</v>
      </c>
      <c r="O7566" t="s">
        <v>22887</v>
      </c>
    </row>
    <row r="7567" spans="1:20" x14ac:dyDescent="0.25">
      <c r="A7567" t="str">
        <f>"3059943"</f>
        <v>3059943</v>
      </c>
      <c r="B7567" t="s">
        <v>22888</v>
      </c>
      <c r="C7567" t="str">
        <f>"8302692"</f>
        <v>8302692</v>
      </c>
      <c r="D7567" t="s">
        <v>22889</v>
      </c>
      <c r="E7567" t="s">
        <v>15990</v>
      </c>
      <c r="F7567" t="s">
        <v>22890</v>
      </c>
      <c r="I7567" t="s">
        <v>29</v>
      </c>
      <c r="J7567" t="s">
        <v>30</v>
      </c>
      <c r="K7567" t="str">
        <f>"27028"</f>
        <v>27028</v>
      </c>
      <c r="M7567" t="s">
        <v>18479</v>
      </c>
      <c r="N7567" t="str">
        <f>"1/22/2014 10:02:00 AM"</f>
        <v>1/22/2014 10:02:00 AM</v>
      </c>
      <c r="O7567" t="s">
        <v>22889</v>
      </c>
      <c r="T7567" t="s">
        <v>15990</v>
      </c>
    </row>
    <row r="7568" spans="1:20" x14ac:dyDescent="0.25">
      <c r="A7568" t="str">
        <f>"3044715"</f>
        <v>3044715</v>
      </c>
      <c r="B7568" t="s">
        <v>22891</v>
      </c>
      <c r="C7568" t="str">
        <f>"8301547"</f>
        <v>8301547</v>
      </c>
      <c r="D7568" t="s">
        <v>22726</v>
      </c>
      <c r="E7568" t="s">
        <v>22727</v>
      </c>
      <c r="F7568" t="s">
        <v>22728</v>
      </c>
      <c r="I7568" t="s">
        <v>184</v>
      </c>
      <c r="J7568" t="s">
        <v>30</v>
      </c>
      <c r="K7568" t="str">
        <f>"27006"</f>
        <v>27006</v>
      </c>
      <c r="M7568" t="s">
        <v>18479</v>
      </c>
      <c r="N7568" t="str">
        <f>"1/22/2014 10:02:00 AM"</f>
        <v>1/22/2014 10:02:00 AM</v>
      </c>
      <c r="O7568" t="s">
        <v>22726</v>
      </c>
      <c r="T7568" t="s">
        <v>22727</v>
      </c>
    </row>
    <row r="7569" spans="1:20" x14ac:dyDescent="0.25">
      <c r="A7569" t="str">
        <f>"3042132"</f>
        <v>3042132</v>
      </c>
      <c r="B7569" t="s">
        <v>22892</v>
      </c>
      <c r="C7569" t="str">
        <f>"81068000"</f>
        <v>81068000</v>
      </c>
      <c r="D7569" t="s">
        <v>22893</v>
      </c>
      <c r="E7569" t="s">
        <v>22894</v>
      </c>
      <c r="F7569" t="s">
        <v>22895</v>
      </c>
      <c r="I7569" t="s">
        <v>184</v>
      </c>
      <c r="J7569" t="s">
        <v>30</v>
      </c>
      <c r="K7569" t="s">
        <v>185</v>
      </c>
      <c r="M7569" t="s">
        <v>17861</v>
      </c>
      <c r="N7569" t="str">
        <f>"1/23/2014 12:57:00 PM"</f>
        <v>1/23/2014 12:57:00 PM</v>
      </c>
      <c r="O7569" t="s">
        <v>22893</v>
      </c>
      <c r="T7569" t="s">
        <v>22894</v>
      </c>
    </row>
    <row r="7570" spans="1:20" x14ac:dyDescent="0.25">
      <c r="A7570" t="str">
        <f>"3046960"</f>
        <v>3046960</v>
      </c>
      <c r="B7570" t="s">
        <v>22896</v>
      </c>
      <c r="C7570" t="str">
        <f>"82521025"</f>
        <v>82521025</v>
      </c>
      <c r="D7570" t="s">
        <v>22897</v>
      </c>
      <c r="E7570" t="s">
        <v>22898</v>
      </c>
      <c r="F7570" t="s">
        <v>22899</v>
      </c>
      <c r="I7570" t="s">
        <v>29</v>
      </c>
      <c r="J7570" t="s">
        <v>30</v>
      </c>
      <c r="K7570" t="s">
        <v>22900</v>
      </c>
      <c r="M7570" t="s">
        <v>18479</v>
      </c>
      <c r="N7570" t="str">
        <f>"2/18/2014 3:22:00 PM"</f>
        <v>2/18/2014 3:22:00 PM</v>
      </c>
      <c r="O7570" t="s">
        <v>22897</v>
      </c>
      <c r="T7570" t="s">
        <v>22898</v>
      </c>
    </row>
    <row r="7571" spans="1:20" x14ac:dyDescent="0.25">
      <c r="A7571" t="str">
        <f>"3042954"</f>
        <v>3042954</v>
      </c>
      <c r="B7571" t="s">
        <v>22901</v>
      </c>
      <c r="C7571" t="str">
        <f>"8300090"</f>
        <v>8300090</v>
      </c>
      <c r="D7571" t="s">
        <v>22902</v>
      </c>
      <c r="F7571" t="s">
        <v>22903</v>
      </c>
      <c r="I7571" t="s">
        <v>29</v>
      </c>
      <c r="J7571" t="s">
        <v>30</v>
      </c>
      <c r="K7571" t="s">
        <v>31</v>
      </c>
      <c r="M7571" t="s">
        <v>18479</v>
      </c>
      <c r="N7571" t="str">
        <f>"2/18/2014 3:33:00 PM"</f>
        <v>2/18/2014 3:33:00 PM</v>
      </c>
      <c r="O7571" t="s">
        <v>22902</v>
      </c>
    </row>
    <row r="7572" spans="1:20" x14ac:dyDescent="0.25">
      <c r="A7572" t="str">
        <f>"3042148"</f>
        <v>3042148</v>
      </c>
      <c r="B7572" t="s">
        <v>22904</v>
      </c>
      <c r="C7572" t="str">
        <f>"8300090"</f>
        <v>8300090</v>
      </c>
      <c r="D7572" t="s">
        <v>22902</v>
      </c>
      <c r="F7572" t="s">
        <v>22903</v>
      </c>
      <c r="I7572" t="s">
        <v>29</v>
      </c>
      <c r="J7572" t="s">
        <v>30</v>
      </c>
      <c r="K7572" t="s">
        <v>31</v>
      </c>
      <c r="M7572" t="s">
        <v>18479</v>
      </c>
      <c r="N7572" t="str">
        <f>"2/18/2014 3:33:00 PM"</f>
        <v>2/18/2014 3:33:00 PM</v>
      </c>
      <c r="O7572" t="s">
        <v>22902</v>
      </c>
    </row>
    <row r="7573" spans="1:20" x14ac:dyDescent="0.25">
      <c r="A7573" t="str">
        <f>"3042575"</f>
        <v>3042575</v>
      </c>
      <c r="B7573" t="s">
        <v>22905</v>
      </c>
      <c r="C7573" t="str">
        <f>"81068000"</f>
        <v>81068000</v>
      </c>
      <c r="D7573" t="s">
        <v>22893</v>
      </c>
      <c r="E7573" t="s">
        <v>22894</v>
      </c>
      <c r="F7573" t="s">
        <v>22895</v>
      </c>
      <c r="I7573" t="s">
        <v>184</v>
      </c>
      <c r="J7573" t="s">
        <v>30</v>
      </c>
      <c r="K7573" t="s">
        <v>185</v>
      </c>
      <c r="M7573" t="s">
        <v>17861</v>
      </c>
      <c r="N7573" t="str">
        <f>"1/23/2014 12:57:00 PM"</f>
        <v>1/23/2014 12:57:00 PM</v>
      </c>
      <c r="O7573" t="s">
        <v>22893</v>
      </c>
      <c r="T7573" t="s">
        <v>22894</v>
      </c>
    </row>
    <row r="7574" spans="1:20" x14ac:dyDescent="0.25">
      <c r="A7574" t="str">
        <f>"3050382"</f>
        <v>3050382</v>
      </c>
      <c r="B7574" t="s">
        <v>22906</v>
      </c>
      <c r="C7574" t="str">
        <f>"81068000"</f>
        <v>81068000</v>
      </c>
      <c r="D7574" t="s">
        <v>22893</v>
      </c>
      <c r="E7574" t="s">
        <v>22894</v>
      </c>
      <c r="F7574" t="s">
        <v>22895</v>
      </c>
      <c r="I7574" t="s">
        <v>184</v>
      </c>
      <c r="J7574" t="s">
        <v>30</v>
      </c>
      <c r="K7574" t="s">
        <v>185</v>
      </c>
      <c r="M7574" t="s">
        <v>17861</v>
      </c>
      <c r="N7574" t="str">
        <f>"1/23/2014 12:57:00 PM"</f>
        <v>1/23/2014 12:57:00 PM</v>
      </c>
      <c r="O7574" t="s">
        <v>22893</v>
      </c>
      <c r="T7574" t="s">
        <v>22894</v>
      </c>
    </row>
    <row r="7575" spans="1:20" x14ac:dyDescent="0.25">
      <c r="A7575" t="str">
        <f>"3055927"</f>
        <v>3055927</v>
      </c>
      <c r="B7575" t="s">
        <v>22907</v>
      </c>
      <c r="C7575" t="str">
        <f>"8303075"</f>
        <v>8303075</v>
      </c>
      <c r="D7575" t="s">
        <v>22759</v>
      </c>
      <c r="E7575" t="s">
        <v>22760</v>
      </c>
      <c r="F7575" t="s">
        <v>22761</v>
      </c>
      <c r="I7575" t="s">
        <v>29</v>
      </c>
      <c r="J7575" t="s">
        <v>30</v>
      </c>
      <c r="K7575" t="str">
        <f>"27028"</f>
        <v>27028</v>
      </c>
      <c r="M7575" t="s">
        <v>17861</v>
      </c>
      <c r="N7575" t="str">
        <f>"1/28/2014 12:28:00 PM"</f>
        <v>1/28/2014 12:28:00 PM</v>
      </c>
      <c r="O7575" t="s">
        <v>22759</v>
      </c>
      <c r="T7575" t="s">
        <v>22760</v>
      </c>
    </row>
    <row r="7576" spans="1:20" x14ac:dyDescent="0.25">
      <c r="A7576" t="str">
        <f>"3050061"</f>
        <v>3050061</v>
      </c>
      <c r="B7576" t="s">
        <v>22908</v>
      </c>
      <c r="C7576" t="str">
        <f>"8303075"</f>
        <v>8303075</v>
      </c>
      <c r="D7576" t="s">
        <v>22759</v>
      </c>
      <c r="E7576" t="s">
        <v>22760</v>
      </c>
      <c r="F7576" t="s">
        <v>22761</v>
      </c>
      <c r="I7576" t="s">
        <v>29</v>
      </c>
      <c r="J7576" t="s">
        <v>30</v>
      </c>
      <c r="K7576" t="str">
        <f>"27028"</f>
        <v>27028</v>
      </c>
      <c r="M7576" t="s">
        <v>17861</v>
      </c>
      <c r="N7576" t="str">
        <f>"1/28/2014 12:28:00 PM"</f>
        <v>1/28/2014 12:28:00 PM</v>
      </c>
      <c r="O7576" t="s">
        <v>22759</v>
      </c>
      <c r="T7576" t="s">
        <v>22760</v>
      </c>
    </row>
    <row r="7577" spans="1:20" x14ac:dyDescent="0.25">
      <c r="A7577" t="str">
        <f>"3060301"</f>
        <v>3060301</v>
      </c>
      <c r="B7577" t="s">
        <v>22909</v>
      </c>
      <c r="C7577" t="str">
        <f>"8303084"</f>
        <v>8303084</v>
      </c>
      <c r="D7577" t="s">
        <v>22910</v>
      </c>
      <c r="E7577" t="s">
        <v>22911</v>
      </c>
      <c r="F7577" t="s">
        <v>22912</v>
      </c>
      <c r="I7577" t="s">
        <v>29</v>
      </c>
      <c r="J7577" t="s">
        <v>30</v>
      </c>
      <c r="K7577" t="str">
        <f>"27028"</f>
        <v>27028</v>
      </c>
      <c r="M7577" t="s">
        <v>17861</v>
      </c>
      <c r="N7577" t="str">
        <f>"1/29/2014 2:42:00 PM"</f>
        <v>1/29/2014 2:42:00 PM</v>
      </c>
      <c r="O7577" t="s">
        <v>22910</v>
      </c>
      <c r="T7577" t="s">
        <v>22911</v>
      </c>
    </row>
    <row r="7578" spans="1:20" x14ac:dyDescent="0.25">
      <c r="A7578" t="str">
        <f>"3055380"</f>
        <v>3055380</v>
      </c>
      <c r="B7578" t="s">
        <v>22913</v>
      </c>
      <c r="C7578" t="str">
        <f>"8302133"</f>
        <v>8302133</v>
      </c>
      <c r="D7578" t="s">
        <v>22914</v>
      </c>
      <c r="F7578" t="s">
        <v>22915</v>
      </c>
      <c r="I7578" t="s">
        <v>29</v>
      </c>
      <c r="J7578" t="s">
        <v>30</v>
      </c>
      <c r="K7578" t="str">
        <f>"27028"</f>
        <v>27028</v>
      </c>
      <c r="M7578" t="s">
        <v>18470</v>
      </c>
      <c r="N7578" t="str">
        <f>"12/30/2013 4:06:00 PM"</f>
        <v>12/30/2013 4:06:00 PM</v>
      </c>
      <c r="O7578" t="s">
        <v>22914</v>
      </c>
    </row>
    <row r="7579" spans="1:20" x14ac:dyDescent="0.25">
      <c r="A7579" t="str">
        <f>"3050446"</f>
        <v>3050446</v>
      </c>
      <c r="B7579" t="s">
        <v>22916</v>
      </c>
      <c r="C7579" t="str">
        <f>"8302985"</f>
        <v>8302985</v>
      </c>
      <c r="D7579" t="s">
        <v>22917</v>
      </c>
      <c r="E7579" t="s">
        <v>22918</v>
      </c>
      <c r="F7579" t="s">
        <v>22919</v>
      </c>
      <c r="I7579" t="s">
        <v>29</v>
      </c>
      <c r="J7579" t="s">
        <v>30</v>
      </c>
      <c r="K7579" t="str">
        <f>"27028"</f>
        <v>27028</v>
      </c>
      <c r="M7579" t="s">
        <v>17861</v>
      </c>
      <c r="N7579" t="str">
        <f>"12/31/2013 9:43:00 AM"</f>
        <v>12/31/2013 9:43:00 AM</v>
      </c>
      <c r="O7579" t="s">
        <v>22917</v>
      </c>
      <c r="T7579" t="s">
        <v>22918</v>
      </c>
    </row>
    <row r="7580" spans="1:20" x14ac:dyDescent="0.25">
      <c r="A7580" t="str">
        <f>"3052355"</f>
        <v>3052355</v>
      </c>
      <c r="B7580" t="s">
        <v>22920</v>
      </c>
      <c r="C7580" t="str">
        <f>"8302807"</f>
        <v>8302807</v>
      </c>
      <c r="D7580" t="s">
        <v>22921</v>
      </c>
      <c r="F7580" t="s">
        <v>22922</v>
      </c>
      <c r="I7580" t="s">
        <v>29</v>
      </c>
      <c r="J7580" t="s">
        <v>30</v>
      </c>
      <c r="K7580" t="s">
        <v>22923</v>
      </c>
      <c r="M7580" t="s">
        <v>17861</v>
      </c>
      <c r="N7580" t="str">
        <f>"2/3/2014 9:08:00 AM"</f>
        <v>2/3/2014 9:08:00 AM</v>
      </c>
      <c r="O7580" t="s">
        <v>22921</v>
      </c>
    </row>
    <row r="7581" spans="1:20" x14ac:dyDescent="0.25">
      <c r="A7581" t="str">
        <f>"3038799"</f>
        <v>3038799</v>
      </c>
      <c r="B7581" t="s">
        <v>22924</v>
      </c>
      <c r="C7581" t="str">
        <f>"56944000"</f>
        <v>56944000</v>
      </c>
      <c r="D7581" t="s">
        <v>22925</v>
      </c>
      <c r="F7581" t="s">
        <v>4366</v>
      </c>
      <c r="I7581" t="s">
        <v>29</v>
      </c>
      <c r="J7581" t="s">
        <v>30</v>
      </c>
      <c r="K7581" t="s">
        <v>31</v>
      </c>
      <c r="M7581" t="s">
        <v>17861</v>
      </c>
      <c r="N7581" t="str">
        <f>"3/3/2014 9:37:00 AM"</f>
        <v>3/3/2014 9:37:00 AM</v>
      </c>
      <c r="O7581" t="s">
        <v>22925</v>
      </c>
    </row>
    <row r="7582" spans="1:20" x14ac:dyDescent="0.25">
      <c r="A7582" t="str">
        <f>"3041678"</f>
        <v>3041678</v>
      </c>
      <c r="B7582" t="s">
        <v>22926</v>
      </c>
      <c r="C7582" t="str">
        <f>"8302039"</f>
        <v>8302039</v>
      </c>
      <c r="D7582" t="s">
        <v>22927</v>
      </c>
      <c r="E7582" t="s">
        <v>22928</v>
      </c>
      <c r="F7582" t="s">
        <v>22929</v>
      </c>
      <c r="I7582" t="s">
        <v>184</v>
      </c>
      <c r="J7582" t="s">
        <v>30</v>
      </c>
      <c r="K7582" t="str">
        <f>"27006"</f>
        <v>27006</v>
      </c>
      <c r="M7582" t="s">
        <v>17861</v>
      </c>
      <c r="N7582" t="str">
        <f>"2/3/2014 9:09:00 AM"</f>
        <v>2/3/2014 9:09:00 AM</v>
      </c>
      <c r="O7582" t="s">
        <v>22927</v>
      </c>
      <c r="T7582" t="s">
        <v>22928</v>
      </c>
    </row>
    <row r="7583" spans="1:20" x14ac:dyDescent="0.25">
      <c r="A7583" t="str">
        <f>"3038350"</f>
        <v>3038350</v>
      </c>
      <c r="B7583" t="s">
        <v>22930</v>
      </c>
      <c r="C7583" t="str">
        <f>"8301597"</f>
        <v>8301597</v>
      </c>
      <c r="D7583" t="s">
        <v>22807</v>
      </c>
      <c r="F7583" t="s">
        <v>22808</v>
      </c>
      <c r="I7583" t="s">
        <v>29</v>
      </c>
      <c r="J7583" t="s">
        <v>30</v>
      </c>
      <c r="K7583" t="s">
        <v>2531</v>
      </c>
      <c r="M7583" t="s">
        <v>17861</v>
      </c>
      <c r="N7583" t="str">
        <f>"2/3/2014 9:13:00 AM"</f>
        <v>2/3/2014 9:13:00 AM</v>
      </c>
      <c r="O7583" t="s">
        <v>22807</v>
      </c>
    </row>
    <row r="7584" spans="1:20" x14ac:dyDescent="0.25">
      <c r="A7584" t="str">
        <f>"3046841"</f>
        <v>3046841</v>
      </c>
      <c r="B7584" t="s">
        <v>22931</v>
      </c>
      <c r="C7584" t="str">
        <f>"8302007"</f>
        <v>8302007</v>
      </c>
      <c r="D7584" t="s">
        <v>22932</v>
      </c>
      <c r="E7584" t="s">
        <v>22933</v>
      </c>
      <c r="F7584" t="s">
        <v>22934</v>
      </c>
      <c r="I7584" t="s">
        <v>29</v>
      </c>
      <c r="J7584" t="s">
        <v>30</v>
      </c>
      <c r="K7584" t="s">
        <v>10181</v>
      </c>
      <c r="M7584" t="s">
        <v>17861</v>
      </c>
      <c r="N7584" t="str">
        <f>"2/5/2014 2:15:00 PM"</f>
        <v>2/5/2014 2:15:00 PM</v>
      </c>
      <c r="O7584" t="s">
        <v>22932</v>
      </c>
      <c r="T7584" t="s">
        <v>22933</v>
      </c>
    </row>
    <row r="7585" spans="1:20" x14ac:dyDescent="0.25">
      <c r="A7585" t="str">
        <f>"3078269"</f>
        <v>3078269</v>
      </c>
      <c r="B7585" t="s">
        <v>22935</v>
      </c>
      <c r="C7585" t="str">
        <f>"8302437"</f>
        <v>8302437</v>
      </c>
      <c r="D7585" t="s">
        <v>22936</v>
      </c>
      <c r="E7585" t="s">
        <v>22937</v>
      </c>
      <c r="F7585" t="s">
        <v>22938</v>
      </c>
      <c r="I7585" t="s">
        <v>29</v>
      </c>
      <c r="J7585" t="s">
        <v>30</v>
      </c>
      <c r="K7585" t="s">
        <v>12057</v>
      </c>
      <c r="M7585" t="s">
        <v>17861</v>
      </c>
      <c r="N7585" t="str">
        <f>"2/5/2014 2:22:00 PM"</f>
        <v>2/5/2014 2:22:00 PM</v>
      </c>
      <c r="O7585" t="s">
        <v>22936</v>
      </c>
      <c r="T7585" t="s">
        <v>22937</v>
      </c>
    </row>
    <row r="7586" spans="1:20" x14ac:dyDescent="0.25">
      <c r="A7586" t="str">
        <f>"3045066"</f>
        <v>3045066</v>
      </c>
      <c r="B7586" t="s">
        <v>22939</v>
      </c>
      <c r="C7586" t="str">
        <f>"82523275"</f>
        <v>82523275</v>
      </c>
      <c r="D7586" t="s">
        <v>22936</v>
      </c>
      <c r="F7586" t="s">
        <v>22938</v>
      </c>
      <c r="I7586" t="s">
        <v>29</v>
      </c>
      <c r="J7586" t="s">
        <v>30</v>
      </c>
      <c r="K7586" t="s">
        <v>12057</v>
      </c>
      <c r="M7586" t="s">
        <v>17861</v>
      </c>
      <c r="N7586" t="str">
        <f>"2/5/2014 2:23:00 PM"</f>
        <v>2/5/2014 2:23:00 PM</v>
      </c>
      <c r="O7586" t="s">
        <v>22936</v>
      </c>
    </row>
    <row r="7587" spans="1:20" x14ac:dyDescent="0.25">
      <c r="A7587" t="str">
        <f>"3067336"</f>
        <v>3067336</v>
      </c>
      <c r="B7587" t="s">
        <v>22940</v>
      </c>
      <c r="C7587" t="str">
        <f>"8303115"</f>
        <v>8303115</v>
      </c>
      <c r="D7587" t="str">
        <f>"HOCKADAY RICHARD DAVID/CATHY W"</f>
        <v>HOCKADAY RICHARD DAVID/CATHY W</v>
      </c>
      <c r="E7587" t="str">
        <f>"DOUB SUZANNE H/CASEY M"</f>
        <v>DOUB SUZANNE H/CASEY M</v>
      </c>
      <c r="F7587" t="s">
        <v>19296</v>
      </c>
      <c r="I7587" t="s">
        <v>184</v>
      </c>
      <c r="J7587" t="s">
        <v>30</v>
      </c>
      <c r="K7587" t="str">
        <f>"27006"</f>
        <v>27006</v>
      </c>
      <c r="M7587" t="s">
        <v>17861</v>
      </c>
      <c r="N7587" t="str">
        <f>"2/6/2014 8:50:00 AM"</f>
        <v>2/6/2014 8:50:00 AM</v>
      </c>
      <c r="O7587" t="str">
        <f>"HOCKADAY RICHARD DAVID/CATHY W"</f>
        <v>HOCKADAY RICHARD DAVID/CATHY W</v>
      </c>
      <c r="T7587" t="str">
        <f>"DOUB SUZANNE H/CASEY M"</f>
        <v>DOUB SUZANNE H/CASEY M</v>
      </c>
    </row>
    <row r="7588" spans="1:20" x14ac:dyDescent="0.25">
      <c r="A7588" t="str">
        <f>"3051030"</f>
        <v>3051030</v>
      </c>
      <c r="B7588" t="s">
        <v>22941</v>
      </c>
      <c r="C7588" t="str">
        <f>"8302646"</f>
        <v>8302646</v>
      </c>
      <c r="D7588" t="s">
        <v>22942</v>
      </c>
      <c r="F7588" t="s">
        <v>22943</v>
      </c>
      <c r="I7588" t="s">
        <v>22944</v>
      </c>
      <c r="J7588" t="s">
        <v>30</v>
      </c>
      <c r="K7588" t="s">
        <v>22945</v>
      </c>
      <c r="M7588" t="s">
        <v>17861</v>
      </c>
      <c r="N7588" t="str">
        <f>"2/7/2014 1:43:00 PM"</f>
        <v>2/7/2014 1:43:00 PM</v>
      </c>
      <c r="O7588" t="s">
        <v>22942</v>
      </c>
    </row>
    <row r="7589" spans="1:20" x14ac:dyDescent="0.25">
      <c r="A7589" t="str">
        <f>"3059940"</f>
        <v>3059940</v>
      </c>
      <c r="B7589" t="s">
        <v>22946</v>
      </c>
      <c r="C7589" t="str">
        <f>"8303131"</f>
        <v>8303131</v>
      </c>
      <c r="D7589" t="s">
        <v>22947</v>
      </c>
      <c r="E7589" t="s">
        <v>22948</v>
      </c>
      <c r="F7589" t="s">
        <v>22949</v>
      </c>
      <c r="I7589" t="s">
        <v>29</v>
      </c>
      <c r="J7589" t="s">
        <v>30</v>
      </c>
      <c r="K7589" t="str">
        <f>"27028"</f>
        <v>27028</v>
      </c>
      <c r="M7589" t="s">
        <v>17861</v>
      </c>
      <c r="N7589" t="str">
        <f>"2/10/2014 3:40:00 PM"</f>
        <v>2/10/2014 3:40:00 PM</v>
      </c>
      <c r="O7589" t="s">
        <v>22947</v>
      </c>
      <c r="T7589" t="s">
        <v>22948</v>
      </c>
    </row>
    <row r="7590" spans="1:20" x14ac:dyDescent="0.25">
      <c r="A7590" t="str">
        <f>"3043684"</f>
        <v>3043684</v>
      </c>
      <c r="B7590" t="s">
        <v>22950</v>
      </c>
      <c r="C7590" t="str">
        <f>"8303139"</f>
        <v>8303139</v>
      </c>
      <c r="D7590" t="s">
        <v>22951</v>
      </c>
      <c r="E7590" t="s">
        <v>22952</v>
      </c>
      <c r="F7590" t="s">
        <v>22953</v>
      </c>
      <c r="I7590" t="s">
        <v>29</v>
      </c>
      <c r="J7590" t="s">
        <v>30</v>
      </c>
      <c r="K7590" t="str">
        <f>"27028"</f>
        <v>27028</v>
      </c>
      <c r="M7590" t="s">
        <v>17861</v>
      </c>
      <c r="N7590" t="str">
        <f>"2/11/2014 10:19:00 AM"</f>
        <v>2/11/2014 10:19:00 AM</v>
      </c>
      <c r="O7590" t="s">
        <v>22951</v>
      </c>
      <c r="T7590" t="s">
        <v>22952</v>
      </c>
    </row>
    <row r="7591" spans="1:20" x14ac:dyDescent="0.25">
      <c r="A7591" t="str">
        <f>"3056994"</f>
        <v>3056994</v>
      </c>
      <c r="B7591" t="s">
        <v>22954</v>
      </c>
      <c r="C7591" t="str">
        <f>"82525015"</f>
        <v>82525015</v>
      </c>
      <c r="D7591" t="s">
        <v>22955</v>
      </c>
      <c r="E7591" t="s">
        <v>22956</v>
      </c>
      <c r="F7591" t="s">
        <v>22957</v>
      </c>
      <c r="I7591" t="s">
        <v>29</v>
      </c>
      <c r="J7591" t="s">
        <v>30</v>
      </c>
      <c r="K7591" t="s">
        <v>10942</v>
      </c>
      <c r="M7591" t="s">
        <v>18479</v>
      </c>
      <c r="N7591" t="str">
        <f>"2/11/2014 11:50:00 AM"</f>
        <v>2/11/2014 11:50:00 AM</v>
      </c>
      <c r="O7591" t="s">
        <v>22955</v>
      </c>
      <c r="T7591" t="s">
        <v>22956</v>
      </c>
    </row>
    <row r="7592" spans="1:20" x14ac:dyDescent="0.25">
      <c r="A7592" t="str">
        <f>"3046795"</f>
        <v>3046795</v>
      </c>
      <c r="B7592" t="s">
        <v>22958</v>
      </c>
      <c r="C7592" t="str">
        <f>"8303241"</f>
        <v>8303241</v>
      </c>
      <c r="D7592" t="s">
        <v>22959</v>
      </c>
      <c r="F7592" t="s">
        <v>8607</v>
      </c>
      <c r="I7592" t="s">
        <v>184</v>
      </c>
      <c r="J7592" t="s">
        <v>30</v>
      </c>
      <c r="K7592" t="str">
        <f>"27006"</f>
        <v>27006</v>
      </c>
      <c r="M7592" t="s">
        <v>17861</v>
      </c>
      <c r="N7592" t="str">
        <f>"3/25/2014 11:25:00 AM"</f>
        <v>3/25/2014 11:25:00 AM</v>
      </c>
      <c r="O7592" t="s">
        <v>22959</v>
      </c>
    </row>
    <row r="7593" spans="1:20" x14ac:dyDescent="0.25">
      <c r="A7593" t="str">
        <f>"3046744"</f>
        <v>3046744</v>
      </c>
      <c r="B7593" t="s">
        <v>22960</v>
      </c>
      <c r="C7593" t="str">
        <f>"8303241"</f>
        <v>8303241</v>
      </c>
      <c r="D7593" t="s">
        <v>22959</v>
      </c>
      <c r="F7593" t="s">
        <v>8607</v>
      </c>
      <c r="I7593" t="s">
        <v>184</v>
      </c>
      <c r="J7593" t="s">
        <v>30</v>
      </c>
      <c r="K7593" t="str">
        <f>"27006"</f>
        <v>27006</v>
      </c>
      <c r="M7593" t="s">
        <v>17861</v>
      </c>
      <c r="N7593" t="str">
        <f>"3/25/2014 11:25:00 AM"</f>
        <v>3/25/2014 11:25:00 AM</v>
      </c>
      <c r="O7593" t="s">
        <v>22959</v>
      </c>
    </row>
    <row r="7594" spans="1:20" x14ac:dyDescent="0.25">
      <c r="A7594" t="str">
        <f>"3046598"</f>
        <v>3046598</v>
      </c>
      <c r="B7594" t="s">
        <v>22961</v>
      </c>
      <c r="C7594" t="str">
        <f>"8303241"</f>
        <v>8303241</v>
      </c>
      <c r="D7594" t="s">
        <v>22959</v>
      </c>
      <c r="F7594" t="s">
        <v>8607</v>
      </c>
      <c r="I7594" t="s">
        <v>184</v>
      </c>
      <c r="J7594" t="s">
        <v>30</v>
      </c>
      <c r="K7594" t="str">
        <f>"27006"</f>
        <v>27006</v>
      </c>
      <c r="M7594" t="s">
        <v>17861</v>
      </c>
      <c r="N7594" t="str">
        <f>"3/25/2014 11:25:00 AM"</f>
        <v>3/25/2014 11:25:00 AM</v>
      </c>
      <c r="O7594" t="s">
        <v>22959</v>
      </c>
    </row>
    <row r="7595" spans="1:20" x14ac:dyDescent="0.25">
      <c r="A7595" t="str">
        <f>"3058843"</f>
        <v>3058843</v>
      </c>
      <c r="B7595" t="s">
        <v>22962</v>
      </c>
      <c r="C7595" t="str">
        <f>"8303246"</f>
        <v>8303246</v>
      </c>
      <c r="D7595" t="s">
        <v>22963</v>
      </c>
      <c r="E7595" t="s">
        <v>22964</v>
      </c>
      <c r="F7595" t="s">
        <v>22965</v>
      </c>
      <c r="I7595" t="s">
        <v>29</v>
      </c>
      <c r="J7595" t="s">
        <v>30</v>
      </c>
      <c r="K7595" t="str">
        <f>"27028"</f>
        <v>27028</v>
      </c>
      <c r="M7595" t="s">
        <v>17861</v>
      </c>
      <c r="N7595" t="str">
        <f>"3/25/2014 1:09:00 PM"</f>
        <v>3/25/2014 1:09:00 PM</v>
      </c>
      <c r="O7595" t="s">
        <v>22963</v>
      </c>
      <c r="T7595" t="s">
        <v>22964</v>
      </c>
    </row>
    <row r="7596" spans="1:20" x14ac:dyDescent="0.25">
      <c r="A7596" t="str">
        <f>"3057612"</f>
        <v>3057612</v>
      </c>
      <c r="B7596" t="s">
        <v>22966</v>
      </c>
      <c r="C7596" t="str">
        <f>"8303250"</f>
        <v>8303250</v>
      </c>
      <c r="D7596" t="s">
        <v>22967</v>
      </c>
      <c r="E7596" t="s">
        <v>22968</v>
      </c>
      <c r="F7596" t="s">
        <v>22969</v>
      </c>
      <c r="I7596" t="s">
        <v>29</v>
      </c>
      <c r="J7596" t="s">
        <v>30</v>
      </c>
      <c r="K7596" t="str">
        <f>"27028"</f>
        <v>27028</v>
      </c>
      <c r="M7596" t="s">
        <v>17861</v>
      </c>
      <c r="N7596" t="str">
        <f>"3/25/2014 1:50:00 PM"</f>
        <v>3/25/2014 1:50:00 PM</v>
      </c>
      <c r="O7596" t="s">
        <v>22967</v>
      </c>
      <c r="T7596" t="s">
        <v>22968</v>
      </c>
    </row>
    <row r="7597" spans="1:20" x14ac:dyDescent="0.25">
      <c r="A7597" t="str">
        <f>"3060487"</f>
        <v>3060487</v>
      </c>
      <c r="B7597" t="s">
        <v>22970</v>
      </c>
      <c r="C7597" t="str">
        <f>"8302179"</f>
        <v>8302179</v>
      </c>
      <c r="D7597" t="s">
        <v>22971</v>
      </c>
      <c r="F7597" t="s">
        <v>22972</v>
      </c>
      <c r="I7597" t="s">
        <v>184</v>
      </c>
      <c r="J7597" t="s">
        <v>30</v>
      </c>
      <c r="K7597" t="str">
        <f>"27006"</f>
        <v>27006</v>
      </c>
      <c r="M7597" t="s">
        <v>18479</v>
      </c>
      <c r="N7597" t="str">
        <f>"2/11/2014 3:17:00 PM"</f>
        <v>2/11/2014 3:17:00 PM</v>
      </c>
      <c r="O7597" t="s">
        <v>22971</v>
      </c>
    </row>
    <row r="7598" spans="1:20" x14ac:dyDescent="0.25">
      <c r="A7598" t="str">
        <f>"3058505"</f>
        <v>3058505</v>
      </c>
      <c r="B7598" t="s">
        <v>22973</v>
      </c>
      <c r="C7598" t="str">
        <f>"82531556"</f>
        <v>82531556</v>
      </c>
      <c r="D7598" t="s">
        <v>22974</v>
      </c>
      <c r="F7598" t="s">
        <v>22975</v>
      </c>
      <c r="I7598" t="s">
        <v>29</v>
      </c>
      <c r="J7598" t="s">
        <v>30</v>
      </c>
      <c r="K7598" t="s">
        <v>31</v>
      </c>
      <c r="M7598" t="s">
        <v>17861</v>
      </c>
      <c r="N7598" t="str">
        <f>"2/14/2014 4:28:00 PM"</f>
        <v>2/14/2014 4:28:00 PM</v>
      </c>
      <c r="O7598" t="s">
        <v>22974</v>
      </c>
    </row>
    <row r="7599" spans="1:20" x14ac:dyDescent="0.25">
      <c r="A7599" t="str">
        <f>"3046056"</f>
        <v>3046056</v>
      </c>
      <c r="B7599" t="s">
        <v>22976</v>
      </c>
      <c r="C7599" t="str">
        <f>"8301871"</f>
        <v>8301871</v>
      </c>
      <c r="D7599" t="s">
        <v>22977</v>
      </c>
      <c r="F7599" t="s">
        <v>22978</v>
      </c>
      <c r="G7599" t="s">
        <v>22979</v>
      </c>
      <c r="I7599" t="s">
        <v>22980</v>
      </c>
      <c r="J7599" t="s">
        <v>1543</v>
      </c>
      <c r="K7599" t="str">
        <f>"15317"</f>
        <v>15317</v>
      </c>
      <c r="M7599" t="s">
        <v>17861</v>
      </c>
      <c r="N7599" t="str">
        <f>"4/1/2014 2:28:00 PM"</f>
        <v>4/1/2014 2:28:00 PM</v>
      </c>
      <c r="O7599" t="s">
        <v>22977</v>
      </c>
    </row>
    <row r="7600" spans="1:20" x14ac:dyDescent="0.25">
      <c r="A7600" t="str">
        <f>"3046054"</f>
        <v>3046054</v>
      </c>
      <c r="B7600" t="s">
        <v>22981</v>
      </c>
      <c r="C7600" t="str">
        <f>"82532195"</f>
        <v>82532195</v>
      </c>
      <c r="D7600" t="s">
        <v>22982</v>
      </c>
      <c r="F7600" t="s">
        <v>22983</v>
      </c>
      <c r="I7600" t="s">
        <v>2280</v>
      </c>
      <c r="J7600" t="s">
        <v>30</v>
      </c>
      <c r="K7600" t="s">
        <v>9897</v>
      </c>
      <c r="M7600" t="s">
        <v>17861</v>
      </c>
      <c r="N7600" t="str">
        <f>"4/1/2014 2:29:00 PM"</f>
        <v>4/1/2014 2:29:00 PM</v>
      </c>
      <c r="O7600" t="s">
        <v>22982</v>
      </c>
    </row>
    <row r="7601" spans="1:20" x14ac:dyDescent="0.25">
      <c r="A7601" t="str">
        <f>"3045865"</f>
        <v>3045865</v>
      </c>
      <c r="B7601" t="s">
        <v>22984</v>
      </c>
      <c r="C7601" t="str">
        <f>"82532195"</f>
        <v>82532195</v>
      </c>
      <c r="D7601" t="s">
        <v>22982</v>
      </c>
      <c r="F7601" t="s">
        <v>22983</v>
      </c>
      <c r="I7601" t="s">
        <v>2280</v>
      </c>
      <c r="J7601" t="s">
        <v>30</v>
      </c>
      <c r="K7601" t="s">
        <v>9897</v>
      </c>
      <c r="M7601" t="s">
        <v>17861</v>
      </c>
      <c r="N7601" t="str">
        <f>"4/1/2014 2:29:00 PM"</f>
        <v>4/1/2014 2:29:00 PM</v>
      </c>
      <c r="O7601" t="s">
        <v>22982</v>
      </c>
    </row>
    <row r="7602" spans="1:20" x14ac:dyDescent="0.25">
      <c r="A7602" t="str">
        <f>"3042761"</f>
        <v>3042761</v>
      </c>
      <c r="B7602" t="s">
        <v>22985</v>
      </c>
      <c r="C7602" t="str">
        <f>"82517381"</f>
        <v>82517381</v>
      </c>
      <c r="D7602" t="s">
        <v>22986</v>
      </c>
      <c r="F7602" t="s">
        <v>22987</v>
      </c>
      <c r="I7602" t="s">
        <v>29</v>
      </c>
      <c r="J7602" t="s">
        <v>30</v>
      </c>
      <c r="K7602" t="s">
        <v>4343</v>
      </c>
      <c r="M7602" t="s">
        <v>18479</v>
      </c>
      <c r="N7602" t="str">
        <f>"2/17/2014 11:48:00 AM"</f>
        <v>2/17/2014 11:48:00 AM</v>
      </c>
      <c r="O7602" t="s">
        <v>22986</v>
      </c>
    </row>
    <row r="7603" spans="1:20" x14ac:dyDescent="0.25">
      <c r="A7603" t="str">
        <f>"3038951"</f>
        <v>3038951</v>
      </c>
      <c r="B7603" t="s">
        <v>22988</v>
      </c>
      <c r="C7603" t="str">
        <f>"8303163"</f>
        <v>8303163</v>
      </c>
      <c r="D7603" t="s">
        <v>22989</v>
      </c>
      <c r="E7603" t="s">
        <v>22990</v>
      </c>
      <c r="F7603" t="s">
        <v>22991</v>
      </c>
      <c r="I7603" t="s">
        <v>29</v>
      </c>
      <c r="J7603" t="s">
        <v>30</v>
      </c>
      <c r="K7603" t="str">
        <f>"27028"</f>
        <v>27028</v>
      </c>
      <c r="M7603" t="s">
        <v>17861</v>
      </c>
      <c r="N7603" t="str">
        <f>"2/18/2014 9:31:00 AM"</f>
        <v>2/18/2014 9:31:00 AM</v>
      </c>
      <c r="O7603" t="s">
        <v>22989</v>
      </c>
      <c r="T7603" t="s">
        <v>22990</v>
      </c>
    </row>
    <row r="7604" spans="1:20" x14ac:dyDescent="0.25">
      <c r="A7604" t="str">
        <f>"3050693"</f>
        <v>3050693</v>
      </c>
      <c r="B7604" t="s">
        <v>22992</v>
      </c>
      <c r="C7604" t="str">
        <f>"8300921"</f>
        <v>8300921</v>
      </c>
      <c r="D7604" t="s">
        <v>22993</v>
      </c>
      <c r="F7604" t="s">
        <v>22994</v>
      </c>
      <c r="I7604" t="s">
        <v>184</v>
      </c>
      <c r="J7604" t="s">
        <v>30</v>
      </c>
      <c r="K7604" t="str">
        <f>"27006"</f>
        <v>27006</v>
      </c>
      <c r="M7604" t="s">
        <v>18479</v>
      </c>
      <c r="N7604" t="str">
        <f>"2/18/2014 11:36:00 AM"</f>
        <v>2/18/2014 11:36:00 AM</v>
      </c>
      <c r="O7604" t="s">
        <v>22993</v>
      </c>
    </row>
    <row r="7605" spans="1:20" x14ac:dyDescent="0.25">
      <c r="A7605" t="str">
        <f>"3045513"</f>
        <v>3045513</v>
      </c>
      <c r="B7605" t="s">
        <v>22995</v>
      </c>
      <c r="C7605" t="str">
        <f>"8303311"</f>
        <v>8303311</v>
      </c>
      <c r="D7605" t="s">
        <v>22996</v>
      </c>
      <c r="E7605" t="s">
        <v>22997</v>
      </c>
      <c r="F7605" t="s">
        <v>22998</v>
      </c>
      <c r="I7605" t="s">
        <v>29</v>
      </c>
      <c r="J7605" t="s">
        <v>30</v>
      </c>
      <c r="K7605" t="str">
        <f>"27028"</f>
        <v>27028</v>
      </c>
      <c r="M7605" t="s">
        <v>17861</v>
      </c>
      <c r="N7605" t="str">
        <f>"4/3/2014 11:15:00 AM"</f>
        <v>4/3/2014 11:15:00 AM</v>
      </c>
      <c r="O7605" t="s">
        <v>22996</v>
      </c>
      <c r="T7605" t="s">
        <v>22997</v>
      </c>
    </row>
    <row r="7606" spans="1:20" x14ac:dyDescent="0.25">
      <c r="A7606" t="str">
        <f>"3062525"</f>
        <v>3062525</v>
      </c>
      <c r="B7606" t="s">
        <v>22999</v>
      </c>
      <c r="C7606" t="str">
        <f>"8303312"</f>
        <v>8303312</v>
      </c>
      <c r="D7606" t="s">
        <v>14956</v>
      </c>
      <c r="E7606" t="s">
        <v>14955</v>
      </c>
      <c r="F7606" t="s">
        <v>23000</v>
      </c>
      <c r="I7606" t="s">
        <v>184</v>
      </c>
      <c r="J7606" t="s">
        <v>30</v>
      </c>
      <c r="K7606" t="str">
        <f>"27006"</f>
        <v>27006</v>
      </c>
      <c r="M7606" t="s">
        <v>17861</v>
      </c>
      <c r="N7606" t="str">
        <f>"4/3/2014 11:19:00 AM"</f>
        <v>4/3/2014 11:19:00 AM</v>
      </c>
      <c r="O7606" t="s">
        <v>14956</v>
      </c>
      <c r="T7606" t="s">
        <v>14955</v>
      </c>
    </row>
    <row r="7607" spans="1:20" x14ac:dyDescent="0.25">
      <c r="A7607" t="str">
        <f>"3041504"</f>
        <v>3041504</v>
      </c>
      <c r="B7607" t="s">
        <v>23001</v>
      </c>
      <c r="C7607" t="str">
        <f>"82529121"</f>
        <v>82529121</v>
      </c>
      <c r="D7607" t="s">
        <v>23002</v>
      </c>
      <c r="E7607" t="s">
        <v>23003</v>
      </c>
      <c r="F7607" t="s">
        <v>23004</v>
      </c>
      <c r="I7607" t="s">
        <v>2071</v>
      </c>
      <c r="J7607" t="s">
        <v>30</v>
      </c>
      <c r="K7607" t="s">
        <v>185</v>
      </c>
      <c r="M7607" t="s">
        <v>18432</v>
      </c>
      <c r="N7607" t="str">
        <f>"2/19/2014 8:33:00 AM"</f>
        <v>2/19/2014 8:33:00 AM</v>
      </c>
      <c r="O7607" t="s">
        <v>23002</v>
      </c>
      <c r="T7607" t="s">
        <v>23003</v>
      </c>
    </row>
    <row r="7608" spans="1:20" x14ac:dyDescent="0.25">
      <c r="A7608" t="str">
        <f>"3040357"</f>
        <v>3040357</v>
      </c>
      <c r="B7608" t="s">
        <v>23005</v>
      </c>
      <c r="C7608" t="str">
        <f>"9092000"</f>
        <v>9092000</v>
      </c>
      <c r="D7608" t="s">
        <v>19273</v>
      </c>
      <c r="E7608" t="s">
        <v>19274</v>
      </c>
      <c r="F7608" t="s">
        <v>23006</v>
      </c>
      <c r="I7608" t="s">
        <v>184</v>
      </c>
      <c r="J7608" t="s">
        <v>30</v>
      </c>
      <c r="K7608" t="s">
        <v>185</v>
      </c>
      <c r="M7608" t="s">
        <v>18479</v>
      </c>
      <c r="N7608" t="str">
        <f>"2/21/2014 3:00:00 PM"</f>
        <v>2/21/2014 3:00:00 PM</v>
      </c>
      <c r="O7608" t="s">
        <v>19273</v>
      </c>
      <c r="T7608" t="s">
        <v>19274</v>
      </c>
    </row>
    <row r="7609" spans="1:20" x14ac:dyDescent="0.25">
      <c r="A7609" t="str">
        <f>"3040290"</f>
        <v>3040290</v>
      </c>
      <c r="B7609" t="s">
        <v>23007</v>
      </c>
      <c r="C7609" t="str">
        <f>"9092000"</f>
        <v>9092000</v>
      </c>
      <c r="D7609" t="s">
        <v>19273</v>
      </c>
      <c r="E7609" t="s">
        <v>19274</v>
      </c>
      <c r="F7609" t="s">
        <v>23006</v>
      </c>
      <c r="I7609" t="s">
        <v>184</v>
      </c>
      <c r="J7609" t="s">
        <v>30</v>
      </c>
      <c r="K7609" t="s">
        <v>185</v>
      </c>
      <c r="M7609" t="s">
        <v>18479</v>
      </c>
      <c r="N7609" t="str">
        <f>"2/21/2014 3:00:00 PM"</f>
        <v>2/21/2014 3:00:00 PM</v>
      </c>
      <c r="O7609" t="s">
        <v>19273</v>
      </c>
      <c r="T7609" t="s">
        <v>19274</v>
      </c>
    </row>
    <row r="7610" spans="1:20" x14ac:dyDescent="0.25">
      <c r="A7610" t="str">
        <f>"3047649"</f>
        <v>3047649</v>
      </c>
      <c r="B7610" t="s">
        <v>23008</v>
      </c>
      <c r="C7610" t="str">
        <f>"82515734"</f>
        <v>82515734</v>
      </c>
      <c r="D7610" t="s">
        <v>23009</v>
      </c>
      <c r="E7610" t="s">
        <v>23010</v>
      </c>
      <c r="F7610" t="s">
        <v>23011</v>
      </c>
      <c r="I7610" t="s">
        <v>184</v>
      </c>
      <c r="J7610" t="s">
        <v>30</v>
      </c>
      <c r="K7610" t="s">
        <v>185</v>
      </c>
      <c r="M7610" t="s">
        <v>17861</v>
      </c>
      <c r="N7610" t="str">
        <f>"2/25/2014 9:07:00 AM"</f>
        <v>2/25/2014 9:07:00 AM</v>
      </c>
      <c r="O7610" t="s">
        <v>23009</v>
      </c>
      <c r="T7610" t="s">
        <v>23010</v>
      </c>
    </row>
    <row r="7611" spans="1:20" x14ac:dyDescent="0.25">
      <c r="A7611" t="str">
        <f>"3040166"</f>
        <v>3040166</v>
      </c>
      <c r="B7611" t="s">
        <v>23012</v>
      </c>
      <c r="C7611" t="str">
        <f>"39348000"</f>
        <v>39348000</v>
      </c>
      <c r="D7611" t="s">
        <v>23013</v>
      </c>
      <c r="E7611" t="s">
        <v>23014</v>
      </c>
      <c r="F7611" t="s">
        <v>23015</v>
      </c>
      <c r="I7611" t="s">
        <v>29</v>
      </c>
      <c r="J7611" t="s">
        <v>30</v>
      </c>
      <c r="K7611" t="s">
        <v>2696</v>
      </c>
      <c r="M7611" t="s">
        <v>18479</v>
      </c>
      <c r="N7611" t="str">
        <f>"4/9/2014 2:48:00 PM"</f>
        <v>4/9/2014 2:48:00 PM</v>
      </c>
      <c r="O7611" t="s">
        <v>23013</v>
      </c>
      <c r="T7611" t="s">
        <v>23014</v>
      </c>
    </row>
    <row r="7612" spans="1:20" x14ac:dyDescent="0.25">
      <c r="A7612" t="str">
        <f>"3040208"</f>
        <v>3040208</v>
      </c>
      <c r="B7612" t="s">
        <v>23016</v>
      </c>
      <c r="C7612" t="str">
        <f>"39348000"</f>
        <v>39348000</v>
      </c>
      <c r="D7612" t="s">
        <v>23013</v>
      </c>
      <c r="E7612" t="s">
        <v>23014</v>
      </c>
      <c r="F7612" t="s">
        <v>23015</v>
      </c>
      <c r="I7612" t="s">
        <v>29</v>
      </c>
      <c r="J7612" t="s">
        <v>30</v>
      </c>
      <c r="K7612" t="s">
        <v>2696</v>
      </c>
      <c r="M7612" t="s">
        <v>18479</v>
      </c>
      <c r="N7612" t="str">
        <f>"4/9/2014 2:48:00 PM"</f>
        <v>4/9/2014 2:48:00 PM</v>
      </c>
      <c r="O7612" t="s">
        <v>23013</v>
      </c>
      <c r="T7612" t="s">
        <v>23014</v>
      </c>
    </row>
    <row r="7613" spans="1:20" x14ac:dyDescent="0.25">
      <c r="A7613" t="str">
        <f>"3076829"</f>
        <v>3076829</v>
      </c>
      <c r="B7613" t="s">
        <v>23017</v>
      </c>
      <c r="C7613" t="str">
        <f>"39348000"</f>
        <v>39348000</v>
      </c>
      <c r="D7613" t="s">
        <v>23013</v>
      </c>
      <c r="E7613" t="s">
        <v>23014</v>
      </c>
      <c r="F7613" t="s">
        <v>23015</v>
      </c>
      <c r="I7613" t="s">
        <v>29</v>
      </c>
      <c r="J7613" t="s">
        <v>30</v>
      </c>
      <c r="K7613" t="s">
        <v>2696</v>
      </c>
      <c r="M7613" t="s">
        <v>18479</v>
      </c>
      <c r="N7613" t="str">
        <f>"4/9/2014 2:48:00 PM"</f>
        <v>4/9/2014 2:48:00 PM</v>
      </c>
      <c r="O7613" t="s">
        <v>23013</v>
      </c>
      <c r="T7613" t="s">
        <v>23014</v>
      </c>
    </row>
    <row r="7614" spans="1:20" x14ac:dyDescent="0.25">
      <c r="A7614" t="str">
        <f>"3076831"</f>
        <v>3076831</v>
      </c>
      <c r="B7614" t="s">
        <v>23018</v>
      </c>
      <c r="C7614" t="str">
        <f>"39348000"</f>
        <v>39348000</v>
      </c>
      <c r="D7614" t="s">
        <v>23013</v>
      </c>
      <c r="E7614" t="s">
        <v>23014</v>
      </c>
      <c r="F7614" t="s">
        <v>23015</v>
      </c>
      <c r="I7614" t="s">
        <v>29</v>
      </c>
      <c r="J7614" t="s">
        <v>30</v>
      </c>
      <c r="K7614" t="s">
        <v>2696</v>
      </c>
      <c r="M7614" t="s">
        <v>18479</v>
      </c>
      <c r="N7614" t="str">
        <f>"4/9/2014 2:48:00 PM"</f>
        <v>4/9/2014 2:48:00 PM</v>
      </c>
      <c r="O7614" t="s">
        <v>23013</v>
      </c>
      <c r="T7614" t="s">
        <v>23014</v>
      </c>
    </row>
    <row r="7615" spans="1:20" x14ac:dyDescent="0.25">
      <c r="A7615" t="str">
        <f>"3047722"</f>
        <v>3047722</v>
      </c>
      <c r="B7615" t="s">
        <v>23019</v>
      </c>
      <c r="C7615" t="str">
        <f>"82515734"</f>
        <v>82515734</v>
      </c>
      <c r="D7615" t="s">
        <v>23009</v>
      </c>
      <c r="E7615" t="s">
        <v>23010</v>
      </c>
      <c r="F7615" t="s">
        <v>23011</v>
      </c>
      <c r="I7615" t="s">
        <v>184</v>
      </c>
      <c r="J7615" t="s">
        <v>30</v>
      </c>
      <c r="K7615" t="s">
        <v>185</v>
      </c>
      <c r="M7615" t="s">
        <v>17861</v>
      </c>
      <c r="N7615" t="str">
        <f>"2/25/2014 9:07:00 AM"</f>
        <v>2/25/2014 9:07:00 AM</v>
      </c>
      <c r="O7615" t="s">
        <v>23009</v>
      </c>
      <c r="T7615" t="s">
        <v>23010</v>
      </c>
    </row>
    <row r="7616" spans="1:20" x14ac:dyDescent="0.25">
      <c r="A7616" t="str">
        <f>"3048126"</f>
        <v>3048126</v>
      </c>
      <c r="B7616" t="s">
        <v>23020</v>
      </c>
      <c r="C7616" t="str">
        <f>"82515734"</f>
        <v>82515734</v>
      </c>
      <c r="D7616" t="s">
        <v>23009</v>
      </c>
      <c r="E7616" t="s">
        <v>23010</v>
      </c>
      <c r="F7616" t="s">
        <v>23011</v>
      </c>
      <c r="I7616" t="s">
        <v>184</v>
      </c>
      <c r="J7616" t="s">
        <v>30</v>
      </c>
      <c r="K7616" t="s">
        <v>185</v>
      </c>
      <c r="M7616" t="s">
        <v>17861</v>
      </c>
      <c r="N7616" t="str">
        <f>"2/25/2014 9:07:00 AM"</f>
        <v>2/25/2014 9:07:00 AM</v>
      </c>
      <c r="O7616" t="s">
        <v>23009</v>
      </c>
      <c r="T7616" t="s">
        <v>23010</v>
      </c>
    </row>
    <row r="7617" spans="1:20" x14ac:dyDescent="0.25">
      <c r="A7617" t="str">
        <f>"3050009"</f>
        <v>3050009</v>
      </c>
      <c r="B7617" t="s">
        <v>23021</v>
      </c>
      <c r="C7617" t="str">
        <f>"8303111"</f>
        <v>8303111</v>
      </c>
      <c r="D7617" t="s">
        <v>23022</v>
      </c>
      <c r="F7617" t="s">
        <v>23023</v>
      </c>
      <c r="I7617" t="s">
        <v>29</v>
      </c>
      <c r="J7617" t="s">
        <v>30</v>
      </c>
      <c r="K7617" t="str">
        <f>"27028"</f>
        <v>27028</v>
      </c>
      <c r="M7617" t="s">
        <v>17861</v>
      </c>
      <c r="N7617" t="str">
        <f>"1/31/2014 2:03:00 PM"</f>
        <v>1/31/2014 2:03:00 PM</v>
      </c>
      <c r="O7617" t="s">
        <v>23022</v>
      </c>
    </row>
    <row r="7618" spans="1:20" x14ac:dyDescent="0.25">
      <c r="A7618" t="str">
        <f>"3069830"</f>
        <v>3069830</v>
      </c>
      <c r="B7618" t="s">
        <v>23024</v>
      </c>
      <c r="C7618" t="str">
        <f>"82515734"</f>
        <v>82515734</v>
      </c>
      <c r="D7618" t="s">
        <v>23009</v>
      </c>
      <c r="E7618" t="s">
        <v>23010</v>
      </c>
      <c r="F7618" t="s">
        <v>23011</v>
      </c>
      <c r="I7618" t="s">
        <v>184</v>
      </c>
      <c r="J7618" t="s">
        <v>30</v>
      </c>
      <c r="K7618" t="s">
        <v>185</v>
      </c>
      <c r="M7618" t="s">
        <v>17861</v>
      </c>
      <c r="N7618" t="str">
        <f>"2/25/2014 9:07:00 AM"</f>
        <v>2/25/2014 9:07:00 AM</v>
      </c>
      <c r="O7618" t="s">
        <v>23009</v>
      </c>
      <c r="T7618" t="s">
        <v>23010</v>
      </c>
    </row>
    <row r="7619" spans="1:20" x14ac:dyDescent="0.25">
      <c r="A7619" t="str">
        <f>"3059442"</f>
        <v>3059442</v>
      </c>
      <c r="B7619" t="s">
        <v>23025</v>
      </c>
      <c r="C7619" t="str">
        <f>"82527291"</f>
        <v>82527291</v>
      </c>
      <c r="D7619" t="s">
        <v>23026</v>
      </c>
      <c r="E7619" t="s">
        <v>23027</v>
      </c>
      <c r="F7619" t="s">
        <v>23028</v>
      </c>
      <c r="I7619" t="s">
        <v>29</v>
      </c>
      <c r="J7619" t="s">
        <v>30</v>
      </c>
      <c r="K7619" t="s">
        <v>31</v>
      </c>
      <c r="M7619" t="s">
        <v>23029</v>
      </c>
      <c r="N7619" t="str">
        <f>"3/3/2014 4:04:00 PM"</f>
        <v>3/3/2014 4:04:00 PM</v>
      </c>
      <c r="O7619" t="s">
        <v>23026</v>
      </c>
      <c r="T7619" t="s">
        <v>23027</v>
      </c>
    </row>
    <row r="7620" spans="1:20" x14ac:dyDescent="0.25">
      <c r="A7620" t="str">
        <f>"3061786"</f>
        <v>3061786</v>
      </c>
      <c r="B7620" t="s">
        <v>23030</v>
      </c>
      <c r="C7620" t="str">
        <f>"8303194"</f>
        <v>8303194</v>
      </c>
      <c r="D7620" t="s">
        <v>23031</v>
      </c>
      <c r="E7620" t="s">
        <v>23032</v>
      </c>
      <c r="F7620" t="s">
        <v>23033</v>
      </c>
      <c r="I7620" t="s">
        <v>2071</v>
      </c>
      <c r="J7620" t="s">
        <v>30</v>
      </c>
      <c r="K7620" t="str">
        <f>"27006"</f>
        <v>27006</v>
      </c>
      <c r="M7620" t="s">
        <v>17861</v>
      </c>
      <c r="N7620" t="str">
        <f>"3/4/2014 1:54:00 PM"</f>
        <v>3/4/2014 1:54:00 PM</v>
      </c>
      <c r="O7620" t="s">
        <v>23031</v>
      </c>
      <c r="T7620" t="s">
        <v>23032</v>
      </c>
    </row>
    <row r="7621" spans="1:20" x14ac:dyDescent="0.25">
      <c r="A7621" t="str">
        <f>"3061843"</f>
        <v>3061843</v>
      </c>
      <c r="B7621" t="s">
        <v>23034</v>
      </c>
      <c r="C7621" t="str">
        <f>"8303358"</f>
        <v>8303358</v>
      </c>
      <c r="D7621" t="s">
        <v>23035</v>
      </c>
      <c r="E7621" t="s">
        <v>23036</v>
      </c>
      <c r="F7621" t="s">
        <v>23037</v>
      </c>
      <c r="I7621" t="s">
        <v>29</v>
      </c>
      <c r="J7621" t="s">
        <v>30</v>
      </c>
      <c r="K7621" t="str">
        <f>"27028"</f>
        <v>27028</v>
      </c>
      <c r="M7621" t="s">
        <v>17861</v>
      </c>
      <c r="N7621" t="str">
        <f>"4/17/2014 3:15:00 PM"</f>
        <v>4/17/2014 3:15:00 PM</v>
      </c>
      <c r="O7621" t="s">
        <v>23035</v>
      </c>
      <c r="T7621" t="s">
        <v>23036</v>
      </c>
    </row>
    <row r="7622" spans="1:20" x14ac:dyDescent="0.25">
      <c r="A7622" t="str">
        <f>"3062012"</f>
        <v>3062012</v>
      </c>
      <c r="B7622" t="s">
        <v>23038</v>
      </c>
      <c r="C7622" t="str">
        <f>"8303364"</f>
        <v>8303364</v>
      </c>
      <c r="D7622" t="s">
        <v>23039</v>
      </c>
      <c r="E7622" t="s">
        <v>23040</v>
      </c>
      <c r="F7622" t="s">
        <v>23041</v>
      </c>
      <c r="I7622" t="s">
        <v>29</v>
      </c>
      <c r="J7622" t="s">
        <v>30</v>
      </c>
      <c r="K7622" t="str">
        <f>"27028"</f>
        <v>27028</v>
      </c>
      <c r="M7622" t="s">
        <v>17861</v>
      </c>
      <c r="N7622" t="str">
        <f>"4/17/2014 3:30:00 PM"</f>
        <v>4/17/2014 3:30:00 PM</v>
      </c>
      <c r="O7622" t="s">
        <v>23039</v>
      </c>
      <c r="T7622" t="s">
        <v>23040</v>
      </c>
    </row>
    <row r="7623" spans="1:20" x14ac:dyDescent="0.25">
      <c r="A7623" t="str">
        <f>"3045752"</f>
        <v>3045752</v>
      </c>
      <c r="B7623" t="s">
        <v>23042</v>
      </c>
      <c r="C7623" t="str">
        <f>"8303364"</f>
        <v>8303364</v>
      </c>
      <c r="D7623" t="s">
        <v>23039</v>
      </c>
      <c r="E7623" t="s">
        <v>23040</v>
      </c>
      <c r="F7623" t="s">
        <v>23041</v>
      </c>
      <c r="I7623" t="s">
        <v>29</v>
      </c>
      <c r="J7623" t="s">
        <v>30</v>
      </c>
      <c r="K7623" t="str">
        <f>"27028"</f>
        <v>27028</v>
      </c>
      <c r="M7623" t="s">
        <v>17861</v>
      </c>
      <c r="N7623" t="str">
        <f>"4/17/2014 3:30:00 PM"</f>
        <v>4/17/2014 3:30:00 PM</v>
      </c>
      <c r="O7623" t="s">
        <v>23039</v>
      </c>
      <c r="T7623" t="s">
        <v>23040</v>
      </c>
    </row>
    <row r="7624" spans="1:20" x14ac:dyDescent="0.25">
      <c r="A7624" t="str">
        <f>"3059123"</f>
        <v>3059123</v>
      </c>
      <c r="B7624" t="s">
        <v>23043</v>
      </c>
      <c r="C7624" t="str">
        <f>"8303197"</f>
        <v>8303197</v>
      </c>
      <c r="D7624" t="s">
        <v>23044</v>
      </c>
      <c r="F7624" t="s">
        <v>23045</v>
      </c>
      <c r="I7624" t="s">
        <v>29</v>
      </c>
      <c r="J7624" t="s">
        <v>30</v>
      </c>
      <c r="K7624" t="str">
        <f>"27028"</f>
        <v>27028</v>
      </c>
      <c r="M7624" t="s">
        <v>17861</v>
      </c>
      <c r="N7624" t="str">
        <f>"3/4/2014 3:29:00 PM"</f>
        <v>3/4/2014 3:29:00 PM</v>
      </c>
      <c r="O7624" t="s">
        <v>23044</v>
      </c>
    </row>
    <row r="7625" spans="1:20" x14ac:dyDescent="0.25">
      <c r="A7625" t="str">
        <f>"3041598"</f>
        <v>3041598</v>
      </c>
      <c r="B7625" t="s">
        <v>23046</v>
      </c>
      <c r="C7625" t="str">
        <f>"8303378"</f>
        <v>8303378</v>
      </c>
      <c r="D7625" t="s">
        <v>23047</v>
      </c>
      <c r="E7625" t="s">
        <v>23048</v>
      </c>
      <c r="F7625" t="s">
        <v>23049</v>
      </c>
      <c r="I7625" t="s">
        <v>184</v>
      </c>
      <c r="J7625" t="s">
        <v>30</v>
      </c>
      <c r="K7625" t="str">
        <f>"27006"</f>
        <v>27006</v>
      </c>
      <c r="M7625" t="s">
        <v>17861</v>
      </c>
      <c r="N7625" t="str">
        <f>"4/23/2014 2:49:00 PM"</f>
        <v>4/23/2014 2:49:00 PM</v>
      </c>
      <c r="O7625" t="s">
        <v>23047</v>
      </c>
      <c r="T7625" t="s">
        <v>23048</v>
      </c>
    </row>
    <row r="7626" spans="1:20" x14ac:dyDescent="0.25">
      <c r="A7626" t="str">
        <f>"3041672"</f>
        <v>3041672</v>
      </c>
      <c r="B7626" t="s">
        <v>23050</v>
      </c>
      <c r="C7626" t="str">
        <f>"8303200"</f>
        <v>8303200</v>
      </c>
      <c r="D7626" t="s">
        <v>23051</v>
      </c>
      <c r="F7626" t="s">
        <v>23052</v>
      </c>
      <c r="I7626" t="s">
        <v>2071</v>
      </c>
      <c r="J7626" t="s">
        <v>30</v>
      </c>
      <c r="K7626" t="str">
        <f>"27006"</f>
        <v>27006</v>
      </c>
      <c r="M7626" t="s">
        <v>17861</v>
      </c>
      <c r="N7626" t="str">
        <f>"3/5/2014 9:49:00 AM"</f>
        <v>3/5/2014 9:49:00 AM</v>
      </c>
      <c r="O7626" t="s">
        <v>23051</v>
      </c>
    </row>
    <row r="7627" spans="1:20" x14ac:dyDescent="0.25">
      <c r="A7627" t="str">
        <f>"3040022"</f>
        <v>3040022</v>
      </c>
      <c r="B7627" t="s">
        <v>23053</v>
      </c>
      <c r="C7627" t="str">
        <f>"8303210"</f>
        <v>8303210</v>
      </c>
      <c r="D7627" t="s">
        <v>23054</v>
      </c>
      <c r="F7627" t="s">
        <v>9788</v>
      </c>
      <c r="I7627" t="s">
        <v>29</v>
      </c>
      <c r="J7627" t="s">
        <v>30</v>
      </c>
      <c r="K7627" t="str">
        <f>"27028"</f>
        <v>27028</v>
      </c>
      <c r="M7627" t="s">
        <v>17861</v>
      </c>
      <c r="N7627" t="str">
        <f>"3/5/2014 3:29:00 PM"</f>
        <v>3/5/2014 3:29:00 PM</v>
      </c>
      <c r="O7627" t="s">
        <v>23054</v>
      </c>
    </row>
    <row r="7628" spans="1:20" x14ac:dyDescent="0.25">
      <c r="A7628" t="str">
        <f>"3054645"</f>
        <v>3054645</v>
      </c>
      <c r="B7628" t="s">
        <v>23055</v>
      </c>
      <c r="C7628" t="str">
        <f>"8303213"</f>
        <v>8303213</v>
      </c>
      <c r="D7628" t="s">
        <v>23056</v>
      </c>
      <c r="F7628" t="s">
        <v>23057</v>
      </c>
      <c r="I7628" t="s">
        <v>29</v>
      </c>
      <c r="J7628" t="s">
        <v>30</v>
      </c>
      <c r="K7628" t="str">
        <f>"27028"</f>
        <v>27028</v>
      </c>
      <c r="M7628" t="s">
        <v>17861</v>
      </c>
      <c r="N7628" t="str">
        <f>"3/5/2014 4:10:00 PM"</f>
        <v>3/5/2014 4:10:00 PM</v>
      </c>
      <c r="O7628" t="s">
        <v>23056</v>
      </c>
    </row>
    <row r="7629" spans="1:20" x14ac:dyDescent="0.25">
      <c r="A7629" t="str">
        <f>"3049872"</f>
        <v>3049872</v>
      </c>
      <c r="B7629" t="s">
        <v>23058</v>
      </c>
      <c r="C7629" t="str">
        <f>"8303396"</f>
        <v>8303396</v>
      </c>
      <c r="D7629" t="s">
        <v>23059</v>
      </c>
      <c r="E7629" t="s">
        <v>23060</v>
      </c>
      <c r="F7629" t="s">
        <v>23061</v>
      </c>
      <c r="I7629" t="s">
        <v>29</v>
      </c>
      <c r="J7629" t="s">
        <v>30</v>
      </c>
      <c r="K7629" t="str">
        <f>"27028"</f>
        <v>27028</v>
      </c>
      <c r="M7629" t="s">
        <v>17861</v>
      </c>
      <c r="N7629" t="str">
        <f>"5/1/2014 4:40:00 PM"</f>
        <v>5/1/2014 4:40:00 PM</v>
      </c>
      <c r="O7629" t="s">
        <v>23059</v>
      </c>
      <c r="T7629" t="s">
        <v>23060</v>
      </c>
    </row>
    <row r="7630" spans="1:20" x14ac:dyDescent="0.25">
      <c r="A7630" t="str">
        <f>"3045347"</f>
        <v>3045347</v>
      </c>
      <c r="B7630" t="s">
        <v>23062</v>
      </c>
      <c r="C7630" t="str">
        <f>"82518502"</f>
        <v>82518502</v>
      </c>
      <c r="D7630" t="s">
        <v>23063</v>
      </c>
      <c r="F7630" t="s">
        <v>23064</v>
      </c>
      <c r="I7630" t="s">
        <v>1149</v>
      </c>
      <c r="J7630" t="s">
        <v>30</v>
      </c>
      <c r="K7630" t="s">
        <v>23065</v>
      </c>
      <c r="M7630" t="s">
        <v>18479</v>
      </c>
      <c r="N7630" t="str">
        <f>"3/18/2014 8:51:00 AM"</f>
        <v>3/18/2014 8:51:00 AM</v>
      </c>
      <c r="O7630" t="s">
        <v>23063</v>
      </c>
    </row>
    <row r="7631" spans="1:20" x14ac:dyDescent="0.25">
      <c r="A7631" t="str">
        <f>"3040867"</f>
        <v>3040867</v>
      </c>
      <c r="B7631" t="s">
        <v>23066</v>
      </c>
      <c r="C7631" t="str">
        <f>"8301877"</f>
        <v>8301877</v>
      </c>
      <c r="D7631" t="s">
        <v>23067</v>
      </c>
      <c r="F7631" t="s">
        <v>23068</v>
      </c>
      <c r="I7631" t="s">
        <v>184</v>
      </c>
      <c r="J7631" t="s">
        <v>30</v>
      </c>
      <c r="K7631" t="str">
        <f>"27006"</f>
        <v>27006</v>
      </c>
      <c r="M7631" t="s">
        <v>18479</v>
      </c>
      <c r="N7631" t="str">
        <f>"3/24/2014 2:41:00 PM"</f>
        <v>3/24/2014 2:41:00 PM</v>
      </c>
      <c r="O7631" t="s">
        <v>23067</v>
      </c>
    </row>
    <row r="7632" spans="1:20" x14ac:dyDescent="0.25">
      <c r="A7632" t="str">
        <f>"3060329"</f>
        <v>3060329</v>
      </c>
      <c r="B7632" t="s">
        <v>23069</v>
      </c>
      <c r="C7632" t="str">
        <f>"8303237"</f>
        <v>8303237</v>
      </c>
      <c r="D7632" t="s">
        <v>23070</v>
      </c>
      <c r="E7632" t="s">
        <v>23071</v>
      </c>
      <c r="F7632" t="s">
        <v>23072</v>
      </c>
      <c r="I7632" t="s">
        <v>29</v>
      </c>
      <c r="J7632" t="s">
        <v>30</v>
      </c>
      <c r="K7632" t="str">
        <f>"27028"</f>
        <v>27028</v>
      </c>
      <c r="M7632" t="s">
        <v>17861</v>
      </c>
      <c r="N7632" t="str">
        <f>"3/25/2014 11:14:00 AM"</f>
        <v>3/25/2014 11:14:00 AM</v>
      </c>
      <c r="O7632" t="s">
        <v>23070</v>
      </c>
      <c r="T7632" t="s">
        <v>23071</v>
      </c>
    </row>
    <row r="7633" spans="1:20" x14ac:dyDescent="0.25">
      <c r="A7633" t="str">
        <f>"3047547"</f>
        <v>3047547</v>
      </c>
      <c r="B7633" t="s">
        <v>23073</v>
      </c>
      <c r="C7633" t="str">
        <f>"8303241"</f>
        <v>8303241</v>
      </c>
      <c r="D7633" t="s">
        <v>22959</v>
      </c>
      <c r="F7633" t="s">
        <v>8607</v>
      </c>
      <c r="I7633" t="s">
        <v>184</v>
      </c>
      <c r="J7633" t="s">
        <v>30</v>
      </c>
      <c r="K7633" t="str">
        <f>"27006"</f>
        <v>27006</v>
      </c>
      <c r="M7633" t="s">
        <v>17861</v>
      </c>
      <c r="N7633" t="str">
        <f>"3/25/2014 11:25:00 AM"</f>
        <v>3/25/2014 11:25:00 AM</v>
      </c>
      <c r="O7633" t="s">
        <v>22959</v>
      </c>
    </row>
    <row r="7634" spans="1:20" x14ac:dyDescent="0.25">
      <c r="A7634" t="str">
        <f>"3048243"</f>
        <v>3048243</v>
      </c>
      <c r="B7634" t="s">
        <v>23074</v>
      </c>
      <c r="C7634" t="str">
        <f>"82516001"</f>
        <v>82516001</v>
      </c>
      <c r="D7634" t="s">
        <v>23075</v>
      </c>
      <c r="E7634" t="s">
        <v>23076</v>
      </c>
      <c r="F7634" t="s">
        <v>23077</v>
      </c>
      <c r="I7634" t="s">
        <v>29</v>
      </c>
      <c r="J7634" t="s">
        <v>30</v>
      </c>
      <c r="K7634" t="s">
        <v>23078</v>
      </c>
      <c r="M7634" t="s">
        <v>18479</v>
      </c>
      <c r="N7634" t="str">
        <f>"3/26/2014 11:06:00 AM"</f>
        <v>3/26/2014 11:06:00 AM</v>
      </c>
      <c r="O7634" t="s">
        <v>23075</v>
      </c>
      <c r="T7634" t="s">
        <v>23076</v>
      </c>
    </row>
    <row r="7635" spans="1:20" x14ac:dyDescent="0.25">
      <c r="A7635" t="str">
        <f>"3051006"</f>
        <v>3051006</v>
      </c>
      <c r="B7635" t="s">
        <v>23079</v>
      </c>
      <c r="C7635" t="str">
        <f>"34582000"</f>
        <v>34582000</v>
      </c>
      <c r="D7635" t="s">
        <v>23080</v>
      </c>
      <c r="F7635" t="s">
        <v>23081</v>
      </c>
      <c r="I7635" t="s">
        <v>29</v>
      </c>
      <c r="J7635" t="s">
        <v>30</v>
      </c>
      <c r="K7635" t="s">
        <v>20637</v>
      </c>
      <c r="M7635" t="s">
        <v>23082</v>
      </c>
      <c r="N7635" t="str">
        <f>"5/5/2014 9:53:00 AM"</f>
        <v>5/5/2014 9:53:00 AM</v>
      </c>
      <c r="O7635" t="s">
        <v>23080</v>
      </c>
    </row>
    <row r="7636" spans="1:20" x14ac:dyDescent="0.25">
      <c r="A7636" t="str">
        <f>"3055871"</f>
        <v>3055871</v>
      </c>
      <c r="B7636" t="s">
        <v>23083</v>
      </c>
      <c r="C7636" t="str">
        <f>"70126000"</f>
        <v>70126000</v>
      </c>
      <c r="D7636" t="s">
        <v>23084</v>
      </c>
      <c r="F7636" t="str">
        <f>"C/O CATHY M DECESS"</f>
        <v>C/O CATHY M DECESS</v>
      </c>
      <c r="G7636" t="s">
        <v>23085</v>
      </c>
      <c r="I7636" t="s">
        <v>9580</v>
      </c>
      <c r="J7636" t="s">
        <v>30</v>
      </c>
      <c r="K7636" t="s">
        <v>9581</v>
      </c>
      <c r="M7636" t="s">
        <v>18432</v>
      </c>
      <c r="N7636" t="str">
        <f>"4/1/2014 9:55:00 AM"</f>
        <v>4/1/2014 9:55:00 AM</v>
      </c>
      <c r="O7636" t="s">
        <v>23084</v>
      </c>
    </row>
    <row r="7637" spans="1:20" x14ac:dyDescent="0.25">
      <c r="A7637" t="str">
        <f>"3056744"</f>
        <v>3056744</v>
      </c>
      <c r="B7637" t="s">
        <v>23086</v>
      </c>
      <c r="C7637" t="str">
        <f>"8303431"</f>
        <v>8303431</v>
      </c>
      <c r="D7637" t="s">
        <v>23087</v>
      </c>
      <c r="E7637" t="s">
        <v>23088</v>
      </c>
      <c r="F7637" t="s">
        <v>23089</v>
      </c>
      <c r="I7637" t="s">
        <v>29</v>
      </c>
      <c r="J7637" t="s">
        <v>30</v>
      </c>
      <c r="K7637" t="str">
        <f>"27028"</f>
        <v>27028</v>
      </c>
      <c r="M7637" t="s">
        <v>17861</v>
      </c>
      <c r="N7637" t="str">
        <f>"5/7/2014 3:39:00 PM"</f>
        <v>5/7/2014 3:39:00 PM</v>
      </c>
      <c r="O7637" t="s">
        <v>23087</v>
      </c>
      <c r="T7637" t="s">
        <v>23088</v>
      </c>
    </row>
    <row r="7638" spans="1:20" x14ac:dyDescent="0.25">
      <c r="A7638" t="str">
        <f>"3043960"</f>
        <v>3043960</v>
      </c>
      <c r="B7638" t="s">
        <v>23090</v>
      </c>
      <c r="C7638" t="str">
        <f>"8303309"</f>
        <v>8303309</v>
      </c>
      <c r="D7638" t="s">
        <v>23091</v>
      </c>
      <c r="E7638" t="s">
        <v>23092</v>
      </c>
      <c r="F7638" t="s">
        <v>23093</v>
      </c>
      <c r="I7638" t="s">
        <v>184</v>
      </c>
      <c r="J7638" t="s">
        <v>30</v>
      </c>
      <c r="K7638" t="str">
        <f>"27006"</f>
        <v>27006</v>
      </c>
      <c r="M7638" t="s">
        <v>17861</v>
      </c>
      <c r="N7638" t="str">
        <f>"4/3/2014 10:24:00 AM"</f>
        <v>4/3/2014 10:24:00 AM</v>
      </c>
      <c r="O7638" t="s">
        <v>23091</v>
      </c>
      <c r="T7638" t="s">
        <v>23092</v>
      </c>
    </row>
    <row r="7639" spans="1:20" x14ac:dyDescent="0.25">
      <c r="A7639" t="str">
        <f>"3043961"</f>
        <v>3043961</v>
      </c>
      <c r="B7639" t="s">
        <v>23094</v>
      </c>
      <c r="C7639" t="str">
        <f>"8303309"</f>
        <v>8303309</v>
      </c>
      <c r="D7639" t="s">
        <v>23091</v>
      </c>
      <c r="E7639" t="s">
        <v>23092</v>
      </c>
      <c r="F7639" t="s">
        <v>23093</v>
      </c>
      <c r="I7639" t="s">
        <v>184</v>
      </c>
      <c r="J7639" t="s">
        <v>30</v>
      </c>
      <c r="K7639" t="str">
        <f>"27006"</f>
        <v>27006</v>
      </c>
      <c r="M7639" t="s">
        <v>17861</v>
      </c>
      <c r="N7639" t="str">
        <f>"4/3/2014 10:24:00 AM"</f>
        <v>4/3/2014 10:24:00 AM</v>
      </c>
      <c r="O7639" t="s">
        <v>23091</v>
      </c>
      <c r="T7639" t="s">
        <v>23092</v>
      </c>
    </row>
    <row r="7640" spans="1:20" x14ac:dyDescent="0.25">
      <c r="A7640" t="str">
        <f>"3044279"</f>
        <v>3044279</v>
      </c>
      <c r="B7640" t="s">
        <v>23095</v>
      </c>
      <c r="C7640" t="str">
        <f>"8303309"</f>
        <v>8303309</v>
      </c>
      <c r="D7640" t="s">
        <v>23091</v>
      </c>
      <c r="E7640" t="s">
        <v>23092</v>
      </c>
      <c r="F7640" t="s">
        <v>23093</v>
      </c>
      <c r="I7640" t="s">
        <v>184</v>
      </c>
      <c r="J7640" t="s">
        <v>30</v>
      </c>
      <c r="K7640" t="str">
        <f>"27006"</f>
        <v>27006</v>
      </c>
      <c r="M7640" t="s">
        <v>17861</v>
      </c>
      <c r="N7640" t="str">
        <f>"4/3/2014 10:24:00 AM"</f>
        <v>4/3/2014 10:24:00 AM</v>
      </c>
      <c r="O7640" t="s">
        <v>23091</v>
      </c>
      <c r="T7640" t="s">
        <v>23092</v>
      </c>
    </row>
    <row r="7641" spans="1:20" x14ac:dyDescent="0.25">
      <c r="A7641" t="str">
        <f>"3055746"</f>
        <v>3055746</v>
      </c>
      <c r="B7641" t="s">
        <v>23096</v>
      </c>
      <c r="C7641" t="str">
        <f>"82524576"</f>
        <v>82524576</v>
      </c>
      <c r="D7641" t="s">
        <v>23097</v>
      </c>
      <c r="E7641" t="s">
        <v>23098</v>
      </c>
      <c r="F7641" t="s">
        <v>23099</v>
      </c>
      <c r="I7641" t="s">
        <v>9580</v>
      </c>
      <c r="J7641" t="s">
        <v>30</v>
      </c>
      <c r="K7641" t="s">
        <v>9581</v>
      </c>
      <c r="M7641" t="s">
        <v>18432</v>
      </c>
      <c r="N7641" t="str">
        <f>"4/7/2014 12:18:00 PM"</f>
        <v>4/7/2014 12:18:00 PM</v>
      </c>
      <c r="O7641" t="s">
        <v>23097</v>
      </c>
      <c r="T7641" t="s">
        <v>23098</v>
      </c>
    </row>
    <row r="7642" spans="1:20" x14ac:dyDescent="0.25">
      <c r="A7642" t="str">
        <f>"3061162"</f>
        <v>3061162</v>
      </c>
      <c r="B7642" t="s">
        <v>23100</v>
      </c>
      <c r="C7642" t="str">
        <f>"8303326"</f>
        <v>8303326</v>
      </c>
      <c r="D7642" t="s">
        <v>23101</v>
      </c>
      <c r="E7642" t="s">
        <v>23102</v>
      </c>
      <c r="F7642" t="s">
        <v>23103</v>
      </c>
      <c r="I7642" t="s">
        <v>184</v>
      </c>
      <c r="J7642" t="s">
        <v>30</v>
      </c>
      <c r="K7642" t="str">
        <f>"27006"</f>
        <v>27006</v>
      </c>
      <c r="M7642" t="s">
        <v>17861</v>
      </c>
      <c r="N7642" t="str">
        <f>"4/9/2014 1:37:00 PM"</f>
        <v>4/9/2014 1:37:00 PM</v>
      </c>
      <c r="O7642" t="s">
        <v>23101</v>
      </c>
      <c r="T7642" t="s">
        <v>23102</v>
      </c>
    </row>
    <row r="7643" spans="1:20" x14ac:dyDescent="0.25">
      <c r="A7643" t="str">
        <f>"3040996"</f>
        <v>3040996</v>
      </c>
      <c r="B7643" t="s">
        <v>23104</v>
      </c>
      <c r="C7643" t="str">
        <f>"8303452"</f>
        <v>8303452</v>
      </c>
      <c r="D7643" t="str">
        <f>"WHALEY JOHNNY B &amp; VICKI K 2/3"</f>
        <v>WHALEY JOHNNY B &amp; VICKI K 2/3</v>
      </c>
      <c r="E7643" t="str">
        <f>"WHALEY JOHNNY FLETCHER 1/3"</f>
        <v>WHALEY JOHNNY FLETCHER 1/3</v>
      </c>
      <c r="F7643" t="s">
        <v>23105</v>
      </c>
      <c r="I7643" t="s">
        <v>184</v>
      </c>
      <c r="J7643" t="s">
        <v>30</v>
      </c>
      <c r="K7643" t="str">
        <f>"27006"</f>
        <v>27006</v>
      </c>
      <c r="M7643" t="s">
        <v>17861</v>
      </c>
      <c r="N7643" t="str">
        <f>"5/14/2014 2:57:00 PM"</f>
        <v>5/14/2014 2:57:00 PM</v>
      </c>
      <c r="O7643" t="str">
        <f>"WHALEY JOHNNY B &amp; VICKI K 2/3"</f>
        <v>WHALEY JOHNNY B &amp; VICKI K 2/3</v>
      </c>
      <c r="T7643" t="str">
        <f>"WHALEY JOHNNY FLETCHER 1/3"</f>
        <v>WHALEY JOHNNY FLETCHER 1/3</v>
      </c>
    </row>
    <row r="7644" spans="1:20" x14ac:dyDescent="0.25">
      <c r="A7644" t="str">
        <f>"3056541"</f>
        <v>3056541</v>
      </c>
      <c r="B7644" t="s">
        <v>23106</v>
      </c>
      <c r="C7644" t="str">
        <f>"8303453"</f>
        <v>8303453</v>
      </c>
      <c r="D7644" t="s">
        <v>23107</v>
      </c>
      <c r="F7644" t="s">
        <v>23108</v>
      </c>
      <c r="I7644" t="s">
        <v>29</v>
      </c>
      <c r="J7644" t="s">
        <v>30</v>
      </c>
      <c r="K7644" t="str">
        <f>"27028"</f>
        <v>27028</v>
      </c>
      <c r="M7644" t="s">
        <v>17861</v>
      </c>
      <c r="N7644" t="str">
        <f>"5/14/2014 3:02:00 PM"</f>
        <v>5/14/2014 3:02:00 PM</v>
      </c>
      <c r="O7644" t="s">
        <v>23107</v>
      </c>
    </row>
    <row r="7645" spans="1:20" x14ac:dyDescent="0.25">
      <c r="A7645" t="str">
        <f>"3051451"</f>
        <v>3051451</v>
      </c>
      <c r="B7645" t="s">
        <v>23109</v>
      </c>
      <c r="C7645" t="str">
        <f>"8303458"</f>
        <v>8303458</v>
      </c>
      <c r="D7645" t="s">
        <v>23110</v>
      </c>
      <c r="E7645" t="s">
        <v>23111</v>
      </c>
      <c r="F7645" t="s">
        <v>23112</v>
      </c>
      <c r="I7645" t="s">
        <v>29</v>
      </c>
      <c r="J7645" t="s">
        <v>30</v>
      </c>
      <c r="K7645" t="str">
        <f>"27028"</f>
        <v>27028</v>
      </c>
      <c r="M7645" t="s">
        <v>17861</v>
      </c>
      <c r="N7645" t="str">
        <f>"5/14/2014 4:16:00 PM"</f>
        <v>5/14/2014 4:16:00 PM</v>
      </c>
      <c r="O7645" t="s">
        <v>23110</v>
      </c>
      <c r="T7645" t="s">
        <v>23111</v>
      </c>
    </row>
    <row r="7646" spans="1:20" x14ac:dyDescent="0.25">
      <c r="A7646" t="str">
        <f>"3041492"</f>
        <v>3041492</v>
      </c>
      <c r="B7646" t="s">
        <v>23113</v>
      </c>
      <c r="C7646" t="str">
        <f>"8303335"</f>
        <v>8303335</v>
      </c>
      <c r="D7646" t="s">
        <v>23114</v>
      </c>
      <c r="E7646" t="s">
        <v>23115</v>
      </c>
      <c r="F7646" t="s">
        <v>23116</v>
      </c>
      <c r="I7646" t="s">
        <v>184</v>
      </c>
      <c r="J7646" t="s">
        <v>30</v>
      </c>
      <c r="K7646" t="str">
        <f>"27006"</f>
        <v>27006</v>
      </c>
      <c r="M7646" t="s">
        <v>17861</v>
      </c>
      <c r="N7646" t="str">
        <f>"4/9/2014 2:44:00 PM"</f>
        <v>4/9/2014 2:44:00 PM</v>
      </c>
      <c r="O7646" t="s">
        <v>23114</v>
      </c>
      <c r="T7646" t="s">
        <v>23115</v>
      </c>
    </row>
    <row r="7647" spans="1:20" x14ac:dyDescent="0.25">
      <c r="A7647" t="str">
        <f>"3040015"</f>
        <v>3040015</v>
      </c>
      <c r="B7647" t="s">
        <v>23117</v>
      </c>
      <c r="C7647" t="str">
        <f>"39348000"</f>
        <v>39348000</v>
      </c>
      <c r="D7647" t="s">
        <v>23013</v>
      </c>
      <c r="E7647" t="s">
        <v>23014</v>
      </c>
      <c r="F7647" t="s">
        <v>23015</v>
      </c>
      <c r="I7647" t="s">
        <v>29</v>
      </c>
      <c r="J7647" t="s">
        <v>30</v>
      </c>
      <c r="K7647" t="s">
        <v>2696</v>
      </c>
      <c r="M7647" t="s">
        <v>18479</v>
      </c>
      <c r="N7647" t="str">
        <f>"4/9/2014 2:48:00 PM"</f>
        <v>4/9/2014 2:48:00 PM</v>
      </c>
      <c r="O7647" t="s">
        <v>23013</v>
      </c>
      <c r="T7647" t="s">
        <v>23014</v>
      </c>
    </row>
    <row r="7648" spans="1:20" x14ac:dyDescent="0.25">
      <c r="A7648" t="str">
        <f>"3040197"</f>
        <v>3040197</v>
      </c>
      <c r="B7648" t="s">
        <v>23118</v>
      </c>
      <c r="C7648" t="str">
        <f>"8300930"</f>
        <v>8300930</v>
      </c>
      <c r="D7648" t="s">
        <v>23119</v>
      </c>
      <c r="F7648" t="s">
        <v>23120</v>
      </c>
      <c r="I7648" t="s">
        <v>29</v>
      </c>
      <c r="J7648" t="s">
        <v>30</v>
      </c>
      <c r="K7648" t="str">
        <f>"27028"</f>
        <v>27028</v>
      </c>
      <c r="M7648" t="s">
        <v>22859</v>
      </c>
      <c r="N7648" t="str">
        <f>"4/11/2014 3:23:00 PM"</f>
        <v>4/11/2014 3:23:00 PM</v>
      </c>
      <c r="O7648" t="s">
        <v>23119</v>
      </c>
    </row>
    <row r="7649" spans="1:20" x14ac:dyDescent="0.25">
      <c r="A7649" t="str">
        <f>"3049946"</f>
        <v>3049946</v>
      </c>
      <c r="B7649" t="s">
        <v>23121</v>
      </c>
      <c r="C7649" t="str">
        <f>"8303485"</f>
        <v>8303485</v>
      </c>
      <c r="D7649" t="s">
        <v>23122</v>
      </c>
      <c r="E7649" t="s">
        <v>23123</v>
      </c>
      <c r="F7649" t="s">
        <v>23124</v>
      </c>
      <c r="I7649" t="s">
        <v>29</v>
      </c>
      <c r="J7649" t="s">
        <v>30</v>
      </c>
      <c r="K7649" t="str">
        <f>"27028"</f>
        <v>27028</v>
      </c>
      <c r="M7649" t="s">
        <v>17861</v>
      </c>
      <c r="N7649" t="str">
        <f>"5/20/2014 3:11:00 PM"</f>
        <v>5/20/2014 3:11:00 PM</v>
      </c>
      <c r="O7649" t="s">
        <v>23122</v>
      </c>
      <c r="T7649" t="s">
        <v>23123</v>
      </c>
    </row>
    <row r="7650" spans="1:20" x14ac:dyDescent="0.25">
      <c r="A7650" t="str">
        <f>"3040008"</f>
        <v>3040008</v>
      </c>
      <c r="B7650" t="s">
        <v>23125</v>
      </c>
      <c r="C7650" t="str">
        <f>"8300930"</f>
        <v>8300930</v>
      </c>
      <c r="D7650" t="s">
        <v>23119</v>
      </c>
      <c r="F7650" t="s">
        <v>23120</v>
      </c>
      <c r="I7650" t="s">
        <v>29</v>
      </c>
      <c r="J7650" t="s">
        <v>30</v>
      </c>
      <c r="K7650" t="str">
        <f>"27028"</f>
        <v>27028</v>
      </c>
      <c r="M7650" t="s">
        <v>22859</v>
      </c>
      <c r="N7650" t="str">
        <f>"4/11/2014 3:23:00 PM"</f>
        <v>4/11/2014 3:23:00 PM</v>
      </c>
      <c r="O7650" t="s">
        <v>23119</v>
      </c>
    </row>
    <row r="7651" spans="1:20" x14ac:dyDescent="0.25">
      <c r="A7651" t="str">
        <f>"3040018"</f>
        <v>3040018</v>
      </c>
      <c r="B7651" t="s">
        <v>23126</v>
      </c>
      <c r="C7651" t="str">
        <f>"8300930"</f>
        <v>8300930</v>
      </c>
      <c r="D7651" t="s">
        <v>23119</v>
      </c>
      <c r="F7651" t="s">
        <v>23120</v>
      </c>
      <c r="I7651" t="s">
        <v>29</v>
      </c>
      <c r="J7651" t="s">
        <v>30</v>
      </c>
      <c r="K7651" t="str">
        <f>"27028"</f>
        <v>27028</v>
      </c>
      <c r="M7651" t="s">
        <v>22859</v>
      </c>
      <c r="N7651" t="str">
        <f>"4/11/2014 3:23:00 PM"</f>
        <v>4/11/2014 3:23:00 PM</v>
      </c>
      <c r="O7651" t="s">
        <v>23119</v>
      </c>
    </row>
    <row r="7652" spans="1:20" x14ac:dyDescent="0.25">
      <c r="A7652" t="str">
        <f>"3039258"</f>
        <v>3039258</v>
      </c>
      <c r="B7652" t="s">
        <v>23127</v>
      </c>
      <c r="C7652" t="str">
        <f>"7252000"</f>
        <v>7252000</v>
      </c>
      <c r="D7652" t="s">
        <v>23128</v>
      </c>
      <c r="E7652" t="s">
        <v>23129</v>
      </c>
      <c r="F7652" t="s">
        <v>23130</v>
      </c>
      <c r="I7652" t="s">
        <v>29</v>
      </c>
      <c r="J7652" t="s">
        <v>30</v>
      </c>
      <c r="K7652" t="s">
        <v>1087</v>
      </c>
      <c r="M7652" t="s">
        <v>18479</v>
      </c>
      <c r="N7652" t="str">
        <f>"2/27/2014 4:58:00 PM"</f>
        <v>2/27/2014 4:58:00 PM</v>
      </c>
      <c r="O7652" t="s">
        <v>23128</v>
      </c>
      <c r="T7652" t="s">
        <v>23129</v>
      </c>
    </row>
    <row r="7653" spans="1:20" x14ac:dyDescent="0.25">
      <c r="A7653" t="str">
        <f>"3059294"</f>
        <v>3059294</v>
      </c>
      <c r="B7653" t="s">
        <v>23131</v>
      </c>
      <c r="C7653" t="str">
        <f>"8303352"</f>
        <v>8303352</v>
      </c>
      <c r="D7653" t="s">
        <v>23132</v>
      </c>
      <c r="E7653" t="s">
        <v>23133</v>
      </c>
      <c r="F7653" t="s">
        <v>23134</v>
      </c>
      <c r="I7653" t="s">
        <v>29</v>
      </c>
      <c r="J7653" t="s">
        <v>30</v>
      </c>
      <c r="K7653" t="str">
        <f>"27028"</f>
        <v>27028</v>
      </c>
      <c r="M7653" t="s">
        <v>17861</v>
      </c>
      <c r="N7653" t="str">
        <f>"4/17/2014 2:58:00 PM"</f>
        <v>4/17/2014 2:58:00 PM</v>
      </c>
      <c r="O7653" t="s">
        <v>23132</v>
      </c>
      <c r="T7653" t="s">
        <v>23133</v>
      </c>
    </row>
    <row r="7654" spans="1:20" x14ac:dyDescent="0.25">
      <c r="A7654" t="str">
        <f>"3046339"</f>
        <v>3046339</v>
      </c>
      <c r="B7654" t="s">
        <v>23135</v>
      </c>
      <c r="C7654" t="str">
        <f>"8303372"</f>
        <v>8303372</v>
      </c>
      <c r="D7654" t="s">
        <v>23136</v>
      </c>
      <c r="F7654" t="s">
        <v>23137</v>
      </c>
      <c r="I7654" t="s">
        <v>29</v>
      </c>
      <c r="J7654" t="s">
        <v>30</v>
      </c>
      <c r="K7654" t="str">
        <f>"27028"</f>
        <v>27028</v>
      </c>
      <c r="M7654" t="s">
        <v>17861</v>
      </c>
      <c r="N7654" t="str">
        <f>"4/23/2014 2:16:00 PM"</f>
        <v>4/23/2014 2:16:00 PM</v>
      </c>
      <c r="O7654" t="s">
        <v>23136</v>
      </c>
    </row>
    <row r="7655" spans="1:20" x14ac:dyDescent="0.25">
      <c r="A7655" t="str">
        <f>"3065663"</f>
        <v>3065663</v>
      </c>
      <c r="B7655" t="s">
        <v>23138</v>
      </c>
      <c r="C7655" t="str">
        <f>"82523976"</f>
        <v>82523976</v>
      </c>
      <c r="D7655" t="s">
        <v>23139</v>
      </c>
      <c r="F7655" t="s">
        <v>23140</v>
      </c>
      <c r="I7655" t="s">
        <v>29</v>
      </c>
      <c r="J7655" t="s">
        <v>30</v>
      </c>
      <c r="K7655" t="s">
        <v>31</v>
      </c>
      <c r="M7655" t="s">
        <v>18479</v>
      </c>
      <c r="N7655" t="str">
        <f>"4/29/2014 10:04:00 AM"</f>
        <v>4/29/2014 10:04:00 AM</v>
      </c>
      <c r="O7655" t="s">
        <v>23139</v>
      </c>
    </row>
    <row r="7656" spans="1:20" x14ac:dyDescent="0.25">
      <c r="A7656" t="str">
        <f>"3067654"</f>
        <v>3067654</v>
      </c>
      <c r="B7656" t="s">
        <v>23141</v>
      </c>
      <c r="C7656" t="str">
        <f>"8303513"</f>
        <v>8303513</v>
      </c>
      <c r="D7656" t="s">
        <v>23142</v>
      </c>
      <c r="E7656" t="s">
        <v>23143</v>
      </c>
      <c r="F7656" t="s">
        <v>23144</v>
      </c>
      <c r="I7656" t="s">
        <v>1176</v>
      </c>
      <c r="J7656" t="s">
        <v>30</v>
      </c>
      <c r="K7656" t="str">
        <f>"27054"</f>
        <v>27054</v>
      </c>
      <c r="M7656" t="s">
        <v>17861</v>
      </c>
      <c r="N7656" t="str">
        <f>"5/27/2014 2:53:00 PM"</f>
        <v>5/27/2014 2:53:00 PM</v>
      </c>
      <c r="O7656" t="s">
        <v>23142</v>
      </c>
      <c r="T7656" t="s">
        <v>23143</v>
      </c>
    </row>
    <row r="7657" spans="1:20" x14ac:dyDescent="0.25">
      <c r="A7657" t="str">
        <f>"3061492"</f>
        <v>3061492</v>
      </c>
      <c r="B7657" t="s">
        <v>23145</v>
      </c>
      <c r="C7657" t="str">
        <f>"82521400"</f>
        <v>82521400</v>
      </c>
      <c r="D7657" t="s">
        <v>23146</v>
      </c>
      <c r="F7657" t="s">
        <v>23147</v>
      </c>
      <c r="I7657" t="s">
        <v>184</v>
      </c>
      <c r="J7657" t="s">
        <v>30</v>
      </c>
      <c r="K7657" t="s">
        <v>185</v>
      </c>
      <c r="M7657" t="s">
        <v>18432</v>
      </c>
      <c r="N7657" t="str">
        <f>"4/30/2014 8:19:00 AM"</f>
        <v>4/30/2014 8:19:00 AM</v>
      </c>
      <c r="O7657" t="s">
        <v>23146</v>
      </c>
    </row>
    <row r="7658" spans="1:20" x14ac:dyDescent="0.25">
      <c r="A7658" t="str">
        <f>"3050710"</f>
        <v>3050710</v>
      </c>
      <c r="B7658" t="s">
        <v>23148</v>
      </c>
      <c r="C7658" t="str">
        <f>"8303528"</f>
        <v>8303528</v>
      </c>
      <c r="D7658" t="s">
        <v>23149</v>
      </c>
      <c r="E7658" t="s">
        <v>23150</v>
      </c>
      <c r="F7658" t="s">
        <v>23151</v>
      </c>
      <c r="I7658" t="s">
        <v>184</v>
      </c>
      <c r="J7658" t="s">
        <v>30</v>
      </c>
      <c r="K7658" t="str">
        <f>"27006"</f>
        <v>27006</v>
      </c>
      <c r="M7658" t="s">
        <v>17861</v>
      </c>
      <c r="N7658" t="str">
        <f>"6/3/2014 1:42:00 PM"</f>
        <v>6/3/2014 1:42:00 PM</v>
      </c>
      <c r="O7658" t="s">
        <v>23149</v>
      </c>
      <c r="T7658" t="s">
        <v>23150</v>
      </c>
    </row>
    <row r="7659" spans="1:20" x14ac:dyDescent="0.25">
      <c r="A7659" t="str">
        <f>"3044615"</f>
        <v>3044615</v>
      </c>
      <c r="B7659" t="s">
        <v>23152</v>
      </c>
      <c r="C7659" t="str">
        <f>"8303392"</f>
        <v>8303392</v>
      </c>
      <c r="D7659" t="str">
        <f>"HALL WILLIAM D REV TR 4/9/14"</f>
        <v>HALL WILLIAM D REV TR 4/9/14</v>
      </c>
      <c r="E7659" t="str">
        <f>"HALL PATRICIA L REV TR 4/9/14"</f>
        <v>HALL PATRICIA L REV TR 4/9/14</v>
      </c>
      <c r="F7659" t="s">
        <v>23153</v>
      </c>
      <c r="I7659" t="s">
        <v>184</v>
      </c>
      <c r="J7659" t="s">
        <v>30</v>
      </c>
      <c r="K7659" t="str">
        <f>"27006"</f>
        <v>27006</v>
      </c>
      <c r="M7659" t="s">
        <v>17861</v>
      </c>
      <c r="N7659" t="str">
        <f>"5/1/2014 4:24:00 PM"</f>
        <v>5/1/2014 4:24:00 PM</v>
      </c>
      <c r="O7659" t="str">
        <f>"HALL WILLIAM D REV TR 4/9/14"</f>
        <v>HALL WILLIAM D REV TR 4/9/14</v>
      </c>
      <c r="T7659" t="str">
        <f>"HALL PATRICIA L REV TR 4/9/14"</f>
        <v>HALL PATRICIA L REV TR 4/9/14</v>
      </c>
    </row>
    <row r="7660" spans="1:20" x14ac:dyDescent="0.25">
      <c r="A7660" t="str">
        <f>"3062479"</f>
        <v>3062479</v>
      </c>
      <c r="B7660" t="s">
        <v>23154</v>
      </c>
      <c r="C7660" t="str">
        <f>"8303538"</f>
        <v>8303538</v>
      </c>
      <c r="D7660" t="s">
        <v>23155</v>
      </c>
      <c r="E7660" t="s">
        <v>23156</v>
      </c>
      <c r="F7660" t="s">
        <v>23157</v>
      </c>
      <c r="I7660" t="s">
        <v>184</v>
      </c>
      <c r="J7660" t="s">
        <v>30</v>
      </c>
      <c r="K7660" t="str">
        <f>"27006"</f>
        <v>27006</v>
      </c>
      <c r="M7660" t="s">
        <v>17861</v>
      </c>
      <c r="N7660" t="str">
        <f>"6/3/2014 3:42:00 PM"</f>
        <v>6/3/2014 3:42:00 PM</v>
      </c>
      <c r="O7660" t="s">
        <v>23155</v>
      </c>
      <c r="T7660" t="s">
        <v>23156</v>
      </c>
    </row>
    <row r="7661" spans="1:20" x14ac:dyDescent="0.25">
      <c r="A7661" t="str">
        <f>"3050813"</f>
        <v>3050813</v>
      </c>
      <c r="B7661" t="s">
        <v>23158</v>
      </c>
      <c r="C7661" t="str">
        <f>"8303411"</f>
        <v>8303411</v>
      </c>
      <c r="D7661" t="s">
        <v>23159</v>
      </c>
      <c r="F7661" t="s">
        <v>23160</v>
      </c>
      <c r="I7661" t="s">
        <v>184</v>
      </c>
      <c r="J7661" t="s">
        <v>30</v>
      </c>
      <c r="K7661" t="str">
        <f>"27006"</f>
        <v>27006</v>
      </c>
      <c r="M7661" t="s">
        <v>17861</v>
      </c>
      <c r="N7661" t="str">
        <f>"5/2/2014 1:18:00 PM"</f>
        <v>5/2/2014 1:18:00 PM</v>
      </c>
      <c r="O7661" t="s">
        <v>23159</v>
      </c>
    </row>
    <row r="7662" spans="1:20" x14ac:dyDescent="0.25">
      <c r="A7662" t="str">
        <f>"3043216"</f>
        <v>3043216</v>
      </c>
      <c r="B7662" t="s">
        <v>23161</v>
      </c>
      <c r="C7662" t="str">
        <f>"82516068"</f>
        <v>82516068</v>
      </c>
      <c r="D7662" t="s">
        <v>23162</v>
      </c>
      <c r="E7662" t="s">
        <v>18271</v>
      </c>
      <c r="F7662" t="s">
        <v>18272</v>
      </c>
      <c r="I7662" t="s">
        <v>29</v>
      </c>
      <c r="J7662" t="s">
        <v>30</v>
      </c>
      <c r="K7662" t="s">
        <v>7146</v>
      </c>
      <c r="M7662" t="s">
        <v>18479</v>
      </c>
      <c r="N7662" t="str">
        <f>"5/2/2014 2:28:00 PM"</f>
        <v>5/2/2014 2:28:00 PM</v>
      </c>
      <c r="O7662" t="s">
        <v>23162</v>
      </c>
      <c r="T7662" t="s">
        <v>18271</v>
      </c>
    </row>
    <row r="7663" spans="1:20" x14ac:dyDescent="0.25">
      <c r="A7663" t="str">
        <f>"3060192"</f>
        <v>3060192</v>
      </c>
      <c r="B7663" t="s">
        <v>23163</v>
      </c>
      <c r="C7663" t="str">
        <f>"8303417"</f>
        <v>8303417</v>
      </c>
      <c r="D7663" t="s">
        <v>23164</v>
      </c>
      <c r="E7663" t="s">
        <v>23165</v>
      </c>
      <c r="F7663" t="s">
        <v>23166</v>
      </c>
      <c r="I7663" t="s">
        <v>29</v>
      </c>
      <c r="J7663" t="s">
        <v>30</v>
      </c>
      <c r="K7663" t="str">
        <f>"27028"</f>
        <v>27028</v>
      </c>
      <c r="M7663" t="s">
        <v>17861</v>
      </c>
      <c r="N7663" t="str">
        <f>"5/2/2014 2:33:00 PM"</f>
        <v>5/2/2014 2:33:00 PM</v>
      </c>
      <c r="O7663" t="s">
        <v>23164</v>
      </c>
      <c r="T7663" t="s">
        <v>23165</v>
      </c>
    </row>
    <row r="7664" spans="1:20" x14ac:dyDescent="0.25">
      <c r="A7664" t="str">
        <f>"3071078"</f>
        <v>3071078</v>
      </c>
      <c r="B7664" t="s">
        <v>23167</v>
      </c>
      <c r="C7664" t="str">
        <f>"8303562"</f>
        <v>8303562</v>
      </c>
      <c r="D7664" t="s">
        <v>23168</v>
      </c>
      <c r="F7664" t="s">
        <v>23169</v>
      </c>
      <c r="I7664" t="s">
        <v>29</v>
      </c>
      <c r="J7664" t="s">
        <v>30</v>
      </c>
      <c r="K7664" t="str">
        <f>"27028"</f>
        <v>27028</v>
      </c>
      <c r="M7664" t="s">
        <v>17861</v>
      </c>
      <c r="N7664" t="str">
        <f>"6/11/2014 1:29:00 PM"</f>
        <v>6/11/2014 1:29:00 PM</v>
      </c>
      <c r="O7664" t="s">
        <v>23168</v>
      </c>
    </row>
    <row r="7665" spans="1:20" x14ac:dyDescent="0.25">
      <c r="A7665" t="str">
        <f>"3038991"</f>
        <v>3038991</v>
      </c>
      <c r="B7665" t="s">
        <v>23170</v>
      </c>
      <c r="C7665" t="str">
        <f>"8303419"</f>
        <v>8303419</v>
      </c>
      <c r="D7665" t="s">
        <v>23171</v>
      </c>
      <c r="E7665" t="s">
        <v>23172</v>
      </c>
      <c r="F7665" t="s">
        <v>23173</v>
      </c>
      <c r="I7665" t="s">
        <v>29</v>
      </c>
      <c r="J7665" t="s">
        <v>30</v>
      </c>
      <c r="K7665" t="str">
        <f>"27028"</f>
        <v>27028</v>
      </c>
      <c r="M7665" t="s">
        <v>17861</v>
      </c>
      <c r="N7665" t="str">
        <f>"5/2/2014 2:38:00 PM"</f>
        <v>5/2/2014 2:38:00 PM</v>
      </c>
      <c r="O7665" t="s">
        <v>23171</v>
      </c>
      <c r="T7665" t="s">
        <v>23172</v>
      </c>
    </row>
    <row r="7666" spans="1:20" x14ac:dyDescent="0.25">
      <c r="A7666" t="str">
        <f>"3051075"</f>
        <v>3051075</v>
      </c>
      <c r="B7666" t="s">
        <v>23174</v>
      </c>
      <c r="C7666" t="str">
        <f>"34582000"</f>
        <v>34582000</v>
      </c>
      <c r="D7666" t="s">
        <v>23080</v>
      </c>
      <c r="F7666" t="s">
        <v>23081</v>
      </c>
      <c r="I7666" t="s">
        <v>29</v>
      </c>
      <c r="J7666" t="s">
        <v>30</v>
      </c>
      <c r="K7666" t="s">
        <v>20637</v>
      </c>
      <c r="M7666" t="s">
        <v>23082</v>
      </c>
      <c r="N7666" t="str">
        <f>"5/5/2014 9:53:00 AM"</f>
        <v>5/5/2014 9:53:00 AM</v>
      </c>
      <c r="O7666" t="s">
        <v>23080</v>
      </c>
    </row>
    <row r="7667" spans="1:20" x14ac:dyDescent="0.25">
      <c r="A7667" t="str">
        <f>"3037480"</f>
        <v>3037480</v>
      </c>
      <c r="B7667" t="s">
        <v>23175</v>
      </c>
      <c r="C7667" t="str">
        <f>"8303430"</f>
        <v>8303430</v>
      </c>
      <c r="D7667" t="s">
        <v>23176</v>
      </c>
      <c r="E7667" t="s">
        <v>23177</v>
      </c>
      <c r="F7667" t="s">
        <v>23178</v>
      </c>
      <c r="I7667" t="s">
        <v>4546</v>
      </c>
      <c r="J7667" t="s">
        <v>30</v>
      </c>
      <c r="K7667" t="str">
        <f>"27020"</f>
        <v>27020</v>
      </c>
      <c r="M7667" t="s">
        <v>17861</v>
      </c>
      <c r="N7667" t="str">
        <f>"5/7/2014 3:30:00 PM"</f>
        <v>5/7/2014 3:30:00 PM</v>
      </c>
      <c r="O7667" t="s">
        <v>23176</v>
      </c>
      <c r="T7667" t="s">
        <v>23177</v>
      </c>
    </row>
    <row r="7668" spans="1:20" x14ac:dyDescent="0.25">
      <c r="A7668" t="str">
        <f>"3045007"</f>
        <v>3045007</v>
      </c>
      <c r="B7668" t="s">
        <v>23179</v>
      </c>
      <c r="C7668" t="str">
        <f>"8303439"</f>
        <v>8303439</v>
      </c>
      <c r="D7668" t="s">
        <v>6538</v>
      </c>
      <c r="E7668" t="s">
        <v>23180</v>
      </c>
      <c r="F7668" t="s">
        <v>6539</v>
      </c>
      <c r="I7668" t="s">
        <v>1149</v>
      </c>
      <c r="J7668" t="s">
        <v>30</v>
      </c>
      <c r="K7668" t="str">
        <f>"28634"</f>
        <v>28634</v>
      </c>
      <c r="M7668" t="s">
        <v>17861</v>
      </c>
      <c r="N7668" t="str">
        <f>"5/8/2014 2:19:00 PM"</f>
        <v>5/8/2014 2:19:00 PM</v>
      </c>
      <c r="O7668" t="s">
        <v>6538</v>
      </c>
      <c r="T7668" t="s">
        <v>23180</v>
      </c>
    </row>
    <row r="7669" spans="1:20" x14ac:dyDescent="0.25">
      <c r="A7669" t="str">
        <f>"3061473"</f>
        <v>3061473</v>
      </c>
      <c r="B7669" t="s">
        <v>23181</v>
      </c>
      <c r="C7669" t="str">
        <f>"33616000"</f>
        <v>33616000</v>
      </c>
      <c r="D7669" t="s">
        <v>23182</v>
      </c>
      <c r="E7669" t="s">
        <v>23183</v>
      </c>
      <c r="F7669" t="s">
        <v>23184</v>
      </c>
      <c r="I7669" t="s">
        <v>184</v>
      </c>
      <c r="J7669" t="s">
        <v>30</v>
      </c>
      <c r="K7669" t="s">
        <v>1994</v>
      </c>
      <c r="M7669" t="s">
        <v>23082</v>
      </c>
      <c r="N7669" t="str">
        <f>"5/9/2014 10:16:00 AM"</f>
        <v>5/9/2014 10:16:00 AM</v>
      </c>
      <c r="O7669" t="s">
        <v>23182</v>
      </c>
      <c r="T7669" t="s">
        <v>23183</v>
      </c>
    </row>
    <row r="7670" spans="1:20" x14ac:dyDescent="0.25">
      <c r="A7670" t="str">
        <f>"3041564"</f>
        <v>3041564</v>
      </c>
      <c r="B7670" t="s">
        <v>23185</v>
      </c>
      <c r="C7670" t="str">
        <f>"8303585"</f>
        <v>8303585</v>
      </c>
      <c r="D7670" t="s">
        <v>23186</v>
      </c>
      <c r="E7670" t="s">
        <v>23187</v>
      </c>
      <c r="F7670" t="s">
        <v>23188</v>
      </c>
      <c r="I7670" t="s">
        <v>2071</v>
      </c>
      <c r="J7670" t="s">
        <v>30</v>
      </c>
      <c r="K7670" t="str">
        <f>"27006"</f>
        <v>27006</v>
      </c>
      <c r="M7670" t="s">
        <v>17861</v>
      </c>
      <c r="N7670" t="str">
        <f>"6/16/2014 4:13:00 PM"</f>
        <v>6/16/2014 4:13:00 PM</v>
      </c>
      <c r="O7670" t="s">
        <v>23186</v>
      </c>
      <c r="T7670" t="s">
        <v>23187</v>
      </c>
    </row>
    <row r="7671" spans="1:20" x14ac:dyDescent="0.25">
      <c r="A7671" t="str">
        <f>"3067435"</f>
        <v>3067435</v>
      </c>
      <c r="B7671" t="s">
        <v>23189</v>
      </c>
      <c r="C7671" t="str">
        <f>"33616000"</f>
        <v>33616000</v>
      </c>
      <c r="D7671" t="s">
        <v>23182</v>
      </c>
      <c r="E7671" t="s">
        <v>23183</v>
      </c>
      <c r="F7671" t="s">
        <v>23184</v>
      </c>
      <c r="I7671" t="s">
        <v>184</v>
      </c>
      <c r="J7671" t="s">
        <v>30</v>
      </c>
      <c r="K7671" t="s">
        <v>1994</v>
      </c>
      <c r="M7671" t="s">
        <v>23082</v>
      </c>
      <c r="N7671" t="str">
        <f>"5/9/2014 10:16:00 AM"</f>
        <v>5/9/2014 10:16:00 AM</v>
      </c>
      <c r="O7671" t="s">
        <v>23182</v>
      </c>
      <c r="T7671" t="s">
        <v>23183</v>
      </c>
    </row>
    <row r="7672" spans="1:20" x14ac:dyDescent="0.25">
      <c r="A7672" t="str">
        <f>"3041882"</f>
        <v>3041882</v>
      </c>
      <c r="B7672" t="s">
        <v>23190</v>
      </c>
      <c r="C7672" t="str">
        <f>"8303448"</f>
        <v>8303448</v>
      </c>
      <c r="D7672" t="s">
        <v>23191</v>
      </c>
      <c r="F7672" t="s">
        <v>9875</v>
      </c>
      <c r="I7672" t="s">
        <v>9876</v>
      </c>
      <c r="J7672" t="s">
        <v>9877</v>
      </c>
      <c r="K7672" t="str">
        <f>"07361"</f>
        <v>07361</v>
      </c>
      <c r="M7672" t="s">
        <v>17861</v>
      </c>
      <c r="N7672" t="str">
        <f>"5/14/2014 1:18:00 PM"</f>
        <v>5/14/2014 1:18:00 PM</v>
      </c>
      <c r="O7672" t="s">
        <v>23191</v>
      </c>
    </row>
    <row r="7673" spans="1:20" x14ac:dyDescent="0.25">
      <c r="A7673" t="str">
        <f>"3049478"</f>
        <v>3049478</v>
      </c>
      <c r="B7673" t="s">
        <v>23192</v>
      </c>
      <c r="C7673" t="str">
        <f>"8303596"</f>
        <v>8303596</v>
      </c>
      <c r="D7673" t="s">
        <v>23193</v>
      </c>
      <c r="E7673" t="s">
        <v>23194</v>
      </c>
      <c r="F7673" t="s">
        <v>23195</v>
      </c>
      <c r="I7673" t="s">
        <v>184</v>
      </c>
      <c r="J7673" t="s">
        <v>30</v>
      </c>
      <c r="K7673" t="str">
        <f t="shared" ref="K7673:K7680" si="113">"27006"</f>
        <v>27006</v>
      </c>
      <c r="M7673" t="s">
        <v>17861</v>
      </c>
      <c r="N7673" t="str">
        <f>"6/18/2014 2:58:00 PM"</f>
        <v>6/18/2014 2:58:00 PM</v>
      </c>
      <c r="O7673" t="s">
        <v>23193</v>
      </c>
      <c r="T7673" t="s">
        <v>23194</v>
      </c>
    </row>
    <row r="7674" spans="1:20" x14ac:dyDescent="0.25">
      <c r="A7674" t="str">
        <f>"3040381"</f>
        <v>3040381</v>
      </c>
      <c r="B7674" t="s">
        <v>23196</v>
      </c>
      <c r="C7674" t="str">
        <f>"8303452"</f>
        <v>8303452</v>
      </c>
      <c r="D7674" t="str">
        <f>"WHALEY JOHNNY B &amp; VICKI K 2/3"</f>
        <v>WHALEY JOHNNY B &amp; VICKI K 2/3</v>
      </c>
      <c r="E7674" t="str">
        <f>"WHALEY JOHNNY FLETCHER 1/3"</f>
        <v>WHALEY JOHNNY FLETCHER 1/3</v>
      </c>
      <c r="F7674" t="s">
        <v>23105</v>
      </c>
      <c r="I7674" t="s">
        <v>184</v>
      </c>
      <c r="J7674" t="s">
        <v>30</v>
      </c>
      <c r="K7674" t="str">
        <f t="shared" si="113"/>
        <v>27006</v>
      </c>
      <c r="M7674" t="s">
        <v>17861</v>
      </c>
      <c r="N7674" t="str">
        <f>"5/14/2014 2:57:00 PM"</f>
        <v>5/14/2014 2:57:00 PM</v>
      </c>
      <c r="O7674" t="str">
        <f>"WHALEY JOHNNY B &amp; VICKI K 2/3"</f>
        <v>WHALEY JOHNNY B &amp; VICKI K 2/3</v>
      </c>
      <c r="T7674" t="str">
        <f>"WHALEY JOHNNY FLETCHER 1/3"</f>
        <v>WHALEY JOHNNY FLETCHER 1/3</v>
      </c>
    </row>
    <row r="7675" spans="1:20" x14ac:dyDescent="0.25">
      <c r="A7675" t="str">
        <f>"3057895"</f>
        <v>3057895</v>
      </c>
      <c r="B7675" t="s">
        <v>23197</v>
      </c>
      <c r="C7675" t="str">
        <f>"8303466"</f>
        <v>8303466</v>
      </c>
      <c r="D7675" t="s">
        <v>23198</v>
      </c>
      <c r="F7675" t="s">
        <v>23199</v>
      </c>
      <c r="I7675" t="s">
        <v>184</v>
      </c>
      <c r="J7675" t="s">
        <v>30</v>
      </c>
      <c r="K7675" t="str">
        <f t="shared" si="113"/>
        <v>27006</v>
      </c>
      <c r="M7675" t="s">
        <v>17861</v>
      </c>
      <c r="N7675" t="str">
        <f>"5/15/2014 10:50:00 AM"</f>
        <v>5/15/2014 10:50:00 AM</v>
      </c>
      <c r="O7675" t="s">
        <v>23198</v>
      </c>
    </row>
    <row r="7676" spans="1:20" x14ac:dyDescent="0.25">
      <c r="A7676" t="str">
        <f>"3060120"</f>
        <v>3060120</v>
      </c>
      <c r="B7676" t="s">
        <v>23200</v>
      </c>
      <c r="C7676" t="str">
        <f>"8303474"</f>
        <v>8303474</v>
      </c>
      <c r="D7676" t="s">
        <v>23201</v>
      </c>
      <c r="E7676" t="s">
        <v>23202</v>
      </c>
      <c r="F7676" t="s">
        <v>23203</v>
      </c>
      <c r="I7676" t="s">
        <v>184</v>
      </c>
      <c r="J7676" t="s">
        <v>30</v>
      </c>
      <c r="K7676" t="str">
        <f t="shared" si="113"/>
        <v>27006</v>
      </c>
      <c r="M7676" t="s">
        <v>17861</v>
      </c>
      <c r="N7676" t="str">
        <f>"5/20/2014 12:36:00 PM"</f>
        <v>5/20/2014 12:36:00 PM</v>
      </c>
      <c r="O7676" t="s">
        <v>23201</v>
      </c>
      <c r="T7676" t="s">
        <v>23202</v>
      </c>
    </row>
    <row r="7677" spans="1:20" x14ac:dyDescent="0.25">
      <c r="A7677" t="str">
        <f>"3060778"</f>
        <v>3060778</v>
      </c>
      <c r="B7677" t="s">
        <v>23204</v>
      </c>
      <c r="C7677" t="str">
        <f>"8303618"</f>
        <v>8303618</v>
      </c>
      <c r="D7677" t="s">
        <v>23205</v>
      </c>
      <c r="E7677" t="s">
        <v>23206</v>
      </c>
      <c r="F7677" t="s">
        <v>23207</v>
      </c>
      <c r="I7677" t="s">
        <v>184</v>
      </c>
      <c r="J7677" t="s">
        <v>30</v>
      </c>
      <c r="K7677" t="str">
        <f t="shared" si="113"/>
        <v>27006</v>
      </c>
      <c r="M7677" t="s">
        <v>17861</v>
      </c>
      <c r="N7677" t="str">
        <f>"6/25/2014 3:05:00 PM"</f>
        <v>6/25/2014 3:05:00 PM</v>
      </c>
      <c r="O7677" t="s">
        <v>23205</v>
      </c>
      <c r="T7677" t="s">
        <v>23206</v>
      </c>
    </row>
    <row r="7678" spans="1:20" x14ac:dyDescent="0.25">
      <c r="A7678" t="str">
        <f>"3044409"</f>
        <v>3044409</v>
      </c>
      <c r="B7678" t="s">
        <v>23208</v>
      </c>
      <c r="C7678" t="str">
        <f>"8303623"</f>
        <v>8303623</v>
      </c>
      <c r="D7678" t="s">
        <v>23209</v>
      </c>
      <c r="E7678" t="s">
        <v>23210</v>
      </c>
      <c r="F7678" t="s">
        <v>23211</v>
      </c>
      <c r="I7678" t="s">
        <v>184</v>
      </c>
      <c r="J7678" t="s">
        <v>30</v>
      </c>
      <c r="K7678" t="str">
        <f t="shared" si="113"/>
        <v>27006</v>
      </c>
      <c r="M7678" t="s">
        <v>17861</v>
      </c>
      <c r="N7678" t="str">
        <f>"6/25/2014 3:24:00 PM"</f>
        <v>6/25/2014 3:24:00 PM</v>
      </c>
      <c r="O7678" t="s">
        <v>23209</v>
      </c>
      <c r="T7678" t="s">
        <v>23210</v>
      </c>
    </row>
    <row r="7679" spans="1:20" x14ac:dyDescent="0.25">
      <c r="A7679" t="str">
        <f>"3044194"</f>
        <v>3044194</v>
      </c>
      <c r="B7679" t="s">
        <v>23212</v>
      </c>
      <c r="C7679" t="str">
        <f>"8303625"</f>
        <v>8303625</v>
      </c>
      <c r="D7679" t="s">
        <v>23213</v>
      </c>
      <c r="F7679" t="s">
        <v>23214</v>
      </c>
      <c r="I7679" t="s">
        <v>184</v>
      </c>
      <c r="J7679" t="s">
        <v>30</v>
      </c>
      <c r="K7679" t="str">
        <f t="shared" si="113"/>
        <v>27006</v>
      </c>
      <c r="M7679" t="s">
        <v>17861</v>
      </c>
      <c r="N7679" t="str">
        <f>"6/25/2014 3:30:00 PM"</f>
        <v>6/25/2014 3:30:00 PM</v>
      </c>
      <c r="O7679" t="s">
        <v>23213</v>
      </c>
    </row>
    <row r="7680" spans="1:20" x14ac:dyDescent="0.25">
      <c r="A7680" t="str">
        <f>"3060129"</f>
        <v>3060129</v>
      </c>
      <c r="B7680" t="s">
        <v>23215</v>
      </c>
      <c r="C7680" t="str">
        <f>"8303626"</f>
        <v>8303626</v>
      </c>
      <c r="D7680" t="s">
        <v>23216</v>
      </c>
      <c r="E7680" t="s">
        <v>23217</v>
      </c>
      <c r="F7680" t="s">
        <v>23218</v>
      </c>
      <c r="I7680" t="s">
        <v>184</v>
      </c>
      <c r="J7680" t="s">
        <v>30</v>
      </c>
      <c r="K7680" t="str">
        <f t="shared" si="113"/>
        <v>27006</v>
      </c>
      <c r="M7680" t="s">
        <v>17861</v>
      </c>
      <c r="N7680" t="str">
        <f>"6/25/2014 3:32:00 PM"</f>
        <v>6/25/2014 3:32:00 PM</v>
      </c>
      <c r="O7680" t="s">
        <v>23216</v>
      </c>
      <c r="T7680" t="s">
        <v>23217</v>
      </c>
    </row>
    <row r="7681" spans="1:20" x14ac:dyDescent="0.25">
      <c r="A7681" t="str">
        <f>"3052050"</f>
        <v>3052050</v>
      </c>
      <c r="B7681" t="s">
        <v>23219</v>
      </c>
      <c r="C7681" t="str">
        <f>"8303481"</f>
        <v>8303481</v>
      </c>
      <c r="D7681" t="s">
        <v>23220</v>
      </c>
      <c r="E7681" t="s">
        <v>23221</v>
      </c>
      <c r="F7681" t="s">
        <v>23222</v>
      </c>
      <c r="I7681" t="s">
        <v>29</v>
      </c>
      <c r="J7681" t="s">
        <v>30</v>
      </c>
      <c r="K7681" t="str">
        <f>"27028"</f>
        <v>27028</v>
      </c>
      <c r="M7681" t="s">
        <v>17861</v>
      </c>
      <c r="N7681" t="str">
        <f>"5/20/2014 2:12:00 PM"</f>
        <v>5/20/2014 2:12:00 PM</v>
      </c>
      <c r="O7681" t="s">
        <v>23220</v>
      </c>
      <c r="T7681" t="s">
        <v>23221</v>
      </c>
    </row>
    <row r="7682" spans="1:20" x14ac:dyDescent="0.25">
      <c r="A7682" t="str">
        <f>"3046647"</f>
        <v>3046647</v>
      </c>
      <c r="B7682" t="s">
        <v>23223</v>
      </c>
      <c r="C7682" t="str">
        <f>"8303493"</f>
        <v>8303493</v>
      </c>
      <c r="D7682" t="s">
        <v>23224</v>
      </c>
      <c r="F7682" t="s">
        <v>23225</v>
      </c>
      <c r="I7682" t="s">
        <v>3196</v>
      </c>
      <c r="J7682" t="s">
        <v>30</v>
      </c>
      <c r="K7682" t="s">
        <v>23226</v>
      </c>
      <c r="M7682" t="s">
        <v>17861</v>
      </c>
      <c r="N7682" t="str">
        <f>"5/21/2014 11:05:00 AM"</f>
        <v>5/21/2014 11:05:00 AM</v>
      </c>
      <c r="O7682" t="s">
        <v>23224</v>
      </c>
    </row>
    <row r="7683" spans="1:20" x14ac:dyDescent="0.25">
      <c r="A7683" t="str">
        <f>"3046978"</f>
        <v>3046978</v>
      </c>
      <c r="B7683" t="s">
        <v>23227</v>
      </c>
      <c r="C7683" t="str">
        <f>"67900000"</f>
        <v>67900000</v>
      </c>
      <c r="D7683" t="s">
        <v>23228</v>
      </c>
      <c r="F7683" t="s">
        <v>23229</v>
      </c>
      <c r="I7683" t="s">
        <v>29</v>
      </c>
      <c r="J7683" t="s">
        <v>30</v>
      </c>
      <c r="K7683" t="s">
        <v>23230</v>
      </c>
      <c r="M7683" t="s">
        <v>18479</v>
      </c>
      <c r="N7683" t="str">
        <f>"5/21/2014 2:46:00 PM"</f>
        <v>5/21/2014 2:46:00 PM</v>
      </c>
      <c r="O7683" t="s">
        <v>23228</v>
      </c>
    </row>
    <row r="7684" spans="1:20" x14ac:dyDescent="0.25">
      <c r="A7684" t="str">
        <f>"3056000"</f>
        <v>3056000</v>
      </c>
      <c r="B7684" t="s">
        <v>23231</v>
      </c>
      <c r="C7684" t="str">
        <f>"8303641"</f>
        <v>8303641</v>
      </c>
      <c r="D7684" t="s">
        <v>23232</v>
      </c>
      <c r="F7684" t="s">
        <v>23233</v>
      </c>
      <c r="I7684" t="s">
        <v>29</v>
      </c>
      <c r="J7684" t="s">
        <v>30</v>
      </c>
      <c r="K7684" t="str">
        <f>"27028"</f>
        <v>27028</v>
      </c>
      <c r="M7684" t="s">
        <v>17861</v>
      </c>
      <c r="N7684" t="str">
        <f>"7/8/2014 4:32:00 PM"</f>
        <v>7/8/2014 4:32:00 PM</v>
      </c>
      <c r="O7684" t="s">
        <v>23232</v>
      </c>
    </row>
    <row r="7685" spans="1:20" x14ac:dyDescent="0.25">
      <c r="A7685" t="str">
        <f>"3043522"</f>
        <v>3043522</v>
      </c>
      <c r="B7685" t="s">
        <v>23234</v>
      </c>
      <c r="C7685" t="str">
        <f>"8303643"</f>
        <v>8303643</v>
      </c>
      <c r="D7685" t="s">
        <v>23235</v>
      </c>
      <c r="F7685" t="s">
        <v>23236</v>
      </c>
      <c r="I7685" t="s">
        <v>29</v>
      </c>
      <c r="J7685" t="s">
        <v>30</v>
      </c>
      <c r="K7685" t="str">
        <f>"27028"</f>
        <v>27028</v>
      </c>
      <c r="M7685" t="s">
        <v>17861</v>
      </c>
      <c r="N7685" t="str">
        <f>"7/8/2014 4:47:00 PM"</f>
        <v>7/8/2014 4:47:00 PM</v>
      </c>
      <c r="O7685" t="s">
        <v>23235</v>
      </c>
    </row>
    <row r="7686" spans="1:20" x14ac:dyDescent="0.25">
      <c r="A7686" t="str">
        <f>"3040227"</f>
        <v>3040227</v>
      </c>
      <c r="B7686" t="s">
        <v>23237</v>
      </c>
      <c r="C7686" t="str">
        <f>"8303651"</f>
        <v>8303651</v>
      </c>
      <c r="D7686" t="s">
        <v>23238</v>
      </c>
      <c r="E7686" t="s">
        <v>23239</v>
      </c>
      <c r="F7686" t="s">
        <v>23240</v>
      </c>
      <c r="I7686" t="s">
        <v>29</v>
      </c>
      <c r="J7686" t="s">
        <v>30</v>
      </c>
      <c r="K7686" t="str">
        <f>"27028"</f>
        <v>27028</v>
      </c>
      <c r="M7686" t="s">
        <v>17861</v>
      </c>
      <c r="N7686" t="str">
        <f>"7/9/2014 9:57:00 AM"</f>
        <v>7/9/2014 9:57:00 AM</v>
      </c>
      <c r="O7686" t="s">
        <v>23238</v>
      </c>
      <c r="T7686" t="s">
        <v>23239</v>
      </c>
    </row>
    <row r="7687" spans="1:20" x14ac:dyDescent="0.25">
      <c r="A7687" t="str">
        <f>"3056732"</f>
        <v>3056732</v>
      </c>
      <c r="B7687" t="s">
        <v>23241</v>
      </c>
      <c r="C7687" t="str">
        <f>"8303652"</f>
        <v>8303652</v>
      </c>
      <c r="D7687" t="s">
        <v>23242</v>
      </c>
      <c r="F7687" t="s">
        <v>23243</v>
      </c>
      <c r="I7687" t="s">
        <v>29</v>
      </c>
      <c r="J7687" t="s">
        <v>30</v>
      </c>
      <c r="K7687" t="str">
        <f>"27028"</f>
        <v>27028</v>
      </c>
      <c r="M7687" t="s">
        <v>17861</v>
      </c>
      <c r="N7687" t="str">
        <f>"7/9/2014 10:03:00 AM"</f>
        <v>7/9/2014 10:03:00 AM</v>
      </c>
      <c r="O7687" t="s">
        <v>23242</v>
      </c>
    </row>
    <row r="7688" spans="1:20" x14ac:dyDescent="0.25">
      <c r="A7688" t="str">
        <f>"3061379"</f>
        <v>3061379</v>
      </c>
      <c r="B7688" t="s">
        <v>23244</v>
      </c>
      <c r="C7688" t="str">
        <f>"8303653"</f>
        <v>8303653</v>
      </c>
      <c r="D7688" t="s">
        <v>23245</v>
      </c>
      <c r="E7688" t="s">
        <v>23246</v>
      </c>
      <c r="F7688" t="s">
        <v>23247</v>
      </c>
      <c r="I7688" t="s">
        <v>184</v>
      </c>
      <c r="J7688" t="s">
        <v>30</v>
      </c>
      <c r="K7688" t="str">
        <f>"27006"</f>
        <v>27006</v>
      </c>
      <c r="M7688" t="s">
        <v>17861</v>
      </c>
      <c r="N7688" t="str">
        <f>"7/9/2014 10:05:00 AM"</f>
        <v>7/9/2014 10:05:00 AM</v>
      </c>
      <c r="O7688" t="s">
        <v>23245</v>
      </c>
      <c r="T7688" t="s">
        <v>23246</v>
      </c>
    </row>
    <row r="7689" spans="1:20" x14ac:dyDescent="0.25">
      <c r="A7689" t="str">
        <f>"3058303"</f>
        <v>3058303</v>
      </c>
      <c r="B7689" t="s">
        <v>23248</v>
      </c>
      <c r="C7689" t="str">
        <f>"8303654"</f>
        <v>8303654</v>
      </c>
      <c r="D7689" t="s">
        <v>23249</v>
      </c>
      <c r="E7689" t="s">
        <v>23250</v>
      </c>
      <c r="F7689" t="s">
        <v>23251</v>
      </c>
      <c r="I7689" t="s">
        <v>29</v>
      </c>
      <c r="J7689" t="s">
        <v>30</v>
      </c>
      <c r="K7689" t="str">
        <f>"27028"</f>
        <v>27028</v>
      </c>
      <c r="M7689" t="s">
        <v>17861</v>
      </c>
      <c r="N7689" t="str">
        <f>"7/9/2014 10:07:00 AM"</f>
        <v>7/9/2014 10:07:00 AM</v>
      </c>
      <c r="O7689" t="s">
        <v>23249</v>
      </c>
      <c r="T7689" t="s">
        <v>23250</v>
      </c>
    </row>
    <row r="7690" spans="1:20" x14ac:dyDescent="0.25">
      <c r="A7690" t="str">
        <f>"3066800"</f>
        <v>3066800</v>
      </c>
      <c r="B7690" t="s">
        <v>23252</v>
      </c>
      <c r="C7690" t="str">
        <f>"8303498"</f>
        <v>8303498</v>
      </c>
      <c r="D7690" t="s">
        <v>23253</v>
      </c>
      <c r="F7690" t="s">
        <v>23254</v>
      </c>
      <c r="I7690" t="s">
        <v>49</v>
      </c>
      <c r="J7690" t="s">
        <v>30</v>
      </c>
      <c r="K7690" t="str">
        <f>"27055"</f>
        <v>27055</v>
      </c>
      <c r="M7690" t="s">
        <v>17861</v>
      </c>
      <c r="N7690" t="str">
        <f>"5/21/2014 3:16:00 PM"</f>
        <v>5/21/2014 3:16:00 PM</v>
      </c>
      <c r="O7690" t="s">
        <v>23253</v>
      </c>
    </row>
    <row r="7691" spans="1:20" x14ac:dyDescent="0.25">
      <c r="A7691" t="str">
        <f>"3040045"</f>
        <v>3040045</v>
      </c>
      <c r="B7691" t="s">
        <v>23255</v>
      </c>
      <c r="C7691" t="str">
        <f>"80034500"</f>
        <v>80034500</v>
      </c>
      <c r="D7691" t="s">
        <v>23256</v>
      </c>
      <c r="F7691" t="s">
        <v>23257</v>
      </c>
      <c r="I7691" t="s">
        <v>29</v>
      </c>
      <c r="J7691" t="s">
        <v>30</v>
      </c>
      <c r="K7691" t="s">
        <v>31</v>
      </c>
      <c r="M7691" t="s">
        <v>18432</v>
      </c>
      <c r="N7691" t="str">
        <f>"4/14/2014 2:59:00 PM"</f>
        <v>4/14/2014 2:59:00 PM</v>
      </c>
      <c r="O7691" t="s">
        <v>23256</v>
      </c>
    </row>
    <row r="7692" spans="1:20" x14ac:dyDescent="0.25">
      <c r="A7692" t="str">
        <f>"3045453"</f>
        <v>3045453</v>
      </c>
      <c r="B7692" t="s">
        <v>23258</v>
      </c>
      <c r="C7692" t="str">
        <f>"8303660"</f>
        <v>8303660</v>
      </c>
      <c r="D7692" t="s">
        <v>23259</v>
      </c>
      <c r="F7692" t="s">
        <v>23260</v>
      </c>
      <c r="I7692" t="s">
        <v>29</v>
      </c>
      <c r="J7692" t="s">
        <v>30</v>
      </c>
      <c r="K7692" t="str">
        <f>"27028"</f>
        <v>27028</v>
      </c>
      <c r="M7692" t="s">
        <v>17861</v>
      </c>
      <c r="N7692" t="str">
        <f>"7/9/2014 10:36:00 AM"</f>
        <v>7/9/2014 10:36:00 AM</v>
      </c>
      <c r="O7692" t="s">
        <v>23259</v>
      </c>
    </row>
    <row r="7693" spans="1:20" x14ac:dyDescent="0.25">
      <c r="A7693" t="str">
        <f>"3045174"</f>
        <v>3045174</v>
      </c>
      <c r="B7693" t="s">
        <v>23261</v>
      </c>
      <c r="C7693" t="str">
        <f>"8303660"</f>
        <v>8303660</v>
      </c>
      <c r="D7693" t="s">
        <v>23259</v>
      </c>
      <c r="F7693" t="s">
        <v>23260</v>
      </c>
      <c r="I7693" t="s">
        <v>29</v>
      </c>
      <c r="J7693" t="s">
        <v>30</v>
      </c>
      <c r="K7693" t="str">
        <f>"27028"</f>
        <v>27028</v>
      </c>
      <c r="M7693" t="s">
        <v>17861</v>
      </c>
      <c r="N7693" t="str">
        <f>"7/9/2014 10:36:00 AM"</f>
        <v>7/9/2014 10:36:00 AM</v>
      </c>
      <c r="O7693" t="s">
        <v>23259</v>
      </c>
    </row>
    <row r="7694" spans="1:20" x14ac:dyDescent="0.25">
      <c r="A7694" t="str">
        <f>"3062152"</f>
        <v>3062152</v>
      </c>
      <c r="B7694" t="s">
        <v>23262</v>
      </c>
      <c r="C7694" t="str">
        <f>"8303661"</f>
        <v>8303661</v>
      </c>
      <c r="D7694" t="s">
        <v>23263</v>
      </c>
      <c r="E7694" t="s">
        <v>23264</v>
      </c>
      <c r="F7694" t="s">
        <v>23265</v>
      </c>
      <c r="I7694" t="s">
        <v>29</v>
      </c>
      <c r="J7694" t="s">
        <v>30</v>
      </c>
      <c r="K7694" t="str">
        <f>"27028"</f>
        <v>27028</v>
      </c>
      <c r="M7694" t="s">
        <v>17861</v>
      </c>
      <c r="N7694" t="str">
        <f>"7/9/2014 10:41:00 AM"</f>
        <v>7/9/2014 10:41:00 AM</v>
      </c>
      <c r="O7694" t="s">
        <v>23263</v>
      </c>
      <c r="T7694" t="s">
        <v>23264</v>
      </c>
    </row>
    <row r="7695" spans="1:20" x14ac:dyDescent="0.25">
      <c r="A7695" t="str">
        <f>"3039215"</f>
        <v>3039215</v>
      </c>
      <c r="B7695" t="s">
        <v>23266</v>
      </c>
      <c r="C7695" t="str">
        <f>"82524641"</f>
        <v>82524641</v>
      </c>
      <c r="D7695" t="s">
        <v>23267</v>
      </c>
      <c r="E7695" t="s">
        <v>23268</v>
      </c>
      <c r="F7695" t="s">
        <v>23269</v>
      </c>
      <c r="I7695" t="s">
        <v>2280</v>
      </c>
      <c r="J7695" t="s">
        <v>14649</v>
      </c>
      <c r="K7695" t="str">
        <f>"40555"</f>
        <v>40555</v>
      </c>
      <c r="L7695" t="s">
        <v>2497</v>
      </c>
      <c r="M7695" t="s">
        <v>22859</v>
      </c>
      <c r="N7695" t="str">
        <f>"4/17/2014 10:38:00 AM"</f>
        <v>4/17/2014 10:38:00 AM</v>
      </c>
      <c r="O7695" t="s">
        <v>23267</v>
      </c>
      <c r="T7695" t="s">
        <v>23268</v>
      </c>
    </row>
    <row r="7696" spans="1:20" x14ac:dyDescent="0.25">
      <c r="A7696" t="str">
        <f>"3060335"</f>
        <v>3060335</v>
      </c>
      <c r="B7696" t="s">
        <v>23270</v>
      </c>
      <c r="C7696" t="str">
        <f>"8303678"</f>
        <v>8303678</v>
      </c>
      <c r="D7696" t="s">
        <v>23271</v>
      </c>
      <c r="E7696" t="s">
        <v>23272</v>
      </c>
      <c r="F7696" t="s">
        <v>23273</v>
      </c>
      <c r="I7696" t="s">
        <v>29</v>
      </c>
      <c r="J7696" t="s">
        <v>30</v>
      </c>
      <c r="K7696" t="str">
        <f>"27028"</f>
        <v>27028</v>
      </c>
      <c r="M7696" t="s">
        <v>17861</v>
      </c>
      <c r="N7696" t="str">
        <f>"7/10/2014 1:23:00 PM"</f>
        <v>7/10/2014 1:23:00 PM</v>
      </c>
      <c r="O7696" t="s">
        <v>23271</v>
      </c>
      <c r="T7696" t="s">
        <v>23272</v>
      </c>
    </row>
    <row r="7697" spans="1:20" x14ac:dyDescent="0.25">
      <c r="A7697" t="str">
        <f>"3051691"</f>
        <v>3051691</v>
      </c>
      <c r="B7697" t="s">
        <v>23274</v>
      </c>
      <c r="C7697" t="str">
        <f>"8303509"</f>
        <v>8303509</v>
      </c>
      <c r="D7697" t="s">
        <v>23275</v>
      </c>
      <c r="F7697" t="s">
        <v>23276</v>
      </c>
      <c r="I7697" t="s">
        <v>29</v>
      </c>
      <c r="J7697" t="s">
        <v>30</v>
      </c>
      <c r="K7697" t="str">
        <f>"27028"</f>
        <v>27028</v>
      </c>
      <c r="M7697" t="s">
        <v>17861</v>
      </c>
      <c r="N7697" t="str">
        <f>"5/27/2014 2:14:00 PM"</f>
        <v>5/27/2014 2:14:00 PM</v>
      </c>
      <c r="O7697" t="s">
        <v>23275</v>
      </c>
    </row>
    <row r="7698" spans="1:20" x14ac:dyDescent="0.25">
      <c r="A7698" t="str">
        <f>"3060029"</f>
        <v>3060029</v>
      </c>
      <c r="B7698" t="s">
        <v>23277</v>
      </c>
      <c r="C7698" t="str">
        <f>"8301396"</f>
        <v>8301396</v>
      </c>
      <c r="D7698" t="s">
        <v>23278</v>
      </c>
      <c r="F7698" t="s">
        <v>23279</v>
      </c>
      <c r="I7698" t="s">
        <v>184</v>
      </c>
      <c r="J7698" t="s">
        <v>30</v>
      </c>
      <c r="K7698" t="str">
        <f>"27006"</f>
        <v>27006</v>
      </c>
      <c r="M7698" t="s">
        <v>18479</v>
      </c>
      <c r="N7698" t="str">
        <f>"5/27/2014 2:31:00 PM"</f>
        <v>5/27/2014 2:31:00 PM</v>
      </c>
      <c r="O7698" t="s">
        <v>23278</v>
      </c>
    </row>
    <row r="7699" spans="1:20" x14ac:dyDescent="0.25">
      <c r="A7699" t="str">
        <f>"3037375"</f>
        <v>3037375</v>
      </c>
      <c r="B7699" t="s">
        <v>23280</v>
      </c>
      <c r="C7699" t="str">
        <f>"8303527"</f>
        <v>8303527</v>
      </c>
      <c r="D7699" t="s">
        <v>23281</v>
      </c>
      <c r="E7699" t="s">
        <v>23282</v>
      </c>
      <c r="F7699" t="s">
        <v>23283</v>
      </c>
      <c r="I7699" t="s">
        <v>471</v>
      </c>
      <c r="J7699" t="s">
        <v>30</v>
      </c>
      <c r="K7699" t="str">
        <f>"27106"</f>
        <v>27106</v>
      </c>
      <c r="M7699" t="s">
        <v>17861</v>
      </c>
      <c r="N7699" t="str">
        <f>"6/3/2014 11:21:00 AM"</f>
        <v>6/3/2014 11:21:00 AM</v>
      </c>
      <c r="O7699" t="s">
        <v>23281</v>
      </c>
      <c r="T7699" t="s">
        <v>23282</v>
      </c>
    </row>
    <row r="7700" spans="1:20" x14ac:dyDescent="0.25">
      <c r="A7700" t="str">
        <f>"3060506"</f>
        <v>3060506</v>
      </c>
      <c r="B7700" t="s">
        <v>23284</v>
      </c>
      <c r="C7700" t="str">
        <f>"8303702"</f>
        <v>8303702</v>
      </c>
      <c r="D7700" t="s">
        <v>23285</v>
      </c>
      <c r="E7700" t="s">
        <v>23286</v>
      </c>
      <c r="F7700" t="s">
        <v>23287</v>
      </c>
      <c r="I7700" t="s">
        <v>184</v>
      </c>
      <c r="J7700" t="s">
        <v>30</v>
      </c>
      <c r="K7700" t="str">
        <f>"27006"</f>
        <v>27006</v>
      </c>
      <c r="M7700" t="s">
        <v>17861</v>
      </c>
      <c r="N7700" t="str">
        <f>"7/15/2014 2:33:00 PM"</f>
        <v>7/15/2014 2:33:00 PM</v>
      </c>
      <c r="O7700" t="s">
        <v>23285</v>
      </c>
      <c r="T7700" t="s">
        <v>23286</v>
      </c>
    </row>
    <row r="7701" spans="1:20" x14ac:dyDescent="0.25">
      <c r="A7701" t="str">
        <f>"3051088"</f>
        <v>3051088</v>
      </c>
      <c r="B7701" t="s">
        <v>23288</v>
      </c>
      <c r="C7701" t="str">
        <f>"8300262"</f>
        <v>8300262</v>
      </c>
      <c r="D7701" t="s">
        <v>23289</v>
      </c>
      <c r="E7701" t="s">
        <v>23290</v>
      </c>
      <c r="F7701" t="s">
        <v>23291</v>
      </c>
      <c r="I7701" t="s">
        <v>29</v>
      </c>
      <c r="J7701" t="s">
        <v>30</v>
      </c>
      <c r="K7701" t="s">
        <v>23292</v>
      </c>
      <c r="M7701" t="s">
        <v>18479</v>
      </c>
      <c r="N7701" t="str">
        <f>"7/15/2014 4:01:00 PM"</f>
        <v>7/15/2014 4:01:00 PM</v>
      </c>
      <c r="O7701" t="s">
        <v>23289</v>
      </c>
      <c r="T7701" t="s">
        <v>23290</v>
      </c>
    </row>
    <row r="7702" spans="1:20" x14ac:dyDescent="0.25">
      <c r="A7702" t="str">
        <f>"3051568"</f>
        <v>3051568</v>
      </c>
      <c r="B7702" t="s">
        <v>23293</v>
      </c>
      <c r="C7702" t="str">
        <f>"8300262"</f>
        <v>8300262</v>
      </c>
      <c r="D7702" t="s">
        <v>23289</v>
      </c>
      <c r="E7702" t="s">
        <v>23290</v>
      </c>
      <c r="F7702" t="s">
        <v>23291</v>
      </c>
      <c r="I7702" t="s">
        <v>29</v>
      </c>
      <c r="J7702" t="s">
        <v>30</v>
      </c>
      <c r="K7702" t="s">
        <v>23292</v>
      </c>
      <c r="M7702" t="s">
        <v>18479</v>
      </c>
      <c r="N7702" t="str">
        <f>"7/15/2014 4:01:00 PM"</f>
        <v>7/15/2014 4:01:00 PM</v>
      </c>
      <c r="O7702" t="s">
        <v>23289</v>
      </c>
      <c r="T7702" t="s">
        <v>23290</v>
      </c>
    </row>
    <row r="7703" spans="1:20" x14ac:dyDescent="0.25">
      <c r="A7703" t="str">
        <f>"3071278"</f>
        <v>3071278</v>
      </c>
      <c r="B7703" t="s">
        <v>23294</v>
      </c>
      <c r="C7703" t="str">
        <f>"8303536"</f>
        <v>8303536</v>
      </c>
      <c r="D7703" t="s">
        <v>23295</v>
      </c>
      <c r="F7703" t="s">
        <v>23296</v>
      </c>
      <c r="I7703" t="s">
        <v>29</v>
      </c>
      <c r="J7703" t="s">
        <v>30</v>
      </c>
      <c r="K7703" t="str">
        <f>"27028"</f>
        <v>27028</v>
      </c>
      <c r="M7703" t="s">
        <v>17861</v>
      </c>
      <c r="N7703" t="str">
        <f>"6/3/2014 3:34:00 PM"</f>
        <v>6/3/2014 3:34:00 PM</v>
      </c>
      <c r="O7703" t="s">
        <v>23295</v>
      </c>
    </row>
    <row r="7704" spans="1:20" x14ac:dyDescent="0.25">
      <c r="A7704" t="str">
        <f>"3046534"</f>
        <v>3046534</v>
      </c>
      <c r="B7704" t="s">
        <v>23297</v>
      </c>
      <c r="C7704" t="str">
        <f>"57979000"</f>
        <v>57979000</v>
      </c>
      <c r="D7704" t="s">
        <v>23298</v>
      </c>
      <c r="E7704" t="s">
        <v>23299</v>
      </c>
      <c r="F7704" t="s">
        <v>17570</v>
      </c>
      <c r="I7704" t="s">
        <v>184</v>
      </c>
      <c r="J7704" t="s">
        <v>30</v>
      </c>
      <c r="K7704" t="s">
        <v>185</v>
      </c>
      <c r="M7704" t="s">
        <v>22859</v>
      </c>
      <c r="N7704" t="str">
        <f>"7/17/2014 10:33:00 AM"</f>
        <v>7/17/2014 10:33:00 AM</v>
      </c>
      <c r="O7704" t="s">
        <v>23298</v>
      </c>
      <c r="T7704" t="s">
        <v>23299</v>
      </c>
    </row>
    <row r="7705" spans="1:20" x14ac:dyDescent="0.25">
      <c r="A7705" t="str">
        <f>"3056397"</f>
        <v>3056397</v>
      </c>
      <c r="B7705" t="s">
        <v>23300</v>
      </c>
      <c r="C7705" t="str">
        <f>"82533089"</f>
        <v>82533089</v>
      </c>
      <c r="D7705" t="s">
        <v>23301</v>
      </c>
      <c r="E7705" t="s">
        <v>23302</v>
      </c>
      <c r="F7705" t="s">
        <v>23303</v>
      </c>
      <c r="I7705" t="s">
        <v>4502</v>
      </c>
      <c r="J7705" t="s">
        <v>30</v>
      </c>
      <c r="K7705" t="str">
        <f>"27018"</f>
        <v>27018</v>
      </c>
      <c r="M7705" t="s">
        <v>22859</v>
      </c>
      <c r="N7705" t="str">
        <f>"7/17/2014 10:34:00 AM"</f>
        <v>7/17/2014 10:34:00 AM</v>
      </c>
      <c r="O7705" t="s">
        <v>23301</v>
      </c>
      <c r="T7705" t="s">
        <v>23302</v>
      </c>
    </row>
    <row r="7706" spans="1:20" x14ac:dyDescent="0.25">
      <c r="A7706" t="str">
        <f>"3078226"</f>
        <v>3078226</v>
      </c>
      <c r="B7706" t="s">
        <v>23304</v>
      </c>
      <c r="C7706" t="str">
        <f>"82533089"</f>
        <v>82533089</v>
      </c>
      <c r="D7706" t="s">
        <v>23301</v>
      </c>
      <c r="E7706" t="s">
        <v>23302</v>
      </c>
      <c r="F7706" t="s">
        <v>23303</v>
      </c>
      <c r="I7706" t="s">
        <v>4502</v>
      </c>
      <c r="J7706" t="s">
        <v>30</v>
      </c>
      <c r="K7706" t="str">
        <f>"27018"</f>
        <v>27018</v>
      </c>
      <c r="M7706" t="s">
        <v>22859</v>
      </c>
      <c r="N7706" t="str">
        <f>"7/17/2014 10:34:00 AM"</f>
        <v>7/17/2014 10:34:00 AM</v>
      </c>
      <c r="O7706" t="s">
        <v>23301</v>
      </c>
      <c r="T7706" t="s">
        <v>23302</v>
      </c>
    </row>
    <row r="7707" spans="1:20" x14ac:dyDescent="0.25">
      <c r="A7707" t="str">
        <f>"3078227"</f>
        <v>3078227</v>
      </c>
      <c r="B7707" t="s">
        <v>23305</v>
      </c>
      <c r="C7707" t="str">
        <f>"82533089"</f>
        <v>82533089</v>
      </c>
      <c r="D7707" t="s">
        <v>23301</v>
      </c>
      <c r="E7707" t="s">
        <v>23302</v>
      </c>
      <c r="F7707" t="s">
        <v>23303</v>
      </c>
      <c r="I7707" t="s">
        <v>4502</v>
      </c>
      <c r="J7707" t="s">
        <v>30</v>
      </c>
      <c r="K7707" t="str">
        <f>"27018"</f>
        <v>27018</v>
      </c>
      <c r="M7707" t="s">
        <v>22859</v>
      </c>
      <c r="N7707" t="str">
        <f>"7/17/2014 10:34:00 AM"</f>
        <v>7/17/2014 10:34:00 AM</v>
      </c>
      <c r="O7707" t="s">
        <v>23301</v>
      </c>
      <c r="T7707" t="s">
        <v>23302</v>
      </c>
    </row>
    <row r="7708" spans="1:20" x14ac:dyDescent="0.25">
      <c r="A7708" t="str">
        <f>"3048993"</f>
        <v>3048993</v>
      </c>
      <c r="B7708" t="s">
        <v>23306</v>
      </c>
      <c r="C7708" t="str">
        <f>"82528958"</f>
        <v>82528958</v>
      </c>
      <c r="D7708" t="s">
        <v>23307</v>
      </c>
      <c r="E7708" t="s">
        <v>23308</v>
      </c>
      <c r="F7708" t="s">
        <v>23309</v>
      </c>
      <c r="I7708" t="s">
        <v>23310</v>
      </c>
      <c r="J7708" t="s">
        <v>12215</v>
      </c>
      <c r="K7708" t="s">
        <v>23311</v>
      </c>
      <c r="M7708" t="s">
        <v>22859</v>
      </c>
      <c r="N7708" t="str">
        <f>"7/17/2014 10:42:00 AM"</f>
        <v>7/17/2014 10:42:00 AM</v>
      </c>
      <c r="O7708" t="s">
        <v>23307</v>
      </c>
      <c r="T7708" t="s">
        <v>23308</v>
      </c>
    </row>
    <row r="7709" spans="1:20" x14ac:dyDescent="0.25">
      <c r="A7709" t="str">
        <f>"3041710"</f>
        <v>3041710</v>
      </c>
      <c r="B7709" t="s">
        <v>23312</v>
      </c>
      <c r="C7709" t="str">
        <f>"82521529"</f>
        <v>82521529</v>
      </c>
      <c r="D7709" t="s">
        <v>23313</v>
      </c>
      <c r="E7709" t="s">
        <v>23314</v>
      </c>
      <c r="F7709" t="s">
        <v>23315</v>
      </c>
      <c r="I7709" t="s">
        <v>2071</v>
      </c>
      <c r="J7709" t="s">
        <v>30</v>
      </c>
      <c r="K7709" t="s">
        <v>185</v>
      </c>
      <c r="M7709" t="s">
        <v>22859</v>
      </c>
      <c r="N7709" t="str">
        <f>"7/17/2014 10:46:00 AM"</f>
        <v>7/17/2014 10:46:00 AM</v>
      </c>
      <c r="O7709" t="s">
        <v>23313</v>
      </c>
      <c r="T7709" t="s">
        <v>23314</v>
      </c>
    </row>
    <row r="7710" spans="1:20" x14ac:dyDescent="0.25">
      <c r="A7710" t="str">
        <f>"3048901"</f>
        <v>3048901</v>
      </c>
      <c r="B7710" t="s">
        <v>23316</v>
      </c>
      <c r="C7710" t="str">
        <f>"8302194"</f>
        <v>8302194</v>
      </c>
      <c r="D7710" t="s">
        <v>23317</v>
      </c>
      <c r="E7710" t="s">
        <v>23318</v>
      </c>
      <c r="F7710" t="s">
        <v>23319</v>
      </c>
      <c r="G7710" t="s">
        <v>23320</v>
      </c>
      <c r="I7710" t="s">
        <v>23321</v>
      </c>
      <c r="J7710" t="s">
        <v>23322</v>
      </c>
      <c r="K7710" t="s">
        <v>23323</v>
      </c>
      <c r="M7710" t="s">
        <v>18479</v>
      </c>
      <c r="N7710" t="str">
        <f>"6/5/2014 9:15:00 AM"</f>
        <v>6/5/2014 9:15:00 AM</v>
      </c>
      <c r="O7710" t="s">
        <v>23317</v>
      </c>
      <c r="T7710" t="s">
        <v>23318</v>
      </c>
    </row>
    <row r="7711" spans="1:20" x14ac:dyDescent="0.25">
      <c r="A7711" t="str">
        <f>"3041746"</f>
        <v>3041746</v>
      </c>
      <c r="B7711" t="s">
        <v>23324</v>
      </c>
      <c r="C7711" t="str">
        <f>"8303547"</f>
        <v>8303547</v>
      </c>
      <c r="D7711" t="s">
        <v>23325</v>
      </c>
      <c r="E7711" t="s">
        <v>23326</v>
      </c>
      <c r="F7711" t="s">
        <v>23327</v>
      </c>
      <c r="I7711" t="s">
        <v>2071</v>
      </c>
      <c r="J7711" t="s">
        <v>30</v>
      </c>
      <c r="K7711" t="str">
        <f>"27006"</f>
        <v>27006</v>
      </c>
      <c r="M7711" t="s">
        <v>17861</v>
      </c>
      <c r="N7711" t="str">
        <f>"6/11/2014 10:52:00 AM"</f>
        <v>6/11/2014 10:52:00 AM</v>
      </c>
      <c r="O7711" t="s">
        <v>23325</v>
      </c>
      <c r="T7711" t="s">
        <v>23326</v>
      </c>
    </row>
    <row r="7712" spans="1:20" x14ac:dyDescent="0.25">
      <c r="A7712" t="str">
        <f>"3067696"</f>
        <v>3067696</v>
      </c>
      <c r="B7712" t="s">
        <v>23328</v>
      </c>
      <c r="C7712" t="str">
        <f>"8301766"</f>
        <v>8301766</v>
      </c>
      <c r="D7712" t="s">
        <v>7780</v>
      </c>
      <c r="E7712" t="s">
        <v>23329</v>
      </c>
      <c r="F7712" t="s">
        <v>7781</v>
      </c>
      <c r="I7712" t="s">
        <v>29</v>
      </c>
      <c r="J7712" t="s">
        <v>30</v>
      </c>
      <c r="K7712" t="str">
        <f>"27028"</f>
        <v>27028</v>
      </c>
      <c r="M7712" t="s">
        <v>22859</v>
      </c>
      <c r="N7712" t="str">
        <f>"7/17/2014 11:00:00 AM"</f>
        <v>7/17/2014 11:00:00 AM</v>
      </c>
      <c r="O7712" t="s">
        <v>7780</v>
      </c>
      <c r="T7712" t="s">
        <v>23329</v>
      </c>
    </row>
    <row r="7713" spans="1:20" x14ac:dyDescent="0.25">
      <c r="A7713" t="str">
        <f>"3038462"</f>
        <v>3038462</v>
      </c>
      <c r="B7713" t="s">
        <v>23330</v>
      </c>
      <c r="C7713" t="str">
        <f>"8301758"</f>
        <v>8301758</v>
      </c>
      <c r="D7713" t="s">
        <v>23331</v>
      </c>
      <c r="E7713" t="s">
        <v>23332</v>
      </c>
      <c r="F7713" t="s">
        <v>23333</v>
      </c>
      <c r="I7713" t="s">
        <v>29</v>
      </c>
      <c r="J7713" t="s">
        <v>30</v>
      </c>
      <c r="K7713" t="str">
        <f>"27028"</f>
        <v>27028</v>
      </c>
      <c r="M7713" t="s">
        <v>22859</v>
      </c>
      <c r="N7713" t="str">
        <f>"7/17/2014 11:01:00 AM"</f>
        <v>7/17/2014 11:01:00 AM</v>
      </c>
      <c r="O7713" t="s">
        <v>23331</v>
      </c>
      <c r="T7713" t="s">
        <v>23332</v>
      </c>
    </row>
    <row r="7714" spans="1:20" x14ac:dyDescent="0.25">
      <c r="A7714" t="str">
        <f>"3061677"</f>
        <v>3061677</v>
      </c>
      <c r="B7714" t="s">
        <v>23334</v>
      </c>
      <c r="C7714" t="str">
        <f>"82528488"</f>
        <v>82528488</v>
      </c>
      <c r="D7714" t="s">
        <v>23335</v>
      </c>
      <c r="F7714" t="s">
        <v>23336</v>
      </c>
      <c r="I7714" t="s">
        <v>2071</v>
      </c>
      <c r="J7714" t="s">
        <v>30</v>
      </c>
      <c r="K7714" t="s">
        <v>185</v>
      </c>
      <c r="M7714" t="s">
        <v>22859</v>
      </c>
      <c r="N7714" t="str">
        <f>"7/17/2014 11:07:00 AM"</f>
        <v>7/17/2014 11:07:00 AM</v>
      </c>
      <c r="O7714" t="s">
        <v>23335</v>
      </c>
    </row>
    <row r="7715" spans="1:20" x14ac:dyDescent="0.25">
      <c r="A7715" t="str">
        <f>"3040741"</f>
        <v>3040741</v>
      </c>
      <c r="B7715" t="s">
        <v>23337</v>
      </c>
      <c r="C7715" t="str">
        <f>"8303557"</f>
        <v>8303557</v>
      </c>
      <c r="D7715" t="s">
        <v>23338</v>
      </c>
      <c r="E7715" t="s">
        <v>23339</v>
      </c>
      <c r="F7715" t="s">
        <v>23340</v>
      </c>
      <c r="I7715" t="s">
        <v>184</v>
      </c>
      <c r="J7715" t="s">
        <v>30</v>
      </c>
      <c r="K7715" t="str">
        <f>"27028"</f>
        <v>27028</v>
      </c>
      <c r="M7715" t="s">
        <v>17861</v>
      </c>
      <c r="N7715" t="str">
        <f>"6/11/2014 1:13:00 PM"</f>
        <v>6/11/2014 1:13:00 PM</v>
      </c>
      <c r="O7715" t="s">
        <v>23338</v>
      </c>
      <c r="T7715" t="s">
        <v>23339</v>
      </c>
    </row>
    <row r="7716" spans="1:20" x14ac:dyDescent="0.25">
      <c r="A7716" t="str">
        <f>"3057310"</f>
        <v>3057310</v>
      </c>
      <c r="B7716" t="s">
        <v>23341</v>
      </c>
      <c r="C7716" t="str">
        <f>"82532310"</f>
        <v>82532310</v>
      </c>
      <c r="D7716" t="s">
        <v>23342</v>
      </c>
      <c r="F7716" t="s">
        <v>23343</v>
      </c>
      <c r="I7716" t="s">
        <v>3196</v>
      </c>
      <c r="J7716" t="s">
        <v>30</v>
      </c>
      <c r="K7716" t="str">
        <f>"28226"</f>
        <v>28226</v>
      </c>
      <c r="M7716" t="s">
        <v>22859</v>
      </c>
      <c r="N7716" t="str">
        <f>"7/17/2014 1:54:00 PM"</f>
        <v>7/17/2014 1:54:00 PM</v>
      </c>
      <c r="O7716" t="s">
        <v>23342</v>
      </c>
    </row>
    <row r="7717" spans="1:20" x14ac:dyDescent="0.25">
      <c r="A7717" t="str">
        <f>"3037288"</f>
        <v>3037288</v>
      </c>
      <c r="B7717" t="s">
        <v>23344</v>
      </c>
      <c r="C7717" t="str">
        <f>"16724000"</f>
        <v>16724000</v>
      </c>
      <c r="D7717" t="s">
        <v>23345</v>
      </c>
      <c r="E7717" t="s">
        <v>23346</v>
      </c>
      <c r="F7717" t="str">
        <f>"C/O DEBORAH BUTNER"</f>
        <v>C/O DEBORAH BUTNER</v>
      </c>
      <c r="G7717" t="s">
        <v>23347</v>
      </c>
      <c r="I7717" t="s">
        <v>184</v>
      </c>
      <c r="J7717" t="s">
        <v>30</v>
      </c>
      <c r="K7717" t="s">
        <v>185</v>
      </c>
      <c r="M7717" t="s">
        <v>17861</v>
      </c>
      <c r="N7717" t="str">
        <f>"6/12/2014 1:57:00 PM"</f>
        <v>6/12/2014 1:57:00 PM</v>
      </c>
      <c r="O7717" t="s">
        <v>23345</v>
      </c>
      <c r="T7717" t="s">
        <v>23346</v>
      </c>
    </row>
    <row r="7718" spans="1:20" x14ac:dyDescent="0.25">
      <c r="A7718" t="str">
        <f>"3047591"</f>
        <v>3047591</v>
      </c>
      <c r="B7718" t="s">
        <v>23348</v>
      </c>
      <c r="C7718" t="str">
        <f>"8303568"</f>
        <v>8303568</v>
      </c>
      <c r="D7718" t="s">
        <v>23349</v>
      </c>
      <c r="E7718" t="s">
        <v>23350</v>
      </c>
      <c r="F7718" t="s">
        <v>10983</v>
      </c>
      <c r="I7718" t="s">
        <v>29</v>
      </c>
      <c r="J7718" t="s">
        <v>30</v>
      </c>
      <c r="K7718" t="str">
        <f>"27028"</f>
        <v>27028</v>
      </c>
      <c r="M7718" t="s">
        <v>17861</v>
      </c>
      <c r="N7718" t="str">
        <f>"6/16/2014 12:57:00 PM"</f>
        <v>6/16/2014 12:57:00 PM</v>
      </c>
      <c r="O7718" t="s">
        <v>23349</v>
      </c>
      <c r="T7718" t="s">
        <v>23350</v>
      </c>
    </row>
    <row r="7719" spans="1:20" x14ac:dyDescent="0.25">
      <c r="A7719" t="str">
        <f>"3062332"</f>
        <v>3062332</v>
      </c>
      <c r="B7719" t="s">
        <v>23351</v>
      </c>
      <c r="C7719" t="str">
        <f>"8303772"</f>
        <v>8303772</v>
      </c>
      <c r="D7719" t="s">
        <v>19254</v>
      </c>
      <c r="F7719" t="s">
        <v>19256</v>
      </c>
      <c r="I7719" t="s">
        <v>184</v>
      </c>
      <c r="J7719" t="s">
        <v>30</v>
      </c>
      <c r="K7719" t="str">
        <f>"27006"</f>
        <v>27006</v>
      </c>
      <c r="M7719" t="s">
        <v>17861</v>
      </c>
      <c r="N7719" t="str">
        <f>"7/22/2014 2:10:00 PM"</f>
        <v>7/22/2014 2:10:00 PM</v>
      </c>
      <c r="O7719" t="s">
        <v>19254</v>
      </c>
    </row>
    <row r="7720" spans="1:20" x14ac:dyDescent="0.25">
      <c r="A7720" t="str">
        <f>"3060599"</f>
        <v>3060599</v>
      </c>
      <c r="B7720" t="s">
        <v>23352</v>
      </c>
      <c r="C7720" t="str">
        <f>"8303570"</f>
        <v>8303570</v>
      </c>
      <c r="D7720" t="s">
        <v>23353</v>
      </c>
      <c r="E7720" t="s">
        <v>23354</v>
      </c>
      <c r="F7720" t="s">
        <v>23355</v>
      </c>
      <c r="I7720" t="s">
        <v>2071</v>
      </c>
      <c r="J7720" t="s">
        <v>30</v>
      </c>
      <c r="K7720" t="str">
        <f>"27006"</f>
        <v>27006</v>
      </c>
      <c r="M7720" t="s">
        <v>17861</v>
      </c>
      <c r="N7720" t="str">
        <f>"6/16/2014 1:23:00 PM"</f>
        <v>6/16/2014 1:23:00 PM</v>
      </c>
      <c r="O7720" t="s">
        <v>23353</v>
      </c>
      <c r="T7720" t="s">
        <v>23354</v>
      </c>
    </row>
    <row r="7721" spans="1:20" x14ac:dyDescent="0.25">
      <c r="A7721" t="str">
        <f>"3058863"</f>
        <v>3058863</v>
      </c>
      <c r="B7721" t="s">
        <v>23356</v>
      </c>
      <c r="C7721" t="str">
        <f>"8303575"</f>
        <v>8303575</v>
      </c>
      <c r="D7721" t="s">
        <v>23357</v>
      </c>
      <c r="E7721" t="s">
        <v>23358</v>
      </c>
      <c r="F7721" t="s">
        <v>23359</v>
      </c>
      <c r="I7721" t="s">
        <v>29</v>
      </c>
      <c r="J7721" t="s">
        <v>30</v>
      </c>
      <c r="K7721" t="str">
        <f>"27028"</f>
        <v>27028</v>
      </c>
      <c r="M7721" t="s">
        <v>17861</v>
      </c>
      <c r="N7721" t="str">
        <f>"6/16/2014 3:12:00 PM"</f>
        <v>6/16/2014 3:12:00 PM</v>
      </c>
      <c r="O7721" t="s">
        <v>23357</v>
      </c>
      <c r="T7721" t="s">
        <v>23358</v>
      </c>
    </row>
    <row r="7722" spans="1:20" x14ac:dyDescent="0.25">
      <c r="A7722" t="str">
        <f>"3052855"</f>
        <v>3052855</v>
      </c>
      <c r="B7722" t="s">
        <v>23360</v>
      </c>
      <c r="C7722" t="str">
        <f>"8303583"</f>
        <v>8303583</v>
      </c>
      <c r="D7722" t="s">
        <v>23361</v>
      </c>
      <c r="E7722" t="s">
        <v>23362</v>
      </c>
      <c r="F7722" t="s">
        <v>23363</v>
      </c>
      <c r="I7722" t="s">
        <v>29</v>
      </c>
      <c r="J7722" t="s">
        <v>30</v>
      </c>
      <c r="K7722" t="str">
        <f>"27028"</f>
        <v>27028</v>
      </c>
      <c r="M7722" t="s">
        <v>17861</v>
      </c>
      <c r="N7722" t="str">
        <f>"6/16/2014 4:06:00 PM"</f>
        <v>6/16/2014 4:06:00 PM</v>
      </c>
      <c r="O7722" t="s">
        <v>23361</v>
      </c>
      <c r="T7722" t="s">
        <v>23362</v>
      </c>
    </row>
    <row r="7723" spans="1:20" x14ac:dyDescent="0.25">
      <c r="A7723" t="str">
        <f>"3052660"</f>
        <v>3052660</v>
      </c>
      <c r="B7723" t="s">
        <v>23364</v>
      </c>
      <c r="C7723" t="str">
        <f>"8303577"</f>
        <v>8303577</v>
      </c>
      <c r="D7723" t="s">
        <v>23365</v>
      </c>
      <c r="F7723" t="s">
        <v>23366</v>
      </c>
      <c r="I7723" t="s">
        <v>29</v>
      </c>
      <c r="J7723" t="s">
        <v>30</v>
      </c>
      <c r="K7723" t="str">
        <f>"27028"</f>
        <v>27028</v>
      </c>
      <c r="M7723" t="s">
        <v>17861</v>
      </c>
      <c r="N7723" t="str">
        <f>"6/17/2014 9:41:00 AM"</f>
        <v>6/17/2014 9:41:00 AM</v>
      </c>
      <c r="O7723" t="s">
        <v>23365</v>
      </c>
    </row>
    <row r="7724" spans="1:20" x14ac:dyDescent="0.25">
      <c r="A7724" t="str">
        <f>"3049842"</f>
        <v>3049842</v>
      </c>
      <c r="B7724" t="s">
        <v>23367</v>
      </c>
      <c r="C7724" t="str">
        <f>"8303871"</f>
        <v>8303871</v>
      </c>
      <c r="D7724" t="s">
        <v>23368</v>
      </c>
      <c r="E7724" t="s">
        <v>23369</v>
      </c>
      <c r="F7724" t="s">
        <v>23370</v>
      </c>
      <c r="I7724" t="s">
        <v>29</v>
      </c>
      <c r="J7724" t="s">
        <v>30</v>
      </c>
      <c r="K7724" t="str">
        <f>"27028"</f>
        <v>27028</v>
      </c>
      <c r="M7724" t="s">
        <v>17861</v>
      </c>
      <c r="N7724" t="str">
        <f>"7/23/2014 3:53:00 PM"</f>
        <v>7/23/2014 3:53:00 PM</v>
      </c>
      <c r="O7724" t="s">
        <v>23368</v>
      </c>
      <c r="T7724" t="s">
        <v>23369</v>
      </c>
    </row>
    <row r="7725" spans="1:20" x14ac:dyDescent="0.25">
      <c r="A7725" t="str">
        <f>"3053233"</f>
        <v>3053233</v>
      </c>
      <c r="B7725" t="s">
        <v>23371</v>
      </c>
      <c r="C7725" t="str">
        <f>"8303594"</f>
        <v>8303594</v>
      </c>
      <c r="D7725" t="s">
        <v>23372</v>
      </c>
      <c r="F7725" t="s">
        <v>13685</v>
      </c>
      <c r="I7725" t="s">
        <v>29</v>
      </c>
      <c r="J7725" t="s">
        <v>30</v>
      </c>
      <c r="K7725" t="str">
        <f>"27028"</f>
        <v>27028</v>
      </c>
      <c r="M7725" t="s">
        <v>17861</v>
      </c>
      <c r="N7725" t="str">
        <f>"6/18/2014 11:09:00 AM"</f>
        <v>6/18/2014 11:09:00 AM</v>
      </c>
      <c r="O7725" t="s">
        <v>23372</v>
      </c>
    </row>
    <row r="7726" spans="1:20" x14ac:dyDescent="0.25">
      <c r="A7726" t="str">
        <f>"3046973"</f>
        <v>3046973</v>
      </c>
      <c r="B7726" t="s">
        <v>23373</v>
      </c>
      <c r="C7726" t="str">
        <f>"8302700"</f>
        <v>8302700</v>
      </c>
      <c r="D7726" t="s">
        <v>23374</v>
      </c>
      <c r="F7726" t="s">
        <v>23375</v>
      </c>
      <c r="I7726" t="s">
        <v>14849</v>
      </c>
      <c r="J7726" t="s">
        <v>30</v>
      </c>
      <c r="K7726" t="str">
        <f>"27299"</f>
        <v>27299</v>
      </c>
      <c r="M7726" t="s">
        <v>17861</v>
      </c>
      <c r="N7726" t="str">
        <f>"6/24/2014 1:23:00 PM"</f>
        <v>6/24/2014 1:23:00 PM</v>
      </c>
      <c r="O7726" t="s">
        <v>23374</v>
      </c>
    </row>
    <row r="7727" spans="1:20" x14ac:dyDescent="0.25">
      <c r="A7727" t="str">
        <f>"3078188"</f>
        <v>3078188</v>
      </c>
      <c r="B7727" t="s">
        <v>23376</v>
      </c>
      <c r="C7727" t="str">
        <f>"8302700"</f>
        <v>8302700</v>
      </c>
      <c r="D7727" t="s">
        <v>23374</v>
      </c>
      <c r="F7727" t="s">
        <v>23375</v>
      </c>
      <c r="I7727" t="s">
        <v>14849</v>
      </c>
      <c r="J7727" t="s">
        <v>30</v>
      </c>
      <c r="K7727" t="str">
        <f>"27299"</f>
        <v>27299</v>
      </c>
      <c r="M7727" t="s">
        <v>17861</v>
      </c>
      <c r="N7727" t="str">
        <f>"6/24/2014 1:23:00 PM"</f>
        <v>6/24/2014 1:23:00 PM</v>
      </c>
      <c r="O7727" t="s">
        <v>23374</v>
      </c>
    </row>
    <row r="7728" spans="1:20" x14ac:dyDescent="0.25">
      <c r="A7728" t="str">
        <f>"3061391"</f>
        <v>3061391</v>
      </c>
      <c r="B7728" t="s">
        <v>23377</v>
      </c>
      <c r="C7728" t="str">
        <f>"8303615"</f>
        <v>8303615</v>
      </c>
      <c r="D7728" t="s">
        <v>23378</v>
      </c>
      <c r="E7728" t="s">
        <v>23379</v>
      </c>
      <c r="F7728" t="s">
        <v>23380</v>
      </c>
      <c r="I7728" t="s">
        <v>184</v>
      </c>
      <c r="J7728" t="s">
        <v>30</v>
      </c>
      <c r="K7728" t="str">
        <f>"27006"</f>
        <v>27006</v>
      </c>
      <c r="M7728" t="s">
        <v>17861</v>
      </c>
      <c r="N7728" t="str">
        <f>"6/25/2014 2:37:00 PM"</f>
        <v>6/25/2014 2:37:00 PM</v>
      </c>
      <c r="O7728" t="s">
        <v>23378</v>
      </c>
      <c r="T7728" t="s">
        <v>23379</v>
      </c>
    </row>
    <row r="7729" spans="1:20" x14ac:dyDescent="0.25">
      <c r="A7729" t="str">
        <f>"3044655"</f>
        <v>3044655</v>
      </c>
      <c r="B7729" t="s">
        <v>23381</v>
      </c>
      <c r="C7729" t="str">
        <f>"8303911"</f>
        <v>8303911</v>
      </c>
      <c r="D7729" t="s">
        <v>23382</v>
      </c>
      <c r="E7729" t="s">
        <v>23383</v>
      </c>
      <c r="F7729" t="s">
        <v>23384</v>
      </c>
      <c r="I7729" t="s">
        <v>184</v>
      </c>
      <c r="J7729" t="s">
        <v>30</v>
      </c>
      <c r="K7729" t="str">
        <f>"27006"</f>
        <v>27006</v>
      </c>
      <c r="M7729" t="s">
        <v>17861</v>
      </c>
      <c r="N7729" t="str">
        <f>"7/29/2014 12:34:00 PM"</f>
        <v>7/29/2014 12:34:00 PM</v>
      </c>
      <c r="O7729" t="s">
        <v>23382</v>
      </c>
      <c r="T7729" t="s">
        <v>23383</v>
      </c>
    </row>
    <row r="7730" spans="1:20" x14ac:dyDescent="0.25">
      <c r="A7730" t="str">
        <f>"3047318"</f>
        <v>3047318</v>
      </c>
      <c r="B7730" t="s">
        <v>23385</v>
      </c>
      <c r="C7730" t="str">
        <f>"8303912"</f>
        <v>8303912</v>
      </c>
      <c r="D7730" t="s">
        <v>23386</v>
      </c>
      <c r="F7730" t="s">
        <v>23387</v>
      </c>
      <c r="I7730" t="s">
        <v>184</v>
      </c>
      <c r="J7730" t="s">
        <v>30</v>
      </c>
      <c r="K7730" t="str">
        <f>"27006"</f>
        <v>27006</v>
      </c>
      <c r="M7730" t="s">
        <v>17861</v>
      </c>
      <c r="N7730" t="str">
        <f>"7/29/2014 12:36:00 PM"</f>
        <v>7/29/2014 12:36:00 PM</v>
      </c>
      <c r="O7730" t="s">
        <v>23386</v>
      </c>
    </row>
    <row r="7731" spans="1:20" x14ac:dyDescent="0.25">
      <c r="A7731" t="str">
        <f>"3047291"</f>
        <v>3047291</v>
      </c>
      <c r="B7731" t="s">
        <v>23388</v>
      </c>
      <c r="C7731" t="str">
        <f>"8303912"</f>
        <v>8303912</v>
      </c>
      <c r="D7731" t="s">
        <v>23386</v>
      </c>
      <c r="F7731" t="s">
        <v>23387</v>
      </c>
      <c r="I7731" t="s">
        <v>184</v>
      </c>
      <c r="J7731" t="s">
        <v>30</v>
      </c>
      <c r="K7731" t="str">
        <f>"27006"</f>
        <v>27006</v>
      </c>
      <c r="M7731" t="s">
        <v>17861</v>
      </c>
      <c r="N7731" t="str">
        <f>"7/29/2014 12:36:00 PM"</f>
        <v>7/29/2014 12:36:00 PM</v>
      </c>
      <c r="O7731" t="s">
        <v>23386</v>
      </c>
    </row>
    <row r="7732" spans="1:20" x14ac:dyDescent="0.25">
      <c r="A7732" t="str">
        <f>"3050074"</f>
        <v>3050074</v>
      </c>
      <c r="B7732" t="s">
        <v>23389</v>
      </c>
      <c r="C7732" t="str">
        <f>"55268000"</f>
        <v>55268000</v>
      </c>
      <c r="D7732" t="s">
        <v>23390</v>
      </c>
      <c r="F7732" t="s">
        <v>23391</v>
      </c>
      <c r="I7732" t="s">
        <v>29</v>
      </c>
      <c r="J7732" t="s">
        <v>30</v>
      </c>
      <c r="K7732" t="s">
        <v>31</v>
      </c>
      <c r="M7732" t="s">
        <v>17861</v>
      </c>
      <c r="N7732" t="str">
        <f>"6/27/2014 2:58:00 PM"</f>
        <v>6/27/2014 2:58:00 PM</v>
      </c>
      <c r="O7732" t="s">
        <v>23390</v>
      </c>
    </row>
    <row r="7733" spans="1:20" x14ac:dyDescent="0.25">
      <c r="A7733" t="str">
        <f>"3048442"</f>
        <v>3048442</v>
      </c>
      <c r="B7733" t="s">
        <v>23392</v>
      </c>
      <c r="C7733" t="str">
        <f>"82527475"</f>
        <v>82527475</v>
      </c>
      <c r="D7733" t="s">
        <v>23393</v>
      </c>
      <c r="F7733" t="s">
        <v>23394</v>
      </c>
      <c r="I7733" t="s">
        <v>29</v>
      </c>
      <c r="J7733" t="s">
        <v>30</v>
      </c>
      <c r="K7733" t="s">
        <v>31</v>
      </c>
      <c r="M7733" t="s">
        <v>18432</v>
      </c>
      <c r="N7733" t="str">
        <f>"6/30/2014 12:30:00 PM"</f>
        <v>6/30/2014 12:30:00 PM</v>
      </c>
      <c r="O7733" t="s">
        <v>23393</v>
      </c>
    </row>
    <row r="7734" spans="1:20" x14ac:dyDescent="0.25">
      <c r="A7734" t="str">
        <f>"3076036"</f>
        <v>3076036</v>
      </c>
      <c r="B7734" t="s">
        <v>23395</v>
      </c>
      <c r="C7734" t="str">
        <f>"8303939"</f>
        <v>8303939</v>
      </c>
      <c r="D7734" t="s">
        <v>23396</v>
      </c>
      <c r="F7734" t="s">
        <v>23397</v>
      </c>
      <c r="I7734" t="s">
        <v>29</v>
      </c>
      <c r="J7734" t="s">
        <v>30</v>
      </c>
      <c r="K7734" t="str">
        <f>"27028"</f>
        <v>27028</v>
      </c>
      <c r="M7734" t="s">
        <v>17861</v>
      </c>
      <c r="N7734" t="str">
        <f>"8/5/2014 2:28:00 PM"</f>
        <v>8/5/2014 2:28:00 PM</v>
      </c>
      <c r="O7734" t="s">
        <v>23396</v>
      </c>
    </row>
    <row r="7735" spans="1:20" x14ac:dyDescent="0.25">
      <c r="A7735" t="str">
        <f>"3071057"</f>
        <v>3071057</v>
      </c>
      <c r="B7735" t="s">
        <v>23398</v>
      </c>
      <c r="C7735" t="str">
        <f>"8303640"</f>
        <v>8303640</v>
      </c>
      <c r="D7735" t="s">
        <v>23399</v>
      </c>
      <c r="E7735" t="s">
        <v>23400</v>
      </c>
      <c r="F7735" t="s">
        <v>23401</v>
      </c>
      <c r="I7735" t="s">
        <v>29</v>
      </c>
      <c r="J7735" t="s">
        <v>30</v>
      </c>
      <c r="K7735" t="str">
        <f>"27028"</f>
        <v>27028</v>
      </c>
      <c r="M7735" t="s">
        <v>17861</v>
      </c>
      <c r="N7735" t="str">
        <f>"7/8/2014 4:18:00 PM"</f>
        <v>7/8/2014 4:18:00 PM</v>
      </c>
      <c r="O7735" t="s">
        <v>23399</v>
      </c>
      <c r="T7735" t="s">
        <v>23400</v>
      </c>
    </row>
    <row r="7736" spans="1:20" x14ac:dyDescent="0.25">
      <c r="A7736" t="str">
        <f>"3063936"</f>
        <v>3063936</v>
      </c>
      <c r="B7736" t="s">
        <v>23402</v>
      </c>
      <c r="C7736" t="str">
        <f>"8303655"</f>
        <v>8303655</v>
      </c>
      <c r="D7736" t="s">
        <v>23403</v>
      </c>
      <c r="E7736" t="s">
        <v>23404</v>
      </c>
      <c r="F7736" t="s">
        <v>23405</v>
      </c>
      <c r="I7736" t="s">
        <v>184</v>
      </c>
      <c r="J7736" t="s">
        <v>30</v>
      </c>
      <c r="K7736" t="str">
        <f>"27006"</f>
        <v>27006</v>
      </c>
      <c r="M7736" t="s">
        <v>17861</v>
      </c>
      <c r="N7736" t="str">
        <f>"7/9/2014 10:12:00 AM"</f>
        <v>7/9/2014 10:12:00 AM</v>
      </c>
      <c r="O7736" t="s">
        <v>23403</v>
      </c>
      <c r="T7736" t="s">
        <v>23404</v>
      </c>
    </row>
    <row r="7737" spans="1:20" x14ac:dyDescent="0.25">
      <c r="A7737" t="str">
        <f>"3057634"</f>
        <v>3057634</v>
      </c>
      <c r="B7737" t="s">
        <v>23406</v>
      </c>
      <c r="C7737" t="str">
        <f>"8303655"</f>
        <v>8303655</v>
      </c>
      <c r="D7737" t="s">
        <v>23403</v>
      </c>
      <c r="E7737" t="s">
        <v>23404</v>
      </c>
      <c r="F7737" t="s">
        <v>23405</v>
      </c>
      <c r="I7737" t="s">
        <v>184</v>
      </c>
      <c r="J7737" t="s">
        <v>30</v>
      </c>
      <c r="K7737" t="str">
        <f>"27006"</f>
        <v>27006</v>
      </c>
      <c r="M7737" t="s">
        <v>17861</v>
      </c>
      <c r="N7737" t="str">
        <f>"7/9/2014 10:12:00 AM"</f>
        <v>7/9/2014 10:12:00 AM</v>
      </c>
      <c r="O7737" t="s">
        <v>23403</v>
      </c>
      <c r="T7737" t="s">
        <v>23404</v>
      </c>
    </row>
    <row r="7738" spans="1:20" x14ac:dyDescent="0.25">
      <c r="A7738" t="str">
        <f>"3063725"</f>
        <v>3063725</v>
      </c>
      <c r="B7738" t="s">
        <v>23407</v>
      </c>
      <c r="C7738" t="str">
        <f>"8303677"</f>
        <v>8303677</v>
      </c>
      <c r="D7738" t="s">
        <v>23408</v>
      </c>
      <c r="E7738" t="s">
        <v>23409</v>
      </c>
      <c r="F7738" t="s">
        <v>23410</v>
      </c>
      <c r="I7738" t="s">
        <v>29</v>
      </c>
      <c r="J7738" t="s">
        <v>30</v>
      </c>
      <c r="K7738" t="str">
        <f>"27028"</f>
        <v>27028</v>
      </c>
      <c r="M7738" t="s">
        <v>17861</v>
      </c>
      <c r="N7738" t="str">
        <f>"7/9/2014 4:05:00 PM"</f>
        <v>7/9/2014 4:05:00 PM</v>
      </c>
      <c r="O7738" t="s">
        <v>23408</v>
      </c>
      <c r="T7738" t="s">
        <v>23409</v>
      </c>
    </row>
    <row r="7739" spans="1:20" x14ac:dyDescent="0.25">
      <c r="A7739" t="str">
        <f>"3042218"</f>
        <v>3042218</v>
      </c>
      <c r="B7739" t="s">
        <v>23411</v>
      </c>
      <c r="C7739" t="str">
        <f>"82515992"</f>
        <v>82515992</v>
      </c>
      <c r="D7739" t="s">
        <v>23412</v>
      </c>
      <c r="E7739" t="s">
        <v>23413</v>
      </c>
      <c r="F7739" t="s">
        <v>23414</v>
      </c>
      <c r="I7739" t="s">
        <v>184</v>
      </c>
      <c r="J7739" t="s">
        <v>30</v>
      </c>
      <c r="K7739" t="s">
        <v>185</v>
      </c>
      <c r="M7739" t="s">
        <v>18479</v>
      </c>
      <c r="N7739" t="str">
        <f>"8/8/2014 8:56:00 AM"</f>
        <v>8/8/2014 8:56:00 AM</v>
      </c>
      <c r="O7739" t="s">
        <v>23412</v>
      </c>
      <c r="T7739" t="s">
        <v>23413</v>
      </c>
    </row>
    <row r="7740" spans="1:20" x14ac:dyDescent="0.25">
      <c r="A7740" t="str">
        <f>"3044582"</f>
        <v>3044582</v>
      </c>
      <c r="B7740" t="s">
        <v>23415</v>
      </c>
      <c r="C7740" t="str">
        <f>"8303506"</f>
        <v>8303506</v>
      </c>
      <c r="D7740" t="s">
        <v>23416</v>
      </c>
      <c r="E7740" t="s">
        <v>23417</v>
      </c>
      <c r="F7740" t="s">
        <v>23418</v>
      </c>
      <c r="I7740" t="s">
        <v>184</v>
      </c>
      <c r="J7740" t="s">
        <v>30</v>
      </c>
      <c r="K7740" t="str">
        <f t="shared" ref="K7740:K7745" si="114">"27006"</f>
        <v>27006</v>
      </c>
      <c r="M7740" t="s">
        <v>17861</v>
      </c>
      <c r="N7740" t="str">
        <f>"5/27/2014 11:15:00 AM"</f>
        <v>5/27/2014 11:15:00 AM</v>
      </c>
      <c r="O7740" t="s">
        <v>23416</v>
      </c>
      <c r="T7740" t="s">
        <v>23417</v>
      </c>
    </row>
    <row r="7741" spans="1:20" x14ac:dyDescent="0.25">
      <c r="A7741" t="str">
        <f>"3061099"</f>
        <v>3061099</v>
      </c>
      <c r="B7741" t="s">
        <v>23419</v>
      </c>
      <c r="C7741" t="str">
        <f>"8303683"</f>
        <v>8303683</v>
      </c>
      <c r="D7741" t="s">
        <v>23420</v>
      </c>
      <c r="E7741" t="s">
        <v>23421</v>
      </c>
      <c r="F7741" t="s">
        <v>23422</v>
      </c>
      <c r="I7741" t="s">
        <v>184</v>
      </c>
      <c r="J7741" t="s">
        <v>30</v>
      </c>
      <c r="K7741" t="str">
        <f t="shared" si="114"/>
        <v>27006</v>
      </c>
      <c r="M7741" t="s">
        <v>17861</v>
      </c>
      <c r="N7741" t="str">
        <f>"7/14/2014 3:08:00 PM"</f>
        <v>7/14/2014 3:08:00 PM</v>
      </c>
      <c r="O7741" t="s">
        <v>23420</v>
      </c>
      <c r="T7741" t="s">
        <v>23421</v>
      </c>
    </row>
    <row r="7742" spans="1:20" x14ac:dyDescent="0.25">
      <c r="A7742" t="str">
        <f>"3041649"</f>
        <v>3041649</v>
      </c>
      <c r="B7742" t="s">
        <v>23423</v>
      </c>
      <c r="C7742" t="str">
        <f>"8303953"</f>
        <v>8303953</v>
      </c>
      <c r="D7742" t="s">
        <v>23424</v>
      </c>
      <c r="E7742" t="s">
        <v>23425</v>
      </c>
      <c r="F7742" t="s">
        <v>23426</v>
      </c>
      <c r="I7742" t="s">
        <v>2071</v>
      </c>
      <c r="J7742" t="s">
        <v>30</v>
      </c>
      <c r="K7742" t="str">
        <f t="shared" si="114"/>
        <v>27006</v>
      </c>
      <c r="M7742" t="s">
        <v>17861</v>
      </c>
      <c r="N7742" t="str">
        <f>"8/12/2014 3:30:00 PM"</f>
        <v>8/12/2014 3:30:00 PM</v>
      </c>
      <c r="O7742" t="s">
        <v>23424</v>
      </c>
      <c r="T7742" t="s">
        <v>23425</v>
      </c>
    </row>
    <row r="7743" spans="1:20" x14ac:dyDescent="0.25">
      <c r="A7743" t="str">
        <f>"3062016"</f>
        <v>3062016</v>
      </c>
      <c r="B7743" t="s">
        <v>23427</v>
      </c>
      <c r="C7743" t="str">
        <f>"8303954"</f>
        <v>8303954</v>
      </c>
      <c r="D7743" t="s">
        <v>23428</v>
      </c>
      <c r="E7743" t="s">
        <v>23429</v>
      </c>
      <c r="F7743" t="s">
        <v>23430</v>
      </c>
      <c r="I7743" t="s">
        <v>184</v>
      </c>
      <c r="J7743" t="s">
        <v>30</v>
      </c>
      <c r="K7743" t="str">
        <f t="shared" si="114"/>
        <v>27006</v>
      </c>
      <c r="M7743" t="s">
        <v>17861</v>
      </c>
      <c r="N7743" t="str">
        <f>"8/12/2014 3:32:00 PM"</f>
        <v>8/12/2014 3:32:00 PM</v>
      </c>
      <c r="O7743" t="s">
        <v>23428</v>
      </c>
      <c r="T7743" t="s">
        <v>23429</v>
      </c>
    </row>
    <row r="7744" spans="1:20" x14ac:dyDescent="0.25">
      <c r="A7744" t="str">
        <f>"3056837"</f>
        <v>3056837</v>
      </c>
      <c r="B7744" t="s">
        <v>23431</v>
      </c>
      <c r="C7744" t="str">
        <f>"8303955"</f>
        <v>8303955</v>
      </c>
      <c r="D7744" t="s">
        <v>23432</v>
      </c>
      <c r="F7744" t="s">
        <v>23433</v>
      </c>
      <c r="I7744" t="s">
        <v>184</v>
      </c>
      <c r="J7744" t="s">
        <v>30</v>
      </c>
      <c r="K7744" t="str">
        <f t="shared" si="114"/>
        <v>27006</v>
      </c>
      <c r="M7744" t="s">
        <v>17861</v>
      </c>
      <c r="N7744" t="str">
        <f>"8/12/2014 3:35:00 PM"</f>
        <v>8/12/2014 3:35:00 PM</v>
      </c>
      <c r="O7744" t="s">
        <v>23432</v>
      </c>
    </row>
    <row r="7745" spans="1:20" x14ac:dyDescent="0.25">
      <c r="A7745" t="str">
        <f>"3061802"</f>
        <v>3061802</v>
      </c>
      <c r="B7745" t="s">
        <v>23434</v>
      </c>
      <c r="C7745" t="str">
        <f>"8303699"</f>
        <v>8303699</v>
      </c>
      <c r="D7745" t="s">
        <v>23435</v>
      </c>
      <c r="E7745" t="s">
        <v>23436</v>
      </c>
      <c r="F7745" t="s">
        <v>23437</v>
      </c>
      <c r="I7745" t="s">
        <v>2071</v>
      </c>
      <c r="J7745" t="s">
        <v>30</v>
      </c>
      <c r="K7745" t="str">
        <f t="shared" si="114"/>
        <v>27006</v>
      </c>
      <c r="M7745" t="s">
        <v>17861</v>
      </c>
      <c r="N7745" t="str">
        <f>"7/15/2014 2:26:00 PM"</f>
        <v>7/15/2014 2:26:00 PM</v>
      </c>
      <c r="O7745" t="s">
        <v>23435</v>
      </c>
      <c r="T7745" t="s">
        <v>23436</v>
      </c>
    </row>
    <row r="7746" spans="1:20" x14ac:dyDescent="0.25">
      <c r="A7746" t="str">
        <f>"3078282"</f>
        <v>3078282</v>
      </c>
      <c r="B7746" t="s">
        <v>23438</v>
      </c>
      <c r="C7746" t="str">
        <f>"57972000"</f>
        <v>57972000</v>
      </c>
      <c r="D7746" t="s">
        <v>23439</v>
      </c>
      <c r="E7746" t="s">
        <v>23440</v>
      </c>
      <c r="F7746" t="s">
        <v>17570</v>
      </c>
      <c r="I7746" t="s">
        <v>184</v>
      </c>
      <c r="J7746" t="s">
        <v>30</v>
      </c>
      <c r="K7746" t="s">
        <v>185</v>
      </c>
      <c r="M7746" t="s">
        <v>22859</v>
      </c>
      <c r="N7746" t="str">
        <f>"7/17/2014 10:28:00 AM"</f>
        <v>7/17/2014 10:28:00 AM</v>
      </c>
      <c r="O7746" t="s">
        <v>23439</v>
      </c>
      <c r="T7746" t="s">
        <v>23440</v>
      </c>
    </row>
    <row r="7747" spans="1:20" x14ac:dyDescent="0.25">
      <c r="A7747" t="str">
        <f>"3039310"</f>
        <v>3039310</v>
      </c>
      <c r="B7747" t="s">
        <v>23441</v>
      </c>
      <c r="C7747" t="str">
        <f>"13277500"</f>
        <v>13277500</v>
      </c>
      <c r="D7747" t="s">
        <v>23442</v>
      </c>
      <c r="F7747" t="s">
        <v>23443</v>
      </c>
      <c r="I7747" t="s">
        <v>471</v>
      </c>
      <c r="J7747" t="s">
        <v>30</v>
      </c>
      <c r="K7747" t="s">
        <v>1210</v>
      </c>
      <c r="M7747" t="s">
        <v>22859</v>
      </c>
      <c r="N7747" t="str">
        <f>"7/17/2014 10:57:00 AM"</f>
        <v>7/17/2014 10:57:00 AM</v>
      </c>
      <c r="O7747" t="s">
        <v>23442</v>
      </c>
    </row>
    <row r="7748" spans="1:20" x14ac:dyDescent="0.25">
      <c r="A7748" t="str">
        <f>"3080198"</f>
        <v>3080198</v>
      </c>
      <c r="B7748" t="s">
        <v>23444</v>
      </c>
      <c r="C7748" t="str">
        <f>"13277500"</f>
        <v>13277500</v>
      </c>
      <c r="D7748" t="s">
        <v>23442</v>
      </c>
      <c r="F7748" t="s">
        <v>23443</v>
      </c>
      <c r="I7748" t="s">
        <v>471</v>
      </c>
      <c r="J7748" t="s">
        <v>30</v>
      </c>
      <c r="K7748" t="s">
        <v>1210</v>
      </c>
      <c r="M7748" t="s">
        <v>22859</v>
      </c>
      <c r="N7748" t="str">
        <f>"7/17/2014 10:57:00 AM"</f>
        <v>7/17/2014 10:57:00 AM</v>
      </c>
      <c r="O7748" t="s">
        <v>23442</v>
      </c>
    </row>
    <row r="7749" spans="1:20" x14ac:dyDescent="0.25">
      <c r="A7749" t="str">
        <f>"3057312"</f>
        <v>3057312</v>
      </c>
      <c r="B7749" t="s">
        <v>23445</v>
      </c>
      <c r="C7749" t="str">
        <f>"82532310"</f>
        <v>82532310</v>
      </c>
      <c r="D7749" t="s">
        <v>23342</v>
      </c>
      <c r="F7749" t="s">
        <v>23343</v>
      </c>
      <c r="I7749" t="s">
        <v>3196</v>
      </c>
      <c r="J7749" t="s">
        <v>30</v>
      </c>
      <c r="K7749" t="str">
        <f>"28226"</f>
        <v>28226</v>
      </c>
      <c r="M7749" t="s">
        <v>22859</v>
      </c>
      <c r="N7749" t="str">
        <f>"7/17/2014 1:54:00 PM"</f>
        <v>7/17/2014 1:54:00 PM</v>
      </c>
      <c r="O7749" t="s">
        <v>23342</v>
      </c>
    </row>
    <row r="7750" spans="1:20" x14ac:dyDescent="0.25">
      <c r="A7750" t="str">
        <f>"3043291"</f>
        <v>3043291</v>
      </c>
      <c r="B7750" t="s">
        <v>23446</v>
      </c>
      <c r="C7750" t="str">
        <f>"8303746"</f>
        <v>8303746</v>
      </c>
      <c r="D7750" t="str">
        <f>"HAIRE GEORGE C/LENA C"</f>
        <v>HAIRE GEORGE C/LENA C</v>
      </c>
      <c r="E7750" t="s">
        <v>23447</v>
      </c>
      <c r="F7750" t="s">
        <v>7074</v>
      </c>
      <c r="I7750" t="s">
        <v>29</v>
      </c>
      <c r="J7750" t="s">
        <v>30</v>
      </c>
      <c r="K7750" t="str">
        <f>"27028"</f>
        <v>27028</v>
      </c>
      <c r="M7750" t="s">
        <v>17861</v>
      </c>
      <c r="N7750" t="str">
        <f>"7/22/2014 10:58:00 AM"</f>
        <v>7/22/2014 10:58:00 AM</v>
      </c>
      <c r="O7750" t="str">
        <f>"HAIRE GEORGE C/LENA C"</f>
        <v>HAIRE GEORGE C/LENA C</v>
      </c>
      <c r="T7750" t="s">
        <v>23447</v>
      </c>
    </row>
    <row r="7751" spans="1:20" x14ac:dyDescent="0.25">
      <c r="A7751" t="str">
        <f>"3057722"</f>
        <v>3057722</v>
      </c>
      <c r="B7751" t="s">
        <v>23448</v>
      </c>
      <c r="C7751" t="str">
        <f>"8303769"</f>
        <v>8303769</v>
      </c>
      <c r="D7751" t="s">
        <v>23449</v>
      </c>
      <c r="F7751" t="s">
        <v>23450</v>
      </c>
      <c r="I7751" t="s">
        <v>29</v>
      </c>
      <c r="J7751" t="s">
        <v>30</v>
      </c>
      <c r="K7751" t="str">
        <f>"27028"</f>
        <v>27028</v>
      </c>
      <c r="M7751" t="s">
        <v>17861</v>
      </c>
      <c r="N7751" t="str">
        <f>"7/22/2014 2:07:00 PM"</f>
        <v>7/22/2014 2:07:00 PM</v>
      </c>
      <c r="O7751" t="s">
        <v>23449</v>
      </c>
    </row>
    <row r="7752" spans="1:20" x14ac:dyDescent="0.25">
      <c r="A7752" t="str">
        <f>"3061060"</f>
        <v>3061060</v>
      </c>
      <c r="B7752" t="s">
        <v>23451</v>
      </c>
      <c r="C7752" t="str">
        <f>"8303783"</f>
        <v>8303783</v>
      </c>
      <c r="D7752" t="s">
        <v>23452</v>
      </c>
      <c r="E7752" t="s">
        <v>23453</v>
      </c>
      <c r="F7752" t="s">
        <v>23454</v>
      </c>
      <c r="I7752" t="s">
        <v>184</v>
      </c>
      <c r="J7752" t="s">
        <v>30</v>
      </c>
      <c r="K7752" t="str">
        <f>"27006"</f>
        <v>27006</v>
      </c>
      <c r="M7752" t="s">
        <v>17861</v>
      </c>
      <c r="N7752" t="str">
        <f>"7/22/2014 3:16:00 PM"</f>
        <v>7/22/2014 3:16:00 PM</v>
      </c>
      <c r="O7752" t="s">
        <v>23452</v>
      </c>
      <c r="T7752" t="s">
        <v>23453</v>
      </c>
    </row>
    <row r="7753" spans="1:20" x14ac:dyDescent="0.25">
      <c r="A7753" t="str">
        <f>"3046525"</f>
        <v>3046525</v>
      </c>
      <c r="B7753" t="s">
        <v>23455</v>
      </c>
      <c r="C7753" t="str">
        <f>"8304005"</f>
        <v>8304005</v>
      </c>
      <c r="D7753" t="s">
        <v>23456</v>
      </c>
      <c r="E7753" t="s">
        <v>23457</v>
      </c>
      <c r="F7753" t="s">
        <v>23458</v>
      </c>
      <c r="I7753" t="s">
        <v>29</v>
      </c>
      <c r="J7753" t="s">
        <v>30</v>
      </c>
      <c r="K7753" t="str">
        <f>"27028"</f>
        <v>27028</v>
      </c>
      <c r="M7753" t="s">
        <v>17861</v>
      </c>
      <c r="N7753" t="str">
        <f>"8/26/2014 10:10:00 AM"</f>
        <v>8/26/2014 10:10:00 AM</v>
      </c>
      <c r="O7753" t="s">
        <v>23456</v>
      </c>
      <c r="T7753" t="s">
        <v>23457</v>
      </c>
    </row>
    <row r="7754" spans="1:20" x14ac:dyDescent="0.25">
      <c r="A7754" t="str">
        <f>"3051021"</f>
        <v>3051021</v>
      </c>
      <c r="B7754" t="s">
        <v>23459</v>
      </c>
      <c r="C7754" t="str">
        <f>"8304007"</f>
        <v>8304007</v>
      </c>
      <c r="D7754" t="s">
        <v>23460</v>
      </c>
      <c r="E7754" t="s">
        <v>23461</v>
      </c>
      <c r="F7754" t="s">
        <v>23462</v>
      </c>
      <c r="I7754" t="s">
        <v>29</v>
      </c>
      <c r="J7754" t="s">
        <v>30</v>
      </c>
      <c r="K7754" t="str">
        <f>"27028"</f>
        <v>27028</v>
      </c>
      <c r="M7754" t="s">
        <v>17861</v>
      </c>
      <c r="N7754" t="str">
        <f>"8/26/2014 10:34:00 AM"</f>
        <v>8/26/2014 10:34:00 AM</v>
      </c>
      <c r="O7754" t="s">
        <v>23460</v>
      </c>
      <c r="T7754" t="s">
        <v>23461</v>
      </c>
    </row>
    <row r="7755" spans="1:20" x14ac:dyDescent="0.25">
      <c r="A7755" t="str">
        <f>"3047958"</f>
        <v>3047958</v>
      </c>
      <c r="B7755" t="s">
        <v>23463</v>
      </c>
      <c r="C7755" t="str">
        <f>"8303794"</f>
        <v>8303794</v>
      </c>
      <c r="D7755" t="s">
        <v>23464</v>
      </c>
      <c r="F7755" t="s">
        <v>9291</v>
      </c>
      <c r="I7755" t="s">
        <v>402</v>
      </c>
      <c r="J7755" t="s">
        <v>30</v>
      </c>
      <c r="K7755" t="str">
        <f>"27012"</f>
        <v>27012</v>
      </c>
      <c r="M7755" t="s">
        <v>17861</v>
      </c>
      <c r="N7755" t="str">
        <f>"7/22/2014 4:06:00 PM"</f>
        <v>7/22/2014 4:06:00 PM</v>
      </c>
      <c r="O7755" t="s">
        <v>23464</v>
      </c>
    </row>
    <row r="7756" spans="1:20" x14ac:dyDescent="0.25">
      <c r="A7756" t="str">
        <f>"3046740"</f>
        <v>3046740</v>
      </c>
      <c r="B7756" t="s">
        <v>23465</v>
      </c>
      <c r="C7756" t="str">
        <f>"8303859"</f>
        <v>8303859</v>
      </c>
      <c r="D7756" t="s">
        <v>23466</v>
      </c>
      <c r="E7756" t="s">
        <v>23467</v>
      </c>
      <c r="F7756" t="s">
        <v>23468</v>
      </c>
      <c r="I7756" t="s">
        <v>184</v>
      </c>
      <c r="J7756" t="s">
        <v>30</v>
      </c>
      <c r="K7756" t="str">
        <f>"27006"</f>
        <v>27006</v>
      </c>
      <c r="M7756" t="s">
        <v>17861</v>
      </c>
      <c r="N7756" t="str">
        <f>"7/23/2014 2:28:00 PM"</f>
        <v>7/23/2014 2:28:00 PM</v>
      </c>
      <c r="O7756" t="s">
        <v>23466</v>
      </c>
      <c r="T7756" t="s">
        <v>23467</v>
      </c>
    </row>
    <row r="7757" spans="1:20" x14ac:dyDescent="0.25">
      <c r="A7757" t="str">
        <f>"3050379"</f>
        <v>3050379</v>
      </c>
      <c r="B7757" t="s">
        <v>23469</v>
      </c>
      <c r="C7757" t="str">
        <f>"8303864"</f>
        <v>8303864</v>
      </c>
      <c r="D7757" t="s">
        <v>23470</v>
      </c>
      <c r="E7757" t="s">
        <v>23471</v>
      </c>
      <c r="F7757" t="s">
        <v>23472</v>
      </c>
      <c r="I7757" t="s">
        <v>184</v>
      </c>
      <c r="J7757" t="s">
        <v>30</v>
      </c>
      <c r="K7757" t="str">
        <f>"27006"</f>
        <v>27006</v>
      </c>
      <c r="M7757" t="s">
        <v>17861</v>
      </c>
      <c r="N7757" t="str">
        <f>"7/23/2014 2:41:00 PM"</f>
        <v>7/23/2014 2:41:00 PM</v>
      </c>
      <c r="O7757" t="s">
        <v>23470</v>
      </c>
      <c r="T7757" t="s">
        <v>23471</v>
      </c>
    </row>
    <row r="7758" spans="1:20" x14ac:dyDescent="0.25">
      <c r="A7758" t="str">
        <f>"3061600"</f>
        <v>3061600</v>
      </c>
      <c r="B7758" t="s">
        <v>23473</v>
      </c>
      <c r="C7758" t="str">
        <f>"8303906"</f>
        <v>8303906</v>
      </c>
      <c r="D7758" t="s">
        <v>23474</v>
      </c>
      <c r="E7758" t="s">
        <v>23475</v>
      </c>
      <c r="F7758" t="s">
        <v>23476</v>
      </c>
      <c r="I7758" t="s">
        <v>29</v>
      </c>
      <c r="J7758" t="s">
        <v>30</v>
      </c>
      <c r="K7758" t="str">
        <f>"27028"</f>
        <v>27028</v>
      </c>
      <c r="M7758" t="s">
        <v>17861</v>
      </c>
      <c r="N7758" t="str">
        <f>"7/29/2014 11:24:00 AM"</f>
        <v>7/29/2014 11:24:00 AM</v>
      </c>
      <c r="O7758" t="s">
        <v>23474</v>
      </c>
      <c r="T7758" t="s">
        <v>23475</v>
      </c>
    </row>
    <row r="7759" spans="1:20" x14ac:dyDescent="0.25">
      <c r="A7759" t="str">
        <f>"3052120"</f>
        <v>3052120</v>
      </c>
      <c r="B7759" t="s">
        <v>23477</v>
      </c>
      <c r="C7759" t="str">
        <f>"8303907"</f>
        <v>8303907</v>
      </c>
      <c r="D7759" t="s">
        <v>23478</v>
      </c>
      <c r="E7759" t="s">
        <v>23479</v>
      </c>
      <c r="F7759" t="s">
        <v>23480</v>
      </c>
      <c r="I7759" t="s">
        <v>29</v>
      </c>
      <c r="J7759" t="s">
        <v>30</v>
      </c>
      <c r="K7759" t="str">
        <f>"27028"</f>
        <v>27028</v>
      </c>
      <c r="M7759" t="s">
        <v>17861</v>
      </c>
      <c r="N7759" t="str">
        <f>"7/29/2014 11:30:00 AM"</f>
        <v>7/29/2014 11:30:00 AM</v>
      </c>
      <c r="O7759" t="s">
        <v>23478</v>
      </c>
      <c r="T7759" t="s">
        <v>23479</v>
      </c>
    </row>
    <row r="7760" spans="1:20" x14ac:dyDescent="0.25">
      <c r="A7760" t="str">
        <f>"3052551"</f>
        <v>3052551</v>
      </c>
      <c r="B7760" t="s">
        <v>23481</v>
      </c>
      <c r="C7760" t="str">
        <f>"8303908"</f>
        <v>8303908</v>
      </c>
      <c r="D7760" t="s">
        <v>23482</v>
      </c>
      <c r="F7760" t="s">
        <v>23483</v>
      </c>
      <c r="I7760" t="s">
        <v>29</v>
      </c>
      <c r="J7760" t="s">
        <v>30</v>
      </c>
      <c r="K7760" t="str">
        <f>"27028"</f>
        <v>27028</v>
      </c>
      <c r="M7760" t="s">
        <v>17861</v>
      </c>
      <c r="N7760" t="str">
        <f>"7/29/2014 12:06:00 PM"</f>
        <v>7/29/2014 12:06:00 PM</v>
      </c>
      <c r="O7760" t="s">
        <v>23482</v>
      </c>
    </row>
    <row r="7761" spans="1:20" x14ac:dyDescent="0.25">
      <c r="A7761" t="str">
        <f>"3041466"</f>
        <v>3041466</v>
      </c>
      <c r="B7761" t="s">
        <v>23484</v>
      </c>
      <c r="C7761" t="str">
        <f>"8303910"</f>
        <v>8303910</v>
      </c>
      <c r="D7761" t="s">
        <v>23485</v>
      </c>
      <c r="E7761" t="s">
        <v>23486</v>
      </c>
      <c r="F7761" t="s">
        <v>23487</v>
      </c>
      <c r="I7761" t="s">
        <v>2071</v>
      </c>
      <c r="J7761" t="s">
        <v>30</v>
      </c>
      <c r="K7761" t="str">
        <f>"27006"</f>
        <v>27006</v>
      </c>
      <c r="M7761" t="s">
        <v>17861</v>
      </c>
      <c r="N7761" t="str">
        <f>"7/29/2014 12:32:00 PM"</f>
        <v>7/29/2014 12:32:00 PM</v>
      </c>
      <c r="O7761" t="s">
        <v>23485</v>
      </c>
      <c r="T7761" t="s">
        <v>23486</v>
      </c>
    </row>
    <row r="7762" spans="1:20" x14ac:dyDescent="0.25">
      <c r="A7762" t="str">
        <f>"3061372"</f>
        <v>3061372</v>
      </c>
      <c r="B7762" t="s">
        <v>23488</v>
      </c>
      <c r="C7762" t="str">
        <f>"8303925"</f>
        <v>8303925</v>
      </c>
      <c r="D7762" t="s">
        <v>23489</v>
      </c>
      <c r="F7762" t="s">
        <v>23490</v>
      </c>
      <c r="I7762" t="s">
        <v>184</v>
      </c>
      <c r="J7762" t="s">
        <v>30</v>
      </c>
      <c r="K7762" t="str">
        <f>"27006"</f>
        <v>27006</v>
      </c>
      <c r="M7762" t="s">
        <v>17861</v>
      </c>
      <c r="N7762" t="str">
        <f>"8/5/2014 10:21:00 AM"</f>
        <v>8/5/2014 10:21:00 AM</v>
      </c>
      <c r="O7762" t="s">
        <v>23489</v>
      </c>
    </row>
    <row r="7763" spans="1:20" x14ac:dyDescent="0.25">
      <c r="A7763" t="str">
        <f>"3060851"</f>
        <v>3060851</v>
      </c>
      <c r="B7763" t="s">
        <v>23491</v>
      </c>
      <c r="C7763" t="str">
        <f>"8303929"</f>
        <v>8303929</v>
      </c>
      <c r="D7763" t="s">
        <v>23492</v>
      </c>
      <c r="E7763" t="s">
        <v>23493</v>
      </c>
      <c r="F7763" t="s">
        <v>23494</v>
      </c>
      <c r="I7763" t="s">
        <v>184</v>
      </c>
      <c r="J7763" t="s">
        <v>30</v>
      </c>
      <c r="K7763" t="str">
        <f>"27006"</f>
        <v>27006</v>
      </c>
      <c r="M7763" t="s">
        <v>17861</v>
      </c>
      <c r="N7763" t="str">
        <f>"8/5/2014 10:50:00 AM"</f>
        <v>8/5/2014 10:50:00 AM</v>
      </c>
      <c r="O7763" t="s">
        <v>23492</v>
      </c>
      <c r="T7763" t="s">
        <v>23493</v>
      </c>
    </row>
    <row r="7764" spans="1:20" x14ac:dyDescent="0.25">
      <c r="A7764" t="str">
        <f>"3064003"</f>
        <v>3064003</v>
      </c>
      <c r="B7764" t="s">
        <v>23495</v>
      </c>
      <c r="C7764" t="str">
        <f>"82515992"</f>
        <v>82515992</v>
      </c>
      <c r="D7764" t="s">
        <v>23412</v>
      </c>
      <c r="E7764" t="s">
        <v>23413</v>
      </c>
      <c r="F7764" t="s">
        <v>23414</v>
      </c>
      <c r="I7764" t="s">
        <v>184</v>
      </c>
      <c r="J7764" t="s">
        <v>30</v>
      </c>
      <c r="K7764" t="s">
        <v>185</v>
      </c>
      <c r="M7764" t="s">
        <v>18479</v>
      </c>
      <c r="N7764" t="str">
        <f>"8/8/2014 8:56:00 AM"</f>
        <v>8/8/2014 8:56:00 AM</v>
      </c>
      <c r="O7764" t="s">
        <v>23412</v>
      </c>
      <c r="T7764" t="s">
        <v>23413</v>
      </c>
    </row>
    <row r="7765" spans="1:20" x14ac:dyDescent="0.25">
      <c r="A7765" t="str">
        <f>"3060503"</f>
        <v>3060503</v>
      </c>
      <c r="B7765" t="s">
        <v>23496</v>
      </c>
      <c r="C7765" t="str">
        <f>"82515992"</f>
        <v>82515992</v>
      </c>
      <c r="D7765" t="s">
        <v>23412</v>
      </c>
      <c r="E7765" t="s">
        <v>23413</v>
      </c>
      <c r="F7765" t="s">
        <v>23414</v>
      </c>
      <c r="I7765" t="s">
        <v>184</v>
      </c>
      <c r="J7765" t="s">
        <v>30</v>
      </c>
      <c r="K7765" t="s">
        <v>185</v>
      </c>
      <c r="M7765" t="s">
        <v>18479</v>
      </c>
      <c r="N7765" t="str">
        <f>"8/8/2014 8:56:00 AM"</f>
        <v>8/8/2014 8:56:00 AM</v>
      </c>
      <c r="O7765" t="s">
        <v>23412</v>
      </c>
      <c r="T7765" t="s">
        <v>23413</v>
      </c>
    </row>
    <row r="7766" spans="1:20" x14ac:dyDescent="0.25">
      <c r="A7766" t="str">
        <f>"3042577"</f>
        <v>3042577</v>
      </c>
      <c r="B7766" t="s">
        <v>23497</v>
      </c>
      <c r="C7766" t="str">
        <f>"82515992"</f>
        <v>82515992</v>
      </c>
      <c r="D7766" t="s">
        <v>23412</v>
      </c>
      <c r="E7766" t="s">
        <v>23413</v>
      </c>
      <c r="F7766" t="s">
        <v>23414</v>
      </c>
      <c r="I7766" t="s">
        <v>184</v>
      </c>
      <c r="J7766" t="s">
        <v>30</v>
      </c>
      <c r="K7766" t="s">
        <v>185</v>
      </c>
      <c r="M7766" t="s">
        <v>18479</v>
      </c>
      <c r="N7766" t="str">
        <f>"8/8/2014 8:56:00 AM"</f>
        <v>8/8/2014 8:56:00 AM</v>
      </c>
      <c r="O7766" t="s">
        <v>23412</v>
      </c>
      <c r="T7766" t="s">
        <v>23413</v>
      </c>
    </row>
    <row r="7767" spans="1:20" x14ac:dyDescent="0.25">
      <c r="A7767" t="str">
        <f>"3042124"</f>
        <v>3042124</v>
      </c>
      <c r="B7767" t="s">
        <v>23498</v>
      </c>
      <c r="C7767" t="str">
        <f>"82515992"</f>
        <v>82515992</v>
      </c>
      <c r="D7767" t="s">
        <v>23412</v>
      </c>
      <c r="E7767" t="s">
        <v>23413</v>
      </c>
      <c r="F7767" t="s">
        <v>23414</v>
      </c>
      <c r="I7767" t="s">
        <v>184</v>
      </c>
      <c r="J7767" t="s">
        <v>30</v>
      </c>
      <c r="K7767" t="s">
        <v>185</v>
      </c>
      <c r="M7767" t="s">
        <v>18479</v>
      </c>
      <c r="N7767" t="str">
        <f>"8/8/2014 8:56:00 AM"</f>
        <v>8/8/2014 8:56:00 AM</v>
      </c>
      <c r="O7767" t="s">
        <v>23412</v>
      </c>
      <c r="T7767" t="s">
        <v>23413</v>
      </c>
    </row>
    <row r="7768" spans="1:20" x14ac:dyDescent="0.25">
      <c r="A7768" t="str">
        <f>"3057829"</f>
        <v>3057829</v>
      </c>
      <c r="B7768" t="s">
        <v>23499</v>
      </c>
      <c r="C7768" t="str">
        <f>"8302062"</f>
        <v>8302062</v>
      </c>
      <c r="D7768" t="s">
        <v>23500</v>
      </c>
      <c r="E7768" t="s">
        <v>23501</v>
      </c>
      <c r="F7768" t="s">
        <v>23502</v>
      </c>
      <c r="I7768" t="s">
        <v>184</v>
      </c>
      <c r="J7768" t="s">
        <v>30</v>
      </c>
      <c r="K7768" t="str">
        <f>"27006"</f>
        <v>27006</v>
      </c>
      <c r="M7768" t="s">
        <v>17922</v>
      </c>
      <c r="N7768" t="str">
        <f>"8/11/2014 2:16:00 PM"</f>
        <v>8/11/2014 2:16:00 PM</v>
      </c>
      <c r="O7768" t="s">
        <v>23500</v>
      </c>
      <c r="T7768" t="s">
        <v>23501</v>
      </c>
    </row>
    <row r="7769" spans="1:20" x14ac:dyDescent="0.25">
      <c r="A7769" t="str">
        <f>"3048546"</f>
        <v>3048546</v>
      </c>
      <c r="B7769" t="s">
        <v>23503</v>
      </c>
      <c r="C7769" t="str">
        <f>"82530628"</f>
        <v>82530628</v>
      </c>
      <c r="D7769" t="s">
        <v>9473</v>
      </c>
      <c r="F7769" t="s">
        <v>9475</v>
      </c>
      <c r="I7769" t="s">
        <v>29</v>
      </c>
      <c r="J7769" t="s">
        <v>30</v>
      </c>
      <c r="K7769" t="s">
        <v>31</v>
      </c>
      <c r="M7769" t="s">
        <v>17922</v>
      </c>
      <c r="N7769" t="str">
        <f>"9/4/2014 2:37:00 PM"</f>
        <v>9/4/2014 2:37:00 PM</v>
      </c>
      <c r="O7769" t="s">
        <v>9473</v>
      </c>
    </row>
    <row r="7770" spans="1:20" x14ac:dyDescent="0.25">
      <c r="A7770" t="str">
        <f>"3060319"</f>
        <v>3060319</v>
      </c>
      <c r="B7770" t="s">
        <v>23504</v>
      </c>
      <c r="C7770" t="str">
        <f>"82515663"</f>
        <v>82515663</v>
      </c>
      <c r="D7770" t="s">
        <v>23505</v>
      </c>
      <c r="E7770" t="s">
        <v>23506</v>
      </c>
      <c r="F7770" t="s">
        <v>23507</v>
      </c>
      <c r="I7770" t="s">
        <v>29</v>
      </c>
      <c r="J7770" t="s">
        <v>30</v>
      </c>
      <c r="K7770" t="s">
        <v>23508</v>
      </c>
      <c r="M7770" t="s">
        <v>23082</v>
      </c>
      <c r="N7770" t="str">
        <f>"7/11/2014 2:01:00 PM"</f>
        <v>7/11/2014 2:01:00 PM</v>
      </c>
      <c r="O7770" t="s">
        <v>23505</v>
      </c>
      <c r="T7770" t="s">
        <v>23506</v>
      </c>
    </row>
    <row r="7771" spans="1:20" x14ac:dyDescent="0.25">
      <c r="A7771" t="str">
        <f>"3057936"</f>
        <v>3057936</v>
      </c>
      <c r="B7771" t="s">
        <v>23509</v>
      </c>
      <c r="C7771" t="str">
        <f>"8304045"</f>
        <v>8304045</v>
      </c>
      <c r="D7771" t="s">
        <v>23510</v>
      </c>
      <c r="E7771" t="s">
        <v>23511</v>
      </c>
      <c r="F7771" t="s">
        <v>23512</v>
      </c>
      <c r="I7771" t="s">
        <v>184</v>
      </c>
      <c r="J7771" t="s">
        <v>30</v>
      </c>
      <c r="K7771" t="str">
        <f>"27006"</f>
        <v>27006</v>
      </c>
      <c r="M7771" t="s">
        <v>17861</v>
      </c>
      <c r="N7771" t="str">
        <f>"9/5/2014 3:43:00 PM"</f>
        <v>9/5/2014 3:43:00 PM</v>
      </c>
      <c r="O7771" t="s">
        <v>23510</v>
      </c>
      <c r="T7771" t="s">
        <v>23511</v>
      </c>
    </row>
    <row r="7772" spans="1:20" x14ac:dyDescent="0.25">
      <c r="A7772" t="str">
        <f>"3061178"</f>
        <v>3061178</v>
      </c>
      <c r="B7772" t="s">
        <v>23513</v>
      </c>
      <c r="C7772" t="str">
        <f>"8304048"</f>
        <v>8304048</v>
      </c>
      <c r="D7772" t="s">
        <v>23514</v>
      </c>
      <c r="F7772" t="s">
        <v>23515</v>
      </c>
      <c r="I7772" t="s">
        <v>184</v>
      </c>
      <c r="J7772" t="s">
        <v>30</v>
      </c>
      <c r="K7772" t="str">
        <f>"27006"</f>
        <v>27006</v>
      </c>
      <c r="M7772" t="s">
        <v>17861</v>
      </c>
      <c r="N7772" t="str">
        <f>"9/5/2014 3:51:00 PM"</f>
        <v>9/5/2014 3:51:00 PM</v>
      </c>
      <c r="O7772" t="s">
        <v>23514</v>
      </c>
    </row>
    <row r="7773" spans="1:20" x14ac:dyDescent="0.25">
      <c r="A7773" t="str">
        <f>"3058509"</f>
        <v>3058509</v>
      </c>
      <c r="B7773" t="s">
        <v>23516</v>
      </c>
      <c r="C7773" t="str">
        <f>"21352000"</f>
        <v>21352000</v>
      </c>
      <c r="D7773" t="s">
        <v>23517</v>
      </c>
      <c r="F7773" t="s">
        <v>23518</v>
      </c>
      <c r="I7773" t="s">
        <v>2525</v>
      </c>
      <c r="J7773" t="s">
        <v>30</v>
      </c>
      <c r="K7773" t="s">
        <v>10998</v>
      </c>
      <c r="M7773" t="s">
        <v>18479</v>
      </c>
      <c r="N7773" t="str">
        <f>"8/13/2014 8:34:00 AM"</f>
        <v>8/13/2014 8:34:00 AM</v>
      </c>
      <c r="O7773" t="s">
        <v>23517</v>
      </c>
    </row>
    <row r="7774" spans="1:20" x14ac:dyDescent="0.25">
      <c r="A7774" t="str">
        <f>"3055025"</f>
        <v>3055025</v>
      </c>
      <c r="B7774" t="s">
        <v>23519</v>
      </c>
      <c r="C7774" t="str">
        <f>"8304061"</f>
        <v>8304061</v>
      </c>
      <c r="D7774" t="s">
        <v>23520</v>
      </c>
      <c r="E7774" t="s">
        <v>23521</v>
      </c>
      <c r="F7774" t="s">
        <v>23522</v>
      </c>
      <c r="I7774" t="s">
        <v>29</v>
      </c>
      <c r="J7774" t="s">
        <v>30</v>
      </c>
      <c r="K7774" t="str">
        <f>"27028"</f>
        <v>27028</v>
      </c>
      <c r="M7774" t="s">
        <v>17861</v>
      </c>
      <c r="N7774" t="str">
        <f>"9/5/2014 4:28:00 PM"</f>
        <v>9/5/2014 4:28:00 PM</v>
      </c>
      <c r="O7774" t="s">
        <v>23520</v>
      </c>
      <c r="T7774" t="s">
        <v>23521</v>
      </c>
    </row>
    <row r="7775" spans="1:20" x14ac:dyDescent="0.25">
      <c r="A7775" t="str">
        <f>"3055375"</f>
        <v>3055375</v>
      </c>
      <c r="B7775" t="s">
        <v>23523</v>
      </c>
      <c r="C7775" t="str">
        <f>"8302406"</f>
        <v>8302406</v>
      </c>
      <c r="D7775" t="s">
        <v>23524</v>
      </c>
      <c r="E7775" t="s">
        <v>23525</v>
      </c>
      <c r="F7775" t="s">
        <v>23526</v>
      </c>
      <c r="I7775" t="s">
        <v>29</v>
      </c>
      <c r="J7775" t="s">
        <v>30</v>
      </c>
      <c r="K7775" t="str">
        <f>"27028"</f>
        <v>27028</v>
      </c>
      <c r="M7775" t="s">
        <v>18479</v>
      </c>
      <c r="N7775" t="str">
        <f>"8/13/2014 11:28:00 AM"</f>
        <v>8/13/2014 11:28:00 AM</v>
      </c>
      <c r="O7775" t="s">
        <v>23524</v>
      </c>
      <c r="T7775" t="s">
        <v>23525</v>
      </c>
    </row>
    <row r="7776" spans="1:20" x14ac:dyDescent="0.25">
      <c r="A7776" t="str">
        <f>"3040833"</f>
        <v>3040833</v>
      </c>
      <c r="B7776" t="s">
        <v>23527</v>
      </c>
      <c r="C7776" t="str">
        <f>"82516613"</f>
        <v>82516613</v>
      </c>
      <c r="D7776" t="s">
        <v>18235</v>
      </c>
      <c r="E7776" t="s">
        <v>18236</v>
      </c>
      <c r="F7776" t="s">
        <v>23528</v>
      </c>
      <c r="I7776" t="s">
        <v>184</v>
      </c>
      <c r="J7776" t="s">
        <v>30</v>
      </c>
      <c r="K7776" t="str">
        <f>"27006"</f>
        <v>27006</v>
      </c>
      <c r="M7776" t="s">
        <v>18479</v>
      </c>
      <c r="N7776" t="str">
        <f>"8/13/2014 1:44:00 PM"</f>
        <v>8/13/2014 1:44:00 PM</v>
      </c>
      <c r="O7776" t="s">
        <v>18235</v>
      </c>
      <c r="T7776" t="s">
        <v>18236</v>
      </c>
    </row>
    <row r="7777" spans="1:20" x14ac:dyDescent="0.25">
      <c r="A7777" t="str">
        <f>"3054822"</f>
        <v>3054822</v>
      </c>
      <c r="B7777" t="s">
        <v>23529</v>
      </c>
      <c r="C7777" t="str">
        <f>"24418750"</f>
        <v>24418750</v>
      </c>
      <c r="D7777" t="s">
        <v>23530</v>
      </c>
      <c r="E7777" t="s">
        <v>23531</v>
      </c>
      <c r="F7777" t="s">
        <v>23532</v>
      </c>
      <c r="I7777" t="s">
        <v>23533</v>
      </c>
      <c r="J7777" t="s">
        <v>582</v>
      </c>
      <c r="K7777" t="s">
        <v>23534</v>
      </c>
      <c r="M7777" t="s">
        <v>17861</v>
      </c>
      <c r="N7777" t="str">
        <f>"9/9/2014 10:54:00 AM"</f>
        <v>9/9/2014 10:54:00 AM</v>
      </c>
      <c r="O7777" t="s">
        <v>23530</v>
      </c>
      <c r="T7777" t="s">
        <v>23531</v>
      </c>
    </row>
    <row r="7778" spans="1:20" x14ac:dyDescent="0.25">
      <c r="A7778" t="str">
        <f>"3066234"</f>
        <v>3066234</v>
      </c>
      <c r="B7778" t="s">
        <v>23535</v>
      </c>
      <c r="C7778" t="str">
        <f>"8301158"</f>
        <v>8301158</v>
      </c>
      <c r="D7778" t="s">
        <v>23536</v>
      </c>
      <c r="F7778" t="s">
        <v>23537</v>
      </c>
      <c r="G7778" t="s">
        <v>23538</v>
      </c>
      <c r="I7778" t="s">
        <v>402</v>
      </c>
      <c r="J7778" t="s">
        <v>30</v>
      </c>
      <c r="K7778" t="s">
        <v>403</v>
      </c>
      <c r="M7778" t="s">
        <v>18432</v>
      </c>
      <c r="N7778" t="str">
        <f>"8/13/2014 3:04:00 PM"</f>
        <v>8/13/2014 3:04:00 PM</v>
      </c>
      <c r="O7778" t="s">
        <v>23536</v>
      </c>
    </row>
    <row r="7779" spans="1:20" x14ac:dyDescent="0.25">
      <c r="A7779" t="str">
        <f>"3049835"</f>
        <v>3049835</v>
      </c>
      <c r="B7779" t="s">
        <v>23539</v>
      </c>
      <c r="C7779" t="str">
        <f>"8303972"</f>
        <v>8303972</v>
      </c>
      <c r="D7779" t="s">
        <v>23540</v>
      </c>
      <c r="F7779" t="s">
        <v>23541</v>
      </c>
      <c r="I7779" t="s">
        <v>29</v>
      </c>
      <c r="J7779" t="s">
        <v>30</v>
      </c>
      <c r="K7779" t="str">
        <f>"27028"</f>
        <v>27028</v>
      </c>
      <c r="M7779" t="s">
        <v>17861</v>
      </c>
      <c r="N7779" t="str">
        <f>"8/19/2014 9:27:00 AM"</f>
        <v>8/19/2014 9:27:00 AM</v>
      </c>
      <c r="O7779" t="s">
        <v>23540</v>
      </c>
    </row>
    <row r="7780" spans="1:20" x14ac:dyDescent="0.25">
      <c r="A7780" t="str">
        <f>"3053687"</f>
        <v>3053687</v>
      </c>
      <c r="B7780" t="s">
        <v>23542</v>
      </c>
      <c r="C7780" t="str">
        <f>"8304064"</f>
        <v>8304064</v>
      </c>
      <c r="D7780" t="s">
        <v>23543</v>
      </c>
      <c r="F7780" t="s">
        <v>23544</v>
      </c>
      <c r="I7780" t="s">
        <v>29</v>
      </c>
      <c r="J7780" t="s">
        <v>30</v>
      </c>
      <c r="K7780" t="str">
        <f>"27028"</f>
        <v>27028</v>
      </c>
      <c r="M7780" t="s">
        <v>17861</v>
      </c>
      <c r="N7780" t="str">
        <f>"9/9/2014 3:46:00 PM"</f>
        <v>9/9/2014 3:46:00 PM</v>
      </c>
      <c r="O7780" t="s">
        <v>23543</v>
      </c>
    </row>
    <row r="7781" spans="1:20" x14ac:dyDescent="0.25">
      <c r="A7781" t="str">
        <f>"3053295"</f>
        <v>3053295</v>
      </c>
      <c r="B7781" t="s">
        <v>23545</v>
      </c>
      <c r="C7781" t="str">
        <f>"8304064"</f>
        <v>8304064</v>
      </c>
      <c r="D7781" t="s">
        <v>23543</v>
      </c>
      <c r="F7781" t="s">
        <v>23544</v>
      </c>
      <c r="I7781" t="s">
        <v>29</v>
      </c>
      <c r="J7781" t="s">
        <v>30</v>
      </c>
      <c r="K7781" t="str">
        <f>"27028"</f>
        <v>27028</v>
      </c>
      <c r="M7781" t="s">
        <v>17861</v>
      </c>
      <c r="N7781" t="str">
        <f>"9/9/2014 3:46:00 PM"</f>
        <v>9/9/2014 3:46:00 PM</v>
      </c>
      <c r="O7781" t="s">
        <v>23543</v>
      </c>
    </row>
    <row r="7782" spans="1:20" x14ac:dyDescent="0.25">
      <c r="A7782" t="str">
        <f>"3038577"</f>
        <v>3038577</v>
      </c>
      <c r="B7782" t="s">
        <v>23546</v>
      </c>
      <c r="C7782" t="str">
        <f>"82518034"</f>
        <v>82518034</v>
      </c>
      <c r="D7782" t="s">
        <v>23547</v>
      </c>
      <c r="E7782" t="s">
        <v>23548</v>
      </c>
      <c r="F7782" t="s">
        <v>23549</v>
      </c>
      <c r="I7782" t="s">
        <v>29</v>
      </c>
      <c r="J7782" t="s">
        <v>30</v>
      </c>
      <c r="K7782" t="s">
        <v>23550</v>
      </c>
      <c r="M7782" t="s">
        <v>18432</v>
      </c>
      <c r="N7782" t="str">
        <f>"8/19/2014 1:05:00 PM"</f>
        <v>8/19/2014 1:05:00 PM</v>
      </c>
      <c r="O7782" t="s">
        <v>23547</v>
      </c>
      <c r="T7782" t="s">
        <v>23548</v>
      </c>
    </row>
    <row r="7783" spans="1:20" x14ac:dyDescent="0.25">
      <c r="A7783" t="str">
        <f>"3040928"</f>
        <v>3040928</v>
      </c>
      <c r="B7783" t="s">
        <v>23551</v>
      </c>
      <c r="C7783" t="str">
        <f>"42314000"</f>
        <v>42314000</v>
      </c>
      <c r="D7783" t="s">
        <v>23552</v>
      </c>
      <c r="F7783" t="s">
        <v>23553</v>
      </c>
      <c r="I7783" t="s">
        <v>184</v>
      </c>
      <c r="J7783" t="s">
        <v>30</v>
      </c>
      <c r="K7783" t="s">
        <v>185</v>
      </c>
      <c r="M7783" t="s">
        <v>18470</v>
      </c>
      <c r="N7783" t="str">
        <f>"8/22/2014 4:04:00 PM"</f>
        <v>8/22/2014 4:04:00 PM</v>
      </c>
      <c r="O7783" t="s">
        <v>23552</v>
      </c>
    </row>
    <row r="7784" spans="1:20" x14ac:dyDescent="0.25">
      <c r="A7784" t="str">
        <f>"3046815"</f>
        <v>3046815</v>
      </c>
      <c r="B7784" t="s">
        <v>23554</v>
      </c>
      <c r="C7784" t="str">
        <f>"8304005"</f>
        <v>8304005</v>
      </c>
      <c r="D7784" t="s">
        <v>23456</v>
      </c>
      <c r="E7784" t="s">
        <v>23457</v>
      </c>
      <c r="F7784" t="s">
        <v>23458</v>
      </c>
      <c r="I7784" t="s">
        <v>29</v>
      </c>
      <c r="J7784" t="s">
        <v>30</v>
      </c>
      <c r="K7784" t="str">
        <f>"27028"</f>
        <v>27028</v>
      </c>
      <c r="M7784" t="s">
        <v>17861</v>
      </c>
      <c r="N7784" t="str">
        <f>"8/26/2014 10:10:00 AM"</f>
        <v>8/26/2014 10:10:00 AM</v>
      </c>
      <c r="O7784" t="s">
        <v>23456</v>
      </c>
      <c r="T7784" t="s">
        <v>23457</v>
      </c>
    </row>
    <row r="7785" spans="1:20" x14ac:dyDescent="0.25">
      <c r="A7785" t="str">
        <f>"3046191"</f>
        <v>3046191</v>
      </c>
      <c r="B7785" t="s">
        <v>23555</v>
      </c>
      <c r="C7785" t="str">
        <f>"8304008"</f>
        <v>8304008</v>
      </c>
      <c r="D7785" t="s">
        <v>23556</v>
      </c>
      <c r="F7785" t="s">
        <v>23557</v>
      </c>
      <c r="I7785" t="s">
        <v>29</v>
      </c>
      <c r="J7785" t="s">
        <v>30</v>
      </c>
      <c r="K7785" t="str">
        <f>"27028"</f>
        <v>27028</v>
      </c>
      <c r="M7785" t="s">
        <v>17861</v>
      </c>
      <c r="N7785" t="str">
        <f>"8/27/2014 9:31:00 AM"</f>
        <v>8/27/2014 9:31:00 AM</v>
      </c>
      <c r="O7785" t="s">
        <v>23556</v>
      </c>
    </row>
    <row r="7786" spans="1:20" x14ac:dyDescent="0.25">
      <c r="A7786" t="str">
        <f>"3046220"</f>
        <v>3046220</v>
      </c>
      <c r="B7786" t="s">
        <v>23558</v>
      </c>
      <c r="C7786" t="str">
        <f>"8304013"</f>
        <v>8304013</v>
      </c>
      <c r="D7786" t="s">
        <v>9803</v>
      </c>
      <c r="E7786" t="s">
        <v>23559</v>
      </c>
      <c r="F7786" t="s">
        <v>9805</v>
      </c>
      <c r="I7786" t="s">
        <v>29</v>
      </c>
      <c r="J7786" t="s">
        <v>30</v>
      </c>
      <c r="K7786" t="str">
        <f>"27028"</f>
        <v>27028</v>
      </c>
      <c r="M7786" t="s">
        <v>17861</v>
      </c>
      <c r="N7786" t="str">
        <f>"8/27/2014 2:14:00 PM"</f>
        <v>8/27/2014 2:14:00 PM</v>
      </c>
      <c r="O7786" t="s">
        <v>9803</v>
      </c>
      <c r="T7786" t="s">
        <v>23559</v>
      </c>
    </row>
    <row r="7787" spans="1:20" x14ac:dyDescent="0.25">
      <c r="A7787" t="str">
        <f>"3039779"</f>
        <v>3039779</v>
      </c>
      <c r="B7787" t="s">
        <v>23560</v>
      </c>
      <c r="C7787" t="str">
        <f>"8300144"</f>
        <v>8300144</v>
      </c>
      <c r="D7787" t="s">
        <v>23561</v>
      </c>
      <c r="E7787" t="s">
        <v>23562</v>
      </c>
      <c r="F7787" t="s">
        <v>23563</v>
      </c>
      <c r="I7787" t="s">
        <v>29</v>
      </c>
      <c r="J7787" t="s">
        <v>30</v>
      </c>
      <c r="K7787" t="s">
        <v>31</v>
      </c>
      <c r="M7787" t="s">
        <v>22859</v>
      </c>
      <c r="N7787" t="str">
        <f>"8/28/2014 10:35:00 AM"</f>
        <v>8/28/2014 10:35:00 AM</v>
      </c>
      <c r="O7787" t="s">
        <v>23561</v>
      </c>
      <c r="T7787" t="s">
        <v>23562</v>
      </c>
    </row>
    <row r="7788" spans="1:20" x14ac:dyDescent="0.25">
      <c r="A7788" t="str">
        <f>"3044505"</f>
        <v>3044505</v>
      </c>
      <c r="B7788" t="s">
        <v>23564</v>
      </c>
      <c r="C7788" t="str">
        <f>"8304097"</f>
        <v>8304097</v>
      </c>
      <c r="D7788" t="s">
        <v>23565</v>
      </c>
      <c r="F7788" t="s">
        <v>23566</v>
      </c>
      <c r="I7788" t="s">
        <v>184</v>
      </c>
      <c r="J7788" t="s">
        <v>30</v>
      </c>
      <c r="K7788" t="str">
        <f>"27006"</f>
        <v>27006</v>
      </c>
      <c r="M7788" t="s">
        <v>17861</v>
      </c>
      <c r="N7788" t="str">
        <f>"9/17/2014 10:42:00 AM"</f>
        <v>9/17/2014 10:42:00 AM</v>
      </c>
      <c r="O7788" t="s">
        <v>23565</v>
      </c>
    </row>
    <row r="7789" spans="1:20" x14ac:dyDescent="0.25">
      <c r="A7789" t="str">
        <f>"3060074"</f>
        <v>3060074</v>
      </c>
      <c r="B7789" t="s">
        <v>23567</v>
      </c>
      <c r="C7789" t="str">
        <f>"8304099"</f>
        <v>8304099</v>
      </c>
      <c r="D7789" t="s">
        <v>23568</v>
      </c>
      <c r="E7789" t="s">
        <v>23569</v>
      </c>
      <c r="F7789" t="s">
        <v>23570</v>
      </c>
      <c r="I7789" t="s">
        <v>184</v>
      </c>
      <c r="J7789" t="s">
        <v>30</v>
      </c>
      <c r="K7789" t="str">
        <f>"27006"</f>
        <v>27006</v>
      </c>
      <c r="M7789" t="s">
        <v>17861</v>
      </c>
      <c r="N7789" t="str">
        <f>"9/17/2014 10:48:00 AM"</f>
        <v>9/17/2014 10:48:00 AM</v>
      </c>
      <c r="O7789" t="s">
        <v>23568</v>
      </c>
      <c r="T7789" t="s">
        <v>23569</v>
      </c>
    </row>
    <row r="7790" spans="1:20" x14ac:dyDescent="0.25">
      <c r="A7790" t="str">
        <f>"3057897"</f>
        <v>3057897</v>
      </c>
      <c r="B7790" t="s">
        <v>23571</v>
      </c>
      <c r="C7790" t="str">
        <f>"65007000"</f>
        <v>65007000</v>
      </c>
      <c r="D7790" t="s">
        <v>23572</v>
      </c>
      <c r="F7790" t="s">
        <v>23573</v>
      </c>
      <c r="I7790" t="s">
        <v>184</v>
      </c>
      <c r="J7790" t="s">
        <v>30</v>
      </c>
      <c r="K7790" t="s">
        <v>185</v>
      </c>
      <c r="M7790" t="s">
        <v>17861</v>
      </c>
      <c r="N7790" t="str">
        <f>"8/28/2014 2:36:00 PM"</f>
        <v>8/28/2014 2:36:00 PM</v>
      </c>
      <c r="O7790" t="s">
        <v>23572</v>
      </c>
    </row>
    <row r="7791" spans="1:20" x14ac:dyDescent="0.25">
      <c r="A7791" t="str">
        <f>"3041857"</f>
        <v>3041857</v>
      </c>
      <c r="B7791" t="s">
        <v>23574</v>
      </c>
      <c r="C7791" t="str">
        <f>"64582000"</f>
        <v>64582000</v>
      </c>
      <c r="D7791" t="s">
        <v>23575</v>
      </c>
      <c r="E7791" t="s">
        <v>23576</v>
      </c>
      <c r="F7791" t="s">
        <v>23577</v>
      </c>
      <c r="I7791" t="s">
        <v>2071</v>
      </c>
      <c r="J7791" t="s">
        <v>30</v>
      </c>
      <c r="K7791" t="s">
        <v>185</v>
      </c>
      <c r="M7791" t="s">
        <v>18470</v>
      </c>
      <c r="N7791" t="str">
        <f>"9/2/2014 10:12:00 AM"</f>
        <v>9/2/2014 10:12:00 AM</v>
      </c>
      <c r="O7791" t="s">
        <v>23575</v>
      </c>
      <c r="T7791" t="s">
        <v>23576</v>
      </c>
    </row>
    <row r="7792" spans="1:20" x14ac:dyDescent="0.25">
      <c r="A7792" t="str">
        <f>"3056935"</f>
        <v>3056935</v>
      </c>
      <c r="B7792" t="s">
        <v>23578</v>
      </c>
      <c r="C7792" t="str">
        <f>"11612000"</f>
        <v>11612000</v>
      </c>
      <c r="D7792" t="s">
        <v>23579</v>
      </c>
      <c r="F7792" t="str">
        <f>"C/O IRMA BURKE WILSON"</f>
        <v>C/O IRMA BURKE WILSON</v>
      </c>
      <c r="G7792" t="s">
        <v>23580</v>
      </c>
      <c r="I7792" t="s">
        <v>23581</v>
      </c>
      <c r="J7792" t="s">
        <v>2109</v>
      </c>
      <c r="K7792" t="s">
        <v>23582</v>
      </c>
      <c r="M7792" t="s">
        <v>17861</v>
      </c>
      <c r="N7792" t="str">
        <f>"9/19/2014 10:00:00 AM"</f>
        <v>9/19/2014 10:00:00 AM</v>
      </c>
      <c r="O7792" t="s">
        <v>23579</v>
      </c>
    </row>
    <row r="7793" spans="1:20" x14ac:dyDescent="0.25">
      <c r="A7793" t="str">
        <f>"3053557"</f>
        <v>3053557</v>
      </c>
      <c r="B7793" t="s">
        <v>23583</v>
      </c>
      <c r="C7793" t="str">
        <f>"8304025"</f>
        <v>8304025</v>
      </c>
      <c r="D7793" t="s">
        <v>23584</v>
      </c>
      <c r="F7793" t="s">
        <v>23585</v>
      </c>
      <c r="I7793" t="s">
        <v>184</v>
      </c>
      <c r="J7793" t="s">
        <v>30</v>
      </c>
      <c r="K7793" t="str">
        <f>"27006"</f>
        <v>27006</v>
      </c>
      <c r="M7793" t="s">
        <v>17861</v>
      </c>
      <c r="N7793" t="str">
        <f>"9/3/2014 11:09:00 AM"</f>
        <v>9/3/2014 11:09:00 AM</v>
      </c>
      <c r="O7793" t="s">
        <v>23584</v>
      </c>
    </row>
    <row r="7794" spans="1:20" x14ac:dyDescent="0.25">
      <c r="A7794" t="str">
        <f>"3042013"</f>
        <v>3042013</v>
      </c>
      <c r="B7794" t="s">
        <v>23586</v>
      </c>
      <c r="C7794" t="str">
        <f>"8302526"</f>
        <v>8302526</v>
      </c>
      <c r="D7794" t="s">
        <v>23587</v>
      </c>
      <c r="E7794" t="s">
        <v>23588</v>
      </c>
      <c r="F7794" t="s">
        <v>23589</v>
      </c>
      <c r="I7794" t="s">
        <v>1107</v>
      </c>
      <c r="J7794" t="s">
        <v>30</v>
      </c>
      <c r="K7794" t="s">
        <v>23590</v>
      </c>
      <c r="M7794" t="s">
        <v>17861</v>
      </c>
      <c r="N7794" t="str">
        <f>"9/3/2014 3:24:00 PM"</f>
        <v>9/3/2014 3:24:00 PM</v>
      </c>
      <c r="O7794" t="s">
        <v>23587</v>
      </c>
      <c r="T7794" t="s">
        <v>23588</v>
      </c>
    </row>
    <row r="7795" spans="1:20" x14ac:dyDescent="0.25">
      <c r="A7795" t="str">
        <f>"3042659"</f>
        <v>3042659</v>
      </c>
      <c r="B7795" t="s">
        <v>23591</v>
      </c>
      <c r="C7795" t="str">
        <f>"8302526"</f>
        <v>8302526</v>
      </c>
      <c r="D7795" t="s">
        <v>23587</v>
      </c>
      <c r="E7795" t="s">
        <v>23588</v>
      </c>
      <c r="F7795" t="s">
        <v>23589</v>
      </c>
      <c r="I7795" t="s">
        <v>1107</v>
      </c>
      <c r="J7795" t="s">
        <v>30</v>
      </c>
      <c r="K7795" t="s">
        <v>23590</v>
      </c>
      <c r="M7795" t="s">
        <v>17861</v>
      </c>
      <c r="N7795" t="str">
        <f>"9/3/2014 3:24:00 PM"</f>
        <v>9/3/2014 3:24:00 PM</v>
      </c>
      <c r="O7795" t="s">
        <v>23587</v>
      </c>
      <c r="T7795" t="s">
        <v>23588</v>
      </c>
    </row>
    <row r="7796" spans="1:20" x14ac:dyDescent="0.25">
      <c r="A7796" t="str">
        <f>"3045198"</f>
        <v>3045198</v>
      </c>
      <c r="B7796" t="s">
        <v>23592</v>
      </c>
      <c r="C7796" t="str">
        <f t="shared" ref="C7796:C7801" si="115">"82530628"</f>
        <v>82530628</v>
      </c>
      <c r="D7796" t="s">
        <v>9473</v>
      </c>
      <c r="F7796" t="s">
        <v>9475</v>
      </c>
      <c r="I7796" t="s">
        <v>29</v>
      </c>
      <c r="J7796" t="s">
        <v>30</v>
      </c>
      <c r="K7796" t="s">
        <v>31</v>
      </c>
      <c r="M7796" t="s">
        <v>17922</v>
      </c>
      <c r="N7796" t="str">
        <f t="shared" ref="N7796:N7801" si="116">"9/4/2014 2:37:00 PM"</f>
        <v>9/4/2014 2:37:00 PM</v>
      </c>
      <c r="O7796" t="s">
        <v>9473</v>
      </c>
    </row>
    <row r="7797" spans="1:20" x14ac:dyDescent="0.25">
      <c r="A7797" t="str">
        <f>"3049213"</f>
        <v>3049213</v>
      </c>
      <c r="B7797" t="s">
        <v>23593</v>
      </c>
      <c r="C7797" t="str">
        <f t="shared" si="115"/>
        <v>82530628</v>
      </c>
      <c r="D7797" t="s">
        <v>9473</v>
      </c>
      <c r="F7797" t="s">
        <v>9475</v>
      </c>
      <c r="I7797" t="s">
        <v>29</v>
      </c>
      <c r="J7797" t="s">
        <v>30</v>
      </c>
      <c r="K7797" t="s">
        <v>31</v>
      </c>
      <c r="M7797" t="s">
        <v>17922</v>
      </c>
      <c r="N7797" t="str">
        <f t="shared" si="116"/>
        <v>9/4/2014 2:37:00 PM</v>
      </c>
      <c r="O7797" t="s">
        <v>9473</v>
      </c>
    </row>
    <row r="7798" spans="1:20" x14ac:dyDescent="0.25">
      <c r="A7798" t="str">
        <f>"3049214"</f>
        <v>3049214</v>
      </c>
      <c r="B7798" t="s">
        <v>23594</v>
      </c>
      <c r="C7798" t="str">
        <f t="shared" si="115"/>
        <v>82530628</v>
      </c>
      <c r="D7798" t="s">
        <v>9473</v>
      </c>
      <c r="F7798" t="s">
        <v>9475</v>
      </c>
      <c r="I7798" t="s">
        <v>29</v>
      </c>
      <c r="J7798" t="s">
        <v>30</v>
      </c>
      <c r="K7798" t="s">
        <v>31</v>
      </c>
      <c r="M7798" t="s">
        <v>17922</v>
      </c>
      <c r="N7798" t="str">
        <f t="shared" si="116"/>
        <v>9/4/2014 2:37:00 PM</v>
      </c>
      <c r="O7798" t="s">
        <v>9473</v>
      </c>
    </row>
    <row r="7799" spans="1:20" x14ac:dyDescent="0.25">
      <c r="A7799" t="str">
        <f>"3048447"</f>
        <v>3048447</v>
      </c>
      <c r="B7799" t="s">
        <v>23595</v>
      </c>
      <c r="C7799" t="str">
        <f t="shared" si="115"/>
        <v>82530628</v>
      </c>
      <c r="D7799" t="s">
        <v>9473</v>
      </c>
      <c r="F7799" t="s">
        <v>9475</v>
      </c>
      <c r="I7799" t="s">
        <v>29</v>
      </c>
      <c r="J7799" t="s">
        <v>30</v>
      </c>
      <c r="K7799" t="s">
        <v>31</v>
      </c>
      <c r="M7799" t="s">
        <v>17922</v>
      </c>
      <c r="N7799" t="str">
        <f t="shared" si="116"/>
        <v>9/4/2014 2:37:00 PM</v>
      </c>
      <c r="O7799" t="s">
        <v>9473</v>
      </c>
    </row>
    <row r="7800" spans="1:20" x14ac:dyDescent="0.25">
      <c r="A7800" t="str">
        <f>"3048371"</f>
        <v>3048371</v>
      </c>
      <c r="B7800" t="s">
        <v>23596</v>
      </c>
      <c r="C7800" t="str">
        <f t="shared" si="115"/>
        <v>82530628</v>
      </c>
      <c r="D7800" t="s">
        <v>9473</v>
      </c>
      <c r="F7800" t="s">
        <v>9475</v>
      </c>
      <c r="I7800" t="s">
        <v>29</v>
      </c>
      <c r="J7800" t="s">
        <v>30</v>
      </c>
      <c r="K7800" t="s">
        <v>31</v>
      </c>
      <c r="M7800" t="s">
        <v>17922</v>
      </c>
      <c r="N7800" t="str">
        <f t="shared" si="116"/>
        <v>9/4/2014 2:37:00 PM</v>
      </c>
      <c r="O7800" t="s">
        <v>9473</v>
      </c>
    </row>
    <row r="7801" spans="1:20" x14ac:dyDescent="0.25">
      <c r="A7801" t="str">
        <f>"3048935"</f>
        <v>3048935</v>
      </c>
      <c r="B7801" t="s">
        <v>23597</v>
      </c>
      <c r="C7801" t="str">
        <f t="shared" si="115"/>
        <v>82530628</v>
      </c>
      <c r="D7801" t="s">
        <v>9473</v>
      </c>
      <c r="F7801" t="s">
        <v>9475</v>
      </c>
      <c r="I7801" t="s">
        <v>29</v>
      </c>
      <c r="J7801" t="s">
        <v>30</v>
      </c>
      <c r="K7801" t="s">
        <v>31</v>
      </c>
      <c r="M7801" t="s">
        <v>17922</v>
      </c>
      <c r="N7801" t="str">
        <f t="shared" si="116"/>
        <v>9/4/2014 2:37:00 PM</v>
      </c>
      <c r="O7801" t="s">
        <v>9473</v>
      </c>
    </row>
    <row r="7802" spans="1:20" x14ac:dyDescent="0.25">
      <c r="A7802" t="str">
        <f>"3043474"</f>
        <v>3043474</v>
      </c>
      <c r="B7802" t="s">
        <v>23598</v>
      </c>
      <c r="C7802" t="str">
        <f>"8304042"</f>
        <v>8304042</v>
      </c>
      <c r="D7802" t="s">
        <v>23599</v>
      </c>
      <c r="E7802" t="s">
        <v>23600</v>
      </c>
      <c r="F7802" t="s">
        <v>23601</v>
      </c>
      <c r="I7802" t="s">
        <v>29</v>
      </c>
      <c r="J7802" t="s">
        <v>30</v>
      </c>
      <c r="K7802" t="str">
        <f>"27028"</f>
        <v>27028</v>
      </c>
      <c r="M7802" t="s">
        <v>17861</v>
      </c>
      <c r="N7802" t="str">
        <f>"9/5/2014 3:34:00 PM"</f>
        <v>9/5/2014 3:34:00 PM</v>
      </c>
      <c r="O7802" t="s">
        <v>23599</v>
      </c>
      <c r="T7802" t="s">
        <v>23600</v>
      </c>
    </row>
    <row r="7803" spans="1:20" x14ac:dyDescent="0.25">
      <c r="A7803" t="str">
        <f>"3040159"</f>
        <v>3040159</v>
      </c>
      <c r="B7803" t="s">
        <v>23602</v>
      </c>
      <c r="C7803" t="str">
        <f>"8303950"</f>
        <v>8303950</v>
      </c>
      <c r="D7803" t="s">
        <v>23603</v>
      </c>
      <c r="E7803" t="s">
        <v>23604</v>
      </c>
      <c r="F7803" t="s">
        <v>23605</v>
      </c>
      <c r="I7803" t="s">
        <v>29</v>
      </c>
      <c r="J7803" t="s">
        <v>30</v>
      </c>
      <c r="K7803" t="str">
        <f>"27028"</f>
        <v>27028</v>
      </c>
      <c r="M7803" t="s">
        <v>17861</v>
      </c>
      <c r="N7803" t="str">
        <f>"8/12/2014 3:17:00 PM"</f>
        <v>8/12/2014 3:17:00 PM</v>
      </c>
      <c r="O7803" t="s">
        <v>23603</v>
      </c>
      <c r="T7803" t="s">
        <v>23604</v>
      </c>
    </row>
    <row r="7804" spans="1:20" x14ac:dyDescent="0.25">
      <c r="A7804" t="str">
        <f>"3060923"</f>
        <v>3060923</v>
      </c>
      <c r="B7804" t="s">
        <v>23606</v>
      </c>
      <c r="C7804" t="str">
        <f>"82526482"</f>
        <v>82526482</v>
      </c>
      <c r="D7804" t="s">
        <v>23607</v>
      </c>
      <c r="E7804" t="s">
        <v>23608</v>
      </c>
      <c r="F7804" t="s">
        <v>23609</v>
      </c>
      <c r="I7804" t="s">
        <v>184</v>
      </c>
      <c r="J7804" t="s">
        <v>30</v>
      </c>
      <c r="K7804" t="s">
        <v>23610</v>
      </c>
      <c r="M7804" t="s">
        <v>17861</v>
      </c>
      <c r="N7804" t="str">
        <f>"9/9/2014 8:48:00 AM"</f>
        <v>9/9/2014 8:48:00 AM</v>
      </c>
      <c r="O7804" t="s">
        <v>23607</v>
      </c>
      <c r="T7804" t="s">
        <v>23608</v>
      </c>
    </row>
    <row r="7805" spans="1:20" x14ac:dyDescent="0.25">
      <c r="A7805" t="str">
        <f>"3044386"</f>
        <v>3044386</v>
      </c>
      <c r="B7805" t="s">
        <v>23611</v>
      </c>
      <c r="C7805" t="str">
        <f>"8304143"</f>
        <v>8304143</v>
      </c>
      <c r="D7805" t="s">
        <v>23612</v>
      </c>
      <c r="F7805" t="s">
        <v>23613</v>
      </c>
      <c r="I7805" t="s">
        <v>184</v>
      </c>
      <c r="J7805" t="s">
        <v>30</v>
      </c>
      <c r="K7805" t="str">
        <f>"27006"</f>
        <v>27006</v>
      </c>
      <c r="M7805" t="s">
        <v>17861</v>
      </c>
      <c r="N7805" t="str">
        <f>"9/30/2014 1:49:00 PM"</f>
        <v>9/30/2014 1:49:00 PM</v>
      </c>
      <c r="O7805" t="s">
        <v>23612</v>
      </c>
    </row>
    <row r="7806" spans="1:20" x14ac:dyDescent="0.25">
      <c r="A7806" t="str">
        <f>"3043939"</f>
        <v>3043939</v>
      </c>
      <c r="B7806" t="s">
        <v>23614</v>
      </c>
      <c r="C7806" t="str">
        <f>"8304143"</f>
        <v>8304143</v>
      </c>
      <c r="D7806" t="s">
        <v>23612</v>
      </c>
      <c r="F7806" t="s">
        <v>23613</v>
      </c>
      <c r="I7806" t="s">
        <v>184</v>
      </c>
      <c r="J7806" t="s">
        <v>30</v>
      </c>
      <c r="K7806" t="str">
        <f>"27006"</f>
        <v>27006</v>
      </c>
      <c r="M7806" t="s">
        <v>17861</v>
      </c>
      <c r="N7806" t="str">
        <f>"9/30/2014 1:49:00 PM"</f>
        <v>9/30/2014 1:49:00 PM</v>
      </c>
      <c r="O7806" t="s">
        <v>23612</v>
      </c>
    </row>
    <row r="7807" spans="1:20" x14ac:dyDescent="0.25">
      <c r="A7807" t="str">
        <f>"3058295"</f>
        <v>3058295</v>
      </c>
      <c r="B7807" t="s">
        <v>23615</v>
      </c>
      <c r="C7807" t="str">
        <f>"8302806"</f>
        <v>8302806</v>
      </c>
      <c r="D7807" t="s">
        <v>23616</v>
      </c>
      <c r="F7807" t="s">
        <v>23617</v>
      </c>
      <c r="I7807" t="s">
        <v>471</v>
      </c>
      <c r="J7807" t="s">
        <v>30</v>
      </c>
      <c r="K7807" t="s">
        <v>23618</v>
      </c>
      <c r="M7807" t="s">
        <v>17861</v>
      </c>
      <c r="N7807" t="str">
        <f>"9/9/2014 10:46:00 AM"</f>
        <v>9/9/2014 10:46:00 AM</v>
      </c>
      <c r="O7807" t="s">
        <v>23616</v>
      </c>
    </row>
    <row r="7808" spans="1:20" x14ac:dyDescent="0.25">
      <c r="A7808" t="str">
        <f>"3060300"</f>
        <v>3060300</v>
      </c>
      <c r="B7808" t="s">
        <v>23619</v>
      </c>
      <c r="C7808" t="str">
        <f>"40300300"</f>
        <v>40300300</v>
      </c>
      <c r="D7808" t="s">
        <v>23620</v>
      </c>
      <c r="E7808" t="s">
        <v>23621</v>
      </c>
      <c r="F7808" t="s">
        <v>23622</v>
      </c>
      <c r="I7808" t="s">
        <v>29</v>
      </c>
      <c r="J7808" t="s">
        <v>30</v>
      </c>
      <c r="K7808" t="s">
        <v>31</v>
      </c>
      <c r="M7808" t="s">
        <v>18479</v>
      </c>
      <c r="N7808" t="str">
        <f>"10/1/2014 2:41:00 PM"</f>
        <v>10/1/2014 2:41:00 PM</v>
      </c>
      <c r="O7808" t="s">
        <v>23620</v>
      </c>
      <c r="T7808" t="s">
        <v>23621</v>
      </c>
    </row>
    <row r="7809" spans="1:20" x14ac:dyDescent="0.25">
      <c r="A7809" t="str">
        <f>"3075506"</f>
        <v>3075506</v>
      </c>
      <c r="B7809" t="s">
        <v>23623</v>
      </c>
      <c r="C7809" t="str">
        <f>"8304149"</f>
        <v>8304149</v>
      </c>
      <c r="D7809" t="s">
        <v>13324</v>
      </c>
      <c r="F7809" t="s">
        <v>13340</v>
      </c>
      <c r="I7809" t="s">
        <v>29</v>
      </c>
      <c r="J7809" t="s">
        <v>30</v>
      </c>
      <c r="K7809" t="str">
        <f>"27028"</f>
        <v>27028</v>
      </c>
      <c r="M7809" t="s">
        <v>17861</v>
      </c>
      <c r="N7809" t="str">
        <f>"10/1/2014 2:46:00 PM"</f>
        <v>10/1/2014 2:46:00 PM</v>
      </c>
      <c r="O7809" t="s">
        <v>13324</v>
      </c>
    </row>
    <row r="7810" spans="1:20" x14ac:dyDescent="0.25">
      <c r="A7810" t="str">
        <f>"3041297"</f>
        <v>3041297</v>
      </c>
      <c r="B7810" t="s">
        <v>23624</v>
      </c>
      <c r="C7810" t="str">
        <f>"8304150"</f>
        <v>8304150</v>
      </c>
      <c r="D7810" t="s">
        <v>23625</v>
      </c>
      <c r="F7810" t="s">
        <v>23626</v>
      </c>
      <c r="I7810" t="s">
        <v>2071</v>
      </c>
      <c r="J7810" t="s">
        <v>30</v>
      </c>
      <c r="K7810" t="str">
        <f>"27006"</f>
        <v>27006</v>
      </c>
      <c r="M7810" t="s">
        <v>17861</v>
      </c>
      <c r="N7810" t="str">
        <f>"10/1/2014 2:56:00 PM"</f>
        <v>10/1/2014 2:56:00 PM</v>
      </c>
      <c r="O7810" t="s">
        <v>23625</v>
      </c>
    </row>
    <row r="7811" spans="1:20" x14ac:dyDescent="0.25">
      <c r="A7811" t="str">
        <f>"3053131"</f>
        <v>3053131</v>
      </c>
      <c r="B7811" t="s">
        <v>23627</v>
      </c>
      <c r="C7811" t="str">
        <f>"8304152"</f>
        <v>8304152</v>
      </c>
      <c r="D7811" t="s">
        <v>23628</v>
      </c>
      <c r="E7811" t="s">
        <v>23629</v>
      </c>
      <c r="F7811" t="s">
        <v>23630</v>
      </c>
      <c r="I7811" t="s">
        <v>29</v>
      </c>
      <c r="J7811" t="s">
        <v>30</v>
      </c>
      <c r="K7811" t="str">
        <f>"27028"</f>
        <v>27028</v>
      </c>
      <c r="M7811" t="s">
        <v>17861</v>
      </c>
      <c r="N7811" t="str">
        <f>"10/1/2014 2:59:00 PM"</f>
        <v>10/1/2014 2:59:00 PM</v>
      </c>
      <c r="O7811" t="s">
        <v>23628</v>
      </c>
      <c r="T7811" t="s">
        <v>23629</v>
      </c>
    </row>
    <row r="7812" spans="1:20" x14ac:dyDescent="0.25">
      <c r="A7812" t="str">
        <f>"3052999"</f>
        <v>3052999</v>
      </c>
      <c r="B7812" t="s">
        <v>23631</v>
      </c>
      <c r="C7812" t="str">
        <f>"8304152"</f>
        <v>8304152</v>
      </c>
      <c r="D7812" t="s">
        <v>23628</v>
      </c>
      <c r="E7812" t="s">
        <v>23629</v>
      </c>
      <c r="F7812" t="s">
        <v>23630</v>
      </c>
      <c r="I7812" t="s">
        <v>29</v>
      </c>
      <c r="J7812" t="s">
        <v>30</v>
      </c>
      <c r="K7812" t="str">
        <f>"27028"</f>
        <v>27028</v>
      </c>
      <c r="M7812" t="s">
        <v>17861</v>
      </c>
      <c r="N7812" t="str">
        <f>"10/1/2014 2:59:00 PM"</f>
        <v>10/1/2014 2:59:00 PM</v>
      </c>
      <c r="O7812" t="s">
        <v>23628</v>
      </c>
      <c r="T7812" t="s">
        <v>23629</v>
      </c>
    </row>
    <row r="7813" spans="1:20" x14ac:dyDescent="0.25">
      <c r="A7813" t="str">
        <f>"3041338"</f>
        <v>3041338</v>
      </c>
      <c r="B7813" t="s">
        <v>23632</v>
      </c>
      <c r="C7813" t="str">
        <f>"8304153"</f>
        <v>8304153</v>
      </c>
      <c r="D7813" t="s">
        <v>23633</v>
      </c>
      <c r="F7813" t="s">
        <v>23634</v>
      </c>
      <c r="I7813" t="s">
        <v>2071</v>
      </c>
      <c r="J7813" t="s">
        <v>30</v>
      </c>
      <c r="K7813" t="str">
        <f>"27006"</f>
        <v>27006</v>
      </c>
      <c r="M7813" t="s">
        <v>17861</v>
      </c>
      <c r="N7813" t="str">
        <f>"10/1/2014 3:02:00 PM"</f>
        <v>10/1/2014 3:02:00 PM</v>
      </c>
      <c r="O7813" t="s">
        <v>23633</v>
      </c>
    </row>
    <row r="7814" spans="1:20" x14ac:dyDescent="0.25">
      <c r="A7814" t="str">
        <f>"3076137"</f>
        <v>3076137</v>
      </c>
      <c r="B7814" t="s">
        <v>23635</v>
      </c>
      <c r="C7814" t="str">
        <f>"82532318"</f>
        <v>82532318</v>
      </c>
      <c r="D7814" t="s">
        <v>23636</v>
      </c>
      <c r="E7814" t="s">
        <v>23637</v>
      </c>
      <c r="F7814" t="s">
        <v>23638</v>
      </c>
      <c r="I7814" t="s">
        <v>184</v>
      </c>
      <c r="J7814" t="s">
        <v>30</v>
      </c>
      <c r="K7814" t="s">
        <v>185</v>
      </c>
      <c r="M7814" t="s">
        <v>17861</v>
      </c>
      <c r="N7814" t="str">
        <f>"9/9/2014 12:13:00 PM"</f>
        <v>9/9/2014 12:13:00 PM</v>
      </c>
      <c r="O7814" t="s">
        <v>23636</v>
      </c>
      <c r="T7814" t="s">
        <v>23637</v>
      </c>
    </row>
    <row r="7815" spans="1:20" x14ac:dyDescent="0.25">
      <c r="A7815" t="str">
        <f>"3049029"</f>
        <v>3049029</v>
      </c>
      <c r="B7815" t="s">
        <v>23639</v>
      </c>
      <c r="C7815" t="str">
        <f>"8302551"</f>
        <v>8302551</v>
      </c>
      <c r="D7815" t="s">
        <v>23640</v>
      </c>
      <c r="E7815" t="s">
        <v>23641</v>
      </c>
      <c r="F7815" t="s">
        <v>23642</v>
      </c>
      <c r="I7815" t="s">
        <v>3196</v>
      </c>
      <c r="J7815" t="s">
        <v>30</v>
      </c>
      <c r="K7815" t="str">
        <f>"28204"</f>
        <v>28204</v>
      </c>
      <c r="M7815" t="s">
        <v>18479</v>
      </c>
      <c r="N7815" t="str">
        <f>"9/9/2014 2:29:00 PM"</f>
        <v>9/9/2014 2:29:00 PM</v>
      </c>
      <c r="O7815" t="s">
        <v>23640</v>
      </c>
      <c r="T7815" t="s">
        <v>23641</v>
      </c>
    </row>
    <row r="7816" spans="1:20" x14ac:dyDescent="0.25">
      <c r="A7816" t="str">
        <f>"3041190"</f>
        <v>3041190</v>
      </c>
      <c r="B7816" t="s">
        <v>23643</v>
      </c>
      <c r="C7816" t="str">
        <f>"8303689"</f>
        <v>8303689</v>
      </c>
      <c r="D7816" t="s">
        <v>23644</v>
      </c>
      <c r="E7816" t="s">
        <v>23645</v>
      </c>
      <c r="F7816" t="s">
        <v>23646</v>
      </c>
      <c r="I7816" t="s">
        <v>184</v>
      </c>
      <c r="J7816" t="s">
        <v>30</v>
      </c>
      <c r="K7816" t="str">
        <f>"27006"</f>
        <v>27006</v>
      </c>
      <c r="M7816" t="s">
        <v>17861</v>
      </c>
      <c r="N7816" t="str">
        <f>"9/11/2014 10:07:00 AM"</f>
        <v>9/11/2014 10:07:00 AM</v>
      </c>
      <c r="O7816" t="s">
        <v>23644</v>
      </c>
      <c r="T7816" t="s">
        <v>23645</v>
      </c>
    </row>
    <row r="7817" spans="1:20" x14ac:dyDescent="0.25">
      <c r="A7817" t="str">
        <f>"3061731"</f>
        <v>3061731</v>
      </c>
      <c r="B7817" t="s">
        <v>23647</v>
      </c>
      <c r="C7817" t="str">
        <f>"8304074"</f>
        <v>8304074</v>
      </c>
      <c r="D7817" t="s">
        <v>23648</v>
      </c>
      <c r="E7817" t="s">
        <v>23649</v>
      </c>
      <c r="F7817" t="s">
        <v>23650</v>
      </c>
      <c r="I7817" t="s">
        <v>2071</v>
      </c>
      <c r="J7817" t="s">
        <v>30</v>
      </c>
      <c r="K7817" t="str">
        <f>"27006"</f>
        <v>27006</v>
      </c>
      <c r="M7817" t="s">
        <v>17861</v>
      </c>
      <c r="N7817" t="str">
        <f>"9/11/2014 4:53:00 PM"</f>
        <v>9/11/2014 4:53:00 PM</v>
      </c>
      <c r="O7817" t="s">
        <v>23648</v>
      </c>
      <c r="T7817" t="s">
        <v>23649</v>
      </c>
    </row>
    <row r="7818" spans="1:20" x14ac:dyDescent="0.25">
      <c r="A7818" t="str">
        <f>"3040510"</f>
        <v>3040510</v>
      </c>
      <c r="B7818" t="s">
        <v>23651</v>
      </c>
      <c r="C7818" t="str">
        <f>"8304175"</f>
        <v>8304175</v>
      </c>
      <c r="D7818" t="s">
        <v>23652</v>
      </c>
      <c r="E7818" t="s">
        <v>23653</v>
      </c>
      <c r="F7818" t="s">
        <v>23654</v>
      </c>
      <c r="I7818" t="s">
        <v>184</v>
      </c>
      <c r="J7818" t="s">
        <v>30</v>
      </c>
      <c r="K7818" t="str">
        <f>"27006"</f>
        <v>27006</v>
      </c>
      <c r="M7818" t="s">
        <v>17861</v>
      </c>
      <c r="N7818" t="str">
        <f>"10/13/2014 3:10:00 PM"</f>
        <v>10/13/2014 3:10:00 PM</v>
      </c>
      <c r="O7818" t="s">
        <v>23652</v>
      </c>
      <c r="T7818" t="s">
        <v>23653</v>
      </c>
    </row>
    <row r="7819" spans="1:20" x14ac:dyDescent="0.25">
      <c r="A7819" t="str">
        <f>"3052387"</f>
        <v>3052387</v>
      </c>
      <c r="B7819" t="s">
        <v>23655</v>
      </c>
      <c r="C7819" t="str">
        <f>"8304179"</f>
        <v>8304179</v>
      </c>
      <c r="D7819" t="s">
        <v>23656</v>
      </c>
      <c r="E7819" t="s">
        <v>23657</v>
      </c>
      <c r="F7819" t="s">
        <v>23658</v>
      </c>
      <c r="I7819" t="s">
        <v>29</v>
      </c>
      <c r="J7819" t="s">
        <v>30</v>
      </c>
      <c r="K7819" t="str">
        <f>"27028"</f>
        <v>27028</v>
      </c>
      <c r="M7819" t="s">
        <v>17861</v>
      </c>
      <c r="N7819" t="str">
        <f>"10/13/2014 3:41:00 PM"</f>
        <v>10/13/2014 3:41:00 PM</v>
      </c>
      <c r="O7819" t="s">
        <v>23656</v>
      </c>
      <c r="T7819" t="s">
        <v>23657</v>
      </c>
    </row>
    <row r="7820" spans="1:20" x14ac:dyDescent="0.25">
      <c r="A7820" t="str">
        <f>"3037924"</f>
        <v>3037924</v>
      </c>
      <c r="B7820" t="s">
        <v>23659</v>
      </c>
      <c r="C7820" t="str">
        <f>"77504000"</f>
        <v>77504000</v>
      </c>
      <c r="D7820" t="s">
        <v>23660</v>
      </c>
      <c r="E7820" t="s">
        <v>23661</v>
      </c>
      <c r="F7820" t="s">
        <v>23662</v>
      </c>
      <c r="I7820" t="s">
        <v>29</v>
      </c>
      <c r="J7820" t="s">
        <v>30</v>
      </c>
      <c r="K7820" t="str">
        <f>"27028"</f>
        <v>27028</v>
      </c>
      <c r="M7820" t="s">
        <v>22859</v>
      </c>
      <c r="N7820" t="str">
        <f>"10/13/2014 4:12:00 PM"</f>
        <v>10/13/2014 4:12:00 PM</v>
      </c>
      <c r="O7820" t="s">
        <v>23660</v>
      </c>
      <c r="T7820" t="s">
        <v>23661</v>
      </c>
    </row>
    <row r="7821" spans="1:20" x14ac:dyDescent="0.25">
      <c r="A7821" t="str">
        <f>"3038072"</f>
        <v>3038072</v>
      </c>
      <c r="B7821" t="s">
        <v>23663</v>
      </c>
      <c r="C7821" t="str">
        <f>"77504000"</f>
        <v>77504000</v>
      </c>
      <c r="D7821" t="s">
        <v>23660</v>
      </c>
      <c r="E7821" t="s">
        <v>23661</v>
      </c>
      <c r="F7821" t="s">
        <v>23662</v>
      </c>
      <c r="I7821" t="s">
        <v>29</v>
      </c>
      <c r="J7821" t="s">
        <v>30</v>
      </c>
      <c r="K7821" t="str">
        <f>"27028"</f>
        <v>27028</v>
      </c>
      <c r="M7821" t="s">
        <v>22859</v>
      </c>
      <c r="N7821" t="str">
        <f>"10/13/2014 4:12:00 PM"</f>
        <v>10/13/2014 4:12:00 PM</v>
      </c>
      <c r="O7821" t="s">
        <v>23660</v>
      </c>
      <c r="T7821" t="s">
        <v>23661</v>
      </c>
    </row>
    <row r="7822" spans="1:20" x14ac:dyDescent="0.25">
      <c r="A7822" t="str">
        <f>"3038017"</f>
        <v>3038017</v>
      </c>
      <c r="B7822" t="s">
        <v>23664</v>
      </c>
      <c r="C7822" t="str">
        <f>"77504000"</f>
        <v>77504000</v>
      </c>
      <c r="D7822" t="s">
        <v>23660</v>
      </c>
      <c r="E7822" t="s">
        <v>23661</v>
      </c>
      <c r="F7822" t="s">
        <v>23662</v>
      </c>
      <c r="I7822" t="s">
        <v>29</v>
      </c>
      <c r="J7822" t="s">
        <v>30</v>
      </c>
      <c r="K7822" t="str">
        <f>"27028"</f>
        <v>27028</v>
      </c>
      <c r="M7822" t="s">
        <v>22859</v>
      </c>
      <c r="N7822" t="str">
        <f>"10/13/2014 4:12:00 PM"</f>
        <v>10/13/2014 4:12:00 PM</v>
      </c>
      <c r="O7822" t="s">
        <v>23660</v>
      </c>
      <c r="T7822" t="s">
        <v>23661</v>
      </c>
    </row>
    <row r="7823" spans="1:20" x14ac:dyDescent="0.25">
      <c r="A7823" t="str">
        <f>"3038486"</f>
        <v>3038486</v>
      </c>
      <c r="B7823" t="s">
        <v>23665</v>
      </c>
      <c r="C7823" t="str">
        <f>"77504000"</f>
        <v>77504000</v>
      </c>
      <c r="D7823" t="s">
        <v>23660</v>
      </c>
      <c r="E7823" t="s">
        <v>23661</v>
      </c>
      <c r="F7823" t="s">
        <v>23662</v>
      </c>
      <c r="I7823" t="s">
        <v>29</v>
      </c>
      <c r="J7823" t="s">
        <v>30</v>
      </c>
      <c r="K7823" t="str">
        <f>"27028"</f>
        <v>27028</v>
      </c>
      <c r="M7823" t="s">
        <v>22859</v>
      </c>
      <c r="N7823" t="str">
        <f>"10/13/2014 4:12:00 PM"</f>
        <v>10/13/2014 4:12:00 PM</v>
      </c>
      <c r="O7823" t="s">
        <v>23660</v>
      </c>
      <c r="T7823" t="s">
        <v>23661</v>
      </c>
    </row>
    <row r="7824" spans="1:20" x14ac:dyDescent="0.25">
      <c r="A7824" t="str">
        <f>"3061437"</f>
        <v>3061437</v>
      </c>
      <c r="B7824" t="s">
        <v>23666</v>
      </c>
      <c r="C7824" t="str">
        <f>"8304081"</f>
        <v>8304081</v>
      </c>
      <c r="D7824" t="s">
        <v>23667</v>
      </c>
      <c r="F7824" t="s">
        <v>23668</v>
      </c>
      <c r="I7824" t="s">
        <v>184</v>
      </c>
      <c r="J7824" t="s">
        <v>30</v>
      </c>
      <c r="K7824" t="str">
        <f>"27006"</f>
        <v>27006</v>
      </c>
      <c r="M7824" t="s">
        <v>17861</v>
      </c>
      <c r="N7824" t="str">
        <f>"9/12/2014 10:00:00 AM"</f>
        <v>9/12/2014 10:00:00 AM</v>
      </c>
      <c r="O7824" t="s">
        <v>23667</v>
      </c>
    </row>
    <row r="7825" spans="1:20" x14ac:dyDescent="0.25">
      <c r="A7825" t="str">
        <f>"3054752"</f>
        <v>3054752</v>
      </c>
      <c r="B7825" t="s">
        <v>23669</v>
      </c>
      <c r="C7825" t="str">
        <f>"82532919"</f>
        <v>82532919</v>
      </c>
      <c r="D7825" t="s">
        <v>23670</v>
      </c>
      <c r="F7825" t="s">
        <v>23671</v>
      </c>
      <c r="I7825" t="s">
        <v>29</v>
      </c>
      <c r="J7825" t="s">
        <v>30</v>
      </c>
      <c r="K7825" t="s">
        <v>31</v>
      </c>
      <c r="M7825" t="s">
        <v>22859</v>
      </c>
      <c r="N7825" t="str">
        <f>"9/15/2014 8:20:00 AM"</f>
        <v>9/15/2014 8:20:00 AM</v>
      </c>
      <c r="O7825" t="s">
        <v>23670</v>
      </c>
    </row>
    <row r="7826" spans="1:20" x14ac:dyDescent="0.25">
      <c r="A7826" t="str">
        <f>"3059471"</f>
        <v>3059471</v>
      </c>
      <c r="B7826" t="s">
        <v>23672</v>
      </c>
      <c r="C7826" t="str">
        <f>"8300913"</f>
        <v>8300913</v>
      </c>
      <c r="D7826" t="s">
        <v>23673</v>
      </c>
      <c r="F7826" t="s">
        <v>23674</v>
      </c>
      <c r="I7826" t="s">
        <v>29</v>
      </c>
      <c r="J7826" t="s">
        <v>30</v>
      </c>
      <c r="K7826" t="str">
        <f>"27028"</f>
        <v>27028</v>
      </c>
      <c r="M7826" t="s">
        <v>18470</v>
      </c>
      <c r="N7826" t="str">
        <f>"9/16/2014 11:00:00 AM"</f>
        <v>9/16/2014 11:00:00 AM</v>
      </c>
      <c r="O7826" t="s">
        <v>23673</v>
      </c>
    </row>
    <row r="7827" spans="1:20" x14ac:dyDescent="0.25">
      <c r="A7827" t="str">
        <f>"3062358"</f>
        <v>3062358</v>
      </c>
      <c r="B7827" t="s">
        <v>23675</v>
      </c>
      <c r="C7827" t="str">
        <f>"8304096"</f>
        <v>8304096</v>
      </c>
      <c r="D7827" t="s">
        <v>23676</v>
      </c>
      <c r="F7827" t="s">
        <v>23677</v>
      </c>
      <c r="I7827" t="s">
        <v>29</v>
      </c>
      <c r="J7827" t="s">
        <v>30</v>
      </c>
      <c r="K7827" t="str">
        <f>"27028"</f>
        <v>27028</v>
      </c>
      <c r="M7827" t="s">
        <v>17861</v>
      </c>
      <c r="N7827" t="str">
        <f>"9/17/2014 10:40:00 AM"</f>
        <v>9/17/2014 10:40:00 AM</v>
      </c>
      <c r="O7827" t="s">
        <v>23676</v>
      </c>
    </row>
    <row r="7828" spans="1:20" x14ac:dyDescent="0.25">
      <c r="A7828" t="str">
        <f>"3060089"</f>
        <v>3060089</v>
      </c>
      <c r="B7828" t="s">
        <v>23678</v>
      </c>
      <c r="C7828" t="str">
        <f>"8302099"</f>
        <v>8302099</v>
      </c>
      <c r="D7828" t="s">
        <v>23679</v>
      </c>
      <c r="E7828" t="s">
        <v>23680</v>
      </c>
      <c r="F7828" t="s">
        <v>23681</v>
      </c>
      <c r="I7828" t="s">
        <v>184</v>
      </c>
      <c r="J7828" t="s">
        <v>30</v>
      </c>
      <c r="K7828" t="s">
        <v>10721</v>
      </c>
      <c r="M7828" t="s">
        <v>17861</v>
      </c>
      <c r="N7828" t="str">
        <f>"9/17/2014 1:25:00 PM"</f>
        <v>9/17/2014 1:25:00 PM</v>
      </c>
      <c r="O7828" t="s">
        <v>23679</v>
      </c>
      <c r="T7828" t="s">
        <v>23680</v>
      </c>
    </row>
    <row r="7829" spans="1:20" x14ac:dyDescent="0.25">
      <c r="A7829" t="str">
        <f>"3041821"</f>
        <v>3041821</v>
      </c>
      <c r="B7829" t="s">
        <v>23682</v>
      </c>
      <c r="C7829" t="str">
        <f>"82528816"</f>
        <v>82528816</v>
      </c>
      <c r="D7829" t="s">
        <v>23683</v>
      </c>
      <c r="E7829" t="s">
        <v>23684</v>
      </c>
      <c r="F7829" t="s">
        <v>23685</v>
      </c>
      <c r="I7829" t="s">
        <v>184</v>
      </c>
      <c r="J7829" t="s">
        <v>30</v>
      </c>
      <c r="K7829" t="s">
        <v>3942</v>
      </c>
      <c r="M7829" t="s">
        <v>17861</v>
      </c>
      <c r="N7829" t="str">
        <f>"9/19/2014 9:56:00 AM"</f>
        <v>9/19/2014 9:56:00 AM</v>
      </c>
      <c r="O7829" t="s">
        <v>23683</v>
      </c>
      <c r="T7829" t="s">
        <v>23684</v>
      </c>
    </row>
    <row r="7830" spans="1:20" x14ac:dyDescent="0.25">
      <c r="A7830" t="str">
        <f>"3052140"</f>
        <v>3052140</v>
      </c>
      <c r="B7830" t="s">
        <v>23686</v>
      </c>
      <c r="C7830" t="str">
        <f>"82532395"</f>
        <v>82532395</v>
      </c>
      <c r="D7830" t="s">
        <v>23687</v>
      </c>
      <c r="F7830" t="s">
        <v>23688</v>
      </c>
      <c r="I7830" t="s">
        <v>29</v>
      </c>
      <c r="J7830" t="s">
        <v>30</v>
      </c>
      <c r="K7830" t="s">
        <v>23689</v>
      </c>
      <c r="M7830" t="s">
        <v>17861</v>
      </c>
      <c r="N7830" t="str">
        <f>"9/19/2014 2:41:00 PM"</f>
        <v>9/19/2014 2:41:00 PM</v>
      </c>
      <c r="O7830" t="s">
        <v>23687</v>
      </c>
    </row>
    <row r="7831" spans="1:20" x14ac:dyDescent="0.25">
      <c r="A7831" t="str">
        <f>"3037868"</f>
        <v>3037868</v>
      </c>
      <c r="B7831" t="s">
        <v>23690</v>
      </c>
      <c r="C7831" t="str">
        <f>"8304176"</f>
        <v>8304176</v>
      </c>
      <c r="D7831" t="s">
        <v>23691</v>
      </c>
      <c r="F7831" t="s">
        <v>23692</v>
      </c>
      <c r="I7831" t="s">
        <v>471</v>
      </c>
      <c r="J7831" t="s">
        <v>30</v>
      </c>
      <c r="K7831" t="str">
        <f>"27104"</f>
        <v>27104</v>
      </c>
      <c r="M7831" t="s">
        <v>17861</v>
      </c>
      <c r="N7831" t="str">
        <f>"10/16/2014 12:55:00 PM"</f>
        <v>10/16/2014 12:55:00 PM</v>
      </c>
      <c r="O7831" t="s">
        <v>23691</v>
      </c>
    </row>
    <row r="7832" spans="1:20" x14ac:dyDescent="0.25">
      <c r="A7832" t="str">
        <f>"3040843"</f>
        <v>3040843</v>
      </c>
      <c r="B7832" t="s">
        <v>23693</v>
      </c>
      <c r="C7832" t="str">
        <f>"8304197"</f>
        <v>8304197</v>
      </c>
      <c r="D7832" t="s">
        <v>23694</v>
      </c>
      <c r="F7832" t="s">
        <v>23695</v>
      </c>
      <c r="I7832" t="s">
        <v>184</v>
      </c>
      <c r="J7832" t="s">
        <v>30</v>
      </c>
      <c r="K7832" t="str">
        <f>"27006"</f>
        <v>27006</v>
      </c>
      <c r="M7832" t="s">
        <v>17861</v>
      </c>
      <c r="N7832" t="str">
        <f>"10/16/2014 2:56:00 PM"</f>
        <v>10/16/2014 2:56:00 PM</v>
      </c>
      <c r="O7832" t="s">
        <v>23694</v>
      </c>
    </row>
    <row r="7833" spans="1:20" x14ac:dyDescent="0.25">
      <c r="A7833" t="str">
        <f>"3037903"</f>
        <v>3037903</v>
      </c>
      <c r="B7833" t="s">
        <v>23696</v>
      </c>
      <c r="C7833" t="str">
        <f>"45032004"</f>
        <v>45032004</v>
      </c>
      <c r="D7833" t="s">
        <v>23697</v>
      </c>
      <c r="E7833" t="s">
        <v>23698</v>
      </c>
      <c r="F7833" t="s">
        <v>23699</v>
      </c>
      <c r="I7833" t="s">
        <v>29</v>
      </c>
      <c r="J7833" t="s">
        <v>30</v>
      </c>
      <c r="K7833" t="s">
        <v>23700</v>
      </c>
      <c r="M7833" t="s">
        <v>17861</v>
      </c>
      <c r="N7833" t="str">
        <f>"9/19/2014 3:30:00 PM"</f>
        <v>9/19/2014 3:30:00 PM</v>
      </c>
      <c r="O7833" t="s">
        <v>23697</v>
      </c>
      <c r="T7833" t="s">
        <v>23698</v>
      </c>
    </row>
    <row r="7834" spans="1:20" x14ac:dyDescent="0.25">
      <c r="A7834" t="str">
        <f>"3050690"</f>
        <v>3050690</v>
      </c>
      <c r="B7834" t="s">
        <v>23701</v>
      </c>
      <c r="C7834" t="str">
        <f>"8304060"</f>
        <v>8304060</v>
      </c>
      <c r="D7834" t="s">
        <v>23702</v>
      </c>
      <c r="F7834" t="s">
        <v>23703</v>
      </c>
      <c r="I7834" t="s">
        <v>184</v>
      </c>
      <c r="J7834" t="s">
        <v>30</v>
      </c>
      <c r="K7834" t="str">
        <f>"27006"</f>
        <v>27006</v>
      </c>
      <c r="M7834" t="s">
        <v>17861</v>
      </c>
      <c r="N7834" t="str">
        <f>"9/5/2014 4:25:00 PM"</f>
        <v>9/5/2014 4:25:00 PM</v>
      </c>
      <c r="O7834" t="s">
        <v>23702</v>
      </c>
    </row>
    <row r="7835" spans="1:20" x14ac:dyDescent="0.25">
      <c r="A7835" t="str">
        <f>"3057466"</f>
        <v>3057466</v>
      </c>
      <c r="B7835" t="s">
        <v>23704</v>
      </c>
      <c r="C7835" t="str">
        <f>"40300300"</f>
        <v>40300300</v>
      </c>
      <c r="D7835" t="s">
        <v>23620</v>
      </c>
      <c r="E7835" t="s">
        <v>23621</v>
      </c>
      <c r="F7835" t="s">
        <v>23622</v>
      </c>
      <c r="I7835" t="s">
        <v>29</v>
      </c>
      <c r="J7835" t="s">
        <v>30</v>
      </c>
      <c r="K7835" t="s">
        <v>31</v>
      </c>
      <c r="M7835" t="s">
        <v>18479</v>
      </c>
      <c r="N7835" t="str">
        <f>"10/1/2014 2:41:00 PM"</f>
        <v>10/1/2014 2:41:00 PM</v>
      </c>
      <c r="O7835" t="s">
        <v>23620</v>
      </c>
      <c r="T7835" t="s">
        <v>23621</v>
      </c>
    </row>
    <row r="7836" spans="1:20" x14ac:dyDescent="0.25">
      <c r="A7836" t="str">
        <f>"3076863"</f>
        <v>3076863</v>
      </c>
      <c r="B7836" t="s">
        <v>23705</v>
      </c>
      <c r="C7836" t="str">
        <f>"25308000"</f>
        <v>25308000</v>
      </c>
      <c r="D7836" t="s">
        <v>23706</v>
      </c>
      <c r="E7836" t="s">
        <v>23707</v>
      </c>
      <c r="F7836" t="s">
        <v>23708</v>
      </c>
      <c r="I7836" t="s">
        <v>29</v>
      </c>
      <c r="J7836" t="s">
        <v>30</v>
      </c>
      <c r="K7836" t="s">
        <v>2896</v>
      </c>
      <c r="M7836" t="s">
        <v>17861</v>
      </c>
      <c r="N7836" t="str">
        <f>"10/2/2014 1:26:00 PM"</f>
        <v>10/2/2014 1:26:00 PM</v>
      </c>
      <c r="O7836" t="s">
        <v>23706</v>
      </c>
      <c r="T7836" t="s">
        <v>23707</v>
      </c>
    </row>
    <row r="7837" spans="1:20" x14ac:dyDescent="0.25">
      <c r="A7837" t="str">
        <f>"3056174"</f>
        <v>3056174</v>
      </c>
      <c r="B7837" t="s">
        <v>23709</v>
      </c>
      <c r="C7837" t="str">
        <f>"8304252"</f>
        <v>8304252</v>
      </c>
      <c r="D7837" t="s">
        <v>23710</v>
      </c>
      <c r="F7837" t="s">
        <v>23711</v>
      </c>
      <c r="I7837" t="s">
        <v>29</v>
      </c>
      <c r="J7837" t="s">
        <v>30</v>
      </c>
      <c r="K7837" t="str">
        <f>"27028"</f>
        <v>27028</v>
      </c>
      <c r="M7837" t="s">
        <v>17861</v>
      </c>
      <c r="N7837" t="str">
        <f>"10/28/2014 4:44:00 PM"</f>
        <v>10/28/2014 4:44:00 PM</v>
      </c>
      <c r="O7837" t="s">
        <v>23710</v>
      </c>
    </row>
    <row r="7838" spans="1:20" x14ac:dyDescent="0.25">
      <c r="A7838" t="str">
        <f>"3055710"</f>
        <v>3055710</v>
      </c>
      <c r="B7838" t="s">
        <v>23712</v>
      </c>
      <c r="C7838" t="str">
        <f>"8304252"</f>
        <v>8304252</v>
      </c>
      <c r="D7838" t="s">
        <v>23710</v>
      </c>
      <c r="F7838" t="s">
        <v>23711</v>
      </c>
      <c r="I7838" t="s">
        <v>29</v>
      </c>
      <c r="J7838" t="s">
        <v>30</v>
      </c>
      <c r="K7838" t="str">
        <f>"27028"</f>
        <v>27028</v>
      </c>
      <c r="M7838" t="s">
        <v>17861</v>
      </c>
      <c r="N7838" t="str">
        <f>"10/28/2014 4:44:00 PM"</f>
        <v>10/28/2014 4:44:00 PM</v>
      </c>
      <c r="O7838" t="s">
        <v>23710</v>
      </c>
    </row>
    <row r="7839" spans="1:20" x14ac:dyDescent="0.25">
      <c r="A7839" t="str">
        <f>"3056212"</f>
        <v>3056212</v>
      </c>
      <c r="B7839" t="s">
        <v>23713</v>
      </c>
      <c r="C7839" t="str">
        <f>"8302405"</f>
        <v>8302405</v>
      </c>
      <c r="D7839" t="s">
        <v>23714</v>
      </c>
      <c r="F7839" t="s">
        <v>23715</v>
      </c>
      <c r="I7839" t="s">
        <v>9580</v>
      </c>
      <c r="J7839" t="s">
        <v>30</v>
      </c>
      <c r="K7839" t="str">
        <f>"27104"</f>
        <v>27104</v>
      </c>
      <c r="M7839" t="s">
        <v>18479</v>
      </c>
      <c r="N7839" t="str">
        <f>"10/7/2014 10:19:00 AM"</f>
        <v>10/7/2014 10:19:00 AM</v>
      </c>
      <c r="O7839" t="s">
        <v>23714</v>
      </c>
    </row>
    <row r="7840" spans="1:20" x14ac:dyDescent="0.25">
      <c r="A7840" t="str">
        <f>"3043207"</f>
        <v>3043207</v>
      </c>
      <c r="B7840" t="s">
        <v>23716</v>
      </c>
      <c r="C7840" t="str">
        <f>"61929500"</f>
        <v>61929500</v>
      </c>
      <c r="D7840" t="s">
        <v>23717</v>
      </c>
      <c r="F7840" t="s">
        <v>23718</v>
      </c>
      <c r="I7840" t="s">
        <v>2280</v>
      </c>
      <c r="J7840" t="s">
        <v>30</v>
      </c>
      <c r="K7840" t="s">
        <v>9127</v>
      </c>
      <c r="M7840" t="s">
        <v>18432</v>
      </c>
      <c r="N7840" t="str">
        <f>"10/29/2014 9:19:00 AM"</f>
        <v>10/29/2014 9:19:00 AM</v>
      </c>
      <c r="O7840" t="s">
        <v>23717</v>
      </c>
    </row>
    <row r="7841" spans="1:20" x14ac:dyDescent="0.25">
      <c r="A7841" t="str">
        <f>"3058821"</f>
        <v>3058821</v>
      </c>
      <c r="B7841" t="s">
        <v>23719</v>
      </c>
      <c r="C7841" t="str">
        <f>"8304171"</f>
        <v>8304171</v>
      </c>
      <c r="D7841" t="s">
        <v>23720</v>
      </c>
      <c r="E7841" t="s">
        <v>23721</v>
      </c>
      <c r="F7841" t="s">
        <v>23722</v>
      </c>
      <c r="I7841" t="s">
        <v>29</v>
      </c>
      <c r="J7841" t="s">
        <v>30</v>
      </c>
      <c r="K7841" t="str">
        <f>"27028"</f>
        <v>27028</v>
      </c>
      <c r="M7841" t="s">
        <v>17861</v>
      </c>
      <c r="N7841" t="str">
        <f>"10/13/2014 2:42:00 PM"</f>
        <v>10/13/2014 2:42:00 PM</v>
      </c>
      <c r="O7841" t="s">
        <v>23720</v>
      </c>
      <c r="T7841" t="s">
        <v>23721</v>
      </c>
    </row>
    <row r="7842" spans="1:20" x14ac:dyDescent="0.25">
      <c r="A7842" t="str">
        <f>"3040413"</f>
        <v>3040413</v>
      </c>
      <c r="B7842" t="s">
        <v>23723</v>
      </c>
      <c r="C7842" t="str">
        <f>"8304175"</f>
        <v>8304175</v>
      </c>
      <c r="D7842" t="s">
        <v>23652</v>
      </c>
      <c r="E7842" t="s">
        <v>23653</v>
      </c>
      <c r="F7842" t="s">
        <v>23654</v>
      </c>
      <c r="I7842" t="s">
        <v>184</v>
      </c>
      <c r="J7842" t="s">
        <v>30</v>
      </c>
      <c r="K7842" t="str">
        <f>"27006"</f>
        <v>27006</v>
      </c>
      <c r="M7842" t="s">
        <v>17861</v>
      </c>
      <c r="N7842" t="str">
        <f>"10/13/2014 3:10:00 PM"</f>
        <v>10/13/2014 3:10:00 PM</v>
      </c>
      <c r="O7842" t="s">
        <v>23652</v>
      </c>
      <c r="T7842" t="s">
        <v>23653</v>
      </c>
    </row>
    <row r="7843" spans="1:20" x14ac:dyDescent="0.25">
      <c r="A7843" t="str">
        <f>"3040378"</f>
        <v>3040378</v>
      </c>
      <c r="B7843" t="s">
        <v>23724</v>
      </c>
      <c r="C7843" t="str">
        <f>"8304183"</f>
        <v>8304183</v>
      </c>
      <c r="D7843" t="s">
        <v>23725</v>
      </c>
      <c r="E7843" t="s">
        <v>23726</v>
      </c>
      <c r="F7843" t="s">
        <v>3424</v>
      </c>
      <c r="I7843" t="s">
        <v>184</v>
      </c>
      <c r="J7843" t="s">
        <v>30</v>
      </c>
      <c r="K7843" t="str">
        <f>"27006"</f>
        <v>27006</v>
      </c>
      <c r="M7843" t="s">
        <v>17861</v>
      </c>
      <c r="N7843" t="str">
        <f>"10/14/2014 10:53:00 AM"</f>
        <v>10/14/2014 10:53:00 AM</v>
      </c>
      <c r="O7843" t="s">
        <v>23725</v>
      </c>
      <c r="T7843" t="s">
        <v>23726</v>
      </c>
    </row>
    <row r="7844" spans="1:20" x14ac:dyDescent="0.25">
      <c r="A7844" t="str">
        <f>"3040515"</f>
        <v>3040515</v>
      </c>
      <c r="B7844" t="s">
        <v>23727</v>
      </c>
      <c r="C7844" t="str">
        <f>"8304188"</f>
        <v>8304188</v>
      </c>
      <c r="D7844" t="s">
        <v>23728</v>
      </c>
      <c r="E7844" t="s">
        <v>23729</v>
      </c>
      <c r="F7844" t="s">
        <v>23730</v>
      </c>
      <c r="I7844" t="s">
        <v>184</v>
      </c>
      <c r="J7844" t="s">
        <v>30</v>
      </c>
      <c r="K7844" t="str">
        <f>"27006"</f>
        <v>27006</v>
      </c>
      <c r="M7844" t="s">
        <v>17861</v>
      </c>
      <c r="N7844" t="str">
        <f>"10/14/2014 12:44:00 PM"</f>
        <v>10/14/2014 12:44:00 PM</v>
      </c>
      <c r="O7844" t="s">
        <v>23728</v>
      </c>
      <c r="T7844" t="s">
        <v>23729</v>
      </c>
    </row>
    <row r="7845" spans="1:20" x14ac:dyDescent="0.25">
      <c r="A7845" t="str">
        <f>"3042040"</f>
        <v>3042040</v>
      </c>
      <c r="B7845" t="s">
        <v>23731</v>
      </c>
      <c r="C7845" t="str">
        <f>"8304290"</f>
        <v>8304290</v>
      </c>
      <c r="D7845" t="s">
        <v>23732</v>
      </c>
      <c r="E7845" t="s">
        <v>23733</v>
      </c>
      <c r="F7845" t="s">
        <v>23734</v>
      </c>
      <c r="I7845" t="s">
        <v>471</v>
      </c>
      <c r="J7845" t="s">
        <v>30</v>
      </c>
      <c r="K7845" t="str">
        <f>"27104"</f>
        <v>27104</v>
      </c>
      <c r="M7845" t="s">
        <v>17861</v>
      </c>
      <c r="N7845" t="str">
        <f>"11/4/2014 3:59:00 PM"</f>
        <v>11/4/2014 3:59:00 PM</v>
      </c>
      <c r="O7845" t="s">
        <v>23732</v>
      </c>
      <c r="T7845" t="s">
        <v>23733</v>
      </c>
    </row>
    <row r="7846" spans="1:20" x14ac:dyDescent="0.25">
      <c r="A7846" t="str">
        <f>"3057940"</f>
        <v>3057940</v>
      </c>
      <c r="B7846" t="s">
        <v>23735</v>
      </c>
      <c r="C7846" t="str">
        <f>"8304295"</f>
        <v>8304295</v>
      </c>
      <c r="D7846" t="s">
        <v>23736</v>
      </c>
      <c r="E7846" t="s">
        <v>23737</v>
      </c>
      <c r="F7846" t="s">
        <v>23738</v>
      </c>
      <c r="I7846" t="s">
        <v>184</v>
      </c>
      <c r="J7846" t="s">
        <v>30</v>
      </c>
      <c r="K7846" t="str">
        <f>"27006"</f>
        <v>27006</v>
      </c>
      <c r="M7846" t="s">
        <v>17861</v>
      </c>
      <c r="N7846" t="str">
        <f>"11/5/2014 9:31:00 AM"</f>
        <v>11/5/2014 9:31:00 AM</v>
      </c>
      <c r="O7846" t="s">
        <v>23736</v>
      </c>
      <c r="T7846" t="s">
        <v>23737</v>
      </c>
    </row>
    <row r="7847" spans="1:20" x14ac:dyDescent="0.25">
      <c r="A7847" t="str">
        <f>"3037477"</f>
        <v>3037477</v>
      </c>
      <c r="B7847" t="s">
        <v>23739</v>
      </c>
      <c r="C7847" t="str">
        <f>"82516823"</f>
        <v>82516823</v>
      </c>
      <c r="D7847" t="s">
        <v>23740</v>
      </c>
      <c r="F7847" t="s">
        <v>23741</v>
      </c>
      <c r="I7847" t="s">
        <v>29</v>
      </c>
      <c r="J7847" t="s">
        <v>30</v>
      </c>
      <c r="K7847" t="s">
        <v>31</v>
      </c>
      <c r="M7847" t="s">
        <v>23029</v>
      </c>
      <c r="N7847" t="str">
        <f>"10/15/2014 12:09:00 PM"</f>
        <v>10/15/2014 12:09:00 PM</v>
      </c>
      <c r="O7847" t="s">
        <v>23740</v>
      </c>
    </row>
    <row r="7848" spans="1:20" x14ac:dyDescent="0.25">
      <c r="A7848" t="str">
        <f>"3044352"</f>
        <v>3044352</v>
      </c>
      <c r="B7848" t="s">
        <v>23742</v>
      </c>
      <c r="C7848" t="str">
        <f>"8304320"</f>
        <v>8304320</v>
      </c>
      <c r="D7848" t="s">
        <v>23743</v>
      </c>
      <c r="E7848" t="s">
        <v>23744</v>
      </c>
      <c r="F7848" t="s">
        <v>18608</v>
      </c>
      <c r="I7848" t="s">
        <v>184</v>
      </c>
      <c r="J7848" t="s">
        <v>30</v>
      </c>
      <c r="K7848" t="str">
        <f>"27006"</f>
        <v>27006</v>
      </c>
      <c r="M7848" t="s">
        <v>17861</v>
      </c>
      <c r="N7848" t="str">
        <f>"11/17/2014 12:22:00 PM"</f>
        <v>11/17/2014 12:22:00 PM</v>
      </c>
      <c r="O7848" t="s">
        <v>23743</v>
      </c>
      <c r="T7848" t="s">
        <v>23744</v>
      </c>
    </row>
    <row r="7849" spans="1:20" x14ac:dyDescent="0.25">
      <c r="A7849" t="str">
        <f>"3060555"</f>
        <v>3060555</v>
      </c>
      <c r="B7849" t="s">
        <v>23745</v>
      </c>
      <c r="C7849" t="str">
        <f>"8304326"</f>
        <v>8304326</v>
      </c>
      <c r="D7849" t="s">
        <v>23746</v>
      </c>
      <c r="F7849" t="s">
        <v>23747</v>
      </c>
      <c r="I7849" t="s">
        <v>2071</v>
      </c>
      <c r="J7849" t="s">
        <v>30</v>
      </c>
      <c r="K7849" t="str">
        <f>"27006"</f>
        <v>27006</v>
      </c>
      <c r="M7849" t="s">
        <v>17861</v>
      </c>
      <c r="N7849" t="str">
        <f>"11/17/2014 12:45:00 PM"</f>
        <v>11/17/2014 12:45:00 PM</v>
      </c>
      <c r="O7849" t="s">
        <v>23746</v>
      </c>
    </row>
    <row r="7850" spans="1:20" x14ac:dyDescent="0.25">
      <c r="A7850" t="str">
        <f>"3060538"</f>
        <v>3060538</v>
      </c>
      <c r="B7850" t="s">
        <v>23748</v>
      </c>
      <c r="C7850" t="str">
        <f>"8304328"</f>
        <v>8304328</v>
      </c>
      <c r="D7850" t="s">
        <v>23749</v>
      </c>
      <c r="E7850" t="s">
        <v>23750</v>
      </c>
      <c r="F7850" t="s">
        <v>23751</v>
      </c>
      <c r="I7850" t="s">
        <v>184</v>
      </c>
      <c r="J7850" t="s">
        <v>30</v>
      </c>
      <c r="K7850" t="str">
        <f>"27006"</f>
        <v>27006</v>
      </c>
      <c r="M7850" t="s">
        <v>17861</v>
      </c>
      <c r="N7850" t="str">
        <f>"11/17/2014 12:53:00 PM"</f>
        <v>11/17/2014 12:53:00 PM</v>
      </c>
      <c r="O7850" t="s">
        <v>23749</v>
      </c>
      <c r="T7850" t="s">
        <v>23750</v>
      </c>
    </row>
    <row r="7851" spans="1:20" x14ac:dyDescent="0.25">
      <c r="A7851" t="str">
        <f>"3059657"</f>
        <v>3059657</v>
      </c>
      <c r="B7851" t="s">
        <v>23752</v>
      </c>
      <c r="C7851" t="str">
        <f>"8304331"</f>
        <v>8304331</v>
      </c>
      <c r="D7851" t="s">
        <v>23753</v>
      </c>
      <c r="E7851" t="s">
        <v>23754</v>
      </c>
      <c r="F7851" t="s">
        <v>23755</v>
      </c>
      <c r="I7851" t="s">
        <v>29</v>
      </c>
      <c r="J7851" t="s">
        <v>30</v>
      </c>
      <c r="K7851" t="str">
        <f>"27028"</f>
        <v>27028</v>
      </c>
      <c r="M7851" t="s">
        <v>17861</v>
      </c>
      <c r="N7851" t="str">
        <f>"11/17/2014 1:05:00 PM"</f>
        <v>11/17/2014 1:05:00 PM</v>
      </c>
      <c r="O7851" t="s">
        <v>23753</v>
      </c>
      <c r="T7851" t="s">
        <v>23754</v>
      </c>
    </row>
    <row r="7852" spans="1:20" x14ac:dyDescent="0.25">
      <c r="A7852" t="str">
        <f>"3062035"</f>
        <v>3062035</v>
      </c>
      <c r="B7852" t="s">
        <v>23756</v>
      </c>
      <c r="C7852" t="str">
        <f>"8302749"</f>
        <v>8302749</v>
      </c>
      <c r="D7852" t="s">
        <v>23757</v>
      </c>
      <c r="E7852" t="s">
        <v>23758</v>
      </c>
      <c r="F7852" t="s">
        <v>23759</v>
      </c>
      <c r="I7852" t="s">
        <v>184</v>
      </c>
      <c r="J7852" t="s">
        <v>30</v>
      </c>
      <c r="K7852" t="str">
        <f>"27006"</f>
        <v>27006</v>
      </c>
      <c r="M7852" t="s">
        <v>22859</v>
      </c>
      <c r="N7852" t="str">
        <f>"10/15/2014 2:09:00 PM"</f>
        <v>10/15/2014 2:09:00 PM</v>
      </c>
      <c r="O7852" t="s">
        <v>23757</v>
      </c>
      <c r="T7852" t="s">
        <v>23758</v>
      </c>
    </row>
    <row r="7853" spans="1:20" x14ac:dyDescent="0.25">
      <c r="A7853" t="str">
        <f>"3076719"</f>
        <v>3076719</v>
      </c>
      <c r="B7853" t="s">
        <v>23760</v>
      </c>
      <c r="C7853" t="str">
        <f>"82514752"</f>
        <v>82514752</v>
      </c>
      <c r="D7853" t="s">
        <v>23761</v>
      </c>
      <c r="F7853" t="s">
        <v>1851</v>
      </c>
      <c r="I7853" t="s">
        <v>184</v>
      </c>
      <c r="J7853" t="s">
        <v>30</v>
      </c>
      <c r="K7853" t="s">
        <v>185</v>
      </c>
      <c r="M7853" t="s">
        <v>18432</v>
      </c>
      <c r="N7853" t="str">
        <f>"10/16/2014 11:58:00 AM"</f>
        <v>10/16/2014 11:58:00 AM</v>
      </c>
      <c r="O7853" t="s">
        <v>23761</v>
      </c>
    </row>
    <row r="7854" spans="1:20" x14ac:dyDescent="0.25">
      <c r="A7854" t="str">
        <f>"3049049"</f>
        <v>3049049</v>
      </c>
      <c r="B7854" t="s">
        <v>23762</v>
      </c>
      <c r="C7854" t="str">
        <f>"8304337"</f>
        <v>8304337</v>
      </c>
      <c r="D7854" t="s">
        <v>23763</v>
      </c>
      <c r="F7854" t="s">
        <v>23764</v>
      </c>
      <c r="I7854" t="s">
        <v>29</v>
      </c>
      <c r="J7854" t="s">
        <v>30</v>
      </c>
      <c r="K7854" t="str">
        <f>"27028"</f>
        <v>27028</v>
      </c>
      <c r="M7854" t="s">
        <v>17861</v>
      </c>
      <c r="N7854" t="str">
        <f>"11/20/2014 11:08:00 AM"</f>
        <v>11/20/2014 11:08:00 AM</v>
      </c>
      <c r="O7854" t="s">
        <v>23763</v>
      </c>
    </row>
    <row r="7855" spans="1:20" x14ac:dyDescent="0.25">
      <c r="A7855" t="str">
        <f>"3038415"</f>
        <v>3038415</v>
      </c>
      <c r="B7855" t="s">
        <v>23765</v>
      </c>
      <c r="C7855" t="str">
        <f>"8300792"</f>
        <v>8300792</v>
      </c>
      <c r="D7855" t="s">
        <v>23691</v>
      </c>
      <c r="F7855" t="s">
        <v>23692</v>
      </c>
      <c r="I7855" t="s">
        <v>471</v>
      </c>
      <c r="J7855" t="s">
        <v>30</v>
      </c>
      <c r="K7855" t="str">
        <f>"27104"</f>
        <v>27104</v>
      </c>
      <c r="M7855" t="s">
        <v>17861</v>
      </c>
      <c r="N7855" t="str">
        <f>"10/16/2014 12:55:00 PM"</f>
        <v>10/16/2014 12:55:00 PM</v>
      </c>
      <c r="O7855" t="s">
        <v>23691</v>
      </c>
    </row>
    <row r="7856" spans="1:20" x14ac:dyDescent="0.25">
      <c r="A7856" t="str">
        <f>"3038061"</f>
        <v>3038061</v>
      </c>
      <c r="B7856" t="s">
        <v>23766</v>
      </c>
      <c r="C7856" t="str">
        <f>"8304176"</f>
        <v>8304176</v>
      </c>
      <c r="D7856" t="s">
        <v>23691</v>
      </c>
      <c r="F7856" t="s">
        <v>23692</v>
      </c>
      <c r="I7856" t="s">
        <v>471</v>
      </c>
      <c r="J7856" t="s">
        <v>30</v>
      </c>
      <c r="K7856" t="str">
        <f>"27104"</f>
        <v>27104</v>
      </c>
      <c r="M7856" t="s">
        <v>17861</v>
      </c>
      <c r="N7856" t="str">
        <f>"10/16/2014 12:55:00 PM"</f>
        <v>10/16/2014 12:55:00 PM</v>
      </c>
      <c r="O7856" t="s">
        <v>23691</v>
      </c>
    </row>
    <row r="7857" spans="1:20" x14ac:dyDescent="0.25">
      <c r="A7857" t="str">
        <f>"3061123"</f>
        <v>3061123</v>
      </c>
      <c r="B7857" t="s">
        <v>23767</v>
      </c>
      <c r="C7857" t="str">
        <f>"82522239"</f>
        <v>82522239</v>
      </c>
      <c r="D7857" t="s">
        <v>23768</v>
      </c>
      <c r="E7857" t="s">
        <v>23769</v>
      </c>
      <c r="F7857" t="s">
        <v>23770</v>
      </c>
      <c r="I7857" t="s">
        <v>14397</v>
      </c>
      <c r="J7857" t="s">
        <v>4132</v>
      </c>
      <c r="K7857" t="s">
        <v>23771</v>
      </c>
      <c r="M7857" t="s">
        <v>18432</v>
      </c>
      <c r="N7857" t="str">
        <f>"10/20/2014 11:12:00 AM"</f>
        <v>10/20/2014 11:12:00 AM</v>
      </c>
      <c r="O7857" t="s">
        <v>23768</v>
      </c>
      <c r="T7857" t="s">
        <v>23769</v>
      </c>
    </row>
    <row r="7858" spans="1:20" x14ac:dyDescent="0.25">
      <c r="A7858" t="str">
        <f>"3045695"</f>
        <v>3045695</v>
      </c>
      <c r="B7858" t="s">
        <v>23772</v>
      </c>
      <c r="C7858" t="str">
        <f>"72348000"</f>
        <v>72348000</v>
      </c>
      <c r="D7858" t="s">
        <v>6553</v>
      </c>
      <c r="E7858" t="s">
        <v>23773</v>
      </c>
      <c r="F7858" t="s">
        <v>6554</v>
      </c>
      <c r="I7858" t="s">
        <v>1149</v>
      </c>
      <c r="J7858" t="s">
        <v>30</v>
      </c>
      <c r="K7858" t="s">
        <v>1150</v>
      </c>
      <c r="M7858" t="s">
        <v>18432</v>
      </c>
      <c r="N7858" t="str">
        <f>"11/24/2014 9:31:00 AM"</f>
        <v>11/24/2014 9:31:00 AM</v>
      </c>
      <c r="O7858" t="s">
        <v>6553</v>
      </c>
      <c r="T7858" t="s">
        <v>23773</v>
      </c>
    </row>
    <row r="7859" spans="1:20" x14ac:dyDescent="0.25">
      <c r="A7859" t="str">
        <f>"3077621"</f>
        <v>3077621</v>
      </c>
      <c r="B7859" t="s">
        <v>23774</v>
      </c>
      <c r="C7859" t="str">
        <f>"72348000"</f>
        <v>72348000</v>
      </c>
      <c r="D7859" t="s">
        <v>6553</v>
      </c>
      <c r="E7859" t="s">
        <v>23773</v>
      </c>
      <c r="F7859" t="s">
        <v>6554</v>
      </c>
      <c r="I7859" t="s">
        <v>1149</v>
      </c>
      <c r="J7859" t="s">
        <v>30</v>
      </c>
      <c r="K7859" t="s">
        <v>1150</v>
      </c>
      <c r="M7859" t="s">
        <v>18432</v>
      </c>
      <c r="N7859" t="str">
        <f>"11/24/2014 9:31:00 AM"</f>
        <v>11/24/2014 9:31:00 AM</v>
      </c>
      <c r="O7859" t="s">
        <v>6553</v>
      </c>
      <c r="T7859" t="s">
        <v>23773</v>
      </c>
    </row>
    <row r="7860" spans="1:20" x14ac:dyDescent="0.25">
      <c r="A7860" t="str">
        <f>"3057569"</f>
        <v>3057569</v>
      </c>
      <c r="B7860" t="s">
        <v>23775</v>
      </c>
      <c r="C7860" t="str">
        <f>"8304105"</f>
        <v>8304105</v>
      </c>
      <c r="D7860" t="s">
        <v>23776</v>
      </c>
      <c r="E7860" t="s">
        <v>23777</v>
      </c>
      <c r="F7860" t="s">
        <v>23778</v>
      </c>
      <c r="I7860" t="s">
        <v>29</v>
      </c>
      <c r="J7860" t="s">
        <v>30</v>
      </c>
      <c r="K7860" t="str">
        <f>"27028"</f>
        <v>27028</v>
      </c>
      <c r="M7860" t="s">
        <v>17861</v>
      </c>
      <c r="N7860" t="str">
        <f>"9/22/2014 1:30:00 PM"</f>
        <v>9/22/2014 1:30:00 PM</v>
      </c>
      <c r="O7860" t="s">
        <v>23776</v>
      </c>
      <c r="T7860" t="s">
        <v>23777</v>
      </c>
    </row>
    <row r="7861" spans="1:20" x14ac:dyDescent="0.25">
      <c r="A7861" t="str">
        <f>"3057970"</f>
        <v>3057970</v>
      </c>
      <c r="B7861" t="s">
        <v>23779</v>
      </c>
      <c r="C7861" t="str">
        <f>"8303533"</f>
        <v>8303533</v>
      </c>
      <c r="D7861" t="s">
        <v>23780</v>
      </c>
      <c r="E7861" t="s">
        <v>23781</v>
      </c>
      <c r="F7861" t="s">
        <v>23782</v>
      </c>
      <c r="I7861" t="s">
        <v>29</v>
      </c>
      <c r="J7861" t="s">
        <v>30</v>
      </c>
      <c r="K7861" t="str">
        <f>"27028"</f>
        <v>27028</v>
      </c>
      <c r="M7861" t="s">
        <v>18479</v>
      </c>
      <c r="N7861" t="str">
        <f>"11/24/2014 1:04:00 PM"</f>
        <v>11/24/2014 1:04:00 PM</v>
      </c>
      <c r="O7861" t="s">
        <v>23780</v>
      </c>
      <c r="T7861" t="s">
        <v>23781</v>
      </c>
    </row>
    <row r="7862" spans="1:20" x14ac:dyDescent="0.25">
      <c r="A7862" t="str">
        <f>"3050918"</f>
        <v>3050918</v>
      </c>
      <c r="B7862" t="s">
        <v>23783</v>
      </c>
      <c r="C7862" t="str">
        <f>"8304106"</f>
        <v>8304106</v>
      </c>
      <c r="D7862" t="s">
        <v>23784</v>
      </c>
      <c r="E7862" t="s">
        <v>23785</v>
      </c>
      <c r="F7862" t="s">
        <v>23786</v>
      </c>
      <c r="I7862" t="s">
        <v>184</v>
      </c>
      <c r="J7862" t="s">
        <v>30</v>
      </c>
      <c r="K7862" t="str">
        <f>"27006"</f>
        <v>27006</v>
      </c>
      <c r="M7862" t="s">
        <v>17861</v>
      </c>
      <c r="N7862" t="str">
        <f>"9/22/2014 1:36:00 PM"</f>
        <v>9/22/2014 1:36:00 PM</v>
      </c>
      <c r="O7862" t="s">
        <v>23784</v>
      </c>
      <c r="T7862" t="s">
        <v>23785</v>
      </c>
    </row>
    <row r="7863" spans="1:20" x14ac:dyDescent="0.25">
      <c r="A7863" t="str">
        <f>"3039940"</f>
        <v>3039940</v>
      </c>
      <c r="B7863" t="s">
        <v>23787</v>
      </c>
      <c r="C7863" t="str">
        <f>"8304109"</f>
        <v>8304109</v>
      </c>
      <c r="D7863" t="s">
        <v>23788</v>
      </c>
      <c r="F7863" t="s">
        <v>23789</v>
      </c>
      <c r="I7863" t="s">
        <v>23790</v>
      </c>
      <c r="J7863" t="s">
        <v>30</v>
      </c>
      <c r="K7863" t="str">
        <f>"28027"</f>
        <v>28027</v>
      </c>
      <c r="M7863" t="s">
        <v>17861</v>
      </c>
      <c r="N7863" t="str">
        <f>"9/22/2014 1:49:00 PM"</f>
        <v>9/22/2014 1:49:00 PM</v>
      </c>
      <c r="O7863" t="s">
        <v>23788</v>
      </c>
    </row>
    <row r="7864" spans="1:20" x14ac:dyDescent="0.25">
      <c r="A7864" t="str">
        <f>"3064167"</f>
        <v>3064167</v>
      </c>
      <c r="B7864" t="s">
        <v>23791</v>
      </c>
      <c r="C7864" t="str">
        <f>"8304109"</f>
        <v>8304109</v>
      </c>
      <c r="D7864" t="s">
        <v>23788</v>
      </c>
      <c r="F7864" t="s">
        <v>23789</v>
      </c>
      <c r="I7864" t="s">
        <v>23790</v>
      </c>
      <c r="J7864" t="s">
        <v>30</v>
      </c>
      <c r="K7864" t="str">
        <f>"28027"</f>
        <v>28027</v>
      </c>
      <c r="M7864" t="s">
        <v>17861</v>
      </c>
      <c r="N7864" t="str">
        <f>"9/22/2014 1:49:00 PM"</f>
        <v>9/22/2014 1:49:00 PM</v>
      </c>
      <c r="O7864" t="s">
        <v>23788</v>
      </c>
    </row>
    <row r="7865" spans="1:20" x14ac:dyDescent="0.25">
      <c r="A7865" t="str">
        <f>"3050757"</f>
        <v>3050757</v>
      </c>
      <c r="B7865" t="s">
        <v>23792</v>
      </c>
      <c r="C7865" t="str">
        <f>"8304112"</f>
        <v>8304112</v>
      </c>
      <c r="D7865" t="s">
        <v>23793</v>
      </c>
      <c r="F7865" t="s">
        <v>23794</v>
      </c>
      <c r="I7865" t="s">
        <v>184</v>
      </c>
      <c r="J7865" t="s">
        <v>30</v>
      </c>
      <c r="K7865" t="str">
        <f>"27006"</f>
        <v>27006</v>
      </c>
      <c r="M7865" t="s">
        <v>17861</v>
      </c>
      <c r="N7865" t="str">
        <f>"9/22/2014 2:17:00 PM"</f>
        <v>9/22/2014 2:17:00 PM</v>
      </c>
      <c r="O7865" t="s">
        <v>23793</v>
      </c>
    </row>
    <row r="7866" spans="1:20" x14ac:dyDescent="0.25">
      <c r="A7866" t="str">
        <f>"3049787"</f>
        <v>3049787</v>
      </c>
      <c r="B7866" t="s">
        <v>23795</v>
      </c>
      <c r="C7866" t="str">
        <f>"8304117"</f>
        <v>8304117</v>
      </c>
      <c r="D7866" t="s">
        <v>23796</v>
      </c>
      <c r="F7866" t="s">
        <v>23797</v>
      </c>
      <c r="I7866" t="s">
        <v>29</v>
      </c>
      <c r="J7866" t="s">
        <v>30</v>
      </c>
      <c r="K7866" t="str">
        <f>"27028"</f>
        <v>27028</v>
      </c>
      <c r="M7866" t="s">
        <v>17861</v>
      </c>
      <c r="N7866" t="str">
        <f>"9/22/2014 3:40:00 PM"</f>
        <v>9/22/2014 3:40:00 PM</v>
      </c>
      <c r="O7866" t="s">
        <v>23796</v>
      </c>
    </row>
    <row r="7867" spans="1:20" x14ac:dyDescent="0.25">
      <c r="A7867" t="str">
        <f>"3038227"</f>
        <v>3038227</v>
      </c>
      <c r="B7867" t="s">
        <v>23798</v>
      </c>
      <c r="C7867" t="str">
        <f>"8304123"</f>
        <v>8304123</v>
      </c>
      <c r="D7867" t="s">
        <v>23799</v>
      </c>
      <c r="F7867" t="s">
        <v>16853</v>
      </c>
      <c r="I7867" t="s">
        <v>29</v>
      </c>
      <c r="J7867" t="s">
        <v>30</v>
      </c>
      <c r="K7867" t="str">
        <f>"27028"</f>
        <v>27028</v>
      </c>
      <c r="M7867" t="s">
        <v>17861</v>
      </c>
      <c r="N7867" t="str">
        <f>"9/24/2014 3:52:00 PM"</f>
        <v>9/24/2014 3:52:00 PM</v>
      </c>
      <c r="O7867" t="s">
        <v>23799</v>
      </c>
    </row>
    <row r="7868" spans="1:20" x14ac:dyDescent="0.25">
      <c r="A7868" t="str">
        <f>"3060090"</f>
        <v>3060090</v>
      </c>
      <c r="B7868" t="s">
        <v>23800</v>
      </c>
      <c r="C7868" t="str">
        <f>"8304368"</f>
        <v>8304368</v>
      </c>
      <c r="D7868" t="s">
        <v>23801</v>
      </c>
      <c r="E7868" t="s">
        <v>23802</v>
      </c>
      <c r="F7868" t="s">
        <v>23803</v>
      </c>
      <c r="I7868" t="s">
        <v>184</v>
      </c>
      <c r="J7868" t="s">
        <v>30</v>
      </c>
      <c r="K7868" t="str">
        <f>"27006"</f>
        <v>27006</v>
      </c>
      <c r="M7868" t="s">
        <v>17861</v>
      </c>
      <c r="N7868" t="str">
        <f>"11/26/2014 4:37:00 PM"</f>
        <v>11/26/2014 4:37:00 PM</v>
      </c>
      <c r="O7868" t="s">
        <v>23801</v>
      </c>
      <c r="T7868" t="s">
        <v>23802</v>
      </c>
    </row>
    <row r="7869" spans="1:20" x14ac:dyDescent="0.25">
      <c r="A7869" t="str">
        <f>"3054290"</f>
        <v>3054290</v>
      </c>
      <c r="B7869" t="s">
        <v>23804</v>
      </c>
      <c r="C7869" t="str">
        <f>"8304126"</f>
        <v>8304126</v>
      </c>
      <c r="D7869" t="s">
        <v>23805</v>
      </c>
      <c r="F7869" t="s">
        <v>23806</v>
      </c>
      <c r="I7869" t="s">
        <v>29</v>
      </c>
      <c r="J7869" t="s">
        <v>30</v>
      </c>
      <c r="K7869" t="str">
        <f>"27028"</f>
        <v>27028</v>
      </c>
      <c r="M7869" t="s">
        <v>17861</v>
      </c>
      <c r="N7869" t="str">
        <f>"9/29/2014 2:19:00 PM"</f>
        <v>9/29/2014 2:19:00 PM</v>
      </c>
      <c r="O7869" t="s">
        <v>23805</v>
      </c>
    </row>
    <row r="7870" spans="1:20" x14ac:dyDescent="0.25">
      <c r="A7870" t="str">
        <f>"3060598"</f>
        <v>3060598</v>
      </c>
      <c r="B7870" t="s">
        <v>23807</v>
      </c>
      <c r="C7870" t="str">
        <f>"8304129"</f>
        <v>8304129</v>
      </c>
      <c r="D7870" t="s">
        <v>23808</v>
      </c>
      <c r="E7870" t="s">
        <v>23809</v>
      </c>
      <c r="F7870" t="s">
        <v>23810</v>
      </c>
      <c r="I7870" t="s">
        <v>2071</v>
      </c>
      <c r="J7870" t="s">
        <v>30</v>
      </c>
      <c r="K7870" t="str">
        <f>"27006"</f>
        <v>27006</v>
      </c>
      <c r="M7870" t="s">
        <v>17861</v>
      </c>
      <c r="N7870" t="str">
        <f>"9/29/2014 2:29:00 PM"</f>
        <v>9/29/2014 2:29:00 PM</v>
      </c>
      <c r="O7870" t="s">
        <v>23808</v>
      </c>
      <c r="T7870" t="s">
        <v>23809</v>
      </c>
    </row>
    <row r="7871" spans="1:20" x14ac:dyDescent="0.25">
      <c r="A7871" t="str">
        <f>"3066579"</f>
        <v>3066579</v>
      </c>
      <c r="B7871" t="s">
        <v>23811</v>
      </c>
      <c r="C7871" t="str">
        <f>"68948000"</f>
        <v>68948000</v>
      </c>
      <c r="D7871" t="s">
        <v>23812</v>
      </c>
      <c r="E7871" t="s">
        <v>23813</v>
      </c>
      <c r="F7871" t="s">
        <v>23814</v>
      </c>
      <c r="I7871" t="s">
        <v>29</v>
      </c>
      <c r="J7871" t="s">
        <v>30</v>
      </c>
      <c r="K7871" t="s">
        <v>31</v>
      </c>
      <c r="M7871" t="s">
        <v>17861</v>
      </c>
      <c r="N7871" t="str">
        <f>"12/3/2014 11:04:00 AM"</f>
        <v>12/3/2014 11:04:00 AM</v>
      </c>
      <c r="O7871" t="s">
        <v>23812</v>
      </c>
      <c r="T7871" t="s">
        <v>23813</v>
      </c>
    </row>
    <row r="7872" spans="1:20" x14ac:dyDescent="0.25">
      <c r="A7872" t="str">
        <f>"3066760"</f>
        <v>3066760</v>
      </c>
      <c r="B7872" t="s">
        <v>23815</v>
      </c>
      <c r="C7872" t="str">
        <f>"8304137"</f>
        <v>8304137</v>
      </c>
      <c r="D7872" t="s">
        <v>23816</v>
      </c>
      <c r="F7872" t="s">
        <v>23817</v>
      </c>
      <c r="I7872" t="s">
        <v>29</v>
      </c>
      <c r="J7872" t="s">
        <v>30</v>
      </c>
      <c r="K7872" t="str">
        <f>"27028"</f>
        <v>27028</v>
      </c>
      <c r="M7872" t="s">
        <v>17861</v>
      </c>
      <c r="N7872" t="str">
        <f>"9/29/2014 3:27:00 PM"</f>
        <v>9/29/2014 3:27:00 PM</v>
      </c>
      <c r="O7872" t="s">
        <v>23816</v>
      </c>
    </row>
    <row r="7873" spans="1:20" x14ac:dyDescent="0.25">
      <c r="A7873" t="str">
        <f>"3041625"</f>
        <v>3041625</v>
      </c>
      <c r="B7873" t="s">
        <v>23818</v>
      </c>
      <c r="C7873" t="str">
        <f>"8304384"</f>
        <v>8304384</v>
      </c>
      <c r="D7873" t="s">
        <v>23819</v>
      </c>
      <c r="F7873" t="s">
        <v>23820</v>
      </c>
      <c r="I7873" t="s">
        <v>2071</v>
      </c>
      <c r="J7873" t="s">
        <v>30</v>
      </c>
      <c r="K7873" t="str">
        <f>"27006"</f>
        <v>27006</v>
      </c>
      <c r="M7873" t="s">
        <v>17861</v>
      </c>
      <c r="N7873" t="str">
        <f>"12/5/2014 9:48:00 AM"</f>
        <v>12/5/2014 9:48:00 AM</v>
      </c>
      <c r="O7873" t="s">
        <v>23819</v>
      </c>
    </row>
    <row r="7874" spans="1:20" x14ac:dyDescent="0.25">
      <c r="A7874" t="str">
        <f>"3041537"</f>
        <v>3041537</v>
      </c>
      <c r="B7874" t="s">
        <v>23821</v>
      </c>
      <c r="C7874" t="str">
        <f>"8304249"</f>
        <v>8304249</v>
      </c>
      <c r="D7874" t="s">
        <v>23822</v>
      </c>
      <c r="F7874" t="s">
        <v>23823</v>
      </c>
      <c r="I7874" t="s">
        <v>2071</v>
      </c>
      <c r="J7874" t="s">
        <v>30</v>
      </c>
      <c r="K7874" t="str">
        <f>"27006"</f>
        <v>27006</v>
      </c>
      <c r="M7874" t="s">
        <v>17861</v>
      </c>
      <c r="N7874" t="str">
        <f>"10/28/2014 4:35:00 PM"</f>
        <v>10/28/2014 4:35:00 PM</v>
      </c>
      <c r="O7874" t="s">
        <v>23822</v>
      </c>
    </row>
    <row r="7875" spans="1:20" x14ac:dyDescent="0.25">
      <c r="A7875" t="str">
        <f>"3049356"</f>
        <v>3049356</v>
      </c>
      <c r="B7875" t="s">
        <v>23824</v>
      </c>
      <c r="C7875" t="str">
        <f>"8304253"</f>
        <v>8304253</v>
      </c>
      <c r="D7875" t="s">
        <v>23825</v>
      </c>
      <c r="F7875" t="s">
        <v>11256</v>
      </c>
      <c r="I7875" t="s">
        <v>29</v>
      </c>
      <c r="J7875" t="s">
        <v>30</v>
      </c>
      <c r="K7875" t="str">
        <f>"27028"</f>
        <v>27028</v>
      </c>
      <c r="M7875" t="s">
        <v>17861</v>
      </c>
      <c r="N7875" t="str">
        <f>"10/29/2014 9:08:00 AM"</f>
        <v>10/29/2014 9:08:00 AM</v>
      </c>
      <c r="O7875" t="s">
        <v>23825</v>
      </c>
    </row>
    <row r="7876" spans="1:20" x14ac:dyDescent="0.25">
      <c r="A7876" t="str">
        <f>"3055398"</f>
        <v>3055398</v>
      </c>
      <c r="B7876" t="s">
        <v>23826</v>
      </c>
      <c r="C7876" t="str">
        <f>"47833650"</f>
        <v>47833650</v>
      </c>
      <c r="D7876" t="s">
        <v>23827</v>
      </c>
      <c r="F7876" t="s">
        <v>23828</v>
      </c>
      <c r="I7876" t="s">
        <v>9580</v>
      </c>
      <c r="J7876" t="s">
        <v>30</v>
      </c>
      <c r="K7876" t="str">
        <f>"27014"</f>
        <v>27014</v>
      </c>
      <c r="M7876" t="s">
        <v>18470</v>
      </c>
      <c r="N7876" t="str">
        <f>"11/3/2014 9:50:00 AM"</f>
        <v>11/3/2014 9:50:00 AM</v>
      </c>
      <c r="O7876" t="s">
        <v>23827</v>
      </c>
    </row>
    <row r="7877" spans="1:20" x14ac:dyDescent="0.25">
      <c r="A7877" t="str">
        <f>"3050314"</f>
        <v>3050314</v>
      </c>
      <c r="B7877" t="s">
        <v>23829</v>
      </c>
      <c r="C7877" t="str">
        <f>"8304396"</f>
        <v>8304396</v>
      </c>
      <c r="D7877" t="s">
        <v>23830</v>
      </c>
      <c r="F7877" t="s">
        <v>23831</v>
      </c>
      <c r="I7877" t="s">
        <v>184</v>
      </c>
      <c r="J7877" t="s">
        <v>30</v>
      </c>
      <c r="K7877" t="str">
        <f>"27006"</f>
        <v>27006</v>
      </c>
      <c r="M7877" t="s">
        <v>17861</v>
      </c>
      <c r="N7877" t="str">
        <f>"12/9/2014 12:37:00 PM"</f>
        <v>12/9/2014 12:37:00 PM</v>
      </c>
      <c r="O7877" t="s">
        <v>23830</v>
      </c>
    </row>
    <row r="7878" spans="1:20" x14ac:dyDescent="0.25">
      <c r="A7878" t="str">
        <f>"3050551"</f>
        <v>3050551</v>
      </c>
      <c r="B7878" t="s">
        <v>23832</v>
      </c>
      <c r="C7878" t="str">
        <f>"8304396"</f>
        <v>8304396</v>
      </c>
      <c r="D7878" t="s">
        <v>23830</v>
      </c>
      <c r="F7878" t="s">
        <v>23831</v>
      </c>
      <c r="I7878" t="s">
        <v>184</v>
      </c>
      <c r="J7878" t="s">
        <v>30</v>
      </c>
      <c r="K7878" t="str">
        <f>"27006"</f>
        <v>27006</v>
      </c>
      <c r="M7878" t="s">
        <v>17861</v>
      </c>
      <c r="N7878" t="str">
        <f>"12/9/2014 12:37:00 PM"</f>
        <v>12/9/2014 12:37:00 PM</v>
      </c>
      <c r="O7878" t="s">
        <v>23830</v>
      </c>
    </row>
    <row r="7879" spans="1:20" x14ac:dyDescent="0.25">
      <c r="A7879" t="str">
        <f>"3049360"</f>
        <v>3049360</v>
      </c>
      <c r="B7879" t="s">
        <v>23833</v>
      </c>
      <c r="C7879" t="str">
        <f>"8304399"</f>
        <v>8304399</v>
      </c>
      <c r="D7879" t="s">
        <v>23834</v>
      </c>
      <c r="E7879" t="s">
        <v>23835</v>
      </c>
      <c r="F7879" t="s">
        <v>23836</v>
      </c>
      <c r="I7879" t="s">
        <v>29</v>
      </c>
      <c r="J7879" t="s">
        <v>30</v>
      </c>
      <c r="K7879" t="str">
        <f t="shared" ref="K7879:K7884" si="117">"27028"</f>
        <v>27028</v>
      </c>
      <c r="M7879" t="s">
        <v>17861</v>
      </c>
      <c r="N7879" t="str">
        <f>"12/9/2014 1:26:00 PM"</f>
        <v>12/9/2014 1:26:00 PM</v>
      </c>
      <c r="O7879" t="s">
        <v>23834</v>
      </c>
      <c r="T7879" t="s">
        <v>23835</v>
      </c>
    </row>
    <row r="7880" spans="1:20" x14ac:dyDescent="0.25">
      <c r="A7880" t="str">
        <f>"3066845"</f>
        <v>3066845</v>
      </c>
      <c r="B7880" t="s">
        <v>23837</v>
      </c>
      <c r="C7880" t="str">
        <f>"8304400"</f>
        <v>8304400</v>
      </c>
      <c r="D7880" t="s">
        <v>23838</v>
      </c>
      <c r="E7880" t="s">
        <v>23839</v>
      </c>
      <c r="F7880" t="s">
        <v>23840</v>
      </c>
      <c r="I7880" t="s">
        <v>29</v>
      </c>
      <c r="J7880" t="s">
        <v>30</v>
      </c>
      <c r="K7880" t="str">
        <f t="shared" si="117"/>
        <v>27028</v>
      </c>
      <c r="M7880" t="s">
        <v>17861</v>
      </c>
      <c r="N7880" t="str">
        <f>"12/9/2014 2:09:00 PM"</f>
        <v>12/9/2014 2:09:00 PM</v>
      </c>
      <c r="O7880" t="s">
        <v>23838</v>
      </c>
      <c r="T7880" t="s">
        <v>23839</v>
      </c>
    </row>
    <row r="7881" spans="1:20" x14ac:dyDescent="0.25">
      <c r="A7881" t="str">
        <f>"3059349"</f>
        <v>3059349</v>
      </c>
      <c r="B7881" t="s">
        <v>23841</v>
      </c>
      <c r="C7881" t="str">
        <f>"8304402"</f>
        <v>8304402</v>
      </c>
      <c r="D7881" t="s">
        <v>23842</v>
      </c>
      <c r="F7881" t="s">
        <v>23843</v>
      </c>
      <c r="I7881" t="s">
        <v>29</v>
      </c>
      <c r="J7881" t="s">
        <v>30</v>
      </c>
      <c r="K7881" t="str">
        <f t="shared" si="117"/>
        <v>27028</v>
      </c>
      <c r="M7881" t="s">
        <v>17861</v>
      </c>
      <c r="N7881" t="str">
        <f>"12/9/2014 2:16:00 PM"</f>
        <v>12/9/2014 2:16:00 PM</v>
      </c>
      <c r="O7881" t="s">
        <v>23842</v>
      </c>
    </row>
    <row r="7882" spans="1:20" x14ac:dyDescent="0.25">
      <c r="A7882" t="str">
        <f>"3058842"</f>
        <v>3058842</v>
      </c>
      <c r="B7882" t="s">
        <v>23844</v>
      </c>
      <c r="C7882" t="str">
        <f>"8304406"</f>
        <v>8304406</v>
      </c>
      <c r="D7882" t="s">
        <v>23845</v>
      </c>
      <c r="E7882" t="s">
        <v>23846</v>
      </c>
      <c r="F7882" t="s">
        <v>23847</v>
      </c>
      <c r="I7882" t="s">
        <v>29</v>
      </c>
      <c r="J7882" t="s">
        <v>30</v>
      </c>
      <c r="K7882" t="str">
        <f t="shared" si="117"/>
        <v>27028</v>
      </c>
      <c r="M7882" t="s">
        <v>17861</v>
      </c>
      <c r="N7882" t="str">
        <f>"12/9/2014 2:48:00 PM"</f>
        <v>12/9/2014 2:48:00 PM</v>
      </c>
      <c r="O7882" t="s">
        <v>23845</v>
      </c>
      <c r="T7882" t="s">
        <v>23846</v>
      </c>
    </row>
    <row r="7883" spans="1:20" x14ac:dyDescent="0.25">
      <c r="A7883" t="str">
        <f>"3039089"</f>
        <v>3039089</v>
      </c>
      <c r="B7883" t="s">
        <v>23848</v>
      </c>
      <c r="C7883" t="str">
        <f>"8304270"</f>
        <v>8304270</v>
      </c>
      <c r="D7883" t="s">
        <v>23849</v>
      </c>
      <c r="F7883" t="s">
        <v>23850</v>
      </c>
      <c r="I7883" t="s">
        <v>29</v>
      </c>
      <c r="J7883" t="s">
        <v>30</v>
      </c>
      <c r="K7883" t="str">
        <f t="shared" si="117"/>
        <v>27028</v>
      </c>
      <c r="M7883" t="s">
        <v>17861</v>
      </c>
      <c r="N7883" t="str">
        <f>"11/4/2014 11:34:00 AM"</f>
        <v>11/4/2014 11:34:00 AM</v>
      </c>
      <c r="O7883" t="s">
        <v>23849</v>
      </c>
    </row>
    <row r="7884" spans="1:20" x14ac:dyDescent="0.25">
      <c r="A7884" t="str">
        <f>"3059770"</f>
        <v>3059770</v>
      </c>
      <c r="B7884" t="s">
        <v>23851</v>
      </c>
      <c r="C7884" t="str">
        <f>"8304274"</f>
        <v>8304274</v>
      </c>
      <c r="D7884" t="s">
        <v>23852</v>
      </c>
      <c r="E7884" t="s">
        <v>23853</v>
      </c>
      <c r="F7884" t="s">
        <v>23854</v>
      </c>
      <c r="I7884" t="s">
        <v>29</v>
      </c>
      <c r="J7884" t="s">
        <v>30</v>
      </c>
      <c r="K7884" t="str">
        <f t="shared" si="117"/>
        <v>27028</v>
      </c>
      <c r="M7884" t="s">
        <v>17861</v>
      </c>
      <c r="N7884" t="str">
        <f>"11/4/2014 1:18:00 PM"</f>
        <v>11/4/2014 1:18:00 PM</v>
      </c>
      <c r="O7884" t="s">
        <v>23852</v>
      </c>
      <c r="T7884" t="s">
        <v>23853</v>
      </c>
    </row>
    <row r="7885" spans="1:20" x14ac:dyDescent="0.25">
      <c r="A7885" t="str">
        <f>"3040602"</f>
        <v>3040602</v>
      </c>
      <c r="B7885" t="s">
        <v>23855</v>
      </c>
      <c r="C7885" t="str">
        <f>"8304280"</f>
        <v>8304280</v>
      </c>
      <c r="D7885" t="s">
        <v>23856</v>
      </c>
      <c r="E7885" t="s">
        <v>23857</v>
      </c>
      <c r="F7885" t="s">
        <v>23858</v>
      </c>
      <c r="I7885" t="s">
        <v>184</v>
      </c>
      <c r="J7885" t="s">
        <v>30</v>
      </c>
      <c r="K7885" t="str">
        <f>"27006"</f>
        <v>27006</v>
      </c>
      <c r="M7885" t="s">
        <v>17861</v>
      </c>
      <c r="N7885" t="str">
        <f>"11/4/2014 3:07:00 PM"</f>
        <v>11/4/2014 3:07:00 PM</v>
      </c>
      <c r="O7885" t="s">
        <v>23856</v>
      </c>
      <c r="T7885" t="s">
        <v>23857</v>
      </c>
    </row>
    <row r="7886" spans="1:20" x14ac:dyDescent="0.25">
      <c r="A7886" t="str">
        <f>"3050808"</f>
        <v>3050808</v>
      </c>
      <c r="B7886" t="s">
        <v>23859</v>
      </c>
      <c r="C7886" t="str">
        <f>"8304430"</f>
        <v>8304430</v>
      </c>
      <c r="D7886" t="s">
        <v>23860</v>
      </c>
      <c r="E7886" t="s">
        <v>23861</v>
      </c>
      <c r="F7886" t="s">
        <v>23862</v>
      </c>
      <c r="I7886" t="s">
        <v>184</v>
      </c>
      <c r="J7886" t="s">
        <v>30</v>
      </c>
      <c r="K7886" t="str">
        <f>"27006"</f>
        <v>27006</v>
      </c>
      <c r="M7886" t="s">
        <v>17861</v>
      </c>
      <c r="N7886" t="str">
        <f>"12/10/2014 4:48:00 PM"</f>
        <v>12/10/2014 4:48:00 PM</v>
      </c>
      <c r="O7886" t="s">
        <v>23860</v>
      </c>
      <c r="T7886" t="s">
        <v>23861</v>
      </c>
    </row>
    <row r="7887" spans="1:20" x14ac:dyDescent="0.25">
      <c r="A7887" t="str">
        <f>"3043313"</f>
        <v>3043313</v>
      </c>
      <c r="B7887" t="s">
        <v>23863</v>
      </c>
      <c r="C7887" t="str">
        <f>"8304433"</f>
        <v>8304433</v>
      </c>
      <c r="D7887" t="s">
        <v>23864</v>
      </c>
      <c r="E7887" t="s">
        <v>23865</v>
      </c>
      <c r="F7887" t="s">
        <v>23866</v>
      </c>
      <c r="I7887" t="s">
        <v>29</v>
      </c>
      <c r="J7887" t="s">
        <v>30</v>
      </c>
      <c r="K7887" t="str">
        <f>"27028"</f>
        <v>27028</v>
      </c>
      <c r="M7887" t="s">
        <v>17861</v>
      </c>
      <c r="N7887" t="str">
        <f>"12/10/2014 4:58:00 PM"</f>
        <v>12/10/2014 4:58:00 PM</v>
      </c>
      <c r="O7887" t="s">
        <v>23864</v>
      </c>
      <c r="T7887" t="s">
        <v>23865</v>
      </c>
    </row>
    <row r="7888" spans="1:20" x14ac:dyDescent="0.25">
      <c r="A7888" t="str">
        <f>"3066495"</f>
        <v>3066495</v>
      </c>
      <c r="B7888" t="s">
        <v>23867</v>
      </c>
      <c r="C7888" t="str">
        <f>"8304433"</f>
        <v>8304433</v>
      </c>
      <c r="D7888" t="s">
        <v>23864</v>
      </c>
      <c r="E7888" t="s">
        <v>23865</v>
      </c>
      <c r="F7888" t="s">
        <v>23866</v>
      </c>
      <c r="I7888" t="s">
        <v>29</v>
      </c>
      <c r="J7888" t="s">
        <v>30</v>
      </c>
      <c r="K7888" t="str">
        <f>"27028"</f>
        <v>27028</v>
      </c>
      <c r="M7888" t="s">
        <v>17861</v>
      </c>
      <c r="N7888" t="str">
        <f>"12/10/2014 4:58:00 PM"</f>
        <v>12/10/2014 4:58:00 PM</v>
      </c>
      <c r="O7888" t="s">
        <v>23864</v>
      </c>
      <c r="T7888" t="s">
        <v>23865</v>
      </c>
    </row>
    <row r="7889" spans="1:20" x14ac:dyDescent="0.25">
      <c r="A7889" t="str">
        <f>"3044053"</f>
        <v>3044053</v>
      </c>
      <c r="B7889" t="s">
        <v>23868</v>
      </c>
      <c r="C7889" t="str">
        <f>"8304320"</f>
        <v>8304320</v>
      </c>
      <c r="D7889" t="s">
        <v>23743</v>
      </c>
      <c r="E7889" t="s">
        <v>23744</v>
      </c>
      <c r="F7889" t="s">
        <v>18608</v>
      </c>
      <c r="I7889" t="s">
        <v>184</v>
      </c>
      <c r="J7889" t="s">
        <v>30</v>
      </c>
      <c r="K7889" t="str">
        <f>"27006"</f>
        <v>27006</v>
      </c>
      <c r="M7889" t="s">
        <v>17861</v>
      </c>
      <c r="N7889" t="str">
        <f>"11/17/2014 12:22:00 PM"</f>
        <v>11/17/2014 12:22:00 PM</v>
      </c>
      <c r="O7889" t="s">
        <v>23743</v>
      </c>
      <c r="T7889" t="s">
        <v>23744</v>
      </c>
    </row>
    <row r="7890" spans="1:20" x14ac:dyDescent="0.25">
      <c r="A7890" t="str">
        <f>"3059563"</f>
        <v>3059563</v>
      </c>
      <c r="B7890" t="s">
        <v>23869</v>
      </c>
      <c r="C7890" t="str">
        <f>"8304335"</f>
        <v>8304335</v>
      </c>
      <c r="D7890" t="s">
        <v>23870</v>
      </c>
      <c r="F7890" t="s">
        <v>23871</v>
      </c>
      <c r="I7890" t="s">
        <v>29</v>
      </c>
      <c r="J7890" t="s">
        <v>30</v>
      </c>
      <c r="K7890" t="str">
        <f>"27028"</f>
        <v>27028</v>
      </c>
      <c r="M7890" t="s">
        <v>17861</v>
      </c>
      <c r="N7890" t="str">
        <f>"11/17/2014 2:51:00 PM"</f>
        <v>11/17/2014 2:51:00 PM</v>
      </c>
      <c r="O7890" t="s">
        <v>23870</v>
      </c>
    </row>
    <row r="7891" spans="1:20" x14ac:dyDescent="0.25">
      <c r="A7891" t="str">
        <f>"3041433"</f>
        <v>3041433</v>
      </c>
      <c r="B7891" t="s">
        <v>23872</v>
      </c>
      <c r="C7891" t="str">
        <f>"82528406"</f>
        <v>82528406</v>
      </c>
      <c r="D7891" t="s">
        <v>23873</v>
      </c>
      <c r="E7891" t="s">
        <v>23874</v>
      </c>
      <c r="F7891" t="s">
        <v>23875</v>
      </c>
      <c r="I7891" t="s">
        <v>2071</v>
      </c>
      <c r="J7891" t="s">
        <v>30</v>
      </c>
      <c r="K7891" t="s">
        <v>185</v>
      </c>
      <c r="M7891" t="s">
        <v>23082</v>
      </c>
      <c r="N7891" t="str">
        <f>"11/20/2014 10:22:00 AM"</f>
        <v>11/20/2014 10:22:00 AM</v>
      </c>
      <c r="O7891" t="s">
        <v>23873</v>
      </c>
      <c r="T7891" t="s">
        <v>23874</v>
      </c>
    </row>
    <row r="7892" spans="1:20" x14ac:dyDescent="0.25">
      <c r="A7892" t="str">
        <f>"3044937"</f>
        <v>3044937</v>
      </c>
      <c r="B7892" t="s">
        <v>23876</v>
      </c>
      <c r="C7892" t="str">
        <f>"72348000"</f>
        <v>72348000</v>
      </c>
      <c r="D7892" t="s">
        <v>6553</v>
      </c>
      <c r="E7892" t="s">
        <v>23773</v>
      </c>
      <c r="F7892" t="s">
        <v>6554</v>
      </c>
      <c r="I7892" t="s">
        <v>1149</v>
      </c>
      <c r="J7892" t="s">
        <v>30</v>
      </c>
      <c r="K7892" t="s">
        <v>1150</v>
      </c>
      <c r="M7892" t="s">
        <v>18432</v>
      </c>
      <c r="N7892" t="str">
        <f>"11/24/2014 9:31:00 AM"</f>
        <v>11/24/2014 9:31:00 AM</v>
      </c>
      <c r="O7892" t="s">
        <v>6553</v>
      </c>
      <c r="T7892" t="s">
        <v>23773</v>
      </c>
    </row>
    <row r="7893" spans="1:20" x14ac:dyDescent="0.25">
      <c r="A7893" t="str">
        <f>"3045223"</f>
        <v>3045223</v>
      </c>
      <c r="B7893" t="s">
        <v>23877</v>
      </c>
      <c r="C7893" t="str">
        <f>"72348000"</f>
        <v>72348000</v>
      </c>
      <c r="D7893" t="s">
        <v>6553</v>
      </c>
      <c r="E7893" t="s">
        <v>23773</v>
      </c>
      <c r="F7893" t="s">
        <v>6554</v>
      </c>
      <c r="I7893" t="s">
        <v>1149</v>
      </c>
      <c r="J7893" t="s">
        <v>30</v>
      </c>
      <c r="K7893" t="s">
        <v>1150</v>
      </c>
      <c r="M7893" t="s">
        <v>18432</v>
      </c>
      <c r="N7893" t="str">
        <f>"11/24/2014 9:31:00 AM"</f>
        <v>11/24/2014 9:31:00 AM</v>
      </c>
      <c r="O7893" t="s">
        <v>6553</v>
      </c>
      <c r="T7893" t="s">
        <v>23773</v>
      </c>
    </row>
    <row r="7894" spans="1:20" x14ac:dyDescent="0.25">
      <c r="A7894" t="str">
        <f>"3045376"</f>
        <v>3045376</v>
      </c>
      <c r="B7894" t="s">
        <v>23878</v>
      </c>
      <c r="C7894" t="str">
        <f>"72348000"</f>
        <v>72348000</v>
      </c>
      <c r="D7894" t="s">
        <v>6553</v>
      </c>
      <c r="E7894" t="s">
        <v>23773</v>
      </c>
      <c r="F7894" t="s">
        <v>6554</v>
      </c>
      <c r="I7894" t="s">
        <v>1149</v>
      </c>
      <c r="J7894" t="s">
        <v>30</v>
      </c>
      <c r="K7894" t="s">
        <v>1150</v>
      </c>
      <c r="M7894" t="s">
        <v>18432</v>
      </c>
      <c r="N7894" t="str">
        <f>"11/24/2014 9:31:00 AM"</f>
        <v>11/24/2014 9:31:00 AM</v>
      </c>
      <c r="O7894" t="s">
        <v>6553</v>
      </c>
      <c r="T7894" t="s">
        <v>23773</v>
      </c>
    </row>
    <row r="7895" spans="1:20" x14ac:dyDescent="0.25">
      <c r="A7895" t="str">
        <f>"3052305"</f>
        <v>3052305</v>
      </c>
      <c r="B7895" t="s">
        <v>23879</v>
      </c>
      <c r="C7895" t="str">
        <f>"8303533"</f>
        <v>8303533</v>
      </c>
      <c r="D7895" t="s">
        <v>23780</v>
      </c>
      <c r="E7895" t="s">
        <v>23781</v>
      </c>
      <c r="F7895" t="s">
        <v>23782</v>
      </c>
      <c r="I7895" t="s">
        <v>29</v>
      </c>
      <c r="J7895" t="s">
        <v>30</v>
      </c>
      <c r="K7895" t="str">
        <f>"27028"</f>
        <v>27028</v>
      </c>
      <c r="M7895" t="s">
        <v>18479</v>
      </c>
      <c r="N7895" t="str">
        <f>"11/24/2014 1:04:00 PM"</f>
        <v>11/24/2014 1:04:00 PM</v>
      </c>
      <c r="O7895" t="s">
        <v>23780</v>
      </c>
      <c r="T7895" t="s">
        <v>23781</v>
      </c>
    </row>
    <row r="7896" spans="1:20" x14ac:dyDescent="0.25">
      <c r="A7896" t="str">
        <f>"3048152"</f>
        <v>3048152</v>
      </c>
      <c r="B7896" t="s">
        <v>23880</v>
      </c>
      <c r="C7896" t="str">
        <f>"8304215"</f>
        <v>8304215</v>
      </c>
      <c r="D7896" t="s">
        <v>23881</v>
      </c>
      <c r="E7896" t="s">
        <v>23882</v>
      </c>
      <c r="F7896" t="s">
        <v>23883</v>
      </c>
      <c r="I7896" t="s">
        <v>184</v>
      </c>
      <c r="J7896" t="s">
        <v>30</v>
      </c>
      <c r="K7896" t="str">
        <f>"27006"</f>
        <v>27006</v>
      </c>
      <c r="M7896" t="s">
        <v>17861</v>
      </c>
      <c r="N7896" t="str">
        <f>"10/20/2014 3:45:00 PM"</f>
        <v>10/20/2014 3:45:00 PM</v>
      </c>
      <c r="O7896" t="s">
        <v>23881</v>
      </c>
      <c r="T7896" t="s">
        <v>23882</v>
      </c>
    </row>
    <row r="7897" spans="1:20" x14ac:dyDescent="0.25">
      <c r="A7897" t="str">
        <f>"3050263"</f>
        <v>3050263</v>
      </c>
      <c r="B7897" t="s">
        <v>23884</v>
      </c>
      <c r="C7897" t="str">
        <f>"8304347"</f>
        <v>8304347</v>
      </c>
      <c r="D7897" t="s">
        <v>23885</v>
      </c>
      <c r="F7897" t="s">
        <v>23886</v>
      </c>
      <c r="I7897" t="s">
        <v>29</v>
      </c>
      <c r="J7897" t="s">
        <v>30</v>
      </c>
      <c r="K7897" t="str">
        <f>"27028"</f>
        <v>27028</v>
      </c>
      <c r="M7897" t="s">
        <v>17861</v>
      </c>
      <c r="N7897" t="str">
        <f>"11/24/2014 3:38:00 PM"</f>
        <v>11/24/2014 3:38:00 PM</v>
      </c>
      <c r="O7897" t="s">
        <v>23885</v>
      </c>
    </row>
    <row r="7898" spans="1:20" x14ac:dyDescent="0.25">
      <c r="A7898" t="str">
        <f>"3040339"</f>
        <v>3040339</v>
      </c>
      <c r="B7898" t="s">
        <v>23887</v>
      </c>
      <c r="C7898" t="str">
        <f>"82524978"</f>
        <v>82524978</v>
      </c>
      <c r="D7898" t="s">
        <v>23888</v>
      </c>
      <c r="F7898" t="s">
        <v>19275</v>
      </c>
      <c r="I7898" t="s">
        <v>184</v>
      </c>
      <c r="J7898" t="s">
        <v>30</v>
      </c>
      <c r="K7898" t="s">
        <v>185</v>
      </c>
      <c r="M7898" t="s">
        <v>22859</v>
      </c>
      <c r="N7898" t="str">
        <f>"12/17/2014 8:16:00 AM"</f>
        <v>12/17/2014 8:16:00 AM</v>
      </c>
      <c r="O7898" t="s">
        <v>23888</v>
      </c>
    </row>
    <row r="7899" spans="1:20" x14ac:dyDescent="0.25">
      <c r="A7899" t="str">
        <f>"3055158"</f>
        <v>3055158</v>
      </c>
      <c r="B7899" t="s">
        <v>23889</v>
      </c>
      <c r="C7899" t="str">
        <f>"82524024"</f>
        <v>82524024</v>
      </c>
      <c r="D7899" t="s">
        <v>23890</v>
      </c>
      <c r="E7899" t="s">
        <v>14923</v>
      </c>
      <c r="F7899" t="s">
        <v>23891</v>
      </c>
      <c r="I7899" t="s">
        <v>29</v>
      </c>
      <c r="J7899" t="s">
        <v>30</v>
      </c>
      <c r="K7899" t="str">
        <f>"27028"</f>
        <v>27028</v>
      </c>
      <c r="M7899" t="s">
        <v>18479</v>
      </c>
      <c r="N7899" t="str">
        <f>"11/24/2014 4:27:00 PM"</f>
        <v>11/24/2014 4:27:00 PM</v>
      </c>
      <c r="O7899" t="s">
        <v>23890</v>
      </c>
      <c r="T7899" t="s">
        <v>14923</v>
      </c>
    </row>
    <row r="7900" spans="1:20" x14ac:dyDescent="0.25">
      <c r="A7900" t="str">
        <f>"3039753"</f>
        <v>3039753</v>
      </c>
      <c r="B7900" t="s">
        <v>23892</v>
      </c>
      <c r="C7900" t="str">
        <f>"8300145"</f>
        <v>8300145</v>
      </c>
      <c r="D7900" t="s">
        <v>23893</v>
      </c>
      <c r="E7900" t="s">
        <v>23894</v>
      </c>
      <c r="F7900" t="s">
        <v>23895</v>
      </c>
      <c r="I7900" t="s">
        <v>29</v>
      </c>
      <c r="J7900" t="s">
        <v>30</v>
      </c>
      <c r="K7900" t="s">
        <v>31</v>
      </c>
      <c r="M7900" t="s">
        <v>22859</v>
      </c>
      <c r="N7900" t="str">
        <f>"11/26/2014 12:01:00 PM"</f>
        <v>11/26/2014 12:01:00 PM</v>
      </c>
      <c r="O7900" t="s">
        <v>23893</v>
      </c>
      <c r="T7900" t="s">
        <v>23894</v>
      </c>
    </row>
    <row r="7901" spans="1:20" x14ac:dyDescent="0.25">
      <c r="A7901" t="str">
        <f>"3046025"</f>
        <v>3046025</v>
      </c>
      <c r="B7901" t="s">
        <v>23896</v>
      </c>
      <c r="C7901" t="str">
        <f>"1280000"</f>
        <v>1280000</v>
      </c>
      <c r="D7901" t="s">
        <v>23897</v>
      </c>
      <c r="E7901" t="s">
        <v>23898</v>
      </c>
      <c r="F7901" t="s">
        <v>23899</v>
      </c>
      <c r="I7901" t="s">
        <v>29</v>
      </c>
      <c r="J7901" t="s">
        <v>30</v>
      </c>
      <c r="K7901" t="s">
        <v>31</v>
      </c>
      <c r="M7901" t="s">
        <v>17922</v>
      </c>
      <c r="N7901" t="str">
        <f>"12/18/2014 11:50:00 AM"</f>
        <v>12/18/2014 11:50:00 AM</v>
      </c>
      <c r="O7901" t="s">
        <v>23897</v>
      </c>
      <c r="T7901" t="s">
        <v>23898</v>
      </c>
    </row>
    <row r="7902" spans="1:20" x14ac:dyDescent="0.25">
      <c r="A7902" t="str">
        <f>"3046007"</f>
        <v>3046007</v>
      </c>
      <c r="B7902" t="s">
        <v>23900</v>
      </c>
      <c r="C7902" t="str">
        <f>"1280000"</f>
        <v>1280000</v>
      </c>
      <c r="D7902" t="s">
        <v>23897</v>
      </c>
      <c r="E7902" t="s">
        <v>23898</v>
      </c>
      <c r="F7902" t="s">
        <v>23899</v>
      </c>
      <c r="I7902" t="s">
        <v>29</v>
      </c>
      <c r="J7902" t="s">
        <v>30</v>
      </c>
      <c r="K7902" t="s">
        <v>31</v>
      </c>
      <c r="M7902" t="s">
        <v>17922</v>
      </c>
      <c r="N7902" t="str">
        <f>"12/18/2014 11:50:00 AM"</f>
        <v>12/18/2014 11:50:00 AM</v>
      </c>
      <c r="O7902" t="s">
        <v>23897</v>
      </c>
      <c r="T7902" t="s">
        <v>23898</v>
      </c>
    </row>
    <row r="7903" spans="1:20" x14ac:dyDescent="0.25">
      <c r="A7903" t="str">
        <f>"3056343"</f>
        <v>3056343</v>
      </c>
      <c r="B7903" t="s">
        <v>23901</v>
      </c>
      <c r="C7903" t="str">
        <f>"1280000"</f>
        <v>1280000</v>
      </c>
      <c r="D7903" t="s">
        <v>23897</v>
      </c>
      <c r="E7903" t="s">
        <v>23898</v>
      </c>
      <c r="F7903" t="s">
        <v>23899</v>
      </c>
      <c r="I7903" t="s">
        <v>29</v>
      </c>
      <c r="J7903" t="s">
        <v>30</v>
      </c>
      <c r="K7903" t="s">
        <v>31</v>
      </c>
      <c r="M7903" t="s">
        <v>17922</v>
      </c>
      <c r="N7903" t="str">
        <f>"12/18/2014 11:50:00 AM"</f>
        <v>12/18/2014 11:50:00 AM</v>
      </c>
      <c r="O7903" t="s">
        <v>23897</v>
      </c>
      <c r="T7903" t="s">
        <v>23898</v>
      </c>
    </row>
    <row r="7904" spans="1:20" x14ac:dyDescent="0.25">
      <c r="A7904" t="str">
        <f>"3056594"</f>
        <v>3056594</v>
      </c>
      <c r="B7904" t="s">
        <v>23902</v>
      </c>
      <c r="C7904" t="str">
        <f>"1280000"</f>
        <v>1280000</v>
      </c>
      <c r="D7904" t="s">
        <v>23897</v>
      </c>
      <c r="E7904" t="s">
        <v>23898</v>
      </c>
      <c r="F7904" t="s">
        <v>23899</v>
      </c>
      <c r="I7904" t="s">
        <v>29</v>
      </c>
      <c r="J7904" t="s">
        <v>30</v>
      </c>
      <c r="K7904" t="s">
        <v>31</v>
      </c>
      <c r="M7904" t="s">
        <v>17922</v>
      </c>
      <c r="N7904" t="str">
        <f>"12/18/2014 11:50:00 AM"</f>
        <v>12/18/2014 11:50:00 AM</v>
      </c>
      <c r="O7904" t="s">
        <v>23897</v>
      </c>
      <c r="T7904" t="s">
        <v>23898</v>
      </c>
    </row>
    <row r="7905" spans="1:20" x14ac:dyDescent="0.25">
      <c r="A7905" t="str">
        <f>"3040111"</f>
        <v>3040111</v>
      </c>
      <c r="B7905" t="s">
        <v>23903</v>
      </c>
      <c r="C7905" t="str">
        <f>"8304354"</f>
        <v>8304354</v>
      </c>
      <c r="D7905" t="s">
        <v>23904</v>
      </c>
      <c r="F7905" t="s">
        <v>23905</v>
      </c>
      <c r="I7905" t="s">
        <v>29</v>
      </c>
      <c r="J7905" t="s">
        <v>30</v>
      </c>
      <c r="K7905" t="str">
        <f>"27028"</f>
        <v>27028</v>
      </c>
      <c r="M7905" t="s">
        <v>17861</v>
      </c>
      <c r="N7905" t="str">
        <f>"11/26/2014 3:34:00 PM"</f>
        <v>11/26/2014 3:34:00 PM</v>
      </c>
      <c r="O7905" t="s">
        <v>23904</v>
      </c>
    </row>
    <row r="7906" spans="1:20" x14ac:dyDescent="0.25">
      <c r="A7906" t="str">
        <f>"3060920"</f>
        <v>3060920</v>
      </c>
      <c r="B7906" t="s">
        <v>23906</v>
      </c>
      <c r="C7906" t="str">
        <f>"8304549"</f>
        <v>8304549</v>
      </c>
      <c r="D7906" t="s">
        <v>23907</v>
      </c>
      <c r="F7906" t="s">
        <v>23908</v>
      </c>
      <c r="I7906" t="s">
        <v>2071</v>
      </c>
      <c r="J7906" t="s">
        <v>30</v>
      </c>
      <c r="K7906" t="str">
        <f>"27006"</f>
        <v>27006</v>
      </c>
      <c r="M7906" t="s">
        <v>17861</v>
      </c>
      <c r="N7906" t="str">
        <f>"12/22/2014 11:37:00 AM"</f>
        <v>12/22/2014 11:37:00 AM</v>
      </c>
      <c r="O7906" t="s">
        <v>23907</v>
      </c>
    </row>
    <row r="7907" spans="1:20" x14ac:dyDescent="0.25">
      <c r="A7907" t="str">
        <f>"3045417"</f>
        <v>3045417</v>
      </c>
      <c r="B7907" t="s">
        <v>23909</v>
      </c>
      <c r="C7907" t="str">
        <f>"8304551"</f>
        <v>8304551</v>
      </c>
      <c r="D7907" t="s">
        <v>23910</v>
      </c>
      <c r="E7907" t="s">
        <v>23911</v>
      </c>
      <c r="F7907" t="s">
        <v>23912</v>
      </c>
      <c r="I7907" t="s">
        <v>29</v>
      </c>
      <c r="J7907" t="s">
        <v>30</v>
      </c>
      <c r="K7907" t="str">
        <f>"27028"</f>
        <v>27028</v>
      </c>
      <c r="M7907" t="s">
        <v>17861</v>
      </c>
      <c r="N7907" t="str">
        <f>"12/22/2014 11:53:00 AM"</f>
        <v>12/22/2014 11:53:00 AM</v>
      </c>
      <c r="O7907" t="s">
        <v>23910</v>
      </c>
      <c r="T7907" t="s">
        <v>23911</v>
      </c>
    </row>
    <row r="7908" spans="1:20" x14ac:dyDescent="0.25">
      <c r="A7908" t="str">
        <f>"3057676"</f>
        <v>3057676</v>
      </c>
      <c r="B7908" t="s">
        <v>23913</v>
      </c>
      <c r="C7908" t="str">
        <f>"8304357"</f>
        <v>8304357</v>
      </c>
      <c r="D7908" t="s">
        <v>23914</v>
      </c>
      <c r="F7908" t="s">
        <v>23915</v>
      </c>
      <c r="I7908" t="s">
        <v>184</v>
      </c>
      <c r="J7908" t="s">
        <v>30</v>
      </c>
      <c r="K7908" t="str">
        <f>"27006"</f>
        <v>27006</v>
      </c>
      <c r="M7908" t="s">
        <v>17861</v>
      </c>
      <c r="N7908" t="str">
        <f>"11/26/2014 3:43:00 PM"</f>
        <v>11/26/2014 3:43:00 PM</v>
      </c>
      <c r="O7908" t="s">
        <v>23914</v>
      </c>
    </row>
    <row r="7909" spans="1:20" x14ac:dyDescent="0.25">
      <c r="A7909" t="str">
        <f>"3061929"</f>
        <v>3061929</v>
      </c>
      <c r="B7909" t="s">
        <v>23916</v>
      </c>
      <c r="C7909" t="str">
        <f>"8304554"</f>
        <v>8304554</v>
      </c>
      <c r="D7909" t="s">
        <v>23917</v>
      </c>
      <c r="E7909" t="s">
        <v>23918</v>
      </c>
      <c r="F7909" t="s">
        <v>23919</v>
      </c>
      <c r="I7909" t="s">
        <v>184</v>
      </c>
      <c r="J7909" t="s">
        <v>30</v>
      </c>
      <c r="K7909" t="str">
        <f>"27006"</f>
        <v>27006</v>
      </c>
      <c r="M7909" t="s">
        <v>17861</v>
      </c>
      <c r="N7909" t="str">
        <f>"12/22/2014 12:33:00 PM"</f>
        <v>12/22/2014 12:33:00 PM</v>
      </c>
      <c r="O7909" t="s">
        <v>23917</v>
      </c>
      <c r="T7909" t="s">
        <v>23918</v>
      </c>
    </row>
    <row r="7910" spans="1:20" x14ac:dyDescent="0.25">
      <c r="A7910" t="str">
        <f>"3058199"</f>
        <v>3058199</v>
      </c>
      <c r="B7910" t="s">
        <v>23920</v>
      </c>
      <c r="C7910" t="str">
        <f>"8304555"</f>
        <v>8304555</v>
      </c>
      <c r="D7910" t="s">
        <v>23921</v>
      </c>
      <c r="F7910" t="s">
        <v>23922</v>
      </c>
      <c r="I7910" t="s">
        <v>29</v>
      </c>
      <c r="J7910" t="s">
        <v>30</v>
      </c>
      <c r="K7910" t="str">
        <f>"27028"</f>
        <v>27028</v>
      </c>
      <c r="M7910" t="s">
        <v>17861</v>
      </c>
      <c r="N7910" t="str">
        <f>"12/22/2014 1:38:00 PM"</f>
        <v>12/22/2014 1:38:00 PM</v>
      </c>
      <c r="O7910" t="s">
        <v>23921</v>
      </c>
    </row>
    <row r="7911" spans="1:20" x14ac:dyDescent="0.25">
      <c r="A7911" t="str">
        <f>"3057935"</f>
        <v>3057935</v>
      </c>
      <c r="B7911" t="s">
        <v>23923</v>
      </c>
      <c r="C7911" t="str">
        <f>"8304559"</f>
        <v>8304559</v>
      </c>
      <c r="D7911" t="s">
        <v>23924</v>
      </c>
      <c r="E7911" t="s">
        <v>23925</v>
      </c>
      <c r="F7911" t="s">
        <v>23926</v>
      </c>
      <c r="I7911" t="s">
        <v>184</v>
      </c>
      <c r="J7911" t="s">
        <v>30</v>
      </c>
      <c r="K7911" t="str">
        <f>"27006"</f>
        <v>27006</v>
      </c>
      <c r="M7911" t="s">
        <v>17861</v>
      </c>
      <c r="N7911" t="str">
        <f>"12/22/2014 2:40:00 PM"</f>
        <v>12/22/2014 2:40:00 PM</v>
      </c>
      <c r="O7911" t="s">
        <v>23924</v>
      </c>
      <c r="T7911" t="s">
        <v>23925</v>
      </c>
    </row>
    <row r="7912" spans="1:20" x14ac:dyDescent="0.25">
      <c r="A7912" t="str">
        <f>"3047956"</f>
        <v>3047956</v>
      </c>
      <c r="B7912" t="s">
        <v>23927</v>
      </c>
      <c r="C7912" t="str">
        <f>"8304564"</f>
        <v>8304564</v>
      </c>
      <c r="D7912" t="s">
        <v>23928</v>
      </c>
      <c r="F7912" t="s">
        <v>23929</v>
      </c>
      <c r="I7912" t="s">
        <v>29</v>
      </c>
      <c r="J7912" t="s">
        <v>30</v>
      </c>
      <c r="K7912" t="str">
        <f>"27028"</f>
        <v>27028</v>
      </c>
      <c r="M7912" t="s">
        <v>17861</v>
      </c>
      <c r="N7912" t="str">
        <f>"12/22/2014 3:27:00 PM"</f>
        <v>12/22/2014 3:27:00 PM</v>
      </c>
      <c r="O7912" t="s">
        <v>23928</v>
      </c>
    </row>
    <row r="7913" spans="1:20" x14ac:dyDescent="0.25">
      <c r="A7913" t="str">
        <f>"3043386"</f>
        <v>3043386</v>
      </c>
      <c r="B7913" t="s">
        <v>23930</v>
      </c>
      <c r="C7913" t="str">
        <f>"8304367"</f>
        <v>8304367</v>
      </c>
      <c r="D7913" t="s">
        <v>23931</v>
      </c>
      <c r="E7913" t="s">
        <v>23932</v>
      </c>
      <c r="F7913" t="s">
        <v>23933</v>
      </c>
      <c r="I7913" t="s">
        <v>29</v>
      </c>
      <c r="J7913" t="s">
        <v>30</v>
      </c>
      <c r="K7913" t="str">
        <f>"27028"</f>
        <v>27028</v>
      </c>
      <c r="M7913" t="s">
        <v>17861</v>
      </c>
      <c r="N7913" t="str">
        <f>"11/26/2014 4:35:00 PM"</f>
        <v>11/26/2014 4:35:00 PM</v>
      </c>
      <c r="O7913" t="s">
        <v>23931</v>
      </c>
      <c r="T7913" t="s">
        <v>23932</v>
      </c>
    </row>
    <row r="7914" spans="1:20" x14ac:dyDescent="0.25">
      <c r="A7914" t="str">
        <f>"3040082"</f>
        <v>3040082</v>
      </c>
      <c r="B7914" t="s">
        <v>23934</v>
      </c>
      <c r="C7914" t="str">
        <f>"8304567"</f>
        <v>8304567</v>
      </c>
      <c r="D7914" t="s">
        <v>23935</v>
      </c>
      <c r="F7914" t="s">
        <v>23936</v>
      </c>
      <c r="I7914" t="s">
        <v>29</v>
      </c>
      <c r="J7914" t="s">
        <v>30</v>
      </c>
      <c r="K7914" t="str">
        <f>"27028"</f>
        <v>27028</v>
      </c>
      <c r="M7914" t="s">
        <v>17861</v>
      </c>
      <c r="N7914" t="str">
        <f>"12/22/2014 4:01:00 PM"</f>
        <v>12/22/2014 4:01:00 PM</v>
      </c>
      <c r="O7914" t="s">
        <v>23935</v>
      </c>
    </row>
    <row r="7915" spans="1:20" x14ac:dyDescent="0.25">
      <c r="A7915" t="str">
        <f>"3060819"</f>
        <v>3060819</v>
      </c>
      <c r="B7915" t="s">
        <v>23937</v>
      </c>
      <c r="C7915" t="str">
        <f>"8303409"</f>
        <v>8303409</v>
      </c>
      <c r="D7915" t="s">
        <v>23938</v>
      </c>
      <c r="E7915" t="s">
        <v>23939</v>
      </c>
      <c r="F7915" t="s">
        <v>23940</v>
      </c>
      <c r="I7915" t="s">
        <v>184</v>
      </c>
      <c r="J7915" t="s">
        <v>30</v>
      </c>
      <c r="K7915" t="str">
        <f>"27006"</f>
        <v>27006</v>
      </c>
      <c r="M7915" t="s">
        <v>23029</v>
      </c>
      <c r="N7915" t="str">
        <f>"12/23/2014 9:35:00 AM"</f>
        <v>12/23/2014 9:35:00 AM</v>
      </c>
      <c r="O7915" t="s">
        <v>23938</v>
      </c>
      <c r="T7915" t="s">
        <v>23939</v>
      </c>
    </row>
    <row r="7916" spans="1:20" x14ac:dyDescent="0.25">
      <c r="A7916" t="str">
        <f>"3047033"</f>
        <v>3047033</v>
      </c>
      <c r="B7916" t="s">
        <v>23941</v>
      </c>
      <c r="C7916" t="str">
        <f>"8301755"</f>
        <v>8301755</v>
      </c>
      <c r="D7916" t="s">
        <v>23942</v>
      </c>
      <c r="F7916" t="s">
        <v>23943</v>
      </c>
      <c r="I7916" t="s">
        <v>29</v>
      </c>
      <c r="J7916" t="s">
        <v>30</v>
      </c>
      <c r="K7916" t="str">
        <f>"27028"</f>
        <v>27028</v>
      </c>
      <c r="M7916" t="s">
        <v>22859</v>
      </c>
      <c r="N7916" t="str">
        <f>"12/23/2014 11:47:00 AM"</f>
        <v>12/23/2014 11:47:00 AM</v>
      </c>
      <c r="O7916" t="s">
        <v>23942</v>
      </c>
    </row>
    <row r="7917" spans="1:20" x14ac:dyDescent="0.25">
      <c r="A7917" t="str">
        <f>"3047084"</f>
        <v>3047084</v>
      </c>
      <c r="B7917" t="s">
        <v>23944</v>
      </c>
      <c r="C7917" t="str">
        <f>"8301755"</f>
        <v>8301755</v>
      </c>
      <c r="D7917" t="s">
        <v>23942</v>
      </c>
      <c r="F7917" t="s">
        <v>23943</v>
      </c>
      <c r="I7917" t="s">
        <v>29</v>
      </c>
      <c r="J7917" t="s">
        <v>30</v>
      </c>
      <c r="K7917" t="str">
        <f>"27028"</f>
        <v>27028</v>
      </c>
      <c r="M7917" t="s">
        <v>22859</v>
      </c>
      <c r="N7917" t="str">
        <f>"12/23/2014 11:47:00 AM"</f>
        <v>12/23/2014 11:47:00 AM</v>
      </c>
      <c r="O7917" t="s">
        <v>23942</v>
      </c>
    </row>
    <row r="7918" spans="1:20" x14ac:dyDescent="0.25">
      <c r="A7918" t="str">
        <f>"3039625"</f>
        <v>3039625</v>
      </c>
      <c r="B7918" t="s">
        <v>23945</v>
      </c>
      <c r="C7918" t="str">
        <f>"82523049"</f>
        <v>82523049</v>
      </c>
      <c r="D7918" t="s">
        <v>19987</v>
      </c>
      <c r="F7918" t="s">
        <v>19988</v>
      </c>
      <c r="I7918" t="s">
        <v>184</v>
      </c>
      <c r="J7918" t="s">
        <v>30</v>
      </c>
      <c r="K7918" t="s">
        <v>185</v>
      </c>
      <c r="M7918" t="s">
        <v>22859</v>
      </c>
      <c r="N7918" t="str">
        <f>"12/23/2014 11:52:00 AM"</f>
        <v>12/23/2014 11:52:00 AM</v>
      </c>
      <c r="O7918" t="s">
        <v>19987</v>
      </c>
    </row>
    <row r="7919" spans="1:20" x14ac:dyDescent="0.25">
      <c r="A7919" t="str">
        <f>"3068072"</f>
        <v>3068072</v>
      </c>
      <c r="B7919" t="s">
        <v>23946</v>
      </c>
      <c r="C7919" t="str">
        <f>"82523049"</f>
        <v>82523049</v>
      </c>
      <c r="D7919" t="s">
        <v>19987</v>
      </c>
      <c r="F7919" t="s">
        <v>19988</v>
      </c>
      <c r="I7919" t="s">
        <v>184</v>
      </c>
      <c r="J7919" t="s">
        <v>30</v>
      </c>
      <c r="K7919" t="s">
        <v>185</v>
      </c>
      <c r="M7919" t="s">
        <v>22859</v>
      </c>
      <c r="N7919" t="str">
        <f>"12/23/2014 11:52:00 AM"</f>
        <v>12/23/2014 11:52:00 AM</v>
      </c>
      <c r="O7919" t="s">
        <v>19987</v>
      </c>
    </row>
    <row r="7920" spans="1:20" x14ac:dyDescent="0.25">
      <c r="A7920" t="str">
        <f>"3044261"</f>
        <v>3044261</v>
      </c>
      <c r="B7920" t="s">
        <v>23947</v>
      </c>
      <c r="C7920" t="str">
        <f>"8300561"</f>
        <v>8300561</v>
      </c>
      <c r="D7920" t="s">
        <v>23948</v>
      </c>
      <c r="E7920" t="s">
        <v>23949</v>
      </c>
      <c r="F7920" t="s">
        <v>23950</v>
      </c>
      <c r="I7920" t="s">
        <v>184</v>
      </c>
      <c r="J7920" t="s">
        <v>30</v>
      </c>
      <c r="K7920" t="str">
        <f>"27006"</f>
        <v>27006</v>
      </c>
      <c r="M7920" t="s">
        <v>23029</v>
      </c>
      <c r="N7920" t="str">
        <f>"12/2/2014 3:56:00 PM"</f>
        <v>12/2/2014 3:56:00 PM</v>
      </c>
      <c r="O7920" t="s">
        <v>23948</v>
      </c>
      <c r="T7920" t="s">
        <v>23949</v>
      </c>
    </row>
    <row r="7921" spans="1:20" x14ac:dyDescent="0.25">
      <c r="A7921" t="str">
        <f>"3063003"</f>
        <v>3063003</v>
      </c>
      <c r="B7921" t="s">
        <v>23951</v>
      </c>
      <c r="C7921" t="str">
        <f>"8304570"</f>
        <v>8304570</v>
      </c>
      <c r="D7921" t="s">
        <v>23952</v>
      </c>
      <c r="E7921" t="s">
        <v>23953</v>
      </c>
      <c r="F7921" t="s">
        <v>23954</v>
      </c>
      <c r="I7921" t="s">
        <v>184</v>
      </c>
      <c r="J7921" t="s">
        <v>30</v>
      </c>
      <c r="K7921" t="str">
        <f>"27006"</f>
        <v>27006</v>
      </c>
      <c r="M7921" t="s">
        <v>17861</v>
      </c>
      <c r="N7921" t="str">
        <f>"12/29/2014 10:54:00 AM"</f>
        <v>12/29/2014 10:54:00 AM</v>
      </c>
      <c r="O7921" t="s">
        <v>23952</v>
      </c>
      <c r="T7921" t="s">
        <v>23953</v>
      </c>
    </row>
    <row r="7922" spans="1:20" x14ac:dyDescent="0.25">
      <c r="A7922" t="str">
        <f>"3043133"</f>
        <v>3043133</v>
      </c>
      <c r="B7922" t="s">
        <v>23955</v>
      </c>
      <c r="C7922" t="str">
        <f>"8304573"</f>
        <v>8304573</v>
      </c>
      <c r="D7922" t="s">
        <v>23956</v>
      </c>
      <c r="F7922" t="s">
        <v>23957</v>
      </c>
      <c r="I7922" t="s">
        <v>471</v>
      </c>
      <c r="J7922" t="s">
        <v>30</v>
      </c>
      <c r="K7922" t="str">
        <f>"27107"</f>
        <v>27107</v>
      </c>
      <c r="M7922" t="s">
        <v>17861</v>
      </c>
      <c r="N7922" t="str">
        <f>"12/29/2014 11:42:00 AM"</f>
        <v>12/29/2014 11:42:00 AM</v>
      </c>
      <c r="O7922" t="s">
        <v>23956</v>
      </c>
    </row>
    <row r="7923" spans="1:20" x14ac:dyDescent="0.25">
      <c r="A7923" t="str">
        <f>"3049910"</f>
        <v>3049910</v>
      </c>
      <c r="B7923" t="s">
        <v>23958</v>
      </c>
      <c r="C7923" t="str">
        <f>"82528662"</f>
        <v>82528662</v>
      </c>
      <c r="D7923" t="s">
        <v>23959</v>
      </c>
      <c r="F7923" t="s">
        <v>23960</v>
      </c>
      <c r="I7923" t="s">
        <v>23961</v>
      </c>
      <c r="J7923" t="s">
        <v>30</v>
      </c>
      <c r="K7923" t="s">
        <v>23962</v>
      </c>
      <c r="M7923" t="s">
        <v>22859</v>
      </c>
      <c r="N7923" t="str">
        <f>"12/29/2014 3:37:00 PM"</f>
        <v>12/29/2014 3:37:00 PM</v>
      </c>
      <c r="O7923" t="s">
        <v>23959</v>
      </c>
    </row>
    <row r="7924" spans="1:20" x14ac:dyDescent="0.25">
      <c r="A7924" t="str">
        <f>"3049906"</f>
        <v>3049906</v>
      </c>
      <c r="B7924" t="s">
        <v>23963</v>
      </c>
      <c r="C7924" t="str">
        <f>"82528662"</f>
        <v>82528662</v>
      </c>
      <c r="D7924" t="s">
        <v>23959</v>
      </c>
      <c r="F7924" t="s">
        <v>23960</v>
      </c>
      <c r="I7924" t="s">
        <v>23961</v>
      </c>
      <c r="J7924" t="s">
        <v>30</v>
      </c>
      <c r="K7924" t="s">
        <v>23962</v>
      </c>
      <c r="M7924" t="s">
        <v>22859</v>
      </c>
      <c r="N7924" t="str">
        <f>"12/29/2014 3:37:00 PM"</f>
        <v>12/29/2014 3:37:00 PM</v>
      </c>
      <c r="O7924" t="s">
        <v>23959</v>
      </c>
    </row>
    <row r="7925" spans="1:20" x14ac:dyDescent="0.25">
      <c r="A7925" t="str">
        <f>"3044691"</f>
        <v>3044691</v>
      </c>
      <c r="B7925" t="s">
        <v>23964</v>
      </c>
      <c r="C7925" t="str">
        <f>"8304577"</f>
        <v>8304577</v>
      </c>
      <c r="D7925" t="s">
        <v>23965</v>
      </c>
      <c r="E7925" t="s">
        <v>23966</v>
      </c>
      <c r="F7925" t="s">
        <v>23967</v>
      </c>
      <c r="I7925" t="s">
        <v>184</v>
      </c>
      <c r="J7925" t="s">
        <v>30</v>
      </c>
      <c r="K7925" t="str">
        <f>"27006"</f>
        <v>27006</v>
      </c>
      <c r="M7925" t="s">
        <v>17861</v>
      </c>
      <c r="N7925" t="str">
        <f>"12/29/2014 4:16:00 PM"</f>
        <v>12/29/2014 4:16:00 PM</v>
      </c>
      <c r="O7925" t="s">
        <v>23965</v>
      </c>
      <c r="T7925" t="s">
        <v>23966</v>
      </c>
    </row>
    <row r="7926" spans="1:20" x14ac:dyDescent="0.25">
      <c r="A7926" t="str">
        <f>"3053542"</f>
        <v>3053542</v>
      </c>
      <c r="B7926" t="s">
        <v>23968</v>
      </c>
      <c r="C7926" t="str">
        <f>"8304579"</f>
        <v>8304579</v>
      </c>
      <c r="D7926" t="s">
        <v>23969</v>
      </c>
      <c r="F7926" t="s">
        <v>23970</v>
      </c>
      <c r="I7926" t="s">
        <v>29</v>
      </c>
      <c r="J7926" t="s">
        <v>30</v>
      </c>
      <c r="K7926" t="str">
        <f>"27028"</f>
        <v>27028</v>
      </c>
      <c r="M7926" t="s">
        <v>17861</v>
      </c>
      <c r="N7926" t="str">
        <f>"12/29/2014 4:30:00 PM"</f>
        <v>12/29/2014 4:30:00 PM</v>
      </c>
      <c r="O7926" t="s">
        <v>23969</v>
      </c>
    </row>
    <row r="7927" spans="1:20" x14ac:dyDescent="0.25">
      <c r="A7927" t="str">
        <f>"3057964"</f>
        <v>3057964</v>
      </c>
      <c r="B7927" t="s">
        <v>23971</v>
      </c>
      <c r="C7927" t="str">
        <f>"68948000"</f>
        <v>68948000</v>
      </c>
      <c r="D7927" t="s">
        <v>23812</v>
      </c>
      <c r="E7927" t="s">
        <v>23813</v>
      </c>
      <c r="F7927" t="s">
        <v>23814</v>
      </c>
      <c r="I7927" t="s">
        <v>29</v>
      </c>
      <c r="J7927" t="s">
        <v>30</v>
      </c>
      <c r="K7927" t="s">
        <v>31</v>
      </c>
      <c r="M7927" t="s">
        <v>17861</v>
      </c>
      <c r="N7927" t="str">
        <f>"12/3/2014 11:04:00 AM"</f>
        <v>12/3/2014 11:04:00 AM</v>
      </c>
      <c r="O7927" t="s">
        <v>23812</v>
      </c>
      <c r="T7927" t="s">
        <v>23813</v>
      </c>
    </row>
    <row r="7928" spans="1:20" x14ac:dyDescent="0.25">
      <c r="A7928" t="str">
        <f>"3062073"</f>
        <v>3062073</v>
      </c>
      <c r="B7928" t="s">
        <v>23972</v>
      </c>
      <c r="C7928" t="str">
        <f>"8304586"</f>
        <v>8304586</v>
      </c>
      <c r="D7928" t="s">
        <v>23973</v>
      </c>
      <c r="F7928" t="s">
        <v>23974</v>
      </c>
      <c r="I7928" t="s">
        <v>49</v>
      </c>
      <c r="J7928" t="s">
        <v>30</v>
      </c>
      <c r="K7928" t="str">
        <f>"27055"</f>
        <v>27055</v>
      </c>
      <c r="M7928" t="s">
        <v>17861</v>
      </c>
      <c r="N7928" t="str">
        <f>"12/31/2014 1:42:00 PM"</f>
        <v>12/31/2014 1:42:00 PM</v>
      </c>
      <c r="O7928" t="s">
        <v>23973</v>
      </c>
    </row>
    <row r="7929" spans="1:20" x14ac:dyDescent="0.25">
      <c r="A7929" t="str">
        <f>"3058768"</f>
        <v>3058768</v>
      </c>
      <c r="B7929" t="s">
        <v>23975</v>
      </c>
      <c r="C7929" t="str">
        <f>"82520268"</f>
        <v>82520268</v>
      </c>
      <c r="D7929" t="s">
        <v>23976</v>
      </c>
      <c r="F7929" t="s">
        <v>23977</v>
      </c>
      <c r="I7929" t="s">
        <v>29</v>
      </c>
      <c r="J7929" t="s">
        <v>30</v>
      </c>
      <c r="K7929" t="s">
        <v>11644</v>
      </c>
      <c r="M7929" t="s">
        <v>23082</v>
      </c>
      <c r="N7929" t="str">
        <f>"12/4/2014 3:07:00 PM"</f>
        <v>12/4/2014 3:07:00 PM</v>
      </c>
      <c r="O7929" t="s">
        <v>23976</v>
      </c>
    </row>
    <row r="7930" spans="1:20" x14ac:dyDescent="0.25">
      <c r="A7930" t="str">
        <f>"3042943"</f>
        <v>3042943</v>
      </c>
      <c r="B7930" t="s">
        <v>23978</v>
      </c>
      <c r="C7930" t="str">
        <f>"8304221"</f>
        <v>8304221</v>
      </c>
      <c r="D7930" t="s">
        <v>23979</v>
      </c>
      <c r="F7930" t="s">
        <v>23980</v>
      </c>
      <c r="I7930" t="s">
        <v>29</v>
      </c>
      <c r="J7930" t="s">
        <v>30</v>
      </c>
      <c r="K7930" t="str">
        <f>"27028"</f>
        <v>27028</v>
      </c>
      <c r="M7930" t="s">
        <v>17861</v>
      </c>
      <c r="N7930" t="str">
        <f>"10/20/2014 4:05:00 PM"</f>
        <v>10/20/2014 4:05:00 PM</v>
      </c>
      <c r="O7930" t="s">
        <v>23979</v>
      </c>
    </row>
    <row r="7931" spans="1:20" x14ac:dyDescent="0.25">
      <c r="A7931" t="str">
        <f>"3072211"</f>
        <v>3072211</v>
      </c>
      <c r="B7931" t="s">
        <v>23981</v>
      </c>
      <c r="C7931" t="str">
        <f>"12644000"</f>
        <v>12644000</v>
      </c>
      <c r="D7931" t="s">
        <v>23982</v>
      </c>
      <c r="E7931" t="s">
        <v>23983</v>
      </c>
      <c r="F7931" t="s">
        <v>23984</v>
      </c>
      <c r="I7931" t="s">
        <v>29</v>
      </c>
      <c r="J7931" t="s">
        <v>30</v>
      </c>
      <c r="K7931" t="s">
        <v>23985</v>
      </c>
      <c r="M7931" t="s">
        <v>18479</v>
      </c>
      <c r="N7931" t="str">
        <f>"12/9/2014 9:28:00 AM"</f>
        <v>12/9/2014 9:28:00 AM</v>
      </c>
      <c r="O7931" t="s">
        <v>23982</v>
      </c>
      <c r="T7931" t="s">
        <v>23983</v>
      </c>
    </row>
    <row r="7932" spans="1:20" x14ac:dyDescent="0.25">
      <c r="A7932" t="str">
        <f>"3050376"</f>
        <v>3050376</v>
      </c>
      <c r="B7932" t="s">
        <v>23986</v>
      </c>
      <c r="C7932" t="str">
        <f>"8304396"</f>
        <v>8304396</v>
      </c>
      <c r="D7932" t="s">
        <v>23830</v>
      </c>
      <c r="F7932" t="s">
        <v>23831</v>
      </c>
      <c r="I7932" t="s">
        <v>184</v>
      </c>
      <c r="J7932" t="s">
        <v>30</v>
      </c>
      <c r="K7932" t="str">
        <f>"27006"</f>
        <v>27006</v>
      </c>
      <c r="M7932" t="s">
        <v>17861</v>
      </c>
      <c r="N7932" t="str">
        <f>"12/9/2014 12:37:00 PM"</f>
        <v>12/9/2014 12:37:00 PM</v>
      </c>
      <c r="O7932" t="s">
        <v>23830</v>
      </c>
    </row>
    <row r="7933" spans="1:20" x14ac:dyDescent="0.25">
      <c r="A7933" t="str">
        <f>"3059001"</f>
        <v>3059001</v>
      </c>
      <c r="B7933" t="s">
        <v>23987</v>
      </c>
      <c r="C7933" t="str">
        <f>"8304415"</f>
        <v>8304415</v>
      </c>
      <c r="D7933" t="s">
        <v>23988</v>
      </c>
      <c r="E7933" t="s">
        <v>23989</v>
      </c>
      <c r="F7933" t="s">
        <v>23990</v>
      </c>
      <c r="I7933" t="s">
        <v>29</v>
      </c>
      <c r="J7933" t="s">
        <v>30</v>
      </c>
      <c r="K7933" t="str">
        <f>"27028"</f>
        <v>27028</v>
      </c>
      <c r="M7933" t="s">
        <v>17861</v>
      </c>
      <c r="N7933" t="str">
        <f>"12/10/2014 3:48:00 PM"</f>
        <v>12/10/2014 3:48:00 PM</v>
      </c>
      <c r="O7933" t="s">
        <v>23988</v>
      </c>
      <c r="T7933" t="s">
        <v>23989</v>
      </c>
    </row>
    <row r="7934" spans="1:20" x14ac:dyDescent="0.25">
      <c r="A7934" t="str">
        <f>"3049224"</f>
        <v>3049224</v>
      </c>
      <c r="B7934" t="s">
        <v>23991</v>
      </c>
      <c r="C7934" t="str">
        <f>"8302714"</f>
        <v>8302714</v>
      </c>
      <c r="D7934" t="s">
        <v>11156</v>
      </c>
      <c r="E7934" t="s">
        <v>23992</v>
      </c>
      <c r="F7934" t="s">
        <v>23993</v>
      </c>
      <c r="I7934" t="s">
        <v>29</v>
      </c>
      <c r="J7934" t="s">
        <v>30</v>
      </c>
      <c r="K7934" t="str">
        <f>"27028"</f>
        <v>27028</v>
      </c>
      <c r="M7934" t="s">
        <v>20015</v>
      </c>
      <c r="N7934" t="str">
        <f>"1/2/2015 10:29:00 AM"</f>
        <v>1/2/2015 10:29:00 AM</v>
      </c>
      <c r="O7934" t="s">
        <v>11156</v>
      </c>
      <c r="T7934" t="s">
        <v>23992</v>
      </c>
    </row>
    <row r="7935" spans="1:20" x14ac:dyDescent="0.25">
      <c r="A7935" t="str">
        <f>"3040266"</f>
        <v>3040266</v>
      </c>
      <c r="B7935" t="s">
        <v>23994</v>
      </c>
      <c r="C7935" t="str">
        <f>"26841000"</f>
        <v>26841000</v>
      </c>
      <c r="D7935" t="s">
        <v>23995</v>
      </c>
      <c r="F7935" t="s">
        <v>23996</v>
      </c>
      <c r="I7935" t="s">
        <v>184</v>
      </c>
      <c r="J7935" t="s">
        <v>30</v>
      </c>
      <c r="K7935" t="s">
        <v>185</v>
      </c>
      <c r="M7935" t="s">
        <v>18470</v>
      </c>
      <c r="N7935" t="str">
        <f>"1/2/2015 12:43:00 PM"</f>
        <v>1/2/2015 12:43:00 PM</v>
      </c>
      <c r="O7935" t="s">
        <v>23995</v>
      </c>
    </row>
    <row r="7936" spans="1:20" x14ac:dyDescent="0.25">
      <c r="A7936" t="str">
        <f>"3040770"</f>
        <v>3040770</v>
      </c>
      <c r="B7936" t="s">
        <v>23997</v>
      </c>
      <c r="C7936" t="str">
        <f>"26841000"</f>
        <v>26841000</v>
      </c>
      <c r="D7936" t="s">
        <v>23995</v>
      </c>
      <c r="F7936" t="s">
        <v>23996</v>
      </c>
      <c r="I7936" t="s">
        <v>184</v>
      </c>
      <c r="J7936" t="s">
        <v>30</v>
      </c>
      <c r="K7936" t="s">
        <v>185</v>
      </c>
      <c r="M7936" t="s">
        <v>18470</v>
      </c>
      <c r="N7936" t="str">
        <f>"1/2/2015 12:43:00 PM"</f>
        <v>1/2/2015 12:43:00 PM</v>
      </c>
      <c r="O7936" t="s">
        <v>23995</v>
      </c>
    </row>
    <row r="7937" spans="1:20" x14ac:dyDescent="0.25">
      <c r="A7937" t="str">
        <f>"3040768"</f>
        <v>3040768</v>
      </c>
      <c r="B7937" t="s">
        <v>23998</v>
      </c>
      <c r="C7937" t="str">
        <f>"26841000"</f>
        <v>26841000</v>
      </c>
      <c r="D7937" t="s">
        <v>23995</v>
      </c>
      <c r="F7937" t="s">
        <v>23996</v>
      </c>
      <c r="I7937" t="s">
        <v>184</v>
      </c>
      <c r="J7937" t="s">
        <v>30</v>
      </c>
      <c r="K7937" t="s">
        <v>185</v>
      </c>
      <c r="M7937" t="s">
        <v>18470</v>
      </c>
      <c r="N7937" t="str">
        <f>"1/2/2015 12:43:00 PM"</f>
        <v>1/2/2015 12:43:00 PM</v>
      </c>
      <c r="O7937" t="s">
        <v>23995</v>
      </c>
    </row>
    <row r="7938" spans="1:20" x14ac:dyDescent="0.25">
      <c r="A7938" t="str">
        <f>"3051350"</f>
        <v>3051350</v>
      </c>
      <c r="B7938" t="s">
        <v>23999</v>
      </c>
      <c r="C7938" t="str">
        <f>"82530992"</f>
        <v>82530992</v>
      </c>
      <c r="D7938" t="s">
        <v>24000</v>
      </c>
      <c r="F7938" t="s">
        <v>24001</v>
      </c>
      <c r="I7938" t="s">
        <v>29</v>
      </c>
      <c r="J7938" t="s">
        <v>30</v>
      </c>
      <c r="K7938" t="s">
        <v>31</v>
      </c>
      <c r="M7938" t="s">
        <v>17861</v>
      </c>
      <c r="N7938" t="str">
        <f>"1/2/2015 2:09:00 PM"</f>
        <v>1/2/2015 2:09:00 PM</v>
      </c>
      <c r="O7938" t="s">
        <v>24000</v>
      </c>
    </row>
    <row r="7939" spans="1:20" x14ac:dyDescent="0.25">
      <c r="A7939" t="str">
        <f>"3051261"</f>
        <v>3051261</v>
      </c>
      <c r="B7939" t="s">
        <v>24002</v>
      </c>
      <c r="C7939" t="str">
        <f>"82530992"</f>
        <v>82530992</v>
      </c>
      <c r="D7939" t="s">
        <v>24000</v>
      </c>
      <c r="F7939" t="s">
        <v>24001</v>
      </c>
      <c r="I7939" t="s">
        <v>29</v>
      </c>
      <c r="J7939" t="s">
        <v>30</v>
      </c>
      <c r="K7939" t="s">
        <v>31</v>
      </c>
      <c r="M7939" t="s">
        <v>17861</v>
      </c>
      <c r="N7939" t="str">
        <f>"1/2/2015 2:09:00 PM"</f>
        <v>1/2/2015 2:09:00 PM</v>
      </c>
      <c r="O7939" t="s">
        <v>24000</v>
      </c>
    </row>
    <row r="7940" spans="1:20" x14ac:dyDescent="0.25">
      <c r="A7940" t="str">
        <f>"3073767"</f>
        <v>3073767</v>
      </c>
      <c r="B7940" t="s">
        <v>24003</v>
      </c>
      <c r="C7940" t="str">
        <f>"82530992"</f>
        <v>82530992</v>
      </c>
      <c r="D7940" t="s">
        <v>24000</v>
      </c>
      <c r="F7940" t="s">
        <v>24001</v>
      </c>
      <c r="I7940" t="s">
        <v>29</v>
      </c>
      <c r="J7940" t="s">
        <v>30</v>
      </c>
      <c r="K7940" t="s">
        <v>31</v>
      </c>
      <c r="M7940" t="s">
        <v>17861</v>
      </c>
      <c r="N7940" t="str">
        <f>"1/2/2015 2:09:00 PM"</f>
        <v>1/2/2015 2:09:00 PM</v>
      </c>
      <c r="O7940" t="s">
        <v>24000</v>
      </c>
    </row>
    <row r="7941" spans="1:20" x14ac:dyDescent="0.25">
      <c r="A7941" t="str">
        <f>"3046101"</f>
        <v>3046101</v>
      </c>
      <c r="B7941" t="s">
        <v>24004</v>
      </c>
      <c r="C7941" t="str">
        <f>"82526978"</f>
        <v>82526978</v>
      </c>
      <c r="D7941" t="s">
        <v>24005</v>
      </c>
      <c r="E7941" t="s">
        <v>24006</v>
      </c>
      <c r="F7941" t="s">
        <v>24007</v>
      </c>
      <c r="I7941" t="s">
        <v>29</v>
      </c>
      <c r="J7941" t="s">
        <v>30</v>
      </c>
      <c r="K7941" t="s">
        <v>31</v>
      </c>
      <c r="M7941" t="s">
        <v>22859</v>
      </c>
      <c r="N7941" t="str">
        <f>"1/2/2015 2:38:00 PM"</f>
        <v>1/2/2015 2:38:00 PM</v>
      </c>
      <c r="O7941" t="s">
        <v>24005</v>
      </c>
      <c r="T7941" t="s">
        <v>24006</v>
      </c>
    </row>
    <row r="7942" spans="1:20" x14ac:dyDescent="0.25">
      <c r="A7942" t="str">
        <f>"3060950"</f>
        <v>3060950</v>
      </c>
      <c r="B7942" t="s">
        <v>24008</v>
      </c>
      <c r="C7942" t="str">
        <f>"8304418"</f>
        <v>8304418</v>
      </c>
      <c r="D7942" t="s">
        <v>24009</v>
      </c>
      <c r="F7942" t="s">
        <v>24010</v>
      </c>
      <c r="I7942" t="s">
        <v>184</v>
      </c>
      <c r="J7942" t="s">
        <v>30</v>
      </c>
      <c r="K7942" t="str">
        <f>"27006"</f>
        <v>27006</v>
      </c>
      <c r="M7942" t="s">
        <v>17861</v>
      </c>
      <c r="N7942" t="str">
        <f>"12/10/2014 3:55:00 PM"</f>
        <v>12/10/2014 3:55:00 PM</v>
      </c>
      <c r="O7942" t="s">
        <v>24009</v>
      </c>
    </row>
    <row r="7943" spans="1:20" x14ac:dyDescent="0.25">
      <c r="A7943" t="str">
        <f>"3049922"</f>
        <v>3049922</v>
      </c>
      <c r="B7943" t="s">
        <v>24011</v>
      </c>
      <c r="C7943" t="str">
        <f>"8303494"</f>
        <v>8303494</v>
      </c>
      <c r="D7943" t="s">
        <v>24012</v>
      </c>
      <c r="F7943" t="s">
        <v>24013</v>
      </c>
      <c r="I7943" t="s">
        <v>29</v>
      </c>
      <c r="J7943" t="s">
        <v>30</v>
      </c>
      <c r="K7943" t="str">
        <f>"27028"</f>
        <v>27028</v>
      </c>
      <c r="M7943" t="s">
        <v>18479</v>
      </c>
      <c r="N7943" t="str">
        <f>"1/6/2015 10:58:00 AM"</f>
        <v>1/6/2015 10:58:00 AM</v>
      </c>
      <c r="O7943" t="s">
        <v>24012</v>
      </c>
    </row>
    <row r="7944" spans="1:20" x14ac:dyDescent="0.25">
      <c r="A7944" t="str">
        <f>"3038087"</f>
        <v>3038087</v>
      </c>
      <c r="B7944" t="s">
        <v>24014</v>
      </c>
      <c r="C7944" t="str">
        <f>"21031750"</f>
        <v>21031750</v>
      </c>
      <c r="D7944" t="s">
        <v>24015</v>
      </c>
      <c r="E7944" t="s">
        <v>24016</v>
      </c>
      <c r="F7944" t="s">
        <v>24017</v>
      </c>
      <c r="I7944" t="s">
        <v>29</v>
      </c>
      <c r="J7944" t="s">
        <v>30</v>
      </c>
      <c r="K7944" t="str">
        <f>"27028"</f>
        <v>27028</v>
      </c>
      <c r="M7944" t="s">
        <v>18479</v>
      </c>
      <c r="N7944" t="str">
        <f>"1/6/2015 11:13:00 AM"</f>
        <v>1/6/2015 11:13:00 AM</v>
      </c>
      <c r="O7944" t="s">
        <v>24015</v>
      </c>
      <c r="T7944" t="s">
        <v>24016</v>
      </c>
    </row>
    <row r="7945" spans="1:20" x14ac:dyDescent="0.25">
      <c r="A7945" t="str">
        <f>"3060860"</f>
        <v>3060860</v>
      </c>
      <c r="B7945" t="s">
        <v>24018</v>
      </c>
      <c r="C7945" t="str">
        <f>"8304422"</f>
        <v>8304422</v>
      </c>
      <c r="D7945" t="s">
        <v>24019</v>
      </c>
      <c r="E7945" t="s">
        <v>24020</v>
      </c>
      <c r="F7945" t="s">
        <v>24021</v>
      </c>
      <c r="I7945" t="s">
        <v>2071</v>
      </c>
      <c r="J7945" t="s">
        <v>30</v>
      </c>
      <c r="K7945" t="str">
        <f>"27006"</f>
        <v>27006</v>
      </c>
      <c r="M7945" t="s">
        <v>17861</v>
      </c>
      <c r="N7945" t="str">
        <f>"12/10/2014 4:15:00 PM"</f>
        <v>12/10/2014 4:15:00 PM</v>
      </c>
      <c r="O7945" t="s">
        <v>24019</v>
      </c>
      <c r="T7945" t="s">
        <v>24020</v>
      </c>
    </row>
    <row r="7946" spans="1:20" x14ac:dyDescent="0.25">
      <c r="A7946" t="str">
        <f>"3068902"</f>
        <v>3068902</v>
      </c>
      <c r="B7946" t="s">
        <v>24022</v>
      </c>
      <c r="C7946" t="str">
        <f>"47080000"</f>
        <v>47080000</v>
      </c>
      <c r="D7946" t="s">
        <v>24023</v>
      </c>
      <c r="F7946" t="s">
        <v>20442</v>
      </c>
      <c r="I7946" t="s">
        <v>29</v>
      </c>
      <c r="J7946" t="s">
        <v>30</v>
      </c>
      <c r="K7946" t="s">
        <v>31</v>
      </c>
      <c r="M7946" t="s">
        <v>23029</v>
      </c>
      <c r="N7946" t="str">
        <f>"1/6/2015 11:28:00 AM"</f>
        <v>1/6/2015 11:28:00 AM</v>
      </c>
      <c r="O7946" t="s">
        <v>24023</v>
      </c>
    </row>
    <row r="7947" spans="1:20" x14ac:dyDescent="0.25">
      <c r="A7947" t="str">
        <f>"3057035"</f>
        <v>3057035</v>
      </c>
      <c r="B7947" t="s">
        <v>24024</v>
      </c>
      <c r="C7947" t="str">
        <f>"47080000"</f>
        <v>47080000</v>
      </c>
      <c r="D7947" t="s">
        <v>24023</v>
      </c>
      <c r="F7947" t="s">
        <v>20442</v>
      </c>
      <c r="I7947" t="s">
        <v>29</v>
      </c>
      <c r="J7947" t="s">
        <v>30</v>
      </c>
      <c r="K7947" t="s">
        <v>31</v>
      </c>
      <c r="M7947" t="s">
        <v>23029</v>
      </c>
      <c r="N7947" t="str">
        <f>"1/6/2015 11:28:00 AM"</f>
        <v>1/6/2015 11:28:00 AM</v>
      </c>
      <c r="O7947" t="s">
        <v>24023</v>
      </c>
    </row>
    <row r="7948" spans="1:20" x14ac:dyDescent="0.25">
      <c r="A7948" t="str">
        <f>"3057062"</f>
        <v>3057062</v>
      </c>
      <c r="B7948" t="s">
        <v>24025</v>
      </c>
      <c r="C7948" t="str">
        <f>"47080000"</f>
        <v>47080000</v>
      </c>
      <c r="D7948" t="s">
        <v>24023</v>
      </c>
      <c r="F7948" t="s">
        <v>20442</v>
      </c>
      <c r="I7948" t="s">
        <v>29</v>
      </c>
      <c r="J7948" t="s">
        <v>30</v>
      </c>
      <c r="K7948" t="s">
        <v>31</v>
      </c>
      <c r="M7948" t="s">
        <v>23029</v>
      </c>
      <c r="N7948" t="str">
        <f>"1/6/2015 11:28:00 AM"</f>
        <v>1/6/2015 11:28:00 AM</v>
      </c>
      <c r="O7948" t="s">
        <v>24023</v>
      </c>
    </row>
    <row r="7949" spans="1:20" x14ac:dyDescent="0.25">
      <c r="A7949" t="str">
        <f>"3055022"</f>
        <v>3055022</v>
      </c>
      <c r="B7949" t="s">
        <v>24026</v>
      </c>
      <c r="C7949" t="str">
        <f>"8303579"</f>
        <v>8303579</v>
      </c>
      <c r="D7949" t="s">
        <v>24027</v>
      </c>
      <c r="F7949" t="s">
        <v>24028</v>
      </c>
      <c r="I7949" t="s">
        <v>29</v>
      </c>
      <c r="J7949" t="s">
        <v>30</v>
      </c>
      <c r="K7949" t="str">
        <f>"27028"</f>
        <v>27028</v>
      </c>
      <c r="M7949" t="s">
        <v>18479</v>
      </c>
      <c r="N7949" t="str">
        <f>"1/6/2015 11:34:00 AM"</f>
        <v>1/6/2015 11:34:00 AM</v>
      </c>
      <c r="O7949" t="s">
        <v>24027</v>
      </c>
    </row>
    <row r="7950" spans="1:20" x14ac:dyDescent="0.25">
      <c r="A7950" t="str">
        <f>"3054849"</f>
        <v>3054849</v>
      </c>
      <c r="B7950" t="s">
        <v>24029</v>
      </c>
      <c r="C7950" t="str">
        <f>"8303579"</f>
        <v>8303579</v>
      </c>
      <c r="D7950" t="s">
        <v>24027</v>
      </c>
      <c r="F7950" t="s">
        <v>24028</v>
      </c>
      <c r="I7950" t="s">
        <v>29</v>
      </c>
      <c r="J7950" t="s">
        <v>30</v>
      </c>
      <c r="K7950" t="str">
        <f>"27028"</f>
        <v>27028</v>
      </c>
      <c r="M7950" t="s">
        <v>18479</v>
      </c>
      <c r="N7950" t="str">
        <f>"1/6/2015 11:34:00 AM"</f>
        <v>1/6/2015 11:34:00 AM</v>
      </c>
      <c r="O7950" t="s">
        <v>24027</v>
      </c>
    </row>
    <row r="7951" spans="1:20" x14ac:dyDescent="0.25">
      <c r="A7951" t="str">
        <f>"3040551"</f>
        <v>3040551</v>
      </c>
      <c r="B7951" t="s">
        <v>24030</v>
      </c>
      <c r="C7951" t="str">
        <f>"4414750"</f>
        <v>4414750</v>
      </c>
      <c r="D7951" t="s">
        <v>24031</v>
      </c>
      <c r="E7951" t="s">
        <v>24032</v>
      </c>
      <c r="F7951" t="s">
        <v>24033</v>
      </c>
      <c r="I7951" t="s">
        <v>184</v>
      </c>
      <c r="J7951" t="s">
        <v>30</v>
      </c>
      <c r="K7951" t="s">
        <v>185</v>
      </c>
      <c r="M7951" t="s">
        <v>23029</v>
      </c>
      <c r="N7951" t="str">
        <f>"1/6/2015 11:38:00 AM"</f>
        <v>1/6/2015 11:38:00 AM</v>
      </c>
      <c r="O7951" t="s">
        <v>24031</v>
      </c>
      <c r="T7951" t="s">
        <v>24032</v>
      </c>
    </row>
    <row r="7952" spans="1:20" x14ac:dyDescent="0.25">
      <c r="A7952" t="str">
        <f>"3078390"</f>
        <v>3078390</v>
      </c>
      <c r="B7952" t="s">
        <v>24034</v>
      </c>
      <c r="C7952" t="str">
        <f>"14020000"</f>
        <v>14020000</v>
      </c>
      <c r="D7952" t="s">
        <v>24035</v>
      </c>
      <c r="E7952" t="s">
        <v>24036</v>
      </c>
      <c r="F7952" t="s">
        <v>24037</v>
      </c>
      <c r="I7952" t="s">
        <v>29</v>
      </c>
      <c r="J7952" t="s">
        <v>30</v>
      </c>
      <c r="K7952" t="str">
        <f>"27028"</f>
        <v>27028</v>
      </c>
      <c r="M7952" t="s">
        <v>18479</v>
      </c>
      <c r="N7952" t="str">
        <f>"1/6/2015 11:50:00 AM"</f>
        <v>1/6/2015 11:50:00 AM</v>
      </c>
      <c r="O7952" t="s">
        <v>24035</v>
      </c>
      <c r="T7952" t="s">
        <v>24036</v>
      </c>
    </row>
    <row r="7953" spans="1:20" x14ac:dyDescent="0.25">
      <c r="A7953" t="str">
        <f>"3062974"</f>
        <v>3062974</v>
      </c>
      <c r="B7953" t="s">
        <v>24038</v>
      </c>
      <c r="C7953" t="str">
        <f>"14020000"</f>
        <v>14020000</v>
      </c>
      <c r="D7953" t="s">
        <v>24035</v>
      </c>
      <c r="E7953" t="s">
        <v>24036</v>
      </c>
      <c r="F7953" t="s">
        <v>24037</v>
      </c>
      <c r="I7953" t="s">
        <v>29</v>
      </c>
      <c r="J7953" t="s">
        <v>30</v>
      </c>
      <c r="K7953" t="str">
        <f>"27028"</f>
        <v>27028</v>
      </c>
      <c r="M7953" t="s">
        <v>18479</v>
      </c>
      <c r="N7953" t="str">
        <f>"1/6/2015 11:50:00 AM"</f>
        <v>1/6/2015 11:50:00 AM</v>
      </c>
      <c r="O7953" t="s">
        <v>24035</v>
      </c>
      <c r="T7953" t="s">
        <v>24036</v>
      </c>
    </row>
    <row r="7954" spans="1:20" x14ac:dyDescent="0.25">
      <c r="A7954" t="str">
        <f>"3078273"</f>
        <v>3078273</v>
      </c>
      <c r="B7954" t="s">
        <v>24039</v>
      </c>
      <c r="C7954" t="str">
        <f>"10734000"</f>
        <v>10734000</v>
      </c>
      <c r="D7954" t="s">
        <v>18116</v>
      </c>
      <c r="F7954" t="s">
        <v>18118</v>
      </c>
      <c r="I7954" t="s">
        <v>29</v>
      </c>
      <c r="J7954" t="s">
        <v>30</v>
      </c>
      <c r="K7954" t="s">
        <v>24040</v>
      </c>
      <c r="M7954" t="s">
        <v>22859</v>
      </c>
      <c r="N7954" t="str">
        <f>"1/6/2015 12:00:00 PM"</f>
        <v>1/6/2015 12:00:00 PM</v>
      </c>
      <c r="O7954" t="s">
        <v>18116</v>
      </c>
      <c r="T7954" t="s">
        <v>18116</v>
      </c>
    </row>
    <row r="7955" spans="1:20" x14ac:dyDescent="0.25">
      <c r="A7955" t="str">
        <f>"3049186"</f>
        <v>3049186</v>
      </c>
      <c r="B7955" t="s">
        <v>24041</v>
      </c>
      <c r="C7955" t="str">
        <f>"10734000"</f>
        <v>10734000</v>
      </c>
      <c r="D7955" t="s">
        <v>18116</v>
      </c>
      <c r="F7955" t="s">
        <v>18118</v>
      </c>
      <c r="I7955" t="s">
        <v>29</v>
      </c>
      <c r="J7955" t="s">
        <v>30</v>
      </c>
      <c r="K7955" t="s">
        <v>24040</v>
      </c>
      <c r="M7955" t="s">
        <v>22859</v>
      </c>
      <c r="N7955" t="str">
        <f>"1/6/2015 12:00:00 PM"</f>
        <v>1/6/2015 12:00:00 PM</v>
      </c>
      <c r="O7955" t="s">
        <v>18116</v>
      </c>
      <c r="T7955" t="s">
        <v>18116</v>
      </c>
    </row>
    <row r="7956" spans="1:20" x14ac:dyDescent="0.25">
      <c r="A7956" t="str">
        <f>"3049099"</f>
        <v>3049099</v>
      </c>
      <c r="B7956" t="s">
        <v>24042</v>
      </c>
      <c r="C7956" t="str">
        <f>"10734000"</f>
        <v>10734000</v>
      </c>
      <c r="D7956" t="s">
        <v>18116</v>
      </c>
      <c r="F7956" t="s">
        <v>18118</v>
      </c>
      <c r="I7956" t="s">
        <v>29</v>
      </c>
      <c r="J7956" t="s">
        <v>30</v>
      </c>
      <c r="K7956" t="s">
        <v>24040</v>
      </c>
      <c r="M7956" t="s">
        <v>22859</v>
      </c>
      <c r="N7956" t="str">
        <f>"1/6/2015 12:00:00 PM"</f>
        <v>1/6/2015 12:00:00 PM</v>
      </c>
      <c r="O7956" t="s">
        <v>18116</v>
      </c>
      <c r="T7956" t="s">
        <v>18116</v>
      </c>
    </row>
    <row r="7957" spans="1:20" x14ac:dyDescent="0.25">
      <c r="A7957" t="str">
        <f>"3055002"</f>
        <v>3055002</v>
      </c>
      <c r="B7957" t="s">
        <v>24043</v>
      </c>
      <c r="C7957" t="str">
        <f>"8304442"</f>
        <v>8304442</v>
      </c>
      <c r="D7957" t="s">
        <v>24044</v>
      </c>
      <c r="F7957" t="s">
        <v>24045</v>
      </c>
      <c r="I7957" t="s">
        <v>29</v>
      </c>
      <c r="J7957" t="s">
        <v>30</v>
      </c>
      <c r="K7957" t="str">
        <f>"27028"</f>
        <v>27028</v>
      </c>
      <c r="M7957" t="s">
        <v>17861</v>
      </c>
      <c r="N7957" t="str">
        <f>"12/12/2014 3:45:00 PM"</f>
        <v>12/12/2014 3:45:00 PM</v>
      </c>
      <c r="O7957" t="s">
        <v>24044</v>
      </c>
    </row>
    <row r="7958" spans="1:20" x14ac:dyDescent="0.25">
      <c r="A7958" t="str">
        <f>"3059961"</f>
        <v>3059961</v>
      </c>
      <c r="B7958" t="s">
        <v>24046</v>
      </c>
      <c r="C7958" t="str">
        <f>"8304456"</f>
        <v>8304456</v>
      </c>
      <c r="D7958" t="s">
        <v>24047</v>
      </c>
      <c r="E7958" t="s">
        <v>24048</v>
      </c>
      <c r="F7958" t="s">
        <v>24049</v>
      </c>
      <c r="I7958" t="s">
        <v>184</v>
      </c>
      <c r="J7958" t="s">
        <v>30</v>
      </c>
      <c r="K7958" t="str">
        <f>"27006"</f>
        <v>27006</v>
      </c>
      <c r="M7958" t="s">
        <v>17861</v>
      </c>
      <c r="N7958" t="str">
        <f>"12/16/2014 3:07:00 PM"</f>
        <v>12/16/2014 3:07:00 PM</v>
      </c>
      <c r="O7958" t="s">
        <v>24047</v>
      </c>
      <c r="T7958" t="s">
        <v>24048</v>
      </c>
    </row>
    <row r="7959" spans="1:20" x14ac:dyDescent="0.25">
      <c r="A7959" t="str">
        <f>"3049496"</f>
        <v>3049496</v>
      </c>
      <c r="B7959" t="s">
        <v>24050</v>
      </c>
      <c r="C7959" t="str">
        <f>"8304595"</f>
        <v>8304595</v>
      </c>
      <c r="D7959" t="s">
        <v>24051</v>
      </c>
      <c r="E7959" t="str">
        <f>"GLENN E SEAFORD TRST 7/10/01"</f>
        <v>GLENN E SEAFORD TRST 7/10/01</v>
      </c>
      <c r="F7959" t="s">
        <v>14508</v>
      </c>
      <c r="I7959" t="s">
        <v>29</v>
      </c>
      <c r="J7959" t="s">
        <v>30</v>
      </c>
      <c r="K7959" t="str">
        <f>"27028"</f>
        <v>27028</v>
      </c>
      <c r="M7959" t="s">
        <v>17861</v>
      </c>
      <c r="N7959" t="str">
        <f>"1/6/2015 2:51:00 PM"</f>
        <v>1/6/2015 2:51:00 PM</v>
      </c>
      <c r="O7959" t="s">
        <v>24051</v>
      </c>
      <c r="T7959" t="str">
        <f>"GLENN E SEAFORD TRST 7/10/01"</f>
        <v>GLENN E SEAFORD TRST 7/10/01</v>
      </c>
    </row>
    <row r="7960" spans="1:20" x14ac:dyDescent="0.25">
      <c r="A7960" t="str">
        <f>"3047525"</f>
        <v>3047525</v>
      </c>
      <c r="B7960" t="s">
        <v>24052</v>
      </c>
      <c r="C7960" t="str">
        <f>"8304595"</f>
        <v>8304595</v>
      </c>
      <c r="D7960" t="s">
        <v>24051</v>
      </c>
      <c r="E7960" t="str">
        <f>"GLENN E SEAFORD TRST 7/10/01"</f>
        <v>GLENN E SEAFORD TRST 7/10/01</v>
      </c>
      <c r="F7960" t="s">
        <v>14508</v>
      </c>
      <c r="I7960" t="s">
        <v>29</v>
      </c>
      <c r="J7960" t="s">
        <v>30</v>
      </c>
      <c r="K7960" t="str">
        <f>"27028"</f>
        <v>27028</v>
      </c>
      <c r="M7960" t="s">
        <v>17861</v>
      </c>
      <c r="N7960" t="str">
        <f>"1/6/2015 2:51:00 PM"</f>
        <v>1/6/2015 2:51:00 PM</v>
      </c>
      <c r="O7960" t="s">
        <v>24051</v>
      </c>
      <c r="T7960" t="str">
        <f>"GLENN E SEAFORD TRST 7/10/01"</f>
        <v>GLENN E SEAFORD TRST 7/10/01</v>
      </c>
    </row>
    <row r="7961" spans="1:20" x14ac:dyDescent="0.25">
      <c r="A7961" t="str">
        <f>"3053275"</f>
        <v>3053275</v>
      </c>
      <c r="B7961" t="s">
        <v>24053</v>
      </c>
      <c r="C7961" t="str">
        <f>"8302432"</f>
        <v>8302432</v>
      </c>
      <c r="D7961" t="s">
        <v>24054</v>
      </c>
      <c r="E7961" t="s">
        <v>24055</v>
      </c>
      <c r="F7961" t="s">
        <v>24056</v>
      </c>
      <c r="I7961" t="s">
        <v>184</v>
      </c>
      <c r="J7961" t="s">
        <v>30</v>
      </c>
      <c r="K7961" t="str">
        <f>"27006"</f>
        <v>27006</v>
      </c>
      <c r="M7961" t="s">
        <v>18479</v>
      </c>
      <c r="N7961" t="str">
        <f>"1/6/2015 3:11:00 PM"</f>
        <v>1/6/2015 3:11:00 PM</v>
      </c>
      <c r="O7961" t="s">
        <v>24054</v>
      </c>
      <c r="T7961" t="s">
        <v>24055</v>
      </c>
    </row>
    <row r="7962" spans="1:20" x14ac:dyDescent="0.25">
      <c r="A7962" t="str">
        <f>"3053358"</f>
        <v>3053358</v>
      </c>
      <c r="B7962" t="s">
        <v>24057</v>
      </c>
      <c r="C7962" t="str">
        <f>"8302432"</f>
        <v>8302432</v>
      </c>
      <c r="D7962" t="s">
        <v>24054</v>
      </c>
      <c r="E7962" t="s">
        <v>24055</v>
      </c>
      <c r="F7962" t="s">
        <v>24056</v>
      </c>
      <c r="I7962" t="s">
        <v>184</v>
      </c>
      <c r="J7962" t="s">
        <v>30</v>
      </c>
      <c r="K7962" t="str">
        <f>"27006"</f>
        <v>27006</v>
      </c>
      <c r="M7962" t="s">
        <v>18479</v>
      </c>
      <c r="N7962" t="str">
        <f>"1/6/2015 3:11:00 PM"</f>
        <v>1/6/2015 3:11:00 PM</v>
      </c>
      <c r="O7962" t="s">
        <v>24054</v>
      </c>
      <c r="T7962" t="s">
        <v>24055</v>
      </c>
    </row>
    <row r="7963" spans="1:20" x14ac:dyDescent="0.25">
      <c r="A7963" t="str">
        <f>"3053747"</f>
        <v>3053747</v>
      </c>
      <c r="B7963" t="s">
        <v>24058</v>
      </c>
      <c r="C7963" t="str">
        <f>"8302432"</f>
        <v>8302432</v>
      </c>
      <c r="D7963" t="s">
        <v>24054</v>
      </c>
      <c r="E7963" t="s">
        <v>24055</v>
      </c>
      <c r="F7963" t="s">
        <v>24056</v>
      </c>
      <c r="I7963" t="s">
        <v>184</v>
      </c>
      <c r="J7963" t="s">
        <v>30</v>
      </c>
      <c r="K7963" t="str">
        <f>"27006"</f>
        <v>27006</v>
      </c>
      <c r="M7963" t="s">
        <v>18479</v>
      </c>
      <c r="N7963" t="str">
        <f>"1/6/2015 3:11:00 PM"</f>
        <v>1/6/2015 3:11:00 PM</v>
      </c>
      <c r="O7963" t="s">
        <v>24054</v>
      </c>
      <c r="T7963" t="s">
        <v>24055</v>
      </c>
    </row>
    <row r="7964" spans="1:20" x14ac:dyDescent="0.25">
      <c r="A7964" t="str">
        <f>"3077917"</f>
        <v>3077917</v>
      </c>
      <c r="B7964" t="s">
        <v>24059</v>
      </c>
      <c r="C7964" t="str">
        <f>"8304457"</f>
        <v>8304457</v>
      </c>
      <c r="D7964" t="s">
        <v>24060</v>
      </c>
      <c r="E7964" t="s">
        <v>24061</v>
      </c>
      <c r="F7964" t="s">
        <v>24062</v>
      </c>
      <c r="I7964" t="s">
        <v>29</v>
      </c>
      <c r="J7964" t="s">
        <v>30</v>
      </c>
      <c r="K7964" t="str">
        <f>"27028"</f>
        <v>27028</v>
      </c>
      <c r="M7964" t="s">
        <v>17861</v>
      </c>
      <c r="N7964" t="str">
        <f>"12/16/2014 3:09:00 PM"</f>
        <v>12/16/2014 3:09:00 PM</v>
      </c>
      <c r="O7964" t="s">
        <v>24060</v>
      </c>
      <c r="T7964" t="s">
        <v>24061</v>
      </c>
    </row>
    <row r="7965" spans="1:20" x14ac:dyDescent="0.25">
      <c r="A7965" t="str">
        <f>"3055367"</f>
        <v>3055367</v>
      </c>
      <c r="B7965" t="s">
        <v>24063</v>
      </c>
      <c r="C7965" t="str">
        <f>"8304465"</f>
        <v>8304465</v>
      </c>
      <c r="D7965" t="s">
        <v>24064</v>
      </c>
      <c r="E7965" t="s">
        <v>24065</v>
      </c>
      <c r="F7965" t="s">
        <v>24066</v>
      </c>
      <c r="I7965" t="s">
        <v>29</v>
      </c>
      <c r="J7965" t="s">
        <v>30</v>
      </c>
      <c r="K7965" t="str">
        <f>"27028"</f>
        <v>27028</v>
      </c>
      <c r="M7965" t="s">
        <v>17861</v>
      </c>
      <c r="N7965" t="str">
        <f>"12/16/2014 3:27:00 PM"</f>
        <v>12/16/2014 3:27:00 PM</v>
      </c>
      <c r="O7965" t="s">
        <v>24064</v>
      </c>
      <c r="T7965" t="s">
        <v>24065</v>
      </c>
    </row>
    <row r="7966" spans="1:20" x14ac:dyDescent="0.25">
      <c r="A7966" t="str">
        <f>"3040434"</f>
        <v>3040434</v>
      </c>
      <c r="B7966" t="s">
        <v>24067</v>
      </c>
      <c r="C7966" t="str">
        <f>"8301353"</f>
        <v>8301353</v>
      </c>
      <c r="D7966" t="s">
        <v>24068</v>
      </c>
      <c r="F7966" t="s">
        <v>1898</v>
      </c>
      <c r="I7966" t="s">
        <v>471</v>
      </c>
      <c r="J7966" t="s">
        <v>30</v>
      </c>
      <c r="K7966" t="str">
        <f>"27104"</f>
        <v>27104</v>
      </c>
      <c r="M7966" t="s">
        <v>17861</v>
      </c>
      <c r="N7966" t="str">
        <f>"12/16/2014 3:30:00 PM"</f>
        <v>12/16/2014 3:30:00 PM</v>
      </c>
      <c r="O7966" t="s">
        <v>24068</v>
      </c>
    </row>
    <row r="7967" spans="1:20" x14ac:dyDescent="0.25">
      <c r="A7967" t="str">
        <f>"3037795"</f>
        <v>3037795</v>
      </c>
      <c r="B7967" t="s">
        <v>24069</v>
      </c>
      <c r="C7967" t="str">
        <f>"25664800"</f>
        <v>25664800</v>
      </c>
      <c r="D7967" t="s">
        <v>24070</v>
      </c>
      <c r="F7967" t="s">
        <v>24071</v>
      </c>
      <c r="I7967" t="s">
        <v>471</v>
      </c>
      <c r="J7967" t="s">
        <v>30</v>
      </c>
      <c r="K7967" t="s">
        <v>1210</v>
      </c>
      <c r="M7967" t="s">
        <v>18432</v>
      </c>
      <c r="N7967" t="str">
        <f>"1/8/2015 10:27:00 AM"</f>
        <v>1/8/2015 10:27:00 AM</v>
      </c>
      <c r="O7967" t="s">
        <v>24070</v>
      </c>
    </row>
    <row r="7968" spans="1:20" x14ac:dyDescent="0.25">
      <c r="A7968" t="str">
        <f>"3038167"</f>
        <v>3038167</v>
      </c>
      <c r="B7968" t="s">
        <v>24072</v>
      </c>
      <c r="C7968" t="str">
        <f>"25664800"</f>
        <v>25664800</v>
      </c>
      <c r="D7968" t="s">
        <v>24070</v>
      </c>
      <c r="F7968" t="s">
        <v>24071</v>
      </c>
      <c r="I7968" t="s">
        <v>471</v>
      </c>
      <c r="J7968" t="s">
        <v>30</v>
      </c>
      <c r="K7968" t="s">
        <v>1210</v>
      </c>
      <c r="M7968" t="s">
        <v>18432</v>
      </c>
      <c r="N7968" t="str">
        <f>"1/8/2015 10:27:00 AM"</f>
        <v>1/8/2015 10:27:00 AM</v>
      </c>
      <c r="O7968" t="s">
        <v>24070</v>
      </c>
    </row>
    <row r="7969" spans="1:20" x14ac:dyDescent="0.25">
      <c r="A7969" t="str">
        <f>"3038159"</f>
        <v>3038159</v>
      </c>
      <c r="B7969" t="s">
        <v>24073</v>
      </c>
      <c r="C7969" t="str">
        <f>"25664800"</f>
        <v>25664800</v>
      </c>
      <c r="D7969" t="s">
        <v>24070</v>
      </c>
      <c r="F7969" t="s">
        <v>24071</v>
      </c>
      <c r="I7969" t="s">
        <v>471</v>
      </c>
      <c r="J7969" t="s">
        <v>30</v>
      </c>
      <c r="K7969" t="s">
        <v>1210</v>
      </c>
      <c r="M7969" t="s">
        <v>18432</v>
      </c>
      <c r="N7969" t="str">
        <f>"1/8/2015 10:27:00 AM"</f>
        <v>1/8/2015 10:27:00 AM</v>
      </c>
      <c r="O7969" t="s">
        <v>24070</v>
      </c>
    </row>
    <row r="7970" spans="1:20" x14ac:dyDescent="0.25">
      <c r="A7970" t="str">
        <f>"3038498"</f>
        <v>3038498</v>
      </c>
      <c r="B7970" t="s">
        <v>24074</v>
      </c>
      <c r="C7970" t="str">
        <f>"25664800"</f>
        <v>25664800</v>
      </c>
      <c r="D7970" t="s">
        <v>24070</v>
      </c>
      <c r="F7970" t="s">
        <v>24071</v>
      </c>
      <c r="I7970" t="s">
        <v>471</v>
      </c>
      <c r="J7970" t="s">
        <v>30</v>
      </c>
      <c r="K7970" t="s">
        <v>1210</v>
      </c>
      <c r="M7970" t="s">
        <v>18432</v>
      </c>
      <c r="N7970" t="str">
        <f>"1/8/2015 10:27:00 AM"</f>
        <v>1/8/2015 10:27:00 AM</v>
      </c>
      <c r="O7970" t="s">
        <v>24070</v>
      </c>
    </row>
    <row r="7971" spans="1:20" x14ac:dyDescent="0.25">
      <c r="A7971" t="str">
        <f>"3049084"</f>
        <v>3049084</v>
      </c>
      <c r="B7971" t="s">
        <v>24075</v>
      </c>
      <c r="C7971" t="str">
        <f>"25783750"</f>
        <v>25783750</v>
      </c>
      <c r="D7971" t="s">
        <v>24076</v>
      </c>
      <c r="F7971" t="s">
        <v>24077</v>
      </c>
      <c r="I7971" t="s">
        <v>2525</v>
      </c>
      <c r="J7971" t="s">
        <v>30</v>
      </c>
      <c r="K7971" t="s">
        <v>24078</v>
      </c>
      <c r="M7971" t="s">
        <v>23082</v>
      </c>
      <c r="N7971" t="str">
        <f>"1/8/2015 1:12:00 PM"</f>
        <v>1/8/2015 1:12:00 PM</v>
      </c>
      <c r="O7971" t="s">
        <v>24076</v>
      </c>
    </row>
    <row r="7972" spans="1:20" x14ac:dyDescent="0.25">
      <c r="A7972" t="str">
        <f>"3049085"</f>
        <v>3049085</v>
      </c>
      <c r="B7972" t="s">
        <v>24079</v>
      </c>
      <c r="C7972" t="str">
        <f>"25783750"</f>
        <v>25783750</v>
      </c>
      <c r="D7972" t="s">
        <v>24076</v>
      </c>
      <c r="F7972" t="s">
        <v>24077</v>
      </c>
      <c r="I7972" t="s">
        <v>2525</v>
      </c>
      <c r="J7972" t="s">
        <v>30</v>
      </c>
      <c r="K7972" t="s">
        <v>24078</v>
      </c>
      <c r="M7972" t="s">
        <v>23082</v>
      </c>
      <c r="N7972" t="str">
        <f>"1/8/2015 1:12:00 PM"</f>
        <v>1/8/2015 1:12:00 PM</v>
      </c>
      <c r="O7972" t="s">
        <v>24076</v>
      </c>
    </row>
    <row r="7973" spans="1:20" x14ac:dyDescent="0.25">
      <c r="A7973" t="str">
        <f>"3049096"</f>
        <v>3049096</v>
      </c>
      <c r="B7973" t="s">
        <v>24080</v>
      </c>
      <c r="C7973" t="str">
        <f>"25783750"</f>
        <v>25783750</v>
      </c>
      <c r="D7973" t="s">
        <v>24076</v>
      </c>
      <c r="F7973" t="s">
        <v>24077</v>
      </c>
      <c r="I7973" t="s">
        <v>2525</v>
      </c>
      <c r="J7973" t="s">
        <v>30</v>
      </c>
      <c r="K7973" t="s">
        <v>24078</v>
      </c>
      <c r="M7973" t="s">
        <v>23082</v>
      </c>
      <c r="N7973" t="str">
        <f>"1/8/2015 1:12:00 PM"</f>
        <v>1/8/2015 1:12:00 PM</v>
      </c>
      <c r="O7973" t="s">
        <v>24076</v>
      </c>
    </row>
    <row r="7974" spans="1:20" x14ac:dyDescent="0.25">
      <c r="A7974" t="str">
        <f>"3057290"</f>
        <v>3057290</v>
      </c>
      <c r="B7974" t="s">
        <v>24081</v>
      </c>
      <c r="C7974" t="str">
        <f>"25783750"</f>
        <v>25783750</v>
      </c>
      <c r="D7974" t="s">
        <v>24076</v>
      </c>
      <c r="F7974" t="s">
        <v>24077</v>
      </c>
      <c r="I7974" t="s">
        <v>2525</v>
      </c>
      <c r="J7974" t="s">
        <v>30</v>
      </c>
      <c r="K7974" t="s">
        <v>24078</v>
      </c>
      <c r="M7974" t="s">
        <v>23082</v>
      </c>
      <c r="N7974" t="str">
        <f>"1/8/2015 1:12:00 PM"</f>
        <v>1/8/2015 1:12:00 PM</v>
      </c>
      <c r="O7974" t="s">
        <v>24076</v>
      </c>
    </row>
    <row r="7975" spans="1:20" x14ac:dyDescent="0.25">
      <c r="A7975" t="str">
        <f>"3057291"</f>
        <v>3057291</v>
      </c>
      <c r="B7975" t="s">
        <v>24082</v>
      </c>
      <c r="C7975" t="str">
        <f>"25783750"</f>
        <v>25783750</v>
      </c>
      <c r="D7975" t="s">
        <v>24076</v>
      </c>
      <c r="F7975" t="s">
        <v>24077</v>
      </c>
      <c r="I7975" t="s">
        <v>2525</v>
      </c>
      <c r="J7975" t="s">
        <v>30</v>
      </c>
      <c r="K7975" t="s">
        <v>24078</v>
      </c>
      <c r="M7975" t="s">
        <v>23082</v>
      </c>
      <c r="N7975" t="str">
        <f>"1/8/2015 1:12:00 PM"</f>
        <v>1/8/2015 1:12:00 PM</v>
      </c>
      <c r="O7975" t="s">
        <v>24076</v>
      </c>
    </row>
    <row r="7976" spans="1:20" x14ac:dyDescent="0.25">
      <c r="A7976" t="str">
        <f>"3040948"</f>
        <v>3040948</v>
      </c>
      <c r="B7976" t="s">
        <v>24083</v>
      </c>
      <c r="C7976" t="str">
        <f>"8301353"</f>
        <v>8301353</v>
      </c>
      <c r="D7976" t="s">
        <v>24068</v>
      </c>
      <c r="F7976" t="s">
        <v>1898</v>
      </c>
      <c r="I7976" t="s">
        <v>471</v>
      </c>
      <c r="J7976" t="s">
        <v>30</v>
      </c>
      <c r="K7976" t="str">
        <f>"27104"</f>
        <v>27104</v>
      </c>
      <c r="M7976" t="s">
        <v>17861</v>
      </c>
      <c r="N7976" t="str">
        <f>"12/16/2014 3:30:00 PM"</f>
        <v>12/16/2014 3:30:00 PM</v>
      </c>
      <c r="O7976" t="s">
        <v>24068</v>
      </c>
    </row>
    <row r="7977" spans="1:20" x14ac:dyDescent="0.25">
      <c r="A7977" t="str">
        <f>"3059862"</f>
        <v>3059862</v>
      </c>
      <c r="B7977" t="s">
        <v>24084</v>
      </c>
      <c r="C7977" t="str">
        <f>"8304476"</f>
        <v>8304476</v>
      </c>
      <c r="D7977" t="s">
        <v>24085</v>
      </c>
      <c r="F7977" t="s">
        <v>24086</v>
      </c>
      <c r="I7977" t="s">
        <v>29</v>
      </c>
      <c r="J7977" t="s">
        <v>30</v>
      </c>
      <c r="K7977" t="str">
        <f>"27028"</f>
        <v>27028</v>
      </c>
      <c r="M7977" t="s">
        <v>17861</v>
      </c>
      <c r="N7977" t="str">
        <f>"12/16/2014 3:39:00 PM"</f>
        <v>12/16/2014 3:39:00 PM</v>
      </c>
      <c r="O7977" t="s">
        <v>24085</v>
      </c>
    </row>
    <row r="7978" spans="1:20" x14ac:dyDescent="0.25">
      <c r="A7978" t="str">
        <f>"3039576"</f>
        <v>3039576</v>
      </c>
      <c r="B7978" t="s">
        <v>24087</v>
      </c>
      <c r="C7978" t="str">
        <f>"8304479"</f>
        <v>8304479</v>
      </c>
      <c r="D7978" t="s">
        <v>24088</v>
      </c>
      <c r="F7978" t="s">
        <v>24089</v>
      </c>
      <c r="I7978" t="s">
        <v>29</v>
      </c>
      <c r="J7978" t="s">
        <v>30</v>
      </c>
      <c r="K7978" t="str">
        <f>"27028"</f>
        <v>27028</v>
      </c>
      <c r="M7978" t="s">
        <v>17861</v>
      </c>
      <c r="N7978" t="str">
        <f>"12/16/2014 3:41:00 PM"</f>
        <v>12/16/2014 3:41:00 PM</v>
      </c>
      <c r="O7978" t="s">
        <v>24088</v>
      </c>
    </row>
    <row r="7979" spans="1:20" x14ac:dyDescent="0.25">
      <c r="A7979" t="str">
        <f>"3058834"</f>
        <v>3058834</v>
      </c>
      <c r="B7979" t="s">
        <v>24090</v>
      </c>
      <c r="C7979" t="str">
        <f>"82531510"</f>
        <v>82531510</v>
      </c>
      <c r="D7979" t="s">
        <v>24091</v>
      </c>
      <c r="F7979" t="s">
        <v>24092</v>
      </c>
      <c r="G7979" t="s">
        <v>24093</v>
      </c>
      <c r="I7979" t="s">
        <v>29</v>
      </c>
      <c r="J7979" t="s">
        <v>30</v>
      </c>
      <c r="K7979" t="s">
        <v>31</v>
      </c>
      <c r="M7979" t="s">
        <v>18432</v>
      </c>
      <c r="N7979" t="str">
        <f>"12/16/2014 4:05:00 PM"</f>
        <v>12/16/2014 4:05:00 PM</v>
      </c>
      <c r="O7979" t="s">
        <v>24091</v>
      </c>
    </row>
    <row r="7980" spans="1:20" x14ac:dyDescent="0.25">
      <c r="A7980" t="str">
        <f>"3046358"</f>
        <v>3046358</v>
      </c>
      <c r="B7980" t="s">
        <v>24094</v>
      </c>
      <c r="C7980" t="str">
        <f>"1280000"</f>
        <v>1280000</v>
      </c>
      <c r="D7980" t="s">
        <v>23897</v>
      </c>
      <c r="E7980" t="s">
        <v>23898</v>
      </c>
      <c r="F7980" t="s">
        <v>23899</v>
      </c>
      <c r="I7980" t="s">
        <v>29</v>
      </c>
      <c r="J7980" t="s">
        <v>30</v>
      </c>
      <c r="K7980" t="s">
        <v>31</v>
      </c>
      <c r="M7980" t="s">
        <v>17922</v>
      </c>
      <c r="N7980" t="str">
        <f>"12/18/2014 11:50:00 AM"</f>
        <v>12/18/2014 11:50:00 AM</v>
      </c>
      <c r="O7980" t="s">
        <v>23897</v>
      </c>
      <c r="T7980" t="s">
        <v>23898</v>
      </c>
    </row>
    <row r="7981" spans="1:20" x14ac:dyDescent="0.25">
      <c r="A7981" t="str">
        <f>"3045910"</f>
        <v>3045910</v>
      </c>
      <c r="B7981" t="s">
        <v>24095</v>
      </c>
      <c r="C7981" t="str">
        <f>"1280000"</f>
        <v>1280000</v>
      </c>
      <c r="D7981" t="s">
        <v>23897</v>
      </c>
      <c r="E7981" t="s">
        <v>23898</v>
      </c>
      <c r="F7981" t="s">
        <v>23899</v>
      </c>
      <c r="I7981" t="s">
        <v>29</v>
      </c>
      <c r="J7981" t="s">
        <v>30</v>
      </c>
      <c r="K7981" t="s">
        <v>31</v>
      </c>
      <c r="M7981" t="s">
        <v>17922</v>
      </c>
      <c r="N7981" t="str">
        <f>"12/18/2014 11:50:00 AM"</f>
        <v>12/18/2014 11:50:00 AM</v>
      </c>
      <c r="O7981" t="s">
        <v>23897</v>
      </c>
      <c r="T7981" t="s">
        <v>23898</v>
      </c>
    </row>
    <row r="7982" spans="1:20" x14ac:dyDescent="0.25">
      <c r="A7982" t="str">
        <f>"3040044"</f>
        <v>3040044</v>
      </c>
      <c r="B7982" t="s">
        <v>24096</v>
      </c>
      <c r="C7982" t="str">
        <f>"82522813"</f>
        <v>82522813</v>
      </c>
      <c r="D7982" t="s">
        <v>24097</v>
      </c>
      <c r="F7982" t="s">
        <v>24098</v>
      </c>
      <c r="I7982" t="s">
        <v>29</v>
      </c>
      <c r="J7982" t="s">
        <v>30</v>
      </c>
      <c r="K7982" t="s">
        <v>1166</v>
      </c>
      <c r="M7982" t="s">
        <v>18432</v>
      </c>
      <c r="N7982" t="str">
        <f>"12/22/2014 9:51:00 AM"</f>
        <v>12/22/2014 9:51:00 AM</v>
      </c>
      <c r="O7982" t="s">
        <v>24097</v>
      </c>
    </row>
    <row r="7983" spans="1:20" x14ac:dyDescent="0.25">
      <c r="A7983" t="str">
        <f>"3040224"</f>
        <v>3040224</v>
      </c>
      <c r="B7983" t="s">
        <v>24099</v>
      </c>
      <c r="C7983" t="str">
        <f>"82515894"</f>
        <v>82515894</v>
      </c>
      <c r="D7983" t="s">
        <v>24100</v>
      </c>
      <c r="E7983" t="s">
        <v>24101</v>
      </c>
      <c r="F7983" t="s">
        <v>24102</v>
      </c>
      <c r="I7983" t="s">
        <v>29</v>
      </c>
      <c r="J7983" t="s">
        <v>30</v>
      </c>
      <c r="K7983" t="s">
        <v>31</v>
      </c>
      <c r="M7983" t="s">
        <v>23082</v>
      </c>
      <c r="N7983" t="str">
        <f>"1/15/2015 4:03:00 PM"</f>
        <v>1/15/2015 4:03:00 PM</v>
      </c>
      <c r="O7983" t="s">
        <v>24100</v>
      </c>
      <c r="T7983" t="s">
        <v>24101</v>
      </c>
    </row>
    <row r="7984" spans="1:20" x14ac:dyDescent="0.25">
      <c r="A7984" t="str">
        <f>"3092514"</f>
        <v>3092514</v>
      </c>
      <c r="B7984" t="s">
        <v>24103</v>
      </c>
      <c r="C7984" t="str">
        <f>"82530941"</f>
        <v>82530941</v>
      </c>
      <c r="D7984" t="s">
        <v>24104</v>
      </c>
      <c r="F7984" t="s">
        <v>24105</v>
      </c>
      <c r="I7984" t="s">
        <v>1149</v>
      </c>
      <c r="J7984" t="s">
        <v>30</v>
      </c>
      <c r="K7984" t="s">
        <v>1150</v>
      </c>
      <c r="M7984" t="s">
        <v>23082</v>
      </c>
      <c r="N7984" t="str">
        <f>"1/15/2015 4:05:00 PM"</f>
        <v>1/15/2015 4:05:00 PM</v>
      </c>
      <c r="O7984" t="s">
        <v>24104</v>
      </c>
    </row>
    <row r="7985" spans="1:20" x14ac:dyDescent="0.25">
      <c r="A7985" t="str">
        <f>"3069578"</f>
        <v>3069578</v>
      </c>
      <c r="B7985" t="s">
        <v>24106</v>
      </c>
      <c r="C7985" t="str">
        <f>"55631500"</f>
        <v>55631500</v>
      </c>
      <c r="D7985" t="s">
        <v>24107</v>
      </c>
      <c r="E7985" t="s">
        <v>24108</v>
      </c>
      <c r="F7985" t="s">
        <v>24109</v>
      </c>
      <c r="I7985" t="s">
        <v>184</v>
      </c>
      <c r="J7985" t="s">
        <v>30</v>
      </c>
      <c r="K7985" t="s">
        <v>185</v>
      </c>
      <c r="M7985" t="s">
        <v>23082</v>
      </c>
      <c r="N7985" t="str">
        <f>"1/15/2015 4:21:00 PM"</f>
        <v>1/15/2015 4:21:00 PM</v>
      </c>
      <c r="O7985" t="s">
        <v>24107</v>
      </c>
      <c r="T7985" t="s">
        <v>24108</v>
      </c>
    </row>
    <row r="7986" spans="1:20" x14ac:dyDescent="0.25">
      <c r="A7986" t="str">
        <f>"3056094"</f>
        <v>3056094</v>
      </c>
      <c r="B7986" t="s">
        <v>24110</v>
      </c>
      <c r="C7986" t="str">
        <f>"8304553"</f>
        <v>8304553</v>
      </c>
      <c r="D7986" t="s">
        <v>24111</v>
      </c>
      <c r="E7986" t="s">
        <v>24112</v>
      </c>
      <c r="F7986" t="s">
        <v>21338</v>
      </c>
      <c r="I7986" t="s">
        <v>29</v>
      </c>
      <c r="J7986" t="s">
        <v>30</v>
      </c>
      <c r="K7986" t="str">
        <f>"27028"</f>
        <v>27028</v>
      </c>
      <c r="M7986" t="s">
        <v>17861</v>
      </c>
      <c r="N7986" t="str">
        <f>"12/22/2014 12:30:00 PM"</f>
        <v>12/22/2014 12:30:00 PM</v>
      </c>
      <c r="O7986" t="s">
        <v>24111</v>
      </c>
      <c r="T7986" t="s">
        <v>24112</v>
      </c>
    </row>
    <row r="7987" spans="1:20" x14ac:dyDescent="0.25">
      <c r="A7987" t="str">
        <f>"3060758"</f>
        <v>3060758</v>
      </c>
      <c r="B7987" t="s">
        <v>24113</v>
      </c>
      <c r="C7987" t="str">
        <f>"8304565"</f>
        <v>8304565</v>
      </c>
      <c r="D7987" t="s">
        <v>24114</v>
      </c>
      <c r="E7987" t="s">
        <v>24115</v>
      </c>
      <c r="F7987" t="s">
        <v>24116</v>
      </c>
      <c r="I7987" t="s">
        <v>184</v>
      </c>
      <c r="J7987" t="s">
        <v>30</v>
      </c>
      <c r="K7987" t="str">
        <f>"27006"</f>
        <v>27006</v>
      </c>
      <c r="M7987" t="s">
        <v>17861</v>
      </c>
      <c r="N7987" t="str">
        <f>"12/22/2014 3:46:00 PM"</f>
        <v>12/22/2014 3:46:00 PM</v>
      </c>
      <c r="O7987" t="s">
        <v>24114</v>
      </c>
      <c r="T7987" t="s">
        <v>24115</v>
      </c>
    </row>
    <row r="7988" spans="1:20" x14ac:dyDescent="0.25">
      <c r="A7988" t="str">
        <f>"3078094"</f>
        <v>3078094</v>
      </c>
      <c r="B7988" t="s">
        <v>24117</v>
      </c>
      <c r="C7988" t="str">
        <f>"8304350"</f>
        <v>8304350</v>
      </c>
      <c r="D7988" t="s">
        <v>6628</v>
      </c>
      <c r="E7988" t="s">
        <v>6629</v>
      </c>
      <c r="F7988" t="s">
        <v>6630</v>
      </c>
      <c r="I7988" t="s">
        <v>184</v>
      </c>
      <c r="J7988" t="s">
        <v>30</v>
      </c>
      <c r="K7988" t="str">
        <f>"27006"</f>
        <v>27006</v>
      </c>
      <c r="M7988" t="s">
        <v>17861</v>
      </c>
      <c r="N7988" t="str">
        <f>"12/29/2014 8:51:00 AM"</f>
        <v>12/29/2014 8:51:00 AM</v>
      </c>
      <c r="O7988" t="s">
        <v>6628</v>
      </c>
      <c r="T7988" t="s">
        <v>6629</v>
      </c>
    </row>
    <row r="7989" spans="1:20" x14ac:dyDescent="0.25">
      <c r="A7989" t="str">
        <f>"3053101"</f>
        <v>3053101</v>
      </c>
      <c r="B7989" t="s">
        <v>24118</v>
      </c>
      <c r="C7989" t="str">
        <f>"8304583"</f>
        <v>8304583</v>
      </c>
      <c r="D7989" t="s">
        <v>24119</v>
      </c>
      <c r="F7989" t="s">
        <v>24120</v>
      </c>
      <c r="I7989" t="s">
        <v>29</v>
      </c>
      <c r="J7989" t="s">
        <v>30</v>
      </c>
      <c r="K7989" t="str">
        <f>"27028"</f>
        <v>27028</v>
      </c>
      <c r="M7989" t="s">
        <v>17861</v>
      </c>
      <c r="N7989" t="str">
        <f>"12/30/2014 2:16:00 PM"</f>
        <v>12/30/2014 2:16:00 PM</v>
      </c>
      <c r="O7989" t="s">
        <v>24119</v>
      </c>
    </row>
    <row r="7990" spans="1:20" x14ac:dyDescent="0.25">
      <c r="A7990" t="str">
        <f>"3038408"</f>
        <v>3038408</v>
      </c>
      <c r="B7990" t="s">
        <v>24121</v>
      </c>
      <c r="C7990" t="str">
        <f>"82531479"</f>
        <v>82531479</v>
      </c>
      <c r="D7990" t="s">
        <v>24122</v>
      </c>
      <c r="E7990" t="s">
        <v>24123</v>
      </c>
      <c r="F7990" t="s">
        <v>24124</v>
      </c>
      <c r="I7990" t="s">
        <v>29</v>
      </c>
      <c r="J7990" t="s">
        <v>30</v>
      </c>
      <c r="K7990" t="s">
        <v>31</v>
      </c>
      <c r="M7990" t="s">
        <v>23082</v>
      </c>
      <c r="N7990" t="str">
        <f>"1/16/2015 10:57:00 AM"</f>
        <v>1/16/2015 10:57:00 AM</v>
      </c>
      <c r="O7990" t="s">
        <v>24122</v>
      </c>
      <c r="T7990" t="s">
        <v>24123</v>
      </c>
    </row>
    <row r="7991" spans="1:20" x14ac:dyDescent="0.25">
      <c r="A7991" t="str">
        <f>"3075903"</f>
        <v>3075903</v>
      </c>
      <c r="B7991" t="s">
        <v>24125</v>
      </c>
      <c r="C7991" t="str">
        <f>"8304611"</f>
        <v>8304611</v>
      </c>
      <c r="D7991" t="s">
        <v>4863</v>
      </c>
      <c r="E7991" t="s">
        <v>24126</v>
      </c>
      <c r="F7991" t="s">
        <v>4865</v>
      </c>
      <c r="I7991" t="s">
        <v>184</v>
      </c>
      <c r="J7991" t="s">
        <v>30</v>
      </c>
      <c r="K7991" t="str">
        <f>"27006"</f>
        <v>27006</v>
      </c>
      <c r="M7991" t="s">
        <v>17861</v>
      </c>
      <c r="N7991" t="str">
        <f>"1/16/2015 12:34:00 PM"</f>
        <v>1/16/2015 12:34:00 PM</v>
      </c>
      <c r="O7991" t="s">
        <v>4863</v>
      </c>
      <c r="T7991" t="s">
        <v>24126</v>
      </c>
    </row>
    <row r="7992" spans="1:20" x14ac:dyDescent="0.25">
      <c r="A7992" t="str">
        <f>"3075904"</f>
        <v>3075904</v>
      </c>
      <c r="B7992" t="s">
        <v>24127</v>
      </c>
      <c r="C7992" t="str">
        <f>"8304611"</f>
        <v>8304611</v>
      </c>
      <c r="D7992" t="s">
        <v>4863</v>
      </c>
      <c r="E7992" t="s">
        <v>24126</v>
      </c>
      <c r="F7992" t="s">
        <v>4865</v>
      </c>
      <c r="I7992" t="s">
        <v>184</v>
      </c>
      <c r="J7992" t="s">
        <v>30</v>
      </c>
      <c r="K7992" t="str">
        <f>"27006"</f>
        <v>27006</v>
      </c>
      <c r="M7992" t="s">
        <v>17861</v>
      </c>
      <c r="N7992" t="str">
        <f>"1/16/2015 12:34:00 PM"</f>
        <v>1/16/2015 12:34:00 PM</v>
      </c>
      <c r="O7992" t="s">
        <v>4863</v>
      </c>
      <c r="T7992" t="s">
        <v>24126</v>
      </c>
    </row>
    <row r="7993" spans="1:20" x14ac:dyDescent="0.25">
      <c r="A7993" t="str">
        <f>"3077173"</f>
        <v>3077173</v>
      </c>
      <c r="B7993" t="s">
        <v>24128</v>
      </c>
      <c r="C7993" t="str">
        <f>"8304611"</f>
        <v>8304611</v>
      </c>
      <c r="D7993" t="s">
        <v>4863</v>
      </c>
      <c r="E7993" t="s">
        <v>24126</v>
      </c>
      <c r="F7993" t="s">
        <v>4865</v>
      </c>
      <c r="I7993" t="s">
        <v>184</v>
      </c>
      <c r="J7993" t="s">
        <v>30</v>
      </c>
      <c r="K7993" t="str">
        <f>"27006"</f>
        <v>27006</v>
      </c>
      <c r="M7993" t="s">
        <v>17861</v>
      </c>
      <c r="N7993" t="str">
        <f>"1/16/2015 12:34:00 PM"</f>
        <v>1/16/2015 12:34:00 PM</v>
      </c>
      <c r="O7993" t="s">
        <v>4863</v>
      </c>
      <c r="T7993" t="s">
        <v>24126</v>
      </c>
    </row>
    <row r="7994" spans="1:20" x14ac:dyDescent="0.25">
      <c r="A7994" t="str">
        <f>"3050103"</f>
        <v>3050103</v>
      </c>
      <c r="B7994" t="s">
        <v>24129</v>
      </c>
      <c r="C7994" t="str">
        <f>"41723500"</f>
        <v>41723500</v>
      </c>
      <c r="D7994" t="s">
        <v>24130</v>
      </c>
      <c r="E7994" t="s">
        <v>24131</v>
      </c>
      <c r="F7994" t="s">
        <v>24132</v>
      </c>
      <c r="I7994" t="s">
        <v>29</v>
      </c>
      <c r="J7994" t="s">
        <v>30</v>
      </c>
      <c r="K7994" t="s">
        <v>31</v>
      </c>
      <c r="M7994" t="s">
        <v>24133</v>
      </c>
      <c r="N7994" t="str">
        <f>"1/16/2015 2:14:00 PM"</f>
        <v>1/16/2015 2:14:00 PM</v>
      </c>
      <c r="O7994" t="s">
        <v>24130</v>
      </c>
      <c r="T7994" t="s">
        <v>24131</v>
      </c>
    </row>
    <row r="7995" spans="1:20" x14ac:dyDescent="0.25">
      <c r="A7995" t="str">
        <f>"3049999"</f>
        <v>3049999</v>
      </c>
      <c r="B7995" t="s">
        <v>24134</v>
      </c>
      <c r="C7995" t="str">
        <f>"41723500"</f>
        <v>41723500</v>
      </c>
      <c r="D7995" t="s">
        <v>24130</v>
      </c>
      <c r="E7995" t="s">
        <v>24131</v>
      </c>
      <c r="F7995" t="s">
        <v>24132</v>
      </c>
      <c r="I7995" t="s">
        <v>29</v>
      </c>
      <c r="J7995" t="s">
        <v>30</v>
      </c>
      <c r="K7995" t="s">
        <v>31</v>
      </c>
      <c r="M7995" t="s">
        <v>24133</v>
      </c>
      <c r="N7995" t="str">
        <f>"1/16/2015 2:14:00 PM"</f>
        <v>1/16/2015 2:14:00 PM</v>
      </c>
      <c r="O7995" t="s">
        <v>24130</v>
      </c>
      <c r="T7995" t="s">
        <v>24131</v>
      </c>
    </row>
    <row r="7996" spans="1:20" x14ac:dyDescent="0.25">
      <c r="A7996" t="str">
        <f>"3041075"</f>
        <v>3041075</v>
      </c>
      <c r="B7996" t="s">
        <v>24135</v>
      </c>
      <c r="C7996" t="str">
        <f>"82528689"</f>
        <v>82528689</v>
      </c>
      <c r="D7996" t="s">
        <v>24136</v>
      </c>
      <c r="F7996" t="s">
        <v>24137</v>
      </c>
      <c r="I7996" t="s">
        <v>402</v>
      </c>
      <c r="J7996" t="s">
        <v>30</v>
      </c>
      <c r="K7996" t="s">
        <v>403</v>
      </c>
      <c r="M7996" t="s">
        <v>23029</v>
      </c>
      <c r="N7996" t="str">
        <f>"12/8/2014 11:18:00 AM"</f>
        <v>12/8/2014 11:18:00 AM</v>
      </c>
      <c r="O7996" t="s">
        <v>24136</v>
      </c>
    </row>
    <row r="7997" spans="1:20" x14ac:dyDescent="0.25">
      <c r="A7997" t="str">
        <f>"3076655"</f>
        <v>3076655</v>
      </c>
      <c r="B7997" t="s">
        <v>24138</v>
      </c>
      <c r="C7997" t="str">
        <f>"8300966"</f>
        <v>8300966</v>
      </c>
      <c r="D7997" t="s">
        <v>24139</v>
      </c>
      <c r="F7997" t="s">
        <v>24140</v>
      </c>
      <c r="I7997" t="s">
        <v>29</v>
      </c>
      <c r="J7997" t="s">
        <v>30</v>
      </c>
      <c r="K7997" t="str">
        <f>"27028"</f>
        <v>27028</v>
      </c>
      <c r="M7997" t="s">
        <v>22859</v>
      </c>
      <c r="N7997" t="str">
        <f>"1/20/2015 9:12:00 AM"</f>
        <v>1/20/2015 9:12:00 AM</v>
      </c>
      <c r="O7997" t="s">
        <v>24139</v>
      </c>
    </row>
    <row r="7998" spans="1:20" x14ac:dyDescent="0.25">
      <c r="A7998" t="str">
        <f>"3039919"</f>
        <v>3039919</v>
      </c>
      <c r="B7998" t="s">
        <v>24141</v>
      </c>
      <c r="C7998" t="str">
        <f>"82532109"</f>
        <v>82532109</v>
      </c>
      <c r="D7998" t="s">
        <v>24142</v>
      </c>
      <c r="F7998" t="s">
        <v>24143</v>
      </c>
      <c r="I7998" t="s">
        <v>29</v>
      </c>
      <c r="J7998" t="s">
        <v>30</v>
      </c>
      <c r="K7998" t="str">
        <f>"27028"</f>
        <v>27028</v>
      </c>
      <c r="M7998" t="s">
        <v>22859</v>
      </c>
      <c r="N7998" t="str">
        <f>"1/2/2015 8:30:00 AM"</f>
        <v>1/2/2015 8:30:00 AM</v>
      </c>
      <c r="O7998" t="s">
        <v>24142</v>
      </c>
    </row>
    <row r="7999" spans="1:20" x14ac:dyDescent="0.25">
      <c r="A7999" t="str">
        <f>"3039767"</f>
        <v>3039767</v>
      </c>
      <c r="B7999" t="s">
        <v>24144</v>
      </c>
      <c r="C7999" t="str">
        <f>"82532109"</f>
        <v>82532109</v>
      </c>
      <c r="D7999" t="s">
        <v>24142</v>
      </c>
      <c r="F7999" t="s">
        <v>24143</v>
      </c>
      <c r="I7999" t="s">
        <v>29</v>
      </c>
      <c r="J7999" t="s">
        <v>30</v>
      </c>
      <c r="K7999" t="str">
        <f>"27028"</f>
        <v>27028</v>
      </c>
      <c r="M7999" t="s">
        <v>22859</v>
      </c>
      <c r="N7999" t="str">
        <f>"1/2/2015 8:30:00 AM"</f>
        <v>1/2/2015 8:30:00 AM</v>
      </c>
      <c r="O7999" t="s">
        <v>24142</v>
      </c>
    </row>
    <row r="8000" spans="1:20" x14ac:dyDescent="0.25">
      <c r="A8000" t="str">
        <f>"3039639"</f>
        <v>3039639</v>
      </c>
      <c r="B8000" t="s">
        <v>24145</v>
      </c>
      <c r="C8000" t="str">
        <f>"49884250"</f>
        <v>49884250</v>
      </c>
      <c r="D8000" t="s">
        <v>24146</v>
      </c>
      <c r="E8000" t="s">
        <v>24147</v>
      </c>
      <c r="F8000" t="s">
        <v>24148</v>
      </c>
      <c r="I8000" t="s">
        <v>402</v>
      </c>
      <c r="J8000" t="s">
        <v>30</v>
      </c>
      <c r="K8000" t="s">
        <v>403</v>
      </c>
      <c r="M8000" t="s">
        <v>18432</v>
      </c>
      <c r="N8000" t="str">
        <f>"1/6/2015 10:39:00 AM"</f>
        <v>1/6/2015 10:39:00 AM</v>
      </c>
      <c r="O8000" t="s">
        <v>24146</v>
      </c>
      <c r="T8000" t="s">
        <v>24147</v>
      </c>
    </row>
    <row r="8001" spans="1:20" x14ac:dyDescent="0.25">
      <c r="A8001" t="str">
        <f>"3060359"</f>
        <v>3060359</v>
      </c>
      <c r="B8001" t="s">
        <v>24149</v>
      </c>
      <c r="C8001" t="str">
        <f>"8303514"</f>
        <v>8303514</v>
      </c>
      <c r="D8001" t="s">
        <v>24150</v>
      </c>
      <c r="F8001" t="s">
        <v>24151</v>
      </c>
      <c r="I8001" t="s">
        <v>29</v>
      </c>
      <c r="J8001" t="s">
        <v>30</v>
      </c>
      <c r="K8001" t="str">
        <f>"27028"</f>
        <v>27028</v>
      </c>
      <c r="M8001" t="s">
        <v>18479</v>
      </c>
      <c r="N8001" t="str">
        <f>"1/6/2015 11:19:00 AM"</f>
        <v>1/6/2015 11:19:00 AM</v>
      </c>
      <c r="O8001" t="s">
        <v>24150</v>
      </c>
    </row>
    <row r="8002" spans="1:20" x14ac:dyDescent="0.25">
      <c r="A8002" t="str">
        <f>"3037229"</f>
        <v>3037229</v>
      </c>
      <c r="B8002" t="s">
        <v>24152</v>
      </c>
      <c r="C8002" t="str">
        <f>"8304366"</f>
        <v>8304366</v>
      </c>
      <c r="D8002" t="s">
        <v>24153</v>
      </c>
      <c r="E8002" t="s">
        <v>24154</v>
      </c>
      <c r="F8002" t="s">
        <v>24155</v>
      </c>
      <c r="I8002" t="s">
        <v>184</v>
      </c>
      <c r="J8002" t="s">
        <v>30</v>
      </c>
      <c r="K8002" t="str">
        <f>"27006"</f>
        <v>27006</v>
      </c>
      <c r="M8002" t="s">
        <v>18479</v>
      </c>
      <c r="N8002" t="str">
        <f>"1/6/2015 1:25:00 PM"</f>
        <v>1/6/2015 1:25:00 PM</v>
      </c>
      <c r="O8002" t="s">
        <v>24153</v>
      </c>
      <c r="T8002" t="s">
        <v>24154</v>
      </c>
    </row>
    <row r="8003" spans="1:20" x14ac:dyDescent="0.25">
      <c r="A8003" t="str">
        <f>"3048918"</f>
        <v>3048918</v>
      </c>
      <c r="B8003" t="s">
        <v>24156</v>
      </c>
      <c r="C8003" t="str">
        <f>"82532533"</f>
        <v>82532533</v>
      </c>
      <c r="D8003" t="s">
        <v>24157</v>
      </c>
      <c r="E8003" t="s">
        <v>24158</v>
      </c>
      <c r="F8003" t="s">
        <v>24159</v>
      </c>
      <c r="I8003" t="s">
        <v>29</v>
      </c>
      <c r="J8003" t="s">
        <v>30</v>
      </c>
      <c r="K8003" t="s">
        <v>31</v>
      </c>
      <c r="M8003" t="s">
        <v>18432</v>
      </c>
      <c r="N8003" t="str">
        <f>"1/6/2015 2:51:00 PM"</f>
        <v>1/6/2015 2:51:00 PM</v>
      </c>
      <c r="O8003" t="s">
        <v>24157</v>
      </c>
      <c r="T8003" t="s">
        <v>24158</v>
      </c>
    </row>
    <row r="8004" spans="1:20" x14ac:dyDescent="0.25">
      <c r="A8004" t="str">
        <f>"3048457"</f>
        <v>3048457</v>
      </c>
      <c r="B8004" t="s">
        <v>24160</v>
      </c>
      <c r="C8004" t="str">
        <f>"8303656"</f>
        <v>8303656</v>
      </c>
      <c r="D8004" t="s">
        <v>24161</v>
      </c>
      <c r="E8004" t="s">
        <v>24162</v>
      </c>
      <c r="F8004" t="s">
        <v>24163</v>
      </c>
      <c r="I8004" t="s">
        <v>29</v>
      </c>
      <c r="J8004" t="s">
        <v>30</v>
      </c>
      <c r="K8004" t="str">
        <f>"27028"</f>
        <v>27028</v>
      </c>
      <c r="M8004" t="s">
        <v>18479</v>
      </c>
      <c r="N8004" t="str">
        <f>"1/6/2015 3:34:00 PM"</f>
        <v>1/6/2015 3:34:00 PM</v>
      </c>
      <c r="O8004" t="s">
        <v>24161</v>
      </c>
      <c r="T8004" t="s">
        <v>24162</v>
      </c>
    </row>
    <row r="8005" spans="1:20" x14ac:dyDescent="0.25">
      <c r="A8005" t="str">
        <f>"3044149"</f>
        <v>3044149</v>
      </c>
      <c r="B8005" t="s">
        <v>24164</v>
      </c>
      <c r="C8005" t="str">
        <f>"17740000"</f>
        <v>17740000</v>
      </c>
      <c r="D8005" t="s">
        <v>24165</v>
      </c>
      <c r="E8005" t="s">
        <v>24166</v>
      </c>
      <c r="F8005" t="s">
        <v>24167</v>
      </c>
      <c r="I8005" t="s">
        <v>184</v>
      </c>
      <c r="J8005" t="s">
        <v>30</v>
      </c>
      <c r="K8005" t="s">
        <v>185</v>
      </c>
      <c r="M8005" t="s">
        <v>23082</v>
      </c>
      <c r="N8005" t="str">
        <f>"1/20/2015 3:06:00 PM"</f>
        <v>1/20/2015 3:06:00 PM</v>
      </c>
      <c r="O8005" t="s">
        <v>24165</v>
      </c>
      <c r="T8005" t="s">
        <v>24166</v>
      </c>
    </row>
    <row r="8006" spans="1:20" x14ac:dyDescent="0.25">
      <c r="A8006" t="str">
        <f>"3049248"</f>
        <v>3049248</v>
      </c>
      <c r="B8006" t="s">
        <v>24168</v>
      </c>
      <c r="C8006" t="str">
        <f>"16175000"</f>
        <v>16175000</v>
      </c>
      <c r="D8006" t="s">
        <v>24169</v>
      </c>
      <c r="E8006" t="s">
        <v>24170</v>
      </c>
      <c r="F8006" t="s">
        <v>24171</v>
      </c>
      <c r="I8006" t="s">
        <v>184</v>
      </c>
      <c r="J8006" t="s">
        <v>30</v>
      </c>
      <c r="K8006" t="s">
        <v>185</v>
      </c>
      <c r="M8006" t="s">
        <v>18479</v>
      </c>
      <c r="N8006" t="str">
        <f>"1/21/2015 8:40:00 AM"</f>
        <v>1/21/2015 8:40:00 AM</v>
      </c>
      <c r="O8006" t="s">
        <v>24169</v>
      </c>
      <c r="T8006" t="s">
        <v>24170</v>
      </c>
    </row>
    <row r="8007" spans="1:20" x14ac:dyDescent="0.25">
      <c r="A8007" t="str">
        <f>"3058194"</f>
        <v>3058194</v>
      </c>
      <c r="B8007" t="s">
        <v>24172</v>
      </c>
      <c r="C8007" t="str">
        <f>"8304601"</f>
        <v>8304601</v>
      </c>
      <c r="D8007" t="s">
        <v>24173</v>
      </c>
      <c r="E8007" t="s">
        <v>24174</v>
      </c>
      <c r="F8007" t="s">
        <v>24175</v>
      </c>
      <c r="I8007" t="s">
        <v>29</v>
      </c>
      <c r="J8007" t="s">
        <v>30</v>
      </c>
      <c r="K8007" t="str">
        <f>"27028"</f>
        <v>27028</v>
      </c>
      <c r="M8007" t="s">
        <v>17861</v>
      </c>
      <c r="N8007" t="str">
        <f>"1/6/2015 4:03:00 PM"</f>
        <v>1/6/2015 4:03:00 PM</v>
      </c>
      <c r="O8007" t="s">
        <v>24173</v>
      </c>
      <c r="T8007" t="s">
        <v>24174</v>
      </c>
    </row>
    <row r="8008" spans="1:20" x14ac:dyDescent="0.25">
      <c r="A8008" t="str">
        <f>"3040500"</f>
        <v>3040500</v>
      </c>
      <c r="B8008" t="s">
        <v>24176</v>
      </c>
      <c r="C8008" t="str">
        <f>"50034000"</f>
        <v>50034000</v>
      </c>
      <c r="D8008" t="s">
        <v>24177</v>
      </c>
      <c r="E8008" t="s">
        <v>24178</v>
      </c>
      <c r="F8008" t="s">
        <v>24179</v>
      </c>
      <c r="I8008" t="s">
        <v>184</v>
      </c>
      <c r="J8008" t="s">
        <v>30</v>
      </c>
      <c r="K8008" t="s">
        <v>185</v>
      </c>
      <c r="M8008" t="s">
        <v>18432</v>
      </c>
      <c r="N8008" t="str">
        <f>"1/8/2015 10:06:00 AM"</f>
        <v>1/8/2015 10:06:00 AM</v>
      </c>
      <c r="O8008" t="s">
        <v>24177</v>
      </c>
      <c r="T8008" t="s">
        <v>24178</v>
      </c>
    </row>
    <row r="8009" spans="1:20" x14ac:dyDescent="0.25">
      <c r="A8009" t="str">
        <f>"3048059"</f>
        <v>3048059</v>
      </c>
      <c r="B8009" t="s">
        <v>24180</v>
      </c>
      <c r="C8009" t="str">
        <f>"11722500"</f>
        <v>11722500</v>
      </c>
      <c r="D8009" t="s">
        <v>24181</v>
      </c>
      <c r="E8009" t="s">
        <v>24182</v>
      </c>
      <c r="F8009" t="s">
        <v>24183</v>
      </c>
      <c r="I8009" t="s">
        <v>184</v>
      </c>
      <c r="J8009" t="s">
        <v>30</v>
      </c>
      <c r="K8009" t="s">
        <v>185</v>
      </c>
      <c r="M8009" t="s">
        <v>23082</v>
      </c>
      <c r="N8009" t="str">
        <f>"1/9/2015 11:47:00 AM"</f>
        <v>1/9/2015 11:47:00 AM</v>
      </c>
      <c r="O8009" t="s">
        <v>24181</v>
      </c>
      <c r="T8009" t="s">
        <v>24182</v>
      </c>
    </row>
    <row r="8010" spans="1:20" x14ac:dyDescent="0.25">
      <c r="A8010" t="str">
        <f>"3054199"</f>
        <v>3054199</v>
      </c>
      <c r="B8010" t="s">
        <v>24184</v>
      </c>
      <c r="C8010" t="str">
        <f t="shared" ref="C8010:C8017" si="118">"69873500"</f>
        <v>69873500</v>
      </c>
      <c r="D8010" t="s">
        <v>24185</v>
      </c>
      <c r="F8010" t="s">
        <v>9579</v>
      </c>
      <c r="I8010" t="s">
        <v>9580</v>
      </c>
      <c r="J8010" t="s">
        <v>30</v>
      </c>
      <c r="K8010" t="s">
        <v>16893</v>
      </c>
      <c r="M8010" t="s">
        <v>23082</v>
      </c>
      <c r="N8010" t="str">
        <f t="shared" ref="N8010:N8017" si="119">"1/22/2015 3:57:00 PM"</f>
        <v>1/22/2015 3:57:00 PM</v>
      </c>
      <c r="O8010" t="s">
        <v>24185</v>
      </c>
    </row>
    <row r="8011" spans="1:20" x14ac:dyDescent="0.25">
      <c r="A8011" t="str">
        <f>"3054142"</f>
        <v>3054142</v>
      </c>
      <c r="B8011" t="s">
        <v>24186</v>
      </c>
      <c r="C8011" t="str">
        <f t="shared" si="118"/>
        <v>69873500</v>
      </c>
      <c r="D8011" t="s">
        <v>24185</v>
      </c>
      <c r="F8011" t="s">
        <v>9579</v>
      </c>
      <c r="I8011" t="s">
        <v>9580</v>
      </c>
      <c r="J8011" t="s">
        <v>30</v>
      </c>
      <c r="K8011" t="s">
        <v>16893</v>
      </c>
      <c r="M8011" t="s">
        <v>23082</v>
      </c>
      <c r="N8011" t="str">
        <f t="shared" si="119"/>
        <v>1/22/2015 3:57:00 PM</v>
      </c>
      <c r="O8011" t="s">
        <v>24185</v>
      </c>
    </row>
    <row r="8012" spans="1:20" x14ac:dyDescent="0.25">
      <c r="A8012" t="str">
        <f>"3054143"</f>
        <v>3054143</v>
      </c>
      <c r="B8012" t="s">
        <v>24187</v>
      </c>
      <c r="C8012" t="str">
        <f t="shared" si="118"/>
        <v>69873500</v>
      </c>
      <c r="D8012" t="s">
        <v>24185</v>
      </c>
      <c r="F8012" t="s">
        <v>9579</v>
      </c>
      <c r="I8012" t="s">
        <v>9580</v>
      </c>
      <c r="J8012" t="s">
        <v>30</v>
      </c>
      <c r="K8012" t="s">
        <v>16893</v>
      </c>
      <c r="M8012" t="s">
        <v>23082</v>
      </c>
      <c r="N8012" t="str">
        <f t="shared" si="119"/>
        <v>1/22/2015 3:57:00 PM</v>
      </c>
      <c r="O8012" t="s">
        <v>24185</v>
      </c>
    </row>
    <row r="8013" spans="1:20" x14ac:dyDescent="0.25">
      <c r="A8013" t="str">
        <f>"3054137"</f>
        <v>3054137</v>
      </c>
      <c r="B8013" t="s">
        <v>24188</v>
      </c>
      <c r="C8013" t="str">
        <f t="shared" si="118"/>
        <v>69873500</v>
      </c>
      <c r="D8013" t="s">
        <v>24185</v>
      </c>
      <c r="F8013" t="s">
        <v>9579</v>
      </c>
      <c r="I8013" t="s">
        <v>9580</v>
      </c>
      <c r="J8013" t="s">
        <v>30</v>
      </c>
      <c r="K8013" t="s">
        <v>16893</v>
      </c>
      <c r="M8013" t="s">
        <v>23082</v>
      </c>
      <c r="N8013" t="str">
        <f t="shared" si="119"/>
        <v>1/22/2015 3:57:00 PM</v>
      </c>
      <c r="O8013" t="s">
        <v>24185</v>
      </c>
    </row>
    <row r="8014" spans="1:20" x14ac:dyDescent="0.25">
      <c r="A8014" t="str">
        <f>"3056097"</f>
        <v>3056097</v>
      </c>
      <c r="B8014" t="s">
        <v>24189</v>
      </c>
      <c r="C8014" t="str">
        <f t="shared" si="118"/>
        <v>69873500</v>
      </c>
      <c r="D8014" t="s">
        <v>24185</v>
      </c>
      <c r="F8014" t="s">
        <v>9579</v>
      </c>
      <c r="I8014" t="s">
        <v>9580</v>
      </c>
      <c r="J8014" t="s">
        <v>30</v>
      </c>
      <c r="K8014" t="s">
        <v>16893</v>
      </c>
      <c r="M8014" t="s">
        <v>23082</v>
      </c>
      <c r="N8014" t="str">
        <f t="shared" si="119"/>
        <v>1/22/2015 3:57:00 PM</v>
      </c>
      <c r="O8014" t="s">
        <v>24185</v>
      </c>
    </row>
    <row r="8015" spans="1:20" x14ac:dyDescent="0.25">
      <c r="A8015" t="str">
        <f>"3055725"</f>
        <v>3055725</v>
      </c>
      <c r="B8015" t="s">
        <v>24190</v>
      </c>
      <c r="C8015" t="str">
        <f t="shared" si="118"/>
        <v>69873500</v>
      </c>
      <c r="D8015" t="s">
        <v>24185</v>
      </c>
      <c r="F8015" t="s">
        <v>9579</v>
      </c>
      <c r="I8015" t="s">
        <v>9580</v>
      </c>
      <c r="J8015" t="s">
        <v>30</v>
      </c>
      <c r="K8015" t="s">
        <v>16893</v>
      </c>
      <c r="M8015" t="s">
        <v>23082</v>
      </c>
      <c r="N8015" t="str">
        <f t="shared" si="119"/>
        <v>1/22/2015 3:57:00 PM</v>
      </c>
      <c r="O8015" t="s">
        <v>24185</v>
      </c>
    </row>
    <row r="8016" spans="1:20" x14ac:dyDescent="0.25">
      <c r="A8016" t="str">
        <f>"3074601"</f>
        <v>3074601</v>
      </c>
      <c r="B8016" t="s">
        <v>24191</v>
      </c>
      <c r="C8016" t="str">
        <f t="shared" si="118"/>
        <v>69873500</v>
      </c>
      <c r="D8016" t="s">
        <v>24185</v>
      </c>
      <c r="F8016" t="s">
        <v>9579</v>
      </c>
      <c r="I8016" t="s">
        <v>9580</v>
      </c>
      <c r="J8016" t="s">
        <v>30</v>
      </c>
      <c r="K8016" t="s">
        <v>16893</v>
      </c>
      <c r="M8016" t="s">
        <v>23082</v>
      </c>
      <c r="N8016" t="str">
        <f t="shared" si="119"/>
        <v>1/22/2015 3:57:00 PM</v>
      </c>
      <c r="O8016" t="s">
        <v>24185</v>
      </c>
    </row>
    <row r="8017" spans="1:20" x14ac:dyDescent="0.25">
      <c r="A8017" t="str">
        <f>"3074603"</f>
        <v>3074603</v>
      </c>
      <c r="B8017" t="s">
        <v>24192</v>
      </c>
      <c r="C8017" t="str">
        <f t="shared" si="118"/>
        <v>69873500</v>
      </c>
      <c r="D8017" t="s">
        <v>24185</v>
      </c>
      <c r="F8017" t="s">
        <v>9579</v>
      </c>
      <c r="I8017" t="s">
        <v>9580</v>
      </c>
      <c r="J8017" t="s">
        <v>30</v>
      </c>
      <c r="K8017" t="s">
        <v>16893</v>
      </c>
      <c r="M8017" t="s">
        <v>23082</v>
      </c>
      <c r="N8017" t="str">
        <f t="shared" si="119"/>
        <v>1/22/2015 3:57:00 PM</v>
      </c>
      <c r="O8017" t="s">
        <v>24185</v>
      </c>
    </row>
    <row r="8018" spans="1:20" x14ac:dyDescent="0.25">
      <c r="A8018" t="str">
        <f>"3048601"</f>
        <v>3048601</v>
      </c>
      <c r="B8018" t="s">
        <v>24193</v>
      </c>
      <c r="C8018" t="str">
        <f>"82518293"</f>
        <v>82518293</v>
      </c>
      <c r="D8018" t="s">
        <v>24194</v>
      </c>
      <c r="F8018" t="s">
        <v>24195</v>
      </c>
      <c r="I8018" t="s">
        <v>184</v>
      </c>
      <c r="J8018" t="s">
        <v>30</v>
      </c>
      <c r="K8018" t="s">
        <v>24196</v>
      </c>
      <c r="M8018" t="s">
        <v>23082</v>
      </c>
      <c r="N8018" t="str">
        <f>"1/12/2015 1:39:00 PM"</f>
        <v>1/12/2015 1:39:00 PM</v>
      </c>
      <c r="O8018" t="s">
        <v>24194</v>
      </c>
    </row>
    <row r="8019" spans="1:20" x14ac:dyDescent="0.25">
      <c r="A8019" t="str">
        <f>"3041637"</f>
        <v>3041637</v>
      </c>
      <c r="B8019" t="s">
        <v>24197</v>
      </c>
      <c r="C8019" t="str">
        <f>"82531156"</f>
        <v>82531156</v>
      </c>
      <c r="D8019" t="s">
        <v>24198</v>
      </c>
      <c r="F8019" t="s">
        <v>24199</v>
      </c>
      <c r="I8019" t="s">
        <v>2071</v>
      </c>
      <c r="J8019" t="s">
        <v>30</v>
      </c>
      <c r="K8019" t="s">
        <v>185</v>
      </c>
      <c r="M8019" t="s">
        <v>23082</v>
      </c>
      <c r="N8019" t="str">
        <f>"1/12/2015 1:47:00 PM"</f>
        <v>1/12/2015 1:47:00 PM</v>
      </c>
      <c r="O8019" t="s">
        <v>24198</v>
      </c>
    </row>
    <row r="8020" spans="1:20" x14ac:dyDescent="0.25">
      <c r="A8020" t="str">
        <f>"3061507"</f>
        <v>3061507</v>
      </c>
      <c r="B8020" t="s">
        <v>24200</v>
      </c>
      <c r="C8020" t="str">
        <f>"52276000"</f>
        <v>52276000</v>
      </c>
      <c r="D8020" t="s">
        <v>24201</v>
      </c>
      <c r="E8020" t="s">
        <v>24202</v>
      </c>
      <c r="F8020" t="s">
        <v>7103</v>
      </c>
      <c r="I8020" t="s">
        <v>184</v>
      </c>
      <c r="J8020" t="s">
        <v>30</v>
      </c>
      <c r="K8020" t="s">
        <v>185</v>
      </c>
      <c r="M8020" t="s">
        <v>23082</v>
      </c>
      <c r="N8020" t="str">
        <f>"1/13/2015 1:42:00 PM"</f>
        <v>1/13/2015 1:42:00 PM</v>
      </c>
      <c r="O8020" t="s">
        <v>24201</v>
      </c>
      <c r="T8020" t="s">
        <v>24202</v>
      </c>
    </row>
    <row r="8021" spans="1:20" x14ac:dyDescent="0.25">
      <c r="A8021" t="str">
        <f>"3045226"</f>
        <v>3045226</v>
      </c>
      <c r="B8021" t="s">
        <v>24203</v>
      </c>
      <c r="C8021" t="str">
        <f>"8302663"</f>
        <v>8302663</v>
      </c>
      <c r="D8021" t="s">
        <v>24204</v>
      </c>
      <c r="E8021" t="s">
        <v>24205</v>
      </c>
      <c r="F8021" t="s">
        <v>24206</v>
      </c>
      <c r="I8021" t="s">
        <v>29</v>
      </c>
      <c r="J8021" t="s">
        <v>30</v>
      </c>
      <c r="K8021" t="str">
        <f>"27028"</f>
        <v>27028</v>
      </c>
      <c r="M8021" t="s">
        <v>18479</v>
      </c>
      <c r="N8021" t="str">
        <f>"1/13/2015 2:04:00 PM"</f>
        <v>1/13/2015 2:04:00 PM</v>
      </c>
      <c r="O8021" t="s">
        <v>24204</v>
      </c>
      <c r="T8021" t="s">
        <v>24205</v>
      </c>
    </row>
    <row r="8022" spans="1:20" x14ac:dyDescent="0.25">
      <c r="A8022" t="str">
        <f>"3051322"</f>
        <v>3051322</v>
      </c>
      <c r="B8022" t="s">
        <v>24207</v>
      </c>
      <c r="C8022" t="str">
        <f>"8303122"</f>
        <v>8303122</v>
      </c>
      <c r="D8022" t="s">
        <v>21529</v>
      </c>
      <c r="F8022" t="s">
        <v>24208</v>
      </c>
      <c r="I8022" t="s">
        <v>29</v>
      </c>
      <c r="J8022" t="s">
        <v>30</v>
      </c>
      <c r="K8022" t="str">
        <f>"27028"</f>
        <v>27028</v>
      </c>
      <c r="M8022" t="s">
        <v>18479</v>
      </c>
      <c r="N8022" t="str">
        <f>"1/14/2015 9:08:00 AM"</f>
        <v>1/14/2015 9:08:00 AM</v>
      </c>
      <c r="O8022" t="s">
        <v>21529</v>
      </c>
    </row>
    <row r="8023" spans="1:20" x14ac:dyDescent="0.25">
      <c r="A8023" t="str">
        <f>"3046671"</f>
        <v>3046671</v>
      </c>
      <c r="B8023" t="s">
        <v>24209</v>
      </c>
      <c r="C8023" t="str">
        <f>"82528500"</f>
        <v>82528500</v>
      </c>
      <c r="D8023" t="s">
        <v>10229</v>
      </c>
      <c r="F8023" t="s">
        <v>24210</v>
      </c>
      <c r="I8023" t="s">
        <v>29</v>
      </c>
      <c r="J8023" t="s">
        <v>30</v>
      </c>
      <c r="K8023" t="s">
        <v>31</v>
      </c>
      <c r="M8023" t="s">
        <v>23082</v>
      </c>
      <c r="N8023" t="str">
        <f>"1/28/2015 9:42:00 AM"</f>
        <v>1/28/2015 9:42:00 AM</v>
      </c>
      <c r="O8023" t="s">
        <v>10229</v>
      </c>
    </row>
    <row r="8024" spans="1:20" x14ac:dyDescent="0.25">
      <c r="A8024" t="str">
        <f>"3042869"</f>
        <v>3042869</v>
      </c>
      <c r="B8024" t="s">
        <v>24211</v>
      </c>
      <c r="C8024" t="str">
        <f>"82529526"</f>
        <v>82529526</v>
      </c>
      <c r="D8024" t="s">
        <v>24212</v>
      </c>
      <c r="F8024" t="s">
        <v>24213</v>
      </c>
      <c r="I8024" t="s">
        <v>29</v>
      </c>
      <c r="J8024" t="s">
        <v>30</v>
      </c>
      <c r="K8024" t="s">
        <v>31</v>
      </c>
      <c r="M8024" t="s">
        <v>23082</v>
      </c>
      <c r="N8024" t="str">
        <f>"1/28/2015 3:21:00 PM"</f>
        <v>1/28/2015 3:21:00 PM</v>
      </c>
      <c r="O8024" t="s">
        <v>24212</v>
      </c>
    </row>
    <row r="8025" spans="1:20" x14ac:dyDescent="0.25">
      <c r="A8025" t="str">
        <f>"3054632"</f>
        <v>3054632</v>
      </c>
      <c r="B8025" t="s">
        <v>24214</v>
      </c>
      <c r="C8025" t="str">
        <f>"82529526"</f>
        <v>82529526</v>
      </c>
      <c r="D8025" t="s">
        <v>24212</v>
      </c>
      <c r="F8025" t="s">
        <v>24213</v>
      </c>
      <c r="I8025" t="s">
        <v>29</v>
      </c>
      <c r="J8025" t="s">
        <v>30</v>
      </c>
      <c r="K8025" t="s">
        <v>31</v>
      </c>
      <c r="M8025" t="s">
        <v>23082</v>
      </c>
      <c r="N8025" t="str">
        <f>"1/28/2015 3:21:00 PM"</f>
        <v>1/28/2015 3:21:00 PM</v>
      </c>
      <c r="O8025" t="s">
        <v>24212</v>
      </c>
    </row>
    <row r="8026" spans="1:20" x14ac:dyDescent="0.25">
      <c r="A8026" t="str">
        <f>"3047086"</f>
        <v>3047086</v>
      </c>
      <c r="B8026" t="s">
        <v>24215</v>
      </c>
      <c r="C8026" t="str">
        <f>"82521091"</f>
        <v>82521091</v>
      </c>
      <c r="D8026" t="s">
        <v>24216</v>
      </c>
      <c r="E8026" t="s">
        <v>24217</v>
      </c>
      <c r="F8026" t="s">
        <v>24218</v>
      </c>
      <c r="I8026" t="s">
        <v>29</v>
      </c>
      <c r="J8026" t="s">
        <v>30</v>
      </c>
      <c r="K8026" t="s">
        <v>24219</v>
      </c>
      <c r="M8026" t="s">
        <v>18479</v>
      </c>
      <c r="N8026" t="str">
        <f>"1/15/2015 2:24:00 PM"</f>
        <v>1/15/2015 2:24:00 PM</v>
      </c>
      <c r="O8026" t="s">
        <v>24216</v>
      </c>
      <c r="T8026" t="s">
        <v>24217</v>
      </c>
    </row>
    <row r="8027" spans="1:20" x14ac:dyDescent="0.25">
      <c r="A8027" t="str">
        <f>"3052625"</f>
        <v>3052625</v>
      </c>
      <c r="B8027" t="s">
        <v>24220</v>
      </c>
      <c r="C8027" t="str">
        <f>"8304033"</f>
        <v>8304033</v>
      </c>
      <c r="D8027" t="s">
        <v>24221</v>
      </c>
      <c r="E8027" t="s">
        <v>24222</v>
      </c>
      <c r="F8027" t="s">
        <v>24223</v>
      </c>
      <c r="I8027" t="s">
        <v>29</v>
      </c>
      <c r="J8027" t="s">
        <v>30</v>
      </c>
      <c r="K8027" t="str">
        <f>"27028"</f>
        <v>27028</v>
      </c>
      <c r="M8027" t="s">
        <v>18479</v>
      </c>
      <c r="N8027" t="str">
        <f>"1/29/2015 9:28:00 AM"</f>
        <v>1/29/2015 9:28:00 AM</v>
      </c>
      <c r="O8027" t="s">
        <v>24221</v>
      </c>
      <c r="T8027" t="s">
        <v>24222</v>
      </c>
    </row>
    <row r="8028" spans="1:20" x14ac:dyDescent="0.25">
      <c r="A8028" t="str">
        <f>"3062450"</f>
        <v>3062450</v>
      </c>
      <c r="B8028" t="s">
        <v>24224</v>
      </c>
      <c r="C8028" t="str">
        <f>"82525728"</f>
        <v>82525728</v>
      </c>
      <c r="D8028" t="s">
        <v>24225</v>
      </c>
      <c r="E8028" t="s">
        <v>24226</v>
      </c>
      <c r="F8028" t="s">
        <v>24227</v>
      </c>
      <c r="I8028" t="s">
        <v>2071</v>
      </c>
      <c r="J8028" t="s">
        <v>30</v>
      </c>
      <c r="K8028" t="s">
        <v>185</v>
      </c>
      <c r="M8028" t="s">
        <v>23082</v>
      </c>
      <c r="N8028" t="str">
        <f>"1/29/2015 11:11:00 AM"</f>
        <v>1/29/2015 11:11:00 AM</v>
      </c>
      <c r="O8028" t="s">
        <v>24225</v>
      </c>
      <c r="T8028" t="s">
        <v>24226</v>
      </c>
    </row>
    <row r="8029" spans="1:20" x14ac:dyDescent="0.25">
      <c r="A8029" t="str">
        <f>"3060338"</f>
        <v>3060338</v>
      </c>
      <c r="B8029" t="s">
        <v>24228</v>
      </c>
      <c r="C8029" t="str">
        <f>"8304626"</f>
        <v>8304626</v>
      </c>
      <c r="D8029" t="s">
        <v>24229</v>
      </c>
      <c r="F8029" t="s">
        <v>15546</v>
      </c>
      <c r="I8029" t="s">
        <v>17921</v>
      </c>
      <c r="J8029" t="s">
        <v>30</v>
      </c>
      <c r="K8029" t="str">
        <f>"27028"</f>
        <v>27028</v>
      </c>
      <c r="M8029" t="s">
        <v>17861</v>
      </c>
      <c r="N8029" t="str">
        <f>"1/29/2015 1:27:00 PM"</f>
        <v>1/29/2015 1:27:00 PM</v>
      </c>
      <c r="O8029" t="s">
        <v>24229</v>
      </c>
    </row>
    <row r="8030" spans="1:20" x14ac:dyDescent="0.25">
      <c r="A8030" t="str">
        <f>"3050213"</f>
        <v>3050213</v>
      </c>
      <c r="B8030" t="s">
        <v>24230</v>
      </c>
      <c r="C8030" t="str">
        <f>"8304609"</f>
        <v>8304609</v>
      </c>
      <c r="D8030" t="s">
        <v>24231</v>
      </c>
      <c r="F8030" t="s">
        <v>24232</v>
      </c>
      <c r="I8030" t="s">
        <v>29</v>
      </c>
      <c r="J8030" t="s">
        <v>30</v>
      </c>
      <c r="K8030" t="str">
        <f>"27028"</f>
        <v>27028</v>
      </c>
      <c r="M8030" t="s">
        <v>17861</v>
      </c>
      <c r="N8030" t="str">
        <f>"1/16/2015 8:54:00 AM"</f>
        <v>1/16/2015 8:54:00 AM</v>
      </c>
      <c r="O8030" t="s">
        <v>24231</v>
      </c>
    </row>
    <row r="8031" spans="1:20" x14ac:dyDescent="0.25">
      <c r="A8031" t="str">
        <f>"3104500"</f>
        <v>3104500</v>
      </c>
      <c r="B8031" t="s">
        <v>24233</v>
      </c>
      <c r="C8031" t="str">
        <f>"47400000"</f>
        <v>47400000</v>
      </c>
      <c r="D8031" t="s">
        <v>24234</v>
      </c>
      <c r="E8031" t="s">
        <v>24235</v>
      </c>
      <c r="F8031" t="s">
        <v>24236</v>
      </c>
      <c r="I8031" t="s">
        <v>29</v>
      </c>
      <c r="J8031" t="s">
        <v>30</v>
      </c>
      <c r="K8031" t="str">
        <f>"27028"</f>
        <v>27028</v>
      </c>
      <c r="M8031" t="s">
        <v>18470</v>
      </c>
      <c r="N8031" t="str">
        <f>"1/16/2015 9:57:00 AM"</f>
        <v>1/16/2015 9:57:00 AM</v>
      </c>
      <c r="O8031" t="s">
        <v>24234</v>
      </c>
      <c r="T8031" t="s">
        <v>24235</v>
      </c>
    </row>
    <row r="8032" spans="1:20" x14ac:dyDescent="0.25">
      <c r="A8032" t="str">
        <f>"3061713"</f>
        <v>3061713</v>
      </c>
      <c r="B8032" t="s">
        <v>24237</v>
      </c>
      <c r="C8032" t="str">
        <f>"82531585"</f>
        <v>82531585</v>
      </c>
      <c r="D8032" t="s">
        <v>24238</v>
      </c>
      <c r="F8032" t="s">
        <v>24239</v>
      </c>
      <c r="I8032" t="s">
        <v>2071</v>
      </c>
      <c r="J8032" t="s">
        <v>30</v>
      </c>
      <c r="K8032" t="s">
        <v>185</v>
      </c>
      <c r="M8032" t="s">
        <v>23082</v>
      </c>
      <c r="N8032" t="str">
        <f>"1/16/2015 10:54:00 AM"</f>
        <v>1/16/2015 10:54:00 AM</v>
      </c>
      <c r="O8032" t="s">
        <v>24238</v>
      </c>
    </row>
    <row r="8033" spans="1:20" x14ac:dyDescent="0.25">
      <c r="A8033" t="str">
        <f>"3038539"</f>
        <v>3038539</v>
      </c>
      <c r="B8033" t="s">
        <v>24240</v>
      </c>
      <c r="C8033" t="str">
        <f>"82531479"</f>
        <v>82531479</v>
      </c>
      <c r="D8033" t="s">
        <v>24122</v>
      </c>
      <c r="E8033" t="s">
        <v>24123</v>
      </c>
      <c r="F8033" t="s">
        <v>24124</v>
      </c>
      <c r="I8033" t="s">
        <v>29</v>
      </c>
      <c r="J8033" t="s">
        <v>30</v>
      </c>
      <c r="K8033" t="s">
        <v>31</v>
      </c>
      <c r="M8033" t="s">
        <v>23082</v>
      </c>
      <c r="N8033" t="str">
        <f>"1/16/2015 10:57:00 AM"</f>
        <v>1/16/2015 10:57:00 AM</v>
      </c>
      <c r="O8033" t="s">
        <v>24122</v>
      </c>
      <c r="T8033" t="s">
        <v>24123</v>
      </c>
    </row>
    <row r="8034" spans="1:20" x14ac:dyDescent="0.25">
      <c r="A8034" t="str">
        <f>"3038796"</f>
        <v>3038796</v>
      </c>
      <c r="B8034" t="s">
        <v>24241</v>
      </c>
      <c r="C8034" t="str">
        <f>"8212000"</f>
        <v>8212000</v>
      </c>
      <c r="D8034" t="s">
        <v>24242</v>
      </c>
      <c r="E8034" t="s">
        <v>24243</v>
      </c>
      <c r="F8034" t="s">
        <v>24244</v>
      </c>
      <c r="I8034" t="s">
        <v>29</v>
      </c>
      <c r="J8034" t="s">
        <v>30</v>
      </c>
      <c r="K8034" t="s">
        <v>24245</v>
      </c>
      <c r="M8034" t="s">
        <v>18479</v>
      </c>
      <c r="N8034" t="str">
        <f>"1/16/2015 3:51:00 PM"</f>
        <v>1/16/2015 3:51:00 PM</v>
      </c>
      <c r="O8034" t="s">
        <v>24242</v>
      </c>
      <c r="T8034" t="s">
        <v>24243</v>
      </c>
    </row>
    <row r="8035" spans="1:20" x14ac:dyDescent="0.25">
      <c r="A8035" t="str">
        <f>"3039479"</f>
        <v>3039479</v>
      </c>
      <c r="B8035" t="s">
        <v>24246</v>
      </c>
      <c r="C8035" t="str">
        <f>"82532109"</f>
        <v>82532109</v>
      </c>
      <c r="D8035" t="s">
        <v>24142</v>
      </c>
      <c r="F8035" t="s">
        <v>24143</v>
      </c>
      <c r="I8035" t="s">
        <v>29</v>
      </c>
      <c r="J8035" t="s">
        <v>30</v>
      </c>
      <c r="K8035" t="str">
        <f>"27028"</f>
        <v>27028</v>
      </c>
      <c r="M8035" t="s">
        <v>22859</v>
      </c>
      <c r="N8035" t="str">
        <f>"1/2/2015 8:30:00 AM"</f>
        <v>1/2/2015 8:30:00 AM</v>
      </c>
      <c r="O8035" t="s">
        <v>24142</v>
      </c>
    </row>
    <row r="8036" spans="1:20" x14ac:dyDescent="0.25">
      <c r="A8036" t="str">
        <f>"3039737"</f>
        <v>3039737</v>
      </c>
      <c r="B8036" t="s">
        <v>24247</v>
      </c>
      <c r="C8036" t="str">
        <f>"82532109"</f>
        <v>82532109</v>
      </c>
      <c r="D8036" t="s">
        <v>24142</v>
      </c>
      <c r="F8036" t="s">
        <v>24143</v>
      </c>
      <c r="I8036" t="s">
        <v>29</v>
      </c>
      <c r="J8036" t="s">
        <v>30</v>
      </c>
      <c r="K8036" t="str">
        <f>"27028"</f>
        <v>27028</v>
      </c>
      <c r="M8036" t="s">
        <v>22859</v>
      </c>
      <c r="N8036" t="str">
        <f>"1/2/2015 8:30:00 AM"</f>
        <v>1/2/2015 8:30:00 AM</v>
      </c>
      <c r="O8036" t="s">
        <v>24142</v>
      </c>
    </row>
    <row r="8037" spans="1:20" x14ac:dyDescent="0.25">
      <c r="A8037" t="str">
        <f>"3039759"</f>
        <v>3039759</v>
      </c>
      <c r="B8037" t="s">
        <v>24248</v>
      </c>
      <c r="C8037" t="str">
        <f>"82532109"</f>
        <v>82532109</v>
      </c>
      <c r="D8037" t="s">
        <v>24142</v>
      </c>
      <c r="F8037" t="s">
        <v>24143</v>
      </c>
      <c r="I8037" t="s">
        <v>29</v>
      </c>
      <c r="J8037" t="s">
        <v>30</v>
      </c>
      <c r="K8037" t="str">
        <f>"27028"</f>
        <v>27028</v>
      </c>
      <c r="M8037" t="s">
        <v>22859</v>
      </c>
      <c r="N8037" t="str">
        <f>"1/2/2015 8:30:00 AM"</f>
        <v>1/2/2015 8:30:00 AM</v>
      </c>
      <c r="O8037" t="s">
        <v>24142</v>
      </c>
    </row>
    <row r="8038" spans="1:20" x14ac:dyDescent="0.25">
      <c r="A8038" t="str">
        <f>"3054806"</f>
        <v>3054806</v>
      </c>
      <c r="B8038" t="s">
        <v>24249</v>
      </c>
      <c r="C8038" t="str">
        <f>"8304613"</f>
        <v>8304613</v>
      </c>
      <c r="D8038" t="s">
        <v>14553</v>
      </c>
      <c r="F8038" t="s">
        <v>14554</v>
      </c>
      <c r="I8038" t="s">
        <v>17921</v>
      </c>
      <c r="J8038" t="s">
        <v>30</v>
      </c>
      <c r="K8038" t="str">
        <f>"27028"</f>
        <v>27028</v>
      </c>
      <c r="M8038" t="s">
        <v>17861</v>
      </c>
      <c r="N8038" t="str">
        <f>"1/20/2015 10:16:00 AM"</f>
        <v>1/20/2015 10:16:00 AM</v>
      </c>
      <c r="O8038" t="s">
        <v>14553</v>
      </c>
    </row>
    <row r="8039" spans="1:20" x14ac:dyDescent="0.25">
      <c r="A8039" t="str">
        <f>"3061775"</f>
        <v>3061775</v>
      </c>
      <c r="B8039" t="s">
        <v>24250</v>
      </c>
      <c r="C8039" t="str">
        <f>"82529286"</f>
        <v>82529286</v>
      </c>
      <c r="D8039" t="s">
        <v>24251</v>
      </c>
      <c r="F8039" t="s">
        <v>24252</v>
      </c>
      <c r="I8039" t="s">
        <v>2589</v>
      </c>
      <c r="J8039" t="s">
        <v>30</v>
      </c>
      <c r="K8039" t="s">
        <v>24253</v>
      </c>
      <c r="M8039" t="s">
        <v>24254</v>
      </c>
      <c r="N8039" t="str">
        <f>"1/20/2015 10:49:00 AM"</f>
        <v>1/20/2015 10:49:00 AM</v>
      </c>
      <c r="O8039" t="s">
        <v>24251</v>
      </c>
    </row>
    <row r="8040" spans="1:20" x14ac:dyDescent="0.25">
      <c r="A8040" t="str">
        <f>"3040376"</f>
        <v>3040376</v>
      </c>
      <c r="B8040" t="s">
        <v>24255</v>
      </c>
      <c r="C8040" t="str">
        <f t="shared" ref="C8040:C8045" si="120">"82521987"</f>
        <v>82521987</v>
      </c>
      <c r="D8040" t="s">
        <v>8245</v>
      </c>
      <c r="E8040" t="s">
        <v>8246</v>
      </c>
      <c r="F8040" t="s">
        <v>8248</v>
      </c>
      <c r="I8040" t="s">
        <v>184</v>
      </c>
      <c r="J8040" t="s">
        <v>30</v>
      </c>
      <c r="K8040" t="s">
        <v>185</v>
      </c>
      <c r="M8040" t="s">
        <v>17861</v>
      </c>
      <c r="N8040" t="str">
        <f t="shared" ref="N8040:N8045" si="121">"2/5/2015 10:53:00 AM"</f>
        <v>2/5/2015 10:53:00 AM</v>
      </c>
      <c r="O8040" t="s">
        <v>8245</v>
      </c>
      <c r="T8040" t="s">
        <v>8246</v>
      </c>
    </row>
    <row r="8041" spans="1:20" x14ac:dyDescent="0.25">
      <c r="A8041" t="str">
        <f>"3047272"</f>
        <v>3047272</v>
      </c>
      <c r="B8041" t="s">
        <v>24256</v>
      </c>
      <c r="C8041" t="str">
        <f t="shared" si="120"/>
        <v>82521987</v>
      </c>
      <c r="D8041" t="s">
        <v>8245</v>
      </c>
      <c r="E8041" t="s">
        <v>8246</v>
      </c>
      <c r="F8041" t="s">
        <v>8248</v>
      </c>
      <c r="I8041" t="s">
        <v>184</v>
      </c>
      <c r="J8041" t="s">
        <v>30</v>
      </c>
      <c r="K8041" t="s">
        <v>185</v>
      </c>
      <c r="M8041" t="s">
        <v>17861</v>
      </c>
      <c r="N8041" t="str">
        <f t="shared" si="121"/>
        <v>2/5/2015 10:53:00 AM</v>
      </c>
      <c r="O8041" t="s">
        <v>8245</v>
      </c>
      <c r="T8041" t="s">
        <v>8246</v>
      </c>
    </row>
    <row r="8042" spans="1:20" x14ac:dyDescent="0.25">
      <c r="A8042" t="str">
        <f>"3052250"</f>
        <v>3052250</v>
      </c>
      <c r="B8042" t="s">
        <v>24257</v>
      </c>
      <c r="C8042" t="str">
        <f t="shared" si="120"/>
        <v>82521987</v>
      </c>
      <c r="D8042" t="s">
        <v>8245</v>
      </c>
      <c r="E8042" t="s">
        <v>8246</v>
      </c>
      <c r="F8042" t="s">
        <v>8248</v>
      </c>
      <c r="I8042" t="s">
        <v>184</v>
      </c>
      <c r="J8042" t="s">
        <v>30</v>
      </c>
      <c r="K8042" t="s">
        <v>185</v>
      </c>
      <c r="M8042" t="s">
        <v>17861</v>
      </c>
      <c r="N8042" t="str">
        <f t="shared" si="121"/>
        <v>2/5/2015 10:53:00 AM</v>
      </c>
      <c r="O8042" t="s">
        <v>8245</v>
      </c>
      <c r="T8042" t="s">
        <v>8246</v>
      </c>
    </row>
    <row r="8043" spans="1:20" x14ac:dyDescent="0.25">
      <c r="A8043" t="str">
        <f>"3052248"</f>
        <v>3052248</v>
      </c>
      <c r="B8043" t="s">
        <v>24258</v>
      </c>
      <c r="C8043" t="str">
        <f t="shared" si="120"/>
        <v>82521987</v>
      </c>
      <c r="D8043" t="s">
        <v>8245</v>
      </c>
      <c r="E8043" t="s">
        <v>8246</v>
      </c>
      <c r="F8043" t="s">
        <v>8248</v>
      </c>
      <c r="I8043" t="s">
        <v>184</v>
      </c>
      <c r="J8043" t="s">
        <v>30</v>
      </c>
      <c r="K8043" t="s">
        <v>185</v>
      </c>
      <c r="M8043" t="s">
        <v>17861</v>
      </c>
      <c r="N8043" t="str">
        <f t="shared" si="121"/>
        <v>2/5/2015 10:53:00 AM</v>
      </c>
      <c r="O8043" t="s">
        <v>8245</v>
      </c>
      <c r="T8043" t="s">
        <v>8246</v>
      </c>
    </row>
    <row r="8044" spans="1:20" x14ac:dyDescent="0.25">
      <c r="A8044" t="str">
        <f>"3075080"</f>
        <v>3075080</v>
      </c>
      <c r="B8044" t="s">
        <v>24259</v>
      </c>
      <c r="C8044" t="str">
        <f t="shared" si="120"/>
        <v>82521987</v>
      </c>
      <c r="D8044" t="s">
        <v>8245</v>
      </c>
      <c r="E8044" t="s">
        <v>8246</v>
      </c>
      <c r="F8044" t="s">
        <v>8248</v>
      </c>
      <c r="I8044" t="s">
        <v>184</v>
      </c>
      <c r="J8044" t="s">
        <v>30</v>
      </c>
      <c r="K8044" t="s">
        <v>185</v>
      </c>
      <c r="M8044" t="s">
        <v>17861</v>
      </c>
      <c r="N8044" t="str">
        <f t="shared" si="121"/>
        <v>2/5/2015 10:53:00 AM</v>
      </c>
      <c r="O8044" t="s">
        <v>8245</v>
      </c>
      <c r="T8044" t="s">
        <v>8246</v>
      </c>
    </row>
    <row r="8045" spans="1:20" x14ac:dyDescent="0.25">
      <c r="A8045" t="str">
        <f>"3076929"</f>
        <v>3076929</v>
      </c>
      <c r="B8045" t="s">
        <v>24260</v>
      </c>
      <c r="C8045" t="str">
        <f t="shared" si="120"/>
        <v>82521987</v>
      </c>
      <c r="D8045" t="s">
        <v>8245</v>
      </c>
      <c r="E8045" t="s">
        <v>8246</v>
      </c>
      <c r="F8045" t="s">
        <v>8248</v>
      </c>
      <c r="I8045" t="s">
        <v>184</v>
      </c>
      <c r="J8045" t="s">
        <v>30</v>
      </c>
      <c r="K8045" t="s">
        <v>185</v>
      </c>
      <c r="M8045" t="s">
        <v>17861</v>
      </c>
      <c r="N8045" t="str">
        <f t="shared" si="121"/>
        <v>2/5/2015 10:53:00 AM</v>
      </c>
      <c r="O8045" t="s">
        <v>8245</v>
      </c>
      <c r="T8045" t="s">
        <v>8246</v>
      </c>
    </row>
    <row r="8046" spans="1:20" x14ac:dyDescent="0.25">
      <c r="A8046" t="str">
        <f>"3039733"</f>
        <v>3039733</v>
      </c>
      <c r="B8046" t="s">
        <v>24261</v>
      </c>
      <c r="C8046" t="str">
        <f>"8303016"</f>
        <v>8303016</v>
      </c>
      <c r="D8046" t="s">
        <v>24262</v>
      </c>
      <c r="E8046" t="s">
        <v>24263</v>
      </c>
      <c r="F8046" t="s">
        <v>24264</v>
      </c>
      <c r="I8046" t="s">
        <v>29</v>
      </c>
      <c r="J8046" t="s">
        <v>30</v>
      </c>
      <c r="K8046" t="s">
        <v>24265</v>
      </c>
      <c r="M8046" t="s">
        <v>17861</v>
      </c>
      <c r="N8046" t="str">
        <f>"2/5/2015 11:03:00 AM"</f>
        <v>2/5/2015 11:03:00 AM</v>
      </c>
      <c r="O8046" t="s">
        <v>24262</v>
      </c>
      <c r="T8046" t="s">
        <v>24263</v>
      </c>
    </row>
    <row r="8047" spans="1:20" x14ac:dyDescent="0.25">
      <c r="A8047" t="str">
        <f>"3043378"</f>
        <v>3043378</v>
      </c>
      <c r="B8047" t="s">
        <v>24266</v>
      </c>
      <c r="C8047" t="str">
        <f>"82522822"</f>
        <v>82522822</v>
      </c>
      <c r="D8047" t="s">
        <v>24267</v>
      </c>
      <c r="F8047" t="s">
        <v>24268</v>
      </c>
      <c r="I8047" t="s">
        <v>29</v>
      </c>
      <c r="J8047" t="s">
        <v>30</v>
      </c>
      <c r="K8047" t="s">
        <v>24269</v>
      </c>
      <c r="M8047" t="s">
        <v>18479</v>
      </c>
      <c r="N8047" t="str">
        <f>"2/5/2015 11:10:00 AM"</f>
        <v>2/5/2015 11:10:00 AM</v>
      </c>
      <c r="O8047" t="s">
        <v>24267</v>
      </c>
    </row>
    <row r="8048" spans="1:20" x14ac:dyDescent="0.25">
      <c r="A8048" t="str">
        <f>"3054946"</f>
        <v>3054946</v>
      </c>
      <c r="B8048" t="s">
        <v>24270</v>
      </c>
      <c r="C8048" t="str">
        <f>"8304614"</f>
        <v>8304614</v>
      </c>
      <c r="D8048" t="s">
        <v>24271</v>
      </c>
      <c r="F8048" t="s">
        <v>24272</v>
      </c>
      <c r="I8048" t="s">
        <v>17921</v>
      </c>
      <c r="J8048" t="s">
        <v>30</v>
      </c>
      <c r="K8048" t="str">
        <f>"27028"</f>
        <v>27028</v>
      </c>
      <c r="M8048" t="s">
        <v>17861</v>
      </c>
      <c r="N8048" t="str">
        <f>"1/20/2015 11:30:00 AM"</f>
        <v>1/20/2015 11:30:00 AM</v>
      </c>
      <c r="O8048" t="s">
        <v>24271</v>
      </c>
    </row>
    <row r="8049" spans="1:20" x14ac:dyDescent="0.25">
      <c r="A8049" t="str">
        <f>"3055163"</f>
        <v>3055163</v>
      </c>
      <c r="B8049" t="s">
        <v>24273</v>
      </c>
      <c r="C8049" t="str">
        <f>"8304614"</f>
        <v>8304614</v>
      </c>
      <c r="D8049" t="s">
        <v>24271</v>
      </c>
      <c r="F8049" t="s">
        <v>24272</v>
      </c>
      <c r="I8049" t="s">
        <v>17921</v>
      </c>
      <c r="J8049" t="s">
        <v>30</v>
      </c>
      <c r="K8049" t="str">
        <f>"27028"</f>
        <v>27028</v>
      </c>
      <c r="M8049" t="s">
        <v>17861</v>
      </c>
      <c r="N8049" t="str">
        <f>"1/20/2015 11:30:00 AM"</f>
        <v>1/20/2015 11:30:00 AM</v>
      </c>
      <c r="O8049" t="s">
        <v>24271</v>
      </c>
    </row>
    <row r="8050" spans="1:20" x14ac:dyDescent="0.25">
      <c r="A8050" t="str">
        <f>"3039341"</f>
        <v>3039341</v>
      </c>
      <c r="B8050" t="s">
        <v>24274</v>
      </c>
      <c r="C8050" t="str">
        <f>"3152000"</f>
        <v>3152000</v>
      </c>
      <c r="D8050" t="s">
        <v>24275</v>
      </c>
      <c r="F8050" t="s">
        <v>24276</v>
      </c>
      <c r="I8050" t="s">
        <v>2525</v>
      </c>
      <c r="J8050" t="s">
        <v>30</v>
      </c>
      <c r="K8050" t="s">
        <v>2526</v>
      </c>
      <c r="M8050" t="s">
        <v>23082</v>
      </c>
      <c r="N8050" t="str">
        <f>"1/20/2015 2:50:00 PM"</f>
        <v>1/20/2015 2:50:00 PM</v>
      </c>
      <c r="O8050" t="s">
        <v>24275</v>
      </c>
    </row>
    <row r="8051" spans="1:20" x14ac:dyDescent="0.25">
      <c r="A8051" t="str">
        <f>"3038406"</f>
        <v>3038406</v>
      </c>
      <c r="B8051" t="s">
        <v>24277</v>
      </c>
      <c r="C8051" t="str">
        <f>"47742000"</f>
        <v>47742000</v>
      </c>
      <c r="D8051" t="s">
        <v>24278</v>
      </c>
      <c r="E8051" t="s">
        <v>24279</v>
      </c>
      <c r="F8051" t="s">
        <v>24280</v>
      </c>
      <c r="I8051" t="s">
        <v>29</v>
      </c>
      <c r="J8051" t="s">
        <v>30</v>
      </c>
      <c r="K8051" t="s">
        <v>24281</v>
      </c>
      <c r="M8051" t="s">
        <v>23082</v>
      </c>
      <c r="N8051" t="str">
        <f>"1/20/2015 2:53:00 PM"</f>
        <v>1/20/2015 2:53:00 PM</v>
      </c>
      <c r="O8051" t="s">
        <v>24278</v>
      </c>
      <c r="T8051" t="s">
        <v>24279</v>
      </c>
    </row>
    <row r="8052" spans="1:20" x14ac:dyDescent="0.25">
      <c r="A8052" t="str">
        <f>"3047166"</f>
        <v>3047166</v>
      </c>
      <c r="B8052" t="s">
        <v>24282</v>
      </c>
      <c r="C8052" t="str">
        <f>"82525348"</f>
        <v>82525348</v>
      </c>
      <c r="D8052" t="s">
        <v>24283</v>
      </c>
      <c r="E8052" t="s">
        <v>24284</v>
      </c>
      <c r="F8052" t="s">
        <v>24285</v>
      </c>
      <c r="I8052" t="s">
        <v>29</v>
      </c>
      <c r="J8052" t="s">
        <v>30</v>
      </c>
      <c r="K8052" t="s">
        <v>31</v>
      </c>
      <c r="M8052" t="s">
        <v>23082</v>
      </c>
      <c r="N8052" t="str">
        <f>"1/21/2015 3:18:00 PM"</f>
        <v>1/21/2015 3:18:00 PM</v>
      </c>
      <c r="O8052" t="s">
        <v>24283</v>
      </c>
      <c r="T8052" t="s">
        <v>24284</v>
      </c>
    </row>
    <row r="8053" spans="1:20" x14ac:dyDescent="0.25">
      <c r="A8053" t="str">
        <f>"3057276"</f>
        <v>3057276</v>
      </c>
      <c r="B8053" t="s">
        <v>24286</v>
      </c>
      <c r="C8053" t="str">
        <f t="shared" ref="C8053:C8058" si="122">"5088000"</f>
        <v>5088000</v>
      </c>
      <c r="D8053" t="s">
        <v>24287</v>
      </c>
      <c r="E8053" t="s">
        <v>24288</v>
      </c>
      <c r="F8053" t="s">
        <v>24289</v>
      </c>
      <c r="I8053" t="s">
        <v>29</v>
      </c>
      <c r="J8053" t="s">
        <v>30</v>
      </c>
      <c r="K8053" t="s">
        <v>24290</v>
      </c>
      <c r="M8053" t="s">
        <v>18479</v>
      </c>
      <c r="N8053" t="str">
        <f t="shared" ref="N8053:N8058" si="123">"2/9/2015 9:10:00 AM"</f>
        <v>2/9/2015 9:10:00 AM</v>
      </c>
      <c r="O8053" t="s">
        <v>24287</v>
      </c>
      <c r="T8053" t="s">
        <v>24288</v>
      </c>
    </row>
    <row r="8054" spans="1:20" x14ac:dyDescent="0.25">
      <c r="A8054" t="str">
        <f>"3057263"</f>
        <v>3057263</v>
      </c>
      <c r="B8054" t="s">
        <v>24291</v>
      </c>
      <c r="C8054" t="str">
        <f t="shared" si="122"/>
        <v>5088000</v>
      </c>
      <c r="D8054" t="s">
        <v>24287</v>
      </c>
      <c r="E8054" t="s">
        <v>24288</v>
      </c>
      <c r="F8054" t="s">
        <v>24289</v>
      </c>
      <c r="I8054" t="s">
        <v>29</v>
      </c>
      <c r="J8054" t="s">
        <v>30</v>
      </c>
      <c r="K8054" t="s">
        <v>24290</v>
      </c>
      <c r="M8054" t="s">
        <v>18479</v>
      </c>
      <c r="N8054" t="str">
        <f t="shared" si="123"/>
        <v>2/9/2015 9:10:00 AM</v>
      </c>
      <c r="O8054" t="s">
        <v>24287</v>
      </c>
      <c r="T8054" t="s">
        <v>24288</v>
      </c>
    </row>
    <row r="8055" spans="1:20" x14ac:dyDescent="0.25">
      <c r="A8055" t="str">
        <f>"3057236"</f>
        <v>3057236</v>
      </c>
      <c r="B8055" t="s">
        <v>24292</v>
      </c>
      <c r="C8055" t="str">
        <f t="shared" si="122"/>
        <v>5088000</v>
      </c>
      <c r="D8055" t="s">
        <v>24287</v>
      </c>
      <c r="E8055" t="s">
        <v>24288</v>
      </c>
      <c r="F8055" t="s">
        <v>24289</v>
      </c>
      <c r="I8055" t="s">
        <v>29</v>
      </c>
      <c r="J8055" t="s">
        <v>30</v>
      </c>
      <c r="K8055" t="s">
        <v>24290</v>
      </c>
      <c r="M8055" t="s">
        <v>18479</v>
      </c>
      <c r="N8055" t="str">
        <f t="shared" si="123"/>
        <v>2/9/2015 9:10:00 AM</v>
      </c>
      <c r="O8055" t="s">
        <v>24287</v>
      </c>
      <c r="T8055" t="s">
        <v>24288</v>
      </c>
    </row>
    <row r="8056" spans="1:20" x14ac:dyDescent="0.25">
      <c r="A8056" t="str">
        <f>"3069210"</f>
        <v>3069210</v>
      </c>
      <c r="B8056" t="s">
        <v>24293</v>
      </c>
      <c r="C8056" t="str">
        <f t="shared" si="122"/>
        <v>5088000</v>
      </c>
      <c r="D8056" t="s">
        <v>24287</v>
      </c>
      <c r="E8056" t="s">
        <v>24288</v>
      </c>
      <c r="F8056" t="s">
        <v>24289</v>
      </c>
      <c r="I8056" t="s">
        <v>29</v>
      </c>
      <c r="J8056" t="s">
        <v>30</v>
      </c>
      <c r="K8056" t="s">
        <v>24290</v>
      </c>
      <c r="M8056" t="s">
        <v>18479</v>
      </c>
      <c r="N8056" t="str">
        <f t="shared" si="123"/>
        <v>2/9/2015 9:10:00 AM</v>
      </c>
      <c r="O8056" t="s">
        <v>24287</v>
      </c>
      <c r="T8056" t="s">
        <v>24288</v>
      </c>
    </row>
    <row r="8057" spans="1:20" x14ac:dyDescent="0.25">
      <c r="A8057" t="str">
        <f>"3066029"</f>
        <v>3066029</v>
      </c>
      <c r="B8057" t="s">
        <v>24294</v>
      </c>
      <c r="C8057" t="str">
        <f t="shared" si="122"/>
        <v>5088000</v>
      </c>
      <c r="D8057" t="s">
        <v>24287</v>
      </c>
      <c r="E8057" t="s">
        <v>24288</v>
      </c>
      <c r="F8057" t="s">
        <v>24289</v>
      </c>
      <c r="I8057" t="s">
        <v>29</v>
      </c>
      <c r="J8057" t="s">
        <v>30</v>
      </c>
      <c r="K8057" t="s">
        <v>24290</v>
      </c>
      <c r="M8057" t="s">
        <v>18479</v>
      </c>
      <c r="N8057" t="str">
        <f t="shared" si="123"/>
        <v>2/9/2015 9:10:00 AM</v>
      </c>
      <c r="O8057" t="s">
        <v>24287</v>
      </c>
      <c r="T8057" t="s">
        <v>24288</v>
      </c>
    </row>
    <row r="8058" spans="1:20" x14ac:dyDescent="0.25">
      <c r="A8058" t="str">
        <f>"3059003"</f>
        <v>3059003</v>
      </c>
      <c r="B8058" t="s">
        <v>24295</v>
      </c>
      <c r="C8058" t="str">
        <f t="shared" si="122"/>
        <v>5088000</v>
      </c>
      <c r="D8058" t="s">
        <v>24287</v>
      </c>
      <c r="E8058" t="s">
        <v>24288</v>
      </c>
      <c r="F8058" t="s">
        <v>24289</v>
      </c>
      <c r="I8058" t="s">
        <v>29</v>
      </c>
      <c r="J8058" t="s">
        <v>30</v>
      </c>
      <c r="K8058" t="s">
        <v>24290</v>
      </c>
      <c r="M8058" t="s">
        <v>18479</v>
      </c>
      <c r="N8058" t="str">
        <f t="shared" si="123"/>
        <v>2/9/2015 9:10:00 AM</v>
      </c>
      <c r="O8058" t="s">
        <v>24287</v>
      </c>
      <c r="T8058" t="s">
        <v>24288</v>
      </c>
    </row>
    <row r="8059" spans="1:20" x14ac:dyDescent="0.25">
      <c r="A8059" t="str">
        <f>"3054154"</f>
        <v>3054154</v>
      </c>
      <c r="B8059" t="s">
        <v>24296</v>
      </c>
      <c r="C8059" t="str">
        <f>"69873500"</f>
        <v>69873500</v>
      </c>
      <c r="D8059" t="s">
        <v>24185</v>
      </c>
      <c r="F8059" t="s">
        <v>9579</v>
      </c>
      <c r="I8059" t="s">
        <v>9580</v>
      </c>
      <c r="J8059" t="s">
        <v>30</v>
      </c>
      <c r="K8059" t="s">
        <v>16893</v>
      </c>
      <c r="M8059" t="s">
        <v>23082</v>
      </c>
      <c r="N8059" t="str">
        <f>"1/22/2015 3:57:00 PM"</f>
        <v>1/22/2015 3:57:00 PM</v>
      </c>
      <c r="O8059" t="s">
        <v>24185</v>
      </c>
    </row>
    <row r="8060" spans="1:20" x14ac:dyDescent="0.25">
      <c r="A8060" t="str">
        <f>"3054155"</f>
        <v>3054155</v>
      </c>
      <c r="B8060" t="s">
        <v>24297</v>
      </c>
      <c r="C8060" t="str">
        <f>"69873500"</f>
        <v>69873500</v>
      </c>
      <c r="D8060" t="s">
        <v>24185</v>
      </c>
      <c r="F8060" t="s">
        <v>9579</v>
      </c>
      <c r="I8060" t="s">
        <v>9580</v>
      </c>
      <c r="J8060" t="s">
        <v>30</v>
      </c>
      <c r="K8060" t="s">
        <v>16893</v>
      </c>
      <c r="M8060" t="s">
        <v>23082</v>
      </c>
      <c r="N8060" t="str">
        <f>"1/22/2015 3:57:00 PM"</f>
        <v>1/22/2015 3:57:00 PM</v>
      </c>
      <c r="O8060" t="s">
        <v>24185</v>
      </c>
    </row>
    <row r="8061" spans="1:20" x14ac:dyDescent="0.25">
      <c r="A8061" t="str">
        <f>"3060306"</f>
        <v>3060306</v>
      </c>
      <c r="B8061" t="s">
        <v>24298</v>
      </c>
      <c r="C8061" t="str">
        <f>"1516500"</f>
        <v>1516500</v>
      </c>
      <c r="D8061" t="s">
        <v>24299</v>
      </c>
      <c r="E8061" t="s">
        <v>24300</v>
      </c>
      <c r="F8061" t="s">
        <v>24301</v>
      </c>
      <c r="I8061" t="s">
        <v>29</v>
      </c>
      <c r="J8061" t="s">
        <v>30</v>
      </c>
      <c r="K8061" t="s">
        <v>24302</v>
      </c>
      <c r="M8061" t="s">
        <v>18479</v>
      </c>
      <c r="N8061" t="str">
        <f>"1/26/2015 9:55:00 AM"</f>
        <v>1/26/2015 9:55:00 AM</v>
      </c>
      <c r="O8061" t="s">
        <v>24299</v>
      </c>
      <c r="T8061" t="s">
        <v>24300</v>
      </c>
    </row>
    <row r="8062" spans="1:20" x14ac:dyDescent="0.25">
      <c r="A8062" t="str">
        <f>"3072031"</f>
        <v>3072031</v>
      </c>
      <c r="B8062" t="s">
        <v>24303</v>
      </c>
      <c r="C8062" t="str">
        <f>"5190310"</f>
        <v>5190310</v>
      </c>
      <c r="D8062" t="s">
        <v>24304</v>
      </c>
      <c r="E8062" t="s">
        <v>24305</v>
      </c>
      <c r="F8062" t="s">
        <v>24306</v>
      </c>
      <c r="I8062" t="s">
        <v>29</v>
      </c>
      <c r="J8062" t="s">
        <v>30</v>
      </c>
      <c r="K8062" t="s">
        <v>31</v>
      </c>
      <c r="M8062" t="s">
        <v>18479</v>
      </c>
      <c r="N8062" t="str">
        <f>"2/9/2015 3:38:00 PM"</f>
        <v>2/9/2015 3:38:00 PM</v>
      </c>
      <c r="O8062" t="s">
        <v>24304</v>
      </c>
      <c r="T8062" t="s">
        <v>24305</v>
      </c>
    </row>
    <row r="8063" spans="1:20" x14ac:dyDescent="0.25">
      <c r="A8063" t="str">
        <f>"3040898"</f>
        <v>3040898</v>
      </c>
      <c r="B8063" t="s">
        <v>24307</v>
      </c>
      <c r="C8063" t="str">
        <f>"8978750"</f>
        <v>8978750</v>
      </c>
      <c r="D8063" t="s">
        <v>24308</v>
      </c>
      <c r="F8063" t="s">
        <v>24309</v>
      </c>
      <c r="I8063" t="s">
        <v>184</v>
      </c>
      <c r="J8063" t="s">
        <v>30</v>
      </c>
      <c r="K8063" t="s">
        <v>185</v>
      </c>
      <c r="M8063" t="s">
        <v>18479</v>
      </c>
      <c r="N8063" t="str">
        <f>"2/9/2015 3:57:00 PM"</f>
        <v>2/9/2015 3:57:00 PM</v>
      </c>
      <c r="O8063" t="s">
        <v>24308</v>
      </c>
    </row>
    <row r="8064" spans="1:20" x14ac:dyDescent="0.25">
      <c r="A8064" t="str">
        <f>"3044233"</f>
        <v>3044233</v>
      </c>
      <c r="B8064" t="s">
        <v>24310</v>
      </c>
      <c r="C8064" t="str">
        <f>"82531060"</f>
        <v>82531060</v>
      </c>
      <c r="D8064" t="s">
        <v>24311</v>
      </c>
      <c r="E8064" t="s">
        <v>24312</v>
      </c>
      <c r="F8064" t="s">
        <v>24313</v>
      </c>
      <c r="I8064" t="s">
        <v>184</v>
      </c>
      <c r="J8064" t="s">
        <v>30</v>
      </c>
      <c r="K8064" t="s">
        <v>185</v>
      </c>
      <c r="M8064" t="s">
        <v>18479</v>
      </c>
      <c r="N8064" t="str">
        <f>"1/26/2015 3:17:00 PM"</f>
        <v>1/26/2015 3:17:00 PM</v>
      </c>
      <c r="O8064" t="s">
        <v>24311</v>
      </c>
      <c r="T8064" t="s">
        <v>24312</v>
      </c>
    </row>
    <row r="8065" spans="1:20" x14ac:dyDescent="0.25">
      <c r="A8065" t="str">
        <f>"3047820"</f>
        <v>3047820</v>
      </c>
      <c r="B8065" t="s">
        <v>24314</v>
      </c>
      <c r="C8065" t="str">
        <f>"13526000"</f>
        <v>13526000</v>
      </c>
      <c r="D8065" t="s">
        <v>24315</v>
      </c>
      <c r="E8065" t="s">
        <v>24316</v>
      </c>
      <c r="F8065" t="s">
        <v>24317</v>
      </c>
      <c r="I8065" t="s">
        <v>184</v>
      </c>
      <c r="J8065" t="s">
        <v>30</v>
      </c>
      <c r="K8065" t="s">
        <v>185</v>
      </c>
      <c r="M8065" t="s">
        <v>23082</v>
      </c>
      <c r="N8065" t="str">
        <f>"1/26/2015 3:26:00 PM"</f>
        <v>1/26/2015 3:26:00 PM</v>
      </c>
      <c r="O8065" t="s">
        <v>24315</v>
      </c>
      <c r="T8065" t="s">
        <v>24316</v>
      </c>
    </row>
    <row r="8066" spans="1:20" x14ac:dyDescent="0.25">
      <c r="A8066" t="str">
        <f>"3039812"</f>
        <v>3039812</v>
      </c>
      <c r="B8066" t="s">
        <v>24318</v>
      </c>
      <c r="C8066" t="str">
        <f>"82530007"</f>
        <v>82530007</v>
      </c>
      <c r="D8066" t="s">
        <v>24319</v>
      </c>
      <c r="F8066" t="s">
        <v>16853</v>
      </c>
      <c r="I8066" t="s">
        <v>29</v>
      </c>
      <c r="J8066" t="s">
        <v>30</v>
      </c>
      <c r="K8066" t="s">
        <v>31</v>
      </c>
      <c r="M8066" t="s">
        <v>23082</v>
      </c>
      <c r="N8066" t="str">
        <f>"1/28/2015 9:39:00 AM"</f>
        <v>1/28/2015 9:39:00 AM</v>
      </c>
      <c r="O8066" t="s">
        <v>24319</v>
      </c>
    </row>
    <row r="8067" spans="1:20" x14ac:dyDescent="0.25">
      <c r="A8067" t="str">
        <f>"3067767"</f>
        <v>3067767</v>
      </c>
      <c r="B8067" t="s">
        <v>24320</v>
      </c>
      <c r="C8067" t="str">
        <f>"82530007"</f>
        <v>82530007</v>
      </c>
      <c r="D8067" t="s">
        <v>24319</v>
      </c>
      <c r="F8067" t="s">
        <v>16853</v>
      </c>
      <c r="I8067" t="s">
        <v>29</v>
      </c>
      <c r="J8067" t="s">
        <v>30</v>
      </c>
      <c r="K8067" t="s">
        <v>31</v>
      </c>
      <c r="M8067" t="s">
        <v>23082</v>
      </c>
      <c r="N8067" t="str">
        <f>"1/28/2015 9:39:00 AM"</f>
        <v>1/28/2015 9:39:00 AM</v>
      </c>
      <c r="O8067" t="s">
        <v>24319</v>
      </c>
    </row>
    <row r="8068" spans="1:20" x14ac:dyDescent="0.25">
      <c r="A8068" t="str">
        <f>"3059229"</f>
        <v>3059229</v>
      </c>
      <c r="B8068" t="s">
        <v>24321</v>
      </c>
      <c r="C8068" t="str">
        <f>"11873180"</f>
        <v>11873180</v>
      </c>
      <c r="D8068" t="s">
        <v>24322</v>
      </c>
      <c r="E8068" t="s">
        <v>24323</v>
      </c>
      <c r="F8068" t="s">
        <v>24324</v>
      </c>
      <c r="I8068" t="s">
        <v>29</v>
      </c>
      <c r="J8068" t="s">
        <v>30</v>
      </c>
      <c r="K8068" t="s">
        <v>31</v>
      </c>
      <c r="M8068" t="s">
        <v>18479</v>
      </c>
      <c r="N8068" t="str">
        <f>"1/28/2015 4:50:00 PM"</f>
        <v>1/28/2015 4:50:00 PM</v>
      </c>
      <c r="O8068" t="s">
        <v>24322</v>
      </c>
      <c r="T8068" t="s">
        <v>24323</v>
      </c>
    </row>
    <row r="8069" spans="1:20" x14ac:dyDescent="0.25">
      <c r="A8069" t="str">
        <f>"3051980"</f>
        <v>3051980</v>
      </c>
      <c r="B8069" t="s">
        <v>24325</v>
      </c>
      <c r="C8069" t="str">
        <f>"8304279"</f>
        <v>8304279</v>
      </c>
      <c r="D8069" t="s">
        <v>24326</v>
      </c>
      <c r="F8069" t="s">
        <v>24327</v>
      </c>
      <c r="I8069" t="s">
        <v>29</v>
      </c>
      <c r="J8069" t="s">
        <v>30</v>
      </c>
      <c r="K8069" t="str">
        <f>"27028"</f>
        <v>27028</v>
      </c>
      <c r="M8069" t="s">
        <v>18479</v>
      </c>
      <c r="N8069" t="str">
        <f>"2/2/2015 9:18:00 AM"</f>
        <v>2/2/2015 9:18:00 AM</v>
      </c>
      <c r="O8069" t="s">
        <v>24326</v>
      </c>
    </row>
    <row r="8070" spans="1:20" x14ac:dyDescent="0.25">
      <c r="A8070" t="str">
        <f>"3067294"</f>
        <v>3067294</v>
      </c>
      <c r="B8070" t="s">
        <v>24328</v>
      </c>
      <c r="C8070" t="str">
        <f>"40003500"</f>
        <v>40003500</v>
      </c>
      <c r="D8070" t="s">
        <v>24329</v>
      </c>
      <c r="E8070" t="s">
        <v>24330</v>
      </c>
      <c r="F8070" t="s">
        <v>24331</v>
      </c>
      <c r="I8070" t="s">
        <v>29</v>
      </c>
      <c r="J8070" t="s">
        <v>30</v>
      </c>
      <c r="K8070" t="s">
        <v>18909</v>
      </c>
      <c r="M8070" t="s">
        <v>23082</v>
      </c>
      <c r="N8070" t="str">
        <f>"2/10/2015 4:15:00 PM"</f>
        <v>2/10/2015 4:15:00 PM</v>
      </c>
      <c r="O8070" t="s">
        <v>24329</v>
      </c>
      <c r="T8070" t="s">
        <v>24330</v>
      </c>
    </row>
    <row r="8071" spans="1:20" x14ac:dyDescent="0.25">
      <c r="A8071" t="str">
        <f>"3070938"</f>
        <v>3070938</v>
      </c>
      <c r="B8071" t="s">
        <v>24332</v>
      </c>
      <c r="C8071" t="str">
        <f>"82516699"</f>
        <v>82516699</v>
      </c>
      <c r="D8071" t="s">
        <v>24333</v>
      </c>
      <c r="E8071" t="s">
        <v>24334</v>
      </c>
      <c r="F8071" t="s">
        <v>24335</v>
      </c>
      <c r="I8071" t="s">
        <v>29</v>
      </c>
      <c r="J8071" t="s">
        <v>30</v>
      </c>
      <c r="K8071" t="s">
        <v>31</v>
      </c>
      <c r="M8071" t="s">
        <v>17861</v>
      </c>
      <c r="N8071" t="str">
        <f>"2/11/2015 9:51:00 AM"</f>
        <v>2/11/2015 9:51:00 AM</v>
      </c>
      <c r="O8071" t="s">
        <v>24333</v>
      </c>
      <c r="T8071" t="s">
        <v>24334</v>
      </c>
    </row>
    <row r="8072" spans="1:20" x14ac:dyDescent="0.25">
      <c r="A8072" t="str">
        <f>"3038928"</f>
        <v>3038928</v>
      </c>
      <c r="B8072" t="s">
        <v>24336</v>
      </c>
      <c r="C8072" t="str">
        <f>"8300344"</f>
        <v>8300344</v>
      </c>
      <c r="D8072" t="s">
        <v>24337</v>
      </c>
      <c r="E8072" t="s">
        <v>24338</v>
      </c>
      <c r="F8072" t="s">
        <v>24339</v>
      </c>
      <c r="I8072" t="s">
        <v>29</v>
      </c>
      <c r="J8072" t="s">
        <v>30</v>
      </c>
      <c r="K8072" t="s">
        <v>24340</v>
      </c>
      <c r="M8072" t="s">
        <v>17861</v>
      </c>
      <c r="N8072" t="str">
        <f>"2/11/2015 10:01:00 AM"</f>
        <v>2/11/2015 10:01:00 AM</v>
      </c>
      <c r="O8072" t="s">
        <v>24337</v>
      </c>
      <c r="T8072" t="s">
        <v>24338</v>
      </c>
    </row>
    <row r="8073" spans="1:20" x14ac:dyDescent="0.25">
      <c r="A8073" t="str">
        <f>"3049821"</f>
        <v>3049821</v>
      </c>
      <c r="B8073" t="s">
        <v>24341</v>
      </c>
      <c r="C8073" t="str">
        <f>"76946000"</f>
        <v>76946000</v>
      </c>
      <c r="D8073" t="s">
        <v>24342</v>
      </c>
      <c r="E8073" t="s">
        <v>24343</v>
      </c>
      <c r="F8073" t="s">
        <v>24344</v>
      </c>
      <c r="I8073" t="s">
        <v>29</v>
      </c>
      <c r="J8073" t="s">
        <v>30</v>
      </c>
      <c r="K8073" t="s">
        <v>24345</v>
      </c>
      <c r="M8073" t="s">
        <v>23082</v>
      </c>
      <c r="N8073" t="str">
        <f>"2/2/2015 10:39:00 AM"</f>
        <v>2/2/2015 10:39:00 AM</v>
      </c>
      <c r="O8073" t="s">
        <v>24342</v>
      </c>
      <c r="T8073" t="s">
        <v>24343</v>
      </c>
    </row>
    <row r="8074" spans="1:20" x14ac:dyDescent="0.25">
      <c r="A8074" t="str">
        <f>"3039511"</f>
        <v>3039511</v>
      </c>
      <c r="B8074" t="s">
        <v>24346</v>
      </c>
      <c r="C8074" t="str">
        <f>"11878900"</f>
        <v>11878900</v>
      </c>
      <c r="D8074" t="s">
        <v>723</v>
      </c>
      <c r="E8074" t="s">
        <v>24347</v>
      </c>
      <c r="F8074" t="s">
        <v>724</v>
      </c>
      <c r="I8074" t="s">
        <v>184</v>
      </c>
      <c r="J8074" t="s">
        <v>30</v>
      </c>
      <c r="K8074" t="s">
        <v>185</v>
      </c>
      <c r="M8074" t="s">
        <v>18479</v>
      </c>
      <c r="N8074" t="str">
        <f>"2/11/2015 11:30:00 AM"</f>
        <v>2/11/2015 11:30:00 AM</v>
      </c>
      <c r="O8074" t="s">
        <v>723</v>
      </c>
      <c r="T8074" t="s">
        <v>24347</v>
      </c>
    </row>
    <row r="8075" spans="1:20" x14ac:dyDescent="0.25">
      <c r="A8075" t="str">
        <f>"3041382"</f>
        <v>3041382</v>
      </c>
      <c r="B8075" t="s">
        <v>24348</v>
      </c>
      <c r="C8075" t="str">
        <f>"8302783"</f>
        <v>8302783</v>
      </c>
      <c r="D8075" t="s">
        <v>24349</v>
      </c>
      <c r="E8075" t="s">
        <v>24350</v>
      </c>
      <c r="F8075" t="s">
        <v>24351</v>
      </c>
      <c r="I8075" t="s">
        <v>2071</v>
      </c>
      <c r="J8075" t="s">
        <v>30</v>
      </c>
      <c r="K8075" t="str">
        <f>"27006"</f>
        <v>27006</v>
      </c>
      <c r="M8075" t="s">
        <v>18479</v>
      </c>
      <c r="N8075" t="str">
        <f>"2/11/2015 2:23:00 PM"</f>
        <v>2/11/2015 2:23:00 PM</v>
      </c>
      <c r="O8075" t="s">
        <v>24349</v>
      </c>
      <c r="T8075" t="s">
        <v>24350</v>
      </c>
    </row>
    <row r="8076" spans="1:20" x14ac:dyDescent="0.25">
      <c r="A8076" t="str">
        <f>"3050988"</f>
        <v>3050988</v>
      </c>
      <c r="B8076" t="s">
        <v>24352</v>
      </c>
      <c r="C8076" t="str">
        <f>"82531978"</f>
        <v>82531978</v>
      </c>
      <c r="D8076" t="s">
        <v>24353</v>
      </c>
      <c r="F8076" t="s">
        <v>24354</v>
      </c>
      <c r="I8076" t="s">
        <v>29</v>
      </c>
      <c r="J8076" t="s">
        <v>30</v>
      </c>
      <c r="K8076" t="s">
        <v>31</v>
      </c>
      <c r="M8076" t="s">
        <v>18479</v>
      </c>
      <c r="N8076" t="str">
        <f>"2/12/2015 8:34:00 AM"</f>
        <v>2/12/2015 8:34:00 AM</v>
      </c>
      <c r="O8076" t="s">
        <v>24353</v>
      </c>
    </row>
    <row r="8077" spans="1:20" x14ac:dyDescent="0.25">
      <c r="A8077" t="str">
        <f>"3042342"</f>
        <v>3042342</v>
      </c>
      <c r="B8077" t="s">
        <v>24355</v>
      </c>
      <c r="C8077" t="str">
        <f>"8304643"</f>
        <v>8304643</v>
      </c>
      <c r="D8077" t="s">
        <v>24356</v>
      </c>
      <c r="E8077" t="s">
        <v>24357</v>
      </c>
      <c r="F8077" t="s">
        <v>24358</v>
      </c>
      <c r="I8077" t="s">
        <v>24359</v>
      </c>
      <c r="J8077" t="s">
        <v>30</v>
      </c>
      <c r="K8077" t="str">
        <f>"27006"</f>
        <v>27006</v>
      </c>
      <c r="M8077" t="s">
        <v>17861</v>
      </c>
      <c r="N8077" t="str">
        <f>"2/12/2015 9:35:00 AM"</f>
        <v>2/12/2015 9:35:00 AM</v>
      </c>
      <c r="O8077" t="s">
        <v>24356</v>
      </c>
      <c r="T8077" t="s">
        <v>24357</v>
      </c>
    </row>
    <row r="8078" spans="1:20" x14ac:dyDescent="0.25">
      <c r="A8078" t="str">
        <f>"3071739"</f>
        <v>3071739</v>
      </c>
      <c r="B8078" t="s">
        <v>24360</v>
      </c>
      <c r="C8078" t="str">
        <f>"76946000"</f>
        <v>76946000</v>
      </c>
      <c r="D8078" t="s">
        <v>24342</v>
      </c>
      <c r="E8078" t="s">
        <v>24343</v>
      </c>
      <c r="F8078" t="s">
        <v>24344</v>
      </c>
      <c r="I8078" t="s">
        <v>29</v>
      </c>
      <c r="J8078" t="s">
        <v>30</v>
      </c>
      <c r="K8078" t="s">
        <v>24345</v>
      </c>
      <c r="M8078" t="s">
        <v>23082</v>
      </c>
      <c r="N8078" t="str">
        <f>"2/2/2015 10:39:00 AM"</f>
        <v>2/2/2015 10:39:00 AM</v>
      </c>
      <c r="O8078" t="s">
        <v>24342</v>
      </c>
      <c r="T8078" t="s">
        <v>24343</v>
      </c>
    </row>
    <row r="8079" spans="1:20" x14ac:dyDescent="0.25">
      <c r="A8079" t="str">
        <f>"3068246"</f>
        <v>3068246</v>
      </c>
      <c r="B8079" t="s">
        <v>24361</v>
      </c>
      <c r="C8079" t="str">
        <f>"79028000"</f>
        <v>79028000</v>
      </c>
      <c r="D8079" t="s">
        <v>24362</v>
      </c>
      <c r="E8079" t="s">
        <v>24363</v>
      </c>
      <c r="F8079" t="s">
        <v>24364</v>
      </c>
      <c r="I8079" t="s">
        <v>29</v>
      </c>
      <c r="J8079" t="s">
        <v>30</v>
      </c>
      <c r="K8079" t="str">
        <f>"27028"</f>
        <v>27028</v>
      </c>
      <c r="M8079" t="s">
        <v>18432</v>
      </c>
      <c r="N8079" t="str">
        <f>"2/2/2015 1:39:00 PM"</f>
        <v>2/2/2015 1:39:00 PM</v>
      </c>
      <c r="O8079" t="s">
        <v>24362</v>
      </c>
      <c r="T8079" t="s">
        <v>24363</v>
      </c>
    </row>
    <row r="8080" spans="1:20" x14ac:dyDescent="0.25">
      <c r="A8080" t="str">
        <f>"3067549"</f>
        <v>3067549</v>
      </c>
      <c r="B8080" t="s">
        <v>24365</v>
      </c>
      <c r="C8080" t="str">
        <f>"39756000"</f>
        <v>39756000</v>
      </c>
      <c r="D8080" t="s">
        <v>24366</v>
      </c>
      <c r="F8080" t="s">
        <v>8241</v>
      </c>
      <c r="I8080" t="s">
        <v>29</v>
      </c>
      <c r="J8080" t="s">
        <v>30</v>
      </c>
      <c r="K8080" t="s">
        <v>8242</v>
      </c>
      <c r="M8080" t="s">
        <v>23082</v>
      </c>
      <c r="N8080" t="str">
        <f>"2/2/2015 3:13:00 PM"</f>
        <v>2/2/2015 3:13:00 PM</v>
      </c>
      <c r="O8080" t="s">
        <v>24366</v>
      </c>
    </row>
    <row r="8081" spans="1:20" x14ac:dyDescent="0.25">
      <c r="A8081" t="str">
        <f>"3037344"</f>
        <v>3037344</v>
      </c>
      <c r="B8081" t="s">
        <v>24367</v>
      </c>
      <c r="C8081" t="str">
        <f>"8304669"</f>
        <v>8304669</v>
      </c>
      <c r="D8081" t="s">
        <v>24368</v>
      </c>
      <c r="E8081" t="s">
        <v>24369</v>
      </c>
      <c r="F8081" t="s">
        <v>24370</v>
      </c>
      <c r="I8081" t="s">
        <v>24359</v>
      </c>
      <c r="J8081" t="s">
        <v>30</v>
      </c>
      <c r="K8081" t="str">
        <f>"27006"</f>
        <v>27006</v>
      </c>
      <c r="M8081" t="s">
        <v>17861</v>
      </c>
      <c r="N8081" t="str">
        <f>"2/13/2015 9:07:00 AM"</f>
        <v>2/13/2015 9:07:00 AM</v>
      </c>
      <c r="O8081" t="s">
        <v>24368</v>
      </c>
      <c r="T8081" t="s">
        <v>24369</v>
      </c>
    </row>
    <row r="8082" spans="1:20" x14ac:dyDescent="0.25">
      <c r="A8082" t="str">
        <f>"3054816"</f>
        <v>3054816</v>
      </c>
      <c r="B8082" t="s">
        <v>24371</v>
      </c>
      <c r="C8082" t="str">
        <f>"8304613"</f>
        <v>8304613</v>
      </c>
      <c r="D8082" t="s">
        <v>14553</v>
      </c>
      <c r="F8082" t="s">
        <v>14554</v>
      </c>
      <c r="I8082" t="s">
        <v>17921</v>
      </c>
      <c r="J8082" t="s">
        <v>30</v>
      </c>
      <c r="K8082" t="str">
        <f>"27028"</f>
        <v>27028</v>
      </c>
      <c r="M8082" t="s">
        <v>17861</v>
      </c>
      <c r="N8082" t="str">
        <f>"1/20/2015 10:16:00 AM"</f>
        <v>1/20/2015 10:16:00 AM</v>
      </c>
      <c r="O8082" t="s">
        <v>14553</v>
      </c>
    </row>
    <row r="8083" spans="1:20" x14ac:dyDescent="0.25">
      <c r="A8083" t="str">
        <f>"3040347"</f>
        <v>3040347</v>
      </c>
      <c r="B8083" t="s">
        <v>24372</v>
      </c>
      <c r="C8083" t="str">
        <f>"82521987"</f>
        <v>82521987</v>
      </c>
      <c r="D8083" t="s">
        <v>8245</v>
      </c>
      <c r="E8083" t="s">
        <v>8246</v>
      </c>
      <c r="F8083" t="s">
        <v>8248</v>
      </c>
      <c r="I8083" t="s">
        <v>184</v>
      </c>
      <c r="J8083" t="s">
        <v>30</v>
      </c>
      <c r="K8083" t="s">
        <v>185</v>
      </c>
      <c r="M8083" t="s">
        <v>17861</v>
      </c>
      <c r="N8083" t="str">
        <f>"2/5/2015 10:53:00 AM"</f>
        <v>2/5/2015 10:53:00 AM</v>
      </c>
      <c r="O8083" t="s">
        <v>8245</v>
      </c>
      <c r="T8083" t="s">
        <v>8246</v>
      </c>
    </row>
    <row r="8084" spans="1:20" x14ac:dyDescent="0.25">
      <c r="A8084" t="str">
        <f>"3045234"</f>
        <v>3045234</v>
      </c>
      <c r="B8084" t="s">
        <v>24373</v>
      </c>
      <c r="C8084" t="str">
        <f>"82521986"</f>
        <v>82521986</v>
      </c>
      <c r="D8084" t="s">
        <v>24374</v>
      </c>
      <c r="E8084" t="s">
        <v>24375</v>
      </c>
      <c r="F8084" t="s">
        <v>8248</v>
      </c>
      <c r="I8084" t="s">
        <v>184</v>
      </c>
      <c r="J8084" t="s">
        <v>30</v>
      </c>
      <c r="K8084" t="s">
        <v>185</v>
      </c>
      <c r="M8084" t="s">
        <v>17861</v>
      </c>
      <c r="N8084" t="str">
        <f>"2/5/2015 4:47:00 PM"</f>
        <v>2/5/2015 4:47:00 PM</v>
      </c>
      <c r="O8084" t="s">
        <v>24374</v>
      </c>
      <c r="T8084" t="s">
        <v>24375</v>
      </c>
    </row>
    <row r="8085" spans="1:20" x14ac:dyDescent="0.25">
      <c r="A8085" t="str">
        <f>"3054585"</f>
        <v>3054585</v>
      </c>
      <c r="B8085" t="s">
        <v>24376</v>
      </c>
      <c r="C8085" t="str">
        <f>"8304675"</f>
        <v>8304675</v>
      </c>
      <c r="D8085" t="s">
        <v>24377</v>
      </c>
      <c r="E8085" t="s">
        <v>24378</v>
      </c>
      <c r="F8085" t="s">
        <v>24379</v>
      </c>
      <c r="I8085" t="s">
        <v>17921</v>
      </c>
      <c r="J8085" t="s">
        <v>30</v>
      </c>
      <c r="K8085" t="s">
        <v>24380</v>
      </c>
      <c r="M8085" t="s">
        <v>17861</v>
      </c>
      <c r="N8085" t="str">
        <f>"2/13/2015 10:35:00 AM"</f>
        <v>2/13/2015 10:35:00 AM</v>
      </c>
      <c r="O8085" t="s">
        <v>24377</v>
      </c>
      <c r="T8085" t="s">
        <v>24378</v>
      </c>
    </row>
    <row r="8086" spans="1:20" x14ac:dyDescent="0.25">
      <c r="A8086" t="str">
        <f>"3055168"</f>
        <v>3055168</v>
      </c>
      <c r="B8086" t="s">
        <v>24381</v>
      </c>
      <c r="C8086" t="str">
        <f>"55821440"</f>
        <v>55821440</v>
      </c>
      <c r="D8086" t="s">
        <v>24382</v>
      </c>
      <c r="F8086" t="s">
        <v>24383</v>
      </c>
      <c r="I8086" t="s">
        <v>29</v>
      </c>
      <c r="J8086" t="s">
        <v>30</v>
      </c>
      <c r="K8086" t="s">
        <v>31</v>
      </c>
      <c r="M8086" t="s">
        <v>24254</v>
      </c>
      <c r="N8086" t="str">
        <f>"2/13/2015 12:39:00 PM"</f>
        <v>2/13/2015 12:39:00 PM</v>
      </c>
      <c r="O8086" t="s">
        <v>24382</v>
      </c>
    </row>
    <row r="8087" spans="1:20" x14ac:dyDescent="0.25">
      <c r="A8087" t="str">
        <f>"3045713"</f>
        <v>3045713</v>
      </c>
      <c r="B8087" t="s">
        <v>24384</v>
      </c>
      <c r="C8087" t="str">
        <f>"82521986"</f>
        <v>82521986</v>
      </c>
      <c r="D8087" t="s">
        <v>24374</v>
      </c>
      <c r="E8087" t="s">
        <v>24375</v>
      </c>
      <c r="F8087" t="s">
        <v>8248</v>
      </c>
      <c r="I8087" t="s">
        <v>184</v>
      </c>
      <c r="J8087" t="s">
        <v>30</v>
      </c>
      <c r="K8087" t="s">
        <v>185</v>
      </c>
      <c r="M8087" t="s">
        <v>17861</v>
      </c>
      <c r="N8087" t="str">
        <f>"2/5/2015 4:47:00 PM"</f>
        <v>2/5/2015 4:47:00 PM</v>
      </c>
      <c r="O8087" t="s">
        <v>24374</v>
      </c>
      <c r="T8087" t="s">
        <v>24375</v>
      </c>
    </row>
    <row r="8088" spans="1:20" x14ac:dyDescent="0.25">
      <c r="A8088" t="str">
        <f>"3047125"</f>
        <v>3047125</v>
      </c>
      <c r="B8088" t="s">
        <v>24385</v>
      </c>
      <c r="C8088" t="str">
        <f>"20700000"</f>
        <v>20700000</v>
      </c>
      <c r="D8088" t="s">
        <v>24386</v>
      </c>
      <c r="E8088" t="s">
        <v>24387</v>
      </c>
      <c r="F8088" t="s">
        <v>24388</v>
      </c>
      <c r="I8088" t="s">
        <v>29</v>
      </c>
      <c r="J8088" t="s">
        <v>30</v>
      </c>
      <c r="K8088" t="s">
        <v>31</v>
      </c>
      <c r="M8088" t="s">
        <v>23082</v>
      </c>
      <c r="N8088" t="str">
        <f>"2/6/2015 9:41:00 AM"</f>
        <v>2/6/2015 9:41:00 AM</v>
      </c>
      <c r="O8088" t="s">
        <v>24386</v>
      </c>
      <c r="T8088" t="s">
        <v>24387</v>
      </c>
    </row>
    <row r="8089" spans="1:20" x14ac:dyDescent="0.25">
      <c r="A8089" t="str">
        <f>"3060723"</f>
        <v>3060723</v>
      </c>
      <c r="B8089" t="s">
        <v>24389</v>
      </c>
      <c r="C8089" t="str">
        <f>"8304679"</f>
        <v>8304679</v>
      </c>
      <c r="D8089" t="s">
        <v>24390</v>
      </c>
      <c r="F8089" t="s">
        <v>24391</v>
      </c>
      <c r="I8089" t="s">
        <v>471</v>
      </c>
      <c r="J8089" t="s">
        <v>30</v>
      </c>
      <c r="K8089" t="str">
        <f>"27127"</f>
        <v>27127</v>
      </c>
      <c r="M8089" t="s">
        <v>17861</v>
      </c>
      <c r="N8089" t="str">
        <f>"2/13/2015 3:42:00 PM"</f>
        <v>2/13/2015 3:42:00 PM</v>
      </c>
      <c r="O8089" t="s">
        <v>24390</v>
      </c>
    </row>
    <row r="8090" spans="1:20" x14ac:dyDescent="0.25">
      <c r="A8090" t="str">
        <f>"3040893"</f>
        <v>3040893</v>
      </c>
      <c r="B8090" t="s">
        <v>24392</v>
      </c>
      <c r="C8090" t="str">
        <f>"8304683"</f>
        <v>8304683</v>
      </c>
      <c r="D8090" t="s">
        <v>24393</v>
      </c>
      <c r="E8090" t="s">
        <v>24394</v>
      </c>
      <c r="F8090" t="s">
        <v>24395</v>
      </c>
      <c r="I8090" t="s">
        <v>24359</v>
      </c>
      <c r="J8090" t="s">
        <v>30</v>
      </c>
      <c r="K8090" t="str">
        <f>"27006"</f>
        <v>27006</v>
      </c>
      <c r="M8090" t="s">
        <v>17861</v>
      </c>
      <c r="N8090" t="str">
        <f>"2/13/2015 4:00:00 PM"</f>
        <v>2/13/2015 4:00:00 PM</v>
      </c>
      <c r="O8090" t="s">
        <v>24393</v>
      </c>
      <c r="T8090" t="s">
        <v>24394</v>
      </c>
    </row>
    <row r="8091" spans="1:20" x14ac:dyDescent="0.25">
      <c r="A8091" t="str">
        <f>"3058162"</f>
        <v>3058162</v>
      </c>
      <c r="B8091" t="s">
        <v>24396</v>
      </c>
      <c r="C8091" t="str">
        <f>"8304684"</f>
        <v>8304684</v>
      </c>
      <c r="D8091" t="s">
        <v>24397</v>
      </c>
      <c r="E8091" t="s">
        <v>24398</v>
      </c>
      <c r="F8091" t="s">
        <v>24399</v>
      </c>
      <c r="I8091" t="s">
        <v>17921</v>
      </c>
      <c r="J8091" t="s">
        <v>30</v>
      </c>
      <c r="K8091" t="str">
        <f>"27028"</f>
        <v>27028</v>
      </c>
      <c r="M8091" t="s">
        <v>17861</v>
      </c>
      <c r="N8091" t="str">
        <f>"2/13/2015 4:02:00 PM"</f>
        <v>2/13/2015 4:02:00 PM</v>
      </c>
      <c r="O8091" t="s">
        <v>24397</v>
      </c>
      <c r="T8091" t="s">
        <v>24398</v>
      </c>
    </row>
    <row r="8092" spans="1:20" x14ac:dyDescent="0.25">
      <c r="A8092" t="str">
        <f>"3037303"</f>
        <v>3037303</v>
      </c>
      <c r="B8092" t="s">
        <v>24400</v>
      </c>
      <c r="C8092" t="str">
        <f>"9380000"</f>
        <v>9380000</v>
      </c>
      <c r="D8092" t="s">
        <v>24401</v>
      </c>
      <c r="E8092" t="s">
        <v>24402</v>
      </c>
      <c r="F8092" t="s">
        <v>24403</v>
      </c>
      <c r="I8092" t="s">
        <v>184</v>
      </c>
      <c r="J8092" t="s">
        <v>30</v>
      </c>
      <c r="K8092" t="s">
        <v>24404</v>
      </c>
      <c r="M8092" t="s">
        <v>18479</v>
      </c>
      <c r="N8092" t="str">
        <f>"2/6/2015 4:07:00 PM"</f>
        <v>2/6/2015 4:07:00 PM</v>
      </c>
      <c r="O8092" t="s">
        <v>24401</v>
      </c>
      <c r="T8092" t="s">
        <v>24402</v>
      </c>
    </row>
    <row r="8093" spans="1:20" x14ac:dyDescent="0.25">
      <c r="A8093" t="str">
        <f>"3062017"</f>
        <v>3062017</v>
      </c>
      <c r="B8093" t="s">
        <v>24405</v>
      </c>
      <c r="C8093" t="str">
        <f>"8304694"</f>
        <v>8304694</v>
      </c>
      <c r="D8093" t="s">
        <v>24406</v>
      </c>
      <c r="E8093" t="s">
        <v>24407</v>
      </c>
      <c r="F8093" t="s">
        <v>24408</v>
      </c>
      <c r="I8093" t="s">
        <v>24359</v>
      </c>
      <c r="J8093" t="s">
        <v>30</v>
      </c>
      <c r="K8093" t="str">
        <f>"27006"</f>
        <v>27006</v>
      </c>
      <c r="M8093" t="s">
        <v>17861</v>
      </c>
      <c r="N8093" t="str">
        <f>"2/16/2015 10:06:00 AM"</f>
        <v>2/16/2015 10:06:00 AM</v>
      </c>
      <c r="O8093" t="s">
        <v>24406</v>
      </c>
      <c r="T8093" t="s">
        <v>24407</v>
      </c>
    </row>
    <row r="8094" spans="1:20" x14ac:dyDescent="0.25">
      <c r="A8094" t="str">
        <f>"3060888"</f>
        <v>3060888</v>
      </c>
      <c r="B8094" t="s">
        <v>24409</v>
      </c>
      <c r="C8094" t="str">
        <f>"8304696"</f>
        <v>8304696</v>
      </c>
      <c r="D8094" t="s">
        <v>24410</v>
      </c>
      <c r="E8094" t="s">
        <v>24411</v>
      </c>
      <c r="F8094" t="s">
        <v>24412</v>
      </c>
      <c r="I8094" t="s">
        <v>2071</v>
      </c>
      <c r="J8094" t="s">
        <v>30</v>
      </c>
      <c r="K8094" t="str">
        <f>"27006"</f>
        <v>27006</v>
      </c>
      <c r="M8094" t="s">
        <v>17861</v>
      </c>
      <c r="N8094" t="str">
        <f>"2/16/2015 10:15:00 AM"</f>
        <v>2/16/2015 10:15:00 AM</v>
      </c>
      <c r="O8094" t="s">
        <v>24410</v>
      </c>
      <c r="T8094" t="s">
        <v>24411</v>
      </c>
    </row>
    <row r="8095" spans="1:20" x14ac:dyDescent="0.25">
      <c r="A8095" t="str">
        <f>"3065022"</f>
        <v>3065022</v>
      </c>
      <c r="B8095" t="s">
        <v>24413</v>
      </c>
      <c r="C8095" t="str">
        <f>"6240000"</f>
        <v>6240000</v>
      </c>
      <c r="D8095" t="s">
        <v>24414</v>
      </c>
      <c r="E8095" t="s">
        <v>24415</v>
      </c>
      <c r="F8095" t="s">
        <v>24416</v>
      </c>
      <c r="I8095" t="s">
        <v>184</v>
      </c>
      <c r="J8095" t="s">
        <v>30</v>
      </c>
      <c r="K8095" t="s">
        <v>24417</v>
      </c>
      <c r="M8095" t="s">
        <v>18479</v>
      </c>
      <c r="N8095" t="str">
        <f>"2/16/2015 10:49:00 AM"</f>
        <v>2/16/2015 10:49:00 AM</v>
      </c>
      <c r="O8095" t="s">
        <v>24414</v>
      </c>
      <c r="T8095" t="s">
        <v>24415</v>
      </c>
    </row>
    <row r="8096" spans="1:20" x14ac:dyDescent="0.25">
      <c r="A8096" t="str">
        <f>"3057275"</f>
        <v>3057275</v>
      </c>
      <c r="B8096" t="s">
        <v>24418</v>
      </c>
      <c r="C8096" t="str">
        <f>"5088000"</f>
        <v>5088000</v>
      </c>
      <c r="D8096" t="s">
        <v>24287</v>
      </c>
      <c r="E8096" t="s">
        <v>24288</v>
      </c>
      <c r="F8096" t="s">
        <v>24289</v>
      </c>
      <c r="I8096" t="s">
        <v>29</v>
      </c>
      <c r="J8096" t="s">
        <v>30</v>
      </c>
      <c r="K8096" t="s">
        <v>24290</v>
      </c>
      <c r="M8096" t="s">
        <v>18479</v>
      </c>
      <c r="N8096" t="str">
        <f>"2/9/2015 9:10:00 AM"</f>
        <v>2/9/2015 9:10:00 AM</v>
      </c>
      <c r="O8096" t="s">
        <v>24287</v>
      </c>
      <c r="T8096" t="s">
        <v>24288</v>
      </c>
    </row>
    <row r="8097" spans="1:20" x14ac:dyDescent="0.25">
      <c r="A8097" t="str">
        <f>"3049286"</f>
        <v>3049286</v>
      </c>
      <c r="B8097" t="s">
        <v>24419</v>
      </c>
      <c r="C8097" t="str">
        <f>"7155000"</f>
        <v>7155000</v>
      </c>
      <c r="D8097" t="s">
        <v>24420</v>
      </c>
      <c r="F8097" t="s">
        <v>24421</v>
      </c>
      <c r="I8097" t="s">
        <v>29</v>
      </c>
      <c r="J8097" t="s">
        <v>30</v>
      </c>
      <c r="K8097" t="s">
        <v>31</v>
      </c>
      <c r="M8097" t="s">
        <v>18479</v>
      </c>
      <c r="N8097" t="str">
        <f>"2/9/2015 2:08:00 PM"</f>
        <v>2/9/2015 2:08:00 PM</v>
      </c>
      <c r="O8097" t="s">
        <v>24420</v>
      </c>
    </row>
    <row r="8098" spans="1:20" x14ac:dyDescent="0.25">
      <c r="A8098" t="str">
        <f>"3052617"</f>
        <v>3052617</v>
      </c>
      <c r="B8098" t="s">
        <v>24422</v>
      </c>
      <c r="C8098" t="str">
        <f>"82528595"</f>
        <v>82528595</v>
      </c>
      <c r="D8098" t="s">
        <v>24423</v>
      </c>
      <c r="F8098" t="s">
        <v>24424</v>
      </c>
      <c r="I8098" t="s">
        <v>184</v>
      </c>
      <c r="J8098" t="s">
        <v>30</v>
      </c>
      <c r="K8098" t="s">
        <v>185</v>
      </c>
      <c r="M8098" t="s">
        <v>23082</v>
      </c>
      <c r="N8098" t="str">
        <f>"2/9/2015 3:34:00 PM"</f>
        <v>2/9/2015 3:34:00 PM</v>
      </c>
      <c r="O8098" t="s">
        <v>24423</v>
      </c>
    </row>
    <row r="8099" spans="1:20" x14ac:dyDescent="0.25">
      <c r="A8099" t="str">
        <f>"3050751"</f>
        <v>3050751</v>
      </c>
      <c r="B8099" t="s">
        <v>24425</v>
      </c>
      <c r="C8099" t="str">
        <f>"82528595"</f>
        <v>82528595</v>
      </c>
      <c r="D8099" t="s">
        <v>24423</v>
      </c>
      <c r="F8099" t="s">
        <v>24424</v>
      </c>
      <c r="I8099" t="s">
        <v>184</v>
      </c>
      <c r="J8099" t="s">
        <v>30</v>
      </c>
      <c r="K8099" t="s">
        <v>185</v>
      </c>
      <c r="M8099" t="s">
        <v>23082</v>
      </c>
      <c r="N8099" t="str">
        <f>"2/9/2015 3:34:00 PM"</f>
        <v>2/9/2015 3:34:00 PM</v>
      </c>
      <c r="O8099" t="s">
        <v>24423</v>
      </c>
    </row>
    <row r="8100" spans="1:20" x14ac:dyDescent="0.25">
      <c r="A8100" t="str">
        <f>"3055233"</f>
        <v>3055233</v>
      </c>
      <c r="B8100" t="s">
        <v>24426</v>
      </c>
      <c r="C8100" t="str">
        <f>"8303990"</f>
        <v>8303990</v>
      </c>
      <c r="D8100" t="s">
        <v>24427</v>
      </c>
      <c r="E8100" t="s">
        <v>24428</v>
      </c>
      <c r="F8100" t="s">
        <v>24429</v>
      </c>
      <c r="I8100" t="s">
        <v>29</v>
      </c>
      <c r="J8100" t="s">
        <v>30</v>
      </c>
      <c r="K8100" t="str">
        <f>"27028"</f>
        <v>27028</v>
      </c>
      <c r="M8100" t="s">
        <v>18479</v>
      </c>
      <c r="N8100" t="str">
        <f>"2/10/2015 10:28:00 AM"</f>
        <v>2/10/2015 10:28:00 AM</v>
      </c>
      <c r="O8100" t="s">
        <v>24427</v>
      </c>
      <c r="T8100" t="s">
        <v>24428</v>
      </c>
    </row>
    <row r="8101" spans="1:20" x14ac:dyDescent="0.25">
      <c r="A8101" t="str">
        <f>"3047375"</f>
        <v>3047375</v>
      </c>
      <c r="B8101" t="s">
        <v>24430</v>
      </c>
      <c r="C8101" t="str">
        <f>"8304710"</f>
        <v>8304710</v>
      </c>
      <c r="D8101" t="s">
        <v>24431</v>
      </c>
      <c r="E8101" t="s">
        <v>24432</v>
      </c>
      <c r="F8101" t="s">
        <v>24433</v>
      </c>
      <c r="I8101" t="s">
        <v>24359</v>
      </c>
      <c r="J8101" t="s">
        <v>30</v>
      </c>
      <c r="K8101" t="str">
        <f>"27006"</f>
        <v>27006</v>
      </c>
      <c r="M8101" t="s">
        <v>17861</v>
      </c>
      <c r="N8101" t="str">
        <f>"2/16/2015 2:16:00 PM"</f>
        <v>2/16/2015 2:16:00 PM</v>
      </c>
      <c r="O8101" t="s">
        <v>24431</v>
      </c>
      <c r="T8101" t="s">
        <v>24432</v>
      </c>
    </row>
    <row r="8102" spans="1:20" x14ac:dyDescent="0.25">
      <c r="A8102" t="str">
        <f>"3047771"</f>
        <v>3047771</v>
      </c>
      <c r="B8102" t="s">
        <v>24434</v>
      </c>
      <c r="C8102" t="str">
        <f>"8304710"</f>
        <v>8304710</v>
      </c>
      <c r="D8102" t="s">
        <v>24431</v>
      </c>
      <c r="E8102" t="s">
        <v>24432</v>
      </c>
      <c r="F8102" t="s">
        <v>24433</v>
      </c>
      <c r="I8102" t="s">
        <v>24359</v>
      </c>
      <c r="J8102" t="s">
        <v>30</v>
      </c>
      <c r="K8102" t="str">
        <f>"27006"</f>
        <v>27006</v>
      </c>
      <c r="M8102" t="s">
        <v>17861</v>
      </c>
      <c r="N8102" t="str">
        <f>"2/16/2015 2:16:00 PM"</f>
        <v>2/16/2015 2:16:00 PM</v>
      </c>
      <c r="O8102" t="s">
        <v>24431</v>
      </c>
      <c r="T8102" t="s">
        <v>24432</v>
      </c>
    </row>
    <row r="8103" spans="1:20" x14ac:dyDescent="0.25">
      <c r="A8103" t="str">
        <f>"3044366"</f>
        <v>3044366</v>
      </c>
      <c r="B8103" t="s">
        <v>24435</v>
      </c>
      <c r="C8103" t="str">
        <f>"82515311"</f>
        <v>82515311</v>
      </c>
      <c r="D8103" t="s">
        <v>24436</v>
      </c>
      <c r="E8103" t="s">
        <v>24437</v>
      </c>
      <c r="F8103" t="s">
        <v>24438</v>
      </c>
      <c r="I8103" t="s">
        <v>184</v>
      </c>
      <c r="J8103" t="s">
        <v>30</v>
      </c>
      <c r="K8103" t="s">
        <v>6274</v>
      </c>
      <c r="M8103" t="s">
        <v>18479</v>
      </c>
      <c r="N8103" t="str">
        <f>"2/16/2015 2:24:00 PM"</f>
        <v>2/16/2015 2:24:00 PM</v>
      </c>
      <c r="O8103" t="s">
        <v>24436</v>
      </c>
      <c r="T8103" t="s">
        <v>24437</v>
      </c>
    </row>
    <row r="8104" spans="1:20" x14ac:dyDescent="0.25">
      <c r="A8104" t="str">
        <f>"3063929"</f>
        <v>3063929</v>
      </c>
      <c r="B8104" t="s">
        <v>24439</v>
      </c>
      <c r="C8104" t="str">
        <f>"8303863"</f>
        <v>8303863</v>
      </c>
      <c r="D8104" t="s">
        <v>24440</v>
      </c>
      <c r="F8104" t="s">
        <v>24441</v>
      </c>
      <c r="I8104" t="s">
        <v>184</v>
      </c>
      <c r="J8104" t="s">
        <v>30</v>
      </c>
      <c r="K8104" t="str">
        <f>"27006"</f>
        <v>27006</v>
      </c>
      <c r="M8104" t="s">
        <v>18479</v>
      </c>
      <c r="N8104" t="str">
        <f>"2/16/2015 2:31:00 PM"</f>
        <v>2/16/2015 2:31:00 PM</v>
      </c>
      <c r="O8104" t="s">
        <v>24440</v>
      </c>
    </row>
    <row r="8105" spans="1:20" x14ac:dyDescent="0.25">
      <c r="A8105" t="str">
        <f>"3052951"</f>
        <v>3052951</v>
      </c>
      <c r="B8105" t="s">
        <v>24442</v>
      </c>
      <c r="C8105" t="str">
        <f>"8304713"</f>
        <v>8304713</v>
      </c>
      <c r="D8105" t="s">
        <v>24443</v>
      </c>
      <c r="F8105" t="s">
        <v>24444</v>
      </c>
      <c r="I8105" t="s">
        <v>17921</v>
      </c>
      <c r="J8105" t="s">
        <v>30</v>
      </c>
      <c r="K8105" t="str">
        <f>"27028"</f>
        <v>27028</v>
      </c>
      <c r="M8105" t="s">
        <v>17861</v>
      </c>
      <c r="N8105" t="str">
        <f>"2/16/2015 2:40:00 PM"</f>
        <v>2/16/2015 2:40:00 PM</v>
      </c>
      <c r="O8105" t="s">
        <v>24443</v>
      </c>
    </row>
    <row r="8106" spans="1:20" x14ac:dyDescent="0.25">
      <c r="A8106" t="str">
        <f>"3061774"</f>
        <v>3061774</v>
      </c>
      <c r="B8106" t="s">
        <v>24445</v>
      </c>
      <c r="C8106" t="str">
        <f>"8304054"</f>
        <v>8304054</v>
      </c>
      <c r="D8106" t="s">
        <v>24446</v>
      </c>
      <c r="E8106" t="s">
        <v>24447</v>
      </c>
      <c r="F8106" t="s">
        <v>24448</v>
      </c>
      <c r="I8106" t="s">
        <v>2071</v>
      </c>
      <c r="J8106" t="s">
        <v>30</v>
      </c>
      <c r="K8106" t="str">
        <f>"27006"</f>
        <v>27006</v>
      </c>
      <c r="M8106" t="s">
        <v>18479</v>
      </c>
      <c r="N8106" t="str">
        <f>"2/10/2015 1:47:00 PM"</f>
        <v>2/10/2015 1:47:00 PM</v>
      </c>
      <c r="O8106" t="s">
        <v>24446</v>
      </c>
      <c r="T8106" t="s">
        <v>24447</v>
      </c>
    </row>
    <row r="8107" spans="1:20" x14ac:dyDescent="0.25">
      <c r="A8107" t="str">
        <f>"3047688"</f>
        <v>3047688</v>
      </c>
      <c r="B8107" t="s">
        <v>24449</v>
      </c>
      <c r="C8107" t="str">
        <f>"8303587"</f>
        <v>8303587</v>
      </c>
      <c r="D8107" t="s">
        <v>24450</v>
      </c>
      <c r="F8107" t="s">
        <v>24451</v>
      </c>
      <c r="I8107" t="s">
        <v>471</v>
      </c>
      <c r="J8107" t="s">
        <v>30</v>
      </c>
      <c r="K8107" t="str">
        <f>"27103"</f>
        <v>27103</v>
      </c>
      <c r="M8107" t="s">
        <v>18479</v>
      </c>
      <c r="N8107" t="str">
        <f>"2/19/2015 9:11:00 AM"</f>
        <v>2/19/2015 9:11:00 AM</v>
      </c>
      <c r="O8107" t="s">
        <v>24450</v>
      </c>
    </row>
    <row r="8108" spans="1:20" x14ac:dyDescent="0.25">
      <c r="A8108" t="str">
        <f>"3047689"</f>
        <v>3047689</v>
      </c>
      <c r="B8108" t="s">
        <v>24452</v>
      </c>
      <c r="C8108" t="str">
        <f>"8303587"</f>
        <v>8303587</v>
      </c>
      <c r="D8108" t="s">
        <v>24450</v>
      </c>
      <c r="F8108" t="s">
        <v>24451</v>
      </c>
      <c r="I8108" t="s">
        <v>471</v>
      </c>
      <c r="J8108" t="s">
        <v>30</v>
      </c>
      <c r="K8108" t="str">
        <f>"27103"</f>
        <v>27103</v>
      </c>
      <c r="M8108" t="s">
        <v>18479</v>
      </c>
      <c r="N8108" t="str">
        <f>"2/19/2015 9:11:00 AM"</f>
        <v>2/19/2015 9:11:00 AM</v>
      </c>
      <c r="O8108" t="s">
        <v>24450</v>
      </c>
    </row>
    <row r="8109" spans="1:20" x14ac:dyDescent="0.25">
      <c r="A8109" t="str">
        <f>"3076697"</f>
        <v>3076697</v>
      </c>
      <c r="B8109" t="s">
        <v>24453</v>
      </c>
      <c r="C8109" t="str">
        <f>"11878030"</f>
        <v>11878030</v>
      </c>
      <c r="D8109" t="s">
        <v>24454</v>
      </c>
      <c r="E8109" t="s">
        <v>24455</v>
      </c>
      <c r="F8109" t="s">
        <v>24456</v>
      </c>
      <c r="I8109" t="s">
        <v>29</v>
      </c>
      <c r="J8109" t="s">
        <v>30</v>
      </c>
      <c r="K8109" t="s">
        <v>1374</v>
      </c>
      <c r="M8109" t="s">
        <v>18479</v>
      </c>
      <c r="N8109" t="str">
        <f>"2/19/2015 9:17:00 AM"</f>
        <v>2/19/2015 9:17:00 AM</v>
      </c>
      <c r="O8109" t="s">
        <v>24454</v>
      </c>
      <c r="T8109" t="s">
        <v>24455</v>
      </c>
    </row>
    <row r="8110" spans="1:20" x14ac:dyDescent="0.25">
      <c r="A8110" t="str">
        <f>"3046849"</f>
        <v>3046849</v>
      </c>
      <c r="B8110" t="s">
        <v>24457</v>
      </c>
      <c r="C8110" t="str">
        <f>"8533000"</f>
        <v>8533000</v>
      </c>
      <c r="D8110" t="s">
        <v>24458</v>
      </c>
      <c r="F8110" t="s">
        <v>24459</v>
      </c>
      <c r="I8110" t="s">
        <v>184</v>
      </c>
      <c r="J8110" t="s">
        <v>30</v>
      </c>
      <c r="K8110" t="s">
        <v>185</v>
      </c>
      <c r="M8110" t="s">
        <v>18479</v>
      </c>
      <c r="N8110" t="str">
        <f>"2/10/2015 2:41:00 PM"</f>
        <v>2/10/2015 2:41:00 PM</v>
      </c>
      <c r="O8110" t="s">
        <v>24458</v>
      </c>
    </row>
    <row r="8111" spans="1:20" x14ac:dyDescent="0.25">
      <c r="A8111" t="str">
        <f>"3050357"</f>
        <v>3050357</v>
      </c>
      <c r="B8111" t="s">
        <v>24460</v>
      </c>
      <c r="C8111" t="str">
        <f>"8303313"</f>
        <v>8303313</v>
      </c>
      <c r="D8111" t="s">
        <v>24461</v>
      </c>
      <c r="E8111" t="s">
        <v>24462</v>
      </c>
      <c r="F8111" t="s">
        <v>24463</v>
      </c>
      <c r="I8111" t="s">
        <v>184</v>
      </c>
      <c r="J8111" t="s">
        <v>30</v>
      </c>
      <c r="K8111" t="str">
        <f>"27006"</f>
        <v>27006</v>
      </c>
      <c r="M8111" t="s">
        <v>18479</v>
      </c>
      <c r="N8111" t="str">
        <f>"2/10/2015 4:03:00 PM"</f>
        <v>2/10/2015 4:03:00 PM</v>
      </c>
      <c r="O8111" t="s">
        <v>24461</v>
      </c>
      <c r="T8111" t="s">
        <v>24462</v>
      </c>
    </row>
    <row r="8112" spans="1:20" x14ac:dyDescent="0.25">
      <c r="A8112" t="str">
        <f>"3049598"</f>
        <v>3049598</v>
      </c>
      <c r="B8112" t="s">
        <v>24464</v>
      </c>
      <c r="C8112" t="str">
        <f>"8304312"</f>
        <v>8304312</v>
      </c>
      <c r="D8112" t="s">
        <v>24465</v>
      </c>
      <c r="F8112" t="s">
        <v>24466</v>
      </c>
      <c r="I8112" t="s">
        <v>29</v>
      </c>
      <c r="J8112" t="s">
        <v>30</v>
      </c>
      <c r="K8112" t="str">
        <f>"27028"</f>
        <v>27028</v>
      </c>
      <c r="M8112" t="s">
        <v>18479</v>
      </c>
      <c r="N8112" t="str">
        <f>"2/10/2015 4:11:00 PM"</f>
        <v>2/10/2015 4:11:00 PM</v>
      </c>
      <c r="O8112" t="s">
        <v>24465</v>
      </c>
    </row>
    <row r="8113" spans="1:20" x14ac:dyDescent="0.25">
      <c r="A8113" t="str">
        <f>"3050560"</f>
        <v>3050560</v>
      </c>
      <c r="B8113" t="s">
        <v>24467</v>
      </c>
      <c r="C8113" t="str">
        <f>"8304312"</f>
        <v>8304312</v>
      </c>
      <c r="D8113" t="s">
        <v>24465</v>
      </c>
      <c r="F8113" t="s">
        <v>24466</v>
      </c>
      <c r="I8113" t="s">
        <v>29</v>
      </c>
      <c r="J8113" t="s">
        <v>30</v>
      </c>
      <c r="K8113" t="str">
        <f>"27028"</f>
        <v>27028</v>
      </c>
      <c r="M8113" t="s">
        <v>18479</v>
      </c>
      <c r="N8113" t="str">
        <f>"2/10/2015 4:11:00 PM"</f>
        <v>2/10/2015 4:11:00 PM</v>
      </c>
      <c r="O8113" t="s">
        <v>24465</v>
      </c>
    </row>
    <row r="8114" spans="1:20" x14ac:dyDescent="0.25">
      <c r="A8114" t="str">
        <f>"3066032"</f>
        <v>3066032</v>
      </c>
      <c r="B8114" t="s">
        <v>24468</v>
      </c>
      <c r="C8114" t="str">
        <f>"8303534"</f>
        <v>8303534</v>
      </c>
      <c r="D8114" t="s">
        <v>24469</v>
      </c>
      <c r="E8114" t="s">
        <v>24470</v>
      </c>
      <c r="F8114" t="s">
        <v>24471</v>
      </c>
      <c r="I8114" t="s">
        <v>184</v>
      </c>
      <c r="J8114" t="s">
        <v>30</v>
      </c>
      <c r="K8114" t="str">
        <f>"27006"</f>
        <v>27006</v>
      </c>
      <c r="M8114" t="s">
        <v>18479</v>
      </c>
      <c r="N8114" t="str">
        <f>"2/11/2015 11:13:00 AM"</f>
        <v>2/11/2015 11:13:00 AM</v>
      </c>
      <c r="O8114" t="s">
        <v>24469</v>
      </c>
      <c r="T8114" t="s">
        <v>24470</v>
      </c>
    </row>
    <row r="8115" spans="1:20" x14ac:dyDescent="0.25">
      <c r="A8115" t="str">
        <f>"3054647"</f>
        <v>3054647</v>
      </c>
      <c r="B8115" t="s">
        <v>24472</v>
      </c>
      <c r="C8115" t="str">
        <f>"8304647"</f>
        <v>8304647</v>
      </c>
      <c r="D8115" t="s">
        <v>24473</v>
      </c>
      <c r="F8115" t="s">
        <v>24474</v>
      </c>
      <c r="I8115" t="s">
        <v>17921</v>
      </c>
      <c r="J8115" t="s">
        <v>30</v>
      </c>
      <c r="K8115" t="str">
        <f>"27028"</f>
        <v>27028</v>
      </c>
      <c r="M8115" t="s">
        <v>17861</v>
      </c>
      <c r="N8115" t="str">
        <f>"2/12/2015 10:06:00 AM"</f>
        <v>2/12/2015 10:06:00 AM</v>
      </c>
      <c r="O8115" t="s">
        <v>24473</v>
      </c>
    </row>
    <row r="8116" spans="1:20" x14ac:dyDescent="0.25">
      <c r="A8116" t="str">
        <f>"3053818"</f>
        <v>3053818</v>
      </c>
      <c r="B8116" t="s">
        <v>24475</v>
      </c>
      <c r="C8116" t="str">
        <f>"8304659"</f>
        <v>8304659</v>
      </c>
      <c r="D8116" t="s">
        <v>24476</v>
      </c>
      <c r="E8116" t="s">
        <v>24477</v>
      </c>
      <c r="F8116" t="s">
        <v>24478</v>
      </c>
      <c r="I8116" t="s">
        <v>17921</v>
      </c>
      <c r="J8116" t="s">
        <v>30</v>
      </c>
      <c r="K8116" t="str">
        <f>"27028"</f>
        <v>27028</v>
      </c>
      <c r="M8116" t="s">
        <v>17861</v>
      </c>
      <c r="N8116" t="str">
        <f>"2/12/2015 1:39:00 PM"</f>
        <v>2/12/2015 1:39:00 PM</v>
      </c>
      <c r="O8116" t="s">
        <v>24476</v>
      </c>
      <c r="T8116" t="s">
        <v>24477</v>
      </c>
    </row>
    <row r="8117" spans="1:20" x14ac:dyDescent="0.25">
      <c r="A8117" t="str">
        <f>"3045454"</f>
        <v>3045454</v>
      </c>
      <c r="B8117" t="s">
        <v>24479</v>
      </c>
      <c r="C8117" t="str">
        <f>"8304731"</f>
        <v>8304731</v>
      </c>
      <c r="D8117" t="s">
        <v>24480</v>
      </c>
      <c r="F8117" t="s">
        <v>24481</v>
      </c>
      <c r="I8117" t="s">
        <v>17921</v>
      </c>
      <c r="J8117" t="s">
        <v>30</v>
      </c>
      <c r="K8117" t="str">
        <f>"27028"</f>
        <v>27028</v>
      </c>
      <c r="M8117" t="s">
        <v>17861</v>
      </c>
      <c r="N8117" t="str">
        <f>"2/20/2015 1:31:00 PM"</f>
        <v>2/20/2015 1:31:00 PM</v>
      </c>
      <c r="O8117" t="s">
        <v>24480</v>
      </c>
    </row>
    <row r="8118" spans="1:20" x14ac:dyDescent="0.25">
      <c r="A8118" t="str">
        <f>"3051214"</f>
        <v>3051214</v>
      </c>
      <c r="B8118" t="s">
        <v>24482</v>
      </c>
      <c r="C8118" t="str">
        <f>"8304736"</f>
        <v>8304736</v>
      </c>
      <c r="D8118" t="s">
        <v>24483</v>
      </c>
      <c r="F8118" t="s">
        <v>24484</v>
      </c>
      <c r="I8118" t="s">
        <v>6841</v>
      </c>
      <c r="J8118" t="s">
        <v>30</v>
      </c>
      <c r="K8118" t="str">
        <f>"28660"</f>
        <v>28660</v>
      </c>
      <c r="M8118" t="s">
        <v>17861</v>
      </c>
      <c r="N8118" t="str">
        <f>"2/20/2015 1:52:00 PM"</f>
        <v>2/20/2015 1:52:00 PM</v>
      </c>
      <c r="O8118" t="s">
        <v>24483</v>
      </c>
    </row>
    <row r="8119" spans="1:20" x14ac:dyDescent="0.25">
      <c r="A8119" t="str">
        <f>"3051215"</f>
        <v>3051215</v>
      </c>
      <c r="B8119" t="s">
        <v>24485</v>
      </c>
      <c r="C8119" t="str">
        <f>"8304736"</f>
        <v>8304736</v>
      </c>
      <c r="D8119" t="s">
        <v>24483</v>
      </c>
      <c r="F8119" t="s">
        <v>24484</v>
      </c>
      <c r="I8119" t="s">
        <v>6841</v>
      </c>
      <c r="J8119" t="s">
        <v>30</v>
      </c>
      <c r="K8119" t="str">
        <f>"28660"</f>
        <v>28660</v>
      </c>
      <c r="M8119" t="s">
        <v>17861</v>
      </c>
      <c r="N8119" t="str">
        <f>"2/20/2015 1:52:00 PM"</f>
        <v>2/20/2015 1:52:00 PM</v>
      </c>
      <c r="O8119" t="s">
        <v>24483</v>
      </c>
    </row>
    <row r="8120" spans="1:20" x14ac:dyDescent="0.25">
      <c r="A8120" t="str">
        <f>"3051181"</f>
        <v>3051181</v>
      </c>
      <c r="B8120" t="s">
        <v>24486</v>
      </c>
      <c r="C8120" t="str">
        <f>"8304736"</f>
        <v>8304736</v>
      </c>
      <c r="D8120" t="s">
        <v>24483</v>
      </c>
      <c r="F8120" t="s">
        <v>24484</v>
      </c>
      <c r="I8120" t="s">
        <v>6841</v>
      </c>
      <c r="J8120" t="s">
        <v>30</v>
      </c>
      <c r="K8120" t="str">
        <f>"28660"</f>
        <v>28660</v>
      </c>
      <c r="M8120" t="s">
        <v>17861</v>
      </c>
      <c r="N8120" t="str">
        <f>"2/20/2015 1:52:00 PM"</f>
        <v>2/20/2015 1:52:00 PM</v>
      </c>
      <c r="O8120" t="s">
        <v>24483</v>
      </c>
    </row>
    <row r="8121" spans="1:20" x14ac:dyDescent="0.25">
      <c r="A8121" t="str">
        <f>"3053947"</f>
        <v>3053947</v>
      </c>
      <c r="B8121" t="s">
        <v>24487</v>
      </c>
      <c r="C8121" t="str">
        <f>"8304736"</f>
        <v>8304736</v>
      </c>
      <c r="D8121" t="s">
        <v>24483</v>
      </c>
      <c r="F8121" t="s">
        <v>24484</v>
      </c>
      <c r="I8121" t="s">
        <v>6841</v>
      </c>
      <c r="J8121" t="s">
        <v>30</v>
      </c>
      <c r="K8121" t="str">
        <f>"28660"</f>
        <v>28660</v>
      </c>
      <c r="M8121" t="s">
        <v>17861</v>
      </c>
      <c r="N8121" t="str">
        <f>"2/20/2015 1:52:00 PM"</f>
        <v>2/20/2015 1:52:00 PM</v>
      </c>
      <c r="O8121" t="s">
        <v>24483</v>
      </c>
    </row>
    <row r="8122" spans="1:20" x14ac:dyDescent="0.25">
      <c r="A8122" t="str">
        <f>"3048829"</f>
        <v>3048829</v>
      </c>
      <c r="B8122" t="s">
        <v>24488</v>
      </c>
      <c r="C8122" t="str">
        <f>"8304737"</f>
        <v>8304737</v>
      </c>
      <c r="D8122" t="s">
        <v>24489</v>
      </c>
      <c r="E8122" t="s">
        <v>24490</v>
      </c>
      <c r="F8122" t="s">
        <v>24491</v>
      </c>
      <c r="I8122" t="s">
        <v>17921</v>
      </c>
      <c r="J8122" t="s">
        <v>30</v>
      </c>
      <c r="K8122" t="str">
        <f>"27028"</f>
        <v>27028</v>
      </c>
      <c r="M8122" t="s">
        <v>17861</v>
      </c>
      <c r="N8122" t="str">
        <f>"2/20/2015 3:48:00 PM"</f>
        <v>2/20/2015 3:48:00 PM</v>
      </c>
      <c r="O8122" t="s">
        <v>24489</v>
      </c>
      <c r="T8122" t="s">
        <v>24490</v>
      </c>
    </row>
    <row r="8123" spans="1:20" x14ac:dyDescent="0.25">
      <c r="A8123" t="str">
        <f>"3069515"</f>
        <v>3069515</v>
      </c>
      <c r="B8123" t="s">
        <v>24492</v>
      </c>
      <c r="C8123" t="str">
        <f>"82515755"</f>
        <v>82515755</v>
      </c>
      <c r="D8123" t="s">
        <v>24493</v>
      </c>
      <c r="E8123" t="s">
        <v>24494</v>
      </c>
      <c r="F8123" t="s">
        <v>24495</v>
      </c>
      <c r="I8123" t="s">
        <v>184</v>
      </c>
      <c r="J8123" t="s">
        <v>30</v>
      </c>
      <c r="K8123" t="s">
        <v>7603</v>
      </c>
      <c r="M8123" t="s">
        <v>18479</v>
      </c>
      <c r="N8123" t="str">
        <f>"2/12/2015 4:21:00 PM"</f>
        <v>2/12/2015 4:21:00 PM</v>
      </c>
      <c r="O8123" t="s">
        <v>24493</v>
      </c>
      <c r="T8123" t="s">
        <v>24494</v>
      </c>
    </row>
    <row r="8124" spans="1:20" x14ac:dyDescent="0.25">
      <c r="A8124" t="str">
        <f>"3038403"</f>
        <v>3038403</v>
      </c>
      <c r="B8124" t="s">
        <v>24496</v>
      </c>
      <c r="C8124" t="str">
        <f>"8301853"</f>
        <v>8301853</v>
      </c>
      <c r="D8124" t="s">
        <v>24497</v>
      </c>
      <c r="E8124" t="s">
        <v>24498</v>
      </c>
      <c r="G8124" t="s">
        <v>24499</v>
      </c>
      <c r="I8124" t="s">
        <v>29</v>
      </c>
      <c r="J8124" t="s">
        <v>30</v>
      </c>
      <c r="K8124" t="str">
        <f>"27028"</f>
        <v>27028</v>
      </c>
      <c r="M8124" t="s">
        <v>24500</v>
      </c>
      <c r="N8124" t="str">
        <f>"2/3/2015 1:55:00 PM"</f>
        <v>2/3/2015 1:55:00 PM</v>
      </c>
      <c r="O8124" t="s">
        <v>24497</v>
      </c>
      <c r="T8124" t="s">
        <v>24498</v>
      </c>
    </row>
    <row r="8125" spans="1:20" x14ac:dyDescent="0.25">
      <c r="A8125" t="str">
        <f>"3045930"</f>
        <v>3045930</v>
      </c>
      <c r="B8125" t="s">
        <v>24501</v>
      </c>
      <c r="C8125" t="str">
        <f>"56058000"</f>
        <v>56058000</v>
      </c>
      <c r="D8125" t="s">
        <v>24502</v>
      </c>
      <c r="F8125" t="s">
        <v>24503</v>
      </c>
      <c r="I8125" t="s">
        <v>20610</v>
      </c>
      <c r="J8125" t="s">
        <v>30</v>
      </c>
      <c r="K8125" t="s">
        <v>24504</v>
      </c>
      <c r="M8125" t="s">
        <v>23082</v>
      </c>
      <c r="N8125" t="str">
        <f>"2/4/2015 10:46:00 AM"</f>
        <v>2/4/2015 10:46:00 AM</v>
      </c>
      <c r="O8125" t="s">
        <v>24502</v>
      </c>
    </row>
    <row r="8126" spans="1:20" x14ac:dyDescent="0.25">
      <c r="A8126" t="str">
        <f>"3065588"</f>
        <v>3065588</v>
      </c>
      <c r="B8126" t="s">
        <v>24505</v>
      </c>
      <c r="C8126" t="str">
        <f>"2776000"</f>
        <v>2776000</v>
      </c>
      <c r="D8126" t="s">
        <v>24506</v>
      </c>
      <c r="E8126" t="s">
        <v>24507</v>
      </c>
      <c r="F8126" t="s">
        <v>24508</v>
      </c>
      <c r="I8126" t="s">
        <v>184</v>
      </c>
      <c r="J8126" t="s">
        <v>30</v>
      </c>
      <c r="K8126" t="s">
        <v>185</v>
      </c>
      <c r="M8126" t="s">
        <v>23082</v>
      </c>
      <c r="N8126" t="str">
        <f>"2/23/2015 11:01:00 AM"</f>
        <v>2/23/2015 11:01:00 AM</v>
      </c>
      <c r="O8126" t="s">
        <v>24506</v>
      </c>
      <c r="T8126" t="s">
        <v>24507</v>
      </c>
    </row>
    <row r="8127" spans="1:20" x14ac:dyDescent="0.25">
      <c r="A8127" t="str">
        <f>"3042796"</f>
        <v>3042796</v>
      </c>
      <c r="B8127" t="s">
        <v>24509</v>
      </c>
      <c r="C8127" t="str">
        <f>"82531340"</f>
        <v>82531340</v>
      </c>
      <c r="D8127" t="s">
        <v>24510</v>
      </c>
      <c r="F8127" t="s">
        <v>24511</v>
      </c>
      <c r="I8127" t="s">
        <v>29</v>
      </c>
      <c r="J8127" t="s">
        <v>30</v>
      </c>
      <c r="K8127" t="s">
        <v>31</v>
      </c>
      <c r="M8127" t="s">
        <v>23082</v>
      </c>
      <c r="N8127" t="str">
        <f>"2/23/2015 11:08:00 AM"</f>
        <v>2/23/2015 11:08:00 AM</v>
      </c>
      <c r="O8127" t="s">
        <v>24510</v>
      </c>
    </row>
    <row r="8128" spans="1:20" x14ac:dyDescent="0.25">
      <c r="A8128" t="str">
        <f>"3060333"</f>
        <v>3060333</v>
      </c>
      <c r="B8128" t="s">
        <v>24512</v>
      </c>
      <c r="C8128" t="str">
        <f>"3954000"</f>
        <v>3954000</v>
      </c>
      <c r="D8128" t="s">
        <v>24513</v>
      </c>
      <c r="E8128" t="s">
        <v>24514</v>
      </c>
      <c r="F8128" t="s">
        <v>24515</v>
      </c>
      <c r="I8128" t="s">
        <v>29</v>
      </c>
      <c r="J8128" t="s">
        <v>30</v>
      </c>
      <c r="K8128" t="s">
        <v>31</v>
      </c>
      <c r="M8128" t="s">
        <v>23082</v>
      </c>
      <c r="N8128" t="str">
        <f>"2/23/2015 11:08:00 AM"</f>
        <v>2/23/2015 11:08:00 AM</v>
      </c>
      <c r="O8128" t="s">
        <v>24513</v>
      </c>
      <c r="T8128" t="s">
        <v>24514</v>
      </c>
    </row>
    <row r="8129" spans="1:20" x14ac:dyDescent="0.25">
      <c r="A8129" t="str">
        <f>"3060682"</f>
        <v>3060682</v>
      </c>
      <c r="B8129" t="s">
        <v>24516</v>
      </c>
      <c r="C8129" t="str">
        <f>"5146500"</f>
        <v>5146500</v>
      </c>
      <c r="D8129" t="s">
        <v>24517</v>
      </c>
      <c r="E8129" t="s">
        <v>24518</v>
      </c>
      <c r="F8129" t="s">
        <v>24519</v>
      </c>
      <c r="I8129" t="s">
        <v>2071</v>
      </c>
      <c r="J8129" t="s">
        <v>30</v>
      </c>
      <c r="K8129" t="s">
        <v>6459</v>
      </c>
      <c r="M8129" t="s">
        <v>23082</v>
      </c>
      <c r="N8129" t="str">
        <f>"2/23/2015 11:27:00 AM"</f>
        <v>2/23/2015 11:27:00 AM</v>
      </c>
      <c r="O8129" t="s">
        <v>24517</v>
      </c>
      <c r="T8129" t="s">
        <v>24518</v>
      </c>
    </row>
    <row r="8130" spans="1:20" x14ac:dyDescent="0.25">
      <c r="A8130" t="str">
        <f>"3049454"</f>
        <v>3049454</v>
      </c>
      <c r="B8130" t="s">
        <v>24520</v>
      </c>
      <c r="C8130" t="str">
        <f>"5198000"</f>
        <v>5198000</v>
      </c>
      <c r="D8130" t="s">
        <v>24521</v>
      </c>
      <c r="F8130" t="s">
        <v>24522</v>
      </c>
      <c r="I8130" t="s">
        <v>29</v>
      </c>
      <c r="J8130" t="s">
        <v>30</v>
      </c>
      <c r="K8130" t="s">
        <v>31</v>
      </c>
      <c r="M8130" t="s">
        <v>23082</v>
      </c>
      <c r="N8130" t="str">
        <f>"2/23/2015 11:42:00 AM"</f>
        <v>2/23/2015 11:42:00 AM</v>
      </c>
      <c r="O8130" t="s">
        <v>24521</v>
      </c>
    </row>
    <row r="8131" spans="1:20" x14ac:dyDescent="0.25">
      <c r="A8131" t="str">
        <f>"3059700"</f>
        <v>3059700</v>
      </c>
      <c r="B8131" t="s">
        <v>24523</v>
      </c>
      <c r="C8131" t="str">
        <f>"8304052"</f>
        <v>8304052</v>
      </c>
      <c r="D8131" t="s">
        <v>24524</v>
      </c>
      <c r="E8131" t="s">
        <v>24525</v>
      </c>
      <c r="F8131" t="s">
        <v>24526</v>
      </c>
      <c r="I8131" t="s">
        <v>29</v>
      </c>
      <c r="J8131" t="s">
        <v>30</v>
      </c>
      <c r="K8131" t="str">
        <f>"27028"</f>
        <v>27028</v>
      </c>
      <c r="M8131" t="s">
        <v>18479</v>
      </c>
      <c r="N8131" t="str">
        <f>"2/4/2015 11:13:00 AM"</f>
        <v>2/4/2015 11:13:00 AM</v>
      </c>
      <c r="O8131" t="s">
        <v>24524</v>
      </c>
      <c r="T8131" t="s">
        <v>24525</v>
      </c>
    </row>
    <row r="8132" spans="1:20" x14ac:dyDescent="0.25">
      <c r="A8132" t="str">
        <f>"3039669"</f>
        <v>3039669</v>
      </c>
      <c r="B8132" t="s">
        <v>24527</v>
      </c>
      <c r="C8132" t="str">
        <f>"13510000"</f>
        <v>13510000</v>
      </c>
      <c r="D8132" t="s">
        <v>24528</v>
      </c>
      <c r="F8132" t="s">
        <v>24529</v>
      </c>
      <c r="I8132" t="s">
        <v>184</v>
      </c>
      <c r="J8132" t="s">
        <v>30</v>
      </c>
      <c r="K8132" t="s">
        <v>24530</v>
      </c>
      <c r="M8132" t="s">
        <v>18432</v>
      </c>
      <c r="N8132" t="str">
        <f>"2/5/2015 9:41:00 AM"</f>
        <v>2/5/2015 9:41:00 AM</v>
      </c>
      <c r="O8132" t="s">
        <v>24528</v>
      </c>
    </row>
    <row r="8133" spans="1:20" x14ac:dyDescent="0.25">
      <c r="A8133" t="str">
        <f>"3059136"</f>
        <v>3059136</v>
      </c>
      <c r="B8133" t="s">
        <v>24531</v>
      </c>
      <c r="C8133" t="str">
        <f>"9599250"</f>
        <v>9599250</v>
      </c>
      <c r="D8133" t="s">
        <v>24532</v>
      </c>
      <c r="E8133" t="s">
        <v>24533</v>
      </c>
      <c r="F8133" t="s">
        <v>24534</v>
      </c>
      <c r="I8133" t="s">
        <v>29</v>
      </c>
      <c r="J8133" t="s">
        <v>30</v>
      </c>
      <c r="K8133" t="s">
        <v>31</v>
      </c>
      <c r="M8133" t="s">
        <v>23082</v>
      </c>
      <c r="N8133" t="str">
        <f>"2/23/2015 1:32:00 PM"</f>
        <v>2/23/2015 1:32:00 PM</v>
      </c>
      <c r="O8133" t="s">
        <v>24532</v>
      </c>
      <c r="T8133" t="s">
        <v>24533</v>
      </c>
    </row>
    <row r="8134" spans="1:20" x14ac:dyDescent="0.25">
      <c r="A8134" t="str">
        <f>"3050734"</f>
        <v>3050734</v>
      </c>
      <c r="B8134" t="s">
        <v>24535</v>
      </c>
      <c r="C8134" t="str">
        <f>"82531609"</f>
        <v>82531609</v>
      </c>
      <c r="D8134" t="s">
        <v>24536</v>
      </c>
      <c r="E8134" t="s">
        <v>24537</v>
      </c>
      <c r="F8134" t="s">
        <v>20014</v>
      </c>
      <c r="I8134" t="s">
        <v>184</v>
      </c>
      <c r="J8134" t="s">
        <v>30</v>
      </c>
      <c r="K8134" t="s">
        <v>185</v>
      </c>
      <c r="M8134" t="s">
        <v>23082</v>
      </c>
      <c r="N8134" t="str">
        <f>"2/23/2015 1:37:00 PM"</f>
        <v>2/23/2015 1:37:00 PM</v>
      </c>
      <c r="O8134" t="s">
        <v>24536</v>
      </c>
      <c r="T8134" t="s">
        <v>24537</v>
      </c>
    </row>
    <row r="8135" spans="1:20" x14ac:dyDescent="0.25">
      <c r="A8135" t="str">
        <f>"3053017"</f>
        <v>3053017</v>
      </c>
      <c r="B8135" t="s">
        <v>24538</v>
      </c>
      <c r="C8135" t="str">
        <f>"9861000"</f>
        <v>9861000</v>
      </c>
      <c r="D8135" t="s">
        <v>24539</v>
      </c>
      <c r="E8135" t="s">
        <v>24540</v>
      </c>
      <c r="F8135" t="s">
        <v>24541</v>
      </c>
      <c r="I8135" t="s">
        <v>29</v>
      </c>
      <c r="J8135" t="s">
        <v>30</v>
      </c>
      <c r="K8135" t="s">
        <v>31</v>
      </c>
      <c r="M8135" t="s">
        <v>23082</v>
      </c>
      <c r="N8135" t="str">
        <f>"2/23/2015 1:41:00 PM"</f>
        <v>2/23/2015 1:41:00 PM</v>
      </c>
      <c r="O8135" t="s">
        <v>24539</v>
      </c>
      <c r="T8135" t="s">
        <v>24540</v>
      </c>
    </row>
    <row r="8136" spans="1:20" x14ac:dyDescent="0.25">
      <c r="A8136" t="str">
        <f>"3053119"</f>
        <v>3053119</v>
      </c>
      <c r="B8136" t="s">
        <v>24542</v>
      </c>
      <c r="C8136" t="str">
        <f>"9861000"</f>
        <v>9861000</v>
      </c>
      <c r="D8136" t="s">
        <v>24539</v>
      </c>
      <c r="E8136" t="s">
        <v>24540</v>
      </c>
      <c r="F8136" t="s">
        <v>24541</v>
      </c>
      <c r="I8136" t="s">
        <v>29</v>
      </c>
      <c r="J8136" t="s">
        <v>30</v>
      </c>
      <c r="K8136" t="s">
        <v>31</v>
      </c>
      <c r="M8136" t="s">
        <v>23082</v>
      </c>
      <c r="N8136" t="str">
        <f>"2/23/2015 1:41:00 PM"</f>
        <v>2/23/2015 1:41:00 PM</v>
      </c>
      <c r="O8136" t="s">
        <v>24539</v>
      </c>
      <c r="T8136" t="s">
        <v>24540</v>
      </c>
    </row>
    <row r="8137" spans="1:20" x14ac:dyDescent="0.25">
      <c r="A8137" t="str">
        <f>"3053062"</f>
        <v>3053062</v>
      </c>
      <c r="B8137" t="s">
        <v>24543</v>
      </c>
      <c r="C8137" t="str">
        <f>"9861000"</f>
        <v>9861000</v>
      </c>
      <c r="D8137" t="s">
        <v>24539</v>
      </c>
      <c r="E8137" t="s">
        <v>24540</v>
      </c>
      <c r="F8137" t="s">
        <v>24541</v>
      </c>
      <c r="I8137" t="s">
        <v>29</v>
      </c>
      <c r="J8137" t="s">
        <v>30</v>
      </c>
      <c r="K8137" t="s">
        <v>31</v>
      </c>
      <c r="M8137" t="s">
        <v>23082</v>
      </c>
      <c r="N8137" t="str">
        <f>"2/23/2015 1:41:00 PM"</f>
        <v>2/23/2015 1:41:00 PM</v>
      </c>
      <c r="O8137" t="s">
        <v>24539</v>
      </c>
      <c r="T8137" t="s">
        <v>24540</v>
      </c>
    </row>
    <row r="8138" spans="1:20" x14ac:dyDescent="0.25">
      <c r="A8138" t="str">
        <f>"3069981"</f>
        <v>3069981</v>
      </c>
      <c r="B8138" t="s">
        <v>24544</v>
      </c>
      <c r="C8138" t="str">
        <f>"82518389"</f>
        <v>82518389</v>
      </c>
      <c r="D8138" t="s">
        <v>24545</v>
      </c>
      <c r="F8138" t="s">
        <v>24546</v>
      </c>
      <c r="I8138" t="s">
        <v>29</v>
      </c>
      <c r="J8138" t="s">
        <v>30</v>
      </c>
      <c r="K8138" t="s">
        <v>2677</v>
      </c>
      <c r="M8138" t="s">
        <v>23082</v>
      </c>
      <c r="N8138" t="str">
        <f>"2/23/2015 2:10:00 PM"</f>
        <v>2/23/2015 2:10:00 PM</v>
      </c>
      <c r="O8138" t="s">
        <v>24545</v>
      </c>
    </row>
    <row r="8139" spans="1:20" x14ac:dyDescent="0.25">
      <c r="A8139" t="str">
        <f>"3044538"</f>
        <v>3044538</v>
      </c>
      <c r="B8139" t="s">
        <v>24547</v>
      </c>
      <c r="C8139" t="str">
        <f>"8304674"</f>
        <v>8304674</v>
      </c>
      <c r="D8139" t="s">
        <v>24548</v>
      </c>
      <c r="F8139" t="s">
        <v>24549</v>
      </c>
      <c r="I8139" t="s">
        <v>24359</v>
      </c>
      <c r="J8139" t="s">
        <v>30</v>
      </c>
      <c r="K8139" t="str">
        <f>"27006"</f>
        <v>27006</v>
      </c>
      <c r="M8139" t="s">
        <v>17861</v>
      </c>
      <c r="N8139" t="str">
        <f>"2/13/2015 10:26:00 AM"</f>
        <v>2/13/2015 10:26:00 AM</v>
      </c>
      <c r="O8139" t="s">
        <v>24548</v>
      </c>
    </row>
    <row r="8140" spans="1:20" x14ac:dyDescent="0.25">
      <c r="A8140" t="str">
        <f>"3055048"</f>
        <v>3055048</v>
      </c>
      <c r="B8140" t="s">
        <v>24550</v>
      </c>
      <c r="C8140" t="str">
        <f>"13806280"</f>
        <v>13806280</v>
      </c>
      <c r="D8140" t="s">
        <v>24551</v>
      </c>
      <c r="E8140" t="s">
        <v>24552</v>
      </c>
      <c r="F8140" t="s">
        <v>24553</v>
      </c>
      <c r="I8140" t="s">
        <v>29</v>
      </c>
      <c r="J8140" t="s">
        <v>30</v>
      </c>
      <c r="K8140" t="s">
        <v>31</v>
      </c>
      <c r="M8140" t="s">
        <v>23082</v>
      </c>
      <c r="N8140" t="str">
        <f>"2/23/2015 2:26:00 PM"</f>
        <v>2/23/2015 2:26:00 PM</v>
      </c>
      <c r="O8140" t="s">
        <v>24551</v>
      </c>
      <c r="T8140" t="s">
        <v>24552</v>
      </c>
    </row>
    <row r="8141" spans="1:20" x14ac:dyDescent="0.25">
      <c r="A8141" t="str">
        <f>"3059318"</f>
        <v>3059318</v>
      </c>
      <c r="B8141" t="s">
        <v>24554</v>
      </c>
      <c r="C8141" t="str">
        <f>"45102500"</f>
        <v>45102500</v>
      </c>
      <c r="D8141" t="s">
        <v>24555</v>
      </c>
      <c r="F8141" t="str">
        <f>"C/O SARAH S COOK"</f>
        <v>C/O SARAH S COOK</v>
      </c>
      <c r="G8141" t="s">
        <v>24556</v>
      </c>
      <c r="I8141" t="s">
        <v>29</v>
      </c>
      <c r="J8141" t="s">
        <v>30</v>
      </c>
      <c r="K8141" t="s">
        <v>31</v>
      </c>
      <c r="M8141" t="s">
        <v>23082</v>
      </c>
      <c r="N8141" t="str">
        <f>"2/23/2015 3:04:00 PM"</f>
        <v>2/23/2015 3:04:00 PM</v>
      </c>
      <c r="O8141" t="s">
        <v>24555</v>
      </c>
    </row>
    <row r="8142" spans="1:20" x14ac:dyDescent="0.25">
      <c r="A8142" t="str">
        <f>"3046835"</f>
        <v>3046835</v>
      </c>
      <c r="B8142" t="s">
        <v>24557</v>
      </c>
      <c r="C8142" t="str">
        <f>"17078620"</f>
        <v>17078620</v>
      </c>
      <c r="D8142" t="s">
        <v>24558</v>
      </c>
      <c r="E8142" t="s">
        <v>24559</v>
      </c>
      <c r="F8142" t="s">
        <v>24560</v>
      </c>
      <c r="I8142" t="s">
        <v>29</v>
      </c>
      <c r="J8142" t="s">
        <v>30</v>
      </c>
      <c r="K8142" t="s">
        <v>31</v>
      </c>
      <c r="M8142" t="s">
        <v>23082</v>
      </c>
      <c r="N8142" t="str">
        <f>"2/23/2015 3:08:00 PM"</f>
        <v>2/23/2015 3:08:00 PM</v>
      </c>
      <c r="O8142" t="s">
        <v>24558</v>
      </c>
      <c r="T8142" t="s">
        <v>24559</v>
      </c>
    </row>
    <row r="8143" spans="1:20" x14ac:dyDescent="0.25">
      <c r="A8143" t="str">
        <f>"3046724"</f>
        <v>3046724</v>
      </c>
      <c r="B8143" t="s">
        <v>24561</v>
      </c>
      <c r="C8143" t="str">
        <f>"17078620"</f>
        <v>17078620</v>
      </c>
      <c r="D8143" t="s">
        <v>24558</v>
      </c>
      <c r="E8143" t="s">
        <v>24559</v>
      </c>
      <c r="F8143" t="s">
        <v>24560</v>
      </c>
      <c r="I8143" t="s">
        <v>29</v>
      </c>
      <c r="J8143" t="s">
        <v>30</v>
      </c>
      <c r="K8143" t="s">
        <v>31</v>
      </c>
      <c r="M8143" t="s">
        <v>23082</v>
      </c>
      <c r="N8143" t="str">
        <f>"2/23/2015 3:08:00 PM"</f>
        <v>2/23/2015 3:08:00 PM</v>
      </c>
      <c r="O8143" t="s">
        <v>24558</v>
      </c>
      <c r="T8143" t="s">
        <v>24559</v>
      </c>
    </row>
    <row r="8144" spans="1:20" x14ac:dyDescent="0.25">
      <c r="A8144" t="str">
        <f>"3040644"</f>
        <v>3040644</v>
      </c>
      <c r="B8144" t="s">
        <v>24562</v>
      </c>
      <c r="C8144" t="str">
        <f>"8302969"</f>
        <v>8302969</v>
      </c>
      <c r="D8144" t="s">
        <v>24563</v>
      </c>
      <c r="E8144" t="s">
        <v>24564</v>
      </c>
      <c r="F8144" t="s">
        <v>24565</v>
      </c>
      <c r="I8144" t="s">
        <v>184</v>
      </c>
      <c r="J8144" t="s">
        <v>30</v>
      </c>
      <c r="K8144" t="str">
        <f>"27006"</f>
        <v>27006</v>
      </c>
      <c r="M8144" t="s">
        <v>23082</v>
      </c>
      <c r="N8144" t="str">
        <f>"2/23/2015 3:09:00 PM"</f>
        <v>2/23/2015 3:09:00 PM</v>
      </c>
      <c r="O8144" t="s">
        <v>24563</v>
      </c>
      <c r="T8144" t="s">
        <v>24564</v>
      </c>
    </row>
    <row r="8145" spans="1:20" x14ac:dyDescent="0.25">
      <c r="A8145" t="str">
        <f>"3047154"</f>
        <v>3047154</v>
      </c>
      <c r="B8145" t="s">
        <v>24566</v>
      </c>
      <c r="C8145" t="str">
        <f>"82518052"</f>
        <v>82518052</v>
      </c>
      <c r="D8145" t="s">
        <v>24567</v>
      </c>
      <c r="E8145" t="s">
        <v>24568</v>
      </c>
      <c r="F8145" t="s">
        <v>24569</v>
      </c>
      <c r="I8145" t="s">
        <v>29</v>
      </c>
      <c r="J8145" t="s">
        <v>30</v>
      </c>
      <c r="K8145" t="s">
        <v>31</v>
      </c>
      <c r="M8145" t="s">
        <v>23082</v>
      </c>
      <c r="N8145" t="str">
        <f>"2/23/2015 3:11:00 PM"</f>
        <v>2/23/2015 3:11:00 PM</v>
      </c>
      <c r="O8145" t="s">
        <v>24567</v>
      </c>
      <c r="T8145" t="s">
        <v>24568</v>
      </c>
    </row>
    <row r="8146" spans="1:20" x14ac:dyDescent="0.25">
      <c r="A8146" t="str">
        <f>"3055027"</f>
        <v>3055027</v>
      </c>
      <c r="B8146" t="s">
        <v>24570</v>
      </c>
      <c r="C8146" t="str">
        <f>"18137250"</f>
        <v>18137250</v>
      </c>
      <c r="D8146" t="s">
        <v>24571</v>
      </c>
      <c r="E8146" t="s">
        <v>24572</v>
      </c>
      <c r="F8146" t="s">
        <v>24573</v>
      </c>
      <c r="I8146" t="s">
        <v>29</v>
      </c>
      <c r="J8146" t="s">
        <v>30</v>
      </c>
      <c r="K8146" t="s">
        <v>31</v>
      </c>
      <c r="M8146" t="s">
        <v>23082</v>
      </c>
      <c r="N8146" t="str">
        <f>"2/23/2015 3:18:00 PM"</f>
        <v>2/23/2015 3:18:00 PM</v>
      </c>
      <c r="O8146" t="s">
        <v>24571</v>
      </c>
      <c r="T8146" t="s">
        <v>24572</v>
      </c>
    </row>
    <row r="8147" spans="1:20" x14ac:dyDescent="0.25">
      <c r="A8147" t="str">
        <f>"3054840"</f>
        <v>3054840</v>
      </c>
      <c r="B8147" t="s">
        <v>24574</v>
      </c>
      <c r="C8147" t="str">
        <f>"18137250"</f>
        <v>18137250</v>
      </c>
      <c r="D8147" t="s">
        <v>24571</v>
      </c>
      <c r="E8147" t="s">
        <v>24572</v>
      </c>
      <c r="F8147" t="s">
        <v>24573</v>
      </c>
      <c r="I8147" t="s">
        <v>29</v>
      </c>
      <c r="J8147" t="s">
        <v>30</v>
      </c>
      <c r="K8147" t="s">
        <v>31</v>
      </c>
      <c r="M8147" t="s">
        <v>23082</v>
      </c>
      <c r="N8147" t="str">
        <f>"2/23/2015 3:18:00 PM"</f>
        <v>2/23/2015 3:18:00 PM</v>
      </c>
      <c r="O8147" t="s">
        <v>24571</v>
      </c>
      <c r="T8147" t="s">
        <v>24572</v>
      </c>
    </row>
    <row r="8148" spans="1:20" x14ac:dyDescent="0.25">
      <c r="A8148" t="str">
        <f>"3055241"</f>
        <v>3055241</v>
      </c>
      <c r="B8148" t="s">
        <v>24575</v>
      </c>
      <c r="C8148" t="str">
        <f>"82514050"</f>
        <v>82514050</v>
      </c>
      <c r="D8148" t="s">
        <v>24576</v>
      </c>
      <c r="F8148" t="s">
        <v>24577</v>
      </c>
      <c r="I8148" t="s">
        <v>29</v>
      </c>
      <c r="J8148" t="s">
        <v>30</v>
      </c>
      <c r="K8148" t="s">
        <v>15618</v>
      </c>
      <c r="M8148" t="s">
        <v>23082</v>
      </c>
      <c r="N8148" t="str">
        <f>"2/23/2015 3:46:00 PM"</f>
        <v>2/23/2015 3:46:00 PM</v>
      </c>
      <c r="O8148" t="s">
        <v>24576</v>
      </c>
      <c r="T8148" t="s">
        <v>24576</v>
      </c>
    </row>
    <row r="8149" spans="1:20" x14ac:dyDescent="0.25">
      <c r="A8149" t="str">
        <f>"3054778"</f>
        <v>3054778</v>
      </c>
      <c r="B8149" t="s">
        <v>24578</v>
      </c>
      <c r="C8149" t="str">
        <f>"82521846"</f>
        <v>82521846</v>
      </c>
      <c r="D8149" t="s">
        <v>24579</v>
      </c>
      <c r="E8149" t="s">
        <v>24580</v>
      </c>
      <c r="F8149" t="s">
        <v>24577</v>
      </c>
      <c r="I8149" t="s">
        <v>29</v>
      </c>
      <c r="J8149" t="s">
        <v>30</v>
      </c>
      <c r="K8149" t="s">
        <v>31</v>
      </c>
      <c r="M8149" t="s">
        <v>23082</v>
      </c>
      <c r="N8149" t="str">
        <f>"2/23/2015 3:46:00 PM"</f>
        <v>2/23/2015 3:46:00 PM</v>
      </c>
      <c r="O8149" t="s">
        <v>24579</v>
      </c>
      <c r="T8149" t="s">
        <v>24580</v>
      </c>
    </row>
    <row r="8150" spans="1:20" x14ac:dyDescent="0.25">
      <c r="A8150" t="str">
        <f>"3051765"</f>
        <v>3051765</v>
      </c>
      <c r="B8150" t="s">
        <v>24581</v>
      </c>
      <c r="C8150" t="str">
        <f>"8304679"</f>
        <v>8304679</v>
      </c>
      <c r="D8150" t="s">
        <v>24390</v>
      </c>
      <c r="F8150" t="s">
        <v>24391</v>
      </c>
      <c r="I8150" t="s">
        <v>471</v>
      </c>
      <c r="J8150" t="s">
        <v>30</v>
      </c>
      <c r="K8150" t="str">
        <f>"27127"</f>
        <v>27127</v>
      </c>
      <c r="M8150" t="s">
        <v>17861</v>
      </c>
      <c r="N8150" t="str">
        <f>"2/13/2015 3:42:00 PM"</f>
        <v>2/13/2015 3:42:00 PM</v>
      </c>
      <c r="O8150" t="s">
        <v>24390</v>
      </c>
    </row>
    <row r="8151" spans="1:20" x14ac:dyDescent="0.25">
      <c r="A8151" t="str">
        <f>"3051949"</f>
        <v>3051949</v>
      </c>
      <c r="B8151" t="s">
        <v>24582</v>
      </c>
      <c r="C8151" t="str">
        <f>"8304679"</f>
        <v>8304679</v>
      </c>
      <c r="D8151" t="s">
        <v>24390</v>
      </c>
      <c r="F8151" t="s">
        <v>24391</v>
      </c>
      <c r="I8151" t="s">
        <v>471</v>
      </c>
      <c r="J8151" t="s">
        <v>30</v>
      </c>
      <c r="K8151" t="str">
        <f>"27127"</f>
        <v>27127</v>
      </c>
      <c r="M8151" t="s">
        <v>17861</v>
      </c>
      <c r="N8151" t="str">
        <f>"2/13/2015 3:42:00 PM"</f>
        <v>2/13/2015 3:42:00 PM</v>
      </c>
      <c r="O8151" t="s">
        <v>24390</v>
      </c>
    </row>
    <row r="8152" spans="1:20" x14ac:dyDescent="0.25">
      <c r="A8152" t="str">
        <f>"3040617"</f>
        <v>3040617</v>
      </c>
      <c r="B8152" t="s">
        <v>24583</v>
      </c>
      <c r="C8152" t="str">
        <f>"8304693"</f>
        <v>8304693</v>
      </c>
      <c r="D8152" t="s">
        <v>24584</v>
      </c>
      <c r="E8152" t="s">
        <v>24585</v>
      </c>
      <c r="F8152" t="s">
        <v>24586</v>
      </c>
      <c r="I8152" t="s">
        <v>24359</v>
      </c>
      <c r="J8152" t="s">
        <v>30</v>
      </c>
      <c r="K8152" t="str">
        <f>"27006"</f>
        <v>27006</v>
      </c>
      <c r="M8152" t="s">
        <v>17861</v>
      </c>
      <c r="N8152" t="str">
        <f>"2/16/2015 9:59:00 AM"</f>
        <v>2/16/2015 9:59:00 AM</v>
      </c>
      <c r="O8152" t="s">
        <v>24584</v>
      </c>
      <c r="T8152" t="s">
        <v>24585</v>
      </c>
    </row>
    <row r="8153" spans="1:20" x14ac:dyDescent="0.25">
      <c r="A8153" t="str">
        <f>"3053745"</f>
        <v>3053745</v>
      </c>
      <c r="B8153" t="s">
        <v>24587</v>
      </c>
      <c r="C8153" t="str">
        <f>"82516258"</f>
        <v>82516258</v>
      </c>
      <c r="D8153" t="s">
        <v>24588</v>
      </c>
      <c r="E8153" t="s">
        <v>24589</v>
      </c>
      <c r="F8153" t="s">
        <v>24590</v>
      </c>
      <c r="I8153" t="s">
        <v>29</v>
      </c>
      <c r="J8153" t="s">
        <v>30</v>
      </c>
      <c r="K8153" t="s">
        <v>31</v>
      </c>
      <c r="M8153" t="s">
        <v>23082</v>
      </c>
      <c r="N8153" t="str">
        <f>"2/24/2015 10:40:00 AM"</f>
        <v>2/24/2015 10:40:00 AM</v>
      </c>
      <c r="O8153" t="s">
        <v>24588</v>
      </c>
      <c r="T8153" t="s">
        <v>24589</v>
      </c>
    </row>
    <row r="8154" spans="1:20" x14ac:dyDescent="0.25">
      <c r="A8154" t="str">
        <f>"3045821"</f>
        <v>3045821</v>
      </c>
      <c r="B8154" t="s">
        <v>24591</v>
      </c>
      <c r="C8154" t="str">
        <f>"82524443"</f>
        <v>82524443</v>
      </c>
      <c r="D8154" t="s">
        <v>24592</v>
      </c>
      <c r="F8154" t="s">
        <v>24593</v>
      </c>
      <c r="I8154" t="s">
        <v>29</v>
      </c>
      <c r="J8154" t="s">
        <v>30</v>
      </c>
      <c r="K8154" t="s">
        <v>31</v>
      </c>
      <c r="M8154" t="s">
        <v>23082</v>
      </c>
      <c r="N8154" t="str">
        <f>"2/24/2015 10:44:00 AM"</f>
        <v>2/24/2015 10:44:00 AM</v>
      </c>
      <c r="O8154" t="s">
        <v>24592</v>
      </c>
    </row>
    <row r="8155" spans="1:20" x14ac:dyDescent="0.25">
      <c r="A8155" t="str">
        <f>"3040680"</f>
        <v>3040680</v>
      </c>
      <c r="B8155" t="s">
        <v>24594</v>
      </c>
      <c r="C8155" t="str">
        <f>"22446000"</f>
        <v>22446000</v>
      </c>
      <c r="D8155" t="s">
        <v>24595</v>
      </c>
      <c r="F8155" t="s">
        <v>24596</v>
      </c>
      <c r="I8155" t="s">
        <v>184</v>
      </c>
      <c r="J8155" t="s">
        <v>30</v>
      </c>
      <c r="K8155" t="s">
        <v>185</v>
      </c>
      <c r="M8155" t="s">
        <v>23082</v>
      </c>
      <c r="N8155" t="str">
        <f>"2/24/2015 10:47:00 AM"</f>
        <v>2/24/2015 10:47:00 AM</v>
      </c>
      <c r="O8155" t="s">
        <v>24595</v>
      </c>
    </row>
    <row r="8156" spans="1:20" x14ac:dyDescent="0.25">
      <c r="A8156" t="str">
        <f>"3048287"</f>
        <v>3048287</v>
      </c>
      <c r="B8156" t="s">
        <v>24597</v>
      </c>
      <c r="C8156" t="str">
        <f>"22586430"</f>
        <v>22586430</v>
      </c>
      <c r="D8156" t="s">
        <v>24598</v>
      </c>
      <c r="E8156" t="s">
        <v>24599</v>
      </c>
      <c r="F8156" t="s">
        <v>24600</v>
      </c>
      <c r="I8156" t="s">
        <v>29</v>
      </c>
      <c r="J8156" t="s">
        <v>30</v>
      </c>
      <c r="K8156" t="s">
        <v>12828</v>
      </c>
      <c r="M8156" t="s">
        <v>23082</v>
      </c>
      <c r="N8156" t="str">
        <f>"2/24/2015 10:48:00 AM"</f>
        <v>2/24/2015 10:48:00 AM</v>
      </c>
      <c r="O8156" t="s">
        <v>24598</v>
      </c>
      <c r="T8156" t="s">
        <v>24599</v>
      </c>
    </row>
    <row r="8157" spans="1:20" x14ac:dyDescent="0.25">
      <c r="A8157" t="str">
        <f>"3053870"</f>
        <v>3053870</v>
      </c>
      <c r="B8157" t="s">
        <v>24601</v>
      </c>
      <c r="C8157" t="str">
        <f>"8304747"</f>
        <v>8304747</v>
      </c>
      <c r="D8157" t="s">
        <v>24602</v>
      </c>
      <c r="F8157" t="s">
        <v>24603</v>
      </c>
      <c r="I8157" t="s">
        <v>17921</v>
      </c>
      <c r="J8157" t="s">
        <v>30</v>
      </c>
      <c r="K8157" t="str">
        <f>"27028"</f>
        <v>27028</v>
      </c>
      <c r="M8157" t="s">
        <v>17861</v>
      </c>
      <c r="N8157" t="str">
        <f>"2/24/2015 10:49:00 AM"</f>
        <v>2/24/2015 10:49:00 AM</v>
      </c>
      <c r="O8157" t="s">
        <v>24602</v>
      </c>
    </row>
    <row r="8158" spans="1:20" x14ac:dyDescent="0.25">
      <c r="A8158" t="str">
        <f>"3053889"</f>
        <v>3053889</v>
      </c>
      <c r="B8158" t="s">
        <v>24604</v>
      </c>
      <c r="C8158" t="str">
        <f>"8304747"</f>
        <v>8304747</v>
      </c>
      <c r="D8158" t="s">
        <v>24602</v>
      </c>
      <c r="F8158" t="s">
        <v>24603</v>
      </c>
      <c r="I8158" t="s">
        <v>17921</v>
      </c>
      <c r="J8158" t="s">
        <v>30</v>
      </c>
      <c r="K8158" t="str">
        <f>"27028"</f>
        <v>27028</v>
      </c>
      <c r="M8158" t="s">
        <v>17861</v>
      </c>
      <c r="N8158" t="str">
        <f>"2/24/2015 10:49:00 AM"</f>
        <v>2/24/2015 10:49:00 AM</v>
      </c>
      <c r="O8158" t="s">
        <v>24602</v>
      </c>
    </row>
    <row r="8159" spans="1:20" x14ac:dyDescent="0.25">
      <c r="A8159" t="str">
        <f>"3057313"</f>
        <v>3057313</v>
      </c>
      <c r="B8159" t="s">
        <v>24605</v>
      </c>
      <c r="C8159" t="str">
        <f>"25340000"</f>
        <v>25340000</v>
      </c>
      <c r="D8159" t="s">
        <v>24606</v>
      </c>
      <c r="E8159" t="s">
        <v>3937</v>
      </c>
      <c r="F8159" t="s">
        <v>3938</v>
      </c>
      <c r="I8159" t="s">
        <v>2071</v>
      </c>
      <c r="J8159" t="s">
        <v>30</v>
      </c>
      <c r="K8159" t="s">
        <v>185</v>
      </c>
      <c r="M8159" t="s">
        <v>23082</v>
      </c>
      <c r="N8159" t="str">
        <f>"2/24/2015 10:54:00 AM"</f>
        <v>2/24/2015 10:54:00 AM</v>
      </c>
      <c r="O8159" t="s">
        <v>24606</v>
      </c>
      <c r="T8159" t="s">
        <v>3937</v>
      </c>
    </row>
    <row r="8160" spans="1:20" x14ac:dyDescent="0.25">
      <c r="A8160" t="str">
        <f>"3057314"</f>
        <v>3057314</v>
      </c>
      <c r="B8160" t="s">
        <v>24607</v>
      </c>
      <c r="C8160" t="str">
        <f>"25340000"</f>
        <v>25340000</v>
      </c>
      <c r="D8160" t="s">
        <v>24606</v>
      </c>
      <c r="E8160" t="s">
        <v>3937</v>
      </c>
      <c r="F8160" t="s">
        <v>3938</v>
      </c>
      <c r="I8160" t="s">
        <v>2071</v>
      </c>
      <c r="J8160" t="s">
        <v>30</v>
      </c>
      <c r="K8160" t="s">
        <v>185</v>
      </c>
      <c r="M8160" t="s">
        <v>23082</v>
      </c>
      <c r="N8160" t="str">
        <f>"2/24/2015 10:54:00 AM"</f>
        <v>2/24/2015 10:54:00 AM</v>
      </c>
      <c r="O8160" t="s">
        <v>24606</v>
      </c>
      <c r="T8160" t="s">
        <v>3937</v>
      </c>
    </row>
    <row r="8161" spans="1:20" x14ac:dyDescent="0.25">
      <c r="A8161" t="str">
        <f>"3041707"</f>
        <v>3041707</v>
      </c>
      <c r="B8161" t="s">
        <v>24608</v>
      </c>
      <c r="C8161" t="str">
        <f>"25340000"</f>
        <v>25340000</v>
      </c>
      <c r="D8161" t="s">
        <v>24606</v>
      </c>
      <c r="E8161" t="s">
        <v>3937</v>
      </c>
      <c r="F8161" t="s">
        <v>3938</v>
      </c>
      <c r="I8161" t="s">
        <v>2071</v>
      </c>
      <c r="J8161" t="s">
        <v>30</v>
      </c>
      <c r="K8161" t="s">
        <v>185</v>
      </c>
      <c r="M8161" t="s">
        <v>23082</v>
      </c>
      <c r="N8161" t="str">
        <f>"2/24/2015 10:54:00 AM"</f>
        <v>2/24/2015 10:54:00 AM</v>
      </c>
      <c r="O8161" t="s">
        <v>24606</v>
      </c>
      <c r="T8161" t="s">
        <v>3937</v>
      </c>
    </row>
    <row r="8162" spans="1:20" x14ac:dyDescent="0.25">
      <c r="A8162" t="str">
        <f>"3048700"</f>
        <v>3048700</v>
      </c>
      <c r="B8162" t="s">
        <v>24609</v>
      </c>
      <c r="C8162" t="str">
        <f>"82516546"</f>
        <v>82516546</v>
      </c>
      <c r="D8162" t="s">
        <v>24610</v>
      </c>
      <c r="F8162" t="s">
        <v>24611</v>
      </c>
      <c r="I8162" t="s">
        <v>29</v>
      </c>
      <c r="J8162" t="s">
        <v>30</v>
      </c>
      <c r="K8162" t="s">
        <v>31</v>
      </c>
      <c r="M8162" t="s">
        <v>23082</v>
      </c>
      <c r="N8162" t="str">
        <f>"2/24/2015 10:55:00 AM"</f>
        <v>2/24/2015 10:55:00 AM</v>
      </c>
      <c r="O8162" t="s">
        <v>24610</v>
      </c>
    </row>
    <row r="8163" spans="1:20" x14ac:dyDescent="0.25">
      <c r="A8163" t="str">
        <f>"3055471"</f>
        <v>3055471</v>
      </c>
      <c r="B8163" t="s">
        <v>24612</v>
      </c>
      <c r="C8163" t="str">
        <f>"82527925"</f>
        <v>82527925</v>
      </c>
      <c r="D8163" t="s">
        <v>24613</v>
      </c>
      <c r="E8163" t="s">
        <v>24614</v>
      </c>
      <c r="F8163" t="s">
        <v>24615</v>
      </c>
      <c r="I8163" t="s">
        <v>29</v>
      </c>
      <c r="J8163" t="s">
        <v>30</v>
      </c>
      <c r="K8163" t="s">
        <v>24616</v>
      </c>
      <c r="M8163" t="s">
        <v>23082</v>
      </c>
      <c r="N8163" t="str">
        <f>"2/24/2015 11:02:00 AM"</f>
        <v>2/24/2015 11:02:00 AM</v>
      </c>
      <c r="O8163" t="s">
        <v>24613</v>
      </c>
      <c r="T8163" t="s">
        <v>24614</v>
      </c>
    </row>
    <row r="8164" spans="1:20" x14ac:dyDescent="0.25">
      <c r="A8164" t="str">
        <f>"3041380"</f>
        <v>3041380</v>
      </c>
      <c r="B8164" t="s">
        <v>24617</v>
      </c>
      <c r="C8164" t="str">
        <f>"8304699"</f>
        <v>8304699</v>
      </c>
      <c r="D8164" t="s">
        <v>24618</v>
      </c>
      <c r="E8164" t="s">
        <v>24619</v>
      </c>
      <c r="F8164" t="s">
        <v>24620</v>
      </c>
      <c r="I8164" t="s">
        <v>2071</v>
      </c>
      <c r="J8164" t="s">
        <v>30</v>
      </c>
      <c r="K8164" t="str">
        <f>"27006"</f>
        <v>27006</v>
      </c>
      <c r="M8164" t="s">
        <v>17861</v>
      </c>
      <c r="N8164" t="str">
        <f>"2/16/2015 11:19:00 AM"</f>
        <v>2/16/2015 11:19:00 AM</v>
      </c>
      <c r="O8164" t="s">
        <v>24618</v>
      </c>
      <c r="T8164" t="s">
        <v>24619</v>
      </c>
    </row>
    <row r="8165" spans="1:20" x14ac:dyDescent="0.25">
      <c r="A8165" t="str">
        <f>"3060270"</f>
        <v>3060270</v>
      </c>
      <c r="B8165" t="s">
        <v>24621</v>
      </c>
      <c r="C8165" t="str">
        <f>"8304703"</f>
        <v>8304703</v>
      </c>
      <c r="D8165" t="s">
        <v>24622</v>
      </c>
      <c r="E8165" t="s">
        <v>24623</v>
      </c>
      <c r="F8165" t="s">
        <v>24624</v>
      </c>
      <c r="I8165" t="s">
        <v>24359</v>
      </c>
      <c r="J8165" t="s">
        <v>30</v>
      </c>
      <c r="K8165" t="str">
        <f>"27006"</f>
        <v>27006</v>
      </c>
      <c r="M8165" t="s">
        <v>17861</v>
      </c>
      <c r="N8165" t="str">
        <f>"2/16/2015 12:49:00 PM"</f>
        <v>2/16/2015 12:49:00 PM</v>
      </c>
      <c r="O8165" t="s">
        <v>24622</v>
      </c>
      <c r="T8165" t="s">
        <v>24623</v>
      </c>
    </row>
    <row r="8166" spans="1:20" x14ac:dyDescent="0.25">
      <c r="A8166" t="str">
        <f>"3059419"</f>
        <v>3059419</v>
      </c>
      <c r="B8166" t="s">
        <v>24625</v>
      </c>
      <c r="C8166" t="str">
        <f>"8304750"</f>
        <v>8304750</v>
      </c>
      <c r="D8166" t="s">
        <v>21343</v>
      </c>
      <c r="F8166" t="s">
        <v>23276</v>
      </c>
      <c r="I8166" t="s">
        <v>17921</v>
      </c>
      <c r="J8166" t="s">
        <v>30</v>
      </c>
      <c r="K8166" t="str">
        <f t="shared" ref="K8166:K8171" si="124">"27028"</f>
        <v>27028</v>
      </c>
      <c r="M8166" t="s">
        <v>17861</v>
      </c>
      <c r="N8166" t="str">
        <f>"2/24/2015 12:02:00 PM"</f>
        <v>2/24/2015 12:02:00 PM</v>
      </c>
      <c r="O8166" t="s">
        <v>21343</v>
      </c>
    </row>
    <row r="8167" spans="1:20" x14ac:dyDescent="0.25">
      <c r="A8167" t="str">
        <f>"3053399"</f>
        <v>3053399</v>
      </c>
      <c r="B8167" t="s">
        <v>24626</v>
      </c>
      <c r="C8167" t="str">
        <f>"8304187"</f>
        <v>8304187</v>
      </c>
      <c r="D8167" t="s">
        <v>24627</v>
      </c>
      <c r="E8167" t="s">
        <v>24628</v>
      </c>
      <c r="F8167" t="s">
        <v>24629</v>
      </c>
      <c r="I8167" t="s">
        <v>29</v>
      </c>
      <c r="J8167" t="s">
        <v>30</v>
      </c>
      <c r="K8167" t="str">
        <f t="shared" si="124"/>
        <v>27028</v>
      </c>
      <c r="M8167" t="s">
        <v>23082</v>
      </c>
      <c r="N8167" t="str">
        <f>"2/24/2015 12:04:00 PM"</f>
        <v>2/24/2015 12:04:00 PM</v>
      </c>
      <c r="O8167" t="s">
        <v>24627</v>
      </c>
      <c r="T8167" t="s">
        <v>24628</v>
      </c>
    </row>
    <row r="8168" spans="1:20" x14ac:dyDescent="0.25">
      <c r="A8168" t="str">
        <f>"3053306"</f>
        <v>3053306</v>
      </c>
      <c r="B8168" t="s">
        <v>24630</v>
      </c>
      <c r="C8168" t="str">
        <f>"8304187"</f>
        <v>8304187</v>
      </c>
      <c r="D8168" t="s">
        <v>24627</v>
      </c>
      <c r="E8168" t="s">
        <v>24628</v>
      </c>
      <c r="F8168" t="s">
        <v>24629</v>
      </c>
      <c r="I8168" t="s">
        <v>29</v>
      </c>
      <c r="J8168" t="s">
        <v>30</v>
      </c>
      <c r="K8168" t="str">
        <f t="shared" si="124"/>
        <v>27028</v>
      </c>
      <c r="M8168" t="s">
        <v>23082</v>
      </c>
      <c r="N8168" t="str">
        <f>"2/24/2015 12:04:00 PM"</f>
        <v>2/24/2015 12:04:00 PM</v>
      </c>
      <c r="O8168" t="s">
        <v>24627</v>
      </c>
      <c r="T8168" t="s">
        <v>24628</v>
      </c>
    </row>
    <row r="8169" spans="1:20" x14ac:dyDescent="0.25">
      <c r="A8169" t="str">
        <f>"3051964"</f>
        <v>3051964</v>
      </c>
      <c r="B8169" t="s">
        <v>24631</v>
      </c>
      <c r="C8169" t="str">
        <f>"8304751"</f>
        <v>8304751</v>
      </c>
      <c r="D8169" t="s">
        <v>24632</v>
      </c>
      <c r="E8169" t="s">
        <v>24633</v>
      </c>
      <c r="F8169" t="s">
        <v>24634</v>
      </c>
      <c r="I8169" t="s">
        <v>17921</v>
      </c>
      <c r="J8169" t="s">
        <v>30</v>
      </c>
      <c r="K8169" t="str">
        <f t="shared" si="124"/>
        <v>27028</v>
      </c>
      <c r="M8169" t="s">
        <v>17861</v>
      </c>
      <c r="N8169" t="str">
        <f>"2/24/2015 12:14:00 PM"</f>
        <v>2/24/2015 12:14:00 PM</v>
      </c>
      <c r="O8169" t="s">
        <v>24632</v>
      </c>
      <c r="T8169" t="s">
        <v>24633</v>
      </c>
    </row>
    <row r="8170" spans="1:20" x14ac:dyDescent="0.25">
      <c r="A8170" t="str">
        <f>"3045306"</f>
        <v>3045306</v>
      </c>
      <c r="B8170" t="s">
        <v>24635</v>
      </c>
      <c r="C8170" t="str">
        <f>"8304753"</f>
        <v>8304753</v>
      </c>
      <c r="D8170" t="s">
        <v>24636</v>
      </c>
      <c r="E8170" t="s">
        <v>24637</v>
      </c>
      <c r="F8170" t="s">
        <v>24638</v>
      </c>
      <c r="I8170" t="s">
        <v>17921</v>
      </c>
      <c r="J8170" t="s">
        <v>30</v>
      </c>
      <c r="K8170" t="str">
        <f t="shared" si="124"/>
        <v>27028</v>
      </c>
      <c r="M8170" t="s">
        <v>17861</v>
      </c>
      <c r="N8170" t="str">
        <f>"2/24/2015 12:49:00 PM"</f>
        <v>2/24/2015 12:49:00 PM</v>
      </c>
      <c r="O8170" t="s">
        <v>24636</v>
      </c>
      <c r="T8170" t="s">
        <v>24637</v>
      </c>
    </row>
    <row r="8171" spans="1:20" x14ac:dyDescent="0.25">
      <c r="A8171" t="str">
        <f>"3044990"</f>
        <v>3044990</v>
      </c>
      <c r="B8171" t="s">
        <v>24639</v>
      </c>
      <c r="C8171" t="str">
        <f>"8304753"</f>
        <v>8304753</v>
      </c>
      <c r="D8171" t="s">
        <v>24636</v>
      </c>
      <c r="E8171" t="s">
        <v>24637</v>
      </c>
      <c r="F8171" t="s">
        <v>24638</v>
      </c>
      <c r="I8171" t="s">
        <v>17921</v>
      </c>
      <c r="J8171" t="s">
        <v>30</v>
      </c>
      <c r="K8171" t="str">
        <f t="shared" si="124"/>
        <v>27028</v>
      </c>
      <c r="M8171" t="s">
        <v>17861</v>
      </c>
      <c r="N8171" t="str">
        <f>"2/24/2015 12:49:00 PM"</f>
        <v>2/24/2015 12:49:00 PM</v>
      </c>
      <c r="O8171" t="s">
        <v>24636</v>
      </c>
      <c r="T8171" t="s">
        <v>24637</v>
      </c>
    </row>
    <row r="8172" spans="1:20" x14ac:dyDescent="0.25">
      <c r="A8172" t="str">
        <f>"3056562"</f>
        <v>3056562</v>
      </c>
      <c r="B8172" t="s">
        <v>24640</v>
      </c>
      <c r="C8172" t="str">
        <f>"82520909"</f>
        <v>82520909</v>
      </c>
      <c r="D8172" t="s">
        <v>24641</v>
      </c>
      <c r="F8172" t="s">
        <v>24642</v>
      </c>
      <c r="I8172" t="s">
        <v>29</v>
      </c>
      <c r="J8172" t="s">
        <v>30</v>
      </c>
      <c r="K8172" t="s">
        <v>31</v>
      </c>
      <c r="M8172" t="s">
        <v>23082</v>
      </c>
      <c r="N8172" t="str">
        <f>"2/24/2015 2:15:00 PM"</f>
        <v>2/24/2015 2:15:00 PM</v>
      </c>
      <c r="O8172" t="s">
        <v>24641</v>
      </c>
    </row>
    <row r="8173" spans="1:20" x14ac:dyDescent="0.25">
      <c r="A8173" t="str">
        <f>"3049967"</f>
        <v>3049967</v>
      </c>
      <c r="B8173" t="s">
        <v>24643</v>
      </c>
      <c r="C8173" t="str">
        <f>"8301146"</f>
        <v>8301146</v>
      </c>
      <c r="D8173" t="s">
        <v>24644</v>
      </c>
      <c r="E8173" t="s">
        <v>24645</v>
      </c>
      <c r="F8173" t="s">
        <v>24646</v>
      </c>
      <c r="I8173" t="s">
        <v>29</v>
      </c>
      <c r="J8173" t="s">
        <v>30</v>
      </c>
      <c r="K8173" t="str">
        <f>"27028"</f>
        <v>27028</v>
      </c>
      <c r="M8173" t="s">
        <v>23082</v>
      </c>
      <c r="N8173" t="str">
        <f>"2/24/2015 2:16:00 PM"</f>
        <v>2/24/2015 2:16:00 PM</v>
      </c>
      <c r="O8173" t="s">
        <v>24644</v>
      </c>
      <c r="T8173" t="s">
        <v>24645</v>
      </c>
    </row>
    <row r="8174" spans="1:20" x14ac:dyDescent="0.25">
      <c r="A8174" t="str">
        <f>"3061649"</f>
        <v>3061649</v>
      </c>
      <c r="B8174" t="s">
        <v>24647</v>
      </c>
      <c r="C8174" t="str">
        <f>"8304705"</f>
        <v>8304705</v>
      </c>
      <c r="D8174" t="s">
        <v>24648</v>
      </c>
      <c r="E8174" t="s">
        <v>24649</v>
      </c>
      <c r="F8174" t="s">
        <v>24650</v>
      </c>
      <c r="I8174" t="s">
        <v>17921</v>
      </c>
      <c r="J8174" t="s">
        <v>30</v>
      </c>
      <c r="K8174" t="str">
        <f>"27028"</f>
        <v>27028</v>
      </c>
      <c r="M8174" t="s">
        <v>17861</v>
      </c>
      <c r="N8174" t="str">
        <f>"2/16/2015 12:57:00 PM"</f>
        <v>2/16/2015 12:57:00 PM</v>
      </c>
      <c r="O8174" t="s">
        <v>24648</v>
      </c>
      <c r="T8174" t="s">
        <v>24649</v>
      </c>
    </row>
    <row r="8175" spans="1:20" x14ac:dyDescent="0.25">
      <c r="A8175" t="str">
        <f>"3038449"</f>
        <v>3038449</v>
      </c>
      <c r="B8175" t="s">
        <v>24651</v>
      </c>
      <c r="C8175" t="str">
        <f>"33445000"</f>
        <v>33445000</v>
      </c>
      <c r="D8175" t="s">
        <v>24652</v>
      </c>
      <c r="E8175" t="s">
        <v>24653</v>
      </c>
      <c r="F8175" t="s">
        <v>24654</v>
      </c>
      <c r="I8175" t="s">
        <v>29</v>
      </c>
      <c r="J8175" t="s">
        <v>30</v>
      </c>
      <c r="K8175" t="s">
        <v>31</v>
      </c>
      <c r="M8175" t="s">
        <v>23082</v>
      </c>
      <c r="N8175" t="str">
        <f>"2/24/2015 3:52:00 PM"</f>
        <v>2/24/2015 3:52:00 PM</v>
      </c>
      <c r="O8175" t="s">
        <v>24652</v>
      </c>
      <c r="T8175" t="s">
        <v>24653</v>
      </c>
    </row>
    <row r="8176" spans="1:20" x14ac:dyDescent="0.25">
      <c r="A8176" t="str">
        <f>"3047006"</f>
        <v>3047006</v>
      </c>
      <c r="B8176" t="s">
        <v>24655</v>
      </c>
      <c r="C8176" t="str">
        <f>"82532263"</f>
        <v>82532263</v>
      </c>
      <c r="D8176" t="s">
        <v>24656</v>
      </c>
      <c r="E8176" t="s">
        <v>2421</v>
      </c>
      <c r="F8176" t="s">
        <v>2422</v>
      </c>
      <c r="I8176" t="s">
        <v>29</v>
      </c>
      <c r="J8176" t="s">
        <v>30</v>
      </c>
      <c r="K8176" t="s">
        <v>31</v>
      </c>
      <c r="M8176" t="s">
        <v>23082</v>
      </c>
      <c r="N8176" t="str">
        <f>"2/24/2015 3:58:00 PM"</f>
        <v>2/24/2015 3:58:00 PM</v>
      </c>
      <c r="O8176" t="s">
        <v>24656</v>
      </c>
      <c r="T8176" t="s">
        <v>2421</v>
      </c>
    </row>
    <row r="8177" spans="1:20" x14ac:dyDescent="0.25">
      <c r="A8177" t="str">
        <f>"3048890"</f>
        <v>3048890</v>
      </c>
      <c r="B8177" t="s">
        <v>24657</v>
      </c>
      <c r="C8177" t="str">
        <f>"82532263"</f>
        <v>82532263</v>
      </c>
      <c r="D8177" t="s">
        <v>24656</v>
      </c>
      <c r="E8177" t="s">
        <v>2421</v>
      </c>
      <c r="F8177" t="s">
        <v>2422</v>
      </c>
      <c r="I8177" t="s">
        <v>29</v>
      </c>
      <c r="J8177" t="s">
        <v>30</v>
      </c>
      <c r="K8177" t="s">
        <v>31</v>
      </c>
      <c r="M8177" t="s">
        <v>23082</v>
      </c>
      <c r="N8177" t="str">
        <f>"2/24/2015 3:58:00 PM"</f>
        <v>2/24/2015 3:58:00 PM</v>
      </c>
      <c r="O8177" t="s">
        <v>24656</v>
      </c>
      <c r="T8177" t="s">
        <v>2421</v>
      </c>
    </row>
    <row r="8178" spans="1:20" x14ac:dyDescent="0.25">
      <c r="A8178" t="str">
        <f>"3052723"</f>
        <v>3052723</v>
      </c>
      <c r="B8178" t="s">
        <v>24658</v>
      </c>
      <c r="C8178" t="str">
        <f>"82532263"</f>
        <v>82532263</v>
      </c>
      <c r="D8178" t="s">
        <v>24656</v>
      </c>
      <c r="E8178" t="s">
        <v>2421</v>
      </c>
      <c r="F8178" t="s">
        <v>2422</v>
      </c>
      <c r="I8178" t="s">
        <v>29</v>
      </c>
      <c r="J8178" t="s">
        <v>30</v>
      </c>
      <c r="K8178" t="s">
        <v>31</v>
      </c>
      <c r="M8178" t="s">
        <v>23082</v>
      </c>
      <c r="N8178" t="str">
        <f>"2/24/2015 3:58:00 PM"</f>
        <v>2/24/2015 3:58:00 PM</v>
      </c>
      <c r="O8178" t="s">
        <v>24656</v>
      </c>
      <c r="T8178" t="s">
        <v>2421</v>
      </c>
    </row>
    <row r="8179" spans="1:20" x14ac:dyDescent="0.25">
      <c r="A8179" t="str">
        <f>"3053729"</f>
        <v>3053729</v>
      </c>
      <c r="B8179" t="s">
        <v>24659</v>
      </c>
      <c r="C8179" t="str">
        <f>"82532263"</f>
        <v>82532263</v>
      </c>
      <c r="D8179" t="s">
        <v>24656</v>
      </c>
      <c r="E8179" t="s">
        <v>2421</v>
      </c>
      <c r="F8179" t="s">
        <v>2422</v>
      </c>
      <c r="I8179" t="s">
        <v>29</v>
      </c>
      <c r="J8179" t="s">
        <v>30</v>
      </c>
      <c r="K8179" t="s">
        <v>31</v>
      </c>
      <c r="M8179" t="s">
        <v>23082</v>
      </c>
      <c r="N8179" t="str">
        <f>"2/24/2015 3:58:00 PM"</f>
        <v>2/24/2015 3:58:00 PM</v>
      </c>
      <c r="O8179" t="s">
        <v>24656</v>
      </c>
      <c r="T8179" t="s">
        <v>2421</v>
      </c>
    </row>
    <row r="8180" spans="1:20" x14ac:dyDescent="0.25">
      <c r="A8180" t="str">
        <f>"3059213"</f>
        <v>3059213</v>
      </c>
      <c r="B8180" t="s">
        <v>24660</v>
      </c>
      <c r="C8180" t="str">
        <f>"82532263"</f>
        <v>82532263</v>
      </c>
      <c r="D8180" t="s">
        <v>24656</v>
      </c>
      <c r="E8180" t="s">
        <v>2421</v>
      </c>
      <c r="F8180" t="s">
        <v>2422</v>
      </c>
      <c r="I8180" t="s">
        <v>29</v>
      </c>
      <c r="J8180" t="s">
        <v>30</v>
      </c>
      <c r="K8180" t="s">
        <v>31</v>
      </c>
      <c r="M8180" t="s">
        <v>23082</v>
      </c>
      <c r="N8180" t="str">
        <f>"2/24/2015 3:58:00 PM"</f>
        <v>2/24/2015 3:58:00 PM</v>
      </c>
      <c r="O8180" t="s">
        <v>24656</v>
      </c>
      <c r="T8180" t="s">
        <v>2421</v>
      </c>
    </row>
    <row r="8181" spans="1:20" x14ac:dyDescent="0.25">
      <c r="A8181" t="str">
        <f>"3071051"</f>
        <v>3071051</v>
      </c>
      <c r="B8181" t="s">
        <v>24661</v>
      </c>
      <c r="C8181" t="str">
        <f>"33780000"</f>
        <v>33780000</v>
      </c>
      <c r="D8181" t="s">
        <v>17639</v>
      </c>
      <c r="E8181" t="s">
        <v>24662</v>
      </c>
      <c r="F8181" t="s">
        <v>24663</v>
      </c>
      <c r="I8181" t="s">
        <v>29</v>
      </c>
      <c r="J8181" t="s">
        <v>30</v>
      </c>
      <c r="K8181" t="s">
        <v>24664</v>
      </c>
      <c r="M8181" t="s">
        <v>23082</v>
      </c>
      <c r="N8181" t="str">
        <f>"2/24/2015 4:01:00 PM"</f>
        <v>2/24/2015 4:01:00 PM</v>
      </c>
      <c r="O8181" t="s">
        <v>17639</v>
      </c>
      <c r="T8181" t="s">
        <v>24662</v>
      </c>
    </row>
    <row r="8182" spans="1:20" x14ac:dyDescent="0.25">
      <c r="A8182" t="str">
        <f>"3054371"</f>
        <v>3054371</v>
      </c>
      <c r="B8182" t="s">
        <v>24665</v>
      </c>
      <c r="C8182" t="str">
        <f>"33780000"</f>
        <v>33780000</v>
      </c>
      <c r="D8182" t="s">
        <v>17639</v>
      </c>
      <c r="E8182" t="s">
        <v>24662</v>
      </c>
      <c r="F8182" t="s">
        <v>24663</v>
      </c>
      <c r="I8182" t="s">
        <v>29</v>
      </c>
      <c r="J8182" t="s">
        <v>30</v>
      </c>
      <c r="K8182" t="s">
        <v>24664</v>
      </c>
      <c r="M8182" t="s">
        <v>23082</v>
      </c>
      <c r="N8182" t="str">
        <f>"2/24/2015 4:01:00 PM"</f>
        <v>2/24/2015 4:01:00 PM</v>
      </c>
      <c r="O8182" t="s">
        <v>17639</v>
      </c>
      <c r="T8182" t="s">
        <v>24662</v>
      </c>
    </row>
    <row r="8183" spans="1:20" x14ac:dyDescent="0.25">
      <c r="A8183" t="str">
        <f>"3054239"</f>
        <v>3054239</v>
      </c>
      <c r="B8183" t="s">
        <v>24666</v>
      </c>
      <c r="C8183" t="str">
        <f>"8303985"</f>
        <v>8303985</v>
      </c>
      <c r="D8183" t="s">
        <v>24667</v>
      </c>
      <c r="F8183" t="s">
        <v>24668</v>
      </c>
      <c r="I8183" t="s">
        <v>29</v>
      </c>
      <c r="J8183" t="s">
        <v>30</v>
      </c>
      <c r="K8183" t="str">
        <f>"27028"</f>
        <v>27028</v>
      </c>
      <c r="M8183" t="s">
        <v>23082</v>
      </c>
      <c r="N8183" t="str">
        <f>"2/24/2015 4:02:00 PM"</f>
        <v>2/24/2015 4:02:00 PM</v>
      </c>
      <c r="O8183" t="s">
        <v>24667</v>
      </c>
    </row>
    <row r="8184" spans="1:20" x14ac:dyDescent="0.25">
      <c r="A8184" t="str">
        <f>"3045786"</f>
        <v>3045786</v>
      </c>
      <c r="B8184" t="s">
        <v>24669</v>
      </c>
      <c r="C8184" t="str">
        <f>"82526353"</f>
        <v>82526353</v>
      </c>
      <c r="D8184" t="s">
        <v>24670</v>
      </c>
      <c r="E8184" t="s">
        <v>24671</v>
      </c>
      <c r="F8184" t="s">
        <v>24672</v>
      </c>
      <c r="I8184" t="s">
        <v>29</v>
      </c>
      <c r="J8184" t="s">
        <v>30</v>
      </c>
      <c r="K8184" t="s">
        <v>31</v>
      </c>
      <c r="M8184" t="s">
        <v>23082</v>
      </c>
      <c r="N8184" t="str">
        <f>"2/24/2015 4:09:00 PM"</f>
        <v>2/24/2015 4:09:00 PM</v>
      </c>
      <c r="O8184" t="s">
        <v>24670</v>
      </c>
      <c r="T8184" t="s">
        <v>24671</v>
      </c>
    </row>
    <row r="8185" spans="1:20" x14ac:dyDescent="0.25">
      <c r="A8185" t="str">
        <f>"3038224"</f>
        <v>3038224</v>
      </c>
      <c r="B8185" t="s">
        <v>24673</v>
      </c>
      <c r="C8185" t="str">
        <f>"8304709"</f>
        <v>8304709</v>
      </c>
      <c r="D8185" t="s">
        <v>24674</v>
      </c>
      <c r="E8185" t="s">
        <v>24675</v>
      </c>
      <c r="F8185" t="s">
        <v>24676</v>
      </c>
      <c r="I8185" t="s">
        <v>24359</v>
      </c>
      <c r="J8185" t="s">
        <v>30</v>
      </c>
      <c r="K8185" t="str">
        <f>"27006"</f>
        <v>27006</v>
      </c>
      <c r="M8185" t="s">
        <v>17861</v>
      </c>
      <c r="N8185" t="str">
        <f>"2/16/2015 2:13:00 PM"</f>
        <v>2/16/2015 2:13:00 PM</v>
      </c>
      <c r="O8185" t="s">
        <v>24674</v>
      </c>
      <c r="T8185" t="s">
        <v>24675</v>
      </c>
    </row>
    <row r="8186" spans="1:20" x14ac:dyDescent="0.25">
      <c r="A8186" t="str">
        <f>"3038088"</f>
        <v>3038088</v>
      </c>
      <c r="B8186" t="s">
        <v>24677</v>
      </c>
      <c r="C8186" t="str">
        <f>"8304709"</f>
        <v>8304709</v>
      </c>
      <c r="D8186" t="s">
        <v>24674</v>
      </c>
      <c r="E8186" t="s">
        <v>24675</v>
      </c>
      <c r="F8186" t="s">
        <v>24676</v>
      </c>
      <c r="I8186" t="s">
        <v>24359</v>
      </c>
      <c r="J8186" t="s">
        <v>30</v>
      </c>
      <c r="K8186" t="str">
        <f>"27006"</f>
        <v>27006</v>
      </c>
      <c r="M8186" t="s">
        <v>17861</v>
      </c>
      <c r="N8186" t="str">
        <f>"2/16/2015 2:13:00 PM"</f>
        <v>2/16/2015 2:13:00 PM</v>
      </c>
      <c r="O8186" t="s">
        <v>24674</v>
      </c>
      <c r="T8186" t="s">
        <v>24675</v>
      </c>
    </row>
    <row r="8187" spans="1:20" x14ac:dyDescent="0.25">
      <c r="A8187" t="str">
        <f>"3047676"</f>
        <v>3047676</v>
      </c>
      <c r="B8187" t="s">
        <v>24678</v>
      </c>
      <c r="C8187" t="str">
        <f>"8303587"</f>
        <v>8303587</v>
      </c>
      <c r="D8187" t="s">
        <v>24450</v>
      </c>
      <c r="F8187" t="s">
        <v>24451</v>
      </c>
      <c r="I8187" t="s">
        <v>471</v>
      </c>
      <c r="J8187" t="s">
        <v>30</v>
      </c>
      <c r="K8187" t="str">
        <f>"27103"</f>
        <v>27103</v>
      </c>
      <c r="M8187" t="s">
        <v>18479</v>
      </c>
      <c r="N8187" t="str">
        <f>"2/19/2015 9:11:00 AM"</f>
        <v>2/19/2015 9:11:00 AM</v>
      </c>
      <c r="O8187" t="s">
        <v>24450</v>
      </c>
    </row>
    <row r="8188" spans="1:20" x14ac:dyDescent="0.25">
      <c r="A8188" t="str">
        <f>"3055907"</f>
        <v>3055907</v>
      </c>
      <c r="B8188" t="s">
        <v>24679</v>
      </c>
      <c r="C8188" t="str">
        <f>"8303393"</f>
        <v>8303393</v>
      </c>
      <c r="D8188" t="s">
        <v>24680</v>
      </c>
      <c r="F8188" t="s">
        <v>24681</v>
      </c>
      <c r="I8188" t="s">
        <v>9580</v>
      </c>
      <c r="J8188" t="s">
        <v>30</v>
      </c>
      <c r="K8188" t="str">
        <f>"27014"</f>
        <v>27014</v>
      </c>
      <c r="M8188" t="s">
        <v>17861</v>
      </c>
      <c r="N8188" t="str">
        <f>"2/19/2015 10:55:00 AM"</f>
        <v>2/19/2015 10:55:00 AM</v>
      </c>
      <c r="O8188" t="s">
        <v>24680</v>
      </c>
    </row>
    <row r="8189" spans="1:20" x14ac:dyDescent="0.25">
      <c r="A8189" t="str">
        <f>"3052884"</f>
        <v>3052884</v>
      </c>
      <c r="B8189" t="s">
        <v>24682</v>
      </c>
      <c r="C8189" t="str">
        <f>"8304721"</f>
        <v>8304721</v>
      </c>
      <c r="D8189" t="s">
        <v>24683</v>
      </c>
      <c r="E8189" t="str">
        <f>"ANGUS JANICE F/FOSTER THOMAS L"</f>
        <v>ANGUS JANICE F/FOSTER THOMAS L</v>
      </c>
      <c r="F8189" t="s">
        <v>24684</v>
      </c>
      <c r="I8189" t="s">
        <v>17921</v>
      </c>
      <c r="J8189" t="s">
        <v>30</v>
      </c>
      <c r="K8189" t="str">
        <f>"27028"</f>
        <v>27028</v>
      </c>
      <c r="M8189" t="s">
        <v>17861</v>
      </c>
      <c r="N8189" t="str">
        <f>"2/19/2015 4:09:00 PM"</f>
        <v>2/19/2015 4:09:00 PM</v>
      </c>
      <c r="O8189" t="s">
        <v>24683</v>
      </c>
      <c r="T8189" t="str">
        <f>"ANGUS JANICE F/FOSTER THOMAS L"</f>
        <v>ANGUS JANICE F/FOSTER THOMAS L</v>
      </c>
    </row>
    <row r="8190" spans="1:20" x14ac:dyDescent="0.25">
      <c r="A8190" t="str">
        <f>"3056544"</f>
        <v>3056544</v>
      </c>
      <c r="B8190" t="s">
        <v>24685</v>
      </c>
      <c r="C8190" t="str">
        <f>"38600000"</f>
        <v>38600000</v>
      </c>
      <c r="D8190" t="s">
        <v>24686</v>
      </c>
      <c r="E8190" t="s">
        <v>24687</v>
      </c>
      <c r="F8190" t="s">
        <v>24688</v>
      </c>
      <c r="I8190" t="s">
        <v>29</v>
      </c>
      <c r="J8190" t="s">
        <v>30</v>
      </c>
      <c r="K8190" t="str">
        <f>"27028"</f>
        <v>27028</v>
      </c>
      <c r="M8190" t="s">
        <v>23082</v>
      </c>
      <c r="N8190" t="str">
        <f>"2/24/2015 4:44:00 PM"</f>
        <v>2/24/2015 4:44:00 PM</v>
      </c>
      <c r="O8190" t="s">
        <v>24686</v>
      </c>
      <c r="T8190" t="s">
        <v>24687</v>
      </c>
    </row>
    <row r="8191" spans="1:20" x14ac:dyDescent="0.25">
      <c r="A8191" t="str">
        <f>"3056223"</f>
        <v>3056223</v>
      </c>
      <c r="B8191" t="s">
        <v>24689</v>
      </c>
      <c r="C8191" t="str">
        <f>"38600000"</f>
        <v>38600000</v>
      </c>
      <c r="D8191" t="s">
        <v>24686</v>
      </c>
      <c r="E8191" t="s">
        <v>24687</v>
      </c>
      <c r="F8191" t="s">
        <v>24688</v>
      </c>
      <c r="I8191" t="s">
        <v>29</v>
      </c>
      <c r="J8191" t="s">
        <v>30</v>
      </c>
      <c r="K8191" t="str">
        <f>"27028"</f>
        <v>27028</v>
      </c>
      <c r="M8191" t="s">
        <v>23082</v>
      </c>
      <c r="N8191" t="str">
        <f>"2/24/2015 4:44:00 PM"</f>
        <v>2/24/2015 4:44:00 PM</v>
      </c>
      <c r="O8191" t="s">
        <v>24686</v>
      </c>
      <c r="T8191" t="s">
        <v>24687</v>
      </c>
    </row>
    <row r="8192" spans="1:20" x14ac:dyDescent="0.25">
      <c r="A8192" t="str">
        <f>"3059312"</f>
        <v>3059312</v>
      </c>
      <c r="B8192" t="s">
        <v>24690</v>
      </c>
      <c r="C8192" t="str">
        <f>"38608000"</f>
        <v>38608000</v>
      </c>
      <c r="D8192" t="s">
        <v>24691</v>
      </c>
      <c r="E8192" t="s">
        <v>24692</v>
      </c>
      <c r="F8192" t="s">
        <v>24693</v>
      </c>
      <c r="I8192" t="s">
        <v>29</v>
      </c>
      <c r="J8192" t="s">
        <v>30</v>
      </c>
      <c r="K8192" t="s">
        <v>31</v>
      </c>
      <c r="M8192" t="s">
        <v>23082</v>
      </c>
      <c r="N8192" t="str">
        <f>"2/24/2015 4:45:00 PM"</f>
        <v>2/24/2015 4:45:00 PM</v>
      </c>
      <c r="O8192" t="s">
        <v>24691</v>
      </c>
      <c r="T8192" t="s">
        <v>24692</v>
      </c>
    </row>
    <row r="8193" spans="1:20" x14ac:dyDescent="0.25">
      <c r="A8193" t="str">
        <f>"3054425"</f>
        <v>3054425</v>
      </c>
      <c r="B8193" t="s">
        <v>24694</v>
      </c>
      <c r="C8193" t="str">
        <f>"82523712"</f>
        <v>82523712</v>
      </c>
      <c r="D8193" t="s">
        <v>24695</v>
      </c>
      <c r="E8193" t="s">
        <v>24696</v>
      </c>
      <c r="F8193" t="s">
        <v>24697</v>
      </c>
      <c r="I8193" t="s">
        <v>29</v>
      </c>
      <c r="J8193" t="s">
        <v>30</v>
      </c>
      <c r="K8193" t="s">
        <v>31</v>
      </c>
      <c r="M8193" t="s">
        <v>23082</v>
      </c>
      <c r="N8193" t="str">
        <f>"2/24/2015 4:57:00 PM"</f>
        <v>2/24/2015 4:57:00 PM</v>
      </c>
      <c r="O8193" t="s">
        <v>24695</v>
      </c>
      <c r="T8193" t="s">
        <v>24696</v>
      </c>
    </row>
    <row r="8194" spans="1:20" x14ac:dyDescent="0.25">
      <c r="A8194" t="str">
        <f>"3045634"</f>
        <v>3045634</v>
      </c>
      <c r="B8194" t="s">
        <v>24698</v>
      </c>
      <c r="C8194" t="str">
        <f>"82524283"</f>
        <v>82524283</v>
      </c>
      <c r="D8194" t="s">
        <v>24699</v>
      </c>
      <c r="E8194" t="s">
        <v>24700</v>
      </c>
      <c r="F8194" t="s">
        <v>24701</v>
      </c>
      <c r="I8194" t="s">
        <v>1149</v>
      </c>
      <c r="J8194" t="s">
        <v>30</v>
      </c>
      <c r="K8194" t="s">
        <v>24702</v>
      </c>
      <c r="M8194" t="s">
        <v>23082</v>
      </c>
      <c r="N8194" t="str">
        <f>"2/25/2015 9:06:00 AM"</f>
        <v>2/25/2015 9:06:00 AM</v>
      </c>
      <c r="O8194" t="s">
        <v>24699</v>
      </c>
      <c r="T8194" t="s">
        <v>24700</v>
      </c>
    </row>
    <row r="8195" spans="1:20" x14ac:dyDescent="0.25">
      <c r="A8195" t="str">
        <f>"3041963"</f>
        <v>3041963</v>
      </c>
      <c r="B8195" t="s">
        <v>24703</v>
      </c>
      <c r="C8195" t="str">
        <f>"82524283"</f>
        <v>82524283</v>
      </c>
      <c r="D8195" t="s">
        <v>24699</v>
      </c>
      <c r="E8195" t="s">
        <v>24700</v>
      </c>
      <c r="F8195" t="s">
        <v>24701</v>
      </c>
      <c r="I8195" t="s">
        <v>1149</v>
      </c>
      <c r="J8195" t="s">
        <v>30</v>
      </c>
      <c r="K8195" t="s">
        <v>24702</v>
      </c>
      <c r="M8195" t="s">
        <v>23082</v>
      </c>
      <c r="N8195" t="str">
        <f>"2/25/2015 9:06:00 AM"</f>
        <v>2/25/2015 9:06:00 AM</v>
      </c>
      <c r="O8195" t="s">
        <v>24699</v>
      </c>
      <c r="T8195" t="s">
        <v>24700</v>
      </c>
    </row>
    <row r="8196" spans="1:20" x14ac:dyDescent="0.25">
      <c r="A8196" t="str">
        <f>"3055012"</f>
        <v>3055012</v>
      </c>
      <c r="B8196" t="s">
        <v>24704</v>
      </c>
      <c r="C8196" t="str">
        <f>"82519766"</f>
        <v>82519766</v>
      </c>
      <c r="D8196" t="s">
        <v>24705</v>
      </c>
      <c r="F8196" t="s">
        <v>24706</v>
      </c>
      <c r="I8196" t="s">
        <v>29</v>
      </c>
      <c r="J8196" t="s">
        <v>30</v>
      </c>
      <c r="K8196" t="s">
        <v>31</v>
      </c>
      <c r="M8196" t="s">
        <v>23082</v>
      </c>
      <c r="N8196" t="str">
        <f>"2/25/2015 9:07:00 AM"</f>
        <v>2/25/2015 9:07:00 AM</v>
      </c>
      <c r="O8196" t="s">
        <v>24705</v>
      </c>
    </row>
    <row r="8197" spans="1:20" x14ac:dyDescent="0.25">
      <c r="A8197" t="str">
        <f>"3060081"</f>
        <v>3060081</v>
      </c>
      <c r="B8197" t="s">
        <v>24707</v>
      </c>
      <c r="C8197" t="str">
        <f>"82533050"</f>
        <v>82533050</v>
      </c>
      <c r="D8197" t="s">
        <v>24708</v>
      </c>
      <c r="E8197" t="s">
        <v>24709</v>
      </c>
      <c r="F8197" t="s">
        <v>24710</v>
      </c>
      <c r="I8197" t="s">
        <v>184</v>
      </c>
      <c r="J8197" t="s">
        <v>30</v>
      </c>
      <c r="K8197" t="str">
        <f>"27006"</f>
        <v>27006</v>
      </c>
      <c r="M8197" t="s">
        <v>23082</v>
      </c>
      <c r="N8197" t="str">
        <f>"2/25/2015 9:10:00 AM"</f>
        <v>2/25/2015 9:10:00 AM</v>
      </c>
      <c r="O8197" t="s">
        <v>24708</v>
      </c>
      <c r="T8197" t="s">
        <v>24709</v>
      </c>
    </row>
    <row r="8198" spans="1:20" x14ac:dyDescent="0.25">
      <c r="A8198" t="str">
        <f>"3039150"</f>
        <v>3039150</v>
      </c>
      <c r="B8198" t="s">
        <v>24711</v>
      </c>
      <c r="C8198" t="str">
        <f>"40851000"</f>
        <v>40851000</v>
      </c>
      <c r="D8198" t="s">
        <v>24712</v>
      </c>
      <c r="F8198" t="s">
        <v>24713</v>
      </c>
      <c r="I8198" t="s">
        <v>29</v>
      </c>
      <c r="J8198" t="s">
        <v>30</v>
      </c>
      <c r="K8198" t="s">
        <v>31</v>
      </c>
      <c r="M8198" t="s">
        <v>23082</v>
      </c>
      <c r="N8198" t="str">
        <f>"2/25/2015 9:11:00 AM"</f>
        <v>2/25/2015 9:11:00 AM</v>
      </c>
      <c r="O8198" t="s">
        <v>24712</v>
      </c>
    </row>
    <row r="8199" spans="1:20" x14ac:dyDescent="0.25">
      <c r="A8199" t="str">
        <f>"3044275"</f>
        <v>3044275</v>
      </c>
      <c r="B8199" t="s">
        <v>24714</v>
      </c>
      <c r="C8199" t="str">
        <f>"8300215"</f>
        <v>8300215</v>
      </c>
      <c r="D8199" t="s">
        <v>24715</v>
      </c>
      <c r="E8199" t="s">
        <v>24716</v>
      </c>
      <c r="F8199" t="s">
        <v>24717</v>
      </c>
      <c r="I8199" t="s">
        <v>184</v>
      </c>
      <c r="J8199" t="s">
        <v>30</v>
      </c>
      <c r="K8199" t="s">
        <v>185</v>
      </c>
      <c r="M8199" t="s">
        <v>23082</v>
      </c>
      <c r="N8199" t="str">
        <f>"2/25/2015 9:12:00 AM"</f>
        <v>2/25/2015 9:12:00 AM</v>
      </c>
      <c r="O8199" t="s">
        <v>24715</v>
      </c>
      <c r="T8199" t="s">
        <v>24716</v>
      </c>
    </row>
    <row r="8200" spans="1:20" x14ac:dyDescent="0.25">
      <c r="A8200" t="str">
        <f>"3052180"</f>
        <v>3052180</v>
      </c>
      <c r="B8200" t="s">
        <v>24718</v>
      </c>
      <c r="C8200" t="str">
        <f>"8304721"</f>
        <v>8304721</v>
      </c>
      <c r="D8200" t="s">
        <v>24683</v>
      </c>
      <c r="E8200" t="str">
        <f>"ANGUS JANICE F/FOSTER THOMAS L"</f>
        <v>ANGUS JANICE F/FOSTER THOMAS L</v>
      </c>
      <c r="F8200" t="s">
        <v>24684</v>
      </c>
      <c r="I8200" t="s">
        <v>17921</v>
      </c>
      <c r="J8200" t="s">
        <v>30</v>
      </c>
      <c r="K8200" t="str">
        <f>"27028"</f>
        <v>27028</v>
      </c>
      <c r="M8200" t="s">
        <v>17861</v>
      </c>
      <c r="N8200" t="str">
        <f>"2/19/2015 4:09:00 PM"</f>
        <v>2/19/2015 4:09:00 PM</v>
      </c>
      <c r="O8200" t="s">
        <v>24683</v>
      </c>
      <c r="T8200" t="str">
        <f>"ANGUS JANICE F/FOSTER THOMAS L"</f>
        <v>ANGUS JANICE F/FOSTER THOMAS L</v>
      </c>
    </row>
    <row r="8201" spans="1:20" x14ac:dyDescent="0.25">
      <c r="A8201" t="str">
        <f>"3078255"</f>
        <v>3078255</v>
      </c>
      <c r="B8201" t="s">
        <v>24719</v>
      </c>
      <c r="C8201" t="str">
        <f>"8304721"</f>
        <v>8304721</v>
      </c>
      <c r="D8201" t="s">
        <v>24683</v>
      </c>
      <c r="E8201" t="str">
        <f>"ANGUS JANICE F/FOSTER THOMAS L"</f>
        <v>ANGUS JANICE F/FOSTER THOMAS L</v>
      </c>
      <c r="F8201" t="s">
        <v>24684</v>
      </c>
      <c r="I8201" t="s">
        <v>17921</v>
      </c>
      <c r="J8201" t="s">
        <v>30</v>
      </c>
      <c r="K8201" t="str">
        <f>"27028"</f>
        <v>27028</v>
      </c>
      <c r="M8201" t="s">
        <v>17861</v>
      </c>
      <c r="N8201" t="str">
        <f>"2/19/2015 4:09:00 PM"</f>
        <v>2/19/2015 4:09:00 PM</v>
      </c>
      <c r="O8201" t="s">
        <v>24683</v>
      </c>
      <c r="T8201" t="str">
        <f>"ANGUS JANICE F/FOSTER THOMAS L"</f>
        <v>ANGUS JANICE F/FOSTER THOMAS L</v>
      </c>
    </row>
    <row r="8202" spans="1:20" x14ac:dyDescent="0.25">
      <c r="A8202" t="str">
        <f>"3037370"</f>
        <v>3037370</v>
      </c>
      <c r="B8202" t="s">
        <v>24720</v>
      </c>
      <c r="C8202" t="str">
        <f>"82523024"</f>
        <v>82523024</v>
      </c>
      <c r="D8202" t="s">
        <v>24721</v>
      </c>
      <c r="F8202" t="s">
        <v>24722</v>
      </c>
      <c r="I8202" t="s">
        <v>184</v>
      </c>
      <c r="J8202" t="s">
        <v>30</v>
      </c>
      <c r="K8202" t="s">
        <v>24723</v>
      </c>
      <c r="M8202" t="s">
        <v>17861</v>
      </c>
      <c r="N8202" t="str">
        <f>"2/19/2015 4:22:00 PM"</f>
        <v>2/19/2015 4:22:00 PM</v>
      </c>
      <c r="O8202" t="s">
        <v>24721</v>
      </c>
    </row>
    <row r="8203" spans="1:20" x14ac:dyDescent="0.25">
      <c r="A8203" t="str">
        <f>"3057237"</f>
        <v>3057237</v>
      </c>
      <c r="B8203" t="s">
        <v>24724</v>
      </c>
      <c r="C8203" t="str">
        <f>"43092000"</f>
        <v>43092000</v>
      </c>
      <c r="D8203" t="s">
        <v>24725</v>
      </c>
      <c r="E8203" t="s">
        <v>24726</v>
      </c>
      <c r="F8203" t="s">
        <v>24727</v>
      </c>
      <c r="I8203" t="s">
        <v>29</v>
      </c>
      <c r="J8203" t="s">
        <v>30</v>
      </c>
      <c r="K8203" t="s">
        <v>31</v>
      </c>
      <c r="M8203" t="s">
        <v>23082</v>
      </c>
      <c r="N8203" t="str">
        <f>"2/25/2015 9:29:00 AM"</f>
        <v>2/25/2015 9:29:00 AM</v>
      </c>
      <c r="O8203" t="s">
        <v>24725</v>
      </c>
      <c r="T8203" t="s">
        <v>24726</v>
      </c>
    </row>
    <row r="8204" spans="1:20" x14ac:dyDescent="0.25">
      <c r="A8204" t="str">
        <f>"3057245"</f>
        <v>3057245</v>
      </c>
      <c r="B8204" t="s">
        <v>24728</v>
      </c>
      <c r="C8204" t="str">
        <f>"43092000"</f>
        <v>43092000</v>
      </c>
      <c r="D8204" t="s">
        <v>24725</v>
      </c>
      <c r="E8204" t="s">
        <v>24726</v>
      </c>
      <c r="F8204" t="s">
        <v>24727</v>
      </c>
      <c r="I8204" t="s">
        <v>29</v>
      </c>
      <c r="J8204" t="s">
        <v>30</v>
      </c>
      <c r="K8204" t="s">
        <v>31</v>
      </c>
      <c r="M8204" t="s">
        <v>23082</v>
      </c>
      <c r="N8204" t="str">
        <f>"2/25/2015 9:29:00 AM"</f>
        <v>2/25/2015 9:29:00 AM</v>
      </c>
      <c r="O8204" t="s">
        <v>24725</v>
      </c>
      <c r="T8204" t="s">
        <v>24726</v>
      </c>
    </row>
    <row r="8205" spans="1:20" x14ac:dyDescent="0.25">
      <c r="A8205" t="str">
        <f>"3058171"</f>
        <v>3058171</v>
      </c>
      <c r="B8205" t="s">
        <v>24729</v>
      </c>
      <c r="C8205" t="str">
        <f>"43092000"</f>
        <v>43092000</v>
      </c>
      <c r="D8205" t="s">
        <v>24725</v>
      </c>
      <c r="E8205" t="s">
        <v>24726</v>
      </c>
      <c r="F8205" t="s">
        <v>24727</v>
      </c>
      <c r="I8205" t="s">
        <v>29</v>
      </c>
      <c r="J8205" t="s">
        <v>30</v>
      </c>
      <c r="K8205" t="s">
        <v>31</v>
      </c>
      <c r="M8205" t="s">
        <v>23082</v>
      </c>
      <c r="N8205" t="str">
        <f>"2/25/2015 9:29:00 AM"</f>
        <v>2/25/2015 9:29:00 AM</v>
      </c>
      <c r="O8205" t="s">
        <v>24725</v>
      </c>
      <c r="T8205" t="s">
        <v>24726</v>
      </c>
    </row>
    <row r="8206" spans="1:20" x14ac:dyDescent="0.25">
      <c r="A8206" t="str">
        <f>"3058730"</f>
        <v>3058730</v>
      </c>
      <c r="B8206" t="s">
        <v>24730</v>
      </c>
      <c r="C8206" t="str">
        <f>"82530416"</f>
        <v>82530416</v>
      </c>
      <c r="D8206" t="s">
        <v>24731</v>
      </c>
      <c r="E8206" t="s">
        <v>24732</v>
      </c>
      <c r="F8206" t="s">
        <v>24733</v>
      </c>
      <c r="I8206" t="s">
        <v>29</v>
      </c>
      <c r="J8206" t="s">
        <v>30</v>
      </c>
      <c r="K8206" t="s">
        <v>31</v>
      </c>
      <c r="M8206" t="s">
        <v>23082</v>
      </c>
      <c r="N8206" t="str">
        <f>"2/25/2015 9:30:00 AM"</f>
        <v>2/25/2015 9:30:00 AM</v>
      </c>
      <c r="O8206" t="s">
        <v>24731</v>
      </c>
      <c r="T8206" t="s">
        <v>24732</v>
      </c>
    </row>
    <row r="8207" spans="1:20" x14ac:dyDescent="0.25">
      <c r="A8207" t="str">
        <f>"3054005"</f>
        <v>3054005</v>
      </c>
      <c r="B8207" t="s">
        <v>24734</v>
      </c>
      <c r="C8207" t="str">
        <f>"8303442"</f>
        <v>8303442</v>
      </c>
      <c r="D8207" t="s">
        <v>24735</v>
      </c>
      <c r="F8207" t="s">
        <v>24736</v>
      </c>
      <c r="I8207" t="s">
        <v>402</v>
      </c>
      <c r="J8207" t="s">
        <v>30</v>
      </c>
      <c r="K8207" t="str">
        <f>"27012"</f>
        <v>27012</v>
      </c>
      <c r="M8207" t="s">
        <v>18479</v>
      </c>
      <c r="N8207" t="str">
        <f>"2/25/2015 9:31:00 AM"</f>
        <v>2/25/2015 9:31:00 AM</v>
      </c>
      <c r="O8207" t="s">
        <v>24735</v>
      </c>
    </row>
    <row r="8208" spans="1:20" x14ac:dyDescent="0.25">
      <c r="A8208" t="str">
        <f>"3042595"</f>
        <v>3042595</v>
      </c>
      <c r="B8208" t="s">
        <v>24737</v>
      </c>
      <c r="C8208" t="str">
        <f>"82527640"</f>
        <v>82527640</v>
      </c>
      <c r="D8208" t="s">
        <v>24738</v>
      </c>
      <c r="E8208" t="s">
        <v>24739</v>
      </c>
      <c r="F8208" t="s">
        <v>24740</v>
      </c>
      <c r="I8208" t="s">
        <v>29</v>
      </c>
      <c r="J8208" t="s">
        <v>30</v>
      </c>
      <c r="K8208" t="s">
        <v>31</v>
      </c>
      <c r="M8208" t="s">
        <v>23082</v>
      </c>
      <c r="N8208" t="str">
        <f>"2/25/2015 9:35:00 AM"</f>
        <v>2/25/2015 9:35:00 AM</v>
      </c>
      <c r="O8208" t="s">
        <v>24738</v>
      </c>
      <c r="T8208" t="s">
        <v>24739</v>
      </c>
    </row>
    <row r="8209" spans="1:20" x14ac:dyDescent="0.25">
      <c r="A8209" t="str">
        <f>"3077916"</f>
        <v>3077916</v>
      </c>
      <c r="B8209" t="s">
        <v>24741</v>
      </c>
      <c r="C8209" t="str">
        <f>"82527640"</f>
        <v>82527640</v>
      </c>
      <c r="D8209" t="s">
        <v>24738</v>
      </c>
      <c r="E8209" t="s">
        <v>24739</v>
      </c>
      <c r="F8209" t="s">
        <v>24740</v>
      </c>
      <c r="I8209" t="s">
        <v>29</v>
      </c>
      <c r="J8209" t="s">
        <v>30</v>
      </c>
      <c r="K8209" t="s">
        <v>31</v>
      </c>
      <c r="M8209" t="s">
        <v>23082</v>
      </c>
      <c r="N8209" t="str">
        <f>"2/25/2015 9:35:00 AM"</f>
        <v>2/25/2015 9:35:00 AM</v>
      </c>
      <c r="O8209" t="s">
        <v>24738</v>
      </c>
      <c r="T8209" t="s">
        <v>24739</v>
      </c>
    </row>
    <row r="8210" spans="1:20" x14ac:dyDescent="0.25">
      <c r="A8210" t="str">
        <f>"3077989"</f>
        <v>3077989</v>
      </c>
      <c r="B8210" t="s">
        <v>24742</v>
      </c>
      <c r="C8210" t="str">
        <f>"82523371"</f>
        <v>82523371</v>
      </c>
      <c r="D8210" t="s">
        <v>24743</v>
      </c>
      <c r="E8210" t="s">
        <v>24744</v>
      </c>
      <c r="F8210" t="s">
        <v>24740</v>
      </c>
      <c r="I8210" t="s">
        <v>29</v>
      </c>
      <c r="J8210" t="s">
        <v>30</v>
      </c>
      <c r="K8210" t="s">
        <v>7026</v>
      </c>
      <c r="M8210" t="s">
        <v>23082</v>
      </c>
      <c r="N8210" t="str">
        <f>"2/25/2015 9:36:00 AM"</f>
        <v>2/25/2015 9:36:00 AM</v>
      </c>
      <c r="O8210" t="s">
        <v>24743</v>
      </c>
      <c r="T8210" t="s">
        <v>24744</v>
      </c>
    </row>
    <row r="8211" spans="1:20" x14ac:dyDescent="0.25">
      <c r="A8211" t="str">
        <f>"3077990"</f>
        <v>3077990</v>
      </c>
      <c r="B8211" t="s">
        <v>24745</v>
      </c>
      <c r="C8211" t="str">
        <f>"82523371"</f>
        <v>82523371</v>
      </c>
      <c r="D8211" t="s">
        <v>24743</v>
      </c>
      <c r="E8211" t="s">
        <v>24744</v>
      </c>
      <c r="F8211" t="s">
        <v>24740</v>
      </c>
      <c r="I8211" t="s">
        <v>29</v>
      </c>
      <c r="J8211" t="s">
        <v>30</v>
      </c>
      <c r="K8211" t="s">
        <v>7026</v>
      </c>
      <c r="M8211" t="s">
        <v>23082</v>
      </c>
      <c r="N8211" t="str">
        <f>"2/25/2015 9:36:00 AM"</f>
        <v>2/25/2015 9:36:00 AM</v>
      </c>
      <c r="O8211" t="s">
        <v>24743</v>
      </c>
      <c r="T8211" t="s">
        <v>24744</v>
      </c>
    </row>
    <row r="8212" spans="1:20" x14ac:dyDescent="0.25">
      <c r="A8212" t="str">
        <f>"3077078"</f>
        <v>3077078</v>
      </c>
      <c r="B8212" t="s">
        <v>24746</v>
      </c>
      <c r="C8212" t="str">
        <f>"82523371"</f>
        <v>82523371</v>
      </c>
      <c r="D8212" t="s">
        <v>24743</v>
      </c>
      <c r="E8212" t="s">
        <v>24744</v>
      </c>
      <c r="F8212" t="s">
        <v>24740</v>
      </c>
      <c r="I8212" t="s">
        <v>29</v>
      </c>
      <c r="J8212" t="s">
        <v>30</v>
      </c>
      <c r="K8212" t="s">
        <v>7026</v>
      </c>
      <c r="M8212" t="s">
        <v>23082</v>
      </c>
      <c r="N8212" t="str">
        <f>"2/25/2015 9:36:00 AM"</f>
        <v>2/25/2015 9:36:00 AM</v>
      </c>
      <c r="O8212" t="s">
        <v>24743</v>
      </c>
      <c r="T8212" t="s">
        <v>24744</v>
      </c>
    </row>
    <row r="8213" spans="1:20" x14ac:dyDescent="0.25">
      <c r="A8213" t="str">
        <f>"3054833"</f>
        <v>3054833</v>
      </c>
      <c r="B8213" t="s">
        <v>24747</v>
      </c>
      <c r="C8213" t="str">
        <f>"82523371"</f>
        <v>82523371</v>
      </c>
      <c r="D8213" t="s">
        <v>24743</v>
      </c>
      <c r="E8213" t="s">
        <v>24744</v>
      </c>
      <c r="F8213" t="s">
        <v>24740</v>
      </c>
      <c r="I8213" t="s">
        <v>29</v>
      </c>
      <c r="J8213" t="s">
        <v>30</v>
      </c>
      <c r="K8213" t="s">
        <v>7026</v>
      </c>
      <c r="M8213" t="s">
        <v>23082</v>
      </c>
      <c r="N8213" t="str">
        <f>"2/25/2015 9:36:00 AM"</f>
        <v>2/25/2015 9:36:00 AM</v>
      </c>
      <c r="O8213" t="s">
        <v>24743</v>
      </c>
      <c r="T8213" t="s">
        <v>24744</v>
      </c>
    </row>
    <row r="8214" spans="1:20" x14ac:dyDescent="0.25">
      <c r="A8214" t="str">
        <f>"3052425"</f>
        <v>3052425</v>
      </c>
      <c r="B8214" t="s">
        <v>24748</v>
      </c>
      <c r="C8214" t="str">
        <f>"8304047"</f>
        <v>8304047</v>
      </c>
      <c r="D8214" t="s">
        <v>24749</v>
      </c>
      <c r="F8214" t="s">
        <v>24750</v>
      </c>
      <c r="I8214" t="s">
        <v>29</v>
      </c>
      <c r="J8214" t="s">
        <v>30</v>
      </c>
      <c r="K8214" t="str">
        <f>"27028"</f>
        <v>27028</v>
      </c>
      <c r="M8214" t="s">
        <v>18479</v>
      </c>
      <c r="N8214" t="str">
        <f>"2/25/2015 9:57:00 AM"</f>
        <v>2/25/2015 9:57:00 AM</v>
      </c>
      <c r="O8214" t="s">
        <v>24749</v>
      </c>
    </row>
    <row r="8215" spans="1:20" x14ac:dyDescent="0.25">
      <c r="A8215" t="str">
        <f>"3050472"</f>
        <v>3050472</v>
      </c>
      <c r="B8215" t="s">
        <v>24751</v>
      </c>
      <c r="C8215" t="str">
        <f>"52545000"</f>
        <v>52545000</v>
      </c>
      <c r="D8215" t="s">
        <v>24752</v>
      </c>
      <c r="E8215" t="s">
        <v>24753</v>
      </c>
      <c r="F8215" t="s">
        <v>24754</v>
      </c>
      <c r="I8215" t="s">
        <v>29</v>
      </c>
      <c r="J8215" t="s">
        <v>30</v>
      </c>
      <c r="K8215" t="s">
        <v>13959</v>
      </c>
      <c r="M8215" t="s">
        <v>23082</v>
      </c>
      <c r="N8215" t="str">
        <f>"2/20/2015 11:14:00 AM"</f>
        <v>2/20/2015 11:14:00 AM</v>
      </c>
      <c r="O8215" t="s">
        <v>24752</v>
      </c>
      <c r="T8215" t="s">
        <v>24753</v>
      </c>
    </row>
    <row r="8216" spans="1:20" x14ac:dyDescent="0.25">
      <c r="A8216" t="str">
        <f>"3050332"</f>
        <v>3050332</v>
      </c>
      <c r="B8216" t="s">
        <v>24755</v>
      </c>
      <c r="C8216" t="str">
        <f>"52545000"</f>
        <v>52545000</v>
      </c>
      <c r="D8216" t="s">
        <v>24752</v>
      </c>
      <c r="E8216" t="s">
        <v>24753</v>
      </c>
      <c r="F8216" t="s">
        <v>24754</v>
      </c>
      <c r="I8216" t="s">
        <v>29</v>
      </c>
      <c r="J8216" t="s">
        <v>30</v>
      </c>
      <c r="K8216" t="s">
        <v>13959</v>
      </c>
      <c r="M8216" t="s">
        <v>23082</v>
      </c>
      <c r="N8216" t="str">
        <f>"2/20/2015 11:14:00 AM"</f>
        <v>2/20/2015 11:14:00 AM</v>
      </c>
      <c r="O8216" t="s">
        <v>24752</v>
      </c>
      <c r="T8216" t="s">
        <v>24753</v>
      </c>
    </row>
    <row r="8217" spans="1:20" x14ac:dyDescent="0.25">
      <c r="A8217" t="str">
        <f>"3068499"</f>
        <v>3068499</v>
      </c>
      <c r="B8217" t="s">
        <v>24756</v>
      </c>
      <c r="C8217" t="str">
        <f>"82527832"</f>
        <v>82527832</v>
      </c>
      <c r="D8217" t="s">
        <v>24757</v>
      </c>
      <c r="E8217" t="s">
        <v>24758</v>
      </c>
      <c r="F8217" t="s">
        <v>8332</v>
      </c>
      <c r="I8217" t="s">
        <v>29</v>
      </c>
      <c r="J8217" t="s">
        <v>30</v>
      </c>
      <c r="K8217" t="s">
        <v>31</v>
      </c>
      <c r="M8217" t="s">
        <v>23082</v>
      </c>
      <c r="N8217" t="str">
        <f>"2/25/2015 10:45:00 AM"</f>
        <v>2/25/2015 10:45:00 AM</v>
      </c>
      <c r="O8217" t="s">
        <v>24757</v>
      </c>
      <c r="T8217" t="s">
        <v>24758</v>
      </c>
    </row>
    <row r="8218" spans="1:20" x14ac:dyDescent="0.25">
      <c r="A8218" t="str">
        <f>"3065680"</f>
        <v>3065680</v>
      </c>
      <c r="B8218" t="s">
        <v>24759</v>
      </c>
      <c r="C8218" t="str">
        <f>"49492380"</f>
        <v>49492380</v>
      </c>
      <c r="D8218" t="s">
        <v>24760</v>
      </c>
      <c r="E8218" t="s">
        <v>24761</v>
      </c>
      <c r="F8218" t="s">
        <v>24762</v>
      </c>
      <c r="I8218" t="s">
        <v>29</v>
      </c>
      <c r="J8218" t="s">
        <v>30</v>
      </c>
      <c r="K8218" t="s">
        <v>24763</v>
      </c>
      <c r="M8218" t="s">
        <v>23082</v>
      </c>
      <c r="N8218" t="str">
        <f>"2/25/2015 10:47:00 AM"</f>
        <v>2/25/2015 10:47:00 AM</v>
      </c>
      <c r="O8218" t="s">
        <v>24760</v>
      </c>
      <c r="T8218" t="s">
        <v>24761</v>
      </c>
    </row>
    <row r="8219" spans="1:20" x14ac:dyDescent="0.25">
      <c r="A8219" t="str">
        <f>"3045005"</f>
        <v>3045005</v>
      </c>
      <c r="B8219" t="s">
        <v>24764</v>
      </c>
      <c r="C8219" t="str">
        <f>"49492380"</f>
        <v>49492380</v>
      </c>
      <c r="D8219" t="s">
        <v>24760</v>
      </c>
      <c r="E8219" t="s">
        <v>24761</v>
      </c>
      <c r="F8219" t="s">
        <v>24762</v>
      </c>
      <c r="I8219" t="s">
        <v>29</v>
      </c>
      <c r="J8219" t="s">
        <v>30</v>
      </c>
      <c r="K8219" t="s">
        <v>24763</v>
      </c>
      <c r="M8219" t="s">
        <v>23082</v>
      </c>
      <c r="N8219" t="str">
        <f>"2/25/2015 10:47:00 AM"</f>
        <v>2/25/2015 10:47:00 AM</v>
      </c>
      <c r="O8219" t="s">
        <v>24760</v>
      </c>
      <c r="T8219" t="s">
        <v>24761</v>
      </c>
    </row>
    <row r="8220" spans="1:20" x14ac:dyDescent="0.25">
      <c r="A8220" t="str">
        <f>"3055436"</f>
        <v>3055436</v>
      </c>
      <c r="B8220" t="s">
        <v>24765</v>
      </c>
      <c r="C8220" t="str">
        <f>"18076000"</f>
        <v>18076000</v>
      </c>
      <c r="D8220" t="s">
        <v>24766</v>
      </c>
      <c r="E8220" t="s">
        <v>24767</v>
      </c>
      <c r="F8220" t="s">
        <v>24768</v>
      </c>
      <c r="I8220" t="s">
        <v>29</v>
      </c>
      <c r="J8220" t="s">
        <v>30</v>
      </c>
      <c r="K8220" t="s">
        <v>31</v>
      </c>
      <c r="M8220" t="s">
        <v>18479</v>
      </c>
      <c r="N8220" t="str">
        <f>"2/25/2015 10:59:00 AM"</f>
        <v>2/25/2015 10:59:00 AM</v>
      </c>
      <c r="O8220" t="s">
        <v>24766</v>
      </c>
      <c r="T8220" t="s">
        <v>24767</v>
      </c>
    </row>
    <row r="8221" spans="1:20" x14ac:dyDescent="0.25">
      <c r="A8221" t="str">
        <f>"3047523"</f>
        <v>3047523</v>
      </c>
      <c r="B8221" t="s">
        <v>24769</v>
      </c>
      <c r="C8221" t="str">
        <f>"8304741"</f>
        <v>8304741</v>
      </c>
      <c r="D8221" t="s">
        <v>24770</v>
      </c>
      <c r="F8221" t="s">
        <v>24771</v>
      </c>
      <c r="I8221" t="s">
        <v>17921</v>
      </c>
      <c r="J8221" t="s">
        <v>30</v>
      </c>
      <c r="K8221" t="str">
        <f>"27028"</f>
        <v>27028</v>
      </c>
      <c r="M8221" t="s">
        <v>17861</v>
      </c>
      <c r="N8221" t="str">
        <f>"2/20/2015 4:16:00 PM"</f>
        <v>2/20/2015 4:16:00 PM</v>
      </c>
      <c r="O8221" t="s">
        <v>24770</v>
      </c>
    </row>
    <row r="8222" spans="1:20" x14ac:dyDescent="0.25">
      <c r="A8222" t="str">
        <f>"3053182"</f>
        <v>3053182</v>
      </c>
      <c r="B8222" t="s">
        <v>24772</v>
      </c>
      <c r="C8222" t="str">
        <f>"82519952"</f>
        <v>82519952</v>
      </c>
      <c r="D8222" t="s">
        <v>24773</v>
      </c>
      <c r="E8222" t="s">
        <v>24774</v>
      </c>
      <c r="F8222" t="s">
        <v>24775</v>
      </c>
      <c r="I8222" t="s">
        <v>29</v>
      </c>
      <c r="J8222" t="s">
        <v>30</v>
      </c>
      <c r="K8222" t="s">
        <v>31</v>
      </c>
      <c r="M8222" t="s">
        <v>23082</v>
      </c>
      <c r="N8222" t="str">
        <f>"2/23/2015 10:21:00 AM"</f>
        <v>2/23/2015 10:21:00 AM</v>
      </c>
      <c r="O8222" t="s">
        <v>24773</v>
      </c>
      <c r="T8222" t="s">
        <v>24774</v>
      </c>
    </row>
    <row r="8223" spans="1:20" x14ac:dyDescent="0.25">
      <c r="A8223" t="str">
        <f>"3061142"</f>
        <v>3061142</v>
      </c>
      <c r="B8223" t="s">
        <v>24776</v>
      </c>
      <c r="C8223" t="str">
        <f>"8304671"</f>
        <v>8304671</v>
      </c>
      <c r="D8223" t="s">
        <v>24777</v>
      </c>
      <c r="F8223" t="s">
        <v>24778</v>
      </c>
      <c r="I8223" t="s">
        <v>24359</v>
      </c>
      <c r="J8223" t="s">
        <v>30</v>
      </c>
      <c r="K8223" t="str">
        <f>"27006"</f>
        <v>27006</v>
      </c>
      <c r="M8223" t="s">
        <v>17861</v>
      </c>
      <c r="N8223" t="str">
        <f>"2/13/2015 9:42:00 AM"</f>
        <v>2/13/2015 9:42:00 AM</v>
      </c>
      <c r="O8223" t="s">
        <v>24777</v>
      </c>
    </row>
    <row r="8224" spans="1:20" x14ac:dyDescent="0.25">
      <c r="A8224" t="str">
        <f>"3039021"</f>
        <v>3039021</v>
      </c>
      <c r="B8224" t="s">
        <v>24779</v>
      </c>
      <c r="C8224" t="str">
        <f>"50996000"</f>
        <v>50996000</v>
      </c>
      <c r="D8224" t="s">
        <v>24780</v>
      </c>
      <c r="E8224" t="s">
        <v>24781</v>
      </c>
      <c r="F8224" t="s">
        <v>600</v>
      </c>
      <c r="I8224" t="s">
        <v>29</v>
      </c>
      <c r="J8224" t="s">
        <v>30</v>
      </c>
      <c r="K8224" t="s">
        <v>31</v>
      </c>
      <c r="M8224" t="s">
        <v>23082</v>
      </c>
      <c r="N8224" t="str">
        <f>"2/25/2015 11:33:00 AM"</f>
        <v>2/25/2015 11:33:00 AM</v>
      </c>
      <c r="O8224" t="s">
        <v>24780</v>
      </c>
      <c r="T8224" t="s">
        <v>24781</v>
      </c>
    </row>
    <row r="8225" spans="1:20" x14ac:dyDescent="0.25">
      <c r="A8225" t="str">
        <f>"3053485"</f>
        <v>3053485</v>
      </c>
      <c r="B8225" t="s">
        <v>24782</v>
      </c>
      <c r="C8225" t="str">
        <f>"51318000"</f>
        <v>51318000</v>
      </c>
      <c r="D8225" t="s">
        <v>24783</v>
      </c>
      <c r="E8225" t="s">
        <v>24784</v>
      </c>
      <c r="F8225" t="s">
        <v>24785</v>
      </c>
      <c r="I8225" t="s">
        <v>29</v>
      </c>
      <c r="J8225" t="s">
        <v>30</v>
      </c>
      <c r="K8225" t="s">
        <v>31</v>
      </c>
      <c r="M8225" t="s">
        <v>23082</v>
      </c>
      <c r="N8225" t="str">
        <f>"2/25/2015 11:47:00 AM"</f>
        <v>2/25/2015 11:47:00 AM</v>
      </c>
      <c r="O8225" t="s">
        <v>24783</v>
      </c>
      <c r="T8225" t="s">
        <v>24784</v>
      </c>
    </row>
    <row r="8226" spans="1:20" x14ac:dyDescent="0.25">
      <c r="A8226" t="str">
        <f>"3038612"</f>
        <v>3038612</v>
      </c>
      <c r="B8226" t="s">
        <v>24786</v>
      </c>
      <c r="C8226" t="str">
        <f>"82531829"</f>
        <v>82531829</v>
      </c>
      <c r="D8226" t="s">
        <v>24787</v>
      </c>
      <c r="E8226" t="s">
        <v>24788</v>
      </c>
      <c r="F8226" t="s">
        <v>24789</v>
      </c>
      <c r="I8226" t="s">
        <v>29</v>
      </c>
      <c r="J8226" t="s">
        <v>30</v>
      </c>
      <c r="K8226" t="s">
        <v>31</v>
      </c>
      <c r="M8226" t="s">
        <v>17861</v>
      </c>
      <c r="N8226" t="str">
        <f>"2/25/2015 12:59:00 PM"</f>
        <v>2/25/2015 12:59:00 PM</v>
      </c>
      <c r="O8226" t="s">
        <v>24787</v>
      </c>
      <c r="T8226" t="s">
        <v>24788</v>
      </c>
    </row>
    <row r="8227" spans="1:20" x14ac:dyDescent="0.25">
      <c r="A8227" t="str">
        <f>"3046360"</f>
        <v>3046360</v>
      </c>
      <c r="B8227" t="s">
        <v>24790</v>
      </c>
      <c r="C8227" t="str">
        <f>"52213000"</f>
        <v>52213000</v>
      </c>
      <c r="D8227" t="s">
        <v>24791</v>
      </c>
      <c r="E8227" t="s">
        <v>24792</v>
      </c>
      <c r="F8227" t="s">
        <v>24793</v>
      </c>
      <c r="I8227" t="s">
        <v>29</v>
      </c>
      <c r="J8227" t="s">
        <v>30</v>
      </c>
      <c r="K8227" t="s">
        <v>31</v>
      </c>
      <c r="M8227" t="s">
        <v>23082</v>
      </c>
      <c r="N8227" t="str">
        <f>"2/25/2015 1:49:00 PM"</f>
        <v>2/25/2015 1:49:00 PM</v>
      </c>
      <c r="O8227" t="s">
        <v>24791</v>
      </c>
      <c r="T8227" t="s">
        <v>24792</v>
      </c>
    </row>
    <row r="8228" spans="1:20" x14ac:dyDescent="0.25">
      <c r="A8228" t="str">
        <f>"3040365"</f>
        <v>3040365</v>
      </c>
      <c r="B8228" t="s">
        <v>24794</v>
      </c>
      <c r="C8228" t="str">
        <f>"2776000"</f>
        <v>2776000</v>
      </c>
      <c r="D8228" t="s">
        <v>24506</v>
      </c>
      <c r="E8228" t="s">
        <v>24507</v>
      </c>
      <c r="F8228" t="s">
        <v>24508</v>
      </c>
      <c r="I8228" t="s">
        <v>184</v>
      </c>
      <c r="J8228" t="s">
        <v>30</v>
      </c>
      <c r="K8228" t="s">
        <v>185</v>
      </c>
      <c r="M8228" t="s">
        <v>23082</v>
      </c>
      <c r="N8228" t="str">
        <f>"2/23/2015 11:01:00 AM"</f>
        <v>2/23/2015 11:01:00 AM</v>
      </c>
      <c r="O8228" t="s">
        <v>24506</v>
      </c>
      <c r="T8228" t="s">
        <v>24507</v>
      </c>
    </row>
    <row r="8229" spans="1:20" x14ac:dyDescent="0.25">
      <c r="A8229" t="str">
        <f>"3045279"</f>
        <v>3045279</v>
      </c>
      <c r="B8229" t="s">
        <v>24795</v>
      </c>
      <c r="C8229" t="str">
        <f>"6844000"</f>
        <v>6844000</v>
      </c>
      <c r="D8229" t="s">
        <v>18504</v>
      </c>
      <c r="E8229" t="s">
        <v>24796</v>
      </c>
      <c r="F8229" t="s">
        <v>18506</v>
      </c>
      <c r="I8229" t="s">
        <v>29</v>
      </c>
      <c r="J8229" t="s">
        <v>30</v>
      </c>
      <c r="K8229" t="s">
        <v>31</v>
      </c>
      <c r="M8229" t="s">
        <v>23082</v>
      </c>
      <c r="N8229" t="str">
        <f>"2/23/2015 11:46:00 AM"</f>
        <v>2/23/2015 11:46:00 AM</v>
      </c>
      <c r="O8229" t="s">
        <v>18504</v>
      </c>
      <c r="T8229" t="s">
        <v>24796</v>
      </c>
    </row>
    <row r="8230" spans="1:20" x14ac:dyDescent="0.25">
      <c r="A8230" t="str">
        <f>"3077656"</f>
        <v>3077656</v>
      </c>
      <c r="B8230" t="s">
        <v>24797</v>
      </c>
      <c r="C8230" t="str">
        <f>"6844000"</f>
        <v>6844000</v>
      </c>
      <c r="D8230" t="s">
        <v>18504</v>
      </c>
      <c r="E8230" t="s">
        <v>24796</v>
      </c>
      <c r="F8230" t="s">
        <v>18506</v>
      </c>
      <c r="I8230" t="s">
        <v>29</v>
      </c>
      <c r="J8230" t="s">
        <v>30</v>
      </c>
      <c r="K8230" t="s">
        <v>31</v>
      </c>
      <c r="M8230" t="s">
        <v>23082</v>
      </c>
      <c r="N8230" t="str">
        <f>"2/23/2015 11:46:00 AM"</f>
        <v>2/23/2015 11:46:00 AM</v>
      </c>
      <c r="O8230" t="s">
        <v>18504</v>
      </c>
      <c r="T8230" t="s">
        <v>24796</v>
      </c>
    </row>
    <row r="8231" spans="1:20" x14ac:dyDescent="0.25">
      <c r="A8231" t="str">
        <f>"3046743"</f>
        <v>3046743</v>
      </c>
      <c r="B8231" t="s">
        <v>24798</v>
      </c>
      <c r="C8231" t="str">
        <f>"82532331"</f>
        <v>82532331</v>
      </c>
      <c r="D8231" t="s">
        <v>24799</v>
      </c>
      <c r="E8231" t="s">
        <v>24800</v>
      </c>
      <c r="F8231" t="s">
        <v>24801</v>
      </c>
      <c r="I8231" t="s">
        <v>184</v>
      </c>
      <c r="J8231" t="s">
        <v>30</v>
      </c>
      <c r="K8231" t="s">
        <v>185</v>
      </c>
      <c r="M8231" t="s">
        <v>23082</v>
      </c>
      <c r="N8231" t="str">
        <f>"2/25/2015 2:32:00 PM"</f>
        <v>2/25/2015 2:32:00 PM</v>
      </c>
      <c r="O8231" t="s">
        <v>24799</v>
      </c>
      <c r="T8231" t="s">
        <v>24800</v>
      </c>
    </row>
    <row r="8232" spans="1:20" x14ac:dyDescent="0.25">
      <c r="A8232" t="str">
        <f>"3047242"</f>
        <v>3047242</v>
      </c>
      <c r="B8232" t="s">
        <v>24802</v>
      </c>
      <c r="C8232" t="str">
        <f>"82532331"</f>
        <v>82532331</v>
      </c>
      <c r="D8232" t="s">
        <v>24799</v>
      </c>
      <c r="E8232" t="s">
        <v>24800</v>
      </c>
      <c r="F8232" t="s">
        <v>24801</v>
      </c>
      <c r="I8232" t="s">
        <v>184</v>
      </c>
      <c r="J8232" t="s">
        <v>30</v>
      </c>
      <c r="K8232" t="s">
        <v>185</v>
      </c>
      <c r="M8232" t="s">
        <v>23082</v>
      </c>
      <c r="N8232" t="str">
        <f>"2/25/2015 2:32:00 PM"</f>
        <v>2/25/2015 2:32:00 PM</v>
      </c>
      <c r="O8232" t="s">
        <v>24799</v>
      </c>
      <c r="T8232" t="s">
        <v>24800</v>
      </c>
    </row>
    <row r="8233" spans="1:20" x14ac:dyDescent="0.25">
      <c r="A8233" t="str">
        <f>"3047578"</f>
        <v>3047578</v>
      </c>
      <c r="B8233" t="s">
        <v>24803</v>
      </c>
      <c r="C8233" t="str">
        <f>"82527380"</f>
        <v>82527380</v>
      </c>
      <c r="D8233" t="s">
        <v>24804</v>
      </c>
      <c r="E8233" t="s">
        <v>24805</v>
      </c>
      <c r="F8233" t="s">
        <v>24806</v>
      </c>
      <c r="I8233" t="s">
        <v>29</v>
      </c>
      <c r="J8233" t="s">
        <v>30</v>
      </c>
      <c r="K8233" t="s">
        <v>31</v>
      </c>
      <c r="M8233" t="s">
        <v>23082</v>
      </c>
      <c r="N8233" t="str">
        <f>"2/25/2015 2:35:00 PM"</f>
        <v>2/25/2015 2:35:00 PM</v>
      </c>
      <c r="O8233" t="s">
        <v>24804</v>
      </c>
      <c r="T8233" t="s">
        <v>24805</v>
      </c>
    </row>
    <row r="8234" spans="1:20" x14ac:dyDescent="0.25">
      <c r="A8234" t="str">
        <f>"3049895"</f>
        <v>3049895</v>
      </c>
      <c r="B8234" t="s">
        <v>24807</v>
      </c>
      <c r="C8234" t="str">
        <f>"82515555"</f>
        <v>82515555</v>
      </c>
      <c r="D8234" t="s">
        <v>24808</v>
      </c>
      <c r="F8234" t="s">
        <v>24809</v>
      </c>
      <c r="I8234" t="s">
        <v>29</v>
      </c>
      <c r="J8234" t="s">
        <v>30</v>
      </c>
      <c r="K8234" t="s">
        <v>31</v>
      </c>
      <c r="M8234" t="s">
        <v>23082</v>
      </c>
      <c r="N8234" t="str">
        <f>"2/25/2015 2:37:00 PM"</f>
        <v>2/25/2015 2:37:00 PM</v>
      </c>
      <c r="O8234" t="s">
        <v>24808</v>
      </c>
    </row>
    <row r="8235" spans="1:20" x14ac:dyDescent="0.25">
      <c r="A8235" t="str">
        <f>"3053979"</f>
        <v>3053979</v>
      </c>
      <c r="B8235" t="s">
        <v>24810</v>
      </c>
      <c r="C8235" t="str">
        <f>"82516424"</f>
        <v>82516424</v>
      </c>
      <c r="D8235" t="s">
        <v>24811</v>
      </c>
      <c r="E8235" t="s">
        <v>24812</v>
      </c>
      <c r="F8235" t="s">
        <v>24813</v>
      </c>
      <c r="I8235" t="s">
        <v>29</v>
      </c>
      <c r="J8235" t="s">
        <v>30</v>
      </c>
      <c r="K8235" t="s">
        <v>24814</v>
      </c>
      <c r="M8235" t="s">
        <v>23082</v>
      </c>
      <c r="N8235" t="str">
        <f>"2/25/2015 2:38:00 PM"</f>
        <v>2/25/2015 2:38:00 PM</v>
      </c>
      <c r="O8235" t="s">
        <v>24811</v>
      </c>
      <c r="T8235" t="s">
        <v>24812</v>
      </c>
    </row>
    <row r="8236" spans="1:20" x14ac:dyDescent="0.25">
      <c r="A8236" t="str">
        <f>"3067199"</f>
        <v>3067199</v>
      </c>
      <c r="B8236" t="s">
        <v>24815</v>
      </c>
      <c r="C8236" t="str">
        <f>"55373750"</f>
        <v>55373750</v>
      </c>
      <c r="D8236" t="s">
        <v>24816</v>
      </c>
      <c r="E8236" t="s">
        <v>24817</v>
      </c>
      <c r="F8236" t="s">
        <v>24818</v>
      </c>
      <c r="I8236" t="s">
        <v>29</v>
      </c>
      <c r="J8236" t="s">
        <v>30</v>
      </c>
      <c r="K8236" t="s">
        <v>24819</v>
      </c>
      <c r="M8236" t="s">
        <v>23082</v>
      </c>
      <c r="N8236" t="str">
        <f>"2/25/2015 3:05:00 PM"</f>
        <v>2/25/2015 3:05:00 PM</v>
      </c>
      <c r="O8236" t="s">
        <v>24816</v>
      </c>
      <c r="T8236" t="s">
        <v>24817</v>
      </c>
    </row>
    <row r="8237" spans="1:20" x14ac:dyDescent="0.25">
      <c r="A8237" t="str">
        <f>"3046828"</f>
        <v>3046828</v>
      </c>
      <c r="B8237" t="s">
        <v>24820</v>
      </c>
      <c r="C8237" t="str">
        <f>"82520805"</f>
        <v>82520805</v>
      </c>
      <c r="D8237" t="s">
        <v>24821</v>
      </c>
      <c r="F8237" t="s">
        <v>24822</v>
      </c>
      <c r="I8237" t="s">
        <v>29</v>
      </c>
      <c r="J8237" t="s">
        <v>30</v>
      </c>
      <c r="K8237" t="s">
        <v>31</v>
      </c>
      <c r="M8237" t="s">
        <v>23082</v>
      </c>
      <c r="N8237" t="str">
        <f>"2/25/2015 3:12:00 PM"</f>
        <v>2/25/2015 3:12:00 PM</v>
      </c>
      <c r="O8237" t="s">
        <v>24821</v>
      </c>
    </row>
    <row r="8238" spans="1:20" x14ac:dyDescent="0.25">
      <c r="A8238" t="str">
        <f>"3040097"</f>
        <v>3040097</v>
      </c>
      <c r="B8238" t="s">
        <v>24823</v>
      </c>
      <c r="C8238" t="str">
        <f>"82516884"</f>
        <v>82516884</v>
      </c>
      <c r="D8238" t="s">
        <v>24824</v>
      </c>
      <c r="E8238" t="s">
        <v>24825</v>
      </c>
      <c r="F8238" t="s">
        <v>24826</v>
      </c>
      <c r="I8238" t="s">
        <v>29</v>
      </c>
      <c r="J8238" t="s">
        <v>30</v>
      </c>
      <c r="K8238" t="s">
        <v>31</v>
      </c>
      <c r="M8238" t="s">
        <v>23082</v>
      </c>
      <c r="N8238" t="str">
        <f>"2/25/2015 3:13:00 PM"</f>
        <v>2/25/2015 3:13:00 PM</v>
      </c>
      <c r="O8238" t="s">
        <v>24824</v>
      </c>
      <c r="T8238" t="s">
        <v>24825</v>
      </c>
    </row>
    <row r="8239" spans="1:20" x14ac:dyDescent="0.25">
      <c r="A8239" t="str">
        <f>"3044375"</f>
        <v>3044375</v>
      </c>
      <c r="B8239" t="s">
        <v>24827</v>
      </c>
      <c r="C8239" t="str">
        <f>"8304672"</f>
        <v>8304672</v>
      </c>
      <c r="D8239" t="s">
        <v>24828</v>
      </c>
      <c r="E8239" t="s">
        <v>24829</v>
      </c>
      <c r="F8239" t="s">
        <v>24830</v>
      </c>
      <c r="I8239" t="s">
        <v>24359</v>
      </c>
      <c r="J8239" t="s">
        <v>30</v>
      </c>
      <c r="K8239" t="str">
        <f>"27006"</f>
        <v>27006</v>
      </c>
      <c r="M8239" t="s">
        <v>17861</v>
      </c>
      <c r="N8239" t="str">
        <f>"2/13/2015 9:45:00 AM"</f>
        <v>2/13/2015 9:45:00 AM</v>
      </c>
      <c r="O8239" t="s">
        <v>24828</v>
      </c>
      <c r="T8239" t="s">
        <v>24829</v>
      </c>
    </row>
    <row r="8240" spans="1:20" x14ac:dyDescent="0.25">
      <c r="A8240" t="str">
        <f>"3054988"</f>
        <v>3054988</v>
      </c>
      <c r="B8240" t="s">
        <v>24831</v>
      </c>
      <c r="C8240" t="str">
        <f>"82529267"</f>
        <v>82529267</v>
      </c>
      <c r="D8240" t="s">
        <v>24832</v>
      </c>
      <c r="E8240" t="s">
        <v>24833</v>
      </c>
      <c r="F8240" t="s">
        <v>24834</v>
      </c>
      <c r="I8240" t="s">
        <v>29</v>
      </c>
      <c r="J8240" t="s">
        <v>30</v>
      </c>
      <c r="K8240" t="s">
        <v>31</v>
      </c>
      <c r="M8240" t="s">
        <v>23082</v>
      </c>
      <c r="N8240" t="str">
        <f>"2/23/2015 3:59:00 PM"</f>
        <v>2/23/2015 3:59:00 PM</v>
      </c>
      <c r="O8240" t="s">
        <v>24832</v>
      </c>
      <c r="T8240" t="s">
        <v>24833</v>
      </c>
    </row>
    <row r="8241" spans="1:20" x14ac:dyDescent="0.25">
      <c r="A8241" t="str">
        <f>"3052535"</f>
        <v>3052535</v>
      </c>
      <c r="B8241" t="s">
        <v>24835</v>
      </c>
      <c r="C8241" t="str">
        <f>"82523039"</f>
        <v>82523039</v>
      </c>
      <c r="D8241" t="s">
        <v>24836</v>
      </c>
      <c r="E8241" t="s">
        <v>24837</v>
      </c>
      <c r="F8241" t="s">
        <v>24838</v>
      </c>
      <c r="I8241" t="s">
        <v>29</v>
      </c>
      <c r="J8241" t="s">
        <v>30</v>
      </c>
      <c r="K8241" t="s">
        <v>24839</v>
      </c>
      <c r="M8241" t="s">
        <v>23082</v>
      </c>
      <c r="N8241" t="str">
        <f>"2/23/2015 4:00:00 PM"</f>
        <v>2/23/2015 4:00:00 PM</v>
      </c>
      <c r="O8241" t="s">
        <v>24836</v>
      </c>
      <c r="T8241" t="s">
        <v>24837</v>
      </c>
    </row>
    <row r="8242" spans="1:20" x14ac:dyDescent="0.25">
      <c r="A8242" t="str">
        <f>"3053585"</f>
        <v>3053585</v>
      </c>
      <c r="B8242" t="s">
        <v>24840</v>
      </c>
      <c r="C8242" t="str">
        <f>"82516258"</f>
        <v>82516258</v>
      </c>
      <c r="D8242" t="s">
        <v>24588</v>
      </c>
      <c r="E8242" t="s">
        <v>24589</v>
      </c>
      <c r="F8242" t="s">
        <v>24590</v>
      </c>
      <c r="I8242" t="s">
        <v>29</v>
      </c>
      <c r="J8242" t="s">
        <v>30</v>
      </c>
      <c r="K8242" t="s">
        <v>31</v>
      </c>
      <c r="M8242" t="s">
        <v>23082</v>
      </c>
      <c r="N8242" t="str">
        <f>"2/24/2015 10:40:00 AM"</f>
        <v>2/24/2015 10:40:00 AM</v>
      </c>
      <c r="O8242" t="s">
        <v>24588</v>
      </c>
      <c r="T8242" t="s">
        <v>24589</v>
      </c>
    </row>
    <row r="8243" spans="1:20" x14ac:dyDescent="0.25">
      <c r="A8243" t="str">
        <f>"3052636"</f>
        <v>3052636</v>
      </c>
      <c r="B8243" t="s">
        <v>24841</v>
      </c>
      <c r="C8243" t="str">
        <f>"25782750"</f>
        <v>25782750</v>
      </c>
      <c r="D8243" t="s">
        <v>24842</v>
      </c>
      <c r="F8243" t="s">
        <v>24843</v>
      </c>
      <c r="I8243" t="s">
        <v>29</v>
      </c>
      <c r="J8243" t="s">
        <v>30</v>
      </c>
      <c r="K8243" t="s">
        <v>31</v>
      </c>
      <c r="M8243" t="s">
        <v>23082</v>
      </c>
      <c r="N8243" t="str">
        <f>"2/24/2015 11:23:00 AM"</f>
        <v>2/24/2015 11:23:00 AM</v>
      </c>
      <c r="O8243" t="s">
        <v>24842</v>
      </c>
    </row>
    <row r="8244" spans="1:20" x14ac:dyDescent="0.25">
      <c r="A8244" t="str">
        <f>"3051417"</f>
        <v>3051417</v>
      </c>
      <c r="B8244" t="s">
        <v>24844</v>
      </c>
      <c r="C8244" t="str">
        <f>"82524438"</f>
        <v>82524438</v>
      </c>
      <c r="D8244" t="s">
        <v>24845</v>
      </c>
      <c r="E8244" t="s">
        <v>24846</v>
      </c>
      <c r="F8244" t="s">
        <v>14550</v>
      </c>
      <c r="I8244" t="s">
        <v>29</v>
      </c>
      <c r="J8244" t="s">
        <v>30</v>
      </c>
      <c r="K8244" t="s">
        <v>31</v>
      </c>
      <c r="M8244" t="s">
        <v>23082</v>
      </c>
      <c r="N8244" t="str">
        <f>"2/24/2015 11:27:00 AM"</f>
        <v>2/24/2015 11:27:00 AM</v>
      </c>
      <c r="O8244" t="s">
        <v>24845</v>
      </c>
      <c r="T8244" t="s">
        <v>24846</v>
      </c>
    </row>
    <row r="8245" spans="1:20" x14ac:dyDescent="0.25">
      <c r="A8245" t="str">
        <f>"3076818"</f>
        <v>3076818</v>
      </c>
      <c r="B8245" t="s">
        <v>24847</v>
      </c>
      <c r="C8245" t="str">
        <f>"82532350"</f>
        <v>82532350</v>
      </c>
      <c r="D8245" t="s">
        <v>24848</v>
      </c>
      <c r="E8245" t="s">
        <v>24849</v>
      </c>
      <c r="F8245" t="s">
        <v>24850</v>
      </c>
      <c r="I8245" t="s">
        <v>29</v>
      </c>
      <c r="J8245" t="s">
        <v>30</v>
      </c>
      <c r="K8245" t="s">
        <v>31</v>
      </c>
      <c r="M8245" t="s">
        <v>23082</v>
      </c>
      <c r="N8245" t="str">
        <f>"2/25/2015 4:48:00 PM"</f>
        <v>2/25/2015 4:48:00 PM</v>
      </c>
      <c r="O8245" t="s">
        <v>24848</v>
      </c>
      <c r="T8245" t="s">
        <v>24849</v>
      </c>
    </row>
    <row r="8246" spans="1:20" x14ac:dyDescent="0.25">
      <c r="A8246" t="str">
        <f>"3066636"</f>
        <v>3066636</v>
      </c>
      <c r="B8246" t="s">
        <v>24851</v>
      </c>
      <c r="C8246" t="str">
        <f>"18180000"</f>
        <v>18180000</v>
      </c>
      <c r="D8246" t="s">
        <v>24852</v>
      </c>
      <c r="E8246" t="s">
        <v>24853</v>
      </c>
      <c r="F8246" t="s">
        <v>15102</v>
      </c>
      <c r="I8246" t="s">
        <v>29</v>
      </c>
      <c r="J8246" t="s">
        <v>30</v>
      </c>
      <c r="K8246" t="s">
        <v>24854</v>
      </c>
      <c r="M8246" t="s">
        <v>18479</v>
      </c>
      <c r="N8246" t="str">
        <f>"2/27/2015 1:28:00 PM"</f>
        <v>2/27/2015 1:28:00 PM</v>
      </c>
      <c r="O8246" t="s">
        <v>24852</v>
      </c>
      <c r="T8246" t="s">
        <v>24853</v>
      </c>
    </row>
    <row r="8247" spans="1:20" x14ac:dyDescent="0.25">
      <c r="A8247" t="str">
        <f>"3066652"</f>
        <v>3066652</v>
      </c>
      <c r="B8247" t="s">
        <v>24855</v>
      </c>
      <c r="C8247" t="str">
        <f>"18180000"</f>
        <v>18180000</v>
      </c>
      <c r="D8247" t="s">
        <v>24852</v>
      </c>
      <c r="E8247" t="s">
        <v>24853</v>
      </c>
      <c r="F8247" t="s">
        <v>15102</v>
      </c>
      <c r="I8247" t="s">
        <v>29</v>
      </c>
      <c r="J8247" t="s">
        <v>30</v>
      </c>
      <c r="K8247" t="s">
        <v>24854</v>
      </c>
      <c r="M8247" t="s">
        <v>18479</v>
      </c>
      <c r="N8247" t="str">
        <f>"2/27/2015 1:28:00 PM"</f>
        <v>2/27/2015 1:28:00 PM</v>
      </c>
      <c r="O8247" t="s">
        <v>24852</v>
      </c>
      <c r="T8247" t="s">
        <v>24853</v>
      </c>
    </row>
    <row r="8248" spans="1:20" x14ac:dyDescent="0.25">
      <c r="A8248" t="str">
        <f>"3066639"</f>
        <v>3066639</v>
      </c>
      <c r="B8248" t="s">
        <v>24856</v>
      </c>
      <c r="C8248" t="str">
        <f>"18180000"</f>
        <v>18180000</v>
      </c>
      <c r="D8248" t="s">
        <v>24852</v>
      </c>
      <c r="E8248" t="s">
        <v>24853</v>
      </c>
      <c r="F8248" t="s">
        <v>15102</v>
      </c>
      <c r="I8248" t="s">
        <v>29</v>
      </c>
      <c r="J8248" t="s">
        <v>30</v>
      </c>
      <c r="K8248" t="s">
        <v>24854</v>
      </c>
      <c r="M8248" t="s">
        <v>18479</v>
      </c>
      <c r="N8248" t="str">
        <f>"2/27/2015 1:28:00 PM"</f>
        <v>2/27/2015 1:28:00 PM</v>
      </c>
      <c r="O8248" t="s">
        <v>24852</v>
      </c>
      <c r="T8248" t="s">
        <v>24853</v>
      </c>
    </row>
    <row r="8249" spans="1:20" x14ac:dyDescent="0.25">
      <c r="A8249" t="str">
        <f>"3063063"</f>
        <v>3063063</v>
      </c>
      <c r="B8249" t="s">
        <v>24857</v>
      </c>
      <c r="C8249" t="str">
        <f>"33132250"</f>
        <v>33132250</v>
      </c>
      <c r="D8249" t="s">
        <v>24858</v>
      </c>
      <c r="E8249" t="s">
        <v>24859</v>
      </c>
      <c r="F8249" t="s">
        <v>24860</v>
      </c>
      <c r="I8249" t="s">
        <v>184</v>
      </c>
      <c r="J8249" t="s">
        <v>30</v>
      </c>
      <c r="K8249" t="s">
        <v>185</v>
      </c>
      <c r="M8249" t="s">
        <v>23082</v>
      </c>
      <c r="N8249" t="str">
        <f>"2/24/2015 3:50:00 PM"</f>
        <v>2/24/2015 3:50:00 PM</v>
      </c>
      <c r="O8249" t="s">
        <v>24858</v>
      </c>
      <c r="T8249" t="s">
        <v>24859</v>
      </c>
    </row>
    <row r="8250" spans="1:20" x14ac:dyDescent="0.25">
      <c r="A8250" t="str">
        <f>"3061993"</f>
        <v>3061993</v>
      </c>
      <c r="B8250" t="s">
        <v>24861</v>
      </c>
      <c r="C8250" t="str">
        <f>"38483000"</f>
        <v>38483000</v>
      </c>
      <c r="D8250" t="s">
        <v>24862</v>
      </c>
      <c r="E8250" t="s">
        <v>24863</v>
      </c>
      <c r="F8250" t="s">
        <v>24864</v>
      </c>
      <c r="I8250" t="s">
        <v>184</v>
      </c>
      <c r="J8250" t="s">
        <v>30</v>
      </c>
      <c r="K8250" t="s">
        <v>185</v>
      </c>
      <c r="M8250" t="s">
        <v>24500</v>
      </c>
      <c r="N8250" t="str">
        <f>"2/24/2015 4:43:00 PM"</f>
        <v>2/24/2015 4:43:00 PM</v>
      </c>
      <c r="O8250" t="s">
        <v>24862</v>
      </c>
      <c r="T8250" t="s">
        <v>24863</v>
      </c>
    </row>
    <row r="8251" spans="1:20" x14ac:dyDescent="0.25">
      <c r="A8251" t="str">
        <f>"3078495"</f>
        <v>3078495</v>
      </c>
      <c r="B8251" t="s">
        <v>24865</v>
      </c>
      <c r="C8251" t="str">
        <f>"38600000"</f>
        <v>38600000</v>
      </c>
      <c r="D8251" t="s">
        <v>24686</v>
      </c>
      <c r="E8251" t="s">
        <v>24687</v>
      </c>
      <c r="F8251" t="s">
        <v>24688</v>
      </c>
      <c r="I8251" t="s">
        <v>29</v>
      </c>
      <c r="J8251" t="s">
        <v>30</v>
      </c>
      <c r="K8251" t="str">
        <f>"27028"</f>
        <v>27028</v>
      </c>
      <c r="M8251" t="s">
        <v>23082</v>
      </c>
      <c r="N8251" t="str">
        <f>"2/24/2015 4:44:00 PM"</f>
        <v>2/24/2015 4:44:00 PM</v>
      </c>
      <c r="O8251" t="s">
        <v>24686</v>
      </c>
      <c r="T8251" t="s">
        <v>24687</v>
      </c>
    </row>
    <row r="8252" spans="1:20" x14ac:dyDescent="0.25">
      <c r="A8252" t="str">
        <f>"3105379"</f>
        <v>3105379</v>
      </c>
      <c r="B8252" t="s">
        <v>24866</v>
      </c>
      <c r="C8252" t="str">
        <f>"38600000"</f>
        <v>38600000</v>
      </c>
      <c r="D8252" t="s">
        <v>24686</v>
      </c>
      <c r="E8252" t="s">
        <v>24687</v>
      </c>
      <c r="F8252" t="s">
        <v>24688</v>
      </c>
      <c r="I8252" t="s">
        <v>29</v>
      </c>
      <c r="J8252" t="s">
        <v>30</v>
      </c>
      <c r="K8252" t="str">
        <f>"27028"</f>
        <v>27028</v>
      </c>
      <c r="M8252" t="s">
        <v>23082</v>
      </c>
      <c r="N8252" t="str">
        <f>"2/24/2015 4:44:00 PM"</f>
        <v>2/24/2015 4:44:00 PM</v>
      </c>
      <c r="O8252" t="s">
        <v>24686</v>
      </c>
      <c r="T8252" t="s">
        <v>24687</v>
      </c>
    </row>
    <row r="8253" spans="1:20" x14ac:dyDescent="0.25">
      <c r="A8253" t="str">
        <f>"3054042"</f>
        <v>3054042</v>
      </c>
      <c r="B8253" t="s">
        <v>24867</v>
      </c>
      <c r="C8253" t="str">
        <f>"38600000"</f>
        <v>38600000</v>
      </c>
      <c r="D8253" t="s">
        <v>24686</v>
      </c>
      <c r="E8253" t="s">
        <v>24687</v>
      </c>
      <c r="F8253" t="s">
        <v>24688</v>
      </c>
      <c r="I8253" t="s">
        <v>29</v>
      </c>
      <c r="J8253" t="s">
        <v>30</v>
      </c>
      <c r="K8253" t="str">
        <f>"27028"</f>
        <v>27028</v>
      </c>
      <c r="M8253" t="s">
        <v>23082</v>
      </c>
      <c r="N8253" t="str">
        <f>"2/24/2015 4:44:00 PM"</f>
        <v>2/24/2015 4:44:00 PM</v>
      </c>
      <c r="O8253" t="s">
        <v>24686</v>
      </c>
      <c r="T8253" t="s">
        <v>24687</v>
      </c>
    </row>
    <row r="8254" spans="1:20" x14ac:dyDescent="0.25">
      <c r="A8254" t="str">
        <f>"3051481"</f>
        <v>3051481</v>
      </c>
      <c r="B8254" t="s">
        <v>24868</v>
      </c>
      <c r="C8254" t="str">
        <f>"14531250"</f>
        <v>14531250</v>
      </c>
      <c r="D8254" t="s">
        <v>24869</v>
      </c>
      <c r="F8254" t="s">
        <v>24870</v>
      </c>
      <c r="I8254" t="s">
        <v>29</v>
      </c>
      <c r="J8254" t="s">
        <v>30</v>
      </c>
      <c r="K8254" t="s">
        <v>24871</v>
      </c>
      <c r="M8254" t="s">
        <v>18479</v>
      </c>
      <c r="N8254" t="str">
        <f>"3/2/2015 9:03:00 AM"</f>
        <v>3/2/2015 9:03:00 AM</v>
      </c>
      <c r="O8254" t="s">
        <v>24869</v>
      </c>
    </row>
    <row r="8255" spans="1:20" x14ac:dyDescent="0.25">
      <c r="A8255" t="str">
        <f>"3054540"</f>
        <v>3054540</v>
      </c>
      <c r="B8255" t="s">
        <v>24872</v>
      </c>
      <c r="C8255" t="str">
        <f>"38600000"</f>
        <v>38600000</v>
      </c>
      <c r="D8255" t="s">
        <v>24686</v>
      </c>
      <c r="E8255" t="s">
        <v>24687</v>
      </c>
      <c r="F8255" t="s">
        <v>24688</v>
      </c>
      <c r="I8255" t="s">
        <v>29</v>
      </c>
      <c r="J8255" t="s">
        <v>30</v>
      </c>
      <c r="K8255" t="str">
        <f>"27028"</f>
        <v>27028</v>
      </c>
      <c r="M8255" t="s">
        <v>23082</v>
      </c>
      <c r="N8255" t="str">
        <f>"2/24/2015 4:44:00 PM"</f>
        <v>2/24/2015 4:44:00 PM</v>
      </c>
      <c r="O8255" t="s">
        <v>24686</v>
      </c>
      <c r="T8255" t="s">
        <v>24687</v>
      </c>
    </row>
    <row r="8256" spans="1:20" x14ac:dyDescent="0.25">
      <c r="A8256" t="str">
        <f>"3046789"</f>
        <v>3046789</v>
      </c>
      <c r="B8256" t="s">
        <v>24873</v>
      </c>
      <c r="C8256" t="str">
        <f>"40911000"</f>
        <v>40911000</v>
      </c>
      <c r="D8256" t="s">
        <v>8893</v>
      </c>
      <c r="E8256" t="s">
        <v>24874</v>
      </c>
      <c r="F8256" t="s">
        <v>24875</v>
      </c>
      <c r="I8256" t="s">
        <v>184</v>
      </c>
      <c r="J8256" t="s">
        <v>30</v>
      </c>
      <c r="K8256" t="s">
        <v>185</v>
      </c>
      <c r="M8256" t="s">
        <v>23082</v>
      </c>
      <c r="N8256" t="str">
        <f>"2/25/2015 9:14:00 AM"</f>
        <v>2/25/2015 9:14:00 AM</v>
      </c>
      <c r="O8256" t="s">
        <v>8893</v>
      </c>
      <c r="T8256" t="s">
        <v>24874</v>
      </c>
    </row>
    <row r="8257" spans="1:20" x14ac:dyDescent="0.25">
      <c r="A8257" t="str">
        <f>"3046552"</f>
        <v>3046552</v>
      </c>
      <c r="B8257" t="s">
        <v>24876</v>
      </c>
      <c r="C8257" t="str">
        <f>"40911000"</f>
        <v>40911000</v>
      </c>
      <c r="D8257" t="s">
        <v>8893</v>
      </c>
      <c r="E8257" t="s">
        <v>24874</v>
      </c>
      <c r="F8257" t="s">
        <v>24875</v>
      </c>
      <c r="I8257" t="s">
        <v>184</v>
      </c>
      <c r="J8257" t="s">
        <v>30</v>
      </c>
      <c r="K8257" t="s">
        <v>185</v>
      </c>
      <c r="M8257" t="s">
        <v>23082</v>
      </c>
      <c r="N8257" t="str">
        <f>"2/25/2015 9:14:00 AM"</f>
        <v>2/25/2015 9:14:00 AM</v>
      </c>
      <c r="O8257" t="s">
        <v>8893</v>
      </c>
      <c r="T8257" t="s">
        <v>24874</v>
      </c>
    </row>
    <row r="8258" spans="1:20" x14ac:dyDescent="0.25">
      <c r="A8258" t="str">
        <f>"3062791"</f>
        <v>3062791</v>
      </c>
      <c r="B8258" t="s">
        <v>24877</v>
      </c>
      <c r="C8258" t="str">
        <f>"82525653"</f>
        <v>82525653</v>
      </c>
      <c r="D8258" t="s">
        <v>24878</v>
      </c>
      <c r="E8258" t="s">
        <v>24879</v>
      </c>
      <c r="F8258" t="s">
        <v>24880</v>
      </c>
      <c r="I8258" t="s">
        <v>29</v>
      </c>
      <c r="J8258" t="s">
        <v>30</v>
      </c>
      <c r="K8258" t="s">
        <v>31</v>
      </c>
      <c r="M8258" t="s">
        <v>23082</v>
      </c>
      <c r="N8258" t="str">
        <f>"2/25/2015 9:15:00 AM"</f>
        <v>2/25/2015 9:15:00 AM</v>
      </c>
      <c r="O8258" t="s">
        <v>24878</v>
      </c>
      <c r="T8258" t="s">
        <v>24879</v>
      </c>
    </row>
    <row r="8259" spans="1:20" x14ac:dyDescent="0.25">
      <c r="A8259" t="str">
        <f>"3057815"</f>
        <v>3057815</v>
      </c>
      <c r="B8259" t="s">
        <v>24881</v>
      </c>
      <c r="C8259" t="str">
        <f>"82530354"</f>
        <v>82530354</v>
      </c>
      <c r="D8259" t="s">
        <v>24882</v>
      </c>
      <c r="E8259" t="s">
        <v>24883</v>
      </c>
      <c r="F8259" t="s">
        <v>24884</v>
      </c>
      <c r="I8259" t="s">
        <v>29</v>
      </c>
      <c r="J8259" t="s">
        <v>30</v>
      </c>
      <c r="K8259" t="s">
        <v>31</v>
      </c>
      <c r="M8259" t="s">
        <v>23082</v>
      </c>
      <c r="N8259" t="str">
        <f>"2/25/2015 10:27:00 AM"</f>
        <v>2/25/2015 10:27:00 AM</v>
      </c>
      <c r="O8259" t="s">
        <v>24882</v>
      </c>
      <c r="T8259" t="s">
        <v>24883</v>
      </c>
    </row>
    <row r="8260" spans="1:20" x14ac:dyDescent="0.25">
      <c r="A8260" t="str">
        <f>"3063884"</f>
        <v>3063884</v>
      </c>
      <c r="B8260" t="s">
        <v>24885</v>
      </c>
      <c r="C8260" t="str">
        <f>"8303412"</f>
        <v>8303412</v>
      </c>
      <c r="D8260" t="s">
        <v>24886</v>
      </c>
      <c r="F8260" t="s">
        <v>24887</v>
      </c>
      <c r="I8260" t="s">
        <v>184</v>
      </c>
      <c r="J8260" t="s">
        <v>30</v>
      </c>
      <c r="K8260" t="str">
        <f>"27006"</f>
        <v>27006</v>
      </c>
      <c r="M8260" t="s">
        <v>18479</v>
      </c>
      <c r="N8260" t="str">
        <f>"2/25/2015 10:31:00 AM"</f>
        <v>2/25/2015 10:31:00 AM</v>
      </c>
      <c r="O8260" t="s">
        <v>24886</v>
      </c>
    </row>
    <row r="8261" spans="1:20" x14ac:dyDescent="0.25">
      <c r="A8261" t="str">
        <f>"3055001"</f>
        <v>3055001</v>
      </c>
      <c r="B8261" t="s">
        <v>24888</v>
      </c>
      <c r="C8261" t="str">
        <f>"82525484"</f>
        <v>82525484</v>
      </c>
      <c r="D8261" t="s">
        <v>24889</v>
      </c>
      <c r="E8261" t="s">
        <v>24890</v>
      </c>
      <c r="F8261" t="s">
        <v>24891</v>
      </c>
      <c r="I8261" t="s">
        <v>29</v>
      </c>
      <c r="J8261" t="s">
        <v>30</v>
      </c>
      <c r="K8261" t="s">
        <v>31</v>
      </c>
      <c r="M8261" t="s">
        <v>23082</v>
      </c>
      <c r="N8261" t="str">
        <f>"2/25/2015 11:28:00 AM"</f>
        <v>2/25/2015 11:28:00 AM</v>
      </c>
      <c r="O8261" t="s">
        <v>24889</v>
      </c>
      <c r="T8261" t="s">
        <v>24890</v>
      </c>
    </row>
    <row r="8262" spans="1:20" x14ac:dyDescent="0.25">
      <c r="A8262" t="str">
        <f>"3060108"</f>
        <v>3060108</v>
      </c>
      <c r="B8262" t="s">
        <v>24892</v>
      </c>
      <c r="C8262" t="str">
        <f>"82522817"</f>
        <v>82522817</v>
      </c>
      <c r="D8262" t="s">
        <v>24893</v>
      </c>
      <c r="E8262" t="s">
        <v>24894</v>
      </c>
      <c r="F8262" t="s">
        <v>24895</v>
      </c>
      <c r="I8262" t="s">
        <v>184</v>
      </c>
      <c r="J8262" t="s">
        <v>30</v>
      </c>
      <c r="K8262" t="s">
        <v>24896</v>
      </c>
      <c r="M8262" t="s">
        <v>23082</v>
      </c>
      <c r="N8262" t="str">
        <f>"2/25/2015 11:29:00 AM"</f>
        <v>2/25/2015 11:29:00 AM</v>
      </c>
      <c r="O8262" t="s">
        <v>24893</v>
      </c>
      <c r="T8262" t="s">
        <v>24894</v>
      </c>
    </row>
    <row r="8263" spans="1:20" x14ac:dyDescent="0.25">
      <c r="A8263" t="str">
        <f>"3045721"</f>
        <v>3045721</v>
      </c>
      <c r="B8263" t="s">
        <v>24897</v>
      </c>
      <c r="C8263" t="str">
        <f>"50738000"</f>
        <v>50738000</v>
      </c>
      <c r="D8263" t="s">
        <v>24898</v>
      </c>
      <c r="E8263" t="s">
        <v>3660</v>
      </c>
      <c r="F8263" t="s">
        <v>24899</v>
      </c>
      <c r="I8263" t="s">
        <v>29</v>
      </c>
      <c r="J8263" t="s">
        <v>30</v>
      </c>
      <c r="K8263" t="s">
        <v>9396</v>
      </c>
      <c r="M8263" t="s">
        <v>23082</v>
      </c>
      <c r="N8263" t="str">
        <f>"2/25/2015 11:30:00 AM"</f>
        <v>2/25/2015 11:30:00 AM</v>
      </c>
      <c r="O8263" t="s">
        <v>24898</v>
      </c>
      <c r="T8263" t="s">
        <v>3660</v>
      </c>
    </row>
    <row r="8264" spans="1:20" x14ac:dyDescent="0.25">
      <c r="A8264" t="str">
        <f>"3061650"</f>
        <v>3061650</v>
      </c>
      <c r="B8264" t="s">
        <v>24900</v>
      </c>
      <c r="C8264" t="str">
        <f>"82527634"</f>
        <v>82527634</v>
      </c>
      <c r="D8264" t="s">
        <v>24901</v>
      </c>
      <c r="E8264" t="s">
        <v>24902</v>
      </c>
      <c r="F8264" t="s">
        <v>24903</v>
      </c>
      <c r="I8264" t="s">
        <v>29</v>
      </c>
      <c r="J8264" t="s">
        <v>30</v>
      </c>
      <c r="K8264" t="s">
        <v>31</v>
      </c>
      <c r="M8264" t="s">
        <v>23082</v>
      </c>
      <c r="N8264" t="str">
        <f>"2/25/2015 1:51:00 PM"</f>
        <v>2/25/2015 1:51:00 PM</v>
      </c>
      <c r="O8264" t="s">
        <v>24901</v>
      </c>
      <c r="T8264" t="s">
        <v>24902</v>
      </c>
    </row>
    <row r="8265" spans="1:20" x14ac:dyDescent="0.25">
      <c r="A8265" t="str">
        <f>"3043394"</f>
        <v>3043394</v>
      </c>
      <c r="B8265" t="s">
        <v>24904</v>
      </c>
      <c r="C8265" t="str">
        <f>"82529805"</f>
        <v>82529805</v>
      </c>
      <c r="D8265" t="s">
        <v>24905</v>
      </c>
      <c r="F8265" t="s">
        <v>24906</v>
      </c>
      <c r="I8265" t="s">
        <v>29</v>
      </c>
      <c r="J8265" t="s">
        <v>30</v>
      </c>
      <c r="K8265" t="s">
        <v>24907</v>
      </c>
      <c r="M8265" t="s">
        <v>23082</v>
      </c>
      <c r="N8265" t="str">
        <f>"2/25/2015 2:24:00 PM"</f>
        <v>2/25/2015 2:24:00 PM</v>
      </c>
      <c r="O8265" t="s">
        <v>24905</v>
      </c>
    </row>
    <row r="8266" spans="1:20" x14ac:dyDescent="0.25">
      <c r="A8266" t="str">
        <f>"3046562"</f>
        <v>3046562</v>
      </c>
      <c r="B8266" t="s">
        <v>24908</v>
      </c>
      <c r="C8266" t="str">
        <f>"82532331"</f>
        <v>82532331</v>
      </c>
      <c r="D8266" t="s">
        <v>24799</v>
      </c>
      <c r="E8266" t="s">
        <v>24800</v>
      </c>
      <c r="F8266" t="s">
        <v>24801</v>
      </c>
      <c r="I8266" t="s">
        <v>184</v>
      </c>
      <c r="J8266" t="s">
        <v>30</v>
      </c>
      <c r="K8266" t="s">
        <v>185</v>
      </c>
      <c r="M8266" t="s">
        <v>23082</v>
      </c>
      <c r="N8266" t="str">
        <f>"2/25/2015 2:32:00 PM"</f>
        <v>2/25/2015 2:32:00 PM</v>
      </c>
      <c r="O8266" t="s">
        <v>24799</v>
      </c>
      <c r="T8266" t="s">
        <v>24800</v>
      </c>
    </row>
    <row r="8267" spans="1:20" x14ac:dyDescent="0.25">
      <c r="A8267" t="str">
        <f>"3059935"</f>
        <v>3059935</v>
      </c>
      <c r="B8267" t="s">
        <v>24909</v>
      </c>
      <c r="C8267" t="str">
        <f>"82522994"</f>
        <v>82522994</v>
      </c>
      <c r="D8267" t="s">
        <v>24910</v>
      </c>
      <c r="E8267" t="s">
        <v>24911</v>
      </c>
      <c r="F8267" t="s">
        <v>24912</v>
      </c>
      <c r="I8267" t="s">
        <v>29</v>
      </c>
      <c r="J8267" t="s">
        <v>30</v>
      </c>
      <c r="K8267" t="s">
        <v>24913</v>
      </c>
      <c r="M8267" t="s">
        <v>23082</v>
      </c>
      <c r="N8267" t="str">
        <f>"2/23/2015 2:25:00 PM"</f>
        <v>2/23/2015 2:25:00 PM</v>
      </c>
      <c r="O8267" t="s">
        <v>24910</v>
      </c>
      <c r="T8267" t="s">
        <v>24911</v>
      </c>
    </row>
    <row r="8268" spans="1:20" x14ac:dyDescent="0.25">
      <c r="A8268" t="str">
        <f>"3051010"</f>
        <v>3051010</v>
      </c>
      <c r="B8268" t="s">
        <v>24914</v>
      </c>
      <c r="C8268" t="str">
        <f>"57374000"</f>
        <v>57374000</v>
      </c>
      <c r="D8268" t="s">
        <v>24915</v>
      </c>
      <c r="F8268" t="s">
        <v>9468</v>
      </c>
      <c r="I8268" t="s">
        <v>184</v>
      </c>
      <c r="J8268" t="s">
        <v>30</v>
      </c>
      <c r="K8268" t="s">
        <v>185</v>
      </c>
      <c r="M8268" t="s">
        <v>23082</v>
      </c>
      <c r="N8268" t="str">
        <f>"2/25/2015 3:14:00 PM"</f>
        <v>2/25/2015 3:14:00 PM</v>
      </c>
      <c r="O8268" t="s">
        <v>24915</v>
      </c>
    </row>
    <row r="8269" spans="1:20" x14ac:dyDescent="0.25">
      <c r="A8269" t="str">
        <f>"3047596"</f>
        <v>3047596</v>
      </c>
      <c r="B8269" t="s">
        <v>24916</v>
      </c>
      <c r="C8269" t="str">
        <f>"12664500"</f>
        <v>12664500</v>
      </c>
      <c r="D8269" t="s">
        <v>24917</v>
      </c>
      <c r="F8269" t="s">
        <v>24918</v>
      </c>
      <c r="I8269" t="s">
        <v>1149</v>
      </c>
      <c r="J8269" t="s">
        <v>30</v>
      </c>
      <c r="K8269" t="s">
        <v>24919</v>
      </c>
      <c r="M8269" t="s">
        <v>18479</v>
      </c>
      <c r="N8269" t="str">
        <f>"3/3/2015 11:14:00 AM"</f>
        <v>3/3/2015 11:14:00 AM</v>
      </c>
      <c r="O8269" t="s">
        <v>24917</v>
      </c>
      <c r="T8269" t="s">
        <v>24917</v>
      </c>
    </row>
    <row r="8270" spans="1:20" x14ac:dyDescent="0.25">
      <c r="A8270" t="str">
        <f>"3053329"</f>
        <v>3053329</v>
      </c>
      <c r="B8270" t="s">
        <v>24920</v>
      </c>
      <c r="C8270" t="str">
        <f>"58768000"</f>
        <v>58768000</v>
      </c>
      <c r="D8270" t="s">
        <v>24921</v>
      </c>
      <c r="E8270" t="s">
        <v>24922</v>
      </c>
      <c r="F8270" t="s">
        <v>3143</v>
      </c>
      <c r="I8270" t="s">
        <v>29</v>
      </c>
      <c r="J8270" t="s">
        <v>30</v>
      </c>
      <c r="K8270" t="s">
        <v>31</v>
      </c>
      <c r="M8270" t="s">
        <v>23082</v>
      </c>
      <c r="N8270" t="str">
        <f>"2/25/2015 4:33:00 PM"</f>
        <v>2/25/2015 4:33:00 PM</v>
      </c>
      <c r="O8270" t="s">
        <v>24921</v>
      </c>
      <c r="T8270" t="s">
        <v>24922</v>
      </c>
    </row>
    <row r="8271" spans="1:20" x14ac:dyDescent="0.25">
      <c r="A8271" t="str">
        <f>"3042303"</f>
        <v>3042303</v>
      </c>
      <c r="B8271" t="s">
        <v>24923</v>
      </c>
      <c r="C8271" t="str">
        <f>"8302765"</f>
        <v>8302765</v>
      </c>
      <c r="D8271" t="s">
        <v>24924</v>
      </c>
      <c r="E8271" t="s">
        <v>24925</v>
      </c>
      <c r="F8271" t="s">
        <v>24926</v>
      </c>
      <c r="I8271" t="s">
        <v>29</v>
      </c>
      <c r="J8271" t="s">
        <v>30</v>
      </c>
      <c r="K8271" t="str">
        <f>"27028"</f>
        <v>27028</v>
      </c>
      <c r="M8271" t="s">
        <v>23082</v>
      </c>
      <c r="N8271" t="str">
        <f>"2/25/2015 4:45:00 PM"</f>
        <v>2/25/2015 4:45:00 PM</v>
      </c>
      <c r="O8271" t="s">
        <v>24924</v>
      </c>
      <c r="T8271" t="s">
        <v>24925</v>
      </c>
    </row>
    <row r="8272" spans="1:20" x14ac:dyDescent="0.25">
      <c r="A8272" t="str">
        <f>"3040136"</f>
        <v>3040136</v>
      </c>
      <c r="B8272" t="s">
        <v>24927</v>
      </c>
      <c r="C8272" t="str">
        <f>"82532350"</f>
        <v>82532350</v>
      </c>
      <c r="D8272" t="s">
        <v>24848</v>
      </c>
      <c r="E8272" t="s">
        <v>24849</v>
      </c>
      <c r="F8272" t="s">
        <v>24850</v>
      </c>
      <c r="I8272" t="s">
        <v>29</v>
      </c>
      <c r="J8272" t="s">
        <v>30</v>
      </c>
      <c r="K8272" t="s">
        <v>31</v>
      </c>
      <c r="M8272" t="s">
        <v>23082</v>
      </c>
      <c r="N8272" t="str">
        <f>"2/25/2015 4:48:00 PM"</f>
        <v>2/25/2015 4:48:00 PM</v>
      </c>
      <c r="O8272" t="s">
        <v>24848</v>
      </c>
      <c r="T8272" t="s">
        <v>24849</v>
      </c>
    </row>
    <row r="8273" spans="1:20" x14ac:dyDescent="0.25">
      <c r="A8273" t="str">
        <f>"3052963"</f>
        <v>3052963</v>
      </c>
      <c r="B8273" t="s">
        <v>24928</v>
      </c>
      <c r="C8273" t="str">
        <f>"42036000"</f>
        <v>42036000</v>
      </c>
      <c r="D8273" t="s">
        <v>24929</v>
      </c>
      <c r="E8273" t="s">
        <v>24930</v>
      </c>
      <c r="F8273" t="s">
        <v>17989</v>
      </c>
      <c r="I8273" t="s">
        <v>29</v>
      </c>
      <c r="J8273" t="s">
        <v>30</v>
      </c>
      <c r="K8273" t="str">
        <f>"27028"</f>
        <v>27028</v>
      </c>
      <c r="M8273" t="s">
        <v>17861</v>
      </c>
      <c r="N8273" t="str">
        <f>"2/27/2015 3:16:00 PM"</f>
        <v>2/27/2015 3:16:00 PM</v>
      </c>
      <c r="O8273" t="s">
        <v>24929</v>
      </c>
      <c r="T8273" t="s">
        <v>24930</v>
      </c>
    </row>
    <row r="8274" spans="1:20" x14ac:dyDescent="0.25">
      <c r="A8274" t="str">
        <f>"3049227"</f>
        <v>3049227</v>
      </c>
      <c r="B8274" t="s">
        <v>24931</v>
      </c>
      <c r="C8274" t="str">
        <f>"42036000"</f>
        <v>42036000</v>
      </c>
      <c r="D8274" t="s">
        <v>24929</v>
      </c>
      <c r="E8274" t="s">
        <v>24930</v>
      </c>
      <c r="F8274" t="s">
        <v>17989</v>
      </c>
      <c r="I8274" t="s">
        <v>29</v>
      </c>
      <c r="J8274" t="s">
        <v>30</v>
      </c>
      <c r="K8274" t="str">
        <f>"27028"</f>
        <v>27028</v>
      </c>
      <c r="M8274" t="s">
        <v>17861</v>
      </c>
      <c r="N8274" t="str">
        <f>"2/27/2015 3:16:00 PM"</f>
        <v>2/27/2015 3:16:00 PM</v>
      </c>
      <c r="O8274" t="s">
        <v>24929</v>
      </c>
      <c r="T8274" t="s">
        <v>24930</v>
      </c>
    </row>
    <row r="8275" spans="1:20" x14ac:dyDescent="0.25">
      <c r="A8275" t="str">
        <f>"3055899"</f>
        <v>3055899</v>
      </c>
      <c r="B8275" t="s">
        <v>24932</v>
      </c>
      <c r="C8275" t="str">
        <f>"8303212"</f>
        <v>8303212</v>
      </c>
      <c r="D8275" t="s">
        <v>22672</v>
      </c>
      <c r="E8275" t="s">
        <v>24933</v>
      </c>
      <c r="F8275" t="s">
        <v>12246</v>
      </c>
      <c r="I8275" t="s">
        <v>29</v>
      </c>
      <c r="J8275" t="s">
        <v>30</v>
      </c>
      <c r="K8275" t="str">
        <f>"27028"</f>
        <v>27028</v>
      </c>
      <c r="M8275" t="s">
        <v>17861</v>
      </c>
      <c r="N8275" t="str">
        <f>"2/27/2015 3:21:00 PM"</f>
        <v>2/27/2015 3:21:00 PM</v>
      </c>
      <c r="O8275" t="s">
        <v>22672</v>
      </c>
      <c r="T8275" t="s">
        <v>24933</v>
      </c>
    </row>
    <row r="8276" spans="1:20" x14ac:dyDescent="0.25">
      <c r="A8276" t="str">
        <f>"3039752"</f>
        <v>3039752</v>
      </c>
      <c r="B8276" t="s">
        <v>24934</v>
      </c>
      <c r="C8276" t="str">
        <f>"8302422"</f>
        <v>8302422</v>
      </c>
      <c r="D8276" t="s">
        <v>24935</v>
      </c>
      <c r="E8276" t="s">
        <v>24936</v>
      </c>
      <c r="F8276" t="s">
        <v>24937</v>
      </c>
      <c r="I8276" t="s">
        <v>29</v>
      </c>
      <c r="J8276" t="s">
        <v>30</v>
      </c>
      <c r="K8276" t="str">
        <f>"27028"</f>
        <v>27028</v>
      </c>
      <c r="M8276" t="s">
        <v>17861</v>
      </c>
      <c r="N8276" t="str">
        <f>"2/27/2015 3:31:00 PM"</f>
        <v>2/27/2015 3:31:00 PM</v>
      </c>
      <c r="O8276" t="s">
        <v>24935</v>
      </c>
      <c r="T8276" t="s">
        <v>24936</v>
      </c>
    </row>
    <row r="8277" spans="1:20" x14ac:dyDescent="0.25">
      <c r="A8277" t="str">
        <f>"3070889"</f>
        <v>3070889</v>
      </c>
      <c r="B8277" t="s">
        <v>24938</v>
      </c>
      <c r="C8277" t="str">
        <f>"82531349"</f>
        <v>82531349</v>
      </c>
      <c r="D8277" t="s">
        <v>24939</v>
      </c>
      <c r="F8277" t="s">
        <v>24940</v>
      </c>
      <c r="I8277" t="s">
        <v>29</v>
      </c>
      <c r="J8277" t="s">
        <v>30</v>
      </c>
      <c r="K8277" t="s">
        <v>31</v>
      </c>
      <c r="M8277" t="s">
        <v>18479</v>
      </c>
      <c r="N8277" t="str">
        <f>"2/27/2015 4:07:00 PM"</f>
        <v>2/27/2015 4:07:00 PM</v>
      </c>
      <c r="O8277" t="s">
        <v>24939</v>
      </c>
    </row>
    <row r="8278" spans="1:20" x14ac:dyDescent="0.25">
      <c r="A8278" t="str">
        <f>"3057990"</f>
        <v>3057990</v>
      </c>
      <c r="B8278" t="s">
        <v>24941</v>
      </c>
      <c r="C8278" t="str">
        <f>"17942750"</f>
        <v>17942750</v>
      </c>
      <c r="D8278" t="s">
        <v>21952</v>
      </c>
      <c r="E8278" t="s">
        <v>24942</v>
      </c>
      <c r="F8278" t="s">
        <v>21954</v>
      </c>
      <c r="I8278" t="s">
        <v>184</v>
      </c>
      <c r="J8278" t="s">
        <v>30</v>
      </c>
      <c r="K8278" t="s">
        <v>4697</v>
      </c>
      <c r="M8278" t="s">
        <v>18479</v>
      </c>
      <c r="N8278" t="str">
        <f>"3/2/2015 3:02:00 PM"</f>
        <v>3/2/2015 3:02:00 PM</v>
      </c>
      <c r="O8278" t="s">
        <v>21952</v>
      </c>
      <c r="T8278" t="s">
        <v>24942</v>
      </c>
    </row>
    <row r="8279" spans="1:20" x14ac:dyDescent="0.25">
      <c r="A8279" t="str">
        <f>"3045175"</f>
        <v>3045175</v>
      </c>
      <c r="B8279" t="s">
        <v>24943</v>
      </c>
      <c r="C8279" t="str">
        <f>"8304763"</f>
        <v>8304763</v>
      </c>
      <c r="D8279" t="s">
        <v>24944</v>
      </c>
      <c r="F8279" t="s">
        <v>23260</v>
      </c>
      <c r="I8279" t="s">
        <v>17921</v>
      </c>
      <c r="J8279" t="s">
        <v>30</v>
      </c>
      <c r="K8279" t="str">
        <f>"27028"</f>
        <v>27028</v>
      </c>
      <c r="M8279" t="s">
        <v>17861</v>
      </c>
      <c r="N8279" t="str">
        <f>"3/4/2015 12:38:00 PM"</f>
        <v>3/4/2015 12:38:00 PM</v>
      </c>
      <c r="O8279" t="s">
        <v>24944</v>
      </c>
    </row>
    <row r="8280" spans="1:20" x14ac:dyDescent="0.25">
      <c r="A8280" t="str">
        <f>"3044954"</f>
        <v>3044954</v>
      </c>
      <c r="B8280" t="s">
        <v>24945</v>
      </c>
      <c r="C8280" t="str">
        <f>"8304763"</f>
        <v>8304763</v>
      </c>
      <c r="D8280" t="s">
        <v>24944</v>
      </c>
      <c r="F8280" t="s">
        <v>23260</v>
      </c>
      <c r="I8280" t="s">
        <v>17921</v>
      </c>
      <c r="J8280" t="s">
        <v>30</v>
      </c>
      <c r="K8280" t="str">
        <f>"27028"</f>
        <v>27028</v>
      </c>
      <c r="M8280" t="s">
        <v>17861</v>
      </c>
      <c r="N8280" t="str">
        <f>"3/4/2015 12:38:00 PM"</f>
        <v>3/4/2015 12:38:00 PM</v>
      </c>
      <c r="O8280" t="s">
        <v>24944</v>
      </c>
    </row>
    <row r="8281" spans="1:20" x14ac:dyDescent="0.25">
      <c r="A8281" t="str">
        <f>"3044955"</f>
        <v>3044955</v>
      </c>
      <c r="B8281" t="s">
        <v>24946</v>
      </c>
      <c r="C8281" t="str">
        <f>"8304763"</f>
        <v>8304763</v>
      </c>
      <c r="D8281" t="s">
        <v>24944</v>
      </c>
      <c r="F8281" t="s">
        <v>23260</v>
      </c>
      <c r="I8281" t="s">
        <v>17921</v>
      </c>
      <c r="J8281" t="s">
        <v>30</v>
      </c>
      <c r="K8281" t="str">
        <f>"27028"</f>
        <v>27028</v>
      </c>
      <c r="M8281" t="s">
        <v>17861</v>
      </c>
      <c r="N8281" t="str">
        <f>"3/4/2015 12:38:00 PM"</f>
        <v>3/4/2015 12:38:00 PM</v>
      </c>
      <c r="O8281" t="s">
        <v>24944</v>
      </c>
    </row>
    <row r="8282" spans="1:20" x14ac:dyDescent="0.25">
      <c r="A8282" t="str">
        <f>"3057376"</f>
        <v>3057376</v>
      </c>
      <c r="B8282" t="s">
        <v>24947</v>
      </c>
      <c r="C8282" t="str">
        <f>"8300397"</f>
        <v>8300397</v>
      </c>
      <c r="D8282" t="s">
        <v>24948</v>
      </c>
      <c r="E8282" t="s">
        <v>24949</v>
      </c>
      <c r="F8282" t="s">
        <v>24950</v>
      </c>
      <c r="I8282" t="s">
        <v>184</v>
      </c>
      <c r="J8282" t="s">
        <v>30</v>
      </c>
      <c r="K8282" t="s">
        <v>185</v>
      </c>
      <c r="M8282" t="s">
        <v>18479</v>
      </c>
      <c r="N8282" t="str">
        <f>"3/2/2015 3:49:00 PM"</f>
        <v>3/2/2015 3:49:00 PM</v>
      </c>
      <c r="O8282" t="s">
        <v>24948</v>
      </c>
      <c r="T8282" t="s">
        <v>24949</v>
      </c>
    </row>
    <row r="8283" spans="1:20" x14ac:dyDescent="0.25">
      <c r="A8283" t="str">
        <f>"3048577"</f>
        <v>3048577</v>
      </c>
      <c r="B8283" t="s">
        <v>24951</v>
      </c>
      <c r="C8283" t="str">
        <f>"8300397"</f>
        <v>8300397</v>
      </c>
      <c r="D8283" t="s">
        <v>24948</v>
      </c>
      <c r="E8283" t="s">
        <v>24949</v>
      </c>
      <c r="F8283" t="s">
        <v>24950</v>
      </c>
      <c r="I8283" t="s">
        <v>184</v>
      </c>
      <c r="J8283" t="s">
        <v>30</v>
      </c>
      <c r="K8283" t="s">
        <v>185</v>
      </c>
      <c r="M8283" t="s">
        <v>18479</v>
      </c>
      <c r="N8283" t="str">
        <f>"3/2/2015 3:49:00 PM"</f>
        <v>3/2/2015 3:49:00 PM</v>
      </c>
      <c r="O8283" t="s">
        <v>24948</v>
      </c>
      <c r="T8283" t="s">
        <v>24949</v>
      </c>
    </row>
    <row r="8284" spans="1:20" x14ac:dyDescent="0.25">
      <c r="A8284" t="str">
        <f>"3048390"</f>
        <v>3048390</v>
      </c>
      <c r="B8284" t="s">
        <v>24952</v>
      </c>
      <c r="C8284" t="str">
        <f>"8300397"</f>
        <v>8300397</v>
      </c>
      <c r="D8284" t="s">
        <v>24948</v>
      </c>
      <c r="E8284" t="s">
        <v>24949</v>
      </c>
      <c r="F8284" t="s">
        <v>24950</v>
      </c>
      <c r="I8284" t="s">
        <v>184</v>
      </c>
      <c r="J8284" t="s">
        <v>30</v>
      </c>
      <c r="K8284" t="s">
        <v>185</v>
      </c>
      <c r="M8284" t="s">
        <v>18479</v>
      </c>
      <c r="N8284" t="str">
        <f>"3/2/2015 3:49:00 PM"</f>
        <v>3/2/2015 3:49:00 PM</v>
      </c>
      <c r="O8284" t="s">
        <v>24948</v>
      </c>
      <c r="T8284" t="s">
        <v>24949</v>
      </c>
    </row>
    <row r="8285" spans="1:20" x14ac:dyDescent="0.25">
      <c r="A8285" t="str">
        <f>"3060006"</f>
        <v>3060006</v>
      </c>
      <c r="B8285" t="s">
        <v>24953</v>
      </c>
      <c r="C8285" t="str">
        <f>"8300397"</f>
        <v>8300397</v>
      </c>
      <c r="D8285" t="s">
        <v>24948</v>
      </c>
      <c r="E8285" t="s">
        <v>24949</v>
      </c>
      <c r="F8285" t="s">
        <v>24950</v>
      </c>
      <c r="I8285" t="s">
        <v>184</v>
      </c>
      <c r="J8285" t="s">
        <v>30</v>
      </c>
      <c r="K8285" t="s">
        <v>185</v>
      </c>
      <c r="M8285" t="s">
        <v>18479</v>
      </c>
      <c r="N8285" t="str">
        <f>"3/2/2015 3:49:00 PM"</f>
        <v>3/2/2015 3:49:00 PM</v>
      </c>
      <c r="O8285" t="s">
        <v>24948</v>
      </c>
      <c r="T8285" t="s">
        <v>24949</v>
      </c>
    </row>
    <row r="8286" spans="1:20" x14ac:dyDescent="0.25">
      <c r="A8286" t="str">
        <f>"3060761"</f>
        <v>3060761</v>
      </c>
      <c r="B8286" t="s">
        <v>24954</v>
      </c>
      <c r="C8286" t="str">
        <f>"60464000"</f>
        <v>60464000</v>
      </c>
      <c r="D8286" t="s">
        <v>24955</v>
      </c>
      <c r="E8286" t="s">
        <v>24956</v>
      </c>
      <c r="F8286" t="s">
        <v>24957</v>
      </c>
      <c r="I8286" t="s">
        <v>2071</v>
      </c>
      <c r="J8286" t="s">
        <v>30</v>
      </c>
      <c r="K8286" t="s">
        <v>4269</v>
      </c>
      <c r="M8286" t="s">
        <v>23082</v>
      </c>
      <c r="N8286" t="str">
        <f>"3/2/2015 4:03:00 PM"</f>
        <v>3/2/2015 4:03:00 PM</v>
      </c>
      <c r="O8286" t="s">
        <v>24955</v>
      </c>
      <c r="T8286" t="s">
        <v>24956</v>
      </c>
    </row>
    <row r="8287" spans="1:20" x14ac:dyDescent="0.25">
      <c r="A8287" t="str">
        <f>"3039691"</f>
        <v>3039691</v>
      </c>
      <c r="B8287" t="s">
        <v>24958</v>
      </c>
      <c r="C8287" t="str">
        <f>"14336000"</f>
        <v>14336000</v>
      </c>
      <c r="D8287" t="s">
        <v>24959</v>
      </c>
      <c r="E8287" t="s">
        <v>24960</v>
      </c>
      <c r="F8287" t="s">
        <v>24961</v>
      </c>
      <c r="I8287" t="s">
        <v>29</v>
      </c>
      <c r="J8287" t="s">
        <v>30</v>
      </c>
      <c r="K8287" t="s">
        <v>24962</v>
      </c>
      <c r="M8287" t="s">
        <v>18479</v>
      </c>
      <c r="N8287" t="str">
        <f>"3/2/2015 4:39:00 PM"</f>
        <v>3/2/2015 4:39:00 PM</v>
      </c>
      <c r="O8287" t="s">
        <v>24959</v>
      </c>
      <c r="T8287" t="s">
        <v>24960</v>
      </c>
    </row>
    <row r="8288" spans="1:20" x14ac:dyDescent="0.25">
      <c r="A8288" t="str">
        <f>"3039456"</f>
        <v>3039456</v>
      </c>
      <c r="B8288" t="s">
        <v>24963</v>
      </c>
      <c r="C8288" t="str">
        <f>"14336000"</f>
        <v>14336000</v>
      </c>
      <c r="D8288" t="s">
        <v>24959</v>
      </c>
      <c r="E8288" t="s">
        <v>24960</v>
      </c>
      <c r="F8288" t="s">
        <v>24961</v>
      </c>
      <c r="I8288" t="s">
        <v>29</v>
      </c>
      <c r="J8288" t="s">
        <v>30</v>
      </c>
      <c r="K8288" t="s">
        <v>24962</v>
      </c>
      <c r="M8288" t="s">
        <v>18479</v>
      </c>
      <c r="N8288" t="str">
        <f>"3/2/2015 4:39:00 PM"</f>
        <v>3/2/2015 4:39:00 PM</v>
      </c>
      <c r="O8288" t="s">
        <v>24959</v>
      </c>
      <c r="T8288" t="s">
        <v>24960</v>
      </c>
    </row>
    <row r="8289" spans="1:20" x14ac:dyDescent="0.25">
      <c r="A8289" t="str">
        <f>"3039397"</f>
        <v>3039397</v>
      </c>
      <c r="B8289" t="s">
        <v>24964</v>
      </c>
      <c r="C8289" t="str">
        <f>"14336000"</f>
        <v>14336000</v>
      </c>
      <c r="D8289" t="s">
        <v>24959</v>
      </c>
      <c r="E8289" t="s">
        <v>24960</v>
      </c>
      <c r="F8289" t="s">
        <v>24961</v>
      </c>
      <c r="I8289" t="s">
        <v>29</v>
      </c>
      <c r="J8289" t="s">
        <v>30</v>
      </c>
      <c r="K8289" t="s">
        <v>24962</v>
      </c>
      <c r="M8289" t="s">
        <v>18479</v>
      </c>
      <c r="N8289" t="str">
        <f>"3/2/2015 4:39:00 PM"</f>
        <v>3/2/2015 4:39:00 PM</v>
      </c>
      <c r="O8289" t="s">
        <v>24959</v>
      </c>
      <c r="T8289" t="s">
        <v>24960</v>
      </c>
    </row>
    <row r="8290" spans="1:20" x14ac:dyDescent="0.25">
      <c r="A8290" t="str">
        <f>"3044308"</f>
        <v>3044308</v>
      </c>
      <c r="B8290" t="s">
        <v>24965</v>
      </c>
      <c r="C8290" t="str">
        <f>"82526786"</f>
        <v>82526786</v>
      </c>
      <c r="D8290" t="s">
        <v>24966</v>
      </c>
      <c r="E8290" t="s">
        <v>24967</v>
      </c>
      <c r="F8290" t="s">
        <v>24968</v>
      </c>
      <c r="I8290" t="s">
        <v>184</v>
      </c>
      <c r="J8290" t="s">
        <v>30</v>
      </c>
      <c r="K8290" t="s">
        <v>185</v>
      </c>
      <c r="M8290" t="s">
        <v>18479</v>
      </c>
      <c r="N8290" t="str">
        <f>"3/3/2015 9:05:00 AM"</f>
        <v>3/3/2015 9:05:00 AM</v>
      </c>
      <c r="O8290" t="s">
        <v>24966</v>
      </c>
      <c r="T8290" t="s">
        <v>24967</v>
      </c>
    </row>
    <row r="8291" spans="1:20" x14ac:dyDescent="0.25">
      <c r="A8291" t="str">
        <f>"3044184"</f>
        <v>3044184</v>
      </c>
      <c r="B8291" t="s">
        <v>24969</v>
      </c>
      <c r="C8291" t="str">
        <f>"82526786"</f>
        <v>82526786</v>
      </c>
      <c r="D8291" t="s">
        <v>24966</v>
      </c>
      <c r="E8291" t="s">
        <v>24967</v>
      </c>
      <c r="F8291" t="s">
        <v>24968</v>
      </c>
      <c r="I8291" t="s">
        <v>184</v>
      </c>
      <c r="J8291" t="s">
        <v>30</v>
      </c>
      <c r="K8291" t="s">
        <v>185</v>
      </c>
      <c r="M8291" t="s">
        <v>18479</v>
      </c>
      <c r="N8291" t="str">
        <f>"3/3/2015 9:05:00 AM"</f>
        <v>3/3/2015 9:05:00 AM</v>
      </c>
      <c r="O8291" t="s">
        <v>24966</v>
      </c>
      <c r="T8291" t="s">
        <v>24967</v>
      </c>
    </row>
    <row r="8292" spans="1:20" x14ac:dyDescent="0.25">
      <c r="A8292" t="str">
        <f>"3057947"</f>
        <v>3057947</v>
      </c>
      <c r="B8292" t="s">
        <v>24970</v>
      </c>
      <c r="C8292" t="str">
        <f>"8304256"</f>
        <v>8304256</v>
      </c>
      <c r="D8292" t="s">
        <v>24971</v>
      </c>
      <c r="E8292" t="s">
        <v>24972</v>
      </c>
      <c r="F8292" t="s">
        <v>24973</v>
      </c>
      <c r="I8292" t="s">
        <v>184</v>
      </c>
      <c r="J8292" t="s">
        <v>30</v>
      </c>
      <c r="K8292" t="str">
        <f>"27006"</f>
        <v>27006</v>
      </c>
      <c r="M8292" t="s">
        <v>18479</v>
      </c>
      <c r="N8292" t="str">
        <f>"3/3/2015 9:12:00 AM"</f>
        <v>3/3/2015 9:12:00 AM</v>
      </c>
      <c r="O8292" t="s">
        <v>24971</v>
      </c>
      <c r="T8292" t="s">
        <v>24972</v>
      </c>
    </row>
    <row r="8293" spans="1:20" x14ac:dyDescent="0.25">
      <c r="A8293" t="str">
        <f>"3044092"</f>
        <v>3044092</v>
      </c>
      <c r="B8293" t="s">
        <v>24974</v>
      </c>
      <c r="C8293" t="str">
        <f>"17763000"</f>
        <v>17763000</v>
      </c>
      <c r="D8293" t="s">
        <v>24975</v>
      </c>
      <c r="E8293" t="s">
        <v>24976</v>
      </c>
      <c r="F8293" t="s">
        <v>24977</v>
      </c>
      <c r="I8293" t="s">
        <v>184</v>
      </c>
      <c r="J8293" t="s">
        <v>30</v>
      </c>
      <c r="K8293" t="s">
        <v>24978</v>
      </c>
      <c r="M8293" t="s">
        <v>18479</v>
      </c>
      <c r="N8293" t="str">
        <f>"3/3/2015 10:36:00 AM"</f>
        <v>3/3/2015 10:36:00 AM</v>
      </c>
      <c r="O8293" t="s">
        <v>24975</v>
      </c>
      <c r="T8293" t="s">
        <v>24976</v>
      </c>
    </row>
    <row r="8294" spans="1:20" x14ac:dyDescent="0.25">
      <c r="A8294" t="str">
        <f>"3046863"</f>
        <v>3046863</v>
      </c>
      <c r="B8294" t="s">
        <v>24979</v>
      </c>
      <c r="C8294" t="str">
        <f>"57374000"</f>
        <v>57374000</v>
      </c>
      <c r="D8294" t="s">
        <v>24915</v>
      </c>
      <c r="F8294" t="s">
        <v>9468</v>
      </c>
      <c r="I8294" t="s">
        <v>184</v>
      </c>
      <c r="J8294" t="s">
        <v>30</v>
      </c>
      <c r="K8294" t="s">
        <v>185</v>
      </c>
      <c r="M8294" t="s">
        <v>23082</v>
      </c>
      <c r="N8294" t="str">
        <f>"2/25/2015 3:14:00 PM"</f>
        <v>2/25/2015 3:14:00 PM</v>
      </c>
      <c r="O8294" t="s">
        <v>24915</v>
      </c>
    </row>
    <row r="8295" spans="1:20" x14ac:dyDescent="0.25">
      <c r="A8295" t="str">
        <f>"3048074"</f>
        <v>3048074</v>
      </c>
      <c r="B8295" t="s">
        <v>24980</v>
      </c>
      <c r="C8295" t="str">
        <f>"8304316"</f>
        <v>8304316</v>
      </c>
      <c r="D8295" t="s">
        <v>24981</v>
      </c>
      <c r="F8295" t="s">
        <v>24982</v>
      </c>
      <c r="I8295" t="s">
        <v>184</v>
      </c>
      <c r="J8295" t="s">
        <v>30</v>
      </c>
      <c r="K8295" t="str">
        <f>"27006"</f>
        <v>27006</v>
      </c>
      <c r="M8295" t="s">
        <v>18479</v>
      </c>
      <c r="N8295" t="str">
        <f>"3/3/2015 10:40:00 AM"</f>
        <v>3/3/2015 10:40:00 AM</v>
      </c>
      <c r="O8295" t="s">
        <v>24981</v>
      </c>
    </row>
    <row r="8296" spans="1:20" x14ac:dyDescent="0.25">
      <c r="A8296" t="str">
        <f>"3050987"</f>
        <v>3050987</v>
      </c>
      <c r="B8296" t="s">
        <v>24983</v>
      </c>
      <c r="C8296" t="str">
        <f>"57374000"</f>
        <v>57374000</v>
      </c>
      <c r="D8296" t="s">
        <v>24915</v>
      </c>
      <c r="F8296" t="s">
        <v>9468</v>
      </c>
      <c r="I8296" t="s">
        <v>184</v>
      </c>
      <c r="J8296" t="s">
        <v>30</v>
      </c>
      <c r="K8296" t="s">
        <v>185</v>
      </c>
      <c r="M8296" t="s">
        <v>23082</v>
      </c>
      <c r="N8296" t="str">
        <f>"2/25/2015 3:14:00 PM"</f>
        <v>2/25/2015 3:14:00 PM</v>
      </c>
      <c r="O8296" t="s">
        <v>24915</v>
      </c>
    </row>
    <row r="8297" spans="1:20" x14ac:dyDescent="0.25">
      <c r="A8297" t="str">
        <f>"3041573"</f>
        <v>3041573</v>
      </c>
      <c r="B8297" t="s">
        <v>24984</v>
      </c>
      <c r="C8297" t="str">
        <f>"8303087"</f>
        <v>8303087</v>
      </c>
      <c r="D8297" t="s">
        <v>24985</v>
      </c>
      <c r="E8297" t="s">
        <v>24986</v>
      </c>
      <c r="F8297" t="s">
        <v>24987</v>
      </c>
      <c r="I8297" t="s">
        <v>2071</v>
      </c>
      <c r="J8297" t="s">
        <v>30</v>
      </c>
      <c r="K8297" t="str">
        <f>"27006"</f>
        <v>27006</v>
      </c>
      <c r="M8297" t="s">
        <v>18479</v>
      </c>
      <c r="N8297" t="str">
        <f>"3/3/2015 1:47:00 PM"</f>
        <v>3/3/2015 1:47:00 PM</v>
      </c>
      <c r="O8297" t="s">
        <v>24985</v>
      </c>
      <c r="T8297" t="s">
        <v>24986</v>
      </c>
    </row>
    <row r="8298" spans="1:20" x14ac:dyDescent="0.25">
      <c r="A8298" t="str">
        <f>"3053283"</f>
        <v>3053283</v>
      </c>
      <c r="B8298" t="s">
        <v>24988</v>
      </c>
      <c r="C8298" t="str">
        <f>"82518645"</f>
        <v>82518645</v>
      </c>
      <c r="D8298" t="s">
        <v>24989</v>
      </c>
      <c r="E8298" t="s">
        <v>24990</v>
      </c>
      <c r="F8298" t="s">
        <v>24991</v>
      </c>
      <c r="I8298" t="s">
        <v>29</v>
      </c>
      <c r="J8298" t="s">
        <v>30</v>
      </c>
      <c r="K8298" t="s">
        <v>24992</v>
      </c>
      <c r="M8298" t="s">
        <v>23082</v>
      </c>
      <c r="N8298" t="str">
        <f>"3/5/2015 10:56:00 AM"</f>
        <v>3/5/2015 10:56:00 AM</v>
      </c>
      <c r="O8298" t="s">
        <v>24989</v>
      </c>
      <c r="T8298" t="s">
        <v>24990</v>
      </c>
    </row>
    <row r="8299" spans="1:20" x14ac:dyDescent="0.25">
      <c r="A8299" t="str">
        <f>"3053772"</f>
        <v>3053772</v>
      </c>
      <c r="B8299" t="s">
        <v>24993</v>
      </c>
      <c r="C8299" t="str">
        <f>"82518645"</f>
        <v>82518645</v>
      </c>
      <c r="D8299" t="s">
        <v>24989</v>
      </c>
      <c r="E8299" t="s">
        <v>24990</v>
      </c>
      <c r="F8299" t="s">
        <v>24991</v>
      </c>
      <c r="I8299" t="s">
        <v>29</v>
      </c>
      <c r="J8299" t="s">
        <v>30</v>
      </c>
      <c r="K8299" t="s">
        <v>24992</v>
      </c>
      <c r="M8299" t="s">
        <v>23082</v>
      </c>
      <c r="N8299" t="str">
        <f>"3/5/2015 10:56:00 AM"</f>
        <v>3/5/2015 10:56:00 AM</v>
      </c>
      <c r="O8299" t="s">
        <v>24989</v>
      </c>
      <c r="T8299" t="s">
        <v>24990</v>
      </c>
    </row>
    <row r="8300" spans="1:20" x14ac:dyDescent="0.25">
      <c r="A8300" t="str">
        <f>"3048792"</f>
        <v>3048792</v>
      </c>
      <c r="B8300" t="s">
        <v>24994</v>
      </c>
      <c r="C8300" t="str">
        <f>"67857250"</f>
        <v>67857250</v>
      </c>
      <c r="D8300" t="s">
        <v>24995</v>
      </c>
      <c r="E8300" t="s">
        <v>24996</v>
      </c>
      <c r="F8300" t="s">
        <v>24997</v>
      </c>
      <c r="I8300" t="s">
        <v>29</v>
      </c>
      <c r="J8300" t="s">
        <v>30</v>
      </c>
      <c r="K8300" t="s">
        <v>31</v>
      </c>
      <c r="M8300" t="s">
        <v>23082</v>
      </c>
      <c r="N8300" t="str">
        <f>"3/5/2015 10:57:00 AM"</f>
        <v>3/5/2015 10:57:00 AM</v>
      </c>
      <c r="O8300" t="s">
        <v>24995</v>
      </c>
      <c r="T8300" t="s">
        <v>24996</v>
      </c>
    </row>
    <row r="8301" spans="1:20" x14ac:dyDescent="0.25">
      <c r="A8301" t="str">
        <f>"3042710"</f>
        <v>3042710</v>
      </c>
      <c r="B8301" t="s">
        <v>24998</v>
      </c>
      <c r="C8301" t="str">
        <f>"69112000"</f>
        <v>69112000</v>
      </c>
      <c r="D8301" t="s">
        <v>24999</v>
      </c>
      <c r="E8301" t="s">
        <v>25000</v>
      </c>
      <c r="F8301" t="s">
        <v>25001</v>
      </c>
      <c r="I8301" t="s">
        <v>29</v>
      </c>
      <c r="J8301" t="s">
        <v>30</v>
      </c>
      <c r="K8301" t="s">
        <v>31</v>
      </c>
      <c r="M8301" t="s">
        <v>23082</v>
      </c>
      <c r="N8301" t="str">
        <f>"3/5/2015 11:05:00 AM"</f>
        <v>3/5/2015 11:05:00 AM</v>
      </c>
      <c r="O8301" t="s">
        <v>24999</v>
      </c>
      <c r="T8301" t="s">
        <v>25000</v>
      </c>
    </row>
    <row r="8302" spans="1:20" x14ac:dyDescent="0.25">
      <c r="A8302" t="str">
        <f>"3045794"</f>
        <v>3045794</v>
      </c>
      <c r="B8302" t="s">
        <v>25002</v>
      </c>
      <c r="C8302" t="str">
        <f>"8301413"</f>
        <v>8301413</v>
      </c>
      <c r="D8302" t="s">
        <v>25003</v>
      </c>
      <c r="E8302" t="s">
        <v>25004</v>
      </c>
      <c r="F8302" t="s">
        <v>25005</v>
      </c>
      <c r="I8302" t="s">
        <v>29</v>
      </c>
      <c r="J8302" t="s">
        <v>30</v>
      </c>
      <c r="K8302" t="str">
        <f>"27028"</f>
        <v>27028</v>
      </c>
      <c r="M8302" t="s">
        <v>23082</v>
      </c>
      <c r="N8302" t="str">
        <f>"3/5/2015 11:16:00 AM"</f>
        <v>3/5/2015 11:16:00 AM</v>
      </c>
      <c r="O8302" t="s">
        <v>25003</v>
      </c>
      <c r="T8302" t="s">
        <v>25004</v>
      </c>
    </row>
    <row r="8303" spans="1:20" x14ac:dyDescent="0.25">
      <c r="A8303" t="str">
        <f>"3052873"</f>
        <v>3052873</v>
      </c>
      <c r="B8303" t="s">
        <v>25006</v>
      </c>
      <c r="C8303" t="str">
        <f>"71284000"</f>
        <v>71284000</v>
      </c>
      <c r="D8303" t="s">
        <v>25007</v>
      </c>
      <c r="E8303" t="s">
        <v>25008</v>
      </c>
      <c r="F8303" t="s">
        <v>25009</v>
      </c>
      <c r="I8303" t="s">
        <v>29</v>
      </c>
      <c r="J8303" t="s">
        <v>30</v>
      </c>
      <c r="K8303" t="s">
        <v>31</v>
      </c>
      <c r="M8303" t="s">
        <v>23082</v>
      </c>
      <c r="N8303" t="str">
        <f>"3/5/2015 11:17:00 AM"</f>
        <v>3/5/2015 11:17:00 AM</v>
      </c>
      <c r="O8303" t="s">
        <v>25007</v>
      </c>
      <c r="T8303" t="s">
        <v>25008</v>
      </c>
    </row>
    <row r="8304" spans="1:20" x14ac:dyDescent="0.25">
      <c r="A8304" t="str">
        <f>"3050342"</f>
        <v>3050342</v>
      </c>
      <c r="B8304" t="s">
        <v>25010</v>
      </c>
      <c r="C8304" t="str">
        <f>"19273060"</f>
        <v>19273060</v>
      </c>
      <c r="D8304" t="s">
        <v>25011</v>
      </c>
      <c r="E8304" t="s">
        <v>25012</v>
      </c>
      <c r="F8304" t="s">
        <v>25013</v>
      </c>
      <c r="I8304" t="s">
        <v>29</v>
      </c>
      <c r="J8304" t="s">
        <v>30</v>
      </c>
      <c r="K8304" t="s">
        <v>25014</v>
      </c>
      <c r="M8304" t="s">
        <v>18479</v>
      </c>
      <c r="N8304" t="str">
        <f>"3/3/2015 3:37:00 PM"</f>
        <v>3/3/2015 3:37:00 PM</v>
      </c>
      <c r="O8304" t="s">
        <v>25011</v>
      </c>
      <c r="T8304" t="s">
        <v>25012</v>
      </c>
    </row>
    <row r="8305" spans="1:20" x14ac:dyDescent="0.25">
      <c r="A8305" t="str">
        <f>"3050417"</f>
        <v>3050417</v>
      </c>
      <c r="B8305" t="s">
        <v>25015</v>
      </c>
      <c r="C8305" t="str">
        <f>"19273060"</f>
        <v>19273060</v>
      </c>
      <c r="D8305" t="s">
        <v>25011</v>
      </c>
      <c r="E8305" t="s">
        <v>25012</v>
      </c>
      <c r="F8305" t="s">
        <v>25013</v>
      </c>
      <c r="I8305" t="s">
        <v>29</v>
      </c>
      <c r="J8305" t="s">
        <v>30</v>
      </c>
      <c r="K8305" t="s">
        <v>25014</v>
      </c>
      <c r="M8305" t="s">
        <v>18479</v>
      </c>
      <c r="N8305" t="str">
        <f>"3/3/2015 3:37:00 PM"</f>
        <v>3/3/2015 3:37:00 PM</v>
      </c>
      <c r="O8305" t="s">
        <v>25011</v>
      </c>
      <c r="T8305" t="s">
        <v>25012</v>
      </c>
    </row>
    <row r="8306" spans="1:20" x14ac:dyDescent="0.25">
      <c r="A8306" t="str">
        <f>"3059960"</f>
        <v>3059960</v>
      </c>
      <c r="B8306" t="s">
        <v>25016</v>
      </c>
      <c r="C8306" t="str">
        <f>"82530761"</f>
        <v>82530761</v>
      </c>
      <c r="D8306" t="s">
        <v>25017</v>
      </c>
      <c r="F8306" t="s">
        <v>25018</v>
      </c>
      <c r="I8306" t="s">
        <v>184</v>
      </c>
      <c r="J8306" t="s">
        <v>30</v>
      </c>
      <c r="K8306" t="s">
        <v>185</v>
      </c>
      <c r="M8306" t="s">
        <v>18479</v>
      </c>
      <c r="N8306" t="str">
        <f>"3/4/2015 9:04:00 AM"</f>
        <v>3/4/2015 9:04:00 AM</v>
      </c>
      <c r="O8306" t="s">
        <v>25017</v>
      </c>
    </row>
    <row r="8307" spans="1:20" x14ac:dyDescent="0.25">
      <c r="A8307" t="str">
        <f>"3040183"</f>
        <v>3040183</v>
      </c>
      <c r="B8307" t="s">
        <v>25019</v>
      </c>
      <c r="C8307" t="str">
        <f>"39340000"</f>
        <v>39340000</v>
      </c>
      <c r="D8307" t="s">
        <v>25020</v>
      </c>
      <c r="F8307" t="str">
        <f>"C/O PEGGY TALLEY"</f>
        <v>C/O PEGGY TALLEY</v>
      </c>
      <c r="G8307" t="s">
        <v>25021</v>
      </c>
      <c r="I8307" t="s">
        <v>29</v>
      </c>
      <c r="J8307" t="s">
        <v>30</v>
      </c>
      <c r="K8307" t="s">
        <v>31</v>
      </c>
      <c r="M8307" t="s">
        <v>23082</v>
      </c>
      <c r="N8307" t="str">
        <f>"3/5/2015 11:22:00 AM"</f>
        <v>3/5/2015 11:22:00 AM</v>
      </c>
      <c r="O8307" t="s">
        <v>25020</v>
      </c>
    </row>
    <row r="8308" spans="1:20" x14ac:dyDescent="0.25">
      <c r="A8308" t="str">
        <f>"3050039"</f>
        <v>3050039</v>
      </c>
      <c r="B8308" t="s">
        <v>25022</v>
      </c>
      <c r="C8308" t="str">
        <f>"82533049"</f>
        <v>82533049</v>
      </c>
      <c r="D8308" t="s">
        <v>25023</v>
      </c>
      <c r="E8308" t="s">
        <v>25024</v>
      </c>
      <c r="F8308" t="s">
        <v>25025</v>
      </c>
      <c r="I8308" t="s">
        <v>29</v>
      </c>
      <c r="J8308" t="s">
        <v>30</v>
      </c>
      <c r="K8308" t="str">
        <f>"27028"</f>
        <v>27028</v>
      </c>
      <c r="M8308" t="s">
        <v>23082</v>
      </c>
      <c r="N8308" t="str">
        <f>"3/5/2015 11:25:00 AM"</f>
        <v>3/5/2015 11:25:00 AM</v>
      </c>
      <c r="O8308" t="s">
        <v>25023</v>
      </c>
      <c r="T8308" t="s">
        <v>25024</v>
      </c>
    </row>
    <row r="8309" spans="1:20" x14ac:dyDescent="0.25">
      <c r="A8309" t="str">
        <f>"3059533"</f>
        <v>3059533</v>
      </c>
      <c r="B8309" t="s">
        <v>25026</v>
      </c>
      <c r="C8309" t="str">
        <f>"82520781"</f>
        <v>82520781</v>
      </c>
      <c r="D8309" t="s">
        <v>25027</v>
      </c>
      <c r="E8309" t="s">
        <v>25028</v>
      </c>
      <c r="F8309" t="s">
        <v>25029</v>
      </c>
      <c r="I8309" t="s">
        <v>29</v>
      </c>
      <c r="J8309" t="s">
        <v>30</v>
      </c>
      <c r="K8309" t="s">
        <v>31</v>
      </c>
      <c r="M8309" t="s">
        <v>23082</v>
      </c>
      <c r="N8309" t="str">
        <f>"3/5/2015 11:30:00 AM"</f>
        <v>3/5/2015 11:30:00 AM</v>
      </c>
      <c r="O8309" t="s">
        <v>25027</v>
      </c>
      <c r="T8309" t="s">
        <v>25028</v>
      </c>
    </row>
    <row r="8310" spans="1:20" x14ac:dyDescent="0.25">
      <c r="A8310" t="str">
        <f>"3054256"</f>
        <v>3054256</v>
      </c>
      <c r="B8310" t="s">
        <v>25030</v>
      </c>
      <c r="C8310" t="str">
        <f>"8302112"</f>
        <v>8302112</v>
      </c>
      <c r="D8310" t="s">
        <v>25031</v>
      </c>
      <c r="F8310" t="s">
        <v>25032</v>
      </c>
      <c r="I8310" t="s">
        <v>29</v>
      </c>
      <c r="J8310" t="s">
        <v>30</v>
      </c>
      <c r="K8310" t="str">
        <f>"27028"</f>
        <v>27028</v>
      </c>
      <c r="M8310" t="s">
        <v>23082</v>
      </c>
      <c r="N8310" t="str">
        <f>"3/5/2015 11:45:00 AM"</f>
        <v>3/5/2015 11:45:00 AM</v>
      </c>
      <c r="O8310" t="s">
        <v>25031</v>
      </c>
    </row>
    <row r="8311" spans="1:20" x14ac:dyDescent="0.25">
      <c r="A8311" t="str">
        <f>"3047882"</f>
        <v>3047882</v>
      </c>
      <c r="B8311" t="s">
        <v>25033</v>
      </c>
      <c r="C8311" t="str">
        <f>"75402000"</f>
        <v>75402000</v>
      </c>
      <c r="D8311" t="s">
        <v>25034</v>
      </c>
      <c r="F8311" t="s">
        <v>25035</v>
      </c>
      <c r="I8311" t="s">
        <v>184</v>
      </c>
      <c r="J8311" t="s">
        <v>30</v>
      </c>
      <c r="K8311" t="s">
        <v>185</v>
      </c>
      <c r="M8311" t="s">
        <v>23082</v>
      </c>
      <c r="N8311" t="str">
        <f>"3/5/2015 11:46:00 AM"</f>
        <v>3/5/2015 11:46:00 AM</v>
      </c>
      <c r="O8311" t="s">
        <v>25034</v>
      </c>
    </row>
    <row r="8312" spans="1:20" x14ac:dyDescent="0.25">
      <c r="A8312" t="str">
        <f>"3047762"</f>
        <v>3047762</v>
      </c>
      <c r="B8312" t="s">
        <v>25036</v>
      </c>
      <c r="C8312" t="str">
        <f>"75402000"</f>
        <v>75402000</v>
      </c>
      <c r="D8312" t="s">
        <v>25034</v>
      </c>
      <c r="F8312" t="s">
        <v>25035</v>
      </c>
      <c r="I8312" t="s">
        <v>184</v>
      </c>
      <c r="J8312" t="s">
        <v>30</v>
      </c>
      <c r="K8312" t="s">
        <v>185</v>
      </c>
      <c r="M8312" t="s">
        <v>23082</v>
      </c>
      <c r="N8312" t="str">
        <f>"3/5/2015 11:46:00 AM"</f>
        <v>3/5/2015 11:46:00 AM</v>
      </c>
      <c r="O8312" t="s">
        <v>25034</v>
      </c>
    </row>
    <row r="8313" spans="1:20" x14ac:dyDescent="0.25">
      <c r="A8313" t="str">
        <f>"3076812"</f>
        <v>3076812</v>
      </c>
      <c r="B8313" t="s">
        <v>25037</v>
      </c>
      <c r="C8313" t="str">
        <f>"76098000"</f>
        <v>76098000</v>
      </c>
      <c r="D8313" t="s">
        <v>25038</v>
      </c>
      <c r="E8313" t="s">
        <v>25039</v>
      </c>
      <c r="F8313" t="s">
        <v>25040</v>
      </c>
      <c r="I8313" t="s">
        <v>29</v>
      </c>
      <c r="J8313" t="s">
        <v>30</v>
      </c>
      <c r="K8313" t="s">
        <v>31</v>
      </c>
      <c r="M8313" t="s">
        <v>23082</v>
      </c>
      <c r="N8313" t="str">
        <f>"3/5/2015 11:47:00 AM"</f>
        <v>3/5/2015 11:47:00 AM</v>
      </c>
      <c r="O8313" t="s">
        <v>25038</v>
      </c>
      <c r="T8313" t="s">
        <v>25039</v>
      </c>
    </row>
    <row r="8314" spans="1:20" x14ac:dyDescent="0.25">
      <c r="A8314" t="str">
        <f>"3059134"</f>
        <v>3059134</v>
      </c>
      <c r="B8314" t="s">
        <v>25041</v>
      </c>
      <c r="C8314" t="str">
        <f>"8300993"</f>
        <v>8300993</v>
      </c>
      <c r="D8314" t="s">
        <v>25042</v>
      </c>
      <c r="F8314" t="s">
        <v>25043</v>
      </c>
      <c r="I8314" t="s">
        <v>29</v>
      </c>
      <c r="J8314" t="s">
        <v>30</v>
      </c>
      <c r="K8314" t="str">
        <f>"27028"</f>
        <v>27028</v>
      </c>
      <c r="M8314" t="s">
        <v>23082</v>
      </c>
      <c r="N8314" t="str">
        <f>"3/5/2015 11:53:00 AM"</f>
        <v>3/5/2015 11:53:00 AM</v>
      </c>
      <c r="O8314" t="s">
        <v>25042</v>
      </c>
    </row>
    <row r="8315" spans="1:20" x14ac:dyDescent="0.25">
      <c r="A8315" t="str">
        <f>"3067513"</f>
        <v>3067513</v>
      </c>
      <c r="B8315" t="s">
        <v>25044</v>
      </c>
      <c r="C8315" t="str">
        <f>"82519839"</f>
        <v>82519839</v>
      </c>
      <c r="D8315" t="s">
        <v>25045</v>
      </c>
      <c r="F8315" t="s">
        <v>25046</v>
      </c>
      <c r="I8315" t="s">
        <v>29</v>
      </c>
      <c r="J8315" t="s">
        <v>30</v>
      </c>
      <c r="K8315" t="s">
        <v>25047</v>
      </c>
      <c r="M8315" t="s">
        <v>23082</v>
      </c>
      <c r="N8315" t="str">
        <f>"3/4/2015 9:27:00 AM"</f>
        <v>3/4/2015 9:27:00 AM</v>
      </c>
      <c r="O8315" t="s">
        <v>25045</v>
      </c>
    </row>
    <row r="8316" spans="1:20" x14ac:dyDescent="0.25">
      <c r="A8316" t="str">
        <f>"3052037"</f>
        <v>3052037</v>
      </c>
      <c r="B8316" t="s">
        <v>25048</v>
      </c>
      <c r="C8316" t="str">
        <f>"82519584"</f>
        <v>82519584</v>
      </c>
      <c r="D8316" t="s">
        <v>25049</v>
      </c>
      <c r="F8316" t="s">
        <v>25050</v>
      </c>
      <c r="I8316" t="s">
        <v>29</v>
      </c>
      <c r="J8316" t="s">
        <v>30</v>
      </c>
      <c r="K8316" t="s">
        <v>25051</v>
      </c>
      <c r="M8316" t="s">
        <v>23082</v>
      </c>
      <c r="N8316" t="str">
        <f>"3/4/2015 10:18:00 AM"</f>
        <v>3/4/2015 10:18:00 AM</v>
      </c>
      <c r="O8316" t="s">
        <v>25049</v>
      </c>
    </row>
    <row r="8317" spans="1:20" x14ac:dyDescent="0.25">
      <c r="A8317" t="str">
        <f>"3075501"</f>
        <v>3075501</v>
      </c>
      <c r="B8317" t="s">
        <v>25052</v>
      </c>
      <c r="C8317" t="str">
        <f>"82526063"</f>
        <v>82526063</v>
      </c>
      <c r="D8317" t="s">
        <v>25053</v>
      </c>
      <c r="E8317" t="s">
        <v>25054</v>
      </c>
      <c r="F8317" t="s">
        <v>25055</v>
      </c>
      <c r="I8317" t="s">
        <v>184</v>
      </c>
      <c r="J8317" t="s">
        <v>30</v>
      </c>
      <c r="K8317" t="s">
        <v>25056</v>
      </c>
      <c r="M8317" t="s">
        <v>23082</v>
      </c>
      <c r="N8317" t="str">
        <f>"3/4/2015 11:55:00 AM"</f>
        <v>3/4/2015 11:55:00 AM</v>
      </c>
      <c r="O8317" t="s">
        <v>25053</v>
      </c>
      <c r="T8317" t="s">
        <v>25054</v>
      </c>
    </row>
    <row r="8318" spans="1:20" x14ac:dyDescent="0.25">
      <c r="A8318" t="str">
        <f>"3045772"</f>
        <v>3045772</v>
      </c>
      <c r="B8318" t="s">
        <v>25057</v>
      </c>
      <c r="C8318" t="str">
        <f>"8304763"</f>
        <v>8304763</v>
      </c>
      <c r="D8318" t="s">
        <v>24944</v>
      </c>
      <c r="F8318" t="s">
        <v>23260</v>
      </c>
      <c r="I8318" t="s">
        <v>17921</v>
      </c>
      <c r="J8318" t="s">
        <v>30</v>
      </c>
      <c r="K8318" t="str">
        <f>"27028"</f>
        <v>27028</v>
      </c>
      <c r="M8318" t="s">
        <v>17861</v>
      </c>
      <c r="N8318" t="str">
        <f>"3/4/2015 12:38:00 PM"</f>
        <v>3/4/2015 12:38:00 PM</v>
      </c>
      <c r="O8318" t="s">
        <v>24944</v>
      </c>
    </row>
    <row r="8319" spans="1:20" x14ac:dyDescent="0.25">
      <c r="A8319" t="str">
        <f>"3045317"</f>
        <v>3045317</v>
      </c>
      <c r="B8319" t="s">
        <v>25058</v>
      </c>
      <c r="C8319" t="str">
        <f>"8304763"</f>
        <v>8304763</v>
      </c>
      <c r="D8319" t="s">
        <v>24944</v>
      </c>
      <c r="F8319" t="s">
        <v>23260</v>
      </c>
      <c r="I8319" t="s">
        <v>17921</v>
      </c>
      <c r="J8319" t="s">
        <v>30</v>
      </c>
      <c r="K8319" t="str">
        <f>"27028"</f>
        <v>27028</v>
      </c>
      <c r="M8319" t="s">
        <v>17861</v>
      </c>
      <c r="N8319" t="str">
        <f>"3/4/2015 12:38:00 PM"</f>
        <v>3/4/2015 12:38:00 PM</v>
      </c>
      <c r="O8319" t="s">
        <v>24944</v>
      </c>
    </row>
    <row r="8320" spans="1:20" x14ac:dyDescent="0.25">
      <c r="A8320" t="str">
        <f>"3057600"</f>
        <v>3057600</v>
      </c>
      <c r="B8320" t="s">
        <v>25059</v>
      </c>
      <c r="C8320" t="str">
        <f>"8304769"</f>
        <v>8304769</v>
      </c>
      <c r="D8320" t="s">
        <v>25060</v>
      </c>
      <c r="E8320" t="s">
        <v>25061</v>
      </c>
      <c r="F8320" t="s">
        <v>25062</v>
      </c>
      <c r="I8320" t="s">
        <v>24359</v>
      </c>
      <c r="J8320" t="s">
        <v>30</v>
      </c>
      <c r="K8320" t="str">
        <f>"27006"</f>
        <v>27006</v>
      </c>
      <c r="M8320" t="s">
        <v>17861</v>
      </c>
      <c r="N8320" t="str">
        <f>"3/4/2015 4:20:00 PM"</f>
        <v>3/4/2015 4:20:00 PM</v>
      </c>
      <c r="O8320" t="s">
        <v>25060</v>
      </c>
      <c r="T8320" t="s">
        <v>25061</v>
      </c>
    </row>
    <row r="8321" spans="1:20" x14ac:dyDescent="0.25">
      <c r="A8321" t="str">
        <f>"3038519"</f>
        <v>3038519</v>
      </c>
      <c r="B8321" t="s">
        <v>25063</v>
      </c>
      <c r="C8321" t="str">
        <f>"78260000"</f>
        <v>78260000</v>
      </c>
      <c r="D8321" t="s">
        <v>25064</v>
      </c>
      <c r="E8321" t="s">
        <v>25065</v>
      </c>
      <c r="F8321" t="s">
        <v>25066</v>
      </c>
      <c r="I8321" t="s">
        <v>29</v>
      </c>
      <c r="J8321" t="s">
        <v>30</v>
      </c>
      <c r="K8321" t="s">
        <v>25067</v>
      </c>
      <c r="M8321" t="s">
        <v>23082</v>
      </c>
      <c r="N8321" t="str">
        <f>"3/5/2015 1:19:00 PM"</f>
        <v>3/5/2015 1:19:00 PM</v>
      </c>
      <c r="O8321" t="s">
        <v>25064</v>
      </c>
      <c r="T8321" t="s">
        <v>25065</v>
      </c>
    </row>
    <row r="8322" spans="1:20" x14ac:dyDescent="0.25">
      <c r="A8322" t="str">
        <f>"3037886"</f>
        <v>3037886</v>
      </c>
      <c r="B8322" t="s">
        <v>25068</v>
      </c>
      <c r="C8322" t="str">
        <f>"78260000"</f>
        <v>78260000</v>
      </c>
      <c r="D8322" t="s">
        <v>25064</v>
      </c>
      <c r="E8322" t="s">
        <v>25065</v>
      </c>
      <c r="F8322" t="s">
        <v>25066</v>
      </c>
      <c r="I8322" t="s">
        <v>29</v>
      </c>
      <c r="J8322" t="s">
        <v>30</v>
      </c>
      <c r="K8322" t="s">
        <v>25067</v>
      </c>
      <c r="M8322" t="s">
        <v>23082</v>
      </c>
      <c r="N8322" t="str">
        <f>"3/5/2015 1:19:00 PM"</f>
        <v>3/5/2015 1:19:00 PM</v>
      </c>
      <c r="O8322" t="s">
        <v>25064</v>
      </c>
      <c r="T8322" t="s">
        <v>25065</v>
      </c>
    </row>
    <row r="8323" spans="1:20" x14ac:dyDescent="0.25">
      <c r="A8323" t="str">
        <f>"3037853"</f>
        <v>3037853</v>
      </c>
      <c r="B8323" t="s">
        <v>25069</v>
      </c>
      <c r="C8323" t="str">
        <f>"78272000"</f>
        <v>78272000</v>
      </c>
      <c r="D8323" t="s">
        <v>25070</v>
      </c>
      <c r="F8323" t="s">
        <v>25066</v>
      </c>
      <c r="I8323" t="s">
        <v>29</v>
      </c>
      <c r="J8323" t="s">
        <v>30</v>
      </c>
      <c r="K8323" t="s">
        <v>31</v>
      </c>
      <c r="M8323" t="s">
        <v>23082</v>
      </c>
      <c r="N8323" t="str">
        <f>"3/5/2015 1:20:00 PM"</f>
        <v>3/5/2015 1:20:00 PM</v>
      </c>
      <c r="O8323" t="s">
        <v>25070</v>
      </c>
    </row>
    <row r="8324" spans="1:20" x14ac:dyDescent="0.25">
      <c r="A8324" t="str">
        <f>"3038186"</f>
        <v>3038186</v>
      </c>
      <c r="B8324" t="s">
        <v>25071</v>
      </c>
      <c r="C8324" t="str">
        <f>"78272000"</f>
        <v>78272000</v>
      </c>
      <c r="D8324" t="s">
        <v>25070</v>
      </c>
      <c r="F8324" t="s">
        <v>25066</v>
      </c>
      <c r="I8324" t="s">
        <v>29</v>
      </c>
      <c r="J8324" t="s">
        <v>30</v>
      </c>
      <c r="K8324" t="s">
        <v>31</v>
      </c>
      <c r="M8324" t="s">
        <v>23082</v>
      </c>
      <c r="N8324" t="str">
        <f>"3/5/2015 1:20:00 PM"</f>
        <v>3/5/2015 1:20:00 PM</v>
      </c>
      <c r="O8324" t="s">
        <v>25070</v>
      </c>
    </row>
    <row r="8325" spans="1:20" x14ac:dyDescent="0.25">
      <c r="A8325" t="str">
        <f>"3038503"</f>
        <v>3038503</v>
      </c>
      <c r="B8325" t="s">
        <v>25072</v>
      </c>
      <c r="C8325" t="str">
        <f>"78272000"</f>
        <v>78272000</v>
      </c>
      <c r="D8325" t="s">
        <v>25070</v>
      </c>
      <c r="F8325" t="s">
        <v>25066</v>
      </c>
      <c r="I8325" t="s">
        <v>29</v>
      </c>
      <c r="J8325" t="s">
        <v>30</v>
      </c>
      <c r="K8325" t="s">
        <v>31</v>
      </c>
      <c r="M8325" t="s">
        <v>23082</v>
      </c>
      <c r="N8325" t="str">
        <f>"3/5/2015 1:20:00 PM"</f>
        <v>3/5/2015 1:20:00 PM</v>
      </c>
      <c r="O8325" t="s">
        <v>25070</v>
      </c>
    </row>
    <row r="8326" spans="1:20" x14ac:dyDescent="0.25">
      <c r="A8326" t="str">
        <f>"3045071"</f>
        <v>3045071</v>
      </c>
      <c r="B8326" t="s">
        <v>25073</v>
      </c>
      <c r="C8326" t="str">
        <f>"8304770"</f>
        <v>8304770</v>
      </c>
      <c r="D8326" t="s">
        <v>25074</v>
      </c>
      <c r="E8326" t="s">
        <v>25075</v>
      </c>
      <c r="F8326" t="s">
        <v>25076</v>
      </c>
      <c r="I8326" t="s">
        <v>1149</v>
      </c>
      <c r="J8326" t="s">
        <v>30</v>
      </c>
      <c r="K8326" t="str">
        <f>"28634"</f>
        <v>28634</v>
      </c>
      <c r="M8326" t="s">
        <v>17861</v>
      </c>
      <c r="N8326" t="str">
        <f>"3/4/2015 4:25:00 PM"</f>
        <v>3/4/2015 4:25:00 PM</v>
      </c>
      <c r="O8326" t="s">
        <v>25074</v>
      </c>
      <c r="T8326" t="s">
        <v>25075</v>
      </c>
    </row>
    <row r="8327" spans="1:20" x14ac:dyDescent="0.25">
      <c r="A8327" t="str">
        <f>"3045505"</f>
        <v>3045505</v>
      </c>
      <c r="B8327" t="s">
        <v>25077</v>
      </c>
      <c r="C8327" t="str">
        <f>"8304770"</f>
        <v>8304770</v>
      </c>
      <c r="D8327" t="s">
        <v>25074</v>
      </c>
      <c r="E8327" t="s">
        <v>25075</v>
      </c>
      <c r="F8327" t="s">
        <v>25076</v>
      </c>
      <c r="I8327" t="s">
        <v>1149</v>
      </c>
      <c r="J8327" t="s">
        <v>30</v>
      </c>
      <c r="K8327" t="str">
        <f>"28634"</f>
        <v>28634</v>
      </c>
      <c r="M8327" t="s">
        <v>17861</v>
      </c>
      <c r="N8327" t="str">
        <f>"3/4/2015 4:25:00 PM"</f>
        <v>3/4/2015 4:25:00 PM</v>
      </c>
      <c r="O8327" t="s">
        <v>25074</v>
      </c>
      <c r="T8327" t="s">
        <v>25075</v>
      </c>
    </row>
    <row r="8328" spans="1:20" x14ac:dyDescent="0.25">
      <c r="A8328" t="str">
        <f>"3048023"</f>
        <v>3048023</v>
      </c>
      <c r="B8328" t="s">
        <v>25078</v>
      </c>
      <c r="C8328" t="str">
        <f>"8304775"</f>
        <v>8304775</v>
      </c>
      <c r="D8328" t="s">
        <v>25079</v>
      </c>
      <c r="F8328" t="s">
        <v>25080</v>
      </c>
      <c r="I8328" t="s">
        <v>24359</v>
      </c>
      <c r="J8328" t="s">
        <v>30</v>
      </c>
      <c r="K8328" t="str">
        <f>"27006"</f>
        <v>27006</v>
      </c>
      <c r="M8328" t="s">
        <v>17861</v>
      </c>
      <c r="N8328" t="str">
        <f>"3/4/2015 4:54:00 PM"</f>
        <v>3/4/2015 4:54:00 PM</v>
      </c>
      <c r="O8328" t="s">
        <v>25079</v>
      </c>
    </row>
    <row r="8329" spans="1:20" x14ac:dyDescent="0.25">
      <c r="A8329" t="str">
        <f>"3047618"</f>
        <v>3047618</v>
      </c>
      <c r="B8329" t="s">
        <v>25081</v>
      </c>
      <c r="C8329" t="str">
        <f>"8300844"</f>
        <v>8300844</v>
      </c>
      <c r="D8329" t="s">
        <v>25082</v>
      </c>
      <c r="F8329" t="s">
        <v>25083</v>
      </c>
      <c r="I8329" t="s">
        <v>29</v>
      </c>
      <c r="J8329" t="s">
        <v>30</v>
      </c>
      <c r="K8329" t="str">
        <f>"27028"</f>
        <v>27028</v>
      </c>
      <c r="M8329" t="s">
        <v>18479</v>
      </c>
      <c r="N8329" t="str">
        <f>"3/5/2015 8:53:00 AM"</f>
        <v>3/5/2015 8:53:00 AM</v>
      </c>
      <c r="O8329" t="s">
        <v>25082</v>
      </c>
    </row>
    <row r="8330" spans="1:20" x14ac:dyDescent="0.25">
      <c r="A8330" t="str">
        <f>"3048563"</f>
        <v>3048563</v>
      </c>
      <c r="B8330" t="s">
        <v>25084</v>
      </c>
      <c r="C8330" t="str">
        <f>"82531780"</f>
        <v>82531780</v>
      </c>
      <c r="D8330" t="s">
        <v>25085</v>
      </c>
      <c r="E8330" t="s">
        <v>25086</v>
      </c>
      <c r="F8330" t="s">
        <v>17573</v>
      </c>
      <c r="I8330" t="s">
        <v>184</v>
      </c>
      <c r="J8330" t="s">
        <v>30</v>
      </c>
      <c r="K8330" t="s">
        <v>185</v>
      </c>
      <c r="M8330" t="s">
        <v>18479</v>
      </c>
      <c r="N8330" t="str">
        <f>"3/5/2015 9:08:00 AM"</f>
        <v>3/5/2015 9:08:00 AM</v>
      </c>
      <c r="O8330" t="s">
        <v>25085</v>
      </c>
      <c r="T8330" t="s">
        <v>25086</v>
      </c>
    </row>
    <row r="8331" spans="1:20" x14ac:dyDescent="0.25">
      <c r="A8331" t="str">
        <f>"3041352"</f>
        <v>3041352</v>
      </c>
      <c r="B8331" t="s">
        <v>25087</v>
      </c>
      <c r="C8331" t="str">
        <f>"8304778"</f>
        <v>8304778</v>
      </c>
      <c r="D8331" t="s">
        <v>25088</v>
      </c>
      <c r="E8331" t="s">
        <v>25089</v>
      </c>
      <c r="F8331" t="s">
        <v>25090</v>
      </c>
      <c r="I8331" t="s">
        <v>2071</v>
      </c>
      <c r="J8331" t="s">
        <v>30</v>
      </c>
      <c r="K8331" t="str">
        <f>"27006"</f>
        <v>27006</v>
      </c>
      <c r="M8331" t="s">
        <v>17861</v>
      </c>
      <c r="N8331" t="str">
        <f>"3/5/2015 9:25:00 AM"</f>
        <v>3/5/2015 9:25:00 AM</v>
      </c>
      <c r="O8331" t="s">
        <v>25088</v>
      </c>
      <c r="T8331" t="s">
        <v>25089</v>
      </c>
    </row>
    <row r="8332" spans="1:20" x14ac:dyDescent="0.25">
      <c r="A8332" t="str">
        <f>"3037566"</f>
        <v>3037566</v>
      </c>
      <c r="B8332" t="s">
        <v>25091</v>
      </c>
      <c r="C8332" t="str">
        <f>"8304780"</f>
        <v>8304780</v>
      </c>
      <c r="D8332" t="s">
        <v>25092</v>
      </c>
      <c r="E8332" t="s">
        <v>25093</v>
      </c>
      <c r="F8332" t="s">
        <v>25094</v>
      </c>
      <c r="I8332" t="s">
        <v>17921</v>
      </c>
      <c r="J8332" t="s">
        <v>30</v>
      </c>
      <c r="K8332" t="str">
        <f>"27028"</f>
        <v>27028</v>
      </c>
      <c r="M8332" t="s">
        <v>17861</v>
      </c>
      <c r="N8332" t="str">
        <f>"3/5/2015 9:54:00 AM"</f>
        <v>3/5/2015 9:54:00 AM</v>
      </c>
      <c r="O8332" t="s">
        <v>25092</v>
      </c>
      <c r="T8332" t="s">
        <v>25093</v>
      </c>
    </row>
    <row r="8333" spans="1:20" x14ac:dyDescent="0.25">
      <c r="A8333" t="str">
        <f>"3049260"</f>
        <v>3049260</v>
      </c>
      <c r="B8333" t="s">
        <v>25095</v>
      </c>
      <c r="C8333" t="str">
        <f>"82529719"</f>
        <v>82529719</v>
      </c>
      <c r="D8333" t="s">
        <v>25096</v>
      </c>
      <c r="E8333" t="s">
        <v>25097</v>
      </c>
      <c r="F8333" t="s">
        <v>25098</v>
      </c>
      <c r="I8333" t="s">
        <v>184</v>
      </c>
      <c r="J8333" t="s">
        <v>30</v>
      </c>
      <c r="K8333" t="s">
        <v>185</v>
      </c>
      <c r="M8333" t="s">
        <v>18479</v>
      </c>
      <c r="N8333" t="str">
        <f>"3/5/2015 4:29:00 PM"</f>
        <v>3/5/2015 4:29:00 PM</v>
      </c>
      <c r="O8333" t="s">
        <v>25096</v>
      </c>
      <c r="T8333" t="s">
        <v>25097</v>
      </c>
    </row>
    <row r="8334" spans="1:20" x14ac:dyDescent="0.25">
      <c r="A8334" t="str">
        <f>"3039909"</f>
        <v>3039909</v>
      </c>
      <c r="B8334" t="s">
        <v>25099</v>
      </c>
      <c r="C8334" t="str">
        <f>"15234060"</f>
        <v>15234060</v>
      </c>
      <c r="D8334" t="s">
        <v>25100</v>
      </c>
      <c r="E8334" t="s">
        <v>25101</v>
      </c>
      <c r="F8334" t="s">
        <v>25102</v>
      </c>
      <c r="I8334" t="s">
        <v>184</v>
      </c>
      <c r="J8334" t="s">
        <v>30</v>
      </c>
      <c r="K8334" t="s">
        <v>25103</v>
      </c>
      <c r="M8334" t="s">
        <v>18479</v>
      </c>
      <c r="N8334" t="str">
        <f>"3/5/2015 4:39:00 PM"</f>
        <v>3/5/2015 4:39:00 PM</v>
      </c>
      <c r="O8334" t="s">
        <v>25100</v>
      </c>
      <c r="T8334" t="s">
        <v>25101</v>
      </c>
    </row>
    <row r="8335" spans="1:20" x14ac:dyDescent="0.25">
      <c r="A8335" t="str">
        <f>"3045510"</f>
        <v>3045510</v>
      </c>
      <c r="B8335" t="s">
        <v>25104</v>
      </c>
      <c r="C8335" t="str">
        <f>"82524662"</f>
        <v>82524662</v>
      </c>
      <c r="D8335" t="s">
        <v>25105</v>
      </c>
      <c r="E8335" t="s">
        <v>25106</v>
      </c>
      <c r="F8335" t="s">
        <v>25107</v>
      </c>
      <c r="I8335" t="s">
        <v>29</v>
      </c>
      <c r="J8335" t="s">
        <v>30</v>
      </c>
      <c r="K8335" t="s">
        <v>25108</v>
      </c>
      <c r="M8335" t="s">
        <v>23082</v>
      </c>
      <c r="N8335" t="str">
        <f>"3/5/2015 10:24:00 AM"</f>
        <v>3/5/2015 10:24:00 AM</v>
      </c>
      <c r="O8335" t="s">
        <v>25105</v>
      </c>
      <c r="T8335" t="s">
        <v>25106</v>
      </c>
    </row>
    <row r="8336" spans="1:20" x14ac:dyDescent="0.25">
      <c r="A8336" t="str">
        <f>"3042334"</f>
        <v>3042334</v>
      </c>
      <c r="B8336" t="s">
        <v>25109</v>
      </c>
      <c r="C8336" t="str">
        <f>"82521225"</f>
        <v>82521225</v>
      </c>
      <c r="D8336" t="s">
        <v>25110</v>
      </c>
      <c r="E8336" t="s">
        <v>25111</v>
      </c>
      <c r="F8336" t="s">
        <v>25112</v>
      </c>
      <c r="I8336" t="s">
        <v>29</v>
      </c>
      <c r="J8336" t="s">
        <v>30</v>
      </c>
      <c r="K8336" t="s">
        <v>25113</v>
      </c>
      <c r="M8336" t="s">
        <v>23082</v>
      </c>
      <c r="N8336" t="str">
        <f>"3/5/2015 10:25:00 AM"</f>
        <v>3/5/2015 10:25:00 AM</v>
      </c>
      <c r="O8336" t="s">
        <v>25110</v>
      </c>
      <c r="T8336" t="s">
        <v>25111</v>
      </c>
    </row>
    <row r="8337" spans="1:20" x14ac:dyDescent="0.25">
      <c r="A8337" t="str">
        <f>"3039562"</f>
        <v>3039562</v>
      </c>
      <c r="B8337" t="s">
        <v>25114</v>
      </c>
      <c r="C8337" t="str">
        <f>"71359000"</f>
        <v>71359000</v>
      </c>
      <c r="D8337" t="s">
        <v>25115</v>
      </c>
      <c r="E8337" t="s">
        <v>25116</v>
      </c>
      <c r="F8337" t="s">
        <v>25117</v>
      </c>
      <c r="I8337" t="s">
        <v>184</v>
      </c>
      <c r="J8337" t="s">
        <v>30</v>
      </c>
      <c r="K8337" t="s">
        <v>185</v>
      </c>
      <c r="M8337" t="s">
        <v>23082</v>
      </c>
      <c r="N8337" t="str">
        <f>"3/5/2015 11:18:00 AM"</f>
        <v>3/5/2015 11:18:00 AM</v>
      </c>
      <c r="O8337" t="s">
        <v>25115</v>
      </c>
      <c r="T8337" t="s">
        <v>25116</v>
      </c>
    </row>
    <row r="8338" spans="1:20" x14ac:dyDescent="0.25">
      <c r="A8338" t="str">
        <f>"3046093"</f>
        <v>3046093</v>
      </c>
      <c r="B8338" t="s">
        <v>25118</v>
      </c>
      <c r="C8338" t="str">
        <f>"8302261"</f>
        <v>8302261</v>
      </c>
      <c r="D8338" t="s">
        <v>25119</v>
      </c>
      <c r="F8338" t="s">
        <v>25120</v>
      </c>
      <c r="I8338" t="s">
        <v>29</v>
      </c>
      <c r="J8338" t="s">
        <v>30</v>
      </c>
      <c r="K8338" t="str">
        <f>"27028"</f>
        <v>27028</v>
      </c>
      <c r="M8338" t="s">
        <v>23082</v>
      </c>
      <c r="N8338" t="str">
        <f>"3/5/2015 11:19:00 AM"</f>
        <v>3/5/2015 11:19:00 AM</v>
      </c>
      <c r="O8338" t="s">
        <v>25119</v>
      </c>
    </row>
    <row r="8339" spans="1:20" x14ac:dyDescent="0.25">
      <c r="A8339" t="str">
        <f>"3039334"</f>
        <v>3039334</v>
      </c>
      <c r="B8339" t="s">
        <v>25121</v>
      </c>
      <c r="C8339" t="str">
        <f>"39340000"</f>
        <v>39340000</v>
      </c>
      <c r="D8339" t="s">
        <v>25020</v>
      </c>
      <c r="F8339" t="str">
        <f>"C/O PEGGY TALLEY"</f>
        <v>C/O PEGGY TALLEY</v>
      </c>
      <c r="G8339" t="s">
        <v>25021</v>
      </c>
      <c r="I8339" t="s">
        <v>29</v>
      </c>
      <c r="J8339" t="s">
        <v>30</v>
      </c>
      <c r="K8339" t="s">
        <v>31</v>
      </c>
      <c r="M8339" t="s">
        <v>23082</v>
      </c>
      <c r="N8339" t="str">
        <f>"3/5/2015 11:22:00 AM"</f>
        <v>3/5/2015 11:22:00 AM</v>
      </c>
      <c r="O8339" t="s">
        <v>25020</v>
      </c>
    </row>
    <row r="8340" spans="1:20" x14ac:dyDescent="0.25">
      <c r="A8340" t="str">
        <f>"3040722"</f>
        <v>3040722</v>
      </c>
      <c r="B8340" t="s">
        <v>25122</v>
      </c>
      <c r="C8340" t="str">
        <f>"8300048"</f>
        <v>8300048</v>
      </c>
      <c r="D8340" t="s">
        <v>25123</v>
      </c>
      <c r="F8340" t="s">
        <v>25124</v>
      </c>
      <c r="I8340" t="s">
        <v>184</v>
      </c>
      <c r="J8340" t="s">
        <v>30</v>
      </c>
      <c r="K8340" t="s">
        <v>185</v>
      </c>
      <c r="M8340" t="s">
        <v>23082</v>
      </c>
      <c r="N8340" t="str">
        <f>"3/5/2015 11:54:00 AM"</f>
        <v>3/5/2015 11:54:00 AM</v>
      </c>
      <c r="O8340" t="s">
        <v>25123</v>
      </c>
    </row>
    <row r="8341" spans="1:20" x14ac:dyDescent="0.25">
      <c r="A8341" t="str">
        <f>"3070325"</f>
        <v>3070325</v>
      </c>
      <c r="B8341" t="s">
        <v>25125</v>
      </c>
      <c r="C8341" t="str">
        <f>"77393000"</f>
        <v>77393000</v>
      </c>
      <c r="D8341" t="s">
        <v>25126</v>
      </c>
      <c r="E8341" t="s">
        <v>25127</v>
      </c>
      <c r="F8341" t="s">
        <v>25128</v>
      </c>
      <c r="I8341" t="s">
        <v>29</v>
      </c>
      <c r="J8341" t="s">
        <v>30</v>
      </c>
      <c r="K8341" t="s">
        <v>25129</v>
      </c>
      <c r="M8341" t="s">
        <v>23082</v>
      </c>
      <c r="N8341" t="str">
        <f>"3/5/2015 11:59:00 AM"</f>
        <v>3/5/2015 11:59:00 AM</v>
      </c>
      <c r="O8341" t="s">
        <v>25126</v>
      </c>
      <c r="T8341" t="s">
        <v>25127</v>
      </c>
    </row>
    <row r="8342" spans="1:20" x14ac:dyDescent="0.25">
      <c r="A8342" t="str">
        <f>"3056736"</f>
        <v>3056736</v>
      </c>
      <c r="B8342" t="s">
        <v>25130</v>
      </c>
      <c r="C8342" t="str">
        <f t="shared" ref="C8342:C8351" si="125">"82519941"</f>
        <v>82519941</v>
      </c>
      <c r="D8342" t="s">
        <v>25131</v>
      </c>
      <c r="F8342" t="s">
        <v>9579</v>
      </c>
      <c r="I8342" t="s">
        <v>9580</v>
      </c>
      <c r="J8342" t="s">
        <v>30</v>
      </c>
      <c r="K8342" t="s">
        <v>9581</v>
      </c>
      <c r="M8342" t="s">
        <v>17861</v>
      </c>
      <c r="N8342" t="str">
        <f t="shared" ref="N8342:N8351" si="126">"3/9/2015 9:14:00 AM"</f>
        <v>3/9/2015 9:14:00 AM</v>
      </c>
      <c r="O8342" t="s">
        <v>25131</v>
      </c>
    </row>
    <row r="8343" spans="1:20" x14ac:dyDescent="0.25">
      <c r="A8343" t="str">
        <f>"3055677"</f>
        <v>3055677</v>
      </c>
      <c r="B8343" t="s">
        <v>25132</v>
      </c>
      <c r="C8343" t="str">
        <f t="shared" si="125"/>
        <v>82519941</v>
      </c>
      <c r="D8343" t="s">
        <v>25131</v>
      </c>
      <c r="F8343" t="s">
        <v>9579</v>
      </c>
      <c r="I8343" t="s">
        <v>9580</v>
      </c>
      <c r="J8343" t="s">
        <v>30</v>
      </c>
      <c r="K8343" t="s">
        <v>9581</v>
      </c>
      <c r="M8343" t="s">
        <v>17861</v>
      </c>
      <c r="N8343" t="str">
        <f t="shared" si="126"/>
        <v>3/9/2015 9:14:00 AM</v>
      </c>
      <c r="O8343" t="s">
        <v>25131</v>
      </c>
    </row>
    <row r="8344" spans="1:20" x14ac:dyDescent="0.25">
      <c r="A8344" t="str">
        <f>"3057102"</f>
        <v>3057102</v>
      </c>
      <c r="B8344" t="s">
        <v>25133</v>
      </c>
      <c r="C8344" t="str">
        <f t="shared" si="125"/>
        <v>82519941</v>
      </c>
      <c r="D8344" t="s">
        <v>25131</v>
      </c>
      <c r="F8344" t="s">
        <v>9579</v>
      </c>
      <c r="I8344" t="s">
        <v>9580</v>
      </c>
      <c r="J8344" t="s">
        <v>30</v>
      </c>
      <c r="K8344" t="s">
        <v>9581</v>
      </c>
      <c r="M8344" t="s">
        <v>17861</v>
      </c>
      <c r="N8344" t="str">
        <f t="shared" si="126"/>
        <v>3/9/2015 9:14:00 AM</v>
      </c>
      <c r="O8344" t="s">
        <v>25131</v>
      </c>
    </row>
    <row r="8345" spans="1:20" x14ac:dyDescent="0.25">
      <c r="A8345" t="str">
        <f>"3057103"</f>
        <v>3057103</v>
      </c>
      <c r="B8345" t="s">
        <v>25134</v>
      </c>
      <c r="C8345" t="str">
        <f t="shared" si="125"/>
        <v>82519941</v>
      </c>
      <c r="D8345" t="s">
        <v>25131</v>
      </c>
      <c r="F8345" t="s">
        <v>9579</v>
      </c>
      <c r="I8345" t="s">
        <v>9580</v>
      </c>
      <c r="J8345" t="s">
        <v>30</v>
      </c>
      <c r="K8345" t="s">
        <v>9581</v>
      </c>
      <c r="M8345" t="s">
        <v>17861</v>
      </c>
      <c r="N8345" t="str">
        <f t="shared" si="126"/>
        <v>3/9/2015 9:14:00 AM</v>
      </c>
      <c r="O8345" t="s">
        <v>25131</v>
      </c>
    </row>
    <row r="8346" spans="1:20" x14ac:dyDescent="0.25">
      <c r="A8346" t="str">
        <f>"3057104"</f>
        <v>3057104</v>
      </c>
      <c r="B8346" t="s">
        <v>25135</v>
      </c>
      <c r="C8346" t="str">
        <f t="shared" si="125"/>
        <v>82519941</v>
      </c>
      <c r="D8346" t="s">
        <v>25131</v>
      </c>
      <c r="F8346" t="s">
        <v>9579</v>
      </c>
      <c r="I8346" t="s">
        <v>9580</v>
      </c>
      <c r="J8346" t="s">
        <v>30</v>
      </c>
      <c r="K8346" t="s">
        <v>9581</v>
      </c>
      <c r="M8346" t="s">
        <v>17861</v>
      </c>
      <c r="N8346" t="str">
        <f t="shared" si="126"/>
        <v>3/9/2015 9:14:00 AM</v>
      </c>
      <c r="O8346" t="s">
        <v>25131</v>
      </c>
    </row>
    <row r="8347" spans="1:20" x14ac:dyDescent="0.25">
      <c r="A8347" t="str">
        <f>"3057097"</f>
        <v>3057097</v>
      </c>
      <c r="B8347" t="s">
        <v>25136</v>
      </c>
      <c r="C8347" t="str">
        <f t="shared" si="125"/>
        <v>82519941</v>
      </c>
      <c r="D8347" t="s">
        <v>25131</v>
      </c>
      <c r="F8347" t="s">
        <v>9579</v>
      </c>
      <c r="I8347" t="s">
        <v>9580</v>
      </c>
      <c r="J8347" t="s">
        <v>30</v>
      </c>
      <c r="K8347" t="s">
        <v>9581</v>
      </c>
      <c r="M8347" t="s">
        <v>17861</v>
      </c>
      <c r="N8347" t="str">
        <f t="shared" si="126"/>
        <v>3/9/2015 9:14:00 AM</v>
      </c>
      <c r="O8347" t="s">
        <v>25131</v>
      </c>
    </row>
    <row r="8348" spans="1:20" x14ac:dyDescent="0.25">
      <c r="A8348" t="str">
        <f>"3057099"</f>
        <v>3057099</v>
      </c>
      <c r="B8348" t="s">
        <v>25137</v>
      </c>
      <c r="C8348" t="str">
        <f t="shared" si="125"/>
        <v>82519941</v>
      </c>
      <c r="D8348" t="s">
        <v>25131</v>
      </c>
      <c r="F8348" t="s">
        <v>9579</v>
      </c>
      <c r="I8348" t="s">
        <v>9580</v>
      </c>
      <c r="J8348" t="s">
        <v>30</v>
      </c>
      <c r="K8348" t="s">
        <v>9581</v>
      </c>
      <c r="M8348" t="s">
        <v>17861</v>
      </c>
      <c r="N8348" t="str">
        <f t="shared" si="126"/>
        <v>3/9/2015 9:14:00 AM</v>
      </c>
      <c r="O8348" t="s">
        <v>25131</v>
      </c>
    </row>
    <row r="8349" spans="1:20" x14ac:dyDescent="0.25">
      <c r="A8349" t="str">
        <f>"3054049"</f>
        <v>3054049</v>
      </c>
      <c r="B8349" t="s">
        <v>25138</v>
      </c>
      <c r="C8349" t="str">
        <f t="shared" si="125"/>
        <v>82519941</v>
      </c>
      <c r="D8349" t="s">
        <v>25131</v>
      </c>
      <c r="F8349" t="s">
        <v>9579</v>
      </c>
      <c r="I8349" t="s">
        <v>9580</v>
      </c>
      <c r="J8349" t="s">
        <v>30</v>
      </c>
      <c r="K8349" t="s">
        <v>9581</v>
      </c>
      <c r="M8349" t="s">
        <v>17861</v>
      </c>
      <c r="N8349" t="str">
        <f t="shared" si="126"/>
        <v>3/9/2015 9:14:00 AM</v>
      </c>
      <c r="O8349" t="s">
        <v>25131</v>
      </c>
    </row>
    <row r="8350" spans="1:20" x14ac:dyDescent="0.25">
      <c r="A8350" t="str">
        <f>"3054144"</f>
        <v>3054144</v>
      </c>
      <c r="B8350" t="s">
        <v>25139</v>
      </c>
      <c r="C8350" t="str">
        <f t="shared" si="125"/>
        <v>82519941</v>
      </c>
      <c r="D8350" t="s">
        <v>25131</v>
      </c>
      <c r="F8350" t="s">
        <v>9579</v>
      </c>
      <c r="I8350" t="s">
        <v>9580</v>
      </c>
      <c r="J8350" t="s">
        <v>30</v>
      </c>
      <c r="K8350" t="s">
        <v>9581</v>
      </c>
      <c r="M8350" t="s">
        <v>17861</v>
      </c>
      <c r="N8350" t="str">
        <f t="shared" si="126"/>
        <v>3/9/2015 9:14:00 AM</v>
      </c>
      <c r="O8350" t="s">
        <v>25131</v>
      </c>
    </row>
    <row r="8351" spans="1:20" x14ac:dyDescent="0.25">
      <c r="A8351" t="str">
        <f>"3051960"</f>
        <v>3051960</v>
      </c>
      <c r="B8351" t="s">
        <v>25140</v>
      </c>
      <c r="C8351" t="str">
        <f t="shared" si="125"/>
        <v>82519941</v>
      </c>
      <c r="D8351" t="s">
        <v>25131</v>
      </c>
      <c r="F8351" t="s">
        <v>9579</v>
      </c>
      <c r="I8351" t="s">
        <v>9580</v>
      </c>
      <c r="J8351" t="s">
        <v>30</v>
      </c>
      <c r="K8351" t="s">
        <v>9581</v>
      </c>
      <c r="M8351" t="s">
        <v>17861</v>
      </c>
      <c r="N8351" t="str">
        <f t="shared" si="126"/>
        <v>3/9/2015 9:14:00 AM</v>
      </c>
      <c r="O8351" t="s">
        <v>25131</v>
      </c>
    </row>
    <row r="8352" spans="1:20" x14ac:dyDescent="0.25">
      <c r="A8352" t="str">
        <f>"3048022"</f>
        <v>3048022</v>
      </c>
      <c r="B8352" t="s">
        <v>25141</v>
      </c>
      <c r="C8352" t="str">
        <f>"82515854"</f>
        <v>82515854</v>
      </c>
      <c r="D8352" t="s">
        <v>25142</v>
      </c>
      <c r="E8352" t="s">
        <v>25143</v>
      </c>
      <c r="F8352" t="s">
        <v>25144</v>
      </c>
      <c r="I8352" t="s">
        <v>184</v>
      </c>
      <c r="J8352" t="s">
        <v>30</v>
      </c>
      <c r="K8352" t="s">
        <v>185</v>
      </c>
      <c r="M8352" t="s">
        <v>17861</v>
      </c>
      <c r="N8352" t="str">
        <f>"3/9/2015 9:16:00 AM"</f>
        <v>3/9/2015 9:16:00 AM</v>
      </c>
      <c r="O8352" t="s">
        <v>25142</v>
      </c>
      <c r="T8352" t="s">
        <v>25143</v>
      </c>
    </row>
    <row r="8353" spans="1:20" x14ac:dyDescent="0.25">
      <c r="A8353" t="str">
        <f>"3056293"</f>
        <v>3056293</v>
      </c>
      <c r="B8353" t="s">
        <v>25145</v>
      </c>
      <c r="C8353" t="str">
        <f>"77582000"</f>
        <v>77582000</v>
      </c>
      <c r="D8353" t="s">
        <v>25146</v>
      </c>
      <c r="E8353" t="s">
        <v>25147</v>
      </c>
      <c r="F8353" t="s">
        <v>25148</v>
      </c>
      <c r="I8353" t="s">
        <v>29</v>
      </c>
      <c r="J8353" t="s">
        <v>30</v>
      </c>
      <c r="K8353" t="s">
        <v>25129</v>
      </c>
      <c r="M8353" t="s">
        <v>23082</v>
      </c>
      <c r="N8353" t="str">
        <f>"3/5/2015 12:00:00 PM"</f>
        <v>3/5/2015 12:00:00 PM</v>
      </c>
      <c r="O8353" t="s">
        <v>25146</v>
      </c>
      <c r="T8353" t="s">
        <v>25147</v>
      </c>
    </row>
    <row r="8354" spans="1:20" x14ac:dyDescent="0.25">
      <c r="A8354" t="str">
        <f>"3056643"</f>
        <v>3056643</v>
      </c>
      <c r="B8354" t="s">
        <v>25149</v>
      </c>
      <c r="C8354" t="str">
        <f>"77582000"</f>
        <v>77582000</v>
      </c>
      <c r="D8354" t="s">
        <v>25146</v>
      </c>
      <c r="E8354" t="s">
        <v>25147</v>
      </c>
      <c r="F8354" t="s">
        <v>25148</v>
      </c>
      <c r="I8354" t="s">
        <v>29</v>
      </c>
      <c r="J8354" t="s">
        <v>30</v>
      </c>
      <c r="K8354" t="s">
        <v>25129</v>
      </c>
      <c r="M8354" t="s">
        <v>23082</v>
      </c>
      <c r="N8354" t="str">
        <f>"3/5/2015 12:00:00 PM"</f>
        <v>3/5/2015 12:00:00 PM</v>
      </c>
      <c r="O8354" t="s">
        <v>25146</v>
      </c>
      <c r="T8354" t="s">
        <v>25147</v>
      </c>
    </row>
    <row r="8355" spans="1:20" x14ac:dyDescent="0.25">
      <c r="A8355" t="str">
        <f>"3043380"</f>
        <v>3043380</v>
      </c>
      <c r="B8355" t="s">
        <v>25150</v>
      </c>
      <c r="C8355" t="str">
        <f>"8304784"</f>
        <v>8304784</v>
      </c>
      <c r="D8355" t="s">
        <v>25151</v>
      </c>
      <c r="F8355" t="s">
        <v>22233</v>
      </c>
      <c r="I8355" t="s">
        <v>17921</v>
      </c>
      <c r="J8355" t="s">
        <v>30</v>
      </c>
      <c r="K8355" t="str">
        <f>"27028"</f>
        <v>27028</v>
      </c>
      <c r="M8355" t="s">
        <v>17861</v>
      </c>
      <c r="N8355" t="str">
        <f>"3/5/2015 12:48:00 PM"</f>
        <v>3/5/2015 12:48:00 PM</v>
      </c>
      <c r="O8355" t="s">
        <v>25151</v>
      </c>
    </row>
    <row r="8356" spans="1:20" x14ac:dyDescent="0.25">
      <c r="A8356" t="str">
        <f>"3060312"</f>
        <v>3060312</v>
      </c>
      <c r="B8356" t="s">
        <v>25152</v>
      </c>
      <c r="C8356" t="str">
        <f>"82515514"</f>
        <v>82515514</v>
      </c>
      <c r="D8356" t="s">
        <v>25153</v>
      </c>
      <c r="F8356" t="s">
        <v>25066</v>
      </c>
      <c r="I8356" t="s">
        <v>29</v>
      </c>
      <c r="J8356" t="s">
        <v>30</v>
      </c>
      <c r="K8356" t="s">
        <v>31</v>
      </c>
      <c r="M8356" t="s">
        <v>23082</v>
      </c>
      <c r="N8356" t="str">
        <f>"3/5/2015 1:16:00 PM"</f>
        <v>3/5/2015 1:16:00 PM</v>
      </c>
      <c r="O8356" t="s">
        <v>25153</v>
      </c>
    </row>
    <row r="8357" spans="1:20" x14ac:dyDescent="0.25">
      <c r="A8357" t="str">
        <f>"3053412"</f>
        <v>3053412</v>
      </c>
      <c r="B8357" t="s">
        <v>25154</v>
      </c>
      <c r="C8357" t="str">
        <f>"82531736"</f>
        <v>82531736</v>
      </c>
      <c r="D8357" t="s">
        <v>25155</v>
      </c>
      <c r="E8357" t="s">
        <v>25156</v>
      </c>
      <c r="F8357" t="s">
        <v>25157</v>
      </c>
      <c r="I8357" t="s">
        <v>29</v>
      </c>
      <c r="K8357" t="s">
        <v>31</v>
      </c>
      <c r="M8357" t="s">
        <v>23082</v>
      </c>
      <c r="N8357" t="str">
        <f>"3/5/2015 1:31:00 PM"</f>
        <v>3/5/2015 1:31:00 PM</v>
      </c>
      <c r="O8357" t="s">
        <v>25155</v>
      </c>
      <c r="T8357" t="s">
        <v>25156</v>
      </c>
    </row>
    <row r="8358" spans="1:20" x14ac:dyDescent="0.25">
      <c r="A8358" t="str">
        <f>"3067596"</f>
        <v>3067596</v>
      </c>
      <c r="B8358" t="s">
        <v>25158</v>
      </c>
      <c r="C8358" t="str">
        <f>"79657840"</f>
        <v>79657840</v>
      </c>
      <c r="D8358" t="s">
        <v>25159</v>
      </c>
      <c r="E8358" t="s">
        <v>25160</v>
      </c>
      <c r="F8358" t="s">
        <v>25161</v>
      </c>
      <c r="I8358" t="s">
        <v>29</v>
      </c>
      <c r="J8358" t="s">
        <v>30</v>
      </c>
      <c r="K8358" t="s">
        <v>31</v>
      </c>
      <c r="M8358" t="s">
        <v>23082</v>
      </c>
      <c r="N8358" t="str">
        <f>"3/5/2015 2:18:00 PM"</f>
        <v>3/5/2015 2:18:00 PM</v>
      </c>
      <c r="O8358" t="s">
        <v>25159</v>
      </c>
      <c r="T8358" t="s">
        <v>25160</v>
      </c>
    </row>
    <row r="8359" spans="1:20" x14ac:dyDescent="0.25">
      <c r="A8359" t="str">
        <f>"3037883"</f>
        <v>3037883</v>
      </c>
      <c r="B8359" t="s">
        <v>25162</v>
      </c>
      <c r="C8359" t="str">
        <f>"24981500"</f>
        <v>24981500</v>
      </c>
      <c r="D8359" t="s">
        <v>25163</v>
      </c>
      <c r="F8359" t="s">
        <v>25164</v>
      </c>
      <c r="I8359" t="s">
        <v>29</v>
      </c>
      <c r="J8359" t="s">
        <v>30</v>
      </c>
      <c r="K8359" t="s">
        <v>31</v>
      </c>
      <c r="M8359" t="s">
        <v>22270</v>
      </c>
      <c r="N8359" t="str">
        <f>"3/9/2015 3:53:00 PM"</f>
        <v>3/9/2015 3:53:00 PM</v>
      </c>
      <c r="O8359" t="s">
        <v>25163</v>
      </c>
    </row>
    <row r="8360" spans="1:20" x14ac:dyDescent="0.25">
      <c r="A8360" t="str">
        <f>"3055551"</f>
        <v>3055551</v>
      </c>
      <c r="B8360" t="s">
        <v>25165</v>
      </c>
      <c r="C8360" t="str">
        <f>"15860000"</f>
        <v>15860000</v>
      </c>
      <c r="D8360" t="s">
        <v>25166</v>
      </c>
      <c r="E8360" t="s">
        <v>25167</v>
      </c>
      <c r="F8360" t="s">
        <v>25168</v>
      </c>
      <c r="I8360" t="s">
        <v>29</v>
      </c>
      <c r="J8360" t="s">
        <v>30</v>
      </c>
      <c r="K8360" t="s">
        <v>25169</v>
      </c>
      <c r="M8360" t="s">
        <v>18479</v>
      </c>
      <c r="N8360" t="str">
        <f>"3/9/2015 4:04:00 PM"</f>
        <v>3/9/2015 4:04:00 PM</v>
      </c>
      <c r="O8360" t="s">
        <v>25166</v>
      </c>
      <c r="T8360" t="s">
        <v>25167</v>
      </c>
    </row>
    <row r="8361" spans="1:20" x14ac:dyDescent="0.25">
      <c r="A8361" t="str">
        <f>"3078903"</f>
        <v>3078903</v>
      </c>
      <c r="B8361" t="s">
        <v>25170</v>
      </c>
      <c r="C8361" t="str">
        <f>"15860000"</f>
        <v>15860000</v>
      </c>
      <c r="D8361" t="s">
        <v>25166</v>
      </c>
      <c r="E8361" t="s">
        <v>25167</v>
      </c>
      <c r="F8361" t="s">
        <v>25168</v>
      </c>
      <c r="I8361" t="s">
        <v>29</v>
      </c>
      <c r="J8361" t="s">
        <v>30</v>
      </c>
      <c r="K8361" t="s">
        <v>25169</v>
      </c>
      <c r="M8361" t="s">
        <v>18479</v>
      </c>
      <c r="N8361" t="str">
        <f>"3/9/2015 4:04:00 PM"</f>
        <v>3/9/2015 4:04:00 PM</v>
      </c>
      <c r="O8361" t="s">
        <v>25166</v>
      </c>
      <c r="T8361" t="s">
        <v>25167</v>
      </c>
    </row>
    <row r="8362" spans="1:20" x14ac:dyDescent="0.25">
      <c r="A8362" t="str">
        <f>"3055162"</f>
        <v>3055162</v>
      </c>
      <c r="B8362" t="s">
        <v>25171</v>
      </c>
      <c r="C8362" t="str">
        <f>"14792000"</f>
        <v>14792000</v>
      </c>
      <c r="D8362" t="s">
        <v>25172</v>
      </c>
      <c r="E8362" t="s">
        <v>25173</v>
      </c>
      <c r="F8362" t="s">
        <v>25174</v>
      </c>
      <c r="I8362" t="s">
        <v>29</v>
      </c>
      <c r="J8362" t="s">
        <v>30</v>
      </c>
      <c r="K8362" t="s">
        <v>31</v>
      </c>
      <c r="M8362" t="s">
        <v>18479</v>
      </c>
      <c r="N8362" t="str">
        <f>"3/9/2015 4:07:00 PM"</f>
        <v>3/9/2015 4:07:00 PM</v>
      </c>
      <c r="O8362" t="s">
        <v>25172</v>
      </c>
      <c r="T8362" t="s">
        <v>25173</v>
      </c>
    </row>
    <row r="8363" spans="1:20" x14ac:dyDescent="0.25">
      <c r="A8363" t="str">
        <f>"3040116"</f>
        <v>3040116</v>
      </c>
      <c r="B8363" t="s">
        <v>25175</v>
      </c>
      <c r="C8363" t="str">
        <f>"81294120"</f>
        <v>81294120</v>
      </c>
      <c r="D8363" t="s">
        <v>25176</v>
      </c>
      <c r="E8363" t="s">
        <v>25177</v>
      </c>
      <c r="F8363" t="s">
        <v>25178</v>
      </c>
      <c r="I8363" t="s">
        <v>29</v>
      </c>
      <c r="J8363" t="s">
        <v>30</v>
      </c>
      <c r="K8363" t="s">
        <v>25179</v>
      </c>
      <c r="M8363" t="s">
        <v>23082</v>
      </c>
      <c r="N8363" t="str">
        <f>"3/5/2015 3:06:00 PM"</f>
        <v>3/5/2015 3:06:00 PM</v>
      </c>
      <c r="O8363" t="s">
        <v>25176</v>
      </c>
      <c r="T8363" t="s">
        <v>25177</v>
      </c>
    </row>
    <row r="8364" spans="1:20" x14ac:dyDescent="0.25">
      <c r="A8364" t="str">
        <f>"3062938"</f>
        <v>3062938</v>
      </c>
      <c r="B8364" t="s">
        <v>25180</v>
      </c>
      <c r="C8364" t="str">
        <f>"82524488"</f>
        <v>82524488</v>
      </c>
      <c r="D8364" t="s">
        <v>25181</v>
      </c>
      <c r="E8364" t="s">
        <v>25182</v>
      </c>
      <c r="F8364" t="s">
        <v>25183</v>
      </c>
      <c r="I8364" t="s">
        <v>29</v>
      </c>
      <c r="J8364" t="s">
        <v>30</v>
      </c>
      <c r="K8364" t="s">
        <v>25184</v>
      </c>
      <c r="M8364" t="s">
        <v>23082</v>
      </c>
      <c r="N8364" t="str">
        <f>"3/5/2015 3:10:00 PM"</f>
        <v>3/5/2015 3:10:00 PM</v>
      </c>
      <c r="O8364" t="s">
        <v>25181</v>
      </c>
      <c r="T8364" t="s">
        <v>25182</v>
      </c>
    </row>
    <row r="8365" spans="1:20" x14ac:dyDescent="0.25">
      <c r="A8365" t="str">
        <f>"3044665"</f>
        <v>3044665</v>
      </c>
      <c r="B8365" t="s">
        <v>25185</v>
      </c>
      <c r="C8365" t="str">
        <f>"82529760"</f>
        <v>82529760</v>
      </c>
      <c r="D8365" t="s">
        <v>25186</v>
      </c>
      <c r="E8365" t="s">
        <v>25187</v>
      </c>
      <c r="F8365" t="s">
        <v>25188</v>
      </c>
      <c r="I8365" t="s">
        <v>184</v>
      </c>
      <c r="J8365" t="s">
        <v>30</v>
      </c>
      <c r="K8365" t="s">
        <v>185</v>
      </c>
      <c r="M8365" t="s">
        <v>18479</v>
      </c>
      <c r="N8365" t="str">
        <f>"3/5/2015 3:14:00 PM"</f>
        <v>3/5/2015 3:14:00 PM</v>
      </c>
      <c r="O8365" t="s">
        <v>25186</v>
      </c>
      <c r="T8365" t="s">
        <v>25187</v>
      </c>
    </row>
    <row r="8366" spans="1:20" x14ac:dyDescent="0.25">
      <c r="A8366" t="str">
        <f>"3055222"</f>
        <v>3055222</v>
      </c>
      <c r="B8366" t="s">
        <v>25189</v>
      </c>
      <c r="C8366" t="str">
        <f>"82530058"</f>
        <v>82530058</v>
      </c>
      <c r="D8366" t="s">
        <v>25190</v>
      </c>
      <c r="F8366" t="s">
        <v>25191</v>
      </c>
      <c r="I8366" t="s">
        <v>29</v>
      </c>
      <c r="J8366" t="s">
        <v>30</v>
      </c>
      <c r="K8366" t="s">
        <v>31</v>
      </c>
      <c r="M8366" t="s">
        <v>18479</v>
      </c>
      <c r="N8366" t="str">
        <f>"3/5/2015 4:01:00 PM"</f>
        <v>3/5/2015 4:01:00 PM</v>
      </c>
      <c r="O8366" t="s">
        <v>25190</v>
      </c>
    </row>
    <row r="8367" spans="1:20" x14ac:dyDescent="0.25">
      <c r="A8367" t="str">
        <f>"3052473"</f>
        <v>3052473</v>
      </c>
      <c r="B8367" t="s">
        <v>25192</v>
      </c>
      <c r="C8367" t="str">
        <f>"8303149"</f>
        <v>8303149</v>
      </c>
      <c r="D8367" t="s">
        <v>25193</v>
      </c>
      <c r="E8367" t="s">
        <v>25194</v>
      </c>
      <c r="F8367" t="s">
        <v>25195</v>
      </c>
      <c r="I8367" t="s">
        <v>29</v>
      </c>
      <c r="J8367" t="s">
        <v>30</v>
      </c>
      <c r="K8367" t="str">
        <f>"27028"</f>
        <v>27028</v>
      </c>
      <c r="M8367" t="s">
        <v>18479</v>
      </c>
      <c r="N8367" t="str">
        <f>"3/5/2015 4:16:00 PM"</f>
        <v>3/5/2015 4:16:00 PM</v>
      </c>
      <c r="O8367" t="s">
        <v>25193</v>
      </c>
      <c r="T8367" t="s">
        <v>25194</v>
      </c>
    </row>
    <row r="8368" spans="1:20" x14ac:dyDescent="0.25">
      <c r="A8368" t="str">
        <f>"3046259"</f>
        <v>3046259</v>
      </c>
      <c r="B8368" t="s">
        <v>25196</v>
      </c>
      <c r="C8368" t="str">
        <f>"62652000"</f>
        <v>62652000</v>
      </c>
      <c r="D8368" t="s">
        <v>25197</v>
      </c>
      <c r="E8368" t="s">
        <v>25198</v>
      </c>
      <c r="F8368" t="s">
        <v>25199</v>
      </c>
      <c r="I8368" t="s">
        <v>29</v>
      </c>
      <c r="J8368" t="s">
        <v>30</v>
      </c>
      <c r="K8368" t="s">
        <v>31</v>
      </c>
      <c r="M8368" t="s">
        <v>23082</v>
      </c>
      <c r="N8368" t="str">
        <f>"3/5/2015 10:37:00 AM"</f>
        <v>3/5/2015 10:37:00 AM</v>
      </c>
      <c r="O8368" t="s">
        <v>25197</v>
      </c>
      <c r="T8368" t="s">
        <v>25198</v>
      </c>
    </row>
    <row r="8369" spans="1:20" x14ac:dyDescent="0.25">
      <c r="A8369" t="str">
        <f>"3040384"</f>
        <v>3040384</v>
      </c>
      <c r="B8369" t="s">
        <v>25200</v>
      </c>
      <c r="C8369" t="str">
        <f>"65443000"</f>
        <v>65443000</v>
      </c>
      <c r="D8369" t="s">
        <v>25201</v>
      </c>
      <c r="E8369" t="s">
        <v>25202</v>
      </c>
      <c r="F8369" t="s">
        <v>25203</v>
      </c>
      <c r="I8369" t="s">
        <v>184</v>
      </c>
      <c r="J8369" t="s">
        <v>30</v>
      </c>
      <c r="K8369" t="s">
        <v>25204</v>
      </c>
      <c r="M8369" t="s">
        <v>23082</v>
      </c>
      <c r="N8369" t="str">
        <f>"3/5/2015 10:44:00 AM"</f>
        <v>3/5/2015 10:44:00 AM</v>
      </c>
      <c r="O8369" t="s">
        <v>25201</v>
      </c>
      <c r="T8369" t="s">
        <v>25202</v>
      </c>
    </row>
    <row r="8370" spans="1:20" x14ac:dyDescent="0.25">
      <c r="A8370" t="str">
        <f>"3083666"</f>
        <v>3083666</v>
      </c>
      <c r="B8370" t="s">
        <v>25205</v>
      </c>
      <c r="C8370" t="str">
        <f>"65443000"</f>
        <v>65443000</v>
      </c>
      <c r="D8370" t="s">
        <v>25201</v>
      </c>
      <c r="E8370" t="s">
        <v>25202</v>
      </c>
      <c r="F8370" t="s">
        <v>25203</v>
      </c>
      <c r="I8370" t="s">
        <v>184</v>
      </c>
      <c r="J8370" t="s">
        <v>30</v>
      </c>
      <c r="K8370" t="s">
        <v>25204</v>
      </c>
      <c r="M8370" t="s">
        <v>23082</v>
      </c>
      <c r="N8370" t="str">
        <f>"3/5/2015 10:44:00 AM"</f>
        <v>3/5/2015 10:44:00 AM</v>
      </c>
      <c r="O8370" t="s">
        <v>25201</v>
      </c>
      <c r="T8370" t="s">
        <v>25202</v>
      </c>
    </row>
    <row r="8371" spans="1:20" x14ac:dyDescent="0.25">
      <c r="A8371" t="str">
        <f>"3054332"</f>
        <v>3054332</v>
      </c>
      <c r="B8371" t="s">
        <v>25206</v>
      </c>
      <c r="C8371" t="str">
        <f>"66180500"</f>
        <v>66180500</v>
      </c>
      <c r="D8371" t="s">
        <v>25207</v>
      </c>
      <c r="E8371" t="s">
        <v>25208</v>
      </c>
      <c r="F8371" t="s">
        <v>25209</v>
      </c>
      <c r="I8371" t="s">
        <v>29</v>
      </c>
      <c r="J8371" t="s">
        <v>30</v>
      </c>
      <c r="K8371" t="s">
        <v>25210</v>
      </c>
      <c r="M8371" t="s">
        <v>23082</v>
      </c>
      <c r="N8371" t="str">
        <f>"3/5/2015 10:52:00 AM"</f>
        <v>3/5/2015 10:52:00 AM</v>
      </c>
      <c r="O8371" t="s">
        <v>25207</v>
      </c>
      <c r="T8371" t="s">
        <v>25208</v>
      </c>
    </row>
    <row r="8372" spans="1:20" x14ac:dyDescent="0.25">
      <c r="A8372" t="str">
        <f>"3072763"</f>
        <v>3072763</v>
      </c>
      <c r="B8372" t="s">
        <v>25211</v>
      </c>
      <c r="C8372" t="str">
        <f>"8304788"</f>
        <v>8304788</v>
      </c>
      <c r="D8372" t="s">
        <v>25212</v>
      </c>
      <c r="E8372" t="s">
        <v>25213</v>
      </c>
      <c r="F8372" t="s">
        <v>25214</v>
      </c>
      <c r="I8372" t="s">
        <v>163</v>
      </c>
      <c r="J8372" t="s">
        <v>30</v>
      </c>
      <c r="K8372" t="str">
        <f>"27284"</f>
        <v>27284</v>
      </c>
      <c r="M8372" t="s">
        <v>17861</v>
      </c>
      <c r="N8372" t="str">
        <f>"3/11/2015 9:03:00 AM"</f>
        <v>3/11/2015 9:03:00 AM</v>
      </c>
      <c r="O8372" t="s">
        <v>25212</v>
      </c>
      <c r="T8372" t="s">
        <v>25213</v>
      </c>
    </row>
    <row r="8373" spans="1:20" x14ac:dyDescent="0.25">
      <c r="A8373" t="str">
        <f>"3072764"</f>
        <v>3072764</v>
      </c>
      <c r="B8373" t="s">
        <v>25215</v>
      </c>
      <c r="C8373" t="str">
        <f>"8304788"</f>
        <v>8304788</v>
      </c>
      <c r="D8373" t="s">
        <v>25212</v>
      </c>
      <c r="E8373" t="s">
        <v>25213</v>
      </c>
      <c r="F8373" t="s">
        <v>25214</v>
      </c>
      <c r="I8373" t="s">
        <v>163</v>
      </c>
      <c r="J8373" t="s">
        <v>30</v>
      </c>
      <c r="K8373" t="str">
        <f>"27284"</f>
        <v>27284</v>
      </c>
      <c r="M8373" t="s">
        <v>17861</v>
      </c>
      <c r="N8373" t="str">
        <f>"3/11/2015 9:03:00 AM"</f>
        <v>3/11/2015 9:03:00 AM</v>
      </c>
      <c r="O8373" t="s">
        <v>25212</v>
      </c>
      <c r="T8373" t="s">
        <v>25213</v>
      </c>
    </row>
    <row r="8374" spans="1:20" x14ac:dyDescent="0.25">
      <c r="A8374" t="str">
        <f>"3072765"</f>
        <v>3072765</v>
      </c>
      <c r="B8374" t="s">
        <v>25216</v>
      </c>
      <c r="C8374" t="str">
        <f>"8304788"</f>
        <v>8304788</v>
      </c>
      <c r="D8374" t="s">
        <v>25212</v>
      </c>
      <c r="E8374" t="s">
        <v>25213</v>
      </c>
      <c r="F8374" t="s">
        <v>25214</v>
      </c>
      <c r="I8374" t="s">
        <v>163</v>
      </c>
      <c r="J8374" t="s">
        <v>30</v>
      </c>
      <c r="K8374" t="str">
        <f>"27284"</f>
        <v>27284</v>
      </c>
      <c r="M8374" t="s">
        <v>17861</v>
      </c>
      <c r="N8374" t="str">
        <f>"3/11/2015 9:03:00 AM"</f>
        <v>3/11/2015 9:03:00 AM</v>
      </c>
      <c r="O8374" t="s">
        <v>25212</v>
      </c>
      <c r="T8374" t="s">
        <v>25213</v>
      </c>
    </row>
    <row r="8375" spans="1:20" x14ac:dyDescent="0.25">
      <c r="A8375" t="str">
        <f>"3072768"</f>
        <v>3072768</v>
      </c>
      <c r="B8375" t="s">
        <v>25217</v>
      </c>
      <c r="C8375" t="str">
        <f>"8304788"</f>
        <v>8304788</v>
      </c>
      <c r="D8375" t="s">
        <v>25212</v>
      </c>
      <c r="E8375" t="s">
        <v>25213</v>
      </c>
      <c r="F8375" t="s">
        <v>25214</v>
      </c>
      <c r="I8375" t="s">
        <v>163</v>
      </c>
      <c r="J8375" t="s">
        <v>30</v>
      </c>
      <c r="K8375" t="str">
        <f>"27284"</f>
        <v>27284</v>
      </c>
      <c r="M8375" t="s">
        <v>17861</v>
      </c>
      <c r="N8375" t="str">
        <f>"3/11/2015 9:03:00 AM"</f>
        <v>3/11/2015 9:03:00 AM</v>
      </c>
      <c r="O8375" t="s">
        <v>25212</v>
      </c>
      <c r="T8375" t="s">
        <v>25213</v>
      </c>
    </row>
    <row r="8376" spans="1:20" x14ac:dyDescent="0.25">
      <c r="A8376" t="str">
        <f>"3040691"</f>
        <v>3040691</v>
      </c>
      <c r="B8376" t="s">
        <v>25218</v>
      </c>
      <c r="C8376" t="str">
        <f>"22449900"</f>
        <v>22449900</v>
      </c>
      <c r="D8376" t="s">
        <v>25219</v>
      </c>
      <c r="F8376" t="s">
        <v>18855</v>
      </c>
      <c r="I8376" t="s">
        <v>184</v>
      </c>
      <c r="J8376" t="s">
        <v>30</v>
      </c>
      <c r="K8376" t="s">
        <v>25220</v>
      </c>
      <c r="M8376" t="s">
        <v>18479</v>
      </c>
      <c r="N8376" t="str">
        <f>"3/11/2015 9:26:00 AM"</f>
        <v>3/11/2015 9:26:00 AM</v>
      </c>
      <c r="O8376" t="s">
        <v>25219</v>
      </c>
    </row>
    <row r="8377" spans="1:20" x14ac:dyDescent="0.25">
      <c r="A8377" t="str">
        <f>"3041538"</f>
        <v>3041538</v>
      </c>
      <c r="B8377" t="s">
        <v>25221</v>
      </c>
      <c r="C8377" t="str">
        <f>"8304790"</f>
        <v>8304790</v>
      </c>
      <c r="D8377" t="s">
        <v>25222</v>
      </c>
      <c r="E8377" t="s">
        <v>25223</v>
      </c>
      <c r="F8377" t="s">
        <v>25224</v>
      </c>
      <c r="I8377" t="s">
        <v>24359</v>
      </c>
      <c r="J8377" t="s">
        <v>30</v>
      </c>
      <c r="K8377" t="str">
        <f>"27006"</f>
        <v>27006</v>
      </c>
      <c r="M8377" t="s">
        <v>17861</v>
      </c>
      <c r="N8377" t="str">
        <f>"3/11/2015 10:14:00 AM"</f>
        <v>3/11/2015 10:14:00 AM</v>
      </c>
      <c r="O8377" t="s">
        <v>25222</v>
      </c>
      <c r="T8377" t="s">
        <v>25223</v>
      </c>
    </row>
    <row r="8378" spans="1:20" x14ac:dyDescent="0.25">
      <c r="A8378" t="str">
        <f>"3059328"</f>
        <v>3059328</v>
      </c>
      <c r="B8378" t="s">
        <v>25225</v>
      </c>
      <c r="C8378" t="str">
        <f>"8302149"</f>
        <v>8302149</v>
      </c>
      <c r="D8378" t="s">
        <v>25226</v>
      </c>
      <c r="F8378" t="s">
        <v>25227</v>
      </c>
      <c r="I8378" t="s">
        <v>29</v>
      </c>
      <c r="J8378" t="s">
        <v>30</v>
      </c>
      <c r="K8378" t="str">
        <f>"27028"</f>
        <v>27028</v>
      </c>
      <c r="M8378" t="s">
        <v>23082</v>
      </c>
      <c r="N8378" t="str">
        <f>"3/5/2015 10:55:00 AM"</f>
        <v>3/5/2015 10:55:00 AM</v>
      </c>
      <c r="O8378" t="s">
        <v>25226</v>
      </c>
    </row>
    <row r="8379" spans="1:20" x14ac:dyDescent="0.25">
      <c r="A8379" t="str">
        <f>"3053317"</f>
        <v>3053317</v>
      </c>
      <c r="B8379" t="s">
        <v>25228</v>
      </c>
      <c r="C8379" t="str">
        <f>"82518645"</f>
        <v>82518645</v>
      </c>
      <c r="D8379" t="s">
        <v>24989</v>
      </c>
      <c r="E8379" t="s">
        <v>24990</v>
      </c>
      <c r="F8379" t="s">
        <v>24991</v>
      </c>
      <c r="I8379" t="s">
        <v>29</v>
      </c>
      <c r="J8379" t="s">
        <v>30</v>
      </c>
      <c r="K8379" t="s">
        <v>24992</v>
      </c>
      <c r="M8379" t="s">
        <v>23082</v>
      </c>
      <c r="N8379" t="str">
        <f>"3/5/2015 10:56:00 AM"</f>
        <v>3/5/2015 10:56:00 AM</v>
      </c>
      <c r="O8379" t="s">
        <v>24989</v>
      </c>
      <c r="T8379" t="s">
        <v>24990</v>
      </c>
    </row>
    <row r="8380" spans="1:20" x14ac:dyDescent="0.25">
      <c r="A8380" t="str">
        <f>"3076814"</f>
        <v>3076814</v>
      </c>
      <c r="B8380" t="s">
        <v>25229</v>
      </c>
      <c r="C8380" t="str">
        <f>"15990000"</f>
        <v>15990000</v>
      </c>
      <c r="D8380" t="s">
        <v>25230</v>
      </c>
      <c r="F8380" t="s">
        <v>922</v>
      </c>
      <c r="I8380" t="s">
        <v>29</v>
      </c>
      <c r="J8380" t="s">
        <v>30</v>
      </c>
      <c r="K8380" t="s">
        <v>25231</v>
      </c>
      <c r="M8380" t="s">
        <v>18479</v>
      </c>
      <c r="N8380" t="str">
        <f>"3/9/2015 9:03:00 AM"</f>
        <v>3/9/2015 9:03:00 AM</v>
      </c>
      <c r="O8380" t="s">
        <v>25230</v>
      </c>
    </row>
    <row r="8381" spans="1:20" x14ac:dyDescent="0.25">
      <c r="A8381" t="str">
        <f>"3074596"</f>
        <v>3074596</v>
      </c>
      <c r="B8381" t="s">
        <v>25232</v>
      </c>
      <c r="C8381" t="str">
        <f>"82519941"</f>
        <v>82519941</v>
      </c>
      <c r="D8381" t="s">
        <v>25131</v>
      </c>
      <c r="F8381" t="s">
        <v>9579</v>
      </c>
      <c r="I8381" t="s">
        <v>9580</v>
      </c>
      <c r="J8381" t="s">
        <v>30</v>
      </c>
      <c r="K8381" t="s">
        <v>9581</v>
      </c>
      <c r="M8381" t="s">
        <v>17861</v>
      </c>
      <c r="N8381" t="str">
        <f>"3/9/2015 9:14:00 AM"</f>
        <v>3/9/2015 9:14:00 AM</v>
      </c>
      <c r="O8381" t="s">
        <v>25131</v>
      </c>
    </row>
    <row r="8382" spans="1:20" x14ac:dyDescent="0.25">
      <c r="A8382" t="str">
        <f>"3062026"</f>
        <v>3062026</v>
      </c>
      <c r="B8382" t="s">
        <v>25233</v>
      </c>
      <c r="C8382" t="str">
        <f>"82519941"</f>
        <v>82519941</v>
      </c>
      <c r="D8382" t="s">
        <v>25131</v>
      </c>
      <c r="F8382" t="s">
        <v>9579</v>
      </c>
      <c r="I8382" t="s">
        <v>9580</v>
      </c>
      <c r="J8382" t="s">
        <v>30</v>
      </c>
      <c r="K8382" t="s">
        <v>9581</v>
      </c>
      <c r="M8382" t="s">
        <v>17861</v>
      </c>
      <c r="N8382" t="str">
        <f>"3/9/2015 9:14:00 AM"</f>
        <v>3/9/2015 9:14:00 AM</v>
      </c>
      <c r="O8382" t="s">
        <v>25131</v>
      </c>
    </row>
    <row r="8383" spans="1:20" x14ac:dyDescent="0.25">
      <c r="A8383" t="str">
        <f>"3059801"</f>
        <v>3059801</v>
      </c>
      <c r="B8383" t="s">
        <v>25234</v>
      </c>
      <c r="C8383" t="str">
        <f>"82519941"</f>
        <v>82519941</v>
      </c>
      <c r="D8383" t="s">
        <v>25131</v>
      </c>
      <c r="F8383" t="s">
        <v>9579</v>
      </c>
      <c r="I8383" t="s">
        <v>9580</v>
      </c>
      <c r="J8383" t="s">
        <v>30</v>
      </c>
      <c r="K8383" t="s">
        <v>9581</v>
      </c>
      <c r="M8383" t="s">
        <v>17861</v>
      </c>
      <c r="N8383" t="str">
        <f>"3/9/2015 9:14:00 AM"</f>
        <v>3/9/2015 9:14:00 AM</v>
      </c>
      <c r="O8383" t="s">
        <v>25131</v>
      </c>
    </row>
    <row r="8384" spans="1:20" x14ac:dyDescent="0.25">
      <c r="A8384" t="str">
        <f>"3045554"</f>
        <v>3045554</v>
      </c>
      <c r="B8384" t="s">
        <v>25235</v>
      </c>
      <c r="C8384" t="str">
        <f>"14624000"</f>
        <v>14624000</v>
      </c>
      <c r="D8384" t="s">
        <v>25236</v>
      </c>
      <c r="E8384" t="s">
        <v>25237</v>
      </c>
      <c r="F8384" t="s">
        <v>25238</v>
      </c>
      <c r="I8384" t="s">
        <v>29</v>
      </c>
      <c r="J8384" t="s">
        <v>30</v>
      </c>
      <c r="K8384" t="s">
        <v>25239</v>
      </c>
      <c r="M8384" t="s">
        <v>18479</v>
      </c>
      <c r="N8384" t="str">
        <f>"3/9/2015 9:42:00 AM"</f>
        <v>3/9/2015 9:42:00 AM</v>
      </c>
      <c r="O8384" t="s">
        <v>25236</v>
      </c>
      <c r="T8384" t="s">
        <v>25237</v>
      </c>
    </row>
    <row r="8385" spans="1:20" x14ac:dyDescent="0.25">
      <c r="A8385" t="str">
        <f>"3057736"</f>
        <v>3057736</v>
      </c>
      <c r="B8385" t="s">
        <v>25240</v>
      </c>
      <c r="C8385" t="str">
        <f>"8304107"</f>
        <v>8304107</v>
      </c>
      <c r="D8385" t="s">
        <v>25241</v>
      </c>
      <c r="F8385" t="s">
        <v>25242</v>
      </c>
      <c r="I8385" t="s">
        <v>29</v>
      </c>
      <c r="J8385" t="s">
        <v>30</v>
      </c>
      <c r="K8385" t="str">
        <f>"27028"</f>
        <v>27028</v>
      </c>
      <c r="M8385" t="s">
        <v>18479</v>
      </c>
      <c r="N8385" t="str">
        <f>"3/9/2015 11:40:00 AM"</f>
        <v>3/9/2015 11:40:00 AM</v>
      </c>
      <c r="O8385" t="s">
        <v>25241</v>
      </c>
    </row>
    <row r="8386" spans="1:20" x14ac:dyDescent="0.25">
      <c r="A8386" t="str">
        <f>"3049642"</f>
        <v>3049642</v>
      </c>
      <c r="B8386" t="s">
        <v>25243</v>
      </c>
      <c r="C8386" t="str">
        <f>"16344000"</f>
        <v>16344000</v>
      </c>
      <c r="D8386" t="s">
        <v>25244</v>
      </c>
      <c r="E8386" t="s">
        <v>25245</v>
      </c>
      <c r="F8386" t="s">
        <v>25246</v>
      </c>
      <c r="I8386" t="s">
        <v>184</v>
      </c>
      <c r="J8386" t="s">
        <v>30</v>
      </c>
      <c r="K8386" t="s">
        <v>25247</v>
      </c>
      <c r="M8386" t="s">
        <v>18479</v>
      </c>
      <c r="N8386" t="str">
        <f>"3/9/2015 2:22:00 PM"</f>
        <v>3/9/2015 2:22:00 PM</v>
      </c>
      <c r="O8386" t="s">
        <v>25244</v>
      </c>
      <c r="T8386" t="s">
        <v>25245</v>
      </c>
    </row>
    <row r="8387" spans="1:20" x14ac:dyDescent="0.25">
      <c r="A8387" t="str">
        <f>"3050468"</f>
        <v>3050468</v>
      </c>
      <c r="B8387" t="s">
        <v>25248</v>
      </c>
      <c r="C8387" t="str">
        <f>"16344000"</f>
        <v>16344000</v>
      </c>
      <c r="D8387" t="s">
        <v>25244</v>
      </c>
      <c r="E8387" t="s">
        <v>25245</v>
      </c>
      <c r="F8387" t="s">
        <v>25246</v>
      </c>
      <c r="I8387" t="s">
        <v>184</v>
      </c>
      <c r="J8387" t="s">
        <v>30</v>
      </c>
      <c r="K8387" t="s">
        <v>25247</v>
      </c>
      <c r="M8387" t="s">
        <v>18479</v>
      </c>
      <c r="N8387" t="str">
        <f>"3/9/2015 2:22:00 PM"</f>
        <v>3/9/2015 2:22:00 PM</v>
      </c>
      <c r="O8387" t="s">
        <v>25244</v>
      </c>
      <c r="T8387" t="s">
        <v>25245</v>
      </c>
    </row>
    <row r="8388" spans="1:20" x14ac:dyDescent="0.25">
      <c r="A8388" t="str">
        <f>"3068507"</f>
        <v>3068507</v>
      </c>
      <c r="B8388" t="s">
        <v>25249</v>
      </c>
      <c r="C8388" t="str">
        <f>"82533094"</f>
        <v>82533094</v>
      </c>
      <c r="D8388" t="s">
        <v>25250</v>
      </c>
      <c r="E8388" t="s">
        <v>25251</v>
      </c>
      <c r="F8388" t="s">
        <v>25252</v>
      </c>
      <c r="I8388" t="s">
        <v>29</v>
      </c>
      <c r="J8388" t="s">
        <v>30</v>
      </c>
      <c r="K8388" t="str">
        <f>"27028"</f>
        <v>27028</v>
      </c>
      <c r="M8388" t="s">
        <v>18479</v>
      </c>
      <c r="N8388" t="str">
        <f>"3/9/2015 2:41:00 PM"</f>
        <v>3/9/2015 2:41:00 PM</v>
      </c>
      <c r="O8388" t="s">
        <v>25250</v>
      </c>
      <c r="T8388" t="s">
        <v>25251</v>
      </c>
    </row>
    <row r="8389" spans="1:20" x14ac:dyDescent="0.25">
      <c r="A8389" t="str">
        <f>"3038963"</f>
        <v>3038963</v>
      </c>
      <c r="B8389" t="s">
        <v>25253</v>
      </c>
      <c r="C8389" t="str">
        <f>"24981500"</f>
        <v>24981500</v>
      </c>
      <c r="D8389" t="s">
        <v>25163</v>
      </c>
      <c r="F8389" t="s">
        <v>25164</v>
      </c>
      <c r="I8389" t="s">
        <v>29</v>
      </c>
      <c r="J8389" t="s">
        <v>30</v>
      </c>
      <c r="K8389" t="s">
        <v>31</v>
      </c>
      <c r="M8389" t="s">
        <v>22270</v>
      </c>
      <c r="N8389" t="str">
        <f>"3/9/2015 3:53:00 PM"</f>
        <v>3/9/2015 3:53:00 PM</v>
      </c>
      <c r="O8389" t="s">
        <v>25163</v>
      </c>
    </row>
    <row r="8390" spans="1:20" x14ac:dyDescent="0.25">
      <c r="A8390" t="str">
        <f>"3049100"</f>
        <v>3049100</v>
      </c>
      <c r="B8390" t="s">
        <v>25254</v>
      </c>
      <c r="C8390" t="str">
        <f>"22790000"</f>
        <v>22790000</v>
      </c>
      <c r="D8390" t="s">
        <v>25255</v>
      </c>
      <c r="F8390" t="s">
        <v>25256</v>
      </c>
      <c r="I8390" t="s">
        <v>29</v>
      </c>
      <c r="J8390" t="s">
        <v>30</v>
      </c>
      <c r="K8390" t="s">
        <v>31</v>
      </c>
      <c r="L8390" t="s">
        <v>2497</v>
      </c>
      <c r="M8390" t="s">
        <v>22859</v>
      </c>
      <c r="N8390" t="str">
        <f>"3/10/2015 3:19:00 PM"</f>
        <v>3/10/2015 3:19:00 PM</v>
      </c>
      <c r="O8390" t="s">
        <v>25255</v>
      </c>
    </row>
    <row r="8391" spans="1:20" x14ac:dyDescent="0.25">
      <c r="A8391" t="str">
        <f>"3058556"</f>
        <v>3058556</v>
      </c>
      <c r="B8391" t="s">
        <v>25257</v>
      </c>
      <c r="C8391" t="str">
        <f>"22790000"</f>
        <v>22790000</v>
      </c>
      <c r="D8391" t="s">
        <v>25255</v>
      </c>
      <c r="F8391" t="s">
        <v>25256</v>
      </c>
      <c r="I8391" t="s">
        <v>29</v>
      </c>
      <c r="J8391" t="s">
        <v>30</v>
      </c>
      <c r="K8391" t="s">
        <v>31</v>
      </c>
      <c r="L8391" t="s">
        <v>2497</v>
      </c>
      <c r="M8391" t="s">
        <v>22859</v>
      </c>
      <c r="N8391" t="str">
        <f>"3/10/2015 3:19:00 PM"</f>
        <v>3/10/2015 3:19:00 PM</v>
      </c>
      <c r="O8391" t="s">
        <v>25255</v>
      </c>
    </row>
    <row r="8392" spans="1:20" x14ac:dyDescent="0.25">
      <c r="A8392" t="str">
        <f>"3072571"</f>
        <v>3072571</v>
      </c>
      <c r="B8392" t="s">
        <v>25258</v>
      </c>
      <c r="C8392" t="str">
        <f>"8304788"</f>
        <v>8304788</v>
      </c>
      <c r="D8392" t="s">
        <v>25212</v>
      </c>
      <c r="E8392" t="s">
        <v>25213</v>
      </c>
      <c r="F8392" t="s">
        <v>25214</v>
      </c>
      <c r="I8392" t="s">
        <v>163</v>
      </c>
      <c r="J8392" t="s">
        <v>30</v>
      </c>
      <c r="K8392" t="str">
        <f>"27284"</f>
        <v>27284</v>
      </c>
      <c r="M8392" t="s">
        <v>17861</v>
      </c>
      <c r="N8392" t="str">
        <f>"3/11/2015 9:03:00 AM"</f>
        <v>3/11/2015 9:03:00 AM</v>
      </c>
      <c r="O8392" t="s">
        <v>25212</v>
      </c>
      <c r="T8392" t="s">
        <v>25213</v>
      </c>
    </row>
    <row r="8393" spans="1:20" x14ac:dyDescent="0.25">
      <c r="A8393" t="str">
        <f>"3072572"</f>
        <v>3072572</v>
      </c>
      <c r="B8393" t="s">
        <v>25259</v>
      </c>
      <c r="C8393" t="str">
        <f>"8304788"</f>
        <v>8304788</v>
      </c>
      <c r="D8393" t="s">
        <v>25212</v>
      </c>
      <c r="E8393" t="s">
        <v>25213</v>
      </c>
      <c r="F8393" t="s">
        <v>25214</v>
      </c>
      <c r="I8393" t="s">
        <v>163</v>
      </c>
      <c r="J8393" t="s">
        <v>30</v>
      </c>
      <c r="K8393" t="str">
        <f>"27284"</f>
        <v>27284</v>
      </c>
      <c r="M8393" t="s">
        <v>17861</v>
      </c>
      <c r="N8393" t="str">
        <f>"3/11/2015 9:03:00 AM"</f>
        <v>3/11/2015 9:03:00 AM</v>
      </c>
      <c r="O8393" t="s">
        <v>25212</v>
      </c>
      <c r="T8393" t="s">
        <v>25213</v>
      </c>
    </row>
    <row r="8394" spans="1:20" x14ac:dyDescent="0.25">
      <c r="A8394" t="str">
        <f>"3072755"</f>
        <v>3072755</v>
      </c>
      <c r="B8394" t="s">
        <v>25260</v>
      </c>
      <c r="C8394" t="str">
        <f>"8304788"</f>
        <v>8304788</v>
      </c>
      <c r="D8394" t="s">
        <v>25212</v>
      </c>
      <c r="E8394" t="s">
        <v>25213</v>
      </c>
      <c r="F8394" t="s">
        <v>25214</v>
      </c>
      <c r="I8394" t="s">
        <v>163</v>
      </c>
      <c r="J8394" t="s">
        <v>30</v>
      </c>
      <c r="K8394" t="str">
        <f>"27284"</f>
        <v>27284</v>
      </c>
      <c r="M8394" t="s">
        <v>17861</v>
      </c>
      <c r="N8394" t="str">
        <f>"3/11/2015 9:03:00 AM"</f>
        <v>3/11/2015 9:03:00 AM</v>
      </c>
      <c r="O8394" t="s">
        <v>25212</v>
      </c>
      <c r="T8394" t="s">
        <v>25213</v>
      </c>
    </row>
    <row r="8395" spans="1:20" x14ac:dyDescent="0.25">
      <c r="A8395" t="str">
        <f>"3072758"</f>
        <v>3072758</v>
      </c>
      <c r="B8395" t="s">
        <v>25261</v>
      </c>
      <c r="C8395" t="str">
        <f>"8304788"</f>
        <v>8304788</v>
      </c>
      <c r="D8395" t="s">
        <v>25212</v>
      </c>
      <c r="E8395" t="s">
        <v>25213</v>
      </c>
      <c r="F8395" t="s">
        <v>25214</v>
      </c>
      <c r="I8395" t="s">
        <v>163</v>
      </c>
      <c r="J8395" t="s">
        <v>30</v>
      </c>
      <c r="K8395" t="str">
        <f>"27284"</f>
        <v>27284</v>
      </c>
      <c r="M8395" t="s">
        <v>17861</v>
      </c>
      <c r="N8395" t="str">
        <f>"3/11/2015 9:03:00 AM"</f>
        <v>3/11/2015 9:03:00 AM</v>
      </c>
      <c r="O8395" t="s">
        <v>25212</v>
      </c>
      <c r="T8395" t="s">
        <v>25213</v>
      </c>
    </row>
    <row r="8396" spans="1:20" x14ac:dyDescent="0.25">
      <c r="A8396" t="str">
        <f>"3056702"</f>
        <v>3056702</v>
      </c>
      <c r="B8396" t="s">
        <v>25262</v>
      </c>
      <c r="C8396" t="str">
        <f>"8302249"</f>
        <v>8302249</v>
      </c>
      <c r="D8396" t="s">
        <v>25263</v>
      </c>
      <c r="F8396" t="s">
        <v>25264</v>
      </c>
      <c r="I8396" t="s">
        <v>29</v>
      </c>
      <c r="J8396" t="s">
        <v>30</v>
      </c>
      <c r="K8396" t="str">
        <f>"27028"</f>
        <v>27028</v>
      </c>
      <c r="M8396" t="s">
        <v>18479</v>
      </c>
      <c r="N8396" t="str">
        <f>"3/6/2015 11:25:00 AM"</f>
        <v>3/6/2015 11:25:00 AM</v>
      </c>
      <c r="O8396" t="s">
        <v>25263</v>
      </c>
    </row>
    <row r="8397" spans="1:20" x14ac:dyDescent="0.25">
      <c r="A8397" t="str">
        <f>"3040685"</f>
        <v>3040685</v>
      </c>
      <c r="B8397" t="s">
        <v>25265</v>
      </c>
      <c r="C8397" t="str">
        <f>"12168000"</f>
        <v>12168000</v>
      </c>
      <c r="D8397" t="s">
        <v>25266</v>
      </c>
      <c r="F8397" t="s">
        <v>25267</v>
      </c>
      <c r="I8397" t="s">
        <v>184</v>
      </c>
      <c r="J8397" t="s">
        <v>30</v>
      </c>
      <c r="K8397" t="s">
        <v>3108</v>
      </c>
      <c r="M8397" t="s">
        <v>18479</v>
      </c>
      <c r="N8397" t="str">
        <f>"3/6/2015 1:13:00 PM"</f>
        <v>3/6/2015 1:13:00 PM</v>
      </c>
      <c r="O8397" t="s">
        <v>25266</v>
      </c>
    </row>
    <row r="8398" spans="1:20" x14ac:dyDescent="0.25">
      <c r="A8398" t="str">
        <f>"3050974"</f>
        <v>3050974</v>
      </c>
      <c r="B8398" t="s">
        <v>25268</v>
      </c>
      <c r="C8398" t="str">
        <f>"8304846"</f>
        <v>8304846</v>
      </c>
      <c r="D8398" t="s">
        <v>25269</v>
      </c>
      <c r="E8398" t="s">
        <v>25270</v>
      </c>
      <c r="F8398" t="s">
        <v>25271</v>
      </c>
      <c r="I8398" t="s">
        <v>24359</v>
      </c>
      <c r="J8398" t="s">
        <v>30</v>
      </c>
      <c r="K8398" t="str">
        <f>"27006"</f>
        <v>27006</v>
      </c>
      <c r="M8398" t="s">
        <v>17861</v>
      </c>
      <c r="N8398" t="str">
        <f>"3/26/2015 1:35:00 PM"</f>
        <v>3/26/2015 1:35:00 PM</v>
      </c>
      <c r="O8398" t="s">
        <v>25269</v>
      </c>
      <c r="T8398" t="s">
        <v>25270</v>
      </c>
    </row>
    <row r="8399" spans="1:20" x14ac:dyDescent="0.25">
      <c r="A8399" t="str">
        <f>"3042285"</f>
        <v>3042285</v>
      </c>
      <c r="B8399" t="s">
        <v>25272</v>
      </c>
      <c r="C8399" t="str">
        <f>"15990000"</f>
        <v>15990000</v>
      </c>
      <c r="D8399" t="s">
        <v>25230</v>
      </c>
      <c r="F8399" t="s">
        <v>922</v>
      </c>
      <c r="I8399" t="s">
        <v>29</v>
      </c>
      <c r="J8399" t="s">
        <v>30</v>
      </c>
      <c r="K8399" t="s">
        <v>25231</v>
      </c>
      <c r="M8399" t="s">
        <v>18479</v>
      </c>
      <c r="N8399" t="str">
        <f>"3/9/2015 9:03:00 AM"</f>
        <v>3/9/2015 9:03:00 AM</v>
      </c>
      <c r="O8399" t="s">
        <v>25230</v>
      </c>
    </row>
    <row r="8400" spans="1:20" x14ac:dyDescent="0.25">
      <c r="A8400" t="str">
        <f>"3072759"</f>
        <v>3072759</v>
      </c>
      <c r="B8400" t="s">
        <v>25273</v>
      </c>
      <c r="C8400" t="str">
        <f>"8304788"</f>
        <v>8304788</v>
      </c>
      <c r="D8400" t="s">
        <v>25212</v>
      </c>
      <c r="E8400" t="s">
        <v>25213</v>
      </c>
      <c r="F8400" t="s">
        <v>25214</v>
      </c>
      <c r="I8400" t="s">
        <v>163</v>
      </c>
      <c r="J8400" t="s">
        <v>30</v>
      </c>
      <c r="K8400" t="str">
        <f>"27284"</f>
        <v>27284</v>
      </c>
      <c r="M8400" t="s">
        <v>17861</v>
      </c>
      <c r="N8400" t="str">
        <f>"3/11/2015 9:03:00 AM"</f>
        <v>3/11/2015 9:03:00 AM</v>
      </c>
      <c r="O8400" t="s">
        <v>25212</v>
      </c>
      <c r="T8400" t="s">
        <v>25213</v>
      </c>
    </row>
    <row r="8401" spans="1:20" x14ac:dyDescent="0.25">
      <c r="A8401" t="str">
        <f>"3072761"</f>
        <v>3072761</v>
      </c>
      <c r="B8401" t="s">
        <v>25274</v>
      </c>
      <c r="C8401" t="str">
        <f>"8304788"</f>
        <v>8304788</v>
      </c>
      <c r="D8401" t="s">
        <v>25212</v>
      </c>
      <c r="E8401" t="s">
        <v>25213</v>
      </c>
      <c r="F8401" t="s">
        <v>25214</v>
      </c>
      <c r="I8401" t="s">
        <v>163</v>
      </c>
      <c r="J8401" t="s">
        <v>30</v>
      </c>
      <c r="K8401" t="str">
        <f>"27284"</f>
        <v>27284</v>
      </c>
      <c r="M8401" t="s">
        <v>17861</v>
      </c>
      <c r="N8401" t="str">
        <f>"3/11/2015 9:03:00 AM"</f>
        <v>3/11/2015 9:03:00 AM</v>
      </c>
      <c r="O8401" t="s">
        <v>25212</v>
      </c>
      <c r="T8401" t="s">
        <v>25213</v>
      </c>
    </row>
    <row r="8402" spans="1:20" x14ac:dyDescent="0.25">
      <c r="A8402" t="str">
        <f>"3072762"</f>
        <v>3072762</v>
      </c>
      <c r="B8402" t="s">
        <v>25275</v>
      </c>
      <c r="C8402" t="str">
        <f>"8304788"</f>
        <v>8304788</v>
      </c>
      <c r="D8402" t="s">
        <v>25212</v>
      </c>
      <c r="E8402" t="s">
        <v>25213</v>
      </c>
      <c r="F8402" t="s">
        <v>25214</v>
      </c>
      <c r="I8402" t="s">
        <v>163</v>
      </c>
      <c r="J8402" t="s">
        <v>30</v>
      </c>
      <c r="K8402" t="str">
        <f>"27284"</f>
        <v>27284</v>
      </c>
      <c r="M8402" t="s">
        <v>17861</v>
      </c>
      <c r="N8402" t="str">
        <f>"3/11/2015 9:03:00 AM"</f>
        <v>3/11/2015 9:03:00 AM</v>
      </c>
      <c r="O8402" t="s">
        <v>25212</v>
      </c>
      <c r="T8402" t="s">
        <v>25213</v>
      </c>
    </row>
    <row r="8403" spans="1:20" x14ac:dyDescent="0.25">
      <c r="A8403" t="str">
        <f>"3055965"</f>
        <v>3055965</v>
      </c>
      <c r="B8403" t="s">
        <v>25276</v>
      </c>
      <c r="C8403" t="str">
        <f>"8304801"</f>
        <v>8304801</v>
      </c>
      <c r="D8403" t="s">
        <v>25277</v>
      </c>
      <c r="E8403" t="s">
        <v>25278</v>
      </c>
      <c r="F8403" t="s">
        <v>25279</v>
      </c>
      <c r="I8403" t="s">
        <v>25280</v>
      </c>
      <c r="J8403" t="s">
        <v>30</v>
      </c>
      <c r="K8403" t="str">
        <f>"27014"</f>
        <v>27014</v>
      </c>
      <c r="M8403" t="s">
        <v>17861</v>
      </c>
      <c r="N8403" t="str">
        <f>"3/11/2015 11:20:00 AM"</f>
        <v>3/11/2015 11:20:00 AM</v>
      </c>
      <c r="O8403" t="s">
        <v>25277</v>
      </c>
      <c r="T8403" t="s">
        <v>25278</v>
      </c>
    </row>
    <row r="8404" spans="1:20" x14ac:dyDescent="0.25">
      <c r="A8404" t="str">
        <f>"3062454"</f>
        <v>3062454</v>
      </c>
      <c r="B8404" t="s">
        <v>25281</v>
      </c>
      <c r="C8404" t="str">
        <f>"82529699"</f>
        <v>82529699</v>
      </c>
      <c r="D8404" t="s">
        <v>25282</v>
      </c>
      <c r="F8404" t="s">
        <v>25283</v>
      </c>
      <c r="I8404" t="s">
        <v>2071</v>
      </c>
      <c r="J8404" t="s">
        <v>30</v>
      </c>
      <c r="K8404" t="s">
        <v>185</v>
      </c>
      <c r="M8404" t="s">
        <v>18479</v>
      </c>
      <c r="N8404" t="str">
        <f>"3/11/2015 4:19:00 PM"</f>
        <v>3/11/2015 4:19:00 PM</v>
      </c>
      <c r="O8404" t="s">
        <v>25282</v>
      </c>
    </row>
    <row r="8405" spans="1:20" x14ac:dyDescent="0.25">
      <c r="A8405" t="str">
        <f>"3058009"</f>
        <v>3058009</v>
      </c>
      <c r="B8405" t="s">
        <v>25284</v>
      </c>
      <c r="C8405" t="str">
        <f>"8303535"</f>
        <v>8303535</v>
      </c>
      <c r="D8405" t="s">
        <v>25285</v>
      </c>
      <c r="E8405" t="s">
        <v>25286</v>
      </c>
      <c r="F8405" t="s">
        <v>25287</v>
      </c>
      <c r="I8405" t="s">
        <v>184</v>
      </c>
      <c r="J8405" t="s">
        <v>30</v>
      </c>
      <c r="K8405" t="str">
        <f>"27006"</f>
        <v>27006</v>
      </c>
      <c r="M8405" t="s">
        <v>17861</v>
      </c>
      <c r="N8405" t="str">
        <f>"3/12/2015 10:45:00 AM"</f>
        <v>3/12/2015 10:45:00 AM</v>
      </c>
      <c r="O8405" t="s">
        <v>25285</v>
      </c>
      <c r="T8405" t="s">
        <v>25286</v>
      </c>
    </row>
    <row r="8406" spans="1:20" x14ac:dyDescent="0.25">
      <c r="A8406" t="str">
        <f>"3060742"</f>
        <v>3060742</v>
      </c>
      <c r="B8406" t="s">
        <v>25288</v>
      </c>
      <c r="C8406" t="str">
        <f>"8303330"</f>
        <v>8303330</v>
      </c>
      <c r="D8406" t="s">
        <v>25289</v>
      </c>
      <c r="F8406" t="s">
        <v>25290</v>
      </c>
      <c r="I8406" t="s">
        <v>184</v>
      </c>
      <c r="J8406" t="s">
        <v>30</v>
      </c>
      <c r="K8406" t="str">
        <f>"27006"</f>
        <v>27006</v>
      </c>
      <c r="M8406" t="s">
        <v>18479</v>
      </c>
      <c r="N8406" t="str">
        <f>"3/13/2015 10:32:00 AM"</f>
        <v>3/13/2015 10:32:00 AM</v>
      </c>
      <c r="O8406" t="s">
        <v>25289</v>
      </c>
    </row>
    <row r="8407" spans="1:20" x14ac:dyDescent="0.25">
      <c r="A8407" t="str">
        <f>"3038394"</f>
        <v>3038394</v>
      </c>
      <c r="B8407" t="s">
        <v>25291</v>
      </c>
      <c r="C8407" t="str">
        <f>"8304851"</f>
        <v>8304851</v>
      </c>
      <c r="D8407" t="s">
        <v>25292</v>
      </c>
      <c r="F8407" t="s">
        <v>25293</v>
      </c>
      <c r="I8407" t="s">
        <v>17921</v>
      </c>
      <c r="J8407" t="s">
        <v>30</v>
      </c>
      <c r="K8407" t="str">
        <f>"27028"</f>
        <v>27028</v>
      </c>
      <c r="M8407" t="s">
        <v>17861</v>
      </c>
      <c r="N8407" t="str">
        <f>"3/30/2015 1:43:00 PM"</f>
        <v>3/30/2015 1:43:00 PM</v>
      </c>
      <c r="O8407" t="s">
        <v>25292</v>
      </c>
    </row>
    <row r="8408" spans="1:20" x14ac:dyDescent="0.25">
      <c r="A8408" t="str">
        <f>"3040533"</f>
        <v>3040533</v>
      </c>
      <c r="B8408" t="s">
        <v>25294</v>
      </c>
      <c r="C8408" t="str">
        <f>"8304807"</f>
        <v>8304807</v>
      </c>
      <c r="D8408" t="s">
        <v>25295</v>
      </c>
      <c r="E8408" t="s">
        <v>25296</v>
      </c>
      <c r="F8408" t="s">
        <v>25297</v>
      </c>
      <c r="I8408" t="s">
        <v>24359</v>
      </c>
      <c r="J8408" t="s">
        <v>30</v>
      </c>
      <c r="K8408" t="str">
        <f>"27006"</f>
        <v>27006</v>
      </c>
      <c r="M8408" t="s">
        <v>17861</v>
      </c>
      <c r="N8408" t="str">
        <f>"3/17/2015 1:52:00 PM"</f>
        <v>3/17/2015 1:52:00 PM</v>
      </c>
      <c r="O8408" t="s">
        <v>25295</v>
      </c>
      <c r="T8408" t="s">
        <v>25296</v>
      </c>
    </row>
    <row r="8409" spans="1:20" x14ac:dyDescent="0.25">
      <c r="A8409" t="str">
        <f>"3060048"</f>
        <v>3060048</v>
      </c>
      <c r="B8409" t="s">
        <v>25298</v>
      </c>
      <c r="C8409" t="str">
        <f>"8304863"</f>
        <v>8304863</v>
      </c>
      <c r="D8409" t="s">
        <v>25299</v>
      </c>
      <c r="E8409" t="s">
        <v>25300</v>
      </c>
      <c r="F8409" t="s">
        <v>25301</v>
      </c>
      <c r="I8409" t="s">
        <v>24359</v>
      </c>
      <c r="J8409" t="s">
        <v>30</v>
      </c>
      <c r="K8409" t="str">
        <f>"27006"</f>
        <v>27006</v>
      </c>
      <c r="M8409" t="s">
        <v>17861</v>
      </c>
      <c r="N8409" t="str">
        <f>"3/31/2015 10:32:00 AM"</f>
        <v>3/31/2015 10:32:00 AM</v>
      </c>
      <c r="O8409" t="s">
        <v>25299</v>
      </c>
      <c r="T8409" t="s">
        <v>25300</v>
      </c>
    </row>
    <row r="8410" spans="1:20" x14ac:dyDescent="0.25">
      <c r="A8410" t="str">
        <f>"3050291"</f>
        <v>3050291</v>
      </c>
      <c r="B8410" t="s">
        <v>25302</v>
      </c>
      <c r="C8410" t="str">
        <f>"82523006"</f>
        <v>82523006</v>
      </c>
      <c r="D8410" t="s">
        <v>25303</v>
      </c>
      <c r="F8410" t="s">
        <v>25304</v>
      </c>
      <c r="I8410" t="s">
        <v>29</v>
      </c>
      <c r="J8410" t="s">
        <v>30</v>
      </c>
      <c r="K8410" t="s">
        <v>25305</v>
      </c>
      <c r="M8410" t="s">
        <v>17861</v>
      </c>
      <c r="N8410" t="str">
        <f>"4/1/2015 9:55:00 AM"</f>
        <v>4/1/2015 9:55:00 AM</v>
      </c>
      <c r="O8410" t="s">
        <v>25303</v>
      </c>
    </row>
    <row r="8411" spans="1:20" x14ac:dyDescent="0.25">
      <c r="A8411" t="str">
        <f>"3038811"</f>
        <v>3038811</v>
      </c>
      <c r="B8411" t="s">
        <v>25306</v>
      </c>
      <c r="C8411" t="str">
        <f>"8304808"</f>
        <v>8304808</v>
      </c>
      <c r="D8411" t="s">
        <v>25307</v>
      </c>
      <c r="F8411" t="s">
        <v>25308</v>
      </c>
      <c r="I8411" t="s">
        <v>17921</v>
      </c>
      <c r="J8411" t="s">
        <v>30</v>
      </c>
      <c r="K8411" t="str">
        <f>"27028"</f>
        <v>27028</v>
      </c>
      <c r="M8411" t="s">
        <v>17861</v>
      </c>
      <c r="N8411" t="str">
        <f>"3/17/2015 1:54:00 PM"</f>
        <v>3/17/2015 1:54:00 PM</v>
      </c>
      <c r="O8411" t="s">
        <v>25307</v>
      </c>
    </row>
    <row r="8412" spans="1:20" x14ac:dyDescent="0.25">
      <c r="A8412" t="str">
        <f>"3039308"</f>
        <v>3039308</v>
      </c>
      <c r="B8412" t="s">
        <v>25309</v>
      </c>
      <c r="C8412" t="str">
        <f>"8304825"</f>
        <v>8304825</v>
      </c>
      <c r="D8412" t="s">
        <v>25310</v>
      </c>
      <c r="F8412" t="s">
        <v>25311</v>
      </c>
      <c r="I8412" t="s">
        <v>25312</v>
      </c>
      <c r="J8412" t="s">
        <v>30</v>
      </c>
      <c r="K8412" t="str">
        <f>"27858"</f>
        <v>27858</v>
      </c>
      <c r="M8412" t="s">
        <v>17861</v>
      </c>
      <c r="N8412" t="str">
        <f>"3/19/2015 2:47:00 PM"</f>
        <v>3/19/2015 2:47:00 PM</v>
      </c>
      <c r="O8412" t="s">
        <v>25310</v>
      </c>
    </row>
    <row r="8413" spans="1:20" x14ac:dyDescent="0.25">
      <c r="A8413" t="str">
        <f>"3040096"</f>
        <v>3040096</v>
      </c>
      <c r="B8413" t="s">
        <v>25313</v>
      </c>
      <c r="C8413" t="str">
        <f>"8304825"</f>
        <v>8304825</v>
      </c>
      <c r="D8413" t="s">
        <v>25310</v>
      </c>
      <c r="F8413" t="s">
        <v>25311</v>
      </c>
      <c r="I8413" t="s">
        <v>25312</v>
      </c>
      <c r="J8413" t="s">
        <v>30</v>
      </c>
      <c r="K8413" t="str">
        <f>"27858"</f>
        <v>27858</v>
      </c>
      <c r="M8413" t="s">
        <v>17861</v>
      </c>
      <c r="N8413" t="str">
        <f>"3/19/2015 2:47:00 PM"</f>
        <v>3/19/2015 2:47:00 PM</v>
      </c>
      <c r="O8413" t="s">
        <v>25310</v>
      </c>
    </row>
    <row r="8414" spans="1:20" x14ac:dyDescent="0.25">
      <c r="A8414" t="str">
        <f>"3076861"</f>
        <v>3076861</v>
      </c>
      <c r="B8414" t="s">
        <v>25314</v>
      </c>
      <c r="C8414" t="str">
        <f>"8304825"</f>
        <v>8304825</v>
      </c>
      <c r="D8414" t="s">
        <v>25310</v>
      </c>
      <c r="F8414" t="s">
        <v>25311</v>
      </c>
      <c r="I8414" t="s">
        <v>25312</v>
      </c>
      <c r="J8414" t="s">
        <v>30</v>
      </c>
      <c r="K8414" t="str">
        <f>"27858"</f>
        <v>27858</v>
      </c>
      <c r="M8414" t="s">
        <v>17861</v>
      </c>
      <c r="N8414" t="str">
        <f>"3/19/2015 2:47:00 PM"</f>
        <v>3/19/2015 2:47:00 PM</v>
      </c>
      <c r="O8414" t="s">
        <v>25310</v>
      </c>
    </row>
    <row r="8415" spans="1:20" x14ac:dyDescent="0.25">
      <c r="A8415" t="str">
        <f>"3043662"</f>
        <v>3043662</v>
      </c>
      <c r="B8415" t="s">
        <v>25315</v>
      </c>
      <c r="C8415" t="str">
        <f>"82530018"</f>
        <v>82530018</v>
      </c>
      <c r="D8415" t="s">
        <v>25316</v>
      </c>
      <c r="E8415" t="s">
        <v>25317</v>
      </c>
      <c r="F8415" t="s">
        <v>25318</v>
      </c>
      <c r="I8415" t="s">
        <v>29</v>
      </c>
      <c r="J8415" t="s">
        <v>30</v>
      </c>
      <c r="K8415" t="s">
        <v>31</v>
      </c>
      <c r="M8415" t="s">
        <v>18479</v>
      </c>
      <c r="N8415" t="str">
        <f>"3/23/2015 3:34:00 PM"</f>
        <v>3/23/2015 3:34:00 PM</v>
      </c>
      <c r="O8415" t="s">
        <v>25316</v>
      </c>
      <c r="T8415" t="s">
        <v>25317</v>
      </c>
    </row>
    <row r="8416" spans="1:20" x14ac:dyDescent="0.25">
      <c r="A8416" t="str">
        <f>"3050672"</f>
        <v>3050672</v>
      </c>
      <c r="B8416" t="s">
        <v>25319</v>
      </c>
      <c r="C8416" t="str">
        <f>"8304833"</f>
        <v>8304833</v>
      </c>
      <c r="D8416" t="s">
        <v>25320</v>
      </c>
      <c r="E8416" t="s">
        <v>25321</v>
      </c>
      <c r="F8416" t="s">
        <v>25322</v>
      </c>
      <c r="I8416" t="s">
        <v>25323</v>
      </c>
      <c r="J8416" t="s">
        <v>582</v>
      </c>
      <c r="K8416" t="str">
        <f>"73461"</f>
        <v>73461</v>
      </c>
      <c r="M8416" t="s">
        <v>17861</v>
      </c>
      <c r="N8416" t="str">
        <f>"3/23/2015 3:57:00 PM"</f>
        <v>3/23/2015 3:57:00 PM</v>
      </c>
      <c r="O8416" t="s">
        <v>25320</v>
      </c>
      <c r="T8416" t="s">
        <v>25321</v>
      </c>
    </row>
    <row r="8417" spans="1:20" x14ac:dyDescent="0.25">
      <c r="A8417" t="str">
        <f>"3044122"</f>
        <v>3044122</v>
      </c>
      <c r="B8417" t="s">
        <v>25324</v>
      </c>
      <c r="C8417" t="str">
        <f>"50985500"</f>
        <v>50985500</v>
      </c>
      <c r="D8417" t="s">
        <v>25325</v>
      </c>
      <c r="E8417" t="s">
        <v>25326</v>
      </c>
      <c r="F8417" t="s">
        <v>25327</v>
      </c>
      <c r="I8417" t="s">
        <v>184</v>
      </c>
      <c r="J8417" t="s">
        <v>30</v>
      </c>
      <c r="K8417" t="str">
        <f>"27006"</f>
        <v>27006</v>
      </c>
      <c r="M8417" t="s">
        <v>17861</v>
      </c>
      <c r="N8417" t="str">
        <f>"3/25/2015 1:17:00 PM"</f>
        <v>3/25/2015 1:17:00 PM</v>
      </c>
      <c r="O8417" t="s">
        <v>25325</v>
      </c>
      <c r="T8417" t="s">
        <v>25326</v>
      </c>
    </row>
    <row r="8418" spans="1:20" x14ac:dyDescent="0.25">
      <c r="A8418" t="str">
        <f>"3044045"</f>
        <v>3044045</v>
      </c>
      <c r="B8418" t="s">
        <v>25328</v>
      </c>
      <c r="C8418" t="str">
        <f>"51376000"</f>
        <v>51376000</v>
      </c>
      <c r="D8418" t="s">
        <v>25329</v>
      </c>
      <c r="E8418" t="s">
        <v>25330</v>
      </c>
      <c r="F8418" t="s">
        <v>25331</v>
      </c>
      <c r="I8418" t="s">
        <v>184</v>
      </c>
      <c r="J8418" t="s">
        <v>30</v>
      </c>
      <c r="K8418" t="s">
        <v>185</v>
      </c>
      <c r="M8418" t="s">
        <v>18470</v>
      </c>
      <c r="N8418" t="str">
        <f>"4/7/2015 11:24:00 AM"</f>
        <v>4/7/2015 11:24:00 AM</v>
      </c>
      <c r="O8418" t="s">
        <v>25329</v>
      </c>
      <c r="T8418" t="s">
        <v>25330</v>
      </c>
    </row>
    <row r="8419" spans="1:20" x14ac:dyDescent="0.25">
      <c r="A8419" t="str">
        <f>"3043877"</f>
        <v>3043877</v>
      </c>
      <c r="B8419" t="s">
        <v>25332</v>
      </c>
      <c r="C8419" t="str">
        <f>"50985500"</f>
        <v>50985500</v>
      </c>
      <c r="D8419" t="s">
        <v>25325</v>
      </c>
      <c r="E8419" t="s">
        <v>25326</v>
      </c>
      <c r="F8419" t="s">
        <v>25327</v>
      </c>
      <c r="I8419" t="s">
        <v>184</v>
      </c>
      <c r="J8419" t="s">
        <v>30</v>
      </c>
      <c r="K8419" t="str">
        <f>"27006"</f>
        <v>27006</v>
      </c>
      <c r="M8419" t="s">
        <v>17861</v>
      </c>
      <c r="N8419" t="str">
        <f>"3/25/2015 1:17:00 PM"</f>
        <v>3/25/2015 1:17:00 PM</v>
      </c>
      <c r="O8419" t="s">
        <v>25325</v>
      </c>
      <c r="T8419" t="s">
        <v>25326</v>
      </c>
    </row>
    <row r="8420" spans="1:20" x14ac:dyDescent="0.25">
      <c r="A8420" t="str">
        <f>"3060088"</f>
        <v>3060088</v>
      </c>
      <c r="B8420" t="s">
        <v>25333</v>
      </c>
      <c r="C8420" t="str">
        <f>"82519087"</f>
        <v>82519087</v>
      </c>
      <c r="D8420" t="s">
        <v>25334</v>
      </c>
      <c r="E8420" t="s">
        <v>25335</v>
      </c>
      <c r="F8420" t="s">
        <v>25336</v>
      </c>
      <c r="I8420" t="s">
        <v>184</v>
      </c>
      <c r="J8420" t="s">
        <v>30</v>
      </c>
      <c r="K8420" t="s">
        <v>10737</v>
      </c>
      <c r="M8420" t="s">
        <v>18479</v>
      </c>
      <c r="N8420" t="str">
        <f>"3/26/2015 11:57:00 AM"</f>
        <v>3/26/2015 11:57:00 AM</v>
      </c>
      <c r="O8420" t="s">
        <v>25334</v>
      </c>
      <c r="T8420" t="s">
        <v>25335</v>
      </c>
    </row>
    <row r="8421" spans="1:20" x14ac:dyDescent="0.25">
      <c r="A8421" t="str">
        <f>"3037555"</f>
        <v>3037555</v>
      </c>
      <c r="B8421" t="s">
        <v>25337</v>
      </c>
      <c r="C8421" t="str">
        <f>"22636000"</f>
        <v>22636000</v>
      </c>
      <c r="D8421" t="s">
        <v>25338</v>
      </c>
      <c r="E8421" t="s">
        <v>25339</v>
      </c>
      <c r="F8421" t="s">
        <v>25340</v>
      </c>
      <c r="I8421" t="s">
        <v>49</v>
      </c>
      <c r="J8421" t="s">
        <v>30</v>
      </c>
      <c r="K8421" t="s">
        <v>19010</v>
      </c>
      <c r="M8421" t="s">
        <v>20015</v>
      </c>
      <c r="N8421" t="str">
        <f>"4/8/2015 11:43:00 AM"</f>
        <v>4/8/2015 11:43:00 AM</v>
      </c>
      <c r="O8421" t="s">
        <v>25338</v>
      </c>
      <c r="T8421" t="s">
        <v>25339</v>
      </c>
    </row>
    <row r="8422" spans="1:20" x14ac:dyDescent="0.25">
      <c r="A8422" t="str">
        <f>"3037670"</f>
        <v>3037670</v>
      </c>
      <c r="B8422" t="s">
        <v>25341</v>
      </c>
      <c r="C8422" t="str">
        <f>"22636000"</f>
        <v>22636000</v>
      </c>
      <c r="D8422" t="s">
        <v>25338</v>
      </c>
      <c r="E8422" t="s">
        <v>25339</v>
      </c>
      <c r="F8422" t="s">
        <v>25340</v>
      </c>
      <c r="I8422" t="s">
        <v>49</v>
      </c>
      <c r="J8422" t="s">
        <v>30</v>
      </c>
      <c r="K8422" t="s">
        <v>19010</v>
      </c>
      <c r="M8422" t="s">
        <v>20015</v>
      </c>
      <c r="N8422" t="str">
        <f>"4/8/2015 11:43:00 AM"</f>
        <v>4/8/2015 11:43:00 AM</v>
      </c>
      <c r="O8422" t="s">
        <v>25338</v>
      </c>
      <c r="T8422" t="s">
        <v>25339</v>
      </c>
    </row>
    <row r="8423" spans="1:20" x14ac:dyDescent="0.25">
      <c r="A8423" t="str">
        <f>"3037684"</f>
        <v>3037684</v>
      </c>
      <c r="B8423" t="s">
        <v>25342</v>
      </c>
      <c r="C8423" t="str">
        <f>"22636000"</f>
        <v>22636000</v>
      </c>
      <c r="D8423" t="s">
        <v>25338</v>
      </c>
      <c r="E8423" t="s">
        <v>25339</v>
      </c>
      <c r="F8423" t="s">
        <v>25340</v>
      </c>
      <c r="I8423" t="s">
        <v>49</v>
      </c>
      <c r="J8423" t="s">
        <v>30</v>
      </c>
      <c r="K8423" t="s">
        <v>19010</v>
      </c>
      <c r="M8423" t="s">
        <v>20015</v>
      </c>
      <c r="N8423" t="str">
        <f>"4/8/2015 11:43:00 AM"</f>
        <v>4/8/2015 11:43:00 AM</v>
      </c>
      <c r="O8423" t="s">
        <v>25338</v>
      </c>
      <c r="T8423" t="s">
        <v>25339</v>
      </c>
    </row>
    <row r="8424" spans="1:20" x14ac:dyDescent="0.25">
      <c r="A8424" t="str">
        <f>"3037604"</f>
        <v>3037604</v>
      </c>
      <c r="B8424" t="s">
        <v>25343</v>
      </c>
      <c r="C8424" t="str">
        <f>"82532910"</f>
        <v>82532910</v>
      </c>
      <c r="D8424" t="s">
        <v>25344</v>
      </c>
      <c r="E8424" t="s">
        <v>25345</v>
      </c>
      <c r="F8424" t="s">
        <v>25346</v>
      </c>
      <c r="I8424" t="s">
        <v>29</v>
      </c>
      <c r="J8424" t="s">
        <v>30</v>
      </c>
      <c r="K8424" t="s">
        <v>31</v>
      </c>
      <c r="M8424" t="s">
        <v>20015</v>
      </c>
      <c r="N8424" t="str">
        <f>"4/8/2015 11:55:00 AM"</f>
        <v>4/8/2015 11:55:00 AM</v>
      </c>
      <c r="O8424" t="s">
        <v>25344</v>
      </c>
      <c r="T8424" t="s">
        <v>25345</v>
      </c>
    </row>
    <row r="8425" spans="1:20" x14ac:dyDescent="0.25">
      <c r="A8425" t="str">
        <f>"3063969"</f>
        <v>3063969</v>
      </c>
      <c r="B8425" t="s">
        <v>25347</v>
      </c>
      <c r="C8425" t="str">
        <f>"20614500"</f>
        <v>20614500</v>
      </c>
      <c r="D8425" t="s">
        <v>25348</v>
      </c>
      <c r="E8425" t="s">
        <v>25349</v>
      </c>
      <c r="F8425" t="s">
        <v>25350</v>
      </c>
      <c r="I8425" t="s">
        <v>184</v>
      </c>
      <c r="J8425" t="s">
        <v>30</v>
      </c>
      <c r="K8425" t="s">
        <v>25351</v>
      </c>
      <c r="M8425" t="s">
        <v>20015</v>
      </c>
      <c r="N8425" t="str">
        <f>"4/8/2015 1:26:00 PM"</f>
        <v>4/8/2015 1:26:00 PM</v>
      </c>
      <c r="O8425" t="s">
        <v>25348</v>
      </c>
      <c r="T8425" t="s">
        <v>25349</v>
      </c>
    </row>
    <row r="8426" spans="1:20" x14ac:dyDescent="0.25">
      <c r="A8426" t="str">
        <f>"3040778"</f>
        <v>3040778</v>
      </c>
      <c r="B8426" t="s">
        <v>25352</v>
      </c>
      <c r="C8426" t="str">
        <f>"8304839"</f>
        <v>8304839</v>
      </c>
      <c r="D8426" t="s">
        <v>25353</v>
      </c>
      <c r="F8426" t="s">
        <v>25354</v>
      </c>
      <c r="I8426" t="s">
        <v>24359</v>
      </c>
      <c r="J8426" t="s">
        <v>30</v>
      </c>
      <c r="K8426" t="str">
        <f>"27006"</f>
        <v>27006</v>
      </c>
      <c r="M8426" t="s">
        <v>17861</v>
      </c>
      <c r="N8426" t="str">
        <f>"3/26/2015 1:09:00 PM"</f>
        <v>3/26/2015 1:09:00 PM</v>
      </c>
      <c r="O8426" t="s">
        <v>25353</v>
      </c>
    </row>
    <row r="8427" spans="1:20" x14ac:dyDescent="0.25">
      <c r="A8427" t="str">
        <f>"3040506"</f>
        <v>3040506</v>
      </c>
      <c r="B8427" t="s">
        <v>25355</v>
      </c>
      <c r="C8427" t="str">
        <f>"8304843"</f>
        <v>8304843</v>
      </c>
      <c r="D8427" t="s">
        <v>25356</v>
      </c>
      <c r="E8427" t="s">
        <v>25357</v>
      </c>
      <c r="F8427" t="s">
        <v>25358</v>
      </c>
      <c r="I8427" t="s">
        <v>24359</v>
      </c>
      <c r="J8427" t="s">
        <v>30</v>
      </c>
      <c r="K8427" t="str">
        <f>"27006"</f>
        <v>27006</v>
      </c>
      <c r="M8427" t="s">
        <v>17861</v>
      </c>
      <c r="N8427" t="str">
        <f>"3/26/2015 1:29:00 PM"</f>
        <v>3/26/2015 1:29:00 PM</v>
      </c>
      <c r="O8427" t="s">
        <v>25356</v>
      </c>
      <c r="T8427" t="s">
        <v>25357</v>
      </c>
    </row>
    <row r="8428" spans="1:20" x14ac:dyDescent="0.25">
      <c r="A8428" t="str">
        <f>"3066118"</f>
        <v>3066118</v>
      </c>
      <c r="B8428" t="s">
        <v>25359</v>
      </c>
      <c r="C8428" t="str">
        <f>"8304844"</f>
        <v>8304844</v>
      </c>
      <c r="D8428" t="s">
        <v>25360</v>
      </c>
      <c r="F8428" t="s">
        <v>25361</v>
      </c>
      <c r="I8428" t="s">
        <v>24359</v>
      </c>
      <c r="J8428" t="s">
        <v>30</v>
      </c>
      <c r="K8428" t="str">
        <f>"27006"</f>
        <v>27006</v>
      </c>
      <c r="M8428" t="s">
        <v>17861</v>
      </c>
      <c r="N8428" t="str">
        <f>"3/26/2015 1:31:00 PM"</f>
        <v>3/26/2015 1:31:00 PM</v>
      </c>
      <c r="O8428" t="s">
        <v>25360</v>
      </c>
    </row>
    <row r="8429" spans="1:20" x14ac:dyDescent="0.25">
      <c r="A8429" t="str">
        <f>"3048646"</f>
        <v>3048646</v>
      </c>
      <c r="B8429" t="s">
        <v>25362</v>
      </c>
      <c r="C8429" t="str">
        <f>"8304797"</f>
        <v>8304797</v>
      </c>
      <c r="D8429" t="s">
        <v>25363</v>
      </c>
      <c r="E8429" t="s">
        <v>25364</v>
      </c>
      <c r="F8429" t="s">
        <v>25365</v>
      </c>
      <c r="I8429" t="s">
        <v>24359</v>
      </c>
      <c r="J8429" t="s">
        <v>30</v>
      </c>
      <c r="K8429" t="str">
        <f>"27006"</f>
        <v>27006</v>
      </c>
      <c r="M8429" t="s">
        <v>17861</v>
      </c>
      <c r="N8429" t="str">
        <f>"3/11/2015 10:54:00 AM"</f>
        <v>3/11/2015 10:54:00 AM</v>
      </c>
      <c r="O8429" t="s">
        <v>25363</v>
      </c>
      <c r="T8429" t="s">
        <v>25364</v>
      </c>
    </row>
    <row r="8430" spans="1:20" x14ac:dyDescent="0.25">
      <c r="A8430" t="str">
        <f>"3061320"</f>
        <v>3061320</v>
      </c>
      <c r="B8430" t="s">
        <v>25366</v>
      </c>
      <c r="C8430" t="str">
        <f>"20939250"</f>
        <v>20939250</v>
      </c>
      <c r="D8430" t="s">
        <v>25367</v>
      </c>
      <c r="E8430" t="s">
        <v>25368</v>
      </c>
      <c r="F8430" t="s">
        <v>25369</v>
      </c>
      <c r="I8430" t="s">
        <v>184</v>
      </c>
      <c r="J8430" t="s">
        <v>30</v>
      </c>
      <c r="K8430" t="s">
        <v>25370</v>
      </c>
      <c r="M8430" t="s">
        <v>18479</v>
      </c>
      <c r="N8430" t="str">
        <f>"3/11/2015 11:04:00 AM"</f>
        <v>3/11/2015 11:04:00 AM</v>
      </c>
      <c r="O8430" t="s">
        <v>25367</v>
      </c>
      <c r="T8430" t="s">
        <v>25368</v>
      </c>
    </row>
    <row r="8431" spans="1:20" x14ac:dyDescent="0.25">
      <c r="A8431" t="str">
        <f>"3049961"</f>
        <v>3049961</v>
      </c>
      <c r="B8431" t="s">
        <v>25371</v>
      </c>
      <c r="C8431" t="str">
        <f>"8304799"</f>
        <v>8304799</v>
      </c>
      <c r="D8431" t="s">
        <v>25372</v>
      </c>
      <c r="E8431" t="s">
        <v>25373</v>
      </c>
      <c r="F8431" t="s">
        <v>25374</v>
      </c>
      <c r="I8431" t="s">
        <v>17921</v>
      </c>
      <c r="J8431" t="s">
        <v>30</v>
      </c>
      <c r="K8431" t="str">
        <f>"27028"</f>
        <v>27028</v>
      </c>
      <c r="M8431" t="s">
        <v>17861</v>
      </c>
      <c r="N8431" t="str">
        <f>"3/11/2015 11:09:00 AM"</f>
        <v>3/11/2015 11:09:00 AM</v>
      </c>
      <c r="O8431" t="s">
        <v>25372</v>
      </c>
      <c r="T8431" t="s">
        <v>25373</v>
      </c>
    </row>
    <row r="8432" spans="1:20" x14ac:dyDescent="0.25">
      <c r="A8432" t="str">
        <f>"3049395"</f>
        <v>3049395</v>
      </c>
      <c r="B8432" t="s">
        <v>25375</v>
      </c>
      <c r="C8432" t="str">
        <f>"23040000"</f>
        <v>23040000</v>
      </c>
      <c r="D8432" t="s">
        <v>25376</v>
      </c>
      <c r="E8432" t="s">
        <v>25377</v>
      </c>
      <c r="F8432" t="s">
        <v>25378</v>
      </c>
      <c r="I8432" t="s">
        <v>29</v>
      </c>
      <c r="J8432" t="s">
        <v>30</v>
      </c>
      <c r="K8432" t="s">
        <v>19719</v>
      </c>
      <c r="M8432" t="s">
        <v>18479</v>
      </c>
      <c r="N8432" t="str">
        <f>"3/27/2015 3:55:00 PM"</f>
        <v>3/27/2015 3:55:00 PM</v>
      </c>
      <c r="O8432" t="s">
        <v>25376</v>
      </c>
      <c r="T8432" t="s">
        <v>25377</v>
      </c>
    </row>
    <row r="8433" spans="1:20" x14ac:dyDescent="0.25">
      <c r="A8433" t="str">
        <f>"3051256"</f>
        <v>3051256</v>
      </c>
      <c r="B8433" t="s">
        <v>25379</v>
      </c>
      <c r="C8433" t="str">
        <f>"23040000"</f>
        <v>23040000</v>
      </c>
      <c r="D8433" t="s">
        <v>25376</v>
      </c>
      <c r="E8433" t="s">
        <v>25377</v>
      </c>
      <c r="F8433" t="s">
        <v>25378</v>
      </c>
      <c r="I8433" t="s">
        <v>29</v>
      </c>
      <c r="J8433" t="s">
        <v>30</v>
      </c>
      <c r="K8433" t="s">
        <v>19719</v>
      </c>
      <c r="M8433" t="s">
        <v>18479</v>
      </c>
      <c r="N8433" t="str">
        <f>"3/27/2015 3:55:00 PM"</f>
        <v>3/27/2015 3:55:00 PM</v>
      </c>
      <c r="O8433" t="s">
        <v>25376</v>
      </c>
      <c r="T8433" t="s">
        <v>25377</v>
      </c>
    </row>
    <row r="8434" spans="1:20" x14ac:dyDescent="0.25">
      <c r="A8434" t="str">
        <f>"3078240"</f>
        <v>3078240</v>
      </c>
      <c r="B8434" t="s">
        <v>25380</v>
      </c>
      <c r="C8434" t="str">
        <f>"23040000"</f>
        <v>23040000</v>
      </c>
      <c r="D8434" t="s">
        <v>25376</v>
      </c>
      <c r="E8434" t="s">
        <v>25377</v>
      </c>
      <c r="F8434" t="s">
        <v>25378</v>
      </c>
      <c r="I8434" t="s">
        <v>29</v>
      </c>
      <c r="J8434" t="s">
        <v>30</v>
      </c>
      <c r="K8434" t="s">
        <v>19719</v>
      </c>
      <c r="M8434" t="s">
        <v>18479</v>
      </c>
      <c r="N8434" t="str">
        <f>"3/27/2015 3:55:00 PM"</f>
        <v>3/27/2015 3:55:00 PM</v>
      </c>
      <c r="O8434" t="s">
        <v>25376</v>
      </c>
      <c r="T8434" t="s">
        <v>25377</v>
      </c>
    </row>
    <row r="8435" spans="1:20" x14ac:dyDescent="0.25">
      <c r="A8435" t="str">
        <f>"3062600"</f>
        <v>3062600</v>
      </c>
      <c r="B8435" t="s">
        <v>25381</v>
      </c>
      <c r="C8435" t="str">
        <f>"8304858"</f>
        <v>8304858</v>
      </c>
      <c r="D8435" t="s">
        <v>25382</v>
      </c>
      <c r="E8435" t="s">
        <v>25383</v>
      </c>
      <c r="F8435" t="s">
        <v>25384</v>
      </c>
      <c r="I8435" t="s">
        <v>24359</v>
      </c>
      <c r="J8435" t="s">
        <v>30</v>
      </c>
      <c r="K8435" t="str">
        <f>"27006"</f>
        <v>27006</v>
      </c>
      <c r="M8435" t="s">
        <v>17861</v>
      </c>
      <c r="N8435" t="str">
        <f>"3/30/2015 4:11:00 PM"</f>
        <v>3/30/2015 4:11:00 PM</v>
      </c>
      <c r="O8435" t="s">
        <v>25382</v>
      </c>
      <c r="T8435" t="s">
        <v>25383</v>
      </c>
    </row>
    <row r="8436" spans="1:20" x14ac:dyDescent="0.25">
      <c r="A8436" t="str">
        <f>"3053560"</f>
        <v>3053560</v>
      </c>
      <c r="B8436" t="s">
        <v>25385</v>
      </c>
      <c r="C8436" t="str">
        <f>"8304868"</f>
        <v>8304868</v>
      </c>
      <c r="D8436" t="s">
        <v>25386</v>
      </c>
      <c r="E8436" t="s">
        <v>25387</v>
      </c>
      <c r="F8436" t="s">
        <v>25388</v>
      </c>
      <c r="I8436" t="s">
        <v>17921</v>
      </c>
      <c r="J8436" t="s">
        <v>30</v>
      </c>
      <c r="K8436" t="str">
        <f>"27028"</f>
        <v>27028</v>
      </c>
      <c r="M8436" t="s">
        <v>17861</v>
      </c>
      <c r="N8436" t="str">
        <f>"4/1/2015 1:31:00 PM"</f>
        <v>4/1/2015 1:31:00 PM</v>
      </c>
      <c r="O8436" t="s">
        <v>25386</v>
      </c>
      <c r="T8436" t="s">
        <v>25387</v>
      </c>
    </row>
    <row r="8437" spans="1:20" x14ac:dyDescent="0.25">
      <c r="A8437" t="str">
        <f>"3050585"</f>
        <v>3050585</v>
      </c>
      <c r="B8437" t="s">
        <v>25389</v>
      </c>
      <c r="C8437" t="str">
        <f>"8304870"</f>
        <v>8304870</v>
      </c>
      <c r="D8437" t="s">
        <v>25390</v>
      </c>
      <c r="F8437" t="s">
        <v>25391</v>
      </c>
      <c r="I8437" t="s">
        <v>24359</v>
      </c>
      <c r="J8437" t="s">
        <v>30</v>
      </c>
      <c r="K8437" t="str">
        <f>"27006"</f>
        <v>27006</v>
      </c>
      <c r="M8437" t="s">
        <v>17861</v>
      </c>
      <c r="N8437" t="str">
        <f>"4/1/2015 1:36:00 PM"</f>
        <v>4/1/2015 1:36:00 PM</v>
      </c>
      <c r="O8437" t="s">
        <v>25390</v>
      </c>
    </row>
    <row r="8438" spans="1:20" x14ac:dyDescent="0.25">
      <c r="A8438" t="str">
        <f>"3056543"</f>
        <v>3056543</v>
      </c>
      <c r="B8438" t="s">
        <v>25392</v>
      </c>
      <c r="C8438" t="str">
        <f>"8304875"</f>
        <v>8304875</v>
      </c>
      <c r="D8438" t="s">
        <v>25393</v>
      </c>
      <c r="E8438" t="s">
        <v>25394</v>
      </c>
      <c r="F8438" t="s">
        <v>25395</v>
      </c>
      <c r="I8438" t="s">
        <v>17921</v>
      </c>
      <c r="J8438" t="s">
        <v>30</v>
      </c>
      <c r="K8438" t="str">
        <f>"27028"</f>
        <v>27028</v>
      </c>
      <c r="M8438" t="s">
        <v>17861</v>
      </c>
      <c r="N8438" t="str">
        <f>"4/2/2015 4:30:00 PM"</f>
        <v>4/2/2015 4:30:00 PM</v>
      </c>
      <c r="O8438" t="s">
        <v>25393</v>
      </c>
      <c r="T8438" t="s">
        <v>25394</v>
      </c>
    </row>
    <row r="8439" spans="1:20" x14ac:dyDescent="0.25">
      <c r="A8439" t="str">
        <f>"3057528"</f>
        <v>3057528</v>
      </c>
      <c r="B8439" t="s">
        <v>25396</v>
      </c>
      <c r="C8439" t="str">
        <f>"82520784"</f>
        <v>82520784</v>
      </c>
      <c r="D8439" t="s">
        <v>25397</v>
      </c>
      <c r="E8439" t="s">
        <v>25398</v>
      </c>
      <c r="F8439" t="s">
        <v>25399</v>
      </c>
      <c r="I8439" t="s">
        <v>184</v>
      </c>
      <c r="J8439" t="s">
        <v>30</v>
      </c>
      <c r="K8439" t="s">
        <v>185</v>
      </c>
      <c r="M8439" t="s">
        <v>18479</v>
      </c>
      <c r="N8439" t="str">
        <f>"4/6/2015 1:40:00 PM"</f>
        <v>4/6/2015 1:40:00 PM</v>
      </c>
      <c r="O8439" t="s">
        <v>25397</v>
      </c>
      <c r="T8439" t="s">
        <v>25398</v>
      </c>
    </row>
    <row r="8440" spans="1:20" x14ac:dyDescent="0.25">
      <c r="A8440" t="str">
        <f>"3061530"</f>
        <v>3061530</v>
      </c>
      <c r="B8440" t="s">
        <v>25400</v>
      </c>
      <c r="C8440" t="str">
        <f>"22421000"</f>
        <v>22421000</v>
      </c>
      <c r="D8440" t="s">
        <v>25401</v>
      </c>
      <c r="E8440" t="s">
        <v>25402</v>
      </c>
      <c r="F8440" t="s">
        <v>25403</v>
      </c>
      <c r="I8440" t="s">
        <v>184</v>
      </c>
      <c r="J8440" t="s">
        <v>30</v>
      </c>
      <c r="K8440" t="s">
        <v>2238</v>
      </c>
      <c r="M8440" t="s">
        <v>18479</v>
      </c>
      <c r="N8440" t="str">
        <f>"4/20/2015 2:36:00 PM"</f>
        <v>4/20/2015 2:36:00 PM</v>
      </c>
      <c r="O8440" t="s">
        <v>25401</v>
      </c>
      <c r="T8440" t="s">
        <v>25402</v>
      </c>
    </row>
    <row r="8441" spans="1:20" x14ac:dyDescent="0.25">
      <c r="A8441" t="str">
        <f>"3061052"</f>
        <v>3061052</v>
      </c>
      <c r="B8441" t="s">
        <v>25404</v>
      </c>
      <c r="C8441" t="str">
        <f>"82520784"</f>
        <v>82520784</v>
      </c>
      <c r="D8441" t="s">
        <v>25397</v>
      </c>
      <c r="E8441" t="s">
        <v>25398</v>
      </c>
      <c r="F8441" t="s">
        <v>25399</v>
      </c>
      <c r="I8441" t="s">
        <v>184</v>
      </c>
      <c r="J8441" t="s">
        <v>30</v>
      </c>
      <c r="K8441" t="s">
        <v>185</v>
      </c>
      <c r="M8441" t="s">
        <v>18479</v>
      </c>
      <c r="N8441" t="str">
        <f>"4/6/2015 1:40:00 PM"</f>
        <v>4/6/2015 1:40:00 PM</v>
      </c>
      <c r="O8441" t="s">
        <v>25397</v>
      </c>
      <c r="T8441" t="s">
        <v>25398</v>
      </c>
    </row>
    <row r="8442" spans="1:20" x14ac:dyDescent="0.25">
      <c r="A8442" t="str">
        <f>"3077733"</f>
        <v>3077733</v>
      </c>
      <c r="B8442" t="s">
        <v>25405</v>
      </c>
      <c r="C8442" t="str">
        <f>"51368000"</f>
        <v>51368000</v>
      </c>
      <c r="D8442" t="s">
        <v>25329</v>
      </c>
      <c r="F8442" t="s">
        <v>25331</v>
      </c>
      <c r="I8442" t="s">
        <v>184</v>
      </c>
      <c r="J8442" t="s">
        <v>30</v>
      </c>
      <c r="K8442" t="s">
        <v>185</v>
      </c>
      <c r="M8442" t="s">
        <v>18470</v>
      </c>
      <c r="N8442" t="str">
        <f>"4/7/2015 11:07:00 AM"</f>
        <v>4/7/2015 11:07:00 AM</v>
      </c>
      <c r="O8442" t="s">
        <v>25329</v>
      </c>
    </row>
    <row r="8443" spans="1:20" x14ac:dyDescent="0.25">
      <c r="A8443" t="str">
        <f>"3077745"</f>
        <v>3077745</v>
      </c>
      <c r="B8443" t="s">
        <v>25406</v>
      </c>
      <c r="C8443" t="str">
        <f>"51368000"</f>
        <v>51368000</v>
      </c>
      <c r="D8443" t="s">
        <v>25329</v>
      </c>
      <c r="F8443" t="s">
        <v>25331</v>
      </c>
      <c r="I8443" t="s">
        <v>184</v>
      </c>
      <c r="J8443" t="s">
        <v>30</v>
      </c>
      <c r="K8443" t="s">
        <v>185</v>
      </c>
      <c r="M8443" t="s">
        <v>18470</v>
      </c>
      <c r="N8443" t="str">
        <f>"4/7/2015 11:07:00 AM"</f>
        <v>4/7/2015 11:07:00 AM</v>
      </c>
      <c r="O8443" t="s">
        <v>25329</v>
      </c>
    </row>
    <row r="8444" spans="1:20" x14ac:dyDescent="0.25">
      <c r="A8444" t="str">
        <f>"3045819"</f>
        <v>3045819</v>
      </c>
      <c r="B8444" t="s">
        <v>25407</v>
      </c>
      <c r="C8444" t="str">
        <f>"8303355"</f>
        <v>8303355</v>
      </c>
      <c r="D8444" t="s">
        <v>25408</v>
      </c>
      <c r="F8444" t="s">
        <v>25409</v>
      </c>
      <c r="I8444" t="s">
        <v>29</v>
      </c>
      <c r="J8444" t="s">
        <v>30</v>
      </c>
      <c r="K8444" t="str">
        <f>"27028"</f>
        <v>27028</v>
      </c>
      <c r="M8444" t="s">
        <v>20015</v>
      </c>
      <c r="N8444" t="str">
        <f>"4/8/2015 11:41:00 AM"</f>
        <v>4/8/2015 11:41:00 AM</v>
      </c>
      <c r="O8444" t="s">
        <v>25408</v>
      </c>
    </row>
    <row r="8445" spans="1:20" x14ac:dyDescent="0.25">
      <c r="A8445" t="str">
        <f>"3037479"</f>
        <v>3037479</v>
      </c>
      <c r="B8445" t="s">
        <v>25410</v>
      </c>
      <c r="C8445" t="str">
        <f>"22636000"</f>
        <v>22636000</v>
      </c>
      <c r="D8445" t="s">
        <v>25338</v>
      </c>
      <c r="E8445" t="s">
        <v>25339</v>
      </c>
      <c r="F8445" t="s">
        <v>25340</v>
      </c>
      <c r="I8445" t="s">
        <v>49</v>
      </c>
      <c r="J8445" t="s">
        <v>30</v>
      </c>
      <c r="K8445" t="s">
        <v>19010</v>
      </c>
      <c r="M8445" t="s">
        <v>20015</v>
      </c>
      <c r="N8445" t="str">
        <f>"4/8/2015 11:43:00 AM"</f>
        <v>4/8/2015 11:43:00 AM</v>
      </c>
      <c r="O8445" t="s">
        <v>25338</v>
      </c>
      <c r="T8445" t="s">
        <v>25339</v>
      </c>
    </row>
    <row r="8446" spans="1:20" x14ac:dyDescent="0.25">
      <c r="A8446" t="str">
        <f>"3047584"</f>
        <v>3047584</v>
      </c>
      <c r="B8446" t="s">
        <v>25411</v>
      </c>
      <c r="C8446" t="str">
        <f>"8303636"</f>
        <v>8303636</v>
      </c>
      <c r="D8446" t="s">
        <v>25412</v>
      </c>
      <c r="F8446" t="s">
        <v>25413</v>
      </c>
      <c r="I8446" t="s">
        <v>1149</v>
      </c>
      <c r="J8446" t="s">
        <v>30</v>
      </c>
      <c r="K8446" t="str">
        <f>"28634"</f>
        <v>28634</v>
      </c>
      <c r="M8446" t="s">
        <v>17861</v>
      </c>
      <c r="N8446" t="str">
        <f>"3/26/2015 2:11:00 PM"</f>
        <v>3/26/2015 2:11:00 PM</v>
      </c>
      <c r="O8446" t="s">
        <v>25412</v>
      </c>
    </row>
    <row r="8447" spans="1:20" x14ac:dyDescent="0.25">
      <c r="A8447" t="str">
        <f>"3040221"</f>
        <v>3040221</v>
      </c>
      <c r="B8447" t="s">
        <v>25414</v>
      </c>
      <c r="C8447" t="str">
        <f>"21018880"</f>
        <v>21018880</v>
      </c>
      <c r="D8447" t="s">
        <v>25415</v>
      </c>
      <c r="E8447" t="s">
        <v>25416</v>
      </c>
      <c r="F8447" t="s">
        <v>25417</v>
      </c>
      <c r="I8447" t="s">
        <v>29</v>
      </c>
      <c r="J8447" t="s">
        <v>30</v>
      </c>
      <c r="K8447" t="s">
        <v>2696</v>
      </c>
      <c r="M8447" t="s">
        <v>18479</v>
      </c>
      <c r="N8447" t="str">
        <f>"3/26/2015 4:04:00 PM"</f>
        <v>3/26/2015 4:04:00 PM</v>
      </c>
      <c r="O8447" t="s">
        <v>25415</v>
      </c>
      <c r="T8447" t="s">
        <v>25416</v>
      </c>
    </row>
    <row r="8448" spans="1:20" x14ac:dyDescent="0.25">
      <c r="A8448" t="str">
        <f>"3048623"</f>
        <v>3048623</v>
      </c>
      <c r="B8448" t="s">
        <v>25418</v>
      </c>
      <c r="C8448" t="str">
        <f>"24756000"</f>
        <v>24756000</v>
      </c>
      <c r="D8448" t="s">
        <v>25419</v>
      </c>
      <c r="E8448" t="s">
        <v>25420</v>
      </c>
      <c r="F8448" t="s">
        <v>25421</v>
      </c>
      <c r="I8448" t="s">
        <v>29</v>
      </c>
      <c r="J8448" t="s">
        <v>30</v>
      </c>
      <c r="K8448" t="s">
        <v>25422</v>
      </c>
      <c r="M8448" t="s">
        <v>18479</v>
      </c>
      <c r="N8448" t="str">
        <f>"4/23/2015 2:51:00 PM"</f>
        <v>4/23/2015 2:51:00 PM</v>
      </c>
      <c r="O8448" t="s">
        <v>25419</v>
      </c>
      <c r="T8448" t="s">
        <v>25420</v>
      </c>
    </row>
    <row r="8449" spans="1:20" x14ac:dyDescent="0.25">
      <c r="A8449" t="str">
        <f>"3048622"</f>
        <v>3048622</v>
      </c>
      <c r="B8449" t="s">
        <v>25423</v>
      </c>
      <c r="C8449" t="str">
        <f>"24756000"</f>
        <v>24756000</v>
      </c>
      <c r="D8449" t="s">
        <v>25419</v>
      </c>
      <c r="E8449" t="s">
        <v>25420</v>
      </c>
      <c r="F8449" t="s">
        <v>25421</v>
      </c>
      <c r="I8449" t="s">
        <v>29</v>
      </c>
      <c r="J8449" t="s">
        <v>30</v>
      </c>
      <c r="K8449" t="s">
        <v>25422</v>
      </c>
      <c r="M8449" t="s">
        <v>18479</v>
      </c>
      <c r="N8449" t="str">
        <f>"4/23/2015 2:51:00 PM"</f>
        <v>4/23/2015 2:51:00 PM</v>
      </c>
      <c r="O8449" t="s">
        <v>25419</v>
      </c>
      <c r="T8449" t="s">
        <v>25420</v>
      </c>
    </row>
    <row r="8450" spans="1:20" x14ac:dyDescent="0.25">
      <c r="A8450" t="str">
        <f>"3048267"</f>
        <v>3048267</v>
      </c>
      <c r="B8450" t="s">
        <v>25424</v>
      </c>
      <c r="C8450" t="str">
        <f>"20808000"</f>
        <v>20808000</v>
      </c>
      <c r="D8450" t="s">
        <v>17846</v>
      </c>
      <c r="E8450" t="s">
        <v>25425</v>
      </c>
      <c r="F8450" t="s">
        <v>12805</v>
      </c>
      <c r="I8450" t="s">
        <v>29</v>
      </c>
      <c r="J8450" t="s">
        <v>30</v>
      </c>
      <c r="K8450" t="s">
        <v>12806</v>
      </c>
      <c r="M8450" t="s">
        <v>18479</v>
      </c>
      <c r="N8450" t="str">
        <f>"3/27/2015 3:45:00 PM"</f>
        <v>3/27/2015 3:45:00 PM</v>
      </c>
      <c r="O8450" t="s">
        <v>17846</v>
      </c>
      <c r="T8450" t="s">
        <v>25425</v>
      </c>
    </row>
    <row r="8451" spans="1:20" x14ac:dyDescent="0.25">
      <c r="A8451" t="str">
        <f>"3048548"</f>
        <v>3048548</v>
      </c>
      <c r="B8451" t="s">
        <v>25426</v>
      </c>
      <c r="C8451" t="str">
        <f>"23040000"</f>
        <v>23040000</v>
      </c>
      <c r="D8451" t="s">
        <v>25376</v>
      </c>
      <c r="E8451" t="s">
        <v>25377</v>
      </c>
      <c r="F8451" t="s">
        <v>25378</v>
      </c>
      <c r="I8451" t="s">
        <v>29</v>
      </c>
      <c r="J8451" t="s">
        <v>30</v>
      </c>
      <c r="K8451" t="s">
        <v>19719</v>
      </c>
      <c r="M8451" t="s">
        <v>18479</v>
      </c>
      <c r="N8451" t="str">
        <f>"3/27/2015 3:55:00 PM"</f>
        <v>3/27/2015 3:55:00 PM</v>
      </c>
      <c r="O8451" t="s">
        <v>25376</v>
      </c>
      <c r="T8451" t="s">
        <v>25377</v>
      </c>
    </row>
    <row r="8452" spans="1:20" x14ac:dyDescent="0.25">
      <c r="A8452" t="str">
        <f>"3049221"</f>
        <v>3049221</v>
      </c>
      <c r="B8452" t="s">
        <v>25427</v>
      </c>
      <c r="C8452" t="str">
        <f>"23040000"</f>
        <v>23040000</v>
      </c>
      <c r="D8452" t="s">
        <v>25376</v>
      </c>
      <c r="E8452" t="s">
        <v>25377</v>
      </c>
      <c r="F8452" t="s">
        <v>25378</v>
      </c>
      <c r="I8452" t="s">
        <v>29</v>
      </c>
      <c r="J8452" t="s">
        <v>30</v>
      </c>
      <c r="K8452" t="s">
        <v>19719</v>
      </c>
      <c r="M8452" t="s">
        <v>18479</v>
      </c>
      <c r="N8452" t="str">
        <f>"3/27/2015 3:55:00 PM"</f>
        <v>3/27/2015 3:55:00 PM</v>
      </c>
      <c r="O8452" t="s">
        <v>25376</v>
      </c>
      <c r="T8452" t="s">
        <v>25377</v>
      </c>
    </row>
    <row r="8453" spans="1:20" x14ac:dyDescent="0.25">
      <c r="A8453" t="str">
        <f>"3060041"</f>
        <v>3060041</v>
      </c>
      <c r="B8453" t="s">
        <v>25428</v>
      </c>
      <c r="C8453" t="str">
        <f>"8303963"</f>
        <v>8303963</v>
      </c>
      <c r="D8453" t="s">
        <v>25429</v>
      </c>
      <c r="E8453" t="s">
        <v>25430</v>
      </c>
      <c r="F8453" t="s">
        <v>25431</v>
      </c>
      <c r="I8453" t="s">
        <v>184</v>
      </c>
      <c r="J8453" t="s">
        <v>30</v>
      </c>
      <c r="K8453" t="str">
        <f>"27006"</f>
        <v>27006</v>
      </c>
      <c r="M8453" t="s">
        <v>20015</v>
      </c>
      <c r="N8453" t="str">
        <f>"4/17/2015 3:58:00 PM"</f>
        <v>4/17/2015 3:58:00 PM</v>
      </c>
      <c r="O8453" t="s">
        <v>25429</v>
      </c>
      <c r="T8453" t="s">
        <v>25430</v>
      </c>
    </row>
    <row r="8454" spans="1:20" x14ac:dyDescent="0.25">
      <c r="A8454" t="str">
        <f>"3062837"</f>
        <v>3062837</v>
      </c>
      <c r="B8454" t="s">
        <v>25432</v>
      </c>
      <c r="C8454" t="str">
        <f>"8304926"</f>
        <v>8304926</v>
      </c>
      <c r="D8454" t="s">
        <v>25433</v>
      </c>
      <c r="F8454" t="s">
        <v>25434</v>
      </c>
      <c r="I8454" t="s">
        <v>29</v>
      </c>
      <c r="J8454" t="s">
        <v>30</v>
      </c>
      <c r="K8454" t="str">
        <f>"27028"</f>
        <v>27028</v>
      </c>
      <c r="M8454" t="s">
        <v>17861</v>
      </c>
      <c r="N8454" t="str">
        <f>"4/24/2015 1:25:00 PM"</f>
        <v>4/24/2015 1:25:00 PM</v>
      </c>
      <c r="O8454" t="s">
        <v>25433</v>
      </c>
    </row>
    <row r="8455" spans="1:20" x14ac:dyDescent="0.25">
      <c r="A8455" t="str">
        <f>"3061683"</f>
        <v>3061683</v>
      </c>
      <c r="B8455" t="s">
        <v>25435</v>
      </c>
      <c r="C8455" t="str">
        <f>"8304245"</f>
        <v>8304245</v>
      </c>
      <c r="D8455" t="s">
        <v>25436</v>
      </c>
      <c r="E8455" t="s">
        <v>25437</v>
      </c>
      <c r="F8455" t="s">
        <v>25438</v>
      </c>
      <c r="I8455" t="s">
        <v>2071</v>
      </c>
      <c r="J8455" t="s">
        <v>30</v>
      </c>
      <c r="K8455" t="str">
        <f>"27006"</f>
        <v>27006</v>
      </c>
      <c r="M8455" t="s">
        <v>18479</v>
      </c>
      <c r="N8455" t="str">
        <f>"4/20/2015 10:41:00 AM"</f>
        <v>4/20/2015 10:41:00 AM</v>
      </c>
      <c r="O8455" t="s">
        <v>25436</v>
      </c>
      <c r="T8455" t="s">
        <v>25437</v>
      </c>
    </row>
    <row r="8456" spans="1:20" x14ac:dyDescent="0.25">
      <c r="A8456" t="str">
        <f>"3041674"</f>
        <v>3041674</v>
      </c>
      <c r="B8456" t="s">
        <v>25439</v>
      </c>
      <c r="C8456" t="str">
        <f>"8304911"</f>
        <v>8304911</v>
      </c>
      <c r="D8456" t="s">
        <v>25440</v>
      </c>
      <c r="F8456" t="s">
        <v>25441</v>
      </c>
      <c r="I8456" t="s">
        <v>184</v>
      </c>
      <c r="J8456" t="s">
        <v>30</v>
      </c>
      <c r="K8456" t="str">
        <f>"27006"</f>
        <v>27006</v>
      </c>
      <c r="M8456" t="s">
        <v>17861</v>
      </c>
      <c r="N8456" t="str">
        <f>"4/20/2015 11:22:00 AM"</f>
        <v>4/20/2015 11:22:00 AM</v>
      </c>
      <c r="O8456" t="s">
        <v>25440</v>
      </c>
    </row>
    <row r="8457" spans="1:20" x14ac:dyDescent="0.25">
      <c r="A8457" t="str">
        <f>"3060686"</f>
        <v>3060686</v>
      </c>
      <c r="B8457" t="s">
        <v>25442</v>
      </c>
      <c r="C8457" t="str">
        <f>"8301887"</f>
        <v>8301887</v>
      </c>
      <c r="D8457" t="s">
        <v>25443</v>
      </c>
      <c r="E8457" t="s">
        <v>25444</v>
      </c>
      <c r="F8457" t="s">
        <v>25445</v>
      </c>
      <c r="I8457" t="s">
        <v>184</v>
      </c>
      <c r="J8457" t="s">
        <v>30</v>
      </c>
      <c r="K8457" t="s">
        <v>6342</v>
      </c>
      <c r="M8457" t="s">
        <v>18479</v>
      </c>
      <c r="N8457" t="str">
        <f>"4/20/2015 11:56:00 AM"</f>
        <v>4/20/2015 11:56:00 AM</v>
      </c>
      <c r="O8457" t="s">
        <v>25443</v>
      </c>
      <c r="T8457" t="s">
        <v>25444</v>
      </c>
    </row>
    <row r="8458" spans="1:20" x14ac:dyDescent="0.25">
      <c r="A8458" t="str">
        <f>"3045074"</f>
        <v>3045074</v>
      </c>
      <c r="B8458" t="s">
        <v>25446</v>
      </c>
      <c r="C8458" t="str">
        <f>"82516199"</f>
        <v>82516199</v>
      </c>
      <c r="D8458" t="s">
        <v>25447</v>
      </c>
      <c r="E8458" t="s">
        <v>25448</v>
      </c>
      <c r="F8458" t="s">
        <v>25449</v>
      </c>
      <c r="I8458" t="s">
        <v>29</v>
      </c>
      <c r="J8458" t="s">
        <v>30</v>
      </c>
      <c r="K8458" t="s">
        <v>31</v>
      </c>
      <c r="M8458" t="s">
        <v>18479</v>
      </c>
      <c r="N8458" t="str">
        <f>"4/20/2015 1:43:00 PM"</f>
        <v>4/20/2015 1:43:00 PM</v>
      </c>
      <c r="O8458" t="s">
        <v>25447</v>
      </c>
      <c r="T8458" t="s">
        <v>25448</v>
      </c>
    </row>
    <row r="8459" spans="1:20" x14ac:dyDescent="0.25">
      <c r="A8459" t="str">
        <f>"3045262"</f>
        <v>3045262</v>
      </c>
      <c r="B8459" t="s">
        <v>25450</v>
      </c>
      <c r="C8459" t="str">
        <f>"82516199"</f>
        <v>82516199</v>
      </c>
      <c r="D8459" t="s">
        <v>25447</v>
      </c>
      <c r="E8459" t="s">
        <v>25448</v>
      </c>
      <c r="F8459" t="s">
        <v>25449</v>
      </c>
      <c r="I8459" t="s">
        <v>29</v>
      </c>
      <c r="J8459" t="s">
        <v>30</v>
      </c>
      <c r="K8459" t="s">
        <v>31</v>
      </c>
      <c r="M8459" t="s">
        <v>18479</v>
      </c>
      <c r="N8459" t="str">
        <f>"4/20/2015 1:43:00 PM"</f>
        <v>4/20/2015 1:43:00 PM</v>
      </c>
      <c r="O8459" t="s">
        <v>25447</v>
      </c>
      <c r="T8459" t="s">
        <v>25448</v>
      </c>
    </row>
    <row r="8460" spans="1:20" x14ac:dyDescent="0.25">
      <c r="A8460" t="str">
        <f>"3046453"</f>
        <v>3046453</v>
      </c>
      <c r="B8460" t="s">
        <v>25451</v>
      </c>
      <c r="C8460" t="str">
        <f>"20962750"</f>
        <v>20962750</v>
      </c>
      <c r="D8460" t="s">
        <v>25452</v>
      </c>
      <c r="E8460" t="s">
        <v>25453</v>
      </c>
      <c r="F8460" t="s">
        <v>25454</v>
      </c>
      <c r="I8460" t="s">
        <v>29</v>
      </c>
      <c r="J8460" t="s">
        <v>30</v>
      </c>
      <c r="K8460" t="s">
        <v>25455</v>
      </c>
      <c r="M8460" t="s">
        <v>18479</v>
      </c>
      <c r="N8460" t="str">
        <f>"4/20/2015 2:07:00 PM"</f>
        <v>4/20/2015 2:07:00 PM</v>
      </c>
      <c r="O8460" t="s">
        <v>25452</v>
      </c>
      <c r="T8460" t="s">
        <v>25453</v>
      </c>
    </row>
    <row r="8461" spans="1:20" x14ac:dyDescent="0.25">
      <c r="A8461" t="str">
        <f>"3048790"</f>
        <v>3048790</v>
      </c>
      <c r="B8461" t="s">
        <v>25456</v>
      </c>
      <c r="C8461" t="str">
        <f>"8304915"</f>
        <v>8304915</v>
      </c>
      <c r="D8461" t="s">
        <v>25457</v>
      </c>
      <c r="E8461" t="s">
        <v>25458</v>
      </c>
      <c r="F8461" t="s">
        <v>25459</v>
      </c>
      <c r="I8461" t="s">
        <v>29</v>
      </c>
      <c r="J8461" t="s">
        <v>30</v>
      </c>
      <c r="K8461" t="str">
        <f>"27028"</f>
        <v>27028</v>
      </c>
      <c r="M8461" t="s">
        <v>17861</v>
      </c>
      <c r="N8461" t="str">
        <f>"4/20/2015 3:48:00 PM"</f>
        <v>4/20/2015 3:48:00 PM</v>
      </c>
      <c r="O8461" t="s">
        <v>25457</v>
      </c>
      <c r="T8461" t="s">
        <v>25458</v>
      </c>
    </row>
    <row r="8462" spans="1:20" x14ac:dyDescent="0.25">
      <c r="A8462" t="str">
        <f>"3049290"</f>
        <v>3049290</v>
      </c>
      <c r="B8462" t="s">
        <v>25460</v>
      </c>
      <c r="C8462" t="str">
        <f>"8304915"</f>
        <v>8304915</v>
      </c>
      <c r="D8462" t="s">
        <v>25457</v>
      </c>
      <c r="E8462" t="s">
        <v>25458</v>
      </c>
      <c r="F8462" t="s">
        <v>25459</v>
      </c>
      <c r="I8462" t="s">
        <v>29</v>
      </c>
      <c r="J8462" t="s">
        <v>30</v>
      </c>
      <c r="K8462" t="str">
        <f>"27028"</f>
        <v>27028</v>
      </c>
      <c r="M8462" t="s">
        <v>17861</v>
      </c>
      <c r="N8462" t="str">
        <f>"4/20/2015 3:48:00 PM"</f>
        <v>4/20/2015 3:48:00 PM</v>
      </c>
      <c r="O8462" t="s">
        <v>25457</v>
      </c>
      <c r="T8462" t="s">
        <v>25458</v>
      </c>
    </row>
    <row r="8463" spans="1:20" x14ac:dyDescent="0.25">
      <c r="A8463" t="str">
        <f>"3040554"</f>
        <v>3040554</v>
      </c>
      <c r="B8463" t="s">
        <v>25461</v>
      </c>
      <c r="C8463" t="str">
        <f>"82522616"</f>
        <v>82522616</v>
      </c>
      <c r="D8463" t="s">
        <v>25462</v>
      </c>
      <c r="E8463" t="s">
        <v>25463</v>
      </c>
      <c r="F8463" t="s">
        <v>25464</v>
      </c>
      <c r="I8463" t="s">
        <v>184</v>
      </c>
      <c r="J8463" t="s">
        <v>30</v>
      </c>
      <c r="K8463" t="s">
        <v>19416</v>
      </c>
      <c r="M8463" t="s">
        <v>18479</v>
      </c>
      <c r="N8463" t="str">
        <f>"4/21/2015 10:11:00 AM"</f>
        <v>4/21/2015 10:11:00 AM</v>
      </c>
      <c r="O8463" t="s">
        <v>25462</v>
      </c>
      <c r="T8463" t="s">
        <v>25463</v>
      </c>
    </row>
    <row r="8464" spans="1:20" x14ac:dyDescent="0.25">
      <c r="A8464" t="str">
        <f>"3058979"</f>
        <v>3058979</v>
      </c>
      <c r="B8464" t="s">
        <v>25465</v>
      </c>
      <c r="C8464" t="str">
        <f>"8303504"</f>
        <v>8303504</v>
      </c>
      <c r="D8464" t="s">
        <v>25466</v>
      </c>
      <c r="E8464" t="s">
        <v>25467</v>
      </c>
      <c r="F8464" t="s">
        <v>25468</v>
      </c>
      <c r="I8464" t="s">
        <v>29</v>
      </c>
      <c r="J8464" t="s">
        <v>30</v>
      </c>
      <c r="K8464" t="str">
        <f>"27028"</f>
        <v>27028</v>
      </c>
      <c r="M8464" t="s">
        <v>18479</v>
      </c>
      <c r="N8464" t="str">
        <f>"4/21/2015 10:55:00 AM"</f>
        <v>4/21/2015 10:55:00 AM</v>
      </c>
      <c r="O8464" t="s">
        <v>25466</v>
      </c>
      <c r="T8464" t="s">
        <v>25467</v>
      </c>
    </row>
    <row r="8465" spans="1:20" x14ac:dyDescent="0.25">
      <c r="A8465" t="str">
        <f>"3067218"</f>
        <v>3067218</v>
      </c>
      <c r="B8465" t="s">
        <v>25469</v>
      </c>
      <c r="C8465" t="str">
        <f>"82528536"</f>
        <v>82528536</v>
      </c>
      <c r="D8465" t="s">
        <v>25470</v>
      </c>
      <c r="F8465" t="s">
        <v>25471</v>
      </c>
      <c r="I8465" t="s">
        <v>1149</v>
      </c>
      <c r="J8465" t="s">
        <v>30</v>
      </c>
      <c r="K8465" t="s">
        <v>1150</v>
      </c>
      <c r="M8465" t="s">
        <v>18479</v>
      </c>
      <c r="N8465" t="str">
        <f>"4/23/2015 8:54:00 AM"</f>
        <v>4/23/2015 8:54:00 AM</v>
      </c>
      <c r="O8465" t="s">
        <v>25470</v>
      </c>
    </row>
    <row r="8466" spans="1:20" x14ac:dyDescent="0.25">
      <c r="A8466" t="str">
        <f>"3038485"</f>
        <v>3038485</v>
      </c>
      <c r="B8466" t="s">
        <v>25472</v>
      </c>
      <c r="C8466" t="str">
        <f>"82521819"</f>
        <v>82521819</v>
      </c>
      <c r="D8466" t="s">
        <v>25473</v>
      </c>
      <c r="E8466" t="s">
        <v>25474</v>
      </c>
      <c r="F8466" t="s">
        <v>25475</v>
      </c>
      <c r="I8466" t="s">
        <v>29</v>
      </c>
      <c r="J8466" t="s">
        <v>30</v>
      </c>
      <c r="K8466" t="s">
        <v>31</v>
      </c>
      <c r="M8466" t="s">
        <v>18479</v>
      </c>
      <c r="N8466" t="str">
        <f>"4/28/2015 8:58:00 AM"</f>
        <v>4/28/2015 8:58:00 AM</v>
      </c>
      <c r="O8466" t="s">
        <v>25473</v>
      </c>
      <c r="T8466" t="s">
        <v>25474</v>
      </c>
    </row>
    <row r="8467" spans="1:20" x14ac:dyDescent="0.25">
      <c r="A8467" t="str">
        <f>"3049195"</f>
        <v>3049195</v>
      </c>
      <c r="B8467" t="s">
        <v>25476</v>
      </c>
      <c r="C8467" t="str">
        <f>"24756000"</f>
        <v>24756000</v>
      </c>
      <c r="D8467" t="s">
        <v>25419</v>
      </c>
      <c r="E8467" t="s">
        <v>25420</v>
      </c>
      <c r="F8467" t="s">
        <v>25421</v>
      </c>
      <c r="I8467" t="s">
        <v>29</v>
      </c>
      <c r="J8467" t="s">
        <v>30</v>
      </c>
      <c r="K8467" t="s">
        <v>25422</v>
      </c>
      <c r="M8467" t="s">
        <v>18479</v>
      </c>
      <c r="N8467" t="str">
        <f>"4/23/2015 2:51:00 PM"</f>
        <v>4/23/2015 2:51:00 PM</v>
      </c>
      <c r="O8467" t="s">
        <v>25419</v>
      </c>
      <c r="T8467" t="s">
        <v>25420</v>
      </c>
    </row>
    <row r="8468" spans="1:20" x14ac:dyDescent="0.25">
      <c r="A8468" t="str">
        <f>"3051063"</f>
        <v>3051063</v>
      </c>
      <c r="B8468" t="s">
        <v>25477</v>
      </c>
      <c r="C8468" t="str">
        <f>"8304890"</f>
        <v>8304890</v>
      </c>
      <c r="D8468" t="s">
        <v>25478</v>
      </c>
      <c r="F8468" t="s">
        <v>11089</v>
      </c>
      <c r="I8468" t="s">
        <v>17921</v>
      </c>
      <c r="J8468" t="s">
        <v>30</v>
      </c>
      <c r="K8468" t="str">
        <f>"27028"</f>
        <v>27028</v>
      </c>
      <c r="M8468" t="s">
        <v>17861</v>
      </c>
      <c r="N8468" t="str">
        <f>"4/16/2015 9:58:00 AM"</f>
        <v>4/16/2015 9:58:00 AM</v>
      </c>
      <c r="O8468" t="s">
        <v>25478</v>
      </c>
    </row>
    <row r="8469" spans="1:20" x14ac:dyDescent="0.25">
      <c r="A8469" t="str">
        <f>"3051138"</f>
        <v>3051138</v>
      </c>
      <c r="B8469" t="s">
        <v>25479</v>
      </c>
      <c r="C8469" t="str">
        <f>"8304890"</f>
        <v>8304890</v>
      </c>
      <c r="D8469" t="s">
        <v>25478</v>
      </c>
      <c r="F8469" t="s">
        <v>11089</v>
      </c>
      <c r="I8469" t="s">
        <v>17921</v>
      </c>
      <c r="J8469" t="s">
        <v>30</v>
      </c>
      <c r="K8469" t="str">
        <f>"27028"</f>
        <v>27028</v>
      </c>
      <c r="M8469" t="s">
        <v>17861</v>
      </c>
      <c r="N8469" t="str">
        <f>"4/16/2015 9:58:00 AM"</f>
        <v>4/16/2015 9:58:00 AM</v>
      </c>
      <c r="O8469" t="s">
        <v>25478</v>
      </c>
    </row>
    <row r="8470" spans="1:20" x14ac:dyDescent="0.25">
      <c r="A8470" t="str">
        <f>"3048170"</f>
        <v>3048170</v>
      </c>
      <c r="B8470" t="s">
        <v>25480</v>
      </c>
      <c r="C8470" t="str">
        <f>"8304898"</f>
        <v>8304898</v>
      </c>
      <c r="D8470" t="s">
        <v>25481</v>
      </c>
      <c r="F8470" t="s">
        <v>25482</v>
      </c>
      <c r="I8470" t="s">
        <v>29</v>
      </c>
      <c r="J8470" t="s">
        <v>30</v>
      </c>
      <c r="K8470" t="str">
        <f>"27028"</f>
        <v>27028</v>
      </c>
      <c r="M8470" t="s">
        <v>17861</v>
      </c>
      <c r="N8470" t="str">
        <f>"4/16/2015 12:19:00 PM"</f>
        <v>4/16/2015 12:19:00 PM</v>
      </c>
      <c r="O8470" t="s">
        <v>25481</v>
      </c>
    </row>
    <row r="8471" spans="1:20" x14ac:dyDescent="0.25">
      <c r="A8471" t="str">
        <f>"3042877"</f>
        <v>3042877</v>
      </c>
      <c r="B8471" t="s">
        <v>25483</v>
      </c>
      <c r="C8471" t="str">
        <f>"8304900"</f>
        <v>8304900</v>
      </c>
      <c r="D8471" t="s">
        <v>25484</v>
      </c>
      <c r="F8471" t="s">
        <v>25485</v>
      </c>
      <c r="I8471" t="s">
        <v>29</v>
      </c>
      <c r="J8471" t="s">
        <v>30</v>
      </c>
      <c r="K8471" t="str">
        <f>"27028"</f>
        <v>27028</v>
      </c>
      <c r="M8471" t="s">
        <v>17861</v>
      </c>
      <c r="N8471" t="str">
        <f>"4/16/2015 12:39:00 PM"</f>
        <v>4/16/2015 12:39:00 PM</v>
      </c>
      <c r="O8471" t="s">
        <v>25484</v>
      </c>
    </row>
    <row r="8472" spans="1:20" x14ac:dyDescent="0.25">
      <c r="A8472" t="str">
        <f>"3048553"</f>
        <v>3048553</v>
      </c>
      <c r="B8472" t="s">
        <v>25486</v>
      </c>
      <c r="C8472" t="str">
        <f>"24756000"</f>
        <v>24756000</v>
      </c>
      <c r="D8472" t="s">
        <v>25419</v>
      </c>
      <c r="E8472" t="s">
        <v>25420</v>
      </c>
      <c r="F8472" t="s">
        <v>25421</v>
      </c>
      <c r="I8472" t="s">
        <v>29</v>
      </c>
      <c r="J8472" t="s">
        <v>30</v>
      </c>
      <c r="K8472" t="s">
        <v>25422</v>
      </c>
      <c r="M8472" t="s">
        <v>18479</v>
      </c>
      <c r="N8472" t="str">
        <f>"4/23/2015 2:51:00 PM"</f>
        <v>4/23/2015 2:51:00 PM</v>
      </c>
      <c r="O8472" t="s">
        <v>25419</v>
      </c>
      <c r="T8472" t="s">
        <v>25420</v>
      </c>
    </row>
    <row r="8473" spans="1:20" x14ac:dyDescent="0.25">
      <c r="A8473" t="str">
        <f>"3058848"</f>
        <v>3058848</v>
      </c>
      <c r="B8473" t="s">
        <v>25487</v>
      </c>
      <c r="C8473" t="str">
        <f>"8304902"</f>
        <v>8304902</v>
      </c>
      <c r="D8473" t="s">
        <v>25488</v>
      </c>
      <c r="E8473" t="s">
        <v>25489</v>
      </c>
      <c r="F8473" t="s">
        <v>25490</v>
      </c>
      <c r="I8473" t="s">
        <v>29</v>
      </c>
      <c r="J8473" t="s">
        <v>30</v>
      </c>
      <c r="K8473" t="str">
        <f>"27028"</f>
        <v>27028</v>
      </c>
      <c r="M8473" t="s">
        <v>17861</v>
      </c>
      <c r="N8473" t="str">
        <f>"4/16/2015 1:14:00 PM"</f>
        <v>4/16/2015 1:14:00 PM</v>
      </c>
      <c r="O8473" t="s">
        <v>25488</v>
      </c>
      <c r="T8473" t="s">
        <v>25489</v>
      </c>
    </row>
    <row r="8474" spans="1:20" x14ac:dyDescent="0.25">
      <c r="A8474" t="str">
        <f>"3055148"</f>
        <v>3055148</v>
      </c>
      <c r="B8474" t="s">
        <v>25491</v>
      </c>
      <c r="C8474" t="str">
        <f>"77368620"</f>
        <v>77368620</v>
      </c>
      <c r="D8474" t="s">
        <v>25492</v>
      </c>
      <c r="F8474" t="s">
        <v>25493</v>
      </c>
      <c r="I8474" t="s">
        <v>9580</v>
      </c>
      <c r="J8474" t="s">
        <v>30</v>
      </c>
      <c r="K8474" t="s">
        <v>9581</v>
      </c>
      <c r="M8474" t="s">
        <v>25494</v>
      </c>
      <c r="N8474" t="str">
        <f>"4/16/2015 2:28:00 PM"</f>
        <v>4/16/2015 2:28:00 PM</v>
      </c>
      <c r="O8474" t="s">
        <v>25492</v>
      </c>
    </row>
    <row r="8475" spans="1:20" x14ac:dyDescent="0.25">
      <c r="A8475" t="str">
        <f>"3042773"</f>
        <v>3042773</v>
      </c>
      <c r="B8475" t="s">
        <v>25495</v>
      </c>
      <c r="C8475" t="str">
        <f>"8304903"</f>
        <v>8304903</v>
      </c>
      <c r="D8475" t="s">
        <v>25496</v>
      </c>
      <c r="E8475" t="s">
        <v>25497</v>
      </c>
      <c r="F8475" t="s">
        <v>25498</v>
      </c>
      <c r="I8475" t="s">
        <v>29</v>
      </c>
      <c r="J8475" t="s">
        <v>30</v>
      </c>
      <c r="K8475" t="str">
        <f>"27028"</f>
        <v>27028</v>
      </c>
      <c r="M8475" t="s">
        <v>17861</v>
      </c>
      <c r="N8475" t="str">
        <f>"4/16/2015 3:41:00 PM"</f>
        <v>4/16/2015 3:41:00 PM</v>
      </c>
      <c r="O8475" t="s">
        <v>25496</v>
      </c>
      <c r="T8475" t="s">
        <v>25497</v>
      </c>
    </row>
    <row r="8476" spans="1:20" x14ac:dyDescent="0.25">
      <c r="A8476" t="str">
        <f>"3061328"</f>
        <v>3061328</v>
      </c>
      <c r="B8476" t="s">
        <v>25499</v>
      </c>
      <c r="C8476" t="str">
        <f>"82529641"</f>
        <v>82529641</v>
      </c>
      <c r="D8476" t="s">
        <v>25500</v>
      </c>
      <c r="F8476" t="s">
        <v>25501</v>
      </c>
      <c r="I8476" t="s">
        <v>184</v>
      </c>
      <c r="J8476" t="s">
        <v>30</v>
      </c>
      <c r="K8476" t="s">
        <v>185</v>
      </c>
      <c r="M8476" t="s">
        <v>18479</v>
      </c>
      <c r="N8476" t="str">
        <f>"4/24/2015 2:08:00 PM"</f>
        <v>4/24/2015 2:08:00 PM</v>
      </c>
      <c r="O8476" t="s">
        <v>25500</v>
      </c>
    </row>
    <row r="8477" spans="1:20" x14ac:dyDescent="0.25">
      <c r="A8477" t="str">
        <f>"3040632"</f>
        <v>3040632</v>
      </c>
      <c r="B8477" t="s">
        <v>25502</v>
      </c>
      <c r="C8477" t="str">
        <f>"25523000"</f>
        <v>25523000</v>
      </c>
      <c r="D8477" t="s">
        <v>25503</v>
      </c>
      <c r="E8477" t="s">
        <v>25504</v>
      </c>
      <c r="F8477" t="s">
        <v>25505</v>
      </c>
      <c r="I8477" t="s">
        <v>184</v>
      </c>
      <c r="J8477" t="s">
        <v>30</v>
      </c>
      <c r="K8477" t="s">
        <v>185</v>
      </c>
      <c r="M8477" t="s">
        <v>18479</v>
      </c>
      <c r="N8477" t="str">
        <f>"4/24/2015 2:10:00 PM"</f>
        <v>4/24/2015 2:10:00 PM</v>
      </c>
      <c r="O8477" t="s">
        <v>25503</v>
      </c>
      <c r="T8477" t="s">
        <v>25504</v>
      </c>
    </row>
    <row r="8478" spans="1:20" x14ac:dyDescent="0.25">
      <c r="A8478" t="str">
        <f>"3060823"</f>
        <v>3060823</v>
      </c>
      <c r="B8478" t="s">
        <v>25506</v>
      </c>
      <c r="C8478" t="str">
        <f>"82529245"</f>
        <v>82529245</v>
      </c>
      <c r="D8478" t="s">
        <v>25507</v>
      </c>
      <c r="E8478" t="s">
        <v>25508</v>
      </c>
      <c r="F8478" t="s">
        <v>25509</v>
      </c>
      <c r="I8478" t="s">
        <v>184</v>
      </c>
      <c r="J8478" t="s">
        <v>30</v>
      </c>
      <c r="K8478" t="s">
        <v>185</v>
      </c>
      <c r="M8478" t="s">
        <v>18479</v>
      </c>
      <c r="N8478" t="str">
        <f>"4/24/2015 2:23:00 PM"</f>
        <v>4/24/2015 2:23:00 PM</v>
      </c>
      <c r="O8478" t="s">
        <v>25507</v>
      </c>
      <c r="T8478" t="s">
        <v>25508</v>
      </c>
    </row>
    <row r="8479" spans="1:20" x14ac:dyDescent="0.25">
      <c r="A8479" t="str">
        <f>"3050019"</f>
        <v>3050019</v>
      </c>
      <c r="B8479" t="s">
        <v>25510</v>
      </c>
      <c r="C8479" t="str">
        <f>"8304927"</f>
        <v>8304927</v>
      </c>
      <c r="D8479" t="s">
        <v>25511</v>
      </c>
      <c r="E8479" t="s">
        <v>25512</v>
      </c>
      <c r="F8479" t="s">
        <v>25513</v>
      </c>
      <c r="I8479" t="s">
        <v>29</v>
      </c>
      <c r="J8479" t="s">
        <v>30</v>
      </c>
      <c r="K8479" t="str">
        <f>"27028"</f>
        <v>27028</v>
      </c>
      <c r="M8479" t="s">
        <v>17861</v>
      </c>
      <c r="N8479" t="str">
        <f>"4/27/2015 8:57:00 AM"</f>
        <v>4/27/2015 8:57:00 AM</v>
      </c>
      <c r="O8479" t="s">
        <v>25511</v>
      </c>
      <c r="T8479" t="s">
        <v>25512</v>
      </c>
    </row>
    <row r="8480" spans="1:20" x14ac:dyDescent="0.25">
      <c r="A8480" t="str">
        <f>"3042326"</f>
        <v>3042326</v>
      </c>
      <c r="B8480" t="s">
        <v>25514</v>
      </c>
      <c r="C8480" t="str">
        <f>"8304051"</f>
        <v>8304051</v>
      </c>
      <c r="D8480" t="s">
        <v>25515</v>
      </c>
      <c r="E8480" t="s">
        <v>25516</v>
      </c>
      <c r="F8480" t="s">
        <v>25517</v>
      </c>
      <c r="I8480" t="s">
        <v>184</v>
      </c>
      <c r="J8480" t="s">
        <v>30</v>
      </c>
      <c r="K8480" t="str">
        <f>"27006"</f>
        <v>27006</v>
      </c>
      <c r="M8480" t="s">
        <v>18479</v>
      </c>
      <c r="N8480" t="str">
        <f>"4/27/2015 9:37:00 AM"</f>
        <v>4/27/2015 9:37:00 AM</v>
      </c>
      <c r="O8480" t="s">
        <v>25515</v>
      </c>
      <c r="T8480" t="s">
        <v>25516</v>
      </c>
    </row>
    <row r="8481" spans="1:20" x14ac:dyDescent="0.25">
      <c r="A8481" t="str">
        <f>"3043185"</f>
        <v>3043185</v>
      </c>
      <c r="B8481" t="s">
        <v>25518</v>
      </c>
      <c r="C8481" t="str">
        <f>"28020000"</f>
        <v>28020000</v>
      </c>
      <c r="D8481" t="s">
        <v>25519</v>
      </c>
      <c r="E8481" t="s">
        <v>25520</v>
      </c>
      <c r="F8481" t="s">
        <v>25521</v>
      </c>
      <c r="I8481" t="s">
        <v>184</v>
      </c>
      <c r="J8481" t="s">
        <v>30</v>
      </c>
      <c r="K8481" t="s">
        <v>3445</v>
      </c>
      <c r="M8481" t="s">
        <v>18479</v>
      </c>
      <c r="N8481" t="str">
        <f>"4/27/2015 9:39:00 AM"</f>
        <v>4/27/2015 9:39:00 AM</v>
      </c>
      <c r="O8481" t="s">
        <v>25519</v>
      </c>
      <c r="T8481" t="s">
        <v>25520</v>
      </c>
    </row>
    <row r="8482" spans="1:20" x14ac:dyDescent="0.25">
      <c r="A8482" t="str">
        <f>"3077118"</f>
        <v>3077118</v>
      </c>
      <c r="B8482" t="s">
        <v>25522</v>
      </c>
      <c r="C8482" t="str">
        <f>"28020000"</f>
        <v>28020000</v>
      </c>
      <c r="D8482" t="s">
        <v>25519</v>
      </c>
      <c r="E8482" t="s">
        <v>25520</v>
      </c>
      <c r="F8482" t="s">
        <v>25521</v>
      </c>
      <c r="I8482" t="s">
        <v>184</v>
      </c>
      <c r="J8482" t="s">
        <v>30</v>
      </c>
      <c r="K8482" t="s">
        <v>3445</v>
      </c>
      <c r="M8482" t="s">
        <v>18479</v>
      </c>
      <c r="N8482" t="str">
        <f>"4/27/2015 9:39:00 AM"</f>
        <v>4/27/2015 9:39:00 AM</v>
      </c>
      <c r="O8482" t="s">
        <v>25519</v>
      </c>
      <c r="T8482" t="s">
        <v>25520</v>
      </c>
    </row>
    <row r="8483" spans="1:20" x14ac:dyDescent="0.25">
      <c r="A8483" t="str">
        <f>"3060770"</f>
        <v>3060770</v>
      </c>
      <c r="B8483" t="s">
        <v>25523</v>
      </c>
      <c r="C8483" t="str">
        <f>"8304962"</f>
        <v>8304962</v>
      </c>
      <c r="D8483" t="s">
        <v>25524</v>
      </c>
      <c r="E8483" t="s">
        <v>25525</v>
      </c>
      <c r="F8483" t="s">
        <v>25526</v>
      </c>
      <c r="I8483" t="s">
        <v>184</v>
      </c>
      <c r="J8483" t="s">
        <v>30</v>
      </c>
      <c r="K8483" t="str">
        <f>"27006"</f>
        <v>27006</v>
      </c>
      <c r="M8483" t="s">
        <v>17861</v>
      </c>
      <c r="N8483" t="str">
        <f>"5/5/2015 1:12:00 PM"</f>
        <v>5/5/2015 1:12:00 PM</v>
      </c>
      <c r="O8483" t="s">
        <v>25524</v>
      </c>
      <c r="T8483" t="s">
        <v>25525</v>
      </c>
    </row>
    <row r="8484" spans="1:20" x14ac:dyDescent="0.25">
      <c r="A8484" t="str">
        <f>"3042374"</f>
        <v>3042374</v>
      </c>
      <c r="B8484" t="s">
        <v>25527</v>
      </c>
      <c r="C8484" t="str">
        <f>"8304937"</f>
        <v>8304937</v>
      </c>
      <c r="D8484" t="s">
        <v>25528</v>
      </c>
      <c r="E8484" t="s">
        <v>25529</v>
      </c>
      <c r="F8484" t="s">
        <v>25530</v>
      </c>
      <c r="I8484" t="s">
        <v>184</v>
      </c>
      <c r="J8484" t="s">
        <v>30</v>
      </c>
      <c r="K8484" t="str">
        <f>"27006"</f>
        <v>27006</v>
      </c>
      <c r="M8484" t="s">
        <v>17861</v>
      </c>
      <c r="N8484" t="str">
        <f>"4/27/2015 2:51:00 PM"</f>
        <v>4/27/2015 2:51:00 PM</v>
      </c>
      <c r="O8484" t="s">
        <v>25528</v>
      </c>
      <c r="T8484" t="s">
        <v>25529</v>
      </c>
    </row>
    <row r="8485" spans="1:20" x14ac:dyDescent="0.25">
      <c r="A8485" t="str">
        <f>"3049445"</f>
        <v>3049445</v>
      </c>
      <c r="B8485" t="s">
        <v>25531</v>
      </c>
      <c r="C8485" t="str">
        <f>"20100750"</f>
        <v>20100750</v>
      </c>
      <c r="D8485" t="s">
        <v>25532</v>
      </c>
      <c r="E8485" t="s">
        <v>25533</v>
      </c>
      <c r="F8485" t="s">
        <v>25534</v>
      </c>
      <c r="I8485" t="s">
        <v>2589</v>
      </c>
      <c r="J8485" t="s">
        <v>30</v>
      </c>
      <c r="K8485" t="s">
        <v>25535</v>
      </c>
      <c r="M8485" t="s">
        <v>18479</v>
      </c>
      <c r="N8485" t="str">
        <f>"4/27/2015 4:03:00 PM"</f>
        <v>4/27/2015 4:03:00 PM</v>
      </c>
      <c r="O8485" t="s">
        <v>25532</v>
      </c>
      <c r="T8485" t="s">
        <v>25533</v>
      </c>
    </row>
    <row r="8486" spans="1:20" x14ac:dyDescent="0.25">
      <c r="A8486" t="str">
        <f>"3038165"</f>
        <v>3038165</v>
      </c>
      <c r="B8486" t="s">
        <v>25536</v>
      </c>
      <c r="C8486" t="str">
        <f>"82521819"</f>
        <v>82521819</v>
      </c>
      <c r="D8486" t="s">
        <v>25473</v>
      </c>
      <c r="E8486" t="s">
        <v>25474</v>
      </c>
      <c r="F8486" t="s">
        <v>25475</v>
      </c>
      <c r="I8486" t="s">
        <v>29</v>
      </c>
      <c r="J8486" t="s">
        <v>30</v>
      </c>
      <c r="K8486" t="s">
        <v>31</v>
      </c>
      <c r="M8486" t="s">
        <v>18479</v>
      </c>
      <c r="N8486" t="str">
        <f>"4/28/2015 8:58:00 AM"</f>
        <v>4/28/2015 8:58:00 AM</v>
      </c>
      <c r="O8486" t="s">
        <v>25473</v>
      </c>
      <c r="T8486" t="s">
        <v>25474</v>
      </c>
    </row>
    <row r="8487" spans="1:20" x14ac:dyDescent="0.25">
      <c r="A8487" t="str">
        <f>"3037995"</f>
        <v>3037995</v>
      </c>
      <c r="B8487" t="s">
        <v>25537</v>
      </c>
      <c r="C8487" t="str">
        <f>"82521819"</f>
        <v>82521819</v>
      </c>
      <c r="D8487" t="s">
        <v>25473</v>
      </c>
      <c r="E8487" t="s">
        <v>25474</v>
      </c>
      <c r="F8487" t="s">
        <v>25475</v>
      </c>
      <c r="I8487" t="s">
        <v>29</v>
      </c>
      <c r="J8487" t="s">
        <v>30</v>
      </c>
      <c r="K8487" t="s">
        <v>31</v>
      </c>
      <c r="M8487" t="s">
        <v>18479</v>
      </c>
      <c r="N8487" t="str">
        <f>"4/28/2015 8:58:00 AM"</f>
        <v>4/28/2015 8:58:00 AM</v>
      </c>
      <c r="O8487" t="s">
        <v>25473</v>
      </c>
      <c r="T8487" t="s">
        <v>25474</v>
      </c>
    </row>
    <row r="8488" spans="1:20" x14ac:dyDescent="0.25">
      <c r="A8488" t="str">
        <f>"3053656"</f>
        <v>3053656</v>
      </c>
      <c r="B8488" t="s">
        <v>25538</v>
      </c>
      <c r="C8488" t="str">
        <f>"8304648"</f>
        <v>8304648</v>
      </c>
      <c r="D8488" t="s">
        <v>25539</v>
      </c>
      <c r="E8488" t="s">
        <v>25540</v>
      </c>
      <c r="F8488" t="s">
        <v>25541</v>
      </c>
      <c r="I8488" t="s">
        <v>184</v>
      </c>
      <c r="J8488" t="s">
        <v>30</v>
      </c>
      <c r="K8488" t="str">
        <f>"27006"</f>
        <v>27006</v>
      </c>
      <c r="M8488" t="s">
        <v>17861</v>
      </c>
      <c r="N8488" t="str">
        <f>"4/28/2015 9:46:00 AM"</f>
        <v>4/28/2015 9:46:00 AM</v>
      </c>
      <c r="O8488" t="s">
        <v>25539</v>
      </c>
      <c r="T8488" t="s">
        <v>25540</v>
      </c>
    </row>
    <row r="8489" spans="1:20" x14ac:dyDescent="0.25">
      <c r="A8489" t="str">
        <f>"3038451"</f>
        <v>3038451</v>
      </c>
      <c r="B8489" t="s">
        <v>25542</v>
      </c>
      <c r="C8489" t="str">
        <f>"8303537"</f>
        <v>8303537</v>
      </c>
      <c r="D8489" t="s">
        <v>25543</v>
      </c>
      <c r="E8489" t="s">
        <v>25544</v>
      </c>
      <c r="F8489" t="s">
        <v>25545</v>
      </c>
      <c r="I8489" t="s">
        <v>29</v>
      </c>
      <c r="J8489" t="s">
        <v>30</v>
      </c>
      <c r="K8489" t="str">
        <f>"27028"</f>
        <v>27028</v>
      </c>
      <c r="M8489" t="s">
        <v>17861</v>
      </c>
      <c r="N8489" t="str">
        <f>"4/29/2015 4:04:00 PM"</f>
        <v>4/29/2015 4:04:00 PM</v>
      </c>
      <c r="O8489" t="s">
        <v>25543</v>
      </c>
      <c r="T8489" t="s">
        <v>25544</v>
      </c>
    </row>
    <row r="8490" spans="1:20" x14ac:dyDescent="0.25">
      <c r="A8490" t="str">
        <f>"3047450"</f>
        <v>3047450</v>
      </c>
      <c r="B8490" t="s">
        <v>25546</v>
      </c>
      <c r="C8490" t="str">
        <f>"27865000"</f>
        <v>27865000</v>
      </c>
      <c r="D8490" t="s">
        <v>25547</v>
      </c>
      <c r="F8490" t="s">
        <v>25548</v>
      </c>
      <c r="I8490" t="s">
        <v>184</v>
      </c>
      <c r="J8490" t="s">
        <v>30</v>
      </c>
      <c r="K8490" t="s">
        <v>25549</v>
      </c>
      <c r="M8490" t="s">
        <v>18479</v>
      </c>
      <c r="N8490" t="str">
        <f>"4/30/2015 10:10:00 AM"</f>
        <v>4/30/2015 10:10:00 AM</v>
      </c>
      <c r="O8490" t="s">
        <v>25547</v>
      </c>
    </row>
    <row r="8491" spans="1:20" x14ac:dyDescent="0.25">
      <c r="A8491" t="str">
        <f>"3048063"</f>
        <v>3048063</v>
      </c>
      <c r="B8491" t="s">
        <v>25550</v>
      </c>
      <c r="C8491" t="str">
        <f>"27865000"</f>
        <v>27865000</v>
      </c>
      <c r="D8491" t="s">
        <v>25547</v>
      </c>
      <c r="F8491" t="s">
        <v>25548</v>
      </c>
      <c r="I8491" t="s">
        <v>184</v>
      </c>
      <c r="J8491" t="s">
        <v>30</v>
      </c>
      <c r="K8491" t="s">
        <v>25549</v>
      </c>
      <c r="M8491" t="s">
        <v>18479</v>
      </c>
      <c r="N8491" t="str">
        <f>"4/30/2015 10:10:00 AM"</f>
        <v>4/30/2015 10:10:00 AM</v>
      </c>
      <c r="O8491" t="s">
        <v>25547</v>
      </c>
    </row>
    <row r="8492" spans="1:20" x14ac:dyDescent="0.25">
      <c r="A8492" t="str">
        <f>"3078022"</f>
        <v>3078022</v>
      </c>
      <c r="B8492" t="s">
        <v>25551</v>
      </c>
      <c r="C8492" t="str">
        <f>"27865000"</f>
        <v>27865000</v>
      </c>
      <c r="D8492" t="s">
        <v>25547</v>
      </c>
      <c r="F8492" t="s">
        <v>25548</v>
      </c>
      <c r="I8492" t="s">
        <v>184</v>
      </c>
      <c r="J8492" t="s">
        <v>30</v>
      </c>
      <c r="K8492" t="s">
        <v>25549</v>
      </c>
      <c r="M8492" t="s">
        <v>18479</v>
      </c>
      <c r="N8492" t="str">
        <f>"4/30/2015 10:10:00 AM"</f>
        <v>4/30/2015 10:10:00 AM</v>
      </c>
      <c r="O8492" t="s">
        <v>25547</v>
      </c>
    </row>
    <row r="8493" spans="1:20" x14ac:dyDescent="0.25">
      <c r="A8493" t="str">
        <f>"3075232"</f>
        <v>3075232</v>
      </c>
      <c r="B8493" t="s">
        <v>25552</v>
      </c>
      <c r="C8493" t="str">
        <f>"8303629"</f>
        <v>8303629</v>
      </c>
      <c r="D8493" t="s">
        <v>25553</v>
      </c>
      <c r="E8493" t="s">
        <v>25554</v>
      </c>
      <c r="F8493" t="s">
        <v>25555</v>
      </c>
      <c r="I8493" t="s">
        <v>29</v>
      </c>
      <c r="J8493" t="s">
        <v>30</v>
      </c>
      <c r="K8493" t="str">
        <f>"27028"</f>
        <v>27028</v>
      </c>
      <c r="M8493" t="s">
        <v>18479</v>
      </c>
      <c r="N8493" t="str">
        <f>"5/4/2015 9:03:00 AM"</f>
        <v>5/4/2015 9:03:00 AM</v>
      </c>
      <c r="O8493" t="s">
        <v>25553</v>
      </c>
      <c r="T8493" t="s">
        <v>25554</v>
      </c>
    </row>
    <row r="8494" spans="1:20" x14ac:dyDescent="0.25">
      <c r="A8494" t="str">
        <f>"3078720"</f>
        <v>3078720</v>
      </c>
      <c r="B8494" t="s">
        <v>25556</v>
      </c>
      <c r="C8494" t="str">
        <f>"8304946"</f>
        <v>8304946</v>
      </c>
      <c r="D8494" t="s">
        <v>25557</v>
      </c>
      <c r="F8494" t="s">
        <v>25558</v>
      </c>
      <c r="I8494" t="s">
        <v>29</v>
      </c>
      <c r="J8494" t="s">
        <v>30</v>
      </c>
      <c r="K8494" t="str">
        <f>"27028"</f>
        <v>27028</v>
      </c>
      <c r="M8494" t="s">
        <v>17861</v>
      </c>
      <c r="N8494" t="str">
        <f>"5/4/2015 2:58:00 PM"</f>
        <v>5/4/2015 2:58:00 PM</v>
      </c>
      <c r="O8494" t="s">
        <v>25557</v>
      </c>
    </row>
    <row r="8495" spans="1:20" x14ac:dyDescent="0.25">
      <c r="A8495" t="str">
        <f>"3044202"</f>
        <v>3044202</v>
      </c>
      <c r="B8495" t="s">
        <v>25559</v>
      </c>
      <c r="C8495" t="str">
        <f>"8303650"</f>
        <v>8303650</v>
      </c>
      <c r="D8495" t="s">
        <v>25560</v>
      </c>
      <c r="E8495" t="s">
        <v>25561</v>
      </c>
      <c r="F8495" t="s">
        <v>25562</v>
      </c>
      <c r="I8495" t="s">
        <v>184</v>
      </c>
      <c r="J8495" t="s">
        <v>30</v>
      </c>
      <c r="K8495" t="str">
        <f>"27006"</f>
        <v>27006</v>
      </c>
      <c r="M8495" t="s">
        <v>18479</v>
      </c>
      <c r="N8495" t="str">
        <f>"5/11/2015 9:39:00 AM"</f>
        <v>5/11/2015 9:39:00 AM</v>
      </c>
      <c r="O8495" t="s">
        <v>25560</v>
      </c>
      <c r="T8495" t="s">
        <v>25561</v>
      </c>
    </row>
    <row r="8496" spans="1:20" x14ac:dyDescent="0.25">
      <c r="A8496" t="str">
        <f>"3060250"</f>
        <v>3060250</v>
      </c>
      <c r="B8496" t="s">
        <v>25563</v>
      </c>
      <c r="C8496" t="str">
        <f>"8304981"</f>
        <v>8304981</v>
      </c>
      <c r="D8496" t="s">
        <v>25564</v>
      </c>
      <c r="E8496" t="s">
        <v>25565</v>
      </c>
      <c r="F8496" t="s">
        <v>25566</v>
      </c>
      <c r="I8496" t="s">
        <v>184</v>
      </c>
      <c r="J8496" t="s">
        <v>30</v>
      </c>
      <c r="K8496" t="str">
        <f>"27006"</f>
        <v>27006</v>
      </c>
      <c r="M8496" t="s">
        <v>17861</v>
      </c>
      <c r="N8496" t="str">
        <f>"5/11/2015 10:19:00 AM"</f>
        <v>5/11/2015 10:19:00 AM</v>
      </c>
      <c r="O8496" t="s">
        <v>25564</v>
      </c>
      <c r="T8496" t="s">
        <v>25565</v>
      </c>
    </row>
    <row r="8497" spans="1:20" x14ac:dyDescent="0.25">
      <c r="A8497" t="str">
        <f>"3078905"</f>
        <v>3078905</v>
      </c>
      <c r="B8497" t="s">
        <v>25567</v>
      </c>
      <c r="C8497" t="str">
        <f>"8304984"</f>
        <v>8304984</v>
      </c>
      <c r="D8497" t="s">
        <v>25568</v>
      </c>
      <c r="E8497" t="s">
        <v>25569</v>
      </c>
      <c r="F8497" t="s">
        <v>25168</v>
      </c>
      <c r="I8497" t="s">
        <v>29</v>
      </c>
      <c r="J8497" t="s">
        <v>30</v>
      </c>
      <c r="K8497" t="str">
        <f>"27028"</f>
        <v>27028</v>
      </c>
      <c r="M8497" t="s">
        <v>17861</v>
      </c>
      <c r="N8497" t="str">
        <f>"5/11/2015 11:02:00 AM"</f>
        <v>5/11/2015 11:02:00 AM</v>
      </c>
      <c r="O8497" t="s">
        <v>25568</v>
      </c>
      <c r="T8497" t="s">
        <v>25569</v>
      </c>
    </row>
    <row r="8498" spans="1:20" x14ac:dyDescent="0.25">
      <c r="A8498" t="str">
        <f>"3078902"</f>
        <v>3078902</v>
      </c>
      <c r="B8498" t="s">
        <v>25570</v>
      </c>
      <c r="C8498" t="str">
        <f>"8304984"</f>
        <v>8304984</v>
      </c>
      <c r="D8498" t="s">
        <v>25568</v>
      </c>
      <c r="E8498" t="s">
        <v>25569</v>
      </c>
      <c r="F8498" t="s">
        <v>25168</v>
      </c>
      <c r="I8498" t="s">
        <v>29</v>
      </c>
      <c r="J8498" t="s">
        <v>30</v>
      </c>
      <c r="K8498" t="str">
        <f>"27028"</f>
        <v>27028</v>
      </c>
      <c r="M8498" t="s">
        <v>17861</v>
      </c>
      <c r="N8498" t="str">
        <f>"5/11/2015 11:02:00 AM"</f>
        <v>5/11/2015 11:02:00 AM</v>
      </c>
      <c r="O8498" t="s">
        <v>25568</v>
      </c>
      <c r="T8498" t="s">
        <v>25569</v>
      </c>
    </row>
    <row r="8499" spans="1:20" x14ac:dyDescent="0.25">
      <c r="A8499" t="str">
        <f>"3078901"</f>
        <v>3078901</v>
      </c>
      <c r="B8499" t="s">
        <v>25571</v>
      </c>
      <c r="C8499" t="str">
        <f>"8304984"</f>
        <v>8304984</v>
      </c>
      <c r="D8499" t="s">
        <v>25568</v>
      </c>
      <c r="E8499" t="s">
        <v>25569</v>
      </c>
      <c r="F8499" t="s">
        <v>25168</v>
      </c>
      <c r="I8499" t="s">
        <v>29</v>
      </c>
      <c r="J8499" t="s">
        <v>30</v>
      </c>
      <c r="K8499" t="str">
        <f>"27028"</f>
        <v>27028</v>
      </c>
      <c r="M8499" t="s">
        <v>17861</v>
      </c>
      <c r="N8499" t="str">
        <f>"5/11/2015 11:02:00 AM"</f>
        <v>5/11/2015 11:02:00 AM</v>
      </c>
      <c r="O8499" t="s">
        <v>25568</v>
      </c>
      <c r="T8499" t="s">
        <v>25569</v>
      </c>
    </row>
    <row r="8500" spans="1:20" x14ac:dyDescent="0.25">
      <c r="A8500" t="str">
        <f>"3055401"</f>
        <v>3055401</v>
      </c>
      <c r="B8500" t="s">
        <v>25572</v>
      </c>
      <c r="C8500" t="str">
        <f>"8304984"</f>
        <v>8304984</v>
      </c>
      <c r="D8500" t="s">
        <v>25568</v>
      </c>
      <c r="E8500" t="s">
        <v>25569</v>
      </c>
      <c r="F8500" t="s">
        <v>25168</v>
      </c>
      <c r="I8500" t="s">
        <v>29</v>
      </c>
      <c r="J8500" t="s">
        <v>30</v>
      </c>
      <c r="K8500" t="str">
        <f>"27028"</f>
        <v>27028</v>
      </c>
      <c r="M8500" t="s">
        <v>17861</v>
      </c>
      <c r="N8500" t="str">
        <f>"5/11/2015 11:02:00 AM"</f>
        <v>5/11/2015 11:02:00 AM</v>
      </c>
      <c r="O8500" t="s">
        <v>25568</v>
      </c>
      <c r="T8500" t="s">
        <v>25569</v>
      </c>
    </row>
    <row r="8501" spans="1:20" x14ac:dyDescent="0.25">
      <c r="A8501" t="str">
        <f>"3044536"</f>
        <v>3044536</v>
      </c>
      <c r="B8501" t="s">
        <v>25573</v>
      </c>
      <c r="C8501" t="str">
        <f>"8304986"</f>
        <v>8304986</v>
      </c>
      <c r="D8501" t="s">
        <v>25574</v>
      </c>
      <c r="E8501" t="s">
        <v>25575</v>
      </c>
      <c r="F8501" t="s">
        <v>25576</v>
      </c>
      <c r="I8501" t="s">
        <v>184</v>
      </c>
      <c r="J8501" t="s">
        <v>30</v>
      </c>
      <c r="K8501" t="str">
        <f>"27006"</f>
        <v>27006</v>
      </c>
      <c r="M8501" t="s">
        <v>17861</v>
      </c>
      <c r="N8501" t="str">
        <f>"5/11/2015 11:18:00 AM"</f>
        <v>5/11/2015 11:18:00 AM</v>
      </c>
      <c r="O8501" t="s">
        <v>25574</v>
      </c>
      <c r="T8501" t="s">
        <v>25575</v>
      </c>
    </row>
    <row r="8502" spans="1:20" x14ac:dyDescent="0.25">
      <c r="A8502" t="str">
        <f>"3047398"</f>
        <v>3047398</v>
      </c>
      <c r="B8502" t="s">
        <v>25577</v>
      </c>
      <c r="C8502" t="str">
        <f>"82519149"</f>
        <v>82519149</v>
      </c>
      <c r="D8502" t="s">
        <v>25578</v>
      </c>
      <c r="F8502" t="s">
        <v>25579</v>
      </c>
      <c r="I8502" t="s">
        <v>184</v>
      </c>
      <c r="J8502" t="s">
        <v>30</v>
      </c>
      <c r="K8502" t="s">
        <v>7665</v>
      </c>
      <c r="M8502" t="s">
        <v>18479</v>
      </c>
      <c r="N8502" t="str">
        <f>"4/23/2015 4:12:00 PM"</f>
        <v>4/23/2015 4:12:00 PM</v>
      </c>
      <c r="O8502" t="s">
        <v>25578</v>
      </c>
    </row>
    <row r="8503" spans="1:20" x14ac:dyDescent="0.25">
      <c r="A8503" t="str">
        <f>"3051636"</f>
        <v>3051636</v>
      </c>
      <c r="B8503" t="s">
        <v>25580</v>
      </c>
      <c r="C8503" t="str">
        <f>"26112500"</f>
        <v>26112500</v>
      </c>
      <c r="D8503" t="s">
        <v>25581</v>
      </c>
      <c r="F8503" t="s">
        <v>25582</v>
      </c>
      <c r="I8503" t="s">
        <v>29</v>
      </c>
      <c r="J8503" t="s">
        <v>30</v>
      </c>
      <c r="K8503" t="s">
        <v>25583</v>
      </c>
      <c r="M8503" t="s">
        <v>18479</v>
      </c>
      <c r="N8503" t="str">
        <f>"4/24/2015 11:38:00 AM"</f>
        <v>4/24/2015 11:38:00 AM</v>
      </c>
      <c r="O8503" t="s">
        <v>25581</v>
      </c>
    </row>
    <row r="8504" spans="1:20" x14ac:dyDescent="0.25">
      <c r="A8504" t="str">
        <f>"3063704"</f>
        <v>3063704</v>
      </c>
      <c r="B8504" t="s">
        <v>25584</v>
      </c>
      <c r="C8504" t="str">
        <f>"29778700"</f>
        <v>29778700</v>
      </c>
      <c r="D8504" t="s">
        <v>25585</v>
      </c>
      <c r="F8504" t="s">
        <v>25586</v>
      </c>
      <c r="I8504" t="s">
        <v>29</v>
      </c>
      <c r="J8504" t="s">
        <v>30</v>
      </c>
      <c r="K8504" t="s">
        <v>25587</v>
      </c>
      <c r="M8504" t="s">
        <v>18479</v>
      </c>
      <c r="N8504" t="str">
        <f>"5/11/2015 11:56:00 AM"</f>
        <v>5/11/2015 11:56:00 AM</v>
      </c>
      <c r="O8504" t="s">
        <v>25585</v>
      </c>
    </row>
    <row r="8505" spans="1:20" x14ac:dyDescent="0.25">
      <c r="A8505" t="str">
        <f>"3064707"</f>
        <v>3064707</v>
      </c>
      <c r="B8505" t="s">
        <v>25588</v>
      </c>
      <c r="C8505" t="str">
        <f>"8304988"</f>
        <v>8304988</v>
      </c>
      <c r="D8505" t="s">
        <v>25589</v>
      </c>
      <c r="E8505" t="s">
        <v>25590</v>
      </c>
      <c r="F8505" t="s">
        <v>25591</v>
      </c>
      <c r="I8505" t="s">
        <v>9580</v>
      </c>
      <c r="J8505" t="s">
        <v>30</v>
      </c>
      <c r="K8505" t="str">
        <f>"27014"</f>
        <v>27014</v>
      </c>
      <c r="M8505" t="s">
        <v>17861</v>
      </c>
      <c r="N8505" t="str">
        <f>"5/11/2015 12:55:00 PM"</f>
        <v>5/11/2015 12:55:00 PM</v>
      </c>
      <c r="O8505" t="s">
        <v>25589</v>
      </c>
      <c r="T8505" t="s">
        <v>25590</v>
      </c>
    </row>
    <row r="8506" spans="1:20" x14ac:dyDescent="0.25">
      <c r="A8506" t="str">
        <f>"3067809"</f>
        <v>3067809</v>
      </c>
      <c r="B8506" t="s">
        <v>25592</v>
      </c>
      <c r="C8506" t="str">
        <f>"8303413"</f>
        <v>8303413</v>
      </c>
      <c r="D8506" t="s">
        <v>1463</v>
      </c>
      <c r="F8506" t="s">
        <v>1465</v>
      </c>
      <c r="I8506" t="s">
        <v>29</v>
      </c>
      <c r="J8506" t="s">
        <v>30</v>
      </c>
      <c r="K8506" t="str">
        <f t="shared" ref="K8506:K8511" si="127">"27028"</f>
        <v>27028</v>
      </c>
      <c r="M8506" t="s">
        <v>18479</v>
      </c>
      <c r="N8506" t="str">
        <f>"5/11/2015 1:48:00 PM"</f>
        <v>5/11/2015 1:48:00 PM</v>
      </c>
      <c r="O8506" t="s">
        <v>1463</v>
      </c>
    </row>
    <row r="8507" spans="1:20" x14ac:dyDescent="0.25">
      <c r="A8507" t="str">
        <f>"3062204"</f>
        <v>3062204</v>
      </c>
      <c r="B8507" t="s">
        <v>25593</v>
      </c>
      <c r="C8507" t="str">
        <f>"8303413"</f>
        <v>8303413</v>
      </c>
      <c r="D8507" t="s">
        <v>1463</v>
      </c>
      <c r="F8507" t="s">
        <v>1465</v>
      </c>
      <c r="I8507" t="s">
        <v>29</v>
      </c>
      <c r="J8507" t="s">
        <v>30</v>
      </c>
      <c r="K8507" t="str">
        <f t="shared" si="127"/>
        <v>27028</v>
      </c>
      <c r="M8507" t="s">
        <v>18479</v>
      </c>
      <c r="N8507" t="str">
        <f>"5/11/2015 1:48:00 PM"</f>
        <v>5/11/2015 1:48:00 PM</v>
      </c>
      <c r="O8507" t="s">
        <v>1463</v>
      </c>
    </row>
    <row r="8508" spans="1:20" x14ac:dyDescent="0.25">
      <c r="A8508" t="str">
        <f>"3059565"</f>
        <v>3059565</v>
      </c>
      <c r="B8508" t="s">
        <v>25594</v>
      </c>
      <c r="C8508" t="str">
        <f>"8304992"</f>
        <v>8304992</v>
      </c>
      <c r="D8508" t="s">
        <v>25595</v>
      </c>
      <c r="E8508" t="s">
        <v>25596</v>
      </c>
      <c r="F8508" t="s">
        <v>25597</v>
      </c>
      <c r="I8508" t="s">
        <v>29</v>
      </c>
      <c r="J8508" t="s">
        <v>30</v>
      </c>
      <c r="K8508" t="str">
        <f t="shared" si="127"/>
        <v>27028</v>
      </c>
      <c r="M8508" t="s">
        <v>17861</v>
      </c>
      <c r="N8508" t="str">
        <f>"5/11/2015 1:51:00 PM"</f>
        <v>5/11/2015 1:51:00 PM</v>
      </c>
      <c r="O8508" t="s">
        <v>25595</v>
      </c>
      <c r="T8508" t="s">
        <v>25596</v>
      </c>
    </row>
    <row r="8509" spans="1:20" x14ac:dyDescent="0.25">
      <c r="A8509" t="str">
        <f>"3056062"</f>
        <v>3056062</v>
      </c>
      <c r="B8509" t="s">
        <v>25598</v>
      </c>
      <c r="C8509" t="str">
        <f>"82533128"</f>
        <v>82533128</v>
      </c>
      <c r="D8509" t="s">
        <v>25599</v>
      </c>
      <c r="F8509" t="s">
        <v>25600</v>
      </c>
      <c r="I8509" t="s">
        <v>29</v>
      </c>
      <c r="J8509" t="s">
        <v>30</v>
      </c>
      <c r="K8509" t="str">
        <f t="shared" si="127"/>
        <v>27028</v>
      </c>
      <c r="M8509" t="s">
        <v>17861</v>
      </c>
      <c r="N8509" t="str">
        <f>"5/11/2015 1:56:00 PM"</f>
        <v>5/11/2015 1:56:00 PM</v>
      </c>
      <c r="O8509" t="s">
        <v>25599</v>
      </c>
    </row>
    <row r="8510" spans="1:20" x14ac:dyDescent="0.25">
      <c r="A8510" t="str">
        <f>"3056063"</f>
        <v>3056063</v>
      </c>
      <c r="B8510" t="s">
        <v>25601</v>
      </c>
      <c r="C8510" t="str">
        <f>"82533128"</f>
        <v>82533128</v>
      </c>
      <c r="D8510" t="s">
        <v>25599</v>
      </c>
      <c r="F8510" t="s">
        <v>25600</v>
      </c>
      <c r="I8510" t="s">
        <v>29</v>
      </c>
      <c r="J8510" t="s">
        <v>30</v>
      </c>
      <c r="K8510" t="str">
        <f t="shared" si="127"/>
        <v>27028</v>
      </c>
      <c r="M8510" t="s">
        <v>17861</v>
      </c>
      <c r="N8510" t="str">
        <f>"5/11/2015 1:56:00 PM"</f>
        <v>5/11/2015 1:56:00 PM</v>
      </c>
      <c r="O8510" t="s">
        <v>25599</v>
      </c>
    </row>
    <row r="8511" spans="1:20" x14ac:dyDescent="0.25">
      <c r="A8511" t="str">
        <f>"3061652"</f>
        <v>3061652</v>
      </c>
      <c r="B8511" t="s">
        <v>25602</v>
      </c>
      <c r="C8511" t="str">
        <f>"8304995"</f>
        <v>8304995</v>
      </c>
      <c r="D8511" t="s">
        <v>25603</v>
      </c>
      <c r="E8511" t="s">
        <v>25604</v>
      </c>
      <c r="F8511" t="s">
        <v>25605</v>
      </c>
      <c r="I8511" t="s">
        <v>29</v>
      </c>
      <c r="J8511" t="s">
        <v>30</v>
      </c>
      <c r="K8511" t="str">
        <f t="shared" si="127"/>
        <v>27028</v>
      </c>
      <c r="M8511" t="s">
        <v>17861</v>
      </c>
      <c r="N8511" t="str">
        <f>"5/11/2015 2:19:00 PM"</f>
        <v>5/11/2015 2:19:00 PM</v>
      </c>
      <c r="O8511" t="s">
        <v>25603</v>
      </c>
      <c r="T8511" t="s">
        <v>25604</v>
      </c>
    </row>
    <row r="8512" spans="1:20" x14ac:dyDescent="0.25">
      <c r="A8512" t="str">
        <f>"3051861"</f>
        <v>3051861</v>
      </c>
      <c r="B8512" t="s">
        <v>25606</v>
      </c>
      <c r="C8512" t="str">
        <f>"26112500"</f>
        <v>26112500</v>
      </c>
      <c r="D8512" t="s">
        <v>25581</v>
      </c>
      <c r="F8512" t="s">
        <v>25582</v>
      </c>
      <c r="I8512" t="s">
        <v>29</v>
      </c>
      <c r="J8512" t="s">
        <v>30</v>
      </c>
      <c r="K8512" t="s">
        <v>25583</v>
      </c>
      <c r="M8512" t="s">
        <v>18479</v>
      </c>
      <c r="N8512" t="str">
        <f>"4/24/2015 11:38:00 AM"</f>
        <v>4/24/2015 11:38:00 AM</v>
      </c>
      <c r="O8512" t="s">
        <v>25581</v>
      </c>
    </row>
    <row r="8513" spans="1:20" x14ac:dyDescent="0.25">
      <c r="A8513" t="str">
        <f>"3061585"</f>
        <v>3061585</v>
      </c>
      <c r="B8513" t="s">
        <v>25607</v>
      </c>
      <c r="C8513" t="str">
        <f>"8304925"</f>
        <v>8304925</v>
      </c>
      <c r="D8513" t="s">
        <v>25608</v>
      </c>
      <c r="F8513" t="s">
        <v>25609</v>
      </c>
      <c r="I8513" t="s">
        <v>29</v>
      </c>
      <c r="J8513" t="s">
        <v>30</v>
      </c>
      <c r="K8513" t="str">
        <f>"27028"</f>
        <v>27028</v>
      </c>
      <c r="M8513" t="s">
        <v>17861</v>
      </c>
      <c r="N8513" t="str">
        <f>"4/24/2015 1:20:00 PM"</f>
        <v>4/24/2015 1:20:00 PM</v>
      </c>
      <c r="O8513" t="s">
        <v>25608</v>
      </c>
    </row>
    <row r="8514" spans="1:20" x14ac:dyDescent="0.25">
      <c r="A8514" t="str">
        <f>"3053954"</f>
        <v>3053954</v>
      </c>
      <c r="B8514" t="s">
        <v>25610</v>
      </c>
      <c r="C8514" t="str">
        <f>"8304946"</f>
        <v>8304946</v>
      </c>
      <c r="D8514" t="s">
        <v>25557</v>
      </c>
      <c r="F8514" t="s">
        <v>25558</v>
      </c>
      <c r="I8514" t="s">
        <v>29</v>
      </c>
      <c r="J8514" t="s">
        <v>30</v>
      </c>
      <c r="K8514" t="str">
        <f>"27028"</f>
        <v>27028</v>
      </c>
      <c r="M8514" t="s">
        <v>17861</v>
      </c>
      <c r="N8514" t="str">
        <f>"5/4/2015 2:58:00 PM"</f>
        <v>5/4/2015 2:58:00 PM</v>
      </c>
      <c r="O8514" t="s">
        <v>25557</v>
      </c>
    </row>
    <row r="8515" spans="1:20" x14ac:dyDescent="0.25">
      <c r="A8515" t="str">
        <f>"3038376"</f>
        <v>3038376</v>
      </c>
      <c r="B8515" t="s">
        <v>25611</v>
      </c>
      <c r="C8515" t="str">
        <f>"82524941"</f>
        <v>82524941</v>
      </c>
      <c r="D8515" t="s">
        <v>25612</v>
      </c>
      <c r="E8515" t="s">
        <v>25613</v>
      </c>
      <c r="F8515" t="s">
        <v>2713</v>
      </c>
      <c r="I8515" t="s">
        <v>29</v>
      </c>
      <c r="J8515" t="s">
        <v>30</v>
      </c>
      <c r="K8515" t="s">
        <v>31</v>
      </c>
      <c r="M8515" t="s">
        <v>18479</v>
      </c>
      <c r="N8515" t="str">
        <f>"5/5/2015 10:02:00 AM"</f>
        <v>5/5/2015 10:02:00 AM</v>
      </c>
      <c r="O8515" t="s">
        <v>25612</v>
      </c>
      <c r="T8515" t="s">
        <v>25613</v>
      </c>
    </row>
    <row r="8516" spans="1:20" x14ac:dyDescent="0.25">
      <c r="A8516" t="str">
        <f>"3041441"</f>
        <v>3041441</v>
      </c>
      <c r="B8516" t="s">
        <v>25614</v>
      </c>
      <c r="C8516" t="str">
        <f>"8305001"</f>
        <v>8305001</v>
      </c>
      <c r="D8516" t="s">
        <v>25615</v>
      </c>
      <c r="F8516" t="s">
        <v>25616</v>
      </c>
      <c r="I8516" t="s">
        <v>2071</v>
      </c>
      <c r="J8516" t="s">
        <v>30</v>
      </c>
      <c r="K8516" t="str">
        <f>"27006"</f>
        <v>27006</v>
      </c>
      <c r="M8516" t="s">
        <v>17861</v>
      </c>
      <c r="N8516" t="str">
        <f>"5/13/2015 2:29:00 PM"</f>
        <v>5/13/2015 2:29:00 PM</v>
      </c>
      <c r="O8516" t="s">
        <v>25615</v>
      </c>
    </row>
    <row r="8517" spans="1:20" x14ac:dyDescent="0.25">
      <c r="A8517" t="str">
        <f>"3050747"</f>
        <v>3050747</v>
      </c>
      <c r="B8517" t="s">
        <v>25617</v>
      </c>
      <c r="C8517" t="str">
        <f>"8305002"</f>
        <v>8305002</v>
      </c>
      <c r="D8517" t="s">
        <v>25618</v>
      </c>
      <c r="E8517" t="s">
        <v>25619</v>
      </c>
      <c r="F8517" t="s">
        <v>25620</v>
      </c>
      <c r="I8517" t="s">
        <v>184</v>
      </c>
      <c r="J8517" t="s">
        <v>30</v>
      </c>
      <c r="K8517" t="str">
        <f>"27006"</f>
        <v>27006</v>
      </c>
      <c r="M8517" t="s">
        <v>17861</v>
      </c>
      <c r="N8517" t="str">
        <f>"5/13/2015 2:31:00 PM"</f>
        <v>5/13/2015 2:31:00 PM</v>
      </c>
      <c r="O8517" t="s">
        <v>25618</v>
      </c>
      <c r="T8517" t="s">
        <v>25619</v>
      </c>
    </row>
    <row r="8518" spans="1:20" x14ac:dyDescent="0.25">
      <c r="A8518" t="str">
        <f>"3072084"</f>
        <v>3072084</v>
      </c>
      <c r="B8518" t="s">
        <v>25621</v>
      </c>
      <c r="C8518" t="str">
        <f>"38452000"</f>
        <v>38452000</v>
      </c>
      <c r="D8518" t="s">
        <v>25622</v>
      </c>
      <c r="E8518" t="s">
        <v>25623</v>
      </c>
      <c r="F8518" t="s">
        <v>25624</v>
      </c>
      <c r="I8518" t="s">
        <v>29</v>
      </c>
      <c r="J8518" t="s">
        <v>30</v>
      </c>
      <c r="K8518" t="s">
        <v>2803</v>
      </c>
      <c r="M8518" t="s">
        <v>25625</v>
      </c>
      <c r="N8518" t="str">
        <f>"5/13/2015 2:31:00 PM"</f>
        <v>5/13/2015 2:31:00 PM</v>
      </c>
      <c r="O8518" t="s">
        <v>25622</v>
      </c>
      <c r="T8518" t="s">
        <v>25623</v>
      </c>
    </row>
    <row r="8519" spans="1:20" x14ac:dyDescent="0.25">
      <c r="A8519" t="str">
        <f>"3077096"</f>
        <v>3077096</v>
      </c>
      <c r="B8519" t="s">
        <v>25626</v>
      </c>
      <c r="C8519" t="str">
        <f>"38452000"</f>
        <v>38452000</v>
      </c>
      <c r="D8519" t="s">
        <v>25622</v>
      </c>
      <c r="E8519" t="s">
        <v>25623</v>
      </c>
      <c r="F8519" t="s">
        <v>25624</v>
      </c>
      <c r="I8519" t="s">
        <v>29</v>
      </c>
      <c r="J8519" t="s">
        <v>30</v>
      </c>
      <c r="K8519" t="s">
        <v>2803</v>
      </c>
      <c r="M8519" t="s">
        <v>25625</v>
      </c>
      <c r="N8519" t="str">
        <f>"5/13/2015 2:31:00 PM"</f>
        <v>5/13/2015 2:31:00 PM</v>
      </c>
      <c r="O8519" t="s">
        <v>25622</v>
      </c>
      <c r="T8519" t="s">
        <v>25623</v>
      </c>
    </row>
    <row r="8520" spans="1:20" x14ac:dyDescent="0.25">
      <c r="A8520" t="str">
        <f>"3076875"</f>
        <v>3076875</v>
      </c>
      <c r="B8520" t="s">
        <v>25627</v>
      </c>
      <c r="C8520" t="str">
        <f>"38452000"</f>
        <v>38452000</v>
      </c>
      <c r="D8520" t="s">
        <v>25622</v>
      </c>
      <c r="E8520" t="s">
        <v>25623</v>
      </c>
      <c r="F8520" t="s">
        <v>25624</v>
      </c>
      <c r="I8520" t="s">
        <v>29</v>
      </c>
      <c r="J8520" t="s">
        <v>30</v>
      </c>
      <c r="K8520" t="s">
        <v>2803</v>
      </c>
      <c r="M8520" t="s">
        <v>25625</v>
      </c>
      <c r="N8520" t="str">
        <f>"5/13/2015 2:31:00 PM"</f>
        <v>5/13/2015 2:31:00 PM</v>
      </c>
      <c r="O8520" t="s">
        <v>25622</v>
      </c>
      <c r="T8520" t="s">
        <v>25623</v>
      </c>
    </row>
    <row r="8521" spans="1:20" x14ac:dyDescent="0.25">
      <c r="A8521" t="str">
        <f>"3052534"</f>
        <v>3052534</v>
      </c>
      <c r="B8521" t="s">
        <v>25628</v>
      </c>
      <c r="C8521" t="str">
        <f>"82515881"</f>
        <v>82515881</v>
      </c>
      <c r="D8521" t="s">
        <v>25629</v>
      </c>
      <c r="F8521" t="s">
        <v>25630</v>
      </c>
      <c r="I8521" t="s">
        <v>29</v>
      </c>
      <c r="J8521" t="s">
        <v>30</v>
      </c>
      <c r="K8521" t="s">
        <v>25631</v>
      </c>
      <c r="M8521" t="s">
        <v>18479</v>
      </c>
      <c r="N8521" t="str">
        <f>"5/5/2015 10:11:00 AM"</f>
        <v>5/5/2015 10:11:00 AM</v>
      </c>
      <c r="O8521" t="s">
        <v>25629</v>
      </c>
    </row>
    <row r="8522" spans="1:20" x14ac:dyDescent="0.25">
      <c r="A8522" t="str">
        <f>"3040639"</f>
        <v>3040639</v>
      </c>
      <c r="B8522" t="s">
        <v>25632</v>
      </c>
      <c r="C8522" t="str">
        <f>"8304955"</f>
        <v>8304955</v>
      </c>
      <c r="D8522" t="s">
        <v>25633</v>
      </c>
      <c r="E8522" t="s">
        <v>25634</v>
      </c>
      <c r="F8522" t="s">
        <v>25635</v>
      </c>
      <c r="I8522" t="s">
        <v>184</v>
      </c>
      <c r="J8522" t="s">
        <v>30</v>
      </c>
      <c r="K8522" t="str">
        <f>"27006"</f>
        <v>27006</v>
      </c>
      <c r="M8522" t="s">
        <v>17861</v>
      </c>
      <c r="N8522" t="str">
        <f>"5/5/2015 10:22:00 AM"</f>
        <v>5/5/2015 10:22:00 AM</v>
      </c>
      <c r="O8522" t="s">
        <v>25633</v>
      </c>
      <c r="T8522" t="s">
        <v>25634</v>
      </c>
    </row>
    <row r="8523" spans="1:20" x14ac:dyDescent="0.25">
      <c r="A8523" t="str">
        <f>"3060357"</f>
        <v>3060357</v>
      </c>
      <c r="B8523" t="s">
        <v>25636</v>
      </c>
      <c r="C8523" t="str">
        <f>"8304960"</f>
        <v>8304960</v>
      </c>
      <c r="D8523" t="s">
        <v>25637</v>
      </c>
      <c r="E8523" t="s">
        <v>25638</v>
      </c>
      <c r="F8523" t="s">
        <v>25639</v>
      </c>
      <c r="I8523" t="s">
        <v>29</v>
      </c>
      <c r="J8523" t="s">
        <v>30</v>
      </c>
      <c r="K8523" t="str">
        <f>"27028"</f>
        <v>27028</v>
      </c>
      <c r="M8523" t="s">
        <v>17861</v>
      </c>
      <c r="N8523" t="str">
        <f>"5/5/2015 1:02:00 PM"</f>
        <v>5/5/2015 1:02:00 PM</v>
      </c>
      <c r="O8523" t="s">
        <v>25637</v>
      </c>
      <c r="T8523" t="s">
        <v>25638</v>
      </c>
    </row>
    <row r="8524" spans="1:20" x14ac:dyDescent="0.25">
      <c r="A8524" t="str">
        <f>"3095596"</f>
        <v>3095596</v>
      </c>
      <c r="B8524" t="s">
        <v>25640</v>
      </c>
      <c r="C8524" t="str">
        <f>"82523797"</f>
        <v>82523797</v>
      </c>
      <c r="D8524" t="s">
        <v>25641</v>
      </c>
      <c r="F8524" t="s">
        <v>25642</v>
      </c>
      <c r="I8524" t="s">
        <v>29</v>
      </c>
      <c r="J8524" t="s">
        <v>30</v>
      </c>
      <c r="K8524" t="s">
        <v>31</v>
      </c>
      <c r="M8524" t="s">
        <v>18479</v>
      </c>
      <c r="N8524" t="str">
        <f>"5/5/2015 1:05:00 PM"</f>
        <v>5/5/2015 1:05:00 PM</v>
      </c>
      <c r="O8524" t="s">
        <v>25641</v>
      </c>
    </row>
    <row r="8525" spans="1:20" x14ac:dyDescent="0.25">
      <c r="A8525" t="str">
        <f>"3051119"</f>
        <v>3051119</v>
      </c>
      <c r="B8525" t="s">
        <v>25643</v>
      </c>
      <c r="C8525" t="str">
        <f>"82523797"</f>
        <v>82523797</v>
      </c>
      <c r="D8525" t="s">
        <v>25641</v>
      </c>
      <c r="F8525" t="s">
        <v>25642</v>
      </c>
      <c r="I8525" t="s">
        <v>29</v>
      </c>
      <c r="J8525" t="s">
        <v>30</v>
      </c>
      <c r="K8525" t="s">
        <v>31</v>
      </c>
      <c r="M8525" t="s">
        <v>18479</v>
      </c>
      <c r="N8525" t="str">
        <f>"5/5/2015 1:05:00 PM"</f>
        <v>5/5/2015 1:05:00 PM</v>
      </c>
      <c r="O8525" t="s">
        <v>25641</v>
      </c>
    </row>
    <row r="8526" spans="1:20" x14ac:dyDescent="0.25">
      <c r="A8526" t="str">
        <f>"3056779"</f>
        <v>3056779</v>
      </c>
      <c r="B8526" t="s">
        <v>25644</v>
      </c>
      <c r="C8526" t="str">
        <f>"82526261"</f>
        <v>82526261</v>
      </c>
      <c r="D8526" t="s">
        <v>25645</v>
      </c>
      <c r="E8526" t="s">
        <v>25646</v>
      </c>
      <c r="F8526" t="s">
        <v>25647</v>
      </c>
      <c r="I8526" t="s">
        <v>29</v>
      </c>
      <c r="J8526" t="s">
        <v>30</v>
      </c>
      <c r="K8526" t="s">
        <v>31</v>
      </c>
      <c r="M8526" t="s">
        <v>18479</v>
      </c>
      <c r="N8526" t="str">
        <f>"5/5/2015 3:50:00 PM"</f>
        <v>5/5/2015 3:50:00 PM</v>
      </c>
      <c r="O8526" t="s">
        <v>25645</v>
      </c>
      <c r="T8526" t="s">
        <v>25646</v>
      </c>
    </row>
    <row r="8527" spans="1:20" x14ac:dyDescent="0.25">
      <c r="A8527" t="str">
        <f>"3049951"</f>
        <v>3049951</v>
      </c>
      <c r="B8527" t="s">
        <v>25648</v>
      </c>
      <c r="C8527" t="str">
        <f>"8302925"</f>
        <v>8302925</v>
      </c>
      <c r="D8527" t="s">
        <v>25649</v>
      </c>
      <c r="E8527" t="s">
        <v>25650</v>
      </c>
      <c r="F8527" t="s">
        <v>25651</v>
      </c>
      <c r="I8527" t="s">
        <v>29</v>
      </c>
      <c r="J8527" t="s">
        <v>30</v>
      </c>
      <c r="K8527" t="str">
        <f>"27028"</f>
        <v>27028</v>
      </c>
      <c r="M8527" t="s">
        <v>18479</v>
      </c>
      <c r="N8527" t="str">
        <f>"5/5/2015 4:30:00 PM"</f>
        <v>5/5/2015 4:30:00 PM</v>
      </c>
      <c r="O8527" t="s">
        <v>25649</v>
      </c>
      <c r="T8527" t="s">
        <v>25650</v>
      </c>
    </row>
    <row r="8528" spans="1:20" x14ac:dyDescent="0.25">
      <c r="A8528" t="str">
        <f>"3043610"</f>
        <v>3043610</v>
      </c>
      <c r="B8528" t="s">
        <v>25652</v>
      </c>
      <c r="C8528" t="str">
        <f>"8305017"</f>
        <v>8305017</v>
      </c>
      <c r="D8528" t="s">
        <v>25653</v>
      </c>
      <c r="E8528" t="s">
        <v>25654</v>
      </c>
      <c r="F8528" t="s">
        <v>25655</v>
      </c>
      <c r="I8528" t="s">
        <v>29</v>
      </c>
      <c r="J8528" t="s">
        <v>30</v>
      </c>
      <c r="K8528" t="str">
        <f>"27028"</f>
        <v>27028</v>
      </c>
      <c r="M8528" t="s">
        <v>17861</v>
      </c>
      <c r="N8528" t="str">
        <f>"5/18/2015 2:57:00 PM"</f>
        <v>5/18/2015 2:57:00 PM</v>
      </c>
      <c r="O8528" t="s">
        <v>25653</v>
      </c>
      <c r="T8528" t="s">
        <v>25654</v>
      </c>
    </row>
    <row r="8529" spans="1:20" x14ac:dyDescent="0.25">
      <c r="A8529" t="str">
        <f>"3056514"</f>
        <v>3056514</v>
      </c>
      <c r="B8529" t="s">
        <v>25656</v>
      </c>
      <c r="C8529" t="str">
        <f>"43712000"</f>
        <v>43712000</v>
      </c>
      <c r="D8529" t="s">
        <v>25657</v>
      </c>
      <c r="E8529" t="s">
        <v>25658</v>
      </c>
      <c r="F8529" t="s">
        <v>25659</v>
      </c>
      <c r="I8529" t="s">
        <v>29</v>
      </c>
      <c r="J8529" t="s">
        <v>30</v>
      </c>
      <c r="K8529" t="s">
        <v>31</v>
      </c>
      <c r="M8529" t="s">
        <v>25625</v>
      </c>
      <c r="N8529" t="str">
        <f>"5/6/2015 10:21:00 AM"</f>
        <v>5/6/2015 10:21:00 AM</v>
      </c>
      <c r="O8529" t="s">
        <v>25657</v>
      </c>
      <c r="T8529" t="s">
        <v>25658</v>
      </c>
    </row>
    <row r="8530" spans="1:20" x14ac:dyDescent="0.25">
      <c r="A8530" t="str">
        <f>"3055890"</f>
        <v>3055890</v>
      </c>
      <c r="B8530" t="s">
        <v>25660</v>
      </c>
      <c r="C8530" t="str">
        <f>"43712000"</f>
        <v>43712000</v>
      </c>
      <c r="D8530" t="s">
        <v>25657</v>
      </c>
      <c r="E8530" t="s">
        <v>25658</v>
      </c>
      <c r="F8530" t="s">
        <v>25659</v>
      </c>
      <c r="I8530" t="s">
        <v>29</v>
      </c>
      <c r="J8530" t="s">
        <v>30</v>
      </c>
      <c r="K8530" t="s">
        <v>31</v>
      </c>
      <c r="M8530" t="s">
        <v>25625</v>
      </c>
      <c r="N8530" t="str">
        <f>"5/6/2015 10:21:00 AM"</f>
        <v>5/6/2015 10:21:00 AM</v>
      </c>
      <c r="O8530" t="s">
        <v>25657</v>
      </c>
      <c r="T8530" t="s">
        <v>25658</v>
      </c>
    </row>
    <row r="8531" spans="1:20" x14ac:dyDescent="0.25">
      <c r="A8531" t="str">
        <f>"3056253"</f>
        <v>3056253</v>
      </c>
      <c r="B8531" t="s">
        <v>25661</v>
      </c>
      <c r="C8531" t="str">
        <f>"43712000"</f>
        <v>43712000</v>
      </c>
      <c r="D8531" t="s">
        <v>25657</v>
      </c>
      <c r="E8531" t="s">
        <v>25658</v>
      </c>
      <c r="F8531" t="s">
        <v>25659</v>
      </c>
      <c r="I8531" t="s">
        <v>29</v>
      </c>
      <c r="J8531" t="s">
        <v>30</v>
      </c>
      <c r="K8531" t="s">
        <v>31</v>
      </c>
      <c r="M8531" t="s">
        <v>25625</v>
      </c>
      <c r="N8531" t="str">
        <f>"5/6/2015 10:21:00 AM"</f>
        <v>5/6/2015 10:21:00 AM</v>
      </c>
      <c r="O8531" t="s">
        <v>25657</v>
      </c>
      <c r="T8531" t="s">
        <v>25658</v>
      </c>
    </row>
    <row r="8532" spans="1:20" x14ac:dyDescent="0.25">
      <c r="A8532" t="str">
        <f>"3044823"</f>
        <v>3044823</v>
      </c>
      <c r="B8532" t="s">
        <v>25662</v>
      </c>
      <c r="C8532" t="str">
        <f>"8303952"</f>
        <v>8303952</v>
      </c>
      <c r="D8532" t="s">
        <v>25663</v>
      </c>
      <c r="E8532" t="s">
        <v>25664</v>
      </c>
      <c r="F8532" t="s">
        <v>25665</v>
      </c>
      <c r="I8532" t="s">
        <v>184</v>
      </c>
      <c r="J8532" t="s">
        <v>30</v>
      </c>
      <c r="K8532" t="str">
        <f>"27006"</f>
        <v>27006</v>
      </c>
      <c r="M8532" t="s">
        <v>18479</v>
      </c>
      <c r="N8532" t="str">
        <f>"5/6/2015 2:18:00 PM"</f>
        <v>5/6/2015 2:18:00 PM</v>
      </c>
      <c r="O8532" t="s">
        <v>25663</v>
      </c>
      <c r="T8532" t="s">
        <v>25664</v>
      </c>
    </row>
    <row r="8533" spans="1:20" x14ac:dyDescent="0.25">
      <c r="A8533" t="str">
        <f>"3046363"</f>
        <v>3046363</v>
      </c>
      <c r="B8533" t="s">
        <v>25666</v>
      </c>
      <c r="C8533" t="str">
        <f>"33520000"</f>
        <v>33520000</v>
      </c>
      <c r="D8533" t="s">
        <v>25667</v>
      </c>
      <c r="E8533" t="s">
        <v>25668</v>
      </c>
      <c r="F8533" t="s">
        <v>25669</v>
      </c>
      <c r="I8533" t="s">
        <v>29</v>
      </c>
      <c r="J8533" t="s">
        <v>30</v>
      </c>
      <c r="K8533" t="s">
        <v>31</v>
      </c>
      <c r="M8533" t="s">
        <v>18479</v>
      </c>
      <c r="N8533" t="str">
        <f>"5/18/2015 4:23:00 PM"</f>
        <v>5/18/2015 4:23:00 PM</v>
      </c>
      <c r="O8533" t="s">
        <v>25667</v>
      </c>
      <c r="T8533" t="s">
        <v>25668</v>
      </c>
    </row>
    <row r="8534" spans="1:20" x14ac:dyDescent="0.25">
      <c r="A8534" t="str">
        <f>"3056685"</f>
        <v>3056685</v>
      </c>
      <c r="B8534" t="s">
        <v>25670</v>
      </c>
      <c r="C8534" t="str">
        <f>"28388000"</f>
        <v>28388000</v>
      </c>
      <c r="D8534" t="s">
        <v>25671</v>
      </c>
      <c r="E8534" t="s">
        <v>25672</v>
      </c>
      <c r="F8534" t="s">
        <v>25673</v>
      </c>
      <c r="I8534" t="s">
        <v>29</v>
      </c>
      <c r="J8534" t="s">
        <v>30</v>
      </c>
      <c r="K8534" t="s">
        <v>31</v>
      </c>
      <c r="M8534" t="s">
        <v>18479</v>
      </c>
      <c r="N8534" t="str">
        <f>"5/6/2015 3:37:00 PM"</f>
        <v>5/6/2015 3:37:00 PM</v>
      </c>
      <c r="O8534" t="s">
        <v>25671</v>
      </c>
      <c r="T8534" t="s">
        <v>25672</v>
      </c>
    </row>
    <row r="8535" spans="1:20" x14ac:dyDescent="0.25">
      <c r="A8535" t="str">
        <f>"3061990"</f>
        <v>3061990</v>
      </c>
      <c r="B8535" t="s">
        <v>25674</v>
      </c>
      <c r="C8535" t="str">
        <f>"82528646"</f>
        <v>82528646</v>
      </c>
      <c r="D8535" t="s">
        <v>25675</v>
      </c>
      <c r="E8535" t="s">
        <v>25676</v>
      </c>
      <c r="F8535" t="s">
        <v>25677</v>
      </c>
      <c r="I8535" t="s">
        <v>184</v>
      </c>
      <c r="J8535" t="s">
        <v>30</v>
      </c>
      <c r="K8535" t="s">
        <v>185</v>
      </c>
      <c r="M8535" t="s">
        <v>18479</v>
      </c>
      <c r="N8535" t="str">
        <f>"5/19/2015 10:09:00 AM"</f>
        <v>5/19/2015 10:09:00 AM</v>
      </c>
      <c r="O8535" t="s">
        <v>25675</v>
      </c>
      <c r="T8535" t="s">
        <v>25676</v>
      </c>
    </row>
    <row r="8536" spans="1:20" x14ac:dyDescent="0.25">
      <c r="A8536" t="str">
        <f>"3057444"</f>
        <v>3057444</v>
      </c>
      <c r="B8536" t="s">
        <v>25678</v>
      </c>
      <c r="C8536" t="str">
        <f>"31020000"</f>
        <v>31020000</v>
      </c>
      <c r="D8536" t="s">
        <v>25679</v>
      </c>
      <c r="E8536" t="s">
        <v>25680</v>
      </c>
      <c r="F8536" t="s">
        <v>25681</v>
      </c>
      <c r="I8536" t="s">
        <v>29</v>
      </c>
      <c r="J8536" t="s">
        <v>30</v>
      </c>
      <c r="K8536" t="s">
        <v>31</v>
      </c>
      <c r="M8536" t="s">
        <v>18479</v>
      </c>
      <c r="N8536" t="str">
        <f>"5/8/2015 10:49:00 AM"</f>
        <v>5/8/2015 10:49:00 AM</v>
      </c>
      <c r="O8536" t="s">
        <v>25679</v>
      </c>
      <c r="T8536" t="s">
        <v>25680</v>
      </c>
    </row>
    <row r="8537" spans="1:20" x14ac:dyDescent="0.25">
      <c r="A8537" t="str">
        <f>"3060288"</f>
        <v>3060288</v>
      </c>
      <c r="B8537" t="s">
        <v>25682</v>
      </c>
      <c r="C8537" t="str">
        <f>"31020000"</f>
        <v>31020000</v>
      </c>
      <c r="D8537" t="s">
        <v>25679</v>
      </c>
      <c r="E8537" t="s">
        <v>25680</v>
      </c>
      <c r="F8537" t="s">
        <v>25681</v>
      </c>
      <c r="I8537" t="s">
        <v>29</v>
      </c>
      <c r="J8537" t="s">
        <v>30</v>
      </c>
      <c r="K8537" t="s">
        <v>31</v>
      </c>
      <c r="M8537" t="s">
        <v>18479</v>
      </c>
      <c r="N8537" t="str">
        <f>"5/8/2015 10:49:00 AM"</f>
        <v>5/8/2015 10:49:00 AM</v>
      </c>
      <c r="O8537" t="s">
        <v>25679</v>
      </c>
      <c r="T8537" t="s">
        <v>25680</v>
      </c>
    </row>
    <row r="8538" spans="1:20" x14ac:dyDescent="0.25">
      <c r="A8538" t="str">
        <f>"3061455"</f>
        <v>3061455</v>
      </c>
      <c r="B8538" t="s">
        <v>25683</v>
      </c>
      <c r="C8538" t="str">
        <f>"28746000"</f>
        <v>28746000</v>
      </c>
      <c r="D8538" t="s">
        <v>25684</v>
      </c>
      <c r="E8538" t="s">
        <v>25685</v>
      </c>
      <c r="F8538" t="s">
        <v>25686</v>
      </c>
      <c r="I8538" t="s">
        <v>184</v>
      </c>
      <c r="J8538" t="s">
        <v>30</v>
      </c>
      <c r="K8538" t="s">
        <v>185</v>
      </c>
      <c r="M8538" t="s">
        <v>18479</v>
      </c>
      <c r="N8538" t="str">
        <f>"5/8/2015 11:35:00 AM"</f>
        <v>5/8/2015 11:35:00 AM</v>
      </c>
      <c r="O8538" t="s">
        <v>25684</v>
      </c>
      <c r="T8538" t="s">
        <v>25685</v>
      </c>
    </row>
    <row r="8539" spans="1:20" x14ac:dyDescent="0.25">
      <c r="A8539" t="str">
        <f>"3037236"</f>
        <v>3037236</v>
      </c>
      <c r="B8539" t="s">
        <v>25687</v>
      </c>
      <c r="C8539" t="str">
        <f>"30675000"</f>
        <v>30675000</v>
      </c>
      <c r="D8539" t="s">
        <v>25688</v>
      </c>
      <c r="E8539" t="s">
        <v>25689</v>
      </c>
      <c r="F8539" t="s">
        <v>25690</v>
      </c>
      <c r="I8539" t="s">
        <v>184</v>
      </c>
      <c r="J8539" t="s">
        <v>30</v>
      </c>
      <c r="K8539" t="s">
        <v>25691</v>
      </c>
      <c r="M8539" t="s">
        <v>18479</v>
      </c>
      <c r="N8539" t="str">
        <f>"5/11/2015 9:27:00 AM"</f>
        <v>5/11/2015 9:27:00 AM</v>
      </c>
      <c r="O8539" t="s">
        <v>25688</v>
      </c>
      <c r="T8539" t="s">
        <v>25689</v>
      </c>
    </row>
    <row r="8540" spans="1:20" x14ac:dyDescent="0.25">
      <c r="A8540" t="str">
        <f>"3059219"</f>
        <v>3059219</v>
      </c>
      <c r="B8540" t="s">
        <v>25692</v>
      </c>
      <c r="C8540" t="str">
        <f>"8304987"</f>
        <v>8304987</v>
      </c>
      <c r="D8540" t="s">
        <v>25693</v>
      </c>
      <c r="E8540" t="s">
        <v>25694</v>
      </c>
      <c r="F8540" t="s">
        <v>25695</v>
      </c>
      <c r="I8540" t="s">
        <v>29</v>
      </c>
      <c r="J8540" t="s">
        <v>30</v>
      </c>
      <c r="K8540" t="str">
        <f>"27028"</f>
        <v>27028</v>
      </c>
      <c r="M8540" t="s">
        <v>17861</v>
      </c>
      <c r="N8540" t="str">
        <f>"5/11/2015 11:31:00 AM"</f>
        <v>5/11/2015 11:31:00 AM</v>
      </c>
      <c r="O8540" t="s">
        <v>25693</v>
      </c>
      <c r="T8540" t="s">
        <v>25694</v>
      </c>
    </row>
    <row r="8541" spans="1:20" x14ac:dyDescent="0.25">
      <c r="A8541" t="str">
        <f>"3047142"</f>
        <v>3047142</v>
      </c>
      <c r="B8541" t="s">
        <v>25696</v>
      </c>
      <c r="C8541" t="str">
        <f>"8303296"</f>
        <v>8303296</v>
      </c>
      <c r="D8541" t="s">
        <v>25697</v>
      </c>
      <c r="E8541" t="s">
        <v>25698</v>
      </c>
      <c r="F8541" t="s">
        <v>25699</v>
      </c>
      <c r="I8541" t="s">
        <v>29</v>
      </c>
      <c r="J8541" t="s">
        <v>30</v>
      </c>
      <c r="K8541" t="str">
        <f>"27028"</f>
        <v>27028</v>
      </c>
      <c r="M8541" t="s">
        <v>18479</v>
      </c>
      <c r="N8541" t="str">
        <f>"5/11/2015 11:36:00 AM"</f>
        <v>5/11/2015 11:36:00 AM</v>
      </c>
      <c r="O8541" t="s">
        <v>25697</v>
      </c>
      <c r="T8541" t="s">
        <v>25698</v>
      </c>
    </row>
    <row r="8542" spans="1:20" x14ac:dyDescent="0.25">
      <c r="A8542" t="str">
        <f>"3041850"</f>
        <v>3041850</v>
      </c>
      <c r="B8542" t="s">
        <v>25700</v>
      </c>
      <c r="C8542" t="str">
        <f>"8304950"</f>
        <v>8304950</v>
      </c>
      <c r="D8542" t="s">
        <v>25701</v>
      </c>
      <c r="F8542" t="s">
        <v>25702</v>
      </c>
      <c r="I8542" t="s">
        <v>2071</v>
      </c>
      <c r="J8542" t="s">
        <v>30</v>
      </c>
      <c r="K8542" t="str">
        <f>"27006"</f>
        <v>27006</v>
      </c>
      <c r="M8542" t="s">
        <v>17861</v>
      </c>
      <c r="N8542" t="str">
        <f>"5/4/2015 3:33:00 PM"</f>
        <v>5/4/2015 3:33:00 PM</v>
      </c>
      <c r="O8542" t="s">
        <v>25701</v>
      </c>
    </row>
    <row r="8543" spans="1:20" x14ac:dyDescent="0.25">
      <c r="A8543" t="str">
        <f>"3051351"</f>
        <v>3051351</v>
      </c>
      <c r="B8543" t="s">
        <v>25703</v>
      </c>
      <c r="C8543" t="str">
        <f>"82528924"</f>
        <v>82528924</v>
      </c>
      <c r="D8543" t="s">
        <v>25704</v>
      </c>
      <c r="E8543" t="s">
        <v>25705</v>
      </c>
      <c r="F8543" t="s">
        <v>25706</v>
      </c>
      <c r="I8543" t="s">
        <v>29</v>
      </c>
      <c r="J8543" t="s">
        <v>30</v>
      </c>
      <c r="K8543" t="s">
        <v>31</v>
      </c>
      <c r="M8543" t="s">
        <v>18479</v>
      </c>
      <c r="N8543" t="str">
        <f>"5/21/2015 11:41:00 AM"</f>
        <v>5/21/2015 11:41:00 AM</v>
      </c>
      <c r="O8543" t="s">
        <v>25704</v>
      </c>
      <c r="T8543" t="s">
        <v>25705</v>
      </c>
    </row>
    <row r="8544" spans="1:20" x14ac:dyDescent="0.25">
      <c r="A8544" t="str">
        <f>"3075504"</f>
        <v>3075504</v>
      </c>
      <c r="B8544" t="s">
        <v>25707</v>
      </c>
      <c r="C8544" t="str">
        <f>"8304952"</f>
        <v>8304952</v>
      </c>
      <c r="D8544" t="s">
        <v>9803</v>
      </c>
      <c r="E8544" t="s">
        <v>13338</v>
      </c>
      <c r="F8544" t="s">
        <v>25708</v>
      </c>
      <c r="I8544" t="s">
        <v>29</v>
      </c>
      <c r="J8544" t="s">
        <v>30</v>
      </c>
      <c r="K8544" t="str">
        <f>"27028"</f>
        <v>27028</v>
      </c>
      <c r="M8544" t="s">
        <v>17861</v>
      </c>
      <c r="N8544" t="str">
        <f>"5/5/2015 9:07:00 AM"</f>
        <v>5/5/2015 9:07:00 AM</v>
      </c>
      <c r="O8544" t="s">
        <v>9803</v>
      </c>
      <c r="T8544" t="s">
        <v>13338</v>
      </c>
    </row>
    <row r="8545" spans="1:20" x14ac:dyDescent="0.25">
      <c r="A8545" t="str">
        <f>"3043888"</f>
        <v>3043888</v>
      </c>
      <c r="B8545" t="s">
        <v>25709</v>
      </c>
      <c r="C8545" t="str">
        <f>"35620250"</f>
        <v>35620250</v>
      </c>
      <c r="D8545" t="s">
        <v>25710</v>
      </c>
      <c r="F8545" t="s">
        <v>25711</v>
      </c>
      <c r="I8545" t="s">
        <v>184</v>
      </c>
      <c r="J8545" t="s">
        <v>30</v>
      </c>
      <c r="K8545" t="s">
        <v>25712</v>
      </c>
      <c r="M8545" t="s">
        <v>18479</v>
      </c>
      <c r="N8545" t="str">
        <f>"5/21/2015 1:32:00 PM"</f>
        <v>5/21/2015 1:32:00 PM</v>
      </c>
      <c r="O8545" t="s">
        <v>25710</v>
      </c>
    </row>
    <row r="8546" spans="1:20" x14ac:dyDescent="0.25">
      <c r="A8546" t="str">
        <f>"3043889"</f>
        <v>3043889</v>
      </c>
      <c r="B8546" t="s">
        <v>25713</v>
      </c>
      <c r="C8546" t="str">
        <f>"35620250"</f>
        <v>35620250</v>
      </c>
      <c r="D8546" t="s">
        <v>25710</v>
      </c>
      <c r="F8546" t="s">
        <v>25711</v>
      </c>
      <c r="I8546" t="s">
        <v>184</v>
      </c>
      <c r="J8546" t="s">
        <v>30</v>
      </c>
      <c r="K8546" t="s">
        <v>25712</v>
      </c>
      <c r="M8546" t="s">
        <v>18479</v>
      </c>
      <c r="N8546" t="str">
        <f>"5/21/2015 1:32:00 PM"</f>
        <v>5/21/2015 1:32:00 PM</v>
      </c>
      <c r="O8546" t="s">
        <v>25710</v>
      </c>
    </row>
    <row r="8547" spans="1:20" x14ac:dyDescent="0.25">
      <c r="A8547" t="str">
        <f>"3044254"</f>
        <v>3044254</v>
      </c>
      <c r="B8547" t="s">
        <v>25714</v>
      </c>
      <c r="C8547" t="str">
        <f>"32743000"</f>
        <v>32743000</v>
      </c>
      <c r="D8547" t="s">
        <v>25715</v>
      </c>
      <c r="E8547" t="s">
        <v>25716</v>
      </c>
      <c r="F8547" t="s">
        <v>17570</v>
      </c>
      <c r="I8547" t="s">
        <v>184</v>
      </c>
      <c r="J8547" t="s">
        <v>30</v>
      </c>
      <c r="K8547" t="s">
        <v>24978</v>
      </c>
      <c r="M8547" t="s">
        <v>18479</v>
      </c>
      <c r="N8547" t="str">
        <f>"5/21/2015 1:55:00 PM"</f>
        <v>5/21/2015 1:55:00 PM</v>
      </c>
      <c r="O8547" t="s">
        <v>25715</v>
      </c>
      <c r="T8547" t="s">
        <v>25716</v>
      </c>
    </row>
    <row r="8548" spans="1:20" x14ac:dyDescent="0.25">
      <c r="A8548" t="str">
        <f>"3055347"</f>
        <v>3055347</v>
      </c>
      <c r="B8548" t="s">
        <v>25717</v>
      </c>
      <c r="C8548" t="str">
        <f>"82523735"</f>
        <v>82523735</v>
      </c>
      <c r="D8548" t="s">
        <v>25718</v>
      </c>
      <c r="E8548" t="s">
        <v>25719</v>
      </c>
      <c r="F8548" t="s">
        <v>25720</v>
      </c>
      <c r="I8548" t="s">
        <v>29</v>
      </c>
      <c r="J8548" t="s">
        <v>30</v>
      </c>
      <c r="K8548" t="s">
        <v>31</v>
      </c>
      <c r="M8548" t="s">
        <v>18479</v>
      </c>
      <c r="N8548" t="str">
        <f>"5/21/2015 2:06:00 PM"</f>
        <v>5/21/2015 2:06:00 PM</v>
      </c>
      <c r="O8548" t="s">
        <v>25718</v>
      </c>
      <c r="T8548" t="s">
        <v>25719</v>
      </c>
    </row>
    <row r="8549" spans="1:20" x14ac:dyDescent="0.25">
      <c r="A8549" t="str">
        <f>"3053540"</f>
        <v>3053540</v>
      </c>
      <c r="B8549" t="s">
        <v>25721</v>
      </c>
      <c r="C8549" t="str">
        <f>"58553000"</f>
        <v>58553000</v>
      </c>
      <c r="D8549" t="s">
        <v>25722</v>
      </c>
      <c r="E8549" t="s">
        <v>25723</v>
      </c>
      <c r="F8549" t="s">
        <v>25724</v>
      </c>
      <c r="I8549" t="s">
        <v>29</v>
      </c>
      <c r="J8549" t="s">
        <v>30</v>
      </c>
      <c r="K8549" t="s">
        <v>31</v>
      </c>
      <c r="M8549" t="s">
        <v>25625</v>
      </c>
      <c r="N8549" t="str">
        <f>"5/13/2015 2:36:00 PM"</f>
        <v>5/13/2015 2:36:00 PM</v>
      </c>
      <c r="O8549" t="s">
        <v>25722</v>
      </c>
      <c r="T8549" t="s">
        <v>25723</v>
      </c>
    </row>
    <row r="8550" spans="1:20" x14ac:dyDescent="0.25">
      <c r="A8550" t="str">
        <f>"3046776"</f>
        <v>3046776</v>
      </c>
      <c r="B8550" t="s">
        <v>25725</v>
      </c>
      <c r="C8550" t="str">
        <f>"8305003"</f>
        <v>8305003</v>
      </c>
      <c r="D8550" t="s">
        <v>25726</v>
      </c>
      <c r="E8550" t="s">
        <v>25727</v>
      </c>
      <c r="F8550" t="s">
        <v>25728</v>
      </c>
      <c r="I8550" t="s">
        <v>184</v>
      </c>
      <c r="J8550" t="s">
        <v>30</v>
      </c>
      <c r="K8550" t="str">
        <f>"27006"</f>
        <v>27006</v>
      </c>
      <c r="M8550" t="s">
        <v>17861</v>
      </c>
      <c r="N8550" t="str">
        <f>"5/13/2015 3:00:00 PM"</f>
        <v>5/13/2015 3:00:00 PM</v>
      </c>
      <c r="O8550" t="s">
        <v>25726</v>
      </c>
      <c r="T8550" t="s">
        <v>25727</v>
      </c>
    </row>
    <row r="8551" spans="1:20" x14ac:dyDescent="0.25">
      <c r="A8551" t="str">
        <f>"3055981"</f>
        <v>3055981</v>
      </c>
      <c r="B8551" t="s">
        <v>25729</v>
      </c>
      <c r="C8551" t="str">
        <f>"82520944"</f>
        <v>82520944</v>
      </c>
      <c r="D8551" t="s">
        <v>25730</v>
      </c>
      <c r="F8551" t="s">
        <v>25731</v>
      </c>
      <c r="I8551" t="s">
        <v>9580</v>
      </c>
      <c r="J8551" t="s">
        <v>30</v>
      </c>
      <c r="K8551" t="s">
        <v>25732</v>
      </c>
      <c r="M8551" t="s">
        <v>25733</v>
      </c>
      <c r="N8551" t="str">
        <f>"5/15/2015 10:52:00 AM"</f>
        <v>5/15/2015 10:52:00 AM</v>
      </c>
      <c r="O8551" t="s">
        <v>25730</v>
      </c>
    </row>
    <row r="8552" spans="1:20" x14ac:dyDescent="0.25">
      <c r="A8552" t="str">
        <f>"3048615"</f>
        <v>3048615</v>
      </c>
      <c r="B8552" t="s">
        <v>25734</v>
      </c>
      <c r="C8552" t="str">
        <f>"82528679"</f>
        <v>82528679</v>
      </c>
      <c r="D8552" t="s">
        <v>25735</v>
      </c>
      <c r="E8552" t="s">
        <v>5246</v>
      </c>
      <c r="F8552" t="s">
        <v>25736</v>
      </c>
      <c r="I8552" t="s">
        <v>184</v>
      </c>
      <c r="J8552" t="s">
        <v>30</v>
      </c>
      <c r="K8552" t="s">
        <v>185</v>
      </c>
      <c r="M8552" t="s">
        <v>18479</v>
      </c>
      <c r="N8552" t="str">
        <f>"5/22/2015 11:09:00 AM"</f>
        <v>5/22/2015 11:09:00 AM</v>
      </c>
      <c r="O8552" t="s">
        <v>25735</v>
      </c>
      <c r="T8552" t="s">
        <v>5246</v>
      </c>
    </row>
    <row r="8553" spans="1:20" x14ac:dyDescent="0.25">
      <c r="A8553" t="str">
        <f>"3061128"</f>
        <v>3061128</v>
      </c>
      <c r="B8553" t="s">
        <v>25737</v>
      </c>
      <c r="C8553" t="str">
        <f>"82528679"</f>
        <v>82528679</v>
      </c>
      <c r="D8553" t="s">
        <v>25735</v>
      </c>
      <c r="E8553" t="s">
        <v>5246</v>
      </c>
      <c r="F8553" t="s">
        <v>25736</v>
      </c>
      <c r="I8553" t="s">
        <v>184</v>
      </c>
      <c r="J8553" t="s">
        <v>30</v>
      </c>
      <c r="K8553" t="s">
        <v>185</v>
      </c>
      <c r="M8553" t="s">
        <v>18479</v>
      </c>
      <c r="N8553" t="str">
        <f>"5/22/2015 11:09:00 AM"</f>
        <v>5/22/2015 11:09:00 AM</v>
      </c>
      <c r="O8553" t="s">
        <v>25735</v>
      </c>
      <c r="T8553" t="s">
        <v>5246</v>
      </c>
    </row>
    <row r="8554" spans="1:20" x14ac:dyDescent="0.25">
      <c r="A8554" t="str">
        <f>"3048378"</f>
        <v>3048378</v>
      </c>
      <c r="B8554" t="s">
        <v>25738</v>
      </c>
      <c r="C8554" t="str">
        <f>"8303219"</f>
        <v>8303219</v>
      </c>
      <c r="D8554" t="s">
        <v>25739</v>
      </c>
      <c r="E8554" t="s">
        <v>25740</v>
      </c>
      <c r="F8554" t="s">
        <v>5247</v>
      </c>
      <c r="I8554" t="s">
        <v>184</v>
      </c>
      <c r="J8554" t="s">
        <v>30</v>
      </c>
      <c r="K8554" t="str">
        <f>"27006"</f>
        <v>27006</v>
      </c>
      <c r="M8554" t="s">
        <v>18479</v>
      </c>
      <c r="N8554" t="str">
        <f>"5/22/2015 11:11:00 AM"</f>
        <v>5/22/2015 11:11:00 AM</v>
      </c>
      <c r="O8554" t="s">
        <v>25739</v>
      </c>
      <c r="T8554" t="s">
        <v>25740</v>
      </c>
    </row>
    <row r="8555" spans="1:20" x14ac:dyDescent="0.25">
      <c r="A8555" t="str">
        <f>"3044484"</f>
        <v>3044484</v>
      </c>
      <c r="B8555" t="s">
        <v>25741</v>
      </c>
      <c r="C8555" t="str">
        <f>"8305006"</f>
        <v>8305006</v>
      </c>
      <c r="D8555" t="s">
        <v>25742</v>
      </c>
      <c r="E8555" t="s">
        <v>25743</v>
      </c>
      <c r="F8555" t="s">
        <v>25744</v>
      </c>
      <c r="I8555" t="s">
        <v>184</v>
      </c>
      <c r="J8555" t="s">
        <v>30</v>
      </c>
      <c r="K8555" t="str">
        <f>"27006"</f>
        <v>27006</v>
      </c>
      <c r="M8555" t="s">
        <v>17861</v>
      </c>
      <c r="N8555" t="str">
        <f>"5/18/2015 10:47:00 AM"</f>
        <v>5/18/2015 10:47:00 AM</v>
      </c>
      <c r="O8555" t="s">
        <v>25742</v>
      </c>
      <c r="T8555" t="s">
        <v>25743</v>
      </c>
    </row>
    <row r="8556" spans="1:20" x14ac:dyDescent="0.25">
      <c r="A8556" t="str">
        <f>"3062804"</f>
        <v>3062804</v>
      </c>
      <c r="B8556" t="s">
        <v>25745</v>
      </c>
      <c r="C8556" t="str">
        <f>"8305007"</f>
        <v>8305007</v>
      </c>
      <c r="D8556" t="s">
        <v>25746</v>
      </c>
      <c r="F8556" t="s">
        <v>25747</v>
      </c>
      <c r="I8556" t="s">
        <v>29</v>
      </c>
      <c r="J8556" t="s">
        <v>30</v>
      </c>
      <c r="K8556" t="str">
        <f>"27028"</f>
        <v>27028</v>
      </c>
      <c r="M8556" t="s">
        <v>17861</v>
      </c>
      <c r="N8556" t="str">
        <f>"5/18/2015 11:20:00 AM"</f>
        <v>5/18/2015 11:20:00 AM</v>
      </c>
      <c r="O8556" t="s">
        <v>25746</v>
      </c>
    </row>
    <row r="8557" spans="1:20" x14ac:dyDescent="0.25">
      <c r="A8557" t="str">
        <f>"3053801"</f>
        <v>3053801</v>
      </c>
      <c r="B8557" t="s">
        <v>25748</v>
      </c>
      <c r="C8557" t="str">
        <f>"8305010"</f>
        <v>8305010</v>
      </c>
      <c r="D8557" t="s">
        <v>25749</v>
      </c>
      <c r="E8557" t="s">
        <v>25750</v>
      </c>
      <c r="F8557" t="s">
        <v>25751</v>
      </c>
      <c r="I8557" t="s">
        <v>29</v>
      </c>
      <c r="J8557" t="s">
        <v>30</v>
      </c>
      <c r="K8557" t="str">
        <f>"27028"</f>
        <v>27028</v>
      </c>
      <c r="M8557" t="s">
        <v>17861</v>
      </c>
      <c r="N8557" t="str">
        <f>"5/18/2015 12:59:00 PM"</f>
        <v>5/18/2015 12:59:00 PM</v>
      </c>
      <c r="O8557" t="s">
        <v>25749</v>
      </c>
      <c r="T8557" t="s">
        <v>25750</v>
      </c>
    </row>
    <row r="8558" spans="1:20" x14ac:dyDescent="0.25">
      <c r="A8558" t="str">
        <f>"3041539"</f>
        <v>3041539</v>
      </c>
      <c r="B8558" t="s">
        <v>25752</v>
      </c>
      <c r="C8558" t="str">
        <f>"8305016"</f>
        <v>8305016</v>
      </c>
      <c r="D8558" t="s">
        <v>25753</v>
      </c>
      <c r="F8558" t="s">
        <v>25754</v>
      </c>
      <c r="I8558" t="s">
        <v>2071</v>
      </c>
      <c r="J8558" t="s">
        <v>30</v>
      </c>
      <c r="K8558" t="str">
        <f>"27006"</f>
        <v>27006</v>
      </c>
      <c r="M8558" t="s">
        <v>17861</v>
      </c>
      <c r="N8558" t="str">
        <f>"5/18/2015 2:54:00 PM"</f>
        <v>5/18/2015 2:54:00 PM</v>
      </c>
      <c r="O8558" t="s">
        <v>25753</v>
      </c>
    </row>
    <row r="8559" spans="1:20" x14ac:dyDescent="0.25">
      <c r="A8559" t="str">
        <f>"3055234"</f>
        <v>3055234</v>
      </c>
      <c r="B8559" t="s">
        <v>25755</v>
      </c>
      <c r="C8559" t="str">
        <f>"8305020"</f>
        <v>8305020</v>
      </c>
      <c r="D8559" t="s">
        <v>25756</v>
      </c>
      <c r="F8559" t="s">
        <v>25757</v>
      </c>
      <c r="I8559" t="s">
        <v>29</v>
      </c>
      <c r="J8559" t="s">
        <v>30</v>
      </c>
      <c r="K8559" t="str">
        <f>"27028"</f>
        <v>27028</v>
      </c>
      <c r="M8559" t="s">
        <v>17861</v>
      </c>
      <c r="N8559" t="str">
        <f>"5/18/2015 3:14:00 PM"</f>
        <v>5/18/2015 3:14:00 PM</v>
      </c>
      <c r="O8559" t="s">
        <v>25756</v>
      </c>
    </row>
    <row r="8560" spans="1:20" x14ac:dyDescent="0.25">
      <c r="A8560" t="str">
        <f>"3046147"</f>
        <v>3046147</v>
      </c>
      <c r="B8560" t="s">
        <v>25758</v>
      </c>
      <c r="C8560" t="str">
        <f>"8303675"</f>
        <v>8303675</v>
      </c>
      <c r="D8560" t="s">
        <v>25759</v>
      </c>
      <c r="F8560" t="s">
        <v>25760</v>
      </c>
      <c r="I8560" t="s">
        <v>29</v>
      </c>
      <c r="J8560" t="s">
        <v>30</v>
      </c>
      <c r="K8560" t="str">
        <f>"27028"</f>
        <v>27028</v>
      </c>
      <c r="M8560" t="s">
        <v>18470</v>
      </c>
      <c r="N8560" t="str">
        <f>"5/26/2015 10:33:00 AM"</f>
        <v>5/26/2015 10:33:00 AM</v>
      </c>
      <c r="O8560" t="s">
        <v>25759</v>
      </c>
    </row>
    <row r="8561" spans="1:20" x14ac:dyDescent="0.25">
      <c r="A8561" t="str">
        <f>"3045746"</f>
        <v>3045746</v>
      </c>
      <c r="B8561" t="s">
        <v>25761</v>
      </c>
      <c r="C8561" t="str">
        <f>"8303662"</f>
        <v>8303662</v>
      </c>
      <c r="D8561" t="s">
        <v>25762</v>
      </c>
      <c r="E8561" t="s">
        <v>25763</v>
      </c>
      <c r="F8561" t="s">
        <v>25764</v>
      </c>
      <c r="I8561" t="s">
        <v>29</v>
      </c>
      <c r="J8561" t="s">
        <v>30</v>
      </c>
      <c r="K8561" t="str">
        <f>"27028"</f>
        <v>27028</v>
      </c>
      <c r="M8561" t="s">
        <v>18470</v>
      </c>
      <c r="N8561" t="str">
        <f>"5/26/2015 10:49:00 AM"</f>
        <v>5/26/2015 10:49:00 AM</v>
      </c>
      <c r="O8561" t="s">
        <v>25762</v>
      </c>
      <c r="T8561" t="s">
        <v>25763</v>
      </c>
    </row>
    <row r="8562" spans="1:20" x14ac:dyDescent="0.25">
      <c r="A8562" t="str">
        <f>"3051197"</f>
        <v>3051197</v>
      </c>
      <c r="B8562" t="s">
        <v>25765</v>
      </c>
      <c r="C8562" t="str">
        <f>"32605750"</f>
        <v>32605750</v>
      </c>
      <c r="D8562" t="s">
        <v>25766</v>
      </c>
      <c r="E8562" t="s">
        <v>25767</v>
      </c>
      <c r="F8562" t="s">
        <v>25768</v>
      </c>
      <c r="I8562" t="s">
        <v>184</v>
      </c>
      <c r="J8562" t="s">
        <v>30</v>
      </c>
      <c r="K8562" t="s">
        <v>25769</v>
      </c>
      <c r="M8562" t="s">
        <v>18479</v>
      </c>
      <c r="N8562" t="str">
        <f>"5/26/2015 10:57:00 AM"</f>
        <v>5/26/2015 10:57:00 AM</v>
      </c>
      <c r="O8562" t="s">
        <v>25766</v>
      </c>
      <c r="T8562" t="s">
        <v>25767</v>
      </c>
    </row>
    <row r="8563" spans="1:20" x14ac:dyDescent="0.25">
      <c r="A8563" t="str">
        <f>"3061578"</f>
        <v>3061578</v>
      </c>
      <c r="B8563" t="s">
        <v>25770</v>
      </c>
      <c r="C8563" t="str">
        <f>"32605750"</f>
        <v>32605750</v>
      </c>
      <c r="D8563" t="s">
        <v>25766</v>
      </c>
      <c r="E8563" t="s">
        <v>25767</v>
      </c>
      <c r="F8563" t="s">
        <v>25768</v>
      </c>
      <c r="I8563" t="s">
        <v>184</v>
      </c>
      <c r="J8563" t="s">
        <v>30</v>
      </c>
      <c r="K8563" t="s">
        <v>25769</v>
      </c>
      <c r="M8563" t="s">
        <v>18479</v>
      </c>
      <c r="N8563" t="str">
        <f>"5/26/2015 10:57:00 AM"</f>
        <v>5/26/2015 10:57:00 AM</v>
      </c>
      <c r="O8563" t="s">
        <v>25766</v>
      </c>
      <c r="T8563" t="s">
        <v>25767</v>
      </c>
    </row>
    <row r="8564" spans="1:20" x14ac:dyDescent="0.25">
      <c r="A8564" t="str">
        <f>"3053153"</f>
        <v>3053153</v>
      </c>
      <c r="B8564" t="s">
        <v>25771</v>
      </c>
      <c r="C8564" t="str">
        <f>"34164500"</f>
        <v>34164500</v>
      </c>
      <c r="D8564" t="s">
        <v>25772</v>
      </c>
      <c r="E8564" t="s">
        <v>25773</v>
      </c>
      <c r="F8564" t="s">
        <v>25774</v>
      </c>
      <c r="I8564" t="s">
        <v>29</v>
      </c>
      <c r="J8564" t="s">
        <v>30</v>
      </c>
      <c r="K8564" t="s">
        <v>11227</v>
      </c>
      <c r="M8564" t="s">
        <v>18479</v>
      </c>
      <c r="N8564" t="str">
        <f>"5/18/2015 3:47:00 PM"</f>
        <v>5/18/2015 3:47:00 PM</v>
      </c>
      <c r="O8564" t="s">
        <v>25772</v>
      </c>
      <c r="T8564" t="s">
        <v>25773</v>
      </c>
    </row>
    <row r="8565" spans="1:20" x14ac:dyDescent="0.25">
      <c r="A8565" t="str">
        <f>"3055857"</f>
        <v>3055857</v>
      </c>
      <c r="B8565" t="s">
        <v>25775</v>
      </c>
      <c r="C8565" t="str">
        <f>"8303918"</f>
        <v>8303918</v>
      </c>
      <c r="D8565" t="s">
        <v>25776</v>
      </c>
      <c r="F8565" t="s">
        <v>25777</v>
      </c>
      <c r="I8565" t="s">
        <v>29</v>
      </c>
      <c r="J8565" t="s">
        <v>30</v>
      </c>
      <c r="K8565" t="str">
        <f>"27028"</f>
        <v>27028</v>
      </c>
      <c r="M8565" t="s">
        <v>18479</v>
      </c>
      <c r="N8565" t="str">
        <f>"5/18/2015 3:54:00 PM"</f>
        <v>5/18/2015 3:54:00 PM</v>
      </c>
      <c r="O8565" t="s">
        <v>25776</v>
      </c>
    </row>
    <row r="8566" spans="1:20" x14ac:dyDescent="0.25">
      <c r="A8566" t="str">
        <f>"3053651"</f>
        <v>3053651</v>
      </c>
      <c r="B8566" t="s">
        <v>25778</v>
      </c>
      <c r="C8566" t="str">
        <f>"37802400"</f>
        <v>37802400</v>
      </c>
      <c r="D8566" t="s">
        <v>25779</v>
      </c>
      <c r="F8566" t="s">
        <v>25780</v>
      </c>
      <c r="I8566" t="s">
        <v>29</v>
      </c>
      <c r="J8566" t="s">
        <v>30</v>
      </c>
      <c r="K8566" t="s">
        <v>22691</v>
      </c>
      <c r="M8566" t="s">
        <v>18479</v>
      </c>
      <c r="N8566" t="str">
        <f>"5/18/2015 4:11:00 PM"</f>
        <v>5/18/2015 4:11:00 PM</v>
      </c>
      <c r="O8566" t="s">
        <v>25779</v>
      </c>
    </row>
    <row r="8567" spans="1:20" x14ac:dyDescent="0.25">
      <c r="A8567" t="str">
        <f>"3076895"</f>
        <v>3076895</v>
      </c>
      <c r="B8567" t="s">
        <v>25781</v>
      </c>
      <c r="C8567" t="str">
        <f>"36404000"</f>
        <v>36404000</v>
      </c>
      <c r="D8567" t="s">
        <v>25782</v>
      </c>
      <c r="F8567" t="s">
        <v>25783</v>
      </c>
      <c r="I8567" t="s">
        <v>29</v>
      </c>
      <c r="J8567" t="s">
        <v>30</v>
      </c>
      <c r="K8567" t="s">
        <v>25784</v>
      </c>
      <c r="M8567" t="s">
        <v>18479</v>
      </c>
      <c r="N8567" t="str">
        <f>"5/19/2015 9:58:00 AM"</f>
        <v>5/19/2015 9:58:00 AM</v>
      </c>
      <c r="O8567" t="s">
        <v>25782</v>
      </c>
      <c r="T8567" t="s">
        <v>25782</v>
      </c>
    </row>
    <row r="8568" spans="1:20" x14ac:dyDescent="0.25">
      <c r="A8568" t="str">
        <f>"3054970"</f>
        <v>3054970</v>
      </c>
      <c r="B8568" t="s">
        <v>25785</v>
      </c>
      <c r="C8568" t="str">
        <f>"35918000"</f>
        <v>35918000</v>
      </c>
      <c r="D8568" t="s">
        <v>25786</v>
      </c>
      <c r="F8568" t="s">
        <v>25787</v>
      </c>
      <c r="I8568" t="s">
        <v>29</v>
      </c>
      <c r="J8568" t="s">
        <v>30</v>
      </c>
      <c r="K8568" t="s">
        <v>25788</v>
      </c>
      <c r="M8568" t="s">
        <v>18479</v>
      </c>
      <c r="N8568" t="str">
        <f>"5/19/2015 10:43:00 AM"</f>
        <v>5/19/2015 10:43:00 AM</v>
      </c>
      <c r="O8568" t="s">
        <v>25786</v>
      </c>
    </row>
    <row r="8569" spans="1:20" x14ac:dyDescent="0.25">
      <c r="A8569" t="str">
        <f>"3052776"</f>
        <v>3052776</v>
      </c>
      <c r="B8569" t="s">
        <v>25789</v>
      </c>
      <c r="C8569" t="str">
        <f>"36349000"</f>
        <v>36349000</v>
      </c>
      <c r="D8569" t="s">
        <v>25790</v>
      </c>
      <c r="F8569" t="s">
        <v>25791</v>
      </c>
      <c r="I8569" t="s">
        <v>29</v>
      </c>
      <c r="J8569" t="s">
        <v>30</v>
      </c>
      <c r="K8569" t="s">
        <v>15044</v>
      </c>
      <c r="M8569" t="s">
        <v>18470</v>
      </c>
      <c r="N8569" t="str">
        <f>"5/26/2015 12:48:00 PM"</f>
        <v>5/26/2015 12:48:00 PM</v>
      </c>
      <c r="O8569" t="s">
        <v>25790</v>
      </c>
    </row>
    <row r="8570" spans="1:20" x14ac:dyDescent="0.25">
      <c r="A8570" t="str">
        <f>"3052686"</f>
        <v>3052686</v>
      </c>
      <c r="B8570" t="s">
        <v>25792</v>
      </c>
      <c r="C8570" t="str">
        <f>"36349000"</f>
        <v>36349000</v>
      </c>
      <c r="D8570" t="s">
        <v>25790</v>
      </c>
      <c r="F8570" t="s">
        <v>25791</v>
      </c>
      <c r="I8570" t="s">
        <v>29</v>
      </c>
      <c r="J8570" t="s">
        <v>30</v>
      </c>
      <c r="K8570" t="s">
        <v>15044</v>
      </c>
      <c r="M8570" t="s">
        <v>18470</v>
      </c>
      <c r="N8570" t="str">
        <f>"5/26/2015 12:48:00 PM"</f>
        <v>5/26/2015 12:48:00 PM</v>
      </c>
      <c r="O8570" t="s">
        <v>25790</v>
      </c>
    </row>
    <row r="8571" spans="1:20" x14ac:dyDescent="0.25">
      <c r="A8571" t="str">
        <f>"3039390"</f>
        <v>3039390</v>
      </c>
      <c r="B8571" t="s">
        <v>25793</v>
      </c>
      <c r="C8571" t="str">
        <f>"82525466"</f>
        <v>82525466</v>
      </c>
      <c r="D8571" t="s">
        <v>25794</v>
      </c>
      <c r="F8571" t="s">
        <v>25795</v>
      </c>
      <c r="I8571" t="s">
        <v>29</v>
      </c>
      <c r="J8571" t="s">
        <v>30</v>
      </c>
      <c r="K8571" t="s">
        <v>31</v>
      </c>
      <c r="M8571" t="s">
        <v>25733</v>
      </c>
      <c r="N8571" t="str">
        <f>"5/20/2015 8:25:00 AM"</f>
        <v>5/20/2015 8:25:00 AM</v>
      </c>
      <c r="O8571" t="s">
        <v>25794</v>
      </c>
    </row>
    <row r="8572" spans="1:20" x14ac:dyDescent="0.25">
      <c r="A8572" t="str">
        <f>"3039688"</f>
        <v>3039688</v>
      </c>
      <c r="B8572" t="s">
        <v>25796</v>
      </c>
      <c r="C8572" t="str">
        <f>"82525466"</f>
        <v>82525466</v>
      </c>
      <c r="D8572" t="s">
        <v>25794</v>
      </c>
      <c r="F8572" t="s">
        <v>25795</v>
      </c>
      <c r="I8572" t="s">
        <v>29</v>
      </c>
      <c r="J8572" t="s">
        <v>30</v>
      </c>
      <c r="K8572" t="s">
        <v>31</v>
      </c>
      <c r="M8572" t="s">
        <v>25733</v>
      </c>
      <c r="N8572" t="str">
        <f>"5/20/2015 8:25:00 AM"</f>
        <v>5/20/2015 8:25:00 AM</v>
      </c>
      <c r="O8572" t="s">
        <v>25794</v>
      </c>
    </row>
    <row r="8573" spans="1:20" x14ac:dyDescent="0.25">
      <c r="A8573" t="str">
        <f>"3042414"</f>
        <v>3042414</v>
      </c>
      <c r="B8573" t="s">
        <v>25797</v>
      </c>
      <c r="C8573" t="str">
        <f>"38207000"</f>
        <v>38207000</v>
      </c>
      <c r="D8573" t="s">
        <v>25798</v>
      </c>
      <c r="E8573" t="s">
        <v>25799</v>
      </c>
      <c r="F8573" t="s">
        <v>25800</v>
      </c>
      <c r="I8573" t="s">
        <v>29</v>
      </c>
      <c r="J8573" t="s">
        <v>30</v>
      </c>
      <c r="K8573" t="s">
        <v>25801</v>
      </c>
      <c r="M8573" t="s">
        <v>18479</v>
      </c>
      <c r="N8573" t="str">
        <f>"5/20/2015 9:47:00 AM"</f>
        <v>5/20/2015 9:47:00 AM</v>
      </c>
      <c r="O8573" t="s">
        <v>25798</v>
      </c>
      <c r="T8573" t="s">
        <v>25799</v>
      </c>
    </row>
    <row r="8574" spans="1:20" x14ac:dyDescent="0.25">
      <c r="A8574" t="str">
        <f>"3052845"</f>
        <v>3052845</v>
      </c>
      <c r="B8574" t="s">
        <v>25802</v>
      </c>
      <c r="C8574" t="str">
        <f>"82529025"</f>
        <v>82529025</v>
      </c>
      <c r="D8574" t="s">
        <v>25803</v>
      </c>
      <c r="F8574" t="s">
        <v>25804</v>
      </c>
      <c r="I8574" t="s">
        <v>29</v>
      </c>
      <c r="J8574" t="s">
        <v>30</v>
      </c>
      <c r="K8574" t="s">
        <v>25805</v>
      </c>
      <c r="M8574" t="s">
        <v>18470</v>
      </c>
      <c r="N8574" t="str">
        <f>"5/26/2015 3:26:00 PM"</f>
        <v>5/26/2015 3:26:00 PM</v>
      </c>
      <c r="O8574" t="s">
        <v>25803</v>
      </c>
    </row>
    <row r="8575" spans="1:20" x14ac:dyDescent="0.25">
      <c r="A8575" t="str">
        <f>"3051799"</f>
        <v>3051799</v>
      </c>
      <c r="B8575" t="s">
        <v>25806</v>
      </c>
      <c r="C8575" t="str">
        <f>"66124000"</f>
        <v>66124000</v>
      </c>
      <c r="D8575" t="s">
        <v>25807</v>
      </c>
      <c r="F8575" t="s">
        <v>25808</v>
      </c>
      <c r="I8575" t="s">
        <v>29</v>
      </c>
      <c r="J8575" t="s">
        <v>30</v>
      </c>
      <c r="K8575" t="s">
        <v>25809</v>
      </c>
      <c r="M8575" t="s">
        <v>18470</v>
      </c>
      <c r="N8575" t="str">
        <f>"5/26/2015 3:34:00 PM"</f>
        <v>5/26/2015 3:34:00 PM</v>
      </c>
      <c r="O8575" t="s">
        <v>25807</v>
      </c>
    </row>
    <row r="8576" spans="1:20" x14ac:dyDescent="0.25">
      <c r="A8576" t="str">
        <f>"3061508"</f>
        <v>3061508</v>
      </c>
      <c r="B8576" t="s">
        <v>25810</v>
      </c>
      <c r="C8576" t="str">
        <f>"82515747"</f>
        <v>82515747</v>
      </c>
      <c r="D8576" t="s">
        <v>25811</v>
      </c>
      <c r="E8576" t="s">
        <v>25812</v>
      </c>
      <c r="F8576" t="s">
        <v>25813</v>
      </c>
      <c r="I8576" t="s">
        <v>184</v>
      </c>
      <c r="J8576" t="s">
        <v>30</v>
      </c>
      <c r="K8576" t="s">
        <v>25814</v>
      </c>
      <c r="M8576" t="s">
        <v>18479</v>
      </c>
      <c r="N8576" t="str">
        <f>"5/21/2015 10:24:00 AM"</f>
        <v>5/21/2015 10:24:00 AM</v>
      </c>
      <c r="O8576" t="s">
        <v>25811</v>
      </c>
      <c r="T8576" t="s">
        <v>25812</v>
      </c>
    </row>
    <row r="8577" spans="1:20" x14ac:dyDescent="0.25">
      <c r="A8577" t="str">
        <f>"3053659"</f>
        <v>3053659</v>
      </c>
      <c r="B8577" t="s">
        <v>25815</v>
      </c>
      <c r="C8577" t="str">
        <f>"31716000"</f>
        <v>31716000</v>
      </c>
      <c r="D8577" t="s">
        <v>25816</v>
      </c>
      <c r="E8577" t="s">
        <v>25817</v>
      </c>
      <c r="F8577" t="s">
        <v>25818</v>
      </c>
      <c r="I8577" t="s">
        <v>29</v>
      </c>
      <c r="J8577" t="s">
        <v>30</v>
      </c>
      <c r="K8577" t="s">
        <v>31</v>
      </c>
      <c r="M8577" t="s">
        <v>18479</v>
      </c>
      <c r="N8577" t="str">
        <f>"5/21/2015 10:37:00 AM"</f>
        <v>5/21/2015 10:37:00 AM</v>
      </c>
      <c r="O8577" t="s">
        <v>25816</v>
      </c>
      <c r="T8577" t="s">
        <v>25817</v>
      </c>
    </row>
    <row r="8578" spans="1:20" x14ac:dyDescent="0.25">
      <c r="A8578" t="str">
        <f>"3052984"</f>
        <v>3052984</v>
      </c>
      <c r="B8578" t="s">
        <v>25819</v>
      </c>
      <c r="C8578" t="str">
        <f>"8303915"</f>
        <v>8303915</v>
      </c>
      <c r="D8578" t="s">
        <v>25820</v>
      </c>
      <c r="F8578" t="s">
        <v>25821</v>
      </c>
      <c r="I8578" t="s">
        <v>29</v>
      </c>
      <c r="J8578" t="s">
        <v>30</v>
      </c>
      <c r="K8578" t="str">
        <f>"27028"</f>
        <v>27028</v>
      </c>
      <c r="M8578" t="s">
        <v>18479</v>
      </c>
      <c r="N8578" t="str">
        <f>"5/21/2015 11:04:00 AM"</f>
        <v>5/21/2015 11:04:00 AM</v>
      </c>
      <c r="O8578" t="s">
        <v>25820</v>
      </c>
    </row>
    <row r="8579" spans="1:20" x14ac:dyDescent="0.25">
      <c r="A8579" t="str">
        <f>"3043430"</f>
        <v>3043430</v>
      </c>
      <c r="B8579" t="s">
        <v>25822</v>
      </c>
      <c r="C8579" t="str">
        <f>"28852000"</f>
        <v>28852000</v>
      </c>
      <c r="D8579" t="s">
        <v>25823</v>
      </c>
      <c r="E8579" t="s">
        <v>25824</v>
      </c>
      <c r="F8579" t="s">
        <v>25825</v>
      </c>
      <c r="I8579" t="s">
        <v>29</v>
      </c>
      <c r="J8579" t="s">
        <v>30</v>
      </c>
      <c r="K8579" t="s">
        <v>8143</v>
      </c>
      <c r="M8579" t="s">
        <v>18479</v>
      </c>
      <c r="N8579" t="str">
        <f>"5/11/2015 3:14:00 PM"</f>
        <v>5/11/2015 3:14:00 PM</v>
      </c>
      <c r="O8579" t="s">
        <v>25823</v>
      </c>
      <c r="T8579" t="s">
        <v>25824</v>
      </c>
    </row>
    <row r="8580" spans="1:20" x14ac:dyDescent="0.25">
      <c r="A8580" t="str">
        <f>"3043277"</f>
        <v>3043277</v>
      </c>
      <c r="B8580" t="s">
        <v>25826</v>
      </c>
      <c r="C8580" t="str">
        <f>"28852000"</f>
        <v>28852000</v>
      </c>
      <c r="D8580" t="s">
        <v>25823</v>
      </c>
      <c r="E8580" t="s">
        <v>25824</v>
      </c>
      <c r="F8580" t="s">
        <v>25825</v>
      </c>
      <c r="I8580" t="s">
        <v>29</v>
      </c>
      <c r="J8580" t="s">
        <v>30</v>
      </c>
      <c r="K8580" t="s">
        <v>8143</v>
      </c>
      <c r="M8580" t="s">
        <v>18479</v>
      </c>
      <c r="N8580" t="str">
        <f>"5/11/2015 3:14:00 PM"</f>
        <v>5/11/2015 3:14:00 PM</v>
      </c>
      <c r="O8580" t="s">
        <v>25823</v>
      </c>
      <c r="T8580" t="s">
        <v>25824</v>
      </c>
    </row>
    <row r="8581" spans="1:20" x14ac:dyDescent="0.25">
      <c r="A8581" t="str">
        <f>"3062019"</f>
        <v>3062019</v>
      </c>
      <c r="B8581" t="s">
        <v>25827</v>
      </c>
      <c r="C8581" t="str">
        <f>"8304999"</f>
        <v>8304999</v>
      </c>
      <c r="D8581" t="s">
        <v>25828</v>
      </c>
      <c r="E8581" t="s">
        <v>25829</v>
      </c>
      <c r="F8581" t="s">
        <v>25830</v>
      </c>
      <c r="I8581" t="s">
        <v>24359</v>
      </c>
      <c r="J8581" t="s">
        <v>30</v>
      </c>
      <c r="K8581" t="str">
        <f>"27006"</f>
        <v>27006</v>
      </c>
      <c r="M8581" t="s">
        <v>17861</v>
      </c>
      <c r="N8581" t="str">
        <f>"5/13/2015 1:45:00 PM"</f>
        <v>5/13/2015 1:45:00 PM</v>
      </c>
      <c r="O8581" t="s">
        <v>25828</v>
      </c>
      <c r="T8581" t="s">
        <v>25829</v>
      </c>
    </row>
    <row r="8582" spans="1:20" x14ac:dyDescent="0.25">
      <c r="A8582" t="str">
        <f>"3042304"</f>
        <v>3042304</v>
      </c>
      <c r="B8582" t="s">
        <v>25831</v>
      </c>
      <c r="C8582" t="str">
        <f>"82524527"</f>
        <v>82524527</v>
      </c>
      <c r="D8582" t="s">
        <v>25832</v>
      </c>
      <c r="F8582" t="s">
        <v>6871</v>
      </c>
      <c r="I8582" t="s">
        <v>29</v>
      </c>
      <c r="J8582" t="s">
        <v>30</v>
      </c>
      <c r="K8582" t="s">
        <v>25833</v>
      </c>
      <c r="M8582" t="s">
        <v>19336</v>
      </c>
      <c r="N8582" t="str">
        <f>"5/27/2015 11:13:00 AM"</f>
        <v>5/27/2015 11:13:00 AM</v>
      </c>
      <c r="O8582" t="s">
        <v>25832</v>
      </c>
    </row>
    <row r="8583" spans="1:20" x14ac:dyDescent="0.25">
      <c r="A8583" t="str">
        <f>"3077668"</f>
        <v>3077668</v>
      </c>
      <c r="B8583" t="s">
        <v>25834</v>
      </c>
      <c r="C8583" t="str">
        <f>"82524527"</f>
        <v>82524527</v>
      </c>
      <c r="D8583" t="s">
        <v>25832</v>
      </c>
      <c r="F8583" t="s">
        <v>6871</v>
      </c>
      <c r="I8583" t="s">
        <v>29</v>
      </c>
      <c r="J8583" t="s">
        <v>30</v>
      </c>
      <c r="K8583" t="s">
        <v>25833</v>
      </c>
      <c r="M8583" t="s">
        <v>19336</v>
      </c>
      <c r="N8583" t="str">
        <f>"5/27/2015 11:13:00 AM"</f>
        <v>5/27/2015 11:13:00 AM</v>
      </c>
      <c r="O8583" t="s">
        <v>25832</v>
      </c>
    </row>
    <row r="8584" spans="1:20" x14ac:dyDescent="0.25">
      <c r="A8584" t="str">
        <f>"3040480"</f>
        <v>3040480</v>
      </c>
      <c r="B8584" t="s">
        <v>25835</v>
      </c>
      <c r="C8584" t="str">
        <f>"82513313"</f>
        <v>82513313</v>
      </c>
      <c r="D8584" t="s">
        <v>25836</v>
      </c>
      <c r="E8584" t="s">
        <v>25837</v>
      </c>
      <c r="F8584" t="s">
        <v>25838</v>
      </c>
      <c r="I8584" t="s">
        <v>184</v>
      </c>
      <c r="J8584" t="s">
        <v>30</v>
      </c>
      <c r="K8584" t="s">
        <v>3550</v>
      </c>
      <c r="M8584" t="s">
        <v>18479</v>
      </c>
      <c r="N8584" t="str">
        <f>"5/13/2015 1:55:00 PM"</f>
        <v>5/13/2015 1:55:00 PM</v>
      </c>
      <c r="O8584" t="s">
        <v>25836</v>
      </c>
      <c r="T8584" t="s">
        <v>25837</v>
      </c>
    </row>
    <row r="8585" spans="1:20" x14ac:dyDescent="0.25">
      <c r="A8585" t="str">
        <f>"3042144"</f>
        <v>3042144</v>
      </c>
      <c r="B8585" t="s">
        <v>25839</v>
      </c>
      <c r="C8585" t="str">
        <f>"8300527"</f>
        <v>8300527</v>
      </c>
      <c r="D8585" t="s">
        <v>25840</v>
      </c>
      <c r="F8585" t="s">
        <v>6878</v>
      </c>
      <c r="I8585" t="s">
        <v>29</v>
      </c>
      <c r="J8585" t="s">
        <v>30</v>
      </c>
      <c r="K8585" t="str">
        <f>"27028"</f>
        <v>27028</v>
      </c>
      <c r="M8585" t="s">
        <v>18479</v>
      </c>
      <c r="N8585" t="str">
        <f>"5/27/2015 1:15:00 PM"</f>
        <v>5/27/2015 1:15:00 PM</v>
      </c>
      <c r="O8585" t="s">
        <v>25840</v>
      </c>
    </row>
    <row r="8586" spans="1:20" x14ac:dyDescent="0.25">
      <c r="A8586" t="str">
        <f>"3042822"</f>
        <v>3042822</v>
      </c>
      <c r="B8586" t="s">
        <v>25841</v>
      </c>
      <c r="C8586" t="str">
        <f>"8300527"</f>
        <v>8300527</v>
      </c>
      <c r="D8586" t="s">
        <v>25840</v>
      </c>
      <c r="F8586" t="s">
        <v>6878</v>
      </c>
      <c r="I8586" t="s">
        <v>29</v>
      </c>
      <c r="J8586" t="s">
        <v>30</v>
      </c>
      <c r="K8586" t="str">
        <f>"27028"</f>
        <v>27028</v>
      </c>
      <c r="M8586" t="s">
        <v>18479</v>
      </c>
      <c r="N8586" t="str">
        <f>"5/27/2015 1:15:00 PM"</f>
        <v>5/27/2015 1:15:00 PM</v>
      </c>
      <c r="O8586" t="s">
        <v>25840</v>
      </c>
    </row>
    <row r="8587" spans="1:20" x14ac:dyDescent="0.25">
      <c r="A8587" t="str">
        <f>"3044313"</f>
        <v>3044313</v>
      </c>
      <c r="B8587" t="s">
        <v>25842</v>
      </c>
      <c r="C8587" t="str">
        <f>"35620250"</f>
        <v>35620250</v>
      </c>
      <c r="D8587" t="s">
        <v>25710</v>
      </c>
      <c r="F8587" t="s">
        <v>25711</v>
      </c>
      <c r="I8587" t="s">
        <v>184</v>
      </c>
      <c r="J8587" t="s">
        <v>30</v>
      </c>
      <c r="K8587" t="s">
        <v>25712</v>
      </c>
      <c r="M8587" t="s">
        <v>18479</v>
      </c>
      <c r="N8587" t="str">
        <f>"5/21/2015 1:32:00 PM"</f>
        <v>5/21/2015 1:32:00 PM</v>
      </c>
      <c r="O8587" t="s">
        <v>25710</v>
      </c>
    </row>
    <row r="8588" spans="1:20" x14ac:dyDescent="0.25">
      <c r="A8588" t="str">
        <f>"3076671"</f>
        <v>3076671</v>
      </c>
      <c r="B8588" t="s">
        <v>25843</v>
      </c>
      <c r="C8588" t="str">
        <f>"82528443"</f>
        <v>82528443</v>
      </c>
      <c r="D8588" t="s">
        <v>25844</v>
      </c>
      <c r="F8588" t="s">
        <v>25845</v>
      </c>
      <c r="I8588" t="s">
        <v>29</v>
      </c>
      <c r="J8588" t="s">
        <v>30</v>
      </c>
      <c r="K8588" t="s">
        <v>31</v>
      </c>
      <c r="M8588" t="s">
        <v>25733</v>
      </c>
      <c r="N8588" t="str">
        <f>"5/21/2015 4:18:00 PM"</f>
        <v>5/21/2015 4:18:00 PM</v>
      </c>
      <c r="O8588" t="s">
        <v>25844</v>
      </c>
    </row>
    <row r="8589" spans="1:20" x14ac:dyDescent="0.25">
      <c r="A8589" t="str">
        <f>"3055009"</f>
        <v>3055009</v>
      </c>
      <c r="B8589" t="s">
        <v>25846</v>
      </c>
      <c r="C8589" t="str">
        <f>"82523719"</f>
        <v>82523719</v>
      </c>
      <c r="D8589" t="s">
        <v>25847</v>
      </c>
      <c r="F8589" t="s">
        <v>14622</v>
      </c>
      <c r="I8589" t="s">
        <v>29</v>
      </c>
      <c r="J8589" t="s">
        <v>30</v>
      </c>
      <c r="K8589" t="s">
        <v>25848</v>
      </c>
      <c r="M8589" t="s">
        <v>18479</v>
      </c>
      <c r="N8589" t="str">
        <f>"5/22/2015 11:08:00 AM"</f>
        <v>5/22/2015 11:08:00 AM</v>
      </c>
      <c r="O8589" t="s">
        <v>25847</v>
      </c>
    </row>
    <row r="8590" spans="1:20" x14ac:dyDescent="0.25">
      <c r="A8590" t="str">
        <f>"3044461"</f>
        <v>3044461</v>
      </c>
      <c r="B8590" t="s">
        <v>25849</v>
      </c>
      <c r="C8590" t="str">
        <f>"82526868"</f>
        <v>82526868</v>
      </c>
      <c r="D8590" t="s">
        <v>25850</v>
      </c>
      <c r="E8590" t="s">
        <v>25851</v>
      </c>
      <c r="F8590" t="s">
        <v>25852</v>
      </c>
      <c r="I8590" t="s">
        <v>184</v>
      </c>
      <c r="J8590" t="s">
        <v>30</v>
      </c>
      <c r="K8590" t="s">
        <v>185</v>
      </c>
      <c r="M8590" t="s">
        <v>25733</v>
      </c>
      <c r="N8590" t="str">
        <f>"5/22/2015 2:18:00 PM"</f>
        <v>5/22/2015 2:18:00 PM</v>
      </c>
      <c r="O8590" t="s">
        <v>25850</v>
      </c>
      <c r="T8590" t="s">
        <v>25851</v>
      </c>
    </row>
    <row r="8591" spans="1:20" x14ac:dyDescent="0.25">
      <c r="A8591" t="str">
        <f>"3047365"</f>
        <v>3047365</v>
      </c>
      <c r="B8591" t="s">
        <v>25853</v>
      </c>
      <c r="C8591" t="str">
        <f>"33439000"</f>
        <v>33439000</v>
      </c>
      <c r="D8591" t="s">
        <v>25854</v>
      </c>
      <c r="E8591" t="s">
        <v>25855</v>
      </c>
      <c r="F8591" t="s">
        <v>7908</v>
      </c>
      <c r="I8591" t="s">
        <v>184</v>
      </c>
      <c r="J8591" t="s">
        <v>30</v>
      </c>
      <c r="K8591" t="s">
        <v>185</v>
      </c>
      <c r="M8591" t="s">
        <v>18479</v>
      </c>
      <c r="N8591" t="str">
        <f>"5/26/2015 10:05:00 AM"</f>
        <v>5/26/2015 10:05:00 AM</v>
      </c>
      <c r="O8591" t="s">
        <v>25854</v>
      </c>
      <c r="T8591" t="s">
        <v>25855</v>
      </c>
    </row>
    <row r="8592" spans="1:20" x14ac:dyDescent="0.25">
      <c r="A8592" t="str">
        <f>"3047906"</f>
        <v>3047906</v>
      </c>
      <c r="B8592" t="s">
        <v>25856</v>
      </c>
      <c r="C8592" t="str">
        <f>"33439000"</f>
        <v>33439000</v>
      </c>
      <c r="D8592" t="s">
        <v>25854</v>
      </c>
      <c r="E8592" t="s">
        <v>25855</v>
      </c>
      <c r="F8592" t="s">
        <v>7908</v>
      </c>
      <c r="I8592" t="s">
        <v>184</v>
      </c>
      <c r="J8592" t="s">
        <v>30</v>
      </c>
      <c r="K8592" t="s">
        <v>185</v>
      </c>
      <c r="M8592" t="s">
        <v>18479</v>
      </c>
      <c r="N8592" t="str">
        <f>"5/26/2015 10:05:00 AM"</f>
        <v>5/26/2015 10:05:00 AM</v>
      </c>
      <c r="O8592" t="s">
        <v>25854</v>
      </c>
      <c r="T8592" t="s">
        <v>25855</v>
      </c>
    </row>
    <row r="8593" spans="1:20" x14ac:dyDescent="0.25">
      <c r="A8593" t="str">
        <f>"3048140"</f>
        <v>3048140</v>
      </c>
      <c r="B8593" t="s">
        <v>25857</v>
      </c>
      <c r="C8593" t="str">
        <f>"82515705"</f>
        <v>82515705</v>
      </c>
      <c r="D8593" t="s">
        <v>25858</v>
      </c>
      <c r="E8593" t="s">
        <v>25859</v>
      </c>
      <c r="F8593" t="s">
        <v>25860</v>
      </c>
      <c r="I8593" t="s">
        <v>184</v>
      </c>
      <c r="J8593" t="s">
        <v>30</v>
      </c>
      <c r="K8593" t="s">
        <v>25861</v>
      </c>
      <c r="M8593" t="s">
        <v>18479</v>
      </c>
      <c r="N8593" t="str">
        <f>"5/26/2015 10:26:00 AM"</f>
        <v>5/26/2015 10:26:00 AM</v>
      </c>
      <c r="O8593" t="s">
        <v>25858</v>
      </c>
      <c r="T8593" t="s">
        <v>25859</v>
      </c>
    </row>
    <row r="8594" spans="1:20" x14ac:dyDescent="0.25">
      <c r="A8594" t="str">
        <f>"3040851"</f>
        <v>3040851</v>
      </c>
      <c r="B8594" t="s">
        <v>25862</v>
      </c>
      <c r="C8594" t="str">
        <f>"8304301"</f>
        <v>8304301</v>
      </c>
      <c r="D8594" t="s">
        <v>25863</v>
      </c>
      <c r="F8594" t="s">
        <v>25864</v>
      </c>
      <c r="I8594" t="s">
        <v>184</v>
      </c>
      <c r="J8594" t="s">
        <v>30</v>
      </c>
      <c r="K8594" t="str">
        <f>"27006"</f>
        <v>27006</v>
      </c>
      <c r="M8594" t="s">
        <v>18470</v>
      </c>
      <c r="N8594" t="str">
        <f>"5/26/2015 10:32:00 AM"</f>
        <v>5/26/2015 10:32:00 AM</v>
      </c>
      <c r="O8594" t="s">
        <v>25863</v>
      </c>
    </row>
    <row r="8595" spans="1:20" x14ac:dyDescent="0.25">
      <c r="A8595" t="str">
        <f>"3055954"</f>
        <v>3055954</v>
      </c>
      <c r="B8595" t="s">
        <v>25865</v>
      </c>
      <c r="C8595" t="str">
        <f>"9996000"</f>
        <v>9996000</v>
      </c>
      <c r="D8595" t="s">
        <v>25866</v>
      </c>
      <c r="E8595" t="s">
        <v>25867</v>
      </c>
      <c r="F8595" t="s">
        <v>25868</v>
      </c>
      <c r="I8595" t="s">
        <v>9580</v>
      </c>
      <c r="J8595" t="s">
        <v>30</v>
      </c>
      <c r="K8595" t="s">
        <v>9581</v>
      </c>
      <c r="M8595" t="s">
        <v>18470</v>
      </c>
      <c r="N8595" t="str">
        <f>"5/26/2015 11:12:00 AM"</f>
        <v>5/26/2015 11:12:00 AM</v>
      </c>
      <c r="O8595" t="s">
        <v>25866</v>
      </c>
      <c r="T8595" t="s">
        <v>25867</v>
      </c>
    </row>
    <row r="8596" spans="1:20" x14ac:dyDescent="0.25">
      <c r="A8596" t="str">
        <f>"3037911"</f>
        <v>3037911</v>
      </c>
      <c r="B8596" t="s">
        <v>25869</v>
      </c>
      <c r="C8596" t="str">
        <f>"31967000"</f>
        <v>31967000</v>
      </c>
      <c r="D8596" t="s">
        <v>25870</v>
      </c>
      <c r="E8596" t="s">
        <v>25871</v>
      </c>
      <c r="F8596" t="s">
        <v>25872</v>
      </c>
      <c r="I8596" t="s">
        <v>29</v>
      </c>
      <c r="J8596" t="s">
        <v>30</v>
      </c>
      <c r="K8596" t="s">
        <v>31</v>
      </c>
      <c r="M8596" t="s">
        <v>18479</v>
      </c>
      <c r="N8596" t="str">
        <f>"5/29/2015 11:50:00 AM"</f>
        <v>5/29/2015 11:50:00 AM</v>
      </c>
      <c r="O8596" t="s">
        <v>25870</v>
      </c>
      <c r="T8596" t="s">
        <v>25871</v>
      </c>
    </row>
    <row r="8597" spans="1:20" x14ac:dyDescent="0.25">
      <c r="A8597" t="str">
        <f>"3039643"</f>
        <v>3039643</v>
      </c>
      <c r="B8597" t="s">
        <v>25873</v>
      </c>
      <c r="C8597" t="str">
        <f>"8303390"</f>
        <v>8303390</v>
      </c>
      <c r="D8597" t="s">
        <v>25874</v>
      </c>
      <c r="E8597" t="str">
        <f>"HEPLER DAVID 1%/JOHN PAUL 1%"</f>
        <v>HEPLER DAVID 1%/JOHN PAUL 1%</v>
      </c>
      <c r="F8597" t="s">
        <v>25875</v>
      </c>
      <c r="I8597" t="s">
        <v>184</v>
      </c>
      <c r="J8597" t="s">
        <v>30</v>
      </c>
      <c r="K8597" t="str">
        <f>"27006"</f>
        <v>27006</v>
      </c>
      <c r="M8597" t="s">
        <v>18479</v>
      </c>
      <c r="N8597" t="str">
        <f>"5/26/2015 11:23:00 AM"</f>
        <v>5/26/2015 11:23:00 AM</v>
      </c>
      <c r="O8597" t="s">
        <v>25874</v>
      </c>
      <c r="T8597" t="str">
        <f>"HEPLER DAVID 1%/JOHN PAUL 1%"</f>
        <v>HEPLER DAVID 1%/JOHN PAUL 1%</v>
      </c>
    </row>
    <row r="8598" spans="1:20" x14ac:dyDescent="0.25">
      <c r="A8598" t="str">
        <f>"3039542"</f>
        <v>3039542</v>
      </c>
      <c r="B8598" t="s">
        <v>25876</v>
      </c>
      <c r="C8598" t="str">
        <f>"8303390"</f>
        <v>8303390</v>
      </c>
      <c r="D8598" t="s">
        <v>25874</v>
      </c>
      <c r="E8598" t="str">
        <f>"HEPLER DAVID 1%/JOHN PAUL 1%"</f>
        <v>HEPLER DAVID 1%/JOHN PAUL 1%</v>
      </c>
      <c r="F8598" t="s">
        <v>25875</v>
      </c>
      <c r="I8598" t="s">
        <v>184</v>
      </c>
      <c r="J8598" t="s">
        <v>30</v>
      </c>
      <c r="K8598" t="str">
        <f>"27006"</f>
        <v>27006</v>
      </c>
      <c r="M8598" t="s">
        <v>18479</v>
      </c>
      <c r="N8598" t="str">
        <f>"5/26/2015 11:23:00 AM"</f>
        <v>5/26/2015 11:23:00 AM</v>
      </c>
      <c r="O8598" t="s">
        <v>25874</v>
      </c>
      <c r="T8598" t="str">
        <f>"HEPLER DAVID 1%/JOHN PAUL 1%"</f>
        <v>HEPLER DAVID 1%/JOHN PAUL 1%</v>
      </c>
    </row>
    <row r="8599" spans="1:20" x14ac:dyDescent="0.25">
      <c r="A8599" t="str">
        <f>"3039444"</f>
        <v>3039444</v>
      </c>
      <c r="B8599" t="s">
        <v>25877</v>
      </c>
      <c r="C8599" t="str">
        <f>"8303390"</f>
        <v>8303390</v>
      </c>
      <c r="D8599" t="s">
        <v>25874</v>
      </c>
      <c r="E8599" t="str">
        <f>"HEPLER DAVID 1%/JOHN PAUL 1%"</f>
        <v>HEPLER DAVID 1%/JOHN PAUL 1%</v>
      </c>
      <c r="F8599" t="s">
        <v>25875</v>
      </c>
      <c r="I8599" t="s">
        <v>184</v>
      </c>
      <c r="J8599" t="s">
        <v>30</v>
      </c>
      <c r="K8599" t="str">
        <f>"27006"</f>
        <v>27006</v>
      </c>
      <c r="M8599" t="s">
        <v>18479</v>
      </c>
      <c r="N8599" t="str">
        <f>"5/26/2015 11:23:00 AM"</f>
        <v>5/26/2015 11:23:00 AM</v>
      </c>
      <c r="O8599" t="s">
        <v>25874</v>
      </c>
      <c r="T8599" t="str">
        <f>"HEPLER DAVID 1%/JOHN PAUL 1%"</f>
        <v>HEPLER DAVID 1%/JOHN PAUL 1%</v>
      </c>
    </row>
    <row r="8600" spans="1:20" x14ac:dyDescent="0.25">
      <c r="A8600" t="str">
        <f>"3055129"</f>
        <v>3055129</v>
      </c>
      <c r="B8600" t="s">
        <v>25878</v>
      </c>
      <c r="C8600" t="str">
        <f>"8304319"</f>
        <v>8304319</v>
      </c>
      <c r="D8600" t="s">
        <v>25879</v>
      </c>
      <c r="F8600" t="s">
        <v>25880</v>
      </c>
      <c r="I8600" t="s">
        <v>29</v>
      </c>
      <c r="J8600" t="s">
        <v>30</v>
      </c>
      <c r="K8600" t="str">
        <f>"27028"</f>
        <v>27028</v>
      </c>
      <c r="M8600" t="s">
        <v>18470</v>
      </c>
      <c r="N8600" t="str">
        <f>"5/26/2015 11:59:00 AM"</f>
        <v>5/26/2015 11:59:00 AM</v>
      </c>
      <c r="O8600" t="s">
        <v>25879</v>
      </c>
    </row>
    <row r="8601" spans="1:20" x14ac:dyDescent="0.25">
      <c r="A8601" t="str">
        <f>"3059245"</f>
        <v>3059245</v>
      </c>
      <c r="B8601" t="s">
        <v>25881</v>
      </c>
      <c r="C8601" t="str">
        <f>"37828000"</f>
        <v>37828000</v>
      </c>
      <c r="D8601" t="s">
        <v>25882</v>
      </c>
      <c r="E8601" t="s">
        <v>25883</v>
      </c>
      <c r="F8601" t="s">
        <v>25884</v>
      </c>
      <c r="I8601" t="s">
        <v>29</v>
      </c>
      <c r="J8601" t="s">
        <v>30</v>
      </c>
      <c r="K8601" t="s">
        <v>11151</v>
      </c>
      <c r="M8601" t="s">
        <v>18479</v>
      </c>
      <c r="N8601" t="str">
        <f>"5/26/2015 2:38:00 PM"</f>
        <v>5/26/2015 2:38:00 PM</v>
      </c>
      <c r="O8601" t="s">
        <v>25882</v>
      </c>
      <c r="T8601" t="s">
        <v>25883</v>
      </c>
    </row>
    <row r="8602" spans="1:20" x14ac:dyDescent="0.25">
      <c r="A8602" t="str">
        <f>"3050265"</f>
        <v>3050265</v>
      </c>
      <c r="B8602" t="s">
        <v>25885</v>
      </c>
      <c r="C8602" t="str">
        <f>"8305021"</f>
        <v>8305021</v>
      </c>
      <c r="D8602" t="s">
        <v>25886</v>
      </c>
      <c r="F8602" t="s">
        <v>25887</v>
      </c>
      <c r="I8602" t="s">
        <v>29</v>
      </c>
      <c r="J8602" t="s">
        <v>30</v>
      </c>
      <c r="K8602" t="str">
        <f>"27028"</f>
        <v>27028</v>
      </c>
      <c r="M8602" t="s">
        <v>17861</v>
      </c>
      <c r="N8602" t="str">
        <f>"5/26/2015 3:10:00 PM"</f>
        <v>5/26/2015 3:10:00 PM</v>
      </c>
      <c r="O8602" t="s">
        <v>25886</v>
      </c>
    </row>
    <row r="8603" spans="1:20" x14ac:dyDescent="0.25">
      <c r="A8603" t="str">
        <f>"3051382"</f>
        <v>3051382</v>
      </c>
      <c r="B8603" t="s">
        <v>25888</v>
      </c>
      <c r="C8603" t="str">
        <f>"34444000"</f>
        <v>34444000</v>
      </c>
      <c r="D8603" t="s">
        <v>25889</v>
      </c>
      <c r="E8603" t="s">
        <v>25890</v>
      </c>
      <c r="F8603" t="s">
        <v>12856</v>
      </c>
      <c r="I8603" t="s">
        <v>29</v>
      </c>
      <c r="J8603" t="s">
        <v>30</v>
      </c>
      <c r="K8603" t="s">
        <v>31</v>
      </c>
      <c r="M8603" t="s">
        <v>18470</v>
      </c>
      <c r="N8603" t="str">
        <f>"5/26/2015 3:18:00 PM"</f>
        <v>5/26/2015 3:18:00 PM</v>
      </c>
      <c r="O8603" t="s">
        <v>25889</v>
      </c>
      <c r="T8603" t="s">
        <v>25890</v>
      </c>
    </row>
    <row r="8604" spans="1:20" x14ac:dyDescent="0.25">
      <c r="A8604" t="str">
        <f>"3050700"</f>
        <v>3050700</v>
      </c>
      <c r="B8604" t="s">
        <v>25891</v>
      </c>
      <c r="C8604" t="str">
        <f>"8305027"</f>
        <v>8305027</v>
      </c>
      <c r="D8604" t="s">
        <v>25892</v>
      </c>
      <c r="E8604" t="s">
        <v>25893</v>
      </c>
      <c r="F8604" t="s">
        <v>25894</v>
      </c>
      <c r="I8604" t="s">
        <v>184</v>
      </c>
      <c r="J8604" t="s">
        <v>30</v>
      </c>
      <c r="K8604" t="str">
        <f>"27006"</f>
        <v>27006</v>
      </c>
      <c r="M8604" t="s">
        <v>17861</v>
      </c>
      <c r="N8604" t="str">
        <f>"5/26/2015 4:07:00 PM"</f>
        <v>5/26/2015 4:07:00 PM</v>
      </c>
      <c r="O8604" t="s">
        <v>25892</v>
      </c>
      <c r="T8604" t="s">
        <v>25893</v>
      </c>
    </row>
    <row r="8605" spans="1:20" x14ac:dyDescent="0.25">
      <c r="A8605" t="str">
        <f>"3044559"</f>
        <v>3044559</v>
      </c>
      <c r="B8605" t="s">
        <v>25895</v>
      </c>
      <c r="C8605" t="str">
        <f>"8304127"</f>
        <v>8304127</v>
      </c>
      <c r="D8605" t="s">
        <v>25896</v>
      </c>
      <c r="F8605" t="s">
        <v>25897</v>
      </c>
      <c r="I8605" t="s">
        <v>184</v>
      </c>
      <c r="J8605" t="s">
        <v>30</v>
      </c>
      <c r="K8605" t="str">
        <f>"27006"</f>
        <v>27006</v>
      </c>
      <c r="M8605" t="s">
        <v>18479</v>
      </c>
      <c r="N8605" t="str">
        <f>"6/2/2015 11:37:00 AM"</f>
        <v>6/2/2015 11:37:00 AM</v>
      </c>
      <c r="O8605" t="s">
        <v>25896</v>
      </c>
    </row>
    <row r="8606" spans="1:20" x14ac:dyDescent="0.25">
      <c r="A8606" t="str">
        <f>"3039558"</f>
        <v>3039558</v>
      </c>
      <c r="B8606" t="s">
        <v>25898</v>
      </c>
      <c r="C8606" t="str">
        <f>"8300437"</f>
        <v>8300437</v>
      </c>
      <c r="D8606" t="s">
        <v>25899</v>
      </c>
      <c r="E8606" t="s">
        <v>25900</v>
      </c>
      <c r="F8606" t="s">
        <v>25901</v>
      </c>
      <c r="I8606" t="s">
        <v>184</v>
      </c>
      <c r="J8606" t="s">
        <v>30</v>
      </c>
      <c r="K8606" t="s">
        <v>185</v>
      </c>
      <c r="M8606" t="s">
        <v>18479</v>
      </c>
      <c r="N8606" t="str">
        <f>"6/2/2015 11:41:00 AM"</f>
        <v>6/2/2015 11:41:00 AM</v>
      </c>
      <c r="O8606" t="s">
        <v>25899</v>
      </c>
      <c r="T8606" t="s">
        <v>25900</v>
      </c>
    </row>
    <row r="8607" spans="1:20" x14ac:dyDescent="0.25">
      <c r="A8607" t="str">
        <f>"3039559"</f>
        <v>3039559</v>
      </c>
      <c r="B8607" t="s">
        <v>25902</v>
      </c>
      <c r="C8607" t="str">
        <f>"8300437"</f>
        <v>8300437</v>
      </c>
      <c r="D8607" t="s">
        <v>25899</v>
      </c>
      <c r="E8607" t="s">
        <v>25900</v>
      </c>
      <c r="F8607" t="s">
        <v>25901</v>
      </c>
      <c r="I8607" t="s">
        <v>184</v>
      </c>
      <c r="J8607" t="s">
        <v>30</v>
      </c>
      <c r="K8607" t="s">
        <v>185</v>
      </c>
      <c r="M8607" t="s">
        <v>18479</v>
      </c>
      <c r="N8607" t="str">
        <f>"6/2/2015 11:41:00 AM"</f>
        <v>6/2/2015 11:41:00 AM</v>
      </c>
      <c r="O8607" t="s">
        <v>25899</v>
      </c>
      <c r="T8607" t="s">
        <v>25900</v>
      </c>
    </row>
    <row r="8608" spans="1:20" x14ac:dyDescent="0.25">
      <c r="A8608" t="str">
        <f>"3038472"</f>
        <v>3038472</v>
      </c>
      <c r="B8608" t="s">
        <v>25903</v>
      </c>
      <c r="C8608" t="str">
        <f>"8300170"</f>
        <v>8300170</v>
      </c>
      <c r="D8608" t="s">
        <v>25904</v>
      </c>
      <c r="F8608" t="s">
        <v>25905</v>
      </c>
      <c r="I8608" t="s">
        <v>29</v>
      </c>
      <c r="J8608" t="s">
        <v>30</v>
      </c>
      <c r="K8608" t="s">
        <v>31</v>
      </c>
      <c r="M8608" t="s">
        <v>18479</v>
      </c>
      <c r="N8608" t="str">
        <f>"6/2/2015 11:51:00 AM"</f>
        <v>6/2/2015 11:51:00 AM</v>
      </c>
      <c r="O8608" t="s">
        <v>25904</v>
      </c>
    </row>
    <row r="8609" spans="1:20" x14ac:dyDescent="0.25">
      <c r="A8609" t="str">
        <f>"3037784"</f>
        <v>3037784</v>
      </c>
      <c r="B8609" t="s">
        <v>25906</v>
      </c>
      <c r="C8609" t="str">
        <f>"8300170"</f>
        <v>8300170</v>
      </c>
      <c r="D8609" t="s">
        <v>25904</v>
      </c>
      <c r="F8609" t="s">
        <v>25905</v>
      </c>
      <c r="I8609" t="s">
        <v>29</v>
      </c>
      <c r="J8609" t="s">
        <v>30</v>
      </c>
      <c r="K8609" t="s">
        <v>31</v>
      </c>
      <c r="M8609" t="s">
        <v>18479</v>
      </c>
      <c r="N8609" t="str">
        <f>"6/2/2015 11:51:00 AM"</f>
        <v>6/2/2015 11:51:00 AM</v>
      </c>
      <c r="O8609" t="s">
        <v>25904</v>
      </c>
    </row>
    <row r="8610" spans="1:20" x14ac:dyDescent="0.25">
      <c r="A8610" t="str">
        <f>"3051751"</f>
        <v>3051751</v>
      </c>
      <c r="B8610" t="s">
        <v>25907</v>
      </c>
      <c r="C8610" t="str">
        <f>"8300170"</f>
        <v>8300170</v>
      </c>
      <c r="D8610" t="s">
        <v>25904</v>
      </c>
      <c r="F8610" t="s">
        <v>25905</v>
      </c>
      <c r="I8610" t="s">
        <v>29</v>
      </c>
      <c r="J8610" t="s">
        <v>30</v>
      </c>
      <c r="K8610" t="s">
        <v>31</v>
      </c>
      <c r="M8610" t="s">
        <v>18479</v>
      </c>
      <c r="N8610" t="str">
        <f>"6/2/2015 11:51:00 AM"</f>
        <v>6/2/2015 11:51:00 AM</v>
      </c>
      <c r="O8610" t="s">
        <v>25904</v>
      </c>
    </row>
    <row r="8611" spans="1:20" x14ac:dyDescent="0.25">
      <c r="A8611" t="str">
        <f>"3052720"</f>
        <v>3052720</v>
      </c>
      <c r="B8611" t="s">
        <v>25908</v>
      </c>
      <c r="C8611" t="str">
        <f>"8300170"</f>
        <v>8300170</v>
      </c>
      <c r="D8611" t="s">
        <v>25904</v>
      </c>
      <c r="F8611" t="s">
        <v>25905</v>
      </c>
      <c r="I8611" t="s">
        <v>29</v>
      </c>
      <c r="J8611" t="s">
        <v>30</v>
      </c>
      <c r="K8611" t="s">
        <v>31</v>
      </c>
      <c r="M8611" t="s">
        <v>18479</v>
      </c>
      <c r="N8611" t="str">
        <f>"6/2/2015 11:51:00 AM"</f>
        <v>6/2/2015 11:51:00 AM</v>
      </c>
      <c r="O8611" t="s">
        <v>25904</v>
      </c>
    </row>
    <row r="8612" spans="1:20" x14ac:dyDescent="0.25">
      <c r="A8612" t="str">
        <f>"3046378"</f>
        <v>3046378</v>
      </c>
      <c r="B8612" t="s">
        <v>25909</v>
      </c>
      <c r="C8612" t="str">
        <f>"8305048"</f>
        <v>8305048</v>
      </c>
      <c r="D8612" t="s">
        <v>25910</v>
      </c>
      <c r="E8612" t="s">
        <v>25911</v>
      </c>
      <c r="F8612" t="s">
        <v>25912</v>
      </c>
      <c r="I8612" t="s">
        <v>29</v>
      </c>
      <c r="J8612" t="s">
        <v>30</v>
      </c>
      <c r="K8612" t="str">
        <f>"27028"</f>
        <v>27028</v>
      </c>
      <c r="M8612" t="s">
        <v>17861</v>
      </c>
      <c r="N8612" t="str">
        <f>"6/2/2015 1:10:00 PM"</f>
        <v>6/2/2015 1:10:00 PM</v>
      </c>
      <c r="O8612" t="s">
        <v>25910</v>
      </c>
      <c r="T8612" t="s">
        <v>25911</v>
      </c>
    </row>
    <row r="8613" spans="1:20" x14ac:dyDescent="0.25">
      <c r="A8613" t="str">
        <f>"3037634"</f>
        <v>3037634</v>
      </c>
      <c r="B8613" t="s">
        <v>25913</v>
      </c>
      <c r="C8613" t="str">
        <f>"82518028"</f>
        <v>82518028</v>
      </c>
      <c r="D8613" t="s">
        <v>25914</v>
      </c>
      <c r="E8613" t="s">
        <v>25915</v>
      </c>
      <c r="F8613" t="s">
        <v>25916</v>
      </c>
      <c r="I8613" t="s">
        <v>49</v>
      </c>
      <c r="J8613" t="s">
        <v>30</v>
      </c>
      <c r="K8613" t="s">
        <v>50</v>
      </c>
      <c r="M8613" t="s">
        <v>18479</v>
      </c>
      <c r="N8613" t="str">
        <f>"6/2/2015 1:22:00 PM"</f>
        <v>6/2/2015 1:22:00 PM</v>
      </c>
      <c r="O8613" t="s">
        <v>25914</v>
      </c>
      <c r="T8613" t="s">
        <v>25915</v>
      </c>
    </row>
    <row r="8614" spans="1:20" x14ac:dyDescent="0.25">
      <c r="A8614" t="str">
        <f>"3053426"</f>
        <v>3053426</v>
      </c>
      <c r="B8614" t="s">
        <v>25917</v>
      </c>
      <c r="C8614" t="str">
        <f>"8305037"</f>
        <v>8305037</v>
      </c>
      <c r="D8614" t="s">
        <v>25918</v>
      </c>
      <c r="E8614" t="s">
        <v>25919</v>
      </c>
      <c r="F8614" t="s">
        <v>25920</v>
      </c>
      <c r="I8614" t="s">
        <v>29</v>
      </c>
      <c r="J8614" t="s">
        <v>30</v>
      </c>
      <c r="K8614" t="str">
        <f>"27028"</f>
        <v>27028</v>
      </c>
      <c r="M8614" t="s">
        <v>17861</v>
      </c>
      <c r="N8614" t="str">
        <f>"5/27/2015 10:12:00 AM"</f>
        <v>5/27/2015 10:12:00 AM</v>
      </c>
      <c r="O8614" t="s">
        <v>25918</v>
      </c>
      <c r="T8614" t="s">
        <v>25919</v>
      </c>
    </row>
    <row r="8615" spans="1:20" x14ac:dyDescent="0.25">
      <c r="A8615" t="str">
        <f>"3063900"</f>
        <v>3063900</v>
      </c>
      <c r="B8615" t="s">
        <v>25921</v>
      </c>
      <c r="C8615" t="str">
        <f>"8301762"</f>
        <v>8301762</v>
      </c>
      <c r="D8615" t="s">
        <v>25922</v>
      </c>
      <c r="F8615" t="s">
        <v>25923</v>
      </c>
      <c r="I8615" t="s">
        <v>184</v>
      </c>
      <c r="J8615" t="s">
        <v>30</v>
      </c>
      <c r="K8615" t="str">
        <f>"27006"</f>
        <v>27006</v>
      </c>
      <c r="M8615" t="s">
        <v>18479</v>
      </c>
      <c r="N8615" t="str">
        <f>"6/2/2015 1:32:00 PM"</f>
        <v>6/2/2015 1:32:00 PM</v>
      </c>
      <c r="O8615" t="s">
        <v>25922</v>
      </c>
    </row>
    <row r="8616" spans="1:20" x14ac:dyDescent="0.25">
      <c r="A8616" t="str">
        <f>"3046078"</f>
        <v>3046078</v>
      </c>
      <c r="B8616" t="s">
        <v>25924</v>
      </c>
      <c r="C8616" t="str">
        <f>"82532197"</f>
        <v>82532197</v>
      </c>
      <c r="D8616" t="s">
        <v>25925</v>
      </c>
      <c r="F8616" t="s">
        <v>25926</v>
      </c>
      <c r="I8616" t="s">
        <v>29</v>
      </c>
      <c r="J8616" t="s">
        <v>30</v>
      </c>
      <c r="K8616" t="s">
        <v>31</v>
      </c>
      <c r="M8616" t="s">
        <v>18479</v>
      </c>
      <c r="N8616" t="str">
        <f>"6/2/2015 1:49:00 PM"</f>
        <v>6/2/2015 1:49:00 PM</v>
      </c>
      <c r="O8616" t="s">
        <v>25925</v>
      </c>
    </row>
    <row r="8617" spans="1:20" x14ac:dyDescent="0.25">
      <c r="A8617" t="str">
        <f>"3060308"</f>
        <v>3060308</v>
      </c>
      <c r="B8617" t="s">
        <v>25927</v>
      </c>
      <c r="C8617" t="str">
        <f>"8305054"</f>
        <v>8305054</v>
      </c>
      <c r="D8617" t="s">
        <v>25928</v>
      </c>
      <c r="F8617" t="s">
        <v>25929</v>
      </c>
      <c r="I8617" t="s">
        <v>29</v>
      </c>
      <c r="J8617" t="s">
        <v>30</v>
      </c>
      <c r="K8617" t="str">
        <f>"27028"</f>
        <v>27028</v>
      </c>
      <c r="M8617" t="s">
        <v>17861</v>
      </c>
      <c r="N8617" t="str">
        <f>"6/2/2015 3:53:00 PM"</f>
        <v>6/2/2015 3:53:00 PM</v>
      </c>
      <c r="O8617" t="s">
        <v>25928</v>
      </c>
    </row>
    <row r="8618" spans="1:20" x14ac:dyDescent="0.25">
      <c r="A8618" t="str">
        <f>"3038832"</f>
        <v>3038832</v>
      </c>
      <c r="B8618" t="s">
        <v>25930</v>
      </c>
      <c r="C8618" t="str">
        <f>"42060000"</f>
        <v>42060000</v>
      </c>
      <c r="D8618" t="s">
        <v>25931</v>
      </c>
      <c r="E8618" t="s">
        <v>25932</v>
      </c>
      <c r="F8618" t="s">
        <v>25933</v>
      </c>
      <c r="I8618" t="s">
        <v>29</v>
      </c>
      <c r="J8618" t="s">
        <v>30</v>
      </c>
      <c r="K8618" t="s">
        <v>178</v>
      </c>
      <c r="M8618" t="s">
        <v>18479</v>
      </c>
      <c r="N8618" t="str">
        <f>"6/2/2015 4:33:00 PM"</f>
        <v>6/2/2015 4:33:00 PM</v>
      </c>
      <c r="O8618" t="s">
        <v>25931</v>
      </c>
      <c r="T8618" t="s">
        <v>25932</v>
      </c>
    </row>
    <row r="8619" spans="1:20" x14ac:dyDescent="0.25">
      <c r="A8619" t="str">
        <f>"3047510"</f>
        <v>3047510</v>
      </c>
      <c r="B8619" t="s">
        <v>25934</v>
      </c>
      <c r="C8619" t="str">
        <f>"82514520"</f>
        <v>82514520</v>
      </c>
      <c r="D8619" t="s">
        <v>25935</v>
      </c>
      <c r="F8619" t="s">
        <v>25936</v>
      </c>
      <c r="I8619" t="s">
        <v>25937</v>
      </c>
      <c r="J8619" t="s">
        <v>30</v>
      </c>
      <c r="K8619" t="s">
        <v>10801</v>
      </c>
      <c r="M8619" t="s">
        <v>18479</v>
      </c>
      <c r="N8619" t="str">
        <f>"5/27/2015 10:44:00 AM"</f>
        <v>5/27/2015 10:44:00 AM</v>
      </c>
      <c r="O8619" t="s">
        <v>25935</v>
      </c>
    </row>
    <row r="8620" spans="1:20" x14ac:dyDescent="0.25">
      <c r="A8620" t="str">
        <f>"3047757"</f>
        <v>3047757</v>
      </c>
      <c r="B8620" t="s">
        <v>25938</v>
      </c>
      <c r="C8620" t="str">
        <f>"82514520"</f>
        <v>82514520</v>
      </c>
      <c r="D8620" t="s">
        <v>25935</v>
      </c>
      <c r="F8620" t="s">
        <v>25936</v>
      </c>
      <c r="I8620" t="s">
        <v>25937</v>
      </c>
      <c r="J8620" t="s">
        <v>30</v>
      </c>
      <c r="K8620" t="s">
        <v>10801</v>
      </c>
      <c r="M8620" t="s">
        <v>18479</v>
      </c>
      <c r="N8620" t="str">
        <f>"5/27/2015 10:44:00 AM"</f>
        <v>5/27/2015 10:44:00 AM</v>
      </c>
      <c r="O8620" t="s">
        <v>25935</v>
      </c>
    </row>
    <row r="8621" spans="1:20" x14ac:dyDescent="0.25">
      <c r="A8621" t="str">
        <f>"3042706"</f>
        <v>3042706</v>
      </c>
      <c r="B8621" t="s">
        <v>25939</v>
      </c>
      <c r="C8621" t="str">
        <f>"82524527"</f>
        <v>82524527</v>
      </c>
      <c r="D8621" t="s">
        <v>25832</v>
      </c>
      <c r="F8621" t="s">
        <v>6871</v>
      </c>
      <c r="I8621" t="s">
        <v>29</v>
      </c>
      <c r="J8621" t="s">
        <v>30</v>
      </c>
      <c r="K8621" t="s">
        <v>25833</v>
      </c>
      <c r="M8621" t="s">
        <v>19336</v>
      </c>
      <c r="N8621" t="str">
        <f>"5/27/2015 11:13:00 AM"</f>
        <v>5/27/2015 11:13:00 AM</v>
      </c>
      <c r="O8621" t="s">
        <v>25832</v>
      </c>
    </row>
    <row r="8622" spans="1:20" x14ac:dyDescent="0.25">
      <c r="A8622" t="str">
        <f>"3042329"</f>
        <v>3042329</v>
      </c>
      <c r="B8622" t="s">
        <v>25940</v>
      </c>
      <c r="C8622" t="str">
        <f>"82524527"</f>
        <v>82524527</v>
      </c>
      <c r="D8622" t="s">
        <v>25832</v>
      </c>
      <c r="F8622" t="s">
        <v>6871</v>
      </c>
      <c r="I8622" t="s">
        <v>29</v>
      </c>
      <c r="J8622" t="s">
        <v>30</v>
      </c>
      <c r="K8622" t="s">
        <v>25833</v>
      </c>
      <c r="M8622" t="s">
        <v>19336</v>
      </c>
      <c r="N8622" t="str">
        <f>"5/27/2015 11:13:00 AM"</f>
        <v>5/27/2015 11:13:00 AM</v>
      </c>
      <c r="O8622" t="s">
        <v>25832</v>
      </c>
    </row>
    <row r="8623" spans="1:20" x14ac:dyDescent="0.25">
      <c r="A8623" t="str">
        <f>"3042174"</f>
        <v>3042174</v>
      </c>
      <c r="B8623" t="s">
        <v>25941</v>
      </c>
      <c r="C8623" t="str">
        <f>"8300527"</f>
        <v>8300527</v>
      </c>
      <c r="D8623" t="s">
        <v>25840</v>
      </c>
      <c r="F8623" t="s">
        <v>6878</v>
      </c>
      <c r="I8623" t="s">
        <v>29</v>
      </c>
      <c r="J8623" t="s">
        <v>30</v>
      </c>
      <c r="K8623" t="str">
        <f>"27028"</f>
        <v>27028</v>
      </c>
      <c r="M8623" t="s">
        <v>18479</v>
      </c>
      <c r="N8623" t="str">
        <f>"5/27/2015 1:15:00 PM"</f>
        <v>5/27/2015 1:15:00 PM</v>
      </c>
      <c r="O8623" t="s">
        <v>25840</v>
      </c>
    </row>
    <row r="8624" spans="1:20" x14ac:dyDescent="0.25">
      <c r="A8624" t="str">
        <f>"3038448"</f>
        <v>3038448</v>
      </c>
      <c r="B8624" t="s">
        <v>25942</v>
      </c>
      <c r="C8624" t="str">
        <f>"35951130"</f>
        <v>35951130</v>
      </c>
      <c r="D8624" t="s">
        <v>25943</v>
      </c>
      <c r="F8624" t="s">
        <v>25944</v>
      </c>
      <c r="I8624" t="s">
        <v>29</v>
      </c>
      <c r="J8624" t="s">
        <v>30</v>
      </c>
      <c r="K8624" t="str">
        <f>"27028"</f>
        <v>27028</v>
      </c>
      <c r="M8624" t="s">
        <v>18479</v>
      </c>
      <c r="N8624" t="str">
        <f>"5/21/2015 4:01:00 PM"</f>
        <v>5/21/2015 4:01:00 PM</v>
      </c>
      <c r="O8624" t="s">
        <v>25943</v>
      </c>
    </row>
    <row r="8625" spans="1:20" x14ac:dyDescent="0.25">
      <c r="A8625" t="str">
        <f>"3067770"</f>
        <v>3067770</v>
      </c>
      <c r="B8625" t="s">
        <v>25945</v>
      </c>
      <c r="C8625" t="str">
        <f>"82515717"</f>
        <v>82515717</v>
      </c>
      <c r="D8625" t="s">
        <v>25946</v>
      </c>
      <c r="E8625" t="s">
        <v>25947</v>
      </c>
      <c r="F8625" t="s">
        <v>25948</v>
      </c>
      <c r="I8625" t="s">
        <v>184</v>
      </c>
      <c r="J8625" t="s">
        <v>30</v>
      </c>
      <c r="K8625" t="s">
        <v>10584</v>
      </c>
      <c r="M8625" t="s">
        <v>18479</v>
      </c>
      <c r="N8625" t="str">
        <f>"5/28/2015 10:56:00 AM"</f>
        <v>5/28/2015 10:56:00 AM</v>
      </c>
      <c r="O8625" t="s">
        <v>25946</v>
      </c>
      <c r="T8625" t="s">
        <v>25947</v>
      </c>
    </row>
    <row r="8626" spans="1:20" x14ac:dyDescent="0.25">
      <c r="A8626" t="str">
        <f>"3065764"</f>
        <v>3065764</v>
      </c>
      <c r="B8626" t="s">
        <v>25949</v>
      </c>
      <c r="C8626" t="str">
        <f>"82527577"</f>
        <v>82527577</v>
      </c>
      <c r="D8626" t="s">
        <v>25950</v>
      </c>
      <c r="E8626" t="s">
        <v>25951</v>
      </c>
      <c r="F8626" t="s">
        <v>25952</v>
      </c>
      <c r="I8626" t="s">
        <v>29</v>
      </c>
      <c r="J8626" t="s">
        <v>30</v>
      </c>
      <c r="K8626" t="s">
        <v>31</v>
      </c>
      <c r="M8626" t="s">
        <v>18479</v>
      </c>
      <c r="N8626" t="str">
        <f>"5/28/2015 1:21:00 PM"</f>
        <v>5/28/2015 1:21:00 PM</v>
      </c>
      <c r="O8626" t="s">
        <v>25950</v>
      </c>
      <c r="T8626" t="s">
        <v>25951</v>
      </c>
    </row>
    <row r="8627" spans="1:20" x14ac:dyDescent="0.25">
      <c r="A8627" t="str">
        <f>"3055054"</f>
        <v>3055054</v>
      </c>
      <c r="B8627" t="s">
        <v>25953</v>
      </c>
      <c r="C8627" t="str">
        <f t="shared" ref="C8627:C8632" si="128">"8302330"</f>
        <v>8302330</v>
      </c>
      <c r="D8627" t="s">
        <v>25954</v>
      </c>
      <c r="E8627" t="str">
        <f t="shared" ref="E8627:E8632" si="129">"SHARON T JAMES LIV TRST 2/7/13"</f>
        <v>SHARON T JAMES LIV TRST 2/7/13</v>
      </c>
      <c r="F8627" t="s">
        <v>14557</v>
      </c>
      <c r="I8627" t="s">
        <v>29</v>
      </c>
      <c r="J8627" t="s">
        <v>30</v>
      </c>
      <c r="K8627" t="str">
        <f t="shared" ref="K8627:K8632" si="130">"27028"</f>
        <v>27028</v>
      </c>
      <c r="M8627" t="s">
        <v>18479</v>
      </c>
      <c r="N8627" t="str">
        <f t="shared" ref="N8627:N8632" si="131">"6/8/2015 1:51:00 PM"</f>
        <v>6/8/2015 1:51:00 PM</v>
      </c>
      <c r="O8627" t="s">
        <v>25954</v>
      </c>
      <c r="T8627" t="str">
        <f t="shared" ref="T8627:T8632" si="132">"SHARON T JAMES LIV TRST 2/7/13"</f>
        <v>SHARON T JAMES LIV TRST 2/7/13</v>
      </c>
    </row>
    <row r="8628" spans="1:20" x14ac:dyDescent="0.25">
      <c r="A8628" t="str">
        <f>"3055077"</f>
        <v>3055077</v>
      </c>
      <c r="B8628" t="s">
        <v>25955</v>
      </c>
      <c r="C8628" t="str">
        <f t="shared" si="128"/>
        <v>8302330</v>
      </c>
      <c r="D8628" t="s">
        <v>25954</v>
      </c>
      <c r="E8628" t="str">
        <f t="shared" si="129"/>
        <v>SHARON T JAMES LIV TRST 2/7/13</v>
      </c>
      <c r="F8628" t="s">
        <v>14557</v>
      </c>
      <c r="I8628" t="s">
        <v>29</v>
      </c>
      <c r="J8628" t="s">
        <v>30</v>
      </c>
      <c r="K8628" t="str">
        <f t="shared" si="130"/>
        <v>27028</v>
      </c>
      <c r="M8628" t="s">
        <v>18479</v>
      </c>
      <c r="N8628" t="str">
        <f t="shared" si="131"/>
        <v>6/8/2015 1:51:00 PM</v>
      </c>
      <c r="O8628" t="s">
        <v>25954</v>
      </c>
      <c r="T8628" t="str">
        <f t="shared" si="132"/>
        <v>SHARON T JAMES LIV TRST 2/7/13</v>
      </c>
    </row>
    <row r="8629" spans="1:20" x14ac:dyDescent="0.25">
      <c r="A8629" t="str">
        <f>"3055333"</f>
        <v>3055333</v>
      </c>
      <c r="B8629" t="s">
        <v>25956</v>
      </c>
      <c r="C8629" t="str">
        <f t="shared" si="128"/>
        <v>8302330</v>
      </c>
      <c r="D8629" t="s">
        <v>25954</v>
      </c>
      <c r="E8629" t="str">
        <f t="shared" si="129"/>
        <v>SHARON T JAMES LIV TRST 2/7/13</v>
      </c>
      <c r="F8629" t="s">
        <v>14557</v>
      </c>
      <c r="I8629" t="s">
        <v>29</v>
      </c>
      <c r="J8629" t="s">
        <v>30</v>
      </c>
      <c r="K8629" t="str">
        <f t="shared" si="130"/>
        <v>27028</v>
      </c>
      <c r="M8629" t="s">
        <v>18479</v>
      </c>
      <c r="N8629" t="str">
        <f t="shared" si="131"/>
        <v>6/8/2015 1:51:00 PM</v>
      </c>
      <c r="O8629" t="s">
        <v>25954</v>
      </c>
      <c r="T8629" t="str">
        <f t="shared" si="132"/>
        <v>SHARON T JAMES LIV TRST 2/7/13</v>
      </c>
    </row>
    <row r="8630" spans="1:20" x14ac:dyDescent="0.25">
      <c r="A8630" t="str">
        <f>"3054907"</f>
        <v>3054907</v>
      </c>
      <c r="B8630" t="s">
        <v>25957</v>
      </c>
      <c r="C8630" t="str">
        <f t="shared" si="128"/>
        <v>8302330</v>
      </c>
      <c r="D8630" t="s">
        <v>25954</v>
      </c>
      <c r="E8630" t="str">
        <f t="shared" si="129"/>
        <v>SHARON T JAMES LIV TRST 2/7/13</v>
      </c>
      <c r="F8630" t="s">
        <v>14557</v>
      </c>
      <c r="I8630" t="s">
        <v>29</v>
      </c>
      <c r="J8630" t="s">
        <v>30</v>
      </c>
      <c r="K8630" t="str">
        <f t="shared" si="130"/>
        <v>27028</v>
      </c>
      <c r="M8630" t="s">
        <v>18479</v>
      </c>
      <c r="N8630" t="str">
        <f t="shared" si="131"/>
        <v>6/8/2015 1:51:00 PM</v>
      </c>
      <c r="O8630" t="s">
        <v>25954</v>
      </c>
      <c r="T8630" t="str">
        <f t="shared" si="132"/>
        <v>SHARON T JAMES LIV TRST 2/7/13</v>
      </c>
    </row>
    <row r="8631" spans="1:20" x14ac:dyDescent="0.25">
      <c r="A8631" t="str">
        <f>"3054905"</f>
        <v>3054905</v>
      </c>
      <c r="B8631" t="s">
        <v>25958</v>
      </c>
      <c r="C8631" t="str">
        <f t="shared" si="128"/>
        <v>8302330</v>
      </c>
      <c r="D8631" t="s">
        <v>25954</v>
      </c>
      <c r="E8631" t="str">
        <f t="shared" si="129"/>
        <v>SHARON T JAMES LIV TRST 2/7/13</v>
      </c>
      <c r="F8631" t="s">
        <v>14557</v>
      </c>
      <c r="I8631" t="s">
        <v>29</v>
      </c>
      <c r="J8631" t="s">
        <v>30</v>
      </c>
      <c r="K8631" t="str">
        <f t="shared" si="130"/>
        <v>27028</v>
      </c>
      <c r="M8631" t="s">
        <v>18479</v>
      </c>
      <c r="N8631" t="str">
        <f t="shared" si="131"/>
        <v>6/8/2015 1:51:00 PM</v>
      </c>
      <c r="O8631" t="s">
        <v>25954</v>
      </c>
      <c r="T8631" t="str">
        <f t="shared" si="132"/>
        <v>SHARON T JAMES LIV TRST 2/7/13</v>
      </c>
    </row>
    <row r="8632" spans="1:20" x14ac:dyDescent="0.25">
      <c r="A8632" t="str">
        <f>"3054890"</f>
        <v>3054890</v>
      </c>
      <c r="B8632" t="s">
        <v>25959</v>
      </c>
      <c r="C8632" t="str">
        <f t="shared" si="128"/>
        <v>8302330</v>
      </c>
      <c r="D8632" t="s">
        <v>25954</v>
      </c>
      <c r="E8632" t="str">
        <f t="shared" si="129"/>
        <v>SHARON T JAMES LIV TRST 2/7/13</v>
      </c>
      <c r="F8632" t="s">
        <v>14557</v>
      </c>
      <c r="I8632" t="s">
        <v>29</v>
      </c>
      <c r="J8632" t="s">
        <v>30</v>
      </c>
      <c r="K8632" t="str">
        <f t="shared" si="130"/>
        <v>27028</v>
      </c>
      <c r="M8632" t="s">
        <v>18479</v>
      </c>
      <c r="N8632" t="str">
        <f t="shared" si="131"/>
        <v>6/8/2015 1:51:00 PM</v>
      </c>
      <c r="O8632" t="s">
        <v>25954</v>
      </c>
      <c r="T8632" t="str">
        <f t="shared" si="132"/>
        <v>SHARON T JAMES LIV TRST 2/7/13</v>
      </c>
    </row>
    <row r="8633" spans="1:20" x14ac:dyDescent="0.25">
      <c r="A8633" t="str">
        <f>"3047753"</f>
        <v>3047753</v>
      </c>
      <c r="B8633" t="s">
        <v>25960</v>
      </c>
      <c r="C8633" t="str">
        <f>"37886000"</f>
        <v>37886000</v>
      </c>
      <c r="D8633" t="s">
        <v>25961</v>
      </c>
      <c r="E8633" t="s">
        <v>25962</v>
      </c>
      <c r="F8633" t="s">
        <v>25963</v>
      </c>
      <c r="I8633" t="s">
        <v>184</v>
      </c>
      <c r="J8633" t="s">
        <v>30</v>
      </c>
      <c r="K8633" t="s">
        <v>25964</v>
      </c>
      <c r="M8633" t="s">
        <v>18479</v>
      </c>
      <c r="N8633" t="str">
        <f>"5/28/2015 3:30:00 PM"</f>
        <v>5/28/2015 3:30:00 PM</v>
      </c>
      <c r="O8633" t="s">
        <v>25961</v>
      </c>
      <c r="T8633" t="s">
        <v>25962</v>
      </c>
    </row>
    <row r="8634" spans="1:20" x14ac:dyDescent="0.25">
      <c r="A8634" t="str">
        <f>"3037683"</f>
        <v>3037683</v>
      </c>
      <c r="B8634" t="s">
        <v>25965</v>
      </c>
      <c r="C8634" t="str">
        <f>"8305082"</f>
        <v>8305082</v>
      </c>
      <c r="D8634" t="s">
        <v>25966</v>
      </c>
      <c r="E8634" t="s">
        <v>25967</v>
      </c>
      <c r="F8634" t="s">
        <v>25968</v>
      </c>
      <c r="I8634" t="s">
        <v>402</v>
      </c>
      <c r="J8634" t="s">
        <v>30</v>
      </c>
      <c r="K8634" t="str">
        <f>"27012"</f>
        <v>27012</v>
      </c>
      <c r="M8634" t="s">
        <v>17861</v>
      </c>
      <c r="N8634" t="str">
        <f>"6/8/2015 2:33:00 PM"</f>
        <v>6/8/2015 2:33:00 PM</v>
      </c>
      <c r="O8634" t="s">
        <v>25966</v>
      </c>
      <c r="T8634" t="s">
        <v>25967</v>
      </c>
    </row>
    <row r="8635" spans="1:20" x14ac:dyDescent="0.25">
      <c r="A8635" t="str">
        <f>"3058076"</f>
        <v>3058076</v>
      </c>
      <c r="B8635" t="s">
        <v>25969</v>
      </c>
      <c r="C8635" t="str">
        <f>"8303112"</f>
        <v>8303112</v>
      </c>
      <c r="D8635" t="s">
        <v>25970</v>
      </c>
      <c r="E8635" t="s">
        <v>25971</v>
      </c>
      <c r="F8635" t="s">
        <v>25972</v>
      </c>
      <c r="I8635" t="s">
        <v>184</v>
      </c>
      <c r="J8635" t="s">
        <v>30</v>
      </c>
      <c r="K8635" t="str">
        <f>"27006"</f>
        <v>27006</v>
      </c>
      <c r="M8635" t="s">
        <v>18479</v>
      </c>
      <c r="N8635" t="str">
        <f>"5/28/2015 4:49:00 PM"</f>
        <v>5/28/2015 4:49:00 PM</v>
      </c>
      <c r="O8635" t="s">
        <v>25970</v>
      </c>
      <c r="T8635" t="s">
        <v>25971</v>
      </c>
    </row>
    <row r="8636" spans="1:20" x14ac:dyDescent="0.25">
      <c r="A8636" t="str">
        <f>"3043343"</f>
        <v>3043343</v>
      </c>
      <c r="B8636" t="s">
        <v>25973</v>
      </c>
      <c r="C8636" t="str">
        <f>"8305043"</f>
        <v>8305043</v>
      </c>
      <c r="D8636" t="s">
        <v>25974</v>
      </c>
      <c r="F8636" t="s">
        <v>25975</v>
      </c>
      <c r="I8636" t="s">
        <v>12628</v>
      </c>
      <c r="J8636" t="s">
        <v>3990</v>
      </c>
      <c r="K8636" t="str">
        <f>"80212"</f>
        <v>80212</v>
      </c>
      <c r="M8636" t="s">
        <v>17861</v>
      </c>
      <c r="N8636" t="str">
        <f>"5/29/2015 9:40:00 AM"</f>
        <v>5/29/2015 9:40:00 AM</v>
      </c>
      <c r="O8636" t="s">
        <v>25974</v>
      </c>
    </row>
    <row r="8637" spans="1:20" x14ac:dyDescent="0.25">
      <c r="A8637" t="str">
        <f>"3066369"</f>
        <v>3066369</v>
      </c>
      <c r="B8637" t="s">
        <v>25976</v>
      </c>
      <c r="C8637" t="str">
        <f>"8302747"</f>
        <v>8302747</v>
      </c>
      <c r="D8637" t="s">
        <v>25977</v>
      </c>
      <c r="E8637" t="s">
        <v>25978</v>
      </c>
      <c r="F8637" t="s">
        <v>25979</v>
      </c>
      <c r="I8637" t="s">
        <v>29</v>
      </c>
      <c r="J8637" t="s">
        <v>30</v>
      </c>
      <c r="K8637" t="str">
        <f>"27028"</f>
        <v>27028</v>
      </c>
      <c r="M8637" t="s">
        <v>18479</v>
      </c>
      <c r="N8637" t="str">
        <f>"5/29/2015 11:44:00 AM"</f>
        <v>5/29/2015 11:44:00 AM</v>
      </c>
      <c r="O8637" t="s">
        <v>25977</v>
      </c>
      <c r="T8637" t="s">
        <v>25978</v>
      </c>
    </row>
    <row r="8638" spans="1:20" x14ac:dyDescent="0.25">
      <c r="A8638" t="str">
        <f>"3039140"</f>
        <v>3039140</v>
      </c>
      <c r="B8638" t="s">
        <v>25980</v>
      </c>
      <c r="C8638" t="str">
        <f>"31967000"</f>
        <v>31967000</v>
      </c>
      <c r="D8638" t="s">
        <v>25870</v>
      </c>
      <c r="E8638" t="s">
        <v>25871</v>
      </c>
      <c r="F8638" t="s">
        <v>25872</v>
      </c>
      <c r="I8638" t="s">
        <v>29</v>
      </c>
      <c r="J8638" t="s">
        <v>30</v>
      </c>
      <c r="K8638" t="s">
        <v>31</v>
      </c>
      <c r="M8638" t="s">
        <v>18479</v>
      </c>
      <c r="N8638" t="str">
        <f>"5/29/2015 11:50:00 AM"</f>
        <v>5/29/2015 11:50:00 AM</v>
      </c>
      <c r="O8638" t="s">
        <v>25870</v>
      </c>
      <c r="T8638" t="s">
        <v>25871</v>
      </c>
    </row>
    <row r="8639" spans="1:20" x14ac:dyDescent="0.25">
      <c r="A8639" t="str">
        <f>"3045528"</f>
        <v>3045528</v>
      </c>
      <c r="B8639" t="s">
        <v>25981</v>
      </c>
      <c r="C8639" t="str">
        <f>"36080000"</f>
        <v>36080000</v>
      </c>
      <c r="D8639" t="s">
        <v>25982</v>
      </c>
      <c r="E8639" t="s">
        <v>25983</v>
      </c>
      <c r="F8639" t="s">
        <v>25984</v>
      </c>
      <c r="I8639" t="s">
        <v>29</v>
      </c>
      <c r="J8639" t="s">
        <v>30</v>
      </c>
      <c r="K8639" t="s">
        <v>11310</v>
      </c>
      <c r="M8639" t="s">
        <v>18479</v>
      </c>
      <c r="N8639" t="str">
        <f>"5/29/2015 1:47:00 PM"</f>
        <v>5/29/2015 1:47:00 PM</v>
      </c>
      <c r="O8639" t="s">
        <v>25982</v>
      </c>
      <c r="T8639" t="s">
        <v>25983</v>
      </c>
    </row>
    <row r="8640" spans="1:20" x14ac:dyDescent="0.25">
      <c r="A8640" t="str">
        <f>"3058279"</f>
        <v>3058279</v>
      </c>
      <c r="B8640" t="s">
        <v>25985</v>
      </c>
      <c r="C8640" t="str">
        <f>"8305099"</f>
        <v>8305099</v>
      </c>
      <c r="D8640" t="s">
        <v>25986</v>
      </c>
      <c r="E8640" t="s">
        <v>25987</v>
      </c>
      <c r="F8640" t="s">
        <v>25988</v>
      </c>
      <c r="I8640" t="s">
        <v>29</v>
      </c>
      <c r="J8640" t="s">
        <v>30</v>
      </c>
      <c r="K8640" t="str">
        <f>"27028"</f>
        <v>27028</v>
      </c>
      <c r="M8640" t="s">
        <v>17861</v>
      </c>
      <c r="N8640" t="str">
        <f>"6/10/2015 10:14:00 AM"</f>
        <v>6/10/2015 10:14:00 AM</v>
      </c>
      <c r="O8640" t="s">
        <v>25986</v>
      </c>
      <c r="T8640" t="s">
        <v>25987</v>
      </c>
    </row>
    <row r="8641" spans="1:20" x14ac:dyDescent="0.25">
      <c r="A8641" t="str">
        <f>"3055414"</f>
        <v>3055414</v>
      </c>
      <c r="B8641" t="s">
        <v>25989</v>
      </c>
      <c r="C8641" t="str">
        <f>"35828000"</f>
        <v>35828000</v>
      </c>
      <c r="D8641" t="s">
        <v>25990</v>
      </c>
      <c r="E8641" t="s">
        <v>25991</v>
      </c>
      <c r="F8641" t="s">
        <v>25992</v>
      </c>
      <c r="I8641" t="s">
        <v>29</v>
      </c>
      <c r="J8641" t="s">
        <v>30</v>
      </c>
      <c r="K8641" t="s">
        <v>25993</v>
      </c>
      <c r="M8641" t="s">
        <v>18479</v>
      </c>
      <c r="N8641" t="str">
        <f>"5/29/2015 2:37:00 PM"</f>
        <v>5/29/2015 2:37:00 PM</v>
      </c>
      <c r="O8641" t="s">
        <v>25990</v>
      </c>
      <c r="T8641" t="s">
        <v>25991</v>
      </c>
    </row>
    <row r="8642" spans="1:20" x14ac:dyDescent="0.25">
      <c r="A8642" t="str">
        <f>"3067889"</f>
        <v>3067889</v>
      </c>
      <c r="B8642" t="s">
        <v>25994</v>
      </c>
      <c r="C8642" t="str">
        <f>"42596000"</f>
        <v>42596000</v>
      </c>
      <c r="D8642" t="s">
        <v>25995</v>
      </c>
      <c r="F8642" t="s">
        <v>25996</v>
      </c>
      <c r="I8642" t="s">
        <v>184</v>
      </c>
      <c r="J8642" t="s">
        <v>30</v>
      </c>
      <c r="K8642" t="s">
        <v>1808</v>
      </c>
      <c r="M8642" t="s">
        <v>18479</v>
      </c>
      <c r="N8642" t="str">
        <f>"6/10/2015 11:10:00 AM"</f>
        <v>6/10/2015 11:10:00 AM</v>
      </c>
      <c r="O8642" t="s">
        <v>25995</v>
      </c>
    </row>
    <row r="8643" spans="1:20" x14ac:dyDescent="0.25">
      <c r="A8643" t="str">
        <f>"3069556"</f>
        <v>3069556</v>
      </c>
      <c r="B8643" t="s">
        <v>25997</v>
      </c>
      <c r="C8643" t="str">
        <f>"35828000"</f>
        <v>35828000</v>
      </c>
      <c r="D8643" t="s">
        <v>25990</v>
      </c>
      <c r="E8643" t="s">
        <v>25991</v>
      </c>
      <c r="F8643" t="s">
        <v>25992</v>
      </c>
      <c r="I8643" t="s">
        <v>29</v>
      </c>
      <c r="J8643" t="s">
        <v>30</v>
      </c>
      <c r="K8643" t="s">
        <v>25993</v>
      </c>
      <c r="M8643" t="s">
        <v>18479</v>
      </c>
      <c r="N8643" t="str">
        <f>"5/29/2015 2:37:00 PM"</f>
        <v>5/29/2015 2:37:00 PM</v>
      </c>
      <c r="O8643" t="s">
        <v>25990</v>
      </c>
      <c r="T8643" t="s">
        <v>25991</v>
      </c>
    </row>
    <row r="8644" spans="1:20" x14ac:dyDescent="0.25">
      <c r="A8644" t="str">
        <f>"3069558"</f>
        <v>3069558</v>
      </c>
      <c r="B8644" t="s">
        <v>25998</v>
      </c>
      <c r="C8644" t="str">
        <f>"35828000"</f>
        <v>35828000</v>
      </c>
      <c r="D8644" t="s">
        <v>25990</v>
      </c>
      <c r="E8644" t="s">
        <v>25991</v>
      </c>
      <c r="F8644" t="s">
        <v>25992</v>
      </c>
      <c r="I8644" t="s">
        <v>29</v>
      </c>
      <c r="J8644" t="s">
        <v>30</v>
      </c>
      <c r="K8644" t="s">
        <v>25993</v>
      </c>
      <c r="M8644" t="s">
        <v>18479</v>
      </c>
      <c r="N8644" t="str">
        <f>"5/29/2015 2:37:00 PM"</f>
        <v>5/29/2015 2:37:00 PM</v>
      </c>
      <c r="O8644" t="s">
        <v>25990</v>
      </c>
      <c r="T8644" t="s">
        <v>25991</v>
      </c>
    </row>
    <row r="8645" spans="1:20" x14ac:dyDescent="0.25">
      <c r="A8645" t="str">
        <f>"3058482"</f>
        <v>3058482</v>
      </c>
      <c r="B8645" t="s">
        <v>25999</v>
      </c>
      <c r="C8645" t="str">
        <f>"38620000"</f>
        <v>38620000</v>
      </c>
      <c r="D8645" t="s">
        <v>26000</v>
      </c>
      <c r="E8645" t="s">
        <v>26001</v>
      </c>
      <c r="F8645" t="s">
        <v>26002</v>
      </c>
      <c r="I8645" t="s">
        <v>29</v>
      </c>
      <c r="J8645" t="s">
        <v>30</v>
      </c>
      <c r="K8645" t="s">
        <v>26003</v>
      </c>
      <c r="M8645" t="s">
        <v>18479</v>
      </c>
      <c r="N8645" t="str">
        <f>"5/29/2015 4:17:00 PM"</f>
        <v>5/29/2015 4:17:00 PM</v>
      </c>
      <c r="O8645" t="s">
        <v>26000</v>
      </c>
      <c r="T8645" t="s">
        <v>26001</v>
      </c>
    </row>
    <row r="8646" spans="1:20" x14ac:dyDescent="0.25">
      <c r="A8646" t="str">
        <f>"3057996"</f>
        <v>3057996</v>
      </c>
      <c r="B8646" t="s">
        <v>26004</v>
      </c>
      <c r="C8646" t="str">
        <f>"43061060"</f>
        <v>43061060</v>
      </c>
      <c r="D8646" t="s">
        <v>26005</v>
      </c>
      <c r="F8646" t="s">
        <v>26006</v>
      </c>
      <c r="I8646" t="s">
        <v>184</v>
      </c>
      <c r="J8646" t="s">
        <v>30</v>
      </c>
      <c r="K8646" t="s">
        <v>185</v>
      </c>
      <c r="M8646" t="s">
        <v>18479</v>
      </c>
      <c r="N8646" t="str">
        <f>"6/11/2015 2:49:00 PM"</f>
        <v>6/11/2015 2:49:00 PM</v>
      </c>
      <c r="O8646" t="s">
        <v>26005</v>
      </c>
    </row>
    <row r="8647" spans="1:20" x14ac:dyDescent="0.25">
      <c r="A8647" t="str">
        <f>"3059743"</f>
        <v>3059743</v>
      </c>
      <c r="B8647" t="s">
        <v>26007</v>
      </c>
      <c r="C8647" t="str">
        <f>"82520755"</f>
        <v>82520755</v>
      </c>
      <c r="D8647" t="s">
        <v>26008</v>
      </c>
      <c r="E8647" t="s">
        <v>26009</v>
      </c>
      <c r="F8647" t="s">
        <v>26010</v>
      </c>
      <c r="I8647" t="s">
        <v>29</v>
      </c>
      <c r="J8647" t="s">
        <v>30</v>
      </c>
      <c r="K8647" t="s">
        <v>8031</v>
      </c>
      <c r="M8647" t="s">
        <v>18479</v>
      </c>
      <c r="N8647" t="str">
        <f>"6/11/2015 2:52:00 PM"</f>
        <v>6/11/2015 2:52:00 PM</v>
      </c>
      <c r="O8647" t="s">
        <v>26008</v>
      </c>
      <c r="T8647" t="s">
        <v>26009</v>
      </c>
    </row>
    <row r="8648" spans="1:20" x14ac:dyDescent="0.25">
      <c r="A8648" t="str">
        <f>"3067242"</f>
        <v>3067242</v>
      </c>
      <c r="B8648" t="s">
        <v>26011</v>
      </c>
      <c r="C8648" t="str">
        <f>"37544000"</f>
        <v>37544000</v>
      </c>
      <c r="D8648" t="s">
        <v>26012</v>
      </c>
      <c r="E8648" t="s">
        <v>26013</v>
      </c>
      <c r="F8648" t="s">
        <v>26014</v>
      </c>
      <c r="I8648" t="s">
        <v>184</v>
      </c>
      <c r="J8648" t="s">
        <v>30</v>
      </c>
      <c r="K8648" t="s">
        <v>7434</v>
      </c>
      <c r="M8648" t="s">
        <v>18479</v>
      </c>
      <c r="N8648" t="str">
        <f>"6/1/2015 11:55:00 AM"</f>
        <v>6/1/2015 11:55:00 AM</v>
      </c>
      <c r="O8648" t="s">
        <v>26012</v>
      </c>
      <c r="T8648" t="s">
        <v>26013</v>
      </c>
    </row>
    <row r="8649" spans="1:20" x14ac:dyDescent="0.25">
      <c r="A8649" t="str">
        <f>"3055555"</f>
        <v>3055555</v>
      </c>
      <c r="B8649" t="s">
        <v>26015</v>
      </c>
      <c r="C8649" t="str">
        <f>"36372500"</f>
        <v>36372500</v>
      </c>
      <c r="D8649" t="s">
        <v>26016</v>
      </c>
      <c r="E8649" t="s">
        <v>26017</v>
      </c>
      <c r="F8649" t="s">
        <v>26018</v>
      </c>
      <c r="I8649" t="s">
        <v>29</v>
      </c>
      <c r="J8649" t="s">
        <v>30</v>
      </c>
      <c r="K8649" t="s">
        <v>16254</v>
      </c>
      <c r="M8649" t="s">
        <v>18479</v>
      </c>
      <c r="N8649" t="str">
        <f>"6/2/2015 10:44:00 AM"</f>
        <v>6/2/2015 10:44:00 AM</v>
      </c>
      <c r="O8649" t="s">
        <v>26016</v>
      </c>
      <c r="T8649" t="s">
        <v>26017</v>
      </c>
    </row>
    <row r="8650" spans="1:20" x14ac:dyDescent="0.25">
      <c r="A8650" t="str">
        <f>"3038936"</f>
        <v>3038936</v>
      </c>
      <c r="B8650" t="s">
        <v>26019</v>
      </c>
      <c r="C8650" t="str">
        <f>"82521722"</f>
        <v>82521722</v>
      </c>
      <c r="D8650" t="s">
        <v>26020</v>
      </c>
      <c r="F8650" t="s">
        <v>26021</v>
      </c>
      <c r="I8650" t="s">
        <v>29</v>
      </c>
      <c r="J8650" t="s">
        <v>30</v>
      </c>
      <c r="K8650" t="s">
        <v>31</v>
      </c>
      <c r="M8650" t="s">
        <v>17861</v>
      </c>
      <c r="N8650" t="str">
        <f>"6/2/2015 11:16:00 AM"</f>
        <v>6/2/2015 11:16:00 AM</v>
      </c>
      <c r="O8650" t="s">
        <v>26020</v>
      </c>
    </row>
    <row r="8651" spans="1:20" x14ac:dyDescent="0.25">
      <c r="A8651" t="str">
        <f>"3042202"</f>
        <v>3042202</v>
      </c>
      <c r="B8651" t="s">
        <v>26022</v>
      </c>
      <c r="C8651" t="str">
        <f>"8301762"</f>
        <v>8301762</v>
      </c>
      <c r="D8651" t="s">
        <v>25922</v>
      </c>
      <c r="F8651" t="s">
        <v>25923</v>
      </c>
      <c r="I8651" t="s">
        <v>184</v>
      </c>
      <c r="J8651" t="s">
        <v>30</v>
      </c>
      <c r="K8651" t="str">
        <f>"27006"</f>
        <v>27006</v>
      </c>
      <c r="M8651" t="s">
        <v>18479</v>
      </c>
      <c r="N8651" t="str">
        <f>"6/2/2015 1:32:00 PM"</f>
        <v>6/2/2015 1:32:00 PM</v>
      </c>
      <c r="O8651" t="s">
        <v>25922</v>
      </c>
    </row>
    <row r="8652" spans="1:20" x14ac:dyDescent="0.25">
      <c r="A8652" t="str">
        <f>"3051748"</f>
        <v>3051748</v>
      </c>
      <c r="B8652" t="s">
        <v>26023</v>
      </c>
      <c r="C8652" t="str">
        <f>"8305063"</f>
        <v>8305063</v>
      </c>
      <c r="D8652" t="s">
        <v>26024</v>
      </c>
      <c r="F8652" t="s">
        <v>26025</v>
      </c>
      <c r="I8652" t="s">
        <v>29</v>
      </c>
      <c r="J8652" t="s">
        <v>30</v>
      </c>
      <c r="K8652" t="str">
        <f>"27028"</f>
        <v>27028</v>
      </c>
      <c r="M8652" t="s">
        <v>17861</v>
      </c>
      <c r="N8652" t="str">
        <f>"6/3/2015 9:02:00 AM"</f>
        <v>6/3/2015 9:02:00 AM</v>
      </c>
      <c r="O8652" t="s">
        <v>26024</v>
      </c>
    </row>
    <row r="8653" spans="1:20" x14ac:dyDescent="0.25">
      <c r="A8653" t="str">
        <f>"3052646"</f>
        <v>3052646</v>
      </c>
      <c r="B8653" t="s">
        <v>26026</v>
      </c>
      <c r="C8653" t="str">
        <f>"82529902"</f>
        <v>82529902</v>
      </c>
      <c r="D8653" t="s">
        <v>26027</v>
      </c>
      <c r="F8653" t="s">
        <v>26028</v>
      </c>
      <c r="I8653" t="s">
        <v>29</v>
      </c>
      <c r="J8653" t="s">
        <v>30</v>
      </c>
      <c r="K8653" t="s">
        <v>31</v>
      </c>
      <c r="M8653" t="s">
        <v>18479</v>
      </c>
      <c r="N8653" t="str">
        <f>"6/12/2015 4:51:00 PM"</f>
        <v>6/12/2015 4:51:00 PM</v>
      </c>
      <c r="O8653" t="s">
        <v>26027</v>
      </c>
    </row>
    <row r="8654" spans="1:20" x14ac:dyDescent="0.25">
      <c r="A8654" t="str">
        <f>"3060076"</f>
        <v>3060076</v>
      </c>
      <c r="B8654" t="s">
        <v>26029</v>
      </c>
      <c r="C8654" t="str">
        <f>"8304059"</f>
        <v>8304059</v>
      </c>
      <c r="D8654" t="s">
        <v>26030</v>
      </c>
      <c r="E8654" t="s">
        <v>26031</v>
      </c>
      <c r="F8654" t="s">
        <v>26032</v>
      </c>
      <c r="I8654" t="s">
        <v>184</v>
      </c>
      <c r="J8654" t="s">
        <v>30</v>
      </c>
      <c r="K8654" t="str">
        <f>"27006"</f>
        <v>27006</v>
      </c>
      <c r="M8654" t="s">
        <v>18479</v>
      </c>
      <c r="N8654" t="str">
        <f>"6/12/2015 4:53:00 PM"</f>
        <v>6/12/2015 4:53:00 PM</v>
      </c>
      <c r="O8654" t="s">
        <v>26030</v>
      </c>
      <c r="T8654" t="s">
        <v>26031</v>
      </c>
    </row>
    <row r="8655" spans="1:20" x14ac:dyDescent="0.25">
      <c r="A8655" t="str">
        <f>"3056790"</f>
        <v>3056790</v>
      </c>
      <c r="B8655" t="s">
        <v>26033</v>
      </c>
      <c r="C8655" t="str">
        <f>"8303177"</f>
        <v>8303177</v>
      </c>
      <c r="D8655" t="s">
        <v>26034</v>
      </c>
      <c r="F8655" t="s">
        <v>26035</v>
      </c>
      <c r="I8655" t="s">
        <v>29</v>
      </c>
      <c r="J8655" t="s">
        <v>30</v>
      </c>
      <c r="K8655" t="str">
        <f>"27028"</f>
        <v>27028</v>
      </c>
      <c r="M8655" t="s">
        <v>18470</v>
      </c>
      <c r="N8655" t="str">
        <f>"5/27/2015 4:38:00 PM"</f>
        <v>5/27/2015 4:38:00 PM</v>
      </c>
      <c r="O8655" t="s">
        <v>26034</v>
      </c>
    </row>
    <row r="8656" spans="1:20" x14ac:dyDescent="0.25">
      <c r="A8656" t="str">
        <f>"3048707"</f>
        <v>3048707</v>
      </c>
      <c r="B8656" t="s">
        <v>26036</v>
      </c>
      <c r="C8656" t="str">
        <f>"44216000"</f>
        <v>44216000</v>
      </c>
      <c r="D8656" t="s">
        <v>26037</v>
      </c>
      <c r="F8656" t="s">
        <v>26038</v>
      </c>
      <c r="I8656" t="s">
        <v>29</v>
      </c>
      <c r="J8656" t="s">
        <v>30</v>
      </c>
      <c r="K8656" t="s">
        <v>26039</v>
      </c>
      <c r="M8656" t="s">
        <v>18479</v>
      </c>
      <c r="N8656" t="str">
        <f>"6/15/2015 10:56:00 AM"</f>
        <v>6/15/2015 10:56:00 AM</v>
      </c>
      <c r="O8656" t="s">
        <v>26037</v>
      </c>
    </row>
    <row r="8657" spans="1:20" x14ac:dyDescent="0.25">
      <c r="A8657" t="str">
        <f>"3092939"</f>
        <v>3092939</v>
      </c>
      <c r="B8657" t="s">
        <v>26040</v>
      </c>
      <c r="C8657" t="str">
        <f>"44216000"</f>
        <v>44216000</v>
      </c>
      <c r="D8657" t="s">
        <v>26037</v>
      </c>
      <c r="F8657" t="s">
        <v>26038</v>
      </c>
      <c r="I8657" t="s">
        <v>29</v>
      </c>
      <c r="J8657" t="s">
        <v>30</v>
      </c>
      <c r="K8657" t="s">
        <v>26039</v>
      </c>
      <c r="M8657" t="s">
        <v>18479</v>
      </c>
      <c r="N8657" t="str">
        <f>"6/15/2015 10:56:00 AM"</f>
        <v>6/15/2015 10:56:00 AM</v>
      </c>
      <c r="O8657" t="s">
        <v>26037</v>
      </c>
    </row>
    <row r="8658" spans="1:20" x14ac:dyDescent="0.25">
      <c r="A8658" t="str">
        <f>"3044111"</f>
        <v>3044111</v>
      </c>
      <c r="B8658" t="s">
        <v>26041</v>
      </c>
      <c r="C8658" t="str">
        <f>"8301552"</f>
        <v>8301552</v>
      </c>
      <c r="D8658" t="s">
        <v>26042</v>
      </c>
      <c r="F8658" t="s">
        <v>26043</v>
      </c>
      <c r="I8658" t="s">
        <v>184</v>
      </c>
      <c r="J8658" t="s">
        <v>30</v>
      </c>
      <c r="K8658" t="str">
        <f>"27006"</f>
        <v>27006</v>
      </c>
      <c r="M8658" t="s">
        <v>18479</v>
      </c>
      <c r="N8658" t="str">
        <f>"6/15/2015 11:00:00 AM"</f>
        <v>6/15/2015 11:00:00 AM</v>
      </c>
      <c r="O8658" t="s">
        <v>26042</v>
      </c>
    </row>
    <row r="8659" spans="1:20" x14ac:dyDescent="0.25">
      <c r="A8659" t="str">
        <f>"3060864"</f>
        <v>3060864</v>
      </c>
      <c r="B8659" t="s">
        <v>26044</v>
      </c>
      <c r="C8659" t="str">
        <f>"8303368"</f>
        <v>8303368</v>
      </c>
      <c r="D8659" t="s">
        <v>26045</v>
      </c>
      <c r="E8659" t="s">
        <v>26046</v>
      </c>
      <c r="F8659" t="s">
        <v>26047</v>
      </c>
      <c r="I8659" t="s">
        <v>2071</v>
      </c>
      <c r="J8659" t="s">
        <v>30</v>
      </c>
      <c r="K8659" t="str">
        <f>"27006"</f>
        <v>27006</v>
      </c>
      <c r="M8659" t="s">
        <v>18479</v>
      </c>
      <c r="N8659" t="str">
        <f>"6/15/2015 11:06:00 AM"</f>
        <v>6/15/2015 11:06:00 AM</v>
      </c>
      <c r="O8659" t="s">
        <v>26045</v>
      </c>
      <c r="T8659" t="s">
        <v>26046</v>
      </c>
    </row>
    <row r="8660" spans="1:20" x14ac:dyDescent="0.25">
      <c r="A8660" t="str">
        <f>"3074404"</f>
        <v>3074404</v>
      </c>
      <c r="B8660" t="s">
        <v>26048</v>
      </c>
      <c r="C8660" t="str">
        <f>"8305111"</f>
        <v>8305111</v>
      </c>
      <c r="D8660" t="s">
        <v>26049</v>
      </c>
      <c r="F8660" t="s">
        <v>26050</v>
      </c>
      <c r="I8660" t="s">
        <v>29</v>
      </c>
      <c r="J8660" t="s">
        <v>30</v>
      </c>
      <c r="K8660" t="str">
        <f>"27028"</f>
        <v>27028</v>
      </c>
      <c r="M8660" t="s">
        <v>17861</v>
      </c>
      <c r="N8660" t="str">
        <f>"6/15/2015 11:22:00 AM"</f>
        <v>6/15/2015 11:22:00 AM</v>
      </c>
      <c r="O8660" t="s">
        <v>26049</v>
      </c>
    </row>
    <row r="8661" spans="1:20" x14ac:dyDescent="0.25">
      <c r="A8661" t="str">
        <f>"3043293"</f>
        <v>3043293</v>
      </c>
      <c r="B8661" t="s">
        <v>26051</v>
      </c>
      <c r="C8661" t="str">
        <f>"82514411"</f>
        <v>82514411</v>
      </c>
      <c r="D8661" t="s">
        <v>26052</v>
      </c>
      <c r="E8661" t="s">
        <v>26053</v>
      </c>
      <c r="F8661" t="s">
        <v>7074</v>
      </c>
      <c r="I8661" t="s">
        <v>29</v>
      </c>
      <c r="J8661" t="s">
        <v>30</v>
      </c>
      <c r="K8661" t="s">
        <v>31</v>
      </c>
      <c r="M8661" t="s">
        <v>18479</v>
      </c>
      <c r="N8661" t="str">
        <f>"5/28/2015 9:17:00 AM"</f>
        <v>5/28/2015 9:17:00 AM</v>
      </c>
      <c r="O8661" t="s">
        <v>26052</v>
      </c>
      <c r="T8661" t="s">
        <v>26053</v>
      </c>
    </row>
    <row r="8662" spans="1:20" x14ac:dyDescent="0.25">
      <c r="A8662" t="str">
        <f>"3040651"</f>
        <v>3040651</v>
      </c>
      <c r="B8662" t="s">
        <v>26054</v>
      </c>
      <c r="C8662" t="str">
        <f>"8304069"</f>
        <v>8304069</v>
      </c>
      <c r="D8662" t="s">
        <v>26055</v>
      </c>
      <c r="E8662" t="s">
        <v>26056</v>
      </c>
      <c r="F8662" t="s">
        <v>26057</v>
      </c>
      <c r="I8662" t="s">
        <v>184</v>
      </c>
      <c r="J8662" t="s">
        <v>30</v>
      </c>
      <c r="K8662" t="str">
        <f>"27006"</f>
        <v>27006</v>
      </c>
      <c r="M8662" t="s">
        <v>18479</v>
      </c>
      <c r="N8662" t="str">
        <f>"6/15/2015 2:14:00 PM"</f>
        <v>6/15/2015 2:14:00 PM</v>
      </c>
      <c r="O8662" t="s">
        <v>26055</v>
      </c>
      <c r="T8662" t="s">
        <v>26056</v>
      </c>
    </row>
    <row r="8663" spans="1:20" x14ac:dyDescent="0.25">
      <c r="A8663" t="str">
        <f>"3047574"</f>
        <v>3047574</v>
      </c>
      <c r="B8663" t="s">
        <v>26058</v>
      </c>
      <c r="C8663" t="str">
        <f>"45596000"</f>
        <v>45596000</v>
      </c>
      <c r="D8663" t="s">
        <v>26059</v>
      </c>
      <c r="E8663" t="s">
        <v>26060</v>
      </c>
      <c r="F8663" t="s">
        <v>26061</v>
      </c>
      <c r="I8663" t="s">
        <v>1149</v>
      </c>
      <c r="J8663" t="s">
        <v>30</v>
      </c>
      <c r="K8663" t="s">
        <v>26062</v>
      </c>
      <c r="M8663" t="s">
        <v>18479</v>
      </c>
      <c r="N8663" t="str">
        <f>"6/15/2015 2:17:00 PM"</f>
        <v>6/15/2015 2:17:00 PM</v>
      </c>
      <c r="O8663" t="s">
        <v>26059</v>
      </c>
      <c r="T8663" t="s">
        <v>26060</v>
      </c>
    </row>
    <row r="8664" spans="1:20" x14ac:dyDescent="0.25">
      <c r="A8664" t="str">
        <f>"3047456"</f>
        <v>3047456</v>
      </c>
      <c r="B8664" t="s">
        <v>26063</v>
      </c>
      <c r="C8664" t="str">
        <f>"45596000"</f>
        <v>45596000</v>
      </c>
      <c r="D8664" t="s">
        <v>26059</v>
      </c>
      <c r="E8664" t="s">
        <v>26060</v>
      </c>
      <c r="F8664" t="s">
        <v>26061</v>
      </c>
      <c r="I8664" t="s">
        <v>1149</v>
      </c>
      <c r="J8664" t="s">
        <v>30</v>
      </c>
      <c r="K8664" t="s">
        <v>26062</v>
      </c>
      <c r="M8664" t="s">
        <v>18479</v>
      </c>
      <c r="N8664" t="str">
        <f>"6/15/2015 2:17:00 PM"</f>
        <v>6/15/2015 2:17:00 PM</v>
      </c>
      <c r="O8664" t="s">
        <v>26059</v>
      </c>
      <c r="T8664" t="s">
        <v>26060</v>
      </c>
    </row>
    <row r="8665" spans="1:20" x14ac:dyDescent="0.25">
      <c r="A8665" t="str">
        <f>"3078048"</f>
        <v>3078048</v>
      </c>
      <c r="B8665" t="s">
        <v>26064</v>
      </c>
      <c r="C8665" t="str">
        <f>"45596000"</f>
        <v>45596000</v>
      </c>
      <c r="D8665" t="s">
        <v>26059</v>
      </c>
      <c r="E8665" t="s">
        <v>26060</v>
      </c>
      <c r="F8665" t="s">
        <v>26061</v>
      </c>
      <c r="I8665" t="s">
        <v>1149</v>
      </c>
      <c r="J8665" t="s">
        <v>30</v>
      </c>
      <c r="K8665" t="s">
        <v>26062</v>
      </c>
      <c r="M8665" t="s">
        <v>18479</v>
      </c>
      <c r="N8665" t="str">
        <f>"6/15/2015 2:17:00 PM"</f>
        <v>6/15/2015 2:17:00 PM</v>
      </c>
      <c r="O8665" t="s">
        <v>26059</v>
      </c>
      <c r="T8665" t="s">
        <v>26060</v>
      </c>
    </row>
    <row r="8666" spans="1:20" x14ac:dyDescent="0.25">
      <c r="A8666" t="str">
        <f>"3039401"</f>
        <v>3039401</v>
      </c>
      <c r="B8666" t="s">
        <v>26065</v>
      </c>
      <c r="C8666" t="str">
        <f>"82520920"</f>
        <v>82520920</v>
      </c>
      <c r="D8666" t="s">
        <v>26066</v>
      </c>
      <c r="E8666" t="s">
        <v>26067</v>
      </c>
      <c r="F8666" t="s">
        <v>26068</v>
      </c>
      <c r="I8666" t="s">
        <v>184</v>
      </c>
      <c r="J8666" t="s">
        <v>30</v>
      </c>
      <c r="K8666" t="s">
        <v>185</v>
      </c>
      <c r="M8666" t="s">
        <v>18479</v>
      </c>
      <c r="N8666" t="str">
        <f>"6/15/2015 2:32:00 PM"</f>
        <v>6/15/2015 2:32:00 PM</v>
      </c>
      <c r="O8666" t="s">
        <v>26066</v>
      </c>
      <c r="T8666" t="s">
        <v>26067</v>
      </c>
    </row>
    <row r="8667" spans="1:20" x14ac:dyDescent="0.25">
      <c r="A8667" t="str">
        <f>"3039536"</f>
        <v>3039536</v>
      </c>
      <c r="B8667" t="s">
        <v>26069</v>
      </c>
      <c r="C8667" t="str">
        <f>"82520920"</f>
        <v>82520920</v>
      </c>
      <c r="D8667" t="s">
        <v>26066</v>
      </c>
      <c r="E8667" t="s">
        <v>26067</v>
      </c>
      <c r="F8667" t="s">
        <v>26068</v>
      </c>
      <c r="I8667" t="s">
        <v>184</v>
      </c>
      <c r="J8667" t="s">
        <v>30</v>
      </c>
      <c r="K8667" t="s">
        <v>185</v>
      </c>
      <c r="M8667" t="s">
        <v>18479</v>
      </c>
      <c r="N8667" t="str">
        <f>"6/15/2015 2:32:00 PM"</f>
        <v>6/15/2015 2:32:00 PM</v>
      </c>
      <c r="O8667" t="s">
        <v>26066</v>
      </c>
      <c r="T8667" t="s">
        <v>26067</v>
      </c>
    </row>
    <row r="8668" spans="1:20" x14ac:dyDescent="0.25">
      <c r="A8668" t="str">
        <f>"3045424"</f>
        <v>3045424</v>
      </c>
      <c r="B8668" t="s">
        <v>26070</v>
      </c>
      <c r="C8668" t="str">
        <f>"8303958"</f>
        <v>8303958</v>
      </c>
      <c r="D8668" t="s">
        <v>26071</v>
      </c>
      <c r="E8668" t="s">
        <v>26072</v>
      </c>
      <c r="F8668" t="s">
        <v>26073</v>
      </c>
      <c r="I8668" t="s">
        <v>29</v>
      </c>
      <c r="J8668" t="s">
        <v>30</v>
      </c>
      <c r="K8668" t="str">
        <f>"27028"</f>
        <v>27028</v>
      </c>
      <c r="M8668" t="s">
        <v>18479</v>
      </c>
      <c r="N8668" t="str">
        <f>"6/8/2015 1:48:00 PM"</f>
        <v>6/8/2015 1:48:00 PM</v>
      </c>
      <c r="O8668" t="s">
        <v>26071</v>
      </c>
      <c r="T8668" t="s">
        <v>26072</v>
      </c>
    </row>
    <row r="8669" spans="1:20" x14ac:dyDescent="0.25">
      <c r="A8669" t="str">
        <f>"3050881"</f>
        <v>3050881</v>
      </c>
      <c r="B8669" t="s">
        <v>26074</v>
      </c>
      <c r="C8669" t="str">
        <f>"35358000"</f>
        <v>35358000</v>
      </c>
      <c r="D8669" t="s">
        <v>26075</v>
      </c>
      <c r="E8669" t="s">
        <v>26076</v>
      </c>
      <c r="F8669" t="s">
        <v>26077</v>
      </c>
      <c r="I8669" t="s">
        <v>184</v>
      </c>
      <c r="J8669" t="s">
        <v>30</v>
      </c>
      <c r="K8669" t="s">
        <v>26078</v>
      </c>
      <c r="M8669" t="s">
        <v>25625</v>
      </c>
      <c r="N8669" t="str">
        <f>"6/8/2015 2:29:00 PM"</f>
        <v>6/8/2015 2:29:00 PM</v>
      </c>
      <c r="O8669" t="s">
        <v>26075</v>
      </c>
      <c r="T8669" t="s">
        <v>26076</v>
      </c>
    </row>
    <row r="8670" spans="1:20" x14ac:dyDescent="0.25">
      <c r="A8670" t="str">
        <f>"3066460"</f>
        <v>3066460</v>
      </c>
      <c r="B8670" t="s">
        <v>26079</v>
      </c>
      <c r="C8670" t="str">
        <f>"44286000"</f>
        <v>44286000</v>
      </c>
      <c r="D8670" t="s">
        <v>26080</v>
      </c>
      <c r="E8670" t="s">
        <v>26081</v>
      </c>
      <c r="F8670" t="s">
        <v>26082</v>
      </c>
      <c r="I8670" t="s">
        <v>184</v>
      </c>
      <c r="J8670" t="s">
        <v>30</v>
      </c>
      <c r="K8670" t="s">
        <v>14178</v>
      </c>
      <c r="M8670" t="s">
        <v>18479</v>
      </c>
      <c r="N8670" t="str">
        <f>"6/16/2015 10:20:00 AM"</f>
        <v>6/16/2015 10:20:00 AM</v>
      </c>
      <c r="O8670" t="s">
        <v>26080</v>
      </c>
      <c r="T8670" t="s">
        <v>26081</v>
      </c>
    </row>
    <row r="8671" spans="1:20" x14ac:dyDescent="0.25">
      <c r="A8671" t="str">
        <f>"3044593"</f>
        <v>3044593</v>
      </c>
      <c r="B8671" t="s">
        <v>26083</v>
      </c>
      <c r="C8671" t="str">
        <f>"8304139"</f>
        <v>8304139</v>
      </c>
      <c r="D8671" t="s">
        <v>26084</v>
      </c>
      <c r="E8671" t="s">
        <v>26085</v>
      </c>
      <c r="F8671" t="s">
        <v>26086</v>
      </c>
      <c r="I8671" t="s">
        <v>184</v>
      </c>
      <c r="J8671" t="s">
        <v>30</v>
      </c>
      <c r="K8671" t="str">
        <f>"27006"</f>
        <v>27006</v>
      </c>
      <c r="M8671" t="s">
        <v>18479</v>
      </c>
      <c r="N8671" t="str">
        <f>"6/16/2015 10:31:00 AM"</f>
        <v>6/16/2015 10:31:00 AM</v>
      </c>
      <c r="O8671" t="s">
        <v>26084</v>
      </c>
      <c r="T8671" t="s">
        <v>26085</v>
      </c>
    </row>
    <row r="8672" spans="1:20" x14ac:dyDescent="0.25">
      <c r="A8672" t="str">
        <f>"3071030"</f>
        <v>3071030</v>
      </c>
      <c r="B8672" t="s">
        <v>26087</v>
      </c>
      <c r="C8672" t="str">
        <f>"46617500"</f>
        <v>46617500</v>
      </c>
      <c r="D8672" t="s">
        <v>26088</v>
      </c>
      <c r="E8672" t="s">
        <v>26089</v>
      </c>
      <c r="F8672" t="s">
        <v>26090</v>
      </c>
      <c r="I8672" t="s">
        <v>29</v>
      </c>
      <c r="J8672" t="s">
        <v>30</v>
      </c>
      <c r="K8672" t="s">
        <v>31</v>
      </c>
      <c r="M8672" t="s">
        <v>18479</v>
      </c>
      <c r="N8672" t="str">
        <f>"6/16/2015 10:33:00 AM"</f>
        <v>6/16/2015 10:33:00 AM</v>
      </c>
      <c r="O8672" t="s">
        <v>26088</v>
      </c>
      <c r="T8672" t="s">
        <v>26089</v>
      </c>
    </row>
    <row r="8673" spans="1:20" x14ac:dyDescent="0.25">
      <c r="A8673" t="str">
        <f>"3078937"</f>
        <v>3078937</v>
      </c>
      <c r="B8673" t="s">
        <v>26091</v>
      </c>
      <c r="C8673" t="str">
        <f>"40848000"</f>
        <v>40848000</v>
      </c>
      <c r="D8673" t="s">
        <v>26092</v>
      </c>
      <c r="F8673" t="s">
        <v>8894</v>
      </c>
      <c r="I8673" t="s">
        <v>184</v>
      </c>
      <c r="J8673" t="s">
        <v>30</v>
      </c>
      <c r="K8673" t="s">
        <v>8584</v>
      </c>
      <c r="M8673" t="s">
        <v>18479</v>
      </c>
      <c r="N8673" t="str">
        <f>"6/8/2015 4:18:00 PM"</f>
        <v>6/8/2015 4:18:00 PM</v>
      </c>
      <c r="O8673" t="s">
        <v>26092</v>
      </c>
    </row>
    <row r="8674" spans="1:20" x14ac:dyDescent="0.25">
      <c r="A8674" t="str">
        <f>"3061613"</f>
        <v>3061613</v>
      </c>
      <c r="B8674" t="s">
        <v>26093</v>
      </c>
      <c r="C8674" t="str">
        <f>"8305062"</f>
        <v>8305062</v>
      </c>
      <c r="D8674" t="s">
        <v>26094</v>
      </c>
      <c r="E8674" t="s">
        <v>26095</v>
      </c>
      <c r="F8674" t="s">
        <v>26096</v>
      </c>
      <c r="I8674" t="s">
        <v>184</v>
      </c>
      <c r="J8674" t="s">
        <v>30</v>
      </c>
      <c r="K8674" t="str">
        <f>"27006"</f>
        <v>27006</v>
      </c>
      <c r="M8674" t="s">
        <v>17861</v>
      </c>
      <c r="N8674" t="str">
        <f>"6/17/2015 10:59:00 AM"</f>
        <v>6/17/2015 10:59:00 AM</v>
      </c>
      <c r="O8674" t="s">
        <v>26094</v>
      </c>
      <c r="T8674" t="s">
        <v>26095</v>
      </c>
    </row>
    <row r="8675" spans="1:20" x14ac:dyDescent="0.25">
      <c r="A8675" t="str">
        <f>"3046767"</f>
        <v>3046767</v>
      </c>
      <c r="B8675" t="s">
        <v>26097</v>
      </c>
      <c r="C8675" t="str">
        <f>"82527927"</f>
        <v>82527927</v>
      </c>
      <c r="D8675" t="s">
        <v>26098</v>
      </c>
      <c r="E8675" t="s">
        <v>26099</v>
      </c>
      <c r="F8675" t="s">
        <v>26100</v>
      </c>
      <c r="I8675" t="s">
        <v>184</v>
      </c>
      <c r="J8675" t="s">
        <v>30</v>
      </c>
      <c r="K8675" t="s">
        <v>185</v>
      </c>
      <c r="M8675" t="s">
        <v>18479</v>
      </c>
      <c r="N8675" t="str">
        <f>"6/17/2015 11:05:00 AM"</f>
        <v>6/17/2015 11:05:00 AM</v>
      </c>
      <c r="O8675" t="s">
        <v>26098</v>
      </c>
      <c r="T8675" t="s">
        <v>26099</v>
      </c>
    </row>
    <row r="8676" spans="1:20" x14ac:dyDescent="0.25">
      <c r="A8676" t="str">
        <f>"3048261"</f>
        <v>3048261</v>
      </c>
      <c r="B8676" t="s">
        <v>26101</v>
      </c>
      <c r="C8676" t="str">
        <f>"40245500"</f>
        <v>40245500</v>
      </c>
      <c r="D8676" t="s">
        <v>26102</v>
      </c>
      <c r="E8676" t="s">
        <v>26103</v>
      </c>
      <c r="F8676" t="s">
        <v>26104</v>
      </c>
      <c r="I8676" t="s">
        <v>1149</v>
      </c>
      <c r="J8676" t="s">
        <v>30</v>
      </c>
      <c r="K8676" t="s">
        <v>26105</v>
      </c>
      <c r="M8676" t="s">
        <v>18479</v>
      </c>
      <c r="N8676" t="str">
        <f>"6/8/2015 4:24:00 PM"</f>
        <v>6/8/2015 4:24:00 PM</v>
      </c>
      <c r="O8676" t="s">
        <v>26102</v>
      </c>
      <c r="T8676" t="s">
        <v>26103</v>
      </c>
    </row>
    <row r="8677" spans="1:20" x14ac:dyDescent="0.25">
      <c r="A8677" t="str">
        <f>"3058282"</f>
        <v>3058282</v>
      </c>
      <c r="B8677" t="s">
        <v>26106</v>
      </c>
      <c r="C8677" t="str">
        <f>"8305090"</f>
        <v>8305090</v>
      </c>
      <c r="D8677" t="s">
        <v>26107</v>
      </c>
      <c r="E8677" t="s">
        <v>26108</v>
      </c>
      <c r="F8677" t="s">
        <v>26109</v>
      </c>
      <c r="I8677" t="s">
        <v>29</v>
      </c>
      <c r="J8677" t="s">
        <v>30</v>
      </c>
      <c r="K8677" t="str">
        <f>"27028"</f>
        <v>27028</v>
      </c>
      <c r="M8677" t="s">
        <v>17861</v>
      </c>
      <c r="N8677" t="str">
        <f>"6/9/2015 4:43:00 PM"</f>
        <v>6/9/2015 4:43:00 PM</v>
      </c>
      <c r="O8677" t="s">
        <v>26107</v>
      </c>
      <c r="T8677" t="s">
        <v>26108</v>
      </c>
    </row>
    <row r="8678" spans="1:20" x14ac:dyDescent="0.25">
      <c r="A8678" t="str">
        <f>"3058721"</f>
        <v>3058721</v>
      </c>
      <c r="B8678" t="s">
        <v>26110</v>
      </c>
      <c r="C8678" t="str">
        <f>"8305094"</f>
        <v>8305094</v>
      </c>
      <c r="D8678" t="s">
        <v>26111</v>
      </c>
      <c r="E8678" t="s">
        <v>26112</v>
      </c>
      <c r="F8678" t="s">
        <v>26113</v>
      </c>
      <c r="I8678" t="s">
        <v>29</v>
      </c>
      <c r="J8678" t="s">
        <v>30</v>
      </c>
      <c r="K8678" t="str">
        <f>"27028"</f>
        <v>27028</v>
      </c>
      <c r="M8678" t="s">
        <v>17861</v>
      </c>
      <c r="N8678" t="str">
        <f>"6/10/2015 9:43:00 AM"</f>
        <v>6/10/2015 9:43:00 AM</v>
      </c>
      <c r="O8678" t="s">
        <v>26111</v>
      </c>
      <c r="T8678" t="s">
        <v>26112</v>
      </c>
    </row>
    <row r="8679" spans="1:20" x14ac:dyDescent="0.25">
      <c r="A8679" t="str">
        <f>"3037444"</f>
        <v>3037444</v>
      </c>
      <c r="B8679" t="s">
        <v>26114</v>
      </c>
      <c r="C8679" t="str">
        <f>"8305097"</f>
        <v>8305097</v>
      </c>
      <c r="D8679" t="s">
        <v>26115</v>
      </c>
      <c r="F8679" t="s">
        <v>26116</v>
      </c>
      <c r="I8679" t="s">
        <v>471</v>
      </c>
      <c r="J8679" t="s">
        <v>30</v>
      </c>
      <c r="K8679" t="str">
        <f>"27127"</f>
        <v>27127</v>
      </c>
      <c r="M8679" t="s">
        <v>17861</v>
      </c>
      <c r="N8679" t="str">
        <f>"6/10/2015 10:07:00 AM"</f>
        <v>6/10/2015 10:07:00 AM</v>
      </c>
      <c r="O8679" t="s">
        <v>26115</v>
      </c>
    </row>
    <row r="8680" spans="1:20" x14ac:dyDescent="0.25">
      <c r="A8680" t="str">
        <f>"3078243"</f>
        <v>3078243</v>
      </c>
      <c r="B8680" t="s">
        <v>26117</v>
      </c>
      <c r="C8680" t="str">
        <f>"82527550"</f>
        <v>82527550</v>
      </c>
      <c r="D8680" t="s">
        <v>11156</v>
      </c>
      <c r="E8680" t="s">
        <v>26118</v>
      </c>
      <c r="F8680" t="s">
        <v>11158</v>
      </c>
      <c r="I8680" t="s">
        <v>29</v>
      </c>
      <c r="J8680" t="s">
        <v>30</v>
      </c>
      <c r="K8680" t="s">
        <v>31</v>
      </c>
      <c r="M8680" t="s">
        <v>18479</v>
      </c>
      <c r="N8680" t="str">
        <f>"6/22/2015 2:09:00 PM"</f>
        <v>6/22/2015 2:09:00 PM</v>
      </c>
      <c r="O8680" t="s">
        <v>11156</v>
      </c>
      <c r="T8680" t="s">
        <v>26118</v>
      </c>
    </row>
    <row r="8681" spans="1:20" x14ac:dyDescent="0.25">
      <c r="A8681" t="str">
        <f>"3059360"</f>
        <v>3059360</v>
      </c>
      <c r="B8681" t="s">
        <v>26119</v>
      </c>
      <c r="C8681" t="str">
        <f>"82527550"</f>
        <v>82527550</v>
      </c>
      <c r="D8681" t="s">
        <v>11156</v>
      </c>
      <c r="E8681" t="s">
        <v>26118</v>
      </c>
      <c r="F8681" t="s">
        <v>11158</v>
      </c>
      <c r="I8681" t="s">
        <v>29</v>
      </c>
      <c r="J8681" t="s">
        <v>30</v>
      </c>
      <c r="K8681" t="s">
        <v>31</v>
      </c>
      <c r="M8681" t="s">
        <v>18479</v>
      </c>
      <c r="N8681" t="str">
        <f>"6/22/2015 2:09:00 PM"</f>
        <v>6/22/2015 2:09:00 PM</v>
      </c>
      <c r="O8681" t="s">
        <v>11156</v>
      </c>
      <c r="T8681" t="s">
        <v>26118</v>
      </c>
    </row>
    <row r="8682" spans="1:20" x14ac:dyDescent="0.25">
      <c r="A8682" t="str">
        <f>"3049223"</f>
        <v>3049223</v>
      </c>
      <c r="B8682" t="s">
        <v>26120</v>
      </c>
      <c r="C8682" t="str">
        <f>"82527550"</f>
        <v>82527550</v>
      </c>
      <c r="D8682" t="s">
        <v>11156</v>
      </c>
      <c r="E8682" t="s">
        <v>26118</v>
      </c>
      <c r="F8682" t="s">
        <v>11158</v>
      </c>
      <c r="I8682" t="s">
        <v>29</v>
      </c>
      <c r="J8682" t="s">
        <v>30</v>
      </c>
      <c r="K8682" t="s">
        <v>31</v>
      </c>
      <c r="M8682" t="s">
        <v>18479</v>
      </c>
      <c r="N8682" t="str">
        <f>"6/22/2015 2:09:00 PM"</f>
        <v>6/22/2015 2:09:00 PM</v>
      </c>
      <c r="O8682" t="s">
        <v>11156</v>
      </c>
      <c r="T8682" t="s">
        <v>26118</v>
      </c>
    </row>
    <row r="8683" spans="1:20" x14ac:dyDescent="0.25">
      <c r="A8683" t="str">
        <f>"3078242"</f>
        <v>3078242</v>
      </c>
      <c r="B8683" t="s">
        <v>26121</v>
      </c>
      <c r="C8683" t="str">
        <f>"43998000"</f>
        <v>43998000</v>
      </c>
      <c r="D8683" t="s">
        <v>11156</v>
      </c>
      <c r="F8683" t="s">
        <v>11158</v>
      </c>
      <c r="I8683" t="s">
        <v>29</v>
      </c>
      <c r="J8683" t="s">
        <v>30</v>
      </c>
      <c r="K8683" t="s">
        <v>11159</v>
      </c>
      <c r="M8683" t="s">
        <v>18479</v>
      </c>
      <c r="N8683" t="str">
        <f>"6/22/2015 2:44:00 PM"</f>
        <v>6/22/2015 2:44:00 PM</v>
      </c>
      <c r="O8683" t="s">
        <v>11156</v>
      </c>
      <c r="T8683" t="s">
        <v>11156</v>
      </c>
    </row>
    <row r="8684" spans="1:20" x14ac:dyDescent="0.25">
      <c r="A8684" t="str">
        <f>"3042646"</f>
        <v>3042646</v>
      </c>
      <c r="B8684" t="s">
        <v>26122</v>
      </c>
      <c r="C8684" t="str">
        <f>"43103590"</f>
        <v>43103590</v>
      </c>
      <c r="D8684" t="s">
        <v>26123</v>
      </c>
      <c r="F8684" t="s">
        <v>26124</v>
      </c>
      <c r="I8684" t="s">
        <v>29</v>
      </c>
      <c r="J8684" t="s">
        <v>30</v>
      </c>
      <c r="K8684" t="s">
        <v>25047</v>
      </c>
      <c r="M8684" t="s">
        <v>18479</v>
      </c>
      <c r="N8684" t="str">
        <f>"6/10/2015 11:04:00 AM"</f>
        <v>6/10/2015 11:04:00 AM</v>
      </c>
      <c r="O8684" t="s">
        <v>26123</v>
      </c>
    </row>
    <row r="8685" spans="1:20" x14ac:dyDescent="0.25">
      <c r="A8685" t="str">
        <f>"3038481"</f>
        <v>3038481</v>
      </c>
      <c r="B8685" t="s">
        <v>26125</v>
      </c>
      <c r="C8685" t="str">
        <f>"82517547"</f>
        <v>82517547</v>
      </c>
      <c r="D8685" t="s">
        <v>26126</v>
      </c>
      <c r="E8685" t="s">
        <v>26127</v>
      </c>
      <c r="F8685" t="s">
        <v>23699</v>
      </c>
      <c r="I8685" t="s">
        <v>29</v>
      </c>
      <c r="J8685" t="s">
        <v>30</v>
      </c>
      <c r="K8685" t="s">
        <v>31</v>
      </c>
      <c r="M8685" t="s">
        <v>18479</v>
      </c>
      <c r="N8685" t="str">
        <f>"6/22/2015 3:03:00 PM"</f>
        <v>6/22/2015 3:03:00 PM</v>
      </c>
      <c r="O8685" t="s">
        <v>26126</v>
      </c>
      <c r="T8685" t="s">
        <v>26127</v>
      </c>
    </row>
    <row r="8686" spans="1:20" x14ac:dyDescent="0.25">
      <c r="A8686" t="str">
        <f>"3038635"</f>
        <v>3038635</v>
      </c>
      <c r="B8686" t="s">
        <v>26128</v>
      </c>
      <c r="C8686" t="str">
        <f>"82530585"</f>
        <v>82530585</v>
      </c>
      <c r="D8686" t="s">
        <v>26129</v>
      </c>
      <c r="E8686" t="s">
        <v>26130</v>
      </c>
      <c r="F8686" t="s">
        <v>26131</v>
      </c>
      <c r="I8686" t="s">
        <v>29</v>
      </c>
      <c r="J8686" t="s">
        <v>30</v>
      </c>
      <c r="K8686" t="s">
        <v>31</v>
      </c>
      <c r="M8686" t="s">
        <v>18479</v>
      </c>
      <c r="N8686" t="str">
        <f>"6/22/2015 3:19:00 PM"</f>
        <v>6/22/2015 3:19:00 PM</v>
      </c>
      <c r="O8686" t="s">
        <v>26129</v>
      </c>
      <c r="T8686" t="s">
        <v>26130</v>
      </c>
    </row>
    <row r="8687" spans="1:20" x14ac:dyDescent="0.25">
      <c r="A8687" t="str">
        <f>"3052846"</f>
        <v>3052846</v>
      </c>
      <c r="B8687" t="s">
        <v>26132</v>
      </c>
      <c r="C8687" t="str">
        <f>"82520391"</f>
        <v>82520391</v>
      </c>
      <c r="D8687" t="s">
        <v>26133</v>
      </c>
      <c r="E8687" t="s">
        <v>26134</v>
      </c>
      <c r="F8687" t="s">
        <v>18537</v>
      </c>
      <c r="I8687" t="s">
        <v>29</v>
      </c>
      <c r="J8687" t="s">
        <v>30</v>
      </c>
      <c r="K8687" t="s">
        <v>31</v>
      </c>
      <c r="M8687" t="s">
        <v>18479</v>
      </c>
      <c r="N8687" t="str">
        <f>"6/22/2015 3:54:00 PM"</f>
        <v>6/22/2015 3:54:00 PM</v>
      </c>
      <c r="O8687" t="s">
        <v>26133</v>
      </c>
      <c r="T8687" t="s">
        <v>26134</v>
      </c>
    </row>
    <row r="8688" spans="1:20" x14ac:dyDescent="0.25">
      <c r="A8688" t="str">
        <f>"3073775"</f>
        <v>3073775</v>
      </c>
      <c r="B8688" t="s">
        <v>26135</v>
      </c>
      <c r="C8688" t="str">
        <f>"8303475"</f>
        <v>8303475</v>
      </c>
      <c r="D8688" t="s">
        <v>26136</v>
      </c>
      <c r="F8688" t="s">
        <v>26137</v>
      </c>
      <c r="I8688" t="s">
        <v>29</v>
      </c>
      <c r="J8688" t="s">
        <v>30</v>
      </c>
      <c r="K8688" t="str">
        <f>"27028"</f>
        <v>27028</v>
      </c>
      <c r="M8688" t="s">
        <v>18479</v>
      </c>
      <c r="N8688" t="str">
        <f>"6/22/2015 3:58:00 PM"</f>
        <v>6/22/2015 3:58:00 PM</v>
      </c>
      <c r="O8688" t="s">
        <v>26136</v>
      </c>
    </row>
    <row r="8689" spans="1:20" x14ac:dyDescent="0.25">
      <c r="A8689" t="str">
        <f>"3058226"</f>
        <v>3058226</v>
      </c>
      <c r="B8689" t="s">
        <v>26138</v>
      </c>
      <c r="C8689" t="str">
        <f>"8304140"</f>
        <v>8304140</v>
      </c>
      <c r="D8689" t="s">
        <v>26139</v>
      </c>
      <c r="F8689" t="s">
        <v>26140</v>
      </c>
      <c r="I8689" t="s">
        <v>29</v>
      </c>
      <c r="J8689" t="s">
        <v>30</v>
      </c>
      <c r="K8689" t="str">
        <f>"27028"</f>
        <v>27028</v>
      </c>
      <c r="M8689" t="s">
        <v>18479</v>
      </c>
      <c r="N8689" t="str">
        <f>"6/22/2015 4:00:00 PM"</f>
        <v>6/22/2015 4:00:00 PM</v>
      </c>
      <c r="O8689" t="s">
        <v>26139</v>
      </c>
    </row>
    <row r="8690" spans="1:20" x14ac:dyDescent="0.25">
      <c r="A8690" t="str">
        <f>"3076723"</f>
        <v>3076723</v>
      </c>
      <c r="B8690" t="s">
        <v>26141</v>
      </c>
      <c r="C8690" t="str">
        <f>"16546250"</f>
        <v>16546250</v>
      </c>
      <c r="D8690" t="s">
        <v>26142</v>
      </c>
      <c r="E8690" t="s">
        <v>26143</v>
      </c>
      <c r="F8690" t="s">
        <v>26144</v>
      </c>
      <c r="G8690" t="s">
        <v>26145</v>
      </c>
      <c r="I8690" t="s">
        <v>184</v>
      </c>
      <c r="J8690" t="s">
        <v>30</v>
      </c>
      <c r="K8690" t="s">
        <v>185</v>
      </c>
      <c r="M8690" t="s">
        <v>25733</v>
      </c>
      <c r="N8690" t="str">
        <f>"6/11/2015 2:17:00 PM"</f>
        <v>6/11/2015 2:17:00 PM</v>
      </c>
      <c r="O8690" t="s">
        <v>26142</v>
      </c>
      <c r="T8690" t="s">
        <v>26143</v>
      </c>
    </row>
    <row r="8691" spans="1:20" x14ac:dyDescent="0.25">
      <c r="A8691" t="str">
        <f>"3041675"</f>
        <v>3041675</v>
      </c>
      <c r="B8691" t="s">
        <v>26146</v>
      </c>
      <c r="C8691" t="str">
        <f>"82525414"</f>
        <v>82525414</v>
      </c>
      <c r="D8691" t="s">
        <v>26147</v>
      </c>
      <c r="E8691" t="s">
        <v>26148</v>
      </c>
      <c r="F8691" t="s">
        <v>26149</v>
      </c>
      <c r="I8691" t="s">
        <v>2071</v>
      </c>
      <c r="J8691" t="s">
        <v>30</v>
      </c>
      <c r="K8691" t="s">
        <v>185</v>
      </c>
      <c r="M8691" t="s">
        <v>18479</v>
      </c>
      <c r="N8691" t="str">
        <f>"6/11/2015 1:25:00 PM"</f>
        <v>6/11/2015 1:25:00 PM</v>
      </c>
      <c r="O8691" t="s">
        <v>26147</v>
      </c>
      <c r="T8691" t="s">
        <v>26148</v>
      </c>
    </row>
    <row r="8692" spans="1:20" x14ac:dyDescent="0.25">
      <c r="A8692" t="str">
        <f>"3053959"</f>
        <v>3053959</v>
      </c>
      <c r="B8692" t="s">
        <v>26150</v>
      </c>
      <c r="C8692" t="str">
        <f>"82532366"</f>
        <v>82532366</v>
      </c>
      <c r="D8692" t="s">
        <v>26151</v>
      </c>
      <c r="E8692" t="s">
        <v>26152</v>
      </c>
      <c r="F8692" t="s">
        <v>26153</v>
      </c>
      <c r="I8692" t="s">
        <v>29</v>
      </c>
      <c r="J8692" t="s">
        <v>30</v>
      </c>
      <c r="K8692" t="s">
        <v>31</v>
      </c>
      <c r="M8692" t="s">
        <v>18479</v>
      </c>
      <c r="N8692" t="str">
        <f>"6/11/2015 2:35:00 PM"</f>
        <v>6/11/2015 2:35:00 PM</v>
      </c>
      <c r="O8692" t="s">
        <v>26151</v>
      </c>
      <c r="T8692" t="s">
        <v>26152</v>
      </c>
    </row>
    <row r="8693" spans="1:20" x14ac:dyDescent="0.25">
      <c r="A8693" t="str">
        <f>"3043084"</f>
        <v>3043084</v>
      </c>
      <c r="B8693" t="s">
        <v>26154</v>
      </c>
      <c r="C8693" t="str">
        <f>"8305105"</f>
        <v>8305105</v>
      </c>
      <c r="D8693" t="s">
        <v>26155</v>
      </c>
      <c r="F8693" t="s">
        <v>26156</v>
      </c>
      <c r="I8693" t="s">
        <v>29</v>
      </c>
      <c r="J8693" t="s">
        <v>30</v>
      </c>
      <c r="K8693" t="str">
        <f>"27028"</f>
        <v>27028</v>
      </c>
      <c r="M8693" t="s">
        <v>17861</v>
      </c>
      <c r="N8693" t="str">
        <f>"6/11/2015 3:54:00 PM"</f>
        <v>6/11/2015 3:54:00 PM</v>
      </c>
      <c r="O8693" t="s">
        <v>26155</v>
      </c>
    </row>
    <row r="8694" spans="1:20" x14ac:dyDescent="0.25">
      <c r="A8694" t="str">
        <f>"3057735"</f>
        <v>3057735</v>
      </c>
      <c r="B8694" t="s">
        <v>26157</v>
      </c>
      <c r="C8694" t="str">
        <f>"43432000"</f>
        <v>43432000</v>
      </c>
      <c r="D8694" t="s">
        <v>26158</v>
      </c>
      <c r="E8694" t="s">
        <v>26159</v>
      </c>
      <c r="F8694" t="s">
        <v>26160</v>
      </c>
      <c r="I8694" t="s">
        <v>9580</v>
      </c>
      <c r="J8694" t="s">
        <v>30</v>
      </c>
      <c r="K8694" t="s">
        <v>26161</v>
      </c>
      <c r="M8694" t="s">
        <v>18479</v>
      </c>
      <c r="N8694" t="str">
        <f>"6/12/2015 10:54:00 AM"</f>
        <v>6/12/2015 10:54:00 AM</v>
      </c>
      <c r="O8694" t="s">
        <v>26158</v>
      </c>
      <c r="T8694" t="s">
        <v>26159</v>
      </c>
    </row>
    <row r="8695" spans="1:20" x14ac:dyDescent="0.25">
      <c r="A8695" t="str">
        <f>"3038269"</f>
        <v>3038269</v>
      </c>
      <c r="B8695" t="s">
        <v>26162</v>
      </c>
      <c r="C8695" t="str">
        <f>"8353370"</f>
        <v>8353370</v>
      </c>
      <c r="D8695" t="s">
        <v>26163</v>
      </c>
      <c r="E8695" t="s">
        <v>26164</v>
      </c>
      <c r="F8695" t="s">
        <v>26165</v>
      </c>
      <c r="I8695" t="s">
        <v>29</v>
      </c>
      <c r="J8695" t="s">
        <v>30</v>
      </c>
      <c r="K8695" t="s">
        <v>31</v>
      </c>
      <c r="M8695" t="s">
        <v>25733</v>
      </c>
      <c r="N8695" t="str">
        <f>"6/23/2015 9:58:00 AM"</f>
        <v>6/23/2015 9:58:00 AM</v>
      </c>
      <c r="O8695" t="s">
        <v>26163</v>
      </c>
      <c r="T8695" t="s">
        <v>26164</v>
      </c>
    </row>
    <row r="8696" spans="1:20" x14ac:dyDescent="0.25">
      <c r="A8696" t="str">
        <f>"3038270"</f>
        <v>3038270</v>
      </c>
      <c r="B8696" t="s">
        <v>26166</v>
      </c>
      <c r="C8696" t="str">
        <f>"8353370"</f>
        <v>8353370</v>
      </c>
      <c r="D8696" t="s">
        <v>26163</v>
      </c>
      <c r="E8696" t="s">
        <v>26164</v>
      </c>
      <c r="F8696" t="s">
        <v>26165</v>
      </c>
      <c r="I8696" t="s">
        <v>29</v>
      </c>
      <c r="J8696" t="s">
        <v>30</v>
      </c>
      <c r="K8696" t="s">
        <v>31</v>
      </c>
      <c r="M8696" t="s">
        <v>25733</v>
      </c>
      <c r="N8696" t="str">
        <f>"6/23/2015 9:58:00 AM"</f>
        <v>6/23/2015 9:58:00 AM</v>
      </c>
      <c r="O8696" t="s">
        <v>26163</v>
      </c>
      <c r="T8696" t="s">
        <v>26164</v>
      </c>
    </row>
    <row r="8697" spans="1:20" x14ac:dyDescent="0.25">
      <c r="A8697" t="str">
        <f>"3043316"</f>
        <v>3043316</v>
      </c>
      <c r="B8697" t="s">
        <v>26167</v>
      </c>
      <c r="C8697" t="str">
        <f>"8302394"</f>
        <v>8302394</v>
      </c>
      <c r="D8697" t="s">
        <v>26168</v>
      </c>
      <c r="E8697" t="s">
        <v>26169</v>
      </c>
      <c r="F8697" t="s">
        <v>26170</v>
      </c>
      <c r="I8697" t="s">
        <v>29</v>
      </c>
      <c r="J8697" t="s">
        <v>30</v>
      </c>
      <c r="K8697" t="str">
        <f>"27028"</f>
        <v>27028</v>
      </c>
      <c r="M8697" t="s">
        <v>18479</v>
      </c>
      <c r="N8697" t="str">
        <f>"6/12/2015 4:17:00 PM"</f>
        <v>6/12/2015 4:17:00 PM</v>
      </c>
      <c r="O8697" t="s">
        <v>26168</v>
      </c>
      <c r="T8697" t="s">
        <v>26169</v>
      </c>
    </row>
    <row r="8698" spans="1:20" x14ac:dyDescent="0.25">
      <c r="A8698" t="str">
        <f>"3053291"</f>
        <v>3053291</v>
      </c>
      <c r="B8698" t="s">
        <v>26171</v>
      </c>
      <c r="C8698" t="str">
        <f>"51548890"</f>
        <v>51548890</v>
      </c>
      <c r="D8698" t="s">
        <v>26172</v>
      </c>
      <c r="E8698" t="s">
        <v>26173</v>
      </c>
      <c r="F8698" t="s">
        <v>26174</v>
      </c>
      <c r="I8698" t="s">
        <v>29</v>
      </c>
      <c r="J8698" t="s">
        <v>30</v>
      </c>
      <c r="K8698" t="s">
        <v>26175</v>
      </c>
      <c r="M8698" t="s">
        <v>18479</v>
      </c>
      <c r="N8698" t="str">
        <f>"6/23/2015 10:16:00 AM"</f>
        <v>6/23/2015 10:16:00 AM</v>
      </c>
      <c r="O8698" t="s">
        <v>26172</v>
      </c>
      <c r="T8698" t="s">
        <v>26173</v>
      </c>
    </row>
    <row r="8699" spans="1:20" x14ac:dyDescent="0.25">
      <c r="A8699" t="str">
        <f>"3053335"</f>
        <v>3053335</v>
      </c>
      <c r="B8699" t="s">
        <v>26176</v>
      </c>
      <c r="C8699" t="str">
        <f>"51548890"</f>
        <v>51548890</v>
      </c>
      <c r="D8699" t="s">
        <v>26172</v>
      </c>
      <c r="E8699" t="s">
        <v>26173</v>
      </c>
      <c r="F8699" t="s">
        <v>26174</v>
      </c>
      <c r="I8699" t="s">
        <v>29</v>
      </c>
      <c r="J8699" t="s">
        <v>30</v>
      </c>
      <c r="K8699" t="s">
        <v>26175</v>
      </c>
      <c r="M8699" t="s">
        <v>18479</v>
      </c>
      <c r="N8699" t="str">
        <f>"6/23/2015 10:16:00 AM"</f>
        <v>6/23/2015 10:16:00 AM</v>
      </c>
      <c r="O8699" t="s">
        <v>26172</v>
      </c>
      <c r="T8699" t="s">
        <v>26173</v>
      </c>
    </row>
    <row r="8700" spans="1:20" x14ac:dyDescent="0.25">
      <c r="A8700" t="str">
        <f>"3048796"</f>
        <v>3048796</v>
      </c>
      <c r="B8700" t="s">
        <v>26177</v>
      </c>
      <c r="C8700" t="str">
        <f>"8303287"</f>
        <v>8303287</v>
      </c>
      <c r="D8700" t="s">
        <v>26178</v>
      </c>
      <c r="E8700" t="s">
        <v>26179</v>
      </c>
      <c r="F8700" t="s">
        <v>26180</v>
      </c>
      <c r="I8700" t="s">
        <v>29</v>
      </c>
      <c r="J8700" t="s">
        <v>30</v>
      </c>
      <c r="K8700" t="str">
        <f>"27028"</f>
        <v>27028</v>
      </c>
      <c r="M8700" t="s">
        <v>18479</v>
      </c>
      <c r="N8700" t="str">
        <f>"6/23/2015 10:20:00 AM"</f>
        <v>6/23/2015 10:20:00 AM</v>
      </c>
      <c r="O8700" t="s">
        <v>26178</v>
      </c>
      <c r="T8700" t="s">
        <v>26179</v>
      </c>
    </row>
    <row r="8701" spans="1:20" x14ac:dyDescent="0.25">
      <c r="A8701" t="str">
        <f>"3054691"</f>
        <v>3054691</v>
      </c>
      <c r="B8701" t="s">
        <v>26181</v>
      </c>
      <c r="C8701" t="str">
        <f>"49460000"</f>
        <v>49460000</v>
      </c>
      <c r="D8701" t="s">
        <v>26182</v>
      </c>
      <c r="F8701" t="s">
        <v>26183</v>
      </c>
      <c r="I8701" t="s">
        <v>29</v>
      </c>
      <c r="J8701" t="s">
        <v>30</v>
      </c>
      <c r="K8701" t="s">
        <v>15999</v>
      </c>
      <c r="M8701" t="s">
        <v>18479</v>
      </c>
      <c r="N8701" t="str">
        <f>"6/23/2015 10:30:00 AM"</f>
        <v>6/23/2015 10:30:00 AM</v>
      </c>
      <c r="O8701" t="s">
        <v>26182</v>
      </c>
    </row>
    <row r="8702" spans="1:20" x14ac:dyDescent="0.25">
      <c r="A8702" t="str">
        <f>"3046831"</f>
        <v>3046831</v>
      </c>
      <c r="B8702" t="s">
        <v>26184</v>
      </c>
      <c r="C8702" t="str">
        <f>"38256000"</f>
        <v>38256000</v>
      </c>
      <c r="D8702" t="s">
        <v>26185</v>
      </c>
      <c r="E8702" t="s">
        <v>26186</v>
      </c>
      <c r="F8702" t="s">
        <v>26187</v>
      </c>
      <c r="I8702" t="s">
        <v>184</v>
      </c>
      <c r="J8702" t="s">
        <v>30</v>
      </c>
      <c r="K8702" t="s">
        <v>185</v>
      </c>
      <c r="M8702" t="s">
        <v>25625</v>
      </c>
      <c r="N8702" t="str">
        <f>"6/23/2015 10:37:00 AM"</f>
        <v>6/23/2015 10:37:00 AM</v>
      </c>
      <c r="O8702" t="s">
        <v>26185</v>
      </c>
      <c r="T8702" t="s">
        <v>26186</v>
      </c>
    </row>
    <row r="8703" spans="1:20" x14ac:dyDescent="0.25">
      <c r="A8703" t="str">
        <f>"3039187"</f>
        <v>3039187</v>
      </c>
      <c r="B8703" t="s">
        <v>26188</v>
      </c>
      <c r="C8703" t="str">
        <f>"8302394"</f>
        <v>8302394</v>
      </c>
      <c r="D8703" t="s">
        <v>26168</v>
      </c>
      <c r="E8703" t="s">
        <v>26169</v>
      </c>
      <c r="F8703" t="s">
        <v>26170</v>
      </c>
      <c r="I8703" t="s">
        <v>29</v>
      </c>
      <c r="J8703" t="s">
        <v>30</v>
      </c>
      <c r="K8703" t="str">
        <f>"27028"</f>
        <v>27028</v>
      </c>
      <c r="M8703" t="s">
        <v>18479</v>
      </c>
      <c r="N8703" t="str">
        <f>"6/12/2015 4:17:00 PM"</f>
        <v>6/12/2015 4:17:00 PM</v>
      </c>
      <c r="O8703" t="s">
        <v>26168</v>
      </c>
      <c r="T8703" t="s">
        <v>26169</v>
      </c>
    </row>
    <row r="8704" spans="1:20" x14ac:dyDescent="0.25">
      <c r="A8704" t="str">
        <f>"3039188"</f>
        <v>3039188</v>
      </c>
      <c r="B8704" t="s">
        <v>26189</v>
      </c>
      <c r="C8704" t="str">
        <f>"8302394"</f>
        <v>8302394</v>
      </c>
      <c r="D8704" t="s">
        <v>26168</v>
      </c>
      <c r="E8704" t="s">
        <v>26169</v>
      </c>
      <c r="F8704" t="s">
        <v>26170</v>
      </c>
      <c r="I8704" t="s">
        <v>29</v>
      </c>
      <c r="J8704" t="s">
        <v>30</v>
      </c>
      <c r="K8704" t="str">
        <f>"27028"</f>
        <v>27028</v>
      </c>
      <c r="M8704" t="s">
        <v>18479</v>
      </c>
      <c r="N8704" t="str">
        <f>"6/12/2015 4:17:00 PM"</f>
        <v>6/12/2015 4:17:00 PM</v>
      </c>
      <c r="O8704" t="s">
        <v>26168</v>
      </c>
      <c r="T8704" t="s">
        <v>26169</v>
      </c>
    </row>
    <row r="8705" spans="1:20" x14ac:dyDescent="0.25">
      <c r="A8705" t="str">
        <f>"3037369"</f>
        <v>3037369</v>
      </c>
      <c r="B8705" t="s">
        <v>26190</v>
      </c>
      <c r="C8705" t="str">
        <f>"45530400"</f>
        <v>45530400</v>
      </c>
      <c r="D8705" t="s">
        <v>26191</v>
      </c>
      <c r="E8705" t="s">
        <v>26192</v>
      </c>
      <c r="F8705" t="s">
        <v>26193</v>
      </c>
      <c r="I8705" t="s">
        <v>184</v>
      </c>
      <c r="J8705" t="s">
        <v>30</v>
      </c>
      <c r="K8705" t="s">
        <v>19749</v>
      </c>
      <c r="M8705" t="s">
        <v>18479</v>
      </c>
      <c r="N8705" t="str">
        <f>"6/15/2015 10:49:00 AM"</f>
        <v>6/15/2015 10:49:00 AM</v>
      </c>
      <c r="O8705" t="s">
        <v>26191</v>
      </c>
      <c r="T8705" t="s">
        <v>26192</v>
      </c>
    </row>
    <row r="8706" spans="1:20" x14ac:dyDescent="0.25">
      <c r="A8706" t="str">
        <f>"3055751"</f>
        <v>3055751</v>
      </c>
      <c r="B8706" t="s">
        <v>26194</v>
      </c>
      <c r="C8706" t="str">
        <f>"8305067"</f>
        <v>8305067</v>
      </c>
      <c r="D8706" t="s">
        <v>26195</v>
      </c>
      <c r="E8706" t="s">
        <v>26196</v>
      </c>
      <c r="F8706" t="s">
        <v>26197</v>
      </c>
      <c r="I8706" t="s">
        <v>9580</v>
      </c>
      <c r="J8706" t="s">
        <v>30</v>
      </c>
      <c r="K8706" t="str">
        <f>"27014"</f>
        <v>27014</v>
      </c>
      <c r="M8706" t="s">
        <v>17861</v>
      </c>
      <c r="N8706" t="str">
        <f>"6/3/2015 9:51:00 AM"</f>
        <v>6/3/2015 9:51:00 AM</v>
      </c>
      <c r="O8706" t="s">
        <v>26195</v>
      </c>
      <c r="T8706" t="s">
        <v>26196</v>
      </c>
    </row>
    <row r="8707" spans="1:20" x14ac:dyDescent="0.25">
      <c r="A8707" t="str">
        <f>"3061885"</f>
        <v>3061885</v>
      </c>
      <c r="B8707" t="s">
        <v>26198</v>
      </c>
      <c r="C8707" t="str">
        <f>"47468000"</f>
        <v>47468000</v>
      </c>
      <c r="D8707" t="s">
        <v>26199</v>
      </c>
      <c r="E8707" t="s">
        <v>26200</v>
      </c>
      <c r="F8707" t="s">
        <v>26201</v>
      </c>
      <c r="I8707" t="s">
        <v>29</v>
      </c>
      <c r="J8707" t="s">
        <v>30</v>
      </c>
      <c r="K8707" t="s">
        <v>31</v>
      </c>
      <c r="M8707" t="s">
        <v>18479</v>
      </c>
      <c r="N8707" t="str">
        <f>"6/23/2015 1:42:00 PM"</f>
        <v>6/23/2015 1:42:00 PM</v>
      </c>
      <c r="O8707" t="s">
        <v>26199</v>
      </c>
      <c r="T8707" t="s">
        <v>26200</v>
      </c>
    </row>
    <row r="8708" spans="1:20" x14ac:dyDescent="0.25">
      <c r="A8708" t="str">
        <f>"3063857"</f>
        <v>3063857</v>
      </c>
      <c r="B8708" t="s">
        <v>26202</v>
      </c>
      <c r="C8708" t="str">
        <f>"8305135"</f>
        <v>8305135</v>
      </c>
      <c r="D8708" t="s">
        <v>26203</v>
      </c>
      <c r="E8708" t="s">
        <v>26204</v>
      </c>
      <c r="F8708" t="s">
        <v>26205</v>
      </c>
      <c r="I8708" t="s">
        <v>184</v>
      </c>
      <c r="J8708" t="s">
        <v>30</v>
      </c>
      <c r="K8708" t="str">
        <f>"27006"</f>
        <v>27006</v>
      </c>
      <c r="M8708" t="s">
        <v>17861</v>
      </c>
      <c r="N8708" t="str">
        <f>"6/23/2015 3:02:00 PM"</f>
        <v>6/23/2015 3:02:00 PM</v>
      </c>
      <c r="O8708" t="s">
        <v>26203</v>
      </c>
      <c r="T8708" t="s">
        <v>26204</v>
      </c>
    </row>
    <row r="8709" spans="1:20" x14ac:dyDescent="0.25">
      <c r="A8709" t="str">
        <f>"3056467"</f>
        <v>3056467</v>
      </c>
      <c r="B8709" t="s">
        <v>26206</v>
      </c>
      <c r="C8709" t="str">
        <f>"82531307"</f>
        <v>82531307</v>
      </c>
      <c r="D8709" t="s">
        <v>26207</v>
      </c>
      <c r="E8709" t="s">
        <v>26208</v>
      </c>
      <c r="F8709" t="s">
        <v>26209</v>
      </c>
      <c r="I8709" t="s">
        <v>29</v>
      </c>
      <c r="J8709" t="s">
        <v>30</v>
      </c>
      <c r="K8709" t="s">
        <v>31</v>
      </c>
      <c r="M8709" t="s">
        <v>18479</v>
      </c>
      <c r="N8709" t="str">
        <f>"6/23/2015 3:19:00 PM"</f>
        <v>6/23/2015 3:19:00 PM</v>
      </c>
      <c r="O8709" t="s">
        <v>26207</v>
      </c>
      <c r="T8709" t="s">
        <v>26208</v>
      </c>
    </row>
    <row r="8710" spans="1:20" x14ac:dyDescent="0.25">
      <c r="A8710" t="str">
        <f>"3059125"</f>
        <v>3059125</v>
      </c>
      <c r="B8710" t="s">
        <v>26210</v>
      </c>
      <c r="C8710" t="str">
        <f>"8305068"</f>
        <v>8305068</v>
      </c>
      <c r="D8710" t="s">
        <v>26211</v>
      </c>
      <c r="E8710" t="s">
        <v>26212</v>
      </c>
      <c r="F8710" t="s">
        <v>26213</v>
      </c>
      <c r="I8710" t="s">
        <v>29</v>
      </c>
      <c r="J8710" t="s">
        <v>30</v>
      </c>
      <c r="K8710" t="str">
        <f>"27028"</f>
        <v>27028</v>
      </c>
      <c r="M8710" t="s">
        <v>17861</v>
      </c>
      <c r="N8710" t="str">
        <f>"6/3/2015 9:55:00 AM"</f>
        <v>6/3/2015 9:55:00 AM</v>
      </c>
      <c r="O8710" t="s">
        <v>26211</v>
      </c>
      <c r="T8710" t="s">
        <v>26212</v>
      </c>
    </row>
    <row r="8711" spans="1:20" x14ac:dyDescent="0.25">
      <c r="A8711" t="str">
        <f>"3060679"</f>
        <v>3060679</v>
      </c>
      <c r="B8711" t="s">
        <v>26214</v>
      </c>
      <c r="C8711" t="str">
        <f>"8304571"</f>
        <v>8304571</v>
      </c>
      <c r="D8711" t="s">
        <v>26215</v>
      </c>
      <c r="E8711" t="s">
        <v>26216</v>
      </c>
      <c r="F8711" t="s">
        <v>26217</v>
      </c>
      <c r="I8711" t="s">
        <v>2071</v>
      </c>
      <c r="J8711" t="s">
        <v>30</v>
      </c>
      <c r="K8711" t="str">
        <f>"27006"</f>
        <v>27006</v>
      </c>
      <c r="M8711" t="s">
        <v>18479</v>
      </c>
      <c r="N8711" t="str">
        <f>"6/3/2015 11:32:00 AM"</f>
        <v>6/3/2015 11:32:00 AM</v>
      </c>
      <c r="O8711" t="s">
        <v>26215</v>
      </c>
      <c r="T8711" t="s">
        <v>26216</v>
      </c>
    </row>
    <row r="8712" spans="1:20" x14ac:dyDescent="0.25">
      <c r="A8712" t="str">
        <f>"3050094"</f>
        <v>3050094</v>
      </c>
      <c r="B8712" t="s">
        <v>26218</v>
      </c>
      <c r="C8712" t="str">
        <f>"8303303"</f>
        <v>8303303</v>
      </c>
      <c r="D8712" t="s">
        <v>26219</v>
      </c>
      <c r="E8712" t="s">
        <v>26220</v>
      </c>
      <c r="F8712" t="s">
        <v>26221</v>
      </c>
      <c r="I8712" t="s">
        <v>29</v>
      </c>
      <c r="J8712" t="s">
        <v>30</v>
      </c>
      <c r="K8712" t="str">
        <f>"27028"</f>
        <v>27028</v>
      </c>
      <c r="M8712" t="s">
        <v>18479</v>
      </c>
      <c r="N8712" t="str">
        <f>"6/5/2015 11:03:00 AM"</f>
        <v>6/5/2015 11:03:00 AM</v>
      </c>
      <c r="O8712" t="s">
        <v>26219</v>
      </c>
      <c r="T8712" t="s">
        <v>26220</v>
      </c>
    </row>
    <row r="8713" spans="1:20" x14ac:dyDescent="0.25">
      <c r="A8713" t="str">
        <f>"3067766"</f>
        <v>3067766</v>
      </c>
      <c r="B8713" t="s">
        <v>26222</v>
      </c>
      <c r="C8713" t="str">
        <f>"82516172"</f>
        <v>82516172</v>
      </c>
      <c r="D8713" t="s">
        <v>26223</v>
      </c>
      <c r="E8713" t="s">
        <v>26224</v>
      </c>
      <c r="F8713" t="s">
        <v>26225</v>
      </c>
      <c r="I8713" t="s">
        <v>29</v>
      </c>
      <c r="J8713" t="s">
        <v>30</v>
      </c>
      <c r="K8713" t="s">
        <v>31</v>
      </c>
      <c r="M8713" t="s">
        <v>18479</v>
      </c>
      <c r="N8713" t="str">
        <f>"6/24/2015 9:46:00 AM"</f>
        <v>6/24/2015 9:46:00 AM</v>
      </c>
      <c r="O8713" t="s">
        <v>26223</v>
      </c>
      <c r="T8713" t="s">
        <v>26224</v>
      </c>
    </row>
    <row r="8714" spans="1:20" x14ac:dyDescent="0.25">
      <c r="A8714" t="str">
        <f>"3050867"</f>
        <v>3050867</v>
      </c>
      <c r="B8714" t="s">
        <v>26226</v>
      </c>
      <c r="C8714" t="str">
        <f>"82531801"</f>
        <v>82531801</v>
      </c>
      <c r="D8714" t="s">
        <v>26227</v>
      </c>
      <c r="E8714" t="s">
        <v>26228</v>
      </c>
      <c r="F8714" t="s">
        <v>26229</v>
      </c>
      <c r="I8714" t="s">
        <v>184</v>
      </c>
      <c r="J8714" t="s">
        <v>30</v>
      </c>
      <c r="K8714" t="s">
        <v>185</v>
      </c>
      <c r="M8714" t="s">
        <v>18479</v>
      </c>
      <c r="N8714" t="str">
        <f>"6/24/2015 9:50:00 AM"</f>
        <v>6/24/2015 9:50:00 AM</v>
      </c>
      <c r="O8714" t="s">
        <v>26227</v>
      </c>
      <c r="T8714" t="s">
        <v>26228</v>
      </c>
    </row>
    <row r="8715" spans="1:20" x14ac:dyDescent="0.25">
      <c r="A8715" t="str">
        <f>"3042327"</f>
        <v>3042327</v>
      </c>
      <c r="B8715" t="s">
        <v>26230</v>
      </c>
      <c r="C8715" t="str">
        <f>"8303961"</f>
        <v>8303961</v>
      </c>
      <c r="D8715" t="s">
        <v>26231</v>
      </c>
      <c r="F8715" t="s">
        <v>26232</v>
      </c>
      <c r="I8715" t="s">
        <v>184</v>
      </c>
      <c r="J8715" t="s">
        <v>30</v>
      </c>
      <c r="K8715" t="str">
        <f>"27006"</f>
        <v>27006</v>
      </c>
      <c r="M8715" t="s">
        <v>18479</v>
      </c>
      <c r="N8715" t="str">
        <f>"6/24/2015 10:08:00 AM"</f>
        <v>6/24/2015 10:08:00 AM</v>
      </c>
      <c r="O8715" t="s">
        <v>26231</v>
      </c>
    </row>
    <row r="8716" spans="1:20" x14ac:dyDescent="0.25">
      <c r="A8716" t="str">
        <f>"3044145"</f>
        <v>3044145</v>
      </c>
      <c r="B8716" t="s">
        <v>26233</v>
      </c>
      <c r="C8716" t="str">
        <f>"46906590"</f>
        <v>46906590</v>
      </c>
      <c r="D8716" t="s">
        <v>26234</v>
      </c>
      <c r="E8716" t="s">
        <v>26235</v>
      </c>
      <c r="F8716" t="s">
        <v>26236</v>
      </c>
      <c r="I8716" t="s">
        <v>184</v>
      </c>
      <c r="J8716" t="s">
        <v>30</v>
      </c>
      <c r="K8716" t="s">
        <v>9205</v>
      </c>
      <c r="M8716" t="s">
        <v>18479</v>
      </c>
      <c r="N8716" t="str">
        <f>"6/24/2015 10:55:00 AM"</f>
        <v>6/24/2015 10:55:00 AM</v>
      </c>
      <c r="O8716" t="s">
        <v>26234</v>
      </c>
      <c r="T8716" t="s">
        <v>26235</v>
      </c>
    </row>
    <row r="8717" spans="1:20" x14ac:dyDescent="0.25">
      <c r="A8717" t="str">
        <f>"3043856"</f>
        <v>3043856</v>
      </c>
      <c r="B8717" t="s">
        <v>26237</v>
      </c>
      <c r="C8717" t="str">
        <f>"46906590"</f>
        <v>46906590</v>
      </c>
      <c r="D8717" t="s">
        <v>26234</v>
      </c>
      <c r="E8717" t="s">
        <v>26235</v>
      </c>
      <c r="F8717" t="s">
        <v>26236</v>
      </c>
      <c r="I8717" t="s">
        <v>184</v>
      </c>
      <c r="J8717" t="s">
        <v>30</v>
      </c>
      <c r="K8717" t="s">
        <v>9205</v>
      </c>
      <c r="M8717" t="s">
        <v>18479</v>
      </c>
      <c r="N8717" t="str">
        <f>"6/24/2015 10:55:00 AM"</f>
        <v>6/24/2015 10:55:00 AM</v>
      </c>
      <c r="O8717" t="s">
        <v>26234</v>
      </c>
      <c r="T8717" t="s">
        <v>26235</v>
      </c>
    </row>
    <row r="8718" spans="1:20" x14ac:dyDescent="0.25">
      <c r="A8718" t="str">
        <f>"3049536"</f>
        <v>3049536</v>
      </c>
      <c r="B8718" t="s">
        <v>26238</v>
      </c>
      <c r="C8718" t="str">
        <f>"8303303"</f>
        <v>8303303</v>
      </c>
      <c r="D8718" t="s">
        <v>26219</v>
      </c>
      <c r="E8718" t="s">
        <v>26220</v>
      </c>
      <c r="F8718" t="s">
        <v>26221</v>
      </c>
      <c r="I8718" t="s">
        <v>29</v>
      </c>
      <c r="J8718" t="s">
        <v>30</v>
      </c>
      <c r="K8718" t="str">
        <f>"27028"</f>
        <v>27028</v>
      </c>
      <c r="M8718" t="s">
        <v>18479</v>
      </c>
      <c r="N8718" t="str">
        <f>"6/5/2015 11:03:00 AM"</f>
        <v>6/5/2015 11:03:00 AM</v>
      </c>
      <c r="O8718" t="s">
        <v>26219</v>
      </c>
      <c r="T8718" t="s">
        <v>26220</v>
      </c>
    </row>
    <row r="8719" spans="1:20" x14ac:dyDescent="0.25">
      <c r="A8719" t="str">
        <f>"3049417"</f>
        <v>3049417</v>
      </c>
      <c r="B8719" t="s">
        <v>26239</v>
      </c>
      <c r="C8719" t="str">
        <f>"8305114"</f>
        <v>8305114</v>
      </c>
      <c r="D8719" t="s">
        <v>26240</v>
      </c>
      <c r="E8719" t="s">
        <v>26241</v>
      </c>
      <c r="F8719" t="s">
        <v>26242</v>
      </c>
      <c r="I8719" t="s">
        <v>29</v>
      </c>
      <c r="J8719" t="s">
        <v>30</v>
      </c>
      <c r="K8719" t="str">
        <f>"27028"</f>
        <v>27028</v>
      </c>
      <c r="M8719" t="s">
        <v>17861</v>
      </c>
      <c r="N8719" t="str">
        <f>"6/15/2015 2:02:00 PM"</f>
        <v>6/15/2015 2:02:00 PM</v>
      </c>
      <c r="O8719" t="s">
        <v>26240</v>
      </c>
      <c r="T8719" t="s">
        <v>26241</v>
      </c>
    </row>
    <row r="8720" spans="1:20" x14ac:dyDescent="0.25">
      <c r="A8720" t="str">
        <f>"3046734"</f>
        <v>3046734</v>
      </c>
      <c r="B8720" t="s">
        <v>26243</v>
      </c>
      <c r="C8720" t="str">
        <f>"8305079"</f>
        <v>8305079</v>
      </c>
      <c r="D8720" t="s">
        <v>26244</v>
      </c>
      <c r="E8720" t="s">
        <v>26245</v>
      </c>
      <c r="F8720" t="s">
        <v>26246</v>
      </c>
      <c r="I8720" t="s">
        <v>184</v>
      </c>
      <c r="J8720" t="s">
        <v>30</v>
      </c>
      <c r="K8720" t="str">
        <f>"27006"</f>
        <v>27006</v>
      </c>
      <c r="M8720" t="s">
        <v>17861</v>
      </c>
      <c r="N8720" t="str">
        <f>"6/8/2015 10:59:00 AM"</f>
        <v>6/8/2015 10:59:00 AM</v>
      </c>
      <c r="O8720" t="s">
        <v>26244</v>
      </c>
      <c r="T8720" t="s">
        <v>26245</v>
      </c>
    </row>
    <row r="8721" spans="1:20" x14ac:dyDescent="0.25">
      <c r="A8721" t="str">
        <f>"3042675"</f>
        <v>3042675</v>
      </c>
      <c r="B8721" t="s">
        <v>26247</v>
      </c>
      <c r="C8721" t="str">
        <f>"47792000"</f>
        <v>47792000</v>
      </c>
      <c r="D8721" t="s">
        <v>26248</v>
      </c>
      <c r="E8721" t="s">
        <v>26249</v>
      </c>
      <c r="F8721" t="s">
        <v>26250</v>
      </c>
      <c r="I8721" t="s">
        <v>29</v>
      </c>
      <c r="J8721" t="s">
        <v>30</v>
      </c>
      <c r="K8721" t="s">
        <v>26251</v>
      </c>
      <c r="M8721" t="s">
        <v>18479</v>
      </c>
      <c r="N8721" t="str">
        <f>"6/24/2015 4:33:00 PM"</f>
        <v>6/24/2015 4:33:00 PM</v>
      </c>
      <c r="O8721" t="s">
        <v>26248</v>
      </c>
      <c r="T8721" t="s">
        <v>26249</v>
      </c>
    </row>
    <row r="8722" spans="1:20" x14ac:dyDescent="0.25">
      <c r="A8722" t="str">
        <f>"3057269"</f>
        <v>3057269</v>
      </c>
      <c r="B8722" t="s">
        <v>26252</v>
      </c>
      <c r="C8722" t="str">
        <f>"8303905"</f>
        <v>8303905</v>
      </c>
      <c r="D8722" t="s">
        <v>26253</v>
      </c>
      <c r="E8722" t="s">
        <v>26254</v>
      </c>
      <c r="F8722" t="s">
        <v>26255</v>
      </c>
      <c r="I8722" t="s">
        <v>29</v>
      </c>
      <c r="J8722" t="s">
        <v>30</v>
      </c>
      <c r="K8722" t="str">
        <f>"27028"</f>
        <v>27028</v>
      </c>
      <c r="M8722" t="s">
        <v>18479</v>
      </c>
      <c r="N8722" t="str">
        <f>"6/24/2015 4:39:00 PM"</f>
        <v>6/24/2015 4:39:00 PM</v>
      </c>
      <c r="O8722" t="s">
        <v>26253</v>
      </c>
      <c r="T8722" t="s">
        <v>26254</v>
      </c>
    </row>
    <row r="8723" spans="1:20" x14ac:dyDescent="0.25">
      <c r="A8723" t="str">
        <f>"3059126"</f>
        <v>3059126</v>
      </c>
      <c r="B8723" t="s">
        <v>26256</v>
      </c>
      <c r="C8723" t="str">
        <f>"8303905"</f>
        <v>8303905</v>
      </c>
      <c r="D8723" t="s">
        <v>26253</v>
      </c>
      <c r="E8723" t="s">
        <v>26254</v>
      </c>
      <c r="F8723" t="s">
        <v>26255</v>
      </c>
      <c r="I8723" t="s">
        <v>29</v>
      </c>
      <c r="J8723" t="s">
        <v>30</v>
      </c>
      <c r="K8723" t="str">
        <f>"27028"</f>
        <v>27028</v>
      </c>
      <c r="M8723" t="s">
        <v>18479</v>
      </c>
      <c r="N8723" t="str">
        <f>"6/24/2015 4:39:00 PM"</f>
        <v>6/24/2015 4:39:00 PM</v>
      </c>
      <c r="O8723" t="s">
        <v>26253</v>
      </c>
      <c r="T8723" t="s">
        <v>26254</v>
      </c>
    </row>
    <row r="8724" spans="1:20" x14ac:dyDescent="0.25">
      <c r="A8724" t="str">
        <f>"3037710"</f>
        <v>3037710</v>
      </c>
      <c r="B8724" t="s">
        <v>26257</v>
      </c>
      <c r="C8724" t="str">
        <f>"53149000"</f>
        <v>53149000</v>
      </c>
      <c r="D8724" t="s">
        <v>26258</v>
      </c>
      <c r="E8724" t="s">
        <v>26259</v>
      </c>
      <c r="F8724" t="s">
        <v>26260</v>
      </c>
      <c r="I8724" t="s">
        <v>29</v>
      </c>
      <c r="J8724" t="s">
        <v>30</v>
      </c>
      <c r="K8724" t="s">
        <v>31</v>
      </c>
      <c r="M8724" t="s">
        <v>18479</v>
      </c>
      <c r="N8724" t="str">
        <f>"6/25/2015 9:07:00 AM"</f>
        <v>6/25/2015 9:07:00 AM</v>
      </c>
      <c r="O8724" t="s">
        <v>26258</v>
      </c>
      <c r="T8724" t="s">
        <v>26259</v>
      </c>
    </row>
    <row r="8725" spans="1:20" x14ac:dyDescent="0.25">
      <c r="A8725" t="str">
        <f>"3059148"</f>
        <v>3059148</v>
      </c>
      <c r="B8725" t="s">
        <v>26261</v>
      </c>
      <c r="C8725" t="str">
        <f>"82528442"</f>
        <v>82528442</v>
      </c>
      <c r="D8725" t="s">
        <v>26262</v>
      </c>
      <c r="F8725" t="s">
        <v>26263</v>
      </c>
      <c r="I8725" t="s">
        <v>29</v>
      </c>
      <c r="J8725" t="s">
        <v>30</v>
      </c>
      <c r="K8725" t="s">
        <v>31</v>
      </c>
      <c r="M8725" t="s">
        <v>18479</v>
      </c>
      <c r="N8725" t="str">
        <f>"6/25/2015 10:07:00 AM"</f>
        <v>6/25/2015 10:07:00 AM</v>
      </c>
      <c r="O8725" t="s">
        <v>26262</v>
      </c>
    </row>
    <row r="8726" spans="1:20" x14ac:dyDescent="0.25">
      <c r="A8726" t="str">
        <f>"3066456"</f>
        <v>3066456</v>
      </c>
      <c r="B8726" t="s">
        <v>26264</v>
      </c>
      <c r="C8726" t="str">
        <f>"44286000"</f>
        <v>44286000</v>
      </c>
      <c r="D8726" t="s">
        <v>26080</v>
      </c>
      <c r="E8726" t="s">
        <v>26081</v>
      </c>
      <c r="F8726" t="s">
        <v>26082</v>
      </c>
      <c r="I8726" t="s">
        <v>184</v>
      </c>
      <c r="J8726" t="s">
        <v>30</v>
      </c>
      <c r="K8726" t="s">
        <v>14178</v>
      </c>
      <c r="M8726" t="s">
        <v>18479</v>
      </c>
      <c r="N8726" t="str">
        <f>"6/16/2015 10:20:00 AM"</f>
        <v>6/16/2015 10:20:00 AM</v>
      </c>
      <c r="O8726" t="s">
        <v>26080</v>
      </c>
      <c r="T8726" t="s">
        <v>26081</v>
      </c>
    </row>
    <row r="8727" spans="1:20" x14ac:dyDescent="0.25">
      <c r="A8727" t="str">
        <f>"3044315"</f>
        <v>3044315</v>
      </c>
      <c r="B8727" t="s">
        <v>26265</v>
      </c>
      <c r="C8727" t="str">
        <f>"8305116"</f>
        <v>8305116</v>
      </c>
      <c r="D8727" t="s">
        <v>26266</v>
      </c>
      <c r="F8727" t="s">
        <v>26267</v>
      </c>
      <c r="I8727" t="s">
        <v>184</v>
      </c>
      <c r="J8727" t="s">
        <v>30</v>
      </c>
      <c r="K8727" t="str">
        <f>"27006"</f>
        <v>27006</v>
      </c>
      <c r="M8727" t="s">
        <v>17861</v>
      </c>
      <c r="N8727" t="str">
        <f>"6/17/2015 10:59:00 AM"</f>
        <v>6/17/2015 10:59:00 AM</v>
      </c>
      <c r="O8727" t="s">
        <v>26266</v>
      </c>
    </row>
    <row r="8728" spans="1:20" x14ac:dyDescent="0.25">
      <c r="A8728" t="str">
        <f>"3045109"</f>
        <v>3045109</v>
      </c>
      <c r="B8728" t="s">
        <v>26268</v>
      </c>
      <c r="C8728" t="str">
        <f>"8304924"</f>
        <v>8304924</v>
      </c>
      <c r="D8728" t="s">
        <v>26269</v>
      </c>
      <c r="E8728" t="s">
        <v>26270</v>
      </c>
      <c r="F8728" t="s">
        <v>26271</v>
      </c>
      <c r="I8728" t="s">
        <v>1149</v>
      </c>
      <c r="J8728" t="s">
        <v>30</v>
      </c>
      <c r="K8728" t="str">
        <f>"28634"</f>
        <v>28634</v>
      </c>
      <c r="M8728" t="s">
        <v>17861</v>
      </c>
      <c r="N8728" t="str">
        <f>"6/17/2015 1:13:00 PM"</f>
        <v>6/17/2015 1:13:00 PM</v>
      </c>
      <c r="O8728" t="s">
        <v>26269</v>
      </c>
      <c r="T8728" t="s">
        <v>26270</v>
      </c>
    </row>
    <row r="8729" spans="1:20" x14ac:dyDescent="0.25">
      <c r="A8729" t="str">
        <f>"3062271"</f>
        <v>3062271</v>
      </c>
      <c r="B8729" t="s">
        <v>26272</v>
      </c>
      <c r="C8729" t="str">
        <f>"8305162"</f>
        <v>8305162</v>
      </c>
      <c r="D8729" t="s">
        <v>26273</v>
      </c>
      <c r="F8729" t="s">
        <v>26274</v>
      </c>
      <c r="I8729" t="s">
        <v>184</v>
      </c>
      <c r="J8729" t="s">
        <v>30</v>
      </c>
      <c r="K8729" t="str">
        <f t="shared" ref="K8729:K8740" si="133">"27006"</f>
        <v>27006</v>
      </c>
      <c r="M8729" t="s">
        <v>17861</v>
      </c>
      <c r="N8729" t="str">
        <f>"6/30/2015 2:13:00 PM"</f>
        <v>6/30/2015 2:13:00 PM</v>
      </c>
      <c r="O8729" t="s">
        <v>26273</v>
      </c>
    </row>
    <row r="8730" spans="1:20" x14ac:dyDescent="0.25">
      <c r="A8730" t="str">
        <f>"3078353"</f>
        <v>3078353</v>
      </c>
      <c r="B8730" t="s">
        <v>26275</v>
      </c>
      <c r="C8730" t="str">
        <f t="shared" ref="C8730:C8739" si="134">"8305166"</f>
        <v>8305166</v>
      </c>
      <c r="D8730" t="s">
        <v>26276</v>
      </c>
      <c r="F8730" t="s">
        <v>26277</v>
      </c>
      <c r="I8730" t="s">
        <v>184</v>
      </c>
      <c r="J8730" t="s">
        <v>30</v>
      </c>
      <c r="K8730" t="str">
        <f t="shared" si="133"/>
        <v>27006</v>
      </c>
      <c r="M8730" t="s">
        <v>17861</v>
      </c>
      <c r="N8730" t="str">
        <f t="shared" ref="N8730:N8739" si="135">"6/30/2015 2:41:00 PM"</f>
        <v>6/30/2015 2:41:00 PM</v>
      </c>
      <c r="O8730" t="s">
        <v>26276</v>
      </c>
    </row>
    <row r="8731" spans="1:20" x14ac:dyDescent="0.25">
      <c r="A8731" t="str">
        <f>"3078354"</f>
        <v>3078354</v>
      </c>
      <c r="B8731" t="s">
        <v>26278</v>
      </c>
      <c r="C8731" t="str">
        <f t="shared" si="134"/>
        <v>8305166</v>
      </c>
      <c r="D8731" t="s">
        <v>26276</v>
      </c>
      <c r="F8731" t="s">
        <v>26277</v>
      </c>
      <c r="I8731" t="s">
        <v>184</v>
      </c>
      <c r="J8731" t="s">
        <v>30</v>
      </c>
      <c r="K8731" t="str">
        <f t="shared" si="133"/>
        <v>27006</v>
      </c>
      <c r="M8731" t="s">
        <v>17861</v>
      </c>
      <c r="N8731" t="str">
        <f t="shared" si="135"/>
        <v>6/30/2015 2:41:00 PM</v>
      </c>
      <c r="O8731" t="s">
        <v>26276</v>
      </c>
    </row>
    <row r="8732" spans="1:20" x14ac:dyDescent="0.25">
      <c r="A8732" t="str">
        <f>"3047455"</f>
        <v>3047455</v>
      </c>
      <c r="B8732" t="s">
        <v>26279</v>
      </c>
      <c r="C8732" t="str">
        <f t="shared" si="134"/>
        <v>8305166</v>
      </c>
      <c r="D8732" t="s">
        <v>26276</v>
      </c>
      <c r="F8732" t="s">
        <v>26277</v>
      </c>
      <c r="I8732" t="s">
        <v>184</v>
      </c>
      <c r="J8732" t="s">
        <v>30</v>
      </c>
      <c r="K8732" t="str">
        <f t="shared" si="133"/>
        <v>27006</v>
      </c>
      <c r="M8732" t="s">
        <v>17861</v>
      </c>
      <c r="N8732" t="str">
        <f t="shared" si="135"/>
        <v>6/30/2015 2:41:00 PM</v>
      </c>
      <c r="O8732" t="s">
        <v>26276</v>
      </c>
    </row>
    <row r="8733" spans="1:20" x14ac:dyDescent="0.25">
      <c r="A8733" t="str">
        <f>"3047690"</f>
        <v>3047690</v>
      </c>
      <c r="B8733" t="s">
        <v>26280</v>
      </c>
      <c r="C8733" t="str">
        <f t="shared" si="134"/>
        <v>8305166</v>
      </c>
      <c r="D8733" t="s">
        <v>26276</v>
      </c>
      <c r="F8733" t="s">
        <v>26277</v>
      </c>
      <c r="I8733" t="s">
        <v>184</v>
      </c>
      <c r="J8733" t="s">
        <v>30</v>
      </c>
      <c r="K8733" t="str">
        <f t="shared" si="133"/>
        <v>27006</v>
      </c>
      <c r="M8733" t="s">
        <v>17861</v>
      </c>
      <c r="N8733" t="str">
        <f t="shared" si="135"/>
        <v>6/30/2015 2:41:00 PM</v>
      </c>
      <c r="O8733" t="s">
        <v>26276</v>
      </c>
    </row>
    <row r="8734" spans="1:20" x14ac:dyDescent="0.25">
      <c r="A8734" t="str">
        <f>"3047691"</f>
        <v>3047691</v>
      </c>
      <c r="B8734" t="s">
        <v>26281</v>
      </c>
      <c r="C8734" t="str">
        <f t="shared" si="134"/>
        <v>8305166</v>
      </c>
      <c r="D8734" t="s">
        <v>26276</v>
      </c>
      <c r="F8734" t="s">
        <v>26277</v>
      </c>
      <c r="I8734" t="s">
        <v>184</v>
      </c>
      <c r="J8734" t="s">
        <v>30</v>
      </c>
      <c r="K8734" t="str">
        <f t="shared" si="133"/>
        <v>27006</v>
      </c>
      <c r="M8734" t="s">
        <v>17861</v>
      </c>
      <c r="N8734" t="str">
        <f t="shared" si="135"/>
        <v>6/30/2015 2:41:00 PM</v>
      </c>
      <c r="O8734" t="s">
        <v>26276</v>
      </c>
    </row>
    <row r="8735" spans="1:20" x14ac:dyDescent="0.25">
      <c r="A8735" t="str">
        <f>"3047692"</f>
        <v>3047692</v>
      </c>
      <c r="B8735" t="s">
        <v>26282</v>
      </c>
      <c r="C8735" t="str">
        <f t="shared" si="134"/>
        <v>8305166</v>
      </c>
      <c r="D8735" t="s">
        <v>26276</v>
      </c>
      <c r="F8735" t="s">
        <v>26277</v>
      </c>
      <c r="I8735" t="s">
        <v>184</v>
      </c>
      <c r="J8735" t="s">
        <v>30</v>
      </c>
      <c r="K8735" t="str">
        <f t="shared" si="133"/>
        <v>27006</v>
      </c>
      <c r="M8735" t="s">
        <v>17861</v>
      </c>
      <c r="N8735" t="str">
        <f t="shared" si="135"/>
        <v>6/30/2015 2:41:00 PM</v>
      </c>
      <c r="O8735" t="s">
        <v>26276</v>
      </c>
    </row>
    <row r="8736" spans="1:20" x14ac:dyDescent="0.25">
      <c r="A8736" t="str">
        <f>"3047670"</f>
        <v>3047670</v>
      </c>
      <c r="B8736" t="s">
        <v>26283</v>
      </c>
      <c r="C8736" t="str">
        <f t="shared" si="134"/>
        <v>8305166</v>
      </c>
      <c r="D8736" t="s">
        <v>26276</v>
      </c>
      <c r="F8736" t="s">
        <v>26277</v>
      </c>
      <c r="I8736" t="s">
        <v>184</v>
      </c>
      <c r="J8736" t="s">
        <v>30</v>
      </c>
      <c r="K8736" t="str">
        <f t="shared" si="133"/>
        <v>27006</v>
      </c>
      <c r="M8736" t="s">
        <v>17861</v>
      </c>
      <c r="N8736" t="str">
        <f t="shared" si="135"/>
        <v>6/30/2015 2:41:00 PM</v>
      </c>
      <c r="O8736" t="s">
        <v>26276</v>
      </c>
    </row>
    <row r="8737" spans="1:20" x14ac:dyDescent="0.25">
      <c r="A8737" t="str">
        <f>"3048307"</f>
        <v>3048307</v>
      </c>
      <c r="B8737" t="s">
        <v>26284</v>
      </c>
      <c r="C8737" t="str">
        <f t="shared" si="134"/>
        <v>8305166</v>
      </c>
      <c r="D8737" t="s">
        <v>26276</v>
      </c>
      <c r="F8737" t="s">
        <v>26277</v>
      </c>
      <c r="I8737" t="s">
        <v>184</v>
      </c>
      <c r="J8737" t="s">
        <v>30</v>
      </c>
      <c r="K8737" t="str">
        <f t="shared" si="133"/>
        <v>27006</v>
      </c>
      <c r="M8737" t="s">
        <v>17861</v>
      </c>
      <c r="N8737" t="str">
        <f t="shared" si="135"/>
        <v>6/30/2015 2:41:00 PM</v>
      </c>
      <c r="O8737" t="s">
        <v>26276</v>
      </c>
    </row>
    <row r="8738" spans="1:20" x14ac:dyDescent="0.25">
      <c r="A8738" t="str">
        <f>"3048082"</f>
        <v>3048082</v>
      </c>
      <c r="B8738" t="s">
        <v>26285</v>
      </c>
      <c r="C8738" t="str">
        <f t="shared" si="134"/>
        <v>8305166</v>
      </c>
      <c r="D8738" t="s">
        <v>26276</v>
      </c>
      <c r="F8738" t="s">
        <v>26277</v>
      </c>
      <c r="I8738" t="s">
        <v>184</v>
      </c>
      <c r="J8738" t="s">
        <v>30</v>
      </c>
      <c r="K8738" t="str">
        <f t="shared" si="133"/>
        <v>27006</v>
      </c>
      <c r="M8738" t="s">
        <v>17861</v>
      </c>
      <c r="N8738" t="str">
        <f t="shared" si="135"/>
        <v>6/30/2015 2:41:00 PM</v>
      </c>
      <c r="O8738" t="s">
        <v>26276</v>
      </c>
    </row>
    <row r="8739" spans="1:20" x14ac:dyDescent="0.25">
      <c r="A8739" t="str">
        <f>"3048003"</f>
        <v>3048003</v>
      </c>
      <c r="B8739" t="s">
        <v>26286</v>
      </c>
      <c r="C8739" t="str">
        <f t="shared" si="134"/>
        <v>8305166</v>
      </c>
      <c r="D8739" t="s">
        <v>26276</v>
      </c>
      <c r="F8739" t="s">
        <v>26277</v>
      </c>
      <c r="I8739" t="s">
        <v>184</v>
      </c>
      <c r="J8739" t="s">
        <v>30</v>
      </c>
      <c r="K8739" t="str">
        <f t="shared" si="133"/>
        <v>27006</v>
      </c>
      <c r="M8739" t="s">
        <v>17861</v>
      </c>
      <c r="N8739" t="str">
        <f t="shared" si="135"/>
        <v>6/30/2015 2:41:00 PM</v>
      </c>
      <c r="O8739" t="s">
        <v>26276</v>
      </c>
    </row>
    <row r="8740" spans="1:20" x14ac:dyDescent="0.25">
      <c r="A8740" t="str">
        <f>"3058036"</f>
        <v>3058036</v>
      </c>
      <c r="B8740" t="s">
        <v>26287</v>
      </c>
      <c r="C8740" t="str">
        <f>"8305167"</f>
        <v>8305167</v>
      </c>
      <c r="D8740" t="s">
        <v>26288</v>
      </c>
      <c r="E8740" t="s">
        <v>26289</v>
      </c>
      <c r="F8740" t="s">
        <v>26290</v>
      </c>
      <c r="I8740" t="s">
        <v>184</v>
      </c>
      <c r="J8740" t="s">
        <v>30</v>
      </c>
      <c r="K8740" t="str">
        <f t="shared" si="133"/>
        <v>27006</v>
      </c>
      <c r="M8740" t="s">
        <v>17861</v>
      </c>
      <c r="N8740" t="str">
        <f>"6/30/2015 2:57:00 PM"</f>
        <v>6/30/2015 2:57:00 PM</v>
      </c>
      <c r="O8740" t="s">
        <v>26288</v>
      </c>
      <c r="T8740" t="s">
        <v>26289</v>
      </c>
    </row>
    <row r="8741" spans="1:20" x14ac:dyDescent="0.25">
      <c r="A8741" t="str">
        <f>"3039659"</f>
        <v>3039659</v>
      </c>
      <c r="B8741" t="s">
        <v>26291</v>
      </c>
      <c r="C8741" t="str">
        <f>"8305168"</f>
        <v>8305168</v>
      </c>
      <c r="D8741" t="s">
        <v>26292</v>
      </c>
      <c r="E8741" t="s">
        <v>26293</v>
      </c>
      <c r="F8741" t="s">
        <v>26294</v>
      </c>
      <c r="I8741" t="s">
        <v>29</v>
      </c>
      <c r="J8741" t="s">
        <v>30</v>
      </c>
      <c r="K8741" t="str">
        <f>"27028"</f>
        <v>27028</v>
      </c>
      <c r="M8741" t="s">
        <v>17861</v>
      </c>
      <c r="N8741" t="str">
        <f>"6/30/2015 3:05:00 PM"</f>
        <v>6/30/2015 3:05:00 PM</v>
      </c>
      <c r="O8741" t="s">
        <v>26292</v>
      </c>
      <c r="T8741" t="s">
        <v>26293</v>
      </c>
    </row>
    <row r="8742" spans="1:20" x14ac:dyDescent="0.25">
      <c r="A8742" t="str">
        <f>"3039421"</f>
        <v>3039421</v>
      </c>
      <c r="B8742" t="s">
        <v>26295</v>
      </c>
      <c r="C8742" t="str">
        <f>"8305168"</f>
        <v>8305168</v>
      </c>
      <c r="D8742" t="s">
        <v>26292</v>
      </c>
      <c r="E8742" t="s">
        <v>26293</v>
      </c>
      <c r="F8742" t="s">
        <v>26294</v>
      </c>
      <c r="I8742" t="s">
        <v>29</v>
      </c>
      <c r="J8742" t="s">
        <v>30</v>
      </c>
      <c r="K8742" t="str">
        <f>"27028"</f>
        <v>27028</v>
      </c>
      <c r="M8742" t="s">
        <v>17861</v>
      </c>
      <c r="N8742" t="str">
        <f>"6/30/2015 3:05:00 PM"</f>
        <v>6/30/2015 3:05:00 PM</v>
      </c>
      <c r="O8742" t="s">
        <v>26292</v>
      </c>
      <c r="T8742" t="s">
        <v>26293</v>
      </c>
    </row>
    <row r="8743" spans="1:20" x14ac:dyDescent="0.25">
      <c r="A8743" t="str">
        <f>"3061416"</f>
        <v>3061416</v>
      </c>
      <c r="B8743" t="s">
        <v>26296</v>
      </c>
      <c r="C8743" t="str">
        <f>"8305169"</f>
        <v>8305169</v>
      </c>
      <c r="D8743" t="s">
        <v>26297</v>
      </c>
      <c r="F8743" t="s">
        <v>26298</v>
      </c>
      <c r="I8743" t="s">
        <v>184</v>
      </c>
      <c r="J8743" t="s">
        <v>30</v>
      </c>
      <c r="K8743" t="str">
        <f>"27006"</f>
        <v>27006</v>
      </c>
      <c r="M8743" t="s">
        <v>17861</v>
      </c>
      <c r="N8743" t="str">
        <f>"6/30/2015 3:07:00 PM"</f>
        <v>6/30/2015 3:07:00 PM</v>
      </c>
      <c r="O8743" t="s">
        <v>26297</v>
      </c>
    </row>
    <row r="8744" spans="1:20" x14ac:dyDescent="0.25">
      <c r="A8744" t="str">
        <f>"3053792"</f>
        <v>3053792</v>
      </c>
      <c r="B8744" t="s">
        <v>26299</v>
      </c>
      <c r="C8744" t="str">
        <f>"8305171"</f>
        <v>8305171</v>
      </c>
      <c r="D8744" t="s">
        <v>26300</v>
      </c>
      <c r="E8744" t="s">
        <v>26301</v>
      </c>
      <c r="F8744" t="s">
        <v>26302</v>
      </c>
      <c r="I8744" t="s">
        <v>29</v>
      </c>
      <c r="J8744" t="s">
        <v>30</v>
      </c>
      <c r="K8744" t="str">
        <f>"27028"</f>
        <v>27028</v>
      </c>
      <c r="M8744" t="s">
        <v>17861</v>
      </c>
      <c r="N8744" t="str">
        <f>"6/30/2015 4:16:00 PM"</f>
        <v>6/30/2015 4:16:00 PM</v>
      </c>
      <c r="O8744" t="s">
        <v>26300</v>
      </c>
      <c r="T8744" t="s">
        <v>26301</v>
      </c>
    </row>
    <row r="8745" spans="1:20" x14ac:dyDescent="0.25">
      <c r="A8745" t="str">
        <f>"3055433"</f>
        <v>3055433</v>
      </c>
      <c r="B8745" t="s">
        <v>26303</v>
      </c>
      <c r="C8745" t="str">
        <f>"8305172"</f>
        <v>8305172</v>
      </c>
      <c r="D8745" t="s">
        <v>26304</v>
      </c>
      <c r="F8745" t="s">
        <v>26305</v>
      </c>
      <c r="I8745" t="s">
        <v>29</v>
      </c>
      <c r="J8745" t="s">
        <v>30</v>
      </c>
      <c r="K8745" t="str">
        <f>"27028"</f>
        <v>27028</v>
      </c>
      <c r="M8745" t="s">
        <v>17861</v>
      </c>
      <c r="N8745" t="str">
        <f>"6/30/2015 4:21:00 PM"</f>
        <v>6/30/2015 4:21:00 PM</v>
      </c>
      <c r="O8745" t="s">
        <v>26304</v>
      </c>
    </row>
    <row r="8746" spans="1:20" x14ac:dyDescent="0.25">
      <c r="A8746" t="str">
        <f>"3038822"</f>
        <v>3038822</v>
      </c>
      <c r="B8746" t="s">
        <v>26306</v>
      </c>
      <c r="C8746" t="str">
        <f>"82524235"</f>
        <v>82524235</v>
      </c>
      <c r="D8746" t="s">
        <v>24744</v>
      </c>
      <c r="F8746" t="s">
        <v>26307</v>
      </c>
      <c r="I8746" t="s">
        <v>29</v>
      </c>
      <c r="J8746" t="s">
        <v>30</v>
      </c>
      <c r="K8746" t="s">
        <v>4303</v>
      </c>
      <c r="M8746" t="s">
        <v>18479</v>
      </c>
      <c r="N8746" t="str">
        <f>"6/19/2015 3:36:00 PM"</f>
        <v>6/19/2015 3:36:00 PM</v>
      </c>
      <c r="O8746" t="s">
        <v>24744</v>
      </c>
    </row>
    <row r="8747" spans="1:20" x14ac:dyDescent="0.25">
      <c r="A8747" t="str">
        <f>"3040472"</f>
        <v>3040472</v>
      </c>
      <c r="B8747" t="s">
        <v>26308</v>
      </c>
      <c r="C8747" t="str">
        <f>"44179500"</f>
        <v>44179500</v>
      </c>
      <c r="D8747" t="s">
        <v>26309</v>
      </c>
      <c r="E8747" t="s">
        <v>26310</v>
      </c>
      <c r="F8747" t="s">
        <v>26311</v>
      </c>
      <c r="I8747" t="s">
        <v>184</v>
      </c>
      <c r="J8747" t="s">
        <v>30</v>
      </c>
      <c r="K8747" t="s">
        <v>2088</v>
      </c>
      <c r="M8747" t="s">
        <v>18479</v>
      </c>
      <c r="N8747" t="str">
        <f>"6/22/2015 11:07:00 AM"</f>
        <v>6/22/2015 11:07:00 AM</v>
      </c>
      <c r="O8747" t="s">
        <v>26309</v>
      </c>
      <c r="T8747" t="s">
        <v>26310</v>
      </c>
    </row>
    <row r="8748" spans="1:20" x14ac:dyDescent="0.25">
      <c r="A8748" t="str">
        <f>"3060381"</f>
        <v>3060381</v>
      </c>
      <c r="B8748" t="s">
        <v>26312</v>
      </c>
      <c r="C8748" t="str">
        <f>"82516969"</f>
        <v>82516969</v>
      </c>
      <c r="D8748" t="s">
        <v>26313</v>
      </c>
      <c r="E8748" t="s">
        <v>26314</v>
      </c>
      <c r="F8748" t="s">
        <v>26315</v>
      </c>
      <c r="I8748" t="s">
        <v>29</v>
      </c>
      <c r="J8748" t="s">
        <v>30</v>
      </c>
      <c r="K8748" t="s">
        <v>477</v>
      </c>
      <c r="M8748" t="s">
        <v>26316</v>
      </c>
      <c r="N8748" t="str">
        <f>"7/8/2015 2:23:00 PM"</f>
        <v>7/8/2015 2:23:00 PM</v>
      </c>
      <c r="O8748" t="s">
        <v>26313</v>
      </c>
      <c r="T8748" t="s">
        <v>26314</v>
      </c>
    </row>
    <row r="8749" spans="1:20" x14ac:dyDescent="0.25">
      <c r="A8749" t="str">
        <f>"3050337"</f>
        <v>3050337</v>
      </c>
      <c r="B8749" t="s">
        <v>26317</v>
      </c>
      <c r="C8749" t="str">
        <f>"8305188"</f>
        <v>8305188</v>
      </c>
      <c r="D8749" t="s">
        <v>14961</v>
      </c>
      <c r="F8749" t="s">
        <v>26318</v>
      </c>
      <c r="I8749" t="s">
        <v>29</v>
      </c>
      <c r="J8749" t="s">
        <v>30</v>
      </c>
      <c r="K8749" t="str">
        <f>"27028"</f>
        <v>27028</v>
      </c>
      <c r="M8749" t="s">
        <v>18479</v>
      </c>
      <c r="N8749" t="str">
        <f>"7/8/2015 3:02:00 PM"</f>
        <v>7/8/2015 3:02:00 PM</v>
      </c>
      <c r="O8749" t="s">
        <v>14961</v>
      </c>
    </row>
    <row r="8750" spans="1:20" x14ac:dyDescent="0.25">
      <c r="A8750" t="str">
        <f>"3069989"</f>
        <v>3069989</v>
      </c>
      <c r="B8750" t="s">
        <v>26319</v>
      </c>
      <c r="C8750" t="str">
        <f>"45712000"</f>
        <v>45712000</v>
      </c>
      <c r="D8750" t="s">
        <v>26320</v>
      </c>
      <c r="F8750" t="s">
        <v>15967</v>
      </c>
      <c r="I8750" t="s">
        <v>9580</v>
      </c>
      <c r="J8750" t="s">
        <v>30</v>
      </c>
      <c r="K8750" t="s">
        <v>26321</v>
      </c>
      <c r="M8750" t="s">
        <v>18479</v>
      </c>
      <c r="N8750" t="str">
        <f>"6/22/2015 2:08:00 PM"</f>
        <v>6/22/2015 2:08:00 PM</v>
      </c>
      <c r="O8750" t="s">
        <v>26320</v>
      </c>
    </row>
    <row r="8751" spans="1:20" x14ac:dyDescent="0.25">
      <c r="A8751" t="str">
        <f>"3051474"</f>
        <v>3051474</v>
      </c>
      <c r="B8751" t="s">
        <v>26322</v>
      </c>
      <c r="C8751" t="str">
        <f>"44851500"</f>
        <v>44851500</v>
      </c>
      <c r="D8751" t="s">
        <v>26323</v>
      </c>
      <c r="E8751" t="s">
        <v>26324</v>
      </c>
      <c r="F8751" t="s">
        <v>26325</v>
      </c>
      <c r="I8751" t="s">
        <v>29</v>
      </c>
      <c r="J8751" t="s">
        <v>30</v>
      </c>
      <c r="K8751" t="s">
        <v>26326</v>
      </c>
      <c r="M8751" t="s">
        <v>18479</v>
      </c>
      <c r="N8751" t="str">
        <f>"6/22/2015 3:01:00 PM"</f>
        <v>6/22/2015 3:01:00 PM</v>
      </c>
      <c r="O8751" t="s">
        <v>26323</v>
      </c>
      <c r="T8751" t="s">
        <v>26324</v>
      </c>
    </row>
    <row r="8752" spans="1:20" x14ac:dyDescent="0.25">
      <c r="A8752" t="str">
        <f>"3069430"</f>
        <v>3069430</v>
      </c>
      <c r="B8752" t="s">
        <v>26327</v>
      </c>
      <c r="C8752" t="str">
        <f>"46852000"</f>
        <v>46852000</v>
      </c>
      <c r="D8752" t="s">
        <v>15797</v>
      </c>
      <c r="F8752" t="s">
        <v>26328</v>
      </c>
      <c r="I8752" t="s">
        <v>29</v>
      </c>
      <c r="J8752" t="s">
        <v>30</v>
      </c>
      <c r="K8752" t="s">
        <v>26329</v>
      </c>
      <c r="M8752" t="s">
        <v>18479</v>
      </c>
      <c r="N8752" t="str">
        <f>"6/22/2015 4:53:00 PM"</f>
        <v>6/22/2015 4:53:00 PM</v>
      </c>
      <c r="O8752" t="s">
        <v>15797</v>
      </c>
    </row>
    <row r="8753" spans="1:20" x14ac:dyDescent="0.25">
      <c r="A8753" t="str">
        <f>"3074664"</f>
        <v>3074664</v>
      </c>
      <c r="B8753" t="s">
        <v>26330</v>
      </c>
      <c r="C8753" t="str">
        <f>"50199100"</f>
        <v>50199100</v>
      </c>
      <c r="D8753" t="s">
        <v>26331</v>
      </c>
      <c r="E8753" t="s">
        <v>26332</v>
      </c>
      <c r="F8753" t="s">
        <v>26333</v>
      </c>
      <c r="I8753" t="s">
        <v>184</v>
      </c>
      <c r="J8753" t="s">
        <v>30</v>
      </c>
      <c r="K8753" t="s">
        <v>185</v>
      </c>
      <c r="M8753" t="s">
        <v>18479</v>
      </c>
      <c r="N8753" t="str">
        <f>"6/23/2015 8:48:00 AM"</f>
        <v>6/23/2015 8:48:00 AM</v>
      </c>
      <c r="O8753" t="s">
        <v>26331</v>
      </c>
      <c r="T8753" t="s">
        <v>26332</v>
      </c>
    </row>
    <row r="8754" spans="1:20" x14ac:dyDescent="0.25">
      <c r="A8754" t="str">
        <f>"3057690"</f>
        <v>3057690</v>
      </c>
      <c r="B8754" t="s">
        <v>26334</v>
      </c>
      <c r="C8754" t="str">
        <f>"52120000"</f>
        <v>52120000</v>
      </c>
      <c r="D8754" t="s">
        <v>26335</v>
      </c>
      <c r="E8754" t="s">
        <v>26336</v>
      </c>
      <c r="F8754" t="s">
        <v>26337</v>
      </c>
      <c r="I8754" t="s">
        <v>184</v>
      </c>
      <c r="J8754" t="s">
        <v>30</v>
      </c>
      <c r="K8754" t="s">
        <v>19873</v>
      </c>
      <c r="M8754" t="s">
        <v>18479</v>
      </c>
      <c r="N8754" t="str">
        <f>"6/23/2015 9:39:00 AM"</f>
        <v>6/23/2015 9:39:00 AM</v>
      </c>
      <c r="O8754" t="s">
        <v>26335</v>
      </c>
      <c r="T8754" t="s">
        <v>26336</v>
      </c>
    </row>
    <row r="8755" spans="1:20" x14ac:dyDescent="0.25">
      <c r="A8755" t="str">
        <f>"3043442"</f>
        <v>3043442</v>
      </c>
      <c r="B8755" t="s">
        <v>26338</v>
      </c>
      <c r="C8755" t="str">
        <f>"8305219"</f>
        <v>8305219</v>
      </c>
      <c r="D8755" t="str">
        <f>"HUTCHINS WAYNE E/NANCY L"</f>
        <v>HUTCHINS WAYNE E/NANCY L</v>
      </c>
      <c r="E8755" t="s">
        <v>26339</v>
      </c>
      <c r="F8755" t="s">
        <v>26340</v>
      </c>
      <c r="I8755" t="s">
        <v>29</v>
      </c>
      <c r="J8755" t="s">
        <v>30</v>
      </c>
      <c r="K8755" t="str">
        <f>"27028"</f>
        <v>27028</v>
      </c>
      <c r="M8755" t="s">
        <v>17861</v>
      </c>
      <c r="N8755" t="str">
        <f>"7/14/2015 9:37:00 AM"</f>
        <v>7/14/2015 9:37:00 AM</v>
      </c>
      <c r="O8755" t="str">
        <f>"HUTCHINS WAYNE E/NANCY L"</f>
        <v>HUTCHINS WAYNE E/NANCY L</v>
      </c>
      <c r="T8755" t="s">
        <v>26339</v>
      </c>
    </row>
    <row r="8756" spans="1:20" x14ac:dyDescent="0.25">
      <c r="A8756" t="str">
        <f>"3062404"</f>
        <v>3062404</v>
      </c>
      <c r="B8756" t="s">
        <v>26341</v>
      </c>
      <c r="C8756" t="str">
        <f>"8305221"</f>
        <v>8305221</v>
      </c>
      <c r="D8756" t="s">
        <v>26342</v>
      </c>
      <c r="E8756" t="s">
        <v>26343</v>
      </c>
      <c r="F8756" t="s">
        <v>26344</v>
      </c>
      <c r="I8756" t="s">
        <v>29</v>
      </c>
      <c r="J8756" t="s">
        <v>30</v>
      </c>
      <c r="K8756" t="str">
        <f>"27028"</f>
        <v>27028</v>
      </c>
      <c r="M8756" t="s">
        <v>17861</v>
      </c>
      <c r="N8756" t="str">
        <f>"7/14/2015 9:47:00 AM"</f>
        <v>7/14/2015 9:47:00 AM</v>
      </c>
      <c r="O8756" t="s">
        <v>26342</v>
      </c>
      <c r="T8756" t="s">
        <v>26343</v>
      </c>
    </row>
    <row r="8757" spans="1:20" x14ac:dyDescent="0.25">
      <c r="A8757" t="str">
        <f>"3038592"</f>
        <v>3038592</v>
      </c>
      <c r="B8757" t="s">
        <v>26345</v>
      </c>
      <c r="C8757" t="str">
        <f>"8353370"</f>
        <v>8353370</v>
      </c>
      <c r="D8757" t="s">
        <v>26163</v>
      </c>
      <c r="E8757" t="s">
        <v>26164</v>
      </c>
      <c r="F8757" t="s">
        <v>26165</v>
      </c>
      <c r="I8757" t="s">
        <v>29</v>
      </c>
      <c r="J8757" t="s">
        <v>30</v>
      </c>
      <c r="K8757" t="s">
        <v>31</v>
      </c>
      <c r="M8757" t="s">
        <v>25733</v>
      </c>
      <c r="N8757" t="str">
        <f>"6/23/2015 9:58:00 AM"</f>
        <v>6/23/2015 9:58:00 AM</v>
      </c>
      <c r="O8757" t="s">
        <v>26163</v>
      </c>
      <c r="T8757" t="s">
        <v>26164</v>
      </c>
    </row>
    <row r="8758" spans="1:20" x14ac:dyDescent="0.25">
      <c r="A8758" t="str">
        <f>"3038371"</f>
        <v>3038371</v>
      </c>
      <c r="B8758" t="s">
        <v>26346</v>
      </c>
      <c r="C8758" t="str">
        <f>"8353370"</f>
        <v>8353370</v>
      </c>
      <c r="D8758" t="s">
        <v>26163</v>
      </c>
      <c r="E8758" t="s">
        <v>26164</v>
      </c>
      <c r="F8758" t="s">
        <v>26165</v>
      </c>
      <c r="I8758" t="s">
        <v>29</v>
      </c>
      <c r="J8758" t="s">
        <v>30</v>
      </c>
      <c r="K8758" t="s">
        <v>31</v>
      </c>
      <c r="M8758" t="s">
        <v>25733</v>
      </c>
      <c r="N8758" t="str">
        <f>"6/23/2015 9:58:00 AM"</f>
        <v>6/23/2015 9:58:00 AM</v>
      </c>
      <c r="O8758" t="s">
        <v>26163</v>
      </c>
      <c r="T8758" t="s">
        <v>26164</v>
      </c>
    </row>
    <row r="8759" spans="1:20" x14ac:dyDescent="0.25">
      <c r="A8759" t="str">
        <f>"3053692"</f>
        <v>3053692</v>
      </c>
      <c r="B8759" t="s">
        <v>26347</v>
      </c>
      <c r="C8759" t="str">
        <f>"51548890"</f>
        <v>51548890</v>
      </c>
      <c r="D8759" t="s">
        <v>26172</v>
      </c>
      <c r="E8759" t="s">
        <v>26173</v>
      </c>
      <c r="F8759" t="s">
        <v>26174</v>
      </c>
      <c r="I8759" t="s">
        <v>29</v>
      </c>
      <c r="J8759" t="s">
        <v>30</v>
      </c>
      <c r="K8759" t="s">
        <v>26175</v>
      </c>
      <c r="M8759" t="s">
        <v>18479</v>
      </c>
      <c r="N8759" t="str">
        <f>"6/23/2015 10:16:00 AM"</f>
        <v>6/23/2015 10:16:00 AM</v>
      </c>
      <c r="O8759" t="s">
        <v>26172</v>
      </c>
      <c r="T8759" t="s">
        <v>26173</v>
      </c>
    </row>
    <row r="8760" spans="1:20" x14ac:dyDescent="0.25">
      <c r="A8760" t="str">
        <f>"3059277"</f>
        <v>3059277</v>
      </c>
      <c r="B8760" t="s">
        <v>26348</v>
      </c>
      <c r="C8760" t="str">
        <f>"72536000"</f>
        <v>72536000</v>
      </c>
      <c r="D8760" t="s">
        <v>26349</v>
      </c>
      <c r="F8760" t="s">
        <v>26350</v>
      </c>
      <c r="I8760" t="s">
        <v>29</v>
      </c>
      <c r="J8760" t="s">
        <v>30</v>
      </c>
      <c r="K8760" t="s">
        <v>31</v>
      </c>
      <c r="M8760" t="s">
        <v>25625</v>
      </c>
      <c r="N8760" t="str">
        <f>"6/23/2015 11:05:00 AM"</f>
        <v>6/23/2015 11:05:00 AM</v>
      </c>
      <c r="O8760" t="s">
        <v>26349</v>
      </c>
    </row>
    <row r="8761" spans="1:20" x14ac:dyDescent="0.25">
      <c r="A8761" t="str">
        <f>"3050356"</f>
        <v>3050356</v>
      </c>
      <c r="B8761" t="s">
        <v>26351</v>
      </c>
      <c r="C8761" t="str">
        <f>"8305246"</f>
        <v>8305246</v>
      </c>
      <c r="D8761" t="s">
        <v>26352</v>
      </c>
      <c r="F8761" t="s">
        <v>26353</v>
      </c>
      <c r="I8761" t="s">
        <v>29</v>
      </c>
      <c r="J8761" t="s">
        <v>30</v>
      </c>
      <c r="K8761" t="str">
        <f>"27028"</f>
        <v>27028</v>
      </c>
      <c r="M8761" t="s">
        <v>17861</v>
      </c>
      <c r="N8761" t="str">
        <f>"7/16/2015 10:08:00 AM"</f>
        <v>7/16/2015 10:08:00 AM</v>
      </c>
      <c r="O8761" t="s">
        <v>26352</v>
      </c>
    </row>
    <row r="8762" spans="1:20" x14ac:dyDescent="0.25">
      <c r="A8762" t="str">
        <f>"3078010"</f>
        <v>3078010</v>
      </c>
      <c r="B8762" t="s">
        <v>26354</v>
      </c>
      <c r="C8762" t="str">
        <f>"8305250"</f>
        <v>8305250</v>
      </c>
      <c r="D8762" t="s">
        <v>26355</v>
      </c>
      <c r="F8762" t="s">
        <v>26356</v>
      </c>
      <c r="I8762" t="s">
        <v>184</v>
      </c>
      <c r="J8762" t="s">
        <v>30</v>
      </c>
      <c r="K8762" t="str">
        <f>"27006"</f>
        <v>27006</v>
      </c>
      <c r="M8762" t="s">
        <v>17861</v>
      </c>
      <c r="N8762" t="str">
        <f>"7/16/2015 11:05:00 AM"</f>
        <v>7/16/2015 11:05:00 AM</v>
      </c>
      <c r="O8762" t="s">
        <v>26355</v>
      </c>
    </row>
    <row r="8763" spans="1:20" x14ac:dyDescent="0.25">
      <c r="A8763" t="str">
        <f>"3056005"</f>
        <v>3056005</v>
      </c>
      <c r="B8763" t="s">
        <v>26357</v>
      </c>
      <c r="C8763" t="str">
        <f>"8305129"</f>
        <v>8305129</v>
      </c>
      <c r="D8763" t="s">
        <v>26358</v>
      </c>
      <c r="F8763" t="s">
        <v>15646</v>
      </c>
      <c r="I8763" t="s">
        <v>29</v>
      </c>
      <c r="J8763" t="s">
        <v>30</v>
      </c>
      <c r="K8763" t="str">
        <f>"27028"</f>
        <v>27028</v>
      </c>
      <c r="M8763" t="s">
        <v>17861</v>
      </c>
      <c r="N8763" t="str">
        <f>"6/23/2015 11:14:00 AM"</f>
        <v>6/23/2015 11:14:00 AM</v>
      </c>
      <c r="O8763" t="s">
        <v>26358</v>
      </c>
    </row>
    <row r="8764" spans="1:20" x14ac:dyDescent="0.25">
      <c r="A8764" t="str">
        <f>"3045562"</f>
        <v>3045562</v>
      </c>
      <c r="B8764" t="s">
        <v>26359</v>
      </c>
      <c r="C8764" t="str">
        <f>"8305130"</f>
        <v>8305130</v>
      </c>
      <c r="D8764" t="s">
        <v>26360</v>
      </c>
      <c r="E8764" t="s">
        <v>26361</v>
      </c>
      <c r="F8764" t="s">
        <v>26362</v>
      </c>
      <c r="I8764" t="s">
        <v>29</v>
      </c>
      <c r="J8764" t="s">
        <v>30</v>
      </c>
      <c r="K8764" t="str">
        <f>"27028"</f>
        <v>27028</v>
      </c>
      <c r="M8764" t="s">
        <v>17861</v>
      </c>
      <c r="N8764" t="str">
        <f>"6/23/2015 11:23:00 AM"</f>
        <v>6/23/2015 11:23:00 AM</v>
      </c>
      <c r="O8764" t="s">
        <v>26360</v>
      </c>
      <c r="T8764" t="s">
        <v>26361</v>
      </c>
    </row>
    <row r="8765" spans="1:20" x14ac:dyDescent="0.25">
      <c r="A8765" t="str">
        <f>"3060776"</f>
        <v>3060776</v>
      </c>
      <c r="B8765" t="s">
        <v>26363</v>
      </c>
      <c r="C8765" t="str">
        <f>"47405500"</f>
        <v>47405500</v>
      </c>
      <c r="D8765" t="s">
        <v>26364</v>
      </c>
      <c r="E8765" t="s">
        <v>26365</v>
      </c>
      <c r="F8765" t="s">
        <v>26366</v>
      </c>
      <c r="I8765" t="s">
        <v>184</v>
      </c>
      <c r="J8765" t="s">
        <v>30</v>
      </c>
      <c r="K8765" t="s">
        <v>819</v>
      </c>
      <c r="M8765" t="s">
        <v>18479</v>
      </c>
      <c r="N8765" t="str">
        <f>"6/23/2015 1:30:00 PM"</f>
        <v>6/23/2015 1:30:00 PM</v>
      </c>
      <c r="O8765" t="s">
        <v>26364</v>
      </c>
      <c r="T8765" t="s">
        <v>26365</v>
      </c>
    </row>
    <row r="8766" spans="1:20" x14ac:dyDescent="0.25">
      <c r="A8766" t="str">
        <f>"3041329"</f>
        <v>3041329</v>
      </c>
      <c r="B8766" t="s">
        <v>26367</v>
      </c>
      <c r="C8766" t="str">
        <f>"8305138"</f>
        <v>8305138</v>
      </c>
      <c r="D8766" t="s">
        <v>26368</v>
      </c>
      <c r="E8766" t="s">
        <v>26369</v>
      </c>
      <c r="F8766" t="s">
        <v>26370</v>
      </c>
      <c r="I8766" t="s">
        <v>2071</v>
      </c>
      <c r="J8766" t="s">
        <v>30</v>
      </c>
      <c r="K8766" t="str">
        <f>"27006"</f>
        <v>27006</v>
      </c>
      <c r="M8766" t="s">
        <v>17861</v>
      </c>
      <c r="N8766" t="str">
        <f>"6/23/2015 3:24:00 PM"</f>
        <v>6/23/2015 3:24:00 PM</v>
      </c>
      <c r="O8766" t="s">
        <v>26368</v>
      </c>
      <c r="T8766" t="s">
        <v>26369</v>
      </c>
    </row>
    <row r="8767" spans="1:20" x14ac:dyDescent="0.25">
      <c r="A8767" t="str">
        <f>"3038755"</f>
        <v>3038755</v>
      </c>
      <c r="B8767" t="s">
        <v>26371</v>
      </c>
      <c r="C8767" t="str">
        <f>"8305139"</f>
        <v>8305139</v>
      </c>
      <c r="D8767" t="s">
        <v>26372</v>
      </c>
      <c r="E8767" t="s">
        <v>26373</v>
      </c>
      <c r="F8767" t="s">
        <v>26374</v>
      </c>
      <c r="I8767" t="s">
        <v>29</v>
      </c>
      <c r="J8767" t="s">
        <v>30</v>
      </c>
      <c r="K8767" t="str">
        <f>"27028"</f>
        <v>27028</v>
      </c>
      <c r="M8767" t="s">
        <v>17861</v>
      </c>
      <c r="N8767" t="str">
        <f>"6/23/2015 3:30:00 PM"</f>
        <v>6/23/2015 3:30:00 PM</v>
      </c>
      <c r="O8767" t="s">
        <v>26372</v>
      </c>
      <c r="T8767" t="s">
        <v>26373</v>
      </c>
    </row>
    <row r="8768" spans="1:20" x14ac:dyDescent="0.25">
      <c r="A8768" t="str">
        <f>"3052858"</f>
        <v>3052858</v>
      </c>
      <c r="B8768" t="s">
        <v>26375</v>
      </c>
      <c r="C8768" t="str">
        <f>"8303512"</f>
        <v>8303512</v>
      </c>
      <c r="D8768" t="s">
        <v>26376</v>
      </c>
      <c r="E8768" t="s">
        <v>26377</v>
      </c>
      <c r="F8768" t="s">
        <v>26378</v>
      </c>
      <c r="I8768" t="s">
        <v>29</v>
      </c>
      <c r="J8768" t="s">
        <v>30</v>
      </c>
      <c r="K8768" t="str">
        <f>"27028"</f>
        <v>27028</v>
      </c>
      <c r="M8768" t="s">
        <v>18479</v>
      </c>
      <c r="N8768" t="str">
        <f>"6/24/2015 9:41:00 AM"</f>
        <v>6/24/2015 9:41:00 AM</v>
      </c>
      <c r="O8768" t="s">
        <v>26376</v>
      </c>
      <c r="T8768" t="s">
        <v>26377</v>
      </c>
    </row>
    <row r="8769" spans="1:20" x14ac:dyDescent="0.25">
      <c r="A8769" t="str">
        <f>"3037331"</f>
        <v>3037331</v>
      </c>
      <c r="B8769" t="s">
        <v>26379</v>
      </c>
      <c r="C8769" t="str">
        <f>"82519750"</f>
        <v>82519750</v>
      </c>
      <c r="D8769" t="s">
        <v>26380</v>
      </c>
      <c r="E8769" t="s">
        <v>26381</v>
      </c>
      <c r="F8769" t="s">
        <v>26382</v>
      </c>
      <c r="I8769" t="s">
        <v>184</v>
      </c>
      <c r="J8769" t="s">
        <v>30</v>
      </c>
      <c r="K8769" t="s">
        <v>840</v>
      </c>
      <c r="M8769" t="s">
        <v>18479</v>
      </c>
      <c r="N8769" t="str">
        <f>"7/22/2015 3:16:00 PM"</f>
        <v>7/22/2015 3:16:00 PM</v>
      </c>
      <c r="O8769" t="s">
        <v>26380</v>
      </c>
      <c r="T8769" t="s">
        <v>26381</v>
      </c>
    </row>
    <row r="8770" spans="1:20" x14ac:dyDescent="0.25">
      <c r="A8770" t="str">
        <f>"3051516"</f>
        <v>3051516</v>
      </c>
      <c r="B8770" t="s">
        <v>26383</v>
      </c>
      <c r="C8770" t="str">
        <f>"8304385"</f>
        <v>8304385</v>
      </c>
      <c r="D8770" t="s">
        <v>26384</v>
      </c>
      <c r="F8770" t="s">
        <v>19510</v>
      </c>
      <c r="I8770" t="s">
        <v>29</v>
      </c>
      <c r="J8770" t="s">
        <v>30</v>
      </c>
      <c r="K8770" t="str">
        <f>"27028"</f>
        <v>27028</v>
      </c>
      <c r="M8770" t="s">
        <v>18479</v>
      </c>
      <c r="N8770" t="str">
        <f>"6/24/2015 11:16:00 AM"</f>
        <v>6/24/2015 11:16:00 AM</v>
      </c>
      <c r="O8770" t="s">
        <v>26384</v>
      </c>
    </row>
    <row r="8771" spans="1:20" x14ac:dyDescent="0.25">
      <c r="A8771" t="str">
        <f>"3059708"</f>
        <v>3059708</v>
      </c>
      <c r="B8771" t="s">
        <v>26385</v>
      </c>
      <c r="C8771" t="str">
        <f>"82515141"</f>
        <v>82515141</v>
      </c>
      <c r="D8771" t="s">
        <v>26386</v>
      </c>
      <c r="E8771" t="s">
        <v>26387</v>
      </c>
      <c r="F8771" t="s">
        <v>26388</v>
      </c>
      <c r="I8771" t="s">
        <v>29</v>
      </c>
      <c r="J8771" t="s">
        <v>30</v>
      </c>
      <c r="K8771" t="s">
        <v>8067</v>
      </c>
      <c r="M8771" t="s">
        <v>25625</v>
      </c>
      <c r="N8771" t="str">
        <f>"6/24/2015 12:13:00 PM"</f>
        <v>6/24/2015 12:13:00 PM</v>
      </c>
      <c r="O8771" t="s">
        <v>26386</v>
      </c>
      <c r="T8771" t="s">
        <v>26387</v>
      </c>
    </row>
    <row r="8772" spans="1:20" x14ac:dyDescent="0.25">
      <c r="A8772" t="str">
        <f>"3062993"</f>
        <v>3062993</v>
      </c>
      <c r="B8772" t="s">
        <v>26389</v>
      </c>
      <c r="C8772" t="str">
        <f>"8303310"</f>
        <v>8303310</v>
      </c>
      <c r="D8772" t="s">
        <v>26390</v>
      </c>
      <c r="F8772" t="s">
        <v>26391</v>
      </c>
      <c r="I8772" t="s">
        <v>29</v>
      </c>
      <c r="J8772" t="s">
        <v>30</v>
      </c>
      <c r="K8772" t="str">
        <f>"27028"</f>
        <v>27028</v>
      </c>
      <c r="M8772" t="s">
        <v>18479</v>
      </c>
      <c r="N8772" t="str">
        <f>"6/24/2015 3:47:00 PM"</f>
        <v>6/24/2015 3:47:00 PM</v>
      </c>
      <c r="O8772" t="s">
        <v>26390</v>
      </c>
    </row>
    <row r="8773" spans="1:20" x14ac:dyDescent="0.25">
      <c r="A8773" t="str">
        <f>"3046243"</f>
        <v>3046243</v>
      </c>
      <c r="B8773" t="s">
        <v>26392</v>
      </c>
      <c r="C8773" t="str">
        <f>"8305120"</f>
        <v>8305120</v>
      </c>
      <c r="D8773" t="s">
        <v>8228</v>
      </c>
      <c r="E8773" t="s">
        <v>26393</v>
      </c>
      <c r="F8773" t="s">
        <v>8229</v>
      </c>
      <c r="I8773" t="s">
        <v>29</v>
      </c>
      <c r="J8773" t="s">
        <v>30</v>
      </c>
      <c r="K8773" t="str">
        <f>"27028"</f>
        <v>27028</v>
      </c>
      <c r="M8773" t="s">
        <v>17861</v>
      </c>
      <c r="N8773" t="str">
        <f>"6/15/2015 4:10:00 PM"</f>
        <v>6/15/2015 4:10:00 PM</v>
      </c>
      <c r="O8773" t="s">
        <v>8228</v>
      </c>
      <c r="T8773" t="s">
        <v>26393</v>
      </c>
    </row>
    <row r="8774" spans="1:20" x14ac:dyDescent="0.25">
      <c r="A8774" t="str">
        <f>"3040985"</f>
        <v>3040985</v>
      </c>
      <c r="B8774" t="s">
        <v>26394</v>
      </c>
      <c r="C8774" t="str">
        <f>"8305146"</f>
        <v>8305146</v>
      </c>
      <c r="D8774" t="s">
        <v>26395</v>
      </c>
      <c r="E8774" t="s">
        <v>26396</v>
      </c>
      <c r="F8774" t="s">
        <v>26397</v>
      </c>
      <c r="I8774" t="s">
        <v>184</v>
      </c>
      <c r="J8774" t="s">
        <v>30</v>
      </c>
      <c r="K8774" t="str">
        <f t="shared" ref="K8774:K8779" si="136">"27006"</f>
        <v>27006</v>
      </c>
      <c r="M8774" t="s">
        <v>17861</v>
      </c>
      <c r="N8774" t="str">
        <f>"6/25/2015 1:16:00 PM"</f>
        <v>6/25/2015 1:16:00 PM</v>
      </c>
      <c r="O8774" t="s">
        <v>26395</v>
      </c>
      <c r="T8774" t="s">
        <v>26396</v>
      </c>
    </row>
    <row r="8775" spans="1:20" x14ac:dyDescent="0.25">
      <c r="A8775" t="str">
        <f>"3058080"</f>
        <v>3058080</v>
      </c>
      <c r="B8775" t="s">
        <v>26398</v>
      </c>
      <c r="C8775" t="str">
        <f>"8305269"</f>
        <v>8305269</v>
      </c>
      <c r="D8775" t="s">
        <v>26399</v>
      </c>
      <c r="E8775" t="s">
        <v>26400</v>
      </c>
      <c r="F8775" t="s">
        <v>26401</v>
      </c>
      <c r="I8775" t="s">
        <v>184</v>
      </c>
      <c r="J8775" t="s">
        <v>30</v>
      </c>
      <c r="K8775" t="str">
        <f t="shared" si="136"/>
        <v>27006</v>
      </c>
      <c r="M8775" t="s">
        <v>17861</v>
      </c>
      <c r="N8775" t="str">
        <f>"7/27/2015 2:54:00 PM"</f>
        <v>7/27/2015 2:54:00 PM</v>
      </c>
      <c r="O8775" t="s">
        <v>26399</v>
      </c>
      <c r="T8775" t="s">
        <v>26400</v>
      </c>
    </row>
    <row r="8776" spans="1:20" x14ac:dyDescent="0.25">
      <c r="A8776" t="str">
        <f>"3040676"</f>
        <v>3040676</v>
      </c>
      <c r="B8776" t="s">
        <v>26402</v>
      </c>
      <c r="C8776" t="str">
        <f>"8305272"</f>
        <v>8305272</v>
      </c>
      <c r="D8776" t="s">
        <v>26403</v>
      </c>
      <c r="E8776" t="s">
        <v>26404</v>
      </c>
      <c r="F8776" t="s">
        <v>3052</v>
      </c>
      <c r="I8776" t="s">
        <v>184</v>
      </c>
      <c r="J8776" t="s">
        <v>30</v>
      </c>
      <c r="K8776" t="str">
        <f t="shared" si="136"/>
        <v>27006</v>
      </c>
      <c r="M8776" t="s">
        <v>17861</v>
      </c>
      <c r="N8776" t="str">
        <f>"7/27/2015 3:28:00 PM"</f>
        <v>7/27/2015 3:28:00 PM</v>
      </c>
      <c r="O8776" t="s">
        <v>26403</v>
      </c>
      <c r="T8776" t="s">
        <v>26404</v>
      </c>
    </row>
    <row r="8777" spans="1:20" x14ac:dyDescent="0.25">
      <c r="A8777" t="str">
        <f>"3042226"</f>
        <v>3042226</v>
      </c>
      <c r="B8777" t="s">
        <v>26405</v>
      </c>
      <c r="C8777" t="str">
        <f>"8305272"</f>
        <v>8305272</v>
      </c>
      <c r="D8777" t="s">
        <v>26403</v>
      </c>
      <c r="E8777" t="s">
        <v>26404</v>
      </c>
      <c r="F8777" t="s">
        <v>3052</v>
      </c>
      <c r="I8777" t="s">
        <v>184</v>
      </c>
      <c r="J8777" t="s">
        <v>30</v>
      </c>
      <c r="K8777" t="str">
        <f t="shared" si="136"/>
        <v>27006</v>
      </c>
      <c r="M8777" t="s">
        <v>17861</v>
      </c>
      <c r="N8777" t="str">
        <f>"7/27/2015 3:28:00 PM"</f>
        <v>7/27/2015 3:28:00 PM</v>
      </c>
      <c r="O8777" t="s">
        <v>26403</v>
      </c>
      <c r="T8777" t="s">
        <v>26404</v>
      </c>
    </row>
    <row r="8778" spans="1:20" x14ac:dyDescent="0.25">
      <c r="A8778" t="str">
        <f>"3063940"</f>
        <v>3063940</v>
      </c>
      <c r="B8778" t="s">
        <v>26406</v>
      </c>
      <c r="C8778" t="str">
        <f>"8305272"</f>
        <v>8305272</v>
      </c>
      <c r="D8778" t="s">
        <v>26403</v>
      </c>
      <c r="E8778" t="s">
        <v>26404</v>
      </c>
      <c r="F8778" t="s">
        <v>3052</v>
      </c>
      <c r="I8778" t="s">
        <v>184</v>
      </c>
      <c r="J8778" t="s">
        <v>30</v>
      </c>
      <c r="K8778" t="str">
        <f t="shared" si="136"/>
        <v>27006</v>
      </c>
      <c r="M8778" t="s">
        <v>17861</v>
      </c>
      <c r="N8778" t="str">
        <f>"7/27/2015 3:28:00 PM"</f>
        <v>7/27/2015 3:28:00 PM</v>
      </c>
      <c r="O8778" t="s">
        <v>26403</v>
      </c>
      <c r="T8778" t="s">
        <v>26404</v>
      </c>
    </row>
    <row r="8779" spans="1:20" x14ac:dyDescent="0.25">
      <c r="A8779" t="str">
        <f>"3044393"</f>
        <v>3044393</v>
      </c>
      <c r="B8779" t="s">
        <v>26407</v>
      </c>
      <c r="C8779" t="str">
        <f>"8305273"</f>
        <v>8305273</v>
      </c>
      <c r="D8779" t="s">
        <v>26408</v>
      </c>
      <c r="E8779" t="s">
        <v>26409</v>
      </c>
      <c r="F8779" t="s">
        <v>26410</v>
      </c>
      <c r="I8779" t="s">
        <v>184</v>
      </c>
      <c r="J8779" t="s">
        <v>30</v>
      </c>
      <c r="K8779" t="str">
        <f t="shared" si="136"/>
        <v>27006</v>
      </c>
      <c r="M8779" t="s">
        <v>17861</v>
      </c>
      <c r="N8779" t="str">
        <f>"7/27/2015 3:40:00 PM"</f>
        <v>7/27/2015 3:40:00 PM</v>
      </c>
      <c r="O8779" t="s">
        <v>26408</v>
      </c>
      <c r="T8779" t="s">
        <v>26409</v>
      </c>
    </row>
    <row r="8780" spans="1:20" x14ac:dyDescent="0.25">
      <c r="A8780" t="str">
        <f>"3059950"</f>
        <v>3059950</v>
      </c>
      <c r="B8780" t="s">
        <v>26411</v>
      </c>
      <c r="C8780" t="str">
        <f>"8305274"</f>
        <v>8305274</v>
      </c>
      <c r="D8780" t="s">
        <v>26412</v>
      </c>
      <c r="F8780" t="s">
        <v>26413</v>
      </c>
      <c r="I8780" t="s">
        <v>29</v>
      </c>
      <c r="J8780" t="s">
        <v>30</v>
      </c>
      <c r="K8780" t="str">
        <f>"27028"</f>
        <v>27028</v>
      </c>
      <c r="M8780" t="s">
        <v>17861</v>
      </c>
      <c r="N8780" t="str">
        <f>"7/27/2015 3:44:00 PM"</f>
        <v>7/27/2015 3:44:00 PM</v>
      </c>
      <c r="O8780" t="s">
        <v>26412</v>
      </c>
    </row>
    <row r="8781" spans="1:20" x14ac:dyDescent="0.25">
      <c r="A8781" t="str">
        <f>"3045004"</f>
        <v>3045004</v>
      </c>
      <c r="B8781" t="s">
        <v>26414</v>
      </c>
      <c r="C8781" t="str">
        <f>"8305275"</f>
        <v>8305275</v>
      </c>
      <c r="D8781" t="s">
        <v>26415</v>
      </c>
      <c r="E8781" t="s">
        <v>26416</v>
      </c>
      <c r="F8781" t="s">
        <v>26417</v>
      </c>
      <c r="I8781" t="s">
        <v>21225</v>
      </c>
      <c r="J8781" t="s">
        <v>30</v>
      </c>
      <c r="K8781" t="str">
        <f>"27028"</f>
        <v>27028</v>
      </c>
      <c r="M8781" t="s">
        <v>17861</v>
      </c>
      <c r="N8781" t="str">
        <f>"7/27/2015 3:49:00 PM"</f>
        <v>7/27/2015 3:49:00 PM</v>
      </c>
      <c r="O8781" t="s">
        <v>26415</v>
      </c>
      <c r="T8781" t="s">
        <v>26416</v>
      </c>
    </row>
    <row r="8782" spans="1:20" x14ac:dyDescent="0.25">
      <c r="A8782" t="str">
        <f>"3045335"</f>
        <v>3045335</v>
      </c>
      <c r="B8782" t="s">
        <v>26418</v>
      </c>
      <c r="C8782" t="str">
        <f>"8305275"</f>
        <v>8305275</v>
      </c>
      <c r="D8782" t="s">
        <v>26415</v>
      </c>
      <c r="E8782" t="s">
        <v>26416</v>
      </c>
      <c r="F8782" t="s">
        <v>26417</v>
      </c>
      <c r="I8782" t="s">
        <v>21225</v>
      </c>
      <c r="J8782" t="s">
        <v>30</v>
      </c>
      <c r="K8782" t="str">
        <f>"27028"</f>
        <v>27028</v>
      </c>
      <c r="M8782" t="s">
        <v>17861</v>
      </c>
      <c r="N8782" t="str">
        <f>"7/27/2015 3:49:00 PM"</f>
        <v>7/27/2015 3:49:00 PM</v>
      </c>
      <c r="O8782" t="s">
        <v>26415</v>
      </c>
      <c r="T8782" t="s">
        <v>26416</v>
      </c>
    </row>
    <row r="8783" spans="1:20" x14ac:dyDescent="0.25">
      <c r="A8783" t="str">
        <f>"3059959"</f>
        <v>3059959</v>
      </c>
      <c r="B8783" t="s">
        <v>26419</v>
      </c>
      <c r="C8783" t="str">
        <f>"8305162"</f>
        <v>8305162</v>
      </c>
      <c r="D8783" t="s">
        <v>26273</v>
      </c>
      <c r="F8783" t="s">
        <v>26274</v>
      </c>
      <c r="I8783" t="s">
        <v>184</v>
      </c>
      <c r="J8783" t="s">
        <v>30</v>
      </c>
      <c r="K8783" t="str">
        <f>"27006"</f>
        <v>27006</v>
      </c>
      <c r="M8783" t="s">
        <v>17861</v>
      </c>
      <c r="N8783" t="str">
        <f>"6/30/2015 2:13:00 PM"</f>
        <v>6/30/2015 2:13:00 PM</v>
      </c>
      <c r="O8783" t="s">
        <v>26273</v>
      </c>
    </row>
    <row r="8784" spans="1:20" x14ac:dyDescent="0.25">
      <c r="A8784" t="str">
        <f>"3038900"</f>
        <v>3038900</v>
      </c>
      <c r="B8784" t="s">
        <v>26420</v>
      </c>
      <c r="C8784" t="str">
        <f>"82526216"</f>
        <v>82526216</v>
      </c>
      <c r="D8784" t="s">
        <v>26421</v>
      </c>
      <c r="E8784" t="s">
        <v>26422</v>
      </c>
      <c r="F8784" t="s">
        <v>26423</v>
      </c>
      <c r="I8784" t="s">
        <v>29</v>
      </c>
      <c r="J8784" t="s">
        <v>30</v>
      </c>
      <c r="K8784" t="s">
        <v>31</v>
      </c>
      <c r="M8784" t="s">
        <v>17861</v>
      </c>
      <c r="N8784" t="str">
        <f>"7/2/2015 10:21:00 AM"</f>
        <v>7/2/2015 10:21:00 AM</v>
      </c>
      <c r="O8784" t="s">
        <v>26421</v>
      </c>
      <c r="T8784" t="s">
        <v>26422</v>
      </c>
    </row>
    <row r="8785" spans="1:20" x14ac:dyDescent="0.25">
      <c r="A8785" t="str">
        <f>"3041237"</f>
        <v>3041237</v>
      </c>
      <c r="B8785" t="s">
        <v>26424</v>
      </c>
      <c r="C8785" t="str">
        <f>"8305279"</f>
        <v>8305279</v>
      </c>
      <c r="D8785" t="s">
        <v>26425</v>
      </c>
      <c r="E8785" t="s">
        <v>26426</v>
      </c>
      <c r="F8785" t="s">
        <v>26427</v>
      </c>
      <c r="I8785" t="s">
        <v>2071</v>
      </c>
      <c r="J8785" t="s">
        <v>30</v>
      </c>
      <c r="K8785" t="str">
        <f>"27006"</f>
        <v>27006</v>
      </c>
      <c r="M8785" t="s">
        <v>17861</v>
      </c>
      <c r="N8785" t="str">
        <f>"7/27/2015 4:42:00 PM"</f>
        <v>7/27/2015 4:42:00 PM</v>
      </c>
      <c r="O8785" t="s">
        <v>26425</v>
      </c>
      <c r="T8785" t="s">
        <v>26426</v>
      </c>
    </row>
    <row r="8786" spans="1:20" x14ac:dyDescent="0.25">
      <c r="A8786" t="str">
        <f>"3041226"</f>
        <v>3041226</v>
      </c>
      <c r="B8786" t="s">
        <v>26428</v>
      </c>
      <c r="C8786" t="str">
        <f>"8305280"</f>
        <v>8305280</v>
      </c>
      <c r="D8786" t="s">
        <v>26429</v>
      </c>
      <c r="E8786" t="s">
        <v>26430</v>
      </c>
      <c r="F8786" t="s">
        <v>26431</v>
      </c>
      <c r="I8786" t="s">
        <v>2071</v>
      </c>
      <c r="J8786" t="s">
        <v>30</v>
      </c>
      <c r="K8786" t="str">
        <f>"27006"</f>
        <v>27006</v>
      </c>
      <c r="M8786" t="s">
        <v>17861</v>
      </c>
      <c r="N8786" t="str">
        <f>"7/27/2015 4:44:00 PM"</f>
        <v>7/27/2015 4:44:00 PM</v>
      </c>
      <c r="O8786" t="s">
        <v>26429</v>
      </c>
      <c r="T8786" t="s">
        <v>26430</v>
      </c>
    </row>
    <row r="8787" spans="1:20" x14ac:dyDescent="0.25">
      <c r="A8787" t="str">
        <f>"3041361"</f>
        <v>3041361</v>
      </c>
      <c r="B8787" t="s">
        <v>26432</v>
      </c>
      <c r="C8787" t="str">
        <f>"8305282"</f>
        <v>8305282</v>
      </c>
      <c r="D8787" t="s">
        <v>26433</v>
      </c>
      <c r="E8787" t="s">
        <v>26434</v>
      </c>
      <c r="F8787" t="s">
        <v>26435</v>
      </c>
      <c r="I8787" t="s">
        <v>2071</v>
      </c>
      <c r="J8787" t="s">
        <v>30</v>
      </c>
      <c r="K8787" t="str">
        <f>"27006"</f>
        <v>27006</v>
      </c>
      <c r="M8787" t="s">
        <v>17861</v>
      </c>
      <c r="N8787" t="str">
        <f>"7/27/2015 4:51:00 PM"</f>
        <v>7/27/2015 4:51:00 PM</v>
      </c>
      <c r="O8787" t="s">
        <v>26433</v>
      </c>
      <c r="T8787" t="s">
        <v>26434</v>
      </c>
    </row>
    <row r="8788" spans="1:20" x14ac:dyDescent="0.25">
      <c r="A8788" t="str">
        <f>"3039360"</f>
        <v>3039360</v>
      </c>
      <c r="B8788" t="s">
        <v>26436</v>
      </c>
      <c r="C8788" t="str">
        <f>"8305283"</f>
        <v>8305283</v>
      </c>
      <c r="D8788" t="str">
        <f>"KEATON JEREMY L/KIMBERLY R"</f>
        <v>KEATON JEREMY L/KIMBERLY R</v>
      </c>
      <c r="E8788" t="str">
        <f>"WILSON JENAY K/CHRISTOPHER M"</f>
        <v>WILSON JENAY K/CHRISTOPHER M</v>
      </c>
      <c r="F8788" t="s">
        <v>26437</v>
      </c>
      <c r="I8788" t="s">
        <v>29</v>
      </c>
      <c r="J8788" t="s">
        <v>30</v>
      </c>
      <c r="K8788" t="str">
        <f>"27028"</f>
        <v>27028</v>
      </c>
      <c r="M8788" t="s">
        <v>17861</v>
      </c>
      <c r="N8788" t="str">
        <f>"7/28/2015 9:42:00 AM"</f>
        <v>7/28/2015 9:42:00 AM</v>
      </c>
      <c r="O8788" t="str">
        <f>"KEATON JEREMY L/KIMBERLY R"</f>
        <v>KEATON JEREMY L/KIMBERLY R</v>
      </c>
      <c r="T8788" t="str">
        <f>"WILSON JENAY K/CHRISTOPHER M"</f>
        <v>WILSON JENAY K/CHRISTOPHER M</v>
      </c>
    </row>
    <row r="8789" spans="1:20" x14ac:dyDescent="0.25">
      <c r="A8789" t="str">
        <f>"3063009"</f>
        <v>3063009</v>
      </c>
      <c r="B8789" t="s">
        <v>26438</v>
      </c>
      <c r="C8789" t="str">
        <f>"8305284"</f>
        <v>8305284</v>
      </c>
      <c r="D8789" t="s">
        <v>26439</v>
      </c>
      <c r="E8789" t="s">
        <v>26440</v>
      </c>
      <c r="F8789" t="s">
        <v>26441</v>
      </c>
      <c r="I8789" t="s">
        <v>184</v>
      </c>
      <c r="J8789" t="s">
        <v>30</v>
      </c>
      <c r="K8789" t="str">
        <f>"27006"</f>
        <v>27006</v>
      </c>
      <c r="M8789" t="s">
        <v>17861</v>
      </c>
      <c r="N8789" t="str">
        <f>"7/28/2015 9:46:00 AM"</f>
        <v>7/28/2015 9:46:00 AM</v>
      </c>
      <c r="O8789" t="s">
        <v>26439</v>
      </c>
      <c r="T8789" t="s">
        <v>26440</v>
      </c>
    </row>
    <row r="8790" spans="1:20" x14ac:dyDescent="0.25">
      <c r="A8790" t="str">
        <f>"3056017"</f>
        <v>3056017</v>
      </c>
      <c r="B8790" t="s">
        <v>26442</v>
      </c>
      <c r="C8790" t="str">
        <f>"11196000"</f>
        <v>11196000</v>
      </c>
      <c r="D8790" t="s">
        <v>26443</v>
      </c>
      <c r="E8790" t="s">
        <v>26444</v>
      </c>
      <c r="F8790" t="s">
        <v>26445</v>
      </c>
      <c r="I8790" t="s">
        <v>9580</v>
      </c>
      <c r="J8790" t="s">
        <v>30</v>
      </c>
      <c r="K8790" t="s">
        <v>9581</v>
      </c>
      <c r="M8790" t="s">
        <v>25625</v>
      </c>
      <c r="N8790" t="str">
        <f>"7/7/2015 3:58:00 PM"</f>
        <v>7/7/2015 3:58:00 PM</v>
      </c>
      <c r="O8790" t="s">
        <v>26443</v>
      </c>
      <c r="T8790" t="s">
        <v>26444</v>
      </c>
    </row>
    <row r="8791" spans="1:20" x14ac:dyDescent="0.25">
      <c r="A8791" t="str">
        <f>"3044101"</f>
        <v>3044101</v>
      </c>
      <c r="B8791" t="s">
        <v>26446</v>
      </c>
      <c r="C8791" t="str">
        <f>"8305197"</f>
        <v>8305197</v>
      </c>
      <c r="D8791" t="s">
        <v>26447</v>
      </c>
      <c r="E8791" t="s">
        <v>26448</v>
      </c>
      <c r="F8791" t="s">
        <v>26449</v>
      </c>
      <c r="I8791" t="s">
        <v>184</v>
      </c>
      <c r="J8791" t="s">
        <v>30</v>
      </c>
      <c r="K8791" t="str">
        <f>"27006"</f>
        <v>27006</v>
      </c>
      <c r="M8791" t="s">
        <v>17861</v>
      </c>
      <c r="N8791" t="str">
        <f>"7/13/2015 10:16:00 AM"</f>
        <v>7/13/2015 10:16:00 AM</v>
      </c>
      <c r="O8791" t="s">
        <v>26447</v>
      </c>
      <c r="T8791" t="s">
        <v>26448</v>
      </c>
    </row>
    <row r="8792" spans="1:20" x14ac:dyDescent="0.25">
      <c r="A8792" t="str">
        <f>"3053890"</f>
        <v>3053890</v>
      </c>
      <c r="B8792" t="s">
        <v>26450</v>
      </c>
      <c r="C8792" t="str">
        <f>"8305285"</f>
        <v>8305285</v>
      </c>
      <c r="D8792" t="s">
        <v>26451</v>
      </c>
      <c r="F8792" t="s">
        <v>26452</v>
      </c>
      <c r="I8792" t="s">
        <v>29</v>
      </c>
      <c r="J8792" t="s">
        <v>30</v>
      </c>
      <c r="K8792" t="str">
        <f>"27028"</f>
        <v>27028</v>
      </c>
      <c r="M8792" t="s">
        <v>17861</v>
      </c>
      <c r="N8792" t="str">
        <f>"7/28/2015 10:34:00 AM"</f>
        <v>7/28/2015 10:34:00 AM</v>
      </c>
      <c r="O8792" t="s">
        <v>26451</v>
      </c>
    </row>
    <row r="8793" spans="1:20" x14ac:dyDescent="0.25">
      <c r="A8793" t="str">
        <f>"3053858"</f>
        <v>3053858</v>
      </c>
      <c r="B8793" t="s">
        <v>26453</v>
      </c>
      <c r="C8793" t="str">
        <f>"8305285"</f>
        <v>8305285</v>
      </c>
      <c r="D8793" t="s">
        <v>26451</v>
      </c>
      <c r="F8793" t="s">
        <v>26452</v>
      </c>
      <c r="I8793" t="s">
        <v>29</v>
      </c>
      <c r="J8793" t="s">
        <v>30</v>
      </c>
      <c r="K8793" t="str">
        <f>"27028"</f>
        <v>27028</v>
      </c>
      <c r="M8793" t="s">
        <v>17861</v>
      </c>
      <c r="N8793" t="str">
        <f>"7/28/2015 10:34:00 AM"</f>
        <v>7/28/2015 10:34:00 AM</v>
      </c>
      <c r="O8793" t="s">
        <v>26451</v>
      </c>
    </row>
    <row r="8794" spans="1:20" x14ac:dyDescent="0.25">
      <c r="A8794" t="str">
        <f>"3061145"</f>
        <v>3061145</v>
      </c>
      <c r="B8794" t="s">
        <v>26454</v>
      </c>
      <c r="C8794" t="str">
        <f>"8305286"</f>
        <v>8305286</v>
      </c>
      <c r="D8794" t="s">
        <v>26455</v>
      </c>
      <c r="F8794" t="s">
        <v>26456</v>
      </c>
      <c r="I8794" t="s">
        <v>2071</v>
      </c>
      <c r="J8794" t="s">
        <v>30</v>
      </c>
      <c r="K8794" t="str">
        <f>"27006"</f>
        <v>27006</v>
      </c>
      <c r="M8794" t="s">
        <v>17861</v>
      </c>
      <c r="N8794" t="str">
        <f>"7/28/2015 11:17:00 AM"</f>
        <v>7/28/2015 11:17:00 AM</v>
      </c>
      <c r="O8794" t="s">
        <v>26455</v>
      </c>
    </row>
    <row r="8795" spans="1:20" x14ac:dyDescent="0.25">
      <c r="A8795" t="str">
        <f>"3060664"</f>
        <v>3060664</v>
      </c>
      <c r="B8795" t="s">
        <v>26457</v>
      </c>
      <c r="C8795" t="str">
        <f>"8305287"</f>
        <v>8305287</v>
      </c>
      <c r="D8795" t="s">
        <v>26458</v>
      </c>
      <c r="E8795" t="s">
        <v>26459</v>
      </c>
      <c r="F8795" t="s">
        <v>26460</v>
      </c>
      <c r="I8795" t="s">
        <v>2071</v>
      </c>
      <c r="J8795" t="s">
        <v>30</v>
      </c>
      <c r="K8795" t="str">
        <f>"27006"</f>
        <v>27006</v>
      </c>
      <c r="M8795" t="s">
        <v>17861</v>
      </c>
      <c r="N8795" t="str">
        <f>"7/28/2015 11:31:00 AM"</f>
        <v>7/28/2015 11:31:00 AM</v>
      </c>
      <c r="O8795" t="s">
        <v>26458</v>
      </c>
      <c r="T8795" t="s">
        <v>26459</v>
      </c>
    </row>
    <row r="8796" spans="1:20" x14ac:dyDescent="0.25">
      <c r="A8796" t="str">
        <f>"3058302"</f>
        <v>3058302</v>
      </c>
      <c r="B8796" t="s">
        <v>26461</v>
      </c>
      <c r="C8796" t="str">
        <f>"8305290"</f>
        <v>8305290</v>
      </c>
      <c r="D8796" t="s">
        <v>26462</v>
      </c>
      <c r="E8796" t="s">
        <v>26463</v>
      </c>
      <c r="F8796" t="s">
        <v>26464</v>
      </c>
      <c r="I8796" t="s">
        <v>29</v>
      </c>
      <c r="J8796" t="s">
        <v>30</v>
      </c>
      <c r="K8796" t="str">
        <f>"27028"</f>
        <v>27028</v>
      </c>
      <c r="M8796" t="s">
        <v>17861</v>
      </c>
      <c r="N8796" t="str">
        <f>"7/28/2015 1:12:00 PM"</f>
        <v>7/28/2015 1:12:00 PM</v>
      </c>
      <c r="O8796" t="s">
        <v>26462</v>
      </c>
      <c r="T8796" t="s">
        <v>26463</v>
      </c>
    </row>
    <row r="8797" spans="1:20" x14ac:dyDescent="0.25">
      <c r="A8797" t="str">
        <f>"3061764"</f>
        <v>3061764</v>
      </c>
      <c r="B8797" t="s">
        <v>26465</v>
      </c>
      <c r="C8797" t="str">
        <f>"8305198"</f>
        <v>8305198</v>
      </c>
      <c r="D8797" t="s">
        <v>26466</v>
      </c>
      <c r="E8797" t="s">
        <v>26467</v>
      </c>
      <c r="F8797" t="s">
        <v>26468</v>
      </c>
      <c r="I8797" t="s">
        <v>2071</v>
      </c>
      <c r="J8797" t="s">
        <v>30</v>
      </c>
      <c r="K8797" t="str">
        <f>"27006"</f>
        <v>27006</v>
      </c>
      <c r="M8797" t="s">
        <v>17861</v>
      </c>
      <c r="N8797" t="str">
        <f>"7/13/2015 10:20:00 AM"</f>
        <v>7/13/2015 10:20:00 AM</v>
      </c>
      <c r="O8797" t="s">
        <v>26466</v>
      </c>
      <c r="T8797" t="s">
        <v>26467</v>
      </c>
    </row>
    <row r="8798" spans="1:20" x14ac:dyDescent="0.25">
      <c r="A8798" t="str">
        <f>"3059258"</f>
        <v>3059258</v>
      </c>
      <c r="B8798" t="s">
        <v>26469</v>
      </c>
      <c r="C8798" t="str">
        <f>"8305199"</f>
        <v>8305199</v>
      </c>
      <c r="D8798" t="s">
        <v>26470</v>
      </c>
      <c r="E8798" t="s">
        <v>26471</v>
      </c>
      <c r="F8798" t="s">
        <v>26472</v>
      </c>
      <c r="I8798" t="s">
        <v>29</v>
      </c>
      <c r="J8798" t="s">
        <v>30</v>
      </c>
      <c r="K8798" t="str">
        <f>"27028"</f>
        <v>27028</v>
      </c>
      <c r="M8798" t="s">
        <v>17861</v>
      </c>
      <c r="N8798" t="str">
        <f>"7/13/2015 10:25:00 AM"</f>
        <v>7/13/2015 10:25:00 AM</v>
      </c>
      <c r="O8798" t="s">
        <v>26470</v>
      </c>
      <c r="T8798" t="s">
        <v>26471</v>
      </c>
    </row>
    <row r="8799" spans="1:20" x14ac:dyDescent="0.25">
      <c r="A8799" t="str">
        <f>"3044280"</f>
        <v>3044280</v>
      </c>
      <c r="B8799" t="s">
        <v>26473</v>
      </c>
      <c r="C8799" t="str">
        <f>"8305200"</f>
        <v>8305200</v>
      </c>
      <c r="D8799" t="s">
        <v>2839</v>
      </c>
      <c r="E8799" t="s">
        <v>26474</v>
      </c>
      <c r="F8799" t="s">
        <v>26475</v>
      </c>
      <c r="I8799" t="s">
        <v>184</v>
      </c>
      <c r="J8799" t="s">
        <v>30</v>
      </c>
      <c r="K8799" t="str">
        <f>"27006"</f>
        <v>27006</v>
      </c>
      <c r="M8799" t="s">
        <v>17861</v>
      </c>
      <c r="N8799" t="str">
        <f>"7/13/2015 11:24:00 AM"</f>
        <v>7/13/2015 11:24:00 AM</v>
      </c>
      <c r="O8799" t="s">
        <v>2839</v>
      </c>
      <c r="T8799" t="s">
        <v>26474</v>
      </c>
    </row>
    <row r="8800" spans="1:20" x14ac:dyDescent="0.25">
      <c r="A8800" t="str">
        <f>"3059639"</f>
        <v>3059639</v>
      </c>
      <c r="B8800" t="s">
        <v>26476</v>
      </c>
      <c r="C8800" t="str">
        <f>"8305298"</f>
        <v>8305298</v>
      </c>
      <c r="D8800" t="s">
        <v>26477</v>
      </c>
      <c r="E8800" t="s">
        <v>26478</v>
      </c>
      <c r="F8800" t="s">
        <v>26479</v>
      </c>
      <c r="I8800" t="s">
        <v>29</v>
      </c>
      <c r="J8800" t="s">
        <v>30</v>
      </c>
      <c r="K8800" t="str">
        <f>"27028"</f>
        <v>27028</v>
      </c>
      <c r="M8800" t="s">
        <v>17861</v>
      </c>
      <c r="N8800" t="str">
        <f>"7/28/2015 2:43:00 PM"</f>
        <v>7/28/2015 2:43:00 PM</v>
      </c>
      <c r="O8800" t="s">
        <v>26477</v>
      </c>
      <c r="T8800" t="s">
        <v>26478</v>
      </c>
    </row>
    <row r="8801" spans="1:20" x14ac:dyDescent="0.25">
      <c r="A8801" t="str">
        <f>"3043102"</f>
        <v>3043102</v>
      </c>
      <c r="B8801" t="s">
        <v>26480</v>
      </c>
      <c r="C8801" t="str">
        <f>"8305219"</f>
        <v>8305219</v>
      </c>
      <c r="D8801" t="str">
        <f>"HUTCHINS WAYNE E/NANCY L"</f>
        <v>HUTCHINS WAYNE E/NANCY L</v>
      </c>
      <c r="E8801" t="s">
        <v>26339</v>
      </c>
      <c r="F8801" t="s">
        <v>26340</v>
      </c>
      <c r="I8801" t="s">
        <v>29</v>
      </c>
      <c r="J8801" t="s">
        <v>30</v>
      </c>
      <c r="K8801" t="str">
        <f>"27028"</f>
        <v>27028</v>
      </c>
      <c r="M8801" t="s">
        <v>17861</v>
      </c>
      <c r="N8801" t="str">
        <f>"7/14/2015 9:37:00 AM"</f>
        <v>7/14/2015 9:37:00 AM</v>
      </c>
      <c r="O8801" t="str">
        <f>"HUTCHINS WAYNE E/NANCY L"</f>
        <v>HUTCHINS WAYNE E/NANCY L</v>
      </c>
      <c r="T8801" t="s">
        <v>26339</v>
      </c>
    </row>
    <row r="8802" spans="1:20" x14ac:dyDescent="0.25">
      <c r="A8802" t="str">
        <f>"3056477"</f>
        <v>3056477</v>
      </c>
      <c r="B8802" t="s">
        <v>26481</v>
      </c>
      <c r="C8802" t="str">
        <f>"8305224"</f>
        <v>8305224</v>
      </c>
      <c r="D8802" t="s">
        <v>26482</v>
      </c>
      <c r="E8802" t="s">
        <v>26483</v>
      </c>
      <c r="F8802" t="s">
        <v>26484</v>
      </c>
      <c r="I8802" t="s">
        <v>9580</v>
      </c>
      <c r="J8802" t="s">
        <v>30</v>
      </c>
      <c r="K8802" t="str">
        <f>"27014"</f>
        <v>27014</v>
      </c>
      <c r="M8802" t="s">
        <v>17861</v>
      </c>
      <c r="N8802" t="str">
        <f>"7/14/2015 10:56:00 AM"</f>
        <v>7/14/2015 10:56:00 AM</v>
      </c>
      <c r="O8802" t="s">
        <v>26482</v>
      </c>
      <c r="T8802" t="s">
        <v>26483</v>
      </c>
    </row>
    <row r="8803" spans="1:20" x14ac:dyDescent="0.25">
      <c r="A8803" t="str">
        <f>"3050809"</f>
        <v>3050809</v>
      </c>
      <c r="B8803" t="s">
        <v>26485</v>
      </c>
      <c r="C8803" t="str">
        <f>"8305303"</f>
        <v>8305303</v>
      </c>
      <c r="D8803" t="s">
        <v>16095</v>
      </c>
      <c r="E8803" t="s">
        <v>26486</v>
      </c>
      <c r="F8803" t="s">
        <v>16096</v>
      </c>
      <c r="I8803" t="s">
        <v>29</v>
      </c>
      <c r="J8803" t="s">
        <v>30</v>
      </c>
      <c r="K8803" t="str">
        <f>"27028"</f>
        <v>27028</v>
      </c>
      <c r="M8803" t="s">
        <v>17861</v>
      </c>
      <c r="N8803" t="str">
        <f>"7/29/2015 11:16:00 AM"</f>
        <v>7/29/2015 11:16:00 AM</v>
      </c>
      <c r="O8803" t="s">
        <v>16095</v>
      </c>
      <c r="T8803" t="s">
        <v>26486</v>
      </c>
    </row>
    <row r="8804" spans="1:20" x14ac:dyDescent="0.25">
      <c r="A8804" t="str">
        <f>"3045615"</f>
        <v>3045615</v>
      </c>
      <c r="B8804" t="s">
        <v>26487</v>
      </c>
      <c r="C8804" t="str">
        <f>"8305308"</f>
        <v>8305308</v>
      </c>
      <c r="D8804" t="s">
        <v>26488</v>
      </c>
      <c r="F8804" t="s">
        <v>26489</v>
      </c>
      <c r="I8804" t="s">
        <v>29</v>
      </c>
      <c r="J8804" t="s">
        <v>30</v>
      </c>
      <c r="K8804" t="str">
        <f>"27028"</f>
        <v>27028</v>
      </c>
      <c r="M8804" t="s">
        <v>17861</v>
      </c>
      <c r="N8804" t="str">
        <f>"7/30/2015 12:49:00 PM"</f>
        <v>7/30/2015 12:49:00 PM</v>
      </c>
      <c r="O8804" t="s">
        <v>26488</v>
      </c>
    </row>
    <row r="8805" spans="1:20" x14ac:dyDescent="0.25">
      <c r="A8805" t="str">
        <f>"3045276"</f>
        <v>3045276</v>
      </c>
      <c r="B8805" t="s">
        <v>26490</v>
      </c>
      <c r="C8805" t="str">
        <f>"8305308"</f>
        <v>8305308</v>
      </c>
      <c r="D8805" t="s">
        <v>26488</v>
      </c>
      <c r="F8805" t="s">
        <v>26489</v>
      </c>
      <c r="I8805" t="s">
        <v>29</v>
      </c>
      <c r="J8805" t="s">
        <v>30</v>
      </c>
      <c r="K8805" t="str">
        <f>"27028"</f>
        <v>27028</v>
      </c>
      <c r="M8805" t="s">
        <v>17861</v>
      </c>
      <c r="N8805" t="str">
        <f>"7/30/2015 12:49:00 PM"</f>
        <v>7/30/2015 12:49:00 PM</v>
      </c>
      <c r="O8805" t="s">
        <v>26488</v>
      </c>
    </row>
    <row r="8806" spans="1:20" x14ac:dyDescent="0.25">
      <c r="A8806" t="str">
        <f>"3044970"</f>
        <v>3044970</v>
      </c>
      <c r="B8806" t="s">
        <v>26491</v>
      </c>
      <c r="C8806" t="str">
        <f>"8305308"</f>
        <v>8305308</v>
      </c>
      <c r="D8806" t="s">
        <v>26488</v>
      </c>
      <c r="F8806" t="s">
        <v>26489</v>
      </c>
      <c r="I8806" t="s">
        <v>29</v>
      </c>
      <c r="J8806" t="s">
        <v>30</v>
      </c>
      <c r="K8806" t="str">
        <f>"27028"</f>
        <v>27028</v>
      </c>
      <c r="M8806" t="s">
        <v>17861</v>
      </c>
      <c r="N8806" t="str">
        <f>"7/30/2015 12:49:00 PM"</f>
        <v>7/30/2015 12:49:00 PM</v>
      </c>
      <c r="O8806" t="s">
        <v>26488</v>
      </c>
    </row>
    <row r="8807" spans="1:20" x14ac:dyDescent="0.25">
      <c r="A8807" t="str">
        <f>"3060550"</f>
        <v>3060550</v>
      </c>
      <c r="B8807" t="s">
        <v>26492</v>
      </c>
      <c r="C8807" t="str">
        <f>"8305232"</f>
        <v>8305232</v>
      </c>
      <c r="D8807" t="s">
        <v>26493</v>
      </c>
      <c r="E8807" t="s">
        <v>26494</v>
      </c>
      <c r="F8807" t="s">
        <v>26495</v>
      </c>
      <c r="I8807" t="s">
        <v>184</v>
      </c>
      <c r="J8807" t="s">
        <v>30</v>
      </c>
      <c r="K8807" t="str">
        <f>"27006"</f>
        <v>27006</v>
      </c>
      <c r="M8807" t="s">
        <v>17861</v>
      </c>
      <c r="N8807" t="str">
        <f>"7/14/2015 12:22:00 PM"</f>
        <v>7/14/2015 12:22:00 PM</v>
      </c>
      <c r="O8807" t="s">
        <v>26493</v>
      </c>
      <c r="T8807" t="s">
        <v>26494</v>
      </c>
    </row>
    <row r="8808" spans="1:20" x14ac:dyDescent="0.25">
      <c r="A8808" t="str">
        <f>"3039001"</f>
        <v>3039001</v>
      </c>
      <c r="B8808" t="s">
        <v>26496</v>
      </c>
      <c r="C8808" t="str">
        <f>"8304138"</f>
        <v>8304138</v>
      </c>
      <c r="D8808" t="s">
        <v>26497</v>
      </c>
      <c r="F8808" t="s">
        <v>26498</v>
      </c>
      <c r="I8808" t="s">
        <v>471</v>
      </c>
      <c r="J8808" t="s">
        <v>30</v>
      </c>
      <c r="K8808" t="str">
        <f>"27103"</f>
        <v>27103</v>
      </c>
      <c r="M8808" t="s">
        <v>18479</v>
      </c>
      <c r="N8808" t="str">
        <f>"7/15/2015 10:48:00 AM"</f>
        <v>7/15/2015 10:48:00 AM</v>
      </c>
      <c r="O8808" t="s">
        <v>26497</v>
      </c>
    </row>
    <row r="8809" spans="1:20" x14ac:dyDescent="0.25">
      <c r="A8809" t="str">
        <f>"3059921"</f>
        <v>3059921</v>
      </c>
      <c r="B8809" t="s">
        <v>26499</v>
      </c>
      <c r="C8809" t="str">
        <f>"8305320"</f>
        <v>8305320</v>
      </c>
      <c r="D8809" t="s">
        <v>26500</v>
      </c>
      <c r="E8809" t="s">
        <v>26501</v>
      </c>
      <c r="F8809" t="s">
        <v>26502</v>
      </c>
      <c r="I8809" t="s">
        <v>26503</v>
      </c>
      <c r="J8809" t="s">
        <v>30</v>
      </c>
      <c r="K8809" t="str">
        <f>"27024"</f>
        <v>27024</v>
      </c>
      <c r="M8809" t="s">
        <v>17861</v>
      </c>
      <c r="N8809" t="str">
        <f>"8/4/2015 9:09:00 AM"</f>
        <v>8/4/2015 9:09:00 AM</v>
      </c>
      <c r="O8809" t="s">
        <v>26500</v>
      </c>
      <c r="T8809" t="s">
        <v>26501</v>
      </c>
    </row>
    <row r="8810" spans="1:20" x14ac:dyDescent="0.25">
      <c r="A8810" t="str">
        <f>"3044044"</f>
        <v>3044044</v>
      </c>
      <c r="B8810" t="s">
        <v>26504</v>
      </c>
      <c r="C8810" t="str">
        <f>"8305322"</f>
        <v>8305322</v>
      </c>
      <c r="D8810" t="s">
        <v>26505</v>
      </c>
      <c r="E8810" t="s">
        <v>26506</v>
      </c>
      <c r="F8810" t="s">
        <v>26507</v>
      </c>
      <c r="I8810" t="s">
        <v>184</v>
      </c>
      <c r="J8810" t="s">
        <v>30</v>
      </c>
      <c r="K8810" t="str">
        <f>"27006"</f>
        <v>27006</v>
      </c>
      <c r="M8810" t="s">
        <v>17861</v>
      </c>
      <c r="N8810" t="str">
        <f>"8/4/2015 9:46:00 AM"</f>
        <v>8/4/2015 9:46:00 AM</v>
      </c>
      <c r="O8810" t="s">
        <v>26505</v>
      </c>
      <c r="T8810" t="s">
        <v>26506</v>
      </c>
    </row>
    <row r="8811" spans="1:20" x14ac:dyDescent="0.25">
      <c r="A8811" t="str">
        <f>"3052415"</f>
        <v>3052415</v>
      </c>
      <c r="B8811" t="s">
        <v>26508</v>
      </c>
      <c r="C8811" t="str">
        <f>"8305323"</f>
        <v>8305323</v>
      </c>
      <c r="D8811" t="s">
        <v>26509</v>
      </c>
      <c r="F8811" t="s">
        <v>26510</v>
      </c>
      <c r="I8811" t="s">
        <v>29</v>
      </c>
      <c r="J8811" t="s">
        <v>30</v>
      </c>
      <c r="K8811" t="str">
        <f>"27028"</f>
        <v>27028</v>
      </c>
      <c r="M8811" t="s">
        <v>17861</v>
      </c>
      <c r="N8811" t="str">
        <f>"8/4/2015 9:50:00 AM"</f>
        <v>8/4/2015 9:50:00 AM</v>
      </c>
      <c r="O8811" t="s">
        <v>26509</v>
      </c>
    </row>
    <row r="8812" spans="1:20" x14ac:dyDescent="0.25">
      <c r="A8812" t="str">
        <f>"3057670"</f>
        <v>3057670</v>
      </c>
      <c r="B8812" t="s">
        <v>26511</v>
      </c>
      <c r="C8812" t="str">
        <f>"8305244"</f>
        <v>8305244</v>
      </c>
      <c r="D8812" t="s">
        <v>26512</v>
      </c>
      <c r="E8812" t="s">
        <v>26513</v>
      </c>
      <c r="F8812" t="s">
        <v>26514</v>
      </c>
      <c r="I8812" t="s">
        <v>184</v>
      </c>
      <c r="J8812" t="s">
        <v>30</v>
      </c>
      <c r="K8812" t="str">
        <f>"27006"</f>
        <v>27006</v>
      </c>
      <c r="M8812" t="s">
        <v>17861</v>
      </c>
      <c r="N8812" t="str">
        <f>"7/16/2015 9:27:00 AM"</f>
        <v>7/16/2015 9:27:00 AM</v>
      </c>
      <c r="O8812" t="s">
        <v>26512</v>
      </c>
      <c r="T8812" t="s">
        <v>26513</v>
      </c>
    </row>
    <row r="8813" spans="1:20" x14ac:dyDescent="0.25">
      <c r="A8813" t="str">
        <f>"3047293"</f>
        <v>3047293</v>
      </c>
      <c r="B8813" t="s">
        <v>26515</v>
      </c>
      <c r="C8813" t="str">
        <f>"8305326"</f>
        <v>8305326</v>
      </c>
      <c r="D8813" t="s">
        <v>17407</v>
      </c>
      <c r="E8813" t="s">
        <v>14238</v>
      </c>
      <c r="F8813" t="s">
        <v>17408</v>
      </c>
      <c r="I8813" t="s">
        <v>184</v>
      </c>
      <c r="J8813" t="s">
        <v>30</v>
      </c>
      <c r="K8813" t="str">
        <f>"27006"</f>
        <v>27006</v>
      </c>
      <c r="M8813" t="s">
        <v>17861</v>
      </c>
      <c r="N8813" t="str">
        <f>"8/4/2015 11:12:00 AM"</f>
        <v>8/4/2015 11:12:00 AM</v>
      </c>
      <c r="O8813" t="s">
        <v>17407</v>
      </c>
      <c r="T8813" t="s">
        <v>14238</v>
      </c>
    </row>
    <row r="8814" spans="1:20" x14ac:dyDescent="0.25">
      <c r="A8814" t="str">
        <f>"3046619"</f>
        <v>3046619</v>
      </c>
      <c r="B8814" t="s">
        <v>26516</v>
      </c>
      <c r="C8814" t="str">
        <f>"8305326"</f>
        <v>8305326</v>
      </c>
      <c r="D8814" t="s">
        <v>17407</v>
      </c>
      <c r="E8814" t="s">
        <v>14238</v>
      </c>
      <c r="F8814" t="s">
        <v>17408</v>
      </c>
      <c r="I8814" t="s">
        <v>184</v>
      </c>
      <c r="J8814" t="s">
        <v>30</v>
      </c>
      <c r="K8814" t="str">
        <f>"27006"</f>
        <v>27006</v>
      </c>
      <c r="M8814" t="s">
        <v>17861</v>
      </c>
      <c r="N8814" t="str">
        <f>"8/4/2015 11:12:00 AM"</f>
        <v>8/4/2015 11:12:00 AM</v>
      </c>
      <c r="O8814" t="s">
        <v>17407</v>
      </c>
      <c r="T8814" t="s">
        <v>14238</v>
      </c>
    </row>
    <row r="8815" spans="1:20" x14ac:dyDescent="0.25">
      <c r="A8815" t="str">
        <f>"3046633"</f>
        <v>3046633</v>
      </c>
      <c r="B8815" t="s">
        <v>26517</v>
      </c>
      <c r="C8815" t="str">
        <f>"8305326"</f>
        <v>8305326</v>
      </c>
      <c r="D8815" t="s">
        <v>17407</v>
      </c>
      <c r="E8815" t="s">
        <v>14238</v>
      </c>
      <c r="F8815" t="s">
        <v>17408</v>
      </c>
      <c r="I8815" t="s">
        <v>184</v>
      </c>
      <c r="J8815" t="s">
        <v>30</v>
      </c>
      <c r="K8815" t="str">
        <f>"27006"</f>
        <v>27006</v>
      </c>
      <c r="M8815" t="s">
        <v>17861</v>
      </c>
      <c r="N8815" t="str">
        <f>"8/4/2015 11:12:00 AM"</f>
        <v>8/4/2015 11:12:00 AM</v>
      </c>
      <c r="O8815" t="s">
        <v>17407</v>
      </c>
      <c r="T8815" t="s">
        <v>14238</v>
      </c>
    </row>
    <row r="8816" spans="1:20" x14ac:dyDescent="0.25">
      <c r="A8816" t="str">
        <f>"3066205"</f>
        <v>3066205</v>
      </c>
      <c r="B8816" t="s">
        <v>26518</v>
      </c>
      <c r="C8816" t="str">
        <f>"4585000"</f>
        <v>4585000</v>
      </c>
      <c r="D8816" t="s">
        <v>26519</v>
      </c>
      <c r="E8816" t="s">
        <v>26520</v>
      </c>
      <c r="F8816" t="s">
        <v>26521</v>
      </c>
      <c r="I8816" t="s">
        <v>2280</v>
      </c>
      <c r="J8816" t="s">
        <v>30</v>
      </c>
      <c r="K8816" t="s">
        <v>9897</v>
      </c>
      <c r="M8816" t="s">
        <v>17861</v>
      </c>
      <c r="N8816" t="str">
        <f>"7/20/2015 10:11:00 AM"</f>
        <v>7/20/2015 10:11:00 AM</v>
      </c>
      <c r="O8816" t="s">
        <v>26519</v>
      </c>
      <c r="T8816" t="s">
        <v>26520</v>
      </c>
    </row>
    <row r="8817" spans="1:20" x14ac:dyDescent="0.25">
      <c r="A8817" t="str">
        <f>"3039579"</f>
        <v>3039579</v>
      </c>
      <c r="B8817" t="s">
        <v>26522</v>
      </c>
      <c r="C8817" t="str">
        <f>"8305329"</f>
        <v>8305329</v>
      </c>
      <c r="D8817" t="s">
        <v>26523</v>
      </c>
      <c r="E8817" t="s">
        <v>26524</v>
      </c>
      <c r="F8817" t="s">
        <v>26525</v>
      </c>
      <c r="I8817" t="s">
        <v>184</v>
      </c>
      <c r="J8817" t="s">
        <v>30</v>
      </c>
      <c r="K8817" t="str">
        <f>"27006"</f>
        <v>27006</v>
      </c>
      <c r="M8817" t="s">
        <v>17861</v>
      </c>
      <c r="N8817" t="str">
        <f>"8/4/2015 11:48:00 AM"</f>
        <v>8/4/2015 11:48:00 AM</v>
      </c>
      <c r="O8817" t="s">
        <v>26523</v>
      </c>
      <c r="T8817" t="s">
        <v>26524</v>
      </c>
    </row>
    <row r="8818" spans="1:20" x14ac:dyDescent="0.25">
      <c r="A8818" t="str">
        <f>"3050338"</f>
        <v>3050338</v>
      </c>
      <c r="B8818" t="s">
        <v>26526</v>
      </c>
      <c r="C8818" t="str">
        <f>"44440000"</f>
        <v>44440000</v>
      </c>
      <c r="D8818" t="s">
        <v>26527</v>
      </c>
      <c r="E8818" t="s">
        <v>26528</v>
      </c>
      <c r="F8818" t="s">
        <v>26529</v>
      </c>
      <c r="I8818" t="s">
        <v>184</v>
      </c>
      <c r="J8818" t="s">
        <v>30</v>
      </c>
      <c r="K8818" t="s">
        <v>26530</v>
      </c>
      <c r="M8818" t="s">
        <v>18479</v>
      </c>
      <c r="N8818" t="str">
        <f>"8/4/2015 2:21:00 PM"</f>
        <v>8/4/2015 2:21:00 PM</v>
      </c>
      <c r="O8818" t="s">
        <v>26527</v>
      </c>
      <c r="T8818" t="s">
        <v>26528</v>
      </c>
    </row>
    <row r="8819" spans="1:20" x14ac:dyDescent="0.25">
      <c r="A8819" t="str">
        <f>"3049499"</f>
        <v>3049499</v>
      </c>
      <c r="B8819" t="s">
        <v>26531</v>
      </c>
      <c r="C8819" t="str">
        <f>"44440000"</f>
        <v>44440000</v>
      </c>
      <c r="D8819" t="s">
        <v>26527</v>
      </c>
      <c r="E8819" t="s">
        <v>26528</v>
      </c>
      <c r="F8819" t="s">
        <v>26529</v>
      </c>
      <c r="I8819" t="s">
        <v>184</v>
      </c>
      <c r="J8819" t="s">
        <v>30</v>
      </c>
      <c r="K8819" t="s">
        <v>26530</v>
      </c>
      <c r="M8819" t="s">
        <v>18479</v>
      </c>
      <c r="N8819" t="str">
        <f>"8/4/2015 2:21:00 PM"</f>
        <v>8/4/2015 2:21:00 PM</v>
      </c>
      <c r="O8819" t="s">
        <v>26527</v>
      </c>
      <c r="T8819" t="s">
        <v>26528</v>
      </c>
    </row>
    <row r="8820" spans="1:20" x14ac:dyDescent="0.25">
      <c r="A8820" t="str">
        <f>"3040733"</f>
        <v>3040733</v>
      </c>
      <c r="B8820" t="s">
        <v>26532</v>
      </c>
      <c r="C8820" t="str">
        <f>"81388000"</f>
        <v>81388000</v>
      </c>
      <c r="D8820" t="s">
        <v>26533</v>
      </c>
      <c r="E8820" t="s">
        <v>26534</v>
      </c>
      <c r="F8820" t="s">
        <v>26535</v>
      </c>
      <c r="I8820" t="s">
        <v>184</v>
      </c>
      <c r="J8820" t="s">
        <v>30</v>
      </c>
      <c r="K8820" t="s">
        <v>26536</v>
      </c>
      <c r="M8820" t="s">
        <v>18479</v>
      </c>
      <c r="N8820" t="str">
        <f>"7/20/2015 4:02:00 PM"</f>
        <v>7/20/2015 4:02:00 PM</v>
      </c>
      <c r="O8820" t="s">
        <v>26533</v>
      </c>
      <c r="T8820" t="s">
        <v>26534</v>
      </c>
    </row>
    <row r="8821" spans="1:20" x14ac:dyDescent="0.25">
      <c r="A8821" t="str">
        <f>"3061778"</f>
        <v>3061778</v>
      </c>
      <c r="B8821" t="s">
        <v>26537</v>
      </c>
      <c r="C8821" t="str">
        <f>"8305342"</f>
        <v>8305342</v>
      </c>
      <c r="D8821" t="s">
        <v>26538</v>
      </c>
      <c r="F8821" t="s">
        <v>26539</v>
      </c>
      <c r="I8821" t="s">
        <v>2071</v>
      </c>
      <c r="J8821" t="s">
        <v>30</v>
      </c>
      <c r="K8821" t="str">
        <f>"27006"</f>
        <v>27006</v>
      </c>
      <c r="M8821" t="s">
        <v>17861</v>
      </c>
      <c r="N8821" t="str">
        <f>"8/7/2015 3:32:00 PM"</f>
        <v>8/7/2015 3:32:00 PM</v>
      </c>
      <c r="O8821" t="s">
        <v>26538</v>
      </c>
    </row>
    <row r="8822" spans="1:20" x14ac:dyDescent="0.25">
      <c r="A8822" t="str">
        <f>"3078205"</f>
        <v>3078205</v>
      </c>
      <c r="B8822" t="s">
        <v>26540</v>
      </c>
      <c r="C8822" t="str">
        <f>"8305343"</f>
        <v>8305343</v>
      </c>
      <c r="D8822" t="s">
        <v>26541</v>
      </c>
      <c r="F8822" t="s">
        <v>26542</v>
      </c>
      <c r="I8822" t="s">
        <v>964</v>
      </c>
      <c r="J8822" t="s">
        <v>30</v>
      </c>
      <c r="K8822" t="str">
        <f>"28144"</f>
        <v>28144</v>
      </c>
      <c r="M8822" t="s">
        <v>17861</v>
      </c>
      <c r="N8822" t="str">
        <f>"8/7/2015 4:03:00 PM"</f>
        <v>8/7/2015 4:03:00 PM</v>
      </c>
      <c r="O8822" t="s">
        <v>26541</v>
      </c>
    </row>
    <row r="8823" spans="1:20" x14ac:dyDescent="0.25">
      <c r="A8823" t="str">
        <f>"3060807"</f>
        <v>3060807</v>
      </c>
      <c r="B8823" t="s">
        <v>26543</v>
      </c>
      <c r="C8823" t="str">
        <f>"8305348"</f>
        <v>8305348</v>
      </c>
      <c r="D8823" t="s">
        <v>26544</v>
      </c>
      <c r="E8823" t="s">
        <v>26545</v>
      </c>
      <c r="F8823" t="s">
        <v>26546</v>
      </c>
      <c r="I8823" t="s">
        <v>184</v>
      </c>
      <c r="J8823" t="s">
        <v>30</v>
      </c>
      <c r="K8823" t="str">
        <f>"27006"</f>
        <v>27006</v>
      </c>
      <c r="M8823" t="s">
        <v>17861</v>
      </c>
      <c r="N8823" t="str">
        <f>"8/10/2015 10:12:00 AM"</f>
        <v>8/10/2015 10:12:00 AM</v>
      </c>
      <c r="O8823" t="s">
        <v>26544</v>
      </c>
      <c r="T8823" t="s">
        <v>26545</v>
      </c>
    </row>
    <row r="8824" spans="1:20" x14ac:dyDescent="0.25">
      <c r="A8824" t="str">
        <f>"3044735"</f>
        <v>3044735</v>
      </c>
      <c r="B8824" t="s">
        <v>26547</v>
      </c>
      <c r="C8824" t="str">
        <f>"8304358"</f>
        <v>8304358</v>
      </c>
      <c r="D8824" t="s">
        <v>26548</v>
      </c>
      <c r="F8824" t="s">
        <v>26549</v>
      </c>
      <c r="I8824" t="s">
        <v>184</v>
      </c>
      <c r="J8824" t="s">
        <v>30</v>
      </c>
      <c r="K8824" t="str">
        <f>"27006"</f>
        <v>27006</v>
      </c>
      <c r="M8824" t="s">
        <v>18479</v>
      </c>
      <c r="N8824" t="str">
        <f>"7/20/2015 4:27:00 PM"</f>
        <v>7/20/2015 4:27:00 PM</v>
      </c>
      <c r="O8824" t="s">
        <v>26548</v>
      </c>
    </row>
    <row r="8825" spans="1:20" x14ac:dyDescent="0.25">
      <c r="A8825" t="str">
        <f>"3046289"</f>
        <v>3046289</v>
      </c>
      <c r="B8825" t="s">
        <v>26550</v>
      </c>
      <c r="C8825" t="str">
        <f>"81601000"</f>
        <v>81601000</v>
      </c>
      <c r="D8825" t="s">
        <v>26551</v>
      </c>
      <c r="E8825" t="s">
        <v>26552</v>
      </c>
      <c r="F8825" t="s">
        <v>26553</v>
      </c>
      <c r="I8825" t="s">
        <v>29</v>
      </c>
      <c r="J8825" t="s">
        <v>30</v>
      </c>
      <c r="K8825" t="s">
        <v>31</v>
      </c>
      <c r="M8825" t="s">
        <v>18479</v>
      </c>
      <c r="N8825" t="str">
        <f>"7/20/2015 4:30:00 PM"</f>
        <v>7/20/2015 4:30:00 PM</v>
      </c>
      <c r="O8825" t="s">
        <v>26551</v>
      </c>
      <c r="T8825" t="s">
        <v>26552</v>
      </c>
    </row>
    <row r="8826" spans="1:20" x14ac:dyDescent="0.25">
      <c r="A8826" t="str">
        <f>"3040814"</f>
        <v>3040814</v>
      </c>
      <c r="B8826" t="s">
        <v>26554</v>
      </c>
      <c r="C8826" t="str">
        <f>"8305351"</f>
        <v>8305351</v>
      </c>
      <c r="D8826" t="s">
        <v>26403</v>
      </c>
      <c r="F8826" t="s">
        <v>3052</v>
      </c>
      <c r="I8826" t="s">
        <v>184</v>
      </c>
      <c r="J8826" t="s">
        <v>30</v>
      </c>
      <c r="K8826" t="str">
        <f>"27006"</f>
        <v>27006</v>
      </c>
      <c r="M8826" t="s">
        <v>17861</v>
      </c>
      <c r="N8826" t="str">
        <f>"8/10/2015 10:25:00 AM"</f>
        <v>8/10/2015 10:25:00 AM</v>
      </c>
      <c r="O8826" t="s">
        <v>26403</v>
      </c>
    </row>
    <row r="8827" spans="1:20" x14ac:dyDescent="0.25">
      <c r="A8827" t="str">
        <f>"3061853"</f>
        <v>3061853</v>
      </c>
      <c r="B8827" t="s">
        <v>26555</v>
      </c>
      <c r="C8827" t="str">
        <f>"68794000"</f>
        <v>68794000</v>
      </c>
      <c r="D8827" t="s">
        <v>26556</v>
      </c>
      <c r="F8827" t="s">
        <v>26557</v>
      </c>
      <c r="I8827" t="s">
        <v>29</v>
      </c>
      <c r="J8827" t="s">
        <v>30</v>
      </c>
      <c r="K8827" t="s">
        <v>26558</v>
      </c>
      <c r="M8827" t="s">
        <v>25733</v>
      </c>
      <c r="N8827" t="str">
        <f>"7/22/2015 1:52:00 PM"</f>
        <v>7/22/2015 1:52:00 PM</v>
      </c>
      <c r="O8827" t="s">
        <v>26556</v>
      </c>
    </row>
    <row r="8828" spans="1:20" x14ac:dyDescent="0.25">
      <c r="A8828" t="str">
        <f>"3037239"</f>
        <v>3037239</v>
      </c>
      <c r="B8828" t="s">
        <v>26559</v>
      </c>
      <c r="C8828" t="str">
        <f>"82519750"</f>
        <v>82519750</v>
      </c>
      <c r="D8828" t="s">
        <v>26380</v>
      </c>
      <c r="E8828" t="s">
        <v>26381</v>
      </c>
      <c r="F8828" t="s">
        <v>26382</v>
      </c>
      <c r="I8828" t="s">
        <v>184</v>
      </c>
      <c r="J8828" t="s">
        <v>30</v>
      </c>
      <c r="K8828" t="s">
        <v>840</v>
      </c>
      <c r="M8828" t="s">
        <v>18479</v>
      </c>
      <c r="N8828" t="str">
        <f>"7/22/2015 3:16:00 PM"</f>
        <v>7/22/2015 3:16:00 PM</v>
      </c>
      <c r="O8828" t="s">
        <v>26380</v>
      </c>
      <c r="T8828" t="s">
        <v>26381</v>
      </c>
    </row>
    <row r="8829" spans="1:20" x14ac:dyDescent="0.25">
      <c r="A8829" t="str">
        <f>"3063992"</f>
        <v>3063992</v>
      </c>
      <c r="B8829" t="s">
        <v>26560</v>
      </c>
      <c r="C8829" t="str">
        <f>"76460500"</f>
        <v>76460500</v>
      </c>
      <c r="D8829" t="s">
        <v>26561</v>
      </c>
      <c r="E8829" t="s">
        <v>26562</v>
      </c>
      <c r="F8829" t="s">
        <v>26563</v>
      </c>
      <c r="I8829" t="s">
        <v>184</v>
      </c>
      <c r="J8829" t="s">
        <v>30</v>
      </c>
      <c r="K8829" t="s">
        <v>26564</v>
      </c>
      <c r="M8829" t="s">
        <v>18479</v>
      </c>
      <c r="N8829" t="str">
        <f>"7/23/2015 9:21:00 AM"</f>
        <v>7/23/2015 9:21:00 AM</v>
      </c>
      <c r="O8829" t="s">
        <v>26561</v>
      </c>
      <c r="T8829" t="s">
        <v>26562</v>
      </c>
    </row>
    <row r="8830" spans="1:20" x14ac:dyDescent="0.25">
      <c r="A8830" t="str">
        <f>"3043871"</f>
        <v>3043871</v>
      </c>
      <c r="B8830" t="s">
        <v>26565</v>
      </c>
      <c r="C8830" t="str">
        <f>"39450750"</f>
        <v>39450750</v>
      </c>
      <c r="D8830" t="s">
        <v>26566</v>
      </c>
      <c r="F8830" t="s">
        <v>26567</v>
      </c>
      <c r="I8830" t="s">
        <v>184</v>
      </c>
      <c r="J8830" t="s">
        <v>30</v>
      </c>
      <c r="K8830" t="s">
        <v>26568</v>
      </c>
      <c r="M8830" t="s">
        <v>25733</v>
      </c>
      <c r="N8830" t="str">
        <f>"7/23/2015 1:36:00 PM"</f>
        <v>7/23/2015 1:36:00 PM</v>
      </c>
      <c r="O8830" t="s">
        <v>26566</v>
      </c>
    </row>
    <row r="8831" spans="1:20" x14ac:dyDescent="0.25">
      <c r="A8831" t="str">
        <f>"3078047"</f>
        <v>3078047</v>
      </c>
      <c r="B8831" t="s">
        <v>26569</v>
      </c>
      <c r="C8831" t="str">
        <f>"77524000"</f>
        <v>77524000</v>
      </c>
      <c r="D8831" t="s">
        <v>1230</v>
      </c>
      <c r="F8831" t="s">
        <v>26570</v>
      </c>
      <c r="I8831" t="s">
        <v>29</v>
      </c>
      <c r="J8831" t="s">
        <v>30</v>
      </c>
      <c r="K8831" t="s">
        <v>26571</v>
      </c>
      <c r="M8831" t="s">
        <v>18479</v>
      </c>
      <c r="N8831" t="str">
        <f>"8/11/2015 11:32:00 AM"</f>
        <v>8/11/2015 11:32:00 AM</v>
      </c>
      <c r="O8831" t="s">
        <v>1230</v>
      </c>
    </row>
    <row r="8832" spans="1:20" x14ac:dyDescent="0.25">
      <c r="A8832" t="str">
        <f>"3045872"</f>
        <v>3045872</v>
      </c>
      <c r="B8832" t="s">
        <v>26572</v>
      </c>
      <c r="C8832" t="str">
        <f>"8303968"</f>
        <v>8303968</v>
      </c>
      <c r="D8832" t="s">
        <v>26573</v>
      </c>
      <c r="E8832" t="s">
        <v>26574</v>
      </c>
      <c r="F8832" t="s">
        <v>26575</v>
      </c>
      <c r="I8832" t="s">
        <v>29</v>
      </c>
      <c r="J8832" t="s">
        <v>30</v>
      </c>
      <c r="K8832" t="str">
        <f>"27028"</f>
        <v>27028</v>
      </c>
      <c r="M8832" t="s">
        <v>18479</v>
      </c>
      <c r="N8832" t="str">
        <f>"8/11/2015 11:59:00 AM"</f>
        <v>8/11/2015 11:59:00 AM</v>
      </c>
      <c r="O8832" t="s">
        <v>26573</v>
      </c>
      <c r="T8832" t="s">
        <v>26574</v>
      </c>
    </row>
    <row r="8833" spans="1:20" x14ac:dyDescent="0.25">
      <c r="A8833" t="str">
        <f>"3045849"</f>
        <v>3045849</v>
      </c>
      <c r="B8833" t="s">
        <v>26576</v>
      </c>
      <c r="C8833" t="str">
        <f>"8303968"</f>
        <v>8303968</v>
      </c>
      <c r="D8833" t="s">
        <v>26573</v>
      </c>
      <c r="E8833" t="s">
        <v>26574</v>
      </c>
      <c r="F8833" t="s">
        <v>26575</v>
      </c>
      <c r="I8833" t="s">
        <v>29</v>
      </c>
      <c r="J8833" t="s">
        <v>30</v>
      </c>
      <c r="K8833" t="str">
        <f>"27028"</f>
        <v>27028</v>
      </c>
      <c r="M8833" t="s">
        <v>18479</v>
      </c>
      <c r="N8833" t="str">
        <f>"8/11/2015 11:59:00 AM"</f>
        <v>8/11/2015 11:59:00 AM</v>
      </c>
      <c r="O8833" t="s">
        <v>26573</v>
      </c>
      <c r="T8833" t="s">
        <v>26574</v>
      </c>
    </row>
    <row r="8834" spans="1:20" x14ac:dyDescent="0.25">
      <c r="A8834" t="str">
        <f>"3046325"</f>
        <v>3046325</v>
      </c>
      <c r="B8834" t="s">
        <v>26577</v>
      </c>
      <c r="C8834" t="str">
        <f>"8303968"</f>
        <v>8303968</v>
      </c>
      <c r="D8834" t="s">
        <v>26573</v>
      </c>
      <c r="E8834" t="s">
        <v>26574</v>
      </c>
      <c r="F8834" t="s">
        <v>26575</v>
      </c>
      <c r="I8834" t="s">
        <v>29</v>
      </c>
      <c r="J8834" t="s">
        <v>30</v>
      </c>
      <c r="K8834" t="str">
        <f>"27028"</f>
        <v>27028</v>
      </c>
      <c r="M8834" t="s">
        <v>18479</v>
      </c>
      <c r="N8834" t="str">
        <f>"8/11/2015 11:59:00 AM"</f>
        <v>8/11/2015 11:59:00 AM</v>
      </c>
      <c r="O8834" t="s">
        <v>26573</v>
      </c>
      <c r="T8834" t="s">
        <v>26574</v>
      </c>
    </row>
    <row r="8835" spans="1:20" x14ac:dyDescent="0.25">
      <c r="A8835" t="str">
        <f>"3066027"</f>
        <v>3066027</v>
      </c>
      <c r="B8835" t="s">
        <v>26578</v>
      </c>
      <c r="C8835" t="str">
        <f>"8305260"</f>
        <v>8305260</v>
      </c>
      <c r="D8835" t="s">
        <v>26579</v>
      </c>
      <c r="F8835" t="s">
        <v>26580</v>
      </c>
      <c r="I8835" t="s">
        <v>9580</v>
      </c>
      <c r="J8835" t="s">
        <v>30</v>
      </c>
      <c r="K8835" t="str">
        <f>"27014"</f>
        <v>27014</v>
      </c>
      <c r="M8835" t="s">
        <v>17861</v>
      </c>
      <c r="N8835" t="str">
        <f>"7/23/2015 4:22:00 PM"</f>
        <v>7/23/2015 4:22:00 PM</v>
      </c>
      <c r="O8835" t="s">
        <v>26579</v>
      </c>
    </row>
    <row r="8836" spans="1:20" x14ac:dyDescent="0.25">
      <c r="A8836" t="str">
        <f>"3047288"</f>
        <v>3047288</v>
      </c>
      <c r="B8836" t="s">
        <v>26581</v>
      </c>
      <c r="C8836" t="str">
        <f>"30430000"</f>
        <v>30430000</v>
      </c>
      <c r="D8836" t="s">
        <v>26582</v>
      </c>
      <c r="E8836" t="str">
        <f>"C/0 CHARLES SCHEFFER"</f>
        <v>C/0 CHARLES SCHEFFER</v>
      </c>
      <c r="F8836" t="s">
        <v>26583</v>
      </c>
      <c r="I8836" t="s">
        <v>2525</v>
      </c>
      <c r="J8836" t="s">
        <v>30</v>
      </c>
      <c r="K8836" t="s">
        <v>26584</v>
      </c>
      <c r="M8836" t="s">
        <v>25494</v>
      </c>
      <c r="N8836" t="str">
        <f>"7/27/2015 11:48:00 AM"</f>
        <v>7/27/2015 11:48:00 AM</v>
      </c>
      <c r="O8836" t="s">
        <v>26582</v>
      </c>
      <c r="T8836" t="str">
        <f>"C/0 CHARLES SCHEFFER"</f>
        <v>C/0 CHARLES SCHEFFER</v>
      </c>
    </row>
    <row r="8837" spans="1:20" x14ac:dyDescent="0.25">
      <c r="A8837" t="str">
        <f>"3037527"</f>
        <v>3037527</v>
      </c>
      <c r="B8837" t="s">
        <v>26585</v>
      </c>
      <c r="C8837" t="str">
        <f>"78300000"</f>
        <v>78300000</v>
      </c>
      <c r="D8837" t="s">
        <v>26586</v>
      </c>
      <c r="E8837" t="s">
        <v>26587</v>
      </c>
      <c r="F8837" t="s">
        <v>26588</v>
      </c>
      <c r="I8837" t="s">
        <v>29</v>
      </c>
      <c r="J8837" t="s">
        <v>30</v>
      </c>
      <c r="K8837" t="s">
        <v>31</v>
      </c>
      <c r="M8837" t="s">
        <v>18479</v>
      </c>
      <c r="N8837" t="str">
        <f>"8/11/2015 4:18:00 PM"</f>
        <v>8/11/2015 4:18:00 PM</v>
      </c>
      <c r="O8837" t="s">
        <v>26586</v>
      </c>
      <c r="T8837" t="s">
        <v>26587</v>
      </c>
    </row>
    <row r="8838" spans="1:20" x14ac:dyDescent="0.25">
      <c r="A8838" t="str">
        <f>"3037806"</f>
        <v>3037806</v>
      </c>
      <c r="B8838" t="s">
        <v>26589</v>
      </c>
      <c r="C8838" t="str">
        <f>"78300000"</f>
        <v>78300000</v>
      </c>
      <c r="D8838" t="s">
        <v>26586</v>
      </c>
      <c r="E8838" t="s">
        <v>26587</v>
      </c>
      <c r="F8838" t="s">
        <v>26588</v>
      </c>
      <c r="I8838" t="s">
        <v>29</v>
      </c>
      <c r="J8838" t="s">
        <v>30</v>
      </c>
      <c r="K8838" t="s">
        <v>31</v>
      </c>
      <c r="M8838" t="s">
        <v>18479</v>
      </c>
      <c r="N8838" t="str">
        <f>"8/11/2015 4:18:00 PM"</f>
        <v>8/11/2015 4:18:00 PM</v>
      </c>
      <c r="O8838" t="s">
        <v>26586</v>
      </c>
      <c r="T8838" t="s">
        <v>26587</v>
      </c>
    </row>
    <row r="8839" spans="1:20" x14ac:dyDescent="0.25">
      <c r="A8839" t="str">
        <f>"3070955"</f>
        <v>3070955</v>
      </c>
      <c r="B8839" t="s">
        <v>26590</v>
      </c>
      <c r="C8839" t="str">
        <f>"78300000"</f>
        <v>78300000</v>
      </c>
      <c r="D8839" t="s">
        <v>26586</v>
      </c>
      <c r="E8839" t="s">
        <v>26587</v>
      </c>
      <c r="F8839" t="s">
        <v>26588</v>
      </c>
      <c r="I8839" t="s">
        <v>29</v>
      </c>
      <c r="J8839" t="s">
        <v>30</v>
      </c>
      <c r="K8839" t="s">
        <v>31</v>
      </c>
      <c r="M8839" t="s">
        <v>18479</v>
      </c>
      <c r="N8839" t="str">
        <f>"8/11/2015 4:18:00 PM"</f>
        <v>8/11/2015 4:18:00 PM</v>
      </c>
      <c r="O8839" t="s">
        <v>26586</v>
      </c>
      <c r="T8839" t="s">
        <v>26587</v>
      </c>
    </row>
    <row r="8840" spans="1:20" x14ac:dyDescent="0.25">
      <c r="A8840" t="str">
        <f>"3071203"</f>
        <v>3071203</v>
      </c>
      <c r="B8840" t="s">
        <v>26591</v>
      </c>
      <c r="C8840" t="str">
        <f>"78300000"</f>
        <v>78300000</v>
      </c>
      <c r="D8840" t="s">
        <v>26586</v>
      </c>
      <c r="E8840" t="s">
        <v>26587</v>
      </c>
      <c r="F8840" t="s">
        <v>26588</v>
      </c>
      <c r="I8840" t="s">
        <v>29</v>
      </c>
      <c r="J8840" t="s">
        <v>30</v>
      </c>
      <c r="K8840" t="s">
        <v>31</v>
      </c>
      <c r="M8840" t="s">
        <v>18479</v>
      </c>
      <c r="N8840" t="str">
        <f>"8/11/2015 4:18:00 PM"</f>
        <v>8/11/2015 4:18:00 PM</v>
      </c>
      <c r="O8840" t="s">
        <v>26586</v>
      </c>
      <c r="T8840" t="s">
        <v>26587</v>
      </c>
    </row>
    <row r="8841" spans="1:20" x14ac:dyDescent="0.25">
      <c r="A8841" t="str">
        <f>"3061386"</f>
        <v>3061386</v>
      </c>
      <c r="B8841" t="s">
        <v>26592</v>
      </c>
      <c r="C8841" t="str">
        <f>"78372750"</f>
        <v>78372750</v>
      </c>
      <c r="D8841" t="s">
        <v>26593</v>
      </c>
      <c r="E8841" t="s">
        <v>26594</v>
      </c>
      <c r="F8841" t="s">
        <v>26595</v>
      </c>
      <c r="I8841" t="s">
        <v>184</v>
      </c>
      <c r="K8841" t="s">
        <v>6059</v>
      </c>
      <c r="M8841" t="s">
        <v>18479</v>
      </c>
      <c r="N8841" t="str">
        <f>"8/11/2015 4:25:00 PM"</f>
        <v>8/11/2015 4:25:00 PM</v>
      </c>
      <c r="O8841" t="s">
        <v>26593</v>
      </c>
      <c r="T8841" t="s">
        <v>26594</v>
      </c>
    </row>
    <row r="8842" spans="1:20" x14ac:dyDescent="0.25">
      <c r="A8842" t="str">
        <f>"3078044"</f>
        <v>3078044</v>
      </c>
      <c r="B8842" t="s">
        <v>26596</v>
      </c>
      <c r="C8842" t="str">
        <f t="shared" ref="C8842:C8849" si="137">"82515772"</f>
        <v>82515772</v>
      </c>
      <c r="D8842" t="s">
        <v>227</v>
      </c>
      <c r="E8842" t="s">
        <v>26597</v>
      </c>
      <c r="F8842" t="s">
        <v>228</v>
      </c>
      <c r="I8842" t="s">
        <v>29</v>
      </c>
      <c r="J8842" t="s">
        <v>30</v>
      </c>
      <c r="K8842" t="s">
        <v>31</v>
      </c>
      <c r="M8842" t="s">
        <v>18479</v>
      </c>
      <c r="N8842" t="str">
        <f t="shared" ref="N8842:N8849" si="138">"8/11/2015 4:48:00 PM"</f>
        <v>8/11/2015 4:48:00 PM</v>
      </c>
      <c r="O8842" t="s">
        <v>227</v>
      </c>
      <c r="T8842" t="s">
        <v>26597</v>
      </c>
    </row>
    <row r="8843" spans="1:20" x14ac:dyDescent="0.25">
      <c r="A8843" t="str">
        <f>"3037909"</f>
        <v>3037909</v>
      </c>
      <c r="B8843" t="s">
        <v>26598</v>
      </c>
      <c r="C8843" t="str">
        <f t="shared" si="137"/>
        <v>82515772</v>
      </c>
      <c r="D8843" t="s">
        <v>227</v>
      </c>
      <c r="E8843" t="s">
        <v>26597</v>
      </c>
      <c r="F8843" t="s">
        <v>228</v>
      </c>
      <c r="I8843" t="s">
        <v>29</v>
      </c>
      <c r="J8843" t="s">
        <v>30</v>
      </c>
      <c r="K8843" t="s">
        <v>31</v>
      </c>
      <c r="M8843" t="s">
        <v>18479</v>
      </c>
      <c r="N8843" t="str">
        <f t="shared" si="138"/>
        <v>8/11/2015 4:48:00 PM</v>
      </c>
      <c r="O8843" t="s">
        <v>227</v>
      </c>
      <c r="T8843" t="s">
        <v>26597</v>
      </c>
    </row>
    <row r="8844" spans="1:20" x14ac:dyDescent="0.25">
      <c r="A8844" t="str">
        <f>"3038121"</f>
        <v>3038121</v>
      </c>
      <c r="B8844" t="s">
        <v>26599</v>
      </c>
      <c r="C8844" t="str">
        <f t="shared" si="137"/>
        <v>82515772</v>
      </c>
      <c r="D8844" t="s">
        <v>227</v>
      </c>
      <c r="E8844" t="s">
        <v>26597</v>
      </c>
      <c r="F8844" t="s">
        <v>228</v>
      </c>
      <c r="I8844" t="s">
        <v>29</v>
      </c>
      <c r="J8844" t="s">
        <v>30</v>
      </c>
      <c r="K8844" t="s">
        <v>31</v>
      </c>
      <c r="M8844" t="s">
        <v>18479</v>
      </c>
      <c r="N8844" t="str">
        <f t="shared" si="138"/>
        <v>8/11/2015 4:48:00 PM</v>
      </c>
      <c r="O8844" t="s">
        <v>227</v>
      </c>
      <c r="T8844" t="s">
        <v>26597</v>
      </c>
    </row>
    <row r="8845" spans="1:20" x14ac:dyDescent="0.25">
      <c r="A8845" t="str">
        <f>"3038113"</f>
        <v>3038113</v>
      </c>
      <c r="B8845" t="s">
        <v>26600</v>
      </c>
      <c r="C8845" t="str">
        <f t="shared" si="137"/>
        <v>82515772</v>
      </c>
      <c r="D8845" t="s">
        <v>227</v>
      </c>
      <c r="E8845" t="s">
        <v>26597</v>
      </c>
      <c r="F8845" t="s">
        <v>228</v>
      </c>
      <c r="I8845" t="s">
        <v>29</v>
      </c>
      <c r="J8845" t="s">
        <v>30</v>
      </c>
      <c r="K8845" t="s">
        <v>31</v>
      </c>
      <c r="M8845" t="s">
        <v>18479</v>
      </c>
      <c r="N8845" t="str">
        <f t="shared" si="138"/>
        <v>8/11/2015 4:48:00 PM</v>
      </c>
      <c r="O8845" t="s">
        <v>227</v>
      </c>
      <c r="T8845" t="s">
        <v>26597</v>
      </c>
    </row>
    <row r="8846" spans="1:20" x14ac:dyDescent="0.25">
      <c r="A8846" t="str">
        <f>"3038117"</f>
        <v>3038117</v>
      </c>
      <c r="B8846" t="s">
        <v>26601</v>
      </c>
      <c r="C8846" t="str">
        <f t="shared" si="137"/>
        <v>82515772</v>
      </c>
      <c r="D8846" t="s">
        <v>227</v>
      </c>
      <c r="E8846" t="s">
        <v>26597</v>
      </c>
      <c r="F8846" t="s">
        <v>228</v>
      </c>
      <c r="I8846" t="s">
        <v>29</v>
      </c>
      <c r="J8846" t="s">
        <v>30</v>
      </c>
      <c r="K8846" t="s">
        <v>31</v>
      </c>
      <c r="M8846" t="s">
        <v>18479</v>
      </c>
      <c r="N8846" t="str">
        <f t="shared" si="138"/>
        <v>8/11/2015 4:48:00 PM</v>
      </c>
      <c r="O8846" t="s">
        <v>227</v>
      </c>
      <c r="T8846" t="s">
        <v>26597</v>
      </c>
    </row>
    <row r="8847" spans="1:20" x14ac:dyDescent="0.25">
      <c r="A8847" t="str">
        <f>"3038120"</f>
        <v>3038120</v>
      </c>
      <c r="B8847" t="s">
        <v>26602</v>
      </c>
      <c r="C8847" t="str">
        <f t="shared" si="137"/>
        <v>82515772</v>
      </c>
      <c r="D8847" t="s">
        <v>227</v>
      </c>
      <c r="E8847" t="s">
        <v>26597</v>
      </c>
      <c r="F8847" t="s">
        <v>228</v>
      </c>
      <c r="I8847" t="s">
        <v>29</v>
      </c>
      <c r="J8847" t="s">
        <v>30</v>
      </c>
      <c r="K8847" t="s">
        <v>31</v>
      </c>
      <c r="M8847" t="s">
        <v>18479</v>
      </c>
      <c r="N8847" t="str">
        <f t="shared" si="138"/>
        <v>8/11/2015 4:48:00 PM</v>
      </c>
      <c r="O8847" t="s">
        <v>227</v>
      </c>
      <c r="T8847" t="s">
        <v>26597</v>
      </c>
    </row>
    <row r="8848" spans="1:20" x14ac:dyDescent="0.25">
      <c r="A8848" t="str">
        <f>"3039228"</f>
        <v>3039228</v>
      </c>
      <c r="B8848" t="s">
        <v>26603</v>
      </c>
      <c r="C8848" t="str">
        <f t="shared" si="137"/>
        <v>82515772</v>
      </c>
      <c r="D8848" t="s">
        <v>227</v>
      </c>
      <c r="E8848" t="s">
        <v>26597</v>
      </c>
      <c r="F8848" t="s">
        <v>228</v>
      </c>
      <c r="I8848" t="s">
        <v>29</v>
      </c>
      <c r="J8848" t="s">
        <v>30</v>
      </c>
      <c r="K8848" t="s">
        <v>31</v>
      </c>
      <c r="M8848" t="s">
        <v>18479</v>
      </c>
      <c r="N8848" t="str">
        <f t="shared" si="138"/>
        <v>8/11/2015 4:48:00 PM</v>
      </c>
      <c r="O8848" t="s">
        <v>227</v>
      </c>
      <c r="T8848" t="s">
        <v>26597</v>
      </c>
    </row>
    <row r="8849" spans="1:20" x14ac:dyDescent="0.25">
      <c r="A8849" t="str">
        <f>"3038729"</f>
        <v>3038729</v>
      </c>
      <c r="B8849" t="s">
        <v>26604</v>
      </c>
      <c r="C8849" t="str">
        <f t="shared" si="137"/>
        <v>82515772</v>
      </c>
      <c r="D8849" t="s">
        <v>227</v>
      </c>
      <c r="E8849" t="s">
        <v>26597</v>
      </c>
      <c r="F8849" t="s">
        <v>228</v>
      </c>
      <c r="I8849" t="s">
        <v>29</v>
      </c>
      <c r="J8849" t="s">
        <v>30</v>
      </c>
      <c r="K8849" t="s">
        <v>31</v>
      </c>
      <c r="M8849" t="s">
        <v>18479</v>
      </c>
      <c r="N8849" t="str">
        <f t="shared" si="138"/>
        <v>8/11/2015 4:48:00 PM</v>
      </c>
      <c r="O8849" t="s">
        <v>227</v>
      </c>
      <c r="T8849" t="s">
        <v>26597</v>
      </c>
    </row>
    <row r="8850" spans="1:20" x14ac:dyDescent="0.25">
      <c r="A8850" t="str">
        <f>"3040488"</f>
        <v>3040488</v>
      </c>
      <c r="B8850" t="s">
        <v>26605</v>
      </c>
      <c r="C8850" t="str">
        <f>"8305145"</f>
        <v>8305145</v>
      </c>
      <c r="D8850" t="s">
        <v>26606</v>
      </c>
      <c r="E8850" t="s">
        <v>26607</v>
      </c>
      <c r="F8850" t="s">
        <v>26608</v>
      </c>
      <c r="I8850" t="s">
        <v>184</v>
      </c>
      <c r="J8850" t="s">
        <v>30</v>
      </c>
      <c r="K8850" t="str">
        <f>"27006"</f>
        <v>27006</v>
      </c>
      <c r="M8850" t="s">
        <v>17861</v>
      </c>
      <c r="N8850" t="str">
        <f>"6/25/2015 12:51:00 PM"</f>
        <v>6/25/2015 12:51:00 PM</v>
      </c>
      <c r="O8850" t="s">
        <v>26606</v>
      </c>
      <c r="T8850" t="s">
        <v>26607</v>
      </c>
    </row>
    <row r="8851" spans="1:20" x14ac:dyDescent="0.25">
      <c r="A8851" t="str">
        <f>"3041532"</f>
        <v>3041532</v>
      </c>
      <c r="B8851" t="s">
        <v>26609</v>
      </c>
      <c r="C8851" t="str">
        <f>"8305277"</f>
        <v>8305277</v>
      </c>
      <c r="D8851" t="s">
        <v>26610</v>
      </c>
      <c r="F8851" t="s">
        <v>26611</v>
      </c>
      <c r="I8851" t="s">
        <v>2071</v>
      </c>
      <c r="J8851" t="s">
        <v>30</v>
      </c>
      <c r="K8851" t="str">
        <f>"27006"</f>
        <v>27006</v>
      </c>
      <c r="M8851" t="s">
        <v>17861</v>
      </c>
      <c r="N8851" t="str">
        <f>"7/27/2015 4:22:00 PM"</f>
        <v>7/27/2015 4:22:00 PM</v>
      </c>
      <c r="O8851" t="s">
        <v>26610</v>
      </c>
    </row>
    <row r="8852" spans="1:20" x14ac:dyDescent="0.25">
      <c r="A8852" t="str">
        <f>"3042349"</f>
        <v>3042349</v>
      </c>
      <c r="B8852" t="s">
        <v>26612</v>
      </c>
      <c r="C8852" t="str">
        <f>"8305278"</f>
        <v>8305278</v>
      </c>
      <c r="D8852" t="s">
        <v>26613</v>
      </c>
      <c r="E8852" t="s">
        <v>26614</v>
      </c>
      <c r="F8852" t="s">
        <v>26615</v>
      </c>
      <c r="I8852" t="s">
        <v>184</v>
      </c>
      <c r="J8852" t="s">
        <v>30</v>
      </c>
      <c r="K8852" t="str">
        <f>"27006"</f>
        <v>27006</v>
      </c>
      <c r="M8852" t="s">
        <v>17861</v>
      </c>
      <c r="N8852" t="str">
        <f>"7/27/2015 4:39:00 PM"</f>
        <v>7/27/2015 4:39:00 PM</v>
      </c>
      <c r="O8852" t="s">
        <v>26613</v>
      </c>
      <c r="T8852" t="s">
        <v>26614</v>
      </c>
    </row>
    <row r="8853" spans="1:20" x14ac:dyDescent="0.25">
      <c r="A8853" t="str">
        <f>"3045154"</f>
        <v>3045154</v>
      </c>
      <c r="B8853" t="s">
        <v>26616</v>
      </c>
      <c r="C8853" t="str">
        <f>"8305285"</f>
        <v>8305285</v>
      </c>
      <c r="D8853" t="s">
        <v>26451</v>
      </c>
      <c r="F8853" t="s">
        <v>26452</v>
      </c>
      <c r="I8853" t="s">
        <v>29</v>
      </c>
      <c r="J8853" t="s">
        <v>30</v>
      </c>
      <c r="K8853" t="str">
        <f>"27028"</f>
        <v>27028</v>
      </c>
      <c r="M8853" t="s">
        <v>17861</v>
      </c>
      <c r="N8853" t="str">
        <f>"7/28/2015 10:34:00 AM"</f>
        <v>7/28/2015 10:34:00 AM</v>
      </c>
      <c r="O8853" t="s">
        <v>26451</v>
      </c>
    </row>
    <row r="8854" spans="1:20" x14ac:dyDescent="0.25">
      <c r="A8854" t="str">
        <f>"3045563"</f>
        <v>3045563</v>
      </c>
      <c r="B8854" t="s">
        <v>26617</v>
      </c>
      <c r="C8854" t="str">
        <f>"8305285"</f>
        <v>8305285</v>
      </c>
      <c r="D8854" t="s">
        <v>26451</v>
      </c>
      <c r="F8854" t="s">
        <v>26452</v>
      </c>
      <c r="I8854" t="s">
        <v>29</v>
      </c>
      <c r="J8854" t="s">
        <v>30</v>
      </c>
      <c r="K8854" t="str">
        <f>"27028"</f>
        <v>27028</v>
      </c>
      <c r="M8854" t="s">
        <v>17861</v>
      </c>
      <c r="N8854" t="str">
        <f>"7/28/2015 10:34:00 AM"</f>
        <v>7/28/2015 10:34:00 AM</v>
      </c>
      <c r="O8854" t="s">
        <v>26451</v>
      </c>
    </row>
    <row r="8855" spans="1:20" x14ac:dyDescent="0.25">
      <c r="A8855" t="str">
        <f>"3060712"</f>
        <v>3060712</v>
      </c>
      <c r="B8855" t="s">
        <v>26618</v>
      </c>
      <c r="C8855" t="str">
        <f>"8305294"</f>
        <v>8305294</v>
      </c>
      <c r="D8855" t="s">
        <v>26619</v>
      </c>
      <c r="F8855" t="s">
        <v>26620</v>
      </c>
      <c r="I8855" t="s">
        <v>2071</v>
      </c>
      <c r="J8855" t="s">
        <v>30</v>
      </c>
      <c r="K8855" t="str">
        <f>"27006"</f>
        <v>27006</v>
      </c>
      <c r="M8855" t="s">
        <v>17861</v>
      </c>
      <c r="N8855" t="str">
        <f>"7/28/2015 2:17:00 PM"</f>
        <v>7/28/2015 2:17:00 PM</v>
      </c>
      <c r="O8855" t="s">
        <v>26619</v>
      </c>
    </row>
    <row r="8856" spans="1:20" x14ac:dyDescent="0.25">
      <c r="A8856" t="str">
        <f>"3045813"</f>
        <v>3045813</v>
      </c>
      <c r="B8856" t="s">
        <v>26621</v>
      </c>
      <c r="C8856" t="str">
        <f>"8305296"</f>
        <v>8305296</v>
      </c>
      <c r="D8856" t="s">
        <v>26622</v>
      </c>
      <c r="F8856" t="s">
        <v>26623</v>
      </c>
      <c r="I8856" t="s">
        <v>29</v>
      </c>
      <c r="J8856" t="s">
        <v>30</v>
      </c>
      <c r="K8856" t="str">
        <f>"27028"</f>
        <v>27028</v>
      </c>
      <c r="M8856" t="s">
        <v>17861</v>
      </c>
      <c r="N8856" t="str">
        <f>"7/28/2015 2:36:00 PM"</f>
        <v>7/28/2015 2:36:00 PM</v>
      </c>
      <c r="O8856" t="s">
        <v>26622</v>
      </c>
    </row>
    <row r="8857" spans="1:20" x14ac:dyDescent="0.25">
      <c r="A8857" t="str">
        <f>"3059885"</f>
        <v>3059885</v>
      </c>
      <c r="B8857" t="s">
        <v>26624</v>
      </c>
      <c r="C8857" t="str">
        <f>"8305297"</f>
        <v>8305297</v>
      </c>
      <c r="D8857" t="s">
        <v>26625</v>
      </c>
      <c r="F8857" t="s">
        <v>26626</v>
      </c>
      <c r="I8857" t="s">
        <v>29</v>
      </c>
      <c r="J8857" t="s">
        <v>30</v>
      </c>
      <c r="K8857" t="str">
        <f>"27028"</f>
        <v>27028</v>
      </c>
      <c r="M8857" t="s">
        <v>17861</v>
      </c>
      <c r="N8857" t="str">
        <f>"7/28/2015 2:40:00 PM"</f>
        <v>7/28/2015 2:40:00 PM</v>
      </c>
      <c r="O8857" t="s">
        <v>26625</v>
      </c>
    </row>
    <row r="8858" spans="1:20" x14ac:dyDescent="0.25">
      <c r="A8858" t="str">
        <f>"3059945"</f>
        <v>3059945</v>
      </c>
      <c r="B8858" t="s">
        <v>26627</v>
      </c>
      <c r="C8858" t="str">
        <f>"8305303"</f>
        <v>8305303</v>
      </c>
      <c r="D8858" t="s">
        <v>16095</v>
      </c>
      <c r="E8858" t="s">
        <v>26486</v>
      </c>
      <c r="F8858" t="s">
        <v>16096</v>
      </c>
      <c r="I8858" t="s">
        <v>29</v>
      </c>
      <c r="J8858" t="s">
        <v>30</v>
      </c>
      <c r="K8858" t="str">
        <f>"27028"</f>
        <v>27028</v>
      </c>
      <c r="M8858" t="s">
        <v>17861</v>
      </c>
      <c r="N8858" t="str">
        <f>"7/29/2015 11:16:00 AM"</f>
        <v>7/29/2015 11:16:00 AM</v>
      </c>
      <c r="O8858" t="s">
        <v>16095</v>
      </c>
      <c r="T8858" t="s">
        <v>26486</v>
      </c>
    </row>
    <row r="8859" spans="1:20" x14ac:dyDescent="0.25">
      <c r="A8859" t="str">
        <f>"3057259"</f>
        <v>3057259</v>
      </c>
      <c r="B8859" t="s">
        <v>26628</v>
      </c>
      <c r="C8859" t="str">
        <f>"8305303"</f>
        <v>8305303</v>
      </c>
      <c r="D8859" t="s">
        <v>16095</v>
      </c>
      <c r="E8859" t="s">
        <v>26486</v>
      </c>
      <c r="F8859" t="s">
        <v>16096</v>
      </c>
      <c r="I8859" t="s">
        <v>29</v>
      </c>
      <c r="J8859" t="s">
        <v>30</v>
      </c>
      <c r="K8859" t="str">
        <f>"27028"</f>
        <v>27028</v>
      </c>
      <c r="M8859" t="s">
        <v>17861</v>
      </c>
      <c r="N8859" t="str">
        <f>"7/29/2015 11:16:00 AM"</f>
        <v>7/29/2015 11:16:00 AM</v>
      </c>
      <c r="O8859" t="s">
        <v>16095</v>
      </c>
      <c r="T8859" t="s">
        <v>26486</v>
      </c>
    </row>
    <row r="8860" spans="1:20" x14ac:dyDescent="0.25">
      <c r="A8860" t="str">
        <f>"3059433"</f>
        <v>3059433</v>
      </c>
      <c r="B8860" t="s">
        <v>26629</v>
      </c>
      <c r="C8860" t="str">
        <f>"8305315"</f>
        <v>8305315</v>
      </c>
      <c r="D8860" t="s">
        <v>26630</v>
      </c>
      <c r="F8860" t="s">
        <v>26631</v>
      </c>
      <c r="I8860" t="s">
        <v>29</v>
      </c>
      <c r="J8860" t="s">
        <v>30</v>
      </c>
      <c r="K8860" t="str">
        <f>"27028"</f>
        <v>27028</v>
      </c>
      <c r="M8860" t="s">
        <v>17861</v>
      </c>
      <c r="N8860" t="str">
        <f>"7/31/2015 10:31:00 AM"</f>
        <v>7/31/2015 10:31:00 AM</v>
      </c>
      <c r="O8860" t="s">
        <v>26630</v>
      </c>
    </row>
    <row r="8861" spans="1:20" x14ac:dyDescent="0.25">
      <c r="A8861" t="str">
        <f>"3052985"</f>
        <v>3052985</v>
      </c>
      <c r="B8861" t="s">
        <v>26632</v>
      </c>
      <c r="C8861" t="str">
        <f>"82524747"</f>
        <v>82524747</v>
      </c>
      <c r="D8861" t="s">
        <v>26633</v>
      </c>
      <c r="E8861" t="s">
        <v>26634</v>
      </c>
      <c r="F8861" t="s">
        <v>26635</v>
      </c>
      <c r="I8861" t="s">
        <v>29</v>
      </c>
      <c r="J8861" t="s">
        <v>30</v>
      </c>
      <c r="K8861" t="s">
        <v>31</v>
      </c>
      <c r="M8861" t="s">
        <v>18479</v>
      </c>
      <c r="N8861" t="str">
        <f>"8/13/2015 9:01:00 AM"</f>
        <v>8/13/2015 9:01:00 AM</v>
      </c>
      <c r="O8861" t="s">
        <v>26633</v>
      </c>
      <c r="T8861" t="s">
        <v>26634</v>
      </c>
    </row>
    <row r="8862" spans="1:20" x14ac:dyDescent="0.25">
      <c r="A8862" t="str">
        <f>"3049149"</f>
        <v>3049149</v>
      </c>
      <c r="B8862" t="s">
        <v>26636</v>
      </c>
      <c r="C8862" t="str">
        <f>"81092000"</f>
        <v>81092000</v>
      </c>
      <c r="D8862" t="s">
        <v>26637</v>
      </c>
      <c r="E8862" t="s">
        <v>26638</v>
      </c>
      <c r="F8862" t="s">
        <v>26639</v>
      </c>
      <c r="I8862" t="s">
        <v>29</v>
      </c>
      <c r="J8862" t="s">
        <v>30</v>
      </c>
      <c r="K8862" t="s">
        <v>31</v>
      </c>
      <c r="M8862" t="s">
        <v>18479</v>
      </c>
      <c r="N8862" t="str">
        <f>"8/13/2015 9:10:00 AM"</f>
        <v>8/13/2015 9:10:00 AM</v>
      </c>
      <c r="O8862" t="s">
        <v>26637</v>
      </c>
      <c r="T8862" t="s">
        <v>26638</v>
      </c>
    </row>
    <row r="8863" spans="1:20" x14ac:dyDescent="0.25">
      <c r="A8863" t="str">
        <f>"3049150"</f>
        <v>3049150</v>
      </c>
      <c r="B8863" t="s">
        <v>26640</v>
      </c>
      <c r="C8863" t="str">
        <f>"81092000"</f>
        <v>81092000</v>
      </c>
      <c r="D8863" t="s">
        <v>26637</v>
      </c>
      <c r="E8863" t="s">
        <v>26638</v>
      </c>
      <c r="F8863" t="s">
        <v>26639</v>
      </c>
      <c r="I8863" t="s">
        <v>29</v>
      </c>
      <c r="J8863" t="s">
        <v>30</v>
      </c>
      <c r="K8863" t="s">
        <v>31</v>
      </c>
      <c r="M8863" t="s">
        <v>18479</v>
      </c>
      <c r="N8863" t="str">
        <f>"8/13/2015 9:10:00 AM"</f>
        <v>8/13/2015 9:10:00 AM</v>
      </c>
      <c r="O8863" t="s">
        <v>26637</v>
      </c>
      <c r="T8863" t="s">
        <v>26638</v>
      </c>
    </row>
    <row r="8864" spans="1:20" x14ac:dyDescent="0.25">
      <c r="A8864" t="str">
        <f>"3058193"</f>
        <v>3058193</v>
      </c>
      <c r="B8864" t="s">
        <v>26641</v>
      </c>
      <c r="C8864" t="str">
        <f>"81092000"</f>
        <v>81092000</v>
      </c>
      <c r="D8864" t="s">
        <v>26637</v>
      </c>
      <c r="E8864" t="s">
        <v>26638</v>
      </c>
      <c r="F8864" t="s">
        <v>26639</v>
      </c>
      <c r="I8864" t="s">
        <v>29</v>
      </c>
      <c r="J8864" t="s">
        <v>30</v>
      </c>
      <c r="K8864" t="s">
        <v>31</v>
      </c>
      <c r="M8864" t="s">
        <v>18479</v>
      </c>
      <c r="N8864" t="str">
        <f>"8/13/2015 9:10:00 AM"</f>
        <v>8/13/2015 9:10:00 AM</v>
      </c>
      <c r="O8864" t="s">
        <v>26637</v>
      </c>
      <c r="T8864" t="s">
        <v>26638</v>
      </c>
    </row>
    <row r="8865" spans="1:20" x14ac:dyDescent="0.25">
      <c r="A8865" t="str">
        <f>"3060846"</f>
        <v>3060846</v>
      </c>
      <c r="B8865" t="s">
        <v>26642</v>
      </c>
      <c r="C8865" t="str">
        <f>"82524037"</f>
        <v>82524037</v>
      </c>
      <c r="D8865" t="s">
        <v>26643</v>
      </c>
      <c r="E8865" t="s">
        <v>26644</v>
      </c>
      <c r="F8865" t="s">
        <v>26645</v>
      </c>
      <c r="I8865" t="s">
        <v>184</v>
      </c>
      <c r="J8865" t="s">
        <v>30</v>
      </c>
      <c r="K8865" t="s">
        <v>4789</v>
      </c>
      <c r="M8865" t="s">
        <v>25494</v>
      </c>
      <c r="N8865" t="str">
        <f>"8/4/2015 8:53:00 AM"</f>
        <v>8/4/2015 8:53:00 AM</v>
      </c>
      <c r="O8865" t="s">
        <v>26643</v>
      </c>
      <c r="T8865" t="s">
        <v>26644</v>
      </c>
    </row>
    <row r="8866" spans="1:20" x14ac:dyDescent="0.25">
      <c r="A8866" t="str">
        <f>"3043935"</f>
        <v>3043935</v>
      </c>
      <c r="B8866" t="s">
        <v>26646</v>
      </c>
      <c r="C8866" t="str">
        <f>"8305326"</f>
        <v>8305326</v>
      </c>
      <c r="D8866" t="s">
        <v>17407</v>
      </c>
      <c r="E8866" t="s">
        <v>14238</v>
      </c>
      <c r="F8866" t="s">
        <v>17408</v>
      </c>
      <c r="I8866" t="s">
        <v>184</v>
      </c>
      <c r="J8866" t="s">
        <v>30</v>
      </c>
      <c r="K8866" t="str">
        <f>"27006"</f>
        <v>27006</v>
      </c>
      <c r="M8866" t="s">
        <v>17861</v>
      </c>
      <c r="N8866" t="str">
        <f>"8/4/2015 11:12:00 AM"</f>
        <v>8/4/2015 11:12:00 AM</v>
      </c>
      <c r="O8866" t="s">
        <v>17407</v>
      </c>
      <c r="T8866" t="s">
        <v>14238</v>
      </c>
    </row>
    <row r="8867" spans="1:20" x14ac:dyDescent="0.25">
      <c r="A8867" t="str">
        <f>"3046185"</f>
        <v>3046185</v>
      </c>
      <c r="B8867" t="s">
        <v>26647</v>
      </c>
      <c r="C8867" t="str">
        <f>"8305328"</f>
        <v>8305328</v>
      </c>
      <c r="D8867" t="s">
        <v>26648</v>
      </c>
      <c r="E8867" t="s">
        <v>26649</v>
      </c>
      <c r="F8867" t="s">
        <v>26650</v>
      </c>
      <c r="I8867" t="s">
        <v>29</v>
      </c>
      <c r="J8867" t="s">
        <v>30</v>
      </c>
      <c r="K8867" t="str">
        <f>"27028"</f>
        <v>27028</v>
      </c>
      <c r="M8867" t="s">
        <v>17861</v>
      </c>
      <c r="N8867" t="str">
        <f>"8/4/2015 11:43:00 AM"</f>
        <v>8/4/2015 11:43:00 AM</v>
      </c>
      <c r="O8867" t="s">
        <v>26648</v>
      </c>
      <c r="T8867" t="s">
        <v>26649</v>
      </c>
    </row>
    <row r="8868" spans="1:20" x14ac:dyDescent="0.25">
      <c r="A8868" t="str">
        <f>"3050875"</f>
        <v>3050875</v>
      </c>
      <c r="B8868" t="s">
        <v>26651</v>
      </c>
      <c r="C8868" t="str">
        <f>"82516200"</f>
        <v>82516200</v>
      </c>
      <c r="D8868" t="s">
        <v>26652</v>
      </c>
      <c r="E8868" t="s">
        <v>26653</v>
      </c>
      <c r="F8868" t="s">
        <v>26654</v>
      </c>
      <c r="I8868" t="s">
        <v>184</v>
      </c>
      <c r="J8868" t="s">
        <v>30</v>
      </c>
      <c r="K8868" t="s">
        <v>185</v>
      </c>
      <c r="M8868" t="s">
        <v>18479</v>
      </c>
      <c r="N8868" t="str">
        <f>"8/13/2015 10:38:00 AM"</f>
        <v>8/13/2015 10:38:00 AM</v>
      </c>
      <c r="O8868" t="s">
        <v>26652</v>
      </c>
      <c r="T8868" t="s">
        <v>26653</v>
      </c>
    </row>
    <row r="8869" spans="1:20" x14ac:dyDescent="0.25">
      <c r="A8869" t="str">
        <f>"3062054"</f>
        <v>3062054</v>
      </c>
      <c r="B8869" t="s">
        <v>26655</v>
      </c>
      <c r="C8869" t="str">
        <f>"75392000"</f>
        <v>75392000</v>
      </c>
      <c r="D8869" t="s">
        <v>26656</v>
      </c>
      <c r="E8869" t="s">
        <v>26657</v>
      </c>
      <c r="F8869" t="s">
        <v>26658</v>
      </c>
      <c r="I8869" t="s">
        <v>29</v>
      </c>
      <c r="J8869" t="s">
        <v>30</v>
      </c>
      <c r="K8869" t="s">
        <v>31</v>
      </c>
      <c r="M8869" t="s">
        <v>18479</v>
      </c>
      <c r="N8869" t="str">
        <f>"8/13/2015 10:42:00 AM"</f>
        <v>8/13/2015 10:42:00 AM</v>
      </c>
      <c r="O8869" t="s">
        <v>26656</v>
      </c>
      <c r="T8869" t="s">
        <v>26657</v>
      </c>
    </row>
    <row r="8870" spans="1:20" x14ac:dyDescent="0.25">
      <c r="A8870" t="str">
        <f>"3062083"</f>
        <v>3062083</v>
      </c>
      <c r="B8870" t="s">
        <v>26659</v>
      </c>
      <c r="C8870" t="str">
        <f>"75392000"</f>
        <v>75392000</v>
      </c>
      <c r="D8870" t="s">
        <v>26656</v>
      </c>
      <c r="E8870" t="s">
        <v>26657</v>
      </c>
      <c r="F8870" t="s">
        <v>26658</v>
      </c>
      <c r="I8870" t="s">
        <v>29</v>
      </c>
      <c r="J8870" t="s">
        <v>30</v>
      </c>
      <c r="K8870" t="s">
        <v>31</v>
      </c>
      <c r="M8870" t="s">
        <v>18479</v>
      </c>
      <c r="N8870" t="str">
        <f>"8/13/2015 10:42:00 AM"</f>
        <v>8/13/2015 10:42:00 AM</v>
      </c>
      <c r="O8870" t="s">
        <v>26656</v>
      </c>
      <c r="T8870" t="s">
        <v>26657</v>
      </c>
    </row>
    <row r="8871" spans="1:20" x14ac:dyDescent="0.25">
      <c r="A8871" t="str">
        <f>"3056359"</f>
        <v>3056359</v>
      </c>
      <c r="B8871" t="s">
        <v>26660</v>
      </c>
      <c r="C8871" t="str">
        <f>"75481500"</f>
        <v>75481500</v>
      </c>
      <c r="D8871" t="s">
        <v>26661</v>
      </c>
      <c r="E8871" t="s">
        <v>26662</v>
      </c>
      <c r="F8871" t="s">
        <v>26663</v>
      </c>
      <c r="I8871" t="s">
        <v>29</v>
      </c>
      <c r="J8871" t="s">
        <v>30</v>
      </c>
      <c r="K8871" t="s">
        <v>26664</v>
      </c>
      <c r="M8871" t="s">
        <v>18479</v>
      </c>
      <c r="N8871" t="str">
        <f>"8/13/2015 11:09:00 AM"</f>
        <v>8/13/2015 11:09:00 AM</v>
      </c>
      <c r="O8871" t="s">
        <v>26661</v>
      </c>
      <c r="T8871" t="s">
        <v>26662</v>
      </c>
    </row>
    <row r="8872" spans="1:20" x14ac:dyDescent="0.25">
      <c r="A8872" t="str">
        <f>"3056697"</f>
        <v>3056697</v>
      </c>
      <c r="B8872" t="s">
        <v>26665</v>
      </c>
      <c r="C8872" t="str">
        <f>"75481500"</f>
        <v>75481500</v>
      </c>
      <c r="D8872" t="s">
        <v>26661</v>
      </c>
      <c r="E8872" t="s">
        <v>26662</v>
      </c>
      <c r="F8872" t="s">
        <v>26663</v>
      </c>
      <c r="I8872" t="s">
        <v>29</v>
      </c>
      <c r="J8872" t="s">
        <v>30</v>
      </c>
      <c r="K8872" t="s">
        <v>26664</v>
      </c>
      <c r="M8872" t="s">
        <v>18479</v>
      </c>
      <c r="N8872" t="str">
        <f>"8/13/2015 11:09:00 AM"</f>
        <v>8/13/2015 11:09:00 AM</v>
      </c>
      <c r="O8872" t="s">
        <v>26661</v>
      </c>
      <c r="T8872" t="s">
        <v>26662</v>
      </c>
    </row>
    <row r="8873" spans="1:20" x14ac:dyDescent="0.25">
      <c r="A8873" t="str">
        <f>"3061246"</f>
        <v>3061246</v>
      </c>
      <c r="B8873" t="s">
        <v>26666</v>
      </c>
      <c r="C8873" t="str">
        <f>"8304332"</f>
        <v>8304332</v>
      </c>
      <c r="D8873" t="s">
        <v>26667</v>
      </c>
      <c r="E8873" t="s">
        <v>26668</v>
      </c>
      <c r="F8873" t="s">
        <v>26669</v>
      </c>
      <c r="I8873" t="s">
        <v>184</v>
      </c>
      <c r="J8873" t="s">
        <v>30</v>
      </c>
      <c r="K8873" t="str">
        <f>"27006"</f>
        <v>27006</v>
      </c>
      <c r="M8873" t="s">
        <v>18479</v>
      </c>
      <c r="N8873" t="str">
        <f>"8/13/2015 11:11:00 AM"</f>
        <v>8/13/2015 11:11:00 AM</v>
      </c>
      <c r="O8873" t="s">
        <v>26667</v>
      </c>
      <c r="T8873" t="s">
        <v>26668</v>
      </c>
    </row>
    <row r="8874" spans="1:20" x14ac:dyDescent="0.25">
      <c r="A8874" t="str">
        <f>"3048393"</f>
        <v>3048393</v>
      </c>
      <c r="B8874" t="s">
        <v>26670</v>
      </c>
      <c r="C8874" t="str">
        <f>"72393130"</f>
        <v>72393130</v>
      </c>
      <c r="D8874" t="s">
        <v>26671</v>
      </c>
      <c r="E8874" t="s">
        <v>26672</v>
      </c>
      <c r="F8874" t="s">
        <v>26673</v>
      </c>
      <c r="I8874" t="s">
        <v>184</v>
      </c>
      <c r="J8874" t="s">
        <v>30</v>
      </c>
      <c r="K8874" t="s">
        <v>10639</v>
      </c>
      <c r="M8874" t="s">
        <v>18479</v>
      </c>
      <c r="N8874" t="str">
        <f>"8/13/2015 11:31:00 AM"</f>
        <v>8/13/2015 11:31:00 AM</v>
      </c>
      <c r="O8874" t="s">
        <v>26671</v>
      </c>
      <c r="T8874" t="s">
        <v>26672</v>
      </c>
    </row>
    <row r="8875" spans="1:20" x14ac:dyDescent="0.25">
      <c r="A8875" t="str">
        <f>"3055508"</f>
        <v>3055508</v>
      </c>
      <c r="B8875" t="s">
        <v>26674</v>
      </c>
      <c r="C8875" t="str">
        <f>"72608000"</f>
        <v>72608000</v>
      </c>
      <c r="D8875" t="s">
        <v>26675</v>
      </c>
      <c r="E8875" t="s">
        <v>26676</v>
      </c>
      <c r="F8875" t="s">
        <v>26677</v>
      </c>
      <c r="I8875" t="s">
        <v>29</v>
      </c>
      <c r="J8875" t="s">
        <v>30</v>
      </c>
      <c r="K8875" t="s">
        <v>12113</v>
      </c>
      <c r="M8875" t="s">
        <v>18479</v>
      </c>
      <c r="N8875" t="str">
        <f>"8/13/2015 11:46:00 AM"</f>
        <v>8/13/2015 11:46:00 AM</v>
      </c>
      <c r="O8875" t="s">
        <v>26675</v>
      </c>
      <c r="T8875" t="s">
        <v>26676</v>
      </c>
    </row>
    <row r="8876" spans="1:20" x14ac:dyDescent="0.25">
      <c r="A8876" t="str">
        <f>"3054911"</f>
        <v>3054911</v>
      </c>
      <c r="B8876" t="s">
        <v>26678</v>
      </c>
      <c r="C8876" t="str">
        <f>"72608000"</f>
        <v>72608000</v>
      </c>
      <c r="D8876" t="s">
        <v>26675</v>
      </c>
      <c r="E8876" t="s">
        <v>26676</v>
      </c>
      <c r="F8876" t="s">
        <v>26677</v>
      </c>
      <c r="I8876" t="s">
        <v>29</v>
      </c>
      <c r="J8876" t="s">
        <v>30</v>
      </c>
      <c r="K8876" t="s">
        <v>12113</v>
      </c>
      <c r="M8876" t="s">
        <v>18479</v>
      </c>
      <c r="N8876" t="str">
        <f>"8/13/2015 11:46:00 AM"</f>
        <v>8/13/2015 11:46:00 AM</v>
      </c>
      <c r="O8876" t="s">
        <v>26675</v>
      </c>
      <c r="T8876" t="s">
        <v>26676</v>
      </c>
    </row>
    <row r="8877" spans="1:20" x14ac:dyDescent="0.25">
      <c r="A8877" t="str">
        <f>"3041735"</f>
        <v>3041735</v>
      </c>
      <c r="B8877" t="s">
        <v>26679</v>
      </c>
      <c r="C8877" t="str">
        <f>"8305341"</f>
        <v>8305341</v>
      </c>
      <c r="D8877" t="s">
        <v>26680</v>
      </c>
      <c r="E8877" t="s">
        <v>26681</v>
      </c>
      <c r="F8877" t="s">
        <v>26682</v>
      </c>
      <c r="I8877" t="s">
        <v>2071</v>
      </c>
      <c r="J8877" t="s">
        <v>30</v>
      </c>
      <c r="K8877" t="str">
        <f>"27006"</f>
        <v>27006</v>
      </c>
      <c r="M8877" t="s">
        <v>17861</v>
      </c>
      <c r="N8877" t="str">
        <f>"8/7/2015 3:20:00 PM"</f>
        <v>8/7/2015 3:20:00 PM</v>
      </c>
      <c r="O8877" t="s">
        <v>26680</v>
      </c>
      <c r="T8877" t="s">
        <v>26681</v>
      </c>
    </row>
    <row r="8878" spans="1:20" x14ac:dyDescent="0.25">
      <c r="A8878" t="str">
        <f>"3041454"</f>
        <v>3041454</v>
      </c>
      <c r="B8878" t="s">
        <v>26683</v>
      </c>
      <c r="C8878" t="str">
        <f>"8305349"</f>
        <v>8305349</v>
      </c>
      <c r="D8878" t="s">
        <v>26684</v>
      </c>
      <c r="E8878" t="s">
        <v>26685</v>
      </c>
      <c r="F8878" t="s">
        <v>26686</v>
      </c>
      <c r="I8878" t="s">
        <v>2071</v>
      </c>
      <c r="J8878" t="s">
        <v>30</v>
      </c>
      <c r="K8878" t="str">
        <f>"27006"</f>
        <v>27006</v>
      </c>
      <c r="M8878" t="s">
        <v>17861</v>
      </c>
      <c r="N8878" t="str">
        <f>"8/10/2015 10:17:00 AM"</f>
        <v>8/10/2015 10:17:00 AM</v>
      </c>
      <c r="O8878" t="s">
        <v>26684</v>
      </c>
      <c r="T8878" t="s">
        <v>26685</v>
      </c>
    </row>
    <row r="8879" spans="1:20" x14ac:dyDescent="0.25">
      <c r="A8879" t="str">
        <f>"3046779"</f>
        <v>3046779</v>
      </c>
      <c r="B8879" t="s">
        <v>26687</v>
      </c>
      <c r="C8879" t="str">
        <f>"8305350"</f>
        <v>8305350</v>
      </c>
      <c r="D8879" t="s">
        <v>26688</v>
      </c>
      <c r="E8879" t="s">
        <v>26689</v>
      </c>
      <c r="F8879" t="s">
        <v>26690</v>
      </c>
      <c r="I8879" t="s">
        <v>184</v>
      </c>
      <c r="J8879" t="s">
        <v>30</v>
      </c>
      <c r="K8879" t="str">
        <f>"27006"</f>
        <v>27006</v>
      </c>
      <c r="M8879" t="s">
        <v>17861</v>
      </c>
      <c r="N8879" t="str">
        <f>"8/10/2015 10:22:00 AM"</f>
        <v>8/10/2015 10:22:00 AM</v>
      </c>
      <c r="O8879" t="s">
        <v>26688</v>
      </c>
      <c r="T8879" t="s">
        <v>26689</v>
      </c>
    </row>
    <row r="8880" spans="1:20" x14ac:dyDescent="0.25">
      <c r="A8880" t="str">
        <f>"3042368"</f>
        <v>3042368</v>
      </c>
      <c r="B8880" t="s">
        <v>26691</v>
      </c>
      <c r="C8880" t="str">
        <f>"8305358"</f>
        <v>8305358</v>
      </c>
      <c r="D8880" t="s">
        <v>26692</v>
      </c>
      <c r="E8880" t="s">
        <v>26693</v>
      </c>
      <c r="F8880" t="s">
        <v>26694</v>
      </c>
      <c r="I8880" t="s">
        <v>184</v>
      </c>
      <c r="J8880" t="s">
        <v>30</v>
      </c>
      <c r="K8880" t="str">
        <f>"27006"</f>
        <v>27006</v>
      </c>
      <c r="M8880" t="s">
        <v>17861</v>
      </c>
      <c r="N8880" t="str">
        <f>"8/11/2015 9:53:00 AM"</f>
        <v>8/11/2015 9:53:00 AM</v>
      </c>
      <c r="O8880" t="s">
        <v>26692</v>
      </c>
      <c r="T8880" t="s">
        <v>26693</v>
      </c>
    </row>
    <row r="8881" spans="1:20" x14ac:dyDescent="0.25">
      <c r="A8881" t="str">
        <f>"3061407"</f>
        <v>3061407</v>
      </c>
      <c r="B8881" t="s">
        <v>26695</v>
      </c>
      <c r="C8881" t="str">
        <f>"8304372"</f>
        <v>8304372</v>
      </c>
      <c r="D8881" t="s">
        <v>26696</v>
      </c>
      <c r="F8881" t="s">
        <v>26697</v>
      </c>
      <c r="I8881" t="s">
        <v>184</v>
      </c>
      <c r="J8881" t="s">
        <v>30</v>
      </c>
      <c r="K8881" t="str">
        <f>"27006"</f>
        <v>27006</v>
      </c>
      <c r="M8881" t="s">
        <v>18479</v>
      </c>
      <c r="N8881" t="str">
        <f>"8/14/2015 3:24:00 PM"</f>
        <v>8/14/2015 3:24:00 PM</v>
      </c>
      <c r="O8881" t="s">
        <v>26696</v>
      </c>
    </row>
    <row r="8882" spans="1:20" x14ac:dyDescent="0.25">
      <c r="A8882" t="str">
        <f>"3045825"</f>
        <v>3045825</v>
      </c>
      <c r="B8882" t="s">
        <v>26698</v>
      </c>
      <c r="C8882" t="str">
        <f>"72808000"</f>
        <v>72808000</v>
      </c>
      <c r="D8882" t="s">
        <v>26699</v>
      </c>
      <c r="E8882" t="s">
        <v>26700</v>
      </c>
      <c r="F8882" t="s">
        <v>26701</v>
      </c>
      <c r="I8882" t="s">
        <v>29</v>
      </c>
      <c r="J8882" t="s">
        <v>30</v>
      </c>
      <c r="K8882" t="s">
        <v>31</v>
      </c>
      <c r="M8882" t="s">
        <v>18479</v>
      </c>
      <c r="N8882" t="str">
        <f>"8/14/2015 3:26:00 PM"</f>
        <v>8/14/2015 3:26:00 PM</v>
      </c>
      <c r="O8882" t="s">
        <v>26699</v>
      </c>
      <c r="T8882" t="s">
        <v>26700</v>
      </c>
    </row>
    <row r="8883" spans="1:20" x14ac:dyDescent="0.25">
      <c r="A8883" t="str">
        <f>"3040904"</f>
        <v>3040904</v>
      </c>
      <c r="B8883" t="s">
        <v>26702</v>
      </c>
      <c r="C8883" t="str">
        <f>"72910930"</f>
        <v>72910930</v>
      </c>
      <c r="D8883" t="s">
        <v>26703</v>
      </c>
      <c r="E8883" t="s">
        <v>26704</v>
      </c>
      <c r="F8883" t="s">
        <v>26705</v>
      </c>
      <c r="I8883" t="s">
        <v>184</v>
      </c>
      <c r="J8883" t="s">
        <v>30</v>
      </c>
      <c r="K8883" t="s">
        <v>3517</v>
      </c>
      <c r="M8883" t="s">
        <v>18479</v>
      </c>
      <c r="N8883" t="str">
        <f>"8/14/2015 3:31:00 PM"</f>
        <v>8/14/2015 3:31:00 PM</v>
      </c>
      <c r="O8883" t="s">
        <v>26703</v>
      </c>
      <c r="T8883" t="s">
        <v>26704</v>
      </c>
    </row>
    <row r="8884" spans="1:20" x14ac:dyDescent="0.25">
      <c r="A8884" t="str">
        <f>"3065275"</f>
        <v>3065275</v>
      </c>
      <c r="B8884" t="s">
        <v>26706</v>
      </c>
      <c r="C8884" t="str">
        <f>"82515988"</f>
        <v>82515988</v>
      </c>
      <c r="D8884" t="s">
        <v>26707</v>
      </c>
      <c r="F8884" t="s">
        <v>26708</v>
      </c>
      <c r="I8884" t="s">
        <v>29</v>
      </c>
      <c r="J8884" t="s">
        <v>30</v>
      </c>
      <c r="K8884" t="s">
        <v>31</v>
      </c>
      <c r="M8884" t="s">
        <v>18479</v>
      </c>
      <c r="N8884" t="str">
        <f>"8/11/2015 11:00:00 AM"</f>
        <v>8/11/2015 11:00:00 AM</v>
      </c>
      <c r="O8884" t="s">
        <v>26707</v>
      </c>
    </row>
    <row r="8885" spans="1:20" x14ac:dyDescent="0.25">
      <c r="A8885" t="str">
        <f>"3041259"</f>
        <v>3041259</v>
      </c>
      <c r="B8885" t="s">
        <v>26709</v>
      </c>
      <c r="C8885" t="str">
        <f>"8303543"</f>
        <v>8303543</v>
      </c>
      <c r="D8885" t="s">
        <v>26710</v>
      </c>
      <c r="F8885" t="s">
        <v>26711</v>
      </c>
      <c r="I8885" t="s">
        <v>2071</v>
      </c>
      <c r="J8885" t="s">
        <v>30</v>
      </c>
      <c r="K8885" t="str">
        <f>"27006"</f>
        <v>27006</v>
      </c>
      <c r="M8885" t="s">
        <v>18479</v>
      </c>
      <c r="N8885" t="str">
        <f>"8/17/2015 9:58:00 AM"</f>
        <v>8/17/2015 9:58:00 AM</v>
      </c>
      <c r="O8885" t="s">
        <v>26710</v>
      </c>
    </row>
    <row r="8886" spans="1:20" x14ac:dyDescent="0.25">
      <c r="A8886" t="str">
        <f>"3051988"</f>
        <v>3051988</v>
      </c>
      <c r="B8886" t="s">
        <v>26712</v>
      </c>
      <c r="C8886" t="str">
        <f>"8302459"</f>
        <v>8302459</v>
      </c>
      <c r="D8886" t="s">
        <v>26713</v>
      </c>
      <c r="E8886" t="s">
        <v>26714</v>
      </c>
      <c r="F8886" t="s">
        <v>26715</v>
      </c>
      <c r="I8886" t="s">
        <v>29</v>
      </c>
      <c r="J8886" t="s">
        <v>30</v>
      </c>
      <c r="K8886" t="str">
        <f>"27028"</f>
        <v>27028</v>
      </c>
      <c r="M8886" t="s">
        <v>18479</v>
      </c>
      <c r="N8886" t="str">
        <f>"8/17/2015 10:39:00 AM"</f>
        <v>8/17/2015 10:39:00 AM</v>
      </c>
      <c r="O8886" t="s">
        <v>26713</v>
      </c>
      <c r="T8886" t="s">
        <v>26714</v>
      </c>
    </row>
    <row r="8887" spans="1:20" x14ac:dyDescent="0.25">
      <c r="A8887" t="str">
        <f>"3043002"</f>
        <v>3043002</v>
      </c>
      <c r="B8887" t="s">
        <v>26716</v>
      </c>
      <c r="C8887" t="str">
        <f>"77520000"</f>
        <v>77520000</v>
      </c>
      <c r="D8887" t="s">
        <v>26717</v>
      </c>
      <c r="F8887" t="s">
        <v>26718</v>
      </c>
      <c r="I8887" t="s">
        <v>29</v>
      </c>
      <c r="J8887" t="s">
        <v>30</v>
      </c>
      <c r="K8887" t="s">
        <v>26719</v>
      </c>
      <c r="M8887" t="s">
        <v>18479</v>
      </c>
      <c r="N8887" t="str">
        <f>"8/11/2015 11:01:00 AM"</f>
        <v>8/11/2015 11:01:00 AM</v>
      </c>
      <c r="O8887" t="s">
        <v>26717</v>
      </c>
    </row>
    <row r="8888" spans="1:20" x14ac:dyDescent="0.25">
      <c r="A8888" t="str">
        <f>"3066681"</f>
        <v>3066681</v>
      </c>
      <c r="B8888" t="s">
        <v>26720</v>
      </c>
      <c r="C8888" t="str">
        <f>"77524000"</f>
        <v>77524000</v>
      </c>
      <c r="D8888" t="s">
        <v>1230</v>
      </c>
      <c r="F8888" t="s">
        <v>26570</v>
      </c>
      <c r="I8888" t="s">
        <v>29</v>
      </c>
      <c r="J8888" t="s">
        <v>30</v>
      </c>
      <c r="K8888" t="s">
        <v>26571</v>
      </c>
      <c r="M8888" t="s">
        <v>18479</v>
      </c>
      <c r="N8888" t="str">
        <f>"8/11/2015 11:32:00 AM"</f>
        <v>8/11/2015 11:32:00 AM</v>
      </c>
      <c r="O8888" t="s">
        <v>1230</v>
      </c>
    </row>
    <row r="8889" spans="1:20" x14ac:dyDescent="0.25">
      <c r="A8889" t="str">
        <f>"3048452"</f>
        <v>3048452</v>
      </c>
      <c r="B8889" t="s">
        <v>26721</v>
      </c>
      <c r="C8889" t="str">
        <f>"78205000"</f>
        <v>78205000</v>
      </c>
      <c r="D8889" t="s">
        <v>26722</v>
      </c>
      <c r="E8889" t="s">
        <v>26723</v>
      </c>
      <c r="F8889" t="s">
        <v>26724</v>
      </c>
      <c r="I8889" t="s">
        <v>29</v>
      </c>
      <c r="J8889" t="s">
        <v>30</v>
      </c>
      <c r="K8889" t="s">
        <v>8138</v>
      </c>
      <c r="M8889" t="s">
        <v>18479</v>
      </c>
      <c r="N8889" t="str">
        <f>"8/11/2015 3:40:00 PM"</f>
        <v>8/11/2015 3:40:00 PM</v>
      </c>
      <c r="O8889" t="s">
        <v>26722</v>
      </c>
      <c r="T8889" t="s">
        <v>26723</v>
      </c>
    </row>
    <row r="8890" spans="1:20" x14ac:dyDescent="0.25">
      <c r="A8890" t="str">
        <f>"3039229"</f>
        <v>3039229</v>
      </c>
      <c r="B8890" t="s">
        <v>26725</v>
      </c>
      <c r="C8890" t="str">
        <f>"78300000"</f>
        <v>78300000</v>
      </c>
      <c r="D8890" t="s">
        <v>26586</v>
      </c>
      <c r="E8890" t="s">
        <v>26587</v>
      </c>
      <c r="F8890" t="s">
        <v>26588</v>
      </c>
      <c r="I8890" t="s">
        <v>29</v>
      </c>
      <c r="J8890" t="s">
        <v>30</v>
      </c>
      <c r="K8890" t="s">
        <v>31</v>
      </c>
      <c r="M8890" t="s">
        <v>18479</v>
      </c>
      <c r="N8890" t="str">
        <f>"8/11/2015 4:18:00 PM"</f>
        <v>8/11/2015 4:18:00 PM</v>
      </c>
      <c r="O8890" t="s">
        <v>26586</v>
      </c>
      <c r="T8890" t="s">
        <v>26587</v>
      </c>
    </row>
    <row r="8891" spans="1:20" x14ac:dyDescent="0.25">
      <c r="A8891" t="str">
        <f>"3051886"</f>
        <v>3051886</v>
      </c>
      <c r="B8891" t="s">
        <v>26726</v>
      </c>
      <c r="C8891" t="str">
        <f>"8305264"</f>
        <v>8305264</v>
      </c>
      <c r="D8891" t="s">
        <v>26727</v>
      </c>
      <c r="E8891" t="s">
        <v>26728</v>
      </c>
      <c r="F8891" t="s">
        <v>26729</v>
      </c>
      <c r="I8891" t="s">
        <v>29</v>
      </c>
      <c r="J8891" t="s">
        <v>30</v>
      </c>
      <c r="K8891" t="str">
        <f>"27028"</f>
        <v>27028</v>
      </c>
      <c r="M8891" t="s">
        <v>17861</v>
      </c>
      <c r="N8891" t="str">
        <f>"7/27/2015 1:34:00 PM"</f>
        <v>7/27/2015 1:34:00 PM</v>
      </c>
      <c r="O8891" t="s">
        <v>26727</v>
      </c>
      <c r="T8891" t="s">
        <v>26728</v>
      </c>
    </row>
    <row r="8892" spans="1:20" x14ac:dyDescent="0.25">
      <c r="A8892" t="str">
        <f>"3050362"</f>
        <v>3050362</v>
      </c>
      <c r="B8892" t="s">
        <v>26730</v>
      </c>
      <c r="C8892" t="str">
        <f>"74366000"</f>
        <v>74366000</v>
      </c>
      <c r="D8892" t="s">
        <v>26731</v>
      </c>
      <c r="E8892" t="s">
        <v>26732</v>
      </c>
      <c r="F8892" t="s">
        <v>26733</v>
      </c>
      <c r="I8892" t="s">
        <v>184</v>
      </c>
      <c r="J8892" t="s">
        <v>30</v>
      </c>
      <c r="K8892" t="s">
        <v>25247</v>
      </c>
      <c r="M8892" t="s">
        <v>18479</v>
      </c>
      <c r="N8892" t="str">
        <f>"8/18/2015 8:42:00 AM"</f>
        <v>8/18/2015 8:42:00 AM</v>
      </c>
      <c r="O8892" t="s">
        <v>26731</v>
      </c>
      <c r="T8892" t="s">
        <v>26732</v>
      </c>
    </row>
    <row r="8893" spans="1:20" x14ac:dyDescent="0.25">
      <c r="A8893" t="str">
        <f>"3043687"</f>
        <v>3043687</v>
      </c>
      <c r="B8893" t="s">
        <v>26734</v>
      </c>
      <c r="C8893" t="str">
        <f>"79195000"</f>
        <v>79195000</v>
      </c>
      <c r="D8893" t="s">
        <v>26735</v>
      </c>
      <c r="F8893" t="s">
        <v>26736</v>
      </c>
      <c r="I8893" t="s">
        <v>29</v>
      </c>
      <c r="J8893" t="s">
        <v>30</v>
      </c>
      <c r="K8893" t="s">
        <v>26737</v>
      </c>
      <c r="M8893" t="s">
        <v>18479</v>
      </c>
      <c r="N8893" t="str">
        <f>"8/12/2015 10:58:00 AM"</f>
        <v>8/12/2015 10:58:00 AM</v>
      </c>
      <c r="O8893" t="s">
        <v>26735</v>
      </c>
      <c r="T8893" t="s">
        <v>26735</v>
      </c>
    </row>
    <row r="8894" spans="1:20" x14ac:dyDescent="0.25">
      <c r="A8894" t="str">
        <f>"3038657"</f>
        <v>3038657</v>
      </c>
      <c r="B8894" t="s">
        <v>26738</v>
      </c>
      <c r="C8894" t="str">
        <f>"82519347"</f>
        <v>82519347</v>
      </c>
      <c r="D8894" t="s">
        <v>26739</v>
      </c>
      <c r="F8894" t="s">
        <v>26740</v>
      </c>
      <c r="I8894" t="s">
        <v>29</v>
      </c>
      <c r="J8894" t="s">
        <v>30</v>
      </c>
      <c r="K8894" t="s">
        <v>31</v>
      </c>
      <c r="M8894" t="s">
        <v>17861</v>
      </c>
      <c r="N8894" t="str">
        <f>"8/18/2015 12:20:00 PM"</f>
        <v>8/18/2015 12:20:00 PM</v>
      </c>
      <c r="O8894" t="s">
        <v>26739</v>
      </c>
    </row>
    <row r="8895" spans="1:20" x14ac:dyDescent="0.25">
      <c r="A8895" t="str">
        <f>"3041810"</f>
        <v>3041810</v>
      </c>
      <c r="B8895" t="s">
        <v>26741</v>
      </c>
      <c r="C8895" t="str">
        <f>"8305380"</f>
        <v>8305380</v>
      </c>
      <c r="D8895" t="s">
        <v>26742</v>
      </c>
      <c r="E8895" t="s">
        <v>26743</v>
      </c>
      <c r="F8895" t="s">
        <v>26744</v>
      </c>
      <c r="I8895" t="s">
        <v>2071</v>
      </c>
      <c r="J8895" t="s">
        <v>30</v>
      </c>
      <c r="K8895" t="str">
        <f>"27006"</f>
        <v>27006</v>
      </c>
      <c r="M8895" t="s">
        <v>17861</v>
      </c>
      <c r="N8895" t="str">
        <f>"8/18/2015 12:52:00 PM"</f>
        <v>8/18/2015 12:52:00 PM</v>
      </c>
      <c r="O8895" t="s">
        <v>26742</v>
      </c>
      <c r="T8895" t="s">
        <v>26743</v>
      </c>
    </row>
    <row r="8896" spans="1:20" x14ac:dyDescent="0.25">
      <c r="A8896" t="str">
        <f>"3060527"</f>
        <v>3060527</v>
      </c>
      <c r="B8896" t="s">
        <v>26745</v>
      </c>
      <c r="C8896" t="str">
        <f>"8305381"</f>
        <v>8305381</v>
      </c>
      <c r="D8896" t="s">
        <v>26746</v>
      </c>
      <c r="E8896" t="s">
        <v>26747</v>
      </c>
      <c r="F8896" t="s">
        <v>26748</v>
      </c>
      <c r="I8896" t="s">
        <v>184</v>
      </c>
      <c r="J8896" t="s">
        <v>30</v>
      </c>
      <c r="K8896" t="str">
        <f>"27006"</f>
        <v>27006</v>
      </c>
      <c r="M8896" t="s">
        <v>17861</v>
      </c>
      <c r="N8896" t="str">
        <f>"8/18/2015 1:23:00 PM"</f>
        <v>8/18/2015 1:23:00 PM</v>
      </c>
      <c r="O8896" t="s">
        <v>26746</v>
      </c>
      <c r="T8896" t="s">
        <v>26747</v>
      </c>
    </row>
    <row r="8897" spans="1:20" x14ac:dyDescent="0.25">
      <c r="A8897" t="str">
        <f>"3068922"</f>
        <v>3068922</v>
      </c>
      <c r="B8897" t="s">
        <v>26749</v>
      </c>
      <c r="C8897" t="str">
        <f>"79195000"</f>
        <v>79195000</v>
      </c>
      <c r="D8897" t="s">
        <v>26735</v>
      </c>
      <c r="F8897" t="s">
        <v>26736</v>
      </c>
      <c r="I8897" t="s">
        <v>29</v>
      </c>
      <c r="J8897" t="s">
        <v>30</v>
      </c>
      <c r="K8897" t="s">
        <v>26737</v>
      </c>
      <c r="M8897" t="s">
        <v>18479</v>
      </c>
      <c r="N8897" t="str">
        <f>"8/12/2015 10:58:00 AM"</f>
        <v>8/12/2015 10:58:00 AM</v>
      </c>
      <c r="O8897" t="s">
        <v>26735</v>
      </c>
      <c r="T8897" t="s">
        <v>26735</v>
      </c>
    </row>
    <row r="8898" spans="1:20" x14ac:dyDescent="0.25">
      <c r="A8898" t="str">
        <f>"3050006"</f>
        <v>3050006</v>
      </c>
      <c r="B8898" t="s">
        <v>26750</v>
      </c>
      <c r="C8898" t="str">
        <f>"80156000"</f>
        <v>80156000</v>
      </c>
      <c r="D8898" t="s">
        <v>26751</v>
      </c>
      <c r="E8898" t="s">
        <v>26752</v>
      </c>
      <c r="F8898" t="s">
        <v>14889</v>
      </c>
      <c r="I8898" t="s">
        <v>29</v>
      </c>
      <c r="J8898" t="s">
        <v>30</v>
      </c>
      <c r="K8898" t="s">
        <v>31</v>
      </c>
      <c r="M8898" t="s">
        <v>18479</v>
      </c>
      <c r="N8898" t="str">
        <f>"8/12/2015 2:08:00 PM"</f>
        <v>8/12/2015 2:08:00 PM</v>
      </c>
      <c r="O8898" t="s">
        <v>26751</v>
      </c>
      <c r="T8898" t="s">
        <v>26752</v>
      </c>
    </row>
    <row r="8899" spans="1:20" x14ac:dyDescent="0.25">
      <c r="A8899" t="str">
        <f>"3038979"</f>
        <v>3038979</v>
      </c>
      <c r="B8899" t="s">
        <v>26753</v>
      </c>
      <c r="C8899" t="str">
        <f>"71130000"</f>
        <v>71130000</v>
      </c>
      <c r="D8899" t="s">
        <v>26754</v>
      </c>
      <c r="E8899" t="s">
        <v>26755</v>
      </c>
      <c r="F8899" t="s">
        <v>26756</v>
      </c>
      <c r="I8899" t="s">
        <v>29</v>
      </c>
      <c r="J8899" t="s">
        <v>30</v>
      </c>
      <c r="K8899" t="s">
        <v>2551</v>
      </c>
      <c r="M8899" t="s">
        <v>18479</v>
      </c>
      <c r="N8899" t="str">
        <f>"8/19/2015 9:56:00 AM"</f>
        <v>8/19/2015 9:56:00 AM</v>
      </c>
      <c r="O8899" t="s">
        <v>26754</v>
      </c>
      <c r="T8899" t="s">
        <v>26755</v>
      </c>
    </row>
    <row r="8900" spans="1:20" x14ac:dyDescent="0.25">
      <c r="A8900" t="str">
        <f>"3072684"</f>
        <v>3072684</v>
      </c>
      <c r="B8900" t="s">
        <v>26757</v>
      </c>
      <c r="C8900" t="str">
        <f>"8305361"</f>
        <v>8305361</v>
      </c>
      <c r="D8900" t="s">
        <v>26758</v>
      </c>
      <c r="E8900" t="s">
        <v>26759</v>
      </c>
      <c r="F8900" t="s">
        <v>26760</v>
      </c>
      <c r="I8900" t="s">
        <v>2071</v>
      </c>
      <c r="J8900" t="s">
        <v>30</v>
      </c>
      <c r="K8900" t="str">
        <f>"27006"</f>
        <v>27006</v>
      </c>
      <c r="M8900" t="s">
        <v>17861</v>
      </c>
      <c r="N8900" t="str">
        <f>"8/12/2015 2:48:00 PM"</f>
        <v>8/12/2015 2:48:00 PM</v>
      </c>
      <c r="O8900" t="s">
        <v>26758</v>
      </c>
      <c r="T8900" t="s">
        <v>26759</v>
      </c>
    </row>
    <row r="8901" spans="1:20" x14ac:dyDescent="0.25">
      <c r="A8901" t="str">
        <f>"3044507"</f>
        <v>3044507</v>
      </c>
      <c r="B8901" t="s">
        <v>26761</v>
      </c>
      <c r="C8901" t="str">
        <f>"8304288"</f>
        <v>8304288</v>
      </c>
      <c r="D8901" t="s">
        <v>26762</v>
      </c>
      <c r="E8901" t="s">
        <v>26763</v>
      </c>
      <c r="F8901" t="s">
        <v>26764</v>
      </c>
      <c r="I8901" t="s">
        <v>184</v>
      </c>
      <c r="J8901" t="s">
        <v>30</v>
      </c>
      <c r="K8901" t="str">
        <f>"27006"</f>
        <v>27006</v>
      </c>
      <c r="M8901" t="s">
        <v>18479</v>
      </c>
      <c r="N8901" t="str">
        <f>"8/19/2015 1:55:00 PM"</f>
        <v>8/19/2015 1:55:00 PM</v>
      </c>
      <c r="O8901" t="s">
        <v>26762</v>
      </c>
      <c r="T8901" t="s">
        <v>26763</v>
      </c>
    </row>
    <row r="8902" spans="1:20" x14ac:dyDescent="0.25">
      <c r="A8902" t="str">
        <f>"3061501"</f>
        <v>3061501</v>
      </c>
      <c r="B8902" t="s">
        <v>26765</v>
      </c>
      <c r="C8902" t="str">
        <f>"80776000"</f>
        <v>80776000</v>
      </c>
      <c r="D8902" t="s">
        <v>26766</v>
      </c>
      <c r="E8902" t="s">
        <v>26767</v>
      </c>
      <c r="F8902" t="s">
        <v>26768</v>
      </c>
      <c r="I8902" t="s">
        <v>184</v>
      </c>
      <c r="J8902" t="s">
        <v>30</v>
      </c>
      <c r="K8902" t="s">
        <v>2238</v>
      </c>
      <c r="M8902" t="s">
        <v>18479</v>
      </c>
      <c r="N8902" t="str">
        <f>"8/12/2015 3:29:00 PM"</f>
        <v>8/12/2015 3:29:00 PM</v>
      </c>
      <c r="O8902" t="s">
        <v>26766</v>
      </c>
      <c r="T8902" t="s">
        <v>26767</v>
      </c>
    </row>
    <row r="8903" spans="1:20" x14ac:dyDescent="0.25">
      <c r="A8903" t="str">
        <f>"3045389"</f>
        <v>3045389</v>
      </c>
      <c r="B8903" t="s">
        <v>26769</v>
      </c>
      <c r="C8903" t="str">
        <f>"82522896"</f>
        <v>82522896</v>
      </c>
      <c r="D8903" t="s">
        <v>26770</v>
      </c>
      <c r="F8903" t="s">
        <v>7834</v>
      </c>
      <c r="I8903" t="s">
        <v>29</v>
      </c>
      <c r="J8903" t="s">
        <v>30</v>
      </c>
      <c r="K8903" t="s">
        <v>26771</v>
      </c>
      <c r="M8903" t="s">
        <v>18479</v>
      </c>
      <c r="N8903" t="str">
        <f>"8/19/2015 2:10:00 PM"</f>
        <v>8/19/2015 2:10:00 PM</v>
      </c>
      <c r="O8903" t="s">
        <v>26770</v>
      </c>
    </row>
    <row r="8904" spans="1:20" x14ac:dyDescent="0.25">
      <c r="A8904" t="str">
        <f>"3042317"</f>
        <v>3042317</v>
      </c>
      <c r="B8904" t="s">
        <v>26772</v>
      </c>
      <c r="C8904" t="str">
        <f>"80968000"</f>
        <v>80968000</v>
      </c>
      <c r="D8904" t="s">
        <v>26773</v>
      </c>
      <c r="F8904" t="s">
        <v>26774</v>
      </c>
      <c r="I8904" t="s">
        <v>29</v>
      </c>
      <c r="J8904" t="s">
        <v>30</v>
      </c>
      <c r="K8904" t="s">
        <v>26775</v>
      </c>
      <c r="M8904" t="s">
        <v>18479</v>
      </c>
      <c r="N8904" t="str">
        <f>"8/13/2015 8:43:00 AM"</f>
        <v>8/13/2015 8:43:00 AM</v>
      </c>
      <c r="O8904" t="s">
        <v>26773</v>
      </c>
    </row>
    <row r="8905" spans="1:20" x14ac:dyDescent="0.25">
      <c r="A8905" t="str">
        <f>"3044509"</f>
        <v>3044509</v>
      </c>
      <c r="B8905" t="s">
        <v>26776</v>
      </c>
      <c r="C8905" t="str">
        <f>"71936000"</f>
        <v>71936000</v>
      </c>
      <c r="D8905" t="s">
        <v>26777</v>
      </c>
      <c r="E8905" t="s">
        <v>26778</v>
      </c>
      <c r="F8905" t="s">
        <v>26779</v>
      </c>
      <c r="I8905" t="s">
        <v>184</v>
      </c>
      <c r="J8905" t="s">
        <v>30</v>
      </c>
      <c r="K8905" t="s">
        <v>185</v>
      </c>
      <c r="M8905" t="s">
        <v>18479</v>
      </c>
      <c r="N8905" t="str">
        <f>"8/19/2015 3:51:00 PM"</f>
        <v>8/19/2015 3:51:00 PM</v>
      </c>
      <c r="O8905" t="s">
        <v>26777</v>
      </c>
      <c r="T8905" t="s">
        <v>26778</v>
      </c>
    </row>
    <row r="8906" spans="1:20" x14ac:dyDescent="0.25">
      <c r="A8906" t="str">
        <f>"3050870"</f>
        <v>3050870</v>
      </c>
      <c r="B8906" t="s">
        <v>26780</v>
      </c>
      <c r="C8906" t="str">
        <f>"71949500"</f>
        <v>71949500</v>
      </c>
      <c r="D8906" t="s">
        <v>26781</v>
      </c>
      <c r="E8906" t="s">
        <v>26782</v>
      </c>
      <c r="F8906" t="s">
        <v>26783</v>
      </c>
      <c r="I8906" t="s">
        <v>184</v>
      </c>
      <c r="J8906" t="s">
        <v>30</v>
      </c>
      <c r="K8906" t="s">
        <v>26784</v>
      </c>
      <c r="M8906" t="s">
        <v>18479</v>
      </c>
      <c r="N8906" t="str">
        <f>"8/19/2015 4:31:00 PM"</f>
        <v>8/19/2015 4:31:00 PM</v>
      </c>
      <c r="O8906" t="s">
        <v>26781</v>
      </c>
      <c r="T8906" t="s">
        <v>26782</v>
      </c>
    </row>
    <row r="8907" spans="1:20" x14ac:dyDescent="0.25">
      <c r="A8907" t="str">
        <f>"3042683"</f>
        <v>3042683</v>
      </c>
      <c r="B8907" t="s">
        <v>26785</v>
      </c>
      <c r="C8907" t="str">
        <f>"72097000"</f>
        <v>72097000</v>
      </c>
      <c r="D8907" t="s">
        <v>4588</v>
      </c>
      <c r="E8907" t="s">
        <v>26786</v>
      </c>
      <c r="F8907" t="s">
        <v>26787</v>
      </c>
      <c r="I8907" t="s">
        <v>29</v>
      </c>
      <c r="J8907" t="s">
        <v>30</v>
      </c>
      <c r="K8907" t="s">
        <v>31</v>
      </c>
      <c r="M8907" t="s">
        <v>18479</v>
      </c>
      <c r="N8907" t="str">
        <f>"8/19/2015 4:38:00 PM"</f>
        <v>8/19/2015 4:38:00 PM</v>
      </c>
      <c r="O8907" t="s">
        <v>4588</v>
      </c>
      <c r="T8907" t="s">
        <v>26786</v>
      </c>
    </row>
    <row r="8908" spans="1:20" x14ac:dyDescent="0.25">
      <c r="A8908" t="str">
        <f>"3042056"</f>
        <v>3042056</v>
      </c>
      <c r="B8908" t="s">
        <v>26788</v>
      </c>
      <c r="C8908" t="str">
        <f>"72097000"</f>
        <v>72097000</v>
      </c>
      <c r="D8908" t="s">
        <v>4588</v>
      </c>
      <c r="E8908" t="s">
        <v>26786</v>
      </c>
      <c r="F8908" t="s">
        <v>26787</v>
      </c>
      <c r="I8908" t="s">
        <v>29</v>
      </c>
      <c r="J8908" t="s">
        <v>30</v>
      </c>
      <c r="K8908" t="s">
        <v>31</v>
      </c>
      <c r="M8908" t="s">
        <v>18479</v>
      </c>
      <c r="N8908" t="str">
        <f>"8/19/2015 4:38:00 PM"</f>
        <v>8/19/2015 4:38:00 PM</v>
      </c>
      <c r="O8908" t="s">
        <v>4588</v>
      </c>
      <c r="T8908" t="s">
        <v>26786</v>
      </c>
    </row>
    <row r="8909" spans="1:20" x14ac:dyDescent="0.25">
      <c r="A8909" t="str">
        <f>"3042740"</f>
        <v>3042740</v>
      </c>
      <c r="B8909" t="s">
        <v>26789</v>
      </c>
      <c r="C8909" t="str">
        <f>"80968000"</f>
        <v>80968000</v>
      </c>
      <c r="D8909" t="s">
        <v>26773</v>
      </c>
      <c r="F8909" t="s">
        <v>26774</v>
      </c>
      <c r="I8909" t="s">
        <v>29</v>
      </c>
      <c r="J8909" t="s">
        <v>30</v>
      </c>
      <c r="K8909" t="s">
        <v>26775</v>
      </c>
      <c r="M8909" t="s">
        <v>18479</v>
      </c>
      <c r="N8909" t="str">
        <f>"8/13/2015 8:43:00 AM"</f>
        <v>8/13/2015 8:43:00 AM</v>
      </c>
      <c r="O8909" t="s">
        <v>26773</v>
      </c>
    </row>
    <row r="8910" spans="1:20" x14ac:dyDescent="0.25">
      <c r="A8910" t="str">
        <f>"3042243"</f>
        <v>3042243</v>
      </c>
      <c r="B8910" t="s">
        <v>26790</v>
      </c>
      <c r="C8910" t="str">
        <f>"80968000"</f>
        <v>80968000</v>
      </c>
      <c r="D8910" t="s">
        <v>26773</v>
      </c>
      <c r="F8910" t="s">
        <v>26774</v>
      </c>
      <c r="I8910" t="s">
        <v>29</v>
      </c>
      <c r="J8910" t="s">
        <v>30</v>
      </c>
      <c r="K8910" t="s">
        <v>26775</v>
      </c>
      <c r="M8910" t="s">
        <v>18479</v>
      </c>
      <c r="N8910" t="str">
        <f>"8/13/2015 8:43:00 AM"</f>
        <v>8/13/2015 8:43:00 AM</v>
      </c>
      <c r="O8910" t="s">
        <v>26773</v>
      </c>
    </row>
    <row r="8911" spans="1:20" x14ac:dyDescent="0.25">
      <c r="A8911" t="str">
        <f>"3042072"</f>
        <v>3042072</v>
      </c>
      <c r="B8911" t="s">
        <v>26791</v>
      </c>
      <c r="C8911" t="str">
        <f>"80968000"</f>
        <v>80968000</v>
      </c>
      <c r="D8911" t="s">
        <v>26773</v>
      </c>
      <c r="F8911" t="s">
        <v>26774</v>
      </c>
      <c r="I8911" t="s">
        <v>29</v>
      </c>
      <c r="J8911" t="s">
        <v>30</v>
      </c>
      <c r="K8911" t="s">
        <v>26775</v>
      </c>
      <c r="M8911" t="s">
        <v>18479</v>
      </c>
      <c r="N8911" t="str">
        <f>"8/13/2015 8:43:00 AM"</f>
        <v>8/13/2015 8:43:00 AM</v>
      </c>
      <c r="O8911" t="s">
        <v>26773</v>
      </c>
    </row>
    <row r="8912" spans="1:20" x14ac:dyDescent="0.25">
      <c r="A8912" t="str">
        <f>"3057718"</f>
        <v>3057718</v>
      </c>
      <c r="B8912" t="s">
        <v>26792</v>
      </c>
      <c r="C8912" t="str">
        <f>"8300418"</f>
        <v>8300418</v>
      </c>
      <c r="D8912" t="s">
        <v>26793</v>
      </c>
      <c r="F8912" t="s">
        <v>26794</v>
      </c>
      <c r="I8912" t="s">
        <v>29</v>
      </c>
      <c r="J8912" t="s">
        <v>30</v>
      </c>
      <c r="K8912" t="s">
        <v>31</v>
      </c>
      <c r="M8912" t="s">
        <v>18479</v>
      </c>
      <c r="N8912" t="str">
        <f>"8/13/2015 9:24:00 AM"</f>
        <v>8/13/2015 9:24:00 AM</v>
      </c>
      <c r="O8912" t="s">
        <v>26793</v>
      </c>
    </row>
    <row r="8913" spans="1:20" x14ac:dyDescent="0.25">
      <c r="A8913" t="str">
        <f>"3050444"</f>
        <v>3050444</v>
      </c>
      <c r="B8913" t="s">
        <v>26795</v>
      </c>
      <c r="C8913" t="str">
        <f>"81142000"</f>
        <v>81142000</v>
      </c>
      <c r="D8913" t="s">
        <v>26796</v>
      </c>
      <c r="E8913" t="s">
        <v>26797</v>
      </c>
      <c r="F8913" t="s">
        <v>26798</v>
      </c>
      <c r="I8913" t="s">
        <v>29</v>
      </c>
      <c r="J8913" t="s">
        <v>30</v>
      </c>
      <c r="K8913" t="s">
        <v>26799</v>
      </c>
      <c r="M8913" t="s">
        <v>18479</v>
      </c>
      <c r="N8913" t="str">
        <f>"8/13/2015 9:41:00 AM"</f>
        <v>8/13/2015 9:41:00 AM</v>
      </c>
      <c r="O8913" t="s">
        <v>26796</v>
      </c>
      <c r="T8913" t="s">
        <v>26797</v>
      </c>
    </row>
    <row r="8914" spans="1:20" x14ac:dyDescent="0.25">
      <c r="A8914" t="str">
        <f>"3045349"</f>
        <v>3045349</v>
      </c>
      <c r="B8914" t="s">
        <v>26800</v>
      </c>
      <c r="C8914" t="str">
        <f>"82527221"</f>
        <v>82527221</v>
      </c>
      <c r="D8914" t="s">
        <v>26801</v>
      </c>
      <c r="E8914" t="s">
        <v>26802</v>
      </c>
      <c r="F8914" t="s">
        <v>26803</v>
      </c>
      <c r="I8914" t="s">
        <v>29</v>
      </c>
      <c r="J8914" t="s">
        <v>30</v>
      </c>
      <c r="K8914" t="s">
        <v>31</v>
      </c>
      <c r="M8914" t="s">
        <v>18479</v>
      </c>
      <c r="N8914" t="str">
        <f>"8/13/2015 9:55:00 AM"</f>
        <v>8/13/2015 9:55:00 AM</v>
      </c>
      <c r="O8914" t="s">
        <v>26801</v>
      </c>
      <c r="T8914" t="s">
        <v>26802</v>
      </c>
    </row>
    <row r="8915" spans="1:20" x14ac:dyDescent="0.25">
      <c r="A8915" t="str">
        <f>"3040780"</f>
        <v>3040780</v>
      </c>
      <c r="B8915" t="s">
        <v>26804</v>
      </c>
      <c r="C8915" t="str">
        <f>"8305371"</f>
        <v>8305371</v>
      </c>
      <c r="D8915" t="s">
        <v>26805</v>
      </c>
      <c r="E8915" t="str">
        <f>"CHEN IRREVOCABLE TRUST 8/4/15"</f>
        <v>CHEN IRREVOCABLE TRUST 8/4/15</v>
      </c>
      <c r="F8915" t="s">
        <v>26806</v>
      </c>
      <c r="I8915" t="s">
        <v>184</v>
      </c>
      <c r="J8915" t="s">
        <v>30</v>
      </c>
      <c r="K8915" t="str">
        <f>"27006"</f>
        <v>27006</v>
      </c>
      <c r="M8915" t="s">
        <v>17861</v>
      </c>
      <c r="N8915" t="str">
        <f>"8/14/2015 10:24:00 AM"</f>
        <v>8/14/2015 10:24:00 AM</v>
      </c>
      <c r="O8915" t="s">
        <v>26805</v>
      </c>
      <c r="T8915" t="str">
        <f>"CHEN IRREVOCABLE TRUST 8/4/15"</f>
        <v>CHEN IRREVOCABLE TRUST 8/4/15</v>
      </c>
    </row>
    <row r="8916" spans="1:20" x14ac:dyDescent="0.25">
      <c r="A8916" t="str">
        <f>"3053579"</f>
        <v>3053579</v>
      </c>
      <c r="B8916" t="s">
        <v>26807</v>
      </c>
      <c r="C8916" t="str">
        <f>"69482000"</f>
        <v>69482000</v>
      </c>
      <c r="D8916" t="s">
        <v>26808</v>
      </c>
      <c r="E8916" t="s">
        <v>26809</v>
      </c>
      <c r="F8916" t="s">
        <v>26810</v>
      </c>
      <c r="I8916" t="s">
        <v>184</v>
      </c>
      <c r="J8916" t="s">
        <v>30</v>
      </c>
      <c r="K8916" t="s">
        <v>26078</v>
      </c>
      <c r="M8916" t="s">
        <v>18479</v>
      </c>
      <c r="N8916" t="str">
        <f>"8/20/2015 1:49:00 PM"</f>
        <v>8/20/2015 1:49:00 PM</v>
      </c>
      <c r="O8916" t="s">
        <v>26808</v>
      </c>
      <c r="T8916" t="s">
        <v>26809</v>
      </c>
    </row>
    <row r="8917" spans="1:20" x14ac:dyDescent="0.25">
      <c r="A8917" t="str">
        <f>"3039314"</f>
        <v>3039314</v>
      </c>
      <c r="B8917" t="s">
        <v>26811</v>
      </c>
      <c r="C8917" t="str">
        <f>"8305371"</f>
        <v>8305371</v>
      </c>
      <c r="D8917" t="s">
        <v>26805</v>
      </c>
      <c r="E8917" t="str">
        <f>"CHEN IRREVOCABLE TRUST 8/4/15"</f>
        <v>CHEN IRREVOCABLE TRUST 8/4/15</v>
      </c>
      <c r="F8917" t="s">
        <v>26806</v>
      </c>
      <c r="I8917" t="s">
        <v>184</v>
      </c>
      <c r="J8917" t="s">
        <v>30</v>
      </c>
      <c r="K8917" t="str">
        <f>"27006"</f>
        <v>27006</v>
      </c>
      <c r="M8917" t="s">
        <v>17861</v>
      </c>
      <c r="N8917" t="str">
        <f>"8/14/2015 10:24:00 AM"</f>
        <v>8/14/2015 10:24:00 AM</v>
      </c>
      <c r="O8917" t="s">
        <v>26805</v>
      </c>
      <c r="T8917" t="str">
        <f>"CHEN IRREVOCABLE TRUST 8/4/15"</f>
        <v>CHEN IRREVOCABLE TRUST 8/4/15</v>
      </c>
    </row>
    <row r="8918" spans="1:20" x14ac:dyDescent="0.25">
      <c r="A8918" t="str">
        <f>"3039323"</f>
        <v>3039323</v>
      </c>
      <c r="B8918" t="s">
        <v>26812</v>
      </c>
      <c r="C8918" t="str">
        <f>"8305371"</f>
        <v>8305371</v>
      </c>
      <c r="D8918" t="s">
        <v>26805</v>
      </c>
      <c r="E8918" t="str">
        <f>"CHEN IRREVOCABLE TRUST 8/4/15"</f>
        <v>CHEN IRREVOCABLE TRUST 8/4/15</v>
      </c>
      <c r="F8918" t="s">
        <v>26806</v>
      </c>
      <c r="I8918" t="s">
        <v>184</v>
      </c>
      <c r="J8918" t="s">
        <v>30</v>
      </c>
      <c r="K8918" t="str">
        <f>"27006"</f>
        <v>27006</v>
      </c>
      <c r="M8918" t="s">
        <v>17861</v>
      </c>
      <c r="N8918" t="str">
        <f>"8/14/2015 10:24:00 AM"</f>
        <v>8/14/2015 10:24:00 AM</v>
      </c>
      <c r="O8918" t="s">
        <v>26805</v>
      </c>
      <c r="T8918" t="str">
        <f>"CHEN IRREVOCABLE TRUST 8/4/15"</f>
        <v>CHEN IRREVOCABLE TRUST 8/4/15</v>
      </c>
    </row>
    <row r="8919" spans="1:20" x14ac:dyDescent="0.25">
      <c r="A8919" t="str">
        <f>"3039592"</f>
        <v>3039592</v>
      </c>
      <c r="B8919" t="s">
        <v>26813</v>
      </c>
      <c r="C8919" t="str">
        <f>"8305371"</f>
        <v>8305371</v>
      </c>
      <c r="D8919" t="s">
        <v>26805</v>
      </c>
      <c r="E8919" t="str">
        <f>"CHEN IRREVOCABLE TRUST 8/4/15"</f>
        <v>CHEN IRREVOCABLE TRUST 8/4/15</v>
      </c>
      <c r="F8919" t="s">
        <v>26806</v>
      </c>
      <c r="I8919" t="s">
        <v>184</v>
      </c>
      <c r="J8919" t="s">
        <v>30</v>
      </c>
      <c r="K8919" t="str">
        <f>"27006"</f>
        <v>27006</v>
      </c>
      <c r="M8919" t="s">
        <v>17861</v>
      </c>
      <c r="N8919" t="str">
        <f>"8/14/2015 10:24:00 AM"</f>
        <v>8/14/2015 10:24:00 AM</v>
      </c>
      <c r="O8919" t="s">
        <v>26805</v>
      </c>
      <c r="T8919" t="str">
        <f>"CHEN IRREVOCABLE TRUST 8/4/15"</f>
        <v>CHEN IRREVOCABLE TRUST 8/4/15</v>
      </c>
    </row>
    <row r="8920" spans="1:20" x14ac:dyDescent="0.25">
      <c r="A8920" t="str">
        <f>"3056531"</f>
        <v>3056531</v>
      </c>
      <c r="B8920" t="s">
        <v>26814</v>
      </c>
      <c r="C8920" t="str">
        <f>"72972000"</f>
        <v>72972000</v>
      </c>
      <c r="D8920" t="s">
        <v>26815</v>
      </c>
      <c r="E8920" t="s">
        <v>26816</v>
      </c>
      <c r="F8920" t="s">
        <v>26817</v>
      </c>
      <c r="I8920" t="s">
        <v>29</v>
      </c>
      <c r="J8920" t="s">
        <v>30</v>
      </c>
      <c r="K8920" t="s">
        <v>31</v>
      </c>
      <c r="M8920" t="s">
        <v>18479</v>
      </c>
      <c r="N8920" t="str">
        <f>"8/14/2015 3:33:00 PM"</f>
        <v>8/14/2015 3:33:00 PM</v>
      </c>
      <c r="O8920" t="s">
        <v>26815</v>
      </c>
      <c r="T8920" t="s">
        <v>26816</v>
      </c>
    </row>
    <row r="8921" spans="1:20" x14ac:dyDescent="0.25">
      <c r="A8921" t="str">
        <f>"3054123"</f>
        <v>3054123</v>
      </c>
      <c r="B8921" t="s">
        <v>26818</v>
      </c>
      <c r="C8921" t="str">
        <f>"82531440"</f>
        <v>82531440</v>
      </c>
      <c r="D8921" t="s">
        <v>26819</v>
      </c>
      <c r="F8921" t="s">
        <v>26820</v>
      </c>
      <c r="I8921" t="s">
        <v>29</v>
      </c>
      <c r="J8921" t="s">
        <v>30</v>
      </c>
      <c r="K8921" t="s">
        <v>31</v>
      </c>
      <c r="M8921" t="s">
        <v>25494</v>
      </c>
      <c r="N8921" t="str">
        <f>"8/17/2015 11:44:00 AM"</f>
        <v>8/17/2015 11:44:00 AM</v>
      </c>
      <c r="O8921" t="s">
        <v>26819</v>
      </c>
    </row>
    <row r="8922" spans="1:20" x14ac:dyDescent="0.25">
      <c r="A8922" t="str">
        <f>"3039196"</f>
        <v>3039196</v>
      </c>
      <c r="B8922" t="s">
        <v>26821</v>
      </c>
      <c r="C8922" t="str">
        <f>"19300590"</f>
        <v>19300590</v>
      </c>
      <c r="D8922" t="s">
        <v>26822</v>
      </c>
      <c r="F8922" t="s">
        <v>26823</v>
      </c>
      <c r="I8922" t="s">
        <v>29</v>
      </c>
      <c r="J8922" t="s">
        <v>30</v>
      </c>
      <c r="K8922" t="s">
        <v>31</v>
      </c>
      <c r="M8922" t="s">
        <v>25494</v>
      </c>
      <c r="N8922" t="str">
        <f>"8/17/2015 12:47:00 PM"</f>
        <v>8/17/2015 12:47:00 PM</v>
      </c>
      <c r="O8922" t="s">
        <v>26822</v>
      </c>
    </row>
    <row r="8923" spans="1:20" x14ac:dyDescent="0.25">
      <c r="A8923" t="str">
        <f>"3078886"</f>
        <v>3078886</v>
      </c>
      <c r="B8923" t="s">
        <v>26824</v>
      </c>
      <c r="C8923" t="str">
        <f>"82525248"</f>
        <v>82525248</v>
      </c>
      <c r="D8923" t="s">
        <v>26825</v>
      </c>
      <c r="E8923" t="s">
        <v>26826</v>
      </c>
      <c r="F8923" t="s">
        <v>26827</v>
      </c>
      <c r="I8923" t="s">
        <v>29</v>
      </c>
      <c r="J8923" t="s">
        <v>30</v>
      </c>
      <c r="K8923" t="s">
        <v>26828</v>
      </c>
      <c r="M8923" t="s">
        <v>18479</v>
      </c>
      <c r="N8923" t="str">
        <f>"8/24/2015 9:22:00 AM"</f>
        <v>8/24/2015 9:22:00 AM</v>
      </c>
      <c r="O8923" t="s">
        <v>26825</v>
      </c>
      <c r="T8923" t="s">
        <v>26826</v>
      </c>
    </row>
    <row r="8924" spans="1:20" x14ac:dyDescent="0.25">
      <c r="A8924" t="str">
        <f>"3048495"</f>
        <v>3048495</v>
      </c>
      <c r="B8924" t="s">
        <v>26829</v>
      </c>
      <c r="C8924" t="str">
        <f>"82532510"</f>
        <v>82532510</v>
      </c>
      <c r="D8924" t="s">
        <v>26830</v>
      </c>
      <c r="F8924" t="s">
        <v>26831</v>
      </c>
      <c r="I8924" t="s">
        <v>26832</v>
      </c>
      <c r="J8924" t="s">
        <v>23322</v>
      </c>
      <c r="K8924" t="s">
        <v>26833</v>
      </c>
      <c r="M8924" t="s">
        <v>25494</v>
      </c>
      <c r="N8924" t="str">
        <f>"8/24/2015 12:18:00 PM"</f>
        <v>8/24/2015 12:18:00 PM</v>
      </c>
      <c r="O8924" t="s">
        <v>26830</v>
      </c>
    </row>
    <row r="8925" spans="1:20" x14ac:dyDescent="0.25">
      <c r="A8925" t="str">
        <f>"3038696"</f>
        <v>3038696</v>
      </c>
      <c r="B8925" t="s">
        <v>26834</v>
      </c>
      <c r="C8925" t="str">
        <f>"19300590"</f>
        <v>19300590</v>
      </c>
      <c r="D8925" t="s">
        <v>26822</v>
      </c>
      <c r="F8925" t="s">
        <v>26823</v>
      </c>
      <c r="I8925" t="s">
        <v>29</v>
      </c>
      <c r="J8925" t="s">
        <v>30</v>
      </c>
      <c r="K8925" t="s">
        <v>31</v>
      </c>
      <c r="M8925" t="s">
        <v>25494</v>
      </c>
      <c r="N8925" t="str">
        <f>"8/17/2015 12:47:00 PM"</f>
        <v>8/17/2015 12:47:00 PM</v>
      </c>
      <c r="O8925" t="s">
        <v>26822</v>
      </c>
    </row>
    <row r="8926" spans="1:20" x14ac:dyDescent="0.25">
      <c r="A8926" t="str">
        <f>"3050445"</f>
        <v>3050445</v>
      </c>
      <c r="B8926" t="s">
        <v>26835</v>
      </c>
      <c r="C8926" t="str">
        <f>"8303094"</f>
        <v>8303094</v>
      </c>
      <c r="D8926" t="s">
        <v>26836</v>
      </c>
      <c r="E8926" t="s">
        <v>26837</v>
      </c>
      <c r="F8926" t="s">
        <v>26838</v>
      </c>
      <c r="I8926" t="s">
        <v>29</v>
      </c>
      <c r="J8926" t="s">
        <v>30</v>
      </c>
      <c r="K8926" t="str">
        <f>"27028"</f>
        <v>27028</v>
      </c>
      <c r="M8926" t="s">
        <v>18479</v>
      </c>
      <c r="N8926" t="str">
        <f>"8/17/2015 2:36:00 PM"</f>
        <v>8/17/2015 2:36:00 PM</v>
      </c>
      <c r="O8926" t="s">
        <v>26836</v>
      </c>
      <c r="T8926" t="s">
        <v>26837</v>
      </c>
    </row>
    <row r="8927" spans="1:20" x14ac:dyDescent="0.25">
      <c r="A8927" t="str">
        <f>"3056665"</f>
        <v>3056665</v>
      </c>
      <c r="B8927" t="s">
        <v>26839</v>
      </c>
      <c r="C8927" t="str">
        <f>"82517963"</f>
        <v>82517963</v>
      </c>
      <c r="D8927" t="s">
        <v>26840</v>
      </c>
      <c r="F8927" t="s">
        <v>2127</v>
      </c>
      <c r="I8927" t="s">
        <v>1107</v>
      </c>
      <c r="J8927" t="s">
        <v>30</v>
      </c>
      <c r="K8927" t="s">
        <v>26841</v>
      </c>
      <c r="M8927" t="s">
        <v>18479</v>
      </c>
      <c r="N8927" t="str">
        <f>"8/17/2015 2:43:00 PM"</f>
        <v>8/17/2015 2:43:00 PM</v>
      </c>
      <c r="O8927" t="s">
        <v>26840</v>
      </c>
    </row>
    <row r="8928" spans="1:20" x14ac:dyDescent="0.25">
      <c r="A8928" t="str">
        <f>"3039921"</f>
        <v>3039921</v>
      </c>
      <c r="B8928" t="s">
        <v>26842</v>
      </c>
      <c r="C8928" t="str">
        <f>"8304346"</f>
        <v>8304346</v>
      </c>
      <c r="D8928" t="s">
        <v>26843</v>
      </c>
      <c r="E8928" t="s">
        <v>26844</v>
      </c>
      <c r="F8928" t="s">
        <v>26845</v>
      </c>
      <c r="I8928" t="s">
        <v>184</v>
      </c>
      <c r="J8928" t="s">
        <v>30</v>
      </c>
      <c r="K8928" t="str">
        <f>"27006"</f>
        <v>27006</v>
      </c>
      <c r="M8928" t="s">
        <v>18479</v>
      </c>
      <c r="N8928" t="str">
        <f>"8/24/2015 3:42:00 PM"</f>
        <v>8/24/2015 3:42:00 PM</v>
      </c>
      <c r="O8928" t="s">
        <v>26843</v>
      </c>
      <c r="T8928" t="s">
        <v>26844</v>
      </c>
    </row>
    <row r="8929" spans="1:20" x14ac:dyDescent="0.25">
      <c r="A8929" t="str">
        <f>"3055512"</f>
        <v>3055512</v>
      </c>
      <c r="B8929" t="s">
        <v>26846</v>
      </c>
      <c r="C8929" t="str">
        <f>"82517648"</f>
        <v>82517648</v>
      </c>
      <c r="D8929" t="s">
        <v>26847</v>
      </c>
      <c r="E8929" t="s">
        <v>26848</v>
      </c>
      <c r="F8929" t="s">
        <v>26849</v>
      </c>
      <c r="I8929" t="s">
        <v>29</v>
      </c>
      <c r="J8929" t="s">
        <v>30</v>
      </c>
      <c r="K8929" t="s">
        <v>26850</v>
      </c>
      <c r="M8929" t="s">
        <v>18479</v>
      </c>
      <c r="N8929" t="str">
        <f>"8/12/2015 10:45:00 AM"</f>
        <v>8/12/2015 10:45:00 AM</v>
      </c>
      <c r="O8929" t="s">
        <v>26847</v>
      </c>
      <c r="T8929" t="s">
        <v>26848</v>
      </c>
    </row>
    <row r="8930" spans="1:20" x14ac:dyDescent="0.25">
      <c r="A8930" t="str">
        <f>"3059661"</f>
        <v>3059661</v>
      </c>
      <c r="B8930" t="s">
        <v>26851</v>
      </c>
      <c r="C8930" t="str">
        <f>"8305388"</f>
        <v>8305388</v>
      </c>
      <c r="D8930" t="s">
        <v>26852</v>
      </c>
      <c r="E8930" t="s">
        <v>26853</v>
      </c>
      <c r="F8930" t="s">
        <v>26854</v>
      </c>
      <c r="I8930" t="s">
        <v>29</v>
      </c>
      <c r="J8930" t="s">
        <v>30</v>
      </c>
      <c r="K8930" t="str">
        <f>"27028"</f>
        <v>27028</v>
      </c>
      <c r="M8930" t="s">
        <v>17861</v>
      </c>
      <c r="N8930" t="str">
        <f>"8/25/2015 11:19:00 AM"</f>
        <v>8/25/2015 11:19:00 AM</v>
      </c>
      <c r="O8930" t="s">
        <v>26852</v>
      </c>
      <c r="T8930" t="s">
        <v>26853</v>
      </c>
    </row>
    <row r="8931" spans="1:20" x14ac:dyDescent="0.25">
      <c r="A8931" t="str">
        <f>"3043097"</f>
        <v>3043097</v>
      </c>
      <c r="B8931" t="s">
        <v>26855</v>
      </c>
      <c r="C8931" t="str">
        <f>"79195000"</f>
        <v>79195000</v>
      </c>
      <c r="D8931" t="s">
        <v>26735</v>
      </c>
      <c r="F8931" t="s">
        <v>26736</v>
      </c>
      <c r="I8931" t="s">
        <v>29</v>
      </c>
      <c r="J8931" t="s">
        <v>30</v>
      </c>
      <c r="K8931" t="s">
        <v>26737</v>
      </c>
      <c r="M8931" t="s">
        <v>18479</v>
      </c>
      <c r="N8931" t="str">
        <f>"8/12/2015 10:58:00 AM"</f>
        <v>8/12/2015 10:58:00 AM</v>
      </c>
      <c r="O8931" t="s">
        <v>26735</v>
      </c>
      <c r="T8931" t="s">
        <v>26735</v>
      </c>
    </row>
    <row r="8932" spans="1:20" x14ac:dyDescent="0.25">
      <c r="A8932" t="str">
        <f>"3055486"</f>
        <v>3055486</v>
      </c>
      <c r="B8932" t="s">
        <v>26856</v>
      </c>
      <c r="C8932" t="str">
        <f>"70994000"</f>
        <v>70994000</v>
      </c>
      <c r="D8932" t="s">
        <v>26857</v>
      </c>
      <c r="E8932" t="s">
        <v>26858</v>
      </c>
      <c r="F8932" t="s">
        <v>26859</v>
      </c>
      <c r="I8932" t="s">
        <v>29</v>
      </c>
      <c r="J8932" t="s">
        <v>30</v>
      </c>
      <c r="K8932" t="s">
        <v>26860</v>
      </c>
      <c r="M8932" t="s">
        <v>18479</v>
      </c>
      <c r="N8932" t="str">
        <f>"8/18/2015 3:56:00 PM"</f>
        <v>8/18/2015 3:56:00 PM</v>
      </c>
      <c r="O8932" t="s">
        <v>26857</v>
      </c>
      <c r="T8932" t="s">
        <v>26858</v>
      </c>
    </row>
    <row r="8933" spans="1:20" x14ac:dyDescent="0.25">
      <c r="A8933" t="str">
        <f>"3042766"</f>
        <v>3042766</v>
      </c>
      <c r="B8933" t="s">
        <v>26861</v>
      </c>
      <c r="C8933" t="str">
        <f>"8304892"</f>
        <v>8304892</v>
      </c>
      <c r="D8933" t="s">
        <v>26862</v>
      </c>
      <c r="F8933" t="s">
        <v>26863</v>
      </c>
      <c r="I8933" t="s">
        <v>29</v>
      </c>
      <c r="J8933" t="s">
        <v>30</v>
      </c>
      <c r="K8933" t="str">
        <f>"27028"</f>
        <v>27028</v>
      </c>
      <c r="M8933" t="s">
        <v>17861</v>
      </c>
      <c r="N8933" t="str">
        <f>"8/19/2015 9:25:00 AM"</f>
        <v>8/19/2015 9:25:00 AM</v>
      </c>
      <c r="O8933" t="s">
        <v>26862</v>
      </c>
    </row>
    <row r="8934" spans="1:20" x14ac:dyDescent="0.25">
      <c r="A8934" t="str">
        <f>"3098443"</f>
        <v>3098443</v>
      </c>
      <c r="B8934" t="s">
        <v>26864</v>
      </c>
      <c r="C8934" t="str">
        <f>"71276000"</f>
        <v>71276000</v>
      </c>
      <c r="D8934" t="s">
        <v>26865</v>
      </c>
      <c r="E8934" t="s">
        <v>13062</v>
      </c>
      <c r="F8934" t="s">
        <v>26866</v>
      </c>
      <c r="I8934" t="s">
        <v>184</v>
      </c>
      <c r="J8934" t="s">
        <v>30</v>
      </c>
      <c r="K8934" t="s">
        <v>185</v>
      </c>
      <c r="M8934" t="s">
        <v>18479</v>
      </c>
      <c r="N8934" t="str">
        <f>"8/19/2015 11:58:00 AM"</f>
        <v>8/19/2015 11:58:00 AM</v>
      </c>
      <c r="O8934" t="s">
        <v>26865</v>
      </c>
      <c r="T8934" t="s">
        <v>13062</v>
      </c>
    </row>
    <row r="8935" spans="1:20" x14ac:dyDescent="0.25">
      <c r="A8935" t="str">
        <f>"3078972"</f>
        <v>3078972</v>
      </c>
      <c r="B8935" t="s">
        <v>26867</v>
      </c>
      <c r="C8935" t="str">
        <f>"62672370"</f>
        <v>62672370</v>
      </c>
      <c r="D8935" t="s">
        <v>26868</v>
      </c>
      <c r="F8935" t="s">
        <v>26869</v>
      </c>
      <c r="I8935" t="s">
        <v>2589</v>
      </c>
      <c r="J8935" t="s">
        <v>30</v>
      </c>
      <c r="K8935" t="s">
        <v>26870</v>
      </c>
      <c r="M8935" t="s">
        <v>25625</v>
      </c>
      <c r="N8935" t="str">
        <f>"8/26/2015 10:54:00 AM"</f>
        <v>8/26/2015 10:54:00 AM</v>
      </c>
      <c r="O8935" t="s">
        <v>26868</v>
      </c>
    </row>
    <row r="8936" spans="1:20" x14ac:dyDescent="0.25">
      <c r="A8936" t="str">
        <f>"3046809"</f>
        <v>3046809</v>
      </c>
      <c r="B8936" t="s">
        <v>26871</v>
      </c>
      <c r="C8936" t="str">
        <f>"51223000"</f>
        <v>51223000</v>
      </c>
      <c r="D8936" t="s">
        <v>26872</v>
      </c>
      <c r="F8936" t="s">
        <v>26873</v>
      </c>
      <c r="I8936" t="s">
        <v>184</v>
      </c>
      <c r="J8936" t="s">
        <v>30</v>
      </c>
      <c r="K8936" t="s">
        <v>4183</v>
      </c>
      <c r="M8936" t="s">
        <v>25733</v>
      </c>
      <c r="N8936" t="str">
        <f>"8/26/2015 11:00:00 AM"</f>
        <v>8/26/2015 11:00:00 AM</v>
      </c>
      <c r="O8936" t="s">
        <v>26872</v>
      </c>
    </row>
    <row r="8937" spans="1:20" x14ac:dyDescent="0.25">
      <c r="A8937" t="str">
        <f>"3057577"</f>
        <v>3057577</v>
      </c>
      <c r="B8937" t="s">
        <v>26874</v>
      </c>
      <c r="C8937" t="str">
        <f>"8304434"</f>
        <v>8304434</v>
      </c>
      <c r="D8937" t="s">
        <v>26875</v>
      </c>
      <c r="F8937" t="s">
        <v>26876</v>
      </c>
      <c r="I8937" t="s">
        <v>29</v>
      </c>
      <c r="J8937" t="s">
        <v>30</v>
      </c>
      <c r="K8937" t="str">
        <f>"27028"</f>
        <v>27028</v>
      </c>
      <c r="M8937" t="s">
        <v>18479</v>
      </c>
      <c r="N8937" t="str">
        <f>"8/26/2015 11:01:00 AM"</f>
        <v>8/26/2015 11:01:00 AM</v>
      </c>
      <c r="O8937" t="s">
        <v>26875</v>
      </c>
    </row>
    <row r="8938" spans="1:20" x14ac:dyDescent="0.25">
      <c r="A8938" t="str">
        <f>"3051891"</f>
        <v>3051891</v>
      </c>
      <c r="B8938" t="s">
        <v>26877</v>
      </c>
      <c r="C8938" t="str">
        <f>"8302041"</f>
        <v>8302041</v>
      </c>
      <c r="D8938" t="s">
        <v>26878</v>
      </c>
      <c r="E8938" t="s">
        <v>26879</v>
      </c>
      <c r="F8938" t="s">
        <v>26880</v>
      </c>
      <c r="I8938" t="s">
        <v>29</v>
      </c>
      <c r="J8938" t="s">
        <v>30</v>
      </c>
      <c r="K8938" t="str">
        <f>"27028"</f>
        <v>27028</v>
      </c>
      <c r="M8938" t="s">
        <v>25733</v>
      </c>
      <c r="N8938" t="str">
        <f>"8/26/2015 11:04:00 AM"</f>
        <v>8/26/2015 11:04:00 AM</v>
      </c>
      <c r="O8938" t="s">
        <v>26878</v>
      </c>
      <c r="T8938" t="s">
        <v>26879</v>
      </c>
    </row>
    <row r="8939" spans="1:20" x14ac:dyDescent="0.25">
      <c r="A8939" t="str">
        <f>"3046080"</f>
        <v>3046080</v>
      </c>
      <c r="B8939" t="s">
        <v>26881</v>
      </c>
      <c r="C8939" t="str">
        <f>"82532428"</f>
        <v>82532428</v>
      </c>
      <c r="D8939" t="s">
        <v>18466</v>
      </c>
      <c r="E8939" t="s">
        <v>18467</v>
      </c>
      <c r="F8939" t="s">
        <v>18468</v>
      </c>
      <c r="I8939" t="s">
        <v>29</v>
      </c>
      <c r="J8939" t="s">
        <v>30</v>
      </c>
      <c r="K8939" t="s">
        <v>18469</v>
      </c>
      <c r="M8939" t="s">
        <v>18479</v>
      </c>
      <c r="N8939" t="str">
        <f>"8/26/2015 1:15:00 PM"</f>
        <v>8/26/2015 1:15:00 PM</v>
      </c>
      <c r="O8939" t="s">
        <v>18466</v>
      </c>
      <c r="T8939" t="s">
        <v>18467</v>
      </c>
    </row>
    <row r="8940" spans="1:20" x14ac:dyDescent="0.25">
      <c r="A8940" t="str">
        <f>"3051965"</f>
        <v>3051965</v>
      </c>
      <c r="B8940" t="s">
        <v>26882</v>
      </c>
      <c r="C8940" t="str">
        <f>"82531565"</f>
        <v>82531565</v>
      </c>
      <c r="D8940" t="s">
        <v>26883</v>
      </c>
      <c r="E8940" t="s">
        <v>26884</v>
      </c>
      <c r="F8940" t="s">
        <v>26885</v>
      </c>
      <c r="I8940" t="s">
        <v>29</v>
      </c>
      <c r="J8940" t="s">
        <v>30</v>
      </c>
      <c r="K8940" t="s">
        <v>31</v>
      </c>
      <c r="M8940" t="s">
        <v>18479</v>
      </c>
      <c r="N8940" t="str">
        <f>"8/26/2015 1:17:00 PM"</f>
        <v>8/26/2015 1:17:00 PM</v>
      </c>
      <c r="O8940" t="s">
        <v>26883</v>
      </c>
      <c r="T8940" t="s">
        <v>26884</v>
      </c>
    </row>
    <row r="8941" spans="1:20" x14ac:dyDescent="0.25">
      <c r="A8941" t="str">
        <f>"3051656"</f>
        <v>3051656</v>
      </c>
      <c r="B8941" t="s">
        <v>26886</v>
      </c>
      <c r="C8941" t="str">
        <f>"82531565"</f>
        <v>82531565</v>
      </c>
      <c r="D8941" t="s">
        <v>26883</v>
      </c>
      <c r="E8941" t="s">
        <v>26884</v>
      </c>
      <c r="F8941" t="s">
        <v>26885</v>
      </c>
      <c r="I8941" t="s">
        <v>29</v>
      </c>
      <c r="J8941" t="s">
        <v>30</v>
      </c>
      <c r="K8941" t="s">
        <v>31</v>
      </c>
      <c r="M8941" t="s">
        <v>18479</v>
      </c>
      <c r="N8941" t="str">
        <f>"8/26/2015 1:17:00 PM"</f>
        <v>8/26/2015 1:17:00 PM</v>
      </c>
      <c r="O8941" t="s">
        <v>26883</v>
      </c>
      <c r="T8941" t="s">
        <v>26884</v>
      </c>
    </row>
    <row r="8942" spans="1:20" x14ac:dyDescent="0.25">
      <c r="A8942" t="str">
        <f>"3043424"</f>
        <v>3043424</v>
      </c>
      <c r="B8942" t="s">
        <v>26887</v>
      </c>
      <c r="C8942" t="str">
        <f>"82516260"</f>
        <v>82516260</v>
      </c>
      <c r="D8942" t="s">
        <v>26888</v>
      </c>
      <c r="E8942" t="str">
        <f>"C/O SARAH S. BOOE"</f>
        <v>C/O SARAH S. BOOE</v>
      </c>
      <c r="F8942" t="s">
        <v>26889</v>
      </c>
      <c r="I8942" t="s">
        <v>29</v>
      </c>
      <c r="J8942" t="s">
        <v>30</v>
      </c>
      <c r="K8942" t="s">
        <v>8159</v>
      </c>
      <c r="M8942" t="s">
        <v>18479</v>
      </c>
      <c r="N8942" t="str">
        <f>"8/26/2015 1:39:00 PM"</f>
        <v>8/26/2015 1:39:00 PM</v>
      </c>
      <c r="O8942" t="s">
        <v>26888</v>
      </c>
      <c r="T8942" t="str">
        <f>"C/O SARAH S. BOOE"</f>
        <v>C/O SARAH S. BOOE</v>
      </c>
    </row>
    <row r="8943" spans="1:20" x14ac:dyDescent="0.25">
      <c r="A8943" t="str">
        <f>"3041510"</f>
        <v>3041510</v>
      </c>
      <c r="B8943" t="s">
        <v>26890</v>
      </c>
      <c r="C8943" t="str">
        <f>"8304142"</f>
        <v>8304142</v>
      </c>
      <c r="D8943" t="s">
        <v>26891</v>
      </c>
      <c r="F8943" t="s">
        <v>26892</v>
      </c>
      <c r="I8943" t="s">
        <v>2071</v>
      </c>
      <c r="J8943" t="s">
        <v>30</v>
      </c>
      <c r="K8943" t="str">
        <f>"27006"</f>
        <v>27006</v>
      </c>
      <c r="M8943" t="s">
        <v>18479</v>
      </c>
      <c r="N8943" t="str">
        <f>"8/26/2015 1:58:00 PM"</f>
        <v>8/26/2015 1:58:00 PM</v>
      </c>
      <c r="O8943" t="s">
        <v>26891</v>
      </c>
    </row>
    <row r="8944" spans="1:20" x14ac:dyDescent="0.25">
      <c r="A8944" t="str">
        <f>"3048355"</f>
        <v>3048355</v>
      </c>
      <c r="B8944" t="s">
        <v>26893</v>
      </c>
      <c r="C8944" t="str">
        <f>"8304100"</f>
        <v>8304100</v>
      </c>
      <c r="D8944" t="s">
        <v>26894</v>
      </c>
      <c r="E8944" t="s">
        <v>26895</v>
      </c>
      <c r="F8944" t="s">
        <v>26896</v>
      </c>
      <c r="I8944" t="s">
        <v>29</v>
      </c>
      <c r="J8944" t="s">
        <v>30</v>
      </c>
      <c r="K8944" t="str">
        <f>"27028"</f>
        <v>27028</v>
      </c>
      <c r="M8944" t="s">
        <v>18479</v>
      </c>
      <c r="N8944" t="str">
        <f>"8/19/2015 2:09:00 PM"</f>
        <v>8/19/2015 2:09:00 PM</v>
      </c>
      <c r="O8944" t="s">
        <v>26894</v>
      </c>
      <c r="T8944" t="s">
        <v>26895</v>
      </c>
    </row>
    <row r="8945" spans="1:20" x14ac:dyDescent="0.25">
      <c r="A8945" t="str">
        <f>"3039702"</f>
        <v>3039702</v>
      </c>
      <c r="B8945" t="s">
        <v>26897</v>
      </c>
      <c r="C8945" t="str">
        <f>"82530306"</f>
        <v>82530306</v>
      </c>
      <c r="D8945" t="s">
        <v>26898</v>
      </c>
      <c r="E8945" t="s">
        <v>26899</v>
      </c>
      <c r="F8945" t="s">
        <v>26900</v>
      </c>
      <c r="I8945" t="s">
        <v>29</v>
      </c>
      <c r="J8945" t="s">
        <v>30</v>
      </c>
      <c r="K8945" t="s">
        <v>31</v>
      </c>
      <c r="M8945" t="s">
        <v>18479</v>
      </c>
      <c r="N8945" t="str">
        <f>"8/19/2015 3:49:00 PM"</f>
        <v>8/19/2015 3:49:00 PM</v>
      </c>
      <c r="O8945" t="s">
        <v>26898</v>
      </c>
      <c r="T8945" t="s">
        <v>26899</v>
      </c>
    </row>
    <row r="8946" spans="1:20" x14ac:dyDescent="0.25">
      <c r="A8946" t="str">
        <f>"3064216"</f>
        <v>3064216</v>
      </c>
      <c r="B8946" t="s">
        <v>26901</v>
      </c>
      <c r="C8946" t="str">
        <f>"68260000"</f>
        <v>68260000</v>
      </c>
      <c r="D8946" t="s">
        <v>26902</v>
      </c>
      <c r="E8946" t="s">
        <v>26903</v>
      </c>
      <c r="F8946" t="s">
        <v>26904</v>
      </c>
      <c r="I8946" t="s">
        <v>29</v>
      </c>
      <c r="J8946" t="s">
        <v>30</v>
      </c>
      <c r="K8946" t="s">
        <v>31</v>
      </c>
      <c r="M8946" t="s">
        <v>18479</v>
      </c>
      <c r="N8946" t="str">
        <f>"8/20/2015 11:17:00 AM"</f>
        <v>8/20/2015 11:17:00 AM</v>
      </c>
      <c r="O8946" t="s">
        <v>26902</v>
      </c>
      <c r="T8946" t="s">
        <v>26903</v>
      </c>
    </row>
    <row r="8947" spans="1:20" x14ac:dyDescent="0.25">
      <c r="A8947" t="str">
        <f>"3050116"</f>
        <v>3050116</v>
      </c>
      <c r="B8947" t="s">
        <v>26905</v>
      </c>
      <c r="C8947" t="str">
        <f t="shared" ref="C8947:C8953" si="139">"82533081"</f>
        <v>82533081</v>
      </c>
      <c r="D8947" t="s">
        <v>26906</v>
      </c>
      <c r="E8947" t="s">
        <v>26907</v>
      </c>
      <c r="F8947" t="s">
        <v>26908</v>
      </c>
      <c r="I8947" t="s">
        <v>1176</v>
      </c>
      <c r="J8947" t="s">
        <v>30</v>
      </c>
      <c r="K8947" t="str">
        <f t="shared" ref="K8947:K8953" si="140">"27054"</f>
        <v>27054</v>
      </c>
      <c r="M8947" t="s">
        <v>18479</v>
      </c>
      <c r="N8947" t="str">
        <f t="shared" ref="N8947:N8953" si="141">"8/26/2015 2:44:00 PM"</f>
        <v>8/26/2015 2:44:00 PM</v>
      </c>
      <c r="O8947" t="s">
        <v>26906</v>
      </c>
      <c r="T8947" t="s">
        <v>26907</v>
      </c>
    </row>
    <row r="8948" spans="1:20" x14ac:dyDescent="0.25">
      <c r="A8948" t="str">
        <f>"3052403"</f>
        <v>3052403</v>
      </c>
      <c r="B8948" t="s">
        <v>26909</v>
      </c>
      <c r="C8948" t="str">
        <f t="shared" si="139"/>
        <v>82533081</v>
      </c>
      <c r="D8948" t="s">
        <v>26906</v>
      </c>
      <c r="E8948" t="s">
        <v>26907</v>
      </c>
      <c r="F8948" t="s">
        <v>26908</v>
      </c>
      <c r="I8948" t="s">
        <v>1176</v>
      </c>
      <c r="J8948" t="s">
        <v>30</v>
      </c>
      <c r="K8948" t="str">
        <f t="shared" si="140"/>
        <v>27054</v>
      </c>
      <c r="M8948" t="s">
        <v>18479</v>
      </c>
      <c r="N8948" t="str">
        <f t="shared" si="141"/>
        <v>8/26/2015 2:44:00 PM</v>
      </c>
      <c r="O8948" t="s">
        <v>26906</v>
      </c>
      <c r="T8948" t="s">
        <v>26907</v>
      </c>
    </row>
    <row r="8949" spans="1:20" x14ac:dyDescent="0.25">
      <c r="A8949" t="str">
        <f>"3052639"</f>
        <v>3052639</v>
      </c>
      <c r="B8949" t="s">
        <v>26910</v>
      </c>
      <c r="C8949" t="str">
        <f t="shared" si="139"/>
        <v>82533081</v>
      </c>
      <c r="D8949" t="s">
        <v>26906</v>
      </c>
      <c r="E8949" t="s">
        <v>26907</v>
      </c>
      <c r="F8949" t="s">
        <v>26908</v>
      </c>
      <c r="I8949" t="s">
        <v>1176</v>
      </c>
      <c r="J8949" t="s">
        <v>30</v>
      </c>
      <c r="K8949" t="str">
        <f t="shared" si="140"/>
        <v>27054</v>
      </c>
      <c r="M8949" t="s">
        <v>18479</v>
      </c>
      <c r="N8949" t="str">
        <f t="shared" si="141"/>
        <v>8/26/2015 2:44:00 PM</v>
      </c>
      <c r="O8949" t="s">
        <v>26906</v>
      </c>
      <c r="T8949" t="s">
        <v>26907</v>
      </c>
    </row>
    <row r="8950" spans="1:20" x14ac:dyDescent="0.25">
      <c r="A8950" t="str">
        <f>"3052455"</f>
        <v>3052455</v>
      </c>
      <c r="B8950" t="s">
        <v>26911</v>
      </c>
      <c r="C8950" t="str">
        <f t="shared" si="139"/>
        <v>82533081</v>
      </c>
      <c r="D8950" t="s">
        <v>26906</v>
      </c>
      <c r="E8950" t="s">
        <v>26907</v>
      </c>
      <c r="F8950" t="s">
        <v>26908</v>
      </c>
      <c r="I8950" t="s">
        <v>1176</v>
      </c>
      <c r="J8950" t="s">
        <v>30</v>
      </c>
      <c r="K8950" t="str">
        <f t="shared" si="140"/>
        <v>27054</v>
      </c>
      <c r="M8950" t="s">
        <v>18479</v>
      </c>
      <c r="N8950" t="str">
        <f t="shared" si="141"/>
        <v>8/26/2015 2:44:00 PM</v>
      </c>
      <c r="O8950" t="s">
        <v>26906</v>
      </c>
      <c r="T8950" t="s">
        <v>26907</v>
      </c>
    </row>
    <row r="8951" spans="1:20" x14ac:dyDescent="0.25">
      <c r="A8951" t="str">
        <f>"3055916"</f>
        <v>3055916</v>
      </c>
      <c r="B8951" t="s">
        <v>26912</v>
      </c>
      <c r="C8951" t="str">
        <f t="shared" si="139"/>
        <v>82533081</v>
      </c>
      <c r="D8951" t="s">
        <v>26906</v>
      </c>
      <c r="E8951" t="s">
        <v>26907</v>
      </c>
      <c r="F8951" t="s">
        <v>26908</v>
      </c>
      <c r="I8951" t="s">
        <v>1176</v>
      </c>
      <c r="J8951" t="s">
        <v>30</v>
      </c>
      <c r="K8951" t="str">
        <f t="shared" si="140"/>
        <v>27054</v>
      </c>
      <c r="M8951" t="s">
        <v>18479</v>
      </c>
      <c r="N8951" t="str">
        <f t="shared" si="141"/>
        <v>8/26/2015 2:44:00 PM</v>
      </c>
      <c r="O8951" t="s">
        <v>26906</v>
      </c>
      <c r="T8951" t="s">
        <v>26907</v>
      </c>
    </row>
    <row r="8952" spans="1:20" x14ac:dyDescent="0.25">
      <c r="A8952" t="str">
        <f>"3055880"</f>
        <v>3055880</v>
      </c>
      <c r="B8952" t="s">
        <v>26913</v>
      </c>
      <c r="C8952" t="str">
        <f t="shared" si="139"/>
        <v>82533081</v>
      </c>
      <c r="D8952" t="s">
        <v>26906</v>
      </c>
      <c r="E8952" t="s">
        <v>26907</v>
      </c>
      <c r="F8952" t="s">
        <v>26908</v>
      </c>
      <c r="I8952" t="s">
        <v>1176</v>
      </c>
      <c r="J8952" t="s">
        <v>30</v>
      </c>
      <c r="K8952" t="str">
        <f t="shared" si="140"/>
        <v>27054</v>
      </c>
      <c r="M8952" t="s">
        <v>18479</v>
      </c>
      <c r="N8952" t="str">
        <f t="shared" si="141"/>
        <v>8/26/2015 2:44:00 PM</v>
      </c>
      <c r="O8952" t="s">
        <v>26906</v>
      </c>
      <c r="T8952" t="s">
        <v>26907</v>
      </c>
    </row>
    <row r="8953" spans="1:20" x14ac:dyDescent="0.25">
      <c r="A8953" t="str">
        <f>"3055685"</f>
        <v>3055685</v>
      </c>
      <c r="B8953" t="s">
        <v>26914</v>
      </c>
      <c r="C8953" t="str">
        <f t="shared" si="139"/>
        <v>82533081</v>
      </c>
      <c r="D8953" t="s">
        <v>26906</v>
      </c>
      <c r="E8953" t="s">
        <v>26907</v>
      </c>
      <c r="F8953" t="s">
        <v>26908</v>
      </c>
      <c r="I8953" t="s">
        <v>1176</v>
      </c>
      <c r="J8953" t="s">
        <v>30</v>
      </c>
      <c r="K8953" t="str">
        <f t="shared" si="140"/>
        <v>27054</v>
      </c>
      <c r="M8953" t="s">
        <v>18479</v>
      </c>
      <c r="N8953" t="str">
        <f t="shared" si="141"/>
        <v>8/26/2015 2:44:00 PM</v>
      </c>
      <c r="O8953" t="s">
        <v>26906</v>
      </c>
      <c r="T8953" t="s">
        <v>26907</v>
      </c>
    </row>
    <row r="8954" spans="1:20" x14ac:dyDescent="0.25">
      <c r="A8954" t="str">
        <f>"3051356"</f>
        <v>3051356</v>
      </c>
      <c r="B8954" t="s">
        <v>26915</v>
      </c>
      <c r="C8954" t="str">
        <f t="shared" ref="C8954:C8962" si="142">"63824000"</f>
        <v>63824000</v>
      </c>
      <c r="D8954" t="s">
        <v>26916</v>
      </c>
      <c r="E8954" t="s">
        <v>26917</v>
      </c>
      <c r="F8954" t="s">
        <v>26918</v>
      </c>
      <c r="I8954" t="s">
        <v>29</v>
      </c>
      <c r="J8954" t="s">
        <v>30</v>
      </c>
      <c r="K8954" t="str">
        <f t="shared" ref="K8954:K8962" si="143">"27028"</f>
        <v>27028</v>
      </c>
      <c r="M8954" t="s">
        <v>18479</v>
      </c>
      <c r="N8954" t="str">
        <f t="shared" ref="N8954:N8962" si="144">"8/26/2015 2:56:00 PM"</f>
        <v>8/26/2015 2:56:00 PM</v>
      </c>
      <c r="O8954" t="s">
        <v>26916</v>
      </c>
      <c r="T8954" t="s">
        <v>26917</v>
      </c>
    </row>
    <row r="8955" spans="1:20" x14ac:dyDescent="0.25">
      <c r="A8955" t="str">
        <f>"3051194"</f>
        <v>3051194</v>
      </c>
      <c r="B8955" t="s">
        <v>26919</v>
      </c>
      <c r="C8955" t="str">
        <f t="shared" si="142"/>
        <v>63824000</v>
      </c>
      <c r="D8955" t="s">
        <v>26916</v>
      </c>
      <c r="E8955" t="s">
        <v>26917</v>
      </c>
      <c r="F8955" t="s">
        <v>26918</v>
      </c>
      <c r="I8955" t="s">
        <v>29</v>
      </c>
      <c r="J8955" t="s">
        <v>30</v>
      </c>
      <c r="K8955" t="str">
        <f t="shared" si="143"/>
        <v>27028</v>
      </c>
      <c r="M8955" t="s">
        <v>18479</v>
      </c>
      <c r="N8955" t="str">
        <f t="shared" si="144"/>
        <v>8/26/2015 2:56:00 PM</v>
      </c>
      <c r="O8955" t="s">
        <v>26916</v>
      </c>
      <c r="T8955" t="s">
        <v>26917</v>
      </c>
    </row>
    <row r="8956" spans="1:20" x14ac:dyDescent="0.25">
      <c r="A8956" t="str">
        <f>"3051195"</f>
        <v>3051195</v>
      </c>
      <c r="B8956" t="s">
        <v>26920</v>
      </c>
      <c r="C8956" t="str">
        <f t="shared" si="142"/>
        <v>63824000</v>
      </c>
      <c r="D8956" t="s">
        <v>26916</v>
      </c>
      <c r="E8956" t="s">
        <v>26917</v>
      </c>
      <c r="F8956" t="s">
        <v>26918</v>
      </c>
      <c r="I8956" t="s">
        <v>29</v>
      </c>
      <c r="J8956" t="s">
        <v>30</v>
      </c>
      <c r="K8956" t="str">
        <f t="shared" si="143"/>
        <v>27028</v>
      </c>
      <c r="M8956" t="s">
        <v>18479</v>
      </c>
      <c r="N8956" t="str">
        <f t="shared" si="144"/>
        <v>8/26/2015 2:56:00 PM</v>
      </c>
      <c r="O8956" t="s">
        <v>26916</v>
      </c>
      <c r="T8956" t="s">
        <v>26917</v>
      </c>
    </row>
    <row r="8957" spans="1:20" x14ac:dyDescent="0.25">
      <c r="A8957" t="str">
        <f>"3051162"</f>
        <v>3051162</v>
      </c>
      <c r="B8957" t="s">
        <v>26921</v>
      </c>
      <c r="C8957" t="str">
        <f t="shared" si="142"/>
        <v>63824000</v>
      </c>
      <c r="D8957" t="s">
        <v>26916</v>
      </c>
      <c r="E8957" t="s">
        <v>26917</v>
      </c>
      <c r="F8957" t="s">
        <v>26918</v>
      </c>
      <c r="I8957" t="s">
        <v>29</v>
      </c>
      <c r="J8957" t="s">
        <v>30</v>
      </c>
      <c r="K8957" t="str">
        <f t="shared" si="143"/>
        <v>27028</v>
      </c>
      <c r="M8957" t="s">
        <v>18479</v>
      </c>
      <c r="N8957" t="str">
        <f t="shared" si="144"/>
        <v>8/26/2015 2:56:00 PM</v>
      </c>
      <c r="O8957" t="s">
        <v>26916</v>
      </c>
      <c r="T8957" t="s">
        <v>26917</v>
      </c>
    </row>
    <row r="8958" spans="1:20" x14ac:dyDescent="0.25">
      <c r="A8958" t="str">
        <f>"3051095"</f>
        <v>3051095</v>
      </c>
      <c r="B8958" t="s">
        <v>26922</v>
      </c>
      <c r="C8958" t="str">
        <f t="shared" si="142"/>
        <v>63824000</v>
      </c>
      <c r="D8958" t="s">
        <v>26916</v>
      </c>
      <c r="E8958" t="s">
        <v>26917</v>
      </c>
      <c r="F8958" t="s">
        <v>26918</v>
      </c>
      <c r="I8958" t="s">
        <v>29</v>
      </c>
      <c r="J8958" t="s">
        <v>30</v>
      </c>
      <c r="K8958" t="str">
        <f t="shared" si="143"/>
        <v>27028</v>
      </c>
      <c r="M8958" t="s">
        <v>18479</v>
      </c>
      <c r="N8958" t="str">
        <f t="shared" si="144"/>
        <v>8/26/2015 2:56:00 PM</v>
      </c>
      <c r="O8958" t="s">
        <v>26916</v>
      </c>
      <c r="T8958" t="s">
        <v>26917</v>
      </c>
    </row>
    <row r="8959" spans="1:20" x14ac:dyDescent="0.25">
      <c r="A8959" t="str">
        <f>"3051040"</f>
        <v>3051040</v>
      </c>
      <c r="B8959" t="s">
        <v>26923</v>
      </c>
      <c r="C8959" t="str">
        <f t="shared" si="142"/>
        <v>63824000</v>
      </c>
      <c r="D8959" t="s">
        <v>26916</v>
      </c>
      <c r="E8959" t="s">
        <v>26917</v>
      </c>
      <c r="F8959" t="s">
        <v>26918</v>
      </c>
      <c r="I8959" t="s">
        <v>29</v>
      </c>
      <c r="J8959" t="s">
        <v>30</v>
      </c>
      <c r="K8959" t="str">
        <f t="shared" si="143"/>
        <v>27028</v>
      </c>
      <c r="M8959" t="s">
        <v>18479</v>
      </c>
      <c r="N8959" t="str">
        <f t="shared" si="144"/>
        <v>8/26/2015 2:56:00 PM</v>
      </c>
      <c r="O8959" t="s">
        <v>26916</v>
      </c>
      <c r="T8959" t="s">
        <v>26917</v>
      </c>
    </row>
    <row r="8960" spans="1:20" x14ac:dyDescent="0.25">
      <c r="A8960" t="str">
        <f>"3078607"</f>
        <v>3078607</v>
      </c>
      <c r="B8960" t="s">
        <v>26924</v>
      </c>
      <c r="C8960" t="str">
        <f t="shared" si="142"/>
        <v>63824000</v>
      </c>
      <c r="D8960" t="s">
        <v>26916</v>
      </c>
      <c r="E8960" t="s">
        <v>26917</v>
      </c>
      <c r="F8960" t="s">
        <v>26918</v>
      </c>
      <c r="I8960" t="s">
        <v>29</v>
      </c>
      <c r="J8960" t="s">
        <v>30</v>
      </c>
      <c r="K8960" t="str">
        <f t="shared" si="143"/>
        <v>27028</v>
      </c>
      <c r="M8960" t="s">
        <v>18479</v>
      </c>
      <c r="N8960" t="str">
        <f t="shared" si="144"/>
        <v>8/26/2015 2:56:00 PM</v>
      </c>
      <c r="O8960" t="s">
        <v>26916</v>
      </c>
      <c r="T8960" t="s">
        <v>26917</v>
      </c>
    </row>
    <row r="8961" spans="1:20" x14ac:dyDescent="0.25">
      <c r="A8961" t="str">
        <f>"3078633"</f>
        <v>3078633</v>
      </c>
      <c r="B8961" t="s">
        <v>26925</v>
      </c>
      <c r="C8961" t="str">
        <f t="shared" si="142"/>
        <v>63824000</v>
      </c>
      <c r="D8961" t="s">
        <v>26916</v>
      </c>
      <c r="E8961" t="s">
        <v>26917</v>
      </c>
      <c r="F8961" t="s">
        <v>26918</v>
      </c>
      <c r="I8961" t="s">
        <v>29</v>
      </c>
      <c r="J8961" t="s">
        <v>30</v>
      </c>
      <c r="K8961" t="str">
        <f t="shared" si="143"/>
        <v>27028</v>
      </c>
      <c r="M8961" t="s">
        <v>18479</v>
      </c>
      <c r="N8961" t="str">
        <f t="shared" si="144"/>
        <v>8/26/2015 2:56:00 PM</v>
      </c>
      <c r="O8961" t="s">
        <v>26916</v>
      </c>
      <c r="T8961" t="s">
        <v>26917</v>
      </c>
    </row>
    <row r="8962" spans="1:20" x14ac:dyDescent="0.25">
      <c r="A8962" t="str">
        <f>"3063330"</f>
        <v>3063330</v>
      </c>
      <c r="B8962" t="s">
        <v>26926</v>
      </c>
      <c r="C8962" t="str">
        <f t="shared" si="142"/>
        <v>63824000</v>
      </c>
      <c r="D8962" t="s">
        <v>26916</v>
      </c>
      <c r="E8962" t="s">
        <v>26917</v>
      </c>
      <c r="F8962" t="s">
        <v>26918</v>
      </c>
      <c r="I8962" t="s">
        <v>29</v>
      </c>
      <c r="J8962" t="s">
        <v>30</v>
      </c>
      <c r="K8962" t="str">
        <f t="shared" si="143"/>
        <v>27028</v>
      </c>
      <c r="M8962" t="s">
        <v>18479</v>
      </c>
      <c r="N8962" t="str">
        <f t="shared" si="144"/>
        <v>8/26/2015 2:56:00 PM</v>
      </c>
      <c r="O8962" t="s">
        <v>26916</v>
      </c>
      <c r="T8962" t="s">
        <v>26917</v>
      </c>
    </row>
    <row r="8963" spans="1:20" x14ac:dyDescent="0.25">
      <c r="A8963" t="str">
        <f>"3078263"</f>
        <v>3078263</v>
      </c>
      <c r="B8963" t="s">
        <v>26927</v>
      </c>
      <c r="C8963" t="str">
        <f>"64324000"</f>
        <v>64324000</v>
      </c>
      <c r="D8963" t="s">
        <v>26928</v>
      </c>
      <c r="E8963" t="s">
        <v>26929</v>
      </c>
      <c r="F8963" t="s">
        <v>18335</v>
      </c>
      <c r="I8963" t="s">
        <v>29</v>
      </c>
      <c r="J8963" t="s">
        <v>30</v>
      </c>
      <c r="K8963" t="s">
        <v>11964</v>
      </c>
      <c r="M8963" t="s">
        <v>18479</v>
      </c>
      <c r="N8963" t="str">
        <f>"8/27/2015 8:59:00 AM"</f>
        <v>8/27/2015 8:59:00 AM</v>
      </c>
      <c r="O8963" t="s">
        <v>26928</v>
      </c>
      <c r="T8963" t="s">
        <v>26929</v>
      </c>
    </row>
    <row r="8964" spans="1:20" x14ac:dyDescent="0.25">
      <c r="A8964" t="str">
        <f>"3057611"</f>
        <v>3057611</v>
      </c>
      <c r="B8964" t="s">
        <v>26930</v>
      </c>
      <c r="C8964" t="str">
        <f>"64324000"</f>
        <v>64324000</v>
      </c>
      <c r="D8964" t="s">
        <v>26928</v>
      </c>
      <c r="E8964" t="s">
        <v>26929</v>
      </c>
      <c r="F8964" t="s">
        <v>18335</v>
      </c>
      <c r="I8964" t="s">
        <v>29</v>
      </c>
      <c r="J8964" t="s">
        <v>30</v>
      </c>
      <c r="K8964" t="s">
        <v>11964</v>
      </c>
      <c r="M8964" t="s">
        <v>18479</v>
      </c>
      <c r="N8964" t="str">
        <f>"8/27/2015 8:59:00 AM"</f>
        <v>8/27/2015 8:59:00 AM</v>
      </c>
      <c r="O8964" t="s">
        <v>26928</v>
      </c>
      <c r="T8964" t="s">
        <v>26929</v>
      </c>
    </row>
    <row r="8965" spans="1:20" x14ac:dyDescent="0.25">
      <c r="A8965" t="str">
        <f>"3060826"</f>
        <v>3060826</v>
      </c>
      <c r="B8965" t="s">
        <v>26931</v>
      </c>
      <c r="C8965" t="str">
        <f>"8303966"</f>
        <v>8303966</v>
      </c>
      <c r="D8965" t="s">
        <v>26932</v>
      </c>
      <c r="F8965" t="s">
        <v>26933</v>
      </c>
      <c r="I8965" t="s">
        <v>184</v>
      </c>
      <c r="J8965" t="s">
        <v>30</v>
      </c>
      <c r="K8965" t="str">
        <f>"27006"</f>
        <v>27006</v>
      </c>
      <c r="M8965" t="s">
        <v>18479</v>
      </c>
      <c r="N8965" t="str">
        <f>"8/27/2015 9:07:00 AM"</f>
        <v>8/27/2015 9:07:00 AM</v>
      </c>
      <c r="O8965" t="s">
        <v>26932</v>
      </c>
    </row>
    <row r="8966" spans="1:20" x14ac:dyDescent="0.25">
      <c r="A8966" t="str">
        <f>"3062983"</f>
        <v>3062983</v>
      </c>
      <c r="B8966" t="s">
        <v>26934</v>
      </c>
      <c r="C8966" t="str">
        <f>"82516681"</f>
        <v>82516681</v>
      </c>
      <c r="D8966" t="s">
        <v>26935</v>
      </c>
      <c r="E8966" t="s">
        <v>26936</v>
      </c>
      <c r="F8966" t="s">
        <v>26937</v>
      </c>
      <c r="I8966" t="s">
        <v>184</v>
      </c>
      <c r="J8966" t="s">
        <v>30</v>
      </c>
      <c r="K8966" t="s">
        <v>8745</v>
      </c>
      <c r="M8966" t="s">
        <v>18479</v>
      </c>
      <c r="N8966" t="str">
        <f>"8/27/2015 9:18:00 AM"</f>
        <v>8/27/2015 9:18:00 AM</v>
      </c>
      <c r="O8966" t="s">
        <v>26935</v>
      </c>
      <c r="T8966" t="s">
        <v>26936</v>
      </c>
    </row>
    <row r="8967" spans="1:20" x14ac:dyDescent="0.25">
      <c r="A8967" t="str">
        <f>"3055905"</f>
        <v>3055905</v>
      </c>
      <c r="B8967" t="s">
        <v>26938</v>
      </c>
      <c r="C8967" t="str">
        <f>"8304108"</f>
        <v>8304108</v>
      </c>
      <c r="D8967" t="s">
        <v>26939</v>
      </c>
      <c r="F8967" t="s">
        <v>26940</v>
      </c>
      <c r="I8967" t="s">
        <v>9580</v>
      </c>
      <c r="J8967" t="s">
        <v>30</v>
      </c>
      <c r="K8967" t="str">
        <f>"27014"</f>
        <v>27014</v>
      </c>
      <c r="M8967" t="s">
        <v>18479</v>
      </c>
      <c r="N8967" t="str">
        <f>"8/20/2015 11:44:00 AM"</f>
        <v>8/20/2015 11:44:00 AM</v>
      </c>
      <c r="O8967" t="s">
        <v>26939</v>
      </c>
    </row>
    <row r="8968" spans="1:20" x14ac:dyDescent="0.25">
      <c r="A8968" t="str">
        <f>"3039416"</f>
        <v>3039416</v>
      </c>
      <c r="B8968" t="s">
        <v>26941</v>
      </c>
      <c r="C8968" t="str">
        <f>"64912000"</f>
        <v>64912000</v>
      </c>
      <c r="D8968" t="s">
        <v>26942</v>
      </c>
      <c r="E8968" t="s">
        <v>26943</v>
      </c>
      <c r="F8968" t="s">
        <v>26944</v>
      </c>
      <c r="I8968" t="s">
        <v>29</v>
      </c>
      <c r="J8968" t="s">
        <v>30</v>
      </c>
      <c r="K8968" t="s">
        <v>31</v>
      </c>
      <c r="M8968" t="s">
        <v>18479</v>
      </c>
      <c r="N8968" t="str">
        <f>"8/27/2015 10:15:00 AM"</f>
        <v>8/27/2015 10:15:00 AM</v>
      </c>
      <c r="O8968" t="s">
        <v>26942</v>
      </c>
      <c r="T8968" t="s">
        <v>26943</v>
      </c>
    </row>
    <row r="8969" spans="1:20" x14ac:dyDescent="0.25">
      <c r="A8969" t="str">
        <f>"3038924"</f>
        <v>3038924</v>
      </c>
      <c r="B8969" t="s">
        <v>26945</v>
      </c>
      <c r="C8969" t="str">
        <f>"64912000"</f>
        <v>64912000</v>
      </c>
      <c r="D8969" t="s">
        <v>26942</v>
      </c>
      <c r="E8969" t="s">
        <v>26943</v>
      </c>
      <c r="F8969" t="s">
        <v>26944</v>
      </c>
      <c r="I8969" t="s">
        <v>29</v>
      </c>
      <c r="J8969" t="s">
        <v>30</v>
      </c>
      <c r="K8969" t="s">
        <v>31</v>
      </c>
      <c r="M8969" t="s">
        <v>18479</v>
      </c>
      <c r="N8969" t="str">
        <f>"8/27/2015 10:15:00 AM"</f>
        <v>8/27/2015 10:15:00 AM</v>
      </c>
      <c r="O8969" t="s">
        <v>26942</v>
      </c>
      <c r="T8969" t="s">
        <v>26943</v>
      </c>
    </row>
    <row r="8970" spans="1:20" x14ac:dyDescent="0.25">
      <c r="A8970" t="str">
        <f>"3060601"</f>
        <v>3060601</v>
      </c>
      <c r="B8970" t="s">
        <v>26946</v>
      </c>
      <c r="C8970" t="str">
        <f>"8303511"</f>
        <v>8303511</v>
      </c>
      <c r="D8970" t="s">
        <v>26947</v>
      </c>
      <c r="E8970" t="s">
        <v>26948</v>
      </c>
      <c r="F8970" t="s">
        <v>26949</v>
      </c>
      <c r="I8970" t="s">
        <v>2071</v>
      </c>
      <c r="J8970" t="s">
        <v>30</v>
      </c>
      <c r="K8970" t="str">
        <f>"27006"</f>
        <v>27006</v>
      </c>
      <c r="M8970" t="s">
        <v>18479</v>
      </c>
      <c r="N8970" t="str">
        <f>"8/27/2015 10:22:00 AM"</f>
        <v>8/27/2015 10:22:00 AM</v>
      </c>
      <c r="O8970" t="s">
        <v>26947</v>
      </c>
      <c r="T8970" t="s">
        <v>26948</v>
      </c>
    </row>
    <row r="8971" spans="1:20" x14ac:dyDescent="0.25">
      <c r="A8971" t="str">
        <f>"3038853"</f>
        <v>3038853</v>
      </c>
      <c r="B8971" t="s">
        <v>26950</v>
      </c>
      <c r="C8971" t="str">
        <f>"65046000"</f>
        <v>65046000</v>
      </c>
      <c r="D8971" t="s">
        <v>26951</v>
      </c>
      <c r="E8971" t="s">
        <v>26952</v>
      </c>
      <c r="F8971" t="s">
        <v>26953</v>
      </c>
      <c r="I8971" t="s">
        <v>29</v>
      </c>
      <c r="J8971" t="s">
        <v>30</v>
      </c>
      <c r="K8971" t="s">
        <v>198</v>
      </c>
      <c r="M8971" t="s">
        <v>18479</v>
      </c>
      <c r="N8971" t="str">
        <f>"8/27/2015 10:24:00 AM"</f>
        <v>8/27/2015 10:24:00 AM</v>
      </c>
      <c r="O8971" t="s">
        <v>26951</v>
      </c>
      <c r="T8971" t="s">
        <v>26952</v>
      </c>
    </row>
    <row r="8972" spans="1:20" x14ac:dyDescent="0.25">
      <c r="A8972" t="str">
        <f>"3040052"</f>
        <v>3040052</v>
      </c>
      <c r="B8972" t="s">
        <v>26954</v>
      </c>
      <c r="C8972" t="str">
        <f>"65220000"</f>
        <v>65220000</v>
      </c>
      <c r="D8972" t="s">
        <v>26955</v>
      </c>
      <c r="E8972" t="s">
        <v>26956</v>
      </c>
      <c r="F8972" t="s">
        <v>26957</v>
      </c>
      <c r="I8972" t="s">
        <v>29</v>
      </c>
      <c r="J8972" t="s">
        <v>30</v>
      </c>
      <c r="K8972" t="s">
        <v>26958</v>
      </c>
      <c r="M8972" t="s">
        <v>18479</v>
      </c>
      <c r="N8972" t="str">
        <f>"8/27/2015 10:33:00 AM"</f>
        <v>8/27/2015 10:33:00 AM</v>
      </c>
      <c r="O8972" t="s">
        <v>26955</v>
      </c>
      <c r="T8972" t="s">
        <v>26956</v>
      </c>
    </row>
    <row r="8973" spans="1:20" x14ac:dyDescent="0.25">
      <c r="A8973" t="str">
        <f>"3050666"</f>
        <v>3050666</v>
      </c>
      <c r="B8973" t="s">
        <v>26959</v>
      </c>
      <c r="C8973" t="str">
        <f>"61588000"</f>
        <v>61588000</v>
      </c>
      <c r="D8973" t="s">
        <v>26960</v>
      </c>
      <c r="F8973" t="s">
        <v>26961</v>
      </c>
      <c r="I8973" t="s">
        <v>184</v>
      </c>
      <c r="J8973" t="s">
        <v>30</v>
      </c>
      <c r="K8973" t="s">
        <v>26962</v>
      </c>
      <c r="M8973" t="s">
        <v>18479</v>
      </c>
      <c r="N8973" t="str">
        <f>"8/27/2015 11:09:00 AM"</f>
        <v>8/27/2015 11:09:00 AM</v>
      </c>
      <c r="O8973" t="s">
        <v>26960</v>
      </c>
    </row>
    <row r="8974" spans="1:20" x14ac:dyDescent="0.25">
      <c r="A8974" t="str">
        <f>"3048068"</f>
        <v>3048068</v>
      </c>
      <c r="B8974" t="s">
        <v>26963</v>
      </c>
      <c r="C8974" t="str">
        <f>"69060500"</f>
        <v>69060500</v>
      </c>
      <c r="D8974" t="s">
        <v>26964</v>
      </c>
      <c r="E8974" t="s">
        <v>26965</v>
      </c>
      <c r="F8974" t="s">
        <v>26966</v>
      </c>
      <c r="I8974" t="s">
        <v>184</v>
      </c>
      <c r="J8974" t="s">
        <v>30</v>
      </c>
      <c r="K8974" t="s">
        <v>26967</v>
      </c>
      <c r="M8974" t="s">
        <v>18479</v>
      </c>
      <c r="N8974" t="str">
        <f>"8/20/2015 1:21:00 PM"</f>
        <v>8/20/2015 1:21:00 PM</v>
      </c>
      <c r="O8974" t="s">
        <v>26964</v>
      </c>
      <c r="T8974" t="s">
        <v>26965</v>
      </c>
    </row>
    <row r="8975" spans="1:20" x14ac:dyDescent="0.25">
      <c r="A8975" t="str">
        <f>"3048228"</f>
        <v>3048228</v>
      </c>
      <c r="B8975" t="s">
        <v>26968</v>
      </c>
      <c r="C8975" t="str">
        <f>"82517023"</f>
        <v>82517023</v>
      </c>
      <c r="D8975" t="s">
        <v>26969</v>
      </c>
      <c r="E8975" t="s">
        <v>26970</v>
      </c>
      <c r="F8975" t="s">
        <v>26971</v>
      </c>
      <c r="I8975" t="s">
        <v>29</v>
      </c>
      <c r="J8975" t="s">
        <v>30</v>
      </c>
      <c r="K8975" t="s">
        <v>31</v>
      </c>
      <c r="M8975" t="s">
        <v>18479</v>
      </c>
      <c r="N8975" t="str">
        <f>"8/20/2015 1:35:00 PM"</f>
        <v>8/20/2015 1:35:00 PM</v>
      </c>
      <c r="O8975" t="s">
        <v>26969</v>
      </c>
      <c r="T8975" t="s">
        <v>26970</v>
      </c>
    </row>
    <row r="8976" spans="1:20" x14ac:dyDescent="0.25">
      <c r="A8976" t="str">
        <f>"3047466"</f>
        <v>3047466</v>
      </c>
      <c r="B8976" t="s">
        <v>26972</v>
      </c>
      <c r="C8976" t="str">
        <f>"82517023"</f>
        <v>82517023</v>
      </c>
      <c r="D8976" t="s">
        <v>26969</v>
      </c>
      <c r="E8976" t="s">
        <v>26970</v>
      </c>
      <c r="F8976" t="s">
        <v>26971</v>
      </c>
      <c r="I8976" t="s">
        <v>29</v>
      </c>
      <c r="J8976" t="s">
        <v>30</v>
      </c>
      <c r="K8976" t="s">
        <v>31</v>
      </c>
      <c r="M8976" t="s">
        <v>18479</v>
      </c>
      <c r="N8976" t="str">
        <f>"8/20/2015 1:35:00 PM"</f>
        <v>8/20/2015 1:35:00 PM</v>
      </c>
      <c r="O8976" t="s">
        <v>26969</v>
      </c>
      <c r="T8976" t="s">
        <v>26970</v>
      </c>
    </row>
    <row r="8977" spans="1:20" x14ac:dyDescent="0.25">
      <c r="A8977" t="str">
        <f>"3053334"</f>
        <v>3053334</v>
      </c>
      <c r="B8977" t="s">
        <v>26973</v>
      </c>
      <c r="C8977" t="str">
        <f>"69482000"</f>
        <v>69482000</v>
      </c>
      <c r="D8977" t="s">
        <v>26808</v>
      </c>
      <c r="E8977" t="s">
        <v>26809</v>
      </c>
      <c r="F8977" t="s">
        <v>26810</v>
      </c>
      <c r="I8977" t="s">
        <v>184</v>
      </c>
      <c r="J8977" t="s">
        <v>30</v>
      </c>
      <c r="K8977" t="s">
        <v>26078</v>
      </c>
      <c r="M8977" t="s">
        <v>18479</v>
      </c>
      <c r="N8977" t="str">
        <f>"8/20/2015 1:49:00 PM"</f>
        <v>8/20/2015 1:49:00 PM</v>
      </c>
      <c r="O8977" t="s">
        <v>26808</v>
      </c>
      <c r="T8977" t="s">
        <v>26809</v>
      </c>
    </row>
    <row r="8978" spans="1:20" x14ac:dyDescent="0.25">
      <c r="A8978" t="str">
        <f>"3053377"</f>
        <v>3053377</v>
      </c>
      <c r="B8978" t="s">
        <v>26974</v>
      </c>
      <c r="C8978" t="str">
        <f>"69482000"</f>
        <v>69482000</v>
      </c>
      <c r="D8978" t="s">
        <v>26808</v>
      </c>
      <c r="E8978" t="s">
        <v>26809</v>
      </c>
      <c r="F8978" t="s">
        <v>26810</v>
      </c>
      <c r="I8978" t="s">
        <v>184</v>
      </c>
      <c r="J8978" t="s">
        <v>30</v>
      </c>
      <c r="K8978" t="s">
        <v>26078</v>
      </c>
      <c r="M8978" t="s">
        <v>18479</v>
      </c>
      <c r="N8978" t="str">
        <f>"8/20/2015 1:49:00 PM"</f>
        <v>8/20/2015 1:49:00 PM</v>
      </c>
      <c r="O8978" t="s">
        <v>26808</v>
      </c>
      <c r="T8978" t="s">
        <v>26809</v>
      </c>
    </row>
    <row r="8979" spans="1:20" x14ac:dyDescent="0.25">
      <c r="A8979" t="str">
        <f>"3040041"</f>
        <v>3040041</v>
      </c>
      <c r="B8979" t="s">
        <v>26975</v>
      </c>
      <c r="C8979" t="str">
        <f>"8303023"</f>
        <v>8303023</v>
      </c>
      <c r="D8979" t="s">
        <v>26976</v>
      </c>
      <c r="E8979" t="s">
        <v>26977</v>
      </c>
      <c r="F8979" t="s">
        <v>26978</v>
      </c>
      <c r="I8979" t="s">
        <v>29</v>
      </c>
      <c r="J8979" t="s">
        <v>30</v>
      </c>
      <c r="K8979" t="str">
        <f>"27028"</f>
        <v>27028</v>
      </c>
      <c r="M8979" t="s">
        <v>18479</v>
      </c>
      <c r="N8979" t="str">
        <f>"8/20/2015 4:47:00 PM"</f>
        <v>8/20/2015 4:47:00 PM</v>
      </c>
      <c r="O8979" t="s">
        <v>26976</v>
      </c>
      <c r="T8979" t="s">
        <v>26977</v>
      </c>
    </row>
    <row r="8980" spans="1:20" x14ac:dyDescent="0.25">
      <c r="A8980" t="str">
        <f>"3049044"</f>
        <v>3049044</v>
      </c>
      <c r="B8980" t="s">
        <v>26979</v>
      </c>
      <c r="C8980" t="str">
        <f>"82529755"</f>
        <v>82529755</v>
      </c>
      <c r="D8980" t="s">
        <v>26980</v>
      </c>
      <c r="E8980" t="s">
        <v>26981</v>
      </c>
      <c r="F8980" t="s">
        <v>26982</v>
      </c>
      <c r="I8980" t="s">
        <v>26983</v>
      </c>
      <c r="J8980" t="s">
        <v>12215</v>
      </c>
      <c r="K8980" t="s">
        <v>26984</v>
      </c>
      <c r="M8980" t="s">
        <v>22859</v>
      </c>
      <c r="N8980" t="str">
        <f>"8/24/2015 8:18:00 AM"</f>
        <v>8/24/2015 8:18:00 AM</v>
      </c>
      <c r="O8980" t="s">
        <v>26980</v>
      </c>
      <c r="T8980" t="s">
        <v>26981</v>
      </c>
    </row>
    <row r="8981" spans="1:20" x14ac:dyDescent="0.25">
      <c r="A8981" t="str">
        <f>"3058763"</f>
        <v>3058763</v>
      </c>
      <c r="B8981" t="s">
        <v>26985</v>
      </c>
      <c r="C8981" t="str">
        <f>"8305394"</f>
        <v>8305394</v>
      </c>
      <c r="D8981" t="s">
        <v>26986</v>
      </c>
      <c r="E8981" t="s">
        <v>26987</v>
      </c>
      <c r="F8981" t="s">
        <v>26988</v>
      </c>
      <c r="I8981" t="s">
        <v>29</v>
      </c>
      <c r="J8981" t="s">
        <v>30</v>
      </c>
      <c r="K8981" t="str">
        <f>"27028"</f>
        <v>27028</v>
      </c>
      <c r="M8981" t="s">
        <v>17861</v>
      </c>
      <c r="N8981" t="str">
        <f>"8/27/2015 3:22:00 PM"</f>
        <v>8/27/2015 3:22:00 PM</v>
      </c>
      <c r="O8981" t="s">
        <v>26986</v>
      </c>
      <c r="T8981" t="s">
        <v>26987</v>
      </c>
    </row>
    <row r="8982" spans="1:20" x14ac:dyDescent="0.25">
      <c r="A8982" t="str">
        <f>"3041786"</f>
        <v>3041786</v>
      </c>
      <c r="B8982" t="s">
        <v>26989</v>
      </c>
      <c r="C8982" t="str">
        <f>"8305397"</f>
        <v>8305397</v>
      </c>
      <c r="D8982" t="s">
        <v>26990</v>
      </c>
      <c r="E8982" t="s">
        <v>26991</v>
      </c>
      <c r="F8982" t="s">
        <v>26992</v>
      </c>
      <c r="I8982" t="s">
        <v>2071</v>
      </c>
      <c r="J8982" t="s">
        <v>30</v>
      </c>
      <c r="K8982" t="str">
        <f>"27006"</f>
        <v>27006</v>
      </c>
      <c r="M8982" t="s">
        <v>17861</v>
      </c>
      <c r="N8982" t="str">
        <f>"8/28/2015 9:35:00 AM"</f>
        <v>8/28/2015 9:35:00 AM</v>
      </c>
      <c r="O8982" t="s">
        <v>26990</v>
      </c>
      <c r="T8982" t="s">
        <v>26991</v>
      </c>
    </row>
    <row r="8983" spans="1:20" x14ac:dyDescent="0.25">
      <c r="A8983" t="str">
        <f>"3038620"</f>
        <v>3038620</v>
      </c>
      <c r="B8983" t="s">
        <v>26993</v>
      </c>
      <c r="C8983" t="str">
        <f>"8305398"</f>
        <v>8305398</v>
      </c>
      <c r="D8983" t="s">
        <v>26994</v>
      </c>
      <c r="E8983" t="s">
        <v>26995</v>
      </c>
      <c r="F8983" t="s">
        <v>26996</v>
      </c>
      <c r="I8983" t="s">
        <v>29</v>
      </c>
      <c r="J8983" t="s">
        <v>30</v>
      </c>
      <c r="K8983" t="str">
        <f>"27028"</f>
        <v>27028</v>
      </c>
      <c r="M8983" t="s">
        <v>17861</v>
      </c>
      <c r="N8983" t="str">
        <f>"8/28/2015 9:49:00 AM"</f>
        <v>8/28/2015 9:49:00 AM</v>
      </c>
      <c r="O8983" t="s">
        <v>26994</v>
      </c>
      <c r="T8983" t="s">
        <v>26995</v>
      </c>
    </row>
    <row r="8984" spans="1:20" x14ac:dyDescent="0.25">
      <c r="A8984" t="str">
        <f>"3041910"</f>
        <v>3041910</v>
      </c>
      <c r="B8984" t="s">
        <v>26997</v>
      </c>
      <c r="C8984" t="str">
        <f t="shared" ref="C8984:C8994" si="145">"8305399"</f>
        <v>8305399</v>
      </c>
      <c r="D8984" t="s">
        <v>26998</v>
      </c>
      <c r="F8984" t="s">
        <v>26999</v>
      </c>
      <c r="I8984" t="s">
        <v>2525</v>
      </c>
      <c r="J8984" t="s">
        <v>30</v>
      </c>
      <c r="K8984" t="str">
        <f t="shared" ref="K8984:K8994" si="146">"27404"</f>
        <v>27404</v>
      </c>
      <c r="M8984" t="s">
        <v>17861</v>
      </c>
      <c r="N8984" t="str">
        <f t="shared" ref="N8984:N8994" si="147">"8/28/2015 10:23:00 AM"</f>
        <v>8/28/2015 10:23:00 AM</v>
      </c>
      <c r="O8984" t="s">
        <v>26998</v>
      </c>
    </row>
    <row r="8985" spans="1:20" x14ac:dyDescent="0.25">
      <c r="A8985" t="str">
        <f>"3041204"</f>
        <v>3041204</v>
      </c>
      <c r="B8985" t="s">
        <v>27000</v>
      </c>
      <c r="C8985" t="str">
        <f t="shared" si="145"/>
        <v>8305399</v>
      </c>
      <c r="D8985" t="s">
        <v>26998</v>
      </c>
      <c r="F8985" t="s">
        <v>26999</v>
      </c>
      <c r="I8985" t="s">
        <v>2525</v>
      </c>
      <c r="J8985" t="s">
        <v>30</v>
      </c>
      <c r="K8985" t="str">
        <f t="shared" si="146"/>
        <v>27404</v>
      </c>
      <c r="M8985" t="s">
        <v>17861</v>
      </c>
      <c r="N8985" t="str">
        <f t="shared" si="147"/>
        <v>8/28/2015 10:23:00 AM</v>
      </c>
      <c r="O8985" t="s">
        <v>26998</v>
      </c>
    </row>
    <row r="8986" spans="1:20" x14ac:dyDescent="0.25">
      <c r="A8986" t="str">
        <f>"3041202"</f>
        <v>3041202</v>
      </c>
      <c r="B8986" t="s">
        <v>27001</v>
      </c>
      <c r="C8986" t="str">
        <f t="shared" si="145"/>
        <v>8305399</v>
      </c>
      <c r="D8986" t="s">
        <v>26998</v>
      </c>
      <c r="F8986" t="s">
        <v>26999</v>
      </c>
      <c r="I8986" t="s">
        <v>2525</v>
      </c>
      <c r="J8986" t="s">
        <v>30</v>
      </c>
      <c r="K8986" t="str">
        <f t="shared" si="146"/>
        <v>27404</v>
      </c>
      <c r="M8986" t="s">
        <v>17861</v>
      </c>
      <c r="N8986" t="str">
        <f t="shared" si="147"/>
        <v>8/28/2015 10:23:00 AM</v>
      </c>
      <c r="O8986" t="s">
        <v>26998</v>
      </c>
    </row>
    <row r="8987" spans="1:20" x14ac:dyDescent="0.25">
      <c r="A8987" t="str">
        <f>"3041199"</f>
        <v>3041199</v>
      </c>
      <c r="B8987" t="s">
        <v>27002</v>
      </c>
      <c r="C8987" t="str">
        <f t="shared" si="145"/>
        <v>8305399</v>
      </c>
      <c r="D8987" t="s">
        <v>26998</v>
      </c>
      <c r="F8987" t="s">
        <v>26999</v>
      </c>
      <c r="I8987" t="s">
        <v>2525</v>
      </c>
      <c r="J8987" t="s">
        <v>30</v>
      </c>
      <c r="K8987" t="str">
        <f t="shared" si="146"/>
        <v>27404</v>
      </c>
      <c r="M8987" t="s">
        <v>17861</v>
      </c>
      <c r="N8987" t="str">
        <f t="shared" si="147"/>
        <v>8/28/2015 10:23:00 AM</v>
      </c>
      <c r="O8987" t="s">
        <v>26998</v>
      </c>
    </row>
    <row r="8988" spans="1:20" x14ac:dyDescent="0.25">
      <c r="A8988" t="str">
        <f>"3041201"</f>
        <v>3041201</v>
      </c>
      <c r="B8988" t="s">
        <v>27003</v>
      </c>
      <c r="C8988" t="str">
        <f t="shared" si="145"/>
        <v>8305399</v>
      </c>
      <c r="D8988" t="s">
        <v>26998</v>
      </c>
      <c r="F8988" t="s">
        <v>26999</v>
      </c>
      <c r="I8988" t="s">
        <v>2525</v>
      </c>
      <c r="J8988" t="s">
        <v>30</v>
      </c>
      <c r="K8988" t="str">
        <f t="shared" si="146"/>
        <v>27404</v>
      </c>
      <c r="M8988" t="s">
        <v>17861</v>
      </c>
      <c r="N8988" t="str">
        <f t="shared" si="147"/>
        <v>8/28/2015 10:23:00 AM</v>
      </c>
      <c r="O8988" t="s">
        <v>26998</v>
      </c>
    </row>
    <row r="8989" spans="1:20" x14ac:dyDescent="0.25">
      <c r="A8989" t="str">
        <f>"3041194"</f>
        <v>3041194</v>
      </c>
      <c r="B8989" t="s">
        <v>27004</v>
      </c>
      <c r="C8989" t="str">
        <f t="shared" si="145"/>
        <v>8305399</v>
      </c>
      <c r="D8989" t="s">
        <v>26998</v>
      </c>
      <c r="F8989" t="s">
        <v>26999</v>
      </c>
      <c r="I8989" t="s">
        <v>2525</v>
      </c>
      <c r="J8989" t="s">
        <v>30</v>
      </c>
      <c r="K8989" t="str">
        <f t="shared" si="146"/>
        <v>27404</v>
      </c>
      <c r="M8989" t="s">
        <v>17861</v>
      </c>
      <c r="N8989" t="str">
        <f t="shared" si="147"/>
        <v>8/28/2015 10:23:00 AM</v>
      </c>
      <c r="O8989" t="s">
        <v>26998</v>
      </c>
    </row>
    <row r="8990" spans="1:20" x14ac:dyDescent="0.25">
      <c r="A8990" t="str">
        <f>"3041195"</f>
        <v>3041195</v>
      </c>
      <c r="B8990" t="s">
        <v>27005</v>
      </c>
      <c r="C8990" t="str">
        <f t="shared" si="145"/>
        <v>8305399</v>
      </c>
      <c r="D8990" t="s">
        <v>26998</v>
      </c>
      <c r="F8990" t="s">
        <v>26999</v>
      </c>
      <c r="I8990" t="s">
        <v>2525</v>
      </c>
      <c r="J8990" t="s">
        <v>30</v>
      </c>
      <c r="K8990" t="str">
        <f t="shared" si="146"/>
        <v>27404</v>
      </c>
      <c r="M8990" t="s">
        <v>17861</v>
      </c>
      <c r="N8990" t="str">
        <f t="shared" si="147"/>
        <v>8/28/2015 10:23:00 AM</v>
      </c>
      <c r="O8990" t="s">
        <v>26998</v>
      </c>
    </row>
    <row r="8991" spans="1:20" x14ac:dyDescent="0.25">
      <c r="A8991" t="str">
        <f>"3041196"</f>
        <v>3041196</v>
      </c>
      <c r="B8991" t="s">
        <v>27006</v>
      </c>
      <c r="C8991" t="str">
        <f t="shared" si="145"/>
        <v>8305399</v>
      </c>
      <c r="D8991" t="s">
        <v>26998</v>
      </c>
      <c r="F8991" t="s">
        <v>26999</v>
      </c>
      <c r="I8991" t="s">
        <v>2525</v>
      </c>
      <c r="J8991" t="s">
        <v>30</v>
      </c>
      <c r="K8991" t="str">
        <f t="shared" si="146"/>
        <v>27404</v>
      </c>
      <c r="M8991" t="s">
        <v>17861</v>
      </c>
      <c r="N8991" t="str">
        <f t="shared" si="147"/>
        <v>8/28/2015 10:23:00 AM</v>
      </c>
      <c r="O8991" t="s">
        <v>26998</v>
      </c>
    </row>
    <row r="8992" spans="1:20" x14ac:dyDescent="0.25">
      <c r="A8992" t="str">
        <f>"3057437"</f>
        <v>3057437</v>
      </c>
      <c r="B8992" t="s">
        <v>27007</v>
      </c>
      <c r="C8992" t="str">
        <f t="shared" si="145"/>
        <v>8305399</v>
      </c>
      <c r="D8992" t="s">
        <v>26998</v>
      </c>
      <c r="F8992" t="s">
        <v>26999</v>
      </c>
      <c r="I8992" t="s">
        <v>2525</v>
      </c>
      <c r="J8992" t="s">
        <v>30</v>
      </c>
      <c r="K8992" t="str">
        <f t="shared" si="146"/>
        <v>27404</v>
      </c>
      <c r="M8992" t="s">
        <v>17861</v>
      </c>
      <c r="N8992" t="str">
        <f t="shared" si="147"/>
        <v>8/28/2015 10:23:00 AM</v>
      </c>
      <c r="O8992" t="s">
        <v>26998</v>
      </c>
    </row>
    <row r="8993" spans="1:20" x14ac:dyDescent="0.25">
      <c r="A8993" t="str">
        <f>"3057432"</f>
        <v>3057432</v>
      </c>
      <c r="B8993" t="s">
        <v>27008</v>
      </c>
      <c r="C8993" t="str">
        <f t="shared" si="145"/>
        <v>8305399</v>
      </c>
      <c r="D8993" t="s">
        <v>26998</v>
      </c>
      <c r="F8993" t="s">
        <v>26999</v>
      </c>
      <c r="I8993" t="s">
        <v>2525</v>
      </c>
      <c r="J8993" t="s">
        <v>30</v>
      </c>
      <c r="K8993" t="str">
        <f t="shared" si="146"/>
        <v>27404</v>
      </c>
      <c r="M8993" t="s">
        <v>17861</v>
      </c>
      <c r="N8993" t="str">
        <f t="shared" si="147"/>
        <v>8/28/2015 10:23:00 AM</v>
      </c>
      <c r="O8993" t="s">
        <v>26998</v>
      </c>
    </row>
    <row r="8994" spans="1:20" x14ac:dyDescent="0.25">
      <c r="A8994" t="str">
        <f>"3057433"</f>
        <v>3057433</v>
      </c>
      <c r="B8994" t="s">
        <v>27009</v>
      </c>
      <c r="C8994" t="str">
        <f t="shared" si="145"/>
        <v>8305399</v>
      </c>
      <c r="D8994" t="s">
        <v>26998</v>
      </c>
      <c r="F8994" t="s">
        <v>26999</v>
      </c>
      <c r="I8994" t="s">
        <v>2525</v>
      </c>
      <c r="J8994" t="s">
        <v>30</v>
      </c>
      <c r="K8994" t="str">
        <f t="shared" si="146"/>
        <v>27404</v>
      </c>
      <c r="M8994" t="s">
        <v>17861</v>
      </c>
      <c r="N8994" t="str">
        <f t="shared" si="147"/>
        <v>8/28/2015 10:23:00 AM</v>
      </c>
      <c r="O8994" t="s">
        <v>26998</v>
      </c>
    </row>
    <row r="8995" spans="1:20" x14ac:dyDescent="0.25">
      <c r="A8995" t="str">
        <f>"3038828"</f>
        <v>3038828</v>
      </c>
      <c r="B8995" t="s">
        <v>27010</v>
      </c>
      <c r="C8995" t="str">
        <f>"62494000"</f>
        <v>62494000</v>
      </c>
      <c r="D8995" t="s">
        <v>27011</v>
      </c>
      <c r="E8995" t="s">
        <v>27012</v>
      </c>
      <c r="F8995" t="s">
        <v>27013</v>
      </c>
      <c r="I8995" t="s">
        <v>29</v>
      </c>
      <c r="J8995" t="s">
        <v>30</v>
      </c>
      <c r="K8995" t="s">
        <v>27014</v>
      </c>
      <c r="M8995" t="s">
        <v>18479</v>
      </c>
      <c r="N8995" t="str">
        <f>"8/28/2015 10:59:00 AM"</f>
        <v>8/28/2015 10:59:00 AM</v>
      </c>
      <c r="O8995" t="s">
        <v>27011</v>
      </c>
      <c r="T8995" t="s">
        <v>27012</v>
      </c>
    </row>
    <row r="8996" spans="1:20" x14ac:dyDescent="0.25">
      <c r="A8996" t="str">
        <f>"3051644"</f>
        <v>3051644</v>
      </c>
      <c r="B8996" t="s">
        <v>27015</v>
      </c>
      <c r="C8996" t="str">
        <f>"82530744"</f>
        <v>82530744</v>
      </c>
      <c r="D8996" t="s">
        <v>27016</v>
      </c>
      <c r="E8996" t="s">
        <v>27017</v>
      </c>
      <c r="F8996" t="s">
        <v>27018</v>
      </c>
      <c r="I8996" t="s">
        <v>29</v>
      </c>
      <c r="J8996" t="s">
        <v>30</v>
      </c>
      <c r="K8996" t="s">
        <v>31</v>
      </c>
      <c r="M8996" t="s">
        <v>18479</v>
      </c>
      <c r="N8996" t="str">
        <f>"8/28/2015 11:01:00 AM"</f>
        <v>8/28/2015 11:01:00 AM</v>
      </c>
      <c r="O8996" t="s">
        <v>27016</v>
      </c>
      <c r="T8996" t="s">
        <v>27017</v>
      </c>
    </row>
    <row r="8997" spans="1:20" x14ac:dyDescent="0.25">
      <c r="A8997" t="str">
        <f>"3052000"</f>
        <v>3052000</v>
      </c>
      <c r="B8997" t="s">
        <v>27019</v>
      </c>
      <c r="C8997" t="str">
        <f>"82530744"</f>
        <v>82530744</v>
      </c>
      <c r="D8997" t="s">
        <v>27016</v>
      </c>
      <c r="E8997" t="s">
        <v>27017</v>
      </c>
      <c r="F8997" t="s">
        <v>27018</v>
      </c>
      <c r="I8997" t="s">
        <v>29</v>
      </c>
      <c r="J8997" t="s">
        <v>30</v>
      </c>
      <c r="K8997" t="s">
        <v>31</v>
      </c>
      <c r="M8997" t="s">
        <v>18479</v>
      </c>
      <c r="N8997" t="str">
        <f>"8/28/2015 11:01:00 AM"</f>
        <v>8/28/2015 11:01:00 AM</v>
      </c>
      <c r="O8997" t="s">
        <v>27016</v>
      </c>
      <c r="T8997" t="s">
        <v>27017</v>
      </c>
    </row>
    <row r="8998" spans="1:20" x14ac:dyDescent="0.25">
      <c r="A8998" t="str">
        <f>"3041225"</f>
        <v>3041225</v>
      </c>
      <c r="B8998" t="s">
        <v>27020</v>
      </c>
      <c r="C8998" t="str">
        <f>"8305401"</f>
        <v>8305401</v>
      </c>
      <c r="D8998" t="s">
        <v>27021</v>
      </c>
      <c r="E8998" t="s">
        <v>27022</v>
      </c>
      <c r="F8998" t="s">
        <v>27023</v>
      </c>
      <c r="I8998" t="s">
        <v>2071</v>
      </c>
      <c r="J8998" t="s">
        <v>30</v>
      </c>
      <c r="K8998" t="str">
        <f>"27006"</f>
        <v>27006</v>
      </c>
      <c r="M8998" t="s">
        <v>17861</v>
      </c>
      <c r="N8998" t="str">
        <f>"8/28/2015 11:10:00 AM"</f>
        <v>8/28/2015 11:10:00 AM</v>
      </c>
      <c r="O8998" t="s">
        <v>27021</v>
      </c>
      <c r="T8998" t="s">
        <v>27022</v>
      </c>
    </row>
    <row r="8999" spans="1:20" x14ac:dyDescent="0.25">
      <c r="A8999" t="str">
        <f>"3038741"</f>
        <v>3038741</v>
      </c>
      <c r="B8999" t="s">
        <v>27024</v>
      </c>
      <c r="C8999" t="str">
        <f>"82519635"</f>
        <v>82519635</v>
      </c>
      <c r="D8999" t="s">
        <v>27025</v>
      </c>
      <c r="E8999" t="s">
        <v>27026</v>
      </c>
      <c r="F8999" t="s">
        <v>27027</v>
      </c>
      <c r="I8999" t="s">
        <v>29</v>
      </c>
      <c r="J8999" t="s">
        <v>30</v>
      </c>
      <c r="K8999" t="s">
        <v>31</v>
      </c>
      <c r="M8999" t="s">
        <v>18479</v>
      </c>
      <c r="N8999" t="str">
        <f>"8/24/2015 9:11:00 AM"</f>
        <v>8/24/2015 9:11:00 AM</v>
      </c>
      <c r="O8999" t="s">
        <v>27025</v>
      </c>
      <c r="T8999" t="s">
        <v>27026</v>
      </c>
    </row>
    <row r="9000" spans="1:20" x14ac:dyDescent="0.25">
      <c r="A9000" t="str">
        <f>"3048092"</f>
        <v>3048092</v>
      </c>
      <c r="B9000" t="s">
        <v>27028</v>
      </c>
      <c r="C9000" t="str">
        <f>"70136000"</f>
        <v>70136000</v>
      </c>
      <c r="D9000" t="s">
        <v>27029</v>
      </c>
      <c r="E9000" t="s">
        <v>27030</v>
      </c>
      <c r="F9000" t="s">
        <v>27031</v>
      </c>
      <c r="I9000" t="s">
        <v>184</v>
      </c>
      <c r="J9000" t="s">
        <v>30</v>
      </c>
      <c r="K9000" t="s">
        <v>185</v>
      </c>
      <c r="M9000" t="s">
        <v>18479</v>
      </c>
      <c r="N9000" t="str">
        <f>"8/24/2015 9:15:00 AM"</f>
        <v>8/24/2015 9:15:00 AM</v>
      </c>
      <c r="O9000" t="s">
        <v>27029</v>
      </c>
      <c r="T9000" t="s">
        <v>27030</v>
      </c>
    </row>
    <row r="9001" spans="1:20" x14ac:dyDescent="0.25">
      <c r="A9001" t="str">
        <f>"3048094"</f>
        <v>3048094</v>
      </c>
      <c r="B9001" t="s">
        <v>27032</v>
      </c>
      <c r="C9001" t="str">
        <f>"70136000"</f>
        <v>70136000</v>
      </c>
      <c r="D9001" t="s">
        <v>27029</v>
      </c>
      <c r="E9001" t="s">
        <v>27030</v>
      </c>
      <c r="F9001" t="s">
        <v>27031</v>
      </c>
      <c r="I9001" t="s">
        <v>184</v>
      </c>
      <c r="J9001" t="s">
        <v>30</v>
      </c>
      <c r="K9001" t="s">
        <v>185</v>
      </c>
      <c r="M9001" t="s">
        <v>18479</v>
      </c>
      <c r="N9001" t="str">
        <f>"8/24/2015 9:15:00 AM"</f>
        <v>8/24/2015 9:15:00 AM</v>
      </c>
      <c r="O9001" t="s">
        <v>27029</v>
      </c>
      <c r="T9001" t="s">
        <v>27030</v>
      </c>
    </row>
    <row r="9002" spans="1:20" x14ac:dyDescent="0.25">
      <c r="A9002" t="str">
        <f>"3056814"</f>
        <v>3056814</v>
      </c>
      <c r="B9002" t="s">
        <v>27033</v>
      </c>
      <c r="C9002" t="str">
        <f>"82525248"</f>
        <v>82525248</v>
      </c>
      <c r="D9002" t="s">
        <v>26825</v>
      </c>
      <c r="E9002" t="s">
        <v>26826</v>
      </c>
      <c r="F9002" t="s">
        <v>26827</v>
      </c>
      <c r="I9002" t="s">
        <v>29</v>
      </c>
      <c r="J9002" t="s">
        <v>30</v>
      </c>
      <c r="K9002" t="s">
        <v>26828</v>
      </c>
      <c r="M9002" t="s">
        <v>18479</v>
      </c>
      <c r="N9002" t="str">
        <f>"8/24/2015 9:22:00 AM"</f>
        <v>8/24/2015 9:22:00 AM</v>
      </c>
      <c r="O9002" t="s">
        <v>26825</v>
      </c>
      <c r="T9002" t="s">
        <v>26826</v>
      </c>
    </row>
    <row r="9003" spans="1:20" x14ac:dyDescent="0.25">
      <c r="A9003" t="str">
        <f>"3050948"</f>
        <v>3050948</v>
      </c>
      <c r="B9003" t="s">
        <v>27034</v>
      </c>
      <c r="C9003" t="str">
        <f>"8301256"</f>
        <v>8301256</v>
      </c>
      <c r="D9003" t="s">
        <v>27035</v>
      </c>
      <c r="E9003" t="s">
        <v>27036</v>
      </c>
      <c r="F9003" t="s">
        <v>27037</v>
      </c>
      <c r="I9003" t="s">
        <v>184</v>
      </c>
      <c r="J9003" t="s">
        <v>30</v>
      </c>
      <c r="K9003" t="s">
        <v>12785</v>
      </c>
      <c r="M9003" t="s">
        <v>18479</v>
      </c>
      <c r="N9003" t="str">
        <f>"8/24/2015 2:42:00 PM"</f>
        <v>8/24/2015 2:42:00 PM</v>
      </c>
      <c r="O9003" t="s">
        <v>27035</v>
      </c>
      <c r="T9003" t="s">
        <v>27036</v>
      </c>
    </row>
    <row r="9004" spans="1:20" x14ac:dyDescent="0.25">
      <c r="A9004" t="str">
        <f>"3048813"</f>
        <v>3048813</v>
      </c>
      <c r="B9004" t="s">
        <v>27038</v>
      </c>
      <c r="C9004" t="str">
        <f>"8305412"</f>
        <v>8305412</v>
      </c>
      <c r="D9004" t="s">
        <v>27039</v>
      </c>
      <c r="F9004" t="s">
        <v>21062</v>
      </c>
      <c r="I9004" t="s">
        <v>1176</v>
      </c>
      <c r="J9004" t="s">
        <v>30</v>
      </c>
      <c r="K9004" t="str">
        <f>"27054"</f>
        <v>27054</v>
      </c>
      <c r="M9004" t="s">
        <v>17861</v>
      </c>
      <c r="N9004" t="str">
        <f>"8/28/2015 2:42:00 PM"</f>
        <v>8/28/2015 2:42:00 PM</v>
      </c>
      <c r="O9004" t="s">
        <v>27039</v>
      </c>
    </row>
    <row r="9005" spans="1:20" x14ac:dyDescent="0.25">
      <c r="A9005" t="str">
        <f>"3048814"</f>
        <v>3048814</v>
      </c>
      <c r="B9005" t="s">
        <v>27040</v>
      </c>
      <c r="C9005" t="str">
        <f>"8305412"</f>
        <v>8305412</v>
      </c>
      <c r="D9005" t="s">
        <v>27039</v>
      </c>
      <c r="F9005" t="s">
        <v>21062</v>
      </c>
      <c r="I9005" t="s">
        <v>1176</v>
      </c>
      <c r="J9005" t="s">
        <v>30</v>
      </c>
      <c r="K9005" t="str">
        <f>"27054"</f>
        <v>27054</v>
      </c>
      <c r="M9005" t="s">
        <v>17861</v>
      </c>
      <c r="N9005" t="str">
        <f>"8/28/2015 2:42:00 PM"</f>
        <v>8/28/2015 2:42:00 PM</v>
      </c>
      <c r="O9005" t="s">
        <v>27039</v>
      </c>
    </row>
    <row r="9006" spans="1:20" x14ac:dyDescent="0.25">
      <c r="A9006" t="str">
        <f>"3046063"</f>
        <v>3046063</v>
      </c>
      <c r="B9006" t="s">
        <v>27041</v>
      </c>
      <c r="C9006" t="str">
        <f>"62524000"</f>
        <v>62524000</v>
      </c>
      <c r="D9006" t="s">
        <v>27042</v>
      </c>
      <c r="E9006" t="s">
        <v>27043</v>
      </c>
      <c r="F9006" t="s">
        <v>27044</v>
      </c>
      <c r="I9006" t="s">
        <v>29</v>
      </c>
      <c r="J9006" t="s">
        <v>30</v>
      </c>
      <c r="K9006" t="s">
        <v>27045</v>
      </c>
      <c r="M9006" t="s">
        <v>18479</v>
      </c>
      <c r="N9006" t="str">
        <f>"8/31/2015 9:16:00 AM"</f>
        <v>8/31/2015 9:16:00 AM</v>
      </c>
      <c r="O9006" t="s">
        <v>27042</v>
      </c>
      <c r="T9006" t="s">
        <v>27043</v>
      </c>
    </row>
    <row r="9007" spans="1:20" x14ac:dyDescent="0.25">
      <c r="A9007" t="str">
        <f>"3045868"</f>
        <v>3045868</v>
      </c>
      <c r="B9007" t="s">
        <v>27046</v>
      </c>
      <c r="C9007" t="str">
        <f>"62524000"</f>
        <v>62524000</v>
      </c>
      <c r="D9007" t="s">
        <v>27042</v>
      </c>
      <c r="E9007" t="s">
        <v>27043</v>
      </c>
      <c r="F9007" t="s">
        <v>27044</v>
      </c>
      <c r="I9007" t="s">
        <v>29</v>
      </c>
      <c r="J9007" t="s">
        <v>30</v>
      </c>
      <c r="K9007" t="s">
        <v>27045</v>
      </c>
      <c r="M9007" t="s">
        <v>18479</v>
      </c>
      <c r="N9007" t="str">
        <f>"8/31/2015 9:16:00 AM"</f>
        <v>8/31/2015 9:16:00 AM</v>
      </c>
      <c r="O9007" t="s">
        <v>27042</v>
      </c>
      <c r="T9007" t="s">
        <v>27043</v>
      </c>
    </row>
    <row r="9008" spans="1:20" x14ac:dyDescent="0.25">
      <c r="A9008" t="str">
        <f>"3045880"</f>
        <v>3045880</v>
      </c>
      <c r="B9008" t="s">
        <v>27047</v>
      </c>
      <c r="C9008" t="str">
        <f>"62524000"</f>
        <v>62524000</v>
      </c>
      <c r="D9008" t="s">
        <v>27042</v>
      </c>
      <c r="E9008" t="s">
        <v>27043</v>
      </c>
      <c r="F9008" t="s">
        <v>27044</v>
      </c>
      <c r="I9008" t="s">
        <v>29</v>
      </c>
      <c r="J9008" t="s">
        <v>30</v>
      </c>
      <c r="K9008" t="s">
        <v>27045</v>
      </c>
      <c r="M9008" t="s">
        <v>18479</v>
      </c>
      <c r="N9008" t="str">
        <f>"8/31/2015 9:16:00 AM"</f>
        <v>8/31/2015 9:16:00 AM</v>
      </c>
      <c r="O9008" t="s">
        <v>27042</v>
      </c>
      <c r="T9008" t="s">
        <v>27043</v>
      </c>
    </row>
    <row r="9009" spans="1:20" x14ac:dyDescent="0.25">
      <c r="A9009" t="str">
        <f>"3045946"</f>
        <v>3045946</v>
      </c>
      <c r="B9009" t="s">
        <v>27048</v>
      </c>
      <c r="C9009" t="str">
        <f>"62524000"</f>
        <v>62524000</v>
      </c>
      <c r="D9009" t="s">
        <v>27042</v>
      </c>
      <c r="E9009" t="s">
        <v>27043</v>
      </c>
      <c r="F9009" t="s">
        <v>27044</v>
      </c>
      <c r="I9009" t="s">
        <v>29</v>
      </c>
      <c r="J9009" t="s">
        <v>30</v>
      </c>
      <c r="K9009" t="s">
        <v>27045</v>
      </c>
      <c r="M9009" t="s">
        <v>18479</v>
      </c>
      <c r="N9009" t="str">
        <f>"8/31/2015 9:16:00 AM"</f>
        <v>8/31/2015 9:16:00 AM</v>
      </c>
      <c r="O9009" t="s">
        <v>27042</v>
      </c>
      <c r="T9009" t="s">
        <v>27043</v>
      </c>
    </row>
    <row r="9010" spans="1:20" x14ac:dyDescent="0.25">
      <c r="A9010" t="str">
        <f>"3046213"</f>
        <v>3046213</v>
      </c>
      <c r="B9010" t="s">
        <v>27049</v>
      </c>
      <c r="C9010" t="str">
        <f>"62524000"</f>
        <v>62524000</v>
      </c>
      <c r="D9010" t="s">
        <v>27042</v>
      </c>
      <c r="E9010" t="s">
        <v>27043</v>
      </c>
      <c r="F9010" t="s">
        <v>27044</v>
      </c>
      <c r="I9010" t="s">
        <v>29</v>
      </c>
      <c r="J9010" t="s">
        <v>30</v>
      </c>
      <c r="K9010" t="s">
        <v>27045</v>
      </c>
      <c r="M9010" t="s">
        <v>18479</v>
      </c>
      <c r="N9010" t="str">
        <f>"8/31/2015 9:16:00 AM"</f>
        <v>8/31/2015 9:16:00 AM</v>
      </c>
      <c r="O9010" t="s">
        <v>27042</v>
      </c>
      <c r="T9010" t="s">
        <v>27043</v>
      </c>
    </row>
    <row r="9011" spans="1:20" x14ac:dyDescent="0.25">
      <c r="A9011" t="str">
        <f>"3062550"</f>
        <v>3062550</v>
      </c>
      <c r="B9011" t="s">
        <v>27050</v>
      </c>
      <c r="C9011" t="str">
        <f>"82521599"</f>
        <v>82521599</v>
      </c>
      <c r="D9011" t="s">
        <v>27051</v>
      </c>
      <c r="F9011" t="s">
        <v>27052</v>
      </c>
      <c r="I9011" t="s">
        <v>29</v>
      </c>
      <c r="J9011" t="s">
        <v>30</v>
      </c>
      <c r="K9011" t="str">
        <f>"27028"</f>
        <v>27028</v>
      </c>
      <c r="M9011" t="s">
        <v>27053</v>
      </c>
      <c r="N9011" t="str">
        <f>"8/31/2015 9:48:00 AM"</f>
        <v>8/31/2015 9:48:00 AM</v>
      </c>
      <c r="O9011" t="s">
        <v>27051</v>
      </c>
    </row>
    <row r="9012" spans="1:20" x14ac:dyDescent="0.25">
      <c r="A9012" t="str">
        <f>"3055355"</f>
        <v>3055355</v>
      </c>
      <c r="B9012" t="s">
        <v>27054</v>
      </c>
      <c r="C9012" t="str">
        <f>"8303113"</f>
        <v>8303113</v>
      </c>
      <c r="D9012" t="s">
        <v>27055</v>
      </c>
      <c r="E9012" t="s">
        <v>27056</v>
      </c>
      <c r="F9012" t="s">
        <v>27057</v>
      </c>
      <c r="I9012" t="s">
        <v>29</v>
      </c>
      <c r="J9012" t="s">
        <v>30</v>
      </c>
      <c r="K9012" t="str">
        <f>"27028"</f>
        <v>27028</v>
      </c>
      <c r="M9012" t="s">
        <v>18479</v>
      </c>
      <c r="N9012" t="str">
        <f>"8/31/2015 9:54:00 AM"</f>
        <v>8/31/2015 9:54:00 AM</v>
      </c>
      <c r="O9012" t="s">
        <v>27055</v>
      </c>
      <c r="T9012" t="s">
        <v>27056</v>
      </c>
    </row>
    <row r="9013" spans="1:20" x14ac:dyDescent="0.25">
      <c r="A9013" t="str">
        <f>"3072113"</f>
        <v>3072113</v>
      </c>
      <c r="B9013" t="s">
        <v>27058</v>
      </c>
      <c r="C9013" t="str">
        <f>"82518228"</f>
        <v>82518228</v>
      </c>
      <c r="D9013" t="s">
        <v>27059</v>
      </c>
      <c r="E9013" t="s">
        <v>27060</v>
      </c>
      <c r="F9013" t="s">
        <v>27061</v>
      </c>
      <c r="I9013" t="s">
        <v>29</v>
      </c>
      <c r="J9013" t="s">
        <v>30</v>
      </c>
      <c r="K9013" t="s">
        <v>27062</v>
      </c>
      <c r="M9013" t="s">
        <v>18479</v>
      </c>
      <c r="N9013" t="str">
        <f>"8/31/2015 9:54:00 AM"</f>
        <v>8/31/2015 9:54:00 AM</v>
      </c>
      <c r="O9013" t="s">
        <v>27059</v>
      </c>
      <c r="T9013" t="s">
        <v>27060</v>
      </c>
    </row>
    <row r="9014" spans="1:20" x14ac:dyDescent="0.25">
      <c r="A9014" t="str">
        <f>"3071743"</f>
        <v>3071743</v>
      </c>
      <c r="B9014" t="s">
        <v>27063</v>
      </c>
      <c r="C9014" t="str">
        <f>"82518228"</f>
        <v>82518228</v>
      </c>
      <c r="D9014" t="s">
        <v>27059</v>
      </c>
      <c r="E9014" t="s">
        <v>27060</v>
      </c>
      <c r="F9014" t="s">
        <v>27061</v>
      </c>
      <c r="I9014" t="s">
        <v>29</v>
      </c>
      <c r="J9014" t="s">
        <v>30</v>
      </c>
      <c r="K9014" t="s">
        <v>27062</v>
      </c>
      <c r="M9014" t="s">
        <v>18479</v>
      </c>
      <c r="N9014" t="str">
        <f>"8/31/2015 9:54:00 AM"</f>
        <v>8/31/2015 9:54:00 AM</v>
      </c>
      <c r="O9014" t="s">
        <v>27059</v>
      </c>
      <c r="T9014" t="s">
        <v>27060</v>
      </c>
    </row>
    <row r="9015" spans="1:20" x14ac:dyDescent="0.25">
      <c r="A9015" t="str">
        <f>"3060523"</f>
        <v>3060523</v>
      </c>
      <c r="B9015" t="s">
        <v>27064</v>
      </c>
      <c r="C9015" t="str">
        <f>"8304120"</f>
        <v>8304120</v>
      </c>
      <c r="D9015" t="s">
        <v>27065</v>
      </c>
      <c r="F9015" t="s">
        <v>27066</v>
      </c>
      <c r="I9015" t="s">
        <v>184</v>
      </c>
      <c r="J9015" t="s">
        <v>30</v>
      </c>
      <c r="K9015" t="str">
        <f>"27006"</f>
        <v>27006</v>
      </c>
      <c r="M9015" t="s">
        <v>18479</v>
      </c>
      <c r="N9015" t="str">
        <f>"8/31/2015 9:56:00 AM"</f>
        <v>8/31/2015 9:56:00 AM</v>
      </c>
      <c r="O9015" t="s">
        <v>27065</v>
      </c>
    </row>
    <row r="9016" spans="1:20" x14ac:dyDescent="0.25">
      <c r="A9016" t="str">
        <f>"3042289"</f>
        <v>3042289</v>
      </c>
      <c r="B9016" t="s">
        <v>27067</v>
      </c>
      <c r="C9016" t="str">
        <f>"59900000"</f>
        <v>59900000</v>
      </c>
      <c r="D9016" t="s">
        <v>27068</v>
      </c>
      <c r="F9016" t="s">
        <v>27069</v>
      </c>
      <c r="I9016" t="s">
        <v>29</v>
      </c>
      <c r="K9016" t="s">
        <v>2665</v>
      </c>
      <c r="M9016" t="s">
        <v>18479</v>
      </c>
      <c r="N9016" t="str">
        <f>"8/31/2015 10:30:00 AM"</f>
        <v>8/31/2015 10:30:00 AM</v>
      </c>
      <c r="O9016" t="s">
        <v>27068</v>
      </c>
      <c r="T9016" t="s">
        <v>27068</v>
      </c>
    </row>
    <row r="9017" spans="1:20" x14ac:dyDescent="0.25">
      <c r="A9017" t="str">
        <f>"3039633"</f>
        <v>3039633</v>
      </c>
      <c r="B9017" t="s">
        <v>27070</v>
      </c>
      <c r="C9017" t="str">
        <f>"100000233"</f>
        <v>100000233</v>
      </c>
      <c r="D9017" t="s">
        <v>27071</v>
      </c>
      <c r="F9017" t="s">
        <v>27072</v>
      </c>
      <c r="I9017" t="s">
        <v>49</v>
      </c>
      <c r="J9017" t="s">
        <v>30</v>
      </c>
      <c r="K9017" t="s">
        <v>27073</v>
      </c>
      <c r="M9017" t="s">
        <v>18479</v>
      </c>
      <c r="N9017" t="str">
        <f>"8/31/2015 10:36:00 AM"</f>
        <v>8/31/2015 10:36:00 AM</v>
      </c>
      <c r="O9017" t="s">
        <v>27071</v>
      </c>
    </row>
    <row r="9018" spans="1:20" x14ac:dyDescent="0.25">
      <c r="A9018" t="str">
        <f>"3042399"</f>
        <v>3042399</v>
      </c>
      <c r="B9018" t="s">
        <v>27074</v>
      </c>
      <c r="C9018" t="str">
        <f>"100000233"</f>
        <v>100000233</v>
      </c>
      <c r="D9018" t="s">
        <v>27071</v>
      </c>
      <c r="F9018" t="s">
        <v>27072</v>
      </c>
      <c r="I9018" t="s">
        <v>49</v>
      </c>
      <c r="J9018" t="s">
        <v>30</v>
      </c>
      <c r="K9018" t="s">
        <v>27073</v>
      </c>
      <c r="M9018" t="s">
        <v>18479</v>
      </c>
      <c r="N9018" t="str">
        <f>"8/31/2015 10:36:00 AM"</f>
        <v>8/31/2015 10:36:00 AM</v>
      </c>
      <c r="O9018" t="s">
        <v>27071</v>
      </c>
    </row>
    <row r="9019" spans="1:20" x14ac:dyDescent="0.25">
      <c r="A9019" t="str">
        <f>"3048654"</f>
        <v>3048654</v>
      </c>
      <c r="B9019" t="s">
        <v>27075</v>
      </c>
      <c r="C9019" t="str">
        <f>"82517607"</f>
        <v>82517607</v>
      </c>
      <c r="D9019" t="s">
        <v>27076</v>
      </c>
      <c r="E9019" t="s">
        <v>27077</v>
      </c>
      <c r="F9019" t="s">
        <v>27078</v>
      </c>
      <c r="I9019" t="s">
        <v>29</v>
      </c>
      <c r="J9019" t="s">
        <v>30</v>
      </c>
      <c r="K9019" t="s">
        <v>31</v>
      </c>
      <c r="M9019" t="s">
        <v>18479</v>
      </c>
      <c r="N9019" t="str">
        <f>"8/24/2015 2:54:00 PM"</f>
        <v>8/24/2015 2:54:00 PM</v>
      </c>
      <c r="O9019" t="s">
        <v>27076</v>
      </c>
      <c r="T9019" t="s">
        <v>27077</v>
      </c>
    </row>
    <row r="9020" spans="1:20" x14ac:dyDescent="0.25">
      <c r="A9020" t="str">
        <f>"3050877"</f>
        <v>3050877</v>
      </c>
      <c r="B9020" t="s">
        <v>27079</v>
      </c>
      <c r="C9020" t="str">
        <f>"66398500"</f>
        <v>66398500</v>
      </c>
      <c r="D9020" t="s">
        <v>16592</v>
      </c>
      <c r="F9020" t="s">
        <v>27080</v>
      </c>
      <c r="I9020" t="s">
        <v>184</v>
      </c>
      <c r="J9020" t="s">
        <v>30</v>
      </c>
      <c r="K9020" t="s">
        <v>27081</v>
      </c>
      <c r="M9020" t="s">
        <v>18479</v>
      </c>
      <c r="N9020" t="str">
        <f>"8/24/2015 3:37:00 PM"</f>
        <v>8/24/2015 3:37:00 PM</v>
      </c>
      <c r="O9020" t="s">
        <v>16592</v>
      </c>
    </row>
    <row r="9021" spans="1:20" x14ac:dyDescent="0.25">
      <c r="A9021" t="str">
        <f>"3053922"</f>
        <v>3053922</v>
      </c>
      <c r="B9021" t="s">
        <v>27082</v>
      </c>
      <c r="C9021" t="str">
        <f>"82517718"</f>
        <v>82517718</v>
      </c>
      <c r="D9021" t="s">
        <v>27083</v>
      </c>
      <c r="E9021" t="s">
        <v>27084</v>
      </c>
      <c r="F9021" t="s">
        <v>27085</v>
      </c>
      <c r="I9021" t="s">
        <v>29</v>
      </c>
      <c r="J9021" t="s">
        <v>30</v>
      </c>
      <c r="K9021" t="s">
        <v>31</v>
      </c>
      <c r="M9021" t="s">
        <v>18479</v>
      </c>
      <c r="N9021" t="str">
        <f>"8/24/2015 3:56:00 PM"</f>
        <v>8/24/2015 3:56:00 PM</v>
      </c>
      <c r="O9021" t="s">
        <v>27083</v>
      </c>
      <c r="T9021" t="s">
        <v>27084</v>
      </c>
    </row>
    <row r="9022" spans="1:20" x14ac:dyDescent="0.25">
      <c r="A9022" t="str">
        <f>"3041847"</f>
        <v>3041847</v>
      </c>
      <c r="B9022" t="s">
        <v>27086</v>
      </c>
      <c r="C9022" t="str">
        <f>"8305377"</f>
        <v>8305377</v>
      </c>
      <c r="D9022" t="s">
        <v>27087</v>
      </c>
      <c r="F9022" t="s">
        <v>27088</v>
      </c>
      <c r="I9022" t="s">
        <v>2071</v>
      </c>
      <c r="J9022" t="s">
        <v>30</v>
      </c>
      <c r="K9022" t="str">
        <f>"27006"</f>
        <v>27006</v>
      </c>
      <c r="M9022" t="s">
        <v>17861</v>
      </c>
      <c r="N9022" t="str">
        <f>"8/18/2015 11:32:00 AM"</f>
        <v>8/18/2015 11:32:00 AM</v>
      </c>
      <c r="O9022" t="s">
        <v>27087</v>
      </c>
    </row>
    <row r="9023" spans="1:20" x14ac:dyDescent="0.25">
      <c r="A9023" t="str">
        <f>"3047798"</f>
        <v>3047798</v>
      </c>
      <c r="B9023" t="s">
        <v>27089</v>
      </c>
      <c r="C9023" t="str">
        <f>"8303193"</f>
        <v>8303193</v>
      </c>
      <c r="D9023" t="s">
        <v>27090</v>
      </c>
      <c r="F9023" t="s">
        <v>27091</v>
      </c>
      <c r="I9023" t="s">
        <v>184</v>
      </c>
      <c r="J9023" t="s">
        <v>30</v>
      </c>
      <c r="K9023" t="str">
        <f>"27006"</f>
        <v>27006</v>
      </c>
      <c r="M9023" t="s">
        <v>18479</v>
      </c>
      <c r="N9023" t="str">
        <f>"8/31/2015 11:59:00 AM"</f>
        <v>8/31/2015 11:59:00 AM</v>
      </c>
      <c r="O9023" t="s">
        <v>27090</v>
      </c>
    </row>
    <row r="9024" spans="1:20" x14ac:dyDescent="0.25">
      <c r="A9024" t="str">
        <f>"3039662"</f>
        <v>3039662</v>
      </c>
      <c r="B9024" t="s">
        <v>27092</v>
      </c>
      <c r="C9024" t="str">
        <f>"8301821"</f>
        <v>8301821</v>
      </c>
      <c r="D9024" t="s">
        <v>27093</v>
      </c>
      <c r="E9024" t="s">
        <v>27094</v>
      </c>
      <c r="F9024" t="s">
        <v>27095</v>
      </c>
      <c r="I9024" t="s">
        <v>29</v>
      </c>
      <c r="J9024" t="s">
        <v>30</v>
      </c>
      <c r="K9024" t="str">
        <f>"27028"</f>
        <v>27028</v>
      </c>
      <c r="M9024" t="s">
        <v>18479</v>
      </c>
      <c r="N9024" t="str">
        <f>"8/26/2015 10:36:00 AM"</f>
        <v>8/26/2015 10:36:00 AM</v>
      </c>
      <c r="O9024" t="s">
        <v>27093</v>
      </c>
      <c r="T9024" t="s">
        <v>27094</v>
      </c>
    </row>
    <row r="9025" spans="1:20" x14ac:dyDescent="0.25">
      <c r="A9025" t="str">
        <f>"3076713"</f>
        <v>3076713</v>
      </c>
      <c r="B9025" t="s">
        <v>27096</v>
      </c>
      <c r="C9025" t="str">
        <f>"8301821"</f>
        <v>8301821</v>
      </c>
      <c r="D9025" t="s">
        <v>27093</v>
      </c>
      <c r="E9025" t="s">
        <v>27094</v>
      </c>
      <c r="F9025" t="s">
        <v>27095</v>
      </c>
      <c r="I9025" t="s">
        <v>29</v>
      </c>
      <c r="J9025" t="s">
        <v>30</v>
      </c>
      <c r="K9025" t="str">
        <f>"27028"</f>
        <v>27028</v>
      </c>
      <c r="M9025" t="s">
        <v>18479</v>
      </c>
      <c r="N9025" t="str">
        <f>"8/26/2015 10:36:00 AM"</f>
        <v>8/26/2015 10:36:00 AM</v>
      </c>
      <c r="O9025" t="s">
        <v>27093</v>
      </c>
      <c r="T9025" t="s">
        <v>27094</v>
      </c>
    </row>
    <row r="9026" spans="1:20" x14ac:dyDescent="0.25">
      <c r="A9026" t="str">
        <f>"3042189"</f>
        <v>3042189</v>
      </c>
      <c r="B9026" t="s">
        <v>27097</v>
      </c>
      <c r="C9026" t="str">
        <f>"8304417"</f>
        <v>8304417</v>
      </c>
      <c r="D9026" t="s">
        <v>27098</v>
      </c>
      <c r="F9026" t="s">
        <v>27099</v>
      </c>
      <c r="I9026" t="s">
        <v>29</v>
      </c>
      <c r="J9026" t="s">
        <v>30</v>
      </c>
      <c r="K9026" t="str">
        <f>"27028"</f>
        <v>27028</v>
      </c>
      <c r="M9026" t="s">
        <v>18479</v>
      </c>
      <c r="N9026" t="str">
        <f>"8/26/2015 2:02:00 PM"</f>
        <v>8/26/2015 2:02:00 PM</v>
      </c>
      <c r="O9026" t="s">
        <v>27098</v>
      </c>
    </row>
    <row r="9027" spans="1:20" x14ac:dyDescent="0.25">
      <c r="A9027" t="str">
        <f>"3042190"</f>
        <v>3042190</v>
      </c>
      <c r="B9027" t="s">
        <v>27100</v>
      </c>
      <c r="C9027" t="str">
        <f>"8304417"</f>
        <v>8304417</v>
      </c>
      <c r="D9027" t="s">
        <v>27098</v>
      </c>
      <c r="F9027" t="s">
        <v>27099</v>
      </c>
      <c r="I9027" t="s">
        <v>29</v>
      </c>
      <c r="J9027" t="s">
        <v>30</v>
      </c>
      <c r="K9027" t="str">
        <f>"27028"</f>
        <v>27028</v>
      </c>
      <c r="M9027" t="s">
        <v>18479</v>
      </c>
      <c r="N9027" t="str">
        <f>"8/26/2015 2:02:00 PM"</f>
        <v>8/26/2015 2:02:00 PM</v>
      </c>
      <c r="O9027" t="s">
        <v>27098</v>
      </c>
    </row>
    <row r="9028" spans="1:20" x14ac:dyDescent="0.25">
      <c r="A9028" t="str">
        <f>"3049293"</f>
        <v>3049293</v>
      </c>
      <c r="B9028" t="s">
        <v>27101</v>
      </c>
      <c r="C9028" t="str">
        <f>"8302540"</f>
        <v>8302540</v>
      </c>
      <c r="D9028" t="s">
        <v>27102</v>
      </c>
      <c r="E9028" t="s">
        <v>27103</v>
      </c>
      <c r="F9028" t="s">
        <v>27104</v>
      </c>
      <c r="I9028" t="s">
        <v>184</v>
      </c>
      <c r="J9028" t="s">
        <v>30</v>
      </c>
      <c r="K9028" t="str">
        <f>"27006"</f>
        <v>27006</v>
      </c>
      <c r="M9028" t="s">
        <v>18479</v>
      </c>
      <c r="N9028" t="str">
        <f>"8/26/2015 2:35:00 PM"</f>
        <v>8/26/2015 2:35:00 PM</v>
      </c>
      <c r="O9028" t="s">
        <v>27102</v>
      </c>
      <c r="T9028" t="s">
        <v>27103</v>
      </c>
    </row>
    <row r="9029" spans="1:20" x14ac:dyDescent="0.25">
      <c r="A9029" t="str">
        <f>"3041026"</f>
        <v>3041026</v>
      </c>
      <c r="B9029" t="s">
        <v>27105</v>
      </c>
      <c r="C9029" t="str">
        <f>"64912000"</f>
        <v>64912000</v>
      </c>
      <c r="D9029" t="s">
        <v>26942</v>
      </c>
      <c r="E9029" t="s">
        <v>26943</v>
      </c>
      <c r="F9029" t="s">
        <v>26944</v>
      </c>
      <c r="I9029" t="s">
        <v>29</v>
      </c>
      <c r="J9029" t="s">
        <v>30</v>
      </c>
      <c r="K9029" t="s">
        <v>31</v>
      </c>
      <c r="M9029" t="s">
        <v>18479</v>
      </c>
      <c r="N9029" t="str">
        <f>"8/27/2015 10:15:00 AM"</f>
        <v>8/27/2015 10:15:00 AM</v>
      </c>
      <c r="O9029" t="s">
        <v>26942</v>
      </c>
      <c r="T9029" t="s">
        <v>26943</v>
      </c>
    </row>
    <row r="9030" spans="1:20" x14ac:dyDescent="0.25">
      <c r="A9030" t="str">
        <f>"3043626"</f>
        <v>3043626</v>
      </c>
      <c r="B9030" t="s">
        <v>27106</v>
      </c>
      <c r="C9030" t="str">
        <f>"57681360"</f>
        <v>57681360</v>
      </c>
      <c r="D9030" t="s">
        <v>27107</v>
      </c>
      <c r="F9030" t="s">
        <v>27108</v>
      </c>
      <c r="I9030" t="s">
        <v>184</v>
      </c>
      <c r="J9030" t="s">
        <v>30</v>
      </c>
      <c r="K9030" t="s">
        <v>27109</v>
      </c>
      <c r="M9030" t="s">
        <v>18479</v>
      </c>
      <c r="N9030" t="str">
        <f>"9/1/2015 9:10:00 AM"</f>
        <v>9/1/2015 9:10:00 AM</v>
      </c>
      <c r="O9030" t="s">
        <v>27107</v>
      </c>
    </row>
    <row r="9031" spans="1:20" x14ac:dyDescent="0.25">
      <c r="A9031" t="str">
        <f>"3043786"</f>
        <v>3043786</v>
      </c>
      <c r="B9031" t="s">
        <v>27110</v>
      </c>
      <c r="C9031" t="str">
        <f>"57681360"</f>
        <v>57681360</v>
      </c>
      <c r="D9031" t="s">
        <v>27107</v>
      </c>
      <c r="F9031" t="s">
        <v>27108</v>
      </c>
      <c r="I9031" t="s">
        <v>184</v>
      </c>
      <c r="J9031" t="s">
        <v>30</v>
      </c>
      <c r="K9031" t="s">
        <v>27109</v>
      </c>
      <c r="M9031" t="s">
        <v>18479</v>
      </c>
      <c r="N9031" t="str">
        <f>"9/1/2015 9:10:00 AM"</f>
        <v>9/1/2015 9:10:00 AM</v>
      </c>
      <c r="O9031" t="s">
        <v>27107</v>
      </c>
    </row>
    <row r="9032" spans="1:20" x14ac:dyDescent="0.25">
      <c r="A9032" t="str">
        <f>"3043367"</f>
        <v>3043367</v>
      </c>
      <c r="B9032" t="s">
        <v>27111</v>
      </c>
      <c r="C9032" t="str">
        <f>"57681360"</f>
        <v>57681360</v>
      </c>
      <c r="D9032" t="s">
        <v>27107</v>
      </c>
      <c r="F9032" t="s">
        <v>27108</v>
      </c>
      <c r="I9032" t="s">
        <v>184</v>
      </c>
      <c r="J9032" t="s">
        <v>30</v>
      </c>
      <c r="K9032" t="s">
        <v>27109</v>
      </c>
      <c r="M9032" t="s">
        <v>18479</v>
      </c>
      <c r="N9032" t="str">
        <f>"9/1/2015 9:10:00 AM"</f>
        <v>9/1/2015 9:10:00 AM</v>
      </c>
      <c r="O9032" t="s">
        <v>27107</v>
      </c>
    </row>
    <row r="9033" spans="1:20" x14ac:dyDescent="0.25">
      <c r="A9033" t="str">
        <f>"3049921"</f>
        <v>3049921</v>
      </c>
      <c r="B9033" t="s">
        <v>27112</v>
      </c>
      <c r="C9033" t="str">
        <f>"57828000"</f>
        <v>57828000</v>
      </c>
      <c r="D9033" t="s">
        <v>27113</v>
      </c>
      <c r="E9033" t="s">
        <v>27114</v>
      </c>
      <c r="F9033" t="s">
        <v>27115</v>
      </c>
      <c r="I9033" t="s">
        <v>29</v>
      </c>
      <c r="J9033" t="s">
        <v>30</v>
      </c>
      <c r="K9033" t="s">
        <v>22200</v>
      </c>
      <c r="M9033" t="s">
        <v>18479</v>
      </c>
      <c r="N9033" t="str">
        <f>"9/1/2015 9:16:00 AM"</f>
        <v>9/1/2015 9:16:00 AM</v>
      </c>
      <c r="O9033" t="s">
        <v>27113</v>
      </c>
      <c r="T9033" t="s">
        <v>27114</v>
      </c>
    </row>
    <row r="9034" spans="1:20" x14ac:dyDescent="0.25">
      <c r="A9034" t="str">
        <f>"3043520"</f>
        <v>3043520</v>
      </c>
      <c r="B9034" t="s">
        <v>27116</v>
      </c>
      <c r="C9034" t="str">
        <f>"55252750"</f>
        <v>55252750</v>
      </c>
      <c r="D9034" t="s">
        <v>27117</v>
      </c>
      <c r="E9034" t="s">
        <v>27118</v>
      </c>
      <c r="F9034" t="s">
        <v>27119</v>
      </c>
      <c r="I9034" t="s">
        <v>29</v>
      </c>
      <c r="J9034" t="s">
        <v>30</v>
      </c>
      <c r="K9034" t="s">
        <v>31</v>
      </c>
      <c r="M9034" t="s">
        <v>18479</v>
      </c>
      <c r="N9034" t="str">
        <f>"9/1/2015 11:50:00 AM"</f>
        <v>9/1/2015 11:50:00 AM</v>
      </c>
      <c r="O9034" t="s">
        <v>27117</v>
      </c>
      <c r="T9034" t="s">
        <v>27118</v>
      </c>
    </row>
    <row r="9035" spans="1:20" x14ac:dyDescent="0.25">
      <c r="A9035" t="str">
        <f>"3043136"</f>
        <v>3043136</v>
      </c>
      <c r="B9035" t="s">
        <v>27120</v>
      </c>
      <c r="C9035" t="str">
        <f>"55252750"</f>
        <v>55252750</v>
      </c>
      <c r="D9035" t="s">
        <v>27117</v>
      </c>
      <c r="E9035" t="s">
        <v>27118</v>
      </c>
      <c r="F9035" t="s">
        <v>27119</v>
      </c>
      <c r="I9035" t="s">
        <v>29</v>
      </c>
      <c r="J9035" t="s">
        <v>30</v>
      </c>
      <c r="K9035" t="s">
        <v>31</v>
      </c>
      <c r="M9035" t="s">
        <v>18479</v>
      </c>
      <c r="N9035" t="str">
        <f>"9/1/2015 11:50:00 AM"</f>
        <v>9/1/2015 11:50:00 AM</v>
      </c>
      <c r="O9035" t="s">
        <v>27117</v>
      </c>
      <c r="T9035" t="s">
        <v>27118</v>
      </c>
    </row>
    <row r="9036" spans="1:20" x14ac:dyDescent="0.25">
      <c r="A9036" t="str">
        <f>"3038473"</f>
        <v>3038473</v>
      </c>
      <c r="B9036" t="s">
        <v>27121</v>
      </c>
      <c r="C9036" t="str">
        <f>"55288000"</f>
        <v>55288000</v>
      </c>
      <c r="D9036" t="s">
        <v>27122</v>
      </c>
      <c r="E9036" t="s">
        <v>27123</v>
      </c>
      <c r="F9036" t="s">
        <v>27124</v>
      </c>
      <c r="I9036" t="s">
        <v>29</v>
      </c>
      <c r="J9036" t="s">
        <v>30</v>
      </c>
      <c r="K9036" t="s">
        <v>7290</v>
      </c>
      <c r="M9036" t="s">
        <v>18479</v>
      </c>
      <c r="N9036" t="str">
        <f>"9/1/2015 11:52:00 AM"</f>
        <v>9/1/2015 11:52:00 AM</v>
      </c>
      <c r="O9036" t="s">
        <v>27122</v>
      </c>
      <c r="T9036" t="s">
        <v>27123</v>
      </c>
    </row>
    <row r="9037" spans="1:20" x14ac:dyDescent="0.25">
      <c r="A9037" t="str">
        <f>"3055334"</f>
        <v>3055334</v>
      </c>
      <c r="B9037" t="s">
        <v>27125</v>
      </c>
      <c r="C9037" t="str">
        <f>"82532627"</f>
        <v>82532627</v>
      </c>
      <c r="D9037" t="s">
        <v>27126</v>
      </c>
      <c r="F9037" t="s">
        <v>27127</v>
      </c>
      <c r="I9037" t="s">
        <v>29</v>
      </c>
      <c r="J9037" t="s">
        <v>30</v>
      </c>
      <c r="K9037" t="s">
        <v>31</v>
      </c>
      <c r="M9037" t="s">
        <v>18479</v>
      </c>
      <c r="N9037" t="str">
        <f>"8/27/2015 11:35:00 AM"</f>
        <v>8/27/2015 11:35:00 AM</v>
      </c>
      <c r="O9037" t="s">
        <v>27126</v>
      </c>
    </row>
    <row r="9038" spans="1:20" x14ac:dyDescent="0.25">
      <c r="A9038" t="str">
        <f>"3053710"</f>
        <v>3053710</v>
      </c>
      <c r="B9038" t="s">
        <v>27128</v>
      </c>
      <c r="C9038" t="str">
        <f>"61771000"</f>
        <v>61771000</v>
      </c>
      <c r="D9038" t="s">
        <v>27129</v>
      </c>
      <c r="E9038" t="s">
        <v>27130</v>
      </c>
      <c r="F9038" t="s">
        <v>27131</v>
      </c>
      <c r="I9038" t="s">
        <v>184</v>
      </c>
      <c r="J9038" t="s">
        <v>30</v>
      </c>
      <c r="K9038" t="s">
        <v>185</v>
      </c>
      <c r="M9038" t="s">
        <v>18479</v>
      </c>
      <c r="N9038" t="str">
        <f>"8/27/2015 11:40:00 AM"</f>
        <v>8/27/2015 11:40:00 AM</v>
      </c>
      <c r="O9038" t="s">
        <v>27129</v>
      </c>
      <c r="T9038" t="s">
        <v>27130</v>
      </c>
    </row>
    <row r="9039" spans="1:20" x14ac:dyDescent="0.25">
      <c r="A9039" t="str">
        <f>"3047789"</f>
        <v>3047789</v>
      </c>
      <c r="B9039" t="s">
        <v>27132</v>
      </c>
      <c r="C9039" t="str">
        <f>"61771000"</f>
        <v>61771000</v>
      </c>
      <c r="D9039" t="s">
        <v>27129</v>
      </c>
      <c r="E9039" t="s">
        <v>27130</v>
      </c>
      <c r="F9039" t="s">
        <v>27131</v>
      </c>
      <c r="I9039" t="s">
        <v>184</v>
      </c>
      <c r="J9039" t="s">
        <v>30</v>
      </c>
      <c r="K9039" t="s">
        <v>185</v>
      </c>
      <c r="M9039" t="s">
        <v>18479</v>
      </c>
      <c r="N9039" t="str">
        <f>"8/27/2015 11:40:00 AM"</f>
        <v>8/27/2015 11:40:00 AM</v>
      </c>
      <c r="O9039" t="s">
        <v>27129</v>
      </c>
      <c r="T9039" t="s">
        <v>27130</v>
      </c>
    </row>
    <row r="9040" spans="1:20" x14ac:dyDescent="0.25">
      <c r="A9040" t="str">
        <f>"3045603"</f>
        <v>3045603</v>
      </c>
      <c r="B9040" t="s">
        <v>27133</v>
      </c>
      <c r="C9040" t="str">
        <f>"82516633"</f>
        <v>82516633</v>
      </c>
      <c r="D9040" t="s">
        <v>27134</v>
      </c>
      <c r="E9040" t="s">
        <v>27135</v>
      </c>
      <c r="F9040" t="s">
        <v>27136</v>
      </c>
      <c r="I9040" t="s">
        <v>29</v>
      </c>
      <c r="J9040" t="s">
        <v>30</v>
      </c>
      <c r="K9040" t="s">
        <v>27137</v>
      </c>
      <c r="M9040" t="s">
        <v>18479</v>
      </c>
      <c r="N9040" t="str">
        <f>"8/27/2015 11:48:00 AM"</f>
        <v>8/27/2015 11:48:00 AM</v>
      </c>
      <c r="O9040" t="s">
        <v>27134</v>
      </c>
      <c r="T9040" t="s">
        <v>27135</v>
      </c>
    </row>
    <row r="9041" spans="1:20" x14ac:dyDescent="0.25">
      <c r="A9041" t="str">
        <f>"3056077"</f>
        <v>3056077</v>
      </c>
      <c r="B9041" t="s">
        <v>27138</v>
      </c>
      <c r="C9041" t="str">
        <f>"8303394"</f>
        <v>8303394</v>
      </c>
      <c r="D9041" t="s">
        <v>27139</v>
      </c>
      <c r="F9041" t="s">
        <v>27140</v>
      </c>
      <c r="I9041" t="s">
        <v>9580</v>
      </c>
      <c r="J9041" t="s">
        <v>30</v>
      </c>
      <c r="K9041" t="str">
        <f>"27014"</f>
        <v>27014</v>
      </c>
      <c r="M9041" t="s">
        <v>17861</v>
      </c>
      <c r="N9041" t="str">
        <f>"9/1/2015 3:51:00 PM"</f>
        <v>9/1/2015 3:51:00 PM</v>
      </c>
      <c r="O9041" t="s">
        <v>27139</v>
      </c>
    </row>
    <row r="9042" spans="1:20" x14ac:dyDescent="0.25">
      <c r="A9042" t="str">
        <f>"3052451"</f>
        <v>3052451</v>
      </c>
      <c r="B9042" t="s">
        <v>27141</v>
      </c>
      <c r="C9042" t="str">
        <f>"8303926"</f>
        <v>8303926</v>
      </c>
      <c r="D9042" t="s">
        <v>27142</v>
      </c>
      <c r="E9042" t="s">
        <v>27143</v>
      </c>
      <c r="F9042" t="s">
        <v>27144</v>
      </c>
      <c r="I9042" t="s">
        <v>29</v>
      </c>
      <c r="J9042" t="s">
        <v>30</v>
      </c>
      <c r="K9042" t="str">
        <f>"27028"</f>
        <v>27028</v>
      </c>
      <c r="M9042" t="s">
        <v>18479</v>
      </c>
      <c r="N9042" t="str">
        <f>"9/2/2015 8:56:00 AM"</f>
        <v>9/2/2015 8:56:00 AM</v>
      </c>
      <c r="O9042" t="s">
        <v>27142</v>
      </c>
      <c r="T9042" t="s">
        <v>27143</v>
      </c>
    </row>
    <row r="9043" spans="1:20" x14ac:dyDescent="0.25">
      <c r="A9043" t="str">
        <f>"3077192"</f>
        <v>3077192</v>
      </c>
      <c r="B9043" t="s">
        <v>27145</v>
      </c>
      <c r="C9043" t="str">
        <f>"82531379"</f>
        <v>82531379</v>
      </c>
      <c r="D9043" t="s">
        <v>27146</v>
      </c>
      <c r="E9043" t="s">
        <v>27147</v>
      </c>
      <c r="F9043" t="s">
        <v>27148</v>
      </c>
      <c r="I9043" t="s">
        <v>184</v>
      </c>
      <c r="J9043" t="s">
        <v>30</v>
      </c>
      <c r="K9043" t="s">
        <v>185</v>
      </c>
      <c r="M9043" t="s">
        <v>18479</v>
      </c>
      <c r="N9043" t="str">
        <f>"9/2/2015 10:04:00 AM"</f>
        <v>9/2/2015 10:04:00 AM</v>
      </c>
      <c r="O9043" t="s">
        <v>27146</v>
      </c>
      <c r="T9043" t="s">
        <v>27147</v>
      </c>
    </row>
    <row r="9044" spans="1:20" x14ac:dyDescent="0.25">
      <c r="A9044" t="str">
        <f>"3043706"</f>
        <v>3043706</v>
      </c>
      <c r="B9044" t="s">
        <v>27149</v>
      </c>
      <c r="C9044" t="str">
        <f>"30120639"</f>
        <v>30120639</v>
      </c>
      <c r="D9044" t="s">
        <v>27150</v>
      </c>
      <c r="E9044" t="s">
        <v>27151</v>
      </c>
      <c r="F9044" t="s">
        <v>27152</v>
      </c>
      <c r="I9044" t="s">
        <v>29</v>
      </c>
      <c r="J9044" t="s">
        <v>30</v>
      </c>
      <c r="K9044" t="s">
        <v>7262</v>
      </c>
      <c r="M9044" t="s">
        <v>18479</v>
      </c>
      <c r="N9044" t="str">
        <f>"8/27/2015 11:49:00 AM"</f>
        <v>8/27/2015 11:49:00 AM</v>
      </c>
      <c r="O9044" t="s">
        <v>27150</v>
      </c>
      <c r="T9044" t="s">
        <v>27151</v>
      </c>
    </row>
    <row r="9045" spans="1:20" x14ac:dyDescent="0.25">
      <c r="A9045" t="str">
        <f>"3047117"</f>
        <v>3047117</v>
      </c>
      <c r="B9045" t="s">
        <v>27153</v>
      </c>
      <c r="C9045" t="str">
        <f>"62266050"</f>
        <v>62266050</v>
      </c>
      <c r="D9045" t="s">
        <v>27154</v>
      </c>
      <c r="E9045" t="s">
        <v>27155</v>
      </c>
      <c r="F9045" t="s">
        <v>27156</v>
      </c>
      <c r="I9045" t="s">
        <v>29</v>
      </c>
      <c r="J9045" t="s">
        <v>30</v>
      </c>
      <c r="K9045" t="s">
        <v>19933</v>
      </c>
      <c r="M9045" t="s">
        <v>18479</v>
      </c>
      <c r="N9045" t="str">
        <f>"8/27/2015 3:16:00 PM"</f>
        <v>8/27/2015 3:16:00 PM</v>
      </c>
      <c r="O9045" t="s">
        <v>27154</v>
      </c>
      <c r="T9045" t="s">
        <v>27155</v>
      </c>
    </row>
    <row r="9046" spans="1:20" x14ac:dyDescent="0.25">
      <c r="A9046" t="str">
        <f>"3059233"</f>
        <v>3059233</v>
      </c>
      <c r="B9046" t="s">
        <v>27157</v>
      </c>
      <c r="C9046" t="str">
        <f>"8305393"</f>
        <v>8305393</v>
      </c>
      <c r="D9046" t="s">
        <v>27158</v>
      </c>
      <c r="F9046" t="s">
        <v>27159</v>
      </c>
      <c r="I9046" t="s">
        <v>184</v>
      </c>
      <c r="J9046" t="s">
        <v>30</v>
      </c>
      <c r="K9046" t="str">
        <f>"27006"</f>
        <v>27006</v>
      </c>
      <c r="M9046" t="s">
        <v>17861</v>
      </c>
      <c r="N9046" t="str">
        <f>"8/27/2015 3:16:00 PM"</f>
        <v>8/27/2015 3:16:00 PM</v>
      </c>
      <c r="O9046" t="s">
        <v>27158</v>
      </c>
    </row>
    <row r="9047" spans="1:20" x14ac:dyDescent="0.25">
      <c r="A9047" t="str">
        <f>"3077117"</f>
        <v>3077117</v>
      </c>
      <c r="B9047" t="s">
        <v>27160</v>
      </c>
      <c r="C9047" t="str">
        <f>"82515496"</f>
        <v>82515496</v>
      </c>
      <c r="D9047" t="s">
        <v>27161</v>
      </c>
      <c r="F9047" t="s">
        <v>27162</v>
      </c>
      <c r="I9047" t="s">
        <v>29</v>
      </c>
      <c r="J9047" t="s">
        <v>30</v>
      </c>
      <c r="K9047" t="s">
        <v>27163</v>
      </c>
      <c r="M9047" t="s">
        <v>18479</v>
      </c>
      <c r="N9047" t="str">
        <f>"8/28/2015 11:16:00 AM"</f>
        <v>8/28/2015 11:16:00 AM</v>
      </c>
      <c r="O9047" t="s">
        <v>27161</v>
      </c>
    </row>
    <row r="9048" spans="1:20" x14ac:dyDescent="0.25">
      <c r="A9048" t="str">
        <f>"3041543"</f>
        <v>3041543</v>
      </c>
      <c r="B9048" t="s">
        <v>27164</v>
      </c>
      <c r="C9048" t="str">
        <f>"8304147"</f>
        <v>8304147</v>
      </c>
      <c r="D9048" t="s">
        <v>27165</v>
      </c>
      <c r="F9048" t="s">
        <v>27166</v>
      </c>
      <c r="I9048" t="s">
        <v>184</v>
      </c>
      <c r="J9048" t="s">
        <v>30</v>
      </c>
      <c r="K9048" t="str">
        <f>"27006"</f>
        <v>27006</v>
      </c>
      <c r="M9048" t="s">
        <v>18479</v>
      </c>
      <c r="N9048" t="str">
        <f>"9/2/2015 11:56:00 AM"</f>
        <v>9/2/2015 11:56:00 AM</v>
      </c>
      <c r="O9048" t="s">
        <v>27165</v>
      </c>
    </row>
    <row r="9049" spans="1:20" x14ac:dyDescent="0.25">
      <c r="A9049" t="str">
        <f>"3050712"</f>
        <v>3050712</v>
      </c>
      <c r="B9049" t="s">
        <v>27167</v>
      </c>
      <c r="C9049" t="str">
        <f>"8300969"</f>
        <v>8300969</v>
      </c>
      <c r="D9049" t="s">
        <v>27168</v>
      </c>
      <c r="E9049" t="s">
        <v>27169</v>
      </c>
      <c r="F9049" t="s">
        <v>27170</v>
      </c>
      <c r="I9049" t="s">
        <v>184</v>
      </c>
      <c r="J9049" t="s">
        <v>30</v>
      </c>
      <c r="K9049" t="str">
        <f>"27006"</f>
        <v>27006</v>
      </c>
      <c r="M9049" t="s">
        <v>18479</v>
      </c>
      <c r="N9049" t="str">
        <f>"9/2/2015 1:11:00 PM"</f>
        <v>9/2/2015 1:11:00 PM</v>
      </c>
      <c r="O9049" t="s">
        <v>27168</v>
      </c>
      <c r="T9049" t="s">
        <v>27169</v>
      </c>
    </row>
    <row r="9050" spans="1:20" x14ac:dyDescent="0.25">
      <c r="A9050" t="str">
        <f>"3053830"</f>
        <v>3053830</v>
      </c>
      <c r="B9050" t="s">
        <v>27171</v>
      </c>
      <c r="C9050" t="str">
        <f>"8304213"</f>
        <v>8304213</v>
      </c>
      <c r="D9050" t="s">
        <v>13267</v>
      </c>
      <c r="E9050" t="s">
        <v>13268</v>
      </c>
      <c r="F9050" t="s">
        <v>13269</v>
      </c>
      <c r="I9050" t="s">
        <v>29</v>
      </c>
      <c r="J9050" t="s">
        <v>30</v>
      </c>
      <c r="K9050" t="str">
        <f>"27028"</f>
        <v>27028</v>
      </c>
      <c r="M9050" t="s">
        <v>18479</v>
      </c>
      <c r="N9050" t="str">
        <f>"9/2/2015 1:13:00 PM"</f>
        <v>9/2/2015 1:13:00 PM</v>
      </c>
      <c r="O9050" t="s">
        <v>13267</v>
      </c>
      <c r="T9050" t="s">
        <v>13268</v>
      </c>
    </row>
    <row r="9051" spans="1:20" x14ac:dyDescent="0.25">
      <c r="A9051" t="str">
        <f>"3055456"</f>
        <v>3055456</v>
      </c>
      <c r="B9051" t="s">
        <v>27172</v>
      </c>
      <c r="C9051" t="str">
        <f>"82527285"</f>
        <v>82527285</v>
      </c>
      <c r="D9051" t="s">
        <v>16785</v>
      </c>
      <c r="F9051" t="s">
        <v>16787</v>
      </c>
      <c r="I9051" t="s">
        <v>29</v>
      </c>
      <c r="J9051" t="s">
        <v>30</v>
      </c>
      <c r="K9051" t="s">
        <v>31</v>
      </c>
      <c r="M9051" t="s">
        <v>18479</v>
      </c>
      <c r="N9051" t="str">
        <f>"9/2/2015 1:15:00 PM"</f>
        <v>9/2/2015 1:15:00 PM</v>
      </c>
      <c r="O9051" t="s">
        <v>16785</v>
      </c>
    </row>
    <row r="9052" spans="1:20" x14ac:dyDescent="0.25">
      <c r="A9052" t="str">
        <f>"3055360"</f>
        <v>3055360</v>
      </c>
      <c r="B9052" t="s">
        <v>27173</v>
      </c>
      <c r="C9052" t="str">
        <f>"8302514"</f>
        <v>8302514</v>
      </c>
      <c r="D9052" t="s">
        <v>27174</v>
      </c>
      <c r="F9052" t="s">
        <v>27175</v>
      </c>
      <c r="I9052" t="s">
        <v>29</v>
      </c>
      <c r="J9052" t="s">
        <v>30</v>
      </c>
      <c r="K9052" t="str">
        <f>"27028"</f>
        <v>27028</v>
      </c>
      <c r="M9052" t="s">
        <v>18479</v>
      </c>
      <c r="N9052" t="str">
        <f>"9/2/2015 1:16:00 PM"</f>
        <v>9/2/2015 1:16:00 PM</v>
      </c>
      <c r="O9052" t="s">
        <v>27174</v>
      </c>
    </row>
    <row r="9053" spans="1:20" x14ac:dyDescent="0.25">
      <c r="A9053" t="str">
        <f>"3054763"</f>
        <v>3054763</v>
      </c>
      <c r="B9053" t="s">
        <v>27176</v>
      </c>
      <c r="C9053" t="str">
        <f>"8302514"</f>
        <v>8302514</v>
      </c>
      <c r="D9053" t="s">
        <v>27174</v>
      </c>
      <c r="F9053" t="s">
        <v>27175</v>
      </c>
      <c r="I9053" t="s">
        <v>29</v>
      </c>
      <c r="J9053" t="s">
        <v>30</v>
      </c>
      <c r="K9053" t="str">
        <f>"27028"</f>
        <v>27028</v>
      </c>
      <c r="M9053" t="s">
        <v>18479</v>
      </c>
      <c r="N9053" t="str">
        <f>"9/2/2015 1:16:00 PM"</f>
        <v>9/2/2015 1:16:00 PM</v>
      </c>
      <c r="O9053" t="s">
        <v>27174</v>
      </c>
    </row>
    <row r="9054" spans="1:20" x14ac:dyDescent="0.25">
      <c r="A9054" t="str">
        <f>"3061086"</f>
        <v>3061086</v>
      </c>
      <c r="B9054" t="s">
        <v>27177</v>
      </c>
      <c r="C9054" t="str">
        <f>"8305406"</f>
        <v>8305406</v>
      </c>
      <c r="D9054" t="s">
        <v>27178</v>
      </c>
      <c r="E9054" t="s">
        <v>27179</v>
      </c>
      <c r="F9054" t="s">
        <v>27180</v>
      </c>
      <c r="I9054" t="s">
        <v>184</v>
      </c>
      <c r="J9054" t="s">
        <v>30</v>
      </c>
      <c r="K9054" t="str">
        <f>"27006"</f>
        <v>27006</v>
      </c>
      <c r="M9054" t="s">
        <v>17861</v>
      </c>
      <c r="N9054" t="str">
        <f>"8/28/2015 1:26:00 PM"</f>
        <v>8/28/2015 1:26:00 PM</v>
      </c>
      <c r="O9054" t="s">
        <v>27178</v>
      </c>
      <c r="T9054" t="s">
        <v>27179</v>
      </c>
    </row>
    <row r="9055" spans="1:20" x14ac:dyDescent="0.25">
      <c r="A9055" t="str">
        <f>"3046879"</f>
        <v>3046879</v>
      </c>
      <c r="B9055" t="s">
        <v>27181</v>
      </c>
      <c r="C9055" t="str">
        <f>"82517272"</f>
        <v>82517272</v>
      </c>
      <c r="D9055" t="s">
        <v>27182</v>
      </c>
      <c r="E9055" t="s">
        <v>27183</v>
      </c>
      <c r="F9055" t="s">
        <v>27184</v>
      </c>
      <c r="I9055" t="s">
        <v>29</v>
      </c>
      <c r="J9055" t="s">
        <v>30</v>
      </c>
      <c r="K9055" t="s">
        <v>27185</v>
      </c>
      <c r="M9055" t="s">
        <v>18479</v>
      </c>
      <c r="N9055" t="str">
        <f>"9/3/2015 9:57:00 AM"</f>
        <v>9/3/2015 9:57:00 AM</v>
      </c>
      <c r="O9055" t="s">
        <v>27182</v>
      </c>
      <c r="T9055" t="s">
        <v>27183</v>
      </c>
    </row>
    <row r="9056" spans="1:20" x14ac:dyDescent="0.25">
      <c r="A9056" t="str">
        <f>"3046898"</f>
        <v>3046898</v>
      </c>
      <c r="B9056" t="s">
        <v>27186</v>
      </c>
      <c r="C9056" t="str">
        <f>"82517272"</f>
        <v>82517272</v>
      </c>
      <c r="D9056" t="s">
        <v>27182</v>
      </c>
      <c r="E9056" t="s">
        <v>27183</v>
      </c>
      <c r="F9056" t="s">
        <v>27184</v>
      </c>
      <c r="I9056" t="s">
        <v>29</v>
      </c>
      <c r="J9056" t="s">
        <v>30</v>
      </c>
      <c r="K9056" t="s">
        <v>27185</v>
      </c>
      <c r="M9056" t="s">
        <v>18479</v>
      </c>
      <c r="N9056" t="str">
        <f>"9/3/2015 9:57:00 AM"</f>
        <v>9/3/2015 9:57:00 AM</v>
      </c>
      <c r="O9056" t="s">
        <v>27182</v>
      </c>
      <c r="T9056" t="s">
        <v>27183</v>
      </c>
    </row>
    <row r="9057" spans="1:20" x14ac:dyDescent="0.25">
      <c r="A9057" t="str">
        <f>"3065817"</f>
        <v>3065817</v>
      </c>
      <c r="B9057" t="s">
        <v>27187</v>
      </c>
      <c r="C9057" t="str">
        <f>"82515798"</f>
        <v>82515798</v>
      </c>
      <c r="D9057" t="s">
        <v>27188</v>
      </c>
      <c r="F9057" t="s">
        <v>27189</v>
      </c>
      <c r="I9057" t="s">
        <v>29</v>
      </c>
      <c r="J9057" t="s">
        <v>30</v>
      </c>
      <c r="K9057" t="s">
        <v>27190</v>
      </c>
      <c r="M9057" t="s">
        <v>18479</v>
      </c>
      <c r="N9057" t="str">
        <f>"9/3/2015 10:12:00 AM"</f>
        <v>9/3/2015 10:12:00 AM</v>
      </c>
      <c r="O9057" t="s">
        <v>27188</v>
      </c>
    </row>
    <row r="9058" spans="1:20" x14ac:dyDescent="0.25">
      <c r="A9058" t="str">
        <f>"3060049"</f>
        <v>3060049</v>
      </c>
      <c r="B9058" t="s">
        <v>27191</v>
      </c>
      <c r="C9058" t="str">
        <f>"8303398"</f>
        <v>8303398</v>
      </c>
      <c r="D9058" t="s">
        <v>27192</v>
      </c>
      <c r="E9058" t="s">
        <v>27193</v>
      </c>
      <c r="F9058" t="s">
        <v>27194</v>
      </c>
      <c r="I9058" t="s">
        <v>184</v>
      </c>
      <c r="J9058" t="s">
        <v>30</v>
      </c>
      <c r="K9058" t="str">
        <f>"27006"</f>
        <v>27006</v>
      </c>
      <c r="M9058" t="s">
        <v>18479</v>
      </c>
      <c r="N9058" t="str">
        <f>"9/3/2015 11:27:00 AM"</f>
        <v>9/3/2015 11:27:00 AM</v>
      </c>
      <c r="O9058" t="s">
        <v>27192</v>
      </c>
      <c r="T9058" t="s">
        <v>27193</v>
      </c>
    </row>
    <row r="9059" spans="1:20" x14ac:dyDescent="0.25">
      <c r="A9059" t="str">
        <f>"3044713"</f>
        <v>3044713</v>
      </c>
      <c r="B9059" t="s">
        <v>27195</v>
      </c>
      <c r="C9059" t="str">
        <f>"8304055"</f>
        <v>8304055</v>
      </c>
      <c r="D9059" t="s">
        <v>27196</v>
      </c>
      <c r="E9059" t="s">
        <v>27197</v>
      </c>
      <c r="F9059" t="s">
        <v>27198</v>
      </c>
      <c r="I9059" t="s">
        <v>184</v>
      </c>
      <c r="J9059" t="s">
        <v>30</v>
      </c>
      <c r="K9059" t="str">
        <f>"27006"</f>
        <v>27006</v>
      </c>
      <c r="M9059" t="s">
        <v>18479</v>
      </c>
      <c r="N9059" t="str">
        <f>"9/3/2015 11:31:00 AM"</f>
        <v>9/3/2015 11:31:00 AM</v>
      </c>
      <c r="O9059" t="s">
        <v>27196</v>
      </c>
      <c r="T9059" t="s">
        <v>27197</v>
      </c>
    </row>
    <row r="9060" spans="1:20" x14ac:dyDescent="0.25">
      <c r="A9060" t="str">
        <f>"3048053"</f>
        <v>3048053</v>
      </c>
      <c r="B9060" t="s">
        <v>27199</v>
      </c>
      <c r="C9060" t="str">
        <f>"54257870"</f>
        <v>54257870</v>
      </c>
      <c r="D9060" t="s">
        <v>27200</v>
      </c>
      <c r="F9060" t="s">
        <v>27201</v>
      </c>
      <c r="I9060" t="s">
        <v>184</v>
      </c>
      <c r="J9060" t="s">
        <v>30</v>
      </c>
      <c r="K9060" t="s">
        <v>185</v>
      </c>
      <c r="M9060" t="s">
        <v>18479</v>
      </c>
      <c r="N9060" t="str">
        <f>"9/3/2015 2:19:00 PM"</f>
        <v>9/3/2015 2:19:00 PM</v>
      </c>
      <c r="O9060" t="s">
        <v>27200</v>
      </c>
    </row>
    <row r="9061" spans="1:20" x14ac:dyDescent="0.25">
      <c r="A9061" t="str">
        <f>"3041491"</f>
        <v>3041491</v>
      </c>
      <c r="B9061" t="s">
        <v>27202</v>
      </c>
      <c r="C9061" t="str">
        <f>"8305409"</f>
        <v>8305409</v>
      </c>
      <c r="D9061" t="s">
        <v>27203</v>
      </c>
      <c r="E9061" t="s">
        <v>27204</v>
      </c>
      <c r="F9061" t="s">
        <v>27205</v>
      </c>
      <c r="I9061" t="s">
        <v>2071</v>
      </c>
      <c r="J9061" t="s">
        <v>30</v>
      </c>
      <c r="K9061" t="str">
        <f>"27006"</f>
        <v>27006</v>
      </c>
      <c r="M9061" t="s">
        <v>17861</v>
      </c>
      <c r="N9061" t="str">
        <f>"8/28/2015 1:51:00 PM"</f>
        <v>8/28/2015 1:51:00 PM</v>
      </c>
      <c r="O9061" t="s">
        <v>27203</v>
      </c>
      <c r="T9061" t="s">
        <v>27204</v>
      </c>
    </row>
    <row r="9062" spans="1:20" x14ac:dyDescent="0.25">
      <c r="A9062" t="str">
        <f>"3045826"</f>
        <v>3045826</v>
      </c>
      <c r="B9062" t="s">
        <v>27206</v>
      </c>
      <c r="C9062" t="str">
        <f>"8305410"</f>
        <v>8305410</v>
      </c>
      <c r="D9062" t="s">
        <v>27207</v>
      </c>
      <c r="E9062" t="s">
        <v>27208</v>
      </c>
      <c r="F9062" t="s">
        <v>27209</v>
      </c>
      <c r="I9062" t="s">
        <v>29</v>
      </c>
      <c r="J9062" t="s">
        <v>30</v>
      </c>
      <c r="K9062" t="str">
        <f>"27028"</f>
        <v>27028</v>
      </c>
      <c r="M9062" t="s">
        <v>17861</v>
      </c>
      <c r="N9062" t="str">
        <f>"8/28/2015 2:12:00 PM"</f>
        <v>8/28/2015 2:12:00 PM</v>
      </c>
      <c r="O9062" t="s">
        <v>27207</v>
      </c>
      <c r="T9062" t="s">
        <v>27208</v>
      </c>
    </row>
    <row r="9063" spans="1:20" x14ac:dyDescent="0.25">
      <c r="A9063" t="str">
        <f>"3039918"</f>
        <v>3039918</v>
      </c>
      <c r="B9063" t="s">
        <v>27210</v>
      </c>
      <c r="C9063" t="str">
        <f>"8305411"</f>
        <v>8305411</v>
      </c>
      <c r="D9063" t="s">
        <v>27211</v>
      </c>
      <c r="E9063" t="s">
        <v>27212</v>
      </c>
      <c r="F9063" t="s">
        <v>27213</v>
      </c>
      <c r="I9063" t="s">
        <v>184</v>
      </c>
      <c r="J9063" t="s">
        <v>30</v>
      </c>
      <c r="K9063" t="str">
        <f>"27006"</f>
        <v>27006</v>
      </c>
      <c r="M9063" t="s">
        <v>17861</v>
      </c>
      <c r="N9063" t="str">
        <f>"8/28/2015 2:37:00 PM"</f>
        <v>8/28/2015 2:37:00 PM</v>
      </c>
      <c r="O9063" t="s">
        <v>27211</v>
      </c>
      <c r="T9063" t="s">
        <v>27212</v>
      </c>
    </row>
    <row r="9064" spans="1:20" x14ac:dyDescent="0.25">
      <c r="A9064" t="str">
        <f>"3040142"</f>
        <v>3040142</v>
      </c>
      <c r="B9064" t="s">
        <v>27214</v>
      </c>
      <c r="C9064" t="str">
        <f>"59982000"</f>
        <v>59982000</v>
      </c>
      <c r="D9064" t="s">
        <v>27215</v>
      </c>
      <c r="E9064" t="s">
        <v>27216</v>
      </c>
      <c r="F9064" t="s">
        <v>27217</v>
      </c>
      <c r="I9064" t="s">
        <v>29</v>
      </c>
      <c r="J9064" t="s">
        <v>30</v>
      </c>
      <c r="K9064" t="s">
        <v>2381</v>
      </c>
      <c r="M9064" t="s">
        <v>18479</v>
      </c>
      <c r="N9064" t="str">
        <f>"8/31/2015 10:40:00 AM"</f>
        <v>8/31/2015 10:40:00 AM</v>
      </c>
      <c r="O9064" t="s">
        <v>27215</v>
      </c>
      <c r="T9064" t="s">
        <v>27216</v>
      </c>
    </row>
    <row r="9065" spans="1:20" x14ac:dyDescent="0.25">
      <c r="A9065" t="str">
        <f>"3038810"</f>
        <v>3038810</v>
      </c>
      <c r="B9065" t="s">
        <v>27218</v>
      </c>
      <c r="C9065" t="str">
        <f>"51762000"</f>
        <v>51762000</v>
      </c>
      <c r="D9065" t="s">
        <v>27219</v>
      </c>
      <c r="E9065" t="s">
        <v>27220</v>
      </c>
      <c r="F9065" t="s">
        <v>27221</v>
      </c>
      <c r="I9065" t="s">
        <v>29</v>
      </c>
      <c r="J9065" t="s">
        <v>30</v>
      </c>
      <c r="K9065" t="s">
        <v>27222</v>
      </c>
      <c r="M9065" t="s">
        <v>18479</v>
      </c>
      <c r="N9065" t="str">
        <f>"9/8/2015 1:29:00 PM"</f>
        <v>9/8/2015 1:29:00 PM</v>
      </c>
      <c r="O9065" t="s">
        <v>27219</v>
      </c>
      <c r="T9065" t="s">
        <v>27220</v>
      </c>
    </row>
    <row r="9066" spans="1:20" x14ac:dyDescent="0.25">
      <c r="A9066" t="str">
        <f>"3057417"</f>
        <v>3057417</v>
      </c>
      <c r="B9066" t="s">
        <v>27223</v>
      </c>
      <c r="C9066" t="str">
        <f>"60109340"</f>
        <v>60109340</v>
      </c>
      <c r="D9066" t="s">
        <v>27224</v>
      </c>
      <c r="E9066" t="s">
        <v>27225</v>
      </c>
      <c r="F9066" t="s">
        <v>27226</v>
      </c>
      <c r="I9066" t="s">
        <v>184</v>
      </c>
      <c r="J9066" t="s">
        <v>30</v>
      </c>
      <c r="K9066" t="s">
        <v>185</v>
      </c>
      <c r="M9066" t="s">
        <v>18479</v>
      </c>
      <c r="N9066" t="str">
        <f>"8/31/2015 10:49:00 AM"</f>
        <v>8/31/2015 10:49:00 AM</v>
      </c>
      <c r="O9066" t="s">
        <v>27224</v>
      </c>
      <c r="T9066" t="s">
        <v>27225</v>
      </c>
    </row>
    <row r="9067" spans="1:20" x14ac:dyDescent="0.25">
      <c r="A9067" t="str">
        <f>"3059956"</f>
        <v>3059956</v>
      </c>
      <c r="B9067" t="s">
        <v>27227</v>
      </c>
      <c r="C9067" t="str">
        <f>"60109340"</f>
        <v>60109340</v>
      </c>
      <c r="D9067" t="s">
        <v>27224</v>
      </c>
      <c r="E9067" t="s">
        <v>27225</v>
      </c>
      <c r="F9067" t="s">
        <v>27226</v>
      </c>
      <c r="I9067" t="s">
        <v>184</v>
      </c>
      <c r="J9067" t="s">
        <v>30</v>
      </c>
      <c r="K9067" t="s">
        <v>185</v>
      </c>
      <c r="M9067" t="s">
        <v>18479</v>
      </c>
      <c r="N9067" t="str">
        <f>"8/31/2015 10:49:00 AM"</f>
        <v>8/31/2015 10:49:00 AM</v>
      </c>
      <c r="O9067" t="s">
        <v>27224</v>
      </c>
      <c r="T9067" t="s">
        <v>27225</v>
      </c>
    </row>
    <row r="9068" spans="1:20" x14ac:dyDescent="0.25">
      <c r="A9068" t="str">
        <f>"3041387"</f>
        <v>3041387</v>
      </c>
      <c r="B9068" t="s">
        <v>27228</v>
      </c>
      <c r="C9068" t="str">
        <f>"8303402"</f>
        <v>8303402</v>
      </c>
      <c r="D9068" t="s">
        <v>27229</v>
      </c>
      <c r="E9068" t="s">
        <v>27230</v>
      </c>
      <c r="F9068" t="s">
        <v>27231</v>
      </c>
      <c r="I9068" t="s">
        <v>184</v>
      </c>
      <c r="J9068" t="s">
        <v>30</v>
      </c>
      <c r="K9068" t="str">
        <f>"27006"</f>
        <v>27006</v>
      </c>
      <c r="M9068" t="s">
        <v>18479</v>
      </c>
      <c r="N9068" t="str">
        <f>"8/31/2015 11:25:00 AM"</f>
        <v>8/31/2015 11:25:00 AM</v>
      </c>
      <c r="O9068" t="s">
        <v>27229</v>
      </c>
      <c r="T9068" t="s">
        <v>27230</v>
      </c>
    </row>
    <row r="9069" spans="1:20" x14ac:dyDescent="0.25">
      <c r="A9069" t="str">
        <f>"3048142"</f>
        <v>3048142</v>
      </c>
      <c r="B9069" t="s">
        <v>27232</v>
      </c>
      <c r="C9069" t="str">
        <f>"82517335"</f>
        <v>82517335</v>
      </c>
      <c r="D9069" t="s">
        <v>27233</v>
      </c>
      <c r="E9069" t="s">
        <v>27234</v>
      </c>
      <c r="F9069" t="s">
        <v>27235</v>
      </c>
      <c r="I9069" t="s">
        <v>184</v>
      </c>
      <c r="J9069" t="s">
        <v>30</v>
      </c>
      <c r="K9069" t="s">
        <v>185</v>
      </c>
      <c r="M9069" t="s">
        <v>18470</v>
      </c>
      <c r="N9069" t="str">
        <f>"8/25/2015 4:07:00 PM"</f>
        <v>8/25/2015 4:07:00 PM</v>
      </c>
      <c r="O9069" t="s">
        <v>27233</v>
      </c>
      <c r="T9069" t="s">
        <v>27234</v>
      </c>
    </row>
    <row r="9070" spans="1:20" x14ac:dyDescent="0.25">
      <c r="A9070" t="str">
        <f>"3053259"</f>
        <v>3053259</v>
      </c>
      <c r="B9070" t="s">
        <v>27236</v>
      </c>
      <c r="C9070" t="str">
        <f>"8303635"</f>
        <v>8303635</v>
      </c>
      <c r="D9070" t="s">
        <v>27237</v>
      </c>
      <c r="F9070" t="s">
        <v>27238</v>
      </c>
      <c r="I9070" t="s">
        <v>184</v>
      </c>
      <c r="J9070" t="s">
        <v>30</v>
      </c>
      <c r="K9070" t="str">
        <f>"27006"</f>
        <v>27006</v>
      </c>
      <c r="M9070" t="s">
        <v>18479</v>
      </c>
      <c r="N9070" t="str">
        <f>"9/8/2015 2:33:00 PM"</f>
        <v>9/8/2015 2:33:00 PM</v>
      </c>
      <c r="O9070" t="s">
        <v>27237</v>
      </c>
    </row>
    <row r="9071" spans="1:20" x14ac:dyDescent="0.25">
      <c r="A9071" t="str">
        <f>"3078796"</f>
        <v>3078796</v>
      </c>
      <c r="B9071" t="s">
        <v>27239</v>
      </c>
      <c r="C9071" t="str">
        <f>"8303635"</f>
        <v>8303635</v>
      </c>
      <c r="D9071" t="s">
        <v>27237</v>
      </c>
      <c r="F9071" t="s">
        <v>27238</v>
      </c>
      <c r="I9071" t="s">
        <v>184</v>
      </c>
      <c r="J9071" t="s">
        <v>30</v>
      </c>
      <c r="K9071" t="str">
        <f>"27006"</f>
        <v>27006</v>
      </c>
      <c r="M9071" t="s">
        <v>18479</v>
      </c>
      <c r="N9071" t="str">
        <f>"9/8/2015 2:33:00 PM"</f>
        <v>9/8/2015 2:33:00 PM</v>
      </c>
      <c r="O9071" t="s">
        <v>27237</v>
      </c>
    </row>
    <row r="9072" spans="1:20" x14ac:dyDescent="0.25">
      <c r="A9072" t="str">
        <f>"3037503"</f>
        <v>3037503</v>
      </c>
      <c r="B9072" t="s">
        <v>27240</v>
      </c>
      <c r="C9072" t="str">
        <f>"82518652"</f>
        <v>82518652</v>
      </c>
      <c r="D9072" t="s">
        <v>27241</v>
      </c>
      <c r="F9072" t="s">
        <v>27242</v>
      </c>
      <c r="I9072" t="s">
        <v>29</v>
      </c>
      <c r="J9072" t="s">
        <v>30</v>
      </c>
      <c r="K9072" t="s">
        <v>31</v>
      </c>
      <c r="M9072" t="s">
        <v>18479</v>
      </c>
      <c r="N9072" t="str">
        <f>"9/8/2015 3:09:00 PM"</f>
        <v>9/8/2015 3:09:00 PM</v>
      </c>
      <c r="O9072" t="s">
        <v>27241</v>
      </c>
    </row>
    <row r="9073" spans="1:20" x14ac:dyDescent="0.25">
      <c r="A9073" t="str">
        <f>"3039537"</f>
        <v>3039537</v>
      </c>
      <c r="B9073" t="s">
        <v>27243</v>
      </c>
      <c r="C9073" t="str">
        <f>"52849500"</f>
        <v>52849500</v>
      </c>
      <c r="D9073" t="s">
        <v>27244</v>
      </c>
      <c r="F9073" t="s">
        <v>27245</v>
      </c>
      <c r="I9073" t="s">
        <v>29</v>
      </c>
      <c r="J9073" t="s">
        <v>30</v>
      </c>
      <c r="K9073" t="s">
        <v>27246</v>
      </c>
      <c r="M9073" t="s">
        <v>18479</v>
      </c>
      <c r="N9073" t="str">
        <f>"9/8/2015 3:22:00 PM"</f>
        <v>9/8/2015 3:22:00 PM</v>
      </c>
      <c r="O9073" t="s">
        <v>27244</v>
      </c>
    </row>
    <row r="9074" spans="1:20" x14ac:dyDescent="0.25">
      <c r="A9074" t="str">
        <f>"3046295"</f>
        <v>3046295</v>
      </c>
      <c r="B9074" t="s">
        <v>27247</v>
      </c>
      <c r="C9074" t="str">
        <f>"53092000"</f>
        <v>53092000</v>
      </c>
      <c r="D9074" t="s">
        <v>27248</v>
      </c>
      <c r="E9074" t="s">
        <v>27249</v>
      </c>
      <c r="F9074" t="s">
        <v>27250</v>
      </c>
      <c r="I9074" t="s">
        <v>29</v>
      </c>
      <c r="J9074" t="s">
        <v>30</v>
      </c>
      <c r="K9074" t="s">
        <v>8096</v>
      </c>
      <c r="M9074" t="s">
        <v>18479</v>
      </c>
      <c r="N9074" t="str">
        <f>"9/9/2015 8:40:00 AM"</f>
        <v>9/9/2015 8:40:00 AM</v>
      </c>
      <c r="O9074" t="s">
        <v>27248</v>
      </c>
      <c r="T9074" t="s">
        <v>27249</v>
      </c>
    </row>
    <row r="9075" spans="1:20" x14ac:dyDescent="0.25">
      <c r="A9075" t="str">
        <f>"3053220"</f>
        <v>3053220</v>
      </c>
      <c r="B9075" t="s">
        <v>27251</v>
      </c>
      <c r="C9075" t="str">
        <f>"8303987"</f>
        <v>8303987</v>
      </c>
      <c r="D9075" t="s">
        <v>27252</v>
      </c>
      <c r="E9075" t="s">
        <v>27253</v>
      </c>
      <c r="F9075" t="s">
        <v>27254</v>
      </c>
      <c r="I9075" t="s">
        <v>184</v>
      </c>
      <c r="J9075" t="s">
        <v>30</v>
      </c>
      <c r="K9075" t="str">
        <f>"27006"</f>
        <v>27006</v>
      </c>
      <c r="M9075" t="s">
        <v>18479</v>
      </c>
      <c r="N9075" t="str">
        <f>"9/9/2015 8:41:00 AM"</f>
        <v>9/9/2015 8:41:00 AM</v>
      </c>
      <c r="O9075" t="s">
        <v>27252</v>
      </c>
      <c r="T9075" t="s">
        <v>27253</v>
      </c>
    </row>
    <row r="9076" spans="1:20" x14ac:dyDescent="0.25">
      <c r="A9076" t="str">
        <f>"3053657"</f>
        <v>3053657</v>
      </c>
      <c r="B9076" t="s">
        <v>27255</v>
      </c>
      <c r="C9076" t="str">
        <f>"8303987"</f>
        <v>8303987</v>
      </c>
      <c r="D9076" t="s">
        <v>27252</v>
      </c>
      <c r="E9076" t="s">
        <v>27253</v>
      </c>
      <c r="F9076" t="s">
        <v>27254</v>
      </c>
      <c r="I9076" t="s">
        <v>184</v>
      </c>
      <c r="J9076" t="s">
        <v>30</v>
      </c>
      <c r="K9076" t="str">
        <f>"27006"</f>
        <v>27006</v>
      </c>
      <c r="M9076" t="s">
        <v>18479</v>
      </c>
      <c r="N9076" t="str">
        <f>"9/9/2015 8:41:00 AM"</f>
        <v>9/9/2015 8:41:00 AM</v>
      </c>
      <c r="O9076" t="s">
        <v>27252</v>
      </c>
      <c r="T9076" t="s">
        <v>27253</v>
      </c>
    </row>
    <row r="9077" spans="1:20" x14ac:dyDescent="0.25">
      <c r="A9077" t="str">
        <f>"3046113"</f>
        <v>3046113</v>
      </c>
      <c r="B9077" t="s">
        <v>27256</v>
      </c>
      <c r="C9077" t="str">
        <f>"8305389"</f>
        <v>8305389</v>
      </c>
      <c r="D9077" t="s">
        <v>27257</v>
      </c>
      <c r="E9077" t="s">
        <v>27258</v>
      </c>
      <c r="F9077" t="s">
        <v>27259</v>
      </c>
      <c r="I9077" t="s">
        <v>29</v>
      </c>
      <c r="J9077" t="s">
        <v>30</v>
      </c>
      <c r="K9077" t="str">
        <f>"27028"</f>
        <v>27028</v>
      </c>
      <c r="M9077" t="s">
        <v>17861</v>
      </c>
      <c r="N9077" t="str">
        <f>"8/25/2015 4:49:00 PM"</f>
        <v>8/25/2015 4:49:00 PM</v>
      </c>
      <c r="O9077" t="s">
        <v>27257</v>
      </c>
      <c r="T9077" t="s">
        <v>27258</v>
      </c>
    </row>
    <row r="9078" spans="1:20" x14ac:dyDescent="0.25">
      <c r="A9078" t="str">
        <f>"3047796"</f>
        <v>3047796</v>
      </c>
      <c r="B9078" t="s">
        <v>27260</v>
      </c>
      <c r="C9078" t="str">
        <f>"57316000"</f>
        <v>57316000</v>
      </c>
      <c r="D9078" t="s">
        <v>27261</v>
      </c>
      <c r="E9078" t="s">
        <v>27262</v>
      </c>
      <c r="F9078" t="s">
        <v>27263</v>
      </c>
      <c r="I9078" t="s">
        <v>184</v>
      </c>
      <c r="J9078" t="s">
        <v>30</v>
      </c>
      <c r="K9078" t="s">
        <v>25861</v>
      </c>
      <c r="M9078" t="s">
        <v>18479</v>
      </c>
      <c r="N9078" t="str">
        <f>"8/31/2015 4:26:00 PM"</f>
        <v>8/31/2015 4:26:00 PM</v>
      </c>
      <c r="O9078" t="s">
        <v>27261</v>
      </c>
      <c r="T9078" t="s">
        <v>27262</v>
      </c>
    </row>
    <row r="9079" spans="1:20" x14ac:dyDescent="0.25">
      <c r="A9079" t="str">
        <f>"3060045"</f>
        <v>3060045</v>
      </c>
      <c r="B9079" t="s">
        <v>27264</v>
      </c>
      <c r="C9079" t="str">
        <f>"8305451"</f>
        <v>8305451</v>
      </c>
      <c r="D9079" t="s">
        <v>27265</v>
      </c>
      <c r="E9079" t="s">
        <v>27266</v>
      </c>
      <c r="F9079" t="s">
        <v>27267</v>
      </c>
      <c r="I9079" t="s">
        <v>184</v>
      </c>
      <c r="J9079" t="s">
        <v>30</v>
      </c>
      <c r="K9079" t="str">
        <f>"27006"</f>
        <v>27006</v>
      </c>
      <c r="M9079" t="s">
        <v>17861</v>
      </c>
      <c r="N9079" t="str">
        <f>"9/9/2015 2:32:00 PM"</f>
        <v>9/9/2015 2:32:00 PM</v>
      </c>
      <c r="O9079" t="s">
        <v>27265</v>
      </c>
      <c r="T9079" t="s">
        <v>27266</v>
      </c>
    </row>
    <row r="9080" spans="1:20" x14ac:dyDescent="0.25">
      <c r="A9080" t="str">
        <f>"3047910"</f>
        <v>3047910</v>
      </c>
      <c r="B9080" t="s">
        <v>27268</v>
      </c>
      <c r="C9080" t="str">
        <f>"57316000"</f>
        <v>57316000</v>
      </c>
      <c r="D9080" t="s">
        <v>27261</v>
      </c>
      <c r="E9080" t="s">
        <v>27262</v>
      </c>
      <c r="F9080" t="s">
        <v>27263</v>
      </c>
      <c r="I9080" t="s">
        <v>184</v>
      </c>
      <c r="J9080" t="s">
        <v>30</v>
      </c>
      <c r="K9080" t="s">
        <v>25861</v>
      </c>
      <c r="M9080" t="s">
        <v>18479</v>
      </c>
      <c r="N9080" t="str">
        <f>"8/31/2015 4:26:00 PM"</f>
        <v>8/31/2015 4:26:00 PM</v>
      </c>
      <c r="O9080" t="s">
        <v>27261</v>
      </c>
      <c r="T9080" t="s">
        <v>27262</v>
      </c>
    </row>
    <row r="9081" spans="1:20" x14ac:dyDescent="0.25">
      <c r="A9081" t="str">
        <f>"3057730"</f>
        <v>3057730</v>
      </c>
      <c r="B9081" t="s">
        <v>27269</v>
      </c>
      <c r="C9081" t="str">
        <f>"82519882"</f>
        <v>82519882</v>
      </c>
      <c r="D9081" t="s">
        <v>27270</v>
      </c>
      <c r="E9081" t="s">
        <v>27271</v>
      </c>
      <c r="F9081" t="s">
        <v>27272</v>
      </c>
      <c r="I9081" t="s">
        <v>184</v>
      </c>
      <c r="J9081" t="s">
        <v>30</v>
      </c>
      <c r="K9081" t="s">
        <v>27273</v>
      </c>
      <c r="M9081" t="s">
        <v>18479</v>
      </c>
      <c r="N9081" t="str">
        <f>"9/1/2015 8:53:00 AM"</f>
        <v>9/1/2015 8:53:00 AM</v>
      </c>
      <c r="O9081" t="s">
        <v>27270</v>
      </c>
      <c r="T9081" t="s">
        <v>27271</v>
      </c>
    </row>
    <row r="9082" spans="1:20" x14ac:dyDescent="0.25">
      <c r="A9082" t="str">
        <f>"3052947"</f>
        <v>3052947</v>
      </c>
      <c r="B9082" t="s">
        <v>27274</v>
      </c>
      <c r="C9082" t="str">
        <f>"57641500"</f>
        <v>57641500</v>
      </c>
      <c r="D9082" t="s">
        <v>27275</v>
      </c>
      <c r="F9082" t="s">
        <v>21383</v>
      </c>
      <c r="I9082" t="s">
        <v>29</v>
      </c>
      <c r="J9082" t="s">
        <v>30</v>
      </c>
      <c r="K9082" t="s">
        <v>27276</v>
      </c>
      <c r="M9082" t="s">
        <v>18479</v>
      </c>
      <c r="N9082" t="str">
        <f>"9/1/2015 8:57:00 AM"</f>
        <v>9/1/2015 8:57:00 AM</v>
      </c>
      <c r="O9082" t="s">
        <v>27275</v>
      </c>
    </row>
    <row r="9083" spans="1:20" x14ac:dyDescent="0.25">
      <c r="A9083" t="str">
        <f>"3058250"</f>
        <v>3058250</v>
      </c>
      <c r="B9083" t="s">
        <v>27277</v>
      </c>
      <c r="C9083" t="str">
        <f>"82522410"</f>
        <v>82522410</v>
      </c>
      <c r="D9083" t="s">
        <v>27278</v>
      </c>
      <c r="E9083" t="s">
        <v>27279</v>
      </c>
      <c r="F9083" t="s">
        <v>27280</v>
      </c>
      <c r="I9083" t="s">
        <v>29</v>
      </c>
      <c r="J9083" t="s">
        <v>30</v>
      </c>
      <c r="K9083" t="s">
        <v>27281</v>
      </c>
      <c r="M9083" t="s">
        <v>18479</v>
      </c>
      <c r="N9083" t="str">
        <f>"9/1/2015 9:08:00 AM"</f>
        <v>9/1/2015 9:08:00 AM</v>
      </c>
      <c r="O9083" t="s">
        <v>27278</v>
      </c>
      <c r="T9083" t="s">
        <v>27279</v>
      </c>
    </row>
    <row r="9084" spans="1:20" x14ac:dyDescent="0.25">
      <c r="A9084" t="str">
        <f>"3042369"</f>
        <v>3042369</v>
      </c>
      <c r="B9084" t="s">
        <v>27282</v>
      </c>
      <c r="C9084" t="str">
        <f>"8303674"</f>
        <v>8303674</v>
      </c>
      <c r="D9084" t="s">
        <v>27283</v>
      </c>
      <c r="E9084" t="s">
        <v>27284</v>
      </c>
      <c r="F9084" t="s">
        <v>27285</v>
      </c>
      <c r="I9084" t="s">
        <v>184</v>
      </c>
      <c r="J9084" t="s">
        <v>30</v>
      </c>
      <c r="K9084" t="str">
        <f>"27006"</f>
        <v>27006</v>
      </c>
      <c r="M9084" t="s">
        <v>18479</v>
      </c>
      <c r="N9084" t="str">
        <f>"9/1/2015 2:52:00 PM"</f>
        <v>9/1/2015 2:52:00 PM</v>
      </c>
      <c r="O9084" t="s">
        <v>27283</v>
      </c>
      <c r="T9084" t="s">
        <v>27284</v>
      </c>
    </row>
    <row r="9085" spans="1:20" x14ac:dyDescent="0.25">
      <c r="A9085" t="str">
        <f>"3050677"</f>
        <v>3050677</v>
      </c>
      <c r="B9085" t="s">
        <v>27286</v>
      </c>
      <c r="C9085" t="str">
        <f>"8305457"</f>
        <v>8305457</v>
      </c>
      <c r="D9085" t="s">
        <v>27287</v>
      </c>
      <c r="E9085" t="s">
        <v>27288</v>
      </c>
      <c r="F9085" t="s">
        <v>27289</v>
      </c>
      <c r="I9085" t="s">
        <v>184</v>
      </c>
      <c r="J9085" t="s">
        <v>30</v>
      </c>
      <c r="K9085" t="str">
        <f>"27006"</f>
        <v>27006</v>
      </c>
      <c r="M9085" t="s">
        <v>17861</v>
      </c>
      <c r="N9085" t="str">
        <f>"9/11/2015 9:00:00 AM"</f>
        <v>9/11/2015 9:00:00 AM</v>
      </c>
      <c r="O9085" t="s">
        <v>27287</v>
      </c>
      <c r="T9085" t="s">
        <v>27288</v>
      </c>
    </row>
    <row r="9086" spans="1:20" x14ac:dyDescent="0.25">
      <c r="A9086" t="str">
        <f>"3053581"</f>
        <v>3053581</v>
      </c>
      <c r="B9086" t="s">
        <v>27290</v>
      </c>
      <c r="C9086" t="str">
        <f>"8305458"</f>
        <v>8305458</v>
      </c>
      <c r="D9086" t="s">
        <v>22400</v>
      </c>
      <c r="E9086" t="s">
        <v>27291</v>
      </c>
      <c r="F9086" t="s">
        <v>22401</v>
      </c>
      <c r="I9086" t="s">
        <v>2280</v>
      </c>
      <c r="J9086" t="s">
        <v>30</v>
      </c>
      <c r="K9086" t="str">
        <f>"27292"</f>
        <v>27292</v>
      </c>
      <c r="M9086" t="s">
        <v>17861</v>
      </c>
      <c r="N9086" t="str">
        <f>"9/11/2015 9:53:00 AM"</f>
        <v>9/11/2015 9:53:00 AM</v>
      </c>
      <c r="O9086" t="s">
        <v>22400</v>
      </c>
      <c r="T9086" t="s">
        <v>27291</v>
      </c>
    </row>
    <row r="9087" spans="1:20" x14ac:dyDescent="0.25">
      <c r="A9087" t="str">
        <f>"3050506"</f>
        <v>3050506</v>
      </c>
      <c r="B9087" t="s">
        <v>27292</v>
      </c>
      <c r="C9087" t="str">
        <f>"82528977"</f>
        <v>82528977</v>
      </c>
      <c r="D9087" t="s">
        <v>27293</v>
      </c>
      <c r="E9087" t="s">
        <v>27294</v>
      </c>
      <c r="F9087" t="s">
        <v>27295</v>
      </c>
      <c r="I9087" t="s">
        <v>184</v>
      </c>
      <c r="J9087" t="s">
        <v>30</v>
      </c>
      <c r="K9087" t="s">
        <v>185</v>
      </c>
      <c r="M9087" t="s">
        <v>18479</v>
      </c>
      <c r="N9087" t="str">
        <f>"9/1/2015 3:07:00 PM"</f>
        <v>9/1/2015 3:07:00 PM</v>
      </c>
      <c r="O9087" t="s">
        <v>27293</v>
      </c>
      <c r="T9087" t="s">
        <v>27294</v>
      </c>
    </row>
    <row r="9088" spans="1:20" x14ac:dyDescent="0.25">
      <c r="A9088" t="str">
        <f>"3060845"</f>
        <v>3060845</v>
      </c>
      <c r="B9088" t="s">
        <v>27296</v>
      </c>
      <c r="C9088" t="str">
        <f>"8304333"</f>
        <v>8304333</v>
      </c>
      <c r="D9088" t="s">
        <v>27297</v>
      </c>
      <c r="E9088" t="s">
        <v>27298</v>
      </c>
      <c r="F9088" t="s">
        <v>27299</v>
      </c>
      <c r="I9088" t="s">
        <v>184</v>
      </c>
      <c r="J9088" t="s">
        <v>30</v>
      </c>
      <c r="K9088" t="str">
        <f>"27006"</f>
        <v>27006</v>
      </c>
      <c r="M9088" t="s">
        <v>18479</v>
      </c>
      <c r="N9088" t="str">
        <f>"9/1/2015 3:11:00 PM"</f>
        <v>9/1/2015 3:11:00 PM</v>
      </c>
      <c r="O9088" t="s">
        <v>27297</v>
      </c>
      <c r="T9088" t="s">
        <v>27298</v>
      </c>
    </row>
    <row r="9089" spans="1:20" x14ac:dyDescent="0.25">
      <c r="A9089" t="str">
        <f>"3046754"</f>
        <v>3046754</v>
      </c>
      <c r="B9089" t="s">
        <v>27300</v>
      </c>
      <c r="C9089" t="str">
        <f>"82515417"</f>
        <v>82515417</v>
      </c>
      <c r="D9089" t="s">
        <v>27301</v>
      </c>
      <c r="F9089" t="s">
        <v>27302</v>
      </c>
      <c r="I9089" t="s">
        <v>29</v>
      </c>
      <c r="J9089" t="s">
        <v>30</v>
      </c>
      <c r="K9089" t="s">
        <v>19908</v>
      </c>
      <c r="M9089" t="s">
        <v>18479</v>
      </c>
      <c r="N9089" t="str">
        <f>"9/1/2015 3:13:00 PM"</f>
        <v>9/1/2015 3:13:00 PM</v>
      </c>
      <c r="O9089" t="s">
        <v>27301</v>
      </c>
    </row>
    <row r="9090" spans="1:20" x14ac:dyDescent="0.25">
      <c r="A9090" t="str">
        <f>"3061050"</f>
        <v>3061050</v>
      </c>
      <c r="B9090" t="s">
        <v>27303</v>
      </c>
      <c r="C9090" t="str">
        <f>"82525534"</f>
        <v>82525534</v>
      </c>
      <c r="D9090" t="s">
        <v>27304</v>
      </c>
      <c r="E9090" t="s">
        <v>27305</v>
      </c>
      <c r="F9090" t="s">
        <v>27306</v>
      </c>
      <c r="I9090" t="s">
        <v>184</v>
      </c>
      <c r="J9090" t="s">
        <v>30</v>
      </c>
      <c r="K9090" t="s">
        <v>728</v>
      </c>
      <c r="M9090" t="s">
        <v>18479</v>
      </c>
      <c r="N9090" t="str">
        <f>"9/2/2015 10:31:00 AM"</f>
        <v>9/2/2015 10:31:00 AM</v>
      </c>
      <c r="O9090" t="s">
        <v>27304</v>
      </c>
      <c r="T9090" t="s">
        <v>27305</v>
      </c>
    </row>
    <row r="9091" spans="1:20" x14ac:dyDescent="0.25">
      <c r="A9091" t="str">
        <f>"3048595"</f>
        <v>3048595</v>
      </c>
      <c r="B9091" t="s">
        <v>27307</v>
      </c>
      <c r="C9091" t="str">
        <f>"82523283"</f>
        <v>82523283</v>
      </c>
      <c r="D9091" t="s">
        <v>27308</v>
      </c>
      <c r="E9091" t="s">
        <v>27309</v>
      </c>
      <c r="F9091" t="s">
        <v>27310</v>
      </c>
      <c r="I9091" t="s">
        <v>184</v>
      </c>
      <c r="J9091" t="s">
        <v>30</v>
      </c>
      <c r="K9091" t="s">
        <v>27311</v>
      </c>
      <c r="M9091" t="s">
        <v>25625</v>
      </c>
      <c r="N9091" t="str">
        <f>"9/2/2015 11:27:00 AM"</f>
        <v>9/2/2015 11:27:00 AM</v>
      </c>
      <c r="O9091" t="s">
        <v>27308</v>
      </c>
      <c r="T9091" t="s">
        <v>27309</v>
      </c>
    </row>
    <row r="9092" spans="1:20" x14ac:dyDescent="0.25">
      <c r="A9092" t="str">
        <f>"3055977"</f>
        <v>3055977</v>
      </c>
      <c r="B9092" t="s">
        <v>27312</v>
      </c>
      <c r="C9092" t="str">
        <f>"54384000"</f>
        <v>54384000</v>
      </c>
      <c r="D9092" t="s">
        <v>27313</v>
      </c>
      <c r="E9092" t="s">
        <v>27314</v>
      </c>
      <c r="F9092" t="s">
        <v>15748</v>
      </c>
      <c r="I9092" t="s">
        <v>9580</v>
      </c>
      <c r="J9092" t="s">
        <v>30</v>
      </c>
      <c r="K9092" t="s">
        <v>27315</v>
      </c>
      <c r="M9092" t="s">
        <v>18479</v>
      </c>
      <c r="N9092" t="str">
        <f>"9/2/2015 11:53:00 AM"</f>
        <v>9/2/2015 11:53:00 AM</v>
      </c>
      <c r="O9092" t="s">
        <v>27313</v>
      </c>
      <c r="T9092" t="s">
        <v>27314</v>
      </c>
    </row>
    <row r="9093" spans="1:20" x14ac:dyDescent="0.25">
      <c r="A9093" t="str">
        <f>"3051211"</f>
        <v>3051211</v>
      </c>
      <c r="B9093" t="s">
        <v>27316</v>
      </c>
      <c r="C9093" t="str">
        <f>"8304146"</f>
        <v>8304146</v>
      </c>
      <c r="D9093" t="s">
        <v>27317</v>
      </c>
      <c r="F9093" t="s">
        <v>15748</v>
      </c>
      <c r="I9093" t="s">
        <v>15848</v>
      </c>
      <c r="J9093" t="s">
        <v>30</v>
      </c>
      <c r="K9093" t="str">
        <f>"27014"</f>
        <v>27014</v>
      </c>
      <c r="M9093" t="s">
        <v>18479</v>
      </c>
      <c r="N9093" t="str">
        <f>"9/2/2015 11:54:00 AM"</f>
        <v>9/2/2015 11:54:00 AM</v>
      </c>
      <c r="O9093" t="s">
        <v>27317</v>
      </c>
    </row>
    <row r="9094" spans="1:20" x14ac:dyDescent="0.25">
      <c r="A9094" t="str">
        <f>"3047072"</f>
        <v>3047072</v>
      </c>
      <c r="B9094" t="s">
        <v>27318</v>
      </c>
      <c r="C9094" t="str">
        <f>"82517272"</f>
        <v>82517272</v>
      </c>
      <c r="D9094" t="s">
        <v>27182</v>
      </c>
      <c r="E9094" t="s">
        <v>27183</v>
      </c>
      <c r="F9094" t="s">
        <v>27184</v>
      </c>
      <c r="I9094" t="s">
        <v>29</v>
      </c>
      <c r="J9094" t="s">
        <v>30</v>
      </c>
      <c r="K9094" t="s">
        <v>27185</v>
      </c>
      <c r="M9094" t="s">
        <v>18479</v>
      </c>
      <c r="N9094" t="str">
        <f>"9/3/2015 9:57:00 AM"</f>
        <v>9/3/2015 9:57:00 AM</v>
      </c>
      <c r="O9094" t="s">
        <v>27182</v>
      </c>
      <c r="T9094" t="s">
        <v>27183</v>
      </c>
    </row>
    <row r="9095" spans="1:20" x14ac:dyDescent="0.25">
      <c r="A9095" t="str">
        <f>"3046638"</f>
        <v>3046638</v>
      </c>
      <c r="B9095" t="s">
        <v>27319</v>
      </c>
      <c r="C9095" t="str">
        <f>"8302571"</f>
        <v>8302571</v>
      </c>
      <c r="D9095" t="s">
        <v>20548</v>
      </c>
      <c r="F9095" t="s">
        <v>27320</v>
      </c>
      <c r="I9095" t="s">
        <v>184</v>
      </c>
      <c r="J9095" t="s">
        <v>30</v>
      </c>
      <c r="K9095" t="str">
        <f>"27006"</f>
        <v>27006</v>
      </c>
      <c r="M9095" t="s">
        <v>26316</v>
      </c>
      <c r="N9095" t="str">
        <f>"9/4/2015 9:57:00 AM"</f>
        <v>9/4/2015 9:57:00 AM</v>
      </c>
      <c r="O9095" t="s">
        <v>20548</v>
      </c>
    </row>
    <row r="9096" spans="1:20" x14ac:dyDescent="0.25">
      <c r="A9096" t="str">
        <f>"3056995"</f>
        <v>3056995</v>
      </c>
      <c r="B9096" t="s">
        <v>27321</v>
      </c>
      <c r="C9096" t="str">
        <f>"8301850"</f>
        <v>8301850</v>
      </c>
      <c r="D9096" t="s">
        <v>27322</v>
      </c>
      <c r="F9096" t="s">
        <v>27323</v>
      </c>
      <c r="I9096" t="s">
        <v>29</v>
      </c>
      <c r="J9096" t="s">
        <v>30</v>
      </c>
      <c r="K9096" t="str">
        <f>"27028"</f>
        <v>27028</v>
      </c>
      <c r="M9096" t="s">
        <v>18479</v>
      </c>
      <c r="N9096" t="str">
        <f>"9/8/2015 10:23:00 AM"</f>
        <v>9/8/2015 10:23:00 AM</v>
      </c>
      <c r="O9096" t="s">
        <v>27322</v>
      </c>
    </row>
    <row r="9097" spans="1:20" x14ac:dyDescent="0.25">
      <c r="A9097" t="str">
        <f>"3039316"</f>
        <v>3039316</v>
      </c>
      <c r="B9097" t="s">
        <v>27324</v>
      </c>
      <c r="C9097" t="str">
        <f>"8305479"</f>
        <v>8305479</v>
      </c>
      <c r="D9097" t="s">
        <v>27325</v>
      </c>
      <c r="F9097" t="s">
        <v>1646</v>
      </c>
      <c r="I9097" t="s">
        <v>184</v>
      </c>
      <c r="J9097" t="s">
        <v>30</v>
      </c>
      <c r="K9097" t="str">
        <f>"27006"</f>
        <v>27006</v>
      </c>
      <c r="M9097" t="s">
        <v>17861</v>
      </c>
      <c r="N9097" t="str">
        <f>"9/16/2015 10:51:00 AM"</f>
        <v>9/16/2015 10:51:00 AM</v>
      </c>
      <c r="O9097" t="s">
        <v>27325</v>
      </c>
    </row>
    <row r="9098" spans="1:20" x14ac:dyDescent="0.25">
      <c r="A9098" t="str">
        <f>"3037508"</f>
        <v>3037508</v>
      </c>
      <c r="B9098" t="s">
        <v>27326</v>
      </c>
      <c r="C9098" t="str">
        <f>"51729370"</f>
        <v>51729370</v>
      </c>
      <c r="D9098" t="s">
        <v>27327</v>
      </c>
      <c r="F9098" t="s">
        <v>27328</v>
      </c>
      <c r="I9098" t="s">
        <v>49</v>
      </c>
      <c r="J9098" t="s">
        <v>30</v>
      </c>
      <c r="K9098" t="s">
        <v>27329</v>
      </c>
      <c r="M9098" t="s">
        <v>18479</v>
      </c>
      <c r="N9098" t="str">
        <f>"9/8/2015 1:21:00 PM"</f>
        <v>9/8/2015 1:21:00 PM</v>
      </c>
      <c r="O9098" t="s">
        <v>27327</v>
      </c>
    </row>
    <row r="9099" spans="1:20" x14ac:dyDescent="0.25">
      <c r="A9099" t="str">
        <f>"3037579"</f>
        <v>3037579</v>
      </c>
      <c r="B9099" t="s">
        <v>27330</v>
      </c>
      <c r="C9099" t="str">
        <f>"51729370"</f>
        <v>51729370</v>
      </c>
      <c r="D9099" t="s">
        <v>27327</v>
      </c>
      <c r="F9099" t="s">
        <v>27328</v>
      </c>
      <c r="I9099" t="s">
        <v>49</v>
      </c>
      <c r="J9099" t="s">
        <v>30</v>
      </c>
      <c r="K9099" t="s">
        <v>27329</v>
      </c>
      <c r="M9099" t="s">
        <v>18479</v>
      </c>
      <c r="N9099" t="str">
        <f>"9/8/2015 1:21:00 PM"</f>
        <v>9/8/2015 1:21:00 PM</v>
      </c>
      <c r="O9099" t="s">
        <v>27327</v>
      </c>
    </row>
    <row r="9100" spans="1:20" x14ac:dyDescent="0.25">
      <c r="A9100" t="str">
        <f>"3057954"</f>
        <v>3057954</v>
      </c>
      <c r="B9100" t="s">
        <v>27331</v>
      </c>
      <c r="C9100" t="str">
        <f>"51784000"</f>
        <v>51784000</v>
      </c>
      <c r="D9100" t="s">
        <v>27332</v>
      </c>
      <c r="E9100" t="s">
        <v>27333</v>
      </c>
      <c r="F9100" t="s">
        <v>27334</v>
      </c>
      <c r="I9100" t="s">
        <v>184</v>
      </c>
      <c r="J9100" t="s">
        <v>30</v>
      </c>
      <c r="K9100" t="s">
        <v>27335</v>
      </c>
      <c r="M9100" t="s">
        <v>18479</v>
      </c>
      <c r="N9100" t="str">
        <f>"9/8/2015 1:36:00 PM"</f>
        <v>9/8/2015 1:36:00 PM</v>
      </c>
      <c r="O9100" t="s">
        <v>27332</v>
      </c>
      <c r="T9100" t="s">
        <v>27333</v>
      </c>
    </row>
    <row r="9101" spans="1:20" x14ac:dyDescent="0.25">
      <c r="A9101" t="str">
        <f>"3050499"</f>
        <v>3050499</v>
      </c>
      <c r="B9101" t="s">
        <v>27336</v>
      </c>
      <c r="C9101" t="str">
        <f>"82526462"</f>
        <v>82526462</v>
      </c>
      <c r="D9101" t="s">
        <v>27337</v>
      </c>
      <c r="E9101" t="s">
        <v>27338</v>
      </c>
      <c r="F9101" t="s">
        <v>27339</v>
      </c>
      <c r="I9101" t="s">
        <v>184</v>
      </c>
      <c r="J9101" t="s">
        <v>30</v>
      </c>
      <c r="K9101" t="s">
        <v>185</v>
      </c>
      <c r="M9101" t="s">
        <v>18479</v>
      </c>
      <c r="N9101" t="str">
        <f>"9/8/2015 2:20:00 PM"</f>
        <v>9/8/2015 2:20:00 PM</v>
      </c>
      <c r="O9101" t="s">
        <v>27337</v>
      </c>
      <c r="T9101" t="s">
        <v>27338</v>
      </c>
    </row>
    <row r="9102" spans="1:20" x14ac:dyDescent="0.25">
      <c r="A9102" t="str">
        <f>"3053624"</f>
        <v>3053624</v>
      </c>
      <c r="B9102" t="s">
        <v>27340</v>
      </c>
      <c r="C9102" t="str">
        <f>"8303635"</f>
        <v>8303635</v>
      </c>
      <c r="D9102" t="s">
        <v>27237</v>
      </c>
      <c r="F9102" t="s">
        <v>27238</v>
      </c>
      <c r="I9102" t="s">
        <v>184</v>
      </c>
      <c r="J9102" t="s">
        <v>30</v>
      </c>
      <c r="K9102" t="str">
        <f>"27006"</f>
        <v>27006</v>
      </c>
      <c r="M9102" t="s">
        <v>18479</v>
      </c>
      <c r="N9102" t="str">
        <f>"9/8/2015 2:33:00 PM"</f>
        <v>9/8/2015 2:33:00 PM</v>
      </c>
      <c r="O9102" t="s">
        <v>27237</v>
      </c>
    </row>
    <row r="9103" spans="1:20" x14ac:dyDescent="0.25">
      <c r="A9103" t="str">
        <f>"3053250"</f>
        <v>3053250</v>
      </c>
      <c r="B9103" t="s">
        <v>27341</v>
      </c>
      <c r="C9103" t="str">
        <f>"8303635"</f>
        <v>8303635</v>
      </c>
      <c r="D9103" t="s">
        <v>27237</v>
      </c>
      <c r="F9103" t="s">
        <v>27238</v>
      </c>
      <c r="I9103" t="s">
        <v>184</v>
      </c>
      <c r="J9103" t="s">
        <v>30</v>
      </c>
      <c r="K9103" t="str">
        <f>"27006"</f>
        <v>27006</v>
      </c>
      <c r="M9103" t="s">
        <v>18479</v>
      </c>
      <c r="N9103" t="str">
        <f>"9/8/2015 2:33:00 PM"</f>
        <v>9/8/2015 2:33:00 PM</v>
      </c>
      <c r="O9103" t="s">
        <v>27237</v>
      </c>
    </row>
    <row r="9104" spans="1:20" x14ac:dyDescent="0.25">
      <c r="A9104" t="str">
        <f>"3040261"</f>
        <v>3040261</v>
      </c>
      <c r="B9104" t="s">
        <v>27342</v>
      </c>
      <c r="C9104" t="str">
        <f>"8305416"</f>
        <v>8305416</v>
      </c>
      <c r="D9104" t="s">
        <v>27343</v>
      </c>
      <c r="E9104" t="s">
        <v>27344</v>
      </c>
      <c r="F9104" t="s">
        <v>27345</v>
      </c>
      <c r="I9104" t="s">
        <v>184</v>
      </c>
      <c r="J9104" t="s">
        <v>30</v>
      </c>
      <c r="K9104" t="str">
        <f>"27006"</f>
        <v>27006</v>
      </c>
      <c r="M9104" t="s">
        <v>17861</v>
      </c>
      <c r="N9104" t="str">
        <f>"8/31/2015 2:30:00 PM"</f>
        <v>8/31/2015 2:30:00 PM</v>
      </c>
      <c r="O9104" t="s">
        <v>27343</v>
      </c>
      <c r="T9104" t="s">
        <v>27344</v>
      </c>
    </row>
    <row r="9105" spans="1:20" x14ac:dyDescent="0.25">
      <c r="A9105" t="str">
        <f>"3051620"</f>
        <v>3051620</v>
      </c>
      <c r="B9105" t="s">
        <v>27346</v>
      </c>
      <c r="C9105" t="str">
        <f>"8305503"</f>
        <v>8305503</v>
      </c>
      <c r="D9105" t="s">
        <v>27347</v>
      </c>
      <c r="E9105" t="s">
        <v>27348</v>
      </c>
      <c r="F9105" t="s">
        <v>27349</v>
      </c>
      <c r="I9105" t="s">
        <v>29</v>
      </c>
      <c r="J9105" t="s">
        <v>30</v>
      </c>
      <c r="K9105" t="str">
        <f>"27028"</f>
        <v>27028</v>
      </c>
      <c r="M9105" t="s">
        <v>17861</v>
      </c>
      <c r="N9105" t="str">
        <f>"9/23/2015 10:49:00 AM"</f>
        <v>9/23/2015 10:49:00 AM</v>
      </c>
      <c r="O9105" t="s">
        <v>27347</v>
      </c>
      <c r="T9105" t="s">
        <v>27348</v>
      </c>
    </row>
    <row r="9106" spans="1:20" x14ac:dyDescent="0.25">
      <c r="A9106" t="str">
        <f>"3051394"</f>
        <v>3051394</v>
      </c>
      <c r="B9106" t="s">
        <v>27350</v>
      </c>
      <c r="C9106" t="str">
        <f>"8305504"</f>
        <v>8305504</v>
      </c>
      <c r="D9106" t="s">
        <v>27351</v>
      </c>
      <c r="E9106" t="s">
        <v>27352</v>
      </c>
      <c r="F9106" t="s">
        <v>27353</v>
      </c>
      <c r="I9106" t="s">
        <v>29</v>
      </c>
      <c r="J9106" t="s">
        <v>30</v>
      </c>
      <c r="K9106" t="str">
        <f>"27028"</f>
        <v>27028</v>
      </c>
      <c r="M9106" t="s">
        <v>17861</v>
      </c>
      <c r="N9106" t="str">
        <f>"9/23/2015 10:58:00 AM"</f>
        <v>9/23/2015 10:58:00 AM</v>
      </c>
      <c r="O9106" t="s">
        <v>27351</v>
      </c>
      <c r="T9106" t="s">
        <v>27352</v>
      </c>
    </row>
    <row r="9107" spans="1:20" x14ac:dyDescent="0.25">
      <c r="A9107" t="str">
        <f>"3057994"</f>
        <v>3057994</v>
      </c>
      <c r="B9107" t="s">
        <v>27354</v>
      </c>
      <c r="C9107" t="str">
        <f>"82532993"</f>
        <v>82532993</v>
      </c>
      <c r="D9107" t="s">
        <v>27355</v>
      </c>
      <c r="F9107" t="s">
        <v>27356</v>
      </c>
      <c r="I9107" t="s">
        <v>402</v>
      </c>
      <c r="J9107" t="s">
        <v>30</v>
      </c>
      <c r="K9107" t="s">
        <v>403</v>
      </c>
      <c r="M9107" t="s">
        <v>25625</v>
      </c>
      <c r="N9107" t="str">
        <f>"9/10/2015 1:41:00 PM"</f>
        <v>9/10/2015 1:41:00 PM</v>
      </c>
      <c r="O9107" t="s">
        <v>27355</v>
      </c>
    </row>
    <row r="9108" spans="1:20" x14ac:dyDescent="0.25">
      <c r="A9108" t="str">
        <f>"3057785"</f>
        <v>3057785</v>
      </c>
      <c r="B9108" t="s">
        <v>27357</v>
      </c>
      <c r="C9108" t="str">
        <f>"8305510"</f>
        <v>8305510</v>
      </c>
      <c r="D9108" t="s">
        <v>27358</v>
      </c>
      <c r="E9108" t="s">
        <v>27359</v>
      </c>
      <c r="F9108" t="s">
        <v>27360</v>
      </c>
      <c r="I9108" t="s">
        <v>29</v>
      </c>
      <c r="J9108" t="s">
        <v>30</v>
      </c>
      <c r="K9108" t="str">
        <f>"27028"</f>
        <v>27028</v>
      </c>
      <c r="M9108" t="s">
        <v>17861</v>
      </c>
      <c r="N9108" t="str">
        <f>"9/23/2015 2:08:00 PM"</f>
        <v>9/23/2015 2:08:00 PM</v>
      </c>
      <c r="O9108" t="s">
        <v>27358</v>
      </c>
      <c r="T9108" t="s">
        <v>27359</v>
      </c>
    </row>
    <row r="9109" spans="1:20" x14ac:dyDescent="0.25">
      <c r="A9109" t="str">
        <f>"3048719"</f>
        <v>3048719</v>
      </c>
      <c r="B9109" t="s">
        <v>27361</v>
      </c>
      <c r="C9109" t="str">
        <f>"8305511"</f>
        <v>8305511</v>
      </c>
      <c r="D9109" t="s">
        <v>27362</v>
      </c>
      <c r="E9109" t="s">
        <v>27363</v>
      </c>
      <c r="F9109" t="s">
        <v>27364</v>
      </c>
      <c r="I9109" t="s">
        <v>29</v>
      </c>
      <c r="J9109" t="s">
        <v>30</v>
      </c>
      <c r="K9109" t="str">
        <f>"27028"</f>
        <v>27028</v>
      </c>
      <c r="M9109" t="s">
        <v>17861</v>
      </c>
      <c r="N9109" t="str">
        <f>"9/23/2015 2:12:00 PM"</f>
        <v>9/23/2015 2:12:00 PM</v>
      </c>
      <c r="O9109" t="s">
        <v>27362</v>
      </c>
      <c r="T9109" t="s">
        <v>27363</v>
      </c>
    </row>
    <row r="9110" spans="1:20" x14ac:dyDescent="0.25">
      <c r="A9110" t="str">
        <f>"3061888"</f>
        <v>3061888</v>
      </c>
      <c r="B9110" t="s">
        <v>27365</v>
      </c>
      <c r="C9110" t="str">
        <f>"8305516"</f>
        <v>8305516</v>
      </c>
      <c r="D9110" t="s">
        <v>27366</v>
      </c>
      <c r="E9110" t="s">
        <v>27367</v>
      </c>
      <c r="F9110" t="s">
        <v>27368</v>
      </c>
      <c r="I9110" t="s">
        <v>184</v>
      </c>
      <c r="J9110" t="s">
        <v>30</v>
      </c>
      <c r="K9110" t="str">
        <f>"27006"</f>
        <v>27006</v>
      </c>
      <c r="M9110" t="s">
        <v>17861</v>
      </c>
      <c r="N9110" t="str">
        <f>"9/23/2015 4:24:00 PM"</f>
        <v>9/23/2015 4:24:00 PM</v>
      </c>
      <c r="O9110" t="s">
        <v>27366</v>
      </c>
      <c r="T9110" t="s">
        <v>27367</v>
      </c>
    </row>
    <row r="9111" spans="1:20" x14ac:dyDescent="0.25">
      <c r="A9111" t="str">
        <f>"3057017"</f>
        <v>3057017</v>
      </c>
      <c r="B9111" t="s">
        <v>27369</v>
      </c>
      <c r="C9111" t="str">
        <f>"82532993"</f>
        <v>82532993</v>
      </c>
      <c r="D9111" t="s">
        <v>27355</v>
      </c>
      <c r="F9111" t="s">
        <v>27356</v>
      </c>
      <c r="I9111" t="s">
        <v>402</v>
      </c>
      <c r="J9111" t="s">
        <v>30</v>
      </c>
      <c r="K9111" t="s">
        <v>403</v>
      </c>
      <c r="M9111" t="s">
        <v>25625</v>
      </c>
      <c r="N9111" t="str">
        <f>"9/10/2015 1:41:00 PM"</f>
        <v>9/10/2015 1:41:00 PM</v>
      </c>
      <c r="O9111" t="s">
        <v>27355</v>
      </c>
    </row>
    <row r="9112" spans="1:20" x14ac:dyDescent="0.25">
      <c r="A9112" t="str">
        <f>"3057047"</f>
        <v>3057047</v>
      </c>
      <c r="B9112" t="s">
        <v>27370</v>
      </c>
      <c r="C9112" t="str">
        <f>"82532993"</f>
        <v>82532993</v>
      </c>
      <c r="D9112" t="s">
        <v>27355</v>
      </c>
      <c r="F9112" t="s">
        <v>27356</v>
      </c>
      <c r="I9112" t="s">
        <v>402</v>
      </c>
      <c r="J9112" t="s">
        <v>30</v>
      </c>
      <c r="K9112" t="s">
        <v>403</v>
      </c>
      <c r="M9112" t="s">
        <v>25625</v>
      </c>
      <c r="N9112" t="str">
        <f>"9/10/2015 1:41:00 PM"</f>
        <v>9/10/2015 1:41:00 PM</v>
      </c>
      <c r="O9112" t="s">
        <v>27355</v>
      </c>
    </row>
    <row r="9113" spans="1:20" x14ac:dyDescent="0.25">
      <c r="A9113" t="str">
        <f>"3060258"</f>
        <v>3060258</v>
      </c>
      <c r="B9113" t="s">
        <v>27371</v>
      </c>
      <c r="C9113" t="str">
        <f>"8305454"</f>
        <v>8305454</v>
      </c>
      <c r="D9113" t="s">
        <v>27372</v>
      </c>
      <c r="E9113" t="s">
        <v>27373</v>
      </c>
      <c r="F9113" t="s">
        <v>27374</v>
      </c>
      <c r="I9113" t="s">
        <v>184</v>
      </c>
      <c r="J9113" t="s">
        <v>30</v>
      </c>
      <c r="K9113" t="str">
        <f>"27006"</f>
        <v>27006</v>
      </c>
      <c r="M9113" t="s">
        <v>17861</v>
      </c>
      <c r="N9113" t="str">
        <f>"9/10/2015 4:28:00 PM"</f>
        <v>9/10/2015 4:28:00 PM</v>
      </c>
      <c r="O9113" t="s">
        <v>27372</v>
      </c>
      <c r="T9113" t="s">
        <v>27373</v>
      </c>
    </row>
    <row r="9114" spans="1:20" x14ac:dyDescent="0.25">
      <c r="A9114" t="str">
        <f>"3069015"</f>
        <v>3069015</v>
      </c>
      <c r="B9114" t="s">
        <v>27375</v>
      </c>
      <c r="C9114" t="str">
        <f>"8305456"</f>
        <v>8305456</v>
      </c>
      <c r="D9114" t="s">
        <v>27376</v>
      </c>
      <c r="F9114" t="s">
        <v>27377</v>
      </c>
      <c r="I9114" t="s">
        <v>29</v>
      </c>
      <c r="J9114" t="s">
        <v>30</v>
      </c>
      <c r="K9114" t="str">
        <f>"27028"</f>
        <v>27028</v>
      </c>
      <c r="M9114" t="s">
        <v>17861</v>
      </c>
      <c r="N9114" t="str">
        <f>"9/10/2015 4:45:00 PM"</f>
        <v>9/10/2015 4:45:00 PM</v>
      </c>
      <c r="O9114" t="s">
        <v>27376</v>
      </c>
    </row>
    <row r="9115" spans="1:20" x14ac:dyDescent="0.25">
      <c r="A9115" t="str">
        <f>"3060100"</f>
        <v>3060100</v>
      </c>
      <c r="B9115" t="s">
        <v>27378</v>
      </c>
      <c r="C9115" t="str">
        <f>"8303285"</f>
        <v>8303285</v>
      </c>
      <c r="D9115" t="s">
        <v>27379</v>
      </c>
      <c r="E9115" t="s">
        <v>27380</v>
      </c>
      <c r="F9115" t="s">
        <v>27381</v>
      </c>
      <c r="I9115" t="s">
        <v>184</v>
      </c>
      <c r="J9115" t="s">
        <v>30</v>
      </c>
      <c r="K9115" t="str">
        <f>"27006"</f>
        <v>27006</v>
      </c>
      <c r="M9115" t="s">
        <v>18479</v>
      </c>
      <c r="N9115" t="str">
        <f>"9/11/2015 10:38:00 AM"</f>
        <v>9/11/2015 10:38:00 AM</v>
      </c>
      <c r="O9115" t="s">
        <v>27379</v>
      </c>
      <c r="T9115" t="s">
        <v>27380</v>
      </c>
    </row>
    <row r="9116" spans="1:20" x14ac:dyDescent="0.25">
      <c r="A9116" t="str">
        <f>"3077091"</f>
        <v>3077091</v>
      </c>
      <c r="B9116" t="s">
        <v>27382</v>
      </c>
      <c r="C9116" t="str">
        <f>"82530179"</f>
        <v>82530179</v>
      </c>
      <c r="D9116" t="s">
        <v>27383</v>
      </c>
      <c r="F9116" t="s">
        <v>27384</v>
      </c>
      <c r="I9116" t="s">
        <v>29</v>
      </c>
      <c r="J9116" t="s">
        <v>30</v>
      </c>
      <c r="K9116" t="s">
        <v>31</v>
      </c>
      <c r="M9116" t="s">
        <v>17861</v>
      </c>
      <c r="N9116" t="str">
        <f>"9/28/2015 1:27:00 PM"</f>
        <v>9/28/2015 1:27:00 PM</v>
      </c>
      <c r="O9116" t="s">
        <v>27383</v>
      </c>
    </row>
    <row r="9117" spans="1:20" x14ac:dyDescent="0.25">
      <c r="A9117" t="str">
        <f>"3053981"</f>
        <v>3053981</v>
      </c>
      <c r="B9117" t="s">
        <v>27385</v>
      </c>
      <c r="C9117" t="str">
        <f>"46982220"</f>
        <v>46982220</v>
      </c>
      <c r="D9117" t="s">
        <v>27386</v>
      </c>
      <c r="F9117" t="s">
        <v>27387</v>
      </c>
      <c r="I9117" t="s">
        <v>29</v>
      </c>
      <c r="J9117" t="s">
        <v>30</v>
      </c>
      <c r="K9117" t="s">
        <v>27388</v>
      </c>
      <c r="M9117" t="s">
        <v>18479</v>
      </c>
      <c r="N9117" t="str">
        <f>"9/11/2015 3:04:00 PM"</f>
        <v>9/11/2015 3:04:00 PM</v>
      </c>
      <c r="O9117" t="s">
        <v>27386</v>
      </c>
    </row>
    <row r="9118" spans="1:20" x14ac:dyDescent="0.25">
      <c r="A9118" t="str">
        <f>"3055102"</f>
        <v>3055102</v>
      </c>
      <c r="B9118" t="s">
        <v>27389</v>
      </c>
      <c r="C9118" t="str">
        <f>"8305527"</f>
        <v>8305527</v>
      </c>
      <c r="D9118" t="s">
        <v>27390</v>
      </c>
      <c r="F9118" t="s">
        <v>27391</v>
      </c>
      <c r="I9118" t="s">
        <v>29</v>
      </c>
      <c r="J9118" t="s">
        <v>30</v>
      </c>
      <c r="K9118" t="str">
        <f>"27028"</f>
        <v>27028</v>
      </c>
      <c r="M9118" t="s">
        <v>17861</v>
      </c>
      <c r="N9118" t="str">
        <f>"9/28/2015 2:04:00 PM"</f>
        <v>9/28/2015 2:04:00 PM</v>
      </c>
      <c r="O9118" t="s">
        <v>27390</v>
      </c>
    </row>
    <row r="9119" spans="1:20" x14ac:dyDescent="0.25">
      <c r="A9119" t="str">
        <f>"3054746"</f>
        <v>3054746</v>
      </c>
      <c r="B9119" t="s">
        <v>27392</v>
      </c>
      <c r="C9119" t="str">
        <f>"8305537"</f>
        <v>8305537</v>
      </c>
      <c r="D9119" t="s">
        <v>8336</v>
      </c>
      <c r="E9119" t="s">
        <v>27393</v>
      </c>
      <c r="F9119" t="s">
        <v>8337</v>
      </c>
      <c r="I9119" t="s">
        <v>29</v>
      </c>
      <c r="J9119" t="s">
        <v>30</v>
      </c>
      <c r="K9119" t="str">
        <f>"27028"</f>
        <v>27028</v>
      </c>
      <c r="M9119" t="s">
        <v>17861</v>
      </c>
      <c r="N9119" t="str">
        <f>"9/29/2015 9:40:00 AM"</f>
        <v>9/29/2015 9:40:00 AM</v>
      </c>
      <c r="O9119" t="s">
        <v>8336</v>
      </c>
      <c r="T9119" t="s">
        <v>27393</v>
      </c>
    </row>
    <row r="9120" spans="1:20" x14ac:dyDescent="0.25">
      <c r="A9120" t="str">
        <f>"3078181"</f>
        <v>3078181</v>
      </c>
      <c r="B9120" t="s">
        <v>27394</v>
      </c>
      <c r="C9120" t="str">
        <f>"82532179"</f>
        <v>82532179</v>
      </c>
      <c r="D9120" t="s">
        <v>27395</v>
      </c>
      <c r="E9120" t="s">
        <v>27396</v>
      </c>
      <c r="F9120" t="s">
        <v>27397</v>
      </c>
      <c r="I9120" t="s">
        <v>184</v>
      </c>
      <c r="J9120" t="s">
        <v>30</v>
      </c>
      <c r="K9120" t="s">
        <v>185</v>
      </c>
      <c r="M9120" t="s">
        <v>18479</v>
      </c>
      <c r="N9120" t="str">
        <f>"9/14/2015 9:51:00 AM"</f>
        <v>9/14/2015 9:51:00 AM</v>
      </c>
      <c r="O9120" t="s">
        <v>27395</v>
      </c>
      <c r="T9120" t="s">
        <v>27396</v>
      </c>
    </row>
    <row r="9121" spans="1:20" x14ac:dyDescent="0.25">
      <c r="A9121" t="str">
        <f>"3044199"</f>
        <v>3044199</v>
      </c>
      <c r="B9121" t="s">
        <v>27398</v>
      </c>
      <c r="C9121" t="str">
        <f>"48352000"</f>
        <v>48352000</v>
      </c>
      <c r="D9121" t="s">
        <v>27399</v>
      </c>
      <c r="E9121" t="s">
        <v>27400</v>
      </c>
      <c r="F9121" t="s">
        <v>27401</v>
      </c>
      <c r="I9121" t="s">
        <v>184</v>
      </c>
      <c r="J9121" t="s">
        <v>30</v>
      </c>
      <c r="K9121" t="s">
        <v>21169</v>
      </c>
      <c r="M9121" t="s">
        <v>18479</v>
      </c>
      <c r="N9121" t="str">
        <f>"9/14/2015 10:28:00 AM"</f>
        <v>9/14/2015 10:28:00 AM</v>
      </c>
      <c r="O9121" t="s">
        <v>27399</v>
      </c>
      <c r="T9121" t="s">
        <v>27400</v>
      </c>
    </row>
    <row r="9122" spans="1:20" x14ac:dyDescent="0.25">
      <c r="A9122" t="str">
        <f>"3060441"</f>
        <v>3060441</v>
      </c>
      <c r="B9122" t="s">
        <v>27402</v>
      </c>
      <c r="C9122" t="str">
        <f>"8305467"</f>
        <v>8305467</v>
      </c>
      <c r="D9122" t="s">
        <v>27403</v>
      </c>
      <c r="F9122" t="s">
        <v>27404</v>
      </c>
      <c r="I9122" t="s">
        <v>2071</v>
      </c>
      <c r="J9122" t="s">
        <v>30</v>
      </c>
      <c r="K9122" t="str">
        <f>"27006"</f>
        <v>27006</v>
      </c>
      <c r="M9122" t="s">
        <v>17861</v>
      </c>
      <c r="N9122" t="str">
        <f>"9/14/2015 4:51:00 PM"</f>
        <v>9/14/2015 4:51:00 PM</v>
      </c>
      <c r="O9122" t="s">
        <v>27403</v>
      </c>
    </row>
    <row r="9123" spans="1:20" x14ac:dyDescent="0.25">
      <c r="A9123" t="str">
        <f>"3053901"</f>
        <v>3053901</v>
      </c>
      <c r="B9123" t="s">
        <v>27405</v>
      </c>
      <c r="C9123" t="str">
        <f>"82526737"</f>
        <v>82526737</v>
      </c>
      <c r="D9123" t="s">
        <v>27406</v>
      </c>
      <c r="E9123" t="s">
        <v>27407</v>
      </c>
      <c r="F9123" t="s">
        <v>27408</v>
      </c>
      <c r="I9123" t="s">
        <v>29</v>
      </c>
      <c r="J9123" t="s">
        <v>30</v>
      </c>
      <c r="K9123" t="s">
        <v>31</v>
      </c>
      <c r="M9123" t="s">
        <v>25625</v>
      </c>
      <c r="N9123" t="str">
        <f>"10/2/2015 3:38:00 PM"</f>
        <v>10/2/2015 3:38:00 PM</v>
      </c>
      <c r="O9123" t="s">
        <v>27406</v>
      </c>
      <c r="T9123" t="s">
        <v>27407</v>
      </c>
    </row>
    <row r="9124" spans="1:20" x14ac:dyDescent="0.25">
      <c r="A9124" t="str">
        <f>"3045201"</f>
        <v>3045201</v>
      </c>
      <c r="B9124" t="s">
        <v>27409</v>
      </c>
      <c r="C9124" t="str">
        <f>"8305550"</f>
        <v>8305550</v>
      </c>
      <c r="D9124" t="s">
        <v>27410</v>
      </c>
      <c r="E9124" t="s">
        <v>27411</v>
      </c>
      <c r="F9124" t="s">
        <v>15841</v>
      </c>
      <c r="I9124" t="s">
        <v>29</v>
      </c>
      <c r="J9124" t="s">
        <v>30</v>
      </c>
      <c r="K9124" t="str">
        <f>"27028"</f>
        <v>27028</v>
      </c>
      <c r="M9124" t="s">
        <v>17861</v>
      </c>
      <c r="N9124" t="str">
        <f>"10/2/2015 3:50:00 PM"</f>
        <v>10/2/2015 3:50:00 PM</v>
      </c>
      <c r="O9124" t="s">
        <v>27410</v>
      </c>
      <c r="T9124" t="s">
        <v>27411</v>
      </c>
    </row>
    <row r="9125" spans="1:20" x14ac:dyDescent="0.25">
      <c r="A9125" t="str">
        <f>"3042630"</f>
        <v>3042630</v>
      </c>
      <c r="B9125" t="s">
        <v>27412</v>
      </c>
      <c r="C9125" t="str">
        <f>"8305472"</f>
        <v>8305472</v>
      </c>
      <c r="D9125" t="s">
        <v>27413</v>
      </c>
      <c r="E9125" t="s">
        <v>27414</v>
      </c>
      <c r="F9125" t="s">
        <v>27415</v>
      </c>
      <c r="I9125" t="s">
        <v>29</v>
      </c>
      <c r="J9125" t="s">
        <v>30</v>
      </c>
      <c r="K9125" t="str">
        <f>"27028"</f>
        <v>27028</v>
      </c>
      <c r="M9125" t="s">
        <v>17861</v>
      </c>
      <c r="N9125" t="str">
        <f>"9/15/2015 9:15:00 AM"</f>
        <v>9/15/2015 9:15:00 AM</v>
      </c>
      <c r="O9125" t="s">
        <v>27413</v>
      </c>
      <c r="T9125" t="s">
        <v>27414</v>
      </c>
    </row>
    <row r="9126" spans="1:20" x14ac:dyDescent="0.25">
      <c r="A9126" t="str">
        <f>"3042639"</f>
        <v>3042639</v>
      </c>
      <c r="B9126" t="s">
        <v>27416</v>
      </c>
      <c r="C9126" t="str">
        <f>"8305473"</f>
        <v>8305473</v>
      </c>
      <c r="D9126" t="s">
        <v>27417</v>
      </c>
      <c r="E9126" t="s">
        <v>27418</v>
      </c>
      <c r="F9126" t="s">
        <v>27419</v>
      </c>
      <c r="I9126" t="s">
        <v>29</v>
      </c>
      <c r="J9126" t="s">
        <v>30</v>
      </c>
      <c r="K9126" t="str">
        <f>"27028"</f>
        <v>27028</v>
      </c>
      <c r="M9126" t="s">
        <v>17861</v>
      </c>
      <c r="N9126" t="str">
        <f>"9/15/2015 9:21:00 AM"</f>
        <v>9/15/2015 9:21:00 AM</v>
      </c>
      <c r="O9126" t="s">
        <v>27417</v>
      </c>
      <c r="T9126" t="s">
        <v>27418</v>
      </c>
    </row>
    <row r="9127" spans="1:20" x14ac:dyDescent="0.25">
      <c r="A9127" t="str">
        <f>"3050799"</f>
        <v>3050799</v>
      </c>
      <c r="B9127" t="s">
        <v>27420</v>
      </c>
      <c r="C9127" t="str">
        <f>"8305474"</f>
        <v>8305474</v>
      </c>
      <c r="D9127" t="str">
        <f>"HENDRIX GEORGE V/MAXINE R"</f>
        <v>HENDRIX GEORGE V/MAXINE R</v>
      </c>
      <c r="E9127" t="s">
        <v>26960</v>
      </c>
      <c r="F9127" t="s">
        <v>27421</v>
      </c>
      <c r="I9127" t="s">
        <v>184</v>
      </c>
      <c r="J9127" t="s">
        <v>30</v>
      </c>
      <c r="K9127" t="str">
        <f>"27006"</f>
        <v>27006</v>
      </c>
      <c r="M9127" t="s">
        <v>17861</v>
      </c>
      <c r="N9127" t="str">
        <f>"9/15/2015 9:29:00 AM"</f>
        <v>9/15/2015 9:29:00 AM</v>
      </c>
      <c r="O9127" t="str">
        <f>"HENDRIX GEORGE V/MAXINE R"</f>
        <v>HENDRIX GEORGE V/MAXINE R</v>
      </c>
      <c r="T9127" t="s">
        <v>26960</v>
      </c>
    </row>
    <row r="9128" spans="1:20" x14ac:dyDescent="0.25">
      <c r="A9128" t="str">
        <f>"3044743"</f>
        <v>3044743</v>
      </c>
      <c r="B9128" t="s">
        <v>27422</v>
      </c>
      <c r="C9128" t="str">
        <f>"82526963"</f>
        <v>82526963</v>
      </c>
      <c r="D9128" t="s">
        <v>27423</v>
      </c>
      <c r="E9128" t="s">
        <v>27424</v>
      </c>
      <c r="F9128" t="s">
        <v>27425</v>
      </c>
      <c r="I9128" t="s">
        <v>184</v>
      </c>
      <c r="J9128" t="s">
        <v>30</v>
      </c>
      <c r="K9128" t="s">
        <v>185</v>
      </c>
      <c r="M9128" t="s">
        <v>25625</v>
      </c>
      <c r="N9128" t="str">
        <f>"9/15/2015 9:41:00 AM"</f>
        <v>9/15/2015 9:41:00 AM</v>
      </c>
      <c r="O9128" t="s">
        <v>27423</v>
      </c>
      <c r="T9128" t="s">
        <v>27424</v>
      </c>
    </row>
    <row r="9129" spans="1:20" x14ac:dyDescent="0.25">
      <c r="A9129" t="str">
        <f>"3044389"</f>
        <v>3044389</v>
      </c>
      <c r="B9129" t="s">
        <v>27426</v>
      </c>
      <c r="C9129" t="str">
        <f>"8305581"</f>
        <v>8305581</v>
      </c>
      <c r="D9129" t="s">
        <v>27427</v>
      </c>
      <c r="E9129" t="s">
        <v>27428</v>
      </c>
      <c r="F9129" t="s">
        <v>27429</v>
      </c>
      <c r="I9129" t="s">
        <v>184</v>
      </c>
      <c r="J9129" t="s">
        <v>30</v>
      </c>
      <c r="K9129" t="str">
        <f>"27006"</f>
        <v>27006</v>
      </c>
      <c r="M9129" t="s">
        <v>17861</v>
      </c>
      <c r="N9129" t="str">
        <f>"10/6/2015 9:32:00 AM"</f>
        <v>10/6/2015 9:32:00 AM</v>
      </c>
      <c r="O9129" t="s">
        <v>27427</v>
      </c>
      <c r="T9129" t="s">
        <v>27428</v>
      </c>
    </row>
    <row r="9130" spans="1:20" x14ac:dyDescent="0.25">
      <c r="A9130" t="str">
        <f>"3039414"</f>
        <v>3039414</v>
      </c>
      <c r="B9130" t="s">
        <v>27430</v>
      </c>
      <c r="C9130" t="str">
        <f>"8305479"</f>
        <v>8305479</v>
      </c>
      <c r="D9130" t="s">
        <v>27325</v>
      </c>
      <c r="F9130" t="s">
        <v>1646</v>
      </c>
      <c r="I9130" t="s">
        <v>184</v>
      </c>
      <c r="J9130" t="s">
        <v>30</v>
      </c>
      <c r="K9130" t="str">
        <f>"27006"</f>
        <v>27006</v>
      </c>
      <c r="M9130" t="s">
        <v>17861</v>
      </c>
      <c r="N9130" t="str">
        <f>"9/16/2015 10:51:00 AM"</f>
        <v>9/16/2015 10:51:00 AM</v>
      </c>
      <c r="O9130" t="s">
        <v>27325</v>
      </c>
    </row>
    <row r="9131" spans="1:20" x14ac:dyDescent="0.25">
      <c r="A9131" t="str">
        <f>"3051896"</f>
        <v>3051896</v>
      </c>
      <c r="B9131" t="s">
        <v>27431</v>
      </c>
      <c r="C9131" t="str">
        <f>"82530122"</f>
        <v>82530122</v>
      </c>
      <c r="D9131" t="s">
        <v>27432</v>
      </c>
      <c r="F9131" t="s">
        <v>27433</v>
      </c>
      <c r="I9131" t="s">
        <v>29</v>
      </c>
      <c r="J9131" t="s">
        <v>30</v>
      </c>
      <c r="K9131" t="s">
        <v>31</v>
      </c>
      <c r="M9131" t="s">
        <v>25733</v>
      </c>
      <c r="N9131" t="str">
        <f>"9/17/2015 1:49:00 PM"</f>
        <v>9/17/2015 1:49:00 PM</v>
      </c>
      <c r="O9131" t="s">
        <v>27432</v>
      </c>
    </row>
    <row r="9132" spans="1:20" x14ac:dyDescent="0.25">
      <c r="A9132" t="str">
        <f>"3060274"</f>
        <v>3060274</v>
      </c>
      <c r="B9132" t="s">
        <v>27434</v>
      </c>
      <c r="C9132" t="str">
        <f>"8305485"</f>
        <v>8305485</v>
      </c>
      <c r="D9132" t="s">
        <v>27435</v>
      </c>
      <c r="E9132" t="s">
        <v>27436</v>
      </c>
      <c r="F9132" t="s">
        <v>27437</v>
      </c>
      <c r="I9132" t="s">
        <v>184</v>
      </c>
      <c r="J9132" t="s">
        <v>30</v>
      </c>
      <c r="K9132" t="str">
        <f>"27006"</f>
        <v>27006</v>
      </c>
      <c r="M9132" t="s">
        <v>17861</v>
      </c>
      <c r="N9132" t="str">
        <f>"9/18/2015 4:30:00 PM"</f>
        <v>9/18/2015 4:30:00 PM</v>
      </c>
      <c r="O9132" t="s">
        <v>27435</v>
      </c>
      <c r="T9132" t="s">
        <v>27436</v>
      </c>
    </row>
    <row r="9133" spans="1:20" x14ac:dyDescent="0.25">
      <c r="A9133" t="str">
        <f>"3046677"</f>
        <v>3046677</v>
      </c>
      <c r="B9133" t="s">
        <v>27438</v>
      </c>
      <c r="C9133" t="str">
        <f>"8305498"</f>
        <v>8305498</v>
      </c>
      <c r="D9133" t="s">
        <v>27439</v>
      </c>
      <c r="F9133" t="s">
        <v>27440</v>
      </c>
      <c r="I9133" t="s">
        <v>29</v>
      </c>
      <c r="J9133" t="s">
        <v>30</v>
      </c>
      <c r="K9133" t="str">
        <f>"27028"</f>
        <v>27028</v>
      </c>
      <c r="M9133" t="s">
        <v>17861</v>
      </c>
      <c r="N9133" t="str">
        <f>"9/21/2015 4:09:00 PM"</f>
        <v>9/21/2015 4:09:00 PM</v>
      </c>
      <c r="O9133" t="s">
        <v>27439</v>
      </c>
    </row>
    <row r="9134" spans="1:20" x14ac:dyDescent="0.25">
      <c r="A9134" t="str">
        <f>"3047032"</f>
        <v>3047032</v>
      </c>
      <c r="B9134" t="s">
        <v>27441</v>
      </c>
      <c r="C9134" t="str">
        <f>"8305498"</f>
        <v>8305498</v>
      </c>
      <c r="D9134" t="s">
        <v>27439</v>
      </c>
      <c r="F9134" t="s">
        <v>27440</v>
      </c>
      <c r="I9134" t="s">
        <v>29</v>
      </c>
      <c r="J9134" t="s">
        <v>30</v>
      </c>
      <c r="K9134" t="str">
        <f>"27028"</f>
        <v>27028</v>
      </c>
      <c r="M9134" t="s">
        <v>17861</v>
      </c>
      <c r="N9134" t="str">
        <f>"9/21/2015 4:09:00 PM"</f>
        <v>9/21/2015 4:09:00 PM</v>
      </c>
      <c r="O9134" t="s">
        <v>27439</v>
      </c>
    </row>
    <row r="9135" spans="1:20" x14ac:dyDescent="0.25">
      <c r="A9135" t="str">
        <f>"3048525"</f>
        <v>3048525</v>
      </c>
      <c r="B9135" t="s">
        <v>27442</v>
      </c>
      <c r="C9135" t="str">
        <f>"82520971"</f>
        <v>82520971</v>
      </c>
      <c r="D9135" t="s">
        <v>27443</v>
      </c>
      <c r="F9135" t="s">
        <v>27444</v>
      </c>
      <c r="I9135" t="s">
        <v>29</v>
      </c>
      <c r="J9135" t="s">
        <v>30</v>
      </c>
      <c r="K9135" t="str">
        <f>"27028"</f>
        <v>27028</v>
      </c>
      <c r="M9135" t="s">
        <v>27053</v>
      </c>
      <c r="N9135" t="str">
        <f>"9/22/2015 2:54:00 PM"</f>
        <v>9/22/2015 2:54:00 PM</v>
      </c>
      <c r="O9135" t="s">
        <v>27443</v>
      </c>
    </row>
    <row r="9136" spans="1:20" x14ac:dyDescent="0.25">
      <c r="A9136" t="str">
        <f>"3048717"</f>
        <v>3048717</v>
      </c>
      <c r="B9136" t="s">
        <v>27445</v>
      </c>
      <c r="C9136" t="str">
        <f>"8305502"</f>
        <v>8305502</v>
      </c>
      <c r="D9136" t="s">
        <v>27446</v>
      </c>
      <c r="F9136" t="s">
        <v>27447</v>
      </c>
      <c r="I9136" t="s">
        <v>29</v>
      </c>
      <c r="J9136" t="s">
        <v>30</v>
      </c>
      <c r="K9136" t="str">
        <f>"27028"</f>
        <v>27028</v>
      </c>
      <c r="M9136" t="s">
        <v>17861</v>
      </c>
      <c r="N9136" t="str">
        <f>"9/22/2015 4:53:00 PM"</f>
        <v>9/22/2015 4:53:00 PM</v>
      </c>
      <c r="O9136" t="s">
        <v>27446</v>
      </c>
    </row>
    <row r="9137" spans="1:20" x14ac:dyDescent="0.25">
      <c r="A9137" t="str">
        <f>"3051358"</f>
        <v>3051358</v>
      </c>
      <c r="B9137" t="s">
        <v>27448</v>
      </c>
      <c r="C9137" t="str">
        <f>"8305503"</f>
        <v>8305503</v>
      </c>
      <c r="D9137" t="s">
        <v>27347</v>
      </c>
      <c r="E9137" t="s">
        <v>27348</v>
      </c>
      <c r="F9137" t="s">
        <v>27349</v>
      </c>
      <c r="I9137" t="s">
        <v>29</v>
      </c>
      <c r="J9137" t="s">
        <v>30</v>
      </c>
      <c r="K9137" t="str">
        <f>"27028"</f>
        <v>27028</v>
      </c>
      <c r="M9137" t="s">
        <v>17861</v>
      </c>
      <c r="N9137" t="str">
        <f>"9/23/2015 10:49:00 AM"</f>
        <v>9/23/2015 10:49:00 AM</v>
      </c>
      <c r="O9137" t="s">
        <v>27347</v>
      </c>
      <c r="T9137" t="s">
        <v>27348</v>
      </c>
    </row>
    <row r="9138" spans="1:20" x14ac:dyDescent="0.25">
      <c r="A9138" t="str">
        <f>"3040522"</f>
        <v>3040522</v>
      </c>
      <c r="B9138" t="s">
        <v>27449</v>
      </c>
      <c r="C9138" t="str">
        <f>"8304473"</f>
        <v>8304473</v>
      </c>
      <c r="D9138" t="s">
        <v>27450</v>
      </c>
      <c r="F9138" t="s">
        <v>27451</v>
      </c>
      <c r="I9138" t="s">
        <v>184</v>
      </c>
      <c r="J9138" t="s">
        <v>30</v>
      </c>
      <c r="K9138" t="str">
        <f>"27006"</f>
        <v>27006</v>
      </c>
      <c r="M9138" t="s">
        <v>18479</v>
      </c>
      <c r="N9138" t="str">
        <f>"9/9/2015 1:23:00 PM"</f>
        <v>9/9/2015 1:23:00 PM</v>
      </c>
      <c r="O9138" t="s">
        <v>27450</v>
      </c>
    </row>
    <row r="9139" spans="1:20" x14ac:dyDescent="0.25">
      <c r="A9139" t="str">
        <f>"3042375"</f>
        <v>3042375</v>
      </c>
      <c r="B9139" t="s">
        <v>27452</v>
      </c>
      <c r="C9139" t="str">
        <f>"8305597"</f>
        <v>8305597</v>
      </c>
      <c r="D9139" t="s">
        <v>27453</v>
      </c>
      <c r="E9139" t="s">
        <v>27454</v>
      </c>
      <c r="F9139" t="s">
        <v>27455</v>
      </c>
      <c r="I9139" t="s">
        <v>184</v>
      </c>
      <c r="J9139" t="s">
        <v>30</v>
      </c>
      <c r="K9139" t="str">
        <f>"27006"</f>
        <v>27006</v>
      </c>
      <c r="M9139" t="s">
        <v>17861</v>
      </c>
      <c r="N9139" t="str">
        <f>"10/12/2015 10:49:00 AM"</f>
        <v>10/12/2015 10:49:00 AM</v>
      </c>
      <c r="O9139" t="s">
        <v>27453</v>
      </c>
      <c r="T9139" t="s">
        <v>27454</v>
      </c>
    </row>
    <row r="9140" spans="1:20" x14ac:dyDescent="0.25">
      <c r="A9140" t="str">
        <f>"3053798"</f>
        <v>3053798</v>
      </c>
      <c r="B9140" t="s">
        <v>27456</v>
      </c>
      <c r="C9140" t="str">
        <f>"8305449"</f>
        <v>8305449</v>
      </c>
      <c r="D9140" t="s">
        <v>27457</v>
      </c>
      <c r="F9140" t="s">
        <v>27458</v>
      </c>
      <c r="I9140" t="s">
        <v>29</v>
      </c>
      <c r="J9140" t="s">
        <v>30</v>
      </c>
      <c r="K9140" t="str">
        <f>"27028"</f>
        <v>27028</v>
      </c>
      <c r="M9140" t="s">
        <v>17861</v>
      </c>
      <c r="N9140" t="str">
        <f>"9/9/2015 2:08:00 PM"</f>
        <v>9/9/2015 2:08:00 PM</v>
      </c>
      <c r="O9140" t="s">
        <v>27457</v>
      </c>
    </row>
    <row r="9141" spans="1:20" x14ac:dyDescent="0.25">
      <c r="A9141" t="str">
        <f>"3042355"</f>
        <v>3042355</v>
      </c>
      <c r="B9141" t="s">
        <v>27459</v>
      </c>
      <c r="C9141" t="str">
        <f>"8305518"</f>
        <v>8305518</v>
      </c>
      <c r="D9141" t="s">
        <v>27460</v>
      </c>
      <c r="F9141" t="s">
        <v>27461</v>
      </c>
      <c r="I9141" t="s">
        <v>184</v>
      </c>
      <c r="J9141" t="s">
        <v>30</v>
      </c>
      <c r="K9141" t="str">
        <f>"27006"</f>
        <v>27006</v>
      </c>
      <c r="M9141" t="s">
        <v>17861</v>
      </c>
      <c r="N9141" t="str">
        <f>"9/23/2015 4:37:00 PM"</f>
        <v>9/23/2015 4:37:00 PM</v>
      </c>
      <c r="O9141" t="s">
        <v>27460</v>
      </c>
    </row>
    <row r="9142" spans="1:20" x14ac:dyDescent="0.25">
      <c r="A9142" t="str">
        <f>"3060365"</f>
        <v>3060365</v>
      </c>
      <c r="B9142" t="s">
        <v>27462</v>
      </c>
      <c r="C9142" t="str">
        <f>"82529273"</f>
        <v>82529273</v>
      </c>
      <c r="D9142" t="s">
        <v>27463</v>
      </c>
      <c r="E9142" t="s">
        <v>27464</v>
      </c>
      <c r="F9142" t="s">
        <v>27465</v>
      </c>
      <c r="I9142" t="s">
        <v>29</v>
      </c>
      <c r="J9142" t="s">
        <v>30</v>
      </c>
      <c r="K9142" t="s">
        <v>31</v>
      </c>
      <c r="M9142" t="s">
        <v>25625</v>
      </c>
      <c r="N9142" t="str">
        <f>"9/24/2015 12:30:00 PM"</f>
        <v>9/24/2015 12:30:00 PM</v>
      </c>
      <c r="O9142" t="s">
        <v>27463</v>
      </c>
      <c r="T9142" t="s">
        <v>27464</v>
      </c>
    </row>
    <row r="9143" spans="1:20" x14ac:dyDescent="0.25">
      <c r="A9143" t="str">
        <f>"3070328"</f>
        <v>3070328</v>
      </c>
      <c r="B9143" t="s">
        <v>27466</v>
      </c>
      <c r="C9143" t="str">
        <f>"8305606"</f>
        <v>8305606</v>
      </c>
      <c r="D9143" t="s">
        <v>27467</v>
      </c>
      <c r="F9143" t="s">
        <v>27468</v>
      </c>
      <c r="I9143" t="s">
        <v>964</v>
      </c>
      <c r="J9143" t="s">
        <v>30</v>
      </c>
      <c r="K9143" t="str">
        <f>"28144"</f>
        <v>28144</v>
      </c>
      <c r="M9143" t="s">
        <v>17861</v>
      </c>
      <c r="N9143" t="str">
        <f>"10/12/2015 12:48:00 PM"</f>
        <v>10/12/2015 12:48:00 PM</v>
      </c>
      <c r="O9143" t="s">
        <v>27467</v>
      </c>
    </row>
    <row r="9144" spans="1:20" x14ac:dyDescent="0.25">
      <c r="A9144" t="str">
        <f>"3056042"</f>
        <v>3056042</v>
      </c>
      <c r="B9144" t="s">
        <v>27469</v>
      </c>
      <c r="C9144" t="str">
        <f>"8305606"</f>
        <v>8305606</v>
      </c>
      <c r="D9144" t="s">
        <v>27467</v>
      </c>
      <c r="F9144" t="s">
        <v>27468</v>
      </c>
      <c r="I9144" t="s">
        <v>964</v>
      </c>
      <c r="J9144" t="s">
        <v>30</v>
      </c>
      <c r="K9144" t="str">
        <f>"28144"</f>
        <v>28144</v>
      </c>
      <c r="M9144" t="s">
        <v>17861</v>
      </c>
      <c r="N9144" t="str">
        <f>"10/12/2015 12:48:00 PM"</f>
        <v>10/12/2015 12:48:00 PM</v>
      </c>
      <c r="O9144" t="s">
        <v>27467</v>
      </c>
    </row>
    <row r="9145" spans="1:20" x14ac:dyDescent="0.25">
      <c r="A9145" t="str">
        <f>"3062601"</f>
        <v>3062601</v>
      </c>
      <c r="B9145" t="s">
        <v>27470</v>
      </c>
      <c r="C9145" t="str">
        <f>"49656250"</f>
        <v>49656250</v>
      </c>
      <c r="D9145" t="s">
        <v>27471</v>
      </c>
      <c r="F9145" t="s">
        <v>27472</v>
      </c>
      <c r="I9145" t="s">
        <v>184</v>
      </c>
      <c r="J9145" t="s">
        <v>30</v>
      </c>
      <c r="K9145" t="s">
        <v>2174</v>
      </c>
      <c r="M9145" t="s">
        <v>25494</v>
      </c>
      <c r="N9145" t="str">
        <f>"9/25/2015 11:27:00 AM"</f>
        <v>9/25/2015 11:27:00 AM</v>
      </c>
      <c r="O9145" t="s">
        <v>27471</v>
      </c>
    </row>
    <row r="9146" spans="1:20" x14ac:dyDescent="0.25">
      <c r="A9146" t="str">
        <f>"3051839"</f>
        <v>3051839</v>
      </c>
      <c r="B9146" t="s">
        <v>27473</v>
      </c>
      <c r="C9146" t="str">
        <f>"8305520"</f>
        <v>8305520</v>
      </c>
      <c r="D9146" t="s">
        <v>27474</v>
      </c>
      <c r="F9146" t="s">
        <v>27475</v>
      </c>
      <c r="I9146" t="s">
        <v>471</v>
      </c>
      <c r="J9146" t="s">
        <v>30</v>
      </c>
      <c r="K9146" t="str">
        <f>"27120"</f>
        <v>27120</v>
      </c>
      <c r="M9146" t="s">
        <v>17861</v>
      </c>
      <c r="N9146" t="str">
        <f>"9/28/2015 11:25:00 AM"</f>
        <v>9/28/2015 11:25:00 AM</v>
      </c>
      <c r="O9146" t="s">
        <v>27474</v>
      </c>
    </row>
    <row r="9147" spans="1:20" x14ac:dyDescent="0.25">
      <c r="A9147" t="str">
        <f>"3051840"</f>
        <v>3051840</v>
      </c>
      <c r="B9147" t="s">
        <v>27476</v>
      </c>
      <c r="C9147" t="str">
        <f>"8305520"</f>
        <v>8305520</v>
      </c>
      <c r="D9147" t="s">
        <v>27474</v>
      </c>
      <c r="F9147" t="s">
        <v>27475</v>
      </c>
      <c r="I9147" t="s">
        <v>471</v>
      </c>
      <c r="J9147" t="s">
        <v>30</v>
      </c>
      <c r="K9147" t="str">
        <f>"27120"</f>
        <v>27120</v>
      </c>
      <c r="M9147" t="s">
        <v>17861</v>
      </c>
      <c r="N9147" t="str">
        <f>"9/28/2015 11:25:00 AM"</f>
        <v>9/28/2015 11:25:00 AM</v>
      </c>
      <c r="O9147" t="s">
        <v>27474</v>
      </c>
    </row>
    <row r="9148" spans="1:20" x14ac:dyDescent="0.25">
      <c r="A9148" t="str">
        <f>"3052501"</f>
        <v>3052501</v>
      </c>
      <c r="B9148" t="s">
        <v>27477</v>
      </c>
      <c r="C9148" t="str">
        <f>"8305526"</f>
        <v>8305526</v>
      </c>
      <c r="D9148" t="s">
        <v>27478</v>
      </c>
      <c r="F9148" t="s">
        <v>27479</v>
      </c>
      <c r="I9148" t="s">
        <v>1107</v>
      </c>
      <c r="J9148" t="s">
        <v>30</v>
      </c>
      <c r="K9148" t="str">
        <f>"28677"</f>
        <v>28677</v>
      </c>
      <c r="M9148" t="s">
        <v>17861</v>
      </c>
      <c r="N9148" t="str">
        <f>"9/28/2015 1:57:00 PM"</f>
        <v>9/28/2015 1:57:00 PM</v>
      </c>
      <c r="O9148" t="s">
        <v>27478</v>
      </c>
    </row>
    <row r="9149" spans="1:20" x14ac:dyDescent="0.25">
      <c r="A9149" t="str">
        <f>"3043462"</f>
        <v>3043462</v>
      </c>
      <c r="B9149" t="s">
        <v>27480</v>
      </c>
      <c r="C9149" t="str">
        <f>"8305540"</f>
        <v>8305540</v>
      </c>
      <c r="D9149" t="s">
        <v>27481</v>
      </c>
      <c r="E9149" t="s">
        <v>27482</v>
      </c>
      <c r="F9149" t="s">
        <v>27483</v>
      </c>
      <c r="I9149" t="s">
        <v>29</v>
      </c>
      <c r="J9149" t="s">
        <v>30</v>
      </c>
      <c r="K9149" t="str">
        <f>"27028"</f>
        <v>27028</v>
      </c>
      <c r="M9149" t="s">
        <v>17861</v>
      </c>
      <c r="N9149" t="str">
        <f>"9/30/2015 11:06:00 AM"</f>
        <v>9/30/2015 11:06:00 AM</v>
      </c>
      <c r="O9149" t="s">
        <v>27481</v>
      </c>
      <c r="T9149" t="s">
        <v>27482</v>
      </c>
    </row>
    <row r="9150" spans="1:20" x14ac:dyDescent="0.25">
      <c r="A9150" t="str">
        <f>"3045003"</f>
        <v>3045003</v>
      </c>
      <c r="B9150" t="s">
        <v>27484</v>
      </c>
      <c r="C9150" t="str">
        <f>"8305544"</f>
        <v>8305544</v>
      </c>
      <c r="D9150" t="s">
        <v>27485</v>
      </c>
      <c r="F9150" t="s">
        <v>9625</v>
      </c>
      <c r="I9150" t="s">
        <v>29</v>
      </c>
      <c r="J9150" t="s">
        <v>30</v>
      </c>
      <c r="K9150" t="str">
        <f>"27028"</f>
        <v>27028</v>
      </c>
      <c r="M9150" t="s">
        <v>17861</v>
      </c>
      <c r="N9150" t="str">
        <f>"10/2/2015 11:23:00 AM"</f>
        <v>10/2/2015 11:23:00 AM</v>
      </c>
      <c r="O9150" t="s">
        <v>27485</v>
      </c>
    </row>
    <row r="9151" spans="1:20" x14ac:dyDescent="0.25">
      <c r="A9151" t="str">
        <f>"3056985"</f>
        <v>3056985</v>
      </c>
      <c r="B9151" t="s">
        <v>27486</v>
      </c>
      <c r="C9151" t="str">
        <f>"8305621"</f>
        <v>8305621</v>
      </c>
      <c r="D9151" t="s">
        <v>27487</v>
      </c>
      <c r="E9151" t="s">
        <v>27488</v>
      </c>
      <c r="F9151" t="s">
        <v>27489</v>
      </c>
      <c r="I9151" t="s">
        <v>29</v>
      </c>
      <c r="J9151" t="s">
        <v>30</v>
      </c>
      <c r="K9151" t="str">
        <f>"27028"</f>
        <v>27028</v>
      </c>
      <c r="M9151" t="s">
        <v>17861</v>
      </c>
      <c r="N9151" t="str">
        <f>"10/19/2015 10:07:00 AM"</f>
        <v>10/19/2015 10:07:00 AM</v>
      </c>
      <c r="O9151" t="s">
        <v>27487</v>
      </c>
      <c r="T9151" t="s">
        <v>27488</v>
      </c>
    </row>
    <row r="9152" spans="1:20" x14ac:dyDescent="0.25">
      <c r="A9152" t="str">
        <f>"3041592"</f>
        <v>3041592</v>
      </c>
      <c r="B9152" t="s">
        <v>27490</v>
      </c>
      <c r="C9152" t="str">
        <f>"8304088"</f>
        <v>8304088</v>
      </c>
      <c r="D9152" t="s">
        <v>27491</v>
      </c>
      <c r="E9152" t="s">
        <v>27492</v>
      </c>
      <c r="F9152" t="s">
        <v>27493</v>
      </c>
      <c r="I9152" t="s">
        <v>2071</v>
      </c>
      <c r="J9152" t="s">
        <v>30</v>
      </c>
      <c r="K9152" t="str">
        <f>"27006"</f>
        <v>27006</v>
      </c>
      <c r="M9152" t="s">
        <v>25625</v>
      </c>
      <c r="N9152" t="str">
        <f>"10/2/2015 2:12:00 PM"</f>
        <v>10/2/2015 2:12:00 PM</v>
      </c>
      <c r="O9152" t="s">
        <v>27491</v>
      </c>
      <c r="T9152" t="s">
        <v>27492</v>
      </c>
    </row>
    <row r="9153" spans="1:20" x14ac:dyDescent="0.25">
      <c r="A9153" t="str">
        <f>"3045535"</f>
        <v>3045535</v>
      </c>
      <c r="B9153" t="s">
        <v>27494</v>
      </c>
      <c r="C9153" t="str">
        <f>"8305570"</f>
        <v>8305570</v>
      </c>
      <c r="D9153" t="s">
        <v>9373</v>
      </c>
      <c r="E9153" t="s">
        <v>9374</v>
      </c>
      <c r="F9153" t="s">
        <v>27495</v>
      </c>
      <c r="I9153" t="s">
        <v>29</v>
      </c>
      <c r="J9153" t="s">
        <v>30</v>
      </c>
      <c r="K9153" t="str">
        <f>"27028"</f>
        <v>27028</v>
      </c>
      <c r="M9153" t="s">
        <v>17861</v>
      </c>
      <c r="N9153" t="str">
        <f>"10/5/2015 3:33:00 PM"</f>
        <v>10/5/2015 3:33:00 PM</v>
      </c>
      <c r="O9153" t="s">
        <v>9373</v>
      </c>
      <c r="T9153" t="s">
        <v>9374</v>
      </c>
    </row>
    <row r="9154" spans="1:20" x14ac:dyDescent="0.25">
      <c r="A9154" t="str">
        <f>"3060499"</f>
        <v>3060499</v>
      </c>
      <c r="B9154" t="s">
        <v>27496</v>
      </c>
      <c r="C9154" t="str">
        <f>"8305577"</f>
        <v>8305577</v>
      </c>
      <c r="D9154" t="s">
        <v>27497</v>
      </c>
      <c r="E9154" t="s">
        <v>27498</v>
      </c>
      <c r="F9154" t="s">
        <v>27499</v>
      </c>
      <c r="I9154" t="s">
        <v>184</v>
      </c>
      <c r="J9154" t="s">
        <v>30</v>
      </c>
      <c r="K9154" t="str">
        <f>"27006"</f>
        <v>27006</v>
      </c>
      <c r="M9154" t="s">
        <v>17861</v>
      </c>
      <c r="N9154" t="str">
        <f>"10/5/2015 4:43:00 PM"</f>
        <v>10/5/2015 4:43:00 PM</v>
      </c>
      <c r="O9154" t="s">
        <v>27497</v>
      </c>
      <c r="T9154" t="s">
        <v>27498</v>
      </c>
    </row>
    <row r="9155" spans="1:20" x14ac:dyDescent="0.25">
      <c r="A9155" t="str">
        <f>"3048866"</f>
        <v>3048866</v>
      </c>
      <c r="B9155" t="s">
        <v>27500</v>
      </c>
      <c r="C9155" t="str">
        <f>"8305578"</f>
        <v>8305578</v>
      </c>
      <c r="D9155" t="s">
        <v>27501</v>
      </c>
      <c r="E9155" t="s">
        <v>27502</v>
      </c>
      <c r="F9155" t="s">
        <v>27503</v>
      </c>
      <c r="I9155" t="s">
        <v>29</v>
      </c>
      <c r="J9155" t="s">
        <v>30</v>
      </c>
      <c r="K9155" t="str">
        <f>"27028"</f>
        <v>27028</v>
      </c>
      <c r="M9155" t="s">
        <v>17861</v>
      </c>
      <c r="N9155" t="str">
        <f>"10/5/2015 4:45:00 PM"</f>
        <v>10/5/2015 4:45:00 PM</v>
      </c>
      <c r="O9155" t="s">
        <v>27501</v>
      </c>
      <c r="T9155" t="s">
        <v>27502</v>
      </c>
    </row>
    <row r="9156" spans="1:20" x14ac:dyDescent="0.25">
      <c r="A9156" t="str">
        <f>"3064014"</f>
        <v>3064014</v>
      </c>
      <c r="B9156" t="s">
        <v>27504</v>
      </c>
      <c r="C9156" t="str">
        <f>"8305580"</f>
        <v>8305580</v>
      </c>
      <c r="D9156" t="s">
        <v>27505</v>
      </c>
      <c r="F9156" t="s">
        <v>27506</v>
      </c>
      <c r="I9156" t="s">
        <v>184</v>
      </c>
      <c r="J9156" t="s">
        <v>30</v>
      </c>
      <c r="K9156" t="str">
        <f>"27006"</f>
        <v>27006</v>
      </c>
      <c r="M9156" t="s">
        <v>17861</v>
      </c>
      <c r="N9156" t="str">
        <f>"10/5/2015 4:54:00 PM"</f>
        <v>10/5/2015 4:54:00 PM</v>
      </c>
      <c r="O9156" t="s">
        <v>27505</v>
      </c>
    </row>
    <row r="9157" spans="1:20" x14ac:dyDescent="0.25">
      <c r="A9157" t="str">
        <f>"3044054"</f>
        <v>3044054</v>
      </c>
      <c r="B9157" t="s">
        <v>27507</v>
      </c>
      <c r="C9157" t="str">
        <f>"8305584"</f>
        <v>8305584</v>
      </c>
      <c r="D9157" t="s">
        <v>18606</v>
      </c>
      <c r="F9157" t="s">
        <v>7496</v>
      </c>
      <c r="I9157" t="s">
        <v>184</v>
      </c>
      <c r="J9157" t="s">
        <v>30</v>
      </c>
      <c r="K9157" t="str">
        <f>"27006"</f>
        <v>27006</v>
      </c>
      <c r="M9157" t="s">
        <v>17861</v>
      </c>
      <c r="N9157" t="str">
        <f>"10/7/2015 2:50:00 PM"</f>
        <v>10/7/2015 2:50:00 PM</v>
      </c>
      <c r="O9157" t="s">
        <v>18606</v>
      </c>
    </row>
    <row r="9158" spans="1:20" x14ac:dyDescent="0.25">
      <c r="A9158" t="str">
        <f>"3053293"</f>
        <v>3053293</v>
      </c>
      <c r="B9158" t="s">
        <v>27508</v>
      </c>
      <c r="C9158" t="str">
        <f>"38855370"</f>
        <v>38855370</v>
      </c>
      <c r="D9158" t="s">
        <v>27509</v>
      </c>
      <c r="F9158" t="s">
        <v>12788</v>
      </c>
      <c r="I9158" t="s">
        <v>402</v>
      </c>
      <c r="J9158" t="s">
        <v>30</v>
      </c>
      <c r="K9158" t="str">
        <f>"27012"</f>
        <v>27012</v>
      </c>
      <c r="M9158" t="s">
        <v>27053</v>
      </c>
      <c r="N9158" t="str">
        <f>"10/26/2015 12:54:00 PM"</f>
        <v>10/26/2015 12:54:00 PM</v>
      </c>
      <c r="O9158" t="s">
        <v>27509</v>
      </c>
    </row>
    <row r="9159" spans="1:20" x14ac:dyDescent="0.25">
      <c r="A9159" t="str">
        <f>"3037671"</f>
        <v>3037671</v>
      </c>
      <c r="B9159" t="s">
        <v>27510</v>
      </c>
      <c r="C9159" t="str">
        <f>"8305379"</f>
        <v>8305379</v>
      </c>
      <c r="D9159" t="s">
        <v>27511</v>
      </c>
      <c r="E9159" t="s">
        <v>27512</v>
      </c>
      <c r="F9159" t="s">
        <v>27513</v>
      </c>
      <c r="I9159" t="s">
        <v>29</v>
      </c>
      <c r="J9159" t="s">
        <v>30</v>
      </c>
      <c r="K9159" t="str">
        <f>"27028"</f>
        <v>27028</v>
      </c>
      <c r="M9159" t="s">
        <v>17861</v>
      </c>
      <c r="N9159" t="str">
        <f>"10/26/2015 1:12:00 PM"</f>
        <v>10/26/2015 1:12:00 PM</v>
      </c>
      <c r="O9159" t="s">
        <v>27511</v>
      </c>
      <c r="T9159" t="s">
        <v>27512</v>
      </c>
    </row>
    <row r="9160" spans="1:20" x14ac:dyDescent="0.25">
      <c r="A9160" t="str">
        <f>"3064713"</f>
        <v>3064713</v>
      </c>
      <c r="B9160" t="s">
        <v>27514</v>
      </c>
      <c r="C9160" t="str">
        <f>"8305379"</f>
        <v>8305379</v>
      </c>
      <c r="D9160" t="s">
        <v>27511</v>
      </c>
      <c r="E9160" t="s">
        <v>27512</v>
      </c>
      <c r="F9160" t="s">
        <v>27513</v>
      </c>
      <c r="I9160" t="s">
        <v>29</v>
      </c>
      <c r="J9160" t="s">
        <v>30</v>
      </c>
      <c r="K9160" t="str">
        <f>"27028"</f>
        <v>27028</v>
      </c>
      <c r="M9160" t="s">
        <v>17861</v>
      </c>
      <c r="N9160" t="str">
        <f>"10/26/2015 1:12:00 PM"</f>
        <v>10/26/2015 1:12:00 PM</v>
      </c>
      <c r="O9160" t="s">
        <v>27511</v>
      </c>
      <c r="T9160" t="s">
        <v>27512</v>
      </c>
    </row>
    <row r="9161" spans="1:20" x14ac:dyDescent="0.25">
      <c r="A9161" t="str">
        <f>"3039514"</f>
        <v>3039514</v>
      </c>
      <c r="B9161" t="s">
        <v>27515</v>
      </c>
      <c r="C9161" t="str">
        <f>"8303150"</f>
        <v>8303150</v>
      </c>
      <c r="D9161" t="s">
        <v>27516</v>
      </c>
      <c r="F9161" t="s">
        <v>27517</v>
      </c>
      <c r="I9161" t="s">
        <v>184</v>
      </c>
      <c r="J9161" t="s">
        <v>30</v>
      </c>
      <c r="K9161" t="str">
        <f>"27006"</f>
        <v>27006</v>
      </c>
      <c r="M9161" t="s">
        <v>25733</v>
      </c>
      <c r="N9161" t="str">
        <f>"10/8/2015 8:46:00 AM"</f>
        <v>10/8/2015 8:46:00 AM</v>
      </c>
      <c r="O9161" t="s">
        <v>27516</v>
      </c>
    </row>
    <row r="9162" spans="1:20" x14ac:dyDescent="0.25">
      <c r="A9162" t="str">
        <f>"3042928"</f>
        <v>3042928</v>
      </c>
      <c r="B9162" t="s">
        <v>27518</v>
      </c>
      <c r="C9162" t="str">
        <f>"8305591"</f>
        <v>8305591</v>
      </c>
      <c r="D9162" t="s">
        <v>27519</v>
      </c>
      <c r="E9162" t="s">
        <v>27520</v>
      </c>
      <c r="F9162" t="s">
        <v>27521</v>
      </c>
      <c r="I9162" t="s">
        <v>29</v>
      </c>
      <c r="J9162" t="s">
        <v>30</v>
      </c>
      <c r="K9162" t="str">
        <f>"27028"</f>
        <v>27028</v>
      </c>
      <c r="M9162" t="s">
        <v>17861</v>
      </c>
      <c r="N9162" t="str">
        <f>"10/8/2015 3:31:00 PM"</f>
        <v>10/8/2015 3:31:00 PM</v>
      </c>
      <c r="O9162" t="s">
        <v>27519</v>
      </c>
      <c r="T9162" t="s">
        <v>27520</v>
      </c>
    </row>
    <row r="9163" spans="1:20" x14ac:dyDescent="0.25">
      <c r="A9163" t="str">
        <f>"3041056"</f>
        <v>3041056</v>
      </c>
      <c r="B9163" t="s">
        <v>27522</v>
      </c>
      <c r="C9163" t="str">
        <f>"82525638"</f>
        <v>82525638</v>
      </c>
      <c r="D9163" t="s">
        <v>27523</v>
      </c>
      <c r="E9163" t="s">
        <v>27524</v>
      </c>
      <c r="F9163" t="s">
        <v>27525</v>
      </c>
      <c r="I9163" t="s">
        <v>471</v>
      </c>
      <c r="J9163" t="s">
        <v>30</v>
      </c>
      <c r="K9163" t="s">
        <v>1210</v>
      </c>
      <c r="M9163" t="s">
        <v>26316</v>
      </c>
      <c r="N9163" t="str">
        <f>"10/8/2015 4:53:00 PM"</f>
        <v>10/8/2015 4:53:00 PM</v>
      </c>
      <c r="O9163" t="s">
        <v>27523</v>
      </c>
      <c r="T9163" t="s">
        <v>27524</v>
      </c>
    </row>
    <row r="9164" spans="1:20" x14ac:dyDescent="0.25">
      <c r="A9164" t="str">
        <f>"3050433"</f>
        <v>3050433</v>
      </c>
      <c r="B9164" t="s">
        <v>27526</v>
      </c>
      <c r="C9164" t="str">
        <f>"8305670"</f>
        <v>8305670</v>
      </c>
      <c r="D9164" t="s">
        <v>27527</v>
      </c>
      <c r="F9164" t="s">
        <v>27528</v>
      </c>
      <c r="I9164" t="s">
        <v>29</v>
      </c>
      <c r="J9164" t="s">
        <v>30</v>
      </c>
      <c r="K9164" t="str">
        <f>"27028"</f>
        <v>27028</v>
      </c>
      <c r="M9164" t="s">
        <v>17861</v>
      </c>
      <c r="N9164" t="str">
        <f>"10/28/2015 10:20:00 AM"</f>
        <v>10/28/2015 10:20:00 AM</v>
      </c>
      <c r="O9164" t="s">
        <v>27527</v>
      </c>
    </row>
    <row r="9165" spans="1:20" x14ac:dyDescent="0.25">
      <c r="A9165" t="str">
        <f>"3048678"</f>
        <v>3048678</v>
      </c>
      <c r="B9165" t="s">
        <v>27529</v>
      </c>
      <c r="C9165" t="str">
        <f>"8305674"</f>
        <v>8305674</v>
      </c>
      <c r="D9165" t="s">
        <v>27530</v>
      </c>
      <c r="E9165" t="s">
        <v>27531</v>
      </c>
      <c r="F9165" t="s">
        <v>27532</v>
      </c>
      <c r="I9165" t="s">
        <v>29</v>
      </c>
      <c r="J9165" t="s">
        <v>30</v>
      </c>
      <c r="K9165" t="str">
        <f>"27028"</f>
        <v>27028</v>
      </c>
      <c r="M9165" t="s">
        <v>17861</v>
      </c>
      <c r="N9165" t="str">
        <f>"10/28/2015 11:28:00 AM"</f>
        <v>10/28/2015 11:28:00 AM</v>
      </c>
      <c r="O9165" t="s">
        <v>27530</v>
      </c>
      <c r="T9165" t="s">
        <v>27531</v>
      </c>
    </row>
    <row r="9166" spans="1:20" x14ac:dyDescent="0.25">
      <c r="A9166" t="str">
        <f>"3048697"</f>
        <v>3048697</v>
      </c>
      <c r="B9166" t="s">
        <v>27533</v>
      </c>
      <c r="C9166" t="str">
        <f>"11234000"</f>
        <v>11234000</v>
      </c>
      <c r="D9166" t="s">
        <v>27534</v>
      </c>
      <c r="F9166" t="s">
        <v>27535</v>
      </c>
      <c r="G9166" t="s">
        <v>27536</v>
      </c>
      <c r="I9166" t="s">
        <v>29</v>
      </c>
      <c r="J9166" t="s">
        <v>30</v>
      </c>
      <c r="K9166" t="s">
        <v>31</v>
      </c>
      <c r="M9166" t="s">
        <v>17861</v>
      </c>
      <c r="N9166" t="str">
        <f>"10/9/2015 8:43:00 AM"</f>
        <v>10/9/2015 8:43:00 AM</v>
      </c>
      <c r="O9166" t="s">
        <v>27534</v>
      </c>
    </row>
    <row r="9167" spans="1:20" x14ac:dyDescent="0.25">
      <c r="A9167" t="str">
        <f>"3049484"</f>
        <v>3049484</v>
      </c>
      <c r="B9167" t="s">
        <v>27537</v>
      </c>
      <c r="C9167" t="str">
        <f>"8305592"</f>
        <v>8305592</v>
      </c>
      <c r="D9167" t="s">
        <v>27538</v>
      </c>
      <c r="F9167" t="s">
        <v>27539</v>
      </c>
      <c r="I9167" t="s">
        <v>29</v>
      </c>
      <c r="J9167" t="s">
        <v>30</v>
      </c>
      <c r="K9167" t="str">
        <f>"27028"</f>
        <v>27028</v>
      </c>
      <c r="M9167" t="s">
        <v>17861</v>
      </c>
      <c r="N9167" t="str">
        <f>"10/9/2015 3:29:00 PM"</f>
        <v>10/9/2015 3:29:00 PM</v>
      </c>
      <c r="O9167" t="s">
        <v>27538</v>
      </c>
    </row>
    <row r="9168" spans="1:20" x14ac:dyDescent="0.25">
      <c r="A9168" t="str">
        <f>"3040256"</f>
        <v>3040256</v>
      </c>
      <c r="B9168" t="s">
        <v>27540</v>
      </c>
      <c r="C9168" t="str">
        <f>"8304132"</f>
        <v>8304132</v>
      </c>
      <c r="D9168" t="s">
        <v>27541</v>
      </c>
      <c r="F9168" t="s">
        <v>27542</v>
      </c>
      <c r="I9168" t="s">
        <v>184</v>
      </c>
      <c r="J9168" t="s">
        <v>30</v>
      </c>
      <c r="K9168" t="str">
        <f>"27006"</f>
        <v>27006</v>
      </c>
      <c r="M9168" t="s">
        <v>26316</v>
      </c>
      <c r="N9168" t="str">
        <f>"11/2/2015 12:07:00 PM"</f>
        <v>11/2/2015 12:07:00 PM</v>
      </c>
      <c r="O9168" t="s">
        <v>27541</v>
      </c>
    </row>
    <row r="9169" spans="1:20" x14ac:dyDescent="0.25">
      <c r="A9169" t="str">
        <f>"3040245"</f>
        <v>3040245</v>
      </c>
      <c r="B9169" t="s">
        <v>27543</v>
      </c>
      <c r="C9169" t="str">
        <f>"8304132"</f>
        <v>8304132</v>
      </c>
      <c r="D9169" t="s">
        <v>27541</v>
      </c>
      <c r="F9169" t="s">
        <v>27542</v>
      </c>
      <c r="I9169" t="s">
        <v>184</v>
      </c>
      <c r="J9169" t="s">
        <v>30</v>
      </c>
      <c r="K9169" t="str">
        <f>"27006"</f>
        <v>27006</v>
      </c>
      <c r="M9169" t="s">
        <v>26316</v>
      </c>
      <c r="N9169" t="str">
        <f>"11/2/2015 12:07:00 PM"</f>
        <v>11/2/2015 12:07:00 PM</v>
      </c>
      <c r="O9169" t="s">
        <v>27541</v>
      </c>
    </row>
    <row r="9170" spans="1:20" x14ac:dyDescent="0.25">
      <c r="A9170" t="str">
        <f>"3053121"</f>
        <v>3053121</v>
      </c>
      <c r="B9170" t="s">
        <v>27544</v>
      </c>
      <c r="C9170" t="str">
        <f>"8305685"</f>
        <v>8305685</v>
      </c>
      <c r="D9170" t="s">
        <v>27545</v>
      </c>
      <c r="E9170" t="s">
        <v>27546</v>
      </c>
      <c r="F9170" t="s">
        <v>27547</v>
      </c>
      <c r="I9170" t="s">
        <v>29</v>
      </c>
      <c r="J9170" t="s">
        <v>30</v>
      </c>
      <c r="K9170" t="str">
        <f>"27028"</f>
        <v>27028</v>
      </c>
      <c r="M9170" t="s">
        <v>17861</v>
      </c>
      <c r="N9170" t="str">
        <f>"11/2/2015 12:20:00 PM"</f>
        <v>11/2/2015 12:20:00 PM</v>
      </c>
      <c r="O9170" t="s">
        <v>27545</v>
      </c>
      <c r="T9170" t="s">
        <v>27546</v>
      </c>
    </row>
    <row r="9171" spans="1:20" x14ac:dyDescent="0.25">
      <c r="A9171" t="str">
        <f>"3039488"</f>
        <v>3039488</v>
      </c>
      <c r="B9171" t="s">
        <v>27548</v>
      </c>
      <c r="C9171" t="str">
        <f>"8305686"</f>
        <v>8305686</v>
      </c>
      <c r="D9171" t="s">
        <v>27549</v>
      </c>
      <c r="F9171" t="s">
        <v>27550</v>
      </c>
      <c r="I9171" t="s">
        <v>27551</v>
      </c>
      <c r="J9171" t="s">
        <v>23322</v>
      </c>
      <c r="K9171" t="str">
        <f>"43065"</f>
        <v>43065</v>
      </c>
      <c r="M9171" t="s">
        <v>17861</v>
      </c>
      <c r="N9171" t="str">
        <f>"11/2/2015 12:24:00 PM"</f>
        <v>11/2/2015 12:24:00 PM</v>
      </c>
      <c r="O9171" t="s">
        <v>27549</v>
      </c>
    </row>
    <row r="9172" spans="1:20" x14ac:dyDescent="0.25">
      <c r="A9172" t="str">
        <f>"3039723"</f>
        <v>3039723</v>
      </c>
      <c r="B9172" t="s">
        <v>27552</v>
      </c>
      <c r="C9172" t="str">
        <f>"8305686"</f>
        <v>8305686</v>
      </c>
      <c r="D9172" t="s">
        <v>27549</v>
      </c>
      <c r="F9172" t="s">
        <v>27550</v>
      </c>
      <c r="I9172" t="s">
        <v>27551</v>
      </c>
      <c r="J9172" t="s">
        <v>23322</v>
      </c>
      <c r="K9172" t="str">
        <f>"43065"</f>
        <v>43065</v>
      </c>
      <c r="M9172" t="s">
        <v>17861</v>
      </c>
      <c r="N9172" t="str">
        <f>"11/2/2015 12:24:00 PM"</f>
        <v>11/2/2015 12:24:00 PM</v>
      </c>
      <c r="O9172" t="s">
        <v>27549</v>
      </c>
    </row>
    <row r="9173" spans="1:20" x14ac:dyDescent="0.25">
      <c r="A9173" t="str">
        <f>"3039448"</f>
        <v>3039448</v>
      </c>
      <c r="B9173" t="s">
        <v>27553</v>
      </c>
      <c r="C9173" t="str">
        <f>"8305686"</f>
        <v>8305686</v>
      </c>
      <c r="D9173" t="s">
        <v>27549</v>
      </c>
      <c r="F9173" t="s">
        <v>27550</v>
      </c>
      <c r="I9173" t="s">
        <v>27551</v>
      </c>
      <c r="J9173" t="s">
        <v>23322</v>
      </c>
      <c r="K9173" t="str">
        <f>"43065"</f>
        <v>43065</v>
      </c>
      <c r="M9173" t="s">
        <v>17861</v>
      </c>
      <c r="N9173" t="str">
        <f>"11/2/2015 12:24:00 PM"</f>
        <v>11/2/2015 12:24:00 PM</v>
      </c>
      <c r="O9173" t="s">
        <v>27549</v>
      </c>
    </row>
    <row r="9174" spans="1:20" x14ac:dyDescent="0.25">
      <c r="A9174" t="str">
        <f>"3046302"</f>
        <v>3046302</v>
      </c>
      <c r="B9174" t="s">
        <v>27554</v>
      </c>
      <c r="C9174" t="str">
        <f>"8305594"</f>
        <v>8305594</v>
      </c>
      <c r="D9174" t="s">
        <v>27555</v>
      </c>
      <c r="E9174" t="s">
        <v>27556</v>
      </c>
      <c r="F9174" t="s">
        <v>27557</v>
      </c>
      <c r="I9174" t="s">
        <v>29</v>
      </c>
      <c r="J9174" t="s">
        <v>30</v>
      </c>
      <c r="K9174" t="str">
        <f>"27028"</f>
        <v>27028</v>
      </c>
      <c r="M9174" t="s">
        <v>17861</v>
      </c>
      <c r="N9174" t="str">
        <f>"10/12/2015 9:46:00 AM"</f>
        <v>10/12/2015 9:46:00 AM</v>
      </c>
      <c r="O9174" t="s">
        <v>27555</v>
      </c>
      <c r="T9174" t="s">
        <v>27556</v>
      </c>
    </row>
    <row r="9175" spans="1:20" x14ac:dyDescent="0.25">
      <c r="A9175" t="str">
        <f>"3047923"</f>
        <v>3047923</v>
      </c>
      <c r="B9175" t="s">
        <v>27558</v>
      </c>
      <c r="C9175" t="str">
        <f>"8305692"</f>
        <v>8305692</v>
      </c>
      <c r="D9175" t="s">
        <v>27559</v>
      </c>
      <c r="F9175" t="s">
        <v>27560</v>
      </c>
      <c r="I9175" t="s">
        <v>29</v>
      </c>
      <c r="J9175" t="s">
        <v>30</v>
      </c>
      <c r="K9175" t="str">
        <f>"27028"</f>
        <v>27028</v>
      </c>
      <c r="M9175" t="s">
        <v>17861</v>
      </c>
      <c r="N9175" t="str">
        <f>"11/2/2015 1:50:00 PM"</f>
        <v>11/2/2015 1:50:00 PM</v>
      </c>
      <c r="O9175" t="s">
        <v>27559</v>
      </c>
    </row>
    <row r="9176" spans="1:20" x14ac:dyDescent="0.25">
      <c r="A9176" t="str">
        <f>"3060008"</f>
        <v>3060008</v>
      </c>
      <c r="B9176" t="s">
        <v>27561</v>
      </c>
      <c r="C9176" t="str">
        <f>"8305695"</f>
        <v>8305695</v>
      </c>
      <c r="D9176" t="s">
        <v>27562</v>
      </c>
      <c r="E9176" t="s">
        <v>27563</v>
      </c>
      <c r="F9176" t="s">
        <v>27564</v>
      </c>
      <c r="I9176" t="s">
        <v>184</v>
      </c>
      <c r="J9176" t="s">
        <v>30</v>
      </c>
      <c r="K9176" t="str">
        <f>"27006"</f>
        <v>27006</v>
      </c>
      <c r="M9176" t="s">
        <v>17861</v>
      </c>
      <c r="N9176" t="str">
        <f>"11/2/2015 2:29:00 PM"</f>
        <v>11/2/2015 2:29:00 PM</v>
      </c>
      <c r="O9176" t="s">
        <v>27562</v>
      </c>
      <c r="T9176" t="s">
        <v>27563</v>
      </c>
    </row>
    <row r="9177" spans="1:20" x14ac:dyDescent="0.25">
      <c r="A9177" t="str">
        <f>"3062272"</f>
        <v>3062272</v>
      </c>
      <c r="B9177" t="s">
        <v>27565</v>
      </c>
      <c r="C9177" t="str">
        <f>"8305698"</f>
        <v>8305698</v>
      </c>
      <c r="D9177" t="s">
        <v>27566</v>
      </c>
      <c r="F9177" t="s">
        <v>26274</v>
      </c>
      <c r="I9177" t="s">
        <v>184</v>
      </c>
      <c r="J9177" t="s">
        <v>30</v>
      </c>
      <c r="K9177" t="str">
        <f>"27006"</f>
        <v>27006</v>
      </c>
      <c r="M9177" t="s">
        <v>17861</v>
      </c>
      <c r="N9177" t="str">
        <f>"11/2/2015 3:01:00 PM"</f>
        <v>11/2/2015 3:01:00 PM</v>
      </c>
      <c r="O9177" t="s">
        <v>27566</v>
      </c>
    </row>
    <row r="9178" spans="1:20" x14ac:dyDescent="0.25">
      <c r="A9178" t="str">
        <f>"3062273"</f>
        <v>3062273</v>
      </c>
      <c r="B9178" t="s">
        <v>27567</v>
      </c>
      <c r="C9178" t="str">
        <f>"8305698"</f>
        <v>8305698</v>
      </c>
      <c r="D9178" t="s">
        <v>27566</v>
      </c>
      <c r="F9178" t="s">
        <v>26274</v>
      </c>
      <c r="I9178" t="s">
        <v>184</v>
      </c>
      <c r="J9178" t="s">
        <v>30</v>
      </c>
      <c r="K9178" t="str">
        <f>"27006"</f>
        <v>27006</v>
      </c>
      <c r="M9178" t="s">
        <v>17861</v>
      </c>
      <c r="N9178" t="str">
        <f>"11/2/2015 3:01:00 PM"</f>
        <v>11/2/2015 3:01:00 PM</v>
      </c>
      <c r="O9178" t="s">
        <v>27566</v>
      </c>
    </row>
    <row r="9179" spans="1:20" x14ac:dyDescent="0.25">
      <c r="A9179" t="str">
        <f>"3041483"</f>
        <v>3041483</v>
      </c>
      <c r="B9179" t="s">
        <v>27568</v>
      </c>
      <c r="C9179" t="str">
        <f>"8305699"</f>
        <v>8305699</v>
      </c>
      <c r="D9179" t="s">
        <v>27569</v>
      </c>
      <c r="E9179" t="s">
        <v>27570</v>
      </c>
      <c r="F9179" t="s">
        <v>27571</v>
      </c>
      <c r="I9179" t="s">
        <v>2071</v>
      </c>
      <c r="J9179" t="s">
        <v>30</v>
      </c>
      <c r="K9179" t="str">
        <f>"27006"</f>
        <v>27006</v>
      </c>
      <c r="M9179" t="s">
        <v>17861</v>
      </c>
      <c r="N9179" t="str">
        <f>"11/2/2015 3:03:00 PM"</f>
        <v>11/2/2015 3:03:00 PM</v>
      </c>
      <c r="O9179" t="s">
        <v>27569</v>
      </c>
      <c r="T9179" t="s">
        <v>27570</v>
      </c>
    </row>
    <row r="9180" spans="1:20" x14ac:dyDescent="0.25">
      <c r="A9180" t="str">
        <f>"3045749"</f>
        <v>3045749</v>
      </c>
      <c r="B9180" t="s">
        <v>27572</v>
      </c>
      <c r="C9180" t="str">
        <f>"8305700"</f>
        <v>8305700</v>
      </c>
      <c r="D9180" t="s">
        <v>27573</v>
      </c>
      <c r="F9180" t="s">
        <v>27574</v>
      </c>
      <c r="I9180" t="s">
        <v>1149</v>
      </c>
      <c r="J9180" t="s">
        <v>30</v>
      </c>
      <c r="K9180" t="str">
        <f>"28634"</f>
        <v>28634</v>
      </c>
      <c r="M9180" t="s">
        <v>17861</v>
      </c>
      <c r="N9180" t="str">
        <f>"11/2/2015 3:06:00 PM"</f>
        <v>11/2/2015 3:06:00 PM</v>
      </c>
      <c r="O9180" t="s">
        <v>27573</v>
      </c>
    </row>
    <row r="9181" spans="1:20" x14ac:dyDescent="0.25">
      <c r="A9181" t="str">
        <f>"3046343"</f>
        <v>3046343</v>
      </c>
      <c r="B9181" t="s">
        <v>27575</v>
      </c>
      <c r="C9181" t="str">
        <f>"8305594"</f>
        <v>8305594</v>
      </c>
      <c r="D9181" t="s">
        <v>27555</v>
      </c>
      <c r="E9181" t="s">
        <v>27556</v>
      </c>
      <c r="F9181" t="s">
        <v>27557</v>
      </c>
      <c r="I9181" t="s">
        <v>29</v>
      </c>
      <c r="J9181" t="s">
        <v>30</v>
      </c>
      <c r="K9181" t="str">
        <f>"27028"</f>
        <v>27028</v>
      </c>
      <c r="M9181" t="s">
        <v>17861</v>
      </c>
      <c r="N9181" t="str">
        <f>"10/12/2015 9:46:00 AM"</f>
        <v>10/12/2015 9:46:00 AM</v>
      </c>
      <c r="O9181" t="s">
        <v>27555</v>
      </c>
      <c r="T9181" t="s">
        <v>27556</v>
      </c>
    </row>
    <row r="9182" spans="1:20" x14ac:dyDescent="0.25">
      <c r="A9182" t="str">
        <f>"3037741"</f>
        <v>3037741</v>
      </c>
      <c r="B9182" t="s">
        <v>27576</v>
      </c>
      <c r="C9182" t="str">
        <f>"8305596"</f>
        <v>8305596</v>
      </c>
      <c r="D9182" t="s">
        <v>27577</v>
      </c>
      <c r="E9182" t="s">
        <v>27578</v>
      </c>
      <c r="F9182" t="s">
        <v>27579</v>
      </c>
      <c r="I9182" t="s">
        <v>29</v>
      </c>
      <c r="J9182" t="s">
        <v>30</v>
      </c>
      <c r="K9182" t="str">
        <f>"27028"</f>
        <v>27028</v>
      </c>
      <c r="M9182" t="s">
        <v>17861</v>
      </c>
      <c r="N9182" t="str">
        <f>"10/12/2015 10:26:00 AM"</f>
        <v>10/12/2015 10:26:00 AM</v>
      </c>
      <c r="O9182" t="s">
        <v>27577</v>
      </c>
      <c r="T9182" t="s">
        <v>27578</v>
      </c>
    </row>
    <row r="9183" spans="1:20" x14ac:dyDescent="0.25">
      <c r="A9183" t="str">
        <f>"3062602"</f>
        <v>3062602</v>
      </c>
      <c r="B9183" t="s">
        <v>27580</v>
      </c>
      <c r="C9183" t="str">
        <f>"8305508"</f>
        <v>8305508</v>
      </c>
      <c r="D9183" t="s">
        <v>27581</v>
      </c>
      <c r="E9183" t="s">
        <v>27582</v>
      </c>
      <c r="F9183" t="s">
        <v>27583</v>
      </c>
      <c r="I9183" t="s">
        <v>184</v>
      </c>
      <c r="J9183" t="s">
        <v>30</v>
      </c>
      <c r="K9183" t="str">
        <f>"27006"</f>
        <v>27006</v>
      </c>
      <c r="M9183" t="s">
        <v>17861</v>
      </c>
      <c r="N9183" t="str">
        <f>"9/23/2015 2:02:00 PM"</f>
        <v>9/23/2015 2:02:00 PM</v>
      </c>
      <c r="O9183" t="s">
        <v>27581</v>
      </c>
      <c r="T9183" t="s">
        <v>27582</v>
      </c>
    </row>
    <row r="9184" spans="1:20" x14ac:dyDescent="0.25">
      <c r="A9184" t="str">
        <f>"3063919"</f>
        <v>3063919</v>
      </c>
      <c r="B9184" t="s">
        <v>27584</v>
      </c>
      <c r="C9184" t="str">
        <f>"8305604"</f>
        <v>8305604</v>
      </c>
      <c r="D9184" t="str">
        <f>"CLODFELTER DONALD/BILLIE"</f>
        <v>CLODFELTER DONALD/BILLIE</v>
      </c>
      <c r="E9184" t="s">
        <v>27585</v>
      </c>
      <c r="F9184" t="s">
        <v>27586</v>
      </c>
      <c r="I9184" t="s">
        <v>184</v>
      </c>
      <c r="J9184" t="s">
        <v>30</v>
      </c>
      <c r="K9184" t="str">
        <f>"27006"</f>
        <v>27006</v>
      </c>
      <c r="M9184" t="s">
        <v>17861</v>
      </c>
      <c r="N9184" t="str">
        <f>"10/12/2015 12:41:00 PM"</f>
        <v>10/12/2015 12:41:00 PM</v>
      </c>
      <c r="O9184" t="str">
        <f>"CLODFELTER DONALD/BILLIE"</f>
        <v>CLODFELTER DONALD/BILLIE</v>
      </c>
      <c r="T9184" t="s">
        <v>27585</v>
      </c>
    </row>
    <row r="9185" spans="1:20" x14ac:dyDescent="0.25">
      <c r="A9185" t="str">
        <f>"3038754"</f>
        <v>3038754</v>
      </c>
      <c r="B9185" t="s">
        <v>27587</v>
      </c>
      <c r="C9185" t="str">
        <f>"62264630"</f>
        <v>62264630</v>
      </c>
      <c r="D9185" t="s">
        <v>27588</v>
      </c>
      <c r="E9185" t="s">
        <v>27589</v>
      </c>
      <c r="F9185" t="s">
        <v>27590</v>
      </c>
      <c r="I9185" t="s">
        <v>29</v>
      </c>
      <c r="J9185" t="s">
        <v>30</v>
      </c>
      <c r="K9185" t="s">
        <v>31</v>
      </c>
      <c r="M9185" t="s">
        <v>18479</v>
      </c>
      <c r="N9185" t="str">
        <f>"10/13/2015 1:42:00 PM"</f>
        <v>10/13/2015 1:42:00 PM</v>
      </c>
      <c r="O9185" t="s">
        <v>27588</v>
      </c>
      <c r="T9185" t="s">
        <v>27589</v>
      </c>
    </row>
    <row r="9186" spans="1:20" x14ac:dyDescent="0.25">
      <c r="A9186" t="str">
        <f>"3047259"</f>
        <v>3047259</v>
      </c>
      <c r="B9186" t="s">
        <v>27591</v>
      </c>
      <c r="C9186" t="str">
        <f>"8305713"</f>
        <v>8305713</v>
      </c>
      <c r="D9186" t="s">
        <v>27592</v>
      </c>
      <c r="F9186" t="s">
        <v>27593</v>
      </c>
      <c r="I9186" t="s">
        <v>402</v>
      </c>
      <c r="J9186" t="s">
        <v>30</v>
      </c>
      <c r="K9186" t="str">
        <f>"27012"</f>
        <v>27012</v>
      </c>
      <c r="M9186" t="s">
        <v>17861</v>
      </c>
      <c r="N9186" t="str">
        <f>"11/9/2015 2:38:00 PM"</f>
        <v>11/9/2015 2:38:00 PM</v>
      </c>
      <c r="O9186" t="s">
        <v>27592</v>
      </c>
    </row>
    <row r="9187" spans="1:20" x14ac:dyDescent="0.25">
      <c r="A9187" t="str">
        <f>"3044370"</f>
        <v>3044370</v>
      </c>
      <c r="B9187" t="s">
        <v>27594</v>
      </c>
      <c r="C9187" t="str">
        <f>"8305714"</f>
        <v>8305714</v>
      </c>
      <c r="D9187" t="s">
        <v>27595</v>
      </c>
      <c r="E9187" t="s">
        <v>27596</v>
      </c>
      <c r="F9187" t="s">
        <v>27597</v>
      </c>
      <c r="I9187" t="s">
        <v>184</v>
      </c>
      <c r="J9187" t="s">
        <v>30</v>
      </c>
      <c r="K9187" t="str">
        <f>"27006"</f>
        <v>27006</v>
      </c>
      <c r="M9187" t="s">
        <v>17861</v>
      </c>
      <c r="N9187" t="str">
        <f>"11/9/2015 2:58:00 PM"</f>
        <v>11/9/2015 2:58:00 PM</v>
      </c>
      <c r="O9187" t="s">
        <v>27595</v>
      </c>
      <c r="T9187" t="s">
        <v>27596</v>
      </c>
    </row>
    <row r="9188" spans="1:20" x14ac:dyDescent="0.25">
      <c r="A9188" t="str">
        <f>"3044258"</f>
        <v>3044258</v>
      </c>
      <c r="B9188" t="s">
        <v>27598</v>
      </c>
      <c r="C9188" t="str">
        <f>"8305714"</f>
        <v>8305714</v>
      </c>
      <c r="D9188" t="s">
        <v>27595</v>
      </c>
      <c r="E9188" t="s">
        <v>27596</v>
      </c>
      <c r="F9188" t="s">
        <v>27597</v>
      </c>
      <c r="I9188" t="s">
        <v>184</v>
      </c>
      <c r="J9188" t="s">
        <v>30</v>
      </c>
      <c r="K9188" t="str">
        <f>"27006"</f>
        <v>27006</v>
      </c>
      <c r="M9188" t="s">
        <v>17861</v>
      </c>
      <c r="N9188" t="str">
        <f>"11/9/2015 2:58:00 PM"</f>
        <v>11/9/2015 2:58:00 PM</v>
      </c>
      <c r="O9188" t="s">
        <v>27595</v>
      </c>
      <c r="T9188" t="s">
        <v>27596</v>
      </c>
    </row>
    <row r="9189" spans="1:20" x14ac:dyDescent="0.25">
      <c r="A9189" t="str">
        <f>"3041641"</f>
        <v>3041641</v>
      </c>
      <c r="B9189" t="s">
        <v>27599</v>
      </c>
      <c r="C9189" t="str">
        <f>"8305717"</f>
        <v>8305717</v>
      </c>
      <c r="D9189" t="s">
        <v>27600</v>
      </c>
      <c r="E9189" t="s">
        <v>27601</v>
      </c>
      <c r="F9189" t="s">
        <v>27602</v>
      </c>
      <c r="I9189" t="s">
        <v>2071</v>
      </c>
      <c r="J9189" t="s">
        <v>30</v>
      </c>
      <c r="K9189" t="str">
        <f>"27006"</f>
        <v>27006</v>
      </c>
      <c r="M9189" t="s">
        <v>17861</v>
      </c>
      <c r="N9189" t="str">
        <f>"11/9/2015 3:23:00 PM"</f>
        <v>11/9/2015 3:23:00 PM</v>
      </c>
      <c r="O9189" t="s">
        <v>27600</v>
      </c>
      <c r="T9189" t="s">
        <v>27601</v>
      </c>
    </row>
    <row r="9190" spans="1:20" x14ac:dyDescent="0.25">
      <c r="A9190" t="str">
        <f>"3041217"</f>
        <v>3041217</v>
      </c>
      <c r="B9190" t="s">
        <v>27603</v>
      </c>
      <c r="C9190" t="str">
        <f>"8305718"</f>
        <v>8305718</v>
      </c>
      <c r="D9190" t="s">
        <v>27604</v>
      </c>
      <c r="F9190" t="s">
        <v>27605</v>
      </c>
      <c r="I9190" t="s">
        <v>2071</v>
      </c>
      <c r="J9190" t="s">
        <v>30</v>
      </c>
      <c r="K9190" t="str">
        <f>"27006"</f>
        <v>27006</v>
      </c>
      <c r="M9190" t="s">
        <v>17861</v>
      </c>
      <c r="N9190" t="str">
        <f>"11/9/2015 3:28:00 PM"</f>
        <v>11/9/2015 3:28:00 PM</v>
      </c>
      <c r="O9190" t="s">
        <v>27604</v>
      </c>
    </row>
    <row r="9191" spans="1:20" x14ac:dyDescent="0.25">
      <c r="A9191" t="str">
        <f>"3051792"</f>
        <v>3051792</v>
      </c>
      <c r="B9191" t="s">
        <v>27606</v>
      </c>
      <c r="C9191" t="str">
        <f>"62952000"</f>
        <v>62952000</v>
      </c>
      <c r="D9191" t="s">
        <v>27607</v>
      </c>
      <c r="E9191" t="s">
        <v>27608</v>
      </c>
      <c r="F9191" t="s">
        <v>27609</v>
      </c>
      <c r="I9191" t="s">
        <v>29</v>
      </c>
      <c r="J9191" t="s">
        <v>30</v>
      </c>
      <c r="K9191" t="s">
        <v>27610</v>
      </c>
      <c r="M9191" t="s">
        <v>18479</v>
      </c>
      <c r="N9191" t="str">
        <f>"10/14/2015 4:29:00 PM"</f>
        <v>10/14/2015 4:29:00 PM</v>
      </c>
      <c r="O9191" t="s">
        <v>27607</v>
      </c>
      <c r="T9191" t="s">
        <v>27608</v>
      </c>
    </row>
    <row r="9192" spans="1:20" x14ac:dyDescent="0.25">
      <c r="A9192" t="str">
        <f>"3041384"</f>
        <v>3041384</v>
      </c>
      <c r="B9192" t="s">
        <v>27611</v>
      </c>
      <c r="C9192" t="str">
        <f>"82528745"</f>
        <v>82528745</v>
      </c>
      <c r="D9192" t="s">
        <v>27612</v>
      </c>
      <c r="F9192" t="s">
        <v>27613</v>
      </c>
      <c r="I9192" t="s">
        <v>2071</v>
      </c>
      <c r="J9192" t="s">
        <v>30</v>
      </c>
      <c r="K9192" t="s">
        <v>185</v>
      </c>
      <c r="M9192" t="s">
        <v>17861</v>
      </c>
      <c r="N9192" t="str">
        <f>"11/10/2015 10:09:00 AM"</f>
        <v>11/10/2015 10:09:00 AM</v>
      </c>
      <c r="O9192" t="s">
        <v>27612</v>
      </c>
    </row>
    <row r="9193" spans="1:20" x14ac:dyDescent="0.25">
      <c r="A9193" t="str">
        <f>"3041287"</f>
        <v>3041287</v>
      </c>
      <c r="B9193" t="s">
        <v>27614</v>
      </c>
      <c r="C9193" t="str">
        <f>"8300824"</f>
        <v>8300824</v>
      </c>
      <c r="D9193" t="s">
        <v>27615</v>
      </c>
      <c r="F9193" t="s">
        <v>27616</v>
      </c>
      <c r="I9193" t="s">
        <v>22335</v>
      </c>
      <c r="J9193" t="s">
        <v>30</v>
      </c>
      <c r="K9193" t="str">
        <f>"27006"</f>
        <v>27006</v>
      </c>
      <c r="M9193" t="s">
        <v>17861</v>
      </c>
      <c r="N9193" t="str">
        <f>"11/10/2015 10:10:00 AM"</f>
        <v>11/10/2015 10:10:00 AM</v>
      </c>
      <c r="O9193" t="s">
        <v>27615</v>
      </c>
    </row>
    <row r="9194" spans="1:20" x14ac:dyDescent="0.25">
      <c r="A9194" t="str">
        <f>"3041280"</f>
        <v>3041280</v>
      </c>
      <c r="B9194" t="s">
        <v>27617</v>
      </c>
      <c r="C9194" t="str">
        <f>"8303099"</f>
        <v>8303099</v>
      </c>
      <c r="D9194" t="s">
        <v>27618</v>
      </c>
      <c r="F9194" t="s">
        <v>27619</v>
      </c>
      <c r="I9194" t="s">
        <v>2071</v>
      </c>
      <c r="J9194" t="s">
        <v>30</v>
      </c>
      <c r="K9194" t="str">
        <f>"27006"</f>
        <v>27006</v>
      </c>
      <c r="M9194" t="s">
        <v>17861</v>
      </c>
      <c r="N9194" t="str">
        <f>"11/10/2015 10:11:00 AM"</f>
        <v>11/10/2015 10:11:00 AM</v>
      </c>
      <c r="O9194" t="s">
        <v>27618</v>
      </c>
    </row>
    <row r="9195" spans="1:20" x14ac:dyDescent="0.25">
      <c r="A9195" t="str">
        <f>"3040306"</f>
        <v>3040306</v>
      </c>
      <c r="B9195" t="s">
        <v>27620</v>
      </c>
      <c r="C9195" t="str">
        <f>"35716000"</f>
        <v>35716000</v>
      </c>
      <c r="D9195" t="s">
        <v>27621</v>
      </c>
      <c r="E9195" t="s">
        <v>27622</v>
      </c>
      <c r="F9195" t="str">
        <f>"C/O HILL DONALD JACKSON"</f>
        <v>C/O HILL DONALD JACKSON</v>
      </c>
      <c r="G9195" t="s">
        <v>27623</v>
      </c>
      <c r="I9195" t="s">
        <v>27624</v>
      </c>
      <c r="J9195" t="s">
        <v>4132</v>
      </c>
      <c r="K9195" t="str">
        <f>"29403"</f>
        <v>29403</v>
      </c>
      <c r="M9195" t="s">
        <v>18470</v>
      </c>
      <c r="N9195" t="str">
        <f>"10/16/2015 1:27:00 PM"</f>
        <v>10/16/2015 1:27:00 PM</v>
      </c>
      <c r="O9195" t="s">
        <v>27621</v>
      </c>
      <c r="T9195" t="s">
        <v>27622</v>
      </c>
    </row>
    <row r="9196" spans="1:20" x14ac:dyDescent="0.25">
      <c r="A9196" t="str">
        <f>"3061215"</f>
        <v>3061215</v>
      </c>
      <c r="B9196" t="s">
        <v>27625</v>
      </c>
      <c r="C9196" t="str">
        <f>"82532024"</f>
        <v>82532024</v>
      </c>
      <c r="D9196" t="s">
        <v>27626</v>
      </c>
      <c r="E9196" t="s">
        <v>27627</v>
      </c>
      <c r="F9196" t="s">
        <v>27628</v>
      </c>
      <c r="I9196" t="s">
        <v>2071</v>
      </c>
      <c r="J9196" t="s">
        <v>30</v>
      </c>
      <c r="K9196" t="s">
        <v>185</v>
      </c>
      <c r="M9196" t="s">
        <v>17861</v>
      </c>
      <c r="N9196" t="str">
        <f>"11/10/2015 10:13:00 AM"</f>
        <v>11/10/2015 10:13:00 AM</v>
      </c>
      <c r="O9196" t="s">
        <v>27626</v>
      </c>
      <c r="T9196" t="s">
        <v>27627</v>
      </c>
    </row>
    <row r="9197" spans="1:20" x14ac:dyDescent="0.25">
      <c r="A9197" t="str">
        <f>"3061217"</f>
        <v>3061217</v>
      </c>
      <c r="B9197" t="s">
        <v>27629</v>
      </c>
      <c r="C9197" t="str">
        <f>"82526281"</f>
        <v>82526281</v>
      </c>
      <c r="D9197" t="s">
        <v>27630</v>
      </c>
      <c r="F9197" t="s">
        <v>27631</v>
      </c>
      <c r="I9197" t="s">
        <v>2071</v>
      </c>
      <c r="J9197" t="s">
        <v>30</v>
      </c>
      <c r="K9197" t="s">
        <v>185</v>
      </c>
      <c r="M9197" t="s">
        <v>17861</v>
      </c>
      <c r="N9197" t="str">
        <f>"11/10/2015 10:14:00 AM"</f>
        <v>11/10/2015 10:14:00 AM</v>
      </c>
      <c r="O9197" t="s">
        <v>27630</v>
      </c>
    </row>
    <row r="9198" spans="1:20" x14ac:dyDescent="0.25">
      <c r="A9198" t="str">
        <f>"3042133"</f>
        <v>3042133</v>
      </c>
      <c r="B9198" t="s">
        <v>27632</v>
      </c>
      <c r="C9198" t="str">
        <f>"82526281"</f>
        <v>82526281</v>
      </c>
      <c r="D9198" t="s">
        <v>27630</v>
      </c>
      <c r="F9198" t="s">
        <v>27631</v>
      </c>
      <c r="I9198" t="s">
        <v>2071</v>
      </c>
      <c r="J9198" t="s">
        <v>30</v>
      </c>
      <c r="K9198" t="s">
        <v>185</v>
      </c>
      <c r="M9198" t="s">
        <v>17861</v>
      </c>
      <c r="N9198" t="str">
        <f>"11/10/2015 10:14:00 AM"</f>
        <v>11/10/2015 10:14:00 AM</v>
      </c>
      <c r="O9198" t="s">
        <v>27630</v>
      </c>
    </row>
    <row r="9199" spans="1:20" x14ac:dyDescent="0.25">
      <c r="A9199" t="str">
        <f>"3042134"</f>
        <v>3042134</v>
      </c>
      <c r="B9199" t="s">
        <v>27633</v>
      </c>
      <c r="C9199" t="str">
        <f>"82526281"</f>
        <v>82526281</v>
      </c>
      <c r="D9199" t="s">
        <v>27630</v>
      </c>
      <c r="F9199" t="s">
        <v>27631</v>
      </c>
      <c r="I9199" t="s">
        <v>2071</v>
      </c>
      <c r="J9199" t="s">
        <v>30</v>
      </c>
      <c r="K9199" t="s">
        <v>185</v>
      </c>
      <c r="M9199" t="s">
        <v>17861</v>
      </c>
      <c r="N9199" t="str">
        <f>"11/10/2015 10:14:00 AM"</f>
        <v>11/10/2015 10:14:00 AM</v>
      </c>
      <c r="O9199" t="s">
        <v>27630</v>
      </c>
    </row>
    <row r="9200" spans="1:20" x14ac:dyDescent="0.25">
      <c r="A9200" t="str">
        <f>"3057645"</f>
        <v>3057645</v>
      </c>
      <c r="B9200" t="s">
        <v>27634</v>
      </c>
      <c r="C9200" t="str">
        <f>"82523009"</f>
        <v>82523009</v>
      </c>
      <c r="D9200" t="s">
        <v>27635</v>
      </c>
      <c r="F9200" t="s">
        <v>27636</v>
      </c>
      <c r="I9200" t="s">
        <v>184</v>
      </c>
      <c r="J9200" t="s">
        <v>30</v>
      </c>
      <c r="K9200" t="str">
        <f>"27006"</f>
        <v>27006</v>
      </c>
      <c r="M9200" t="s">
        <v>17861</v>
      </c>
      <c r="N9200" t="str">
        <f>"10/16/2015 3:53:00 PM"</f>
        <v>10/16/2015 3:53:00 PM</v>
      </c>
      <c r="O9200" t="s">
        <v>27635</v>
      </c>
    </row>
    <row r="9201" spans="1:20" x14ac:dyDescent="0.25">
      <c r="A9201" t="str">
        <f>"3044772"</f>
        <v>3044772</v>
      </c>
      <c r="B9201" t="s">
        <v>27637</v>
      </c>
      <c r="C9201" t="str">
        <f>"8305617"</f>
        <v>8305617</v>
      </c>
      <c r="D9201" t="s">
        <v>27638</v>
      </c>
      <c r="F9201" t="s">
        <v>27639</v>
      </c>
      <c r="I9201" t="s">
        <v>184</v>
      </c>
      <c r="J9201" t="s">
        <v>30</v>
      </c>
      <c r="K9201" t="str">
        <f>"27006"</f>
        <v>27006</v>
      </c>
      <c r="M9201" t="s">
        <v>17861</v>
      </c>
      <c r="N9201" t="str">
        <f>"10/19/2015 9:25:00 AM"</f>
        <v>10/19/2015 9:25:00 AM</v>
      </c>
      <c r="O9201" t="s">
        <v>27638</v>
      </c>
    </row>
    <row r="9202" spans="1:20" x14ac:dyDescent="0.25">
      <c r="A9202" t="str">
        <f>"3053382"</f>
        <v>3053382</v>
      </c>
      <c r="B9202" t="s">
        <v>27640</v>
      </c>
      <c r="C9202" t="str">
        <f>"8305736"</f>
        <v>8305736</v>
      </c>
      <c r="D9202" t="s">
        <v>27641</v>
      </c>
      <c r="F9202" t="s">
        <v>27642</v>
      </c>
      <c r="I9202" t="s">
        <v>27643</v>
      </c>
      <c r="J9202" t="s">
        <v>30</v>
      </c>
      <c r="K9202" t="str">
        <f>"27970"</f>
        <v>27970</v>
      </c>
      <c r="M9202" t="s">
        <v>17861</v>
      </c>
      <c r="N9202" t="str">
        <f>"11/13/2015 11:26:00 AM"</f>
        <v>11/13/2015 11:26:00 AM</v>
      </c>
      <c r="O9202" t="s">
        <v>27641</v>
      </c>
    </row>
    <row r="9203" spans="1:20" x14ac:dyDescent="0.25">
      <c r="A9203" t="str">
        <f>"3054965"</f>
        <v>3054965</v>
      </c>
      <c r="B9203" t="s">
        <v>27644</v>
      </c>
      <c r="C9203" t="str">
        <f>"8305736"</f>
        <v>8305736</v>
      </c>
      <c r="D9203" t="s">
        <v>27641</v>
      </c>
      <c r="F9203" t="s">
        <v>27642</v>
      </c>
      <c r="I9203" t="s">
        <v>27643</v>
      </c>
      <c r="J9203" t="s">
        <v>30</v>
      </c>
      <c r="K9203" t="str">
        <f>"27970"</f>
        <v>27970</v>
      </c>
      <c r="M9203" t="s">
        <v>17861</v>
      </c>
      <c r="N9203" t="str">
        <f>"11/13/2015 11:26:00 AM"</f>
        <v>11/13/2015 11:26:00 AM</v>
      </c>
      <c r="O9203" t="s">
        <v>27641</v>
      </c>
    </row>
    <row r="9204" spans="1:20" x14ac:dyDescent="0.25">
      <c r="A9204" t="str">
        <f>"3045672"</f>
        <v>3045672</v>
      </c>
      <c r="B9204" t="s">
        <v>27645</v>
      </c>
      <c r="C9204" t="str">
        <f>"82526421"</f>
        <v>82526421</v>
      </c>
      <c r="D9204" t="s">
        <v>27646</v>
      </c>
      <c r="E9204" t="s">
        <v>27647</v>
      </c>
      <c r="F9204" t="s">
        <v>27648</v>
      </c>
      <c r="I9204" t="s">
        <v>29</v>
      </c>
      <c r="J9204" t="s">
        <v>30</v>
      </c>
      <c r="K9204" t="s">
        <v>31</v>
      </c>
      <c r="M9204" t="s">
        <v>25733</v>
      </c>
      <c r="N9204" t="str">
        <f>"11/13/2015 3:12:00 PM"</f>
        <v>11/13/2015 3:12:00 PM</v>
      </c>
      <c r="O9204" t="s">
        <v>27646</v>
      </c>
      <c r="T9204" t="s">
        <v>27647</v>
      </c>
    </row>
    <row r="9205" spans="1:20" x14ac:dyDescent="0.25">
      <c r="A9205" t="str">
        <f>"3055865"</f>
        <v>3055865</v>
      </c>
      <c r="B9205" t="s">
        <v>27649</v>
      </c>
      <c r="C9205" t="str">
        <f>"8305620"</f>
        <v>8305620</v>
      </c>
      <c r="D9205" t="s">
        <v>27650</v>
      </c>
      <c r="E9205" t="s">
        <v>27651</v>
      </c>
      <c r="F9205" t="s">
        <v>27652</v>
      </c>
      <c r="I9205" t="s">
        <v>29</v>
      </c>
      <c r="J9205" t="s">
        <v>30</v>
      </c>
      <c r="K9205" t="str">
        <f>"27028"</f>
        <v>27028</v>
      </c>
      <c r="M9205" t="s">
        <v>17861</v>
      </c>
      <c r="N9205" t="str">
        <f>"10/19/2015 10:00:00 AM"</f>
        <v>10/19/2015 10:00:00 AM</v>
      </c>
      <c r="O9205" t="s">
        <v>27650</v>
      </c>
      <c r="T9205" t="s">
        <v>27651</v>
      </c>
    </row>
    <row r="9206" spans="1:20" x14ac:dyDescent="0.25">
      <c r="A9206" t="str">
        <f>"3045495"</f>
        <v>3045495</v>
      </c>
      <c r="B9206" t="s">
        <v>27653</v>
      </c>
      <c r="C9206" t="str">
        <f>"8305642"</f>
        <v>8305642</v>
      </c>
      <c r="D9206" t="s">
        <v>27654</v>
      </c>
      <c r="E9206" t="s">
        <v>27655</v>
      </c>
      <c r="F9206" t="s">
        <v>27656</v>
      </c>
      <c r="I9206" t="s">
        <v>1149</v>
      </c>
      <c r="J9206" t="s">
        <v>30</v>
      </c>
      <c r="K9206" t="str">
        <f>"28634"</f>
        <v>28634</v>
      </c>
      <c r="M9206" t="s">
        <v>17861</v>
      </c>
      <c r="N9206" t="str">
        <f>"10/19/2015 1:47:00 PM"</f>
        <v>10/19/2015 1:47:00 PM</v>
      </c>
      <c r="O9206" t="s">
        <v>27654</v>
      </c>
      <c r="T9206" t="s">
        <v>27655</v>
      </c>
    </row>
    <row r="9207" spans="1:20" x14ac:dyDescent="0.25">
      <c r="A9207" t="str">
        <f>"3046751"</f>
        <v>3046751</v>
      </c>
      <c r="B9207" t="s">
        <v>27657</v>
      </c>
      <c r="C9207" t="str">
        <f>"8305743"</f>
        <v>8305743</v>
      </c>
      <c r="D9207" t="s">
        <v>27658</v>
      </c>
      <c r="F9207" t="s">
        <v>27659</v>
      </c>
      <c r="I9207" t="s">
        <v>184</v>
      </c>
      <c r="J9207" t="s">
        <v>30</v>
      </c>
      <c r="K9207" t="str">
        <f>"27006"</f>
        <v>27006</v>
      </c>
      <c r="M9207" t="s">
        <v>17861</v>
      </c>
      <c r="N9207" t="str">
        <f>"11/24/2015 1:07:00 PM"</f>
        <v>11/24/2015 1:07:00 PM</v>
      </c>
      <c r="O9207" t="s">
        <v>27658</v>
      </c>
    </row>
    <row r="9208" spans="1:20" x14ac:dyDescent="0.25">
      <c r="A9208" t="str">
        <f>"3050457"</f>
        <v>3050457</v>
      </c>
      <c r="B9208" t="s">
        <v>27660</v>
      </c>
      <c r="C9208" t="str">
        <f>"8305643"</f>
        <v>8305643</v>
      </c>
      <c r="D9208" t="s">
        <v>27661</v>
      </c>
      <c r="E9208" t="s">
        <v>27662</v>
      </c>
      <c r="F9208" t="s">
        <v>27663</v>
      </c>
      <c r="I9208" t="s">
        <v>29</v>
      </c>
      <c r="J9208" t="s">
        <v>30</v>
      </c>
      <c r="K9208" t="str">
        <f>"27028"</f>
        <v>27028</v>
      </c>
      <c r="M9208" t="s">
        <v>17861</v>
      </c>
      <c r="N9208" t="str">
        <f>"10/19/2015 2:15:00 PM"</f>
        <v>10/19/2015 2:15:00 PM</v>
      </c>
      <c r="O9208" t="s">
        <v>27661</v>
      </c>
      <c r="T9208" t="s">
        <v>27662</v>
      </c>
    </row>
    <row r="9209" spans="1:20" x14ac:dyDescent="0.25">
      <c r="A9209" t="str">
        <f>"3045710"</f>
        <v>3045710</v>
      </c>
      <c r="B9209" t="s">
        <v>27664</v>
      </c>
      <c r="C9209" t="str">
        <f>"8305649"</f>
        <v>8305649</v>
      </c>
      <c r="D9209" t="s">
        <v>27665</v>
      </c>
      <c r="E9209" t="s">
        <v>27666</v>
      </c>
      <c r="F9209" t="s">
        <v>27667</v>
      </c>
      <c r="I9209" t="s">
        <v>29</v>
      </c>
      <c r="J9209" t="s">
        <v>30</v>
      </c>
      <c r="K9209" t="str">
        <f>"27028"</f>
        <v>27028</v>
      </c>
      <c r="M9209" t="s">
        <v>17861</v>
      </c>
      <c r="N9209" t="str">
        <f>"10/19/2015 3:12:00 PM"</f>
        <v>10/19/2015 3:12:00 PM</v>
      </c>
      <c r="O9209" t="s">
        <v>27665</v>
      </c>
      <c r="T9209" t="s">
        <v>27666</v>
      </c>
    </row>
    <row r="9210" spans="1:20" x14ac:dyDescent="0.25">
      <c r="A9210" t="str">
        <f>"3052119"</f>
        <v>3052119</v>
      </c>
      <c r="B9210" t="s">
        <v>27668</v>
      </c>
      <c r="C9210" t="str">
        <f>"8305752"</f>
        <v>8305752</v>
      </c>
      <c r="D9210" t="s">
        <v>27669</v>
      </c>
      <c r="F9210" t="s">
        <v>27670</v>
      </c>
      <c r="I9210" t="s">
        <v>29</v>
      </c>
      <c r="J9210" t="s">
        <v>30</v>
      </c>
      <c r="K9210" t="str">
        <f>"27028"</f>
        <v>27028</v>
      </c>
      <c r="M9210" t="s">
        <v>17861</v>
      </c>
      <c r="N9210" t="str">
        <f>"11/24/2015 3:55:00 PM"</f>
        <v>11/24/2015 3:55:00 PM</v>
      </c>
      <c r="O9210" t="s">
        <v>27669</v>
      </c>
    </row>
    <row r="9211" spans="1:20" x14ac:dyDescent="0.25">
      <c r="A9211" t="str">
        <f>"3039997"</f>
        <v>3039997</v>
      </c>
      <c r="B9211" t="s">
        <v>27671</v>
      </c>
      <c r="C9211" t="str">
        <f>"8305660"</f>
        <v>8305660</v>
      </c>
      <c r="D9211" t="s">
        <v>27672</v>
      </c>
      <c r="E9211" t="s">
        <v>27673</v>
      </c>
      <c r="F9211" t="s">
        <v>27674</v>
      </c>
      <c r="I9211" t="s">
        <v>29</v>
      </c>
      <c r="J9211" t="s">
        <v>30</v>
      </c>
      <c r="K9211" t="str">
        <f>"27028"</f>
        <v>27028</v>
      </c>
      <c r="M9211" t="s">
        <v>17861</v>
      </c>
      <c r="N9211" t="str">
        <f>"10/22/2015 4:37:00 PM"</f>
        <v>10/22/2015 4:37:00 PM</v>
      </c>
      <c r="O9211" t="s">
        <v>27672</v>
      </c>
      <c r="T9211" t="s">
        <v>27673</v>
      </c>
    </row>
    <row r="9212" spans="1:20" x14ac:dyDescent="0.25">
      <c r="A9212" t="str">
        <f>"3041415"</f>
        <v>3041415</v>
      </c>
      <c r="B9212" t="s">
        <v>27675</v>
      </c>
      <c r="C9212" t="str">
        <f>"8305755"</f>
        <v>8305755</v>
      </c>
      <c r="D9212" t="s">
        <v>27676</v>
      </c>
      <c r="F9212" t="s">
        <v>27677</v>
      </c>
      <c r="I9212" t="s">
        <v>27678</v>
      </c>
      <c r="J9212" t="s">
        <v>30</v>
      </c>
      <c r="K9212" t="str">
        <f>"27006"</f>
        <v>27006</v>
      </c>
      <c r="M9212" t="s">
        <v>17861</v>
      </c>
      <c r="N9212" t="str">
        <f>"11/24/2015 4:05:00 PM"</f>
        <v>11/24/2015 4:05:00 PM</v>
      </c>
      <c r="O9212" t="s">
        <v>27676</v>
      </c>
    </row>
    <row r="9213" spans="1:20" x14ac:dyDescent="0.25">
      <c r="A9213" t="str">
        <f>"3049890"</f>
        <v>3049890</v>
      </c>
      <c r="B9213" t="s">
        <v>27679</v>
      </c>
      <c r="C9213" t="str">
        <f>"8305598"</f>
        <v>8305598</v>
      </c>
      <c r="D9213" t="s">
        <v>27680</v>
      </c>
      <c r="E9213" t="s">
        <v>27681</v>
      </c>
      <c r="F9213" t="s">
        <v>27682</v>
      </c>
      <c r="I9213" t="s">
        <v>29</v>
      </c>
      <c r="J9213" t="s">
        <v>30</v>
      </c>
      <c r="K9213" t="str">
        <f>"27028"</f>
        <v>27028</v>
      </c>
      <c r="M9213" t="s">
        <v>17861</v>
      </c>
      <c r="N9213" t="str">
        <f>"11/24/2015 4:06:00 PM"</f>
        <v>11/24/2015 4:06:00 PM</v>
      </c>
      <c r="O9213" t="s">
        <v>27680</v>
      </c>
      <c r="T9213" t="s">
        <v>27681</v>
      </c>
    </row>
    <row r="9214" spans="1:20" x14ac:dyDescent="0.25">
      <c r="A9214" t="str">
        <f>"3060803"</f>
        <v>3060803</v>
      </c>
      <c r="B9214" t="s">
        <v>27683</v>
      </c>
      <c r="C9214" t="str">
        <f>"8305756"</f>
        <v>8305756</v>
      </c>
      <c r="D9214" t="s">
        <v>27684</v>
      </c>
      <c r="E9214" t="s">
        <v>27685</v>
      </c>
      <c r="F9214" t="s">
        <v>27686</v>
      </c>
      <c r="I9214" t="s">
        <v>184</v>
      </c>
      <c r="J9214" t="s">
        <v>30</v>
      </c>
      <c r="K9214" t="str">
        <f>"27006"</f>
        <v>27006</v>
      </c>
      <c r="M9214" t="s">
        <v>17861</v>
      </c>
      <c r="N9214" t="str">
        <f>"11/24/2015 4:09:00 PM"</f>
        <v>11/24/2015 4:09:00 PM</v>
      </c>
      <c r="O9214" t="s">
        <v>27684</v>
      </c>
      <c r="T9214" t="s">
        <v>27685</v>
      </c>
    </row>
    <row r="9215" spans="1:20" x14ac:dyDescent="0.25">
      <c r="A9215" t="str">
        <f>"3042346"</f>
        <v>3042346</v>
      </c>
      <c r="B9215" t="s">
        <v>27687</v>
      </c>
      <c r="C9215" t="str">
        <f>"8305757"</f>
        <v>8305757</v>
      </c>
      <c r="D9215" t="s">
        <v>27688</v>
      </c>
      <c r="E9215" t="s">
        <v>27689</v>
      </c>
      <c r="F9215" t="s">
        <v>27690</v>
      </c>
      <c r="I9215" t="s">
        <v>184</v>
      </c>
      <c r="J9215" t="s">
        <v>30</v>
      </c>
      <c r="K9215" t="str">
        <f>"27006"</f>
        <v>27006</v>
      </c>
      <c r="M9215" t="s">
        <v>17861</v>
      </c>
      <c r="N9215" t="str">
        <f>"11/24/2015 4:50:00 PM"</f>
        <v>11/24/2015 4:50:00 PM</v>
      </c>
      <c r="O9215" t="s">
        <v>27688</v>
      </c>
      <c r="T9215" t="s">
        <v>27689</v>
      </c>
    </row>
    <row r="9216" spans="1:20" x14ac:dyDescent="0.25">
      <c r="A9216" t="str">
        <f>"3060930"</f>
        <v>3060930</v>
      </c>
      <c r="B9216" t="s">
        <v>27691</v>
      </c>
      <c r="C9216" t="str">
        <f>"8305758"</f>
        <v>8305758</v>
      </c>
      <c r="D9216" t="s">
        <v>27692</v>
      </c>
      <c r="F9216" t="s">
        <v>27693</v>
      </c>
      <c r="I9216" t="s">
        <v>2071</v>
      </c>
      <c r="J9216" t="s">
        <v>30</v>
      </c>
      <c r="K9216" t="str">
        <f>"27006"</f>
        <v>27006</v>
      </c>
      <c r="M9216" t="s">
        <v>17861</v>
      </c>
      <c r="N9216" t="str">
        <f>"11/24/2015 4:55:00 PM"</f>
        <v>11/24/2015 4:55:00 PM</v>
      </c>
      <c r="O9216" t="s">
        <v>27692</v>
      </c>
    </row>
    <row r="9217" spans="1:20" x14ac:dyDescent="0.25">
      <c r="A9217" t="str">
        <f>"3050328"</f>
        <v>3050328</v>
      </c>
      <c r="B9217" t="s">
        <v>27694</v>
      </c>
      <c r="C9217" t="str">
        <f>"8305759"</f>
        <v>8305759</v>
      </c>
      <c r="D9217" t="s">
        <v>27695</v>
      </c>
      <c r="F9217" t="s">
        <v>27696</v>
      </c>
      <c r="I9217" t="s">
        <v>29</v>
      </c>
      <c r="J9217" t="s">
        <v>30</v>
      </c>
      <c r="K9217" t="str">
        <f>"27028"</f>
        <v>27028</v>
      </c>
      <c r="M9217" t="s">
        <v>17861</v>
      </c>
      <c r="N9217" t="str">
        <f>"11/25/2015 8:52:00 AM"</f>
        <v>11/25/2015 8:52:00 AM</v>
      </c>
      <c r="O9217" t="s">
        <v>27695</v>
      </c>
    </row>
    <row r="9218" spans="1:20" x14ac:dyDescent="0.25">
      <c r="A9218" t="str">
        <f>"3059399"</f>
        <v>3059399</v>
      </c>
      <c r="B9218" t="s">
        <v>27697</v>
      </c>
      <c r="C9218" t="str">
        <f>"8305760"</f>
        <v>8305760</v>
      </c>
      <c r="D9218" t="s">
        <v>14904</v>
      </c>
      <c r="F9218" t="s">
        <v>14905</v>
      </c>
      <c r="I9218" t="s">
        <v>29</v>
      </c>
      <c r="J9218" t="s">
        <v>30</v>
      </c>
      <c r="K9218" t="str">
        <f>"27028"</f>
        <v>27028</v>
      </c>
      <c r="M9218" t="s">
        <v>17861</v>
      </c>
      <c r="N9218" t="str">
        <f>"11/25/2015 9:26:00 AM"</f>
        <v>11/25/2015 9:26:00 AM</v>
      </c>
      <c r="O9218" t="s">
        <v>14904</v>
      </c>
    </row>
    <row r="9219" spans="1:20" x14ac:dyDescent="0.25">
      <c r="A9219" t="str">
        <f>"3078778"</f>
        <v>3078778</v>
      </c>
      <c r="B9219" t="s">
        <v>27698</v>
      </c>
      <c r="C9219" t="str">
        <f>"8305760"</f>
        <v>8305760</v>
      </c>
      <c r="D9219" t="s">
        <v>14904</v>
      </c>
      <c r="F9219" t="s">
        <v>14905</v>
      </c>
      <c r="I9219" t="s">
        <v>29</v>
      </c>
      <c r="J9219" t="s">
        <v>30</v>
      </c>
      <c r="K9219" t="str">
        <f>"27028"</f>
        <v>27028</v>
      </c>
      <c r="M9219" t="s">
        <v>17861</v>
      </c>
      <c r="N9219" t="str">
        <f>"11/25/2015 9:26:00 AM"</f>
        <v>11/25/2015 9:26:00 AM</v>
      </c>
      <c r="O9219" t="s">
        <v>14904</v>
      </c>
    </row>
    <row r="9220" spans="1:20" x14ac:dyDescent="0.25">
      <c r="A9220" t="str">
        <f>"3040986"</f>
        <v>3040986</v>
      </c>
      <c r="B9220" t="s">
        <v>27699</v>
      </c>
      <c r="C9220" t="str">
        <f>"8305762"</f>
        <v>8305762</v>
      </c>
      <c r="D9220" t="s">
        <v>27700</v>
      </c>
      <c r="F9220" t="s">
        <v>27701</v>
      </c>
      <c r="I9220" t="s">
        <v>184</v>
      </c>
      <c r="J9220" t="s">
        <v>30</v>
      </c>
      <c r="K9220" t="str">
        <f>"27006"</f>
        <v>27006</v>
      </c>
      <c r="M9220" t="s">
        <v>17861</v>
      </c>
      <c r="N9220" t="str">
        <f>"11/30/2015 11:26:00 AM"</f>
        <v>11/30/2015 11:26:00 AM</v>
      </c>
      <c r="O9220" t="s">
        <v>27700</v>
      </c>
    </row>
    <row r="9221" spans="1:20" x14ac:dyDescent="0.25">
      <c r="A9221" t="str">
        <f>"3104723"</f>
        <v>3104723</v>
      </c>
      <c r="B9221" t="s">
        <v>27702</v>
      </c>
      <c r="C9221" t="str">
        <f>"8305764"</f>
        <v>8305764</v>
      </c>
      <c r="D9221" t="s">
        <v>27703</v>
      </c>
      <c r="E9221" t="s">
        <v>27704</v>
      </c>
      <c r="F9221" t="s">
        <v>27705</v>
      </c>
      <c r="I9221" t="s">
        <v>29</v>
      </c>
      <c r="J9221" t="s">
        <v>30</v>
      </c>
      <c r="K9221" t="str">
        <f>"27028"</f>
        <v>27028</v>
      </c>
      <c r="M9221" t="s">
        <v>17861</v>
      </c>
      <c r="N9221" t="str">
        <f>"11/30/2015 1:31:00 PM"</f>
        <v>11/30/2015 1:31:00 PM</v>
      </c>
      <c r="O9221" t="s">
        <v>27703</v>
      </c>
      <c r="T9221" t="s">
        <v>27704</v>
      </c>
    </row>
    <row r="9222" spans="1:20" x14ac:dyDescent="0.25">
      <c r="A9222" t="str">
        <f>"3040092"</f>
        <v>3040092</v>
      </c>
      <c r="B9222" t="s">
        <v>27706</v>
      </c>
      <c r="C9222" t="str">
        <f>"8305660"</f>
        <v>8305660</v>
      </c>
      <c r="D9222" t="s">
        <v>27672</v>
      </c>
      <c r="E9222" t="s">
        <v>27673</v>
      </c>
      <c r="F9222" t="s">
        <v>27674</v>
      </c>
      <c r="I9222" t="s">
        <v>29</v>
      </c>
      <c r="J9222" t="s">
        <v>30</v>
      </c>
      <c r="K9222" t="str">
        <f>"27028"</f>
        <v>27028</v>
      </c>
      <c r="M9222" t="s">
        <v>17861</v>
      </c>
      <c r="N9222" t="str">
        <f>"10/22/2015 4:37:00 PM"</f>
        <v>10/22/2015 4:37:00 PM</v>
      </c>
      <c r="O9222" t="s">
        <v>27672</v>
      </c>
      <c r="T9222" t="s">
        <v>27673</v>
      </c>
    </row>
    <row r="9223" spans="1:20" x14ac:dyDescent="0.25">
      <c r="A9223" t="str">
        <f>"3050567"</f>
        <v>3050567</v>
      </c>
      <c r="B9223" t="s">
        <v>27707</v>
      </c>
      <c r="C9223" t="str">
        <f>"8305261"</f>
        <v>8305261</v>
      </c>
      <c r="D9223" t="s">
        <v>27708</v>
      </c>
      <c r="E9223" t="s">
        <v>27709</v>
      </c>
      <c r="F9223" t="s">
        <v>27710</v>
      </c>
      <c r="I9223" t="s">
        <v>184</v>
      </c>
      <c r="J9223" t="s">
        <v>30</v>
      </c>
      <c r="K9223" t="str">
        <f>"27006"</f>
        <v>27006</v>
      </c>
      <c r="M9223" t="s">
        <v>17861</v>
      </c>
      <c r="N9223" t="str">
        <f>"10/23/2015 4:37:00 PM"</f>
        <v>10/23/2015 4:37:00 PM</v>
      </c>
      <c r="O9223" t="s">
        <v>27708</v>
      </c>
      <c r="T9223" t="s">
        <v>27709</v>
      </c>
    </row>
    <row r="9224" spans="1:20" x14ac:dyDescent="0.25">
      <c r="A9224" t="str">
        <f>"3041258"</f>
        <v>3041258</v>
      </c>
      <c r="B9224" t="s">
        <v>27711</v>
      </c>
      <c r="C9224" t="str">
        <f>"8305770"</f>
        <v>8305770</v>
      </c>
      <c r="D9224" t="s">
        <v>27712</v>
      </c>
      <c r="E9224" t="s">
        <v>27713</v>
      </c>
      <c r="F9224" t="s">
        <v>27714</v>
      </c>
      <c r="I9224" t="s">
        <v>184</v>
      </c>
      <c r="J9224" t="s">
        <v>30</v>
      </c>
      <c r="K9224" t="str">
        <f>"27006"</f>
        <v>27006</v>
      </c>
      <c r="M9224" t="s">
        <v>17861</v>
      </c>
      <c r="N9224" t="str">
        <f>"12/1/2015 4:35:00 PM"</f>
        <v>12/1/2015 4:35:00 PM</v>
      </c>
      <c r="O9224" t="s">
        <v>27712</v>
      </c>
      <c r="T9224" t="s">
        <v>27713</v>
      </c>
    </row>
    <row r="9225" spans="1:20" x14ac:dyDescent="0.25">
      <c r="A9225" t="str">
        <f>"3058807"</f>
        <v>3058807</v>
      </c>
      <c r="B9225" t="s">
        <v>27715</v>
      </c>
      <c r="C9225" t="str">
        <f>"8305771"</f>
        <v>8305771</v>
      </c>
      <c r="D9225" t="s">
        <v>27716</v>
      </c>
      <c r="F9225" t="s">
        <v>27717</v>
      </c>
      <c r="I9225" t="s">
        <v>29</v>
      </c>
      <c r="J9225" t="s">
        <v>30</v>
      </c>
      <c r="K9225" t="str">
        <f>"27028"</f>
        <v>27028</v>
      </c>
      <c r="M9225" t="s">
        <v>17861</v>
      </c>
      <c r="N9225" t="str">
        <f>"12/1/2015 4:40:00 PM"</f>
        <v>12/1/2015 4:40:00 PM</v>
      </c>
      <c r="O9225" t="s">
        <v>27716</v>
      </c>
    </row>
    <row r="9226" spans="1:20" x14ac:dyDescent="0.25">
      <c r="A9226" t="str">
        <f>"3046901"</f>
        <v>3046901</v>
      </c>
      <c r="B9226" t="s">
        <v>27718</v>
      </c>
      <c r="C9226" t="str">
        <f>"8305662"</f>
        <v>8305662</v>
      </c>
      <c r="D9226" t="s">
        <v>27719</v>
      </c>
      <c r="E9226" t="s">
        <v>27720</v>
      </c>
      <c r="F9226" t="s">
        <v>8527</v>
      </c>
      <c r="I9226" t="s">
        <v>29</v>
      </c>
      <c r="J9226" t="s">
        <v>30</v>
      </c>
      <c r="K9226" t="str">
        <f>"27028"</f>
        <v>27028</v>
      </c>
      <c r="M9226" t="s">
        <v>17861</v>
      </c>
      <c r="N9226" t="str">
        <f>"10/27/2015 9:45:00 AM"</f>
        <v>10/27/2015 9:45:00 AM</v>
      </c>
      <c r="O9226" t="s">
        <v>27719</v>
      </c>
      <c r="T9226" t="s">
        <v>27720</v>
      </c>
    </row>
    <row r="9227" spans="1:20" x14ac:dyDescent="0.25">
      <c r="A9227" t="str">
        <f>"3046121"</f>
        <v>3046121</v>
      </c>
      <c r="B9227" t="s">
        <v>27721</v>
      </c>
      <c r="C9227" t="str">
        <f>"8305776"</f>
        <v>8305776</v>
      </c>
      <c r="D9227" t="s">
        <v>27722</v>
      </c>
      <c r="E9227" t="s">
        <v>27723</v>
      </c>
      <c r="F9227" t="s">
        <v>27724</v>
      </c>
      <c r="I9227" t="s">
        <v>29</v>
      </c>
      <c r="J9227" t="s">
        <v>30</v>
      </c>
      <c r="K9227" t="str">
        <f>"27028"</f>
        <v>27028</v>
      </c>
      <c r="M9227" t="s">
        <v>17861</v>
      </c>
      <c r="N9227" t="str">
        <f>"12/7/2015 9:59:00 AM"</f>
        <v>12/7/2015 9:59:00 AM</v>
      </c>
      <c r="O9227" t="s">
        <v>27722</v>
      </c>
      <c r="T9227" t="s">
        <v>27723</v>
      </c>
    </row>
    <row r="9228" spans="1:20" x14ac:dyDescent="0.25">
      <c r="A9228" t="str">
        <f>"3054607"</f>
        <v>3054607</v>
      </c>
      <c r="B9228" t="s">
        <v>27725</v>
      </c>
      <c r="C9228" t="str">
        <f>"8305778"</f>
        <v>8305778</v>
      </c>
      <c r="D9228" t="s">
        <v>27726</v>
      </c>
      <c r="F9228" t="s">
        <v>27727</v>
      </c>
      <c r="I9228" t="s">
        <v>29</v>
      </c>
      <c r="J9228" t="s">
        <v>30</v>
      </c>
      <c r="K9228" t="str">
        <f>"27028"</f>
        <v>27028</v>
      </c>
      <c r="M9228" t="s">
        <v>17861</v>
      </c>
      <c r="N9228" t="str">
        <f>"12/7/2015 10:14:00 AM"</f>
        <v>12/7/2015 10:14:00 AM</v>
      </c>
      <c r="O9228" t="s">
        <v>27726</v>
      </c>
    </row>
    <row r="9229" spans="1:20" x14ac:dyDescent="0.25">
      <c r="A9229" t="str">
        <f>"3061859"</f>
        <v>3061859</v>
      </c>
      <c r="B9229" t="s">
        <v>27728</v>
      </c>
      <c r="C9229" t="str">
        <f>"8305779"</f>
        <v>8305779</v>
      </c>
      <c r="D9229" t="s">
        <v>27729</v>
      </c>
      <c r="E9229" t="s">
        <v>27730</v>
      </c>
      <c r="F9229" t="s">
        <v>27731</v>
      </c>
      <c r="I9229" t="s">
        <v>29</v>
      </c>
      <c r="J9229" t="s">
        <v>30</v>
      </c>
      <c r="K9229" t="str">
        <f>"27028"</f>
        <v>27028</v>
      </c>
      <c r="M9229" t="s">
        <v>17861</v>
      </c>
      <c r="N9229" t="str">
        <f>"12/7/2015 10:42:00 AM"</f>
        <v>12/7/2015 10:42:00 AM</v>
      </c>
      <c r="O9229" t="s">
        <v>27729</v>
      </c>
      <c r="T9229" t="s">
        <v>27730</v>
      </c>
    </row>
    <row r="9230" spans="1:20" x14ac:dyDescent="0.25">
      <c r="A9230" t="str">
        <f>"3038393"</f>
        <v>3038393</v>
      </c>
      <c r="B9230" t="s">
        <v>27732</v>
      </c>
      <c r="C9230" t="str">
        <f>"82525187"</f>
        <v>82525187</v>
      </c>
      <c r="D9230" t="s">
        <v>27733</v>
      </c>
      <c r="E9230" t="s">
        <v>27734</v>
      </c>
      <c r="F9230" t="s">
        <v>27735</v>
      </c>
      <c r="I9230" t="s">
        <v>184</v>
      </c>
      <c r="J9230" t="s">
        <v>30</v>
      </c>
      <c r="K9230" t="s">
        <v>185</v>
      </c>
      <c r="M9230" t="s">
        <v>17861</v>
      </c>
      <c r="N9230" t="str">
        <f>"10/27/2015 1:45:00 PM"</f>
        <v>10/27/2015 1:45:00 PM</v>
      </c>
      <c r="O9230" t="s">
        <v>27733</v>
      </c>
      <c r="T9230" t="s">
        <v>27734</v>
      </c>
    </row>
    <row r="9231" spans="1:20" x14ac:dyDescent="0.25">
      <c r="A9231" t="str">
        <f>"3042033"</f>
        <v>3042033</v>
      </c>
      <c r="B9231" t="s">
        <v>27736</v>
      </c>
      <c r="C9231" t="str">
        <f>"8305782"</f>
        <v>8305782</v>
      </c>
      <c r="D9231" t="s">
        <v>27737</v>
      </c>
      <c r="F9231" t="s">
        <v>27738</v>
      </c>
      <c r="I9231" t="s">
        <v>964</v>
      </c>
      <c r="J9231" t="s">
        <v>30</v>
      </c>
      <c r="K9231" t="s">
        <v>27739</v>
      </c>
      <c r="M9231" t="s">
        <v>17861</v>
      </c>
      <c r="N9231" t="str">
        <f>"12/7/2015 1:56:00 PM"</f>
        <v>12/7/2015 1:56:00 PM</v>
      </c>
      <c r="O9231" t="s">
        <v>27737</v>
      </c>
    </row>
    <row r="9232" spans="1:20" x14ac:dyDescent="0.25">
      <c r="A9232" t="str">
        <f>"3052579"</f>
        <v>3052579</v>
      </c>
      <c r="B9232" t="s">
        <v>27740</v>
      </c>
      <c r="C9232" t="str">
        <f>"8305784"</f>
        <v>8305784</v>
      </c>
      <c r="D9232" t="s">
        <v>27741</v>
      </c>
      <c r="E9232" t="s">
        <v>27742</v>
      </c>
      <c r="F9232" t="s">
        <v>27743</v>
      </c>
      <c r="I9232" t="s">
        <v>29</v>
      </c>
      <c r="J9232" t="s">
        <v>30</v>
      </c>
      <c r="K9232" t="str">
        <f>"27028"</f>
        <v>27028</v>
      </c>
      <c r="M9232" t="s">
        <v>17861</v>
      </c>
      <c r="N9232" t="str">
        <f>"12/7/2015 3:04:00 PM"</f>
        <v>12/7/2015 3:04:00 PM</v>
      </c>
      <c r="O9232" t="s">
        <v>27741</v>
      </c>
      <c r="T9232" t="s">
        <v>27742</v>
      </c>
    </row>
    <row r="9233" spans="1:15" x14ac:dyDescent="0.25">
      <c r="A9233" t="str">
        <f>"3052370"</f>
        <v>3052370</v>
      </c>
      <c r="B9233" t="s">
        <v>27744</v>
      </c>
      <c r="C9233" t="str">
        <f>"8305785"</f>
        <v>8305785</v>
      </c>
      <c r="D9233" t="s">
        <v>27745</v>
      </c>
      <c r="F9233" t="s">
        <v>27746</v>
      </c>
      <c r="I9233" t="s">
        <v>29</v>
      </c>
      <c r="J9233" t="s">
        <v>30</v>
      </c>
      <c r="K9233" t="str">
        <f>"27028"</f>
        <v>27028</v>
      </c>
      <c r="M9233" t="s">
        <v>17861</v>
      </c>
      <c r="N9233" t="str">
        <f>"12/7/2015 4:42:00 PM"</f>
        <v>12/7/2015 4:42:00 PM</v>
      </c>
      <c r="O9233" t="s">
        <v>27745</v>
      </c>
    </row>
    <row r="9234" spans="1:15" x14ac:dyDescent="0.25">
      <c r="A9234" t="str">
        <f>"3063784"</f>
        <v>3063784</v>
      </c>
      <c r="B9234" t="s">
        <v>27747</v>
      </c>
      <c r="C9234" t="str">
        <f>"8305788"</f>
        <v>8305788</v>
      </c>
      <c r="D9234" t="s">
        <v>27748</v>
      </c>
      <c r="F9234" t="s">
        <v>27749</v>
      </c>
      <c r="I9234" t="s">
        <v>29</v>
      </c>
      <c r="J9234" t="s">
        <v>30</v>
      </c>
      <c r="K9234" t="str">
        <f>"27028"</f>
        <v>27028</v>
      </c>
      <c r="M9234" t="s">
        <v>17861</v>
      </c>
      <c r="N9234" t="str">
        <f>"12/7/2015 4:53:00 PM"</f>
        <v>12/7/2015 4:53:00 PM</v>
      </c>
      <c r="O9234" t="s">
        <v>27748</v>
      </c>
    </row>
    <row r="9235" spans="1:15" x14ac:dyDescent="0.25">
      <c r="A9235" t="str">
        <f>"3078841"</f>
        <v>3078841</v>
      </c>
      <c r="B9235" t="s">
        <v>27750</v>
      </c>
      <c r="C9235" t="str">
        <f t="shared" ref="C9235:C9248" si="148">"82513138"</f>
        <v>82513138</v>
      </c>
      <c r="D9235" t="s">
        <v>18357</v>
      </c>
      <c r="F9235" t="s">
        <v>16012</v>
      </c>
      <c r="I9235" t="s">
        <v>29</v>
      </c>
      <c r="J9235" t="s">
        <v>30</v>
      </c>
      <c r="K9235" t="s">
        <v>27751</v>
      </c>
      <c r="M9235" t="s">
        <v>18479</v>
      </c>
      <c r="N9235" t="str">
        <f t="shared" ref="N9235:N9248" si="149">"12/8/2015 10:20:00 AM"</f>
        <v>12/8/2015 10:20:00 AM</v>
      </c>
      <c r="O9235" t="s">
        <v>18357</v>
      </c>
    </row>
    <row r="9236" spans="1:15" x14ac:dyDescent="0.25">
      <c r="A9236" t="str">
        <f>"3078843"</f>
        <v>3078843</v>
      </c>
      <c r="B9236" t="s">
        <v>27752</v>
      </c>
      <c r="C9236" t="str">
        <f t="shared" si="148"/>
        <v>82513138</v>
      </c>
      <c r="D9236" t="s">
        <v>18357</v>
      </c>
      <c r="F9236" t="s">
        <v>16012</v>
      </c>
      <c r="I9236" t="s">
        <v>29</v>
      </c>
      <c r="J9236" t="s">
        <v>30</v>
      </c>
      <c r="K9236" t="s">
        <v>27751</v>
      </c>
      <c r="M9236" t="s">
        <v>18479</v>
      </c>
      <c r="N9236" t="str">
        <f t="shared" si="149"/>
        <v>12/8/2015 10:20:00 AM</v>
      </c>
      <c r="O9236" t="s">
        <v>18357</v>
      </c>
    </row>
    <row r="9237" spans="1:15" x14ac:dyDescent="0.25">
      <c r="A9237" t="str">
        <f>"3078846"</f>
        <v>3078846</v>
      </c>
      <c r="B9237" t="s">
        <v>27753</v>
      </c>
      <c r="C9237" t="str">
        <f t="shared" si="148"/>
        <v>82513138</v>
      </c>
      <c r="D9237" t="s">
        <v>18357</v>
      </c>
      <c r="F9237" t="s">
        <v>16012</v>
      </c>
      <c r="I9237" t="s">
        <v>29</v>
      </c>
      <c r="J9237" t="s">
        <v>30</v>
      </c>
      <c r="K9237" t="s">
        <v>27751</v>
      </c>
      <c r="M9237" t="s">
        <v>18479</v>
      </c>
      <c r="N9237" t="str">
        <f t="shared" si="149"/>
        <v>12/8/2015 10:20:00 AM</v>
      </c>
      <c r="O9237" t="s">
        <v>18357</v>
      </c>
    </row>
    <row r="9238" spans="1:15" x14ac:dyDescent="0.25">
      <c r="A9238" t="str">
        <f>"3078839"</f>
        <v>3078839</v>
      </c>
      <c r="B9238" t="s">
        <v>27754</v>
      </c>
      <c r="C9238" t="str">
        <f t="shared" si="148"/>
        <v>82513138</v>
      </c>
      <c r="D9238" t="s">
        <v>18357</v>
      </c>
      <c r="F9238" t="s">
        <v>16012</v>
      </c>
      <c r="I9238" t="s">
        <v>29</v>
      </c>
      <c r="J9238" t="s">
        <v>30</v>
      </c>
      <c r="K9238" t="s">
        <v>27751</v>
      </c>
      <c r="M9238" t="s">
        <v>18479</v>
      </c>
      <c r="N9238" t="str">
        <f t="shared" si="149"/>
        <v>12/8/2015 10:20:00 AM</v>
      </c>
      <c r="O9238" t="s">
        <v>18357</v>
      </c>
    </row>
    <row r="9239" spans="1:15" x14ac:dyDescent="0.25">
      <c r="A9239" t="str">
        <f>"3078848"</f>
        <v>3078848</v>
      </c>
      <c r="B9239" t="s">
        <v>27755</v>
      </c>
      <c r="C9239" t="str">
        <f t="shared" si="148"/>
        <v>82513138</v>
      </c>
      <c r="D9239" t="s">
        <v>18357</v>
      </c>
      <c r="F9239" t="s">
        <v>16012</v>
      </c>
      <c r="I9239" t="s">
        <v>29</v>
      </c>
      <c r="J9239" t="s">
        <v>30</v>
      </c>
      <c r="K9239" t="s">
        <v>27751</v>
      </c>
      <c r="M9239" t="s">
        <v>18479</v>
      </c>
      <c r="N9239" t="str">
        <f t="shared" si="149"/>
        <v>12/8/2015 10:20:00 AM</v>
      </c>
      <c r="O9239" t="s">
        <v>18357</v>
      </c>
    </row>
    <row r="9240" spans="1:15" x14ac:dyDescent="0.25">
      <c r="A9240" t="str">
        <f>"3078850"</f>
        <v>3078850</v>
      </c>
      <c r="B9240" t="s">
        <v>27756</v>
      </c>
      <c r="C9240" t="str">
        <f t="shared" si="148"/>
        <v>82513138</v>
      </c>
      <c r="D9240" t="s">
        <v>18357</v>
      </c>
      <c r="F9240" t="s">
        <v>16012</v>
      </c>
      <c r="I9240" t="s">
        <v>29</v>
      </c>
      <c r="J9240" t="s">
        <v>30</v>
      </c>
      <c r="K9240" t="s">
        <v>27751</v>
      </c>
      <c r="M9240" t="s">
        <v>18479</v>
      </c>
      <c r="N9240" t="str">
        <f t="shared" si="149"/>
        <v>12/8/2015 10:20:00 AM</v>
      </c>
      <c r="O9240" t="s">
        <v>18357</v>
      </c>
    </row>
    <row r="9241" spans="1:15" x14ac:dyDescent="0.25">
      <c r="A9241" t="str">
        <f>"3078852"</f>
        <v>3078852</v>
      </c>
      <c r="B9241" t="s">
        <v>27757</v>
      </c>
      <c r="C9241" t="str">
        <f t="shared" si="148"/>
        <v>82513138</v>
      </c>
      <c r="D9241" t="s">
        <v>18357</v>
      </c>
      <c r="F9241" t="s">
        <v>16012</v>
      </c>
      <c r="I9241" t="s">
        <v>29</v>
      </c>
      <c r="J9241" t="s">
        <v>30</v>
      </c>
      <c r="K9241" t="s">
        <v>27751</v>
      </c>
      <c r="M9241" t="s">
        <v>18479</v>
      </c>
      <c r="N9241" t="str">
        <f t="shared" si="149"/>
        <v>12/8/2015 10:20:00 AM</v>
      </c>
      <c r="O9241" t="s">
        <v>18357</v>
      </c>
    </row>
    <row r="9242" spans="1:15" x14ac:dyDescent="0.25">
      <c r="A9242" t="str">
        <f>"3078856"</f>
        <v>3078856</v>
      </c>
      <c r="B9242" t="s">
        <v>27758</v>
      </c>
      <c r="C9242" t="str">
        <f t="shared" si="148"/>
        <v>82513138</v>
      </c>
      <c r="D9242" t="s">
        <v>18357</v>
      </c>
      <c r="F9242" t="s">
        <v>16012</v>
      </c>
      <c r="I9242" t="s">
        <v>29</v>
      </c>
      <c r="J9242" t="s">
        <v>30</v>
      </c>
      <c r="K9242" t="s">
        <v>27751</v>
      </c>
      <c r="M9242" t="s">
        <v>18479</v>
      </c>
      <c r="N9242" t="str">
        <f t="shared" si="149"/>
        <v>12/8/2015 10:20:00 AM</v>
      </c>
      <c r="O9242" t="s">
        <v>18357</v>
      </c>
    </row>
    <row r="9243" spans="1:15" x14ac:dyDescent="0.25">
      <c r="A9243" t="str">
        <f>"3078860"</f>
        <v>3078860</v>
      </c>
      <c r="B9243" t="s">
        <v>27759</v>
      </c>
      <c r="C9243" t="str">
        <f t="shared" si="148"/>
        <v>82513138</v>
      </c>
      <c r="D9243" t="s">
        <v>18357</v>
      </c>
      <c r="F9243" t="s">
        <v>16012</v>
      </c>
      <c r="I9243" t="s">
        <v>29</v>
      </c>
      <c r="J9243" t="s">
        <v>30</v>
      </c>
      <c r="K9243" t="s">
        <v>27751</v>
      </c>
      <c r="M9243" t="s">
        <v>18479</v>
      </c>
      <c r="N9243" t="str">
        <f t="shared" si="149"/>
        <v>12/8/2015 10:20:00 AM</v>
      </c>
      <c r="O9243" t="s">
        <v>18357</v>
      </c>
    </row>
    <row r="9244" spans="1:15" x14ac:dyDescent="0.25">
      <c r="A9244" t="str">
        <f>"3057119"</f>
        <v>3057119</v>
      </c>
      <c r="B9244" t="s">
        <v>27760</v>
      </c>
      <c r="C9244" t="str">
        <f t="shared" si="148"/>
        <v>82513138</v>
      </c>
      <c r="D9244" t="s">
        <v>18357</v>
      </c>
      <c r="F9244" t="s">
        <v>16012</v>
      </c>
      <c r="I9244" t="s">
        <v>29</v>
      </c>
      <c r="J9244" t="s">
        <v>30</v>
      </c>
      <c r="K9244" t="s">
        <v>27751</v>
      </c>
      <c r="M9244" t="s">
        <v>18479</v>
      </c>
      <c r="N9244" t="str">
        <f t="shared" si="149"/>
        <v>12/8/2015 10:20:00 AM</v>
      </c>
      <c r="O9244" t="s">
        <v>18357</v>
      </c>
    </row>
    <row r="9245" spans="1:15" x14ac:dyDescent="0.25">
      <c r="A9245" t="str">
        <f>"3057120"</f>
        <v>3057120</v>
      </c>
      <c r="B9245" t="s">
        <v>27761</v>
      </c>
      <c r="C9245" t="str">
        <f t="shared" si="148"/>
        <v>82513138</v>
      </c>
      <c r="D9245" t="s">
        <v>18357</v>
      </c>
      <c r="F9245" t="s">
        <v>16012</v>
      </c>
      <c r="I9245" t="s">
        <v>29</v>
      </c>
      <c r="J9245" t="s">
        <v>30</v>
      </c>
      <c r="K9245" t="s">
        <v>27751</v>
      </c>
      <c r="M9245" t="s">
        <v>18479</v>
      </c>
      <c r="N9245" t="str">
        <f t="shared" si="149"/>
        <v>12/8/2015 10:20:00 AM</v>
      </c>
      <c r="O9245" t="s">
        <v>18357</v>
      </c>
    </row>
    <row r="9246" spans="1:15" x14ac:dyDescent="0.25">
      <c r="A9246" t="str">
        <f>"3056868"</f>
        <v>3056868</v>
      </c>
      <c r="B9246" t="s">
        <v>27762</v>
      </c>
      <c r="C9246" t="str">
        <f t="shared" si="148"/>
        <v>82513138</v>
      </c>
      <c r="D9246" t="s">
        <v>18357</v>
      </c>
      <c r="F9246" t="s">
        <v>16012</v>
      </c>
      <c r="I9246" t="s">
        <v>29</v>
      </c>
      <c r="J9246" t="s">
        <v>30</v>
      </c>
      <c r="K9246" t="s">
        <v>27751</v>
      </c>
      <c r="M9246" t="s">
        <v>18479</v>
      </c>
      <c r="N9246" t="str">
        <f t="shared" si="149"/>
        <v>12/8/2015 10:20:00 AM</v>
      </c>
      <c r="O9246" t="s">
        <v>18357</v>
      </c>
    </row>
    <row r="9247" spans="1:15" x14ac:dyDescent="0.25">
      <c r="A9247" t="str">
        <f>"3056822"</f>
        <v>3056822</v>
      </c>
      <c r="B9247" t="s">
        <v>27763</v>
      </c>
      <c r="C9247" t="str">
        <f t="shared" si="148"/>
        <v>82513138</v>
      </c>
      <c r="D9247" t="s">
        <v>18357</v>
      </c>
      <c r="F9247" t="s">
        <v>16012</v>
      </c>
      <c r="I9247" t="s">
        <v>29</v>
      </c>
      <c r="J9247" t="s">
        <v>30</v>
      </c>
      <c r="K9247" t="s">
        <v>27751</v>
      </c>
      <c r="M9247" t="s">
        <v>18479</v>
      </c>
      <c r="N9247" t="str">
        <f t="shared" si="149"/>
        <v>12/8/2015 10:20:00 AM</v>
      </c>
      <c r="O9247" t="s">
        <v>18357</v>
      </c>
    </row>
    <row r="9248" spans="1:15" x14ac:dyDescent="0.25">
      <c r="A9248" t="str">
        <f>"3056823"</f>
        <v>3056823</v>
      </c>
      <c r="B9248" t="s">
        <v>27764</v>
      </c>
      <c r="C9248" t="str">
        <f t="shared" si="148"/>
        <v>82513138</v>
      </c>
      <c r="D9248" t="s">
        <v>18357</v>
      </c>
      <c r="F9248" t="s">
        <v>16012</v>
      </c>
      <c r="I9248" t="s">
        <v>29</v>
      </c>
      <c r="J9248" t="s">
        <v>30</v>
      </c>
      <c r="K9248" t="s">
        <v>27751</v>
      </c>
      <c r="M9248" t="s">
        <v>18479</v>
      </c>
      <c r="N9248" t="str">
        <f t="shared" si="149"/>
        <v>12/8/2015 10:20:00 AM</v>
      </c>
      <c r="O9248" t="s">
        <v>18357</v>
      </c>
    </row>
    <row r="9249" spans="1:20" x14ac:dyDescent="0.25">
      <c r="A9249" t="str">
        <f>"3044434"</f>
        <v>3044434</v>
      </c>
      <c r="B9249" t="s">
        <v>27765</v>
      </c>
      <c r="C9249" t="str">
        <f>"8305668"</f>
        <v>8305668</v>
      </c>
      <c r="D9249" t="s">
        <v>27766</v>
      </c>
      <c r="E9249" t="s">
        <v>27767</v>
      </c>
      <c r="F9249" t="s">
        <v>27768</v>
      </c>
      <c r="I9249" t="s">
        <v>184</v>
      </c>
      <c r="J9249" t="s">
        <v>30</v>
      </c>
      <c r="K9249" t="str">
        <f>"27006"</f>
        <v>27006</v>
      </c>
      <c r="M9249" t="s">
        <v>17861</v>
      </c>
      <c r="N9249" t="str">
        <f>"10/28/2015 10:00:00 AM"</f>
        <v>10/28/2015 10:00:00 AM</v>
      </c>
      <c r="O9249" t="s">
        <v>27766</v>
      </c>
      <c r="T9249" t="s">
        <v>27767</v>
      </c>
    </row>
    <row r="9250" spans="1:20" x14ac:dyDescent="0.25">
      <c r="A9250" t="str">
        <f>"3074039"</f>
        <v>3074039</v>
      </c>
      <c r="B9250" t="s">
        <v>27769</v>
      </c>
      <c r="C9250" t="str">
        <f>"8305675"</f>
        <v>8305675</v>
      </c>
      <c r="D9250" t="s">
        <v>27770</v>
      </c>
      <c r="E9250" t="s">
        <v>27771</v>
      </c>
      <c r="F9250" t="s">
        <v>27772</v>
      </c>
      <c r="I9250" t="s">
        <v>29</v>
      </c>
      <c r="J9250" t="s">
        <v>30</v>
      </c>
      <c r="K9250" t="str">
        <f>"27028"</f>
        <v>27028</v>
      </c>
      <c r="M9250" t="s">
        <v>17861</v>
      </c>
      <c r="N9250" t="str">
        <f>"10/28/2015 1:29:00 PM"</f>
        <v>10/28/2015 1:29:00 PM</v>
      </c>
      <c r="O9250" t="s">
        <v>27770</v>
      </c>
      <c r="T9250" t="s">
        <v>27771</v>
      </c>
    </row>
    <row r="9251" spans="1:20" x14ac:dyDescent="0.25">
      <c r="A9251" t="str">
        <f>"3041071"</f>
        <v>3041071</v>
      </c>
      <c r="B9251" t="s">
        <v>27773</v>
      </c>
      <c r="C9251" t="str">
        <f>"8305804"</f>
        <v>8305804</v>
      </c>
      <c r="D9251" t="s">
        <v>24136</v>
      </c>
      <c r="F9251" t="s">
        <v>27774</v>
      </c>
      <c r="I9251" t="s">
        <v>27775</v>
      </c>
      <c r="J9251" t="s">
        <v>30</v>
      </c>
      <c r="K9251" t="str">
        <f>"27006"</f>
        <v>27006</v>
      </c>
      <c r="M9251" t="s">
        <v>17861</v>
      </c>
      <c r="N9251" t="str">
        <f>"12/10/2015 11:15:00 AM"</f>
        <v>12/10/2015 11:15:00 AM</v>
      </c>
      <c r="O9251" t="s">
        <v>24136</v>
      </c>
    </row>
    <row r="9252" spans="1:20" x14ac:dyDescent="0.25">
      <c r="A9252" t="str">
        <f>"3041102"</f>
        <v>3041102</v>
      </c>
      <c r="B9252" t="s">
        <v>27776</v>
      </c>
      <c r="C9252" t="str">
        <f>"8305804"</f>
        <v>8305804</v>
      </c>
      <c r="D9252" t="s">
        <v>24136</v>
      </c>
      <c r="F9252" t="s">
        <v>27774</v>
      </c>
      <c r="I9252" t="s">
        <v>27775</v>
      </c>
      <c r="J9252" t="s">
        <v>30</v>
      </c>
      <c r="K9252" t="str">
        <f>"27006"</f>
        <v>27006</v>
      </c>
      <c r="M9252" t="s">
        <v>17861</v>
      </c>
      <c r="N9252" t="str">
        <f>"12/10/2015 11:15:00 AM"</f>
        <v>12/10/2015 11:15:00 AM</v>
      </c>
      <c r="O9252" t="s">
        <v>24136</v>
      </c>
    </row>
    <row r="9253" spans="1:20" x14ac:dyDescent="0.25">
      <c r="A9253" t="str">
        <f>"3054721"</f>
        <v>3054721</v>
      </c>
      <c r="B9253" t="s">
        <v>27777</v>
      </c>
      <c r="C9253" t="str">
        <f>"8304264"</f>
        <v>8304264</v>
      </c>
      <c r="D9253" t="s">
        <v>27778</v>
      </c>
      <c r="F9253" t="s">
        <v>27779</v>
      </c>
      <c r="I9253" t="s">
        <v>9580</v>
      </c>
      <c r="J9253" t="s">
        <v>30</v>
      </c>
      <c r="K9253" t="str">
        <f>"27014"</f>
        <v>27014</v>
      </c>
      <c r="M9253" t="s">
        <v>17861</v>
      </c>
      <c r="N9253" t="str">
        <f>"11/2/2015 8:53:00 AM"</f>
        <v>11/2/2015 8:53:00 AM</v>
      </c>
      <c r="O9253" t="s">
        <v>27778</v>
      </c>
    </row>
    <row r="9254" spans="1:20" x14ac:dyDescent="0.25">
      <c r="A9254" t="str">
        <f>"3078429"</f>
        <v>3078429</v>
      </c>
      <c r="B9254" t="s">
        <v>27780</v>
      </c>
      <c r="C9254" t="str">
        <f>"80848900"</f>
        <v>80848900</v>
      </c>
      <c r="D9254" t="s">
        <v>22094</v>
      </c>
      <c r="F9254" t="s">
        <v>22096</v>
      </c>
      <c r="I9254" t="s">
        <v>29</v>
      </c>
      <c r="J9254" t="s">
        <v>30</v>
      </c>
      <c r="K9254" t="s">
        <v>31</v>
      </c>
      <c r="M9254" t="s">
        <v>27053</v>
      </c>
      <c r="N9254" t="str">
        <f>"12/11/2015 12:40:00 PM"</f>
        <v>12/11/2015 12:40:00 PM</v>
      </c>
      <c r="O9254" t="s">
        <v>22094</v>
      </c>
    </row>
    <row r="9255" spans="1:20" x14ac:dyDescent="0.25">
      <c r="A9255" t="str">
        <f>"3076993"</f>
        <v>3076993</v>
      </c>
      <c r="B9255" t="s">
        <v>27781</v>
      </c>
      <c r="C9255" t="str">
        <f>"8305689"</f>
        <v>8305689</v>
      </c>
      <c r="D9255" t="s">
        <v>27782</v>
      </c>
      <c r="F9255" t="s">
        <v>19791</v>
      </c>
      <c r="I9255" t="s">
        <v>29</v>
      </c>
      <c r="J9255" t="s">
        <v>30</v>
      </c>
      <c r="K9255" t="str">
        <f>"27028"</f>
        <v>27028</v>
      </c>
      <c r="M9255" t="s">
        <v>17861</v>
      </c>
      <c r="N9255" t="str">
        <f>"11/2/2015 1:19:00 PM"</f>
        <v>11/2/2015 1:19:00 PM</v>
      </c>
      <c r="O9255" t="s">
        <v>27782</v>
      </c>
    </row>
    <row r="9256" spans="1:20" x14ac:dyDescent="0.25">
      <c r="A9256" t="str">
        <f>"3038852"</f>
        <v>3038852</v>
      </c>
      <c r="B9256" t="s">
        <v>27783</v>
      </c>
      <c r="C9256" t="str">
        <f>"8305815"</f>
        <v>8305815</v>
      </c>
      <c r="D9256" t="s">
        <v>27784</v>
      </c>
      <c r="E9256" t="s">
        <v>27785</v>
      </c>
      <c r="F9256" t="s">
        <v>27786</v>
      </c>
      <c r="I9256" t="s">
        <v>29</v>
      </c>
      <c r="J9256" t="s">
        <v>30</v>
      </c>
      <c r="K9256" t="str">
        <f>"27028"</f>
        <v>27028</v>
      </c>
      <c r="M9256" t="s">
        <v>17861</v>
      </c>
      <c r="N9256" t="str">
        <f>"12/16/2015 4:04:00 PM"</f>
        <v>12/16/2015 4:04:00 PM</v>
      </c>
      <c r="O9256" t="s">
        <v>27784</v>
      </c>
      <c r="T9256" t="s">
        <v>27785</v>
      </c>
    </row>
    <row r="9257" spans="1:20" x14ac:dyDescent="0.25">
      <c r="A9257" t="str">
        <f>"3060536"</f>
        <v>3060536</v>
      </c>
      <c r="B9257" t="s">
        <v>27787</v>
      </c>
      <c r="C9257" t="str">
        <f>"8305820"</f>
        <v>8305820</v>
      </c>
      <c r="D9257" t="s">
        <v>27788</v>
      </c>
      <c r="E9257" t="s">
        <v>27789</v>
      </c>
      <c r="F9257" t="s">
        <v>27790</v>
      </c>
      <c r="I9257" t="s">
        <v>184</v>
      </c>
      <c r="J9257" t="s">
        <v>30</v>
      </c>
      <c r="K9257" t="str">
        <f>"27006"</f>
        <v>27006</v>
      </c>
      <c r="M9257" t="s">
        <v>17861</v>
      </c>
      <c r="N9257" t="str">
        <f>"12/17/2015 10:01:00 AM"</f>
        <v>12/17/2015 10:01:00 AM</v>
      </c>
      <c r="O9257" t="s">
        <v>27788</v>
      </c>
      <c r="T9257" t="s">
        <v>27789</v>
      </c>
    </row>
    <row r="9258" spans="1:20" x14ac:dyDescent="0.25">
      <c r="A9258" t="str">
        <f>"3055810"</f>
        <v>3055810</v>
      </c>
      <c r="B9258" t="s">
        <v>27791</v>
      </c>
      <c r="C9258" t="str">
        <f>"8305599"</f>
        <v>8305599</v>
      </c>
      <c r="D9258" t="s">
        <v>27792</v>
      </c>
      <c r="F9258" t="s">
        <v>27793</v>
      </c>
      <c r="I9258" t="s">
        <v>163</v>
      </c>
      <c r="J9258" t="s">
        <v>30</v>
      </c>
      <c r="K9258" t="str">
        <f>"27284"</f>
        <v>27284</v>
      </c>
      <c r="M9258" t="s">
        <v>17861</v>
      </c>
      <c r="N9258" t="str">
        <f>"10/12/2015 10:55:00 AM"</f>
        <v>10/12/2015 10:55:00 AM</v>
      </c>
      <c r="O9258" t="s">
        <v>27792</v>
      </c>
    </row>
    <row r="9259" spans="1:20" x14ac:dyDescent="0.25">
      <c r="A9259" t="str">
        <f>"3041779"</f>
        <v>3041779</v>
      </c>
      <c r="B9259" t="s">
        <v>27794</v>
      </c>
      <c r="C9259" t="str">
        <f>"8305602"</f>
        <v>8305602</v>
      </c>
      <c r="D9259" t="s">
        <v>27795</v>
      </c>
      <c r="E9259" t="s">
        <v>27796</v>
      </c>
      <c r="F9259" t="s">
        <v>27797</v>
      </c>
      <c r="I9259" t="s">
        <v>2071</v>
      </c>
      <c r="J9259" t="s">
        <v>30</v>
      </c>
      <c r="K9259" t="str">
        <f>"27006"</f>
        <v>27006</v>
      </c>
      <c r="M9259" t="s">
        <v>17861</v>
      </c>
      <c r="N9259" t="str">
        <f>"10/12/2015 12:28:00 PM"</f>
        <v>10/12/2015 12:28:00 PM</v>
      </c>
      <c r="O9259" t="s">
        <v>27795</v>
      </c>
      <c r="T9259" t="s">
        <v>27796</v>
      </c>
    </row>
    <row r="9260" spans="1:20" x14ac:dyDescent="0.25">
      <c r="A9260" t="str">
        <f>"3047285"</f>
        <v>3047285</v>
      </c>
      <c r="B9260" t="s">
        <v>27798</v>
      </c>
      <c r="C9260" t="str">
        <f>"8305713"</f>
        <v>8305713</v>
      </c>
      <c r="D9260" t="s">
        <v>27592</v>
      </c>
      <c r="F9260" t="s">
        <v>27593</v>
      </c>
      <c r="I9260" t="s">
        <v>402</v>
      </c>
      <c r="J9260" t="s">
        <v>30</v>
      </c>
      <c r="K9260" t="str">
        <f>"27012"</f>
        <v>27012</v>
      </c>
      <c r="M9260" t="s">
        <v>17861</v>
      </c>
      <c r="N9260" t="str">
        <f>"11/9/2015 2:38:00 PM"</f>
        <v>11/9/2015 2:38:00 PM</v>
      </c>
      <c r="O9260" t="s">
        <v>27592</v>
      </c>
    </row>
    <row r="9261" spans="1:20" x14ac:dyDescent="0.25">
      <c r="A9261" t="str">
        <f>"3043771"</f>
        <v>3043771</v>
      </c>
      <c r="B9261" t="s">
        <v>27799</v>
      </c>
      <c r="C9261" t="str">
        <f>"8305728"</f>
        <v>8305728</v>
      </c>
      <c r="D9261" t="s">
        <v>27800</v>
      </c>
      <c r="E9261" t="s">
        <v>27801</v>
      </c>
      <c r="F9261" t="s">
        <v>27802</v>
      </c>
      <c r="I9261" t="s">
        <v>402</v>
      </c>
      <c r="J9261" t="s">
        <v>30</v>
      </c>
      <c r="K9261" t="str">
        <f>"27012"</f>
        <v>27012</v>
      </c>
      <c r="M9261" t="s">
        <v>17861</v>
      </c>
      <c r="N9261" t="str">
        <f>"11/9/2015 4:30:00 PM"</f>
        <v>11/9/2015 4:30:00 PM</v>
      </c>
      <c r="O9261" t="s">
        <v>27800</v>
      </c>
      <c r="T9261" t="s">
        <v>27801</v>
      </c>
    </row>
    <row r="9262" spans="1:20" x14ac:dyDescent="0.25">
      <c r="A9262" t="str">
        <f>"3058871"</f>
        <v>3058871</v>
      </c>
      <c r="B9262" t="s">
        <v>27803</v>
      </c>
      <c r="C9262" t="str">
        <f>"8305828"</f>
        <v>8305828</v>
      </c>
      <c r="D9262" t="s">
        <v>27804</v>
      </c>
      <c r="F9262" t="s">
        <v>27805</v>
      </c>
      <c r="I9262" t="s">
        <v>29</v>
      </c>
      <c r="J9262" t="s">
        <v>30</v>
      </c>
      <c r="K9262" t="str">
        <f>"27028"</f>
        <v>27028</v>
      </c>
      <c r="M9262" t="s">
        <v>17861</v>
      </c>
      <c r="N9262" t="str">
        <f>"12/17/2015 1:37:00 PM"</f>
        <v>12/17/2015 1:37:00 PM</v>
      </c>
      <c r="O9262" t="s">
        <v>27804</v>
      </c>
    </row>
    <row r="9263" spans="1:20" x14ac:dyDescent="0.25">
      <c r="A9263" t="str">
        <f>"3041264"</f>
        <v>3041264</v>
      </c>
      <c r="B9263" t="s">
        <v>27806</v>
      </c>
      <c r="C9263" t="str">
        <f>"8305057"</f>
        <v>8305057</v>
      </c>
      <c r="D9263" t="s">
        <v>27807</v>
      </c>
      <c r="E9263" t="s">
        <v>27808</v>
      </c>
      <c r="F9263" t="s">
        <v>27809</v>
      </c>
      <c r="I9263" t="s">
        <v>2071</v>
      </c>
      <c r="J9263" t="s">
        <v>30</v>
      </c>
      <c r="K9263" t="str">
        <f>"27006"</f>
        <v>27006</v>
      </c>
      <c r="M9263" t="s">
        <v>17861</v>
      </c>
      <c r="N9263" t="str">
        <f>"11/10/2015 10:13:00 AM"</f>
        <v>11/10/2015 10:13:00 AM</v>
      </c>
      <c r="O9263" t="s">
        <v>27807</v>
      </c>
      <c r="T9263" t="s">
        <v>27808</v>
      </c>
    </row>
    <row r="9264" spans="1:20" x14ac:dyDescent="0.25">
      <c r="A9264" t="str">
        <f>"3038512"</f>
        <v>3038512</v>
      </c>
      <c r="B9264" t="s">
        <v>27810</v>
      </c>
      <c r="C9264" t="str">
        <f>"8305731"</f>
        <v>8305731</v>
      </c>
      <c r="D9264" t="s">
        <v>27811</v>
      </c>
      <c r="F9264" t="s">
        <v>1559</v>
      </c>
      <c r="I9264" t="s">
        <v>29</v>
      </c>
      <c r="J9264" t="s">
        <v>30</v>
      </c>
      <c r="K9264" t="str">
        <f>"27028"</f>
        <v>27028</v>
      </c>
      <c r="M9264" t="s">
        <v>17861</v>
      </c>
      <c r="N9264" t="str">
        <f>"11/10/2015 3:38:00 PM"</f>
        <v>11/10/2015 3:38:00 PM</v>
      </c>
      <c r="O9264" t="s">
        <v>27811</v>
      </c>
    </row>
    <row r="9265" spans="1:20" x14ac:dyDescent="0.25">
      <c r="A9265" t="str">
        <f>"3038140"</f>
        <v>3038140</v>
      </c>
      <c r="B9265" t="s">
        <v>27812</v>
      </c>
      <c r="C9265" t="str">
        <f>"23244000"</f>
        <v>23244000</v>
      </c>
      <c r="D9265" t="s">
        <v>27813</v>
      </c>
      <c r="E9265" t="s">
        <v>27814</v>
      </c>
      <c r="F9265" t="s">
        <v>27815</v>
      </c>
      <c r="I9265" t="s">
        <v>29</v>
      </c>
      <c r="J9265" t="s">
        <v>30</v>
      </c>
      <c r="K9265" t="s">
        <v>31</v>
      </c>
      <c r="M9265" t="s">
        <v>25625</v>
      </c>
      <c r="N9265" t="str">
        <f>"12/17/2015 2:05:00 PM"</f>
        <v>12/17/2015 2:05:00 PM</v>
      </c>
      <c r="O9265" t="s">
        <v>27813</v>
      </c>
      <c r="T9265" t="s">
        <v>27814</v>
      </c>
    </row>
    <row r="9266" spans="1:20" x14ac:dyDescent="0.25">
      <c r="A9266" t="str">
        <f>"3076871"</f>
        <v>3076871</v>
      </c>
      <c r="B9266" t="s">
        <v>27816</v>
      </c>
      <c r="C9266" t="str">
        <f>"23244000"</f>
        <v>23244000</v>
      </c>
      <c r="D9266" t="s">
        <v>27813</v>
      </c>
      <c r="E9266" t="s">
        <v>27814</v>
      </c>
      <c r="F9266" t="s">
        <v>27815</v>
      </c>
      <c r="I9266" t="s">
        <v>29</v>
      </c>
      <c r="J9266" t="s">
        <v>30</v>
      </c>
      <c r="K9266" t="s">
        <v>31</v>
      </c>
      <c r="M9266" t="s">
        <v>25625</v>
      </c>
      <c r="N9266" t="str">
        <f>"12/17/2015 2:05:00 PM"</f>
        <v>12/17/2015 2:05:00 PM</v>
      </c>
      <c r="O9266" t="s">
        <v>27813</v>
      </c>
      <c r="T9266" t="s">
        <v>27814</v>
      </c>
    </row>
    <row r="9267" spans="1:20" x14ac:dyDescent="0.25">
      <c r="A9267" t="str">
        <f>"3044282"</f>
        <v>3044282</v>
      </c>
      <c r="B9267" t="s">
        <v>27817</v>
      </c>
      <c r="C9267" t="str">
        <f>"8305833"</f>
        <v>8305833</v>
      </c>
      <c r="D9267" t="s">
        <v>27818</v>
      </c>
      <c r="E9267" t="s">
        <v>27819</v>
      </c>
      <c r="F9267" t="s">
        <v>27820</v>
      </c>
      <c r="I9267" t="s">
        <v>184</v>
      </c>
      <c r="J9267" t="s">
        <v>30</v>
      </c>
      <c r="K9267" t="str">
        <f>"27006"</f>
        <v>27006</v>
      </c>
      <c r="M9267" t="s">
        <v>17861</v>
      </c>
      <c r="N9267" t="str">
        <f>"12/18/2015 9:39:00 AM"</f>
        <v>12/18/2015 9:39:00 AM</v>
      </c>
      <c r="O9267" t="s">
        <v>27818</v>
      </c>
      <c r="T9267" t="s">
        <v>27819</v>
      </c>
    </row>
    <row r="9268" spans="1:20" x14ac:dyDescent="0.25">
      <c r="A9268" t="str">
        <f>"3050979"</f>
        <v>3050979</v>
      </c>
      <c r="B9268" t="s">
        <v>27821</v>
      </c>
      <c r="C9268" t="str">
        <f>"8305736"</f>
        <v>8305736</v>
      </c>
      <c r="D9268" t="s">
        <v>27641</v>
      </c>
      <c r="F9268" t="s">
        <v>27642</v>
      </c>
      <c r="I9268" t="s">
        <v>27643</v>
      </c>
      <c r="J9268" t="s">
        <v>30</v>
      </c>
      <c r="K9268" t="str">
        <f>"27970"</f>
        <v>27970</v>
      </c>
      <c r="M9268" t="s">
        <v>17861</v>
      </c>
      <c r="N9268" t="str">
        <f>"11/13/2015 11:26:00 AM"</f>
        <v>11/13/2015 11:26:00 AM</v>
      </c>
      <c r="O9268" t="s">
        <v>27641</v>
      </c>
    </row>
    <row r="9269" spans="1:20" x14ac:dyDescent="0.25">
      <c r="A9269" t="str">
        <f>"3049019"</f>
        <v>3049019</v>
      </c>
      <c r="B9269" t="s">
        <v>27822</v>
      </c>
      <c r="C9269" t="str">
        <f>"39987300"</f>
        <v>39987300</v>
      </c>
      <c r="D9269" t="s">
        <v>27823</v>
      </c>
      <c r="F9269" t="s">
        <v>27824</v>
      </c>
      <c r="I9269" t="s">
        <v>29</v>
      </c>
      <c r="J9269" t="s">
        <v>30</v>
      </c>
      <c r="K9269" t="s">
        <v>31</v>
      </c>
      <c r="M9269" t="s">
        <v>25494</v>
      </c>
      <c r="N9269" t="str">
        <f>"11/16/2015 12:23:00 PM"</f>
        <v>11/16/2015 12:23:00 PM</v>
      </c>
      <c r="O9269" t="s">
        <v>27823</v>
      </c>
    </row>
    <row r="9270" spans="1:20" x14ac:dyDescent="0.25">
      <c r="A9270" t="str">
        <f>"3040322"</f>
        <v>3040322</v>
      </c>
      <c r="B9270" t="s">
        <v>27825</v>
      </c>
      <c r="C9270" t="str">
        <f>"82526183"</f>
        <v>82526183</v>
      </c>
      <c r="D9270" t="s">
        <v>27826</v>
      </c>
      <c r="F9270" t="s">
        <v>3116</v>
      </c>
      <c r="I9270" t="s">
        <v>184</v>
      </c>
      <c r="J9270" t="s">
        <v>30</v>
      </c>
      <c r="K9270" t="s">
        <v>185</v>
      </c>
      <c r="M9270" t="s">
        <v>25625</v>
      </c>
      <c r="N9270" t="str">
        <f>"12/21/2015 12:29:00 PM"</f>
        <v>12/21/2015 12:29:00 PM</v>
      </c>
      <c r="O9270" t="s">
        <v>27826</v>
      </c>
      <c r="T9270" t="s">
        <v>27826</v>
      </c>
    </row>
    <row r="9271" spans="1:20" x14ac:dyDescent="0.25">
      <c r="A9271" t="str">
        <f>"3076720"</f>
        <v>3076720</v>
      </c>
      <c r="B9271" t="s">
        <v>27827</v>
      </c>
      <c r="C9271" t="str">
        <f>"82526183"</f>
        <v>82526183</v>
      </c>
      <c r="D9271" t="s">
        <v>27826</v>
      </c>
      <c r="F9271" t="s">
        <v>3116</v>
      </c>
      <c r="I9271" t="s">
        <v>184</v>
      </c>
      <c r="J9271" t="s">
        <v>30</v>
      </c>
      <c r="K9271" t="s">
        <v>185</v>
      </c>
      <c r="M9271" t="s">
        <v>25625</v>
      </c>
      <c r="N9271" t="str">
        <f>"12/21/2015 12:29:00 PM"</f>
        <v>12/21/2015 12:29:00 PM</v>
      </c>
      <c r="O9271" t="s">
        <v>27826</v>
      </c>
      <c r="T9271" t="s">
        <v>27826</v>
      </c>
    </row>
    <row r="9272" spans="1:20" x14ac:dyDescent="0.25">
      <c r="A9272" t="str">
        <f>"3048222"</f>
        <v>3048222</v>
      </c>
      <c r="B9272" t="s">
        <v>27828</v>
      </c>
      <c r="C9272" t="str">
        <f>"8305844"</f>
        <v>8305844</v>
      </c>
      <c r="D9272" t="s">
        <v>27829</v>
      </c>
      <c r="F9272" t="s">
        <v>27830</v>
      </c>
      <c r="I9272" t="s">
        <v>29</v>
      </c>
      <c r="J9272" t="s">
        <v>30</v>
      </c>
      <c r="K9272" t="str">
        <f>"27028"</f>
        <v>27028</v>
      </c>
      <c r="M9272" t="s">
        <v>17861</v>
      </c>
      <c r="N9272" t="str">
        <f>"12/21/2015 3:40:00 PM"</f>
        <v>12/21/2015 3:40:00 PM</v>
      </c>
      <c r="O9272" t="s">
        <v>27829</v>
      </c>
    </row>
    <row r="9273" spans="1:20" x14ac:dyDescent="0.25">
      <c r="A9273" t="str">
        <f>"3046389"</f>
        <v>3046389</v>
      </c>
      <c r="B9273" t="s">
        <v>27831</v>
      </c>
      <c r="C9273" t="str">
        <f>"78020000"</f>
        <v>78020000</v>
      </c>
      <c r="D9273" t="s">
        <v>27832</v>
      </c>
      <c r="E9273" t="s">
        <v>27833</v>
      </c>
      <c r="F9273" t="s">
        <v>27834</v>
      </c>
      <c r="I9273" t="s">
        <v>29</v>
      </c>
      <c r="J9273" t="s">
        <v>30</v>
      </c>
      <c r="K9273" t="s">
        <v>27835</v>
      </c>
      <c r="M9273" t="s">
        <v>25625</v>
      </c>
      <c r="N9273" t="str">
        <f>"12/22/2015 9:21:00 AM"</f>
        <v>12/22/2015 9:21:00 AM</v>
      </c>
      <c r="O9273" t="s">
        <v>27832</v>
      </c>
      <c r="T9273" t="s">
        <v>27833</v>
      </c>
    </row>
    <row r="9274" spans="1:20" x14ac:dyDescent="0.25">
      <c r="A9274" t="str">
        <f>"3046640"</f>
        <v>3046640</v>
      </c>
      <c r="B9274" t="s">
        <v>27836</v>
      </c>
      <c r="C9274" t="str">
        <f>"8305743"</f>
        <v>8305743</v>
      </c>
      <c r="D9274" t="s">
        <v>27658</v>
      </c>
      <c r="F9274" t="s">
        <v>27659</v>
      </c>
      <c r="I9274" t="s">
        <v>184</v>
      </c>
      <c r="J9274" t="s">
        <v>30</v>
      </c>
      <c r="K9274" t="str">
        <f>"27006"</f>
        <v>27006</v>
      </c>
      <c r="M9274" t="s">
        <v>17861</v>
      </c>
      <c r="N9274" t="str">
        <f>"11/24/2015 1:07:00 PM"</f>
        <v>11/24/2015 1:07:00 PM</v>
      </c>
      <c r="O9274" t="s">
        <v>27658</v>
      </c>
    </row>
    <row r="9275" spans="1:20" x14ac:dyDescent="0.25">
      <c r="A9275" t="str">
        <f>"3058315"</f>
        <v>3058315</v>
      </c>
      <c r="B9275" t="s">
        <v>27837</v>
      </c>
      <c r="C9275" t="str">
        <f>"3300000"</f>
        <v>3300000</v>
      </c>
      <c r="D9275" t="s">
        <v>27838</v>
      </c>
      <c r="E9275" t="s">
        <v>27839</v>
      </c>
      <c r="F9275" t="s">
        <v>27840</v>
      </c>
      <c r="I9275" t="s">
        <v>29</v>
      </c>
      <c r="J9275" t="s">
        <v>30</v>
      </c>
      <c r="K9275" t="s">
        <v>31</v>
      </c>
      <c r="M9275" t="s">
        <v>25733</v>
      </c>
      <c r="N9275" t="str">
        <f>"11/24/2015 2:23:00 PM"</f>
        <v>11/24/2015 2:23:00 PM</v>
      </c>
      <c r="O9275" t="s">
        <v>27838</v>
      </c>
      <c r="T9275" t="s">
        <v>27839</v>
      </c>
    </row>
    <row r="9276" spans="1:20" x14ac:dyDescent="0.25">
      <c r="A9276" t="str">
        <f>"3059515"</f>
        <v>3059515</v>
      </c>
      <c r="B9276" t="s">
        <v>27841</v>
      </c>
      <c r="C9276" t="str">
        <f>"8305850"</f>
        <v>8305850</v>
      </c>
      <c r="D9276" t="s">
        <v>27842</v>
      </c>
      <c r="E9276" t="s">
        <v>27843</v>
      </c>
      <c r="F9276" t="s">
        <v>27844</v>
      </c>
      <c r="I9276" t="s">
        <v>29</v>
      </c>
      <c r="J9276" t="s">
        <v>30</v>
      </c>
      <c r="K9276" t="str">
        <f>"27028"</f>
        <v>27028</v>
      </c>
      <c r="M9276" t="s">
        <v>17861</v>
      </c>
      <c r="N9276" t="str">
        <f>"12/22/2015 2:49:00 PM"</f>
        <v>12/22/2015 2:49:00 PM</v>
      </c>
      <c r="O9276" t="s">
        <v>27842</v>
      </c>
      <c r="T9276" t="s">
        <v>27843</v>
      </c>
    </row>
    <row r="9277" spans="1:20" x14ac:dyDescent="0.25">
      <c r="A9277" t="str">
        <f>"3045477"</f>
        <v>3045477</v>
      </c>
      <c r="B9277" t="s">
        <v>27845</v>
      </c>
      <c r="C9277" t="str">
        <f>"82525643"</f>
        <v>82525643</v>
      </c>
      <c r="D9277" t="s">
        <v>27846</v>
      </c>
      <c r="F9277" t="s">
        <v>27847</v>
      </c>
      <c r="I9277" t="s">
        <v>29</v>
      </c>
      <c r="J9277" t="s">
        <v>30</v>
      </c>
      <c r="K9277" t="s">
        <v>31</v>
      </c>
      <c r="M9277" t="s">
        <v>17861</v>
      </c>
      <c r="N9277" t="str">
        <f>"12/28/2015 9:49:00 AM"</f>
        <v>12/28/2015 9:49:00 AM</v>
      </c>
      <c r="O9277" t="s">
        <v>27846</v>
      </c>
    </row>
    <row r="9278" spans="1:20" x14ac:dyDescent="0.25">
      <c r="A9278" t="str">
        <f>"3045136"</f>
        <v>3045136</v>
      </c>
      <c r="B9278" t="s">
        <v>27848</v>
      </c>
      <c r="C9278" t="str">
        <f>"82525643"</f>
        <v>82525643</v>
      </c>
      <c r="D9278" t="s">
        <v>27846</v>
      </c>
      <c r="F9278" t="s">
        <v>27847</v>
      </c>
      <c r="I9278" t="s">
        <v>29</v>
      </c>
      <c r="J9278" t="s">
        <v>30</v>
      </c>
      <c r="K9278" t="s">
        <v>31</v>
      </c>
      <c r="M9278" t="s">
        <v>17861</v>
      </c>
      <c r="N9278" t="str">
        <f>"12/28/2015 9:49:00 AM"</f>
        <v>12/28/2015 9:49:00 AM</v>
      </c>
      <c r="O9278" t="s">
        <v>27846</v>
      </c>
    </row>
    <row r="9279" spans="1:20" x14ac:dyDescent="0.25">
      <c r="A9279" t="str">
        <f>"3051744"</f>
        <v>3051744</v>
      </c>
      <c r="B9279" t="s">
        <v>27849</v>
      </c>
      <c r="C9279" t="str">
        <f>"8305752"</f>
        <v>8305752</v>
      </c>
      <c r="D9279" t="s">
        <v>27669</v>
      </c>
      <c r="F9279" t="s">
        <v>27670</v>
      </c>
      <c r="I9279" t="s">
        <v>29</v>
      </c>
      <c r="J9279" t="s">
        <v>30</v>
      </c>
      <c r="K9279" t="str">
        <f t="shared" ref="K9279:K9284" si="150">"27028"</f>
        <v>27028</v>
      </c>
      <c r="M9279" t="s">
        <v>17861</v>
      </c>
      <c r="N9279" t="str">
        <f>"11/24/2015 3:55:00 PM"</f>
        <v>11/24/2015 3:55:00 PM</v>
      </c>
      <c r="O9279" t="s">
        <v>27669</v>
      </c>
    </row>
    <row r="9280" spans="1:20" x14ac:dyDescent="0.25">
      <c r="A9280" t="str">
        <f>"3042890"</f>
        <v>3042890</v>
      </c>
      <c r="B9280" t="s">
        <v>27850</v>
      </c>
      <c r="C9280" t="str">
        <f>"8305754"</f>
        <v>8305754</v>
      </c>
      <c r="D9280" t="s">
        <v>27851</v>
      </c>
      <c r="E9280" t="s">
        <v>27852</v>
      </c>
      <c r="F9280" t="s">
        <v>27853</v>
      </c>
      <c r="I9280" t="s">
        <v>29</v>
      </c>
      <c r="J9280" t="s">
        <v>30</v>
      </c>
      <c r="K9280" t="str">
        <f t="shared" si="150"/>
        <v>27028</v>
      </c>
      <c r="M9280" t="s">
        <v>17861</v>
      </c>
      <c r="N9280" t="str">
        <f>"11/24/2015 4:01:00 PM"</f>
        <v>11/24/2015 4:01:00 PM</v>
      </c>
      <c r="O9280" t="s">
        <v>27851</v>
      </c>
      <c r="T9280" t="s">
        <v>27852</v>
      </c>
    </row>
    <row r="9281" spans="1:20" x14ac:dyDescent="0.25">
      <c r="A9281" t="str">
        <f>"3053931"</f>
        <v>3053931</v>
      </c>
      <c r="B9281" t="s">
        <v>27854</v>
      </c>
      <c r="C9281" t="str">
        <f>"8305767"</f>
        <v>8305767</v>
      </c>
      <c r="D9281" t="s">
        <v>27855</v>
      </c>
      <c r="F9281" t="s">
        <v>27856</v>
      </c>
      <c r="I9281" t="s">
        <v>29</v>
      </c>
      <c r="J9281" t="s">
        <v>30</v>
      </c>
      <c r="K9281" t="str">
        <f t="shared" si="150"/>
        <v>27028</v>
      </c>
      <c r="M9281" t="s">
        <v>17861</v>
      </c>
      <c r="N9281" t="str">
        <f>"12/1/2015 2:50:00 PM"</f>
        <v>12/1/2015 2:50:00 PM</v>
      </c>
      <c r="O9281" t="s">
        <v>27855</v>
      </c>
    </row>
    <row r="9282" spans="1:20" x14ac:dyDescent="0.25">
      <c r="A9282" t="str">
        <f>"3052375"</f>
        <v>3052375</v>
      </c>
      <c r="B9282" t="s">
        <v>27857</v>
      </c>
      <c r="C9282" t="str">
        <f>"8305769"</f>
        <v>8305769</v>
      </c>
      <c r="D9282" t="s">
        <v>27858</v>
      </c>
      <c r="E9282" t="s">
        <v>27859</v>
      </c>
      <c r="F9282" t="s">
        <v>27860</v>
      </c>
      <c r="I9282" t="s">
        <v>29</v>
      </c>
      <c r="J9282" t="s">
        <v>30</v>
      </c>
      <c r="K9282" t="str">
        <f t="shared" si="150"/>
        <v>27028</v>
      </c>
      <c r="M9282" t="s">
        <v>17861</v>
      </c>
      <c r="N9282" t="str">
        <f>"12/1/2015 4:21:00 PM"</f>
        <v>12/1/2015 4:21:00 PM</v>
      </c>
      <c r="O9282" t="s">
        <v>27858</v>
      </c>
      <c r="T9282" t="s">
        <v>27859</v>
      </c>
    </row>
    <row r="9283" spans="1:20" x14ac:dyDescent="0.25">
      <c r="A9283" t="str">
        <f>"3053868"</f>
        <v>3053868</v>
      </c>
      <c r="B9283" t="s">
        <v>27861</v>
      </c>
      <c r="C9283" t="str">
        <f>"8305775"</f>
        <v>8305775</v>
      </c>
      <c r="D9283" t="s">
        <v>27862</v>
      </c>
      <c r="E9283" t="s">
        <v>27863</v>
      </c>
      <c r="F9283" t="s">
        <v>27864</v>
      </c>
      <c r="I9283" t="s">
        <v>29</v>
      </c>
      <c r="J9283" t="s">
        <v>30</v>
      </c>
      <c r="K9283" t="str">
        <f t="shared" si="150"/>
        <v>27028</v>
      </c>
      <c r="M9283" t="s">
        <v>17861</v>
      </c>
      <c r="N9283" t="str">
        <f>"12/7/2015 9:50:00 AM"</f>
        <v>12/7/2015 9:50:00 AM</v>
      </c>
      <c r="O9283" t="s">
        <v>27862</v>
      </c>
      <c r="T9283" t="s">
        <v>27863</v>
      </c>
    </row>
    <row r="9284" spans="1:20" x14ac:dyDescent="0.25">
      <c r="A9284" t="str">
        <f>"3038790"</f>
        <v>3038790</v>
      </c>
      <c r="B9284" t="s">
        <v>27865</v>
      </c>
      <c r="C9284" t="str">
        <f>"8305860"</f>
        <v>8305860</v>
      </c>
      <c r="D9284" t="s">
        <v>27866</v>
      </c>
      <c r="F9284" t="s">
        <v>27867</v>
      </c>
      <c r="I9284" t="s">
        <v>29</v>
      </c>
      <c r="J9284" t="s">
        <v>30</v>
      </c>
      <c r="K9284" t="str">
        <f t="shared" si="150"/>
        <v>27028</v>
      </c>
      <c r="M9284" t="s">
        <v>17861</v>
      </c>
      <c r="N9284" t="str">
        <f>"12/28/2015 4:48:00 PM"</f>
        <v>12/28/2015 4:48:00 PM</v>
      </c>
      <c r="O9284" t="s">
        <v>27866</v>
      </c>
    </row>
    <row r="9285" spans="1:20" x14ac:dyDescent="0.25">
      <c r="A9285" t="str">
        <f>"3041206"</f>
        <v>3041206</v>
      </c>
      <c r="B9285" t="s">
        <v>27868</v>
      </c>
      <c r="C9285" t="str">
        <f>"8305861"</f>
        <v>8305861</v>
      </c>
      <c r="D9285" t="s">
        <v>27869</v>
      </c>
      <c r="F9285" t="s">
        <v>27870</v>
      </c>
      <c r="G9285" t="s">
        <v>26999</v>
      </c>
      <c r="I9285" t="s">
        <v>2525</v>
      </c>
      <c r="J9285" t="s">
        <v>30</v>
      </c>
      <c r="K9285" t="str">
        <f>"27404"</f>
        <v>27404</v>
      </c>
      <c r="M9285" t="s">
        <v>17861</v>
      </c>
      <c r="N9285" t="str">
        <f>"12/29/2015 11:13:00 AM"</f>
        <v>12/29/2015 11:13:00 AM</v>
      </c>
      <c r="O9285" t="s">
        <v>27869</v>
      </c>
    </row>
    <row r="9286" spans="1:20" x14ac:dyDescent="0.25">
      <c r="A9286" t="str">
        <f>"3057085"</f>
        <v>3057085</v>
      </c>
      <c r="B9286" t="s">
        <v>27871</v>
      </c>
      <c r="C9286" t="str">
        <f>"8305863"</f>
        <v>8305863</v>
      </c>
      <c r="D9286" t="s">
        <v>27872</v>
      </c>
      <c r="F9286" t="s">
        <v>27870</v>
      </c>
      <c r="G9286" t="s">
        <v>26999</v>
      </c>
      <c r="I9286" t="s">
        <v>2525</v>
      </c>
      <c r="J9286" t="s">
        <v>30</v>
      </c>
      <c r="K9286" t="str">
        <f>"27404"</f>
        <v>27404</v>
      </c>
      <c r="M9286" t="s">
        <v>17861</v>
      </c>
      <c r="N9286" t="str">
        <f>"12/29/2015 2:55:00 PM"</f>
        <v>12/29/2015 2:55:00 PM</v>
      </c>
      <c r="O9286" t="s">
        <v>27872</v>
      </c>
    </row>
    <row r="9287" spans="1:20" x14ac:dyDescent="0.25">
      <c r="A9287" t="str">
        <f>"3057084"</f>
        <v>3057084</v>
      </c>
      <c r="B9287" t="s">
        <v>27873</v>
      </c>
      <c r="C9287" t="str">
        <f>"8305863"</f>
        <v>8305863</v>
      </c>
      <c r="D9287" t="s">
        <v>27872</v>
      </c>
      <c r="F9287" t="s">
        <v>27870</v>
      </c>
      <c r="G9287" t="s">
        <v>26999</v>
      </c>
      <c r="I9287" t="s">
        <v>2525</v>
      </c>
      <c r="J9287" t="s">
        <v>30</v>
      </c>
      <c r="K9287" t="str">
        <f>"27404"</f>
        <v>27404</v>
      </c>
      <c r="M9287" t="s">
        <v>17861</v>
      </c>
      <c r="N9287" t="str">
        <f>"12/29/2015 2:55:00 PM"</f>
        <v>12/29/2015 2:55:00 PM</v>
      </c>
      <c r="O9287" t="s">
        <v>27872</v>
      </c>
    </row>
    <row r="9288" spans="1:20" x14ac:dyDescent="0.25">
      <c r="A9288" t="str">
        <f>"3057040"</f>
        <v>3057040</v>
      </c>
      <c r="B9288" t="s">
        <v>27874</v>
      </c>
      <c r="C9288" t="str">
        <f>"8305863"</f>
        <v>8305863</v>
      </c>
      <c r="D9288" t="s">
        <v>27872</v>
      </c>
      <c r="F9288" t="s">
        <v>27870</v>
      </c>
      <c r="G9288" t="s">
        <v>26999</v>
      </c>
      <c r="I9288" t="s">
        <v>2525</v>
      </c>
      <c r="J9288" t="s">
        <v>30</v>
      </c>
      <c r="K9288" t="str">
        <f>"27404"</f>
        <v>27404</v>
      </c>
      <c r="M9288" t="s">
        <v>17861</v>
      </c>
      <c r="N9288" t="str">
        <f>"12/29/2015 2:55:00 PM"</f>
        <v>12/29/2015 2:55:00 PM</v>
      </c>
      <c r="O9288" t="s">
        <v>27872</v>
      </c>
    </row>
    <row r="9289" spans="1:20" x14ac:dyDescent="0.25">
      <c r="A9289" t="str">
        <f>"3057976"</f>
        <v>3057976</v>
      </c>
      <c r="B9289" t="s">
        <v>27875</v>
      </c>
      <c r="C9289" t="str">
        <f>"8305780"</f>
        <v>8305780</v>
      </c>
      <c r="D9289" t="s">
        <v>27876</v>
      </c>
      <c r="E9289" t="s">
        <v>27877</v>
      </c>
      <c r="F9289" t="s">
        <v>27878</v>
      </c>
      <c r="I9289" t="s">
        <v>29</v>
      </c>
      <c r="J9289" t="s">
        <v>30</v>
      </c>
      <c r="K9289" t="str">
        <f>"27028"</f>
        <v>27028</v>
      </c>
      <c r="M9289" t="s">
        <v>17861</v>
      </c>
      <c r="N9289" t="str">
        <f>"12/7/2015 11:26:00 AM"</f>
        <v>12/7/2015 11:26:00 AM</v>
      </c>
      <c r="O9289" t="s">
        <v>27876</v>
      </c>
      <c r="T9289" t="s">
        <v>27877</v>
      </c>
    </row>
    <row r="9290" spans="1:20" x14ac:dyDescent="0.25">
      <c r="A9290" t="str">
        <f>"3037696"</f>
        <v>3037696</v>
      </c>
      <c r="B9290" t="s">
        <v>27879</v>
      </c>
      <c r="C9290" t="str">
        <f>"69755500"</f>
        <v>69755500</v>
      </c>
      <c r="D9290" t="s">
        <v>27880</v>
      </c>
      <c r="E9290" t="s">
        <v>27881</v>
      </c>
      <c r="F9290" t="s">
        <v>27882</v>
      </c>
      <c r="I9290" t="s">
        <v>1149</v>
      </c>
      <c r="J9290" t="s">
        <v>30</v>
      </c>
      <c r="K9290" t="s">
        <v>1150</v>
      </c>
      <c r="M9290" t="s">
        <v>27053</v>
      </c>
      <c r="N9290" t="str">
        <f>"12/8/2015 1:06:00 PM"</f>
        <v>12/8/2015 1:06:00 PM</v>
      </c>
      <c r="O9290" t="s">
        <v>27880</v>
      </c>
      <c r="T9290" t="s">
        <v>27881</v>
      </c>
    </row>
    <row r="9291" spans="1:20" x14ac:dyDescent="0.25">
      <c r="A9291" t="str">
        <f>"3049196"</f>
        <v>3049196</v>
      </c>
      <c r="B9291" t="s">
        <v>27883</v>
      </c>
      <c r="C9291" t="str">
        <f>"8305867"</f>
        <v>8305867</v>
      </c>
      <c r="D9291" t="s">
        <v>27884</v>
      </c>
      <c r="F9291" t="s">
        <v>27885</v>
      </c>
      <c r="I9291" t="s">
        <v>29</v>
      </c>
      <c r="J9291" t="s">
        <v>30</v>
      </c>
      <c r="K9291" t="str">
        <f>"27028"</f>
        <v>27028</v>
      </c>
      <c r="M9291" t="s">
        <v>17861</v>
      </c>
      <c r="N9291" t="str">
        <f>"12/30/2015 9:11:00 AM"</f>
        <v>12/30/2015 9:11:00 AM</v>
      </c>
      <c r="O9291" t="s">
        <v>27884</v>
      </c>
    </row>
    <row r="9292" spans="1:20" x14ac:dyDescent="0.25">
      <c r="A9292" t="str">
        <f>"3049188"</f>
        <v>3049188</v>
      </c>
      <c r="B9292" t="s">
        <v>27886</v>
      </c>
      <c r="C9292" t="str">
        <f>"8305867"</f>
        <v>8305867</v>
      </c>
      <c r="D9292" t="s">
        <v>27884</v>
      </c>
      <c r="F9292" t="s">
        <v>27885</v>
      </c>
      <c r="I9292" t="s">
        <v>29</v>
      </c>
      <c r="J9292" t="s">
        <v>30</v>
      </c>
      <c r="K9292" t="str">
        <f>"27028"</f>
        <v>27028</v>
      </c>
      <c r="M9292" t="s">
        <v>17861</v>
      </c>
      <c r="N9292" t="str">
        <f>"12/30/2015 9:11:00 AM"</f>
        <v>12/30/2015 9:11:00 AM</v>
      </c>
      <c r="O9292" t="s">
        <v>27884</v>
      </c>
    </row>
    <row r="9293" spans="1:20" x14ac:dyDescent="0.25">
      <c r="A9293" t="str">
        <f>"3041073"</f>
        <v>3041073</v>
      </c>
      <c r="B9293" t="s">
        <v>27887</v>
      </c>
      <c r="C9293" t="str">
        <f>"8305869"</f>
        <v>8305869</v>
      </c>
      <c r="D9293" t="s">
        <v>27888</v>
      </c>
      <c r="F9293" t="s">
        <v>27889</v>
      </c>
      <c r="I9293" t="s">
        <v>163</v>
      </c>
      <c r="J9293" t="s">
        <v>30</v>
      </c>
      <c r="K9293" t="str">
        <f>"27284"</f>
        <v>27284</v>
      </c>
      <c r="M9293" t="s">
        <v>17861</v>
      </c>
      <c r="N9293" t="str">
        <f>"12/30/2015 9:22:00 AM"</f>
        <v>12/30/2015 9:22:00 AM</v>
      </c>
      <c r="O9293" t="s">
        <v>27888</v>
      </c>
    </row>
    <row r="9294" spans="1:20" x14ac:dyDescent="0.25">
      <c r="A9294" t="str">
        <f>"3039111"</f>
        <v>3039111</v>
      </c>
      <c r="B9294" t="s">
        <v>27890</v>
      </c>
      <c r="C9294" t="str">
        <f>"46662730"</f>
        <v>46662730</v>
      </c>
      <c r="D9294" t="s">
        <v>27891</v>
      </c>
      <c r="F9294" t="s">
        <v>27892</v>
      </c>
      <c r="I9294" t="s">
        <v>29</v>
      </c>
      <c r="J9294" t="s">
        <v>30</v>
      </c>
      <c r="K9294" t="s">
        <v>1051</v>
      </c>
      <c r="M9294" t="s">
        <v>27053</v>
      </c>
      <c r="N9294" t="str">
        <f>"12/30/2015 11:52:00 AM"</f>
        <v>12/30/2015 11:52:00 AM</v>
      </c>
      <c r="O9294" t="s">
        <v>27891</v>
      </c>
    </row>
    <row r="9295" spans="1:20" x14ac:dyDescent="0.25">
      <c r="A9295" t="str">
        <f>"3043319"</f>
        <v>3043319</v>
      </c>
      <c r="B9295" t="s">
        <v>27893</v>
      </c>
      <c r="C9295" t="str">
        <f>"8305870"</f>
        <v>8305870</v>
      </c>
      <c r="D9295" t="s">
        <v>27894</v>
      </c>
      <c r="F9295" t="s">
        <v>27895</v>
      </c>
      <c r="I9295" t="s">
        <v>29</v>
      </c>
      <c r="J9295" t="s">
        <v>30</v>
      </c>
      <c r="K9295" t="str">
        <f>"27028"</f>
        <v>27028</v>
      </c>
      <c r="M9295" t="s">
        <v>18479</v>
      </c>
      <c r="N9295" t="str">
        <f>"12/30/2015 2:27:00 PM"</f>
        <v>12/30/2015 2:27:00 PM</v>
      </c>
      <c r="O9295" t="s">
        <v>27894</v>
      </c>
    </row>
    <row r="9296" spans="1:20" x14ac:dyDescent="0.25">
      <c r="A9296" t="str">
        <f>"3039521"</f>
        <v>3039521</v>
      </c>
      <c r="B9296" t="s">
        <v>27896</v>
      </c>
      <c r="C9296" t="str">
        <f>"8305871"</f>
        <v>8305871</v>
      </c>
      <c r="D9296" t="s">
        <v>27897</v>
      </c>
      <c r="F9296" t="s">
        <v>27898</v>
      </c>
      <c r="I9296" t="s">
        <v>29</v>
      </c>
      <c r="J9296" t="s">
        <v>30</v>
      </c>
      <c r="K9296" t="str">
        <f>"27028"</f>
        <v>27028</v>
      </c>
      <c r="M9296" t="s">
        <v>17861</v>
      </c>
      <c r="N9296" t="str">
        <f>"12/31/2015 8:38:00 AM"</f>
        <v>12/31/2015 8:38:00 AM</v>
      </c>
      <c r="O9296" t="s">
        <v>27897</v>
      </c>
    </row>
    <row r="9297" spans="1:20" x14ac:dyDescent="0.25">
      <c r="A9297" t="str">
        <f>"3063800"</f>
        <v>3063800</v>
      </c>
      <c r="B9297" t="s">
        <v>27899</v>
      </c>
      <c r="C9297" t="str">
        <f>"8305871"</f>
        <v>8305871</v>
      </c>
      <c r="D9297" t="s">
        <v>27897</v>
      </c>
      <c r="F9297" t="s">
        <v>27898</v>
      </c>
      <c r="I9297" t="s">
        <v>29</v>
      </c>
      <c r="J9297" t="s">
        <v>30</v>
      </c>
      <c r="K9297" t="str">
        <f>"27028"</f>
        <v>27028</v>
      </c>
      <c r="M9297" t="s">
        <v>17861</v>
      </c>
      <c r="N9297" t="str">
        <f>"12/31/2015 8:38:00 AM"</f>
        <v>12/31/2015 8:38:00 AM</v>
      </c>
      <c r="O9297" t="s">
        <v>27897</v>
      </c>
    </row>
    <row r="9298" spans="1:20" x14ac:dyDescent="0.25">
      <c r="A9298" t="str">
        <f>"3048606"</f>
        <v>3048606</v>
      </c>
      <c r="B9298" t="s">
        <v>27900</v>
      </c>
      <c r="C9298" t="str">
        <f>"8304738"</f>
        <v>8304738</v>
      </c>
      <c r="D9298" t="s">
        <v>27901</v>
      </c>
      <c r="E9298" t="s">
        <v>27902</v>
      </c>
      <c r="F9298" t="s">
        <v>27903</v>
      </c>
      <c r="I9298" t="s">
        <v>184</v>
      </c>
      <c r="J9298" t="s">
        <v>30</v>
      </c>
      <c r="K9298" t="s">
        <v>27904</v>
      </c>
      <c r="M9298" t="s">
        <v>25494</v>
      </c>
      <c r="N9298" t="str">
        <f>"12/9/2015 4:04:00 PM"</f>
        <v>12/9/2015 4:04:00 PM</v>
      </c>
      <c r="O9298" t="s">
        <v>27901</v>
      </c>
      <c r="T9298" t="s">
        <v>27902</v>
      </c>
    </row>
    <row r="9299" spans="1:20" x14ac:dyDescent="0.25">
      <c r="A9299" t="str">
        <f>"3043310"</f>
        <v>3043310</v>
      </c>
      <c r="B9299" t="s">
        <v>27905</v>
      </c>
      <c r="C9299" t="str">
        <f>"80848900"</f>
        <v>80848900</v>
      </c>
      <c r="D9299" t="s">
        <v>22094</v>
      </c>
      <c r="F9299" t="s">
        <v>22096</v>
      </c>
      <c r="I9299" t="s">
        <v>29</v>
      </c>
      <c r="J9299" t="s">
        <v>30</v>
      </c>
      <c r="K9299" t="s">
        <v>31</v>
      </c>
      <c r="M9299" t="s">
        <v>27053</v>
      </c>
      <c r="N9299" t="str">
        <f>"12/11/2015 12:40:00 PM"</f>
        <v>12/11/2015 12:40:00 PM</v>
      </c>
      <c r="O9299" t="s">
        <v>22094</v>
      </c>
    </row>
    <row r="9300" spans="1:20" x14ac:dyDescent="0.25">
      <c r="A9300" t="str">
        <f>"3050451"</f>
        <v>3050451</v>
      </c>
      <c r="B9300" t="s">
        <v>27906</v>
      </c>
      <c r="C9300" t="str">
        <f>"8305813"</f>
        <v>8305813</v>
      </c>
      <c r="D9300" t="s">
        <v>27907</v>
      </c>
      <c r="F9300" t="s">
        <v>27908</v>
      </c>
      <c r="I9300" t="s">
        <v>184</v>
      </c>
      <c r="J9300" t="s">
        <v>30</v>
      </c>
      <c r="K9300" t="str">
        <f>"27006"</f>
        <v>27006</v>
      </c>
      <c r="M9300" t="s">
        <v>17861</v>
      </c>
      <c r="N9300" t="str">
        <f>"12/16/2015 3:17:00 PM"</f>
        <v>12/16/2015 3:17:00 PM</v>
      </c>
      <c r="O9300" t="s">
        <v>27907</v>
      </c>
    </row>
    <row r="9301" spans="1:20" x14ac:dyDescent="0.25">
      <c r="A9301" t="str">
        <f>"3055794"</f>
        <v>3055794</v>
      </c>
      <c r="B9301" t="s">
        <v>27909</v>
      </c>
      <c r="C9301" t="str">
        <f>"82521551"</f>
        <v>82521551</v>
      </c>
      <c r="D9301" t="s">
        <v>27910</v>
      </c>
      <c r="E9301" t="s">
        <v>27911</v>
      </c>
      <c r="F9301" t="s">
        <v>27912</v>
      </c>
      <c r="I9301" t="s">
        <v>9580</v>
      </c>
      <c r="J9301" t="s">
        <v>30</v>
      </c>
      <c r="K9301" t="s">
        <v>27913</v>
      </c>
      <c r="M9301" t="s">
        <v>25625</v>
      </c>
      <c r="N9301" t="str">
        <f>"11/5/2015 2:11:00 PM"</f>
        <v>11/5/2015 2:11:00 PM</v>
      </c>
      <c r="O9301" t="s">
        <v>27910</v>
      </c>
      <c r="T9301" t="s">
        <v>27911</v>
      </c>
    </row>
    <row r="9302" spans="1:20" x14ac:dyDescent="0.25">
      <c r="A9302" t="str">
        <f>"3059231"</f>
        <v>3059231</v>
      </c>
      <c r="B9302" t="s">
        <v>27914</v>
      </c>
      <c r="C9302" t="str">
        <f>"8305881"</f>
        <v>8305881</v>
      </c>
      <c r="D9302" t="s">
        <v>27915</v>
      </c>
      <c r="E9302" t="s">
        <v>27916</v>
      </c>
      <c r="F9302" t="s">
        <v>27917</v>
      </c>
      <c r="I9302" t="s">
        <v>184</v>
      </c>
      <c r="J9302" t="s">
        <v>30</v>
      </c>
      <c r="K9302" t="str">
        <f>"27006"</f>
        <v>27006</v>
      </c>
      <c r="M9302" t="s">
        <v>17861</v>
      </c>
      <c r="N9302" t="str">
        <f>"12/31/2015 3:10:00 PM"</f>
        <v>12/31/2015 3:10:00 PM</v>
      </c>
      <c r="O9302" t="s">
        <v>27915</v>
      </c>
      <c r="T9302" t="s">
        <v>27916</v>
      </c>
    </row>
    <row r="9303" spans="1:20" x14ac:dyDescent="0.25">
      <c r="A9303" t="str">
        <f>"3056190"</f>
        <v>3056190</v>
      </c>
      <c r="B9303" t="s">
        <v>27918</v>
      </c>
      <c r="C9303" t="str">
        <f>"8305882"</f>
        <v>8305882</v>
      </c>
      <c r="D9303" t="s">
        <v>27467</v>
      </c>
      <c r="F9303" t="s">
        <v>27919</v>
      </c>
      <c r="I9303" t="s">
        <v>9580</v>
      </c>
      <c r="J9303" t="s">
        <v>30</v>
      </c>
      <c r="K9303" t="str">
        <f>"27014"</f>
        <v>27014</v>
      </c>
      <c r="M9303" t="s">
        <v>17861</v>
      </c>
      <c r="N9303" t="str">
        <f>"12/31/2015 3:16:00 PM"</f>
        <v>12/31/2015 3:16:00 PM</v>
      </c>
      <c r="O9303" t="s">
        <v>27467</v>
      </c>
    </row>
    <row r="9304" spans="1:20" x14ac:dyDescent="0.25">
      <c r="A9304" t="str">
        <f>"3046570"</f>
        <v>3046570</v>
      </c>
      <c r="B9304" t="s">
        <v>27920</v>
      </c>
      <c r="C9304" t="str">
        <f>"8305884"</f>
        <v>8305884</v>
      </c>
      <c r="D9304" t="s">
        <v>27921</v>
      </c>
      <c r="E9304" t="s">
        <v>8525</v>
      </c>
      <c r="F9304" t="s">
        <v>8527</v>
      </c>
      <c r="I9304" t="s">
        <v>29</v>
      </c>
      <c r="J9304" t="s">
        <v>30</v>
      </c>
      <c r="K9304" t="str">
        <f>"27028"</f>
        <v>27028</v>
      </c>
      <c r="M9304" t="s">
        <v>17861</v>
      </c>
      <c r="N9304" t="str">
        <f>"12/31/2015 3:30:00 PM"</f>
        <v>12/31/2015 3:30:00 PM</v>
      </c>
      <c r="O9304" t="s">
        <v>27921</v>
      </c>
      <c r="T9304" t="s">
        <v>8525</v>
      </c>
    </row>
    <row r="9305" spans="1:20" x14ac:dyDescent="0.25">
      <c r="A9305" t="str">
        <f>"3046564"</f>
        <v>3046564</v>
      </c>
      <c r="B9305" t="s">
        <v>27922</v>
      </c>
      <c r="C9305" t="str">
        <f>"8305884"</f>
        <v>8305884</v>
      </c>
      <c r="D9305" t="s">
        <v>27921</v>
      </c>
      <c r="E9305" t="s">
        <v>8525</v>
      </c>
      <c r="F9305" t="s">
        <v>8527</v>
      </c>
      <c r="I9305" t="s">
        <v>29</v>
      </c>
      <c r="J9305" t="s">
        <v>30</v>
      </c>
      <c r="K9305" t="str">
        <f>"27028"</f>
        <v>27028</v>
      </c>
      <c r="M9305" t="s">
        <v>17861</v>
      </c>
      <c r="N9305" t="str">
        <f>"12/31/2015 3:30:00 PM"</f>
        <v>12/31/2015 3:30:00 PM</v>
      </c>
      <c r="O9305" t="s">
        <v>27921</v>
      </c>
      <c r="T9305" t="s">
        <v>8525</v>
      </c>
    </row>
    <row r="9306" spans="1:20" x14ac:dyDescent="0.25">
      <c r="A9306" t="str">
        <f>"3077992"</f>
        <v>3077992</v>
      </c>
      <c r="B9306" t="s">
        <v>27923</v>
      </c>
      <c r="C9306" t="str">
        <f>"8305884"</f>
        <v>8305884</v>
      </c>
      <c r="D9306" t="s">
        <v>27921</v>
      </c>
      <c r="E9306" t="s">
        <v>8525</v>
      </c>
      <c r="F9306" t="s">
        <v>8527</v>
      </c>
      <c r="I9306" t="s">
        <v>29</v>
      </c>
      <c r="J9306" t="s">
        <v>30</v>
      </c>
      <c r="K9306" t="str">
        <f>"27028"</f>
        <v>27028</v>
      </c>
      <c r="M9306" t="s">
        <v>17861</v>
      </c>
      <c r="N9306" t="str">
        <f>"12/31/2015 3:30:00 PM"</f>
        <v>12/31/2015 3:30:00 PM</v>
      </c>
      <c r="O9306" t="s">
        <v>27921</v>
      </c>
      <c r="T9306" t="s">
        <v>8525</v>
      </c>
    </row>
    <row r="9307" spans="1:20" x14ac:dyDescent="0.25">
      <c r="A9307" t="str">
        <f>"3057630"</f>
        <v>3057630</v>
      </c>
      <c r="B9307" t="s">
        <v>27924</v>
      </c>
      <c r="C9307" t="str">
        <f>"8305887"</f>
        <v>8305887</v>
      </c>
      <c r="D9307" t="s">
        <v>27925</v>
      </c>
      <c r="E9307" t="s">
        <v>27926</v>
      </c>
      <c r="F9307" t="s">
        <v>27927</v>
      </c>
      <c r="I9307" t="s">
        <v>184</v>
      </c>
      <c r="J9307" t="s">
        <v>30</v>
      </c>
      <c r="K9307" t="str">
        <f>"27006"</f>
        <v>27006</v>
      </c>
      <c r="M9307" t="s">
        <v>17861</v>
      </c>
      <c r="N9307" t="str">
        <f>"12/31/2015 3:51:00 PM"</f>
        <v>12/31/2015 3:51:00 PM</v>
      </c>
      <c r="O9307" t="s">
        <v>27925</v>
      </c>
      <c r="T9307" t="s">
        <v>27926</v>
      </c>
    </row>
    <row r="9308" spans="1:20" x14ac:dyDescent="0.25">
      <c r="A9308" t="str">
        <f>"3050377"</f>
        <v>3050377</v>
      </c>
      <c r="B9308" t="s">
        <v>27928</v>
      </c>
      <c r="C9308" t="str">
        <f>"8305705"</f>
        <v>8305705</v>
      </c>
      <c r="D9308" t="s">
        <v>27929</v>
      </c>
      <c r="E9308" t="s">
        <v>27930</v>
      </c>
      <c r="F9308" t="s">
        <v>23195</v>
      </c>
      <c r="I9308" t="s">
        <v>184</v>
      </c>
      <c r="J9308" t="s">
        <v>30</v>
      </c>
      <c r="K9308" t="str">
        <f>"27006"</f>
        <v>27006</v>
      </c>
      <c r="M9308" t="s">
        <v>17861</v>
      </c>
      <c r="N9308" t="str">
        <f>"11/5/2015 4:22:00 PM"</f>
        <v>11/5/2015 4:22:00 PM</v>
      </c>
      <c r="O9308" t="s">
        <v>27929</v>
      </c>
      <c r="T9308" t="s">
        <v>27930</v>
      </c>
    </row>
    <row r="9309" spans="1:20" x14ac:dyDescent="0.25">
      <c r="A9309" t="str">
        <f>"3039467"</f>
        <v>3039467</v>
      </c>
      <c r="B9309" t="s">
        <v>27931</v>
      </c>
      <c r="C9309" t="str">
        <f>"6344000"</f>
        <v>6344000</v>
      </c>
      <c r="D9309" t="s">
        <v>27932</v>
      </c>
      <c r="F9309" t="s">
        <v>27933</v>
      </c>
      <c r="I9309" t="s">
        <v>29</v>
      </c>
      <c r="J9309" t="s">
        <v>30</v>
      </c>
      <c r="K9309" t="s">
        <v>31</v>
      </c>
      <c r="M9309" t="s">
        <v>22270</v>
      </c>
      <c r="N9309" t="str">
        <f>"1/4/2016 11:50:00 AM"</f>
        <v>1/4/2016 11:50:00 AM</v>
      </c>
      <c r="O9309" t="s">
        <v>27932</v>
      </c>
    </row>
    <row r="9310" spans="1:20" x14ac:dyDescent="0.25">
      <c r="A9310" t="str">
        <f>"3039791"</f>
        <v>3039791</v>
      </c>
      <c r="B9310" t="s">
        <v>27934</v>
      </c>
      <c r="C9310" t="str">
        <f>"6344000"</f>
        <v>6344000</v>
      </c>
      <c r="D9310" t="s">
        <v>27932</v>
      </c>
      <c r="F9310" t="s">
        <v>27933</v>
      </c>
      <c r="I9310" t="s">
        <v>29</v>
      </c>
      <c r="J9310" t="s">
        <v>30</v>
      </c>
      <c r="K9310" t="s">
        <v>31</v>
      </c>
      <c r="M9310" t="s">
        <v>22270</v>
      </c>
      <c r="N9310" t="str">
        <f>"1/4/2016 11:50:00 AM"</f>
        <v>1/4/2016 11:50:00 AM</v>
      </c>
      <c r="O9310" t="s">
        <v>27932</v>
      </c>
    </row>
    <row r="9311" spans="1:20" x14ac:dyDescent="0.25">
      <c r="A9311" t="str">
        <f>"3054800"</f>
        <v>3054800</v>
      </c>
      <c r="B9311" t="s">
        <v>27935</v>
      </c>
      <c r="C9311" t="str">
        <f>"8304035"</f>
        <v>8304035</v>
      </c>
      <c r="D9311" t="s">
        <v>27936</v>
      </c>
      <c r="E9311" t="s">
        <v>27937</v>
      </c>
      <c r="F9311" t="s">
        <v>27938</v>
      </c>
      <c r="I9311" t="s">
        <v>29</v>
      </c>
      <c r="J9311" t="s">
        <v>30</v>
      </c>
      <c r="K9311" t="str">
        <f>"27028"</f>
        <v>27028</v>
      </c>
      <c r="M9311" t="s">
        <v>25733</v>
      </c>
      <c r="N9311" t="str">
        <f>"1/5/2016 10:18:00 AM"</f>
        <v>1/5/2016 10:18:00 AM</v>
      </c>
      <c r="O9311" t="s">
        <v>27936</v>
      </c>
      <c r="T9311" t="s">
        <v>27937</v>
      </c>
    </row>
    <row r="9312" spans="1:20" x14ac:dyDescent="0.25">
      <c r="A9312" t="str">
        <f>"3047359"</f>
        <v>3047359</v>
      </c>
      <c r="B9312" t="s">
        <v>27939</v>
      </c>
      <c r="C9312" t="str">
        <f>"8305713"</f>
        <v>8305713</v>
      </c>
      <c r="D9312" t="s">
        <v>27592</v>
      </c>
      <c r="F9312" t="s">
        <v>27593</v>
      </c>
      <c r="I9312" t="s">
        <v>402</v>
      </c>
      <c r="J9312" t="s">
        <v>30</v>
      </c>
      <c r="K9312" t="str">
        <f>"27012"</f>
        <v>27012</v>
      </c>
      <c r="M9312" t="s">
        <v>17861</v>
      </c>
      <c r="N9312" t="str">
        <f>"11/9/2015 2:38:00 PM"</f>
        <v>11/9/2015 2:38:00 PM</v>
      </c>
      <c r="O9312" t="s">
        <v>27592</v>
      </c>
    </row>
    <row r="9313" spans="1:20" x14ac:dyDescent="0.25">
      <c r="A9313" t="str">
        <f>"3047347"</f>
        <v>3047347</v>
      </c>
      <c r="B9313" t="s">
        <v>27940</v>
      </c>
      <c r="C9313" t="str">
        <f>"8305713"</f>
        <v>8305713</v>
      </c>
      <c r="D9313" t="s">
        <v>27592</v>
      </c>
      <c r="F9313" t="s">
        <v>27593</v>
      </c>
      <c r="I9313" t="s">
        <v>402</v>
      </c>
      <c r="J9313" t="s">
        <v>30</v>
      </c>
      <c r="K9313" t="str">
        <f>"27012"</f>
        <v>27012</v>
      </c>
      <c r="M9313" t="s">
        <v>17861</v>
      </c>
      <c r="N9313" t="str">
        <f>"11/9/2015 2:38:00 PM"</f>
        <v>11/9/2015 2:38:00 PM</v>
      </c>
      <c r="O9313" t="s">
        <v>27592</v>
      </c>
    </row>
    <row r="9314" spans="1:20" x14ac:dyDescent="0.25">
      <c r="A9314" t="str">
        <f>"3047351"</f>
        <v>3047351</v>
      </c>
      <c r="B9314" t="s">
        <v>27941</v>
      </c>
      <c r="C9314" t="str">
        <f>"8305827"</f>
        <v>8305827</v>
      </c>
      <c r="D9314" t="s">
        <v>27942</v>
      </c>
      <c r="E9314" t="s">
        <v>27943</v>
      </c>
      <c r="F9314" t="s">
        <v>27944</v>
      </c>
      <c r="I9314" t="s">
        <v>184</v>
      </c>
      <c r="J9314" t="s">
        <v>30</v>
      </c>
      <c r="K9314" t="str">
        <f>"27006"</f>
        <v>27006</v>
      </c>
      <c r="M9314" t="s">
        <v>17861</v>
      </c>
      <c r="N9314" t="str">
        <f>"12/17/2015 1:31:00 PM"</f>
        <v>12/17/2015 1:31:00 PM</v>
      </c>
      <c r="O9314" t="s">
        <v>27942</v>
      </c>
      <c r="T9314" t="s">
        <v>27943</v>
      </c>
    </row>
    <row r="9315" spans="1:20" x14ac:dyDescent="0.25">
      <c r="A9315" t="str">
        <f>"3037854"</f>
        <v>3037854</v>
      </c>
      <c r="B9315" t="s">
        <v>27945</v>
      </c>
      <c r="C9315" t="str">
        <f>"82532201"</f>
        <v>82532201</v>
      </c>
      <c r="D9315" t="s">
        <v>27813</v>
      </c>
      <c r="F9315" t="s">
        <v>27815</v>
      </c>
      <c r="I9315" t="s">
        <v>29</v>
      </c>
      <c r="J9315" t="s">
        <v>30</v>
      </c>
      <c r="K9315" t="s">
        <v>31</v>
      </c>
      <c r="M9315" t="s">
        <v>25625</v>
      </c>
      <c r="N9315" t="str">
        <f>"12/17/2015 2:04:00 PM"</f>
        <v>12/17/2015 2:04:00 PM</v>
      </c>
      <c r="O9315" t="s">
        <v>27813</v>
      </c>
    </row>
    <row r="9316" spans="1:20" x14ac:dyDescent="0.25">
      <c r="A9316" t="str">
        <f>"3037833"</f>
        <v>3037833</v>
      </c>
      <c r="B9316" t="s">
        <v>27946</v>
      </c>
      <c r="C9316" t="str">
        <f>"23244000"</f>
        <v>23244000</v>
      </c>
      <c r="D9316" t="s">
        <v>27813</v>
      </c>
      <c r="E9316" t="s">
        <v>27814</v>
      </c>
      <c r="F9316" t="s">
        <v>27815</v>
      </c>
      <c r="I9316" t="s">
        <v>29</v>
      </c>
      <c r="J9316" t="s">
        <v>30</v>
      </c>
      <c r="K9316" t="s">
        <v>31</v>
      </c>
      <c r="M9316" t="s">
        <v>25625</v>
      </c>
      <c r="N9316" t="str">
        <f>"12/17/2015 2:05:00 PM"</f>
        <v>12/17/2015 2:05:00 PM</v>
      </c>
      <c r="O9316" t="s">
        <v>27813</v>
      </c>
      <c r="T9316" t="s">
        <v>27814</v>
      </c>
    </row>
    <row r="9317" spans="1:20" x14ac:dyDescent="0.25">
      <c r="A9317" t="str">
        <f>"3054420"</f>
        <v>3054420</v>
      </c>
      <c r="B9317" t="s">
        <v>27947</v>
      </c>
      <c r="C9317" t="str">
        <f>"8305836"</f>
        <v>8305836</v>
      </c>
      <c r="D9317" t="s">
        <v>27948</v>
      </c>
      <c r="F9317" t="s">
        <v>27949</v>
      </c>
      <c r="I9317" t="s">
        <v>29</v>
      </c>
      <c r="J9317" t="s">
        <v>30</v>
      </c>
      <c r="K9317" t="str">
        <f>"27028"</f>
        <v>27028</v>
      </c>
      <c r="M9317" t="s">
        <v>17861</v>
      </c>
      <c r="N9317" t="str">
        <f>"12/18/2015 12:55:00 PM"</f>
        <v>12/18/2015 12:55:00 PM</v>
      </c>
      <c r="O9317" t="s">
        <v>27948</v>
      </c>
    </row>
    <row r="9318" spans="1:20" x14ac:dyDescent="0.25">
      <c r="A9318" t="str">
        <f>"3039300"</f>
        <v>3039300</v>
      </c>
      <c r="B9318" t="s">
        <v>27950</v>
      </c>
      <c r="C9318" t="str">
        <f>"82526183"</f>
        <v>82526183</v>
      </c>
      <c r="D9318" t="s">
        <v>27826</v>
      </c>
      <c r="F9318" t="s">
        <v>3116</v>
      </c>
      <c r="I9318" t="s">
        <v>184</v>
      </c>
      <c r="J9318" t="s">
        <v>30</v>
      </c>
      <c r="K9318" t="s">
        <v>185</v>
      </c>
      <c r="M9318" t="s">
        <v>25625</v>
      </c>
      <c r="N9318" t="str">
        <f>"12/21/2015 12:29:00 PM"</f>
        <v>12/21/2015 12:29:00 PM</v>
      </c>
      <c r="O9318" t="s">
        <v>27826</v>
      </c>
      <c r="T9318" t="s">
        <v>27826</v>
      </c>
    </row>
    <row r="9319" spans="1:20" x14ac:dyDescent="0.25">
      <c r="A9319" t="str">
        <f>"3039701"</f>
        <v>3039701</v>
      </c>
      <c r="B9319" t="s">
        <v>27951</v>
      </c>
      <c r="C9319" t="str">
        <f>"82521196"</f>
        <v>82521196</v>
      </c>
      <c r="D9319" t="s">
        <v>27952</v>
      </c>
      <c r="E9319" t="s">
        <v>27953</v>
      </c>
      <c r="F9319" t="s">
        <v>27954</v>
      </c>
      <c r="I9319" t="s">
        <v>29</v>
      </c>
      <c r="J9319" t="s">
        <v>30</v>
      </c>
      <c r="K9319" t="s">
        <v>31</v>
      </c>
      <c r="M9319" t="s">
        <v>25625</v>
      </c>
      <c r="N9319" t="str">
        <f>"12/22/2015 11:37:00 AM"</f>
        <v>12/22/2015 11:37:00 AM</v>
      </c>
      <c r="O9319" t="s">
        <v>27952</v>
      </c>
      <c r="T9319" t="s">
        <v>27953</v>
      </c>
    </row>
    <row r="9320" spans="1:20" x14ac:dyDescent="0.25">
      <c r="A9320" t="str">
        <f>"3064250"</f>
        <v>3064250</v>
      </c>
      <c r="B9320" t="s">
        <v>27955</v>
      </c>
      <c r="C9320" t="str">
        <f>"8305904"</f>
        <v>8305904</v>
      </c>
      <c r="D9320" t="s">
        <v>27956</v>
      </c>
      <c r="F9320" t="s">
        <v>809</v>
      </c>
      <c r="I9320" t="s">
        <v>184</v>
      </c>
      <c r="J9320" t="s">
        <v>30</v>
      </c>
      <c r="K9320" t="s">
        <v>27957</v>
      </c>
      <c r="M9320" t="s">
        <v>17861</v>
      </c>
      <c r="N9320" t="str">
        <f>"1/12/2016 11:29:00 AM"</f>
        <v>1/12/2016 11:29:00 AM</v>
      </c>
      <c r="O9320" t="s">
        <v>27956</v>
      </c>
    </row>
    <row r="9321" spans="1:20" x14ac:dyDescent="0.25">
      <c r="A9321" t="str">
        <f>"3041171"</f>
        <v>3041171</v>
      </c>
      <c r="B9321" t="s">
        <v>27958</v>
      </c>
      <c r="C9321" t="str">
        <f>"82518594"</f>
        <v>82518594</v>
      </c>
      <c r="D9321" t="s">
        <v>27959</v>
      </c>
      <c r="F9321" t="s">
        <v>27960</v>
      </c>
      <c r="I9321" t="s">
        <v>2071</v>
      </c>
      <c r="J9321" t="s">
        <v>30</v>
      </c>
      <c r="K9321" t="s">
        <v>185</v>
      </c>
      <c r="M9321" t="s">
        <v>17861</v>
      </c>
      <c r="N9321" t="str">
        <f>"1/13/2016 9:38:00 AM"</f>
        <v>1/13/2016 9:38:00 AM</v>
      </c>
      <c r="O9321" t="s">
        <v>27959</v>
      </c>
    </row>
    <row r="9322" spans="1:20" x14ac:dyDescent="0.25">
      <c r="A9322" t="str">
        <f>"3054874"</f>
        <v>3054874</v>
      </c>
      <c r="B9322" t="s">
        <v>27961</v>
      </c>
      <c r="C9322" t="str">
        <f>"71024255"</f>
        <v>71024255</v>
      </c>
      <c r="D9322" t="s">
        <v>27962</v>
      </c>
      <c r="F9322" t="s">
        <v>27963</v>
      </c>
      <c r="I9322" t="s">
        <v>29</v>
      </c>
      <c r="J9322" t="s">
        <v>30</v>
      </c>
      <c r="K9322" t="s">
        <v>31</v>
      </c>
      <c r="M9322" t="s">
        <v>27053</v>
      </c>
      <c r="N9322" t="str">
        <f>"12/22/2015 2:43:00 PM"</f>
        <v>12/22/2015 2:43:00 PM</v>
      </c>
      <c r="O9322" t="s">
        <v>27962</v>
      </c>
    </row>
    <row r="9323" spans="1:20" x14ac:dyDescent="0.25">
      <c r="A9323" t="str">
        <f>"3058157"</f>
        <v>3058157</v>
      </c>
      <c r="B9323" t="s">
        <v>27964</v>
      </c>
      <c r="C9323" t="str">
        <f>"8305857"</f>
        <v>8305857</v>
      </c>
      <c r="D9323" t="s">
        <v>27965</v>
      </c>
      <c r="F9323" t="s">
        <v>27966</v>
      </c>
      <c r="I9323" t="s">
        <v>184</v>
      </c>
      <c r="J9323" t="s">
        <v>30</v>
      </c>
      <c r="K9323" t="str">
        <f>"27006"</f>
        <v>27006</v>
      </c>
      <c r="M9323" t="s">
        <v>17861</v>
      </c>
      <c r="N9323" t="str">
        <f>"12/28/2015 2:44:00 PM"</f>
        <v>12/28/2015 2:44:00 PM</v>
      </c>
      <c r="O9323" t="s">
        <v>27965</v>
      </c>
    </row>
    <row r="9324" spans="1:20" x14ac:dyDescent="0.25">
      <c r="A9324" t="str">
        <f>"3057899"</f>
        <v>3057899</v>
      </c>
      <c r="B9324" t="s">
        <v>27967</v>
      </c>
      <c r="C9324" t="str">
        <f>"8305910"</f>
        <v>8305910</v>
      </c>
      <c r="D9324" t="s">
        <v>27968</v>
      </c>
      <c r="E9324" t="s">
        <v>27969</v>
      </c>
      <c r="F9324" t="s">
        <v>27970</v>
      </c>
      <c r="I9324" t="s">
        <v>184</v>
      </c>
      <c r="J9324" t="s">
        <v>30</v>
      </c>
      <c r="K9324" t="str">
        <f>"27006"</f>
        <v>27006</v>
      </c>
      <c r="M9324" t="s">
        <v>17861</v>
      </c>
      <c r="N9324" t="str">
        <f>"1/14/2016 2:50:00 PM"</f>
        <v>1/14/2016 2:50:00 PM</v>
      </c>
      <c r="O9324" t="s">
        <v>27968</v>
      </c>
      <c r="T9324" t="s">
        <v>27969</v>
      </c>
    </row>
    <row r="9325" spans="1:20" x14ac:dyDescent="0.25">
      <c r="A9325" t="str">
        <f>"3043460"</f>
        <v>3043460</v>
      </c>
      <c r="B9325" t="s">
        <v>27971</v>
      </c>
      <c r="C9325" t="str">
        <f>"8305911"</f>
        <v>8305911</v>
      </c>
      <c r="D9325" t="s">
        <v>27972</v>
      </c>
      <c r="E9325" t="s">
        <v>27973</v>
      </c>
      <c r="F9325" t="s">
        <v>27974</v>
      </c>
      <c r="I9325" t="s">
        <v>29</v>
      </c>
      <c r="J9325" t="s">
        <v>30</v>
      </c>
      <c r="K9325" t="str">
        <f t="shared" ref="K9325:K9332" si="151">"27028"</f>
        <v>27028</v>
      </c>
      <c r="M9325" t="s">
        <v>17861</v>
      </c>
      <c r="N9325" t="str">
        <f>"1/14/2016 3:06:00 PM"</f>
        <v>1/14/2016 3:06:00 PM</v>
      </c>
      <c r="O9325" t="s">
        <v>27972</v>
      </c>
      <c r="T9325" t="s">
        <v>27973</v>
      </c>
    </row>
    <row r="9326" spans="1:20" x14ac:dyDescent="0.25">
      <c r="A9326" t="str">
        <f>"3038836"</f>
        <v>3038836</v>
      </c>
      <c r="B9326" t="s">
        <v>27975</v>
      </c>
      <c r="C9326" t="str">
        <f>"8305859"</f>
        <v>8305859</v>
      </c>
      <c r="D9326" t="s">
        <v>27976</v>
      </c>
      <c r="F9326" t="s">
        <v>27977</v>
      </c>
      <c r="I9326" t="s">
        <v>29</v>
      </c>
      <c r="J9326" t="s">
        <v>30</v>
      </c>
      <c r="K9326" t="str">
        <f t="shared" si="151"/>
        <v>27028</v>
      </c>
      <c r="M9326" t="s">
        <v>17861</v>
      </c>
      <c r="N9326" t="str">
        <f>"12/28/2015 4:36:00 PM"</f>
        <v>12/28/2015 4:36:00 PM</v>
      </c>
      <c r="O9326" t="s">
        <v>27976</v>
      </c>
    </row>
    <row r="9327" spans="1:20" x14ac:dyDescent="0.25">
      <c r="A9327" t="str">
        <f>"3038960"</f>
        <v>3038960</v>
      </c>
      <c r="B9327" t="s">
        <v>27978</v>
      </c>
      <c r="C9327" t="str">
        <f>"8305859"</f>
        <v>8305859</v>
      </c>
      <c r="D9327" t="s">
        <v>27976</v>
      </c>
      <c r="F9327" t="s">
        <v>27977</v>
      </c>
      <c r="I9327" t="s">
        <v>29</v>
      </c>
      <c r="J9327" t="s">
        <v>30</v>
      </c>
      <c r="K9327" t="str">
        <f t="shared" si="151"/>
        <v>27028</v>
      </c>
      <c r="M9327" t="s">
        <v>17861</v>
      </c>
      <c r="N9327" t="str">
        <f>"12/28/2015 4:36:00 PM"</f>
        <v>12/28/2015 4:36:00 PM</v>
      </c>
      <c r="O9327" t="s">
        <v>27976</v>
      </c>
    </row>
    <row r="9328" spans="1:20" x14ac:dyDescent="0.25">
      <c r="A9328" t="str">
        <f>"3037977"</f>
        <v>3037977</v>
      </c>
      <c r="B9328" t="s">
        <v>27979</v>
      </c>
      <c r="C9328" t="str">
        <f>"8305859"</f>
        <v>8305859</v>
      </c>
      <c r="D9328" t="s">
        <v>27976</v>
      </c>
      <c r="F9328" t="s">
        <v>27977</v>
      </c>
      <c r="I9328" t="s">
        <v>29</v>
      </c>
      <c r="J9328" t="s">
        <v>30</v>
      </c>
      <c r="K9328" t="str">
        <f t="shared" si="151"/>
        <v>27028</v>
      </c>
      <c r="M9328" t="s">
        <v>17861</v>
      </c>
      <c r="N9328" t="str">
        <f>"12/28/2015 4:36:00 PM"</f>
        <v>12/28/2015 4:36:00 PM</v>
      </c>
      <c r="O9328" t="s">
        <v>27976</v>
      </c>
    </row>
    <row r="9329" spans="1:20" x14ac:dyDescent="0.25">
      <c r="A9329" t="str">
        <f>"3077669"</f>
        <v>3077669</v>
      </c>
      <c r="B9329" t="s">
        <v>27980</v>
      </c>
      <c r="C9329" t="str">
        <f>"8305859"</f>
        <v>8305859</v>
      </c>
      <c r="D9329" t="s">
        <v>27976</v>
      </c>
      <c r="F9329" t="s">
        <v>27977</v>
      </c>
      <c r="I9329" t="s">
        <v>29</v>
      </c>
      <c r="J9329" t="s">
        <v>30</v>
      </c>
      <c r="K9329" t="str">
        <f t="shared" si="151"/>
        <v>27028</v>
      </c>
      <c r="M9329" t="s">
        <v>17861</v>
      </c>
      <c r="N9329" t="str">
        <f>"12/28/2015 4:36:00 PM"</f>
        <v>12/28/2015 4:36:00 PM</v>
      </c>
      <c r="O9329" t="s">
        <v>27976</v>
      </c>
    </row>
    <row r="9330" spans="1:20" x14ac:dyDescent="0.25">
      <c r="A9330" t="str">
        <f>"3059541"</f>
        <v>3059541</v>
      </c>
      <c r="B9330" t="s">
        <v>27981</v>
      </c>
      <c r="C9330" t="str">
        <f>"8305865"</f>
        <v>8305865</v>
      </c>
      <c r="D9330" t="s">
        <v>27982</v>
      </c>
      <c r="F9330" t="s">
        <v>27983</v>
      </c>
      <c r="I9330" t="s">
        <v>29</v>
      </c>
      <c r="J9330" t="s">
        <v>30</v>
      </c>
      <c r="K9330" t="str">
        <f t="shared" si="151"/>
        <v>27028</v>
      </c>
      <c r="M9330" t="s">
        <v>17861</v>
      </c>
      <c r="N9330" t="str">
        <f>"12/30/2015 8:51:00 AM"</f>
        <v>12/30/2015 8:51:00 AM</v>
      </c>
      <c r="O9330" t="s">
        <v>27982</v>
      </c>
    </row>
    <row r="9331" spans="1:20" x14ac:dyDescent="0.25">
      <c r="A9331" t="str">
        <f>"3049198"</f>
        <v>3049198</v>
      </c>
      <c r="B9331" t="s">
        <v>27984</v>
      </c>
      <c r="C9331" t="str">
        <f>"8305867"</f>
        <v>8305867</v>
      </c>
      <c r="D9331" t="s">
        <v>27884</v>
      </c>
      <c r="F9331" t="s">
        <v>27885</v>
      </c>
      <c r="I9331" t="s">
        <v>29</v>
      </c>
      <c r="J9331" t="s">
        <v>30</v>
      </c>
      <c r="K9331" t="str">
        <f t="shared" si="151"/>
        <v>27028</v>
      </c>
      <c r="M9331" t="s">
        <v>17861</v>
      </c>
      <c r="N9331" t="str">
        <f>"12/30/2015 9:11:00 AM"</f>
        <v>12/30/2015 9:11:00 AM</v>
      </c>
      <c r="O9331" t="s">
        <v>27884</v>
      </c>
    </row>
    <row r="9332" spans="1:20" x14ac:dyDescent="0.25">
      <c r="A9332" t="str">
        <f>"3046045"</f>
        <v>3046045</v>
      </c>
      <c r="B9332" t="s">
        <v>27985</v>
      </c>
      <c r="C9332" t="str">
        <f>"8304243"</f>
        <v>8304243</v>
      </c>
      <c r="D9332" t="s">
        <v>27986</v>
      </c>
      <c r="E9332" t="s">
        <v>27987</v>
      </c>
      <c r="F9332" t="s">
        <v>27988</v>
      </c>
      <c r="I9332" t="s">
        <v>29</v>
      </c>
      <c r="J9332" t="s">
        <v>30</v>
      </c>
      <c r="K9332" t="str">
        <f t="shared" si="151"/>
        <v>27028</v>
      </c>
      <c r="M9332" t="s">
        <v>18470</v>
      </c>
      <c r="N9332" t="str">
        <f>"12/31/2015 12:42:00 PM"</f>
        <v>12/31/2015 12:42:00 PM</v>
      </c>
      <c r="O9332" t="s">
        <v>27986</v>
      </c>
      <c r="T9332" t="s">
        <v>27987</v>
      </c>
    </row>
    <row r="9333" spans="1:20" x14ac:dyDescent="0.25">
      <c r="A9333" t="str">
        <f>"3040379"</f>
        <v>3040379</v>
      </c>
      <c r="B9333" t="s">
        <v>27989</v>
      </c>
      <c r="C9333" t="str">
        <f>"82526854"</f>
        <v>82526854</v>
      </c>
      <c r="D9333" t="s">
        <v>27990</v>
      </c>
      <c r="E9333" t="s">
        <v>27991</v>
      </c>
      <c r="F9333" t="s">
        <v>27992</v>
      </c>
      <c r="I9333" t="s">
        <v>27993</v>
      </c>
      <c r="J9333" t="s">
        <v>11697</v>
      </c>
      <c r="K9333" t="s">
        <v>27994</v>
      </c>
      <c r="M9333" t="s">
        <v>25625</v>
      </c>
      <c r="N9333" t="str">
        <f>"1/21/2016 11:34:00 AM"</f>
        <v>1/21/2016 11:34:00 AM</v>
      </c>
      <c r="O9333" t="s">
        <v>27990</v>
      </c>
      <c r="T9333" t="s">
        <v>27991</v>
      </c>
    </row>
    <row r="9334" spans="1:20" x14ac:dyDescent="0.25">
      <c r="A9334" t="str">
        <f>"3040927"</f>
        <v>3040927</v>
      </c>
      <c r="B9334" t="s">
        <v>27995</v>
      </c>
      <c r="C9334" t="str">
        <f>"82526854"</f>
        <v>82526854</v>
      </c>
      <c r="D9334" t="s">
        <v>27990</v>
      </c>
      <c r="E9334" t="s">
        <v>27991</v>
      </c>
      <c r="F9334" t="s">
        <v>27992</v>
      </c>
      <c r="I9334" t="s">
        <v>27993</v>
      </c>
      <c r="J9334" t="s">
        <v>11697</v>
      </c>
      <c r="K9334" t="s">
        <v>27994</v>
      </c>
      <c r="M9334" t="s">
        <v>25625</v>
      </c>
      <c r="N9334" t="str">
        <f>"1/21/2016 11:34:00 AM"</f>
        <v>1/21/2016 11:34:00 AM</v>
      </c>
      <c r="O9334" t="s">
        <v>27990</v>
      </c>
      <c r="T9334" t="s">
        <v>27991</v>
      </c>
    </row>
    <row r="9335" spans="1:20" x14ac:dyDescent="0.25">
      <c r="A9335" t="str">
        <f>"3047964"</f>
        <v>3047964</v>
      </c>
      <c r="B9335" t="s">
        <v>27996</v>
      </c>
      <c r="C9335" t="str">
        <f>"8300650"</f>
        <v>8300650</v>
      </c>
      <c r="D9335" t="s">
        <v>27997</v>
      </c>
      <c r="E9335" t="s">
        <v>27998</v>
      </c>
      <c r="F9335" t="s">
        <v>27999</v>
      </c>
      <c r="I9335" t="s">
        <v>184</v>
      </c>
      <c r="J9335" t="s">
        <v>30</v>
      </c>
      <c r="K9335" t="str">
        <f>"27006"</f>
        <v>27006</v>
      </c>
      <c r="M9335" t="s">
        <v>25625</v>
      </c>
      <c r="N9335" t="str">
        <f>"1/21/2016 11:35:00 AM"</f>
        <v>1/21/2016 11:35:00 AM</v>
      </c>
      <c r="O9335" t="s">
        <v>27997</v>
      </c>
      <c r="T9335" t="s">
        <v>27998</v>
      </c>
    </row>
    <row r="9336" spans="1:20" x14ac:dyDescent="0.25">
      <c r="A9336" t="str">
        <f>"3058057"</f>
        <v>3058057</v>
      </c>
      <c r="B9336" t="s">
        <v>28000</v>
      </c>
      <c r="C9336" t="str">
        <f>"82516043"</f>
        <v>82516043</v>
      </c>
      <c r="D9336" t="s">
        <v>28001</v>
      </c>
      <c r="E9336" t="s">
        <v>28002</v>
      </c>
      <c r="F9336" t="s">
        <v>28003</v>
      </c>
      <c r="I9336" t="s">
        <v>184</v>
      </c>
      <c r="J9336" t="s">
        <v>30</v>
      </c>
      <c r="K9336" t="s">
        <v>185</v>
      </c>
      <c r="M9336" t="s">
        <v>25625</v>
      </c>
      <c r="N9336" t="str">
        <f>"1/21/2016 11:39:00 AM"</f>
        <v>1/21/2016 11:39:00 AM</v>
      </c>
      <c r="O9336" t="s">
        <v>28001</v>
      </c>
      <c r="T9336" t="s">
        <v>28002</v>
      </c>
    </row>
    <row r="9337" spans="1:20" x14ac:dyDescent="0.25">
      <c r="A9337" t="str">
        <f>"3052176"</f>
        <v>3052176</v>
      </c>
      <c r="B9337" t="s">
        <v>28004</v>
      </c>
      <c r="C9337" t="str">
        <f>"8303692"</f>
        <v>8303692</v>
      </c>
      <c r="D9337" t="s">
        <v>28005</v>
      </c>
      <c r="F9337" t="s">
        <v>28006</v>
      </c>
      <c r="I9337" t="s">
        <v>29</v>
      </c>
      <c r="J9337" t="s">
        <v>30</v>
      </c>
      <c r="K9337" t="str">
        <f>"27028"</f>
        <v>27028</v>
      </c>
      <c r="M9337" t="s">
        <v>25733</v>
      </c>
      <c r="N9337" t="str">
        <f>"12/31/2015 1:08:00 PM"</f>
        <v>12/31/2015 1:08:00 PM</v>
      </c>
      <c r="O9337" t="s">
        <v>28005</v>
      </c>
    </row>
    <row r="9338" spans="1:20" x14ac:dyDescent="0.25">
      <c r="A9338" t="str">
        <f>"3052177"</f>
        <v>3052177</v>
      </c>
      <c r="B9338" t="s">
        <v>28007</v>
      </c>
      <c r="C9338" t="str">
        <f>"8303692"</f>
        <v>8303692</v>
      </c>
      <c r="D9338" t="s">
        <v>28005</v>
      </c>
      <c r="F9338" t="s">
        <v>28006</v>
      </c>
      <c r="I9338" t="s">
        <v>29</v>
      </c>
      <c r="J9338" t="s">
        <v>30</v>
      </c>
      <c r="K9338" t="str">
        <f>"27028"</f>
        <v>27028</v>
      </c>
      <c r="M9338" t="s">
        <v>25733</v>
      </c>
      <c r="N9338" t="str">
        <f>"12/31/2015 1:08:00 PM"</f>
        <v>12/31/2015 1:08:00 PM</v>
      </c>
      <c r="O9338" t="s">
        <v>28005</v>
      </c>
    </row>
    <row r="9339" spans="1:20" x14ac:dyDescent="0.25">
      <c r="A9339" t="str">
        <f>"3052228"</f>
        <v>3052228</v>
      </c>
      <c r="B9339" t="s">
        <v>28008</v>
      </c>
      <c r="C9339" t="str">
        <f>"8303692"</f>
        <v>8303692</v>
      </c>
      <c r="D9339" t="s">
        <v>28005</v>
      </c>
      <c r="F9339" t="s">
        <v>28006</v>
      </c>
      <c r="I9339" t="s">
        <v>29</v>
      </c>
      <c r="J9339" t="s">
        <v>30</v>
      </c>
      <c r="K9339" t="str">
        <f>"27028"</f>
        <v>27028</v>
      </c>
      <c r="M9339" t="s">
        <v>25733</v>
      </c>
      <c r="N9339" t="str">
        <f>"12/31/2015 1:08:00 PM"</f>
        <v>12/31/2015 1:08:00 PM</v>
      </c>
      <c r="O9339" t="s">
        <v>28005</v>
      </c>
    </row>
    <row r="9340" spans="1:20" x14ac:dyDescent="0.25">
      <c r="A9340" t="str">
        <f>"3058640"</f>
        <v>3058640</v>
      </c>
      <c r="B9340" t="s">
        <v>28009</v>
      </c>
      <c r="C9340" t="str">
        <f>"8305823"</f>
        <v>8305823</v>
      </c>
      <c r="D9340" t="s">
        <v>28010</v>
      </c>
      <c r="F9340" t="s">
        <v>28011</v>
      </c>
      <c r="I9340" t="s">
        <v>29</v>
      </c>
      <c r="J9340" t="s">
        <v>30</v>
      </c>
      <c r="K9340" t="str">
        <f>"27028"</f>
        <v>27028</v>
      </c>
      <c r="M9340" t="s">
        <v>17861</v>
      </c>
      <c r="N9340" t="str">
        <f>"12/17/2015 1:04:00 PM"</f>
        <v>12/17/2015 1:04:00 PM</v>
      </c>
      <c r="O9340" t="s">
        <v>28010</v>
      </c>
    </row>
    <row r="9341" spans="1:20" x14ac:dyDescent="0.25">
      <c r="A9341" t="str">
        <f>"3041718"</f>
        <v>3041718</v>
      </c>
      <c r="B9341" t="s">
        <v>28012</v>
      </c>
      <c r="C9341" t="str">
        <f>"63079000"</f>
        <v>63079000</v>
      </c>
      <c r="D9341" t="s">
        <v>28013</v>
      </c>
      <c r="E9341" t="s">
        <v>28014</v>
      </c>
      <c r="F9341" t="s">
        <v>28015</v>
      </c>
      <c r="I9341" t="s">
        <v>2071</v>
      </c>
      <c r="J9341" t="s">
        <v>30</v>
      </c>
      <c r="K9341" t="s">
        <v>19627</v>
      </c>
      <c r="M9341" t="s">
        <v>25733</v>
      </c>
      <c r="N9341" t="str">
        <f>"1/21/2016 11:47:00 AM"</f>
        <v>1/21/2016 11:47:00 AM</v>
      </c>
      <c r="O9341" t="s">
        <v>28013</v>
      </c>
      <c r="T9341" t="s">
        <v>28014</v>
      </c>
    </row>
    <row r="9342" spans="1:20" x14ac:dyDescent="0.25">
      <c r="A9342" t="str">
        <f>"3068722"</f>
        <v>3068722</v>
      </c>
      <c r="B9342" t="s">
        <v>28016</v>
      </c>
      <c r="C9342" t="str">
        <f>"8305408"</f>
        <v>8305408</v>
      </c>
      <c r="D9342" t="s">
        <v>28017</v>
      </c>
      <c r="F9342" t="s">
        <v>28018</v>
      </c>
      <c r="I9342" t="s">
        <v>29</v>
      </c>
      <c r="J9342" t="s">
        <v>30</v>
      </c>
      <c r="K9342" t="str">
        <f>"27028"</f>
        <v>27028</v>
      </c>
      <c r="M9342" t="s">
        <v>17861</v>
      </c>
      <c r="N9342" t="str">
        <f>"1/4/2016 9:30:00 AM"</f>
        <v>1/4/2016 9:30:00 AM</v>
      </c>
      <c r="O9342" t="s">
        <v>28017</v>
      </c>
    </row>
    <row r="9343" spans="1:20" x14ac:dyDescent="0.25">
      <c r="A9343" t="str">
        <f>"3048607"</f>
        <v>3048607</v>
      </c>
      <c r="B9343" t="s">
        <v>28019</v>
      </c>
      <c r="C9343" t="str">
        <f>"8304408"</f>
        <v>8304408</v>
      </c>
      <c r="D9343" t="s">
        <v>28020</v>
      </c>
      <c r="E9343" t="s">
        <v>28021</v>
      </c>
      <c r="F9343" t="s">
        <v>28022</v>
      </c>
      <c r="I9343" t="s">
        <v>184</v>
      </c>
      <c r="J9343" t="s">
        <v>30</v>
      </c>
      <c r="K9343" t="str">
        <f>"27006"</f>
        <v>27006</v>
      </c>
      <c r="M9343" t="s">
        <v>18479</v>
      </c>
      <c r="N9343" t="str">
        <f>"12/17/2015 1:16:00 PM"</f>
        <v>12/17/2015 1:16:00 PM</v>
      </c>
      <c r="O9343" t="s">
        <v>28020</v>
      </c>
      <c r="T9343" t="s">
        <v>28021</v>
      </c>
    </row>
    <row r="9344" spans="1:20" x14ac:dyDescent="0.25">
      <c r="A9344" t="str">
        <f>"3043038"</f>
        <v>3043038</v>
      </c>
      <c r="B9344" t="s">
        <v>28023</v>
      </c>
      <c r="C9344" t="str">
        <f>"8305590"</f>
        <v>8305590</v>
      </c>
      <c r="D9344" t="s">
        <v>28024</v>
      </c>
      <c r="F9344" t="s">
        <v>28025</v>
      </c>
      <c r="I9344" t="s">
        <v>29</v>
      </c>
      <c r="J9344" t="s">
        <v>30</v>
      </c>
      <c r="K9344" t="str">
        <f>"27028"</f>
        <v>27028</v>
      </c>
      <c r="M9344" t="s">
        <v>17861</v>
      </c>
      <c r="N9344" t="str">
        <f>"1/21/2016 4:06:00 PM"</f>
        <v>1/21/2016 4:06:00 PM</v>
      </c>
      <c r="O9344" t="s">
        <v>28024</v>
      </c>
    </row>
    <row r="9345" spans="1:20" x14ac:dyDescent="0.25">
      <c r="A9345" t="str">
        <f>"3051467"</f>
        <v>3051467</v>
      </c>
      <c r="B9345" t="s">
        <v>28026</v>
      </c>
      <c r="C9345" t="str">
        <f>"58693000"</f>
        <v>58693000</v>
      </c>
      <c r="D9345" t="s">
        <v>28027</v>
      </c>
      <c r="E9345" t="s">
        <v>28028</v>
      </c>
      <c r="F9345" t="s">
        <v>28029</v>
      </c>
      <c r="I9345" t="s">
        <v>29</v>
      </c>
      <c r="J9345" t="s">
        <v>30</v>
      </c>
      <c r="K9345" t="s">
        <v>31</v>
      </c>
      <c r="M9345" t="s">
        <v>25494</v>
      </c>
      <c r="N9345" t="str">
        <f>"1/25/2016 11:28:00 AM"</f>
        <v>1/25/2016 11:28:00 AM</v>
      </c>
      <c r="O9345" t="s">
        <v>28027</v>
      </c>
      <c r="T9345" t="s">
        <v>28028</v>
      </c>
    </row>
    <row r="9346" spans="1:20" x14ac:dyDescent="0.25">
      <c r="A9346" t="str">
        <f>"3078976"</f>
        <v>3078976</v>
      </c>
      <c r="B9346" t="s">
        <v>28030</v>
      </c>
      <c r="C9346" t="str">
        <f>"58693000"</f>
        <v>58693000</v>
      </c>
      <c r="D9346" t="s">
        <v>28027</v>
      </c>
      <c r="E9346" t="s">
        <v>28028</v>
      </c>
      <c r="F9346" t="s">
        <v>28029</v>
      </c>
      <c r="I9346" t="s">
        <v>29</v>
      </c>
      <c r="J9346" t="s">
        <v>30</v>
      </c>
      <c r="K9346" t="s">
        <v>31</v>
      </c>
      <c r="M9346" t="s">
        <v>25494</v>
      </c>
      <c r="N9346" t="str">
        <f>"1/25/2016 11:28:00 AM"</f>
        <v>1/25/2016 11:28:00 AM</v>
      </c>
      <c r="O9346" t="s">
        <v>28027</v>
      </c>
      <c r="T9346" t="s">
        <v>28028</v>
      </c>
    </row>
    <row r="9347" spans="1:20" x14ac:dyDescent="0.25">
      <c r="A9347" t="str">
        <f>"3043463"</f>
        <v>3043463</v>
      </c>
      <c r="B9347" t="s">
        <v>28031</v>
      </c>
      <c r="C9347" t="str">
        <f>"8305826"</f>
        <v>8305826</v>
      </c>
      <c r="D9347" t="s">
        <v>28032</v>
      </c>
      <c r="E9347" t="s">
        <v>28033</v>
      </c>
      <c r="F9347" t="s">
        <v>28034</v>
      </c>
      <c r="I9347" t="s">
        <v>29</v>
      </c>
      <c r="J9347" t="s">
        <v>30</v>
      </c>
      <c r="K9347" t="str">
        <f>"27028"</f>
        <v>27028</v>
      </c>
      <c r="M9347" t="s">
        <v>17861</v>
      </c>
      <c r="N9347" t="str">
        <f>"12/17/2015 1:24:00 PM"</f>
        <v>12/17/2015 1:24:00 PM</v>
      </c>
      <c r="O9347" t="s">
        <v>28032</v>
      </c>
      <c r="T9347" t="s">
        <v>28033</v>
      </c>
    </row>
    <row r="9348" spans="1:20" x14ac:dyDescent="0.25">
      <c r="A9348" t="str">
        <f>"3061662"</f>
        <v>3061662</v>
      </c>
      <c r="B9348" t="s">
        <v>28035</v>
      </c>
      <c r="C9348" t="str">
        <f>"8305011"</f>
        <v>8305011</v>
      </c>
      <c r="D9348" t="s">
        <v>28036</v>
      </c>
      <c r="E9348" t="str">
        <f>"JOINT REV TRUST 5/31/13"</f>
        <v>JOINT REV TRUST 5/31/13</v>
      </c>
      <c r="F9348" t="s">
        <v>28037</v>
      </c>
      <c r="I9348" t="s">
        <v>184</v>
      </c>
      <c r="J9348" t="s">
        <v>30</v>
      </c>
      <c r="K9348" t="str">
        <f>"27006"</f>
        <v>27006</v>
      </c>
      <c r="M9348" t="s">
        <v>17861</v>
      </c>
      <c r="N9348" t="str">
        <f>"1/7/2016 4:24:00 PM"</f>
        <v>1/7/2016 4:24:00 PM</v>
      </c>
      <c r="O9348" t="s">
        <v>28036</v>
      </c>
      <c r="T9348" t="str">
        <f>"JOINT REV TRUST 5/31/13"</f>
        <v>JOINT REV TRUST 5/31/13</v>
      </c>
    </row>
    <row r="9349" spans="1:20" x14ac:dyDescent="0.25">
      <c r="A9349" t="str">
        <f>"3037217"</f>
        <v>3037217</v>
      </c>
      <c r="B9349" t="s">
        <v>28038</v>
      </c>
      <c r="C9349" t="str">
        <f>"8305916"</f>
        <v>8305916</v>
      </c>
      <c r="D9349" t="s">
        <v>20001</v>
      </c>
      <c r="F9349" t="s">
        <v>20003</v>
      </c>
      <c r="I9349" t="s">
        <v>184</v>
      </c>
      <c r="J9349" t="s">
        <v>30</v>
      </c>
      <c r="K9349" t="str">
        <f>"27006"</f>
        <v>27006</v>
      </c>
      <c r="M9349" t="s">
        <v>17861</v>
      </c>
      <c r="N9349" t="str">
        <f>"1/26/2016 1:38:00 PM"</f>
        <v>1/26/2016 1:38:00 PM</v>
      </c>
      <c r="O9349" t="s">
        <v>20001</v>
      </c>
    </row>
    <row r="9350" spans="1:20" x14ac:dyDescent="0.25">
      <c r="A9350" t="str">
        <f>"3049207"</f>
        <v>3049207</v>
      </c>
      <c r="B9350" t="s">
        <v>28039</v>
      </c>
      <c r="C9350" t="str">
        <f>"8305918"</f>
        <v>8305918</v>
      </c>
      <c r="D9350" t="s">
        <v>28040</v>
      </c>
      <c r="F9350" t="s">
        <v>28041</v>
      </c>
      <c r="I9350" t="s">
        <v>29</v>
      </c>
      <c r="J9350" t="s">
        <v>30</v>
      </c>
      <c r="K9350" t="str">
        <f>"27028"</f>
        <v>27028</v>
      </c>
      <c r="M9350" t="s">
        <v>17861</v>
      </c>
      <c r="N9350" t="str">
        <f>"1/26/2016 4:29:00 PM"</f>
        <v>1/26/2016 4:29:00 PM</v>
      </c>
      <c r="O9350" t="s">
        <v>28040</v>
      </c>
    </row>
    <row r="9351" spans="1:20" x14ac:dyDescent="0.25">
      <c r="A9351" t="str">
        <f>"3049208"</f>
        <v>3049208</v>
      </c>
      <c r="B9351" t="s">
        <v>28042</v>
      </c>
      <c r="C9351" t="str">
        <f>"8305918"</f>
        <v>8305918</v>
      </c>
      <c r="D9351" t="s">
        <v>28040</v>
      </c>
      <c r="F9351" t="s">
        <v>28041</v>
      </c>
      <c r="I9351" t="s">
        <v>29</v>
      </c>
      <c r="J9351" t="s">
        <v>30</v>
      </c>
      <c r="K9351" t="str">
        <f>"27028"</f>
        <v>27028</v>
      </c>
      <c r="M9351" t="s">
        <v>17861</v>
      </c>
      <c r="N9351" t="str">
        <f>"1/26/2016 4:29:00 PM"</f>
        <v>1/26/2016 4:29:00 PM</v>
      </c>
      <c r="O9351" t="s">
        <v>28040</v>
      </c>
    </row>
    <row r="9352" spans="1:20" x14ac:dyDescent="0.25">
      <c r="A9352" t="str">
        <f>"3050850"</f>
        <v>3050850</v>
      </c>
      <c r="B9352" t="s">
        <v>28043</v>
      </c>
      <c r="C9352" t="str">
        <f>"8305901"</f>
        <v>8305901</v>
      </c>
      <c r="D9352" t="s">
        <v>28044</v>
      </c>
      <c r="F9352" t="s">
        <v>28045</v>
      </c>
      <c r="I9352" t="s">
        <v>28046</v>
      </c>
      <c r="J9352" t="s">
        <v>11697</v>
      </c>
      <c r="K9352" t="str">
        <f>"90233"</f>
        <v>90233</v>
      </c>
      <c r="M9352" t="s">
        <v>17861</v>
      </c>
      <c r="N9352" t="str">
        <f>"1/7/2016 4:33:00 PM"</f>
        <v>1/7/2016 4:33:00 PM</v>
      </c>
      <c r="O9352" t="s">
        <v>28044</v>
      </c>
    </row>
    <row r="9353" spans="1:20" x14ac:dyDescent="0.25">
      <c r="A9353" t="str">
        <f>"3050638"</f>
        <v>3050638</v>
      </c>
      <c r="B9353" t="s">
        <v>28047</v>
      </c>
      <c r="C9353" t="str">
        <f>"8302068"</f>
        <v>8302068</v>
      </c>
      <c r="D9353" t="s">
        <v>28048</v>
      </c>
      <c r="F9353" t="s">
        <v>11214</v>
      </c>
      <c r="I9353" t="s">
        <v>11215</v>
      </c>
      <c r="J9353" t="s">
        <v>30</v>
      </c>
      <c r="K9353" t="str">
        <f>"27374"</f>
        <v>27374</v>
      </c>
      <c r="M9353" t="s">
        <v>25494</v>
      </c>
      <c r="N9353" t="str">
        <f>"1/7/2016 4:52:00 PM"</f>
        <v>1/7/2016 4:52:00 PM</v>
      </c>
      <c r="O9353" t="s">
        <v>28048</v>
      </c>
    </row>
    <row r="9354" spans="1:20" x14ac:dyDescent="0.25">
      <c r="A9354" t="str">
        <f>"3076684"</f>
        <v>3076684</v>
      </c>
      <c r="B9354" t="s">
        <v>28049</v>
      </c>
      <c r="C9354" t="str">
        <f>"51016000"</f>
        <v>51016000</v>
      </c>
      <c r="D9354" t="s">
        <v>1276</v>
      </c>
      <c r="E9354" t="s">
        <v>28050</v>
      </c>
      <c r="F9354" t="s">
        <v>1277</v>
      </c>
      <c r="I9354" t="s">
        <v>29</v>
      </c>
      <c r="J9354" t="s">
        <v>30</v>
      </c>
      <c r="K9354" t="s">
        <v>28051</v>
      </c>
      <c r="M9354" t="s">
        <v>18479</v>
      </c>
      <c r="N9354" t="str">
        <f>"1/8/2016 1:40:00 PM"</f>
        <v>1/8/2016 1:40:00 PM</v>
      </c>
      <c r="O9354" t="s">
        <v>1276</v>
      </c>
      <c r="T9354" t="s">
        <v>28050</v>
      </c>
    </row>
    <row r="9355" spans="1:20" x14ac:dyDescent="0.25">
      <c r="A9355" t="str">
        <f>"3041932"</f>
        <v>3041932</v>
      </c>
      <c r="B9355" t="s">
        <v>28052</v>
      </c>
      <c r="C9355" t="str">
        <f t="shared" ref="C9355:C9360" si="152">"35827460"</f>
        <v>35827460</v>
      </c>
      <c r="D9355" t="s">
        <v>28053</v>
      </c>
      <c r="F9355" t="s">
        <v>28054</v>
      </c>
      <c r="I9355" t="s">
        <v>184</v>
      </c>
      <c r="J9355" t="s">
        <v>30</v>
      </c>
      <c r="K9355" t="str">
        <f t="shared" ref="K9355:K9360" si="153">"27006"</f>
        <v>27006</v>
      </c>
      <c r="M9355" t="s">
        <v>25625</v>
      </c>
      <c r="N9355" t="str">
        <f t="shared" ref="N9355:N9360" si="154">"1/27/2016 10:27:00 AM"</f>
        <v>1/27/2016 10:27:00 AM</v>
      </c>
      <c r="O9355" t="s">
        <v>28053</v>
      </c>
    </row>
    <row r="9356" spans="1:20" x14ac:dyDescent="0.25">
      <c r="A9356" t="str">
        <f>"3041915"</f>
        <v>3041915</v>
      </c>
      <c r="B9356" t="s">
        <v>28055</v>
      </c>
      <c r="C9356" t="str">
        <f t="shared" si="152"/>
        <v>35827460</v>
      </c>
      <c r="D9356" t="s">
        <v>28053</v>
      </c>
      <c r="F9356" t="s">
        <v>28054</v>
      </c>
      <c r="I9356" t="s">
        <v>184</v>
      </c>
      <c r="J9356" t="s">
        <v>30</v>
      </c>
      <c r="K9356" t="str">
        <f t="shared" si="153"/>
        <v>27006</v>
      </c>
      <c r="M9356" t="s">
        <v>25625</v>
      </c>
      <c r="N9356" t="str">
        <f t="shared" si="154"/>
        <v>1/27/2016 10:27:00 AM</v>
      </c>
      <c r="O9356" t="s">
        <v>28053</v>
      </c>
    </row>
    <row r="9357" spans="1:20" x14ac:dyDescent="0.25">
      <c r="A9357" t="str">
        <f>"3041180"</f>
        <v>3041180</v>
      </c>
      <c r="B9357" t="s">
        <v>28056</v>
      </c>
      <c r="C9357" t="str">
        <f t="shared" si="152"/>
        <v>35827460</v>
      </c>
      <c r="D9357" t="s">
        <v>28053</v>
      </c>
      <c r="F9357" t="s">
        <v>28054</v>
      </c>
      <c r="I9357" t="s">
        <v>184</v>
      </c>
      <c r="J9357" t="s">
        <v>30</v>
      </c>
      <c r="K9357" t="str">
        <f t="shared" si="153"/>
        <v>27006</v>
      </c>
      <c r="M9357" t="s">
        <v>25625</v>
      </c>
      <c r="N9357" t="str">
        <f t="shared" si="154"/>
        <v>1/27/2016 10:27:00 AM</v>
      </c>
      <c r="O9357" t="s">
        <v>28053</v>
      </c>
    </row>
    <row r="9358" spans="1:20" x14ac:dyDescent="0.25">
      <c r="A9358" t="str">
        <f>"3041106"</f>
        <v>3041106</v>
      </c>
      <c r="B9358" t="s">
        <v>28057</v>
      </c>
      <c r="C9358" t="str">
        <f t="shared" si="152"/>
        <v>35827460</v>
      </c>
      <c r="D9358" t="s">
        <v>28053</v>
      </c>
      <c r="F9358" t="s">
        <v>28054</v>
      </c>
      <c r="I9358" t="s">
        <v>184</v>
      </c>
      <c r="J9358" t="s">
        <v>30</v>
      </c>
      <c r="K9358" t="str">
        <f t="shared" si="153"/>
        <v>27006</v>
      </c>
      <c r="M9358" t="s">
        <v>25625</v>
      </c>
      <c r="N9358" t="str">
        <f t="shared" si="154"/>
        <v>1/27/2016 10:27:00 AM</v>
      </c>
      <c r="O9358" t="s">
        <v>28053</v>
      </c>
    </row>
    <row r="9359" spans="1:20" x14ac:dyDescent="0.25">
      <c r="A9359" t="str">
        <f>"3041107"</f>
        <v>3041107</v>
      </c>
      <c r="B9359" t="s">
        <v>28058</v>
      </c>
      <c r="C9359" t="str">
        <f t="shared" si="152"/>
        <v>35827460</v>
      </c>
      <c r="D9359" t="s">
        <v>28053</v>
      </c>
      <c r="F9359" t="s">
        <v>28054</v>
      </c>
      <c r="I9359" t="s">
        <v>184</v>
      </c>
      <c r="J9359" t="s">
        <v>30</v>
      </c>
      <c r="K9359" t="str">
        <f t="shared" si="153"/>
        <v>27006</v>
      </c>
      <c r="M9359" t="s">
        <v>25625</v>
      </c>
      <c r="N9359" t="str">
        <f t="shared" si="154"/>
        <v>1/27/2016 10:27:00 AM</v>
      </c>
      <c r="O9359" t="s">
        <v>28053</v>
      </c>
    </row>
    <row r="9360" spans="1:20" x14ac:dyDescent="0.25">
      <c r="A9360" t="str">
        <f>"3041115"</f>
        <v>3041115</v>
      </c>
      <c r="B9360" t="s">
        <v>28059</v>
      </c>
      <c r="C9360" t="str">
        <f t="shared" si="152"/>
        <v>35827460</v>
      </c>
      <c r="D9360" t="s">
        <v>28053</v>
      </c>
      <c r="F9360" t="s">
        <v>28054</v>
      </c>
      <c r="I9360" t="s">
        <v>184</v>
      </c>
      <c r="J9360" t="s">
        <v>30</v>
      </c>
      <c r="K9360" t="str">
        <f t="shared" si="153"/>
        <v>27006</v>
      </c>
      <c r="M9360" t="s">
        <v>25625</v>
      </c>
      <c r="N9360" t="str">
        <f t="shared" si="154"/>
        <v>1/27/2016 10:27:00 AM</v>
      </c>
      <c r="O9360" t="s">
        <v>28053</v>
      </c>
    </row>
    <row r="9361" spans="1:20" x14ac:dyDescent="0.25">
      <c r="A9361" t="str">
        <f>"3059259"</f>
        <v>3059259</v>
      </c>
      <c r="B9361" t="s">
        <v>28060</v>
      </c>
      <c r="C9361" t="str">
        <f>"8305902"</f>
        <v>8305902</v>
      </c>
      <c r="D9361" t="s">
        <v>28061</v>
      </c>
      <c r="F9361" t="s">
        <v>28062</v>
      </c>
      <c r="I9361" t="s">
        <v>29</v>
      </c>
      <c r="J9361" t="s">
        <v>30</v>
      </c>
      <c r="K9361" t="str">
        <f>"27028"</f>
        <v>27028</v>
      </c>
      <c r="M9361" t="s">
        <v>17861</v>
      </c>
      <c r="N9361" t="str">
        <f>"1/12/2016 11:06:00 AM"</f>
        <v>1/12/2016 11:06:00 AM</v>
      </c>
      <c r="O9361" t="s">
        <v>28061</v>
      </c>
    </row>
    <row r="9362" spans="1:20" x14ac:dyDescent="0.25">
      <c r="A9362" t="str">
        <f>"3050296"</f>
        <v>3050296</v>
      </c>
      <c r="B9362" t="s">
        <v>28063</v>
      </c>
      <c r="C9362" t="str">
        <f>"8305440"</f>
        <v>8305440</v>
      </c>
      <c r="D9362" t="s">
        <v>28064</v>
      </c>
      <c r="E9362" t="s">
        <v>28065</v>
      </c>
      <c r="F9362" t="s">
        <v>28066</v>
      </c>
      <c r="I9362" t="s">
        <v>184</v>
      </c>
      <c r="J9362" t="s">
        <v>30</v>
      </c>
      <c r="K9362" t="str">
        <f>"27006"</f>
        <v>27006</v>
      </c>
      <c r="M9362" t="s">
        <v>17861</v>
      </c>
      <c r="N9362" t="str">
        <f>"1/13/2016 10:44:00 AM"</f>
        <v>1/13/2016 10:44:00 AM</v>
      </c>
      <c r="O9362" t="s">
        <v>28064</v>
      </c>
      <c r="T9362" t="s">
        <v>28065</v>
      </c>
    </row>
    <row r="9363" spans="1:20" x14ac:dyDescent="0.25">
      <c r="A9363" t="str">
        <f>"3056789"</f>
        <v>3056789</v>
      </c>
      <c r="B9363" t="s">
        <v>28067</v>
      </c>
      <c r="C9363" t="str">
        <f>"19776200"</f>
        <v>19776200</v>
      </c>
      <c r="D9363" t="s">
        <v>28068</v>
      </c>
      <c r="F9363" t="s">
        <v>28069</v>
      </c>
      <c r="I9363" t="s">
        <v>29</v>
      </c>
      <c r="J9363" t="s">
        <v>30</v>
      </c>
      <c r="K9363" t="s">
        <v>31</v>
      </c>
      <c r="M9363" t="s">
        <v>25625</v>
      </c>
      <c r="N9363" t="str">
        <f>"1/28/2016 12:07:00 PM"</f>
        <v>1/28/2016 12:07:00 PM</v>
      </c>
      <c r="O9363" t="s">
        <v>28068</v>
      </c>
    </row>
    <row r="9364" spans="1:20" x14ac:dyDescent="0.25">
      <c r="A9364" t="str">
        <f>"3078426"</f>
        <v>3078426</v>
      </c>
      <c r="B9364" t="s">
        <v>28070</v>
      </c>
      <c r="C9364" t="str">
        <f>"42819000"</f>
        <v>42819000</v>
      </c>
      <c r="D9364" t="s">
        <v>28071</v>
      </c>
      <c r="E9364" t="s">
        <v>28072</v>
      </c>
      <c r="F9364" t="s">
        <v>28073</v>
      </c>
      <c r="I9364" t="s">
        <v>29</v>
      </c>
      <c r="J9364" t="s">
        <v>30</v>
      </c>
      <c r="K9364" t="s">
        <v>28074</v>
      </c>
      <c r="M9364" t="s">
        <v>17861</v>
      </c>
      <c r="N9364" t="str">
        <f>"1/14/2016 1:43:00 PM"</f>
        <v>1/14/2016 1:43:00 PM</v>
      </c>
      <c r="O9364" t="s">
        <v>28071</v>
      </c>
      <c r="T9364" t="s">
        <v>28072</v>
      </c>
    </row>
    <row r="9365" spans="1:20" x14ac:dyDescent="0.25">
      <c r="A9365" t="str">
        <f>"3038647"</f>
        <v>3038647</v>
      </c>
      <c r="B9365" t="s">
        <v>28075</v>
      </c>
      <c r="C9365" t="str">
        <f>"8302400"</f>
        <v>8302400</v>
      </c>
      <c r="D9365" t="s">
        <v>28076</v>
      </c>
      <c r="F9365" t="s">
        <v>28077</v>
      </c>
      <c r="I9365" t="s">
        <v>29</v>
      </c>
      <c r="J9365" t="s">
        <v>30</v>
      </c>
      <c r="K9365" t="str">
        <f>"27028"</f>
        <v>27028</v>
      </c>
      <c r="M9365" t="s">
        <v>25625</v>
      </c>
      <c r="N9365" t="str">
        <f>"1/21/2016 10:20:00 AM"</f>
        <v>1/21/2016 10:20:00 AM</v>
      </c>
      <c r="O9365" t="s">
        <v>28076</v>
      </c>
    </row>
    <row r="9366" spans="1:20" x14ac:dyDescent="0.25">
      <c r="A9366" t="str">
        <f>"3062430"</f>
        <v>3062430</v>
      </c>
      <c r="B9366" t="s">
        <v>28078</v>
      </c>
      <c r="C9366" t="str">
        <f>"35972000"</f>
        <v>35972000</v>
      </c>
      <c r="D9366" t="s">
        <v>28079</v>
      </c>
      <c r="F9366" t="str">
        <f>"C/O DONNA HOBSON WILLINGHAM"</f>
        <v>C/O DONNA HOBSON WILLINGHAM</v>
      </c>
      <c r="G9366" t="s">
        <v>3677</v>
      </c>
      <c r="I9366" t="s">
        <v>2071</v>
      </c>
      <c r="J9366" t="s">
        <v>30</v>
      </c>
      <c r="K9366" t="s">
        <v>185</v>
      </c>
      <c r="M9366" t="s">
        <v>25625</v>
      </c>
      <c r="N9366" t="str">
        <f>"1/28/2016 12:10:00 PM"</f>
        <v>1/28/2016 12:10:00 PM</v>
      </c>
      <c r="O9366" t="s">
        <v>28079</v>
      </c>
    </row>
    <row r="9367" spans="1:20" x14ac:dyDescent="0.25">
      <c r="A9367" t="str">
        <f>"3059374"</f>
        <v>3059374</v>
      </c>
      <c r="B9367" t="s">
        <v>28080</v>
      </c>
      <c r="C9367" t="str">
        <f>"8305832"</f>
        <v>8305832</v>
      </c>
      <c r="D9367" t="s">
        <v>19521</v>
      </c>
      <c r="E9367" t="s">
        <v>19522</v>
      </c>
      <c r="F9367" t="s">
        <v>19523</v>
      </c>
      <c r="I9367" t="s">
        <v>29</v>
      </c>
      <c r="J9367" t="s">
        <v>30</v>
      </c>
      <c r="K9367" t="str">
        <f>"27028"</f>
        <v>27028</v>
      </c>
      <c r="M9367" t="s">
        <v>17861</v>
      </c>
      <c r="N9367" t="str">
        <f>"1/28/2016 12:35:00 PM"</f>
        <v>1/28/2016 12:35:00 PM</v>
      </c>
      <c r="O9367" t="s">
        <v>19521</v>
      </c>
      <c r="T9367" t="s">
        <v>19522</v>
      </c>
    </row>
    <row r="9368" spans="1:20" x14ac:dyDescent="0.25">
      <c r="A9368" t="str">
        <f>"3044260"</f>
        <v>3044260</v>
      </c>
      <c r="B9368" t="s">
        <v>28081</v>
      </c>
      <c r="C9368" t="str">
        <f>"82526064"</f>
        <v>82526064</v>
      </c>
      <c r="D9368" t="s">
        <v>28082</v>
      </c>
      <c r="E9368" t="s">
        <v>28083</v>
      </c>
      <c r="F9368" t="s">
        <v>28084</v>
      </c>
      <c r="I9368" t="s">
        <v>184</v>
      </c>
      <c r="J9368" t="s">
        <v>30</v>
      </c>
      <c r="K9368" t="s">
        <v>185</v>
      </c>
      <c r="M9368" t="s">
        <v>25625</v>
      </c>
      <c r="N9368" t="str">
        <f>"1/21/2016 10:27:00 AM"</f>
        <v>1/21/2016 10:27:00 AM</v>
      </c>
      <c r="O9368" t="s">
        <v>28082</v>
      </c>
      <c r="T9368" t="s">
        <v>28083</v>
      </c>
    </row>
    <row r="9369" spans="1:20" x14ac:dyDescent="0.25">
      <c r="A9369" t="str">
        <f>"3075188"</f>
        <v>3075188</v>
      </c>
      <c r="B9369" t="s">
        <v>28085</v>
      </c>
      <c r="C9369" t="str">
        <f>"8305920"</f>
        <v>8305920</v>
      </c>
      <c r="D9369" t="s">
        <v>28086</v>
      </c>
      <c r="F9369" t="s">
        <v>16634</v>
      </c>
      <c r="I9369" t="s">
        <v>29</v>
      </c>
      <c r="J9369" t="s">
        <v>30</v>
      </c>
      <c r="K9369" t="str">
        <f>"27028"</f>
        <v>27028</v>
      </c>
      <c r="M9369" t="s">
        <v>17861</v>
      </c>
      <c r="N9369" t="str">
        <f>"1/29/2016 12:15:00 PM"</f>
        <v>1/29/2016 12:15:00 PM</v>
      </c>
      <c r="O9369" t="s">
        <v>28086</v>
      </c>
    </row>
    <row r="9370" spans="1:20" x14ac:dyDescent="0.25">
      <c r="A9370" t="str">
        <f>"3042117"</f>
        <v>3042117</v>
      </c>
      <c r="B9370" t="s">
        <v>28087</v>
      </c>
      <c r="C9370" t="str">
        <f>"9260000"</f>
        <v>9260000</v>
      </c>
      <c r="D9370" t="s">
        <v>28088</v>
      </c>
      <c r="F9370" t="s">
        <v>28089</v>
      </c>
      <c r="G9370" t="s">
        <v>28090</v>
      </c>
      <c r="I9370" t="s">
        <v>2291</v>
      </c>
      <c r="J9370" t="s">
        <v>30</v>
      </c>
      <c r="K9370" t="s">
        <v>2292</v>
      </c>
      <c r="M9370" t="s">
        <v>25733</v>
      </c>
      <c r="N9370" t="str">
        <f>"1/29/2016 2:52:00 PM"</f>
        <v>1/29/2016 2:52:00 PM</v>
      </c>
      <c r="O9370" t="s">
        <v>28088</v>
      </c>
      <c r="T9370" t="s">
        <v>28088</v>
      </c>
    </row>
    <row r="9371" spans="1:20" x14ac:dyDescent="0.25">
      <c r="A9371" t="str">
        <f>"3039718"</f>
        <v>3039718</v>
      </c>
      <c r="B9371" t="s">
        <v>28091</v>
      </c>
      <c r="C9371" t="str">
        <f>"8304148"</f>
        <v>8304148</v>
      </c>
      <c r="D9371" t="s">
        <v>28092</v>
      </c>
      <c r="E9371" t="s">
        <v>28093</v>
      </c>
      <c r="F9371" t="s">
        <v>28094</v>
      </c>
      <c r="I9371" t="s">
        <v>184</v>
      </c>
      <c r="J9371" t="s">
        <v>30</v>
      </c>
      <c r="K9371" t="str">
        <f>"27006"</f>
        <v>27006</v>
      </c>
      <c r="M9371" t="s">
        <v>17861</v>
      </c>
      <c r="N9371" t="str">
        <f>"2/1/2016 3:40:00 PM"</f>
        <v>2/1/2016 3:40:00 PM</v>
      </c>
      <c r="O9371" t="s">
        <v>28092</v>
      </c>
      <c r="T9371" t="s">
        <v>28093</v>
      </c>
    </row>
    <row r="9372" spans="1:20" x14ac:dyDescent="0.25">
      <c r="A9372" t="str">
        <f>"3060050"</f>
        <v>3060050</v>
      </c>
      <c r="B9372" t="s">
        <v>28095</v>
      </c>
      <c r="C9372" t="str">
        <f>"8304118"</f>
        <v>8304118</v>
      </c>
      <c r="D9372" t="s">
        <v>28096</v>
      </c>
      <c r="F9372" t="s">
        <v>28097</v>
      </c>
      <c r="I9372" t="s">
        <v>184</v>
      </c>
      <c r="J9372" t="s">
        <v>30</v>
      </c>
      <c r="K9372" t="str">
        <f>"27006"</f>
        <v>27006</v>
      </c>
      <c r="M9372" t="s">
        <v>25625</v>
      </c>
      <c r="N9372" t="str">
        <f>"1/21/2016 10:32:00 AM"</f>
        <v>1/21/2016 10:32:00 AM</v>
      </c>
      <c r="O9372" t="s">
        <v>28096</v>
      </c>
    </row>
    <row r="9373" spans="1:20" x14ac:dyDescent="0.25">
      <c r="A9373" t="str">
        <f>"3037309"</f>
        <v>3037309</v>
      </c>
      <c r="B9373" t="s">
        <v>28098</v>
      </c>
      <c r="C9373" t="str">
        <f>"32338000"</f>
        <v>32338000</v>
      </c>
      <c r="D9373" t="s">
        <v>781</v>
      </c>
      <c r="E9373" t="s">
        <v>28099</v>
      </c>
      <c r="F9373" t="s">
        <v>782</v>
      </c>
      <c r="I9373" t="s">
        <v>184</v>
      </c>
      <c r="J9373" t="s">
        <v>30</v>
      </c>
      <c r="K9373" t="s">
        <v>185</v>
      </c>
      <c r="M9373" t="s">
        <v>25625</v>
      </c>
      <c r="N9373" t="str">
        <f>"1/21/2016 10:38:00 AM"</f>
        <v>1/21/2016 10:38:00 AM</v>
      </c>
      <c r="O9373" t="s">
        <v>781</v>
      </c>
      <c r="T9373" t="s">
        <v>28099</v>
      </c>
    </row>
    <row r="9374" spans="1:20" x14ac:dyDescent="0.25">
      <c r="A9374" t="str">
        <f>"3040412"</f>
        <v>3040412</v>
      </c>
      <c r="B9374" t="s">
        <v>28100</v>
      </c>
      <c r="C9374" t="str">
        <f>"8305924"</f>
        <v>8305924</v>
      </c>
      <c r="D9374" t="s">
        <v>28101</v>
      </c>
      <c r="E9374" t="s">
        <v>28102</v>
      </c>
      <c r="F9374" t="s">
        <v>28103</v>
      </c>
      <c r="I9374" t="s">
        <v>184</v>
      </c>
      <c r="J9374" t="s">
        <v>30</v>
      </c>
      <c r="K9374" t="str">
        <f>"27006"</f>
        <v>27006</v>
      </c>
      <c r="M9374" t="s">
        <v>17861</v>
      </c>
      <c r="N9374" t="str">
        <f>"2/2/2016 4:08:00 PM"</f>
        <v>2/2/2016 4:08:00 PM</v>
      </c>
      <c r="O9374" t="s">
        <v>28101</v>
      </c>
      <c r="T9374" t="s">
        <v>28102</v>
      </c>
    </row>
    <row r="9375" spans="1:20" x14ac:dyDescent="0.25">
      <c r="A9375" t="str">
        <f>"3041961"</f>
        <v>3041961</v>
      </c>
      <c r="B9375" t="s">
        <v>28104</v>
      </c>
      <c r="C9375" t="str">
        <f>"8304667"</f>
        <v>8304667</v>
      </c>
      <c r="D9375" t="s">
        <v>28105</v>
      </c>
      <c r="E9375" t="s">
        <v>28106</v>
      </c>
      <c r="F9375" t="s">
        <v>28107</v>
      </c>
      <c r="I9375" t="s">
        <v>29</v>
      </c>
      <c r="J9375" t="s">
        <v>30</v>
      </c>
      <c r="K9375" t="str">
        <f>"27028"</f>
        <v>27028</v>
      </c>
      <c r="M9375" t="s">
        <v>17861</v>
      </c>
      <c r="N9375" t="str">
        <f>"2/3/2016 9:26:00 AM"</f>
        <v>2/3/2016 9:26:00 AM</v>
      </c>
      <c r="O9375" t="s">
        <v>28105</v>
      </c>
      <c r="T9375" t="s">
        <v>28106</v>
      </c>
    </row>
    <row r="9376" spans="1:20" x14ac:dyDescent="0.25">
      <c r="A9376" t="str">
        <f>"3037341"</f>
        <v>3037341</v>
      </c>
      <c r="B9376" t="s">
        <v>28108</v>
      </c>
      <c r="C9376" t="str">
        <f>"32338000"</f>
        <v>32338000</v>
      </c>
      <c r="D9376" t="s">
        <v>781</v>
      </c>
      <c r="E9376" t="s">
        <v>28099</v>
      </c>
      <c r="F9376" t="s">
        <v>782</v>
      </c>
      <c r="I9376" t="s">
        <v>184</v>
      </c>
      <c r="J9376" t="s">
        <v>30</v>
      </c>
      <c r="K9376" t="s">
        <v>185</v>
      </c>
      <c r="M9376" t="s">
        <v>25625</v>
      </c>
      <c r="N9376" t="str">
        <f>"1/21/2016 10:38:00 AM"</f>
        <v>1/21/2016 10:38:00 AM</v>
      </c>
      <c r="O9376" t="s">
        <v>781</v>
      </c>
      <c r="T9376" t="s">
        <v>28099</v>
      </c>
    </row>
    <row r="9377" spans="1:20" x14ac:dyDescent="0.25">
      <c r="A9377" t="str">
        <f>"3057885"</f>
        <v>3057885</v>
      </c>
      <c r="B9377" t="s">
        <v>28109</v>
      </c>
      <c r="C9377" t="str">
        <f>"82521235"</f>
        <v>82521235</v>
      </c>
      <c r="D9377" t="s">
        <v>28110</v>
      </c>
      <c r="E9377" t="s">
        <v>28111</v>
      </c>
      <c r="F9377" t="s">
        <v>28112</v>
      </c>
      <c r="I9377" t="s">
        <v>184</v>
      </c>
      <c r="J9377" t="s">
        <v>30</v>
      </c>
      <c r="K9377" t="s">
        <v>8988</v>
      </c>
      <c r="M9377" t="s">
        <v>25625</v>
      </c>
      <c r="N9377" t="str">
        <f>"1/21/2016 11:30:00 AM"</f>
        <v>1/21/2016 11:30:00 AM</v>
      </c>
      <c r="O9377" t="s">
        <v>28110</v>
      </c>
      <c r="T9377" t="s">
        <v>28111</v>
      </c>
    </row>
    <row r="9378" spans="1:20" x14ac:dyDescent="0.25">
      <c r="A9378" t="str">
        <f>"3050099"</f>
        <v>3050099</v>
      </c>
      <c r="B9378" t="s">
        <v>28113</v>
      </c>
      <c r="C9378" t="str">
        <f>"28611000"</f>
        <v>28611000</v>
      </c>
      <c r="D9378" t="s">
        <v>28114</v>
      </c>
      <c r="F9378" t="s">
        <v>28115</v>
      </c>
      <c r="I9378" t="s">
        <v>29</v>
      </c>
      <c r="J9378" t="s">
        <v>30</v>
      </c>
      <c r="K9378" t="s">
        <v>31</v>
      </c>
      <c r="M9378" t="s">
        <v>18470</v>
      </c>
      <c r="N9378" t="str">
        <f>"2/4/2016 11:33:00 AM"</f>
        <v>2/4/2016 11:33:00 AM</v>
      </c>
      <c r="O9378" t="s">
        <v>28114</v>
      </c>
    </row>
    <row r="9379" spans="1:20" x14ac:dyDescent="0.25">
      <c r="A9379" t="str">
        <f>"3050680"</f>
        <v>3050680</v>
      </c>
      <c r="B9379" t="s">
        <v>28116</v>
      </c>
      <c r="C9379" t="str">
        <f>"82521235"</f>
        <v>82521235</v>
      </c>
      <c r="D9379" t="s">
        <v>28110</v>
      </c>
      <c r="E9379" t="s">
        <v>28111</v>
      </c>
      <c r="F9379" t="s">
        <v>28112</v>
      </c>
      <c r="I9379" t="s">
        <v>184</v>
      </c>
      <c r="J9379" t="s">
        <v>30</v>
      </c>
      <c r="K9379" t="s">
        <v>8988</v>
      </c>
      <c r="M9379" t="s">
        <v>25625</v>
      </c>
      <c r="N9379" t="str">
        <f>"1/21/2016 11:30:00 AM"</f>
        <v>1/21/2016 11:30:00 AM</v>
      </c>
      <c r="O9379" t="s">
        <v>28110</v>
      </c>
      <c r="T9379" t="s">
        <v>28111</v>
      </c>
    </row>
    <row r="9380" spans="1:20" x14ac:dyDescent="0.25">
      <c r="A9380" t="str">
        <f>"3046612"</f>
        <v>3046612</v>
      </c>
      <c r="B9380" t="s">
        <v>28117</v>
      </c>
      <c r="C9380" t="str">
        <f>"28069000"</f>
        <v>28069000</v>
      </c>
      <c r="D9380" t="s">
        <v>28118</v>
      </c>
      <c r="F9380" t="s">
        <v>28119</v>
      </c>
      <c r="I9380" t="s">
        <v>29</v>
      </c>
      <c r="K9380" t="s">
        <v>28120</v>
      </c>
      <c r="M9380" t="s">
        <v>25625</v>
      </c>
      <c r="N9380" t="str">
        <f>"1/21/2016 11:39:00 AM"</f>
        <v>1/21/2016 11:39:00 AM</v>
      </c>
      <c r="O9380" t="s">
        <v>28118</v>
      </c>
    </row>
    <row r="9381" spans="1:20" x14ac:dyDescent="0.25">
      <c r="A9381" t="str">
        <f>"3046690"</f>
        <v>3046690</v>
      </c>
      <c r="B9381" t="s">
        <v>28121</v>
      </c>
      <c r="C9381" t="str">
        <f>"28069000"</f>
        <v>28069000</v>
      </c>
      <c r="D9381" t="s">
        <v>28118</v>
      </c>
      <c r="F9381" t="s">
        <v>28119</v>
      </c>
      <c r="I9381" t="s">
        <v>29</v>
      </c>
      <c r="K9381" t="s">
        <v>28120</v>
      </c>
      <c r="M9381" t="s">
        <v>25625</v>
      </c>
      <c r="N9381" t="str">
        <f>"1/21/2016 11:39:00 AM"</f>
        <v>1/21/2016 11:39:00 AM</v>
      </c>
      <c r="O9381" t="s">
        <v>28118</v>
      </c>
    </row>
    <row r="9382" spans="1:20" x14ac:dyDescent="0.25">
      <c r="A9382" t="str">
        <f>"3047156"</f>
        <v>3047156</v>
      </c>
      <c r="B9382" t="s">
        <v>28122</v>
      </c>
      <c r="C9382" t="str">
        <f>"28069000"</f>
        <v>28069000</v>
      </c>
      <c r="D9382" t="s">
        <v>28118</v>
      </c>
      <c r="F9382" t="s">
        <v>28119</v>
      </c>
      <c r="I9382" t="s">
        <v>29</v>
      </c>
      <c r="K9382" t="s">
        <v>28120</v>
      </c>
      <c r="M9382" t="s">
        <v>25625</v>
      </c>
      <c r="N9382" t="str">
        <f>"1/21/2016 11:39:00 AM"</f>
        <v>1/21/2016 11:39:00 AM</v>
      </c>
      <c r="O9382" t="s">
        <v>28118</v>
      </c>
    </row>
    <row r="9383" spans="1:20" x14ac:dyDescent="0.25">
      <c r="A9383" t="str">
        <f>"3046494"</f>
        <v>3046494</v>
      </c>
      <c r="B9383" t="s">
        <v>28123</v>
      </c>
      <c r="C9383" t="str">
        <f>"28069000"</f>
        <v>28069000</v>
      </c>
      <c r="D9383" t="s">
        <v>28118</v>
      </c>
      <c r="F9383" t="s">
        <v>28119</v>
      </c>
      <c r="I9383" t="s">
        <v>29</v>
      </c>
      <c r="K9383" t="s">
        <v>28120</v>
      </c>
      <c r="M9383" t="s">
        <v>25625</v>
      </c>
      <c r="N9383" t="str">
        <f>"1/21/2016 11:39:00 AM"</f>
        <v>1/21/2016 11:39:00 AM</v>
      </c>
      <c r="O9383" t="s">
        <v>28118</v>
      </c>
    </row>
    <row r="9384" spans="1:20" x14ac:dyDescent="0.25">
      <c r="A9384" t="str">
        <f>"3037588"</f>
        <v>3037588</v>
      </c>
      <c r="B9384" t="s">
        <v>28124</v>
      </c>
      <c r="C9384" t="str">
        <f>"82531358"</f>
        <v>82531358</v>
      </c>
      <c r="D9384" t="s">
        <v>28125</v>
      </c>
      <c r="E9384" t="s">
        <v>28126</v>
      </c>
      <c r="F9384" t="s">
        <v>28127</v>
      </c>
      <c r="I9384" t="s">
        <v>29</v>
      </c>
      <c r="J9384" t="s">
        <v>30</v>
      </c>
      <c r="K9384" t="s">
        <v>31</v>
      </c>
      <c r="M9384" t="s">
        <v>17861</v>
      </c>
      <c r="N9384" t="str">
        <f>"1/21/2016 2:20:00 PM"</f>
        <v>1/21/2016 2:20:00 PM</v>
      </c>
      <c r="O9384" t="s">
        <v>28125</v>
      </c>
      <c r="T9384" t="s">
        <v>28126</v>
      </c>
    </row>
    <row r="9385" spans="1:20" x14ac:dyDescent="0.25">
      <c r="A9385" t="str">
        <f>"3051447"</f>
        <v>3051447</v>
      </c>
      <c r="B9385" t="s">
        <v>28128</v>
      </c>
      <c r="C9385" t="str">
        <f>"8305783"</f>
        <v>8305783</v>
      </c>
      <c r="D9385" t="s">
        <v>28129</v>
      </c>
      <c r="F9385" t="s">
        <v>28130</v>
      </c>
      <c r="I9385" t="s">
        <v>29</v>
      </c>
      <c r="J9385" t="s">
        <v>30</v>
      </c>
      <c r="K9385" t="s">
        <v>28131</v>
      </c>
      <c r="M9385" t="s">
        <v>18470</v>
      </c>
      <c r="N9385" t="str">
        <f>"2/5/2016 10:34:00 AM"</f>
        <v>2/5/2016 10:34:00 AM</v>
      </c>
      <c r="O9385" t="s">
        <v>28129</v>
      </c>
    </row>
    <row r="9386" spans="1:20" x14ac:dyDescent="0.25">
      <c r="A9386" t="str">
        <f>"3060721"</f>
        <v>3060721</v>
      </c>
      <c r="B9386" t="s">
        <v>28132</v>
      </c>
      <c r="C9386" t="str">
        <f>"21465000"</f>
        <v>21465000</v>
      </c>
      <c r="D9386" t="s">
        <v>28133</v>
      </c>
      <c r="E9386" t="s">
        <v>28134</v>
      </c>
      <c r="F9386" t="s">
        <v>28135</v>
      </c>
      <c r="I9386" t="s">
        <v>2071</v>
      </c>
      <c r="J9386" t="s">
        <v>30</v>
      </c>
      <c r="K9386" t="s">
        <v>3597</v>
      </c>
      <c r="M9386" t="s">
        <v>17861</v>
      </c>
      <c r="N9386" t="str">
        <f>"1/21/2016 2:22:00 PM"</f>
        <v>1/21/2016 2:22:00 PM</v>
      </c>
      <c r="O9386" t="s">
        <v>28133</v>
      </c>
      <c r="T9386" t="s">
        <v>28134</v>
      </c>
    </row>
    <row r="9387" spans="1:20" x14ac:dyDescent="0.25">
      <c r="A9387" t="str">
        <f>"3061105"</f>
        <v>3061105</v>
      </c>
      <c r="B9387" t="s">
        <v>28136</v>
      </c>
      <c r="C9387" t="str">
        <f>"8304809"</f>
        <v>8304809</v>
      </c>
      <c r="D9387" t="s">
        <v>28137</v>
      </c>
      <c r="F9387" t="s">
        <v>28138</v>
      </c>
      <c r="I9387" t="s">
        <v>24359</v>
      </c>
      <c r="J9387" t="s">
        <v>30</v>
      </c>
      <c r="K9387" t="str">
        <f>"27006"</f>
        <v>27006</v>
      </c>
      <c r="M9387" t="s">
        <v>17861</v>
      </c>
      <c r="N9387" t="str">
        <f>"1/5/2016 4:37:00 PM"</f>
        <v>1/5/2016 4:37:00 PM</v>
      </c>
      <c r="O9387" t="s">
        <v>28137</v>
      </c>
    </row>
    <row r="9388" spans="1:20" x14ac:dyDescent="0.25">
      <c r="A9388" t="str">
        <f>"3054129"</f>
        <v>3054129</v>
      </c>
      <c r="B9388" t="s">
        <v>28139</v>
      </c>
      <c r="C9388" t="str">
        <f>"8300727"</f>
        <v>8300727</v>
      </c>
      <c r="D9388" t="s">
        <v>28140</v>
      </c>
      <c r="E9388" t="s">
        <v>28141</v>
      </c>
      <c r="F9388" t="s">
        <v>28142</v>
      </c>
      <c r="I9388" t="s">
        <v>29</v>
      </c>
      <c r="J9388" t="s">
        <v>30</v>
      </c>
      <c r="K9388" t="str">
        <f>"27028"</f>
        <v>27028</v>
      </c>
      <c r="M9388" t="s">
        <v>25494</v>
      </c>
      <c r="N9388" t="str">
        <f>"1/6/2016 10:13:00 AM"</f>
        <v>1/6/2016 10:13:00 AM</v>
      </c>
      <c r="O9388" t="s">
        <v>28140</v>
      </c>
      <c r="T9388" t="s">
        <v>28141</v>
      </c>
    </row>
    <row r="9389" spans="1:20" x14ac:dyDescent="0.25">
      <c r="A9389" t="str">
        <f>"3039782"</f>
        <v>3039782</v>
      </c>
      <c r="B9389" t="s">
        <v>28143</v>
      </c>
      <c r="C9389" t="str">
        <f>"8301618"</f>
        <v>8301618</v>
      </c>
      <c r="D9389" t="s">
        <v>28144</v>
      </c>
      <c r="F9389" t="s">
        <v>28145</v>
      </c>
      <c r="I9389" t="s">
        <v>29</v>
      </c>
      <c r="J9389" t="s">
        <v>30</v>
      </c>
      <c r="K9389" t="str">
        <f>"27028"</f>
        <v>27028</v>
      </c>
      <c r="M9389" t="s">
        <v>25494</v>
      </c>
      <c r="N9389" t="str">
        <f>"1/6/2016 10:20:00 AM"</f>
        <v>1/6/2016 10:20:00 AM</v>
      </c>
      <c r="O9389" t="s">
        <v>28144</v>
      </c>
    </row>
    <row r="9390" spans="1:20" x14ac:dyDescent="0.25">
      <c r="A9390" t="str">
        <f>"3048650"</f>
        <v>3048650</v>
      </c>
      <c r="B9390" t="s">
        <v>28146</v>
      </c>
      <c r="C9390" t="str">
        <f>"8302683"</f>
        <v>8302683</v>
      </c>
      <c r="D9390" t="s">
        <v>28147</v>
      </c>
      <c r="F9390" t="s">
        <v>28148</v>
      </c>
      <c r="I9390" t="s">
        <v>2589</v>
      </c>
      <c r="J9390" t="s">
        <v>30</v>
      </c>
      <c r="K9390" t="s">
        <v>28149</v>
      </c>
      <c r="M9390" t="s">
        <v>17861</v>
      </c>
      <c r="N9390" t="str">
        <f>"1/27/2016 8:45:00 AM"</f>
        <v>1/27/2016 8:45:00 AM</v>
      </c>
      <c r="O9390" t="s">
        <v>28147</v>
      </c>
    </row>
    <row r="9391" spans="1:20" x14ac:dyDescent="0.25">
      <c r="A9391" t="str">
        <f>"3052986"</f>
        <v>3052986</v>
      </c>
      <c r="B9391" t="s">
        <v>28150</v>
      </c>
      <c r="C9391" t="str">
        <f>"8305936"</f>
        <v>8305936</v>
      </c>
      <c r="D9391" t="s">
        <v>28151</v>
      </c>
      <c r="E9391" t="s">
        <v>28152</v>
      </c>
      <c r="F9391" t="s">
        <v>28153</v>
      </c>
      <c r="I9391" t="s">
        <v>29</v>
      </c>
      <c r="J9391" t="s">
        <v>30</v>
      </c>
      <c r="K9391" t="str">
        <f>"27028"</f>
        <v>27028</v>
      </c>
      <c r="M9391" t="s">
        <v>17861</v>
      </c>
      <c r="N9391" t="str">
        <f>"2/8/2016 12:45:00 PM"</f>
        <v>2/8/2016 12:45:00 PM</v>
      </c>
      <c r="O9391" t="s">
        <v>28151</v>
      </c>
      <c r="T9391" t="s">
        <v>28152</v>
      </c>
    </row>
    <row r="9392" spans="1:20" x14ac:dyDescent="0.25">
      <c r="A9392" t="str">
        <f>"3050784"</f>
        <v>3050784</v>
      </c>
      <c r="B9392" t="s">
        <v>28154</v>
      </c>
      <c r="C9392" t="str">
        <f>"8305919"</f>
        <v>8305919</v>
      </c>
      <c r="D9392" t="s">
        <v>28155</v>
      </c>
      <c r="F9392" t="s">
        <v>28156</v>
      </c>
      <c r="I9392" t="s">
        <v>3196</v>
      </c>
      <c r="J9392" t="s">
        <v>30</v>
      </c>
      <c r="K9392" t="s">
        <v>28157</v>
      </c>
      <c r="M9392" t="s">
        <v>17861</v>
      </c>
      <c r="N9392" t="str">
        <f>"1/27/2016 10:21:00 AM"</f>
        <v>1/27/2016 10:21:00 AM</v>
      </c>
      <c r="O9392" t="s">
        <v>28155</v>
      </c>
    </row>
    <row r="9393" spans="1:20" x14ac:dyDescent="0.25">
      <c r="A9393" t="str">
        <f>"3041899"</f>
        <v>3041899</v>
      </c>
      <c r="B9393" t="s">
        <v>28158</v>
      </c>
      <c r="C9393" t="str">
        <f>"35827460"</f>
        <v>35827460</v>
      </c>
      <c r="D9393" t="s">
        <v>28053</v>
      </c>
      <c r="F9393" t="s">
        <v>28054</v>
      </c>
      <c r="I9393" t="s">
        <v>184</v>
      </c>
      <c r="J9393" t="s">
        <v>30</v>
      </c>
      <c r="K9393" t="str">
        <f>"27006"</f>
        <v>27006</v>
      </c>
      <c r="M9393" t="s">
        <v>25625</v>
      </c>
      <c r="N9393" t="str">
        <f>"1/27/2016 10:27:00 AM"</f>
        <v>1/27/2016 10:27:00 AM</v>
      </c>
      <c r="O9393" t="s">
        <v>28053</v>
      </c>
    </row>
    <row r="9394" spans="1:20" x14ac:dyDescent="0.25">
      <c r="A9394" t="str">
        <f>"3062469"</f>
        <v>3062469</v>
      </c>
      <c r="B9394" t="s">
        <v>28159</v>
      </c>
      <c r="C9394" t="str">
        <f>"82530061"</f>
        <v>82530061</v>
      </c>
      <c r="D9394" t="s">
        <v>28160</v>
      </c>
      <c r="E9394" t="s">
        <v>28161</v>
      </c>
      <c r="F9394" t="s">
        <v>28162</v>
      </c>
      <c r="I9394" t="s">
        <v>2071</v>
      </c>
      <c r="J9394" t="s">
        <v>30</v>
      </c>
      <c r="K9394" t="s">
        <v>185</v>
      </c>
      <c r="M9394" t="s">
        <v>25625</v>
      </c>
      <c r="N9394" t="str">
        <f>"1/28/2016 11:55:00 AM"</f>
        <v>1/28/2016 11:55:00 AM</v>
      </c>
      <c r="O9394" t="s">
        <v>28160</v>
      </c>
      <c r="T9394" t="s">
        <v>28161</v>
      </c>
    </row>
    <row r="9395" spans="1:20" x14ac:dyDescent="0.25">
      <c r="A9395" t="str">
        <f>"3042302"</f>
        <v>3042302</v>
      </c>
      <c r="B9395" t="s">
        <v>28163</v>
      </c>
      <c r="C9395" t="str">
        <f>"82516826"</f>
        <v>82516826</v>
      </c>
      <c r="D9395" t="s">
        <v>28164</v>
      </c>
      <c r="E9395" t="s">
        <v>28165</v>
      </c>
      <c r="F9395" t="s">
        <v>28166</v>
      </c>
      <c r="I9395" t="s">
        <v>29</v>
      </c>
      <c r="J9395" t="s">
        <v>30</v>
      </c>
      <c r="K9395" t="s">
        <v>31</v>
      </c>
      <c r="M9395" t="s">
        <v>20015</v>
      </c>
      <c r="N9395" t="str">
        <f>"2/8/2016 3:00:00 PM"</f>
        <v>2/8/2016 3:00:00 PM</v>
      </c>
      <c r="O9395" t="s">
        <v>28164</v>
      </c>
      <c r="T9395" t="s">
        <v>28165</v>
      </c>
    </row>
    <row r="9396" spans="1:20" x14ac:dyDescent="0.25">
      <c r="A9396" t="str">
        <f>"3077053"</f>
        <v>3077053</v>
      </c>
      <c r="B9396" t="s">
        <v>28167</v>
      </c>
      <c r="C9396" t="str">
        <f>"82516826"</f>
        <v>82516826</v>
      </c>
      <c r="D9396" t="s">
        <v>28164</v>
      </c>
      <c r="E9396" t="s">
        <v>28165</v>
      </c>
      <c r="F9396" t="s">
        <v>28166</v>
      </c>
      <c r="I9396" t="s">
        <v>29</v>
      </c>
      <c r="J9396" t="s">
        <v>30</v>
      </c>
      <c r="K9396" t="s">
        <v>31</v>
      </c>
      <c r="M9396" t="s">
        <v>20015</v>
      </c>
      <c r="N9396" t="str">
        <f>"2/8/2016 3:00:00 PM"</f>
        <v>2/8/2016 3:00:00 PM</v>
      </c>
      <c r="O9396" t="s">
        <v>28164</v>
      </c>
      <c r="T9396" t="s">
        <v>28165</v>
      </c>
    </row>
    <row r="9397" spans="1:20" x14ac:dyDescent="0.25">
      <c r="A9397" t="str">
        <f>"3076589"</f>
        <v>3076589</v>
      </c>
      <c r="B9397" t="s">
        <v>28168</v>
      </c>
      <c r="C9397" t="str">
        <f>"19776200"</f>
        <v>19776200</v>
      </c>
      <c r="D9397" t="s">
        <v>28068</v>
      </c>
      <c r="F9397" t="s">
        <v>28069</v>
      </c>
      <c r="I9397" t="s">
        <v>29</v>
      </c>
      <c r="J9397" t="s">
        <v>30</v>
      </c>
      <c r="K9397" t="s">
        <v>31</v>
      </c>
      <c r="M9397" t="s">
        <v>25625</v>
      </c>
      <c r="N9397" t="str">
        <f>"1/28/2016 12:07:00 PM"</f>
        <v>1/28/2016 12:07:00 PM</v>
      </c>
      <c r="O9397" t="s">
        <v>28068</v>
      </c>
    </row>
    <row r="9398" spans="1:20" x14ac:dyDescent="0.25">
      <c r="A9398" t="str">
        <f>"3053274"</f>
        <v>3053274</v>
      </c>
      <c r="B9398" t="s">
        <v>28169</v>
      </c>
      <c r="C9398" t="str">
        <f>"8303582"</f>
        <v>8303582</v>
      </c>
      <c r="D9398" t="s">
        <v>28170</v>
      </c>
      <c r="E9398" t="s">
        <v>28171</v>
      </c>
      <c r="F9398" t="s">
        <v>28172</v>
      </c>
      <c r="I9398" t="s">
        <v>184</v>
      </c>
      <c r="J9398" t="s">
        <v>30</v>
      </c>
      <c r="K9398" t="str">
        <f>"27006"</f>
        <v>27006</v>
      </c>
      <c r="M9398" t="s">
        <v>25625</v>
      </c>
      <c r="N9398" t="str">
        <f>"1/28/2016 12:09:00 PM"</f>
        <v>1/28/2016 12:09:00 PM</v>
      </c>
      <c r="O9398" t="s">
        <v>28170</v>
      </c>
      <c r="T9398" t="s">
        <v>28171</v>
      </c>
    </row>
    <row r="9399" spans="1:20" x14ac:dyDescent="0.25">
      <c r="A9399" t="str">
        <f>"3053667"</f>
        <v>3053667</v>
      </c>
      <c r="B9399" t="s">
        <v>28173</v>
      </c>
      <c r="C9399" t="str">
        <f>"8303582"</f>
        <v>8303582</v>
      </c>
      <c r="D9399" t="s">
        <v>28170</v>
      </c>
      <c r="E9399" t="s">
        <v>28171</v>
      </c>
      <c r="F9399" t="s">
        <v>28172</v>
      </c>
      <c r="I9399" t="s">
        <v>184</v>
      </c>
      <c r="J9399" t="s">
        <v>30</v>
      </c>
      <c r="K9399" t="str">
        <f>"27006"</f>
        <v>27006</v>
      </c>
      <c r="M9399" t="s">
        <v>25625</v>
      </c>
      <c r="N9399" t="str">
        <f>"1/28/2016 12:09:00 PM"</f>
        <v>1/28/2016 12:09:00 PM</v>
      </c>
      <c r="O9399" t="s">
        <v>28170</v>
      </c>
      <c r="T9399" t="s">
        <v>28171</v>
      </c>
    </row>
    <row r="9400" spans="1:20" x14ac:dyDescent="0.25">
      <c r="A9400" t="str">
        <f>"3075189"</f>
        <v>3075189</v>
      </c>
      <c r="B9400" t="s">
        <v>28174</v>
      </c>
      <c r="C9400" t="str">
        <f>"8305920"</f>
        <v>8305920</v>
      </c>
      <c r="D9400" t="s">
        <v>28086</v>
      </c>
      <c r="F9400" t="s">
        <v>16634</v>
      </c>
      <c r="I9400" t="s">
        <v>29</v>
      </c>
      <c r="J9400" t="s">
        <v>30</v>
      </c>
      <c r="K9400" t="str">
        <f>"27028"</f>
        <v>27028</v>
      </c>
      <c r="M9400" t="s">
        <v>17861</v>
      </c>
      <c r="N9400" t="str">
        <f>"1/29/2016 12:15:00 PM"</f>
        <v>1/29/2016 12:15:00 PM</v>
      </c>
      <c r="O9400" t="s">
        <v>28086</v>
      </c>
    </row>
    <row r="9401" spans="1:20" x14ac:dyDescent="0.25">
      <c r="A9401" t="str">
        <f>"3052604"</f>
        <v>3052604</v>
      </c>
      <c r="B9401" t="s">
        <v>28175</v>
      </c>
      <c r="C9401" t="str">
        <f>"51785500"</f>
        <v>51785500</v>
      </c>
      <c r="D9401" t="s">
        <v>28176</v>
      </c>
      <c r="E9401" t="s">
        <v>28177</v>
      </c>
      <c r="F9401" t="s">
        <v>28178</v>
      </c>
      <c r="I9401" t="s">
        <v>29</v>
      </c>
      <c r="J9401" t="s">
        <v>30</v>
      </c>
      <c r="K9401" t="s">
        <v>31</v>
      </c>
      <c r="M9401" t="s">
        <v>25733</v>
      </c>
      <c r="N9401" t="str">
        <f>"2/2/2016 3:20:00 PM"</f>
        <v>2/2/2016 3:20:00 PM</v>
      </c>
      <c r="O9401" t="s">
        <v>28176</v>
      </c>
      <c r="T9401" t="s">
        <v>28177</v>
      </c>
    </row>
    <row r="9402" spans="1:20" x14ac:dyDescent="0.25">
      <c r="A9402" t="str">
        <f>"3058397"</f>
        <v>3058397</v>
      </c>
      <c r="B9402" t="s">
        <v>28179</v>
      </c>
      <c r="C9402" t="str">
        <f>"8305965"</f>
        <v>8305965</v>
      </c>
      <c r="D9402" t="s">
        <v>28180</v>
      </c>
      <c r="E9402" t="s">
        <v>28181</v>
      </c>
      <c r="F9402" t="s">
        <v>28182</v>
      </c>
      <c r="I9402" t="s">
        <v>29</v>
      </c>
      <c r="J9402" t="s">
        <v>30</v>
      </c>
      <c r="K9402" t="str">
        <f>"27028"</f>
        <v>27028</v>
      </c>
      <c r="M9402" t="s">
        <v>17861</v>
      </c>
      <c r="N9402" t="str">
        <f>"2/10/2016 2:19:00 PM"</f>
        <v>2/10/2016 2:19:00 PM</v>
      </c>
      <c r="O9402" t="s">
        <v>28180</v>
      </c>
      <c r="T9402" t="s">
        <v>28181</v>
      </c>
    </row>
    <row r="9403" spans="1:20" x14ac:dyDescent="0.25">
      <c r="A9403" t="str">
        <f>"3057620"</f>
        <v>3057620</v>
      </c>
      <c r="B9403" t="s">
        <v>28183</v>
      </c>
      <c r="C9403" t="str">
        <f>"8305967"</f>
        <v>8305967</v>
      </c>
      <c r="D9403" t="s">
        <v>28184</v>
      </c>
      <c r="F9403" t="s">
        <v>28185</v>
      </c>
      <c r="I9403" t="s">
        <v>29</v>
      </c>
      <c r="J9403" t="s">
        <v>30</v>
      </c>
      <c r="K9403" t="str">
        <f>"27028"</f>
        <v>27028</v>
      </c>
      <c r="M9403" t="s">
        <v>17861</v>
      </c>
      <c r="N9403" t="str">
        <f>"2/10/2016 2:36:00 PM"</f>
        <v>2/10/2016 2:36:00 PM</v>
      </c>
      <c r="O9403" t="s">
        <v>28184</v>
      </c>
    </row>
    <row r="9404" spans="1:20" x14ac:dyDescent="0.25">
      <c r="A9404" t="str">
        <f>"3045731"</f>
        <v>3045731</v>
      </c>
      <c r="B9404" t="s">
        <v>28186</v>
      </c>
      <c r="C9404" t="str">
        <f>"8305968"</f>
        <v>8305968</v>
      </c>
      <c r="D9404" t="s">
        <v>28187</v>
      </c>
      <c r="E9404" t="s">
        <v>28188</v>
      </c>
      <c r="F9404" t="s">
        <v>28189</v>
      </c>
      <c r="I9404" t="s">
        <v>1149</v>
      </c>
      <c r="J9404" t="s">
        <v>30</v>
      </c>
      <c r="K9404" t="str">
        <f>"28634"</f>
        <v>28634</v>
      </c>
      <c r="M9404" t="s">
        <v>17861</v>
      </c>
      <c r="N9404" t="str">
        <f>"2/10/2016 2:38:00 PM"</f>
        <v>2/10/2016 2:38:00 PM</v>
      </c>
      <c r="O9404" t="s">
        <v>28187</v>
      </c>
      <c r="T9404" t="s">
        <v>28188</v>
      </c>
    </row>
    <row r="9405" spans="1:20" x14ac:dyDescent="0.25">
      <c r="A9405" t="str">
        <f>"3060614"</f>
        <v>3060614</v>
      </c>
      <c r="B9405" t="s">
        <v>28190</v>
      </c>
      <c r="C9405" t="str">
        <f>"8305969"</f>
        <v>8305969</v>
      </c>
      <c r="D9405" t="s">
        <v>28191</v>
      </c>
      <c r="E9405" t="s">
        <v>28192</v>
      </c>
      <c r="F9405" t="s">
        <v>28193</v>
      </c>
      <c r="I9405" t="s">
        <v>2071</v>
      </c>
      <c r="J9405" t="s">
        <v>30</v>
      </c>
      <c r="K9405" t="str">
        <f>"27006"</f>
        <v>27006</v>
      </c>
      <c r="M9405" t="s">
        <v>17861</v>
      </c>
      <c r="N9405" t="str">
        <f>"2/10/2016 2:53:00 PM"</f>
        <v>2/10/2016 2:53:00 PM</v>
      </c>
      <c r="O9405" t="s">
        <v>28191</v>
      </c>
      <c r="T9405" t="s">
        <v>28192</v>
      </c>
    </row>
    <row r="9406" spans="1:20" x14ac:dyDescent="0.25">
      <c r="A9406" t="str">
        <f>"3040629"</f>
        <v>3040629</v>
      </c>
      <c r="B9406" t="s">
        <v>28194</v>
      </c>
      <c r="C9406" t="str">
        <f>"8305924"</f>
        <v>8305924</v>
      </c>
      <c r="D9406" t="s">
        <v>28101</v>
      </c>
      <c r="E9406" t="s">
        <v>28102</v>
      </c>
      <c r="F9406" t="s">
        <v>28103</v>
      </c>
      <c r="I9406" t="s">
        <v>184</v>
      </c>
      <c r="J9406" t="s">
        <v>30</v>
      </c>
      <c r="K9406" t="str">
        <f>"27006"</f>
        <v>27006</v>
      </c>
      <c r="M9406" t="s">
        <v>17861</v>
      </c>
      <c r="N9406" t="str">
        <f>"2/2/2016 4:08:00 PM"</f>
        <v>2/2/2016 4:08:00 PM</v>
      </c>
      <c r="O9406" t="s">
        <v>28101</v>
      </c>
      <c r="T9406" t="s">
        <v>28102</v>
      </c>
    </row>
    <row r="9407" spans="1:20" x14ac:dyDescent="0.25">
      <c r="A9407" t="str">
        <f>"3053777"</f>
        <v>3053777</v>
      </c>
      <c r="B9407" t="s">
        <v>28195</v>
      </c>
      <c r="C9407" t="str">
        <f>"8300416"</f>
        <v>8300416</v>
      </c>
      <c r="D9407" t="s">
        <v>28196</v>
      </c>
      <c r="E9407" t="s">
        <v>28197</v>
      </c>
      <c r="F9407" t="s">
        <v>28198</v>
      </c>
      <c r="I9407" t="s">
        <v>29</v>
      </c>
      <c r="J9407" t="s">
        <v>30</v>
      </c>
      <c r="K9407" t="s">
        <v>31</v>
      </c>
      <c r="M9407" t="s">
        <v>18470</v>
      </c>
      <c r="N9407" t="str">
        <f>"2/4/2016 10:43:00 AM"</f>
        <v>2/4/2016 10:43:00 AM</v>
      </c>
      <c r="O9407" t="s">
        <v>28196</v>
      </c>
      <c r="T9407" t="s">
        <v>28197</v>
      </c>
    </row>
    <row r="9408" spans="1:20" x14ac:dyDescent="0.25">
      <c r="A9408" t="str">
        <f>"3049509"</f>
        <v>3049509</v>
      </c>
      <c r="B9408" t="s">
        <v>28199</v>
      </c>
      <c r="C9408" t="str">
        <f>"8305970"</f>
        <v>8305970</v>
      </c>
      <c r="D9408" t="s">
        <v>28200</v>
      </c>
      <c r="F9408" t="s">
        <v>13958</v>
      </c>
      <c r="I9408" t="s">
        <v>29</v>
      </c>
      <c r="J9408" t="s">
        <v>30</v>
      </c>
      <c r="K9408" t="str">
        <f>"27028"</f>
        <v>27028</v>
      </c>
      <c r="M9408" t="s">
        <v>17861</v>
      </c>
      <c r="N9408" t="str">
        <f>"2/10/2016 2:54:00 PM"</f>
        <v>2/10/2016 2:54:00 PM</v>
      </c>
      <c r="O9408" t="s">
        <v>28200</v>
      </c>
    </row>
    <row r="9409" spans="1:20" x14ac:dyDescent="0.25">
      <c r="A9409" t="str">
        <f>"3059227"</f>
        <v>3059227</v>
      </c>
      <c r="B9409" t="s">
        <v>28201</v>
      </c>
      <c r="C9409" t="str">
        <f>"8305971"</f>
        <v>8305971</v>
      </c>
      <c r="D9409" t="s">
        <v>28202</v>
      </c>
      <c r="E9409" t="s">
        <v>28203</v>
      </c>
      <c r="F9409" t="s">
        <v>28204</v>
      </c>
      <c r="I9409" t="s">
        <v>184</v>
      </c>
      <c r="J9409" t="s">
        <v>30</v>
      </c>
      <c r="K9409" t="str">
        <f>"27006"</f>
        <v>27006</v>
      </c>
      <c r="M9409" t="s">
        <v>17861</v>
      </c>
      <c r="N9409" t="str">
        <f>"2/10/2016 3:00:00 PM"</f>
        <v>2/10/2016 3:00:00 PM</v>
      </c>
      <c r="O9409" t="s">
        <v>28202</v>
      </c>
      <c r="T9409" t="s">
        <v>28203</v>
      </c>
    </row>
    <row r="9410" spans="1:20" x14ac:dyDescent="0.25">
      <c r="A9410" t="str">
        <f>"3041427"</f>
        <v>3041427</v>
      </c>
      <c r="B9410" t="s">
        <v>28205</v>
      </c>
      <c r="C9410" t="str">
        <f>"8305974"</f>
        <v>8305974</v>
      </c>
      <c r="D9410" t="s">
        <v>28206</v>
      </c>
      <c r="E9410" t="s">
        <v>28207</v>
      </c>
      <c r="F9410" t="s">
        <v>28208</v>
      </c>
      <c r="I9410" t="s">
        <v>2071</v>
      </c>
      <c r="J9410" t="s">
        <v>30</v>
      </c>
      <c r="K9410" t="str">
        <f>"27006"</f>
        <v>27006</v>
      </c>
      <c r="M9410" t="s">
        <v>17861</v>
      </c>
      <c r="N9410" t="str">
        <f>"2/11/2016 11:49:00 AM"</f>
        <v>2/11/2016 11:49:00 AM</v>
      </c>
      <c r="O9410" t="s">
        <v>28206</v>
      </c>
      <c r="T9410" t="s">
        <v>28207</v>
      </c>
    </row>
    <row r="9411" spans="1:20" x14ac:dyDescent="0.25">
      <c r="A9411" t="str">
        <f>"3062806"</f>
        <v>3062806</v>
      </c>
      <c r="B9411" t="s">
        <v>28209</v>
      </c>
      <c r="C9411" t="str">
        <f>"82530192"</f>
        <v>82530192</v>
      </c>
      <c r="D9411" t="s">
        <v>28210</v>
      </c>
      <c r="F9411" t="s">
        <v>28211</v>
      </c>
      <c r="I9411" t="s">
        <v>29</v>
      </c>
      <c r="J9411" t="s">
        <v>30</v>
      </c>
      <c r="K9411" t="s">
        <v>31</v>
      </c>
      <c r="M9411" t="s">
        <v>25733</v>
      </c>
      <c r="N9411" t="str">
        <f>"2/11/2016 1:19:00 PM"</f>
        <v>2/11/2016 1:19:00 PM</v>
      </c>
      <c r="O9411" t="s">
        <v>28210</v>
      </c>
    </row>
    <row r="9412" spans="1:20" x14ac:dyDescent="0.25">
      <c r="A9412" t="str">
        <f>"3039535"</f>
        <v>3039535</v>
      </c>
      <c r="B9412" t="s">
        <v>28212</v>
      </c>
      <c r="C9412" t="str">
        <f>"24205500"</f>
        <v>24205500</v>
      </c>
      <c r="D9412" t="s">
        <v>28213</v>
      </c>
      <c r="E9412" t="s">
        <v>28214</v>
      </c>
      <c r="F9412" t="s">
        <v>28215</v>
      </c>
      <c r="I9412" t="s">
        <v>184</v>
      </c>
      <c r="J9412" t="s">
        <v>30</v>
      </c>
      <c r="K9412" t="s">
        <v>663</v>
      </c>
      <c r="M9412" t="s">
        <v>18470</v>
      </c>
      <c r="N9412" t="str">
        <f>"2/4/2016 11:18:00 AM"</f>
        <v>2/4/2016 11:18:00 AM</v>
      </c>
      <c r="O9412" t="s">
        <v>28213</v>
      </c>
      <c r="T9412" t="s">
        <v>28214</v>
      </c>
    </row>
    <row r="9413" spans="1:20" x14ac:dyDescent="0.25">
      <c r="A9413" t="str">
        <f>"3063942"</f>
        <v>3063942</v>
      </c>
      <c r="B9413" t="s">
        <v>28216</v>
      </c>
      <c r="C9413" t="str">
        <f>"8305979"</f>
        <v>8305979</v>
      </c>
      <c r="D9413" t="s">
        <v>28217</v>
      </c>
      <c r="E9413" t="s">
        <v>28218</v>
      </c>
      <c r="F9413" t="s">
        <v>28219</v>
      </c>
      <c r="I9413" t="s">
        <v>184</v>
      </c>
      <c r="J9413" t="s">
        <v>30</v>
      </c>
      <c r="K9413" t="str">
        <f>"27006"</f>
        <v>27006</v>
      </c>
      <c r="M9413" t="s">
        <v>17861</v>
      </c>
      <c r="N9413" t="str">
        <f>"2/11/2016 3:40:00 PM"</f>
        <v>2/11/2016 3:40:00 PM</v>
      </c>
      <c r="O9413" t="s">
        <v>28217</v>
      </c>
      <c r="T9413" t="s">
        <v>28218</v>
      </c>
    </row>
    <row r="9414" spans="1:20" x14ac:dyDescent="0.25">
      <c r="A9414" t="str">
        <f>"3050760"</f>
        <v>3050760</v>
      </c>
      <c r="B9414" t="s">
        <v>28220</v>
      </c>
      <c r="C9414" t="str">
        <f>"33004000"</f>
        <v>33004000</v>
      </c>
      <c r="D9414" t="s">
        <v>28221</v>
      </c>
      <c r="E9414" t="s">
        <v>28222</v>
      </c>
      <c r="F9414" t="s">
        <v>28223</v>
      </c>
      <c r="I9414" t="s">
        <v>184</v>
      </c>
      <c r="J9414" t="s">
        <v>30</v>
      </c>
      <c r="K9414" t="s">
        <v>28224</v>
      </c>
      <c r="M9414" t="s">
        <v>18470</v>
      </c>
      <c r="N9414" t="str">
        <f>"2/4/2016 12:46:00 PM"</f>
        <v>2/4/2016 12:46:00 PM</v>
      </c>
      <c r="O9414" t="s">
        <v>28221</v>
      </c>
      <c r="T9414" t="s">
        <v>28222</v>
      </c>
    </row>
    <row r="9415" spans="1:20" x14ac:dyDescent="0.25">
      <c r="A9415" t="str">
        <f>"3056786"</f>
        <v>3056786</v>
      </c>
      <c r="B9415" t="s">
        <v>28225</v>
      </c>
      <c r="C9415" t="str">
        <f>"8305883"</f>
        <v>8305883</v>
      </c>
      <c r="D9415" t="s">
        <v>28226</v>
      </c>
      <c r="F9415" t="s">
        <v>28227</v>
      </c>
      <c r="I9415" t="s">
        <v>29</v>
      </c>
      <c r="J9415" t="s">
        <v>30</v>
      </c>
      <c r="K9415" t="str">
        <f>"27028"</f>
        <v>27028</v>
      </c>
      <c r="M9415" t="s">
        <v>17861</v>
      </c>
      <c r="N9415" t="str">
        <f>"2/11/2016 3:53:00 PM"</f>
        <v>2/11/2016 3:53:00 PM</v>
      </c>
      <c r="O9415" t="s">
        <v>28226</v>
      </c>
    </row>
    <row r="9416" spans="1:20" x14ac:dyDescent="0.25">
      <c r="A9416" t="str">
        <f>"3041304"</f>
        <v>3041304</v>
      </c>
      <c r="B9416" t="s">
        <v>28228</v>
      </c>
      <c r="C9416" t="str">
        <f>"8305982"</f>
        <v>8305982</v>
      </c>
      <c r="D9416" t="s">
        <v>28229</v>
      </c>
      <c r="E9416" t="s">
        <v>28230</v>
      </c>
      <c r="F9416" t="s">
        <v>28231</v>
      </c>
      <c r="I9416" t="s">
        <v>2071</v>
      </c>
      <c r="J9416" t="s">
        <v>30</v>
      </c>
      <c r="K9416" t="str">
        <f>"27006"</f>
        <v>27006</v>
      </c>
      <c r="M9416" t="s">
        <v>17861</v>
      </c>
      <c r="N9416" t="str">
        <f>"2/11/2016 4:27:00 PM"</f>
        <v>2/11/2016 4:27:00 PM</v>
      </c>
      <c r="O9416" t="s">
        <v>28229</v>
      </c>
      <c r="T9416" t="s">
        <v>28230</v>
      </c>
    </row>
    <row r="9417" spans="1:20" x14ac:dyDescent="0.25">
      <c r="A9417" t="str">
        <f>"3060147"</f>
        <v>3060147</v>
      </c>
      <c r="B9417" t="s">
        <v>28232</v>
      </c>
      <c r="C9417" t="str">
        <f>"8305985"</f>
        <v>8305985</v>
      </c>
      <c r="D9417" t="s">
        <v>28233</v>
      </c>
      <c r="F9417" t="s">
        <v>28234</v>
      </c>
      <c r="I9417" t="s">
        <v>184</v>
      </c>
      <c r="J9417" t="s">
        <v>30</v>
      </c>
      <c r="K9417" t="str">
        <f>"27006"</f>
        <v>27006</v>
      </c>
      <c r="M9417" t="s">
        <v>17861</v>
      </c>
      <c r="N9417" t="str">
        <f>"2/11/2016 4:33:00 PM"</f>
        <v>2/11/2016 4:33:00 PM</v>
      </c>
      <c r="O9417" t="s">
        <v>28233</v>
      </c>
    </row>
    <row r="9418" spans="1:20" x14ac:dyDescent="0.25">
      <c r="A9418" t="str">
        <f>"3061066"</f>
        <v>3061066</v>
      </c>
      <c r="B9418" t="s">
        <v>28235</v>
      </c>
      <c r="C9418" t="str">
        <f>"8305987"</f>
        <v>8305987</v>
      </c>
      <c r="D9418" t="s">
        <v>28236</v>
      </c>
      <c r="E9418" t="s">
        <v>28237</v>
      </c>
      <c r="F9418" t="s">
        <v>28238</v>
      </c>
      <c r="I9418" t="s">
        <v>184</v>
      </c>
      <c r="J9418" t="s">
        <v>30</v>
      </c>
      <c r="K9418" t="str">
        <f>"27006"</f>
        <v>27006</v>
      </c>
      <c r="M9418" t="s">
        <v>17861</v>
      </c>
      <c r="N9418" t="str">
        <f>"2/11/2016 4:49:00 PM"</f>
        <v>2/11/2016 4:49:00 PM</v>
      </c>
      <c r="O9418" t="s">
        <v>28236</v>
      </c>
      <c r="T9418" t="s">
        <v>28237</v>
      </c>
    </row>
    <row r="9419" spans="1:20" x14ac:dyDescent="0.25">
      <c r="A9419" t="str">
        <f>"3050273"</f>
        <v>3050273</v>
      </c>
      <c r="B9419" t="s">
        <v>28239</v>
      </c>
      <c r="C9419" t="str">
        <f>"82532462"</f>
        <v>82532462</v>
      </c>
      <c r="D9419" t="s">
        <v>28240</v>
      </c>
      <c r="F9419" t="s">
        <v>28241</v>
      </c>
      <c r="I9419" t="s">
        <v>29</v>
      </c>
      <c r="J9419" t="s">
        <v>30</v>
      </c>
      <c r="K9419" t="s">
        <v>31</v>
      </c>
      <c r="M9419" t="s">
        <v>18470</v>
      </c>
      <c r="N9419" t="str">
        <f>"2/4/2016 2:39:00 PM"</f>
        <v>2/4/2016 2:39:00 PM</v>
      </c>
      <c r="O9419" t="s">
        <v>28240</v>
      </c>
    </row>
    <row r="9420" spans="1:20" x14ac:dyDescent="0.25">
      <c r="A9420" t="str">
        <f>"3076571"</f>
        <v>3076571</v>
      </c>
      <c r="B9420" t="s">
        <v>28242</v>
      </c>
      <c r="C9420" t="str">
        <f>"8305991"</f>
        <v>8305991</v>
      </c>
      <c r="D9420" t="s">
        <v>28243</v>
      </c>
      <c r="E9420" t="s">
        <v>28244</v>
      </c>
      <c r="F9420" t="s">
        <v>28245</v>
      </c>
      <c r="I9420" t="s">
        <v>184</v>
      </c>
      <c r="J9420" t="s">
        <v>30</v>
      </c>
      <c r="K9420" t="str">
        <f>"27006"</f>
        <v>27006</v>
      </c>
      <c r="M9420" t="s">
        <v>17861</v>
      </c>
      <c r="N9420" t="str">
        <f>"2/12/2016 11:41:00 AM"</f>
        <v>2/12/2016 11:41:00 AM</v>
      </c>
      <c r="O9420" t="s">
        <v>28243</v>
      </c>
      <c r="T9420" t="s">
        <v>28244</v>
      </c>
    </row>
    <row r="9421" spans="1:20" x14ac:dyDescent="0.25">
      <c r="A9421" t="str">
        <f>"3050968"</f>
        <v>3050968</v>
      </c>
      <c r="B9421" t="s">
        <v>28246</v>
      </c>
      <c r="C9421" t="str">
        <f>"8305994"</f>
        <v>8305994</v>
      </c>
      <c r="D9421" t="s">
        <v>28247</v>
      </c>
      <c r="E9421" t="s">
        <v>28248</v>
      </c>
      <c r="F9421" t="s">
        <v>28249</v>
      </c>
      <c r="I9421" t="s">
        <v>184</v>
      </c>
      <c r="J9421" t="s">
        <v>30</v>
      </c>
      <c r="K9421" t="str">
        <f>"27006"</f>
        <v>27006</v>
      </c>
      <c r="M9421" t="s">
        <v>17861</v>
      </c>
      <c r="N9421" t="str">
        <f>"2/12/2016 12:30:00 PM"</f>
        <v>2/12/2016 12:30:00 PM</v>
      </c>
      <c r="O9421" t="s">
        <v>28247</v>
      </c>
      <c r="T9421" t="s">
        <v>28248</v>
      </c>
    </row>
    <row r="9422" spans="1:20" x14ac:dyDescent="0.25">
      <c r="A9422" t="str">
        <f>"3041353"</f>
        <v>3041353</v>
      </c>
      <c r="B9422" t="s">
        <v>28250</v>
      </c>
      <c r="C9422" t="str">
        <f>"8305995"</f>
        <v>8305995</v>
      </c>
      <c r="D9422" t="s">
        <v>28251</v>
      </c>
      <c r="F9422" t="s">
        <v>28252</v>
      </c>
      <c r="I9422" t="s">
        <v>2071</v>
      </c>
      <c r="J9422" t="s">
        <v>30</v>
      </c>
      <c r="K9422" t="str">
        <f>"27006"</f>
        <v>27006</v>
      </c>
      <c r="M9422" t="s">
        <v>17861</v>
      </c>
      <c r="N9422" t="str">
        <f>"2/12/2016 12:52:00 PM"</f>
        <v>2/12/2016 12:52:00 PM</v>
      </c>
      <c r="O9422" t="s">
        <v>28251</v>
      </c>
    </row>
    <row r="9423" spans="1:20" x14ac:dyDescent="0.25">
      <c r="A9423" t="str">
        <f>"3064252"</f>
        <v>3064252</v>
      </c>
      <c r="B9423" t="s">
        <v>28253</v>
      </c>
      <c r="C9423" t="str">
        <f>"8304370"</f>
        <v>8304370</v>
      </c>
      <c r="D9423" t="s">
        <v>28254</v>
      </c>
      <c r="F9423" t="s">
        <v>28255</v>
      </c>
      <c r="I9423" t="s">
        <v>184</v>
      </c>
      <c r="J9423" t="s">
        <v>30</v>
      </c>
      <c r="K9423" t="str">
        <f>"27006"</f>
        <v>27006</v>
      </c>
      <c r="M9423" t="s">
        <v>24133</v>
      </c>
      <c r="N9423" t="str">
        <f>"2/4/2016 2:57:00 PM"</f>
        <v>2/4/2016 2:57:00 PM</v>
      </c>
      <c r="O9423" t="s">
        <v>28254</v>
      </c>
    </row>
    <row r="9424" spans="1:20" x14ac:dyDescent="0.25">
      <c r="A9424" t="str">
        <f>"3066576"</f>
        <v>3066576</v>
      </c>
      <c r="B9424" t="s">
        <v>28256</v>
      </c>
      <c r="C9424" t="str">
        <f>"82526186"</f>
        <v>82526186</v>
      </c>
      <c r="D9424" t="s">
        <v>28257</v>
      </c>
      <c r="F9424" t="s">
        <v>28258</v>
      </c>
      <c r="I9424" t="s">
        <v>29</v>
      </c>
      <c r="J9424" t="s">
        <v>30</v>
      </c>
      <c r="K9424" t="s">
        <v>31</v>
      </c>
      <c r="M9424" t="s">
        <v>18470</v>
      </c>
      <c r="N9424" t="str">
        <f>"2/4/2016 3:54:00 PM"</f>
        <v>2/4/2016 3:54:00 PM</v>
      </c>
      <c r="O9424" t="s">
        <v>28257</v>
      </c>
      <c r="T9424" t="s">
        <v>28257</v>
      </c>
    </row>
    <row r="9425" spans="1:20" x14ac:dyDescent="0.25">
      <c r="A9425" t="str">
        <f>"3055173"</f>
        <v>3055173</v>
      </c>
      <c r="B9425" t="s">
        <v>28259</v>
      </c>
      <c r="C9425" t="str">
        <f>"82526186"</f>
        <v>82526186</v>
      </c>
      <c r="D9425" t="s">
        <v>28257</v>
      </c>
      <c r="F9425" t="s">
        <v>28258</v>
      </c>
      <c r="I9425" t="s">
        <v>29</v>
      </c>
      <c r="J9425" t="s">
        <v>30</v>
      </c>
      <c r="K9425" t="s">
        <v>31</v>
      </c>
      <c r="M9425" t="s">
        <v>18470</v>
      </c>
      <c r="N9425" t="str">
        <f>"2/4/2016 3:54:00 PM"</f>
        <v>2/4/2016 3:54:00 PM</v>
      </c>
      <c r="O9425" t="s">
        <v>28257</v>
      </c>
      <c r="T9425" t="s">
        <v>28257</v>
      </c>
    </row>
    <row r="9426" spans="1:20" x14ac:dyDescent="0.25">
      <c r="A9426" t="str">
        <f>"3051502"</f>
        <v>3051502</v>
      </c>
      <c r="B9426" t="s">
        <v>28260</v>
      </c>
      <c r="C9426" t="str">
        <f>"8305783"</f>
        <v>8305783</v>
      </c>
      <c r="D9426" t="s">
        <v>28129</v>
      </c>
      <c r="F9426" t="s">
        <v>28130</v>
      </c>
      <c r="I9426" t="s">
        <v>29</v>
      </c>
      <c r="J9426" t="s">
        <v>30</v>
      </c>
      <c r="K9426" t="s">
        <v>28131</v>
      </c>
      <c r="M9426" t="s">
        <v>18470</v>
      </c>
      <c r="N9426" t="str">
        <f>"2/5/2016 10:34:00 AM"</f>
        <v>2/5/2016 10:34:00 AM</v>
      </c>
      <c r="O9426" t="s">
        <v>28129</v>
      </c>
    </row>
    <row r="9427" spans="1:20" x14ac:dyDescent="0.25">
      <c r="A9427" t="str">
        <f>"3038514"</f>
        <v>3038514</v>
      </c>
      <c r="B9427" t="s">
        <v>28261</v>
      </c>
      <c r="C9427" t="str">
        <f>"21299000"</f>
        <v>21299000</v>
      </c>
      <c r="D9427" t="s">
        <v>28262</v>
      </c>
      <c r="E9427" t="s">
        <v>28263</v>
      </c>
      <c r="F9427" t="s">
        <v>28264</v>
      </c>
      <c r="I9427" t="s">
        <v>29</v>
      </c>
      <c r="J9427" t="s">
        <v>30</v>
      </c>
      <c r="K9427" t="s">
        <v>28265</v>
      </c>
      <c r="M9427" t="s">
        <v>25733</v>
      </c>
      <c r="N9427" t="str">
        <f>"1/25/2016 4:10:00 PM"</f>
        <v>1/25/2016 4:10:00 PM</v>
      </c>
      <c r="O9427" t="s">
        <v>28262</v>
      </c>
      <c r="T9427" t="s">
        <v>28263</v>
      </c>
    </row>
    <row r="9428" spans="1:20" x14ac:dyDescent="0.25">
      <c r="A9428" t="str">
        <f>"3059102"</f>
        <v>3059102</v>
      </c>
      <c r="B9428" t="s">
        <v>28266</v>
      </c>
      <c r="C9428" t="str">
        <f t="shared" ref="C9428:C9437" si="155">"11688750"</f>
        <v>11688750</v>
      </c>
      <c r="D9428" t="s">
        <v>28267</v>
      </c>
      <c r="E9428" t="s">
        <v>28268</v>
      </c>
      <c r="F9428" t="s">
        <v>28269</v>
      </c>
      <c r="I9428" t="s">
        <v>184</v>
      </c>
      <c r="J9428" t="s">
        <v>30</v>
      </c>
      <c r="K9428" t="s">
        <v>185</v>
      </c>
      <c r="M9428" t="s">
        <v>25625</v>
      </c>
      <c r="N9428" t="str">
        <f t="shared" ref="N9428:N9437" si="156">"2/18/2016 11:21:00 AM"</f>
        <v>2/18/2016 11:21:00 AM</v>
      </c>
      <c r="O9428" t="s">
        <v>28267</v>
      </c>
      <c r="T9428" t="s">
        <v>28268</v>
      </c>
    </row>
    <row r="9429" spans="1:20" x14ac:dyDescent="0.25">
      <c r="A9429" t="str">
        <f>"3059103"</f>
        <v>3059103</v>
      </c>
      <c r="B9429" t="s">
        <v>28270</v>
      </c>
      <c r="C9429" t="str">
        <f t="shared" si="155"/>
        <v>11688750</v>
      </c>
      <c r="D9429" t="s">
        <v>28267</v>
      </c>
      <c r="E9429" t="s">
        <v>28268</v>
      </c>
      <c r="F9429" t="s">
        <v>28269</v>
      </c>
      <c r="I9429" t="s">
        <v>184</v>
      </c>
      <c r="J9429" t="s">
        <v>30</v>
      </c>
      <c r="K9429" t="s">
        <v>185</v>
      </c>
      <c r="M9429" t="s">
        <v>25625</v>
      </c>
      <c r="N9429" t="str">
        <f t="shared" si="156"/>
        <v>2/18/2016 11:21:00 AM</v>
      </c>
      <c r="O9429" t="s">
        <v>28267</v>
      </c>
      <c r="T9429" t="s">
        <v>28268</v>
      </c>
    </row>
    <row r="9430" spans="1:20" x14ac:dyDescent="0.25">
      <c r="A9430" t="str">
        <f>"3041377"</f>
        <v>3041377</v>
      </c>
      <c r="B9430" t="s">
        <v>28271</v>
      </c>
      <c r="C9430" t="str">
        <f t="shared" si="155"/>
        <v>11688750</v>
      </c>
      <c r="D9430" t="s">
        <v>28267</v>
      </c>
      <c r="E9430" t="s">
        <v>28268</v>
      </c>
      <c r="F9430" t="s">
        <v>28269</v>
      </c>
      <c r="I9430" t="s">
        <v>184</v>
      </c>
      <c r="J9430" t="s">
        <v>30</v>
      </c>
      <c r="K9430" t="s">
        <v>185</v>
      </c>
      <c r="M9430" t="s">
        <v>25625</v>
      </c>
      <c r="N9430" t="str">
        <f t="shared" si="156"/>
        <v>2/18/2016 11:21:00 AM</v>
      </c>
      <c r="O9430" t="s">
        <v>28267</v>
      </c>
      <c r="T9430" t="s">
        <v>28268</v>
      </c>
    </row>
    <row r="9431" spans="1:20" x14ac:dyDescent="0.25">
      <c r="A9431" t="str">
        <f>"3041481"</f>
        <v>3041481</v>
      </c>
      <c r="B9431" t="s">
        <v>28272</v>
      </c>
      <c r="C9431" t="str">
        <f t="shared" si="155"/>
        <v>11688750</v>
      </c>
      <c r="D9431" t="s">
        <v>28267</v>
      </c>
      <c r="E9431" t="s">
        <v>28268</v>
      </c>
      <c r="F9431" t="s">
        <v>28269</v>
      </c>
      <c r="I9431" t="s">
        <v>184</v>
      </c>
      <c r="J9431" t="s">
        <v>30</v>
      </c>
      <c r="K9431" t="s">
        <v>185</v>
      </c>
      <c r="M9431" t="s">
        <v>25625</v>
      </c>
      <c r="N9431" t="str">
        <f t="shared" si="156"/>
        <v>2/18/2016 11:21:00 AM</v>
      </c>
      <c r="O9431" t="s">
        <v>28267</v>
      </c>
      <c r="T9431" t="s">
        <v>28268</v>
      </c>
    </row>
    <row r="9432" spans="1:20" x14ac:dyDescent="0.25">
      <c r="A9432" t="str">
        <f>"3053535"</f>
        <v>3053535</v>
      </c>
      <c r="B9432" t="s">
        <v>28273</v>
      </c>
      <c r="C9432" t="str">
        <f t="shared" si="155"/>
        <v>11688750</v>
      </c>
      <c r="D9432" t="s">
        <v>28267</v>
      </c>
      <c r="E9432" t="s">
        <v>28268</v>
      </c>
      <c r="F9432" t="s">
        <v>28269</v>
      </c>
      <c r="I9432" t="s">
        <v>184</v>
      </c>
      <c r="J9432" t="s">
        <v>30</v>
      </c>
      <c r="K9432" t="s">
        <v>185</v>
      </c>
      <c r="M9432" t="s">
        <v>25625</v>
      </c>
      <c r="N9432" t="str">
        <f t="shared" si="156"/>
        <v>2/18/2016 11:21:00 AM</v>
      </c>
      <c r="O9432" t="s">
        <v>28267</v>
      </c>
      <c r="T9432" t="s">
        <v>28268</v>
      </c>
    </row>
    <row r="9433" spans="1:20" x14ac:dyDescent="0.25">
      <c r="A9433" t="str">
        <f>"3053458"</f>
        <v>3053458</v>
      </c>
      <c r="B9433" t="s">
        <v>28274</v>
      </c>
      <c r="C9433" t="str">
        <f t="shared" si="155"/>
        <v>11688750</v>
      </c>
      <c r="D9433" t="s">
        <v>28267</v>
      </c>
      <c r="E9433" t="s">
        <v>28268</v>
      </c>
      <c r="F9433" t="s">
        <v>28269</v>
      </c>
      <c r="I9433" t="s">
        <v>184</v>
      </c>
      <c r="J9433" t="s">
        <v>30</v>
      </c>
      <c r="K9433" t="s">
        <v>185</v>
      </c>
      <c r="M9433" t="s">
        <v>25625</v>
      </c>
      <c r="N9433" t="str">
        <f t="shared" si="156"/>
        <v>2/18/2016 11:21:00 AM</v>
      </c>
      <c r="O9433" t="s">
        <v>28267</v>
      </c>
      <c r="T9433" t="s">
        <v>28268</v>
      </c>
    </row>
    <row r="9434" spans="1:20" x14ac:dyDescent="0.25">
      <c r="A9434" t="str">
        <f>"3050729"</f>
        <v>3050729</v>
      </c>
      <c r="B9434" t="s">
        <v>28275</v>
      </c>
      <c r="C9434" t="str">
        <f t="shared" si="155"/>
        <v>11688750</v>
      </c>
      <c r="D9434" t="s">
        <v>28267</v>
      </c>
      <c r="E9434" t="s">
        <v>28268</v>
      </c>
      <c r="F9434" t="s">
        <v>28269</v>
      </c>
      <c r="I9434" t="s">
        <v>184</v>
      </c>
      <c r="J9434" t="s">
        <v>30</v>
      </c>
      <c r="K9434" t="s">
        <v>185</v>
      </c>
      <c r="M9434" t="s">
        <v>25625</v>
      </c>
      <c r="N9434" t="str">
        <f t="shared" si="156"/>
        <v>2/18/2016 11:21:00 AM</v>
      </c>
      <c r="O9434" t="s">
        <v>28267</v>
      </c>
      <c r="T9434" t="s">
        <v>28268</v>
      </c>
    </row>
    <row r="9435" spans="1:20" x14ac:dyDescent="0.25">
      <c r="A9435" t="str">
        <f>"3052139"</f>
        <v>3052139</v>
      </c>
      <c r="B9435" t="s">
        <v>28276</v>
      </c>
      <c r="C9435" t="str">
        <f t="shared" si="155"/>
        <v>11688750</v>
      </c>
      <c r="D9435" t="s">
        <v>28267</v>
      </c>
      <c r="E9435" t="s">
        <v>28268</v>
      </c>
      <c r="F9435" t="s">
        <v>28269</v>
      </c>
      <c r="I9435" t="s">
        <v>184</v>
      </c>
      <c r="J9435" t="s">
        <v>30</v>
      </c>
      <c r="K9435" t="s">
        <v>185</v>
      </c>
      <c r="M9435" t="s">
        <v>25625</v>
      </c>
      <c r="N9435" t="str">
        <f t="shared" si="156"/>
        <v>2/18/2016 11:21:00 AM</v>
      </c>
      <c r="O9435" t="s">
        <v>28267</v>
      </c>
      <c r="T9435" t="s">
        <v>28268</v>
      </c>
    </row>
    <row r="9436" spans="1:20" x14ac:dyDescent="0.25">
      <c r="A9436" t="str">
        <f>"3052130"</f>
        <v>3052130</v>
      </c>
      <c r="B9436" t="s">
        <v>28277</v>
      </c>
      <c r="C9436" t="str">
        <f t="shared" si="155"/>
        <v>11688750</v>
      </c>
      <c r="D9436" t="s">
        <v>28267</v>
      </c>
      <c r="E9436" t="s">
        <v>28268</v>
      </c>
      <c r="F9436" t="s">
        <v>28269</v>
      </c>
      <c r="I9436" t="s">
        <v>184</v>
      </c>
      <c r="J9436" t="s">
        <v>30</v>
      </c>
      <c r="K9436" t="s">
        <v>185</v>
      </c>
      <c r="M9436" t="s">
        <v>25625</v>
      </c>
      <c r="N9436" t="str">
        <f t="shared" si="156"/>
        <v>2/18/2016 11:21:00 AM</v>
      </c>
      <c r="O9436" t="s">
        <v>28267</v>
      </c>
      <c r="T9436" t="s">
        <v>28268</v>
      </c>
    </row>
    <row r="9437" spans="1:20" x14ac:dyDescent="0.25">
      <c r="A9437" t="str">
        <f>"3048062"</f>
        <v>3048062</v>
      </c>
      <c r="B9437" t="s">
        <v>28278</v>
      </c>
      <c r="C9437" t="str">
        <f t="shared" si="155"/>
        <v>11688750</v>
      </c>
      <c r="D9437" t="s">
        <v>28267</v>
      </c>
      <c r="E9437" t="s">
        <v>28268</v>
      </c>
      <c r="F9437" t="s">
        <v>28269</v>
      </c>
      <c r="I9437" t="s">
        <v>184</v>
      </c>
      <c r="J9437" t="s">
        <v>30</v>
      </c>
      <c r="K9437" t="s">
        <v>185</v>
      </c>
      <c r="M9437" t="s">
        <v>25625</v>
      </c>
      <c r="N9437" t="str">
        <f t="shared" si="156"/>
        <v>2/18/2016 11:21:00 AM</v>
      </c>
      <c r="O9437" t="s">
        <v>28267</v>
      </c>
      <c r="T9437" t="s">
        <v>28268</v>
      </c>
    </row>
    <row r="9438" spans="1:20" x14ac:dyDescent="0.25">
      <c r="A9438" t="str">
        <f>"3037290"</f>
        <v>3037290</v>
      </c>
      <c r="B9438" t="s">
        <v>28279</v>
      </c>
      <c r="C9438" t="str">
        <f>"8305916"</f>
        <v>8305916</v>
      </c>
      <c r="D9438" t="s">
        <v>20001</v>
      </c>
      <c r="F9438" t="s">
        <v>20003</v>
      </c>
      <c r="I9438" t="s">
        <v>184</v>
      </c>
      <c r="J9438" t="s">
        <v>30</v>
      </c>
      <c r="K9438" t="str">
        <f>"27006"</f>
        <v>27006</v>
      </c>
      <c r="M9438" t="s">
        <v>17861</v>
      </c>
      <c r="N9438" t="str">
        <f>"1/26/2016 1:38:00 PM"</f>
        <v>1/26/2016 1:38:00 PM</v>
      </c>
      <c r="O9438" t="s">
        <v>20001</v>
      </c>
    </row>
    <row r="9439" spans="1:20" x14ac:dyDescent="0.25">
      <c r="A9439" t="str">
        <f>"3050343"</f>
        <v>3050343</v>
      </c>
      <c r="B9439" t="s">
        <v>28280</v>
      </c>
      <c r="C9439" t="str">
        <f>"8305939"</f>
        <v>8305939</v>
      </c>
      <c r="D9439" t="s">
        <v>28281</v>
      </c>
      <c r="F9439" t="s">
        <v>28282</v>
      </c>
      <c r="I9439" t="s">
        <v>184</v>
      </c>
      <c r="J9439" t="s">
        <v>30</v>
      </c>
      <c r="K9439" t="str">
        <f>"27006"</f>
        <v>27006</v>
      </c>
      <c r="M9439" t="s">
        <v>17861</v>
      </c>
      <c r="N9439" t="str">
        <f>"2/8/2016 12:58:00 PM"</f>
        <v>2/8/2016 12:58:00 PM</v>
      </c>
      <c r="O9439" t="s">
        <v>28281</v>
      </c>
    </row>
    <row r="9440" spans="1:20" x14ac:dyDescent="0.25">
      <c r="A9440" t="str">
        <f>"3055740"</f>
        <v>3055740</v>
      </c>
      <c r="B9440" t="s">
        <v>28283</v>
      </c>
      <c r="C9440" t="str">
        <f t="shared" ref="C9440:C9446" si="157">"82517329"</f>
        <v>82517329</v>
      </c>
      <c r="D9440" t="s">
        <v>28284</v>
      </c>
      <c r="F9440" t="s">
        <v>22204</v>
      </c>
      <c r="I9440" t="s">
        <v>9580</v>
      </c>
      <c r="J9440" t="s">
        <v>30</v>
      </c>
      <c r="K9440" t="s">
        <v>22205</v>
      </c>
      <c r="M9440" t="s">
        <v>25625</v>
      </c>
      <c r="N9440" t="str">
        <f t="shared" ref="N9440:N9446" si="158">"2/18/2016 11:32:00 AM"</f>
        <v>2/18/2016 11:32:00 AM</v>
      </c>
      <c r="O9440" t="s">
        <v>28284</v>
      </c>
    </row>
    <row r="9441" spans="1:20" x14ac:dyDescent="0.25">
      <c r="A9441" t="str">
        <f>"3055748"</f>
        <v>3055748</v>
      </c>
      <c r="B9441" t="s">
        <v>28285</v>
      </c>
      <c r="C9441" t="str">
        <f t="shared" si="157"/>
        <v>82517329</v>
      </c>
      <c r="D9441" t="s">
        <v>28284</v>
      </c>
      <c r="F9441" t="s">
        <v>22204</v>
      </c>
      <c r="I9441" t="s">
        <v>9580</v>
      </c>
      <c r="J9441" t="s">
        <v>30</v>
      </c>
      <c r="K9441" t="s">
        <v>22205</v>
      </c>
      <c r="M9441" t="s">
        <v>25625</v>
      </c>
      <c r="N9441" t="str">
        <f t="shared" si="158"/>
        <v>2/18/2016 11:32:00 AM</v>
      </c>
      <c r="O9441" t="s">
        <v>28284</v>
      </c>
    </row>
    <row r="9442" spans="1:20" x14ac:dyDescent="0.25">
      <c r="A9442" t="str">
        <f>"3055738"</f>
        <v>3055738</v>
      </c>
      <c r="B9442" t="s">
        <v>28286</v>
      </c>
      <c r="C9442" t="str">
        <f t="shared" si="157"/>
        <v>82517329</v>
      </c>
      <c r="D9442" t="s">
        <v>28284</v>
      </c>
      <c r="F9442" t="s">
        <v>22204</v>
      </c>
      <c r="I9442" t="s">
        <v>9580</v>
      </c>
      <c r="J9442" t="s">
        <v>30</v>
      </c>
      <c r="K9442" t="s">
        <v>22205</v>
      </c>
      <c r="M9442" t="s">
        <v>25625</v>
      </c>
      <c r="N9442" t="str">
        <f t="shared" si="158"/>
        <v>2/18/2016 11:32:00 AM</v>
      </c>
      <c r="O9442" t="s">
        <v>28284</v>
      </c>
    </row>
    <row r="9443" spans="1:20" x14ac:dyDescent="0.25">
      <c r="A9443" t="str">
        <f>"3056178"</f>
        <v>3056178</v>
      </c>
      <c r="B9443" t="s">
        <v>28287</v>
      </c>
      <c r="C9443" t="str">
        <f t="shared" si="157"/>
        <v>82517329</v>
      </c>
      <c r="D9443" t="s">
        <v>28284</v>
      </c>
      <c r="F9443" t="s">
        <v>22204</v>
      </c>
      <c r="I9443" t="s">
        <v>9580</v>
      </c>
      <c r="J9443" t="s">
        <v>30</v>
      </c>
      <c r="K9443" t="s">
        <v>22205</v>
      </c>
      <c r="M9443" t="s">
        <v>25625</v>
      </c>
      <c r="N9443" t="str">
        <f t="shared" si="158"/>
        <v>2/18/2016 11:32:00 AM</v>
      </c>
      <c r="O9443" t="s">
        <v>28284</v>
      </c>
    </row>
    <row r="9444" spans="1:20" x14ac:dyDescent="0.25">
      <c r="A9444" t="str">
        <f>"3059827"</f>
        <v>3059827</v>
      </c>
      <c r="B9444" t="s">
        <v>28288</v>
      </c>
      <c r="C9444" t="str">
        <f t="shared" si="157"/>
        <v>82517329</v>
      </c>
      <c r="D9444" t="s">
        <v>28284</v>
      </c>
      <c r="F9444" t="s">
        <v>22204</v>
      </c>
      <c r="I9444" t="s">
        <v>9580</v>
      </c>
      <c r="J9444" t="s">
        <v>30</v>
      </c>
      <c r="K9444" t="s">
        <v>22205</v>
      </c>
      <c r="M9444" t="s">
        <v>25625</v>
      </c>
      <c r="N9444" t="str">
        <f t="shared" si="158"/>
        <v>2/18/2016 11:32:00 AM</v>
      </c>
      <c r="O9444" t="s">
        <v>28284</v>
      </c>
    </row>
    <row r="9445" spans="1:20" x14ac:dyDescent="0.25">
      <c r="A9445" t="str">
        <f>"3069820"</f>
        <v>3069820</v>
      </c>
      <c r="B9445" t="s">
        <v>28289</v>
      </c>
      <c r="C9445" t="str">
        <f t="shared" si="157"/>
        <v>82517329</v>
      </c>
      <c r="D9445" t="s">
        <v>28284</v>
      </c>
      <c r="F9445" t="s">
        <v>22204</v>
      </c>
      <c r="I9445" t="s">
        <v>9580</v>
      </c>
      <c r="J9445" t="s">
        <v>30</v>
      </c>
      <c r="K9445" t="s">
        <v>22205</v>
      </c>
      <c r="M9445" t="s">
        <v>25625</v>
      </c>
      <c r="N9445" t="str">
        <f t="shared" si="158"/>
        <v>2/18/2016 11:32:00 AM</v>
      </c>
      <c r="O9445" t="s">
        <v>28284</v>
      </c>
    </row>
    <row r="9446" spans="1:20" x14ac:dyDescent="0.25">
      <c r="A9446" t="str">
        <f>"3069824"</f>
        <v>3069824</v>
      </c>
      <c r="B9446" t="s">
        <v>28290</v>
      </c>
      <c r="C9446" t="str">
        <f t="shared" si="157"/>
        <v>82517329</v>
      </c>
      <c r="D9446" t="s">
        <v>28284</v>
      </c>
      <c r="F9446" t="s">
        <v>22204</v>
      </c>
      <c r="I9446" t="s">
        <v>9580</v>
      </c>
      <c r="J9446" t="s">
        <v>30</v>
      </c>
      <c r="K9446" t="s">
        <v>22205</v>
      </c>
      <c r="M9446" t="s">
        <v>25625</v>
      </c>
      <c r="N9446" t="str">
        <f t="shared" si="158"/>
        <v>2/18/2016 11:32:00 AM</v>
      </c>
      <c r="O9446" t="s">
        <v>28284</v>
      </c>
    </row>
    <row r="9447" spans="1:20" x14ac:dyDescent="0.25">
      <c r="A9447" t="str">
        <f>"3044186"</f>
        <v>3044186</v>
      </c>
      <c r="B9447" t="s">
        <v>28291</v>
      </c>
      <c r="C9447" t="str">
        <f>"82519436"</f>
        <v>82519436</v>
      </c>
      <c r="D9447" t="s">
        <v>28292</v>
      </c>
      <c r="F9447" t="s">
        <v>28293</v>
      </c>
      <c r="I9447" t="s">
        <v>184</v>
      </c>
      <c r="J9447" t="s">
        <v>30</v>
      </c>
      <c r="K9447" t="s">
        <v>185</v>
      </c>
      <c r="M9447" t="s">
        <v>25625</v>
      </c>
      <c r="N9447" t="str">
        <f>"2/18/2016 11:39:00 AM"</f>
        <v>2/18/2016 11:39:00 AM</v>
      </c>
      <c r="O9447" t="s">
        <v>28292</v>
      </c>
    </row>
    <row r="9448" spans="1:20" x14ac:dyDescent="0.25">
      <c r="A9448" t="str">
        <f>"3038211"</f>
        <v>3038211</v>
      </c>
      <c r="B9448" t="s">
        <v>28294</v>
      </c>
      <c r="C9448" t="str">
        <f>"8306001"</f>
        <v>8306001</v>
      </c>
      <c r="D9448" t="s">
        <v>28295</v>
      </c>
      <c r="E9448" t="str">
        <f>"SPARKS WILSON W/KATHERINE S TR"</f>
        <v>SPARKS WILSON W/KATHERINE S TR</v>
      </c>
      <c r="F9448" t="s">
        <v>28296</v>
      </c>
      <c r="I9448" t="s">
        <v>184</v>
      </c>
      <c r="J9448" t="s">
        <v>30</v>
      </c>
      <c r="K9448" t="str">
        <f>"27006"</f>
        <v>27006</v>
      </c>
      <c r="M9448" t="s">
        <v>17861</v>
      </c>
      <c r="N9448" t="str">
        <f>"2/19/2016 11:14:00 AM"</f>
        <v>2/19/2016 11:14:00 AM</v>
      </c>
      <c r="O9448" t="s">
        <v>28295</v>
      </c>
      <c r="T9448" t="str">
        <f>"SPARKS WILSON W/KATHERINE S TR"</f>
        <v>SPARKS WILSON W/KATHERINE S TR</v>
      </c>
    </row>
    <row r="9449" spans="1:20" x14ac:dyDescent="0.25">
      <c r="A9449" t="str">
        <f>"3039574"</f>
        <v>3039574</v>
      </c>
      <c r="B9449" t="s">
        <v>28297</v>
      </c>
      <c r="C9449" t="str">
        <f>"8306001"</f>
        <v>8306001</v>
      </c>
      <c r="D9449" t="s">
        <v>28295</v>
      </c>
      <c r="E9449" t="str">
        <f>"SPARKS WILSON W/KATHERINE S TR"</f>
        <v>SPARKS WILSON W/KATHERINE S TR</v>
      </c>
      <c r="F9449" t="s">
        <v>28296</v>
      </c>
      <c r="I9449" t="s">
        <v>184</v>
      </c>
      <c r="J9449" t="s">
        <v>30</v>
      </c>
      <c r="K9449" t="str">
        <f>"27006"</f>
        <v>27006</v>
      </c>
      <c r="M9449" t="s">
        <v>17861</v>
      </c>
      <c r="N9449" t="str">
        <f>"2/19/2016 11:14:00 AM"</f>
        <v>2/19/2016 11:14:00 AM</v>
      </c>
      <c r="O9449" t="s">
        <v>28295</v>
      </c>
      <c r="T9449" t="str">
        <f>"SPARKS WILSON W/KATHERINE S TR"</f>
        <v>SPARKS WILSON W/KATHERINE S TR</v>
      </c>
    </row>
    <row r="9450" spans="1:20" x14ac:dyDescent="0.25">
      <c r="A9450" t="str">
        <f>"3056183"</f>
        <v>3056183</v>
      </c>
      <c r="B9450" t="s">
        <v>28298</v>
      </c>
      <c r="C9450" t="str">
        <f>"8305940"</f>
        <v>8305940</v>
      </c>
      <c r="D9450" t="s">
        <v>28299</v>
      </c>
      <c r="F9450" t="s">
        <v>28300</v>
      </c>
      <c r="I9450" t="s">
        <v>9580</v>
      </c>
      <c r="J9450" t="s">
        <v>30</v>
      </c>
      <c r="K9450" t="str">
        <f>"27014"</f>
        <v>27014</v>
      </c>
      <c r="M9450" t="s">
        <v>17861</v>
      </c>
      <c r="N9450" t="str">
        <f>"2/8/2016 1:29:00 PM"</f>
        <v>2/8/2016 1:29:00 PM</v>
      </c>
      <c r="O9450" t="s">
        <v>28299</v>
      </c>
    </row>
    <row r="9451" spans="1:20" x14ac:dyDescent="0.25">
      <c r="A9451" t="str">
        <f>"3037922"</f>
        <v>3037922</v>
      </c>
      <c r="B9451" t="s">
        <v>28301</v>
      </c>
      <c r="C9451" t="str">
        <f>"82521221"</f>
        <v>82521221</v>
      </c>
      <c r="D9451" t="s">
        <v>28302</v>
      </c>
      <c r="F9451" t="s">
        <v>28303</v>
      </c>
      <c r="I9451" t="s">
        <v>29</v>
      </c>
      <c r="J9451" t="s">
        <v>30</v>
      </c>
      <c r="K9451" t="s">
        <v>31</v>
      </c>
      <c r="M9451" t="s">
        <v>25625</v>
      </c>
      <c r="N9451" t="str">
        <f>"2/19/2016 11:21:00 AM"</f>
        <v>2/19/2016 11:21:00 AM</v>
      </c>
      <c r="O9451" t="s">
        <v>28302</v>
      </c>
    </row>
    <row r="9452" spans="1:20" x14ac:dyDescent="0.25">
      <c r="A9452" t="str">
        <f>"3037906"</f>
        <v>3037906</v>
      </c>
      <c r="B9452" t="s">
        <v>28304</v>
      </c>
      <c r="C9452" t="str">
        <f>"82521221"</f>
        <v>82521221</v>
      </c>
      <c r="D9452" t="s">
        <v>28302</v>
      </c>
      <c r="F9452" t="s">
        <v>28303</v>
      </c>
      <c r="I9452" t="s">
        <v>29</v>
      </c>
      <c r="J9452" t="s">
        <v>30</v>
      </c>
      <c r="K9452" t="s">
        <v>31</v>
      </c>
      <c r="M9452" t="s">
        <v>25625</v>
      </c>
      <c r="N9452" t="str">
        <f>"2/19/2016 11:21:00 AM"</f>
        <v>2/19/2016 11:21:00 AM</v>
      </c>
      <c r="O9452" t="s">
        <v>28302</v>
      </c>
    </row>
    <row r="9453" spans="1:20" x14ac:dyDescent="0.25">
      <c r="A9453" t="str">
        <f>"3037900"</f>
        <v>3037900</v>
      </c>
      <c r="B9453" t="s">
        <v>28305</v>
      </c>
      <c r="C9453" t="str">
        <f>"82521221"</f>
        <v>82521221</v>
      </c>
      <c r="D9453" t="s">
        <v>28302</v>
      </c>
      <c r="F9453" t="s">
        <v>28303</v>
      </c>
      <c r="I9453" t="s">
        <v>29</v>
      </c>
      <c r="J9453" t="s">
        <v>30</v>
      </c>
      <c r="K9453" t="s">
        <v>31</v>
      </c>
      <c r="M9453" t="s">
        <v>25625</v>
      </c>
      <c r="N9453" t="str">
        <f>"2/19/2016 11:21:00 AM"</f>
        <v>2/19/2016 11:21:00 AM</v>
      </c>
      <c r="O9453" t="s">
        <v>28302</v>
      </c>
    </row>
    <row r="9454" spans="1:20" x14ac:dyDescent="0.25">
      <c r="A9454" t="str">
        <f>"3055873"</f>
        <v>3055873</v>
      </c>
      <c r="B9454" t="s">
        <v>28306</v>
      </c>
      <c r="C9454" t="str">
        <f>"8305940"</f>
        <v>8305940</v>
      </c>
      <c r="D9454" t="s">
        <v>28299</v>
      </c>
      <c r="F9454" t="s">
        <v>28300</v>
      </c>
      <c r="I9454" t="s">
        <v>9580</v>
      </c>
      <c r="J9454" t="s">
        <v>30</v>
      </c>
      <c r="K9454" t="str">
        <f>"27014"</f>
        <v>27014</v>
      </c>
      <c r="M9454" t="s">
        <v>17861</v>
      </c>
      <c r="N9454" t="str">
        <f>"2/8/2016 1:29:00 PM"</f>
        <v>2/8/2016 1:29:00 PM</v>
      </c>
      <c r="O9454" t="s">
        <v>28299</v>
      </c>
    </row>
    <row r="9455" spans="1:20" x14ac:dyDescent="0.25">
      <c r="A9455" t="str">
        <f>"3037530"</f>
        <v>3037530</v>
      </c>
      <c r="B9455" t="s">
        <v>28307</v>
      </c>
      <c r="C9455" t="str">
        <f>"8305954"</f>
        <v>8305954</v>
      </c>
      <c r="D9455" t="s">
        <v>28308</v>
      </c>
      <c r="F9455" t="s">
        <v>28309</v>
      </c>
      <c r="I9455" t="s">
        <v>2280</v>
      </c>
      <c r="J9455" t="s">
        <v>30</v>
      </c>
      <c r="K9455" t="str">
        <f>"27292"</f>
        <v>27292</v>
      </c>
      <c r="M9455" t="s">
        <v>17861</v>
      </c>
      <c r="N9455" t="str">
        <f>"2/9/2016 4:45:00 PM"</f>
        <v>2/9/2016 4:45:00 PM</v>
      </c>
      <c r="O9455" t="s">
        <v>28308</v>
      </c>
    </row>
    <row r="9456" spans="1:20" x14ac:dyDescent="0.25">
      <c r="A9456" t="str">
        <f>"3041731"</f>
        <v>3041731</v>
      </c>
      <c r="B9456" t="s">
        <v>28310</v>
      </c>
      <c r="C9456" t="str">
        <f>"8305955"</f>
        <v>8305955</v>
      </c>
      <c r="D9456" t="s">
        <v>28311</v>
      </c>
      <c r="E9456" t="s">
        <v>28312</v>
      </c>
      <c r="F9456" t="s">
        <v>28313</v>
      </c>
      <c r="I9456" t="s">
        <v>2071</v>
      </c>
      <c r="J9456" t="s">
        <v>30</v>
      </c>
      <c r="K9456" t="str">
        <f>"27006"</f>
        <v>27006</v>
      </c>
      <c r="M9456" t="s">
        <v>17861</v>
      </c>
      <c r="N9456" t="str">
        <f>"2/10/2016 9:38:00 AM"</f>
        <v>2/10/2016 9:38:00 AM</v>
      </c>
      <c r="O9456" t="s">
        <v>28311</v>
      </c>
      <c r="T9456" t="s">
        <v>28312</v>
      </c>
    </row>
    <row r="9457" spans="1:20" x14ac:dyDescent="0.25">
      <c r="A9457" t="str">
        <f>"3057347"</f>
        <v>3057347</v>
      </c>
      <c r="B9457" t="s">
        <v>28314</v>
      </c>
      <c r="C9457" t="str">
        <f>"82525783"</f>
        <v>82525783</v>
      </c>
      <c r="D9457" t="s">
        <v>28315</v>
      </c>
      <c r="F9457" t="s">
        <v>28316</v>
      </c>
      <c r="I9457" t="s">
        <v>471</v>
      </c>
      <c r="J9457" t="s">
        <v>30</v>
      </c>
      <c r="K9457" t="str">
        <f>"27104"</f>
        <v>27104</v>
      </c>
      <c r="M9457" t="s">
        <v>25733</v>
      </c>
      <c r="N9457" t="str">
        <f>"2/10/2016 10:46:00 AM"</f>
        <v>2/10/2016 10:46:00 AM</v>
      </c>
      <c r="O9457" t="s">
        <v>28315</v>
      </c>
    </row>
    <row r="9458" spans="1:20" x14ac:dyDescent="0.25">
      <c r="A9458" t="str">
        <f>"3063952"</f>
        <v>3063952</v>
      </c>
      <c r="B9458" t="s">
        <v>28317</v>
      </c>
      <c r="C9458" t="str">
        <f>"82525783"</f>
        <v>82525783</v>
      </c>
      <c r="D9458" t="s">
        <v>28315</v>
      </c>
      <c r="F9458" t="s">
        <v>28316</v>
      </c>
      <c r="I9458" t="s">
        <v>471</v>
      </c>
      <c r="J9458" t="s">
        <v>30</v>
      </c>
      <c r="K9458" t="str">
        <f>"27104"</f>
        <v>27104</v>
      </c>
      <c r="M9458" t="s">
        <v>25733</v>
      </c>
      <c r="N9458" t="str">
        <f>"2/10/2016 10:46:00 AM"</f>
        <v>2/10/2016 10:46:00 AM</v>
      </c>
      <c r="O9458" t="s">
        <v>28315</v>
      </c>
    </row>
    <row r="9459" spans="1:20" x14ac:dyDescent="0.25">
      <c r="A9459" t="str">
        <f>"3042045"</f>
        <v>3042045</v>
      </c>
      <c r="B9459" t="s">
        <v>28318</v>
      </c>
      <c r="C9459" t="str">
        <f>"8305964"</f>
        <v>8305964</v>
      </c>
      <c r="D9459" t="s">
        <v>28319</v>
      </c>
      <c r="F9459" t="s">
        <v>13791</v>
      </c>
      <c r="I9459" t="s">
        <v>29</v>
      </c>
      <c r="J9459" t="s">
        <v>30</v>
      </c>
      <c r="K9459" t="str">
        <f t="shared" ref="K9459:K9467" si="159">"27028"</f>
        <v>27028</v>
      </c>
      <c r="M9459" t="s">
        <v>17861</v>
      </c>
      <c r="N9459" t="str">
        <f>"2/10/2016 2:13:00 PM"</f>
        <v>2/10/2016 2:13:00 PM</v>
      </c>
      <c r="O9459" t="s">
        <v>28319</v>
      </c>
    </row>
    <row r="9460" spans="1:20" x14ac:dyDescent="0.25">
      <c r="A9460" t="str">
        <f>"3078461"</f>
        <v>3078461</v>
      </c>
      <c r="B9460" t="s">
        <v>28320</v>
      </c>
      <c r="C9460" t="str">
        <f>"8305970"</f>
        <v>8305970</v>
      </c>
      <c r="D9460" t="s">
        <v>28200</v>
      </c>
      <c r="F9460" t="s">
        <v>13958</v>
      </c>
      <c r="I9460" t="s">
        <v>29</v>
      </c>
      <c r="J9460" t="s">
        <v>30</v>
      </c>
      <c r="K9460" t="str">
        <f t="shared" si="159"/>
        <v>27028</v>
      </c>
      <c r="M9460" t="s">
        <v>17861</v>
      </c>
      <c r="N9460" t="str">
        <f>"2/10/2016 2:54:00 PM"</f>
        <v>2/10/2016 2:54:00 PM</v>
      </c>
      <c r="O9460" t="s">
        <v>28200</v>
      </c>
    </row>
    <row r="9461" spans="1:20" x14ac:dyDescent="0.25">
      <c r="A9461" t="str">
        <f>"3050387"</f>
        <v>3050387</v>
      </c>
      <c r="B9461" t="s">
        <v>28321</v>
      </c>
      <c r="C9461" t="str">
        <f>"8305970"</f>
        <v>8305970</v>
      </c>
      <c r="D9461" t="s">
        <v>28200</v>
      </c>
      <c r="F9461" t="s">
        <v>13958</v>
      </c>
      <c r="I9461" t="s">
        <v>29</v>
      </c>
      <c r="J9461" t="s">
        <v>30</v>
      </c>
      <c r="K9461" t="str">
        <f t="shared" si="159"/>
        <v>27028</v>
      </c>
      <c r="M9461" t="s">
        <v>17861</v>
      </c>
      <c r="N9461" t="str">
        <f>"2/10/2016 2:54:00 PM"</f>
        <v>2/10/2016 2:54:00 PM</v>
      </c>
      <c r="O9461" t="s">
        <v>28200</v>
      </c>
    </row>
    <row r="9462" spans="1:20" x14ac:dyDescent="0.25">
      <c r="A9462" t="str">
        <f>"3070628"</f>
        <v>3070628</v>
      </c>
      <c r="B9462" t="s">
        <v>28322</v>
      </c>
      <c r="C9462" t="str">
        <f>"8305976"</f>
        <v>8305976</v>
      </c>
      <c r="D9462" t="s">
        <v>28323</v>
      </c>
      <c r="F9462" t="s">
        <v>28324</v>
      </c>
      <c r="I9462" t="s">
        <v>29</v>
      </c>
      <c r="J9462" t="s">
        <v>30</v>
      </c>
      <c r="K9462" t="str">
        <f t="shared" si="159"/>
        <v>27028</v>
      </c>
      <c r="M9462" t="s">
        <v>17861</v>
      </c>
      <c r="N9462" t="str">
        <f>"2/11/2016 1:28:00 PM"</f>
        <v>2/11/2016 1:28:00 PM</v>
      </c>
      <c r="O9462" t="s">
        <v>28323</v>
      </c>
    </row>
    <row r="9463" spans="1:20" x14ac:dyDescent="0.25">
      <c r="A9463" t="str">
        <f>"3042618"</f>
        <v>3042618</v>
      </c>
      <c r="B9463" t="s">
        <v>28325</v>
      </c>
      <c r="C9463" t="str">
        <f>"8305980"</f>
        <v>8305980</v>
      </c>
      <c r="D9463" t="s">
        <v>28326</v>
      </c>
      <c r="E9463" t="s">
        <v>28327</v>
      </c>
      <c r="F9463" t="s">
        <v>28328</v>
      </c>
      <c r="I9463" t="s">
        <v>29</v>
      </c>
      <c r="J9463" t="s">
        <v>30</v>
      </c>
      <c r="K9463" t="str">
        <f t="shared" si="159"/>
        <v>27028</v>
      </c>
      <c r="M9463" t="s">
        <v>17861</v>
      </c>
      <c r="N9463" t="str">
        <f>"2/11/2016 3:48:00 PM"</f>
        <v>2/11/2016 3:48:00 PM</v>
      </c>
      <c r="O9463" t="s">
        <v>28326</v>
      </c>
      <c r="T9463" t="s">
        <v>28327</v>
      </c>
    </row>
    <row r="9464" spans="1:20" x14ac:dyDescent="0.25">
      <c r="A9464" t="str">
        <f>"3051623"</f>
        <v>3051623</v>
      </c>
      <c r="B9464" t="s">
        <v>28329</v>
      </c>
      <c r="C9464" t="str">
        <f>"8305133"</f>
        <v>8305133</v>
      </c>
      <c r="D9464" t="s">
        <v>28330</v>
      </c>
      <c r="E9464" t="s">
        <v>28331</v>
      </c>
      <c r="F9464" t="s">
        <v>28332</v>
      </c>
      <c r="I9464" t="s">
        <v>29</v>
      </c>
      <c r="J9464" t="s">
        <v>30</v>
      </c>
      <c r="K9464" t="str">
        <f t="shared" si="159"/>
        <v>27028</v>
      </c>
      <c r="M9464" t="s">
        <v>17861</v>
      </c>
      <c r="N9464" t="str">
        <f>"2/12/2016 11:32:00 AM"</f>
        <v>2/12/2016 11:32:00 AM</v>
      </c>
      <c r="O9464" t="s">
        <v>28330</v>
      </c>
      <c r="T9464" t="s">
        <v>28331</v>
      </c>
    </row>
    <row r="9465" spans="1:20" x14ac:dyDescent="0.25">
      <c r="A9465" t="str">
        <f>"3056787"</f>
        <v>3056787</v>
      </c>
      <c r="B9465" t="s">
        <v>28333</v>
      </c>
      <c r="C9465" t="str">
        <f>"8305997"</f>
        <v>8305997</v>
      </c>
      <c r="D9465" t="s">
        <v>28334</v>
      </c>
      <c r="E9465" t="s">
        <v>28335</v>
      </c>
      <c r="F9465" t="s">
        <v>28336</v>
      </c>
      <c r="I9465" t="s">
        <v>29</v>
      </c>
      <c r="J9465" t="s">
        <v>30</v>
      </c>
      <c r="K9465" t="str">
        <f t="shared" si="159"/>
        <v>27028</v>
      </c>
      <c r="M9465" t="s">
        <v>17861</v>
      </c>
      <c r="N9465" t="str">
        <f>"2/12/2016 1:13:00 PM"</f>
        <v>2/12/2016 1:13:00 PM</v>
      </c>
      <c r="O9465" t="s">
        <v>28334</v>
      </c>
      <c r="T9465" t="s">
        <v>28335</v>
      </c>
    </row>
    <row r="9466" spans="1:20" x14ac:dyDescent="0.25">
      <c r="A9466" t="str">
        <f>"3077678"</f>
        <v>3077678</v>
      </c>
      <c r="B9466" t="s">
        <v>28337</v>
      </c>
      <c r="C9466" t="str">
        <f>"8306032"</f>
        <v>8306032</v>
      </c>
      <c r="D9466" t="s">
        <v>28338</v>
      </c>
      <c r="F9466" t="s">
        <v>28339</v>
      </c>
      <c r="I9466" t="s">
        <v>29</v>
      </c>
      <c r="J9466" t="s">
        <v>30</v>
      </c>
      <c r="K9466" t="str">
        <f t="shared" si="159"/>
        <v>27028</v>
      </c>
      <c r="M9466" t="s">
        <v>17861</v>
      </c>
      <c r="N9466" t="str">
        <f>"2/22/2016 3:25:00 PM"</f>
        <v>2/22/2016 3:25:00 PM</v>
      </c>
      <c r="O9466" t="s">
        <v>28338</v>
      </c>
    </row>
    <row r="9467" spans="1:20" x14ac:dyDescent="0.25">
      <c r="A9467" t="str">
        <f>"3043489"</f>
        <v>3043489</v>
      </c>
      <c r="B9467" t="s">
        <v>28340</v>
      </c>
      <c r="C9467" t="str">
        <f>"8306032"</f>
        <v>8306032</v>
      </c>
      <c r="D9467" t="s">
        <v>28338</v>
      </c>
      <c r="F9467" t="s">
        <v>28339</v>
      </c>
      <c r="I9467" t="s">
        <v>29</v>
      </c>
      <c r="J9467" t="s">
        <v>30</v>
      </c>
      <c r="K9467" t="str">
        <f t="shared" si="159"/>
        <v>27028</v>
      </c>
      <c r="M9467" t="s">
        <v>17861</v>
      </c>
      <c r="N9467" t="str">
        <f>"2/22/2016 3:25:00 PM"</f>
        <v>2/22/2016 3:25:00 PM</v>
      </c>
      <c r="O9467" t="s">
        <v>28338</v>
      </c>
    </row>
    <row r="9468" spans="1:20" x14ac:dyDescent="0.25">
      <c r="A9468" t="str">
        <f>"3041744"</f>
        <v>3041744</v>
      </c>
      <c r="B9468" t="s">
        <v>28341</v>
      </c>
      <c r="C9468" t="str">
        <f>"8303395"</f>
        <v>8303395</v>
      </c>
      <c r="D9468" t="s">
        <v>28342</v>
      </c>
      <c r="E9468" t="s">
        <v>28343</v>
      </c>
      <c r="F9468" t="s">
        <v>28344</v>
      </c>
      <c r="I9468" t="s">
        <v>2071</v>
      </c>
      <c r="J9468" t="s">
        <v>30</v>
      </c>
      <c r="K9468" t="s">
        <v>3789</v>
      </c>
      <c r="M9468" t="s">
        <v>17861</v>
      </c>
      <c r="N9468" t="str">
        <f>"2/22/2016 4:39:00 PM"</f>
        <v>2/22/2016 4:39:00 PM</v>
      </c>
      <c r="O9468" t="s">
        <v>28342</v>
      </c>
      <c r="T9468" t="s">
        <v>28343</v>
      </c>
    </row>
    <row r="9469" spans="1:20" x14ac:dyDescent="0.25">
      <c r="A9469" t="str">
        <f>"3041215"</f>
        <v>3041215</v>
      </c>
      <c r="B9469" t="s">
        <v>28345</v>
      </c>
      <c r="C9469" t="str">
        <f>"8305999"</f>
        <v>8305999</v>
      </c>
      <c r="D9469" t="s">
        <v>28346</v>
      </c>
      <c r="E9469" t="s">
        <v>28347</v>
      </c>
      <c r="F9469" t="s">
        <v>28348</v>
      </c>
      <c r="I9469" t="s">
        <v>2071</v>
      </c>
      <c r="J9469" t="s">
        <v>30</v>
      </c>
      <c r="K9469" t="str">
        <f>"27006"</f>
        <v>27006</v>
      </c>
      <c r="M9469" t="s">
        <v>17861</v>
      </c>
      <c r="N9469" t="str">
        <f>"2/12/2016 1:33:00 PM"</f>
        <v>2/12/2016 1:33:00 PM</v>
      </c>
      <c r="O9469" t="s">
        <v>28346</v>
      </c>
      <c r="T9469" t="s">
        <v>28347</v>
      </c>
    </row>
    <row r="9470" spans="1:20" x14ac:dyDescent="0.25">
      <c r="A9470" t="str">
        <f>"3038834"</f>
        <v>3038834</v>
      </c>
      <c r="B9470" t="s">
        <v>28349</v>
      </c>
      <c r="C9470" t="str">
        <f>"8306036"</f>
        <v>8306036</v>
      </c>
      <c r="D9470" t="s">
        <v>28350</v>
      </c>
      <c r="F9470" t="s">
        <v>28351</v>
      </c>
      <c r="I9470" t="s">
        <v>29</v>
      </c>
      <c r="J9470" t="s">
        <v>30</v>
      </c>
      <c r="K9470" t="str">
        <f>"27028"</f>
        <v>27028</v>
      </c>
      <c r="M9470" t="s">
        <v>17861</v>
      </c>
      <c r="N9470" t="str">
        <f>"2/23/2016 2:15:00 PM"</f>
        <v>2/23/2016 2:15:00 PM</v>
      </c>
      <c r="O9470" t="s">
        <v>28350</v>
      </c>
    </row>
    <row r="9471" spans="1:20" x14ac:dyDescent="0.25">
      <c r="A9471" t="str">
        <f>"3037536"</f>
        <v>3037536</v>
      </c>
      <c r="B9471" t="s">
        <v>28352</v>
      </c>
      <c r="C9471" t="str">
        <f>"8306038"</f>
        <v>8306038</v>
      </c>
      <c r="D9471" t="s">
        <v>28353</v>
      </c>
      <c r="E9471" t="s">
        <v>28354</v>
      </c>
      <c r="F9471" t="s">
        <v>28355</v>
      </c>
      <c r="I9471" t="s">
        <v>29</v>
      </c>
      <c r="J9471" t="s">
        <v>30</v>
      </c>
      <c r="K9471" t="str">
        <f>"27028"</f>
        <v>27028</v>
      </c>
      <c r="M9471" t="s">
        <v>17861</v>
      </c>
      <c r="N9471" t="str">
        <f>"2/23/2016 3:04:00 PM"</f>
        <v>2/23/2016 3:04:00 PM</v>
      </c>
      <c r="O9471" t="s">
        <v>28353</v>
      </c>
      <c r="T9471" t="s">
        <v>28354</v>
      </c>
    </row>
    <row r="9472" spans="1:20" x14ac:dyDescent="0.25">
      <c r="A9472" t="str">
        <f>"3037686"</f>
        <v>3037686</v>
      </c>
      <c r="B9472" t="s">
        <v>28356</v>
      </c>
      <c r="C9472" t="str">
        <f>"8306038"</f>
        <v>8306038</v>
      </c>
      <c r="D9472" t="s">
        <v>28353</v>
      </c>
      <c r="E9472" t="s">
        <v>28354</v>
      </c>
      <c r="F9472" t="s">
        <v>28355</v>
      </c>
      <c r="I9472" t="s">
        <v>29</v>
      </c>
      <c r="J9472" t="s">
        <v>30</v>
      </c>
      <c r="K9472" t="str">
        <f>"27028"</f>
        <v>27028</v>
      </c>
      <c r="M9472" t="s">
        <v>17861</v>
      </c>
      <c r="N9472" t="str">
        <f>"2/23/2016 3:04:00 PM"</f>
        <v>2/23/2016 3:04:00 PM</v>
      </c>
      <c r="O9472" t="s">
        <v>28353</v>
      </c>
      <c r="T9472" t="s">
        <v>28354</v>
      </c>
    </row>
    <row r="9473" spans="1:20" x14ac:dyDescent="0.25">
      <c r="A9473" t="str">
        <f>"3048579"</f>
        <v>3048579</v>
      </c>
      <c r="B9473" t="s">
        <v>28357</v>
      </c>
      <c r="C9473" t="str">
        <f>"8304334"</f>
        <v>8304334</v>
      </c>
      <c r="D9473" t="s">
        <v>28358</v>
      </c>
      <c r="E9473" t="s">
        <v>28359</v>
      </c>
      <c r="F9473" t="s">
        <v>28360</v>
      </c>
      <c r="I9473" t="s">
        <v>184</v>
      </c>
      <c r="J9473" t="s">
        <v>30</v>
      </c>
      <c r="K9473" t="str">
        <f>"27006"</f>
        <v>27006</v>
      </c>
      <c r="M9473" t="s">
        <v>25625</v>
      </c>
      <c r="N9473" t="str">
        <f>"2/23/2016 3:23:00 PM"</f>
        <v>2/23/2016 3:23:00 PM</v>
      </c>
      <c r="O9473" t="s">
        <v>28358</v>
      </c>
      <c r="T9473" t="s">
        <v>28359</v>
      </c>
    </row>
    <row r="9474" spans="1:20" x14ac:dyDescent="0.25">
      <c r="A9474" t="str">
        <f>"3037782"</f>
        <v>3037782</v>
      </c>
      <c r="B9474" t="s">
        <v>28361</v>
      </c>
      <c r="C9474" t="str">
        <f>"26748000"</f>
        <v>26748000</v>
      </c>
      <c r="D9474" t="s">
        <v>28362</v>
      </c>
      <c r="E9474" t="s">
        <v>28363</v>
      </c>
      <c r="F9474" t="s">
        <v>28364</v>
      </c>
      <c r="I9474" t="s">
        <v>29</v>
      </c>
      <c r="J9474" t="s">
        <v>30</v>
      </c>
      <c r="K9474" t="s">
        <v>31</v>
      </c>
      <c r="M9474" t="s">
        <v>25625</v>
      </c>
      <c r="N9474" t="str">
        <f>"2/23/2016 3:33:00 PM"</f>
        <v>2/23/2016 3:33:00 PM</v>
      </c>
      <c r="O9474" t="s">
        <v>28362</v>
      </c>
      <c r="T9474" t="s">
        <v>28363</v>
      </c>
    </row>
    <row r="9475" spans="1:20" x14ac:dyDescent="0.25">
      <c r="A9475" t="str">
        <f>"3037565"</f>
        <v>3037565</v>
      </c>
      <c r="B9475" t="s">
        <v>28365</v>
      </c>
      <c r="C9475" t="str">
        <f>"26748000"</f>
        <v>26748000</v>
      </c>
      <c r="D9475" t="s">
        <v>28362</v>
      </c>
      <c r="E9475" t="s">
        <v>28363</v>
      </c>
      <c r="F9475" t="s">
        <v>28364</v>
      </c>
      <c r="I9475" t="s">
        <v>29</v>
      </c>
      <c r="J9475" t="s">
        <v>30</v>
      </c>
      <c r="K9475" t="s">
        <v>31</v>
      </c>
      <c r="M9475" t="s">
        <v>25625</v>
      </c>
      <c r="N9475" t="str">
        <f>"2/23/2016 3:33:00 PM"</f>
        <v>2/23/2016 3:33:00 PM</v>
      </c>
      <c r="O9475" t="s">
        <v>28362</v>
      </c>
      <c r="T9475" t="s">
        <v>28363</v>
      </c>
    </row>
    <row r="9476" spans="1:20" x14ac:dyDescent="0.25">
      <c r="A9476" t="str">
        <f>"3037460"</f>
        <v>3037460</v>
      </c>
      <c r="B9476" t="s">
        <v>28366</v>
      </c>
      <c r="C9476" t="str">
        <f>"26748000"</f>
        <v>26748000</v>
      </c>
      <c r="D9476" t="s">
        <v>28362</v>
      </c>
      <c r="E9476" t="s">
        <v>28363</v>
      </c>
      <c r="F9476" t="s">
        <v>28364</v>
      </c>
      <c r="I9476" t="s">
        <v>29</v>
      </c>
      <c r="J9476" t="s">
        <v>30</v>
      </c>
      <c r="K9476" t="s">
        <v>31</v>
      </c>
      <c r="M9476" t="s">
        <v>25625</v>
      </c>
      <c r="N9476" t="str">
        <f>"2/23/2016 3:33:00 PM"</f>
        <v>2/23/2016 3:33:00 PM</v>
      </c>
      <c r="O9476" t="s">
        <v>28362</v>
      </c>
      <c r="T9476" t="s">
        <v>28363</v>
      </c>
    </row>
    <row r="9477" spans="1:20" x14ac:dyDescent="0.25">
      <c r="A9477" t="str">
        <f>"3076618"</f>
        <v>3076618</v>
      </c>
      <c r="B9477" t="s">
        <v>28367</v>
      </c>
      <c r="C9477" t="str">
        <f>"26748000"</f>
        <v>26748000</v>
      </c>
      <c r="D9477" t="s">
        <v>28362</v>
      </c>
      <c r="E9477" t="s">
        <v>28363</v>
      </c>
      <c r="F9477" t="s">
        <v>28364</v>
      </c>
      <c r="I9477" t="s">
        <v>29</v>
      </c>
      <c r="J9477" t="s">
        <v>30</v>
      </c>
      <c r="K9477" t="s">
        <v>31</v>
      </c>
      <c r="M9477" t="s">
        <v>25625</v>
      </c>
      <c r="N9477" t="str">
        <f>"2/23/2016 3:33:00 PM"</f>
        <v>2/23/2016 3:33:00 PM</v>
      </c>
      <c r="O9477" t="s">
        <v>28362</v>
      </c>
      <c r="T9477" t="s">
        <v>28363</v>
      </c>
    </row>
    <row r="9478" spans="1:20" x14ac:dyDescent="0.25">
      <c r="A9478" t="str">
        <f>"3060799"</f>
        <v>3060799</v>
      </c>
      <c r="B9478" t="s">
        <v>28368</v>
      </c>
      <c r="C9478" t="str">
        <f>"82521648"</f>
        <v>82521648</v>
      </c>
      <c r="D9478" t="s">
        <v>28369</v>
      </c>
      <c r="E9478" t="s">
        <v>28370</v>
      </c>
      <c r="F9478" t="s">
        <v>28371</v>
      </c>
      <c r="I9478" t="s">
        <v>2071</v>
      </c>
      <c r="J9478" t="s">
        <v>30</v>
      </c>
      <c r="K9478" t="s">
        <v>185</v>
      </c>
      <c r="M9478" t="s">
        <v>25625</v>
      </c>
      <c r="N9478" t="str">
        <f>"2/16/2016 4:23:00 PM"</f>
        <v>2/16/2016 4:23:00 PM</v>
      </c>
      <c r="O9478" t="s">
        <v>28369</v>
      </c>
      <c r="T9478" t="s">
        <v>28370</v>
      </c>
    </row>
    <row r="9479" spans="1:20" x14ac:dyDescent="0.25">
      <c r="A9479" t="str">
        <f>"3077017"</f>
        <v>3077017</v>
      </c>
      <c r="B9479" t="s">
        <v>28372</v>
      </c>
      <c r="C9479" t="str">
        <f>"8306042"</f>
        <v>8306042</v>
      </c>
      <c r="D9479" t="s">
        <v>28373</v>
      </c>
      <c r="E9479" t="s">
        <v>28374</v>
      </c>
      <c r="F9479" t="s">
        <v>28375</v>
      </c>
      <c r="I9479" t="s">
        <v>29</v>
      </c>
      <c r="J9479" t="s">
        <v>30</v>
      </c>
      <c r="K9479" t="str">
        <f>"27028"</f>
        <v>27028</v>
      </c>
      <c r="M9479" t="s">
        <v>17861</v>
      </c>
      <c r="N9479" t="str">
        <f>"2/23/2016 4:24:00 PM"</f>
        <v>2/23/2016 4:24:00 PM</v>
      </c>
      <c r="O9479" t="s">
        <v>28373</v>
      </c>
      <c r="T9479" t="s">
        <v>28374</v>
      </c>
    </row>
    <row r="9480" spans="1:20" x14ac:dyDescent="0.25">
      <c r="A9480" t="str">
        <f>"3059781"</f>
        <v>3059781</v>
      </c>
      <c r="B9480" t="s">
        <v>28376</v>
      </c>
      <c r="C9480" t="str">
        <f>"8306044"</f>
        <v>8306044</v>
      </c>
      <c r="D9480" t="s">
        <v>28377</v>
      </c>
      <c r="E9480" t="s">
        <v>28378</v>
      </c>
      <c r="F9480" t="s">
        <v>28379</v>
      </c>
      <c r="I9480" t="s">
        <v>29</v>
      </c>
      <c r="J9480" t="s">
        <v>30</v>
      </c>
      <c r="K9480" t="str">
        <f>"27028"</f>
        <v>27028</v>
      </c>
      <c r="M9480" t="s">
        <v>17861</v>
      </c>
      <c r="N9480" t="str">
        <f>"2/23/2016 4:32:00 PM"</f>
        <v>2/23/2016 4:32:00 PM</v>
      </c>
      <c r="O9480" t="s">
        <v>28377</v>
      </c>
      <c r="T9480" t="s">
        <v>28378</v>
      </c>
    </row>
    <row r="9481" spans="1:20" x14ac:dyDescent="0.25">
      <c r="A9481" t="str">
        <f>"3055245"</f>
        <v>3055245</v>
      </c>
      <c r="B9481" t="s">
        <v>28380</v>
      </c>
      <c r="C9481" t="str">
        <f>"8306048"</f>
        <v>8306048</v>
      </c>
      <c r="D9481" t="s">
        <v>28381</v>
      </c>
      <c r="F9481" t="s">
        <v>28382</v>
      </c>
      <c r="I9481" t="s">
        <v>29</v>
      </c>
      <c r="J9481" t="s">
        <v>30</v>
      </c>
      <c r="K9481" t="str">
        <f>"27028"</f>
        <v>27028</v>
      </c>
      <c r="M9481" t="s">
        <v>17861</v>
      </c>
      <c r="N9481" t="str">
        <f>"2/23/2016 4:45:00 PM"</f>
        <v>2/23/2016 4:45:00 PM</v>
      </c>
      <c r="O9481" t="s">
        <v>28381</v>
      </c>
    </row>
    <row r="9482" spans="1:20" x14ac:dyDescent="0.25">
      <c r="A9482" t="str">
        <f>"3060082"</f>
        <v>3060082</v>
      </c>
      <c r="B9482" t="s">
        <v>28383</v>
      </c>
      <c r="C9482" t="str">
        <f>"11688750"</f>
        <v>11688750</v>
      </c>
      <c r="D9482" t="s">
        <v>28267</v>
      </c>
      <c r="E9482" t="s">
        <v>28268</v>
      </c>
      <c r="F9482" t="s">
        <v>28269</v>
      </c>
      <c r="I9482" t="s">
        <v>184</v>
      </c>
      <c r="J9482" t="s">
        <v>30</v>
      </c>
      <c r="K9482" t="s">
        <v>185</v>
      </c>
      <c r="M9482" t="s">
        <v>25625</v>
      </c>
      <c r="N9482" t="str">
        <f>"2/18/2016 11:21:00 AM"</f>
        <v>2/18/2016 11:21:00 AM</v>
      </c>
      <c r="O9482" t="s">
        <v>28267</v>
      </c>
      <c r="T9482" t="s">
        <v>28268</v>
      </c>
    </row>
    <row r="9483" spans="1:20" x14ac:dyDescent="0.25">
      <c r="A9483" t="str">
        <f>"3059611"</f>
        <v>3059611</v>
      </c>
      <c r="B9483" t="s">
        <v>28384</v>
      </c>
      <c r="C9483" t="str">
        <f>"11688750"</f>
        <v>11688750</v>
      </c>
      <c r="D9483" t="s">
        <v>28267</v>
      </c>
      <c r="E9483" t="s">
        <v>28268</v>
      </c>
      <c r="F9483" t="s">
        <v>28269</v>
      </c>
      <c r="I9483" t="s">
        <v>184</v>
      </c>
      <c r="J9483" t="s">
        <v>30</v>
      </c>
      <c r="K9483" t="s">
        <v>185</v>
      </c>
      <c r="M9483" t="s">
        <v>25625</v>
      </c>
      <c r="N9483" t="str">
        <f>"2/18/2016 11:21:00 AM"</f>
        <v>2/18/2016 11:21:00 AM</v>
      </c>
      <c r="O9483" t="s">
        <v>28267</v>
      </c>
      <c r="T9483" t="s">
        <v>28268</v>
      </c>
    </row>
    <row r="9484" spans="1:20" x14ac:dyDescent="0.25">
      <c r="A9484" t="str">
        <f>"3039994"</f>
        <v>3039994</v>
      </c>
      <c r="B9484" t="s">
        <v>28385</v>
      </c>
      <c r="C9484" t="str">
        <f>"8304078"</f>
        <v>8304078</v>
      </c>
      <c r="D9484" t="s">
        <v>28386</v>
      </c>
      <c r="F9484" t="s">
        <v>21530</v>
      </c>
      <c r="I9484" t="s">
        <v>29</v>
      </c>
      <c r="J9484" t="s">
        <v>30</v>
      </c>
      <c r="K9484" t="str">
        <f>"27028"</f>
        <v>27028</v>
      </c>
      <c r="M9484" t="s">
        <v>27053</v>
      </c>
      <c r="N9484" t="str">
        <f>"2/8/2016 10:42:00 AM"</f>
        <v>2/8/2016 10:42:00 AM</v>
      </c>
      <c r="O9484" t="s">
        <v>28387</v>
      </c>
    </row>
    <row r="9485" spans="1:20" x14ac:dyDescent="0.25">
      <c r="A9485" t="str">
        <f>"3078133"</f>
        <v>3078133</v>
      </c>
      <c r="B9485" t="s">
        <v>28388</v>
      </c>
      <c r="C9485" t="str">
        <f t="shared" ref="C9485:C9495" si="160">"43492000"</f>
        <v>43492000</v>
      </c>
      <c r="D9485" t="s">
        <v>28389</v>
      </c>
      <c r="E9485" t="s">
        <v>28390</v>
      </c>
      <c r="F9485" t="s">
        <v>12957</v>
      </c>
      <c r="I9485" t="s">
        <v>29</v>
      </c>
      <c r="J9485" t="s">
        <v>30</v>
      </c>
      <c r="K9485" t="s">
        <v>28391</v>
      </c>
      <c r="M9485" t="s">
        <v>25733</v>
      </c>
      <c r="N9485" t="str">
        <f t="shared" ref="N9485:N9495" si="161">"2/24/2016 2:20:00 PM"</f>
        <v>2/24/2016 2:20:00 PM</v>
      </c>
      <c r="O9485" t="s">
        <v>28389</v>
      </c>
      <c r="T9485" t="s">
        <v>28390</v>
      </c>
    </row>
    <row r="9486" spans="1:20" x14ac:dyDescent="0.25">
      <c r="A9486" t="str">
        <f>"3078403"</f>
        <v>3078403</v>
      </c>
      <c r="B9486" t="s">
        <v>28392</v>
      </c>
      <c r="C9486" t="str">
        <f t="shared" si="160"/>
        <v>43492000</v>
      </c>
      <c r="D9486" t="s">
        <v>28389</v>
      </c>
      <c r="E9486" t="s">
        <v>28390</v>
      </c>
      <c r="F9486" t="s">
        <v>12957</v>
      </c>
      <c r="I9486" t="s">
        <v>29</v>
      </c>
      <c r="J9486" t="s">
        <v>30</v>
      </c>
      <c r="K9486" t="s">
        <v>28391</v>
      </c>
      <c r="M9486" t="s">
        <v>25733</v>
      </c>
      <c r="N9486" t="str">
        <f t="shared" si="161"/>
        <v>2/24/2016 2:20:00 PM</v>
      </c>
      <c r="O9486" t="s">
        <v>28389</v>
      </c>
      <c r="T9486" t="s">
        <v>28390</v>
      </c>
    </row>
    <row r="9487" spans="1:20" x14ac:dyDescent="0.25">
      <c r="A9487" t="str">
        <f>"3078400"</f>
        <v>3078400</v>
      </c>
      <c r="B9487" t="s">
        <v>28393</v>
      </c>
      <c r="C9487" t="str">
        <f t="shared" si="160"/>
        <v>43492000</v>
      </c>
      <c r="D9487" t="s">
        <v>28389</v>
      </c>
      <c r="E9487" t="s">
        <v>28390</v>
      </c>
      <c r="F9487" t="s">
        <v>12957</v>
      </c>
      <c r="I9487" t="s">
        <v>29</v>
      </c>
      <c r="J9487" t="s">
        <v>30</v>
      </c>
      <c r="K9487" t="s">
        <v>28391</v>
      </c>
      <c r="M9487" t="s">
        <v>25733</v>
      </c>
      <c r="N9487" t="str">
        <f t="shared" si="161"/>
        <v>2/24/2016 2:20:00 PM</v>
      </c>
      <c r="O9487" t="s">
        <v>28389</v>
      </c>
      <c r="T9487" t="s">
        <v>28390</v>
      </c>
    </row>
    <row r="9488" spans="1:20" x14ac:dyDescent="0.25">
      <c r="A9488" t="str">
        <f>"3046035"</f>
        <v>3046035</v>
      </c>
      <c r="B9488" t="s">
        <v>28394</v>
      </c>
      <c r="C9488" t="str">
        <f t="shared" si="160"/>
        <v>43492000</v>
      </c>
      <c r="D9488" t="s">
        <v>28389</v>
      </c>
      <c r="E9488" t="s">
        <v>28390</v>
      </c>
      <c r="F9488" t="s">
        <v>12957</v>
      </c>
      <c r="I9488" t="s">
        <v>29</v>
      </c>
      <c r="J9488" t="s">
        <v>30</v>
      </c>
      <c r="K9488" t="s">
        <v>28391</v>
      </c>
      <c r="M9488" t="s">
        <v>25733</v>
      </c>
      <c r="N9488" t="str">
        <f t="shared" si="161"/>
        <v>2/24/2016 2:20:00 PM</v>
      </c>
      <c r="O9488" t="s">
        <v>28389</v>
      </c>
      <c r="T9488" t="s">
        <v>28390</v>
      </c>
    </row>
    <row r="9489" spans="1:20" x14ac:dyDescent="0.25">
      <c r="A9489" t="str">
        <f>"3046027"</f>
        <v>3046027</v>
      </c>
      <c r="B9489" t="s">
        <v>28395</v>
      </c>
      <c r="C9489" t="str">
        <f t="shared" si="160"/>
        <v>43492000</v>
      </c>
      <c r="D9489" t="s">
        <v>28389</v>
      </c>
      <c r="E9489" t="s">
        <v>28390</v>
      </c>
      <c r="F9489" t="s">
        <v>12957</v>
      </c>
      <c r="I9489" t="s">
        <v>29</v>
      </c>
      <c r="J9489" t="s">
        <v>30</v>
      </c>
      <c r="K9489" t="s">
        <v>28391</v>
      </c>
      <c r="M9489" t="s">
        <v>25733</v>
      </c>
      <c r="N9489" t="str">
        <f t="shared" si="161"/>
        <v>2/24/2016 2:20:00 PM</v>
      </c>
      <c r="O9489" t="s">
        <v>28389</v>
      </c>
      <c r="T9489" t="s">
        <v>28390</v>
      </c>
    </row>
    <row r="9490" spans="1:20" x14ac:dyDescent="0.25">
      <c r="A9490" t="str">
        <f>"3046019"</f>
        <v>3046019</v>
      </c>
      <c r="B9490" t="s">
        <v>28396</v>
      </c>
      <c r="C9490" t="str">
        <f t="shared" si="160"/>
        <v>43492000</v>
      </c>
      <c r="D9490" t="s">
        <v>28389</v>
      </c>
      <c r="E9490" t="s">
        <v>28390</v>
      </c>
      <c r="F9490" t="s">
        <v>12957</v>
      </c>
      <c r="I9490" t="s">
        <v>29</v>
      </c>
      <c r="J9490" t="s">
        <v>30</v>
      </c>
      <c r="K9490" t="s">
        <v>28391</v>
      </c>
      <c r="M9490" t="s">
        <v>25733</v>
      </c>
      <c r="N9490" t="str">
        <f t="shared" si="161"/>
        <v>2/24/2016 2:20:00 PM</v>
      </c>
      <c r="O9490" t="s">
        <v>28389</v>
      </c>
      <c r="T9490" t="s">
        <v>28390</v>
      </c>
    </row>
    <row r="9491" spans="1:20" x14ac:dyDescent="0.25">
      <c r="A9491" t="str">
        <f>"3045969"</f>
        <v>3045969</v>
      </c>
      <c r="B9491" t="s">
        <v>28397</v>
      </c>
      <c r="C9491" t="str">
        <f t="shared" si="160"/>
        <v>43492000</v>
      </c>
      <c r="D9491" t="s">
        <v>28389</v>
      </c>
      <c r="E9491" t="s">
        <v>28390</v>
      </c>
      <c r="F9491" t="s">
        <v>12957</v>
      </c>
      <c r="I9491" t="s">
        <v>29</v>
      </c>
      <c r="J9491" t="s">
        <v>30</v>
      </c>
      <c r="K9491" t="s">
        <v>28391</v>
      </c>
      <c r="M9491" t="s">
        <v>25733</v>
      </c>
      <c r="N9491" t="str">
        <f t="shared" si="161"/>
        <v>2/24/2016 2:20:00 PM</v>
      </c>
      <c r="O9491" t="s">
        <v>28389</v>
      </c>
      <c r="T9491" t="s">
        <v>28390</v>
      </c>
    </row>
    <row r="9492" spans="1:20" x14ac:dyDescent="0.25">
      <c r="A9492" t="str">
        <f>"3051425"</f>
        <v>3051425</v>
      </c>
      <c r="B9492" t="s">
        <v>28398</v>
      </c>
      <c r="C9492" t="str">
        <f t="shared" si="160"/>
        <v>43492000</v>
      </c>
      <c r="D9492" t="s">
        <v>28389</v>
      </c>
      <c r="E9492" t="s">
        <v>28390</v>
      </c>
      <c r="F9492" t="s">
        <v>12957</v>
      </c>
      <c r="I9492" t="s">
        <v>29</v>
      </c>
      <c r="J9492" t="s">
        <v>30</v>
      </c>
      <c r="K9492" t="s">
        <v>28391</v>
      </c>
      <c r="M9492" t="s">
        <v>25733</v>
      </c>
      <c r="N9492" t="str">
        <f t="shared" si="161"/>
        <v>2/24/2016 2:20:00 PM</v>
      </c>
      <c r="O9492" t="s">
        <v>28389</v>
      </c>
      <c r="T9492" t="s">
        <v>28390</v>
      </c>
    </row>
    <row r="9493" spans="1:20" x14ac:dyDescent="0.25">
      <c r="A9493" t="str">
        <f>"3051184"</f>
        <v>3051184</v>
      </c>
      <c r="B9493" t="s">
        <v>28399</v>
      </c>
      <c r="C9493" t="str">
        <f t="shared" si="160"/>
        <v>43492000</v>
      </c>
      <c r="D9493" t="s">
        <v>28389</v>
      </c>
      <c r="E9493" t="s">
        <v>28390</v>
      </c>
      <c r="F9493" t="s">
        <v>12957</v>
      </c>
      <c r="I9493" t="s">
        <v>29</v>
      </c>
      <c r="J9493" t="s">
        <v>30</v>
      </c>
      <c r="K9493" t="s">
        <v>28391</v>
      </c>
      <c r="M9493" t="s">
        <v>25733</v>
      </c>
      <c r="N9493" t="str">
        <f t="shared" si="161"/>
        <v>2/24/2016 2:20:00 PM</v>
      </c>
      <c r="O9493" t="s">
        <v>28389</v>
      </c>
      <c r="T9493" t="s">
        <v>28390</v>
      </c>
    </row>
    <row r="9494" spans="1:20" x14ac:dyDescent="0.25">
      <c r="A9494" t="str">
        <f>"3051150"</f>
        <v>3051150</v>
      </c>
      <c r="B9494" t="s">
        <v>28400</v>
      </c>
      <c r="C9494" t="str">
        <f t="shared" si="160"/>
        <v>43492000</v>
      </c>
      <c r="D9494" t="s">
        <v>28389</v>
      </c>
      <c r="E9494" t="s">
        <v>28390</v>
      </c>
      <c r="F9494" t="s">
        <v>12957</v>
      </c>
      <c r="I9494" t="s">
        <v>29</v>
      </c>
      <c r="J9494" t="s">
        <v>30</v>
      </c>
      <c r="K9494" t="s">
        <v>28391</v>
      </c>
      <c r="M9494" t="s">
        <v>25733</v>
      </c>
      <c r="N9494" t="str">
        <f t="shared" si="161"/>
        <v>2/24/2016 2:20:00 PM</v>
      </c>
      <c r="O9494" t="s">
        <v>28389</v>
      </c>
      <c r="T9494" t="s">
        <v>28390</v>
      </c>
    </row>
    <row r="9495" spans="1:20" x14ac:dyDescent="0.25">
      <c r="A9495" t="str">
        <f>"3051135"</f>
        <v>3051135</v>
      </c>
      <c r="B9495" t="s">
        <v>28401</v>
      </c>
      <c r="C9495" t="str">
        <f t="shared" si="160"/>
        <v>43492000</v>
      </c>
      <c r="D9495" t="s">
        <v>28389</v>
      </c>
      <c r="E9495" t="s">
        <v>28390</v>
      </c>
      <c r="F9495" t="s">
        <v>12957</v>
      </c>
      <c r="I9495" t="s">
        <v>29</v>
      </c>
      <c r="J9495" t="s">
        <v>30</v>
      </c>
      <c r="K9495" t="s">
        <v>28391</v>
      </c>
      <c r="M9495" t="s">
        <v>25733</v>
      </c>
      <c r="N9495" t="str">
        <f t="shared" si="161"/>
        <v>2/24/2016 2:20:00 PM</v>
      </c>
      <c r="O9495" t="s">
        <v>28389</v>
      </c>
      <c r="T9495" t="s">
        <v>28390</v>
      </c>
    </row>
    <row r="9496" spans="1:20" x14ac:dyDescent="0.25">
      <c r="A9496" t="str">
        <f>"3060483"</f>
        <v>3060483</v>
      </c>
      <c r="B9496" t="s">
        <v>28402</v>
      </c>
      <c r="C9496" t="str">
        <f>"82514150"</f>
        <v>82514150</v>
      </c>
      <c r="D9496" t="s">
        <v>28403</v>
      </c>
      <c r="E9496" t="s">
        <v>28404</v>
      </c>
      <c r="F9496" t="s">
        <v>28405</v>
      </c>
      <c r="I9496" t="s">
        <v>184</v>
      </c>
      <c r="J9496" t="s">
        <v>30</v>
      </c>
      <c r="K9496" t="s">
        <v>185</v>
      </c>
      <c r="M9496" t="s">
        <v>25733</v>
      </c>
      <c r="N9496" t="str">
        <f>"2/24/2016 2:22:00 PM"</f>
        <v>2/24/2016 2:22:00 PM</v>
      </c>
      <c r="O9496" t="s">
        <v>28403</v>
      </c>
      <c r="T9496" t="s">
        <v>28404</v>
      </c>
    </row>
    <row r="9497" spans="1:20" x14ac:dyDescent="0.25">
      <c r="A9497" t="str">
        <f>"3049041"</f>
        <v>3049041</v>
      </c>
      <c r="B9497" t="s">
        <v>28406</v>
      </c>
      <c r="C9497" t="str">
        <f>"8305931"</f>
        <v>8305931</v>
      </c>
      <c r="D9497" t="s">
        <v>28407</v>
      </c>
      <c r="F9497" t="s">
        <v>28408</v>
      </c>
      <c r="I9497" t="s">
        <v>29</v>
      </c>
      <c r="J9497" t="s">
        <v>30</v>
      </c>
      <c r="K9497" t="str">
        <f>"27028"</f>
        <v>27028</v>
      </c>
      <c r="M9497" t="s">
        <v>17861</v>
      </c>
      <c r="N9497" t="str">
        <f>"2/24/2016 3:07:00 PM"</f>
        <v>2/24/2016 3:07:00 PM</v>
      </c>
      <c r="O9497" t="s">
        <v>28407</v>
      </c>
    </row>
    <row r="9498" spans="1:20" x14ac:dyDescent="0.25">
      <c r="A9498" t="str">
        <f>"3057795"</f>
        <v>3057795</v>
      </c>
      <c r="B9498" t="s">
        <v>28409</v>
      </c>
      <c r="C9498" t="str">
        <f>"8304668"</f>
        <v>8304668</v>
      </c>
      <c r="D9498" t="s">
        <v>28410</v>
      </c>
      <c r="E9498" t="s">
        <v>28411</v>
      </c>
      <c r="F9498" t="s">
        <v>28412</v>
      </c>
      <c r="I9498" t="s">
        <v>24359</v>
      </c>
      <c r="J9498" t="s">
        <v>30</v>
      </c>
      <c r="K9498" t="str">
        <f>"27006"</f>
        <v>27006</v>
      </c>
      <c r="M9498" t="s">
        <v>18479</v>
      </c>
      <c r="N9498" t="str">
        <f>"2/24/2016 3:42:00 PM"</f>
        <v>2/24/2016 3:42:00 PM</v>
      </c>
      <c r="O9498" t="s">
        <v>28410</v>
      </c>
      <c r="T9498" t="s">
        <v>28411</v>
      </c>
    </row>
    <row r="9499" spans="1:20" x14ac:dyDescent="0.25">
      <c r="A9499" t="str">
        <f>"3040002"</f>
        <v>3040002</v>
      </c>
      <c r="B9499" t="s">
        <v>28413</v>
      </c>
      <c r="C9499" t="str">
        <f>"8304078"</f>
        <v>8304078</v>
      </c>
      <c r="D9499" t="s">
        <v>28386</v>
      </c>
      <c r="F9499" t="s">
        <v>21530</v>
      </c>
      <c r="I9499" t="s">
        <v>29</v>
      </c>
      <c r="J9499" t="s">
        <v>30</v>
      </c>
      <c r="K9499" t="str">
        <f>"27028"</f>
        <v>27028</v>
      </c>
      <c r="M9499" t="s">
        <v>27053</v>
      </c>
      <c r="N9499" t="str">
        <f>"2/8/2016 10:42:00 AM"</f>
        <v>2/8/2016 10:42:00 AM</v>
      </c>
      <c r="O9499" t="s">
        <v>28387</v>
      </c>
    </row>
    <row r="9500" spans="1:20" x14ac:dyDescent="0.25">
      <c r="A9500" t="str">
        <f>"3049706"</f>
        <v>3049706</v>
      </c>
      <c r="B9500" t="s">
        <v>28414</v>
      </c>
      <c r="C9500" t="str">
        <f>"8305933"</f>
        <v>8305933</v>
      </c>
      <c r="D9500" t="s">
        <v>28415</v>
      </c>
      <c r="E9500" t="s">
        <v>28416</v>
      </c>
      <c r="F9500" t="s">
        <v>28417</v>
      </c>
      <c r="I9500" t="s">
        <v>28418</v>
      </c>
      <c r="J9500" t="s">
        <v>28419</v>
      </c>
      <c r="K9500" t="s">
        <v>28420</v>
      </c>
      <c r="M9500" t="s">
        <v>17861</v>
      </c>
      <c r="N9500" t="str">
        <f>"2/8/2016 10:57:00 AM"</f>
        <v>2/8/2016 10:57:00 AM</v>
      </c>
      <c r="O9500" t="s">
        <v>28415</v>
      </c>
      <c r="T9500" t="s">
        <v>28416</v>
      </c>
    </row>
    <row r="9501" spans="1:20" x14ac:dyDescent="0.25">
      <c r="A9501" t="str">
        <f>"3052624"</f>
        <v>3052624</v>
      </c>
      <c r="B9501" t="s">
        <v>28421</v>
      </c>
      <c r="C9501" t="str">
        <f>"8302151"</f>
        <v>8302151</v>
      </c>
      <c r="D9501" t="s">
        <v>28422</v>
      </c>
      <c r="F9501" t="s">
        <v>28423</v>
      </c>
      <c r="I9501" t="s">
        <v>28424</v>
      </c>
      <c r="J9501" t="s">
        <v>28425</v>
      </c>
      <c r="K9501" t="str">
        <f>"89460"</f>
        <v>89460</v>
      </c>
      <c r="M9501" t="s">
        <v>20405</v>
      </c>
      <c r="N9501" t="str">
        <f>"2/8/2016 11:48:00 AM"</f>
        <v>2/8/2016 11:48:00 AM</v>
      </c>
      <c r="O9501" t="s">
        <v>28422</v>
      </c>
    </row>
    <row r="9502" spans="1:20" x14ac:dyDescent="0.25">
      <c r="A9502" t="str">
        <f>"3050209"</f>
        <v>3050209</v>
      </c>
      <c r="B9502" t="s">
        <v>28426</v>
      </c>
      <c r="C9502" t="str">
        <f>"8305935"</f>
        <v>8305935</v>
      </c>
      <c r="D9502" t="s">
        <v>21843</v>
      </c>
      <c r="F9502" t="s">
        <v>21844</v>
      </c>
      <c r="I9502" t="s">
        <v>29</v>
      </c>
      <c r="J9502" t="s">
        <v>30</v>
      </c>
      <c r="K9502" t="str">
        <f>"27028"</f>
        <v>27028</v>
      </c>
      <c r="M9502" t="s">
        <v>17861</v>
      </c>
      <c r="N9502" t="str">
        <f>"2/8/2016 12:40:00 PM"</f>
        <v>2/8/2016 12:40:00 PM</v>
      </c>
      <c r="O9502" t="s">
        <v>21843</v>
      </c>
    </row>
    <row r="9503" spans="1:20" x14ac:dyDescent="0.25">
      <c r="A9503" t="str">
        <f>"3039254"</f>
        <v>3039254</v>
      </c>
      <c r="B9503" t="s">
        <v>28427</v>
      </c>
      <c r="C9503" t="str">
        <f>"82521221"</f>
        <v>82521221</v>
      </c>
      <c r="D9503" t="s">
        <v>28302</v>
      </c>
      <c r="F9503" t="s">
        <v>28303</v>
      </c>
      <c r="I9503" t="s">
        <v>29</v>
      </c>
      <c r="J9503" t="s">
        <v>30</v>
      </c>
      <c r="K9503" t="s">
        <v>31</v>
      </c>
      <c r="M9503" t="s">
        <v>25625</v>
      </c>
      <c r="N9503" t="str">
        <f>"2/19/2016 11:21:00 AM"</f>
        <v>2/19/2016 11:21:00 AM</v>
      </c>
      <c r="O9503" t="s">
        <v>28302</v>
      </c>
    </row>
    <row r="9504" spans="1:20" x14ac:dyDescent="0.25">
      <c r="A9504" t="str">
        <f>"3048639"</f>
        <v>3048639</v>
      </c>
      <c r="B9504" t="s">
        <v>28428</v>
      </c>
      <c r="C9504" t="str">
        <f>"68022000"</f>
        <v>68022000</v>
      </c>
      <c r="D9504" t="s">
        <v>28429</v>
      </c>
      <c r="E9504" t="s">
        <v>28430</v>
      </c>
      <c r="F9504" t="s">
        <v>28431</v>
      </c>
      <c r="I9504" t="s">
        <v>29</v>
      </c>
      <c r="J9504" t="s">
        <v>30</v>
      </c>
      <c r="K9504" t="s">
        <v>31</v>
      </c>
      <c r="M9504" t="s">
        <v>25733</v>
      </c>
      <c r="N9504" t="str">
        <f>"2/19/2016 11:52:00 AM"</f>
        <v>2/19/2016 11:52:00 AM</v>
      </c>
      <c r="O9504" t="s">
        <v>28429</v>
      </c>
      <c r="T9504" t="s">
        <v>28430</v>
      </c>
    </row>
    <row r="9505" spans="1:20" x14ac:dyDescent="0.25">
      <c r="A9505" t="str">
        <f>"3069625"</f>
        <v>3069625</v>
      </c>
      <c r="B9505" t="s">
        <v>28432</v>
      </c>
      <c r="C9505" t="str">
        <f>"558000"</f>
        <v>558000</v>
      </c>
      <c r="D9505" t="s">
        <v>28433</v>
      </c>
      <c r="E9505" t="s">
        <v>28434</v>
      </c>
      <c r="F9505" t="s">
        <v>28435</v>
      </c>
      <c r="I9505" t="s">
        <v>184</v>
      </c>
      <c r="J9505" t="s">
        <v>30</v>
      </c>
      <c r="K9505" t="s">
        <v>185</v>
      </c>
      <c r="M9505" t="s">
        <v>18479</v>
      </c>
      <c r="N9505" t="str">
        <f>"2/29/2016 10:34:00 AM"</f>
        <v>2/29/2016 10:34:00 AM</v>
      </c>
      <c r="O9505" t="s">
        <v>28433</v>
      </c>
      <c r="T9505" t="s">
        <v>28434</v>
      </c>
    </row>
    <row r="9506" spans="1:20" x14ac:dyDescent="0.25">
      <c r="A9506" t="str">
        <f>"3050871"</f>
        <v>3050871</v>
      </c>
      <c r="B9506" t="s">
        <v>28436</v>
      </c>
      <c r="C9506" t="str">
        <f>"558000"</f>
        <v>558000</v>
      </c>
      <c r="D9506" t="s">
        <v>28433</v>
      </c>
      <c r="E9506" t="s">
        <v>28434</v>
      </c>
      <c r="F9506" t="s">
        <v>28435</v>
      </c>
      <c r="I9506" t="s">
        <v>184</v>
      </c>
      <c r="J9506" t="s">
        <v>30</v>
      </c>
      <c r="K9506" t="s">
        <v>185</v>
      </c>
      <c r="M9506" t="s">
        <v>18479</v>
      </c>
      <c r="N9506" t="str">
        <f>"2/29/2016 10:34:00 AM"</f>
        <v>2/29/2016 10:34:00 AM</v>
      </c>
      <c r="O9506" t="s">
        <v>28433</v>
      </c>
      <c r="T9506" t="s">
        <v>28434</v>
      </c>
    </row>
    <row r="9507" spans="1:20" x14ac:dyDescent="0.25">
      <c r="A9507" t="str">
        <f>"3059256"</f>
        <v>3059256</v>
      </c>
      <c r="B9507" t="s">
        <v>28437</v>
      </c>
      <c r="C9507" t="str">
        <f>"8306003"</f>
        <v>8306003</v>
      </c>
      <c r="D9507" t="s">
        <v>28438</v>
      </c>
      <c r="E9507" t="str">
        <f>"HOWARD JERRY H/PALMA S TRSTEE"</f>
        <v>HOWARD JERRY H/PALMA S TRSTEE</v>
      </c>
      <c r="F9507" t="s">
        <v>28439</v>
      </c>
      <c r="I9507" t="s">
        <v>29</v>
      </c>
      <c r="J9507" t="s">
        <v>30</v>
      </c>
      <c r="K9507" t="str">
        <f>"27028"</f>
        <v>27028</v>
      </c>
      <c r="M9507" t="s">
        <v>17861</v>
      </c>
      <c r="N9507" t="str">
        <f>"2/19/2016 1:05:00 PM"</f>
        <v>2/19/2016 1:05:00 PM</v>
      </c>
      <c r="O9507" t="s">
        <v>28438</v>
      </c>
      <c r="T9507" t="str">
        <f>"HOWARD JERRY  H/PALMA S TRSTEE"</f>
        <v>HOWARD JERRY  H/PALMA S TRSTEE</v>
      </c>
    </row>
    <row r="9508" spans="1:20" x14ac:dyDescent="0.25">
      <c r="A9508" t="str">
        <f>"3052485"</f>
        <v>3052485</v>
      </c>
      <c r="B9508" t="s">
        <v>28440</v>
      </c>
      <c r="C9508" t="str">
        <f>"952250"</f>
        <v>952250</v>
      </c>
      <c r="D9508" t="s">
        <v>28441</v>
      </c>
      <c r="E9508" t="s">
        <v>28442</v>
      </c>
      <c r="F9508" t="s">
        <v>28443</v>
      </c>
      <c r="I9508" t="s">
        <v>29</v>
      </c>
      <c r="J9508" t="s">
        <v>30</v>
      </c>
      <c r="K9508" t="s">
        <v>31</v>
      </c>
      <c r="M9508" t="s">
        <v>18479</v>
      </c>
      <c r="N9508" t="str">
        <f>"2/29/2016 11:23:00 AM"</f>
        <v>2/29/2016 11:23:00 AM</v>
      </c>
      <c r="O9508" t="s">
        <v>28441</v>
      </c>
      <c r="T9508" t="s">
        <v>28442</v>
      </c>
    </row>
    <row r="9509" spans="1:20" x14ac:dyDescent="0.25">
      <c r="A9509" t="str">
        <f>"3062796"</f>
        <v>3062796</v>
      </c>
      <c r="B9509" t="s">
        <v>28444</v>
      </c>
      <c r="C9509" t="str">
        <f>"952250"</f>
        <v>952250</v>
      </c>
      <c r="D9509" t="s">
        <v>28441</v>
      </c>
      <c r="E9509" t="s">
        <v>28442</v>
      </c>
      <c r="F9509" t="s">
        <v>28443</v>
      </c>
      <c r="I9509" t="s">
        <v>29</v>
      </c>
      <c r="J9509" t="s">
        <v>30</v>
      </c>
      <c r="K9509" t="s">
        <v>31</v>
      </c>
      <c r="M9509" t="s">
        <v>18479</v>
      </c>
      <c r="N9509" t="str">
        <f>"2/29/2016 11:23:00 AM"</f>
        <v>2/29/2016 11:23:00 AM</v>
      </c>
      <c r="O9509" t="s">
        <v>28441</v>
      </c>
      <c r="T9509" t="s">
        <v>28442</v>
      </c>
    </row>
    <row r="9510" spans="1:20" x14ac:dyDescent="0.25">
      <c r="A9510" t="str">
        <f>"3048835"</f>
        <v>3048835</v>
      </c>
      <c r="B9510" t="s">
        <v>28445</v>
      </c>
      <c r="C9510" t="str">
        <f>"8306065"</f>
        <v>8306065</v>
      </c>
      <c r="D9510" t="s">
        <v>28446</v>
      </c>
      <c r="E9510" t="s">
        <v>28447</v>
      </c>
      <c r="F9510" t="s">
        <v>28448</v>
      </c>
      <c r="I9510" t="s">
        <v>29</v>
      </c>
      <c r="J9510" t="s">
        <v>30</v>
      </c>
      <c r="K9510" t="str">
        <f>"27028"</f>
        <v>27028</v>
      </c>
      <c r="M9510" t="s">
        <v>17861</v>
      </c>
      <c r="N9510" t="str">
        <f>"2/29/2016 1:23:00 PM"</f>
        <v>2/29/2016 1:23:00 PM</v>
      </c>
      <c r="O9510" t="s">
        <v>28446</v>
      </c>
      <c r="T9510" t="s">
        <v>28447</v>
      </c>
    </row>
    <row r="9511" spans="1:20" x14ac:dyDescent="0.25">
      <c r="A9511" t="str">
        <f>"3061532"</f>
        <v>3061532</v>
      </c>
      <c r="B9511" t="s">
        <v>28449</v>
      </c>
      <c r="C9511" t="str">
        <f>"8306005"</f>
        <v>8306005</v>
      </c>
      <c r="D9511" t="s">
        <v>28450</v>
      </c>
      <c r="E9511" t="s">
        <v>28451</v>
      </c>
      <c r="F9511" t="s">
        <v>28452</v>
      </c>
      <c r="I9511" t="s">
        <v>184</v>
      </c>
      <c r="J9511" t="s">
        <v>30</v>
      </c>
      <c r="K9511" t="str">
        <f>"27006"</f>
        <v>27006</v>
      </c>
      <c r="M9511" t="s">
        <v>17861</v>
      </c>
      <c r="N9511" t="str">
        <f>"2/19/2016 2:13:00 PM"</f>
        <v>2/19/2016 2:13:00 PM</v>
      </c>
      <c r="O9511" t="s">
        <v>28450</v>
      </c>
      <c r="T9511" t="s">
        <v>28451</v>
      </c>
    </row>
    <row r="9512" spans="1:20" x14ac:dyDescent="0.25">
      <c r="A9512" t="str">
        <f>"3051874"</f>
        <v>3051874</v>
      </c>
      <c r="B9512" t="s">
        <v>28453</v>
      </c>
      <c r="C9512" t="str">
        <f>"82517370"</f>
        <v>82517370</v>
      </c>
      <c r="D9512" t="s">
        <v>28454</v>
      </c>
      <c r="E9512" t="s">
        <v>28455</v>
      </c>
      <c r="F9512" t="s">
        <v>28456</v>
      </c>
      <c r="I9512" t="s">
        <v>964</v>
      </c>
      <c r="J9512" t="s">
        <v>30</v>
      </c>
      <c r="K9512" t="s">
        <v>28457</v>
      </c>
      <c r="M9512" t="s">
        <v>17861</v>
      </c>
      <c r="N9512" t="str">
        <f>"2/19/2016 2:40:00 PM"</f>
        <v>2/19/2016 2:40:00 PM</v>
      </c>
      <c r="O9512" t="s">
        <v>28454</v>
      </c>
      <c r="T9512" t="s">
        <v>28455</v>
      </c>
    </row>
    <row r="9513" spans="1:20" x14ac:dyDescent="0.25">
      <c r="A9513" t="str">
        <f>"3049486"</f>
        <v>3049486</v>
      </c>
      <c r="B9513" t="s">
        <v>28458</v>
      </c>
      <c r="C9513" t="str">
        <f>"8306069"</f>
        <v>8306069</v>
      </c>
      <c r="D9513" t="s">
        <v>28459</v>
      </c>
      <c r="F9513" t="s">
        <v>28460</v>
      </c>
      <c r="I9513" t="s">
        <v>29</v>
      </c>
      <c r="J9513" t="s">
        <v>30</v>
      </c>
      <c r="K9513" t="str">
        <f>"27028"</f>
        <v>27028</v>
      </c>
      <c r="M9513" t="s">
        <v>17861</v>
      </c>
      <c r="N9513" t="str">
        <f>"2/29/2016 3:56:00 PM"</f>
        <v>2/29/2016 3:56:00 PM</v>
      </c>
      <c r="O9513" t="s">
        <v>28459</v>
      </c>
    </row>
    <row r="9514" spans="1:20" x14ac:dyDescent="0.25">
      <c r="A9514" t="str">
        <f>"3037261"</f>
        <v>3037261</v>
      </c>
      <c r="B9514" t="s">
        <v>28461</v>
      </c>
      <c r="C9514" t="str">
        <f>"8305305"</f>
        <v>8305305</v>
      </c>
      <c r="D9514" t="s">
        <v>28462</v>
      </c>
      <c r="E9514" t="s">
        <v>28463</v>
      </c>
      <c r="F9514" t="s">
        <v>28464</v>
      </c>
      <c r="I9514" t="s">
        <v>184</v>
      </c>
      <c r="J9514" t="s">
        <v>30</v>
      </c>
      <c r="K9514" t="str">
        <f>"27006"</f>
        <v>27006</v>
      </c>
      <c r="M9514" t="s">
        <v>24254</v>
      </c>
      <c r="N9514" t="str">
        <f>"2/22/2016 9:47:00 AM"</f>
        <v>2/22/2016 9:47:00 AM</v>
      </c>
      <c r="O9514" t="s">
        <v>28462</v>
      </c>
      <c r="T9514" t="s">
        <v>28463</v>
      </c>
    </row>
    <row r="9515" spans="1:20" x14ac:dyDescent="0.25">
      <c r="A9515" t="str">
        <f>"3058532"</f>
        <v>3058532</v>
      </c>
      <c r="B9515" t="s">
        <v>28465</v>
      </c>
      <c r="C9515" t="str">
        <f>"8306082"</f>
        <v>8306082</v>
      </c>
      <c r="D9515" t="s">
        <v>28466</v>
      </c>
      <c r="F9515" t="s">
        <v>28467</v>
      </c>
      <c r="I9515" t="s">
        <v>29</v>
      </c>
      <c r="J9515" t="s">
        <v>30</v>
      </c>
      <c r="K9515" t="str">
        <f>"27028"</f>
        <v>27028</v>
      </c>
      <c r="M9515" t="s">
        <v>17861</v>
      </c>
      <c r="N9515" t="str">
        <f>"3/1/2016 10:57:00 AM"</f>
        <v>3/1/2016 10:57:00 AM</v>
      </c>
      <c r="O9515" t="s">
        <v>28466</v>
      </c>
    </row>
    <row r="9516" spans="1:20" x14ac:dyDescent="0.25">
      <c r="A9516" t="str">
        <f>"3042175"</f>
        <v>3042175</v>
      </c>
      <c r="B9516" t="s">
        <v>28468</v>
      </c>
      <c r="C9516" t="str">
        <f>"8306084"</f>
        <v>8306084</v>
      </c>
      <c r="D9516" t="s">
        <v>28469</v>
      </c>
      <c r="F9516" t="s">
        <v>28470</v>
      </c>
      <c r="I9516" t="s">
        <v>471</v>
      </c>
      <c r="J9516" t="s">
        <v>30</v>
      </c>
      <c r="K9516" t="str">
        <f>"27104"</f>
        <v>27104</v>
      </c>
      <c r="M9516" t="s">
        <v>17861</v>
      </c>
      <c r="N9516" t="str">
        <f>"3/2/2016 10:39:00 AM"</f>
        <v>3/2/2016 10:39:00 AM</v>
      </c>
      <c r="O9516" t="s">
        <v>28469</v>
      </c>
    </row>
    <row r="9517" spans="1:20" x14ac:dyDescent="0.25">
      <c r="A9517" t="str">
        <f>"3046931"</f>
        <v>3046931</v>
      </c>
      <c r="B9517" t="s">
        <v>28471</v>
      </c>
      <c r="C9517" t="str">
        <f>"8306085"</f>
        <v>8306085</v>
      </c>
      <c r="D9517" t="s">
        <v>28472</v>
      </c>
      <c r="F9517" t="s">
        <v>28473</v>
      </c>
      <c r="I9517" t="s">
        <v>29</v>
      </c>
      <c r="J9517" t="s">
        <v>30</v>
      </c>
      <c r="K9517" t="str">
        <f>"27028"</f>
        <v>27028</v>
      </c>
      <c r="M9517" t="s">
        <v>17861</v>
      </c>
      <c r="N9517" t="str">
        <f>"3/2/2016 11:48:00 AM"</f>
        <v>3/2/2016 11:48:00 AM</v>
      </c>
      <c r="O9517" t="s">
        <v>28472</v>
      </c>
    </row>
    <row r="9518" spans="1:20" x14ac:dyDescent="0.25">
      <c r="A9518" t="str">
        <f>"3046622"</f>
        <v>3046622</v>
      </c>
      <c r="B9518" t="s">
        <v>28474</v>
      </c>
      <c r="C9518" t="str">
        <f>"8306085"</f>
        <v>8306085</v>
      </c>
      <c r="D9518" t="s">
        <v>28472</v>
      </c>
      <c r="F9518" t="s">
        <v>28473</v>
      </c>
      <c r="I9518" t="s">
        <v>29</v>
      </c>
      <c r="J9518" t="s">
        <v>30</v>
      </c>
      <c r="K9518" t="str">
        <f>"27028"</f>
        <v>27028</v>
      </c>
      <c r="M9518" t="s">
        <v>17861</v>
      </c>
      <c r="N9518" t="str">
        <f>"3/2/2016 11:48:00 AM"</f>
        <v>3/2/2016 11:48:00 AM</v>
      </c>
      <c r="O9518" t="s">
        <v>28472</v>
      </c>
    </row>
    <row r="9519" spans="1:20" x14ac:dyDescent="0.25">
      <c r="A9519" t="str">
        <f>"3046674"</f>
        <v>3046674</v>
      </c>
      <c r="B9519" t="s">
        <v>28475</v>
      </c>
      <c r="C9519" t="str">
        <f>"8306085"</f>
        <v>8306085</v>
      </c>
      <c r="D9519" t="s">
        <v>28472</v>
      </c>
      <c r="F9519" t="s">
        <v>28473</v>
      </c>
      <c r="I9519" t="s">
        <v>29</v>
      </c>
      <c r="J9519" t="s">
        <v>30</v>
      </c>
      <c r="K9519" t="str">
        <f>"27028"</f>
        <v>27028</v>
      </c>
      <c r="M9519" t="s">
        <v>17861</v>
      </c>
      <c r="N9519" t="str">
        <f>"3/2/2016 11:48:00 AM"</f>
        <v>3/2/2016 11:48:00 AM</v>
      </c>
      <c r="O9519" t="s">
        <v>28472</v>
      </c>
    </row>
    <row r="9520" spans="1:20" x14ac:dyDescent="0.25">
      <c r="A9520" t="str">
        <f>"3047253"</f>
        <v>3047253</v>
      </c>
      <c r="B9520" t="s">
        <v>28476</v>
      </c>
      <c r="C9520" t="str">
        <f>"8306085"</f>
        <v>8306085</v>
      </c>
      <c r="D9520" t="s">
        <v>28472</v>
      </c>
      <c r="F9520" t="s">
        <v>28473</v>
      </c>
      <c r="I9520" t="s">
        <v>29</v>
      </c>
      <c r="J9520" t="s">
        <v>30</v>
      </c>
      <c r="K9520" t="str">
        <f>"27028"</f>
        <v>27028</v>
      </c>
      <c r="M9520" t="s">
        <v>17861</v>
      </c>
      <c r="N9520" t="str">
        <f>"3/2/2016 11:48:00 AM"</f>
        <v>3/2/2016 11:48:00 AM</v>
      </c>
      <c r="O9520" t="s">
        <v>28472</v>
      </c>
    </row>
    <row r="9521" spans="1:20" x14ac:dyDescent="0.25">
      <c r="A9521" t="str">
        <f>"3081151"</f>
        <v>3081151</v>
      </c>
      <c r="B9521" t="s">
        <v>28477</v>
      </c>
      <c r="C9521" t="str">
        <f>"8306086"</f>
        <v>8306086</v>
      </c>
      <c r="D9521" t="s">
        <v>28478</v>
      </c>
      <c r="E9521" t="s">
        <v>28479</v>
      </c>
      <c r="F9521" t="s">
        <v>28480</v>
      </c>
      <c r="I9521" t="s">
        <v>184</v>
      </c>
      <c r="J9521" t="s">
        <v>30</v>
      </c>
      <c r="K9521" t="str">
        <f>"27006"</f>
        <v>27006</v>
      </c>
      <c r="M9521" t="s">
        <v>17861</v>
      </c>
      <c r="N9521" t="str">
        <f>"3/2/2016 12:09:00 PM"</f>
        <v>3/2/2016 12:09:00 PM</v>
      </c>
      <c r="O9521" t="s">
        <v>28478</v>
      </c>
      <c r="T9521" t="s">
        <v>28479</v>
      </c>
    </row>
    <row r="9522" spans="1:20" x14ac:dyDescent="0.25">
      <c r="A9522" t="str">
        <f>"3055244"</f>
        <v>3055244</v>
      </c>
      <c r="B9522" t="s">
        <v>28481</v>
      </c>
      <c r="C9522" t="str">
        <f>"82517426"</f>
        <v>82517426</v>
      </c>
      <c r="D9522" t="s">
        <v>28482</v>
      </c>
      <c r="E9522" t="s">
        <v>28483</v>
      </c>
      <c r="F9522" t="s">
        <v>28484</v>
      </c>
      <c r="I9522" t="s">
        <v>29</v>
      </c>
      <c r="J9522" t="s">
        <v>30</v>
      </c>
      <c r="K9522" t="s">
        <v>20316</v>
      </c>
      <c r="M9522" t="s">
        <v>18479</v>
      </c>
      <c r="N9522" t="str">
        <f>"2/22/2016 10:01:00 AM"</f>
        <v>2/22/2016 10:01:00 AM</v>
      </c>
      <c r="O9522" t="s">
        <v>28482</v>
      </c>
      <c r="T9522" t="s">
        <v>28483</v>
      </c>
    </row>
    <row r="9523" spans="1:20" x14ac:dyDescent="0.25">
      <c r="A9523" t="str">
        <f>"3057937"</f>
        <v>3057937</v>
      </c>
      <c r="B9523" t="s">
        <v>28485</v>
      </c>
      <c r="C9523" t="str">
        <f>"8395750"</f>
        <v>8395750</v>
      </c>
      <c r="D9523" t="s">
        <v>28486</v>
      </c>
      <c r="E9523" t="s">
        <v>28487</v>
      </c>
      <c r="F9523" t="s">
        <v>28488</v>
      </c>
      <c r="I9523" t="s">
        <v>184</v>
      </c>
      <c r="J9523" t="s">
        <v>30</v>
      </c>
      <c r="K9523" t="s">
        <v>28489</v>
      </c>
      <c r="M9523" t="s">
        <v>18479</v>
      </c>
      <c r="N9523" t="str">
        <f>"3/3/2016 10:26:00 AM"</f>
        <v>3/3/2016 10:26:00 AM</v>
      </c>
      <c r="O9523" t="s">
        <v>28486</v>
      </c>
      <c r="T9523" t="s">
        <v>28487</v>
      </c>
    </row>
    <row r="9524" spans="1:20" x14ac:dyDescent="0.25">
      <c r="A9524" t="str">
        <f>"3052628"</f>
        <v>3052628</v>
      </c>
      <c r="B9524" t="s">
        <v>28490</v>
      </c>
      <c r="C9524" t="str">
        <f>"8306088"</f>
        <v>8306088</v>
      </c>
      <c r="D9524" t="s">
        <v>28491</v>
      </c>
      <c r="F9524" t="s">
        <v>28492</v>
      </c>
      <c r="I9524" t="s">
        <v>29</v>
      </c>
      <c r="J9524" t="s">
        <v>30</v>
      </c>
      <c r="K9524" t="str">
        <f>"27028"</f>
        <v>27028</v>
      </c>
      <c r="M9524" t="s">
        <v>17861</v>
      </c>
      <c r="N9524" t="str">
        <f>"3/3/2016 2:30:00 PM"</f>
        <v>3/3/2016 2:30:00 PM</v>
      </c>
      <c r="O9524" t="s">
        <v>28491</v>
      </c>
    </row>
    <row r="9525" spans="1:20" x14ac:dyDescent="0.25">
      <c r="A9525" t="str">
        <f>"3045125"</f>
        <v>3045125</v>
      </c>
      <c r="B9525" t="s">
        <v>28493</v>
      </c>
      <c r="C9525" t="str">
        <f>"8306016"</f>
        <v>8306016</v>
      </c>
      <c r="D9525" t="s">
        <v>17375</v>
      </c>
      <c r="E9525" t="s">
        <v>28494</v>
      </c>
      <c r="F9525" t="s">
        <v>7827</v>
      </c>
      <c r="I9525" t="s">
        <v>29</v>
      </c>
      <c r="J9525" t="s">
        <v>30</v>
      </c>
      <c r="K9525" t="str">
        <f>"27028"</f>
        <v>27028</v>
      </c>
      <c r="M9525" t="s">
        <v>17861</v>
      </c>
      <c r="N9525" t="str">
        <f>"2/22/2016 10:35:00 AM"</f>
        <v>2/22/2016 10:35:00 AM</v>
      </c>
      <c r="O9525" t="s">
        <v>17375</v>
      </c>
      <c r="T9525" t="s">
        <v>28494</v>
      </c>
    </row>
    <row r="9526" spans="1:20" x14ac:dyDescent="0.25">
      <c r="A9526" t="str">
        <f>"3043440"</f>
        <v>3043440</v>
      </c>
      <c r="B9526" t="s">
        <v>28495</v>
      </c>
      <c r="C9526" t="str">
        <f>"77890000"</f>
        <v>77890000</v>
      </c>
      <c r="D9526" t="s">
        <v>28496</v>
      </c>
      <c r="F9526" t="s">
        <v>28497</v>
      </c>
      <c r="I9526" t="s">
        <v>29</v>
      </c>
      <c r="J9526" t="s">
        <v>30</v>
      </c>
      <c r="K9526" t="s">
        <v>31</v>
      </c>
      <c r="M9526" t="s">
        <v>25733</v>
      </c>
      <c r="N9526" t="str">
        <f>"3/4/2016 10:09:00 AM"</f>
        <v>3/4/2016 10:09:00 AM</v>
      </c>
      <c r="O9526" t="s">
        <v>28496</v>
      </c>
    </row>
    <row r="9527" spans="1:20" x14ac:dyDescent="0.25">
      <c r="A9527" t="str">
        <f>"3070545"</f>
        <v>3070545</v>
      </c>
      <c r="B9527" t="s">
        <v>28498</v>
      </c>
      <c r="C9527" t="str">
        <f>"8306017"</f>
        <v>8306017</v>
      </c>
      <c r="D9527" t="s">
        <v>28499</v>
      </c>
      <c r="E9527" t="s">
        <v>28500</v>
      </c>
      <c r="F9527" t="s">
        <v>28501</v>
      </c>
      <c r="I9527" t="s">
        <v>29</v>
      </c>
      <c r="J9527" t="s">
        <v>30</v>
      </c>
      <c r="K9527" t="str">
        <f>"27028"</f>
        <v>27028</v>
      </c>
      <c r="M9527" t="s">
        <v>17861</v>
      </c>
      <c r="N9527" t="str">
        <f>"2/22/2016 10:42:00 AM"</f>
        <v>2/22/2016 10:42:00 AM</v>
      </c>
      <c r="O9527" t="s">
        <v>28499</v>
      </c>
      <c r="T9527" t="s">
        <v>28500</v>
      </c>
    </row>
    <row r="9528" spans="1:20" x14ac:dyDescent="0.25">
      <c r="A9528" t="str">
        <f>"3070657"</f>
        <v>3070657</v>
      </c>
      <c r="B9528" t="s">
        <v>28502</v>
      </c>
      <c r="C9528" t="str">
        <f>"8301747"</f>
        <v>8301747</v>
      </c>
      <c r="D9528" t="s">
        <v>28503</v>
      </c>
      <c r="E9528" t="s">
        <v>28504</v>
      </c>
      <c r="F9528" t="s">
        <v>28505</v>
      </c>
      <c r="I9528" t="s">
        <v>2280</v>
      </c>
      <c r="J9528" t="s">
        <v>30</v>
      </c>
      <c r="K9528" t="str">
        <f>"27292"</f>
        <v>27292</v>
      </c>
      <c r="M9528" t="s">
        <v>25625</v>
      </c>
      <c r="N9528" t="str">
        <f>"2/22/2016 10:54:00 AM"</f>
        <v>2/22/2016 10:54:00 AM</v>
      </c>
      <c r="O9528" t="s">
        <v>28503</v>
      </c>
      <c r="T9528" t="s">
        <v>28504</v>
      </c>
    </row>
    <row r="9529" spans="1:20" x14ac:dyDescent="0.25">
      <c r="A9529" t="str">
        <f>"3059637"</f>
        <v>3059637</v>
      </c>
      <c r="B9529" t="s">
        <v>28506</v>
      </c>
      <c r="C9529" t="str">
        <f>"8306101"</f>
        <v>8306101</v>
      </c>
      <c r="D9529" t="s">
        <v>28507</v>
      </c>
      <c r="F9529" t="s">
        <v>28508</v>
      </c>
      <c r="I9529" t="s">
        <v>29</v>
      </c>
      <c r="J9529" t="s">
        <v>30</v>
      </c>
      <c r="K9529" t="str">
        <f>"27028"</f>
        <v>27028</v>
      </c>
      <c r="M9529" t="s">
        <v>17861</v>
      </c>
      <c r="N9529" t="str">
        <f>"3/8/2016 10:47:00 AM"</f>
        <v>3/8/2016 10:47:00 AM</v>
      </c>
      <c r="O9529" t="s">
        <v>28507</v>
      </c>
    </row>
    <row r="9530" spans="1:20" x14ac:dyDescent="0.25">
      <c r="A9530" t="str">
        <f>"3058131"</f>
        <v>3058131</v>
      </c>
      <c r="B9530" t="s">
        <v>28509</v>
      </c>
      <c r="C9530" t="str">
        <f>"8306103"</f>
        <v>8306103</v>
      </c>
      <c r="D9530" t="s">
        <v>28510</v>
      </c>
      <c r="E9530" t="s">
        <v>28511</v>
      </c>
      <c r="F9530" t="s">
        <v>28512</v>
      </c>
      <c r="I9530" t="s">
        <v>29</v>
      </c>
      <c r="J9530" t="s">
        <v>30</v>
      </c>
      <c r="K9530" t="str">
        <f>"27028"</f>
        <v>27028</v>
      </c>
      <c r="M9530" t="s">
        <v>17861</v>
      </c>
      <c r="N9530" t="str">
        <f>"3/8/2016 10:53:00 AM"</f>
        <v>3/8/2016 10:53:00 AM</v>
      </c>
      <c r="O9530" t="s">
        <v>28510</v>
      </c>
      <c r="T9530" t="s">
        <v>28511</v>
      </c>
    </row>
    <row r="9531" spans="1:20" x14ac:dyDescent="0.25">
      <c r="A9531" t="str">
        <f>"3044363"</f>
        <v>3044363</v>
      </c>
      <c r="B9531" t="s">
        <v>28513</v>
      </c>
      <c r="C9531" t="str">
        <f>"8306104"</f>
        <v>8306104</v>
      </c>
      <c r="D9531" t="s">
        <v>28514</v>
      </c>
      <c r="E9531" t="s">
        <v>28515</v>
      </c>
      <c r="F9531" t="s">
        <v>28516</v>
      </c>
      <c r="I9531" t="s">
        <v>184</v>
      </c>
      <c r="J9531" t="s">
        <v>30</v>
      </c>
      <c r="K9531" t="str">
        <f>"27006"</f>
        <v>27006</v>
      </c>
      <c r="M9531" t="s">
        <v>17861</v>
      </c>
      <c r="N9531" t="str">
        <f>"3/8/2016 11:17:00 AM"</f>
        <v>3/8/2016 11:17:00 AM</v>
      </c>
      <c r="O9531" t="s">
        <v>28514</v>
      </c>
      <c r="T9531" t="s">
        <v>28515</v>
      </c>
    </row>
    <row r="9532" spans="1:20" x14ac:dyDescent="0.25">
      <c r="A9532" t="str">
        <f>"3043447"</f>
        <v>3043447</v>
      </c>
      <c r="B9532" t="s">
        <v>28517</v>
      </c>
      <c r="C9532" t="str">
        <f>"8306024"</f>
        <v>8306024</v>
      </c>
      <c r="D9532" t="s">
        <v>28518</v>
      </c>
      <c r="E9532" t="s">
        <v>28519</v>
      </c>
      <c r="F9532" t="s">
        <v>28520</v>
      </c>
      <c r="I9532" t="s">
        <v>29</v>
      </c>
      <c r="J9532" t="s">
        <v>30</v>
      </c>
      <c r="K9532" t="str">
        <f>"27028"</f>
        <v>27028</v>
      </c>
      <c r="M9532" t="s">
        <v>17861</v>
      </c>
      <c r="N9532" t="str">
        <f>"2/22/2016 2:20:00 PM"</f>
        <v>2/22/2016 2:20:00 PM</v>
      </c>
      <c r="O9532" t="s">
        <v>28518</v>
      </c>
      <c r="T9532" t="s">
        <v>28519</v>
      </c>
    </row>
    <row r="9533" spans="1:20" x14ac:dyDescent="0.25">
      <c r="A9533" t="str">
        <f>"3038737"</f>
        <v>3038737</v>
      </c>
      <c r="B9533" t="s">
        <v>28521</v>
      </c>
      <c r="C9533" t="str">
        <f>"3660000"</f>
        <v>3660000</v>
      </c>
      <c r="D9533" t="s">
        <v>28522</v>
      </c>
      <c r="F9533" t="s">
        <v>24466</v>
      </c>
      <c r="I9533" t="s">
        <v>29</v>
      </c>
      <c r="J9533" t="s">
        <v>30</v>
      </c>
      <c r="K9533" t="s">
        <v>21362</v>
      </c>
      <c r="M9533" t="s">
        <v>18479</v>
      </c>
      <c r="N9533" t="str">
        <f>"3/9/2016 9:32:00 AM"</f>
        <v>3/9/2016 9:32:00 AM</v>
      </c>
      <c r="O9533" t="s">
        <v>28522</v>
      </c>
      <c r="T9533" t="s">
        <v>28522</v>
      </c>
    </row>
    <row r="9534" spans="1:20" x14ac:dyDescent="0.25">
      <c r="A9534" t="str">
        <f>"3037910"</f>
        <v>3037910</v>
      </c>
      <c r="B9534" t="s">
        <v>28523</v>
      </c>
      <c r="C9534" t="str">
        <f>"3660000"</f>
        <v>3660000</v>
      </c>
      <c r="D9534" t="s">
        <v>28522</v>
      </c>
      <c r="F9534" t="s">
        <v>24466</v>
      </c>
      <c r="I9534" t="s">
        <v>29</v>
      </c>
      <c r="J9534" t="s">
        <v>30</v>
      </c>
      <c r="K9534" t="s">
        <v>21362</v>
      </c>
      <c r="M9534" t="s">
        <v>18479</v>
      </c>
      <c r="N9534" t="str">
        <f>"3/9/2016 9:32:00 AM"</f>
        <v>3/9/2016 9:32:00 AM</v>
      </c>
      <c r="O9534" t="s">
        <v>28522</v>
      </c>
      <c r="T9534" t="s">
        <v>28522</v>
      </c>
    </row>
    <row r="9535" spans="1:20" x14ac:dyDescent="0.25">
      <c r="A9535" t="str">
        <f>"3048049"</f>
        <v>3048049</v>
      </c>
      <c r="B9535" t="s">
        <v>28524</v>
      </c>
      <c r="C9535" t="str">
        <f>"11792000"</f>
        <v>11792000</v>
      </c>
      <c r="D9535" t="s">
        <v>19020</v>
      </c>
      <c r="E9535" t="s">
        <v>28525</v>
      </c>
      <c r="F9535" t="s">
        <v>19021</v>
      </c>
      <c r="I9535" t="s">
        <v>184</v>
      </c>
      <c r="J9535" t="s">
        <v>30</v>
      </c>
      <c r="K9535" t="s">
        <v>28526</v>
      </c>
      <c r="M9535" t="s">
        <v>18479</v>
      </c>
      <c r="N9535" t="str">
        <f>"3/9/2016 9:55:00 AM"</f>
        <v>3/9/2016 9:55:00 AM</v>
      </c>
      <c r="O9535" t="s">
        <v>19020</v>
      </c>
      <c r="T9535" t="s">
        <v>28525</v>
      </c>
    </row>
    <row r="9536" spans="1:20" x14ac:dyDescent="0.25">
      <c r="A9536" t="str">
        <f>"3048192"</f>
        <v>3048192</v>
      </c>
      <c r="B9536" t="s">
        <v>28527</v>
      </c>
      <c r="C9536" t="str">
        <f>"8306109"</f>
        <v>8306109</v>
      </c>
      <c r="D9536" t="s">
        <v>28528</v>
      </c>
      <c r="F9536" t="s">
        <v>28529</v>
      </c>
      <c r="I9536" t="s">
        <v>29</v>
      </c>
      <c r="J9536" t="s">
        <v>30</v>
      </c>
      <c r="K9536" t="str">
        <f>"27028"</f>
        <v>27028</v>
      </c>
      <c r="M9536" t="s">
        <v>17861</v>
      </c>
      <c r="N9536" t="str">
        <f>"3/9/2016 11:25:00 AM"</f>
        <v>3/9/2016 11:25:00 AM</v>
      </c>
      <c r="O9536" t="s">
        <v>28528</v>
      </c>
    </row>
    <row r="9537" spans="1:20" x14ac:dyDescent="0.25">
      <c r="A9537" t="str">
        <f>"3060648"</f>
        <v>3060648</v>
      </c>
      <c r="B9537" t="s">
        <v>28530</v>
      </c>
      <c r="C9537" t="str">
        <f>"8305201"</f>
        <v>8305201</v>
      </c>
      <c r="D9537" t="s">
        <v>28531</v>
      </c>
      <c r="F9537" t="s">
        <v>18671</v>
      </c>
      <c r="I9537" t="s">
        <v>9824</v>
      </c>
      <c r="J9537" t="s">
        <v>30</v>
      </c>
      <c r="K9537" t="str">
        <f>"28613"</f>
        <v>28613</v>
      </c>
      <c r="M9537" t="s">
        <v>18479</v>
      </c>
      <c r="N9537" t="str">
        <f>"3/9/2016 2:32:00 PM"</f>
        <v>3/9/2016 2:32:00 PM</v>
      </c>
      <c r="O9537" t="s">
        <v>28531</v>
      </c>
    </row>
    <row r="9538" spans="1:20" x14ac:dyDescent="0.25">
      <c r="A9538" t="str">
        <f>"3046000"</f>
        <v>3046000</v>
      </c>
      <c r="B9538" t="s">
        <v>28532</v>
      </c>
      <c r="C9538" t="str">
        <f>"7996000"</f>
        <v>7996000</v>
      </c>
      <c r="D9538" t="s">
        <v>28533</v>
      </c>
      <c r="E9538" t="s">
        <v>28534</v>
      </c>
      <c r="F9538" t="s">
        <v>28535</v>
      </c>
      <c r="I9538" t="s">
        <v>29</v>
      </c>
      <c r="J9538" t="s">
        <v>30</v>
      </c>
      <c r="K9538" t="s">
        <v>28536</v>
      </c>
      <c r="M9538" t="s">
        <v>18479</v>
      </c>
      <c r="N9538" t="str">
        <f>"3/9/2016 2:41:00 PM"</f>
        <v>3/9/2016 2:41:00 PM</v>
      </c>
      <c r="O9538" t="s">
        <v>28533</v>
      </c>
      <c r="T9538" t="s">
        <v>28534</v>
      </c>
    </row>
    <row r="9539" spans="1:20" x14ac:dyDescent="0.25">
      <c r="A9539" t="str">
        <f>"3046072"</f>
        <v>3046072</v>
      </c>
      <c r="B9539" t="s">
        <v>28537</v>
      </c>
      <c r="C9539" t="str">
        <f>"7996000"</f>
        <v>7996000</v>
      </c>
      <c r="D9539" t="s">
        <v>28533</v>
      </c>
      <c r="E9539" t="s">
        <v>28534</v>
      </c>
      <c r="F9539" t="s">
        <v>28535</v>
      </c>
      <c r="I9539" t="s">
        <v>29</v>
      </c>
      <c r="J9539" t="s">
        <v>30</v>
      </c>
      <c r="K9539" t="s">
        <v>28536</v>
      </c>
      <c r="M9539" t="s">
        <v>18479</v>
      </c>
      <c r="N9539" t="str">
        <f>"3/9/2016 2:41:00 PM"</f>
        <v>3/9/2016 2:41:00 PM</v>
      </c>
      <c r="O9539" t="s">
        <v>28533</v>
      </c>
      <c r="T9539" t="s">
        <v>28534</v>
      </c>
    </row>
    <row r="9540" spans="1:20" x14ac:dyDescent="0.25">
      <c r="A9540" t="str">
        <f>"3049333"</f>
        <v>3049333</v>
      </c>
      <c r="B9540" t="s">
        <v>28538</v>
      </c>
      <c r="C9540" t="str">
        <f>"8306115"</f>
        <v>8306115</v>
      </c>
      <c r="D9540" t="s">
        <v>28539</v>
      </c>
      <c r="F9540" t="s">
        <v>11542</v>
      </c>
      <c r="I9540" t="s">
        <v>29</v>
      </c>
      <c r="J9540" t="s">
        <v>30</v>
      </c>
      <c r="K9540" t="str">
        <f>"27028"</f>
        <v>27028</v>
      </c>
      <c r="M9540" t="s">
        <v>17861</v>
      </c>
      <c r="N9540" t="str">
        <f>"3/10/2016 4:24:00 PM"</f>
        <v>3/10/2016 4:24:00 PM</v>
      </c>
      <c r="O9540" t="s">
        <v>28539</v>
      </c>
    </row>
    <row r="9541" spans="1:20" x14ac:dyDescent="0.25">
      <c r="A9541" t="str">
        <f>"3059391"</f>
        <v>3059391</v>
      </c>
      <c r="B9541" t="s">
        <v>28540</v>
      </c>
      <c r="C9541" t="str">
        <f>"8306025"</f>
        <v>8306025</v>
      </c>
      <c r="D9541" t="s">
        <v>28118</v>
      </c>
      <c r="F9541" t="s">
        <v>28541</v>
      </c>
      <c r="I9541" t="s">
        <v>29</v>
      </c>
      <c r="J9541" t="s">
        <v>30</v>
      </c>
      <c r="K9541" t="str">
        <f>"27028"</f>
        <v>27028</v>
      </c>
      <c r="M9541" t="s">
        <v>17861</v>
      </c>
      <c r="N9541" t="str">
        <f>"2/22/2016 2:24:00 PM"</f>
        <v>2/22/2016 2:24:00 PM</v>
      </c>
      <c r="O9541" t="s">
        <v>28118</v>
      </c>
    </row>
    <row r="9542" spans="1:20" x14ac:dyDescent="0.25">
      <c r="A9542" t="str">
        <f>"3061420"</f>
        <v>3061420</v>
      </c>
      <c r="B9542" t="s">
        <v>28542</v>
      </c>
      <c r="C9542" t="str">
        <f>"8306030"</f>
        <v>8306030</v>
      </c>
      <c r="D9542" t="s">
        <v>28543</v>
      </c>
      <c r="E9542" t="s">
        <v>28544</v>
      </c>
      <c r="F9542" t="s">
        <v>28545</v>
      </c>
      <c r="I9542" t="s">
        <v>184</v>
      </c>
      <c r="J9542" t="s">
        <v>30</v>
      </c>
      <c r="K9542" t="str">
        <f>"27006"</f>
        <v>27006</v>
      </c>
      <c r="M9542" t="s">
        <v>17861</v>
      </c>
      <c r="N9542" t="str">
        <f>"2/22/2016 3:05:00 PM"</f>
        <v>2/22/2016 3:05:00 PM</v>
      </c>
      <c r="O9542" t="s">
        <v>28543</v>
      </c>
      <c r="T9542" t="s">
        <v>28544</v>
      </c>
    </row>
    <row r="9543" spans="1:20" x14ac:dyDescent="0.25">
      <c r="A9543" t="str">
        <f>"3050249"</f>
        <v>3050249</v>
      </c>
      <c r="B9543" t="s">
        <v>28546</v>
      </c>
      <c r="C9543" t="str">
        <f>"8306035"</f>
        <v>8306035</v>
      </c>
      <c r="D9543" t="s">
        <v>28547</v>
      </c>
      <c r="E9543" t="s">
        <v>28548</v>
      </c>
      <c r="F9543" t="s">
        <v>28549</v>
      </c>
      <c r="I9543" t="s">
        <v>29</v>
      </c>
      <c r="J9543" t="s">
        <v>30</v>
      </c>
      <c r="K9543" t="str">
        <f>"27028"</f>
        <v>27028</v>
      </c>
      <c r="M9543" t="s">
        <v>17861</v>
      </c>
      <c r="N9543" t="str">
        <f>"2/23/2016 2:12:00 PM"</f>
        <v>2/23/2016 2:12:00 PM</v>
      </c>
      <c r="O9543" t="s">
        <v>28547</v>
      </c>
      <c r="T9543" t="s">
        <v>28548</v>
      </c>
    </row>
    <row r="9544" spans="1:20" x14ac:dyDescent="0.25">
      <c r="A9544" t="str">
        <f>"3052410"</f>
        <v>3052410</v>
      </c>
      <c r="B9544" t="s">
        <v>28550</v>
      </c>
      <c r="C9544" t="str">
        <f>"82524080"</f>
        <v>82524080</v>
      </c>
      <c r="D9544" t="s">
        <v>28551</v>
      </c>
      <c r="F9544" t="s">
        <v>28552</v>
      </c>
      <c r="I9544" t="s">
        <v>29</v>
      </c>
      <c r="J9544" t="s">
        <v>30</v>
      </c>
      <c r="K9544" t="s">
        <v>31</v>
      </c>
      <c r="M9544" t="s">
        <v>17861</v>
      </c>
      <c r="N9544" t="str">
        <f>"2/23/2016 4:06:00 PM"</f>
        <v>2/23/2016 4:06:00 PM</v>
      </c>
      <c r="O9544" t="s">
        <v>28551</v>
      </c>
    </row>
    <row r="9545" spans="1:20" x14ac:dyDescent="0.25">
      <c r="A9545" t="str">
        <f>"3041511"</f>
        <v>3041511</v>
      </c>
      <c r="B9545" t="s">
        <v>28553</v>
      </c>
      <c r="C9545" t="str">
        <f>"8306056"</f>
        <v>8306056</v>
      </c>
      <c r="D9545" t="s">
        <v>28554</v>
      </c>
      <c r="E9545" t="s">
        <v>28555</v>
      </c>
      <c r="F9545" t="s">
        <v>28556</v>
      </c>
      <c r="I9545" t="s">
        <v>2071</v>
      </c>
      <c r="J9545" t="s">
        <v>30</v>
      </c>
      <c r="K9545" t="str">
        <f>"27006"</f>
        <v>27006</v>
      </c>
      <c r="M9545" t="s">
        <v>17861</v>
      </c>
      <c r="N9545" t="str">
        <f>"2/24/2016 1:10:00 PM"</f>
        <v>2/24/2016 1:10:00 PM</v>
      </c>
      <c r="O9545" t="s">
        <v>28554</v>
      </c>
      <c r="T9545" t="s">
        <v>28555</v>
      </c>
    </row>
    <row r="9546" spans="1:20" x14ac:dyDescent="0.25">
      <c r="A9546" t="str">
        <f>"3058862"</f>
        <v>3058862</v>
      </c>
      <c r="B9546" t="s">
        <v>28557</v>
      </c>
      <c r="C9546" t="str">
        <f>"8306058"</f>
        <v>8306058</v>
      </c>
      <c r="D9546" t="s">
        <v>28558</v>
      </c>
      <c r="E9546" t="s">
        <v>28559</v>
      </c>
      <c r="F9546" t="s">
        <v>28560</v>
      </c>
      <c r="I9546" t="s">
        <v>29</v>
      </c>
      <c r="J9546" t="s">
        <v>30</v>
      </c>
      <c r="K9546" t="str">
        <f>"27028"</f>
        <v>27028</v>
      </c>
      <c r="M9546" t="s">
        <v>17861</v>
      </c>
      <c r="N9546" t="str">
        <f>"2/24/2016 1:19:00 PM"</f>
        <v>2/24/2016 1:19:00 PM</v>
      </c>
      <c r="O9546" t="s">
        <v>28558</v>
      </c>
      <c r="T9546" t="s">
        <v>28559</v>
      </c>
    </row>
    <row r="9547" spans="1:20" x14ac:dyDescent="0.25">
      <c r="A9547" t="str">
        <f>"3078131"</f>
        <v>3078131</v>
      </c>
      <c r="B9547" t="s">
        <v>28561</v>
      </c>
      <c r="C9547" t="str">
        <f>"43492000"</f>
        <v>43492000</v>
      </c>
      <c r="D9547" t="s">
        <v>28389</v>
      </c>
      <c r="E9547" t="s">
        <v>28390</v>
      </c>
      <c r="F9547" t="s">
        <v>12957</v>
      </c>
      <c r="I9547" t="s">
        <v>29</v>
      </c>
      <c r="J9547" t="s">
        <v>30</v>
      </c>
      <c r="K9547" t="s">
        <v>28391</v>
      </c>
      <c r="M9547" t="s">
        <v>25733</v>
      </c>
      <c r="N9547" t="str">
        <f>"2/24/2016 2:20:00 PM"</f>
        <v>2/24/2016 2:20:00 PM</v>
      </c>
      <c r="O9547" t="s">
        <v>28389</v>
      </c>
      <c r="T9547" t="s">
        <v>28390</v>
      </c>
    </row>
    <row r="9548" spans="1:20" x14ac:dyDescent="0.25">
      <c r="A9548" t="str">
        <f>"3061556"</f>
        <v>3061556</v>
      </c>
      <c r="B9548" t="s">
        <v>28562</v>
      </c>
      <c r="C9548" t="str">
        <f>"8305268"</f>
        <v>8305268</v>
      </c>
      <c r="D9548" t="s">
        <v>28563</v>
      </c>
      <c r="F9548" t="s">
        <v>28564</v>
      </c>
      <c r="I9548" t="s">
        <v>184</v>
      </c>
      <c r="J9548" t="s">
        <v>30</v>
      </c>
      <c r="K9548" t="str">
        <f>"27006"</f>
        <v>27006</v>
      </c>
      <c r="M9548" t="s">
        <v>18479</v>
      </c>
      <c r="N9548" t="str">
        <f>"2/25/2016 3:46:00 PM"</f>
        <v>2/25/2016 3:46:00 PM</v>
      </c>
      <c r="O9548" t="s">
        <v>28563</v>
      </c>
    </row>
    <row r="9549" spans="1:20" x14ac:dyDescent="0.25">
      <c r="A9549" t="str">
        <f>"3060691"</f>
        <v>3060691</v>
      </c>
      <c r="B9549" t="s">
        <v>28565</v>
      </c>
      <c r="C9549" t="str">
        <f>"8304363"</f>
        <v>8304363</v>
      </c>
      <c r="D9549" t="s">
        <v>28566</v>
      </c>
      <c r="E9549" t="s">
        <v>28567</v>
      </c>
      <c r="F9549" t="s">
        <v>28568</v>
      </c>
      <c r="I9549" t="s">
        <v>184</v>
      </c>
      <c r="J9549" t="s">
        <v>30</v>
      </c>
      <c r="K9549" t="str">
        <f>"27006"</f>
        <v>27006</v>
      </c>
      <c r="M9549" t="s">
        <v>18479</v>
      </c>
      <c r="N9549" t="str">
        <f>"3/14/2016 2:38:00 PM"</f>
        <v>3/14/2016 2:38:00 PM</v>
      </c>
      <c r="O9549" t="s">
        <v>28566</v>
      </c>
      <c r="T9549" t="s">
        <v>28567</v>
      </c>
    </row>
    <row r="9550" spans="1:20" x14ac:dyDescent="0.25">
      <c r="A9550" t="str">
        <f>"3075608"</f>
        <v>3075608</v>
      </c>
      <c r="B9550" t="s">
        <v>28569</v>
      </c>
      <c r="C9550" t="str">
        <f>"8305611"</f>
        <v>8305611</v>
      </c>
      <c r="D9550" t="s">
        <v>28570</v>
      </c>
      <c r="F9550" t="s">
        <v>28571</v>
      </c>
      <c r="I9550" t="s">
        <v>29</v>
      </c>
      <c r="J9550" t="s">
        <v>30</v>
      </c>
      <c r="K9550" t="str">
        <f>"27028"</f>
        <v>27028</v>
      </c>
      <c r="M9550" t="s">
        <v>18479</v>
      </c>
      <c r="N9550" t="str">
        <f>"3/14/2016 3:40:00 PM"</f>
        <v>3/14/2016 3:40:00 PM</v>
      </c>
      <c r="O9550" t="s">
        <v>28570</v>
      </c>
    </row>
    <row r="9551" spans="1:20" x14ac:dyDescent="0.25">
      <c r="A9551" t="str">
        <f>"3043659"</f>
        <v>3043659</v>
      </c>
      <c r="B9551" t="s">
        <v>28572</v>
      </c>
      <c r="C9551" t="str">
        <f>"82525909"</f>
        <v>82525909</v>
      </c>
      <c r="D9551" t="s">
        <v>28573</v>
      </c>
      <c r="E9551" t="s">
        <v>28574</v>
      </c>
      <c r="F9551" t="s">
        <v>28575</v>
      </c>
      <c r="I9551" t="s">
        <v>29</v>
      </c>
      <c r="J9551" t="s">
        <v>30</v>
      </c>
      <c r="K9551" t="s">
        <v>28576</v>
      </c>
      <c r="M9551" t="s">
        <v>18479</v>
      </c>
      <c r="N9551" t="str">
        <f>"3/14/2016 4:07:00 PM"</f>
        <v>3/14/2016 4:07:00 PM</v>
      </c>
      <c r="O9551" t="s">
        <v>28573</v>
      </c>
      <c r="T9551" t="s">
        <v>28574</v>
      </c>
    </row>
    <row r="9552" spans="1:20" x14ac:dyDescent="0.25">
      <c r="A9552" t="str">
        <f>"3069172"</f>
        <v>3069172</v>
      </c>
      <c r="B9552" t="s">
        <v>28577</v>
      </c>
      <c r="C9552" t="str">
        <f>"5564000"</f>
        <v>5564000</v>
      </c>
      <c r="D9552" t="s">
        <v>28578</v>
      </c>
      <c r="F9552" t="s">
        <v>28579</v>
      </c>
      <c r="I9552" t="s">
        <v>184</v>
      </c>
      <c r="J9552" t="s">
        <v>30</v>
      </c>
      <c r="K9552" t="s">
        <v>20350</v>
      </c>
      <c r="M9552" t="s">
        <v>18479</v>
      </c>
      <c r="N9552" t="str">
        <f>"3/14/2016 4:17:00 PM"</f>
        <v>3/14/2016 4:17:00 PM</v>
      </c>
      <c r="O9552" t="s">
        <v>28578</v>
      </c>
    </row>
    <row r="9553" spans="1:20" x14ac:dyDescent="0.25">
      <c r="A9553" t="str">
        <f>"3056682"</f>
        <v>3056682</v>
      </c>
      <c r="B9553" t="s">
        <v>28580</v>
      </c>
      <c r="C9553" t="str">
        <f>"6732000"</f>
        <v>6732000</v>
      </c>
      <c r="D9553" t="s">
        <v>28581</v>
      </c>
      <c r="E9553" t="s">
        <v>28582</v>
      </c>
      <c r="F9553" t="s">
        <v>28583</v>
      </c>
      <c r="I9553" t="s">
        <v>29</v>
      </c>
      <c r="J9553" t="s">
        <v>30</v>
      </c>
      <c r="K9553" t="s">
        <v>16534</v>
      </c>
      <c r="M9553" t="s">
        <v>18479</v>
      </c>
      <c r="N9553" t="str">
        <f>"3/15/2016 8:58:00 AM"</f>
        <v>3/15/2016 8:58:00 AM</v>
      </c>
      <c r="O9553" t="s">
        <v>28581</v>
      </c>
      <c r="T9553" t="s">
        <v>28582</v>
      </c>
    </row>
    <row r="9554" spans="1:20" x14ac:dyDescent="0.25">
      <c r="A9554" t="str">
        <f>"3055950"</f>
        <v>3055950</v>
      </c>
      <c r="B9554" t="s">
        <v>28584</v>
      </c>
      <c r="C9554" t="str">
        <f>"82517329"</f>
        <v>82517329</v>
      </c>
      <c r="D9554" t="s">
        <v>28284</v>
      </c>
      <c r="F9554" t="s">
        <v>22204</v>
      </c>
      <c r="I9554" t="s">
        <v>9580</v>
      </c>
      <c r="J9554" t="s">
        <v>30</v>
      </c>
      <c r="K9554" t="s">
        <v>22205</v>
      </c>
      <c r="M9554" t="s">
        <v>25625</v>
      </c>
      <c r="N9554" t="str">
        <f>"2/18/2016 11:32:00 AM"</f>
        <v>2/18/2016 11:32:00 AM</v>
      </c>
      <c r="O9554" t="s">
        <v>28284</v>
      </c>
    </row>
    <row r="9555" spans="1:20" x14ac:dyDescent="0.25">
      <c r="A9555" t="str">
        <f>"3055796"</f>
        <v>3055796</v>
      </c>
      <c r="B9555" t="s">
        <v>28585</v>
      </c>
      <c r="C9555" t="str">
        <f>"82517329"</f>
        <v>82517329</v>
      </c>
      <c r="D9555" t="s">
        <v>28284</v>
      </c>
      <c r="F9555" t="s">
        <v>22204</v>
      </c>
      <c r="I9555" t="s">
        <v>9580</v>
      </c>
      <c r="J9555" t="s">
        <v>30</v>
      </c>
      <c r="K9555" t="s">
        <v>22205</v>
      </c>
      <c r="M9555" t="s">
        <v>25625</v>
      </c>
      <c r="N9555" t="str">
        <f>"2/18/2016 11:32:00 AM"</f>
        <v>2/18/2016 11:32:00 AM</v>
      </c>
      <c r="O9555" t="s">
        <v>28284</v>
      </c>
    </row>
    <row r="9556" spans="1:20" x14ac:dyDescent="0.25">
      <c r="A9556" t="str">
        <f>"3078343"</f>
        <v>3078343</v>
      </c>
      <c r="B9556" t="s">
        <v>28586</v>
      </c>
      <c r="C9556" t="str">
        <f>"558000"</f>
        <v>558000</v>
      </c>
      <c r="D9556" t="s">
        <v>28433</v>
      </c>
      <c r="E9556" t="s">
        <v>28434</v>
      </c>
      <c r="F9556" t="s">
        <v>28435</v>
      </c>
      <c r="I9556" t="s">
        <v>184</v>
      </c>
      <c r="J9556" t="s">
        <v>30</v>
      </c>
      <c r="K9556" t="s">
        <v>185</v>
      </c>
      <c r="M9556" t="s">
        <v>18479</v>
      </c>
      <c r="N9556" t="str">
        <f>"2/29/2016 10:34:00 AM"</f>
        <v>2/29/2016 10:34:00 AM</v>
      </c>
      <c r="O9556" t="s">
        <v>28433</v>
      </c>
      <c r="T9556" t="s">
        <v>28434</v>
      </c>
    </row>
    <row r="9557" spans="1:20" x14ac:dyDescent="0.25">
      <c r="A9557" t="str">
        <f>"3051505"</f>
        <v>3051505</v>
      </c>
      <c r="B9557" t="s">
        <v>28587</v>
      </c>
      <c r="C9557" t="str">
        <f>"46776000"</f>
        <v>46776000</v>
      </c>
      <c r="D9557" t="s">
        <v>28588</v>
      </c>
      <c r="E9557" t="s">
        <v>28589</v>
      </c>
      <c r="F9557" t="s">
        <v>28590</v>
      </c>
      <c r="I9557" t="s">
        <v>29</v>
      </c>
      <c r="J9557" t="s">
        <v>30</v>
      </c>
      <c r="K9557" t="s">
        <v>27062</v>
      </c>
      <c r="M9557" t="s">
        <v>25733</v>
      </c>
      <c r="N9557" t="str">
        <f>"2/29/2016 10:59:00 AM"</f>
        <v>2/29/2016 10:59:00 AM</v>
      </c>
      <c r="O9557" t="s">
        <v>28588</v>
      </c>
      <c r="T9557" t="s">
        <v>28589</v>
      </c>
    </row>
    <row r="9558" spans="1:20" x14ac:dyDescent="0.25">
      <c r="A9558" t="str">
        <f>"3041359"</f>
        <v>3041359</v>
      </c>
      <c r="B9558" t="s">
        <v>28591</v>
      </c>
      <c r="C9558" t="str">
        <f>"8305653"</f>
        <v>8305653</v>
      </c>
      <c r="D9558" t="s">
        <v>28592</v>
      </c>
      <c r="F9558" t="s">
        <v>28593</v>
      </c>
      <c r="I9558" t="s">
        <v>2071</v>
      </c>
      <c r="J9558" t="s">
        <v>30</v>
      </c>
      <c r="K9558" t="str">
        <f>"27006"</f>
        <v>27006</v>
      </c>
      <c r="M9558" t="s">
        <v>18479</v>
      </c>
      <c r="N9558" t="str">
        <f>"2/29/2016 3:07:00 PM"</f>
        <v>2/29/2016 3:07:00 PM</v>
      </c>
      <c r="O9558" t="s">
        <v>28592</v>
      </c>
    </row>
    <row r="9559" spans="1:20" x14ac:dyDescent="0.25">
      <c r="A9559" t="str">
        <f>"3045980"</f>
        <v>3045980</v>
      </c>
      <c r="B9559" t="s">
        <v>28594</v>
      </c>
      <c r="C9559" t="str">
        <f>"8306069"</f>
        <v>8306069</v>
      </c>
      <c r="D9559" t="s">
        <v>28459</v>
      </c>
      <c r="F9559" t="s">
        <v>28460</v>
      </c>
      <c r="I9559" t="s">
        <v>29</v>
      </c>
      <c r="J9559" t="s">
        <v>30</v>
      </c>
      <c r="K9559" t="str">
        <f>"27028"</f>
        <v>27028</v>
      </c>
      <c r="M9559" t="s">
        <v>17861</v>
      </c>
      <c r="N9559" t="str">
        <f>"2/29/2016 3:56:00 PM"</f>
        <v>2/29/2016 3:56:00 PM</v>
      </c>
      <c r="O9559" t="s">
        <v>28459</v>
      </c>
    </row>
    <row r="9560" spans="1:20" x14ac:dyDescent="0.25">
      <c r="A9560" t="str">
        <f>"3047120"</f>
        <v>3047120</v>
      </c>
      <c r="B9560" t="s">
        <v>28595</v>
      </c>
      <c r="C9560" t="str">
        <f>"8306081"</f>
        <v>8306081</v>
      </c>
      <c r="D9560" t="s">
        <v>28596</v>
      </c>
      <c r="E9560" t="s">
        <v>28597</v>
      </c>
      <c r="F9560" t="s">
        <v>28598</v>
      </c>
      <c r="I9560" t="s">
        <v>29</v>
      </c>
      <c r="J9560" t="s">
        <v>30</v>
      </c>
      <c r="K9560" t="str">
        <f>"27028"</f>
        <v>27028</v>
      </c>
      <c r="M9560" t="s">
        <v>17861</v>
      </c>
      <c r="N9560" t="str">
        <f>"3/1/2016 10:52:00 AM"</f>
        <v>3/1/2016 10:52:00 AM</v>
      </c>
      <c r="O9560" t="s">
        <v>28596</v>
      </c>
      <c r="T9560" t="s">
        <v>28597</v>
      </c>
    </row>
    <row r="9561" spans="1:20" x14ac:dyDescent="0.25">
      <c r="A9561" t="str">
        <f>"3037280"</f>
        <v>3037280</v>
      </c>
      <c r="B9561" t="s">
        <v>28599</v>
      </c>
      <c r="C9561" t="str">
        <f>"82520073"</f>
        <v>82520073</v>
      </c>
      <c r="D9561" t="s">
        <v>28600</v>
      </c>
      <c r="E9561" t="s">
        <v>28601</v>
      </c>
      <c r="F9561" t="s">
        <v>28602</v>
      </c>
      <c r="I9561" t="s">
        <v>184</v>
      </c>
      <c r="J9561" t="s">
        <v>30</v>
      </c>
      <c r="K9561" t="s">
        <v>28603</v>
      </c>
      <c r="M9561" t="s">
        <v>17861</v>
      </c>
      <c r="N9561" t="str">
        <f>"3/2/2016 2:22:00 PM"</f>
        <v>3/2/2016 2:22:00 PM</v>
      </c>
      <c r="O9561" t="s">
        <v>28600</v>
      </c>
      <c r="T9561" t="s">
        <v>28601</v>
      </c>
    </row>
    <row r="9562" spans="1:20" x14ac:dyDescent="0.25">
      <c r="A9562" t="str">
        <f>"3038640"</f>
        <v>3038640</v>
      </c>
      <c r="B9562" t="s">
        <v>28604</v>
      </c>
      <c r="C9562" t="str">
        <f>"9989200"</f>
        <v>9989200</v>
      </c>
      <c r="D9562" t="s">
        <v>28605</v>
      </c>
      <c r="E9562" t="s">
        <v>28606</v>
      </c>
      <c r="F9562" t="s">
        <v>28607</v>
      </c>
      <c r="I9562" t="s">
        <v>29</v>
      </c>
      <c r="J9562" t="s">
        <v>30</v>
      </c>
      <c r="K9562" t="s">
        <v>28608</v>
      </c>
      <c r="M9562" t="s">
        <v>18479</v>
      </c>
      <c r="N9562" t="str">
        <f>"3/4/2016 9:54:00 AM"</f>
        <v>3/4/2016 9:54:00 AM</v>
      </c>
      <c r="O9562" t="s">
        <v>28605</v>
      </c>
      <c r="T9562" t="s">
        <v>28606</v>
      </c>
    </row>
    <row r="9563" spans="1:20" x14ac:dyDescent="0.25">
      <c r="A9563" t="str">
        <f>"3056552"</f>
        <v>3056552</v>
      </c>
      <c r="B9563" t="s">
        <v>28609</v>
      </c>
      <c r="C9563" t="str">
        <f>"82520371"</f>
        <v>82520371</v>
      </c>
      <c r="D9563" t="s">
        <v>28610</v>
      </c>
      <c r="E9563" t="s">
        <v>28611</v>
      </c>
      <c r="F9563" t="s">
        <v>28612</v>
      </c>
      <c r="I9563" t="s">
        <v>29</v>
      </c>
      <c r="J9563" t="s">
        <v>30</v>
      </c>
      <c r="K9563" t="s">
        <v>28613</v>
      </c>
      <c r="M9563" t="s">
        <v>18479</v>
      </c>
      <c r="N9563" t="str">
        <f>"3/4/2016 11:41:00 AM"</f>
        <v>3/4/2016 11:41:00 AM</v>
      </c>
      <c r="O9563" t="s">
        <v>28610</v>
      </c>
      <c r="T9563" t="s">
        <v>28611</v>
      </c>
    </row>
    <row r="9564" spans="1:20" x14ac:dyDescent="0.25">
      <c r="A9564" t="str">
        <f>"3060818"</f>
        <v>3060818</v>
      </c>
      <c r="B9564" t="s">
        <v>28614</v>
      </c>
      <c r="C9564" t="str">
        <f>"8306135"</f>
        <v>8306135</v>
      </c>
      <c r="D9564" t="s">
        <v>28615</v>
      </c>
      <c r="E9564" t="s">
        <v>28616</v>
      </c>
      <c r="F9564" t="s">
        <v>28617</v>
      </c>
      <c r="I9564" t="s">
        <v>471</v>
      </c>
      <c r="J9564" t="s">
        <v>30</v>
      </c>
      <c r="K9564" t="str">
        <f>"27103"</f>
        <v>27103</v>
      </c>
      <c r="M9564" t="s">
        <v>17861</v>
      </c>
      <c r="N9564" t="str">
        <f>"3/22/2016 9:44:00 AM"</f>
        <v>3/22/2016 9:44:00 AM</v>
      </c>
      <c r="O9564" t="s">
        <v>28615</v>
      </c>
      <c r="T9564" t="s">
        <v>28616</v>
      </c>
    </row>
    <row r="9565" spans="1:20" x14ac:dyDescent="0.25">
      <c r="A9565" t="str">
        <f>"3040637"</f>
        <v>3040637</v>
      </c>
      <c r="B9565" t="s">
        <v>28618</v>
      </c>
      <c r="C9565" t="str">
        <f>"15304750"</f>
        <v>15304750</v>
      </c>
      <c r="D9565" t="s">
        <v>28619</v>
      </c>
      <c r="E9565" t="s">
        <v>28620</v>
      </c>
      <c r="F9565" t="s">
        <v>28621</v>
      </c>
      <c r="I9565" t="s">
        <v>184</v>
      </c>
      <c r="J9565" t="s">
        <v>30</v>
      </c>
      <c r="K9565" t="s">
        <v>28622</v>
      </c>
      <c r="M9565" t="s">
        <v>18479</v>
      </c>
      <c r="N9565" t="str">
        <f>"3/22/2016 10:10:00 AM"</f>
        <v>3/22/2016 10:10:00 AM</v>
      </c>
      <c r="O9565" t="s">
        <v>28619</v>
      </c>
      <c r="T9565" t="s">
        <v>28620</v>
      </c>
    </row>
    <row r="9566" spans="1:20" x14ac:dyDescent="0.25">
      <c r="A9566" t="str">
        <f>"3059196"</f>
        <v>3059196</v>
      </c>
      <c r="B9566" t="s">
        <v>28623</v>
      </c>
      <c r="C9566" t="str">
        <f>"8306139"</f>
        <v>8306139</v>
      </c>
      <c r="D9566" t="s">
        <v>28624</v>
      </c>
      <c r="E9566" t="s">
        <v>28625</v>
      </c>
      <c r="F9566" t="s">
        <v>28626</v>
      </c>
      <c r="I9566" t="s">
        <v>29</v>
      </c>
      <c r="J9566" t="s">
        <v>30</v>
      </c>
      <c r="K9566" t="str">
        <f>"27028"</f>
        <v>27028</v>
      </c>
      <c r="M9566" t="s">
        <v>17861</v>
      </c>
      <c r="N9566" t="str">
        <f>"3/22/2016 10:55:00 AM"</f>
        <v>3/22/2016 10:55:00 AM</v>
      </c>
      <c r="O9566" t="s">
        <v>28624</v>
      </c>
      <c r="T9566" t="s">
        <v>28625</v>
      </c>
    </row>
    <row r="9567" spans="1:20" x14ac:dyDescent="0.25">
      <c r="A9567" t="str">
        <f>"3041619"</f>
        <v>3041619</v>
      </c>
      <c r="B9567" t="s">
        <v>28627</v>
      </c>
      <c r="C9567" t="str">
        <f>"8306096"</f>
        <v>8306096</v>
      </c>
      <c r="D9567" t="s">
        <v>28628</v>
      </c>
      <c r="E9567" t="s">
        <v>28629</v>
      </c>
      <c r="F9567" t="s">
        <v>28630</v>
      </c>
      <c r="I9567" t="s">
        <v>2071</v>
      </c>
      <c r="J9567" t="s">
        <v>30</v>
      </c>
      <c r="K9567" t="str">
        <f>"27006"</f>
        <v>27006</v>
      </c>
      <c r="M9567" t="s">
        <v>17861</v>
      </c>
      <c r="N9567" t="str">
        <f>"3/7/2016 2:34:00 PM"</f>
        <v>3/7/2016 2:34:00 PM</v>
      </c>
      <c r="O9567" t="s">
        <v>28628</v>
      </c>
      <c r="T9567" t="s">
        <v>28629</v>
      </c>
    </row>
    <row r="9568" spans="1:20" x14ac:dyDescent="0.25">
      <c r="A9568" t="str">
        <f>"3057571"</f>
        <v>3057571</v>
      </c>
      <c r="B9568" t="s">
        <v>28631</v>
      </c>
      <c r="C9568" t="str">
        <f>"8306147"</f>
        <v>8306147</v>
      </c>
      <c r="D9568" t="s">
        <v>28632</v>
      </c>
      <c r="E9568" t="s">
        <v>28633</v>
      </c>
      <c r="F9568" t="s">
        <v>28634</v>
      </c>
      <c r="I9568" t="s">
        <v>29</v>
      </c>
      <c r="J9568" t="s">
        <v>30</v>
      </c>
      <c r="K9568" t="str">
        <f>"27028"</f>
        <v>27028</v>
      </c>
      <c r="M9568" t="s">
        <v>17861</v>
      </c>
      <c r="N9568" t="str">
        <f>"3/22/2016 2:00:00 PM"</f>
        <v>3/22/2016 2:00:00 PM</v>
      </c>
      <c r="O9568" t="s">
        <v>28632</v>
      </c>
      <c r="T9568" t="s">
        <v>28633</v>
      </c>
    </row>
    <row r="9569" spans="1:20" x14ac:dyDescent="0.25">
      <c r="A9569" t="str">
        <f>"3037653"</f>
        <v>3037653</v>
      </c>
      <c r="B9569" t="s">
        <v>28635</v>
      </c>
      <c r="C9569" t="str">
        <f>"8306149"</f>
        <v>8306149</v>
      </c>
      <c r="D9569" t="s">
        <v>28636</v>
      </c>
      <c r="F9569" t="s">
        <v>28637</v>
      </c>
      <c r="I9569" t="s">
        <v>29</v>
      </c>
      <c r="J9569" t="s">
        <v>30</v>
      </c>
      <c r="K9569" t="str">
        <f>"27028"</f>
        <v>27028</v>
      </c>
      <c r="M9569" t="s">
        <v>17861</v>
      </c>
      <c r="N9569" t="str">
        <f>"3/22/2016 2:13:00 PM"</f>
        <v>3/22/2016 2:13:00 PM</v>
      </c>
      <c r="O9569" t="s">
        <v>28636</v>
      </c>
    </row>
    <row r="9570" spans="1:20" x14ac:dyDescent="0.25">
      <c r="A9570" t="str">
        <f>"3048016"</f>
        <v>3048016</v>
      </c>
      <c r="B9570" t="s">
        <v>28638</v>
      </c>
      <c r="C9570" t="str">
        <f>"8301251"</f>
        <v>8301251</v>
      </c>
      <c r="D9570" t="s">
        <v>28639</v>
      </c>
      <c r="E9570" t="s">
        <v>28640</v>
      </c>
      <c r="F9570" t="s">
        <v>28641</v>
      </c>
      <c r="I9570" t="s">
        <v>184</v>
      </c>
      <c r="J9570" t="s">
        <v>30</v>
      </c>
      <c r="K9570" t="str">
        <f>"27006"</f>
        <v>27006</v>
      </c>
      <c r="M9570" t="s">
        <v>25625</v>
      </c>
      <c r="N9570" t="str">
        <f>"3/22/2016 4:29:00 PM"</f>
        <v>3/22/2016 4:29:00 PM</v>
      </c>
      <c r="O9570" t="s">
        <v>28639</v>
      </c>
      <c r="T9570" t="s">
        <v>28640</v>
      </c>
    </row>
    <row r="9571" spans="1:20" x14ac:dyDescent="0.25">
      <c r="A9571" t="str">
        <f>"3045677"</f>
        <v>3045677</v>
      </c>
      <c r="B9571" t="s">
        <v>28642</v>
      </c>
      <c r="C9571" t="str">
        <f>"82526756"</f>
        <v>82526756</v>
      </c>
      <c r="D9571" t="s">
        <v>28643</v>
      </c>
      <c r="E9571" t="s">
        <v>28644</v>
      </c>
      <c r="F9571" t="s">
        <v>18997</v>
      </c>
      <c r="I9571" t="s">
        <v>29</v>
      </c>
      <c r="J9571" t="s">
        <v>30</v>
      </c>
      <c r="K9571" t="s">
        <v>31</v>
      </c>
      <c r="M9571" t="s">
        <v>25733</v>
      </c>
      <c r="N9571" t="str">
        <f>"3/8/2016 4:25:00 PM"</f>
        <v>3/8/2016 4:25:00 PM</v>
      </c>
      <c r="O9571" t="s">
        <v>28643</v>
      </c>
      <c r="T9571" t="s">
        <v>28644</v>
      </c>
    </row>
    <row r="9572" spans="1:20" x14ac:dyDescent="0.25">
      <c r="A9572" t="str">
        <f>"3040061"</f>
        <v>3040061</v>
      </c>
      <c r="B9572" t="s">
        <v>28645</v>
      </c>
      <c r="C9572" t="str">
        <f>"82516146"</f>
        <v>82516146</v>
      </c>
      <c r="D9572" t="s">
        <v>28646</v>
      </c>
      <c r="F9572" t="s">
        <v>28647</v>
      </c>
      <c r="I9572" t="s">
        <v>29</v>
      </c>
      <c r="J9572" t="s">
        <v>30</v>
      </c>
      <c r="K9572" t="s">
        <v>21211</v>
      </c>
      <c r="M9572" t="s">
        <v>18479</v>
      </c>
      <c r="N9572" t="str">
        <f>"3/11/2016 10:03:00 AM"</f>
        <v>3/11/2016 10:03:00 AM</v>
      </c>
      <c r="O9572" t="s">
        <v>28646</v>
      </c>
    </row>
    <row r="9573" spans="1:20" x14ac:dyDescent="0.25">
      <c r="A9573" t="str">
        <f>"3051094"</f>
        <v>3051094</v>
      </c>
      <c r="B9573" t="s">
        <v>28648</v>
      </c>
      <c r="C9573" t="str">
        <f>"8302688"</f>
        <v>8302688</v>
      </c>
      <c r="D9573" t="s">
        <v>28649</v>
      </c>
      <c r="F9573" t="s">
        <v>28650</v>
      </c>
      <c r="I9573" t="s">
        <v>19211</v>
      </c>
      <c r="J9573" t="s">
        <v>30</v>
      </c>
      <c r="K9573" t="str">
        <f>"27360"</f>
        <v>27360</v>
      </c>
      <c r="M9573" t="s">
        <v>17922</v>
      </c>
      <c r="N9573" t="str">
        <f>"3/11/2016 11:25:00 AM"</f>
        <v>3/11/2016 11:25:00 AM</v>
      </c>
      <c r="O9573" t="s">
        <v>28649</v>
      </c>
    </row>
    <row r="9574" spans="1:20" x14ac:dyDescent="0.25">
      <c r="A9574" t="str">
        <f>"3055904"</f>
        <v>3055904</v>
      </c>
      <c r="B9574" t="s">
        <v>28651</v>
      </c>
      <c r="C9574" t="str">
        <f>"8304994"</f>
        <v>8304994</v>
      </c>
      <c r="D9574" t="s">
        <v>28652</v>
      </c>
      <c r="F9574" t="s">
        <v>28653</v>
      </c>
      <c r="I9574" t="s">
        <v>28654</v>
      </c>
      <c r="J9574" t="s">
        <v>30</v>
      </c>
      <c r="K9574" t="str">
        <f>"28697"</f>
        <v>28697</v>
      </c>
      <c r="M9574" t="s">
        <v>17861</v>
      </c>
      <c r="N9574" t="str">
        <f>"3/23/2016 12:21:00 PM"</f>
        <v>3/23/2016 12:21:00 PM</v>
      </c>
      <c r="O9574" t="s">
        <v>28652</v>
      </c>
    </row>
    <row r="9575" spans="1:20" x14ac:dyDescent="0.25">
      <c r="A9575" t="str">
        <f>"3047264"</f>
        <v>3047264</v>
      </c>
      <c r="B9575" t="s">
        <v>28655</v>
      </c>
      <c r="C9575" t="str">
        <f>"8306158"</f>
        <v>8306158</v>
      </c>
      <c r="D9575" t="s">
        <v>28656</v>
      </c>
      <c r="F9575" t="s">
        <v>28657</v>
      </c>
      <c r="I9575" t="s">
        <v>29</v>
      </c>
      <c r="J9575" t="s">
        <v>30</v>
      </c>
      <c r="K9575" t="str">
        <f>"27028"</f>
        <v>27028</v>
      </c>
      <c r="M9575" t="s">
        <v>17861</v>
      </c>
      <c r="N9575" t="str">
        <f>"3/23/2016 4:18:00 PM"</f>
        <v>3/23/2016 4:18:00 PM</v>
      </c>
      <c r="O9575" t="s">
        <v>28656</v>
      </c>
    </row>
    <row r="9576" spans="1:20" x14ac:dyDescent="0.25">
      <c r="A9576" t="str">
        <f>"3066869"</f>
        <v>3066869</v>
      </c>
      <c r="B9576" t="s">
        <v>28658</v>
      </c>
      <c r="C9576" t="str">
        <f>"6876000"</f>
        <v>6876000</v>
      </c>
      <c r="D9576" t="s">
        <v>28659</v>
      </c>
      <c r="E9576" t="s">
        <v>28660</v>
      </c>
      <c r="F9576" t="s">
        <v>28661</v>
      </c>
      <c r="I9576" t="s">
        <v>29</v>
      </c>
      <c r="J9576" t="s">
        <v>30</v>
      </c>
      <c r="K9576" t="s">
        <v>6686</v>
      </c>
      <c r="M9576" t="s">
        <v>18479</v>
      </c>
      <c r="N9576" t="str">
        <f>"3/11/2016 2:37:00 PM"</f>
        <v>3/11/2016 2:37:00 PM</v>
      </c>
      <c r="O9576" t="s">
        <v>28659</v>
      </c>
      <c r="T9576" t="s">
        <v>28660</v>
      </c>
    </row>
    <row r="9577" spans="1:20" x14ac:dyDescent="0.25">
      <c r="A9577" t="str">
        <f>"3037748"</f>
        <v>3037748</v>
      </c>
      <c r="B9577" t="s">
        <v>28662</v>
      </c>
      <c r="C9577" t="str">
        <f>"82529549"</f>
        <v>82529549</v>
      </c>
      <c r="D9577" t="s">
        <v>28663</v>
      </c>
      <c r="F9577" t="s">
        <v>28664</v>
      </c>
      <c r="I9577" t="s">
        <v>29</v>
      </c>
      <c r="J9577" t="s">
        <v>30</v>
      </c>
      <c r="K9577" t="s">
        <v>28665</v>
      </c>
      <c r="M9577" t="s">
        <v>25733</v>
      </c>
      <c r="N9577" t="str">
        <f>"3/28/2016 10:21:00 AM"</f>
        <v>3/28/2016 10:21:00 AM</v>
      </c>
      <c r="O9577" t="s">
        <v>28663</v>
      </c>
    </row>
    <row r="9578" spans="1:20" x14ac:dyDescent="0.25">
      <c r="A9578" t="str">
        <f>"3037535"</f>
        <v>3037535</v>
      </c>
      <c r="B9578" t="s">
        <v>28666</v>
      </c>
      <c r="C9578" t="str">
        <f>"82529549"</f>
        <v>82529549</v>
      </c>
      <c r="D9578" t="s">
        <v>28663</v>
      </c>
      <c r="F9578" t="s">
        <v>28664</v>
      </c>
      <c r="I9578" t="s">
        <v>29</v>
      </c>
      <c r="J9578" t="s">
        <v>30</v>
      </c>
      <c r="K9578" t="s">
        <v>28665</v>
      </c>
      <c r="M9578" t="s">
        <v>25733</v>
      </c>
      <c r="N9578" t="str">
        <f>"3/28/2016 10:21:00 AM"</f>
        <v>3/28/2016 10:21:00 AM</v>
      </c>
      <c r="O9578" t="s">
        <v>28663</v>
      </c>
    </row>
    <row r="9579" spans="1:20" x14ac:dyDescent="0.25">
      <c r="A9579" t="str">
        <f>"3077650"</f>
        <v>3077650</v>
      </c>
      <c r="B9579" t="s">
        <v>28667</v>
      </c>
      <c r="C9579" t="str">
        <f>"6876000"</f>
        <v>6876000</v>
      </c>
      <c r="D9579" t="s">
        <v>28659</v>
      </c>
      <c r="E9579" t="s">
        <v>28660</v>
      </c>
      <c r="F9579" t="s">
        <v>28661</v>
      </c>
      <c r="I9579" t="s">
        <v>29</v>
      </c>
      <c r="J9579" t="s">
        <v>30</v>
      </c>
      <c r="K9579" t="s">
        <v>6686</v>
      </c>
      <c r="M9579" t="s">
        <v>18479</v>
      </c>
      <c r="N9579" t="str">
        <f>"3/11/2016 2:37:00 PM"</f>
        <v>3/11/2016 2:37:00 PM</v>
      </c>
      <c r="O9579" t="s">
        <v>28659</v>
      </c>
      <c r="T9579" t="s">
        <v>28660</v>
      </c>
    </row>
    <row r="9580" spans="1:20" x14ac:dyDescent="0.25">
      <c r="A9580" t="str">
        <f>"3068546"</f>
        <v>3068546</v>
      </c>
      <c r="B9580" t="s">
        <v>28668</v>
      </c>
      <c r="C9580" t="str">
        <f>"8302443"</f>
        <v>8302443</v>
      </c>
      <c r="D9580" t="s">
        <v>28669</v>
      </c>
      <c r="E9580" t="s">
        <v>28670</v>
      </c>
      <c r="F9580" t="s">
        <v>28671</v>
      </c>
      <c r="I9580" t="s">
        <v>29</v>
      </c>
      <c r="J9580" t="s">
        <v>30</v>
      </c>
      <c r="K9580" t="str">
        <f>"27028"</f>
        <v>27028</v>
      </c>
      <c r="M9580" t="s">
        <v>18479</v>
      </c>
      <c r="N9580" t="str">
        <f>"3/11/2016 2:42:00 PM"</f>
        <v>3/11/2016 2:42:00 PM</v>
      </c>
      <c r="O9580" t="s">
        <v>28669</v>
      </c>
      <c r="T9580" t="s">
        <v>28670</v>
      </c>
    </row>
    <row r="9581" spans="1:20" x14ac:dyDescent="0.25">
      <c r="A9581" t="str">
        <f>"3054255"</f>
        <v>3054255</v>
      </c>
      <c r="B9581" t="s">
        <v>28672</v>
      </c>
      <c r="C9581" t="str">
        <f>"18256400"</f>
        <v>18256400</v>
      </c>
      <c r="D9581" t="s">
        <v>28673</v>
      </c>
      <c r="E9581" t="s">
        <v>28674</v>
      </c>
      <c r="F9581" t="s">
        <v>28675</v>
      </c>
      <c r="I9581" t="s">
        <v>29</v>
      </c>
      <c r="J9581" t="s">
        <v>30</v>
      </c>
      <c r="K9581" t="s">
        <v>31</v>
      </c>
      <c r="M9581" t="s">
        <v>18479</v>
      </c>
      <c r="N9581" t="str">
        <f>"3/29/2016 11:14:00 AM"</f>
        <v>3/29/2016 11:14:00 AM</v>
      </c>
      <c r="O9581" t="s">
        <v>28673</v>
      </c>
      <c r="T9581" t="s">
        <v>28674</v>
      </c>
    </row>
    <row r="9582" spans="1:20" x14ac:dyDescent="0.25">
      <c r="A9582" t="str">
        <f>"3066368"</f>
        <v>3066368</v>
      </c>
      <c r="B9582" t="s">
        <v>28676</v>
      </c>
      <c r="C9582" t="str">
        <f>"8306172"</f>
        <v>8306172</v>
      </c>
      <c r="D9582" t="s">
        <v>28677</v>
      </c>
      <c r="F9582" t="s">
        <v>28678</v>
      </c>
      <c r="I9582" t="s">
        <v>29</v>
      </c>
      <c r="J9582" t="s">
        <v>30</v>
      </c>
      <c r="K9582" t="str">
        <f>"27028"</f>
        <v>27028</v>
      </c>
      <c r="M9582" t="s">
        <v>17861</v>
      </c>
      <c r="N9582" t="str">
        <f>"3/29/2016 11:42:00 AM"</f>
        <v>3/29/2016 11:42:00 AM</v>
      </c>
      <c r="O9582" t="s">
        <v>28677</v>
      </c>
    </row>
    <row r="9583" spans="1:20" x14ac:dyDescent="0.25">
      <c r="A9583" t="str">
        <f>"3046979"</f>
        <v>3046979</v>
      </c>
      <c r="B9583" t="s">
        <v>28679</v>
      </c>
      <c r="C9583" t="str">
        <f>"8306120"</f>
        <v>8306120</v>
      </c>
      <c r="D9583" t="s">
        <v>28680</v>
      </c>
      <c r="E9583" t="s">
        <v>28681</v>
      </c>
      <c r="F9583" t="s">
        <v>28682</v>
      </c>
      <c r="I9583" t="s">
        <v>29</v>
      </c>
      <c r="J9583" t="s">
        <v>30</v>
      </c>
      <c r="K9583" t="str">
        <f>"27028"</f>
        <v>27028</v>
      </c>
      <c r="M9583" t="s">
        <v>17861</v>
      </c>
      <c r="N9583" t="str">
        <f>"3/14/2016 9:03:00 AM"</f>
        <v>3/14/2016 9:03:00 AM</v>
      </c>
      <c r="O9583" t="s">
        <v>28680</v>
      </c>
      <c r="T9583" t="s">
        <v>28681</v>
      </c>
    </row>
    <row r="9584" spans="1:20" x14ac:dyDescent="0.25">
      <c r="A9584" t="str">
        <f>"3061939"</f>
        <v>3061939</v>
      </c>
      <c r="B9584" t="s">
        <v>28683</v>
      </c>
      <c r="C9584" t="str">
        <f>"8305211"</f>
        <v>8305211</v>
      </c>
      <c r="D9584" t="s">
        <v>28684</v>
      </c>
      <c r="E9584" t="s">
        <v>28685</v>
      </c>
      <c r="F9584" t="s">
        <v>28686</v>
      </c>
      <c r="I9584" t="s">
        <v>184</v>
      </c>
      <c r="J9584" t="s">
        <v>30</v>
      </c>
      <c r="K9584" t="s">
        <v>28687</v>
      </c>
      <c r="M9584" t="s">
        <v>17861</v>
      </c>
      <c r="N9584" t="str">
        <f>"3/14/2016 11:15:00 AM"</f>
        <v>3/14/2016 11:15:00 AM</v>
      </c>
      <c r="O9584" t="s">
        <v>28684</v>
      </c>
      <c r="T9584" t="s">
        <v>28685</v>
      </c>
    </row>
    <row r="9585" spans="1:20" x14ac:dyDescent="0.25">
      <c r="A9585" t="str">
        <f>"3062097"</f>
        <v>3062097</v>
      </c>
      <c r="B9585" t="s">
        <v>28688</v>
      </c>
      <c r="C9585" t="str">
        <f>"8306121"</f>
        <v>8306121</v>
      </c>
      <c r="D9585" t="s">
        <v>28689</v>
      </c>
      <c r="F9585" t="s">
        <v>28690</v>
      </c>
      <c r="I9585" t="s">
        <v>29</v>
      </c>
      <c r="J9585" t="s">
        <v>30</v>
      </c>
      <c r="K9585" t="str">
        <f>"27028"</f>
        <v>27028</v>
      </c>
      <c r="M9585" t="s">
        <v>17861</v>
      </c>
      <c r="N9585" t="str">
        <f>"3/14/2016 2:17:00 PM"</f>
        <v>3/14/2016 2:17:00 PM</v>
      </c>
      <c r="O9585" t="s">
        <v>28689</v>
      </c>
    </row>
    <row r="9586" spans="1:20" x14ac:dyDescent="0.25">
      <c r="A9586" t="str">
        <f>"3040709"</f>
        <v>3040709</v>
      </c>
      <c r="B9586" t="s">
        <v>28691</v>
      </c>
      <c r="C9586" t="str">
        <f>"66920000"</f>
        <v>66920000</v>
      </c>
      <c r="D9586" t="s">
        <v>28692</v>
      </c>
      <c r="F9586" t="s">
        <v>8860</v>
      </c>
      <c r="I9586" t="s">
        <v>184</v>
      </c>
      <c r="J9586" t="s">
        <v>30</v>
      </c>
      <c r="K9586" t="s">
        <v>185</v>
      </c>
      <c r="M9586" t="s">
        <v>25733</v>
      </c>
      <c r="N9586" t="str">
        <f>"2/26/2016 2:27:00 PM"</f>
        <v>2/26/2016 2:27:00 PM</v>
      </c>
      <c r="O9586" t="s">
        <v>28692</v>
      </c>
    </row>
    <row r="9587" spans="1:20" x14ac:dyDescent="0.25">
      <c r="A9587" t="str">
        <f>"3039895"</f>
        <v>3039895</v>
      </c>
      <c r="B9587" t="s">
        <v>28693</v>
      </c>
      <c r="C9587" t="str">
        <f>"8302496"</f>
        <v>8302496</v>
      </c>
      <c r="D9587" t="s">
        <v>28694</v>
      </c>
      <c r="E9587" t="s">
        <v>28695</v>
      </c>
      <c r="F9587" t="s">
        <v>28696</v>
      </c>
      <c r="I9587" t="s">
        <v>29</v>
      </c>
      <c r="J9587" t="s">
        <v>30</v>
      </c>
      <c r="K9587" t="str">
        <f>"27028"</f>
        <v>27028</v>
      </c>
      <c r="M9587" t="s">
        <v>18470</v>
      </c>
      <c r="N9587" t="str">
        <f>"3/30/2016 9:31:00 AM"</f>
        <v>3/30/2016 9:31:00 AM</v>
      </c>
      <c r="O9587" t="s">
        <v>28694</v>
      </c>
      <c r="T9587" t="s">
        <v>28695</v>
      </c>
    </row>
    <row r="9588" spans="1:20" x14ac:dyDescent="0.25">
      <c r="A9588" t="str">
        <f>"3061702"</f>
        <v>3061702</v>
      </c>
      <c r="B9588" t="s">
        <v>28697</v>
      </c>
      <c r="C9588" t="str">
        <f>"8306180"</f>
        <v>8306180</v>
      </c>
      <c r="D9588" t="s">
        <v>28698</v>
      </c>
      <c r="F9588" t="s">
        <v>28699</v>
      </c>
      <c r="I9588" t="s">
        <v>2071</v>
      </c>
      <c r="J9588" t="s">
        <v>30</v>
      </c>
      <c r="K9588" t="str">
        <f>"27006"</f>
        <v>27006</v>
      </c>
      <c r="M9588" t="s">
        <v>17861</v>
      </c>
      <c r="N9588" t="str">
        <f>"3/30/2016 9:58:00 AM"</f>
        <v>3/30/2016 9:58:00 AM</v>
      </c>
      <c r="O9588" t="s">
        <v>28698</v>
      </c>
    </row>
    <row r="9589" spans="1:20" x14ac:dyDescent="0.25">
      <c r="A9589" t="str">
        <f>"3038189"</f>
        <v>3038189</v>
      </c>
      <c r="B9589" t="s">
        <v>28700</v>
      </c>
      <c r="C9589" t="str">
        <f>"69348000"</f>
        <v>69348000</v>
      </c>
      <c r="D9589" t="s">
        <v>28701</v>
      </c>
      <c r="E9589" t="s">
        <v>28702</v>
      </c>
      <c r="F9589" t="s">
        <v>28703</v>
      </c>
      <c r="I9589" t="s">
        <v>28704</v>
      </c>
      <c r="J9589" t="s">
        <v>30</v>
      </c>
      <c r="K9589" t="s">
        <v>28705</v>
      </c>
      <c r="M9589" t="s">
        <v>17861</v>
      </c>
      <c r="N9589" t="str">
        <f>"2/29/2016 9:58:00 AM"</f>
        <v>2/29/2016 9:58:00 AM</v>
      </c>
      <c r="O9589" t="s">
        <v>28701</v>
      </c>
      <c r="T9589" t="s">
        <v>28702</v>
      </c>
    </row>
    <row r="9590" spans="1:20" x14ac:dyDescent="0.25">
      <c r="A9590" t="str">
        <f>"3038424"</f>
        <v>3038424</v>
      </c>
      <c r="B9590" t="s">
        <v>28706</v>
      </c>
      <c r="C9590" t="str">
        <f>"8306186"</f>
        <v>8306186</v>
      </c>
      <c r="D9590" t="s">
        <v>28707</v>
      </c>
      <c r="F9590" t="s">
        <v>28708</v>
      </c>
      <c r="I9590" t="s">
        <v>29</v>
      </c>
      <c r="J9590" t="s">
        <v>30</v>
      </c>
      <c r="K9590" t="str">
        <f>"27028"</f>
        <v>27028</v>
      </c>
      <c r="M9590" t="s">
        <v>17861</v>
      </c>
      <c r="N9590" t="str">
        <f>"3/31/2016 2:16:00 PM"</f>
        <v>3/31/2016 2:16:00 PM</v>
      </c>
      <c r="O9590" t="s">
        <v>28707</v>
      </c>
    </row>
    <row r="9591" spans="1:20" x14ac:dyDescent="0.25">
      <c r="A9591" t="str">
        <f>"3061549"</f>
        <v>3061549</v>
      </c>
      <c r="B9591" t="s">
        <v>28709</v>
      </c>
      <c r="C9591" t="str">
        <f>"8306188"</f>
        <v>8306188</v>
      </c>
      <c r="D9591" t="s">
        <v>28710</v>
      </c>
      <c r="F9591" t="s">
        <v>28711</v>
      </c>
      <c r="I9591" t="s">
        <v>184</v>
      </c>
      <c r="J9591" t="s">
        <v>30</v>
      </c>
      <c r="K9591" t="str">
        <f>"27006"</f>
        <v>27006</v>
      </c>
      <c r="M9591" t="s">
        <v>17861</v>
      </c>
      <c r="N9591" t="str">
        <f>"3/31/2016 2:23:00 PM"</f>
        <v>3/31/2016 2:23:00 PM</v>
      </c>
      <c r="O9591" t="s">
        <v>28710</v>
      </c>
    </row>
    <row r="9592" spans="1:20" x14ac:dyDescent="0.25">
      <c r="A9592" t="str">
        <f>"3078698"</f>
        <v>3078698</v>
      </c>
      <c r="B9592" t="s">
        <v>28712</v>
      </c>
      <c r="C9592" t="str">
        <f>"1808000"</f>
        <v>1808000</v>
      </c>
      <c r="D9592" t="s">
        <v>28713</v>
      </c>
      <c r="E9592" t="s">
        <v>28714</v>
      </c>
      <c r="F9592" t="s">
        <v>28715</v>
      </c>
      <c r="I9592" t="s">
        <v>29</v>
      </c>
      <c r="J9592" t="s">
        <v>30</v>
      </c>
      <c r="K9592" t="s">
        <v>28716</v>
      </c>
      <c r="M9592" t="s">
        <v>18479</v>
      </c>
      <c r="N9592" t="str">
        <f>"2/29/2016 10:02:00 AM"</f>
        <v>2/29/2016 10:02:00 AM</v>
      </c>
      <c r="O9592" t="s">
        <v>28713</v>
      </c>
      <c r="T9592" t="s">
        <v>28714</v>
      </c>
    </row>
    <row r="9593" spans="1:20" x14ac:dyDescent="0.25">
      <c r="A9593" t="str">
        <f>"3078873"</f>
        <v>3078873</v>
      </c>
      <c r="B9593" t="s">
        <v>28717</v>
      </c>
      <c r="C9593" t="str">
        <f>"558000"</f>
        <v>558000</v>
      </c>
      <c r="D9593" t="s">
        <v>28433</v>
      </c>
      <c r="E9593" t="s">
        <v>28434</v>
      </c>
      <c r="F9593" t="s">
        <v>28435</v>
      </c>
      <c r="I9593" t="s">
        <v>184</v>
      </c>
      <c r="J9593" t="s">
        <v>30</v>
      </c>
      <c r="K9593" t="s">
        <v>185</v>
      </c>
      <c r="M9593" t="s">
        <v>18479</v>
      </c>
      <c r="N9593" t="str">
        <f>"2/29/2016 10:34:00 AM"</f>
        <v>2/29/2016 10:34:00 AM</v>
      </c>
      <c r="O9593" t="s">
        <v>28433</v>
      </c>
      <c r="T9593" t="s">
        <v>28434</v>
      </c>
    </row>
    <row r="9594" spans="1:20" x14ac:dyDescent="0.25">
      <c r="A9594" t="str">
        <f>"3041785"</f>
        <v>3041785</v>
      </c>
      <c r="B9594" t="s">
        <v>28718</v>
      </c>
      <c r="C9594" t="str">
        <f>"8306127"</f>
        <v>8306127</v>
      </c>
      <c r="D9594" t="s">
        <v>28719</v>
      </c>
      <c r="E9594" t="s">
        <v>28720</v>
      </c>
      <c r="F9594" t="s">
        <v>28721</v>
      </c>
      <c r="I9594" t="s">
        <v>2071</v>
      </c>
      <c r="J9594" t="s">
        <v>30</v>
      </c>
      <c r="K9594" t="str">
        <f>"27006"</f>
        <v>27006</v>
      </c>
      <c r="M9594" t="s">
        <v>17861</v>
      </c>
      <c r="N9594" t="str">
        <f>"3/16/2016 12:47:00 PM"</f>
        <v>3/16/2016 12:47:00 PM</v>
      </c>
      <c r="O9594" t="s">
        <v>28719</v>
      </c>
      <c r="T9594" t="s">
        <v>28720</v>
      </c>
    </row>
    <row r="9595" spans="1:20" x14ac:dyDescent="0.25">
      <c r="A9595" t="str">
        <f>"3052730"</f>
        <v>3052730</v>
      </c>
      <c r="B9595" t="s">
        <v>28722</v>
      </c>
      <c r="C9595" t="str">
        <f>"8306129"</f>
        <v>8306129</v>
      </c>
      <c r="D9595" t="s">
        <v>28723</v>
      </c>
      <c r="F9595" t="s">
        <v>28724</v>
      </c>
      <c r="I9595" t="s">
        <v>964</v>
      </c>
      <c r="J9595" t="s">
        <v>30</v>
      </c>
      <c r="K9595" t="str">
        <f>"28146"</f>
        <v>28146</v>
      </c>
      <c r="M9595" t="s">
        <v>17861</v>
      </c>
      <c r="N9595" t="str">
        <f>"3/16/2016 2:04:00 PM"</f>
        <v>3/16/2016 2:04:00 PM</v>
      </c>
      <c r="O9595" t="s">
        <v>28723</v>
      </c>
    </row>
    <row r="9596" spans="1:20" x14ac:dyDescent="0.25">
      <c r="A9596" t="str">
        <f>"3048900"</f>
        <v>3048900</v>
      </c>
      <c r="B9596" t="s">
        <v>28725</v>
      </c>
      <c r="C9596" t="str">
        <f>"73686520"</f>
        <v>73686520</v>
      </c>
      <c r="D9596" t="s">
        <v>28726</v>
      </c>
      <c r="F9596" t="s">
        <v>28727</v>
      </c>
      <c r="I9596" t="s">
        <v>29</v>
      </c>
      <c r="J9596" t="s">
        <v>30</v>
      </c>
      <c r="K9596" t="s">
        <v>31</v>
      </c>
      <c r="L9596" t="s">
        <v>2497</v>
      </c>
      <c r="M9596" t="s">
        <v>17861</v>
      </c>
      <c r="N9596" t="str">
        <f>"4/6/2016 9:39:00 AM"</f>
        <v>4/6/2016 9:39:00 AM</v>
      </c>
      <c r="O9596" t="s">
        <v>28726</v>
      </c>
    </row>
    <row r="9597" spans="1:20" x14ac:dyDescent="0.25">
      <c r="A9597" t="str">
        <f>"3078092"</f>
        <v>3078092</v>
      </c>
      <c r="B9597" t="s">
        <v>28728</v>
      </c>
      <c r="C9597" t="str">
        <f>"186"</f>
        <v>186</v>
      </c>
      <c r="D9597" t="s">
        <v>28729</v>
      </c>
      <c r="F9597" t="s">
        <v>28727</v>
      </c>
      <c r="I9597" t="s">
        <v>29</v>
      </c>
      <c r="J9597" t="s">
        <v>30</v>
      </c>
      <c r="K9597" t="s">
        <v>28730</v>
      </c>
      <c r="M9597" t="s">
        <v>17861</v>
      </c>
      <c r="N9597" t="str">
        <f>"4/6/2016 9:40:00 AM"</f>
        <v>4/6/2016 9:40:00 AM</v>
      </c>
      <c r="O9597" t="s">
        <v>28729</v>
      </c>
    </row>
    <row r="9598" spans="1:20" x14ac:dyDescent="0.25">
      <c r="A9598" t="str">
        <f>"3056481"</f>
        <v>3056481</v>
      </c>
      <c r="B9598" t="s">
        <v>28731</v>
      </c>
      <c r="C9598" t="str">
        <f>"14977370"</f>
        <v>14977370</v>
      </c>
      <c r="D9598" t="s">
        <v>28732</v>
      </c>
      <c r="E9598" t="s">
        <v>28733</v>
      </c>
      <c r="F9598" t="s">
        <v>28734</v>
      </c>
      <c r="I9598" t="s">
        <v>29</v>
      </c>
      <c r="J9598" t="s">
        <v>30</v>
      </c>
      <c r="K9598" t="s">
        <v>31</v>
      </c>
      <c r="M9598" t="s">
        <v>18479</v>
      </c>
      <c r="N9598" t="str">
        <f>"3/21/2016 9:51:00 AM"</f>
        <v>3/21/2016 9:51:00 AM</v>
      </c>
      <c r="O9598" t="s">
        <v>28732</v>
      </c>
      <c r="T9598" t="s">
        <v>28733</v>
      </c>
    </row>
    <row r="9599" spans="1:20" x14ac:dyDescent="0.25">
      <c r="A9599" t="str">
        <f>"3047825"</f>
        <v>3047825</v>
      </c>
      <c r="B9599" t="s">
        <v>28735</v>
      </c>
      <c r="C9599" t="str">
        <f>"15262750"</f>
        <v>15262750</v>
      </c>
      <c r="D9599" t="s">
        <v>28736</v>
      </c>
      <c r="E9599" t="s">
        <v>28737</v>
      </c>
      <c r="F9599" t="s">
        <v>28738</v>
      </c>
      <c r="I9599" t="s">
        <v>184</v>
      </c>
      <c r="J9599" t="s">
        <v>30</v>
      </c>
      <c r="K9599" t="s">
        <v>28739</v>
      </c>
      <c r="M9599" t="s">
        <v>18479</v>
      </c>
      <c r="N9599" t="str">
        <f>"3/21/2016 10:10:00 AM"</f>
        <v>3/21/2016 10:10:00 AM</v>
      </c>
      <c r="O9599" t="s">
        <v>28736</v>
      </c>
      <c r="T9599" t="s">
        <v>28737</v>
      </c>
    </row>
    <row r="9600" spans="1:20" x14ac:dyDescent="0.25">
      <c r="A9600" t="str">
        <f>"3060974"</f>
        <v>3060974</v>
      </c>
      <c r="B9600" t="s">
        <v>28740</v>
      </c>
      <c r="C9600" t="str">
        <f>"17944000"</f>
        <v>17944000</v>
      </c>
      <c r="D9600" t="s">
        <v>28741</v>
      </c>
      <c r="E9600" t="s">
        <v>28742</v>
      </c>
      <c r="F9600" t="s">
        <v>28743</v>
      </c>
      <c r="I9600" t="s">
        <v>2071</v>
      </c>
      <c r="J9600" t="s">
        <v>30</v>
      </c>
      <c r="K9600" t="s">
        <v>185</v>
      </c>
      <c r="M9600" t="s">
        <v>18479</v>
      </c>
      <c r="N9600" t="str">
        <f>"3/21/2016 4:41:00 PM"</f>
        <v>3/21/2016 4:41:00 PM</v>
      </c>
      <c r="O9600" t="s">
        <v>28741</v>
      </c>
      <c r="T9600" t="s">
        <v>28742</v>
      </c>
    </row>
    <row r="9601" spans="1:20" x14ac:dyDescent="0.25">
      <c r="A9601" t="str">
        <f>"3060973"</f>
        <v>3060973</v>
      </c>
      <c r="B9601" t="s">
        <v>28744</v>
      </c>
      <c r="C9601" t="str">
        <f>"17944000"</f>
        <v>17944000</v>
      </c>
      <c r="D9601" t="s">
        <v>28741</v>
      </c>
      <c r="E9601" t="s">
        <v>28742</v>
      </c>
      <c r="F9601" t="s">
        <v>28743</v>
      </c>
      <c r="I9601" t="s">
        <v>2071</v>
      </c>
      <c r="J9601" t="s">
        <v>30</v>
      </c>
      <c r="K9601" t="s">
        <v>185</v>
      </c>
      <c r="M9601" t="s">
        <v>18479</v>
      </c>
      <c r="N9601" t="str">
        <f>"3/21/2016 4:41:00 PM"</f>
        <v>3/21/2016 4:41:00 PM</v>
      </c>
      <c r="O9601" t="s">
        <v>28741</v>
      </c>
      <c r="T9601" t="s">
        <v>28742</v>
      </c>
    </row>
    <row r="9602" spans="1:20" x14ac:dyDescent="0.25">
      <c r="A9602" t="str">
        <f>"3077920"</f>
        <v>3077920</v>
      </c>
      <c r="B9602" t="s">
        <v>28745</v>
      </c>
      <c r="C9602" t="str">
        <f>"16097500"</f>
        <v>16097500</v>
      </c>
      <c r="D9602" t="s">
        <v>28746</v>
      </c>
      <c r="E9602" t="s">
        <v>28747</v>
      </c>
      <c r="F9602" t="s">
        <v>28748</v>
      </c>
      <c r="I9602" t="s">
        <v>29</v>
      </c>
      <c r="J9602" t="s">
        <v>30</v>
      </c>
      <c r="K9602" t="s">
        <v>31</v>
      </c>
      <c r="M9602" t="s">
        <v>18479</v>
      </c>
      <c r="N9602" t="str">
        <f>"3/22/2016 9:34:00 AM"</f>
        <v>3/22/2016 9:34:00 AM</v>
      </c>
      <c r="O9602" t="s">
        <v>28746</v>
      </c>
      <c r="T9602" t="s">
        <v>28747</v>
      </c>
    </row>
    <row r="9603" spans="1:20" x14ac:dyDescent="0.25">
      <c r="A9603" t="str">
        <f>"3049819"</f>
        <v>3049819</v>
      </c>
      <c r="B9603" t="s">
        <v>28749</v>
      </c>
      <c r="C9603" t="str">
        <f>"8306140"</f>
        <v>8306140</v>
      </c>
      <c r="D9603" t="s">
        <v>28750</v>
      </c>
      <c r="F9603" t="s">
        <v>28751</v>
      </c>
      <c r="I9603" t="s">
        <v>29</v>
      </c>
      <c r="J9603" t="s">
        <v>30</v>
      </c>
      <c r="K9603" t="str">
        <f>"27028"</f>
        <v>27028</v>
      </c>
      <c r="M9603" t="s">
        <v>17861</v>
      </c>
      <c r="N9603" t="str">
        <f>"3/22/2016 10:57:00 AM"</f>
        <v>3/22/2016 10:57:00 AM</v>
      </c>
      <c r="O9603" t="s">
        <v>28750</v>
      </c>
    </row>
    <row r="9604" spans="1:20" x14ac:dyDescent="0.25">
      <c r="A9604" t="str">
        <f>"3056007"</f>
        <v>3056007</v>
      </c>
      <c r="B9604" t="s">
        <v>28752</v>
      </c>
      <c r="C9604" t="str">
        <f>"8304994"</f>
        <v>8304994</v>
      </c>
      <c r="D9604" t="s">
        <v>28652</v>
      </c>
      <c r="F9604" t="s">
        <v>28653</v>
      </c>
      <c r="I9604" t="s">
        <v>28654</v>
      </c>
      <c r="J9604" t="s">
        <v>30</v>
      </c>
      <c r="K9604" t="str">
        <f>"28697"</f>
        <v>28697</v>
      </c>
      <c r="M9604" t="s">
        <v>17861</v>
      </c>
      <c r="N9604" t="str">
        <f>"3/23/2016 12:21:00 PM"</f>
        <v>3/23/2016 12:21:00 PM</v>
      </c>
      <c r="O9604" t="s">
        <v>28652</v>
      </c>
    </row>
    <row r="9605" spans="1:20" x14ac:dyDescent="0.25">
      <c r="A9605" t="str">
        <f>"3055696"</f>
        <v>3055696</v>
      </c>
      <c r="B9605" t="s">
        <v>28753</v>
      </c>
      <c r="C9605" t="str">
        <f>"8304994"</f>
        <v>8304994</v>
      </c>
      <c r="D9605" t="s">
        <v>28652</v>
      </c>
      <c r="F9605" t="s">
        <v>28653</v>
      </c>
      <c r="I9605" t="s">
        <v>28654</v>
      </c>
      <c r="J9605" t="s">
        <v>30</v>
      </c>
      <c r="K9605" t="str">
        <f>"28697"</f>
        <v>28697</v>
      </c>
      <c r="M9605" t="s">
        <v>17861</v>
      </c>
      <c r="N9605" t="str">
        <f>"3/23/2016 12:21:00 PM"</f>
        <v>3/23/2016 12:21:00 PM</v>
      </c>
      <c r="O9605" t="s">
        <v>28652</v>
      </c>
    </row>
    <row r="9606" spans="1:20" x14ac:dyDescent="0.25">
      <c r="A9606" t="str">
        <f>"3055974"</f>
        <v>3055974</v>
      </c>
      <c r="B9606" t="s">
        <v>28754</v>
      </c>
      <c r="C9606" t="str">
        <f>"8304994"</f>
        <v>8304994</v>
      </c>
      <c r="D9606" t="s">
        <v>28652</v>
      </c>
      <c r="F9606" t="s">
        <v>28653</v>
      </c>
      <c r="I9606" t="s">
        <v>28654</v>
      </c>
      <c r="J9606" t="s">
        <v>30</v>
      </c>
      <c r="K9606" t="str">
        <f>"28697"</f>
        <v>28697</v>
      </c>
      <c r="M9606" t="s">
        <v>17861</v>
      </c>
      <c r="N9606" t="str">
        <f>"3/23/2016 12:21:00 PM"</f>
        <v>3/23/2016 12:21:00 PM</v>
      </c>
      <c r="O9606" t="s">
        <v>28652</v>
      </c>
    </row>
    <row r="9607" spans="1:20" x14ac:dyDescent="0.25">
      <c r="A9607" t="str">
        <f>"3046859"</f>
        <v>3046859</v>
      </c>
      <c r="B9607" t="s">
        <v>28755</v>
      </c>
      <c r="C9607" t="str">
        <f>"8306163"</f>
        <v>8306163</v>
      </c>
      <c r="D9607" t="s">
        <v>28756</v>
      </c>
      <c r="E9607" t="s">
        <v>28757</v>
      </c>
      <c r="F9607" t="s">
        <v>28758</v>
      </c>
      <c r="I9607" t="s">
        <v>29</v>
      </c>
      <c r="J9607" t="s">
        <v>30</v>
      </c>
      <c r="K9607" t="str">
        <f>"27028"</f>
        <v>27028</v>
      </c>
      <c r="M9607" t="s">
        <v>17861</v>
      </c>
      <c r="N9607" t="str">
        <f>"3/24/2016 10:58:00 AM"</f>
        <v>3/24/2016 10:58:00 AM</v>
      </c>
      <c r="O9607" t="s">
        <v>28756</v>
      </c>
      <c r="T9607" t="s">
        <v>28757</v>
      </c>
    </row>
    <row r="9608" spans="1:20" x14ac:dyDescent="0.25">
      <c r="A9608" t="str">
        <f>"3076843"</f>
        <v>3076843</v>
      </c>
      <c r="B9608" t="s">
        <v>28759</v>
      </c>
      <c r="C9608" t="str">
        <f>"57832000"</f>
        <v>57832000</v>
      </c>
      <c r="D9608" t="s">
        <v>28760</v>
      </c>
      <c r="F9608" t="s">
        <v>28761</v>
      </c>
      <c r="I9608" t="s">
        <v>29</v>
      </c>
      <c r="J9608" t="s">
        <v>30</v>
      </c>
      <c r="K9608" t="s">
        <v>28762</v>
      </c>
      <c r="M9608" t="s">
        <v>25625</v>
      </c>
      <c r="N9608" t="str">
        <f>"3/28/2016 4:50:00 PM"</f>
        <v>3/28/2016 4:50:00 PM</v>
      </c>
      <c r="O9608" t="s">
        <v>28760</v>
      </c>
    </row>
    <row r="9609" spans="1:20" x14ac:dyDescent="0.25">
      <c r="A9609" t="str">
        <f>"3039772"</f>
        <v>3039772</v>
      </c>
      <c r="B9609" t="s">
        <v>28763</v>
      </c>
      <c r="C9609" t="str">
        <f>"8306214"</f>
        <v>8306214</v>
      </c>
      <c r="D9609" t="s">
        <v>28764</v>
      </c>
      <c r="E9609" t="s">
        <v>28765</v>
      </c>
      <c r="F9609" t="s">
        <v>28766</v>
      </c>
      <c r="I9609" t="s">
        <v>184</v>
      </c>
      <c r="J9609" t="s">
        <v>30</v>
      </c>
      <c r="K9609" t="str">
        <f>"27006"</f>
        <v>27006</v>
      </c>
      <c r="M9609" t="s">
        <v>17861</v>
      </c>
      <c r="N9609" t="str">
        <f>"4/19/2016 1:44:00 PM"</f>
        <v>4/19/2016 1:44:00 PM</v>
      </c>
      <c r="O9609" t="s">
        <v>28764</v>
      </c>
      <c r="T9609" t="s">
        <v>28765</v>
      </c>
    </row>
    <row r="9610" spans="1:20" x14ac:dyDescent="0.25">
      <c r="A9610" t="str">
        <f>"3061769"</f>
        <v>3061769</v>
      </c>
      <c r="B9610" t="s">
        <v>28767</v>
      </c>
      <c r="C9610" t="str">
        <f>"8306215"</f>
        <v>8306215</v>
      </c>
      <c r="D9610" t="s">
        <v>28768</v>
      </c>
      <c r="E9610" t="s">
        <v>28769</v>
      </c>
      <c r="F9610" t="s">
        <v>28770</v>
      </c>
      <c r="I9610" t="s">
        <v>2071</v>
      </c>
      <c r="J9610" t="s">
        <v>30</v>
      </c>
      <c r="K9610" t="str">
        <f>"27006"</f>
        <v>27006</v>
      </c>
      <c r="M9610" t="s">
        <v>17861</v>
      </c>
      <c r="N9610" t="str">
        <f>"4/19/2016 1:59:00 PM"</f>
        <v>4/19/2016 1:59:00 PM</v>
      </c>
      <c r="O9610" t="s">
        <v>28768</v>
      </c>
      <c r="T9610" t="s">
        <v>28769</v>
      </c>
    </row>
    <row r="9611" spans="1:20" x14ac:dyDescent="0.25">
      <c r="A9611" t="str">
        <f>"3044341"</f>
        <v>3044341</v>
      </c>
      <c r="B9611" t="s">
        <v>28771</v>
      </c>
      <c r="C9611" t="str">
        <f>"8306217"</f>
        <v>8306217</v>
      </c>
      <c r="D9611" t="s">
        <v>28772</v>
      </c>
      <c r="E9611" t="s">
        <v>28773</v>
      </c>
      <c r="F9611" t="s">
        <v>28774</v>
      </c>
      <c r="I9611" t="s">
        <v>184</v>
      </c>
      <c r="J9611" t="s">
        <v>30</v>
      </c>
      <c r="K9611" t="str">
        <f>"27006"</f>
        <v>27006</v>
      </c>
      <c r="M9611" t="s">
        <v>17861</v>
      </c>
      <c r="N9611" t="str">
        <f>"4/19/2016 2:29:00 PM"</f>
        <v>4/19/2016 2:29:00 PM</v>
      </c>
      <c r="O9611" t="s">
        <v>28772</v>
      </c>
      <c r="T9611" t="s">
        <v>28773</v>
      </c>
    </row>
    <row r="9612" spans="1:20" x14ac:dyDescent="0.25">
      <c r="A9612" t="str">
        <f>"3054438"</f>
        <v>3054438</v>
      </c>
      <c r="B9612" t="s">
        <v>28775</v>
      </c>
      <c r="C9612" t="str">
        <f>"8306219"</f>
        <v>8306219</v>
      </c>
      <c r="D9612" t="s">
        <v>28776</v>
      </c>
      <c r="E9612" t="s">
        <v>28777</v>
      </c>
      <c r="F9612" t="s">
        <v>28778</v>
      </c>
      <c r="I9612" t="s">
        <v>29</v>
      </c>
      <c r="J9612" t="s">
        <v>30</v>
      </c>
      <c r="K9612" t="str">
        <f>"27028"</f>
        <v>27028</v>
      </c>
      <c r="M9612" t="s">
        <v>17861</v>
      </c>
      <c r="N9612" t="str">
        <f>"4/19/2016 3:44:00 PM"</f>
        <v>4/19/2016 3:44:00 PM</v>
      </c>
      <c r="O9612" t="s">
        <v>28776</v>
      </c>
      <c r="T9612" t="s">
        <v>28777</v>
      </c>
    </row>
    <row r="9613" spans="1:20" x14ac:dyDescent="0.25">
      <c r="A9613" t="str">
        <f>"3039732"</f>
        <v>3039732</v>
      </c>
      <c r="B9613" t="s">
        <v>28779</v>
      </c>
      <c r="C9613" t="str">
        <f>"8306220"</f>
        <v>8306220</v>
      </c>
      <c r="D9613" t="s">
        <v>28780</v>
      </c>
      <c r="E9613" t="s">
        <v>28781</v>
      </c>
      <c r="F9613" t="s">
        <v>28782</v>
      </c>
      <c r="I9613" t="s">
        <v>29</v>
      </c>
      <c r="J9613" t="s">
        <v>30</v>
      </c>
      <c r="K9613" t="str">
        <f>"27028"</f>
        <v>27028</v>
      </c>
      <c r="M9613" t="s">
        <v>17861</v>
      </c>
      <c r="N9613" t="str">
        <f>"4/19/2016 3:50:00 PM"</f>
        <v>4/19/2016 3:50:00 PM</v>
      </c>
      <c r="O9613" t="s">
        <v>28780</v>
      </c>
      <c r="T9613" t="s">
        <v>28781</v>
      </c>
    </row>
    <row r="9614" spans="1:20" x14ac:dyDescent="0.25">
      <c r="A9614" t="str">
        <f>"3039450"</f>
        <v>3039450</v>
      </c>
      <c r="B9614" t="s">
        <v>28783</v>
      </c>
      <c r="C9614" t="str">
        <f>"8306220"</f>
        <v>8306220</v>
      </c>
      <c r="D9614" t="s">
        <v>28780</v>
      </c>
      <c r="E9614" t="s">
        <v>28781</v>
      </c>
      <c r="F9614" t="s">
        <v>28782</v>
      </c>
      <c r="I9614" t="s">
        <v>29</v>
      </c>
      <c r="J9614" t="s">
        <v>30</v>
      </c>
      <c r="K9614" t="str">
        <f>"27028"</f>
        <v>27028</v>
      </c>
      <c r="M9614" t="s">
        <v>17861</v>
      </c>
      <c r="N9614" t="str">
        <f>"4/19/2016 3:50:00 PM"</f>
        <v>4/19/2016 3:50:00 PM</v>
      </c>
      <c r="O9614" t="s">
        <v>28780</v>
      </c>
      <c r="T9614" t="s">
        <v>28781</v>
      </c>
    </row>
    <row r="9615" spans="1:20" x14ac:dyDescent="0.25">
      <c r="A9615" t="str">
        <f>"3040536"</f>
        <v>3040536</v>
      </c>
      <c r="B9615" t="s">
        <v>28784</v>
      </c>
      <c r="C9615" t="str">
        <f>"8306221"</f>
        <v>8306221</v>
      </c>
      <c r="D9615" t="s">
        <v>28785</v>
      </c>
      <c r="F9615" t="s">
        <v>28786</v>
      </c>
      <c r="I9615" t="s">
        <v>184</v>
      </c>
      <c r="J9615" t="s">
        <v>30</v>
      </c>
      <c r="K9615" t="str">
        <f>"27006"</f>
        <v>27006</v>
      </c>
      <c r="M9615" t="s">
        <v>17861</v>
      </c>
      <c r="N9615" t="str">
        <f>"4/19/2016 3:52:00 PM"</f>
        <v>4/19/2016 3:52:00 PM</v>
      </c>
      <c r="O9615" t="s">
        <v>28785</v>
      </c>
    </row>
    <row r="9616" spans="1:20" x14ac:dyDescent="0.25">
      <c r="A9616" t="str">
        <f>"3043371"</f>
        <v>3043371</v>
      </c>
      <c r="B9616" t="s">
        <v>28787</v>
      </c>
      <c r="C9616" t="str">
        <f>"8306222"</f>
        <v>8306222</v>
      </c>
      <c r="D9616" t="s">
        <v>28788</v>
      </c>
      <c r="E9616" t="s">
        <v>28789</v>
      </c>
      <c r="F9616" t="s">
        <v>28790</v>
      </c>
      <c r="I9616" t="s">
        <v>29</v>
      </c>
      <c r="J9616" t="s">
        <v>30</v>
      </c>
      <c r="K9616" t="str">
        <f>"27028"</f>
        <v>27028</v>
      </c>
      <c r="M9616" t="s">
        <v>17861</v>
      </c>
      <c r="N9616" t="str">
        <f>"4/19/2016 3:54:00 PM"</f>
        <v>4/19/2016 3:54:00 PM</v>
      </c>
      <c r="O9616" t="s">
        <v>28788</v>
      </c>
      <c r="T9616" t="s">
        <v>28789</v>
      </c>
    </row>
    <row r="9617" spans="1:20" x14ac:dyDescent="0.25">
      <c r="A9617" t="str">
        <f>"3048161"</f>
        <v>3048161</v>
      </c>
      <c r="B9617" t="s">
        <v>28791</v>
      </c>
      <c r="C9617" t="str">
        <f>"82531164"</f>
        <v>82531164</v>
      </c>
      <c r="D9617" t="s">
        <v>28792</v>
      </c>
      <c r="F9617" t="s">
        <v>28793</v>
      </c>
      <c r="I9617" t="s">
        <v>184</v>
      </c>
      <c r="J9617" t="s">
        <v>30</v>
      </c>
      <c r="K9617" t="s">
        <v>185</v>
      </c>
      <c r="M9617" t="s">
        <v>18479</v>
      </c>
      <c r="N9617" t="str">
        <f>"3/29/2016 10:19:00 AM"</f>
        <v>3/29/2016 10:19:00 AM</v>
      </c>
      <c r="O9617" t="s">
        <v>28792</v>
      </c>
    </row>
    <row r="9618" spans="1:20" x14ac:dyDescent="0.25">
      <c r="A9618" t="str">
        <f>"3053862"</f>
        <v>3053862</v>
      </c>
      <c r="B9618" t="s">
        <v>28794</v>
      </c>
      <c r="C9618" t="str">
        <f>"8306174"</f>
        <v>8306174</v>
      </c>
      <c r="D9618" t="s">
        <v>28795</v>
      </c>
      <c r="E9618" t="s">
        <v>28796</v>
      </c>
      <c r="F9618" t="s">
        <v>28797</v>
      </c>
      <c r="I9618" t="s">
        <v>29</v>
      </c>
      <c r="J9618" t="s">
        <v>30</v>
      </c>
      <c r="K9618" t="str">
        <f>"27028"</f>
        <v>27028</v>
      </c>
      <c r="M9618" t="s">
        <v>17861</v>
      </c>
      <c r="N9618" t="str">
        <f>"3/29/2016 12:18:00 PM"</f>
        <v>3/29/2016 12:18:00 PM</v>
      </c>
      <c r="O9618" t="s">
        <v>28795</v>
      </c>
      <c r="T9618" t="s">
        <v>28796</v>
      </c>
    </row>
    <row r="9619" spans="1:20" x14ac:dyDescent="0.25">
      <c r="A9619" t="str">
        <f>"3049864"</f>
        <v>3049864</v>
      </c>
      <c r="B9619" t="s">
        <v>28798</v>
      </c>
      <c r="C9619" t="str">
        <f>"82526909"</f>
        <v>82526909</v>
      </c>
      <c r="D9619" t="s">
        <v>28799</v>
      </c>
      <c r="E9619" t="s">
        <v>28800</v>
      </c>
      <c r="F9619" t="s">
        <v>28801</v>
      </c>
      <c r="I9619" t="s">
        <v>29</v>
      </c>
      <c r="J9619" t="s">
        <v>30</v>
      </c>
      <c r="K9619" t="s">
        <v>31</v>
      </c>
      <c r="M9619" t="s">
        <v>25625</v>
      </c>
      <c r="N9619" t="str">
        <f>"4/22/2016 10:20:00 AM"</f>
        <v>4/22/2016 10:20:00 AM</v>
      </c>
      <c r="O9619" t="s">
        <v>28799</v>
      </c>
      <c r="T9619" t="s">
        <v>28800</v>
      </c>
    </row>
    <row r="9620" spans="1:20" x14ac:dyDescent="0.25">
      <c r="A9620" t="str">
        <f>"3066707"</f>
        <v>3066707</v>
      </c>
      <c r="B9620" t="s">
        <v>28802</v>
      </c>
      <c r="C9620" t="str">
        <f>"8304560"</f>
        <v>8304560</v>
      </c>
      <c r="D9620" t="s">
        <v>28803</v>
      </c>
      <c r="E9620" t="s">
        <v>28804</v>
      </c>
      <c r="F9620" t="s">
        <v>28805</v>
      </c>
      <c r="I9620" t="s">
        <v>184</v>
      </c>
      <c r="J9620" t="s">
        <v>30</v>
      </c>
      <c r="K9620" t="str">
        <f>"27006"</f>
        <v>27006</v>
      </c>
      <c r="M9620" t="s">
        <v>18479</v>
      </c>
      <c r="N9620" t="str">
        <f>"3/29/2016 1:39:00 PM"</f>
        <v>3/29/2016 1:39:00 PM</v>
      </c>
      <c r="O9620" t="s">
        <v>28803</v>
      </c>
      <c r="T9620" t="s">
        <v>28804</v>
      </c>
    </row>
    <row r="9621" spans="1:20" x14ac:dyDescent="0.25">
      <c r="A9621" t="str">
        <f>"3047996"</f>
        <v>3047996</v>
      </c>
      <c r="B9621" t="s">
        <v>28806</v>
      </c>
      <c r="C9621" t="str">
        <f>"26148000"</f>
        <v>26148000</v>
      </c>
      <c r="D9621" t="s">
        <v>28807</v>
      </c>
      <c r="E9621" t="s">
        <v>28808</v>
      </c>
      <c r="F9621" t="s">
        <v>8857</v>
      </c>
      <c r="I9621" t="s">
        <v>184</v>
      </c>
      <c r="J9621" t="s">
        <v>30</v>
      </c>
      <c r="K9621" t="s">
        <v>185</v>
      </c>
      <c r="M9621" t="s">
        <v>25733</v>
      </c>
      <c r="N9621" t="str">
        <f>"3/29/2016 2:49:00 PM"</f>
        <v>3/29/2016 2:49:00 PM</v>
      </c>
      <c r="O9621" t="s">
        <v>28807</v>
      </c>
      <c r="T9621" t="s">
        <v>28808</v>
      </c>
    </row>
    <row r="9622" spans="1:20" x14ac:dyDescent="0.25">
      <c r="A9622" t="str">
        <f>"3078274"</f>
        <v>3078274</v>
      </c>
      <c r="B9622" t="s">
        <v>28809</v>
      </c>
      <c r="C9622" t="str">
        <f>"8302548"</f>
        <v>8302548</v>
      </c>
      <c r="D9622" t="s">
        <v>28810</v>
      </c>
      <c r="E9622" t="s">
        <v>28811</v>
      </c>
      <c r="F9622" t="s">
        <v>28812</v>
      </c>
      <c r="I9622" t="s">
        <v>29</v>
      </c>
      <c r="J9622" t="s">
        <v>30</v>
      </c>
      <c r="K9622" t="str">
        <f>"27028"</f>
        <v>27028</v>
      </c>
      <c r="M9622" t="s">
        <v>25733</v>
      </c>
      <c r="N9622" t="str">
        <f>"4/22/2016 3:42:00 PM"</f>
        <v>4/22/2016 3:42:00 PM</v>
      </c>
      <c r="O9622" t="s">
        <v>28810</v>
      </c>
      <c r="T9622" t="s">
        <v>28811</v>
      </c>
    </row>
    <row r="9623" spans="1:20" x14ac:dyDescent="0.25">
      <c r="A9623" t="str">
        <f>"3044723"</f>
        <v>3044723</v>
      </c>
      <c r="B9623" t="s">
        <v>28813</v>
      </c>
      <c r="C9623" t="str">
        <f>"8306240"</f>
        <v>8306240</v>
      </c>
      <c r="D9623" t="s">
        <v>28814</v>
      </c>
      <c r="E9623" t="s">
        <v>28815</v>
      </c>
      <c r="F9623" t="s">
        <v>28816</v>
      </c>
      <c r="I9623" t="s">
        <v>184</v>
      </c>
      <c r="J9623" t="s">
        <v>30</v>
      </c>
      <c r="K9623" t="str">
        <f>"27006"</f>
        <v>27006</v>
      </c>
      <c r="M9623" t="s">
        <v>17861</v>
      </c>
      <c r="N9623" t="str">
        <f>"4/22/2016 3:48:00 PM"</f>
        <v>4/22/2016 3:48:00 PM</v>
      </c>
      <c r="O9623" t="s">
        <v>28814</v>
      </c>
      <c r="T9623" t="s">
        <v>28815</v>
      </c>
    </row>
    <row r="9624" spans="1:20" x14ac:dyDescent="0.25">
      <c r="A9624" t="str">
        <f>"3046254"</f>
        <v>3046254</v>
      </c>
      <c r="B9624" t="s">
        <v>28817</v>
      </c>
      <c r="C9624" t="str">
        <f>"8306242"</f>
        <v>8306242</v>
      </c>
      <c r="D9624" t="s">
        <v>28818</v>
      </c>
      <c r="E9624" t="s">
        <v>28819</v>
      </c>
      <c r="F9624" t="s">
        <v>28820</v>
      </c>
      <c r="I9624" t="s">
        <v>29</v>
      </c>
      <c r="J9624" t="s">
        <v>30</v>
      </c>
      <c r="K9624" t="str">
        <f>"27028"</f>
        <v>27028</v>
      </c>
      <c r="M9624" t="s">
        <v>17861</v>
      </c>
      <c r="N9624" t="str">
        <f>"4/22/2016 3:58:00 PM"</f>
        <v>4/22/2016 3:58:00 PM</v>
      </c>
      <c r="O9624" t="s">
        <v>28818</v>
      </c>
      <c r="T9624" t="s">
        <v>28819</v>
      </c>
    </row>
    <row r="9625" spans="1:20" x14ac:dyDescent="0.25">
      <c r="A9625" t="str">
        <f>"3062372"</f>
        <v>3062372</v>
      </c>
      <c r="B9625" t="s">
        <v>28821</v>
      </c>
      <c r="C9625" t="str">
        <f>"8306250"</f>
        <v>8306250</v>
      </c>
      <c r="D9625" t="s">
        <v>28822</v>
      </c>
      <c r="E9625" t="s">
        <v>28823</v>
      </c>
      <c r="F9625" t="s">
        <v>28824</v>
      </c>
      <c r="I9625" t="s">
        <v>29</v>
      </c>
      <c r="J9625" t="s">
        <v>30</v>
      </c>
      <c r="K9625" t="str">
        <f>"27028"</f>
        <v>27028</v>
      </c>
      <c r="M9625" t="s">
        <v>17861</v>
      </c>
      <c r="N9625" t="str">
        <f>"4/22/2016 4:34:00 PM"</f>
        <v>4/22/2016 4:34:00 PM</v>
      </c>
      <c r="O9625" t="s">
        <v>28822</v>
      </c>
      <c r="T9625" t="s">
        <v>28823</v>
      </c>
    </row>
    <row r="9626" spans="1:20" x14ac:dyDescent="0.25">
      <c r="A9626" t="str">
        <f>"3048473"</f>
        <v>3048473</v>
      </c>
      <c r="B9626" t="s">
        <v>28825</v>
      </c>
      <c r="C9626" t="str">
        <f>"8306178"</f>
        <v>8306178</v>
      </c>
      <c r="D9626" t="s">
        <v>28826</v>
      </c>
      <c r="E9626" t="s">
        <v>28827</v>
      </c>
      <c r="F9626" t="s">
        <v>28828</v>
      </c>
      <c r="I9626" t="s">
        <v>29</v>
      </c>
      <c r="J9626" t="s">
        <v>30</v>
      </c>
      <c r="K9626" t="str">
        <f>"27028"</f>
        <v>27028</v>
      </c>
      <c r="M9626" t="s">
        <v>17861</v>
      </c>
      <c r="N9626" t="str">
        <f>"3/30/2016 9:26:00 AM"</f>
        <v>3/30/2016 9:26:00 AM</v>
      </c>
      <c r="O9626" t="s">
        <v>28826</v>
      </c>
      <c r="T9626" t="s">
        <v>28827</v>
      </c>
    </row>
    <row r="9627" spans="1:20" x14ac:dyDescent="0.25">
      <c r="A9627" t="str">
        <f>"3045502"</f>
        <v>3045502</v>
      </c>
      <c r="B9627" t="s">
        <v>28829</v>
      </c>
      <c r="C9627" t="str">
        <f>"5768000"</f>
        <v>5768000</v>
      </c>
      <c r="D9627" t="s">
        <v>28830</v>
      </c>
      <c r="F9627" t="s">
        <v>28831</v>
      </c>
      <c r="I9627" t="s">
        <v>29</v>
      </c>
      <c r="J9627" t="s">
        <v>30</v>
      </c>
      <c r="K9627" t="s">
        <v>28832</v>
      </c>
      <c r="M9627" t="s">
        <v>18479</v>
      </c>
      <c r="N9627" t="str">
        <f>"3/15/2016 3:45:00 PM"</f>
        <v>3/15/2016 3:45:00 PM</v>
      </c>
      <c r="O9627" t="s">
        <v>28830</v>
      </c>
    </row>
    <row r="9628" spans="1:20" x14ac:dyDescent="0.25">
      <c r="A9628" t="str">
        <f>"3037874"</f>
        <v>3037874</v>
      </c>
      <c r="B9628" t="s">
        <v>28833</v>
      </c>
      <c r="C9628" t="str">
        <f>"8306256"</f>
        <v>8306256</v>
      </c>
      <c r="D9628" t="s">
        <v>28834</v>
      </c>
      <c r="F9628" t="s">
        <v>28835</v>
      </c>
      <c r="I9628" t="s">
        <v>1176</v>
      </c>
      <c r="J9628" t="s">
        <v>30</v>
      </c>
      <c r="K9628" t="str">
        <f>"27054"</f>
        <v>27054</v>
      </c>
      <c r="M9628" t="s">
        <v>17861</v>
      </c>
      <c r="N9628" t="str">
        <f>"4/25/2016 1:35:00 PM"</f>
        <v>4/25/2016 1:35:00 PM</v>
      </c>
      <c r="O9628" t="s">
        <v>28834</v>
      </c>
    </row>
    <row r="9629" spans="1:20" x14ac:dyDescent="0.25">
      <c r="A9629" t="str">
        <f>"3037323"</f>
        <v>3037323</v>
      </c>
      <c r="B9629" t="s">
        <v>28836</v>
      </c>
      <c r="C9629" t="str">
        <f>"8306257"</f>
        <v>8306257</v>
      </c>
      <c r="D9629" t="s">
        <v>28837</v>
      </c>
      <c r="F9629" t="s">
        <v>28838</v>
      </c>
      <c r="I9629" t="s">
        <v>184</v>
      </c>
      <c r="J9629" t="s">
        <v>30</v>
      </c>
      <c r="K9629" t="str">
        <f>"27006"</f>
        <v>27006</v>
      </c>
      <c r="M9629" t="s">
        <v>17861</v>
      </c>
      <c r="N9629" t="str">
        <f>"4/25/2016 1:46:00 PM"</f>
        <v>4/25/2016 1:46:00 PM</v>
      </c>
      <c r="O9629" t="s">
        <v>28837</v>
      </c>
    </row>
    <row r="9630" spans="1:20" x14ac:dyDescent="0.25">
      <c r="A9630" t="str">
        <f>"3058742"</f>
        <v>3058742</v>
      </c>
      <c r="B9630" t="s">
        <v>28839</v>
      </c>
      <c r="C9630" t="str">
        <f>"82530961"</f>
        <v>82530961</v>
      </c>
      <c r="D9630" t="s">
        <v>28840</v>
      </c>
      <c r="E9630" t="s">
        <v>19670</v>
      </c>
      <c r="F9630" t="s">
        <v>28841</v>
      </c>
      <c r="I9630" t="s">
        <v>29</v>
      </c>
      <c r="J9630" t="s">
        <v>30</v>
      </c>
      <c r="K9630" t="s">
        <v>31</v>
      </c>
      <c r="M9630" t="s">
        <v>25733</v>
      </c>
      <c r="N9630" t="str">
        <f>"4/26/2016 10:45:00 AM"</f>
        <v>4/26/2016 10:45:00 AM</v>
      </c>
      <c r="O9630" t="s">
        <v>28840</v>
      </c>
      <c r="T9630" t="s">
        <v>19670</v>
      </c>
    </row>
    <row r="9631" spans="1:20" x14ac:dyDescent="0.25">
      <c r="A9631" t="str">
        <f>"3039135"</f>
        <v>3039135</v>
      </c>
      <c r="B9631" t="s">
        <v>28842</v>
      </c>
      <c r="C9631" t="str">
        <f>"8306185"</f>
        <v>8306185</v>
      </c>
      <c r="D9631" t="s">
        <v>28843</v>
      </c>
      <c r="E9631" t="s">
        <v>28844</v>
      </c>
      <c r="F9631" t="s">
        <v>28845</v>
      </c>
      <c r="I9631" t="s">
        <v>29</v>
      </c>
      <c r="J9631" t="s">
        <v>30</v>
      </c>
      <c r="K9631" t="str">
        <f>"27028"</f>
        <v>27028</v>
      </c>
      <c r="M9631" t="s">
        <v>17861</v>
      </c>
      <c r="N9631" t="str">
        <f>"3/31/2016 2:13:00 PM"</f>
        <v>3/31/2016 2:13:00 PM</v>
      </c>
      <c r="O9631" t="s">
        <v>28843</v>
      </c>
      <c r="T9631" t="s">
        <v>28844</v>
      </c>
    </row>
    <row r="9632" spans="1:20" x14ac:dyDescent="0.25">
      <c r="A9632" t="str">
        <f>"3049672"</f>
        <v>3049672</v>
      </c>
      <c r="B9632" t="s">
        <v>28846</v>
      </c>
      <c r="C9632" t="str">
        <f>"82527609"</f>
        <v>82527609</v>
      </c>
      <c r="D9632" t="s">
        <v>28847</v>
      </c>
      <c r="F9632" t="s">
        <v>28848</v>
      </c>
      <c r="I9632" t="s">
        <v>29</v>
      </c>
      <c r="J9632" t="s">
        <v>30</v>
      </c>
      <c r="K9632" t="s">
        <v>31</v>
      </c>
      <c r="M9632" t="s">
        <v>26316</v>
      </c>
      <c r="N9632" t="str">
        <f>"3/15/2016 4:20:00 PM"</f>
        <v>3/15/2016 4:20:00 PM</v>
      </c>
      <c r="O9632" t="s">
        <v>28847</v>
      </c>
    </row>
    <row r="9633" spans="1:20" x14ac:dyDescent="0.25">
      <c r="A9633" t="str">
        <f>"3066955"</f>
        <v>3066955</v>
      </c>
      <c r="B9633" t="s">
        <v>28849</v>
      </c>
      <c r="C9633" t="str">
        <f>"8306126"</f>
        <v>8306126</v>
      </c>
      <c r="D9633" t="s">
        <v>28850</v>
      </c>
      <c r="E9633" t="s">
        <v>28851</v>
      </c>
      <c r="F9633" t="s">
        <v>28852</v>
      </c>
      <c r="I9633" t="s">
        <v>2071</v>
      </c>
      <c r="J9633" t="s">
        <v>30</v>
      </c>
      <c r="K9633" t="str">
        <f>"27006"</f>
        <v>27006</v>
      </c>
      <c r="M9633" t="s">
        <v>17861</v>
      </c>
      <c r="N9633" t="str">
        <f>"3/16/2016 12:46:00 PM"</f>
        <v>3/16/2016 12:46:00 PM</v>
      </c>
      <c r="O9633" t="s">
        <v>28850</v>
      </c>
      <c r="T9633" t="s">
        <v>28851</v>
      </c>
    </row>
    <row r="9634" spans="1:20" x14ac:dyDescent="0.25">
      <c r="A9634" t="str">
        <f>"3044688"</f>
        <v>3044688</v>
      </c>
      <c r="B9634" t="s">
        <v>28853</v>
      </c>
      <c r="C9634" t="str">
        <f>"8304779"</f>
        <v>8304779</v>
      </c>
      <c r="D9634" t="s">
        <v>28854</v>
      </c>
      <c r="E9634" t="s">
        <v>28855</v>
      </c>
      <c r="F9634" t="s">
        <v>28856</v>
      </c>
      <c r="I9634" t="s">
        <v>24359</v>
      </c>
      <c r="J9634" t="s">
        <v>30</v>
      </c>
      <c r="K9634" t="str">
        <f>"27006"</f>
        <v>27006</v>
      </c>
      <c r="M9634" t="s">
        <v>18479</v>
      </c>
      <c r="N9634" t="str">
        <f>"4/5/2016 4:06:00 PM"</f>
        <v>4/5/2016 4:06:00 PM</v>
      </c>
      <c r="O9634" t="s">
        <v>28854</v>
      </c>
      <c r="T9634" t="s">
        <v>28855</v>
      </c>
    </row>
    <row r="9635" spans="1:20" x14ac:dyDescent="0.25">
      <c r="A9635" t="str">
        <f>"3053541"</f>
        <v>3053541</v>
      </c>
      <c r="B9635" t="s">
        <v>28857</v>
      </c>
      <c r="C9635" t="str">
        <f>"82525679"</f>
        <v>82525679</v>
      </c>
      <c r="D9635" t="s">
        <v>14349</v>
      </c>
      <c r="F9635" t="s">
        <v>14350</v>
      </c>
      <c r="I9635" t="s">
        <v>29</v>
      </c>
      <c r="J9635" t="s">
        <v>30</v>
      </c>
      <c r="K9635" t="s">
        <v>31</v>
      </c>
      <c r="M9635" t="s">
        <v>25625</v>
      </c>
      <c r="N9635" t="str">
        <f>"4/6/2016 2:56:00 PM"</f>
        <v>4/6/2016 2:56:00 PM</v>
      </c>
      <c r="O9635" t="s">
        <v>14349</v>
      </c>
    </row>
    <row r="9636" spans="1:20" x14ac:dyDescent="0.25">
      <c r="A9636" t="str">
        <f>"3062548"</f>
        <v>3062548</v>
      </c>
      <c r="B9636" t="s">
        <v>28858</v>
      </c>
      <c r="C9636" t="str">
        <f>"8306266"</f>
        <v>8306266</v>
      </c>
      <c r="D9636" t="s">
        <v>28859</v>
      </c>
      <c r="F9636" t="s">
        <v>28860</v>
      </c>
      <c r="I9636" t="s">
        <v>29</v>
      </c>
      <c r="J9636" t="s">
        <v>30</v>
      </c>
      <c r="K9636" t="str">
        <f>"27028"</f>
        <v>27028</v>
      </c>
      <c r="M9636" t="s">
        <v>17861</v>
      </c>
      <c r="N9636" t="str">
        <f>"5/2/2016 11:24:00 AM"</f>
        <v>5/2/2016 11:24:00 AM</v>
      </c>
      <c r="O9636" t="s">
        <v>28859</v>
      </c>
    </row>
    <row r="9637" spans="1:20" x14ac:dyDescent="0.25">
      <c r="A9637" t="str">
        <f>"3042051"</f>
        <v>3042051</v>
      </c>
      <c r="B9637" t="s">
        <v>28861</v>
      </c>
      <c r="C9637" t="str">
        <f>"27598000"</f>
        <v>27598000</v>
      </c>
      <c r="D9637" t="s">
        <v>28862</v>
      </c>
      <c r="E9637" t="s">
        <v>28863</v>
      </c>
      <c r="F9637" t="s">
        <v>28864</v>
      </c>
      <c r="I9637" t="s">
        <v>28865</v>
      </c>
      <c r="J9637" t="s">
        <v>9877</v>
      </c>
      <c r="K9637" t="s">
        <v>28866</v>
      </c>
      <c r="M9637" t="s">
        <v>25625</v>
      </c>
      <c r="N9637" t="str">
        <f>"4/11/2016 12:15:00 PM"</f>
        <v>4/11/2016 12:15:00 PM</v>
      </c>
      <c r="O9637" t="s">
        <v>28862</v>
      </c>
      <c r="T9637" t="s">
        <v>28863</v>
      </c>
    </row>
    <row r="9638" spans="1:20" x14ac:dyDescent="0.25">
      <c r="A9638" t="str">
        <f>"3054281"</f>
        <v>3054281</v>
      </c>
      <c r="B9638" t="s">
        <v>28867</v>
      </c>
      <c r="C9638" t="str">
        <f>"8306271"</f>
        <v>8306271</v>
      </c>
      <c r="D9638" t="s">
        <v>28868</v>
      </c>
      <c r="E9638" t="s">
        <v>28869</v>
      </c>
      <c r="F9638" t="s">
        <v>28870</v>
      </c>
      <c r="I9638" t="s">
        <v>29</v>
      </c>
      <c r="J9638" t="s">
        <v>30</v>
      </c>
      <c r="K9638" t="str">
        <f>"27028"</f>
        <v>27028</v>
      </c>
      <c r="M9638" t="s">
        <v>17861</v>
      </c>
      <c r="N9638" t="str">
        <f>"5/2/2016 12:15:00 PM"</f>
        <v>5/2/2016 12:15:00 PM</v>
      </c>
      <c r="O9638" t="s">
        <v>28868</v>
      </c>
      <c r="T9638" t="s">
        <v>28869</v>
      </c>
    </row>
    <row r="9639" spans="1:20" x14ac:dyDescent="0.25">
      <c r="A9639" t="str">
        <f>"3059910"</f>
        <v>3059910</v>
      </c>
      <c r="B9639" t="s">
        <v>28871</v>
      </c>
      <c r="C9639" t="str">
        <f>"8306273"</f>
        <v>8306273</v>
      </c>
      <c r="D9639" t="s">
        <v>28872</v>
      </c>
      <c r="E9639" t="s">
        <v>28873</v>
      </c>
      <c r="F9639" t="s">
        <v>28874</v>
      </c>
      <c r="I9639" t="s">
        <v>29</v>
      </c>
      <c r="J9639" t="s">
        <v>30</v>
      </c>
      <c r="K9639" t="str">
        <f>"27028"</f>
        <v>27028</v>
      </c>
      <c r="M9639" t="s">
        <v>17861</v>
      </c>
      <c r="N9639" t="str">
        <f>"5/2/2016 12:20:00 PM"</f>
        <v>5/2/2016 12:20:00 PM</v>
      </c>
      <c r="O9639" t="s">
        <v>28872</v>
      </c>
      <c r="T9639" t="s">
        <v>28873</v>
      </c>
    </row>
    <row r="9640" spans="1:20" x14ac:dyDescent="0.25">
      <c r="A9640" t="str">
        <f>"3059925"</f>
        <v>3059925</v>
      </c>
      <c r="B9640" t="s">
        <v>28875</v>
      </c>
      <c r="C9640" t="str">
        <f>"8306275"</f>
        <v>8306275</v>
      </c>
      <c r="D9640" t="s">
        <v>28876</v>
      </c>
      <c r="F9640" t="s">
        <v>28877</v>
      </c>
      <c r="I9640" t="s">
        <v>29</v>
      </c>
      <c r="J9640" t="s">
        <v>30</v>
      </c>
      <c r="K9640" t="str">
        <f>"27028"</f>
        <v>27028</v>
      </c>
      <c r="M9640" t="s">
        <v>17861</v>
      </c>
      <c r="N9640" t="str">
        <f>"5/2/2016 12:23:00 PM"</f>
        <v>5/2/2016 12:23:00 PM</v>
      </c>
      <c r="O9640" t="s">
        <v>28876</v>
      </c>
    </row>
    <row r="9641" spans="1:20" x14ac:dyDescent="0.25">
      <c r="A9641" t="str">
        <f>"3060783"</f>
        <v>3060783</v>
      </c>
      <c r="B9641" t="s">
        <v>28878</v>
      </c>
      <c r="C9641" t="str">
        <f>"71942000"</f>
        <v>71942000</v>
      </c>
      <c r="D9641" t="s">
        <v>28879</v>
      </c>
      <c r="E9641" t="s">
        <v>28880</v>
      </c>
      <c r="F9641" t="s">
        <v>28881</v>
      </c>
      <c r="I9641" t="s">
        <v>184</v>
      </c>
      <c r="J9641" t="s">
        <v>30</v>
      </c>
      <c r="K9641" t="s">
        <v>185</v>
      </c>
      <c r="M9641" t="s">
        <v>25625</v>
      </c>
      <c r="N9641" t="str">
        <f>"4/11/2016 12:19:00 PM"</f>
        <v>4/11/2016 12:19:00 PM</v>
      </c>
      <c r="O9641" t="s">
        <v>28879</v>
      </c>
      <c r="T9641" t="s">
        <v>28880</v>
      </c>
    </row>
    <row r="9642" spans="1:20" x14ac:dyDescent="0.25">
      <c r="A9642" t="str">
        <f>"3038274"</f>
        <v>3038274</v>
      </c>
      <c r="B9642" t="s">
        <v>28882</v>
      </c>
      <c r="C9642" t="str">
        <f>"8300155"</f>
        <v>8300155</v>
      </c>
      <c r="D9642" t="s">
        <v>28133</v>
      </c>
      <c r="E9642" t="s">
        <v>28134</v>
      </c>
      <c r="F9642" t="s">
        <v>28135</v>
      </c>
      <c r="I9642" t="s">
        <v>184</v>
      </c>
      <c r="J9642" t="s">
        <v>30</v>
      </c>
      <c r="K9642" t="s">
        <v>185</v>
      </c>
      <c r="M9642" t="s">
        <v>18479</v>
      </c>
      <c r="N9642" t="str">
        <f>"4/13/2016 12:53:00 PM"</f>
        <v>4/13/2016 12:53:00 PM</v>
      </c>
      <c r="O9642" t="s">
        <v>28133</v>
      </c>
      <c r="T9642" t="s">
        <v>28134</v>
      </c>
    </row>
    <row r="9643" spans="1:20" x14ac:dyDescent="0.25">
      <c r="A9643" t="str">
        <f>"3060746"</f>
        <v>3060746</v>
      </c>
      <c r="B9643" t="s">
        <v>28883</v>
      </c>
      <c r="C9643" t="str">
        <f>"8306285"</f>
        <v>8306285</v>
      </c>
      <c r="D9643" t="s">
        <v>28884</v>
      </c>
      <c r="E9643" t="s">
        <v>28885</v>
      </c>
      <c r="F9643" t="s">
        <v>28886</v>
      </c>
      <c r="I9643" t="s">
        <v>184</v>
      </c>
      <c r="J9643" t="s">
        <v>30</v>
      </c>
      <c r="K9643" t="str">
        <f>"27006"</f>
        <v>27006</v>
      </c>
      <c r="M9643" t="s">
        <v>17861</v>
      </c>
      <c r="N9643" t="str">
        <f>"5/3/2016 9:54:00 AM"</f>
        <v>5/3/2016 9:54:00 AM</v>
      </c>
      <c r="O9643" t="s">
        <v>28884</v>
      </c>
      <c r="T9643" t="s">
        <v>28885</v>
      </c>
    </row>
    <row r="9644" spans="1:20" x14ac:dyDescent="0.25">
      <c r="A9644" t="str">
        <f>"3047969"</f>
        <v>3047969</v>
      </c>
      <c r="B9644" t="s">
        <v>28887</v>
      </c>
      <c r="C9644" t="str">
        <f>"8306292"</f>
        <v>8306292</v>
      </c>
      <c r="D9644" t="s">
        <v>28888</v>
      </c>
      <c r="E9644" t="s">
        <v>28889</v>
      </c>
      <c r="F9644" t="s">
        <v>28890</v>
      </c>
      <c r="I9644" t="s">
        <v>29</v>
      </c>
      <c r="J9644" t="s">
        <v>30</v>
      </c>
      <c r="K9644" t="str">
        <f>"27028"</f>
        <v>27028</v>
      </c>
      <c r="M9644" t="s">
        <v>17861</v>
      </c>
      <c r="N9644" t="str">
        <f>"5/4/2016 10:54:00 AM"</f>
        <v>5/4/2016 10:54:00 AM</v>
      </c>
      <c r="O9644" t="s">
        <v>28888</v>
      </c>
      <c r="T9644" t="s">
        <v>28889</v>
      </c>
    </row>
    <row r="9645" spans="1:20" x14ac:dyDescent="0.25">
      <c r="A9645" t="str">
        <f>"3047953"</f>
        <v>3047953</v>
      </c>
      <c r="B9645" t="s">
        <v>28891</v>
      </c>
      <c r="C9645" t="str">
        <f>"8306292"</f>
        <v>8306292</v>
      </c>
      <c r="D9645" t="s">
        <v>28888</v>
      </c>
      <c r="E9645" t="s">
        <v>28889</v>
      </c>
      <c r="F9645" t="s">
        <v>28890</v>
      </c>
      <c r="I9645" t="s">
        <v>29</v>
      </c>
      <c r="J9645" t="s">
        <v>30</v>
      </c>
      <c r="K9645" t="str">
        <f>"27028"</f>
        <v>27028</v>
      </c>
      <c r="M9645" t="s">
        <v>17861</v>
      </c>
      <c r="N9645" t="str">
        <f>"5/4/2016 10:54:00 AM"</f>
        <v>5/4/2016 10:54:00 AM</v>
      </c>
      <c r="O9645" t="s">
        <v>28888</v>
      </c>
      <c r="T9645" t="s">
        <v>28889</v>
      </c>
    </row>
    <row r="9646" spans="1:20" x14ac:dyDescent="0.25">
      <c r="A9646" t="str">
        <f>"3040534"</f>
        <v>3040534</v>
      </c>
      <c r="B9646" t="s">
        <v>28892</v>
      </c>
      <c r="C9646" t="str">
        <f>"8306198"</f>
        <v>8306198</v>
      </c>
      <c r="D9646" t="s">
        <v>28893</v>
      </c>
      <c r="F9646" t="s">
        <v>28894</v>
      </c>
      <c r="I9646" t="s">
        <v>184</v>
      </c>
      <c r="J9646" t="s">
        <v>30</v>
      </c>
      <c r="K9646" t="str">
        <f>"27006"</f>
        <v>27006</v>
      </c>
      <c r="M9646" t="s">
        <v>17861</v>
      </c>
      <c r="N9646" t="str">
        <f>"4/13/2016 3:18:00 PM"</f>
        <v>4/13/2016 3:18:00 PM</v>
      </c>
      <c r="O9646" t="s">
        <v>28893</v>
      </c>
    </row>
    <row r="9647" spans="1:20" x14ac:dyDescent="0.25">
      <c r="A9647" t="str">
        <f>"3043387"</f>
        <v>3043387</v>
      </c>
      <c r="B9647" t="s">
        <v>28895</v>
      </c>
      <c r="C9647" t="str">
        <f>"8304594"</f>
        <v>8304594</v>
      </c>
      <c r="D9647" t="s">
        <v>28896</v>
      </c>
      <c r="E9647" t="s">
        <v>28897</v>
      </c>
      <c r="F9647" t="s">
        <v>28898</v>
      </c>
      <c r="I9647" t="s">
        <v>29</v>
      </c>
      <c r="J9647" t="s">
        <v>30</v>
      </c>
      <c r="K9647" t="str">
        <f>"27028"</f>
        <v>27028</v>
      </c>
      <c r="M9647" t="s">
        <v>18479</v>
      </c>
      <c r="N9647" t="str">
        <f>"5/4/2016 2:39:00 PM"</f>
        <v>5/4/2016 2:39:00 PM</v>
      </c>
      <c r="O9647" t="s">
        <v>28896</v>
      </c>
      <c r="T9647" t="s">
        <v>28897</v>
      </c>
    </row>
    <row r="9648" spans="1:20" x14ac:dyDescent="0.25">
      <c r="A9648" t="str">
        <f>"3061608"</f>
        <v>3061608</v>
      </c>
      <c r="B9648" t="s">
        <v>28899</v>
      </c>
      <c r="C9648" t="str">
        <f>"8304594"</f>
        <v>8304594</v>
      </c>
      <c r="D9648" t="s">
        <v>28896</v>
      </c>
      <c r="E9648" t="s">
        <v>28897</v>
      </c>
      <c r="F9648" t="s">
        <v>28898</v>
      </c>
      <c r="I9648" t="s">
        <v>29</v>
      </c>
      <c r="J9648" t="s">
        <v>30</v>
      </c>
      <c r="K9648" t="str">
        <f>"27028"</f>
        <v>27028</v>
      </c>
      <c r="M9648" t="s">
        <v>18479</v>
      </c>
      <c r="N9648" t="str">
        <f>"5/4/2016 2:39:00 PM"</f>
        <v>5/4/2016 2:39:00 PM</v>
      </c>
      <c r="O9648" t="s">
        <v>28896</v>
      </c>
      <c r="T9648" t="s">
        <v>28897</v>
      </c>
    </row>
    <row r="9649" spans="1:20" x14ac:dyDescent="0.25">
      <c r="A9649" t="str">
        <f>"3044866"</f>
        <v>3044866</v>
      </c>
      <c r="B9649" t="s">
        <v>28900</v>
      </c>
      <c r="C9649" t="str">
        <f>"8306200"</f>
        <v>8306200</v>
      </c>
      <c r="D9649" t="s">
        <v>28901</v>
      </c>
      <c r="E9649" t="s">
        <v>28902</v>
      </c>
      <c r="F9649" t="s">
        <v>28903</v>
      </c>
      <c r="I9649" t="s">
        <v>184</v>
      </c>
      <c r="J9649" t="s">
        <v>30</v>
      </c>
      <c r="K9649" t="str">
        <f>"27006"</f>
        <v>27006</v>
      </c>
      <c r="M9649" t="s">
        <v>17861</v>
      </c>
      <c r="N9649" t="str">
        <f>"4/14/2016 9:39:00 AM"</f>
        <v>4/14/2016 9:39:00 AM</v>
      </c>
      <c r="O9649" t="s">
        <v>28901</v>
      </c>
      <c r="T9649" t="s">
        <v>28902</v>
      </c>
    </row>
    <row r="9650" spans="1:20" x14ac:dyDescent="0.25">
      <c r="A9650" t="str">
        <f>"3037762"</f>
        <v>3037762</v>
      </c>
      <c r="B9650" t="s">
        <v>28904</v>
      </c>
      <c r="C9650" t="str">
        <f>"8305542"</f>
        <v>8305542</v>
      </c>
      <c r="D9650" t="s">
        <v>28905</v>
      </c>
      <c r="E9650" t="s">
        <v>28906</v>
      </c>
      <c r="F9650" t="s">
        <v>28907</v>
      </c>
      <c r="I9650" t="s">
        <v>49</v>
      </c>
      <c r="J9650" t="s">
        <v>30</v>
      </c>
      <c r="K9650" t="str">
        <f>"27055"</f>
        <v>27055</v>
      </c>
      <c r="M9650" t="s">
        <v>18479</v>
      </c>
      <c r="N9650" t="str">
        <f>"4/18/2016 11:59:00 AM"</f>
        <v>4/18/2016 11:59:00 AM</v>
      </c>
      <c r="O9650" t="s">
        <v>28905</v>
      </c>
      <c r="T9650" t="s">
        <v>28906</v>
      </c>
    </row>
    <row r="9651" spans="1:20" x14ac:dyDescent="0.25">
      <c r="A9651" t="str">
        <f>"3061195"</f>
        <v>3061195</v>
      </c>
      <c r="B9651" t="s">
        <v>28908</v>
      </c>
      <c r="C9651" t="str">
        <f>"8306323"</f>
        <v>8306323</v>
      </c>
      <c r="D9651" t="s">
        <v>28909</v>
      </c>
      <c r="E9651" t="s">
        <v>28910</v>
      </c>
      <c r="F9651" t="s">
        <v>28911</v>
      </c>
      <c r="I9651" t="s">
        <v>2071</v>
      </c>
      <c r="J9651" t="s">
        <v>30</v>
      </c>
      <c r="K9651" t="str">
        <f>"27006"</f>
        <v>27006</v>
      </c>
      <c r="M9651" t="s">
        <v>17861</v>
      </c>
      <c r="N9651" t="str">
        <f>"5/19/2016 10:53:00 AM"</f>
        <v>5/19/2016 10:53:00 AM</v>
      </c>
      <c r="O9651" t="s">
        <v>28909</v>
      </c>
      <c r="T9651" t="s">
        <v>28910</v>
      </c>
    </row>
    <row r="9652" spans="1:20" x14ac:dyDescent="0.25">
      <c r="A9652" t="str">
        <f>"3062528"</f>
        <v>3062528</v>
      </c>
      <c r="B9652" t="s">
        <v>28912</v>
      </c>
      <c r="C9652" t="str">
        <f>"8306204"</f>
        <v>8306204</v>
      </c>
      <c r="D9652" t="s">
        <v>28913</v>
      </c>
      <c r="F9652" t="s">
        <v>28914</v>
      </c>
      <c r="I9652" t="s">
        <v>184</v>
      </c>
      <c r="J9652" t="s">
        <v>30</v>
      </c>
      <c r="K9652" t="str">
        <f>"27006"</f>
        <v>27006</v>
      </c>
      <c r="M9652" t="s">
        <v>17861</v>
      </c>
      <c r="N9652" t="str">
        <f>"4/19/2016 10:20:00 AM"</f>
        <v>4/19/2016 10:20:00 AM</v>
      </c>
      <c r="O9652" t="s">
        <v>28913</v>
      </c>
    </row>
    <row r="9653" spans="1:20" x14ac:dyDescent="0.25">
      <c r="A9653" t="str">
        <f>"3055131"</f>
        <v>3055131</v>
      </c>
      <c r="B9653" t="s">
        <v>28915</v>
      </c>
      <c r="C9653" t="str">
        <f>"8306328"</f>
        <v>8306328</v>
      </c>
      <c r="D9653" t="s">
        <v>28916</v>
      </c>
      <c r="F9653" t="s">
        <v>28917</v>
      </c>
      <c r="I9653" t="s">
        <v>964</v>
      </c>
      <c r="J9653" t="s">
        <v>30</v>
      </c>
      <c r="K9653" t="str">
        <f>"28146"</f>
        <v>28146</v>
      </c>
      <c r="M9653" t="s">
        <v>17861</v>
      </c>
      <c r="N9653" t="str">
        <f>"5/19/2016 11:19:00 AM"</f>
        <v>5/19/2016 11:19:00 AM</v>
      </c>
      <c r="O9653" t="s">
        <v>28916</v>
      </c>
    </row>
    <row r="9654" spans="1:20" x14ac:dyDescent="0.25">
      <c r="A9654" t="str">
        <f>"3055017"</f>
        <v>3055017</v>
      </c>
      <c r="B9654" t="s">
        <v>28918</v>
      </c>
      <c r="C9654" t="str">
        <f>"8306328"</f>
        <v>8306328</v>
      </c>
      <c r="D9654" t="s">
        <v>28916</v>
      </c>
      <c r="F9654" t="s">
        <v>28917</v>
      </c>
      <c r="I9654" t="s">
        <v>964</v>
      </c>
      <c r="J9654" t="s">
        <v>30</v>
      </c>
      <c r="K9654" t="str">
        <f>"28146"</f>
        <v>28146</v>
      </c>
      <c r="M9654" t="s">
        <v>17861</v>
      </c>
      <c r="N9654" t="str">
        <f>"5/19/2016 11:19:00 AM"</f>
        <v>5/19/2016 11:19:00 AM</v>
      </c>
      <c r="O9654" t="s">
        <v>28916</v>
      </c>
    </row>
    <row r="9655" spans="1:20" x14ac:dyDescent="0.25">
      <c r="A9655" t="str">
        <f>"3054855"</f>
        <v>3054855</v>
      </c>
      <c r="B9655" t="s">
        <v>28919</v>
      </c>
      <c r="C9655" t="str">
        <f>"8306328"</f>
        <v>8306328</v>
      </c>
      <c r="D9655" t="s">
        <v>28916</v>
      </c>
      <c r="F9655" t="s">
        <v>28917</v>
      </c>
      <c r="I9655" t="s">
        <v>964</v>
      </c>
      <c r="J9655" t="s">
        <v>30</v>
      </c>
      <c r="K9655" t="str">
        <f>"28146"</f>
        <v>28146</v>
      </c>
      <c r="M9655" t="s">
        <v>17861</v>
      </c>
      <c r="N9655" t="str">
        <f>"5/19/2016 11:19:00 AM"</f>
        <v>5/19/2016 11:19:00 AM</v>
      </c>
      <c r="O9655" t="s">
        <v>28916</v>
      </c>
    </row>
    <row r="9656" spans="1:20" x14ac:dyDescent="0.25">
      <c r="A9656" t="str">
        <f>"3071807"</f>
        <v>3071807</v>
      </c>
      <c r="B9656" t="s">
        <v>28920</v>
      </c>
      <c r="C9656" t="str">
        <f>"8306329"</f>
        <v>8306329</v>
      </c>
      <c r="D9656" t="s">
        <v>28921</v>
      </c>
      <c r="F9656" t="s">
        <v>28922</v>
      </c>
      <c r="I9656" t="s">
        <v>29</v>
      </c>
      <c r="J9656" t="s">
        <v>30</v>
      </c>
      <c r="K9656" t="str">
        <f>"27028"</f>
        <v>27028</v>
      </c>
      <c r="M9656" t="s">
        <v>17861</v>
      </c>
      <c r="N9656" t="str">
        <f>"5/19/2016 11:26:00 AM"</f>
        <v>5/19/2016 11:26:00 AM</v>
      </c>
      <c r="O9656" t="s">
        <v>28921</v>
      </c>
    </row>
    <row r="9657" spans="1:20" x14ac:dyDescent="0.25">
      <c r="A9657" t="str">
        <f>"3067116"</f>
        <v>3067116</v>
      </c>
      <c r="B9657" t="s">
        <v>28923</v>
      </c>
      <c r="C9657" t="str">
        <f>"25111900"</f>
        <v>25111900</v>
      </c>
      <c r="D9657" t="s">
        <v>28924</v>
      </c>
      <c r="F9657" t="s">
        <v>28925</v>
      </c>
      <c r="I9657" t="s">
        <v>29</v>
      </c>
      <c r="J9657" t="s">
        <v>30</v>
      </c>
      <c r="K9657" t="s">
        <v>31</v>
      </c>
      <c r="M9657" t="s">
        <v>18470</v>
      </c>
      <c r="N9657" t="str">
        <f>"5/19/2016 1:56:00 PM"</f>
        <v>5/19/2016 1:56:00 PM</v>
      </c>
      <c r="O9657" t="s">
        <v>28924</v>
      </c>
    </row>
    <row r="9658" spans="1:20" x14ac:dyDescent="0.25">
      <c r="A9658" t="str">
        <f>"3061523"</f>
        <v>3061523</v>
      </c>
      <c r="B9658" t="s">
        <v>28926</v>
      </c>
      <c r="C9658" t="str">
        <f>"8306331"</f>
        <v>8306331</v>
      </c>
      <c r="D9658" t="s">
        <v>28927</v>
      </c>
      <c r="F9658" t="s">
        <v>28928</v>
      </c>
      <c r="I9658" t="s">
        <v>184</v>
      </c>
      <c r="J9658" t="s">
        <v>30</v>
      </c>
      <c r="K9658" t="str">
        <f>"27006"</f>
        <v>27006</v>
      </c>
      <c r="M9658" t="s">
        <v>17861</v>
      </c>
      <c r="N9658" t="str">
        <f>"5/20/2016 10:28:00 AM"</f>
        <v>5/20/2016 10:28:00 AM</v>
      </c>
      <c r="O9658" t="s">
        <v>28927</v>
      </c>
    </row>
    <row r="9659" spans="1:20" x14ac:dyDescent="0.25">
      <c r="A9659" t="str">
        <f>"3054715"</f>
        <v>3054715</v>
      </c>
      <c r="B9659" t="s">
        <v>28929</v>
      </c>
      <c r="C9659" t="str">
        <f>"82530817"</f>
        <v>82530817</v>
      </c>
      <c r="D9659" t="s">
        <v>28930</v>
      </c>
      <c r="F9659" t="s">
        <v>28931</v>
      </c>
      <c r="I9659" t="s">
        <v>29</v>
      </c>
      <c r="J9659" t="s">
        <v>30</v>
      </c>
      <c r="K9659" t="s">
        <v>31</v>
      </c>
      <c r="M9659" t="s">
        <v>25733</v>
      </c>
      <c r="N9659" t="str">
        <f>"4/19/2016 10:21:00 AM"</f>
        <v>4/19/2016 10:21:00 AM</v>
      </c>
      <c r="O9659" t="s">
        <v>28930</v>
      </c>
    </row>
    <row r="9660" spans="1:20" x14ac:dyDescent="0.25">
      <c r="A9660" t="str">
        <f>"3053598"</f>
        <v>3053598</v>
      </c>
      <c r="B9660" t="s">
        <v>28932</v>
      </c>
      <c r="C9660" t="str">
        <f>"8306207"</f>
        <v>8306207</v>
      </c>
      <c r="D9660" t="s">
        <v>28933</v>
      </c>
      <c r="F9660" t="s">
        <v>28934</v>
      </c>
      <c r="I9660" t="s">
        <v>184</v>
      </c>
      <c r="J9660" t="s">
        <v>30</v>
      </c>
      <c r="K9660" t="str">
        <f>"27006"</f>
        <v>27006</v>
      </c>
      <c r="M9660" t="s">
        <v>17861</v>
      </c>
      <c r="N9660" t="str">
        <f>"4/19/2016 11:25:00 AM"</f>
        <v>4/19/2016 11:25:00 AM</v>
      </c>
      <c r="O9660" t="s">
        <v>28933</v>
      </c>
    </row>
    <row r="9661" spans="1:20" x14ac:dyDescent="0.25">
      <c r="A9661" t="str">
        <f>"3053447"</f>
        <v>3053447</v>
      </c>
      <c r="B9661" t="s">
        <v>28935</v>
      </c>
      <c r="C9661" t="str">
        <f>"8306210"</f>
        <v>8306210</v>
      </c>
      <c r="D9661" t="s">
        <v>28936</v>
      </c>
      <c r="E9661" t="s">
        <v>28937</v>
      </c>
      <c r="F9661" t="s">
        <v>28938</v>
      </c>
      <c r="I9661" t="s">
        <v>29</v>
      </c>
      <c r="J9661" t="s">
        <v>30</v>
      </c>
      <c r="K9661" t="str">
        <f>"27028"</f>
        <v>27028</v>
      </c>
      <c r="M9661" t="s">
        <v>17861</v>
      </c>
      <c r="N9661" t="str">
        <f>"4/19/2016 1:21:00 PM"</f>
        <v>4/19/2016 1:21:00 PM</v>
      </c>
      <c r="O9661" t="s">
        <v>28936</v>
      </c>
      <c r="T9661" t="s">
        <v>28937</v>
      </c>
    </row>
    <row r="9662" spans="1:20" x14ac:dyDescent="0.25">
      <c r="A9662" t="str">
        <f>"3060284"</f>
        <v>3060284</v>
      </c>
      <c r="B9662" t="s">
        <v>28939</v>
      </c>
      <c r="C9662" t="str">
        <f>"8306224"</f>
        <v>8306224</v>
      </c>
      <c r="D9662" t="s">
        <v>28940</v>
      </c>
      <c r="E9662" t="s">
        <v>28941</v>
      </c>
      <c r="F9662" t="s">
        <v>28942</v>
      </c>
      <c r="I9662" t="s">
        <v>184</v>
      </c>
      <c r="J9662" t="s">
        <v>30</v>
      </c>
      <c r="K9662" t="str">
        <f>"27006"</f>
        <v>27006</v>
      </c>
      <c r="M9662" t="s">
        <v>17861</v>
      </c>
      <c r="N9662" t="str">
        <f>"4/22/2016 9:58:00 AM"</f>
        <v>4/22/2016 9:58:00 AM</v>
      </c>
      <c r="O9662" t="s">
        <v>28940</v>
      </c>
      <c r="T9662" t="s">
        <v>28941</v>
      </c>
    </row>
    <row r="9663" spans="1:20" x14ac:dyDescent="0.25">
      <c r="A9663" t="str">
        <f>"3038831"</f>
        <v>3038831</v>
      </c>
      <c r="B9663" t="s">
        <v>28943</v>
      </c>
      <c r="C9663" t="str">
        <f>"8305773"</f>
        <v>8305773</v>
      </c>
      <c r="D9663" t="s">
        <v>28944</v>
      </c>
      <c r="F9663" t="s">
        <v>28945</v>
      </c>
      <c r="I9663" t="s">
        <v>29</v>
      </c>
      <c r="J9663" t="s">
        <v>30</v>
      </c>
      <c r="K9663" t="str">
        <f>"27028"</f>
        <v>27028</v>
      </c>
      <c r="M9663" t="s">
        <v>18470</v>
      </c>
      <c r="N9663" t="str">
        <f>"5/23/2016 11:06:00 AM"</f>
        <v>5/23/2016 11:06:00 AM</v>
      </c>
      <c r="O9663" t="s">
        <v>28944</v>
      </c>
    </row>
    <row r="9664" spans="1:20" x14ac:dyDescent="0.25">
      <c r="A9664" t="str">
        <f>"3046237"</f>
        <v>3046237</v>
      </c>
      <c r="B9664" t="s">
        <v>28946</v>
      </c>
      <c r="C9664" t="str">
        <f>"82526909"</f>
        <v>82526909</v>
      </c>
      <c r="D9664" t="s">
        <v>28799</v>
      </c>
      <c r="E9664" t="s">
        <v>28800</v>
      </c>
      <c r="F9664" t="s">
        <v>28801</v>
      </c>
      <c r="I9664" t="s">
        <v>29</v>
      </c>
      <c r="J9664" t="s">
        <v>30</v>
      </c>
      <c r="K9664" t="s">
        <v>31</v>
      </c>
      <c r="M9664" t="s">
        <v>25625</v>
      </c>
      <c r="N9664" t="str">
        <f>"4/22/2016 10:20:00 AM"</f>
        <v>4/22/2016 10:20:00 AM</v>
      </c>
      <c r="O9664" t="s">
        <v>28799</v>
      </c>
      <c r="T9664" t="s">
        <v>28800</v>
      </c>
    </row>
    <row r="9665" spans="1:20" x14ac:dyDescent="0.25">
      <c r="A9665" t="str">
        <f>"3078151"</f>
        <v>3078151</v>
      </c>
      <c r="B9665" t="s">
        <v>28947</v>
      </c>
      <c r="C9665" t="str">
        <f>"8306230"</f>
        <v>8306230</v>
      </c>
      <c r="D9665" t="str">
        <f>"BARKER JR LIV TRUST U/A 12/1/15"</f>
        <v>BARKER JR LIV TRUST U/A 12/1/15</v>
      </c>
      <c r="F9665" t="s">
        <v>28948</v>
      </c>
      <c r="I9665" t="s">
        <v>29</v>
      </c>
      <c r="J9665" t="s">
        <v>30</v>
      </c>
      <c r="K9665" t="str">
        <f>"27028"</f>
        <v>27028</v>
      </c>
      <c r="M9665" t="s">
        <v>17861</v>
      </c>
      <c r="N9665" t="str">
        <f>"4/22/2016 10:51:00 AM"</f>
        <v>4/22/2016 10:51:00 AM</v>
      </c>
      <c r="O9665" t="str">
        <f>"BARKER JR LIV TRUST U/A 12/1/15"</f>
        <v>BARKER JR LIV TRUST U/A 12/1/15</v>
      </c>
    </row>
    <row r="9666" spans="1:20" x14ac:dyDescent="0.25">
      <c r="A9666" t="str">
        <f>"3047026"</f>
        <v>3047026</v>
      </c>
      <c r="B9666" t="s">
        <v>28949</v>
      </c>
      <c r="C9666" t="str">
        <f>"50228000"</f>
        <v>50228000</v>
      </c>
      <c r="D9666" t="s">
        <v>28950</v>
      </c>
      <c r="E9666" t="s">
        <v>28951</v>
      </c>
      <c r="F9666" t="s">
        <v>28952</v>
      </c>
      <c r="I9666" t="s">
        <v>184</v>
      </c>
      <c r="J9666" t="s">
        <v>30</v>
      </c>
      <c r="K9666" t="s">
        <v>185</v>
      </c>
      <c r="M9666" t="s">
        <v>18470</v>
      </c>
      <c r="N9666" t="str">
        <f>"5/23/2016 1:13:00 PM"</f>
        <v>5/23/2016 1:13:00 PM</v>
      </c>
      <c r="O9666" t="s">
        <v>28950</v>
      </c>
      <c r="T9666" t="s">
        <v>28951</v>
      </c>
    </row>
    <row r="9667" spans="1:20" x14ac:dyDescent="0.25">
      <c r="A9667" t="str">
        <f>"3062564"</f>
        <v>3062564</v>
      </c>
      <c r="B9667" t="s">
        <v>28953</v>
      </c>
      <c r="C9667" t="str">
        <f>"8305745"</f>
        <v>8305745</v>
      </c>
      <c r="D9667" t="s">
        <v>28954</v>
      </c>
      <c r="E9667" t="s">
        <v>28955</v>
      </c>
      <c r="F9667" t="s">
        <v>28956</v>
      </c>
      <c r="I9667" t="s">
        <v>2071</v>
      </c>
      <c r="J9667" t="s">
        <v>30</v>
      </c>
      <c r="K9667" t="str">
        <f>"27006"</f>
        <v>27006</v>
      </c>
      <c r="M9667" t="s">
        <v>18470</v>
      </c>
      <c r="N9667" t="str">
        <f>"5/23/2016 1:29:00 PM"</f>
        <v>5/23/2016 1:29:00 PM</v>
      </c>
      <c r="O9667" t="s">
        <v>28954</v>
      </c>
      <c r="T9667" t="s">
        <v>28955</v>
      </c>
    </row>
    <row r="9668" spans="1:20" x14ac:dyDescent="0.25">
      <c r="A9668" t="str">
        <f>"3044573"</f>
        <v>3044573</v>
      </c>
      <c r="B9668" t="s">
        <v>28957</v>
      </c>
      <c r="C9668" t="str">
        <f>"8306238"</f>
        <v>8306238</v>
      </c>
      <c r="D9668" t="s">
        <v>28958</v>
      </c>
      <c r="E9668" t="s">
        <v>28959</v>
      </c>
      <c r="F9668" t="s">
        <v>28960</v>
      </c>
      <c r="I9668" t="s">
        <v>184</v>
      </c>
      <c r="J9668" t="s">
        <v>30</v>
      </c>
      <c r="K9668" t="str">
        <f>"27006"</f>
        <v>27006</v>
      </c>
      <c r="M9668" t="s">
        <v>17861</v>
      </c>
      <c r="N9668" t="str">
        <f>"4/22/2016 1:22:00 PM"</f>
        <v>4/22/2016 1:22:00 PM</v>
      </c>
      <c r="O9668" t="s">
        <v>28958</v>
      </c>
      <c r="T9668" t="s">
        <v>28959</v>
      </c>
    </row>
    <row r="9669" spans="1:20" x14ac:dyDescent="0.25">
      <c r="A9669" t="str">
        <f>"3052132"</f>
        <v>3052132</v>
      </c>
      <c r="B9669" t="s">
        <v>28961</v>
      </c>
      <c r="C9669" t="str">
        <f>"8306254"</f>
        <v>8306254</v>
      </c>
      <c r="D9669" t="s">
        <v>28962</v>
      </c>
      <c r="F9669" t="s">
        <v>28963</v>
      </c>
      <c r="I9669" t="s">
        <v>29</v>
      </c>
      <c r="J9669" t="s">
        <v>30</v>
      </c>
      <c r="K9669" t="str">
        <f>"27028"</f>
        <v>27028</v>
      </c>
      <c r="M9669" t="s">
        <v>17861</v>
      </c>
      <c r="N9669" t="str">
        <f>"4/25/2016 11:28:00 AM"</f>
        <v>4/25/2016 11:28:00 AM</v>
      </c>
      <c r="O9669" t="s">
        <v>28962</v>
      </c>
    </row>
    <row r="9670" spans="1:20" x14ac:dyDescent="0.25">
      <c r="A9670" t="str">
        <f>"3037822"</f>
        <v>3037822</v>
      </c>
      <c r="B9670" t="s">
        <v>28964</v>
      </c>
      <c r="C9670" t="str">
        <f>"8306256"</f>
        <v>8306256</v>
      </c>
      <c r="D9670" t="s">
        <v>28834</v>
      </c>
      <c r="F9670" t="s">
        <v>28835</v>
      </c>
      <c r="I9670" t="s">
        <v>1176</v>
      </c>
      <c r="J9670" t="s">
        <v>30</v>
      </c>
      <c r="K9670" t="str">
        <f>"27054"</f>
        <v>27054</v>
      </c>
      <c r="M9670" t="s">
        <v>17861</v>
      </c>
      <c r="N9670" t="str">
        <f>"4/25/2016 1:35:00 PM"</f>
        <v>4/25/2016 1:35:00 PM</v>
      </c>
      <c r="O9670" t="s">
        <v>28834</v>
      </c>
    </row>
    <row r="9671" spans="1:20" x14ac:dyDescent="0.25">
      <c r="A9671" t="str">
        <f>"3061094"</f>
        <v>3061094</v>
      </c>
      <c r="B9671" t="s">
        <v>28965</v>
      </c>
      <c r="C9671" t="str">
        <f>"8306189"</f>
        <v>8306189</v>
      </c>
      <c r="D9671" t="s">
        <v>28966</v>
      </c>
      <c r="E9671" t="s">
        <v>28967</v>
      </c>
      <c r="F9671" t="s">
        <v>28968</v>
      </c>
      <c r="I9671" t="s">
        <v>184</v>
      </c>
      <c r="J9671" t="s">
        <v>30</v>
      </c>
      <c r="K9671" t="str">
        <f>"27006"</f>
        <v>27006</v>
      </c>
      <c r="M9671" t="s">
        <v>17861</v>
      </c>
      <c r="N9671" t="str">
        <f>"4/4/2016 1:32:00 PM"</f>
        <v>4/4/2016 1:32:00 PM</v>
      </c>
      <c r="O9671" t="s">
        <v>28966</v>
      </c>
      <c r="T9671" t="s">
        <v>28967</v>
      </c>
    </row>
    <row r="9672" spans="1:20" x14ac:dyDescent="0.25">
      <c r="A9672" t="str">
        <f>"3058187"</f>
        <v>3058187</v>
      </c>
      <c r="B9672" t="s">
        <v>28969</v>
      </c>
      <c r="C9672" t="str">
        <f>"8306348"</f>
        <v>8306348</v>
      </c>
      <c r="D9672" t="s">
        <v>28970</v>
      </c>
      <c r="E9672" t="s">
        <v>28971</v>
      </c>
      <c r="F9672" t="s">
        <v>28972</v>
      </c>
      <c r="I9672" t="s">
        <v>29</v>
      </c>
      <c r="J9672" t="s">
        <v>30</v>
      </c>
      <c r="K9672" t="str">
        <f>"27028"</f>
        <v>27028</v>
      </c>
      <c r="M9672" t="s">
        <v>17861</v>
      </c>
      <c r="N9672" t="str">
        <f>"5/23/2016 3:50:00 PM"</f>
        <v>5/23/2016 3:50:00 PM</v>
      </c>
      <c r="O9672" t="s">
        <v>28970</v>
      </c>
      <c r="T9672" t="s">
        <v>28971</v>
      </c>
    </row>
    <row r="9673" spans="1:20" x14ac:dyDescent="0.25">
      <c r="A9673" t="str">
        <f>"3047020"</f>
        <v>3047020</v>
      </c>
      <c r="B9673" t="s">
        <v>28973</v>
      </c>
      <c r="C9673" t="str">
        <f>"8306349"</f>
        <v>8306349</v>
      </c>
      <c r="D9673" t="s">
        <v>28974</v>
      </c>
      <c r="E9673" t="s">
        <v>28975</v>
      </c>
      <c r="F9673" t="s">
        <v>28976</v>
      </c>
      <c r="I9673" t="s">
        <v>29</v>
      </c>
      <c r="J9673" t="s">
        <v>30</v>
      </c>
      <c r="K9673" t="str">
        <f>"27028"</f>
        <v>27028</v>
      </c>
      <c r="M9673" t="s">
        <v>17861</v>
      </c>
      <c r="N9673" t="str">
        <f>"5/23/2016 3:57:00 PM"</f>
        <v>5/23/2016 3:57:00 PM</v>
      </c>
      <c r="O9673" t="s">
        <v>28974</v>
      </c>
      <c r="T9673" t="s">
        <v>28975</v>
      </c>
    </row>
    <row r="9674" spans="1:20" x14ac:dyDescent="0.25">
      <c r="A9674" t="str">
        <f>"3044822"</f>
        <v>3044822</v>
      </c>
      <c r="B9674" t="s">
        <v>28977</v>
      </c>
      <c r="C9674" t="str">
        <f>"82525244"</f>
        <v>82525244</v>
      </c>
      <c r="D9674" t="s">
        <v>28978</v>
      </c>
      <c r="E9674" t="s">
        <v>28979</v>
      </c>
      <c r="F9674" t="s">
        <v>28980</v>
      </c>
      <c r="I9674" t="s">
        <v>184</v>
      </c>
      <c r="J9674" t="s">
        <v>30</v>
      </c>
      <c r="K9674" t="s">
        <v>6606</v>
      </c>
      <c r="M9674" t="s">
        <v>25733</v>
      </c>
      <c r="N9674" t="str">
        <f>"4/4/2016 3:24:00 PM"</f>
        <v>4/4/2016 3:24:00 PM</v>
      </c>
      <c r="O9674" t="s">
        <v>28978</v>
      </c>
      <c r="T9674" t="s">
        <v>28979</v>
      </c>
    </row>
    <row r="9675" spans="1:20" x14ac:dyDescent="0.25">
      <c r="A9675" t="str">
        <f>"3053949"</f>
        <v>3053949</v>
      </c>
      <c r="B9675" t="s">
        <v>28981</v>
      </c>
      <c r="C9675" t="str">
        <f>"8306357"</f>
        <v>8306357</v>
      </c>
      <c r="D9675" t="s">
        <v>28982</v>
      </c>
      <c r="F9675" t="s">
        <v>11779</v>
      </c>
      <c r="I9675" t="s">
        <v>2589</v>
      </c>
      <c r="J9675" t="s">
        <v>30</v>
      </c>
      <c r="K9675" t="str">
        <f>"27614"</f>
        <v>27614</v>
      </c>
      <c r="M9675" t="s">
        <v>17861</v>
      </c>
      <c r="N9675" t="str">
        <f>"5/24/2016 9:09:00 AM"</f>
        <v>5/24/2016 9:09:00 AM</v>
      </c>
      <c r="O9675" t="s">
        <v>28982</v>
      </c>
    </row>
    <row r="9676" spans="1:20" x14ac:dyDescent="0.25">
      <c r="A9676" t="str">
        <f>"3044486"</f>
        <v>3044486</v>
      </c>
      <c r="B9676" t="s">
        <v>28983</v>
      </c>
      <c r="C9676" t="str">
        <f>"8306194"</f>
        <v>8306194</v>
      </c>
      <c r="D9676" t="s">
        <v>28984</v>
      </c>
      <c r="E9676" t="s">
        <v>28985</v>
      </c>
      <c r="F9676" t="s">
        <v>28986</v>
      </c>
      <c r="I9676" t="s">
        <v>184</v>
      </c>
      <c r="J9676" t="s">
        <v>30</v>
      </c>
      <c r="K9676" t="str">
        <f>"27006"</f>
        <v>27006</v>
      </c>
      <c r="M9676" t="s">
        <v>17861</v>
      </c>
      <c r="N9676" t="str">
        <f>"4/4/2016 4:05:00 PM"</f>
        <v>4/4/2016 4:05:00 PM</v>
      </c>
      <c r="O9676" t="s">
        <v>28984</v>
      </c>
      <c r="T9676" t="s">
        <v>28985</v>
      </c>
    </row>
    <row r="9677" spans="1:20" x14ac:dyDescent="0.25">
      <c r="A9677" t="str">
        <f>"3059903"</f>
        <v>3059903</v>
      </c>
      <c r="B9677" t="s">
        <v>28987</v>
      </c>
      <c r="C9677" t="str">
        <f>"8306360"</f>
        <v>8306360</v>
      </c>
      <c r="D9677" t="s">
        <v>28988</v>
      </c>
      <c r="F9677" t="s">
        <v>28989</v>
      </c>
      <c r="I9677" t="s">
        <v>29</v>
      </c>
      <c r="J9677" t="s">
        <v>30</v>
      </c>
      <c r="K9677" t="str">
        <f>"27028"</f>
        <v>27028</v>
      </c>
      <c r="M9677" t="s">
        <v>17861</v>
      </c>
      <c r="N9677" t="str">
        <f>"5/24/2016 10:06:00 AM"</f>
        <v>5/24/2016 10:06:00 AM</v>
      </c>
      <c r="O9677" t="s">
        <v>28988</v>
      </c>
    </row>
    <row r="9678" spans="1:20" x14ac:dyDescent="0.25">
      <c r="A9678" t="str">
        <f>"3059327"</f>
        <v>3059327</v>
      </c>
      <c r="B9678" t="s">
        <v>28990</v>
      </c>
      <c r="C9678" t="str">
        <f>"8306362"</f>
        <v>8306362</v>
      </c>
      <c r="D9678" t="s">
        <v>28147</v>
      </c>
      <c r="F9678" t="s">
        <v>28991</v>
      </c>
      <c r="I9678" t="s">
        <v>2589</v>
      </c>
      <c r="J9678" t="s">
        <v>30</v>
      </c>
      <c r="K9678" t="str">
        <f>"27603"</f>
        <v>27603</v>
      </c>
      <c r="M9678" t="s">
        <v>17861</v>
      </c>
      <c r="N9678" t="str">
        <f>"5/24/2016 10:50:00 AM"</f>
        <v>5/24/2016 10:50:00 AM</v>
      </c>
      <c r="O9678" t="s">
        <v>28147</v>
      </c>
    </row>
    <row r="9679" spans="1:20" x14ac:dyDescent="0.25">
      <c r="A9679" t="str">
        <f>"3078723"</f>
        <v>3078723</v>
      </c>
      <c r="B9679" t="s">
        <v>28992</v>
      </c>
      <c r="C9679" t="str">
        <f>"8306363"</f>
        <v>8306363</v>
      </c>
      <c r="D9679" t="s">
        <v>28993</v>
      </c>
      <c r="F9679" t="s">
        <v>28994</v>
      </c>
      <c r="I9679" t="s">
        <v>12328</v>
      </c>
      <c r="J9679" t="s">
        <v>30</v>
      </c>
      <c r="K9679" t="str">
        <f t="shared" ref="K9679:K9684" si="162">"27028"</f>
        <v>27028</v>
      </c>
      <c r="M9679" t="s">
        <v>17861</v>
      </c>
      <c r="N9679" t="str">
        <f>"5/24/2016 11:01:00 AM"</f>
        <v>5/24/2016 11:01:00 AM</v>
      </c>
      <c r="O9679" t="s">
        <v>28993</v>
      </c>
    </row>
    <row r="9680" spans="1:20" x14ac:dyDescent="0.25">
      <c r="A9680" t="str">
        <f>"3053955"</f>
        <v>3053955</v>
      </c>
      <c r="B9680" t="s">
        <v>28995</v>
      </c>
      <c r="C9680" t="str">
        <f>"8306363"</f>
        <v>8306363</v>
      </c>
      <c r="D9680" t="s">
        <v>28993</v>
      </c>
      <c r="F9680" t="s">
        <v>28994</v>
      </c>
      <c r="I9680" t="s">
        <v>12328</v>
      </c>
      <c r="J9680" t="s">
        <v>30</v>
      </c>
      <c r="K9680" t="str">
        <f t="shared" si="162"/>
        <v>27028</v>
      </c>
      <c r="M9680" t="s">
        <v>17861</v>
      </c>
      <c r="N9680" t="str">
        <f>"5/24/2016 11:01:00 AM"</f>
        <v>5/24/2016 11:01:00 AM</v>
      </c>
      <c r="O9680" t="s">
        <v>28993</v>
      </c>
    </row>
    <row r="9681" spans="1:20" x14ac:dyDescent="0.25">
      <c r="A9681" t="str">
        <f>"3053956"</f>
        <v>3053956</v>
      </c>
      <c r="B9681" t="s">
        <v>28996</v>
      </c>
      <c r="C9681" t="str">
        <f>"8306363"</f>
        <v>8306363</v>
      </c>
      <c r="D9681" t="s">
        <v>28993</v>
      </c>
      <c r="F9681" t="s">
        <v>28994</v>
      </c>
      <c r="I9681" t="s">
        <v>12328</v>
      </c>
      <c r="J9681" t="s">
        <v>30</v>
      </c>
      <c r="K9681" t="str">
        <f t="shared" si="162"/>
        <v>27028</v>
      </c>
      <c r="M9681" t="s">
        <v>17861</v>
      </c>
      <c r="N9681" t="str">
        <f>"5/24/2016 11:01:00 AM"</f>
        <v>5/24/2016 11:01:00 AM</v>
      </c>
      <c r="O9681" t="s">
        <v>28993</v>
      </c>
    </row>
    <row r="9682" spans="1:20" x14ac:dyDescent="0.25">
      <c r="A9682" t="str">
        <f>"3053951"</f>
        <v>3053951</v>
      </c>
      <c r="B9682" t="s">
        <v>28997</v>
      </c>
      <c r="C9682" t="str">
        <f>"8306363"</f>
        <v>8306363</v>
      </c>
      <c r="D9682" t="s">
        <v>28993</v>
      </c>
      <c r="F9682" t="s">
        <v>28994</v>
      </c>
      <c r="I9682" t="s">
        <v>12328</v>
      </c>
      <c r="J9682" t="s">
        <v>30</v>
      </c>
      <c r="K9682" t="str">
        <f t="shared" si="162"/>
        <v>27028</v>
      </c>
      <c r="M9682" t="s">
        <v>17861</v>
      </c>
      <c r="N9682" t="str">
        <f>"5/24/2016 11:01:00 AM"</f>
        <v>5/24/2016 11:01:00 AM</v>
      </c>
      <c r="O9682" t="s">
        <v>28993</v>
      </c>
    </row>
    <row r="9683" spans="1:20" x14ac:dyDescent="0.25">
      <c r="A9683" t="str">
        <f>"3053953"</f>
        <v>3053953</v>
      </c>
      <c r="B9683" t="s">
        <v>28998</v>
      </c>
      <c r="C9683" t="str">
        <f>"8306363"</f>
        <v>8306363</v>
      </c>
      <c r="D9683" t="s">
        <v>28993</v>
      </c>
      <c r="F9683" t="s">
        <v>28994</v>
      </c>
      <c r="I9683" t="s">
        <v>12328</v>
      </c>
      <c r="J9683" t="s">
        <v>30</v>
      </c>
      <c r="K9683" t="str">
        <f t="shared" si="162"/>
        <v>27028</v>
      </c>
      <c r="M9683" t="s">
        <v>17861</v>
      </c>
      <c r="N9683" t="str">
        <f>"5/24/2016 11:01:00 AM"</f>
        <v>5/24/2016 11:01:00 AM</v>
      </c>
      <c r="O9683" t="s">
        <v>28993</v>
      </c>
    </row>
    <row r="9684" spans="1:20" x14ac:dyDescent="0.25">
      <c r="A9684" t="str">
        <f>"3053654"</f>
        <v>3053654</v>
      </c>
      <c r="B9684" t="s">
        <v>28999</v>
      </c>
      <c r="C9684" t="str">
        <f>"8306365"</f>
        <v>8306365</v>
      </c>
      <c r="D9684" t="s">
        <v>29000</v>
      </c>
      <c r="E9684" t="s">
        <v>29001</v>
      </c>
      <c r="F9684" t="s">
        <v>29002</v>
      </c>
      <c r="I9684" t="s">
        <v>29</v>
      </c>
      <c r="J9684" t="s">
        <v>30</v>
      </c>
      <c r="K9684" t="str">
        <f t="shared" si="162"/>
        <v>27028</v>
      </c>
      <c r="M9684" t="s">
        <v>17861</v>
      </c>
      <c r="N9684" t="str">
        <f>"5/24/2016 11:29:00 AM"</f>
        <v>5/24/2016 11:29:00 AM</v>
      </c>
      <c r="O9684" t="s">
        <v>29000</v>
      </c>
      <c r="T9684" t="s">
        <v>29001</v>
      </c>
    </row>
    <row r="9685" spans="1:20" x14ac:dyDescent="0.25">
      <c r="A9685" t="str">
        <f>"3041421"</f>
        <v>3041421</v>
      </c>
      <c r="B9685" t="s">
        <v>29003</v>
      </c>
      <c r="C9685" t="str">
        <f>"8306263"</f>
        <v>8306263</v>
      </c>
      <c r="D9685" t="s">
        <v>29004</v>
      </c>
      <c r="F9685" t="s">
        <v>29005</v>
      </c>
      <c r="I9685" t="s">
        <v>2071</v>
      </c>
      <c r="J9685" t="s">
        <v>30</v>
      </c>
      <c r="K9685" t="str">
        <f>"27006"</f>
        <v>27006</v>
      </c>
      <c r="M9685" t="s">
        <v>17861</v>
      </c>
      <c r="N9685" t="str">
        <f>"5/2/2016 10:46:00 AM"</f>
        <v>5/2/2016 10:46:00 AM</v>
      </c>
      <c r="O9685" t="s">
        <v>29004</v>
      </c>
    </row>
    <row r="9686" spans="1:20" x14ac:dyDescent="0.25">
      <c r="A9686" t="str">
        <f>"3047647"</f>
        <v>3047647</v>
      </c>
      <c r="B9686" t="s">
        <v>29006</v>
      </c>
      <c r="C9686" t="str">
        <f>"33381000"</f>
        <v>33381000</v>
      </c>
      <c r="D9686" t="s">
        <v>29007</v>
      </c>
      <c r="F9686" t="s">
        <v>29008</v>
      </c>
      <c r="I9686" t="s">
        <v>184</v>
      </c>
      <c r="J9686" t="s">
        <v>30</v>
      </c>
      <c r="K9686" t="s">
        <v>185</v>
      </c>
      <c r="M9686" t="s">
        <v>18470</v>
      </c>
      <c r="N9686" t="str">
        <f>"5/25/2016 10:26:00 AM"</f>
        <v>5/25/2016 10:26:00 AM</v>
      </c>
      <c r="O9686" t="s">
        <v>29007</v>
      </c>
    </row>
    <row r="9687" spans="1:20" x14ac:dyDescent="0.25">
      <c r="A9687" t="str">
        <f>"3047615"</f>
        <v>3047615</v>
      </c>
      <c r="B9687" t="s">
        <v>29009</v>
      </c>
      <c r="C9687" t="str">
        <f>"33381000"</f>
        <v>33381000</v>
      </c>
      <c r="D9687" t="s">
        <v>29007</v>
      </c>
      <c r="F9687" t="s">
        <v>29008</v>
      </c>
      <c r="I9687" t="s">
        <v>184</v>
      </c>
      <c r="J9687" t="s">
        <v>30</v>
      </c>
      <c r="K9687" t="s">
        <v>185</v>
      </c>
      <c r="M9687" t="s">
        <v>18470</v>
      </c>
      <c r="N9687" t="str">
        <f>"5/25/2016 10:26:00 AM"</f>
        <v>5/25/2016 10:26:00 AM</v>
      </c>
      <c r="O9687" t="s">
        <v>29007</v>
      </c>
    </row>
    <row r="9688" spans="1:20" x14ac:dyDescent="0.25">
      <c r="A9688" t="str">
        <f>"3054220"</f>
        <v>3054220</v>
      </c>
      <c r="B9688" t="s">
        <v>29010</v>
      </c>
      <c r="C9688" t="str">
        <f>"8306268"</f>
        <v>8306268</v>
      </c>
      <c r="D9688" t="s">
        <v>29011</v>
      </c>
      <c r="E9688" t="s">
        <v>29012</v>
      </c>
      <c r="F9688" t="s">
        <v>29013</v>
      </c>
      <c r="I9688" t="s">
        <v>29</v>
      </c>
      <c r="J9688" t="s">
        <v>30</v>
      </c>
      <c r="K9688" t="str">
        <f>"27028"</f>
        <v>27028</v>
      </c>
      <c r="M9688" t="s">
        <v>17861</v>
      </c>
      <c r="N9688" t="str">
        <f>"5/2/2016 11:45:00 AM"</f>
        <v>5/2/2016 11:45:00 AM</v>
      </c>
      <c r="O9688" t="s">
        <v>29011</v>
      </c>
      <c r="T9688" t="s">
        <v>29012</v>
      </c>
    </row>
    <row r="9689" spans="1:20" x14ac:dyDescent="0.25">
      <c r="A9689" t="str">
        <f>"3044436"</f>
        <v>3044436</v>
      </c>
      <c r="B9689" t="s">
        <v>29014</v>
      </c>
      <c r="C9689" t="str">
        <f>"8306279"</f>
        <v>8306279</v>
      </c>
      <c r="D9689" t="s">
        <v>29015</v>
      </c>
      <c r="E9689" t="s">
        <v>29016</v>
      </c>
      <c r="F9689" t="s">
        <v>29017</v>
      </c>
      <c r="I9689" t="s">
        <v>184</v>
      </c>
      <c r="J9689" t="s">
        <v>30</v>
      </c>
      <c r="K9689" t="str">
        <f>"27006"</f>
        <v>27006</v>
      </c>
      <c r="M9689" t="s">
        <v>17861</v>
      </c>
      <c r="N9689" t="str">
        <f>"5/2/2016 1:01:00 PM"</f>
        <v>5/2/2016 1:01:00 PM</v>
      </c>
      <c r="O9689" t="s">
        <v>29015</v>
      </c>
      <c r="T9689" t="s">
        <v>29016</v>
      </c>
    </row>
    <row r="9690" spans="1:20" x14ac:dyDescent="0.25">
      <c r="A9690" t="str">
        <f>"3052334"</f>
        <v>3052334</v>
      </c>
      <c r="B9690" t="s">
        <v>29018</v>
      </c>
      <c r="C9690" t="str">
        <f>"8306284"</f>
        <v>8306284</v>
      </c>
      <c r="D9690" t="s">
        <v>29019</v>
      </c>
      <c r="F9690" t="s">
        <v>29020</v>
      </c>
      <c r="I9690" t="s">
        <v>29</v>
      </c>
      <c r="J9690" t="s">
        <v>30</v>
      </c>
      <c r="K9690" t="str">
        <f>"27028"</f>
        <v>27028</v>
      </c>
      <c r="M9690" t="s">
        <v>17861</v>
      </c>
      <c r="N9690" t="str">
        <f>"5/3/2016 9:40:00 AM"</f>
        <v>5/3/2016 9:40:00 AM</v>
      </c>
      <c r="O9690" t="s">
        <v>29019</v>
      </c>
    </row>
    <row r="9691" spans="1:20" x14ac:dyDescent="0.25">
      <c r="A9691" t="str">
        <f>"3055130"</f>
        <v>3055130</v>
      </c>
      <c r="B9691" t="s">
        <v>29021</v>
      </c>
      <c r="C9691" t="str">
        <f>"8306296"</f>
        <v>8306296</v>
      </c>
      <c r="D9691" t="s">
        <v>29022</v>
      </c>
      <c r="F9691" t="s">
        <v>29023</v>
      </c>
      <c r="I9691" t="s">
        <v>29</v>
      </c>
      <c r="J9691" t="s">
        <v>30</v>
      </c>
      <c r="K9691" t="str">
        <f>"27028"</f>
        <v>27028</v>
      </c>
      <c r="M9691" t="s">
        <v>17861</v>
      </c>
      <c r="N9691" t="str">
        <f>"5/4/2016 11:32:00 AM"</f>
        <v>5/4/2016 11:32:00 AM</v>
      </c>
      <c r="O9691" t="s">
        <v>29022</v>
      </c>
    </row>
    <row r="9692" spans="1:20" x14ac:dyDescent="0.25">
      <c r="A9692" t="str">
        <f>"3062474"</f>
        <v>3062474</v>
      </c>
      <c r="B9692" t="s">
        <v>29024</v>
      </c>
      <c r="C9692" t="str">
        <f>"8306300"</f>
        <v>8306300</v>
      </c>
      <c r="D9692" t="s">
        <v>29025</v>
      </c>
      <c r="F9692" t="s">
        <v>29026</v>
      </c>
      <c r="I9692" t="s">
        <v>2071</v>
      </c>
      <c r="J9692" t="s">
        <v>30</v>
      </c>
      <c r="K9692" t="str">
        <f>"27006"</f>
        <v>27006</v>
      </c>
      <c r="M9692" t="s">
        <v>17861</v>
      </c>
      <c r="N9692" t="str">
        <f>"5/6/2016 11:22:00 AM"</f>
        <v>5/6/2016 11:22:00 AM</v>
      </c>
      <c r="O9692" t="s">
        <v>29025</v>
      </c>
    </row>
    <row r="9693" spans="1:20" x14ac:dyDescent="0.25">
      <c r="A9693" t="str">
        <f>"3042280"</f>
        <v>3042280</v>
      </c>
      <c r="B9693" t="s">
        <v>29027</v>
      </c>
      <c r="C9693" t="str">
        <f>"82525915"</f>
        <v>82525915</v>
      </c>
      <c r="D9693" t="s">
        <v>29028</v>
      </c>
      <c r="E9693" t="s">
        <v>29029</v>
      </c>
      <c r="F9693" t="s">
        <v>29030</v>
      </c>
      <c r="I9693" t="s">
        <v>29</v>
      </c>
      <c r="J9693" t="s">
        <v>30</v>
      </c>
      <c r="K9693" t="s">
        <v>31</v>
      </c>
      <c r="M9693" t="s">
        <v>26316</v>
      </c>
      <c r="N9693" t="str">
        <f>"5/18/2016 3:19:00 PM"</f>
        <v>5/18/2016 3:19:00 PM</v>
      </c>
      <c r="O9693" t="s">
        <v>29028</v>
      </c>
      <c r="T9693" t="s">
        <v>29029</v>
      </c>
    </row>
    <row r="9694" spans="1:20" x14ac:dyDescent="0.25">
      <c r="A9694" t="str">
        <f>"3060850"</f>
        <v>3060850</v>
      </c>
      <c r="B9694" t="s">
        <v>29031</v>
      </c>
      <c r="C9694" t="str">
        <f>"8306327"</f>
        <v>8306327</v>
      </c>
      <c r="D9694" t="s">
        <v>29032</v>
      </c>
      <c r="E9694" t="s">
        <v>29033</v>
      </c>
      <c r="F9694" t="s">
        <v>29034</v>
      </c>
      <c r="I9694" t="s">
        <v>184</v>
      </c>
      <c r="J9694" t="s">
        <v>30</v>
      </c>
      <c r="K9694" t="str">
        <f>"27006"</f>
        <v>27006</v>
      </c>
      <c r="M9694" t="s">
        <v>17861</v>
      </c>
      <c r="N9694" t="str">
        <f>"5/19/2016 11:13:00 AM"</f>
        <v>5/19/2016 11:13:00 AM</v>
      </c>
      <c r="O9694" t="s">
        <v>29032</v>
      </c>
      <c r="T9694" t="s">
        <v>29033</v>
      </c>
    </row>
    <row r="9695" spans="1:20" x14ac:dyDescent="0.25">
      <c r="A9695" t="str">
        <f>"3063922"</f>
        <v>3063922</v>
      </c>
      <c r="B9695" t="s">
        <v>29035</v>
      </c>
      <c r="C9695" t="str">
        <f>"8304289"</f>
        <v>8304289</v>
      </c>
      <c r="D9695" t="s">
        <v>29036</v>
      </c>
      <c r="E9695" t="s">
        <v>29037</v>
      </c>
      <c r="F9695" t="s">
        <v>29038</v>
      </c>
      <c r="I9695" t="s">
        <v>184</v>
      </c>
      <c r="J9695" t="s">
        <v>30</v>
      </c>
      <c r="K9695" t="str">
        <f>"27006"</f>
        <v>27006</v>
      </c>
      <c r="M9695" t="s">
        <v>18479</v>
      </c>
      <c r="N9695" t="str">
        <f>"5/20/2016 11:32:00 AM"</f>
        <v>5/20/2016 11:32:00 AM</v>
      </c>
      <c r="O9695" t="s">
        <v>29036</v>
      </c>
      <c r="T9695" t="s">
        <v>29037</v>
      </c>
    </row>
    <row r="9696" spans="1:20" x14ac:dyDescent="0.25">
      <c r="A9696" t="str">
        <f>"3041926"</f>
        <v>3041926</v>
      </c>
      <c r="B9696" t="s">
        <v>29039</v>
      </c>
      <c r="C9696" t="str">
        <f>"82532931"</f>
        <v>82532931</v>
      </c>
      <c r="D9696" t="s">
        <v>29040</v>
      </c>
      <c r="E9696" t="s">
        <v>29041</v>
      </c>
      <c r="F9696" t="s">
        <v>29042</v>
      </c>
      <c r="I9696" t="s">
        <v>2071</v>
      </c>
      <c r="J9696" t="s">
        <v>30</v>
      </c>
      <c r="K9696" t="s">
        <v>185</v>
      </c>
      <c r="M9696" t="s">
        <v>18470</v>
      </c>
      <c r="N9696" t="str">
        <f>"5/23/2016 10:01:00 AM"</f>
        <v>5/23/2016 10:01:00 AM</v>
      </c>
      <c r="O9696" t="s">
        <v>29040</v>
      </c>
      <c r="T9696" t="s">
        <v>29041</v>
      </c>
    </row>
    <row r="9697" spans="1:20" x14ac:dyDescent="0.25">
      <c r="A9697" t="str">
        <f>"3040548"</f>
        <v>3040548</v>
      </c>
      <c r="B9697" t="s">
        <v>29043</v>
      </c>
      <c r="C9697" t="str">
        <f>"21462000"</f>
        <v>21462000</v>
      </c>
      <c r="D9697" t="s">
        <v>29044</v>
      </c>
      <c r="F9697" t="s">
        <v>29045</v>
      </c>
      <c r="I9697" t="s">
        <v>184</v>
      </c>
      <c r="J9697" t="s">
        <v>30</v>
      </c>
      <c r="K9697" t="s">
        <v>185</v>
      </c>
      <c r="M9697" t="s">
        <v>18470</v>
      </c>
      <c r="N9697" t="str">
        <f>"5/23/2016 10:13:00 AM"</f>
        <v>5/23/2016 10:13:00 AM</v>
      </c>
      <c r="O9697" t="s">
        <v>29044</v>
      </c>
    </row>
    <row r="9698" spans="1:20" x14ac:dyDescent="0.25">
      <c r="A9698" t="str">
        <f>"3058218"</f>
        <v>3058218</v>
      </c>
      <c r="B9698" t="s">
        <v>29046</v>
      </c>
      <c r="C9698" t="str">
        <f>"8304907"</f>
        <v>8304907</v>
      </c>
      <c r="D9698" t="s">
        <v>29047</v>
      </c>
      <c r="F9698" t="s">
        <v>29048</v>
      </c>
      <c r="I9698" t="s">
        <v>29</v>
      </c>
      <c r="J9698" t="s">
        <v>30</v>
      </c>
      <c r="K9698" t="str">
        <f>"27028"</f>
        <v>27028</v>
      </c>
      <c r="M9698" t="s">
        <v>18470</v>
      </c>
      <c r="N9698" t="str">
        <f>"5/23/2016 11:02:00 AM"</f>
        <v>5/23/2016 11:02:00 AM</v>
      </c>
      <c r="O9698" t="s">
        <v>29047</v>
      </c>
    </row>
    <row r="9699" spans="1:20" x14ac:dyDescent="0.25">
      <c r="A9699" t="str">
        <f>"3049801"</f>
        <v>3049801</v>
      </c>
      <c r="B9699" t="s">
        <v>29049</v>
      </c>
      <c r="C9699" t="str">
        <f>"8306408"</f>
        <v>8306408</v>
      </c>
      <c r="D9699" t="s">
        <v>29050</v>
      </c>
      <c r="E9699" t="s">
        <v>29051</v>
      </c>
      <c r="F9699" t="s">
        <v>29052</v>
      </c>
      <c r="I9699" t="s">
        <v>29</v>
      </c>
      <c r="J9699" t="s">
        <v>30</v>
      </c>
      <c r="K9699" t="str">
        <f>"27028"</f>
        <v>27028</v>
      </c>
      <c r="M9699" t="s">
        <v>17861</v>
      </c>
      <c r="N9699" t="str">
        <f>"6/2/2016 12:04:00 PM"</f>
        <v>6/2/2016 12:04:00 PM</v>
      </c>
      <c r="O9699" t="s">
        <v>29050</v>
      </c>
      <c r="T9699" t="s">
        <v>29051</v>
      </c>
    </row>
    <row r="9700" spans="1:20" x14ac:dyDescent="0.25">
      <c r="A9700" t="str">
        <f>"3044342"</f>
        <v>3044342</v>
      </c>
      <c r="B9700" t="s">
        <v>29053</v>
      </c>
      <c r="C9700" t="str">
        <f>"51312000"</f>
        <v>51312000</v>
      </c>
      <c r="D9700" t="s">
        <v>29054</v>
      </c>
      <c r="F9700" t="s">
        <v>29055</v>
      </c>
      <c r="I9700" t="s">
        <v>184</v>
      </c>
      <c r="J9700" t="s">
        <v>30</v>
      </c>
      <c r="K9700" t="s">
        <v>185</v>
      </c>
      <c r="M9700" t="s">
        <v>18470</v>
      </c>
      <c r="N9700" t="str">
        <f>"5/23/2016 12:48:00 PM"</f>
        <v>5/23/2016 12:48:00 PM</v>
      </c>
      <c r="O9700" t="s">
        <v>29054</v>
      </c>
    </row>
    <row r="9701" spans="1:20" x14ac:dyDescent="0.25">
      <c r="A9701" t="str">
        <f>"3070329"</f>
        <v>3070329</v>
      </c>
      <c r="B9701" t="s">
        <v>29056</v>
      </c>
      <c r="C9701" t="str">
        <f>"8304949"</f>
        <v>8304949</v>
      </c>
      <c r="D9701" t="s">
        <v>29057</v>
      </c>
      <c r="F9701" t="s">
        <v>29058</v>
      </c>
      <c r="I9701" t="s">
        <v>2071</v>
      </c>
      <c r="J9701" t="s">
        <v>30</v>
      </c>
      <c r="K9701" t="str">
        <f>"27006"</f>
        <v>27006</v>
      </c>
      <c r="M9701" t="s">
        <v>18470</v>
      </c>
      <c r="N9701" t="str">
        <f>"5/23/2016 12:53:00 PM"</f>
        <v>5/23/2016 12:53:00 PM</v>
      </c>
      <c r="O9701" t="s">
        <v>29057</v>
      </c>
    </row>
    <row r="9702" spans="1:20" x14ac:dyDescent="0.25">
      <c r="A9702" t="str">
        <f>"3069980"</f>
        <v>3069980</v>
      </c>
      <c r="B9702" t="s">
        <v>29059</v>
      </c>
      <c r="C9702" t="str">
        <f>"82524775"</f>
        <v>82524775</v>
      </c>
      <c r="D9702" t="s">
        <v>29060</v>
      </c>
      <c r="F9702" t="s">
        <v>29061</v>
      </c>
      <c r="I9702" t="s">
        <v>29</v>
      </c>
      <c r="J9702" t="s">
        <v>30</v>
      </c>
      <c r="K9702" t="s">
        <v>29062</v>
      </c>
      <c r="M9702" t="s">
        <v>18470</v>
      </c>
      <c r="N9702" t="str">
        <f>"5/23/2016 3:17:00 PM"</f>
        <v>5/23/2016 3:17:00 PM</v>
      </c>
      <c r="O9702" t="s">
        <v>29060</v>
      </c>
      <c r="T9702" t="s">
        <v>29060</v>
      </c>
    </row>
    <row r="9703" spans="1:20" x14ac:dyDescent="0.25">
      <c r="A9703" t="str">
        <f>"3041401"</f>
        <v>3041401</v>
      </c>
      <c r="B9703" t="s">
        <v>29063</v>
      </c>
      <c r="C9703" t="str">
        <f>"8304244"</f>
        <v>8304244</v>
      </c>
      <c r="D9703" t="s">
        <v>29064</v>
      </c>
      <c r="F9703" t="s">
        <v>29065</v>
      </c>
      <c r="I9703" t="s">
        <v>184</v>
      </c>
      <c r="J9703" t="s">
        <v>30</v>
      </c>
      <c r="K9703" t="str">
        <f>"27006"</f>
        <v>27006</v>
      </c>
      <c r="M9703" t="s">
        <v>18470</v>
      </c>
      <c r="N9703" t="str">
        <f>"5/23/2016 3:28:00 PM"</f>
        <v>5/23/2016 3:28:00 PM</v>
      </c>
      <c r="O9703" t="s">
        <v>29064</v>
      </c>
    </row>
    <row r="9704" spans="1:20" x14ac:dyDescent="0.25">
      <c r="A9704" t="str">
        <f>"3055600"</f>
        <v>3055600</v>
      </c>
      <c r="B9704" t="s">
        <v>29066</v>
      </c>
      <c r="C9704" t="str">
        <f>"8306346"</f>
        <v>8306346</v>
      </c>
      <c r="D9704" t="s">
        <v>29067</v>
      </c>
      <c r="F9704" t="s">
        <v>29068</v>
      </c>
      <c r="I9704" t="s">
        <v>29</v>
      </c>
      <c r="J9704" t="s">
        <v>30</v>
      </c>
      <c r="K9704" t="str">
        <f>"27028"</f>
        <v>27028</v>
      </c>
      <c r="M9704" t="s">
        <v>17861</v>
      </c>
      <c r="N9704" t="str">
        <f>"5/23/2016 3:31:00 PM"</f>
        <v>5/23/2016 3:31:00 PM</v>
      </c>
      <c r="O9704" t="s">
        <v>29067</v>
      </c>
    </row>
    <row r="9705" spans="1:20" x14ac:dyDescent="0.25">
      <c r="A9705" t="str">
        <f>"3057721"</f>
        <v>3057721</v>
      </c>
      <c r="B9705" t="s">
        <v>29069</v>
      </c>
      <c r="C9705" t="str">
        <f>"8306347"</f>
        <v>8306347</v>
      </c>
      <c r="D9705" t="s">
        <v>29070</v>
      </c>
      <c r="E9705" t="s">
        <v>29071</v>
      </c>
      <c r="F9705" t="s">
        <v>29072</v>
      </c>
      <c r="I9705" t="s">
        <v>29</v>
      </c>
      <c r="J9705" t="s">
        <v>30</v>
      </c>
      <c r="K9705" t="str">
        <f>"27028"</f>
        <v>27028</v>
      </c>
      <c r="M9705" t="s">
        <v>17861</v>
      </c>
      <c r="N9705" t="str">
        <f>"5/23/2016 3:39:00 PM"</f>
        <v>5/23/2016 3:39:00 PM</v>
      </c>
      <c r="O9705" t="s">
        <v>29070</v>
      </c>
      <c r="T9705" t="s">
        <v>29071</v>
      </c>
    </row>
    <row r="9706" spans="1:20" x14ac:dyDescent="0.25">
      <c r="A9706" t="str">
        <f>"3054380"</f>
        <v>3054380</v>
      </c>
      <c r="B9706" t="s">
        <v>29073</v>
      </c>
      <c r="C9706" t="str">
        <f>"8302798"</f>
        <v>8302798</v>
      </c>
      <c r="D9706" t="s">
        <v>29074</v>
      </c>
      <c r="E9706" t="s">
        <v>29075</v>
      </c>
      <c r="F9706" t="s">
        <v>29076</v>
      </c>
      <c r="I9706" t="s">
        <v>29</v>
      </c>
      <c r="J9706" t="s">
        <v>30</v>
      </c>
      <c r="K9706" t="str">
        <f>"27028"</f>
        <v>27028</v>
      </c>
      <c r="M9706" t="s">
        <v>25625</v>
      </c>
      <c r="N9706" t="str">
        <f>"4/27/2016 4:01:00 PM"</f>
        <v>4/27/2016 4:01:00 PM</v>
      </c>
      <c r="O9706" t="s">
        <v>29074</v>
      </c>
      <c r="T9706" t="s">
        <v>29075</v>
      </c>
    </row>
    <row r="9707" spans="1:20" x14ac:dyDescent="0.25">
      <c r="A9707" t="str">
        <f>"3063721"</f>
        <v>3063721</v>
      </c>
      <c r="B9707" t="s">
        <v>29077</v>
      </c>
      <c r="C9707" t="str">
        <f>"82532354"</f>
        <v>82532354</v>
      </c>
      <c r="D9707" t="s">
        <v>29078</v>
      </c>
      <c r="F9707" t="s">
        <v>29079</v>
      </c>
      <c r="I9707" t="s">
        <v>29</v>
      </c>
      <c r="J9707" t="s">
        <v>30</v>
      </c>
      <c r="K9707" t="s">
        <v>31</v>
      </c>
      <c r="M9707" t="s">
        <v>25625</v>
      </c>
      <c r="N9707" t="str">
        <f>"4/28/2016 10:50:00 AM"</f>
        <v>4/28/2016 10:50:00 AM</v>
      </c>
      <c r="O9707" t="s">
        <v>29078</v>
      </c>
    </row>
    <row r="9708" spans="1:20" x14ac:dyDescent="0.25">
      <c r="A9708" t="str">
        <f>"3046086"</f>
        <v>3046086</v>
      </c>
      <c r="B9708" t="s">
        <v>29080</v>
      </c>
      <c r="C9708" t="str">
        <f>"82525686"</f>
        <v>82525686</v>
      </c>
      <c r="D9708" t="s">
        <v>29081</v>
      </c>
      <c r="E9708" t="s">
        <v>29082</v>
      </c>
      <c r="F9708" t="s">
        <v>8090</v>
      </c>
      <c r="I9708" t="s">
        <v>29</v>
      </c>
      <c r="J9708" t="s">
        <v>30</v>
      </c>
      <c r="K9708" t="s">
        <v>31</v>
      </c>
      <c r="M9708" t="s">
        <v>25733</v>
      </c>
      <c r="N9708" t="str">
        <f>"6/10/2016 2:15:00 PM"</f>
        <v>6/10/2016 2:15:00 PM</v>
      </c>
      <c r="O9708" t="s">
        <v>29081</v>
      </c>
      <c r="T9708" t="s">
        <v>29082</v>
      </c>
    </row>
    <row r="9709" spans="1:20" x14ac:dyDescent="0.25">
      <c r="A9709" t="str">
        <f>"3045887"</f>
        <v>3045887</v>
      </c>
      <c r="B9709" t="s">
        <v>29083</v>
      </c>
      <c r="C9709" t="str">
        <f>"82525686"</f>
        <v>82525686</v>
      </c>
      <c r="D9709" t="s">
        <v>29081</v>
      </c>
      <c r="E9709" t="s">
        <v>29082</v>
      </c>
      <c r="F9709" t="s">
        <v>8090</v>
      </c>
      <c r="I9709" t="s">
        <v>29</v>
      </c>
      <c r="J9709" t="s">
        <v>30</v>
      </c>
      <c r="K9709" t="s">
        <v>31</v>
      </c>
      <c r="M9709" t="s">
        <v>25733</v>
      </c>
      <c r="N9709" t="str">
        <f>"6/10/2016 2:15:00 PM"</f>
        <v>6/10/2016 2:15:00 PM</v>
      </c>
      <c r="O9709" t="s">
        <v>29081</v>
      </c>
      <c r="T9709" t="s">
        <v>29082</v>
      </c>
    </row>
    <row r="9710" spans="1:20" x14ac:dyDescent="0.25">
      <c r="A9710" t="str">
        <f>"3043170"</f>
        <v>3043170</v>
      </c>
      <c r="B9710" t="s">
        <v>29084</v>
      </c>
      <c r="C9710" t="str">
        <f>"31033000"</f>
        <v>31033000</v>
      </c>
      <c r="D9710" t="s">
        <v>29085</v>
      </c>
      <c r="E9710" t="s">
        <v>29086</v>
      </c>
      <c r="F9710" t="s">
        <v>29087</v>
      </c>
      <c r="I9710" t="s">
        <v>184</v>
      </c>
      <c r="J9710" t="s">
        <v>30</v>
      </c>
      <c r="K9710" t="s">
        <v>185</v>
      </c>
      <c r="M9710" t="s">
        <v>25733</v>
      </c>
      <c r="N9710" t="str">
        <f>"6/13/2016 9:24:00 AM"</f>
        <v>6/13/2016 9:24:00 AM</v>
      </c>
      <c r="O9710" t="s">
        <v>29085</v>
      </c>
      <c r="T9710" t="s">
        <v>29086</v>
      </c>
    </row>
    <row r="9711" spans="1:20" x14ac:dyDescent="0.25">
      <c r="A9711" t="str">
        <f>"3038407"</f>
        <v>3038407</v>
      </c>
      <c r="B9711" t="s">
        <v>29088</v>
      </c>
      <c r="C9711" t="str">
        <f>"82522643"</f>
        <v>82522643</v>
      </c>
      <c r="D9711" t="s">
        <v>29089</v>
      </c>
      <c r="F9711" t="s">
        <v>29090</v>
      </c>
      <c r="I9711" t="s">
        <v>29</v>
      </c>
      <c r="J9711" t="s">
        <v>30</v>
      </c>
      <c r="K9711" t="s">
        <v>31</v>
      </c>
      <c r="M9711" t="s">
        <v>18470</v>
      </c>
      <c r="N9711" t="str">
        <f>"5/23/2016 4:35:00 PM"</f>
        <v>5/23/2016 4:35:00 PM</v>
      </c>
      <c r="O9711" t="s">
        <v>29089</v>
      </c>
    </row>
    <row r="9712" spans="1:20" x14ac:dyDescent="0.25">
      <c r="A9712" t="str">
        <f>"3042103"</f>
        <v>3042103</v>
      </c>
      <c r="B9712" t="s">
        <v>29091</v>
      </c>
      <c r="C9712" t="str">
        <f>"40686000"</f>
        <v>40686000</v>
      </c>
      <c r="D9712" t="s">
        <v>29092</v>
      </c>
      <c r="F9712" t="s">
        <v>29093</v>
      </c>
      <c r="I9712" t="s">
        <v>29</v>
      </c>
      <c r="J9712" t="s">
        <v>30</v>
      </c>
      <c r="K9712" t="s">
        <v>31</v>
      </c>
      <c r="M9712" t="s">
        <v>25733</v>
      </c>
      <c r="N9712" t="str">
        <f>"6/13/2016 1:24:00 PM"</f>
        <v>6/13/2016 1:24:00 PM</v>
      </c>
      <c r="O9712" t="s">
        <v>29092</v>
      </c>
    </row>
    <row r="9713" spans="1:20" x14ac:dyDescent="0.25">
      <c r="A9713" t="str">
        <f>"3057650"</f>
        <v>3057650</v>
      </c>
      <c r="B9713" t="s">
        <v>29094</v>
      </c>
      <c r="C9713" t="str">
        <f>"8306446"</f>
        <v>8306446</v>
      </c>
      <c r="D9713" t="s">
        <v>29095</v>
      </c>
      <c r="E9713" t="s">
        <v>29096</v>
      </c>
      <c r="F9713" t="s">
        <v>29097</v>
      </c>
      <c r="I9713" t="s">
        <v>184</v>
      </c>
      <c r="J9713" t="s">
        <v>30</v>
      </c>
      <c r="K9713" t="str">
        <f>"27006"</f>
        <v>27006</v>
      </c>
      <c r="M9713" t="s">
        <v>17861</v>
      </c>
      <c r="N9713" t="str">
        <f>"6/14/2016 9:24:00 AM"</f>
        <v>6/14/2016 9:24:00 AM</v>
      </c>
      <c r="O9713" t="s">
        <v>29095</v>
      </c>
      <c r="T9713" t="s">
        <v>29096</v>
      </c>
    </row>
    <row r="9714" spans="1:20" x14ac:dyDescent="0.25">
      <c r="A9714" t="str">
        <f>"3050507"</f>
        <v>3050507</v>
      </c>
      <c r="B9714" t="s">
        <v>29098</v>
      </c>
      <c r="C9714" t="str">
        <f>"8306358"</f>
        <v>8306358</v>
      </c>
      <c r="D9714" t="s">
        <v>29099</v>
      </c>
      <c r="E9714" t="s">
        <v>29100</v>
      </c>
      <c r="F9714" t="s">
        <v>29101</v>
      </c>
      <c r="I9714" t="s">
        <v>29</v>
      </c>
      <c r="J9714" t="s">
        <v>30</v>
      </c>
      <c r="K9714" t="str">
        <f>"27028"</f>
        <v>27028</v>
      </c>
      <c r="M9714" t="s">
        <v>17861</v>
      </c>
      <c r="N9714" t="str">
        <f>"5/24/2016 9:15:00 AM"</f>
        <v>5/24/2016 9:15:00 AM</v>
      </c>
      <c r="O9714" t="s">
        <v>29099</v>
      </c>
      <c r="T9714" t="s">
        <v>29100</v>
      </c>
    </row>
    <row r="9715" spans="1:20" x14ac:dyDescent="0.25">
      <c r="A9715" t="str">
        <f>"3044744"</f>
        <v>3044744</v>
      </c>
      <c r="B9715" t="s">
        <v>29102</v>
      </c>
      <c r="C9715" t="str">
        <f>"82525406"</f>
        <v>82525406</v>
      </c>
      <c r="D9715" t="s">
        <v>29103</v>
      </c>
      <c r="E9715" t="s">
        <v>29104</v>
      </c>
      <c r="F9715" t="s">
        <v>29105</v>
      </c>
      <c r="I9715" t="s">
        <v>184</v>
      </c>
      <c r="J9715" t="s">
        <v>30</v>
      </c>
      <c r="K9715" t="s">
        <v>185</v>
      </c>
      <c r="M9715" t="s">
        <v>25494</v>
      </c>
      <c r="N9715" t="str">
        <f>"4/29/2016 12:29:00 PM"</f>
        <v>4/29/2016 12:29:00 PM</v>
      </c>
      <c r="O9715" t="s">
        <v>29103</v>
      </c>
      <c r="T9715" t="s">
        <v>29104</v>
      </c>
    </row>
    <row r="9716" spans="1:20" x14ac:dyDescent="0.25">
      <c r="A9716" t="str">
        <f>"3055159"</f>
        <v>3055159</v>
      </c>
      <c r="B9716" t="s">
        <v>29106</v>
      </c>
      <c r="C9716" t="str">
        <f>"8306260"</f>
        <v>8306260</v>
      </c>
      <c r="D9716" t="s">
        <v>29107</v>
      </c>
      <c r="E9716" t="s">
        <v>29108</v>
      </c>
      <c r="F9716" t="s">
        <v>29109</v>
      </c>
      <c r="I9716" t="s">
        <v>29</v>
      </c>
      <c r="J9716" t="s">
        <v>30</v>
      </c>
      <c r="K9716" t="str">
        <f>"27028"</f>
        <v>27028</v>
      </c>
      <c r="M9716" t="s">
        <v>17861</v>
      </c>
      <c r="N9716" t="str">
        <f>"5/2/2016 9:17:00 AM"</f>
        <v>5/2/2016 9:17:00 AM</v>
      </c>
      <c r="O9716" t="s">
        <v>29107</v>
      </c>
      <c r="T9716" t="s">
        <v>29108</v>
      </c>
    </row>
    <row r="9717" spans="1:20" x14ac:dyDescent="0.25">
      <c r="A9717" t="str">
        <f>"3050932"</f>
        <v>3050932</v>
      </c>
      <c r="B9717" t="s">
        <v>29110</v>
      </c>
      <c r="C9717" t="str">
        <f>"8306371"</f>
        <v>8306371</v>
      </c>
      <c r="D9717" t="s">
        <v>29111</v>
      </c>
      <c r="E9717" t="s">
        <v>25390</v>
      </c>
      <c r="F9717" t="s">
        <v>29112</v>
      </c>
      <c r="I9717" t="s">
        <v>184</v>
      </c>
      <c r="J9717" t="s">
        <v>30</v>
      </c>
      <c r="K9717" t="str">
        <f>"27006"</f>
        <v>27006</v>
      </c>
      <c r="M9717" t="s">
        <v>18479</v>
      </c>
      <c r="N9717" t="str">
        <f>"5/25/2016 11:52:00 AM"</f>
        <v>5/25/2016 11:52:00 AM</v>
      </c>
      <c r="O9717" t="s">
        <v>29111</v>
      </c>
      <c r="T9717" t="s">
        <v>25390</v>
      </c>
    </row>
    <row r="9718" spans="1:20" x14ac:dyDescent="0.25">
      <c r="A9718" t="str">
        <f>"3052914"</f>
        <v>3052914</v>
      </c>
      <c r="B9718" t="s">
        <v>29113</v>
      </c>
      <c r="C9718" t="str">
        <f>"82533108"</f>
        <v>82533108</v>
      </c>
      <c r="D9718" t="s">
        <v>29114</v>
      </c>
      <c r="F9718" t="s">
        <v>29115</v>
      </c>
      <c r="I9718" t="s">
        <v>29</v>
      </c>
      <c r="J9718" t="s">
        <v>30</v>
      </c>
      <c r="K9718" t="str">
        <f>"27028"</f>
        <v>27028</v>
      </c>
      <c r="M9718" t="s">
        <v>17861</v>
      </c>
      <c r="N9718" t="str">
        <f>"5/26/2016 12:39:00 PM"</f>
        <v>5/26/2016 12:39:00 PM</v>
      </c>
      <c r="O9718" t="s">
        <v>29114</v>
      </c>
    </row>
    <row r="9719" spans="1:20" x14ac:dyDescent="0.25">
      <c r="A9719" t="str">
        <f>"3062986"</f>
        <v>3062986</v>
      </c>
      <c r="B9719" t="s">
        <v>29116</v>
      </c>
      <c r="C9719" t="str">
        <f>"8306461"</f>
        <v>8306461</v>
      </c>
      <c r="D9719" t="s">
        <v>29117</v>
      </c>
      <c r="E9719" t="s">
        <v>29118</v>
      </c>
      <c r="F9719" t="s">
        <v>29119</v>
      </c>
      <c r="I9719" t="s">
        <v>184</v>
      </c>
      <c r="J9719" t="s">
        <v>30</v>
      </c>
      <c r="K9719" t="str">
        <f>"27006"</f>
        <v>27006</v>
      </c>
      <c r="M9719" t="s">
        <v>17861</v>
      </c>
      <c r="N9719" t="str">
        <f>"6/14/2016 4:23:00 PM"</f>
        <v>6/14/2016 4:23:00 PM</v>
      </c>
      <c r="O9719" t="s">
        <v>29117</v>
      </c>
      <c r="T9719" t="s">
        <v>29118</v>
      </c>
    </row>
    <row r="9720" spans="1:20" x14ac:dyDescent="0.25">
      <c r="A9720" t="str">
        <f>"3071290"</f>
        <v>3071290</v>
      </c>
      <c r="B9720" t="s">
        <v>29120</v>
      </c>
      <c r="C9720" t="str">
        <f>"8306463"</f>
        <v>8306463</v>
      </c>
      <c r="D9720" t="s">
        <v>29121</v>
      </c>
      <c r="E9720" t="s">
        <v>29122</v>
      </c>
      <c r="F9720" t="s">
        <v>29123</v>
      </c>
      <c r="I9720" t="s">
        <v>29</v>
      </c>
      <c r="J9720" t="s">
        <v>30</v>
      </c>
      <c r="K9720" t="str">
        <f>"27028"</f>
        <v>27028</v>
      </c>
      <c r="M9720" t="s">
        <v>17861</v>
      </c>
      <c r="N9720" t="str">
        <f>"6/14/2016 4:33:00 PM"</f>
        <v>6/14/2016 4:33:00 PM</v>
      </c>
      <c r="O9720" t="s">
        <v>29121</v>
      </c>
      <c r="T9720" t="s">
        <v>29122</v>
      </c>
    </row>
    <row r="9721" spans="1:20" x14ac:dyDescent="0.25">
      <c r="A9721" t="str">
        <f>"3076568"</f>
        <v>3076568</v>
      </c>
      <c r="B9721" t="s">
        <v>29124</v>
      </c>
      <c r="C9721" t="str">
        <f>"8304867"</f>
        <v>8304867</v>
      </c>
      <c r="D9721" t="s">
        <v>29125</v>
      </c>
      <c r="E9721" t="s">
        <v>29126</v>
      </c>
      <c r="F9721" t="s">
        <v>29127</v>
      </c>
      <c r="I9721" t="s">
        <v>24359</v>
      </c>
      <c r="J9721" t="s">
        <v>30</v>
      </c>
      <c r="K9721" t="str">
        <f>"27006"</f>
        <v>27006</v>
      </c>
      <c r="M9721" t="s">
        <v>18479</v>
      </c>
      <c r="N9721" t="str">
        <f>"5/31/2016 1:37:00 PM"</f>
        <v>5/31/2016 1:37:00 PM</v>
      </c>
      <c r="O9721" t="s">
        <v>29125</v>
      </c>
      <c r="T9721" t="s">
        <v>29126</v>
      </c>
    </row>
    <row r="9722" spans="1:20" x14ac:dyDescent="0.25">
      <c r="A9722" t="str">
        <f>"3068208"</f>
        <v>3068208</v>
      </c>
      <c r="B9722" t="s">
        <v>29128</v>
      </c>
      <c r="C9722" t="str">
        <f>"58026000"</f>
        <v>58026000</v>
      </c>
      <c r="D9722" t="s">
        <v>29129</v>
      </c>
      <c r="E9722" t="s">
        <v>29130</v>
      </c>
      <c r="F9722" t="s">
        <v>29131</v>
      </c>
      <c r="I9722" t="s">
        <v>29</v>
      </c>
      <c r="J9722" t="s">
        <v>30</v>
      </c>
      <c r="K9722" t="s">
        <v>31</v>
      </c>
      <c r="M9722" t="s">
        <v>18470</v>
      </c>
      <c r="N9722" t="str">
        <f>"6/15/2016 12:16:00 PM"</f>
        <v>6/15/2016 12:16:00 PM</v>
      </c>
      <c r="O9722" t="s">
        <v>29129</v>
      </c>
      <c r="T9722" t="s">
        <v>29130</v>
      </c>
    </row>
    <row r="9723" spans="1:20" x14ac:dyDescent="0.25">
      <c r="A9723" t="str">
        <f>"3057760"</f>
        <v>3057760</v>
      </c>
      <c r="B9723" t="s">
        <v>29132</v>
      </c>
      <c r="C9723" t="str">
        <f>"8306385"</f>
        <v>8306385</v>
      </c>
      <c r="D9723" t="s">
        <v>29133</v>
      </c>
      <c r="E9723" t="s">
        <v>29134</v>
      </c>
      <c r="F9723" t="s">
        <v>29135</v>
      </c>
      <c r="I9723" t="s">
        <v>29</v>
      </c>
      <c r="J9723" t="s">
        <v>30</v>
      </c>
      <c r="K9723" t="str">
        <f>"27028"</f>
        <v>27028</v>
      </c>
      <c r="M9723" t="s">
        <v>17861</v>
      </c>
      <c r="N9723" t="str">
        <f>"5/31/2016 3:27:00 PM"</f>
        <v>5/31/2016 3:27:00 PM</v>
      </c>
      <c r="O9723" t="s">
        <v>29133</v>
      </c>
      <c r="T9723" t="s">
        <v>29134</v>
      </c>
    </row>
    <row r="9724" spans="1:20" x14ac:dyDescent="0.25">
      <c r="A9724" t="str">
        <f>"3055263"</f>
        <v>3055263</v>
      </c>
      <c r="B9724" t="s">
        <v>29136</v>
      </c>
      <c r="C9724" t="str">
        <f>"73827700"</f>
        <v>73827700</v>
      </c>
      <c r="D9724" t="s">
        <v>29137</v>
      </c>
      <c r="E9724" t="s">
        <v>29138</v>
      </c>
      <c r="F9724" t="s">
        <v>29139</v>
      </c>
      <c r="I9724" t="s">
        <v>29</v>
      </c>
      <c r="J9724" t="s">
        <v>30</v>
      </c>
      <c r="K9724" t="str">
        <f>"27028"</f>
        <v>27028</v>
      </c>
      <c r="M9724" t="s">
        <v>25733</v>
      </c>
      <c r="N9724" t="str">
        <f>"6/17/2016 9:25:00 AM"</f>
        <v>6/17/2016 9:25:00 AM</v>
      </c>
      <c r="O9724" t="s">
        <v>29137</v>
      </c>
      <c r="T9724" t="s">
        <v>29138</v>
      </c>
    </row>
    <row r="9725" spans="1:20" x14ac:dyDescent="0.25">
      <c r="A9725" t="str">
        <f>"3059107"</f>
        <v>3059107</v>
      </c>
      <c r="B9725" t="s">
        <v>29140</v>
      </c>
      <c r="C9725" t="str">
        <f>"76504000"</f>
        <v>76504000</v>
      </c>
      <c r="D9725" t="s">
        <v>29141</v>
      </c>
      <c r="E9725" t="s">
        <v>29142</v>
      </c>
      <c r="F9725" t="s">
        <v>29143</v>
      </c>
      <c r="I9725" t="s">
        <v>29</v>
      </c>
      <c r="J9725" t="s">
        <v>30</v>
      </c>
      <c r="K9725" t="s">
        <v>31</v>
      </c>
      <c r="M9725" t="s">
        <v>25733</v>
      </c>
      <c r="N9725" t="str">
        <f>"6/17/2016 10:16:00 AM"</f>
        <v>6/17/2016 10:16:00 AM</v>
      </c>
      <c r="O9725" t="s">
        <v>29141</v>
      </c>
      <c r="T9725" t="s">
        <v>29142</v>
      </c>
    </row>
    <row r="9726" spans="1:20" x14ac:dyDescent="0.25">
      <c r="A9726" t="str">
        <f>"3046834"</f>
        <v>3046834</v>
      </c>
      <c r="B9726" t="s">
        <v>29144</v>
      </c>
      <c r="C9726" t="str">
        <f>"8306386"</f>
        <v>8306386</v>
      </c>
      <c r="D9726" t="s">
        <v>29145</v>
      </c>
      <c r="F9726" t="s">
        <v>29146</v>
      </c>
      <c r="I9726" t="s">
        <v>22944</v>
      </c>
      <c r="J9726" t="s">
        <v>30</v>
      </c>
      <c r="K9726" t="str">
        <f>"27028"</f>
        <v>27028</v>
      </c>
      <c r="M9726" t="s">
        <v>17861</v>
      </c>
      <c r="N9726" t="str">
        <f>"5/31/2016 3:33:00 PM"</f>
        <v>5/31/2016 3:33:00 PM</v>
      </c>
      <c r="O9726" t="s">
        <v>29145</v>
      </c>
    </row>
    <row r="9727" spans="1:20" x14ac:dyDescent="0.25">
      <c r="A9727" t="str">
        <f>"3046984"</f>
        <v>3046984</v>
      </c>
      <c r="B9727" t="s">
        <v>29147</v>
      </c>
      <c r="C9727" t="str">
        <f>"8306387"</f>
        <v>8306387</v>
      </c>
      <c r="D9727" t="s">
        <v>29148</v>
      </c>
      <c r="F9727" t="s">
        <v>29149</v>
      </c>
      <c r="I9727" t="s">
        <v>29</v>
      </c>
      <c r="J9727" t="s">
        <v>30</v>
      </c>
      <c r="K9727" t="str">
        <f>"27028"</f>
        <v>27028</v>
      </c>
      <c r="M9727" t="s">
        <v>17861</v>
      </c>
      <c r="N9727" t="str">
        <f>"5/31/2016 3:36:00 PM"</f>
        <v>5/31/2016 3:36:00 PM</v>
      </c>
      <c r="O9727" t="s">
        <v>29148</v>
      </c>
    </row>
    <row r="9728" spans="1:20" x14ac:dyDescent="0.25">
      <c r="A9728" t="str">
        <f>"3048478"</f>
        <v>3048478</v>
      </c>
      <c r="B9728" t="s">
        <v>29150</v>
      </c>
      <c r="C9728" t="str">
        <f>"9292000"</f>
        <v>9292000</v>
      </c>
      <c r="D9728" t="s">
        <v>29151</v>
      </c>
      <c r="E9728" t="s">
        <v>29152</v>
      </c>
      <c r="F9728" t="s">
        <v>29153</v>
      </c>
      <c r="I9728" t="s">
        <v>49</v>
      </c>
      <c r="J9728" t="s">
        <v>30</v>
      </c>
      <c r="K9728" t="s">
        <v>50</v>
      </c>
      <c r="M9728" t="s">
        <v>26316</v>
      </c>
      <c r="N9728" t="str">
        <f>"5/31/2016 3:43:00 PM"</f>
        <v>5/31/2016 3:43:00 PM</v>
      </c>
      <c r="O9728" t="s">
        <v>29151</v>
      </c>
      <c r="T9728" t="s">
        <v>29152</v>
      </c>
    </row>
    <row r="9729" spans="1:20" x14ac:dyDescent="0.25">
      <c r="A9729" t="str">
        <f>"3060812"</f>
        <v>3060812</v>
      </c>
      <c r="B9729" t="s">
        <v>29154</v>
      </c>
      <c r="C9729" t="str">
        <f>"8306388"</f>
        <v>8306388</v>
      </c>
      <c r="D9729" t="s">
        <v>29155</v>
      </c>
      <c r="E9729" t="s">
        <v>29156</v>
      </c>
      <c r="F9729" t="s">
        <v>29157</v>
      </c>
      <c r="I9729" t="s">
        <v>184</v>
      </c>
      <c r="J9729" t="s">
        <v>30</v>
      </c>
      <c r="K9729" t="str">
        <f>"27006"</f>
        <v>27006</v>
      </c>
      <c r="M9729" t="s">
        <v>17861</v>
      </c>
      <c r="N9729" t="str">
        <f>"5/31/2016 3:48:00 PM"</f>
        <v>5/31/2016 3:48:00 PM</v>
      </c>
      <c r="O9729" t="s">
        <v>29155</v>
      </c>
      <c r="T9729" t="s">
        <v>29156</v>
      </c>
    </row>
    <row r="9730" spans="1:20" x14ac:dyDescent="0.25">
      <c r="A9730" t="str">
        <f>"3048133"</f>
        <v>3048133</v>
      </c>
      <c r="B9730" t="s">
        <v>29158</v>
      </c>
      <c r="C9730" t="str">
        <f>"8306398"</f>
        <v>8306398</v>
      </c>
      <c r="D9730" t="s">
        <v>29159</v>
      </c>
      <c r="F9730" t="s">
        <v>29160</v>
      </c>
      <c r="I9730" t="s">
        <v>184</v>
      </c>
      <c r="J9730" t="s">
        <v>30</v>
      </c>
      <c r="K9730" t="str">
        <f>"27006"</f>
        <v>27006</v>
      </c>
      <c r="M9730" t="s">
        <v>17861</v>
      </c>
      <c r="N9730" t="str">
        <f>"6/2/2016 10:12:00 AM"</f>
        <v>6/2/2016 10:12:00 AM</v>
      </c>
      <c r="O9730" t="s">
        <v>29159</v>
      </c>
    </row>
    <row r="9731" spans="1:20" x14ac:dyDescent="0.25">
      <c r="A9731" t="str">
        <f>"3039828"</f>
        <v>3039828</v>
      </c>
      <c r="B9731" t="s">
        <v>29161</v>
      </c>
      <c r="C9731" t="str">
        <f>"8306406"</f>
        <v>8306406</v>
      </c>
      <c r="D9731" t="s">
        <v>29162</v>
      </c>
      <c r="E9731" t="s">
        <v>29163</v>
      </c>
      <c r="F9731" t="s">
        <v>29164</v>
      </c>
      <c r="I9731" t="s">
        <v>29</v>
      </c>
      <c r="J9731" t="s">
        <v>30</v>
      </c>
      <c r="K9731" t="str">
        <f>"27028"</f>
        <v>27028</v>
      </c>
      <c r="M9731" t="s">
        <v>17861</v>
      </c>
      <c r="N9731" t="str">
        <f>"6/2/2016 11:47:00 AM"</f>
        <v>6/2/2016 11:47:00 AM</v>
      </c>
      <c r="O9731" t="s">
        <v>29162</v>
      </c>
      <c r="T9731" t="s">
        <v>29163</v>
      </c>
    </row>
    <row r="9732" spans="1:20" x14ac:dyDescent="0.25">
      <c r="A9732" t="str">
        <f>"3046257"</f>
        <v>3046257</v>
      </c>
      <c r="B9732" t="s">
        <v>29165</v>
      </c>
      <c r="C9732" t="str">
        <f>"82531598"</f>
        <v>82531598</v>
      </c>
      <c r="D9732" t="s">
        <v>29166</v>
      </c>
      <c r="F9732" t="s">
        <v>29167</v>
      </c>
      <c r="I9732" t="s">
        <v>29168</v>
      </c>
      <c r="J9732" t="s">
        <v>30</v>
      </c>
      <c r="K9732" t="s">
        <v>29169</v>
      </c>
      <c r="M9732" t="s">
        <v>18479</v>
      </c>
      <c r="N9732" t="str">
        <f>"6/2/2016 11:52:00 AM"</f>
        <v>6/2/2016 11:52:00 AM</v>
      </c>
      <c r="O9732" t="s">
        <v>29166</v>
      </c>
    </row>
    <row r="9733" spans="1:20" x14ac:dyDescent="0.25">
      <c r="A9733" t="str">
        <f>"3063026"</f>
        <v>3063026</v>
      </c>
      <c r="B9733" t="s">
        <v>29170</v>
      </c>
      <c r="C9733" t="str">
        <f>"8306412"</f>
        <v>8306412</v>
      </c>
      <c r="D9733" t="s">
        <v>29171</v>
      </c>
      <c r="E9733" t="s">
        <v>29172</v>
      </c>
      <c r="F9733" t="s">
        <v>29173</v>
      </c>
      <c r="I9733" t="s">
        <v>184</v>
      </c>
      <c r="J9733" t="s">
        <v>30</v>
      </c>
      <c r="K9733" t="str">
        <f>"27006"</f>
        <v>27006</v>
      </c>
      <c r="M9733" t="s">
        <v>17861</v>
      </c>
      <c r="N9733" t="str">
        <f>"6/6/2016 8:41:00 AM"</f>
        <v>6/6/2016 8:41:00 AM</v>
      </c>
      <c r="O9733" t="s">
        <v>29171</v>
      </c>
      <c r="T9733" t="s">
        <v>29172</v>
      </c>
    </row>
    <row r="9734" spans="1:20" x14ac:dyDescent="0.25">
      <c r="A9734" t="str">
        <f>"3040850"</f>
        <v>3040850</v>
      </c>
      <c r="B9734" t="s">
        <v>29174</v>
      </c>
      <c r="C9734" t="str">
        <f>"8306422"</f>
        <v>8306422</v>
      </c>
      <c r="D9734" t="s">
        <v>29175</v>
      </c>
      <c r="F9734" t="s">
        <v>29176</v>
      </c>
      <c r="I9734" t="s">
        <v>184</v>
      </c>
      <c r="J9734" t="s">
        <v>30</v>
      </c>
      <c r="K9734" t="str">
        <f>"27006"</f>
        <v>27006</v>
      </c>
      <c r="M9734" t="s">
        <v>17861</v>
      </c>
      <c r="N9734" t="str">
        <f>"6/6/2016 10:50:00 AM"</f>
        <v>6/6/2016 10:50:00 AM</v>
      </c>
      <c r="O9734" t="s">
        <v>29175</v>
      </c>
    </row>
    <row r="9735" spans="1:20" x14ac:dyDescent="0.25">
      <c r="A9735" t="str">
        <f>"3038437"</f>
        <v>3038437</v>
      </c>
      <c r="B9735" t="s">
        <v>29177</v>
      </c>
      <c r="C9735" t="str">
        <f>"8306423"</f>
        <v>8306423</v>
      </c>
      <c r="D9735" t="s">
        <v>29178</v>
      </c>
      <c r="E9735" t="s">
        <v>29179</v>
      </c>
      <c r="F9735" t="s">
        <v>29180</v>
      </c>
      <c r="I9735" t="s">
        <v>29</v>
      </c>
      <c r="J9735" t="s">
        <v>30</v>
      </c>
      <c r="K9735" t="str">
        <f>"27028"</f>
        <v>27028</v>
      </c>
      <c r="M9735" t="s">
        <v>17861</v>
      </c>
      <c r="N9735" t="str">
        <f>"6/6/2016 11:11:00 AM"</f>
        <v>6/6/2016 11:11:00 AM</v>
      </c>
      <c r="O9735" t="s">
        <v>29181</v>
      </c>
      <c r="T9735" t="s">
        <v>29179</v>
      </c>
    </row>
    <row r="9736" spans="1:20" x14ac:dyDescent="0.25">
      <c r="A9736" t="str">
        <f>"3062972"</f>
        <v>3062972</v>
      </c>
      <c r="B9736" t="s">
        <v>29182</v>
      </c>
      <c r="C9736" t="str">
        <f>"8306432"</f>
        <v>8306432</v>
      </c>
      <c r="D9736" t="s">
        <v>29183</v>
      </c>
      <c r="F9736" t="s">
        <v>29184</v>
      </c>
      <c r="I9736" t="s">
        <v>29</v>
      </c>
      <c r="J9736" t="s">
        <v>30</v>
      </c>
      <c r="K9736" t="str">
        <f>"27028"</f>
        <v>27028</v>
      </c>
      <c r="M9736" t="s">
        <v>17861</v>
      </c>
      <c r="N9736" t="str">
        <f>"6/8/2016 4:56:00 PM"</f>
        <v>6/8/2016 4:56:00 PM</v>
      </c>
      <c r="O9736" t="s">
        <v>29183</v>
      </c>
    </row>
    <row r="9737" spans="1:20" x14ac:dyDescent="0.25">
      <c r="A9737" t="str">
        <f>"3041063"</f>
        <v>3041063</v>
      </c>
      <c r="B9737" t="s">
        <v>29185</v>
      </c>
      <c r="C9737" t="str">
        <f>"8306434"</f>
        <v>8306434</v>
      </c>
      <c r="D9737" t="s">
        <v>29186</v>
      </c>
      <c r="E9737" t="s">
        <v>29187</v>
      </c>
      <c r="F9737" t="s">
        <v>29188</v>
      </c>
      <c r="I9737" t="s">
        <v>2071</v>
      </c>
      <c r="J9737" t="s">
        <v>30</v>
      </c>
      <c r="K9737" t="str">
        <f>"27006"</f>
        <v>27006</v>
      </c>
      <c r="M9737" t="s">
        <v>17861</v>
      </c>
      <c r="N9737" t="str">
        <f>"6/9/2016 10:57:00 AM"</f>
        <v>6/9/2016 10:57:00 AM</v>
      </c>
      <c r="O9737" t="s">
        <v>29186</v>
      </c>
      <c r="T9737" t="s">
        <v>29187</v>
      </c>
    </row>
    <row r="9738" spans="1:20" x14ac:dyDescent="0.25">
      <c r="A9738" t="str">
        <f>"3040824"</f>
        <v>3040824</v>
      </c>
      <c r="B9738" t="s">
        <v>29189</v>
      </c>
      <c r="C9738" t="str">
        <f>"18372000"</f>
        <v>18372000</v>
      </c>
      <c r="D9738" t="s">
        <v>29190</v>
      </c>
      <c r="E9738" t="s">
        <v>29191</v>
      </c>
      <c r="F9738" t="s">
        <v>29192</v>
      </c>
      <c r="I9738" t="s">
        <v>184</v>
      </c>
      <c r="J9738" t="s">
        <v>30</v>
      </c>
      <c r="K9738" t="s">
        <v>185</v>
      </c>
      <c r="M9738" t="s">
        <v>25733</v>
      </c>
      <c r="N9738" t="str">
        <f>"6/9/2016 1:55:00 PM"</f>
        <v>6/9/2016 1:55:00 PM</v>
      </c>
      <c r="O9738" t="s">
        <v>29190</v>
      </c>
      <c r="T9738" t="s">
        <v>29191</v>
      </c>
    </row>
    <row r="9739" spans="1:20" x14ac:dyDescent="0.25">
      <c r="A9739" t="str">
        <f>"3051065"</f>
        <v>3051065</v>
      </c>
      <c r="B9739" t="s">
        <v>29193</v>
      </c>
      <c r="C9739" t="str">
        <f>"21485750"</f>
        <v>21485750</v>
      </c>
      <c r="D9739" t="s">
        <v>19639</v>
      </c>
      <c r="F9739" t="s">
        <v>29194</v>
      </c>
      <c r="I9739" t="s">
        <v>29</v>
      </c>
      <c r="J9739" t="s">
        <v>30</v>
      </c>
      <c r="K9739" t="s">
        <v>29195</v>
      </c>
      <c r="M9739" t="s">
        <v>25733</v>
      </c>
      <c r="N9739" t="str">
        <f>"6/9/2016 4:12:00 PM"</f>
        <v>6/9/2016 4:12:00 PM</v>
      </c>
      <c r="O9739" t="s">
        <v>19639</v>
      </c>
      <c r="T9739" t="s">
        <v>19639</v>
      </c>
    </row>
    <row r="9740" spans="1:20" x14ac:dyDescent="0.25">
      <c r="A9740" t="str">
        <f>"3037584"</f>
        <v>3037584</v>
      </c>
      <c r="B9740" t="s">
        <v>29196</v>
      </c>
      <c r="C9740" t="str">
        <f>"8305215"</f>
        <v>8305215</v>
      </c>
      <c r="D9740" t="s">
        <v>29197</v>
      </c>
      <c r="E9740" t="s">
        <v>29198</v>
      </c>
      <c r="F9740" t="s">
        <v>29199</v>
      </c>
      <c r="I9740" t="s">
        <v>29</v>
      </c>
      <c r="J9740" t="s">
        <v>30</v>
      </c>
      <c r="K9740" t="str">
        <f>"27028"</f>
        <v>27028</v>
      </c>
      <c r="M9740" t="s">
        <v>18479</v>
      </c>
      <c r="N9740" t="str">
        <f>"6/10/2016 10:53:00 AM"</f>
        <v>6/10/2016 10:53:00 AM</v>
      </c>
      <c r="O9740" t="s">
        <v>29197</v>
      </c>
      <c r="T9740" t="s">
        <v>29198</v>
      </c>
    </row>
    <row r="9741" spans="1:20" x14ac:dyDescent="0.25">
      <c r="A9741" t="str">
        <f>"3042958"</f>
        <v>3042958</v>
      </c>
      <c r="B9741" t="s">
        <v>29200</v>
      </c>
      <c r="C9741" t="str">
        <f>"40686000"</f>
        <v>40686000</v>
      </c>
      <c r="D9741" t="s">
        <v>29092</v>
      </c>
      <c r="F9741" t="s">
        <v>29093</v>
      </c>
      <c r="I9741" t="s">
        <v>29</v>
      </c>
      <c r="J9741" t="s">
        <v>30</v>
      </c>
      <c r="K9741" t="s">
        <v>31</v>
      </c>
      <c r="M9741" t="s">
        <v>25733</v>
      </c>
      <c r="N9741" t="str">
        <f>"6/13/2016 1:24:00 PM"</f>
        <v>6/13/2016 1:24:00 PM</v>
      </c>
      <c r="O9741" t="s">
        <v>29092</v>
      </c>
    </row>
    <row r="9742" spans="1:20" x14ac:dyDescent="0.25">
      <c r="A9742" t="str">
        <f>"3047370"</f>
        <v>3047370</v>
      </c>
      <c r="B9742" t="s">
        <v>29201</v>
      </c>
      <c r="C9742" t="str">
        <f>"33381000"</f>
        <v>33381000</v>
      </c>
      <c r="D9742" t="s">
        <v>29007</v>
      </c>
      <c r="F9742" t="s">
        <v>29008</v>
      </c>
      <c r="I9742" t="s">
        <v>184</v>
      </c>
      <c r="J9742" t="s">
        <v>30</v>
      </c>
      <c r="K9742" t="s">
        <v>185</v>
      </c>
      <c r="M9742" t="s">
        <v>18470</v>
      </c>
      <c r="N9742" t="str">
        <f>"5/25/2016 10:26:00 AM"</f>
        <v>5/25/2016 10:26:00 AM</v>
      </c>
      <c r="O9742" t="s">
        <v>29007</v>
      </c>
    </row>
    <row r="9743" spans="1:20" x14ac:dyDescent="0.25">
      <c r="A9743" t="str">
        <f>"3063492"</f>
        <v>3063492</v>
      </c>
      <c r="B9743" t="s">
        <v>29202</v>
      </c>
      <c r="C9743" t="str">
        <f>"8306458"</f>
        <v>8306458</v>
      </c>
      <c r="D9743" t="s">
        <v>29203</v>
      </c>
      <c r="E9743" t="s">
        <v>29204</v>
      </c>
      <c r="F9743" t="s">
        <v>29205</v>
      </c>
      <c r="I9743" t="s">
        <v>29</v>
      </c>
      <c r="J9743" t="s">
        <v>30</v>
      </c>
      <c r="K9743" t="str">
        <f>"27028"</f>
        <v>27028</v>
      </c>
      <c r="M9743" t="s">
        <v>17861</v>
      </c>
      <c r="N9743" t="str">
        <f>"6/14/2016 4:06:00 PM"</f>
        <v>6/14/2016 4:06:00 PM</v>
      </c>
      <c r="O9743" t="s">
        <v>29203</v>
      </c>
      <c r="T9743" t="s">
        <v>29204</v>
      </c>
    </row>
    <row r="9744" spans="1:20" x14ac:dyDescent="0.25">
      <c r="A9744" t="str">
        <f>"3043827"</f>
        <v>3043827</v>
      </c>
      <c r="B9744" t="s">
        <v>29206</v>
      </c>
      <c r="C9744" t="str">
        <f>"78495500"</f>
        <v>78495500</v>
      </c>
      <c r="D9744" t="s">
        <v>29207</v>
      </c>
      <c r="F9744" t="s">
        <v>29208</v>
      </c>
      <c r="I9744" t="s">
        <v>29</v>
      </c>
      <c r="J9744" t="s">
        <v>30</v>
      </c>
      <c r="K9744" t="s">
        <v>29209</v>
      </c>
      <c r="M9744" t="s">
        <v>25494</v>
      </c>
      <c r="N9744" t="str">
        <f>"6/15/2016 8:18:00 AM"</f>
        <v>6/15/2016 8:18:00 AM</v>
      </c>
      <c r="O9744" t="s">
        <v>29207</v>
      </c>
    </row>
    <row r="9745" spans="1:20" x14ac:dyDescent="0.25">
      <c r="A9745" t="str">
        <f>"3054611"</f>
        <v>3054611</v>
      </c>
      <c r="B9745" t="s">
        <v>29210</v>
      </c>
      <c r="C9745" t="str">
        <f>"72976000"</f>
        <v>72976000</v>
      </c>
      <c r="D9745" t="s">
        <v>29211</v>
      </c>
      <c r="E9745" t="s">
        <v>29212</v>
      </c>
      <c r="F9745" t="s">
        <v>29213</v>
      </c>
      <c r="G9745" t="s">
        <v>29214</v>
      </c>
      <c r="I9745" t="s">
        <v>9580</v>
      </c>
      <c r="J9745" t="s">
        <v>30</v>
      </c>
      <c r="K9745" t="s">
        <v>9581</v>
      </c>
      <c r="M9745" t="s">
        <v>25733</v>
      </c>
      <c r="N9745" t="str">
        <f>"6/16/2016 3:25:00 PM"</f>
        <v>6/16/2016 3:25:00 PM</v>
      </c>
      <c r="O9745" t="s">
        <v>29211</v>
      </c>
      <c r="T9745" t="s">
        <v>29212</v>
      </c>
    </row>
    <row r="9746" spans="1:20" x14ac:dyDescent="0.25">
      <c r="A9746" t="str">
        <f>"3041920"</f>
        <v>3041920</v>
      </c>
      <c r="B9746" t="s">
        <v>29215</v>
      </c>
      <c r="C9746" t="str">
        <f>"82515534"</f>
        <v>82515534</v>
      </c>
      <c r="D9746" t="s">
        <v>29216</v>
      </c>
      <c r="E9746" t="s">
        <v>29217</v>
      </c>
      <c r="F9746" t="s">
        <v>29218</v>
      </c>
      <c r="G9746" t="s">
        <v>29219</v>
      </c>
      <c r="I9746" t="s">
        <v>29220</v>
      </c>
      <c r="J9746" t="s">
        <v>30</v>
      </c>
      <c r="K9746" t="str">
        <f>"28480"</f>
        <v>28480</v>
      </c>
      <c r="M9746" t="s">
        <v>17861</v>
      </c>
      <c r="N9746" t="str">
        <f>"6/24/2016 1:28:00 PM"</f>
        <v>6/24/2016 1:28:00 PM</v>
      </c>
      <c r="O9746" t="s">
        <v>29216</v>
      </c>
      <c r="T9746" t="s">
        <v>29217</v>
      </c>
    </row>
    <row r="9747" spans="1:20" x14ac:dyDescent="0.25">
      <c r="A9747" t="str">
        <f>"3037260"</f>
        <v>3037260</v>
      </c>
      <c r="B9747" t="s">
        <v>29221</v>
      </c>
      <c r="C9747" t="str">
        <f>"8303668"</f>
        <v>8303668</v>
      </c>
      <c r="D9747" t="s">
        <v>29222</v>
      </c>
      <c r="E9747" t="s">
        <v>29223</v>
      </c>
      <c r="F9747" t="s">
        <v>29224</v>
      </c>
      <c r="I9747" t="s">
        <v>184</v>
      </c>
      <c r="J9747" t="s">
        <v>30</v>
      </c>
      <c r="K9747" t="str">
        <f>"27006"</f>
        <v>27006</v>
      </c>
      <c r="M9747" t="s">
        <v>18479</v>
      </c>
      <c r="N9747" t="str">
        <f>"6/20/2016 9:30:00 AM"</f>
        <v>6/20/2016 9:30:00 AM</v>
      </c>
      <c r="O9747" t="s">
        <v>29222</v>
      </c>
      <c r="T9747" t="s">
        <v>29223</v>
      </c>
    </row>
    <row r="9748" spans="1:20" x14ac:dyDescent="0.25">
      <c r="A9748" t="str">
        <f>"3051171"</f>
        <v>3051171</v>
      </c>
      <c r="B9748" t="s">
        <v>29225</v>
      </c>
      <c r="C9748" t="str">
        <f>"80008000"</f>
        <v>80008000</v>
      </c>
      <c r="D9748" t="s">
        <v>29226</v>
      </c>
      <c r="F9748" t="s">
        <v>29227</v>
      </c>
      <c r="I9748" t="s">
        <v>29</v>
      </c>
      <c r="J9748" t="s">
        <v>30</v>
      </c>
      <c r="K9748" t="s">
        <v>29228</v>
      </c>
      <c r="M9748" t="s">
        <v>25625</v>
      </c>
      <c r="N9748" t="str">
        <f>"6/20/2016 9:30:00 AM"</f>
        <v>6/20/2016 9:30:00 AM</v>
      </c>
      <c r="O9748" t="s">
        <v>29226</v>
      </c>
    </row>
    <row r="9749" spans="1:20" x14ac:dyDescent="0.25">
      <c r="A9749" t="str">
        <f>"3057115"</f>
        <v>3057115</v>
      </c>
      <c r="B9749" t="s">
        <v>29229</v>
      </c>
      <c r="C9749" t="str">
        <f>"8306468"</f>
        <v>8306468</v>
      </c>
      <c r="D9749" t="s">
        <v>29230</v>
      </c>
      <c r="E9749" t="s">
        <v>29231</v>
      </c>
      <c r="F9749" t="s">
        <v>5320</v>
      </c>
      <c r="I9749" t="s">
        <v>184</v>
      </c>
      <c r="J9749" t="s">
        <v>30</v>
      </c>
      <c r="K9749" t="str">
        <f>"27006"</f>
        <v>27006</v>
      </c>
      <c r="M9749" t="s">
        <v>17861</v>
      </c>
      <c r="N9749" t="str">
        <f>"6/20/2016 10:18:00 AM"</f>
        <v>6/20/2016 10:18:00 AM</v>
      </c>
      <c r="O9749" t="s">
        <v>29230</v>
      </c>
      <c r="T9749" t="s">
        <v>29231</v>
      </c>
    </row>
    <row r="9750" spans="1:20" x14ac:dyDescent="0.25">
      <c r="A9750" t="str">
        <f>"3057675"</f>
        <v>3057675</v>
      </c>
      <c r="B9750" t="s">
        <v>29232</v>
      </c>
      <c r="C9750" t="str">
        <f>"8306470"</f>
        <v>8306470</v>
      </c>
      <c r="D9750" t="s">
        <v>29233</v>
      </c>
      <c r="E9750" t="s">
        <v>29234</v>
      </c>
      <c r="F9750" t="s">
        <v>29235</v>
      </c>
      <c r="I9750" t="s">
        <v>184</v>
      </c>
      <c r="J9750" t="s">
        <v>30</v>
      </c>
      <c r="K9750" t="str">
        <f>"27006"</f>
        <v>27006</v>
      </c>
      <c r="M9750" t="s">
        <v>17861</v>
      </c>
      <c r="N9750" t="str">
        <f>"6/20/2016 10:34:00 AM"</f>
        <v>6/20/2016 10:34:00 AM</v>
      </c>
      <c r="O9750" t="s">
        <v>29233</v>
      </c>
      <c r="T9750" t="s">
        <v>29234</v>
      </c>
    </row>
    <row r="9751" spans="1:20" x14ac:dyDescent="0.25">
      <c r="A9751" t="str">
        <f>"3060073"</f>
        <v>3060073</v>
      </c>
      <c r="B9751" t="s">
        <v>29236</v>
      </c>
      <c r="C9751" t="str">
        <f>"8306472"</f>
        <v>8306472</v>
      </c>
      <c r="D9751" t="s">
        <v>29237</v>
      </c>
      <c r="E9751" t="s">
        <v>29238</v>
      </c>
      <c r="F9751" t="s">
        <v>29239</v>
      </c>
      <c r="I9751" t="s">
        <v>184</v>
      </c>
      <c r="J9751" t="s">
        <v>30</v>
      </c>
      <c r="K9751" t="str">
        <f>"27006"</f>
        <v>27006</v>
      </c>
      <c r="M9751" t="s">
        <v>17861</v>
      </c>
      <c r="N9751" t="str">
        <f>"6/20/2016 10:44:00 AM"</f>
        <v>6/20/2016 10:44:00 AM</v>
      </c>
      <c r="O9751" t="s">
        <v>29237</v>
      </c>
      <c r="T9751" t="s">
        <v>29238</v>
      </c>
    </row>
    <row r="9752" spans="1:20" x14ac:dyDescent="0.25">
      <c r="A9752" t="str">
        <f>"3046065"</f>
        <v>3046065</v>
      </c>
      <c r="B9752" t="s">
        <v>29240</v>
      </c>
      <c r="C9752" t="str">
        <f>"8306474"</f>
        <v>8306474</v>
      </c>
      <c r="D9752" t="s">
        <v>29241</v>
      </c>
      <c r="F9752" t="s">
        <v>29242</v>
      </c>
      <c r="I9752" t="s">
        <v>29</v>
      </c>
      <c r="J9752" t="s">
        <v>30</v>
      </c>
      <c r="K9752" t="str">
        <f>"27028"</f>
        <v>27028</v>
      </c>
      <c r="M9752" t="s">
        <v>17861</v>
      </c>
      <c r="N9752" t="str">
        <f>"6/20/2016 11:27:00 AM"</f>
        <v>6/20/2016 11:27:00 AM</v>
      </c>
      <c r="O9752" t="s">
        <v>29241</v>
      </c>
    </row>
    <row r="9753" spans="1:20" x14ac:dyDescent="0.25">
      <c r="A9753" t="str">
        <f>"3038942"</f>
        <v>3038942</v>
      </c>
      <c r="B9753" t="s">
        <v>29243</v>
      </c>
      <c r="C9753" t="str">
        <f>"8306475"</f>
        <v>8306475</v>
      </c>
      <c r="D9753" t="s">
        <v>29244</v>
      </c>
      <c r="E9753" t="s">
        <v>29245</v>
      </c>
      <c r="F9753" t="s">
        <v>29246</v>
      </c>
      <c r="I9753" t="s">
        <v>29</v>
      </c>
      <c r="J9753" t="s">
        <v>30</v>
      </c>
      <c r="K9753" t="str">
        <f>"27028"</f>
        <v>27028</v>
      </c>
      <c r="M9753" t="s">
        <v>17861</v>
      </c>
      <c r="N9753" t="str">
        <f>"6/20/2016 12:52:00 PM"</f>
        <v>6/20/2016 12:52:00 PM</v>
      </c>
      <c r="O9753" t="s">
        <v>29244</v>
      </c>
      <c r="T9753" t="s">
        <v>29245</v>
      </c>
    </row>
    <row r="9754" spans="1:20" x14ac:dyDescent="0.25">
      <c r="A9754" t="str">
        <f>"3056854"</f>
        <v>3056854</v>
      </c>
      <c r="B9754" t="s">
        <v>29247</v>
      </c>
      <c r="C9754" t="str">
        <f>"8306527"</f>
        <v>8306527</v>
      </c>
      <c r="D9754" t="s">
        <v>29248</v>
      </c>
      <c r="E9754" t="s">
        <v>29249</v>
      </c>
      <c r="F9754" t="s">
        <v>29250</v>
      </c>
      <c r="I9754" t="s">
        <v>29</v>
      </c>
      <c r="J9754" t="s">
        <v>30</v>
      </c>
      <c r="K9754" t="str">
        <f>"27028"</f>
        <v>27028</v>
      </c>
      <c r="M9754" t="s">
        <v>17861</v>
      </c>
      <c r="N9754" t="str">
        <f>"6/30/2016 4:10:00 PM"</f>
        <v>6/30/2016 4:10:00 PM</v>
      </c>
      <c r="O9754" t="s">
        <v>29248</v>
      </c>
      <c r="T9754" t="s">
        <v>29249</v>
      </c>
    </row>
    <row r="9755" spans="1:20" x14ac:dyDescent="0.25">
      <c r="A9755" t="str">
        <f>"3056878"</f>
        <v>3056878</v>
      </c>
      <c r="B9755" t="s">
        <v>29251</v>
      </c>
      <c r="C9755" t="str">
        <f>"8306527"</f>
        <v>8306527</v>
      </c>
      <c r="D9755" t="s">
        <v>29248</v>
      </c>
      <c r="E9755" t="s">
        <v>29249</v>
      </c>
      <c r="F9755" t="s">
        <v>29250</v>
      </c>
      <c r="I9755" t="s">
        <v>29</v>
      </c>
      <c r="J9755" t="s">
        <v>30</v>
      </c>
      <c r="K9755" t="str">
        <f>"27028"</f>
        <v>27028</v>
      </c>
      <c r="M9755" t="s">
        <v>17861</v>
      </c>
      <c r="N9755" t="str">
        <f>"6/30/2016 4:10:00 PM"</f>
        <v>6/30/2016 4:10:00 PM</v>
      </c>
      <c r="O9755" t="s">
        <v>29248</v>
      </c>
      <c r="T9755" t="s">
        <v>29249</v>
      </c>
    </row>
    <row r="9756" spans="1:20" x14ac:dyDescent="0.25">
      <c r="A9756" t="str">
        <f>"3062199"</f>
        <v>3062199</v>
      </c>
      <c r="B9756" t="s">
        <v>29252</v>
      </c>
      <c r="C9756" t="str">
        <f>"8306527"</f>
        <v>8306527</v>
      </c>
      <c r="D9756" t="s">
        <v>29248</v>
      </c>
      <c r="E9756" t="s">
        <v>29249</v>
      </c>
      <c r="F9756" t="s">
        <v>29250</v>
      </c>
      <c r="I9756" t="s">
        <v>29</v>
      </c>
      <c r="J9756" t="s">
        <v>30</v>
      </c>
      <c r="K9756" t="str">
        <f>"27028"</f>
        <v>27028</v>
      </c>
      <c r="M9756" t="s">
        <v>17861</v>
      </c>
      <c r="N9756" t="str">
        <f>"6/30/2016 4:10:00 PM"</f>
        <v>6/30/2016 4:10:00 PM</v>
      </c>
      <c r="O9756" t="s">
        <v>29248</v>
      </c>
      <c r="T9756" t="s">
        <v>29249</v>
      </c>
    </row>
    <row r="9757" spans="1:20" x14ac:dyDescent="0.25">
      <c r="A9757" t="str">
        <f>"3060255"</f>
        <v>3060255</v>
      </c>
      <c r="B9757" t="s">
        <v>29253</v>
      </c>
      <c r="C9757" t="str">
        <f>"8306530"</f>
        <v>8306530</v>
      </c>
      <c r="D9757" t="s">
        <v>29254</v>
      </c>
      <c r="E9757" t="s">
        <v>29255</v>
      </c>
      <c r="F9757" t="s">
        <v>29256</v>
      </c>
      <c r="I9757" t="s">
        <v>184</v>
      </c>
      <c r="J9757" t="s">
        <v>30</v>
      </c>
      <c r="K9757" t="str">
        <f>"27006"</f>
        <v>27006</v>
      </c>
      <c r="M9757" t="s">
        <v>17861</v>
      </c>
      <c r="N9757" t="str">
        <f>"6/30/2016 4:32:00 PM"</f>
        <v>6/30/2016 4:32:00 PM</v>
      </c>
      <c r="O9757" t="s">
        <v>29254</v>
      </c>
      <c r="T9757" t="s">
        <v>29255</v>
      </c>
    </row>
    <row r="9758" spans="1:20" x14ac:dyDescent="0.25">
      <c r="A9758" t="str">
        <f>"3057389"</f>
        <v>3057389</v>
      </c>
      <c r="B9758" t="s">
        <v>29257</v>
      </c>
      <c r="C9758" t="str">
        <f>"8306530"</f>
        <v>8306530</v>
      </c>
      <c r="D9758" t="s">
        <v>29254</v>
      </c>
      <c r="E9758" t="s">
        <v>29255</v>
      </c>
      <c r="F9758" t="s">
        <v>29256</v>
      </c>
      <c r="I9758" t="s">
        <v>184</v>
      </c>
      <c r="J9758" t="s">
        <v>30</v>
      </c>
      <c r="K9758" t="str">
        <f>"27006"</f>
        <v>27006</v>
      </c>
      <c r="M9758" t="s">
        <v>17861</v>
      </c>
      <c r="N9758" t="str">
        <f>"6/30/2016 4:32:00 PM"</f>
        <v>6/30/2016 4:32:00 PM</v>
      </c>
      <c r="O9758" t="s">
        <v>29254</v>
      </c>
      <c r="T9758" t="s">
        <v>29255</v>
      </c>
    </row>
    <row r="9759" spans="1:20" x14ac:dyDescent="0.25">
      <c r="A9759" t="str">
        <f>"3058062"</f>
        <v>3058062</v>
      </c>
      <c r="B9759" t="s">
        <v>29258</v>
      </c>
      <c r="C9759" t="str">
        <f>"8306533"</f>
        <v>8306533</v>
      </c>
      <c r="D9759" t="s">
        <v>29259</v>
      </c>
      <c r="F9759" t="s">
        <v>29260</v>
      </c>
      <c r="I9759" t="s">
        <v>184</v>
      </c>
      <c r="J9759" t="s">
        <v>30</v>
      </c>
      <c r="K9759" t="str">
        <f>"27006"</f>
        <v>27006</v>
      </c>
      <c r="M9759" t="s">
        <v>17861</v>
      </c>
      <c r="N9759" t="str">
        <f>"6/30/2016 4:46:00 PM"</f>
        <v>6/30/2016 4:46:00 PM</v>
      </c>
      <c r="O9759" t="s">
        <v>29259</v>
      </c>
    </row>
    <row r="9760" spans="1:20" x14ac:dyDescent="0.25">
      <c r="A9760" t="str">
        <f>"3041501"</f>
        <v>3041501</v>
      </c>
      <c r="B9760" t="s">
        <v>29261</v>
      </c>
      <c r="C9760" t="str">
        <f>"8306478"</f>
        <v>8306478</v>
      </c>
      <c r="D9760" t="s">
        <v>29262</v>
      </c>
      <c r="E9760" t="s">
        <v>29263</v>
      </c>
      <c r="F9760" t="s">
        <v>29264</v>
      </c>
      <c r="I9760" t="s">
        <v>2071</v>
      </c>
      <c r="J9760" t="s">
        <v>30</v>
      </c>
      <c r="K9760" t="str">
        <f>"27006"</f>
        <v>27006</v>
      </c>
      <c r="M9760" t="s">
        <v>17861</v>
      </c>
      <c r="N9760" t="str">
        <f>"6/20/2016 1:26:00 PM"</f>
        <v>6/20/2016 1:26:00 PM</v>
      </c>
      <c r="O9760" t="s">
        <v>29262</v>
      </c>
      <c r="T9760" t="s">
        <v>29263</v>
      </c>
    </row>
    <row r="9761" spans="1:20" x14ac:dyDescent="0.25">
      <c r="A9761" t="str">
        <f>"3059178"</f>
        <v>3059178</v>
      </c>
      <c r="B9761" t="s">
        <v>29265</v>
      </c>
      <c r="C9761" t="str">
        <f>"8306491"</f>
        <v>8306491</v>
      </c>
      <c r="D9761" t="s">
        <v>29266</v>
      </c>
      <c r="F9761" t="s">
        <v>29267</v>
      </c>
      <c r="I9761" t="s">
        <v>29</v>
      </c>
      <c r="J9761" t="s">
        <v>30</v>
      </c>
      <c r="K9761" t="str">
        <f>"27028"</f>
        <v>27028</v>
      </c>
      <c r="M9761" t="s">
        <v>17861</v>
      </c>
      <c r="N9761" t="str">
        <f>"6/21/2016 10:55:00 AM"</f>
        <v>6/21/2016 10:55:00 AM</v>
      </c>
      <c r="O9761" t="s">
        <v>29266</v>
      </c>
    </row>
    <row r="9762" spans="1:20" x14ac:dyDescent="0.25">
      <c r="A9762" t="str">
        <f>"3062958"</f>
        <v>3062958</v>
      </c>
      <c r="B9762" t="s">
        <v>29268</v>
      </c>
      <c r="C9762" t="str">
        <f>"8306536"</f>
        <v>8306536</v>
      </c>
      <c r="D9762" t="s">
        <v>29269</v>
      </c>
      <c r="E9762" t="s">
        <v>29270</v>
      </c>
      <c r="F9762" t="s">
        <v>29271</v>
      </c>
      <c r="I9762" t="s">
        <v>29</v>
      </c>
      <c r="J9762" t="s">
        <v>30</v>
      </c>
      <c r="K9762" t="str">
        <f>"27028"</f>
        <v>27028</v>
      </c>
      <c r="M9762" t="s">
        <v>17861</v>
      </c>
      <c r="N9762" t="str">
        <f>"7/1/2016 1:21:00 PM"</f>
        <v>7/1/2016 1:21:00 PM</v>
      </c>
      <c r="O9762" t="s">
        <v>29269</v>
      </c>
      <c r="T9762" t="s">
        <v>29270</v>
      </c>
    </row>
    <row r="9763" spans="1:20" x14ac:dyDescent="0.25">
      <c r="A9763" t="str">
        <f>"3061482"</f>
        <v>3061482</v>
      </c>
      <c r="B9763" t="s">
        <v>29272</v>
      </c>
      <c r="C9763" t="str">
        <f>"8306539"</f>
        <v>8306539</v>
      </c>
      <c r="D9763" t="s">
        <v>29273</v>
      </c>
      <c r="F9763" t="s">
        <v>29274</v>
      </c>
      <c r="I9763" t="s">
        <v>184</v>
      </c>
      <c r="J9763" t="s">
        <v>30</v>
      </c>
      <c r="K9763" t="str">
        <f>"27006"</f>
        <v>27006</v>
      </c>
      <c r="M9763" t="s">
        <v>17861</v>
      </c>
      <c r="N9763" t="str">
        <f>"7/1/2016 2:09:00 PM"</f>
        <v>7/1/2016 2:09:00 PM</v>
      </c>
      <c r="O9763" t="s">
        <v>29273</v>
      </c>
    </row>
    <row r="9764" spans="1:20" x14ac:dyDescent="0.25">
      <c r="A9764" t="str">
        <f>"3040138"</f>
        <v>3040138</v>
      </c>
      <c r="B9764" t="s">
        <v>29275</v>
      </c>
      <c r="C9764" t="str">
        <f>"8306493"</f>
        <v>8306493</v>
      </c>
      <c r="D9764" t="s">
        <v>29276</v>
      </c>
      <c r="E9764" t="s">
        <v>29277</v>
      </c>
      <c r="F9764" t="s">
        <v>29278</v>
      </c>
      <c r="I9764" t="s">
        <v>29</v>
      </c>
      <c r="J9764" t="s">
        <v>30</v>
      </c>
      <c r="K9764" t="str">
        <f>"27028"</f>
        <v>27028</v>
      </c>
      <c r="M9764" t="s">
        <v>17861</v>
      </c>
      <c r="N9764" t="str">
        <f>"6/21/2016 11:28:00 AM"</f>
        <v>6/21/2016 11:28:00 AM</v>
      </c>
      <c r="O9764" t="s">
        <v>29276</v>
      </c>
      <c r="T9764" t="s">
        <v>29277</v>
      </c>
    </row>
    <row r="9765" spans="1:20" x14ac:dyDescent="0.25">
      <c r="A9765" t="str">
        <f>"3053122"</f>
        <v>3053122</v>
      </c>
      <c r="B9765" t="s">
        <v>29279</v>
      </c>
      <c r="C9765" t="str">
        <f>"8306543"</f>
        <v>8306543</v>
      </c>
      <c r="D9765" t="s">
        <v>29280</v>
      </c>
      <c r="F9765" t="s">
        <v>29281</v>
      </c>
      <c r="I9765" t="s">
        <v>29</v>
      </c>
      <c r="J9765" t="s">
        <v>30</v>
      </c>
      <c r="K9765" t="str">
        <f>"27028"</f>
        <v>27028</v>
      </c>
      <c r="M9765" t="s">
        <v>17861</v>
      </c>
      <c r="N9765" t="str">
        <f>"7/1/2016 2:31:00 PM"</f>
        <v>7/1/2016 2:31:00 PM</v>
      </c>
      <c r="O9765" t="s">
        <v>29280</v>
      </c>
    </row>
    <row r="9766" spans="1:20" x14ac:dyDescent="0.25">
      <c r="A9766" t="str">
        <f>"3062775"</f>
        <v>3062775</v>
      </c>
      <c r="B9766" t="s">
        <v>29282</v>
      </c>
      <c r="C9766" t="str">
        <f>"8306544"</f>
        <v>8306544</v>
      </c>
      <c r="D9766" t="s">
        <v>29283</v>
      </c>
      <c r="E9766" t="s">
        <v>29284</v>
      </c>
      <c r="F9766" t="s">
        <v>29285</v>
      </c>
      <c r="I9766" t="s">
        <v>29</v>
      </c>
      <c r="J9766" t="s">
        <v>30</v>
      </c>
      <c r="K9766" t="str">
        <f>"27028"</f>
        <v>27028</v>
      </c>
      <c r="M9766" t="s">
        <v>17861</v>
      </c>
      <c r="N9766" t="str">
        <f>"7/1/2016 2:34:00 PM"</f>
        <v>7/1/2016 2:34:00 PM</v>
      </c>
      <c r="O9766" t="s">
        <v>29283</v>
      </c>
      <c r="T9766" t="s">
        <v>29284</v>
      </c>
    </row>
    <row r="9767" spans="1:20" x14ac:dyDescent="0.25">
      <c r="A9767" t="str">
        <f>"3056384"</f>
        <v>3056384</v>
      </c>
      <c r="B9767" t="s">
        <v>29286</v>
      </c>
      <c r="C9767" t="str">
        <f>"8302223"</f>
        <v>8302223</v>
      </c>
      <c r="D9767" t="s">
        <v>29287</v>
      </c>
      <c r="E9767" t="s">
        <v>29288</v>
      </c>
      <c r="F9767" t="s">
        <v>29289</v>
      </c>
      <c r="I9767" t="s">
        <v>29290</v>
      </c>
      <c r="J9767" t="s">
        <v>3737</v>
      </c>
      <c r="K9767" t="str">
        <f>"75093"</f>
        <v>75093</v>
      </c>
      <c r="M9767" t="s">
        <v>25625</v>
      </c>
      <c r="N9767" t="str">
        <f>"6/22/2016 3:51:00 PM"</f>
        <v>6/22/2016 3:51:00 PM</v>
      </c>
      <c r="O9767" t="s">
        <v>29287</v>
      </c>
      <c r="T9767" t="s">
        <v>29288</v>
      </c>
    </row>
    <row r="9768" spans="1:20" x14ac:dyDescent="0.25">
      <c r="A9768" t="str">
        <f>"3037744"</f>
        <v>3037744</v>
      </c>
      <c r="B9768" t="s">
        <v>29291</v>
      </c>
      <c r="C9768" t="str">
        <f>"8306449"</f>
        <v>8306449</v>
      </c>
      <c r="D9768" t="s">
        <v>29292</v>
      </c>
      <c r="E9768" t="s">
        <v>29293</v>
      </c>
      <c r="F9768" t="s">
        <v>27579</v>
      </c>
      <c r="I9768" t="s">
        <v>29</v>
      </c>
      <c r="J9768" t="s">
        <v>30</v>
      </c>
      <c r="K9768" t="str">
        <f>"27028"</f>
        <v>27028</v>
      </c>
      <c r="M9768" t="s">
        <v>17861</v>
      </c>
      <c r="N9768" t="str">
        <f>"6/14/2016 1:46:00 PM"</f>
        <v>6/14/2016 1:46:00 PM</v>
      </c>
      <c r="O9768" t="s">
        <v>29292</v>
      </c>
      <c r="T9768" t="s">
        <v>29293</v>
      </c>
    </row>
    <row r="9769" spans="1:20" x14ac:dyDescent="0.25">
      <c r="A9769" t="str">
        <f>"3062513"</f>
        <v>3062513</v>
      </c>
      <c r="B9769" t="s">
        <v>29294</v>
      </c>
      <c r="C9769" t="str">
        <f>"8306451"</f>
        <v>8306451</v>
      </c>
      <c r="D9769" t="s">
        <v>29295</v>
      </c>
      <c r="E9769" t="s">
        <v>29296</v>
      </c>
      <c r="F9769" t="s">
        <v>29297</v>
      </c>
      <c r="I9769" t="s">
        <v>184</v>
      </c>
      <c r="J9769" t="s">
        <v>30</v>
      </c>
      <c r="K9769" t="str">
        <f>"27006"</f>
        <v>27006</v>
      </c>
      <c r="M9769" t="s">
        <v>17861</v>
      </c>
      <c r="N9769" t="str">
        <f>"6/14/2016 3:00:00 PM"</f>
        <v>6/14/2016 3:00:00 PM</v>
      </c>
      <c r="O9769" t="s">
        <v>29295</v>
      </c>
      <c r="T9769" t="s">
        <v>29296</v>
      </c>
    </row>
    <row r="9770" spans="1:20" x14ac:dyDescent="0.25">
      <c r="A9770" t="str">
        <f>"3059398"</f>
        <v>3059398</v>
      </c>
      <c r="B9770" t="s">
        <v>29298</v>
      </c>
      <c r="C9770" t="str">
        <f>"8306453"</f>
        <v>8306453</v>
      </c>
      <c r="D9770" t="s">
        <v>29299</v>
      </c>
      <c r="F9770" t="s">
        <v>29300</v>
      </c>
      <c r="I9770" t="s">
        <v>29</v>
      </c>
      <c r="J9770" t="s">
        <v>30</v>
      </c>
      <c r="K9770" t="str">
        <f>"27028"</f>
        <v>27028</v>
      </c>
      <c r="M9770" t="s">
        <v>17861</v>
      </c>
      <c r="N9770" t="str">
        <f>"6/14/2016 3:10:00 PM"</f>
        <v>6/14/2016 3:10:00 PM</v>
      </c>
      <c r="O9770" t="s">
        <v>29299</v>
      </c>
    </row>
    <row r="9771" spans="1:20" x14ac:dyDescent="0.25">
      <c r="A9771" t="str">
        <f>"3044863"</f>
        <v>3044863</v>
      </c>
      <c r="B9771" t="s">
        <v>29301</v>
      </c>
      <c r="C9771" t="str">
        <f>"8306454"</f>
        <v>8306454</v>
      </c>
      <c r="D9771" t="s">
        <v>29302</v>
      </c>
      <c r="E9771" t="s">
        <v>29303</v>
      </c>
      <c r="F9771" t="s">
        <v>29304</v>
      </c>
      <c r="I9771" t="s">
        <v>184</v>
      </c>
      <c r="J9771" t="s">
        <v>30</v>
      </c>
      <c r="K9771" t="str">
        <f>"27006"</f>
        <v>27006</v>
      </c>
      <c r="M9771" t="s">
        <v>17861</v>
      </c>
      <c r="N9771" t="str">
        <f>"6/14/2016 3:15:00 PM"</f>
        <v>6/14/2016 3:15:00 PM</v>
      </c>
      <c r="O9771" t="s">
        <v>29302</v>
      </c>
      <c r="T9771" t="s">
        <v>29303</v>
      </c>
    </row>
    <row r="9772" spans="1:20" x14ac:dyDescent="0.25">
      <c r="A9772" t="str">
        <f>"3066357"</f>
        <v>3066357</v>
      </c>
      <c r="B9772" t="s">
        <v>29305</v>
      </c>
      <c r="C9772" t="str">
        <f>"8306508"</f>
        <v>8306508</v>
      </c>
      <c r="D9772" t="s">
        <v>21804</v>
      </c>
      <c r="F9772" t="s">
        <v>21806</v>
      </c>
      <c r="I9772" t="s">
        <v>29</v>
      </c>
      <c r="J9772" t="s">
        <v>30</v>
      </c>
      <c r="K9772" t="str">
        <f>"27028"</f>
        <v>27028</v>
      </c>
      <c r="M9772" t="s">
        <v>17861</v>
      </c>
      <c r="N9772" t="str">
        <f>"6/24/2016 1:21:00 PM"</f>
        <v>6/24/2016 1:21:00 PM</v>
      </c>
      <c r="O9772" t="s">
        <v>21804</v>
      </c>
    </row>
    <row r="9773" spans="1:20" x14ac:dyDescent="0.25">
      <c r="A9773" t="str">
        <f>"3072465"</f>
        <v>3072465</v>
      </c>
      <c r="B9773" t="s">
        <v>29306</v>
      </c>
      <c r="C9773" t="str">
        <f>"82515534"</f>
        <v>82515534</v>
      </c>
      <c r="D9773" t="s">
        <v>29216</v>
      </c>
      <c r="E9773" t="s">
        <v>29217</v>
      </c>
      <c r="F9773" t="s">
        <v>29218</v>
      </c>
      <c r="G9773" t="s">
        <v>29219</v>
      </c>
      <c r="I9773" t="s">
        <v>29220</v>
      </c>
      <c r="J9773" t="s">
        <v>30</v>
      </c>
      <c r="K9773" t="str">
        <f>"28480"</f>
        <v>28480</v>
      </c>
      <c r="M9773" t="s">
        <v>17861</v>
      </c>
      <c r="N9773" t="str">
        <f>"6/24/2016 1:28:00 PM"</f>
        <v>6/24/2016 1:28:00 PM</v>
      </c>
      <c r="O9773" t="s">
        <v>29216</v>
      </c>
      <c r="T9773" t="s">
        <v>29217</v>
      </c>
    </row>
    <row r="9774" spans="1:20" x14ac:dyDescent="0.25">
      <c r="A9774" t="str">
        <f>"3047862"</f>
        <v>3047862</v>
      </c>
      <c r="B9774" t="s">
        <v>29307</v>
      </c>
      <c r="C9774" t="str">
        <f>"8306514"</f>
        <v>8306514</v>
      </c>
      <c r="D9774" t="s">
        <v>29308</v>
      </c>
      <c r="F9774" t="s">
        <v>29309</v>
      </c>
      <c r="I9774" t="s">
        <v>184</v>
      </c>
      <c r="J9774" t="s">
        <v>30</v>
      </c>
      <c r="K9774" t="str">
        <f>"27006"</f>
        <v>27006</v>
      </c>
      <c r="M9774" t="s">
        <v>17861</v>
      </c>
      <c r="N9774" t="str">
        <f>"6/28/2016 10:34:00 AM"</f>
        <v>6/28/2016 10:34:00 AM</v>
      </c>
      <c r="O9774" t="s">
        <v>29308</v>
      </c>
    </row>
    <row r="9775" spans="1:20" x14ac:dyDescent="0.25">
      <c r="A9775" t="str">
        <f>"3053677"</f>
        <v>3053677</v>
      </c>
      <c r="B9775" t="s">
        <v>29310</v>
      </c>
      <c r="C9775" t="str">
        <f>"82522775"</f>
        <v>82522775</v>
      </c>
      <c r="D9775" t="s">
        <v>29311</v>
      </c>
      <c r="E9775" t="s">
        <v>29312</v>
      </c>
      <c r="F9775" t="s">
        <v>29313</v>
      </c>
      <c r="I9775" t="s">
        <v>29</v>
      </c>
      <c r="J9775" t="s">
        <v>30</v>
      </c>
      <c r="K9775" t="s">
        <v>29314</v>
      </c>
      <c r="M9775" t="s">
        <v>25733</v>
      </c>
      <c r="N9775" t="str">
        <f>"6/28/2016 10:50:00 AM"</f>
        <v>6/28/2016 10:50:00 AM</v>
      </c>
      <c r="O9775" t="s">
        <v>29311</v>
      </c>
      <c r="T9775" t="s">
        <v>29312</v>
      </c>
    </row>
    <row r="9776" spans="1:20" x14ac:dyDescent="0.25">
      <c r="A9776" t="str">
        <f>"3041412"</f>
        <v>3041412</v>
      </c>
      <c r="B9776" t="s">
        <v>29315</v>
      </c>
      <c r="C9776" t="str">
        <f>"8306578"</f>
        <v>8306578</v>
      </c>
      <c r="D9776" t="s">
        <v>29316</v>
      </c>
      <c r="E9776" t="s">
        <v>29317</v>
      </c>
      <c r="F9776" t="s">
        <v>29318</v>
      </c>
      <c r="I9776" t="s">
        <v>2071</v>
      </c>
      <c r="J9776" t="s">
        <v>30</v>
      </c>
      <c r="K9776" t="str">
        <f>"27006"</f>
        <v>27006</v>
      </c>
      <c r="M9776" t="s">
        <v>17861</v>
      </c>
      <c r="N9776" t="str">
        <f>"7/11/2016 4:35:00 PM"</f>
        <v>7/11/2016 4:35:00 PM</v>
      </c>
      <c r="O9776" t="s">
        <v>29316</v>
      </c>
      <c r="T9776" t="s">
        <v>29317</v>
      </c>
    </row>
    <row r="9777" spans="1:20" x14ac:dyDescent="0.25">
      <c r="A9777" t="str">
        <f>"3042974"</f>
        <v>3042974</v>
      </c>
      <c r="B9777" t="s">
        <v>29319</v>
      </c>
      <c r="C9777" t="str">
        <f>"8306580"</f>
        <v>8306580</v>
      </c>
      <c r="D9777" t="s">
        <v>29320</v>
      </c>
      <c r="E9777" t="s">
        <v>29321</v>
      </c>
      <c r="F9777" t="s">
        <v>29322</v>
      </c>
      <c r="I9777" t="s">
        <v>29</v>
      </c>
      <c r="J9777" t="s">
        <v>30</v>
      </c>
      <c r="K9777" t="str">
        <f>"27028"</f>
        <v>27028</v>
      </c>
      <c r="M9777" t="s">
        <v>17861</v>
      </c>
      <c r="N9777" t="str">
        <f>"7/11/2016 4:41:00 PM"</f>
        <v>7/11/2016 4:41:00 PM</v>
      </c>
      <c r="O9777" t="s">
        <v>29320</v>
      </c>
      <c r="T9777" t="s">
        <v>29321</v>
      </c>
    </row>
    <row r="9778" spans="1:20" x14ac:dyDescent="0.25">
      <c r="A9778" t="str">
        <f>"3050161"</f>
        <v>3050161</v>
      </c>
      <c r="B9778" t="s">
        <v>29323</v>
      </c>
      <c r="C9778" t="str">
        <f>"8304882"</f>
        <v>8304882</v>
      </c>
      <c r="D9778" t="s">
        <v>29324</v>
      </c>
      <c r="F9778" t="s">
        <v>29325</v>
      </c>
      <c r="I9778" t="s">
        <v>17921</v>
      </c>
      <c r="J9778" t="s">
        <v>30</v>
      </c>
      <c r="K9778" t="str">
        <f>"27028"</f>
        <v>27028</v>
      </c>
      <c r="M9778" t="s">
        <v>18479</v>
      </c>
      <c r="N9778" t="str">
        <f>"7/11/2016 4:44:00 PM"</f>
        <v>7/11/2016 4:44:00 PM</v>
      </c>
      <c r="O9778" t="s">
        <v>29324</v>
      </c>
    </row>
    <row r="9779" spans="1:20" x14ac:dyDescent="0.25">
      <c r="A9779" t="str">
        <f>"3059755"</f>
        <v>3059755</v>
      </c>
      <c r="B9779" t="s">
        <v>29326</v>
      </c>
      <c r="C9779" t="str">
        <f>"82521486"</f>
        <v>82521486</v>
      </c>
      <c r="D9779" t="s">
        <v>29327</v>
      </c>
      <c r="E9779" t="s">
        <v>29328</v>
      </c>
      <c r="F9779" t="s">
        <v>29329</v>
      </c>
      <c r="I9779" t="s">
        <v>29</v>
      </c>
      <c r="J9779" t="s">
        <v>30</v>
      </c>
      <c r="K9779" t="s">
        <v>31</v>
      </c>
      <c r="M9779" t="s">
        <v>17861</v>
      </c>
      <c r="N9779" t="str">
        <f>"6/29/2016 9:28:00 AM"</f>
        <v>6/29/2016 9:28:00 AM</v>
      </c>
      <c r="O9779" t="s">
        <v>29327</v>
      </c>
      <c r="T9779" t="s">
        <v>29328</v>
      </c>
    </row>
    <row r="9780" spans="1:20" x14ac:dyDescent="0.25">
      <c r="A9780" t="str">
        <f>"3057652"</f>
        <v>3057652</v>
      </c>
      <c r="B9780" t="s">
        <v>29330</v>
      </c>
      <c r="C9780" t="str">
        <f>"8306586"</f>
        <v>8306586</v>
      </c>
      <c r="D9780" t="s">
        <v>29331</v>
      </c>
      <c r="E9780" t="s">
        <v>29332</v>
      </c>
      <c r="F9780" t="s">
        <v>29333</v>
      </c>
      <c r="I9780" t="s">
        <v>184</v>
      </c>
      <c r="J9780" t="s">
        <v>30</v>
      </c>
      <c r="K9780" t="str">
        <f>"27006"</f>
        <v>27006</v>
      </c>
      <c r="M9780" t="s">
        <v>17861</v>
      </c>
      <c r="N9780" t="str">
        <f>"7/12/2016 9:15:00 AM"</f>
        <v>7/12/2016 9:15:00 AM</v>
      </c>
      <c r="O9780" t="s">
        <v>29331</v>
      </c>
      <c r="T9780" t="s">
        <v>29332</v>
      </c>
    </row>
    <row r="9781" spans="1:20" x14ac:dyDescent="0.25">
      <c r="A9781" t="str">
        <f>"3054705"</f>
        <v>3054705</v>
      </c>
      <c r="B9781" t="s">
        <v>29334</v>
      </c>
      <c r="C9781" t="str">
        <f>"82515741"</f>
        <v>82515741</v>
      </c>
      <c r="D9781" t="s">
        <v>29335</v>
      </c>
      <c r="E9781" t="s">
        <v>29336</v>
      </c>
      <c r="F9781" t="s">
        <v>29337</v>
      </c>
      <c r="I9781" t="s">
        <v>29</v>
      </c>
      <c r="J9781" t="s">
        <v>30</v>
      </c>
      <c r="K9781" t="s">
        <v>31</v>
      </c>
      <c r="M9781" t="s">
        <v>26316</v>
      </c>
      <c r="N9781" t="str">
        <f>"7/12/2016 11:26:00 AM"</f>
        <v>7/12/2016 11:26:00 AM</v>
      </c>
      <c r="O9781" t="s">
        <v>29335</v>
      </c>
      <c r="T9781" t="s">
        <v>29336</v>
      </c>
    </row>
    <row r="9782" spans="1:20" x14ac:dyDescent="0.25">
      <c r="A9782" t="str">
        <f>"3046710"</f>
        <v>3046710</v>
      </c>
      <c r="B9782" t="s">
        <v>29338</v>
      </c>
      <c r="C9782" t="str">
        <f>"8306519"</f>
        <v>8306519</v>
      </c>
      <c r="D9782" t="s">
        <v>29339</v>
      </c>
      <c r="F9782" t="s">
        <v>29340</v>
      </c>
      <c r="I9782" t="s">
        <v>184</v>
      </c>
      <c r="J9782" t="s">
        <v>30</v>
      </c>
      <c r="K9782" t="str">
        <f>"27006"</f>
        <v>27006</v>
      </c>
      <c r="M9782" t="s">
        <v>17861</v>
      </c>
      <c r="N9782" t="str">
        <f>"6/30/2016 3:22:00 PM"</f>
        <v>6/30/2016 3:22:00 PM</v>
      </c>
      <c r="O9782" t="s">
        <v>29339</v>
      </c>
    </row>
    <row r="9783" spans="1:20" x14ac:dyDescent="0.25">
      <c r="A9783" t="str">
        <f>"3057121"</f>
        <v>3057121</v>
      </c>
      <c r="B9783" t="s">
        <v>29341</v>
      </c>
      <c r="C9783" t="str">
        <f>"69905500"</f>
        <v>69905500</v>
      </c>
      <c r="D9783" t="s">
        <v>18358</v>
      </c>
      <c r="F9783" t="s">
        <v>29342</v>
      </c>
      <c r="I9783" t="s">
        <v>9580</v>
      </c>
      <c r="J9783" t="s">
        <v>30</v>
      </c>
      <c r="K9783" t="s">
        <v>29343</v>
      </c>
      <c r="M9783" t="s">
        <v>25625</v>
      </c>
      <c r="N9783" t="str">
        <f>"7/14/2016 10:47:00 AM"</f>
        <v>7/14/2016 10:47:00 AM</v>
      </c>
      <c r="O9783" t="s">
        <v>18358</v>
      </c>
    </row>
    <row r="9784" spans="1:20" x14ac:dyDescent="0.25">
      <c r="A9784" t="str">
        <f>"3057141"</f>
        <v>3057141</v>
      </c>
      <c r="B9784" t="s">
        <v>29344</v>
      </c>
      <c r="C9784" t="str">
        <f>"69905500"</f>
        <v>69905500</v>
      </c>
      <c r="D9784" t="s">
        <v>18358</v>
      </c>
      <c r="F9784" t="s">
        <v>29342</v>
      </c>
      <c r="I9784" t="s">
        <v>9580</v>
      </c>
      <c r="J9784" t="s">
        <v>30</v>
      </c>
      <c r="K9784" t="s">
        <v>29343</v>
      </c>
      <c r="M9784" t="s">
        <v>25625</v>
      </c>
      <c r="N9784" t="str">
        <f>"7/14/2016 10:47:00 AM"</f>
        <v>7/14/2016 10:47:00 AM</v>
      </c>
      <c r="O9784" t="s">
        <v>18358</v>
      </c>
    </row>
    <row r="9785" spans="1:20" x14ac:dyDescent="0.25">
      <c r="A9785" t="str">
        <f>"3057723"</f>
        <v>3057723</v>
      </c>
      <c r="B9785" t="s">
        <v>29345</v>
      </c>
      <c r="C9785" t="str">
        <f>"8306522"</f>
        <v>8306522</v>
      </c>
      <c r="D9785" t="s">
        <v>29346</v>
      </c>
      <c r="F9785" t="s">
        <v>29347</v>
      </c>
      <c r="I9785" t="s">
        <v>29</v>
      </c>
      <c r="J9785" t="s">
        <v>30</v>
      </c>
      <c r="K9785" t="str">
        <f>"27028"</f>
        <v>27028</v>
      </c>
      <c r="M9785" t="s">
        <v>17861</v>
      </c>
      <c r="N9785" t="str">
        <f>"6/30/2016 3:52:00 PM"</f>
        <v>6/30/2016 3:52:00 PM</v>
      </c>
      <c r="O9785" t="s">
        <v>29346</v>
      </c>
    </row>
    <row r="9786" spans="1:20" x14ac:dyDescent="0.25">
      <c r="A9786" t="str">
        <f>"3061780"</f>
        <v>3061780</v>
      </c>
      <c r="B9786" t="s">
        <v>29348</v>
      </c>
      <c r="C9786" t="str">
        <f>"8306612"</f>
        <v>8306612</v>
      </c>
      <c r="D9786" t="s">
        <v>29349</v>
      </c>
      <c r="E9786" t="s">
        <v>29350</v>
      </c>
      <c r="F9786" t="s">
        <v>29351</v>
      </c>
      <c r="I9786" t="s">
        <v>184</v>
      </c>
      <c r="J9786" t="s">
        <v>30</v>
      </c>
      <c r="K9786" t="str">
        <f>"27006"</f>
        <v>27006</v>
      </c>
      <c r="M9786" t="s">
        <v>17861</v>
      </c>
      <c r="N9786" t="str">
        <f>"7/19/2016 9:13:00 AM"</f>
        <v>7/19/2016 9:13:00 AM</v>
      </c>
      <c r="O9786" t="s">
        <v>29349</v>
      </c>
      <c r="T9786" t="s">
        <v>29350</v>
      </c>
    </row>
    <row r="9787" spans="1:20" x14ac:dyDescent="0.25">
      <c r="A9787" t="str">
        <f>"3060067"</f>
        <v>3060067</v>
      </c>
      <c r="B9787" t="s">
        <v>29352</v>
      </c>
      <c r="C9787" t="str">
        <f>"8306613"</f>
        <v>8306613</v>
      </c>
      <c r="D9787" t="s">
        <v>29353</v>
      </c>
      <c r="E9787" t="s">
        <v>29354</v>
      </c>
      <c r="F9787" t="s">
        <v>29355</v>
      </c>
      <c r="I9787" t="s">
        <v>184</v>
      </c>
      <c r="J9787" t="s">
        <v>30</v>
      </c>
      <c r="K9787" t="str">
        <f>"27006"</f>
        <v>27006</v>
      </c>
      <c r="M9787" t="s">
        <v>17861</v>
      </c>
      <c r="N9787" t="str">
        <f>"7/19/2016 9:27:00 AM"</f>
        <v>7/19/2016 9:27:00 AM</v>
      </c>
      <c r="O9787" t="s">
        <v>29353</v>
      </c>
      <c r="T9787" t="s">
        <v>29354</v>
      </c>
    </row>
    <row r="9788" spans="1:20" x14ac:dyDescent="0.25">
      <c r="A9788" t="str">
        <f>"3058006"</f>
        <v>3058006</v>
      </c>
      <c r="B9788" t="s">
        <v>29356</v>
      </c>
      <c r="C9788" t="str">
        <f>"8306527"</f>
        <v>8306527</v>
      </c>
      <c r="D9788" t="s">
        <v>29248</v>
      </c>
      <c r="E9788" t="s">
        <v>29249</v>
      </c>
      <c r="F9788" t="s">
        <v>29250</v>
      </c>
      <c r="I9788" t="s">
        <v>29</v>
      </c>
      <c r="J9788" t="s">
        <v>30</v>
      </c>
      <c r="K9788" t="str">
        <f>"27028"</f>
        <v>27028</v>
      </c>
      <c r="M9788" t="s">
        <v>17861</v>
      </c>
      <c r="N9788" t="str">
        <f>"6/30/2016 4:10:00 PM"</f>
        <v>6/30/2016 4:10:00 PM</v>
      </c>
      <c r="O9788" t="s">
        <v>29248</v>
      </c>
      <c r="T9788" t="s">
        <v>29249</v>
      </c>
    </row>
    <row r="9789" spans="1:20" x14ac:dyDescent="0.25">
      <c r="A9789" t="str">
        <f>"3056841"</f>
        <v>3056841</v>
      </c>
      <c r="B9789" t="s">
        <v>29357</v>
      </c>
      <c r="C9789" t="str">
        <f>"8306527"</f>
        <v>8306527</v>
      </c>
      <c r="D9789" t="s">
        <v>29248</v>
      </c>
      <c r="E9789" t="s">
        <v>29249</v>
      </c>
      <c r="F9789" t="s">
        <v>29250</v>
      </c>
      <c r="I9789" t="s">
        <v>29</v>
      </c>
      <c r="J9789" t="s">
        <v>30</v>
      </c>
      <c r="K9789" t="str">
        <f>"27028"</f>
        <v>27028</v>
      </c>
      <c r="M9789" t="s">
        <v>17861</v>
      </c>
      <c r="N9789" t="str">
        <f>"6/30/2016 4:10:00 PM"</f>
        <v>6/30/2016 4:10:00 PM</v>
      </c>
      <c r="O9789" t="s">
        <v>29248</v>
      </c>
      <c r="T9789" t="s">
        <v>29249</v>
      </c>
    </row>
    <row r="9790" spans="1:20" x14ac:dyDescent="0.25">
      <c r="A9790" t="str">
        <f>"3061375"</f>
        <v>3061375</v>
      </c>
      <c r="B9790" t="s">
        <v>29358</v>
      </c>
      <c r="C9790" t="str">
        <f>"8302520"</f>
        <v>8302520</v>
      </c>
      <c r="D9790" t="s">
        <v>29359</v>
      </c>
      <c r="E9790" t="s">
        <v>29360</v>
      </c>
      <c r="F9790" t="s">
        <v>29361</v>
      </c>
      <c r="I9790" t="s">
        <v>184</v>
      </c>
      <c r="J9790" t="s">
        <v>30</v>
      </c>
      <c r="K9790" t="str">
        <f>"27006"</f>
        <v>27006</v>
      </c>
      <c r="M9790" t="s">
        <v>17861</v>
      </c>
      <c r="N9790" t="str">
        <f>"7/1/2016 8:31:00 AM"</f>
        <v>7/1/2016 8:31:00 AM</v>
      </c>
      <c r="O9790" t="s">
        <v>29359</v>
      </c>
      <c r="T9790" t="s">
        <v>29360</v>
      </c>
    </row>
    <row r="9791" spans="1:20" x14ac:dyDescent="0.25">
      <c r="A9791" t="str">
        <f>"3049473"</f>
        <v>3049473</v>
      </c>
      <c r="B9791" t="s">
        <v>29362</v>
      </c>
      <c r="C9791" t="str">
        <f>"8306535"</f>
        <v>8306535</v>
      </c>
      <c r="D9791" t="s">
        <v>29363</v>
      </c>
      <c r="E9791" t="s">
        <v>29364</v>
      </c>
      <c r="F9791" t="s">
        <v>29365</v>
      </c>
      <c r="I9791" t="s">
        <v>29</v>
      </c>
      <c r="J9791" t="s">
        <v>30</v>
      </c>
      <c r="K9791" t="str">
        <f>"27028"</f>
        <v>27028</v>
      </c>
      <c r="M9791" t="s">
        <v>17861</v>
      </c>
      <c r="N9791" t="str">
        <f>"7/1/2016 1:13:00 PM"</f>
        <v>7/1/2016 1:13:00 PM</v>
      </c>
      <c r="O9791" t="s">
        <v>29363</v>
      </c>
      <c r="T9791" t="s">
        <v>29364</v>
      </c>
    </row>
    <row r="9792" spans="1:20" x14ac:dyDescent="0.25">
      <c r="A9792" t="str">
        <f>"3074790"</f>
        <v>3074790</v>
      </c>
      <c r="B9792" t="s">
        <v>29366</v>
      </c>
      <c r="C9792" t="str">
        <f>"8306541"</f>
        <v>8306541</v>
      </c>
      <c r="D9792" t="s">
        <v>29367</v>
      </c>
      <c r="F9792" t="s">
        <v>29368</v>
      </c>
      <c r="I9792" t="s">
        <v>29</v>
      </c>
      <c r="J9792" t="s">
        <v>30</v>
      </c>
      <c r="K9792" t="str">
        <f>"27028"</f>
        <v>27028</v>
      </c>
      <c r="M9792" t="s">
        <v>17861</v>
      </c>
      <c r="N9792" t="str">
        <f>"7/1/2016 2:23:00 PM"</f>
        <v>7/1/2016 2:23:00 PM</v>
      </c>
      <c r="O9792" t="s">
        <v>29367</v>
      </c>
    </row>
    <row r="9793" spans="1:20" x14ac:dyDescent="0.25">
      <c r="A9793" t="str">
        <f>"3050158"</f>
        <v>3050158</v>
      </c>
      <c r="B9793" t="s">
        <v>29369</v>
      </c>
      <c r="C9793" t="str">
        <f>"28670000"</f>
        <v>28670000</v>
      </c>
      <c r="D9793" t="s">
        <v>29370</v>
      </c>
      <c r="F9793" t="s">
        <v>29371</v>
      </c>
      <c r="I9793" t="s">
        <v>29</v>
      </c>
      <c r="J9793" t="s">
        <v>30</v>
      </c>
      <c r="K9793" t="s">
        <v>31</v>
      </c>
      <c r="M9793" t="s">
        <v>25625</v>
      </c>
      <c r="N9793" t="str">
        <f>"7/6/2016 10:25:00 AM"</f>
        <v>7/6/2016 10:25:00 AM</v>
      </c>
      <c r="O9793" t="s">
        <v>29370</v>
      </c>
    </row>
    <row r="9794" spans="1:20" x14ac:dyDescent="0.25">
      <c r="A9794" t="str">
        <f>"3074661"</f>
        <v>3074661</v>
      </c>
      <c r="B9794" t="s">
        <v>29372</v>
      </c>
      <c r="C9794" t="str">
        <f>"8306654"</f>
        <v>8306654</v>
      </c>
      <c r="D9794" t="s">
        <v>29373</v>
      </c>
      <c r="E9794" t="s">
        <v>29374</v>
      </c>
      <c r="F9794" t="s">
        <v>29375</v>
      </c>
      <c r="I9794" t="s">
        <v>184</v>
      </c>
      <c r="J9794" t="s">
        <v>30</v>
      </c>
      <c r="K9794" t="str">
        <f>"27006"</f>
        <v>27006</v>
      </c>
      <c r="M9794" t="s">
        <v>17861</v>
      </c>
      <c r="N9794" t="str">
        <f>"8/1/2016 1:49:00 PM"</f>
        <v>8/1/2016 1:49:00 PM</v>
      </c>
      <c r="O9794" t="s">
        <v>29373</v>
      </c>
      <c r="T9794" t="s">
        <v>29374</v>
      </c>
    </row>
    <row r="9795" spans="1:20" x14ac:dyDescent="0.25">
      <c r="A9795" t="str">
        <f>"3059552"</f>
        <v>3059552</v>
      </c>
      <c r="B9795" t="s">
        <v>29376</v>
      </c>
      <c r="C9795" t="str">
        <f>"8306620"</f>
        <v>8306620</v>
      </c>
      <c r="D9795" t="s">
        <v>29377</v>
      </c>
      <c r="E9795" t="s">
        <v>29378</v>
      </c>
      <c r="F9795" t="s">
        <v>29379</v>
      </c>
      <c r="I9795" t="s">
        <v>29</v>
      </c>
      <c r="J9795" t="s">
        <v>30</v>
      </c>
      <c r="K9795" t="str">
        <f>"27028"</f>
        <v>27028</v>
      </c>
      <c r="M9795" t="s">
        <v>17861</v>
      </c>
      <c r="N9795" t="str">
        <f>"8/1/2016 2:11:00 PM"</f>
        <v>8/1/2016 2:11:00 PM</v>
      </c>
      <c r="O9795" t="s">
        <v>29377</v>
      </c>
      <c r="T9795" t="s">
        <v>29378</v>
      </c>
    </row>
    <row r="9796" spans="1:20" x14ac:dyDescent="0.25">
      <c r="A9796" t="str">
        <f>"3060817"</f>
        <v>3060817</v>
      </c>
      <c r="B9796" t="s">
        <v>29380</v>
      </c>
      <c r="C9796" t="str">
        <f>"8306657"</f>
        <v>8306657</v>
      </c>
      <c r="D9796" t="s">
        <v>29381</v>
      </c>
      <c r="E9796" t="s">
        <v>29382</v>
      </c>
      <c r="F9796" t="s">
        <v>29383</v>
      </c>
      <c r="I9796" t="s">
        <v>184</v>
      </c>
      <c r="J9796" t="s">
        <v>30</v>
      </c>
      <c r="K9796" t="str">
        <f>"27006"</f>
        <v>27006</v>
      </c>
      <c r="M9796" t="s">
        <v>17861</v>
      </c>
      <c r="N9796" t="str">
        <f>"8/1/2016 2:38:00 PM"</f>
        <v>8/1/2016 2:38:00 PM</v>
      </c>
      <c r="O9796" t="s">
        <v>29381</v>
      </c>
      <c r="T9796" t="s">
        <v>29382</v>
      </c>
    </row>
    <row r="9797" spans="1:20" x14ac:dyDescent="0.25">
      <c r="A9797" t="str">
        <f>"3058007"</f>
        <v>3058007</v>
      </c>
      <c r="B9797" t="s">
        <v>29384</v>
      </c>
      <c r="C9797" t="str">
        <f>"8306658"</f>
        <v>8306658</v>
      </c>
      <c r="D9797" t="s">
        <v>29385</v>
      </c>
      <c r="E9797" t="s">
        <v>29386</v>
      </c>
      <c r="F9797" t="s">
        <v>29387</v>
      </c>
      <c r="I9797" t="s">
        <v>184</v>
      </c>
      <c r="J9797" t="s">
        <v>30</v>
      </c>
      <c r="K9797" t="str">
        <f>"27006"</f>
        <v>27006</v>
      </c>
      <c r="M9797" t="s">
        <v>17861</v>
      </c>
      <c r="N9797" t="str">
        <f>"8/1/2016 2:53:00 PM"</f>
        <v>8/1/2016 2:53:00 PM</v>
      </c>
      <c r="O9797" t="s">
        <v>29385</v>
      </c>
      <c r="T9797" t="s">
        <v>29386</v>
      </c>
    </row>
    <row r="9798" spans="1:20" x14ac:dyDescent="0.25">
      <c r="A9798" t="str">
        <f>"3056972"</f>
        <v>3056972</v>
      </c>
      <c r="B9798" t="s">
        <v>29388</v>
      </c>
      <c r="C9798" t="str">
        <f>"12772250"</f>
        <v>12772250</v>
      </c>
      <c r="D9798" t="s">
        <v>29389</v>
      </c>
      <c r="E9798" t="s">
        <v>29390</v>
      </c>
      <c r="F9798" t="s">
        <v>29391</v>
      </c>
      <c r="I9798" t="s">
        <v>29</v>
      </c>
      <c r="J9798" t="s">
        <v>30</v>
      </c>
      <c r="K9798" t="s">
        <v>29392</v>
      </c>
      <c r="M9798" t="s">
        <v>25625</v>
      </c>
      <c r="N9798" t="str">
        <f>"6/23/2016 1:51:00 PM"</f>
        <v>6/23/2016 1:51:00 PM</v>
      </c>
      <c r="O9798" t="s">
        <v>29389</v>
      </c>
      <c r="T9798" t="s">
        <v>29390</v>
      </c>
    </row>
    <row r="9799" spans="1:20" x14ac:dyDescent="0.25">
      <c r="A9799" t="str">
        <f>"3040249"</f>
        <v>3040249</v>
      </c>
      <c r="B9799" t="s">
        <v>29393</v>
      </c>
      <c r="C9799" t="str">
        <f>"8306659"</f>
        <v>8306659</v>
      </c>
      <c r="D9799" t="s">
        <v>29394</v>
      </c>
      <c r="E9799" t="s">
        <v>29395</v>
      </c>
      <c r="F9799" t="s">
        <v>29396</v>
      </c>
      <c r="I9799" t="s">
        <v>184</v>
      </c>
      <c r="J9799" t="s">
        <v>30</v>
      </c>
      <c r="K9799" t="str">
        <f>"27006"</f>
        <v>27006</v>
      </c>
      <c r="M9799" t="s">
        <v>17861</v>
      </c>
      <c r="N9799" t="str">
        <f>"8/1/2016 2:57:00 PM"</f>
        <v>8/1/2016 2:57:00 PM</v>
      </c>
      <c r="O9799" t="s">
        <v>29394</v>
      </c>
      <c r="T9799" t="s">
        <v>29395</v>
      </c>
    </row>
    <row r="9800" spans="1:20" x14ac:dyDescent="0.25">
      <c r="A9800" t="str">
        <f>"3057651"</f>
        <v>3057651</v>
      </c>
      <c r="B9800" t="s">
        <v>29397</v>
      </c>
      <c r="C9800" t="str">
        <f>"8306662"</f>
        <v>8306662</v>
      </c>
      <c r="D9800" t="s">
        <v>29398</v>
      </c>
      <c r="E9800" t="s">
        <v>29399</v>
      </c>
      <c r="F9800" t="s">
        <v>29400</v>
      </c>
      <c r="I9800" t="s">
        <v>184</v>
      </c>
      <c r="J9800" t="s">
        <v>30</v>
      </c>
      <c r="K9800" t="str">
        <f>"27006"</f>
        <v>27006</v>
      </c>
      <c r="M9800" t="s">
        <v>17861</v>
      </c>
      <c r="N9800" t="str">
        <f>"8/1/2016 3:36:00 PM"</f>
        <v>8/1/2016 3:36:00 PM</v>
      </c>
      <c r="O9800" t="s">
        <v>29398</v>
      </c>
      <c r="T9800" t="s">
        <v>29399</v>
      </c>
    </row>
    <row r="9801" spans="1:20" x14ac:dyDescent="0.25">
      <c r="A9801" t="str">
        <f>"3044853"</f>
        <v>3044853</v>
      </c>
      <c r="B9801" t="s">
        <v>29401</v>
      </c>
      <c r="C9801" t="str">
        <f>"8306663"</f>
        <v>8306663</v>
      </c>
      <c r="D9801" t="s">
        <v>29402</v>
      </c>
      <c r="E9801" t="s">
        <v>29403</v>
      </c>
      <c r="F9801" t="s">
        <v>29404</v>
      </c>
      <c r="I9801" t="s">
        <v>184</v>
      </c>
      <c r="J9801" t="s">
        <v>30</v>
      </c>
      <c r="K9801" t="str">
        <f>"27006"</f>
        <v>27006</v>
      </c>
      <c r="M9801" t="s">
        <v>17861</v>
      </c>
      <c r="N9801" t="str">
        <f>"8/1/2016 3:42:00 PM"</f>
        <v>8/1/2016 3:42:00 PM</v>
      </c>
      <c r="O9801" t="s">
        <v>29402</v>
      </c>
      <c r="T9801" t="s">
        <v>29403</v>
      </c>
    </row>
    <row r="9802" spans="1:20" x14ac:dyDescent="0.25">
      <c r="A9802" t="str">
        <f>"3059704"</f>
        <v>3059704</v>
      </c>
      <c r="B9802" t="s">
        <v>29405</v>
      </c>
      <c r="C9802" t="str">
        <f>"8306664"</f>
        <v>8306664</v>
      </c>
      <c r="D9802" t="s">
        <v>29406</v>
      </c>
      <c r="E9802" t="s">
        <v>29407</v>
      </c>
      <c r="F9802" t="s">
        <v>29408</v>
      </c>
      <c r="I9802" t="s">
        <v>29</v>
      </c>
      <c r="J9802" t="s">
        <v>30</v>
      </c>
      <c r="K9802" t="str">
        <f>"27028"</f>
        <v>27028</v>
      </c>
      <c r="M9802" t="s">
        <v>17861</v>
      </c>
      <c r="N9802" t="str">
        <f>"8/1/2016 3:45:00 PM"</f>
        <v>8/1/2016 3:45:00 PM</v>
      </c>
      <c r="O9802" t="s">
        <v>29406</v>
      </c>
      <c r="T9802" t="s">
        <v>29407</v>
      </c>
    </row>
    <row r="9803" spans="1:20" x14ac:dyDescent="0.25">
      <c r="A9803" t="str">
        <f>"3056973"</f>
        <v>3056973</v>
      </c>
      <c r="B9803" t="s">
        <v>29409</v>
      </c>
      <c r="C9803" t="str">
        <f>"12772250"</f>
        <v>12772250</v>
      </c>
      <c r="D9803" t="s">
        <v>29389</v>
      </c>
      <c r="E9803" t="s">
        <v>29390</v>
      </c>
      <c r="F9803" t="s">
        <v>29391</v>
      </c>
      <c r="I9803" t="s">
        <v>29</v>
      </c>
      <c r="J9803" t="s">
        <v>30</v>
      </c>
      <c r="K9803" t="s">
        <v>29392</v>
      </c>
      <c r="M9803" t="s">
        <v>25625</v>
      </c>
      <c r="N9803" t="str">
        <f>"6/23/2016 1:51:00 PM"</f>
        <v>6/23/2016 1:51:00 PM</v>
      </c>
      <c r="O9803" t="s">
        <v>29389</v>
      </c>
      <c r="T9803" t="s">
        <v>29390</v>
      </c>
    </row>
    <row r="9804" spans="1:20" x14ac:dyDescent="0.25">
      <c r="A9804" t="str">
        <f>"3056974"</f>
        <v>3056974</v>
      </c>
      <c r="B9804" t="s">
        <v>29410</v>
      </c>
      <c r="C9804" t="str">
        <f>"12772250"</f>
        <v>12772250</v>
      </c>
      <c r="D9804" t="s">
        <v>29389</v>
      </c>
      <c r="E9804" t="s">
        <v>29390</v>
      </c>
      <c r="F9804" t="s">
        <v>29391</v>
      </c>
      <c r="I9804" t="s">
        <v>29</v>
      </c>
      <c r="J9804" t="s">
        <v>30</v>
      </c>
      <c r="K9804" t="s">
        <v>29392</v>
      </c>
      <c r="M9804" t="s">
        <v>25625</v>
      </c>
      <c r="N9804" t="str">
        <f>"6/23/2016 1:51:00 PM"</f>
        <v>6/23/2016 1:51:00 PM</v>
      </c>
      <c r="O9804" t="s">
        <v>29389</v>
      </c>
      <c r="T9804" t="s">
        <v>29390</v>
      </c>
    </row>
    <row r="9805" spans="1:20" x14ac:dyDescent="0.25">
      <c r="A9805" t="str">
        <f>"3061911"</f>
        <v>3061911</v>
      </c>
      <c r="B9805" t="s">
        <v>29411</v>
      </c>
      <c r="C9805" t="str">
        <f>"12772250"</f>
        <v>12772250</v>
      </c>
      <c r="D9805" t="s">
        <v>29389</v>
      </c>
      <c r="E9805" t="s">
        <v>29390</v>
      </c>
      <c r="F9805" t="s">
        <v>29391</v>
      </c>
      <c r="I9805" t="s">
        <v>29</v>
      </c>
      <c r="J9805" t="s">
        <v>30</v>
      </c>
      <c r="K9805" t="s">
        <v>29392</v>
      </c>
      <c r="M9805" t="s">
        <v>25625</v>
      </c>
      <c r="N9805" t="str">
        <f>"6/23/2016 1:51:00 PM"</f>
        <v>6/23/2016 1:51:00 PM</v>
      </c>
      <c r="O9805" t="s">
        <v>29389</v>
      </c>
      <c r="T9805" t="s">
        <v>29390</v>
      </c>
    </row>
    <row r="9806" spans="1:20" x14ac:dyDescent="0.25">
      <c r="A9806" t="str">
        <f>"3044697"</f>
        <v>3044697</v>
      </c>
      <c r="B9806" t="s">
        <v>29412</v>
      </c>
      <c r="C9806" t="str">
        <f>"8306499"</f>
        <v>8306499</v>
      </c>
      <c r="D9806" t="s">
        <v>29413</v>
      </c>
      <c r="E9806" t="s">
        <v>29414</v>
      </c>
      <c r="F9806" t="s">
        <v>29415</v>
      </c>
      <c r="I9806" t="s">
        <v>184</v>
      </c>
      <c r="J9806" t="s">
        <v>30</v>
      </c>
      <c r="K9806" t="str">
        <f>"27006"</f>
        <v>27006</v>
      </c>
      <c r="M9806" t="s">
        <v>17861</v>
      </c>
      <c r="N9806" t="str">
        <f>"6/24/2016 9:30:00 AM"</f>
        <v>6/24/2016 9:30:00 AM</v>
      </c>
      <c r="O9806" t="s">
        <v>29413</v>
      </c>
      <c r="T9806" t="s">
        <v>29414</v>
      </c>
    </row>
    <row r="9807" spans="1:20" x14ac:dyDescent="0.25">
      <c r="A9807" t="str">
        <f>"3055862"</f>
        <v>3055862</v>
      </c>
      <c r="B9807" t="s">
        <v>29416</v>
      </c>
      <c r="C9807" t="str">
        <f>"8306503"</f>
        <v>8306503</v>
      </c>
      <c r="D9807" t="s">
        <v>29417</v>
      </c>
      <c r="F9807" t="s">
        <v>29418</v>
      </c>
      <c r="I9807" t="s">
        <v>9580</v>
      </c>
      <c r="J9807" t="s">
        <v>30</v>
      </c>
      <c r="K9807" t="str">
        <f>"27014"</f>
        <v>27014</v>
      </c>
      <c r="M9807" t="s">
        <v>17861</v>
      </c>
      <c r="N9807" t="str">
        <f>"6/24/2016 11:31:00 AM"</f>
        <v>6/24/2016 11:31:00 AM</v>
      </c>
      <c r="O9807" t="s">
        <v>29417</v>
      </c>
    </row>
    <row r="9808" spans="1:20" x14ac:dyDescent="0.25">
      <c r="A9808" t="str">
        <f>"3045796"</f>
        <v>3045796</v>
      </c>
      <c r="B9808" t="s">
        <v>29419</v>
      </c>
      <c r="C9808" t="str">
        <f>"8306676"</f>
        <v>8306676</v>
      </c>
      <c r="D9808" t="s">
        <v>29420</v>
      </c>
      <c r="E9808" t="s">
        <v>29421</v>
      </c>
      <c r="F9808" t="s">
        <v>29422</v>
      </c>
      <c r="I9808" t="s">
        <v>29</v>
      </c>
      <c r="J9808" t="s">
        <v>30</v>
      </c>
      <c r="K9808" t="str">
        <f t="shared" ref="K9808:K9813" si="163">"27028"</f>
        <v>27028</v>
      </c>
      <c r="M9808" t="s">
        <v>17861</v>
      </c>
      <c r="N9808" t="str">
        <f>"8/1/2016 4:54:00 PM"</f>
        <v>8/1/2016 4:54:00 PM</v>
      </c>
      <c r="O9808" t="s">
        <v>29420</v>
      </c>
      <c r="T9808" t="s">
        <v>29421</v>
      </c>
    </row>
    <row r="9809" spans="1:20" x14ac:dyDescent="0.25">
      <c r="A9809" t="str">
        <f>"3049986"</f>
        <v>3049986</v>
      </c>
      <c r="B9809" t="s">
        <v>29423</v>
      </c>
      <c r="C9809" t="str">
        <f>"8306679"</f>
        <v>8306679</v>
      </c>
      <c r="D9809" t="s">
        <v>29424</v>
      </c>
      <c r="F9809" t="s">
        <v>29425</v>
      </c>
      <c r="I9809" t="s">
        <v>29</v>
      </c>
      <c r="J9809" t="s">
        <v>30</v>
      </c>
      <c r="K9809" t="str">
        <f t="shared" si="163"/>
        <v>27028</v>
      </c>
      <c r="M9809" t="s">
        <v>17861</v>
      </c>
      <c r="N9809" t="str">
        <f>"8/2/2016 9:59:00 AM"</f>
        <v>8/2/2016 9:59:00 AM</v>
      </c>
      <c r="O9809" t="s">
        <v>29424</v>
      </c>
    </row>
    <row r="9810" spans="1:20" x14ac:dyDescent="0.25">
      <c r="A9810" t="str">
        <f>"3059267"</f>
        <v>3059267</v>
      </c>
      <c r="B9810" t="s">
        <v>29426</v>
      </c>
      <c r="C9810" t="str">
        <f>"8306507"</f>
        <v>8306507</v>
      </c>
      <c r="D9810" t="s">
        <v>29427</v>
      </c>
      <c r="E9810" t="s">
        <v>29428</v>
      </c>
      <c r="F9810" t="s">
        <v>29429</v>
      </c>
      <c r="I9810" t="s">
        <v>29</v>
      </c>
      <c r="J9810" t="s">
        <v>30</v>
      </c>
      <c r="K9810" t="str">
        <f t="shared" si="163"/>
        <v>27028</v>
      </c>
      <c r="M9810" t="s">
        <v>17861</v>
      </c>
      <c r="N9810" t="str">
        <f>"6/24/2016 1:06:00 PM"</f>
        <v>6/24/2016 1:06:00 PM</v>
      </c>
      <c r="O9810" t="s">
        <v>29427</v>
      </c>
      <c r="T9810" t="s">
        <v>29428</v>
      </c>
    </row>
    <row r="9811" spans="1:20" x14ac:dyDescent="0.25">
      <c r="A9811" t="str">
        <f>"3048839"</f>
        <v>3048839</v>
      </c>
      <c r="B9811" t="s">
        <v>29430</v>
      </c>
      <c r="C9811" t="str">
        <f>"8306573"</f>
        <v>8306573</v>
      </c>
      <c r="D9811" t="s">
        <v>29431</v>
      </c>
      <c r="E9811" t="s">
        <v>29432</v>
      </c>
      <c r="F9811" t="s">
        <v>29433</v>
      </c>
      <c r="I9811" t="s">
        <v>29</v>
      </c>
      <c r="J9811" t="s">
        <v>30</v>
      </c>
      <c r="K9811" t="str">
        <f t="shared" si="163"/>
        <v>27028</v>
      </c>
      <c r="M9811" t="s">
        <v>17861</v>
      </c>
      <c r="N9811" t="str">
        <f>"7/11/2016 3:37:00 PM"</f>
        <v>7/11/2016 3:37:00 PM</v>
      </c>
      <c r="O9811" t="s">
        <v>29431</v>
      </c>
      <c r="T9811" t="s">
        <v>29432</v>
      </c>
    </row>
    <row r="9812" spans="1:20" x14ac:dyDescent="0.25">
      <c r="A9812" t="str">
        <f>"3050487"</f>
        <v>3050487</v>
      </c>
      <c r="B9812" t="s">
        <v>29434</v>
      </c>
      <c r="C9812" t="str">
        <f>"8306574"</f>
        <v>8306574</v>
      </c>
      <c r="D9812" t="s">
        <v>29435</v>
      </c>
      <c r="F9812" t="s">
        <v>29436</v>
      </c>
      <c r="I9812" t="s">
        <v>29</v>
      </c>
      <c r="J9812" t="s">
        <v>30</v>
      </c>
      <c r="K9812" t="str">
        <f t="shared" si="163"/>
        <v>27028</v>
      </c>
      <c r="M9812" t="s">
        <v>17861</v>
      </c>
      <c r="N9812" t="str">
        <f>"7/11/2016 3:44:00 PM"</f>
        <v>7/11/2016 3:44:00 PM</v>
      </c>
      <c r="O9812" t="s">
        <v>29435</v>
      </c>
    </row>
    <row r="9813" spans="1:20" x14ac:dyDescent="0.25">
      <c r="A9813" t="str">
        <f>"3062785"</f>
        <v>3062785</v>
      </c>
      <c r="B9813" t="s">
        <v>29437</v>
      </c>
      <c r="C9813" t="str">
        <f>"8306575"</f>
        <v>8306575</v>
      </c>
      <c r="D9813" t="s">
        <v>29438</v>
      </c>
      <c r="E9813" t="s">
        <v>29439</v>
      </c>
      <c r="F9813" t="s">
        <v>29440</v>
      </c>
      <c r="I9813" t="s">
        <v>29</v>
      </c>
      <c r="J9813" t="s">
        <v>30</v>
      </c>
      <c r="K9813" t="str">
        <f t="shared" si="163"/>
        <v>27028</v>
      </c>
      <c r="M9813" t="s">
        <v>17861</v>
      </c>
      <c r="N9813" t="str">
        <f>"7/11/2016 3:47:00 PM"</f>
        <v>7/11/2016 3:47:00 PM</v>
      </c>
      <c r="O9813" t="s">
        <v>29438</v>
      </c>
      <c r="T9813" t="s">
        <v>29439</v>
      </c>
    </row>
    <row r="9814" spans="1:20" x14ac:dyDescent="0.25">
      <c r="A9814" t="str">
        <f>"3040876"</f>
        <v>3040876</v>
      </c>
      <c r="B9814" t="s">
        <v>29441</v>
      </c>
      <c r="C9814" t="str">
        <f>"8306583"</f>
        <v>8306583</v>
      </c>
      <c r="D9814" t="s">
        <v>29442</v>
      </c>
      <c r="E9814" t="s">
        <v>29443</v>
      </c>
      <c r="F9814" t="s">
        <v>3161</v>
      </c>
      <c r="I9814" t="s">
        <v>184</v>
      </c>
      <c r="J9814" t="s">
        <v>30</v>
      </c>
      <c r="K9814" t="str">
        <f>"27006"</f>
        <v>27006</v>
      </c>
      <c r="M9814" t="s">
        <v>17861</v>
      </c>
      <c r="N9814" t="str">
        <f>"7/11/2016 4:50:00 PM"</f>
        <v>7/11/2016 4:50:00 PM</v>
      </c>
      <c r="O9814" t="s">
        <v>29442</v>
      </c>
      <c r="T9814" t="s">
        <v>29443</v>
      </c>
    </row>
    <row r="9815" spans="1:20" x14ac:dyDescent="0.25">
      <c r="A9815" t="str">
        <f>"3057114"</f>
        <v>3057114</v>
      </c>
      <c r="B9815" t="s">
        <v>29444</v>
      </c>
      <c r="C9815" t="str">
        <f>"69905500"</f>
        <v>69905500</v>
      </c>
      <c r="D9815" t="s">
        <v>18358</v>
      </c>
      <c r="F9815" t="s">
        <v>29342</v>
      </c>
      <c r="I9815" t="s">
        <v>9580</v>
      </c>
      <c r="J9815" t="s">
        <v>30</v>
      </c>
      <c r="K9815" t="s">
        <v>29343</v>
      </c>
      <c r="M9815" t="s">
        <v>25625</v>
      </c>
      <c r="N9815" t="str">
        <f>"7/14/2016 10:47:00 AM"</f>
        <v>7/14/2016 10:47:00 AM</v>
      </c>
      <c r="O9815" t="s">
        <v>18358</v>
      </c>
    </row>
    <row r="9816" spans="1:20" x14ac:dyDescent="0.25">
      <c r="A9816" t="str">
        <f>"3060341"</f>
        <v>3060341</v>
      </c>
      <c r="B9816" t="s">
        <v>29445</v>
      </c>
      <c r="C9816" t="str">
        <f>"8306607"</f>
        <v>8306607</v>
      </c>
      <c r="D9816" t="s">
        <v>29446</v>
      </c>
      <c r="F9816" t="s">
        <v>29447</v>
      </c>
      <c r="I9816" t="s">
        <v>29</v>
      </c>
      <c r="J9816" t="s">
        <v>30</v>
      </c>
      <c r="K9816" t="str">
        <f>"27028"</f>
        <v>27028</v>
      </c>
      <c r="M9816" t="s">
        <v>17861</v>
      </c>
      <c r="N9816" t="str">
        <f>"7/18/2016 3:49:00 PM"</f>
        <v>7/18/2016 3:49:00 PM</v>
      </c>
      <c r="O9816" t="s">
        <v>29446</v>
      </c>
    </row>
    <row r="9817" spans="1:20" x14ac:dyDescent="0.25">
      <c r="A9817" t="str">
        <f>"3044084"</f>
        <v>3044084</v>
      </c>
      <c r="B9817" t="s">
        <v>29448</v>
      </c>
      <c r="C9817" t="str">
        <f>"8306623"</f>
        <v>8306623</v>
      </c>
      <c r="D9817" t="s">
        <v>29449</v>
      </c>
      <c r="F9817" t="s">
        <v>29450</v>
      </c>
      <c r="I9817" t="s">
        <v>184</v>
      </c>
      <c r="J9817" t="s">
        <v>30</v>
      </c>
      <c r="K9817" t="str">
        <f>"27006"</f>
        <v>27006</v>
      </c>
      <c r="M9817" t="s">
        <v>17861</v>
      </c>
      <c r="N9817" t="str">
        <f>"7/19/2016 11:06:00 AM"</f>
        <v>7/19/2016 11:06:00 AM</v>
      </c>
      <c r="O9817" t="s">
        <v>29449</v>
      </c>
    </row>
    <row r="9818" spans="1:20" x14ac:dyDescent="0.25">
      <c r="A9818" t="str">
        <f>"3041694"</f>
        <v>3041694</v>
      </c>
      <c r="B9818" t="s">
        <v>29451</v>
      </c>
      <c r="C9818" t="str">
        <f>"8306637"</f>
        <v>8306637</v>
      </c>
      <c r="D9818" t="s">
        <v>29452</v>
      </c>
      <c r="E9818" t="s">
        <v>29453</v>
      </c>
      <c r="F9818" t="s">
        <v>29454</v>
      </c>
      <c r="I9818" t="s">
        <v>184</v>
      </c>
      <c r="J9818" t="s">
        <v>30</v>
      </c>
      <c r="K9818" t="str">
        <f>"27006"</f>
        <v>27006</v>
      </c>
      <c r="M9818" t="s">
        <v>17861</v>
      </c>
      <c r="N9818" t="str">
        <f>"7/25/2016 1:55:00 PM"</f>
        <v>7/25/2016 1:55:00 PM</v>
      </c>
      <c r="O9818" t="s">
        <v>29452</v>
      </c>
      <c r="T9818" t="s">
        <v>29453</v>
      </c>
    </row>
    <row r="9819" spans="1:20" x14ac:dyDescent="0.25">
      <c r="A9819" t="str">
        <f>"3051540"</f>
        <v>3051540</v>
      </c>
      <c r="B9819" t="s">
        <v>29455</v>
      </c>
      <c r="C9819" t="str">
        <f>"8306645"</f>
        <v>8306645</v>
      </c>
      <c r="D9819" t="s">
        <v>29456</v>
      </c>
      <c r="F9819" t="s">
        <v>29457</v>
      </c>
      <c r="I9819" t="s">
        <v>29458</v>
      </c>
      <c r="J9819" t="s">
        <v>30</v>
      </c>
      <c r="K9819" t="str">
        <f>"27326"</f>
        <v>27326</v>
      </c>
      <c r="M9819" t="s">
        <v>17861</v>
      </c>
      <c r="N9819" t="str">
        <f>"7/25/2016 3:00:00 PM"</f>
        <v>7/25/2016 3:00:00 PM</v>
      </c>
      <c r="O9819" t="s">
        <v>29456</v>
      </c>
    </row>
    <row r="9820" spans="1:20" x14ac:dyDescent="0.25">
      <c r="A9820" t="str">
        <f>"3060254"</f>
        <v>3060254</v>
      </c>
      <c r="B9820" t="s">
        <v>29459</v>
      </c>
      <c r="C9820" t="str">
        <f>"8306646"</f>
        <v>8306646</v>
      </c>
      <c r="D9820" t="s">
        <v>29460</v>
      </c>
      <c r="F9820" t="s">
        <v>29461</v>
      </c>
      <c r="I9820" t="s">
        <v>184</v>
      </c>
      <c r="J9820" t="s">
        <v>30</v>
      </c>
      <c r="K9820" t="str">
        <f>"27006"</f>
        <v>27006</v>
      </c>
      <c r="M9820" t="s">
        <v>17861</v>
      </c>
      <c r="N9820" t="str">
        <f>"7/25/2016 3:30:00 PM"</f>
        <v>7/25/2016 3:30:00 PM</v>
      </c>
      <c r="O9820" t="s">
        <v>29460</v>
      </c>
    </row>
    <row r="9821" spans="1:20" x14ac:dyDescent="0.25">
      <c r="A9821" t="str">
        <f>"3045777"</f>
        <v>3045777</v>
      </c>
      <c r="B9821" t="s">
        <v>29462</v>
      </c>
      <c r="C9821" t="str">
        <f>"21444000"</f>
        <v>21444000</v>
      </c>
      <c r="D9821" t="s">
        <v>29463</v>
      </c>
      <c r="E9821" t="s">
        <v>29464</v>
      </c>
      <c r="F9821" t="s">
        <v>29465</v>
      </c>
      <c r="I9821" t="s">
        <v>29</v>
      </c>
      <c r="J9821" t="s">
        <v>30</v>
      </c>
      <c r="K9821" t="s">
        <v>29466</v>
      </c>
      <c r="M9821" t="s">
        <v>25494</v>
      </c>
      <c r="N9821" t="str">
        <f>"7/29/2016 8:34:00 AM"</f>
        <v>7/29/2016 8:34:00 AM</v>
      </c>
      <c r="O9821" t="s">
        <v>29463</v>
      </c>
      <c r="T9821" t="s">
        <v>29464</v>
      </c>
    </row>
    <row r="9822" spans="1:20" x14ac:dyDescent="0.25">
      <c r="A9822" t="str">
        <f>"3050484"</f>
        <v>3050484</v>
      </c>
      <c r="B9822" t="s">
        <v>29467</v>
      </c>
      <c r="C9822" t="str">
        <f>"8306652"</f>
        <v>8306652</v>
      </c>
      <c r="D9822" t="s">
        <v>29468</v>
      </c>
      <c r="E9822" t="s">
        <v>29469</v>
      </c>
      <c r="F9822" t="s">
        <v>29470</v>
      </c>
      <c r="I9822" t="s">
        <v>184</v>
      </c>
      <c r="J9822" t="s">
        <v>30</v>
      </c>
      <c r="K9822" t="str">
        <f>"27006"</f>
        <v>27006</v>
      </c>
      <c r="M9822" t="s">
        <v>17861</v>
      </c>
      <c r="N9822" t="str">
        <f>"8/1/2016 1:08:00 PM"</f>
        <v>8/1/2016 1:08:00 PM</v>
      </c>
      <c r="O9822" t="s">
        <v>29468</v>
      </c>
      <c r="T9822" t="s">
        <v>29469</v>
      </c>
    </row>
    <row r="9823" spans="1:20" x14ac:dyDescent="0.25">
      <c r="A9823" t="str">
        <f>"3040657"</f>
        <v>3040657</v>
      </c>
      <c r="B9823" t="s">
        <v>29471</v>
      </c>
      <c r="C9823" t="str">
        <f>"8306659"</f>
        <v>8306659</v>
      </c>
      <c r="D9823" t="s">
        <v>29394</v>
      </c>
      <c r="E9823" t="s">
        <v>29395</v>
      </c>
      <c r="F9823" t="s">
        <v>29396</v>
      </c>
      <c r="I9823" t="s">
        <v>184</v>
      </c>
      <c r="J9823" t="s">
        <v>30</v>
      </c>
      <c r="K9823" t="str">
        <f>"27006"</f>
        <v>27006</v>
      </c>
      <c r="M9823" t="s">
        <v>17861</v>
      </c>
      <c r="N9823" t="str">
        <f>"8/1/2016 2:57:00 PM"</f>
        <v>8/1/2016 2:57:00 PM</v>
      </c>
      <c r="O9823" t="s">
        <v>29394</v>
      </c>
      <c r="T9823" t="s">
        <v>29395</v>
      </c>
    </row>
    <row r="9824" spans="1:20" x14ac:dyDescent="0.25">
      <c r="A9824" t="str">
        <f>"3058042"</f>
        <v>3058042</v>
      </c>
      <c r="B9824" t="s">
        <v>29472</v>
      </c>
      <c r="C9824" t="str">
        <f>"78865500"</f>
        <v>78865500</v>
      </c>
      <c r="D9824" t="s">
        <v>29473</v>
      </c>
      <c r="F9824" t="str">
        <f>"C/O DEBBIE W. HERMAN"</f>
        <v>C/O DEBBIE W. HERMAN</v>
      </c>
      <c r="G9824" t="s">
        <v>29474</v>
      </c>
      <c r="I9824" t="s">
        <v>29475</v>
      </c>
      <c r="J9824" t="s">
        <v>4132</v>
      </c>
      <c r="K9824" t="str">
        <f>"29020"</f>
        <v>29020</v>
      </c>
      <c r="M9824" t="s">
        <v>18479</v>
      </c>
      <c r="N9824" t="str">
        <f>"7/11/2016 11:47:00 AM"</f>
        <v>7/11/2016 11:47:00 AM</v>
      </c>
      <c r="O9824" t="s">
        <v>29473</v>
      </c>
    </row>
    <row r="9825" spans="1:20" x14ac:dyDescent="0.25">
      <c r="A9825" t="str">
        <f>"3041714"</f>
        <v>3041714</v>
      </c>
      <c r="B9825" t="s">
        <v>29476</v>
      </c>
      <c r="C9825" t="str">
        <f>"8306666"</f>
        <v>8306666</v>
      </c>
      <c r="D9825" t="s">
        <v>29477</v>
      </c>
      <c r="E9825" t="s">
        <v>29478</v>
      </c>
      <c r="F9825" t="s">
        <v>29479</v>
      </c>
      <c r="I9825" t="s">
        <v>2071</v>
      </c>
      <c r="J9825" t="s">
        <v>30</v>
      </c>
      <c r="K9825" t="str">
        <f>"27006"</f>
        <v>27006</v>
      </c>
      <c r="M9825" t="s">
        <v>17861</v>
      </c>
      <c r="N9825" t="str">
        <f>"8/1/2016 3:53:00 PM"</f>
        <v>8/1/2016 3:53:00 PM</v>
      </c>
      <c r="O9825" t="s">
        <v>29477</v>
      </c>
      <c r="T9825" t="s">
        <v>29478</v>
      </c>
    </row>
    <row r="9826" spans="1:20" x14ac:dyDescent="0.25">
      <c r="A9826" t="str">
        <f>"3040398"</f>
        <v>3040398</v>
      </c>
      <c r="B9826" t="s">
        <v>29480</v>
      </c>
      <c r="C9826" t="str">
        <f>"8306671"</f>
        <v>8306671</v>
      </c>
      <c r="D9826" t="s">
        <v>29481</v>
      </c>
      <c r="F9826" t="s">
        <v>29482</v>
      </c>
      <c r="I9826" t="s">
        <v>471</v>
      </c>
      <c r="J9826" t="s">
        <v>30</v>
      </c>
      <c r="K9826" t="str">
        <f>"27104"</f>
        <v>27104</v>
      </c>
      <c r="M9826" t="s">
        <v>17861</v>
      </c>
      <c r="N9826" t="str">
        <f>"8/1/2016 4:17:00 PM"</f>
        <v>8/1/2016 4:17:00 PM</v>
      </c>
      <c r="O9826" t="s">
        <v>29481</v>
      </c>
    </row>
    <row r="9827" spans="1:20" x14ac:dyDescent="0.25">
      <c r="A9827" t="str">
        <f>"3044127"</f>
        <v>3044127</v>
      </c>
      <c r="B9827" t="s">
        <v>29483</v>
      </c>
      <c r="C9827" t="str">
        <f>"8306673"</f>
        <v>8306673</v>
      </c>
      <c r="D9827" t="s">
        <v>29484</v>
      </c>
      <c r="E9827" t="s">
        <v>29485</v>
      </c>
      <c r="F9827" t="s">
        <v>29486</v>
      </c>
      <c r="I9827" t="s">
        <v>184</v>
      </c>
      <c r="J9827" t="s">
        <v>30</v>
      </c>
      <c r="K9827" t="str">
        <f>"27006"</f>
        <v>27006</v>
      </c>
      <c r="M9827" t="s">
        <v>17861</v>
      </c>
      <c r="N9827" t="str">
        <f>"8/1/2016 4:33:00 PM"</f>
        <v>8/1/2016 4:33:00 PM</v>
      </c>
      <c r="O9827" t="s">
        <v>29484</v>
      </c>
      <c r="T9827" t="s">
        <v>29485</v>
      </c>
    </row>
    <row r="9828" spans="1:20" x14ac:dyDescent="0.25">
      <c r="A9828" t="str">
        <f>"3040880"</f>
        <v>3040880</v>
      </c>
      <c r="B9828" t="s">
        <v>29487</v>
      </c>
      <c r="C9828" t="str">
        <f>"8306674"</f>
        <v>8306674</v>
      </c>
      <c r="D9828" t="s">
        <v>29488</v>
      </c>
      <c r="F9828" t="s">
        <v>29489</v>
      </c>
      <c r="I9828" t="s">
        <v>184</v>
      </c>
      <c r="J9828" t="s">
        <v>30</v>
      </c>
      <c r="K9828" t="str">
        <f>"27006"</f>
        <v>27006</v>
      </c>
      <c r="M9828" t="s">
        <v>17861</v>
      </c>
      <c r="N9828" t="str">
        <f>"8/1/2016 4:50:00 PM"</f>
        <v>8/1/2016 4:50:00 PM</v>
      </c>
      <c r="O9828" t="s">
        <v>29488</v>
      </c>
    </row>
    <row r="9829" spans="1:20" x14ac:dyDescent="0.25">
      <c r="A9829" t="str">
        <f>"3046720"</f>
        <v>3046720</v>
      </c>
      <c r="B9829" t="s">
        <v>29490</v>
      </c>
      <c r="C9829" t="str">
        <f>"8306675"</f>
        <v>8306675</v>
      </c>
      <c r="D9829" t="s">
        <v>29491</v>
      </c>
      <c r="E9829" t="s">
        <v>29492</v>
      </c>
      <c r="F9829" t="s">
        <v>29493</v>
      </c>
      <c r="I9829" t="s">
        <v>184</v>
      </c>
      <c r="J9829" t="s">
        <v>30</v>
      </c>
      <c r="K9829" t="str">
        <f>"27006"</f>
        <v>27006</v>
      </c>
      <c r="M9829" t="s">
        <v>17861</v>
      </c>
      <c r="N9829" t="str">
        <f>"8/1/2016 4:53:00 PM"</f>
        <v>8/1/2016 4:53:00 PM</v>
      </c>
      <c r="O9829" t="s">
        <v>29491</v>
      </c>
      <c r="T9829" t="s">
        <v>29492</v>
      </c>
    </row>
    <row r="9830" spans="1:20" x14ac:dyDescent="0.25">
      <c r="A9830" t="str">
        <f>"3063055"</f>
        <v>3063055</v>
      </c>
      <c r="B9830" t="s">
        <v>29494</v>
      </c>
      <c r="C9830" t="str">
        <f>"82529597"</f>
        <v>82529597</v>
      </c>
      <c r="D9830" t="s">
        <v>29495</v>
      </c>
      <c r="E9830" t="s">
        <v>29496</v>
      </c>
      <c r="F9830" t="s">
        <v>29497</v>
      </c>
      <c r="I9830" t="s">
        <v>184</v>
      </c>
      <c r="J9830" t="s">
        <v>30</v>
      </c>
      <c r="K9830" t="s">
        <v>185</v>
      </c>
      <c r="M9830" t="s">
        <v>25733</v>
      </c>
      <c r="N9830" t="str">
        <f>"7/11/2016 2:32:00 PM"</f>
        <v>7/11/2016 2:32:00 PM</v>
      </c>
      <c r="O9830" t="s">
        <v>29495</v>
      </c>
      <c r="T9830" t="s">
        <v>29496</v>
      </c>
    </row>
    <row r="9831" spans="1:20" x14ac:dyDescent="0.25">
      <c r="A9831" t="str">
        <f>"3047847"</f>
        <v>3047847</v>
      </c>
      <c r="B9831" t="s">
        <v>29498</v>
      </c>
      <c r="C9831" t="str">
        <f>"82513274"</f>
        <v>82513274</v>
      </c>
      <c r="D9831" t="s">
        <v>29499</v>
      </c>
      <c r="E9831" t="s">
        <v>29500</v>
      </c>
      <c r="F9831" t="s">
        <v>29501</v>
      </c>
      <c r="I9831" t="s">
        <v>184</v>
      </c>
      <c r="J9831" t="s">
        <v>30</v>
      </c>
      <c r="K9831" t="s">
        <v>185</v>
      </c>
      <c r="M9831" t="s">
        <v>25733</v>
      </c>
      <c r="N9831" t="str">
        <f>"8/16/2016 4:34:00 PM"</f>
        <v>8/16/2016 4:34:00 PM</v>
      </c>
      <c r="O9831" t="s">
        <v>29499</v>
      </c>
      <c r="T9831" t="s">
        <v>29500</v>
      </c>
    </row>
    <row r="9832" spans="1:20" x14ac:dyDescent="0.25">
      <c r="A9832" t="str">
        <f>"3052342"</f>
        <v>3052342</v>
      </c>
      <c r="B9832" t="s">
        <v>29502</v>
      </c>
      <c r="C9832" t="str">
        <f>"60331000"</f>
        <v>60331000</v>
      </c>
      <c r="D9832" t="s">
        <v>29503</v>
      </c>
      <c r="K9832" t="s">
        <v>586</v>
      </c>
      <c r="M9832" t="s">
        <v>25625</v>
      </c>
      <c r="N9832" t="str">
        <f>"8/17/2016 8:59:00 AM"</f>
        <v>8/17/2016 8:59:00 AM</v>
      </c>
      <c r="O9832" t="s">
        <v>29503</v>
      </c>
    </row>
    <row r="9833" spans="1:20" x14ac:dyDescent="0.25">
      <c r="A9833" t="str">
        <f>"3046597"</f>
        <v>3046597</v>
      </c>
      <c r="B9833" t="s">
        <v>29504</v>
      </c>
      <c r="C9833" t="str">
        <f>"8306572"</f>
        <v>8306572</v>
      </c>
      <c r="D9833" t="s">
        <v>29505</v>
      </c>
      <c r="E9833" t="s">
        <v>29506</v>
      </c>
      <c r="F9833" t="s">
        <v>29507</v>
      </c>
      <c r="I9833" t="s">
        <v>184</v>
      </c>
      <c r="J9833" t="s">
        <v>30</v>
      </c>
      <c r="K9833" t="str">
        <f>"27006"</f>
        <v>27006</v>
      </c>
      <c r="M9833" t="s">
        <v>17861</v>
      </c>
      <c r="N9833" t="str">
        <f>"7/11/2016 3:03:00 PM"</f>
        <v>7/11/2016 3:03:00 PM</v>
      </c>
      <c r="O9833" t="s">
        <v>29505</v>
      </c>
      <c r="T9833" t="s">
        <v>29506</v>
      </c>
    </row>
    <row r="9834" spans="1:20" x14ac:dyDescent="0.25">
      <c r="A9834" t="str">
        <f>"3056285"</f>
        <v>3056285</v>
      </c>
      <c r="B9834" t="s">
        <v>29508</v>
      </c>
      <c r="C9834" t="str">
        <f>"11180000"</f>
        <v>11180000</v>
      </c>
      <c r="D9834" t="s">
        <v>29509</v>
      </c>
      <c r="F9834" t="s">
        <v>29510</v>
      </c>
      <c r="G9834" t="s">
        <v>29511</v>
      </c>
      <c r="I9834" t="s">
        <v>2525</v>
      </c>
      <c r="J9834" t="s">
        <v>30</v>
      </c>
      <c r="K9834" t="s">
        <v>11938</v>
      </c>
      <c r="M9834" t="s">
        <v>17861</v>
      </c>
      <c r="N9834" t="str">
        <f>"8/18/2016 4:56:00 PM"</f>
        <v>8/18/2016 4:56:00 PM</v>
      </c>
      <c r="O9834" t="s">
        <v>29509</v>
      </c>
    </row>
    <row r="9835" spans="1:20" x14ac:dyDescent="0.25">
      <c r="A9835" t="str">
        <f>"3041451"</f>
        <v>3041451</v>
      </c>
      <c r="B9835" t="s">
        <v>29512</v>
      </c>
      <c r="C9835" t="str">
        <f>"82526834"</f>
        <v>82526834</v>
      </c>
      <c r="D9835" t="s">
        <v>29513</v>
      </c>
      <c r="E9835" t="s">
        <v>23123</v>
      </c>
      <c r="F9835" t="s">
        <v>29514</v>
      </c>
      <c r="I9835" t="s">
        <v>184</v>
      </c>
      <c r="J9835" t="s">
        <v>30</v>
      </c>
      <c r="K9835" t="s">
        <v>2136</v>
      </c>
      <c r="M9835" t="s">
        <v>25625</v>
      </c>
      <c r="N9835" t="str">
        <f>"8/22/2016 10:10:00 AM"</f>
        <v>8/22/2016 10:10:00 AM</v>
      </c>
      <c r="O9835" t="s">
        <v>29513</v>
      </c>
      <c r="T9835" t="s">
        <v>23123</v>
      </c>
    </row>
    <row r="9836" spans="1:20" x14ac:dyDescent="0.25">
      <c r="A9836" t="str">
        <f>"3055098"</f>
        <v>3055098</v>
      </c>
      <c r="B9836" t="s">
        <v>29515</v>
      </c>
      <c r="C9836" t="str">
        <f>"8306736"</f>
        <v>8306736</v>
      </c>
      <c r="D9836" t="s">
        <v>29516</v>
      </c>
      <c r="E9836" t="s">
        <v>29517</v>
      </c>
      <c r="F9836" t="s">
        <v>16791</v>
      </c>
      <c r="I9836" t="s">
        <v>29</v>
      </c>
      <c r="J9836" t="s">
        <v>30</v>
      </c>
      <c r="K9836" t="str">
        <f>"27028"</f>
        <v>27028</v>
      </c>
      <c r="M9836" t="s">
        <v>17861</v>
      </c>
      <c r="N9836" t="str">
        <f>"8/22/2016 10:15:00 AM"</f>
        <v>8/22/2016 10:15:00 AM</v>
      </c>
      <c r="O9836" t="s">
        <v>29516</v>
      </c>
      <c r="T9836" t="s">
        <v>29517</v>
      </c>
    </row>
    <row r="9837" spans="1:20" x14ac:dyDescent="0.25">
      <c r="A9837" t="str">
        <f>"3078577"</f>
        <v>3078577</v>
      </c>
      <c r="B9837" t="s">
        <v>29518</v>
      </c>
      <c r="C9837" t="str">
        <f>"8306736"</f>
        <v>8306736</v>
      </c>
      <c r="D9837" t="s">
        <v>29516</v>
      </c>
      <c r="E9837" t="s">
        <v>29517</v>
      </c>
      <c r="F9837" t="s">
        <v>16791</v>
      </c>
      <c r="I9837" t="s">
        <v>29</v>
      </c>
      <c r="J9837" t="s">
        <v>30</v>
      </c>
      <c r="K9837" t="str">
        <f>"27028"</f>
        <v>27028</v>
      </c>
      <c r="M9837" t="s">
        <v>17861</v>
      </c>
      <c r="N9837" t="str">
        <f>"8/22/2016 10:15:00 AM"</f>
        <v>8/22/2016 10:15:00 AM</v>
      </c>
      <c r="O9837" t="s">
        <v>29516</v>
      </c>
      <c r="T9837" t="s">
        <v>29517</v>
      </c>
    </row>
    <row r="9838" spans="1:20" x14ac:dyDescent="0.25">
      <c r="A9838" t="str">
        <f>"3046548"</f>
        <v>3046548</v>
      </c>
      <c r="B9838" t="s">
        <v>29519</v>
      </c>
      <c r="C9838" t="str">
        <f>"8306572"</f>
        <v>8306572</v>
      </c>
      <c r="D9838" t="s">
        <v>29505</v>
      </c>
      <c r="E9838" t="s">
        <v>29506</v>
      </c>
      <c r="F9838" t="s">
        <v>29507</v>
      </c>
      <c r="I9838" t="s">
        <v>184</v>
      </c>
      <c r="J9838" t="s">
        <v>30</v>
      </c>
      <c r="K9838" t="str">
        <f>"27006"</f>
        <v>27006</v>
      </c>
      <c r="M9838" t="s">
        <v>17861</v>
      </c>
      <c r="N9838" t="str">
        <f>"7/11/2016 3:03:00 PM"</f>
        <v>7/11/2016 3:03:00 PM</v>
      </c>
      <c r="O9838" t="s">
        <v>29505</v>
      </c>
      <c r="T9838" t="s">
        <v>29506</v>
      </c>
    </row>
    <row r="9839" spans="1:20" x14ac:dyDescent="0.25">
      <c r="A9839" t="str">
        <f>"3047184"</f>
        <v>3047184</v>
      </c>
      <c r="B9839" t="s">
        <v>29520</v>
      </c>
      <c r="C9839" t="str">
        <f>"8306572"</f>
        <v>8306572</v>
      </c>
      <c r="D9839" t="s">
        <v>29505</v>
      </c>
      <c r="E9839" t="s">
        <v>29506</v>
      </c>
      <c r="F9839" t="s">
        <v>29507</v>
      </c>
      <c r="I9839" t="s">
        <v>184</v>
      </c>
      <c r="J9839" t="s">
        <v>30</v>
      </c>
      <c r="K9839" t="str">
        <f>"27006"</f>
        <v>27006</v>
      </c>
      <c r="M9839" t="s">
        <v>17861</v>
      </c>
      <c r="N9839" t="str">
        <f>"7/11/2016 3:03:00 PM"</f>
        <v>7/11/2016 3:03:00 PM</v>
      </c>
      <c r="O9839" t="s">
        <v>29505</v>
      </c>
      <c r="T9839" t="s">
        <v>29506</v>
      </c>
    </row>
    <row r="9840" spans="1:20" x14ac:dyDescent="0.25">
      <c r="A9840" t="str">
        <f>"3042207"</f>
        <v>3042207</v>
      </c>
      <c r="B9840" t="s">
        <v>29521</v>
      </c>
      <c r="C9840" t="str">
        <f>"8306698"</f>
        <v>8306698</v>
      </c>
      <c r="D9840" t="s">
        <v>29522</v>
      </c>
      <c r="E9840" t="s">
        <v>29523</v>
      </c>
      <c r="F9840" t="s">
        <v>29524</v>
      </c>
      <c r="I9840" t="s">
        <v>1107</v>
      </c>
      <c r="J9840" t="s">
        <v>30</v>
      </c>
      <c r="K9840" t="str">
        <f>"28625"</f>
        <v>28625</v>
      </c>
      <c r="M9840" t="s">
        <v>17861</v>
      </c>
      <c r="N9840" t="str">
        <f>"8/8/2016 1:17:00 PM"</f>
        <v>8/8/2016 1:17:00 PM</v>
      </c>
      <c r="O9840" t="s">
        <v>29522</v>
      </c>
      <c r="T9840" t="s">
        <v>29523</v>
      </c>
    </row>
    <row r="9841" spans="1:20" x14ac:dyDescent="0.25">
      <c r="A9841" t="str">
        <f>"3057309"</f>
        <v>3057309</v>
      </c>
      <c r="B9841" t="s">
        <v>29525</v>
      </c>
      <c r="C9841" t="str">
        <f>"8306708"</f>
        <v>8306708</v>
      </c>
      <c r="D9841" t="s">
        <v>29526</v>
      </c>
      <c r="F9841" t="s">
        <v>29527</v>
      </c>
      <c r="I9841" t="s">
        <v>29</v>
      </c>
      <c r="J9841" t="s">
        <v>30</v>
      </c>
      <c r="K9841" t="str">
        <f>"27028"</f>
        <v>27028</v>
      </c>
      <c r="M9841" t="s">
        <v>17861</v>
      </c>
      <c r="N9841" t="str">
        <f>"8/10/2016 12:12:00 PM"</f>
        <v>8/10/2016 12:12:00 PM</v>
      </c>
      <c r="O9841" t="s">
        <v>29526</v>
      </c>
    </row>
    <row r="9842" spans="1:20" x14ac:dyDescent="0.25">
      <c r="A9842" t="str">
        <f>"3059153"</f>
        <v>3059153</v>
      </c>
      <c r="B9842" t="s">
        <v>29528</v>
      </c>
      <c r="C9842" t="str">
        <f>"8306708"</f>
        <v>8306708</v>
      </c>
      <c r="D9842" t="s">
        <v>29526</v>
      </c>
      <c r="F9842" t="s">
        <v>29527</v>
      </c>
      <c r="I9842" t="s">
        <v>29</v>
      </c>
      <c r="J9842" t="s">
        <v>30</v>
      </c>
      <c r="K9842" t="str">
        <f>"27028"</f>
        <v>27028</v>
      </c>
      <c r="M9842" t="s">
        <v>17861</v>
      </c>
      <c r="N9842" t="str">
        <f>"8/10/2016 12:12:00 PM"</f>
        <v>8/10/2016 12:12:00 PM</v>
      </c>
      <c r="O9842" t="s">
        <v>29526</v>
      </c>
    </row>
    <row r="9843" spans="1:20" x14ac:dyDescent="0.25">
      <c r="A9843" t="str">
        <f>"3041794"</f>
        <v>3041794</v>
      </c>
      <c r="B9843" t="s">
        <v>29529</v>
      </c>
      <c r="C9843" t="str">
        <f>"8306711"</f>
        <v>8306711</v>
      </c>
      <c r="D9843" t="s">
        <v>29530</v>
      </c>
      <c r="F9843" t="s">
        <v>18339</v>
      </c>
      <c r="I9843" t="s">
        <v>184</v>
      </c>
      <c r="J9843" t="s">
        <v>30</v>
      </c>
      <c r="K9843" t="str">
        <f>"27006"</f>
        <v>27006</v>
      </c>
      <c r="M9843" t="s">
        <v>17861</v>
      </c>
      <c r="N9843" t="str">
        <f>"8/10/2016 12:37:00 PM"</f>
        <v>8/10/2016 12:37:00 PM</v>
      </c>
      <c r="O9843" t="s">
        <v>29530</v>
      </c>
    </row>
    <row r="9844" spans="1:20" x14ac:dyDescent="0.25">
      <c r="A9844" t="str">
        <f>"3044657"</f>
        <v>3044657</v>
      </c>
      <c r="B9844" t="s">
        <v>29531</v>
      </c>
      <c r="C9844" t="str">
        <f>"8306712"</f>
        <v>8306712</v>
      </c>
      <c r="D9844" t="s">
        <v>29532</v>
      </c>
      <c r="F9844" t="s">
        <v>29533</v>
      </c>
      <c r="I9844" t="s">
        <v>184</v>
      </c>
      <c r="J9844" t="s">
        <v>30</v>
      </c>
      <c r="K9844" t="str">
        <f>"27006"</f>
        <v>27006</v>
      </c>
      <c r="M9844" t="s">
        <v>17861</v>
      </c>
      <c r="N9844" t="str">
        <f>"8/10/2016 12:41:00 PM"</f>
        <v>8/10/2016 12:41:00 PM</v>
      </c>
      <c r="O9844" t="s">
        <v>29532</v>
      </c>
    </row>
    <row r="9845" spans="1:20" x14ac:dyDescent="0.25">
      <c r="A9845" t="str">
        <f>"3044718"</f>
        <v>3044718</v>
      </c>
      <c r="B9845" t="s">
        <v>29534</v>
      </c>
      <c r="C9845" t="str">
        <f>"8306715"</f>
        <v>8306715</v>
      </c>
      <c r="D9845" t="s">
        <v>29535</v>
      </c>
      <c r="E9845" t="s">
        <v>29536</v>
      </c>
      <c r="F9845" t="s">
        <v>29537</v>
      </c>
      <c r="I9845" t="s">
        <v>184</v>
      </c>
      <c r="J9845" t="s">
        <v>30</v>
      </c>
      <c r="K9845" t="str">
        <f>"27006"</f>
        <v>27006</v>
      </c>
      <c r="M9845" t="s">
        <v>17861</v>
      </c>
      <c r="N9845" t="str">
        <f>"8/10/2016 4:06:00 PM"</f>
        <v>8/10/2016 4:06:00 PM</v>
      </c>
      <c r="O9845" t="s">
        <v>29535</v>
      </c>
      <c r="T9845" t="s">
        <v>29536</v>
      </c>
    </row>
    <row r="9846" spans="1:20" x14ac:dyDescent="0.25">
      <c r="A9846" t="str">
        <f>"3049031"</f>
        <v>3049031</v>
      </c>
      <c r="B9846" t="s">
        <v>29538</v>
      </c>
      <c r="C9846" t="str">
        <f>"82528681"</f>
        <v>82528681</v>
      </c>
      <c r="D9846" t="s">
        <v>29539</v>
      </c>
      <c r="E9846" t="s">
        <v>29540</v>
      </c>
      <c r="F9846" t="s">
        <v>29541</v>
      </c>
      <c r="G9846" t="s">
        <v>29542</v>
      </c>
      <c r="I9846" t="s">
        <v>29543</v>
      </c>
      <c r="J9846" t="s">
        <v>2738</v>
      </c>
      <c r="K9846" t="s">
        <v>29544</v>
      </c>
      <c r="M9846" t="s">
        <v>25733</v>
      </c>
      <c r="N9846" t="str">
        <f>"8/12/2016 4:08:00 PM"</f>
        <v>8/12/2016 4:08:00 PM</v>
      </c>
      <c r="O9846" t="s">
        <v>29539</v>
      </c>
      <c r="T9846" t="s">
        <v>29540</v>
      </c>
    </row>
    <row r="9847" spans="1:20" x14ac:dyDescent="0.25">
      <c r="A9847" t="str">
        <f>"3049032"</f>
        <v>3049032</v>
      </c>
      <c r="B9847" t="s">
        <v>29545</v>
      </c>
      <c r="C9847" t="str">
        <f>"82528681"</f>
        <v>82528681</v>
      </c>
      <c r="D9847" t="s">
        <v>29539</v>
      </c>
      <c r="E9847" t="s">
        <v>29540</v>
      </c>
      <c r="F9847" t="s">
        <v>29541</v>
      </c>
      <c r="G9847" t="s">
        <v>29542</v>
      </c>
      <c r="I9847" t="s">
        <v>29543</v>
      </c>
      <c r="J9847" t="s">
        <v>2738</v>
      </c>
      <c r="K9847" t="s">
        <v>29544</v>
      </c>
      <c r="M9847" t="s">
        <v>25733</v>
      </c>
      <c r="N9847" t="str">
        <f>"8/12/2016 4:08:00 PM"</f>
        <v>8/12/2016 4:08:00 PM</v>
      </c>
      <c r="O9847" t="s">
        <v>29539</v>
      </c>
      <c r="T9847" t="s">
        <v>29540</v>
      </c>
    </row>
    <row r="9848" spans="1:20" x14ac:dyDescent="0.25">
      <c r="A9848" t="str">
        <f>"3044899"</f>
        <v>3044899</v>
      </c>
      <c r="B9848" t="s">
        <v>29546</v>
      </c>
      <c r="C9848" t="str">
        <f>"8306717"</f>
        <v>8306717</v>
      </c>
      <c r="D9848" t="s">
        <v>29547</v>
      </c>
      <c r="E9848" t="s">
        <v>29548</v>
      </c>
      <c r="F9848" t="s">
        <v>29549</v>
      </c>
      <c r="I9848" t="s">
        <v>184</v>
      </c>
      <c r="J9848" t="s">
        <v>30</v>
      </c>
      <c r="K9848" t="str">
        <f>"27006"</f>
        <v>27006</v>
      </c>
      <c r="M9848" t="s">
        <v>17861</v>
      </c>
      <c r="N9848" t="str">
        <f>"8/15/2016 10:38:00 AM"</f>
        <v>8/15/2016 10:38:00 AM</v>
      </c>
      <c r="O9848" t="s">
        <v>29547</v>
      </c>
      <c r="T9848" t="s">
        <v>29548</v>
      </c>
    </row>
    <row r="9849" spans="1:20" x14ac:dyDescent="0.25">
      <c r="A9849" t="str">
        <f>"3054669"</f>
        <v>3054669</v>
      </c>
      <c r="B9849" t="s">
        <v>29550</v>
      </c>
      <c r="C9849" t="str">
        <f>"8306718"</f>
        <v>8306718</v>
      </c>
      <c r="D9849" t="s">
        <v>29551</v>
      </c>
      <c r="E9849" t="s">
        <v>29552</v>
      </c>
      <c r="F9849" t="s">
        <v>29553</v>
      </c>
      <c r="I9849" t="s">
        <v>29</v>
      </c>
      <c r="J9849" t="s">
        <v>30</v>
      </c>
      <c r="K9849" t="str">
        <f>"27028"</f>
        <v>27028</v>
      </c>
      <c r="M9849" t="s">
        <v>17861</v>
      </c>
      <c r="N9849" t="str">
        <f>"8/15/2016 11:19:00 AM"</f>
        <v>8/15/2016 11:19:00 AM</v>
      </c>
      <c r="O9849" t="s">
        <v>29551</v>
      </c>
      <c r="T9849" t="s">
        <v>29552</v>
      </c>
    </row>
    <row r="9850" spans="1:20" x14ac:dyDescent="0.25">
      <c r="A9850" t="str">
        <f>"3039802"</f>
        <v>3039802</v>
      </c>
      <c r="B9850" t="s">
        <v>29554</v>
      </c>
      <c r="C9850" t="str">
        <f>"70807080"</f>
        <v>70807080</v>
      </c>
      <c r="D9850" t="s">
        <v>29555</v>
      </c>
      <c r="E9850" t="s">
        <v>29556</v>
      </c>
      <c r="F9850" t="s">
        <v>29557</v>
      </c>
      <c r="I9850" t="s">
        <v>29</v>
      </c>
      <c r="J9850" t="s">
        <v>30</v>
      </c>
      <c r="K9850" t="s">
        <v>31</v>
      </c>
      <c r="M9850" t="s">
        <v>25494</v>
      </c>
      <c r="N9850" t="str">
        <f>"8/15/2016 2:27:00 PM"</f>
        <v>8/15/2016 2:27:00 PM</v>
      </c>
      <c r="O9850" t="s">
        <v>29555</v>
      </c>
      <c r="T9850" t="s">
        <v>29556</v>
      </c>
    </row>
    <row r="9851" spans="1:20" x14ac:dyDescent="0.25">
      <c r="A9851" t="str">
        <f>"3049335"</f>
        <v>3049335</v>
      </c>
      <c r="B9851" t="s">
        <v>29558</v>
      </c>
      <c r="C9851" t="str">
        <f>"8306720"</f>
        <v>8306720</v>
      </c>
      <c r="D9851" t="s">
        <v>29559</v>
      </c>
      <c r="E9851" t="s">
        <v>29560</v>
      </c>
      <c r="F9851" t="s">
        <v>29561</v>
      </c>
      <c r="I9851" t="s">
        <v>29</v>
      </c>
      <c r="J9851" t="s">
        <v>30</v>
      </c>
      <c r="K9851" t="str">
        <f>"27028"</f>
        <v>27028</v>
      </c>
      <c r="M9851" t="s">
        <v>17861</v>
      </c>
      <c r="N9851" t="str">
        <f>"8/15/2016 3:26:00 PM"</f>
        <v>8/15/2016 3:26:00 PM</v>
      </c>
      <c r="O9851" t="s">
        <v>29559</v>
      </c>
      <c r="T9851" t="s">
        <v>29560</v>
      </c>
    </row>
    <row r="9852" spans="1:20" x14ac:dyDescent="0.25">
      <c r="A9852" t="str">
        <f>"3076682"</f>
        <v>3076682</v>
      </c>
      <c r="B9852" t="s">
        <v>29562</v>
      </c>
      <c r="C9852" t="str">
        <f>"8306722"</f>
        <v>8306722</v>
      </c>
      <c r="D9852" t="s">
        <v>29563</v>
      </c>
      <c r="E9852" t="s">
        <v>29564</v>
      </c>
      <c r="F9852" t="s">
        <v>29565</v>
      </c>
      <c r="I9852" t="s">
        <v>29</v>
      </c>
      <c r="J9852" t="s">
        <v>30</v>
      </c>
      <c r="K9852" t="str">
        <f>"27028"</f>
        <v>27028</v>
      </c>
      <c r="M9852" t="s">
        <v>17861</v>
      </c>
      <c r="N9852" t="str">
        <f>"8/15/2016 3:52:00 PM"</f>
        <v>8/15/2016 3:52:00 PM</v>
      </c>
      <c r="O9852" t="s">
        <v>29563</v>
      </c>
      <c r="T9852" t="s">
        <v>29564</v>
      </c>
    </row>
    <row r="9853" spans="1:20" x14ac:dyDescent="0.25">
      <c r="A9853" t="str">
        <f>"3041618"</f>
        <v>3041618</v>
      </c>
      <c r="B9853" t="s">
        <v>29566</v>
      </c>
      <c r="C9853" t="str">
        <f>"8306724"</f>
        <v>8306724</v>
      </c>
      <c r="D9853" t="s">
        <v>29567</v>
      </c>
      <c r="E9853" t="s">
        <v>29568</v>
      </c>
      <c r="F9853" t="s">
        <v>29569</v>
      </c>
      <c r="I9853" t="s">
        <v>2071</v>
      </c>
      <c r="J9853" t="s">
        <v>30</v>
      </c>
      <c r="K9853" t="str">
        <f>"27006"</f>
        <v>27006</v>
      </c>
      <c r="M9853" t="s">
        <v>17861</v>
      </c>
      <c r="N9853" t="str">
        <f>"8/15/2016 4:10:00 PM"</f>
        <v>8/15/2016 4:10:00 PM</v>
      </c>
      <c r="O9853" t="s">
        <v>29567</v>
      </c>
      <c r="T9853" t="s">
        <v>29568</v>
      </c>
    </row>
    <row r="9854" spans="1:20" x14ac:dyDescent="0.25">
      <c r="A9854" t="str">
        <f>"3046319"</f>
        <v>3046319</v>
      </c>
      <c r="B9854" t="s">
        <v>29570</v>
      </c>
      <c r="C9854" t="str">
        <f>"8306727"</f>
        <v>8306727</v>
      </c>
      <c r="D9854" t="s">
        <v>29571</v>
      </c>
      <c r="E9854" t="s">
        <v>29572</v>
      </c>
      <c r="F9854" t="s">
        <v>29573</v>
      </c>
      <c r="I9854" t="s">
        <v>29</v>
      </c>
      <c r="J9854" t="s">
        <v>30</v>
      </c>
      <c r="K9854" t="str">
        <f>"27028"</f>
        <v>27028</v>
      </c>
      <c r="M9854" t="s">
        <v>17861</v>
      </c>
      <c r="N9854" t="str">
        <f>"8/16/2016 9:28:00 AM"</f>
        <v>8/16/2016 9:28:00 AM</v>
      </c>
      <c r="O9854" t="s">
        <v>29571</v>
      </c>
      <c r="T9854" t="s">
        <v>29572</v>
      </c>
    </row>
    <row r="9855" spans="1:20" x14ac:dyDescent="0.25">
      <c r="A9855" t="str">
        <f>"3061085"</f>
        <v>3061085</v>
      </c>
      <c r="B9855" t="s">
        <v>29574</v>
      </c>
      <c r="C9855" t="str">
        <f>"8306729"</f>
        <v>8306729</v>
      </c>
      <c r="D9855" t="s">
        <v>29575</v>
      </c>
      <c r="E9855" t="s">
        <v>29576</v>
      </c>
      <c r="F9855" t="s">
        <v>29577</v>
      </c>
      <c r="I9855" t="s">
        <v>184</v>
      </c>
      <c r="J9855" t="s">
        <v>30</v>
      </c>
      <c r="K9855" t="str">
        <f>"27006"</f>
        <v>27006</v>
      </c>
      <c r="M9855" t="s">
        <v>17861</v>
      </c>
      <c r="N9855" t="str">
        <f>"8/16/2016 11:09:00 AM"</f>
        <v>8/16/2016 11:09:00 AM</v>
      </c>
      <c r="O9855" t="s">
        <v>29575</v>
      </c>
      <c r="T9855" t="s">
        <v>29576</v>
      </c>
    </row>
    <row r="9856" spans="1:20" x14ac:dyDescent="0.25">
      <c r="A9856" t="str">
        <f>"3040102"</f>
        <v>3040102</v>
      </c>
      <c r="B9856" t="s">
        <v>29578</v>
      </c>
      <c r="C9856" t="str">
        <f>"8306730"</f>
        <v>8306730</v>
      </c>
      <c r="D9856" t="s">
        <v>29579</v>
      </c>
      <c r="E9856" t="s">
        <v>29580</v>
      </c>
      <c r="F9856" t="s">
        <v>29581</v>
      </c>
      <c r="I9856" t="s">
        <v>29</v>
      </c>
      <c r="J9856" t="s">
        <v>30</v>
      </c>
      <c r="K9856" t="str">
        <f>"27028"</f>
        <v>27028</v>
      </c>
      <c r="M9856" t="s">
        <v>17861</v>
      </c>
      <c r="N9856" t="str">
        <f>"8/16/2016 12:45:00 PM"</f>
        <v>8/16/2016 12:45:00 PM</v>
      </c>
      <c r="O9856" t="s">
        <v>29579</v>
      </c>
      <c r="T9856" t="s">
        <v>29580</v>
      </c>
    </row>
    <row r="9857" spans="1:20" x14ac:dyDescent="0.25">
      <c r="A9857" t="str">
        <f>"3047700"</f>
        <v>3047700</v>
      </c>
      <c r="B9857" t="s">
        <v>29582</v>
      </c>
      <c r="C9857" t="str">
        <f>"82513274"</f>
        <v>82513274</v>
      </c>
      <c r="D9857" t="s">
        <v>29499</v>
      </c>
      <c r="E9857" t="s">
        <v>29500</v>
      </c>
      <c r="F9857" t="s">
        <v>29501</v>
      </c>
      <c r="I9857" t="s">
        <v>184</v>
      </c>
      <c r="J9857" t="s">
        <v>30</v>
      </c>
      <c r="K9857" t="s">
        <v>185</v>
      </c>
      <c r="M9857" t="s">
        <v>25733</v>
      </c>
      <c r="N9857" t="str">
        <f>"8/16/2016 4:34:00 PM"</f>
        <v>8/16/2016 4:34:00 PM</v>
      </c>
      <c r="O9857" t="s">
        <v>29499</v>
      </c>
      <c r="T9857" t="s">
        <v>29500</v>
      </c>
    </row>
    <row r="9858" spans="1:20" x14ac:dyDescent="0.25">
      <c r="A9858" t="str">
        <f>"3047701"</f>
        <v>3047701</v>
      </c>
      <c r="B9858" t="s">
        <v>29583</v>
      </c>
      <c r="C9858" t="str">
        <f>"82513274"</f>
        <v>82513274</v>
      </c>
      <c r="D9858" t="s">
        <v>29499</v>
      </c>
      <c r="E9858" t="s">
        <v>29500</v>
      </c>
      <c r="F9858" t="s">
        <v>29501</v>
      </c>
      <c r="I9858" t="s">
        <v>184</v>
      </c>
      <c r="J9858" t="s">
        <v>30</v>
      </c>
      <c r="K9858" t="s">
        <v>185</v>
      </c>
      <c r="M9858" t="s">
        <v>25733</v>
      </c>
      <c r="N9858" t="str">
        <f>"8/16/2016 4:34:00 PM"</f>
        <v>8/16/2016 4:34:00 PM</v>
      </c>
      <c r="O9858" t="s">
        <v>29499</v>
      </c>
      <c r="T9858" t="s">
        <v>29500</v>
      </c>
    </row>
    <row r="9859" spans="1:20" x14ac:dyDescent="0.25">
      <c r="A9859" t="str">
        <f>"3061779"</f>
        <v>3061779</v>
      </c>
      <c r="B9859" t="s">
        <v>29584</v>
      </c>
      <c r="C9859" t="str">
        <f>"8306696"</f>
        <v>8306696</v>
      </c>
      <c r="D9859" t="s">
        <v>29585</v>
      </c>
      <c r="F9859" t="s">
        <v>29586</v>
      </c>
      <c r="I9859" t="s">
        <v>2071</v>
      </c>
      <c r="J9859" t="s">
        <v>30</v>
      </c>
      <c r="K9859" t="str">
        <f>"27006"</f>
        <v>27006</v>
      </c>
      <c r="M9859" t="s">
        <v>17861</v>
      </c>
      <c r="N9859" t="str">
        <f>"8/8/2016 12:42:00 PM"</f>
        <v>8/8/2016 12:42:00 PM</v>
      </c>
      <c r="O9859" t="s">
        <v>29585</v>
      </c>
    </row>
    <row r="9860" spans="1:20" x14ac:dyDescent="0.25">
      <c r="A9860" t="str">
        <f>"3041219"</f>
        <v>3041219</v>
      </c>
      <c r="B9860" t="s">
        <v>29587</v>
      </c>
      <c r="C9860" t="str">
        <f>"8306757"</f>
        <v>8306757</v>
      </c>
      <c r="D9860" t="s">
        <v>29588</v>
      </c>
      <c r="E9860" t="s">
        <v>29589</v>
      </c>
      <c r="F9860" t="s">
        <v>29590</v>
      </c>
      <c r="I9860" t="s">
        <v>2071</v>
      </c>
      <c r="J9860" t="s">
        <v>30</v>
      </c>
      <c r="K9860" t="str">
        <f>"27006"</f>
        <v>27006</v>
      </c>
      <c r="M9860" t="s">
        <v>17861</v>
      </c>
      <c r="N9860" t="str">
        <f>"8/23/2016 3:51:00 PM"</f>
        <v>8/23/2016 3:51:00 PM</v>
      </c>
      <c r="O9860" t="s">
        <v>29588</v>
      </c>
      <c r="T9860" t="s">
        <v>29589</v>
      </c>
    </row>
    <row r="9861" spans="1:20" x14ac:dyDescent="0.25">
      <c r="A9861" t="str">
        <f>"3043660"</f>
        <v>3043660</v>
      </c>
      <c r="B9861" t="s">
        <v>29591</v>
      </c>
      <c r="C9861" t="str">
        <f>"82516991"</f>
        <v>82516991</v>
      </c>
      <c r="D9861" t="s">
        <v>29592</v>
      </c>
      <c r="E9861" t="s">
        <v>29593</v>
      </c>
      <c r="F9861" t="s">
        <v>29594</v>
      </c>
      <c r="I9861" t="s">
        <v>29</v>
      </c>
      <c r="J9861" t="s">
        <v>30</v>
      </c>
      <c r="K9861" t="s">
        <v>31</v>
      </c>
      <c r="M9861" t="s">
        <v>25494</v>
      </c>
      <c r="N9861" t="str">
        <f>"8/23/2016 4:09:00 PM"</f>
        <v>8/23/2016 4:09:00 PM</v>
      </c>
      <c r="O9861" t="s">
        <v>29592</v>
      </c>
      <c r="T9861" t="s">
        <v>29593</v>
      </c>
    </row>
    <row r="9862" spans="1:20" x14ac:dyDescent="0.25">
      <c r="A9862" t="str">
        <f>"3043429"</f>
        <v>3043429</v>
      </c>
      <c r="B9862" t="s">
        <v>29595</v>
      </c>
      <c r="C9862" t="str">
        <f>"8304578"</f>
        <v>8304578</v>
      </c>
      <c r="D9862" t="s">
        <v>29596</v>
      </c>
      <c r="E9862" t="s">
        <v>29597</v>
      </c>
      <c r="F9862" t="s">
        <v>29598</v>
      </c>
      <c r="I9862" t="s">
        <v>29</v>
      </c>
      <c r="J9862" t="s">
        <v>30</v>
      </c>
      <c r="K9862" t="str">
        <f>"27028"</f>
        <v>27028</v>
      </c>
      <c r="M9862" t="s">
        <v>25625</v>
      </c>
      <c r="N9862" t="str">
        <f>"8/23/2016 4:12:00 PM"</f>
        <v>8/23/2016 4:12:00 PM</v>
      </c>
      <c r="O9862" t="s">
        <v>29596</v>
      </c>
      <c r="T9862" t="s">
        <v>29597</v>
      </c>
    </row>
    <row r="9863" spans="1:20" x14ac:dyDescent="0.25">
      <c r="A9863" t="str">
        <f>"3055085"</f>
        <v>3055085</v>
      </c>
      <c r="B9863" t="s">
        <v>29599</v>
      </c>
      <c r="C9863" t="str">
        <f>"82513066"</f>
        <v>82513066</v>
      </c>
      <c r="D9863" t="s">
        <v>29600</v>
      </c>
      <c r="E9863" t="s">
        <v>29601</v>
      </c>
      <c r="F9863" t="s">
        <v>29602</v>
      </c>
      <c r="I9863" t="s">
        <v>29</v>
      </c>
      <c r="J9863" t="s">
        <v>30</v>
      </c>
      <c r="K9863" t="s">
        <v>29603</v>
      </c>
      <c r="M9863" t="s">
        <v>27053</v>
      </c>
      <c r="N9863" t="str">
        <f>"8/18/2016 11:20:00 AM"</f>
        <v>8/18/2016 11:20:00 AM</v>
      </c>
      <c r="O9863" t="s">
        <v>29600</v>
      </c>
      <c r="T9863" t="s">
        <v>29601</v>
      </c>
    </row>
    <row r="9864" spans="1:20" x14ac:dyDescent="0.25">
      <c r="A9864" t="str">
        <f>"3045297"</f>
        <v>3045297</v>
      </c>
      <c r="B9864" t="s">
        <v>29604</v>
      </c>
      <c r="C9864" t="str">
        <f>"8306697"</f>
        <v>8306697</v>
      </c>
      <c r="D9864" t="s">
        <v>29605</v>
      </c>
      <c r="F9864" t="s">
        <v>29606</v>
      </c>
      <c r="I9864" t="s">
        <v>29</v>
      </c>
      <c r="J9864" t="s">
        <v>30</v>
      </c>
      <c r="K9864" t="str">
        <f>"27028"</f>
        <v>27028</v>
      </c>
      <c r="M9864" t="s">
        <v>17861</v>
      </c>
      <c r="N9864" t="str">
        <f>"8/8/2016 12:53:00 PM"</f>
        <v>8/8/2016 12:53:00 PM</v>
      </c>
      <c r="O9864" t="s">
        <v>29605</v>
      </c>
    </row>
    <row r="9865" spans="1:20" x14ac:dyDescent="0.25">
      <c r="A9865" t="str">
        <f>"3055962"</f>
        <v>3055962</v>
      </c>
      <c r="B9865" t="s">
        <v>29607</v>
      </c>
      <c r="C9865" t="str">
        <f>"8305170"</f>
        <v>8305170</v>
      </c>
      <c r="D9865" t="s">
        <v>29608</v>
      </c>
      <c r="E9865" t="s">
        <v>29609</v>
      </c>
      <c r="G9865" t="s">
        <v>29610</v>
      </c>
      <c r="I9865" t="s">
        <v>9580</v>
      </c>
      <c r="J9865" t="s">
        <v>30</v>
      </c>
      <c r="K9865" t="str">
        <f>"27014"</f>
        <v>27014</v>
      </c>
      <c r="M9865" t="s">
        <v>27053</v>
      </c>
      <c r="N9865" t="str">
        <f>"8/22/2016 12:16:00 PM"</f>
        <v>8/22/2016 12:16:00 PM</v>
      </c>
      <c r="O9865" t="s">
        <v>29608</v>
      </c>
      <c r="T9865" t="s">
        <v>29609</v>
      </c>
    </row>
    <row r="9866" spans="1:20" x14ac:dyDescent="0.25">
      <c r="A9866" t="str">
        <f>"3053512"</f>
        <v>3053512</v>
      </c>
      <c r="B9866" t="s">
        <v>29611</v>
      </c>
      <c r="C9866" t="str">
        <f>"8306737"</f>
        <v>8306737</v>
      </c>
      <c r="D9866" t="s">
        <v>29612</v>
      </c>
      <c r="F9866" t="s">
        <v>29613</v>
      </c>
      <c r="I9866" t="s">
        <v>29</v>
      </c>
      <c r="J9866" t="s">
        <v>30</v>
      </c>
      <c r="K9866" t="str">
        <f>"27028"</f>
        <v>27028</v>
      </c>
      <c r="M9866" t="s">
        <v>17861</v>
      </c>
      <c r="N9866" t="str">
        <f>"8/22/2016 1:11:00 PM"</f>
        <v>8/22/2016 1:11:00 PM</v>
      </c>
      <c r="O9866" t="s">
        <v>29612</v>
      </c>
    </row>
    <row r="9867" spans="1:20" x14ac:dyDescent="0.25">
      <c r="A9867" t="str">
        <f>"3057575"</f>
        <v>3057575</v>
      </c>
      <c r="B9867" t="s">
        <v>29614</v>
      </c>
      <c r="C9867" t="str">
        <f>"8306738"</f>
        <v>8306738</v>
      </c>
      <c r="D9867" t="s">
        <v>29615</v>
      </c>
      <c r="E9867" t="s">
        <v>29616</v>
      </c>
      <c r="F9867" t="s">
        <v>29617</v>
      </c>
      <c r="I9867" t="s">
        <v>29</v>
      </c>
      <c r="J9867" t="s">
        <v>30</v>
      </c>
      <c r="K9867" t="str">
        <f>"27028"</f>
        <v>27028</v>
      </c>
      <c r="M9867" t="s">
        <v>17861</v>
      </c>
      <c r="N9867" t="str">
        <f>"8/22/2016 3:48:00 PM"</f>
        <v>8/22/2016 3:48:00 PM</v>
      </c>
      <c r="O9867" t="s">
        <v>29615</v>
      </c>
      <c r="T9867" t="s">
        <v>29616</v>
      </c>
    </row>
    <row r="9868" spans="1:20" x14ac:dyDescent="0.25">
      <c r="A9868" t="str">
        <f>"3075914"</f>
        <v>3075914</v>
      </c>
      <c r="B9868" t="s">
        <v>29618</v>
      </c>
      <c r="C9868" t="str">
        <f>"82524411"</f>
        <v>82524411</v>
      </c>
      <c r="D9868" t="s">
        <v>29619</v>
      </c>
      <c r="F9868" t="s">
        <v>29620</v>
      </c>
      <c r="I9868" t="s">
        <v>22335</v>
      </c>
      <c r="J9868" t="s">
        <v>30</v>
      </c>
      <c r="K9868" t="s">
        <v>10584</v>
      </c>
      <c r="M9868" t="s">
        <v>24254</v>
      </c>
      <c r="N9868" t="str">
        <f>"8/24/2016 10:21:00 AM"</f>
        <v>8/24/2016 10:21:00 AM</v>
      </c>
      <c r="O9868" t="s">
        <v>29619</v>
      </c>
    </row>
    <row r="9869" spans="1:20" x14ac:dyDescent="0.25">
      <c r="A9869" t="str">
        <f>"3052016"</f>
        <v>3052016</v>
      </c>
      <c r="B9869" t="s">
        <v>29621</v>
      </c>
      <c r="C9869" t="str">
        <f>"82531360"</f>
        <v>82531360</v>
      </c>
      <c r="D9869" t="s">
        <v>29622</v>
      </c>
      <c r="E9869" t="s">
        <v>29623</v>
      </c>
      <c r="F9869" t="s">
        <v>29624</v>
      </c>
      <c r="I9869" t="s">
        <v>29</v>
      </c>
      <c r="J9869" t="s">
        <v>30</v>
      </c>
      <c r="K9869" t="s">
        <v>31</v>
      </c>
      <c r="M9869" t="s">
        <v>25494</v>
      </c>
      <c r="N9869" t="str">
        <f>"8/23/2016 8:17:00 AM"</f>
        <v>8/23/2016 8:17:00 AM</v>
      </c>
      <c r="O9869" t="s">
        <v>29622</v>
      </c>
      <c r="T9869" t="s">
        <v>29623</v>
      </c>
    </row>
    <row r="9870" spans="1:20" x14ac:dyDescent="0.25">
      <c r="A9870" t="str">
        <f>"3067915"</f>
        <v>3067915</v>
      </c>
      <c r="B9870" t="s">
        <v>29625</v>
      </c>
      <c r="C9870" t="str">
        <f>"14028000"</f>
        <v>14028000</v>
      </c>
      <c r="D9870" t="s">
        <v>29626</v>
      </c>
      <c r="F9870" t="s">
        <v>29627</v>
      </c>
      <c r="I9870" t="s">
        <v>964</v>
      </c>
      <c r="J9870" t="s">
        <v>30</v>
      </c>
      <c r="K9870" t="s">
        <v>965</v>
      </c>
      <c r="M9870" t="s">
        <v>25625</v>
      </c>
      <c r="N9870" t="str">
        <f>"8/24/2016 3:24:00 PM"</f>
        <v>8/24/2016 3:24:00 PM</v>
      </c>
      <c r="O9870" t="s">
        <v>29626</v>
      </c>
    </row>
    <row r="9871" spans="1:20" x14ac:dyDescent="0.25">
      <c r="A9871" t="str">
        <f>"3048282"</f>
        <v>3048282</v>
      </c>
      <c r="B9871" t="s">
        <v>29628</v>
      </c>
      <c r="C9871" t="str">
        <f>"8304691"</f>
        <v>8304691</v>
      </c>
      <c r="D9871" t="s">
        <v>29629</v>
      </c>
      <c r="E9871" t="s">
        <v>29630</v>
      </c>
      <c r="F9871" t="s">
        <v>29631</v>
      </c>
      <c r="I9871" t="s">
        <v>29</v>
      </c>
      <c r="J9871" t="s">
        <v>30</v>
      </c>
      <c r="K9871" t="str">
        <f>"27028"</f>
        <v>27028</v>
      </c>
      <c r="M9871" t="s">
        <v>25625</v>
      </c>
      <c r="N9871" t="str">
        <f>"8/24/2016 3:29:00 PM"</f>
        <v>8/24/2016 3:29:00 PM</v>
      </c>
      <c r="O9871" t="s">
        <v>29629</v>
      </c>
      <c r="T9871" t="s">
        <v>29630</v>
      </c>
    </row>
    <row r="9872" spans="1:20" x14ac:dyDescent="0.25">
      <c r="A9872" t="str">
        <f>"3048986"</f>
        <v>3048986</v>
      </c>
      <c r="B9872" t="s">
        <v>29632</v>
      </c>
      <c r="C9872" t="str">
        <f>"82531360"</f>
        <v>82531360</v>
      </c>
      <c r="D9872" t="s">
        <v>29622</v>
      </c>
      <c r="E9872" t="s">
        <v>29623</v>
      </c>
      <c r="F9872" t="s">
        <v>29624</v>
      </c>
      <c r="I9872" t="s">
        <v>29</v>
      </c>
      <c r="J9872" t="s">
        <v>30</v>
      </c>
      <c r="K9872" t="s">
        <v>31</v>
      </c>
      <c r="M9872" t="s">
        <v>25494</v>
      </c>
      <c r="N9872" t="str">
        <f>"8/23/2016 8:17:00 AM"</f>
        <v>8/23/2016 8:17:00 AM</v>
      </c>
      <c r="O9872" t="s">
        <v>29622</v>
      </c>
      <c r="T9872" t="s">
        <v>29623</v>
      </c>
    </row>
    <row r="9873" spans="1:20" x14ac:dyDescent="0.25">
      <c r="A9873" t="str">
        <f>"3049856"</f>
        <v>3049856</v>
      </c>
      <c r="B9873" t="s">
        <v>29633</v>
      </c>
      <c r="C9873" t="str">
        <f>"82531568"</f>
        <v>82531568</v>
      </c>
      <c r="D9873" t="s">
        <v>29634</v>
      </c>
      <c r="E9873" t="s">
        <v>29635</v>
      </c>
      <c r="F9873" t="s">
        <v>29636</v>
      </c>
      <c r="I9873" t="s">
        <v>29</v>
      </c>
      <c r="J9873" t="s">
        <v>30</v>
      </c>
      <c r="K9873" t="s">
        <v>31</v>
      </c>
      <c r="M9873" t="s">
        <v>25494</v>
      </c>
      <c r="N9873" t="str">
        <f>"8/23/2016 8:18:00 AM"</f>
        <v>8/23/2016 8:18:00 AM</v>
      </c>
      <c r="O9873" t="s">
        <v>29634</v>
      </c>
      <c r="T9873" t="s">
        <v>29635</v>
      </c>
    </row>
    <row r="9874" spans="1:20" x14ac:dyDescent="0.25">
      <c r="A9874" t="str">
        <f>"3082780"</f>
        <v>3082780</v>
      </c>
      <c r="B9874" t="s">
        <v>29637</v>
      </c>
      <c r="C9874" t="str">
        <f>"82522108"</f>
        <v>82522108</v>
      </c>
      <c r="D9874" t="s">
        <v>29638</v>
      </c>
      <c r="E9874" t="s">
        <v>29639</v>
      </c>
      <c r="F9874" t="s">
        <v>29640</v>
      </c>
      <c r="I9874" t="s">
        <v>29</v>
      </c>
      <c r="J9874" t="s">
        <v>30</v>
      </c>
      <c r="K9874" t="s">
        <v>31</v>
      </c>
      <c r="M9874" t="s">
        <v>18479</v>
      </c>
      <c r="N9874" t="str">
        <f>"8/24/2016 3:57:00 PM"</f>
        <v>8/24/2016 3:57:00 PM</v>
      </c>
      <c r="O9874" t="s">
        <v>29638</v>
      </c>
      <c r="T9874" t="s">
        <v>29639</v>
      </c>
    </row>
    <row r="9875" spans="1:20" x14ac:dyDescent="0.25">
      <c r="A9875" t="str">
        <f>"3037831"</f>
        <v>3037831</v>
      </c>
      <c r="B9875" t="s">
        <v>29641</v>
      </c>
      <c r="C9875" t="str">
        <f>"82522108"</f>
        <v>82522108</v>
      </c>
      <c r="D9875" t="s">
        <v>29638</v>
      </c>
      <c r="E9875" t="s">
        <v>29639</v>
      </c>
      <c r="F9875" t="s">
        <v>29640</v>
      </c>
      <c r="I9875" t="s">
        <v>29</v>
      </c>
      <c r="J9875" t="s">
        <v>30</v>
      </c>
      <c r="K9875" t="s">
        <v>31</v>
      </c>
      <c r="M9875" t="s">
        <v>18479</v>
      </c>
      <c r="N9875" t="str">
        <f>"8/24/2016 3:57:00 PM"</f>
        <v>8/24/2016 3:57:00 PM</v>
      </c>
      <c r="O9875" t="s">
        <v>29638</v>
      </c>
      <c r="T9875" t="s">
        <v>29639</v>
      </c>
    </row>
    <row r="9876" spans="1:20" x14ac:dyDescent="0.25">
      <c r="A9876" t="str">
        <f>"3067861"</f>
        <v>3067861</v>
      </c>
      <c r="B9876" t="s">
        <v>29642</v>
      </c>
      <c r="C9876" t="str">
        <f>"82522819"</f>
        <v>82522819</v>
      </c>
      <c r="D9876" t="s">
        <v>29643</v>
      </c>
      <c r="E9876" t="s">
        <v>29644</v>
      </c>
      <c r="F9876" t="s">
        <v>29645</v>
      </c>
      <c r="I9876" t="s">
        <v>29</v>
      </c>
      <c r="J9876" t="s">
        <v>30</v>
      </c>
      <c r="K9876" t="str">
        <f>"27028"</f>
        <v>27028</v>
      </c>
      <c r="M9876" t="s">
        <v>25733</v>
      </c>
      <c r="N9876" t="str">
        <f>"8/25/2016 8:07:00 AM"</f>
        <v>8/25/2016 8:07:00 AM</v>
      </c>
      <c r="O9876" t="s">
        <v>29643</v>
      </c>
      <c r="T9876" t="s">
        <v>29644</v>
      </c>
    </row>
    <row r="9877" spans="1:20" x14ac:dyDescent="0.25">
      <c r="A9877" t="str">
        <f>"3048841"</f>
        <v>3048841</v>
      </c>
      <c r="B9877" t="s">
        <v>29646</v>
      </c>
      <c r="C9877" t="str">
        <f>"8300911"</f>
        <v>8300911</v>
      </c>
      <c r="D9877" t="s">
        <v>26906</v>
      </c>
      <c r="E9877" t="s">
        <v>26907</v>
      </c>
      <c r="F9877" t="s">
        <v>26908</v>
      </c>
      <c r="I9877" t="s">
        <v>1176</v>
      </c>
      <c r="J9877" t="s">
        <v>30</v>
      </c>
      <c r="K9877" t="str">
        <f>"27054"</f>
        <v>27054</v>
      </c>
      <c r="M9877" t="s">
        <v>25494</v>
      </c>
      <c r="N9877" t="str">
        <f>"8/25/2016 8:37:00 AM"</f>
        <v>8/25/2016 8:37:00 AM</v>
      </c>
      <c r="O9877" t="s">
        <v>26906</v>
      </c>
      <c r="T9877" t="s">
        <v>26907</v>
      </c>
    </row>
    <row r="9878" spans="1:20" x14ac:dyDescent="0.25">
      <c r="A9878" t="str">
        <f>"3078278"</f>
        <v>3078278</v>
      </c>
      <c r="B9878" t="s">
        <v>29647</v>
      </c>
      <c r="C9878" t="str">
        <f>"8306742"</f>
        <v>8306742</v>
      </c>
      <c r="D9878" t="s">
        <v>29648</v>
      </c>
      <c r="F9878" t="s">
        <v>29649</v>
      </c>
      <c r="I9878" t="s">
        <v>29</v>
      </c>
      <c r="J9878" t="s">
        <v>30</v>
      </c>
      <c r="K9878" t="str">
        <f>"27028"</f>
        <v>27028</v>
      </c>
      <c r="M9878" t="s">
        <v>17861</v>
      </c>
      <c r="N9878" t="str">
        <f>"8/23/2016 9:49:00 AM"</f>
        <v>8/23/2016 9:49:00 AM</v>
      </c>
      <c r="O9878" t="s">
        <v>29648</v>
      </c>
    </row>
    <row r="9879" spans="1:20" x14ac:dyDescent="0.25">
      <c r="A9879" t="str">
        <f>"3048367"</f>
        <v>3048367</v>
      </c>
      <c r="B9879" t="s">
        <v>29650</v>
      </c>
      <c r="C9879" t="str">
        <f>"8306743"</f>
        <v>8306743</v>
      </c>
      <c r="D9879" t="s">
        <v>29651</v>
      </c>
      <c r="E9879" t="s">
        <v>29652</v>
      </c>
      <c r="F9879" t="s">
        <v>29653</v>
      </c>
      <c r="G9879" t="s">
        <v>24213</v>
      </c>
      <c r="I9879" t="s">
        <v>29</v>
      </c>
      <c r="J9879" t="s">
        <v>30</v>
      </c>
      <c r="K9879" t="str">
        <f>"27028"</f>
        <v>27028</v>
      </c>
      <c r="M9879" t="s">
        <v>17861</v>
      </c>
      <c r="N9879" t="str">
        <f>"8/23/2016 10:13:00 AM"</f>
        <v>8/23/2016 10:13:00 AM</v>
      </c>
      <c r="O9879" t="s">
        <v>29651</v>
      </c>
      <c r="T9879" t="s">
        <v>29652</v>
      </c>
    </row>
    <row r="9880" spans="1:20" x14ac:dyDescent="0.25">
      <c r="A9880" t="str">
        <f>"3037429"</f>
        <v>3037429</v>
      </c>
      <c r="B9880" t="s">
        <v>29654</v>
      </c>
      <c r="C9880" t="str">
        <f>"8306761"</f>
        <v>8306761</v>
      </c>
      <c r="D9880" t="s">
        <v>29655</v>
      </c>
      <c r="F9880" t="s">
        <v>29656</v>
      </c>
      <c r="I9880" t="s">
        <v>29</v>
      </c>
      <c r="J9880" t="s">
        <v>30</v>
      </c>
      <c r="K9880" t="str">
        <f>"27028"</f>
        <v>27028</v>
      </c>
      <c r="M9880" t="s">
        <v>17861</v>
      </c>
      <c r="N9880" t="str">
        <f>"8/26/2016 9:10:00 AM"</f>
        <v>8/26/2016 9:10:00 AM</v>
      </c>
      <c r="O9880" t="s">
        <v>29655</v>
      </c>
    </row>
    <row r="9881" spans="1:20" x14ac:dyDescent="0.25">
      <c r="A9881" t="str">
        <f>"3037736"</f>
        <v>3037736</v>
      </c>
      <c r="B9881" t="s">
        <v>29657</v>
      </c>
      <c r="C9881" t="str">
        <f>"8306761"</f>
        <v>8306761</v>
      </c>
      <c r="D9881" t="s">
        <v>29655</v>
      </c>
      <c r="F9881" t="s">
        <v>29656</v>
      </c>
      <c r="I9881" t="s">
        <v>29</v>
      </c>
      <c r="J9881" t="s">
        <v>30</v>
      </c>
      <c r="K9881" t="str">
        <f>"27028"</f>
        <v>27028</v>
      </c>
      <c r="M9881" t="s">
        <v>17861</v>
      </c>
      <c r="N9881" t="str">
        <f>"8/26/2016 9:10:00 AM"</f>
        <v>8/26/2016 9:10:00 AM</v>
      </c>
      <c r="O9881" t="s">
        <v>29655</v>
      </c>
    </row>
    <row r="9882" spans="1:20" x14ac:dyDescent="0.25">
      <c r="A9882" t="str">
        <f>"3037715"</f>
        <v>3037715</v>
      </c>
      <c r="B9882" t="s">
        <v>29658</v>
      </c>
      <c r="C9882" t="str">
        <f>"8306761"</f>
        <v>8306761</v>
      </c>
      <c r="D9882" t="s">
        <v>29655</v>
      </c>
      <c r="F9882" t="s">
        <v>29656</v>
      </c>
      <c r="I9882" t="s">
        <v>29</v>
      </c>
      <c r="J9882" t="s">
        <v>30</v>
      </c>
      <c r="K9882" t="str">
        <f>"27028"</f>
        <v>27028</v>
      </c>
      <c r="M9882" t="s">
        <v>17861</v>
      </c>
      <c r="N9882" t="str">
        <f>"8/26/2016 9:10:00 AM"</f>
        <v>8/26/2016 9:10:00 AM</v>
      </c>
      <c r="O9882" t="s">
        <v>29655</v>
      </c>
    </row>
    <row r="9883" spans="1:20" x14ac:dyDescent="0.25">
      <c r="A9883" t="str">
        <f>"3054922"</f>
        <v>3054922</v>
      </c>
      <c r="B9883" t="s">
        <v>29659</v>
      </c>
      <c r="C9883" t="str">
        <f>"82520113"</f>
        <v>82520113</v>
      </c>
      <c r="D9883" t="s">
        <v>29660</v>
      </c>
      <c r="E9883" t="s">
        <v>29661</v>
      </c>
      <c r="F9883" t="s">
        <v>29662</v>
      </c>
      <c r="I9883" t="s">
        <v>29</v>
      </c>
      <c r="J9883" t="s">
        <v>30</v>
      </c>
      <c r="K9883" t="s">
        <v>29663</v>
      </c>
      <c r="M9883" t="s">
        <v>27053</v>
      </c>
      <c r="N9883" t="str">
        <f>"8/26/2016 9:24:00 AM"</f>
        <v>8/26/2016 9:24:00 AM</v>
      </c>
      <c r="O9883" t="s">
        <v>29660</v>
      </c>
      <c r="T9883" t="s">
        <v>29661</v>
      </c>
    </row>
    <row r="9884" spans="1:20" x14ac:dyDescent="0.25">
      <c r="A9884" t="str">
        <f>"3055650"</f>
        <v>3055650</v>
      </c>
      <c r="B9884" t="s">
        <v>29664</v>
      </c>
      <c r="C9884" t="str">
        <f>"82520113"</f>
        <v>82520113</v>
      </c>
      <c r="D9884" t="s">
        <v>29660</v>
      </c>
      <c r="E9884" t="s">
        <v>29661</v>
      </c>
      <c r="F9884" t="s">
        <v>29662</v>
      </c>
      <c r="I9884" t="s">
        <v>29</v>
      </c>
      <c r="J9884" t="s">
        <v>30</v>
      </c>
      <c r="K9884" t="s">
        <v>29663</v>
      </c>
      <c r="M9884" t="s">
        <v>27053</v>
      </c>
      <c r="N9884" t="str">
        <f>"8/26/2016 9:24:00 AM"</f>
        <v>8/26/2016 9:24:00 AM</v>
      </c>
      <c r="O9884" t="s">
        <v>29660</v>
      </c>
      <c r="T9884" t="s">
        <v>29661</v>
      </c>
    </row>
    <row r="9885" spans="1:20" x14ac:dyDescent="0.25">
      <c r="A9885" t="str">
        <f>"3078415"</f>
        <v>3078415</v>
      </c>
      <c r="B9885" t="s">
        <v>29665</v>
      </c>
      <c r="C9885" t="str">
        <f>"82520113"</f>
        <v>82520113</v>
      </c>
      <c r="D9885" t="s">
        <v>29660</v>
      </c>
      <c r="E9885" t="s">
        <v>29661</v>
      </c>
      <c r="F9885" t="s">
        <v>29662</v>
      </c>
      <c r="I9885" t="s">
        <v>29</v>
      </c>
      <c r="J9885" t="s">
        <v>30</v>
      </c>
      <c r="K9885" t="s">
        <v>29663</v>
      </c>
      <c r="M9885" t="s">
        <v>27053</v>
      </c>
      <c r="N9885" t="str">
        <f>"8/26/2016 9:24:00 AM"</f>
        <v>8/26/2016 9:24:00 AM</v>
      </c>
      <c r="O9885" t="s">
        <v>29660</v>
      </c>
      <c r="T9885" t="s">
        <v>29661</v>
      </c>
    </row>
    <row r="9886" spans="1:20" x14ac:dyDescent="0.25">
      <c r="A9886" t="str">
        <f>"3078416"</f>
        <v>3078416</v>
      </c>
      <c r="B9886" t="s">
        <v>29666</v>
      </c>
      <c r="C9886" t="str">
        <f>"8305824"</f>
        <v>8305824</v>
      </c>
      <c r="D9886" t="s">
        <v>29667</v>
      </c>
      <c r="E9886" t="s">
        <v>29668</v>
      </c>
      <c r="F9886" t="s">
        <v>29662</v>
      </c>
      <c r="I9886" t="s">
        <v>29</v>
      </c>
      <c r="J9886" t="s">
        <v>30</v>
      </c>
      <c r="K9886" t="str">
        <f>"27028"</f>
        <v>27028</v>
      </c>
      <c r="M9886" t="s">
        <v>27053</v>
      </c>
      <c r="N9886" t="str">
        <f>"8/26/2016 9:25:00 AM"</f>
        <v>8/26/2016 9:25:00 AM</v>
      </c>
      <c r="O9886" t="s">
        <v>29667</v>
      </c>
      <c r="T9886" t="s">
        <v>29668</v>
      </c>
    </row>
    <row r="9887" spans="1:20" x14ac:dyDescent="0.25">
      <c r="A9887" t="str">
        <f>"3063865"</f>
        <v>3063865</v>
      </c>
      <c r="B9887" t="s">
        <v>29669</v>
      </c>
      <c r="C9887" t="str">
        <f>"20579000"</f>
        <v>20579000</v>
      </c>
      <c r="D9887" t="s">
        <v>29670</v>
      </c>
      <c r="E9887" t="s">
        <v>29671</v>
      </c>
      <c r="F9887" t="s">
        <v>29672</v>
      </c>
      <c r="I9887" t="s">
        <v>29</v>
      </c>
      <c r="J9887" t="s">
        <v>30</v>
      </c>
      <c r="K9887" t="s">
        <v>31</v>
      </c>
      <c r="M9887" t="s">
        <v>25625</v>
      </c>
      <c r="N9887" t="str">
        <f>"8/26/2016 11:24:00 AM"</f>
        <v>8/26/2016 11:24:00 AM</v>
      </c>
      <c r="O9887" t="s">
        <v>29670</v>
      </c>
      <c r="T9887" t="s">
        <v>29671</v>
      </c>
    </row>
    <row r="9888" spans="1:20" x14ac:dyDescent="0.25">
      <c r="A9888" t="str">
        <f>"3055979"</f>
        <v>3055979</v>
      </c>
      <c r="B9888" t="s">
        <v>29673</v>
      </c>
      <c r="C9888" t="str">
        <f>"52324000"</f>
        <v>52324000</v>
      </c>
      <c r="D9888" t="s">
        <v>29674</v>
      </c>
      <c r="F9888" t="s">
        <v>11872</v>
      </c>
      <c r="I9888" t="s">
        <v>29</v>
      </c>
      <c r="J9888" t="s">
        <v>30</v>
      </c>
      <c r="K9888" t="s">
        <v>31</v>
      </c>
      <c r="M9888" t="s">
        <v>25625</v>
      </c>
      <c r="N9888" t="str">
        <f>"8/23/2016 10:13:00 AM"</f>
        <v>8/23/2016 10:13:00 AM</v>
      </c>
      <c r="O9888" t="s">
        <v>29674</v>
      </c>
    </row>
    <row r="9889" spans="1:20" x14ac:dyDescent="0.25">
      <c r="A9889" t="str">
        <f>"3080156"</f>
        <v>3080156</v>
      </c>
      <c r="B9889" t="s">
        <v>29675</v>
      </c>
      <c r="C9889" t="str">
        <f>"8306745"</f>
        <v>8306745</v>
      </c>
      <c r="D9889" t="s">
        <v>29676</v>
      </c>
      <c r="E9889" t="s">
        <v>29677</v>
      </c>
      <c r="F9889" t="s">
        <v>29678</v>
      </c>
      <c r="I9889" t="s">
        <v>1149</v>
      </c>
      <c r="J9889" t="s">
        <v>30</v>
      </c>
      <c r="K9889" t="str">
        <f>"28634"</f>
        <v>28634</v>
      </c>
      <c r="M9889" t="s">
        <v>17861</v>
      </c>
      <c r="N9889" t="str">
        <f>"8/23/2016 11:02:00 AM"</f>
        <v>8/23/2016 11:02:00 AM</v>
      </c>
      <c r="O9889" t="s">
        <v>29676</v>
      </c>
      <c r="T9889" t="s">
        <v>29677</v>
      </c>
    </row>
    <row r="9890" spans="1:20" x14ac:dyDescent="0.25">
      <c r="A9890" t="str">
        <f>"3056305"</f>
        <v>3056305</v>
      </c>
      <c r="B9890" t="s">
        <v>29679</v>
      </c>
      <c r="C9890" t="str">
        <f>"54644000"</f>
        <v>54644000</v>
      </c>
      <c r="D9890" t="s">
        <v>29680</v>
      </c>
      <c r="E9890" t="s">
        <v>29681</v>
      </c>
      <c r="F9890" t="s">
        <v>29682</v>
      </c>
      <c r="I9890" t="s">
        <v>29</v>
      </c>
      <c r="J9890" t="s">
        <v>30</v>
      </c>
      <c r="K9890" t="str">
        <f>"27028"</f>
        <v>27028</v>
      </c>
      <c r="M9890" t="s">
        <v>18479</v>
      </c>
      <c r="N9890" t="str">
        <f>"8/26/2016 2:08:00 PM"</f>
        <v>8/26/2016 2:08:00 PM</v>
      </c>
      <c r="O9890" t="s">
        <v>29680</v>
      </c>
      <c r="T9890" t="s">
        <v>29681</v>
      </c>
    </row>
    <row r="9891" spans="1:20" x14ac:dyDescent="0.25">
      <c r="A9891" t="str">
        <f>"3056522"</f>
        <v>3056522</v>
      </c>
      <c r="B9891" t="s">
        <v>29683</v>
      </c>
      <c r="C9891" t="str">
        <f>"54644000"</f>
        <v>54644000</v>
      </c>
      <c r="D9891" t="s">
        <v>29680</v>
      </c>
      <c r="E9891" t="s">
        <v>29681</v>
      </c>
      <c r="F9891" t="s">
        <v>29682</v>
      </c>
      <c r="I9891" t="s">
        <v>29</v>
      </c>
      <c r="J9891" t="s">
        <v>30</v>
      </c>
      <c r="K9891" t="str">
        <f>"27028"</f>
        <v>27028</v>
      </c>
      <c r="M9891" t="s">
        <v>18479</v>
      </c>
      <c r="N9891" t="str">
        <f>"8/26/2016 2:08:00 PM"</f>
        <v>8/26/2016 2:08:00 PM</v>
      </c>
      <c r="O9891" t="s">
        <v>29680</v>
      </c>
      <c r="T9891" t="s">
        <v>29681</v>
      </c>
    </row>
    <row r="9892" spans="1:20" x14ac:dyDescent="0.25">
      <c r="A9892" t="str">
        <f>"3052710"</f>
        <v>3052710</v>
      </c>
      <c r="B9892" t="s">
        <v>29684</v>
      </c>
      <c r="C9892" t="str">
        <f>"82528458"</f>
        <v>82528458</v>
      </c>
      <c r="D9892" t="s">
        <v>29685</v>
      </c>
      <c r="F9892" t="s">
        <v>29686</v>
      </c>
      <c r="I9892" t="s">
        <v>29</v>
      </c>
      <c r="J9892" t="s">
        <v>30</v>
      </c>
      <c r="K9892" t="s">
        <v>31</v>
      </c>
      <c r="M9892" t="s">
        <v>18479</v>
      </c>
      <c r="N9892" t="str">
        <f>"8/26/2016 2:09:00 PM"</f>
        <v>8/26/2016 2:09:00 PM</v>
      </c>
      <c r="O9892" t="s">
        <v>29685</v>
      </c>
    </row>
    <row r="9893" spans="1:20" x14ac:dyDescent="0.25">
      <c r="A9893" t="str">
        <f>"3059341"</f>
        <v>3059341</v>
      </c>
      <c r="B9893" t="s">
        <v>29687</v>
      </c>
      <c r="C9893" t="str">
        <f>"8302512"</f>
        <v>8302512</v>
      </c>
      <c r="D9893" t="s">
        <v>11485</v>
      </c>
      <c r="E9893" t="s">
        <v>29688</v>
      </c>
      <c r="F9893" t="s">
        <v>11486</v>
      </c>
      <c r="I9893" t="s">
        <v>29</v>
      </c>
      <c r="J9893" t="s">
        <v>30</v>
      </c>
      <c r="K9893" t="str">
        <f>"27028"</f>
        <v>27028</v>
      </c>
      <c r="M9893" t="s">
        <v>25494</v>
      </c>
      <c r="N9893" t="str">
        <f>"8/29/2016 8:41:00 AM"</f>
        <v>8/29/2016 8:41:00 AM</v>
      </c>
      <c r="O9893" t="s">
        <v>11485</v>
      </c>
      <c r="T9893" t="s">
        <v>29688</v>
      </c>
    </row>
    <row r="9894" spans="1:20" x14ac:dyDescent="0.25">
      <c r="A9894" t="str">
        <f>"3057086"</f>
        <v>3057086</v>
      </c>
      <c r="B9894" t="s">
        <v>29689</v>
      </c>
      <c r="C9894" t="str">
        <f>"46476500"</f>
        <v>46476500</v>
      </c>
      <c r="D9894" t="s">
        <v>29690</v>
      </c>
      <c r="E9894" t="s">
        <v>29691</v>
      </c>
      <c r="F9894" t="s">
        <v>29692</v>
      </c>
      <c r="I9894" t="s">
        <v>184</v>
      </c>
      <c r="J9894" t="s">
        <v>30</v>
      </c>
      <c r="K9894" t="s">
        <v>5515</v>
      </c>
      <c r="M9894" t="s">
        <v>25625</v>
      </c>
      <c r="N9894" t="str">
        <f>"8/23/2016 11:13:00 AM"</f>
        <v>8/23/2016 11:13:00 AM</v>
      </c>
      <c r="O9894" t="s">
        <v>29690</v>
      </c>
      <c r="T9894" t="s">
        <v>29691</v>
      </c>
    </row>
    <row r="9895" spans="1:20" x14ac:dyDescent="0.25">
      <c r="A9895" t="str">
        <f>"3054826"</f>
        <v>3054826</v>
      </c>
      <c r="B9895" t="s">
        <v>29693</v>
      </c>
      <c r="C9895" t="str">
        <f>"1812000"</f>
        <v>1812000</v>
      </c>
      <c r="D9895" t="s">
        <v>29694</v>
      </c>
      <c r="E9895" t="s">
        <v>29695</v>
      </c>
      <c r="F9895" t="s">
        <v>29696</v>
      </c>
      <c r="I9895" t="s">
        <v>29</v>
      </c>
      <c r="J9895" t="s">
        <v>30</v>
      </c>
      <c r="K9895" t="s">
        <v>31</v>
      </c>
      <c r="M9895" t="s">
        <v>25494</v>
      </c>
      <c r="N9895" t="str">
        <f>"8/29/2016 8:51:00 AM"</f>
        <v>8/29/2016 8:51:00 AM</v>
      </c>
      <c r="O9895" t="s">
        <v>29694</v>
      </c>
      <c r="T9895" t="s">
        <v>29695</v>
      </c>
    </row>
    <row r="9896" spans="1:20" x14ac:dyDescent="0.25">
      <c r="A9896" t="str">
        <f>"3042744"</f>
        <v>3042744</v>
      </c>
      <c r="B9896" t="s">
        <v>29697</v>
      </c>
      <c r="C9896" t="str">
        <f>"8828000"</f>
        <v>8828000</v>
      </c>
      <c r="D9896" t="s">
        <v>29698</v>
      </c>
      <c r="F9896" t="s">
        <v>29699</v>
      </c>
      <c r="I9896" t="s">
        <v>29</v>
      </c>
      <c r="J9896" t="s">
        <v>30</v>
      </c>
      <c r="K9896" t="s">
        <v>31</v>
      </c>
      <c r="M9896" t="s">
        <v>25494</v>
      </c>
      <c r="N9896" t="str">
        <f>"8/29/2016 8:52:00 AM"</f>
        <v>8/29/2016 8:52:00 AM</v>
      </c>
      <c r="O9896" t="s">
        <v>29698</v>
      </c>
    </row>
    <row r="9897" spans="1:20" x14ac:dyDescent="0.25">
      <c r="A9897" t="str">
        <f>"3042277"</f>
        <v>3042277</v>
      </c>
      <c r="B9897" t="s">
        <v>29700</v>
      </c>
      <c r="C9897" t="str">
        <f>"8306763"</f>
        <v>8306763</v>
      </c>
      <c r="D9897" t="s">
        <v>29701</v>
      </c>
      <c r="E9897" t="s">
        <v>29702</v>
      </c>
      <c r="F9897" t="s">
        <v>29703</v>
      </c>
      <c r="I9897" t="s">
        <v>29</v>
      </c>
      <c r="J9897" t="s">
        <v>30</v>
      </c>
      <c r="K9897" t="str">
        <f>"27028"</f>
        <v>27028</v>
      </c>
      <c r="M9897" t="s">
        <v>17861</v>
      </c>
      <c r="N9897" t="str">
        <f>"8/29/2016 1:14:00 PM"</f>
        <v>8/29/2016 1:14:00 PM</v>
      </c>
      <c r="O9897" t="s">
        <v>29701</v>
      </c>
      <c r="T9897" t="s">
        <v>29702</v>
      </c>
    </row>
    <row r="9898" spans="1:20" x14ac:dyDescent="0.25">
      <c r="A9898" t="str">
        <f>"3059117"</f>
        <v>3059117</v>
      </c>
      <c r="B9898" t="s">
        <v>29704</v>
      </c>
      <c r="C9898" t="str">
        <f>"8306765"</f>
        <v>8306765</v>
      </c>
      <c r="D9898" t="s">
        <v>29705</v>
      </c>
      <c r="F9898" t="s">
        <v>29706</v>
      </c>
      <c r="I9898" t="s">
        <v>29</v>
      </c>
      <c r="J9898" t="s">
        <v>30</v>
      </c>
      <c r="K9898" t="str">
        <f>"27028"</f>
        <v>27028</v>
      </c>
      <c r="M9898" t="s">
        <v>17861</v>
      </c>
      <c r="N9898" t="str">
        <f>"8/29/2016 1:23:00 PM"</f>
        <v>8/29/2016 1:23:00 PM</v>
      </c>
      <c r="O9898" t="s">
        <v>29705</v>
      </c>
    </row>
    <row r="9899" spans="1:20" x14ac:dyDescent="0.25">
      <c r="A9899" t="str">
        <f>"3061876"</f>
        <v>3061876</v>
      </c>
      <c r="B9899" t="s">
        <v>29707</v>
      </c>
      <c r="C9899" t="str">
        <f>"8306766"</f>
        <v>8306766</v>
      </c>
      <c r="D9899" t="s">
        <v>29708</v>
      </c>
      <c r="F9899" t="s">
        <v>29709</v>
      </c>
      <c r="I9899" t="s">
        <v>29</v>
      </c>
      <c r="J9899" t="s">
        <v>30</v>
      </c>
      <c r="K9899" t="str">
        <f>"27028"</f>
        <v>27028</v>
      </c>
      <c r="M9899" t="s">
        <v>17861</v>
      </c>
      <c r="N9899" t="str">
        <f>"8/29/2016 1:38:00 PM"</f>
        <v>8/29/2016 1:38:00 PM</v>
      </c>
      <c r="O9899" t="s">
        <v>29708</v>
      </c>
    </row>
    <row r="9900" spans="1:20" x14ac:dyDescent="0.25">
      <c r="A9900" t="str">
        <f>"3056120"</f>
        <v>3056120</v>
      </c>
      <c r="B9900" t="s">
        <v>29710</v>
      </c>
      <c r="C9900" t="str">
        <f>"82524248"</f>
        <v>82524248</v>
      </c>
      <c r="D9900" t="s">
        <v>29711</v>
      </c>
      <c r="E9900" t="s">
        <v>29712</v>
      </c>
      <c r="F9900" t="s">
        <v>29713</v>
      </c>
      <c r="I9900" t="s">
        <v>29</v>
      </c>
      <c r="J9900" t="s">
        <v>30</v>
      </c>
      <c r="K9900" t="str">
        <f>"27028"</f>
        <v>27028</v>
      </c>
      <c r="M9900" t="s">
        <v>25625</v>
      </c>
      <c r="N9900" t="str">
        <f>"8/23/2016 11:31:00 AM"</f>
        <v>8/23/2016 11:31:00 AM</v>
      </c>
      <c r="O9900" t="s">
        <v>29711</v>
      </c>
      <c r="T9900" t="s">
        <v>29712</v>
      </c>
    </row>
    <row r="9901" spans="1:20" x14ac:dyDescent="0.25">
      <c r="A9901" t="str">
        <f>"3042884"</f>
        <v>3042884</v>
      </c>
      <c r="B9901" t="s">
        <v>29714</v>
      </c>
      <c r="C9901" t="str">
        <f>"8304661"</f>
        <v>8304661</v>
      </c>
      <c r="D9901" t="s">
        <v>29715</v>
      </c>
      <c r="E9901" t="s">
        <v>29716</v>
      </c>
      <c r="F9901" t="s">
        <v>29717</v>
      </c>
      <c r="I9901" t="s">
        <v>29</v>
      </c>
      <c r="J9901" t="s">
        <v>30</v>
      </c>
      <c r="K9901" t="str">
        <f>"27028"</f>
        <v>27028</v>
      </c>
      <c r="M9901" t="s">
        <v>25625</v>
      </c>
      <c r="N9901" t="str">
        <f>"8/23/2016 11:38:00 AM"</f>
        <v>8/23/2016 11:38:00 AM</v>
      </c>
      <c r="O9901" t="s">
        <v>29715</v>
      </c>
      <c r="T9901" t="s">
        <v>29716</v>
      </c>
    </row>
    <row r="9902" spans="1:20" x14ac:dyDescent="0.25">
      <c r="A9902" t="str">
        <f>"3055860"</f>
        <v>3055860</v>
      </c>
      <c r="B9902" t="s">
        <v>29718</v>
      </c>
      <c r="C9902" t="str">
        <f>"8306771"</f>
        <v>8306771</v>
      </c>
      <c r="D9902" t="s">
        <v>29719</v>
      </c>
      <c r="F9902" t="s">
        <v>21884</v>
      </c>
      <c r="I9902" t="s">
        <v>9580</v>
      </c>
      <c r="J9902" t="s">
        <v>30</v>
      </c>
      <c r="K9902" t="str">
        <f>"27014"</f>
        <v>27014</v>
      </c>
      <c r="M9902" t="s">
        <v>17861</v>
      </c>
      <c r="N9902" t="str">
        <f>"8/29/2016 2:24:00 PM"</f>
        <v>8/29/2016 2:24:00 PM</v>
      </c>
      <c r="O9902" t="s">
        <v>29719</v>
      </c>
    </row>
    <row r="9903" spans="1:20" x14ac:dyDescent="0.25">
      <c r="A9903" t="str">
        <f>"3041289"</f>
        <v>3041289</v>
      </c>
      <c r="B9903" t="s">
        <v>29720</v>
      </c>
      <c r="C9903" t="str">
        <f>"8306772"</f>
        <v>8306772</v>
      </c>
      <c r="D9903" t="s">
        <v>29721</v>
      </c>
      <c r="F9903" t="s">
        <v>29722</v>
      </c>
      <c r="I9903" t="s">
        <v>2071</v>
      </c>
      <c r="J9903" t="s">
        <v>30</v>
      </c>
      <c r="K9903" t="str">
        <f>"27006"</f>
        <v>27006</v>
      </c>
      <c r="M9903" t="s">
        <v>17861</v>
      </c>
      <c r="N9903" t="str">
        <f>"8/29/2016 2:36:00 PM"</f>
        <v>8/29/2016 2:36:00 PM</v>
      </c>
      <c r="O9903" t="s">
        <v>29721</v>
      </c>
    </row>
    <row r="9904" spans="1:20" x14ac:dyDescent="0.25">
      <c r="A9904" t="str">
        <f>"3037812"</f>
        <v>3037812</v>
      </c>
      <c r="B9904" t="s">
        <v>29723</v>
      </c>
      <c r="C9904" t="str">
        <f>"8306774"</f>
        <v>8306774</v>
      </c>
      <c r="D9904" t="s">
        <v>29724</v>
      </c>
      <c r="E9904" t="s">
        <v>29725</v>
      </c>
      <c r="F9904" t="s">
        <v>29726</v>
      </c>
      <c r="I9904" t="s">
        <v>49</v>
      </c>
      <c r="J9904" t="s">
        <v>30</v>
      </c>
      <c r="K9904" t="str">
        <f>"27055"</f>
        <v>27055</v>
      </c>
      <c r="M9904" t="s">
        <v>17861</v>
      </c>
      <c r="N9904" t="str">
        <f>"8/29/2016 2:48:00 PM"</f>
        <v>8/29/2016 2:48:00 PM</v>
      </c>
      <c r="O9904" t="s">
        <v>29724</v>
      </c>
      <c r="T9904" t="s">
        <v>29725</v>
      </c>
    </row>
    <row r="9905" spans="1:20" x14ac:dyDescent="0.25">
      <c r="A9905" t="str">
        <f>"3058859"</f>
        <v>3058859</v>
      </c>
      <c r="B9905" t="s">
        <v>29727</v>
      </c>
      <c r="C9905" t="str">
        <f>"8306775"</f>
        <v>8306775</v>
      </c>
      <c r="D9905" t="s">
        <v>29728</v>
      </c>
      <c r="E9905" t="s">
        <v>29729</v>
      </c>
      <c r="F9905" t="s">
        <v>29730</v>
      </c>
      <c r="I9905" t="s">
        <v>29</v>
      </c>
      <c r="J9905" t="s">
        <v>30</v>
      </c>
      <c r="K9905" t="str">
        <f>"27028"</f>
        <v>27028</v>
      </c>
      <c r="M9905" t="s">
        <v>17861</v>
      </c>
      <c r="N9905" t="str">
        <f>"8/29/2016 2:51:00 PM"</f>
        <v>8/29/2016 2:51:00 PM</v>
      </c>
      <c r="O9905" t="s">
        <v>29728</v>
      </c>
      <c r="T9905" t="s">
        <v>29729</v>
      </c>
    </row>
    <row r="9906" spans="1:20" x14ac:dyDescent="0.25">
      <c r="A9906" t="str">
        <f>"3053604"</f>
        <v>3053604</v>
      </c>
      <c r="B9906" t="s">
        <v>29731</v>
      </c>
      <c r="C9906" t="str">
        <f>"8304894"</f>
        <v>8304894</v>
      </c>
      <c r="D9906" t="s">
        <v>29732</v>
      </c>
      <c r="E9906" t="s">
        <v>29733</v>
      </c>
      <c r="F9906" t="s">
        <v>29734</v>
      </c>
      <c r="I9906" t="s">
        <v>184</v>
      </c>
      <c r="J9906" t="s">
        <v>30</v>
      </c>
      <c r="K9906" t="str">
        <f>"27006"</f>
        <v>27006</v>
      </c>
      <c r="M9906" t="s">
        <v>25625</v>
      </c>
      <c r="N9906" t="str">
        <f>"8/23/2016 11:40:00 AM"</f>
        <v>8/23/2016 11:40:00 AM</v>
      </c>
      <c r="O9906" t="s">
        <v>29732</v>
      </c>
      <c r="T9906" t="s">
        <v>29733</v>
      </c>
    </row>
    <row r="9907" spans="1:20" x14ac:dyDescent="0.25">
      <c r="A9907" t="str">
        <f>"3055179"</f>
        <v>3055179</v>
      </c>
      <c r="B9907" t="s">
        <v>29735</v>
      </c>
      <c r="C9907" t="str">
        <f>"8306751"</f>
        <v>8306751</v>
      </c>
      <c r="D9907" t="s">
        <v>29736</v>
      </c>
      <c r="E9907" t="s">
        <v>29737</v>
      </c>
      <c r="F9907" t="s">
        <v>21341</v>
      </c>
      <c r="I9907" t="s">
        <v>29</v>
      </c>
      <c r="J9907" t="s">
        <v>30</v>
      </c>
      <c r="K9907" t="str">
        <f>"27028"</f>
        <v>27028</v>
      </c>
      <c r="M9907" t="s">
        <v>17861</v>
      </c>
      <c r="N9907" t="str">
        <f>"8/23/2016 1:55:00 PM"</f>
        <v>8/23/2016 1:55:00 PM</v>
      </c>
      <c r="O9907" t="s">
        <v>29736</v>
      </c>
      <c r="T9907" t="s">
        <v>29737</v>
      </c>
    </row>
    <row r="9908" spans="1:20" x14ac:dyDescent="0.25">
      <c r="A9908" t="str">
        <f>"3042685"</f>
        <v>3042685</v>
      </c>
      <c r="B9908" t="s">
        <v>29738</v>
      </c>
      <c r="C9908" t="str">
        <f>"73236000"</f>
        <v>73236000</v>
      </c>
      <c r="D9908" t="s">
        <v>29739</v>
      </c>
      <c r="F9908" t="s">
        <v>29740</v>
      </c>
      <c r="I9908" t="s">
        <v>29</v>
      </c>
      <c r="J9908" t="s">
        <v>30</v>
      </c>
      <c r="K9908" t="s">
        <v>31</v>
      </c>
      <c r="M9908" t="s">
        <v>25494</v>
      </c>
      <c r="N9908" t="str">
        <f>"8/30/2016 8:22:00 AM"</f>
        <v>8/30/2016 8:22:00 AM</v>
      </c>
      <c r="O9908" t="s">
        <v>29739</v>
      </c>
    </row>
    <row r="9909" spans="1:20" x14ac:dyDescent="0.25">
      <c r="A9909" t="str">
        <f>"3047487"</f>
        <v>3047487</v>
      </c>
      <c r="B9909" t="s">
        <v>29741</v>
      </c>
      <c r="C9909" t="str">
        <f>"82524485"</f>
        <v>82524485</v>
      </c>
      <c r="D9909" t="s">
        <v>29742</v>
      </c>
      <c r="E9909" t="s">
        <v>29743</v>
      </c>
      <c r="F9909" t="s">
        <v>29744</v>
      </c>
      <c r="I9909" t="s">
        <v>29</v>
      </c>
      <c r="J9909" t="s">
        <v>30</v>
      </c>
      <c r="K9909" t="s">
        <v>10821</v>
      </c>
      <c r="M9909" t="s">
        <v>25494</v>
      </c>
      <c r="N9909" t="str">
        <f>"8/30/2016 8:32:00 AM"</f>
        <v>8/30/2016 8:32:00 AM</v>
      </c>
      <c r="O9909" t="s">
        <v>29742</v>
      </c>
      <c r="T9909" t="s">
        <v>29743</v>
      </c>
    </row>
    <row r="9910" spans="1:20" x14ac:dyDescent="0.25">
      <c r="A9910" t="str">
        <f>"3048209"</f>
        <v>3048209</v>
      </c>
      <c r="B9910" t="s">
        <v>29745</v>
      </c>
      <c r="C9910" t="str">
        <f>"82524485"</f>
        <v>82524485</v>
      </c>
      <c r="D9910" t="s">
        <v>29742</v>
      </c>
      <c r="E9910" t="s">
        <v>29743</v>
      </c>
      <c r="F9910" t="s">
        <v>29744</v>
      </c>
      <c r="I9910" t="s">
        <v>29</v>
      </c>
      <c r="J9910" t="s">
        <v>30</v>
      </c>
      <c r="K9910" t="s">
        <v>10821</v>
      </c>
      <c r="M9910" t="s">
        <v>25494</v>
      </c>
      <c r="N9910" t="str">
        <f>"8/30/2016 8:32:00 AM"</f>
        <v>8/30/2016 8:32:00 AM</v>
      </c>
      <c r="O9910" t="s">
        <v>29742</v>
      </c>
      <c r="T9910" t="s">
        <v>29743</v>
      </c>
    </row>
    <row r="9911" spans="1:20" x14ac:dyDescent="0.25">
      <c r="A9911" t="str">
        <f>"3039015"</f>
        <v>3039015</v>
      </c>
      <c r="B9911" t="s">
        <v>29746</v>
      </c>
      <c r="C9911" t="str">
        <f>"48284000"</f>
        <v>48284000</v>
      </c>
      <c r="D9911" t="s">
        <v>29747</v>
      </c>
      <c r="E9911" t="s">
        <v>7787</v>
      </c>
      <c r="F9911" t="s">
        <v>7788</v>
      </c>
      <c r="I9911" t="s">
        <v>29</v>
      </c>
      <c r="J9911" t="s">
        <v>30</v>
      </c>
      <c r="K9911" t="s">
        <v>31</v>
      </c>
      <c r="M9911" t="s">
        <v>25494</v>
      </c>
      <c r="N9911" t="str">
        <f>"8/30/2016 8:39:00 AM"</f>
        <v>8/30/2016 8:39:00 AM</v>
      </c>
      <c r="O9911" t="s">
        <v>29747</v>
      </c>
      <c r="T9911" t="s">
        <v>7787</v>
      </c>
    </row>
    <row r="9912" spans="1:20" x14ac:dyDescent="0.25">
      <c r="A9912" t="str">
        <f>"3078917"</f>
        <v>3078917</v>
      </c>
      <c r="B9912" t="s">
        <v>29748</v>
      </c>
      <c r="C9912" t="str">
        <f>"48284000"</f>
        <v>48284000</v>
      </c>
      <c r="D9912" t="s">
        <v>29747</v>
      </c>
      <c r="E9912" t="s">
        <v>7787</v>
      </c>
      <c r="F9912" t="s">
        <v>7788</v>
      </c>
      <c r="I9912" t="s">
        <v>29</v>
      </c>
      <c r="J9912" t="s">
        <v>30</v>
      </c>
      <c r="K9912" t="s">
        <v>31</v>
      </c>
      <c r="M9912" t="s">
        <v>25494</v>
      </c>
      <c r="N9912" t="str">
        <f>"8/30/2016 8:39:00 AM"</f>
        <v>8/30/2016 8:39:00 AM</v>
      </c>
      <c r="O9912" t="s">
        <v>29747</v>
      </c>
      <c r="T9912" t="s">
        <v>7787</v>
      </c>
    </row>
    <row r="9913" spans="1:20" x14ac:dyDescent="0.25">
      <c r="A9913" t="str">
        <f>"3037430"</f>
        <v>3037430</v>
      </c>
      <c r="B9913" t="s">
        <v>29749</v>
      </c>
      <c r="C9913" t="str">
        <f>"8301402"</f>
        <v>8301402</v>
      </c>
      <c r="D9913" t="s">
        <v>29750</v>
      </c>
      <c r="F9913" t="s">
        <v>29751</v>
      </c>
      <c r="I9913" t="s">
        <v>29</v>
      </c>
      <c r="J9913" t="s">
        <v>30</v>
      </c>
      <c r="K9913" t="str">
        <f>"27028"</f>
        <v>27028</v>
      </c>
      <c r="M9913" t="s">
        <v>25494</v>
      </c>
      <c r="N9913" t="str">
        <f>"8/30/2016 8:46:00 AM"</f>
        <v>8/30/2016 8:46:00 AM</v>
      </c>
      <c r="O9913" t="s">
        <v>29750</v>
      </c>
    </row>
    <row r="9914" spans="1:20" x14ac:dyDescent="0.25">
      <c r="A9914" t="str">
        <f>"3060602"</f>
        <v>3060602</v>
      </c>
      <c r="B9914" t="s">
        <v>29752</v>
      </c>
      <c r="C9914" t="str">
        <f>"8306752"</f>
        <v>8306752</v>
      </c>
      <c r="D9914" t="s">
        <v>29753</v>
      </c>
      <c r="E9914" t="s">
        <v>29754</v>
      </c>
      <c r="F9914" t="s">
        <v>29755</v>
      </c>
      <c r="I9914" t="s">
        <v>2071</v>
      </c>
      <c r="J9914" t="s">
        <v>30</v>
      </c>
      <c r="K9914" t="str">
        <f>"27006"</f>
        <v>27006</v>
      </c>
      <c r="M9914" t="s">
        <v>17861</v>
      </c>
      <c r="N9914" t="str">
        <f>"8/23/2016 2:05:00 PM"</f>
        <v>8/23/2016 2:05:00 PM</v>
      </c>
      <c r="O9914" t="s">
        <v>29753</v>
      </c>
      <c r="T9914" t="s">
        <v>29754</v>
      </c>
    </row>
    <row r="9915" spans="1:20" x14ac:dyDescent="0.25">
      <c r="A9915" t="str">
        <f>"3048589"</f>
        <v>3048589</v>
      </c>
      <c r="B9915" t="s">
        <v>29756</v>
      </c>
      <c r="C9915" t="str">
        <f>"8304916"</f>
        <v>8304916</v>
      </c>
      <c r="D9915" t="s">
        <v>29757</v>
      </c>
      <c r="E9915" t="s">
        <v>29758</v>
      </c>
      <c r="F9915" t="s">
        <v>29759</v>
      </c>
      <c r="I9915" t="s">
        <v>184</v>
      </c>
      <c r="J9915" t="s">
        <v>30</v>
      </c>
      <c r="K9915" t="str">
        <f>"27006"</f>
        <v>27006</v>
      </c>
      <c r="M9915" t="s">
        <v>25625</v>
      </c>
      <c r="N9915" t="str">
        <f>"8/23/2016 2:11:00 PM"</f>
        <v>8/23/2016 2:11:00 PM</v>
      </c>
      <c r="O9915" t="s">
        <v>29757</v>
      </c>
      <c r="T9915" t="s">
        <v>29758</v>
      </c>
    </row>
    <row r="9916" spans="1:20" x14ac:dyDescent="0.25">
      <c r="A9916" t="str">
        <f>"3061143"</f>
        <v>3061143</v>
      </c>
      <c r="B9916" t="s">
        <v>29760</v>
      </c>
      <c r="C9916" t="str">
        <f>"8306754"</f>
        <v>8306754</v>
      </c>
      <c r="D9916" t="s">
        <v>29761</v>
      </c>
      <c r="F9916" t="s">
        <v>29762</v>
      </c>
      <c r="I9916" t="s">
        <v>2071</v>
      </c>
      <c r="J9916" t="s">
        <v>30</v>
      </c>
      <c r="K9916" t="str">
        <f>"27006"</f>
        <v>27006</v>
      </c>
      <c r="M9916" t="s">
        <v>17861</v>
      </c>
      <c r="N9916" t="str">
        <f>"8/23/2016 3:14:00 PM"</f>
        <v>8/23/2016 3:14:00 PM</v>
      </c>
      <c r="O9916" t="s">
        <v>29761</v>
      </c>
    </row>
    <row r="9917" spans="1:20" x14ac:dyDescent="0.25">
      <c r="A9917" t="str">
        <f>"3041500"</f>
        <v>3041500</v>
      </c>
      <c r="B9917" t="s">
        <v>29763</v>
      </c>
      <c r="C9917" t="str">
        <f>"8306755"</f>
        <v>8306755</v>
      </c>
      <c r="D9917" t="s">
        <v>29764</v>
      </c>
      <c r="E9917" t="s">
        <v>29765</v>
      </c>
      <c r="F9917" t="s">
        <v>29766</v>
      </c>
      <c r="I9917" t="s">
        <v>2071</v>
      </c>
      <c r="J9917" t="s">
        <v>30</v>
      </c>
      <c r="K9917" t="str">
        <f>"27006"</f>
        <v>27006</v>
      </c>
      <c r="M9917" t="s">
        <v>17861</v>
      </c>
      <c r="N9917" t="str">
        <f>"8/23/2016 3:36:00 PM"</f>
        <v>8/23/2016 3:36:00 PM</v>
      </c>
      <c r="O9917" t="s">
        <v>29764</v>
      </c>
      <c r="T9917" t="s">
        <v>29765</v>
      </c>
    </row>
    <row r="9918" spans="1:20" x14ac:dyDescent="0.25">
      <c r="A9918" t="str">
        <f>"3061580"</f>
        <v>3061580</v>
      </c>
      <c r="B9918" t="s">
        <v>29767</v>
      </c>
      <c r="C9918" t="str">
        <f>"8304036"</f>
        <v>8304036</v>
      </c>
      <c r="D9918" t="s">
        <v>29768</v>
      </c>
      <c r="E9918" t="s">
        <v>29769</v>
      </c>
      <c r="F9918" t="s">
        <v>29770</v>
      </c>
      <c r="I9918" t="s">
        <v>29</v>
      </c>
      <c r="J9918" t="s">
        <v>30</v>
      </c>
      <c r="K9918" t="str">
        <f>"27028"</f>
        <v>27028</v>
      </c>
      <c r="M9918" t="s">
        <v>17861</v>
      </c>
      <c r="N9918" t="str">
        <f>"8/22/2016 10:17:00 AM"</f>
        <v>8/22/2016 10:17:00 AM</v>
      </c>
      <c r="O9918" t="s">
        <v>29768</v>
      </c>
      <c r="T9918" t="s">
        <v>29769</v>
      </c>
    </row>
    <row r="9919" spans="1:20" x14ac:dyDescent="0.25">
      <c r="A9919" t="str">
        <f>"3053102"</f>
        <v>3053102</v>
      </c>
      <c r="B9919" t="s">
        <v>29771</v>
      </c>
      <c r="C9919" t="str">
        <f>"8303114"</f>
        <v>8303114</v>
      </c>
      <c r="D9919" t="s">
        <v>29772</v>
      </c>
      <c r="E9919" t="s">
        <v>29773</v>
      </c>
      <c r="F9919" t="s">
        <v>29774</v>
      </c>
      <c r="I9919" t="s">
        <v>29</v>
      </c>
      <c r="J9919" t="s">
        <v>30</v>
      </c>
      <c r="K9919" t="str">
        <f>"27028"</f>
        <v>27028</v>
      </c>
      <c r="M9919" t="s">
        <v>25625</v>
      </c>
      <c r="N9919" t="str">
        <f>"8/22/2016 10:31:00 AM"</f>
        <v>8/22/2016 10:31:00 AM</v>
      </c>
      <c r="O9919" t="s">
        <v>29772</v>
      </c>
      <c r="T9919" t="s">
        <v>29773</v>
      </c>
    </row>
    <row r="9920" spans="1:20" x14ac:dyDescent="0.25">
      <c r="A9920" t="str">
        <f>"3053449"</f>
        <v>3053449</v>
      </c>
      <c r="B9920" t="s">
        <v>29775</v>
      </c>
      <c r="C9920" t="str">
        <f>"72186500"</f>
        <v>72186500</v>
      </c>
      <c r="D9920" t="s">
        <v>29776</v>
      </c>
      <c r="E9920" t="s">
        <v>29777</v>
      </c>
      <c r="F9920" t="s">
        <v>29778</v>
      </c>
      <c r="I9920" t="s">
        <v>29</v>
      </c>
      <c r="J9920" t="s">
        <v>30</v>
      </c>
      <c r="K9920" t="s">
        <v>29779</v>
      </c>
      <c r="M9920" t="s">
        <v>25625</v>
      </c>
      <c r="N9920" t="str">
        <f>"8/22/2016 11:18:00 AM"</f>
        <v>8/22/2016 11:18:00 AM</v>
      </c>
      <c r="O9920" t="s">
        <v>29776</v>
      </c>
      <c r="T9920" t="s">
        <v>29777</v>
      </c>
    </row>
    <row r="9921" spans="1:20" x14ac:dyDescent="0.25">
      <c r="A9921" t="str">
        <f>"3054655"</f>
        <v>3054655</v>
      </c>
      <c r="B9921" t="s">
        <v>29780</v>
      </c>
      <c r="C9921" t="str">
        <f>"8302017"</f>
        <v>8302017</v>
      </c>
      <c r="D9921" t="s">
        <v>29781</v>
      </c>
      <c r="F9921" t="s">
        <v>29782</v>
      </c>
      <c r="I9921" t="s">
        <v>29</v>
      </c>
      <c r="J9921" t="s">
        <v>30</v>
      </c>
      <c r="K9921" t="str">
        <f>"27028"</f>
        <v>27028</v>
      </c>
      <c r="M9921" t="s">
        <v>25625</v>
      </c>
      <c r="N9921" t="str">
        <f>"8/24/2016 9:53:00 AM"</f>
        <v>8/24/2016 9:53:00 AM</v>
      </c>
      <c r="O9921" t="s">
        <v>29781</v>
      </c>
    </row>
    <row r="9922" spans="1:20" x14ac:dyDescent="0.25">
      <c r="A9922" t="str">
        <f>"3041101"</f>
        <v>3041101</v>
      </c>
      <c r="B9922" t="s">
        <v>29783</v>
      </c>
      <c r="C9922" t="str">
        <f>"82524411"</f>
        <v>82524411</v>
      </c>
      <c r="D9922" t="s">
        <v>29619</v>
      </c>
      <c r="F9922" t="s">
        <v>29620</v>
      </c>
      <c r="I9922" t="s">
        <v>22335</v>
      </c>
      <c r="J9922" t="s">
        <v>30</v>
      </c>
      <c r="K9922" t="s">
        <v>10584</v>
      </c>
      <c r="M9922" t="s">
        <v>24254</v>
      </c>
      <c r="N9922" t="str">
        <f>"8/24/2016 10:21:00 AM"</f>
        <v>8/24/2016 10:21:00 AM</v>
      </c>
      <c r="O9922" t="s">
        <v>29619</v>
      </c>
    </row>
    <row r="9923" spans="1:20" x14ac:dyDescent="0.25">
      <c r="A9923" t="str">
        <f>"3099032"</f>
        <v>3099032</v>
      </c>
      <c r="B9923" t="s">
        <v>29784</v>
      </c>
      <c r="C9923" t="str">
        <f>"82517097"</f>
        <v>82517097</v>
      </c>
      <c r="D9923" t="s">
        <v>29785</v>
      </c>
      <c r="F9923" t="s">
        <v>29786</v>
      </c>
      <c r="I9923" t="s">
        <v>29</v>
      </c>
      <c r="J9923" t="s">
        <v>30</v>
      </c>
      <c r="K9923" t="s">
        <v>31</v>
      </c>
      <c r="M9923" t="s">
        <v>22859</v>
      </c>
      <c r="N9923" t="str">
        <f>"8/24/2016 1:20:00 PM"</f>
        <v>8/24/2016 1:20:00 PM</v>
      </c>
      <c r="O9923" t="s">
        <v>29785</v>
      </c>
    </row>
    <row r="9924" spans="1:20" x14ac:dyDescent="0.25">
      <c r="A9924" t="str">
        <f>"3043572"</f>
        <v>3043572</v>
      </c>
      <c r="B9924" t="s">
        <v>29787</v>
      </c>
      <c r="C9924" t="str">
        <f>"8306790"</f>
        <v>8306790</v>
      </c>
      <c r="D9924" t="s">
        <v>29788</v>
      </c>
      <c r="F9924" t="s">
        <v>29789</v>
      </c>
      <c r="I9924" t="s">
        <v>29</v>
      </c>
      <c r="J9924" t="s">
        <v>30</v>
      </c>
      <c r="K9924" t="str">
        <f>"27028"</f>
        <v>27028</v>
      </c>
      <c r="M9924" t="s">
        <v>17861</v>
      </c>
      <c r="N9924" t="str">
        <f>"9/1/2016 3:07:00 PM"</f>
        <v>9/1/2016 3:07:00 PM</v>
      </c>
      <c r="O9924" t="s">
        <v>29788</v>
      </c>
    </row>
    <row r="9925" spans="1:20" x14ac:dyDescent="0.25">
      <c r="A9925" t="str">
        <f>"3059218"</f>
        <v>3059218</v>
      </c>
      <c r="B9925" t="s">
        <v>29790</v>
      </c>
      <c r="C9925" t="str">
        <f>"22941820"</f>
        <v>22941820</v>
      </c>
      <c r="D9925" t="s">
        <v>29791</v>
      </c>
      <c r="E9925" t="s">
        <v>29792</v>
      </c>
      <c r="F9925" t="s">
        <v>11430</v>
      </c>
      <c r="I9925" t="s">
        <v>29</v>
      </c>
      <c r="J9925" t="s">
        <v>30</v>
      </c>
      <c r="K9925" t="s">
        <v>31</v>
      </c>
      <c r="M9925" t="s">
        <v>17861</v>
      </c>
      <c r="N9925" t="str">
        <f>"8/24/2016 3:44:00 PM"</f>
        <v>8/24/2016 3:44:00 PM</v>
      </c>
      <c r="O9925" t="s">
        <v>29791</v>
      </c>
      <c r="T9925" t="s">
        <v>29792</v>
      </c>
    </row>
    <row r="9926" spans="1:20" x14ac:dyDescent="0.25">
      <c r="A9926" t="str">
        <f>"3069742"</f>
        <v>3069742</v>
      </c>
      <c r="B9926" t="s">
        <v>29793</v>
      </c>
      <c r="C9926" t="str">
        <f>"82522108"</f>
        <v>82522108</v>
      </c>
      <c r="D9926" t="s">
        <v>29638</v>
      </c>
      <c r="E9926" t="s">
        <v>29639</v>
      </c>
      <c r="F9926" t="s">
        <v>29640</v>
      </c>
      <c r="I9926" t="s">
        <v>29</v>
      </c>
      <c r="J9926" t="s">
        <v>30</v>
      </c>
      <c r="K9926" t="s">
        <v>31</v>
      </c>
      <c r="M9926" t="s">
        <v>18479</v>
      </c>
      <c r="N9926" t="str">
        <f>"8/24/2016 3:57:00 PM"</f>
        <v>8/24/2016 3:57:00 PM</v>
      </c>
      <c r="O9926" t="s">
        <v>29638</v>
      </c>
      <c r="T9926" t="s">
        <v>29639</v>
      </c>
    </row>
    <row r="9927" spans="1:20" x14ac:dyDescent="0.25">
      <c r="A9927" t="str">
        <f>"3049803"</f>
        <v>3049803</v>
      </c>
      <c r="B9927" t="s">
        <v>29794</v>
      </c>
      <c r="C9927" t="str">
        <f>"8301565"</f>
        <v>8301565</v>
      </c>
      <c r="D9927" t="s">
        <v>29795</v>
      </c>
      <c r="F9927" t="s">
        <v>29796</v>
      </c>
      <c r="I9927" t="s">
        <v>29</v>
      </c>
      <c r="J9927" t="s">
        <v>30</v>
      </c>
      <c r="K9927" t="str">
        <f>"27028"</f>
        <v>27028</v>
      </c>
      <c r="M9927" t="s">
        <v>25494</v>
      </c>
      <c r="N9927" t="str">
        <f>"8/26/2016 8:33:00 AM"</f>
        <v>8/26/2016 8:33:00 AM</v>
      </c>
      <c r="O9927" t="s">
        <v>29795</v>
      </c>
    </row>
    <row r="9928" spans="1:20" x14ac:dyDescent="0.25">
      <c r="A9928" t="str">
        <f>"3037428"</f>
        <v>3037428</v>
      </c>
      <c r="B9928" t="s">
        <v>29797</v>
      </c>
      <c r="C9928" t="str">
        <f>"8306761"</f>
        <v>8306761</v>
      </c>
      <c r="D9928" t="s">
        <v>29655</v>
      </c>
      <c r="F9928" t="s">
        <v>29656</v>
      </c>
      <c r="I9928" t="s">
        <v>29</v>
      </c>
      <c r="J9928" t="s">
        <v>30</v>
      </c>
      <c r="K9928" t="str">
        <f>"27028"</f>
        <v>27028</v>
      </c>
      <c r="M9928" t="s">
        <v>17861</v>
      </c>
      <c r="N9928" t="str">
        <f>"8/26/2016 9:10:00 AM"</f>
        <v>8/26/2016 9:10:00 AM</v>
      </c>
      <c r="O9928" t="s">
        <v>29655</v>
      </c>
    </row>
    <row r="9929" spans="1:20" x14ac:dyDescent="0.25">
      <c r="A9929" t="str">
        <f>"3061354"</f>
        <v>3061354</v>
      </c>
      <c r="B9929" t="s">
        <v>29798</v>
      </c>
      <c r="C9929" t="str">
        <f>"8304453"</f>
        <v>8304453</v>
      </c>
      <c r="D9929" t="s">
        <v>29799</v>
      </c>
      <c r="E9929" t="s">
        <v>29800</v>
      </c>
      <c r="F9929" t="s">
        <v>25493</v>
      </c>
      <c r="I9929" t="s">
        <v>184</v>
      </c>
      <c r="J9929" t="s">
        <v>30</v>
      </c>
      <c r="K9929" t="str">
        <f>"27006"</f>
        <v>27006</v>
      </c>
      <c r="M9929" t="s">
        <v>25494</v>
      </c>
      <c r="N9929" t="str">
        <f>"8/26/2016 12:32:00 PM"</f>
        <v>8/26/2016 12:32:00 PM</v>
      </c>
      <c r="O9929" t="s">
        <v>29799</v>
      </c>
      <c r="T9929" t="s">
        <v>29800</v>
      </c>
    </row>
    <row r="9930" spans="1:20" x14ac:dyDescent="0.25">
      <c r="A9930" t="str">
        <f>"3056804"</f>
        <v>3056804</v>
      </c>
      <c r="B9930" t="s">
        <v>29801</v>
      </c>
      <c r="C9930" t="str">
        <f>"54644000"</f>
        <v>54644000</v>
      </c>
      <c r="D9930" t="s">
        <v>29680</v>
      </c>
      <c r="E9930" t="s">
        <v>29681</v>
      </c>
      <c r="F9930" t="s">
        <v>29682</v>
      </c>
      <c r="I9930" t="s">
        <v>29</v>
      </c>
      <c r="J9930" t="s">
        <v>30</v>
      </c>
      <c r="K9930" t="str">
        <f>"27028"</f>
        <v>27028</v>
      </c>
      <c r="M9930" t="s">
        <v>18479</v>
      </c>
      <c r="N9930" t="str">
        <f>"8/26/2016 2:08:00 PM"</f>
        <v>8/26/2016 2:08:00 PM</v>
      </c>
      <c r="O9930" t="s">
        <v>29680</v>
      </c>
      <c r="T9930" t="s">
        <v>29681</v>
      </c>
    </row>
    <row r="9931" spans="1:20" x14ac:dyDescent="0.25">
      <c r="A9931" t="str">
        <f>"3055181"</f>
        <v>3055181</v>
      </c>
      <c r="B9931" t="s">
        <v>29802</v>
      </c>
      <c r="C9931" t="str">
        <f>"1812000"</f>
        <v>1812000</v>
      </c>
      <c r="D9931" t="s">
        <v>29694</v>
      </c>
      <c r="E9931" t="s">
        <v>29695</v>
      </c>
      <c r="F9931" t="s">
        <v>29696</v>
      </c>
      <c r="I9931" t="s">
        <v>29</v>
      </c>
      <c r="J9931" t="s">
        <v>30</v>
      </c>
      <c r="K9931" t="s">
        <v>31</v>
      </c>
      <c r="M9931" t="s">
        <v>25494</v>
      </c>
      <c r="N9931" t="str">
        <f>"8/29/2016 8:51:00 AM"</f>
        <v>8/29/2016 8:51:00 AM</v>
      </c>
      <c r="O9931" t="s">
        <v>29694</v>
      </c>
      <c r="T9931" t="s">
        <v>29695</v>
      </c>
    </row>
    <row r="9932" spans="1:20" x14ac:dyDescent="0.25">
      <c r="A9932" t="str">
        <f>"3063906"</f>
        <v>3063906</v>
      </c>
      <c r="B9932" t="s">
        <v>29803</v>
      </c>
      <c r="C9932" t="str">
        <f>"8306768"</f>
        <v>8306768</v>
      </c>
      <c r="D9932" t="s">
        <v>29804</v>
      </c>
      <c r="E9932" t="s">
        <v>29805</v>
      </c>
      <c r="F9932" t="s">
        <v>29806</v>
      </c>
      <c r="I9932" t="s">
        <v>184</v>
      </c>
      <c r="J9932" t="s">
        <v>30</v>
      </c>
      <c r="K9932" t="str">
        <f>"27006"</f>
        <v>27006</v>
      </c>
      <c r="M9932" t="s">
        <v>17861</v>
      </c>
      <c r="N9932" t="str">
        <f>"8/29/2016 2:03:00 PM"</f>
        <v>8/29/2016 2:03:00 PM</v>
      </c>
      <c r="O9932" t="s">
        <v>29804</v>
      </c>
      <c r="T9932" t="s">
        <v>29805</v>
      </c>
    </row>
    <row r="9933" spans="1:20" x14ac:dyDescent="0.25">
      <c r="A9933" t="str">
        <f>"3071288"</f>
        <v>3071288</v>
      </c>
      <c r="B9933" t="s">
        <v>29807</v>
      </c>
      <c r="C9933" t="str">
        <f>"8306769"</f>
        <v>8306769</v>
      </c>
      <c r="D9933" t="s">
        <v>29808</v>
      </c>
      <c r="F9933" t="s">
        <v>29809</v>
      </c>
      <c r="I9933" t="s">
        <v>29</v>
      </c>
      <c r="J9933" t="s">
        <v>30</v>
      </c>
      <c r="K9933" t="str">
        <f>"27028"</f>
        <v>27028</v>
      </c>
      <c r="M9933" t="s">
        <v>17861</v>
      </c>
      <c r="N9933" t="str">
        <f>"8/29/2016 2:09:00 PM"</f>
        <v>8/29/2016 2:09:00 PM</v>
      </c>
      <c r="O9933" t="s">
        <v>29808</v>
      </c>
    </row>
    <row r="9934" spans="1:20" x14ac:dyDescent="0.25">
      <c r="A9934" t="str">
        <f>"3061222"</f>
        <v>3061222</v>
      </c>
      <c r="B9934" t="s">
        <v>29810</v>
      </c>
      <c r="C9934" t="str">
        <f>"8306776"</f>
        <v>8306776</v>
      </c>
      <c r="D9934" t="s">
        <v>29811</v>
      </c>
      <c r="F9934" t="s">
        <v>29812</v>
      </c>
      <c r="I9934" t="s">
        <v>49</v>
      </c>
      <c r="J9934" t="s">
        <v>30</v>
      </c>
      <c r="K9934" t="str">
        <f>"27055"</f>
        <v>27055</v>
      </c>
      <c r="M9934" t="s">
        <v>17861</v>
      </c>
      <c r="N9934" t="str">
        <f>"8/29/2016 3:24:00 PM"</f>
        <v>8/29/2016 3:24:00 PM</v>
      </c>
      <c r="O9934" t="s">
        <v>29811</v>
      </c>
    </row>
    <row r="9935" spans="1:20" x14ac:dyDescent="0.25">
      <c r="A9935" t="str">
        <f>"3061245"</f>
        <v>3061245</v>
      </c>
      <c r="B9935" t="s">
        <v>29813</v>
      </c>
      <c r="C9935" t="str">
        <f>"8306779"</f>
        <v>8306779</v>
      </c>
      <c r="D9935" t="s">
        <v>29814</v>
      </c>
      <c r="E9935" t="s">
        <v>29815</v>
      </c>
      <c r="F9935" t="s">
        <v>29816</v>
      </c>
      <c r="I9935" t="s">
        <v>184</v>
      </c>
      <c r="J9935" t="s">
        <v>30</v>
      </c>
      <c r="K9935" t="str">
        <f>"27006"</f>
        <v>27006</v>
      </c>
      <c r="M9935" t="s">
        <v>17861</v>
      </c>
      <c r="N9935" t="str">
        <f>"8/29/2016 4:30:00 PM"</f>
        <v>8/29/2016 4:30:00 PM</v>
      </c>
      <c r="O9935" t="s">
        <v>29814</v>
      </c>
      <c r="T9935" t="s">
        <v>29815</v>
      </c>
    </row>
    <row r="9936" spans="1:20" x14ac:dyDescent="0.25">
      <c r="A9936" t="str">
        <f>"3054696"</f>
        <v>3054696</v>
      </c>
      <c r="B9936" t="s">
        <v>29817</v>
      </c>
      <c r="C9936" t="str">
        <f>"8306780"</f>
        <v>8306780</v>
      </c>
      <c r="D9936" t="s">
        <v>29818</v>
      </c>
      <c r="F9936" t="s">
        <v>29819</v>
      </c>
      <c r="I9936" t="s">
        <v>29</v>
      </c>
      <c r="J9936" t="s">
        <v>30</v>
      </c>
      <c r="K9936" t="str">
        <f>"27028"</f>
        <v>27028</v>
      </c>
      <c r="M9936" t="s">
        <v>18479</v>
      </c>
      <c r="N9936" t="str">
        <f>"8/30/2016 10:50:00 AM"</f>
        <v>8/30/2016 10:50:00 AM</v>
      </c>
      <c r="O9936" t="s">
        <v>29818</v>
      </c>
    </row>
    <row r="9937" spans="1:20" x14ac:dyDescent="0.25">
      <c r="A9937" t="str">
        <f>"3041438"</f>
        <v>3041438</v>
      </c>
      <c r="B9937" t="s">
        <v>29820</v>
      </c>
      <c r="C9937" t="str">
        <f>"8304906"</f>
        <v>8304906</v>
      </c>
      <c r="D9937" t="s">
        <v>29821</v>
      </c>
      <c r="E9937" t="s">
        <v>29822</v>
      </c>
      <c r="F9937" t="s">
        <v>29823</v>
      </c>
      <c r="I9937" t="s">
        <v>184</v>
      </c>
      <c r="J9937" t="s">
        <v>30</v>
      </c>
      <c r="K9937" t="str">
        <f>"27006"</f>
        <v>27006</v>
      </c>
      <c r="M9937" t="s">
        <v>25733</v>
      </c>
      <c r="N9937" t="str">
        <f>"8/23/2016 4:27:00 PM"</f>
        <v>8/23/2016 4:27:00 PM</v>
      </c>
      <c r="O9937" t="s">
        <v>29821</v>
      </c>
      <c r="T9937" t="s">
        <v>29822</v>
      </c>
    </row>
    <row r="9938" spans="1:20" x14ac:dyDescent="0.25">
      <c r="A9938" t="str">
        <f>"3051321"</f>
        <v>3051321</v>
      </c>
      <c r="B9938" t="s">
        <v>29824</v>
      </c>
      <c r="C9938" t="str">
        <f>"8300466"</f>
        <v>8300466</v>
      </c>
      <c r="D9938" t="s">
        <v>29825</v>
      </c>
      <c r="E9938" t="s">
        <v>29826</v>
      </c>
      <c r="F9938" t="s">
        <v>29672</v>
      </c>
      <c r="I9938" t="s">
        <v>29</v>
      </c>
      <c r="J9938" t="s">
        <v>30</v>
      </c>
      <c r="K9938" t="s">
        <v>31</v>
      </c>
      <c r="M9938" t="s">
        <v>25625</v>
      </c>
      <c r="N9938" t="str">
        <f>"8/23/2016 4:30:00 PM"</f>
        <v>8/23/2016 4:30:00 PM</v>
      </c>
      <c r="O9938" t="s">
        <v>29825</v>
      </c>
      <c r="T9938" t="s">
        <v>29826</v>
      </c>
    </row>
    <row r="9939" spans="1:20" x14ac:dyDescent="0.25">
      <c r="A9939" t="str">
        <f>"3061061"</f>
        <v>3061061</v>
      </c>
      <c r="B9939" t="s">
        <v>29827</v>
      </c>
      <c r="C9939" t="str">
        <f>"8302056"</f>
        <v>8302056</v>
      </c>
      <c r="D9939" t="s">
        <v>29828</v>
      </c>
      <c r="E9939" t="s">
        <v>29829</v>
      </c>
      <c r="F9939" t="s">
        <v>29830</v>
      </c>
      <c r="I9939" t="s">
        <v>184</v>
      </c>
      <c r="J9939" t="s">
        <v>30</v>
      </c>
      <c r="K9939" t="str">
        <f>"27006"</f>
        <v>27006</v>
      </c>
      <c r="M9939" t="s">
        <v>25494</v>
      </c>
      <c r="N9939" t="str">
        <f>"8/24/2016 8:45:00 AM"</f>
        <v>8/24/2016 8:45:00 AM</v>
      </c>
      <c r="O9939" t="s">
        <v>29828</v>
      </c>
      <c r="T9939" t="s">
        <v>29829</v>
      </c>
    </row>
    <row r="9940" spans="1:20" x14ac:dyDescent="0.25">
      <c r="A9940" t="str">
        <f>"3068399"</f>
        <v>3068399</v>
      </c>
      <c r="B9940" t="s">
        <v>29831</v>
      </c>
      <c r="C9940" t="str">
        <f>"8306786"</f>
        <v>8306786</v>
      </c>
      <c r="D9940" t="s">
        <v>29832</v>
      </c>
      <c r="F9940" t="s">
        <v>29833</v>
      </c>
      <c r="G9940" t="s">
        <v>29834</v>
      </c>
      <c r="I9940" t="s">
        <v>29</v>
      </c>
      <c r="J9940" t="s">
        <v>30</v>
      </c>
      <c r="K9940" t="str">
        <f>"27028"</f>
        <v>27028</v>
      </c>
      <c r="M9940" t="s">
        <v>17861</v>
      </c>
      <c r="N9940" t="str">
        <f>"9/1/2016 2:38:00 PM"</f>
        <v>9/1/2016 2:38:00 PM</v>
      </c>
      <c r="O9940" t="s">
        <v>29832</v>
      </c>
    </row>
    <row r="9941" spans="1:20" x14ac:dyDescent="0.25">
      <c r="A9941" t="str">
        <f>"3062363"</f>
        <v>3062363</v>
      </c>
      <c r="B9941" t="s">
        <v>29835</v>
      </c>
      <c r="C9941" t="str">
        <f>"82529874"</f>
        <v>82529874</v>
      </c>
      <c r="D9941" t="s">
        <v>29836</v>
      </c>
      <c r="E9941" t="s">
        <v>29837</v>
      </c>
      <c r="F9941" t="s">
        <v>29838</v>
      </c>
      <c r="I9941" t="s">
        <v>29</v>
      </c>
      <c r="J9941" t="s">
        <v>30</v>
      </c>
      <c r="K9941" t="s">
        <v>31</v>
      </c>
      <c r="M9941" t="s">
        <v>25494</v>
      </c>
      <c r="N9941" t="str">
        <f>"9/1/2016 8:39:00 AM"</f>
        <v>9/1/2016 8:39:00 AM</v>
      </c>
      <c r="O9941" t="s">
        <v>29836</v>
      </c>
      <c r="T9941" t="s">
        <v>29837</v>
      </c>
    </row>
    <row r="9942" spans="1:20" x14ac:dyDescent="0.25">
      <c r="A9942" t="str">
        <f>"3060265"</f>
        <v>3060265</v>
      </c>
      <c r="B9942" t="s">
        <v>29839</v>
      </c>
      <c r="C9942" t="str">
        <f>"8306807"</f>
        <v>8306807</v>
      </c>
      <c r="D9942" t="s">
        <v>29840</v>
      </c>
      <c r="E9942" t="s">
        <v>29841</v>
      </c>
      <c r="F9942" t="s">
        <v>29842</v>
      </c>
      <c r="I9942" t="s">
        <v>184</v>
      </c>
      <c r="J9942" t="s">
        <v>30</v>
      </c>
      <c r="K9942" t="str">
        <f>"27006"</f>
        <v>27006</v>
      </c>
      <c r="M9942" t="s">
        <v>17861</v>
      </c>
      <c r="N9942" t="str">
        <f>"9/2/2016 4:26:00 PM"</f>
        <v>9/2/2016 4:26:00 PM</v>
      </c>
      <c r="O9942" t="s">
        <v>29840</v>
      </c>
      <c r="T9942" t="s">
        <v>29841</v>
      </c>
    </row>
    <row r="9943" spans="1:20" x14ac:dyDescent="0.25">
      <c r="A9943" t="str">
        <f>"3050704"</f>
        <v>3050704</v>
      </c>
      <c r="B9943" t="s">
        <v>29843</v>
      </c>
      <c r="C9943" t="str">
        <f>"8306809"</f>
        <v>8306809</v>
      </c>
      <c r="D9943" t="s">
        <v>29844</v>
      </c>
      <c r="E9943" t="s">
        <v>29845</v>
      </c>
      <c r="F9943" t="s">
        <v>29846</v>
      </c>
      <c r="I9943" t="s">
        <v>184</v>
      </c>
      <c r="J9943" t="s">
        <v>30</v>
      </c>
      <c r="K9943" t="str">
        <f>"27006"</f>
        <v>27006</v>
      </c>
      <c r="M9943" t="s">
        <v>17861</v>
      </c>
      <c r="N9943" t="str">
        <f>"9/2/2016 4:35:00 PM"</f>
        <v>9/2/2016 4:35:00 PM</v>
      </c>
      <c r="O9943" t="s">
        <v>29844</v>
      </c>
      <c r="T9943" t="s">
        <v>29845</v>
      </c>
    </row>
    <row r="9944" spans="1:20" x14ac:dyDescent="0.25">
      <c r="A9944" t="str">
        <f>"3065486"</f>
        <v>3065486</v>
      </c>
      <c r="B9944" t="s">
        <v>29847</v>
      </c>
      <c r="C9944" t="str">
        <f>"8306810"</f>
        <v>8306810</v>
      </c>
      <c r="D9944" t="s">
        <v>29848</v>
      </c>
      <c r="E9944" t="s">
        <v>29849</v>
      </c>
      <c r="F9944" t="s">
        <v>29850</v>
      </c>
      <c r="I9944" t="s">
        <v>29</v>
      </c>
      <c r="J9944" t="s">
        <v>30</v>
      </c>
      <c r="K9944" t="str">
        <f>"27028"</f>
        <v>27028</v>
      </c>
      <c r="M9944" t="s">
        <v>17861</v>
      </c>
      <c r="N9944" t="str">
        <f>"9/2/2016 4:37:00 PM"</f>
        <v>9/2/2016 4:37:00 PM</v>
      </c>
      <c r="O9944" t="s">
        <v>29848</v>
      </c>
      <c r="T9944" t="s">
        <v>29849</v>
      </c>
    </row>
    <row r="9945" spans="1:20" x14ac:dyDescent="0.25">
      <c r="A9945" t="str">
        <f>"3044292"</f>
        <v>3044292</v>
      </c>
      <c r="B9945" t="s">
        <v>29851</v>
      </c>
      <c r="C9945" t="str">
        <f>"71941000"</f>
        <v>71941000</v>
      </c>
      <c r="D9945" t="s">
        <v>29852</v>
      </c>
      <c r="E9945" t="s">
        <v>29853</v>
      </c>
      <c r="F9945" t="s">
        <v>29854</v>
      </c>
      <c r="I9945" t="s">
        <v>184</v>
      </c>
      <c r="J9945" t="s">
        <v>30</v>
      </c>
      <c r="K9945" t="s">
        <v>29855</v>
      </c>
      <c r="M9945" t="s">
        <v>25733</v>
      </c>
      <c r="N9945" t="str">
        <f>"9/6/2016 11:14:00 AM"</f>
        <v>9/6/2016 11:14:00 AM</v>
      </c>
      <c r="O9945" t="s">
        <v>29852</v>
      </c>
      <c r="T9945" t="s">
        <v>29853</v>
      </c>
    </row>
    <row r="9946" spans="1:20" x14ac:dyDescent="0.25">
      <c r="A9946" t="str">
        <f>"3061443"</f>
        <v>3061443</v>
      </c>
      <c r="B9946" t="s">
        <v>29856</v>
      </c>
      <c r="C9946" t="str">
        <f>"8306806"</f>
        <v>8306806</v>
      </c>
      <c r="D9946" t="s">
        <v>29857</v>
      </c>
      <c r="E9946" t="s">
        <v>29858</v>
      </c>
      <c r="F9946" t="s">
        <v>29859</v>
      </c>
      <c r="I9946" t="s">
        <v>184</v>
      </c>
      <c r="J9946" t="s">
        <v>30</v>
      </c>
      <c r="K9946" t="str">
        <f>"27006"</f>
        <v>27006</v>
      </c>
      <c r="M9946" t="s">
        <v>17861</v>
      </c>
      <c r="N9946" t="str">
        <f>"9/2/2016 4:20:00 PM"</f>
        <v>9/2/2016 4:20:00 PM</v>
      </c>
      <c r="O9946" t="s">
        <v>29857</v>
      </c>
      <c r="T9946" t="s">
        <v>29858</v>
      </c>
    </row>
    <row r="9947" spans="1:20" x14ac:dyDescent="0.25">
      <c r="A9947" t="str">
        <f>"3059449"</f>
        <v>3059449</v>
      </c>
      <c r="B9947" t="s">
        <v>29860</v>
      </c>
      <c r="C9947" t="str">
        <f>"82522891"</f>
        <v>82522891</v>
      </c>
      <c r="D9947" t="s">
        <v>25028</v>
      </c>
      <c r="F9947" t="s">
        <v>29861</v>
      </c>
      <c r="I9947" t="s">
        <v>29</v>
      </c>
      <c r="J9947" t="s">
        <v>30</v>
      </c>
      <c r="K9947" t="s">
        <v>29862</v>
      </c>
      <c r="M9947" t="s">
        <v>25494</v>
      </c>
      <c r="N9947" t="str">
        <f>"9/2/2016 8:45:00 AM"</f>
        <v>9/2/2016 8:45:00 AM</v>
      </c>
      <c r="O9947" t="s">
        <v>25028</v>
      </c>
      <c r="T9947" t="s">
        <v>25028</v>
      </c>
    </row>
    <row r="9948" spans="1:20" x14ac:dyDescent="0.25">
      <c r="A9948" t="str">
        <f>"3048895"</f>
        <v>3048895</v>
      </c>
      <c r="B9948" t="s">
        <v>29863</v>
      </c>
      <c r="C9948" t="str">
        <f>"82531273"</f>
        <v>82531273</v>
      </c>
      <c r="D9948" t="s">
        <v>29864</v>
      </c>
      <c r="E9948" t="str">
        <f>"C/O Tracy Lessor"</f>
        <v>C/O Tracy Lessor</v>
      </c>
      <c r="F9948" t="s">
        <v>3220</v>
      </c>
      <c r="I9948" t="s">
        <v>471</v>
      </c>
      <c r="J9948" t="s">
        <v>30</v>
      </c>
      <c r="K9948" t="s">
        <v>3221</v>
      </c>
      <c r="M9948" t="s">
        <v>17922</v>
      </c>
      <c r="N9948" t="str">
        <f>"9/6/2016 3:48:00 PM"</f>
        <v>9/6/2016 3:48:00 PM</v>
      </c>
      <c r="O9948" t="s">
        <v>29864</v>
      </c>
      <c r="T9948" t="str">
        <f>"C/O Tracy Lessor"</f>
        <v>C/O Tracy Lessor</v>
      </c>
    </row>
    <row r="9949" spans="1:20" x14ac:dyDescent="0.25">
      <c r="A9949" t="str">
        <f>"3048896"</f>
        <v>3048896</v>
      </c>
      <c r="B9949" t="s">
        <v>29865</v>
      </c>
      <c r="C9949" t="str">
        <f>"82531273"</f>
        <v>82531273</v>
      </c>
      <c r="D9949" t="s">
        <v>29864</v>
      </c>
      <c r="E9949" t="str">
        <f>"C/O Tracy Lessor"</f>
        <v>C/O Tracy Lessor</v>
      </c>
      <c r="F9949" t="s">
        <v>3220</v>
      </c>
      <c r="I9949" t="s">
        <v>471</v>
      </c>
      <c r="J9949" t="s">
        <v>30</v>
      </c>
      <c r="K9949" t="s">
        <v>3221</v>
      </c>
      <c r="M9949" t="s">
        <v>17922</v>
      </c>
      <c r="N9949" t="str">
        <f>"9/6/2016 3:48:00 PM"</f>
        <v>9/6/2016 3:48:00 PM</v>
      </c>
      <c r="O9949" t="s">
        <v>29864</v>
      </c>
      <c r="T9949" t="str">
        <f>"C/O Tracy Lessor"</f>
        <v>C/O Tracy Lessor</v>
      </c>
    </row>
    <row r="9950" spans="1:20" x14ac:dyDescent="0.25">
      <c r="A9950" t="str">
        <f>"3049363"</f>
        <v>3049363</v>
      </c>
      <c r="B9950" t="s">
        <v>29866</v>
      </c>
      <c r="C9950" t="str">
        <f>"82531273"</f>
        <v>82531273</v>
      </c>
      <c r="D9950" t="s">
        <v>29864</v>
      </c>
      <c r="E9950" t="str">
        <f>"C/O Tracy Lessor"</f>
        <v>C/O Tracy Lessor</v>
      </c>
      <c r="F9950" t="s">
        <v>3220</v>
      </c>
      <c r="I9950" t="s">
        <v>471</v>
      </c>
      <c r="J9950" t="s">
        <v>30</v>
      </c>
      <c r="K9950" t="s">
        <v>3221</v>
      </c>
      <c r="M9950" t="s">
        <v>17922</v>
      </c>
      <c r="N9950" t="str">
        <f>"9/6/2016 3:48:00 PM"</f>
        <v>9/6/2016 3:48:00 PM</v>
      </c>
      <c r="O9950" t="s">
        <v>29864</v>
      </c>
      <c r="T9950" t="str">
        <f>"C/O Tracy Lessor"</f>
        <v>C/O Tracy Lessor</v>
      </c>
    </row>
    <row r="9951" spans="1:20" x14ac:dyDescent="0.25">
      <c r="A9951" t="str">
        <f>"3068876"</f>
        <v>3068876</v>
      </c>
      <c r="B9951" t="s">
        <v>29867</v>
      </c>
      <c r="C9951" t="str">
        <f>"82515289"</f>
        <v>82515289</v>
      </c>
      <c r="D9951" t="s">
        <v>29868</v>
      </c>
      <c r="E9951" t="s">
        <v>29869</v>
      </c>
      <c r="F9951" t="s">
        <v>29870</v>
      </c>
      <c r="I9951" t="s">
        <v>29</v>
      </c>
      <c r="J9951" t="s">
        <v>30</v>
      </c>
      <c r="K9951" t="s">
        <v>31</v>
      </c>
      <c r="M9951" t="s">
        <v>25494</v>
      </c>
      <c r="N9951" t="str">
        <f>"9/2/2016 8:50:00 AM"</f>
        <v>9/2/2016 8:50:00 AM</v>
      </c>
      <c r="O9951" t="s">
        <v>29868</v>
      </c>
      <c r="T9951" t="s">
        <v>29869</v>
      </c>
    </row>
    <row r="9952" spans="1:20" x14ac:dyDescent="0.25">
      <c r="A9952" t="str">
        <f>"3057544"</f>
        <v>3057544</v>
      </c>
      <c r="B9952" t="s">
        <v>29871</v>
      </c>
      <c r="C9952" t="str">
        <f>"8306812"</f>
        <v>8306812</v>
      </c>
      <c r="D9952" t="s">
        <v>29872</v>
      </c>
      <c r="F9952" t="s">
        <v>29873</v>
      </c>
      <c r="I9952" t="s">
        <v>29</v>
      </c>
      <c r="J9952" t="s">
        <v>30</v>
      </c>
      <c r="K9952" t="s">
        <v>13701</v>
      </c>
      <c r="M9952" t="s">
        <v>17861</v>
      </c>
      <c r="N9952" t="str">
        <f>"9/8/2016 10:17:00 AM"</f>
        <v>9/8/2016 10:17:00 AM</v>
      </c>
      <c r="O9952" t="s">
        <v>29872</v>
      </c>
    </row>
    <row r="9953" spans="1:20" x14ac:dyDescent="0.25">
      <c r="A9953" t="str">
        <f>"3067921"</f>
        <v>3067921</v>
      </c>
      <c r="B9953" t="s">
        <v>29874</v>
      </c>
      <c r="C9953" t="str">
        <f>"8303373"</f>
        <v>8303373</v>
      </c>
      <c r="D9953" t="s">
        <v>29875</v>
      </c>
      <c r="E9953" t="s">
        <v>29876</v>
      </c>
      <c r="F9953" t="s">
        <v>29877</v>
      </c>
      <c r="I9953" t="s">
        <v>29</v>
      </c>
      <c r="J9953" t="s">
        <v>30</v>
      </c>
      <c r="K9953" t="str">
        <f>"27028"</f>
        <v>27028</v>
      </c>
      <c r="M9953" t="s">
        <v>25494</v>
      </c>
      <c r="N9953" t="str">
        <f>"9/2/2016 8:55:00 AM"</f>
        <v>9/2/2016 8:55:00 AM</v>
      </c>
      <c r="O9953" t="s">
        <v>29875</v>
      </c>
      <c r="T9953" t="s">
        <v>29876</v>
      </c>
    </row>
    <row r="9954" spans="1:20" x14ac:dyDescent="0.25">
      <c r="A9954" t="str">
        <f>"3039973"</f>
        <v>3039973</v>
      </c>
      <c r="B9954" t="s">
        <v>29878</v>
      </c>
      <c r="C9954" t="str">
        <f>"8303373"</f>
        <v>8303373</v>
      </c>
      <c r="D9954" t="s">
        <v>29875</v>
      </c>
      <c r="E9954" t="s">
        <v>29876</v>
      </c>
      <c r="F9954" t="s">
        <v>29877</v>
      </c>
      <c r="I9954" t="s">
        <v>29</v>
      </c>
      <c r="J9954" t="s">
        <v>30</v>
      </c>
      <c r="K9954" t="str">
        <f>"27028"</f>
        <v>27028</v>
      </c>
      <c r="M9954" t="s">
        <v>25494</v>
      </c>
      <c r="N9954" t="str">
        <f>"9/2/2016 8:55:00 AM"</f>
        <v>9/2/2016 8:55:00 AM</v>
      </c>
      <c r="O9954" t="s">
        <v>29875</v>
      </c>
      <c r="T9954" t="s">
        <v>29876</v>
      </c>
    </row>
    <row r="9955" spans="1:20" x14ac:dyDescent="0.25">
      <c r="A9955" t="str">
        <f>"3060612"</f>
        <v>3060612</v>
      </c>
      <c r="B9955" t="s">
        <v>29879</v>
      </c>
      <c r="C9955" t="str">
        <f>"30004000"</f>
        <v>30004000</v>
      </c>
      <c r="D9955" t="s">
        <v>29880</v>
      </c>
      <c r="E9955" t="s">
        <v>29881</v>
      </c>
      <c r="F9955" t="s">
        <v>29882</v>
      </c>
      <c r="I9955" t="s">
        <v>2071</v>
      </c>
      <c r="J9955" t="s">
        <v>30</v>
      </c>
      <c r="K9955" t="s">
        <v>185</v>
      </c>
      <c r="M9955" t="s">
        <v>25494</v>
      </c>
      <c r="N9955" t="str">
        <f>"9/2/2016 9:00:00 AM"</f>
        <v>9/2/2016 9:00:00 AM</v>
      </c>
      <c r="O9955" t="s">
        <v>29880</v>
      </c>
      <c r="T9955" t="s">
        <v>29881</v>
      </c>
    </row>
    <row r="9956" spans="1:20" x14ac:dyDescent="0.25">
      <c r="A9956" t="str">
        <f>"3044153"</f>
        <v>3044153</v>
      </c>
      <c r="B9956" t="s">
        <v>29883</v>
      </c>
      <c r="C9956" t="str">
        <f>"8306793"</f>
        <v>8306793</v>
      </c>
      <c r="D9956" t="s">
        <v>29884</v>
      </c>
      <c r="F9956" t="s">
        <v>29885</v>
      </c>
      <c r="I9956" t="s">
        <v>184</v>
      </c>
      <c r="J9956" t="s">
        <v>30</v>
      </c>
      <c r="K9956" t="str">
        <f>"27006"</f>
        <v>27006</v>
      </c>
      <c r="M9956" t="s">
        <v>17861</v>
      </c>
      <c r="N9956" t="str">
        <f>"9/2/2016 9:07:00 AM"</f>
        <v>9/2/2016 9:07:00 AM</v>
      </c>
      <c r="O9956" t="s">
        <v>29884</v>
      </c>
    </row>
    <row r="9957" spans="1:20" x14ac:dyDescent="0.25">
      <c r="A9957" t="str">
        <f>"3069020"</f>
        <v>3069020</v>
      </c>
      <c r="B9957" t="s">
        <v>29886</v>
      </c>
      <c r="C9957" t="str">
        <f>"8306794"</f>
        <v>8306794</v>
      </c>
      <c r="D9957" t="s">
        <v>29887</v>
      </c>
      <c r="F9957" t="s">
        <v>29888</v>
      </c>
      <c r="I9957" t="s">
        <v>29</v>
      </c>
      <c r="J9957" t="s">
        <v>30</v>
      </c>
      <c r="K9957" t="str">
        <f>"27028"</f>
        <v>27028</v>
      </c>
      <c r="M9957" t="s">
        <v>17861</v>
      </c>
      <c r="N9957" t="str">
        <f>"9/2/2016 9:58:00 AM"</f>
        <v>9/2/2016 9:58:00 AM</v>
      </c>
      <c r="O9957" t="s">
        <v>29887</v>
      </c>
    </row>
    <row r="9958" spans="1:20" x14ac:dyDescent="0.25">
      <c r="A9958" t="str">
        <f>"3051423"</f>
        <v>3051423</v>
      </c>
      <c r="B9958" t="s">
        <v>29889</v>
      </c>
      <c r="C9958" t="str">
        <f>"82532806"</f>
        <v>82532806</v>
      </c>
      <c r="D9958" t="s">
        <v>29890</v>
      </c>
      <c r="F9958" t="s">
        <v>29891</v>
      </c>
      <c r="I9958" t="s">
        <v>29</v>
      </c>
      <c r="J9958" t="s">
        <v>30</v>
      </c>
      <c r="K9958" t="s">
        <v>31</v>
      </c>
      <c r="M9958" t="s">
        <v>25494</v>
      </c>
      <c r="N9958" t="str">
        <f>"8/31/2016 8:26:00 AM"</f>
        <v>8/31/2016 8:26:00 AM</v>
      </c>
      <c r="O9958" t="s">
        <v>29890</v>
      </c>
    </row>
    <row r="9959" spans="1:20" x14ac:dyDescent="0.25">
      <c r="A9959" t="str">
        <f>"3058220"</f>
        <v>3058220</v>
      </c>
      <c r="B9959" t="s">
        <v>29892</v>
      </c>
      <c r="C9959" t="str">
        <f>"8306840"</f>
        <v>8306840</v>
      </c>
      <c r="D9959" t="s">
        <v>29893</v>
      </c>
      <c r="E9959" t="s">
        <v>29894</v>
      </c>
      <c r="F9959" t="s">
        <v>29895</v>
      </c>
      <c r="I9959" t="s">
        <v>29</v>
      </c>
      <c r="J9959" t="s">
        <v>30</v>
      </c>
      <c r="K9959" t="str">
        <f>"27028"</f>
        <v>27028</v>
      </c>
      <c r="M9959" t="s">
        <v>17861</v>
      </c>
      <c r="N9959" t="str">
        <f>"9/9/2016 9:52:00 AM"</f>
        <v>9/9/2016 9:52:00 AM</v>
      </c>
      <c r="O9959" t="s">
        <v>29893</v>
      </c>
      <c r="T9959" t="s">
        <v>29894</v>
      </c>
    </row>
    <row r="9960" spans="1:20" x14ac:dyDescent="0.25">
      <c r="A9960" t="str">
        <f>"3050772"</f>
        <v>3050772</v>
      </c>
      <c r="B9960" t="s">
        <v>29896</v>
      </c>
      <c r="C9960" t="str">
        <f>"8306842"</f>
        <v>8306842</v>
      </c>
      <c r="D9960" t="s">
        <v>29897</v>
      </c>
      <c r="E9960" t="s">
        <v>29898</v>
      </c>
      <c r="F9960" t="s">
        <v>29899</v>
      </c>
      <c r="I9960" t="s">
        <v>184</v>
      </c>
      <c r="J9960" t="s">
        <v>30</v>
      </c>
      <c r="K9960" t="str">
        <f>"27028"</f>
        <v>27028</v>
      </c>
      <c r="M9960" t="s">
        <v>17861</v>
      </c>
      <c r="N9960" t="str">
        <f>"9/9/2016 10:03:00 AM"</f>
        <v>9/9/2016 10:03:00 AM</v>
      </c>
      <c r="O9960" t="s">
        <v>29897</v>
      </c>
      <c r="T9960" t="s">
        <v>29898</v>
      </c>
    </row>
    <row r="9961" spans="1:20" x14ac:dyDescent="0.25">
      <c r="A9961" t="str">
        <f>"3062376"</f>
        <v>3062376</v>
      </c>
      <c r="B9961" t="s">
        <v>29900</v>
      </c>
      <c r="C9961" t="str">
        <f>"82525165"</f>
        <v>82525165</v>
      </c>
      <c r="D9961" t="s">
        <v>29901</v>
      </c>
      <c r="E9961" t="s">
        <v>29902</v>
      </c>
      <c r="F9961" t="s">
        <v>29903</v>
      </c>
      <c r="I9961" t="s">
        <v>29</v>
      </c>
      <c r="J9961" t="s">
        <v>30</v>
      </c>
      <c r="K9961" t="s">
        <v>14086</v>
      </c>
      <c r="M9961" t="s">
        <v>25494</v>
      </c>
      <c r="N9961" t="str">
        <f>"8/31/2016 8:27:00 AM"</f>
        <v>8/31/2016 8:27:00 AM</v>
      </c>
      <c r="O9961" t="s">
        <v>29901</v>
      </c>
      <c r="T9961" t="s">
        <v>29902</v>
      </c>
    </row>
    <row r="9962" spans="1:20" x14ac:dyDescent="0.25">
      <c r="A9962" t="str">
        <f>"3059331"</f>
        <v>3059331</v>
      </c>
      <c r="B9962" t="s">
        <v>29904</v>
      </c>
      <c r="C9962" t="str">
        <f>"76544000"</f>
        <v>76544000</v>
      </c>
      <c r="D9962" t="s">
        <v>29905</v>
      </c>
      <c r="E9962" t="s">
        <v>29906</v>
      </c>
      <c r="F9962" t="s">
        <v>29907</v>
      </c>
      <c r="I9962" t="s">
        <v>29</v>
      </c>
      <c r="J9962" t="s">
        <v>30</v>
      </c>
      <c r="K9962" t="s">
        <v>31</v>
      </c>
      <c r="M9962" t="s">
        <v>25494</v>
      </c>
      <c r="N9962" t="str">
        <f>"8/31/2016 8:31:00 AM"</f>
        <v>8/31/2016 8:31:00 AM</v>
      </c>
      <c r="O9962" t="s">
        <v>29905</v>
      </c>
      <c r="T9962" t="s">
        <v>29906</v>
      </c>
    </row>
    <row r="9963" spans="1:20" x14ac:dyDescent="0.25">
      <c r="A9963" t="str">
        <f>"3050553"</f>
        <v>3050553</v>
      </c>
      <c r="B9963" t="s">
        <v>29908</v>
      </c>
      <c r="C9963" t="str">
        <f>"82524100"</f>
        <v>82524100</v>
      </c>
      <c r="D9963" t="s">
        <v>29909</v>
      </c>
      <c r="F9963" t="s">
        <v>29910</v>
      </c>
      <c r="I9963" t="s">
        <v>184</v>
      </c>
      <c r="J9963" t="s">
        <v>30</v>
      </c>
      <c r="K9963" t="s">
        <v>29911</v>
      </c>
      <c r="M9963" t="s">
        <v>26316</v>
      </c>
      <c r="N9963" t="str">
        <f>"8/31/2016 4:01:00 PM"</f>
        <v>8/31/2016 4:01:00 PM</v>
      </c>
      <c r="O9963" t="s">
        <v>29909</v>
      </c>
    </row>
    <row r="9964" spans="1:20" x14ac:dyDescent="0.25">
      <c r="A9964" t="str">
        <f>"3050846"</f>
        <v>3050846</v>
      </c>
      <c r="B9964" t="s">
        <v>29912</v>
      </c>
      <c r="C9964" t="str">
        <f>"82524100"</f>
        <v>82524100</v>
      </c>
      <c r="D9964" t="s">
        <v>29909</v>
      </c>
      <c r="F9964" t="s">
        <v>29910</v>
      </c>
      <c r="I9964" t="s">
        <v>184</v>
      </c>
      <c r="J9964" t="s">
        <v>30</v>
      </c>
      <c r="K9964" t="s">
        <v>29911</v>
      </c>
      <c r="M9964" t="s">
        <v>26316</v>
      </c>
      <c r="N9964" t="str">
        <f>"8/31/2016 4:01:00 PM"</f>
        <v>8/31/2016 4:01:00 PM</v>
      </c>
      <c r="O9964" t="s">
        <v>29909</v>
      </c>
    </row>
    <row r="9965" spans="1:20" x14ac:dyDescent="0.25">
      <c r="A9965" t="str">
        <f>"3037296"</f>
        <v>3037296</v>
      </c>
      <c r="B9965" t="s">
        <v>29913</v>
      </c>
      <c r="C9965" t="str">
        <f>"37216860"</f>
        <v>37216860</v>
      </c>
      <c r="D9965" t="s">
        <v>29914</v>
      </c>
      <c r="E9965" t="s">
        <v>29915</v>
      </c>
      <c r="F9965" t="s">
        <v>29916</v>
      </c>
      <c r="I9965" t="s">
        <v>184</v>
      </c>
      <c r="J9965" t="s">
        <v>30</v>
      </c>
      <c r="K9965" t="s">
        <v>185</v>
      </c>
      <c r="M9965" t="s">
        <v>25494</v>
      </c>
      <c r="N9965" t="str">
        <f>"9/1/2016 8:32:00 AM"</f>
        <v>9/1/2016 8:32:00 AM</v>
      </c>
      <c r="O9965" t="s">
        <v>29914</v>
      </c>
      <c r="T9965" t="s">
        <v>29915</v>
      </c>
    </row>
    <row r="9966" spans="1:20" x14ac:dyDescent="0.25">
      <c r="A9966" t="str">
        <f>"3037746"</f>
        <v>3037746</v>
      </c>
      <c r="B9966" t="s">
        <v>29917</v>
      </c>
      <c r="C9966" t="str">
        <f>"82530991"</f>
        <v>82530991</v>
      </c>
      <c r="D9966" t="s">
        <v>29918</v>
      </c>
      <c r="E9966" t="s">
        <v>29919</v>
      </c>
      <c r="F9966" t="s">
        <v>29920</v>
      </c>
      <c r="I9966" t="s">
        <v>29</v>
      </c>
      <c r="K9966" t="s">
        <v>31</v>
      </c>
      <c r="M9966" t="s">
        <v>25494</v>
      </c>
      <c r="N9966" t="str">
        <f>"9/1/2016 8:33:00 AM"</f>
        <v>9/1/2016 8:33:00 AM</v>
      </c>
      <c r="O9966" t="s">
        <v>29918</v>
      </c>
      <c r="T9966" t="s">
        <v>29919</v>
      </c>
    </row>
    <row r="9967" spans="1:20" x14ac:dyDescent="0.25">
      <c r="A9967" t="str">
        <f>"3040700"</f>
        <v>3040700</v>
      </c>
      <c r="B9967" t="s">
        <v>29921</v>
      </c>
      <c r="C9967" t="str">
        <f>"8306811"</f>
        <v>8306811</v>
      </c>
      <c r="D9967" t="s">
        <v>29922</v>
      </c>
      <c r="E9967" t="s">
        <v>29923</v>
      </c>
      <c r="F9967" t="s">
        <v>29924</v>
      </c>
      <c r="I9967" t="s">
        <v>184</v>
      </c>
      <c r="J9967" t="s">
        <v>30</v>
      </c>
      <c r="K9967" t="str">
        <f>"27006"</f>
        <v>27006</v>
      </c>
      <c r="M9967" t="s">
        <v>17861</v>
      </c>
      <c r="N9967" t="str">
        <f>"9/6/2016 2:47:00 PM"</f>
        <v>9/6/2016 2:47:00 PM</v>
      </c>
      <c r="O9967" t="s">
        <v>29922</v>
      </c>
      <c r="T9967" t="s">
        <v>29923</v>
      </c>
    </row>
    <row r="9968" spans="1:20" x14ac:dyDescent="0.25">
      <c r="A9968" t="str">
        <f>"3048894"</f>
        <v>3048894</v>
      </c>
      <c r="B9968" t="s">
        <v>29925</v>
      </c>
      <c r="C9968" t="str">
        <f>"82531273"</f>
        <v>82531273</v>
      </c>
      <c r="D9968" t="s">
        <v>29864</v>
      </c>
      <c r="E9968" t="str">
        <f>"C/O Tracy Lessor"</f>
        <v>C/O Tracy Lessor</v>
      </c>
      <c r="F9968" t="s">
        <v>3220</v>
      </c>
      <c r="I9968" t="s">
        <v>471</v>
      </c>
      <c r="J9968" t="s">
        <v>30</v>
      </c>
      <c r="K9968" t="s">
        <v>3221</v>
      </c>
      <c r="M9968" t="s">
        <v>17922</v>
      </c>
      <c r="N9968" t="str">
        <f>"9/6/2016 3:48:00 PM"</f>
        <v>9/6/2016 3:48:00 PM</v>
      </c>
      <c r="O9968" t="s">
        <v>29864</v>
      </c>
      <c r="T9968" t="str">
        <f>"C/O Tracy Lessor"</f>
        <v>C/O Tracy Lessor</v>
      </c>
    </row>
    <row r="9969" spans="1:20" x14ac:dyDescent="0.25">
      <c r="A9969" t="str">
        <f>"3057111"</f>
        <v>3057111</v>
      </c>
      <c r="B9969" t="s">
        <v>29926</v>
      </c>
      <c r="C9969" t="str">
        <f>"8306812"</f>
        <v>8306812</v>
      </c>
      <c r="D9969" t="s">
        <v>29872</v>
      </c>
      <c r="F9969" t="s">
        <v>29873</v>
      </c>
      <c r="I9969" t="s">
        <v>29</v>
      </c>
      <c r="J9969" t="s">
        <v>30</v>
      </c>
      <c r="K9969" t="s">
        <v>13701</v>
      </c>
      <c r="M9969" t="s">
        <v>17861</v>
      </c>
      <c r="N9969" t="str">
        <f>"9/8/2016 10:17:00 AM"</f>
        <v>9/8/2016 10:17:00 AM</v>
      </c>
      <c r="O9969" t="s">
        <v>29872</v>
      </c>
    </row>
    <row r="9970" spans="1:20" x14ac:dyDescent="0.25">
      <c r="A9970" t="str">
        <f>"3059206"</f>
        <v>3059206</v>
      </c>
      <c r="B9970" t="s">
        <v>29927</v>
      </c>
      <c r="C9970" t="str">
        <f>"8306818"</f>
        <v>8306818</v>
      </c>
      <c r="D9970" t="s">
        <v>29928</v>
      </c>
      <c r="F9970" t="s">
        <v>29929</v>
      </c>
      <c r="I9970" t="s">
        <v>29</v>
      </c>
      <c r="J9970" t="s">
        <v>30</v>
      </c>
      <c r="K9970" t="str">
        <f>"27028"</f>
        <v>27028</v>
      </c>
      <c r="M9970" t="s">
        <v>17861</v>
      </c>
      <c r="N9970" t="str">
        <f>"9/8/2016 1:50:00 PM"</f>
        <v>9/8/2016 1:50:00 PM</v>
      </c>
      <c r="O9970" t="s">
        <v>29928</v>
      </c>
    </row>
    <row r="9971" spans="1:20" x14ac:dyDescent="0.25">
      <c r="A9971" t="str">
        <f>"3053171"</f>
        <v>3053171</v>
      </c>
      <c r="B9971" t="s">
        <v>29930</v>
      </c>
      <c r="C9971" t="str">
        <f>"8306823"</f>
        <v>8306823</v>
      </c>
      <c r="D9971" t="s">
        <v>29931</v>
      </c>
      <c r="E9971" t="s">
        <v>29932</v>
      </c>
      <c r="F9971" t="s">
        <v>29933</v>
      </c>
      <c r="I9971" t="s">
        <v>29</v>
      </c>
      <c r="J9971" t="s">
        <v>30</v>
      </c>
      <c r="K9971" t="str">
        <f>"27028"</f>
        <v>27028</v>
      </c>
      <c r="M9971" t="s">
        <v>17861</v>
      </c>
      <c r="N9971" t="str">
        <f>"9/8/2016 2:58:00 PM"</f>
        <v>9/8/2016 2:58:00 PM</v>
      </c>
      <c r="O9971" t="s">
        <v>29931</v>
      </c>
      <c r="T9971" t="s">
        <v>29932</v>
      </c>
    </row>
    <row r="9972" spans="1:20" x14ac:dyDescent="0.25">
      <c r="A9972" t="str">
        <f>"3052341"</f>
        <v>3052341</v>
      </c>
      <c r="B9972" t="s">
        <v>29934</v>
      </c>
      <c r="C9972" t="str">
        <f>"82530491"</f>
        <v>82530491</v>
      </c>
      <c r="D9972" t="s">
        <v>29935</v>
      </c>
      <c r="F9972" t="s">
        <v>29936</v>
      </c>
      <c r="I9972" t="s">
        <v>29</v>
      </c>
      <c r="J9972" t="s">
        <v>30</v>
      </c>
      <c r="K9972" t="s">
        <v>31</v>
      </c>
      <c r="M9972" t="s">
        <v>18470</v>
      </c>
      <c r="N9972" t="str">
        <f>"9/20/2016 10:42:00 AM"</f>
        <v>9/20/2016 10:42:00 AM</v>
      </c>
      <c r="O9972" t="s">
        <v>29935</v>
      </c>
    </row>
    <row r="9973" spans="1:20" x14ac:dyDescent="0.25">
      <c r="A9973" t="str">
        <f>"3052921"</f>
        <v>3052921</v>
      </c>
      <c r="B9973" t="s">
        <v>29937</v>
      </c>
      <c r="C9973" t="str">
        <f>"82530491"</f>
        <v>82530491</v>
      </c>
      <c r="D9973" t="s">
        <v>29935</v>
      </c>
      <c r="F9973" t="s">
        <v>29936</v>
      </c>
      <c r="I9973" t="s">
        <v>29</v>
      </c>
      <c r="J9973" t="s">
        <v>30</v>
      </c>
      <c r="K9973" t="s">
        <v>31</v>
      </c>
      <c r="M9973" t="s">
        <v>18470</v>
      </c>
      <c r="N9973" t="str">
        <f>"9/20/2016 10:42:00 AM"</f>
        <v>9/20/2016 10:42:00 AM</v>
      </c>
      <c r="O9973" t="s">
        <v>29935</v>
      </c>
    </row>
    <row r="9974" spans="1:20" x14ac:dyDescent="0.25">
      <c r="A9974" t="str">
        <f>"3063043"</f>
        <v>3063043</v>
      </c>
      <c r="B9974" t="s">
        <v>29938</v>
      </c>
      <c r="C9974" t="str">
        <f>"8306859"</f>
        <v>8306859</v>
      </c>
      <c r="D9974" t="s">
        <v>29939</v>
      </c>
      <c r="E9974" t="s">
        <v>29940</v>
      </c>
      <c r="F9974" t="s">
        <v>29941</v>
      </c>
      <c r="I9974" t="s">
        <v>184</v>
      </c>
      <c r="J9974" t="s">
        <v>30</v>
      </c>
      <c r="K9974" t="str">
        <f>"27006"</f>
        <v>27006</v>
      </c>
      <c r="M9974" t="s">
        <v>17861</v>
      </c>
      <c r="N9974" t="str">
        <f>"9/20/2016 10:46:00 AM"</f>
        <v>9/20/2016 10:46:00 AM</v>
      </c>
      <c r="O9974" t="s">
        <v>29939</v>
      </c>
      <c r="T9974" t="s">
        <v>29940</v>
      </c>
    </row>
    <row r="9975" spans="1:20" x14ac:dyDescent="0.25">
      <c r="A9975" t="str">
        <f>"3044733"</f>
        <v>3044733</v>
      </c>
      <c r="B9975" t="s">
        <v>29942</v>
      </c>
      <c r="C9975" t="str">
        <f>"8306860"</f>
        <v>8306860</v>
      </c>
      <c r="D9975" t="s">
        <v>29943</v>
      </c>
      <c r="E9975" t="s">
        <v>29944</v>
      </c>
      <c r="F9975" t="s">
        <v>29945</v>
      </c>
      <c r="I9975" t="s">
        <v>184</v>
      </c>
      <c r="J9975" t="s">
        <v>30</v>
      </c>
      <c r="K9975" t="str">
        <f>"27006"</f>
        <v>27006</v>
      </c>
      <c r="M9975" t="s">
        <v>17861</v>
      </c>
      <c r="N9975" t="str">
        <f>"9/20/2016 10:50:00 AM"</f>
        <v>9/20/2016 10:50:00 AM</v>
      </c>
      <c r="O9975" t="s">
        <v>29943</v>
      </c>
      <c r="T9975" t="s">
        <v>29944</v>
      </c>
    </row>
    <row r="9976" spans="1:20" x14ac:dyDescent="0.25">
      <c r="A9976" t="str">
        <f>"3050183"</f>
        <v>3050183</v>
      </c>
      <c r="B9976" t="s">
        <v>29946</v>
      </c>
      <c r="C9976" t="str">
        <f>"8306826"</f>
        <v>8306826</v>
      </c>
      <c r="D9976" t="s">
        <v>29947</v>
      </c>
      <c r="F9976" t="s">
        <v>29948</v>
      </c>
      <c r="I9976" t="s">
        <v>29</v>
      </c>
      <c r="J9976" t="s">
        <v>30</v>
      </c>
      <c r="K9976" t="str">
        <f>"27028"</f>
        <v>27028</v>
      </c>
      <c r="M9976" t="s">
        <v>17861</v>
      </c>
      <c r="N9976" t="str">
        <f>"9/8/2016 3:25:00 PM"</f>
        <v>9/8/2016 3:25:00 PM</v>
      </c>
      <c r="O9976" t="s">
        <v>29947</v>
      </c>
    </row>
    <row r="9977" spans="1:20" x14ac:dyDescent="0.25">
      <c r="A9977" t="str">
        <f>"3065021"</f>
        <v>3065021</v>
      </c>
      <c r="B9977" t="s">
        <v>29949</v>
      </c>
      <c r="C9977" t="str">
        <f>"8306830"</f>
        <v>8306830</v>
      </c>
      <c r="D9977" t="s">
        <v>29950</v>
      </c>
      <c r="E9977" t="s">
        <v>29951</v>
      </c>
      <c r="F9977" t="s">
        <v>29952</v>
      </c>
      <c r="I9977" t="s">
        <v>184</v>
      </c>
      <c r="J9977" t="s">
        <v>30</v>
      </c>
      <c r="K9977" t="str">
        <f>"27006"</f>
        <v>27006</v>
      </c>
      <c r="M9977" t="s">
        <v>17861</v>
      </c>
      <c r="N9977" t="str">
        <f>"9/8/2016 3:49:00 PM"</f>
        <v>9/8/2016 3:49:00 PM</v>
      </c>
      <c r="O9977" t="s">
        <v>29950</v>
      </c>
      <c r="T9977" t="s">
        <v>29951</v>
      </c>
    </row>
    <row r="9978" spans="1:20" x14ac:dyDescent="0.25">
      <c r="A9978" t="str">
        <f>"3061616"</f>
        <v>3061616</v>
      </c>
      <c r="B9978" t="s">
        <v>29953</v>
      </c>
      <c r="C9978" t="str">
        <f>"8306866"</f>
        <v>8306866</v>
      </c>
      <c r="D9978" t="s">
        <v>29954</v>
      </c>
      <c r="E9978" t="s">
        <v>29955</v>
      </c>
      <c r="F9978" t="s">
        <v>29956</v>
      </c>
      <c r="I9978" t="s">
        <v>184</v>
      </c>
      <c r="J9978" t="s">
        <v>30</v>
      </c>
      <c r="K9978" t="str">
        <f>"27006"</f>
        <v>27006</v>
      </c>
      <c r="M9978" t="s">
        <v>17861</v>
      </c>
      <c r="N9978" t="str">
        <f>"9/20/2016 2:36:00 PM"</f>
        <v>9/20/2016 2:36:00 PM</v>
      </c>
      <c r="O9978" t="s">
        <v>29954</v>
      </c>
      <c r="T9978" t="s">
        <v>29955</v>
      </c>
    </row>
    <row r="9979" spans="1:20" x14ac:dyDescent="0.25">
      <c r="A9979" t="str">
        <f>"3051448"</f>
        <v>3051448</v>
      </c>
      <c r="B9979" t="s">
        <v>29957</v>
      </c>
      <c r="C9979" t="str">
        <f>"8306868"</f>
        <v>8306868</v>
      </c>
      <c r="D9979" t="s">
        <v>29958</v>
      </c>
      <c r="F9979" t="s">
        <v>29959</v>
      </c>
      <c r="I9979" t="s">
        <v>184</v>
      </c>
      <c r="J9979" t="s">
        <v>30</v>
      </c>
      <c r="K9979" t="str">
        <f>"27006"</f>
        <v>27006</v>
      </c>
      <c r="M9979" t="s">
        <v>17861</v>
      </c>
      <c r="N9979" t="str">
        <f>"9/20/2016 2:44:00 PM"</f>
        <v>9/20/2016 2:44:00 PM</v>
      </c>
      <c r="O9979" t="s">
        <v>29958</v>
      </c>
    </row>
    <row r="9980" spans="1:20" x14ac:dyDescent="0.25">
      <c r="A9980" t="str">
        <f>"3050313"</f>
        <v>3050313</v>
      </c>
      <c r="B9980" t="s">
        <v>29960</v>
      </c>
      <c r="C9980" t="str">
        <f>"8306868"</f>
        <v>8306868</v>
      </c>
      <c r="D9980" t="s">
        <v>29958</v>
      </c>
      <c r="F9980" t="s">
        <v>29959</v>
      </c>
      <c r="I9980" t="s">
        <v>184</v>
      </c>
      <c r="J9980" t="s">
        <v>30</v>
      </c>
      <c r="K9980" t="str">
        <f>"27006"</f>
        <v>27006</v>
      </c>
      <c r="M9980" t="s">
        <v>17861</v>
      </c>
      <c r="N9980" t="str">
        <f>"9/20/2016 2:44:00 PM"</f>
        <v>9/20/2016 2:44:00 PM</v>
      </c>
      <c r="O9980" t="s">
        <v>29958</v>
      </c>
    </row>
    <row r="9981" spans="1:20" x14ac:dyDescent="0.25">
      <c r="A9981" t="str">
        <f>"3049630"</f>
        <v>3049630</v>
      </c>
      <c r="B9981" t="s">
        <v>29961</v>
      </c>
      <c r="C9981" t="str">
        <f>"8306868"</f>
        <v>8306868</v>
      </c>
      <c r="D9981" t="s">
        <v>29958</v>
      </c>
      <c r="F9981" t="s">
        <v>29959</v>
      </c>
      <c r="I9981" t="s">
        <v>184</v>
      </c>
      <c r="J9981" t="s">
        <v>30</v>
      </c>
      <c r="K9981" t="str">
        <f>"27006"</f>
        <v>27006</v>
      </c>
      <c r="M9981" t="s">
        <v>17861</v>
      </c>
      <c r="N9981" t="str">
        <f>"9/20/2016 2:44:00 PM"</f>
        <v>9/20/2016 2:44:00 PM</v>
      </c>
      <c r="O9981" t="s">
        <v>29958</v>
      </c>
    </row>
    <row r="9982" spans="1:20" x14ac:dyDescent="0.25">
      <c r="A9982" t="str">
        <f>"3055214"</f>
        <v>3055214</v>
      </c>
      <c r="B9982" t="s">
        <v>29962</v>
      </c>
      <c r="C9982" t="str">
        <f>"8306833"</f>
        <v>8306833</v>
      </c>
      <c r="D9982" t="s">
        <v>29963</v>
      </c>
      <c r="E9982" t="s">
        <v>29964</v>
      </c>
      <c r="F9982" t="s">
        <v>29965</v>
      </c>
      <c r="I9982" t="s">
        <v>29</v>
      </c>
      <c r="J9982" t="s">
        <v>30</v>
      </c>
      <c r="K9982" t="str">
        <f>"27028"</f>
        <v>27028</v>
      </c>
      <c r="M9982" t="s">
        <v>17861</v>
      </c>
      <c r="N9982" t="str">
        <f>"9/8/2016 4:09:00 PM"</f>
        <v>9/8/2016 4:09:00 PM</v>
      </c>
      <c r="O9982" t="s">
        <v>29963</v>
      </c>
      <c r="T9982" t="s">
        <v>29964</v>
      </c>
    </row>
    <row r="9983" spans="1:20" x14ac:dyDescent="0.25">
      <c r="A9983" t="str">
        <f>"3060419"</f>
        <v>3060419</v>
      </c>
      <c r="B9983" t="s">
        <v>29966</v>
      </c>
      <c r="C9983" t="str">
        <f>"8306838"</f>
        <v>8306838</v>
      </c>
      <c r="D9983" t="s">
        <v>29967</v>
      </c>
      <c r="E9983" t="s">
        <v>29968</v>
      </c>
      <c r="F9983" t="s">
        <v>29969</v>
      </c>
      <c r="I9983" t="s">
        <v>2071</v>
      </c>
      <c r="J9983" t="s">
        <v>30</v>
      </c>
      <c r="K9983" t="str">
        <f>"27006"</f>
        <v>27006</v>
      </c>
      <c r="M9983" t="s">
        <v>17861</v>
      </c>
      <c r="N9983" t="str">
        <f>"9/9/2016 9:13:00 AM"</f>
        <v>9/9/2016 9:13:00 AM</v>
      </c>
      <c r="O9983" t="s">
        <v>29967</v>
      </c>
      <c r="T9983" t="s">
        <v>29968</v>
      </c>
    </row>
    <row r="9984" spans="1:20" x14ac:dyDescent="0.25">
      <c r="A9984" t="str">
        <f>"3050218"</f>
        <v>3050218</v>
      </c>
      <c r="B9984" t="s">
        <v>29970</v>
      </c>
      <c r="C9984" t="str">
        <f>"8306879"</f>
        <v>8306879</v>
      </c>
      <c r="D9984" t="s">
        <v>29971</v>
      </c>
      <c r="E9984" t="s">
        <v>29972</v>
      </c>
      <c r="F9984" t="s">
        <v>29973</v>
      </c>
      <c r="I9984" t="s">
        <v>29</v>
      </c>
      <c r="J9984" t="s">
        <v>30</v>
      </c>
      <c r="K9984" t="str">
        <f>"27028"</f>
        <v>27028</v>
      </c>
      <c r="M9984" t="s">
        <v>17861</v>
      </c>
      <c r="N9984" t="str">
        <f>"9/26/2016 10:37:00 AM"</f>
        <v>9/26/2016 10:37:00 AM</v>
      </c>
      <c r="O9984" t="s">
        <v>29971</v>
      </c>
      <c r="T9984" t="s">
        <v>29972</v>
      </c>
    </row>
    <row r="9985" spans="1:20" x14ac:dyDescent="0.25">
      <c r="A9985" t="str">
        <f>"3046222"</f>
        <v>3046222</v>
      </c>
      <c r="B9985" t="s">
        <v>29974</v>
      </c>
      <c r="C9985" t="str">
        <f>"8306880"</f>
        <v>8306880</v>
      </c>
      <c r="D9985" t="s">
        <v>29975</v>
      </c>
      <c r="E9985" t="s">
        <v>29976</v>
      </c>
      <c r="F9985" t="s">
        <v>29977</v>
      </c>
      <c r="I9985" t="s">
        <v>29</v>
      </c>
      <c r="J9985" t="s">
        <v>30</v>
      </c>
      <c r="K9985" t="str">
        <f>"27028"</f>
        <v>27028</v>
      </c>
      <c r="M9985" t="s">
        <v>17861</v>
      </c>
      <c r="N9985" t="str">
        <f>"9/26/2016 11:11:00 AM"</f>
        <v>9/26/2016 11:11:00 AM</v>
      </c>
      <c r="O9985" t="s">
        <v>29975</v>
      </c>
      <c r="T9985" t="s">
        <v>29976</v>
      </c>
    </row>
    <row r="9986" spans="1:20" x14ac:dyDescent="0.25">
      <c r="A9986" t="str">
        <f>"3055728"</f>
        <v>3055728</v>
      </c>
      <c r="B9986" t="s">
        <v>29978</v>
      </c>
      <c r="C9986" t="str">
        <f>"8306882"</f>
        <v>8306882</v>
      </c>
      <c r="D9986" t="s">
        <v>29979</v>
      </c>
      <c r="F9986" t="s">
        <v>29980</v>
      </c>
      <c r="I9986" t="s">
        <v>471</v>
      </c>
      <c r="J9986" t="s">
        <v>30</v>
      </c>
      <c r="K9986" t="str">
        <f>"27106"</f>
        <v>27106</v>
      </c>
      <c r="M9986" t="s">
        <v>17861</v>
      </c>
      <c r="N9986" t="str">
        <f>"9/26/2016 11:28:00 AM"</f>
        <v>9/26/2016 11:28:00 AM</v>
      </c>
      <c r="O9986" t="s">
        <v>29979</v>
      </c>
    </row>
    <row r="9987" spans="1:20" x14ac:dyDescent="0.25">
      <c r="A9987" t="str">
        <f>"3065451"</f>
        <v>3065451</v>
      </c>
      <c r="B9987" t="s">
        <v>29981</v>
      </c>
      <c r="C9987" t="str">
        <f>"8306798"</f>
        <v>8306798</v>
      </c>
      <c r="D9987" t="str">
        <f>"DALTON THOMAS E/GLORIA D"</f>
        <v>DALTON THOMAS E/GLORIA D</v>
      </c>
      <c r="E9987" t="str">
        <f>"WATKINS JR DEBRA D/LEMUEL"</f>
        <v>WATKINS JR DEBRA D/LEMUEL</v>
      </c>
      <c r="F9987" t="s">
        <v>13888</v>
      </c>
      <c r="I9987" t="s">
        <v>29</v>
      </c>
      <c r="J9987" t="s">
        <v>30</v>
      </c>
      <c r="K9987" t="str">
        <f>"27028"</f>
        <v>27028</v>
      </c>
      <c r="M9987" t="s">
        <v>17861</v>
      </c>
      <c r="N9987" t="str">
        <f>"9/2/2016 11:19:00 AM"</f>
        <v>9/2/2016 11:19:00 AM</v>
      </c>
      <c r="O9987" t="str">
        <f>"DALTON THOMAS E/GLORIA D"</f>
        <v>DALTON THOMAS E/GLORIA D</v>
      </c>
      <c r="T9987" t="str">
        <f>"WATKINS JR  DEBRA D/LEMUEL"</f>
        <v>WATKINS JR  DEBRA D/LEMUEL</v>
      </c>
    </row>
    <row r="9988" spans="1:20" x14ac:dyDescent="0.25">
      <c r="A9988" t="str">
        <f>"3069838"</f>
        <v>3069838</v>
      </c>
      <c r="B9988" t="s">
        <v>29982</v>
      </c>
      <c r="C9988" t="str">
        <f>"82512922"</f>
        <v>82512922</v>
      </c>
      <c r="D9988" t="s">
        <v>29983</v>
      </c>
      <c r="F9988" t="s">
        <v>29984</v>
      </c>
      <c r="I9988" t="s">
        <v>184</v>
      </c>
      <c r="J9988" t="s">
        <v>30</v>
      </c>
      <c r="K9988" t="s">
        <v>185</v>
      </c>
      <c r="M9988" t="s">
        <v>25625</v>
      </c>
      <c r="N9988" t="str">
        <f>"9/26/2016 3:00:00 PM"</f>
        <v>9/26/2016 3:00:00 PM</v>
      </c>
      <c r="O9988" t="s">
        <v>29983</v>
      </c>
    </row>
    <row r="9989" spans="1:20" x14ac:dyDescent="0.25">
      <c r="A9989" t="str">
        <f>"3052307"</f>
        <v>3052307</v>
      </c>
      <c r="B9989" t="s">
        <v>29985</v>
      </c>
      <c r="C9989" t="str">
        <f>"8306798"</f>
        <v>8306798</v>
      </c>
      <c r="D9989" t="str">
        <f>"DALTON THOMAS E/GLORIA D"</f>
        <v>DALTON THOMAS E/GLORIA D</v>
      </c>
      <c r="E9989" t="str">
        <f>"WATKINS JR DEBRA D/LEMUEL"</f>
        <v>WATKINS JR DEBRA D/LEMUEL</v>
      </c>
      <c r="F9989" t="s">
        <v>13888</v>
      </c>
      <c r="I9989" t="s">
        <v>29</v>
      </c>
      <c r="J9989" t="s">
        <v>30</v>
      </c>
      <c r="K9989" t="str">
        <f>"27028"</f>
        <v>27028</v>
      </c>
      <c r="M9989" t="s">
        <v>17861</v>
      </c>
      <c r="N9989" t="str">
        <f>"9/2/2016 11:19:00 AM"</f>
        <v>9/2/2016 11:19:00 AM</v>
      </c>
      <c r="O9989" t="str">
        <f>"DALTON THOMAS E/GLORIA D"</f>
        <v>DALTON THOMAS E/GLORIA D</v>
      </c>
      <c r="T9989" t="str">
        <f>"WATKINS JR  DEBRA D/LEMUEL"</f>
        <v>WATKINS JR  DEBRA D/LEMUEL</v>
      </c>
    </row>
    <row r="9990" spans="1:20" x14ac:dyDescent="0.25">
      <c r="A9990" t="str">
        <f>"3052308"</f>
        <v>3052308</v>
      </c>
      <c r="B9990" t="s">
        <v>29986</v>
      </c>
      <c r="C9990" t="str">
        <f>"8306798"</f>
        <v>8306798</v>
      </c>
      <c r="D9990" t="str">
        <f>"DALTON THOMAS E/GLORIA D"</f>
        <v>DALTON THOMAS E/GLORIA D</v>
      </c>
      <c r="E9990" t="str">
        <f>"WATKINS JR DEBRA D/LEMUEL"</f>
        <v>WATKINS JR DEBRA D/LEMUEL</v>
      </c>
      <c r="F9990" t="s">
        <v>13888</v>
      </c>
      <c r="I9990" t="s">
        <v>29</v>
      </c>
      <c r="J9990" t="s">
        <v>30</v>
      </c>
      <c r="K9990" t="str">
        <f>"27028"</f>
        <v>27028</v>
      </c>
      <c r="M9990" t="s">
        <v>17861</v>
      </c>
      <c r="N9990" t="str">
        <f>"9/2/2016 11:19:00 AM"</f>
        <v>9/2/2016 11:19:00 AM</v>
      </c>
      <c r="O9990" t="str">
        <f>"DALTON THOMAS E/GLORIA D"</f>
        <v>DALTON THOMAS E/GLORIA D</v>
      </c>
      <c r="T9990" t="str">
        <f>"WATKINS JR  DEBRA D/LEMUEL"</f>
        <v>WATKINS JR  DEBRA D/LEMUEL</v>
      </c>
    </row>
    <row r="9991" spans="1:20" x14ac:dyDescent="0.25">
      <c r="A9991" t="str">
        <f>"3052169"</f>
        <v>3052169</v>
      </c>
      <c r="B9991" t="s">
        <v>29987</v>
      </c>
      <c r="C9991" t="str">
        <f>"8306798"</f>
        <v>8306798</v>
      </c>
      <c r="D9991" t="str">
        <f>"DALTON THOMAS E/GLORIA D"</f>
        <v>DALTON THOMAS E/GLORIA D</v>
      </c>
      <c r="E9991" t="str">
        <f>"WATKINS JR DEBRA D/LEMUEL"</f>
        <v>WATKINS JR DEBRA D/LEMUEL</v>
      </c>
      <c r="F9991" t="s">
        <v>13888</v>
      </c>
      <c r="I9991" t="s">
        <v>29</v>
      </c>
      <c r="J9991" t="s">
        <v>30</v>
      </c>
      <c r="K9991" t="str">
        <f>"27028"</f>
        <v>27028</v>
      </c>
      <c r="M9991" t="s">
        <v>17861</v>
      </c>
      <c r="N9991" t="str">
        <f>"9/2/2016 11:19:00 AM"</f>
        <v>9/2/2016 11:19:00 AM</v>
      </c>
      <c r="O9991" t="str">
        <f>"DALTON THOMAS E/GLORIA D"</f>
        <v>DALTON THOMAS E/GLORIA D</v>
      </c>
      <c r="T9991" t="str">
        <f>"WATKINS JR  DEBRA D/LEMUEL"</f>
        <v>WATKINS JR  DEBRA D/LEMUEL</v>
      </c>
    </row>
    <row r="9992" spans="1:20" x14ac:dyDescent="0.25">
      <c r="A9992" t="str">
        <f>"3046105"</f>
        <v>3046105</v>
      </c>
      <c r="B9992" t="s">
        <v>29988</v>
      </c>
      <c r="C9992" t="str">
        <f>"29238630"</f>
        <v>29238630</v>
      </c>
      <c r="D9992" t="s">
        <v>29989</v>
      </c>
      <c r="E9992" t="s">
        <v>29990</v>
      </c>
      <c r="F9992" t="s">
        <v>29991</v>
      </c>
      <c r="I9992" t="s">
        <v>29</v>
      </c>
      <c r="J9992" t="s">
        <v>30</v>
      </c>
      <c r="K9992" t="s">
        <v>29992</v>
      </c>
      <c r="M9992" t="s">
        <v>25733</v>
      </c>
      <c r="N9992" t="str">
        <f>"9/2/2016 12:01:00 PM"</f>
        <v>9/2/2016 12:01:00 PM</v>
      </c>
      <c r="O9992" t="s">
        <v>29989</v>
      </c>
      <c r="T9992" t="s">
        <v>29990</v>
      </c>
    </row>
    <row r="9993" spans="1:20" x14ac:dyDescent="0.25">
      <c r="A9993" t="str">
        <f>"3055838"</f>
        <v>3055838</v>
      </c>
      <c r="B9993" t="s">
        <v>29993</v>
      </c>
      <c r="C9993" t="str">
        <f>"82528036"</f>
        <v>82528036</v>
      </c>
      <c r="D9993" t="s">
        <v>29994</v>
      </c>
      <c r="F9993" t="s">
        <v>29995</v>
      </c>
      <c r="I9993" t="s">
        <v>9580</v>
      </c>
      <c r="J9993" t="s">
        <v>30</v>
      </c>
      <c r="K9993" t="s">
        <v>9581</v>
      </c>
      <c r="M9993" t="s">
        <v>25733</v>
      </c>
      <c r="N9993" t="str">
        <f>"9/2/2016 12:07:00 PM"</f>
        <v>9/2/2016 12:07:00 PM</v>
      </c>
      <c r="O9993" t="s">
        <v>29994</v>
      </c>
    </row>
    <row r="9994" spans="1:20" x14ac:dyDescent="0.25">
      <c r="A9994" t="str">
        <f>"3056168"</f>
        <v>3056168</v>
      </c>
      <c r="B9994" t="s">
        <v>29996</v>
      </c>
      <c r="C9994" t="str">
        <f>"82528036"</f>
        <v>82528036</v>
      </c>
      <c r="D9994" t="s">
        <v>29994</v>
      </c>
      <c r="F9994" t="s">
        <v>29995</v>
      </c>
      <c r="I9994" t="s">
        <v>9580</v>
      </c>
      <c r="J9994" t="s">
        <v>30</v>
      </c>
      <c r="K9994" t="s">
        <v>9581</v>
      </c>
      <c r="M9994" t="s">
        <v>25733</v>
      </c>
      <c r="N9994" t="str">
        <f>"9/2/2016 12:07:00 PM"</f>
        <v>9/2/2016 12:07:00 PM</v>
      </c>
      <c r="O9994" t="s">
        <v>29994</v>
      </c>
    </row>
    <row r="9995" spans="1:20" x14ac:dyDescent="0.25">
      <c r="A9995" t="str">
        <f>"3058518"</f>
        <v>3058518</v>
      </c>
      <c r="B9995" t="s">
        <v>29997</v>
      </c>
      <c r="C9995" t="str">
        <f>"8306914"</f>
        <v>8306914</v>
      </c>
      <c r="D9995" t="s">
        <v>29998</v>
      </c>
      <c r="E9995" t="s">
        <v>29999</v>
      </c>
      <c r="F9995" t="s">
        <v>30000</v>
      </c>
      <c r="I9995" t="s">
        <v>29</v>
      </c>
      <c r="J9995" t="s">
        <v>30</v>
      </c>
      <c r="K9995" t="str">
        <f>"27028"</f>
        <v>27028</v>
      </c>
      <c r="M9995" t="s">
        <v>17861</v>
      </c>
      <c r="N9995" t="str">
        <f>"10/3/2016 3:34:00 PM"</f>
        <v>10/3/2016 3:34:00 PM</v>
      </c>
      <c r="O9995" t="s">
        <v>29998</v>
      </c>
      <c r="T9995" t="s">
        <v>29999</v>
      </c>
    </row>
    <row r="9996" spans="1:20" x14ac:dyDescent="0.25">
      <c r="A9996" t="str">
        <f>"3060110"</f>
        <v>3060110</v>
      </c>
      <c r="B9996" t="s">
        <v>30001</v>
      </c>
      <c r="C9996" t="str">
        <f>"8306801"</f>
        <v>8306801</v>
      </c>
      <c r="D9996" t="s">
        <v>30002</v>
      </c>
      <c r="E9996" t="s">
        <v>30003</v>
      </c>
      <c r="F9996" t="s">
        <v>30004</v>
      </c>
      <c r="I9996" t="s">
        <v>184</v>
      </c>
      <c r="J9996" t="s">
        <v>30</v>
      </c>
      <c r="K9996" t="str">
        <f>"27006"</f>
        <v>27006</v>
      </c>
      <c r="M9996" t="s">
        <v>17861</v>
      </c>
      <c r="N9996" t="str">
        <f>"9/2/2016 2:16:00 PM"</f>
        <v>9/2/2016 2:16:00 PM</v>
      </c>
      <c r="O9996" t="s">
        <v>30002</v>
      </c>
      <c r="T9996" t="s">
        <v>30003</v>
      </c>
    </row>
    <row r="9997" spans="1:20" x14ac:dyDescent="0.25">
      <c r="A9997" t="str">
        <f>"3098888"</f>
        <v>3098888</v>
      </c>
      <c r="B9997" t="s">
        <v>30005</v>
      </c>
      <c r="C9997" t="str">
        <f>"8306858"</f>
        <v>8306858</v>
      </c>
      <c r="D9997" t="str">
        <f>"OBERMILLER LISA SMITH/JOHN D"</f>
        <v>OBERMILLER LISA SMITH/JOHN D</v>
      </c>
      <c r="E9997" t="str">
        <f>"SMITH LANNY NELSON/KAY M"</f>
        <v>SMITH LANNY NELSON/KAY M</v>
      </c>
      <c r="F9997" t="s">
        <v>30006</v>
      </c>
      <c r="I9997" t="s">
        <v>30007</v>
      </c>
      <c r="J9997" t="s">
        <v>30</v>
      </c>
      <c r="K9997" t="str">
        <f>"28739"</f>
        <v>28739</v>
      </c>
      <c r="M9997" t="s">
        <v>17861</v>
      </c>
      <c r="N9997" t="str">
        <f>"10/3/2016 4:46:00 PM"</f>
        <v>10/3/2016 4:46:00 PM</v>
      </c>
      <c r="O9997" t="str">
        <f>"OBERMILLER LISA SMITH/JOHN D"</f>
        <v>OBERMILLER LISA SMITH/JOHN D</v>
      </c>
      <c r="T9997" t="str">
        <f>"SMITH LANNY NELSON/KAY M"</f>
        <v>SMITH LANNY NELSON/KAY M</v>
      </c>
    </row>
    <row r="9998" spans="1:20" x14ac:dyDescent="0.25">
      <c r="A9998" t="str">
        <f>"3050031"</f>
        <v>3050031</v>
      </c>
      <c r="B9998" t="s">
        <v>30008</v>
      </c>
      <c r="C9998" t="str">
        <f>"8306920"</f>
        <v>8306920</v>
      </c>
      <c r="D9998" t="str">
        <f>"OBERMILLER LISA SMITH/JOHN D"</f>
        <v>OBERMILLER LISA SMITH/JOHN D</v>
      </c>
      <c r="E9998" t="s">
        <v>30009</v>
      </c>
      <c r="F9998" t="s">
        <v>30006</v>
      </c>
      <c r="I9998" t="s">
        <v>30007</v>
      </c>
      <c r="J9998" t="s">
        <v>30</v>
      </c>
      <c r="K9998" t="str">
        <f>"28739"</f>
        <v>28739</v>
      </c>
      <c r="M9998" t="s">
        <v>17861</v>
      </c>
      <c r="N9998" t="str">
        <f>"10/3/2016 4:52:00 PM"</f>
        <v>10/3/2016 4:52:00 PM</v>
      </c>
      <c r="O9998" t="str">
        <f>"OBERMILLER LISA SMITH/JOHN D"</f>
        <v>OBERMILLER LISA SMITH/JOHN D</v>
      </c>
      <c r="T9998" t="s">
        <v>30009</v>
      </c>
    </row>
    <row r="9999" spans="1:20" x14ac:dyDescent="0.25">
      <c r="A9999" t="str">
        <f>"3049817"</f>
        <v>3049817</v>
      </c>
      <c r="B9999" t="s">
        <v>30010</v>
      </c>
      <c r="C9999" t="str">
        <f>"82526072"</f>
        <v>82526072</v>
      </c>
      <c r="D9999" t="s">
        <v>30011</v>
      </c>
      <c r="E9999" t="s">
        <v>30012</v>
      </c>
      <c r="F9999" t="s">
        <v>30013</v>
      </c>
      <c r="I9999" t="s">
        <v>29</v>
      </c>
      <c r="J9999" t="s">
        <v>30</v>
      </c>
      <c r="K9999" t="s">
        <v>31</v>
      </c>
      <c r="M9999" t="s">
        <v>25494</v>
      </c>
      <c r="N9999" t="str">
        <f>"10/4/2016 10:12:00 AM"</f>
        <v>10/4/2016 10:12:00 AM</v>
      </c>
      <c r="O9999" t="s">
        <v>30011</v>
      </c>
      <c r="T9999" t="s">
        <v>30012</v>
      </c>
    </row>
    <row r="10000" spans="1:20" x14ac:dyDescent="0.25">
      <c r="A10000" t="str">
        <f>"3057734"</f>
        <v>3057734</v>
      </c>
      <c r="B10000" t="s">
        <v>30014</v>
      </c>
      <c r="C10000" t="str">
        <f>"24680000"</f>
        <v>24680000</v>
      </c>
      <c r="D10000" t="s">
        <v>30015</v>
      </c>
      <c r="F10000" t="s">
        <v>30016</v>
      </c>
      <c r="I10000" t="s">
        <v>29</v>
      </c>
      <c r="J10000" t="s">
        <v>30</v>
      </c>
      <c r="K10000" t="s">
        <v>31</v>
      </c>
      <c r="M10000" t="s">
        <v>25494</v>
      </c>
      <c r="N10000" t="str">
        <f>"10/4/2016 10:18:00 AM"</f>
        <v>10/4/2016 10:18:00 AM</v>
      </c>
      <c r="O10000" t="s">
        <v>30015</v>
      </c>
    </row>
    <row r="10001" spans="1:20" x14ac:dyDescent="0.25">
      <c r="A10001" t="str">
        <f>"3058312"</f>
        <v>3058312</v>
      </c>
      <c r="B10001" t="s">
        <v>30017</v>
      </c>
      <c r="C10001" t="str">
        <f>"8306802"</f>
        <v>8306802</v>
      </c>
      <c r="D10001" t="s">
        <v>30018</v>
      </c>
      <c r="E10001" t="s">
        <v>30019</v>
      </c>
      <c r="F10001" t="s">
        <v>30020</v>
      </c>
      <c r="I10001" t="s">
        <v>29</v>
      </c>
      <c r="J10001" t="s">
        <v>30</v>
      </c>
      <c r="K10001" t="str">
        <f>"27028"</f>
        <v>27028</v>
      </c>
      <c r="M10001" t="s">
        <v>17861</v>
      </c>
      <c r="N10001" t="str">
        <f>"9/2/2016 2:46:00 PM"</f>
        <v>9/2/2016 2:46:00 PM</v>
      </c>
      <c r="O10001" t="s">
        <v>30018</v>
      </c>
      <c r="T10001" t="s">
        <v>30019</v>
      </c>
    </row>
    <row r="10002" spans="1:20" x14ac:dyDescent="0.25">
      <c r="A10002" t="str">
        <f>"3078728"</f>
        <v>3078728</v>
      </c>
      <c r="B10002" t="s">
        <v>30021</v>
      </c>
      <c r="C10002" t="str">
        <f>"8305293"</f>
        <v>8305293</v>
      </c>
      <c r="D10002" t="s">
        <v>30022</v>
      </c>
      <c r="E10002" t="s">
        <v>30023</v>
      </c>
      <c r="F10002" t="s">
        <v>30024</v>
      </c>
      <c r="I10002" t="s">
        <v>29</v>
      </c>
      <c r="J10002" t="s">
        <v>30</v>
      </c>
      <c r="K10002" t="str">
        <f>"27028"</f>
        <v>27028</v>
      </c>
      <c r="M10002" t="s">
        <v>26316</v>
      </c>
      <c r="N10002" t="str">
        <f>"9/13/2016 11:00:00 AM"</f>
        <v>9/13/2016 11:00:00 AM</v>
      </c>
      <c r="O10002" t="s">
        <v>30022</v>
      </c>
      <c r="T10002" t="s">
        <v>30023</v>
      </c>
    </row>
    <row r="10003" spans="1:20" x14ac:dyDescent="0.25">
      <c r="A10003" t="str">
        <f>"3057866"</f>
        <v>3057866</v>
      </c>
      <c r="B10003" t="s">
        <v>30025</v>
      </c>
      <c r="C10003" t="str">
        <f>"9288000"</f>
        <v>9288000</v>
      </c>
      <c r="D10003" t="s">
        <v>30026</v>
      </c>
      <c r="E10003" t="s">
        <v>30027</v>
      </c>
      <c r="F10003" t="s">
        <v>30028</v>
      </c>
      <c r="I10003" t="s">
        <v>184</v>
      </c>
      <c r="J10003" t="s">
        <v>30</v>
      </c>
      <c r="K10003" t="s">
        <v>185</v>
      </c>
      <c r="M10003" t="s">
        <v>25733</v>
      </c>
      <c r="N10003" t="str">
        <f>"10/4/2016 11:06:00 AM"</f>
        <v>10/4/2016 11:06:00 AM</v>
      </c>
      <c r="O10003" t="s">
        <v>30026</v>
      </c>
      <c r="T10003" t="s">
        <v>30027</v>
      </c>
    </row>
    <row r="10004" spans="1:20" x14ac:dyDescent="0.25">
      <c r="A10004" t="str">
        <f>"3058744"</f>
        <v>3058744</v>
      </c>
      <c r="B10004" t="s">
        <v>30029</v>
      </c>
      <c r="C10004" t="str">
        <f>"82519730"</f>
        <v>82519730</v>
      </c>
      <c r="D10004" t="s">
        <v>30030</v>
      </c>
      <c r="F10004" t="s">
        <v>30031</v>
      </c>
      <c r="I10004" t="s">
        <v>29</v>
      </c>
      <c r="J10004" t="s">
        <v>30</v>
      </c>
      <c r="K10004" t="s">
        <v>31</v>
      </c>
      <c r="M10004" t="s">
        <v>22270</v>
      </c>
      <c r="N10004" t="str">
        <f>"10/6/2016 8:35:00 AM"</f>
        <v>10/6/2016 8:35:00 AM</v>
      </c>
      <c r="O10004" t="s">
        <v>30030</v>
      </c>
    </row>
    <row r="10005" spans="1:20" x14ac:dyDescent="0.25">
      <c r="A10005" t="str">
        <f>"3058798"</f>
        <v>3058798</v>
      </c>
      <c r="B10005" t="s">
        <v>30032</v>
      </c>
      <c r="C10005" t="str">
        <f>"8306850"</f>
        <v>8306850</v>
      </c>
      <c r="D10005" t="s">
        <v>30033</v>
      </c>
      <c r="F10005" t="s">
        <v>30034</v>
      </c>
      <c r="I10005" t="s">
        <v>29</v>
      </c>
      <c r="J10005" t="s">
        <v>30</v>
      </c>
      <c r="K10005" t="str">
        <f>"27028"</f>
        <v>27028</v>
      </c>
      <c r="M10005" t="s">
        <v>17861</v>
      </c>
      <c r="N10005" t="str">
        <f>"9/14/2016 9:20:00 AM"</f>
        <v>9/14/2016 9:20:00 AM</v>
      </c>
      <c r="O10005" t="s">
        <v>30033</v>
      </c>
    </row>
    <row r="10006" spans="1:20" x14ac:dyDescent="0.25">
      <c r="A10006" t="str">
        <f>"3060297"</f>
        <v>3060297</v>
      </c>
      <c r="B10006" t="s">
        <v>30035</v>
      </c>
      <c r="C10006" t="str">
        <f>"8306851"</f>
        <v>8306851</v>
      </c>
      <c r="D10006" t="s">
        <v>30036</v>
      </c>
      <c r="E10006" t="s">
        <v>30037</v>
      </c>
      <c r="F10006" t="s">
        <v>30038</v>
      </c>
      <c r="I10006" t="s">
        <v>184</v>
      </c>
      <c r="J10006" t="s">
        <v>30</v>
      </c>
      <c r="K10006" t="str">
        <f>"27006"</f>
        <v>27006</v>
      </c>
      <c r="M10006" t="s">
        <v>17861</v>
      </c>
      <c r="N10006" t="str">
        <f>"9/14/2016 9:25:00 AM"</f>
        <v>9/14/2016 9:25:00 AM</v>
      </c>
      <c r="O10006" t="s">
        <v>30036</v>
      </c>
      <c r="T10006" t="s">
        <v>30037</v>
      </c>
    </row>
    <row r="10007" spans="1:20" x14ac:dyDescent="0.25">
      <c r="A10007" t="str">
        <f>"3052326"</f>
        <v>3052326</v>
      </c>
      <c r="B10007" t="s">
        <v>30039</v>
      </c>
      <c r="C10007" t="str">
        <f>"82530491"</f>
        <v>82530491</v>
      </c>
      <c r="D10007" t="s">
        <v>29935</v>
      </c>
      <c r="F10007" t="s">
        <v>29936</v>
      </c>
      <c r="I10007" t="s">
        <v>29</v>
      </c>
      <c r="J10007" t="s">
        <v>30</v>
      </c>
      <c r="K10007" t="s">
        <v>31</v>
      </c>
      <c r="M10007" t="s">
        <v>18470</v>
      </c>
      <c r="N10007" t="str">
        <f>"9/20/2016 10:42:00 AM"</f>
        <v>9/20/2016 10:42:00 AM</v>
      </c>
      <c r="O10007" t="s">
        <v>29935</v>
      </c>
    </row>
    <row r="10008" spans="1:20" x14ac:dyDescent="0.25">
      <c r="A10008" t="str">
        <f>"3058253"</f>
        <v>3058253</v>
      </c>
      <c r="B10008" t="s">
        <v>30040</v>
      </c>
      <c r="C10008" t="str">
        <f>"8306863"</f>
        <v>8306863</v>
      </c>
      <c r="D10008" t="s">
        <v>30041</v>
      </c>
      <c r="E10008" t="s">
        <v>30042</v>
      </c>
      <c r="F10008" t="s">
        <v>30043</v>
      </c>
      <c r="I10008" t="s">
        <v>29</v>
      </c>
      <c r="J10008" t="s">
        <v>30</v>
      </c>
      <c r="K10008" t="str">
        <f>"27028"</f>
        <v>27028</v>
      </c>
      <c r="M10008" t="s">
        <v>17861</v>
      </c>
      <c r="N10008" t="str">
        <f>"9/20/2016 1:43:00 PM"</f>
        <v>9/20/2016 1:43:00 PM</v>
      </c>
      <c r="O10008" t="s">
        <v>30041</v>
      </c>
      <c r="T10008" t="s">
        <v>30042</v>
      </c>
    </row>
    <row r="10009" spans="1:20" x14ac:dyDescent="0.25">
      <c r="A10009" t="str">
        <f>"3062322"</f>
        <v>3062322</v>
      </c>
      <c r="B10009" t="s">
        <v>30044</v>
      </c>
      <c r="C10009" t="str">
        <f>"8306866"</f>
        <v>8306866</v>
      </c>
      <c r="D10009" t="s">
        <v>29954</v>
      </c>
      <c r="E10009" t="s">
        <v>29955</v>
      </c>
      <c r="F10009" t="s">
        <v>29956</v>
      </c>
      <c r="I10009" t="s">
        <v>184</v>
      </c>
      <c r="J10009" t="s">
        <v>30</v>
      </c>
      <c r="K10009" t="str">
        <f>"27006"</f>
        <v>27006</v>
      </c>
      <c r="M10009" t="s">
        <v>17861</v>
      </c>
      <c r="N10009" t="str">
        <f>"9/20/2016 2:36:00 PM"</f>
        <v>9/20/2016 2:36:00 PM</v>
      </c>
      <c r="O10009" t="s">
        <v>29954</v>
      </c>
      <c r="T10009" t="s">
        <v>29955</v>
      </c>
    </row>
    <row r="10010" spans="1:20" x14ac:dyDescent="0.25">
      <c r="A10010" t="str">
        <f>"3067776"</f>
        <v>3067776</v>
      </c>
      <c r="B10010" t="s">
        <v>30045</v>
      </c>
      <c r="C10010" t="str">
        <f>"8301415"</f>
        <v>8301415</v>
      </c>
      <c r="D10010" t="s">
        <v>30046</v>
      </c>
      <c r="F10010" t="s">
        <v>30047</v>
      </c>
      <c r="I10010" t="s">
        <v>29</v>
      </c>
      <c r="J10010" t="s">
        <v>30</v>
      </c>
      <c r="K10010" t="str">
        <f>"27028"</f>
        <v>27028</v>
      </c>
      <c r="M10010" t="s">
        <v>25733</v>
      </c>
      <c r="N10010" t="str">
        <f>"9/22/2016 11:18:00 AM"</f>
        <v>9/22/2016 11:18:00 AM</v>
      </c>
      <c r="O10010" t="s">
        <v>30046</v>
      </c>
    </row>
    <row r="10011" spans="1:20" x14ac:dyDescent="0.25">
      <c r="A10011" t="str">
        <f>"3050197"</f>
        <v>3050197</v>
      </c>
      <c r="B10011" t="s">
        <v>30048</v>
      </c>
      <c r="C10011" t="str">
        <f>"8306878"</f>
        <v>8306878</v>
      </c>
      <c r="D10011" t="s">
        <v>30049</v>
      </c>
      <c r="E10011" t="s">
        <v>30050</v>
      </c>
      <c r="F10011" t="s">
        <v>30051</v>
      </c>
      <c r="I10011" t="s">
        <v>29</v>
      </c>
      <c r="J10011" t="s">
        <v>30</v>
      </c>
      <c r="K10011" t="str">
        <f>"27028"</f>
        <v>27028</v>
      </c>
      <c r="M10011" t="s">
        <v>17861</v>
      </c>
      <c r="N10011" t="str">
        <f>"9/26/2016 10:34:00 AM"</f>
        <v>9/26/2016 10:34:00 AM</v>
      </c>
      <c r="O10011" t="s">
        <v>30049</v>
      </c>
      <c r="T10011" t="s">
        <v>30050</v>
      </c>
    </row>
    <row r="10012" spans="1:20" x14ac:dyDescent="0.25">
      <c r="A10012" t="str">
        <f>"3060075"</f>
        <v>3060075</v>
      </c>
      <c r="B10012" t="s">
        <v>30052</v>
      </c>
      <c r="C10012" t="str">
        <f>"8306889"</f>
        <v>8306889</v>
      </c>
      <c r="D10012" t="s">
        <v>30053</v>
      </c>
      <c r="E10012" t="s">
        <v>30054</v>
      </c>
      <c r="F10012" t="s">
        <v>30055</v>
      </c>
      <c r="I10012" t="s">
        <v>184</v>
      </c>
      <c r="J10012" t="s">
        <v>30</v>
      </c>
      <c r="K10012" t="str">
        <f>"27006"</f>
        <v>27006</v>
      </c>
      <c r="M10012" t="s">
        <v>17861</v>
      </c>
      <c r="N10012" t="str">
        <f>"9/26/2016 2:14:00 PM"</f>
        <v>9/26/2016 2:14:00 PM</v>
      </c>
      <c r="O10012" t="s">
        <v>30053</v>
      </c>
      <c r="T10012" t="s">
        <v>30054</v>
      </c>
    </row>
    <row r="10013" spans="1:20" x14ac:dyDescent="0.25">
      <c r="A10013" t="str">
        <f>"3045717"</f>
        <v>3045717</v>
      </c>
      <c r="B10013" t="s">
        <v>30056</v>
      </c>
      <c r="C10013" t="str">
        <f>"82526580"</f>
        <v>82526580</v>
      </c>
      <c r="D10013" t="s">
        <v>30057</v>
      </c>
      <c r="E10013" t="s">
        <v>30058</v>
      </c>
      <c r="F10013" t="s">
        <v>30059</v>
      </c>
      <c r="I10013" t="s">
        <v>1149</v>
      </c>
      <c r="J10013" t="s">
        <v>30</v>
      </c>
      <c r="K10013" t="s">
        <v>1150</v>
      </c>
      <c r="M10013" t="s">
        <v>26316</v>
      </c>
      <c r="N10013" t="str">
        <f>"9/28/2016 8:36:00 AM"</f>
        <v>9/28/2016 8:36:00 AM</v>
      </c>
      <c r="O10013" t="s">
        <v>30057</v>
      </c>
      <c r="T10013" t="s">
        <v>30058</v>
      </c>
    </row>
    <row r="10014" spans="1:20" x14ac:dyDescent="0.25">
      <c r="A10014" t="str">
        <f>"3048004"</f>
        <v>3048004</v>
      </c>
      <c r="B10014" t="s">
        <v>30060</v>
      </c>
      <c r="C10014" t="str">
        <f>"8306510"</f>
        <v>8306510</v>
      </c>
      <c r="D10014" t="s">
        <v>30061</v>
      </c>
      <c r="E10014" t="s">
        <v>30062</v>
      </c>
      <c r="F10014" t="s">
        <v>30063</v>
      </c>
      <c r="I10014" t="s">
        <v>184</v>
      </c>
      <c r="J10014" t="s">
        <v>30</v>
      </c>
      <c r="K10014" t="str">
        <f>"27006"</f>
        <v>27006</v>
      </c>
      <c r="M10014" t="s">
        <v>17861</v>
      </c>
      <c r="N10014" t="str">
        <f>"10/11/2016 1:07:00 PM"</f>
        <v>10/11/2016 1:07:00 PM</v>
      </c>
      <c r="O10014" t="s">
        <v>30061</v>
      </c>
      <c r="T10014" t="s">
        <v>30062</v>
      </c>
    </row>
    <row r="10015" spans="1:20" x14ac:dyDescent="0.25">
      <c r="A10015" t="str">
        <f>"3068119"</f>
        <v>3068119</v>
      </c>
      <c r="B10015" t="s">
        <v>30064</v>
      </c>
      <c r="C10015" t="str">
        <f>"8306510"</f>
        <v>8306510</v>
      </c>
      <c r="D10015" t="s">
        <v>30061</v>
      </c>
      <c r="E10015" t="s">
        <v>30062</v>
      </c>
      <c r="F10015" t="s">
        <v>30063</v>
      </c>
      <c r="I10015" t="s">
        <v>184</v>
      </c>
      <c r="J10015" t="s">
        <v>30</v>
      </c>
      <c r="K10015" t="str">
        <f>"27006"</f>
        <v>27006</v>
      </c>
      <c r="M10015" t="s">
        <v>17861</v>
      </c>
      <c r="N10015" t="str">
        <f>"10/11/2016 1:07:00 PM"</f>
        <v>10/11/2016 1:07:00 PM</v>
      </c>
      <c r="O10015" t="s">
        <v>30061</v>
      </c>
      <c r="T10015" t="s">
        <v>30062</v>
      </c>
    </row>
    <row r="10016" spans="1:20" x14ac:dyDescent="0.25">
      <c r="A10016" t="str">
        <f>"3069781"</f>
        <v>3069781</v>
      </c>
      <c r="B10016" t="s">
        <v>30065</v>
      </c>
      <c r="C10016" t="str">
        <f t="shared" ref="C10016:C10023" si="164">"54332740"</f>
        <v>54332740</v>
      </c>
      <c r="D10016" t="s">
        <v>30066</v>
      </c>
      <c r="F10016" t="s">
        <v>30067</v>
      </c>
      <c r="I10016" t="s">
        <v>9580</v>
      </c>
      <c r="J10016" t="s">
        <v>30</v>
      </c>
      <c r="K10016" t="s">
        <v>9581</v>
      </c>
      <c r="M10016" t="s">
        <v>17861</v>
      </c>
      <c r="N10016" t="str">
        <f t="shared" ref="N10016:N10023" si="165">"10/11/2016 1:20:00 PM"</f>
        <v>10/11/2016 1:20:00 PM</v>
      </c>
      <c r="O10016" t="s">
        <v>30066</v>
      </c>
    </row>
    <row r="10017" spans="1:20" x14ac:dyDescent="0.25">
      <c r="A10017" t="str">
        <f>"3069782"</f>
        <v>3069782</v>
      </c>
      <c r="B10017" t="s">
        <v>30068</v>
      </c>
      <c r="C10017" t="str">
        <f t="shared" si="164"/>
        <v>54332740</v>
      </c>
      <c r="D10017" t="s">
        <v>30066</v>
      </c>
      <c r="F10017" t="s">
        <v>30067</v>
      </c>
      <c r="I10017" t="s">
        <v>9580</v>
      </c>
      <c r="J10017" t="s">
        <v>30</v>
      </c>
      <c r="K10017" t="s">
        <v>9581</v>
      </c>
      <c r="M10017" t="s">
        <v>17861</v>
      </c>
      <c r="N10017" t="str">
        <f t="shared" si="165"/>
        <v>10/11/2016 1:20:00 PM</v>
      </c>
      <c r="O10017" t="s">
        <v>30066</v>
      </c>
    </row>
    <row r="10018" spans="1:20" x14ac:dyDescent="0.25">
      <c r="A10018" t="str">
        <f>"3069783"</f>
        <v>3069783</v>
      </c>
      <c r="B10018" t="s">
        <v>30069</v>
      </c>
      <c r="C10018" t="str">
        <f t="shared" si="164"/>
        <v>54332740</v>
      </c>
      <c r="D10018" t="s">
        <v>30066</v>
      </c>
      <c r="F10018" t="s">
        <v>30067</v>
      </c>
      <c r="I10018" t="s">
        <v>9580</v>
      </c>
      <c r="J10018" t="s">
        <v>30</v>
      </c>
      <c r="K10018" t="s">
        <v>9581</v>
      </c>
      <c r="M10018" t="s">
        <v>17861</v>
      </c>
      <c r="N10018" t="str">
        <f t="shared" si="165"/>
        <v>10/11/2016 1:20:00 PM</v>
      </c>
      <c r="O10018" t="s">
        <v>30066</v>
      </c>
    </row>
    <row r="10019" spans="1:20" x14ac:dyDescent="0.25">
      <c r="A10019" t="str">
        <f>"3069784"</f>
        <v>3069784</v>
      </c>
      <c r="B10019" t="s">
        <v>30070</v>
      </c>
      <c r="C10019" t="str">
        <f t="shared" si="164"/>
        <v>54332740</v>
      </c>
      <c r="D10019" t="s">
        <v>30066</v>
      </c>
      <c r="F10019" t="s">
        <v>30067</v>
      </c>
      <c r="I10019" t="s">
        <v>9580</v>
      </c>
      <c r="J10019" t="s">
        <v>30</v>
      </c>
      <c r="K10019" t="s">
        <v>9581</v>
      </c>
      <c r="M10019" t="s">
        <v>17861</v>
      </c>
      <c r="N10019" t="str">
        <f t="shared" si="165"/>
        <v>10/11/2016 1:20:00 PM</v>
      </c>
      <c r="O10019" t="s">
        <v>30066</v>
      </c>
    </row>
    <row r="10020" spans="1:20" x14ac:dyDescent="0.25">
      <c r="A10020" t="str">
        <f>"3069811"</f>
        <v>3069811</v>
      </c>
      <c r="B10020" t="s">
        <v>30071</v>
      </c>
      <c r="C10020" t="str">
        <f t="shared" si="164"/>
        <v>54332740</v>
      </c>
      <c r="D10020" t="s">
        <v>30066</v>
      </c>
      <c r="F10020" t="s">
        <v>30067</v>
      </c>
      <c r="I10020" t="s">
        <v>9580</v>
      </c>
      <c r="J10020" t="s">
        <v>30</v>
      </c>
      <c r="K10020" t="s">
        <v>9581</v>
      </c>
      <c r="M10020" t="s">
        <v>17861</v>
      </c>
      <c r="N10020" t="str">
        <f t="shared" si="165"/>
        <v>10/11/2016 1:20:00 PM</v>
      </c>
      <c r="O10020" t="s">
        <v>30066</v>
      </c>
    </row>
    <row r="10021" spans="1:20" x14ac:dyDescent="0.25">
      <c r="A10021" t="str">
        <f>"3069831"</f>
        <v>3069831</v>
      </c>
      <c r="B10021" t="s">
        <v>30072</v>
      </c>
      <c r="C10021" t="str">
        <f t="shared" si="164"/>
        <v>54332740</v>
      </c>
      <c r="D10021" t="s">
        <v>30066</v>
      </c>
      <c r="F10021" t="s">
        <v>30067</v>
      </c>
      <c r="I10021" t="s">
        <v>9580</v>
      </c>
      <c r="J10021" t="s">
        <v>30</v>
      </c>
      <c r="K10021" t="s">
        <v>9581</v>
      </c>
      <c r="M10021" t="s">
        <v>17861</v>
      </c>
      <c r="N10021" t="str">
        <f t="shared" si="165"/>
        <v>10/11/2016 1:20:00 PM</v>
      </c>
      <c r="O10021" t="s">
        <v>30066</v>
      </c>
    </row>
    <row r="10022" spans="1:20" x14ac:dyDescent="0.25">
      <c r="A10022" t="str">
        <f>"3069837"</f>
        <v>3069837</v>
      </c>
      <c r="B10022" t="s">
        <v>30073</v>
      </c>
      <c r="C10022" t="str">
        <f t="shared" si="164"/>
        <v>54332740</v>
      </c>
      <c r="D10022" t="s">
        <v>30066</v>
      </c>
      <c r="F10022" t="s">
        <v>30067</v>
      </c>
      <c r="I10022" t="s">
        <v>9580</v>
      </c>
      <c r="J10022" t="s">
        <v>30</v>
      </c>
      <c r="K10022" t="s">
        <v>9581</v>
      </c>
      <c r="M10022" t="s">
        <v>17861</v>
      </c>
      <c r="N10022" t="str">
        <f t="shared" si="165"/>
        <v>10/11/2016 1:20:00 PM</v>
      </c>
      <c r="O10022" t="s">
        <v>30066</v>
      </c>
    </row>
    <row r="10023" spans="1:20" x14ac:dyDescent="0.25">
      <c r="A10023" t="str">
        <f>"3104782"</f>
        <v>3104782</v>
      </c>
      <c r="B10023" t="s">
        <v>30074</v>
      </c>
      <c r="C10023" t="str">
        <f t="shared" si="164"/>
        <v>54332740</v>
      </c>
      <c r="D10023" t="s">
        <v>30066</v>
      </c>
      <c r="F10023" t="s">
        <v>30067</v>
      </c>
      <c r="I10023" t="s">
        <v>9580</v>
      </c>
      <c r="J10023" t="s">
        <v>30</v>
      </c>
      <c r="K10023" t="s">
        <v>9581</v>
      </c>
      <c r="M10023" t="s">
        <v>17861</v>
      </c>
      <c r="N10023" t="str">
        <f t="shared" si="165"/>
        <v>10/11/2016 1:20:00 PM</v>
      </c>
      <c r="O10023" t="s">
        <v>30066</v>
      </c>
    </row>
    <row r="10024" spans="1:20" x14ac:dyDescent="0.25">
      <c r="A10024" t="str">
        <f>"3062996"</f>
        <v>3062996</v>
      </c>
      <c r="B10024" t="s">
        <v>30075</v>
      </c>
      <c r="C10024" t="str">
        <f>"8306906"</f>
        <v>8306906</v>
      </c>
      <c r="D10024" t="s">
        <v>30076</v>
      </c>
      <c r="E10024" t="s">
        <v>30077</v>
      </c>
      <c r="F10024" t="s">
        <v>30078</v>
      </c>
      <c r="I10024" t="s">
        <v>29</v>
      </c>
      <c r="J10024" t="s">
        <v>30</v>
      </c>
      <c r="K10024" t="str">
        <f>"27028"</f>
        <v>27028</v>
      </c>
      <c r="M10024" t="s">
        <v>17861</v>
      </c>
      <c r="N10024" t="str">
        <f>"10/3/2016 11:20:00 AM"</f>
        <v>10/3/2016 11:20:00 AM</v>
      </c>
      <c r="O10024" t="s">
        <v>30076</v>
      </c>
      <c r="T10024" t="s">
        <v>30077</v>
      </c>
    </row>
    <row r="10025" spans="1:20" x14ac:dyDescent="0.25">
      <c r="A10025" t="str">
        <f>"3042322"</f>
        <v>3042322</v>
      </c>
      <c r="B10025" t="s">
        <v>30079</v>
      </c>
      <c r="C10025" t="str">
        <f>"78896000"</f>
        <v>78896000</v>
      </c>
      <c r="D10025" t="s">
        <v>30080</v>
      </c>
      <c r="F10025" t="s">
        <v>30081</v>
      </c>
      <c r="I10025" t="s">
        <v>29</v>
      </c>
      <c r="J10025" t="s">
        <v>30</v>
      </c>
      <c r="K10025" t="s">
        <v>31</v>
      </c>
      <c r="M10025" t="s">
        <v>25733</v>
      </c>
      <c r="N10025" t="str">
        <f>"10/12/2016 10:18:00 AM"</f>
        <v>10/12/2016 10:18:00 AM</v>
      </c>
      <c r="O10025" t="s">
        <v>30080</v>
      </c>
    </row>
    <row r="10026" spans="1:20" x14ac:dyDescent="0.25">
      <c r="A10026" t="str">
        <f>"3061671"</f>
        <v>3061671</v>
      </c>
      <c r="B10026" t="s">
        <v>30082</v>
      </c>
      <c r="C10026" t="str">
        <f>"82522334"</f>
        <v>82522334</v>
      </c>
      <c r="D10026" t="s">
        <v>30083</v>
      </c>
      <c r="E10026" t="s">
        <v>30084</v>
      </c>
      <c r="F10026" t="s">
        <v>30085</v>
      </c>
      <c r="I10026" t="s">
        <v>2071</v>
      </c>
      <c r="J10026" t="s">
        <v>30</v>
      </c>
      <c r="K10026" t="s">
        <v>4124</v>
      </c>
      <c r="M10026" t="s">
        <v>25494</v>
      </c>
      <c r="N10026" t="str">
        <f>"10/3/2016 12:49:00 PM"</f>
        <v>10/3/2016 12:49:00 PM</v>
      </c>
      <c r="O10026" t="s">
        <v>30083</v>
      </c>
      <c r="T10026" t="s">
        <v>30084</v>
      </c>
    </row>
    <row r="10027" spans="1:20" x14ac:dyDescent="0.25">
      <c r="A10027" t="str">
        <f>"3049283"</f>
        <v>3049283</v>
      </c>
      <c r="B10027" t="s">
        <v>30086</v>
      </c>
      <c r="C10027" t="str">
        <f>"8306908"</f>
        <v>8306908</v>
      </c>
      <c r="D10027" t="s">
        <v>30087</v>
      </c>
      <c r="E10027" t="s">
        <v>30088</v>
      </c>
      <c r="F10027" t="s">
        <v>30089</v>
      </c>
      <c r="I10027" t="s">
        <v>184</v>
      </c>
      <c r="J10027" t="s">
        <v>30</v>
      </c>
      <c r="K10027" t="str">
        <f>"27006"</f>
        <v>27006</v>
      </c>
      <c r="M10027" t="s">
        <v>17861</v>
      </c>
      <c r="N10027" t="str">
        <f>"10/3/2016 1:39:00 PM"</f>
        <v>10/3/2016 1:39:00 PM</v>
      </c>
      <c r="O10027" t="s">
        <v>30087</v>
      </c>
      <c r="T10027" t="s">
        <v>30088</v>
      </c>
    </row>
    <row r="10028" spans="1:20" x14ac:dyDescent="0.25">
      <c r="A10028" t="str">
        <f>"3062394"</f>
        <v>3062394</v>
      </c>
      <c r="B10028" t="s">
        <v>30090</v>
      </c>
      <c r="C10028" t="str">
        <f>"8306910"</f>
        <v>8306910</v>
      </c>
      <c r="D10028" t="s">
        <v>30091</v>
      </c>
      <c r="E10028" t="s">
        <v>30092</v>
      </c>
      <c r="F10028" t="s">
        <v>30093</v>
      </c>
      <c r="I10028" t="s">
        <v>29</v>
      </c>
      <c r="J10028" t="s">
        <v>30</v>
      </c>
      <c r="K10028" t="str">
        <f>"27028"</f>
        <v>27028</v>
      </c>
      <c r="M10028" t="s">
        <v>17861</v>
      </c>
      <c r="N10028" t="str">
        <f>"10/3/2016 2:11:00 PM"</f>
        <v>10/3/2016 2:11:00 PM</v>
      </c>
      <c r="O10028" t="s">
        <v>30091</v>
      </c>
      <c r="T10028" t="s">
        <v>30092</v>
      </c>
    </row>
    <row r="10029" spans="1:20" x14ac:dyDescent="0.25">
      <c r="A10029" t="str">
        <f>"3060283"</f>
        <v>3060283</v>
      </c>
      <c r="B10029" t="s">
        <v>30094</v>
      </c>
      <c r="C10029" t="str">
        <f>"8306913"</f>
        <v>8306913</v>
      </c>
      <c r="D10029" t="s">
        <v>30095</v>
      </c>
      <c r="E10029" t="s">
        <v>30096</v>
      </c>
      <c r="F10029" t="s">
        <v>30097</v>
      </c>
      <c r="I10029" t="s">
        <v>184</v>
      </c>
      <c r="J10029" t="s">
        <v>30</v>
      </c>
      <c r="K10029" t="str">
        <f>"27006"</f>
        <v>27006</v>
      </c>
      <c r="M10029" t="s">
        <v>17861</v>
      </c>
      <c r="N10029" t="str">
        <f>"10/3/2016 2:37:00 PM"</f>
        <v>10/3/2016 2:37:00 PM</v>
      </c>
      <c r="O10029" t="s">
        <v>30095</v>
      </c>
      <c r="T10029" t="s">
        <v>30096</v>
      </c>
    </row>
    <row r="10030" spans="1:20" x14ac:dyDescent="0.25">
      <c r="A10030" t="str">
        <f>"3040873"</f>
        <v>3040873</v>
      </c>
      <c r="B10030" t="s">
        <v>30098</v>
      </c>
      <c r="C10030" t="str">
        <f>"8306844"</f>
        <v>8306844</v>
      </c>
      <c r="D10030" t="s">
        <v>30099</v>
      </c>
      <c r="F10030" t="s">
        <v>30100</v>
      </c>
      <c r="I10030" t="s">
        <v>184</v>
      </c>
      <c r="J10030" t="s">
        <v>30</v>
      </c>
      <c r="K10030" t="str">
        <f>"27006"</f>
        <v>27006</v>
      </c>
      <c r="M10030" t="s">
        <v>17861</v>
      </c>
      <c r="N10030" t="str">
        <f>"9/9/2016 10:21:00 AM"</f>
        <v>9/9/2016 10:21:00 AM</v>
      </c>
      <c r="O10030" t="s">
        <v>30099</v>
      </c>
    </row>
    <row r="10031" spans="1:20" x14ac:dyDescent="0.25">
      <c r="A10031" t="str">
        <f>"3040688"</f>
        <v>3040688</v>
      </c>
      <c r="B10031" t="s">
        <v>30101</v>
      </c>
      <c r="C10031" t="str">
        <f>"8306845"</f>
        <v>8306845</v>
      </c>
      <c r="D10031" t="s">
        <v>30102</v>
      </c>
      <c r="E10031" t="s">
        <v>30103</v>
      </c>
      <c r="F10031" t="s">
        <v>30104</v>
      </c>
      <c r="I10031" t="s">
        <v>184</v>
      </c>
      <c r="J10031" t="s">
        <v>30</v>
      </c>
      <c r="K10031" t="str">
        <f>"27006"</f>
        <v>27006</v>
      </c>
      <c r="M10031" t="s">
        <v>17861</v>
      </c>
      <c r="N10031" t="str">
        <f>"9/9/2016 10:38:00 AM"</f>
        <v>9/9/2016 10:38:00 AM</v>
      </c>
      <c r="O10031" t="s">
        <v>30102</v>
      </c>
      <c r="T10031" t="s">
        <v>30103</v>
      </c>
    </row>
    <row r="10032" spans="1:20" x14ac:dyDescent="0.25">
      <c r="A10032" t="str">
        <f>"3062795"</f>
        <v>3062795</v>
      </c>
      <c r="B10032" t="s">
        <v>30105</v>
      </c>
      <c r="C10032" t="str">
        <f>"8306846"</f>
        <v>8306846</v>
      </c>
      <c r="D10032" t="s">
        <v>30106</v>
      </c>
      <c r="F10032" t="s">
        <v>30107</v>
      </c>
      <c r="I10032" t="s">
        <v>29</v>
      </c>
      <c r="J10032" t="s">
        <v>30</v>
      </c>
      <c r="K10032" t="str">
        <f>"27028"</f>
        <v>27028</v>
      </c>
      <c r="M10032" t="s">
        <v>17861</v>
      </c>
      <c r="N10032" t="str">
        <f>"9/9/2016 10:50:00 AM"</f>
        <v>9/9/2016 10:50:00 AM</v>
      </c>
      <c r="O10032" t="s">
        <v>30106</v>
      </c>
    </row>
    <row r="10033" spans="1:20" x14ac:dyDescent="0.25">
      <c r="A10033" t="str">
        <f>"3051995"</f>
        <v>3051995</v>
      </c>
      <c r="B10033" t="s">
        <v>30108</v>
      </c>
      <c r="C10033" t="str">
        <f>"40251310"</f>
        <v>40251310</v>
      </c>
      <c r="D10033" t="s">
        <v>30109</v>
      </c>
      <c r="F10033" t="str">
        <f>"C/O WINONA JOHNSON MCCULLOUGH"</f>
        <v>C/O WINONA JOHNSON MCCULLOUGH</v>
      </c>
      <c r="G10033" t="s">
        <v>30110</v>
      </c>
      <c r="I10033" t="s">
        <v>3196</v>
      </c>
      <c r="J10033" t="s">
        <v>30</v>
      </c>
      <c r="K10033" t="s">
        <v>30111</v>
      </c>
      <c r="M10033" t="s">
        <v>25733</v>
      </c>
      <c r="N10033" t="str">
        <f>"9/9/2016 3:00:00 PM"</f>
        <v>9/9/2016 3:00:00 PM</v>
      </c>
      <c r="O10033" t="s">
        <v>30112</v>
      </c>
    </row>
    <row r="10034" spans="1:20" x14ac:dyDescent="0.25">
      <c r="A10034" t="str">
        <f>"3063872"</f>
        <v>3063872</v>
      </c>
      <c r="B10034" t="s">
        <v>30113</v>
      </c>
      <c r="C10034" t="str">
        <f>"8306915"</f>
        <v>8306915</v>
      </c>
      <c r="D10034" t="s">
        <v>30114</v>
      </c>
      <c r="E10034" t="s">
        <v>30115</v>
      </c>
      <c r="F10034" t="s">
        <v>30116</v>
      </c>
      <c r="I10034" t="s">
        <v>184</v>
      </c>
      <c r="J10034" t="s">
        <v>30</v>
      </c>
      <c r="K10034" t="str">
        <f>"27006"</f>
        <v>27006</v>
      </c>
      <c r="M10034" t="s">
        <v>17861</v>
      </c>
      <c r="N10034" t="str">
        <f>"10/3/2016 3:42:00 PM"</f>
        <v>10/3/2016 3:42:00 PM</v>
      </c>
      <c r="O10034" t="s">
        <v>30114</v>
      </c>
      <c r="T10034" t="s">
        <v>30115</v>
      </c>
    </row>
    <row r="10035" spans="1:20" x14ac:dyDescent="0.25">
      <c r="A10035" t="str">
        <f>"3059479"</f>
        <v>3059479</v>
      </c>
      <c r="B10035" t="s">
        <v>30117</v>
      </c>
      <c r="C10035" t="str">
        <f>"82531232"</f>
        <v>82531232</v>
      </c>
      <c r="D10035" t="s">
        <v>30118</v>
      </c>
      <c r="F10035" t="s">
        <v>30119</v>
      </c>
      <c r="I10035" t="s">
        <v>29</v>
      </c>
      <c r="J10035" t="s">
        <v>30</v>
      </c>
      <c r="K10035" t="s">
        <v>31</v>
      </c>
      <c r="M10035" t="s">
        <v>18470</v>
      </c>
      <c r="N10035" t="str">
        <f>"9/12/2016 9:12:00 AM"</f>
        <v>9/12/2016 9:12:00 AM</v>
      </c>
      <c r="O10035" t="s">
        <v>30118</v>
      </c>
    </row>
    <row r="10036" spans="1:20" x14ac:dyDescent="0.25">
      <c r="A10036" t="str">
        <f>"3053462"</f>
        <v>3053462</v>
      </c>
      <c r="B10036" t="s">
        <v>30120</v>
      </c>
      <c r="C10036" t="str">
        <f>"82522779"</f>
        <v>82522779</v>
      </c>
      <c r="D10036" t="s">
        <v>30121</v>
      </c>
      <c r="E10036" t="s">
        <v>30122</v>
      </c>
      <c r="F10036" t="s">
        <v>30123</v>
      </c>
      <c r="I10036" t="s">
        <v>29</v>
      </c>
      <c r="J10036" t="s">
        <v>30</v>
      </c>
      <c r="K10036" t="s">
        <v>13782</v>
      </c>
      <c r="M10036" t="s">
        <v>25733</v>
      </c>
      <c r="N10036" t="str">
        <f>"9/12/2016 10:38:00 AM"</f>
        <v>9/12/2016 10:38:00 AM</v>
      </c>
      <c r="O10036" t="s">
        <v>30121</v>
      </c>
      <c r="T10036" t="s">
        <v>30122</v>
      </c>
    </row>
    <row r="10037" spans="1:20" x14ac:dyDescent="0.25">
      <c r="A10037" t="str">
        <f>"3059981"</f>
        <v>3059981</v>
      </c>
      <c r="B10037" t="s">
        <v>30124</v>
      </c>
      <c r="C10037" t="str">
        <f>"82524477"</f>
        <v>82524477</v>
      </c>
      <c r="D10037" t="s">
        <v>30125</v>
      </c>
      <c r="E10037" t="s">
        <v>30126</v>
      </c>
      <c r="F10037" t="s">
        <v>30127</v>
      </c>
      <c r="I10037" t="s">
        <v>184</v>
      </c>
      <c r="J10037" t="s">
        <v>30</v>
      </c>
      <c r="K10037" t="s">
        <v>185</v>
      </c>
      <c r="M10037" t="s">
        <v>25733</v>
      </c>
      <c r="N10037" t="str">
        <f>"9/12/2016 11:23:00 AM"</f>
        <v>9/12/2016 11:23:00 AM</v>
      </c>
      <c r="O10037" t="s">
        <v>30125</v>
      </c>
      <c r="T10037" t="s">
        <v>30126</v>
      </c>
    </row>
    <row r="10038" spans="1:20" x14ac:dyDescent="0.25">
      <c r="A10038" t="str">
        <f>"3071856"</f>
        <v>3071856</v>
      </c>
      <c r="B10038" t="s">
        <v>30128</v>
      </c>
      <c r="C10038" t="str">
        <f>"32204000"</f>
        <v>32204000</v>
      </c>
      <c r="D10038" t="s">
        <v>30129</v>
      </c>
      <c r="E10038" t="s">
        <v>30130</v>
      </c>
      <c r="F10038" t="s">
        <v>30131</v>
      </c>
      <c r="I10038" t="s">
        <v>29</v>
      </c>
      <c r="J10038" t="s">
        <v>30</v>
      </c>
      <c r="K10038" t="s">
        <v>31</v>
      </c>
      <c r="M10038" t="s">
        <v>25494</v>
      </c>
      <c r="N10038" t="str">
        <f>"10/11/2016 8:15:00 AM"</f>
        <v>10/11/2016 8:15:00 AM</v>
      </c>
      <c r="O10038" t="s">
        <v>30129</v>
      </c>
      <c r="T10038" t="s">
        <v>30130</v>
      </c>
    </row>
    <row r="10039" spans="1:20" x14ac:dyDescent="0.25">
      <c r="A10039" t="str">
        <f>"3060814"</f>
        <v>3060814</v>
      </c>
      <c r="B10039" t="s">
        <v>30132</v>
      </c>
      <c r="C10039" t="str">
        <f>"8306972"</f>
        <v>8306972</v>
      </c>
      <c r="D10039" t="s">
        <v>30133</v>
      </c>
      <c r="E10039" t="s">
        <v>30134</v>
      </c>
      <c r="F10039" t="s">
        <v>30135</v>
      </c>
      <c r="I10039" t="s">
        <v>184</v>
      </c>
      <c r="J10039" t="s">
        <v>30</v>
      </c>
      <c r="K10039" t="str">
        <f>"27006"</f>
        <v>27006</v>
      </c>
      <c r="M10039" t="s">
        <v>17861</v>
      </c>
      <c r="N10039" t="str">
        <f>"10/26/2016 4:31:00 PM"</f>
        <v>10/26/2016 4:31:00 PM</v>
      </c>
      <c r="O10039" t="s">
        <v>30133</v>
      </c>
      <c r="T10039" t="s">
        <v>30134</v>
      </c>
    </row>
    <row r="10040" spans="1:20" x14ac:dyDescent="0.25">
      <c r="A10040" t="str">
        <f>"3049785"</f>
        <v>3049785</v>
      </c>
      <c r="B10040" t="s">
        <v>30136</v>
      </c>
      <c r="C10040" t="str">
        <f>"82527288"</f>
        <v>82527288</v>
      </c>
      <c r="D10040" t="s">
        <v>30137</v>
      </c>
      <c r="F10040" t="s">
        <v>30138</v>
      </c>
      <c r="I10040" t="s">
        <v>29</v>
      </c>
      <c r="J10040" t="s">
        <v>30</v>
      </c>
      <c r="K10040" t="s">
        <v>31</v>
      </c>
      <c r="M10040" t="s">
        <v>17861</v>
      </c>
      <c r="N10040" t="str">
        <f>"10/26/2016 4:44:00 PM"</f>
        <v>10/26/2016 4:44:00 PM</v>
      </c>
      <c r="O10040" t="s">
        <v>30137</v>
      </c>
    </row>
    <row r="10041" spans="1:20" x14ac:dyDescent="0.25">
      <c r="A10041" t="str">
        <f>"3050723"</f>
        <v>3050723</v>
      </c>
      <c r="B10041" t="s">
        <v>30139</v>
      </c>
      <c r="C10041" t="str">
        <f>"8306983"</f>
        <v>8306983</v>
      </c>
      <c r="D10041" t="s">
        <v>30140</v>
      </c>
      <c r="E10041" t="s">
        <v>30141</v>
      </c>
      <c r="F10041" t="s">
        <v>30142</v>
      </c>
      <c r="I10041" t="s">
        <v>184</v>
      </c>
      <c r="J10041" t="s">
        <v>30</v>
      </c>
      <c r="K10041" t="str">
        <f>"27006"</f>
        <v>27006</v>
      </c>
      <c r="M10041" t="s">
        <v>17861</v>
      </c>
      <c r="N10041" t="str">
        <f>"10/27/2016 2:25:00 PM"</f>
        <v>10/27/2016 2:25:00 PM</v>
      </c>
      <c r="O10041" t="s">
        <v>30140</v>
      </c>
      <c r="T10041" t="s">
        <v>30141</v>
      </c>
    </row>
    <row r="10042" spans="1:20" x14ac:dyDescent="0.25">
      <c r="A10042" t="str">
        <f>"3060141"</f>
        <v>3060141</v>
      </c>
      <c r="B10042" t="s">
        <v>30143</v>
      </c>
      <c r="C10042" t="str">
        <f>"8306984"</f>
        <v>8306984</v>
      </c>
      <c r="D10042" t="s">
        <v>30144</v>
      </c>
      <c r="E10042" t="s">
        <v>30145</v>
      </c>
      <c r="F10042" t="s">
        <v>30146</v>
      </c>
      <c r="I10042" t="s">
        <v>184</v>
      </c>
      <c r="J10042" t="s">
        <v>30</v>
      </c>
      <c r="K10042" t="str">
        <f>"27006"</f>
        <v>27006</v>
      </c>
      <c r="M10042" t="s">
        <v>17861</v>
      </c>
      <c r="N10042" t="str">
        <f>"10/27/2016 2:37:00 PM"</f>
        <v>10/27/2016 2:37:00 PM</v>
      </c>
      <c r="O10042" t="s">
        <v>30144</v>
      </c>
      <c r="T10042" t="s">
        <v>30145</v>
      </c>
    </row>
    <row r="10043" spans="1:20" x14ac:dyDescent="0.25">
      <c r="A10043" t="str">
        <f>"3071859"</f>
        <v>3071859</v>
      </c>
      <c r="B10043" t="s">
        <v>30147</v>
      </c>
      <c r="C10043" t="str">
        <f>"32204000"</f>
        <v>32204000</v>
      </c>
      <c r="D10043" t="s">
        <v>30129</v>
      </c>
      <c r="E10043" t="s">
        <v>30130</v>
      </c>
      <c r="F10043" t="s">
        <v>30131</v>
      </c>
      <c r="I10043" t="s">
        <v>29</v>
      </c>
      <c r="J10043" t="s">
        <v>30</v>
      </c>
      <c r="K10043" t="s">
        <v>31</v>
      </c>
      <c r="M10043" t="s">
        <v>25494</v>
      </c>
      <c r="N10043" t="str">
        <f>"10/11/2016 8:15:00 AM"</f>
        <v>10/11/2016 8:15:00 AM</v>
      </c>
      <c r="O10043" t="s">
        <v>30129</v>
      </c>
      <c r="T10043" t="s">
        <v>30130</v>
      </c>
    </row>
    <row r="10044" spans="1:20" x14ac:dyDescent="0.25">
      <c r="A10044" t="str">
        <f>"3072610"</f>
        <v>3072610</v>
      </c>
      <c r="B10044" t="s">
        <v>30148</v>
      </c>
      <c r="C10044" t="str">
        <f>"32204000"</f>
        <v>32204000</v>
      </c>
      <c r="D10044" t="s">
        <v>30129</v>
      </c>
      <c r="E10044" t="s">
        <v>30130</v>
      </c>
      <c r="F10044" t="s">
        <v>30131</v>
      </c>
      <c r="I10044" t="s">
        <v>29</v>
      </c>
      <c r="J10044" t="s">
        <v>30</v>
      </c>
      <c r="K10044" t="s">
        <v>31</v>
      </c>
      <c r="M10044" t="s">
        <v>25494</v>
      </c>
      <c r="N10044" t="str">
        <f>"10/11/2016 8:15:00 AM"</f>
        <v>10/11/2016 8:15:00 AM</v>
      </c>
      <c r="O10044" t="s">
        <v>30129</v>
      </c>
      <c r="T10044" t="s">
        <v>30130</v>
      </c>
    </row>
    <row r="10045" spans="1:20" x14ac:dyDescent="0.25">
      <c r="A10045" t="str">
        <f>"3044383"</f>
        <v>3044383</v>
      </c>
      <c r="B10045" t="s">
        <v>30149</v>
      </c>
      <c r="C10045" t="str">
        <f>"8306459"</f>
        <v>8306459</v>
      </c>
      <c r="D10045" t="s">
        <v>30150</v>
      </c>
      <c r="E10045" t="s">
        <v>30151</v>
      </c>
      <c r="F10045" t="s">
        <v>30152</v>
      </c>
      <c r="I10045" t="s">
        <v>184</v>
      </c>
      <c r="J10045" t="s">
        <v>30</v>
      </c>
      <c r="K10045" t="str">
        <f>"27006"</f>
        <v>27006</v>
      </c>
      <c r="M10045" t="s">
        <v>17861</v>
      </c>
      <c r="N10045" t="str">
        <f>"10/11/2016 10:30:00 AM"</f>
        <v>10/11/2016 10:30:00 AM</v>
      </c>
      <c r="O10045" t="s">
        <v>30150</v>
      </c>
      <c r="T10045" t="s">
        <v>30151</v>
      </c>
    </row>
    <row r="10046" spans="1:20" x14ac:dyDescent="0.25">
      <c r="A10046" t="str">
        <f>"3048417"</f>
        <v>3048417</v>
      </c>
      <c r="B10046" t="s">
        <v>30153</v>
      </c>
      <c r="C10046" t="str">
        <f>"8301322"</f>
        <v>8301322</v>
      </c>
      <c r="D10046" t="s">
        <v>30154</v>
      </c>
      <c r="E10046" t="s">
        <v>30155</v>
      </c>
      <c r="F10046" t="s">
        <v>30156</v>
      </c>
      <c r="I10046" t="s">
        <v>471</v>
      </c>
      <c r="J10046" t="s">
        <v>30</v>
      </c>
      <c r="K10046" t="str">
        <f>"27104"</f>
        <v>27104</v>
      </c>
      <c r="M10046" t="s">
        <v>25625</v>
      </c>
      <c r="N10046" t="str">
        <f>"10/11/2016 10:45:00 AM"</f>
        <v>10/11/2016 10:45:00 AM</v>
      </c>
      <c r="O10046" t="s">
        <v>30154</v>
      </c>
      <c r="T10046" t="s">
        <v>30155</v>
      </c>
    </row>
    <row r="10047" spans="1:20" x14ac:dyDescent="0.25">
      <c r="A10047" t="str">
        <f>"3057878"</f>
        <v>3057878</v>
      </c>
      <c r="B10047" t="s">
        <v>30157</v>
      </c>
      <c r="C10047" t="str">
        <f>"36884000"</f>
        <v>36884000</v>
      </c>
      <c r="D10047" t="s">
        <v>30158</v>
      </c>
      <c r="E10047" t="s">
        <v>30159</v>
      </c>
      <c r="F10047" t="s">
        <v>30160</v>
      </c>
      <c r="I10047" t="s">
        <v>184</v>
      </c>
      <c r="J10047" t="s">
        <v>30</v>
      </c>
      <c r="K10047" t="s">
        <v>3236</v>
      </c>
      <c r="M10047" t="s">
        <v>25625</v>
      </c>
      <c r="N10047" t="str">
        <f>"10/11/2016 10:46:00 AM"</f>
        <v>10/11/2016 10:46:00 AM</v>
      </c>
      <c r="O10047" t="s">
        <v>30158</v>
      </c>
      <c r="T10047" t="s">
        <v>30159</v>
      </c>
    </row>
    <row r="10048" spans="1:20" x14ac:dyDescent="0.25">
      <c r="A10048" t="str">
        <f>"3070486"</f>
        <v>3070486</v>
      </c>
      <c r="B10048" t="s">
        <v>30161</v>
      </c>
      <c r="C10048" t="str">
        <f>"72658000"</f>
        <v>72658000</v>
      </c>
      <c r="D10048" t="s">
        <v>30162</v>
      </c>
      <c r="F10048" t="s">
        <v>21480</v>
      </c>
      <c r="I10048" t="s">
        <v>9580</v>
      </c>
      <c r="J10048" t="s">
        <v>30</v>
      </c>
      <c r="K10048" t="s">
        <v>9581</v>
      </c>
      <c r="M10048" t="s">
        <v>25494</v>
      </c>
      <c r="N10048" t="str">
        <f>"10/11/2016 11:19:00 AM"</f>
        <v>10/11/2016 11:19:00 AM</v>
      </c>
      <c r="O10048" t="s">
        <v>30162</v>
      </c>
    </row>
    <row r="10049" spans="1:20" x14ac:dyDescent="0.25">
      <c r="A10049" t="str">
        <f>"3041238"</f>
        <v>3041238</v>
      </c>
      <c r="B10049" t="s">
        <v>30163</v>
      </c>
      <c r="C10049" t="str">
        <f>"8307013"</f>
        <v>8307013</v>
      </c>
      <c r="D10049" t="s">
        <v>30164</v>
      </c>
      <c r="F10049" t="s">
        <v>30165</v>
      </c>
      <c r="I10049" t="s">
        <v>2071</v>
      </c>
      <c r="J10049" t="s">
        <v>30</v>
      </c>
      <c r="K10049" t="str">
        <f>"27006"</f>
        <v>27006</v>
      </c>
      <c r="M10049" t="s">
        <v>17861</v>
      </c>
      <c r="N10049" t="str">
        <f>"10/28/2016 1:21:00 PM"</f>
        <v>10/28/2016 1:21:00 PM</v>
      </c>
      <c r="O10049" t="s">
        <v>30164</v>
      </c>
    </row>
    <row r="10050" spans="1:20" x14ac:dyDescent="0.25">
      <c r="A10050" t="str">
        <f>"3060893"</f>
        <v>3060893</v>
      </c>
      <c r="B10050" t="s">
        <v>30166</v>
      </c>
      <c r="C10050" t="str">
        <f>"8307019"</f>
        <v>8307019</v>
      </c>
      <c r="D10050" t="s">
        <v>30167</v>
      </c>
      <c r="E10050" t="s">
        <v>30168</v>
      </c>
      <c r="F10050" t="s">
        <v>30169</v>
      </c>
      <c r="I10050" t="s">
        <v>2071</v>
      </c>
      <c r="J10050" t="s">
        <v>30</v>
      </c>
      <c r="K10050" t="str">
        <f>"27006"</f>
        <v>27006</v>
      </c>
      <c r="M10050" t="s">
        <v>17861</v>
      </c>
      <c r="N10050" t="str">
        <f>"10/28/2016 1:53:00 PM"</f>
        <v>10/28/2016 1:53:00 PM</v>
      </c>
      <c r="O10050" t="s">
        <v>30167</v>
      </c>
      <c r="T10050" t="s">
        <v>30168</v>
      </c>
    </row>
    <row r="10051" spans="1:20" x14ac:dyDescent="0.25">
      <c r="A10051" t="str">
        <f>"3058034"</f>
        <v>3058034</v>
      </c>
      <c r="B10051" t="s">
        <v>30170</v>
      </c>
      <c r="C10051" t="str">
        <f>"8307022"</f>
        <v>8307022</v>
      </c>
      <c r="D10051" t="s">
        <v>30171</v>
      </c>
      <c r="E10051" t="s">
        <v>30172</v>
      </c>
      <c r="F10051" t="s">
        <v>30173</v>
      </c>
      <c r="I10051" t="s">
        <v>184</v>
      </c>
      <c r="J10051" t="s">
        <v>30</v>
      </c>
      <c r="K10051" t="str">
        <f>"27006"</f>
        <v>27006</v>
      </c>
      <c r="M10051" t="s">
        <v>17861</v>
      </c>
      <c r="N10051" t="str">
        <f>"10/28/2016 2:19:00 PM"</f>
        <v>10/28/2016 2:19:00 PM</v>
      </c>
      <c r="O10051" t="s">
        <v>30171</v>
      </c>
      <c r="T10051" t="s">
        <v>30174</v>
      </c>
    </row>
    <row r="10052" spans="1:20" x14ac:dyDescent="0.25">
      <c r="A10052" t="str">
        <f>"3061039"</f>
        <v>3061039</v>
      </c>
      <c r="B10052" t="s">
        <v>30175</v>
      </c>
      <c r="C10052" t="str">
        <f>"8307024"</f>
        <v>8307024</v>
      </c>
      <c r="D10052" t="s">
        <v>30176</v>
      </c>
      <c r="F10052" t="s">
        <v>30177</v>
      </c>
      <c r="I10052" t="s">
        <v>2071</v>
      </c>
      <c r="J10052" t="s">
        <v>30</v>
      </c>
      <c r="K10052" t="str">
        <f>"27006"</f>
        <v>27006</v>
      </c>
      <c r="M10052" t="s">
        <v>17861</v>
      </c>
      <c r="N10052" t="str">
        <f>"10/28/2016 2:30:00 PM"</f>
        <v>10/28/2016 2:30:00 PM</v>
      </c>
      <c r="O10052" t="s">
        <v>30176</v>
      </c>
    </row>
    <row r="10053" spans="1:20" x14ac:dyDescent="0.25">
      <c r="A10053" t="str">
        <f>"3045051"</f>
        <v>3045051</v>
      </c>
      <c r="B10053" t="s">
        <v>30178</v>
      </c>
      <c r="C10053" t="str">
        <f>"39105000"</f>
        <v>39105000</v>
      </c>
      <c r="D10053" t="s">
        <v>30179</v>
      </c>
      <c r="F10053" t="s">
        <v>30180</v>
      </c>
      <c r="I10053" t="s">
        <v>471</v>
      </c>
      <c r="J10053" t="s">
        <v>30</v>
      </c>
      <c r="K10053" t="s">
        <v>472</v>
      </c>
      <c r="M10053" t="s">
        <v>25625</v>
      </c>
      <c r="N10053" t="str">
        <f>"10/11/2016 11:38:00 AM"</f>
        <v>10/11/2016 11:38:00 AM</v>
      </c>
      <c r="O10053" t="s">
        <v>30179</v>
      </c>
    </row>
    <row r="10054" spans="1:20" x14ac:dyDescent="0.25">
      <c r="A10054" t="str">
        <f>"3048359"</f>
        <v>3048359</v>
      </c>
      <c r="B10054" t="s">
        <v>30181</v>
      </c>
      <c r="C10054" t="str">
        <f>"8306510"</f>
        <v>8306510</v>
      </c>
      <c r="D10054" t="s">
        <v>30061</v>
      </c>
      <c r="E10054" t="s">
        <v>30062</v>
      </c>
      <c r="F10054" t="s">
        <v>30063</v>
      </c>
      <c r="I10054" t="s">
        <v>184</v>
      </c>
      <c r="J10054" t="s">
        <v>30</v>
      </c>
      <c r="K10054" t="str">
        <f>"27006"</f>
        <v>27006</v>
      </c>
      <c r="M10054" t="s">
        <v>17861</v>
      </c>
      <c r="N10054" t="str">
        <f>"10/11/2016 1:07:00 PM"</f>
        <v>10/11/2016 1:07:00 PM</v>
      </c>
      <c r="O10054" t="s">
        <v>30061</v>
      </c>
      <c r="T10054" t="s">
        <v>30062</v>
      </c>
    </row>
    <row r="10055" spans="1:20" x14ac:dyDescent="0.25">
      <c r="A10055" t="str">
        <f>"3042930"</f>
        <v>3042930</v>
      </c>
      <c r="B10055" t="s">
        <v>30182</v>
      </c>
      <c r="C10055" t="str">
        <f>"78896000"</f>
        <v>78896000</v>
      </c>
      <c r="D10055" t="s">
        <v>30080</v>
      </c>
      <c r="F10055" t="s">
        <v>30081</v>
      </c>
      <c r="I10055" t="s">
        <v>29</v>
      </c>
      <c r="J10055" t="s">
        <v>30</v>
      </c>
      <c r="K10055" t="s">
        <v>31</v>
      </c>
      <c r="M10055" t="s">
        <v>25733</v>
      </c>
      <c r="N10055" t="str">
        <f>"10/12/2016 10:18:00 AM"</f>
        <v>10/12/2016 10:18:00 AM</v>
      </c>
      <c r="O10055" t="s">
        <v>30080</v>
      </c>
    </row>
    <row r="10056" spans="1:20" x14ac:dyDescent="0.25">
      <c r="A10056" t="str">
        <f>"3045169"</f>
        <v>3045169</v>
      </c>
      <c r="B10056" t="s">
        <v>30183</v>
      </c>
      <c r="C10056" t="str">
        <f>"82517471"</f>
        <v>82517471</v>
      </c>
      <c r="D10056" t="s">
        <v>30184</v>
      </c>
      <c r="E10056" t="s">
        <v>30185</v>
      </c>
      <c r="F10056" t="s">
        <v>30186</v>
      </c>
      <c r="I10056" t="s">
        <v>1149</v>
      </c>
      <c r="J10056" t="s">
        <v>30</v>
      </c>
      <c r="K10056" t="s">
        <v>1150</v>
      </c>
      <c r="M10056" t="s">
        <v>25494</v>
      </c>
      <c r="N10056" t="str">
        <f>"10/13/2016 8:35:00 AM"</f>
        <v>10/13/2016 8:35:00 AM</v>
      </c>
      <c r="O10056" t="s">
        <v>30184</v>
      </c>
      <c r="T10056" t="s">
        <v>30185</v>
      </c>
    </row>
    <row r="10057" spans="1:20" x14ac:dyDescent="0.25">
      <c r="A10057" t="str">
        <f>"3039704"</f>
        <v>3039704</v>
      </c>
      <c r="B10057" t="s">
        <v>30187</v>
      </c>
      <c r="C10057" t="str">
        <f>"82531469"</f>
        <v>82531469</v>
      </c>
      <c r="D10057" t="s">
        <v>617</v>
      </c>
      <c r="E10057" t="s">
        <v>618</v>
      </c>
      <c r="F10057" t="s">
        <v>620</v>
      </c>
      <c r="I10057" t="s">
        <v>29</v>
      </c>
      <c r="K10057" t="s">
        <v>31</v>
      </c>
      <c r="M10057" t="s">
        <v>25494</v>
      </c>
      <c r="N10057" t="str">
        <f>"10/4/2016 10:19:00 AM"</f>
        <v>10/4/2016 10:19:00 AM</v>
      </c>
      <c r="O10057" t="s">
        <v>617</v>
      </c>
      <c r="T10057" t="s">
        <v>618</v>
      </c>
    </row>
    <row r="10058" spans="1:20" x14ac:dyDescent="0.25">
      <c r="A10058" t="str">
        <f>"3042313"</f>
        <v>3042313</v>
      </c>
      <c r="B10058" t="s">
        <v>30188</v>
      </c>
      <c r="C10058" t="str">
        <f>"82513483"</f>
        <v>82513483</v>
      </c>
      <c r="D10058" t="s">
        <v>4149</v>
      </c>
      <c r="E10058" t="s">
        <v>30189</v>
      </c>
      <c r="F10058" t="s">
        <v>4151</v>
      </c>
      <c r="I10058" t="s">
        <v>29</v>
      </c>
      <c r="J10058" t="s">
        <v>30</v>
      </c>
      <c r="K10058" t="s">
        <v>31</v>
      </c>
      <c r="L10058" t="s">
        <v>30190</v>
      </c>
      <c r="M10058" t="s">
        <v>22859</v>
      </c>
      <c r="N10058" t="str">
        <f>"10/24/2016 9:37:00 AM"</f>
        <v>10/24/2016 9:37:00 AM</v>
      </c>
      <c r="O10058" t="s">
        <v>4149</v>
      </c>
      <c r="T10058" t="s">
        <v>30189</v>
      </c>
    </row>
    <row r="10059" spans="1:20" x14ac:dyDescent="0.25">
      <c r="A10059" t="str">
        <f>"3042101"</f>
        <v>3042101</v>
      </c>
      <c r="B10059" t="s">
        <v>30191</v>
      </c>
      <c r="C10059" t="str">
        <f>"8307067"</f>
        <v>8307067</v>
      </c>
      <c r="D10059" t="s">
        <v>25230</v>
      </c>
      <c r="E10059" t="s">
        <v>30192</v>
      </c>
      <c r="F10059" t="s">
        <v>922</v>
      </c>
      <c r="I10059" t="s">
        <v>29</v>
      </c>
      <c r="J10059" t="s">
        <v>30</v>
      </c>
      <c r="K10059" t="str">
        <f>"27028"</f>
        <v>27028</v>
      </c>
      <c r="M10059" t="s">
        <v>17861</v>
      </c>
      <c r="N10059" t="str">
        <f>"10/31/2016 4:39:00 PM"</f>
        <v>10/31/2016 4:39:00 PM</v>
      </c>
      <c r="O10059" t="s">
        <v>25230</v>
      </c>
      <c r="T10059" t="s">
        <v>30192</v>
      </c>
    </row>
    <row r="10060" spans="1:20" x14ac:dyDescent="0.25">
      <c r="A10060" t="str">
        <f>"3041902"</f>
        <v>3041902</v>
      </c>
      <c r="B10060" t="s">
        <v>30193</v>
      </c>
      <c r="C10060" t="str">
        <f>"8304241"</f>
        <v>8304241</v>
      </c>
      <c r="D10060" t="s">
        <v>30194</v>
      </c>
      <c r="F10060" t="s">
        <v>30195</v>
      </c>
      <c r="I10060" t="s">
        <v>30196</v>
      </c>
      <c r="J10060" t="s">
        <v>30197</v>
      </c>
      <c r="K10060" t="str">
        <f>"60015"</f>
        <v>60015</v>
      </c>
      <c r="M10060" t="s">
        <v>25625</v>
      </c>
      <c r="N10060" t="str">
        <f>"10/31/2016 4:54:00 PM"</f>
        <v>10/31/2016 4:54:00 PM</v>
      </c>
      <c r="O10060" t="s">
        <v>30194</v>
      </c>
    </row>
    <row r="10061" spans="1:20" x14ac:dyDescent="0.25">
      <c r="A10061" t="str">
        <f>"3076946"</f>
        <v>3076946</v>
      </c>
      <c r="B10061" t="s">
        <v>30198</v>
      </c>
      <c r="C10061" t="str">
        <f>"8304241"</f>
        <v>8304241</v>
      </c>
      <c r="D10061" t="s">
        <v>30194</v>
      </c>
      <c r="F10061" t="s">
        <v>30195</v>
      </c>
      <c r="I10061" t="s">
        <v>30196</v>
      </c>
      <c r="J10061" t="s">
        <v>30197</v>
      </c>
      <c r="K10061" t="str">
        <f>"60015"</f>
        <v>60015</v>
      </c>
      <c r="M10061" t="s">
        <v>25625</v>
      </c>
      <c r="N10061" t="str">
        <f>"10/31/2016 4:54:00 PM"</f>
        <v>10/31/2016 4:54:00 PM</v>
      </c>
      <c r="O10061" t="s">
        <v>30194</v>
      </c>
    </row>
    <row r="10062" spans="1:20" x14ac:dyDescent="0.25">
      <c r="A10062" t="str">
        <f>"3047835"</f>
        <v>3047835</v>
      </c>
      <c r="B10062" t="s">
        <v>30199</v>
      </c>
      <c r="C10062" t="str">
        <f>"8307074"</f>
        <v>8307074</v>
      </c>
      <c r="D10062" t="s">
        <v>30200</v>
      </c>
      <c r="F10062" t="s">
        <v>30201</v>
      </c>
      <c r="I10062" t="s">
        <v>184</v>
      </c>
      <c r="J10062" t="s">
        <v>30</v>
      </c>
      <c r="K10062" t="str">
        <f>"27006"</f>
        <v>27006</v>
      </c>
      <c r="M10062" t="s">
        <v>17861</v>
      </c>
      <c r="N10062" t="str">
        <f>"11/1/2016 9:07:00 AM"</f>
        <v>11/1/2016 9:07:00 AM</v>
      </c>
      <c r="O10062" t="s">
        <v>30200</v>
      </c>
    </row>
    <row r="10063" spans="1:20" x14ac:dyDescent="0.25">
      <c r="A10063" t="str">
        <f>"3042966"</f>
        <v>3042966</v>
      </c>
      <c r="B10063" t="s">
        <v>30202</v>
      </c>
      <c r="C10063" t="str">
        <f>"8307076"</f>
        <v>8307076</v>
      </c>
      <c r="D10063" t="s">
        <v>30203</v>
      </c>
      <c r="F10063" t="s">
        <v>30204</v>
      </c>
      <c r="I10063" t="s">
        <v>29</v>
      </c>
      <c r="J10063" t="s">
        <v>30</v>
      </c>
      <c r="K10063" t="str">
        <f>"27028"</f>
        <v>27028</v>
      </c>
      <c r="M10063" t="s">
        <v>17861</v>
      </c>
      <c r="N10063" t="str">
        <f>"11/1/2016 9:50:00 AM"</f>
        <v>11/1/2016 9:50:00 AM</v>
      </c>
      <c r="O10063" t="s">
        <v>30203</v>
      </c>
    </row>
    <row r="10064" spans="1:20" x14ac:dyDescent="0.25">
      <c r="A10064" t="str">
        <f>"3038773"</f>
        <v>3038773</v>
      </c>
      <c r="B10064" t="s">
        <v>30205</v>
      </c>
      <c r="C10064" t="str">
        <f>"8307077"</f>
        <v>8307077</v>
      </c>
      <c r="D10064" t="s">
        <v>30206</v>
      </c>
      <c r="E10064" t="s">
        <v>30207</v>
      </c>
      <c r="F10064" t="s">
        <v>30208</v>
      </c>
      <c r="I10064" t="s">
        <v>29</v>
      </c>
      <c r="J10064" t="s">
        <v>30</v>
      </c>
      <c r="K10064" t="str">
        <f>"27028"</f>
        <v>27028</v>
      </c>
      <c r="M10064" t="s">
        <v>17861</v>
      </c>
      <c r="N10064" t="str">
        <f>"11/1/2016 10:03:00 AM"</f>
        <v>11/1/2016 10:03:00 AM</v>
      </c>
      <c r="O10064" t="s">
        <v>30206</v>
      </c>
      <c r="T10064" t="s">
        <v>30207</v>
      </c>
    </row>
    <row r="10065" spans="1:20" x14ac:dyDescent="0.25">
      <c r="A10065" t="str">
        <f>"3038819"</f>
        <v>3038819</v>
      </c>
      <c r="B10065" t="s">
        <v>30209</v>
      </c>
      <c r="C10065" t="str">
        <f>"8307077"</f>
        <v>8307077</v>
      </c>
      <c r="D10065" t="s">
        <v>30206</v>
      </c>
      <c r="E10065" t="s">
        <v>30207</v>
      </c>
      <c r="F10065" t="s">
        <v>30208</v>
      </c>
      <c r="I10065" t="s">
        <v>29</v>
      </c>
      <c r="J10065" t="s">
        <v>30</v>
      </c>
      <c r="K10065" t="str">
        <f>"27028"</f>
        <v>27028</v>
      </c>
      <c r="M10065" t="s">
        <v>17861</v>
      </c>
      <c r="N10065" t="str">
        <f>"11/1/2016 10:03:00 AM"</f>
        <v>11/1/2016 10:03:00 AM</v>
      </c>
      <c r="O10065" t="s">
        <v>30206</v>
      </c>
      <c r="T10065" t="s">
        <v>30207</v>
      </c>
    </row>
    <row r="10066" spans="1:20" x14ac:dyDescent="0.25">
      <c r="A10066" t="str">
        <f>"3052822"</f>
        <v>3052822</v>
      </c>
      <c r="B10066" t="s">
        <v>30210</v>
      </c>
      <c r="C10066" t="str">
        <f>"8307078"</f>
        <v>8307078</v>
      </c>
      <c r="D10066" t="s">
        <v>30211</v>
      </c>
      <c r="E10066" t="s">
        <v>30212</v>
      </c>
      <c r="F10066" t="s">
        <v>30213</v>
      </c>
      <c r="I10066" t="s">
        <v>29</v>
      </c>
      <c r="J10066" t="s">
        <v>30</v>
      </c>
      <c r="K10066" t="str">
        <f>"27028"</f>
        <v>27028</v>
      </c>
      <c r="M10066" t="s">
        <v>17861</v>
      </c>
      <c r="N10066" t="str">
        <f>"11/1/2016 10:14:00 AM"</f>
        <v>11/1/2016 10:14:00 AM</v>
      </c>
      <c r="O10066" t="s">
        <v>30211</v>
      </c>
      <c r="T10066" t="s">
        <v>30212</v>
      </c>
    </row>
    <row r="10067" spans="1:20" x14ac:dyDescent="0.25">
      <c r="A10067" t="str">
        <f>"3078815"</f>
        <v>3078815</v>
      </c>
      <c r="B10067" t="s">
        <v>30214</v>
      </c>
      <c r="C10067" t="str">
        <f>"82525137"</f>
        <v>82525137</v>
      </c>
      <c r="D10067" t="s">
        <v>30215</v>
      </c>
      <c r="E10067" t="s">
        <v>30216</v>
      </c>
      <c r="F10067" t="s">
        <v>30217</v>
      </c>
      <c r="I10067" t="s">
        <v>9580</v>
      </c>
      <c r="J10067" t="s">
        <v>30</v>
      </c>
      <c r="K10067" t="s">
        <v>30218</v>
      </c>
      <c r="M10067" t="s">
        <v>25625</v>
      </c>
      <c r="N10067" t="str">
        <f>"10/4/2016 10:36:00 AM"</f>
        <v>10/4/2016 10:36:00 AM</v>
      </c>
      <c r="O10067" t="s">
        <v>30215</v>
      </c>
      <c r="T10067" t="s">
        <v>30216</v>
      </c>
    </row>
    <row r="10068" spans="1:20" x14ac:dyDescent="0.25">
      <c r="A10068" t="str">
        <f>"3062356"</f>
        <v>3062356</v>
      </c>
      <c r="B10068" t="s">
        <v>30219</v>
      </c>
      <c r="C10068" t="str">
        <f>"8306988"</f>
        <v>8306988</v>
      </c>
      <c r="D10068" t="s">
        <v>30220</v>
      </c>
      <c r="E10068" t="s">
        <v>30221</v>
      </c>
      <c r="F10068" t="s">
        <v>30222</v>
      </c>
      <c r="I10068" t="s">
        <v>29</v>
      </c>
      <c r="J10068" t="s">
        <v>30</v>
      </c>
      <c r="K10068" t="str">
        <f>"27028"</f>
        <v>27028</v>
      </c>
      <c r="M10068" t="s">
        <v>17861</v>
      </c>
      <c r="N10068" t="str">
        <f>"10/27/2016 3:47:00 PM"</f>
        <v>10/27/2016 3:47:00 PM</v>
      </c>
      <c r="O10068" t="s">
        <v>30220</v>
      </c>
      <c r="T10068" t="s">
        <v>30221</v>
      </c>
    </row>
    <row r="10069" spans="1:20" x14ac:dyDescent="0.25">
      <c r="A10069" t="str">
        <f>"3058264"</f>
        <v>3058264</v>
      </c>
      <c r="B10069" t="s">
        <v>30223</v>
      </c>
      <c r="C10069" t="str">
        <f>"8306989"</f>
        <v>8306989</v>
      </c>
      <c r="D10069" t="s">
        <v>30224</v>
      </c>
      <c r="E10069" t="s">
        <v>30225</v>
      </c>
      <c r="F10069" t="s">
        <v>30226</v>
      </c>
      <c r="I10069" t="s">
        <v>29</v>
      </c>
      <c r="J10069" t="s">
        <v>30</v>
      </c>
      <c r="K10069" t="str">
        <f>"27028"</f>
        <v>27028</v>
      </c>
      <c r="M10069" t="s">
        <v>17861</v>
      </c>
      <c r="N10069" t="str">
        <f>"10/27/2016 3:49:00 PM"</f>
        <v>10/27/2016 3:49:00 PM</v>
      </c>
      <c r="O10069" t="s">
        <v>30224</v>
      </c>
      <c r="T10069" t="s">
        <v>30225</v>
      </c>
    </row>
    <row r="10070" spans="1:20" x14ac:dyDescent="0.25">
      <c r="A10070" t="str">
        <f>"3062949"</f>
        <v>3062949</v>
      </c>
      <c r="B10070" t="s">
        <v>30227</v>
      </c>
      <c r="C10070" t="str">
        <f>"8306994"</f>
        <v>8306994</v>
      </c>
      <c r="D10070" t="s">
        <v>30228</v>
      </c>
      <c r="E10070" t="s">
        <v>30229</v>
      </c>
      <c r="F10070" t="s">
        <v>30230</v>
      </c>
      <c r="I10070" t="s">
        <v>29</v>
      </c>
      <c r="J10070" t="s">
        <v>30</v>
      </c>
      <c r="K10070" t="str">
        <f>"27028"</f>
        <v>27028</v>
      </c>
      <c r="M10070" t="s">
        <v>17861</v>
      </c>
      <c r="N10070" t="str">
        <f>"10/27/2016 4:49:00 PM"</f>
        <v>10/27/2016 4:49:00 PM</v>
      </c>
      <c r="O10070" t="s">
        <v>30228</v>
      </c>
      <c r="T10070" t="s">
        <v>30229</v>
      </c>
    </row>
    <row r="10071" spans="1:20" x14ac:dyDescent="0.25">
      <c r="A10071" t="str">
        <f>"3047612"</f>
        <v>3047612</v>
      </c>
      <c r="B10071" t="s">
        <v>30231</v>
      </c>
      <c r="C10071" t="str">
        <f>"8307089"</f>
        <v>8307089</v>
      </c>
      <c r="D10071" t="s">
        <v>30232</v>
      </c>
      <c r="E10071" t="s">
        <v>30233</v>
      </c>
      <c r="F10071" t="s">
        <v>30234</v>
      </c>
      <c r="I10071" t="s">
        <v>29</v>
      </c>
      <c r="J10071" t="s">
        <v>30</v>
      </c>
      <c r="K10071" t="str">
        <f>"27028"</f>
        <v>27028</v>
      </c>
      <c r="M10071" t="s">
        <v>17861</v>
      </c>
      <c r="N10071" t="str">
        <f>"11/7/2016 3:29:00 PM"</f>
        <v>11/7/2016 3:29:00 PM</v>
      </c>
      <c r="O10071" t="s">
        <v>30232</v>
      </c>
      <c r="T10071" t="s">
        <v>30233</v>
      </c>
    </row>
    <row r="10072" spans="1:20" x14ac:dyDescent="0.25">
      <c r="A10072" t="str">
        <f>"3071972"</f>
        <v>3071972</v>
      </c>
      <c r="B10072" t="s">
        <v>30235</v>
      </c>
      <c r="C10072" t="str">
        <f>"8307089"</f>
        <v>8307089</v>
      </c>
      <c r="D10072" t="s">
        <v>30232</v>
      </c>
      <c r="E10072" t="s">
        <v>30233</v>
      </c>
      <c r="F10072" t="s">
        <v>30234</v>
      </c>
      <c r="I10072" t="s">
        <v>29</v>
      </c>
      <c r="J10072" t="s">
        <v>30</v>
      </c>
      <c r="K10072" t="str">
        <f>"27028"</f>
        <v>27028</v>
      </c>
      <c r="M10072" t="s">
        <v>17861</v>
      </c>
      <c r="N10072" t="str">
        <f>"11/7/2016 3:29:00 PM"</f>
        <v>11/7/2016 3:29:00 PM</v>
      </c>
      <c r="O10072" t="s">
        <v>30232</v>
      </c>
      <c r="T10072" t="s">
        <v>30233</v>
      </c>
    </row>
    <row r="10073" spans="1:20" x14ac:dyDescent="0.25">
      <c r="A10073" t="str">
        <f>"3041541"</f>
        <v>3041541</v>
      </c>
      <c r="B10073" t="s">
        <v>30236</v>
      </c>
      <c r="C10073" t="str">
        <f>"8307091"</f>
        <v>8307091</v>
      </c>
      <c r="D10073" t="s">
        <v>30237</v>
      </c>
      <c r="E10073" t="s">
        <v>30238</v>
      </c>
      <c r="F10073" t="s">
        <v>30239</v>
      </c>
      <c r="I10073" t="s">
        <v>184</v>
      </c>
      <c r="J10073" t="s">
        <v>30</v>
      </c>
      <c r="K10073" t="str">
        <f>"27006"</f>
        <v>27006</v>
      </c>
      <c r="M10073" t="s">
        <v>17861</v>
      </c>
      <c r="N10073" t="str">
        <f>"11/7/2016 3:40:00 PM"</f>
        <v>11/7/2016 3:40:00 PM</v>
      </c>
      <c r="O10073" t="s">
        <v>30237</v>
      </c>
      <c r="T10073" t="s">
        <v>30238</v>
      </c>
    </row>
    <row r="10074" spans="1:20" x14ac:dyDescent="0.25">
      <c r="A10074" t="str">
        <f>"3059596"</f>
        <v>3059596</v>
      </c>
      <c r="B10074" t="s">
        <v>30240</v>
      </c>
      <c r="C10074" t="str">
        <f>"8306997"</f>
        <v>8306997</v>
      </c>
      <c r="D10074" t="s">
        <v>30241</v>
      </c>
      <c r="E10074" t="s">
        <v>30242</v>
      </c>
      <c r="F10074" t="s">
        <v>30243</v>
      </c>
      <c r="I10074" t="s">
        <v>29</v>
      </c>
      <c r="J10074" t="s">
        <v>30</v>
      </c>
      <c r="K10074" t="str">
        <f t="shared" ref="K10074:K10080" si="166">"27028"</f>
        <v>27028</v>
      </c>
      <c r="M10074" t="s">
        <v>17861</v>
      </c>
      <c r="N10074" t="str">
        <f>"10/28/2016 11:39:00 AM"</f>
        <v>10/28/2016 11:39:00 AM</v>
      </c>
      <c r="O10074" t="s">
        <v>30241</v>
      </c>
      <c r="T10074" t="s">
        <v>30242</v>
      </c>
    </row>
    <row r="10075" spans="1:20" x14ac:dyDescent="0.25">
      <c r="A10075" t="str">
        <f>"3047728"</f>
        <v>3047728</v>
      </c>
      <c r="B10075" t="s">
        <v>30244</v>
      </c>
      <c r="C10075" t="str">
        <f>"8301524"</f>
        <v>8301524</v>
      </c>
      <c r="D10075" t="s">
        <v>30245</v>
      </c>
      <c r="F10075" t="s">
        <v>30246</v>
      </c>
      <c r="I10075" t="s">
        <v>29</v>
      </c>
      <c r="J10075" t="s">
        <v>30</v>
      </c>
      <c r="K10075" t="str">
        <f t="shared" si="166"/>
        <v>27028</v>
      </c>
      <c r="M10075" t="s">
        <v>25625</v>
      </c>
      <c r="N10075" t="str">
        <f>"11/8/2016 9:14:00 AM"</f>
        <v>11/8/2016 9:14:00 AM</v>
      </c>
      <c r="O10075" t="s">
        <v>30245</v>
      </c>
    </row>
    <row r="10076" spans="1:20" x14ac:dyDescent="0.25">
      <c r="A10076" t="str">
        <f>"3047449"</f>
        <v>3047449</v>
      </c>
      <c r="B10076" t="s">
        <v>30247</v>
      </c>
      <c r="C10076" t="str">
        <f>"8301524"</f>
        <v>8301524</v>
      </c>
      <c r="D10076" t="s">
        <v>30245</v>
      </c>
      <c r="F10076" t="s">
        <v>30246</v>
      </c>
      <c r="I10076" t="s">
        <v>29</v>
      </c>
      <c r="J10076" t="s">
        <v>30</v>
      </c>
      <c r="K10076" t="str">
        <f t="shared" si="166"/>
        <v>27028</v>
      </c>
      <c r="M10076" t="s">
        <v>25625</v>
      </c>
      <c r="N10076" t="str">
        <f>"11/8/2016 9:14:00 AM"</f>
        <v>11/8/2016 9:14:00 AM</v>
      </c>
      <c r="O10076" t="s">
        <v>30245</v>
      </c>
    </row>
    <row r="10077" spans="1:20" x14ac:dyDescent="0.25">
      <c r="A10077" t="str">
        <f>"3048317"</f>
        <v>3048317</v>
      </c>
      <c r="B10077" t="s">
        <v>30248</v>
      </c>
      <c r="C10077" t="str">
        <f>"8301524"</f>
        <v>8301524</v>
      </c>
      <c r="D10077" t="s">
        <v>30245</v>
      </c>
      <c r="F10077" t="s">
        <v>30246</v>
      </c>
      <c r="I10077" t="s">
        <v>29</v>
      </c>
      <c r="J10077" t="s">
        <v>30</v>
      </c>
      <c r="K10077" t="str">
        <f t="shared" si="166"/>
        <v>27028</v>
      </c>
      <c r="M10077" t="s">
        <v>25625</v>
      </c>
      <c r="N10077" t="str">
        <f>"11/8/2016 9:14:00 AM"</f>
        <v>11/8/2016 9:14:00 AM</v>
      </c>
      <c r="O10077" t="s">
        <v>30245</v>
      </c>
    </row>
    <row r="10078" spans="1:20" x14ac:dyDescent="0.25">
      <c r="A10078" t="str">
        <f>"3048318"</f>
        <v>3048318</v>
      </c>
      <c r="B10078" t="s">
        <v>30249</v>
      </c>
      <c r="C10078" t="str">
        <f>"8301524"</f>
        <v>8301524</v>
      </c>
      <c r="D10078" t="s">
        <v>30245</v>
      </c>
      <c r="F10078" t="s">
        <v>30246</v>
      </c>
      <c r="I10078" t="s">
        <v>29</v>
      </c>
      <c r="J10078" t="s">
        <v>30</v>
      </c>
      <c r="K10078" t="str">
        <f t="shared" si="166"/>
        <v>27028</v>
      </c>
      <c r="M10078" t="s">
        <v>25625</v>
      </c>
      <c r="N10078" t="str">
        <f>"11/8/2016 9:14:00 AM"</f>
        <v>11/8/2016 9:14:00 AM</v>
      </c>
      <c r="O10078" t="s">
        <v>30245</v>
      </c>
    </row>
    <row r="10079" spans="1:20" x14ac:dyDescent="0.25">
      <c r="A10079" t="str">
        <f>"3048319"</f>
        <v>3048319</v>
      </c>
      <c r="B10079" t="s">
        <v>30250</v>
      </c>
      <c r="C10079" t="str">
        <f>"8301524"</f>
        <v>8301524</v>
      </c>
      <c r="D10079" t="s">
        <v>30245</v>
      </c>
      <c r="F10079" t="s">
        <v>30246</v>
      </c>
      <c r="I10079" t="s">
        <v>29</v>
      </c>
      <c r="J10079" t="s">
        <v>30</v>
      </c>
      <c r="K10079" t="str">
        <f t="shared" si="166"/>
        <v>27028</v>
      </c>
      <c r="M10079" t="s">
        <v>25625</v>
      </c>
      <c r="N10079" t="str">
        <f>"11/8/2016 9:14:00 AM"</f>
        <v>11/8/2016 9:14:00 AM</v>
      </c>
      <c r="O10079" t="s">
        <v>30245</v>
      </c>
    </row>
    <row r="10080" spans="1:20" x14ac:dyDescent="0.25">
      <c r="A10080" t="str">
        <f>"3052620"</f>
        <v>3052620</v>
      </c>
      <c r="B10080" t="s">
        <v>30251</v>
      </c>
      <c r="C10080" t="str">
        <f>"8307003"</f>
        <v>8307003</v>
      </c>
      <c r="D10080" t="s">
        <v>30252</v>
      </c>
      <c r="E10080" t="s">
        <v>30253</v>
      </c>
      <c r="F10080" t="s">
        <v>30254</v>
      </c>
      <c r="I10080" t="s">
        <v>29</v>
      </c>
      <c r="J10080" t="s">
        <v>30</v>
      </c>
      <c r="K10080" t="str">
        <f t="shared" si="166"/>
        <v>27028</v>
      </c>
      <c r="M10080" t="s">
        <v>17861</v>
      </c>
      <c r="N10080" t="str">
        <f>"10/28/2016 12:11:00 PM"</f>
        <v>10/28/2016 12:11:00 PM</v>
      </c>
      <c r="O10080" t="s">
        <v>30252</v>
      </c>
      <c r="T10080" t="s">
        <v>30253</v>
      </c>
    </row>
    <row r="10081" spans="1:20" x14ac:dyDescent="0.25">
      <c r="A10081" t="str">
        <f>"3039705"</f>
        <v>3039705</v>
      </c>
      <c r="B10081" t="s">
        <v>30255</v>
      </c>
      <c r="C10081" t="str">
        <f>"77607000"</f>
        <v>77607000</v>
      </c>
      <c r="D10081" t="s">
        <v>30256</v>
      </c>
      <c r="E10081" t="s">
        <v>30257</v>
      </c>
      <c r="F10081" t="s">
        <v>30258</v>
      </c>
      <c r="I10081" t="s">
        <v>29</v>
      </c>
      <c r="J10081" t="s">
        <v>30</v>
      </c>
      <c r="K10081" t="s">
        <v>31</v>
      </c>
      <c r="M10081" t="s">
        <v>25494</v>
      </c>
      <c r="N10081" t="str">
        <f>"11/9/2016 10:03:00 AM"</f>
        <v>11/9/2016 10:03:00 AM</v>
      </c>
      <c r="O10081" t="s">
        <v>30256</v>
      </c>
      <c r="T10081" t="s">
        <v>30257</v>
      </c>
    </row>
    <row r="10082" spans="1:20" x14ac:dyDescent="0.25">
      <c r="A10082" t="str">
        <f>"3047424"</f>
        <v>3047424</v>
      </c>
      <c r="B10082" t="s">
        <v>30259</v>
      </c>
      <c r="C10082" t="str">
        <f t="shared" ref="C10082:C10092" si="167">"82530407"</f>
        <v>82530407</v>
      </c>
      <c r="D10082" t="s">
        <v>30260</v>
      </c>
      <c r="E10082" t="s">
        <v>25854</v>
      </c>
      <c r="F10082" t="s">
        <v>7648</v>
      </c>
      <c r="I10082" t="s">
        <v>184</v>
      </c>
      <c r="J10082" t="s">
        <v>30</v>
      </c>
      <c r="K10082" t="s">
        <v>185</v>
      </c>
      <c r="M10082" t="s">
        <v>25494</v>
      </c>
      <c r="N10082" t="str">
        <f t="shared" ref="N10082:N10092" si="168">"11/9/2016 10:06:00 AM"</f>
        <v>11/9/2016 10:06:00 AM</v>
      </c>
      <c r="O10082" t="s">
        <v>30260</v>
      </c>
      <c r="T10082" t="s">
        <v>25854</v>
      </c>
    </row>
    <row r="10083" spans="1:20" x14ac:dyDescent="0.25">
      <c r="A10083" t="str">
        <f>"3047429"</f>
        <v>3047429</v>
      </c>
      <c r="B10083" t="s">
        <v>30261</v>
      </c>
      <c r="C10083" t="str">
        <f t="shared" si="167"/>
        <v>82530407</v>
      </c>
      <c r="D10083" t="s">
        <v>30260</v>
      </c>
      <c r="E10083" t="s">
        <v>25854</v>
      </c>
      <c r="F10083" t="s">
        <v>7648</v>
      </c>
      <c r="I10083" t="s">
        <v>184</v>
      </c>
      <c r="J10083" t="s">
        <v>30</v>
      </c>
      <c r="K10083" t="s">
        <v>185</v>
      </c>
      <c r="M10083" t="s">
        <v>25494</v>
      </c>
      <c r="N10083" t="str">
        <f t="shared" si="168"/>
        <v>11/9/2016 10:06:00 AM</v>
      </c>
      <c r="O10083" t="s">
        <v>30260</v>
      </c>
      <c r="T10083" t="s">
        <v>25854</v>
      </c>
    </row>
    <row r="10084" spans="1:20" x14ac:dyDescent="0.25">
      <c r="A10084" t="str">
        <f>"3047498"</f>
        <v>3047498</v>
      </c>
      <c r="B10084" t="s">
        <v>30262</v>
      </c>
      <c r="C10084" t="str">
        <f t="shared" si="167"/>
        <v>82530407</v>
      </c>
      <c r="D10084" t="s">
        <v>30260</v>
      </c>
      <c r="E10084" t="s">
        <v>25854</v>
      </c>
      <c r="F10084" t="s">
        <v>7648</v>
      </c>
      <c r="I10084" t="s">
        <v>184</v>
      </c>
      <c r="J10084" t="s">
        <v>30</v>
      </c>
      <c r="K10084" t="s">
        <v>185</v>
      </c>
      <c r="M10084" t="s">
        <v>25494</v>
      </c>
      <c r="N10084" t="str">
        <f t="shared" si="168"/>
        <v>11/9/2016 10:06:00 AM</v>
      </c>
      <c r="O10084" t="s">
        <v>30260</v>
      </c>
      <c r="T10084" t="s">
        <v>25854</v>
      </c>
    </row>
    <row r="10085" spans="1:20" x14ac:dyDescent="0.25">
      <c r="A10085" t="str">
        <f>"3047411"</f>
        <v>3047411</v>
      </c>
      <c r="B10085" t="s">
        <v>30263</v>
      </c>
      <c r="C10085" t="str">
        <f t="shared" si="167"/>
        <v>82530407</v>
      </c>
      <c r="D10085" t="s">
        <v>30260</v>
      </c>
      <c r="E10085" t="s">
        <v>25854</v>
      </c>
      <c r="F10085" t="s">
        <v>7648</v>
      </c>
      <c r="I10085" t="s">
        <v>184</v>
      </c>
      <c r="J10085" t="s">
        <v>30</v>
      </c>
      <c r="K10085" t="s">
        <v>185</v>
      </c>
      <c r="M10085" t="s">
        <v>25494</v>
      </c>
      <c r="N10085" t="str">
        <f t="shared" si="168"/>
        <v>11/9/2016 10:06:00 AM</v>
      </c>
      <c r="O10085" t="s">
        <v>30260</v>
      </c>
      <c r="T10085" t="s">
        <v>25854</v>
      </c>
    </row>
    <row r="10086" spans="1:20" x14ac:dyDescent="0.25">
      <c r="A10086" t="str">
        <f>"3047401"</f>
        <v>3047401</v>
      </c>
      <c r="B10086" t="s">
        <v>30264</v>
      </c>
      <c r="C10086" t="str">
        <f t="shared" si="167"/>
        <v>82530407</v>
      </c>
      <c r="D10086" t="s">
        <v>30260</v>
      </c>
      <c r="E10086" t="s">
        <v>25854</v>
      </c>
      <c r="F10086" t="s">
        <v>7648</v>
      </c>
      <c r="I10086" t="s">
        <v>184</v>
      </c>
      <c r="J10086" t="s">
        <v>30</v>
      </c>
      <c r="K10086" t="s">
        <v>185</v>
      </c>
      <c r="M10086" t="s">
        <v>25494</v>
      </c>
      <c r="N10086" t="str">
        <f t="shared" si="168"/>
        <v>11/9/2016 10:06:00 AM</v>
      </c>
      <c r="O10086" t="s">
        <v>30260</v>
      </c>
      <c r="T10086" t="s">
        <v>25854</v>
      </c>
    </row>
    <row r="10087" spans="1:20" x14ac:dyDescent="0.25">
      <c r="A10087" t="str">
        <f>"3047804"</f>
        <v>3047804</v>
      </c>
      <c r="B10087" t="s">
        <v>30265</v>
      </c>
      <c r="C10087" t="str">
        <f t="shared" si="167"/>
        <v>82530407</v>
      </c>
      <c r="D10087" t="s">
        <v>30260</v>
      </c>
      <c r="E10087" t="s">
        <v>25854</v>
      </c>
      <c r="F10087" t="s">
        <v>7648</v>
      </c>
      <c r="I10087" t="s">
        <v>184</v>
      </c>
      <c r="J10087" t="s">
        <v>30</v>
      </c>
      <c r="K10087" t="s">
        <v>185</v>
      </c>
      <c r="M10087" t="s">
        <v>25494</v>
      </c>
      <c r="N10087" t="str">
        <f t="shared" si="168"/>
        <v>11/9/2016 10:06:00 AM</v>
      </c>
      <c r="O10087" t="s">
        <v>30260</v>
      </c>
      <c r="T10087" t="s">
        <v>25854</v>
      </c>
    </row>
    <row r="10088" spans="1:20" x14ac:dyDescent="0.25">
      <c r="A10088" t="str">
        <f>"3047903"</f>
        <v>3047903</v>
      </c>
      <c r="B10088" t="s">
        <v>30266</v>
      </c>
      <c r="C10088" t="str">
        <f t="shared" si="167"/>
        <v>82530407</v>
      </c>
      <c r="D10088" t="s">
        <v>30260</v>
      </c>
      <c r="E10088" t="s">
        <v>25854</v>
      </c>
      <c r="F10088" t="s">
        <v>7648</v>
      </c>
      <c r="I10088" t="s">
        <v>184</v>
      </c>
      <c r="J10088" t="s">
        <v>30</v>
      </c>
      <c r="K10088" t="s">
        <v>185</v>
      </c>
      <c r="M10088" t="s">
        <v>25494</v>
      </c>
      <c r="N10088" t="str">
        <f t="shared" si="168"/>
        <v>11/9/2016 10:06:00 AM</v>
      </c>
      <c r="O10088" t="s">
        <v>30260</v>
      </c>
      <c r="T10088" t="s">
        <v>25854</v>
      </c>
    </row>
    <row r="10089" spans="1:20" x14ac:dyDescent="0.25">
      <c r="A10089" t="str">
        <f>"3077766"</f>
        <v>3077766</v>
      </c>
      <c r="B10089" t="s">
        <v>30267</v>
      </c>
      <c r="C10089" t="str">
        <f t="shared" si="167"/>
        <v>82530407</v>
      </c>
      <c r="D10089" t="s">
        <v>30260</v>
      </c>
      <c r="E10089" t="s">
        <v>25854</v>
      </c>
      <c r="F10089" t="s">
        <v>7648</v>
      </c>
      <c r="I10089" t="s">
        <v>184</v>
      </c>
      <c r="J10089" t="s">
        <v>30</v>
      </c>
      <c r="K10089" t="s">
        <v>185</v>
      </c>
      <c r="M10089" t="s">
        <v>25494</v>
      </c>
      <c r="N10089" t="str">
        <f t="shared" si="168"/>
        <v>11/9/2016 10:06:00 AM</v>
      </c>
      <c r="O10089" t="s">
        <v>30260</v>
      </c>
      <c r="T10089" t="s">
        <v>25854</v>
      </c>
    </row>
    <row r="10090" spans="1:20" x14ac:dyDescent="0.25">
      <c r="A10090" t="str">
        <f>"3077767"</f>
        <v>3077767</v>
      </c>
      <c r="B10090" t="s">
        <v>30268</v>
      </c>
      <c r="C10090" t="str">
        <f t="shared" si="167"/>
        <v>82530407</v>
      </c>
      <c r="D10090" t="s">
        <v>30260</v>
      </c>
      <c r="E10090" t="s">
        <v>25854</v>
      </c>
      <c r="F10090" t="s">
        <v>7648</v>
      </c>
      <c r="I10090" t="s">
        <v>184</v>
      </c>
      <c r="J10090" t="s">
        <v>30</v>
      </c>
      <c r="K10090" t="s">
        <v>185</v>
      </c>
      <c r="M10090" t="s">
        <v>25494</v>
      </c>
      <c r="N10090" t="str">
        <f t="shared" si="168"/>
        <v>11/9/2016 10:06:00 AM</v>
      </c>
      <c r="O10090" t="s">
        <v>30260</v>
      </c>
      <c r="T10090" t="s">
        <v>25854</v>
      </c>
    </row>
    <row r="10091" spans="1:20" x14ac:dyDescent="0.25">
      <c r="A10091" t="str">
        <f>"3077764"</f>
        <v>3077764</v>
      </c>
      <c r="B10091" t="s">
        <v>30269</v>
      </c>
      <c r="C10091" t="str">
        <f t="shared" si="167"/>
        <v>82530407</v>
      </c>
      <c r="D10091" t="s">
        <v>30260</v>
      </c>
      <c r="E10091" t="s">
        <v>25854</v>
      </c>
      <c r="F10091" t="s">
        <v>7648</v>
      </c>
      <c r="I10091" t="s">
        <v>184</v>
      </c>
      <c r="J10091" t="s">
        <v>30</v>
      </c>
      <c r="K10091" t="s">
        <v>185</v>
      </c>
      <c r="M10091" t="s">
        <v>25494</v>
      </c>
      <c r="N10091" t="str">
        <f t="shared" si="168"/>
        <v>11/9/2016 10:06:00 AM</v>
      </c>
      <c r="O10091" t="s">
        <v>30260</v>
      </c>
      <c r="T10091" t="s">
        <v>25854</v>
      </c>
    </row>
    <row r="10092" spans="1:20" x14ac:dyDescent="0.25">
      <c r="A10092" t="str">
        <f>"3077765"</f>
        <v>3077765</v>
      </c>
      <c r="B10092" t="s">
        <v>30270</v>
      </c>
      <c r="C10092" t="str">
        <f t="shared" si="167"/>
        <v>82530407</v>
      </c>
      <c r="D10092" t="s">
        <v>30260</v>
      </c>
      <c r="E10092" t="s">
        <v>25854</v>
      </c>
      <c r="F10092" t="s">
        <v>7648</v>
      </c>
      <c r="I10092" t="s">
        <v>184</v>
      </c>
      <c r="J10092" t="s">
        <v>30</v>
      </c>
      <c r="K10092" t="s">
        <v>185</v>
      </c>
      <c r="M10092" t="s">
        <v>25494</v>
      </c>
      <c r="N10092" t="str">
        <f t="shared" si="168"/>
        <v>11/9/2016 10:06:00 AM</v>
      </c>
      <c r="O10092" t="s">
        <v>30260</v>
      </c>
      <c r="T10092" t="s">
        <v>25854</v>
      </c>
    </row>
    <row r="10093" spans="1:20" x14ac:dyDescent="0.25">
      <c r="A10093" t="str">
        <f>"3057027"</f>
        <v>3057027</v>
      </c>
      <c r="B10093" t="s">
        <v>30271</v>
      </c>
      <c r="C10093" t="str">
        <f>"82520697"</f>
        <v>82520697</v>
      </c>
      <c r="D10093" t="s">
        <v>30272</v>
      </c>
      <c r="F10093" t="s">
        <v>30273</v>
      </c>
      <c r="I10093" t="s">
        <v>184</v>
      </c>
      <c r="J10093" t="s">
        <v>30</v>
      </c>
      <c r="K10093" t="s">
        <v>4697</v>
      </c>
      <c r="M10093" t="s">
        <v>25733</v>
      </c>
      <c r="N10093" t="str">
        <f>"11/9/2016 10:31:00 AM"</f>
        <v>11/9/2016 10:31:00 AM</v>
      </c>
      <c r="O10093" t="s">
        <v>30272</v>
      </c>
    </row>
    <row r="10094" spans="1:20" x14ac:dyDescent="0.25">
      <c r="A10094" t="str">
        <f>"3040727"</f>
        <v>3040727</v>
      </c>
      <c r="B10094" t="s">
        <v>30274</v>
      </c>
      <c r="C10094" t="str">
        <f>"82520697"</f>
        <v>82520697</v>
      </c>
      <c r="D10094" t="s">
        <v>30272</v>
      </c>
      <c r="F10094" t="s">
        <v>30273</v>
      </c>
      <c r="I10094" t="s">
        <v>184</v>
      </c>
      <c r="J10094" t="s">
        <v>30</v>
      </c>
      <c r="K10094" t="s">
        <v>4697</v>
      </c>
      <c r="M10094" t="s">
        <v>25733</v>
      </c>
      <c r="N10094" t="str">
        <f>"11/9/2016 10:31:00 AM"</f>
        <v>11/9/2016 10:31:00 AM</v>
      </c>
      <c r="O10094" t="s">
        <v>30272</v>
      </c>
    </row>
    <row r="10095" spans="1:20" x14ac:dyDescent="0.25">
      <c r="A10095" t="str">
        <f>"3040578"</f>
        <v>3040578</v>
      </c>
      <c r="B10095" t="s">
        <v>30275</v>
      </c>
      <c r="C10095" t="str">
        <f>"8307011"</f>
        <v>8307011</v>
      </c>
      <c r="D10095" t="s">
        <v>30276</v>
      </c>
      <c r="F10095" t="s">
        <v>30277</v>
      </c>
      <c r="I10095" t="s">
        <v>184</v>
      </c>
      <c r="J10095" t="s">
        <v>30</v>
      </c>
      <c r="K10095" t="str">
        <f>"27006"</f>
        <v>27006</v>
      </c>
      <c r="M10095" t="s">
        <v>17861</v>
      </c>
      <c r="N10095" t="str">
        <f>"10/28/2016 1:04:00 PM"</f>
        <v>10/28/2016 1:04:00 PM</v>
      </c>
      <c r="O10095" t="s">
        <v>30276</v>
      </c>
    </row>
    <row r="10096" spans="1:20" x14ac:dyDescent="0.25">
      <c r="A10096" t="str">
        <f>"3072902"</f>
        <v>3072902</v>
      </c>
      <c r="B10096" t="s">
        <v>30278</v>
      </c>
      <c r="C10096" t="str">
        <f>"8303997"</f>
        <v>8303997</v>
      </c>
      <c r="D10096" t="s">
        <v>30279</v>
      </c>
      <c r="E10096" t="str">
        <f>"OWENS ALVIA L REV TRUST 7/3/14"</f>
        <v>OWENS ALVIA L REV TRUST 7/3/14</v>
      </c>
      <c r="F10096" t="s">
        <v>30280</v>
      </c>
      <c r="I10096" t="s">
        <v>184</v>
      </c>
      <c r="J10096" t="s">
        <v>30</v>
      </c>
      <c r="K10096" t="str">
        <f>"27006"</f>
        <v>27006</v>
      </c>
      <c r="M10096" t="s">
        <v>25494</v>
      </c>
      <c r="N10096" t="str">
        <f>"10/14/2016 8:26:00 AM"</f>
        <v>10/14/2016 8:26:00 AM</v>
      </c>
      <c r="O10096" t="s">
        <v>30279</v>
      </c>
      <c r="T10096" t="str">
        <f>"OWENS ALVIA L REV TRUST 7/3/14"</f>
        <v>OWENS ALVIA L REV TRUST 7/3/14</v>
      </c>
    </row>
    <row r="10097" spans="1:20" x14ac:dyDescent="0.25">
      <c r="A10097" t="str">
        <f>"3038627"</f>
        <v>3038627</v>
      </c>
      <c r="B10097" t="s">
        <v>30281</v>
      </c>
      <c r="C10097" t="str">
        <f>"8307108"</f>
        <v>8307108</v>
      </c>
      <c r="D10097" t="s">
        <v>30282</v>
      </c>
      <c r="F10097" t="s">
        <v>30283</v>
      </c>
      <c r="I10097" t="s">
        <v>29</v>
      </c>
      <c r="J10097" t="s">
        <v>30</v>
      </c>
      <c r="K10097" t="str">
        <f>"27028"</f>
        <v>27028</v>
      </c>
      <c r="M10097" t="s">
        <v>17861</v>
      </c>
      <c r="N10097" t="str">
        <f>"11/9/2016 1:42:00 PM"</f>
        <v>11/9/2016 1:42:00 PM</v>
      </c>
      <c r="O10097" t="s">
        <v>30282</v>
      </c>
    </row>
    <row r="10098" spans="1:20" x14ac:dyDescent="0.25">
      <c r="A10098" t="str">
        <f>"3068706"</f>
        <v>3068706</v>
      </c>
      <c r="B10098" t="s">
        <v>30284</v>
      </c>
      <c r="C10098" t="str">
        <f>"8307109"</f>
        <v>8307109</v>
      </c>
      <c r="D10098" t="s">
        <v>30285</v>
      </c>
      <c r="E10098" t="str">
        <f>"BURTON TERRY/PAM"</f>
        <v>BURTON TERRY/PAM</v>
      </c>
      <c r="F10098" t="s">
        <v>19920</v>
      </c>
      <c r="I10098" t="s">
        <v>29</v>
      </c>
      <c r="J10098" t="s">
        <v>30</v>
      </c>
      <c r="K10098" t="str">
        <f>"27028"</f>
        <v>27028</v>
      </c>
      <c r="M10098" t="s">
        <v>17861</v>
      </c>
      <c r="N10098" t="str">
        <f>"11/9/2016 1:56:00 PM"</f>
        <v>11/9/2016 1:56:00 PM</v>
      </c>
      <c r="O10098" t="s">
        <v>30285</v>
      </c>
      <c r="T10098" t="str">
        <f>"BURTON TERRY/PAM"</f>
        <v>BURTON TERRY/PAM</v>
      </c>
    </row>
    <row r="10099" spans="1:20" x14ac:dyDescent="0.25">
      <c r="A10099" t="str">
        <f>"3053614"</f>
        <v>3053614</v>
      </c>
      <c r="B10099" t="s">
        <v>30286</v>
      </c>
      <c r="C10099" t="str">
        <f>"58740000"</f>
        <v>58740000</v>
      </c>
      <c r="D10099" t="s">
        <v>30287</v>
      </c>
      <c r="E10099" t="s">
        <v>30288</v>
      </c>
      <c r="F10099" t="s">
        <v>30289</v>
      </c>
      <c r="I10099" t="s">
        <v>184</v>
      </c>
      <c r="J10099" t="s">
        <v>30</v>
      </c>
      <c r="K10099" t="s">
        <v>185</v>
      </c>
      <c r="M10099" t="s">
        <v>27053</v>
      </c>
      <c r="N10099" t="str">
        <f>"10/14/2016 3:14:00 PM"</f>
        <v>10/14/2016 3:14:00 PM</v>
      </c>
      <c r="O10099" t="s">
        <v>30287</v>
      </c>
      <c r="T10099" t="s">
        <v>30288</v>
      </c>
    </row>
    <row r="10100" spans="1:20" x14ac:dyDescent="0.25">
      <c r="A10100" t="str">
        <f>"3047758"</f>
        <v>3047758</v>
      </c>
      <c r="B10100" t="s">
        <v>30290</v>
      </c>
      <c r="C10100" t="str">
        <f>"8305022"</f>
        <v>8305022</v>
      </c>
      <c r="D10100" t="s">
        <v>30291</v>
      </c>
      <c r="E10100" t="s">
        <v>30292</v>
      </c>
      <c r="F10100" t="s">
        <v>30293</v>
      </c>
      <c r="I10100" t="s">
        <v>184</v>
      </c>
      <c r="J10100" t="s">
        <v>30</v>
      </c>
      <c r="K10100" t="str">
        <f>"27006"</f>
        <v>27006</v>
      </c>
      <c r="M10100" t="s">
        <v>24254</v>
      </c>
      <c r="N10100" t="str">
        <f>"10/17/2016 2:06:00 PM"</f>
        <v>10/17/2016 2:06:00 PM</v>
      </c>
      <c r="O10100" t="s">
        <v>30291</v>
      </c>
      <c r="T10100" t="s">
        <v>30292</v>
      </c>
    </row>
    <row r="10101" spans="1:20" x14ac:dyDescent="0.25">
      <c r="A10101" t="str">
        <f>"3078132"</f>
        <v>3078132</v>
      </c>
      <c r="B10101" t="s">
        <v>30294</v>
      </c>
      <c r="C10101" t="str">
        <f>"8307115"</f>
        <v>8307115</v>
      </c>
      <c r="D10101" t="s">
        <v>30295</v>
      </c>
      <c r="E10101" t="s">
        <v>30296</v>
      </c>
      <c r="F10101" t="s">
        <v>30297</v>
      </c>
      <c r="G10101" t="s">
        <v>30298</v>
      </c>
      <c r="I10101" t="s">
        <v>29</v>
      </c>
      <c r="J10101" t="s">
        <v>30</v>
      </c>
      <c r="K10101" t="str">
        <f>"27028"</f>
        <v>27028</v>
      </c>
      <c r="M10101" t="s">
        <v>17861</v>
      </c>
      <c r="N10101" t="str">
        <f>"11/14/2016 11:13:00 AM"</f>
        <v>11/14/2016 11:13:00 AM</v>
      </c>
      <c r="O10101" t="s">
        <v>30295</v>
      </c>
      <c r="T10101" t="s">
        <v>30296</v>
      </c>
    </row>
    <row r="10102" spans="1:20" x14ac:dyDescent="0.25">
      <c r="A10102" t="str">
        <f>"3038665"</f>
        <v>3038665</v>
      </c>
      <c r="B10102" t="s">
        <v>30299</v>
      </c>
      <c r="C10102" t="str">
        <f>"45314000"</f>
        <v>45314000</v>
      </c>
      <c r="D10102" t="s">
        <v>30300</v>
      </c>
      <c r="E10102" t="s">
        <v>30301</v>
      </c>
      <c r="F10102" t="s">
        <v>30302</v>
      </c>
      <c r="I10102" t="s">
        <v>29</v>
      </c>
      <c r="J10102" t="s">
        <v>30</v>
      </c>
      <c r="K10102" t="s">
        <v>31</v>
      </c>
      <c r="M10102" t="s">
        <v>25625</v>
      </c>
      <c r="N10102" t="str">
        <f>"11/14/2016 11:18:00 AM"</f>
        <v>11/14/2016 11:18:00 AM</v>
      </c>
      <c r="O10102" t="s">
        <v>30300</v>
      </c>
      <c r="T10102" t="s">
        <v>30301</v>
      </c>
    </row>
    <row r="10103" spans="1:20" x14ac:dyDescent="0.25">
      <c r="A10103" t="str">
        <f>"3060358"</f>
        <v>3060358</v>
      </c>
      <c r="B10103" t="s">
        <v>30303</v>
      </c>
      <c r="C10103" t="str">
        <f>"8307121"</f>
        <v>8307121</v>
      </c>
      <c r="D10103" t="s">
        <v>30304</v>
      </c>
      <c r="F10103" t="s">
        <v>30305</v>
      </c>
      <c r="I10103" t="s">
        <v>29</v>
      </c>
      <c r="J10103" t="s">
        <v>30</v>
      </c>
      <c r="K10103" t="str">
        <f>"27028"</f>
        <v>27028</v>
      </c>
      <c r="M10103" t="s">
        <v>17861</v>
      </c>
      <c r="N10103" t="str">
        <f>"11/14/2016 12:44:00 PM"</f>
        <v>11/14/2016 12:44:00 PM</v>
      </c>
      <c r="O10103" t="s">
        <v>30304</v>
      </c>
    </row>
    <row r="10104" spans="1:20" x14ac:dyDescent="0.25">
      <c r="A10104" t="str">
        <f>"3060262"</f>
        <v>3060262</v>
      </c>
      <c r="B10104" t="s">
        <v>30306</v>
      </c>
      <c r="C10104" t="str">
        <f>"8307123"</f>
        <v>8307123</v>
      </c>
      <c r="D10104" t="s">
        <v>30307</v>
      </c>
      <c r="E10104" t="s">
        <v>30308</v>
      </c>
      <c r="F10104" t="s">
        <v>30309</v>
      </c>
      <c r="I10104" t="s">
        <v>184</v>
      </c>
      <c r="J10104" t="s">
        <v>30</v>
      </c>
      <c r="K10104" t="str">
        <f>"27006"</f>
        <v>27006</v>
      </c>
      <c r="M10104" t="s">
        <v>17861</v>
      </c>
      <c r="N10104" t="str">
        <f>"11/14/2016 3:15:00 PM"</f>
        <v>11/14/2016 3:15:00 PM</v>
      </c>
      <c r="O10104" t="s">
        <v>30307</v>
      </c>
      <c r="T10104" t="s">
        <v>30308</v>
      </c>
    </row>
    <row r="10105" spans="1:20" x14ac:dyDescent="0.25">
      <c r="A10105" t="str">
        <f>"3046341"</f>
        <v>3046341</v>
      </c>
      <c r="B10105" t="s">
        <v>30310</v>
      </c>
      <c r="C10105" t="str">
        <f>"44898250"</f>
        <v>44898250</v>
      </c>
      <c r="D10105" t="s">
        <v>30311</v>
      </c>
      <c r="F10105" t="s">
        <v>30312</v>
      </c>
      <c r="I10105" t="s">
        <v>29</v>
      </c>
      <c r="J10105" t="s">
        <v>30</v>
      </c>
      <c r="K10105" t="s">
        <v>31</v>
      </c>
      <c r="M10105" t="s">
        <v>25733</v>
      </c>
      <c r="N10105" t="str">
        <f>"10/19/2016 10:06:00 AM"</f>
        <v>10/19/2016 10:06:00 AM</v>
      </c>
      <c r="O10105" t="s">
        <v>30311</v>
      </c>
    </row>
    <row r="10106" spans="1:20" x14ac:dyDescent="0.25">
      <c r="A10106" t="str">
        <f>"3047421"</f>
        <v>3047421</v>
      </c>
      <c r="B10106" t="s">
        <v>30313</v>
      </c>
      <c r="C10106" t="str">
        <f>"8304349"</f>
        <v>8304349</v>
      </c>
      <c r="D10106" t="s">
        <v>30314</v>
      </c>
      <c r="E10106" t="s">
        <v>30315</v>
      </c>
      <c r="F10106" t="s">
        <v>30316</v>
      </c>
      <c r="I10106" t="s">
        <v>184</v>
      </c>
      <c r="J10106" t="s">
        <v>30</v>
      </c>
      <c r="K10106" t="str">
        <f>"27006"</f>
        <v>27006</v>
      </c>
      <c r="M10106" t="s">
        <v>25625</v>
      </c>
      <c r="N10106" t="str">
        <f>"10/19/2016 2:19:00 PM"</f>
        <v>10/19/2016 2:19:00 PM</v>
      </c>
      <c r="O10106" t="s">
        <v>30314</v>
      </c>
      <c r="T10106" t="s">
        <v>30315</v>
      </c>
    </row>
    <row r="10107" spans="1:20" x14ac:dyDescent="0.25">
      <c r="A10107" t="str">
        <f>"3056121"</f>
        <v>3056121</v>
      </c>
      <c r="B10107" t="s">
        <v>30317</v>
      </c>
      <c r="C10107" t="str">
        <f>"32052000"</f>
        <v>32052000</v>
      </c>
      <c r="D10107" t="s">
        <v>30318</v>
      </c>
      <c r="E10107" t="s">
        <v>30319</v>
      </c>
      <c r="F10107" t="s">
        <v>30320</v>
      </c>
      <c r="G10107" t="s">
        <v>30321</v>
      </c>
      <c r="I10107" t="s">
        <v>15848</v>
      </c>
      <c r="J10107" t="s">
        <v>30</v>
      </c>
      <c r="K10107" t="s">
        <v>9581</v>
      </c>
      <c r="M10107" t="s">
        <v>25494</v>
      </c>
      <c r="N10107" t="str">
        <f>"10/20/2016 8:20:00 AM"</f>
        <v>10/20/2016 8:20:00 AM</v>
      </c>
      <c r="O10107" t="s">
        <v>30318</v>
      </c>
      <c r="T10107" t="s">
        <v>30319</v>
      </c>
    </row>
    <row r="10108" spans="1:20" x14ac:dyDescent="0.25">
      <c r="A10108" t="str">
        <f>"3050355"</f>
        <v>3050355</v>
      </c>
      <c r="B10108" t="s">
        <v>30322</v>
      </c>
      <c r="C10108" t="str">
        <f>"82515583"</f>
        <v>82515583</v>
      </c>
      <c r="D10108" t="s">
        <v>30323</v>
      </c>
      <c r="E10108" t="s">
        <v>30324</v>
      </c>
      <c r="F10108" t="s">
        <v>30325</v>
      </c>
      <c r="I10108" t="s">
        <v>29</v>
      </c>
      <c r="J10108" t="s">
        <v>30</v>
      </c>
      <c r="K10108" t="s">
        <v>31</v>
      </c>
      <c r="M10108" t="s">
        <v>25494</v>
      </c>
      <c r="N10108" t="str">
        <f>"10/20/2016 8:33:00 AM"</f>
        <v>10/20/2016 8:33:00 AM</v>
      </c>
      <c r="O10108" t="s">
        <v>30323</v>
      </c>
      <c r="T10108" t="s">
        <v>30324</v>
      </c>
    </row>
    <row r="10109" spans="1:20" x14ac:dyDescent="0.25">
      <c r="A10109" t="str">
        <f>"3050437"</f>
        <v>3050437</v>
      </c>
      <c r="B10109" t="s">
        <v>30326</v>
      </c>
      <c r="C10109" t="str">
        <f>"81132000"</f>
        <v>81132000</v>
      </c>
      <c r="D10109" t="s">
        <v>30323</v>
      </c>
      <c r="E10109" t="s">
        <v>30327</v>
      </c>
      <c r="F10109" t="s">
        <v>30325</v>
      </c>
      <c r="I10109" t="s">
        <v>29</v>
      </c>
      <c r="J10109" t="s">
        <v>30</v>
      </c>
      <c r="K10109" t="s">
        <v>30328</v>
      </c>
      <c r="M10109" t="s">
        <v>25494</v>
      </c>
      <c r="N10109" t="str">
        <f>"10/20/2016 8:34:00 AM"</f>
        <v>10/20/2016 8:34:00 AM</v>
      </c>
      <c r="O10109" t="s">
        <v>30323</v>
      </c>
      <c r="T10109" t="s">
        <v>30327</v>
      </c>
    </row>
    <row r="10110" spans="1:20" x14ac:dyDescent="0.25">
      <c r="A10110" t="str">
        <f>"3039556"</f>
        <v>3039556</v>
      </c>
      <c r="B10110" t="s">
        <v>30329</v>
      </c>
      <c r="C10110" t="str">
        <f>"8303304"</f>
        <v>8303304</v>
      </c>
      <c r="D10110" t="s">
        <v>30330</v>
      </c>
      <c r="F10110" t="s">
        <v>30331</v>
      </c>
      <c r="I10110" t="s">
        <v>184</v>
      </c>
      <c r="J10110" t="s">
        <v>30</v>
      </c>
      <c r="K10110" t="str">
        <f>"27006"</f>
        <v>27006</v>
      </c>
      <c r="M10110" t="s">
        <v>27053</v>
      </c>
      <c r="N10110" t="str">
        <f>"10/21/2016 2:58:00 PM"</f>
        <v>10/21/2016 2:58:00 PM</v>
      </c>
      <c r="O10110" t="s">
        <v>30330</v>
      </c>
    </row>
    <row r="10111" spans="1:20" x14ac:dyDescent="0.25">
      <c r="A10111" t="str">
        <f>"3051128"</f>
        <v>3051128</v>
      </c>
      <c r="B10111" t="s">
        <v>30332</v>
      </c>
      <c r="C10111" t="str">
        <f>"22904000"</f>
        <v>22904000</v>
      </c>
      <c r="D10111" t="s">
        <v>30333</v>
      </c>
      <c r="F10111" t="s">
        <v>30334</v>
      </c>
      <c r="I10111" t="s">
        <v>29</v>
      </c>
      <c r="J10111" t="s">
        <v>30</v>
      </c>
      <c r="K10111" t="s">
        <v>31</v>
      </c>
      <c r="M10111" t="s">
        <v>22859</v>
      </c>
      <c r="N10111" t="str">
        <f>"11/22/2016 10:25:00 AM"</f>
        <v>11/22/2016 10:25:00 AM</v>
      </c>
      <c r="O10111" t="s">
        <v>30333</v>
      </c>
    </row>
    <row r="10112" spans="1:20" x14ac:dyDescent="0.25">
      <c r="A10112" t="str">
        <f>"3051159"</f>
        <v>3051159</v>
      </c>
      <c r="B10112" t="s">
        <v>30335</v>
      </c>
      <c r="C10112" t="str">
        <f>"22904000"</f>
        <v>22904000</v>
      </c>
      <c r="D10112" t="s">
        <v>30333</v>
      </c>
      <c r="F10112" t="s">
        <v>30334</v>
      </c>
      <c r="I10112" t="s">
        <v>29</v>
      </c>
      <c r="J10112" t="s">
        <v>30</v>
      </c>
      <c r="K10112" t="s">
        <v>31</v>
      </c>
      <c r="M10112" t="s">
        <v>22859</v>
      </c>
      <c r="N10112" t="str">
        <f>"11/22/2016 10:25:00 AM"</f>
        <v>11/22/2016 10:25:00 AM</v>
      </c>
      <c r="O10112" t="s">
        <v>30333</v>
      </c>
    </row>
    <row r="10113" spans="1:20" x14ac:dyDescent="0.25">
      <c r="A10113" t="str">
        <f>"3060630"</f>
        <v>3060630</v>
      </c>
      <c r="B10113" t="s">
        <v>30336</v>
      </c>
      <c r="C10113" t="str">
        <f>"8307066"</f>
        <v>8307066</v>
      </c>
      <c r="D10113" t="s">
        <v>30337</v>
      </c>
      <c r="E10113" t="s">
        <v>30338</v>
      </c>
      <c r="F10113" t="s">
        <v>30339</v>
      </c>
      <c r="I10113" t="s">
        <v>184</v>
      </c>
      <c r="J10113" t="s">
        <v>30</v>
      </c>
      <c r="K10113" t="str">
        <f>"27006"</f>
        <v>27006</v>
      </c>
      <c r="M10113" t="s">
        <v>17861</v>
      </c>
      <c r="N10113" t="str">
        <f>"10/31/2016 4:36:00 PM"</f>
        <v>10/31/2016 4:36:00 PM</v>
      </c>
      <c r="O10113" t="s">
        <v>30337</v>
      </c>
      <c r="T10113" t="s">
        <v>30338</v>
      </c>
    </row>
    <row r="10114" spans="1:20" x14ac:dyDescent="0.25">
      <c r="A10114" t="str">
        <f>"3060084"</f>
        <v>3060084</v>
      </c>
      <c r="B10114" t="s">
        <v>30340</v>
      </c>
      <c r="C10114" t="str">
        <f>"8306970"</f>
        <v>8306970</v>
      </c>
      <c r="D10114" t="s">
        <v>30341</v>
      </c>
      <c r="E10114" t="s">
        <v>30342</v>
      </c>
      <c r="F10114" t="s">
        <v>30343</v>
      </c>
      <c r="I10114" t="s">
        <v>184</v>
      </c>
      <c r="J10114" t="s">
        <v>30</v>
      </c>
      <c r="K10114" t="str">
        <f>"27006"</f>
        <v>27006</v>
      </c>
      <c r="M10114" t="s">
        <v>17861</v>
      </c>
      <c r="N10114" t="str">
        <f>"10/26/2016 4:22:00 PM"</f>
        <v>10/26/2016 4:22:00 PM</v>
      </c>
      <c r="O10114" t="s">
        <v>30341</v>
      </c>
      <c r="T10114" t="s">
        <v>30342</v>
      </c>
    </row>
    <row r="10115" spans="1:20" x14ac:dyDescent="0.25">
      <c r="A10115" t="str">
        <f>"3038658"</f>
        <v>3038658</v>
      </c>
      <c r="B10115" t="s">
        <v>30344</v>
      </c>
      <c r="C10115" t="str">
        <f>"8306971"</f>
        <v>8306971</v>
      </c>
      <c r="D10115" t="s">
        <v>30345</v>
      </c>
      <c r="F10115" t="s">
        <v>30346</v>
      </c>
      <c r="I10115" t="s">
        <v>29</v>
      </c>
      <c r="J10115" t="s">
        <v>30</v>
      </c>
      <c r="K10115" t="str">
        <f>"27028"</f>
        <v>27028</v>
      </c>
      <c r="M10115" t="s">
        <v>17861</v>
      </c>
      <c r="N10115" t="str">
        <f>"10/26/2016 4:27:00 PM"</f>
        <v>10/26/2016 4:27:00 PM</v>
      </c>
      <c r="O10115" t="s">
        <v>30345</v>
      </c>
    </row>
    <row r="10116" spans="1:20" x14ac:dyDescent="0.25">
      <c r="A10116" t="str">
        <f>"3061803"</f>
        <v>3061803</v>
      </c>
      <c r="B10116" t="s">
        <v>30347</v>
      </c>
      <c r="C10116" t="str">
        <f>"8307084"</f>
        <v>8307084</v>
      </c>
      <c r="D10116" t="s">
        <v>30348</v>
      </c>
      <c r="F10116" t="s">
        <v>30349</v>
      </c>
      <c r="I10116" t="s">
        <v>2071</v>
      </c>
      <c r="J10116" t="s">
        <v>30</v>
      </c>
      <c r="K10116" t="str">
        <f>"27006"</f>
        <v>27006</v>
      </c>
      <c r="M10116" t="s">
        <v>17861</v>
      </c>
      <c r="N10116" t="str">
        <f>"11/1/2016 1:31:00 PM"</f>
        <v>11/1/2016 1:31:00 PM</v>
      </c>
      <c r="O10116" t="s">
        <v>30348</v>
      </c>
    </row>
    <row r="10117" spans="1:20" x14ac:dyDescent="0.25">
      <c r="A10117" t="str">
        <f>"3052508"</f>
        <v>3052508</v>
      </c>
      <c r="B10117" t="s">
        <v>30350</v>
      </c>
      <c r="C10117" t="str">
        <f>"82528718"</f>
        <v>82528718</v>
      </c>
      <c r="D10117" t="s">
        <v>30351</v>
      </c>
      <c r="E10117" t="s">
        <v>30352</v>
      </c>
      <c r="F10117" t="s">
        <v>30353</v>
      </c>
      <c r="I10117" t="s">
        <v>29</v>
      </c>
      <c r="J10117" t="s">
        <v>30</v>
      </c>
      <c r="K10117" t="s">
        <v>31</v>
      </c>
      <c r="M10117" t="s">
        <v>25625</v>
      </c>
      <c r="N10117" t="str">
        <f>"11/7/2016 10:59:00 AM"</f>
        <v>11/7/2016 10:59:00 AM</v>
      </c>
      <c r="O10117" t="s">
        <v>30351</v>
      </c>
      <c r="T10117" t="s">
        <v>30352</v>
      </c>
    </row>
    <row r="10118" spans="1:20" x14ac:dyDescent="0.25">
      <c r="A10118" t="str">
        <f>"3059255"</f>
        <v>3059255</v>
      </c>
      <c r="B10118" t="s">
        <v>30354</v>
      </c>
      <c r="C10118" t="str">
        <f>"8307095"</f>
        <v>8307095</v>
      </c>
      <c r="D10118" t="s">
        <v>30355</v>
      </c>
      <c r="F10118" t="s">
        <v>30356</v>
      </c>
      <c r="I10118" t="s">
        <v>29</v>
      </c>
      <c r="J10118" t="s">
        <v>30</v>
      </c>
      <c r="K10118" t="str">
        <f>"27028"</f>
        <v>27028</v>
      </c>
      <c r="M10118" t="s">
        <v>17861</v>
      </c>
      <c r="N10118" t="str">
        <f>"11/7/2016 4:57:00 PM"</f>
        <v>11/7/2016 4:57:00 PM</v>
      </c>
      <c r="O10118" t="s">
        <v>30355</v>
      </c>
    </row>
    <row r="10119" spans="1:20" x14ac:dyDescent="0.25">
      <c r="A10119" t="str">
        <f>"3051951"</f>
        <v>3051951</v>
      </c>
      <c r="B10119" t="s">
        <v>30357</v>
      </c>
      <c r="C10119" t="str">
        <f>"82513243"</f>
        <v>82513243</v>
      </c>
      <c r="D10119" t="s">
        <v>30358</v>
      </c>
      <c r="E10119" t="s">
        <v>30359</v>
      </c>
      <c r="F10119" t="s">
        <v>30360</v>
      </c>
      <c r="I10119" t="s">
        <v>29</v>
      </c>
      <c r="J10119" t="s">
        <v>30</v>
      </c>
      <c r="K10119" t="s">
        <v>31</v>
      </c>
      <c r="M10119" t="s">
        <v>17861</v>
      </c>
      <c r="N10119" t="str">
        <f>"11/9/2016 9:12:00 AM"</f>
        <v>11/9/2016 9:12:00 AM</v>
      </c>
      <c r="O10119" t="s">
        <v>30358</v>
      </c>
      <c r="T10119" t="s">
        <v>30359</v>
      </c>
    </row>
    <row r="10120" spans="1:20" x14ac:dyDescent="0.25">
      <c r="A10120" t="str">
        <f>"3050017"</f>
        <v>3050017</v>
      </c>
      <c r="B10120" t="s">
        <v>30361</v>
      </c>
      <c r="C10120" t="str">
        <f>"8307102"</f>
        <v>8307102</v>
      </c>
      <c r="D10120" t="s">
        <v>30362</v>
      </c>
      <c r="F10120" t="s">
        <v>30363</v>
      </c>
      <c r="I10120" t="s">
        <v>29</v>
      </c>
      <c r="J10120" t="s">
        <v>30</v>
      </c>
      <c r="K10120" t="str">
        <f>"27028"</f>
        <v>27028</v>
      </c>
      <c r="M10120" t="s">
        <v>17861</v>
      </c>
      <c r="N10120" t="str">
        <f>"11/9/2016 12:01:00 PM"</f>
        <v>11/9/2016 12:01:00 PM</v>
      </c>
      <c r="O10120" t="s">
        <v>30362</v>
      </c>
    </row>
    <row r="10121" spans="1:20" x14ac:dyDescent="0.25">
      <c r="A10121" t="str">
        <f>"3051912"</f>
        <v>3051912</v>
      </c>
      <c r="B10121" t="s">
        <v>30364</v>
      </c>
      <c r="C10121" t="str">
        <f>"8307104"</f>
        <v>8307104</v>
      </c>
      <c r="D10121" t="s">
        <v>30365</v>
      </c>
      <c r="E10121" t="s">
        <v>30366</v>
      </c>
      <c r="F10121" t="s">
        <v>30367</v>
      </c>
      <c r="I10121" t="s">
        <v>29</v>
      </c>
      <c r="J10121" t="s">
        <v>30</v>
      </c>
      <c r="K10121" t="str">
        <f>"27028"</f>
        <v>27028</v>
      </c>
      <c r="M10121" t="s">
        <v>17861</v>
      </c>
      <c r="N10121" t="str">
        <f>"11/9/2016 1:11:00 PM"</f>
        <v>11/9/2016 1:11:00 PM</v>
      </c>
      <c r="O10121" t="s">
        <v>30365</v>
      </c>
      <c r="T10121" t="s">
        <v>30366</v>
      </c>
    </row>
    <row r="10122" spans="1:20" x14ac:dyDescent="0.25">
      <c r="A10122" t="str">
        <f>"3037366"</f>
        <v>3037366</v>
      </c>
      <c r="B10122" t="s">
        <v>30368</v>
      </c>
      <c r="C10122" t="str">
        <f>"8307033"</f>
        <v>8307033</v>
      </c>
      <c r="D10122" t="s">
        <v>30369</v>
      </c>
      <c r="F10122" t="s">
        <v>30370</v>
      </c>
      <c r="I10122" t="s">
        <v>184</v>
      </c>
      <c r="J10122" t="s">
        <v>30</v>
      </c>
      <c r="K10122" t="str">
        <f>"27006"</f>
        <v>27006</v>
      </c>
      <c r="M10122" t="s">
        <v>17861</v>
      </c>
      <c r="N10122" t="str">
        <f>"10/28/2016 3:26:00 PM"</f>
        <v>10/28/2016 3:26:00 PM</v>
      </c>
      <c r="O10122" t="s">
        <v>30369</v>
      </c>
    </row>
    <row r="10123" spans="1:20" x14ac:dyDescent="0.25">
      <c r="A10123" t="str">
        <f>"3041223"</f>
        <v>3041223</v>
      </c>
      <c r="B10123" t="s">
        <v>30371</v>
      </c>
      <c r="C10123" t="str">
        <f>"8307036"</f>
        <v>8307036</v>
      </c>
      <c r="D10123" t="s">
        <v>30372</v>
      </c>
      <c r="F10123" t="s">
        <v>30373</v>
      </c>
      <c r="I10123" t="s">
        <v>184</v>
      </c>
      <c r="J10123" t="s">
        <v>30</v>
      </c>
      <c r="K10123" t="str">
        <f>"27006"</f>
        <v>27006</v>
      </c>
      <c r="M10123" t="s">
        <v>17861</v>
      </c>
      <c r="N10123" t="str">
        <f>"10/28/2016 3:37:00 PM"</f>
        <v>10/28/2016 3:37:00 PM</v>
      </c>
      <c r="O10123" t="s">
        <v>30372</v>
      </c>
    </row>
    <row r="10124" spans="1:20" x14ac:dyDescent="0.25">
      <c r="A10124" t="str">
        <f>"3052030"</f>
        <v>3052030</v>
      </c>
      <c r="B10124" t="s">
        <v>30374</v>
      </c>
      <c r="C10124" t="str">
        <f>"8307061"</f>
        <v>8307061</v>
      </c>
      <c r="D10124" t="s">
        <v>30375</v>
      </c>
      <c r="F10124" t="s">
        <v>30376</v>
      </c>
      <c r="I10124" t="s">
        <v>29</v>
      </c>
      <c r="J10124" t="s">
        <v>30</v>
      </c>
      <c r="K10124" t="str">
        <f>"27028"</f>
        <v>27028</v>
      </c>
      <c r="M10124" t="s">
        <v>17861</v>
      </c>
      <c r="N10124" t="str">
        <f>"10/31/2016 3:30:00 PM"</f>
        <v>10/31/2016 3:30:00 PM</v>
      </c>
      <c r="O10124" t="s">
        <v>30375</v>
      </c>
    </row>
    <row r="10125" spans="1:20" x14ac:dyDescent="0.25">
      <c r="A10125" t="str">
        <f>"3041889"</f>
        <v>3041889</v>
      </c>
      <c r="B10125" t="s">
        <v>30377</v>
      </c>
      <c r="C10125" t="str">
        <f>"8307062"</f>
        <v>8307062</v>
      </c>
      <c r="D10125" t="s">
        <v>30378</v>
      </c>
      <c r="E10125" t="s">
        <v>30379</v>
      </c>
      <c r="F10125" t="s">
        <v>29219</v>
      </c>
      <c r="I10125" t="s">
        <v>29220</v>
      </c>
      <c r="J10125" t="s">
        <v>30</v>
      </c>
      <c r="K10125" t="str">
        <f>"28480"</f>
        <v>28480</v>
      </c>
      <c r="M10125" t="s">
        <v>17861</v>
      </c>
      <c r="N10125" t="str">
        <f>"10/31/2016 3:48:00 PM"</f>
        <v>10/31/2016 3:48:00 PM</v>
      </c>
      <c r="O10125" t="s">
        <v>30378</v>
      </c>
      <c r="T10125" t="s">
        <v>30379</v>
      </c>
    </row>
    <row r="10126" spans="1:20" x14ac:dyDescent="0.25">
      <c r="A10126" t="str">
        <f>"3060279"</f>
        <v>3060279</v>
      </c>
      <c r="B10126" t="s">
        <v>30380</v>
      </c>
      <c r="C10126" t="str">
        <f>"8307063"</f>
        <v>8307063</v>
      </c>
      <c r="D10126" t="s">
        <v>30381</v>
      </c>
      <c r="E10126" t="s">
        <v>30382</v>
      </c>
      <c r="F10126" t="s">
        <v>30383</v>
      </c>
      <c r="I10126" t="s">
        <v>184</v>
      </c>
      <c r="J10126" t="s">
        <v>30</v>
      </c>
      <c r="K10126" t="str">
        <f>"27006"</f>
        <v>27006</v>
      </c>
      <c r="M10126" t="s">
        <v>17861</v>
      </c>
      <c r="N10126" t="str">
        <f>"10/31/2016 3:57:00 PM"</f>
        <v>10/31/2016 3:57:00 PM</v>
      </c>
      <c r="O10126" t="s">
        <v>30381</v>
      </c>
      <c r="T10126" t="s">
        <v>30382</v>
      </c>
    </row>
    <row r="10127" spans="1:20" x14ac:dyDescent="0.25">
      <c r="A10127" t="str">
        <f>"3049141"</f>
        <v>3049141</v>
      </c>
      <c r="B10127" t="s">
        <v>30384</v>
      </c>
      <c r="C10127" t="str">
        <f>"75202000"</f>
        <v>75202000</v>
      </c>
      <c r="D10127" t="s">
        <v>30385</v>
      </c>
      <c r="F10127" t="s">
        <v>26025</v>
      </c>
      <c r="I10127" t="s">
        <v>29</v>
      </c>
      <c r="J10127" t="s">
        <v>30</v>
      </c>
      <c r="K10127" t="s">
        <v>31</v>
      </c>
      <c r="M10127" t="s">
        <v>25625</v>
      </c>
      <c r="N10127" t="str">
        <f>"11/9/2016 2:46:00 PM"</f>
        <v>11/9/2016 2:46:00 PM</v>
      </c>
      <c r="O10127" t="s">
        <v>30385</v>
      </c>
    </row>
    <row r="10128" spans="1:20" x14ac:dyDescent="0.25">
      <c r="A10128" t="str">
        <f>"3045970"</f>
        <v>3045970</v>
      </c>
      <c r="B10128" t="s">
        <v>30386</v>
      </c>
      <c r="C10128" t="str">
        <f>"8307115"</f>
        <v>8307115</v>
      </c>
      <c r="D10128" t="s">
        <v>30295</v>
      </c>
      <c r="E10128" t="s">
        <v>30296</v>
      </c>
      <c r="F10128" t="s">
        <v>30297</v>
      </c>
      <c r="G10128" t="s">
        <v>30298</v>
      </c>
      <c r="I10128" t="s">
        <v>29</v>
      </c>
      <c r="J10128" t="s">
        <v>30</v>
      </c>
      <c r="K10128" t="str">
        <f>"27028"</f>
        <v>27028</v>
      </c>
      <c r="M10128" t="s">
        <v>17861</v>
      </c>
      <c r="N10128" t="str">
        <f>"11/14/2016 11:13:00 AM"</f>
        <v>11/14/2016 11:13:00 AM</v>
      </c>
      <c r="O10128" t="s">
        <v>30295</v>
      </c>
      <c r="T10128" t="s">
        <v>30296</v>
      </c>
    </row>
    <row r="10129" spans="1:20" x14ac:dyDescent="0.25">
      <c r="A10129" t="str">
        <f>"3058115"</f>
        <v>3058115</v>
      </c>
      <c r="B10129" t="s">
        <v>30387</v>
      </c>
      <c r="C10129" t="str">
        <f>"8307129"</f>
        <v>8307129</v>
      </c>
      <c r="D10129" t="s">
        <v>30388</v>
      </c>
      <c r="F10129" t="s">
        <v>30389</v>
      </c>
      <c r="I10129" t="s">
        <v>184</v>
      </c>
      <c r="J10129" t="s">
        <v>30</v>
      </c>
      <c r="K10129" t="str">
        <f>"27006"</f>
        <v>27006</v>
      </c>
      <c r="M10129" t="s">
        <v>17861</v>
      </c>
      <c r="N10129" t="str">
        <f>"11/14/2016 4:52:00 PM"</f>
        <v>11/14/2016 4:52:00 PM</v>
      </c>
      <c r="O10129" t="s">
        <v>30388</v>
      </c>
    </row>
    <row r="10130" spans="1:20" x14ac:dyDescent="0.25">
      <c r="A10130" t="str">
        <f>"3043902"</f>
        <v>3043902</v>
      </c>
      <c r="B10130" t="s">
        <v>30390</v>
      </c>
      <c r="C10130" t="str">
        <f>"82528674"</f>
        <v>82528674</v>
      </c>
      <c r="D10130" t="s">
        <v>30391</v>
      </c>
      <c r="E10130" t="s">
        <v>30392</v>
      </c>
      <c r="F10130" t="s">
        <v>30393</v>
      </c>
      <c r="I10130" t="s">
        <v>2280</v>
      </c>
      <c r="J10130" t="s">
        <v>30</v>
      </c>
      <c r="K10130" t="s">
        <v>9897</v>
      </c>
      <c r="M10130" t="s">
        <v>18479</v>
      </c>
      <c r="N10130" t="str">
        <f>"11/15/2016 4:42:00 PM"</f>
        <v>11/15/2016 4:42:00 PM</v>
      </c>
      <c r="O10130" t="s">
        <v>30391</v>
      </c>
      <c r="T10130" t="s">
        <v>30392</v>
      </c>
    </row>
    <row r="10131" spans="1:20" x14ac:dyDescent="0.25">
      <c r="A10131" t="str">
        <f>"3041220"</f>
        <v>3041220</v>
      </c>
      <c r="B10131" t="s">
        <v>30394</v>
      </c>
      <c r="C10131" t="str">
        <f>"8306039"</f>
        <v>8306039</v>
      </c>
      <c r="D10131" t="s">
        <v>30395</v>
      </c>
      <c r="E10131" t="s">
        <v>30396</v>
      </c>
      <c r="F10131" t="s">
        <v>30397</v>
      </c>
      <c r="I10131" t="s">
        <v>2071</v>
      </c>
      <c r="J10131" t="s">
        <v>30</v>
      </c>
      <c r="K10131" t="str">
        <f>"27006"</f>
        <v>27006</v>
      </c>
      <c r="M10131" t="s">
        <v>25733</v>
      </c>
      <c r="N10131" t="str">
        <f>"11/18/2016 9:55:00 AM"</f>
        <v>11/18/2016 9:55:00 AM</v>
      </c>
      <c r="O10131" t="s">
        <v>30395</v>
      </c>
      <c r="T10131" t="s">
        <v>30396</v>
      </c>
    </row>
    <row r="10132" spans="1:20" x14ac:dyDescent="0.25">
      <c r="A10132" t="str">
        <f>"3049281"</f>
        <v>3049281</v>
      </c>
      <c r="B10132" t="s">
        <v>30398</v>
      </c>
      <c r="C10132" t="str">
        <f>"8306667"</f>
        <v>8306667</v>
      </c>
      <c r="D10132" t="s">
        <v>30399</v>
      </c>
      <c r="E10132" t="s">
        <v>30400</v>
      </c>
      <c r="F10132" t="s">
        <v>30401</v>
      </c>
      <c r="I10132" t="s">
        <v>184</v>
      </c>
      <c r="J10132" t="s">
        <v>30</v>
      </c>
      <c r="K10132" t="str">
        <f>"27006"</f>
        <v>27006</v>
      </c>
      <c r="M10132" t="s">
        <v>17861</v>
      </c>
      <c r="N10132" t="str">
        <f>"11/21/2016 8:36:00 AM"</f>
        <v>11/21/2016 8:36:00 AM</v>
      </c>
      <c r="O10132" t="s">
        <v>30399</v>
      </c>
      <c r="T10132" t="s">
        <v>30400</v>
      </c>
    </row>
    <row r="10133" spans="1:20" x14ac:dyDescent="0.25">
      <c r="A10133" t="str">
        <f>"3053537"</f>
        <v>3053537</v>
      </c>
      <c r="B10133" t="s">
        <v>30402</v>
      </c>
      <c r="C10133" t="str">
        <f t="shared" ref="C10133:C10145" si="169">"65964000"</f>
        <v>65964000</v>
      </c>
      <c r="D10133" t="s">
        <v>30403</v>
      </c>
      <c r="E10133" t="s">
        <v>30404</v>
      </c>
      <c r="F10133" t="s">
        <v>30405</v>
      </c>
      <c r="I10133" t="s">
        <v>29</v>
      </c>
      <c r="J10133" t="s">
        <v>30</v>
      </c>
      <c r="K10133" t="s">
        <v>31</v>
      </c>
      <c r="M10133" t="s">
        <v>25733</v>
      </c>
      <c r="N10133" t="str">
        <f t="shared" ref="N10133:N10145" si="170">"12/6/2016 10:07:00 AM"</f>
        <v>12/6/2016 10:07:00 AM</v>
      </c>
      <c r="O10133" t="s">
        <v>30403</v>
      </c>
      <c r="T10133" t="s">
        <v>30404</v>
      </c>
    </row>
    <row r="10134" spans="1:20" x14ac:dyDescent="0.25">
      <c r="A10134" t="str">
        <f>"3057677"</f>
        <v>3057677</v>
      </c>
      <c r="B10134" t="s">
        <v>30406</v>
      </c>
      <c r="C10134" t="str">
        <f t="shared" si="169"/>
        <v>65964000</v>
      </c>
      <c r="D10134" t="s">
        <v>30403</v>
      </c>
      <c r="E10134" t="s">
        <v>30404</v>
      </c>
      <c r="F10134" t="s">
        <v>30405</v>
      </c>
      <c r="I10134" t="s">
        <v>29</v>
      </c>
      <c r="J10134" t="s">
        <v>30</v>
      </c>
      <c r="K10134" t="s">
        <v>31</v>
      </c>
      <c r="M10134" t="s">
        <v>25733</v>
      </c>
      <c r="N10134" t="str">
        <f t="shared" si="170"/>
        <v>12/6/2016 10:07:00 AM</v>
      </c>
      <c r="O10134" t="s">
        <v>30403</v>
      </c>
      <c r="T10134" t="s">
        <v>30404</v>
      </c>
    </row>
    <row r="10135" spans="1:20" x14ac:dyDescent="0.25">
      <c r="A10135" t="str">
        <f>"3052659"</f>
        <v>3052659</v>
      </c>
      <c r="B10135" t="s">
        <v>30407</v>
      </c>
      <c r="C10135" t="str">
        <f t="shared" si="169"/>
        <v>65964000</v>
      </c>
      <c r="D10135" t="s">
        <v>30403</v>
      </c>
      <c r="E10135" t="s">
        <v>30404</v>
      </c>
      <c r="F10135" t="s">
        <v>30405</v>
      </c>
      <c r="I10135" t="s">
        <v>29</v>
      </c>
      <c r="J10135" t="s">
        <v>30</v>
      </c>
      <c r="K10135" t="s">
        <v>31</v>
      </c>
      <c r="M10135" t="s">
        <v>25733</v>
      </c>
      <c r="N10135" t="str">
        <f t="shared" si="170"/>
        <v>12/6/2016 10:07:00 AM</v>
      </c>
      <c r="O10135" t="s">
        <v>30403</v>
      </c>
      <c r="T10135" t="s">
        <v>30404</v>
      </c>
    </row>
    <row r="10136" spans="1:20" x14ac:dyDescent="0.25">
      <c r="A10136" t="str">
        <f>"3051820"</f>
        <v>3051820</v>
      </c>
      <c r="B10136" t="s">
        <v>30408</v>
      </c>
      <c r="C10136" t="str">
        <f t="shared" si="169"/>
        <v>65964000</v>
      </c>
      <c r="D10136" t="s">
        <v>30403</v>
      </c>
      <c r="E10136" t="s">
        <v>30404</v>
      </c>
      <c r="F10136" t="s">
        <v>30405</v>
      </c>
      <c r="I10136" t="s">
        <v>29</v>
      </c>
      <c r="J10136" t="s">
        <v>30</v>
      </c>
      <c r="K10136" t="s">
        <v>31</v>
      </c>
      <c r="M10136" t="s">
        <v>25733</v>
      </c>
      <c r="N10136" t="str">
        <f t="shared" si="170"/>
        <v>12/6/2016 10:07:00 AM</v>
      </c>
      <c r="O10136" t="s">
        <v>30403</v>
      </c>
      <c r="T10136" t="s">
        <v>30404</v>
      </c>
    </row>
    <row r="10137" spans="1:20" x14ac:dyDescent="0.25">
      <c r="A10137" t="str">
        <f>"3049179"</f>
        <v>3049179</v>
      </c>
      <c r="B10137" t="s">
        <v>30409</v>
      </c>
      <c r="C10137" t="str">
        <f t="shared" si="169"/>
        <v>65964000</v>
      </c>
      <c r="D10137" t="s">
        <v>30403</v>
      </c>
      <c r="E10137" t="s">
        <v>30404</v>
      </c>
      <c r="F10137" t="s">
        <v>30405</v>
      </c>
      <c r="I10137" t="s">
        <v>29</v>
      </c>
      <c r="J10137" t="s">
        <v>30</v>
      </c>
      <c r="K10137" t="s">
        <v>31</v>
      </c>
      <c r="M10137" t="s">
        <v>25733</v>
      </c>
      <c r="N10137" t="str">
        <f t="shared" si="170"/>
        <v>12/6/2016 10:07:00 AM</v>
      </c>
      <c r="O10137" t="s">
        <v>30403</v>
      </c>
      <c r="T10137" t="s">
        <v>30404</v>
      </c>
    </row>
    <row r="10138" spans="1:20" x14ac:dyDescent="0.25">
      <c r="A10138" t="str">
        <f>"3049888"</f>
        <v>3049888</v>
      </c>
      <c r="B10138" t="s">
        <v>30410</v>
      </c>
      <c r="C10138" t="str">
        <f t="shared" si="169"/>
        <v>65964000</v>
      </c>
      <c r="D10138" t="s">
        <v>30403</v>
      </c>
      <c r="E10138" t="s">
        <v>30404</v>
      </c>
      <c r="F10138" t="s">
        <v>30405</v>
      </c>
      <c r="I10138" t="s">
        <v>29</v>
      </c>
      <c r="J10138" t="s">
        <v>30</v>
      </c>
      <c r="K10138" t="s">
        <v>31</v>
      </c>
      <c r="M10138" t="s">
        <v>25733</v>
      </c>
      <c r="N10138" t="str">
        <f t="shared" si="170"/>
        <v>12/6/2016 10:07:00 AM</v>
      </c>
      <c r="O10138" t="s">
        <v>30403</v>
      </c>
      <c r="T10138" t="s">
        <v>30404</v>
      </c>
    </row>
    <row r="10139" spans="1:20" x14ac:dyDescent="0.25">
      <c r="A10139" t="str">
        <f>"3043334"</f>
        <v>3043334</v>
      </c>
      <c r="B10139" t="s">
        <v>30411</v>
      </c>
      <c r="C10139" t="str">
        <f t="shared" si="169"/>
        <v>65964000</v>
      </c>
      <c r="D10139" t="s">
        <v>30403</v>
      </c>
      <c r="E10139" t="s">
        <v>30404</v>
      </c>
      <c r="F10139" t="s">
        <v>30405</v>
      </c>
      <c r="I10139" t="s">
        <v>29</v>
      </c>
      <c r="J10139" t="s">
        <v>30</v>
      </c>
      <c r="K10139" t="s">
        <v>31</v>
      </c>
      <c r="M10139" t="s">
        <v>25733</v>
      </c>
      <c r="N10139" t="str">
        <f t="shared" si="170"/>
        <v>12/6/2016 10:07:00 AM</v>
      </c>
      <c r="O10139" t="s">
        <v>30403</v>
      </c>
      <c r="T10139" t="s">
        <v>30404</v>
      </c>
    </row>
    <row r="10140" spans="1:20" x14ac:dyDescent="0.25">
      <c r="A10140" t="str">
        <f>"3043250"</f>
        <v>3043250</v>
      </c>
      <c r="B10140" t="s">
        <v>30412</v>
      </c>
      <c r="C10140" t="str">
        <f t="shared" si="169"/>
        <v>65964000</v>
      </c>
      <c r="D10140" t="s">
        <v>30403</v>
      </c>
      <c r="E10140" t="s">
        <v>30404</v>
      </c>
      <c r="F10140" t="s">
        <v>30405</v>
      </c>
      <c r="I10140" t="s">
        <v>29</v>
      </c>
      <c r="J10140" t="s">
        <v>30</v>
      </c>
      <c r="K10140" t="s">
        <v>31</v>
      </c>
      <c r="M10140" t="s">
        <v>25733</v>
      </c>
      <c r="N10140" t="str">
        <f t="shared" si="170"/>
        <v>12/6/2016 10:07:00 AM</v>
      </c>
      <c r="O10140" t="s">
        <v>30403</v>
      </c>
      <c r="T10140" t="s">
        <v>30404</v>
      </c>
    </row>
    <row r="10141" spans="1:20" x14ac:dyDescent="0.25">
      <c r="A10141" t="str">
        <f>"3043543"</f>
        <v>3043543</v>
      </c>
      <c r="B10141" t="s">
        <v>30413</v>
      </c>
      <c r="C10141" t="str">
        <f t="shared" si="169"/>
        <v>65964000</v>
      </c>
      <c r="D10141" t="s">
        <v>30403</v>
      </c>
      <c r="E10141" t="s">
        <v>30404</v>
      </c>
      <c r="F10141" t="s">
        <v>30405</v>
      </c>
      <c r="I10141" t="s">
        <v>29</v>
      </c>
      <c r="J10141" t="s">
        <v>30</v>
      </c>
      <c r="K10141" t="s">
        <v>31</v>
      </c>
      <c r="M10141" t="s">
        <v>25733</v>
      </c>
      <c r="N10141" t="str">
        <f t="shared" si="170"/>
        <v>12/6/2016 10:07:00 AM</v>
      </c>
      <c r="O10141" t="s">
        <v>30403</v>
      </c>
      <c r="T10141" t="s">
        <v>30404</v>
      </c>
    </row>
    <row r="10142" spans="1:20" x14ac:dyDescent="0.25">
      <c r="A10142" t="str">
        <f>"3059566"</f>
        <v>3059566</v>
      </c>
      <c r="B10142" t="s">
        <v>30414</v>
      </c>
      <c r="C10142" t="str">
        <f t="shared" si="169"/>
        <v>65964000</v>
      </c>
      <c r="D10142" t="s">
        <v>30403</v>
      </c>
      <c r="E10142" t="s">
        <v>30404</v>
      </c>
      <c r="F10142" t="s">
        <v>30405</v>
      </c>
      <c r="I10142" t="s">
        <v>29</v>
      </c>
      <c r="J10142" t="s">
        <v>30</v>
      </c>
      <c r="K10142" t="s">
        <v>31</v>
      </c>
      <c r="M10142" t="s">
        <v>25733</v>
      </c>
      <c r="N10142" t="str">
        <f t="shared" si="170"/>
        <v>12/6/2016 10:07:00 AM</v>
      </c>
      <c r="O10142" t="s">
        <v>30403</v>
      </c>
      <c r="T10142" t="s">
        <v>30404</v>
      </c>
    </row>
    <row r="10143" spans="1:20" x14ac:dyDescent="0.25">
      <c r="A10143" t="str">
        <f>"3059546"</f>
        <v>3059546</v>
      </c>
      <c r="B10143" t="s">
        <v>30415</v>
      </c>
      <c r="C10143" t="str">
        <f t="shared" si="169"/>
        <v>65964000</v>
      </c>
      <c r="D10143" t="s">
        <v>30403</v>
      </c>
      <c r="E10143" t="s">
        <v>30404</v>
      </c>
      <c r="F10143" t="s">
        <v>30405</v>
      </c>
      <c r="I10143" t="s">
        <v>29</v>
      </c>
      <c r="J10143" t="s">
        <v>30</v>
      </c>
      <c r="K10143" t="s">
        <v>31</v>
      </c>
      <c r="M10143" t="s">
        <v>25733</v>
      </c>
      <c r="N10143" t="str">
        <f t="shared" si="170"/>
        <v>12/6/2016 10:07:00 AM</v>
      </c>
      <c r="O10143" t="s">
        <v>30403</v>
      </c>
      <c r="T10143" t="s">
        <v>30404</v>
      </c>
    </row>
    <row r="10144" spans="1:20" x14ac:dyDescent="0.25">
      <c r="A10144" t="str">
        <f>"3058936"</f>
        <v>3058936</v>
      </c>
      <c r="B10144" t="s">
        <v>30416</v>
      </c>
      <c r="C10144" t="str">
        <f t="shared" si="169"/>
        <v>65964000</v>
      </c>
      <c r="D10144" t="s">
        <v>30403</v>
      </c>
      <c r="E10144" t="s">
        <v>30404</v>
      </c>
      <c r="F10144" t="s">
        <v>30405</v>
      </c>
      <c r="I10144" t="s">
        <v>29</v>
      </c>
      <c r="J10144" t="s">
        <v>30</v>
      </c>
      <c r="K10144" t="s">
        <v>31</v>
      </c>
      <c r="M10144" t="s">
        <v>25733</v>
      </c>
      <c r="N10144" t="str">
        <f t="shared" si="170"/>
        <v>12/6/2016 10:07:00 AM</v>
      </c>
      <c r="O10144" t="s">
        <v>30403</v>
      </c>
      <c r="T10144" t="s">
        <v>30404</v>
      </c>
    </row>
    <row r="10145" spans="1:20" x14ac:dyDescent="0.25">
      <c r="A10145" t="str">
        <f>"3096855"</f>
        <v>3096855</v>
      </c>
      <c r="B10145" t="s">
        <v>30417</v>
      </c>
      <c r="C10145" t="str">
        <f t="shared" si="169"/>
        <v>65964000</v>
      </c>
      <c r="D10145" t="s">
        <v>30403</v>
      </c>
      <c r="E10145" t="s">
        <v>30404</v>
      </c>
      <c r="F10145" t="s">
        <v>30405</v>
      </c>
      <c r="I10145" t="s">
        <v>29</v>
      </c>
      <c r="J10145" t="s">
        <v>30</v>
      </c>
      <c r="K10145" t="s">
        <v>31</v>
      </c>
      <c r="M10145" t="s">
        <v>25733</v>
      </c>
      <c r="N10145" t="str">
        <f t="shared" si="170"/>
        <v>12/6/2016 10:07:00 AM</v>
      </c>
      <c r="O10145" t="s">
        <v>30403</v>
      </c>
      <c r="T10145" t="s">
        <v>30404</v>
      </c>
    </row>
    <row r="10146" spans="1:20" x14ac:dyDescent="0.25">
      <c r="A10146" t="str">
        <f>"3065460"</f>
        <v>3065460</v>
      </c>
      <c r="B10146" t="s">
        <v>30418</v>
      </c>
      <c r="C10146" t="str">
        <f>"8307136"</f>
        <v>8307136</v>
      </c>
      <c r="D10146" t="s">
        <v>26129</v>
      </c>
      <c r="E10146" t="s">
        <v>30419</v>
      </c>
      <c r="F10146" t="s">
        <v>26131</v>
      </c>
      <c r="I10146" t="s">
        <v>29</v>
      </c>
      <c r="J10146" t="s">
        <v>30</v>
      </c>
      <c r="K10146" t="str">
        <f>"27028"</f>
        <v>27028</v>
      </c>
      <c r="M10146" t="s">
        <v>17861</v>
      </c>
      <c r="N10146" t="str">
        <f>"11/22/2016 8:40:00 AM"</f>
        <v>11/22/2016 8:40:00 AM</v>
      </c>
      <c r="O10146" t="s">
        <v>26129</v>
      </c>
      <c r="T10146" t="s">
        <v>30419</v>
      </c>
    </row>
    <row r="10147" spans="1:20" x14ac:dyDescent="0.25">
      <c r="A10147" t="str">
        <f>"3051374"</f>
        <v>3051374</v>
      </c>
      <c r="B10147" t="s">
        <v>30420</v>
      </c>
      <c r="C10147" t="str">
        <f>"22904000"</f>
        <v>22904000</v>
      </c>
      <c r="D10147" t="s">
        <v>30333</v>
      </c>
      <c r="F10147" t="s">
        <v>30334</v>
      </c>
      <c r="I10147" t="s">
        <v>29</v>
      </c>
      <c r="J10147" t="s">
        <v>30</v>
      </c>
      <c r="K10147" t="s">
        <v>31</v>
      </c>
      <c r="M10147" t="s">
        <v>22859</v>
      </c>
      <c r="N10147" t="str">
        <f>"11/22/2016 10:25:00 AM"</f>
        <v>11/22/2016 10:25:00 AM</v>
      </c>
      <c r="O10147" t="s">
        <v>30333</v>
      </c>
    </row>
    <row r="10148" spans="1:20" x14ac:dyDescent="0.25">
      <c r="A10148" t="str">
        <f>"3050107"</f>
        <v>3050107</v>
      </c>
      <c r="B10148" t="s">
        <v>30421</v>
      </c>
      <c r="C10148" t="str">
        <f>"8307082"</f>
        <v>8307082</v>
      </c>
      <c r="D10148" t="s">
        <v>30422</v>
      </c>
      <c r="F10148" t="s">
        <v>30423</v>
      </c>
      <c r="I10148" t="s">
        <v>29</v>
      </c>
      <c r="J10148" t="s">
        <v>30</v>
      </c>
      <c r="K10148" t="str">
        <f>"27028"</f>
        <v>27028</v>
      </c>
      <c r="M10148" t="s">
        <v>17861</v>
      </c>
      <c r="N10148" t="str">
        <f>"11/1/2016 1:03:00 PM"</f>
        <v>11/1/2016 1:03:00 PM</v>
      </c>
      <c r="O10148" t="s">
        <v>30422</v>
      </c>
    </row>
    <row r="10149" spans="1:20" x14ac:dyDescent="0.25">
      <c r="A10149" t="str">
        <f>"3077202"</f>
        <v>3077202</v>
      </c>
      <c r="B10149" t="s">
        <v>30424</v>
      </c>
      <c r="C10149" t="str">
        <f>"8307083"</f>
        <v>8307083</v>
      </c>
      <c r="D10149" t="s">
        <v>30425</v>
      </c>
      <c r="E10149" t="s">
        <v>30426</v>
      </c>
      <c r="F10149" t="s">
        <v>30427</v>
      </c>
      <c r="I10149" t="s">
        <v>184</v>
      </c>
      <c r="J10149" t="s">
        <v>30</v>
      </c>
      <c r="K10149" t="str">
        <f>"27006"</f>
        <v>27006</v>
      </c>
      <c r="M10149" t="s">
        <v>17861</v>
      </c>
      <c r="N10149" t="str">
        <f>"11/1/2016 1:09:00 PM"</f>
        <v>11/1/2016 1:09:00 PM</v>
      </c>
      <c r="O10149" t="s">
        <v>30425</v>
      </c>
      <c r="T10149" t="s">
        <v>30426</v>
      </c>
    </row>
    <row r="10150" spans="1:20" x14ac:dyDescent="0.25">
      <c r="A10150" t="str">
        <f>"3047895"</f>
        <v>3047895</v>
      </c>
      <c r="B10150" t="s">
        <v>30428</v>
      </c>
      <c r="C10150" t="str">
        <f>"82525353"</f>
        <v>82525353</v>
      </c>
      <c r="D10150" t="s">
        <v>30429</v>
      </c>
      <c r="E10150" t="s">
        <v>30430</v>
      </c>
      <c r="F10150" t="s">
        <v>30431</v>
      </c>
      <c r="I10150" t="s">
        <v>184</v>
      </c>
      <c r="J10150" t="s">
        <v>30</v>
      </c>
      <c r="K10150" t="s">
        <v>6241</v>
      </c>
      <c r="M10150" t="s">
        <v>27053</v>
      </c>
      <c r="N10150" t="str">
        <f>"11/30/2016 12:40:00 PM"</f>
        <v>11/30/2016 12:40:00 PM</v>
      </c>
      <c r="O10150" t="s">
        <v>30429</v>
      </c>
      <c r="T10150" t="s">
        <v>30430</v>
      </c>
    </row>
    <row r="10151" spans="1:20" x14ac:dyDescent="0.25">
      <c r="A10151" t="str">
        <f>"3053758"</f>
        <v>3053758</v>
      </c>
      <c r="B10151" t="s">
        <v>30432</v>
      </c>
      <c r="C10151" t="str">
        <f>"8307189"</f>
        <v>8307189</v>
      </c>
      <c r="D10151" t="s">
        <v>30433</v>
      </c>
      <c r="E10151" t="s">
        <v>30434</v>
      </c>
      <c r="F10151" t="s">
        <v>30435</v>
      </c>
      <c r="I10151" t="s">
        <v>29</v>
      </c>
      <c r="J10151" t="s">
        <v>30</v>
      </c>
      <c r="K10151" t="str">
        <f>"27028"</f>
        <v>27028</v>
      </c>
      <c r="M10151" t="s">
        <v>17861</v>
      </c>
      <c r="N10151" t="str">
        <f>"12/6/2016 1:15:00 PM"</f>
        <v>12/6/2016 1:15:00 PM</v>
      </c>
      <c r="O10151" t="s">
        <v>30433</v>
      </c>
      <c r="T10151" t="s">
        <v>30434</v>
      </c>
    </row>
    <row r="10152" spans="1:20" x14ac:dyDescent="0.25">
      <c r="A10152" t="str">
        <f>"3060801"</f>
        <v>3060801</v>
      </c>
      <c r="B10152" t="s">
        <v>30436</v>
      </c>
      <c r="C10152" t="str">
        <f>"8307194"</f>
        <v>8307194</v>
      </c>
      <c r="D10152" t="s">
        <v>30437</v>
      </c>
      <c r="E10152" t="s">
        <v>30438</v>
      </c>
      <c r="F10152" t="s">
        <v>30439</v>
      </c>
      <c r="I10152" t="s">
        <v>2071</v>
      </c>
      <c r="J10152" t="s">
        <v>30</v>
      </c>
      <c r="K10152" t="str">
        <f>"27006"</f>
        <v>27006</v>
      </c>
      <c r="M10152" t="s">
        <v>17861</v>
      </c>
      <c r="N10152" t="str">
        <f>"12/6/2016 2:45:00 PM"</f>
        <v>12/6/2016 2:45:00 PM</v>
      </c>
      <c r="O10152" t="s">
        <v>30437</v>
      </c>
      <c r="T10152" t="s">
        <v>30438</v>
      </c>
    </row>
    <row r="10153" spans="1:20" x14ac:dyDescent="0.25">
      <c r="A10153" t="str">
        <f>"3047807"</f>
        <v>3047807</v>
      </c>
      <c r="B10153" t="s">
        <v>30440</v>
      </c>
      <c r="C10153" t="str">
        <f>"8307195"</f>
        <v>8307195</v>
      </c>
      <c r="D10153" t="s">
        <v>30441</v>
      </c>
      <c r="E10153" t="s">
        <v>30442</v>
      </c>
      <c r="F10153" t="s">
        <v>30443</v>
      </c>
      <c r="I10153" t="s">
        <v>184</v>
      </c>
      <c r="J10153" t="s">
        <v>30</v>
      </c>
      <c r="K10153" t="str">
        <f>"27006"</f>
        <v>27006</v>
      </c>
      <c r="M10153" t="s">
        <v>17861</v>
      </c>
      <c r="N10153" t="str">
        <f>"12/6/2016 2:51:00 PM"</f>
        <v>12/6/2016 2:51:00 PM</v>
      </c>
      <c r="O10153" t="s">
        <v>30441</v>
      </c>
      <c r="T10153" t="s">
        <v>30442</v>
      </c>
    </row>
    <row r="10154" spans="1:20" x14ac:dyDescent="0.25">
      <c r="A10154" t="str">
        <f>"3062933"</f>
        <v>3062933</v>
      </c>
      <c r="B10154" t="s">
        <v>30444</v>
      </c>
      <c r="C10154" t="str">
        <f>"8307198"</f>
        <v>8307198</v>
      </c>
      <c r="D10154" t="s">
        <v>30445</v>
      </c>
      <c r="E10154" t="s">
        <v>30446</v>
      </c>
      <c r="F10154" t="s">
        <v>30447</v>
      </c>
      <c r="I10154" t="s">
        <v>29</v>
      </c>
      <c r="J10154" t="s">
        <v>30</v>
      </c>
      <c r="K10154" t="str">
        <f>"27028"</f>
        <v>27028</v>
      </c>
      <c r="M10154" t="s">
        <v>17861</v>
      </c>
      <c r="N10154" t="str">
        <f>"12/6/2016 3:08:00 PM"</f>
        <v>12/6/2016 3:08:00 PM</v>
      </c>
      <c r="O10154" t="s">
        <v>30445</v>
      </c>
      <c r="T10154" t="s">
        <v>30446</v>
      </c>
    </row>
    <row r="10155" spans="1:20" x14ac:dyDescent="0.25">
      <c r="A10155" t="str">
        <f>"3041562"</f>
        <v>3041562</v>
      </c>
      <c r="B10155" t="s">
        <v>30448</v>
      </c>
      <c r="C10155" t="str">
        <f>"8307201"</f>
        <v>8307201</v>
      </c>
      <c r="D10155" t="s">
        <v>30449</v>
      </c>
      <c r="E10155" t="s">
        <v>30450</v>
      </c>
      <c r="F10155" t="s">
        <v>30451</v>
      </c>
      <c r="I10155" t="s">
        <v>2071</v>
      </c>
      <c r="J10155" t="s">
        <v>30</v>
      </c>
      <c r="K10155" t="str">
        <f>"27006"</f>
        <v>27006</v>
      </c>
      <c r="M10155" t="s">
        <v>17861</v>
      </c>
      <c r="N10155" t="str">
        <f>"12/6/2016 3:21:00 PM"</f>
        <v>12/6/2016 3:21:00 PM</v>
      </c>
      <c r="O10155" t="s">
        <v>30449</v>
      </c>
      <c r="T10155" t="s">
        <v>30450</v>
      </c>
    </row>
    <row r="10156" spans="1:20" x14ac:dyDescent="0.25">
      <c r="A10156" t="str">
        <f>"3051979"</f>
        <v>3051979</v>
      </c>
      <c r="B10156" t="s">
        <v>30452</v>
      </c>
      <c r="C10156" t="str">
        <f>"8307204"</f>
        <v>8307204</v>
      </c>
      <c r="D10156" t="s">
        <v>30453</v>
      </c>
      <c r="E10156" t="s">
        <v>30454</v>
      </c>
      <c r="F10156" t="s">
        <v>30455</v>
      </c>
      <c r="I10156" t="s">
        <v>29</v>
      </c>
      <c r="J10156" t="s">
        <v>30</v>
      </c>
      <c r="K10156" t="str">
        <f>"27028"</f>
        <v>27028</v>
      </c>
      <c r="M10156" t="s">
        <v>17861</v>
      </c>
      <c r="N10156" t="str">
        <f>"12/6/2016 3:41:00 PM"</f>
        <v>12/6/2016 3:41:00 PM</v>
      </c>
      <c r="O10156" t="s">
        <v>30453</v>
      </c>
      <c r="T10156" t="s">
        <v>30454</v>
      </c>
    </row>
    <row r="10157" spans="1:20" x14ac:dyDescent="0.25">
      <c r="A10157" t="str">
        <f>"3040995"</f>
        <v>3040995</v>
      </c>
      <c r="B10157" t="s">
        <v>30456</v>
      </c>
      <c r="C10157" t="str">
        <f>"82530475"</f>
        <v>82530475</v>
      </c>
      <c r="D10157" t="s">
        <v>30457</v>
      </c>
      <c r="F10157" t="s">
        <v>30458</v>
      </c>
      <c r="I10157" t="s">
        <v>29</v>
      </c>
      <c r="J10157" t="s">
        <v>30</v>
      </c>
      <c r="K10157" t="s">
        <v>31</v>
      </c>
      <c r="M10157" t="s">
        <v>20405</v>
      </c>
      <c r="N10157" t="str">
        <f>"12/2/2016 11:35:00 AM"</f>
        <v>12/2/2016 11:35:00 AM</v>
      </c>
      <c r="O10157" t="s">
        <v>30457</v>
      </c>
    </row>
    <row r="10158" spans="1:20" x14ac:dyDescent="0.25">
      <c r="A10158" t="str">
        <f>"3055268"</f>
        <v>3055268</v>
      </c>
      <c r="B10158" t="s">
        <v>30459</v>
      </c>
      <c r="C10158" t="str">
        <f>"8307179"</f>
        <v>8307179</v>
      </c>
      <c r="D10158" t="s">
        <v>30460</v>
      </c>
      <c r="F10158" t="s">
        <v>30461</v>
      </c>
      <c r="I10158" t="s">
        <v>29</v>
      </c>
      <c r="J10158" t="s">
        <v>30</v>
      </c>
      <c r="K10158" t="str">
        <f>"27028"</f>
        <v>27028</v>
      </c>
      <c r="M10158" t="s">
        <v>17861</v>
      </c>
      <c r="N10158" t="str">
        <f>"12/5/2016 4:52:00 PM"</f>
        <v>12/5/2016 4:52:00 PM</v>
      </c>
      <c r="O10158" t="s">
        <v>30460</v>
      </c>
    </row>
    <row r="10159" spans="1:20" x14ac:dyDescent="0.25">
      <c r="A10159" t="str">
        <f>"3050212"</f>
        <v>3050212</v>
      </c>
      <c r="B10159" t="s">
        <v>30462</v>
      </c>
      <c r="C10159" t="str">
        <f>"8307142"</f>
        <v>8307142</v>
      </c>
      <c r="D10159" t="s">
        <v>30463</v>
      </c>
      <c r="E10159" t="s">
        <v>30464</v>
      </c>
      <c r="F10159" t="s">
        <v>30465</v>
      </c>
      <c r="I10159" t="s">
        <v>29</v>
      </c>
      <c r="J10159" t="s">
        <v>30</v>
      </c>
      <c r="K10159" t="str">
        <f>"27028"</f>
        <v>27028</v>
      </c>
      <c r="M10159" t="s">
        <v>17861</v>
      </c>
      <c r="N10159" t="str">
        <f>"11/28/2016 10:59:00 AM"</f>
        <v>11/28/2016 10:59:00 AM</v>
      </c>
      <c r="O10159" t="s">
        <v>30463</v>
      </c>
      <c r="T10159" t="s">
        <v>30464</v>
      </c>
    </row>
    <row r="10160" spans="1:20" x14ac:dyDescent="0.25">
      <c r="A10160" t="str">
        <f>"3040706"</f>
        <v>3040706</v>
      </c>
      <c r="B10160" t="s">
        <v>30466</v>
      </c>
      <c r="C10160" t="str">
        <f>"8307144"</f>
        <v>8307144</v>
      </c>
      <c r="D10160" t="s">
        <v>30467</v>
      </c>
      <c r="F10160" t="s">
        <v>30468</v>
      </c>
      <c r="I10160" t="s">
        <v>184</v>
      </c>
      <c r="J10160" t="s">
        <v>30</v>
      </c>
      <c r="K10160" t="str">
        <f>"27006"</f>
        <v>27006</v>
      </c>
      <c r="M10160" t="s">
        <v>17861</v>
      </c>
      <c r="N10160" t="str">
        <f>"11/28/2016 11:14:00 AM"</f>
        <v>11/28/2016 11:14:00 AM</v>
      </c>
      <c r="O10160" t="s">
        <v>30467</v>
      </c>
    </row>
    <row r="10161" spans="1:20" x14ac:dyDescent="0.25">
      <c r="A10161" t="str">
        <f>"3076648"</f>
        <v>3076648</v>
      </c>
      <c r="B10161" t="s">
        <v>30469</v>
      </c>
      <c r="C10161" t="str">
        <f>"8307152"</f>
        <v>8307152</v>
      </c>
      <c r="D10161" t="s">
        <v>30470</v>
      </c>
      <c r="E10161" t="s">
        <v>30471</v>
      </c>
      <c r="F10161" t="s">
        <v>23254</v>
      </c>
      <c r="I10161" t="s">
        <v>49</v>
      </c>
      <c r="J10161" t="s">
        <v>30</v>
      </c>
      <c r="K10161" t="str">
        <f>"27055"</f>
        <v>27055</v>
      </c>
      <c r="M10161" t="s">
        <v>17861</v>
      </c>
      <c r="N10161" t="str">
        <f>"11/28/2016 3:43:00 PM"</f>
        <v>11/28/2016 3:43:00 PM</v>
      </c>
      <c r="O10161" t="s">
        <v>30470</v>
      </c>
      <c r="T10161" t="s">
        <v>30471</v>
      </c>
    </row>
    <row r="10162" spans="1:20" x14ac:dyDescent="0.25">
      <c r="A10162" t="str">
        <f>"3037824"</f>
        <v>3037824</v>
      </c>
      <c r="B10162" t="s">
        <v>30472</v>
      </c>
      <c r="C10162" t="str">
        <f>"56656000"</f>
        <v>56656000</v>
      </c>
      <c r="D10162" t="s">
        <v>30473</v>
      </c>
      <c r="F10162" t="s">
        <v>30474</v>
      </c>
      <c r="I10162" t="s">
        <v>23961</v>
      </c>
      <c r="J10162" t="s">
        <v>30</v>
      </c>
      <c r="K10162" t="s">
        <v>30475</v>
      </c>
      <c r="M10162" t="s">
        <v>18470</v>
      </c>
      <c r="N10162" t="str">
        <f>"12/13/2016 9:39:00 AM"</f>
        <v>12/13/2016 9:39:00 AM</v>
      </c>
      <c r="O10162" t="s">
        <v>30473</v>
      </c>
    </row>
    <row r="10163" spans="1:20" x14ac:dyDescent="0.25">
      <c r="A10163" t="str">
        <f>"3038256"</f>
        <v>3038256</v>
      </c>
      <c r="B10163" t="s">
        <v>30476</v>
      </c>
      <c r="C10163" t="str">
        <f>"56656000"</f>
        <v>56656000</v>
      </c>
      <c r="D10163" t="s">
        <v>30473</v>
      </c>
      <c r="F10163" t="s">
        <v>30474</v>
      </c>
      <c r="I10163" t="s">
        <v>23961</v>
      </c>
      <c r="J10163" t="s">
        <v>30</v>
      </c>
      <c r="K10163" t="s">
        <v>30475</v>
      </c>
      <c r="M10163" t="s">
        <v>18470</v>
      </c>
      <c r="N10163" t="str">
        <f>"12/13/2016 9:39:00 AM"</f>
        <v>12/13/2016 9:39:00 AM</v>
      </c>
      <c r="O10163" t="s">
        <v>30473</v>
      </c>
    </row>
    <row r="10164" spans="1:20" x14ac:dyDescent="0.25">
      <c r="A10164" t="str">
        <f>"3076565"</f>
        <v>3076565</v>
      </c>
      <c r="B10164" t="s">
        <v>30477</v>
      </c>
      <c r="C10164" t="str">
        <f>"8307152"</f>
        <v>8307152</v>
      </c>
      <c r="D10164" t="s">
        <v>30470</v>
      </c>
      <c r="E10164" t="s">
        <v>30471</v>
      </c>
      <c r="F10164" t="s">
        <v>23254</v>
      </c>
      <c r="I10164" t="s">
        <v>49</v>
      </c>
      <c r="J10164" t="s">
        <v>30</v>
      </c>
      <c r="K10164" t="str">
        <f>"27055"</f>
        <v>27055</v>
      </c>
      <c r="M10164" t="s">
        <v>17861</v>
      </c>
      <c r="N10164" t="str">
        <f>"11/28/2016 3:43:00 PM"</f>
        <v>11/28/2016 3:43:00 PM</v>
      </c>
      <c r="O10164" t="s">
        <v>30470</v>
      </c>
      <c r="T10164" t="s">
        <v>30471</v>
      </c>
    </row>
    <row r="10165" spans="1:20" x14ac:dyDescent="0.25">
      <c r="A10165" t="str">
        <f>"3059654"</f>
        <v>3059654</v>
      </c>
      <c r="B10165" t="s">
        <v>30478</v>
      </c>
      <c r="C10165" t="str">
        <f>"8307154"</f>
        <v>8307154</v>
      </c>
      <c r="D10165" t="s">
        <v>30479</v>
      </c>
      <c r="F10165" t="s">
        <v>30480</v>
      </c>
      <c r="I10165" t="s">
        <v>29</v>
      </c>
      <c r="J10165" t="s">
        <v>30</v>
      </c>
      <c r="K10165" t="str">
        <f>"27028"</f>
        <v>27028</v>
      </c>
      <c r="M10165" t="s">
        <v>17861</v>
      </c>
      <c r="N10165" t="str">
        <f>"11/28/2016 3:55:00 PM"</f>
        <v>11/28/2016 3:55:00 PM</v>
      </c>
      <c r="O10165" t="s">
        <v>30479</v>
      </c>
    </row>
    <row r="10166" spans="1:20" x14ac:dyDescent="0.25">
      <c r="A10166" t="str">
        <f>"3067910"</f>
        <v>3067910</v>
      </c>
      <c r="B10166" t="s">
        <v>30481</v>
      </c>
      <c r="C10166" t="str">
        <f>"8307215"</f>
        <v>8307215</v>
      </c>
      <c r="D10166" t="s">
        <v>30482</v>
      </c>
      <c r="F10166" t="s">
        <v>30483</v>
      </c>
      <c r="I10166" t="s">
        <v>184</v>
      </c>
      <c r="J10166" t="s">
        <v>30</v>
      </c>
      <c r="K10166" t="str">
        <f>"27006"</f>
        <v>27006</v>
      </c>
      <c r="M10166" t="s">
        <v>17861</v>
      </c>
      <c r="N10166" t="str">
        <f>"12/13/2016 3:36:00 PM"</f>
        <v>12/13/2016 3:36:00 PM</v>
      </c>
      <c r="O10166" t="s">
        <v>30482</v>
      </c>
    </row>
    <row r="10167" spans="1:20" x14ac:dyDescent="0.25">
      <c r="A10167" t="str">
        <f>"3078783"</f>
        <v>3078783</v>
      </c>
      <c r="B10167" t="s">
        <v>30484</v>
      </c>
      <c r="C10167" t="str">
        <f>"8307215"</f>
        <v>8307215</v>
      </c>
      <c r="D10167" t="s">
        <v>30482</v>
      </c>
      <c r="F10167" t="s">
        <v>30483</v>
      </c>
      <c r="I10167" t="s">
        <v>184</v>
      </c>
      <c r="J10167" t="s">
        <v>30</v>
      </c>
      <c r="K10167" t="str">
        <f>"27006"</f>
        <v>27006</v>
      </c>
      <c r="M10167" t="s">
        <v>17861</v>
      </c>
      <c r="N10167" t="str">
        <f>"12/13/2016 3:36:00 PM"</f>
        <v>12/13/2016 3:36:00 PM</v>
      </c>
      <c r="O10167" t="s">
        <v>30482</v>
      </c>
    </row>
    <row r="10168" spans="1:20" x14ac:dyDescent="0.25">
      <c r="A10168" t="str">
        <f>"3078647"</f>
        <v>3078647</v>
      </c>
      <c r="B10168" t="s">
        <v>30485</v>
      </c>
      <c r="C10168" t="str">
        <f>"8307215"</f>
        <v>8307215</v>
      </c>
      <c r="D10168" t="s">
        <v>30482</v>
      </c>
      <c r="F10168" t="s">
        <v>30483</v>
      </c>
      <c r="I10168" t="s">
        <v>184</v>
      </c>
      <c r="J10168" t="s">
        <v>30</v>
      </c>
      <c r="K10168" t="str">
        <f>"27006"</f>
        <v>27006</v>
      </c>
      <c r="M10168" t="s">
        <v>17861</v>
      </c>
      <c r="N10168" t="str">
        <f>"12/13/2016 3:36:00 PM"</f>
        <v>12/13/2016 3:36:00 PM</v>
      </c>
      <c r="O10168" t="s">
        <v>30482</v>
      </c>
    </row>
    <row r="10169" spans="1:20" x14ac:dyDescent="0.25">
      <c r="A10169" t="str">
        <f>"3053213"</f>
        <v>3053213</v>
      </c>
      <c r="B10169" t="s">
        <v>30486</v>
      </c>
      <c r="C10169" t="str">
        <f>"8307215"</f>
        <v>8307215</v>
      </c>
      <c r="D10169" t="s">
        <v>30482</v>
      </c>
      <c r="F10169" t="s">
        <v>30483</v>
      </c>
      <c r="I10169" t="s">
        <v>184</v>
      </c>
      <c r="J10169" t="s">
        <v>30</v>
      </c>
      <c r="K10169" t="str">
        <f>"27006"</f>
        <v>27006</v>
      </c>
      <c r="M10169" t="s">
        <v>17861</v>
      </c>
      <c r="N10169" t="str">
        <f>"12/13/2016 3:36:00 PM"</f>
        <v>12/13/2016 3:36:00 PM</v>
      </c>
      <c r="O10169" t="s">
        <v>30482</v>
      </c>
    </row>
    <row r="10170" spans="1:20" x14ac:dyDescent="0.25">
      <c r="A10170" t="str">
        <f>"3061743"</f>
        <v>3061743</v>
      </c>
      <c r="B10170" t="s">
        <v>30487</v>
      </c>
      <c r="C10170" t="str">
        <f>"8307155"</f>
        <v>8307155</v>
      </c>
      <c r="D10170" t="s">
        <v>30488</v>
      </c>
      <c r="E10170" t="s">
        <v>30489</v>
      </c>
      <c r="F10170" t="s">
        <v>30490</v>
      </c>
      <c r="I10170" t="s">
        <v>2071</v>
      </c>
      <c r="J10170" t="s">
        <v>30</v>
      </c>
      <c r="K10170" t="str">
        <f>"27006"</f>
        <v>27006</v>
      </c>
      <c r="M10170" t="s">
        <v>17861</v>
      </c>
      <c r="N10170" t="str">
        <f>"11/28/2016 3:58:00 PM"</f>
        <v>11/28/2016 3:58:00 PM</v>
      </c>
      <c r="O10170" t="s">
        <v>30488</v>
      </c>
      <c r="T10170" t="s">
        <v>30489</v>
      </c>
    </row>
    <row r="10171" spans="1:20" x14ac:dyDescent="0.25">
      <c r="A10171" t="str">
        <f>"3045213"</f>
        <v>3045213</v>
      </c>
      <c r="B10171" t="s">
        <v>30491</v>
      </c>
      <c r="C10171" t="str">
        <f>"8307221"</f>
        <v>8307221</v>
      </c>
      <c r="D10171" t="s">
        <v>28830</v>
      </c>
      <c r="E10171" t="s">
        <v>30492</v>
      </c>
      <c r="F10171" t="s">
        <v>28831</v>
      </c>
      <c r="I10171" t="s">
        <v>29</v>
      </c>
      <c r="J10171" t="s">
        <v>30</v>
      </c>
      <c r="K10171" t="str">
        <f>"27028"</f>
        <v>27028</v>
      </c>
      <c r="M10171" t="s">
        <v>17861</v>
      </c>
      <c r="N10171" t="str">
        <f>"12/14/2016 4:43:00 PM"</f>
        <v>12/14/2016 4:43:00 PM</v>
      </c>
      <c r="O10171" t="s">
        <v>28830</v>
      </c>
      <c r="T10171" t="s">
        <v>30492</v>
      </c>
    </row>
    <row r="10172" spans="1:20" x14ac:dyDescent="0.25">
      <c r="A10172" t="str">
        <f>"3043450"</f>
        <v>3043450</v>
      </c>
      <c r="B10172" t="s">
        <v>30493</v>
      </c>
      <c r="C10172" t="str">
        <f>"8307156"</f>
        <v>8307156</v>
      </c>
      <c r="D10172" t="s">
        <v>30494</v>
      </c>
      <c r="E10172" t="s">
        <v>30495</v>
      </c>
      <c r="F10172" t="s">
        <v>30496</v>
      </c>
      <c r="I10172" t="s">
        <v>29</v>
      </c>
      <c r="J10172" t="s">
        <v>30</v>
      </c>
      <c r="K10172" t="str">
        <f>"27028"</f>
        <v>27028</v>
      </c>
      <c r="M10172" t="s">
        <v>17861</v>
      </c>
      <c r="N10172" t="str">
        <f>"11/28/2016 4:02:00 PM"</f>
        <v>11/28/2016 4:02:00 PM</v>
      </c>
      <c r="O10172" t="s">
        <v>30494</v>
      </c>
      <c r="T10172" t="s">
        <v>30495</v>
      </c>
    </row>
    <row r="10173" spans="1:20" x14ac:dyDescent="0.25">
      <c r="A10173" t="str">
        <f>"3037367"</f>
        <v>3037367</v>
      </c>
      <c r="B10173" t="s">
        <v>30497</v>
      </c>
      <c r="C10173" t="str">
        <f>"8307225"</f>
        <v>8307225</v>
      </c>
      <c r="D10173" t="s">
        <v>30498</v>
      </c>
      <c r="E10173" t="s">
        <v>30499</v>
      </c>
      <c r="F10173" t="s">
        <v>30500</v>
      </c>
      <c r="I10173" t="s">
        <v>184</v>
      </c>
      <c r="J10173" t="s">
        <v>30</v>
      </c>
      <c r="K10173" t="str">
        <f>"27006"</f>
        <v>27006</v>
      </c>
      <c r="M10173" t="s">
        <v>17861</v>
      </c>
      <c r="N10173" t="str">
        <f>"12/15/2016 8:21:00 AM"</f>
        <v>12/15/2016 8:21:00 AM</v>
      </c>
      <c r="O10173" t="s">
        <v>30498</v>
      </c>
      <c r="T10173" t="s">
        <v>30499</v>
      </c>
    </row>
    <row r="10174" spans="1:20" x14ac:dyDescent="0.25">
      <c r="A10174" t="str">
        <f>"3051377"</f>
        <v>3051377</v>
      </c>
      <c r="B10174" t="s">
        <v>30501</v>
      </c>
      <c r="C10174" t="str">
        <f>"8307226"</f>
        <v>8307226</v>
      </c>
      <c r="D10174" t="s">
        <v>30502</v>
      </c>
      <c r="E10174" t="s">
        <v>30503</v>
      </c>
      <c r="F10174" t="s">
        <v>30504</v>
      </c>
      <c r="I10174" t="s">
        <v>30505</v>
      </c>
      <c r="J10174" t="s">
        <v>30</v>
      </c>
      <c r="K10174" t="str">
        <f>"27028"</f>
        <v>27028</v>
      </c>
      <c r="M10174" t="s">
        <v>17861</v>
      </c>
      <c r="N10174" t="str">
        <f>"12/15/2016 9:02:00 AM"</f>
        <v>12/15/2016 9:02:00 AM</v>
      </c>
      <c r="O10174" t="s">
        <v>30502</v>
      </c>
      <c r="T10174" t="s">
        <v>30503</v>
      </c>
    </row>
    <row r="10175" spans="1:20" x14ac:dyDescent="0.25">
      <c r="A10175" t="str">
        <f>"3044391"</f>
        <v>3044391</v>
      </c>
      <c r="B10175" t="s">
        <v>30506</v>
      </c>
      <c r="C10175" t="str">
        <f>"8307158"</f>
        <v>8307158</v>
      </c>
      <c r="D10175" t="s">
        <v>30507</v>
      </c>
      <c r="E10175" t="s">
        <v>30508</v>
      </c>
      <c r="F10175" t="s">
        <v>30509</v>
      </c>
      <c r="I10175" t="s">
        <v>184</v>
      </c>
      <c r="J10175" t="s">
        <v>30</v>
      </c>
      <c r="K10175" t="str">
        <f>"27006"</f>
        <v>27006</v>
      </c>
      <c r="M10175" t="s">
        <v>17861</v>
      </c>
      <c r="N10175" t="str">
        <f>"11/28/2016 4:17:00 PM"</f>
        <v>11/28/2016 4:17:00 PM</v>
      </c>
      <c r="O10175" t="s">
        <v>30507</v>
      </c>
      <c r="T10175" t="s">
        <v>30508</v>
      </c>
    </row>
    <row r="10176" spans="1:20" x14ac:dyDescent="0.25">
      <c r="A10176" t="str">
        <f>"3046248"</f>
        <v>3046248</v>
      </c>
      <c r="B10176" t="s">
        <v>30510</v>
      </c>
      <c r="C10176" t="str">
        <f>"8307208"</f>
        <v>8307208</v>
      </c>
      <c r="D10176" t="s">
        <v>30511</v>
      </c>
      <c r="F10176" t="s">
        <v>7240</v>
      </c>
      <c r="I10176" t="s">
        <v>29</v>
      </c>
      <c r="J10176" t="s">
        <v>30</v>
      </c>
      <c r="K10176" t="str">
        <f>"27028"</f>
        <v>27028</v>
      </c>
      <c r="M10176" t="s">
        <v>17861</v>
      </c>
      <c r="N10176" t="str">
        <f>"12/6/2016 4:00:00 PM"</f>
        <v>12/6/2016 4:00:00 PM</v>
      </c>
      <c r="O10176" t="s">
        <v>30511</v>
      </c>
    </row>
    <row r="10177" spans="1:20" x14ac:dyDescent="0.25">
      <c r="A10177" t="str">
        <f>"3047089"</f>
        <v>3047089</v>
      </c>
      <c r="B10177" t="s">
        <v>30512</v>
      </c>
      <c r="C10177" t="str">
        <f>"8307160"</f>
        <v>8307160</v>
      </c>
      <c r="D10177" t="s">
        <v>30513</v>
      </c>
      <c r="E10177" t="s">
        <v>30514</v>
      </c>
      <c r="F10177" t="s">
        <v>30515</v>
      </c>
      <c r="I10177" t="s">
        <v>29</v>
      </c>
      <c r="J10177" t="s">
        <v>30</v>
      </c>
      <c r="K10177" t="str">
        <f>"27028"</f>
        <v>27028</v>
      </c>
      <c r="M10177" t="s">
        <v>17861</v>
      </c>
      <c r="N10177" t="str">
        <f>"12/1/2016 3:53:00 PM"</f>
        <v>12/1/2016 3:53:00 PM</v>
      </c>
      <c r="O10177" t="s">
        <v>30513</v>
      </c>
      <c r="T10177" t="s">
        <v>30514</v>
      </c>
    </row>
    <row r="10178" spans="1:20" x14ac:dyDescent="0.25">
      <c r="A10178" t="str">
        <f>"3043634"</f>
        <v>3043634</v>
      </c>
      <c r="B10178" t="s">
        <v>30516</v>
      </c>
      <c r="C10178" t="str">
        <f>"8307241"</f>
        <v>8307241</v>
      </c>
      <c r="D10178" t="s">
        <v>30517</v>
      </c>
      <c r="E10178" t="s">
        <v>30518</v>
      </c>
      <c r="F10178" t="s">
        <v>30519</v>
      </c>
      <c r="I10178" t="s">
        <v>29</v>
      </c>
      <c r="J10178" t="s">
        <v>30</v>
      </c>
      <c r="K10178" t="str">
        <f>"27028"</f>
        <v>27028</v>
      </c>
      <c r="M10178" t="s">
        <v>17861</v>
      </c>
      <c r="N10178" t="str">
        <f>"12/15/2016 1:32:00 PM"</f>
        <v>12/15/2016 1:32:00 PM</v>
      </c>
      <c r="O10178" t="s">
        <v>30517</v>
      </c>
      <c r="T10178" t="s">
        <v>30518</v>
      </c>
    </row>
    <row r="10179" spans="1:20" x14ac:dyDescent="0.25">
      <c r="A10179" t="str">
        <f>"3058143"</f>
        <v>3058143</v>
      </c>
      <c r="B10179" t="s">
        <v>30520</v>
      </c>
      <c r="C10179" t="str">
        <f>"8307242"</f>
        <v>8307242</v>
      </c>
      <c r="D10179" t="s">
        <v>30521</v>
      </c>
      <c r="E10179" t="s">
        <v>30522</v>
      </c>
      <c r="F10179" t="s">
        <v>30523</v>
      </c>
      <c r="I10179" t="s">
        <v>29</v>
      </c>
      <c r="J10179" t="s">
        <v>30</v>
      </c>
      <c r="K10179" t="str">
        <f>"27028"</f>
        <v>27028</v>
      </c>
      <c r="M10179" t="s">
        <v>17861</v>
      </c>
      <c r="N10179" t="str">
        <f>"12/15/2016 1:37:00 PM"</f>
        <v>12/15/2016 1:37:00 PM</v>
      </c>
      <c r="O10179" t="s">
        <v>30521</v>
      </c>
      <c r="T10179" t="s">
        <v>30522</v>
      </c>
    </row>
    <row r="10180" spans="1:20" x14ac:dyDescent="0.25">
      <c r="A10180" t="str">
        <f>"3061140"</f>
        <v>3061140</v>
      </c>
      <c r="B10180" t="s">
        <v>30524</v>
      </c>
      <c r="C10180" t="str">
        <f>"8307245"</f>
        <v>8307245</v>
      </c>
      <c r="D10180" t="s">
        <v>30525</v>
      </c>
      <c r="E10180" t="s">
        <v>30526</v>
      </c>
      <c r="F10180" t="s">
        <v>30527</v>
      </c>
      <c r="I10180" t="s">
        <v>402</v>
      </c>
      <c r="J10180" t="s">
        <v>30</v>
      </c>
      <c r="K10180" t="str">
        <f>"27012"</f>
        <v>27012</v>
      </c>
      <c r="M10180" t="s">
        <v>17861</v>
      </c>
      <c r="N10180" t="str">
        <f>"12/15/2016 1:57:00 PM"</f>
        <v>12/15/2016 1:57:00 PM</v>
      </c>
      <c r="O10180" t="s">
        <v>30525</v>
      </c>
      <c r="T10180" t="s">
        <v>30526</v>
      </c>
    </row>
    <row r="10181" spans="1:20" x14ac:dyDescent="0.25">
      <c r="A10181" t="str">
        <f>"3050174"</f>
        <v>3050174</v>
      </c>
      <c r="B10181" t="s">
        <v>30528</v>
      </c>
      <c r="C10181" t="str">
        <f>"8307246"</f>
        <v>8307246</v>
      </c>
      <c r="D10181" t="s">
        <v>30529</v>
      </c>
      <c r="F10181" t="s">
        <v>30530</v>
      </c>
      <c r="I10181" t="s">
        <v>29</v>
      </c>
      <c r="J10181" t="s">
        <v>30</v>
      </c>
      <c r="K10181" t="str">
        <f>"27028"</f>
        <v>27028</v>
      </c>
      <c r="M10181" t="s">
        <v>17861</v>
      </c>
      <c r="N10181" t="str">
        <f>"12/15/2016 2:00:00 PM"</f>
        <v>12/15/2016 2:00:00 PM</v>
      </c>
      <c r="O10181" t="s">
        <v>30529</v>
      </c>
    </row>
    <row r="10182" spans="1:20" x14ac:dyDescent="0.25">
      <c r="A10182" t="str">
        <f>"3060043"</f>
        <v>3060043</v>
      </c>
      <c r="B10182" t="s">
        <v>30531</v>
      </c>
      <c r="C10182" t="str">
        <f>"8307248"</f>
        <v>8307248</v>
      </c>
      <c r="D10182" t="s">
        <v>30532</v>
      </c>
      <c r="E10182" t="s">
        <v>30533</v>
      </c>
      <c r="F10182" t="s">
        <v>30534</v>
      </c>
      <c r="I10182" t="s">
        <v>184</v>
      </c>
      <c r="J10182" t="s">
        <v>30</v>
      </c>
      <c r="K10182" t="str">
        <f>"27006"</f>
        <v>27006</v>
      </c>
      <c r="M10182" t="s">
        <v>17861</v>
      </c>
      <c r="N10182" t="str">
        <f>"12/15/2016 2:24:00 PM"</f>
        <v>12/15/2016 2:24:00 PM</v>
      </c>
      <c r="O10182" t="s">
        <v>30532</v>
      </c>
      <c r="T10182" t="s">
        <v>30533</v>
      </c>
    </row>
    <row r="10183" spans="1:20" x14ac:dyDescent="0.25">
      <c r="A10183" t="str">
        <f>"3037374"</f>
        <v>3037374</v>
      </c>
      <c r="B10183" t="s">
        <v>30535</v>
      </c>
      <c r="C10183" t="str">
        <f>"8303969"</f>
        <v>8303969</v>
      </c>
      <c r="D10183" t="s">
        <v>30536</v>
      </c>
      <c r="E10183" t="s">
        <v>30537</v>
      </c>
      <c r="F10183" t="s">
        <v>30538</v>
      </c>
      <c r="I10183" t="s">
        <v>184</v>
      </c>
      <c r="J10183" t="s">
        <v>30</v>
      </c>
      <c r="K10183" t="str">
        <f>"27006"</f>
        <v>27006</v>
      </c>
      <c r="M10183" t="s">
        <v>25733</v>
      </c>
      <c r="N10183" t="str">
        <f>"12/19/2016 9:27:00 AM"</f>
        <v>12/19/2016 9:27:00 AM</v>
      </c>
      <c r="O10183" t="s">
        <v>30536</v>
      </c>
      <c r="T10183" t="s">
        <v>30537</v>
      </c>
    </row>
    <row r="10184" spans="1:20" x14ac:dyDescent="0.25">
      <c r="A10184" t="str">
        <f>"3050241"</f>
        <v>3050241</v>
      </c>
      <c r="B10184" t="s">
        <v>30539</v>
      </c>
      <c r="C10184" t="str">
        <f>"8307251"</f>
        <v>8307251</v>
      </c>
      <c r="D10184" t="s">
        <v>30540</v>
      </c>
      <c r="E10184" t="s">
        <v>30541</v>
      </c>
      <c r="F10184" t="s">
        <v>30542</v>
      </c>
      <c r="I10184" t="s">
        <v>29</v>
      </c>
      <c r="J10184" t="s">
        <v>30</v>
      </c>
      <c r="K10184" t="str">
        <f>"27028"</f>
        <v>27028</v>
      </c>
      <c r="M10184" t="s">
        <v>17861</v>
      </c>
      <c r="N10184" t="str">
        <f>"12/19/2016 10:57:00 AM"</f>
        <v>12/19/2016 10:57:00 AM</v>
      </c>
      <c r="O10184" t="s">
        <v>30540</v>
      </c>
      <c r="T10184" t="s">
        <v>30541</v>
      </c>
    </row>
    <row r="10185" spans="1:20" x14ac:dyDescent="0.25">
      <c r="A10185" t="str">
        <f>"3060800"</f>
        <v>3060800</v>
      </c>
      <c r="B10185" t="s">
        <v>30543</v>
      </c>
      <c r="C10185" t="str">
        <f>"8307252"</f>
        <v>8307252</v>
      </c>
      <c r="D10185" t="s">
        <v>30544</v>
      </c>
      <c r="E10185" t="s">
        <v>30545</v>
      </c>
      <c r="F10185" t="s">
        <v>30546</v>
      </c>
      <c r="I10185" t="s">
        <v>2071</v>
      </c>
      <c r="J10185" t="s">
        <v>30</v>
      </c>
      <c r="K10185" t="str">
        <f>"27006"</f>
        <v>27006</v>
      </c>
      <c r="M10185" t="s">
        <v>17861</v>
      </c>
      <c r="N10185" t="str">
        <f>"12/19/2016 10:59:00 AM"</f>
        <v>12/19/2016 10:59:00 AM</v>
      </c>
      <c r="O10185" t="s">
        <v>30544</v>
      </c>
      <c r="T10185" t="s">
        <v>30545</v>
      </c>
    </row>
    <row r="10186" spans="1:20" x14ac:dyDescent="0.25">
      <c r="A10186" t="str">
        <f>"3050612"</f>
        <v>3050612</v>
      </c>
      <c r="B10186" t="s">
        <v>30547</v>
      </c>
      <c r="C10186" t="str">
        <f>"74807400"</f>
        <v>74807400</v>
      </c>
      <c r="D10186" t="s">
        <v>30548</v>
      </c>
      <c r="F10186" t="s">
        <v>30549</v>
      </c>
      <c r="I10186" t="s">
        <v>30550</v>
      </c>
      <c r="J10186" t="s">
        <v>30</v>
      </c>
      <c r="K10186" t="s">
        <v>30551</v>
      </c>
      <c r="M10186" t="s">
        <v>25733</v>
      </c>
      <c r="N10186" t="str">
        <f>"12/9/2016 1:48:00 PM"</f>
        <v>12/9/2016 1:48:00 PM</v>
      </c>
      <c r="O10186" t="s">
        <v>30548</v>
      </c>
    </row>
    <row r="10187" spans="1:20" x14ac:dyDescent="0.25">
      <c r="A10187" t="str">
        <f>"3060905"</f>
        <v>3060905</v>
      </c>
      <c r="B10187" t="s">
        <v>30552</v>
      </c>
      <c r="C10187" t="str">
        <f>"8306648"</f>
        <v>8306648</v>
      </c>
      <c r="D10187" t="s">
        <v>30553</v>
      </c>
      <c r="F10187" t="s">
        <v>30554</v>
      </c>
      <c r="I10187" t="s">
        <v>2071</v>
      </c>
      <c r="J10187" t="s">
        <v>30</v>
      </c>
      <c r="K10187" t="str">
        <f>"27006"</f>
        <v>27006</v>
      </c>
      <c r="M10187" t="s">
        <v>25625</v>
      </c>
      <c r="N10187" t="str">
        <f>"12/12/2016 11:55:00 AM"</f>
        <v>12/12/2016 11:55:00 AM</v>
      </c>
      <c r="O10187" t="s">
        <v>30553</v>
      </c>
    </row>
    <row r="10188" spans="1:20" x14ac:dyDescent="0.25">
      <c r="A10188" t="str">
        <f>"3040941"</f>
        <v>3040941</v>
      </c>
      <c r="B10188" t="s">
        <v>30555</v>
      </c>
      <c r="C10188" t="str">
        <f>"8307256"</f>
        <v>8307256</v>
      </c>
      <c r="D10188" t="s">
        <v>30556</v>
      </c>
      <c r="F10188" t="s">
        <v>30557</v>
      </c>
      <c r="I10188" t="s">
        <v>184</v>
      </c>
      <c r="J10188" t="s">
        <v>30</v>
      </c>
      <c r="K10188" t="str">
        <f>"27006"</f>
        <v>27006</v>
      </c>
      <c r="M10188" t="s">
        <v>17861</v>
      </c>
      <c r="N10188" t="str">
        <f>"12/20/2016 10:55:00 AM"</f>
        <v>12/20/2016 10:55:00 AM</v>
      </c>
      <c r="O10188" t="s">
        <v>30556</v>
      </c>
    </row>
    <row r="10189" spans="1:20" x14ac:dyDescent="0.25">
      <c r="A10189" t="str">
        <f>"3043655"</f>
        <v>3043655</v>
      </c>
      <c r="B10189" t="s">
        <v>30558</v>
      </c>
      <c r="C10189" t="str">
        <f>"82531894"</f>
        <v>82531894</v>
      </c>
      <c r="D10189" t="s">
        <v>30559</v>
      </c>
      <c r="F10189" t="s">
        <v>28211</v>
      </c>
      <c r="I10189" t="s">
        <v>29</v>
      </c>
      <c r="J10189" t="s">
        <v>30</v>
      </c>
      <c r="K10189" t="s">
        <v>31</v>
      </c>
      <c r="M10189" t="s">
        <v>18479</v>
      </c>
      <c r="N10189" t="str">
        <f>"12/20/2016 12:04:00 PM"</f>
        <v>12/20/2016 12:04:00 PM</v>
      </c>
      <c r="O10189" t="s">
        <v>30559</v>
      </c>
    </row>
    <row r="10190" spans="1:20" x14ac:dyDescent="0.25">
      <c r="A10190" t="str">
        <f>"3049420"</f>
        <v>3049420</v>
      </c>
      <c r="B10190" t="s">
        <v>30560</v>
      </c>
      <c r="C10190" t="str">
        <f>"82531894"</f>
        <v>82531894</v>
      </c>
      <c r="D10190" t="s">
        <v>30559</v>
      </c>
      <c r="F10190" t="s">
        <v>28211</v>
      </c>
      <c r="I10190" t="s">
        <v>29</v>
      </c>
      <c r="J10190" t="s">
        <v>30</v>
      </c>
      <c r="K10190" t="s">
        <v>31</v>
      </c>
      <c r="M10190" t="s">
        <v>18479</v>
      </c>
      <c r="N10190" t="str">
        <f>"12/20/2016 12:04:00 PM"</f>
        <v>12/20/2016 12:04:00 PM</v>
      </c>
      <c r="O10190" t="s">
        <v>30559</v>
      </c>
    </row>
    <row r="10191" spans="1:20" x14ac:dyDescent="0.25">
      <c r="A10191" t="str">
        <f>"3062693"</f>
        <v>3062693</v>
      </c>
      <c r="B10191" t="s">
        <v>30561</v>
      </c>
      <c r="C10191" t="str">
        <f>"82531894"</f>
        <v>82531894</v>
      </c>
      <c r="D10191" t="s">
        <v>30559</v>
      </c>
      <c r="F10191" t="s">
        <v>28211</v>
      </c>
      <c r="I10191" t="s">
        <v>29</v>
      </c>
      <c r="J10191" t="s">
        <v>30</v>
      </c>
      <c r="K10191" t="s">
        <v>31</v>
      </c>
      <c r="M10191" t="s">
        <v>18479</v>
      </c>
      <c r="N10191" t="str">
        <f>"12/20/2016 12:04:00 PM"</f>
        <v>12/20/2016 12:04:00 PM</v>
      </c>
      <c r="O10191" t="s">
        <v>30559</v>
      </c>
    </row>
    <row r="10192" spans="1:20" x14ac:dyDescent="0.25">
      <c r="A10192" t="str">
        <f>"3048195"</f>
        <v>3048195</v>
      </c>
      <c r="B10192" t="s">
        <v>30562</v>
      </c>
      <c r="C10192" t="str">
        <f>"8307258"</f>
        <v>8307258</v>
      </c>
      <c r="D10192" t="s">
        <v>30563</v>
      </c>
      <c r="E10192" t="s">
        <v>30564</v>
      </c>
      <c r="F10192" t="s">
        <v>30565</v>
      </c>
      <c r="I10192" t="s">
        <v>29</v>
      </c>
      <c r="J10192" t="s">
        <v>30</v>
      </c>
      <c r="K10192" t="str">
        <f>"27028"</f>
        <v>27028</v>
      </c>
      <c r="M10192" t="s">
        <v>17861</v>
      </c>
      <c r="N10192" t="str">
        <f>"12/21/2016 10:56:00 AM"</f>
        <v>12/21/2016 10:56:00 AM</v>
      </c>
      <c r="O10192" t="s">
        <v>30563</v>
      </c>
      <c r="T10192" t="s">
        <v>30564</v>
      </c>
    </row>
    <row r="10193" spans="1:20" x14ac:dyDescent="0.25">
      <c r="A10193" t="str">
        <f>"3063898"</f>
        <v>3063898</v>
      </c>
      <c r="B10193" t="s">
        <v>30566</v>
      </c>
      <c r="C10193" t="str">
        <f>"8307259"</f>
        <v>8307259</v>
      </c>
      <c r="D10193" t="s">
        <v>30567</v>
      </c>
      <c r="E10193" t="s">
        <v>30568</v>
      </c>
      <c r="F10193" t="s">
        <v>30569</v>
      </c>
      <c r="I10193" t="s">
        <v>184</v>
      </c>
      <c r="J10193" t="s">
        <v>30</v>
      </c>
      <c r="K10193" t="str">
        <f>"27006"</f>
        <v>27006</v>
      </c>
      <c r="M10193" t="s">
        <v>17861</v>
      </c>
      <c r="N10193" t="str">
        <f>"12/21/2016 11:21:00 AM"</f>
        <v>12/21/2016 11:21:00 AM</v>
      </c>
      <c r="O10193" t="s">
        <v>30567</v>
      </c>
      <c r="T10193" t="s">
        <v>30568</v>
      </c>
    </row>
    <row r="10194" spans="1:20" x14ac:dyDescent="0.25">
      <c r="A10194" t="str">
        <f>"3043826"</f>
        <v>3043826</v>
      </c>
      <c r="B10194" t="s">
        <v>30570</v>
      </c>
      <c r="C10194" t="str">
        <f>"8307184"</f>
        <v>8307184</v>
      </c>
      <c r="D10194" t="s">
        <v>30571</v>
      </c>
      <c r="F10194" t="s">
        <v>30572</v>
      </c>
      <c r="I10194" t="s">
        <v>29</v>
      </c>
      <c r="J10194" t="s">
        <v>30</v>
      </c>
      <c r="K10194" t="str">
        <f>"27028"</f>
        <v>27028</v>
      </c>
      <c r="M10194" t="s">
        <v>17861</v>
      </c>
      <c r="N10194" t="str">
        <f>"12/6/2016 10:23:00 AM"</f>
        <v>12/6/2016 10:23:00 AM</v>
      </c>
      <c r="O10194" t="s">
        <v>30571</v>
      </c>
    </row>
    <row r="10195" spans="1:20" x14ac:dyDescent="0.25">
      <c r="A10195" t="str">
        <f>"3053419"</f>
        <v>3053419</v>
      </c>
      <c r="B10195" t="s">
        <v>30573</v>
      </c>
      <c r="C10195" t="str">
        <f>"82531376"</f>
        <v>82531376</v>
      </c>
      <c r="D10195" t="s">
        <v>30574</v>
      </c>
      <c r="F10195" t="s">
        <v>30575</v>
      </c>
      <c r="I10195" t="s">
        <v>29</v>
      </c>
      <c r="J10195" t="s">
        <v>30</v>
      </c>
      <c r="K10195" t="s">
        <v>31</v>
      </c>
      <c r="M10195" t="s">
        <v>26316</v>
      </c>
      <c r="N10195" t="str">
        <f>"12/22/2016 2:09:00 PM"</f>
        <v>12/22/2016 2:09:00 PM</v>
      </c>
      <c r="O10195" t="s">
        <v>30574</v>
      </c>
    </row>
    <row r="10196" spans="1:20" x14ac:dyDescent="0.25">
      <c r="A10196" t="str">
        <f>"3069574"</f>
        <v>3069574</v>
      </c>
      <c r="B10196" t="s">
        <v>30576</v>
      </c>
      <c r="C10196" t="str">
        <f>"82531376"</f>
        <v>82531376</v>
      </c>
      <c r="D10196" t="s">
        <v>30574</v>
      </c>
      <c r="F10196" t="s">
        <v>30575</v>
      </c>
      <c r="I10196" t="s">
        <v>29</v>
      </c>
      <c r="J10196" t="s">
        <v>30</v>
      </c>
      <c r="K10196" t="s">
        <v>31</v>
      </c>
      <c r="M10196" t="s">
        <v>26316</v>
      </c>
      <c r="N10196" t="str">
        <f>"12/22/2016 2:09:00 PM"</f>
        <v>12/22/2016 2:09:00 PM</v>
      </c>
      <c r="O10196" t="s">
        <v>30574</v>
      </c>
    </row>
    <row r="10197" spans="1:20" x14ac:dyDescent="0.25">
      <c r="A10197" t="str">
        <f>"3056713"</f>
        <v>3056713</v>
      </c>
      <c r="B10197" t="s">
        <v>30577</v>
      </c>
      <c r="C10197" t="str">
        <f>"8307267"</f>
        <v>8307267</v>
      </c>
      <c r="D10197" t="s">
        <v>30578</v>
      </c>
      <c r="E10197" t="s">
        <v>30579</v>
      </c>
      <c r="F10197" t="s">
        <v>30580</v>
      </c>
      <c r="I10197" t="s">
        <v>29</v>
      </c>
      <c r="J10197" t="s">
        <v>30</v>
      </c>
      <c r="K10197" t="str">
        <f>"27028"</f>
        <v>27028</v>
      </c>
      <c r="M10197" t="s">
        <v>17861</v>
      </c>
      <c r="N10197" t="str">
        <f>"12/22/2016 3:45:00 PM"</f>
        <v>12/22/2016 3:45:00 PM</v>
      </c>
      <c r="O10197" t="s">
        <v>30578</v>
      </c>
      <c r="T10197" t="s">
        <v>30579</v>
      </c>
    </row>
    <row r="10198" spans="1:20" x14ac:dyDescent="0.25">
      <c r="A10198" t="str">
        <f>"3043144"</f>
        <v>3043144</v>
      </c>
      <c r="B10198" t="s">
        <v>30581</v>
      </c>
      <c r="C10198" t="str">
        <f>"8307184"</f>
        <v>8307184</v>
      </c>
      <c r="D10198" t="s">
        <v>30571</v>
      </c>
      <c r="F10198" t="s">
        <v>30572</v>
      </c>
      <c r="I10198" t="s">
        <v>29</v>
      </c>
      <c r="J10198" t="s">
        <v>30</v>
      </c>
      <c r="K10198" t="str">
        <f>"27028"</f>
        <v>27028</v>
      </c>
      <c r="M10198" t="s">
        <v>17861</v>
      </c>
      <c r="N10198" t="str">
        <f>"12/6/2016 10:23:00 AM"</f>
        <v>12/6/2016 10:23:00 AM</v>
      </c>
      <c r="O10198" t="s">
        <v>30571</v>
      </c>
    </row>
    <row r="10199" spans="1:20" x14ac:dyDescent="0.25">
      <c r="A10199" t="str">
        <f>"3043108"</f>
        <v>3043108</v>
      </c>
      <c r="B10199" t="s">
        <v>30582</v>
      </c>
      <c r="C10199" t="str">
        <f>"8307184"</f>
        <v>8307184</v>
      </c>
      <c r="D10199" t="s">
        <v>30571</v>
      </c>
      <c r="F10199" t="s">
        <v>30572</v>
      </c>
      <c r="I10199" t="s">
        <v>29</v>
      </c>
      <c r="J10199" t="s">
        <v>30</v>
      </c>
      <c r="K10199" t="str">
        <f>"27028"</f>
        <v>27028</v>
      </c>
      <c r="M10199" t="s">
        <v>17861</v>
      </c>
      <c r="N10199" t="str">
        <f>"12/6/2016 10:23:00 AM"</f>
        <v>12/6/2016 10:23:00 AM</v>
      </c>
      <c r="O10199" t="s">
        <v>30571</v>
      </c>
    </row>
    <row r="10200" spans="1:20" x14ac:dyDescent="0.25">
      <c r="A10200" t="str">
        <f>"3046092"</f>
        <v>3046092</v>
      </c>
      <c r="B10200" t="s">
        <v>30583</v>
      </c>
      <c r="C10200" t="str">
        <f>"8307187"</f>
        <v>8307187</v>
      </c>
      <c r="D10200" t="s">
        <v>30584</v>
      </c>
      <c r="E10200" t="s">
        <v>30585</v>
      </c>
      <c r="F10200" t="s">
        <v>30586</v>
      </c>
      <c r="I10200" t="s">
        <v>29</v>
      </c>
      <c r="J10200" t="s">
        <v>30</v>
      </c>
      <c r="K10200" t="str">
        <f>"27028"</f>
        <v>27028</v>
      </c>
      <c r="M10200" t="s">
        <v>17861</v>
      </c>
      <c r="N10200" t="str">
        <f>"12/6/2016 12:33:00 PM"</f>
        <v>12/6/2016 12:33:00 PM</v>
      </c>
      <c r="O10200" t="s">
        <v>30584</v>
      </c>
      <c r="T10200" t="s">
        <v>30585</v>
      </c>
    </row>
    <row r="10201" spans="1:20" x14ac:dyDescent="0.25">
      <c r="A10201" t="str">
        <f>"3049239"</f>
        <v>3049239</v>
      </c>
      <c r="B10201" t="s">
        <v>30587</v>
      </c>
      <c r="C10201" t="str">
        <f>"8307149"</f>
        <v>8307149</v>
      </c>
      <c r="D10201" t="s">
        <v>30588</v>
      </c>
      <c r="E10201" t="s">
        <v>30589</v>
      </c>
      <c r="F10201" t="s">
        <v>30590</v>
      </c>
      <c r="I10201" t="s">
        <v>184</v>
      </c>
      <c r="J10201" t="s">
        <v>30</v>
      </c>
      <c r="K10201" t="str">
        <f>"27006"</f>
        <v>27006</v>
      </c>
      <c r="M10201" t="s">
        <v>17861</v>
      </c>
      <c r="N10201" t="str">
        <f>"11/28/2016 3:22:00 PM"</f>
        <v>11/28/2016 3:22:00 PM</v>
      </c>
      <c r="O10201" t="s">
        <v>30588</v>
      </c>
      <c r="T10201" t="s">
        <v>30589</v>
      </c>
    </row>
    <row r="10202" spans="1:20" x14ac:dyDescent="0.25">
      <c r="A10202" t="str">
        <f>"3039687"</f>
        <v>3039687</v>
      </c>
      <c r="B10202" t="s">
        <v>30591</v>
      </c>
      <c r="C10202" t="str">
        <f>"8307188"</f>
        <v>8307188</v>
      </c>
      <c r="D10202" t="s">
        <v>30592</v>
      </c>
      <c r="E10202" t="s">
        <v>30593</v>
      </c>
      <c r="F10202" t="s">
        <v>30594</v>
      </c>
      <c r="I10202" t="s">
        <v>29</v>
      </c>
      <c r="J10202" t="s">
        <v>30</v>
      </c>
      <c r="K10202" t="str">
        <f>"27028"</f>
        <v>27028</v>
      </c>
      <c r="M10202" t="s">
        <v>17861</v>
      </c>
      <c r="N10202" t="str">
        <f>"12/6/2016 1:03:00 PM"</f>
        <v>12/6/2016 1:03:00 PM</v>
      </c>
      <c r="O10202" t="s">
        <v>30592</v>
      </c>
      <c r="T10202" t="s">
        <v>30593</v>
      </c>
    </row>
    <row r="10203" spans="1:20" x14ac:dyDescent="0.25">
      <c r="A10203" t="str">
        <f>"3071226"</f>
        <v>3071226</v>
      </c>
      <c r="B10203" t="s">
        <v>30595</v>
      </c>
      <c r="C10203" t="str">
        <f>"8307152"</f>
        <v>8307152</v>
      </c>
      <c r="D10203" t="s">
        <v>30470</v>
      </c>
      <c r="E10203" t="s">
        <v>30471</v>
      </c>
      <c r="F10203" t="s">
        <v>23254</v>
      </c>
      <c r="I10203" t="s">
        <v>49</v>
      </c>
      <c r="J10203" t="s">
        <v>30</v>
      </c>
      <c r="K10203" t="str">
        <f>"27055"</f>
        <v>27055</v>
      </c>
      <c r="M10203" t="s">
        <v>17861</v>
      </c>
      <c r="N10203" t="str">
        <f>"11/28/2016 3:43:00 PM"</f>
        <v>11/28/2016 3:43:00 PM</v>
      </c>
      <c r="O10203" t="s">
        <v>30470</v>
      </c>
      <c r="T10203" t="s">
        <v>30471</v>
      </c>
    </row>
    <row r="10204" spans="1:20" x14ac:dyDescent="0.25">
      <c r="A10204" t="str">
        <f>"3070420"</f>
        <v>3070420</v>
      </c>
      <c r="B10204" t="s">
        <v>30596</v>
      </c>
      <c r="C10204" t="str">
        <f>"8307213"</f>
        <v>8307213</v>
      </c>
      <c r="D10204" t="s">
        <v>30597</v>
      </c>
      <c r="F10204" t="s">
        <v>3060</v>
      </c>
      <c r="I10204" t="s">
        <v>184</v>
      </c>
      <c r="J10204" t="s">
        <v>30</v>
      </c>
      <c r="K10204" t="str">
        <f>"27006"</f>
        <v>27006</v>
      </c>
      <c r="M10204" t="s">
        <v>17861</v>
      </c>
      <c r="N10204" t="str">
        <f>"12/13/2016 10:58:00 AM"</f>
        <v>12/13/2016 10:58:00 AM</v>
      </c>
      <c r="O10204" t="s">
        <v>30597</v>
      </c>
    </row>
    <row r="10205" spans="1:20" x14ac:dyDescent="0.25">
      <c r="A10205" t="str">
        <f>"3077728"</f>
        <v>3077728</v>
      </c>
      <c r="B10205" t="s">
        <v>30598</v>
      </c>
      <c r="C10205" t="str">
        <f>"24452000"</f>
        <v>24452000</v>
      </c>
      <c r="D10205" t="s">
        <v>30599</v>
      </c>
      <c r="F10205" t="s">
        <v>30600</v>
      </c>
      <c r="I10205" t="s">
        <v>29</v>
      </c>
      <c r="J10205" t="s">
        <v>30</v>
      </c>
      <c r="K10205" t="s">
        <v>31</v>
      </c>
      <c r="M10205" t="s">
        <v>25733</v>
      </c>
      <c r="N10205" t="str">
        <f>"12/28/2016 2:51:00 PM"</f>
        <v>12/28/2016 2:51:00 PM</v>
      </c>
      <c r="O10205" t="s">
        <v>30599</v>
      </c>
    </row>
    <row r="10206" spans="1:20" x14ac:dyDescent="0.25">
      <c r="A10206" t="str">
        <f>"3077726"</f>
        <v>3077726</v>
      </c>
      <c r="B10206" t="s">
        <v>30601</v>
      </c>
      <c r="C10206" t="str">
        <f>"24452000"</f>
        <v>24452000</v>
      </c>
      <c r="D10206" t="s">
        <v>30599</v>
      </c>
      <c r="F10206" t="s">
        <v>30600</v>
      </c>
      <c r="I10206" t="s">
        <v>29</v>
      </c>
      <c r="J10206" t="s">
        <v>30</v>
      </c>
      <c r="K10206" t="s">
        <v>31</v>
      </c>
      <c r="M10206" t="s">
        <v>25733</v>
      </c>
      <c r="N10206" t="str">
        <f>"12/28/2016 2:51:00 PM"</f>
        <v>12/28/2016 2:51:00 PM</v>
      </c>
      <c r="O10206" t="s">
        <v>30599</v>
      </c>
    </row>
    <row r="10207" spans="1:20" x14ac:dyDescent="0.25">
      <c r="A10207" t="str">
        <f>"3067911"</f>
        <v>3067911</v>
      </c>
      <c r="B10207" t="s">
        <v>30602</v>
      </c>
      <c r="C10207" t="str">
        <f>"8307215"</f>
        <v>8307215</v>
      </c>
      <c r="D10207" t="s">
        <v>30482</v>
      </c>
      <c r="F10207" t="s">
        <v>30483</v>
      </c>
      <c r="I10207" t="s">
        <v>184</v>
      </c>
      <c r="J10207" t="s">
        <v>30</v>
      </c>
      <c r="K10207" t="str">
        <f>"27006"</f>
        <v>27006</v>
      </c>
      <c r="M10207" t="s">
        <v>17861</v>
      </c>
      <c r="N10207" t="str">
        <f>"12/13/2016 3:36:00 PM"</f>
        <v>12/13/2016 3:36:00 PM</v>
      </c>
      <c r="O10207" t="s">
        <v>30482</v>
      </c>
    </row>
    <row r="10208" spans="1:20" x14ac:dyDescent="0.25">
      <c r="A10208" t="str">
        <f>"3048996"</f>
        <v>3048996</v>
      </c>
      <c r="B10208" t="s">
        <v>30603</v>
      </c>
      <c r="C10208" t="str">
        <f>"8307220"</f>
        <v>8307220</v>
      </c>
      <c r="D10208" t="s">
        <v>30604</v>
      </c>
      <c r="F10208" t="s">
        <v>11178</v>
      </c>
      <c r="I10208" t="s">
        <v>29</v>
      </c>
      <c r="J10208" t="s">
        <v>30</v>
      </c>
      <c r="K10208" t="str">
        <f>"27028"</f>
        <v>27028</v>
      </c>
      <c r="M10208" t="s">
        <v>17861</v>
      </c>
      <c r="N10208" t="str">
        <f>"12/14/2016 4:27:00 PM"</f>
        <v>12/14/2016 4:27:00 PM</v>
      </c>
      <c r="O10208" t="s">
        <v>30604</v>
      </c>
    </row>
    <row r="10209" spans="1:20" x14ac:dyDescent="0.25">
      <c r="A10209" t="str">
        <f>"3037216"</f>
        <v>3037216</v>
      </c>
      <c r="B10209" t="s">
        <v>30605</v>
      </c>
      <c r="C10209" t="str">
        <f>"8307225"</f>
        <v>8307225</v>
      </c>
      <c r="D10209" t="s">
        <v>30498</v>
      </c>
      <c r="E10209" t="s">
        <v>30499</v>
      </c>
      <c r="F10209" t="s">
        <v>30500</v>
      </c>
      <c r="I10209" t="s">
        <v>184</v>
      </c>
      <c r="J10209" t="s">
        <v>30</v>
      </c>
      <c r="K10209" t="str">
        <f>"27006"</f>
        <v>27006</v>
      </c>
      <c r="M10209" t="s">
        <v>17861</v>
      </c>
      <c r="N10209" t="str">
        <f>"12/15/2016 8:21:00 AM"</f>
        <v>12/15/2016 8:21:00 AM</v>
      </c>
      <c r="O10209" t="s">
        <v>30498</v>
      </c>
      <c r="T10209" t="s">
        <v>30499</v>
      </c>
    </row>
    <row r="10210" spans="1:20" x14ac:dyDescent="0.25">
      <c r="A10210" t="str">
        <f>"3052007"</f>
        <v>3052007</v>
      </c>
      <c r="B10210" t="s">
        <v>30606</v>
      </c>
      <c r="C10210" t="str">
        <f>"8307238"</f>
        <v>8307238</v>
      </c>
      <c r="D10210" t="s">
        <v>30607</v>
      </c>
      <c r="F10210" t="s">
        <v>30608</v>
      </c>
      <c r="I10210" t="s">
        <v>29</v>
      </c>
      <c r="J10210" t="s">
        <v>30</v>
      </c>
      <c r="K10210" t="str">
        <f>"27028"</f>
        <v>27028</v>
      </c>
      <c r="M10210" t="s">
        <v>17861</v>
      </c>
      <c r="N10210" t="str">
        <f>"12/15/2016 11:04:00 AM"</f>
        <v>12/15/2016 11:04:00 AM</v>
      </c>
      <c r="O10210" t="s">
        <v>30607</v>
      </c>
    </row>
    <row r="10211" spans="1:20" x14ac:dyDescent="0.25">
      <c r="A10211" t="str">
        <f>"3044817"</f>
        <v>3044817</v>
      </c>
      <c r="B10211" t="s">
        <v>30609</v>
      </c>
      <c r="C10211" t="str">
        <f>"8307277"</f>
        <v>8307277</v>
      </c>
      <c r="D10211" t="s">
        <v>30610</v>
      </c>
      <c r="F10211" t="s">
        <v>30611</v>
      </c>
      <c r="I10211" t="s">
        <v>2071</v>
      </c>
      <c r="J10211" t="s">
        <v>30</v>
      </c>
      <c r="K10211" t="str">
        <f>"27006"</f>
        <v>27006</v>
      </c>
      <c r="M10211" t="s">
        <v>17861</v>
      </c>
      <c r="N10211" t="str">
        <f>"12/29/2016 4:28:00 PM"</f>
        <v>12/29/2016 4:28:00 PM</v>
      </c>
      <c r="O10211" t="s">
        <v>30610</v>
      </c>
    </row>
    <row r="10212" spans="1:20" x14ac:dyDescent="0.25">
      <c r="A10212" t="str">
        <f>"3041654"</f>
        <v>3041654</v>
      </c>
      <c r="B10212" t="s">
        <v>30612</v>
      </c>
      <c r="C10212" t="str">
        <f>"8307280"</f>
        <v>8307280</v>
      </c>
      <c r="D10212" t="s">
        <v>30613</v>
      </c>
      <c r="E10212" t="s">
        <v>30614</v>
      </c>
      <c r="F10212" t="s">
        <v>30615</v>
      </c>
      <c r="I10212" t="s">
        <v>2071</v>
      </c>
      <c r="J10212" t="s">
        <v>30</v>
      </c>
      <c r="K10212" t="str">
        <f>"27006"</f>
        <v>27006</v>
      </c>
      <c r="M10212" t="s">
        <v>17861</v>
      </c>
      <c r="N10212" t="str">
        <f>"12/29/2016 4:44:00 PM"</f>
        <v>12/29/2016 4:44:00 PM</v>
      </c>
      <c r="O10212" t="s">
        <v>30613</v>
      </c>
      <c r="T10212" t="s">
        <v>30614</v>
      </c>
    </row>
    <row r="10213" spans="1:20" x14ac:dyDescent="0.25">
      <c r="A10213" t="str">
        <f>"3043096"</f>
        <v>3043096</v>
      </c>
      <c r="B10213" t="s">
        <v>30616</v>
      </c>
      <c r="C10213" t="str">
        <f>"8307239"</f>
        <v>8307239</v>
      </c>
      <c r="D10213" t="str">
        <f>"CHILES ALAN/CHERIE REV LIV TR"</f>
        <v>CHILES ALAN/CHERIE REV LIV TR</v>
      </c>
      <c r="E10213" t="s">
        <v>30617</v>
      </c>
      <c r="F10213" t="s">
        <v>30618</v>
      </c>
      <c r="I10213" t="s">
        <v>29</v>
      </c>
      <c r="J10213" t="s">
        <v>30</v>
      </c>
      <c r="K10213" t="str">
        <f>"27028"</f>
        <v>27028</v>
      </c>
      <c r="M10213" t="s">
        <v>17861</v>
      </c>
      <c r="N10213" t="str">
        <f>"12/15/2016 12:59:00 PM"</f>
        <v>12/15/2016 12:59:00 PM</v>
      </c>
      <c r="O10213" t="str">
        <f>"CHILES ALAN/CHERIE REV LIV TR"</f>
        <v>CHILES ALAN/CHERIE REV LIV TR</v>
      </c>
      <c r="T10213" t="s">
        <v>30617</v>
      </c>
    </row>
    <row r="10214" spans="1:20" x14ac:dyDescent="0.25">
      <c r="A10214" t="str">
        <f>"3043540"</f>
        <v>3043540</v>
      </c>
      <c r="B10214" t="s">
        <v>30619</v>
      </c>
      <c r="C10214" t="str">
        <f>"8307239"</f>
        <v>8307239</v>
      </c>
      <c r="D10214" t="str">
        <f>"CHILES ALAN/CHERIE REV LIV TR"</f>
        <v>CHILES ALAN/CHERIE REV LIV TR</v>
      </c>
      <c r="E10214" t="s">
        <v>30617</v>
      </c>
      <c r="F10214" t="s">
        <v>30618</v>
      </c>
      <c r="I10214" t="s">
        <v>29</v>
      </c>
      <c r="J10214" t="s">
        <v>30</v>
      </c>
      <c r="K10214" t="str">
        <f>"27028"</f>
        <v>27028</v>
      </c>
      <c r="M10214" t="s">
        <v>17861</v>
      </c>
      <c r="N10214" t="str">
        <f>"12/15/2016 12:59:00 PM"</f>
        <v>12/15/2016 12:59:00 PM</v>
      </c>
      <c r="O10214" t="str">
        <f>"CHILES ALAN/CHERIE REV LIV TR"</f>
        <v>CHILES ALAN/CHERIE REV LIV TR</v>
      </c>
      <c r="T10214" t="s">
        <v>30617</v>
      </c>
    </row>
    <row r="10215" spans="1:20" x14ac:dyDescent="0.25">
      <c r="A10215" t="str">
        <f>"3048729"</f>
        <v>3048729</v>
      </c>
      <c r="B10215" t="s">
        <v>30620</v>
      </c>
      <c r="C10215" t="str">
        <f>"8307253"</f>
        <v>8307253</v>
      </c>
      <c r="D10215" t="s">
        <v>27566</v>
      </c>
      <c r="F10215" t="s">
        <v>30621</v>
      </c>
      <c r="I10215" t="s">
        <v>29</v>
      </c>
      <c r="J10215" t="s">
        <v>30</v>
      </c>
      <c r="K10215" t="str">
        <f>"27028"</f>
        <v>27028</v>
      </c>
      <c r="M10215" t="s">
        <v>17861</v>
      </c>
      <c r="N10215" t="str">
        <f>"12/19/2016 11:03:00 AM"</f>
        <v>12/19/2016 11:03:00 AM</v>
      </c>
      <c r="O10215" t="s">
        <v>27566</v>
      </c>
    </row>
    <row r="10216" spans="1:20" x14ac:dyDescent="0.25">
      <c r="A10216" t="str">
        <f>"3062449"</f>
        <v>3062449</v>
      </c>
      <c r="B10216" t="s">
        <v>30622</v>
      </c>
      <c r="C10216" t="str">
        <f>"8307254"</f>
        <v>8307254</v>
      </c>
      <c r="D10216" t="s">
        <v>30623</v>
      </c>
      <c r="F10216" t="s">
        <v>30624</v>
      </c>
      <c r="I10216" t="s">
        <v>2071</v>
      </c>
      <c r="J10216" t="s">
        <v>30</v>
      </c>
      <c r="K10216" t="str">
        <f>"27006"</f>
        <v>27006</v>
      </c>
      <c r="M10216" t="s">
        <v>17861</v>
      </c>
      <c r="N10216" t="str">
        <f>"12/19/2016 12:45:00 PM"</f>
        <v>12/19/2016 12:45:00 PM</v>
      </c>
      <c r="O10216" t="s">
        <v>30623</v>
      </c>
    </row>
    <row r="10217" spans="1:20" x14ac:dyDescent="0.25">
      <c r="A10217" t="str">
        <f>"3053224"</f>
        <v>3053224</v>
      </c>
      <c r="B10217" t="s">
        <v>30625</v>
      </c>
      <c r="C10217" t="str">
        <f>"8307163"</f>
        <v>8307163</v>
      </c>
      <c r="D10217" t="s">
        <v>30626</v>
      </c>
      <c r="F10217" t="s">
        <v>30627</v>
      </c>
      <c r="I10217" t="s">
        <v>29</v>
      </c>
      <c r="J10217" t="s">
        <v>30</v>
      </c>
      <c r="K10217" t="str">
        <f>"27028"</f>
        <v>27028</v>
      </c>
      <c r="M10217" t="s">
        <v>17861</v>
      </c>
      <c r="N10217" t="str">
        <f>"12/2/2016 3:51:00 PM"</f>
        <v>12/2/2016 3:51:00 PM</v>
      </c>
      <c r="O10217" t="s">
        <v>30626</v>
      </c>
    </row>
    <row r="10218" spans="1:20" x14ac:dyDescent="0.25">
      <c r="A10218" t="str">
        <f>"3044819"</f>
        <v>3044819</v>
      </c>
      <c r="B10218" t="s">
        <v>30628</v>
      </c>
      <c r="C10218" t="str">
        <f>"8307290"</f>
        <v>8307290</v>
      </c>
      <c r="D10218" t="s">
        <v>30629</v>
      </c>
      <c r="E10218" t="s">
        <v>30630</v>
      </c>
      <c r="F10218" t="s">
        <v>30631</v>
      </c>
      <c r="I10218" t="s">
        <v>184</v>
      </c>
      <c r="J10218" t="s">
        <v>30</v>
      </c>
      <c r="K10218" t="str">
        <f>"27006"</f>
        <v>27006</v>
      </c>
      <c r="M10218" t="s">
        <v>17861</v>
      </c>
      <c r="N10218" t="str">
        <f>"12/30/2016 10:46:00 AM"</f>
        <v>12/30/2016 10:46:00 AM</v>
      </c>
      <c r="O10218" t="s">
        <v>30629</v>
      </c>
      <c r="T10218" t="s">
        <v>30630</v>
      </c>
    </row>
    <row r="10219" spans="1:20" x14ac:dyDescent="0.25">
      <c r="A10219" t="str">
        <f>"3074508"</f>
        <v>3074508</v>
      </c>
      <c r="B10219" t="s">
        <v>30632</v>
      </c>
      <c r="C10219" t="str">
        <f>"8307292"</f>
        <v>8307292</v>
      </c>
      <c r="D10219" t="s">
        <v>30633</v>
      </c>
      <c r="E10219" t="s">
        <v>30634</v>
      </c>
      <c r="F10219" t="s">
        <v>30635</v>
      </c>
      <c r="I10219" t="s">
        <v>29</v>
      </c>
      <c r="J10219" t="s">
        <v>30</v>
      </c>
      <c r="K10219" t="str">
        <f>"27028"</f>
        <v>27028</v>
      </c>
      <c r="M10219" t="s">
        <v>17861</v>
      </c>
      <c r="N10219" t="str">
        <f>"12/30/2016 11:09:00 AM"</f>
        <v>12/30/2016 11:09:00 AM</v>
      </c>
      <c r="O10219" t="s">
        <v>30633</v>
      </c>
      <c r="T10219" t="s">
        <v>30634</v>
      </c>
    </row>
    <row r="10220" spans="1:20" x14ac:dyDescent="0.25">
      <c r="A10220" t="str">
        <f>"3053513"</f>
        <v>3053513</v>
      </c>
      <c r="B10220" t="s">
        <v>30636</v>
      </c>
      <c r="C10220" t="str">
        <f>"8307164"</f>
        <v>8307164</v>
      </c>
      <c r="D10220" t="s">
        <v>30637</v>
      </c>
      <c r="E10220" t="s">
        <v>30638</v>
      </c>
      <c r="F10220" t="s">
        <v>30627</v>
      </c>
      <c r="I10220" t="s">
        <v>29</v>
      </c>
      <c r="J10220" t="s">
        <v>30</v>
      </c>
      <c r="K10220" t="str">
        <f>"27028"</f>
        <v>27028</v>
      </c>
      <c r="M10220" t="s">
        <v>17861</v>
      </c>
      <c r="N10220" t="str">
        <f>"12/2/2016 4:02:00 PM"</f>
        <v>12/2/2016 4:02:00 PM</v>
      </c>
      <c r="O10220" t="s">
        <v>30637</v>
      </c>
      <c r="T10220" t="s">
        <v>30638</v>
      </c>
    </row>
    <row r="10221" spans="1:20" x14ac:dyDescent="0.25">
      <c r="A10221" t="str">
        <f>"3037318"</f>
        <v>3037318</v>
      </c>
      <c r="B10221" t="s">
        <v>30639</v>
      </c>
      <c r="C10221" t="str">
        <f>"8307167"</f>
        <v>8307167</v>
      </c>
      <c r="D10221" t="s">
        <v>30640</v>
      </c>
      <c r="E10221" t="s">
        <v>30641</v>
      </c>
      <c r="F10221" t="s">
        <v>30642</v>
      </c>
      <c r="I10221" t="s">
        <v>184</v>
      </c>
      <c r="J10221" t="s">
        <v>30</v>
      </c>
      <c r="K10221" t="str">
        <f>"27006"</f>
        <v>27006</v>
      </c>
      <c r="M10221" t="s">
        <v>17861</v>
      </c>
      <c r="N10221" t="str">
        <f>"12/5/2016 1:36:00 PM"</f>
        <v>12/5/2016 1:36:00 PM</v>
      </c>
      <c r="O10221" t="s">
        <v>30640</v>
      </c>
      <c r="T10221" t="s">
        <v>30641</v>
      </c>
    </row>
    <row r="10222" spans="1:20" x14ac:dyDescent="0.25">
      <c r="A10222" t="str">
        <f>"3049773"</f>
        <v>3049773</v>
      </c>
      <c r="B10222" t="s">
        <v>30643</v>
      </c>
      <c r="C10222" t="str">
        <f>"8307304"</f>
        <v>8307304</v>
      </c>
      <c r="D10222" t="s">
        <v>30644</v>
      </c>
      <c r="F10222" t="s">
        <v>30645</v>
      </c>
      <c r="I10222" t="s">
        <v>29</v>
      </c>
      <c r="J10222" t="s">
        <v>30</v>
      </c>
      <c r="K10222" t="str">
        <f>"27028"</f>
        <v>27028</v>
      </c>
      <c r="M10222" t="s">
        <v>17861</v>
      </c>
      <c r="N10222" t="str">
        <f>"12/30/2016 3:26:00 PM"</f>
        <v>12/30/2016 3:26:00 PM</v>
      </c>
      <c r="O10222" t="s">
        <v>30644</v>
      </c>
    </row>
    <row r="10223" spans="1:20" x14ac:dyDescent="0.25">
      <c r="A10223" t="str">
        <f>"3044369"</f>
        <v>3044369</v>
      </c>
      <c r="B10223" t="s">
        <v>30646</v>
      </c>
      <c r="C10223" t="str">
        <f>"8307306"</f>
        <v>8307306</v>
      </c>
      <c r="D10223" t="s">
        <v>30647</v>
      </c>
      <c r="E10223" t="s">
        <v>30648</v>
      </c>
      <c r="F10223" t="s">
        <v>30649</v>
      </c>
      <c r="I10223" t="s">
        <v>184</v>
      </c>
      <c r="J10223" t="s">
        <v>30</v>
      </c>
      <c r="K10223" t="str">
        <f>"27006"</f>
        <v>27006</v>
      </c>
      <c r="M10223" t="s">
        <v>17861</v>
      </c>
      <c r="N10223" t="str">
        <f>"12/30/2016 3:35:00 PM"</f>
        <v>12/30/2016 3:35:00 PM</v>
      </c>
      <c r="O10223" t="s">
        <v>30647</v>
      </c>
      <c r="T10223" t="s">
        <v>30648</v>
      </c>
    </row>
    <row r="10224" spans="1:20" x14ac:dyDescent="0.25">
      <c r="A10224" t="str">
        <f>"3062193"</f>
        <v>3062193</v>
      </c>
      <c r="B10224" t="s">
        <v>30650</v>
      </c>
      <c r="C10224" t="str">
        <f>"8307308"</f>
        <v>8307308</v>
      </c>
      <c r="D10224" t="s">
        <v>30651</v>
      </c>
      <c r="E10224" t="s">
        <v>30652</v>
      </c>
      <c r="F10224" t="s">
        <v>30653</v>
      </c>
      <c r="I10224" t="s">
        <v>29</v>
      </c>
      <c r="J10224" t="s">
        <v>30</v>
      </c>
      <c r="K10224" t="str">
        <f>"27028"</f>
        <v>27028</v>
      </c>
      <c r="M10224" t="s">
        <v>17861</v>
      </c>
      <c r="N10224" t="str">
        <f>"12/30/2016 3:42:00 PM"</f>
        <v>12/30/2016 3:42:00 PM</v>
      </c>
      <c r="O10224" t="s">
        <v>30651</v>
      </c>
      <c r="T10224" t="s">
        <v>30652</v>
      </c>
    </row>
    <row r="10225" spans="1:20" x14ac:dyDescent="0.25">
      <c r="A10225" t="str">
        <f>"3059896"</f>
        <v>3059896</v>
      </c>
      <c r="B10225" t="s">
        <v>30654</v>
      </c>
      <c r="C10225" t="str">
        <f>"8307171"</f>
        <v>8307171</v>
      </c>
      <c r="D10225" t="s">
        <v>30655</v>
      </c>
      <c r="F10225" t="s">
        <v>30656</v>
      </c>
      <c r="I10225" t="s">
        <v>29</v>
      </c>
      <c r="J10225" t="s">
        <v>30</v>
      </c>
      <c r="K10225" t="str">
        <f>"27028"</f>
        <v>27028</v>
      </c>
      <c r="M10225" t="s">
        <v>17861</v>
      </c>
      <c r="N10225" t="str">
        <f>"12/5/2016 4:09:00 PM"</f>
        <v>12/5/2016 4:09:00 PM</v>
      </c>
      <c r="O10225" t="s">
        <v>30655</v>
      </c>
    </row>
    <row r="10226" spans="1:20" x14ac:dyDescent="0.25">
      <c r="A10226" t="str">
        <f>"3052785"</f>
        <v>3052785</v>
      </c>
      <c r="B10226" t="s">
        <v>30657</v>
      </c>
      <c r="C10226" t="str">
        <f>"8307314"</f>
        <v>8307314</v>
      </c>
      <c r="D10226" t="s">
        <v>30658</v>
      </c>
      <c r="E10226" t="s">
        <v>30659</v>
      </c>
      <c r="F10226" t="s">
        <v>30660</v>
      </c>
      <c r="I10226" t="s">
        <v>29</v>
      </c>
      <c r="J10226" t="s">
        <v>30</v>
      </c>
      <c r="K10226" t="str">
        <f>"27028"</f>
        <v>27028</v>
      </c>
      <c r="M10226" t="s">
        <v>17861</v>
      </c>
      <c r="N10226" t="str">
        <f>"12/30/2016 4:17:00 PM"</f>
        <v>12/30/2016 4:17:00 PM</v>
      </c>
      <c r="O10226" t="s">
        <v>30658</v>
      </c>
      <c r="T10226" t="s">
        <v>30659</v>
      </c>
    </row>
    <row r="10227" spans="1:20" x14ac:dyDescent="0.25">
      <c r="A10227" t="str">
        <f>"3040246"</f>
        <v>3040246</v>
      </c>
      <c r="B10227" t="s">
        <v>30661</v>
      </c>
      <c r="C10227" t="str">
        <f>"8307315"</f>
        <v>8307315</v>
      </c>
      <c r="D10227" t="s">
        <v>30662</v>
      </c>
      <c r="F10227" t="s">
        <v>29219</v>
      </c>
      <c r="I10227" t="s">
        <v>29220</v>
      </c>
      <c r="J10227" t="s">
        <v>30</v>
      </c>
      <c r="K10227" t="str">
        <f>"28480"</f>
        <v>28480</v>
      </c>
      <c r="M10227" t="s">
        <v>17861</v>
      </c>
      <c r="N10227" t="str">
        <f>"12/30/2016 4:39:00 PM"</f>
        <v>12/30/2016 4:39:00 PM</v>
      </c>
      <c r="O10227" t="s">
        <v>30662</v>
      </c>
    </row>
    <row r="10228" spans="1:20" x14ac:dyDescent="0.25">
      <c r="A10228" t="str">
        <f>"3063849"</f>
        <v>3063849</v>
      </c>
      <c r="B10228" t="s">
        <v>30663</v>
      </c>
      <c r="C10228" t="str">
        <f>"8304976"</f>
        <v>8304976</v>
      </c>
      <c r="D10228" t="s">
        <v>30664</v>
      </c>
      <c r="E10228" t="s">
        <v>18382</v>
      </c>
      <c r="F10228" t="s">
        <v>30665</v>
      </c>
      <c r="I10228" t="s">
        <v>184</v>
      </c>
      <c r="J10228" t="s">
        <v>30</v>
      </c>
      <c r="K10228" t="str">
        <f>"27006"</f>
        <v>27006</v>
      </c>
      <c r="M10228" t="s">
        <v>17861</v>
      </c>
      <c r="N10228" t="str">
        <f>"1/3/2017 2:00:00 PM"</f>
        <v>1/3/2017 2:00:00 PM</v>
      </c>
      <c r="O10228" t="s">
        <v>30664</v>
      </c>
      <c r="T10228" t="s">
        <v>18382</v>
      </c>
    </row>
    <row r="10229" spans="1:20" x14ac:dyDescent="0.25">
      <c r="A10229" t="str">
        <f>"3052678"</f>
        <v>3052678</v>
      </c>
      <c r="B10229" t="s">
        <v>30666</v>
      </c>
      <c r="C10229" t="str">
        <f>"8307175"</f>
        <v>8307175</v>
      </c>
      <c r="D10229" t="s">
        <v>30667</v>
      </c>
      <c r="F10229" t="s">
        <v>30668</v>
      </c>
      <c r="I10229" t="s">
        <v>29</v>
      </c>
      <c r="J10229" t="s">
        <v>30</v>
      </c>
      <c r="K10229" t="str">
        <f>"27028"</f>
        <v>27028</v>
      </c>
      <c r="M10229" t="s">
        <v>17861</v>
      </c>
      <c r="N10229" t="str">
        <f>"12/5/2016 4:31:00 PM"</f>
        <v>12/5/2016 4:31:00 PM</v>
      </c>
      <c r="O10229" t="s">
        <v>30667</v>
      </c>
    </row>
    <row r="10230" spans="1:20" x14ac:dyDescent="0.25">
      <c r="A10230" t="str">
        <f>"3070171"</f>
        <v>3070171</v>
      </c>
      <c r="B10230" t="s">
        <v>30669</v>
      </c>
      <c r="C10230" t="str">
        <f>"82515040"</f>
        <v>82515040</v>
      </c>
      <c r="D10230" t="s">
        <v>30670</v>
      </c>
      <c r="E10230" t="s">
        <v>30671</v>
      </c>
      <c r="F10230" t="s">
        <v>30672</v>
      </c>
      <c r="I10230" t="s">
        <v>2275</v>
      </c>
      <c r="J10230" t="s">
        <v>30</v>
      </c>
      <c r="K10230" t="s">
        <v>2276</v>
      </c>
      <c r="M10230" t="s">
        <v>18479</v>
      </c>
      <c r="N10230" t="str">
        <f>"1/4/2017 11:56:00 AM"</f>
        <v>1/4/2017 11:56:00 AM</v>
      </c>
      <c r="O10230" t="s">
        <v>30670</v>
      </c>
      <c r="T10230" t="s">
        <v>30671</v>
      </c>
    </row>
    <row r="10231" spans="1:20" x14ac:dyDescent="0.25">
      <c r="A10231" t="str">
        <f>"3042350"</f>
        <v>3042350</v>
      </c>
      <c r="B10231" t="s">
        <v>30673</v>
      </c>
      <c r="C10231" t="str">
        <f>"8307177"</f>
        <v>8307177</v>
      </c>
      <c r="D10231" t="s">
        <v>30674</v>
      </c>
      <c r="E10231" t="s">
        <v>30675</v>
      </c>
      <c r="F10231" t="s">
        <v>30676</v>
      </c>
      <c r="I10231" t="s">
        <v>184</v>
      </c>
      <c r="J10231" t="s">
        <v>30</v>
      </c>
      <c r="K10231" t="str">
        <f>"27006"</f>
        <v>27006</v>
      </c>
      <c r="M10231" t="s">
        <v>17861</v>
      </c>
      <c r="N10231" t="str">
        <f>"12/5/2016 4:44:00 PM"</f>
        <v>12/5/2016 4:44:00 PM</v>
      </c>
      <c r="O10231" t="s">
        <v>30674</v>
      </c>
      <c r="T10231" t="s">
        <v>30675</v>
      </c>
    </row>
    <row r="10232" spans="1:20" x14ac:dyDescent="0.25">
      <c r="A10232" t="str">
        <f>"3045877"</f>
        <v>3045877</v>
      </c>
      <c r="B10232" t="s">
        <v>30677</v>
      </c>
      <c r="C10232" t="str">
        <f>"8307264"</f>
        <v>8307264</v>
      </c>
      <c r="D10232" t="s">
        <v>8319</v>
      </c>
      <c r="E10232" t="s">
        <v>30678</v>
      </c>
      <c r="F10232" t="s">
        <v>8320</v>
      </c>
      <c r="I10232" t="s">
        <v>29</v>
      </c>
      <c r="J10232" t="s">
        <v>30</v>
      </c>
      <c r="K10232" t="str">
        <f>"27028"</f>
        <v>27028</v>
      </c>
      <c r="M10232" t="s">
        <v>17861</v>
      </c>
      <c r="N10232" t="str">
        <f>"12/22/2016 1:02:00 PM"</f>
        <v>12/22/2016 1:02:00 PM</v>
      </c>
      <c r="O10232" t="s">
        <v>8319</v>
      </c>
      <c r="T10232" t="s">
        <v>30678</v>
      </c>
    </row>
    <row r="10233" spans="1:20" x14ac:dyDescent="0.25">
      <c r="A10233" t="str">
        <f>"3076710"</f>
        <v>3076710</v>
      </c>
      <c r="B10233" t="s">
        <v>30679</v>
      </c>
      <c r="C10233" t="str">
        <f>"56656000"</f>
        <v>56656000</v>
      </c>
      <c r="D10233" t="s">
        <v>30473</v>
      </c>
      <c r="F10233" t="s">
        <v>30474</v>
      </c>
      <c r="I10233" t="s">
        <v>23961</v>
      </c>
      <c r="J10233" t="s">
        <v>30</v>
      </c>
      <c r="K10233" t="s">
        <v>30475</v>
      </c>
      <c r="M10233" t="s">
        <v>18470</v>
      </c>
      <c r="N10233" t="str">
        <f>"12/13/2016 9:39:00 AM"</f>
        <v>12/13/2016 9:39:00 AM</v>
      </c>
      <c r="O10233" t="s">
        <v>30473</v>
      </c>
    </row>
    <row r="10234" spans="1:20" x14ac:dyDescent="0.25">
      <c r="A10234" t="str">
        <f>"3039069"</f>
        <v>3039069</v>
      </c>
      <c r="B10234" t="s">
        <v>30680</v>
      </c>
      <c r="C10234" t="str">
        <f>"56656000"</f>
        <v>56656000</v>
      </c>
      <c r="D10234" t="s">
        <v>30473</v>
      </c>
      <c r="F10234" t="s">
        <v>30474</v>
      </c>
      <c r="I10234" t="s">
        <v>23961</v>
      </c>
      <c r="J10234" t="s">
        <v>30</v>
      </c>
      <c r="K10234" t="s">
        <v>30475</v>
      </c>
      <c r="M10234" t="s">
        <v>18470</v>
      </c>
      <c r="N10234" t="str">
        <f>"12/13/2016 9:39:00 AM"</f>
        <v>12/13/2016 9:39:00 AM</v>
      </c>
      <c r="O10234" t="s">
        <v>30473</v>
      </c>
    </row>
    <row r="10235" spans="1:20" x14ac:dyDescent="0.25">
      <c r="A10235" t="str">
        <f>"3061342"</f>
        <v>3061342</v>
      </c>
      <c r="B10235" t="s">
        <v>30681</v>
      </c>
      <c r="C10235" t="str">
        <f>"8307275"</f>
        <v>8307275</v>
      </c>
      <c r="D10235" t="s">
        <v>30682</v>
      </c>
      <c r="F10235" t="s">
        <v>30683</v>
      </c>
      <c r="I10235" t="s">
        <v>184</v>
      </c>
      <c r="J10235" t="s">
        <v>30</v>
      </c>
      <c r="K10235" t="str">
        <f>"27006"</f>
        <v>27006</v>
      </c>
      <c r="M10235" t="s">
        <v>17861</v>
      </c>
      <c r="N10235" t="str">
        <f>"12/28/2016 3:21:00 PM"</f>
        <v>12/28/2016 3:21:00 PM</v>
      </c>
      <c r="O10235" t="s">
        <v>30682</v>
      </c>
    </row>
    <row r="10236" spans="1:20" x14ac:dyDescent="0.25">
      <c r="A10236" t="str">
        <f>"3056209"</f>
        <v>3056209</v>
      </c>
      <c r="B10236" t="s">
        <v>30684</v>
      </c>
      <c r="C10236" t="str">
        <f>"82516224"</f>
        <v>82516224</v>
      </c>
      <c r="D10236" t="s">
        <v>30685</v>
      </c>
      <c r="F10236" t="s">
        <v>30686</v>
      </c>
      <c r="I10236" t="s">
        <v>9580</v>
      </c>
      <c r="J10236" t="s">
        <v>30</v>
      </c>
      <c r="K10236" t="s">
        <v>9581</v>
      </c>
      <c r="M10236" t="s">
        <v>27053</v>
      </c>
      <c r="N10236" t="str">
        <f>"12/29/2016 9:06:00 AM"</f>
        <v>12/29/2016 9:06:00 AM</v>
      </c>
      <c r="O10236" t="s">
        <v>30685</v>
      </c>
    </row>
    <row r="10237" spans="1:20" x14ac:dyDescent="0.25">
      <c r="A10237" t="str">
        <f>"3055919"</f>
        <v>3055919</v>
      </c>
      <c r="B10237" t="s">
        <v>30687</v>
      </c>
      <c r="C10237" t="str">
        <f>"82516224"</f>
        <v>82516224</v>
      </c>
      <c r="D10237" t="s">
        <v>30685</v>
      </c>
      <c r="F10237" t="s">
        <v>30686</v>
      </c>
      <c r="I10237" t="s">
        <v>9580</v>
      </c>
      <c r="J10237" t="s">
        <v>30</v>
      </c>
      <c r="K10237" t="s">
        <v>9581</v>
      </c>
      <c r="M10237" t="s">
        <v>27053</v>
      </c>
      <c r="N10237" t="str">
        <f>"12/29/2016 9:06:00 AM"</f>
        <v>12/29/2016 9:06:00 AM</v>
      </c>
      <c r="O10237" t="s">
        <v>30685</v>
      </c>
    </row>
    <row r="10238" spans="1:20" x14ac:dyDescent="0.25">
      <c r="A10238" t="str">
        <f>"3041222"</f>
        <v>3041222</v>
      </c>
      <c r="B10238" t="s">
        <v>30688</v>
      </c>
      <c r="C10238" t="str">
        <f>"8307276"</f>
        <v>8307276</v>
      </c>
      <c r="D10238" t="s">
        <v>30689</v>
      </c>
      <c r="E10238" t="s">
        <v>30690</v>
      </c>
      <c r="F10238" t="s">
        <v>30691</v>
      </c>
      <c r="I10238" t="s">
        <v>2071</v>
      </c>
      <c r="J10238" t="s">
        <v>30</v>
      </c>
      <c r="K10238" t="str">
        <f>"27006"</f>
        <v>27006</v>
      </c>
      <c r="M10238" t="s">
        <v>17861</v>
      </c>
      <c r="N10238" t="str">
        <f>"12/29/2016 4:16:00 PM"</f>
        <v>12/29/2016 4:16:00 PM</v>
      </c>
      <c r="O10238" t="s">
        <v>30689</v>
      </c>
      <c r="T10238" t="s">
        <v>30690</v>
      </c>
    </row>
    <row r="10239" spans="1:20" x14ac:dyDescent="0.25">
      <c r="A10239" t="str">
        <f>"3060702"</f>
        <v>3060702</v>
      </c>
      <c r="B10239" t="s">
        <v>30692</v>
      </c>
      <c r="C10239" t="str">
        <f>"8307282"</f>
        <v>8307282</v>
      </c>
      <c r="D10239" t="s">
        <v>30693</v>
      </c>
      <c r="E10239" t="s">
        <v>30694</v>
      </c>
      <c r="F10239" t="s">
        <v>30695</v>
      </c>
      <c r="I10239" t="s">
        <v>2071</v>
      </c>
      <c r="J10239" t="s">
        <v>30</v>
      </c>
      <c r="K10239" t="str">
        <f>"27006"</f>
        <v>27006</v>
      </c>
      <c r="M10239" t="s">
        <v>17861</v>
      </c>
      <c r="N10239" t="str">
        <f>"12/29/2016 4:54:00 PM"</f>
        <v>12/29/2016 4:54:00 PM</v>
      </c>
      <c r="O10239" t="s">
        <v>30693</v>
      </c>
      <c r="T10239" t="s">
        <v>30694</v>
      </c>
    </row>
    <row r="10240" spans="1:20" x14ac:dyDescent="0.25">
      <c r="A10240" t="str">
        <f>"3051731"</f>
        <v>3051731</v>
      </c>
      <c r="B10240" t="s">
        <v>30696</v>
      </c>
      <c r="C10240" t="str">
        <f>"8307283"</f>
        <v>8307283</v>
      </c>
      <c r="D10240" t="s">
        <v>30697</v>
      </c>
      <c r="E10240" t="s">
        <v>30698</v>
      </c>
      <c r="F10240" t="s">
        <v>30699</v>
      </c>
      <c r="I10240" t="s">
        <v>30700</v>
      </c>
      <c r="J10240" t="s">
        <v>30701</v>
      </c>
      <c r="K10240" t="str">
        <f>"50112"</f>
        <v>50112</v>
      </c>
      <c r="M10240" t="s">
        <v>17861</v>
      </c>
      <c r="N10240" t="str">
        <f>"12/30/2016 8:43:00 AM"</f>
        <v>12/30/2016 8:43:00 AM</v>
      </c>
      <c r="O10240" t="s">
        <v>30697</v>
      </c>
      <c r="T10240" t="s">
        <v>30698</v>
      </c>
    </row>
    <row r="10241" spans="1:20" x14ac:dyDescent="0.25">
      <c r="A10241" t="str">
        <f>"3051717"</f>
        <v>3051717</v>
      </c>
      <c r="B10241" t="s">
        <v>30702</v>
      </c>
      <c r="C10241" t="str">
        <f>"8307283"</f>
        <v>8307283</v>
      </c>
      <c r="D10241" t="s">
        <v>30697</v>
      </c>
      <c r="E10241" t="s">
        <v>30698</v>
      </c>
      <c r="F10241" t="s">
        <v>30699</v>
      </c>
      <c r="I10241" t="s">
        <v>30700</v>
      </c>
      <c r="J10241" t="s">
        <v>30701</v>
      </c>
      <c r="K10241" t="str">
        <f>"50112"</f>
        <v>50112</v>
      </c>
      <c r="M10241" t="s">
        <v>17861</v>
      </c>
      <c r="N10241" t="str">
        <f>"12/30/2016 8:43:00 AM"</f>
        <v>12/30/2016 8:43:00 AM</v>
      </c>
      <c r="O10241" t="s">
        <v>30697</v>
      </c>
      <c r="T10241" t="s">
        <v>30698</v>
      </c>
    </row>
    <row r="10242" spans="1:20" x14ac:dyDescent="0.25">
      <c r="A10242" t="str">
        <f>"3052385"</f>
        <v>3052385</v>
      </c>
      <c r="B10242" t="s">
        <v>30703</v>
      </c>
      <c r="C10242" t="str">
        <f>"8307284"</f>
        <v>8307284</v>
      </c>
      <c r="D10242" t="s">
        <v>30704</v>
      </c>
      <c r="E10242" t="s">
        <v>30705</v>
      </c>
      <c r="F10242" t="s">
        <v>30706</v>
      </c>
      <c r="I10242" t="s">
        <v>30707</v>
      </c>
      <c r="J10242" t="s">
        <v>30708</v>
      </c>
      <c r="K10242" t="str">
        <f>"01801"</f>
        <v>01801</v>
      </c>
      <c r="M10242" t="s">
        <v>17861</v>
      </c>
      <c r="N10242" t="str">
        <f>"12/30/2016 8:56:00 AM"</f>
        <v>12/30/2016 8:56:00 AM</v>
      </c>
      <c r="O10242" t="s">
        <v>30704</v>
      </c>
      <c r="T10242" t="s">
        <v>30705</v>
      </c>
    </row>
    <row r="10243" spans="1:20" x14ac:dyDescent="0.25">
      <c r="A10243" t="str">
        <f>"3038550"</f>
        <v>3038550</v>
      </c>
      <c r="B10243" t="s">
        <v>30709</v>
      </c>
      <c r="C10243" t="str">
        <f>"8307328"</f>
        <v>8307328</v>
      </c>
      <c r="D10243" t="s">
        <v>30710</v>
      </c>
      <c r="E10243" t="s">
        <v>30711</v>
      </c>
      <c r="F10243" t="s">
        <v>30712</v>
      </c>
      <c r="I10243" t="s">
        <v>29</v>
      </c>
      <c r="J10243" t="s">
        <v>30</v>
      </c>
      <c r="K10243" t="str">
        <f>"27028"</f>
        <v>27028</v>
      </c>
      <c r="M10243" t="s">
        <v>17861</v>
      </c>
      <c r="N10243" t="str">
        <f>"1/6/2017 8:18:00 AM"</f>
        <v>1/6/2017 8:18:00 AM</v>
      </c>
      <c r="O10243" t="s">
        <v>30710</v>
      </c>
      <c r="T10243" t="s">
        <v>30711</v>
      </c>
    </row>
    <row r="10244" spans="1:20" x14ac:dyDescent="0.25">
      <c r="A10244" t="str">
        <f>"3048047"</f>
        <v>3048047</v>
      </c>
      <c r="B10244" t="s">
        <v>30713</v>
      </c>
      <c r="C10244" t="str">
        <f>"82532283"</f>
        <v>82532283</v>
      </c>
      <c r="D10244" t="s">
        <v>30714</v>
      </c>
      <c r="E10244" t="s">
        <v>30715</v>
      </c>
      <c r="F10244" t="s">
        <v>30716</v>
      </c>
      <c r="I10244" t="s">
        <v>184</v>
      </c>
      <c r="J10244" t="s">
        <v>30</v>
      </c>
      <c r="K10244" t="s">
        <v>185</v>
      </c>
      <c r="M10244" t="s">
        <v>17861</v>
      </c>
      <c r="N10244" t="str">
        <f>"12/30/2016 10:02:00 AM"</f>
        <v>12/30/2016 10:02:00 AM</v>
      </c>
      <c r="O10244" t="s">
        <v>30714</v>
      </c>
      <c r="T10244" t="s">
        <v>30715</v>
      </c>
    </row>
    <row r="10245" spans="1:20" x14ac:dyDescent="0.25">
      <c r="A10245" t="str">
        <f>"3041633"</f>
        <v>3041633</v>
      </c>
      <c r="B10245" t="s">
        <v>30717</v>
      </c>
      <c r="C10245" t="str">
        <f>"39413750"</f>
        <v>39413750</v>
      </c>
      <c r="D10245" t="s">
        <v>30718</v>
      </c>
      <c r="F10245" t="s">
        <v>30719</v>
      </c>
      <c r="I10245" t="s">
        <v>184</v>
      </c>
      <c r="J10245" t="s">
        <v>30</v>
      </c>
      <c r="K10245" t="s">
        <v>185</v>
      </c>
      <c r="M10245" t="s">
        <v>25733</v>
      </c>
      <c r="N10245" t="str">
        <f>"1/6/2017 3:40:00 PM"</f>
        <v>1/6/2017 3:40:00 PM</v>
      </c>
      <c r="O10245" t="s">
        <v>30718</v>
      </c>
    </row>
    <row r="10246" spans="1:20" x14ac:dyDescent="0.25">
      <c r="A10246" t="str">
        <f>"3040199"</f>
        <v>3040199</v>
      </c>
      <c r="B10246" t="s">
        <v>30720</v>
      </c>
      <c r="C10246" t="str">
        <f>"8307302"</f>
        <v>8307302</v>
      </c>
      <c r="D10246" t="s">
        <v>30721</v>
      </c>
      <c r="F10246" t="s">
        <v>30722</v>
      </c>
      <c r="I10246" t="s">
        <v>30723</v>
      </c>
      <c r="J10246" t="s">
        <v>30724</v>
      </c>
      <c r="K10246" t="str">
        <f>"59261"</f>
        <v>59261</v>
      </c>
      <c r="M10246" t="s">
        <v>17861</v>
      </c>
      <c r="N10246" t="str">
        <f>"12/30/2016 3:02:00 PM"</f>
        <v>12/30/2016 3:02:00 PM</v>
      </c>
      <c r="O10246" t="s">
        <v>30721</v>
      </c>
    </row>
    <row r="10247" spans="1:20" x14ac:dyDescent="0.25">
      <c r="A10247" t="str">
        <f>"3041765"</f>
        <v>3041765</v>
      </c>
      <c r="B10247" t="s">
        <v>30725</v>
      </c>
      <c r="C10247" t="str">
        <f>"8307303"</f>
        <v>8307303</v>
      </c>
      <c r="D10247" t="s">
        <v>30726</v>
      </c>
      <c r="E10247" t="s">
        <v>30727</v>
      </c>
      <c r="F10247" t="s">
        <v>30728</v>
      </c>
      <c r="I10247" t="s">
        <v>2071</v>
      </c>
      <c r="J10247" t="s">
        <v>30</v>
      </c>
      <c r="K10247" t="str">
        <f>"27006"</f>
        <v>27006</v>
      </c>
      <c r="M10247" t="s">
        <v>17861</v>
      </c>
      <c r="N10247" t="str">
        <f>"12/30/2016 3:16:00 PM"</f>
        <v>12/30/2016 3:16:00 PM</v>
      </c>
      <c r="O10247" t="s">
        <v>30726</v>
      </c>
      <c r="T10247" t="s">
        <v>30727</v>
      </c>
    </row>
    <row r="10248" spans="1:20" x14ac:dyDescent="0.25">
      <c r="A10248" t="str">
        <f>"3060087"</f>
        <v>3060087</v>
      </c>
      <c r="B10248" t="s">
        <v>30729</v>
      </c>
      <c r="C10248" t="str">
        <f>"8307309"</f>
        <v>8307309</v>
      </c>
      <c r="D10248" t="s">
        <v>30730</v>
      </c>
      <c r="E10248" t="s">
        <v>30731</v>
      </c>
      <c r="F10248" t="s">
        <v>30732</v>
      </c>
      <c r="I10248" t="s">
        <v>184</v>
      </c>
      <c r="J10248" t="s">
        <v>30</v>
      </c>
      <c r="K10248" t="str">
        <f>"27006"</f>
        <v>27006</v>
      </c>
      <c r="M10248" t="s">
        <v>17861</v>
      </c>
      <c r="N10248" t="str">
        <f>"12/30/2016 3:44:00 PM"</f>
        <v>12/30/2016 3:44:00 PM</v>
      </c>
      <c r="O10248" t="s">
        <v>30730</v>
      </c>
      <c r="T10248" t="s">
        <v>30731</v>
      </c>
    </row>
    <row r="10249" spans="1:20" x14ac:dyDescent="0.25">
      <c r="A10249" t="str">
        <f>"3039799"</f>
        <v>3039799</v>
      </c>
      <c r="B10249" t="s">
        <v>30733</v>
      </c>
      <c r="C10249" t="str">
        <f>"8304474"</f>
        <v>8304474</v>
      </c>
      <c r="D10249" t="s">
        <v>30734</v>
      </c>
      <c r="F10249" t="s">
        <v>30735</v>
      </c>
      <c r="I10249" t="s">
        <v>184</v>
      </c>
      <c r="J10249" t="s">
        <v>30</v>
      </c>
      <c r="K10249" t="str">
        <f>"27006"</f>
        <v>27006</v>
      </c>
      <c r="M10249" t="s">
        <v>18479</v>
      </c>
      <c r="N10249" t="str">
        <f>"1/4/2017 11:49:00 AM"</f>
        <v>1/4/2017 11:49:00 AM</v>
      </c>
      <c r="O10249" t="s">
        <v>30734</v>
      </c>
    </row>
    <row r="10250" spans="1:20" x14ac:dyDescent="0.25">
      <c r="A10250" t="str">
        <f>"3054385"</f>
        <v>3054385</v>
      </c>
      <c r="B10250" t="s">
        <v>30736</v>
      </c>
      <c r="C10250" t="str">
        <f>"8306444"</f>
        <v>8306444</v>
      </c>
      <c r="D10250" t="s">
        <v>30737</v>
      </c>
      <c r="E10250" t="s">
        <v>30738</v>
      </c>
      <c r="F10250" t="s">
        <v>30739</v>
      </c>
      <c r="I10250" t="s">
        <v>29</v>
      </c>
      <c r="J10250" t="s">
        <v>30</v>
      </c>
      <c r="K10250" t="str">
        <f>"27028"</f>
        <v>27028</v>
      </c>
      <c r="M10250" t="s">
        <v>26316</v>
      </c>
      <c r="N10250" t="str">
        <f>"12/28/2016 9:48:00 AM"</f>
        <v>12/28/2016 9:48:00 AM</v>
      </c>
      <c r="O10250" t="s">
        <v>30737</v>
      </c>
      <c r="T10250" t="s">
        <v>30738</v>
      </c>
    </row>
    <row r="10251" spans="1:20" x14ac:dyDescent="0.25">
      <c r="A10251" t="str">
        <f>"3052033"</f>
        <v>3052033</v>
      </c>
      <c r="B10251" t="s">
        <v>30740</v>
      </c>
      <c r="C10251" t="str">
        <f>"8302616"</f>
        <v>8302616</v>
      </c>
      <c r="D10251" t="s">
        <v>30741</v>
      </c>
      <c r="E10251" t="s">
        <v>30742</v>
      </c>
      <c r="F10251" t="s">
        <v>30743</v>
      </c>
      <c r="I10251" t="s">
        <v>29</v>
      </c>
      <c r="J10251" t="s">
        <v>30</v>
      </c>
      <c r="K10251" t="str">
        <f>"27028"</f>
        <v>27028</v>
      </c>
      <c r="M10251" t="s">
        <v>26316</v>
      </c>
      <c r="N10251" t="str">
        <f>"12/28/2016 10:41:00 AM"</f>
        <v>12/28/2016 10:41:00 AM</v>
      </c>
      <c r="O10251" t="s">
        <v>30741</v>
      </c>
      <c r="T10251" t="s">
        <v>30742</v>
      </c>
    </row>
    <row r="10252" spans="1:20" x14ac:dyDescent="0.25">
      <c r="A10252" t="str">
        <f>"3042048"</f>
        <v>3042048</v>
      </c>
      <c r="B10252" t="s">
        <v>30744</v>
      </c>
      <c r="C10252" t="str">
        <f>"8307269"</f>
        <v>8307269</v>
      </c>
      <c r="D10252" t="s">
        <v>30745</v>
      </c>
      <c r="F10252" t="s">
        <v>30746</v>
      </c>
      <c r="I10252" t="s">
        <v>29</v>
      </c>
      <c r="J10252" t="s">
        <v>30</v>
      </c>
      <c r="K10252" t="str">
        <f>"27028"</f>
        <v>27028</v>
      </c>
      <c r="M10252" t="s">
        <v>17861</v>
      </c>
      <c r="N10252" t="str">
        <f>"12/28/2016 12:49:00 PM"</f>
        <v>12/28/2016 12:49:00 PM</v>
      </c>
      <c r="O10252" t="s">
        <v>30745</v>
      </c>
    </row>
    <row r="10253" spans="1:20" x14ac:dyDescent="0.25">
      <c r="A10253" t="str">
        <f>"3053436"</f>
        <v>3053436</v>
      </c>
      <c r="B10253" t="s">
        <v>30747</v>
      </c>
      <c r="C10253" t="str">
        <f>"8307335"</f>
        <v>8307335</v>
      </c>
      <c r="D10253" t="s">
        <v>30748</v>
      </c>
      <c r="F10253" t="s">
        <v>30749</v>
      </c>
      <c r="I10253" t="s">
        <v>184</v>
      </c>
      <c r="J10253" t="s">
        <v>30</v>
      </c>
      <c r="K10253" t="str">
        <f>"27006"</f>
        <v>27006</v>
      </c>
      <c r="M10253" t="s">
        <v>17861</v>
      </c>
      <c r="N10253" t="str">
        <f>"1/10/2017 3:30:00 PM"</f>
        <v>1/10/2017 3:30:00 PM</v>
      </c>
      <c r="O10253" t="s">
        <v>30748</v>
      </c>
    </row>
    <row r="10254" spans="1:20" x14ac:dyDescent="0.25">
      <c r="A10254" t="str">
        <f>"3053392"</f>
        <v>3053392</v>
      </c>
      <c r="B10254" t="s">
        <v>30750</v>
      </c>
      <c r="C10254" t="str">
        <f>"8307335"</f>
        <v>8307335</v>
      </c>
      <c r="D10254" t="s">
        <v>30748</v>
      </c>
      <c r="F10254" t="s">
        <v>30749</v>
      </c>
      <c r="I10254" t="s">
        <v>184</v>
      </c>
      <c r="J10254" t="s">
        <v>30</v>
      </c>
      <c r="K10254" t="str">
        <f>"27006"</f>
        <v>27006</v>
      </c>
      <c r="M10254" t="s">
        <v>17861</v>
      </c>
      <c r="N10254" t="str">
        <f>"1/10/2017 3:30:00 PM"</f>
        <v>1/10/2017 3:30:00 PM</v>
      </c>
      <c r="O10254" t="s">
        <v>30748</v>
      </c>
    </row>
    <row r="10255" spans="1:20" x14ac:dyDescent="0.25">
      <c r="A10255" t="str">
        <f>"3053360"</f>
        <v>3053360</v>
      </c>
      <c r="B10255" t="s">
        <v>30751</v>
      </c>
      <c r="C10255" t="str">
        <f>"8307335"</f>
        <v>8307335</v>
      </c>
      <c r="D10255" t="s">
        <v>30748</v>
      </c>
      <c r="F10255" t="s">
        <v>30749</v>
      </c>
      <c r="I10255" t="s">
        <v>184</v>
      </c>
      <c r="J10255" t="s">
        <v>30</v>
      </c>
      <c r="K10255" t="str">
        <f>"27006"</f>
        <v>27006</v>
      </c>
      <c r="M10255" t="s">
        <v>17861</v>
      </c>
      <c r="N10255" t="str">
        <f>"1/10/2017 3:30:00 PM"</f>
        <v>1/10/2017 3:30:00 PM</v>
      </c>
      <c r="O10255" t="s">
        <v>30748</v>
      </c>
    </row>
    <row r="10256" spans="1:20" x14ac:dyDescent="0.25">
      <c r="A10256" t="str">
        <f>"3053339"</f>
        <v>3053339</v>
      </c>
      <c r="B10256" t="s">
        <v>30752</v>
      </c>
      <c r="C10256" t="str">
        <f>"8307335"</f>
        <v>8307335</v>
      </c>
      <c r="D10256" t="s">
        <v>30748</v>
      </c>
      <c r="F10256" t="s">
        <v>30749</v>
      </c>
      <c r="I10256" t="s">
        <v>184</v>
      </c>
      <c r="J10256" t="s">
        <v>30</v>
      </c>
      <c r="K10256" t="str">
        <f>"27006"</f>
        <v>27006</v>
      </c>
      <c r="M10256" t="s">
        <v>17861</v>
      </c>
      <c r="N10256" t="str">
        <f>"1/10/2017 3:30:00 PM"</f>
        <v>1/10/2017 3:30:00 PM</v>
      </c>
      <c r="O10256" t="s">
        <v>30748</v>
      </c>
    </row>
    <row r="10257" spans="1:20" x14ac:dyDescent="0.25">
      <c r="A10257" t="str">
        <f>"3063710"</f>
        <v>3063710</v>
      </c>
      <c r="B10257" t="s">
        <v>30753</v>
      </c>
      <c r="C10257" t="str">
        <f>"8307336"</f>
        <v>8307336</v>
      </c>
      <c r="D10257" t="s">
        <v>30754</v>
      </c>
      <c r="E10257" t="s">
        <v>30755</v>
      </c>
      <c r="F10257" t="s">
        <v>159</v>
      </c>
      <c r="I10257" t="s">
        <v>29</v>
      </c>
      <c r="J10257" t="s">
        <v>30</v>
      </c>
      <c r="K10257" t="s">
        <v>25587</v>
      </c>
      <c r="M10257" t="s">
        <v>17861</v>
      </c>
      <c r="N10257" t="str">
        <f>"1/10/2017 4:09:00 PM"</f>
        <v>1/10/2017 4:09:00 PM</v>
      </c>
      <c r="O10257" t="s">
        <v>30754</v>
      </c>
      <c r="T10257" t="s">
        <v>30755</v>
      </c>
    </row>
    <row r="10258" spans="1:20" x14ac:dyDescent="0.25">
      <c r="A10258" t="str">
        <f>"3072532"</f>
        <v>3072532</v>
      </c>
      <c r="B10258" t="s">
        <v>30756</v>
      </c>
      <c r="C10258" t="str">
        <f>"8307338"</f>
        <v>8307338</v>
      </c>
      <c r="D10258" t="s">
        <v>30757</v>
      </c>
      <c r="F10258" t="s">
        <v>12615</v>
      </c>
      <c r="I10258" t="s">
        <v>29</v>
      </c>
      <c r="J10258" t="s">
        <v>30</v>
      </c>
      <c r="K10258" t="str">
        <f>"27028"</f>
        <v>27028</v>
      </c>
      <c r="M10258" t="s">
        <v>17861</v>
      </c>
      <c r="N10258" t="str">
        <f>"1/11/2017 10:44:00 AM"</f>
        <v>1/11/2017 10:44:00 AM</v>
      </c>
      <c r="O10258" t="s">
        <v>30757</v>
      </c>
    </row>
    <row r="10259" spans="1:20" x14ac:dyDescent="0.25">
      <c r="A10259" t="str">
        <f>"3072534"</f>
        <v>3072534</v>
      </c>
      <c r="B10259" t="s">
        <v>30758</v>
      </c>
      <c r="C10259" t="str">
        <f>"8307338"</f>
        <v>8307338</v>
      </c>
      <c r="D10259" t="s">
        <v>30757</v>
      </c>
      <c r="F10259" t="s">
        <v>12615</v>
      </c>
      <c r="I10259" t="s">
        <v>29</v>
      </c>
      <c r="J10259" t="s">
        <v>30</v>
      </c>
      <c r="K10259" t="str">
        <f>"27028"</f>
        <v>27028</v>
      </c>
      <c r="M10259" t="s">
        <v>17861</v>
      </c>
      <c r="N10259" t="str">
        <f>"1/11/2017 10:44:00 AM"</f>
        <v>1/11/2017 10:44:00 AM</v>
      </c>
      <c r="O10259" t="s">
        <v>30757</v>
      </c>
    </row>
    <row r="10260" spans="1:20" x14ac:dyDescent="0.25">
      <c r="A10260" t="str">
        <f>"3072535"</f>
        <v>3072535</v>
      </c>
      <c r="B10260" t="s">
        <v>30759</v>
      </c>
      <c r="C10260" t="str">
        <f>"8307338"</f>
        <v>8307338</v>
      </c>
      <c r="D10260" t="s">
        <v>30757</v>
      </c>
      <c r="F10260" t="s">
        <v>12615</v>
      </c>
      <c r="I10260" t="s">
        <v>29</v>
      </c>
      <c r="J10260" t="s">
        <v>30</v>
      </c>
      <c r="K10260" t="str">
        <f>"27028"</f>
        <v>27028</v>
      </c>
      <c r="M10260" t="s">
        <v>17861</v>
      </c>
      <c r="N10260" t="str">
        <f>"1/11/2017 10:44:00 AM"</f>
        <v>1/11/2017 10:44:00 AM</v>
      </c>
      <c r="O10260" t="s">
        <v>30757</v>
      </c>
    </row>
    <row r="10261" spans="1:20" x14ac:dyDescent="0.25">
      <c r="A10261" t="str">
        <f>"3063876"</f>
        <v>3063876</v>
      </c>
      <c r="B10261" t="s">
        <v>30760</v>
      </c>
      <c r="C10261" t="str">
        <f>"8307269"</f>
        <v>8307269</v>
      </c>
      <c r="D10261" t="s">
        <v>30745</v>
      </c>
      <c r="F10261" t="s">
        <v>30746</v>
      </c>
      <c r="I10261" t="s">
        <v>29</v>
      </c>
      <c r="J10261" t="s">
        <v>30</v>
      </c>
      <c r="K10261" t="str">
        <f>"27028"</f>
        <v>27028</v>
      </c>
      <c r="M10261" t="s">
        <v>17861</v>
      </c>
      <c r="N10261" t="str">
        <f>"12/28/2016 12:49:00 PM"</f>
        <v>12/28/2016 12:49:00 PM</v>
      </c>
      <c r="O10261" t="s">
        <v>30745</v>
      </c>
    </row>
    <row r="10262" spans="1:20" x14ac:dyDescent="0.25">
      <c r="A10262" t="str">
        <f>"3037427"</f>
        <v>3037427</v>
      </c>
      <c r="B10262" t="s">
        <v>30761</v>
      </c>
      <c r="C10262" t="str">
        <f>"8302164"</f>
        <v>8302164</v>
      </c>
      <c r="D10262" t="s">
        <v>30762</v>
      </c>
      <c r="F10262" t="s">
        <v>30763</v>
      </c>
      <c r="I10262" t="s">
        <v>21270</v>
      </c>
      <c r="J10262" t="s">
        <v>30</v>
      </c>
      <c r="K10262" t="str">
        <f>"28642"</f>
        <v>28642</v>
      </c>
      <c r="M10262" t="s">
        <v>25733</v>
      </c>
      <c r="N10262" t="str">
        <f>"12/28/2016 12:58:00 PM"</f>
        <v>12/28/2016 12:58:00 PM</v>
      </c>
      <c r="O10262" t="s">
        <v>30762</v>
      </c>
    </row>
    <row r="10263" spans="1:20" x14ac:dyDescent="0.25">
      <c r="A10263" t="str">
        <f>"3037640"</f>
        <v>3037640</v>
      </c>
      <c r="B10263" t="s">
        <v>30764</v>
      </c>
      <c r="C10263" t="str">
        <f>"8302164"</f>
        <v>8302164</v>
      </c>
      <c r="D10263" t="s">
        <v>30762</v>
      </c>
      <c r="F10263" t="s">
        <v>30763</v>
      </c>
      <c r="I10263" t="s">
        <v>21270</v>
      </c>
      <c r="J10263" t="s">
        <v>30</v>
      </c>
      <c r="K10263" t="str">
        <f>"28642"</f>
        <v>28642</v>
      </c>
      <c r="M10263" t="s">
        <v>25733</v>
      </c>
      <c r="N10263" t="str">
        <f>"12/28/2016 12:58:00 PM"</f>
        <v>12/28/2016 12:58:00 PM</v>
      </c>
      <c r="O10263" t="s">
        <v>30762</v>
      </c>
    </row>
    <row r="10264" spans="1:20" x14ac:dyDescent="0.25">
      <c r="A10264" t="str">
        <f>"3064020"</f>
        <v>3064020</v>
      </c>
      <c r="B10264" t="s">
        <v>30765</v>
      </c>
      <c r="C10264" t="str">
        <f>"8307271"</f>
        <v>8307271</v>
      </c>
      <c r="D10264" t="s">
        <v>30766</v>
      </c>
      <c r="F10264" t="s">
        <v>30767</v>
      </c>
      <c r="I10264" t="s">
        <v>184</v>
      </c>
      <c r="J10264" t="s">
        <v>30</v>
      </c>
      <c r="K10264" t="str">
        <f>"27006"</f>
        <v>27006</v>
      </c>
      <c r="M10264" t="s">
        <v>17861</v>
      </c>
      <c r="N10264" t="str">
        <f>"12/28/2016 1:15:00 PM"</f>
        <v>12/28/2016 1:15:00 PM</v>
      </c>
      <c r="O10264" t="s">
        <v>30766</v>
      </c>
    </row>
    <row r="10265" spans="1:20" x14ac:dyDescent="0.25">
      <c r="A10265" t="str">
        <f>"3051916"</f>
        <v>3051916</v>
      </c>
      <c r="B10265" t="s">
        <v>30768</v>
      </c>
      <c r="C10265" t="str">
        <f>"65168500"</f>
        <v>65168500</v>
      </c>
      <c r="D10265" t="s">
        <v>23464</v>
      </c>
      <c r="F10265" t="s">
        <v>30769</v>
      </c>
      <c r="I10265" t="s">
        <v>30770</v>
      </c>
      <c r="J10265" t="s">
        <v>30</v>
      </c>
      <c r="K10265" t="str">
        <f>"27012"</f>
        <v>27012</v>
      </c>
      <c r="M10265" t="s">
        <v>27053</v>
      </c>
      <c r="N10265" t="str">
        <f>"1/5/2017 3:57:00 PM"</f>
        <v>1/5/2017 3:57:00 PM</v>
      </c>
      <c r="O10265" t="s">
        <v>23464</v>
      </c>
    </row>
    <row r="10266" spans="1:20" x14ac:dyDescent="0.25">
      <c r="A10266" t="str">
        <f>"3044946"</f>
        <v>3044946</v>
      </c>
      <c r="B10266" t="s">
        <v>30771</v>
      </c>
      <c r="C10266" t="str">
        <f>"65168500"</f>
        <v>65168500</v>
      </c>
      <c r="D10266" t="s">
        <v>23464</v>
      </c>
      <c r="F10266" t="s">
        <v>30769</v>
      </c>
      <c r="I10266" t="s">
        <v>30770</v>
      </c>
      <c r="J10266" t="s">
        <v>30</v>
      </c>
      <c r="K10266" t="str">
        <f>"27012"</f>
        <v>27012</v>
      </c>
      <c r="M10266" t="s">
        <v>27053</v>
      </c>
      <c r="N10266" t="str">
        <f>"1/5/2017 3:57:00 PM"</f>
        <v>1/5/2017 3:57:00 PM</v>
      </c>
      <c r="O10266" t="s">
        <v>23464</v>
      </c>
    </row>
    <row r="10267" spans="1:20" x14ac:dyDescent="0.25">
      <c r="A10267" t="str">
        <f>"3037908"</f>
        <v>3037908</v>
      </c>
      <c r="B10267" t="s">
        <v>30772</v>
      </c>
      <c r="C10267" t="str">
        <f>"8307326"</f>
        <v>8307326</v>
      </c>
      <c r="D10267" t="s">
        <v>30710</v>
      </c>
      <c r="F10267" t="s">
        <v>30712</v>
      </c>
      <c r="I10267" t="s">
        <v>29</v>
      </c>
      <c r="J10267" t="s">
        <v>30</v>
      </c>
      <c r="K10267" t="str">
        <f>"27028"</f>
        <v>27028</v>
      </c>
      <c r="M10267" t="s">
        <v>17861</v>
      </c>
      <c r="N10267" t="str">
        <f>"1/6/2017 7:59:00 AM"</f>
        <v>1/6/2017 7:59:00 AM</v>
      </c>
      <c r="O10267" t="s">
        <v>30710</v>
      </c>
    </row>
    <row r="10268" spans="1:20" x14ac:dyDescent="0.25">
      <c r="A10268" t="str">
        <f>"3037918"</f>
        <v>3037918</v>
      </c>
      <c r="B10268" t="s">
        <v>30773</v>
      </c>
      <c r="C10268" t="str">
        <f>"8307327"</f>
        <v>8307327</v>
      </c>
      <c r="D10268" t="s">
        <v>30774</v>
      </c>
      <c r="F10268" t="s">
        <v>600</v>
      </c>
      <c r="I10268" t="s">
        <v>29</v>
      </c>
      <c r="J10268" t="s">
        <v>30</v>
      </c>
      <c r="K10268" t="str">
        <f>"27028"</f>
        <v>27028</v>
      </c>
      <c r="M10268" t="s">
        <v>17861</v>
      </c>
      <c r="N10268" t="str">
        <f>"1/6/2017 8:06:00 AM"</f>
        <v>1/6/2017 8:06:00 AM</v>
      </c>
      <c r="O10268" t="s">
        <v>30774</v>
      </c>
    </row>
    <row r="10269" spans="1:20" x14ac:dyDescent="0.25">
      <c r="A10269" t="str">
        <f>"3039298"</f>
        <v>3039298</v>
      </c>
      <c r="B10269" t="s">
        <v>30775</v>
      </c>
      <c r="C10269" t="str">
        <f>"8307327"</f>
        <v>8307327</v>
      </c>
      <c r="D10269" t="s">
        <v>30774</v>
      </c>
      <c r="F10269" t="s">
        <v>600</v>
      </c>
      <c r="I10269" t="s">
        <v>29</v>
      </c>
      <c r="J10269" t="s">
        <v>30</v>
      </c>
      <c r="K10269" t="str">
        <f>"27028"</f>
        <v>27028</v>
      </c>
      <c r="M10269" t="s">
        <v>17861</v>
      </c>
      <c r="N10269" t="str">
        <f>"1/6/2017 8:06:00 AM"</f>
        <v>1/6/2017 8:06:00 AM</v>
      </c>
      <c r="O10269" t="s">
        <v>30774</v>
      </c>
    </row>
    <row r="10270" spans="1:20" x14ac:dyDescent="0.25">
      <c r="A10270" t="str">
        <f>"3076681"</f>
        <v>3076681</v>
      </c>
      <c r="B10270" t="s">
        <v>30776</v>
      </c>
      <c r="C10270" t="str">
        <f>"8307327"</f>
        <v>8307327</v>
      </c>
      <c r="D10270" t="s">
        <v>30774</v>
      </c>
      <c r="F10270" t="s">
        <v>600</v>
      </c>
      <c r="I10270" t="s">
        <v>29</v>
      </c>
      <c r="J10270" t="s">
        <v>30</v>
      </c>
      <c r="K10270" t="str">
        <f>"27028"</f>
        <v>27028</v>
      </c>
      <c r="M10270" t="s">
        <v>17861</v>
      </c>
      <c r="N10270" t="str">
        <f>"1/6/2017 8:06:00 AM"</f>
        <v>1/6/2017 8:06:00 AM</v>
      </c>
      <c r="O10270" t="s">
        <v>30774</v>
      </c>
    </row>
    <row r="10271" spans="1:20" x14ac:dyDescent="0.25">
      <c r="A10271" t="str">
        <f>"3076669"</f>
        <v>3076669</v>
      </c>
      <c r="B10271" t="s">
        <v>30777</v>
      </c>
      <c r="C10271" t="str">
        <f>"8307327"</f>
        <v>8307327</v>
      </c>
      <c r="D10271" t="s">
        <v>30774</v>
      </c>
      <c r="F10271" t="s">
        <v>600</v>
      </c>
      <c r="I10271" t="s">
        <v>29</v>
      </c>
      <c r="J10271" t="s">
        <v>30</v>
      </c>
      <c r="K10271" t="str">
        <f>"27028"</f>
        <v>27028</v>
      </c>
      <c r="M10271" t="s">
        <v>17861</v>
      </c>
      <c r="N10271" t="str">
        <f>"1/6/2017 8:06:00 AM"</f>
        <v>1/6/2017 8:06:00 AM</v>
      </c>
      <c r="O10271" t="s">
        <v>30774</v>
      </c>
    </row>
    <row r="10272" spans="1:20" x14ac:dyDescent="0.25">
      <c r="A10272" t="str">
        <f>"3044561"</f>
        <v>3044561</v>
      </c>
      <c r="B10272" t="s">
        <v>30778</v>
      </c>
      <c r="C10272" t="str">
        <f>"8306670"</f>
        <v>8306670</v>
      </c>
      <c r="D10272" t="s">
        <v>30779</v>
      </c>
      <c r="E10272" t="s">
        <v>30780</v>
      </c>
      <c r="F10272" t="s">
        <v>30781</v>
      </c>
      <c r="I10272" t="s">
        <v>184</v>
      </c>
      <c r="J10272" t="s">
        <v>30</v>
      </c>
      <c r="K10272" t="str">
        <f>"27006"</f>
        <v>27006</v>
      </c>
      <c r="M10272" t="s">
        <v>18470</v>
      </c>
      <c r="N10272" t="str">
        <f>"1/6/2017 10:41:00 AM"</f>
        <v>1/6/2017 10:41:00 AM</v>
      </c>
      <c r="O10272" t="s">
        <v>30779</v>
      </c>
      <c r="T10272" t="s">
        <v>30780</v>
      </c>
    </row>
    <row r="10273" spans="1:20" x14ac:dyDescent="0.25">
      <c r="A10273" t="str">
        <f>"3053528"</f>
        <v>3053528</v>
      </c>
      <c r="B10273" t="s">
        <v>30782</v>
      </c>
      <c r="C10273" t="str">
        <f>"46823000"</f>
        <v>46823000</v>
      </c>
      <c r="D10273" t="s">
        <v>30783</v>
      </c>
      <c r="E10273" t="s">
        <v>30784</v>
      </c>
      <c r="F10273" t="s">
        <v>30785</v>
      </c>
      <c r="I10273" t="s">
        <v>184</v>
      </c>
      <c r="J10273" t="s">
        <v>30</v>
      </c>
      <c r="K10273" t="s">
        <v>30786</v>
      </c>
      <c r="M10273" t="s">
        <v>25733</v>
      </c>
      <c r="N10273" t="str">
        <f>"1/10/2017 10:42:00 AM"</f>
        <v>1/10/2017 10:42:00 AM</v>
      </c>
      <c r="O10273" t="s">
        <v>30783</v>
      </c>
      <c r="T10273" t="s">
        <v>30784</v>
      </c>
    </row>
    <row r="10274" spans="1:20" x14ac:dyDescent="0.25">
      <c r="A10274" t="str">
        <f>"3049315"</f>
        <v>3049315</v>
      </c>
      <c r="B10274" t="s">
        <v>30787</v>
      </c>
      <c r="C10274" t="str">
        <f>"8307334"</f>
        <v>8307334</v>
      </c>
      <c r="D10274" t="s">
        <v>30788</v>
      </c>
      <c r="F10274" t="s">
        <v>28408</v>
      </c>
      <c r="I10274" t="s">
        <v>28704</v>
      </c>
      <c r="J10274" t="s">
        <v>30</v>
      </c>
      <c r="K10274" t="str">
        <f>"27021"</f>
        <v>27021</v>
      </c>
      <c r="M10274" t="s">
        <v>17861</v>
      </c>
      <c r="N10274" t="str">
        <f>"1/10/2017 11:06:00 AM"</f>
        <v>1/10/2017 11:06:00 AM</v>
      </c>
      <c r="O10274" t="s">
        <v>30788</v>
      </c>
    </row>
    <row r="10275" spans="1:20" x14ac:dyDescent="0.25">
      <c r="A10275" t="str">
        <f>"3061450"</f>
        <v>3061450</v>
      </c>
      <c r="B10275" t="s">
        <v>30789</v>
      </c>
      <c r="C10275" t="str">
        <f>"8306061"</f>
        <v>8306061</v>
      </c>
      <c r="D10275" t="s">
        <v>30790</v>
      </c>
      <c r="E10275" t="s">
        <v>30791</v>
      </c>
      <c r="F10275" t="s">
        <v>30792</v>
      </c>
      <c r="I10275" t="s">
        <v>184</v>
      </c>
      <c r="J10275" t="s">
        <v>30</v>
      </c>
      <c r="K10275" t="str">
        <f>"27006"</f>
        <v>27006</v>
      </c>
      <c r="M10275" t="s">
        <v>25733</v>
      </c>
      <c r="N10275" t="str">
        <f>"1/10/2017 11:17:00 AM"</f>
        <v>1/10/2017 11:17:00 AM</v>
      </c>
      <c r="O10275" t="s">
        <v>30790</v>
      </c>
      <c r="T10275" t="s">
        <v>30791</v>
      </c>
    </row>
    <row r="10276" spans="1:20" x14ac:dyDescent="0.25">
      <c r="A10276" t="str">
        <f>"3078788"</f>
        <v>3078788</v>
      </c>
      <c r="B10276" t="s">
        <v>30793</v>
      </c>
      <c r="C10276" t="str">
        <f>"8307335"</f>
        <v>8307335</v>
      </c>
      <c r="D10276" t="s">
        <v>30748</v>
      </c>
      <c r="F10276" t="s">
        <v>30749</v>
      </c>
      <c r="I10276" t="s">
        <v>184</v>
      </c>
      <c r="J10276" t="s">
        <v>30</v>
      </c>
      <c r="K10276" t="str">
        <f>"27006"</f>
        <v>27006</v>
      </c>
      <c r="M10276" t="s">
        <v>17861</v>
      </c>
      <c r="N10276" t="str">
        <f>"1/10/2017 3:30:00 PM"</f>
        <v>1/10/2017 3:30:00 PM</v>
      </c>
      <c r="O10276" t="s">
        <v>30748</v>
      </c>
    </row>
    <row r="10277" spans="1:20" x14ac:dyDescent="0.25">
      <c r="A10277" t="str">
        <f>"3078789"</f>
        <v>3078789</v>
      </c>
      <c r="B10277" t="s">
        <v>30794</v>
      </c>
      <c r="C10277" t="str">
        <f>"8307335"</f>
        <v>8307335</v>
      </c>
      <c r="D10277" t="s">
        <v>30748</v>
      </c>
      <c r="F10277" t="s">
        <v>30749</v>
      </c>
      <c r="I10277" t="s">
        <v>184</v>
      </c>
      <c r="J10277" t="s">
        <v>30</v>
      </c>
      <c r="K10277" t="str">
        <f>"27006"</f>
        <v>27006</v>
      </c>
      <c r="M10277" t="s">
        <v>17861</v>
      </c>
      <c r="N10277" t="str">
        <f>"1/10/2017 3:30:00 PM"</f>
        <v>1/10/2017 3:30:00 PM</v>
      </c>
      <c r="O10277" t="s">
        <v>30748</v>
      </c>
    </row>
    <row r="10278" spans="1:20" x14ac:dyDescent="0.25">
      <c r="A10278" t="str">
        <f>"3045519"</f>
        <v>3045519</v>
      </c>
      <c r="B10278" t="s">
        <v>30795</v>
      </c>
      <c r="C10278" t="str">
        <f>"8307320"</f>
        <v>8307320</v>
      </c>
      <c r="D10278" t="s">
        <v>30796</v>
      </c>
      <c r="F10278" t="s">
        <v>30797</v>
      </c>
      <c r="I10278" t="s">
        <v>29</v>
      </c>
      <c r="J10278" t="s">
        <v>30</v>
      </c>
      <c r="K10278" t="str">
        <f>"27028"</f>
        <v>27028</v>
      </c>
      <c r="M10278" t="s">
        <v>17861</v>
      </c>
      <c r="N10278" t="str">
        <f>"1/4/2017 1:47:00 PM"</f>
        <v>1/4/2017 1:47:00 PM</v>
      </c>
      <c r="O10278" t="s">
        <v>30796</v>
      </c>
    </row>
    <row r="10279" spans="1:20" x14ac:dyDescent="0.25">
      <c r="A10279" t="str">
        <f>"3048865"</f>
        <v>3048865</v>
      </c>
      <c r="B10279" t="s">
        <v>30798</v>
      </c>
      <c r="C10279" t="str">
        <f>"8307323"</f>
        <v>8307323</v>
      </c>
      <c r="D10279" t="s">
        <v>30799</v>
      </c>
      <c r="F10279" t="s">
        <v>30800</v>
      </c>
      <c r="I10279" t="s">
        <v>29</v>
      </c>
      <c r="J10279" t="s">
        <v>30</v>
      </c>
      <c r="K10279" t="str">
        <f>"27028"</f>
        <v>27028</v>
      </c>
      <c r="M10279" t="s">
        <v>17861</v>
      </c>
      <c r="N10279" t="str">
        <f>"1/5/2017 9:34:00 AM"</f>
        <v>1/5/2017 9:34:00 AM</v>
      </c>
      <c r="O10279" t="s">
        <v>30799</v>
      </c>
    </row>
    <row r="10280" spans="1:20" x14ac:dyDescent="0.25">
      <c r="A10280" t="str">
        <f>"3071880"</f>
        <v>3071880</v>
      </c>
      <c r="B10280" t="s">
        <v>30801</v>
      </c>
      <c r="C10280" t="str">
        <f>"82531489"</f>
        <v>82531489</v>
      </c>
      <c r="D10280" t="s">
        <v>30802</v>
      </c>
      <c r="E10280" t="s">
        <v>30803</v>
      </c>
      <c r="F10280" t="s">
        <v>30804</v>
      </c>
      <c r="I10280" t="s">
        <v>29</v>
      </c>
      <c r="J10280" t="s">
        <v>30</v>
      </c>
      <c r="K10280" t="s">
        <v>31</v>
      </c>
      <c r="M10280" t="s">
        <v>18479</v>
      </c>
      <c r="N10280" t="str">
        <f>"1/5/2017 3:24:00 PM"</f>
        <v>1/5/2017 3:24:00 PM</v>
      </c>
      <c r="O10280" t="s">
        <v>30802</v>
      </c>
      <c r="T10280" t="s">
        <v>30803</v>
      </c>
    </row>
    <row r="10281" spans="1:20" x14ac:dyDescent="0.25">
      <c r="A10281" t="str">
        <f>"3053675"</f>
        <v>3053675</v>
      </c>
      <c r="B10281" t="s">
        <v>30805</v>
      </c>
      <c r="C10281" t="str">
        <f>"8307335"</f>
        <v>8307335</v>
      </c>
      <c r="D10281" t="s">
        <v>30748</v>
      </c>
      <c r="F10281" t="s">
        <v>30749</v>
      </c>
      <c r="I10281" t="s">
        <v>184</v>
      </c>
      <c r="J10281" t="s">
        <v>30</v>
      </c>
      <c r="K10281" t="str">
        <f>"27006"</f>
        <v>27006</v>
      </c>
      <c r="M10281" t="s">
        <v>17861</v>
      </c>
      <c r="N10281" t="str">
        <f>"1/10/2017 3:30:00 PM"</f>
        <v>1/10/2017 3:30:00 PM</v>
      </c>
      <c r="O10281" t="s">
        <v>30748</v>
      </c>
    </row>
    <row r="10282" spans="1:20" x14ac:dyDescent="0.25">
      <c r="A10282" t="str">
        <f>"3053626"</f>
        <v>3053626</v>
      </c>
      <c r="B10282" t="s">
        <v>30806</v>
      </c>
      <c r="C10282" t="str">
        <f>"8307335"</f>
        <v>8307335</v>
      </c>
      <c r="D10282" t="s">
        <v>30748</v>
      </c>
      <c r="F10282" t="s">
        <v>30749</v>
      </c>
      <c r="I10282" t="s">
        <v>184</v>
      </c>
      <c r="J10282" t="s">
        <v>30</v>
      </c>
      <c r="K10282" t="str">
        <f>"27006"</f>
        <v>27006</v>
      </c>
      <c r="M10282" t="s">
        <v>17861</v>
      </c>
      <c r="N10282" t="str">
        <f>"1/10/2017 3:30:00 PM"</f>
        <v>1/10/2017 3:30:00 PM</v>
      </c>
      <c r="O10282" t="s">
        <v>30748</v>
      </c>
    </row>
    <row r="10283" spans="1:20" x14ac:dyDescent="0.25">
      <c r="A10283" t="str">
        <f>"3055325"</f>
        <v>3055325</v>
      </c>
      <c r="B10283" t="s">
        <v>30807</v>
      </c>
      <c r="C10283" t="str">
        <f>"8307325"</f>
        <v>8307325</v>
      </c>
      <c r="D10283" t="s">
        <v>30808</v>
      </c>
      <c r="F10283" t="s">
        <v>30809</v>
      </c>
      <c r="I10283" t="s">
        <v>29</v>
      </c>
      <c r="J10283" t="s">
        <v>30</v>
      </c>
      <c r="K10283" t="str">
        <f>"27028"</f>
        <v>27028</v>
      </c>
      <c r="M10283" t="s">
        <v>17861</v>
      </c>
      <c r="N10283" t="str">
        <f>"1/5/2017 3:38:00 PM"</f>
        <v>1/5/2017 3:38:00 PM</v>
      </c>
      <c r="O10283" t="s">
        <v>30808</v>
      </c>
    </row>
    <row r="10284" spans="1:20" x14ac:dyDescent="0.25">
      <c r="A10284" t="str">
        <f>"3055892"</f>
        <v>3055892</v>
      </c>
      <c r="B10284" t="s">
        <v>30810</v>
      </c>
      <c r="C10284" t="str">
        <f>"65168500"</f>
        <v>65168500</v>
      </c>
      <c r="D10284" t="s">
        <v>23464</v>
      </c>
      <c r="F10284" t="s">
        <v>30769</v>
      </c>
      <c r="I10284" t="s">
        <v>30770</v>
      </c>
      <c r="J10284" t="s">
        <v>30</v>
      </c>
      <c r="K10284" t="str">
        <f>"27012"</f>
        <v>27012</v>
      </c>
      <c r="M10284" t="s">
        <v>27053</v>
      </c>
      <c r="N10284" t="str">
        <f>"1/5/2017 3:57:00 PM"</f>
        <v>1/5/2017 3:57:00 PM</v>
      </c>
      <c r="O10284" t="s">
        <v>23464</v>
      </c>
    </row>
    <row r="10285" spans="1:20" x14ac:dyDescent="0.25">
      <c r="A10285" t="str">
        <f>"3047930"</f>
        <v>3047930</v>
      </c>
      <c r="B10285" t="s">
        <v>30811</v>
      </c>
      <c r="C10285" t="str">
        <f>"8307346"</f>
        <v>8307346</v>
      </c>
      <c r="D10285" t="s">
        <v>30812</v>
      </c>
      <c r="F10285" t="s">
        <v>30813</v>
      </c>
      <c r="I10285" t="s">
        <v>29</v>
      </c>
      <c r="J10285" t="s">
        <v>30</v>
      </c>
      <c r="K10285" t="str">
        <f>"27028"</f>
        <v>27028</v>
      </c>
      <c r="M10285" t="s">
        <v>17861</v>
      </c>
      <c r="N10285" t="str">
        <f>"1/18/2017 10:36:00 AM"</f>
        <v>1/18/2017 10:36:00 AM</v>
      </c>
      <c r="O10285" t="s">
        <v>30812</v>
      </c>
    </row>
    <row r="10286" spans="1:20" x14ac:dyDescent="0.25">
      <c r="A10286" t="str">
        <f>"3049455"</f>
        <v>3049455</v>
      </c>
      <c r="B10286" t="s">
        <v>30814</v>
      </c>
      <c r="C10286" t="str">
        <f>"82533114"</f>
        <v>82533114</v>
      </c>
      <c r="D10286" t="s">
        <v>30815</v>
      </c>
      <c r="F10286" t="s">
        <v>30816</v>
      </c>
      <c r="I10286" t="s">
        <v>29</v>
      </c>
      <c r="J10286" t="s">
        <v>30</v>
      </c>
      <c r="K10286" t="str">
        <f>"27028"</f>
        <v>27028</v>
      </c>
      <c r="M10286" t="s">
        <v>27053</v>
      </c>
      <c r="N10286" t="str">
        <f>"1/18/2017 11:50:00 AM"</f>
        <v>1/18/2017 11:50:00 AM</v>
      </c>
      <c r="O10286" t="s">
        <v>30815</v>
      </c>
    </row>
    <row r="10287" spans="1:20" x14ac:dyDescent="0.25">
      <c r="A10287" t="str">
        <f>"3065454"</f>
        <v>3065454</v>
      </c>
      <c r="B10287" t="s">
        <v>30817</v>
      </c>
      <c r="C10287" t="str">
        <f>"8307132"</f>
        <v>8307132</v>
      </c>
      <c r="D10287" t="s">
        <v>30818</v>
      </c>
      <c r="F10287" t="s">
        <v>30819</v>
      </c>
      <c r="I10287" t="s">
        <v>3934</v>
      </c>
      <c r="J10287" t="s">
        <v>30</v>
      </c>
      <c r="K10287" t="str">
        <f>"27703"</f>
        <v>27703</v>
      </c>
      <c r="M10287" t="s">
        <v>17861</v>
      </c>
      <c r="N10287" t="str">
        <f>"1/18/2017 3:31:00 PM"</f>
        <v>1/18/2017 3:31:00 PM</v>
      </c>
      <c r="O10287" t="s">
        <v>30818</v>
      </c>
    </row>
    <row r="10288" spans="1:20" x14ac:dyDescent="0.25">
      <c r="A10288" t="str">
        <f>"3045366"</f>
        <v>3045366</v>
      </c>
      <c r="B10288" t="s">
        <v>30820</v>
      </c>
      <c r="C10288" t="str">
        <f>"82528218"</f>
        <v>82528218</v>
      </c>
      <c r="D10288" t="s">
        <v>30821</v>
      </c>
      <c r="F10288" t="s">
        <v>30822</v>
      </c>
      <c r="I10288" t="s">
        <v>1149</v>
      </c>
      <c r="J10288" t="s">
        <v>30</v>
      </c>
      <c r="K10288" t="s">
        <v>1150</v>
      </c>
      <c r="M10288" t="s">
        <v>17861</v>
      </c>
      <c r="N10288" t="str">
        <f>"2/3/2017 12:33:00 PM"</f>
        <v>2/3/2017 12:33:00 PM</v>
      </c>
      <c r="O10288" t="s">
        <v>30821</v>
      </c>
    </row>
    <row r="10289" spans="1:20" x14ac:dyDescent="0.25">
      <c r="A10289" t="str">
        <f>"3066129"</f>
        <v>3066129</v>
      </c>
      <c r="B10289" t="s">
        <v>30823</v>
      </c>
      <c r="C10289" t="str">
        <f>"72627250"</f>
        <v>72627250</v>
      </c>
      <c r="D10289" t="s">
        <v>30824</v>
      </c>
      <c r="E10289" t="s">
        <v>30825</v>
      </c>
      <c r="F10289" t="s">
        <v>30826</v>
      </c>
      <c r="I10289" t="s">
        <v>29</v>
      </c>
      <c r="J10289" t="s">
        <v>30</v>
      </c>
      <c r="K10289" t="s">
        <v>31</v>
      </c>
      <c r="M10289" t="s">
        <v>17861</v>
      </c>
      <c r="N10289" t="str">
        <f>"2/3/2017 12:36:00 PM"</f>
        <v>2/3/2017 12:36:00 PM</v>
      </c>
      <c r="O10289" t="s">
        <v>30824</v>
      </c>
      <c r="T10289" t="s">
        <v>30825</v>
      </c>
    </row>
    <row r="10290" spans="1:20" x14ac:dyDescent="0.25">
      <c r="A10290" t="str">
        <f>"3038382"</f>
        <v>3038382</v>
      </c>
      <c r="B10290" t="s">
        <v>30827</v>
      </c>
      <c r="C10290" t="str">
        <f>"8307349"</f>
        <v>8307349</v>
      </c>
      <c r="D10290" t="s">
        <v>30828</v>
      </c>
      <c r="E10290" t="s">
        <v>30829</v>
      </c>
      <c r="F10290" t="s">
        <v>20971</v>
      </c>
      <c r="I10290" t="s">
        <v>29</v>
      </c>
      <c r="J10290" t="s">
        <v>30</v>
      </c>
      <c r="K10290" t="str">
        <f>"27028"</f>
        <v>27028</v>
      </c>
      <c r="M10290" t="s">
        <v>17861</v>
      </c>
      <c r="N10290" t="str">
        <f>"1/18/2017 4:41:00 PM"</f>
        <v>1/18/2017 4:41:00 PM</v>
      </c>
      <c r="O10290" t="s">
        <v>30828</v>
      </c>
      <c r="T10290" t="s">
        <v>30829</v>
      </c>
    </row>
    <row r="10291" spans="1:20" x14ac:dyDescent="0.25">
      <c r="A10291" t="str">
        <f>"3040162"</f>
        <v>3040162</v>
      </c>
      <c r="B10291" t="s">
        <v>30830</v>
      </c>
      <c r="C10291" t="str">
        <f>"8307351"</f>
        <v>8307351</v>
      </c>
      <c r="D10291" t="s">
        <v>30831</v>
      </c>
      <c r="F10291" t="s">
        <v>27069</v>
      </c>
      <c r="I10291" t="s">
        <v>29</v>
      </c>
      <c r="J10291" t="s">
        <v>30</v>
      </c>
      <c r="K10291" t="str">
        <f>"27028"</f>
        <v>27028</v>
      </c>
      <c r="M10291" t="s">
        <v>17861</v>
      </c>
      <c r="N10291" t="str">
        <f>"1/19/2017 3:32:00 PM"</f>
        <v>1/19/2017 3:32:00 PM</v>
      </c>
      <c r="O10291" t="s">
        <v>30831</v>
      </c>
    </row>
    <row r="10292" spans="1:20" x14ac:dyDescent="0.25">
      <c r="A10292" t="str">
        <f>"3056048"</f>
        <v>3056048</v>
      </c>
      <c r="B10292" t="s">
        <v>30832</v>
      </c>
      <c r="C10292" t="str">
        <f>"6630250"</f>
        <v>6630250</v>
      </c>
      <c r="D10292" t="s">
        <v>30833</v>
      </c>
      <c r="F10292" t="s">
        <v>27468</v>
      </c>
      <c r="I10292" t="s">
        <v>964</v>
      </c>
      <c r="J10292" t="s">
        <v>30</v>
      </c>
      <c r="K10292" t="s">
        <v>11521</v>
      </c>
      <c r="L10292" t="s">
        <v>2497</v>
      </c>
      <c r="M10292" t="s">
        <v>22859</v>
      </c>
      <c r="N10292" t="str">
        <f>"1/19/2017 4:21:00 PM"</f>
        <v>1/19/2017 4:21:00 PM</v>
      </c>
      <c r="O10292" t="s">
        <v>30833</v>
      </c>
    </row>
    <row r="10293" spans="1:20" x14ac:dyDescent="0.25">
      <c r="A10293" t="str">
        <f>"3057448"</f>
        <v>3057448</v>
      </c>
      <c r="B10293" t="s">
        <v>30834</v>
      </c>
      <c r="C10293" t="str">
        <f>"8307352"</f>
        <v>8307352</v>
      </c>
      <c r="D10293" t="s">
        <v>30835</v>
      </c>
      <c r="E10293" t="s">
        <v>30836</v>
      </c>
      <c r="F10293" t="s">
        <v>30837</v>
      </c>
      <c r="I10293" t="s">
        <v>29</v>
      </c>
      <c r="J10293" t="s">
        <v>30</v>
      </c>
      <c r="K10293" t="str">
        <f>"27028"</f>
        <v>27028</v>
      </c>
      <c r="M10293" t="s">
        <v>17861</v>
      </c>
      <c r="N10293" t="str">
        <f>"1/20/2017 9:55:00 AM"</f>
        <v>1/20/2017 9:55:00 AM</v>
      </c>
      <c r="O10293" t="s">
        <v>30835</v>
      </c>
      <c r="T10293" t="s">
        <v>30836</v>
      </c>
    </row>
    <row r="10294" spans="1:20" x14ac:dyDescent="0.25">
      <c r="A10294" t="str">
        <f>"3057669"</f>
        <v>3057669</v>
      </c>
      <c r="B10294" t="s">
        <v>30838</v>
      </c>
      <c r="C10294" t="str">
        <f>"82531035"</f>
        <v>82531035</v>
      </c>
      <c r="D10294" t="s">
        <v>30839</v>
      </c>
      <c r="F10294" t="s">
        <v>30840</v>
      </c>
      <c r="I10294" t="s">
        <v>184</v>
      </c>
      <c r="J10294" t="s">
        <v>30</v>
      </c>
      <c r="K10294" t="s">
        <v>185</v>
      </c>
      <c r="M10294" t="s">
        <v>25733</v>
      </c>
      <c r="N10294" t="str">
        <f>"1/20/2017 10:21:00 AM"</f>
        <v>1/20/2017 10:21:00 AM</v>
      </c>
      <c r="O10294" t="s">
        <v>30839</v>
      </c>
    </row>
    <row r="10295" spans="1:20" x14ac:dyDescent="0.25">
      <c r="A10295" t="str">
        <f>"3037308"</f>
        <v>3037308</v>
      </c>
      <c r="B10295" t="s">
        <v>30841</v>
      </c>
      <c r="C10295" t="str">
        <f>"8307339"</f>
        <v>8307339</v>
      </c>
      <c r="D10295" t="s">
        <v>30842</v>
      </c>
      <c r="E10295" t="s">
        <v>30843</v>
      </c>
      <c r="F10295" t="s">
        <v>30844</v>
      </c>
      <c r="I10295" t="s">
        <v>184</v>
      </c>
      <c r="J10295" t="s">
        <v>30</v>
      </c>
      <c r="K10295" t="str">
        <f>"27006"</f>
        <v>27006</v>
      </c>
      <c r="M10295" t="s">
        <v>17861</v>
      </c>
      <c r="N10295" t="str">
        <f>"1/11/2017 1:01:00 PM"</f>
        <v>1/11/2017 1:01:00 PM</v>
      </c>
      <c r="O10295" t="s">
        <v>30842</v>
      </c>
      <c r="T10295" t="s">
        <v>30843</v>
      </c>
    </row>
    <row r="10296" spans="1:20" x14ac:dyDescent="0.25">
      <c r="A10296" t="str">
        <f>"3047468"</f>
        <v>3047468</v>
      </c>
      <c r="B10296" t="s">
        <v>30845</v>
      </c>
      <c r="C10296" t="str">
        <f>"8307341"</f>
        <v>8307341</v>
      </c>
      <c r="D10296" t="s">
        <v>30846</v>
      </c>
      <c r="E10296" t="s">
        <v>30847</v>
      </c>
      <c r="F10296" t="s">
        <v>30848</v>
      </c>
      <c r="I10296" t="s">
        <v>184</v>
      </c>
      <c r="J10296" t="s">
        <v>30</v>
      </c>
      <c r="K10296" t="str">
        <f>"27006"</f>
        <v>27006</v>
      </c>
      <c r="M10296" t="s">
        <v>17861</v>
      </c>
      <c r="N10296" t="str">
        <f>"1/11/2017 2:42:00 PM"</f>
        <v>1/11/2017 2:42:00 PM</v>
      </c>
      <c r="O10296" t="s">
        <v>30846</v>
      </c>
      <c r="T10296" t="s">
        <v>30847</v>
      </c>
    </row>
    <row r="10297" spans="1:20" x14ac:dyDescent="0.25">
      <c r="A10297" t="str">
        <f>"3047821"</f>
        <v>3047821</v>
      </c>
      <c r="B10297" t="s">
        <v>30849</v>
      </c>
      <c r="C10297" t="str">
        <f>"8307341"</f>
        <v>8307341</v>
      </c>
      <c r="D10297" t="s">
        <v>30846</v>
      </c>
      <c r="E10297" t="s">
        <v>30847</v>
      </c>
      <c r="F10297" t="s">
        <v>30848</v>
      </c>
      <c r="I10297" t="s">
        <v>184</v>
      </c>
      <c r="J10297" t="s">
        <v>30</v>
      </c>
      <c r="K10297" t="str">
        <f>"27006"</f>
        <v>27006</v>
      </c>
      <c r="M10297" t="s">
        <v>17861</v>
      </c>
      <c r="N10297" t="str">
        <f>"1/11/2017 2:42:00 PM"</f>
        <v>1/11/2017 2:42:00 PM</v>
      </c>
      <c r="O10297" t="s">
        <v>30846</v>
      </c>
      <c r="T10297" t="s">
        <v>30847</v>
      </c>
    </row>
    <row r="10298" spans="1:20" x14ac:dyDescent="0.25">
      <c r="A10298" t="str">
        <f>"3046091"</f>
        <v>3046091</v>
      </c>
      <c r="B10298" t="s">
        <v>30850</v>
      </c>
      <c r="C10298" t="str">
        <f>"8307343"</f>
        <v>8307343</v>
      </c>
      <c r="D10298" t="s">
        <v>30851</v>
      </c>
      <c r="F10298" t="s">
        <v>30852</v>
      </c>
      <c r="I10298" t="s">
        <v>17921</v>
      </c>
      <c r="J10298" t="s">
        <v>30</v>
      </c>
      <c r="K10298" t="s">
        <v>30853</v>
      </c>
      <c r="M10298" t="s">
        <v>17861</v>
      </c>
      <c r="N10298" t="str">
        <f>"1/12/2017 10:27:00 AM"</f>
        <v>1/12/2017 10:27:00 AM</v>
      </c>
      <c r="O10298" t="s">
        <v>30851</v>
      </c>
    </row>
    <row r="10299" spans="1:20" x14ac:dyDescent="0.25">
      <c r="A10299" t="str">
        <f>"3050151"</f>
        <v>3050151</v>
      </c>
      <c r="B10299" t="s">
        <v>30854</v>
      </c>
      <c r="C10299" t="str">
        <f>"8307344"</f>
        <v>8307344</v>
      </c>
      <c r="D10299" t="s">
        <v>30855</v>
      </c>
      <c r="F10299" t="s">
        <v>30856</v>
      </c>
      <c r="I10299" t="s">
        <v>29</v>
      </c>
      <c r="J10299" t="s">
        <v>30</v>
      </c>
      <c r="K10299" t="str">
        <f>"27028"</f>
        <v>27028</v>
      </c>
      <c r="M10299" t="s">
        <v>17861</v>
      </c>
      <c r="N10299" t="str">
        <f>"1/12/2017 10:39:00 AM"</f>
        <v>1/12/2017 10:39:00 AM</v>
      </c>
      <c r="O10299" t="s">
        <v>30855</v>
      </c>
    </row>
    <row r="10300" spans="1:20" x14ac:dyDescent="0.25">
      <c r="A10300" t="str">
        <f>"3058998"</f>
        <v>3058998</v>
      </c>
      <c r="B10300" t="s">
        <v>30857</v>
      </c>
      <c r="C10300" t="str">
        <f>"1720000"</f>
        <v>1720000</v>
      </c>
      <c r="D10300" t="s">
        <v>30858</v>
      </c>
      <c r="E10300" t="s">
        <v>30859</v>
      </c>
      <c r="F10300" t="s">
        <v>30860</v>
      </c>
      <c r="I10300" t="s">
        <v>29</v>
      </c>
      <c r="J10300" t="s">
        <v>30</v>
      </c>
      <c r="K10300" t="s">
        <v>31</v>
      </c>
      <c r="M10300" t="s">
        <v>26316</v>
      </c>
      <c r="N10300" t="str">
        <f>"1/13/2017 11:06:00 AM"</f>
        <v>1/13/2017 11:06:00 AM</v>
      </c>
      <c r="O10300" t="s">
        <v>30858</v>
      </c>
      <c r="T10300" t="s">
        <v>30859</v>
      </c>
    </row>
    <row r="10301" spans="1:20" x14ac:dyDescent="0.25">
      <c r="A10301" t="str">
        <f>"3051315"</f>
        <v>3051315</v>
      </c>
      <c r="B10301" t="s">
        <v>30861</v>
      </c>
      <c r="C10301" t="str">
        <f>"8305900"</f>
        <v>8305900</v>
      </c>
      <c r="D10301" t="s">
        <v>30862</v>
      </c>
      <c r="F10301" t="s">
        <v>30863</v>
      </c>
      <c r="I10301" t="s">
        <v>29</v>
      </c>
      <c r="J10301" t="s">
        <v>30</v>
      </c>
      <c r="K10301" t="str">
        <f>"27028"</f>
        <v>27028</v>
      </c>
      <c r="M10301" t="s">
        <v>22859</v>
      </c>
      <c r="N10301" t="str">
        <f>"1/17/2017 8:47:00 AM"</f>
        <v>1/17/2017 8:47:00 AM</v>
      </c>
      <c r="O10301" t="s">
        <v>30862</v>
      </c>
    </row>
    <row r="10302" spans="1:20" x14ac:dyDescent="0.25">
      <c r="A10302" t="str">
        <f>"3040078"</f>
        <v>3040078</v>
      </c>
      <c r="B10302" t="s">
        <v>30864</v>
      </c>
      <c r="C10302" t="str">
        <f>"82524665"</f>
        <v>82524665</v>
      </c>
      <c r="D10302" t="s">
        <v>30865</v>
      </c>
      <c r="F10302" t="s">
        <v>30866</v>
      </c>
      <c r="I10302" t="s">
        <v>29</v>
      </c>
      <c r="J10302" t="s">
        <v>30</v>
      </c>
      <c r="K10302" t="s">
        <v>30867</v>
      </c>
      <c r="M10302" t="s">
        <v>17861</v>
      </c>
      <c r="N10302" t="str">
        <f>"2/3/2017 10:35:00 AM"</f>
        <v>2/3/2017 10:35:00 AM</v>
      </c>
      <c r="O10302" t="s">
        <v>30865</v>
      </c>
      <c r="T10302" t="s">
        <v>30865</v>
      </c>
    </row>
    <row r="10303" spans="1:20" x14ac:dyDescent="0.25">
      <c r="A10303" t="str">
        <f>"3054267"</f>
        <v>3054267</v>
      </c>
      <c r="B10303" t="s">
        <v>30868</v>
      </c>
      <c r="C10303" t="str">
        <f>"82528792"</f>
        <v>82528792</v>
      </c>
      <c r="D10303" t="s">
        <v>30869</v>
      </c>
      <c r="F10303" t="s">
        <v>30870</v>
      </c>
      <c r="I10303" t="s">
        <v>29</v>
      </c>
      <c r="J10303" t="s">
        <v>30</v>
      </c>
      <c r="K10303" t="s">
        <v>31</v>
      </c>
      <c r="M10303" t="s">
        <v>17861</v>
      </c>
      <c r="N10303" t="str">
        <f>"2/3/2017 11:24:00 AM"</f>
        <v>2/3/2017 11:24:00 AM</v>
      </c>
      <c r="O10303" t="s">
        <v>30869</v>
      </c>
    </row>
    <row r="10304" spans="1:20" x14ac:dyDescent="0.25">
      <c r="A10304" t="str">
        <f>"3059729"</f>
        <v>3059729</v>
      </c>
      <c r="B10304" t="s">
        <v>30871</v>
      </c>
      <c r="C10304" t="str">
        <f>"82530350"</f>
        <v>82530350</v>
      </c>
      <c r="D10304" t="s">
        <v>30872</v>
      </c>
      <c r="E10304" t="s">
        <v>30873</v>
      </c>
      <c r="F10304" t="s">
        <v>30874</v>
      </c>
      <c r="I10304" t="s">
        <v>29</v>
      </c>
      <c r="J10304" t="s">
        <v>30</v>
      </c>
      <c r="K10304" t="s">
        <v>30875</v>
      </c>
      <c r="M10304" t="s">
        <v>17861</v>
      </c>
      <c r="N10304" t="str">
        <f>"2/3/2017 1:09:00 PM"</f>
        <v>2/3/2017 1:09:00 PM</v>
      </c>
      <c r="O10304" t="s">
        <v>30872</v>
      </c>
      <c r="T10304" t="s">
        <v>30873</v>
      </c>
    </row>
    <row r="10305" spans="1:20" x14ac:dyDescent="0.25">
      <c r="A10305" t="str">
        <f>"3041040"</f>
        <v>3041040</v>
      </c>
      <c r="B10305" t="s">
        <v>30876</v>
      </c>
      <c r="C10305" t="str">
        <f>"6518000"</f>
        <v>6518000</v>
      </c>
      <c r="D10305" t="s">
        <v>30877</v>
      </c>
      <c r="E10305" t="s">
        <v>30878</v>
      </c>
      <c r="F10305" t="s">
        <v>30879</v>
      </c>
      <c r="I10305" t="s">
        <v>471</v>
      </c>
      <c r="J10305" t="s">
        <v>30</v>
      </c>
      <c r="K10305" t="s">
        <v>30880</v>
      </c>
      <c r="M10305" t="s">
        <v>17861</v>
      </c>
      <c r="N10305" t="str">
        <f>"2/3/2017 1:14:00 PM"</f>
        <v>2/3/2017 1:14:00 PM</v>
      </c>
      <c r="O10305" t="s">
        <v>30877</v>
      </c>
      <c r="T10305" t="s">
        <v>30878</v>
      </c>
    </row>
    <row r="10306" spans="1:20" x14ac:dyDescent="0.25">
      <c r="A10306" t="str">
        <f>"3038272"</f>
        <v>3038272</v>
      </c>
      <c r="B10306" t="s">
        <v>30881</v>
      </c>
      <c r="C10306" t="str">
        <f>"82525186"</f>
        <v>82525186</v>
      </c>
      <c r="D10306" t="s">
        <v>30882</v>
      </c>
      <c r="E10306" t="s">
        <v>30883</v>
      </c>
      <c r="F10306" t="s">
        <v>30884</v>
      </c>
      <c r="I10306" t="s">
        <v>30885</v>
      </c>
      <c r="J10306" t="s">
        <v>4132</v>
      </c>
      <c r="K10306" t="s">
        <v>30886</v>
      </c>
      <c r="M10306" t="s">
        <v>17861</v>
      </c>
      <c r="N10306" t="str">
        <f>"2/3/2017 1:30:00 PM"</f>
        <v>2/3/2017 1:30:00 PM</v>
      </c>
      <c r="O10306" t="s">
        <v>30882</v>
      </c>
      <c r="T10306" t="s">
        <v>30883</v>
      </c>
    </row>
    <row r="10307" spans="1:20" x14ac:dyDescent="0.25">
      <c r="A10307" t="str">
        <f>"3071217"</f>
        <v>3071217</v>
      </c>
      <c r="B10307" t="s">
        <v>30887</v>
      </c>
      <c r="C10307" t="str">
        <f>"8307383"</f>
        <v>8307383</v>
      </c>
      <c r="D10307" t="s">
        <v>30888</v>
      </c>
      <c r="F10307" t="s">
        <v>30889</v>
      </c>
      <c r="I10307" t="s">
        <v>2525</v>
      </c>
      <c r="J10307" t="s">
        <v>30</v>
      </c>
      <c r="K10307" t="str">
        <f>"27410"</f>
        <v>27410</v>
      </c>
      <c r="M10307" t="s">
        <v>17861</v>
      </c>
      <c r="N10307" t="str">
        <f>"2/6/2017 4:21:00 PM"</f>
        <v>2/6/2017 4:21:00 PM</v>
      </c>
      <c r="O10307" t="s">
        <v>30888</v>
      </c>
    </row>
    <row r="10308" spans="1:20" x14ac:dyDescent="0.25">
      <c r="A10308" t="str">
        <f>"3048235"</f>
        <v>3048235</v>
      </c>
      <c r="B10308" t="s">
        <v>30890</v>
      </c>
      <c r="C10308" t="str">
        <f>"77346000"</f>
        <v>77346000</v>
      </c>
      <c r="D10308" t="s">
        <v>30891</v>
      </c>
      <c r="F10308" t="s">
        <v>30892</v>
      </c>
      <c r="I10308" t="s">
        <v>29</v>
      </c>
      <c r="J10308" t="s">
        <v>30</v>
      </c>
      <c r="K10308" t="s">
        <v>23078</v>
      </c>
      <c r="M10308" t="s">
        <v>17861</v>
      </c>
      <c r="N10308" t="str">
        <f>"1/20/2017 1:21:00 PM"</f>
        <v>1/20/2017 1:21:00 PM</v>
      </c>
      <c r="O10308" t="s">
        <v>30891</v>
      </c>
    </row>
    <row r="10309" spans="1:20" x14ac:dyDescent="0.25">
      <c r="A10309" t="str">
        <f>"3039459"</f>
        <v>3039459</v>
      </c>
      <c r="B10309" t="s">
        <v>30893</v>
      </c>
      <c r="C10309" t="str">
        <f>"8303672"</f>
        <v>8303672</v>
      </c>
      <c r="D10309" t="s">
        <v>30894</v>
      </c>
      <c r="F10309" t="s">
        <v>30895</v>
      </c>
      <c r="I10309" t="s">
        <v>184</v>
      </c>
      <c r="J10309" t="s">
        <v>30</v>
      </c>
      <c r="K10309" t="str">
        <f>"27006"</f>
        <v>27006</v>
      </c>
      <c r="M10309" t="s">
        <v>25494</v>
      </c>
      <c r="N10309" t="str">
        <f>"2/7/2017 8:08:00 AM"</f>
        <v>2/7/2017 8:08:00 AM</v>
      </c>
      <c r="O10309" t="s">
        <v>30894</v>
      </c>
    </row>
    <row r="10310" spans="1:20" x14ac:dyDescent="0.25">
      <c r="A10310" t="str">
        <f>"3047850"</f>
        <v>3047850</v>
      </c>
      <c r="B10310" t="s">
        <v>30896</v>
      </c>
      <c r="C10310" t="str">
        <f>"8305543"</f>
        <v>8305543</v>
      </c>
      <c r="D10310" t="s">
        <v>30897</v>
      </c>
      <c r="E10310" t="s">
        <v>30898</v>
      </c>
      <c r="F10310" t="s">
        <v>30899</v>
      </c>
      <c r="I10310" t="s">
        <v>184</v>
      </c>
      <c r="J10310" t="s">
        <v>30</v>
      </c>
      <c r="K10310" t="s">
        <v>30900</v>
      </c>
      <c r="M10310" t="s">
        <v>17861</v>
      </c>
      <c r="N10310" t="str">
        <f>"2/7/2017 9:28:00 AM"</f>
        <v>2/7/2017 9:28:00 AM</v>
      </c>
      <c r="O10310" t="s">
        <v>30897</v>
      </c>
      <c r="T10310" t="s">
        <v>30898</v>
      </c>
    </row>
    <row r="10311" spans="1:20" x14ac:dyDescent="0.25">
      <c r="A10311" t="str">
        <f>"3047472"</f>
        <v>3047472</v>
      </c>
      <c r="B10311" t="s">
        <v>30901</v>
      </c>
      <c r="C10311" t="str">
        <f>"77346000"</f>
        <v>77346000</v>
      </c>
      <c r="D10311" t="s">
        <v>30891</v>
      </c>
      <c r="F10311" t="s">
        <v>30892</v>
      </c>
      <c r="I10311" t="s">
        <v>29</v>
      </c>
      <c r="J10311" t="s">
        <v>30</v>
      </c>
      <c r="K10311" t="s">
        <v>23078</v>
      </c>
      <c r="M10311" t="s">
        <v>17861</v>
      </c>
      <c r="N10311" t="str">
        <f>"1/20/2017 1:21:00 PM"</f>
        <v>1/20/2017 1:21:00 PM</v>
      </c>
      <c r="O10311" t="s">
        <v>30891</v>
      </c>
    </row>
    <row r="10312" spans="1:20" x14ac:dyDescent="0.25">
      <c r="A10312" t="str">
        <f>"3046108"</f>
        <v>3046108</v>
      </c>
      <c r="B10312" t="s">
        <v>30902</v>
      </c>
      <c r="C10312" t="str">
        <f>"82526940"</f>
        <v>82526940</v>
      </c>
      <c r="D10312" t="s">
        <v>30903</v>
      </c>
      <c r="E10312" t="s">
        <v>30904</v>
      </c>
      <c r="F10312" t="s">
        <v>30905</v>
      </c>
      <c r="I10312" t="s">
        <v>29</v>
      </c>
      <c r="J10312" t="s">
        <v>30</v>
      </c>
      <c r="K10312" t="s">
        <v>31</v>
      </c>
      <c r="M10312" t="s">
        <v>18479</v>
      </c>
      <c r="N10312" t="str">
        <f>"1/24/2017 1:30:00 PM"</f>
        <v>1/24/2017 1:30:00 PM</v>
      </c>
      <c r="O10312" t="s">
        <v>30903</v>
      </c>
      <c r="T10312" t="s">
        <v>30904</v>
      </c>
    </row>
    <row r="10313" spans="1:20" x14ac:dyDescent="0.25">
      <c r="A10313" t="str">
        <f>"3052166"</f>
        <v>3052166</v>
      </c>
      <c r="B10313" t="s">
        <v>30906</v>
      </c>
      <c r="C10313" t="str">
        <f>"53832560"</f>
        <v>53832560</v>
      </c>
      <c r="D10313" t="s">
        <v>30907</v>
      </c>
      <c r="F10313" t="s">
        <v>30908</v>
      </c>
      <c r="G10313" t="s">
        <v>30909</v>
      </c>
      <c r="I10313" t="s">
        <v>29</v>
      </c>
      <c r="J10313" t="s">
        <v>30</v>
      </c>
      <c r="K10313" t="s">
        <v>31</v>
      </c>
      <c r="M10313" t="s">
        <v>17861</v>
      </c>
      <c r="N10313" t="str">
        <f>"1/25/2017 3:05:00 PM"</f>
        <v>1/25/2017 3:05:00 PM</v>
      </c>
      <c r="O10313" t="s">
        <v>30907</v>
      </c>
    </row>
    <row r="10314" spans="1:20" x14ac:dyDescent="0.25">
      <c r="A10314" t="str">
        <f>"3052773"</f>
        <v>3052773</v>
      </c>
      <c r="B10314" t="s">
        <v>30910</v>
      </c>
      <c r="C10314" t="str">
        <f>"53832560"</f>
        <v>53832560</v>
      </c>
      <c r="D10314" t="s">
        <v>30907</v>
      </c>
      <c r="F10314" t="s">
        <v>30908</v>
      </c>
      <c r="G10314" t="s">
        <v>30909</v>
      </c>
      <c r="I10314" t="s">
        <v>29</v>
      </c>
      <c r="J10314" t="s">
        <v>30</v>
      </c>
      <c r="K10314" t="s">
        <v>31</v>
      </c>
      <c r="M10314" t="s">
        <v>17861</v>
      </c>
      <c r="N10314" t="str">
        <f>"1/25/2017 3:05:00 PM"</f>
        <v>1/25/2017 3:05:00 PM</v>
      </c>
      <c r="O10314" t="s">
        <v>30907</v>
      </c>
    </row>
    <row r="10315" spans="1:20" x14ac:dyDescent="0.25">
      <c r="A10315" t="str">
        <f>"3078712"</f>
        <v>3078712</v>
      </c>
      <c r="B10315" t="s">
        <v>30911</v>
      </c>
      <c r="C10315" t="str">
        <f>"8307354"</f>
        <v>8307354</v>
      </c>
      <c r="D10315" t="s">
        <v>30912</v>
      </c>
      <c r="E10315" t="s">
        <v>30913</v>
      </c>
      <c r="F10315" t="s">
        <v>30914</v>
      </c>
      <c r="I10315" t="s">
        <v>28704</v>
      </c>
      <c r="J10315" t="s">
        <v>30</v>
      </c>
      <c r="K10315" t="str">
        <f>"27021"</f>
        <v>27021</v>
      </c>
      <c r="M10315" t="s">
        <v>17861</v>
      </c>
      <c r="N10315" t="str">
        <f>"1/27/2017 10:19:00 AM"</f>
        <v>1/27/2017 10:19:00 AM</v>
      </c>
      <c r="O10315" t="s">
        <v>30912</v>
      </c>
      <c r="T10315" t="s">
        <v>30913</v>
      </c>
    </row>
    <row r="10316" spans="1:20" x14ac:dyDescent="0.25">
      <c r="A10316" t="str">
        <f>"3047338"</f>
        <v>3047338</v>
      </c>
      <c r="B10316" t="s">
        <v>30915</v>
      </c>
      <c r="C10316" t="str">
        <f>"82516575"</f>
        <v>82516575</v>
      </c>
      <c r="D10316" t="s">
        <v>30916</v>
      </c>
      <c r="F10316" t="s">
        <v>23276</v>
      </c>
      <c r="I10316" t="s">
        <v>29</v>
      </c>
      <c r="J10316" t="s">
        <v>30</v>
      </c>
      <c r="K10316" t="s">
        <v>31</v>
      </c>
      <c r="M10316" t="s">
        <v>17861</v>
      </c>
      <c r="N10316" t="str">
        <f>"2/7/2017 2:20:00 PM"</f>
        <v>2/7/2017 2:20:00 PM</v>
      </c>
      <c r="O10316" t="s">
        <v>30916</v>
      </c>
    </row>
    <row r="10317" spans="1:20" x14ac:dyDescent="0.25">
      <c r="A10317" t="str">
        <f>"3056911"</f>
        <v>3056911</v>
      </c>
      <c r="B10317" t="s">
        <v>30917</v>
      </c>
      <c r="C10317" t="str">
        <f>"82516575"</f>
        <v>82516575</v>
      </c>
      <c r="D10317" t="s">
        <v>30916</v>
      </c>
      <c r="F10317" t="s">
        <v>23276</v>
      </c>
      <c r="I10317" t="s">
        <v>29</v>
      </c>
      <c r="J10317" t="s">
        <v>30</v>
      </c>
      <c r="K10317" t="s">
        <v>31</v>
      </c>
      <c r="M10317" t="s">
        <v>17861</v>
      </c>
      <c r="N10317" t="str">
        <f>"2/7/2017 2:20:00 PM"</f>
        <v>2/7/2017 2:20:00 PM</v>
      </c>
      <c r="O10317" t="s">
        <v>30916</v>
      </c>
    </row>
    <row r="10318" spans="1:20" x14ac:dyDescent="0.25">
      <c r="A10318" t="str">
        <f>"3057579"</f>
        <v>3057579</v>
      </c>
      <c r="B10318" t="s">
        <v>30918</v>
      </c>
      <c r="C10318" t="str">
        <f>"8307359"</f>
        <v>8307359</v>
      </c>
      <c r="D10318" t="s">
        <v>30919</v>
      </c>
      <c r="F10318" t="s">
        <v>30920</v>
      </c>
      <c r="I10318" t="s">
        <v>29</v>
      </c>
      <c r="J10318" t="s">
        <v>30</v>
      </c>
      <c r="K10318" t="str">
        <f>"27028"</f>
        <v>27028</v>
      </c>
      <c r="M10318" t="s">
        <v>17861</v>
      </c>
      <c r="N10318" t="str">
        <f>"1/27/2017 11:27:00 AM"</f>
        <v>1/27/2017 11:27:00 AM</v>
      </c>
      <c r="O10318" t="s">
        <v>30919</v>
      </c>
    </row>
    <row r="10319" spans="1:20" x14ac:dyDescent="0.25">
      <c r="A10319" t="str">
        <f>"3054536"</f>
        <v>3054536</v>
      </c>
      <c r="B10319" t="s">
        <v>30921</v>
      </c>
      <c r="C10319" t="str">
        <f>"8307398"</f>
        <v>8307398</v>
      </c>
      <c r="D10319" t="s">
        <v>30922</v>
      </c>
      <c r="F10319" t="s">
        <v>30923</v>
      </c>
      <c r="I10319" t="s">
        <v>29</v>
      </c>
      <c r="J10319" t="s">
        <v>30</v>
      </c>
      <c r="K10319" t="str">
        <f>"27028"</f>
        <v>27028</v>
      </c>
      <c r="M10319" t="s">
        <v>17861</v>
      </c>
      <c r="N10319" t="str">
        <f>"2/7/2017 3:57:00 PM"</f>
        <v>2/7/2017 3:57:00 PM</v>
      </c>
      <c r="O10319" t="s">
        <v>30922</v>
      </c>
    </row>
    <row r="10320" spans="1:20" x14ac:dyDescent="0.25">
      <c r="A10320" t="str">
        <f>"3078261"</f>
        <v>3078261</v>
      </c>
      <c r="B10320" t="s">
        <v>30924</v>
      </c>
      <c r="C10320" t="str">
        <f>"8306314"</f>
        <v>8306314</v>
      </c>
      <c r="D10320" t="s">
        <v>30925</v>
      </c>
      <c r="E10320" t="s">
        <v>30926</v>
      </c>
      <c r="F10320" t="s">
        <v>30927</v>
      </c>
      <c r="I10320" t="s">
        <v>1149</v>
      </c>
      <c r="J10320" t="s">
        <v>30</v>
      </c>
      <c r="K10320" t="str">
        <f>"28634"</f>
        <v>28634</v>
      </c>
      <c r="M10320" t="s">
        <v>18479</v>
      </c>
      <c r="N10320" t="str">
        <f>"1/27/2017 3:41:00 PM"</f>
        <v>1/27/2017 3:41:00 PM</v>
      </c>
      <c r="O10320" t="s">
        <v>30925</v>
      </c>
      <c r="T10320" t="s">
        <v>30926</v>
      </c>
    </row>
    <row r="10321" spans="1:20" x14ac:dyDescent="0.25">
      <c r="A10321" t="str">
        <f>"3046151"</f>
        <v>3046151</v>
      </c>
      <c r="B10321" t="s">
        <v>30928</v>
      </c>
      <c r="C10321" t="str">
        <f>"82524055"</f>
        <v>82524055</v>
      </c>
      <c r="D10321" t="s">
        <v>30929</v>
      </c>
      <c r="F10321" t="s">
        <v>30930</v>
      </c>
      <c r="I10321" t="s">
        <v>29</v>
      </c>
      <c r="J10321" t="s">
        <v>30</v>
      </c>
      <c r="K10321" t="s">
        <v>30931</v>
      </c>
      <c r="M10321" t="s">
        <v>25625</v>
      </c>
      <c r="N10321" t="str">
        <f>"1/31/2017 11:05:00 AM"</f>
        <v>1/31/2017 11:05:00 AM</v>
      </c>
      <c r="O10321" t="s">
        <v>30929</v>
      </c>
    </row>
    <row r="10322" spans="1:20" x14ac:dyDescent="0.25">
      <c r="A10322" t="str">
        <f>"3058407"</f>
        <v>3058407</v>
      </c>
      <c r="B10322" t="s">
        <v>30932</v>
      </c>
      <c r="C10322" t="str">
        <f>"8307404"</f>
        <v>8307404</v>
      </c>
      <c r="D10322" t="s">
        <v>30933</v>
      </c>
      <c r="E10322" t="s">
        <v>30934</v>
      </c>
      <c r="F10322" t="s">
        <v>30935</v>
      </c>
      <c r="I10322" t="s">
        <v>2071</v>
      </c>
      <c r="J10322" t="s">
        <v>30</v>
      </c>
      <c r="K10322" t="str">
        <f>"27006"</f>
        <v>27006</v>
      </c>
      <c r="M10322" t="s">
        <v>17861</v>
      </c>
      <c r="N10322" t="str">
        <f>"2/7/2017 4:52:00 PM"</f>
        <v>2/7/2017 4:52:00 PM</v>
      </c>
      <c r="O10322" t="s">
        <v>30933</v>
      </c>
      <c r="T10322" t="s">
        <v>30934</v>
      </c>
    </row>
    <row r="10323" spans="1:20" x14ac:dyDescent="0.25">
      <c r="A10323" t="str">
        <f>"3050802"</f>
        <v>3050802</v>
      </c>
      <c r="B10323" t="s">
        <v>30936</v>
      </c>
      <c r="C10323" t="str">
        <f>"13652000"</f>
        <v>13652000</v>
      </c>
      <c r="D10323" t="s">
        <v>30937</v>
      </c>
      <c r="E10323" t="s">
        <v>30938</v>
      </c>
      <c r="F10323" t="s">
        <v>30939</v>
      </c>
      <c r="I10323" t="s">
        <v>184</v>
      </c>
      <c r="J10323" t="s">
        <v>30</v>
      </c>
      <c r="K10323" t="s">
        <v>185</v>
      </c>
      <c r="M10323" t="s">
        <v>18479</v>
      </c>
      <c r="N10323" t="str">
        <f>"2/2/2017 10:12:00 AM"</f>
        <v>2/2/2017 10:12:00 AM</v>
      </c>
      <c r="O10323" t="s">
        <v>30937</v>
      </c>
      <c r="T10323" t="s">
        <v>30938</v>
      </c>
    </row>
    <row r="10324" spans="1:20" x14ac:dyDescent="0.25">
      <c r="A10324" t="str">
        <f>"3061349"</f>
        <v>3061349</v>
      </c>
      <c r="B10324" t="s">
        <v>30940</v>
      </c>
      <c r="C10324" t="str">
        <f>"8307375"</f>
        <v>8307375</v>
      </c>
      <c r="D10324" t="s">
        <v>30941</v>
      </c>
      <c r="E10324" t="s">
        <v>30942</v>
      </c>
      <c r="F10324" t="s">
        <v>30943</v>
      </c>
      <c r="I10324" t="s">
        <v>184</v>
      </c>
      <c r="J10324" t="s">
        <v>30</v>
      </c>
      <c r="K10324" t="str">
        <f>"27006"</f>
        <v>27006</v>
      </c>
      <c r="M10324" t="s">
        <v>17861</v>
      </c>
      <c r="N10324" t="str">
        <f>"2/6/2017 3:03:00 PM"</f>
        <v>2/6/2017 3:03:00 PM</v>
      </c>
      <c r="O10324" t="s">
        <v>30941</v>
      </c>
      <c r="T10324" t="s">
        <v>30942</v>
      </c>
    </row>
    <row r="10325" spans="1:20" x14ac:dyDescent="0.25">
      <c r="A10325" t="str">
        <f>"3044048"</f>
        <v>3044048</v>
      </c>
      <c r="B10325" t="s">
        <v>30944</v>
      </c>
      <c r="C10325" t="str">
        <f>"8307376"</f>
        <v>8307376</v>
      </c>
      <c r="D10325" t="s">
        <v>30945</v>
      </c>
      <c r="F10325" t="s">
        <v>30946</v>
      </c>
      <c r="I10325" t="s">
        <v>184</v>
      </c>
      <c r="J10325" t="s">
        <v>30</v>
      </c>
      <c r="K10325" t="str">
        <f>"27006"</f>
        <v>27006</v>
      </c>
      <c r="M10325" t="s">
        <v>17861</v>
      </c>
      <c r="N10325" t="str">
        <f>"2/6/2017 3:39:00 PM"</f>
        <v>2/6/2017 3:39:00 PM</v>
      </c>
      <c r="O10325" t="s">
        <v>30945</v>
      </c>
    </row>
    <row r="10326" spans="1:20" x14ac:dyDescent="0.25">
      <c r="A10326" t="str">
        <f>"3040452"</f>
        <v>3040452</v>
      </c>
      <c r="B10326" t="s">
        <v>30947</v>
      </c>
      <c r="C10326" t="str">
        <f>"8307377"</f>
        <v>8307377</v>
      </c>
      <c r="D10326" t="s">
        <v>30948</v>
      </c>
      <c r="E10326" t="s">
        <v>30949</v>
      </c>
      <c r="F10326" t="s">
        <v>30950</v>
      </c>
      <c r="I10326" t="s">
        <v>29</v>
      </c>
      <c r="J10326" t="s">
        <v>30</v>
      </c>
      <c r="K10326" t="str">
        <f>"27028"</f>
        <v>27028</v>
      </c>
      <c r="M10326" t="s">
        <v>17861</v>
      </c>
      <c r="N10326" t="str">
        <f>"2/6/2017 3:53:00 PM"</f>
        <v>2/6/2017 3:53:00 PM</v>
      </c>
      <c r="O10326" t="s">
        <v>30948</v>
      </c>
      <c r="T10326" t="s">
        <v>30949</v>
      </c>
    </row>
    <row r="10327" spans="1:20" x14ac:dyDescent="0.25">
      <c r="A10327" t="str">
        <f>"3055464"</f>
        <v>3055464</v>
      </c>
      <c r="B10327" t="s">
        <v>30951</v>
      </c>
      <c r="C10327" t="str">
        <f>"8307379"</f>
        <v>8307379</v>
      </c>
      <c r="D10327" t="s">
        <v>30952</v>
      </c>
      <c r="F10327" t="s">
        <v>15854</v>
      </c>
      <c r="I10327" t="s">
        <v>29</v>
      </c>
      <c r="J10327" t="s">
        <v>30</v>
      </c>
      <c r="K10327" t="str">
        <f>"27028"</f>
        <v>27028</v>
      </c>
      <c r="M10327" t="s">
        <v>17861</v>
      </c>
      <c r="N10327" t="str">
        <f>"2/6/2017 3:58:00 PM"</f>
        <v>2/6/2017 3:58:00 PM</v>
      </c>
      <c r="O10327" t="s">
        <v>30952</v>
      </c>
    </row>
    <row r="10328" spans="1:20" x14ac:dyDescent="0.25">
      <c r="A10328" t="str">
        <f>"3044454"</f>
        <v>3044454</v>
      </c>
      <c r="B10328" t="s">
        <v>30953</v>
      </c>
      <c r="C10328" t="str">
        <f>"8307381"</f>
        <v>8307381</v>
      </c>
      <c r="D10328" t="s">
        <v>30954</v>
      </c>
      <c r="E10328" t="s">
        <v>30955</v>
      </c>
      <c r="F10328" t="s">
        <v>30956</v>
      </c>
      <c r="I10328" t="s">
        <v>184</v>
      </c>
      <c r="J10328" t="s">
        <v>30</v>
      </c>
      <c r="K10328" t="s">
        <v>30957</v>
      </c>
      <c r="M10328" t="s">
        <v>17861</v>
      </c>
      <c r="N10328" t="str">
        <f>"2/6/2017 4:08:00 PM"</f>
        <v>2/6/2017 4:08:00 PM</v>
      </c>
      <c r="O10328" t="s">
        <v>30954</v>
      </c>
      <c r="T10328" t="s">
        <v>30955</v>
      </c>
    </row>
    <row r="10329" spans="1:20" x14ac:dyDescent="0.25">
      <c r="A10329" t="str">
        <f>"3058070"</f>
        <v>3058070</v>
      </c>
      <c r="B10329" t="s">
        <v>30958</v>
      </c>
      <c r="C10329" t="str">
        <f>"8307382"</f>
        <v>8307382</v>
      </c>
      <c r="D10329" t="s">
        <v>30959</v>
      </c>
      <c r="E10329" t="s">
        <v>30960</v>
      </c>
      <c r="F10329" t="s">
        <v>30961</v>
      </c>
      <c r="I10329" t="s">
        <v>184</v>
      </c>
      <c r="J10329" t="s">
        <v>30</v>
      </c>
      <c r="K10329" t="str">
        <f>"27006"</f>
        <v>27006</v>
      </c>
      <c r="M10329" t="s">
        <v>17861</v>
      </c>
      <c r="N10329" t="str">
        <f>"2/6/2017 4:11:00 PM"</f>
        <v>2/6/2017 4:11:00 PM</v>
      </c>
      <c r="O10329" t="s">
        <v>30959</v>
      </c>
      <c r="T10329" t="s">
        <v>30960</v>
      </c>
    </row>
    <row r="10330" spans="1:20" x14ac:dyDescent="0.25">
      <c r="A10330" t="str">
        <f>"3039654"</f>
        <v>3039654</v>
      </c>
      <c r="B10330" t="s">
        <v>30962</v>
      </c>
      <c r="C10330" t="str">
        <f>"8303672"</f>
        <v>8303672</v>
      </c>
      <c r="D10330" t="s">
        <v>30894</v>
      </c>
      <c r="F10330" t="s">
        <v>30895</v>
      </c>
      <c r="I10330" t="s">
        <v>184</v>
      </c>
      <c r="J10330" t="s">
        <v>30</v>
      </c>
      <c r="K10330" t="str">
        <f>"27006"</f>
        <v>27006</v>
      </c>
      <c r="M10330" t="s">
        <v>25494</v>
      </c>
      <c r="N10330" t="str">
        <f>"2/7/2017 8:08:00 AM"</f>
        <v>2/7/2017 8:08:00 AM</v>
      </c>
      <c r="O10330" t="s">
        <v>30894</v>
      </c>
    </row>
    <row r="10331" spans="1:20" x14ac:dyDescent="0.25">
      <c r="A10331" t="str">
        <f>"3044171"</f>
        <v>3044171</v>
      </c>
      <c r="B10331" t="s">
        <v>30963</v>
      </c>
      <c r="C10331" t="str">
        <f>"8302234"</f>
        <v>8302234</v>
      </c>
      <c r="D10331" t="str">
        <f>"HYMAN STAFFORD M/MICHAEL R"</f>
        <v>HYMAN STAFFORD M/MICHAEL R</v>
      </c>
      <c r="E10331" t="str">
        <f>"HUGHES JOSEPH R/CHRISTINA ELIZ"</f>
        <v>HUGHES JOSEPH R/CHRISTINA ELIZ</v>
      </c>
      <c r="F10331" t="s">
        <v>30964</v>
      </c>
      <c r="I10331" t="s">
        <v>184</v>
      </c>
      <c r="J10331" t="s">
        <v>30</v>
      </c>
      <c r="K10331" t="str">
        <f>"27006"</f>
        <v>27006</v>
      </c>
      <c r="M10331" t="s">
        <v>17861</v>
      </c>
      <c r="N10331" t="str">
        <f>"2/3/2017 2:04:00 PM"</f>
        <v>2/3/2017 2:04:00 PM</v>
      </c>
      <c r="O10331" t="str">
        <f>"HYMAN STAFFORD M/MICHAEL R"</f>
        <v>HYMAN STAFFORD M/MICHAEL R</v>
      </c>
      <c r="T10331" t="str">
        <f>"HUGHES JOSEPH R/CHRISTINA ELIZ"</f>
        <v>HUGHES JOSEPH R/CHRISTINA ELIZ</v>
      </c>
    </row>
    <row r="10332" spans="1:20" x14ac:dyDescent="0.25">
      <c r="A10332" t="str">
        <f>"3061706"</f>
        <v>3061706</v>
      </c>
      <c r="B10332" t="s">
        <v>30965</v>
      </c>
      <c r="C10332" t="str">
        <f>"82522841"</f>
        <v>82522841</v>
      </c>
      <c r="D10332" t="s">
        <v>30966</v>
      </c>
      <c r="F10332" t="s">
        <v>30967</v>
      </c>
      <c r="I10332" t="s">
        <v>184</v>
      </c>
      <c r="J10332" t="s">
        <v>30</v>
      </c>
      <c r="K10332" t="s">
        <v>30968</v>
      </c>
      <c r="M10332" t="s">
        <v>17861</v>
      </c>
      <c r="N10332" t="str">
        <f>"2/3/2017 2:40:00 PM"</f>
        <v>2/3/2017 2:40:00 PM</v>
      </c>
      <c r="O10332" t="s">
        <v>30966</v>
      </c>
    </row>
    <row r="10333" spans="1:20" x14ac:dyDescent="0.25">
      <c r="A10333" t="str">
        <f>"3039830"</f>
        <v>3039830</v>
      </c>
      <c r="B10333" t="s">
        <v>30969</v>
      </c>
      <c r="C10333" t="str">
        <f>"8307364"</f>
        <v>8307364</v>
      </c>
      <c r="D10333" t="s">
        <v>30970</v>
      </c>
      <c r="E10333" t="str">
        <f>"PILCHER JOHN DARRELL/JOS CODY"</f>
        <v>PILCHER JOHN DARRELL/JOS CODY</v>
      </c>
      <c r="F10333" t="s">
        <v>30971</v>
      </c>
      <c r="I10333" t="s">
        <v>29</v>
      </c>
      <c r="J10333" t="s">
        <v>30</v>
      </c>
      <c r="K10333" t="str">
        <f>"27028"</f>
        <v>27028</v>
      </c>
      <c r="M10333" t="s">
        <v>17861</v>
      </c>
      <c r="N10333" t="str">
        <f>"2/6/2017 9:28:00 AM"</f>
        <v>2/6/2017 9:28:00 AM</v>
      </c>
      <c r="O10333" t="s">
        <v>30970</v>
      </c>
      <c r="T10333" t="str">
        <f>"PILCHER JOHN DARRELL/JOS CODY"</f>
        <v>PILCHER JOHN DARRELL/JOS CODY</v>
      </c>
    </row>
    <row r="10334" spans="1:20" x14ac:dyDescent="0.25">
      <c r="A10334" t="str">
        <f>"3062820"</f>
        <v>3062820</v>
      </c>
      <c r="B10334" t="s">
        <v>30972</v>
      </c>
      <c r="C10334" t="str">
        <f>"8307435"</f>
        <v>8307435</v>
      </c>
      <c r="D10334" t="s">
        <v>30973</v>
      </c>
      <c r="E10334" t="s">
        <v>30974</v>
      </c>
      <c r="F10334" t="s">
        <v>30975</v>
      </c>
      <c r="I10334" t="s">
        <v>29</v>
      </c>
      <c r="J10334" t="s">
        <v>30</v>
      </c>
      <c r="K10334" t="str">
        <f>"27028"</f>
        <v>27028</v>
      </c>
      <c r="M10334" t="s">
        <v>17861</v>
      </c>
      <c r="N10334" t="str">
        <f>"2/8/2017 3:48:00 PM"</f>
        <v>2/8/2017 3:48:00 PM</v>
      </c>
      <c r="O10334" t="s">
        <v>30973</v>
      </c>
      <c r="T10334" t="s">
        <v>30974</v>
      </c>
    </row>
    <row r="10335" spans="1:20" x14ac:dyDescent="0.25">
      <c r="A10335" t="str">
        <f>"3062822"</f>
        <v>3062822</v>
      </c>
      <c r="B10335" t="s">
        <v>30976</v>
      </c>
      <c r="C10335" t="str">
        <f>"8307435"</f>
        <v>8307435</v>
      </c>
      <c r="D10335" t="s">
        <v>30973</v>
      </c>
      <c r="E10335" t="s">
        <v>30974</v>
      </c>
      <c r="F10335" t="s">
        <v>30975</v>
      </c>
      <c r="I10335" t="s">
        <v>29</v>
      </c>
      <c r="J10335" t="s">
        <v>30</v>
      </c>
      <c r="K10335" t="str">
        <f>"27028"</f>
        <v>27028</v>
      </c>
      <c r="M10335" t="s">
        <v>17861</v>
      </c>
      <c r="N10335" t="str">
        <f>"2/8/2017 3:48:00 PM"</f>
        <v>2/8/2017 3:48:00 PM</v>
      </c>
      <c r="O10335" t="s">
        <v>30973</v>
      </c>
      <c r="T10335" t="s">
        <v>30974</v>
      </c>
    </row>
    <row r="10336" spans="1:20" x14ac:dyDescent="0.25">
      <c r="A10336" t="str">
        <f>"3046082"</f>
        <v>3046082</v>
      </c>
      <c r="B10336" t="s">
        <v>30977</v>
      </c>
      <c r="C10336" t="str">
        <f>"8307435"</f>
        <v>8307435</v>
      </c>
      <c r="D10336" t="s">
        <v>30973</v>
      </c>
      <c r="E10336" t="s">
        <v>30974</v>
      </c>
      <c r="F10336" t="s">
        <v>30975</v>
      </c>
      <c r="I10336" t="s">
        <v>29</v>
      </c>
      <c r="J10336" t="s">
        <v>30</v>
      </c>
      <c r="K10336" t="str">
        <f>"27028"</f>
        <v>27028</v>
      </c>
      <c r="M10336" t="s">
        <v>17861</v>
      </c>
      <c r="N10336" t="str">
        <f>"2/8/2017 3:48:00 PM"</f>
        <v>2/8/2017 3:48:00 PM</v>
      </c>
      <c r="O10336" t="s">
        <v>30973</v>
      </c>
      <c r="T10336" t="s">
        <v>30974</v>
      </c>
    </row>
    <row r="10337" spans="1:20" x14ac:dyDescent="0.25">
      <c r="A10337" t="str">
        <f>"3041825"</f>
        <v>3041825</v>
      </c>
      <c r="B10337" t="s">
        <v>30978</v>
      </c>
      <c r="C10337" t="str">
        <f>"8304728"</f>
        <v>8304728</v>
      </c>
      <c r="D10337" t="s">
        <v>30979</v>
      </c>
      <c r="E10337" t="s">
        <v>30980</v>
      </c>
      <c r="F10337" t="s">
        <v>30981</v>
      </c>
      <c r="I10337" t="s">
        <v>2071</v>
      </c>
      <c r="J10337" t="s">
        <v>30</v>
      </c>
      <c r="K10337" t="str">
        <f>"27006"</f>
        <v>27006</v>
      </c>
      <c r="M10337" t="s">
        <v>17861</v>
      </c>
      <c r="N10337" t="str">
        <f>"2/8/2017 3:56:00 PM"</f>
        <v>2/8/2017 3:56:00 PM</v>
      </c>
      <c r="O10337" t="s">
        <v>30979</v>
      </c>
      <c r="T10337" t="s">
        <v>30980</v>
      </c>
    </row>
    <row r="10338" spans="1:20" x14ac:dyDescent="0.25">
      <c r="A10338" t="str">
        <f>"3053702"</f>
        <v>3053702</v>
      </c>
      <c r="B10338" t="s">
        <v>30982</v>
      </c>
      <c r="C10338" t="str">
        <f>"8307440"</f>
        <v>8307440</v>
      </c>
      <c r="D10338" t="s">
        <v>30983</v>
      </c>
      <c r="E10338" t="s">
        <v>30984</v>
      </c>
      <c r="F10338" t="s">
        <v>30985</v>
      </c>
      <c r="I10338" t="s">
        <v>184</v>
      </c>
      <c r="J10338" t="s">
        <v>30</v>
      </c>
      <c r="K10338" t="str">
        <f>"27006"</f>
        <v>27006</v>
      </c>
      <c r="M10338" t="s">
        <v>17861</v>
      </c>
      <c r="N10338" t="str">
        <f>"2/8/2017 4:27:00 PM"</f>
        <v>2/8/2017 4:27:00 PM</v>
      </c>
      <c r="O10338" t="s">
        <v>30983</v>
      </c>
      <c r="T10338" t="s">
        <v>30984</v>
      </c>
    </row>
    <row r="10339" spans="1:20" x14ac:dyDescent="0.25">
      <c r="A10339" t="str">
        <f>"3054605"</f>
        <v>3054605</v>
      </c>
      <c r="B10339" t="s">
        <v>30986</v>
      </c>
      <c r="C10339" t="str">
        <f>"8307442"</f>
        <v>8307442</v>
      </c>
      <c r="D10339" t="s">
        <v>30987</v>
      </c>
      <c r="E10339" t="s">
        <v>30988</v>
      </c>
      <c r="F10339" t="s">
        <v>30989</v>
      </c>
      <c r="I10339" t="s">
        <v>29</v>
      </c>
      <c r="J10339" t="s">
        <v>30</v>
      </c>
      <c r="K10339" t="str">
        <f>"27028"</f>
        <v>27028</v>
      </c>
      <c r="M10339" t="s">
        <v>17861</v>
      </c>
      <c r="N10339" t="str">
        <f>"2/8/2017 4:36:00 PM"</f>
        <v>2/8/2017 4:36:00 PM</v>
      </c>
      <c r="O10339" t="s">
        <v>30987</v>
      </c>
      <c r="T10339" t="s">
        <v>30988</v>
      </c>
    </row>
    <row r="10340" spans="1:20" x14ac:dyDescent="0.25">
      <c r="A10340" t="str">
        <f>"3045965"</f>
        <v>3045965</v>
      </c>
      <c r="B10340" t="s">
        <v>30990</v>
      </c>
      <c r="C10340" t="str">
        <f>"82531597"</f>
        <v>82531597</v>
      </c>
      <c r="D10340" t="s">
        <v>30991</v>
      </c>
      <c r="E10340" t="s">
        <v>30992</v>
      </c>
      <c r="F10340" t="s">
        <v>29167</v>
      </c>
      <c r="I10340" t="s">
        <v>29168</v>
      </c>
      <c r="J10340" t="s">
        <v>30</v>
      </c>
      <c r="K10340" t="s">
        <v>30993</v>
      </c>
      <c r="M10340" t="s">
        <v>17861</v>
      </c>
      <c r="N10340" t="str">
        <f>"2/7/2017 10:18:00 AM"</f>
        <v>2/7/2017 10:18:00 AM</v>
      </c>
      <c r="O10340" t="s">
        <v>30991</v>
      </c>
      <c r="T10340" t="s">
        <v>30992</v>
      </c>
    </row>
    <row r="10341" spans="1:20" x14ac:dyDescent="0.25">
      <c r="A10341" t="str">
        <f>"3060278"</f>
        <v>3060278</v>
      </c>
      <c r="B10341" t="s">
        <v>30994</v>
      </c>
      <c r="C10341" t="str">
        <f>"8307386"</f>
        <v>8307386</v>
      </c>
      <c r="D10341" t="s">
        <v>30995</v>
      </c>
      <c r="F10341" t="s">
        <v>30996</v>
      </c>
      <c r="I10341" t="s">
        <v>184</v>
      </c>
      <c r="J10341" t="s">
        <v>30</v>
      </c>
      <c r="K10341" t="str">
        <f>"27006"</f>
        <v>27006</v>
      </c>
      <c r="M10341" t="s">
        <v>17861</v>
      </c>
      <c r="N10341" t="str">
        <f>"2/7/2017 10:42:00 AM"</f>
        <v>2/7/2017 10:42:00 AM</v>
      </c>
      <c r="O10341" t="s">
        <v>30995</v>
      </c>
    </row>
    <row r="10342" spans="1:20" x14ac:dyDescent="0.25">
      <c r="A10342" t="str">
        <f>"3046966"</f>
        <v>3046966</v>
      </c>
      <c r="B10342" t="s">
        <v>30997</v>
      </c>
      <c r="C10342" t="str">
        <f>"8307446"</f>
        <v>8307446</v>
      </c>
      <c r="D10342" t="s">
        <v>30998</v>
      </c>
      <c r="F10342" t="s">
        <v>30999</v>
      </c>
      <c r="I10342" t="s">
        <v>29</v>
      </c>
      <c r="J10342" t="s">
        <v>30</v>
      </c>
      <c r="K10342" t="str">
        <f>"27028"</f>
        <v>27028</v>
      </c>
      <c r="M10342" t="s">
        <v>17861</v>
      </c>
      <c r="N10342" t="str">
        <f>"2/8/2017 4:53:00 PM"</f>
        <v>2/8/2017 4:53:00 PM</v>
      </c>
      <c r="O10342" t="s">
        <v>30998</v>
      </c>
    </row>
    <row r="10343" spans="1:20" x14ac:dyDescent="0.25">
      <c r="A10343" t="str">
        <f>"3058146"</f>
        <v>3058146</v>
      </c>
      <c r="B10343" t="s">
        <v>31000</v>
      </c>
      <c r="C10343" t="str">
        <f>"8307451"</f>
        <v>8307451</v>
      </c>
      <c r="D10343" t="s">
        <v>31001</v>
      </c>
      <c r="E10343" t="s">
        <v>31002</v>
      </c>
      <c r="F10343" t="s">
        <v>31003</v>
      </c>
      <c r="I10343" t="s">
        <v>29</v>
      </c>
      <c r="J10343" t="s">
        <v>30</v>
      </c>
      <c r="K10343" t="str">
        <f>"27028"</f>
        <v>27028</v>
      </c>
      <c r="M10343" t="s">
        <v>17861</v>
      </c>
      <c r="N10343" t="str">
        <f>"2/9/2017 8:52:00 AM"</f>
        <v>2/9/2017 8:52:00 AM</v>
      </c>
      <c r="O10343" t="s">
        <v>31001</v>
      </c>
      <c r="T10343" t="s">
        <v>31002</v>
      </c>
    </row>
    <row r="10344" spans="1:20" x14ac:dyDescent="0.25">
      <c r="A10344" t="str">
        <f>"3078126"</f>
        <v>3078126</v>
      </c>
      <c r="B10344" t="s">
        <v>31004</v>
      </c>
      <c r="C10344" t="str">
        <f>"25629000"</f>
        <v>25629000</v>
      </c>
      <c r="D10344" t="s">
        <v>31005</v>
      </c>
      <c r="F10344" t="str">
        <f>"C/O ANDY &amp; CHRISTINE NAYLOR"</f>
        <v>C/O ANDY &amp; CHRISTINE NAYLOR</v>
      </c>
      <c r="G10344" t="s">
        <v>31006</v>
      </c>
      <c r="I10344" t="s">
        <v>29</v>
      </c>
      <c r="J10344" t="s">
        <v>30</v>
      </c>
      <c r="K10344" t="str">
        <f>"27028"</f>
        <v>27028</v>
      </c>
      <c r="M10344" t="s">
        <v>17861</v>
      </c>
      <c r="N10344" t="str">
        <f>"2/9/2017 9:16:00 AM"</f>
        <v>2/9/2017 9:16:00 AM</v>
      </c>
      <c r="O10344" t="s">
        <v>31005</v>
      </c>
    </row>
    <row r="10345" spans="1:20" x14ac:dyDescent="0.25">
      <c r="A10345" t="str">
        <f>"3048585"</f>
        <v>3048585</v>
      </c>
      <c r="B10345" t="s">
        <v>31007</v>
      </c>
      <c r="C10345" t="str">
        <f>"71167000"</f>
        <v>71167000</v>
      </c>
      <c r="D10345" t="s">
        <v>31008</v>
      </c>
      <c r="F10345" t="s">
        <v>31009</v>
      </c>
      <c r="I10345" t="s">
        <v>184</v>
      </c>
      <c r="J10345" t="s">
        <v>30</v>
      </c>
      <c r="K10345" t="s">
        <v>185</v>
      </c>
      <c r="M10345" t="s">
        <v>18479</v>
      </c>
      <c r="N10345" t="str">
        <f>"2/7/2017 11:22:00 AM"</f>
        <v>2/7/2017 11:22:00 AM</v>
      </c>
      <c r="O10345" t="s">
        <v>31008</v>
      </c>
    </row>
    <row r="10346" spans="1:20" x14ac:dyDescent="0.25">
      <c r="A10346" t="str">
        <f>"3045968"</f>
        <v>3045968</v>
      </c>
      <c r="B10346" t="s">
        <v>31010</v>
      </c>
      <c r="C10346" t="str">
        <f>"8300497"</f>
        <v>8300497</v>
      </c>
      <c r="D10346" t="s">
        <v>30385</v>
      </c>
      <c r="F10346" t="s">
        <v>26025</v>
      </c>
      <c r="I10346" t="s">
        <v>29</v>
      </c>
      <c r="J10346" t="s">
        <v>30</v>
      </c>
      <c r="K10346" t="s">
        <v>31</v>
      </c>
      <c r="M10346" t="s">
        <v>25625</v>
      </c>
      <c r="N10346" t="str">
        <f>"2/7/2017 2:09:00 PM"</f>
        <v>2/7/2017 2:09:00 PM</v>
      </c>
      <c r="O10346" t="s">
        <v>30385</v>
      </c>
    </row>
    <row r="10347" spans="1:20" x14ac:dyDescent="0.25">
      <c r="A10347" t="str">
        <f>"3045193"</f>
        <v>3045193</v>
      </c>
      <c r="B10347" t="s">
        <v>31011</v>
      </c>
      <c r="C10347" t="str">
        <f>"82517313"</f>
        <v>82517313</v>
      </c>
      <c r="D10347" t="s">
        <v>31012</v>
      </c>
      <c r="E10347" t="s">
        <v>31013</v>
      </c>
      <c r="F10347" t="s">
        <v>31014</v>
      </c>
      <c r="I10347" t="s">
        <v>29</v>
      </c>
      <c r="J10347" t="s">
        <v>30</v>
      </c>
      <c r="K10347" t="s">
        <v>31015</v>
      </c>
      <c r="M10347" t="s">
        <v>25625</v>
      </c>
      <c r="N10347" t="str">
        <f>"2/9/2017 11:21:00 AM"</f>
        <v>2/9/2017 11:21:00 AM</v>
      </c>
      <c r="O10347" t="s">
        <v>31012</v>
      </c>
      <c r="T10347" t="s">
        <v>31013</v>
      </c>
    </row>
    <row r="10348" spans="1:20" x14ac:dyDescent="0.25">
      <c r="A10348" t="str">
        <f>"3045225"</f>
        <v>3045225</v>
      </c>
      <c r="B10348" t="s">
        <v>31016</v>
      </c>
      <c r="C10348" t="str">
        <f>"82517313"</f>
        <v>82517313</v>
      </c>
      <c r="D10348" t="s">
        <v>31012</v>
      </c>
      <c r="E10348" t="s">
        <v>31013</v>
      </c>
      <c r="F10348" t="s">
        <v>31014</v>
      </c>
      <c r="I10348" t="s">
        <v>29</v>
      </c>
      <c r="J10348" t="s">
        <v>30</v>
      </c>
      <c r="K10348" t="s">
        <v>31015</v>
      </c>
      <c r="M10348" t="s">
        <v>25625</v>
      </c>
      <c r="N10348" t="str">
        <f>"2/9/2017 11:21:00 AM"</f>
        <v>2/9/2017 11:21:00 AM</v>
      </c>
      <c r="O10348" t="s">
        <v>31012</v>
      </c>
      <c r="T10348" t="s">
        <v>31013</v>
      </c>
    </row>
    <row r="10349" spans="1:20" x14ac:dyDescent="0.25">
      <c r="A10349" t="str">
        <f>"3044983"</f>
        <v>3044983</v>
      </c>
      <c r="B10349" t="s">
        <v>31017</v>
      </c>
      <c r="C10349" t="str">
        <f>"82517313"</f>
        <v>82517313</v>
      </c>
      <c r="D10349" t="s">
        <v>31012</v>
      </c>
      <c r="E10349" t="s">
        <v>31013</v>
      </c>
      <c r="F10349" t="s">
        <v>31014</v>
      </c>
      <c r="I10349" t="s">
        <v>29</v>
      </c>
      <c r="J10349" t="s">
        <v>30</v>
      </c>
      <c r="K10349" t="s">
        <v>31015</v>
      </c>
      <c r="M10349" t="s">
        <v>25625</v>
      </c>
      <c r="N10349" t="str">
        <f>"2/9/2017 11:21:00 AM"</f>
        <v>2/9/2017 11:21:00 AM</v>
      </c>
      <c r="O10349" t="s">
        <v>31012</v>
      </c>
      <c r="T10349" t="s">
        <v>31013</v>
      </c>
    </row>
    <row r="10350" spans="1:20" x14ac:dyDescent="0.25">
      <c r="A10350" t="str">
        <f>"3038735"</f>
        <v>3038735</v>
      </c>
      <c r="B10350" t="s">
        <v>31018</v>
      </c>
      <c r="C10350" t="str">
        <f>"82519485"</f>
        <v>82519485</v>
      </c>
      <c r="D10350" t="s">
        <v>31019</v>
      </c>
      <c r="E10350" t="s">
        <v>31020</v>
      </c>
      <c r="F10350" t="s">
        <v>31021</v>
      </c>
      <c r="I10350" t="s">
        <v>29</v>
      </c>
      <c r="J10350" t="s">
        <v>30</v>
      </c>
      <c r="K10350" t="s">
        <v>31</v>
      </c>
      <c r="M10350" t="s">
        <v>17861</v>
      </c>
      <c r="N10350" t="str">
        <f>"2/9/2017 4:30:00 PM"</f>
        <v>2/9/2017 4:30:00 PM</v>
      </c>
      <c r="O10350" t="s">
        <v>31019</v>
      </c>
      <c r="T10350" t="s">
        <v>31020</v>
      </c>
    </row>
    <row r="10351" spans="1:20" x14ac:dyDescent="0.25">
      <c r="A10351" t="str">
        <f>"3049870"</f>
        <v>3049870</v>
      </c>
      <c r="B10351" t="s">
        <v>31022</v>
      </c>
      <c r="C10351" t="str">
        <f>"82525498"</f>
        <v>82525498</v>
      </c>
      <c r="D10351" t="s">
        <v>31023</v>
      </c>
      <c r="E10351" t="s">
        <v>31024</v>
      </c>
      <c r="F10351" t="s">
        <v>31025</v>
      </c>
      <c r="I10351" t="s">
        <v>29</v>
      </c>
      <c r="J10351" t="s">
        <v>30</v>
      </c>
      <c r="K10351" t="s">
        <v>31</v>
      </c>
      <c r="M10351" t="s">
        <v>17861</v>
      </c>
      <c r="N10351" t="str">
        <f>"2/9/2017 4:32:00 PM"</f>
        <v>2/9/2017 4:32:00 PM</v>
      </c>
      <c r="O10351" t="s">
        <v>31023</v>
      </c>
      <c r="T10351" t="s">
        <v>31024</v>
      </c>
    </row>
    <row r="10352" spans="1:20" x14ac:dyDescent="0.25">
      <c r="A10352" t="str">
        <f>"3078123"</f>
        <v>3078123</v>
      </c>
      <c r="B10352" t="s">
        <v>31026</v>
      </c>
      <c r="C10352" t="str">
        <f>"8300497"</f>
        <v>8300497</v>
      </c>
      <c r="D10352" t="s">
        <v>30385</v>
      </c>
      <c r="F10352" t="s">
        <v>26025</v>
      </c>
      <c r="I10352" t="s">
        <v>29</v>
      </c>
      <c r="J10352" t="s">
        <v>30</v>
      </c>
      <c r="K10352" t="s">
        <v>31</v>
      </c>
      <c r="M10352" t="s">
        <v>25625</v>
      </c>
      <c r="N10352" t="str">
        <f>"2/7/2017 2:09:00 PM"</f>
        <v>2/7/2017 2:09:00 PM</v>
      </c>
      <c r="O10352" t="s">
        <v>30385</v>
      </c>
    </row>
    <row r="10353" spans="1:20" x14ac:dyDescent="0.25">
      <c r="A10353" t="str">
        <f>"3052413"</f>
        <v>3052413</v>
      </c>
      <c r="B10353" t="s">
        <v>31027</v>
      </c>
      <c r="C10353" t="str">
        <f>"8307396"</f>
        <v>8307396</v>
      </c>
      <c r="D10353" t="s">
        <v>31028</v>
      </c>
      <c r="F10353" t="s">
        <v>31029</v>
      </c>
      <c r="I10353" t="s">
        <v>29</v>
      </c>
      <c r="J10353" t="s">
        <v>30</v>
      </c>
      <c r="K10353" t="str">
        <f>"27028"</f>
        <v>27028</v>
      </c>
      <c r="M10353" t="s">
        <v>17861</v>
      </c>
      <c r="N10353" t="str">
        <f>"2/7/2017 3:23:00 PM"</f>
        <v>2/7/2017 3:23:00 PM</v>
      </c>
      <c r="O10353" t="s">
        <v>31028</v>
      </c>
    </row>
    <row r="10354" spans="1:20" x14ac:dyDescent="0.25">
      <c r="A10354" t="str">
        <f>"3062100"</f>
        <v>3062100</v>
      </c>
      <c r="B10354" t="s">
        <v>31030</v>
      </c>
      <c r="C10354" t="str">
        <f>"8307403"</f>
        <v>8307403</v>
      </c>
      <c r="D10354" t="s">
        <v>31031</v>
      </c>
      <c r="F10354" t="s">
        <v>31032</v>
      </c>
      <c r="I10354" t="s">
        <v>4502</v>
      </c>
      <c r="J10354" t="s">
        <v>30</v>
      </c>
      <c r="K10354" t="s">
        <v>31033</v>
      </c>
      <c r="M10354" t="s">
        <v>17861</v>
      </c>
      <c r="N10354" t="str">
        <f>"2/7/2017 4:42:00 PM"</f>
        <v>2/7/2017 4:42:00 PM</v>
      </c>
      <c r="O10354" t="s">
        <v>31031</v>
      </c>
    </row>
    <row r="10355" spans="1:20" x14ac:dyDescent="0.25">
      <c r="A10355" t="str">
        <f>"3061893"</f>
        <v>3061893</v>
      </c>
      <c r="B10355" t="s">
        <v>31034</v>
      </c>
      <c r="C10355" t="str">
        <f>"8307404"</f>
        <v>8307404</v>
      </c>
      <c r="D10355" t="s">
        <v>30933</v>
      </c>
      <c r="E10355" t="s">
        <v>30934</v>
      </c>
      <c r="F10355" t="s">
        <v>30935</v>
      </c>
      <c r="I10355" t="s">
        <v>2071</v>
      </c>
      <c r="J10355" t="s">
        <v>30</v>
      </c>
      <c r="K10355" t="str">
        <f>"27006"</f>
        <v>27006</v>
      </c>
      <c r="M10355" t="s">
        <v>17861</v>
      </c>
      <c r="N10355" t="str">
        <f>"2/7/2017 4:52:00 PM"</f>
        <v>2/7/2017 4:52:00 PM</v>
      </c>
      <c r="O10355" t="s">
        <v>30933</v>
      </c>
      <c r="T10355" t="s">
        <v>30934</v>
      </c>
    </row>
    <row r="10356" spans="1:20" x14ac:dyDescent="0.25">
      <c r="A10356" t="str">
        <f>"3056749"</f>
        <v>3056749</v>
      </c>
      <c r="B10356" t="s">
        <v>31035</v>
      </c>
      <c r="C10356" t="str">
        <f>"82525821"</f>
        <v>82525821</v>
      </c>
      <c r="D10356" t="s">
        <v>14019</v>
      </c>
      <c r="F10356" t="s">
        <v>31036</v>
      </c>
      <c r="I10356" t="s">
        <v>31037</v>
      </c>
      <c r="J10356" t="s">
        <v>30</v>
      </c>
      <c r="K10356" t="s">
        <v>965</v>
      </c>
      <c r="M10356" t="s">
        <v>27053</v>
      </c>
      <c r="N10356" t="str">
        <f>"2/6/2017 10:14:00 AM"</f>
        <v>2/6/2017 10:14:00 AM</v>
      </c>
      <c r="O10356" t="s">
        <v>14019</v>
      </c>
    </row>
    <row r="10357" spans="1:20" x14ac:dyDescent="0.25">
      <c r="A10357" t="str">
        <f>"3054566"</f>
        <v>3054566</v>
      </c>
      <c r="B10357" t="s">
        <v>31038</v>
      </c>
      <c r="C10357" t="str">
        <f>"8307367"</f>
        <v>8307367</v>
      </c>
      <c r="D10357" t="s">
        <v>31039</v>
      </c>
      <c r="E10357" t="s">
        <v>31040</v>
      </c>
      <c r="F10357" t="s">
        <v>31041</v>
      </c>
      <c r="I10357" t="s">
        <v>29</v>
      </c>
      <c r="J10357" t="s">
        <v>30</v>
      </c>
      <c r="K10357" t="str">
        <f>"27028"</f>
        <v>27028</v>
      </c>
      <c r="M10357" t="s">
        <v>17861</v>
      </c>
      <c r="N10357" t="str">
        <f>"2/6/2017 11:38:00 AM"</f>
        <v>2/6/2017 11:38:00 AM</v>
      </c>
      <c r="O10357" t="s">
        <v>31039</v>
      </c>
      <c r="T10357" t="s">
        <v>31040</v>
      </c>
    </row>
    <row r="10358" spans="1:20" x14ac:dyDescent="0.25">
      <c r="A10358" t="str">
        <f>"3057123"</f>
        <v>3057123</v>
      </c>
      <c r="B10358" t="s">
        <v>31042</v>
      </c>
      <c r="C10358" t="str">
        <f t="shared" ref="C10358:C10389" si="171">"69973000"</f>
        <v>69973000</v>
      </c>
      <c r="D10358" t="s">
        <v>31043</v>
      </c>
      <c r="F10358" t="s">
        <v>31044</v>
      </c>
      <c r="I10358" t="s">
        <v>29</v>
      </c>
      <c r="J10358" t="s">
        <v>30</v>
      </c>
      <c r="K10358" t="s">
        <v>31045</v>
      </c>
      <c r="M10358" t="s">
        <v>18479</v>
      </c>
      <c r="N10358" t="str">
        <f t="shared" ref="N10358:N10389" si="172">"2/10/2017 1:43:00 PM"</f>
        <v>2/10/2017 1:43:00 PM</v>
      </c>
      <c r="O10358" t="s">
        <v>31043</v>
      </c>
    </row>
    <row r="10359" spans="1:20" x14ac:dyDescent="0.25">
      <c r="A10359" t="str">
        <f>"3057139"</f>
        <v>3057139</v>
      </c>
      <c r="B10359" t="s">
        <v>31046</v>
      </c>
      <c r="C10359" t="str">
        <f t="shared" si="171"/>
        <v>69973000</v>
      </c>
      <c r="D10359" t="s">
        <v>31043</v>
      </c>
      <c r="F10359" t="s">
        <v>31044</v>
      </c>
      <c r="I10359" t="s">
        <v>29</v>
      </c>
      <c r="J10359" t="s">
        <v>30</v>
      </c>
      <c r="K10359" t="s">
        <v>31045</v>
      </c>
      <c r="M10359" t="s">
        <v>18479</v>
      </c>
      <c r="N10359" t="str">
        <f t="shared" si="172"/>
        <v>2/10/2017 1:43:00 PM</v>
      </c>
      <c r="O10359" t="s">
        <v>31043</v>
      </c>
    </row>
    <row r="10360" spans="1:20" x14ac:dyDescent="0.25">
      <c r="A10360" t="str">
        <f>"3057140"</f>
        <v>3057140</v>
      </c>
      <c r="B10360" t="s">
        <v>31047</v>
      </c>
      <c r="C10360" t="str">
        <f t="shared" si="171"/>
        <v>69973000</v>
      </c>
      <c r="D10360" t="s">
        <v>31043</v>
      </c>
      <c r="F10360" t="s">
        <v>31044</v>
      </c>
      <c r="I10360" t="s">
        <v>29</v>
      </c>
      <c r="J10360" t="s">
        <v>30</v>
      </c>
      <c r="K10360" t="s">
        <v>31045</v>
      </c>
      <c r="M10360" t="s">
        <v>18479</v>
      </c>
      <c r="N10360" t="str">
        <f t="shared" si="172"/>
        <v>2/10/2017 1:43:00 PM</v>
      </c>
      <c r="O10360" t="s">
        <v>31043</v>
      </c>
    </row>
    <row r="10361" spans="1:20" x14ac:dyDescent="0.25">
      <c r="A10361" t="str">
        <f>"3057129"</f>
        <v>3057129</v>
      </c>
      <c r="B10361" t="s">
        <v>31048</v>
      </c>
      <c r="C10361" t="str">
        <f t="shared" si="171"/>
        <v>69973000</v>
      </c>
      <c r="D10361" t="s">
        <v>31043</v>
      </c>
      <c r="F10361" t="s">
        <v>31044</v>
      </c>
      <c r="I10361" t="s">
        <v>29</v>
      </c>
      <c r="J10361" t="s">
        <v>30</v>
      </c>
      <c r="K10361" t="s">
        <v>31045</v>
      </c>
      <c r="M10361" t="s">
        <v>18479</v>
      </c>
      <c r="N10361" t="str">
        <f t="shared" si="172"/>
        <v>2/10/2017 1:43:00 PM</v>
      </c>
      <c r="O10361" t="s">
        <v>31043</v>
      </c>
    </row>
    <row r="10362" spans="1:20" x14ac:dyDescent="0.25">
      <c r="A10362" t="str">
        <f>"3057130"</f>
        <v>3057130</v>
      </c>
      <c r="B10362" t="s">
        <v>31049</v>
      </c>
      <c r="C10362" t="str">
        <f t="shared" si="171"/>
        <v>69973000</v>
      </c>
      <c r="D10362" t="s">
        <v>31043</v>
      </c>
      <c r="F10362" t="s">
        <v>31044</v>
      </c>
      <c r="I10362" t="s">
        <v>29</v>
      </c>
      <c r="J10362" t="s">
        <v>30</v>
      </c>
      <c r="K10362" t="s">
        <v>31045</v>
      </c>
      <c r="M10362" t="s">
        <v>18479</v>
      </c>
      <c r="N10362" t="str">
        <f t="shared" si="172"/>
        <v>2/10/2017 1:43:00 PM</v>
      </c>
      <c r="O10362" t="s">
        <v>31043</v>
      </c>
    </row>
    <row r="10363" spans="1:20" x14ac:dyDescent="0.25">
      <c r="A10363" t="str">
        <f>"3057131"</f>
        <v>3057131</v>
      </c>
      <c r="B10363" t="s">
        <v>31050</v>
      </c>
      <c r="C10363" t="str">
        <f t="shared" si="171"/>
        <v>69973000</v>
      </c>
      <c r="D10363" t="s">
        <v>31043</v>
      </c>
      <c r="F10363" t="s">
        <v>31044</v>
      </c>
      <c r="I10363" t="s">
        <v>29</v>
      </c>
      <c r="J10363" t="s">
        <v>30</v>
      </c>
      <c r="K10363" t="s">
        <v>31045</v>
      </c>
      <c r="M10363" t="s">
        <v>18479</v>
      </c>
      <c r="N10363" t="str">
        <f t="shared" si="172"/>
        <v>2/10/2017 1:43:00 PM</v>
      </c>
      <c r="O10363" t="s">
        <v>31043</v>
      </c>
    </row>
    <row r="10364" spans="1:20" x14ac:dyDescent="0.25">
      <c r="A10364" t="str">
        <f>"3057132"</f>
        <v>3057132</v>
      </c>
      <c r="B10364" t="s">
        <v>31051</v>
      </c>
      <c r="C10364" t="str">
        <f t="shared" si="171"/>
        <v>69973000</v>
      </c>
      <c r="D10364" t="s">
        <v>31043</v>
      </c>
      <c r="F10364" t="s">
        <v>31044</v>
      </c>
      <c r="I10364" t="s">
        <v>29</v>
      </c>
      <c r="J10364" t="s">
        <v>30</v>
      </c>
      <c r="K10364" t="s">
        <v>31045</v>
      </c>
      <c r="M10364" t="s">
        <v>18479</v>
      </c>
      <c r="N10364" t="str">
        <f t="shared" si="172"/>
        <v>2/10/2017 1:43:00 PM</v>
      </c>
      <c r="O10364" t="s">
        <v>31043</v>
      </c>
    </row>
    <row r="10365" spans="1:20" x14ac:dyDescent="0.25">
      <c r="A10365" t="str">
        <f>"3057133"</f>
        <v>3057133</v>
      </c>
      <c r="B10365" t="s">
        <v>31052</v>
      </c>
      <c r="C10365" t="str">
        <f t="shared" si="171"/>
        <v>69973000</v>
      </c>
      <c r="D10365" t="s">
        <v>31043</v>
      </c>
      <c r="F10365" t="s">
        <v>31044</v>
      </c>
      <c r="I10365" t="s">
        <v>29</v>
      </c>
      <c r="J10365" t="s">
        <v>30</v>
      </c>
      <c r="K10365" t="s">
        <v>31045</v>
      </c>
      <c r="M10365" t="s">
        <v>18479</v>
      </c>
      <c r="N10365" t="str">
        <f t="shared" si="172"/>
        <v>2/10/2017 1:43:00 PM</v>
      </c>
      <c r="O10365" t="s">
        <v>31043</v>
      </c>
    </row>
    <row r="10366" spans="1:20" x14ac:dyDescent="0.25">
      <c r="A10366" t="str">
        <f>"3057145"</f>
        <v>3057145</v>
      </c>
      <c r="B10366" t="s">
        <v>31053</v>
      </c>
      <c r="C10366" t="str">
        <f t="shared" si="171"/>
        <v>69973000</v>
      </c>
      <c r="D10366" t="s">
        <v>31043</v>
      </c>
      <c r="F10366" t="s">
        <v>31044</v>
      </c>
      <c r="I10366" t="s">
        <v>29</v>
      </c>
      <c r="J10366" t="s">
        <v>30</v>
      </c>
      <c r="K10366" t="s">
        <v>31045</v>
      </c>
      <c r="M10366" t="s">
        <v>18479</v>
      </c>
      <c r="N10366" t="str">
        <f t="shared" si="172"/>
        <v>2/10/2017 1:43:00 PM</v>
      </c>
      <c r="O10366" t="s">
        <v>31043</v>
      </c>
    </row>
    <row r="10367" spans="1:20" x14ac:dyDescent="0.25">
      <c r="A10367" t="str">
        <f>"3057146"</f>
        <v>3057146</v>
      </c>
      <c r="B10367" t="s">
        <v>31054</v>
      </c>
      <c r="C10367" t="str">
        <f t="shared" si="171"/>
        <v>69973000</v>
      </c>
      <c r="D10367" t="s">
        <v>31043</v>
      </c>
      <c r="F10367" t="s">
        <v>31044</v>
      </c>
      <c r="I10367" t="s">
        <v>29</v>
      </c>
      <c r="J10367" t="s">
        <v>30</v>
      </c>
      <c r="K10367" t="s">
        <v>31045</v>
      </c>
      <c r="M10367" t="s">
        <v>18479</v>
      </c>
      <c r="N10367" t="str">
        <f t="shared" si="172"/>
        <v>2/10/2017 1:43:00 PM</v>
      </c>
      <c r="O10367" t="s">
        <v>31043</v>
      </c>
    </row>
    <row r="10368" spans="1:20" x14ac:dyDescent="0.25">
      <c r="A10368" t="str">
        <f>"3057147"</f>
        <v>3057147</v>
      </c>
      <c r="B10368" t="s">
        <v>31055</v>
      </c>
      <c r="C10368" t="str">
        <f t="shared" si="171"/>
        <v>69973000</v>
      </c>
      <c r="D10368" t="s">
        <v>31043</v>
      </c>
      <c r="F10368" t="s">
        <v>31044</v>
      </c>
      <c r="I10368" t="s">
        <v>29</v>
      </c>
      <c r="J10368" t="s">
        <v>30</v>
      </c>
      <c r="K10368" t="s">
        <v>31045</v>
      </c>
      <c r="M10368" t="s">
        <v>18479</v>
      </c>
      <c r="N10368" t="str">
        <f t="shared" si="172"/>
        <v>2/10/2017 1:43:00 PM</v>
      </c>
      <c r="O10368" t="s">
        <v>31043</v>
      </c>
    </row>
    <row r="10369" spans="1:15" x14ac:dyDescent="0.25">
      <c r="A10369" t="str">
        <f>"3057168"</f>
        <v>3057168</v>
      </c>
      <c r="B10369" t="s">
        <v>31056</v>
      </c>
      <c r="C10369" t="str">
        <f t="shared" si="171"/>
        <v>69973000</v>
      </c>
      <c r="D10369" t="s">
        <v>31043</v>
      </c>
      <c r="F10369" t="s">
        <v>31044</v>
      </c>
      <c r="I10369" t="s">
        <v>29</v>
      </c>
      <c r="J10369" t="s">
        <v>30</v>
      </c>
      <c r="K10369" t="s">
        <v>31045</v>
      </c>
      <c r="M10369" t="s">
        <v>18479</v>
      </c>
      <c r="N10369" t="str">
        <f t="shared" si="172"/>
        <v>2/10/2017 1:43:00 PM</v>
      </c>
      <c r="O10369" t="s">
        <v>31043</v>
      </c>
    </row>
    <row r="10370" spans="1:15" x14ac:dyDescent="0.25">
      <c r="A10370" t="str">
        <f>"3057175"</f>
        <v>3057175</v>
      </c>
      <c r="B10370" t="s">
        <v>31057</v>
      </c>
      <c r="C10370" t="str">
        <f t="shared" si="171"/>
        <v>69973000</v>
      </c>
      <c r="D10370" t="s">
        <v>31043</v>
      </c>
      <c r="F10370" t="s">
        <v>31044</v>
      </c>
      <c r="I10370" t="s">
        <v>29</v>
      </c>
      <c r="J10370" t="s">
        <v>30</v>
      </c>
      <c r="K10370" t="s">
        <v>31045</v>
      </c>
      <c r="M10370" t="s">
        <v>18479</v>
      </c>
      <c r="N10370" t="str">
        <f t="shared" si="172"/>
        <v>2/10/2017 1:43:00 PM</v>
      </c>
      <c r="O10370" t="s">
        <v>31043</v>
      </c>
    </row>
    <row r="10371" spans="1:15" x14ac:dyDescent="0.25">
      <c r="A10371" t="str">
        <f>"3057176"</f>
        <v>3057176</v>
      </c>
      <c r="B10371" t="s">
        <v>31058</v>
      </c>
      <c r="C10371" t="str">
        <f t="shared" si="171"/>
        <v>69973000</v>
      </c>
      <c r="D10371" t="s">
        <v>31043</v>
      </c>
      <c r="F10371" t="s">
        <v>31044</v>
      </c>
      <c r="I10371" t="s">
        <v>29</v>
      </c>
      <c r="J10371" t="s">
        <v>30</v>
      </c>
      <c r="K10371" t="s">
        <v>31045</v>
      </c>
      <c r="M10371" t="s">
        <v>18479</v>
      </c>
      <c r="N10371" t="str">
        <f t="shared" si="172"/>
        <v>2/10/2017 1:43:00 PM</v>
      </c>
      <c r="O10371" t="s">
        <v>31043</v>
      </c>
    </row>
    <row r="10372" spans="1:15" x14ac:dyDescent="0.25">
      <c r="A10372" t="str">
        <f>"3057157"</f>
        <v>3057157</v>
      </c>
      <c r="B10372" t="s">
        <v>31059</v>
      </c>
      <c r="C10372" t="str">
        <f t="shared" si="171"/>
        <v>69973000</v>
      </c>
      <c r="D10372" t="s">
        <v>31043</v>
      </c>
      <c r="F10372" t="s">
        <v>31044</v>
      </c>
      <c r="I10372" t="s">
        <v>29</v>
      </c>
      <c r="J10372" t="s">
        <v>30</v>
      </c>
      <c r="K10372" t="s">
        <v>31045</v>
      </c>
      <c r="M10372" t="s">
        <v>18479</v>
      </c>
      <c r="N10372" t="str">
        <f t="shared" si="172"/>
        <v>2/10/2017 1:43:00 PM</v>
      </c>
      <c r="O10372" t="s">
        <v>31043</v>
      </c>
    </row>
    <row r="10373" spans="1:15" x14ac:dyDescent="0.25">
      <c r="A10373" t="str">
        <f>"3057158"</f>
        <v>3057158</v>
      </c>
      <c r="B10373" t="s">
        <v>31060</v>
      </c>
      <c r="C10373" t="str">
        <f t="shared" si="171"/>
        <v>69973000</v>
      </c>
      <c r="D10373" t="s">
        <v>31043</v>
      </c>
      <c r="F10373" t="s">
        <v>31044</v>
      </c>
      <c r="I10373" t="s">
        <v>29</v>
      </c>
      <c r="J10373" t="s">
        <v>30</v>
      </c>
      <c r="K10373" t="s">
        <v>31045</v>
      </c>
      <c r="M10373" t="s">
        <v>18479</v>
      </c>
      <c r="N10373" t="str">
        <f t="shared" si="172"/>
        <v>2/10/2017 1:43:00 PM</v>
      </c>
      <c r="O10373" t="s">
        <v>31043</v>
      </c>
    </row>
    <row r="10374" spans="1:15" x14ac:dyDescent="0.25">
      <c r="A10374" t="str">
        <f>"3057159"</f>
        <v>3057159</v>
      </c>
      <c r="B10374" t="s">
        <v>31061</v>
      </c>
      <c r="C10374" t="str">
        <f t="shared" si="171"/>
        <v>69973000</v>
      </c>
      <c r="D10374" t="s">
        <v>31043</v>
      </c>
      <c r="F10374" t="s">
        <v>31044</v>
      </c>
      <c r="I10374" t="s">
        <v>29</v>
      </c>
      <c r="J10374" t="s">
        <v>30</v>
      </c>
      <c r="K10374" t="s">
        <v>31045</v>
      </c>
      <c r="M10374" t="s">
        <v>18479</v>
      </c>
      <c r="N10374" t="str">
        <f t="shared" si="172"/>
        <v>2/10/2017 1:43:00 PM</v>
      </c>
      <c r="O10374" t="s">
        <v>31043</v>
      </c>
    </row>
    <row r="10375" spans="1:15" x14ac:dyDescent="0.25">
      <c r="A10375" t="str">
        <f>"3057160"</f>
        <v>3057160</v>
      </c>
      <c r="B10375" t="s">
        <v>31062</v>
      </c>
      <c r="C10375" t="str">
        <f t="shared" si="171"/>
        <v>69973000</v>
      </c>
      <c r="D10375" t="s">
        <v>31043</v>
      </c>
      <c r="F10375" t="s">
        <v>31044</v>
      </c>
      <c r="I10375" t="s">
        <v>29</v>
      </c>
      <c r="J10375" t="s">
        <v>30</v>
      </c>
      <c r="K10375" t="s">
        <v>31045</v>
      </c>
      <c r="M10375" t="s">
        <v>18479</v>
      </c>
      <c r="N10375" t="str">
        <f t="shared" si="172"/>
        <v>2/10/2017 1:43:00 PM</v>
      </c>
      <c r="O10375" t="s">
        <v>31043</v>
      </c>
    </row>
    <row r="10376" spans="1:15" x14ac:dyDescent="0.25">
      <c r="A10376" t="str">
        <f>"3057161"</f>
        <v>3057161</v>
      </c>
      <c r="B10376" t="s">
        <v>31063</v>
      </c>
      <c r="C10376" t="str">
        <f t="shared" si="171"/>
        <v>69973000</v>
      </c>
      <c r="D10376" t="s">
        <v>31043</v>
      </c>
      <c r="F10376" t="s">
        <v>31044</v>
      </c>
      <c r="I10376" t="s">
        <v>29</v>
      </c>
      <c r="J10376" t="s">
        <v>30</v>
      </c>
      <c r="K10376" t="s">
        <v>31045</v>
      </c>
      <c r="M10376" t="s">
        <v>18479</v>
      </c>
      <c r="N10376" t="str">
        <f t="shared" si="172"/>
        <v>2/10/2017 1:43:00 PM</v>
      </c>
      <c r="O10376" t="s">
        <v>31043</v>
      </c>
    </row>
    <row r="10377" spans="1:15" x14ac:dyDescent="0.25">
      <c r="A10377" t="str">
        <f>"3057162"</f>
        <v>3057162</v>
      </c>
      <c r="B10377" t="s">
        <v>31064</v>
      </c>
      <c r="C10377" t="str">
        <f t="shared" si="171"/>
        <v>69973000</v>
      </c>
      <c r="D10377" t="s">
        <v>31043</v>
      </c>
      <c r="F10377" t="s">
        <v>31044</v>
      </c>
      <c r="I10377" t="s">
        <v>29</v>
      </c>
      <c r="J10377" t="s">
        <v>30</v>
      </c>
      <c r="K10377" t="s">
        <v>31045</v>
      </c>
      <c r="M10377" t="s">
        <v>18479</v>
      </c>
      <c r="N10377" t="str">
        <f t="shared" si="172"/>
        <v>2/10/2017 1:43:00 PM</v>
      </c>
      <c r="O10377" t="s">
        <v>31043</v>
      </c>
    </row>
    <row r="10378" spans="1:15" x14ac:dyDescent="0.25">
      <c r="A10378" t="str">
        <f>"3057163"</f>
        <v>3057163</v>
      </c>
      <c r="B10378" t="s">
        <v>31065</v>
      </c>
      <c r="C10378" t="str">
        <f t="shared" si="171"/>
        <v>69973000</v>
      </c>
      <c r="D10378" t="s">
        <v>31043</v>
      </c>
      <c r="F10378" t="s">
        <v>31044</v>
      </c>
      <c r="I10378" t="s">
        <v>29</v>
      </c>
      <c r="J10378" t="s">
        <v>30</v>
      </c>
      <c r="K10378" t="s">
        <v>31045</v>
      </c>
      <c r="M10378" t="s">
        <v>18479</v>
      </c>
      <c r="N10378" t="str">
        <f t="shared" si="172"/>
        <v>2/10/2017 1:43:00 PM</v>
      </c>
      <c r="O10378" t="s">
        <v>31043</v>
      </c>
    </row>
    <row r="10379" spans="1:15" x14ac:dyDescent="0.25">
      <c r="A10379" t="str">
        <f>"3057164"</f>
        <v>3057164</v>
      </c>
      <c r="B10379" t="s">
        <v>31066</v>
      </c>
      <c r="C10379" t="str">
        <f t="shared" si="171"/>
        <v>69973000</v>
      </c>
      <c r="D10379" t="s">
        <v>31043</v>
      </c>
      <c r="F10379" t="s">
        <v>31044</v>
      </c>
      <c r="I10379" t="s">
        <v>29</v>
      </c>
      <c r="J10379" t="s">
        <v>30</v>
      </c>
      <c r="K10379" t="s">
        <v>31045</v>
      </c>
      <c r="M10379" t="s">
        <v>18479</v>
      </c>
      <c r="N10379" t="str">
        <f t="shared" si="172"/>
        <v>2/10/2017 1:43:00 PM</v>
      </c>
      <c r="O10379" t="s">
        <v>31043</v>
      </c>
    </row>
    <row r="10380" spans="1:15" x14ac:dyDescent="0.25">
      <c r="A10380" t="str">
        <f>"3057152"</f>
        <v>3057152</v>
      </c>
      <c r="B10380" t="s">
        <v>31067</v>
      </c>
      <c r="C10380" t="str">
        <f t="shared" si="171"/>
        <v>69973000</v>
      </c>
      <c r="D10380" t="s">
        <v>31043</v>
      </c>
      <c r="F10380" t="s">
        <v>31044</v>
      </c>
      <c r="I10380" t="s">
        <v>29</v>
      </c>
      <c r="J10380" t="s">
        <v>30</v>
      </c>
      <c r="K10380" t="s">
        <v>31045</v>
      </c>
      <c r="M10380" t="s">
        <v>18479</v>
      </c>
      <c r="N10380" t="str">
        <f t="shared" si="172"/>
        <v>2/10/2017 1:43:00 PM</v>
      </c>
      <c r="O10380" t="s">
        <v>31043</v>
      </c>
    </row>
    <row r="10381" spans="1:15" x14ac:dyDescent="0.25">
      <c r="A10381" t="str">
        <f>"3057153"</f>
        <v>3057153</v>
      </c>
      <c r="B10381" t="s">
        <v>31068</v>
      </c>
      <c r="C10381" t="str">
        <f t="shared" si="171"/>
        <v>69973000</v>
      </c>
      <c r="D10381" t="s">
        <v>31043</v>
      </c>
      <c r="F10381" t="s">
        <v>31044</v>
      </c>
      <c r="I10381" t="s">
        <v>29</v>
      </c>
      <c r="J10381" t="s">
        <v>30</v>
      </c>
      <c r="K10381" t="s">
        <v>31045</v>
      </c>
      <c r="M10381" t="s">
        <v>18479</v>
      </c>
      <c r="N10381" t="str">
        <f t="shared" si="172"/>
        <v>2/10/2017 1:43:00 PM</v>
      </c>
      <c r="O10381" t="s">
        <v>31043</v>
      </c>
    </row>
    <row r="10382" spans="1:15" x14ac:dyDescent="0.25">
      <c r="A10382" t="str">
        <f>"3057154"</f>
        <v>3057154</v>
      </c>
      <c r="B10382" t="s">
        <v>31069</v>
      </c>
      <c r="C10382" t="str">
        <f t="shared" si="171"/>
        <v>69973000</v>
      </c>
      <c r="D10382" t="s">
        <v>31043</v>
      </c>
      <c r="F10382" t="s">
        <v>31044</v>
      </c>
      <c r="I10382" t="s">
        <v>29</v>
      </c>
      <c r="J10382" t="s">
        <v>30</v>
      </c>
      <c r="K10382" t="s">
        <v>31045</v>
      </c>
      <c r="M10382" t="s">
        <v>18479</v>
      </c>
      <c r="N10382" t="str">
        <f t="shared" si="172"/>
        <v>2/10/2017 1:43:00 PM</v>
      </c>
      <c r="O10382" t="s">
        <v>31043</v>
      </c>
    </row>
    <row r="10383" spans="1:15" x14ac:dyDescent="0.25">
      <c r="A10383" t="str">
        <f>"3057155"</f>
        <v>3057155</v>
      </c>
      <c r="B10383" t="s">
        <v>31070</v>
      </c>
      <c r="C10383" t="str">
        <f t="shared" si="171"/>
        <v>69973000</v>
      </c>
      <c r="D10383" t="s">
        <v>31043</v>
      </c>
      <c r="F10383" t="s">
        <v>31044</v>
      </c>
      <c r="I10383" t="s">
        <v>29</v>
      </c>
      <c r="J10383" t="s">
        <v>30</v>
      </c>
      <c r="K10383" t="s">
        <v>31045</v>
      </c>
      <c r="M10383" t="s">
        <v>18479</v>
      </c>
      <c r="N10383" t="str">
        <f t="shared" si="172"/>
        <v>2/10/2017 1:43:00 PM</v>
      </c>
      <c r="O10383" t="s">
        <v>31043</v>
      </c>
    </row>
    <row r="10384" spans="1:15" x14ac:dyDescent="0.25">
      <c r="A10384" t="str">
        <f>"3057166"</f>
        <v>3057166</v>
      </c>
      <c r="B10384" t="s">
        <v>31071</v>
      </c>
      <c r="C10384" t="str">
        <f t="shared" si="171"/>
        <v>69973000</v>
      </c>
      <c r="D10384" t="s">
        <v>31043</v>
      </c>
      <c r="F10384" t="s">
        <v>31044</v>
      </c>
      <c r="I10384" t="s">
        <v>29</v>
      </c>
      <c r="J10384" t="s">
        <v>30</v>
      </c>
      <c r="K10384" t="s">
        <v>31045</v>
      </c>
      <c r="M10384" t="s">
        <v>18479</v>
      </c>
      <c r="N10384" t="str">
        <f t="shared" si="172"/>
        <v>2/10/2017 1:43:00 PM</v>
      </c>
      <c r="O10384" t="s">
        <v>31043</v>
      </c>
    </row>
    <row r="10385" spans="1:20" x14ac:dyDescent="0.25">
      <c r="A10385" t="str">
        <f>"3057167"</f>
        <v>3057167</v>
      </c>
      <c r="B10385" t="s">
        <v>31072</v>
      </c>
      <c r="C10385" t="str">
        <f t="shared" si="171"/>
        <v>69973000</v>
      </c>
      <c r="D10385" t="s">
        <v>31043</v>
      </c>
      <c r="F10385" t="s">
        <v>31044</v>
      </c>
      <c r="I10385" t="s">
        <v>29</v>
      </c>
      <c r="J10385" t="s">
        <v>30</v>
      </c>
      <c r="K10385" t="s">
        <v>31045</v>
      </c>
      <c r="M10385" t="s">
        <v>18479</v>
      </c>
      <c r="N10385" t="str">
        <f t="shared" si="172"/>
        <v>2/10/2017 1:43:00 PM</v>
      </c>
      <c r="O10385" t="s">
        <v>31043</v>
      </c>
    </row>
    <row r="10386" spans="1:20" x14ac:dyDescent="0.25">
      <c r="A10386" t="str">
        <f>"3057170"</f>
        <v>3057170</v>
      </c>
      <c r="B10386" t="s">
        <v>31073</v>
      </c>
      <c r="C10386" t="str">
        <f t="shared" si="171"/>
        <v>69973000</v>
      </c>
      <c r="D10386" t="s">
        <v>31043</v>
      </c>
      <c r="F10386" t="s">
        <v>31044</v>
      </c>
      <c r="I10386" t="s">
        <v>29</v>
      </c>
      <c r="J10386" t="s">
        <v>30</v>
      </c>
      <c r="K10386" t="s">
        <v>31045</v>
      </c>
      <c r="M10386" t="s">
        <v>18479</v>
      </c>
      <c r="N10386" t="str">
        <f t="shared" si="172"/>
        <v>2/10/2017 1:43:00 PM</v>
      </c>
      <c r="O10386" t="s">
        <v>31043</v>
      </c>
    </row>
    <row r="10387" spans="1:20" x14ac:dyDescent="0.25">
      <c r="A10387" t="str">
        <f>"3057171"</f>
        <v>3057171</v>
      </c>
      <c r="B10387" t="s">
        <v>31074</v>
      </c>
      <c r="C10387" t="str">
        <f t="shared" si="171"/>
        <v>69973000</v>
      </c>
      <c r="D10387" t="s">
        <v>31043</v>
      </c>
      <c r="F10387" t="s">
        <v>31044</v>
      </c>
      <c r="I10387" t="s">
        <v>29</v>
      </c>
      <c r="J10387" t="s">
        <v>30</v>
      </c>
      <c r="K10387" t="s">
        <v>31045</v>
      </c>
      <c r="M10387" t="s">
        <v>18479</v>
      </c>
      <c r="N10387" t="str">
        <f t="shared" si="172"/>
        <v>2/10/2017 1:43:00 PM</v>
      </c>
      <c r="O10387" t="s">
        <v>31043</v>
      </c>
    </row>
    <row r="10388" spans="1:20" x14ac:dyDescent="0.25">
      <c r="A10388" t="str">
        <f>"3057172"</f>
        <v>3057172</v>
      </c>
      <c r="B10388" t="s">
        <v>31075</v>
      </c>
      <c r="C10388" t="str">
        <f t="shared" si="171"/>
        <v>69973000</v>
      </c>
      <c r="D10388" t="s">
        <v>31043</v>
      </c>
      <c r="F10388" t="s">
        <v>31044</v>
      </c>
      <c r="I10388" t="s">
        <v>29</v>
      </c>
      <c r="J10388" t="s">
        <v>30</v>
      </c>
      <c r="K10388" t="s">
        <v>31045</v>
      </c>
      <c r="M10388" t="s">
        <v>18479</v>
      </c>
      <c r="N10388" t="str">
        <f t="shared" si="172"/>
        <v>2/10/2017 1:43:00 PM</v>
      </c>
      <c r="O10388" t="s">
        <v>31043</v>
      </c>
    </row>
    <row r="10389" spans="1:20" x14ac:dyDescent="0.25">
      <c r="A10389" t="str">
        <f>"3057173"</f>
        <v>3057173</v>
      </c>
      <c r="B10389" t="s">
        <v>31076</v>
      </c>
      <c r="C10389" t="str">
        <f t="shared" si="171"/>
        <v>69973000</v>
      </c>
      <c r="D10389" t="s">
        <v>31043</v>
      </c>
      <c r="F10389" t="s">
        <v>31044</v>
      </c>
      <c r="I10389" t="s">
        <v>29</v>
      </c>
      <c r="J10389" t="s">
        <v>30</v>
      </c>
      <c r="K10389" t="s">
        <v>31045</v>
      </c>
      <c r="M10389" t="s">
        <v>18479</v>
      </c>
      <c r="N10389" t="str">
        <f t="shared" si="172"/>
        <v>2/10/2017 1:43:00 PM</v>
      </c>
      <c r="O10389" t="s">
        <v>31043</v>
      </c>
    </row>
    <row r="10390" spans="1:20" x14ac:dyDescent="0.25">
      <c r="A10390" t="str">
        <f>"3048460"</f>
        <v>3048460</v>
      </c>
      <c r="B10390" t="s">
        <v>31077</v>
      </c>
      <c r="C10390" t="str">
        <f>"8307368"</f>
        <v>8307368</v>
      </c>
      <c r="D10390" t="s">
        <v>31078</v>
      </c>
      <c r="F10390" t="s">
        <v>23276</v>
      </c>
      <c r="I10390" t="s">
        <v>29</v>
      </c>
      <c r="J10390" t="s">
        <v>30</v>
      </c>
      <c r="K10390" t="str">
        <f>"27028"</f>
        <v>27028</v>
      </c>
      <c r="M10390" t="s">
        <v>17861</v>
      </c>
      <c r="N10390" t="str">
        <f>"2/6/2017 11:43:00 AM"</f>
        <v>2/6/2017 11:43:00 AM</v>
      </c>
      <c r="O10390" t="s">
        <v>31078</v>
      </c>
    </row>
    <row r="10391" spans="1:20" x14ac:dyDescent="0.25">
      <c r="A10391" t="str">
        <f>"3050738"</f>
        <v>3050738</v>
      </c>
      <c r="B10391" t="s">
        <v>31079</v>
      </c>
      <c r="C10391" t="str">
        <f>"8307370"</f>
        <v>8307370</v>
      </c>
      <c r="D10391" t="s">
        <v>31080</v>
      </c>
      <c r="F10391" t="s">
        <v>31081</v>
      </c>
      <c r="I10391" t="s">
        <v>184</v>
      </c>
      <c r="J10391" t="s">
        <v>30</v>
      </c>
      <c r="K10391" t="str">
        <f>"27006"</f>
        <v>27006</v>
      </c>
      <c r="M10391" t="s">
        <v>17861</v>
      </c>
      <c r="N10391" t="str">
        <f>"2/6/2017 11:48:00 AM"</f>
        <v>2/6/2017 11:48:00 AM</v>
      </c>
      <c r="O10391" t="s">
        <v>31080</v>
      </c>
    </row>
    <row r="10392" spans="1:20" x14ac:dyDescent="0.25">
      <c r="A10392" t="str">
        <f>"3059409"</f>
        <v>3059409</v>
      </c>
      <c r="B10392" t="s">
        <v>31082</v>
      </c>
      <c r="C10392" t="str">
        <f>"8307373"</f>
        <v>8307373</v>
      </c>
      <c r="D10392" t="s">
        <v>31083</v>
      </c>
      <c r="F10392" t="s">
        <v>31084</v>
      </c>
      <c r="I10392" t="s">
        <v>29</v>
      </c>
      <c r="J10392" t="s">
        <v>30</v>
      </c>
      <c r="K10392" t="str">
        <f>"27028"</f>
        <v>27028</v>
      </c>
      <c r="M10392" t="s">
        <v>17861</v>
      </c>
      <c r="N10392" t="str">
        <f>"2/6/2017 2:56:00 PM"</f>
        <v>2/6/2017 2:56:00 PM</v>
      </c>
      <c r="O10392" t="s">
        <v>31083</v>
      </c>
    </row>
    <row r="10393" spans="1:20" x14ac:dyDescent="0.25">
      <c r="A10393" t="str">
        <f>"3060453"</f>
        <v>3060453</v>
      </c>
      <c r="B10393" t="s">
        <v>31085</v>
      </c>
      <c r="C10393" t="str">
        <f>"8304755"</f>
        <v>8304755</v>
      </c>
      <c r="D10393" t="s">
        <v>31086</v>
      </c>
      <c r="E10393" t="s">
        <v>31087</v>
      </c>
      <c r="F10393" t="s">
        <v>31088</v>
      </c>
      <c r="I10393" t="s">
        <v>29</v>
      </c>
      <c r="J10393" t="s">
        <v>30</v>
      </c>
      <c r="K10393" t="str">
        <f>"27028"</f>
        <v>27028</v>
      </c>
      <c r="M10393" t="s">
        <v>24254</v>
      </c>
      <c r="N10393" t="str">
        <f>"2/8/2017 11:23:00 AM"</f>
        <v>2/8/2017 11:23:00 AM</v>
      </c>
      <c r="O10393" t="s">
        <v>31086</v>
      </c>
      <c r="T10393" t="s">
        <v>31087</v>
      </c>
    </row>
    <row r="10394" spans="1:20" x14ac:dyDescent="0.25">
      <c r="A10394" t="str">
        <f>"3041804"</f>
        <v>3041804</v>
      </c>
      <c r="B10394" t="s">
        <v>31089</v>
      </c>
      <c r="C10394" t="str">
        <f>"8307420"</f>
        <v>8307420</v>
      </c>
      <c r="D10394" t="s">
        <v>31090</v>
      </c>
      <c r="E10394" t="s">
        <v>31091</v>
      </c>
      <c r="F10394" t="s">
        <v>31092</v>
      </c>
      <c r="I10394" t="s">
        <v>2071</v>
      </c>
      <c r="J10394" t="s">
        <v>30</v>
      </c>
      <c r="K10394" t="str">
        <f>"27006"</f>
        <v>27006</v>
      </c>
      <c r="M10394" t="s">
        <v>17861</v>
      </c>
      <c r="N10394" t="str">
        <f>"2/8/2017 12:56:00 PM"</f>
        <v>2/8/2017 12:56:00 PM</v>
      </c>
      <c r="O10394" t="s">
        <v>31090</v>
      </c>
      <c r="T10394" t="s">
        <v>31091</v>
      </c>
    </row>
    <row r="10395" spans="1:20" x14ac:dyDescent="0.25">
      <c r="A10395" t="str">
        <f>"3040742"</f>
        <v>3040742</v>
      </c>
      <c r="B10395" t="s">
        <v>31093</v>
      </c>
      <c r="C10395" t="str">
        <f>"8307421"</f>
        <v>8307421</v>
      </c>
      <c r="D10395" t="s">
        <v>31094</v>
      </c>
      <c r="F10395" t="s">
        <v>31095</v>
      </c>
      <c r="I10395" t="s">
        <v>184</v>
      </c>
      <c r="J10395" t="s">
        <v>30</v>
      </c>
      <c r="K10395" t="str">
        <f>"27006"</f>
        <v>27006</v>
      </c>
      <c r="M10395" t="s">
        <v>17861</v>
      </c>
      <c r="N10395" t="str">
        <f>"2/8/2017 12:59:00 PM"</f>
        <v>2/8/2017 12:59:00 PM</v>
      </c>
      <c r="O10395" t="s">
        <v>31094</v>
      </c>
    </row>
    <row r="10396" spans="1:20" x14ac:dyDescent="0.25">
      <c r="A10396" t="str">
        <f>"3063061"</f>
        <v>3063061</v>
      </c>
      <c r="B10396" t="s">
        <v>31096</v>
      </c>
      <c r="C10396" t="str">
        <f>"8307423"</f>
        <v>8307423</v>
      </c>
      <c r="D10396" t="s">
        <v>31097</v>
      </c>
      <c r="E10396" t="s">
        <v>31098</v>
      </c>
      <c r="F10396" t="s">
        <v>31099</v>
      </c>
      <c r="I10396" t="s">
        <v>184</v>
      </c>
      <c r="J10396" t="s">
        <v>30</v>
      </c>
      <c r="K10396" t="str">
        <f>"27006"</f>
        <v>27006</v>
      </c>
      <c r="M10396" t="s">
        <v>17861</v>
      </c>
      <c r="N10396" t="str">
        <f>"2/8/2017 1:10:00 PM"</f>
        <v>2/8/2017 1:10:00 PM</v>
      </c>
      <c r="O10396" t="s">
        <v>31097</v>
      </c>
      <c r="T10396" t="s">
        <v>31098</v>
      </c>
    </row>
    <row r="10397" spans="1:20" x14ac:dyDescent="0.25">
      <c r="A10397" t="str">
        <f>"3076975"</f>
        <v>3076975</v>
      </c>
      <c r="B10397" t="s">
        <v>31100</v>
      </c>
      <c r="C10397" t="str">
        <f>"8307425"</f>
        <v>8307425</v>
      </c>
      <c r="D10397" t="s">
        <v>31101</v>
      </c>
      <c r="E10397" t="s">
        <v>31102</v>
      </c>
      <c r="F10397" t="s">
        <v>31103</v>
      </c>
      <c r="I10397" t="s">
        <v>29</v>
      </c>
      <c r="J10397" t="s">
        <v>30</v>
      </c>
      <c r="K10397" t="str">
        <f>"27028"</f>
        <v>27028</v>
      </c>
      <c r="M10397" t="s">
        <v>17861</v>
      </c>
      <c r="N10397" t="str">
        <f>"2/8/2017 2:11:00 PM"</f>
        <v>2/8/2017 2:11:00 PM</v>
      </c>
      <c r="O10397" t="s">
        <v>31101</v>
      </c>
      <c r="T10397" t="s">
        <v>31102</v>
      </c>
    </row>
    <row r="10398" spans="1:20" x14ac:dyDescent="0.25">
      <c r="A10398" t="str">
        <f>"3037862"</f>
        <v>3037862</v>
      </c>
      <c r="B10398" t="s">
        <v>31104</v>
      </c>
      <c r="C10398" t="str">
        <f>"8307425"</f>
        <v>8307425</v>
      </c>
      <c r="D10398" t="s">
        <v>31101</v>
      </c>
      <c r="E10398" t="s">
        <v>31102</v>
      </c>
      <c r="F10398" t="s">
        <v>31103</v>
      </c>
      <c r="I10398" t="s">
        <v>29</v>
      </c>
      <c r="J10398" t="s">
        <v>30</v>
      </c>
      <c r="K10398" t="str">
        <f>"27028"</f>
        <v>27028</v>
      </c>
      <c r="M10398" t="s">
        <v>17861</v>
      </c>
      <c r="N10398" t="str">
        <f>"2/8/2017 2:11:00 PM"</f>
        <v>2/8/2017 2:11:00 PM</v>
      </c>
      <c r="O10398" t="s">
        <v>31101</v>
      </c>
      <c r="T10398" t="s">
        <v>31102</v>
      </c>
    </row>
    <row r="10399" spans="1:20" x14ac:dyDescent="0.25">
      <c r="A10399" t="str">
        <f>"3059366"</f>
        <v>3059366</v>
      </c>
      <c r="B10399" t="s">
        <v>31105</v>
      </c>
      <c r="C10399" t="str">
        <f>"8305703"</f>
        <v>8305703</v>
      </c>
      <c r="D10399" t="s">
        <v>31106</v>
      </c>
      <c r="F10399" t="s">
        <v>21407</v>
      </c>
      <c r="I10399" t="s">
        <v>29</v>
      </c>
      <c r="J10399" t="s">
        <v>30</v>
      </c>
      <c r="K10399" t="str">
        <f>"27028"</f>
        <v>27028</v>
      </c>
      <c r="M10399" t="s">
        <v>26316</v>
      </c>
      <c r="N10399" t="str">
        <f>"2/8/2017 2:15:00 PM"</f>
        <v>2/8/2017 2:15:00 PM</v>
      </c>
      <c r="O10399" t="s">
        <v>31106</v>
      </c>
    </row>
    <row r="10400" spans="1:20" x14ac:dyDescent="0.25">
      <c r="A10400" t="str">
        <f>"3044545"</f>
        <v>3044545</v>
      </c>
      <c r="B10400" t="s">
        <v>31107</v>
      </c>
      <c r="C10400" t="str">
        <f>"8307433"</f>
        <v>8307433</v>
      </c>
      <c r="D10400" t="s">
        <v>31108</v>
      </c>
      <c r="F10400" t="s">
        <v>31109</v>
      </c>
      <c r="I10400" t="s">
        <v>184</v>
      </c>
      <c r="J10400" t="s">
        <v>30</v>
      </c>
      <c r="K10400" t="str">
        <f>"27006"</f>
        <v>27006</v>
      </c>
      <c r="M10400" t="s">
        <v>17861</v>
      </c>
      <c r="N10400" t="str">
        <f>"2/8/2017 3:43:00 PM"</f>
        <v>2/8/2017 3:43:00 PM</v>
      </c>
      <c r="O10400" t="s">
        <v>31108</v>
      </c>
    </row>
    <row r="10401" spans="1:20" x14ac:dyDescent="0.25">
      <c r="A10401" t="str">
        <f>"3060302"</f>
        <v>3060302</v>
      </c>
      <c r="B10401" t="s">
        <v>31110</v>
      </c>
      <c r="C10401" t="str">
        <f>"8307434"</f>
        <v>8307434</v>
      </c>
      <c r="D10401" t="s">
        <v>31111</v>
      </c>
      <c r="F10401" t="s">
        <v>31112</v>
      </c>
      <c r="I10401" t="s">
        <v>29</v>
      </c>
      <c r="J10401" t="s">
        <v>30</v>
      </c>
      <c r="K10401" t="str">
        <f>"27028"</f>
        <v>27028</v>
      </c>
      <c r="M10401" t="s">
        <v>17861</v>
      </c>
      <c r="N10401" t="str">
        <f>"2/8/2017 3:46:00 PM"</f>
        <v>2/8/2017 3:46:00 PM</v>
      </c>
      <c r="O10401" t="s">
        <v>31111</v>
      </c>
    </row>
    <row r="10402" spans="1:20" x14ac:dyDescent="0.25">
      <c r="A10402" t="str">
        <f>"3067563"</f>
        <v>3067563</v>
      </c>
      <c r="B10402" t="s">
        <v>31113</v>
      </c>
      <c r="C10402" t="str">
        <f>"82533115"</f>
        <v>82533115</v>
      </c>
      <c r="D10402" t="s">
        <v>31114</v>
      </c>
      <c r="F10402" t="s">
        <v>26918</v>
      </c>
      <c r="I10402" t="s">
        <v>29</v>
      </c>
      <c r="J10402" t="s">
        <v>30</v>
      </c>
      <c r="K10402" t="str">
        <f>"27028"</f>
        <v>27028</v>
      </c>
      <c r="M10402" t="s">
        <v>17861</v>
      </c>
      <c r="N10402" t="str">
        <f>"2/8/2017 4:43:00 PM"</f>
        <v>2/8/2017 4:43:00 PM</v>
      </c>
      <c r="O10402" t="s">
        <v>31114</v>
      </c>
    </row>
    <row r="10403" spans="1:20" x14ac:dyDescent="0.25">
      <c r="A10403" t="str">
        <f>"3048330"</f>
        <v>3048330</v>
      </c>
      <c r="B10403" t="s">
        <v>31115</v>
      </c>
      <c r="C10403" t="str">
        <f>"8307445"</f>
        <v>8307445</v>
      </c>
      <c r="D10403" t="s">
        <v>31116</v>
      </c>
      <c r="F10403" t="s">
        <v>31117</v>
      </c>
      <c r="I10403" t="s">
        <v>29</v>
      </c>
      <c r="J10403" t="s">
        <v>30</v>
      </c>
      <c r="K10403" t="str">
        <f>"27028"</f>
        <v>27028</v>
      </c>
      <c r="M10403" t="s">
        <v>17861</v>
      </c>
      <c r="N10403" t="str">
        <f>"2/8/2017 4:46:00 PM"</f>
        <v>2/8/2017 4:46:00 PM</v>
      </c>
      <c r="O10403" t="s">
        <v>31116</v>
      </c>
    </row>
    <row r="10404" spans="1:20" x14ac:dyDescent="0.25">
      <c r="A10404" t="str">
        <f>"3045512"</f>
        <v>3045512</v>
      </c>
      <c r="B10404" t="s">
        <v>31118</v>
      </c>
      <c r="C10404" t="str">
        <f>"82517313"</f>
        <v>82517313</v>
      </c>
      <c r="D10404" t="s">
        <v>31012</v>
      </c>
      <c r="E10404" t="s">
        <v>31013</v>
      </c>
      <c r="F10404" t="s">
        <v>31014</v>
      </c>
      <c r="I10404" t="s">
        <v>29</v>
      </c>
      <c r="J10404" t="s">
        <v>30</v>
      </c>
      <c r="K10404" t="s">
        <v>31015</v>
      </c>
      <c r="M10404" t="s">
        <v>25625</v>
      </c>
      <c r="N10404" t="str">
        <f>"2/9/2017 11:21:00 AM"</f>
        <v>2/9/2017 11:21:00 AM</v>
      </c>
      <c r="O10404" t="s">
        <v>31012</v>
      </c>
      <c r="T10404" t="s">
        <v>31013</v>
      </c>
    </row>
    <row r="10405" spans="1:20" x14ac:dyDescent="0.25">
      <c r="A10405" t="str">
        <f>"3045192"</f>
        <v>3045192</v>
      </c>
      <c r="B10405" t="s">
        <v>31119</v>
      </c>
      <c r="C10405" t="str">
        <f>"82517313"</f>
        <v>82517313</v>
      </c>
      <c r="D10405" t="s">
        <v>31012</v>
      </c>
      <c r="E10405" t="s">
        <v>31013</v>
      </c>
      <c r="F10405" t="s">
        <v>31014</v>
      </c>
      <c r="I10405" t="s">
        <v>29</v>
      </c>
      <c r="J10405" t="s">
        <v>30</v>
      </c>
      <c r="K10405" t="s">
        <v>31015</v>
      </c>
      <c r="M10405" t="s">
        <v>25625</v>
      </c>
      <c r="N10405" t="str">
        <f>"2/9/2017 11:21:00 AM"</f>
        <v>2/9/2017 11:21:00 AM</v>
      </c>
      <c r="O10405" t="s">
        <v>31012</v>
      </c>
      <c r="T10405" t="s">
        <v>31013</v>
      </c>
    </row>
    <row r="10406" spans="1:20" x14ac:dyDescent="0.25">
      <c r="A10406" t="str">
        <f>"3044813"</f>
        <v>3044813</v>
      </c>
      <c r="B10406" t="s">
        <v>31120</v>
      </c>
      <c r="C10406" t="str">
        <f>"82528105"</f>
        <v>82528105</v>
      </c>
      <c r="D10406" t="s">
        <v>31121</v>
      </c>
      <c r="E10406" t="s">
        <v>31122</v>
      </c>
      <c r="F10406" t="s">
        <v>31123</v>
      </c>
      <c r="I10406" t="s">
        <v>184</v>
      </c>
      <c r="J10406" t="s">
        <v>30</v>
      </c>
      <c r="K10406" t="s">
        <v>185</v>
      </c>
      <c r="M10406" t="s">
        <v>17861</v>
      </c>
      <c r="N10406" t="str">
        <f>"2/9/2017 4:39:00 PM"</f>
        <v>2/9/2017 4:39:00 PM</v>
      </c>
      <c r="O10406" t="s">
        <v>31121</v>
      </c>
      <c r="T10406" t="s">
        <v>31122</v>
      </c>
    </row>
    <row r="10407" spans="1:20" x14ac:dyDescent="0.25">
      <c r="A10407" t="str">
        <f>"3056200"</f>
        <v>3056200</v>
      </c>
      <c r="B10407" t="s">
        <v>31124</v>
      </c>
      <c r="C10407" t="str">
        <f>"17036000"</f>
        <v>17036000</v>
      </c>
      <c r="D10407" t="s">
        <v>31125</v>
      </c>
      <c r="F10407" t="s">
        <v>31126</v>
      </c>
      <c r="I10407" t="s">
        <v>9580</v>
      </c>
      <c r="J10407" t="s">
        <v>30</v>
      </c>
      <c r="K10407" t="s">
        <v>9581</v>
      </c>
      <c r="M10407" t="s">
        <v>18470</v>
      </c>
      <c r="N10407" t="str">
        <f>"2/10/2017 10:18:00 AM"</f>
        <v>2/10/2017 10:18:00 AM</v>
      </c>
      <c r="O10407" t="s">
        <v>31125</v>
      </c>
    </row>
    <row r="10408" spans="1:20" x14ac:dyDescent="0.25">
      <c r="A10408" t="str">
        <f>"3056182"</f>
        <v>3056182</v>
      </c>
      <c r="B10408" t="s">
        <v>31127</v>
      </c>
      <c r="C10408" t="str">
        <f>"17036000"</f>
        <v>17036000</v>
      </c>
      <c r="D10408" t="s">
        <v>31125</v>
      </c>
      <c r="F10408" t="s">
        <v>31126</v>
      </c>
      <c r="I10408" t="s">
        <v>9580</v>
      </c>
      <c r="J10408" t="s">
        <v>30</v>
      </c>
      <c r="K10408" t="s">
        <v>9581</v>
      </c>
      <c r="M10408" t="s">
        <v>18470</v>
      </c>
      <c r="N10408" t="str">
        <f>"2/10/2017 10:18:00 AM"</f>
        <v>2/10/2017 10:18:00 AM</v>
      </c>
      <c r="O10408" t="s">
        <v>31125</v>
      </c>
    </row>
    <row r="10409" spans="1:20" x14ac:dyDescent="0.25">
      <c r="A10409" t="str">
        <f>"3039916"</f>
        <v>3039916</v>
      </c>
      <c r="B10409" t="s">
        <v>31128</v>
      </c>
      <c r="C10409" t="str">
        <f>"25066620"</f>
        <v>25066620</v>
      </c>
      <c r="D10409" t="s">
        <v>31129</v>
      </c>
      <c r="F10409" t="s">
        <v>27954</v>
      </c>
      <c r="I10409" t="s">
        <v>29</v>
      </c>
      <c r="J10409" t="s">
        <v>30</v>
      </c>
      <c r="K10409" t="s">
        <v>31</v>
      </c>
      <c r="M10409" t="s">
        <v>17861</v>
      </c>
      <c r="N10409" t="str">
        <f>"2/10/2017 10:54:00 AM"</f>
        <v>2/10/2017 10:54:00 AM</v>
      </c>
      <c r="O10409" t="s">
        <v>31129</v>
      </c>
    </row>
    <row r="10410" spans="1:20" x14ac:dyDescent="0.25">
      <c r="A10410" t="str">
        <f>"3056632"</f>
        <v>3056632</v>
      </c>
      <c r="B10410" t="s">
        <v>31130</v>
      </c>
      <c r="C10410" t="str">
        <f>"69973000"</f>
        <v>69973000</v>
      </c>
      <c r="D10410" t="s">
        <v>31043</v>
      </c>
      <c r="F10410" t="s">
        <v>31044</v>
      </c>
      <c r="I10410" t="s">
        <v>29</v>
      </c>
      <c r="J10410" t="s">
        <v>30</v>
      </c>
      <c r="K10410" t="s">
        <v>31045</v>
      </c>
      <c r="M10410" t="s">
        <v>18479</v>
      </c>
      <c r="N10410" t="str">
        <f>"2/10/2017 1:43:00 PM"</f>
        <v>2/10/2017 1:43:00 PM</v>
      </c>
      <c r="O10410" t="s">
        <v>31043</v>
      </c>
    </row>
    <row r="10411" spans="1:20" x14ac:dyDescent="0.25">
      <c r="A10411" t="str">
        <f>"3057149"</f>
        <v>3057149</v>
      </c>
      <c r="B10411" t="s">
        <v>31131</v>
      </c>
      <c r="C10411" t="str">
        <f>"69973000"</f>
        <v>69973000</v>
      </c>
      <c r="D10411" t="s">
        <v>31043</v>
      </c>
      <c r="F10411" t="s">
        <v>31044</v>
      </c>
      <c r="I10411" t="s">
        <v>29</v>
      </c>
      <c r="J10411" t="s">
        <v>30</v>
      </c>
      <c r="K10411" t="s">
        <v>31045</v>
      </c>
      <c r="M10411" t="s">
        <v>18479</v>
      </c>
      <c r="N10411" t="str">
        <f>"2/10/2017 1:43:00 PM"</f>
        <v>2/10/2017 1:43:00 PM</v>
      </c>
      <c r="O10411" t="s">
        <v>31043</v>
      </c>
    </row>
    <row r="10412" spans="1:20" x14ac:dyDescent="0.25">
      <c r="A10412" t="str">
        <f>"3044831"</f>
        <v>3044831</v>
      </c>
      <c r="B10412" t="s">
        <v>31132</v>
      </c>
      <c r="C10412" t="str">
        <f>"8307415"</f>
        <v>8307415</v>
      </c>
      <c r="D10412" t="s">
        <v>31133</v>
      </c>
      <c r="F10412" t="s">
        <v>31134</v>
      </c>
      <c r="I10412" t="s">
        <v>184</v>
      </c>
      <c r="J10412" t="s">
        <v>30</v>
      </c>
      <c r="K10412" t="str">
        <f>"27006"</f>
        <v>27006</v>
      </c>
      <c r="M10412" t="s">
        <v>17861</v>
      </c>
      <c r="N10412" t="str">
        <f>"2/8/2017 10:24:00 AM"</f>
        <v>2/8/2017 10:24:00 AM</v>
      </c>
      <c r="O10412" t="s">
        <v>31133</v>
      </c>
    </row>
    <row r="10413" spans="1:20" x14ac:dyDescent="0.25">
      <c r="A10413" t="str">
        <f>"3057441"</f>
        <v>3057441</v>
      </c>
      <c r="B10413" t="s">
        <v>31135</v>
      </c>
      <c r="C10413" t="str">
        <f>"8304755"</f>
        <v>8304755</v>
      </c>
      <c r="D10413" t="s">
        <v>31086</v>
      </c>
      <c r="E10413" t="s">
        <v>31087</v>
      </c>
      <c r="F10413" t="s">
        <v>31088</v>
      </c>
      <c r="I10413" t="s">
        <v>29</v>
      </c>
      <c r="J10413" t="s">
        <v>30</v>
      </c>
      <c r="K10413" t="str">
        <f>"27028"</f>
        <v>27028</v>
      </c>
      <c r="M10413" t="s">
        <v>24254</v>
      </c>
      <c r="N10413" t="str">
        <f>"2/8/2017 11:23:00 AM"</f>
        <v>2/8/2017 11:23:00 AM</v>
      </c>
      <c r="O10413" t="s">
        <v>31086</v>
      </c>
      <c r="T10413" t="s">
        <v>31087</v>
      </c>
    </row>
    <row r="10414" spans="1:20" x14ac:dyDescent="0.25">
      <c r="A10414" t="str">
        <f>"3057174"</f>
        <v>3057174</v>
      </c>
      <c r="B10414" t="s">
        <v>31136</v>
      </c>
      <c r="C10414" t="str">
        <f t="shared" ref="C10414:C10438" si="173">"69973000"</f>
        <v>69973000</v>
      </c>
      <c r="D10414" t="s">
        <v>31043</v>
      </c>
      <c r="F10414" t="s">
        <v>31044</v>
      </c>
      <c r="I10414" t="s">
        <v>29</v>
      </c>
      <c r="J10414" t="s">
        <v>30</v>
      </c>
      <c r="K10414" t="s">
        <v>31045</v>
      </c>
      <c r="M10414" t="s">
        <v>18479</v>
      </c>
      <c r="N10414" t="str">
        <f t="shared" ref="N10414:N10438" si="174">"2/10/2017 1:43:00 PM"</f>
        <v>2/10/2017 1:43:00 PM</v>
      </c>
      <c r="O10414" t="s">
        <v>31043</v>
      </c>
    </row>
    <row r="10415" spans="1:20" x14ac:dyDescent="0.25">
      <c r="A10415" t="str">
        <f>"3057185"</f>
        <v>3057185</v>
      </c>
      <c r="B10415" t="s">
        <v>31137</v>
      </c>
      <c r="C10415" t="str">
        <f t="shared" si="173"/>
        <v>69973000</v>
      </c>
      <c r="D10415" t="s">
        <v>31043</v>
      </c>
      <c r="F10415" t="s">
        <v>31044</v>
      </c>
      <c r="I10415" t="s">
        <v>29</v>
      </c>
      <c r="J10415" t="s">
        <v>30</v>
      </c>
      <c r="K10415" t="s">
        <v>31045</v>
      </c>
      <c r="M10415" t="s">
        <v>18479</v>
      </c>
      <c r="N10415" t="str">
        <f t="shared" si="174"/>
        <v>2/10/2017 1:43:00 PM</v>
      </c>
      <c r="O10415" t="s">
        <v>31043</v>
      </c>
    </row>
    <row r="10416" spans="1:20" x14ac:dyDescent="0.25">
      <c r="A10416" t="str">
        <f>"3057182"</f>
        <v>3057182</v>
      </c>
      <c r="B10416" t="s">
        <v>31138</v>
      </c>
      <c r="C10416" t="str">
        <f t="shared" si="173"/>
        <v>69973000</v>
      </c>
      <c r="D10416" t="s">
        <v>31043</v>
      </c>
      <c r="F10416" t="s">
        <v>31044</v>
      </c>
      <c r="I10416" t="s">
        <v>29</v>
      </c>
      <c r="J10416" t="s">
        <v>30</v>
      </c>
      <c r="K10416" t="s">
        <v>31045</v>
      </c>
      <c r="M10416" t="s">
        <v>18479</v>
      </c>
      <c r="N10416" t="str">
        <f t="shared" si="174"/>
        <v>2/10/2017 1:43:00 PM</v>
      </c>
      <c r="O10416" t="s">
        <v>31043</v>
      </c>
    </row>
    <row r="10417" spans="1:15" x14ac:dyDescent="0.25">
      <c r="A10417" t="str">
        <f>"3057183"</f>
        <v>3057183</v>
      </c>
      <c r="B10417" t="s">
        <v>31139</v>
      </c>
      <c r="C10417" t="str">
        <f t="shared" si="173"/>
        <v>69973000</v>
      </c>
      <c r="D10417" t="s">
        <v>31043</v>
      </c>
      <c r="F10417" t="s">
        <v>31044</v>
      </c>
      <c r="I10417" t="s">
        <v>29</v>
      </c>
      <c r="J10417" t="s">
        <v>30</v>
      </c>
      <c r="K10417" t="s">
        <v>31045</v>
      </c>
      <c r="M10417" t="s">
        <v>18479</v>
      </c>
      <c r="N10417" t="str">
        <f t="shared" si="174"/>
        <v>2/10/2017 1:43:00 PM</v>
      </c>
      <c r="O10417" t="s">
        <v>31043</v>
      </c>
    </row>
    <row r="10418" spans="1:15" x14ac:dyDescent="0.25">
      <c r="A10418" t="str">
        <f>"3057196"</f>
        <v>3057196</v>
      </c>
      <c r="B10418" t="s">
        <v>31140</v>
      </c>
      <c r="C10418" t="str">
        <f t="shared" si="173"/>
        <v>69973000</v>
      </c>
      <c r="D10418" t="s">
        <v>31043</v>
      </c>
      <c r="F10418" t="s">
        <v>31044</v>
      </c>
      <c r="I10418" t="s">
        <v>29</v>
      </c>
      <c r="J10418" t="s">
        <v>30</v>
      </c>
      <c r="K10418" t="s">
        <v>31045</v>
      </c>
      <c r="M10418" t="s">
        <v>18479</v>
      </c>
      <c r="N10418" t="str">
        <f t="shared" si="174"/>
        <v>2/10/2017 1:43:00 PM</v>
      </c>
      <c r="O10418" t="s">
        <v>31043</v>
      </c>
    </row>
    <row r="10419" spans="1:15" x14ac:dyDescent="0.25">
      <c r="A10419" t="str">
        <f>"3057197"</f>
        <v>3057197</v>
      </c>
      <c r="B10419" t="s">
        <v>31141</v>
      </c>
      <c r="C10419" t="str">
        <f t="shared" si="173"/>
        <v>69973000</v>
      </c>
      <c r="D10419" t="s">
        <v>31043</v>
      </c>
      <c r="F10419" t="s">
        <v>31044</v>
      </c>
      <c r="I10419" t="s">
        <v>29</v>
      </c>
      <c r="J10419" t="s">
        <v>30</v>
      </c>
      <c r="K10419" t="s">
        <v>31045</v>
      </c>
      <c r="M10419" t="s">
        <v>18479</v>
      </c>
      <c r="N10419" t="str">
        <f t="shared" si="174"/>
        <v>2/10/2017 1:43:00 PM</v>
      </c>
      <c r="O10419" t="s">
        <v>31043</v>
      </c>
    </row>
    <row r="10420" spans="1:15" x14ac:dyDescent="0.25">
      <c r="A10420" t="str">
        <f>"3057150"</f>
        <v>3057150</v>
      </c>
      <c r="B10420" t="s">
        <v>31142</v>
      </c>
      <c r="C10420" t="str">
        <f t="shared" si="173"/>
        <v>69973000</v>
      </c>
      <c r="D10420" t="s">
        <v>31043</v>
      </c>
      <c r="F10420" t="s">
        <v>31044</v>
      </c>
      <c r="I10420" t="s">
        <v>29</v>
      </c>
      <c r="J10420" t="s">
        <v>30</v>
      </c>
      <c r="K10420" t="s">
        <v>31045</v>
      </c>
      <c r="M10420" t="s">
        <v>18479</v>
      </c>
      <c r="N10420" t="str">
        <f t="shared" si="174"/>
        <v>2/10/2017 1:43:00 PM</v>
      </c>
      <c r="O10420" t="s">
        <v>31043</v>
      </c>
    </row>
    <row r="10421" spans="1:15" x14ac:dyDescent="0.25">
      <c r="A10421" t="str">
        <f>"3057205"</f>
        <v>3057205</v>
      </c>
      <c r="B10421" t="s">
        <v>31143</v>
      </c>
      <c r="C10421" t="str">
        <f t="shared" si="173"/>
        <v>69973000</v>
      </c>
      <c r="D10421" t="s">
        <v>31043</v>
      </c>
      <c r="F10421" t="s">
        <v>31044</v>
      </c>
      <c r="I10421" t="s">
        <v>29</v>
      </c>
      <c r="J10421" t="s">
        <v>30</v>
      </c>
      <c r="K10421" t="s">
        <v>31045</v>
      </c>
      <c r="M10421" t="s">
        <v>18479</v>
      </c>
      <c r="N10421" t="str">
        <f t="shared" si="174"/>
        <v>2/10/2017 1:43:00 PM</v>
      </c>
      <c r="O10421" t="s">
        <v>31043</v>
      </c>
    </row>
    <row r="10422" spans="1:15" x14ac:dyDescent="0.25">
      <c r="A10422" t="str">
        <f>"3057227"</f>
        <v>3057227</v>
      </c>
      <c r="B10422" t="s">
        <v>31144</v>
      </c>
      <c r="C10422" t="str">
        <f t="shared" si="173"/>
        <v>69973000</v>
      </c>
      <c r="D10422" t="s">
        <v>31043</v>
      </c>
      <c r="F10422" t="s">
        <v>31044</v>
      </c>
      <c r="I10422" t="s">
        <v>29</v>
      </c>
      <c r="J10422" t="s">
        <v>30</v>
      </c>
      <c r="K10422" t="s">
        <v>31045</v>
      </c>
      <c r="M10422" t="s">
        <v>18479</v>
      </c>
      <c r="N10422" t="str">
        <f t="shared" si="174"/>
        <v>2/10/2017 1:43:00 PM</v>
      </c>
      <c r="O10422" t="s">
        <v>31043</v>
      </c>
    </row>
    <row r="10423" spans="1:15" x14ac:dyDescent="0.25">
      <c r="A10423" t="str">
        <f>"3057214"</f>
        <v>3057214</v>
      </c>
      <c r="B10423" t="s">
        <v>31145</v>
      </c>
      <c r="C10423" t="str">
        <f t="shared" si="173"/>
        <v>69973000</v>
      </c>
      <c r="D10423" t="s">
        <v>31043</v>
      </c>
      <c r="F10423" t="s">
        <v>31044</v>
      </c>
      <c r="I10423" t="s">
        <v>29</v>
      </c>
      <c r="J10423" t="s">
        <v>30</v>
      </c>
      <c r="K10423" t="s">
        <v>31045</v>
      </c>
      <c r="M10423" t="s">
        <v>18479</v>
      </c>
      <c r="N10423" t="str">
        <f t="shared" si="174"/>
        <v>2/10/2017 1:43:00 PM</v>
      </c>
      <c r="O10423" t="s">
        <v>31043</v>
      </c>
    </row>
    <row r="10424" spans="1:15" x14ac:dyDescent="0.25">
      <c r="A10424" t="str">
        <f>"3057215"</f>
        <v>3057215</v>
      </c>
      <c r="B10424" t="s">
        <v>31146</v>
      </c>
      <c r="C10424" t="str">
        <f t="shared" si="173"/>
        <v>69973000</v>
      </c>
      <c r="D10424" t="s">
        <v>31043</v>
      </c>
      <c r="F10424" t="s">
        <v>31044</v>
      </c>
      <c r="I10424" t="s">
        <v>29</v>
      </c>
      <c r="J10424" t="s">
        <v>30</v>
      </c>
      <c r="K10424" t="s">
        <v>31045</v>
      </c>
      <c r="M10424" t="s">
        <v>18479</v>
      </c>
      <c r="N10424" t="str">
        <f t="shared" si="174"/>
        <v>2/10/2017 1:43:00 PM</v>
      </c>
      <c r="O10424" t="s">
        <v>31043</v>
      </c>
    </row>
    <row r="10425" spans="1:15" x14ac:dyDescent="0.25">
      <c r="A10425" t="str">
        <f>"3057216"</f>
        <v>3057216</v>
      </c>
      <c r="B10425" t="s">
        <v>31147</v>
      </c>
      <c r="C10425" t="str">
        <f t="shared" si="173"/>
        <v>69973000</v>
      </c>
      <c r="D10425" t="s">
        <v>31043</v>
      </c>
      <c r="F10425" t="s">
        <v>31044</v>
      </c>
      <c r="I10425" t="s">
        <v>29</v>
      </c>
      <c r="J10425" t="s">
        <v>30</v>
      </c>
      <c r="K10425" t="s">
        <v>31045</v>
      </c>
      <c r="M10425" t="s">
        <v>18479</v>
      </c>
      <c r="N10425" t="str">
        <f t="shared" si="174"/>
        <v>2/10/2017 1:43:00 PM</v>
      </c>
      <c r="O10425" t="s">
        <v>31043</v>
      </c>
    </row>
    <row r="10426" spans="1:15" x14ac:dyDescent="0.25">
      <c r="A10426" t="str">
        <f>"3057220"</f>
        <v>3057220</v>
      </c>
      <c r="B10426" t="s">
        <v>31148</v>
      </c>
      <c r="C10426" t="str">
        <f t="shared" si="173"/>
        <v>69973000</v>
      </c>
      <c r="D10426" t="s">
        <v>31043</v>
      </c>
      <c r="F10426" t="s">
        <v>31044</v>
      </c>
      <c r="I10426" t="s">
        <v>29</v>
      </c>
      <c r="J10426" t="s">
        <v>30</v>
      </c>
      <c r="K10426" t="s">
        <v>31045</v>
      </c>
      <c r="M10426" t="s">
        <v>18479</v>
      </c>
      <c r="N10426" t="str">
        <f t="shared" si="174"/>
        <v>2/10/2017 1:43:00 PM</v>
      </c>
      <c r="O10426" t="s">
        <v>31043</v>
      </c>
    </row>
    <row r="10427" spans="1:15" x14ac:dyDescent="0.25">
      <c r="A10427" t="str">
        <f>"3057221"</f>
        <v>3057221</v>
      </c>
      <c r="B10427" t="s">
        <v>31149</v>
      </c>
      <c r="C10427" t="str">
        <f t="shared" si="173"/>
        <v>69973000</v>
      </c>
      <c r="D10427" t="s">
        <v>31043</v>
      </c>
      <c r="F10427" t="s">
        <v>31044</v>
      </c>
      <c r="I10427" t="s">
        <v>29</v>
      </c>
      <c r="J10427" t="s">
        <v>30</v>
      </c>
      <c r="K10427" t="s">
        <v>31045</v>
      </c>
      <c r="M10427" t="s">
        <v>18479</v>
      </c>
      <c r="N10427" t="str">
        <f t="shared" si="174"/>
        <v>2/10/2017 1:43:00 PM</v>
      </c>
      <c r="O10427" t="s">
        <v>31043</v>
      </c>
    </row>
    <row r="10428" spans="1:15" x14ac:dyDescent="0.25">
      <c r="A10428" t="str">
        <f>"3057222"</f>
        <v>3057222</v>
      </c>
      <c r="B10428" t="s">
        <v>31150</v>
      </c>
      <c r="C10428" t="str">
        <f t="shared" si="173"/>
        <v>69973000</v>
      </c>
      <c r="D10428" t="s">
        <v>31043</v>
      </c>
      <c r="F10428" t="s">
        <v>31044</v>
      </c>
      <c r="I10428" t="s">
        <v>29</v>
      </c>
      <c r="J10428" t="s">
        <v>30</v>
      </c>
      <c r="K10428" t="s">
        <v>31045</v>
      </c>
      <c r="M10428" t="s">
        <v>18479</v>
      </c>
      <c r="N10428" t="str">
        <f t="shared" si="174"/>
        <v>2/10/2017 1:43:00 PM</v>
      </c>
      <c r="O10428" t="s">
        <v>31043</v>
      </c>
    </row>
    <row r="10429" spans="1:15" x14ac:dyDescent="0.25">
      <c r="A10429" t="str">
        <f>"3057223"</f>
        <v>3057223</v>
      </c>
      <c r="B10429" t="s">
        <v>31151</v>
      </c>
      <c r="C10429" t="str">
        <f t="shared" si="173"/>
        <v>69973000</v>
      </c>
      <c r="D10429" t="s">
        <v>31043</v>
      </c>
      <c r="F10429" t="s">
        <v>31044</v>
      </c>
      <c r="I10429" t="s">
        <v>29</v>
      </c>
      <c r="J10429" t="s">
        <v>30</v>
      </c>
      <c r="K10429" t="s">
        <v>31045</v>
      </c>
      <c r="M10429" t="s">
        <v>18479</v>
      </c>
      <c r="N10429" t="str">
        <f t="shared" si="174"/>
        <v>2/10/2017 1:43:00 PM</v>
      </c>
      <c r="O10429" t="s">
        <v>31043</v>
      </c>
    </row>
    <row r="10430" spans="1:15" x14ac:dyDescent="0.25">
      <c r="A10430" t="str">
        <f>"3057224"</f>
        <v>3057224</v>
      </c>
      <c r="B10430" t="s">
        <v>31152</v>
      </c>
      <c r="C10430" t="str">
        <f t="shared" si="173"/>
        <v>69973000</v>
      </c>
      <c r="D10430" t="s">
        <v>31043</v>
      </c>
      <c r="F10430" t="s">
        <v>31044</v>
      </c>
      <c r="I10430" t="s">
        <v>29</v>
      </c>
      <c r="J10430" t="s">
        <v>30</v>
      </c>
      <c r="K10430" t="s">
        <v>31045</v>
      </c>
      <c r="M10430" t="s">
        <v>18479</v>
      </c>
      <c r="N10430" t="str">
        <f t="shared" si="174"/>
        <v>2/10/2017 1:43:00 PM</v>
      </c>
      <c r="O10430" t="s">
        <v>31043</v>
      </c>
    </row>
    <row r="10431" spans="1:15" x14ac:dyDescent="0.25">
      <c r="A10431" t="str">
        <f>"3057225"</f>
        <v>3057225</v>
      </c>
      <c r="B10431" t="s">
        <v>31153</v>
      </c>
      <c r="C10431" t="str">
        <f t="shared" si="173"/>
        <v>69973000</v>
      </c>
      <c r="D10431" t="s">
        <v>31043</v>
      </c>
      <c r="F10431" t="s">
        <v>31044</v>
      </c>
      <c r="I10431" t="s">
        <v>29</v>
      </c>
      <c r="J10431" t="s">
        <v>30</v>
      </c>
      <c r="K10431" t="s">
        <v>31045</v>
      </c>
      <c r="M10431" t="s">
        <v>18479</v>
      </c>
      <c r="N10431" t="str">
        <f t="shared" si="174"/>
        <v>2/10/2017 1:43:00 PM</v>
      </c>
      <c r="O10431" t="s">
        <v>31043</v>
      </c>
    </row>
    <row r="10432" spans="1:15" x14ac:dyDescent="0.25">
      <c r="A10432" t="str">
        <f>"3057206"</f>
        <v>3057206</v>
      </c>
      <c r="B10432" t="s">
        <v>31154</v>
      </c>
      <c r="C10432" t="str">
        <f t="shared" si="173"/>
        <v>69973000</v>
      </c>
      <c r="D10432" t="s">
        <v>31043</v>
      </c>
      <c r="F10432" t="s">
        <v>31044</v>
      </c>
      <c r="I10432" t="s">
        <v>29</v>
      </c>
      <c r="J10432" t="s">
        <v>30</v>
      </c>
      <c r="K10432" t="s">
        <v>31045</v>
      </c>
      <c r="M10432" t="s">
        <v>18479</v>
      </c>
      <c r="N10432" t="str">
        <f t="shared" si="174"/>
        <v>2/10/2017 1:43:00 PM</v>
      </c>
      <c r="O10432" t="s">
        <v>31043</v>
      </c>
    </row>
    <row r="10433" spans="1:20" x14ac:dyDescent="0.25">
      <c r="A10433" t="str">
        <f>"3057207"</f>
        <v>3057207</v>
      </c>
      <c r="B10433" t="s">
        <v>31155</v>
      </c>
      <c r="C10433" t="str">
        <f t="shared" si="173"/>
        <v>69973000</v>
      </c>
      <c r="D10433" t="s">
        <v>31043</v>
      </c>
      <c r="F10433" t="s">
        <v>31044</v>
      </c>
      <c r="I10433" t="s">
        <v>29</v>
      </c>
      <c r="J10433" t="s">
        <v>30</v>
      </c>
      <c r="K10433" t="s">
        <v>31045</v>
      </c>
      <c r="M10433" t="s">
        <v>18479</v>
      </c>
      <c r="N10433" t="str">
        <f t="shared" si="174"/>
        <v>2/10/2017 1:43:00 PM</v>
      </c>
      <c r="O10433" t="s">
        <v>31043</v>
      </c>
    </row>
    <row r="10434" spans="1:20" x14ac:dyDescent="0.25">
      <c r="A10434" t="str">
        <f>"3057208"</f>
        <v>3057208</v>
      </c>
      <c r="B10434" t="s">
        <v>31156</v>
      </c>
      <c r="C10434" t="str">
        <f t="shared" si="173"/>
        <v>69973000</v>
      </c>
      <c r="D10434" t="s">
        <v>31043</v>
      </c>
      <c r="F10434" t="s">
        <v>31044</v>
      </c>
      <c r="I10434" t="s">
        <v>29</v>
      </c>
      <c r="J10434" t="s">
        <v>30</v>
      </c>
      <c r="K10434" t="s">
        <v>31045</v>
      </c>
      <c r="M10434" t="s">
        <v>18479</v>
      </c>
      <c r="N10434" t="str">
        <f t="shared" si="174"/>
        <v>2/10/2017 1:43:00 PM</v>
      </c>
      <c r="O10434" t="s">
        <v>31043</v>
      </c>
    </row>
    <row r="10435" spans="1:20" x14ac:dyDescent="0.25">
      <c r="A10435" t="str">
        <f>"3057209"</f>
        <v>3057209</v>
      </c>
      <c r="B10435" t="s">
        <v>31157</v>
      </c>
      <c r="C10435" t="str">
        <f t="shared" si="173"/>
        <v>69973000</v>
      </c>
      <c r="D10435" t="s">
        <v>31043</v>
      </c>
      <c r="F10435" t="s">
        <v>31044</v>
      </c>
      <c r="I10435" t="s">
        <v>29</v>
      </c>
      <c r="J10435" t="s">
        <v>30</v>
      </c>
      <c r="K10435" t="s">
        <v>31045</v>
      </c>
      <c r="M10435" t="s">
        <v>18479</v>
      </c>
      <c r="N10435" t="str">
        <f t="shared" si="174"/>
        <v>2/10/2017 1:43:00 PM</v>
      </c>
      <c r="O10435" t="s">
        <v>31043</v>
      </c>
    </row>
    <row r="10436" spans="1:20" x14ac:dyDescent="0.25">
      <c r="A10436" t="str">
        <f>"3057210"</f>
        <v>3057210</v>
      </c>
      <c r="B10436" t="s">
        <v>31158</v>
      </c>
      <c r="C10436" t="str">
        <f t="shared" si="173"/>
        <v>69973000</v>
      </c>
      <c r="D10436" t="s">
        <v>31043</v>
      </c>
      <c r="F10436" t="s">
        <v>31044</v>
      </c>
      <c r="I10436" t="s">
        <v>29</v>
      </c>
      <c r="J10436" t="s">
        <v>30</v>
      </c>
      <c r="K10436" t="s">
        <v>31045</v>
      </c>
      <c r="M10436" t="s">
        <v>18479</v>
      </c>
      <c r="N10436" t="str">
        <f t="shared" si="174"/>
        <v>2/10/2017 1:43:00 PM</v>
      </c>
      <c r="O10436" t="s">
        <v>31043</v>
      </c>
    </row>
    <row r="10437" spans="1:20" x14ac:dyDescent="0.25">
      <c r="A10437" t="str">
        <f>"3057211"</f>
        <v>3057211</v>
      </c>
      <c r="B10437" t="s">
        <v>31159</v>
      </c>
      <c r="C10437" t="str">
        <f t="shared" si="173"/>
        <v>69973000</v>
      </c>
      <c r="D10437" t="s">
        <v>31043</v>
      </c>
      <c r="F10437" t="s">
        <v>31044</v>
      </c>
      <c r="I10437" t="s">
        <v>29</v>
      </c>
      <c r="J10437" t="s">
        <v>30</v>
      </c>
      <c r="K10437" t="s">
        <v>31045</v>
      </c>
      <c r="M10437" t="s">
        <v>18479</v>
      </c>
      <c r="N10437" t="str">
        <f t="shared" si="174"/>
        <v>2/10/2017 1:43:00 PM</v>
      </c>
      <c r="O10437" t="s">
        <v>31043</v>
      </c>
    </row>
    <row r="10438" spans="1:20" x14ac:dyDescent="0.25">
      <c r="A10438" t="str">
        <f>"3057212"</f>
        <v>3057212</v>
      </c>
      <c r="B10438" t="s">
        <v>31160</v>
      </c>
      <c r="C10438" t="str">
        <f t="shared" si="173"/>
        <v>69973000</v>
      </c>
      <c r="D10438" t="s">
        <v>31043</v>
      </c>
      <c r="F10438" t="s">
        <v>31044</v>
      </c>
      <c r="I10438" t="s">
        <v>29</v>
      </c>
      <c r="J10438" t="s">
        <v>30</v>
      </c>
      <c r="K10438" t="s">
        <v>31045</v>
      </c>
      <c r="M10438" t="s">
        <v>18479</v>
      </c>
      <c r="N10438" t="str">
        <f t="shared" si="174"/>
        <v>2/10/2017 1:43:00 PM</v>
      </c>
      <c r="O10438" t="s">
        <v>31043</v>
      </c>
    </row>
    <row r="10439" spans="1:20" x14ac:dyDescent="0.25">
      <c r="A10439" t="str">
        <f>"3050706"</f>
        <v>3050706</v>
      </c>
      <c r="B10439" t="s">
        <v>31161</v>
      </c>
      <c r="C10439" t="str">
        <f>"82517836"</f>
        <v>82517836</v>
      </c>
      <c r="D10439" t="s">
        <v>31162</v>
      </c>
      <c r="E10439" t="s">
        <v>31163</v>
      </c>
      <c r="F10439" t="s">
        <v>31164</v>
      </c>
      <c r="I10439" t="s">
        <v>184</v>
      </c>
      <c r="J10439" t="s">
        <v>30</v>
      </c>
      <c r="K10439" t="s">
        <v>185</v>
      </c>
      <c r="M10439" t="s">
        <v>17861</v>
      </c>
      <c r="N10439" t="str">
        <f>"2/10/2017 12:25:00 PM"</f>
        <v>2/10/2017 12:25:00 PM</v>
      </c>
      <c r="O10439" t="s">
        <v>31162</v>
      </c>
      <c r="T10439" t="s">
        <v>31163</v>
      </c>
    </row>
    <row r="10440" spans="1:20" x14ac:dyDescent="0.25">
      <c r="A10440" t="str">
        <f>"3051928"</f>
        <v>3051928</v>
      </c>
      <c r="B10440" t="s">
        <v>31165</v>
      </c>
      <c r="C10440" t="str">
        <f>"56170000"</f>
        <v>56170000</v>
      </c>
      <c r="D10440" t="s">
        <v>31166</v>
      </c>
      <c r="F10440" t="s">
        <v>31167</v>
      </c>
      <c r="I10440" t="s">
        <v>29</v>
      </c>
      <c r="J10440" t="s">
        <v>30</v>
      </c>
      <c r="K10440" t="s">
        <v>31</v>
      </c>
      <c r="M10440" t="s">
        <v>24254</v>
      </c>
      <c r="N10440" t="str">
        <f>"2/10/2017 3:54:00 PM"</f>
        <v>2/10/2017 3:54:00 PM</v>
      </c>
      <c r="O10440" t="s">
        <v>31166</v>
      </c>
    </row>
    <row r="10441" spans="1:20" x14ac:dyDescent="0.25">
      <c r="A10441" t="str">
        <f>"3063951"</f>
        <v>3063951</v>
      </c>
      <c r="B10441" t="s">
        <v>31168</v>
      </c>
      <c r="C10441" t="str">
        <f>"17669250"</f>
        <v>17669250</v>
      </c>
      <c r="D10441" t="s">
        <v>31169</v>
      </c>
      <c r="E10441" t="s">
        <v>31170</v>
      </c>
      <c r="F10441" t="s">
        <v>13983</v>
      </c>
      <c r="I10441" t="s">
        <v>184</v>
      </c>
      <c r="J10441" t="s">
        <v>30</v>
      </c>
      <c r="K10441" t="s">
        <v>185</v>
      </c>
      <c r="M10441" t="s">
        <v>17861</v>
      </c>
      <c r="N10441" t="str">
        <f>"2/10/2017 4:38:00 PM"</f>
        <v>2/10/2017 4:38:00 PM</v>
      </c>
      <c r="O10441" t="s">
        <v>31169</v>
      </c>
      <c r="T10441" t="s">
        <v>31170</v>
      </c>
    </row>
    <row r="10442" spans="1:20" x14ac:dyDescent="0.25">
      <c r="A10442" t="str">
        <f>"3040918"</f>
        <v>3040918</v>
      </c>
      <c r="B10442" t="s">
        <v>31171</v>
      </c>
      <c r="C10442" t="str">
        <f>"82522736"</f>
        <v>82522736</v>
      </c>
      <c r="D10442" t="s">
        <v>31172</v>
      </c>
      <c r="E10442" t="str">
        <f>"C/O KATHY SOFLEY PFEIFFER"</f>
        <v>C/O KATHY SOFLEY PFEIFFER</v>
      </c>
      <c r="F10442" t="s">
        <v>31173</v>
      </c>
      <c r="I10442" t="s">
        <v>184</v>
      </c>
      <c r="J10442" t="s">
        <v>30</v>
      </c>
      <c r="K10442" t="s">
        <v>185</v>
      </c>
      <c r="M10442" t="s">
        <v>18470</v>
      </c>
      <c r="N10442" t="str">
        <f>"2/13/2017 12:13:00 PM"</f>
        <v>2/13/2017 12:13:00 PM</v>
      </c>
      <c r="O10442" t="s">
        <v>31172</v>
      </c>
      <c r="T10442" t="str">
        <f>"C/O KATHY SOFLEY PFEIFFER"</f>
        <v>C/O KATHY SOFLEY PFEIFFER</v>
      </c>
    </row>
    <row r="10443" spans="1:20" x14ac:dyDescent="0.25">
      <c r="A10443" t="str">
        <f>"3055990"</f>
        <v>3055990</v>
      </c>
      <c r="B10443" t="s">
        <v>31174</v>
      </c>
      <c r="C10443" t="str">
        <f>"8846900"</f>
        <v>8846900</v>
      </c>
      <c r="D10443" t="s">
        <v>31175</v>
      </c>
      <c r="F10443" t="s">
        <v>22251</v>
      </c>
      <c r="I10443" t="s">
        <v>184</v>
      </c>
      <c r="J10443" t="s">
        <v>30</v>
      </c>
      <c r="K10443" t="s">
        <v>185</v>
      </c>
      <c r="M10443" t="s">
        <v>24254</v>
      </c>
      <c r="N10443" t="str">
        <f>"2/13/2017 2:05:00 PM"</f>
        <v>2/13/2017 2:05:00 PM</v>
      </c>
      <c r="O10443" t="s">
        <v>31175</v>
      </c>
    </row>
    <row r="10444" spans="1:20" x14ac:dyDescent="0.25">
      <c r="A10444" t="str">
        <f>"3061082"</f>
        <v>3061082</v>
      </c>
      <c r="B10444" t="s">
        <v>31176</v>
      </c>
      <c r="C10444" t="str">
        <f>"8305641"</f>
        <v>8305641</v>
      </c>
      <c r="D10444" t="s">
        <v>31177</v>
      </c>
      <c r="E10444" t="s">
        <v>31178</v>
      </c>
      <c r="F10444" t="s">
        <v>31179</v>
      </c>
      <c r="I10444" t="s">
        <v>184</v>
      </c>
      <c r="J10444" t="s">
        <v>30</v>
      </c>
      <c r="K10444" t="str">
        <f>"27006"</f>
        <v>27006</v>
      </c>
      <c r="M10444" t="s">
        <v>25733</v>
      </c>
      <c r="N10444" t="str">
        <f>"2/14/2017 9:24:00 AM"</f>
        <v>2/14/2017 9:24:00 AM</v>
      </c>
      <c r="O10444" t="s">
        <v>31177</v>
      </c>
      <c r="T10444" t="s">
        <v>31178</v>
      </c>
    </row>
    <row r="10445" spans="1:20" x14ac:dyDescent="0.25">
      <c r="A10445" t="str">
        <f>"3058780"</f>
        <v>3058780</v>
      </c>
      <c r="B10445" t="s">
        <v>31180</v>
      </c>
      <c r="C10445" t="str">
        <f>"8307230"</f>
        <v>8307230</v>
      </c>
      <c r="D10445" t="s">
        <v>31181</v>
      </c>
      <c r="E10445" t="s">
        <v>31182</v>
      </c>
      <c r="F10445" t="s">
        <v>31183</v>
      </c>
      <c r="I10445" t="s">
        <v>31184</v>
      </c>
      <c r="J10445" t="s">
        <v>9877</v>
      </c>
      <c r="K10445" t="str">
        <f>"07825"</f>
        <v>07825</v>
      </c>
      <c r="M10445" t="s">
        <v>17861</v>
      </c>
      <c r="N10445" t="str">
        <f>"2/22/2017 12:49:00 PM"</f>
        <v>2/22/2017 12:49:00 PM</v>
      </c>
      <c r="O10445" t="s">
        <v>31181</v>
      </c>
      <c r="T10445" t="s">
        <v>31182</v>
      </c>
    </row>
    <row r="10446" spans="1:20" x14ac:dyDescent="0.25">
      <c r="A10446" t="str">
        <f>"3069391"</f>
        <v>3069391</v>
      </c>
      <c r="B10446" t="s">
        <v>31185</v>
      </c>
      <c r="C10446" t="str">
        <f>"8301893"</f>
        <v>8301893</v>
      </c>
      <c r="D10446" t="s">
        <v>31186</v>
      </c>
      <c r="F10446" t="s">
        <v>31187</v>
      </c>
      <c r="I10446" t="s">
        <v>29</v>
      </c>
      <c r="J10446" t="s">
        <v>30</v>
      </c>
      <c r="K10446" t="str">
        <f>"27028"</f>
        <v>27028</v>
      </c>
      <c r="M10446" t="s">
        <v>25733</v>
      </c>
      <c r="N10446" t="str">
        <f>"2/22/2017 2:07:00 PM"</f>
        <v>2/22/2017 2:07:00 PM</v>
      </c>
      <c r="O10446" t="s">
        <v>31186</v>
      </c>
    </row>
    <row r="10447" spans="1:20" x14ac:dyDescent="0.25">
      <c r="A10447" t="str">
        <f>"3066733"</f>
        <v>3066733</v>
      </c>
      <c r="B10447" t="s">
        <v>31188</v>
      </c>
      <c r="C10447" t="str">
        <f>"8301893"</f>
        <v>8301893</v>
      </c>
      <c r="D10447" t="s">
        <v>31186</v>
      </c>
      <c r="F10447" t="s">
        <v>31187</v>
      </c>
      <c r="I10447" t="s">
        <v>29</v>
      </c>
      <c r="J10447" t="s">
        <v>30</v>
      </c>
      <c r="K10447" t="str">
        <f>"27028"</f>
        <v>27028</v>
      </c>
      <c r="M10447" t="s">
        <v>25733</v>
      </c>
      <c r="N10447" t="str">
        <f>"2/22/2017 2:07:00 PM"</f>
        <v>2/22/2017 2:07:00 PM</v>
      </c>
      <c r="O10447" t="s">
        <v>31186</v>
      </c>
    </row>
    <row r="10448" spans="1:20" x14ac:dyDescent="0.25">
      <c r="A10448" t="str">
        <f>"3066725"</f>
        <v>3066725</v>
      </c>
      <c r="B10448" t="s">
        <v>31189</v>
      </c>
      <c r="C10448" t="str">
        <f>"8301893"</f>
        <v>8301893</v>
      </c>
      <c r="D10448" t="s">
        <v>31186</v>
      </c>
      <c r="F10448" t="s">
        <v>31187</v>
      </c>
      <c r="I10448" t="s">
        <v>29</v>
      </c>
      <c r="J10448" t="s">
        <v>30</v>
      </c>
      <c r="K10448" t="str">
        <f>"27028"</f>
        <v>27028</v>
      </c>
      <c r="M10448" t="s">
        <v>25733</v>
      </c>
      <c r="N10448" t="str">
        <f>"2/22/2017 2:07:00 PM"</f>
        <v>2/22/2017 2:07:00 PM</v>
      </c>
      <c r="O10448" t="s">
        <v>31186</v>
      </c>
    </row>
    <row r="10449" spans="1:20" x14ac:dyDescent="0.25">
      <c r="A10449" t="str">
        <f>"3063577"</f>
        <v>3063577</v>
      </c>
      <c r="B10449" t="s">
        <v>31190</v>
      </c>
      <c r="C10449" t="str">
        <f>"82528902"</f>
        <v>82528902</v>
      </c>
      <c r="D10449" t="s">
        <v>31191</v>
      </c>
      <c r="F10449" t="s">
        <v>31192</v>
      </c>
      <c r="I10449" t="s">
        <v>2275</v>
      </c>
      <c r="J10449" t="s">
        <v>30</v>
      </c>
      <c r="K10449" t="s">
        <v>2276</v>
      </c>
      <c r="M10449" t="s">
        <v>25733</v>
      </c>
      <c r="N10449" t="str">
        <f>"2/22/2017 3:01:00 PM"</f>
        <v>2/22/2017 3:01:00 PM</v>
      </c>
      <c r="O10449" t="s">
        <v>31191</v>
      </c>
    </row>
    <row r="10450" spans="1:20" x14ac:dyDescent="0.25">
      <c r="A10450" t="str">
        <f>"3056951"</f>
        <v>3056951</v>
      </c>
      <c r="B10450" t="s">
        <v>31193</v>
      </c>
      <c r="C10450" t="str">
        <f>"82528902"</f>
        <v>82528902</v>
      </c>
      <c r="D10450" t="s">
        <v>31191</v>
      </c>
      <c r="F10450" t="s">
        <v>31192</v>
      </c>
      <c r="I10450" t="s">
        <v>2275</v>
      </c>
      <c r="J10450" t="s">
        <v>30</v>
      </c>
      <c r="K10450" t="s">
        <v>2276</v>
      </c>
      <c r="M10450" t="s">
        <v>25733</v>
      </c>
      <c r="N10450" t="str">
        <f>"2/22/2017 3:01:00 PM"</f>
        <v>2/22/2017 3:01:00 PM</v>
      </c>
      <c r="O10450" t="s">
        <v>31191</v>
      </c>
    </row>
    <row r="10451" spans="1:20" x14ac:dyDescent="0.25">
      <c r="A10451" t="str">
        <f>"3053781"</f>
        <v>3053781</v>
      </c>
      <c r="B10451" t="s">
        <v>31194</v>
      </c>
      <c r="C10451" t="str">
        <f>"8302237"</f>
        <v>8302237</v>
      </c>
      <c r="D10451" t="s">
        <v>31195</v>
      </c>
      <c r="F10451" t="s">
        <v>31196</v>
      </c>
      <c r="I10451" t="s">
        <v>29</v>
      </c>
      <c r="J10451" t="s">
        <v>30</v>
      </c>
      <c r="K10451" t="str">
        <f>"27028"</f>
        <v>27028</v>
      </c>
      <c r="M10451" t="s">
        <v>25494</v>
      </c>
      <c r="N10451" t="str">
        <f>"2/16/2017 10:44:00 AM"</f>
        <v>2/16/2017 10:44:00 AM</v>
      </c>
      <c r="O10451" t="s">
        <v>31195</v>
      </c>
    </row>
    <row r="10452" spans="1:20" x14ac:dyDescent="0.25">
      <c r="A10452" t="str">
        <f>"3053155"</f>
        <v>3053155</v>
      </c>
      <c r="B10452" t="s">
        <v>31197</v>
      </c>
      <c r="C10452" t="str">
        <f>"54820000"</f>
        <v>54820000</v>
      </c>
      <c r="D10452" t="s">
        <v>31198</v>
      </c>
      <c r="E10452" t="s">
        <v>14015</v>
      </c>
      <c r="F10452" t="s">
        <v>14016</v>
      </c>
      <c r="I10452" t="s">
        <v>29</v>
      </c>
      <c r="J10452" t="s">
        <v>30</v>
      </c>
      <c r="K10452" t="s">
        <v>31</v>
      </c>
      <c r="M10452" t="s">
        <v>17861</v>
      </c>
      <c r="N10452" t="str">
        <f>"2/16/2017 9:23:00 AM"</f>
        <v>2/16/2017 9:23:00 AM</v>
      </c>
      <c r="O10452" t="s">
        <v>31198</v>
      </c>
      <c r="T10452" t="s">
        <v>14015</v>
      </c>
    </row>
    <row r="10453" spans="1:20" x14ac:dyDescent="0.25">
      <c r="A10453" t="str">
        <f>"3057467"</f>
        <v>3057467</v>
      </c>
      <c r="B10453" t="s">
        <v>31199</v>
      </c>
      <c r="C10453" t="str">
        <f>"8307490"</f>
        <v>8307490</v>
      </c>
      <c r="D10453" t="s">
        <v>31200</v>
      </c>
      <c r="F10453" t="s">
        <v>31201</v>
      </c>
      <c r="I10453" t="s">
        <v>29</v>
      </c>
      <c r="J10453" t="s">
        <v>30</v>
      </c>
      <c r="K10453" t="str">
        <f>"27028"</f>
        <v>27028</v>
      </c>
      <c r="M10453" t="s">
        <v>17861</v>
      </c>
      <c r="N10453" t="str">
        <f>"2/15/2017 4:41:00 PM"</f>
        <v>2/15/2017 4:41:00 PM</v>
      </c>
      <c r="O10453" t="s">
        <v>31200</v>
      </c>
    </row>
    <row r="10454" spans="1:20" x14ac:dyDescent="0.25">
      <c r="A10454" t="str">
        <f>"3072468"</f>
        <v>3072468</v>
      </c>
      <c r="B10454" t="s">
        <v>31202</v>
      </c>
      <c r="C10454" t="str">
        <f>"8307488"</f>
        <v>8307488</v>
      </c>
      <c r="D10454" t="s">
        <v>31203</v>
      </c>
      <c r="E10454" t="s">
        <v>31204</v>
      </c>
      <c r="F10454" t="s">
        <v>29219</v>
      </c>
      <c r="I10454" t="s">
        <v>29220</v>
      </c>
      <c r="J10454" t="s">
        <v>30</v>
      </c>
      <c r="K10454" t="str">
        <f>"28480"</f>
        <v>28480</v>
      </c>
      <c r="M10454" t="s">
        <v>17861</v>
      </c>
      <c r="N10454" t="str">
        <f>"2/15/2017 4:32:00 PM"</f>
        <v>2/15/2017 4:32:00 PM</v>
      </c>
      <c r="O10454" t="s">
        <v>31203</v>
      </c>
      <c r="T10454" t="s">
        <v>31204</v>
      </c>
    </row>
    <row r="10455" spans="1:20" x14ac:dyDescent="0.25">
      <c r="A10455" t="str">
        <f>"3059353"</f>
        <v>3059353</v>
      </c>
      <c r="B10455" t="s">
        <v>31205</v>
      </c>
      <c r="C10455" t="str">
        <f>"8307486"</f>
        <v>8307486</v>
      </c>
      <c r="D10455" t="str">
        <f>"DEXTER GREGORY WALTER/CYNTHIA"</f>
        <v>DEXTER GREGORY WALTER/CYNTHIA</v>
      </c>
      <c r="E10455" t="s">
        <v>31206</v>
      </c>
      <c r="F10455" t="s">
        <v>31207</v>
      </c>
      <c r="I10455" t="s">
        <v>29</v>
      </c>
      <c r="J10455" t="s">
        <v>30</v>
      </c>
      <c r="K10455" t="str">
        <f t="shared" ref="K10455:K10460" si="175">"27028"</f>
        <v>27028</v>
      </c>
      <c r="M10455" t="s">
        <v>17861</v>
      </c>
      <c r="N10455" t="str">
        <f>"2/15/2017 4:15:00 PM"</f>
        <v>2/15/2017 4:15:00 PM</v>
      </c>
      <c r="O10455" t="str">
        <f>"DEXTER GREGORY WALTER/CYNTHIA"</f>
        <v>DEXTER GREGORY WALTER/CYNTHIA</v>
      </c>
      <c r="T10455" t="s">
        <v>31206</v>
      </c>
    </row>
    <row r="10456" spans="1:20" x14ac:dyDescent="0.25">
      <c r="A10456" t="str">
        <f>"3045470"</f>
        <v>3045470</v>
      </c>
      <c r="B10456" t="s">
        <v>31208</v>
      </c>
      <c r="C10456" t="str">
        <f>"8307501"</f>
        <v>8307501</v>
      </c>
      <c r="D10456" t="s">
        <v>31209</v>
      </c>
      <c r="E10456" t="s">
        <v>31210</v>
      </c>
      <c r="F10456" t="s">
        <v>31211</v>
      </c>
      <c r="I10456" t="s">
        <v>29</v>
      </c>
      <c r="J10456" t="s">
        <v>30</v>
      </c>
      <c r="K10456" t="str">
        <f t="shared" si="175"/>
        <v>27028</v>
      </c>
      <c r="M10456" t="s">
        <v>17861</v>
      </c>
      <c r="N10456" t="str">
        <f>"2/23/2017 4:10:00 PM"</f>
        <v>2/23/2017 4:10:00 PM</v>
      </c>
      <c r="O10456" t="s">
        <v>31209</v>
      </c>
      <c r="T10456" t="s">
        <v>31210</v>
      </c>
    </row>
    <row r="10457" spans="1:20" x14ac:dyDescent="0.25">
      <c r="A10457" t="str">
        <f>"3078049"</f>
        <v>3078049</v>
      </c>
      <c r="B10457" t="s">
        <v>31212</v>
      </c>
      <c r="C10457" t="str">
        <f>"8307501"</f>
        <v>8307501</v>
      </c>
      <c r="D10457" t="s">
        <v>31209</v>
      </c>
      <c r="E10457" t="s">
        <v>31210</v>
      </c>
      <c r="F10457" t="s">
        <v>31211</v>
      </c>
      <c r="I10457" t="s">
        <v>29</v>
      </c>
      <c r="J10457" t="s">
        <v>30</v>
      </c>
      <c r="K10457" t="str">
        <f t="shared" si="175"/>
        <v>27028</v>
      </c>
      <c r="M10457" t="s">
        <v>17861</v>
      </c>
      <c r="N10457" t="str">
        <f>"2/23/2017 4:10:00 PM"</f>
        <v>2/23/2017 4:10:00 PM</v>
      </c>
      <c r="O10457" t="s">
        <v>31209</v>
      </c>
      <c r="T10457" t="s">
        <v>31210</v>
      </c>
    </row>
    <row r="10458" spans="1:20" x14ac:dyDescent="0.25">
      <c r="A10458" t="str">
        <f>"3077832"</f>
        <v>3077832</v>
      </c>
      <c r="B10458" t="s">
        <v>31213</v>
      </c>
      <c r="C10458" t="str">
        <f>"8307501"</f>
        <v>8307501</v>
      </c>
      <c r="D10458" t="s">
        <v>31209</v>
      </c>
      <c r="E10458" t="s">
        <v>31210</v>
      </c>
      <c r="F10458" t="s">
        <v>31211</v>
      </c>
      <c r="I10458" t="s">
        <v>29</v>
      </c>
      <c r="J10458" t="s">
        <v>30</v>
      </c>
      <c r="K10458" t="str">
        <f t="shared" si="175"/>
        <v>27028</v>
      </c>
      <c r="M10458" t="s">
        <v>17861</v>
      </c>
      <c r="N10458" t="str">
        <f>"2/23/2017 4:10:00 PM"</f>
        <v>2/23/2017 4:10:00 PM</v>
      </c>
      <c r="O10458" t="s">
        <v>31209</v>
      </c>
      <c r="T10458" t="s">
        <v>31210</v>
      </c>
    </row>
    <row r="10459" spans="1:20" x14ac:dyDescent="0.25">
      <c r="A10459" t="str">
        <f>"3077835"</f>
        <v>3077835</v>
      </c>
      <c r="B10459" t="s">
        <v>31214</v>
      </c>
      <c r="C10459" t="str">
        <f>"8307501"</f>
        <v>8307501</v>
      </c>
      <c r="D10459" t="s">
        <v>31209</v>
      </c>
      <c r="E10459" t="s">
        <v>31210</v>
      </c>
      <c r="F10459" t="s">
        <v>31211</v>
      </c>
      <c r="I10459" t="s">
        <v>29</v>
      </c>
      <c r="J10459" t="s">
        <v>30</v>
      </c>
      <c r="K10459" t="str">
        <f t="shared" si="175"/>
        <v>27028</v>
      </c>
      <c r="M10459" t="s">
        <v>17861</v>
      </c>
      <c r="N10459" t="str">
        <f>"2/23/2017 4:10:00 PM"</f>
        <v>2/23/2017 4:10:00 PM</v>
      </c>
      <c r="O10459" t="s">
        <v>31209</v>
      </c>
      <c r="T10459" t="s">
        <v>31210</v>
      </c>
    </row>
    <row r="10460" spans="1:20" x14ac:dyDescent="0.25">
      <c r="A10460" t="str">
        <f>"3039172"</f>
        <v>3039172</v>
      </c>
      <c r="B10460" t="s">
        <v>31215</v>
      </c>
      <c r="C10460" t="str">
        <f>"8307483"</f>
        <v>8307483</v>
      </c>
      <c r="D10460" t="s">
        <v>31216</v>
      </c>
      <c r="E10460" t="s">
        <v>31217</v>
      </c>
      <c r="F10460" t="s">
        <v>31218</v>
      </c>
      <c r="I10460" t="s">
        <v>29</v>
      </c>
      <c r="J10460" t="s">
        <v>30</v>
      </c>
      <c r="K10460" t="str">
        <f t="shared" si="175"/>
        <v>27028</v>
      </c>
      <c r="M10460" t="s">
        <v>17861</v>
      </c>
      <c r="N10460" t="str">
        <f>"2/15/2017 3:47:00 PM"</f>
        <v>2/15/2017 3:47:00 PM</v>
      </c>
      <c r="O10460" t="s">
        <v>31216</v>
      </c>
      <c r="T10460" t="s">
        <v>31217</v>
      </c>
    </row>
    <row r="10461" spans="1:20" x14ac:dyDescent="0.25">
      <c r="A10461" t="str">
        <f>"3040250"</f>
        <v>3040250</v>
      </c>
      <c r="B10461" t="s">
        <v>31219</v>
      </c>
      <c r="C10461" t="str">
        <f>"8307480"</f>
        <v>8307480</v>
      </c>
      <c r="D10461" t="s">
        <v>31220</v>
      </c>
      <c r="F10461" t="s">
        <v>1600</v>
      </c>
      <c r="I10461" t="s">
        <v>184</v>
      </c>
      <c r="J10461" t="s">
        <v>30</v>
      </c>
      <c r="K10461" t="str">
        <f>"27006"</f>
        <v>27006</v>
      </c>
      <c r="M10461" t="s">
        <v>17861</v>
      </c>
      <c r="N10461" t="str">
        <f>"2/15/2017 3:31:00 PM"</f>
        <v>2/15/2017 3:31:00 PM</v>
      </c>
      <c r="O10461" t="s">
        <v>31220</v>
      </c>
    </row>
    <row r="10462" spans="1:20" x14ac:dyDescent="0.25">
      <c r="A10462" t="str">
        <f>"3060908"</f>
        <v>3060908</v>
      </c>
      <c r="B10462" t="s">
        <v>31221</v>
      </c>
      <c r="C10462" t="str">
        <f>"8307479"</f>
        <v>8307479</v>
      </c>
      <c r="D10462" t="s">
        <v>31222</v>
      </c>
      <c r="E10462" t="s">
        <v>31223</v>
      </c>
      <c r="F10462" t="s">
        <v>31224</v>
      </c>
      <c r="I10462" t="s">
        <v>2071</v>
      </c>
      <c r="J10462" t="s">
        <v>30</v>
      </c>
      <c r="K10462" t="str">
        <f>"27006"</f>
        <v>27006</v>
      </c>
      <c r="M10462" t="s">
        <v>17861</v>
      </c>
      <c r="N10462" t="str">
        <f>"2/15/2017 3:26:00 PM"</f>
        <v>2/15/2017 3:26:00 PM</v>
      </c>
      <c r="O10462" t="s">
        <v>31222</v>
      </c>
      <c r="T10462" t="s">
        <v>31223</v>
      </c>
    </row>
    <row r="10463" spans="1:20" x14ac:dyDescent="0.25">
      <c r="A10463" t="str">
        <f>"3048558"</f>
        <v>3048558</v>
      </c>
      <c r="B10463" t="s">
        <v>31225</v>
      </c>
      <c r="C10463" t="str">
        <f>"8304416"</f>
        <v>8304416</v>
      </c>
      <c r="D10463" t="s">
        <v>31226</v>
      </c>
      <c r="E10463" t="s">
        <v>31227</v>
      </c>
      <c r="F10463" t="s">
        <v>31228</v>
      </c>
      <c r="I10463" t="s">
        <v>184</v>
      </c>
      <c r="J10463" t="s">
        <v>30</v>
      </c>
      <c r="K10463" t="str">
        <f>"27006"</f>
        <v>27006</v>
      </c>
      <c r="M10463" t="s">
        <v>25625</v>
      </c>
      <c r="N10463" t="str">
        <f>"2/15/2017 1:24:00 PM"</f>
        <v>2/15/2017 1:24:00 PM</v>
      </c>
      <c r="O10463" t="s">
        <v>31226</v>
      </c>
      <c r="T10463" t="s">
        <v>31227</v>
      </c>
    </row>
    <row r="10464" spans="1:20" x14ac:dyDescent="0.25">
      <c r="A10464" t="str">
        <f>"3059181"</f>
        <v>3059181</v>
      </c>
      <c r="B10464" t="s">
        <v>31229</v>
      </c>
      <c r="C10464" t="str">
        <f>"8306705"</f>
        <v>8306705</v>
      </c>
      <c r="D10464" t="s">
        <v>31230</v>
      </c>
      <c r="E10464" t="s">
        <v>31231</v>
      </c>
      <c r="F10464" t="s">
        <v>31232</v>
      </c>
      <c r="I10464" t="s">
        <v>29</v>
      </c>
      <c r="J10464" t="s">
        <v>30</v>
      </c>
      <c r="K10464" t="str">
        <f>"27028"</f>
        <v>27028</v>
      </c>
      <c r="M10464" t="s">
        <v>17861</v>
      </c>
      <c r="N10464" t="str">
        <f>"2/28/2017 2:32:00 PM"</f>
        <v>2/28/2017 2:32:00 PM</v>
      </c>
      <c r="O10464" t="s">
        <v>31230</v>
      </c>
      <c r="T10464" t="s">
        <v>31231</v>
      </c>
    </row>
    <row r="10465" spans="1:20" x14ac:dyDescent="0.25">
      <c r="A10465" t="str">
        <f>"3060552"</f>
        <v>3060552</v>
      </c>
      <c r="B10465" t="s">
        <v>31233</v>
      </c>
      <c r="C10465" t="str">
        <f>"8307517"</f>
        <v>8307517</v>
      </c>
      <c r="D10465" t="s">
        <v>31234</v>
      </c>
      <c r="E10465" t="s">
        <v>31235</v>
      </c>
      <c r="F10465" t="s">
        <v>31236</v>
      </c>
      <c r="I10465" t="s">
        <v>2071</v>
      </c>
      <c r="J10465" t="s">
        <v>30</v>
      </c>
      <c r="K10465" t="str">
        <f>"27006"</f>
        <v>27006</v>
      </c>
      <c r="M10465" t="s">
        <v>17861</v>
      </c>
      <c r="N10465" t="str">
        <f>"2/28/2017 4:24:00 PM"</f>
        <v>2/28/2017 4:24:00 PM</v>
      </c>
      <c r="O10465" t="s">
        <v>31234</v>
      </c>
      <c r="T10465" t="s">
        <v>31235</v>
      </c>
    </row>
    <row r="10466" spans="1:20" x14ac:dyDescent="0.25">
      <c r="A10466" t="str">
        <f>"3062836"</f>
        <v>3062836</v>
      </c>
      <c r="B10466" t="s">
        <v>31237</v>
      </c>
      <c r="C10466" t="str">
        <f>"8307474"</f>
        <v>8307474</v>
      </c>
      <c r="D10466" t="s">
        <v>31238</v>
      </c>
      <c r="F10466" t="s">
        <v>31239</v>
      </c>
      <c r="I10466" t="s">
        <v>29</v>
      </c>
      <c r="J10466" t="s">
        <v>30</v>
      </c>
      <c r="K10466" t="str">
        <f>"27028"</f>
        <v>27028</v>
      </c>
      <c r="M10466" t="s">
        <v>17861</v>
      </c>
      <c r="N10466" t="str">
        <f>"2/15/2017 12:56:00 PM"</f>
        <v>2/15/2017 12:56:00 PM</v>
      </c>
      <c r="O10466" t="s">
        <v>31238</v>
      </c>
    </row>
    <row r="10467" spans="1:20" x14ac:dyDescent="0.25">
      <c r="A10467" t="str">
        <f>"3045637"</f>
        <v>3045637</v>
      </c>
      <c r="B10467" t="s">
        <v>31240</v>
      </c>
      <c r="C10467" t="str">
        <f>"8307472"</f>
        <v>8307472</v>
      </c>
      <c r="D10467" t="s">
        <v>31241</v>
      </c>
      <c r="E10467" t="s">
        <v>31242</v>
      </c>
      <c r="F10467" t="s">
        <v>31243</v>
      </c>
      <c r="I10467" t="s">
        <v>1149</v>
      </c>
      <c r="J10467" t="s">
        <v>30</v>
      </c>
      <c r="K10467" t="str">
        <f>"28634"</f>
        <v>28634</v>
      </c>
      <c r="M10467" t="s">
        <v>17861</v>
      </c>
      <c r="N10467" t="str">
        <f>"2/15/2017 12:02:00 PM"</f>
        <v>2/15/2017 12:02:00 PM</v>
      </c>
      <c r="O10467" t="s">
        <v>31241</v>
      </c>
      <c r="T10467" t="s">
        <v>31242</v>
      </c>
    </row>
    <row r="10468" spans="1:20" x14ac:dyDescent="0.25">
      <c r="A10468" t="str">
        <f>"3061645"</f>
        <v>3061645</v>
      </c>
      <c r="B10468" t="s">
        <v>31244</v>
      </c>
      <c r="C10468" t="str">
        <f>"8305957"</f>
        <v>8305957</v>
      </c>
      <c r="D10468" t="s">
        <v>31245</v>
      </c>
      <c r="E10468" t="s">
        <v>31246</v>
      </c>
      <c r="F10468" t="s">
        <v>31247</v>
      </c>
      <c r="I10468" t="s">
        <v>29</v>
      </c>
      <c r="J10468" t="s">
        <v>30</v>
      </c>
      <c r="K10468" t="str">
        <f>"27028"</f>
        <v>27028</v>
      </c>
      <c r="M10468" t="s">
        <v>17861</v>
      </c>
      <c r="N10468" t="str">
        <f>"3/1/2017 1:06:00 PM"</f>
        <v>3/1/2017 1:06:00 PM</v>
      </c>
      <c r="O10468" t="s">
        <v>31245</v>
      </c>
      <c r="T10468" t="s">
        <v>31246</v>
      </c>
    </row>
    <row r="10469" spans="1:20" x14ac:dyDescent="0.25">
      <c r="A10469" t="str">
        <f>"3041802"</f>
        <v>3041802</v>
      </c>
      <c r="B10469" t="s">
        <v>31248</v>
      </c>
      <c r="C10469" t="str">
        <f>"72918000"</f>
        <v>72918000</v>
      </c>
      <c r="D10469" t="s">
        <v>31249</v>
      </c>
      <c r="E10469" t="s">
        <v>31250</v>
      </c>
      <c r="F10469" t="s">
        <v>31251</v>
      </c>
      <c r="I10469" t="s">
        <v>2071</v>
      </c>
      <c r="J10469" t="s">
        <v>30</v>
      </c>
      <c r="K10469" t="s">
        <v>185</v>
      </c>
      <c r="M10469" t="s">
        <v>25625</v>
      </c>
      <c r="N10469" t="str">
        <f>"2/15/2017 10:23:00 AM"</f>
        <v>2/15/2017 10:23:00 AM</v>
      </c>
      <c r="O10469" t="s">
        <v>31249</v>
      </c>
      <c r="T10469" t="s">
        <v>31250</v>
      </c>
    </row>
    <row r="10470" spans="1:20" x14ac:dyDescent="0.25">
      <c r="A10470" t="str">
        <f>"3046992"</f>
        <v>3046992</v>
      </c>
      <c r="B10470" t="s">
        <v>31252</v>
      </c>
      <c r="C10470" t="str">
        <f>"8307468"</f>
        <v>8307468</v>
      </c>
      <c r="D10470" t="s">
        <v>31253</v>
      </c>
      <c r="E10470" t="s">
        <v>31254</v>
      </c>
      <c r="F10470" t="s">
        <v>31255</v>
      </c>
      <c r="I10470" t="s">
        <v>29</v>
      </c>
      <c r="J10470" t="s">
        <v>30</v>
      </c>
      <c r="K10470" t="str">
        <f>"27028"</f>
        <v>27028</v>
      </c>
      <c r="M10470" t="s">
        <v>17861</v>
      </c>
      <c r="N10470" t="str">
        <f>"2/15/2017 10:02:00 AM"</f>
        <v>2/15/2017 10:02:00 AM</v>
      </c>
      <c r="O10470" t="s">
        <v>31253</v>
      </c>
      <c r="T10470" t="s">
        <v>31254</v>
      </c>
    </row>
    <row r="10471" spans="1:20" x14ac:dyDescent="0.25">
      <c r="A10471" t="str">
        <f>"3038630"</f>
        <v>3038630</v>
      </c>
      <c r="B10471" t="s">
        <v>31256</v>
      </c>
      <c r="C10471" t="str">
        <f>"8307467"</f>
        <v>8307467</v>
      </c>
      <c r="D10471" t="s">
        <v>31257</v>
      </c>
      <c r="F10471" t="s">
        <v>31258</v>
      </c>
      <c r="I10471" t="s">
        <v>29</v>
      </c>
      <c r="J10471" t="s">
        <v>30</v>
      </c>
      <c r="K10471" t="str">
        <f>"27028"</f>
        <v>27028</v>
      </c>
      <c r="M10471" t="s">
        <v>17861</v>
      </c>
      <c r="N10471" t="str">
        <f>"2/15/2017 9:45:00 AM"</f>
        <v>2/15/2017 9:45:00 AM</v>
      </c>
      <c r="O10471" t="s">
        <v>31257</v>
      </c>
    </row>
    <row r="10472" spans="1:20" x14ac:dyDescent="0.25">
      <c r="A10472" t="str">
        <f>"3050735"</f>
        <v>3050735</v>
      </c>
      <c r="B10472" t="s">
        <v>31259</v>
      </c>
      <c r="C10472" t="str">
        <f>"8307466"</f>
        <v>8307466</v>
      </c>
      <c r="D10472" t="s">
        <v>31260</v>
      </c>
      <c r="F10472" t="s">
        <v>31261</v>
      </c>
      <c r="I10472" t="s">
        <v>184</v>
      </c>
      <c r="J10472" t="s">
        <v>30</v>
      </c>
      <c r="K10472" t="str">
        <f>"27006"</f>
        <v>27006</v>
      </c>
      <c r="M10472" t="s">
        <v>17861</v>
      </c>
      <c r="N10472" t="str">
        <f>"2/15/2017 9:36:00 AM"</f>
        <v>2/15/2017 9:36:00 AM</v>
      </c>
      <c r="O10472" t="s">
        <v>31260</v>
      </c>
    </row>
    <row r="10473" spans="1:20" x14ac:dyDescent="0.25">
      <c r="A10473" t="str">
        <f>"3041739"</f>
        <v>3041739</v>
      </c>
      <c r="B10473" t="s">
        <v>31262</v>
      </c>
      <c r="C10473" t="str">
        <f>"82521953"</f>
        <v>82521953</v>
      </c>
      <c r="D10473" t="s">
        <v>31263</v>
      </c>
      <c r="E10473" t="s">
        <v>31264</v>
      </c>
      <c r="F10473" t="s">
        <v>31265</v>
      </c>
      <c r="I10473" t="s">
        <v>2071</v>
      </c>
      <c r="J10473" t="s">
        <v>30</v>
      </c>
      <c r="K10473" t="s">
        <v>185</v>
      </c>
      <c r="M10473" t="s">
        <v>25733</v>
      </c>
      <c r="N10473" t="str">
        <f>"2/14/2017 11:34:00 AM"</f>
        <v>2/14/2017 11:34:00 AM</v>
      </c>
      <c r="O10473" t="s">
        <v>31263</v>
      </c>
      <c r="T10473" t="s">
        <v>31264</v>
      </c>
    </row>
    <row r="10474" spans="1:20" x14ac:dyDescent="0.25">
      <c r="A10474" t="str">
        <f>"3049070"</f>
        <v>3049070</v>
      </c>
      <c r="B10474" t="s">
        <v>31266</v>
      </c>
      <c r="C10474" t="str">
        <f>"8307497"</f>
        <v>8307497</v>
      </c>
      <c r="D10474" t="s">
        <v>31267</v>
      </c>
      <c r="F10474" t="s">
        <v>31268</v>
      </c>
      <c r="I10474" t="s">
        <v>29</v>
      </c>
      <c r="J10474" t="s">
        <v>30</v>
      </c>
      <c r="K10474" t="str">
        <f>"27028"</f>
        <v>27028</v>
      </c>
      <c r="M10474" t="s">
        <v>17861</v>
      </c>
      <c r="N10474" t="str">
        <f>"2/22/2017 4:19:00 PM"</f>
        <v>2/22/2017 4:19:00 PM</v>
      </c>
      <c r="O10474" t="s">
        <v>31267</v>
      </c>
    </row>
    <row r="10475" spans="1:20" x14ac:dyDescent="0.25">
      <c r="A10475" t="str">
        <f>"3069291"</f>
        <v>3069291</v>
      </c>
      <c r="B10475" t="s">
        <v>31269</v>
      </c>
      <c r="C10475" t="str">
        <f>"82529927"</f>
        <v>82529927</v>
      </c>
      <c r="D10475" t="s">
        <v>31270</v>
      </c>
      <c r="F10475" t="s">
        <v>31271</v>
      </c>
      <c r="I10475" t="s">
        <v>184</v>
      </c>
      <c r="J10475" t="s">
        <v>30</v>
      </c>
      <c r="K10475" t="s">
        <v>185</v>
      </c>
      <c r="M10475" t="s">
        <v>18479</v>
      </c>
      <c r="N10475" t="str">
        <f>"2/20/2017 3:20:00 PM"</f>
        <v>2/20/2017 3:20:00 PM</v>
      </c>
      <c r="O10475" t="s">
        <v>31270</v>
      </c>
    </row>
    <row r="10476" spans="1:20" x14ac:dyDescent="0.25">
      <c r="A10476" t="str">
        <f>"3060907"</f>
        <v>3060907</v>
      </c>
      <c r="B10476" t="s">
        <v>31272</v>
      </c>
      <c r="C10476" t="str">
        <f>"82518178"</f>
        <v>82518178</v>
      </c>
      <c r="D10476" t="s">
        <v>31273</v>
      </c>
      <c r="F10476" t="s">
        <v>31274</v>
      </c>
      <c r="G10476" t="s">
        <v>31275</v>
      </c>
      <c r="I10476" t="s">
        <v>2071</v>
      </c>
      <c r="J10476" t="s">
        <v>30</v>
      </c>
      <c r="K10476" t="s">
        <v>185</v>
      </c>
      <c r="M10476" t="s">
        <v>25733</v>
      </c>
      <c r="N10476" t="str">
        <f>"2/17/2017 9:36:00 AM"</f>
        <v>2/17/2017 9:36:00 AM</v>
      </c>
      <c r="O10476" t="s">
        <v>31273</v>
      </c>
    </row>
    <row r="10477" spans="1:20" x14ac:dyDescent="0.25">
      <c r="A10477" t="str">
        <f>"3064103"</f>
        <v>3064103</v>
      </c>
      <c r="B10477" t="s">
        <v>31276</v>
      </c>
      <c r="C10477" t="str">
        <f t="shared" ref="C10477:C10482" si="176">"8304317"</f>
        <v>8304317</v>
      </c>
      <c r="D10477" t="s">
        <v>31277</v>
      </c>
      <c r="F10477" t="s">
        <v>31278</v>
      </c>
      <c r="I10477" t="s">
        <v>29</v>
      </c>
      <c r="J10477" t="s">
        <v>30</v>
      </c>
      <c r="K10477" t="str">
        <f t="shared" ref="K10477:K10482" si="177">"27028"</f>
        <v>27028</v>
      </c>
      <c r="M10477" t="s">
        <v>17922</v>
      </c>
      <c r="N10477" t="str">
        <f t="shared" ref="N10477:N10482" si="178">"2/17/2017 8:31:00 AM"</f>
        <v>2/17/2017 8:31:00 AM</v>
      </c>
      <c r="O10477" t="s">
        <v>31277</v>
      </c>
    </row>
    <row r="10478" spans="1:20" x14ac:dyDescent="0.25">
      <c r="A10478" t="str">
        <f>"3043040"</f>
        <v>3043040</v>
      </c>
      <c r="B10478" t="s">
        <v>31279</v>
      </c>
      <c r="C10478" t="str">
        <f t="shared" si="176"/>
        <v>8304317</v>
      </c>
      <c r="D10478" t="s">
        <v>31277</v>
      </c>
      <c r="F10478" t="s">
        <v>31278</v>
      </c>
      <c r="I10478" t="s">
        <v>29</v>
      </c>
      <c r="J10478" t="s">
        <v>30</v>
      </c>
      <c r="K10478" t="str">
        <f t="shared" si="177"/>
        <v>27028</v>
      </c>
      <c r="M10478" t="s">
        <v>17922</v>
      </c>
      <c r="N10478" t="str">
        <f t="shared" si="178"/>
        <v>2/17/2017 8:31:00 AM</v>
      </c>
      <c r="O10478" t="s">
        <v>31277</v>
      </c>
    </row>
    <row r="10479" spans="1:20" x14ac:dyDescent="0.25">
      <c r="A10479" t="str">
        <f>"3042293"</f>
        <v>3042293</v>
      </c>
      <c r="B10479" t="s">
        <v>31280</v>
      </c>
      <c r="C10479" t="str">
        <f t="shared" si="176"/>
        <v>8304317</v>
      </c>
      <c r="D10479" t="s">
        <v>31277</v>
      </c>
      <c r="F10479" t="s">
        <v>31278</v>
      </c>
      <c r="I10479" t="s">
        <v>29</v>
      </c>
      <c r="J10479" t="s">
        <v>30</v>
      </c>
      <c r="K10479" t="str">
        <f t="shared" si="177"/>
        <v>27028</v>
      </c>
      <c r="M10479" t="s">
        <v>17922</v>
      </c>
      <c r="N10479" t="str">
        <f t="shared" si="178"/>
        <v>2/17/2017 8:31:00 AM</v>
      </c>
      <c r="O10479" t="s">
        <v>31277</v>
      </c>
    </row>
    <row r="10480" spans="1:20" x14ac:dyDescent="0.25">
      <c r="A10480" t="str">
        <f>"3056919"</f>
        <v>3056919</v>
      </c>
      <c r="B10480" t="s">
        <v>31281</v>
      </c>
      <c r="C10480" t="str">
        <f t="shared" si="176"/>
        <v>8304317</v>
      </c>
      <c r="D10480" t="s">
        <v>31277</v>
      </c>
      <c r="F10480" t="s">
        <v>31278</v>
      </c>
      <c r="I10480" t="s">
        <v>29</v>
      </c>
      <c r="J10480" t="s">
        <v>30</v>
      </c>
      <c r="K10480" t="str">
        <f t="shared" si="177"/>
        <v>27028</v>
      </c>
      <c r="M10480" t="s">
        <v>17922</v>
      </c>
      <c r="N10480" t="str">
        <f t="shared" si="178"/>
        <v>2/17/2017 8:31:00 AM</v>
      </c>
      <c r="O10480" t="s">
        <v>31277</v>
      </c>
    </row>
    <row r="10481" spans="1:20" x14ac:dyDescent="0.25">
      <c r="A10481" t="str">
        <f>"3057357"</f>
        <v>3057357</v>
      </c>
      <c r="B10481" t="s">
        <v>31282</v>
      </c>
      <c r="C10481" t="str">
        <f t="shared" si="176"/>
        <v>8304317</v>
      </c>
      <c r="D10481" t="s">
        <v>31277</v>
      </c>
      <c r="F10481" t="s">
        <v>31278</v>
      </c>
      <c r="I10481" t="s">
        <v>29</v>
      </c>
      <c r="J10481" t="s">
        <v>30</v>
      </c>
      <c r="K10481" t="str">
        <f t="shared" si="177"/>
        <v>27028</v>
      </c>
      <c r="M10481" t="s">
        <v>17922</v>
      </c>
      <c r="N10481" t="str">
        <f t="shared" si="178"/>
        <v>2/17/2017 8:31:00 AM</v>
      </c>
      <c r="O10481" t="s">
        <v>31277</v>
      </c>
    </row>
    <row r="10482" spans="1:20" x14ac:dyDescent="0.25">
      <c r="A10482" t="str">
        <f>"3057331"</f>
        <v>3057331</v>
      </c>
      <c r="B10482" t="s">
        <v>31283</v>
      </c>
      <c r="C10482" t="str">
        <f t="shared" si="176"/>
        <v>8304317</v>
      </c>
      <c r="D10482" t="s">
        <v>31277</v>
      </c>
      <c r="F10482" t="s">
        <v>31278</v>
      </c>
      <c r="I10482" t="s">
        <v>29</v>
      </c>
      <c r="J10482" t="s">
        <v>30</v>
      </c>
      <c r="K10482" t="str">
        <f t="shared" si="177"/>
        <v>27028</v>
      </c>
      <c r="M10482" t="s">
        <v>17922</v>
      </c>
      <c r="N10482" t="str">
        <f t="shared" si="178"/>
        <v>2/17/2017 8:31:00 AM</v>
      </c>
      <c r="O10482" t="s">
        <v>31277</v>
      </c>
    </row>
    <row r="10483" spans="1:20" x14ac:dyDescent="0.25">
      <c r="A10483" t="str">
        <f>"3040701"</f>
        <v>3040701</v>
      </c>
      <c r="B10483" t="s">
        <v>31284</v>
      </c>
      <c r="C10483" t="str">
        <f>"82527681"</f>
        <v>82527681</v>
      </c>
      <c r="D10483" t="s">
        <v>31285</v>
      </c>
      <c r="F10483" t="s">
        <v>31286</v>
      </c>
      <c r="I10483" t="s">
        <v>184</v>
      </c>
      <c r="J10483" t="s">
        <v>30</v>
      </c>
      <c r="K10483" t="s">
        <v>185</v>
      </c>
      <c r="M10483" t="s">
        <v>25733</v>
      </c>
      <c r="N10483" t="str">
        <f>"2/23/2017 9:48:00 AM"</f>
        <v>2/23/2017 9:48:00 AM</v>
      </c>
      <c r="O10483" t="s">
        <v>31285</v>
      </c>
    </row>
    <row r="10484" spans="1:20" x14ac:dyDescent="0.25">
      <c r="A10484" t="str">
        <f>"3037363"</f>
        <v>3037363</v>
      </c>
      <c r="B10484" t="s">
        <v>31287</v>
      </c>
      <c r="C10484" t="str">
        <f>"81240500"</f>
        <v>81240500</v>
      </c>
      <c r="D10484" t="s">
        <v>31288</v>
      </c>
      <c r="F10484" t="s">
        <v>31289</v>
      </c>
      <c r="I10484" t="s">
        <v>17921</v>
      </c>
      <c r="J10484" t="s">
        <v>30</v>
      </c>
      <c r="K10484" t="s">
        <v>31</v>
      </c>
      <c r="M10484" t="s">
        <v>17922</v>
      </c>
      <c r="N10484" t="str">
        <f>"3/13/2017 12:03:00 PM"</f>
        <v>3/13/2017 12:03:00 PM</v>
      </c>
      <c r="O10484" t="s">
        <v>31288</v>
      </c>
    </row>
    <row r="10485" spans="1:20" x14ac:dyDescent="0.25">
      <c r="A10485" t="str">
        <f>"3075746"</f>
        <v>3075746</v>
      </c>
      <c r="B10485" t="s">
        <v>31290</v>
      </c>
      <c r="C10485" t="str">
        <f>"8303286"</f>
        <v>8303286</v>
      </c>
      <c r="D10485" t="s">
        <v>31291</v>
      </c>
      <c r="F10485" t="s">
        <v>31292</v>
      </c>
      <c r="I10485" t="s">
        <v>184</v>
      </c>
      <c r="J10485" t="s">
        <v>30</v>
      </c>
      <c r="K10485" t="str">
        <f>"27006"</f>
        <v>27006</v>
      </c>
      <c r="M10485" t="s">
        <v>25733</v>
      </c>
      <c r="N10485" t="str">
        <f>"2/23/2017 1:55:00 PM"</f>
        <v>2/23/2017 1:55:00 PM</v>
      </c>
      <c r="O10485" t="s">
        <v>31291</v>
      </c>
    </row>
    <row r="10486" spans="1:20" x14ac:dyDescent="0.25">
      <c r="A10486" t="str">
        <f>"3057266"</f>
        <v>3057266</v>
      </c>
      <c r="B10486" t="s">
        <v>31293</v>
      </c>
      <c r="C10486" t="str">
        <f>"8307553"</f>
        <v>8307553</v>
      </c>
      <c r="D10486" t="s">
        <v>31294</v>
      </c>
      <c r="E10486" t="s">
        <v>31295</v>
      </c>
      <c r="F10486" t="s">
        <v>31296</v>
      </c>
      <c r="I10486" t="s">
        <v>29</v>
      </c>
      <c r="J10486" t="s">
        <v>30</v>
      </c>
      <c r="K10486" t="str">
        <f>"27028"</f>
        <v>27028</v>
      </c>
      <c r="M10486" t="s">
        <v>17861</v>
      </c>
      <c r="N10486" t="str">
        <f>"3/13/2017 4:09:00 PM"</f>
        <v>3/13/2017 4:09:00 PM</v>
      </c>
      <c r="O10486" t="s">
        <v>31294</v>
      </c>
      <c r="T10486" t="s">
        <v>31295</v>
      </c>
    </row>
    <row r="10487" spans="1:20" x14ac:dyDescent="0.25">
      <c r="A10487" t="str">
        <f>"3058515"</f>
        <v>3058515</v>
      </c>
      <c r="B10487" t="s">
        <v>31297</v>
      </c>
      <c r="C10487" t="str">
        <f>"8307553"</f>
        <v>8307553</v>
      </c>
      <c r="D10487" t="s">
        <v>31294</v>
      </c>
      <c r="E10487" t="s">
        <v>31295</v>
      </c>
      <c r="F10487" t="s">
        <v>31296</v>
      </c>
      <c r="I10487" t="s">
        <v>29</v>
      </c>
      <c r="J10487" t="s">
        <v>30</v>
      </c>
      <c r="K10487" t="str">
        <f>"27028"</f>
        <v>27028</v>
      </c>
      <c r="M10487" t="s">
        <v>17861</v>
      </c>
      <c r="N10487" t="str">
        <f>"3/13/2017 4:09:00 PM"</f>
        <v>3/13/2017 4:09:00 PM</v>
      </c>
      <c r="O10487" t="s">
        <v>31294</v>
      </c>
      <c r="T10487" t="s">
        <v>31295</v>
      </c>
    </row>
    <row r="10488" spans="1:20" x14ac:dyDescent="0.25">
      <c r="A10488" t="str">
        <f>"3078293"</f>
        <v>3078293</v>
      </c>
      <c r="B10488" t="s">
        <v>31298</v>
      </c>
      <c r="C10488" t="str">
        <f>"8307554"</f>
        <v>8307554</v>
      </c>
      <c r="D10488" t="s">
        <v>31299</v>
      </c>
      <c r="E10488" t="s">
        <v>31300</v>
      </c>
      <c r="F10488" t="s">
        <v>12589</v>
      </c>
      <c r="I10488" t="s">
        <v>184</v>
      </c>
      <c r="J10488" t="s">
        <v>30</v>
      </c>
      <c r="K10488" t="str">
        <f>"27006"</f>
        <v>27006</v>
      </c>
      <c r="M10488" t="s">
        <v>17861</v>
      </c>
      <c r="N10488" t="str">
        <f>"3/13/2017 4:17:00 PM"</f>
        <v>3/13/2017 4:17:00 PM</v>
      </c>
      <c r="O10488" t="s">
        <v>31299</v>
      </c>
      <c r="T10488" t="s">
        <v>31300</v>
      </c>
    </row>
    <row r="10489" spans="1:20" x14ac:dyDescent="0.25">
      <c r="A10489" t="str">
        <f>"3050648"</f>
        <v>3050648</v>
      </c>
      <c r="B10489" t="s">
        <v>31301</v>
      </c>
      <c r="C10489" t="str">
        <f>"8307554"</f>
        <v>8307554</v>
      </c>
      <c r="D10489" t="s">
        <v>31299</v>
      </c>
      <c r="E10489" t="s">
        <v>31300</v>
      </c>
      <c r="F10489" t="s">
        <v>12589</v>
      </c>
      <c r="I10489" t="s">
        <v>184</v>
      </c>
      <c r="J10489" t="s">
        <v>30</v>
      </c>
      <c r="K10489" t="str">
        <f>"27006"</f>
        <v>27006</v>
      </c>
      <c r="M10489" t="s">
        <v>17861</v>
      </c>
      <c r="N10489" t="str">
        <f>"3/13/2017 4:17:00 PM"</f>
        <v>3/13/2017 4:17:00 PM</v>
      </c>
      <c r="O10489" t="s">
        <v>31299</v>
      </c>
      <c r="T10489" t="s">
        <v>31300</v>
      </c>
    </row>
    <row r="10490" spans="1:20" x14ac:dyDescent="0.25">
      <c r="A10490" t="str">
        <f>"3046454"</f>
        <v>3046454</v>
      </c>
      <c r="B10490" t="s">
        <v>31302</v>
      </c>
      <c r="C10490" t="str">
        <f>"41952500"</f>
        <v>41952500</v>
      </c>
      <c r="D10490" t="s">
        <v>31303</v>
      </c>
      <c r="F10490" t="s">
        <v>31304</v>
      </c>
      <c r="I10490" t="s">
        <v>29</v>
      </c>
      <c r="J10490" t="s">
        <v>30</v>
      </c>
      <c r="K10490" t="s">
        <v>31</v>
      </c>
      <c r="M10490" t="s">
        <v>25733</v>
      </c>
      <c r="N10490" t="str">
        <f>"2/23/2017 2:37:00 PM"</f>
        <v>2/23/2017 2:37:00 PM</v>
      </c>
      <c r="O10490" t="s">
        <v>31303</v>
      </c>
    </row>
    <row r="10491" spans="1:20" x14ac:dyDescent="0.25">
      <c r="A10491" t="str">
        <f>"3046455"</f>
        <v>3046455</v>
      </c>
      <c r="B10491" t="s">
        <v>31305</v>
      </c>
      <c r="C10491" t="str">
        <f>"8307500"</f>
        <v>8307500</v>
      </c>
      <c r="D10491" t="s">
        <v>31306</v>
      </c>
      <c r="F10491" t="s">
        <v>31307</v>
      </c>
      <c r="I10491" t="s">
        <v>29</v>
      </c>
      <c r="J10491" t="s">
        <v>30</v>
      </c>
      <c r="K10491" t="str">
        <f>"27028"</f>
        <v>27028</v>
      </c>
      <c r="M10491" t="s">
        <v>17861</v>
      </c>
      <c r="N10491" t="str">
        <f>"2/23/2017 3:43:00 PM"</f>
        <v>2/23/2017 3:43:00 PM</v>
      </c>
      <c r="O10491" t="s">
        <v>31306</v>
      </c>
    </row>
    <row r="10492" spans="1:20" x14ac:dyDescent="0.25">
      <c r="A10492" t="str">
        <f>"3049242"</f>
        <v>3049242</v>
      </c>
      <c r="B10492" t="s">
        <v>31308</v>
      </c>
      <c r="C10492" t="str">
        <f>"8302912"</f>
        <v>8302912</v>
      </c>
      <c r="D10492" t="s">
        <v>31309</v>
      </c>
      <c r="F10492" t="s">
        <v>31310</v>
      </c>
      <c r="I10492" t="s">
        <v>184</v>
      </c>
      <c r="J10492" t="s">
        <v>30</v>
      </c>
      <c r="K10492" t="str">
        <f>"27006"</f>
        <v>27006</v>
      </c>
      <c r="M10492" t="s">
        <v>17861</v>
      </c>
      <c r="N10492" t="str">
        <f>"2/27/2017 9:35:00 AM"</f>
        <v>2/27/2017 9:35:00 AM</v>
      </c>
      <c r="O10492" t="s">
        <v>31309</v>
      </c>
    </row>
    <row r="10493" spans="1:20" x14ac:dyDescent="0.25">
      <c r="A10493" t="str">
        <f>"3062476"</f>
        <v>3062476</v>
      </c>
      <c r="B10493" t="s">
        <v>31311</v>
      </c>
      <c r="C10493" t="str">
        <f>"8307502"</f>
        <v>8307502</v>
      </c>
      <c r="D10493" t="s">
        <v>31312</v>
      </c>
      <c r="E10493" t="s">
        <v>31313</v>
      </c>
      <c r="F10493" t="s">
        <v>31314</v>
      </c>
      <c r="I10493" t="s">
        <v>2071</v>
      </c>
      <c r="J10493" t="s">
        <v>30</v>
      </c>
      <c r="K10493" t="str">
        <f>"27006"</f>
        <v>27006</v>
      </c>
      <c r="M10493" t="s">
        <v>17861</v>
      </c>
      <c r="N10493" t="str">
        <f>"2/27/2017 3:51:00 PM"</f>
        <v>2/27/2017 3:51:00 PM</v>
      </c>
      <c r="O10493" t="s">
        <v>31312</v>
      </c>
      <c r="T10493" t="s">
        <v>31313</v>
      </c>
    </row>
    <row r="10494" spans="1:20" x14ac:dyDescent="0.25">
      <c r="A10494" t="str">
        <f>"3048699"</f>
        <v>3048699</v>
      </c>
      <c r="B10494" t="s">
        <v>31315</v>
      </c>
      <c r="C10494" t="str">
        <f>"8307570"</f>
        <v>8307570</v>
      </c>
      <c r="D10494" t="s">
        <v>25746</v>
      </c>
      <c r="F10494" t="s">
        <v>31316</v>
      </c>
      <c r="I10494" t="s">
        <v>29</v>
      </c>
      <c r="J10494" t="s">
        <v>30</v>
      </c>
      <c r="K10494" t="str">
        <f>"27028"</f>
        <v>27028</v>
      </c>
      <c r="M10494" t="s">
        <v>17861</v>
      </c>
      <c r="N10494" t="str">
        <f>"3/16/2017 9:44:00 AM"</f>
        <v>3/16/2017 9:44:00 AM</v>
      </c>
      <c r="O10494" t="s">
        <v>25746</v>
      </c>
    </row>
    <row r="10495" spans="1:20" x14ac:dyDescent="0.25">
      <c r="A10495" t="str">
        <f>"3062803"</f>
        <v>3062803</v>
      </c>
      <c r="B10495" t="s">
        <v>31317</v>
      </c>
      <c r="C10495" t="str">
        <f>"8307570"</f>
        <v>8307570</v>
      </c>
      <c r="D10495" t="s">
        <v>25746</v>
      </c>
      <c r="F10495" t="s">
        <v>31316</v>
      </c>
      <c r="I10495" t="s">
        <v>29</v>
      </c>
      <c r="J10495" t="s">
        <v>30</v>
      </c>
      <c r="K10495" t="str">
        <f>"27028"</f>
        <v>27028</v>
      </c>
      <c r="M10495" t="s">
        <v>17861</v>
      </c>
      <c r="N10495" t="str">
        <f>"3/16/2017 9:44:00 AM"</f>
        <v>3/16/2017 9:44:00 AM</v>
      </c>
      <c r="O10495" t="s">
        <v>25746</v>
      </c>
    </row>
    <row r="10496" spans="1:20" x14ac:dyDescent="0.25">
      <c r="A10496" t="str">
        <f>"3059121"</f>
        <v>3059121</v>
      </c>
      <c r="B10496" t="s">
        <v>31318</v>
      </c>
      <c r="C10496" t="str">
        <f>"8307505"</f>
        <v>8307505</v>
      </c>
      <c r="D10496" t="s">
        <v>31319</v>
      </c>
      <c r="E10496" t="s">
        <v>31320</v>
      </c>
      <c r="F10496" t="s">
        <v>31321</v>
      </c>
      <c r="I10496" t="s">
        <v>29</v>
      </c>
      <c r="J10496" t="s">
        <v>30</v>
      </c>
      <c r="K10496" t="str">
        <f>"27028"</f>
        <v>27028</v>
      </c>
      <c r="M10496" t="s">
        <v>17861</v>
      </c>
      <c r="N10496" t="str">
        <f>"2/27/2017 4:07:00 PM"</f>
        <v>2/27/2017 4:07:00 PM</v>
      </c>
      <c r="O10496" t="s">
        <v>31319</v>
      </c>
      <c r="T10496" t="s">
        <v>31320</v>
      </c>
    </row>
    <row r="10497" spans="1:20" x14ac:dyDescent="0.25">
      <c r="A10497" t="str">
        <f>"3060848"</f>
        <v>3060848</v>
      </c>
      <c r="B10497" t="s">
        <v>31322</v>
      </c>
      <c r="C10497" t="str">
        <f>"8307510"</f>
        <v>8307510</v>
      </c>
      <c r="D10497" t="s">
        <v>31323</v>
      </c>
      <c r="E10497" t="s">
        <v>31324</v>
      </c>
      <c r="F10497" t="s">
        <v>31325</v>
      </c>
      <c r="I10497" t="s">
        <v>184</v>
      </c>
      <c r="J10497" t="s">
        <v>30</v>
      </c>
      <c r="K10497" t="str">
        <f>"27006"</f>
        <v>27006</v>
      </c>
      <c r="M10497" t="s">
        <v>17861</v>
      </c>
      <c r="N10497" t="str">
        <f>"2/27/2017 4:42:00 PM"</f>
        <v>2/27/2017 4:42:00 PM</v>
      </c>
      <c r="O10497" t="s">
        <v>31323</v>
      </c>
      <c r="T10497" t="s">
        <v>31324</v>
      </c>
    </row>
    <row r="10498" spans="1:20" x14ac:dyDescent="0.25">
      <c r="A10498" t="str">
        <f>"3051320"</f>
        <v>3051320</v>
      </c>
      <c r="B10498" t="s">
        <v>31326</v>
      </c>
      <c r="C10498" t="str">
        <f>"8307518"</f>
        <v>8307518</v>
      </c>
      <c r="D10498" t="s">
        <v>31327</v>
      </c>
      <c r="E10498" t="s">
        <v>31328</v>
      </c>
      <c r="F10498" t="s">
        <v>31329</v>
      </c>
      <c r="I10498" t="s">
        <v>29</v>
      </c>
      <c r="J10498" t="s">
        <v>30</v>
      </c>
      <c r="K10498" t="str">
        <f>"27028"</f>
        <v>27028</v>
      </c>
      <c r="M10498" t="s">
        <v>17861</v>
      </c>
      <c r="N10498" t="str">
        <f>"2/28/2017 4:32:00 PM"</f>
        <v>2/28/2017 4:32:00 PM</v>
      </c>
      <c r="O10498" t="s">
        <v>31327</v>
      </c>
      <c r="T10498" t="s">
        <v>31328</v>
      </c>
    </row>
    <row r="10499" spans="1:20" x14ac:dyDescent="0.25">
      <c r="A10499" t="str">
        <f>"3057605"</f>
        <v>3057605</v>
      </c>
      <c r="B10499" t="s">
        <v>31330</v>
      </c>
      <c r="C10499" t="str">
        <f>"8305957"</f>
        <v>8305957</v>
      </c>
      <c r="D10499" t="s">
        <v>31245</v>
      </c>
      <c r="E10499" t="s">
        <v>31246</v>
      </c>
      <c r="F10499" t="s">
        <v>31247</v>
      </c>
      <c r="I10499" t="s">
        <v>29</v>
      </c>
      <c r="J10499" t="s">
        <v>30</v>
      </c>
      <c r="K10499" t="str">
        <f>"27028"</f>
        <v>27028</v>
      </c>
      <c r="M10499" t="s">
        <v>17861</v>
      </c>
      <c r="N10499" t="str">
        <f>"3/1/2017 1:06:00 PM"</f>
        <v>3/1/2017 1:06:00 PM</v>
      </c>
      <c r="O10499" t="s">
        <v>31245</v>
      </c>
      <c r="T10499" t="s">
        <v>31246</v>
      </c>
    </row>
    <row r="10500" spans="1:20" x14ac:dyDescent="0.25">
      <c r="A10500" t="str">
        <f>"3046905"</f>
        <v>3046905</v>
      </c>
      <c r="B10500" t="s">
        <v>31331</v>
      </c>
      <c r="C10500" t="str">
        <f>"82517134"</f>
        <v>82517134</v>
      </c>
      <c r="D10500" t="s">
        <v>31332</v>
      </c>
      <c r="F10500" t="s">
        <v>31333</v>
      </c>
      <c r="I10500" t="s">
        <v>29</v>
      </c>
      <c r="J10500" t="s">
        <v>30</v>
      </c>
      <c r="K10500" t="s">
        <v>31</v>
      </c>
      <c r="M10500" t="s">
        <v>25494</v>
      </c>
      <c r="N10500" t="str">
        <f>"3/2/2017 4:03:00 PM"</f>
        <v>3/2/2017 4:03:00 PM</v>
      </c>
      <c r="O10500" t="s">
        <v>31332</v>
      </c>
    </row>
    <row r="10501" spans="1:20" x14ac:dyDescent="0.25">
      <c r="A10501" t="str">
        <f>"3042417"</f>
        <v>3042417</v>
      </c>
      <c r="B10501" t="s">
        <v>31334</v>
      </c>
      <c r="C10501" t="str">
        <f>"70778000"</f>
        <v>70778000</v>
      </c>
      <c r="D10501" t="s">
        <v>31335</v>
      </c>
      <c r="F10501" t="s">
        <v>31336</v>
      </c>
      <c r="I10501" t="s">
        <v>184</v>
      </c>
      <c r="J10501" t="s">
        <v>30</v>
      </c>
      <c r="K10501" t="s">
        <v>185</v>
      </c>
      <c r="M10501" t="s">
        <v>25733</v>
      </c>
      <c r="N10501" t="str">
        <f>"3/17/2017 11:04:00 AM"</f>
        <v>3/17/2017 11:04:00 AM</v>
      </c>
      <c r="O10501" t="s">
        <v>31335</v>
      </c>
    </row>
    <row r="10502" spans="1:20" x14ac:dyDescent="0.25">
      <c r="A10502" t="str">
        <f>"3060816"</f>
        <v>3060816</v>
      </c>
      <c r="B10502" t="s">
        <v>31337</v>
      </c>
      <c r="C10502" t="str">
        <f>"8307572"</f>
        <v>8307572</v>
      </c>
      <c r="D10502" t="s">
        <v>31338</v>
      </c>
      <c r="E10502" t="s">
        <v>31339</v>
      </c>
      <c r="F10502" t="s">
        <v>31340</v>
      </c>
      <c r="I10502" t="s">
        <v>184</v>
      </c>
      <c r="J10502" t="s">
        <v>30</v>
      </c>
      <c r="K10502" t="str">
        <f>"27006"</f>
        <v>27006</v>
      </c>
      <c r="M10502" t="s">
        <v>17861</v>
      </c>
      <c r="N10502" t="str">
        <f>"3/20/2017 9:09:00 AM"</f>
        <v>3/20/2017 9:09:00 AM</v>
      </c>
      <c r="O10502" t="s">
        <v>31338</v>
      </c>
      <c r="T10502" t="s">
        <v>31339</v>
      </c>
    </row>
    <row r="10503" spans="1:20" x14ac:dyDescent="0.25">
      <c r="A10503" t="str">
        <f>"3068209"</f>
        <v>3068209</v>
      </c>
      <c r="B10503" t="s">
        <v>31341</v>
      </c>
      <c r="C10503" t="str">
        <f>"8301186"</f>
        <v>8301186</v>
      </c>
      <c r="D10503" t="s">
        <v>31342</v>
      </c>
      <c r="E10503" t="s">
        <v>31343</v>
      </c>
      <c r="F10503" t="s">
        <v>31344</v>
      </c>
      <c r="I10503" t="s">
        <v>1149</v>
      </c>
      <c r="J10503" t="s">
        <v>30</v>
      </c>
      <c r="K10503" t="s">
        <v>31345</v>
      </c>
      <c r="M10503" t="s">
        <v>25625</v>
      </c>
      <c r="N10503" t="str">
        <f>"3/2/2017 4:49:00 PM"</f>
        <v>3/2/2017 4:49:00 PM</v>
      </c>
      <c r="O10503" t="s">
        <v>31342</v>
      </c>
      <c r="T10503" t="s">
        <v>31343</v>
      </c>
    </row>
    <row r="10504" spans="1:20" x14ac:dyDescent="0.25">
      <c r="A10504" t="str">
        <f>"3060852"</f>
        <v>3060852</v>
      </c>
      <c r="B10504" t="s">
        <v>31346</v>
      </c>
      <c r="C10504" t="str">
        <f>"8307523"</f>
        <v>8307523</v>
      </c>
      <c r="D10504" t="s">
        <v>31347</v>
      </c>
      <c r="E10504" t="s">
        <v>31348</v>
      </c>
      <c r="F10504" t="s">
        <v>31349</v>
      </c>
      <c r="I10504" t="s">
        <v>184</v>
      </c>
      <c r="J10504" t="s">
        <v>30</v>
      </c>
      <c r="K10504" t="str">
        <f>"27006"</f>
        <v>27006</v>
      </c>
      <c r="M10504" t="s">
        <v>17861</v>
      </c>
      <c r="N10504" t="str">
        <f>"3/6/2017 4:29:00 PM"</f>
        <v>3/6/2017 4:29:00 PM</v>
      </c>
      <c r="O10504" t="s">
        <v>31347</v>
      </c>
      <c r="T10504" t="s">
        <v>31348</v>
      </c>
    </row>
    <row r="10505" spans="1:20" x14ac:dyDescent="0.25">
      <c r="A10505" t="str">
        <f>"3078290"</f>
        <v>3078290</v>
      </c>
      <c r="B10505" t="s">
        <v>31350</v>
      </c>
      <c r="C10505" t="str">
        <f>"8307524"</f>
        <v>8307524</v>
      </c>
      <c r="D10505" t="s">
        <v>31351</v>
      </c>
      <c r="F10505" t="s">
        <v>13958</v>
      </c>
      <c r="I10505" t="s">
        <v>29</v>
      </c>
      <c r="J10505" t="s">
        <v>30</v>
      </c>
      <c r="K10505" t="str">
        <f>"27028"</f>
        <v>27028</v>
      </c>
      <c r="M10505" t="s">
        <v>17861</v>
      </c>
      <c r="N10505" t="str">
        <f>"3/6/2017 4:36:00 PM"</f>
        <v>3/6/2017 4:36:00 PM</v>
      </c>
      <c r="O10505" t="s">
        <v>31351</v>
      </c>
    </row>
    <row r="10506" spans="1:20" x14ac:dyDescent="0.25">
      <c r="A10506" t="str">
        <f>"3050509"</f>
        <v>3050509</v>
      </c>
      <c r="B10506" t="s">
        <v>31352</v>
      </c>
      <c r="C10506" t="str">
        <f>"8307524"</f>
        <v>8307524</v>
      </c>
      <c r="D10506" t="s">
        <v>31351</v>
      </c>
      <c r="F10506" t="s">
        <v>13958</v>
      </c>
      <c r="I10506" t="s">
        <v>29</v>
      </c>
      <c r="J10506" t="s">
        <v>30</v>
      </c>
      <c r="K10506" t="str">
        <f>"27028"</f>
        <v>27028</v>
      </c>
      <c r="M10506" t="s">
        <v>17861</v>
      </c>
      <c r="N10506" t="str">
        <f>"3/6/2017 4:36:00 PM"</f>
        <v>3/6/2017 4:36:00 PM</v>
      </c>
      <c r="O10506" t="s">
        <v>31351</v>
      </c>
    </row>
    <row r="10507" spans="1:20" x14ac:dyDescent="0.25">
      <c r="A10507" t="str">
        <f>"3043617"</f>
        <v>3043617</v>
      </c>
      <c r="B10507" t="s">
        <v>31353</v>
      </c>
      <c r="C10507" t="str">
        <f>"8307526"</f>
        <v>8307526</v>
      </c>
      <c r="D10507" t="s">
        <v>31354</v>
      </c>
      <c r="E10507" t="s">
        <v>31355</v>
      </c>
      <c r="F10507" t="s">
        <v>31356</v>
      </c>
      <c r="I10507" t="s">
        <v>29</v>
      </c>
      <c r="J10507" t="s">
        <v>30</v>
      </c>
      <c r="K10507" t="str">
        <f>"27028"</f>
        <v>27028</v>
      </c>
      <c r="M10507" t="s">
        <v>17861</v>
      </c>
      <c r="N10507" t="str">
        <f>"3/7/2017 8:46:00 AM"</f>
        <v>3/7/2017 8:46:00 AM</v>
      </c>
      <c r="O10507" t="s">
        <v>31354</v>
      </c>
      <c r="T10507" t="s">
        <v>31355</v>
      </c>
    </row>
    <row r="10508" spans="1:20" x14ac:dyDescent="0.25">
      <c r="A10508" t="str">
        <f>"3055036"</f>
        <v>3055036</v>
      </c>
      <c r="B10508" t="s">
        <v>31357</v>
      </c>
      <c r="C10508" t="str">
        <f>"25541000"</f>
        <v>25541000</v>
      </c>
      <c r="D10508" t="s">
        <v>31358</v>
      </c>
      <c r="F10508" t="s">
        <v>31359</v>
      </c>
      <c r="I10508" t="s">
        <v>29</v>
      </c>
      <c r="J10508" t="s">
        <v>30</v>
      </c>
      <c r="K10508" t="s">
        <v>31</v>
      </c>
      <c r="M10508" t="s">
        <v>17861</v>
      </c>
      <c r="N10508" t="str">
        <f>"3/7/2017 2:05:00 PM"</f>
        <v>3/7/2017 2:05:00 PM</v>
      </c>
      <c r="O10508" t="s">
        <v>31358</v>
      </c>
    </row>
    <row r="10509" spans="1:20" x14ac:dyDescent="0.25">
      <c r="A10509" t="str">
        <f>"3057002"</f>
        <v>3057002</v>
      </c>
      <c r="B10509" t="s">
        <v>31360</v>
      </c>
      <c r="C10509" t="str">
        <f>"8307530"</f>
        <v>8307530</v>
      </c>
      <c r="D10509" t="s">
        <v>31361</v>
      </c>
      <c r="F10509" t="s">
        <v>31362</v>
      </c>
      <c r="I10509" t="s">
        <v>29</v>
      </c>
      <c r="J10509" t="s">
        <v>30</v>
      </c>
      <c r="K10509" t="str">
        <f>"27028"</f>
        <v>27028</v>
      </c>
      <c r="M10509" t="s">
        <v>17861</v>
      </c>
      <c r="N10509" t="str">
        <f>"3/8/2017 10:04:00 AM"</f>
        <v>3/8/2017 10:04:00 AM</v>
      </c>
      <c r="O10509" t="s">
        <v>31361</v>
      </c>
    </row>
    <row r="10510" spans="1:20" x14ac:dyDescent="0.25">
      <c r="A10510" t="str">
        <f>"3049708"</f>
        <v>3049708</v>
      </c>
      <c r="B10510" t="s">
        <v>31363</v>
      </c>
      <c r="C10510" t="str">
        <f>"8307531"</f>
        <v>8307531</v>
      </c>
      <c r="D10510" t="s">
        <v>31364</v>
      </c>
      <c r="F10510" t="s">
        <v>31365</v>
      </c>
      <c r="I10510" t="s">
        <v>29</v>
      </c>
      <c r="J10510" t="s">
        <v>30</v>
      </c>
      <c r="K10510" t="str">
        <f>"27028"</f>
        <v>27028</v>
      </c>
      <c r="M10510" t="s">
        <v>17861</v>
      </c>
      <c r="N10510" t="str">
        <f>"3/8/2017 10:51:00 AM"</f>
        <v>3/8/2017 10:51:00 AM</v>
      </c>
      <c r="O10510" t="s">
        <v>31364</v>
      </c>
    </row>
    <row r="10511" spans="1:20" x14ac:dyDescent="0.25">
      <c r="A10511" t="str">
        <f>"3059448"</f>
        <v>3059448</v>
      </c>
      <c r="B10511" t="s">
        <v>31366</v>
      </c>
      <c r="C10511" t="str">
        <f>"82515148"</f>
        <v>82515148</v>
      </c>
      <c r="D10511" t="s">
        <v>31367</v>
      </c>
      <c r="F10511" t="s">
        <v>31368</v>
      </c>
      <c r="I10511" t="s">
        <v>29</v>
      </c>
      <c r="J10511" t="s">
        <v>30</v>
      </c>
      <c r="K10511" t="s">
        <v>31369</v>
      </c>
      <c r="M10511" t="s">
        <v>25733</v>
      </c>
      <c r="N10511" t="str">
        <f>"3/8/2017 11:37:00 AM"</f>
        <v>3/8/2017 11:37:00 AM</v>
      </c>
      <c r="O10511" t="s">
        <v>31367</v>
      </c>
    </row>
    <row r="10512" spans="1:20" x14ac:dyDescent="0.25">
      <c r="A10512" t="str">
        <f>"3048804"</f>
        <v>3048804</v>
      </c>
      <c r="B10512" t="s">
        <v>31370</v>
      </c>
      <c r="C10512" t="str">
        <f>"8307587"</f>
        <v>8307587</v>
      </c>
      <c r="D10512" t="s">
        <v>31371</v>
      </c>
      <c r="E10512" t="s">
        <v>31372</v>
      </c>
      <c r="F10512" t="s">
        <v>31373</v>
      </c>
      <c r="I10512" t="s">
        <v>29</v>
      </c>
      <c r="J10512" t="s">
        <v>30</v>
      </c>
      <c r="K10512" t="str">
        <f>"27028"</f>
        <v>27028</v>
      </c>
      <c r="M10512" t="s">
        <v>17861</v>
      </c>
      <c r="N10512" t="str">
        <f>"3/20/2017 3:06:00 PM"</f>
        <v>3/20/2017 3:06:00 PM</v>
      </c>
      <c r="O10512" t="s">
        <v>31371</v>
      </c>
      <c r="T10512" t="s">
        <v>31372</v>
      </c>
    </row>
    <row r="10513" spans="1:20" x14ac:dyDescent="0.25">
      <c r="A10513" t="str">
        <f>"3040939"</f>
        <v>3040939</v>
      </c>
      <c r="B10513" t="s">
        <v>31374</v>
      </c>
      <c r="C10513" t="str">
        <f>"8307589"</f>
        <v>8307589</v>
      </c>
      <c r="D10513" t="s">
        <v>31375</v>
      </c>
      <c r="E10513" t="s">
        <v>31376</v>
      </c>
      <c r="F10513" t="s">
        <v>31377</v>
      </c>
      <c r="I10513" t="s">
        <v>184</v>
      </c>
      <c r="J10513" t="s">
        <v>30</v>
      </c>
      <c r="K10513" t="str">
        <f>"27006"</f>
        <v>27006</v>
      </c>
      <c r="M10513" t="s">
        <v>17861</v>
      </c>
      <c r="N10513" t="str">
        <f>"3/20/2017 3:21:00 PM"</f>
        <v>3/20/2017 3:21:00 PM</v>
      </c>
      <c r="O10513" t="s">
        <v>31375</v>
      </c>
      <c r="T10513" t="s">
        <v>31376</v>
      </c>
    </row>
    <row r="10514" spans="1:20" x14ac:dyDescent="0.25">
      <c r="A10514" t="str">
        <f>"3060060"</f>
        <v>3060060</v>
      </c>
      <c r="B10514" t="s">
        <v>31378</v>
      </c>
      <c r="C10514" t="str">
        <f>"8307590"</f>
        <v>8307590</v>
      </c>
      <c r="D10514" t="s">
        <v>31379</v>
      </c>
      <c r="F10514" t="s">
        <v>31380</v>
      </c>
      <c r="I10514" t="s">
        <v>184</v>
      </c>
      <c r="J10514" t="s">
        <v>30</v>
      </c>
      <c r="K10514" t="str">
        <f>"27006"</f>
        <v>27006</v>
      </c>
      <c r="M10514" t="s">
        <v>17861</v>
      </c>
      <c r="N10514" t="str">
        <f>"3/20/2017 3:27:00 PM"</f>
        <v>3/20/2017 3:27:00 PM</v>
      </c>
      <c r="O10514" t="s">
        <v>31379</v>
      </c>
    </row>
    <row r="10515" spans="1:20" x14ac:dyDescent="0.25">
      <c r="A10515" t="str">
        <f>"3049404"</f>
        <v>3049404</v>
      </c>
      <c r="B10515" t="s">
        <v>31381</v>
      </c>
      <c r="C10515" t="str">
        <f>"58198000"</f>
        <v>58198000</v>
      </c>
      <c r="D10515" t="s">
        <v>31382</v>
      </c>
      <c r="F10515" t="s">
        <v>31383</v>
      </c>
      <c r="I10515" t="s">
        <v>29</v>
      </c>
      <c r="J10515" t="s">
        <v>30</v>
      </c>
      <c r="K10515" t="s">
        <v>12276</v>
      </c>
      <c r="M10515" t="s">
        <v>25494</v>
      </c>
      <c r="N10515" t="str">
        <f>"3/8/2017 12:55:00 PM"</f>
        <v>3/8/2017 12:55:00 PM</v>
      </c>
      <c r="O10515" t="s">
        <v>31382</v>
      </c>
    </row>
    <row r="10516" spans="1:20" x14ac:dyDescent="0.25">
      <c r="A10516" t="str">
        <f>"3053669"</f>
        <v>3053669</v>
      </c>
      <c r="B10516" t="s">
        <v>31384</v>
      </c>
      <c r="C10516" t="str">
        <f>"8307533"</f>
        <v>8307533</v>
      </c>
      <c r="D10516" t="s">
        <v>31385</v>
      </c>
      <c r="E10516" t="s">
        <v>31386</v>
      </c>
      <c r="F10516" t="s">
        <v>31387</v>
      </c>
      <c r="I10516" t="s">
        <v>29</v>
      </c>
      <c r="J10516" t="s">
        <v>30</v>
      </c>
      <c r="K10516" t="str">
        <f>"27028"</f>
        <v>27028</v>
      </c>
      <c r="M10516" t="s">
        <v>17861</v>
      </c>
      <c r="N10516" t="str">
        <f>"3/8/2017 1:01:00 PM"</f>
        <v>3/8/2017 1:01:00 PM</v>
      </c>
      <c r="O10516" t="s">
        <v>31385</v>
      </c>
      <c r="T10516" t="s">
        <v>31386</v>
      </c>
    </row>
    <row r="10517" spans="1:20" x14ac:dyDescent="0.25">
      <c r="A10517" t="str">
        <f>"3048898"</f>
        <v>3048898</v>
      </c>
      <c r="B10517" t="s">
        <v>31388</v>
      </c>
      <c r="C10517" t="str">
        <f>"8307543"</f>
        <v>8307543</v>
      </c>
      <c r="D10517" t="s">
        <v>31389</v>
      </c>
      <c r="F10517" t="s">
        <v>31390</v>
      </c>
      <c r="I10517" t="s">
        <v>29</v>
      </c>
      <c r="J10517" t="s">
        <v>30</v>
      </c>
      <c r="K10517" t="str">
        <f>"27028"</f>
        <v>27028</v>
      </c>
      <c r="M10517" t="s">
        <v>17861</v>
      </c>
      <c r="N10517" t="str">
        <f>"3/10/2017 2:29:00 PM"</f>
        <v>3/10/2017 2:29:00 PM</v>
      </c>
      <c r="O10517" t="s">
        <v>31389</v>
      </c>
    </row>
    <row r="10518" spans="1:20" x14ac:dyDescent="0.25">
      <c r="A10518" t="str">
        <f>"3037389"</f>
        <v>3037389</v>
      </c>
      <c r="B10518" t="s">
        <v>31391</v>
      </c>
      <c r="C10518" t="str">
        <f>"81240500"</f>
        <v>81240500</v>
      </c>
      <c r="D10518" t="s">
        <v>31288</v>
      </c>
      <c r="F10518" t="s">
        <v>31289</v>
      </c>
      <c r="I10518" t="s">
        <v>17921</v>
      </c>
      <c r="J10518" t="s">
        <v>30</v>
      </c>
      <c r="K10518" t="s">
        <v>31</v>
      </c>
      <c r="M10518" t="s">
        <v>17922</v>
      </c>
      <c r="N10518" t="str">
        <f>"3/13/2017 12:03:00 PM"</f>
        <v>3/13/2017 12:03:00 PM</v>
      </c>
      <c r="O10518" t="s">
        <v>31288</v>
      </c>
    </row>
    <row r="10519" spans="1:20" x14ac:dyDescent="0.25">
      <c r="A10519" t="str">
        <f>"3057265"</f>
        <v>3057265</v>
      </c>
      <c r="B10519" t="s">
        <v>31392</v>
      </c>
      <c r="C10519" t="str">
        <f>"8307553"</f>
        <v>8307553</v>
      </c>
      <c r="D10519" t="s">
        <v>31294</v>
      </c>
      <c r="E10519" t="s">
        <v>31295</v>
      </c>
      <c r="F10519" t="s">
        <v>31296</v>
      </c>
      <c r="I10519" t="s">
        <v>29</v>
      </c>
      <c r="J10519" t="s">
        <v>30</v>
      </c>
      <c r="K10519" t="str">
        <f t="shared" ref="K10519:K10524" si="179">"27028"</f>
        <v>27028</v>
      </c>
      <c r="M10519" t="s">
        <v>17861</v>
      </c>
      <c r="N10519" t="str">
        <f>"3/13/2017 4:09:00 PM"</f>
        <v>3/13/2017 4:09:00 PM</v>
      </c>
      <c r="O10519" t="s">
        <v>31294</v>
      </c>
      <c r="T10519" t="s">
        <v>31295</v>
      </c>
    </row>
    <row r="10520" spans="1:20" x14ac:dyDescent="0.25">
      <c r="A10520" t="str">
        <f>"3044941"</f>
        <v>3044941</v>
      </c>
      <c r="B10520" t="s">
        <v>31393</v>
      </c>
      <c r="C10520" t="str">
        <f>"8307557"</f>
        <v>8307557</v>
      </c>
      <c r="D10520" t="s">
        <v>31394</v>
      </c>
      <c r="F10520" t="s">
        <v>6685</v>
      </c>
      <c r="I10520" t="s">
        <v>29</v>
      </c>
      <c r="J10520" t="s">
        <v>30</v>
      </c>
      <c r="K10520" t="str">
        <f t="shared" si="179"/>
        <v>27028</v>
      </c>
      <c r="M10520" t="s">
        <v>17861</v>
      </c>
      <c r="N10520" t="str">
        <f>"3/15/2017 1:04:00 PM"</f>
        <v>3/15/2017 1:04:00 PM</v>
      </c>
      <c r="O10520" t="s">
        <v>31394</v>
      </c>
    </row>
    <row r="10521" spans="1:20" x14ac:dyDescent="0.25">
      <c r="A10521" t="str">
        <f>"3059739"</f>
        <v>3059739</v>
      </c>
      <c r="B10521" t="s">
        <v>31395</v>
      </c>
      <c r="C10521" t="str">
        <f>"8307559"</f>
        <v>8307559</v>
      </c>
      <c r="D10521" t="s">
        <v>31396</v>
      </c>
      <c r="E10521" t="s">
        <v>31397</v>
      </c>
      <c r="F10521" t="s">
        <v>31398</v>
      </c>
      <c r="I10521" t="s">
        <v>17921</v>
      </c>
      <c r="J10521" t="s">
        <v>30</v>
      </c>
      <c r="K10521" t="str">
        <f t="shared" si="179"/>
        <v>27028</v>
      </c>
      <c r="M10521" t="s">
        <v>17861</v>
      </c>
      <c r="N10521" t="str">
        <f>"3/15/2017 1:38:00 PM"</f>
        <v>3/15/2017 1:38:00 PM</v>
      </c>
      <c r="O10521" t="s">
        <v>31396</v>
      </c>
      <c r="T10521" t="s">
        <v>31397</v>
      </c>
    </row>
    <row r="10522" spans="1:20" x14ac:dyDescent="0.25">
      <c r="A10522" t="str">
        <f>"3055083"</f>
        <v>3055083</v>
      </c>
      <c r="B10522" t="s">
        <v>31399</v>
      </c>
      <c r="C10522" t="str">
        <f>"8307563"</f>
        <v>8307563</v>
      </c>
      <c r="D10522" t="s">
        <v>31400</v>
      </c>
      <c r="E10522" t="s">
        <v>31401</v>
      </c>
      <c r="F10522" t="s">
        <v>31402</v>
      </c>
      <c r="I10522" t="s">
        <v>29</v>
      </c>
      <c r="J10522" t="s">
        <v>30</v>
      </c>
      <c r="K10522" t="str">
        <f t="shared" si="179"/>
        <v>27028</v>
      </c>
      <c r="M10522" t="s">
        <v>17861</v>
      </c>
      <c r="N10522" t="str">
        <f>"3/15/2017 4:15:00 PM"</f>
        <v>3/15/2017 4:15:00 PM</v>
      </c>
      <c r="O10522" t="s">
        <v>31400</v>
      </c>
      <c r="T10522" t="s">
        <v>31401</v>
      </c>
    </row>
    <row r="10523" spans="1:20" x14ac:dyDescent="0.25">
      <c r="A10523" t="str">
        <f>"3042881"</f>
        <v>3042881</v>
      </c>
      <c r="B10523" t="s">
        <v>31403</v>
      </c>
      <c r="C10523" t="str">
        <f>"8307567"</f>
        <v>8307567</v>
      </c>
      <c r="D10523" t="s">
        <v>31404</v>
      </c>
      <c r="F10523" t="s">
        <v>31405</v>
      </c>
      <c r="I10523" t="s">
        <v>29</v>
      </c>
      <c r="J10523" t="s">
        <v>30</v>
      </c>
      <c r="K10523" t="str">
        <f t="shared" si="179"/>
        <v>27028</v>
      </c>
      <c r="M10523" t="s">
        <v>17861</v>
      </c>
      <c r="N10523" t="str">
        <f>"3/15/2017 4:38:00 PM"</f>
        <v>3/15/2017 4:38:00 PM</v>
      </c>
      <c r="O10523" t="s">
        <v>31404</v>
      </c>
    </row>
    <row r="10524" spans="1:20" x14ac:dyDescent="0.25">
      <c r="A10524" t="str">
        <f>"3054577"</f>
        <v>3054577</v>
      </c>
      <c r="B10524" t="s">
        <v>31406</v>
      </c>
      <c r="C10524" t="str">
        <f>"8304819"</f>
        <v>8304819</v>
      </c>
      <c r="D10524" t="s">
        <v>31407</v>
      </c>
      <c r="F10524" t="s">
        <v>31408</v>
      </c>
      <c r="I10524" t="s">
        <v>17921</v>
      </c>
      <c r="J10524" t="s">
        <v>30</v>
      </c>
      <c r="K10524" t="str">
        <f t="shared" si="179"/>
        <v>27028</v>
      </c>
      <c r="M10524" t="s">
        <v>25625</v>
      </c>
      <c r="N10524" t="str">
        <f>"3/27/2017 11:46:00 AM"</f>
        <v>3/27/2017 11:46:00 AM</v>
      </c>
      <c r="O10524" t="s">
        <v>31407</v>
      </c>
    </row>
    <row r="10525" spans="1:20" x14ac:dyDescent="0.25">
      <c r="A10525" t="str">
        <f>"3057068"</f>
        <v>3057068</v>
      </c>
      <c r="B10525" t="s">
        <v>31409</v>
      </c>
      <c r="C10525" t="str">
        <f>"68850950"</f>
        <v>68850950</v>
      </c>
      <c r="D10525" t="s">
        <v>31410</v>
      </c>
      <c r="F10525" t="s">
        <v>31411</v>
      </c>
      <c r="I10525" t="s">
        <v>471</v>
      </c>
      <c r="J10525" t="s">
        <v>30</v>
      </c>
      <c r="K10525" t="s">
        <v>1210</v>
      </c>
      <c r="M10525" t="s">
        <v>25625</v>
      </c>
      <c r="N10525" t="str">
        <f>"3/27/2017 11:58:00 AM"</f>
        <v>3/27/2017 11:58:00 AM</v>
      </c>
      <c r="O10525" t="s">
        <v>31410</v>
      </c>
    </row>
    <row r="10526" spans="1:20" x14ac:dyDescent="0.25">
      <c r="A10526" t="str">
        <f>"3051732"</f>
        <v>3051732</v>
      </c>
      <c r="B10526" t="s">
        <v>31412</v>
      </c>
      <c r="C10526" t="str">
        <f>"8305248"</f>
        <v>8305248</v>
      </c>
      <c r="D10526" t="s">
        <v>31413</v>
      </c>
      <c r="F10526" t="s">
        <v>31414</v>
      </c>
      <c r="I10526" t="s">
        <v>20610</v>
      </c>
      <c r="J10526" t="s">
        <v>30</v>
      </c>
      <c r="K10526" t="str">
        <f>"28603"</f>
        <v>28603</v>
      </c>
      <c r="M10526" t="s">
        <v>18470</v>
      </c>
      <c r="N10526" t="str">
        <f>"3/17/2017 10:14:00 AM"</f>
        <v>3/17/2017 10:14:00 AM</v>
      </c>
      <c r="O10526" t="s">
        <v>31413</v>
      </c>
    </row>
    <row r="10527" spans="1:20" x14ac:dyDescent="0.25">
      <c r="A10527" t="str">
        <f>"3040942"</f>
        <v>3040942</v>
      </c>
      <c r="B10527" t="s">
        <v>31415</v>
      </c>
      <c r="C10527" t="str">
        <f>"8302823"</f>
        <v>8302823</v>
      </c>
      <c r="D10527" t="s">
        <v>22824</v>
      </c>
      <c r="F10527" t="s">
        <v>22826</v>
      </c>
      <c r="I10527" t="s">
        <v>29</v>
      </c>
      <c r="J10527" t="s">
        <v>30</v>
      </c>
      <c r="K10527" t="str">
        <f>"27028"</f>
        <v>27028</v>
      </c>
      <c r="M10527" t="s">
        <v>25625</v>
      </c>
      <c r="N10527" t="str">
        <f>"3/27/2017 2:56:00 PM"</f>
        <v>3/27/2017 2:56:00 PM</v>
      </c>
      <c r="O10527" t="s">
        <v>22824</v>
      </c>
    </row>
    <row r="10528" spans="1:20" x14ac:dyDescent="0.25">
      <c r="A10528" t="str">
        <f>"3040906"</f>
        <v>3040906</v>
      </c>
      <c r="B10528" t="s">
        <v>31416</v>
      </c>
      <c r="C10528" t="str">
        <f>"13804810"</f>
        <v>13804810</v>
      </c>
      <c r="D10528" t="s">
        <v>31417</v>
      </c>
      <c r="F10528" t="str">
        <f>"C/O FARISS"</f>
        <v>C/O FARISS</v>
      </c>
      <c r="G10528" t="s">
        <v>31418</v>
      </c>
      <c r="I10528" t="s">
        <v>29</v>
      </c>
      <c r="J10528" t="s">
        <v>30</v>
      </c>
      <c r="K10528" t="s">
        <v>31</v>
      </c>
      <c r="M10528" t="s">
        <v>25733</v>
      </c>
      <c r="N10528" t="str">
        <f>"3/17/2017 10:30:00 AM"</f>
        <v>3/17/2017 10:30:00 AM</v>
      </c>
      <c r="O10528" t="s">
        <v>31417</v>
      </c>
    </row>
    <row r="10529" spans="1:20" x14ac:dyDescent="0.25">
      <c r="A10529" t="str">
        <f>"3045642"</f>
        <v>3045642</v>
      </c>
      <c r="B10529" t="s">
        <v>31419</v>
      </c>
      <c r="C10529" t="str">
        <f>"11864000"</f>
        <v>11864000</v>
      </c>
      <c r="D10529" t="s">
        <v>31420</v>
      </c>
      <c r="E10529" t="s">
        <v>31421</v>
      </c>
      <c r="F10529" t="s">
        <v>31422</v>
      </c>
      <c r="I10529" t="s">
        <v>29</v>
      </c>
      <c r="J10529" t="s">
        <v>30</v>
      </c>
      <c r="K10529" t="s">
        <v>31423</v>
      </c>
      <c r="M10529" t="s">
        <v>25733</v>
      </c>
      <c r="N10529" t="str">
        <f>"3/17/2017 10:49:00 AM"</f>
        <v>3/17/2017 10:49:00 AM</v>
      </c>
      <c r="O10529" t="s">
        <v>31420</v>
      </c>
      <c r="T10529" t="s">
        <v>31421</v>
      </c>
    </row>
    <row r="10530" spans="1:20" x14ac:dyDescent="0.25">
      <c r="A10530" t="str">
        <f>"3053752"</f>
        <v>3053752</v>
      </c>
      <c r="B10530" t="s">
        <v>31424</v>
      </c>
      <c r="C10530" t="str">
        <f>"8307525"</f>
        <v>8307525</v>
      </c>
      <c r="D10530" t="s">
        <v>31425</v>
      </c>
      <c r="E10530" t="s">
        <v>31426</v>
      </c>
      <c r="F10530" t="s">
        <v>31427</v>
      </c>
      <c r="I10530" t="s">
        <v>29</v>
      </c>
      <c r="J10530" t="s">
        <v>30</v>
      </c>
      <c r="K10530" t="str">
        <f>"27028"</f>
        <v>27028</v>
      </c>
      <c r="M10530" t="s">
        <v>17861</v>
      </c>
      <c r="N10530" t="str">
        <f>"3/6/2017 4:40:00 PM"</f>
        <v>3/6/2017 4:40:00 PM</v>
      </c>
      <c r="O10530" t="s">
        <v>31425</v>
      </c>
      <c r="T10530" t="s">
        <v>31426</v>
      </c>
    </row>
    <row r="10531" spans="1:20" x14ac:dyDescent="0.25">
      <c r="A10531" t="str">
        <f>"3064240"</f>
        <v>3064240</v>
      </c>
      <c r="B10531" t="s">
        <v>31428</v>
      </c>
      <c r="C10531" t="str">
        <f>"8307579"</f>
        <v>8307579</v>
      </c>
      <c r="D10531" t="s">
        <v>31429</v>
      </c>
      <c r="E10531" t="s">
        <v>31430</v>
      </c>
      <c r="F10531" t="s">
        <v>31431</v>
      </c>
      <c r="I10531" t="s">
        <v>184</v>
      </c>
      <c r="J10531" t="s">
        <v>30</v>
      </c>
      <c r="K10531" t="str">
        <f>"27006"</f>
        <v>27006</v>
      </c>
      <c r="M10531" t="s">
        <v>17861</v>
      </c>
      <c r="N10531" t="str">
        <f>"3/20/2017 1:28:00 PM"</f>
        <v>3/20/2017 1:28:00 PM</v>
      </c>
      <c r="O10531" t="s">
        <v>31429</v>
      </c>
      <c r="T10531" t="s">
        <v>31430</v>
      </c>
    </row>
    <row r="10532" spans="1:20" x14ac:dyDescent="0.25">
      <c r="A10532" t="str">
        <f>"3078425"</f>
        <v>3078425</v>
      </c>
      <c r="B10532" t="s">
        <v>31432</v>
      </c>
      <c r="C10532" t="str">
        <f>"8307580"</f>
        <v>8307580</v>
      </c>
      <c r="D10532" t="s">
        <v>31433</v>
      </c>
      <c r="E10532" t="s">
        <v>31434</v>
      </c>
      <c r="F10532" t="s">
        <v>31435</v>
      </c>
      <c r="I10532" t="s">
        <v>29</v>
      </c>
      <c r="J10532" t="s">
        <v>30</v>
      </c>
      <c r="K10532" t="str">
        <f t="shared" ref="K10532:K10539" si="180">"27028"</f>
        <v>27028</v>
      </c>
      <c r="M10532" t="s">
        <v>17861</v>
      </c>
      <c r="N10532" t="str">
        <f>"3/20/2017 1:35:00 PM"</f>
        <v>3/20/2017 1:35:00 PM</v>
      </c>
      <c r="O10532" t="s">
        <v>31433</v>
      </c>
      <c r="T10532" t="s">
        <v>31434</v>
      </c>
    </row>
    <row r="10533" spans="1:20" x14ac:dyDescent="0.25">
      <c r="A10533" t="str">
        <f>"3051246"</f>
        <v>3051246</v>
      </c>
      <c r="B10533" t="s">
        <v>31436</v>
      </c>
      <c r="C10533" t="str">
        <f>"8307595"</f>
        <v>8307595</v>
      </c>
      <c r="D10533" t="s">
        <v>12907</v>
      </c>
      <c r="E10533" t="s">
        <v>31437</v>
      </c>
      <c r="F10533" t="s">
        <v>12908</v>
      </c>
      <c r="I10533" t="s">
        <v>29</v>
      </c>
      <c r="J10533" t="s">
        <v>30</v>
      </c>
      <c r="K10533" t="str">
        <f t="shared" si="180"/>
        <v>27028</v>
      </c>
      <c r="M10533" t="s">
        <v>17861</v>
      </c>
      <c r="N10533" t="str">
        <f>"3/29/2017 9:01:00 AM"</f>
        <v>3/29/2017 9:01:00 AM</v>
      </c>
      <c r="O10533" t="s">
        <v>12907</v>
      </c>
      <c r="T10533" t="s">
        <v>31437</v>
      </c>
    </row>
    <row r="10534" spans="1:20" x14ac:dyDescent="0.25">
      <c r="A10534" t="str">
        <f>"3051109"</f>
        <v>3051109</v>
      </c>
      <c r="B10534" t="s">
        <v>31438</v>
      </c>
      <c r="C10534" t="str">
        <f>"8307595"</f>
        <v>8307595</v>
      </c>
      <c r="D10534" t="s">
        <v>12907</v>
      </c>
      <c r="E10534" t="s">
        <v>31437</v>
      </c>
      <c r="F10534" t="s">
        <v>12908</v>
      </c>
      <c r="I10534" t="s">
        <v>29</v>
      </c>
      <c r="J10534" t="s">
        <v>30</v>
      </c>
      <c r="K10534" t="str">
        <f t="shared" si="180"/>
        <v>27028</v>
      </c>
      <c r="M10534" t="s">
        <v>17861</v>
      </c>
      <c r="N10534" t="str">
        <f>"3/29/2017 9:01:00 AM"</f>
        <v>3/29/2017 9:01:00 AM</v>
      </c>
      <c r="O10534" t="s">
        <v>12907</v>
      </c>
      <c r="T10534" t="s">
        <v>31437</v>
      </c>
    </row>
    <row r="10535" spans="1:20" x14ac:dyDescent="0.25">
      <c r="A10535" t="str">
        <f>"3078395"</f>
        <v>3078395</v>
      </c>
      <c r="B10535" t="s">
        <v>31439</v>
      </c>
      <c r="C10535" t="str">
        <f>"8307595"</f>
        <v>8307595</v>
      </c>
      <c r="D10535" t="s">
        <v>12907</v>
      </c>
      <c r="E10535" t="s">
        <v>31437</v>
      </c>
      <c r="F10535" t="s">
        <v>12908</v>
      </c>
      <c r="I10535" t="s">
        <v>29</v>
      </c>
      <c r="J10535" t="s">
        <v>30</v>
      </c>
      <c r="K10535" t="str">
        <f t="shared" si="180"/>
        <v>27028</v>
      </c>
      <c r="M10535" t="s">
        <v>17861</v>
      </c>
      <c r="N10535" t="str">
        <f>"3/29/2017 9:01:00 AM"</f>
        <v>3/29/2017 9:01:00 AM</v>
      </c>
      <c r="O10535" t="s">
        <v>12907</v>
      </c>
      <c r="T10535" t="s">
        <v>31437</v>
      </c>
    </row>
    <row r="10536" spans="1:20" x14ac:dyDescent="0.25">
      <c r="A10536" t="str">
        <f>"3056635"</f>
        <v>3056635</v>
      </c>
      <c r="B10536" t="s">
        <v>31440</v>
      </c>
      <c r="C10536" t="str">
        <f>"8307597"</f>
        <v>8307597</v>
      </c>
      <c r="D10536" t="s">
        <v>31441</v>
      </c>
      <c r="E10536" t="s">
        <v>31442</v>
      </c>
      <c r="F10536" t="s">
        <v>31443</v>
      </c>
      <c r="I10536" t="s">
        <v>29</v>
      </c>
      <c r="J10536" t="s">
        <v>30</v>
      </c>
      <c r="K10536" t="str">
        <f t="shared" si="180"/>
        <v>27028</v>
      </c>
      <c r="M10536" t="s">
        <v>17861</v>
      </c>
      <c r="N10536" t="str">
        <f>"3/29/2017 9:14:00 AM"</f>
        <v>3/29/2017 9:14:00 AM</v>
      </c>
      <c r="O10536" t="s">
        <v>31441</v>
      </c>
      <c r="T10536" t="s">
        <v>31442</v>
      </c>
    </row>
    <row r="10537" spans="1:20" x14ac:dyDescent="0.25">
      <c r="A10537" t="str">
        <f>"3051660"</f>
        <v>3051660</v>
      </c>
      <c r="B10537" t="s">
        <v>31444</v>
      </c>
      <c r="C10537" t="str">
        <f>"8307598"</f>
        <v>8307598</v>
      </c>
      <c r="D10537" t="s">
        <v>31445</v>
      </c>
      <c r="E10537" t="s">
        <v>31446</v>
      </c>
      <c r="F10537" t="s">
        <v>31447</v>
      </c>
      <c r="I10537" t="s">
        <v>29</v>
      </c>
      <c r="J10537" t="s">
        <v>30</v>
      </c>
      <c r="K10537" t="str">
        <f t="shared" si="180"/>
        <v>27028</v>
      </c>
      <c r="M10537" t="s">
        <v>17861</v>
      </c>
      <c r="N10537" t="str">
        <f>"3/29/2017 9:28:00 AM"</f>
        <v>3/29/2017 9:28:00 AM</v>
      </c>
      <c r="O10537" t="s">
        <v>31445</v>
      </c>
      <c r="T10537" t="s">
        <v>31446</v>
      </c>
    </row>
    <row r="10538" spans="1:20" x14ac:dyDescent="0.25">
      <c r="A10538" t="str">
        <f>"3052029"</f>
        <v>3052029</v>
      </c>
      <c r="B10538" t="s">
        <v>31448</v>
      </c>
      <c r="C10538" t="str">
        <f>"8307598"</f>
        <v>8307598</v>
      </c>
      <c r="D10538" t="s">
        <v>31445</v>
      </c>
      <c r="E10538" t="s">
        <v>31446</v>
      </c>
      <c r="F10538" t="s">
        <v>31447</v>
      </c>
      <c r="I10538" t="s">
        <v>29</v>
      </c>
      <c r="J10538" t="s">
        <v>30</v>
      </c>
      <c r="K10538" t="str">
        <f t="shared" si="180"/>
        <v>27028</v>
      </c>
      <c r="M10538" t="s">
        <v>17861</v>
      </c>
      <c r="N10538" t="str">
        <f>"3/29/2017 9:28:00 AM"</f>
        <v>3/29/2017 9:28:00 AM</v>
      </c>
      <c r="O10538" t="s">
        <v>31445</v>
      </c>
      <c r="T10538" t="s">
        <v>31446</v>
      </c>
    </row>
    <row r="10539" spans="1:20" x14ac:dyDescent="0.25">
      <c r="A10539" t="str">
        <f>"3046184"</f>
        <v>3046184</v>
      </c>
      <c r="B10539" t="s">
        <v>31449</v>
      </c>
      <c r="C10539" t="str">
        <f>"8307599"</f>
        <v>8307599</v>
      </c>
      <c r="D10539" t="s">
        <v>31450</v>
      </c>
      <c r="E10539" t="s">
        <v>31451</v>
      </c>
      <c r="F10539" t="s">
        <v>31452</v>
      </c>
      <c r="I10539" t="s">
        <v>29</v>
      </c>
      <c r="J10539" t="s">
        <v>30</v>
      </c>
      <c r="K10539" t="str">
        <f t="shared" si="180"/>
        <v>27028</v>
      </c>
      <c r="M10539" t="s">
        <v>17861</v>
      </c>
      <c r="N10539" t="str">
        <f>"3/29/2017 9:31:00 AM"</f>
        <v>3/29/2017 9:31:00 AM</v>
      </c>
      <c r="O10539" t="s">
        <v>31450</v>
      </c>
      <c r="T10539" t="s">
        <v>31451</v>
      </c>
    </row>
    <row r="10540" spans="1:20" x14ac:dyDescent="0.25">
      <c r="A10540" t="str">
        <f>"3041230"</f>
        <v>3041230</v>
      </c>
      <c r="B10540" t="s">
        <v>31453</v>
      </c>
      <c r="C10540" t="str">
        <f>"8307581"</f>
        <v>8307581</v>
      </c>
      <c r="D10540" t="s">
        <v>31454</v>
      </c>
      <c r="F10540" t="s">
        <v>31455</v>
      </c>
      <c r="I10540" t="s">
        <v>2071</v>
      </c>
      <c r="J10540" t="s">
        <v>30</v>
      </c>
      <c r="K10540" t="str">
        <f>"27006"</f>
        <v>27006</v>
      </c>
      <c r="M10540" t="s">
        <v>17861</v>
      </c>
      <c r="N10540" t="str">
        <f>"3/20/2017 1:38:00 PM"</f>
        <v>3/20/2017 1:38:00 PM</v>
      </c>
      <c r="O10540" t="s">
        <v>31454</v>
      </c>
    </row>
    <row r="10541" spans="1:20" x14ac:dyDescent="0.25">
      <c r="A10541" t="str">
        <f>"3054506"</f>
        <v>3054506</v>
      </c>
      <c r="B10541" t="s">
        <v>31456</v>
      </c>
      <c r="C10541" t="str">
        <f>"8304440"</f>
        <v>8304440</v>
      </c>
      <c r="D10541" t="s">
        <v>31457</v>
      </c>
      <c r="F10541" t="s">
        <v>31458</v>
      </c>
      <c r="I10541" t="s">
        <v>29</v>
      </c>
      <c r="J10541" t="s">
        <v>4132</v>
      </c>
      <c r="K10541" t="str">
        <f>"27028"</f>
        <v>27028</v>
      </c>
      <c r="M10541" t="s">
        <v>18479</v>
      </c>
      <c r="N10541" t="str">
        <f>"3/20/2017 2:53:00 PM"</f>
        <v>3/20/2017 2:53:00 PM</v>
      </c>
      <c r="O10541" t="s">
        <v>31457</v>
      </c>
    </row>
    <row r="10542" spans="1:20" x14ac:dyDescent="0.25">
      <c r="A10542" t="str">
        <f>"3042006"</f>
        <v>3042006</v>
      </c>
      <c r="B10542" t="s">
        <v>31459</v>
      </c>
      <c r="C10542" t="str">
        <f>"8302687"</f>
        <v>8302687</v>
      </c>
      <c r="D10542" t="s">
        <v>31460</v>
      </c>
      <c r="E10542" t="s">
        <v>31461</v>
      </c>
      <c r="F10542" t="s">
        <v>31462</v>
      </c>
      <c r="I10542" t="s">
        <v>184</v>
      </c>
      <c r="J10542" t="s">
        <v>30</v>
      </c>
      <c r="K10542" t="str">
        <f>"27006"</f>
        <v>27006</v>
      </c>
      <c r="M10542" t="s">
        <v>18479</v>
      </c>
      <c r="N10542" t="str">
        <f>"3/22/2017 2:05:00 PM"</f>
        <v>3/22/2017 2:05:00 PM</v>
      </c>
      <c r="O10542" t="s">
        <v>31460</v>
      </c>
      <c r="T10542" t="s">
        <v>31461</v>
      </c>
    </row>
    <row r="10543" spans="1:20" x14ac:dyDescent="0.25">
      <c r="A10543" t="str">
        <f>"3047730"</f>
        <v>3047730</v>
      </c>
      <c r="B10543" t="s">
        <v>31463</v>
      </c>
      <c r="C10543" t="str">
        <f>"41116000"</f>
        <v>41116000</v>
      </c>
      <c r="D10543" t="s">
        <v>31464</v>
      </c>
      <c r="F10543" t="s">
        <v>7656</v>
      </c>
      <c r="I10543" t="s">
        <v>184</v>
      </c>
      <c r="J10543" t="s">
        <v>30</v>
      </c>
      <c r="K10543" t="s">
        <v>31465</v>
      </c>
      <c r="M10543" t="s">
        <v>18470</v>
      </c>
      <c r="N10543" t="str">
        <f>"3/29/2017 9:56:00 AM"</f>
        <v>3/29/2017 9:56:00 AM</v>
      </c>
      <c r="O10543" t="s">
        <v>31464</v>
      </c>
    </row>
    <row r="10544" spans="1:20" x14ac:dyDescent="0.25">
      <c r="A10544" t="str">
        <f>"3047544"</f>
        <v>3047544</v>
      </c>
      <c r="B10544" t="s">
        <v>31466</v>
      </c>
      <c r="C10544" t="str">
        <f>"41116000"</f>
        <v>41116000</v>
      </c>
      <c r="D10544" t="s">
        <v>31464</v>
      </c>
      <c r="F10544" t="s">
        <v>7656</v>
      </c>
      <c r="I10544" t="s">
        <v>184</v>
      </c>
      <c r="J10544" t="s">
        <v>30</v>
      </c>
      <c r="K10544" t="s">
        <v>31465</v>
      </c>
      <c r="M10544" t="s">
        <v>18470</v>
      </c>
      <c r="N10544" t="str">
        <f>"3/29/2017 9:56:00 AM"</f>
        <v>3/29/2017 9:56:00 AM</v>
      </c>
      <c r="O10544" t="s">
        <v>31464</v>
      </c>
    </row>
    <row r="10545" spans="1:20" x14ac:dyDescent="0.25">
      <c r="A10545" t="str">
        <f>"3047994"</f>
        <v>3047994</v>
      </c>
      <c r="B10545" t="s">
        <v>31467</v>
      </c>
      <c r="C10545" t="str">
        <f>"41116000"</f>
        <v>41116000</v>
      </c>
      <c r="D10545" t="s">
        <v>31464</v>
      </c>
      <c r="F10545" t="s">
        <v>7656</v>
      </c>
      <c r="I10545" t="s">
        <v>184</v>
      </c>
      <c r="J10545" t="s">
        <v>30</v>
      </c>
      <c r="K10545" t="s">
        <v>31465</v>
      </c>
      <c r="M10545" t="s">
        <v>18470</v>
      </c>
      <c r="N10545" t="str">
        <f>"3/29/2017 9:56:00 AM"</f>
        <v>3/29/2017 9:56:00 AM</v>
      </c>
      <c r="O10545" t="s">
        <v>31464</v>
      </c>
    </row>
    <row r="10546" spans="1:20" x14ac:dyDescent="0.25">
      <c r="A10546" t="str">
        <f>"3037894"</f>
        <v>3037894</v>
      </c>
      <c r="B10546" t="s">
        <v>31468</v>
      </c>
      <c r="C10546" t="str">
        <f>"8307545"</f>
        <v>8307545</v>
      </c>
      <c r="D10546" t="s">
        <v>31469</v>
      </c>
      <c r="F10546" t="s">
        <v>31470</v>
      </c>
      <c r="I10546" t="s">
        <v>31471</v>
      </c>
      <c r="J10546" t="s">
        <v>3737</v>
      </c>
      <c r="K10546" t="str">
        <f>"76244"</f>
        <v>76244</v>
      </c>
      <c r="M10546" t="s">
        <v>26316</v>
      </c>
      <c r="N10546" t="str">
        <f>"3/22/2017 2:35:00 PM"</f>
        <v>3/22/2017 2:35:00 PM</v>
      </c>
      <c r="O10546" t="s">
        <v>31469</v>
      </c>
    </row>
    <row r="10547" spans="1:20" x14ac:dyDescent="0.25">
      <c r="A10547" t="str">
        <f>"3055586"</f>
        <v>3055586</v>
      </c>
      <c r="B10547" t="s">
        <v>31472</v>
      </c>
      <c r="C10547" t="str">
        <f>"8303256"</f>
        <v>8303256</v>
      </c>
      <c r="D10547" t="s">
        <v>31473</v>
      </c>
      <c r="E10547" t="s">
        <v>31474</v>
      </c>
      <c r="F10547" t="s">
        <v>31475</v>
      </c>
      <c r="I10547" t="s">
        <v>29</v>
      </c>
      <c r="J10547" t="s">
        <v>30</v>
      </c>
      <c r="K10547" t="str">
        <f>"27028"</f>
        <v>27028</v>
      </c>
      <c r="M10547" t="s">
        <v>25625</v>
      </c>
      <c r="N10547" t="str">
        <f>"3/23/2017 11:25:00 AM"</f>
        <v>3/23/2017 11:25:00 AM</v>
      </c>
      <c r="O10547" t="s">
        <v>31473</v>
      </c>
      <c r="T10547" t="s">
        <v>31474</v>
      </c>
    </row>
    <row r="10548" spans="1:20" x14ac:dyDescent="0.25">
      <c r="A10548" t="str">
        <f>"3051429"</f>
        <v>3051429</v>
      </c>
      <c r="B10548" t="s">
        <v>31476</v>
      </c>
      <c r="C10548" t="str">
        <f>"8307605"</f>
        <v>8307605</v>
      </c>
      <c r="D10548" t="s">
        <v>31477</v>
      </c>
      <c r="F10548" t="s">
        <v>31478</v>
      </c>
      <c r="I10548" t="s">
        <v>29</v>
      </c>
      <c r="J10548" t="s">
        <v>30</v>
      </c>
      <c r="K10548" t="str">
        <f>"27028"</f>
        <v>27028</v>
      </c>
      <c r="M10548" t="s">
        <v>17861</v>
      </c>
      <c r="N10548" t="str">
        <f>"3/29/2017 10:21:00 AM"</f>
        <v>3/29/2017 10:21:00 AM</v>
      </c>
      <c r="O10548" t="s">
        <v>31477</v>
      </c>
    </row>
    <row r="10549" spans="1:20" x14ac:dyDescent="0.25">
      <c r="A10549" t="str">
        <f>"3054675"</f>
        <v>3054675</v>
      </c>
      <c r="B10549" t="s">
        <v>31479</v>
      </c>
      <c r="C10549" t="str">
        <f>"8300345"</f>
        <v>8300345</v>
      </c>
      <c r="D10549" t="s">
        <v>31480</v>
      </c>
      <c r="F10549" t="s">
        <v>10439</v>
      </c>
      <c r="I10549" t="s">
        <v>1176</v>
      </c>
      <c r="J10549" t="s">
        <v>30</v>
      </c>
      <c r="K10549" t="s">
        <v>1177</v>
      </c>
      <c r="M10549" t="s">
        <v>18470</v>
      </c>
      <c r="N10549" t="str">
        <f>"3/29/2017 10:29:00 AM"</f>
        <v>3/29/2017 10:29:00 AM</v>
      </c>
      <c r="O10549" t="s">
        <v>31480</v>
      </c>
    </row>
    <row r="10550" spans="1:20" x14ac:dyDescent="0.25">
      <c r="A10550" t="str">
        <f>"3078831"</f>
        <v>3078831</v>
      </c>
      <c r="B10550" t="s">
        <v>31481</v>
      </c>
      <c r="C10550" t="str">
        <f>"8300345"</f>
        <v>8300345</v>
      </c>
      <c r="D10550" t="s">
        <v>31480</v>
      </c>
      <c r="F10550" t="s">
        <v>10439</v>
      </c>
      <c r="I10550" t="s">
        <v>1176</v>
      </c>
      <c r="J10550" t="s">
        <v>30</v>
      </c>
      <c r="K10550" t="s">
        <v>1177</v>
      </c>
      <c r="M10550" t="s">
        <v>18470</v>
      </c>
      <c r="N10550" t="str">
        <f>"3/29/2017 10:29:00 AM"</f>
        <v>3/29/2017 10:29:00 AM</v>
      </c>
      <c r="O10550" t="s">
        <v>31480</v>
      </c>
    </row>
    <row r="10551" spans="1:20" x14ac:dyDescent="0.25">
      <c r="A10551" t="str">
        <f>"3039466"</f>
        <v>3039466</v>
      </c>
      <c r="B10551" t="s">
        <v>31482</v>
      </c>
      <c r="C10551" t="str">
        <f>"82531305"</f>
        <v>82531305</v>
      </c>
      <c r="D10551" t="s">
        <v>31483</v>
      </c>
      <c r="F10551" t="s">
        <v>31484</v>
      </c>
      <c r="I10551" t="s">
        <v>471</v>
      </c>
      <c r="J10551" t="s">
        <v>30</v>
      </c>
      <c r="K10551" t="s">
        <v>772</v>
      </c>
      <c r="M10551" t="s">
        <v>17861</v>
      </c>
      <c r="N10551" t="str">
        <f>"3/23/2017 12:43:00 PM"</f>
        <v>3/23/2017 12:43:00 PM</v>
      </c>
      <c r="O10551" t="s">
        <v>31483</v>
      </c>
    </row>
    <row r="10552" spans="1:20" x14ac:dyDescent="0.25">
      <c r="A10552" t="str">
        <f>"3037562"</f>
        <v>3037562</v>
      </c>
      <c r="B10552" t="s">
        <v>31485</v>
      </c>
      <c r="C10552" t="str">
        <f>"59816000"</f>
        <v>59816000</v>
      </c>
      <c r="D10552" t="s">
        <v>31486</v>
      </c>
      <c r="E10552" t="s">
        <v>31487</v>
      </c>
      <c r="F10552" t="s">
        <v>31488</v>
      </c>
      <c r="I10552" t="s">
        <v>29</v>
      </c>
      <c r="J10552" t="s">
        <v>30</v>
      </c>
      <c r="K10552" t="s">
        <v>31489</v>
      </c>
      <c r="M10552" t="s">
        <v>18470</v>
      </c>
      <c r="N10552" t="str">
        <f>"3/29/2017 10:41:00 AM"</f>
        <v>3/29/2017 10:41:00 AM</v>
      </c>
      <c r="O10552" t="s">
        <v>31486</v>
      </c>
      <c r="T10552" t="s">
        <v>31487</v>
      </c>
    </row>
    <row r="10553" spans="1:20" x14ac:dyDescent="0.25">
      <c r="A10553" t="str">
        <f>"3040799"</f>
        <v>3040799</v>
      </c>
      <c r="B10553" t="s">
        <v>31490</v>
      </c>
      <c r="C10553" t="str">
        <f>"82523729"</f>
        <v>82523729</v>
      </c>
      <c r="D10553" t="s">
        <v>31491</v>
      </c>
      <c r="F10553" t="s">
        <v>31492</v>
      </c>
      <c r="I10553" t="s">
        <v>184</v>
      </c>
      <c r="J10553" t="s">
        <v>30</v>
      </c>
      <c r="K10553" t="s">
        <v>185</v>
      </c>
      <c r="M10553" t="s">
        <v>18470</v>
      </c>
      <c r="N10553" t="str">
        <f>"3/29/2017 10:42:00 AM"</f>
        <v>3/29/2017 10:42:00 AM</v>
      </c>
      <c r="O10553" t="s">
        <v>31491</v>
      </c>
    </row>
    <row r="10554" spans="1:20" x14ac:dyDescent="0.25">
      <c r="A10554" t="str">
        <f>"3067333"</f>
        <v>3067333</v>
      </c>
      <c r="B10554" t="s">
        <v>31493</v>
      </c>
      <c r="C10554" t="str">
        <f>"82531305"</f>
        <v>82531305</v>
      </c>
      <c r="D10554" t="s">
        <v>31483</v>
      </c>
      <c r="F10554" t="s">
        <v>31484</v>
      </c>
      <c r="I10554" t="s">
        <v>471</v>
      </c>
      <c r="J10554" t="s">
        <v>30</v>
      </c>
      <c r="K10554" t="s">
        <v>772</v>
      </c>
      <c r="M10554" t="s">
        <v>17861</v>
      </c>
      <c r="N10554" t="str">
        <f>"3/23/2017 12:43:00 PM"</f>
        <v>3/23/2017 12:43:00 PM</v>
      </c>
      <c r="O10554" t="s">
        <v>31483</v>
      </c>
    </row>
    <row r="10555" spans="1:20" x14ac:dyDescent="0.25">
      <c r="A10555" t="str">
        <f>"3049695"</f>
        <v>3049695</v>
      </c>
      <c r="B10555" t="s">
        <v>31494</v>
      </c>
      <c r="C10555" t="str">
        <f>"82524360"</f>
        <v>82524360</v>
      </c>
      <c r="D10555" t="s">
        <v>31495</v>
      </c>
      <c r="F10555" t="s">
        <v>15819</v>
      </c>
      <c r="I10555" t="s">
        <v>9580</v>
      </c>
      <c r="J10555" t="s">
        <v>30</v>
      </c>
      <c r="K10555" t="s">
        <v>31496</v>
      </c>
      <c r="M10555" t="s">
        <v>25625</v>
      </c>
      <c r="N10555" t="str">
        <f>"3/23/2017 1:47:00 PM"</f>
        <v>3/23/2017 1:47:00 PM</v>
      </c>
      <c r="O10555" t="s">
        <v>31495</v>
      </c>
    </row>
    <row r="10556" spans="1:20" x14ac:dyDescent="0.25">
      <c r="A10556" t="str">
        <f>"3050169"</f>
        <v>3050169</v>
      </c>
      <c r="B10556" t="s">
        <v>31497</v>
      </c>
      <c r="C10556" t="str">
        <f>"82524360"</f>
        <v>82524360</v>
      </c>
      <c r="D10556" t="s">
        <v>31495</v>
      </c>
      <c r="F10556" t="s">
        <v>15819</v>
      </c>
      <c r="I10556" t="s">
        <v>9580</v>
      </c>
      <c r="J10556" t="s">
        <v>30</v>
      </c>
      <c r="K10556" t="s">
        <v>31496</v>
      </c>
      <c r="M10556" t="s">
        <v>25625</v>
      </c>
      <c r="N10556" t="str">
        <f>"3/23/2017 1:47:00 PM"</f>
        <v>3/23/2017 1:47:00 PM</v>
      </c>
      <c r="O10556" t="s">
        <v>31495</v>
      </c>
    </row>
    <row r="10557" spans="1:20" x14ac:dyDescent="0.25">
      <c r="A10557" t="str">
        <f>"3048930"</f>
        <v>3048930</v>
      </c>
      <c r="B10557" t="s">
        <v>31498</v>
      </c>
      <c r="C10557" t="str">
        <f>"43400000"</f>
        <v>43400000</v>
      </c>
      <c r="D10557" t="s">
        <v>31499</v>
      </c>
      <c r="E10557" t="s">
        <v>31500</v>
      </c>
      <c r="F10557" t="s">
        <v>31501</v>
      </c>
      <c r="I10557" t="s">
        <v>29</v>
      </c>
      <c r="J10557" t="s">
        <v>30</v>
      </c>
      <c r="K10557" t="s">
        <v>31</v>
      </c>
      <c r="M10557" t="s">
        <v>25625</v>
      </c>
      <c r="N10557" t="str">
        <f>"3/23/2017 2:57:00 PM"</f>
        <v>3/23/2017 2:57:00 PM</v>
      </c>
      <c r="O10557" t="s">
        <v>31499</v>
      </c>
      <c r="T10557" t="s">
        <v>31500</v>
      </c>
    </row>
    <row r="10558" spans="1:20" x14ac:dyDescent="0.25">
      <c r="A10558" t="str">
        <f>"3043449"</f>
        <v>3043449</v>
      </c>
      <c r="B10558" t="s">
        <v>31502</v>
      </c>
      <c r="C10558" t="str">
        <f>"8307611"</f>
        <v>8307611</v>
      </c>
      <c r="D10558" t="s">
        <v>31503</v>
      </c>
      <c r="F10558" t="s">
        <v>31504</v>
      </c>
      <c r="I10558" t="s">
        <v>29</v>
      </c>
      <c r="J10558" t="s">
        <v>30</v>
      </c>
      <c r="K10558" t="str">
        <f>"27028"</f>
        <v>27028</v>
      </c>
      <c r="M10558" t="s">
        <v>17861</v>
      </c>
      <c r="N10558" t="str">
        <f>"3/29/2017 1:24:00 PM"</f>
        <v>3/29/2017 1:24:00 PM</v>
      </c>
      <c r="O10558" t="s">
        <v>31503</v>
      </c>
    </row>
    <row r="10559" spans="1:20" x14ac:dyDescent="0.25">
      <c r="A10559" t="str">
        <f>"3066241"</f>
        <v>3066241</v>
      </c>
      <c r="B10559" t="s">
        <v>31505</v>
      </c>
      <c r="C10559" t="str">
        <f>"82529083"</f>
        <v>82529083</v>
      </c>
      <c r="D10559" t="s">
        <v>31506</v>
      </c>
      <c r="F10559" t="s">
        <v>31507</v>
      </c>
      <c r="I10559" t="s">
        <v>1149</v>
      </c>
      <c r="J10559" t="s">
        <v>30</v>
      </c>
      <c r="K10559" t="s">
        <v>1150</v>
      </c>
      <c r="M10559" t="s">
        <v>18470</v>
      </c>
      <c r="N10559" t="str">
        <f>"3/29/2017 3:15:00 PM"</f>
        <v>3/29/2017 3:15:00 PM</v>
      </c>
      <c r="O10559" t="s">
        <v>31506</v>
      </c>
    </row>
    <row r="10560" spans="1:20" x14ac:dyDescent="0.25">
      <c r="A10560" t="str">
        <f>"3066245"</f>
        <v>3066245</v>
      </c>
      <c r="B10560" t="s">
        <v>31508</v>
      </c>
      <c r="C10560" t="str">
        <f>"82529083"</f>
        <v>82529083</v>
      </c>
      <c r="D10560" t="s">
        <v>31506</v>
      </c>
      <c r="F10560" t="s">
        <v>31507</v>
      </c>
      <c r="I10560" t="s">
        <v>1149</v>
      </c>
      <c r="J10560" t="s">
        <v>30</v>
      </c>
      <c r="K10560" t="s">
        <v>1150</v>
      </c>
      <c r="M10560" t="s">
        <v>18470</v>
      </c>
      <c r="N10560" t="str">
        <f>"3/29/2017 3:15:00 PM"</f>
        <v>3/29/2017 3:15:00 PM</v>
      </c>
      <c r="O10560" t="s">
        <v>31506</v>
      </c>
    </row>
    <row r="10561" spans="1:20" x14ac:dyDescent="0.25">
      <c r="A10561" t="str">
        <f>"3051145"</f>
        <v>3051145</v>
      </c>
      <c r="B10561" t="s">
        <v>31509</v>
      </c>
      <c r="C10561" t="str">
        <f>"74676000"</f>
        <v>74676000</v>
      </c>
      <c r="D10561" t="s">
        <v>31510</v>
      </c>
      <c r="E10561" t="s">
        <v>31511</v>
      </c>
      <c r="F10561" t="s">
        <v>31512</v>
      </c>
      <c r="I10561" t="s">
        <v>29</v>
      </c>
      <c r="J10561" t="s">
        <v>30</v>
      </c>
      <c r="K10561" t="s">
        <v>14346</v>
      </c>
      <c r="M10561" t="s">
        <v>25625</v>
      </c>
      <c r="N10561" t="str">
        <f>"3/27/2017 10:02:00 AM"</f>
        <v>3/27/2017 10:02:00 AM</v>
      </c>
      <c r="O10561" t="s">
        <v>31510</v>
      </c>
      <c r="T10561" t="s">
        <v>31511</v>
      </c>
    </row>
    <row r="10562" spans="1:20" x14ac:dyDescent="0.25">
      <c r="A10562" t="str">
        <f>"3070679"</f>
        <v>3070679</v>
      </c>
      <c r="B10562" t="s">
        <v>31513</v>
      </c>
      <c r="C10562" t="str">
        <f>"71474150"</f>
        <v>71474150</v>
      </c>
      <c r="D10562" t="s">
        <v>31514</v>
      </c>
      <c r="E10562" t="s">
        <v>31515</v>
      </c>
      <c r="F10562" t="s">
        <v>31516</v>
      </c>
      <c r="I10562" t="s">
        <v>29</v>
      </c>
      <c r="J10562" t="s">
        <v>30</v>
      </c>
      <c r="K10562" t="s">
        <v>16452</v>
      </c>
      <c r="M10562" t="s">
        <v>25625</v>
      </c>
      <c r="N10562" t="str">
        <f>"3/27/2017 1:47:00 PM"</f>
        <v>3/27/2017 1:47:00 PM</v>
      </c>
      <c r="O10562" t="s">
        <v>31514</v>
      </c>
      <c r="T10562" t="s">
        <v>31515</v>
      </c>
    </row>
    <row r="10563" spans="1:20" x14ac:dyDescent="0.25">
      <c r="A10563" t="str">
        <f>"3041048"</f>
        <v>3041048</v>
      </c>
      <c r="B10563" t="s">
        <v>31517</v>
      </c>
      <c r="C10563" t="str">
        <f>"6517690"</f>
        <v>6517690</v>
      </c>
      <c r="D10563" t="s">
        <v>31518</v>
      </c>
      <c r="F10563" t="s">
        <v>31519</v>
      </c>
      <c r="I10563" t="s">
        <v>3736</v>
      </c>
      <c r="J10563" t="s">
        <v>3737</v>
      </c>
      <c r="K10563" t="s">
        <v>31520</v>
      </c>
      <c r="M10563" t="s">
        <v>17861</v>
      </c>
      <c r="N10563" t="str">
        <f>"3/17/2017 9:58:00 AM"</f>
        <v>3/17/2017 9:58:00 AM</v>
      </c>
      <c r="O10563" t="s">
        <v>31518</v>
      </c>
    </row>
    <row r="10564" spans="1:20" x14ac:dyDescent="0.25">
      <c r="A10564" t="str">
        <f>"3041035"</f>
        <v>3041035</v>
      </c>
      <c r="B10564" t="s">
        <v>31521</v>
      </c>
      <c r="C10564" t="str">
        <f>"6517690"</f>
        <v>6517690</v>
      </c>
      <c r="D10564" t="s">
        <v>31518</v>
      </c>
      <c r="F10564" t="s">
        <v>31519</v>
      </c>
      <c r="I10564" t="s">
        <v>3736</v>
      </c>
      <c r="J10564" t="s">
        <v>3737</v>
      </c>
      <c r="K10564" t="s">
        <v>31520</v>
      </c>
      <c r="M10564" t="s">
        <v>17861</v>
      </c>
      <c r="N10564" t="str">
        <f>"3/17/2017 9:58:00 AM"</f>
        <v>3/17/2017 9:58:00 AM</v>
      </c>
      <c r="O10564" t="s">
        <v>31518</v>
      </c>
    </row>
    <row r="10565" spans="1:20" x14ac:dyDescent="0.25">
      <c r="A10565" t="str">
        <f>"3048620"</f>
        <v>3048620</v>
      </c>
      <c r="B10565" t="s">
        <v>31522</v>
      </c>
      <c r="C10565" t="str">
        <f>"16643590"</f>
        <v>16643590</v>
      </c>
      <c r="D10565" t="s">
        <v>31523</v>
      </c>
      <c r="E10565" t="s">
        <v>31524</v>
      </c>
      <c r="F10565" t="s">
        <v>31525</v>
      </c>
      <c r="I10565" t="s">
        <v>184</v>
      </c>
      <c r="J10565" t="s">
        <v>30</v>
      </c>
      <c r="K10565" t="str">
        <f>"27006"</f>
        <v>27006</v>
      </c>
      <c r="M10565" t="s">
        <v>18479</v>
      </c>
      <c r="N10565" t="str">
        <f>"3/27/2017 4:06:00 PM"</f>
        <v>3/27/2017 4:06:00 PM</v>
      </c>
      <c r="O10565" t="s">
        <v>31523</v>
      </c>
      <c r="T10565" t="s">
        <v>31524</v>
      </c>
    </row>
    <row r="10566" spans="1:20" x14ac:dyDescent="0.25">
      <c r="A10566" t="str">
        <f>"3056547"</f>
        <v>3056547</v>
      </c>
      <c r="B10566" t="s">
        <v>31526</v>
      </c>
      <c r="C10566" t="str">
        <f>"8306247"</f>
        <v>8306247</v>
      </c>
      <c r="D10566" t="s">
        <v>31527</v>
      </c>
      <c r="F10566" t="s">
        <v>31528</v>
      </c>
      <c r="I10566" t="s">
        <v>29</v>
      </c>
      <c r="J10566" t="s">
        <v>30</v>
      </c>
      <c r="K10566" t="str">
        <f>"27028"</f>
        <v>27028</v>
      </c>
      <c r="M10566" t="s">
        <v>18470</v>
      </c>
      <c r="N10566" t="str">
        <f>"3/30/2017 10:58:00 AM"</f>
        <v>3/30/2017 10:58:00 AM</v>
      </c>
      <c r="O10566" t="s">
        <v>31527</v>
      </c>
    </row>
    <row r="10567" spans="1:20" x14ac:dyDescent="0.25">
      <c r="A10567" t="str">
        <f>"3053784"</f>
        <v>3053784</v>
      </c>
      <c r="B10567" t="s">
        <v>31529</v>
      </c>
      <c r="C10567" t="str">
        <f>"8306999"</f>
        <v>8306999</v>
      </c>
      <c r="D10567" t="s">
        <v>31530</v>
      </c>
      <c r="E10567" t="s">
        <v>31531</v>
      </c>
      <c r="F10567" t="s">
        <v>31532</v>
      </c>
      <c r="I10567" t="s">
        <v>29</v>
      </c>
      <c r="J10567" t="s">
        <v>30</v>
      </c>
      <c r="K10567" t="str">
        <f>"27028"</f>
        <v>27028</v>
      </c>
      <c r="M10567" t="s">
        <v>18470</v>
      </c>
      <c r="N10567" t="str">
        <f>"3/30/2017 11:04:00 AM"</f>
        <v>3/30/2017 11:04:00 AM</v>
      </c>
      <c r="O10567" t="s">
        <v>31530</v>
      </c>
      <c r="T10567" t="s">
        <v>31531</v>
      </c>
    </row>
    <row r="10568" spans="1:20" x14ac:dyDescent="0.25">
      <c r="A10568" t="str">
        <f>"3039168"</f>
        <v>3039168</v>
      </c>
      <c r="B10568" t="s">
        <v>31533</v>
      </c>
      <c r="C10568" t="str">
        <f>"15254540"</f>
        <v>15254540</v>
      </c>
      <c r="D10568" t="s">
        <v>31534</v>
      </c>
      <c r="F10568" t="s">
        <v>31535</v>
      </c>
      <c r="I10568" t="s">
        <v>29</v>
      </c>
      <c r="J10568" t="s">
        <v>30</v>
      </c>
      <c r="K10568" t="s">
        <v>31</v>
      </c>
      <c r="M10568" t="s">
        <v>18470</v>
      </c>
      <c r="N10568" t="str">
        <f>"3/30/2017 11:05:00 AM"</f>
        <v>3/30/2017 11:05:00 AM</v>
      </c>
      <c r="O10568" t="s">
        <v>31534</v>
      </c>
    </row>
    <row r="10569" spans="1:20" x14ac:dyDescent="0.25">
      <c r="A10569" t="str">
        <f>"3055964"</f>
        <v>3055964</v>
      </c>
      <c r="B10569" t="s">
        <v>31536</v>
      </c>
      <c r="C10569" t="str">
        <f>"23606000"</f>
        <v>23606000</v>
      </c>
      <c r="D10569" t="s">
        <v>31537</v>
      </c>
      <c r="E10569" t="s">
        <v>31538</v>
      </c>
      <c r="F10569" t="s">
        <v>31539</v>
      </c>
      <c r="I10569" t="s">
        <v>9580</v>
      </c>
      <c r="J10569" t="s">
        <v>30</v>
      </c>
      <c r="K10569" t="s">
        <v>9581</v>
      </c>
      <c r="M10569" t="s">
        <v>18470</v>
      </c>
      <c r="N10569" t="str">
        <f>"3/30/2017 11:14:00 AM"</f>
        <v>3/30/2017 11:14:00 AM</v>
      </c>
      <c r="O10569" t="s">
        <v>31537</v>
      </c>
      <c r="T10569" t="s">
        <v>31538</v>
      </c>
    </row>
    <row r="10570" spans="1:20" x14ac:dyDescent="0.25">
      <c r="A10570" t="str">
        <f>"3059901"</f>
        <v>3059901</v>
      </c>
      <c r="B10570" t="s">
        <v>31540</v>
      </c>
      <c r="C10570" t="str">
        <f>"8307576"</f>
        <v>8307576</v>
      </c>
      <c r="D10570" t="s">
        <v>31541</v>
      </c>
      <c r="E10570" t="s">
        <v>31542</v>
      </c>
      <c r="F10570" t="s">
        <v>31543</v>
      </c>
      <c r="I10570" t="s">
        <v>29</v>
      </c>
      <c r="J10570" t="s">
        <v>30</v>
      </c>
      <c r="K10570" t="str">
        <f>"27028"</f>
        <v>27028</v>
      </c>
      <c r="M10570" t="s">
        <v>17861</v>
      </c>
      <c r="N10570" t="str">
        <f>"3/20/2017 1:16:00 PM"</f>
        <v>3/20/2017 1:16:00 PM</v>
      </c>
      <c r="O10570" t="s">
        <v>31541</v>
      </c>
      <c r="T10570" t="s">
        <v>31542</v>
      </c>
    </row>
    <row r="10571" spans="1:20" x14ac:dyDescent="0.25">
      <c r="A10571" t="str">
        <f>"3059872"</f>
        <v>3059872</v>
      </c>
      <c r="B10571" t="s">
        <v>31544</v>
      </c>
      <c r="C10571" t="str">
        <f>"8307577"</f>
        <v>8307577</v>
      </c>
      <c r="D10571" t="s">
        <v>31545</v>
      </c>
      <c r="E10571" t="s">
        <v>31546</v>
      </c>
      <c r="F10571" t="s">
        <v>31547</v>
      </c>
      <c r="I10571" t="s">
        <v>29</v>
      </c>
      <c r="J10571" t="s">
        <v>30</v>
      </c>
      <c r="K10571" t="str">
        <f>"27028"</f>
        <v>27028</v>
      </c>
      <c r="M10571" t="s">
        <v>17861</v>
      </c>
      <c r="N10571" t="str">
        <f>"3/20/2017 1:21:00 PM"</f>
        <v>3/20/2017 1:21:00 PM</v>
      </c>
      <c r="O10571" t="s">
        <v>31545</v>
      </c>
      <c r="T10571" t="s">
        <v>31546</v>
      </c>
    </row>
    <row r="10572" spans="1:20" x14ac:dyDescent="0.25">
      <c r="A10572" t="str">
        <f>"3055695"</f>
        <v>3055695</v>
      </c>
      <c r="B10572" t="s">
        <v>31548</v>
      </c>
      <c r="C10572" t="str">
        <f>"8307578"</f>
        <v>8307578</v>
      </c>
      <c r="D10572" t="s">
        <v>31549</v>
      </c>
      <c r="F10572" t="s">
        <v>31550</v>
      </c>
      <c r="I10572" t="s">
        <v>9580</v>
      </c>
      <c r="J10572" t="s">
        <v>30</v>
      </c>
      <c r="K10572" t="str">
        <f>"27014"</f>
        <v>27014</v>
      </c>
      <c r="M10572" t="s">
        <v>17861</v>
      </c>
      <c r="N10572" t="str">
        <f>"3/20/2017 1:25:00 PM"</f>
        <v>3/20/2017 1:25:00 PM</v>
      </c>
      <c r="O10572" t="s">
        <v>31549</v>
      </c>
    </row>
    <row r="10573" spans="1:20" x14ac:dyDescent="0.25">
      <c r="A10573" t="str">
        <f>"3041021"</f>
        <v>3041021</v>
      </c>
      <c r="B10573" t="s">
        <v>31551</v>
      </c>
      <c r="C10573" t="str">
        <f>"8307579"</f>
        <v>8307579</v>
      </c>
      <c r="D10573" t="s">
        <v>31429</v>
      </c>
      <c r="E10573" t="s">
        <v>31430</v>
      </c>
      <c r="F10573" t="s">
        <v>31431</v>
      </c>
      <c r="I10573" t="s">
        <v>184</v>
      </c>
      <c r="J10573" t="s">
        <v>30</v>
      </c>
      <c r="K10573" t="str">
        <f>"27006"</f>
        <v>27006</v>
      </c>
      <c r="M10573" t="s">
        <v>17861</v>
      </c>
      <c r="N10573" t="str">
        <f>"3/20/2017 1:28:00 PM"</f>
        <v>3/20/2017 1:28:00 PM</v>
      </c>
      <c r="O10573" t="s">
        <v>31429</v>
      </c>
      <c r="T10573" t="s">
        <v>31430</v>
      </c>
    </row>
    <row r="10574" spans="1:20" x14ac:dyDescent="0.25">
      <c r="A10574" t="str">
        <f>"3041019"</f>
        <v>3041019</v>
      </c>
      <c r="B10574" t="s">
        <v>31552</v>
      </c>
      <c r="C10574" t="str">
        <f>"8307579"</f>
        <v>8307579</v>
      </c>
      <c r="D10574" t="s">
        <v>31429</v>
      </c>
      <c r="E10574" t="s">
        <v>31430</v>
      </c>
      <c r="F10574" t="s">
        <v>31431</v>
      </c>
      <c r="I10574" t="s">
        <v>184</v>
      </c>
      <c r="J10574" t="s">
        <v>30</v>
      </c>
      <c r="K10574" t="str">
        <f>"27006"</f>
        <v>27006</v>
      </c>
      <c r="M10574" t="s">
        <v>17861</v>
      </c>
      <c r="N10574" t="str">
        <f>"3/20/2017 1:28:00 PM"</f>
        <v>3/20/2017 1:28:00 PM</v>
      </c>
      <c r="O10574" t="s">
        <v>31429</v>
      </c>
      <c r="T10574" t="s">
        <v>31430</v>
      </c>
    </row>
    <row r="10575" spans="1:20" x14ac:dyDescent="0.25">
      <c r="A10575" t="str">
        <f>"3051576"</f>
        <v>3051576</v>
      </c>
      <c r="B10575" t="s">
        <v>31553</v>
      </c>
      <c r="C10575" t="str">
        <f>"8307594"</f>
        <v>8307594</v>
      </c>
      <c r="D10575" t="s">
        <v>31554</v>
      </c>
      <c r="E10575" t="s">
        <v>31555</v>
      </c>
      <c r="F10575" t="s">
        <v>12905</v>
      </c>
      <c r="I10575" t="s">
        <v>29</v>
      </c>
      <c r="J10575" t="s">
        <v>30</v>
      </c>
      <c r="K10575" t="str">
        <f>"27028"</f>
        <v>27028</v>
      </c>
      <c r="M10575" t="s">
        <v>17861</v>
      </c>
      <c r="N10575" t="str">
        <f>"3/29/2017 8:50:00 AM"</f>
        <v>3/29/2017 8:50:00 AM</v>
      </c>
      <c r="O10575" t="s">
        <v>31554</v>
      </c>
      <c r="T10575" t="s">
        <v>31555</v>
      </c>
    </row>
    <row r="10576" spans="1:20" x14ac:dyDescent="0.25">
      <c r="A10576" t="str">
        <f>"3044600"</f>
        <v>3044600</v>
      </c>
      <c r="B10576" t="s">
        <v>31556</v>
      </c>
      <c r="C10576" t="str">
        <f>"8307600"</f>
        <v>8307600</v>
      </c>
      <c r="D10576" t="s">
        <v>31557</v>
      </c>
      <c r="E10576" t="s">
        <v>31558</v>
      </c>
      <c r="F10576" t="s">
        <v>31559</v>
      </c>
      <c r="I10576" t="s">
        <v>184</v>
      </c>
      <c r="J10576" t="s">
        <v>30</v>
      </c>
      <c r="K10576" t="str">
        <f>"27006"</f>
        <v>27006</v>
      </c>
      <c r="M10576" t="s">
        <v>17861</v>
      </c>
      <c r="N10576" t="str">
        <f>"3/29/2017 9:42:00 AM"</f>
        <v>3/29/2017 9:42:00 AM</v>
      </c>
      <c r="O10576" t="s">
        <v>31557</v>
      </c>
      <c r="T10576" t="s">
        <v>31558</v>
      </c>
    </row>
    <row r="10577" spans="1:20" x14ac:dyDescent="0.25">
      <c r="A10577" t="str">
        <f>"3047417"</f>
        <v>3047417</v>
      </c>
      <c r="B10577" t="s">
        <v>31560</v>
      </c>
      <c r="C10577" t="str">
        <f>"41116000"</f>
        <v>41116000</v>
      </c>
      <c r="D10577" t="s">
        <v>31464</v>
      </c>
      <c r="F10577" t="s">
        <v>7656</v>
      </c>
      <c r="I10577" t="s">
        <v>184</v>
      </c>
      <c r="J10577" t="s">
        <v>30</v>
      </c>
      <c r="K10577" t="s">
        <v>31465</v>
      </c>
      <c r="M10577" t="s">
        <v>18470</v>
      </c>
      <c r="N10577" t="str">
        <f>"3/29/2017 9:56:00 AM"</f>
        <v>3/29/2017 9:56:00 AM</v>
      </c>
      <c r="O10577" t="s">
        <v>31464</v>
      </c>
    </row>
    <row r="10578" spans="1:20" x14ac:dyDescent="0.25">
      <c r="A10578" t="str">
        <f>"3047750"</f>
        <v>3047750</v>
      </c>
      <c r="B10578" t="s">
        <v>31561</v>
      </c>
      <c r="C10578" t="str">
        <f>"41116000"</f>
        <v>41116000</v>
      </c>
      <c r="D10578" t="s">
        <v>31464</v>
      </c>
      <c r="F10578" t="s">
        <v>7656</v>
      </c>
      <c r="I10578" t="s">
        <v>184</v>
      </c>
      <c r="J10578" t="s">
        <v>30</v>
      </c>
      <c r="K10578" t="s">
        <v>31465</v>
      </c>
      <c r="M10578" t="s">
        <v>18470</v>
      </c>
      <c r="N10578" t="str">
        <f>"3/29/2017 9:56:00 AM"</f>
        <v>3/29/2017 9:56:00 AM</v>
      </c>
      <c r="O10578" t="s">
        <v>31464</v>
      </c>
    </row>
    <row r="10579" spans="1:20" x14ac:dyDescent="0.25">
      <c r="A10579" t="str">
        <f>"3054124"</f>
        <v>3054124</v>
      </c>
      <c r="B10579" t="s">
        <v>31562</v>
      </c>
      <c r="C10579" t="str">
        <f>"16401000"</f>
        <v>16401000</v>
      </c>
      <c r="D10579" t="s">
        <v>31563</v>
      </c>
      <c r="F10579" t="s">
        <v>31564</v>
      </c>
      <c r="I10579" t="s">
        <v>29</v>
      </c>
      <c r="J10579" t="s">
        <v>30</v>
      </c>
      <c r="K10579" t="s">
        <v>31</v>
      </c>
      <c r="M10579" t="s">
        <v>18470</v>
      </c>
      <c r="N10579" t="str">
        <f>"3/29/2017 10:13:00 AM"</f>
        <v>3/29/2017 10:13:00 AM</v>
      </c>
      <c r="O10579" t="s">
        <v>31563</v>
      </c>
    </row>
    <row r="10580" spans="1:20" x14ac:dyDescent="0.25">
      <c r="A10580" t="str">
        <f>"3062555"</f>
        <v>3062555</v>
      </c>
      <c r="B10580" t="s">
        <v>31565</v>
      </c>
      <c r="C10580" t="str">
        <f>"16401000"</f>
        <v>16401000</v>
      </c>
      <c r="D10580" t="s">
        <v>31563</v>
      </c>
      <c r="F10580" t="s">
        <v>31564</v>
      </c>
      <c r="I10580" t="s">
        <v>29</v>
      </c>
      <c r="J10580" t="s">
        <v>30</v>
      </c>
      <c r="K10580" t="s">
        <v>31</v>
      </c>
      <c r="M10580" t="s">
        <v>18470</v>
      </c>
      <c r="N10580" t="str">
        <f>"3/29/2017 10:13:00 AM"</f>
        <v>3/29/2017 10:13:00 AM</v>
      </c>
      <c r="O10580" t="s">
        <v>31563</v>
      </c>
    </row>
    <row r="10581" spans="1:20" x14ac:dyDescent="0.25">
      <c r="A10581" t="str">
        <f>"3043793"</f>
        <v>3043793</v>
      </c>
      <c r="B10581" t="s">
        <v>31566</v>
      </c>
      <c r="C10581" t="str">
        <f>"53316000"</f>
        <v>53316000</v>
      </c>
      <c r="D10581" t="s">
        <v>31567</v>
      </c>
      <c r="E10581" t="s">
        <v>31568</v>
      </c>
      <c r="F10581" t="s">
        <v>31569</v>
      </c>
      <c r="I10581" t="s">
        <v>29</v>
      </c>
      <c r="J10581" t="s">
        <v>30</v>
      </c>
      <c r="K10581" t="s">
        <v>31</v>
      </c>
      <c r="M10581" t="s">
        <v>18470</v>
      </c>
      <c r="N10581" t="str">
        <f>"3/29/2017 10:34:00 AM"</f>
        <v>3/29/2017 10:34:00 AM</v>
      </c>
      <c r="O10581" t="s">
        <v>31567</v>
      </c>
      <c r="T10581" t="s">
        <v>31568</v>
      </c>
    </row>
    <row r="10582" spans="1:20" x14ac:dyDescent="0.25">
      <c r="A10582" t="str">
        <f>"3052138"</f>
        <v>3052138</v>
      </c>
      <c r="B10582" t="s">
        <v>31570</v>
      </c>
      <c r="C10582" t="str">
        <f>"62508500"</f>
        <v>62508500</v>
      </c>
      <c r="D10582" t="s">
        <v>31571</v>
      </c>
      <c r="F10582" t="s">
        <v>31572</v>
      </c>
      <c r="I10582" t="s">
        <v>29</v>
      </c>
      <c r="J10582" t="s">
        <v>30</v>
      </c>
      <c r="K10582" t="s">
        <v>31</v>
      </c>
      <c r="M10582" t="s">
        <v>18470</v>
      </c>
      <c r="N10582" t="str">
        <f>"3/29/2017 10:48:00 AM"</f>
        <v>3/29/2017 10:48:00 AM</v>
      </c>
      <c r="O10582" t="s">
        <v>31571</v>
      </c>
    </row>
    <row r="10583" spans="1:20" x14ac:dyDescent="0.25">
      <c r="A10583" t="str">
        <f>"3037933"</f>
        <v>3037933</v>
      </c>
      <c r="B10583" t="s">
        <v>31573</v>
      </c>
      <c r="C10583" t="str">
        <f>"8307607"</f>
        <v>8307607</v>
      </c>
      <c r="D10583" t="s">
        <v>31574</v>
      </c>
      <c r="F10583" t="s">
        <v>31575</v>
      </c>
      <c r="I10583" t="s">
        <v>402</v>
      </c>
      <c r="J10583" t="s">
        <v>30</v>
      </c>
      <c r="K10583" t="s">
        <v>31576</v>
      </c>
      <c r="M10583" t="s">
        <v>17861</v>
      </c>
      <c r="N10583" t="str">
        <f>"3/29/2017 10:59:00 AM"</f>
        <v>3/29/2017 10:59:00 AM</v>
      </c>
      <c r="O10583" t="s">
        <v>31574</v>
      </c>
    </row>
    <row r="10584" spans="1:20" x14ac:dyDescent="0.25">
      <c r="A10584" t="str">
        <f>"3055626"</f>
        <v>3055626</v>
      </c>
      <c r="B10584" t="s">
        <v>31577</v>
      </c>
      <c r="C10584" t="str">
        <f>"82519602"</f>
        <v>82519602</v>
      </c>
      <c r="D10584" t="s">
        <v>31578</v>
      </c>
      <c r="E10584" t="s">
        <v>31579</v>
      </c>
      <c r="F10584" t="s">
        <v>31580</v>
      </c>
      <c r="I10584" t="s">
        <v>29</v>
      </c>
      <c r="J10584" t="s">
        <v>30</v>
      </c>
      <c r="K10584" t="s">
        <v>31</v>
      </c>
      <c r="M10584" t="s">
        <v>18470</v>
      </c>
      <c r="N10584" t="str">
        <f>"3/29/2017 11:17:00 AM"</f>
        <v>3/29/2017 11:17:00 AM</v>
      </c>
      <c r="O10584" t="s">
        <v>31578</v>
      </c>
      <c r="T10584" t="s">
        <v>31579</v>
      </c>
    </row>
    <row r="10585" spans="1:20" x14ac:dyDescent="0.25">
      <c r="A10585" t="str">
        <f>"3061552"</f>
        <v>3061552</v>
      </c>
      <c r="B10585" t="s">
        <v>31581</v>
      </c>
      <c r="C10585" t="str">
        <f>"68010000"</f>
        <v>68010000</v>
      </c>
      <c r="D10585" t="s">
        <v>670</v>
      </c>
      <c r="F10585" t="s">
        <v>31582</v>
      </c>
      <c r="I10585" t="s">
        <v>184</v>
      </c>
      <c r="J10585" t="s">
        <v>30</v>
      </c>
      <c r="K10585" t="s">
        <v>185</v>
      </c>
      <c r="M10585" t="s">
        <v>18470</v>
      </c>
      <c r="N10585" t="str">
        <f>"3/29/2017 11:51:00 AM"</f>
        <v>3/29/2017 11:51:00 AM</v>
      </c>
      <c r="O10585" t="s">
        <v>670</v>
      </c>
    </row>
    <row r="10586" spans="1:20" x14ac:dyDescent="0.25">
      <c r="A10586" t="str">
        <f>"3047518"</f>
        <v>3047518</v>
      </c>
      <c r="B10586" t="s">
        <v>31583</v>
      </c>
      <c r="C10586" t="str">
        <f t="shared" ref="C10586:C10593" si="181">"82516012"</f>
        <v>82516012</v>
      </c>
      <c r="D10586" t="s">
        <v>31584</v>
      </c>
      <c r="F10586" t="s">
        <v>31585</v>
      </c>
      <c r="I10586" t="s">
        <v>29</v>
      </c>
      <c r="J10586" t="s">
        <v>30</v>
      </c>
      <c r="K10586" t="s">
        <v>31</v>
      </c>
      <c r="M10586" t="s">
        <v>25625</v>
      </c>
      <c r="N10586" t="str">
        <f t="shared" ref="N10586:N10593" si="182">"4/3/2017 10:23:00 AM"</f>
        <v>4/3/2017 10:23:00 AM</v>
      </c>
      <c r="O10586" t="s">
        <v>31584</v>
      </c>
    </row>
    <row r="10587" spans="1:20" x14ac:dyDescent="0.25">
      <c r="A10587" t="str">
        <f>"3047581"</f>
        <v>3047581</v>
      </c>
      <c r="B10587" t="s">
        <v>31586</v>
      </c>
      <c r="C10587" t="str">
        <f t="shared" si="181"/>
        <v>82516012</v>
      </c>
      <c r="D10587" t="s">
        <v>31584</v>
      </c>
      <c r="F10587" t="s">
        <v>31585</v>
      </c>
      <c r="I10587" t="s">
        <v>29</v>
      </c>
      <c r="J10587" t="s">
        <v>30</v>
      </c>
      <c r="K10587" t="s">
        <v>31</v>
      </c>
      <c r="M10587" t="s">
        <v>25625</v>
      </c>
      <c r="N10587" t="str">
        <f t="shared" si="182"/>
        <v>4/3/2017 10:23:00 AM</v>
      </c>
      <c r="O10587" t="s">
        <v>31584</v>
      </c>
    </row>
    <row r="10588" spans="1:20" x14ac:dyDescent="0.25">
      <c r="A10588" t="str">
        <f>"3047470"</f>
        <v>3047470</v>
      </c>
      <c r="B10588" t="s">
        <v>31587</v>
      </c>
      <c r="C10588" t="str">
        <f t="shared" si="181"/>
        <v>82516012</v>
      </c>
      <c r="D10588" t="s">
        <v>31584</v>
      </c>
      <c r="F10588" t="s">
        <v>31585</v>
      </c>
      <c r="I10588" t="s">
        <v>29</v>
      </c>
      <c r="J10588" t="s">
        <v>30</v>
      </c>
      <c r="K10588" t="s">
        <v>31</v>
      </c>
      <c r="M10588" t="s">
        <v>25625</v>
      </c>
      <c r="N10588" t="str">
        <f t="shared" si="182"/>
        <v>4/3/2017 10:23:00 AM</v>
      </c>
      <c r="O10588" t="s">
        <v>31584</v>
      </c>
    </row>
    <row r="10589" spans="1:20" x14ac:dyDescent="0.25">
      <c r="A10589" t="str">
        <f>"3047438"</f>
        <v>3047438</v>
      </c>
      <c r="B10589" t="s">
        <v>31588</v>
      </c>
      <c r="C10589" t="str">
        <f t="shared" si="181"/>
        <v>82516012</v>
      </c>
      <c r="D10589" t="s">
        <v>31584</v>
      </c>
      <c r="F10589" t="s">
        <v>31585</v>
      </c>
      <c r="I10589" t="s">
        <v>29</v>
      </c>
      <c r="J10589" t="s">
        <v>30</v>
      </c>
      <c r="K10589" t="s">
        <v>31</v>
      </c>
      <c r="M10589" t="s">
        <v>25625</v>
      </c>
      <c r="N10589" t="str">
        <f t="shared" si="182"/>
        <v>4/3/2017 10:23:00 AM</v>
      </c>
      <c r="O10589" t="s">
        <v>31584</v>
      </c>
    </row>
    <row r="10590" spans="1:20" x14ac:dyDescent="0.25">
      <c r="A10590" t="str">
        <f>"3048274"</f>
        <v>3048274</v>
      </c>
      <c r="B10590" t="s">
        <v>31589</v>
      </c>
      <c r="C10590" t="str">
        <f t="shared" si="181"/>
        <v>82516012</v>
      </c>
      <c r="D10590" t="s">
        <v>31584</v>
      </c>
      <c r="F10590" t="s">
        <v>31585</v>
      </c>
      <c r="I10590" t="s">
        <v>29</v>
      </c>
      <c r="J10590" t="s">
        <v>30</v>
      </c>
      <c r="K10590" t="s">
        <v>31</v>
      </c>
      <c r="M10590" t="s">
        <v>25625</v>
      </c>
      <c r="N10590" t="str">
        <f t="shared" si="182"/>
        <v>4/3/2017 10:23:00 AM</v>
      </c>
      <c r="O10590" t="s">
        <v>31584</v>
      </c>
    </row>
    <row r="10591" spans="1:20" x14ac:dyDescent="0.25">
      <c r="A10591" t="str">
        <f>"3048244"</f>
        <v>3048244</v>
      </c>
      <c r="B10591" t="s">
        <v>31590</v>
      </c>
      <c r="C10591" t="str">
        <f t="shared" si="181"/>
        <v>82516012</v>
      </c>
      <c r="D10591" t="s">
        <v>31584</v>
      </c>
      <c r="F10591" t="s">
        <v>31585</v>
      </c>
      <c r="I10591" t="s">
        <v>29</v>
      </c>
      <c r="J10591" t="s">
        <v>30</v>
      </c>
      <c r="K10591" t="s">
        <v>31</v>
      </c>
      <c r="M10591" t="s">
        <v>25625</v>
      </c>
      <c r="N10591" t="str">
        <f t="shared" si="182"/>
        <v>4/3/2017 10:23:00 AM</v>
      </c>
      <c r="O10591" t="s">
        <v>31584</v>
      </c>
    </row>
    <row r="10592" spans="1:20" x14ac:dyDescent="0.25">
      <c r="A10592" t="str">
        <f>"3078228"</f>
        <v>3078228</v>
      </c>
      <c r="B10592" t="s">
        <v>31591</v>
      </c>
      <c r="C10592" t="str">
        <f t="shared" si="181"/>
        <v>82516012</v>
      </c>
      <c r="D10592" t="s">
        <v>31584</v>
      </c>
      <c r="F10592" t="s">
        <v>31585</v>
      </c>
      <c r="I10592" t="s">
        <v>29</v>
      </c>
      <c r="J10592" t="s">
        <v>30</v>
      </c>
      <c r="K10592" t="s">
        <v>31</v>
      </c>
      <c r="M10592" t="s">
        <v>25625</v>
      </c>
      <c r="N10592" t="str">
        <f t="shared" si="182"/>
        <v>4/3/2017 10:23:00 AM</v>
      </c>
      <c r="O10592" t="s">
        <v>31584</v>
      </c>
    </row>
    <row r="10593" spans="1:20" x14ac:dyDescent="0.25">
      <c r="A10593" t="str">
        <f>"3078229"</f>
        <v>3078229</v>
      </c>
      <c r="B10593" t="s">
        <v>31592</v>
      </c>
      <c r="C10593" t="str">
        <f t="shared" si="181"/>
        <v>82516012</v>
      </c>
      <c r="D10593" t="s">
        <v>31584</v>
      </c>
      <c r="F10593" t="s">
        <v>31585</v>
      </c>
      <c r="I10593" t="s">
        <v>29</v>
      </c>
      <c r="J10593" t="s">
        <v>30</v>
      </c>
      <c r="K10593" t="s">
        <v>31</v>
      </c>
      <c r="M10593" t="s">
        <v>25625</v>
      </c>
      <c r="N10593" t="str">
        <f t="shared" si="182"/>
        <v>4/3/2017 10:23:00 AM</v>
      </c>
      <c r="O10593" t="s">
        <v>31584</v>
      </c>
    </row>
    <row r="10594" spans="1:20" x14ac:dyDescent="0.25">
      <c r="A10594" t="str">
        <f>"3059550"</f>
        <v>3059550</v>
      </c>
      <c r="B10594" t="s">
        <v>31593</v>
      </c>
      <c r="C10594" t="str">
        <f>"8307613"</f>
        <v>8307613</v>
      </c>
      <c r="D10594" t="s">
        <v>31594</v>
      </c>
      <c r="E10594" t="s">
        <v>31595</v>
      </c>
      <c r="F10594" t="s">
        <v>31596</v>
      </c>
      <c r="I10594" t="s">
        <v>29</v>
      </c>
      <c r="J10594" t="s">
        <v>30</v>
      </c>
      <c r="K10594" t="str">
        <f>"27028"</f>
        <v>27028</v>
      </c>
      <c r="M10594" t="s">
        <v>17861</v>
      </c>
      <c r="N10594" t="str">
        <f>"3/29/2017 3:44:00 PM"</f>
        <v>3/29/2017 3:44:00 PM</v>
      </c>
      <c r="O10594" t="s">
        <v>31594</v>
      </c>
      <c r="T10594" t="s">
        <v>31595</v>
      </c>
    </row>
    <row r="10595" spans="1:20" x14ac:dyDescent="0.25">
      <c r="A10595" t="str">
        <f>"3056164"</f>
        <v>3056164</v>
      </c>
      <c r="B10595" t="s">
        <v>31597</v>
      </c>
      <c r="C10595" t="str">
        <f>"8307632"</f>
        <v>8307632</v>
      </c>
      <c r="D10595" t="s">
        <v>31598</v>
      </c>
      <c r="F10595" t="s">
        <v>31599</v>
      </c>
      <c r="I10595" t="s">
        <v>9580</v>
      </c>
      <c r="J10595" t="s">
        <v>30</v>
      </c>
      <c r="K10595" t="s">
        <v>31600</v>
      </c>
      <c r="M10595" t="s">
        <v>17861</v>
      </c>
      <c r="N10595" t="str">
        <f>"4/5/2017 9:31:00 AM"</f>
        <v>4/5/2017 9:31:00 AM</v>
      </c>
      <c r="O10595" t="s">
        <v>31598</v>
      </c>
    </row>
    <row r="10596" spans="1:20" x14ac:dyDescent="0.25">
      <c r="A10596" t="str">
        <f>"3056028"</f>
        <v>3056028</v>
      </c>
      <c r="B10596" t="s">
        <v>31601</v>
      </c>
      <c r="C10596" t="str">
        <f>"8307632"</f>
        <v>8307632</v>
      </c>
      <c r="D10596" t="s">
        <v>31598</v>
      </c>
      <c r="F10596" t="s">
        <v>31599</v>
      </c>
      <c r="I10596" t="s">
        <v>9580</v>
      </c>
      <c r="J10596" t="s">
        <v>30</v>
      </c>
      <c r="K10596" t="s">
        <v>31600</v>
      </c>
      <c r="M10596" t="s">
        <v>17861</v>
      </c>
      <c r="N10596" t="str">
        <f>"4/5/2017 9:31:00 AM"</f>
        <v>4/5/2017 9:31:00 AM</v>
      </c>
      <c r="O10596" t="s">
        <v>31598</v>
      </c>
    </row>
    <row r="10597" spans="1:20" x14ac:dyDescent="0.25">
      <c r="A10597" t="str">
        <f>"3050955"</f>
        <v>3050955</v>
      </c>
      <c r="B10597" t="s">
        <v>31602</v>
      </c>
      <c r="C10597" t="str">
        <f>"8307633"</f>
        <v>8307633</v>
      </c>
      <c r="D10597" t="s">
        <v>31603</v>
      </c>
      <c r="F10597" t="s">
        <v>31604</v>
      </c>
      <c r="I10597" t="s">
        <v>184</v>
      </c>
      <c r="J10597" t="s">
        <v>30</v>
      </c>
      <c r="K10597" t="str">
        <f>"27006"</f>
        <v>27006</v>
      </c>
      <c r="M10597" t="s">
        <v>17861</v>
      </c>
      <c r="N10597" t="str">
        <f>"4/5/2017 9:55:00 AM"</f>
        <v>4/5/2017 9:55:00 AM</v>
      </c>
      <c r="O10597" t="s">
        <v>31603</v>
      </c>
    </row>
    <row r="10598" spans="1:20" x14ac:dyDescent="0.25">
      <c r="A10598" t="str">
        <f>"3059742"</f>
        <v>3059742</v>
      </c>
      <c r="B10598" t="s">
        <v>31605</v>
      </c>
      <c r="C10598" t="str">
        <f>"8307635"</f>
        <v>8307635</v>
      </c>
      <c r="D10598" t="s">
        <v>31606</v>
      </c>
      <c r="E10598" t="s">
        <v>31607</v>
      </c>
      <c r="F10598" t="s">
        <v>31608</v>
      </c>
      <c r="I10598" t="s">
        <v>29</v>
      </c>
      <c r="J10598" t="s">
        <v>30</v>
      </c>
      <c r="K10598" t="str">
        <f>"27028"</f>
        <v>27028</v>
      </c>
      <c r="M10598" t="s">
        <v>17861</v>
      </c>
      <c r="N10598" t="str">
        <f>"4/5/2017 10:26:00 AM"</f>
        <v>4/5/2017 10:26:00 AM</v>
      </c>
      <c r="O10598" t="s">
        <v>31606</v>
      </c>
      <c r="T10598" t="s">
        <v>31607</v>
      </c>
    </row>
    <row r="10599" spans="1:20" x14ac:dyDescent="0.25">
      <c r="A10599" t="str">
        <f>"3058866"</f>
        <v>3058866</v>
      </c>
      <c r="B10599" t="s">
        <v>31609</v>
      </c>
      <c r="C10599" t="str">
        <f>"8307636"</f>
        <v>8307636</v>
      </c>
      <c r="D10599" t="s">
        <v>31610</v>
      </c>
      <c r="E10599" t="s">
        <v>31611</v>
      </c>
      <c r="F10599" t="s">
        <v>31612</v>
      </c>
      <c r="I10599" t="s">
        <v>29</v>
      </c>
      <c r="J10599" t="s">
        <v>30</v>
      </c>
      <c r="K10599" t="str">
        <f>"27028"</f>
        <v>27028</v>
      </c>
      <c r="M10599" t="s">
        <v>17861</v>
      </c>
      <c r="N10599" t="str">
        <f>"4/5/2017 10:28:00 AM"</f>
        <v>4/5/2017 10:28:00 AM</v>
      </c>
      <c r="O10599" t="s">
        <v>31610</v>
      </c>
      <c r="T10599" t="s">
        <v>31611</v>
      </c>
    </row>
    <row r="10600" spans="1:20" x14ac:dyDescent="0.25">
      <c r="A10600" t="str">
        <f>"3051328"</f>
        <v>3051328</v>
      </c>
      <c r="B10600" t="s">
        <v>31613</v>
      </c>
      <c r="C10600" t="str">
        <f>"8307637"</f>
        <v>8307637</v>
      </c>
      <c r="D10600" t="s">
        <v>31614</v>
      </c>
      <c r="E10600" t="s">
        <v>31615</v>
      </c>
      <c r="F10600" t="s">
        <v>31616</v>
      </c>
      <c r="I10600" t="s">
        <v>29</v>
      </c>
      <c r="J10600" t="s">
        <v>30</v>
      </c>
      <c r="K10600" t="str">
        <f>"27028"</f>
        <v>27028</v>
      </c>
      <c r="M10600" t="s">
        <v>17861</v>
      </c>
      <c r="N10600" t="str">
        <f>"4/5/2017 10:31:00 AM"</f>
        <v>4/5/2017 10:31:00 AM</v>
      </c>
      <c r="O10600" t="s">
        <v>31614</v>
      </c>
      <c r="T10600" t="s">
        <v>31615</v>
      </c>
    </row>
    <row r="10601" spans="1:20" x14ac:dyDescent="0.25">
      <c r="A10601" t="str">
        <f>"3041624"</f>
        <v>3041624</v>
      </c>
      <c r="B10601" t="s">
        <v>31617</v>
      </c>
      <c r="C10601" t="str">
        <f>"8307638"</f>
        <v>8307638</v>
      </c>
      <c r="D10601" t="s">
        <v>31618</v>
      </c>
      <c r="E10601" t="s">
        <v>31619</v>
      </c>
      <c r="F10601" t="s">
        <v>31620</v>
      </c>
      <c r="I10601" t="s">
        <v>2071</v>
      </c>
      <c r="J10601" t="s">
        <v>30</v>
      </c>
      <c r="K10601" t="str">
        <f>"27006"</f>
        <v>27006</v>
      </c>
      <c r="M10601" t="s">
        <v>17861</v>
      </c>
      <c r="N10601" t="str">
        <f>"4/5/2017 10:34:00 AM"</f>
        <v>4/5/2017 10:34:00 AM</v>
      </c>
      <c r="O10601" t="s">
        <v>31618</v>
      </c>
      <c r="T10601" t="s">
        <v>31619</v>
      </c>
    </row>
    <row r="10602" spans="1:20" x14ac:dyDescent="0.25">
      <c r="A10602" t="str">
        <f>"3040729"</f>
        <v>3040729</v>
      </c>
      <c r="B10602" t="s">
        <v>31621</v>
      </c>
      <c r="C10602" t="str">
        <f>"8307639"</f>
        <v>8307639</v>
      </c>
      <c r="D10602" t="s">
        <v>31622</v>
      </c>
      <c r="F10602" t="s">
        <v>31623</v>
      </c>
      <c r="I10602" t="s">
        <v>2589</v>
      </c>
      <c r="J10602" t="s">
        <v>30</v>
      </c>
      <c r="K10602" t="str">
        <f>"27628"</f>
        <v>27628</v>
      </c>
      <c r="M10602" t="s">
        <v>17861</v>
      </c>
      <c r="N10602" t="str">
        <f>"4/5/2017 10:36:00 AM"</f>
        <v>4/5/2017 10:36:00 AM</v>
      </c>
      <c r="O10602" t="s">
        <v>31622</v>
      </c>
    </row>
    <row r="10603" spans="1:20" x14ac:dyDescent="0.25">
      <c r="A10603" t="str">
        <f>"3043552"</f>
        <v>3043552</v>
      </c>
      <c r="B10603" t="s">
        <v>31624</v>
      </c>
      <c r="C10603" t="str">
        <f>"8307615"</f>
        <v>8307615</v>
      </c>
      <c r="D10603" t="s">
        <v>31625</v>
      </c>
      <c r="E10603" t="s">
        <v>31626</v>
      </c>
      <c r="F10603" t="s">
        <v>31627</v>
      </c>
      <c r="I10603" t="s">
        <v>29</v>
      </c>
      <c r="J10603" t="s">
        <v>30</v>
      </c>
      <c r="K10603" t="str">
        <f>"27028"</f>
        <v>27028</v>
      </c>
      <c r="M10603" t="s">
        <v>17861</v>
      </c>
      <c r="N10603" t="str">
        <f>"3/29/2017 4:21:00 PM"</f>
        <v>3/29/2017 4:21:00 PM</v>
      </c>
      <c r="O10603" t="s">
        <v>31625</v>
      </c>
      <c r="T10603" t="s">
        <v>31626</v>
      </c>
    </row>
    <row r="10604" spans="1:20" x14ac:dyDescent="0.25">
      <c r="A10604" t="str">
        <f>"3062522"</f>
        <v>3062522</v>
      </c>
      <c r="B10604" t="s">
        <v>31628</v>
      </c>
      <c r="C10604" t="str">
        <f>"8307645"</f>
        <v>8307645</v>
      </c>
      <c r="D10604" t="s">
        <v>31629</v>
      </c>
      <c r="F10604" t="s">
        <v>31630</v>
      </c>
      <c r="I10604" t="s">
        <v>184</v>
      </c>
      <c r="J10604" t="s">
        <v>30</v>
      </c>
      <c r="K10604" t="str">
        <f>"27006"</f>
        <v>27006</v>
      </c>
      <c r="M10604" t="s">
        <v>17861</v>
      </c>
      <c r="N10604" t="str">
        <f>"4/5/2017 3:28:00 PM"</f>
        <v>4/5/2017 3:28:00 PM</v>
      </c>
      <c r="O10604" t="s">
        <v>31629</v>
      </c>
    </row>
    <row r="10605" spans="1:20" x14ac:dyDescent="0.25">
      <c r="A10605" t="str">
        <f>"3052546"</f>
        <v>3052546</v>
      </c>
      <c r="B10605" t="s">
        <v>31631</v>
      </c>
      <c r="C10605" t="str">
        <f>"8307646"</f>
        <v>8307646</v>
      </c>
      <c r="D10605" t="s">
        <v>31632</v>
      </c>
      <c r="F10605" t="s">
        <v>31633</v>
      </c>
      <c r="I10605" t="s">
        <v>29</v>
      </c>
      <c r="J10605" t="s">
        <v>30</v>
      </c>
      <c r="K10605" t="str">
        <f>"27028"</f>
        <v>27028</v>
      </c>
      <c r="M10605" t="s">
        <v>17861</v>
      </c>
      <c r="N10605" t="str">
        <f>"4/5/2017 3:30:00 PM"</f>
        <v>4/5/2017 3:30:00 PM</v>
      </c>
      <c r="O10605" t="s">
        <v>31632</v>
      </c>
    </row>
    <row r="10606" spans="1:20" x14ac:dyDescent="0.25">
      <c r="A10606" t="str">
        <f>"3058912"</f>
        <v>3058912</v>
      </c>
      <c r="B10606" t="s">
        <v>31634</v>
      </c>
      <c r="C10606" t="str">
        <f>"82527025"</f>
        <v>82527025</v>
      </c>
      <c r="D10606" t="s">
        <v>31635</v>
      </c>
      <c r="E10606" t="s">
        <v>31636</v>
      </c>
      <c r="F10606" t="s">
        <v>31637</v>
      </c>
      <c r="I10606" t="s">
        <v>29</v>
      </c>
      <c r="J10606" t="s">
        <v>30</v>
      </c>
      <c r="K10606" t="s">
        <v>31</v>
      </c>
      <c r="M10606" t="s">
        <v>25733</v>
      </c>
      <c r="N10606" t="str">
        <f>"4/5/2017 3:32:00 PM"</f>
        <v>4/5/2017 3:32:00 PM</v>
      </c>
      <c r="O10606" t="s">
        <v>31635</v>
      </c>
      <c r="T10606" t="s">
        <v>31636</v>
      </c>
    </row>
    <row r="10607" spans="1:20" x14ac:dyDescent="0.25">
      <c r="A10607" t="str">
        <f>"3056327"</f>
        <v>3056327</v>
      </c>
      <c r="B10607" t="s">
        <v>31638</v>
      </c>
      <c r="C10607" t="str">
        <f>"8305908"</f>
        <v>8305908</v>
      </c>
      <c r="D10607" t="s">
        <v>31639</v>
      </c>
      <c r="F10607" t="s">
        <v>31640</v>
      </c>
      <c r="I10607" t="s">
        <v>9580</v>
      </c>
      <c r="J10607" t="s">
        <v>30</v>
      </c>
      <c r="K10607" t="str">
        <f>"27014"</f>
        <v>27014</v>
      </c>
      <c r="M10607" t="s">
        <v>18470</v>
      </c>
      <c r="N10607" t="str">
        <f>"3/30/2017 10:42:00 AM"</f>
        <v>3/30/2017 10:42:00 AM</v>
      </c>
      <c r="O10607" t="s">
        <v>31639</v>
      </c>
    </row>
    <row r="10608" spans="1:20" x14ac:dyDescent="0.25">
      <c r="A10608" t="str">
        <f>"3056718"</f>
        <v>3056718</v>
      </c>
      <c r="B10608" t="s">
        <v>31641</v>
      </c>
      <c r="C10608" t="str">
        <f>"8305908"</f>
        <v>8305908</v>
      </c>
      <c r="D10608" t="s">
        <v>31639</v>
      </c>
      <c r="F10608" t="s">
        <v>31640</v>
      </c>
      <c r="I10608" t="s">
        <v>9580</v>
      </c>
      <c r="J10608" t="s">
        <v>30</v>
      </c>
      <c r="K10608" t="str">
        <f>"27014"</f>
        <v>27014</v>
      </c>
      <c r="M10608" t="s">
        <v>18470</v>
      </c>
      <c r="N10608" t="str">
        <f>"3/30/2017 10:42:00 AM"</f>
        <v>3/30/2017 10:42:00 AM</v>
      </c>
      <c r="O10608" t="s">
        <v>31639</v>
      </c>
    </row>
    <row r="10609" spans="1:20" x14ac:dyDescent="0.25">
      <c r="A10609" t="str">
        <f>"3070073"</f>
        <v>3070073</v>
      </c>
      <c r="B10609" t="s">
        <v>31642</v>
      </c>
      <c r="C10609" t="str">
        <f>"13518500"</f>
        <v>13518500</v>
      </c>
      <c r="D10609" t="s">
        <v>31643</v>
      </c>
      <c r="F10609" t="s">
        <v>31644</v>
      </c>
      <c r="I10609" t="s">
        <v>29</v>
      </c>
      <c r="J10609" t="s">
        <v>30</v>
      </c>
      <c r="K10609" t="s">
        <v>31645</v>
      </c>
      <c r="M10609" t="s">
        <v>18470</v>
      </c>
      <c r="N10609" t="str">
        <f>"3/30/2017 10:47:00 AM"</f>
        <v>3/30/2017 10:47:00 AM</v>
      </c>
      <c r="O10609" t="s">
        <v>31643</v>
      </c>
    </row>
    <row r="10610" spans="1:20" x14ac:dyDescent="0.25">
      <c r="A10610" t="str">
        <f>"3069915"</f>
        <v>3069915</v>
      </c>
      <c r="B10610" t="s">
        <v>31646</v>
      </c>
      <c r="C10610" t="str">
        <f>"8304644"</f>
        <v>8304644</v>
      </c>
      <c r="D10610" t="s">
        <v>31647</v>
      </c>
      <c r="E10610" t="s">
        <v>31648</v>
      </c>
      <c r="F10610" t="s">
        <v>31649</v>
      </c>
      <c r="I10610" t="s">
        <v>17921</v>
      </c>
      <c r="J10610" t="s">
        <v>30</v>
      </c>
      <c r="K10610" t="str">
        <f>"27028"</f>
        <v>27028</v>
      </c>
      <c r="M10610" t="s">
        <v>25494</v>
      </c>
      <c r="N10610" t="str">
        <f>"3/28/2017 12:32:00 PM"</f>
        <v>3/28/2017 12:32:00 PM</v>
      </c>
      <c r="O10610" t="s">
        <v>31647</v>
      </c>
      <c r="T10610" t="s">
        <v>31648</v>
      </c>
    </row>
    <row r="10611" spans="1:20" x14ac:dyDescent="0.25">
      <c r="A10611" t="str">
        <f>"3043222"</f>
        <v>3043222</v>
      </c>
      <c r="B10611" t="s">
        <v>31650</v>
      </c>
      <c r="C10611" t="str">
        <f>"8307652"</f>
        <v>8307652</v>
      </c>
      <c r="D10611" t="s">
        <v>31651</v>
      </c>
      <c r="E10611" t="s">
        <v>31652</v>
      </c>
      <c r="F10611" t="s">
        <v>8304</v>
      </c>
      <c r="I10611" t="s">
        <v>29</v>
      </c>
      <c r="J10611" t="s">
        <v>30</v>
      </c>
      <c r="K10611" t="str">
        <f>"27028"</f>
        <v>27028</v>
      </c>
      <c r="M10611" t="s">
        <v>17861</v>
      </c>
      <c r="N10611" t="str">
        <f>"4/5/2017 4:21:00 PM"</f>
        <v>4/5/2017 4:21:00 PM</v>
      </c>
      <c r="O10611" t="s">
        <v>31651</v>
      </c>
      <c r="T10611" t="s">
        <v>31652</v>
      </c>
    </row>
    <row r="10612" spans="1:20" x14ac:dyDescent="0.25">
      <c r="A10612" t="str">
        <f>"3051229"</f>
        <v>3051229</v>
      </c>
      <c r="B10612" t="s">
        <v>31653</v>
      </c>
      <c r="C10612" t="str">
        <f>"8307594"</f>
        <v>8307594</v>
      </c>
      <c r="D10612" t="s">
        <v>31554</v>
      </c>
      <c r="E10612" t="s">
        <v>31555</v>
      </c>
      <c r="F10612" t="s">
        <v>12905</v>
      </c>
      <c r="I10612" t="s">
        <v>29</v>
      </c>
      <c r="J10612" t="s">
        <v>30</v>
      </c>
      <c r="K10612" t="str">
        <f>"27028"</f>
        <v>27028</v>
      </c>
      <c r="M10612" t="s">
        <v>17861</v>
      </c>
      <c r="N10612" t="str">
        <f>"3/29/2017 8:50:00 AM"</f>
        <v>3/29/2017 8:50:00 AM</v>
      </c>
      <c r="O10612" t="s">
        <v>31554</v>
      </c>
      <c r="T10612" t="s">
        <v>31555</v>
      </c>
    </row>
    <row r="10613" spans="1:20" x14ac:dyDescent="0.25">
      <c r="A10613" t="str">
        <f>"3051364"</f>
        <v>3051364</v>
      </c>
      <c r="B10613" t="s">
        <v>31654</v>
      </c>
      <c r="C10613" t="str">
        <f>"8307594"</f>
        <v>8307594</v>
      </c>
      <c r="D10613" t="s">
        <v>31554</v>
      </c>
      <c r="E10613" t="s">
        <v>31555</v>
      </c>
      <c r="F10613" t="s">
        <v>12905</v>
      </c>
      <c r="I10613" t="s">
        <v>29</v>
      </c>
      <c r="J10613" t="s">
        <v>30</v>
      </c>
      <c r="K10613" t="str">
        <f>"27028"</f>
        <v>27028</v>
      </c>
      <c r="M10613" t="s">
        <v>17861</v>
      </c>
      <c r="N10613" t="str">
        <f>"3/29/2017 8:50:00 AM"</f>
        <v>3/29/2017 8:50:00 AM</v>
      </c>
      <c r="O10613" t="s">
        <v>31554</v>
      </c>
      <c r="T10613" t="s">
        <v>31555</v>
      </c>
    </row>
    <row r="10614" spans="1:20" x14ac:dyDescent="0.25">
      <c r="A10614" t="str">
        <f>"3037859"</f>
        <v>3037859</v>
      </c>
      <c r="B10614" t="s">
        <v>31655</v>
      </c>
      <c r="C10614" t="str">
        <f>"82517284"</f>
        <v>82517284</v>
      </c>
      <c r="D10614" t="s">
        <v>31656</v>
      </c>
      <c r="E10614" t="s">
        <v>31657</v>
      </c>
      <c r="F10614" t="s">
        <v>31658</v>
      </c>
      <c r="I10614" t="s">
        <v>29</v>
      </c>
      <c r="J10614" t="s">
        <v>30</v>
      </c>
      <c r="K10614" t="s">
        <v>31</v>
      </c>
      <c r="M10614" t="s">
        <v>18470</v>
      </c>
      <c r="N10614" t="str">
        <f>"3/30/2017 12:05:00 PM"</f>
        <v>3/30/2017 12:05:00 PM</v>
      </c>
      <c r="O10614" t="s">
        <v>31656</v>
      </c>
      <c r="T10614" t="s">
        <v>31657</v>
      </c>
    </row>
    <row r="10615" spans="1:20" x14ac:dyDescent="0.25">
      <c r="A10615" t="str">
        <f>"3062577"</f>
        <v>3062577</v>
      </c>
      <c r="B10615" t="s">
        <v>31659</v>
      </c>
      <c r="C10615" t="str">
        <f>"8307660"</f>
        <v>8307660</v>
      </c>
      <c r="D10615" t="s">
        <v>31660</v>
      </c>
      <c r="E10615" t="s">
        <v>31661</v>
      </c>
      <c r="F10615" t="s">
        <v>31662</v>
      </c>
      <c r="I10615" t="s">
        <v>184</v>
      </c>
      <c r="J10615" t="s">
        <v>30</v>
      </c>
      <c r="K10615" t="str">
        <f>"27006"</f>
        <v>27006</v>
      </c>
      <c r="M10615" t="s">
        <v>17861</v>
      </c>
      <c r="N10615" t="str">
        <f>"4/6/2017 1:46:00 PM"</f>
        <v>4/6/2017 1:46:00 PM</v>
      </c>
      <c r="O10615" t="s">
        <v>31660</v>
      </c>
      <c r="T10615" t="s">
        <v>31661</v>
      </c>
    </row>
    <row r="10616" spans="1:20" x14ac:dyDescent="0.25">
      <c r="A10616" t="str">
        <f>"3070086"</f>
        <v>3070086</v>
      </c>
      <c r="B10616" t="s">
        <v>31663</v>
      </c>
      <c r="C10616" t="str">
        <f>"82517284"</f>
        <v>82517284</v>
      </c>
      <c r="D10616" t="s">
        <v>31656</v>
      </c>
      <c r="E10616" t="s">
        <v>31657</v>
      </c>
      <c r="F10616" t="s">
        <v>31658</v>
      </c>
      <c r="I10616" t="s">
        <v>29</v>
      </c>
      <c r="J10616" t="s">
        <v>30</v>
      </c>
      <c r="K10616" t="s">
        <v>31</v>
      </c>
      <c r="M10616" t="s">
        <v>18470</v>
      </c>
      <c r="N10616" t="str">
        <f>"3/30/2017 12:05:00 PM"</f>
        <v>3/30/2017 12:05:00 PM</v>
      </c>
      <c r="O10616" t="s">
        <v>31656</v>
      </c>
      <c r="T10616" t="s">
        <v>31657</v>
      </c>
    </row>
    <row r="10617" spans="1:20" x14ac:dyDescent="0.25">
      <c r="A10617" t="str">
        <f>"3053148"</f>
        <v>3053148</v>
      </c>
      <c r="B10617" t="s">
        <v>31664</v>
      </c>
      <c r="C10617" t="str">
        <f>"8307617"</f>
        <v>8307617</v>
      </c>
      <c r="D10617" t="s">
        <v>31665</v>
      </c>
      <c r="F10617" t="s">
        <v>31666</v>
      </c>
      <c r="I10617" t="s">
        <v>29</v>
      </c>
      <c r="J10617" t="s">
        <v>30</v>
      </c>
      <c r="K10617" t="str">
        <f>"27028"</f>
        <v>27028</v>
      </c>
      <c r="M10617" t="s">
        <v>17861</v>
      </c>
      <c r="N10617" t="str">
        <f>"3/31/2017 9:31:00 AM"</f>
        <v>3/31/2017 9:31:00 AM</v>
      </c>
      <c r="O10617" t="s">
        <v>31665</v>
      </c>
    </row>
    <row r="10618" spans="1:20" x14ac:dyDescent="0.25">
      <c r="A10618" t="str">
        <f>"3053015"</f>
        <v>3053015</v>
      </c>
      <c r="B10618" t="s">
        <v>31667</v>
      </c>
      <c r="C10618" t="str">
        <f>"8307617"</f>
        <v>8307617</v>
      </c>
      <c r="D10618" t="s">
        <v>31665</v>
      </c>
      <c r="F10618" t="s">
        <v>31666</v>
      </c>
      <c r="I10618" t="s">
        <v>29</v>
      </c>
      <c r="J10618" t="s">
        <v>30</v>
      </c>
      <c r="K10618" t="str">
        <f>"27028"</f>
        <v>27028</v>
      </c>
      <c r="M10618" t="s">
        <v>17861</v>
      </c>
      <c r="N10618" t="str">
        <f>"3/31/2017 9:31:00 AM"</f>
        <v>3/31/2017 9:31:00 AM</v>
      </c>
      <c r="O10618" t="s">
        <v>31665</v>
      </c>
    </row>
    <row r="10619" spans="1:20" x14ac:dyDescent="0.25">
      <c r="A10619" t="str">
        <f>"3060999"</f>
        <v>3060999</v>
      </c>
      <c r="B10619" t="s">
        <v>31668</v>
      </c>
      <c r="C10619" t="str">
        <f>"8307618"</f>
        <v>8307618</v>
      </c>
      <c r="D10619" t="s">
        <v>31669</v>
      </c>
      <c r="F10619" t="s">
        <v>28903</v>
      </c>
      <c r="I10619" t="s">
        <v>2071</v>
      </c>
      <c r="J10619" t="s">
        <v>30</v>
      </c>
      <c r="K10619" t="str">
        <f>"27006"</f>
        <v>27006</v>
      </c>
      <c r="M10619" t="s">
        <v>17861</v>
      </c>
      <c r="N10619" t="str">
        <f>"3/31/2017 9:41:00 AM"</f>
        <v>3/31/2017 9:41:00 AM</v>
      </c>
      <c r="O10619" t="s">
        <v>31669</v>
      </c>
    </row>
    <row r="10620" spans="1:20" x14ac:dyDescent="0.25">
      <c r="A10620" t="str">
        <f>"3060636"</f>
        <v>3060636</v>
      </c>
      <c r="B10620" t="s">
        <v>31670</v>
      </c>
      <c r="C10620" t="str">
        <f>"8307619"</f>
        <v>8307619</v>
      </c>
      <c r="D10620" t="s">
        <v>31671</v>
      </c>
      <c r="E10620" t="s">
        <v>31672</v>
      </c>
      <c r="F10620" t="s">
        <v>31673</v>
      </c>
      <c r="I10620" t="s">
        <v>2071</v>
      </c>
      <c r="J10620" t="s">
        <v>30</v>
      </c>
      <c r="K10620" t="str">
        <f>"27006"</f>
        <v>27006</v>
      </c>
      <c r="M10620" t="s">
        <v>17861</v>
      </c>
      <c r="N10620" t="str">
        <f>"3/31/2017 9:45:00 AM"</f>
        <v>3/31/2017 9:45:00 AM</v>
      </c>
      <c r="O10620" t="s">
        <v>31671</v>
      </c>
      <c r="T10620" t="s">
        <v>31672</v>
      </c>
    </row>
    <row r="10621" spans="1:20" x14ac:dyDescent="0.25">
      <c r="A10621" t="str">
        <f>"3072935"</f>
        <v>3072935</v>
      </c>
      <c r="B10621" t="s">
        <v>31674</v>
      </c>
      <c r="C10621" t="str">
        <f>"8302008"</f>
        <v>8302008</v>
      </c>
      <c r="D10621" t="s">
        <v>31675</v>
      </c>
      <c r="E10621" t="s">
        <v>31676</v>
      </c>
      <c r="F10621" t="s">
        <v>31677</v>
      </c>
      <c r="I10621" t="s">
        <v>29</v>
      </c>
      <c r="J10621" t="s">
        <v>30</v>
      </c>
      <c r="K10621" t="str">
        <f>"27028"</f>
        <v>27028</v>
      </c>
      <c r="M10621" t="s">
        <v>25494</v>
      </c>
      <c r="N10621" t="str">
        <f>"3/31/2017 12:41:00 PM"</f>
        <v>3/31/2017 12:41:00 PM</v>
      </c>
      <c r="O10621" t="s">
        <v>31675</v>
      </c>
      <c r="T10621" t="s">
        <v>31676</v>
      </c>
    </row>
    <row r="10622" spans="1:20" x14ac:dyDescent="0.25">
      <c r="A10622" t="str">
        <f>"3071919"</f>
        <v>3071919</v>
      </c>
      <c r="B10622" t="s">
        <v>31678</v>
      </c>
      <c r="C10622" t="str">
        <f>"8307622"</f>
        <v>8307622</v>
      </c>
      <c r="D10622" t="s">
        <v>31679</v>
      </c>
      <c r="F10622" t="s">
        <v>31680</v>
      </c>
      <c r="I10622" t="s">
        <v>29</v>
      </c>
      <c r="J10622" t="s">
        <v>30</v>
      </c>
      <c r="K10622" t="str">
        <f>"27028"</f>
        <v>27028</v>
      </c>
      <c r="M10622" t="s">
        <v>17861</v>
      </c>
      <c r="N10622" t="str">
        <f>"3/31/2017 2:41:00 PM"</f>
        <v>3/31/2017 2:41:00 PM</v>
      </c>
      <c r="O10622" t="s">
        <v>31679</v>
      </c>
    </row>
    <row r="10623" spans="1:20" x14ac:dyDescent="0.25">
      <c r="A10623" t="str">
        <f>"3044857"</f>
        <v>3044857</v>
      </c>
      <c r="B10623" t="s">
        <v>31681</v>
      </c>
      <c r="C10623" t="str">
        <f>"8307627"</f>
        <v>8307627</v>
      </c>
      <c r="D10623" t="s">
        <v>31682</v>
      </c>
      <c r="E10623" t="s">
        <v>31683</v>
      </c>
      <c r="F10623" t="s">
        <v>31684</v>
      </c>
      <c r="I10623" t="s">
        <v>184</v>
      </c>
      <c r="J10623" t="s">
        <v>30</v>
      </c>
      <c r="K10623" t="str">
        <f>"27006"</f>
        <v>27006</v>
      </c>
      <c r="M10623" t="s">
        <v>17861</v>
      </c>
      <c r="N10623" t="str">
        <f>"3/31/2017 4:12:00 PM"</f>
        <v>3/31/2017 4:12:00 PM</v>
      </c>
      <c r="O10623" t="s">
        <v>31682</v>
      </c>
      <c r="T10623" t="s">
        <v>31683</v>
      </c>
    </row>
    <row r="10624" spans="1:20" x14ac:dyDescent="0.25">
      <c r="A10624" t="str">
        <f>"3044938"</f>
        <v>3044938</v>
      </c>
      <c r="B10624" t="s">
        <v>31685</v>
      </c>
      <c r="C10624" t="str">
        <f>"82516012"</f>
        <v>82516012</v>
      </c>
      <c r="D10624" t="s">
        <v>31584</v>
      </c>
      <c r="F10624" t="s">
        <v>31585</v>
      </c>
      <c r="I10624" t="s">
        <v>29</v>
      </c>
      <c r="J10624" t="s">
        <v>30</v>
      </c>
      <c r="K10624" t="s">
        <v>31</v>
      </c>
      <c r="M10624" t="s">
        <v>25625</v>
      </c>
      <c r="N10624" t="str">
        <f>"4/3/2017 10:23:00 AM"</f>
        <v>4/3/2017 10:23:00 AM</v>
      </c>
      <c r="O10624" t="s">
        <v>31584</v>
      </c>
    </row>
    <row r="10625" spans="1:20" x14ac:dyDescent="0.25">
      <c r="A10625" t="str">
        <f>"3050985"</f>
        <v>3050985</v>
      </c>
      <c r="B10625" t="s">
        <v>31686</v>
      </c>
      <c r="C10625" t="str">
        <f>"82528198"</f>
        <v>82528198</v>
      </c>
      <c r="D10625" t="s">
        <v>31687</v>
      </c>
      <c r="F10625" t="s">
        <v>31688</v>
      </c>
      <c r="I10625" t="s">
        <v>184</v>
      </c>
      <c r="J10625" t="s">
        <v>30</v>
      </c>
      <c r="K10625" t="s">
        <v>185</v>
      </c>
      <c r="M10625" t="s">
        <v>25494</v>
      </c>
      <c r="N10625" t="str">
        <f>"4/4/2017 9:43:00 AM"</f>
        <v>4/4/2017 9:43:00 AM</v>
      </c>
      <c r="O10625" t="s">
        <v>31687</v>
      </c>
    </row>
    <row r="10626" spans="1:20" x14ac:dyDescent="0.25">
      <c r="A10626" t="str">
        <f>"3044426"</f>
        <v>3044426</v>
      </c>
      <c r="B10626" t="s">
        <v>31689</v>
      </c>
      <c r="C10626" t="str">
        <f>"8307644"</f>
        <v>8307644</v>
      </c>
      <c r="D10626" t="s">
        <v>31690</v>
      </c>
      <c r="E10626" t="s">
        <v>31691</v>
      </c>
      <c r="F10626" t="s">
        <v>31692</v>
      </c>
      <c r="I10626" t="s">
        <v>184</v>
      </c>
      <c r="J10626" t="s">
        <v>30</v>
      </c>
      <c r="K10626" t="str">
        <f>"27006"</f>
        <v>27006</v>
      </c>
      <c r="M10626" t="s">
        <v>17861</v>
      </c>
      <c r="N10626" t="str">
        <f>"4/5/2017 3:16:00 PM"</f>
        <v>4/5/2017 3:16:00 PM</v>
      </c>
      <c r="O10626" t="s">
        <v>31690</v>
      </c>
      <c r="T10626" t="s">
        <v>31691</v>
      </c>
    </row>
    <row r="10627" spans="1:20" x14ac:dyDescent="0.25">
      <c r="A10627" t="str">
        <f>"3060241"</f>
        <v>3060241</v>
      </c>
      <c r="B10627" t="s">
        <v>31693</v>
      </c>
      <c r="C10627" t="str">
        <f>"8307650"</f>
        <v>8307650</v>
      </c>
      <c r="D10627" t="s">
        <v>31694</v>
      </c>
      <c r="E10627" t="s">
        <v>31695</v>
      </c>
      <c r="F10627" t="s">
        <v>31696</v>
      </c>
      <c r="I10627" t="s">
        <v>184</v>
      </c>
      <c r="J10627" t="s">
        <v>30</v>
      </c>
      <c r="K10627" t="str">
        <f>"27006"</f>
        <v>27006</v>
      </c>
      <c r="M10627" t="s">
        <v>17861</v>
      </c>
      <c r="N10627" t="str">
        <f>"4/5/2017 4:14:00 PM"</f>
        <v>4/5/2017 4:14:00 PM</v>
      </c>
      <c r="O10627" t="s">
        <v>31694</v>
      </c>
      <c r="T10627" t="s">
        <v>31695</v>
      </c>
    </row>
    <row r="10628" spans="1:20" x14ac:dyDescent="0.25">
      <c r="A10628" t="str">
        <f>"3039743"</f>
        <v>3039743</v>
      </c>
      <c r="B10628" t="s">
        <v>31697</v>
      </c>
      <c r="C10628" t="str">
        <f>"8307651"</f>
        <v>8307651</v>
      </c>
      <c r="D10628" t="s">
        <v>31698</v>
      </c>
      <c r="F10628" t="s">
        <v>31699</v>
      </c>
      <c r="I10628" t="s">
        <v>29</v>
      </c>
      <c r="J10628" t="s">
        <v>30</v>
      </c>
      <c r="K10628" t="str">
        <f>"27028"</f>
        <v>27028</v>
      </c>
      <c r="M10628" t="s">
        <v>17861</v>
      </c>
      <c r="N10628" t="str">
        <f>"4/5/2017 4:19:00 PM"</f>
        <v>4/5/2017 4:19:00 PM</v>
      </c>
      <c r="O10628" t="s">
        <v>31698</v>
      </c>
    </row>
    <row r="10629" spans="1:20" x14ac:dyDescent="0.25">
      <c r="A10629" t="str">
        <f>"3043815"</f>
        <v>3043815</v>
      </c>
      <c r="B10629" t="s">
        <v>31700</v>
      </c>
      <c r="C10629" t="str">
        <f>"8307652"</f>
        <v>8307652</v>
      </c>
      <c r="D10629" t="s">
        <v>31651</v>
      </c>
      <c r="E10629" t="s">
        <v>31652</v>
      </c>
      <c r="F10629" t="s">
        <v>8304</v>
      </c>
      <c r="I10629" t="s">
        <v>29</v>
      </c>
      <c r="J10629" t="s">
        <v>30</v>
      </c>
      <c r="K10629" t="str">
        <f>"27028"</f>
        <v>27028</v>
      </c>
      <c r="M10629" t="s">
        <v>17861</v>
      </c>
      <c r="N10629" t="str">
        <f>"4/5/2017 4:21:00 PM"</f>
        <v>4/5/2017 4:21:00 PM</v>
      </c>
      <c r="O10629" t="s">
        <v>31651</v>
      </c>
      <c r="T10629" t="s">
        <v>31652</v>
      </c>
    </row>
    <row r="10630" spans="1:20" x14ac:dyDescent="0.25">
      <c r="A10630" t="str">
        <f>"3043435"</f>
        <v>3043435</v>
      </c>
      <c r="B10630" t="s">
        <v>31701</v>
      </c>
      <c r="C10630" t="str">
        <f>"8307652"</f>
        <v>8307652</v>
      </c>
      <c r="D10630" t="s">
        <v>31651</v>
      </c>
      <c r="E10630" t="s">
        <v>31652</v>
      </c>
      <c r="F10630" t="s">
        <v>8304</v>
      </c>
      <c r="I10630" t="s">
        <v>29</v>
      </c>
      <c r="J10630" t="s">
        <v>30</v>
      </c>
      <c r="K10630" t="str">
        <f>"27028"</f>
        <v>27028</v>
      </c>
      <c r="M10630" t="s">
        <v>17861</v>
      </c>
      <c r="N10630" t="str">
        <f>"4/5/2017 4:21:00 PM"</f>
        <v>4/5/2017 4:21:00 PM</v>
      </c>
      <c r="O10630" t="s">
        <v>31651</v>
      </c>
      <c r="T10630" t="s">
        <v>31652</v>
      </c>
    </row>
    <row r="10631" spans="1:20" x14ac:dyDescent="0.25">
      <c r="A10631" t="str">
        <f>"3054382"</f>
        <v>3054382</v>
      </c>
      <c r="B10631" t="s">
        <v>31702</v>
      </c>
      <c r="C10631" t="str">
        <f>"38596000"</f>
        <v>38596000</v>
      </c>
      <c r="D10631" t="s">
        <v>31703</v>
      </c>
      <c r="E10631" t="s">
        <v>29288</v>
      </c>
      <c r="F10631" t="s">
        <v>31704</v>
      </c>
      <c r="I10631" t="s">
        <v>29</v>
      </c>
      <c r="J10631" t="s">
        <v>30</v>
      </c>
      <c r="K10631" t="s">
        <v>31</v>
      </c>
      <c r="M10631" t="s">
        <v>18470</v>
      </c>
      <c r="N10631" t="str">
        <f>"3/30/2017 11:21:00 AM"</f>
        <v>3/30/2017 11:21:00 AM</v>
      </c>
      <c r="O10631" t="s">
        <v>31703</v>
      </c>
      <c r="T10631" t="s">
        <v>29288</v>
      </c>
    </row>
    <row r="10632" spans="1:20" x14ac:dyDescent="0.25">
      <c r="A10632" t="str">
        <f>"3038694"</f>
        <v>3038694</v>
      </c>
      <c r="B10632" t="s">
        <v>31705</v>
      </c>
      <c r="C10632" t="str">
        <f>"39895000"</f>
        <v>39895000</v>
      </c>
      <c r="D10632" t="s">
        <v>31706</v>
      </c>
      <c r="E10632" t="s">
        <v>31707</v>
      </c>
      <c r="F10632" t="s">
        <v>31708</v>
      </c>
      <c r="I10632" t="s">
        <v>29</v>
      </c>
      <c r="J10632" t="s">
        <v>30</v>
      </c>
      <c r="K10632" t="s">
        <v>2896</v>
      </c>
      <c r="M10632" t="s">
        <v>18470</v>
      </c>
      <c r="N10632" t="str">
        <f>"3/30/2017 11:24:00 AM"</f>
        <v>3/30/2017 11:24:00 AM</v>
      </c>
      <c r="O10632" t="s">
        <v>31706</v>
      </c>
      <c r="T10632" t="s">
        <v>31707</v>
      </c>
    </row>
    <row r="10633" spans="1:20" x14ac:dyDescent="0.25">
      <c r="A10633" t="str">
        <f>"3038843"</f>
        <v>3038843</v>
      </c>
      <c r="B10633" t="s">
        <v>31709</v>
      </c>
      <c r="C10633" t="str">
        <f>"82518088"</f>
        <v>82518088</v>
      </c>
      <c r="D10633" t="s">
        <v>31710</v>
      </c>
      <c r="F10633" t="s">
        <v>31711</v>
      </c>
      <c r="I10633" t="s">
        <v>29</v>
      </c>
      <c r="J10633" t="s">
        <v>30</v>
      </c>
      <c r="K10633" t="s">
        <v>31</v>
      </c>
      <c r="M10633" t="s">
        <v>18470</v>
      </c>
      <c r="N10633" t="str">
        <f>"3/30/2017 11:36:00 AM"</f>
        <v>3/30/2017 11:36:00 AM</v>
      </c>
      <c r="O10633" t="s">
        <v>31710</v>
      </c>
    </row>
    <row r="10634" spans="1:20" x14ac:dyDescent="0.25">
      <c r="A10634" t="str">
        <f>"3054343"</f>
        <v>3054343</v>
      </c>
      <c r="B10634" t="s">
        <v>31712</v>
      </c>
      <c r="C10634" t="str">
        <f>"53292000"</f>
        <v>53292000</v>
      </c>
      <c r="D10634" t="s">
        <v>31713</v>
      </c>
      <c r="F10634" t="s">
        <v>31714</v>
      </c>
      <c r="I10634" t="s">
        <v>9580</v>
      </c>
      <c r="J10634" t="s">
        <v>30</v>
      </c>
      <c r="K10634" t="s">
        <v>9581</v>
      </c>
      <c r="M10634" t="s">
        <v>18470</v>
      </c>
      <c r="N10634" t="str">
        <f>"3/30/2017 11:37:00 AM"</f>
        <v>3/30/2017 11:37:00 AM</v>
      </c>
      <c r="O10634" t="s">
        <v>31713</v>
      </c>
    </row>
    <row r="10635" spans="1:20" x14ac:dyDescent="0.25">
      <c r="A10635" t="str">
        <f>"3061541"</f>
        <v>3061541</v>
      </c>
      <c r="B10635" t="s">
        <v>31715</v>
      </c>
      <c r="C10635" t="str">
        <f>"55392000"</f>
        <v>55392000</v>
      </c>
      <c r="D10635" t="s">
        <v>31716</v>
      </c>
      <c r="F10635" t="s">
        <v>31717</v>
      </c>
      <c r="I10635" t="s">
        <v>184</v>
      </c>
      <c r="J10635" t="s">
        <v>30</v>
      </c>
      <c r="K10635" t="s">
        <v>185</v>
      </c>
      <c r="M10635" t="s">
        <v>18470</v>
      </c>
      <c r="N10635" t="str">
        <f>"3/30/2017 11:46:00 AM"</f>
        <v>3/30/2017 11:46:00 AM</v>
      </c>
      <c r="O10635" t="s">
        <v>31716</v>
      </c>
    </row>
    <row r="10636" spans="1:20" x14ac:dyDescent="0.25">
      <c r="A10636" t="str">
        <f>"3040137"</f>
        <v>3040137</v>
      </c>
      <c r="B10636" t="s">
        <v>31718</v>
      </c>
      <c r="C10636" t="str">
        <f>"8307273"</f>
        <v>8307273</v>
      </c>
      <c r="D10636" t="s">
        <v>31719</v>
      </c>
      <c r="F10636" t="s">
        <v>31720</v>
      </c>
      <c r="I10636" t="s">
        <v>29</v>
      </c>
      <c r="J10636" t="s">
        <v>30</v>
      </c>
      <c r="K10636" t="str">
        <f>"27028"</f>
        <v>27028</v>
      </c>
      <c r="M10636" t="s">
        <v>18470</v>
      </c>
      <c r="N10636" t="str">
        <f>"3/30/2017 11:52:00 AM"</f>
        <v>3/30/2017 11:52:00 AM</v>
      </c>
      <c r="O10636" t="s">
        <v>31719</v>
      </c>
    </row>
    <row r="10637" spans="1:20" x14ac:dyDescent="0.25">
      <c r="A10637" t="str">
        <f>"3059422"</f>
        <v>3059422</v>
      </c>
      <c r="B10637" t="s">
        <v>31721</v>
      </c>
      <c r="C10637" t="str">
        <f>"8307659"</f>
        <v>8307659</v>
      </c>
      <c r="D10637" t="s">
        <v>31722</v>
      </c>
      <c r="E10637" t="s">
        <v>31723</v>
      </c>
      <c r="F10637" t="s">
        <v>31724</v>
      </c>
      <c r="I10637" t="s">
        <v>29</v>
      </c>
      <c r="J10637" t="s">
        <v>30</v>
      </c>
      <c r="K10637" t="str">
        <f>"27028"</f>
        <v>27028</v>
      </c>
      <c r="M10637" t="s">
        <v>17861</v>
      </c>
      <c r="N10637" t="str">
        <f>"4/6/2017 1:23:00 PM"</f>
        <v>4/6/2017 1:23:00 PM</v>
      </c>
      <c r="O10637" t="s">
        <v>31722</v>
      </c>
      <c r="T10637" t="s">
        <v>31723</v>
      </c>
    </row>
    <row r="10638" spans="1:20" x14ac:dyDescent="0.25">
      <c r="A10638" t="str">
        <f>"3059303"</f>
        <v>3059303</v>
      </c>
      <c r="B10638" t="s">
        <v>31725</v>
      </c>
      <c r="C10638" t="str">
        <f>"8307659"</f>
        <v>8307659</v>
      </c>
      <c r="D10638" t="s">
        <v>31722</v>
      </c>
      <c r="E10638" t="s">
        <v>31723</v>
      </c>
      <c r="F10638" t="s">
        <v>31724</v>
      </c>
      <c r="I10638" t="s">
        <v>29</v>
      </c>
      <c r="J10638" t="s">
        <v>30</v>
      </c>
      <c r="K10638" t="str">
        <f>"27028"</f>
        <v>27028</v>
      </c>
      <c r="M10638" t="s">
        <v>17861</v>
      </c>
      <c r="N10638" t="str">
        <f>"4/6/2017 1:23:00 PM"</f>
        <v>4/6/2017 1:23:00 PM</v>
      </c>
      <c r="O10638" t="s">
        <v>31722</v>
      </c>
      <c r="T10638" t="s">
        <v>31723</v>
      </c>
    </row>
    <row r="10639" spans="1:20" x14ac:dyDescent="0.25">
      <c r="A10639" t="str">
        <f>"3045059"</f>
        <v>3045059</v>
      </c>
      <c r="B10639" t="s">
        <v>31726</v>
      </c>
      <c r="C10639" t="str">
        <f>"82527519"</f>
        <v>82527519</v>
      </c>
      <c r="D10639" t="s">
        <v>9701</v>
      </c>
      <c r="F10639" t="s">
        <v>9702</v>
      </c>
      <c r="I10639" t="s">
        <v>29</v>
      </c>
      <c r="J10639" t="s">
        <v>30</v>
      </c>
      <c r="K10639" t="s">
        <v>31</v>
      </c>
      <c r="M10639" t="s">
        <v>17861</v>
      </c>
      <c r="N10639" t="str">
        <f>"4/7/2017 10:48:00 AM"</f>
        <v>4/7/2017 10:48:00 AM</v>
      </c>
      <c r="O10639" t="s">
        <v>9701</v>
      </c>
    </row>
    <row r="10640" spans="1:20" x14ac:dyDescent="0.25">
      <c r="A10640" t="str">
        <f>"3049974"</f>
        <v>3049974</v>
      </c>
      <c r="B10640" t="s">
        <v>31727</v>
      </c>
      <c r="C10640" t="str">
        <f>"8307699"</f>
        <v>8307699</v>
      </c>
      <c r="D10640" t="s">
        <v>31728</v>
      </c>
      <c r="E10640" t="s">
        <v>31729</v>
      </c>
      <c r="F10640" t="s">
        <v>31730</v>
      </c>
      <c r="I10640" t="s">
        <v>29</v>
      </c>
      <c r="J10640" t="s">
        <v>30</v>
      </c>
      <c r="K10640" t="str">
        <f>"27028"</f>
        <v>27028</v>
      </c>
      <c r="M10640" t="s">
        <v>17861</v>
      </c>
      <c r="N10640" t="str">
        <f>"5/3/2017 3:40:00 PM"</f>
        <v>5/3/2017 3:40:00 PM</v>
      </c>
      <c r="O10640" t="s">
        <v>31728</v>
      </c>
      <c r="T10640" t="s">
        <v>31729</v>
      </c>
    </row>
    <row r="10641" spans="1:20" x14ac:dyDescent="0.25">
      <c r="A10641" t="str">
        <f>"3049092"</f>
        <v>3049092</v>
      </c>
      <c r="B10641" t="s">
        <v>31731</v>
      </c>
      <c r="C10641" t="str">
        <f>"8307701"</f>
        <v>8307701</v>
      </c>
      <c r="D10641" t="s">
        <v>31732</v>
      </c>
      <c r="F10641" t="s">
        <v>31733</v>
      </c>
      <c r="I10641" t="s">
        <v>20610</v>
      </c>
      <c r="J10641" t="s">
        <v>30</v>
      </c>
      <c r="K10641" t="str">
        <f>"28601"</f>
        <v>28601</v>
      </c>
      <c r="M10641" t="s">
        <v>17861</v>
      </c>
      <c r="N10641" t="str">
        <f>"5/3/2017 3:49:00 PM"</f>
        <v>5/3/2017 3:49:00 PM</v>
      </c>
      <c r="O10641" t="s">
        <v>31732</v>
      </c>
    </row>
    <row r="10642" spans="1:20" x14ac:dyDescent="0.25">
      <c r="A10642" t="str">
        <f>"3039516"</f>
        <v>3039516</v>
      </c>
      <c r="B10642" t="s">
        <v>31734</v>
      </c>
      <c r="C10642" t="str">
        <f>"8307703"</f>
        <v>8307703</v>
      </c>
      <c r="D10642" t="s">
        <v>31735</v>
      </c>
      <c r="E10642" t="s">
        <v>31736</v>
      </c>
      <c r="F10642" t="s">
        <v>31737</v>
      </c>
      <c r="I10642" t="s">
        <v>184</v>
      </c>
      <c r="J10642" t="s">
        <v>30</v>
      </c>
      <c r="K10642" t="str">
        <f>"27006"</f>
        <v>27006</v>
      </c>
      <c r="M10642" t="s">
        <v>17861</v>
      </c>
      <c r="N10642" t="str">
        <f>"5/3/2017 4:25:00 PM"</f>
        <v>5/3/2017 4:25:00 PM</v>
      </c>
      <c r="O10642" t="s">
        <v>31735</v>
      </c>
      <c r="T10642" t="s">
        <v>31736</v>
      </c>
    </row>
    <row r="10643" spans="1:20" x14ac:dyDescent="0.25">
      <c r="A10643" t="str">
        <f>"3053712"</f>
        <v>3053712</v>
      </c>
      <c r="B10643" t="s">
        <v>31738</v>
      </c>
      <c r="C10643" t="str">
        <f>"8307705"</f>
        <v>8307705</v>
      </c>
      <c r="D10643" t="s">
        <v>31739</v>
      </c>
      <c r="E10643" t="s">
        <v>31740</v>
      </c>
      <c r="F10643" t="s">
        <v>31741</v>
      </c>
      <c r="I10643" t="s">
        <v>29</v>
      </c>
      <c r="J10643" t="s">
        <v>30</v>
      </c>
      <c r="K10643" t="str">
        <f>"27028"</f>
        <v>27028</v>
      </c>
      <c r="M10643" t="s">
        <v>17861</v>
      </c>
      <c r="N10643" t="str">
        <f>"5/4/2017 9:02:00 AM"</f>
        <v>5/4/2017 9:02:00 AM</v>
      </c>
      <c r="O10643" t="s">
        <v>31739</v>
      </c>
      <c r="T10643" t="s">
        <v>31740</v>
      </c>
    </row>
    <row r="10644" spans="1:20" x14ac:dyDescent="0.25">
      <c r="A10644" t="str">
        <f>"3071062"</f>
        <v>3071062</v>
      </c>
      <c r="B10644" t="s">
        <v>31742</v>
      </c>
      <c r="C10644" t="str">
        <f>"8307707"</f>
        <v>8307707</v>
      </c>
      <c r="D10644" t="s">
        <v>31743</v>
      </c>
      <c r="E10644" t="s">
        <v>31744</v>
      </c>
      <c r="F10644" t="s">
        <v>31745</v>
      </c>
      <c r="I10644" t="s">
        <v>184</v>
      </c>
      <c r="J10644" t="s">
        <v>30</v>
      </c>
      <c r="K10644" t="str">
        <f>"27006"</f>
        <v>27006</v>
      </c>
      <c r="M10644" t="s">
        <v>17861</v>
      </c>
      <c r="N10644" t="str">
        <f>"5/4/2017 9:17:00 AM"</f>
        <v>5/4/2017 9:17:00 AM</v>
      </c>
      <c r="O10644" t="s">
        <v>31743</v>
      </c>
      <c r="T10644" t="s">
        <v>31744</v>
      </c>
    </row>
    <row r="10645" spans="1:20" x14ac:dyDescent="0.25">
      <c r="A10645" t="str">
        <f>"3045537"</f>
        <v>3045537</v>
      </c>
      <c r="B10645" t="s">
        <v>31746</v>
      </c>
      <c r="C10645" t="str">
        <f>"82527519"</f>
        <v>82527519</v>
      </c>
      <c r="D10645" t="s">
        <v>9701</v>
      </c>
      <c r="F10645" t="s">
        <v>9702</v>
      </c>
      <c r="I10645" t="s">
        <v>29</v>
      </c>
      <c r="J10645" t="s">
        <v>30</v>
      </c>
      <c r="K10645" t="s">
        <v>31</v>
      </c>
      <c r="M10645" t="s">
        <v>17861</v>
      </c>
      <c r="N10645" t="str">
        <f>"4/7/2017 10:48:00 AM"</f>
        <v>4/7/2017 10:48:00 AM</v>
      </c>
      <c r="O10645" t="s">
        <v>9701</v>
      </c>
    </row>
    <row r="10646" spans="1:20" x14ac:dyDescent="0.25">
      <c r="A10646" t="str">
        <f>"3040367"</f>
        <v>3040367</v>
      </c>
      <c r="B10646" t="s">
        <v>31747</v>
      </c>
      <c r="C10646" t="str">
        <f>"8307665"</f>
        <v>8307665</v>
      </c>
      <c r="D10646" t="s">
        <v>31748</v>
      </c>
      <c r="F10646" t="s">
        <v>31749</v>
      </c>
      <c r="I10646" t="s">
        <v>184</v>
      </c>
      <c r="J10646" t="s">
        <v>30</v>
      </c>
      <c r="K10646" t="str">
        <f>"27006"</f>
        <v>27006</v>
      </c>
      <c r="M10646" t="s">
        <v>18479</v>
      </c>
      <c r="N10646" t="str">
        <f>"4/10/2017 11:20:00 AM"</f>
        <v>4/10/2017 11:20:00 AM</v>
      </c>
      <c r="O10646" t="s">
        <v>31748</v>
      </c>
    </row>
    <row r="10647" spans="1:20" x14ac:dyDescent="0.25">
      <c r="A10647" t="str">
        <f>"3050122"</f>
        <v>3050122</v>
      </c>
      <c r="B10647" t="s">
        <v>31750</v>
      </c>
      <c r="C10647" t="str">
        <f>"8307666"</f>
        <v>8307666</v>
      </c>
      <c r="D10647" t="s">
        <v>31751</v>
      </c>
      <c r="F10647" t="s">
        <v>31752</v>
      </c>
      <c r="I10647" t="s">
        <v>29</v>
      </c>
      <c r="J10647" t="s">
        <v>30</v>
      </c>
      <c r="K10647" t="str">
        <f>"27028"</f>
        <v>27028</v>
      </c>
      <c r="M10647" t="s">
        <v>17861</v>
      </c>
      <c r="N10647" t="str">
        <f>"4/11/2017 9:42:00 AM"</f>
        <v>4/11/2017 9:42:00 AM</v>
      </c>
      <c r="O10647" t="s">
        <v>31751</v>
      </c>
    </row>
    <row r="10648" spans="1:20" x14ac:dyDescent="0.25">
      <c r="A10648" t="str">
        <f>"3077015"</f>
        <v>3077015</v>
      </c>
      <c r="B10648" t="s">
        <v>31753</v>
      </c>
      <c r="C10648" t="str">
        <f>"57606250"</f>
        <v>57606250</v>
      </c>
      <c r="D10648" t="s">
        <v>31754</v>
      </c>
      <c r="E10648" t="s">
        <v>31755</v>
      </c>
      <c r="F10648" t="s">
        <v>31756</v>
      </c>
      <c r="I10648" t="s">
        <v>471</v>
      </c>
      <c r="J10648" t="s">
        <v>30</v>
      </c>
      <c r="K10648" t="s">
        <v>1210</v>
      </c>
      <c r="M10648" t="s">
        <v>25625</v>
      </c>
      <c r="N10648" t="str">
        <f>"4/11/2017 12:02:00 PM"</f>
        <v>4/11/2017 12:02:00 PM</v>
      </c>
      <c r="O10648" t="s">
        <v>31754</v>
      </c>
      <c r="T10648" t="s">
        <v>31755</v>
      </c>
    </row>
    <row r="10649" spans="1:20" x14ac:dyDescent="0.25">
      <c r="A10649" t="str">
        <f>"3071813"</f>
        <v>3071813</v>
      </c>
      <c r="B10649" t="s">
        <v>31757</v>
      </c>
      <c r="C10649" t="str">
        <f>"8307653"</f>
        <v>8307653</v>
      </c>
      <c r="D10649" t="s">
        <v>31758</v>
      </c>
      <c r="F10649" t="s">
        <v>31759</v>
      </c>
      <c r="I10649" t="s">
        <v>29</v>
      </c>
      <c r="J10649" t="s">
        <v>30</v>
      </c>
      <c r="K10649" t="str">
        <f>"27028"</f>
        <v>27028</v>
      </c>
      <c r="M10649" t="s">
        <v>17861</v>
      </c>
      <c r="N10649" t="str">
        <f>"4/6/2017 9:08:00 AM"</f>
        <v>4/6/2017 9:08:00 AM</v>
      </c>
      <c r="O10649" t="s">
        <v>31758</v>
      </c>
    </row>
    <row r="10650" spans="1:20" x14ac:dyDescent="0.25">
      <c r="A10650" t="str">
        <f>"3049963"</f>
        <v>3049963</v>
      </c>
      <c r="B10650" t="s">
        <v>31760</v>
      </c>
      <c r="C10650" t="str">
        <f>"8307695"</f>
        <v>8307695</v>
      </c>
      <c r="D10650" t="s">
        <v>31761</v>
      </c>
      <c r="F10650" t="s">
        <v>31762</v>
      </c>
      <c r="I10650" t="s">
        <v>9580</v>
      </c>
      <c r="J10650" t="s">
        <v>30</v>
      </c>
      <c r="K10650" t="str">
        <f>"27014"</f>
        <v>27014</v>
      </c>
      <c r="M10650" t="s">
        <v>17861</v>
      </c>
      <c r="N10650" t="str">
        <f>"5/2/2017 3:55:00 PM"</f>
        <v>5/2/2017 3:55:00 PM</v>
      </c>
      <c r="O10650" t="s">
        <v>31761</v>
      </c>
    </row>
    <row r="10651" spans="1:20" x14ac:dyDescent="0.25">
      <c r="A10651" t="str">
        <f>"3065726"</f>
        <v>3065726</v>
      </c>
      <c r="B10651" t="s">
        <v>31763</v>
      </c>
      <c r="C10651" t="str">
        <f>"8307692"</f>
        <v>8307692</v>
      </c>
      <c r="D10651" t="s">
        <v>31764</v>
      </c>
      <c r="F10651" t="s">
        <v>31765</v>
      </c>
      <c r="I10651" t="s">
        <v>1149</v>
      </c>
      <c r="J10651" t="s">
        <v>30</v>
      </c>
      <c r="K10651" t="str">
        <f>"28634"</f>
        <v>28634</v>
      </c>
      <c r="M10651" t="s">
        <v>17861</v>
      </c>
      <c r="N10651" t="str">
        <f>"5/2/2017 11:17:00 AM"</f>
        <v>5/2/2017 11:17:00 AM</v>
      </c>
      <c r="O10651" t="s">
        <v>31764</v>
      </c>
    </row>
    <row r="10652" spans="1:20" x14ac:dyDescent="0.25">
      <c r="A10652" t="str">
        <f>"3060868"</f>
        <v>3060868</v>
      </c>
      <c r="B10652" t="s">
        <v>31766</v>
      </c>
      <c r="C10652" t="str">
        <f>"8307729"</f>
        <v>8307729</v>
      </c>
      <c r="D10652" t="s">
        <v>31767</v>
      </c>
      <c r="E10652" t="s">
        <v>31768</v>
      </c>
      <c r="F10652" t="s">
        <v>31769</v>
      </c>
      <c r="I10652" t="s">
        <v>2071</v>
      </c>
      <c r="J10652" t="s">
        <v>30</v>
      </c>
      <c r="K10652" t="str">
        <f>"27006"</f>
        <v>27006</v>
      </c>
      <c r="M10652" t="s">
        <v>17861</v>
      </c>
      <c r="N10652" t="str">
        <f>"5/8/2017 3:47:00 PM"</f>
        <v>5/8/2017 3:47:00 PM</v>
      </c>
      <c r="O10652" t="s">
        <v>31767</v>
      </c>
      <c r="T10652" t="s">
        <v>31768</v>
      </c>
    </row>
    <row r="10653" spans="1:20" x14ac:dyDescent="0.25">
      <c r="A10653" t="str">
        <f>"3055627"</f>
        <v>3055627</v>
      </c>
      <c r="B10653" t="s">
        <v>31770</v>
      </c>
      <c r="C10653" t="str">
        <f>"8305403"</f>
        <v>8305403</v>
      </c>
      <c r="D10653" t="s">
        <v>31771</v>
      </c>
      <c r="F10653" t="s">
        <v>31772</v>
      </c>
      <c r="I10653" t="s">
        <v>29</v>
      </c>
      <c r="J10653" t="s">
        <v>30</v>
      </c>
      <c r="K10653" t="str">
        <f>"27028"</f>
        <v>27028</v>
      </c>
      <c r="M10653" t="s">
        <v>26316</v>
      </c>
      <c r="N10653" t="str">
        <f>"5/8/2017 4:24:00 PM"</f>
        <v>5/8/2017 4:24:00 PM</v>
      </c>
      <c r="O10653" t="s">
        <v>31771</v>
      </c>
    </row>
    <row r="10654" spans="1:20" x14ac:dyDescent="0.25">
      <c r="A10654" t="str">
        <f>"3059437"</f>
        <v>3059437</v>
      </c>
      <c r="B10654" t="s">
        <v>31773</v>
      </c>
      <c r="C10654" t="str">
        <f>"82515302"</f>
        <v>82515302</v>
      </c>
      <c r="D10654" t="s">
        <v>31774</v>
      </c>
      <c r="F10654" t="s">
        <v>31775</v>
      </c>
      <c r="I10654" t="s">
        <v>29</v>
      </c>
      <c r="J10654" t="s">
        <v>30</v>
      </c>
      <c r="K10654" t="s">
        <v>31</v>
      </c>
      <c r="M10654" t="s">
        <v>26316</v>
      </c>
      <c r="N10654" t="str">
        <f>"5/2/2017 3:02:00 PM"</f>
        <v>5/2/2017 3:02:00 PM</v>
      </c>
      <c r="O10654" t="s">
        <v>31774</v>
      </c>
    </row>
    <row r="10655" spans="1:20" x14ac:dyDescent="0.25">
      <c r="A10655" t="str">
        <f>"3055913"</f>
        <v>3055913</v>
      </c>
      <c r="B10655" t="s">
        <v>31776</v>
      </c>
      <c r="C10655" t="str">
        <f>"8307695"</f>
        <v>8307695</v>
      </c>
      <c r="D10655" t="s">
        <v>31761</v>
      </c>
      <c r="F10655" t="s">
        <v>31762</v>
      </c>
      <c r="I10655" t="s">
        <v>9580</v>
      </c>
      <c r="J10655" t="s">
        <v>30</v>
      </c>
      <c r="K10655" t="str">
        <f>"27014"</f>
        <v>27014</v>
      </c>
      <c r="M10655" t="s">
        <v>17861</v>
      </c>
      <c r="N10655" t="str">
        <f>"5/2/2017 3:55:00 PM"</f>
        <v>5/2/2017 3:55:00 PM</v>
      </c>
      <c r="O10655" t="s">
        <v>31761</v>
      </c>
    </row>
    <row r="10656" spans="1:20" x14ac:dyDescent="0.25">
      <c r="A10656" t="str">
        <f>"3041453"</f>
        <v>3041453</v>
      </c>
      <c r="B10656" t="s">
        <v>31777</v>
      </c>
      <c r="C10656" t="str">
        <f>"8307698"</f>
        <v>8307698</v>
      </c>
      <c r="D10656" t="s">
        <v>31778</v>
      </c>
      <c r="E10656" t="s">
        <v>31779</v>
      </c>
      <c r="F10656" t="s">
        <v>31780</v>
      </c>
      <c r="I10656" t="s">
        <v>184</v>
      </c>
      <c r="J10656" t="s">
        <v>30</v>
      </c>
      <c r="K10656" t="str">
        <f>"27006"</f>
        <v>27006</v>
      </c>
      <c r="M10656" t="s">
        <v>17861</v>
      </c>
      <c r="N10656" t="str">
        <f>"5/3/2017 3:33:00 PM"</f>
        <v>5/3/2017 3:33:00 PM</v>
      </c>
      <c r="O10656" t="s">
        <v>31778</v>
      </c>
      <c r="T10656" t="s">
        <v>31779</v>
      </c>
    </row>
    <row r="10657" spans="1:20" x14ac:dyDescent="0.25">
      <c r="A10657" t="str">
        <f>"3039878"</f>
        <v>3039878</v>
      </c>
      <c r="B10657" t="s">
        <v>31781</v>
      </c>
      <c r="C10657" t="str">
        <f>"8307709"</f>
        <v>8307709</v>
      </c>
      <c r="D10657" t="s">
        <v>31782</v>
      </c>
      <c r="F10657" t="s">
        <v>31783</v>
      </c>
      <c r="I10657" t="s">
        <v>29</v>
      </c>
      <c r="J10657" t="s">
        <v>30</v>
      </c>
      <c r="K10657" t="str">
        <f>"27028"</f>
        <v>27028</v>
      </c>
      <c r="M10657" t="s">
        <v>17861</v>
      </c>
      <c r="N10657" t="str">
        <f>"5/4/2017 9:55:00 AM"</f>
        <v>5/4/2017 9:55:00 AM</v>
      </c>
      <c r="O10657" t="s">
        <v>31782</v>
      </c>
    </row>
    <row r="10658" spans="1:20" x14ac:dyDescent="0.25">
      <c r="A10658" t="str">
        <f>"3043101"</f>
        <v>3043101</v>
      </c>
      <c r="B10658" t="s">
        <v>31784</v>
      </c>
      <c r="C10658" t="str">
        <f>"8307712"</f>
        <v>8307712</v>
      </c>
      <c r="D10658" t="s">
        <v>31785</v>
      </c>
      <c r="E10658" t="s">
        <v>7001</v>
      </c>
      <c r="F10658" t="s">
        <v>7002</v>
      </c>
      <c r="I10658" t="s">
        <v>6707</v>
      </c>
      <c r="J10658" t="s">
        <v>30</v>
      </c>
      <c r="K10658" t="str">
        <f>"27502"</f>
        <v>27502</v>
      </c>
      <c r="M10658" t="s">
        <v>17861</v>
      </c>
      <c r="N10658" t="str">
        <f>"5/4/2017 10:43:00 AM"</f>
        <v>5/4/2017 10:43:00 AM</v>
      </c>
      <c r="O10658" t="s">
        <v>31785</v>
      </c>
      <c r="T10658" t="s">
        <v>7001</v>
      </c>
    </row>
    <row r="10659" spans="1:20" x14ac:dyDescent="0.25">
      <c r="A10659" t="str">
        <f>"3063500"</f>
        <v>3063500</v>
      </c>
      <c r="B10659" t="s">
        <v>31786</v>
      </c>
      <c r="C10659" t="str">
        <f>"8307744"</f>
        <v>8307744</v>
      </c>
      <c r="D10659" t="s">
        <v>31787</v>
      </c>
      <c r="F10659" t="s">
        <v>31788</v>
      </c>
      <c r="I10659" t="s">
        <v>29</v>
      </c>
      <c r="J10659" t="s">
        <v>30</v>
      </c>
      <c r="K10659" t="str">
        <f>"27028"</f>
        <v>27028</v>
      </c>
      <c r="M10659" t="s">
        <v>17861</v>
      </c>
      <c r="N10659" t="str">
        <f>"5/12/2017 1:59:00 PM"</f>
        <v>5/12/2017 1:59:00 PM</v>
      </c>
      <c r="O10659" t="s">
        <v>31787</v>
      </c>
    </row>
    <row r="10660" spans="1:20" x14ac:dyDescent="0.25">
      <c r="A10660" t="str">
        <f>"3041485"</f>
        <v>3041485</v>
      </c>
      <c r="B10660" t="s">
        <v>31789</v>
      </c>
      <c r="C10660" t="str">
        <f>"8307716"</f>
        <v>8307716</v>
      </c>
      <c r="D10660" t="s">
        <v>31790</v>
      </c>
      <c r="E10660" t="s">
        <v>31791</v>
      </c>
      <c r="F10660" t="s">
        <v>31792</v>
      </c>
      <c r="I10660" t="s">
        <v>2071</v>
      </c>
      <c r="J10660" t="s">
        <v>30</v>
      </c>
      <c r="K10660" t="str">
        <f>"27006"</f>
        <v>27006</v>
      </c>
      <c r="M10660" t="s">
        <v>17861</v>
      </c>
      <c r="N10660" t="str">
        <f>"5/4/2017 11:25:00 AM"</f>
        <v>5/4/2017 11:25:00 AM</v>
      </c>
      <c r="O10660" t="s">
        <v>31790</v>
      </c>
      <c r="T10660" t="s">
        <v>31791</v>
      </c>
    </row>
    <row r="10661" spans="1:20" x14ac:dyDescent="0.25">
      <c r="A10661" t="str">
        <f>"3041830"</f>
        <v>3041830</v>
      </c>
      <c r="B10661" t="s">
        <v>31793</v>
      </c>
      <c r="C10661" t="str">
        <f>"8307723"</f>
        <v>8307723</v>
      </c>
      <c r="D10661" t="s">
        <v>31794</v>
      </c>
      <c r="E10661" t="s">
        <v>31795</v>
      </c>
      <c r="F10661" t="s">
        <v>31796</v>
      </c>
      <c r="I10661" t="s">
        <v>184</v>
      </c>
      <c r="J10661" t="s">
        <v>30</v>
      </c>
      <c r="K10661" t="str">
        <f>"27006"</f>
        <v>27006</v>
      </c>
      <c r="M10661" t="s">
        <v>17861</v>
      </c>
      <c r="N10661" t="str">
        <f>"5/4/2017 4:24:00 PM"</f>
        <v>5/4/2017 4:24:00 PM</v>
      </c>
      <c r="O10661" t="s">
        <v>31794</v>
      </c>
      <c r="T10661" t="s">
        <v>31795</v>
      </c>
    </row>
    <row r="10662" spans="1:20" x14ac:dyDescent="0.25">
      <c r="A10662" t="str">
        <f>"3041302"</f>
        <v>3041302</v>
      </c>
      <c r="B10662" t="s">
        <v>31797</v>
      </c>
      <c r="C10662" t="str">
        <f>"8307757"</f>
        <v>8307757</v>
      </c>
      <c r="D10662" t="s">
        <v>31798</v>
      </c>
      <c r="E10662" t="s">
        <v>31799</v>
      </c>
      <c r="F10662" t="s">
        <v>31800</v>
      </c>
      <c r="I10662" t="s">
        <v>2071</v>
      </c>
      <c r="J10662" t="s">
        <v>30</v>
      </c>
      <c r="K10662" t="str">
        <f>"27006"</f>
        <v>27006</v>
      </c>
      <c r="M10662" t="s">
        <v>17861</v>
      </c>
      <c r="N10662" t="str">
        <f>"5/15/2017 1:04:00 PM"</f>
        <v>5/15/2017 1:04:00 PM</v>
      </c>
      <c r="O10662" t="s">
        <v>31798</v>
      </c>
      <c r="T10662" t="s">
        <v>31799</v>
      </c>
    </row>
    <row r="10663" spans="1:20" x14ac:dyDescent="0.25">
      <c r="A10663" t="str">
        <f>"3044339"</f>
        <v>3044339</v>
      </c>
      <c r="B10663" t="s">
        <v>31801</v>
      </c>
      <c r="C10663" t="str">
        <f>"8307725"</f>
        <v>8307725</v>
      </c>
      <c r="D10663" t="s">
        <v>31802</v>
      </c>
      <c r="E10663" t="s">
        <v>31803</v>
      </c>
      <c r="F10663" t="s">
        <v>31804</v>
      </c>
      <c r="I10663" t="s">
        <v>184</v>
      </c>
      <c r="J10663" t="s">
        <v>30</v>
      </c>
      <c r="K10663" t="str">
        <f>"27006"</f>
        <v>27006</v>
      </c>
      <c r="M10663" t="s">
        <v>17861</v>
      </c>
      <c r="N10663" t="str">
        <f>"5/4/2017 4:31:00 PM"</f>
        <v>5/4/2017 4:31:00 PM</v>
      </c>
      <c r="O10663" t="s">
        <v>31802</v>
      </c>
      <c r="T10663" t="s">
        <v>31803</v>
      </c>
    </row>
    <row r="10664" spans="1:20" x14ac:dyDescent="0.25">
      <c r="A10664" t="str">
        <f>"3046049"</f>
        <v>3046049</v>
      </c>
      <c r="B10664" t="s">
        <v>31805</v>
      </c>
      <c r="C10664" t="str">
        <f>"8306054"</f>
        <v>8306054</v>
      </c>
      <c r="D10664" t="s">
        <v>31806</v>
      </c>
      <c r="F10664" t="s">
        <v>31807</v>
      </c>
      <c r="I10664" t="s">
        <v>29</v>
      </c>
      <c r="J10664" t="s">
        <v>30</v>
      </c>
      <c r="K10664" t="str">
        <f>"27028"</f>
        <v>27028</v>
      </c>
      <c r="M10664" t="s">
        <v>18479</v>
      </c>
      <c r="N10664" t="str">
        <f>"4/17/2017 12:37:00 PM"</f>
        <v>4/17/2017 12:37:00 PM</v>
      </c>
      <c r="O10664" t="s">
        <v>31806</v>
      </c>
    </row>
    <row r="10665" spans="1:20" x14ac:dyDescent="0.25">
      <c r="A10665" t="str">
        <f>"3046193"</f>
        <v>3046193</v>
      </c>
      <c r="B10665" t="s">
        <v>31808</v>
      </c>
      <c r="C10665" t="str">
        <f>"8306054"</f>
        <v>8306054</v>
      </c>
      <c r="D10665" t="s">
        <v>31806</v>
      </c>
      <c r="F10665" t="s">
        <v>31807</v>
      </c>
      <c r="I10665" t="s">
        <v>29</v>
      </c>
      <c r="J10665" t="s">
        <v>30</v>
      </c>
      <c r="K10665" t="str">
        <f>"27028"</f>
        <v>27028</v>
      </c>
      <c r="M10665" t="s">
        <v>18479</v>
      </c>
      <c r="N10665" t="str">
        <f>"4/17/2017 12:37:00 PM"</f>
        <v>4/17/2017 12:37:00 PM</v>
      </c>
      <c r="O10665" t="s">
        <v>31806</v>
      </c>
    </row>
    <row r="10666" spans="1:20" x14ac:dyDescent="0.25">
      <c r="A10666" t="str">
        <f>"3038207"</f>
        <v>3038207</v>
      </c>
      <c r="B10666" t="s">
        <v>31809</v>
      </c>
      <c r="C10666" t="str">
        <f>"8307669"</f>
        <v>8307669</v>
      </c>
      <c r="D10666" t="str">
        <f>"MCBRIDE WILLIAM F/SANDRA"</f>
        <v>MCBRIDE WILLIAM F/SANDRA</v>
      </c>
      <c r="E10666" t="s">
        <v>4458</v>
      </c>
      <c r="F10666" t="s">
        <v>31810</v>
      </c>
      <c r="I10666" t="s">
        <v>29</v>
      </c>
      <c r="J10666" t="s">
        <v>30</v>
      </c>
      <c r="K10666" t="str">
        <f>"27028"</f>
        <v>27028</v>
      </c>
      <c r="M10666" t="s">
        <v>17861</v>
      </c>
      <c r="N10666" t="str">
        <f>"4/18/2017 1:44:00 PM"</f>
        <v>4/18/2017 1:44:00 PM</v>
      </c>
      <c r="O10666" t="str">
        <f>"MCBRIDE WILLIAM F/SANDRA"</f>
        <v>MCBRIDE WILLIAM F/SANDRA</v>
      </c>
      <c r="T10666" t="s">
        <v>4458</v>
      </c>
    </row>
    <row r="10667" spans="1:20" x14ac:dyDescent="0.25">
      <c r="A10667" t="str">
        <f>"3063723"</f>
        <v>3063723</v>
      </c>
      <c r="B10667" t="s">
        <v>31811</v>
      </c>
      <c r="C10667" t="str">
        <f>"8307767"</f>
        <v>8307767</v>
      </c>
      <c r="D10667" t="s">
        <v>31812</v>
      </c>
      <c r="F10667" t="s">
        <v>31813</v>
      </c>
      <c r="I10667" t="s">
        <v>29</v>
      </c>
      <c r="J10667" t="s">
        <v>30</v>
      </c>
      <c r="K10667" t="str">
        <f>"27028"</f>
        <v>27028</v>
      </c>
      <c r="M10667" t="s">
        <v>17861</v>
      </c>
      <c r="N10667" t="str">
        <f>"5/15/2017 3:14:00 PM"</f>
        <v>5/15/2017 3:14:00 PM</v>
      </c>
      <c r="O10667" t="s">
        <v>31812</v>
      </c>
    </row>
    <row r="10668" spans="1:20" x14ac:dyDescent="0.25">
      <c r="A10668" t="str">
        <f>"3049991"</f>
        <v>3049991</v>
      </c>
      <c r="B10668" t="s">
        <v>31814</v>
      </c>
      <c r="C10668" t="str">
        <f>"8307769"</f>
        <v>8307769</v>
      </c>
      <c r="D10668" t="s">
        <v>31815</v>
      </c>
      <c r="E10668" t="s">
        <v>31816</v>
      </c>
      <c r="F10668" t="s">
        <v>31817</v>
      </c>
      <c r="I10668" t="s">
        <v>20592</v>
      </c>
      <c r="J10668" t="s">
        <v>30</v>
      </c>
      <c r="K10668" t="str">
        <f>"27017"</f>
        <v>27017</v>
      </c>
      <c r="M10668" t="s">
        <v>17861</v>
      </c>
      <c r="N10668" t="str">
        <f>"5/15/2017 3:47:00 PM"</f>
        <v>5/15/2017 3:47:00 PM</v>
      </c>
      <c r="O10668" t="s">
        <v>31815</v>
      </c>
      <c r="T10668" t="s">
        <v>31816</v>
      </c>
    </row>
    <row r="10669" spans="1:20" x14ac:dyDescent="0.25">
      <c r="A10669" t="str">
        <f>"3058367"</f>
        <v>3058367</v>
      </c>
      <c r="B10669" t="s">
        <v>31818</v>
      </c>
      <c r="C10669" t="str">
        <f>"8307671"</f>
        <v>8307671</v>
      </c>
      <c r="D10669" t="s">
        <v>31819</v>
      </c>
      <c r="E10669" t="s">
        <v>31820</v>
      </c>
      <c r="F10669" t="s">
        <v>31821</v>
      </c>
      <c r="I10669" t="s">
        <v>2071</v>
      </c>
      <c r="J10669" t="s">
        <v>30</v>
      </c>
      <c r="K10669" t="str">
        <f>"27006"</f>
        <v>27006</v>
      </c>
      <c r="M10669" t="s">
        <v>17861</v>
      </c>
      <c r="N10669" t="str">
        <f>"4/18/2017 1:53:00 PM"</f>
        <v>4/18/2017 1:53:00 PM</v>
      </c>
      <c r="O10669" t="s">
        <v>31819</v>
      </c>
      <c r="T10669" t="s">
        <v>31820</v>
      </c>
    </row>
    <row r="10670" spans="1:20" x14ac:dyDescent="0.25">
      <c r="A10670" t="str">
        <f>"3053927"</f>
        <v>3053927</v>
      </c>
      <c r="B10670" t="s">
        <v>31822</v>
      </c>
      <c r="C10670" t="str">
        <f>"8307775"</f>
        <v>8307775</v>
      </c>
      <c r="D10670" t="s">
        <v>31823</v>
      </c>
      <c r="E10670" t="s">
        <v>31824</v>
      </c>
      <c r="F10670" t="s">
        <v>31825</v>
      </c>
      <c r="I10670" t="s">
        <v>29</v>
      </c>
      <c r="J10670" t="s">
        <v>30</v>
      </c>
      <c r="K10670" t="str">
        <f>"27028"</f>
        <v>27028</v>
      </c>
      <c r="M10670" t="s">
        <v>17861</v>
      </c>
      <c r="N10670" t="str">
        <f>"5/16/2017 9:09:00 AM"</f>
        <v>5/16/2017 9:09:00 AM</v>
      </c>
      <c r="O10670" t="s">
        <v>31823</v>
      </c>
      <c r="T10670" t="s">
        <v>31824</v>
      </c>
    </row>
    <row r="10671" spans="1:20" x14ac:dyDescent="0.25">
      <c r="A10671" t="str">
        <f>"3072965"</f>
        <v>3072965</v>
      </c>
      <c r="B10671" t="s">
        <v>31826</v>
      </c>
      <c r="C10671" t="str">
        <f>"8307776"</f>
        <v>8307776</v>
      </c>
      <c r="D10671" t="s">
        <v>31827</v>
      </c>
      <c r="F10671" t="s">
        <v>31828</v>
      </c>
      <c r="I10671" t="s">
        <v>29</v>
      </c>
      <c r="J10671" t="s">
        <v>30</v>
      </c>
      <c r="K10671" t="str">
        <f>"27028"</f>
        <v>27028</v>
      </c>
      <c r="M10671" t="s">
        <v>17861</v>
      </c>
      <c r="N10671" t="str">
        <f>"5/16/2017 9:11:00 AM"</f>
        <v>5/16/2017 9:11:00 AM</v>
      </c>
      <c r="O10671" t="s">
        <v>31827</v>
      </c>
    </row>
    <row r="10672" spans="1:20" x14ac:dyDescent="0.25">
      <c r="A10672" t="str">
        <f>"3057248"</f>
        <v>3057248</v>
      </c>
      <c r="B10672" t="s">
        <v>31829</v>
      </c>
      <c r="C10672" t="str">
        <f>"32733400"</f>
        <v>32733400</v>
      </c>
      <c r="D10672" t="s">
        <v>19163</v>
      </c>
      <c r="E10672" t="s">
        <v>31830</v>
      </c>
      <c r="F10672" t="s">
        <v>19164</v>
      </c>
      <c r="I10672" t="s">
        <v>29</v>
      </c>
      <c r="J10672" t="s">
        <v>30</v>
      </c>
      <c r="K10672" t="s">
        <v>31</v>
      </c>
      <c r="M10672" t="s">
        <v>26316</v>
      </c>
      <c r="N10672" t="str">
        <f>"4/18/2017 1:52:00 PM"</f>
        <v>4/18/2017 1:52:00 PM</v>
      </c>
      <c r="O10672" t="s">
        <v>19163</v>
      </c>
      <c r="T10672" t="s">
        <v>31830</v>
      </c>
    </row>
    <row r="10673" spans="1:20" x14ac:dyDescent="0.25">
      <c r="A10673" t="str">
        <f>"3061332"</f>
        <v>3061332</v>
      </c>
      <c r="B10673" t="s">
        <v>31831</v>
      </c>
      <c r="C10673" t="str">
        <f>"8307677"</f>
        <v>8307677</v>
      </c>
      <c r="D10673" t="s">
        <v>31832</v>
      </c>
      <c r="E10673" t="s">
        <v>31833</v>
      </c>
      <c r="F10673" t="s">
        <v>31834</v>
      </c>
      <c r="I10673" t="s">
        <v>184</v>
      </c>
      <c r="J10673" t="s">
        <v>30</v>
      </c>
      <c r="K10673" t="str">
        <f>"27006"</f>
        <v>27006</v>
      </c>
      <c r="M10673" t="s">
        <v>17861</v>
      </c>
      <c r="N10673" t="str">
        <f>"4/19/2017 2:04:00 PM"</f>
        <v>4/19/2017 2:04:00 PM</v>
      </c>
      <c r="O10673" t="s">
        <v>31832</v>
      </c>
      <c r="T10673" t="s">
        <v>31833</v>
      </c>
    </row>
    <row r="10674" spans="1:20" x14ac:dyDescent="0.25">
      <c r="A10674" t="str">
        <f>"3060982"</f>
        <v>3060982</v>
      </c>
      <c r="B10674" t="s">
        <v>31835</v>
      </c>
      <c r="C10674" t="str">
        <f>"8307780"</f>
        <v>8307780</v>
      </c>
      <c r="D10674" t="s">
        <v>31836</v>
      </c>
      <c r="E10674" t="s">
        <v>31837</v>
      </c>
      <c r="F10674" t="s">
        <v>31838</v>
      </c>
      <c r="I10674" t="s">
        <v>2071</v>
      </c>
      <c r="J10674" t="s">
        <v>30</v>
      </c>
      <c r="K10674" t="str">
        <f>"27006"</f>
        <v>27006</v>
      </c>
      <c r="M10674" t="s">
        <v>17861</v>
      </c>
      <c r="N10674" t="str">
        <f>"5/16/2017 10:13:00 AM"</f>
        <v>5/16/2017 10:13:00 AM</v>
      </c>
      <c r="O10674" t="s">
        <v>31836</v>
      </c>
      <c r="T10674" t="s">
        <v>31837</v>
      </c>
    </row>
    <row r="10675" spans="1:20" x14ac:dyDescent="0.25">
      <c r="A10675" t="str">
        <f>"3058496"</f>
        <v>3058496</v>
      </c>
      <c r="B10675" t="s">
        <v>31839</v>
      </c>
      <c r="C10675" t="str">
        <f>"8307781"</f>
        <v>8307781</v>
      </c>
      <c r="D10675" t="s">
        <v>31840</v>
      </c>
      <c r="E10675" t="s">
        <v>31841</v>
      </c>
      <c r="F10675" t="s">
        <v>31842</v>
      </c>
      <c r="I10675" t="s">
        <v>29</v>
      </c>
      <c r="J10675" t="s">
        <v>30</v>
      </c>
      <c r="K10675" t="str">
        <f>"27028"</f>
        <v>27028</v>
      </c>
      <c r="M10675" t="s">
        <v>17861</v>
      </c>
      <c r="N10675" t="str">
        <f>"5/16/2017 10:17:00 AM"</f>
        <v>5/16/2017 10:17:00 AM</v>
      </c>
      <c r="O10675" t="s">
        <v>31840</v>
      </c>
      <c r="T10675" t="s">
        <v>31841</v>
      </c>
    </row>
    <row r="10676" spans="1:20" x14ac:dyDescent="0.25">
      <c r="A10676" t="str">
        <f>"3046766"</f>
        <v>3046766</v>
      </c>
      <c r="B10676" t="s">
        <v>31843</v>
      </c>
      <c r="C10676" t="str">
        <f>"82524678"</f>
        <v>82524678</v>
      </c>
      <c r="D10676" t="s">
        <v>31844</v>
      </c>
      <c r="E10676" t="s">
        <v>31845</v>
      </c>
      <c r="F10676" t="s">
        <v>31846</v>
      </c>
      <c r="G10676" t="s">
        <v>31847</v>
      </c>
      <c r="I10676" t="s">
        <v>184</v>
      </c>
      <c r="J10676" t="s">
        <v>30</v>
      </c>
      <c r="K10676" t="s">
        <v>31848</v>
      </c>
      <c r="M10676" t="s">
        <v>26316</v>
      </c>
      <c r="N10676" t="str">
        <f>"4/19/2017 2:31:00 PM"</f>
        <v>4/19/2017 2:31:00 PM</v>
      </c>
      <c r="O10676" t="s">
        <v>31844</v>
      </c>
      <c r="T10676" t="s">
        <v>31845</v>
      </c>
    </row>
    <row r="10677" spans="1:20" x14ac:dyDescent="0.25">
      <c r="A10677" t="str">
        <f>"3046847"</f>
        <v>3046847</v>
      </c>
      <c r="B10677" t="s">
        <v>31849</v>
      </c>
      <c r="C10677" t="str">
        <f>"82524678"</f>
        <v>82524678</v>
      </c>
      <c r="D10677" t="s">
        <v>31844</v>
      </c>
      <c r="E10677" t="s">
        <v>31845</v>
      </c>
      <c r="F10677" t="s">
        <v>31846</v>
      </c>
      <c r="G10677" t="s">
        <v>31847</v>
      </c>
      <c r="I10677" t="s">
        <v>184</v>
      </c>
      <c r="J10677" t="s">
        <v>30</v>
      </c>
      <c r="K10677" t="s">
        <v>31848</v>
      </c>
      <c r="M10677" t="s">
        <v>26316</v>
      </c>
      <c r="N10677" t="str">
        <f>"4/19/2017 2:31:00 PM"</f>
        <v>4/19/2017 2:31:00 PM</v>
      </c>
      <c r="O10677" t="s">
        <v>31844</v>
      </c>
      <c r="T10677" t="s">
        <v>31845</v>
      </c>
    </row>
    <row r="10678" spans="1:20" x14ac:dyDescent="0.25">
      <c r="A10678" t="str">
        <f>"3046670"</f>
        <v>3046670</v>
      </c>
      <c r="B10678" t="s">
        <v>31850</v>
      </c>
      <c r="C10678" t="str">
        <f>"82524678"</f>
        <v>82524678</v>
      </c>
      <c r="D10678" t="s">
        <v>31844</v>
      </c>
      <c r="E10678" t="s">
        <v>31845</v>
      </c>
      <c r="F10678" t="s">
        <v>31846</v>
      </c>
      <c r="G10678" t="s">
        <v>31847</v>
      </c>
      <c r="I10678" t="s">
        <v>184</v>
      </c>
      <c r="J10678" t="s">
        <v>30</v>
      </c>
      <c r="K10678" t="s">
        <v>31848</v>
      </c>
      <c r="M10678" t="s">
        <v>26316</v>
      </c>
      <c r="N10678" t="str">
        <f>"4/19/2017 2:31:00 PM"</f>
        <v>4/19/2017 2:31:00 PM</v>
      </c>
      <c r="O10678" t="s">
        <v>31844</v>
      </c>
      <c r="T10678" t="s">
        <v>31845</v>
      </c>
    </row>
    <row r="10679" spans="1:20" x14ac:dyDescent="0.25">
      <c r="A10679" t="str">
        <f>"3066440"</f>
        <v>3066440</v>
      </c>
      <c r="B10679" t="s">
        <v>31851</v>
      </c>
      <c r="C10679" t="str">
        <f>"10469000"</f>
        <v>10469000</v>
      </c>
      <c r="D10679" t="s">
        <v>31852</v>
      </c>
      <c r="F10679" t="s">
        <v>31853</v>
      </c>
      <c r="G10679" t="s">
        <v>21527</v>
      </c>
      <c r="I10679" t="s">
        <v>29</v>
      </c>
      <c r="J10679" t="s">
        <v>30</v>
      </c>
      <c r="K10679" t="s">
        <v>31</v>
      </c>
      <c r="M10679" t="s">
        <v>18479</v>
      </c>
      <c r="N10679" t="str">
        <f>"4/25/2017 11:25:00 AM"</f>
        <v>4/25/2017 11:25:00 AM</v>
      </c>
      <c r="O10679" t="s">
        <v>31852</v>
      </c>
    </row>
    <row r="10680" spans="1:20" x14ac:dyDescent="0.25">
      <c r="A10680" t="str">
        <f>"3062059"</f>
        <v>3062059</v>
      </c>
      <c r="B10680" t="s">
        <v>31854</v>
      </c>
      <c r="C10680" t="str">
        <f>"82521526"</f>
        <v>82521526</v>
      </c>
      <c r="D10680" t="s">
        <v>31855</v>
      </c>
      <c r="F10680" t="str">
        <f>"C/O ROBERT J CAMPBELL"</f>
        <v>C/O ROBERT J CAMPBELL</v>
      </c>
      <c r="G10680" t="s">
        <v>2177</v>
      </c>
      <c r="I10680" t="s">
        <v>184</v>
      </c>
      <c r="J10680" t="s">
        <v>30</v>
      </c>
      <c r="K10680" t="s">
        <v>185</v>
      </c>
      <c r="M10680" t="s">
        <v>25733</v>
      </c>
      <c r="N10680" t="str">
        <f>"4/25/2017 3:50:00 PM"</f>
        <v>4/25/2017 3:50:00 PM</v>
      </c>
      <c r="O10680" t="s">
        <v>31855</v>
      </c>
    </row>
    <row r="10681" spans="1:20" x14ac:dyDescent="0.25">
      <c r="A10681" t="str">
        <f>"3043648"</f>
        <v>3043648</v>
      </c>
      <c r="B10681" t="s">
        <v>31856</v>
      </c>
      <c r="C10681" t="str">
        <f>"8306391"</f>
        <v>8306391</v>
      </c>
      <c r="D10681" t="s">
        <v>31857</v>
      </c>
      <c r="E10681" t="s">
        <v>31858</v>
      </c>
      <c r="F10681" t="s">
        <v>31859</v>
      </c>
      <c r="I10681" t="s">
        <v>29</v>
      </c>
      <c r="J10681" t="s">
        <v>30</v>
      </c>
      <c r="K10681" t="str">
        <f>"27028"</f>
        <v>27028</v>
      </c>
      <c r="M10681" t="s">
        <v>18479</v>
      </c>
      <c r="N10681" t="str">
        <f>"4/27/2017 10:34:00 AM"</f>
        <v>4/27/2017 10:34:00 AM</v>
      </c>
      <c r="O10681" t="s">
        <v>31857</v>
      </c>
      <c r="T10681" t="s">
        <v>31858</v>
      </c>
    </row>
    <row r="10682" spans="1:20" x14ac:dyDescent="0.25">
      <c r="A10682" t="str">
        <f>"3038768"</f>
        <v>3038768</v>
      </c>
      <c r="B10682" t="s">
        <v>31860</v>
      </c>
      <c r="C10682" t="str">
        <f>"35827500"</f>
        <v>35827500</v>
      </c>
      <c r="D10682" t="s">
        <v>31861</v>
      </c>
      <c r="E10682" t="s">
        <v>31862</v>
      </c>
      <c r="F10682" t="s">
        <v>31863</v>
      </c>
      <c r="I10682" t="s">
        <v>29</v>
      </c>
      <c r="J10682" t="s">
        <v>30</v>
      </c>
      <c r="K10682" t="str">
        <f>"27028"</f>
        <v>27028</v>
      </c>
      <c r="M10682" t="s">
        <v>18479</v>
      </c>
      <c r="N10682" t="str">
        <f>"5/8/2017 10:48:00 AM"</f>
        <v>5/8/2017 10:48:00 AM</v>
      </c>
      <c r="O10682" t="s">
        <v>31861</v>
      </c>
      <c r="T10682" t="s">
        <v>31862</v>
      </c>
    </row>
    <row r="10683" spans="1:20" x14ac:dyDescent="0.25">
      <c r="A10683" t="str">
        <f>"3044125"</f>
        <v>3044125</v>
      </c>
      <c r="B10683" t="s">
        <v>31864</v>
      </c>
      <c r="C10683" t="str">
        <f>"8307728"</f>
        <v>8307728</v>
      </c>
      <c r="D10683" t="s">
        <v>31865</v>
      </c>
      <c r="E10683" t="s">
        <v>31866</v>
      </c>
      <c r="F10683" t="s">
        <v>31867</v>
      </c>
      <c r="I10683" t="s">
        <v>184</v>
      </c>
      <c r="J10683" t="s">
        <v>30</v>
      </c>
      <c r="K10683" t="str">
        <f>"27006"</f>
        <v>27006</v>
      </c>
      <c r="M10683" t="s">
        <v>17861</v>
      </c>
      <c r="N10683" t="str">
        <f>"5/8/2017 3:44:00 PM"</f>
        <v>5/8/2017 3:44:00 PM</v>
      </c>
      <c r="O10683" t="s">
        <v>31865</v>
      </c>
      <c r="T10683" t="s">
        <v>31866</v>
      </c>
    </row>
    <row r="10684" spans="1:20" x14ac:dyDescent="0.25">
      <c r="A10684" t="str">
        <f>"3058855"</f>
        <v>3058855</v>
      </c>
      <c r="B10684" t="s">
        <v>31868</v>
      </c>
      <c r="C10684" t="str">
        <f>"8307683"</f>
        <v>8307683</v>
      </c>
      <c r="D10684" t="s">
        <v>31869</v>
      </c>
      <c r="E10684" t="s">
        <v>31870</v>
      </c>
      <c r="F10684" t="s">
        <v>31871</v>
      </c>
      <c r="I10684" t="s">
        <v>29</v>
      </c>
      <c r="J10684" t="s">
        <v>30</v>
      </c>
      <c r="K10684" t="str">
        <f>"27028"</f>
        <v>27028</v>
      </c>
      <c r="M10684" t="s">
        <v>17861</v>
      </c>
      <c r="N10684" t="str">
        <f>"4/28/2017 8:25:00 AM"</f>
        <v>4/28/2017 8:25:00 AM</v>
      </c>
      <c r="O10684" t="s">
        <v>31869</v>
      </c>
      <c r="T10684" t="s">
        <v>31870</v>
      </c>
    </row>
    <row r="10685" spans="1:20" x14ac:dyDescent="0.25">
      <c r="A10685" t="str">
        <f>"3037187"</f>
        <v>3037187</v>
      </c>
      <c r="B10685" t="s">
        <v>31872</v>
      </c>
      <c r="C10685" t="str">
        <f>"8307688"</f>
        <v>8307688</v>
      </c>
      <c r="D10685" t="s">
        <v>31873</v>
      </c>
      <c r="E10685" t="s">
        <v>31874</v>
      </c>
      <c r="F10685" t="s">
        <v>10029</v>
      </c>
      <c r="I10685" t="s">
        <v>471</v>
      </c>
      <c r="J10685" t="s">
        <v>30</v>
      </c>
      <c r="K10685" t="str">
        <f>"27104"</f>
        <v>27104</v>
      </c>
      <c r="M10685" t="s">
        <v>17861</v>
      </c>
      <c r="N10685" t="str">
        <f>"4/28/2017 4:10:00 PM"</f>
        <v>4/28/2017 4:10:00 PM</v>
      </c>
      <c r="O10685" t="s">
        <v>31873</v>
      </c>
      <c r="T10685" t="s">
        <v>31874</v>
      </c>
    </row>
    <row r="10686" spans="1:20" x14ac:dyDescent="0.25">
      <c r="A10686" t="str">
        <f>"3061097"</f>
        <v>3061097</v>
      </c>
      <c r="B10686" t="s">
        <v>31875</v>
      </c>
      <c r="C10686" t="str">
        <f>"8307737"</f>
        <v>8307737</v>
      </c>
      <c r="D10686" t="s">
        <v>31876</v>
      </c>
      <c r="E10686" t="s">
        <v>31877</v>
      </c>
      <c r="F10686" t="s">
        <v>31878</v>
      </c>
      <c r="I10686" t="s">
        <v>184</v>
      </c>
      <c r="J10686" t="s">
        <v>30</v>
      </c>
      <c r="K10686" t="str">
        <f>"27006"</f>
        <v>27006</v>
      </c>
      <c r="M10686" t="s">
        <v>17861</v>
      </c>
      <c r="N10686" t="str">
        <f>"5/9/2017 4:13:00 PM"</f>
        <v>5/9/2017 4:13:00 PM</v>
      </c>
      <c r="O10686" t="s">
        <v>31876</v>
      </c>
      <c r="T10686" t="s">
        <v>31877</v>
      </c>
    </row>
    <row r="10687" spans="1:20" x14ac:dyDescent="0.25">
      <c r="A10687" t="str">
        <f>"3049574"</f>
        <v>3049574</v>
      </c>
      <c r="B10687" t="s">
        <v>31879</v>
      </c>
      <c r="C10687" t="str">
        <f>"82521298"</f>
        <v>82521298</v>
      </c>
      <c r="D10687" t="s">
        <v>31880</v>
      </c>
      <c r="F10687" t="s">
        <v>31881</v>
      </c>
      <c r="I10687" t="s">
        <v>184</v>
      </c>
      <c r="J10687" t="s">
        <v>30</v>
      </c>
      <c r="K10687" t="s">
        <v>31882</v>
      </c>
      <c r="M10687" t="s">
        <v>25733</v>
      </c>
      <c r="N10687" t="str">
        <f>"5/10/2017 10:39:00 AM"</f>
        <v>5/10/2017 10:39:00 AM</v>
      </c>
      <c r="O10687" t="s">
        <v>31880</v>
      </c>
      <c r="T10687" t="s">
        <v>31880</v>
      </c>
    </row>
    <row r="10688" spans="1:20" x14ac:dyDescent="0.25">
      <c r="A10688" t="str">
        <f>"3038863"</f>
        <v>3038863</v>
      </c>
      <c r="B10688" t="s">
        <v>31883</v>
      </c>
      <c r="C10688" t="str">
        <f>"9542250"</f>
        <v>9542250</v>
      </c>
      <c r="D10688" t="s">
        <v>31884</v>
      </c>
      <c r="F10688" t="s">
        <v>31885</v>
      </c>
      <c r="I10688" t="s">
        <v>29</v>
      </c>
      <c r="J10688" t="s">
        <v>30</v>
      </c>
      <c r="K10688" t="s">
        <v>31886</v>
      </c>
      <c r="M10688" t="s">
        <v>25733</v>
      </c>
      <c r="N10688" t="str">
        <f>"5/10/2017 1:37:00 PM"</f>
        <v>5/10/2017 1:37:00 PM</v>
      </c>
      <c r="O10688" t="s">
        <v>31884</v>
      </c>
    </row>
    <row r="10689" spans="1:20" x14ac:dyDescent="0.25">
      <c r="A10689" t="str">
        <f>"3056954"</f>
        <v>3056954</v>
      </c>
      <c r="B10689" t="s">
        <v>31887</v>
      </c>
      <c r="C10689" t="str">
        <f>"8307744"</f>
        <v>8307744</v>
      </c>
      <c r="D10689" t="s">
        <v>31787</v>
      </c>
      <c r="F10689" t="s">
        <v>31788</v>
      </c>
      <c r="I10689" t="s">
        <v>29</v>
      </c>
      <c r="J10689" t="s">
        <v>30</v>
      </c>
      <c r="K10689" t="str">
        <f>"27028"</f>
        <v>27028</v>
      </c>
      <c r="M10689" t="s">
        <v>17861</v>
      </c>
      <c r="N10689" t="str">
        <f>"5/12/2017 1:59:00 PM"</f>
        <v>5/12/2017 1:59:00 PM</v>
      </c>
      <c r="O10689" t="s">
        <v>31787</v>
      </c>
    </row>
    <row r="10690" spans="1:20" x14ac:dyDescent="0.25">
      <c r="A10690" t="str">
        <f>"3060127"</f>
        <v>3060127</v>
      </c>
      <c r="B10690" t="s">
        <v>31888</v>
      </c>
      <c r="C10690" t="str">
        <f>"8307752"</f>
        <v>8307752</v>
      </c>
      <c r="D10690" t="s">
        <v>31889</v>
      </c>
      <c r="F10690" t="s">
        <v>31890</v>
      </c>
      <c r="I10690" t="s">
        <v>184</v>
      </c>
      <c r="J10690" t="s">
        <v>30</v>
      </c>
      <c r="K10690" t="str">
        <f>"27006"</f>
        <v>27006</v>
      </c>
      <c r="M10690" t="s">
        <v>17861</v>
      </c>
      <c r="N10690" t="str">
        <f>"5/15/2017 12:16:00 PM"</f>
        <v>5/15/2017 12:16:00 PM</v>
      </c>
      <c r="O10690" t="s">
        <v>31889</v>
      </c>
    </row>
    <row r="10691" spans="1:20" x14ac:dyDescent="0.25">
      <c r="A10691" t="str">
        <f>"3075414"</f>
        <v>3075414</v>
      </c>
      <c r="B10691" t="s">
        <v>31891</v>
      </c>
      <c r="C10691" t="str">
        <f>"8307756"</f>
        <v>8307756</v>
      </c>
      <c r="D10691" t="s">
        <v>31892</v>
      </c>
      <c r="F10691" t="s">
        <v>31893</v>
      </c>
      <c r="I10691" t="s">
        <v>29</v>
      </c>
      <c r="J10691" t="s">
        <v>30</v>
      </c>
      <c r="K10691" t="str">
        <f>"27028"</f>
        <v>27028</v>
      </c>
      <c r="M10691" t="s">
        <v>17861</v>
      </c>
      <c r="N10691" t="str">
        <f>"5/15/2017 1:01:00 PM"</f>
        <v>5/15/2017 1:01:00 PM</v>
      </c>
      <c r="O10691" t="s">
        <v>31892</v>
      </c>
    </row>
    <row r="10692" spans="1:20" x14ac:dyDescent="0.25">
      <c r="A10692" t="str">
        <f>"3052578"</f>
        <v>3052578</v>
      </c>
      <c r="B10692" t="s">
        <v>31894</v>
      </c>
      <c r="C10692" t="str">
        <f>"8307763"</f>
        <v>8307763</v>
      </c>
      <c r="D10692" t="s">
        <v>31895</v>
      </c>
      <c r="E10692" t="s">
        <v>31896</v>
      </c>
      <c r="F10692" t="s">
        <v>31897</v>
      </c>
      <c r="I10692" t="s">
        <v>29</v>
      </c>
      <c r="J10692" t="s">
        <v>30</v>
      </c>
      <c r="K10692" t="str">
        <f>"27028"</f>
        <v>27028</v>
      </c>
      <c r="M10692" t="s">
        <v>17861</v>
      </c>
      <c r="N10692" t="str">
        <f>"5/15/2017 2:25:00 PM"</f>
        <v>5/15/2017 2:25:00 PM</v>
      </c>
      <c r="O10692" t="s">
        <v>31895</v>
      </c>
      <c r="T10692" t="s">
        <v>31896</v>
      </c>
    </row>
    <row r="10693" spans="1:20" x14ac:dyDescent="0.25">
      <c r="A10693" t="str">
        <f>"3061081"</f>
        <v>3061081</v>
      </c>
      <c r="B10693" t="s">
        <v>31898</v>
      </c>
      <c r="C10693" t="str">
        <f>"8307764"</f>
        <v>8307764</v>
      </c>
      <c r="D10693" t="s">
        <v>31899</v>
      </c>
      <c r="E10693" t="s">
        <v>31900</v>
      </c>
      <c r="F10693" t="s">
        <v>31901</v>
      </c>
      <c r="I10693" t="s">
        <v>184</v>
      </c>
      <c r="J10693" t="s">
        <v>30</v>
      </c>
      <c r="K10693" t="str">
        <f>"27006"</f>
        <v>27006</v>
      </c>
      <c r="M10693" t="s">
        <v>17861</v>
      </c>
      <c r="N10693" t="str">
        <f>"5/15/2017 3:05:00 PM"</f>
        <v>5/15/2017 3:05:00 PM</v>
      </c>
      <c r="O10693" t="s">
        <v>31899</v>
      </c>
      <c r="T10693" t="s">
        <v>31900</v>
      </c>
    </row>
    <row r="10694" spans="1:20" x14ac:dyDescent="0.25">
      <c r="A10694" t="str">
        <f>"3059414"</f>
        <v>3059414</v>
      </c>
      <c r="B10694" t="s">
        <v>31902</v>
      </c>
      <c r="C10694" t="str">
        <f>"8307765"</f>
        <v>8307765</v>
      </c>
      <c r="D10694" t="s">
        <v>31903</v>
      </c>
      <c r="F10694" t="s">
        <v>31904</v>
      </c>
      <c r="I10694" t="s">
        <v>29</v>
      </c>
      <c r="J10694" t="s">
        <v>30</v>
      </c>
      <c r="K10694" t="str">
        <f>"27028"</f>
        <v>27028</v>
      </c>
      <c r="M10694" t="s">
        <v>17861</v>
      </c>
      <c r="N10694" t="str">
        <f>"5/15/2017 3:08:00 PM"</f>
        <v>5/15/2017 3:08:00 PM</v>
      </c>
      <c r="O10694" t="s">
        <v>31903</v>
      </c>
    </row>
    <row r="10695" spans="1:20" x14ac:dyDescent="0.25">
      <c r="A10695" t="str">
        <f>"3041428"</f>
        <v>3041428</v>
      </c>
      <c r="B10695" t="s">
        <v>31905</v>
      </c>
      <c r="C10695" t="str">
        <f>"8307766"</f>
        <v>8307766</v>
      </c>
      <c r="D10695" t="s">
        <v>31906</v>
      </c>
      <c r="E10695" t="s">
        <v>31907</v>
      </c>
      <c r="F10695" t="s">
        <v>31908</v>
      </c>
      <c r="I10695" t="s">
        <v>2071</v>
      </c>
      <c r="J10695" t="s">
        <v>30</v>
      </c>
      <c r="K10695" t="str">
        <f>"27006"</f>
        <v>27006</v>
      </c>
      <c r="M10695" t="s">
        <v>17861</v>
      </c>
      <c r="N10695" t="str">
        <f>"5/15/2017 3:11:00 PM"</f>
        <v>5/15/2017 3:11:00 PM</v>
      </c>
      <c r="O10695" t="s">
        <v>31906</v>
      </c>
      <c r="T10695" t="s">
        <v>31907</v>
      </c>
    </row>
    <row r="10696" spans="1:20" x14ac:dyDescent="0.25">
      <c r="A10696" t="str">
        <f>"3039773"</f>
        <v>3039773</v>
      </c>
      <c r="B10696" t="s">
        <v>31909</v>
      </c>
      <c r="C10696" t="str">
        <f>"8307772"</f>
        <v>8307772</v>
      </c>
      <c r="D10696" t="s">
        <v>31910</v>
      </c>
      <c r="F10696" t="s">
        <v>31911</v>
      </c>
      <c r="I10696" t="s">
        <v>29</v>
      </c>
      <c r="J10696" t="s">
        <v>30</v>
      </c>
      <c r="K10696" t="str">
        <f>"27028"</f>
        <v>27028</v>
      </c>
      <c r="M10696" t="s">
        <v>17861</v>
      </c>
      <c r="N10696" t="str">
        <f>"5/15/2017 4:14:00 PM"</f>
        <v>5/15/2017 4:14:00 PM</v>
      </c>
      <c r="O10696" t="s">
        <v>31910</v>
      </c>
    </row>
    <row r="10697" spans="1:20" x14ac:dyDescent="0.25">
      <c r="A10697" t="str">
        <f>"3038731"</f>
        <v>3038731</v>
      </c>
      <c r="B10697" t="s">
        <v>31912</v>
      </c>
      <c r="C10697" t="str">
        <f>"8307807"</f>
        <v>8307807</v>
      </c>
      <c r="D10697" t="s">
        <v>31913</v>
      </c>
      <c r="E10697" t="s">
        <v>31914</v>
      </c>
      <c r="F10697" t="s">
        <v>31915</v>
      </c>
      <c r="I10697" t="s">
        <v>29</v>
      </c>
      <c r="J10697" t="s">
        <v>30</v>
      </c>
      <c r="K10697" t="str">
        <f>"27028"</f>
        <v>27028</v>
      </c>
      <c r="M10697" t="s">
        <v>17861</v>
      </c>
      <c r="N10697" t="str">
        <f>"5/26/2017 1:36:00 PM"</f>
        <v>5/26/2017 1:36:00 PM</v>
      </c>
      <c r="O10697" t="s">
        <v>31913</v>
      </c>
      <c r="T10697" t="s">
        <v>31914</v>
      </c>
    </row>
    <row r="10698" spans="1:20" x14ac:dyDescent="0.25">
      <c r="A10698" t="str">
        <f>"3040438"</f>
        <v>3040438</v>
      </c>
      <c r="B10698" t="s">
        <v>31916</v>
      </c>
      <c r="C10698" t="str">
        <f>"8307778"</f>
        <v>8307778</v>
      </c>
      <c r="D10698" t="s">
        <v>31917</v>
      </c>
      <c r="E10698" t="s">
        <v>31918</v>
      </c>
      <c r="F10698" t="s">
        <v>31919</v>
      </c>
      <c r="I10698" t="s">
        <v>2280</v>
      </c>
      <c r="J10698" t="s">
        <v>30</v>
      </c>
      <c r="K10698" t="str">
        <f>"27295"</f>
        <v>27295</v>
      </c>
      <c r="M10698" t="s">
        <v>17861</v>
      </c>
      <c r="N10698" t="str">
        <f>"5/16/2017 9:39:00 AM"</f>
        <v>5/16/2017 9:39:00 AM</v>
      </c>
      <c r="O10698" t="s">
        <v>31917</v>
      </c>
      <c r="T10698" t="s">
        <v>31918</v>
      </c>
    </row>
    <row r="10699" spans="1:20" x14ac:dyDescent="0.25">
      <c r="A10699" t="str">
        <f>"3040994"</f>
        <v>3040994</v>
      </c>
      <c r="B10699" t="s">
        <v>31920</v>
      </c>
      <c r="C10699" t="str">
        <f>"8307778"</f>
        <v>8307778</v>
      </c>
      <c r="D10699" t="s">
        <v>31917</v>
      </c>
      <c r="E10699" t="s">
        <v>31918</v>
      </c>
      <c r="F10699" t="s">
        <v>31919</v>
      </c>
      <c r="I10699" t="s">
        <v>2280</v>
      </c>
      <c r="J10699" t="s">
        <v>30</v>
      </c>
      <c r="K10699" t="str">
        <f>"27295"</f>
        <v>27295</v>
      </c>
      <c r="M10699" t="s">
        <v>17861</v>
      </c>
      <c r="N10699" t="str">
        <f>"5/16/2017 9:39:00 AM"</f>
        <v>5/16/2017 9:39:00 AM</v>
      </c>
      <c r="O10699" t="s">
        <v>31917</v>
      </c>
      <c r="T10699" t="s">
        <v>31918</v>
      </c>
    </row>
    <row r="10700" spans="1:20" x14ac:dyDescent="0.25">
      <c r="A10700" t="str">
        <f>"3039674"</f>
        <v>3039674</v>
      </c>
      <c r="B10700" t="s">
        <v>31921</v>
      </c>
      <c r="C10700" t="str">
        <f>"66053000"</f>
        <v>66053000</v>
      </c>
      <c r="D10700" t="s">
        <v>31922</v>
      </c>
      <c r="E10700" t="s">
        <v>31923</v>
      </c>
      <c r="F10700" t="s">
        <v>31924</v>
      </c>
      <c r="I10700" t="s">
        <v>29</v>
      </c>
      <c r="J10700" t="s">
        <v>30</v>
      </c>
      <c r="K10700" t="s">
        <v>31</v>
      </c>
      <c r="M10700" t="s">
        <v>25625</v>
      </c>
      <c r="N10700" t="str">
        <f>"5/16/2017 3:51:00 PM"</f>
        <v>5/16/2017 3:51:00 PM</v>
      </c>
      <c r="O10700" t="s">
        <v>31922</v>
      </c>
      <c r="T10700" t="s">
        <v>31923</v>
      </c>
    </row>
    <row r="10701" spans="1:20" x14ac:dyDescent="0.25">
      <c r="A10701" t="str">
        <f>"3054459"</f>
        <v>3054459</v>
      </c>
      <c r="B10701" t="s">
        <v>31925</v>
      </c>
      <c r="C10701" t="str">
        <f>"8307821"</f>
        <v>8307821</v>
      </c>
      <c r="D10701" t="s">
        <v>31926</v>
      </c>
      <c r="E10701" t="s">
        <v>31927</v>
      </c>
      <c r="F10701" t="s">
        <v>31928</v>
      </c>
      <c r="I10701" t="s">
        <v>29</v>
      </c>
      <c r="J10701" t="s">
        <v>30</v>
      </c>
      <c r="K10701" t="str">
        <f>"27028"</f>
        <v>27028</v>
      </c>
      <c r="M10701" t="s">
        <v>17861</v>
      </c>
      <c r="N10701" t="str">
        <f>"6/1/2017 3:17:00 PM"</f>
        <v>6/1/2017 3:17:00 PM</v>
      </c>
      <c r="O10701" t="s">
        <v>31926</v>
      </c>
      <c r="T10701" t="s">
        <v>31927</v>
      </c>
    </row>
    <row r="10702" spans="1:20" x14ac:dyDescent="0.25">
      <c r="A10702" t="str">
        <f>"3049973"</f>
        <v>3049973</v>
      </c>
      <c r="B10702" t="s">
        <v>31929</v>
      </c>
      <c r="C10702" t="str">
        <f>"8305582"</f>
        <v>8305582</v>
      </c>
      <c r="D10702" t="s">
        <v>31930</v>
      </c>
      <c r="E10702" t="s">
        <v>31931</v>
      </c>
      <c r="F10702" t="s">
        <v>16398</v>
      </c>
      <c r="I10702" t="s">
        <v>29</v>
      </c>
      <c r="J10702" t="s">
        <v>30</v>
      </c>
      <c r="K10702" t="str">
        <f>"27028"</f>
        <v>27028</v>
      </c>
      <c r="M10702" t="s">
        <v>18479</v>
      </c>
      <c r="N10702" t="str">
        <f>"5/16/2017 3:53:00 PM"</f>
        <v>5/16/2017 3:53:00 PM</v>
      </c>
      <c r="O10702" t="s">
        <v>31930</v>
      </c>
      <c r="T10702" t="s">
        <v>31931</v>
      </c>
    </row>
    <row r="10703" spans="1:20" x14ac:dyDescent="0.25">
      <c r="A10703" t="str">
        <f>"3038412"</f>
        <v>3038412</v>
      </c>
      <c r="B10703" t="s">
        <v>31932</v>
      </c>
      <c r="C10703" t="str">
        <f>"82524934"</f>
        <v>82524934</v>
      </c>
      <c r="D10703" t="s">
        <v>31933</v>
      </c>
      <c r="E10703" t="s">
        <v>31934</v>
      </c>
      <c r="F10703" t="s">
        <v>31935</v>
      </c>
      <c r="I10703" t="s">
        <v>29</v>
      </c>
      <c r="J10703" t="s">
        <v>30</v>
      </c>
      <c r="K10703" t="s">
        <v>31</v>
      </c>
      <c r="M10703" t="s">
        <v>24254</v>
      </c>
      <c r="N10703" t="str">
        <f>"5/10/2017 3:09:00 PM"</f>
        <v>5/10/2017 3:09:00 PM</v>
      </c>
      <c r="O10703" t="s">
        <v>31933</v>
      </c>
      <c r="T10703" t="s">
        <v>31934</v>
      </c>
    </row>
    <row r="10704" spans="1:20" x14ac:dyDescent="0.25">
      <c r="A10704" t="str">
        <f>"3041534"</f>
        <v>3041534</v>
      </c>
      <c r="B10704" t="s">
        <v>31936</v>
      </c>
      <c r="C10704" t="str">
        <f>"8307826"</f>
        <v>8307826</v>
      </c>
      <c r="D10704" t="s">
        <v>31937</v>
      </c>
      <c r="F10704" t="s">
        <v>31938</v>
      </c>
      <c r="I10704" t="s">
        <v>184</v>
      </c>
      <c r="J10704" t="s">
        <v>30</v>
      </c>
      <c r="K10704" t="str">
        <f>"27006"</f>
        <v>27006</v>
      </c>
      <c r="M10704" t="s">
        <v>17861</v>
      </c>
      <c r="N10704" t="str">
        <f>"6/1/2017 4:24:00 PM"</f>
        <v>6/1/2017 4:24:00 PM</v>
      </c>
      <c r="O10704" t="s">
        <v>31937</v>
      </c>
    </row>
    <row r="10705" spans="1:20" x14ac:dyDescent="0.25">
      <c r="A10705" t="str">
        <f>"3052814"</f>
        <v>3052814</v>
      </c>
      <c r="B10705" t="s">
        <v>31939</v>
      </c>
      <c r="C10705" t="str">
        <f>"8307827"</f>
        <v>8307827</v>
      </c>
      <c r="D10705" t="s">
        <v>31940</v>
      </c>
      <c r="E10705" t="s">
        <v>31941</v>
      </c>
      <c r="F10705" t="s">
        <v>31942</v>
      </c>
      <c r="I10705" t="s">
        <v>29</v>
      </c>
      <c r="J10705" t="s">
        <v>30</v>
      </c>
      <c r="K10705" t="str">
        <f>"27028"</f>
        <v>27028</v>
      </c>
      <c r="M10705" t="s">
        <v>17861</v>
      </c>
      <c r="N10705" t="str">
        <f>"6/2/2017 8:32:00 AM"</f>
        <v>6/2/2017 8:32:00 AM</v>
      </c>
      <c r="O10705" t="s">
        <v>31940</v>
      </c>
      <c r="T10705" t="s">
        <v>31941</v>
      </c>
    </row>
    <row r="10706" spans="1:20" x14ac:dyDescent="0.25">
      <c r="A10706" t="str">
        <f>"3059633"</f>
        <v>3059633</v>
      </c>
      <c r="B10706" t="s">
        <v>31943</v>
      </c>
      <c r="C10706" t="str">
        <f>"8307828"</f>
        <v>8307828</v>
      </c>
      <c r="D10706" t="s">
        <v>31944</v>
      </c>
      <c r="E10706" t="s">
        <v>31945</v>
      </c>
      <c r="F10706" t="s">
        <v>31946</v>
      </c>
      <c r="I10706" t="s">
        <v>29</v>
      </c>
      <c r="J10706" t="s">
        <v>30</v>
      </c>
      <c r="K10706" t="str">
        <f>"27028"</f>
        <v>27028</v>
      </c>
      <c r="M10706" t="s">
        <v>17861</v>
      </c>
      <c r="N10706" t="str">
        <f>"6/2/2017 8:56:00 AM"</f>
        <v>6/2/2017 8:56:00 AM</v>
      </c>
      <c r="O10706" t="s">
        <v>31944</v>
      </c>
      <c r="T10706" t="s">
        <v>31945</v>
      </c>
    </row>
    <row r="10707" spans="1:20" x14ac:dyDescent="0.25">
      <c r="A10707" t="str">
        <f>"3059697"</f>
        <v>3059697</v>
      </c>
      <c r="B10707" t="s">
        <v>31947</v>
      </c>
      <c r="C10707" t="str">
        <f>"8307832"</f>
        <v>8307832</v>
      </c>
      <c r="D10707" t="s">
        <v>31948</v>
      </c>
      <c r="E10707" t="s">
        <v>31949</v>
      </c>
      <c r="F10707" t="s">
        <v>31950</v>
      </c>
      <c r="I10707" t="s">
        <v>29</v>
      </c>
      <c r="J10707" t="s">
        <v>30</v>
      </c>
      <c r="K10707" t="str">
        <f>"27028"</f>
        <v>27028</v>
      </c>
      <c r="M10707" t="s">
        <v>17861</v>
      </c>
      <c r="N10707" t="str">
        <f>"6/2/2017 9:07:00 AM"</f>
        <v>6/2/2017 9:07:00 AM</v>
      </c>
      <c r="O10707" t="s">
        <v>31948</v>
      </c>
      <c r="T10707" t="s">
        <v>31949</v>
      </c>
    </row>
    <row r="10708" spans="1:20" x14ac:dyDescent="0.25">
      <c r="A10708" t="str">
        <f>"3053519"</f>
        <v>3053519</v>
      </c>
      <c r="B10708" t="s">
        <v>31951</v>
      </c>
      <c r="C10708" t="str">
        <f>"8307833"</f>
        <v>8307833</v>
      </c>
      <c r="D10708" t="s">
        <v>31952</v>
      </c>
      <c r="E10708" t="s">
        <v>31953</v>
      </c>
      <c r="F10708" t="s">
        <v>31954</v>
      </c>
      <c r="I10708" t="s">
        <v>184</v>
      </c>
      <c r="J10708" t="s">
        <v>30</v>
      </c>
      <c r="K10708" t="str">
        <f>"27006"</f>
        <v>27006</v>
      </c>
      <c r="M10708" t="s">
        <v>17861</v>
      </c>
      <c r="N10708" t="str">
        <f>"6/2/2017 9:09:00 AM"</f>
        <v>6/2/2017 9:09:00 AM</v>
      </c>
      <c r="O10708" t="s">
        <v>31952</v>
      </c>
      <c r="T10708" t="s">
        <v>31953</v>
      </c>
    </row>
    <row r="10709" spans="1:20" x14ac:dyDescent="0.25">
      <c r="A10709" t="str">
        <f>"3053115"</f>
        <v>3053115</v>
      </c>
      <c r="B10709" t="s">
        <v>31955</v>
      </c>
      <c r="C10709" t="str">
        <f>"8307834"</f>
        <v>8307834</v>
      </c>
      <c r="D10709" t="s">
        <v>31956</v>
      </c>
      <c r="E10709" t="s">
        <v>31957</v>
      </c>
      <c r="F10709" t="s">
        <v>31958</v>
      </c>
      <c r="I10709" t="s">
        <v>29</v>
      </c>
      <c r="J10709" t="s">
        <v>30</v>
      </c>
      <c r="K10709" t="str">
        <f>"27028"</f>
        <v>27028</v>
      </c>
      <c r="M10709" t="s">
        <v>17861</v>
      </c>
      <c r="N10709" t="str">
        <f>"6/2/2017 9:12:00 AM"</f>
        <v>6/2/2017 9:12:00 AM</v>
      </c>
      <c r="O10709" t="s">
        <v>31956</v>
      </c>
      <c r="T10709" t="s">
        <v>31957</v>
      </c>
    </row>
    <row r="10710" spans="1:20" x14ac:dyDescent="0.25">
      <c r="A10710" t="str">
        <f>"3055270"</f>
        <v>3055270</v>
      </c>
      <c r="B10710" t="s">
        <v>31959</v>
      </c>
      <c r="C10710" t="str">
        <f>"8307836"</f>
        <v>8307836</v>
      </c>
      <c r="D10710" t="s">
        <v>31960</v>
      </c>
      <c r="E10710" t="s">
        <v>31961</v>
      </c>
      <c r="F10710" t="s">
        <v>31962</v>
      </c>
      <c r="I10710" t="s">
        <v>29</v>
      </c>
      <c r="J10710" t="s">
        <v>30</v>
      </c>
      <c r="K10710" t="str">
        <f>"27028"</f>
        <v>27028</v>
      </c>
      <c r="M10710" t="s">
        <v>17861</v>
      </c>
      <c r="N10710" t="str">
        <f>"6/2/2017 9:30:00 AM"</f>
        <v>6/2/2017 9:30:00 AM</v>
      </c>
      <c r="O10710" t="s">
        <v>31960</v>
      </c>
      <c r="T10710" t="s">
        <v>31961</v>
      </c>
    </row>
    <row r="10711" spans="1:20" x14ac:dyDescent="0.25">
      <c r="A10711" t="str">
        <f>"3041767"</f>
        <v>3041767</v>
      </c>
      <c r="B10711" t="s">
        <v>31963</v>
      </c>
      <c r="C10711" t="str">
        <f>"8307838"</f>
        <v>8307838</v>
      </c>
      <c r="D10711" t="s">
        <v>31964</v>
      </c>
      <c r="E10711" t="s">
        <v>31965</v>
      </c>
      <c r="F10711" t="s">
        <v>31966</v>
      </c>
      <c r="I10711" t="s">
        <v>2071</v>
      </c>
      <c r="J10711" t="s">
        <v>30</v>
      </c>
      <c r="K10711" t="str">
        <f>"27006"</f>
        <v>27006</v>
      </c>
      <c r="M10711" t="s">
        <v>17861</v>
      </c>
      <c r="N10711" t="str">
        <f>"6/2/2017 9:55:00 AM"</f>
        <v>6/2/2017 9:55:00 AM</v>
      </c>
      <c r="O10711" t="s">
        <v>31964</v>
      </c>
      <c r="T10711" t="s">
        <v>31965</v>
      </c>
    </row>
    <row r="10712" spans="1:20" x14ac:dyDescent="0.25">
      <c r="A10712" t="str">
        <f>"3060549"</f>
        <v>3060549</v>
      </c>
      <c r="B10712" t="s">
        <v>31967</v>
      </c>
      <c r="C10712" t="str">
        <f>"8307839"</f>
        <v>8307839</v>
      </c>
      <c r="D10712" t="s">
        <v>31968</v>
      </c>
      <c r="F10712" t="s">
        <v>31969</v>
      </c>
      <c r="I10712" t="s">
        <v>184</v>
      </c>
      <c r="J10712" t="s">
        <v>30</v>
      </c>
      <c r="K10712" t="str">
        <f>"27006"</f>
        <v>27006</v>
      </c>
      <c r="M10712" t="s">
        <v>17861</v>
      </c>
      <c r="N10712" t="str">
        <f>"6/2/2017 9:58:00 AM"</f>
        <v>6/2/2017 9:58:00 AM</v>
      </c>
      <c r="O10712" t="s">
        <v>31968</v>
      </c>
    </row>
    <row r="10713" spans="1:20" x14ac:dyDescent="0.25">
      <c r="A10713" t="str">
        <f>"3063042"</f>
        <v>3063042</v>
      </c>
      <c r="B10713" t="s">
        <v>31970</v>
      </c>
      <c r="C10713" t="str">
        <f>"8307732"</f>
        <v>8307732</v>
      </c>
      <c r="D10713" t="s">
        <v>31971</v>
      </c>
      <c r="F10713" t="s">
        <v>31972</v>
      </c>
      <c r="I10713" t="s">
        <v>184</v>
      </c>
      <c r="J10713" t="s">
        <v>30</v>
      </c>
      <c r="K10713" t="str">
        <f>"27006"</f>
        <v>27006</v>
      </c>
      <c r="M10713" t="s">
        <v>17861</v>
      </c>
      <c r="N10713" t="str">
        <f>"6/2/2017 10:06:00 AM"</f>
        <v>6/2/2017 10:06:00 AM</v>
      </c>
      <c r="O10713" t="s">
        <v>31971</v>
      </c>
    </row>
    <row r="10714" spans="1:20" x14ac:dyDescent="0.25">
      <c r="A10714" t="str">
        <f>"3061193"</f>
        <v>3061193</v>
      </c>
      <c r="B10714" t="s">
        <v>31973</v>
      </c>
      <c r="C10714" t="str">
        <f>"8307793"</f>
        <v>8307793</v>
      </c>
      <c r="D10714" t="s">
        <v>31974</v>
      </c>
      <c r="F10714" t="s">
        <v>31975</v>
      </c>
      <c r="I10714" t="s">
        <v>471</v>
      </c>
      <c r="J10714" t="s">
        <v>30</v>
      </c>
      <c r="K10714" t="str">
        <f>"27103"</f>
        <v>27103</v>
      </c>
      <c r="M10714" t="s">
        <v>17861</v>
      </c>
      <c r="N10714" t="str">
        <f>"5/19/2017 10:46:00 AM"</f>
        <v>5/19/2017 10:46:00 AM</v>
      </c>
      <c r="O10714" t="s">
        <v>31974</v>
      </c>
    </row>
    <row r="10715" spans="1:20" x14ac:dyDescent="0.25">
      <c r="A10715" t="str">
        <f>"3047925"</f>
        <v>3047925</v>
      </c>
      <c r="B10715" t="s">
        <v>31976</v>
      </c>
      <c r="C10715" t="str">
        <f>"8307843"</f>
        <v>8307843</v>
      </c>
      <c r="D10715" t="s">
        <v>31977</v>
      </c>
      <c r="F10715" t="s">
        <v>31978</v>
      </c>
      <c r="I10715" t="s">
        <v>29</v>
      </c>
      <c r="J10715" t="s">
        <v>30</v>
      </c>
      <c r="K10715" t="str">
        <f>"27028"</f>
        <v>27028</v>
      </c>
      <c r="M10715" t="s">
        <v>17861</v>
      </c>
      <c r="N10715" t="str">
        <f>"6/2/2017 10:35:00 AM"</f>
        <v>6/2/2017 10:35:00 AM</v>
      </c>
      <c r="O10715" t="s">
        <v>31977</v>
      </c>
    </row>
    <row r="10716" spans="1:20" x14ac:dyDescent="0.25">
      <c r="A10716" t="str">
        <f>"3048893"</f>
        <v>3048893</v>
      </c>
      <c r="B10716" t="s">
        <v>31979</v>
      </c>
      <c r="C10716" t="str">
        <f>"8307849"</f>
        <v>8307849</v>
      </c>
      <c r="D10716" t="s">
        <v>31980</v>
      </c>
      <c r="F10716" t="s">
        <v>31981</v>
      </c>
      <c r="I10716" t="s">
        <v>31982</v>
      </c>
      <c r="J10716" t="s">
        <v>12725</v>
      </c>
      <c r="K10716" t="str">
        <f>"33563"</f>
        <v>33563</v>
      </c>
      <c r="M10716" t="s">
        <v>17861</v>
      </c>
      <c r="N10716" t="str">
        <f>"6/2/2017 2:58:00 PM"</f>
        <v>6/2/2017 2:58:00 PM</v>
      </c>
      <c r="O10716" t="s">
        <v>31980</v>
      </c>
    </row>
    <row r="10717" spans="1:20" x14ac:dyDescent="0.25">
      <c r="A10717" t="str">
        <f>"3048629"</f>
        <v>3048629</v>
      </c>
      <c r="B10717" t="s">
        <v>31983</v>
      </c>
      <c r="C10717" t="str">
        <f>"8307849"</f>
        <v>8307849</v>
      </c>
      <c r="D10717" t="s">
        <v>31980</v>
      </c>
      <c r="F10717" t="s">
        <v>31981</v>
      </c>
      <c r="I10717" t="s">
        <v>31982</v>
      </c>
      <c r="J10717" t="s">
        <v>12725</v>
      </c>
      <c r="K10717" t="str">
        <f>"33563"</f>
        <v>33563</v>
      </c>
      <c r="M10717" t="s">
        <v>17861</v>
      </c>
      <c r="N10717" t="str">
        <f>"6/2/2017 2:58:00 PM"</f>
        <v>6/2/2017 2:58:00 PM</v>
      </c>
      <c r="O10717" t="s">
        <v>31980</v>
      </c>
    </row>
    <row r="10718" spans="1:20" x14ac:dyDescent="0.25">
      <c r="A10718" t="str">
        <f>"3060696"</f>
        <v>3060696</v>
      </c>
      <c r="B10718" t="s">
        <v>31984</v>
      </c>
      <c r="C10718" t="str">
        <f>"8307850"</f>
        <v>8307850</v>
      </c>
      <c r="D10718" t="s">
        <v>31985</v>
      </c>
      <c r="E10718" t="s">
        <v>31986</v>
      </c>
      <c r="F10718" t="s">
        <v>31987</v>
      </c>
      <c r="I10718" t="s">
        <v>2071</v>
      </c>
      <c r="J10718" t="s">
        <v>30</v>
      </c>
      <c r="K10718" t="str">
        <f>"27006"</f>
        <v>27006</v>
      </c>
      <c r="M10718" t="s">
        <v>17861</v>
      </c>
      <c r="N10718" t="str">
        <f>"6/2/2017 3:02:00 PM"</f>
        <v>6/2/2017 3:02:00 PM</v>
      </c>
      <c r="O10718" t="s">
        <v>31985</v>
      </c>
      <c r="T10718" t="s">
        <v>31986</v>
      </c>
    </row>
    <row r="10719" spans="1:20" x14ac:dyDescent="0.25">
      <c r="A10719" t="str">
        <f>"3040408"</f>
        <v>3040408</v>
      </c>
      <c r="B10719" t="s">
        <v>31988</v>
      </c>
      <c r="C10719" t="str">
        <f>"8307853"</f>
        <v>8307853</v>
      </c>
      <c r="D10719" t="s">
        <v>31989</v>
      </c>
      <c r="F10719" t="s">
        <v>13239</v>
      </c>
      <c r="I10719" t="s">
        <v>184</v>
      </c>
      <c r="J10719" t="s">
        <v>30</v>
      </c>
      <c r="K10719" t="str">
        <f>"27006"</f>
        <v>27006</v>
      </c>
      <c r="M10719" t="s">
        <v>17861</v>
      </c>
      <c r="N10719" t="str">
        <f>"6/2/2017 3:21:00 PM"</f>
        <v>6/2/2017 3:21:00 PM</v>
      </c>
      <c r="O10719" t="s">
        <v>31989</v>
      </c>
    </row>
    <row r="10720" spans="1:20" x14ac:dyDescent="0.25">
      <c r="A10720" t="str">
        <f>"3040409"</f>
        <v>3040409</v>
      </c>
      <c r="B10720" t="s">
        <v>31990</v>
      </c>
      <c r="C10720" t="str">
        <f>"8307853"</f>
        <v>8307853</v>
      </c>
      <c r="D10720" t="s">
        <v>31989</v>
      </c>
      <c r="F10720" t="s">
        <v>13239</v>
      </c>
      <c r="I10720" t="s">
        <v>184</v>
      </c>
      <c r="J10720" t="s">
        <v>30</v>
      </c>
      <c r="K10720" t="str">
        <f>"27006"</f>
        <v>27006</v>
      </c>
      <c r="M10720" t="s">
        <v>17861</v>
      </c>
      <c r="N10720" t="str">
        <f>"6/2/2017 3:21:00 PM"</f>
        <v>6/2/2017 3:21:00 PM</v>
      </c>
      <c r="O10720" t="s">
        <v>31989</v>
      </c>
    </row>
    <row r="10721" spans="1:20" x14ac:dyDescent="0.25">
      <c r="A10721" t="str">
        <f>"3060548"</f>
        <v>3060548</v>
      </c>
      <c r="B10721" t="s">
        <v>31991</v>
      </c>
      <c r="C10721" t="str">
        <f>"8307854"</f>
        <v>8307854</v>
      </c>
      <c r="D10721" t="s">
        <v>31992</v>
      </c>
      <c r="E10721" t="s">
        <v>31993</v>
      </c>
      <c r="F10721" t="s">
        <v>31994</v>
      </c>
      <c r="I10721" t="s">
        <v>184</v>
      </c>
      <c r="J10721" t="s">
        <v>30</v>
      </c>
      <c r="K10721" t="str">
        <f>"27006"</f>
        <v>27006</v>
      </c>
      <c r="M10721" t="s">
        <v>17861</v>
      </c>
      <c r="N10721" t="str">
        <f>"6/2/2017 3:25:00 PM"</f>
        <v>6/2/2017 3:25:00 PM</v>
      </c>
      <c r="O10721" t="s">
        <v>31992</v>
      </c>
      <c r="T10721" t="s">
        <v>31993</v>
      </c>
    </row>
    <row r="10722" spans="1:20" x14ac:dyDescent="0.25">
      <c r="A10722" t="str">
        <f>"3065470"</f>
        <v>3065470</v>
      </c>
      <c r="B10722" t="s">
        <v>31995</v>
      </c>
      <c r="C10722" t="str">
        <f>"8305270"</f>
        <v>8305270</v>
      </c>
      <c r="D10722" t="s">
        <v>31996</v>
      </c>
      <c r="F10722" t="s">
        <v>31997</v>
      </c>
      <c r="I10722" t="s">
        <v>29</v>
      </c>
      <c r="J10722" t="s">
        <v>30</v>
      </c>
      <c r="K10722" t="str">
        <f>"27028"</f>
        <v>27028</v>
      </c>
      <c r="M10722" t="s">
        <v>18479</v>
      </c>
      <c r="N10722" t="str">
        <f>"6/2/2017 3:26:00 PM"</f>
        <v>6/2/2017 3:26:00 PM</v>
      </c>
      <c r="O10722" t="s">
        <v>31996</v>
      </c>
    </row>
    <row r="10723" spans="1:20" x14ac:dyDescent="0.25">
      <c r="A10723" t="str">
        <f>"3052607"</f>
        <v>3052607</v>
      </c>
      <c r="B10723" t="s">
        <v>31998</v>
      </c>
      <c r="C10723" t="str">
        <f>"8307857"</f>
        <v>8307857</v>
      </c>
      <c r="D10723" t="s">
        <v>31999</v>
      </c>
      <c r="E10723" t="s">
        <v>32000</v>
      </c>
      <c r="F10723" t="s">
        <v>32001</v>
      </c>
      <c r="I10723" t="s">
        <v>29</v>
      </c>
      <c r="J10723" t="s">
        <v>30</v>
      </c>
      <c r="K10723" t="str">
        <f>"27028"</f>
        <v>27028</v>
      </c>
      <c r="M10723" t="s">
        <v>17861</v>
      </c>
      <c r="N10723" t="str">
        <f>"6/2/2017 3:35:00 PM"</f>
        <v>6/2/2017 3:35:00 PM</v>
      </c>
      <c r="O10723" t="s">
        <v>31999</v>
      </c>
      <c r="T10723" t="s">
        <v>32000</v>
      </c>
    </row>
    <row r="10724" spans="1:20" x14ac:dyDescent="0.25">
      <c r="A10724" t="str">
        <f>"3058737"</f>
        <v>3058737</v>
      </c>
      <c r="B10724" t="s">
        <v>32002</v>
      </c>
      <c r="C10724" t="str">
        <f>"8307858"</f>
        <v>8307858</v>
      </c>
      <c r="D10724" t="s">
        <v>32003</v>
      </c>
      <c r="E10724" t="s">
        <v>32004</v>
      </c>
      <c r="F10724" t="s">
        <v>32005</v>
      </c>
      <c r="I10724" t="s">
        <v>29</v>
      </c>
      <c r="J10724" t="s">
        <v>30</v>
      </c>
      <c r="K10724" t="str">
        <f>"27028"</f>
        <v>27028</v>
      </c>
      <c r="M10724" t="s">
        <v>17861</v>
      </c>
      <c r="N10724" t="str">
        <f>"6/2/2017 3:37:00 PM"</f>
        <v>6/2/2017 3:37:00 PM</v>
      </c>
      <c r="O10724" t="s">
        <v>32003</v>
      </c>
      <c r="T10724" t="s">
        <v>32004</v>
      </c>
    </row>
    <row r="10725" spans="1:20" x14ac:dyDescent="0.25">
      <c r="A10725" t="str">
        <f>"3064369"</f>
        <v>3064369</v>
      </c>
      <c r="B10725" t="s">
        <v>32006</v>
      </c>
      <c r="C10725" t="str">
        <f>"8304678"</f>
        <v>8304678</v>
      </c>
      <c r="D10725" t="s">
        <v>32007</v>
      </c>
      <c r="F10725" t="s">
        <v>32008</v>
      </c>
      <c r="G10725" t="s">
        <v>32009</v>
      </c>
      <c r="I10725" t="s">
        <v>3196</v>
      </c>
      <c r="J10725" t="s">
        <v>30</v>
      </c>
      <c r="K10725" t="str">
        <f>"28277"</f>
        <v>28277</v>
      </c>
      <c r="L10725" t="s">
        <v>2497</v>
      </c>
      <c r="M10725" t="s">
        <v>17922</v>
      </c>
      <c r="N10725" t="str">
        <f>"5/24/2017 2:31:00 PM"</f>
        <v>5/24/2017 2:31:00 PM</v>
      </c>
      <c r="O10725" t="s">
        <v>32007</v>
      </c>
    </row>
    <row r="10726" spans="1:20" x14ac:dyDescent="0.25">
      <c r="A10726" t="str">
        <f>"3043916"</f>
        <v>3043916</v>
      </c>
      <c r="B10726" t="s">
        <v>32010</v>
      </c>
      <c r="C10726" t="str">
        <f>"8305682"</f>
        <v>8305682</v>
      </c>
      <c r="D10726" t="s">
        <v>32011</v>
      </c>
      <c r="E10726" t="s">
        <v>32012</v>
      </c>
      <c r="F10726" t="s">
        <v>32013</v>
      </c>
      <c r="I10726" t="s">
        <v>184</v>
      </c>
      <c r="J10726" t="s">
        <v>30</v>
      </c>
      <c r="K10726" t="str">
        <f>"27006"</f>
        <v>27006</v>
      </c>
      <c r="M10726" t="s">
        <v>18479</v>
      </c>
      <c r="N10726" t="str">
        <f>"6/5/2017 9:36:00 AM"</f>
        <v>6/5/2017 9:36:00 AM</v>
      </c>
      <c r="O10726" t="s">
        <v>32011</v>
      </c>
      <c r="T10726" t="s">
        <v>32012</v>
      </c>
    </row>
    <row r="10727" spans="1:20" x14ac:dyDescent="0.25">
      <c r="A10727" t="str">
        <f>"3043885"</f>
        <v>3043885</v>
      </c>
      <c r="B10727" t="s">
        <v>32014</v>
      </c>
      <c r="C10727" t="str">
        <f>"8305682"</f>
        <v>8305682</v>
      </c>
      <c r="D10727" t="s">
        <v>32011</v>
      </c>
      <c r="E10727" t="s">
        <v>32012</v>
      </c>
      <c r="F10727" t="s">
        <v>32013</v>
      </c>
      <c r="I10727" t="s">
        <v>184</v>
      </c>
      <c r="J10727" t="s">
        <v>30</v>
      </c>
      <c r="K10727" t="str">
        <f>"27006"</f>
        <v>27006</v>
      </c>
      <c r="M10727" t="s">
        <v>18479</v>
      </c>
      <c r="N10727" t="str">
        <f>"6/5/2017 9:36:00 AM"</f>
        <v>6/5/2017 9:36:00 AM</v>
      </c>
      <c r="O10727" t="s">
        <v>32011</v>
      </c>
      <c r="T10727" t="s">
        <v>32012</v>
      </c>
    </row>
    <row r="10728" spans="1:20" x14ac:dyDescent="0.25">
      <c r="A10728" t="str">
        <f>"3055966"</f>
        <v>3055966</v>
      </c>
      <c r="B10728" t="s">
        <v>32015</v>
      </c>
      <c r="C10728" t="str">
        <f>"8306526"</f>
        <v>8306526</v>
      </c>
      <c r="D10728" t="s">
        <v>32016</v>
      </c>
      <c r="F10728" t="s">
        <v>32017</v>
      </c>
      <c r="I10728" t="s">
        <v>9580</v>
      </c>
      <c r="J10728" t="s">
        <v>30</v>
      </c>
      <c r="K10728" t="str">
        <f>"27014"</f>
        <v>27014</v>
      </c>
      <c r="M10728" t="s">
        <v>18479</v>
      </c>
      <c r="N10728" t="str">
        <f>"6/5/2017 2:16:00 PM"</f>
        <v>6/5/2017 2:16:00 PM</v>
      </c>
      <c r="O10728" t="s">
        <v>32016</v>
      </c>
    </row>
    <row r="10729" spans="1:20" x14ac:dyDescent="0.25">
      <c r="A10729" t="str">
        <f>"3046964"</f>
        <v>3046964</v>
      </c>
      <c r="B10729" t="s">
        <v>32018</v>
      </c>
      <c r="C10729" t="str">
        <f>"8307861"</f>
        <v>8307861</v>
      </c>
      <c r="D10729" t="s">
        <v>32019</v>
      </c>
      <c r="E10729" t="s">
        <v>32020</v>
      </c>
      <c r="F10729" t="s">
        <v>32021</v>
      </c>
      <c r="I10729" t="s">
        <v>29</v>
      </c>
      <c r="J10729" t="s">
        <v>30</v>
      </c>
      <c r="K10729" t="str">
        <f>"27028"</f>
        <v>27028</v>
      </c>
      <c r="M10729" t="s">
        <v>17861</v>
      </c>
      <c r="N10729" t="str">
        <f>"6/5/2017 2:41:00 PM"</f>
        <v>6/5/2017 2:41:00 PM</v>
      </c>
      <c r="O10729" t="s">
        <v>32019</v>
      </c>
      <c r="T10729" t="s">
        <v>32020</v>
      </c>
    </row>
    <row r="10730" spans="1:20" x14ac:dyDescent="0.25">
      <c r="A10730" t="str">
        <f>"3064377"</f>
        <v>3064377</v>
      </c>
      <c r="B10730" t="s">
        <v>32022</v>
      </c>
      <c r="C10730" t="str">
        <f>"8304678"</f>
        <v>8304678</v>
      </c>
      <c r="D10730" t="s">
        <v>32007</v>
      </c>
      <c r="F10730" t="s">
        <v>32008</v>
      </c>
      <c r="G10730" t="s">
        <v>32009</v>
      </c>
      <c r="I10730" t="s">
        <v>3196</v>
      </c>
      <c r="J10730" t="s">
        <v>30</v>
      </c>
      <c r="K10730" t="str">
        <f>"28277"</f>
        <v>28277</v>
      </c>
      <c r="L10730" t="s">
        <v>2497</v>
      </c>
      <c r="M10730" t="s">
        <v>17922</v>
      </c>
      <c r="N10730" t="str">
        <f>"5/24/2017 2:31:00 PM"</f>
        <v>5/24/2017 2:31:00 PM</v>
      </c>
      <c r="O10730" t="s">
        <v>32007</v>
      </c>
    </row>
    <row r="10731" spans="1:20" x14ac:dyDescent="0.25">
      <c r="A10731" t="str">
        <f>"3049080"</f>
        <v>3049080</v>
      </c>
      <c r="B10731" t="s">
        <v>32023</v>
      </c>
      <c r="C10731" t="str">
        <f>"8304678"</f>
        <v>8304678</v>
      </c>
      <c r="D10731" t="s">
        <v>32007</v>
      </c>
      <c r="F10731" t="s">
        <v>32008</v>
      </c>
      <c r="G10731" t="s">
        <v>32009</v>
      </c>
      <c r="I10731" t="s">
        <v>3196</v>
      </c>
      <c r="J10731" t="s">
        <v>30</v>
      </c>
      <c r="K10731" t="str">
        <f>"28277"</f>
        <v>28277</v>
      </c>
      <c r="L10731" t="s">
        <v>2497</v>
      </c>
      <c r="M10731" t="s">
        <v>17922</v>
      </c>
      <c r="N10731" t="str">
        <f>"5/24/2017 2:31:00 PM"</f>
        <v>5/24/2017 2:31:00 PM</v>
      </c>
      <c r="O10731" t="s">
        <v>32007</v>
      </c>
    </row>
    <row r="10732" spans="1:20" x14ac:dyDescent="0.25">
      <c r="A10732" t="str">
        <f>"3049081"</f>
        <v>3049081</v>
      </c>
      <c r="B10732" t="s">
        <v>32024</v>
      </c>
      <c r="C10732" t="str">
        <f>"8304678"</f>
        <v>8304678</v>
      </c>
      <c r="D10732" t="s">
        <v>32007</v>
      </c>
      <c r="F10732" t="s">
        <v>32008</v>
      </c>
      <c r="G10732" t="s">
        <v>32009</v>
      </c>
      <c r="I10732" t="s">
        <v>3196</v>
      </c>
      <c r="J10732" t="s">
        <v>30</v>
      </c>
      <c r="K10732" t="str">
        <f>"28277"</f>
        <v>28277</v>
      </c>
      <c r="L10732" t="s">
        <v>2497</v>
      </c>
      <c r="M10732" t="s">
        <v>17922</v>
      </c>
      <c r="N10732" t="str">
        <f>"5/24/2017 2:31:00 PM"</f>
        <v>5/24/2017 2:31:00 PM</v>
      </c>
      <c r="O10732" t="s">
        <v>32007</v>
      </c>
    </row>
    <row r="10733" spans="1:20" x14ac:dyDescent="0.25">
      <c r="A10733" t="str">
        <f>"3049118"</f>
        <v>3049118</v>
      </c>
      <c r="B10733" t="s">
        <v>32025</v>
      </c>
      <c r="C10733" t="str">
        <f>"8307806"</f>
        <v>8307806</v>
      </c>
      <c r="D10733" t="s">
        <v>32026</v>
      </c>
      <c r="F10733" t="s">
        <v>32027</v>
      </c>
      <c r="I10733" t="s">
        <v>184</v>
      </c>
      <c r="J10733" t="s">
        <v>30</v>
      </c>
      <c r="K10733" t="str">
        <f>"27006"</f>
        <v>27006</v>
      </c>
      <c r="M10733" t="s">
        <v>17861</v>
      </c>
      <c r="N10733" t="str">
        <f>"5/26/2017 9:41:00 AM"</f>
        <v>5/26/2017 9:41:00 AM</v>
      </c>
      <c r="O10733" t="s">
        <v>32026</v>
      </c>
    </row>
    <row r="10734" spans="1:20" x14ac:dyDescent="0.25">
      <c r="A10734" t="str">
        <f>"3049117"</f>
        <v>3049117</v>
      </c>
      <c r="B10734" t="s">
        <v>32028</v>
      </c>
      <c r="C10734" t="str">
        <f>"8307806"</f>
        <v>8307806</v>
      </c>
      <c r="D10734" t="s">
        <v>32026</v>
      </c>
      <c r="F10734" t="s">
        <v>32027</v>
      </c>
      <c r="I10734" t="s">
        <v>184</v>
      </c>
      <c r="J10734" t="s">
        <v>30</v>
      </c>
      <c r="K10734" t="str">
        <f>"27006"</f>
        <v>27006</v>
      </c>
      <c r="M10734" t="s">
        <v>17861</v>
      </c>
      <c r="N10734" t="str">
        <f>"5/26/2017 9:41:00 AM"</f>
        <v>5/26/2017 9:41:00 AM</v>
      </c>
      <c r="O10734" t="s">
        <v>32026</v>
      </c>
    </row>
    <row r="10735" spans="1:20" x14ac:dyDescent="0.25">
      <c r="A10735" t="str">
        <f>"3078167"</f>
        <v>3078167</v>
      </c>
      <c r="B10735" t="s">
        <v>32029</v>
      </c>
      <c r="C10735" t="str">
        <f>"8307811"</f>
        <v>8307811</v>
      </c>
      <c r="D10735" t="s">
        <v>32030</v>
      </c>
      <c r="E10735" t="s">
        <v>22415</v>
      </c>
      <c r="F10735" t="s">
        <v>22416</v>
      </c>
      <c r="I10735" t="s">
        <v>29</v>
      </c>
      <c r="J10735" t="s">
        <v>30</v>
      </c>
      <c r="K10735" t="str">
        <f>"27028"</f>
        <v>27028</v>
      </c>
      <c r="M10735" t="s">
        <v>17861</v>
      </c>
      <c r="N10735" t="str">
        <f>"5/30/2017 1:53:00 PM"</f>
        <v>5/30/2017 1:53:00 PM</v>
      </c>
      <c r="O10735" t="s">
        <v>32030</v>
      </c>
      <c r="T10735" t="s">
        <v>22415</v>
      </c>
    </row>
    <row r="10736" spans="1:20" x14ac:dyDescent="0.25">
      <c r="A10736" t="str">
        <f>"3051097"</f>
        <v>3051097</v>
      </c>
      <c r="B10736" t="s">
        <v>32031</v>
      </c>
      <c r="C10736" t="str">
        <f>"8307814"</f>
        <v>8307814</v>
      </c>
      <c r="D10736" t="s">
        <v>32032</v>
      </c>
      <c r="F10736" t="s">
        <v>32033</v>
      </c>
      <c r="I10736" t="s">
        <v>29</v>
      </c>
      <c r="J10736" t="s">
        <v>30</v>
      </c>
      <c r="K10736" t="str">
        <f>"27028"</f>
        <v>27028</v>
      </c>
      <c r="M10736" t="s">
        <v>17861</v>
      </c>
      <c r="N10736" t="str">
        <f>"5/31/2017 3:05:00 PM"</f>
        <v>5/31/2017 3:05:00 PM</v>
      </c>
      <c r="O10736" t="s">
        <v>32032</v>
      </c>
    </row>
    <row r="10737" spans="1:20" x14ac:dyDescent="0.25">
      <c r="A10737" t="str">
        <f>"3060698"</f>
        <v>3060698</v>
      </c>
      <c r="B10737" t="s">
        <v>32034</v>
      </c>
      <c r="C10737" t="str">
        <f>"8307818"</f>
        <v>8307818</v>
      </c>
      <c r="D10737" t="s">
        <v>32035</v>
      </c>
      <c r="E10737" t="s">
        <v>32036</v>
      </c>
      <c r="F10737" t="s">
        <v>32037</v>
      </c>
      <c r="I10737" t="s">
        <v>2071</v>
      </c>
      <c r="J10737" t="s">
        <v>30</v>
      </c>
      <c r="K10737" t="str">
        <f>"27006"</f>
        <v>27006</v>
      </c>
      <c r="M10737" t="s">
        <v>17861</v>
      </c>
      <c r="N10737" t="str">
        <f>"6/1/2017 2:19:00 PM"</f>
        <v>6/1/2017 2:19:00 PM</v>
      </c>
      <c r="O10737" t="s">
        <v>32035</v>
      </c>
      <c r="T10737" t="s">
        <v>32036</v>
      </c>
    </row>
    <row r="10738" spans="1:20" x14ac:dyDescent="0.25">
      <c r="A10738" t="str">
        <f>"3043521"</f>
        <v>3043521</v>
      </c>
      <c r="B10738" t="s">
        <v>32038</v>
      </c>
      <c r="C10738" t="str">
        <f>"8302629"</f>
        <v>8302629</v>
      </c>
      <c r="D10738" t="s">
        <v>28147</v>
      </c>
      <c r="F10738" t="s">
        <v>32039</v>
      </c>
      <c r="G10738" t="s">
        <v>32040</v>
      </c>
      <c r="I10738" t="s">
        <v>2589</v>
      </c>
      <c r="J10738" t="s">
        <v>30</v>
      </c>
      <c r="K10738" t="str">
        <f>"27603"</f>
        <v>27603</v>
      </c>
      <c r="M10738" t="s">
        <v>18479</v>
      </c>
      <c r="N10738" t="str">
        <f>"6/14/2017 4:20:00 PM"</f>
        <v>6/14/2017 4:20:00 PM</v>
      </c>
      <c r="O10738" t="s">
        <v>28147</v>
      </c>
    </row>
    <row r="10739" spans="1:20" x14ac:dyDescent="0.25">
      <c r="A10739" t="str">
        <f>"3050413"</f>
        <v>3050413</v>
      </c>
      <c r="B10739" t="s">
        <v>32041</v>
      </c>
      <c r="C10739" t="str">
        <f>"8302629"</f>
        <v>8302629</v>
      </c>
      <c r="D10739" t="s">
        <v>28147</v>
      </c>
      <c r="F10739" t="s">
        <v>32039</v>
      </c>
      <c r="G10739" t="s">
        <v>32040</v>
      </c>
      <c r="I10739" t="s">
        <v>2589</v>
      </c>
      <c r="J10739" t="s">
        <v>30</v>
      </c>
      <c r="K10739" t="str">
        <f>"27603"</f>
        <v>27603</v>
      </c>
      <c r="M10739" t="s">
        <v>18479</v>
      </c>
      <c r="N10739" t="str">
        <f>"6/14/2017 4:20:00 PM"</f>
        <v>6/14/2017 4:20:00 PM</v>
      </c>
      <c r="O10739" t="s">
        <v>28147</v>
      </c>
    </row>
    <row r="10740" spans="1:20" x14ac:dyDescent="0.25">
      <c r="A10740" t="str">
        <f>"3041209"</f>
        <v>3041209</v>
      </c>
      <c r="B10740" t="s">
        <v>32042</v>
      </c>
      <c r="C10740" t="str">
        <f>"8307823"</f>
        <v>8307823</v>
      </c>
      <c r="D10740" t="s">
        <v>32043</v>
      </c>
      <c r="E10740" t="s">
        <v>32044</v>
      </c>
      <c r="F10740" t="s">
        <v>32045</v>
      </c>
      <c r="I10740" t="s">
        <v>2071</v>
      </c>
      <c r="J10740" t="s">
        <v>30</v>
      </c>
      <c r="K10740" t="str">
        <f>"27006"</f>
        <v>27006</v>
      </c>
      <c r="M10740" t="s">
        <v>17861</v>
      </c>
      <c r="N10740" t="str">
        <f>"6/1/2017 3:47:00 PM"</f>
        <v>6/1/2017 3:47:00 PM</v>
      </c>
      <c r="O10740" t="s">
        <v>32043</v>
      </c>
      <c r="T10740" t="s">
        <v>32044</v>
      </c>
    </row>
    <row r="10741" spans="1:20" x14ac:dyDescent="0.25">
      <c r="A10741" t="str">
        <f>"3052944"</f>
        <v>3052944</v>
      </c>
      <c r="B10741" t="s">
        <v>32046</v>
      </c>
      <c r="C10741" t="str">
        <f>"8307825"</f>
        <v>8307825</v>
      </c>
      <c r="D10741" t="s">
        <v>32047</v>
      </c>
      <c r="F10741" t="s">
        <v>32048</v>
      </c>
      <c r="I10741" t="s">
        <v>29</v>
      </c>
      <c r="J10741" t="s">
        <v>30</v>
      </c>
      <c r="K10741" t="str">
        <f>"27028"</f>
        <v>27028</v>
      </c>
      <c r="M10741" t="s">
        <v>17861</v>
      </c>
      <c r="N10741" t="str">
        <f>"6/1/2017 4:21:00 PM"</f>
        <v>6/1/2017 4:21:00 PM</v>
      </c>
      <c r="O10741" t="s">
        <v>32047</v>
      </c>
    </row>
    <row r="10742" spans="1:20" x14ac:dyDescent="0.25">
      <c r="A10742" t="str">
        <f>"3043912"</f>
        <v>3043912</v>
      </c>
      <c r="B10742" t="s">
        <v>32049</v>
      </c>
      <c r="C10742" t="str">
        <f>"82522052"</f>
        <v>82522052</v>
      </c>
      <c r="D10742" t="s">
        <v>22190</v>
      </c>
      <c r="F10742" t="s">
        <v>22192</v>
      </c>
      <c r="I10742" t="s">
        <v>184</v>
      </c>
      <c r="J10742" t="s">
        <v>30</v>
      </c>
      <c r="K10742" t="s">
        <v>185</v>
      </c>
      <c r="M10742" t="s">
        <v>25494</v>
      </c>
      <c r="N10742" t="str">
        <f>"5/17/2017 9:59:00 AM"</f>
        <v>5/17/2017 9:59:00 AM</v>
      </c>
      <c r="O10742" t="s">
        <v>22190</v>
      </c>
    </row>
    <row r="10743" spans="1:20" x14ac:dyDescent="0.25">
      <c r="A10743" t="str">
        <f>"3077749"</f>
        <v>3077749</v>
      </c>
      <c r="B10743" t="s">
        <v>32050</v>
      </c>
      <c r="C10743" t="str">
        <f>"82522052"</f>
        <v>82522052</v>
      </c>
      <c r="D10743" t="s">
        <v>22190</v>
      </c>
      <c r="F10743" t="s">
        <v>22192</v>
      </c>
      <c r="I10743" t="s">
        <v>184</v>
      </c>
      <c r="J10743" t="s">
        <v>30</v>
      </c>
      <c r="K10743" t="s">
        <v>185</v>
      </c>
      <c r="M10743" t="s">
        <v>25494</v>
      </c>
      <c r="N10743" t="str">
        <f>"5/17/2017 9:59:00 AM"</f>
        <v>5/17/2017 9:59:00 AM</v>
      </c>
      <c r="O10743" t="s">
        <v>22190</v>
      </c>
    </row>
    <row r="10744" spans="1:20" x14ac:dyDescent="0.25">
      <c r="A10744" t="str">
        <f>"3044192"</f>
        <v>3044192</v>
      </c>
      <c r="B10744" t="s">
        <v>32051</v>
      </c>
      <c r="C10744" t="str">
        <f>"8301284"</f>
        <v>8301284</v>
      </c>
      <c r="D10744" t="s">
        <v>32052</v>
      </c>
      <c r="F10744" t="s">
        <v>32053</v>
      </c>
      <c r="I10744" t="s">
        <v>184</v>
      </c>
      <c r="J10744" t="s">
        <v>30</v>
      </c>
      <c r="K10744" t="str">
        <f>"27006"</f>
        <v>27006</v>
      </c>
      <c r="M10744" t="s">
        <v>25625</v>
      </c>
      <c r="N10744" t="str">
        <f>"5/17/2017 11:35:00 AM"</f>
        <v>5/17/2017 11:35:00 AM</v>
      </c>
      <c r="O10744" t="s">
        <v>32052</v>
      </c>
    </row>
    <row r="10745" spans="1:20" x14ac:dyDescent="0.25">
      <c r="A10745" t="str">
        <f>"3051593"</f>
        <v>3051593</v>
      </c>
      <c r="B10745" t="s">
        <v>32054</v>
      </c>
      <c r="C10745" t="str">
        <f>"8307902"</f>
        <v>8307902</v>
      </c>
      <c r="D10745" t="s">
        <v>32055</v>
      </c>
      <c r="F10745" t="s">
        <v>32056</v>
      </c>
      <c r="I10745" t="s">
        <v>29</v>
      </c>
      <c r="J10745" t="s">
        <v>30</v>
      </c>
      <c r="K10745" t="str">
        <f>"27028"</f>
        <v>27028</v>
      </c>
      <c r="M10745" t="s">
        <v>17861</v>
      </c>
      <c r="N10745" t="str">
        <f>"6/16/2017 10:38:00 AM"</f>
        <v>6/16/2017 10:38:00 AM</v>
      </c>
      <c r="O10745" t="s">
        <v>32055</v>
      </c>
    </row>
    <row r="10746" spans="1:20" x14ac:dyDescent="0.25">
      <c r="A10746" t="str">
        <f>"3038704"</f>
        <v>3038704</v>
      </c>
      <c r="B10746" t="s">
        <v>32057</v>
      </c>
      <c r="C10746" t="str">
        <f>"8305899"</f>
        <v>8305899</v>
      </c>
      <c r="D10746" t="s">
        <v>32058</v>
      </c>
      <c r="E10746" t="s">
        <v>6813</v>
      </c>
      <c r="F10746" t="s">
        <v>32059</v>
      </c>
      <c r="I10746" t="s">
        <v>29</v>
      </c>
      <c r="J10746" t="s">
        <v>30</v>
      </c>
      <c r="K10746" t="str">
        <f>"27028"</f>
        <v>27028</v>
      </c>
      <c r="M10746" t="s">
        <v>18479</v>
      </c>
      <c r="N10746" t="str">
        <f>"5/17/2017 2:40:00 PM"</f>
        <v>5/17/2017 2:40:00 PM</v>
      </c>
      <c r="O10746" t="s">
        <v>32058</v>
      </c>
      <c r="T10746" t="s">
        <v>6813</v>
      </c>
    </row>
    <row r="10747" spans="1:20" x14ac:dyDescent="0.25">
      <c r="A10747" t="str">
        <f>"3062349"</f>
        <v>3062349</v>
      </c>
      <c r="B10747" t="s">
        <v>32060</v>
      </c>
      <c r="C10747" t="str">
        <f>"8307908"</f>
        <v>8307908</v>
      </c>
      <c r="D10747" t="s">
        <v>32061</v>
      </c>
      <c r="F10747" t="s">
        <v>32062</v>
      </c>
      <c r="I10747" t="s">
        <v>29</v>
      </c>
      <c r="J10747" t="s">
        <v>30</v>
      </c>
      <c r="K10747" t="str">
        <f>"27028"</f>
        <v>27028</v>
      </c>
      <c r="M10747" t="s">
        <v>17861</v>
      </c>
      <c r="N10747" t="str">
        <f>"6/16/2017 11:09:00 AM"</f>
        <v>6/16/2017 11:09:00 AM</v>
      </c>
      <c r="O10747" t="s">
        <v>32061</v>
      </c>
    </row>
    <row r="10748" spans="1:20" x14ac:dyDescent="0.25">
      <c r="A10748" t="str">
        <f>"3057469"</f>
        <v>3057469</v>
      </c>
      <c r="B10748" t="s">
        <v>32063</v>
      </c>
      <c r="C10748" t="str">
        <f>"67995300"</f>
        <v>67995300</v>
      </c>
      <c r="D10748" t="s">
        <v>32064</v>
      </c>
      <c r="F10748" t="s">
        <v>32065</v>
      </c>
      <c r="I10748" t="s">
        <v>29</v>
      </c>
      <c r="J10748" t="s">
        <v>30</v>
      </c>
      <c r="K10748" t="s">
        <v>31</v>
      </c>
      <c r="M10748" t="s">
        <v>25625</v>
      </c>
      <c r="N10748" t="str">
        <f>"5/17/2017 3:28:00 PM"</f>
        <v>5/17/2017 3:28:00 PM</v>
      </c>
      <c r="O10748" t="s">
        <v>32064</v>
      </c>
    </row>
    <row r="10749" spans="1:20" x14ac:dyDescent="0.25">
      <c r="A10749" t="str">
        <f>"3053939"</f>
        <v>3053939</v>
      </c>
      <c r="B10749" t="s">
        <v>32066</v>
      </c>
      <c r="C10749" t="str">
        <f>"8307917"</f>
        <v>8307917</v>
      </c>
      <c r="D10749" t="s">
        <v>32067</v>
      </c>
      <c r="E10749" t="s">
        <v>32068</v>
      </c>
      <c r="F10749" t="s">
        <v>32069</v>
      </c>
      <c r="I10749" t="s">
        <v>29</v>
      </c>
      <c r="J10749" t="s">
        <v>30</v>
      </c>
      <c r="K10749" t="str">
        <f>"27028"</f>
        <v>27028</v>
      </c>
      <c r="M10749" t="s">
        <v>17861</v>
      </c>
      <c r="N10749" t="str">
        <f>"6/16/2017 12:21:00 PM"</f>
        <v>6/16/2017 12:21:00 PM</v>
      </c>
      <c r="O10749" t="s">
        <v>32067</v>
      </c>
      <c r="T10749" t="s">
        <v>32068</v>
      </c>
    </row>
    <row r="10750" spans="1:20" x14ac:dyDescent="0.25">
      <c r="A10750" t="str">
        <f>"3060642"</f>
        <v>3060642</v>
      </c>
      <c r="B10750" t="s">
        <v>32070</v>
      </c>
      <c r="C10750" t="str">
        <f>"8307918"</f>
        <v>8307918</v>
      </c>
      <c r="D10750" t="s">
        <v>32071</v>
      </c>
      <c r="F10750" t="s">
        <v>32072</v>
      </c>
      <c r="I10750" t="s">
        <v>2071</v>
      </c>
      <c r="J10750" t="s">
        <v>30</v>
      </c>
      <c r="K10750" t="str">
        <f t="shared" ref="K10750:K10757" si="183">"27006"</f>
        <v>27006</v>
      </c>
      <c r="M10750" t="s">
        <v>17861</v>
      </c>
      <c r="N10750" t="str">
        <f>"6/16/2017 12:26:00 PM"</f>
        <v>6/16/2017 12:26:00 PM</v>
      </c>
      <c r="O10750" t="s">
        <v>32071</v>
      </c>
    </row>
    <row r="10751" spans="1:20" x14ac:dyDescent="0.25">
      <c r="A10751" t="str">
        <f>"3072160"</f>
        <v>3072160</v>
      </c>
      <c r="B10751" t="s">
        <v>32073</v>
      </c>
      <c r="C10751" t="str">
        <f>"8307921"</f>
        <v>8307921</v>
      </c>
      <c r="D10751" t="s">
        <v>32074</v>
      </c>
      <c r="E10751" t="s">
        <v>32075</v>
      </c>
      <c r="F10751" t="s">
        <v>32076</v>
      </c>
      <c r="I10751" t="s">
        <v>184</v>
      </c>
      <c r="J10751" t="s">
        <v>30</v>
      </c>
      <c r="K10751" t="str">
        <f t="shared" si="183"/>
        <v>27006</v>
      </c>
      <c r="M10751" t="s">
        <v>17861</v>
      </c>
      <c r="N10751" t="str">
        <f>"6/16/2017 2:03:00 PM"</f>
        <v>6/16/2017 2:03:00 PM</v>
      </c>
      <c r="O10751" t="s">
        <v>32074</v>
      </c>
      <c r="T10751" t="s">
        <v>32075</v>
      </c>
    </row>
    <row r="10752" spans="1:20" x14ac:dyDescent="0.25">
      <c r="A10752" t="str">
        <f>"3072161"</f>
        <v>3072161</v>
      </c>
      <c r="B10752" t="s">
        <v>32077</v>
      </c>
      <c r="C10752" t="str">
        <f>"8307921"</f>
        <v>8307921</v>
      </c>
      <c r="D10752" t="s">
        <v>32074</v>
      </c>
      <c r="E10752" t="s">
        <v>32075</v>
      </c>
      <c r="F10752" t="s">
        <v>32076</v>
      </c>
      <c r="I10752" t="s">
        <v>184</v>
      </c>
      <c r="J10752" t="s">
        <v>30</v>
      </c>
      <c r="K10752" t="str">
        <f t="shared" si="183"/>
        <v>27006</v>
      </c>
      <c r="M10752" t="s">
        <v>17861</v>
      </c>
      <c r="N10752" t="str">
        <f>"6/16/2017 2:03:00 PM"</f>
        <v>6/16/2017 2:03:00 PM</v>
      </c>
      <c r="O10752" t="s">
        <v>32074</v>
      </c>
      <c r="T10752" t="s">
        <v>32075</v>
      </c>
    </row>
    <row r="10753" spans="1:20" x14ac:dyDescent="0.25">
      <c r="A10753" t="str">
        <f>"3050589"</f>
        <v>3050589</v>
      </c>
      <c r="B10753" t="s">
        <v>32078</v>
      </c>
      <c r="C10753" t="str">
        <f>"8307921"</f>
        <v>8307921</v>
      </c>
      <c r="D10753" t="s">
        <v>32074</v>
      </c>
      <c r="E10753" t="s">
        <v>32075</v>
      </c>
      <c r="F10753" t="s">
        <v>32076</v>
      </c>
      <c r="I10753" t="s">
        <v>184</v>
      </c>
      <c r="J10753" t="s">
        <v>30</v>
      </c>
      <c r="K10753" t="str">
        <f t="shared" si="183"/>
        <v>27006</v>
      </c>
      <c r="M10753" t="s">
        <v>17861</v>
      </c>
      <c r="N10753" t="str">
        <f>"6/16/2017 2:03:00 PM"</f>
        <v>6/16/2017 2:03:00 PM</v>
      </c>
      <c r="O10753" t="s">
        <v>32074</v>
      </c>
      <c r="T10753" t="s">
        <v>32075</v>
      </c>
    </row>
    <row r="10754" spans="1:20" x14ac:dyDescent="0.25">
      <c r="A10754" t="str">
        <f>"3048610"</f>
        <v>3048610</v>
      </c>
      <c r="B10754" t="s">
        <v>32079</v>
      </c>
      <c r="C10754" t="str">
        <f>"8307921"</f>
        <v>8307921</v>
      </c>
      <c r="D10754" t="s">
        <v>32074</v>
      </c>
      <c r="E10754" t="s">
        <v>32075</v>
      </c>
      <c r="F10754" t="s">
        <v>32076</v>
      </c>
      <c r="I10754" t="s">
        <v>184</v>
      </c>
      <c r="J10754" t="s">
        <v>30</v>
      </c>
      <c r="K10754" t="str">
        <f t="shared" si="183"/>
        <v>27006</v>
      </c>
      <c r="M10754" t="s">
        <v>17861</v>
      </c>
      <c r="N10754" t="str">
        <f>"6/16/2017 2:03:00 PM"</f>
        <v>6/16/2017 2:03:00 PM</v>
      </c>
      <c r="O10754" t="s">
        <v>32074</v>
      </c>
      <c r="T10754" t="s">
        <v>32075</v>
      </c>
    </row>
    <row r="10755" spans="1:20" x14ac:dyDescent="0.25">
      <c r="A10755" t="str">
        <f>"3044427"</f>
        <v>3044427</v>
      </c>
      <c r="B10755" t="s">
        <v>32080</v>
      </c>
      <c r="C10755" t="str">
        <f>"8307923"</f>
        <v>8307923</v>
      </c>
      <c r="D10755" t="s">
        <v>32081</v>
      </c>
      <c r="E10755" t="s">
        <v>32082</v>
      </c>
      <c r="F10755" t="s">
        <v>32083</v>
      </c>
      <c r="I10755" t="s">
        <v>184</v>
      </c>
      <c r="J10755" t="s">
        <v>30</v>
      </c>
      <c r="K10755" t="str">
        <f t="shared" si="183"/>
        <v>27006</v>
      </c>
      <c r="M10755" t="s">
        <v>17861</v>
      </c>
      <c r="N10755" t="str">
        <f>"6/16/2017 2:10:00 PM"</f>
        <v>6/16/2017 2:10:00 PM</v>
      </c>
      <c r="O10755" t="s">
        <v>32081</v>
      </c>
      <c r="T10755" t="s">
        <v>32082</v>
      </c>
    </row>
    <row r="10756" spans="1:20" x14ac:dyDescent="0.25">
      <c r="A10756" t="str">
        <f>"3050773"</f>
        <v>3050773</v>
      </c>
      <c r="B10756" t="s">
        <v>32084</v>
      </c>
      <c r="C10756" t="str">
        <f>"8307924"</f>
        <v>8307924</v>
      </c>
      <c r="D10756" t="s">
        <v>32085</v>
      </c>
      <c r="E10756" t="s">
        <v>32086</v>
      </c>
      <c r="F10756" t="s">
        <v>32087</v>
      </c>
      <c r="I10756" t="s">
        <v>184</v>
      </c>
      <c r="J10756" t="s">
        <v>30</v>
      </c>
      <c r="K10756" t="str">
        <f t="shared" si="183"/>
        <v>27006</v>
      </c>
      <c r="M10756" t="s">
        <v>17861</v>
      </c>
      <c r="N10756" t="str">
        <f>"6/16/2017 2:14:00 PM"</f>
        <v>6/16/2017 2:14:00 PM</v>
      </c>
      <c r="O10756" t="s">
        <v>32085</v>
      </c>
      <c r="T10756" t="s">
        <v>32086</v>
      </c>
    </row>
    <row r="10757" spans="1:20" x14ac:dyDescent="0.25">
      <c r="A10757" t="str">
        <f>"3062021"</f>
        <v>3062021</v>
      </c>
      <c r="B10757" t="s">
        <v>32088</v>
      </c>
      <c r="C10757" t="str">
        <f>"8307928"</f>
        <v>8307928</v>
      </c>
      <c r="D10757" t="s">
        <v>32089</v>
      </c>
      <c r="E10757" t="s">
        <v>32090</v>
      </c>
      <c r="F10757" t="s">
        <v>32091</v>
      </c>
      <c r="I10757" t="s">
        <v>184</v>
      </c>
      <c r="J10757" t="s">
        <v>30</v>
      </c>
      <c r="K10757" t="str">
        <f t="shared" si="183"/>
        <v>27006</v>
      </c>
      <c r="M10757" t="s">
        <v>17861</v>
      </c>
      <c r="N10757" t="str">
        <f>"6/16/2017 2:33:00 PM"</f>
        <v>6/16/2017 2:33:00 PM</v>
      </c>
      <c r="O10757" t="s">
        <v>32089</v>
      </c>
      <c r="T10757" t="s">
        <v>32090</v>
      </c>
    </row>
    <row r="10758" spans="1:20" x14ac:dyDescent="0.25">
      <c r="A10758" t="str">
        <f>"3043778"</f>
        <v>3043778</v>
      </c>
      <c r="B10758" t="s">
        <v>32092</v>
      </c>
      <c r="C10758" t="str">
        <f>"69421000"</f>
        <v>69421000</v>
      </c>
      <c r="D10758" t="s">
        <v>32093</v>
      </c>
      <c r="F10758" t="s">
        <v>32094</v>
      </c>
      <c r="I10758" t="s">
        <v>29</v>
      </c>
      <c r="J10758" t="s">
        <v>30</v>
      </c>
      <c r="K10758" t="s">
        <v>31</v>
      </c>
      <c r="M10758" t="s">
        <v>18479</v>
      </c>
      <c r="N10758" t="str">
        <f>"6/19/2017 8:57:00 AM"</f>
        <v>6/19/2017 8:57:00 AM</v>
      </c>
      <c r="O10758" t="s">
        <v>32093</v>
      </c>
    </row>
    <row r="10759" spans="1:20" x14ac:dyDescent="0.25">
      <c r="A10759" t="str">
        <f>"3043780"</f>
        <v>3043780</v>
      </c>
      <c r="B10759" t="s">
        <v>32095</v>
      </c>
      <c r="C10759" t="str">
        <f>"69421000"</f>
        <v>69421000</v>
      </c>
      <c r="D10759" t="s">
        <v>32093</v>
      </c>
      <c r="F10759" t="s">
        <v>32094</v>
      </c>
      <c r="I10759" t="s">
        <v>29</v>
      </c>
      <c r="J10759" t="s">
        <v>30</v>
      </c>
      <c r="K10759" t="s">
        <v>31</v>
      </c>
      <c r="M10759" t="s">
        <v>18479</v>
      </c>
      <c r="N10759" t="str">
        <f>"6/19/2017 8:57:00 AM"</f>
        <v>6/19/2017 8:57:00 AM</v>
      </c>
      <c r="O10759" t="s">
        <v>32093</v>
      </c>
    </row>
    <row r="10760" spans="1:20" x14ac:dyDescent="0.25">
      <c r="A10760" t="str">
        <f>"3060307"</f>
        <v>3060307</v>
      </c>
      <c r="B10760" t="s">
        <v>32096</v>
      </c>
      <c r="C10760" t="str">
        <f>"67995300"</f>
        <v>67995300</v>
      </c>
      <c r="D10760" t="s">
        <v>32064</v>
      </c>
      <c r="F10760" t="s">
        <v>32065</v>
      </c>
      <c r="I10760" t="s">
        <v>29</v>
      </c>
      <c r="J10760" t="s">
        <v>30</v>
      </c>
      <c r="K10760" t="s">
        <v>31</v>
      </c>
      <c r="M10760" t="s">
        <v>25625</v>
      </c>
      <c r="N10760" t="str">
        <f>"5/17/2017 3:28:00 PM"</f>
        <v>5/17/2017 3:28:00 PM</v>
      </c>
      <c r="O10760" t="s">
        <v>32064</v>
      </c>
    </row>
    <row r="10761" spans="1:20" x14ac:dyDescent="0.25">
      <c r="A10761" t="str">
        <f>"3052882"</f>
        <v>3052882</v>
      </c>
      <c r="B10761" t="s">
        <v>32097</v>
      </c>
      <c r="C10761" t="str">
        <f>"82522990"</f>
        <v>82522990</v>
      </c>
      <c r="D10761" t="s">
        <v>32098</v>
      </c>
      <c r="E10761" t="s">
        <v>32099</v>
      </c>
      <c r="F10761" t="s">
        <v>32100</v>
      </c>
      <c r="I10761" t="s">
        <v>29</v>
      </c>
      <c r="J10761" t="s">
        <v>30</v>
      </c>
      <c r="K10761" t="s">
        <v>32101</v>
      </c>
      <c r="M10761" t="s">
        <v>25733</v>
      </c>
      <c r="N10761" t="str">
        <f>"5/17/2017 4:09:00 PM"</f>
        <v>5/17/2017 4:09:00 PM</v>
      </c>
      <c r="O10761" t="s">
        <v>32098</v>
      </c>
      <c r="T10761" t="s">
        <v>32099</v>
      </c>
    </row>
    <row r="10762" spans="1:20" x14ac:dyDescent="0.25">
      <c r="A10762" t="str">
        <f>"3078385"</f>
        <v>3078385</v>
      </c>
      <c r="B10762" t="s">
        <v>32102</v>
      </c>
      <c r="C10762" t="str">
        <f>"73404000"</f>
        <v>73404000</v>
      </c>
      <c r="D10762" t="s">
        <v>32103</v>
      </c>
      <c r="F10762" t="s">
        <v>32104</v>
      </c>
      <c r="I10762" t="s">
        <v>29</v>
      </c>
      <c r="J10762" t="s">
        <v>30</v>
      </c>
      <c r="K10762" t="s">
        <v>31</v>
      </c>
      <c r="M10762" t="s">
        <v>18479</v>
      </c>
      <c r="N10762" t="str">
        <f>"6/20/2017 9:25:00 AM"</f>
        <v>6/20/2017 9:25:00 AM</v>
      </c>
      <c r="O10762" t="s">
        <v>32103</v>
      </c>
    </row>
    <row r="10763" spans="1:20" x14ac:dyDescent="0.25">
      <c r="A10763" t="str">
        <f>"3058173"</f>
        <v>3058173</v>
      </c>
      <c r="B10763" t="s">
        <v>32105</v>
      </c>
      <c r="C10763" t="str">
        <f>"8307786"</f>
        <v>8307786</v>
      </c>
      <c r="D10763" t="s">
        <v>32106</v>
      </c>
      <c r="F10763" t="s">
        <v>32107</v>
      </c>
      <c r="I10763" t="s">
        <v>29</v>
      </c>
      <c r="J10763" t="s">
        <v>30</v>
      </c>
      <c r="K10763" t="str">
        <f>"27028"</f>
        <v>27028</v>
      </c>
      <c r="M10763" t="s">
        <v>17861</v>
      </c>
      <c r="N10763" t="str">
        <f>"5/18/2017 3:03:00 PM"</f>
        <v>5/18/2017 3:03:00 PM</v>
      </c>
      <c r="O10763" t="s">
        <v>32106</v>
      </c>
    </row>
    <row r="10764" spans="1:20" x14ac:dyDescent="0.25">
      <c r="A10764" t="str">
        <f>"3066429"</f>
        <v>3066429</v>
      </c>
      <c r="B10764" t="s">
        <v>32108</v>
      </c>
      <c r="C10764" t="str">
        <f>"8307946"</f>
        <v>8307946</v>
      </c>
      <c r="D10764" t="s">
        <v>32109</v>
      </c>
      <c r="F10764" t="s">
        <v>32110</v>
      </c>
      <c r="I10764" t="s">
        <v>29</v>
      </c>
      <c r="J10764" t="s">
        <v>30</v>
      </c>
      <c r="K10764" t="str">
        <f>"27028"</f>
        <v>27028</v>
      </c>
      <c r="M10764" t="s">
        <v>17861</v>
      </c>
      <c r="N10764" t="str">
        <f>"6/22/2017 2:38:00 PM"</f>
        <v>6/22/2017 2:38:00 PM</v>
      </c>
      <c r="O10764" t="s">
        <v>32109</v>
      </c>
    </row>
    <row r="10765" spans="1:20" x14ac:dyDescent="0.25">
      <c r="A10765" t="str">
        <f>"3039672"</f>
        <v>3039672</v>
      </c>
      <c r="B10765" t="s">
        <v>32111</v>
      </c>
      <c r="C10765" t="str">
        <f>"8307947"</f>
        <v>8307947</v>
      </c>
      <c r="D10765" t="s">
        <v>28764</v>
      </c>
      <c r="E10765" t="s">
        <v>28765</v>
      </c>
      <c r="F10765" t="s">
        <v>32112</v>
      </c>
      <c r="I10765" t="s">
        <v>184</v>
      </c>
      <c r="J10765" t="s">
        <v>30</v>
      </c>
      <c r="K10765" t="str">
        <f>"27006"</f>
        <v>27006</v>
      </c>
      <c r="M10765" t="s">
        <v>17861</v>
      </c>
      <c r="N10765" t="str">
        <f>"6/22/2017 3:04:00 PM"</f>
        <v>6/22/2017 3:04:00 PM</v>
      </c>
      <c r="O10765" t="s">
        <v>28764</v>
      </c>
      <c r="T10765" t="s">
        <v>28765</v>
      </c>
    </row>
    <row r="10766" spans="1:20" x14ac:dyDescent="0.25">
      <c r="A10766" t="str">
        <f>"3059968"</f>
        <v>3059968</v>
      </c>
      <c r="B10766" t="s">
        <v>32113</v>
      </c>
      <c r="C10766" t="str">
        <f>"8307948"</f>
        <v>8307948</v>
      </c>
      <c r="D10766" t="s">
        <v>32114</v>
      </c>
      <c r="F10766" t="s">
        <v>32115</v>
      </c>
      <c r="I10766" t="s">
        <v>184</v>
      </c>
      <c r="J10766" t="s">
        <v>30</v>
      </c>
      <c r="K10766" t="str">
        <f>"27006"</f>
        <v>27006</v>
      </c>
      <c r="M10766" t="s">
        <v>17861</v>
      </c>
      <c r="N10766" t="str">
        <f>"6/22/2017 3:21:00 PM"</f>
        <v>6/22/2017 3:21:00 PM</v>
      </c>
      <c r="O10766" t="s">
        <v>32114</v>
      </c>
    </row>
    <row r="10767" spans="1:20" x14ac:dyDescent="0.25">
      <c r="A10767" t="str">
        <f>"3058814"</f>
        <v>3058814</v>
      </c>
      <c r="B10767" t="s">
        <v>32116</v>
      </c>
      <c r="C10767" t="str">
        <f>"8307949"</f>
        <v>8307949</v>
      </c>
      <c r="D10767" t="s">
        <v>32117</v>
      </c>
      <c r="E10767" t="s">
        <v>32118</v>
      </c>
      <c r="F10767" t="s">
        <v>32119</v>
      </c>
      <c r="I10767" t="s">
        <v>29</v>
      </c>
      <c r="J10767" t="s">
        <v>30</v>
      </c>
      <c r="K10767" t="str">
        <f>"27028"</f>
        <v>27028</v>
      </c>
      <c r="M10767" t="s">
        <v>17861</v>
      </c>
      <c r="N10767" t="str">
        <f>"6/22/2017 3:30:00 PM"</f>
        <v>6/22/2017 3:30:00 PM</v>
      </c>
      <c r="O10767" t="s">
        <v>32117</v>
      </c>
      <c r="T10767" t="s">
        <v>32118</v>
      </c>
    </row>
    <row r="10768" spans="1:20" x14ac:dyDescent="0.25">
      <c r="A10768" t="str">
        <f>"3069328"</f>
        <v>3069328</v>
      </c>
      <c r="B10768" t="s">
        <v>32120</v>
      </c>
      <c r="C10768" t="str">
        <f>"8307788"</f>
        <v>8307788</v>
      </c>
      <c r="D10768" t="s">
        <v>32121</v>
      </c>
      <c r="F10768" t="s">
        <v>32122</v>
      </c>
      <c r="I10768" t="s">
        <v>32123</v>
      </c>
      <c r="J10768" t="s">
        <v>30</v>
      </c>
      <c r="K10768" t="str">
        <f>"27357"</f>
        <v>27357</v>
      </c>
      <c r="M10768" t="s">
        <v>17861</v>
      </c>
      <c r="N10768" t="str">
        <f>"5/18/2017 3:27:00 PM"</f>
        <v>5/18/2017 3:27:00 PM</v>
      </c>
      <c r="O10768" t="s">
        <v>32121</v>
      </c>
    </row>
    <row r="10769" spans="1:20" x14ac:dyDescent="0.25">
      <c r="A10769" t="str">
        <f>"3044387"</f>
        <v>3044387</v>
      </c>
      <c r="B10769" t="s">
        <v>32124</v>
      </c>
      <c r="C10769" t="str">
        <f>"8307790"</f>
        <v>8307790</v>
      </c>
      <c r="D10769" t="s">
        <v>32125</v>
      </c>
      <c r="E10769" t="s">
        <v>32126</v>
      </c>
      <c r="F10769" t="s">
        <v>32127</v>
      </c>
      <c r="I10769" t="s">
        <v>184</v>
      </c>
      <c r="J10769" t="s">
        <v>30</v>
      </c>
      <c r="K10769" t="str">
        <f>"27006"</f>
        <v>27006</v>
      </c>
      <c r="M10769" t="s">
        <v>17861</v>
      </c>
      <c r="N10769" t="str">
        <f>"5/18/2017 4:02:00 PM"</f>
        <v>5/18/2017 4:02:00 PM</v>
      </c>
      <c r="O10769" t="s">
        <v>32125</v>
      </c>
      <c r="T10769" t="s">
        <v>32126</v>
      </c>
    </row>
    <row r="10770" spans="1:20" x14ac:dyDescent="0.25">
      <c r="A10770" t="str">
        <f>"3052758"</f>
        <v>3052758</v>
      </c>
      <c r="B10770" t="s">
        <v>32128</v>
      </c>
      <c r="C10770" t="str">
        <f>"8307791"</f>
        <v>8307791</v>
      </c>
      <c r="D10770" t="s">
        <v>32129</v>
      </c>
      <c r="F10770" t="s">
        <v>32130</v>
      </c>
      <c r="I10770" t="s">
        <v>8536</v>
      </c>
      <c r="J10770" t="s">
        <v>30</v>
      </c>
      <c r="K10770" t="str">
        <f>"27262"</f>
        <v>27262</v>
      </c>
      <c r="M10770" t="s">
        <v>17861</v>
      </c>
      <c r="N10770" t="str">
        <f>"5/18/2017 4:07:00 PM"</f>
        <v>5/18/2017 4:07:00 PM</v>
      </c>
      <c r="O10770" t="s">
        <v>32129</v>
      </c>
    </row>
    <row r="10771" spans="1:20" x14ac:dyDescent="0.25">
      <c r="A10771" t="str">
        <f>"3052759"</f>
        <v>3052759</v>
      </c>
      <c r="B10771" t="s">
        <v>32131</v>
      </c>
      <c r="C10771" t="str">
        <f>"8307791"</f>
        <v>8307791</v>
      </c>
      <c r="D10771" t="s">
        <v>32129</v>
      </c>
      <c r="F10771" t="s">
        <v>32130</v>
      </c>
      <c r="I10771" t="s">
        <v>8536</v>
      </c>
      <c r="J10771" t="s">
        <v>30</v>
      </c>
      <c r="K10771" t="str">
        <f>"27262"</f>
        <v>27262</v>
      </c>
      <c r="M10771" t="s">
        <v>17861</v>
      </c>
      <c r="N10771" t="str">
        <f>"5/18/2017 4:07:00 PM"</f>
        <v>5/18/2017 4:07:00 PM</v>
      </c>
      <c r="O10771" t="s">
        <v>32129</v>
      </c>
    </row>
    <row r="10772" spans="1:20" x14ac:dyDescent="0.25">
      <c r="A10772" t="str">
        <f>"3044051"</f>
        <v>3044051</v>
      </c>
      <c r="B10772" t="s">
        <v>32132</v>
      </c>
      <c r="C10772" t="str">
        <f>"8305682"</f>
        <v>8305682</v>
      </c>
      <c r="D10772" t="s">
        <v>32011</v>
      </c>
      <c r="E10772" t="s">
        <v>32012</v>
      </c>
      <c r="F10772" t="s">
        <v>32013</v>
      </c>
      <c r="I10772" t="s">
        <v>184</v>
      </c>
      <c r="J10772" t="s">
        <v>30</v>
      </c>
      <c r="K10772" t="str">
        <f>"27006"</f>
        <v>27006</v>
      </c>
      <c r="M10772" t="s">
        <v>18479</v>
      </c>
      <c r="N10772" t="str">
        <f>"6/5/2017 9:36:00 AM"</f>
        <v>6/5/2017 9:36:00 AM</v>
      </c>
      <c r="O10772" t="s">
        <v>32011</v>
      </c>
      <c r="T10772" t="s">
        <v>32012</v>
      </c>
    </row>
    <row r="10773" spans="1:20" x14ac:dyDescent="0.25">
      <c r="A10773" t="str">
        <f>"3043179"</f>
        <v>3043179</v>
      </c>
      <c r="B10773" t="s">
        <v>32133</v>
      </c>
      <c r="C10773" t="str">
        <f>"82528820"</f>
        <v>82528820</v>
      </c>
      <c r="D10773" t="s">
        <v>32134</v>
      </c>
      <c r="F10773" t="s">
        <v>32135</v>
      </c>
      <c r="I10773" t="s">
        <v>184</v>
      </c>
      <c r="J10773" t="s">
        <v>30</v>
      </c>
      <c r="K10773" t="s">
        <v>185</v>
      </c>
      <c r="M10773" t="s">
        <v>25625</v>
      </c>
      <c r="N10773" t="str">
        <f>"6/6/2017 3:45:00 PM"</f>
        <v>6/6/2017 3:45:00 PM</v>
      </c>
      <c r="O10773" t="s">
        <v>32134</v>
      </c>
    </row>
    <row r="10774" spans="1:20" x14ac:dyDescent="0.25">
      <c r="A10774" t="str">
        <f>"3063958"</f>
        <v>3063958</v>
      </c>
      <c r="B10774" t="s">
        <v>32136</v>
      </c>
      <c r="C10774" t="str">
        <f>"82528820"</f>
        <v>82528820</v>
      </c>
      <c r="D10774" t="s">
        <v>32134</v>
      </c>
      <c r="F10774" t="s">
        <v>32135</v>
      </c>
      <c r="I10774" t="s">
        <v>184</v>
      </c>
      <c r="J10774" t="s">
        <v>30</v>
      </c>
      <c r="K10774" t="s">
        <v>185</v>
      </c>
      <c r="M10774" t="s">
        <v>25625</v>
      </c>
      <c r="N10774" t="str">
        <f>"6/6/2017 3:45:00 PM"</f>
        <v>6/6/2017 3:45:00 PM</v>
      </c>
      <c r="O10774" t="s">
        <v>32134</v>
      </c>
    </row>
    <row r="10775" spans="1:20" x14ac:dyDescent="0.25">
      <c r="A10775" t="str">
        <f>"3060037"</f>
        <v>3060037</v>
      </c>
      <c r="B10775" t="s">
        <v>32137</v>
      </c>
      <c r="C10775" t="str">
        <f>"82518129"</f>
        <v>82518129</v>
      </c>
      <c r="D10775" t="s">
        <v>32138</v>
      </c>
      <c r="E10775" t="s">
        <v>32139</v>
      </c>
      <c r="F10775" t="s">
        <v>32140</v>
      </c>
      <c r="I10775" t="s">
        <v>184</v>
      </c>
      <c r="J10775" t="s">
        <v>30</v>
      </c>
      <c r="K10775" t="s">
        <v>185</v>
      </c>
      <c r="M10775" t="s">
        <v>18479</v>
      </c>
      <c r="N10775" t="str">
        <f>"6/9/2017 2:11:00 PM"</f>
        <v>6/9/2017 2:11:00 PM</v>
      </c>
      <c r="O10775" t="s">
        <v>32138</v>
      </c>
      <c r="T10775" t="s">
        <v>32139</v>
      </c>
    </row>
    <row r="10776" spans="1:20" x14ac:dyDescent="0.25">
      <c r="A10776" t="str">
        <f>"3054034"</f>
        <v>3054034</v>
      </c>
      <c r="B10776" t="s">
        <v>32141</v>
      </c>
      <c r="C10776" t="str">
        <f>"8307977"</f>
        <v>8307977</v>
      </c>
      <c r="D10776" t="s">
        <v>32142</v>
      </c>
      <c r="F10776" t="s">
        <v>32143</v>
      </c>
      <c r="I10776" t="s">
        <v>9580</v>
      </c>
      <c r="J10776" t="s">
        <v>30</v>
      </c>
      <c r="K10776" t="str">
        <f>"27014"</f>
        <v>27014</v>
      </c>
      <c r="M10776" t="s">
        <v>17861</v>
      </c>
      <c r="N10776" t="str">
        <f>"6/26/2017 10:26:00 AM"</f>
        <v>6/26/2017 10:26:00 AM</v>
      </c>
      <c r="O10776" t="s">
        <v>32142</v>
      </c>
    </row>
    <row r="10777" spans="1:20" x14ac:dyDescent="0.25">
      <c r="A10777" t="str">
        <f>"3054327"</f>
        <v>3054327</v>
      </c>
      <c r="B10777" t="s">
        <v>32144</v>
      </c>
      <c r="C10777" t="str">
        <f>"8307977"</f>
        <v>8307977</v>
      </c>
      <c r="D10777" t="s">
        <v>32142</v>
      </c>
      <c r="F10777" t="s">
        <v>32143</v>
      </c>
      <c r="I10777" t="s">
        <v>9580</v>
      </c>
      <c r="J10777" t="s">
        <v>30</v>
      </c>
      <c r="K10777" t="str">
        <f>"27014"</f>
        <v>27014</v>
      </c>
      <c r="M10777" t="s">
        <v>17861</v>
      </c>
      <c r="N10777" t="str">
        <f>"6/26/2017 10:26:00 AM"</f>
        <v>6/26/2017 10:26:00 AM</v>
      </c>
      <c r="O10777" t="s">
        <v>32142</v>
      </c>
    </row>
    <row r="10778" spans="1:20" x14ac:dyDescent="0.25">
      <c r="A10778" t="str">
        <f>"3062375"</f>
        <v>3062375</v>
      </c>
      <c r="B10778" t="s">
        <v>32145</v>
      </c>
      <c r="C10778" t="str">
        <f>"60325500"</f>
        <v>60325500</v>
      </c>
      <c r="D10778" t="s">
        <v>32146</v>
      </c>
      <c r="E10778" t="s">
        <v>32147</v>
      </c>
      <c r="F10778" t="s">
        <v>32148</v>
      </c>
      <c r="I10778" t="s">
        <v>29</v>
      </c>
      <c r="J10778" t="s">
        <v>30</v>
      </c>
      <c r="K10778" t="s">
        <v>31</v>
      </c>
      <c r="M10778" t="s">
        <v>18479</v>
      </c>
      <c r="N10778" t="str">
        <f>"6/9/2017 2:56:00 PM"</f>
        <v>6/9/2017 2:56:00 PM</v>
      </c>
      <c r="O10778" t="s">
        <v>32146</v>
      </c>
      <c r="T10778" t="s">
        <v>32147</v>
      </c>
    </row>
    <row r="10779" spans="1:20" x14ac:dyDescent="0.25">
      <c r="A10779" t="str">
        <f>"3046362"</f>
        <v>3046362</v>
      </c>
      <c r="B10779" t="s">
        <v>32149</v>
      </c>
      <c r="C10779" t="str">
        <f>"8307872"</f>
        <v>8307872</v>
      </c>
      <c r="D10779" t="s">
        <v>32150</v>
      </c>
      <c r="F10779" t="s">
        <v>32151</v>
      </c>
      <c r="I10779" t="s">
        <v>29</v>
      </c>
      <c r="J10779" t="s">
        <v>30</v>
      </c>
      <c r="K10779" t="str">
        <f>"27028"</f>
        <v>27028</v>
      </c>
      <c r="M10779" t="s">
        <v>17861</v>
      </c>
      <c r="N10779" t="str">
        <f>"6/12/2017 10:09:00 AM"</f>
        <v>6/12/2017 10:09:00 AM</v>
      </c>
      <c r="O10779" t="s">
        <v>32150</v>
      </c>
    </row>
    <row r="10780" spans="1:20" x14ac:dyDescent="0.25">
      <c r="A10780" t="str">
        <f>"3047582"</f>
        <v>3047582</v>
      </c>
      <c r="B10780" t="s">
        <v>32152</v>
      </c>
      <c r="C10780" t="str">
        <f>"8307986"</f>
        <v>8307986</v>
      </c>
      <c r="D10780" t="s">
        <v>32153</v>
      </c>
      <c r="F10780" t="s">
        <v>32154</v>
      </c>
      <c r="I10780" t="s">
        <v>29</v>
      </c>
      <c r="J10780" t="s">
        <v>30</v>
      </c>
      <c r="K10780" t="s">
        <v>32155</v>
      </c>
      <c r="M10780" t="s">
        <v>17861</v>
      </c>
      <c r="N10780" t="str">
        <f>"6/28/2017 8:47:00 AM"</f>
        <v>6/28/2017 8:47:00 AM</v>
      </c>
      <c r="O10780" t="s">
        <v>32153</v>
      </c>
    </row>
    <row r="10781" spans="1:20" x14ac:dyDescent="0.25">
      <c r="A10781" t="str">
        <f>"3044828"</f>
        <v>3044828</v>
      </c>
      <c r="B10781" t="s">
        <v>32156</v>
      </c>
      <c r="C10781" t="str">
        <f>"8307988"</f>
        <v>8307988</v>
      </c>
      <c r="D10781" t="s">
        <v>32157</v>
      </c>
      <c r="E10781" t="s">
        <v>32158</v>
      </c>
      <c r="F10781" t="s">
        <v>32159</v>
      </c>
      <c r="I10781" t="s">
        <v>184</v>
      </c>
      <c r="J10781" t="s">
        <v>30</v>
      </c>
      <c r="K10781" t="str">
        <f>"27006"</f>
        <v>27006</v>
      </c>
      <c r="M10781" t="s">
        <v>17861</v>
      </c>
      <c r="N10781" t="str">
        <f>"6/28/2017 10:23:00 AM"</f>
        <v>6/28/2017 10:23:00 AM</v>
      </c>
      <c r="O10781" t="s">
        <v>32157</v>
      </c>
      <c r="T10781" t="s">
        <v>32158</v>
      </c>
    </row>
    <row r="10782" spans="1:20" x14ac:dyDescent="0.25">
      <c r="A10782" t="str">
        <f>"3053861"</f>
        <v>3053861</v>
      </c>
      <c r="B10782" t="s">
        <v>32160</v>
      </c>
      <c r="C10782" t="str">
        <f>"8307989"</f>
        <v>8307989</v>
      </c>
      <c r="D10782" t="s">
        <v>32161</v>
      </c>
      <c r="F10782" t="s">
        <v>32162</v>
      </c>
      <c r="I10782" t="s">
        <v>29</v>
      </c>
      <c r="J10782" t="s">
        <v>30</v>
      </c>
      <c r="K10782" t="str">
        <f>"27028"</f>
        <v>27028</v>
      </c>
      <c r="M10782" t="s">
        <v>17861</v>
      </c>
      <c r="N10782" t="str">
        <f>"6/28/2017 10:25:00 AM"</f>
        <v>6/28/2017 10:25:00 AM</v>
      </c>
      <c r="O10782" t="s">
        <v>32161</v>
      </c>
    </row>
    <row r="10783" spans="1:20" x14ac:dyDescent="0.25">
      <c r="A10783" t="str">
        <f>"3047135"</f>
        <v>3047135</v>
      </c>
      <c r="B10783" t="s">
        <v>32163</v>
      </c>
      <c r="C10783" t="str">
        <f>"8307990"</f>
        <v>8307990</v>
      </c>
      <c r="D10783" t="s">
        <v>32164</v>
      </c>
      <c r="F10783" t="s">
        <v>32165</v>
      </c>
      <c r="I10783" t="s">
        <v>29</v>
      </c>
      <c r="J10783" t="s">
        <v>30</v>
      </c>
      <c r="K10783" t="str">
        <f>"27028"</f>
        <v>27028</v>
      </c>
      <c r="M10783" t="s">
        <v>17861</v>
      </c>
      <c r="N10783" t="str">
        <f>"6/28/2017 10:28:00 AM"</f>
        <v>6/28/2017 10:28:00 AM</v>
      </c>
      <c r="O10783" t="s">
        <v>32164</v>
      </c>
    </row>
    <row r="10784" spans="1:20" x14ac:dyDescent="0.25">
      <c r="A10784" t="str">
        <f>"3051786"</f>
        <v>3051786</v>
      </c>
      <c r="B10784" t="s">
        <v>32166</v>
      </c>
      <c r="C10784" t="str">
        <f>"28808120"</f>
        <v>28808120</v>
      </c>
      <c r="D10784" t="s">
        <v>32167</v>
      </c>
      <c r="F10784" t="s">
        <v>32168</v>
      </c>
      <c r="G10784" t="s">
        <v>32169</v>
      </c>
      <c r="I10784" t="s">
        <v>17510</v>
      </c>
      <c r="J10784" t="s">
        <v>17511</v>
      </c>
      <c r="K10784" t="s">
        <v>32170</v>
      </c>
      <c r="M10784" t="s">
        <v>22859</v>
      </c>
      <c r="N10784" t="str">
        <f>"6/28/2017 2:29:00 PM"</f>
        <v>6/28/2017 2:29:00 PM</v>
      </c>
      <c r="O10784" t="s">
        <v>32167</v>
      </c>
    </row>
    <row r="10785" spans="1:20" x14ac:dyDescent="0.25">
      <c r="A10785" t="str">
        <f>"3072148"</f>
        <v>3072148</v>
      </c>
      <c r="B10785" t="s">
        <v>32171</v>
      </c>
      <c r="C10785" t="str">
        <f>"82522755"</f>
        <v>82522755</v>
      </c>
      <c r="D10785" t="s">
        <v>32172</v>
      </c>
      <c r="F10785" t="s">
        <v>32173</v>
      </c>
      <c r="I10785" t="s">
        <v>184</v>
      </c>
      <c r="J10785" t="s">
        <v>30</v>
      </c>
      <c r="K10785" t="str">
        <f>"27006"</f>
        <v>27006</v>
      </c>
      <c r="M10785" t="s">
        <v>18479</v>
      </c>
      <c r="N10785" t="str">
        <f>"6/28/2017 4:05:00 PM"</f>
        <v>6/28/2017 4:05:00 PM</v>
      </c>
      <c r="O10785" t="s">
        <v>32172</v>
      </c>
    </row>
    <row r="10786" spans="1:20" x14ac:dyDescent="0.25">
      <c r="A10786" t="str">
        <f>"3043595"</f>
        <v>3043595</v>
      </c>
      <c r="B10786" t="s">
        <v>32174</v>
      </c>
      <c r="C10786" t="str">
        <f>"8306167"</f>
        <v>8306167</v>
      </c>
      <c r="D10786" t="s">
        <v>32175</v>
      </c>
      <c r="E10786" t="s">
        <v>32176</v>
      </c>
      <c r="F10786" t="s">
        <v>32177</v>
      </c>
      <c r="I10786" t="s">
        <v>29</v>
      </c>
      <c r="J10786" t="s">
        <v>30</v>
      </c>
      <c r="K10786" t="str">
        <f>"27028"</f>
        <v>27028</v>
      </c>
      <c r="M10786" t="s">
        <v>18479</v>
      </c>
      <c r="N10786" t="str">
        <f>"6/13/2017 1:34:00 PM"</f>
        <v>6/13/2017 1:34:00 PM</v>
      </c>
      <c r="O10786" t="s">
        <v>32175</v>
      </c>
      <c r="T10786" t="s">
        <v>32176</v>
      </c>
    </row>
    <row r="10787" spans="1:20" x14ac:dyDescent="0.25">
      <c r="A10787" t="str">
        <f>"3052757"</f>
        <v>3052757</v>
      </c>
      <c r="B10787" t="s">
        <v>32178</v>
      </c>
      <c r="C10787" t="str">
        <f>"20030000"</f>
        <v>20030000</v>
      </c>
      <c r="D10787" t="s">
        <v>32179</v>
      </c>
      <c r="F10787" t="s">
        <v>32180</v>
      </c>
      <c r="G10787" t="s">
        <v>32181</v>
      </c>
      <c r="I10787" t="s">
        <v>2280</v>
      </c>
      <c r="J10787" t="s">
        <v>30</v>
      </c>
      <c r="K10787" t="s">
        <v>4260</v>
      </c>
      <c r="M10787" t="s">
        <v>18479</v>
      </c>
      <c r="N10787" t="str">
        <f>"6/29/2017 3:44:00 PM"</f>
        <v>6/29/2017 3:44:00 PM</v>
      </c>
      <c r="O10787" t="s">
        <v>32179</v>
      </c>
    </row>
    <row r="10788" spans="1:20" x14ac:dyDescent="0.25">
      <c r="A10788" t="str">
        <f>"3052950"</f>
        <v>3052950</v>
      </c>
      <c r="B10788" t="s">
        <v>32182</v>
      </c>
      <c r="C10788" t="str">
        <f>"20030000"</f>
        <v>20030000</v>
      </c>
      <c r="D10788" t="s">
        <v>32179</v>
      </c>
      <c r="F10788" t="s">
        <v>32180</v>
      </c>
      <c r="G10788" t="s">
        <v>32181</v>
      </c>
      <c r="I10788" t="s">
        <v>2280</v>
      </c>
      <c r="J10788" t="s">
        <v>30</v>
      </c>
      <c r="K10788" t="s">
        <v>4260</v>
      </c>
      <c r="M10788" t="s">
        <v>18479</v>
      </c>
      <c r="N10788" t="str">
        <f>"6/29/2017 3:44:00 PM"</f>
        <v>6/29/2017 3:44:00 PM</v>
      </c>
      <c r="O10788" t="s">
        <v>32179</v>
      </c>
    </row>
    <row r="10789" spans="1:20" x14ac:dyDescent="0.25">
      <c r="A10789" t="str">
        <f>"3083019"</f>
        <v>3083019</v>
      </c>
      <c r="B10789" t="s">
        <v>32183</v>
      </c>
      <c r="C10789" t="str">
        <f>"82523304"</f>
        <v>82523304</v>
      </c>
      <c r="D10789" t="s">
        <v>32184</v>
      </c>
      <c r="E10789" t="s">
        <v>32185</v>
      </c>
      <c r="F10789" t="s">
        <v>32186</v>
      </c>
      <c r="I10789" t="s">
        <v>29</v>
      </c>
      <c r="J10789" t="s">
        <v>30</v>
      </c>
      <c r="K10789" t="str">
        <f>"27028"</f>
        <v>27028</v>
      </c>
      <c r="M10789" t="s">
        <v>18479</v>
      </c>
      <c r="N10789" t="str">
        <f>"6/14/2017 11:51:00 AM"</f>
        <v>6/14/2017 11:51:00 AM</v>
      </c>
      <c r="O10789" t="s">
        <v>32184</v>
      </c>
      <c r="T10789" t="s">
        <v>32185</v>
      </c>
    </row>
    <row r="10790" spans="1:20" x14ac:dyDescent="0.25">
      <c r="A10790" t="str">
        <f>"3049753"</f>
        <v>3049753</v>
      </c>
      <c r="B10790" t="s">
        <v>32187</v>
      </c>
      <c r="C10790" t="str">
        <f>"8308003"</f>
        <v>8308003</v>
      </c>
      <c r="D10790" t="s">
        <v>32188</v>
      </c>
      <c r="F10790" t="s">
        <v>32189</v>
      </c>
      <c r="I10790" t="s">
        <v>29</v>
      </c>
      <c r="J10790" t="s">
        <v>30</v>
      </c>
      <c r="K10790" t="s">
        <v>9678</v>
      </c>
      <c r="M10790" t="s">
        <v>17861</v>
      </c>
      <c r="N10790" t="str">
        <f>"7/3/2017 4:23:00 PM"</f>
        <v>7/3/2017 4:23:00 PM</v>
      </c>
      <c r="O10790" t="s">
        <v>32188</v>
      </c>
    </row>
    <row r="10791" spans="1:20" x14ac:dyDescent="0.25">
      <c r="A10791" t="str">
        <f>"3059465"</f>
        <v>3059465</v>
      </c>
      <c r="B10791" t="s">
        <v>32190</v>
      </c>
      <c r="C10791" t="str">
        <f>"8302629"</f>
        <v>8302629</v>
      </c>
      <c r="D10791" t="s">
        <v>28147</v>
      </c>
      <c r="F10791" t="s">
        <v>32039</v>
      </c>
      <c r="G10791" t="s">
        <v>32040</v>
      </c>
      <c r="I10791" t="s">
        <v>2589</v>
      </c>
      <c r="J10791" t="s">
        <v>30</v>
      </c>
      <c r="K10791" t="str">
        <f>"27603"</f>
        <v>27603</v>
      </c>
      <c r="M10791" t="s">
        <v>18479</v>
      </c>
      <c r="N10791" t="str">
        <f>"6/14/2017 4:20:00 PM"</f>
        <v>6/14/2017 4:20:00 PM</v>
      </c>
      <c r="O10791" t="s">
        <v>28147</v>
      </c>
    </row>
    <row r="10792" spans="1:20" x14ac:dyDescent="0.25">
      <c r="A10792" t="str">
        <f>"3058765"</f>
        <v>3058765</v>
      </c>
      <c r="B10792" t="s">
        <v>32191</v>
      </c>
      <c r="C10792" t="str">
        <f>"8307891"</f>
        <v>8307891</v>
      </c>
      <c r="D10792" t="s">
        <v>32192</v>
      </c>
      <c r="F10792" t="s">
        <v>32193</v>
      </c>
      <c r="I10792" t="s">
        <v>29</v>
      </c>
      <c r="J10792" t="s">
        <v>30</v>
      </c>
      <c r="K10792" t="str">
        <f>"27028"</f>
        <v>27028</v>
      </c>
      <c r="M10792" t="s">
        <v>17861</v>
      </c>
      <c r="N10792" t="str">
        <f>"6/16/2017 8:57:00 AM"</f>
        <v>6/16/2017 8:57:00 AM</v>
      </c>
      <c r="O10792" t="s">
        <v>32192</v>
      </c>
    </row>
    <row r="10793" spans="1:20" x14ac:dyDescent="0.25">
      <c r="A10793" t="str">
        <f>"3061680"</f>
        <v>3061680</v>
      </c>
      <c r="B10793" t="s">
        <v>32194</v>
      </c>
      <c r="C10793" t="str">
        <f>"8308016"</f>
        <v>8308016</v>
      </c>
      <c r="D10793" t="s">
        <v>32195</v>
      </c>
      <c r="E10793" t="s">
        <v>32196</v>
      </c>
      <c r="F10793" t="s">
        <v>32197</v>
      </c>
      <c r="I10793" t="s">
        <v>2071</v>
      </c>
      <c r="J10793" t="s">
        <v>30</v>
      </c>
      <c r="K10793" t="str">
        <f>"27006"</f>
        <v>27006</v>
      </c>
      <c r="M10793" t="s">
        <v>17861</v>
      </c>
      <c r="N10793" t="str">
        <f>"7/6/2017 2:17:00 PM"</f>
        <v>7/6/2017 2:17:00 PM</v>
      </c>
      <c r="O10793" t="s">
        <v>32195</v>
      </c>
      <c r="T10793" t="s">
        <v>32196</v>
      </c>
    </row>
    <row r="10794" spans="1:20" x14ac:dyDescent="0.25">
      <c r="A10794" t="str">
        <f>"3058738"</f>
        <v>3058738</v>
      </c>
      <c r="B10794" t="s">
        <v>32198</v>
      </c>
      <c r="C10794" t="str">
        <f>"8308021"</f>
        <v>8308021</v>
      </c>
      <c r="D10794" t="s">
        <v>32199</v>
      </c>
      <c r="F10794" t="s">
        <v>32200</v>
      </c>
      <c r="I10794" t="s">
        <v>29</v>
      </c>
      <c r="J10794" t="s">
        <v>30</v>
      </c>
      <c r="K10794" t="str">
        <f>"27028"</f>
        <v>27028</v>
      </c>
      <c r="M10794" t="s">
        <v>17861</v>
      </c>
      <c r="N10794" t="str">
        <f>"7/6/2017 3:31:00 PM"</f>
        <v>7/6/2017 3:31:00 PM</v>
      </c>
      <c r="O10794" t="s">
        <v>32199</v>
      </c>
    </row>
    <row r="10795" spans="1:20" x14ac:dyDescent="0.25">
      <c r="A10795" t="str">
        <f>"3040526"</f>
        <v>3040526</v>
      </c>
      <c r="B10795" t="s">
        <v>32201</v>
      </c>
      <c r="C10795" t="str">
        <f>"8308022"</f>
        <v>8308022</v>
      </c>
      <c r="D10795" t="s">
        <v>32202</v>
      </c>
      <c r="E10795" t="s">
        <v>32203</v>
      </c>
      <c r="F10795" t="s">
        <v>32204</v>
      </c>
      <c r="I10795" t="s">
        <v>184</v>
      </c>
      <c r="J10795" t="s">
        <v>30</v>
      </c>
      <c r="K10795" t="str">
        <f>"27006"</f>
        <v>27006</v>
      </c>
      <c r="M10795" t="s">
        <v>17861</v>
      </c>
      <c r="N10795" t="str">
        <f>"7/6/2017 3:44:00 PM"</f>
        <v>7/6/2017 3:44:00 PM</v>
      </c>
      <c r="O10795" t="s">
        <v>32202</v>
      </c>
      <c r="T10795" t="s">
        <v>32203</v>
      </c>
    </row>
    <row r="10796" spans="1:20" x14ac:dyDescent="0.25">
      <c r="A10796" t="str">
        <f>"3058772"</f>
        <v>3058772</v>
      </c>
      <c r="B10796" t="s">
        <v>32205</v>
      </c>
      <c r="C10796" t="str">
        <f>"8307891"</f>
        <v>8307891</v>
      </c>
      <c r="D10796" t="s">
        <v>32192</v>
      </c>
      <c r="F10796" t="s">
        <v>32193</v>
      </c>
      <c r="I10796" t="s">
        <v>29</v>
      </c>
      <c r="J10796" t="s">
        <v>30</v>
      </c>
      <c r="K10796" t="str">
        <f>"27028"</f>
        <v>27028</v>
      </c>
      <c r="M10796" t="s">
        <v>17861</v>
      </c>
      <c r="N10796" t="str">
        <f>"6/16/2017 8:57:00 AM"</f>
        <v>6/16/2017 8:57:00 AM</v>
      </c>
      <c r="O10796" t="s">
        <v>32192</v>
      </c>
    </row>
    <row r="10797" spans="1:20" x14ac:dyDescent="0.25">
      <c r="A10797" t="str">
        <f>"3055718"</f>
        <v>3055718</v>
      </c>
      <c r="B10797" t="s">
        <v>32206</v>
      </c>
      <c r="C10797" t="str">
        <f>"8307892"</f>
        <v>8307892</v>
      </c>
      <c r="D10797" t="s">
        <v>32207</v>
      </c>
      <c r="F10797" t="s">
        <v>32208</v>
      </c>
      <c r="I10797" t="s">
        <v>9580</v>
      </c>
      <c r="J10797" t="s">
        <v>30</v>
      </c>
      <c r="K10797" t="str">
        <f>"27014"</f>
        <v>27014</v>
      </c>
      <c r="M10797" t="s">
        <v>17861</v>
      </c>
      <c r="N10797" t="str">
        <f>"6/16/2017 8:59:00 AM"</f>
        <v>6/16/2017 8:59:00 AM</v>
      </c>
      <c r="O10797" t="s">
        <v>32207</v>
      </c>
    </row>
    <row r="10798" spans="1:20" x14ac:dyDescent="0.25">
      <c r="A10798" t="str">
        <f>"3050761"</f>
        <v>3050761</v>
      </c>
      <c r="B10798" t="s">
        <v>32209</v>
      </c>
      <c r="C10798" t="str">
        <f>"8307899"</f>
        <v>8307899</v>
      </c>
      <c r="D10798" t="s">
        <v>32210</v>
      </c>
      <c r="E10798" t="s">
        <v>32211</v>
      </c>
      <c r="F10798" t="s">
        <v>32212</v>
      </c>
      <c r="I10798" t="s">
        <v>184</v>
      </c>
      <c r="J10798" t="s">
        <v>30</v>
      </c>
      <c r="K10798" t="str">
        <f>"27006"</f>
        <v>27006</v>
      </c>
      <c r="M10798" t="s">
        <v>17861</v>
      </c>
      <c r="N10798" t="str">
        <f>"6/16/2017 10:30:00 AM"</f>
        <v>6/16/2017 10:30:00 AM</v>
      </c>
      <c r="O10798" t="s">
        <v>32210</v>
      </c>
      <c r="T10798" t="s">
        <v>32211</v>
      </c>
    </row>
    <row r="10799" spans="1:20" x14ac:dyDescent="0.25">
      <c r="A10799" t="str">
        <f>"3048963"</f>
        <v>3048963</v>
      </c>
      <c r="B10799" t="s">
        <v>32213</v>
      </c>
      <c r="C10799" t="str">
        <f>"8307900"</f>
        <v>8307900</v>
      </c>
      <c r="D10799" t="s">
        <v>32214</v>
      </c>
      <c r="F10799" t="s">
        <v>32215</v>
      </c>
      <c r="I10799" t="s">
        <v>49</v>
      </c>
      <c r="J10799" t="s">
        <v>30</v>
      </c>
      <c r="K10799" t="str">
        <f>"27055"</f>
        <v>27055</v>
      </c>
      <c r="M10799" t="s">
        <v>17861</v>
      </c>
      <c r="N10799" t="str">
        <f>"6/16/2017 10:32:00 AM"</f>
        <v>6/16/2017 10:32:00 AM</v>
      </c>
      <c r="O10799" t="s">
        <v>32214</v>
      </c>
    </row>
    <row r="10800" spans="1:20" x14ac:dyDescent="0.25">
      <c r="A10800" t="str">
        <f>"3055891"</f>
        <v>3055891</v>
      </c>
      <c r="B10800" t="s">
        <v>32216</v>
      </c>
      <c r="C10800" t="str">
        <f>"8307907"</f>
        <v>8307907</v>
      </c>
      <c r="D10800" t="s">
        <v>32217</v>
      </c>
      <c r="F10800" t="s">
        <v>22609</v>
      </c>
      <c r="I10800" t="s">
        <v>9580</v>
      </c>
      <c r="J10800" t="s">
        <v>30</v>
      </c>
      <c r="K10800" t="str">
        <f>"27014"</f>
        <v>27014</v>
      </c>
      <c r="M10800" t="s">
        <v>17861</v>
      </c>
      <c r="N10800" t="str">
        <f>"6/16/2017 11:00:00 AM"</f>
        <v>6/16/2017 11:00:00 AM</v>
      </c>
      <c r="O10800" t="s">
        <v>32217</v>
      </c>
    </row>
    <row r="10801" spans="1:20" x14ac:dyDescent="0.25">
      <c r="A10801" t="str">
        <f>"3058735"</f>
        <v>3058735</v>
      </c>
      <c r="B10801" t="s">
        <v>32218</v>
      </c>
      <c r="C10801" t="str">
        <f>"8307914"</f>
        <v>8307914</v>
      </c>
      <c r="D10801" t="s">
        <v>32219</v>
      </c>
      <c r="F10801" t="s">
        <v>32220</v>
      </c>
      <c r="I10801" t="s">
        <v>29</v>
      </c>
      <c r="J10801" t="s">
        <v>30</v>
      </c>
      <c r="K10801" t="str">
        <f>"27028"</f>
        <v>27028</v>
      </c>
      <c r="M10801" t="s">
        <v>17861</v>
      </c>
      <c r="N10801" t="str">
        <f>"6/16/2017 11:37:00 AM"</f>
        <v>6/16/2017 11:37:00 AM</v>
      </c>
      <c r="O10801" t="s">
        <v>32219</v>
      </c>
    </row>
    <row r="10802" spans="1:20" x14ac:dyDescent="0.25">
      <c r="A10802" t="str">
        <f>"3056464"</f>
        <v>3056464</v>
      </c>
      <c r="B10802" t="s">
        <v>32221</v>
      </c>
      <c r="C10802" t="str">
        <f>"8308060"</f>
        <v>8308060</v>
      </c>
      <c r="D10802" t="s">
        <v>32222</v>
      </c>
      <c r="E10802" t="s">
        <v>32223</v>
      </c>
      <c r="F10802" t="s">
        <v>32224</v>
      </c>
      <c r="I10802" t="s">
        <v>9580</v>
      </c>
      <c r="J10802" t="s">
        <v>30</v>
      </c>
      <c r="K10802" t="str">
        <f>"27014"</f>
        <v>27014</v>
      </c>
      <c r="M10802" t="s">
        <v>17861</v>
      </c>
      <c r="N10802" t="str">
        <f>"7/14/2017 2:47:00 PM"</f>
        <v>7/14/2017 2:47:00 PM</v>
      </c>
      <c r="O10802" t="s">
        <v>32222</v>
      </c>
      <c r="T10802" t="s">
        <v>32223</v>
      </c>
    </row>
    <row r="10803" spans="1:20" x14ac:dyDescent="0.25">
      <c r="A10803" t="str">
        <f>"3059147"</f>
        <v>3059147</v>
      </c>
      <c r="B10803" t="s">
        <v>32225</v>
      </c>
      <c r="C10803" t="str">
        <f>"8308066"</f>
        <v>8308066</v>
      </c>
      <c r="D10803" t="s">
        <v>32226</v>
      </c>
      <c r="E10803" t="s">
        <v>32227</v>
      </c>
      <c r="F10803" t="s">
        <v>32228</v>
      </c>
      <c r="I10803" t="s">
        <v>29</v>
      </c>
      <c r="J10803" t="s">
        <v>30</v>
      </c>
      <c r="K10803" t="str">
        <f>"27028"</f>
        <v>27028</v>
      </c>
      <c r="M10803" t="s">
        <v>17861</v>
      </c>
      <c r="N10803" t="str">
        <f>"7/14/2017 4:27:00 PM"</f>
        <v>7/14/2017 4:27:00 PM</v>
      </c>
      <c r="O10803" t="s">
        <v>32226</v>
      </c>
      <c r="T10803" t="s">
        <v>32227</v>
      </c>
    </row>
    <row r="10804" spans="1:20" x14ac:dyDescent="0.25">
      <c r="A10804" t="str">
        <f>"3053948"</f>
        <v>3053948</v>
      </c>
      <c r="B10804" t="s">
        <v>32229</v>
      </c>
      <c r="C10804" t="str">
        <f>"8308067"</f>
        <v>8308067</v>
      </c>
      <c r="D10804" t="s">
        <v>32230</v>
      </c>
      <c r="F10804" t="s">
        <v>32231</v>
      </c>
      <c r="I10804" t="s">
        <v>32232</v>
      </c>
      <c r="J10804" t="s">
        <v>22773</v>
      </c>
      <c r="K10804" t="str">
        <f>"03254"</f>
        <v>03254</v>
      </c>
      <c r="M10804" t="s">
        <v>17861</v>
      </c>
      <c r="N10804" t="str">
        <f>"7/14/2017 4:33:00 PM"</f>
        <v>7/14/2017 4:33:00 PM</v>
      </c>
      <c r="O10804" t="s">
        <v>32230</v>
      </c>
    </row>
    <row r="10805" spans="1:20" x14ac:dyDescent="0.25">
      <c r="A10805" t="str">
        <f>"3053978"</f>
        <v>3053978</v>
      </c>
      <c r="B10805" t="s">
        <v>32233</v>
      </c>
      <c r="C10805" t="str">
        <f>"8308067"</f>
        <v>8308067</v>
      </c>
      <c r="D10805" t="s">
        <v>32230</v>
      </c>
      <c r="F10805" t="s">
        <v>32231</v>
      </c>
      <c r="I10805" t="s">
        <v>32232</v>
      </c>
      <c r="J10805" t="s">
        <v>22773</v>
      </c>
      <c r="K10805" t="str">
        <f>"03254"</f>
        <v>03254</v>
      </c>
      <c r="M10805" t="s">
        <v>17861</v>
      </c>
      <c r="N10805" t="str">
        <f>"7/14/2017 4:33:00 PM"</f>
        <v>7/14/2017 4:33:00 PM</v>
      </c>
      <c r="O10805" t="s">
        <v>32230</v>
      </c>
    </row>
    <row r="10806" spans="1:20" x14ac:dyDescent="0.25">
      <c r="A10806" t="str">
        <f>"3039504"</f>
        <v>3039504</v>
      </c>
      <c r="B10806" t="s">
        <v>32234</v>
      </c>
      <c r="C10806" t="str">
        <f>"8305140"</f>
        <v>8305140</v>
      </c>
      <c r="D10806" t="s">
        <v>32235</v>
      </c>
      <c r="E10806" t="s">
        <v>32236</v>
      </c>
      <c r="F10806" t="s">
        <v>32237</v>
      </c>
      <c r="I10806" t="s">
        <v>184</v>
      </c>
      <c r="J10806" t="s">
        <v>30</v>
      </c>
      <c r="K10806" t="str">
        <f>"27006"</f>
        <v>27006</v>
      </c>
      <c r="M10806" t="s">
        <v>18479</v>
      </c>
      <c r="N10806" t="str">
        <f>"6/19/2017 2:31:00 PM"</f>
        <v>6/19/2017 2:31:00 PM</v>
      </c>
      <c r="O10806" t="s">
        <v>32235</v>
      </c>
      <c r="T10806" t="s">
        <v>32236</v>
      </c>
    </row>
    <row r="10807" spans="1:20" x14ac:dyDescent="0.25">
      <c r="A10807" t="str">
        <f>"3051418"</f>
        <v>3051418</v>
      </c>
      <c r="B10807" t="s">
        <v>32238</v>
      </c>
      <c r="C10807" t="str">
        <f>"73404000"</f>
        <v>73404000</v>
      </c>
      <c r="D10807" t="s">
        <v>32103</v>
      </c>
      <c r="F10807" t="s">
        <v>32104</v>
      </c>
      <c r="I10807" t="s">
        <v>29</v>
      </c>
      <c r="J10807" t="s">
        <v>30</v>
      </c>
      <c r="K10807" t="s">
        <v>31</v>
      </c>
      <c r="M10807" t="s">
        <v>18479</v>
      </c>
      <c r="N10807" t="str">
        <f>"6/20/2017 9:25:00 AM"</f>
        <v>6/20/2017 9:25:00 AM</v>
      </c>
      <c r="O10807" t="s">
        <v>32103</v>
      </c>
    </row>
    <row r="10808" spans="1:20" x14ac:dyDescent="0.25">
      <c r="A10808" t="str">
        <f>"3050990"</f>
        <v>3050990</v>
      </c>
      <c r="B10808" t="s">
        <v>32239</v>
      </c>
      <c r="C10808" t="str">
        <f>"8307944"</f>
        <v>8307944</v>
      </c>
      <c r="D10808" t="s">
        <v>32240</v>
      </c>
      <c r="E10808" t="s">
        <v>32241</v>
      </c>
      <c r="F10808" t="s">
        <v>32242</v>
      </c>
      <c r="I10808" t="s">
        <v>184</v>
      </c>
      <c r="J10808" t="s">
        <v>30</v>
      </c>
      <c r="K10808" t="str">
        <f>"27006"</f>
        <v>27006</v>
      </c>
      <c r="M10808" t="s">
        <v>17861</v>
      </c>
      <c r="N10808" t="str">
        <f>"6/22/2017 2:20:00 PM"</f>
        <v>6/22/2017 2:20:00 PM</v>
      </c>
      <c r="O10808" t="s">
        <v>32240</v>
      </c>
      <c r="T10808" t="s">
        <v>32241</v>
      </c>
    </row>
    <row r="10809" spans="1:20" x14ac:dyDescent="0.25">
      <c r="A10809" t="str">
        <f>"3044589"</f>
        <v>3044589</v>
      </c>
      <c r="B10809" t="s">
        <v>32243</v>
      </c>
      <c r="C10809" t="str">
        <f>"8307841"</f>
        <v>8307841</v>
      </c>
      <c r="D10809" t="s">
        <v>32244</v>
      </c>
      <c r="E10809" t="s">
        <v>32245</v>
      </c>
      <c r="F10809" t="s">
        <v>32246</v>
      </c>
      <c r="I10809" t="s">
        <v>184</v>
      </c>
      <c r="J10809" t="s">
        <v>30</v>
      </c>
      <c r="K10809" t="str">
        <f>"27006"</f>
        <v>27006</v>
      </c>
      <c r="M10809" t="s">
        <v>17861</v>
      </c>
      <c r="N10809" t="str">
        <f>"6/2/2017 10:20:00 AM"</f>
        <v>6/2/2017 10:20:00 AM</v>
      </c>
      <c r="O10809" t="s">
        <v>32244</v>
      </c>
      <c r="T10809" t="s">
        <v>32245</v>
      </c>
    </row>
    <row r="10810" spans="1:20" x14ac:dyDescent="0.25">
      <c r="A10810" t="str">
        <f>"3048674"</f>
        <v>3048674</v>
      </c>
      <c r="B10810" t="s">
        <v>32247</v>
      </c>
      <c r="C10810" t="str">
        <f>"8307975"</f>
        <v>8307975</v>
      </c>
      <c r="D10810" t="str">
        <f>"CAMPBELL ERIC/MICHELLE"</f>
        <v>CAMPBELL ERIC/MICHELLE</v>
      </c>
      <c r="E10810" t="str">
        <f>"MARQUEZ MICHAEL/BETTY"</f>
        <v>MARQUEZ MICHAEL/BETTY</v>
      </c>
      <c r="F10810" t="s">
        <v>32248</v>
      </c>
      <c r="I10810" t="s">
        <v>29</v>
      </c>
      <c r="J10810" t="s">
        <v>30</v>
      </c>
      <c r="K10810" t="str">
        <f>"27028"</f>
        <v>27028</v>
      </c>
      <c r="M10810" t="s">
        <v>17861</v>
      </c>
      <c r="N10810" t="str">
        <f>"6/23/2017 3:55:00 PM"</f>
        <v>6/23/2017 3:55:00 PM</v>
      </c>
      <c r="O10810" t="str">
        <f>"CAMPBELL ERIC/MICHELLE"</f>
        <v>CAMPBELL ERIC/MICHELLE</v>
      </c>
      <c r="T10810" t="str">
        <f>"MARQUEZ MICHAEL/BETTY"</f>
        <v>MARQUEZ MICHAEL/BETTY</v>
      </c>
    </row>
    <row r="10811" spans="1:20" x14ac:dyDescent="0.25">
      <c r="A10811" t="str">
        <f>"3054138"</f>
        <v>3054138</v>
      </c>
      <c r="B10811" t="s">
        <v>32249</v>
      </c>
      <c r="C10811" t="str">
        <f>"8307977"</f>
        <v>8307977</v>
      </c>
      <c r="D10811" t="s">
        <v>32142</v>
      </c>
      <c r="F10811" t="s">
        <v>32143</v>
      </c>
      <c r="I10811" t="s">
        <v>9580</v>
      </c>
      <c r="J10811" t="s">
        <v>30</v>
      </c>
      <c r="K10811" t="str">
        <f>"27014"</f>
        <v>27014</v>
      </c>
      <c r="M10811" t="s">
        <v>17861</v>
      </c>
      <c r="N10811" t="str">
        <f>"6/26/2017 10:26:00 AM"</f>
        <v>6/26/2017 10:26:00 AM</v>
      </c>
      <c r="O10811" t="s">
        <v>32142</v>
      </c>
    </row>
    <row r="10812" spans="1:20" x14ac:dyDescent="0.25">
      <c r="A10812" t="str">
        <f>"3054035"</f>
        <v>3054035</v>
      </c>
      <c r="B10812" t="s">
        <v>32250</v>
      </c>
      <c r="C10812" t="str">
        <f>"8307977"</f>
        <v>8307977</v>
      </c>
      <c r="D10812" t="s">
        <v>32142</v>
      </c>
      <c r="F10812" t="s">
        <v>32143</v>
      </c>
      <c r="I10812" t="s">
        <v>9580</v>
      </c>
      <c r="J10812" t="s">
        <v>30</v>
      </c>
      <c r="K10812" t="str">
        <f>"27014"</f>
        <v>27014</v>
      </c>
      <c r="M10812" t="s">
        <v>17861</v>
      </c>
      <c r="N10812" t="str">
        <f>"6/26/2017 10:26:00 AM"</f>
        <v>6/26/2017 10:26:00 AM</v>
      </c>
      <c r="O10812" t="s">
        <v>32142</v>
      </c>
    </row>
    <row r="10813" spans="1:20" x14ac:dyDescent="0.25">
      <c r="A10813" t="str">
        <f>"3060854"</f>
        <v>3060854</v>
      </c>
      <c r="B10813" t="s">
        <v>32251</v>
      </c>
      <c r="C10813" t="str">
        <f>"8307984"</f>
        <v>8307984</v>
      </c>
      <c r="D10813" t="s">
        <v>32252</v>
      </c>
      <c r="E10813" t="s">
        <v>32253</v>
      </c>
      <c r="F10813" t="s">
        <v>32254</v>
      </c>
      <c r="I10813" t="s">
        <v>184</v>
      </c>
      <c r="J10813" t="s">
        <v>30</v>
      </c>
      <c r="K10813" t="str">
        <f>"27006"</f>
        <v>27006</v>
      </c>
      <c r="M10813" t="s">
        <v>17861</v>
      </c>
      <c r="N10813" t="str">
        <f>"6/26/2017 2:32:00 PM"</f>
        <v>6/26/2017 2:32:00 PM</v>
      </c>
      <c r="O10813" t="s">
        <v>32252</v>
      </c>
      <c r="T10813" t="s">
        <v>32253</v>
      </c>
    </row>
    <row r="10814" spans="1:20" x14ac:dyDescent="0.25">
      <c r="A10814" t="str">
        <f>"3078388"</f>
        <v>3078388</v>
      </c>
      <c r="B10814" t="s">
        <v>32255</v>
      </c>
      <c r="C10814" t="str">
        <f>"8307986"</f>
        <v>8307986</v>
      </c>
      <c r="D10814" t="s">
        <v>32153</v>
      </c>
      <c r="F10814" t="s">
        <v>32154</v>
      </c>
      <c r="I10814" t="s">
        <v>29</v>
      </c>
      <c r="J10814" t="s">
        <v>30</v>
      </c>
      <c r="K10814" t="s">
        <v>32155</v>
      </c>
      <c r="M10814" t="s">
        <v>17861</v>
      </c>
      <c r="N10814" t="str">
        <f>"6/28/2017 8:47:00 AM"</f>
        <v>6/28/2017 8:47:00 AM</v>
      </c>
      <c r="O10814" t="s">
        <v>32153</v>
      </c>
    </row>
    <row r="10815" spans="1:20" x14ac:dyDescent="0.25">
      <c r="A10815" t="str">
        <f>"3052874"</f>
        <v>3052874</v>
      </c>
      <c r="B10815" t="s">
        <v>32256</v>
      </c>
      <c r="C10815" t="str">
        <f>"20030000"</f>
        <v>20030000</v>
      </c>
      <c r="D10815" t="s">
        <v>32179</v>
      </c>
      <c r="F10815" t="s">
        <v>32180</v>
      </c>
      <c r="G10815" t="s">
        <v>32181</v>
      </c>
      <c r="I10815" t="s">
        <v>2280</v>
      </c>
      <c r="J10815" t="s">
        <v>30</v>
      </c>
      <c r="K10815" t="s">
        <v>4260</v>
      </c>
      <c r="M10815" t="s">
        <v>18479</v>
      </c>
      <c r="N10815" t="str">
        <f>"6/29/2017 3:44:00 PM"</f>
        <v>6/29/2017 3:44:00 PM</v>
      </c>
      <c r="O10815" t="s">
        <v>32179</v>
      </c>
    </row>
    <row r="10816" spans="1:20" x14ac:dyDescent="0.25">
      <c r="A10816" t="str">
        <f>"3049245"</f>
        <v>3049245</v>
      </c>
      <c r="B10816" t="s">
        <v>32257</v>
      </c>
      <c r="C10816" t="str">
        <f>"75977000"</f>
        <v>75977000</v>
      </c>
      <c r="D10816" t="s">
        <v>32258</v>
      </c>
      <c r="E10816" t="s">
        <v>32259</v>
      </c>
      <c r="F10816" t="s">
        <v>32260</v>
      </c>
      <c r="I10816" t="s">
        <v>184</v>
      </c>
      <c r="J10816" t="s">
        <v>30</v>
      </c>
      <c r="K10816" t="s">
        <v>32261</v>
      </c>
      <c r="M10816" t="s">
        <v>17861</v>
      </c>
      <c r="N10816" t="str">
        <f>"7/3/2017 3:24:00 PM"</f>
        <v>7/3/2017 3:24:00 PM</v>
      </c>
      <c r="O10816" t="s">
        <v>32258</v>
      </c>
      <c r="T10816" t="s">
        <v>32259</v>
      </c>
    </row>
    <row r="10817" spans="1:20" x14ac:dyDescent="0.25">
      <c r="A10817" t="str">
        <f>"3061709"</f>
        <v>3061709</v>
      </c>
      <c r="B10817" t="s">
        <v>32262</v>
      </c>
      <c r="C10817" t="str">
        <f>"8305196"</f>
        <v>8305196</v>
      </c>
      <c r="D10817" t="s">
        <v>32263</v>
      </c>
      <c r="F10817" t="s">
        <v>32264</v>
      </c>
      <c r="I10817" t="s">
        <v>2071</v>
      </c>
      <c r="J10817" t="s">
        <v>30</v>
      </c>
      <c r="K10817" t="str">
        <f>"27006"</f>
        <v>27006</v>
      </c>
      <c r="M10817" t="s">
        <v>25733</v>
      </c>
      <c r="N10817" t="str">
        <f>"7/5/2017 10:47:00 AM"</f>
        <v>7/5/2017 10:47:00 AM</v>
      </c>
      <c r="O10817" t="s">
        <v>32263</v>
      </c>
    </row>
    <row r="10818" spans="1:20" x14ac:dyDescent="0.25">
      <c r="A10818" t="str">
        <f>"3060526"</f>
        <v>3060526</v>
      </c>
      <c r="B10818" t="s">
        <v>32265</v>
      </c>
      <c r="C10818" t="str">
        <f>"8308013"</f>
        <v>8308013</v>
      </c>
      <c r="D10818" t="s">
        <v>32266</v>
      </c>
      <c r="E10818" t="s">
        <v>32267</v>
      </c>
      <c r="F10818" t="s">
        <v>32268</v>
      </c>
      <c r="I10818" t="s">
        <v>184</v>
      </c>
      <c r="J10818" t="s">
        <v>30</v>
      </c>
      <c r="K10818" t="str">
        <f>"27006"</f>
        <v>27006</v>
      </c>
      <c r="M10818" t="s">
        <v>17861</v>
      </c>
      <c r="N10818" t="str">
        <f>"7/6/2017 1:31:00 PM"</f>
        <v>7/6/2017 1:31:00 PM</v>
      </c>
      <c r="O10818" t="s">
        <v>32266</v>
      </c>
      <c r="T10818" t="s">
        <v>32267</v>
      </c>
    </row>
    <row r="10819" spans="1:20" x14ac:dyDescent="0.25">
      <c r="A10819" t="str">
        <f>"3049804"</f>
        <v>3049804</v>
      </c>
      <c r="B10819" t="s">
        <v>32269</v>
      </c>
      <c r="C10819" t="str">
        <f>"8306418"</f>
        <v>8306418</v>
      </c>
      <c r="D10819" t="s">
        <v>32270</v>
      </c>
      <c r="F10819" t="s">
        <v>32271</v>
      </c>
      <c r="I10819" t="s">
        <v>29</v>
      </c>
      <c r="J10819" t="s">
        <v>30</v>
      </c>
      <c r="K10819" t="str">
        <f>"27028"</f>
        <v>27028</v>
      </c>
      <c r="M10819" t="s">
        <v>17861</v>
      </c>
      <c r="N10819" t="str">
        <f>"7/21/2017 10:22:00 AM"</f>
        <v>7/21/2017 10:22:00 AM</v>
      </c>
      <c r="O10819" t="s">
        <v>32270</v>
      </c>
    </row>
    <row r="10820" spans="1:20" x14ac:dyDescent="0.25">
      <c r="A10820" t="str">
        <f>"3045338"</f>
        <v>3045338</v>
      </c>
      <c r="B10820" t="s">
        <v>32272</v>
      </c>
      <c r="C10820" t="str">
        <f>"8308109"</f>
        <v>8308109</v>
      </c>
      <c r="D10820" t="s">
        <v>32273</v>
      </c>
      <c r="F10820" t="s">
        <v>32274</v>
      </c>
      <c r="I10820" t="s">
        <v>29</v>
      </c>
      <c r="J10820" t="s">
        <v>30</v>
      </c>
      <c r="K10820" t="str">
        <f>"27028"</f>
        <v>27028</v>
      </c>
      <c r="M10820" t="s">
        <v>17861</v>
      </c>
      <c r="N10820" t="str">
        <f>"7/24/2017 1:25:00 PM"</f>
        <v>7/24/2017 1:25:00 PM</v>
      </c>
      <c r="O10820" t="s">
        <v>32273</v>
      </c>
    </row>
    <row r="10821" spans="1:20" x14ac:dyDescent="0.25">
      <c r="A10821" t="str">
        <f>"3039546"</f>
        <v>3039546</v>
      </c>
      <c r="B10821" t="s">
        <v>32275</v>
      </c>
      <c r="C10821" t="str">
        <f>"8308111"</f>
        <v>8308111</v>
      </c>
      <c r="D10821" t="s">
        <v>32276</v>
      </c>
      <c r="F10821" t="s">
        <v>32277</v>
      </c>
      <c r="I10821" t="s">
        <v>184</v>
      </c>
      <c r="J10821" t="s">
        <v>30</v>
      </c>
      <c r="K10821" t="str">
        <f>"27006"</f>
        <v>27006</v>
      </c>
      <c r="M10821" t="s">
        <v>17861</v>
      </c>
      <c r="N10821" t="str">
        <f>"7/24/2017 2:23:00 PM"</f>
        <v>7/24/2017 2:23:00 PM</v>
      </c>
      <c r="O10821" t="s">
        <v>32276</v>
      </c>
    </row>
    <row r="10822" spans="1:20" x14ac:dyDescent="0.25">
      <c r="A10822" t="str">
        <f>"3041435"</f>
        <v>3041435</v>
      </c>
      <c r="B10822" t="s">
        <v>32278</v>
      </c>
      <c r="C10822" t="str">
        <f>"82528122"</f>
        <v>82528122</v>
      </c>
      <c r="D10822" t="s">
        <v>32279</v>
      </c>
      <c r="F10822" t="s">
        <v>32280</v>
      </c>
      <c r="I10822" t="s">
        <v>2071</v>
      </c>
      <c r="J10822" t="s">
        <v>30</v>
      </c>
      <c r="K10822" t="s">
        <v>185</v>
      </c>
      <c r="M10822" t="s">
        <v>17861</v>
      </c>
      <c r="N10822" t="str">
        <f>"7/24/2017 3:24:00 PM"</f>
        <v>7/24/2017 3:24:00 PM</v>
      </c>
      <c r="O10822" t="s">
        <v>32279</v>
      </c>
    </row>
    <row r="10823" spans="1:20" x14ac:dyDescent="0.25">
      <c r="A10823" t="str">
        <f>"3062778"</f>
        <v>3062778</v>
      </c>
      <c r="B10823" t="s">
        <v>32281</v>
      </c>
      <c r="C10823" t="str">
        <f>"8308025"</f>
        <v>8308025</v>
      </c>
      <c r="D10823" t="s">
        <v>32282</v>
      </c>
      <c r="E10823" t="s">
        <v>32283</v>
      </c>
      <c r="F10823" t="s">
        <v>32284</v>
      </c>
      <c r="I10823" t="s">
        <v>29</v>
      </c>
      <c r="J10823" t="s">
        <v>30</v>
      </c>
      <c r="K10823" t="str">
        <f>"27028"</f>
        <v>27028</v>
      </c>
      <c r="M10823" t="s">
        <v>17861</v>
      </c>
      <c r="N10823" t="str">
        <f>"7/6/2017 4:13:00 PM"</f>
        <v>7/6/2017 4:13:00 PM</v>
      </c>
      <c r="O10823" t="s">
        <v>32282</v>
      </c>
      <c r="T10823" t="s">
        <v>32283</v>
      </c>
    </row>
    <row r="10824" spans="1:20" x14ac:dyDescent="0.25">
      <c r="A10824" t="str">
        <f>"3038097"</f>
        <v>3038097</v>
      </c>
      <c r="B10824" t="s">
        <v>32285</v>
      </c>
      <c r="C10824" t="str">
        <f>"82517338"</f>
        <v>82517338</v>
      </c>
      <c r="D10824" t="s">
        <v>32286</v>
      </c>
      <c r="E10824" t="s">
        <v>32287</v>
      </c>
      <c r="F10824" t="s">
        <v>32288</v>
      </c>
      <c r="I10824" t="s">
        <v>29</v>
      </c>
      <c r="J10824" t="s">
        <v>30</v>
      </c>
      <c r="K10824" t="str">
        <f>"27028"</f>
        <v>27028</v>
      </c>
      <c r="M10824" t="s">
        <v>18479</v>
      </c>
      <c r="N10824" t="str">
        <f>"7/26/2017 8:41:00 AM"</f>
        <v>7/26/2017 8:41:00 AM</v>
      </c>
      <c r="O10824" t="s">
        <v>32286</v>
      </c>
      <c r="T10824" t="s">
        <v>32287</v>
      </c>
    </row>
    <row r="10825" spans="1:20" x14ac:dyDescent="0.25">
      <c r="A10825" t="str">
        <f>"3051288"</f>
        <v>3051288</v>
      </c>
      <c r="B10825" t="s">
        <v>32289</v>
      </c>
      <c r="C10825" t="str">
        <f>"8308029"</f>
        <v>8308029</v>
      </c>
      <c r="D10825" t="s">
        <v>32290</v>
      </c>
      <c r="F10825" t="s">
        <v>32291</v>
      </c>
      <c r="I10825" t="s">
        <v>29</v>
      </c>
      <c r="J10825" t="s">
        <v>30</v>
      </c>
      <c r="K10825" t="str">
        <f>"27028"</f>
        <v>27028</v>
      </c>
      <c r="M10825" t="s">
        <v>17861</v>
      </c>
      <c r="N10825" t="str">
        <f>"7/7/2017 1:56:00 PM"</f>
        <v>7/7/2017 1:56:00 PM</v>
      </c>
      <c r="O10825" t="s">
        <v>32290</v>
      </c>
    </row>
    <row r="10826" spans="1:20" x14ac:dyDescent="0.25">
      <c r="A10826" t="str">
        <f>"3047561"</f>
        <v>3047561</v>
      </c>
      <c r="B10826" t="s">
        <v>32292</v>
      </c>
      <c r="C10826" t="str">
        <f>"36306000"</f>
        <v>36306000</v>
      </c>
      <c r="D10826" t="s">
        <v>32293</v>
      </c>
      <c r="F10826" t="s">
        <v>32294</v>
      </c>
      <c r="I10826" t="s">
        <v>402</v>
      </c>
      <c r="J10826" t="s">
        <v>30</v>
      </c>
      <c r="K10826" t="s">
        <v>32295</v>
      </c>
      <c r="M10826" t="s">
        <v>25494</v>
      </c>
      <c r="N10826" t="str">
        <f>"7/12/2017 9:26:00 AM"</f>
        <v>7/12/2017 9:26:00 AM</v>
      </c>
      <c r="O10826" t="s">
        <v>32293</v>
      </c>
    </row>
    <row r="10827" spans="1:20" x14ac:dyDescent="0.25">
      <c r="A10827" t="str">
        <f>"3040698"</f>
        <v>3040698</v>
      </c>
      <c r="B10827" t="s">
        <v>32296</v>
      </c>
      <c r="C10827" t="str">
        <f>"44316000"</f>
        <v>44316000</v>
      </c>
      <c r="D10827" t="s">
        <v>32297</v>
      </c>
      <c r="E10827" t="s">
        <v>32298</v>
      </c>
      <c r="F10827" t="s">
        <v>32299</v>
      </c>
      <c r="I10827" t="s">
        <v>184</v>
      </c>
      <c r="J10827" t="s">
        <v>30</v>
      </c>
      <c r="K10827" t="str">
        <f>"27006"</f>
        <v>27006</v>
      </c>
      <c r="M10827" t="s">
        <v>18479</v>
      </c>
      <c r="N10827" t="str">
        <f>"7/13/2017 11:52:00 AM"</f>
        <v>7/13/2017 11:52:00 AM</v>
      </c>
      <c r="O10827" t="s">
        <v>32297</v>
      </c>
      <c r="T10827" t="s">
        <v>32298</v>
      </c>
    </row>
    <row r="10828" spans="1:20" x14ac:dyDescent="0.25">
      <c r="A10828" t="str">
        <f>"3054406"</f>
        <v>3054406</v>
      </c>
      <c r="B10828" t="s">
        <v>32300</v>
      </c>
      <c r="C10828" t="str">
        <f>"8308057"</f>
        <v>8308057</v>
      </c>
      <c r="D10828" t="s">
        <v>32301</v>
      </c>
      <c r="E10828" t="s">
        <v>32302</v>
      </c>
      <c r="F10828" t="s">
        <v>15666</v>
      </c>
      <c r="I10828" t="s">
        <v>9580</v>
      </c>
      <c r="J10828" t="s">
        <v>30</v>
      </c>
      <c r="K10828" t="str">
        <f>"27014"</f>
        <v>27014</v>
      </c>
      <c r="M10828" t="s">
        <v>17861</v>
      </c>
      <c r="N10828" t="str">
        <f>"7/14/2017 9:46:00 AM"</f>
        <v>7/14/2017 9:46:00 AM</v>
      </c>
      <c r="O10828" t="s">
        <v>32301</v>
      </c>
      <c r="T10828" t="s">
        <v>32302</v>
      </c>
    </row>
    <row r="10829" spans="1:20" x14ac:dyDescent="0.25">
      <c r="A10829" t="str">
        <f>"3053864"</f>
        <v>3053864</v>
      </c>
      <c r="B10829" t="s">
        <v>32303</v>
      </c>
      <c r="C10829" t="str">
        <f>"82513222"</f>
        <v>82513222</v>
      </c>
      <c r="D10829" t="s">
        <v>32304</v>
      </c>
      <c r="E10829" t="s">
        <v>32305</v>
      </c>
      <c r="F10829" t="s">
        <v>32306</v>
      </c>
      <c r="I10829" t="s">
        <v>29</v>
      </c>
      <c r="J10829" t="s">
        <v>30</v>
      </c>
      <c r="K10829" t="s">
        <v>31</v>
      </c>
      <c r="M10829" t="s">
        <v>27053</v>
      </c>
      <c r="N10829" t="str">
        <f>"7/14/2017 12:34:00 PM"</f>
        <v>7/14/2017 12:34:00 PM</v>
      </c>
      <c r="O10829" t="s">
        <v>32304</v>
      </c>
      <c r="T10829" t="s">
        <v>32305</v>
      </c>
    </row>
    <row r="10830" spans="1:20" x14ac:dyDescent="0.25">
      <c r="A10830" t="str">
        <f>"3058927"</f>
        <v>3058927</v>
      </c>
      <c r="B10830" t="s">
        <v>32307</v>
      </c>
      <c r="C10830" t="str">
        <f>"8307954"</f>
        <v>8307954</v>
      </c>
      <c r="D10830" t="s">
        <v>32308</v>
      </c>
      <c r="E10830" t="s">
        <v>32309</v>
      </c>
      <c r="F10830" t="s">
        <v>32310</v>
      </c>
      <c r="I10830" t="s">
        <v>29</v>
      </c>
      <c r="J10830" t="s">
        <v>30</v>
      </c>
      <c r="K10830" t="str">
        <f>"27028"</f>
        <v>27028</v>
      </c>
      <c r="M10830" t="s">
        <v>17861</v>
      </c>
      <c r="N10830" t="str">
        <f>"6/23/2017 9:18:00 AM"</f>
        <v>6/23/2017 9:18:00 AM</v>
      </c>
      <c r="O10830" t="s">
        <v>32308</v>
      </c>
      <c r="T10830" t="s">
        <v>32309</v>
      </c>
    </row>
    <row r="10831" spans="1:20" x14ac:dyDescent="0.25">
      <c r="A10831" t="str">
        <f>"3044906"</f>
        <v>3044906</v>
      </c>
      <c r="B10831" t="s">
        <v>32311</v>
      </c>
      <c r="C10831" t="str">
        <f>"8307956"</f>
        <v>8307956</v>
      </c>
      <c r="D10831" t="s">
        <v>32312</v>
      </c>
      <c r="E10831" t="s">
        <v>32313</v>
      </c>
      <c r="F10831" t="s">
        <v>32314</v>
      </c>
      <c r="I10831" t="s">
        <v>184</v>
      </c>
      <c r="J10831" t="s">
        <v>30</v>
      </c>
      <c r="K10831" t="str">
        <f>"27006"</f>
        <v>27006</v>
      </c>
      <c r="M10831" t="s">
        <v>17861</v>
      </c>
      <c r="N10831" t="str">
        <f>"6/23/2017 10:02:00 AM"</f>
        <v>6/23/2017 10:02:00 AM</v>
      </c>
      <c r="O10831" t="s">
        <v>32312</v>
      </c>
      <c r="T10831" t="s">
        <v>32313</v>
      </c>
    </row>
    <row r="10832" spans="1:20" x14ac:dyDescent="0.25">
      <c r="A10832" t="str">
        <f>"3059924"</f>
        <v>3059924</v>
      </c>
      <c r="B10832" t="s">
        <v>32315</v>
      </c>
      <c r="C10832" t="str">
        <f>"8307964"</f>
        <v>8307964</v>
      </c>
      <c r="D10832" t="s">
        <v>32316</v>
      </c>
      <c r="E10832" t="s">
        <v>32317</v>
      </c>
      <c r="F10832" t="s">
        <v>32318</v>
      </c>
      <c r="I10832" t="s">
        <v>29</v>
      </c>
      <c r="J10832" t="s">
        <v>30</v>
      </c>
      <c r="K10832" t="str">
        <f>"27028"</f>
        <v>27028</v>
      </c>
      <c r="M10832" t="s">
        <v>17861</v>
      </c>
      <c r="N10832" t="str">
        <f>"6/23/2017 1:40:00 PM"</f>
        <v>6/23/2017 1:40:00 PM</v>
      </c>
      <c r="O10832" t="s">
        <v>32316</v>
      </c>
      <c r="T10832" t="s">
        <v>32317</v>
      </c>
    </row>
    <row r="10833" spans="1:20" x14ac:dyDescent="0.25">
      <c r="A10833" t="str">
        <f>"3045799"</f>
        <v>3045799</v>
      </c>
      <c r="B10833" t="s">
        <v>32319</v>
      </c>
      <c r="C10833" t="str">
        <f>"8307965"</f>
        <v>8307965</v>
      </c>
      <c r="D10833" t="s">
        <v>32320</v>
      </c>
      <c r="E10833" t="s">
        <v>32321</v>
      </c>
      <c r="F10833" t="s">
        <v>32322</v>
      </c>
      <c r="I10833" t="s">
        <v>29</v>
      </c>
      <c r="J10833" t="s">
        <v>30</v>
      </c>
      <c r="K10833" t="str">
        <f>"27028"</f>
        <v>27028</v>
      </c>
      <c r="M10833" t="s">
        <v>17861</v>
      </c>
      <c r="N10833" t="str">
        <f>"6/23/2017 1:51:00 PM"</f>
        <v>6/23/2017 1:51:00 PM</v>
      </c>
      <c r="O10833" t="s">
        <v>32320</v>
      </c>
      <c r="T10833" t="s">
        <v>32321</v>
      </c>
    </row>
    <row r="10834" spans="1:20" x14ac:dyDescent="0.25">
      <c r="A10834" t="str">
        <f>"3060240"</f>
        <v>3060240</v>
      </c>
      <c r="B10834" t="s">
        <v>32323</v>
      </c>
      <c r="C10834" t="str">
        <f>"8307971"</f>
        <v>8307971</v>
      </c>
      <c r="D10834" t="s">
        <v>32324</v>
      </c>
      <c r="F10834" t="s">
        <v>32325</v>
      </c>
      <c r="I10834" t="s">
        <v>184</v>
      </c>
      <c r="J10834" t="s">
        <v>30</v>
      </c>
      <c r="K10834" t="str">
        <f>"27006"</f>
        <v>27006</v>
      </c>
      <c r="M10834" t="s">
        <v>17861</v>
      </c>
      <c r="N10834" t="str">
        <f>"6/23/2017 3:37:00 PM"</f>
        <v>6/23/2017 3:37:00 PM</v>
      </c>
      <c r="O10834" t="s">
        <v>32324</v>
      </c>
    </row>
    <row r="10835" spans="1:20" x14ac:dyDescent="0.25">
      <c r="A10835" t="str">
        <f>"3053253"</f>
        <v>3053253</v>
      </c>
      <c r="B10835" t="s">
        <v>32326</v>
      </c>
      <c r="C10835" t="str">
        <f>"8308086"</f>
        <v>8308086</v>
      </c>
      <c r="D10835" t="s">
        <v>32327</v>
      </c>
      <c r="F10835" t="s">
        <v>32328</v>
      </c>
      <c r="I10835" t="s">
        <v>29</v>
      </c>
      <c r="J10835" t="s">
        <v>30</v>
      </c>
      <c r="K10835" t="str">
        <f>"27028"</f>
        <v>27028</v>
      </c>
      <c r="M10835" t="s">
        <v>17861</v>
      </c>
      <c r="N10835" t="str">
        <f>"7/20/2017 12:56:00 PM"</f>
        <v>7/20/2017 12:56:00 PM</v>
      </c>
      <c r="O10835" t="s">
        <v>32327</v>
      </c>
    </row>
    <row r="10836" spans="1:20" x14ac:dyDescent="0.25">
      <c r="A10836" t="str">
        <f>"3074764"</f>
        <v>3074764</v>
      </c>
      <c r="B10836" t="s">
        <v>32329</v>
      </c>
      <c r="C10836" t="str">
        <f>"8308086"</f>
        <v>8308086</v>
      </c>
      <c r="D10836" t="s">
        <v>32327</v>
      </c>
      <c r="F10836" t="s">
        <v>32328</v>
      </c>
      <c r="I10836" t="s">
        <v>29</v>
      </c>
      <c r="J10836" t="s">
        <v>30</v>
      </c>
      <c r="K10836" t="str">
        <f>"27028"</f>
        <v>27028</v>
      </c>
      <c r="M10836" t="s">
        <v>17861</v>
      </c>
      <c r="N10836" t="str">
        <f>"7/20/2017 12:56:00 PM"</f>
        <v>7/20/2017 12:56:00 PM</v>
      </c>
      <c r="O10836" t="s">
        <v>32327</v>
      </c>
    </row>
    <row r="10837" spans="1:20" x14ac:dyDescent="0.25">
      <c r="A10837" t="str">
        <f>"3041875"</f>
        <v>3041875</v>
      </c>
      <c r="B10837" t="s">
        <v>32330</v>
      </c>
      <c r="C10837" t="str">
        <f>"82530552"</f>
        <v>82530552</v>
      </c>
      <c r="D10837" t="s">
        <v>32331</v>
      </c>
      <c r="E10837" t="s">
        <v>32332</v>
      </c>
      <c r="F10837" t="str">
        <f>"C/O BRANCH BANKING &amp; TRUST"</f>
        <v>C/O BRANCH BANKING &amp; TRUST</v>
      </c>
      <c r="G10837" t="s">
        <v>32333</v>
      </c>
      <c r="I10837" t="s">
        <v>3580</v>
      </c>
      <c r="J10837" t="s">
        <v>30</v>
      </c>
      <c r="K10837" t="s">
        <v>32334</v>
      </c>
      <c r="M10837" t="s">
        <v>17861</v>
      </c>
      <c r="N10837" t="str">
        <f>"7/20/2017 2:17:00 PM"</f>
        <v>7/20/2017 2:17:00 PM</v>
      </c>
      <c r="O10837" t="s">
        <v>32331</v>
      </c>
      <c r="T10837" t="s">
        <v>32332</v>
      </c>
    </row>
    <row r="10838" spans="1:20" x14ac:dyDescent="0.25">
      <c r="A10838" t="str">
        <f>"3060678"</f>
        <v>3060678</v>
      </c>
      <c r="B10838" t="s">
        <v>32335</v>
      </c>
      <c r="C10838" t="str">
        <f>"8308093"</f>
        <v>8308093</v>
      </c>
      <c r="D10838" t="s">
        <v>32336</v>
      </c>
      <c r="E10838" t="s">
        <v>32337</v>
      </c>
      <c r="F10838" t="s">
        <v>32338</v>
      </c>
      <c r="I10838" t="s">
        <v>2071</v>
      </c>
      <c r="J10838" t="s">
        <v>30</v>
      </c>
      <c r="K10838" t="str">
        <f>"27006"</f>
        <v>27006</v>
      </c>
      <c r="M10838" t="s">
        <v>17861</v>
      </c>
      <c r="N10838" t="str">
        <f>"7/20/2017 2:38:00 PM"</f>
        <v>7/20/2017 2:38:00 PM</v>
      </c>
      <c r="O10838" t="s">
        <v>32336</v>
      </c>
      <c r="T10838" t="s">
        <v>32337</v>
      </c>
    </row>
    <row r="10839" spans="1:20" x14ac:dyDescent="0.25">
      <c r="A10839" t="str">
        <f>"3062581"</f>
        <v>3062581</v>
      </c>
      <c r="B10839" t="s">
        <v>32339</v>
      </c>
      <c r="C10839" t="str">
        <f>"8308105"</f>
        <v>8308105</v>
      </c>
      <c r="D10839" t="s">
        <v>32340</v>
      </c>
      <c r="F10839" t="s">
        <v>32341</v>
      </c>
      <c r="I10839" t="s">
        <v>29</v>
      </c>
      <c r="J10839" t="s">
        <v>30</v>
      </c>
      <c r="K10839" t="str">
        <f t="shared" ref="K10839:K10844" si="184">"27028"</f>
        <v>27028</v>
      </c>
      <c r="M10839" t="s">
        <v>17861</v>
      </c>
      <c r="N10839" t="str">
        <f>"7/21/2017 10:08:00 AM"</f>
        <v>7/21/2017 10:08:00 AM</v>
      </c>
      <c r="O10839" t="s">
        <v>32340</v>
      </c>
    </row>
    <row r="10840" spans="1:20" x14ac:dyDescent="0.25">
      <c r="A10840" t="str">
        <f>"3078787"</f>
        <v>3078787</v>
      </c>
      <c r="B10840" t="s">
        <v>32342</v>
      </c>
      <c r="C10840" t="str">
        <f>"8308106"</f>
        <v>8308106</v>
      </c>
      <c r="D10840" t="s">
        <v>32343</v>
      </c>
      <c r="F10840" t="s">
        <v>32344</v>
      </c>
      <c r="I10840" t="s">
        <v>29</v>
      </c>
      <c r="J10840" t="s">
        <v>30</v>
      </c>
      <c r="K10840" t="str">
        <f t="shared" si="184"/>
        <v>27028</v>
      </c>
      <c r="M10840" t="s">
        <v>17861</v>
      </c>
      <c r="N10840" t="str">
        <f>"7/21/2017 10:11:00 AM"</f>
        <v>7/21/2017 10:11:00 AM</v>
      </c>
      <c r="O10840" t="s">
        <v>32343</v>
      </c>
    </row>
    <row r="10841" spans="1:20" x14ac:dyDescent="0.25">
      <c r="A10841" t="str">
        <f>"3047147"</f>
        <v>3047147</v>
      </c>
      <c r="B10841" t="s">
        <v>32345</v>
      </c>
      <c r="C10841" t="str">
        <f>"8308106"</f>
        <v>8308106</v>
      </c>
      <c r="D10841" t="s">
        <v>32343</v>
      </c>
      <c r="F10841" t="s">
        <v>32344</v>
      </c>
      <c r="I10841" t="s">
        <v>29</v>
      </c>
      <c r="J10841" t="s">
        <v>30</v>
      </c>
      <c r="K10841" t="str">
        <f t="shared" si="184"/>
        <v>27028</v>
      </c>
      <c r="M10841" t="s">
        <v>17861</v>
      </c>
      <c r="N10841" t="str">
        <f>"7/21/2017 10:11:00 AM"</f>
        <v>7/21/2017 10:11:00 AM</v>
      </c>
      <c r="O10841" t="s">
        <v>32343</v>
      </c>
    </row>
    <row r="10842" spans="1:20" x14ac:dyDescent="0.25">
      <c r="A10842" t="str">
        <f>"3042666"</f>
        <v>3042666</v>
      </c>
      <c r="B10842" t="s">
        <v>32346</v>
      </c>
      <c r="C10842" t="str">
        <f>"8308107"</f>
        <v>8308107</v>
      </c>
      <c r="D10842" t="s">
        <v>32347</v>
      </c>
      <c r="F10842" t="s">
        <v>32348</v>
      </c>
      <c r="I10842" t="s">
        <v>29</v>
      </c>
      <c r="J10842" t="s">
        <v>30</v>
      </c>
      <c r="K10842" t="str">
        <f t="shared" si="184"/>
        <v>27028</v>
      </c>
      <c r="M10842" t="s">
        <v>17861</v>
      </c>
      <c r="N10842" t="str">
        <f>"7/21/2017 10:16:00 AM"</f>
        <v>7/21/2017 10:16:00 AM</v>
      </c>
      <c r="O10842" t="s">
        <v>32347</v>
      </c>
    </row>
    <row r="10843" spans="1:20" x14ac:dyDescent="0.25">
      <c r="A10843" t="str">
        <f>"3038409"</f>
        <v>3038409</v>
      </c>
      <c r="B10843" t="s">
        <v>32349</v>
      </c>
      <c r="C10843" t="str">
        <f>"82517338"</f>
        <v>82517338</v>
      </c>
      <c r="D10843" t="s">
        <v>32286</v>
      </c>
      <c r="E10843" t="s">
        <v>32287</v>
      </c>
      <c r="F10843" t="s">
        <v>32288</v>
      </c>
      <c r="I10843" t="s">
        <v>29</v>
      </c>
      <c r="J10843" t="s">
        <v>30</v>
      </c>
      <c r="K10843" t="str">
        <f t="shared" si="184"/>
        <v>27028</v>
      </c>
      <c r="M10843" t="s">
        <v>18479</v>
      </c>
      <c r="N10843" t="str">
        <f>"7/26/2017 8:41:00 AM"</f>
        <v>7/26/2017 8:41:00 AM</v>
      </c>
      <c r="O10843" t="s">
        <v>32286</v>
      </c>
      <c r="T10843" t="s">
        <v>32287</v>
      </c>
    </row>
    <row r="10844" spans="1:20" x14ac:dyDescent="0.25">
      <c r="A10844" t="str">
        <f>"3050243"</f>
        <v>3050243</v>
      </c>
      <c r="B10844" t="s">
        <v>32350</v>
      </c>
      <c r="C10844" t="str">
        <f>"8308072"</f>
        <v>8308072</v>
      </c>
      <c r="D10844" t="s">
        <v>32351</v>
      </c>
      <c r="E10844" t="s">
        <v>32352</v>
      </c>
      <c r="F10844" t="s">
        <v>272</v>
      </c>
      <c r="I10844" t="s">
        <v>29</v>
      </c>
      <c r="J10844" t="s">
        <v>30</v>
      </c>
      <c r="K10844" t="str">
        <f t="shared" si="184"/>
        <v>27028</v>
      </c>
      <c r="M10844" t="s">
        <v>17861</v>
      </c>
      <c r="N10844" t="str">
        <f>"7/17/2017 4:12:00 PM"</f>
        <v>7/17/2017 4:12:00 PM</v>
      </c>
      <c r="O10844" t="s">
        <v>32351</v>
      </c>
      <c r="T10844" t="s">
        <v>32352</v>
      </c>
    </row>
    <row r="10845" spans="1:20" x14ac:dyDescent="0.25">
      <c r="A10845" t="str">
        <f>"3049235"</f>
        <v>3049235</v>
      </c>
      <c r="B10845" t="s">
        <v>32353</v>
      </c>
      <c r="C10845" t="str">
        <f>"82523171"</f>
        <v>82523171</v>
      </c>
      <c r="D10845" t="s">
        <v>32354</v>
      </c>
      <c r="E10845" t="s">
        <v>32355</v>
      </c>
      <c r="F10845" t="s">
        <v>32356</v>
      </c>
      <c r="I10845" t="s">
        <v>184</v>
      </c>
      <c r="J10845" t="s">
        <v>30</v>
      </c>
      <c r="K10845" t="s">
        <v>185</v>
      </c>
      <c r="M10845" t="s">
        <v>18479</v>
      </c>
      <c r="N10845" t="str">
        <f>"8/8/2017 1:28:00 PM"</f>
        <v>8/8/2017 1:28:00 PM</v>
      </c>
      <c r="O10845" t="s">
        <v>32354</v>
      </c>
      <c r="T10845" t="s">
        <v>32355</v>
      </c>
    </row>
    <row r="10846" spans="1:20" x14ac:dyDescent="0.25">
      <c r="A10846" t="str">
        <f>"3050032"</f>
        <v>3050032</v>
      </c>
      <c r="B10846" t="s">
        <v>32357</v>
      </c>
      <c r="C10846" t="str">
        <f>"8308073"</f>
        <v>8308073</v>
      </c>
      <c r="D10846" t="s">
        <v>32358</v>
      </c>
      <c r="E10846" t="s">
        <v>32359</v>
      </c>
      <c r="F10846" t="s">
        <v>32360</v>
      </c>
      <c r="I10846" t="s">
        <v>29</v>
      </c>
      <c r="J10846" t="s">
        <v>30</v>
      </c>
      <c r="K10846" t="str">
        <f>"27028"</f>
        <v>27028</v>
      </c>
      <c r="M10846" t="s">
        <v>17861</v>
      </c>
      <c r="N10846" t="str">
        <f>"7/18/2017 10:17:00 AM"</f>
        <v>7/18/2017 10:17:00 AM</v>
      </c>
      <c r="O10846" t="s">
        <v>32358</v>
      </c>
      <c r="T10846" t="s">
        <v>32359</v>
      </c>
    </row>
    <row r="10847" spans="1:20" x14ac:dyDescent="0.25">
      <c r="A10847" t="str">
        <f>"3042031"</f>
        <v>3042031</v>
      </c>
      <c r="B10847" t="s">
        <v>32361</v>
      </c>
      <c r="C10847" t="str">
        <f>"8308370"</f>
        <v>8308370</v>
      </c>
      <c r="D10847" t="s">
        <v>32362</v>
      </c>
      <c r="E10847" t="s">
        <v>32363</v>
      </c>
      <c r="F10847" t="s">
        <v>32364</v>
      </c>
      <c r="I10847" t="s">
        <v>184</v>
      </c>
      <c r="J10847" t="s">
        <v>30</v>
      </c>
      <c r="K10847" t="str">
        <f>"27006"</f>
        <v>27006</v>
      </c>
      <c r="M10847" t="s">
        <v>17861</v>
      </c>
      <c r="N10847" t="str">
        <f>"8/9/2017 2:43:00 PM"</f>
        <v>8/9/2017 2:43:00 PM</v>
      </c>
      <c r="O10847" t="s">
        <v>32362</v>
      </c>
      <c r="T10847" t="s">
        <v>32363</v>
      </c>
    </row>
    <row r="10848" spans="1:20" x14ac:dyDescent="0.25">
      <c r="A10848" t="str">
        <f>"3056540"</f>
        <v>3056540</v>
      </c>
      <c r="B10848" t="s">
        <v>32365</v>
      </c>
      <c r="C10848" t="str">
        <f>"8308076"</f>
        <v>8308076</v>
      </c>
      <c r="D10848" t="s">
        <v>32366</v>
      </c>
      <c r="E10848" t="s">
        <v>32367</v>
      </c>
      <c r="F10848" t="s">
        <v>32368</v>
      </c>
      <c r="I10848" t="s">
        <v>29</v>
      </c>
      <c r="J10848" t="s">
        <v>30</v>
      </c>
      <c r="K10848" t="str">
        <f>"27028"</f>
        <v>27028</v>
      </c>
      <c r="M10848" t="s">
        <v>17861</v>
      </c>
      <c r="N10848" t="str">
        <f>"7/19/2017 2:40:00 PM"</f>
        <v>7/19/2017 2:40:00 PM</v>
      </c>
      <c r="O10848" t="s">
        <v>32366</v>
      </c>
      <c r="T10848" t="s">
        <v>32367</v>
      </c>
    </row>
    <row r="10849" spans="1:20" x14ac:dyDescent="0.25">
      <c r="A10849" t="str">
        <f>"3042621"</f>
        <v>3042621</v>
      </c>
      <c r="B10849" t="s">
        <v>32369</v>
      </c>
      <c r="C10849" t="str">
        <f>"8308079"</f>
        <v>8308079</v>
      </c>
      <c r="D10849" t="s">
        <v>32370</v>
      </c>
      <c r="E10849" t="s">
        <v>32371</v>
      </c>
      <c r="F10849" t="s">
        <v>32372</v>
      </c>
      <c r="I10849" t="s">
        <v>29</v>
      </c>
      <c r="J10849" t="s">
        <v>30</v>
      </c>
      <c r="K10849" t="str">
        <f>"27028"</f>
        <v>27028</v>
      </c>
      <c r="M10849" t="s">
        <v>17861</v>
      </c>
      <c r="N10849" t="str">
        <f>"7/19/2017 3:17:00 PM"</f>
        <v>7/19/2017 3:17:00 PM</v>
      </c>
      <c r="O10849" t="s">
        <v>32370</v>
      </c>
      <c r="T10849" t="s">
        <v>32371</v>
      </c>
    </row>
    <row r="10850" spans="1:20" x14ac:dyDescent="0.25">
      <c r="A10850" t="str">
        <f>"3046173"</f>
        <v>3046173</v>
      </c>
      <c r="B10850" t="s">
        <v>32373</v>
      </c>
      <c r="C10850" t="str">
        <f>"8308083"</f>
        <v>8308083</v>
      </c>
      <c r="D10850" t="s">
        <v>32374</v>
      </c>
      <c r="F10850" t="s">
        <v>32375</v>
      </c>
      <c r="I10850" t="s">
        <v>29</v>
      </c>
      <c r="J10850" t="s">
        <v>30</v>
      </c>
      <c r="K10850" t="str">
        <f>"27028"</f>
        <v>27028</v>
      </c>
      <c r="M10850" t="s">
        <v>17861</v>
      </c>
      <c r="N10850" t="str">
        <f>"7/20/2017 11:26:00 AM"</f>
        <v>7/20/2017 11:26:00 AM</v>
      </c>
      <c r="O10850" t="s">
        <v>32374</v>
      </c>
    </row>
    <row r="10851" spans="1:20" x14ac:dyDescent="0.25">
      <c r="A10851" t="str">
        <f>"3051978"</f>
        <v>3051978</v>
      </c>
      <c r="B10851" t="s">
        <v>32376</v>
      </c>
      <c r="C10851" t="str">
        <f>"8308307"</f>
        <v>8308307</v>
      </c>
      <c r="D10851" t="s">
        <v>32377</v>
      </c>
      <c r="F10851" t="s">
        <v>25327</v>
      </c>
      <c r="I10851" t="s">
        <v>184</v>
      </c>
      <c r="J10851" t="s">
        <v>30</v>
      </c>
      <c r="K10851" t="str">
        <f>"27006"</f>
        <v>27006</v>
      </c>
      <c r="M10851" t="s">
        <v>17861</v>
      </c>
      <c r="N10851" t="str">
        <f>"8/2/2017 10:03:00 AM"</f>
        <v>8/2/2017 10:03:00 AM</v>
      </c>
      <c r="O10851" t="s">
        <v>32377</v>
      </c>
    </row>
    <row r="10852" spans="1:20" x14ac:dyDescent="0.25">
      <c r="A10852" t="str">
        <f>"3052057"</f>
        <v>3052057</v>
      </c>
      <c r="B10852" t="s">
        <v>32378</v>
      </c>
      <c r="C10852" t="str">
        <f>"8308307"</f>
        <v>8308307</v>
      </c>
      <c r="D10852" t="s">
        <v>32377</v>
      </c>
      <c r="F10852" t="s">
        <v>25327</v>
      </c>
      <c r="I10852" t="s">
        <v>184</v>
      </c>
      <c r="J10852" t="s">
        <v>30</v>
      </c>
      <c r="K10852" t="str">
        <f>"27006"</f>
        <v>27006</v>
      </c>
      <c r="M10852" t="s">
        <v>17861</v>
      </c>
      <c r="N10852" t="str">
        <f>"8/2/2017 10:03:00 AM"</f>
        <v>8/2/2017 10:03:00 AM</v>
      </c>
      <c r="O10852" t="s">
        <v>32377</v>
      </c>
    </row>
    <row r="10853" spans="1:20" x14ac:dyDescent="0.25">
      <c r="A10853" t="str">
        <f>"3055302"</f>
        <v>3055302</v>
      </c>
      <c r="B10853" t="s">
        <v>32379</v>
      </c>
      <c r="C10853" t="str">
        <f>"8308307"</f>
        <v>8308307</v>
      </c>
      <c r="D10853" t="s">
        <v>32377</v>
      </c>
      <c r="F10853" t="s">
        <v>25327</v>
      </c>
      <c r="I10853" t="s">
        <v>184</v>
      </c>
      <c r="J10853" t="s">
        <v>30</v>
      </c>
      <c r="K10853" t="str">
        <f>"27006"</f>
        <v>27006</v>
      </c>
      <c r="M10853" t="s">
        <v>17861</v>
      </c>
      <c r="N10853" t="str">
        <f>"8/2/2017 10:03:00 AM"</f>
        <v>8/2/2017 10:03:00 AM</v>
      </c>
      <c r="O10853" t="s">
        <v>32377</v>
      </c>
    </row>
    <row r="10854" spans="1:20" x14ac:dyDescent="0.25">
      <c r="A10854" t="str">
        <f>"3038758"</f>
        <v>3038758</v>
      </c>
      <c r="B10854" t="s">
        <v>32380</v>
      </c>
      <c r="C10854" t="str">
        <f>"8308311"</f>
        <v>8308311</v>
      </c>
      <c r="D10854" t="s">
        <v>32381</v>
      </c>
      <c r="E10854" t="s">
        <v>32382</v>
      </c>
      <c r="F10854" t="s">
        <v>32383</v>
      </c>
      <c r="I10854" t="s">
        <v>29</v>
      </c>
      <c r="J10854" t="s">
        <v>30</v>
      </c>
      <c r="K10854" t="str">
        <f>"27028"</f>
        <v>27028</v>
      </c>
      <c r="M10854" t="s">
        <v>17861</v>
      </c>
      <c r="N10854" t="str">
        <f>"8/2/2017 10:31:00 AM"</f>
        <v>8/2/2017 10:31:00 AM</v>
      </c>
      <c r="O10854" t="s">
        <v>32381</v>
      </c>
      <c r="T10854" t="s">
        <v>32382</v>
      </c>
    </row>
    <row r="10855" spans="1:20" x14ac:dyDescent="0.25">
      <c r="A10855" t="str">
        <f>"3054451"</f>
        <v>3054451</v>
      </c>
      <c r="B10855" t="s">
        <v>32384</v>
      </c>
      <c r="C10855" t="str">
        <f>"8308312"</f>
        <v>8308312</v>
      </c>
      <c r="D10855" t="s">
        <v>32385</v>
      </c>
      <c r="E10855" t="s">
        <v>32386</v>
      </c>
      <c r="F10855" t="s">
        <v>32387</v>
      </c>
      <c r="I10855" t="s">
        <v>29</v>
      </c>
      <c r="J10855" t="s">
        <v>30</v>
      </c>
      <c r="K10855" t="str">
        <f>"27028"</f>
        <v>27028</v>
      </c>
      <c r="M10855" t="s">
        <v>17861</v>
      </c>
      <c r="N10855" t="str">
        <f>"8/2/2017 10:54:00 AM"</f>
        <v>8/2/2017 10:54:00 AM</v>
      </c>
      <c r="O10855" t="s">
        <v>32385</v>
      </c>
      <c r="T10855" t="s">
        <v>32386</v>
      </c>
    </row>
    <row r="10856" spans="1:20" x14ac:dyDescent="0.25">
      <c r="A10856" t="str">
        <f>"3045761"</f>
        <v>3045761</v>
      </c>
      <c r="B10856" t="s">
        <v>32388</v>
      </c>
      <c r="C10856" t="str">
        <f>"8308314"</f>
        <v>8308314</v>
      </c>
      <c r="D10856" t="s">
        <v>32389</v>
      </c>
      <c r="E10856" t="s">
        <v>32390</v>
      </c>
      <c r="F10856" t="s">
        <v>32391</v>
      </c>
      <c r="I10856" t="s">
        <v>1149</v>
      </c>
      <c r="J10856" t="s">
        <v>30</v>
      </c>
      <c r="K10856" t="str">
        <f>"28634"</f>
        <v>28634</v>
      </c>
      <c r="M10856" t="s">
        <v>17861</v>
      </c>
      <c r="N10856" t="str">
        <f>"8/2/2017 10:58:00 AM"</f>
        <v>8/2/2017 10:58:00 AM</v>
      </c>
      <c r="O10856" t="s">
        <v>32389</v>
      </c>
      <c r="T10856" t="s">
        <v>32390</v>
      </c>
    </row>
    <row r="10857" spans="1:20" x14ac:dyDescent="0.25">
      <c r="A10857" t="str">
        <f>"3043546"</f>
        <v>3043546</v>
      </c>
      <c r="B10857" t="s">
        <v>32392</v>
      </c>
      <c r="C10857" t="str">
        <f>"82527961"</f>
        <v>82527961</v>
      </c>
      <c r="D10857" t="s">
        <v>32393</v>
      </c>
      <c r="F10857" t="s">
        <v>32394</v>
      </c>
      <c r="I10857" t="s">
        <v>29</v>
      </c>
      <c r="J10857" t="s">
        <v>30</v>
      </c>
      <c r="K10857" t="s">
        <v>8114</v>
      </c>
      <c r="M10857" t="s">
        <v>25494</v>
      </c>
      <c r="N10857" t="str">
        <f>"8/3/2017 3:11:00 PM"</f>
        <v>8/3/2017 3:11:00 PM</v>
      </c>
      <c r="O10857" t="s">
        <v>32393</v>
      </c>
    </row>
    <row r="10858" spans="1:20" x14ac:dyDescent="0.25">
      <c r="A10858" t="str">
        <f>"3046075"</f>
        <v>3046075</v>
      </c>
      <c r="B10858" t="s">
        <v>32395</v>
      </c>
      <c r="C10858" t="str">
        <f>"8308316"</f>
        <v>8308316</v>
      </c>
      <c r="D10858" t="s">
        <v>32396</v>
      </c>
      <c r="E10858" t="s">
        <v>32397</v>
      </c>
      <c r="F10858" t="s">
        <v>32398</v>
      </c>
      <c r="I10858" t="s">
        <v>29</v>
      </c>
      <c r="J10858" t="s">
        <v>30</v>
      </c>
      <c r="K10858" t="str">
        <f>"27028"</f>
        <v>27028</v>
      </c>
      <c r="M10858" t="s">
        <v>17861</v>
      </c>
      <c r="N10858" t="str">
        <f>"8/7/2017 2:08:00 PM"</f>
        <v>8/7/2017 2:08:00 PM</v>
      </c>
      <c r="O10858" t="s">
        <v>32396</v>
      </c>
      <c r="T10858" t="s">
        <v>32397</v>
      </c>
    </row>
    <row r="10859" spans="1:20" x14ac:dyDescent="0.25">
      <c r="A10859" t="str">
        <f>"3049284"</f>
        <v>3049284</v>
      </c>
      <c r="B10859" t="s">
        <v>32399</v>
      </c>
      <c r="C10859" t="str">
        <f>"82523171"</f>
        <v>82523171</v>
      </c>
      <c r="D10859" t="s">
        <v>32354</v>
      </c>
      <c r="E10859" t="s">
        <v>32355</v>
      </c>
      <c r="F10859" t="s">
        <v>32356</v>
      </c>
      <c r="I10859" t="s">
        <v>184</v>
      </c>
      <c r="J10859" t="s">
        <v>30</v>
      </c>
      <c r="K10859" t="s">
        <v>185</v>
      </c>
      <c r="M10859" t="s">
        <v>18479</v>
      </c>
      <c r="N10859" t="str">
        <f>"8/8/2017 1:28:00 PM"</f>
        <v>8/8/2017 1:28:00 PM</v>
      </c>
      <c r="O10859" t="s">
        <v>32354</v>
      </c>
      <c r="T10859" t="s">
        <v>32355</v>
      </c>
    </row>
    <row r="10860" spans="1:20" x14ac:dyDescent="0.25">
      <c r="A10860" t="str">
        <f>"3038543"</f>
        <v>3038543</v>
      </c>
      <c r="B10860" t="s">
        <v>32400</v>
      </c>
      <c r="C10860" t="str">
        <f>"82532538"</f>
        <v>82532538</v>
      </c>
      <c r="D10860" t="s">
        <v>32401</v>
      </c>
      <c r="E10860" t="s">
        <v>32402</v>
      </c>
      <c r="F10860" t="s">
        <v>32288</v>
      </c>
      <c r="I10860" t="s">
        <v>29</v>
      </c>
      <c r="J10860" t="s">
        <v>30</v>
      </c>
      <c r="K10860" t="s">
        <v>31</v>
      </c>
      <c r="M10860" t="s">
        <v>18479</v>
      </c>
      <c r="N10860" t="str">
        <f>"7/26/2017 8:42:00 AM"</f>
        <v>7/26/2017 8:42:00 AM</v>
      </c>
      <c r="O10860" t="s">
        <v>32401</v>
      </c>
      <c r="T10860" t="s">
        <v>32402</v>
      </c>
    </row>
    <row r="10861" spans="1:20" x14ac:dyDescent="0.25">
      <c r="A10861" t="str">
        <f>"3038646"</f>
        <v>3038646</v>
      </c>
      <c r="B10861" t="s">
        <v>32403</v>
      </c>
      <c r="C10861" t="str">
        <f>"8308254"</f>
        <v>8308254</v>
      </c>
      <c r="D10861" t="s">
        <v>32404</v>
      </c>
      <c r="F10861" t="s">
        <v>32405</v>
      </c>
      <c r="I10861" t="s">
        <v>29</v>
      </c>
      <c r="J10861" t="s">
        <v>30</v>
      </c>
      <c r="K10861" t="str">
        <f>"27028"</f>
        <v>27028</v>
      </c>
      <c r="M10861" t="s">
        <v>17861</v>
      </c>
      <c r="N10861" t="str">
        <f>"7/27/2017 11:04:00 AM"</f>
        <v>7/27/2017 11:04:00 AM</v>
      </c>
      <c r="O10861" t="s">
        <v>32404</v>
      </c>
    </row>
    <row r="10862" spans="1:20" x14ac:dyDescent="0.25">
      <c r="A10862" t="str">
        <f>"3068834"</f>
        <v>3068834</v>
      </c>
      <c r="B10862" t="s">
        <v>32406</v>
      </c>
      <c r="C10862" t="str">
        <f>"8308396"</f>
        <v>8308396</v>
      </c>
      <c r="D10862" t="s">
        <v>32407</v>
      </c>
      <c r="F10862" t="s">
        <v>32408</v>
      </c>
      <c r="I10862" t="s">
        <v>29</v>
      </c>
      <c r="J10862" t="s">
        <v>30</v>
      </c>
      <c r="K10862" t="str">
        <f>"27028"</f>
        <v>27028</v>
      </c>
      <c r="M10862" t="s">
        <v>17861</v>
      </c>
      <c r="N10862" t="str">
        <f>"8/11/2017 3:18:00 PM"</f>
        <v>8/11/2017 3:18:00 PM</v>
      </c>
      <c r="O10862" t="s">
        <v>32407</v>
      </c>
    </row>
    <row r="10863" spans="1:20" x14ac:dyDescent="0.25">
      <c r="A10863" t="str">
        <f>"3068835"</f>
        <v>3068835</v>
      </c>
      <c r="B10863" t="s">
        <v>32409</v>
      </c>
      <c r="C10863" t="str">
        <f>"8308396"</f>
        <v>8308396</v>
      </c>
      <c r="D10863" t="s">
        <v>32407</v>
      </c>
      <c r="F10863" t="s">
        <v>32408</v>
      </c>
      <c r="I10863" t="s">
        <v>29</v>
      </c>
      <c r="J10863" t="s">
        <v>30</v>
      </c>
      <c r="K10863" t="str">
        <f>"27028"</f>
        <v>27028</v>
      </c>
      <c r="M10863" t="s">
        <v>17861</v>
      </c>
      <c r="N10863" t="str">
        <f>"8/11/2017 3:18:00 PM"</f>
        <v>8/11/2017 3:18:00 PM</v>
      </c>
      <c r="O10863" t="s">
        <v>32407</v>
      </c>
    </row>
    <row r="10864" spans="1:20" x14ac:dyDescent="0.25">
      <c r="A10864" t="str">
        <f>"3042021"</f>
        <v>3042021</v>
      </c>
      <c r="B10864" t="s">
        <v>32410</v>
      </c>
      <c r="C10864" t="str">
        <f>"8308280"</f>
        <v>8308280</v>
      </c>
      <c r="D10864" t="s">
        <v>4863</v>
      </c>
      <c r="F10864" t="s">
        <v>4865</v>
      </c>
      <c r="I10864" t="s">
        <v>184</v>
      </c>
      <c r="J10864" t="s">
        <v>30</v>
      </c>
      <c r="K10864" t="str">
        <f>"27006"</f>
        <v>27006</v>
      </c>
      <c r="M10864" t="s">
        <v>17861</v>
      </c>
      <c r="N10864" t="str">
        <f>"7/27/2017 2:40:00 PM"</f>
        <v>7/27/2017 2:40:00 PM</v>
      </c>
      <c r="O10864" t="s">
        <v>4863</v>
      </c>
    </row>
    <row r="10865" spans="1:20" x14ac:dyDescent="0.25">
      <c r="A10865" t="str">
        <f>"3060871"</f>
        <v>3060871</v>
      </c>
      <c r="B10865" t="s">
        <v>32411</v>
      </c>
      <c r="C10865" t="str">
        <f>"8308289"</f>
        <v>8308289</v>
      </c>
      <c r="D10865" t="s">
        <v>32412</v>
      </c>
      <c r="E10865" t="s">
        <v>32413</v>
      </c>
      <c r="F10865" t="s">
        <v>32414</v>
      </c>
      <c r="I10865" t="s">
        <v>184</v>
      </c>
      <c r="J10865" t="s">
        <v>30</v>
      </c>
      <c r="K10865" t="str">
        <f>"27006"</f>
        <v>27006</v>
      </c>
      <c r="M10865" t="s">
        <v>17861</v>
      </c>
      <c r="N10865" t="str">
        <f>"7/28/2017 9:21:00 AM"</f>
        <v>7/28/2017 9:21:00 AM</v>
      </c>
      <c r="O10865" t="s">
        <v>32412</v>
      </c>
      <c r="T10865" t="s">
        <v>32413</v>
      </c>
    </row>
    <row r="10866" spans="1:20" x14ac:dyDescent="0.25">
      <c r="A10866" t="str">
        <f>"3051031"</f>
        <v>3051031</v>
      </c>
      <c r="B10866" t="s">
        <v>32415</v>
      </c>
      <c r="C10866" t="str">
        <f>"8308292"</f>
        <v>8308292</v>
      </c>
      <c r="D10866" t="s">
        <v>32416</v>
      </c>
      <c r="F10866" t="s">
        <v>32417</v>
      </c>
      <c r="I10866" t="s">
        <v>29</v>
      </c>
      <c r="J10866" t="s">
        <v>30</v>
      </c>
      <c r="K10866" t="str">
        <f>"27028"</f>
        <v>27028</v>
      </c>
      <c r="M10866" t="s">
        <v>17861</v>
      </c>
      <c r="N10866" t="str">
        <f>"7/28/2017 10:11:00 AM"</f>
        <v>7/28/2017 10:11:00 AM</v>
      </c>
      <c r="O10866" t="s">
        <v>32416</v>
      </c>
    </row>
    <row r="10867" spans="1:20" x14ac:dyDescent="0.25">
      <c r="A10867" t="str">
        <f>"3062464"</f>
        <v>3062464</v>
      </c>
      <c r="B10867" t="s">
        <v>32418</v>
      </c>
      <c r="C10867" t="str">
        <f>"8308409"</f>
        <v>8308409</v>
      </c>
      <c r="D10867" t="s">
        <v>32419</v>
      </c>
      <c r="F10867" t="s">
        <v>32420</v>
      </c>
      <c r="I10867" t="s">
        <v>2071</v>
      </c>
      <c r="J10867" t="s">
        <v>30</v>
      </c>
      <c r="K10867" t="str">
        <f>"27006"</f>
        <v>27006</v>
      </c>
      <c r="M10867" t="s">
        <v>17861</v>
      </c>
      <c r="N10867" t="str">
        <f>"8/18/2017 12:52:00 PM"</f>
        <v>8/18/2017 12:52:00 PM</v>
      </c>
      <c r="O10867" t="s">
        <v>32419</v>
      </c>
    </row>
    <row r="10868" spans="1:20" x14ac:dyDescent="0.25">
      <c r="A10868" t="str">
        <f>"3051552"</f>
        <v>3051552</v>
      </c>
      <c r="B10868" t="s">
        <v>32421</v>
      </c>
      <c r="C10868" t="str">
        <f>"8308293"</f>
        <v>8308293</v>
      </c>
      <c r="D10868" t="s">
        <v>32422</v>
      </c>
      <c r="F10868" t="s">
        <v>32423</v>
      </c>
      <c r="I10868" t="s">
        <v>32424</v>
      </c>
      <c r="J10868" t="s">
        <v>2738</v>
      </c>
      <c r="K10868" t="str">
        <f>"13039"</f>
        <v>13039</v>
      </c>
      <c r="M10868" t="s">
        <v>17861</v>
      </c>
      <c r="N10868" t="str">
        <f>"7/28/2017 10:39:00 AM"</f>
        <v>7/28/2017 10:39:00 AM</v>
      </c>
      <c r="O10868" t="s">
        <v>32422</v>
      </c>
    </row>
    <row r="10869" spans="1:20" x14ac:dyDescent="0.25">
      <c r="A10869" t="str">
        <f>"3041508"</f>
        <v>3041508</v>
      </c>
      <c r="B10869" t="s">
        <v>32425</v>
      </c>
      <c r="C10869" t="str">
        <f>"8308369"</f>
        <v>8308369</v>
      </c>
      <c r="D10869" t="s">
        <v>32426</v>
      </c>
      <c r="E10869" t="s">
        <v>32427</v>
      </c>
      <c r="F10869" t="s">
        <v>32428</v>
      </c>
      <c r="I10869" t="s">
        <v>27678</v>
      </c>
      <c r="J10869" t="s">
        <v>30</v>
      </c>
      <c r="K10869" t="s">
        <v>32429</v>
      </c>
      <c r="M10869" t="s">
        <v>17861</v>
      </c>
      <c r="N10869" t="str">
        <f>"8/9/2017 2:41:00 PM"</f>
        <v>8/9/2017 2:41:00 PM</v>
      </c>
      <c r="O10869" t="s">
        <v>32426</v>
      </c>
      <c r="T10869" t="s">
        <v>32427</v>
      </c>
    </row>
    <row r="10870" spans="1:20" x14ac:dyDescent="0.25">
      <c r="A10870" t="str">
        <f>"3055482"</f>
        <v>3055482</v>
      </c>
      <c r="B10870" t="s">
        <v>32430</v>
      </c>
      <c r="C10870" t="str">
        <f>"8305276"</f>
        <v>8305276</v>
      </c>
      <c r="D10870" t="s">
        <v>32431</v>
      </c>
      <c r="E10870" t="s">
        <v>32432</v>
      </c>
      <c r="F10870" t="s">
        <v>32433</v>
      </c>
      <c r="I10870" t="s">
        <v>29</v>
      </c>
      <c r="J10870" t="s">
        <v>30</v>
      </c>
      <c r="K10870" t="str">
        <f>"27028"</f>
        <v>27028</v>
      </c>
      <c r="M10870" t="s">
        <v>26316</v>
      </c>
      <c r="N10870" t="str">
        <f>"8/10/2017 11:16:00 AM"</f>
        <v>8/10/2017 11:16:00 AM</v>
      </c>
      <c r="O10870" t="s">
        <v>32431</v>
      </c>
      <c r="T10870" t="s">
        <v>32432</v>
      </c>
    </row>
    <row r="10871" spans="1:20" x14ac:dyDescent="0.25">
      <c r="A10871" t="str">
        <f>"3060607"</f>
        <v>3060607</v>
      </c>
      <c r="B10871" t="s">
        <v>32434</v>
      </c>
      <c r="C10871" t="str">
        <f>"8308422"</f>
        <v>8308422</v>
      </c>
      <c r="D10871" t="s">
        <v>32435</v>
      </c>
      <c r="E10871" t="s">
        <v>32436</v>
      </c>
      <c r="F10871" t="s">
        <v>32437</v>
      </c>
      <c r="I10871" t="s">
        <v>2071</v>
      </c>
      <c r="J10871" t="s">
        <v>30</v>
      </c>
      <c r="K10871" t="str">
        <f>"27006"</f>
        <v>27006</v>
      </c>
      <c r="M10871" t="s">
        <v>17861</v>
      </c>
      <c r="N10871" t="str">
        <f>"8/18/2017 2:47:00 PM"</f>
        <v>8/18/2017 2:47:00 PM</v>
      </c>
      <c r="O10871" t="s">
        <v>32435</v>
      </c>
      <c r="T10871" t="s">
        <v>32436</v>
      </c>
    </row>
    <row r="10872" spans="1:20" x14ac:dyDescent="0.25">
      <c r="A10872" t="str">
        <f>"3052588"</f>
        <v>3052588</v>
      </c>
      <c r="B10872" t="s">
        <v>32438</v>
      </c>
      <c r="C10872" t="str">
        <f>"8308424"</f>
        <v>8308424</v>
      </c>
      <c r="D10872" t="s">
        <v>32439</v>
      </c>
      <c r="F10872" t="s">
        <v>32440</v>
      </c>
      <c r="I10872" t="s">
        <v>29</v>
      </c>
      <c r="J10872" t="s">
        <v>30</v>
      </c>
      <c r="K10872" t="str">
        <f>"27028"</f>
        <v>27028</v>
      </c>
      <c r="M10872" t="s">
        <v>17861</v>
      </c>
      <c r="N10872" t="str">
        <f>"8/18/2017 2:51:00 PM"</f>
        <v>8/18/2017 2:51:00 PM</v>
      </c>
      <c r="O10872" t="s">
        <v>32439</v>
      </c>
    </row>
    <row r="10873" spans="1:20" x14ac:dyDescent="0.25">
      <c r="A10873" t="str">
        <f>"3070387"</f>
        <v>3070387</v>
      </c>
      <c r="B10873" t="s">
        <v>32441</v>
      </c>
      <c r="C10873" t="str">
        <f>"8308294"</f>
        <v>8308294</v>
      </c>
      <c r="D10873" t="s">
        <v>19581</v>
      </c>
      <c r="F10873" t="s">
        <v>19582</v>
      </c>
      <c r="I10873" t="s">
        <v>29</v>
      </c>
      <c r="J10873" t="s">
        <v>30</v>
      </c>
      <c r="K10873" t="str">
        <f>"27028"</f>
        <v>27028</v>
      </c>
      <c r="M10873" t="s">
        <v>17861</v>
      </c>
      <c r="N10873" t="str">
        <f>"7/28/2017 12:50:00 PM"</f>
        <v>7/28/2017 12:50:00 PM</v>
      </c>
      <c r="O10873" t="s">
        <v>19581</v>
      </c>
    </row>
    <row r="10874" spans="1:20" x14ac:dyDescent="0.25">
      <c r="A10874" t="str">
        <f>"3061071"</f>
        <v>3061071</v>
      </c>
      <c r="B10874" t="s">
        <v>32442</v>
      </c>
      <c r="C10874" t="str">
        <f>"8308297"</f>
        <v>8308297</v>
      </c>
      <c r="D10874" t="s">
        <v>32443</v>
      </c>
      <c r="E10874" t="s">
        <v>32444</v>
      </c>
      <c r="F10874" t="s">
        <v>32445</v>
      </c>
      <c r="I10874" t="s">
        <v>184</v>
      </c>
      <c r="J10874" t="s">
        <v>30</v>
      </c>
      <c r="K10874" t="str">
        <f>"27006"</f>
        <v>27006</v>
      </c>
      <c r="M10874" t="s">
        <v>17861</v>
      </c>
      <c r="N10874" t="str">
        <f>"7/28/2017 2:10:00 PM"</f>
        <v>7/28/2017 2:10:00 PM</v>
      </c>
      <c r="O10874" t="s">
        <v>32443</v>
      </c>
      <c r="T10874" t="s">
        <v>32444</v>
      </c>
    </row>
    <row r="10875" spans="1:20" x14ac:dyDescent="0.25">
      <c r="A10875" t="str">
        <f>"3060556"</f>
        <v>3060556</v>
      </c>
      <c r="B10875" t="s">
        <v>32446</v>
      </c>
      <c r="C10875" t="str">
        <f>"8308430"</f>
        <v>8308430</v>
      </c>
      <c r="D10875" t="s">
        <v>32447</v>
      </c>
      <c r="E10875" t="s">
        <v>32448</v>
      </c>
      <c r="F10875" t="s">
        <v>32449</v>
      </c>
      <c r="I10875" t="s">
        <v>2071</v>
      </c>
      <c r="J10875" t="s">
        <v>30</v>
      </c>
      <c r="K10875" t="str">
        <f>"27006"</f>
        <v>27006</v>
      </c>
      <c r="M10875" t="s">
        <v>17861</v>
      </c>
      <c r="N10875" t="str">
        <f>"8/18/2017 3:23:00 PM"</f>
        <v>8/18/2017 3:23:00 PM</v>
      </c>
      <c r="O10875" t="s">
        <v>32447</v>
      </c>
      <c r="T10875" t="s">
        <v>32448</v>
      </c>
    </row>
    <row r="10876" spans="1:20" x14ac:dyDescent="0.25">
      <c r="A10876" t="str">
        <f>"3042962"</f>
        <v>3042962</v>
      </c>
      <c r="B10876" t="s">
        <v>32450</v>
      </c>
      <c r="C10876" t="str">
        <f>"8308431"</f>
        <v>8308431</v>
      </c>
      <c r="D10876" t="s">
        <v>32451</v>
      </c>
      <c r="E10876" t="s">
        <v>32452</v>
      </c>
      <c r="F10876" t="s">
        <v>32453</v>
      </c>
      <c r="I10876" t="s">
        <v>29</v>
      </c>
      <c r="J10876" t="s">
        <v>30</v>
      </c>
      <c r="K10876" t="str">
        <f>"27028"</f>
        <v>27028</v>
      </c>
      <c r="M10876" t="s">
        <v>17861</v>
      </c>
      <c r="N10876" t="str">
        <f>"8/18/2017 3:26:00 PM"</f>
        <v>8/18/2017 3:26:00 PM</v>
      </c>
      <c r="O10876" t="s">
        <v>32451</v>
      </c>
      <c r="T10876" t="s">
        <v>32452</v>
      </c>
    </row>
    <row r="10877" spans="1:20" x14ac:dyDescent="0.25">
      <c r="A10877" t="str">
        <f>"3052823"</f>
        <v>3052823</v>
      </c>
      <c r="B10877" t="s">
        <v>32454</v>
      </c>
      <c r="C10877" t="str">
        <f>"8308433"</f>
        <v>8308433</v>
      </c>
      <c r="D10877" t="s">
        <v>32455</v>
      </c>
      <c r="F10877" t="s">
        <v>32456</v>
      </c>
      <c r="I10877" t="s">
        <v>29</v>
      </c>
      <c r="J10877" t="s">
        <v>30</v>
      </c>
      <c r="K10877" t="str">
        <f>"27028"</f>
        <v>27028</v>
      </c>
      <c r="M10877" t="s">
        <v>17861</v>
      </c>
      <c r="N10877" t="str">
        <f>"8/18/2017 3:32:00 PM"</f>
        <v>8/18/2017 3:32:00 PM</v>
      </c>
      <c r="O10877" t="s">
        <v>32455</v>
      </c>
    </row>
    <row r="10878" spans="1:20" x14ac:dyDescent="0.25">
      <c r="A10878" t="str">
        <f>"3040524"</f>
        <v>3040524</v>
      </c>
      <c r="B10878" t="s">
        <v>32457</v>
      </c>
      <c r="C10878" t="str">
        <f>"8308304"</f>
        <v>8308304</v>
      </c>
      <c r="D10878" t="s">
        <v>32458</v>
      </c>
      <c r="F10878" t="s">
        <v>32459</v>
      </c>
      <c r="I10878" t="s">
        <v>184</v>
      </c>
      <c r="J10878" t="s">
        <v>30</v>
      </c>
      <c r="K10878" t="str">
        <f>"27006"</f>
        <v>27006</v>
      </c>
      <c r="M10878" t="s">
        <v>17861</v>
      </c>
      <c r="N10878" t="str">
        <f>"7/28/2017 2:56:00 PM"</f>
        <v>7/28/2017 2:56:00 PM</v>
      </c>
      <c r="O10878" t="s">
        <v>32458</v>
      </c>
    </row>
    <row r="10879" spans="1:20" x14ac:dyDescent="0.25">
      <c r="A10879" t="str">
        <f>"3058850"</f>
        <v>3058850</v>
      </c>
      <c r="B10879" t="s">
        <v>32460</v>
      </c>
      <c r="C10879" t="str">
        <f>"8308435"</f>
        <v>8308435</v>
      </c>
      <c r="D10879" t="s">
        <v>32461</v>
      </c>
      <c r="E10879" t="s">
        <v>32462</v>
      </c>
      <c r="F10879" t="s">
        <v>32463</v>
      </c>
      <c r="I10879" t="s">
        <v>29</v>
      </c>
      <c r="J10879" t="s">
        <v>30</v>
      </c>
      <c r="K10879" t="str">
        <f>"27028"</f>
        <v>27028</v>
      </c>
      <c r="M10879" t="s">
        <v>17861</v>
      </c>
      <c r="N10879" t="str">
        <f>"8/18/2017 3:36:00 PM"</f>
        <v>8/18/2017 3:36:00 PM</v>
      </c>
      <c r="O10879" t="s">
        <v>32461</v>
      </c>
      <c r="T10879" t="s">
        <v>32462</v>
      </c>
    </row>
    <row r="10880" spans="1:20" x14ac:dyDescent="0.25">
      <c r="A10880" t="str">
        <f>"3037471"</f>
        <v>3037471</v>
      </c>
      <c r="B10880" t="s">
        <v>32464</v>
      </c>
      <c r="C10880" t="str">
        <f>"8308439"</f>
        <v>8308439</v>
      </c>
      <c r="D10880" t="s">
        <v>32465</v>
      </c>
      <c r="F10880" t="s">
        <v>32466</v>
      </c>
      <c r="I10880" t="s">
        <v>29</v>
      </c>
      <c r="J10880" t="s">
        <v>30</v>
      </c>
      <c r="K10880" t="str">
        <f>"27028"</f>
        <v>27028</v>
      </c>
      <c r="M10880" t="s">
        <v>17861</v>
      </c>
      <c r="N10880" t="str">
        <f>"8/18/2017 3:58:00 PM"</f>
        <v>8/18/2017 3:58:00 PM</v>
      </c>
      <c r="O10880" t="s">
        <v>32465</v>
      </c>
    </row>
    <row r="10881" spans="1:20" x14ac:dyDescent="0.25">
      <c r="A10881" t="str">
        <f>"3037750"</f>
        <v>3037750</v>
      </c>
      <c r="B10881" t="s">
        <v>32467</v>
      </c>
      <c r="C10881" t="str">
        <f>"8308439"</f>
        <v>8308439</v>
      </c>
      <c r="D10881" t="s">
        <v>32465</v>
      </c>
      <c r="F10881" t="s">
        <v>32466</v>
      </c>
      <c r="I10881" t="s">
        <v>29</v>
      </c>
      <c r="J10881" t="s">
        <v>30</v>
      </c>
      <c r="K10881" t="str">
        <f>"27028"</f>
        <v>27028</v>
      </c>
      <c r="M10881" t="s">
        <v>17861</v>
      </c>
      <c r="N10881" t="str">
        <f>"8/18/2017 3:58:00 PM"</f>
        <v>8/18/2017 3:58:00 PM</v>
      </c>
      <c r="O10881" t="s">
        <v>32465</v>
      </c>
    </row>
    <row r="10882" spans="1:20" x14ac:dyDescent="0.25">
      <c r="A10882" t="str">
        <f>"3038336"</f>
        <v>3038336</v>
      </c>
      <c r="B10882" t="s">
        <v>32468</v>
      </c>
      <c r="C10882" t="str">
        <f>"8308305"</f>
        <v>8308305</v>
      </c>
      <c r="D10882" t="s">
        <v>32469</v>
      </c>
      <c r="E10882" t="s">
        <v>32470</v>
      </c>
      <c r="F10882" t="s">
        <v>32471</v>
      </c>
      <c r="I10882" t="s">
        <v>29</v>
      </c>
      <c r="J10882" t="s">
        <v>30</v>
      </c>
      <c r="K10882" t="str">
        <f>"27028"</f>
        <v>27028</v>
      </c>
      <c r="M10882" t="s">
        <v>17861</v>
      </c>
      <c r="N10882" t="str">
        <f>"8/2/2017 9:28:00 AM"</f>
        <v>8/2/2017 9:28:00 AM</v>
      </c>
      <c r="O10882" t="s">
        <v>32469</v>
      </c>
      <c r="T10882" t="s">
        <v>32470</v>
      </c>
    </row>
    <row r="10883" spans="1:20" x14ac:dyDescent="0.25">
      <c r="A10883" t="str">
        <f>"3060290"</f>
        <v>3060290</v>
      </c>
      <c r="B10883" t="s">
        <v>32472</v>
      </c>
      <c r="C10883" t="str">
        <f>"8308306"</f>
        <v>8308306</v>
      </c>
      <c r="D10883" t="s">
        <v>32473</v>
      </c>
      <c r="E10883" t="s">
        <v>32474</v>
      </c>
      <c r="F10883" t="s">
        <v>32475</v>
      </c>
      <c r="I10883" t="s">
        <v>29</v>
      </c>
      <c r="J10883" t="s">
        <v>30</v>
      </c>
      <c r="K10883" t="str">
        <f>"27028"</f>
        <v>27028</v>
      </c>
      <c r="M10883" t="s">
        <v>17861</v>
      </c>
      <c r="N10883" t="str">
        <f>"8/2/2017 9:31:00 AM"</f>
        <v>8/2/2017 9:31:00 AM</v>
      </c>
      <c r="O10883" t="s">
        <v>32473</v>
      </c>
      <c r="T10883" t="s">
        <v>32474</v>
      </c>
    </row>
    <row r="10884" spans="1:20" x14ac:dyDescent="0.25">
      <c r="A10884" t="str">
        <f>"3048357"</f>
        <v>3048357</v>
      </c>
      <c r="B10884" t="s">
        <v>32476</v>
      </c>
      <c r="C10884" t="str">
        <f>"8308380"</f>
        <v>8308380</v>
      </c>
      <c r="D10884" t="s">
        <v>32477</v>
      </c>
      <c r="E10884" t="s">
        <v>32478</v>
      </c>
      <c r="F10884" t="s">
        <v>32479</v>
      </c>
      <c r="I10884" t="s">
        <v>1149</v>
      </c>
      <c r="J10884" t="s">
        <v>30</v>
      </c>
      <c r="K10884" t="str">
        <f>"28634"</f>
        <v>28634</v>
      </c>
      <c r="M10884" t="s">
        <v>17861</v>
      </c>
      <c r="N10884" t="str">
        <f>"8/10/2017 4:28:00 PM"</f>
        <v>8/10/2017 4:28:00 PM</v>
      </c>
      <c r="O10884" t="s">
        <v>32477</v>
      </c>
      <c r="T10884" t="s">
        <v>32478</v>
      </c>
    </row>
    <row r="10885" spans="1:20" x14ac:dyDescent="0.25">
      <c r="A10885" t="str">
        <f>"3051273"</f>
        <v>3051273</v>
      </c>
      <c r="B10885" t="s">
        <v>32480</v>
      </c>
      <c r="C10885" t="str">
        <f>"8307278"</f>
        <v>8307278</v>
      </c>
      <c r="D10885" t="s">
        <v>32481</v>
      </c>
      <c r="E10885" t="s">
        <v>32482</v>
      </c>
      <c r="F10885" t="s">
        <v>32483</v>
      </c>
      <c r="I10885" t="s">
        <v>29</v>
      </c>
      <c r="J10885" t="s">
        <v>30</v>
      </c>
      <c r="K10885" t="str">
        <f>"27028"</f>
        <v>27028</v>
      </c>
      <c r="M10885" t="s">
        <v>18470</v>
      </c>
      <c r="N10885" t="str">
        <f>"8/21/2017 3:32:00 PM"</f>
        <v>8/21/2017 3:32:00 PM</v>
      </c>
      <c r="O10885" t="s">
        <v>32481</v>
      </c>
      <c r="T10885" t="s">
        <v>32482</v>
      </c>
    </row>
    <row r="10886" spans="1:20" x14ac:dyDescent="0.25">
      <c r="A10886" t="str">
        <f>"3059610"</f>
        <v>3059610</v>
      </c>
      <c r="B10886" t="s">
        <v>32484</v>
      </c>
      <c r="C10886" t="str">
        <f>"8308381"</f>
        <v>8308381</v>
      </c>
      <c r="D10886" t="s">
        <v>32485</v>
      </c>
      <c r="E10886" t="s">
        <v>32486</v>
      </c>
      <c r="F10886" t="s">
        <v>32487</v>
      </c>
      <c r="I10886" t="s">
        <v>29</v>
      </c>
      <c r="J10886" t="s">
        <v>30</v>
      </c>
      <c r="K10886" t="str">
        <f>"27028"</f>
        <v>27028</v>
      </c>
      <c r="M10886" t="s">
        <v>17861</v>
      </c>
      <c r="N10886" t="str">
        <f>"8/10/2017 4:47:00 PM"</f>
        <v>8/10/2017 4:47:00 PM</v>
      </c>
      <c r="O10886" t="s">
        <v>32485</v>
      </c>
      <c r="T10886" t="s">
        <v>32486</v>
      </c>
    </row>
    <row r="10887" spans="1:20" x14ac:dyDescent="0.25">
      <c r="A10887" t="str">
        <f>"3049007"</f>
        <v>3049007</v>
      </c>
      <c r="B10887" t="s">
        <v>32488</v>
      </c>
      <c r="C10887" t="str">
        <f>"8303002"</f>
        <v>8303002</v>
      </c>
      <c r="D10887" t="s">
        <v>32489</v>
      </c>
      <c r="F10887" t="s">
        <v>32490</v>
      </c>
      <c r="I10887" t="s">
        <v>29</v>
      </c>
      <c r="J10887" t="s">
        <v>30</v>
      </c>
      <c r="K10887" t="str">
        <f>"27028"</f>
        <v>27028</v>
      </c>
      <c r="M10887" t="s">
        <v>17861</v>
      </c>
      <c r="N10887" t="str">
        <f>"8/10/2017 4:49:00 PM"</f>
        <v>8/10/2017 4:49:00 PM</v>
      </c>
      <c r="O10887" t="s">
        <v>32489</v>
      </c>
    </row>
    <row r="10888" spans="1:20" x14ac:dyDescent="0.25">
      <c r="A10888" t="str">
        <f>"3049045"</f>
        <v>3049045</v>
      </c>
      <c r="B10888" t="s">
        <v>32491</v>
      </c>
      <c r="C10888" t="str">
        <f>"8303002"</f>
        <v>8303002</v>
      </c>
      <c r="D10888" t="s">
        <v>32489</v>
      </c>
      <c r="F10888" t="s">
        <v>32490</v>
      </c>
      <c r="I10888" t="s">
        <v>29</v>
      </c>
      <c r="J10888" t="s">
        <v>30</v>
      </c>
      <c r="K10888" t="str">
        <f>"27028"</f>
        <v>27028</v>
      </c>
      <c r="M10888" t="s">
        <v>17861</v>
      </c>
      <c r="N10888" t="str">
        <f>"8/10/2017 4:49:00 PM"</f>
        <v>8/10/2017 4:49:00 PM</v>
      </c>
      <c r="O10888" t="s">
        <v>32489</v>
      </c>
    </row>
    <row r="10889" spans="1:20" x14ac:dyDescent="0.25">
      <c r="A10889" t="str">
        <f>"3050913"</f>
        <v>3050913</v>
      </c>
      <c r="B10889" t="s">
        <v>32492</v>
      </c>
      <c r="C10889" t="str">
        <f>"8308382"</f>
        <v>8308382</v>
      </c>
      <c r="D10889" t="s">
        <v>32493</v>
      </c>
      <c r="E10889" t="s">
        <v>32494</v>
      </c>
      <c r="F10889" t="s">
        <v>32495</v>
      </c>
      <c r="I10889" t="s">
        <v>184</v>
      </c>
      <c r="J10889" t="s">
        <v>30</v>
      </c>
      <c r="K10889" t="str">
        <f>"27006"</f>
        <v>27006</v>
      </c>
      <c r="M10889" t="s">
        <v>17861</v>
      </c>
      <c r="N10889" t="str">
        <f>"8/11/2017 9:00:00 AM"</f>
        <v>8/11/2017 9:00:00 AM</v>
      </c>
      <c r="O10889" t="s">
        <v>32493</v>
      </c>
      <c r="T10889" t="s">
        <v>32494</v>
      </c>
    </row>
    <row r="10890" spans="1:20" x14ac:dyDescent="0.25">
      <c r="A10890" t="str">
        <f>"3063878"</f>
        <v>3063878</v>
      </c>
      <c r="B10890" t="s">
        <v>32496</v>
      </c>
      <c r="C10890" t="str">
        <f>"8308384"</f>
        <v>8308384</v>
      </c>
      <c r="D10890" t="s">
        <v>32497</v>
      </c>
      <c r="E10890" t="s">
        <v>32498</v>
      </c>
      <c r="F10890" t="s">
        <v>32499</v>
      </c>
      <c r="I10890" t="s">
        <v>184</v>
      </c>
      <c r="J10890" t="s">
        <v>30</v>
      </c>
      <c r="K10890" t="str">
        <f>"27006"</f>
        <v>27006</v>
      </c>
      <c r="M10890" t="s">
        <v>17861</v>
      </c>
      <c r="N10890" t="str">
        <f>"8/11/2017 9:20:00 AM"</f>
        <v>8/11/2017 9:20:00 AM</v>
      </c>
      <c r="O10890" t="s">
        <v>32497</v>
      </c>
      <c r="T10890" t="s">
        <v>32498</v>
      </c>
    </row>
    <row r="10891" spans="1:20" x14ac:dyDescent="0.25">
      <c r="A10891" t="str">
        <f>"3045668"</f>
        <v>3045668</v>
      </c>
      <c r="B10891" t="s">
        <v>32500</v>
      </c>
      <c r="C10891" t="str">
        <f>"8306028"</f>
        <v>8306028</v>
      </c>
      <c r="D10891" t="s">
        <v>32501</v>
      </c>
      <c r="F10891" t="s">
        <v>32502</v>
      </c>
      <c r="I10891" t="s">
        <v>29</v>
      </c>
      <c r="J10891" t="s">
        <v>30</v>
      </c>
      <c r="K10891" t="str">
        <f>"27028"</f>
        <v>27028</v>
      </c>
      <c r="M10891" t="s">
        <v>25733</v>
      </c>
      <c r="N10891" t="str">
        <f>"8/25/2017 4:23:00 PM"</f>
        <v>8/25/2017 4:23:00 PM</v>
      </c>
      <c r="O10891" t="s">
        <v>32501</v>
      </c>
    </row>
    <row r="10892" spans="1:20" x14ac:dyDescent="0.25">
      <c r="A10892" t="str">
        <f>"3055833"</f>
        <v>3055833</v>
      </c>
      <c r="B10892" t="s">
        <v>32503</v>
      </c>
      <c r="C10892" t="str">
        <f>"8305702"</f>
        <v>8305702</v>
      </c>
      <c r="D10892" t="s">
        <v>32504</v>
      </c>
      <c r="F10892" t="s">
        <v>32505</v>
      </c>
      <c r="I10892" t="s">
        <v>9580</v>
      </c>
      <c r="J10892" t="s">
        <v>30</v>
      </c>
      <c r="K10892" t="str">
        <f>"27014"</f>
        <v>27014</v>
      </c>
      <c r="M10892" t="s">
        <v>25733</v>
      </c>
      <c r="N10892" t="str">
        <f>"8/25/2017 4:25:00 PM"</f>
        <v>8/25/2017 4:25:00 PM</v>
      </c>
      <c r="O10892" t="s">
        <v>32504</v>
      </c>
    </row>
    <row r="10893" spans="1:20" x14ac:dyDescent="0.25">
      <c r="A10893" t="str">
        <f>"3061763"</f>
        <v>3061763</v>
      </c>
      <c r="B10893" t="s">
        <v>32506</v>
      </c>
      <c r="C10893" t="str">
        <f>"8306187"</f>
        <v>8306187</v>
      </c>
      <c r="D10893" t="s">
        <v>32507</v>
      </c>
      <c r="E10893" t="s">
        <v>32508</v>
      </c>
      <c r="F10893" t="s">
        <v>32509</v>
      </c>
      <c r="I10893" t="s">
        <v>184</v>
      </c>
      <c r="J10893" t="s">
        <v>30</v>
      </c>
      <c r="K10893" t="str">
        <f>"27006"</f>
        <v>27006</v>
      </c>
      <c r="M10893" t="s">
        <v>25733</v>
      </c>
      <c r="N10893" t="str">
        <f>"8/25/2017 4:26:00 PM"</f>
        <v>8/25/2017 4:26:00 PM</v>
      </c>
      <c r="O10893" t="s">
        <v>32507</v>
      </c>
      <c r="T10893" t="s">
        <v>32508</v>
      </c>
    </row>
    <row r="10894" spans="1:20" x14ac:dyDescent="0.25">
      <c r="A10894" t="str">
        <f>"3048247"</f>
        <v>3048247</v>
      </c>
      <c r="B10894" t="s">
        <v>32510</v>
      </c>
      <c r="C10894" t="str">
        <f>"8308385"</f>
        <v>8308385</v>
      </c>
      <c r="D10894" t="s">
        <v>32511</v>
      </c>
      <c r="E10894" t="s">
        <v>32512</v>
      </c>
      <c r="F10894" t="s">
        <v>32513</v>
      </c>
      <c r="I10894" t="s">
        <v>29</v>
      </c>
      <c r="J10894" t="s">
        <v>30</v>
      </c>
      <c r="K10894" t="str">
        <f>"27028"</f>
        <v>27028</v>
      </c>
      <c r="M10894" t="s">
        <v>17861</v>
      </c>
      <c r="N10894" t="str">
        <f>"8/11/2017 9:23:00 AM"</f>
        <v>8/11/2017 9:23:00 AM</v>
      </c>
      <c r="O10894" t="s">
        <v>32511</v>
      </c>
      <c r="T10894" t="s">
        <v>32512</v>
      </c>
    </row>
    <row r="10895" spans="1:20" x14ac:dyDescent="0.25">
      <c r="A10895" t="str">
        <f>"3039560"</f>
        <v>3039560</v>
      </c>
      <c r="B10895" t="s">
        <v>32514</v>
      </c>
      <c r="C10895" t="str">
        <f>"8308386"</f>
        <v>8308386</v>
      </c>
      <c r="D10895" t="s">
        <v>32515</v>
      </c>
      <c r="E10895" t="s">
        <v>32516</v>
      </c>
      <c r="F10895" t="s">
        <v>9069</v>
      </c>
      <c r="I10895" t="s">
        <v>184</v>
      </c>
      <c r="J10895" t="s">
        <v>30</v>
      </c>
      <c r="K10895" t="str">
        <f>"27006"</f>
        <v>27006</v>
      </c>
      <c r="M10895" t="s">
        <v>17861</v>
      </c>
      <c r="N10895" t="str">
        <f>"8/11/2017 9:40:00 AM"</f>
        <v>8/11/2017 9:40:00 AM</v>
      </c>
      <c r="O10895" t="s">
        <v>32515</v>
      </c>
      <c r="T10895" t="s">
        <v>32516</v>
      </c>
    </row>
    <row r="10896" spans="1:20" x14ac:dyDescent="0.25">
      <c r="A10896" t="str">
        <f>"3044487"</f>
        <v>3044487</v>
      </c>
      <c r="B10896" t="s">
        <v>32517</v>
      </c>
      <c r="C10896" t="str">
        <f>"8308395"</f>
        <v>8308395</v>
      </c>
      <c r="D10896" t="s">
        <v>32518</v>
      </c>
      <c r="E10896" t="s">
        <v>32519</v>
      </c>
      <c r="F10896" t="s">
        <v>32520</v>
      </c>
      <c r="I10896" t="s">
        <v>184</v>
      </c>
      <c r="J10896" t="s">
        <v>30</v>
      </c>
      <c r="K10896" t="str">
        <f>"27006"</f>
        <v>27006</v>
      </c>
      <c r="M10896" t="s">
        <v>17861</v>
      </c>
      <c r="N10896" t="str">
        <f>"8/11/2017 3:09:00 PM"</f>
        <v>8/11/2017 3:09:00 PM</v>
      </c>
      <c r="O10896" t="s">
        <v>32518</v>
      </c>
      <c r="T10896" t="s">
        <v>32519</v>
      </c>
    </row>
    <row r="10897" spans="1:20" x14ac:dyDescent="0.25">
      <c r="A10897" t="str">
        <f>"3068837"</f>
        <v>3068837</v>
      </c>
      <c r="B10897" t="s">
        <v>32521</v>
      </c>
      <c r="C10897" t="str">
        <f>"8308396"</f>
        <v>8308396</v>
      </c>
      <c r="D10897" t="s">
        <v>32407</v>
      </c>
      <c r="F10897" t="s">
        <v>32408</v>
      </c>
      <c r="I10897" t="s">
        <v>29</v>
      </c>
      <c r="J10897" t="s">
        <v>30</v>
      </c>
      <c r="K10897" t="str">
        <f>"27028"</f>
        <v>27028</v>
      </c>
      <c r="M10897" t="s">
        <v>17861</v>
      </c>
      <c r="N10897" t="str">
        <f>"8/11/2017 3:18:00 PM"</f>
        <v>8/11/2017 3:18:00 PM</v>
      </c>
      <c r="O10897" t="s">
        <v>32407</v>
      </c>
    </row>
    <row r="10898" spans="1:20" x14ac:dyDescent="0.25">
      <c r="A10898" t="str">
        <f>"3053793"</f>
        <v>3053793</v>
      </c>
      <c r="B10898" t="s">
        <v>32522</v>
      </c>
      <c r="C10898" t="str">
        <f>"82513410"</f>
        <v>82513410</v>
      </c>
      <c r="D10898" t="s">
        <v>32523</v>
      </c>
      <c r="F10898" t="s">
        <v>32524</v>
      </c>
      <c r="I10898" t="s">
        <v>184</v>
      </c>
      <c r="J10898" t="s">
        <v>30</v>
      </c>
      <c r="K10898" t="s">
        <v>32525</v>
      </c>
      <c r="M10898" t="s">
        <v>25625</v>
      </c>
      <c r="N10898" t="str">
        <f>"8/17/2017 11:08:00 AM"</f>
        <v>8/17/2017 11:08:00 AM</v>
      </c>
      <c r="O10898" t="s">
        <v>32523</v>
      </c>
    </row>
    <row r="10899" spans="1:20" x14ac:dyDescent="0.25">
      <c r="A10899" t="str">
        <f>"3052416"</f>
        <v>3052416</v>
      </c>
      <c r="B10899" t="s">
        <v>32526</v>
      </c>
      <c r="C10899" t="str">
        <f>"8308405"</f>
        <v>8308405</v>
      </c>
      <c r="D10899" t="s">
        <v>32527</v>
      </c>
      <c r="E10899" t="s">
        <v>32528</v>
      </c>
      <c r="F10899" t="s">
        <v>32529</v>
      </c>
      <c r="I10899" t="s">
        <v>29</v>
      </c>
      <c r="J10899" t="s">
        <v>30</v>
      </c>
      <c r="K10899" t="str">
        <f>"27028"</f>
        <v>27028</v>
      </c>
      <c r="M10899" t="s">
        <v>17861</v>
      </c>
      <c r="N10899" t="str">
        <f>"8/18/2017 10:44:00 AM"</f>
        <v>8/18/2017 10:44:00 AM</v>
      </c>
      <c r="O10899" t="s">
        <v>32527</v>
      </c>
      <c r="T10899" t="s">
        <v>32528</v>
      </c>
    </row>
    <row r="10900" spans="1:20" x14ac:dyDescent="0.25">
      <c r="A10900" t="str">
        <f>"3043943"</f>
        <v>3043943</v>
      </c>
      <c r="B10900" t="s">
        <v>32530</v>
      </c>
      <c r="C10900" t="str">
        <f>"8308446"</f>
        <v>8308446</v>
      </c>
      <c r="D10900" t="s">
        <v>32531</v>
      </c>
      <c r="F10900" t="s">
        <v>32532</v>
      </c>
      <c r="I10900" t="s">
        <v>184</v>
      </c>
      <c r="J10900" t="s">
        <v>30</v>
      </c>
      <c r="K10900" t="str">
        <f>"27006"</f>
        <v>27006</v>
      </c>
      <c r="M10900" t="s">
        <v>17861</v>
      </c>
      <c r="N10900" t="str">
        <f>"8/29/2017 10:52:00 AM"</f>
        <v>8/29/2017 10:52:00 AM</v>
      </c>
      <c r="O10900" t="s">
        <v>32531</v>
      </c>
    </row>
    <row r="10901" spans="1:20" x14ac:dyDescent="0.25">
      <c r="A10901" t="str">
        <f>"3044155"</f>
        <v>3044155</v>
      </c>
      <c r="B10901" t="s">
        <v>32533</v>
      </c>
      <c r="C10901" t="str">
        <f>"8308446"</f>
        <v>8308446</v>
      </c>
      <c r="D10901" t="s">
        <v>32531</v>
      </c>
      <c r="F10901" t="s">
        <v>32532</v>
      </c>
      <c r="I10901" t="s">
        <v>184</v>
      </c>
      <c r="J10901" t="s">
        <v>30</v>
      </c>
      <c r="K10901" t="str">
        <f>"27006"</f>
        <v>27006</v>
      </c>
      <c r="M10901" t="s">
        <v>17861</v>
      </c>
      <c r="N10901" t="str">
        <f>"8/29/2017 10:52:00 AM"</f>
        <v>8/29/2017 10:52:00 AM</v>
      </c>
      <c r="O10901" t="s">
        <v>32531</v>
      </c>
    </row>
    <row r="10902" spans="1:20" x14ac:dyDescent="0.25">
      <c r="A10902" t="str">
        <f>"3048816"</f>
        <v>3048816</v>
      </c>
      <c r="B10902" t="s">
        <v>32534</v>
      </c>
      <c r="C10902" t="str">
        <f>"8308407"</f>
        <v>8308407</v>
      </c>
      <c r="D10902" t="s">
        <v>32535</v>
      </c>
      <c r="E10902" t="s">
        <v>32536</v>
      </c>
      <c r="F10902" t="s">
        <v>32537</v>
      </c>
      <c r="I10902" t="s">
        <v>29</v>
      </c>
      <c r="J10902" t="s">
        <v>30</v>
      </c>
      <c r="K10902" t="str">
        <f>"27028"</f>
        <v>27028</v>
      </c>
      <c r="M10902" t="s">
        <v>17861</v>
      </c>
      <c r="N10902" t="str">
        <f>"8/18/2017 12:44:00 PM"</f>
        <v>8/18/2017 12:44:00 PM</v>
      </c>
      <c r="O10902" t="s">
        <v>32535</v>
      </c>
      <c r="T10902" t="s">
        <v>32536</v>
      </c>
    </row>
    <row r="10903" spans="1:20" x14ac:dyDescent="0.25">
      <c r="A10903" t="str">
        <f>"3049257"</f>
        <v>3049257</v>
      </c>
      <c r="B10903" t="s">
        <v>32538</v>
      </c>
      <c r="C10903" t="str">
        <f>"8308410"</f>
        <v>8308410</v>
      </c>
      <c r="D10903" t="s">
        <v>32539</v>
      </c>
      <c r="F10903" t="s">
        <v>32540</v>
      </c>
      <c r="I10903" t="s">
        <v>184</v>
      </c>
      <c r="J10903" t="s">
        <v>30</v>
      </c>
      <c r="K10903" t="str">
        <f>"27006"</f>
        <v>27006</v>
      </c>
      <c r="M10903" t="s">
        <v>17861</v>
      </c>
      <c r="N10903" t="str">
        <f>"8/18/2017 12:54:00 PM"</f>
        <v>8/18/2017 12:54:00 PM</v>
      </c>
      <c r="O10903" t="s">
        <v>32539</v>
      </c>
    </row>
    <row r="10904" spans="1:20" x14ac:dyDescent="0.25">
      <c r="A10904" t="str">
        <f>"3061426"</f>
        <v>3061426</v>
      </c>
      <c r="B10904" t="s">
        <v>32541</v>
      </c>
      <c r="C10904" t="str">
        <f>"8308413"</f>
        <v>8308413</v>
      </c>
      <c r="D10904" t="s">
        <v>32542</v>
      </c>
      <c r="F10904" t="s">
        <v>32543</v>
      </c>
      <c r="I10904" t="s">
        <v>184</v>
      </c>
      <c r="J10904" t="s">
        <v>30</v>
      </c>
      <c r="K10904" t="str">
        <f>"27006"</f>
        <v>27006</v>
      </c>
      <c r="M10904" t="s">
        <v>17861</v>
      </c>
      <c r="N10904" t="str">
        <f>"8/18/2017 1:14:00 PM"</f>
        <v>8/18/2017 1:14:00 PM</v>
      </c>
      <c r="O10904" t="s">
        <v>32542</v>
      </c>
    </row>
    <row r="10905" spans="1:20" x14ac:dyDescent="0.25">
      <c r="A10905" t="str">
        <f>"3044493"</f>
        <v>3044493</v>
      </c>
      <c r="B10905" t="s">
        <v>32544</v>
      </c>
      <c r="C10905" t="str">
        <f>"8308415"</f>
        <v>8308415</v>
      </c>
      <c r="D10905" t="s">
        <v>32545</v>
      </c>
      <c r="E10905" t="s">
        <v>32546</v>
      </c>
      <c r="F10905" t="s">
        <v>32547</v>
      </c>
      <c r="I10905" t="s">
        <v>184</v>
      </c>
      <c r="J10905" t="s">
        <v>30</v>
      </c>
      <c r="K10905" t="str">
        <f>"27006"</f>
        <v>27006</v>
      </c>
      <c r="M10905" t="s">
        <v>17861</v>
      </c>
      <c r="N10905" t="str">
        <f>"8/18/2017 1:48:00 PM"</f>
        <v>8/18/2017 1:48:00 PM</v>
      </c>
      <c r="O10905" t="s">
        <v>32545</v>
      </c>
      <c r="T10905" t="s">
        <v>32546</v>
      </c>
    </row>
    <row r="10906" spans="1:20" x14ac:dyDescent="0.25">
      <c r="A10906" t="str">
        <f>"3060415"</f>
        <v>3060415</v>
      </c>
      <c r="B10906" t="s">
        <v>32548</v>
      </c>
      <c r="C10906" t="str">
        <f>"8308428"</f>
        <v>8308428</v>
      </c>
      <c r="D10906" t="s">
        <v>32549</v>
      </c>
      <c r="E10906" t="s">
        <v>32550</v>
      </c>
      <c r="F10906" t="s">
        <v>32551</v>
      </c>
      <c r="I10906" t="s">
        <v>2071</v>
      </c>
      <c r="J10906" t="s">
        <v>30</v>
      </c>
      <c r="K10906" t="str">
        <f>"27006"</f>
        <v>27006</v>
      </c>
      <c r="M10906" t="s">
        <v>17861</v>
      </c>
      <c r="N10906" t="str">
        <f>"8/18/2017 3:08:00 PM"</f>
        <v>8/18/2017 3:08:00 PM</v>
      </c>
      <c r="O10906" t="s">
        <v>32549</v>
      </c>
      <c r="T10906" t="s">
        <v>32550</v>
      </c>
    </row>
    <row r="10907" spans="1:20" x14ac:dyDescent="0.25">
      <c r="A10907" t="str">
        <f>"3069177"</f>
        <v>3069177</v>
      </c>
      <c r="B10907" t="s">
        <v>32552</v>
      </c>
      <c r="C10907" t="str">
        <f>"8308377"</f>
        <v>8308377</v>
      </c>
      <c r="D10907" t="s">
        <v>32553</v>
      </c>
      <c r="E10907" t="s">
        <v>32554</v>
      </c>
      <c r="F10907" t="s">
        <v>32555</v>
      </c>
      <c r="I10907" t="s">
        <v>29</v>
      </c>
      <c r="J10907" t="s">
        <v>30</v>
      </c>
      <c r="K10907" t="str">
        <f>"27028"</f>
        <v>27028</v>
      </c>
      <c r="M10907" t="s">
        <v>17861</v>
      </c>
      <c r="N10907" t="str">
        <f>"8/10/2017 4:03:00 PM"</f>
        <v>8/10/2017 4:03:00 PM</v>
      </c>
      <c r="O10907" t="s">
        <v>32553</v>
      </c>
      <c r="T10907" t="s">
        <v>32554</v>
      </c>
    </row>
    <row r="10908" spans="1:20" x14ac:dyDescent="0.25">
      <c r="A10908" t="str">
        <f>"3038368"</f>
        <v>3038368</v>
      </c>
      <c r="B10908" t="s">
        <v>32556</v>
      </c>
      <c r="C10908" t="str">
        <f>"8308378"</f>
        <v>8308378</v>
      </c>
      <c r="D10908" t="s">
        <v>32557</v>
      </c>
      <c r="E10908" t="s">
        <v>32558</v>
      </c>
      <c r="F10908" t="s">
        <v>32559</v>
      </c>
      <c r="I10908" t="s">
        <v>29</v>
      </c>
      <c r="J10908" t="s">
        <v>30</v>
      </c>
      <c r="K10908" t="str">
        <f>"27028"</f>
        <v>27028</v>
      </c>
      <c r="M10908" t="s">
        <v>17861</v>
      </c>
      <c r="N10908" t="str">
        <f>"8/10/2017 4:16:00 PM"</f>
        <v>8/10/2017 4:16:00 PM</v>
      </c>
      <c r="O10908" t="s">
        <v>32557</v>
      </c>
      <c r="T10908" t="s">
        <v>32558</v>
      </c>
    </row>
    <row r="10909" spans="1:20" x14ac:dyDescent="0.25">
      <c r="A10909" t="str">
        <f>"3044785"</f>
        <v>3044785</v>
      </c>
      <c r="B10909" t="s">
        <v>32560</v>
      </c>
      <c r="C10909" t="str">
        <f>"8308429"</f>
        <v>8308429</v>
      </c>
      <c r="D10909" t="s">
        <v>32561</v>
      </c>
      <c r="E10909" t="s">
        <v>32562</v>
      </c>
      <c r="F10909" t="s">
        <v>32563</v>
      </c>
      <c r="I10909" t="s">
        <v>184</v>
      </c>
      <c r="J10909" t="s">
        <v>30</v>
      </c>
      <c r="K10909" t="str">
        <f>"27006"</f>
        <v>27006</v>
      </c>
      <c r="M10909" t="s">
        <v>17861</v>
      </c>
      <c r="N10909" t="str">
        <f>"8/18/2017 3:10:00 PM"</f>
        <v>8/18/2017 3:10:00 PM</v>
      </c>
      <c r="O10909" t="s">
        <v>32561</v>
      </c>
      <c r="T10909" t="s">
        <v>32562</v>
      </c>
    </row>
    <row r="10910" spans="1:20" x14ac:dyDescent="0.25">
      <c r="A10910" t="str">
        <f>"3040531"</f>
        <v>3040531</v>
      </c>
      <c r="B10910" t="s">
        <v>32564</v>
      </c>
      <c r="C10910" t="str">
        <f>"8308434"</f>
        <v>8308434</v>
      </c>
      <c r="D10910" t="s">
        <v>32565</v>
      </c>
      <c r="E10910" t="s">
        <v>32566</v>
      </c>
      <c r="F10910" t="s">
        <v>32567</v>
      </c>
      <c r="I10910" t="s">
        <v>184</v>
      </c>
      <c r="J10910" t="s">
        <v>30</v>
      </c>
      <c r="K10910" t="str">
        <f>"27006"</f>
        <v>27006</v>
      </c>
      <c r="M10910" t="s">
        <v>17861</v>
      </c>
      <c r="N10910" t="str">
        <f>"8/18/2017 3:34:00 PM"</f>
        <v>8/18/2017 3:34:00 PM</v>
      </c>
      <c r="O10910" t="s">
        <v>32565</v>
      </c>
      <c r="T10910" t="s">
        <v>32566</v>
      </c>
    </row>
    <row r="10911" spans="1:20" x14ac:dyDescent="0.25">
      <c r="A10911" t="str">
        <f>"3047593"</f>
        <v>3047593</v>
      </c>
      <c r="B10911" t="s">
        <v>32568</v>
      </c>
      <c r="C10911" t="str">
        <f>"8308380"</f>
        <v>8308380</v>
      </c>
      <c r="D10911" t="s">
        <v>32477</v>
      </c>
      <c r="E10911" t="s">
        <v>32478</v>
      </c>
      <c r="F10911" t="s">
        <v>32479</v>
      </c>
      <c r="I10911" t="s">
        <v>1149</v>
      </c>
      <c r="J10911" t="s">
        <v>30</v>
      </c>
      <c r="K10911" t="str">
        <f>"28634"</f>
        <v>28634</v>
      </c>
      <c r="M10911" t="s">
        <v>17861</v>
      </c>
      <c r="N10911" t="str">
        <f>"8/10/2017 4:28:00 PM"</f>
        <v>8/10/2017 4:28:00 PM</v>
      </c>
      <c r="O10911" t="s">
        <v>32477</v>
      </c>
      <c r="T10911" t="s">
        <v>32478</v>
      </c>
    </row>
    <row r="10912" spans="1:20" x14ac:dyDescent="0.25">
      <c r="A10912" t="str">
        <f>"3048246"</f>
        <v>3048246</v>
      </c>
      <c r="B10912" t="s">
        <v>32569</v>
      </c>
      <c r="C10912" t="str">
        <f>"78914000"</f>
        <v>78914000</v>
      </c>
      <c r="D10912" t="s">
        <v>32570</v>
      </c>
      <c r="E10912" t="s">
        <v>32571</v>
      </c>
      <c r="F10912" t="s">
        <v>32572</v>
      </c>
      <c r="I10912" t="s">
        <v>1149</v>
      </c>
      <c r="J10912" t="s">
        <v>30</v>
      </c>
      <c r="K10912" t="s">
        <v>1150</v>
      </c>
      <c r="M10912" t="s">
        <v>25733</v>
      </c>
      <c r="N10912" t="str">
        <f>"8/22/2017 1:16:00 PM"</f>
        <v>8/22/2017 1:16:00 PM</v>
      </c>
      <c r="O10912" t="s">
        <v>32570</v>
      </c>
      <c r="T10912" t="s">
        <v>32571</v>
      </c>
    </row>
    <row r="10913" spans="1:20" x14ac:dyDescent="0.25">
      <c r="A10913" t="str">
        <f>"3049949"</f>
        <v>3049949</v>
      </c>
      <c r="B10913" t="s">
        <v>32573</v>
      </c>
      <c r="C10913" t="str">
        <f>"8303943"</f>
        <v>8303943</v>
      </c>
      <c r="D10913" t="s">
        <v>32574</v>
      </c>
      <c r="F10913" t="s">
        <v>12788</v>
      </c>
      <c r="I10913" t="s">
        <v>14604</v>
      </c>
      <c r="J10913" t="s">
        <v>30</v>
      </c>
      <c r="K10913" t="str">
        <f>"28041"</f>
        <v>28041</v>
      </c>
      <c r="M10913" t="s">
        <v>25625</v>
      </c>
      <c r="N10913" t="str">
        <f>"9/1/2017 10:58:00 AM"</f>
        <v>9/1/2017 10:58:00 AM</v>
      </c>
      <c r="O10913" t="s">
        <v>32574</v>
      </c>
    </row>
    <row r="10914" spans="1:20" x14ac:dyDescent="0.25">
      <c r="A10914" t="str">
        <f>"3061229"</f>
        <v>3061229</v>
      </c>
      <c r="B10914" t="s">
        <v>32575</v>
      </c>
      <c r="C10914" t="str">
        <f>"82524998"</f>
        <v>82524998</v>
      </c>
      <c r="D10914" t="s">
        <v>30342</v>
      </c>
      <c r="E10914" t="s">
        <v>30341</v>
      </c>
      <c r="F10914" t="s">
        <v>32576</v>
      </c>
      <c r="I10914" t="s">
        <v>184</v>
      </c>
      <c r="J10914" t="s">
        <v>30</v>
      </c>
      <c r="K10914" t="s">
        <v>185</v>
      </c>
      <c r="M10914" t="s">
        <v>25625</v>
      </c>
      <c r="N10914" t="str">
        <f>"8/24/2017 9:36:00 AM"</f>
        <v>8/24/2017 9:36:00 AM</v>
      </c>
      <c r="O10914" t="s">
        <v>30342</v>
      </c>
      <c r="T10914" t="s">
        <v>30341</v>
      </c>
    </row>
    <row r="10915" spans="1:20" x14ac:dyDescent="0.25">
      <c r="A10915" t="str">
        <f>"3078799"</f>
        <v>3078799</v>
      </c>
      <c r="B10915" t="s">
        <v>32577</v>
      </c>
      <c r="C10915" t="str">
        <f>"22808000"</f>
        <v>22808000</v>
      </c>
      <c r="D10915" t="s">
        <v>32578</v>
      </c>
      <c r="E10915" t="s">
        <v>32579</v>
      </c>
      <c r="F10915" t="s">
        <v>12788</v>
      </c>
      <c r="I10915" t="s">
        <v>14604</v>
      </c>
      <c r="J10915" t="s">
        <v>30</v>
      </c>
      <c r="K10915" t="s">
        <v>14605</v>
      </c>
      <c r="M10915" t="s">
        <v>25625</v>
      </c>
      <c r="N10915" t="str">
        <f>"9/1/2017 11:06:00 AM"</f>
        <v>9/1/2017 11:06:00 AM</v>
      </c>
      <c r="O10915" t="s">
        <v>32578</v>
      </c>
      <c r="T10915" t="s">
        <v>32579</v>
      </c>
    </row>
    <row r="10916" spans="1:20" x14ac:dyDescent="0.25">
      <c r="A10916" t="str">
        <f>"3040715"</f>
        <v>3040715</v>
      </c>
      <c r="B10916" t="s">
        <v>32580</v>
      </c>
      <c r="C10916" t="str">
        <f>"8305480"</f>
        <v>8305480</v>
      </c>
      <c r="D10916" t="s">
        <v>32581</v>
      </c>
      <c r="E10916" t="s">
        <v>32582</v>
      </c>
      <c r="F10916" t="s">
        <v>32583</v>
      </c>
      <c r="I10916" t="s">
        <v>184</v>
      </c>
      <c r="J10916" t="s">
        <v>30</v>
      </c>
      <c r="K10916" t="str">
        <f>"27006"</f>
        <v>27006</v>
      </c>
      <c r="M10916" t="s">
        <v>25733</v>
      </c>
      <c r="N10916" t="str">
        <f>"8/25/2017 11:23:00 AM"</f>
        <v>8/25/2017 11:23:00 AM</v>
      </c>
      <c r="O10916" t="s">
        <v>32581</v>
      </c>
      <c r="T10916" t="s">
        <v>32582</v>
      </c>
    </row>
    <row r="10917" spans="1:20" x14ac:dyDescent="0.25">
      <c r="A10917" t="str">
        <f>"3039400"</f>
        <v>3039400</v>
      </c>
      <c r="B10917" t="s">
        <v>32584</v>
      </c>
      <c r="C10917" t="str">
        <f>"82530454"</f>
        <v>82530454</v>
      </c>
      <c r="D10917" t="s">
        <v>32585</v>
      </c>
      <c r="F10917" t="s">
        <v>32586</v>
      </c>
      <c r="I10917" t="s">
        <v>29</v>
      </c>
      <c r="J10917" t="s">
        <v>30</v>
      </c>
      <c r="K10917" t="s">
        <v>31</v>
      </c>
      <c r="M10917" t="s">
        <v>25625</v>
      </c>
      <c r="N10917" t="str">
        <f>"9/1/2017 11:30:00 AM"</f>
        <v>9/1/2017 11:30:00 AM</v>
      </c>
      <c r="O10917" t="s">
        <v>32585</v>
      </c>
    </row>
    <row r="10918" spans="1:20" x14ac:dyDescent="0.25">
      <c r="A10918" t="str">
        <f>"3061238"</f>
        <v>3061238</v>
      </c>
      <c r="B10918" t="s">
        <v>32587</v>
      </c>
      <c r="C10918" t="str">
        <f>"8305087"</f>
        <v>8305087</v>
      </c>
      <c r="D10918" t="s">
        <v>32588</v>
      </c>
      <c r="F10918" t="s">
        <v>32589</v>
      </c>
      <c r="I10918" t="s">
        <v>184</v>
      </c>
      <c r="J10918" t="s">
        <v>30</v>
      </c>
      <c r="K10918" t="str">
        <f>"27006"</f>
        <v>27006</v>
      </c>
      <c r="M10918" t="s">
        <v>25625</v>
      </c>
      <c r="N10918" t="str">
        <f>"9/1/2017 11:31:00 AM"</f>
        <v>9/1/2017 11:31:00 AM</v>
      </c>
      <c r="O10918" t="s">
        <v>32588</v>
      </c>
    </row>
    <row r="10919" spans="1:20" x14ac:dyDescent="0.25">
      <c r="A10919" t="str">
        <f>"3054722"</f>
        <v>3054722</v>
      </c>
      <c r="B10919" t="s">
        <v>32590</v>
      </c>
      <c r="C10919" t="str">
        <f>"8305906"</f>
        <v>8305906</v>
      </c>
      <c r="D10919" t="s">
        <v>32591</v>
      </c>
      <c r="E10919" t="s">
        <v>32592</v>
      </c>
      <c r="F10919" t="s">
        <v>32593</v>
      </c>
      <c r="I10919" t="s">
        <v>29</v>
      </c>
      <c r="J10919" t="s">
        <v>30</v>
      </c>
      <c r="K10919" t="str">
        <f>"27028"</f>
        <v>27028</v>
      </c>
      <c r="M10919" t="s">
        <v>25733</v>
      </c>
      <c r="N10919" t="str">
        <f>"8/25/2017 11:31:00 AM"</f>
        <v>8/25/2017 11:31:00 AM</v>
      </c>
      <c r="O10919" t="s">
        <v>32591</v>
      </c>
      <c r="T10919" t="s">
        <v>32592</v>
      </c>
    </row>
    <row r="10920" spans="1:20" x14ac:dyDescent="0.25">
      <c r="A10920" t="str">
        <f>"3050044"</f>
        <v>3050044</v>
      </c>
      <c r="B10920" t="s">
        <v>32594</v>
      </c>
      <c r="C10920" t="str">
        <f>"82528955"</f>
        <v>82528955</v>
      </c>
      <c r="D10920" t="s">
        <v>32595</v>
      </c>
      <c r="F10920" t="s">
        <v>32596</v>
      </c>
      <c r="I10920" t="s">
        <v>29</v>
      </c>
      <c r="J10920" t="s">
        <v>30</v>
      </c>
      <c r="K10920" t="s">
        <v>31</v>
      </c>
      <c r="M10920" t="s">
        <v>18479</v>
      </c>
      <c r="N10920" t="str">
        <f>"8/25/2017 1:57:00 PM"</f>
        <v>8/25/2017 1:57:00 PM</v>
      </c>
      <c r="O10920" t="s">
        <v>32595</v>
      </c>
    </row>
    <row r="10921" spans="1:20" x14ac:dyDescent="0.25">
      <c r="A10921" t="str">
        <f>"3043067"</f>
        <v>3043067</v>
      </c>
      <c r="B10921" t="s">
        <v>32597</v>
      </c>
      <c r="C10921" t="str">
        <f>"8303462"</f>
        <v>8303462</v>
      </c>
      <c r="D10921" t="s">
        <v>32598</v>
      </c>
      <c r="E10921" t="s">
        <v>32599</v>
      </c>
      <c r="F10921" t="s">
        <v>32600</v>
      </c>
      <c r="I10921" t="s">
        <v>29</v>
      </c>
      <c r="J10921" t="s">
        <v>30</v>
      </c>
      <c r="K10921" t="str">
        <f>"27028"</f>
        <v>27028</v>
      </c>
      <c r="M10921" t="s">
        <v>25733</v>
      </c>
      <c r="N10921" t="str">
        <f>"8/25/2017 4:32:00 PM"</f>
        <v>8/25/2017 4:32:00 PM</v>
      </c>
      <c r="O10921" t="s">
        <v>32598</v>
      </c>
      <c r="T10921" t="s">
        <v>32599</v>
      </c>
    </row>
    <row r="10922" spans="1:20" x14ac:dyDescent="0.25">
      <c r="A10922" t="str">
        <f>"3042082"</f>
        <v>3042082</v>
      </c>
      <c r="B10922" t="s">
        <v>32601</v>
      </c>
      <c r="C10922" t="str">
        <f>"8304935"</f>
        <v>8304935</v>
      </c>
      <c r="D10922" t="s">
        <v>32602</v>
      </c>
      <c r="E10922" t="s">
        <v>32603</v>
      </c>
      <c r="F10922" t="s">
        <v>32604</v>
      </c>
      <c r="I10922" t="s">
        <v>184</v>
      </c>
      <c r="J10922" t="s">
        <v>30</v>
      </c>
      <c r="K10922" t="str">
        <f>"27006"</f>
        <v>27006</v>
      </c>
      <c r="M10922" t="s">
        <v>25733</v>
      </c>
      <c r="N10922" t="str">
        <f>"8/28/2017 2:11:00 PM"</f>
        <v>8/28/2017 2:11:00 PM</v>
      </c>
      <c r="O10922" t="s">
        <v>32602</v>
      </c>
      <c r="T10922" t="s">
        <v>32603</v>
      </c>
    </row>
    <row r="10923" spans="1:20" x14ac:dyDescent="0.25">
      <c r="A10923" t="str">
        <f>"3063880"</f>
        <v>3063880</v>
      </c>
      <c r="B10923" t="s">
        <v>32605</v>
      </c>
      <c r="C10923" t="str">
        <f>"8304935"</f>
        <v>8304935</v>
      </c>
      <c r="D10923" t="s">
        <v>32602</v>
      </c>
      <c r="E10923" t="s">
        <v>32603</v>
      </c>
      <c r="F10923" t="s">
        <v>32604</v>
      </c>
      <c r="I10923" t="s">
        <v>184</v>
      </c>
      <c r="J10923" t="s">
        <v>30</v>
      </c>
      <c r="K10923" t="str">
        <f>"27006"</f>
        <v>27006</v>
      </c>
      <c r="M10923" t="s">
        <v>25733</v>
      </c>
      <c r="N10923" t="str">
        <f>"8/28/2017 2:11:00 PM"</f>
        <v>8/28/2017 2:11:00 PM</v>
      </c>
      <c r="O10923" t="s">
        <v>32602</v>
      </c>
      <c r="T10923" t="s">
        <v>32603</v>
      </c>
    </row>
    <row r="10924" spans="1:20" x14ac:dyDescent="0.25">
      <c r="A10924" t="str">
        <f>"3077162"</f>
        <v>3077162</v>
      </c>
      <c r="B10924" t="s">
        <v>32606</v>
      </c>
      <c r="C10924" t="str">
        <f>"8304935"</f>
        <v>8304935</v>
      </c>
      <c r="D10924" t="s">
        <v>32602</v>
      </c>
      <c r="E10924" t="s">
        <v>32603</v>
      </c>
      <c r="F10924" t="s">
        <v>32604</v>
      </c>
      <c r="I10924" t="s">
        <v>184</v>
      </c>
      <c r="J10924" t="s">
        <v>30</v>
      </c>
      <c r="K10924" t="str">
        <f>"27006"</f>
        <v>27006</v>
      </c>
      <c r="M10924" t="s">
        <v>25733</v>
      </c>
      <c r="N10924" t="str">
        <f>"8/28/2017 2:11:00 PM"</f>
        <v>8/28/2017 2:11:00 PM</v>
      </c>
      <c r="O10924" t="s">
        <v>32602</v>
      </c>
      <c r="T10924" t="s">
        <v>32603</v>
      </c>
    </row>
    <row r="10925" spans="1:20" x14ac:dyDescent="0.25">
      <c r="A10925" t="str">
        <f>"3039848"</f>
        <v>3039848</v>
      </c>
      <c r="B10925" t="s">
        <v>32607</v>
      </c>
      <c r="C10925" t="str">
        <f>"39836000"</f>
        <v>39836000</v>
      </c>
      <c r="D10925" t="s">
        <v>32608</v>
      </c>
      <c r="E10925" t="s">
        <v>32609</v>
      </c>
      <c r="F10925" t="s">
        <v>32610</v>
      </c>
      <c r="I10925" t="s">
        <v>29</v>
      </c>
      <c r="J10925" t="s">
        <v>30</v>
      </c>
      <c r="K10925" t="s">
        <v>31</v>
      </c>
      <c r="M10925" t="s">
        <v>25625</v>
      </c>
      <c r="N10925" t="str">
        <f>"8/29/2017 8:46:00 AM"</f>
        <v>8/29/2017 8:46:00 AM</v>
      </c>
      <c r="O10925" t="s">
        <v>32608</v>
      </c>
      <c r="T10925" t="s">
        <v>32609</v>
      </c>
    </row>
    <row r="10926" spans="1:20" x14ac:dyDescent="0.25">
      <c r="A10926" t="str">
        <f>"3046932"</f>
        <v>3046932</v>
      </c>
      <c r="B10926" t="s">
        <v>32611</v>
      </c>
      <c r="C10926" t="str">
        <f>"49494750"</f>
        <v>49494750</v>
      </c>
      <c r="D10926" t="s">
        <v>32612</v>
      </c>
      <c r="F10926" t="s">
        <v>32613</v>
      </c>
      <c r="I10926" t="s">
        <v>29</v>
      </c>
      <c r="J10926" t="s">
        <v>30</v>
      </c>
      <c r="K10926" t="str">
        <f>"27028"</f>
        <v>27028</v>
      </c>
      <c r="M10926" t="s">
        <v>25733</v>
      </c>
      <c r="N10926" t="str">
        <f>"8/29/2017 9:56:00 AM"</f>
        <v>8/29/2017 9:56:00 AM</v>
      </c>
      <c r="O10926" t="s">
        <v>32612</v>
      </c>
    </row>
    <row r="10927" spans="1:20" x14ac:dyDescent="0.25">
      <c r="A10927" t="str">
        <f>"3048273"</f>
        <v>3048273</v>
      </c>
      <c r="B10927" t="s">
        <v>32614</v>
      </c>
      <c r="C10927" t="str">
        <f>"8308460"</f>
        <v>8308460</v>
      </c>
      <c r="D10927" t="s">
        <v>32615</v>
      </c>
      <c r="F10927" t="s">
        <v>32616</v>
      </c>
      <c r="I10927" t="s">
        <v>1149</v>
      </c>
      <c r="J10927" t="s">
        <v>30</v>
      </c>
      <c r="K10927" t="str">
        <f>"28634"</f>
        <v>28634</v>
      </c>
      <c r="M10927" t="s">
        <v>17861</v>
      </c>
      <c r="N10927" t="str">
        <f>"8/30/2017 3:31:00 PM"</f>
        <v>8/30/2017 3:31:00 PM</v>
      </c>
      <c r="O10927" t="s">
        <v>32615</v>
      </c>
    </row>
    <row r="10928" spans="1:20" x14ac:dyDescent="0.25">
      <c r="A10928" t="str">
        <f>"3045759"</f>
        <v>3045759</v>
      </c>
      <c r="B10928" t="s">
        <v>32617</v>
      </c>
      <c r="C10928" t="str">
        <f>"8308462"</f>
        <v>8308462</v>
      </c>
      <c r="D10928" t="s">
        <v>32618</v>
      </c>
      <c r="E10928" t="s">
        <v>32619</v>
      </c>
      <c r="F10928" t="s">
        <v>32620</v>
      </c>
      <c r="I10928" t="s">
        <v>1149</v>
      </c>
      <c r="J10928" t="s">
        <v>30</v>
      </c>
      <c r="K10928" t="str">
        <f>"28634"</f>
        <v>28634</v>
      </c>
      <c r="M10928" t="s">
        <v>17861</v>
      </c>
      <c r="N10928" t="str">
        <f>"8/31/2017 10:55:00 AM"</f>
        <v>8/31/2017 10:55:00 AM</v>
      </c>
      <c r="O10928" t="s">
        <v>32618</v>
      </c>
      <c r="T10928" t="s">
        <v>32619</v>
      </c>
    </row>
    <row r="10929" spans="1:20" x14ac:dyDescent="0.25">
      <c r="A10929" t="str">
        <f>"3048087"</f>
        <v>3048087</v>
      </c>
      <c r="B10929" t="s">
        <v>32621</v>
      </c>
      <c r="C10929" t="str">
        <f>"8308465"</f>
        <v>8308465</v>
      </c>
      <c r="D10929" t="s">
        <v>32622</v>
      </c>
      <c r="E10929" t="s">
        <v>32623</v>
      </c>
      <c r="F10929" t="s">
        <v>32624</v>
      </c>
      <c r="I10929" t="s">
        <v>184</v>
      </c>
      <c r="J10929" t="s">
        <v>30</v>
      </c>
      <c r="K10929" t="str">
        <f>"27006"</f>
        <v>27006</v>
      </c>
      <c r="M10929" t="s">
        <v>17861</v>
      </c>
      <c r="N10929" t="str">
        <f>"8/31/2017 11:08:00 AM"</f>
        <v>8/31/2017 11:08:00 AM</v>
      </c>
      <c r="O10929" t="s">
        <v>32622</v>
      </c>
      <c r="T10929" t="s">
        <v>32623</v>
      </c>
    </row>
    <row r="10930" spans="1:20" x14ac:dyDescent="0.25">
      <c r="A10930" t="str">
        <f>"3041288"</f>
        <v>3041288</v>
      </c>
      <c r="B10930" t="s">
        <v>32625</v>
      </c>
      <c r="C10930" t="str">
        <f>"8308467"</f>
        <v>8308467</v>
      </c>
      <c r="D10930" t="s">
        <v>32626</v>
      </c>
      <c r="E10930" t="s">
        <v>32627</v>
      </c>
      <c r="F10930" t="s">
        <v>32628</v>
      </c>
      <c r="I10930" t="s">
        <v>2071</v>
      </c>
      <c r="J10930" t="s">
        <v>30</v>
      </c>
      <c r="K10930" t="str">
        <f>"27006"</f>
        <v>27006</v>
      </c>
      <c r="M10930" t="s">
        <v>17861</v>
      </c>
      <c r="N10930" t="str">
        <f>"8/31/2017 2:25:00 PM"</f>
        <v>8/31/2017 2:25:00 PM</v>
      </c>
      <c r="O10930" t="s">
        <v>32626</v>
      </c>
      <c r="T10930" t="s">
        <v>32627</v>
      </c>
    </row>
    <row r="10931" spans="1:20" x14ac:dyDescent="0.25">
      <c r="A10931" t="str">
        <f>"3055731"</f>
        <v>3055731</v>
      </c>
      <c r="B10931" t="s">
        <v>32629</v>
      </c>
      <c r="C10931" t="str">
        <f t="shared" ref="C10931:C10937" si="185">"82525616"</f>
        <v>82525616</v>
      </c>
      <c r="D10931" t="s">
        <v>32630</v>
      </c>
      <c r="F10931" t="s">
        <v>25600</v>
      </c>
      <c r="I10931" t="s">
        <v>29</v>
      </c>
      <c r="J10931" t="s">
        <v>30</v>
      </c>
      <c r="K10931" t="s">
        <v>31</v>
      </c>
      <c r="M10931" t="s">
        <v>18479</v>
      </c>
      <c r="N10931" t="str">
        <f t="shared" ref="N10931:N10937" si="186">"9/15/2017 1:56:00 PM"</f>
        <v>9/15/2017 1:56:00 PM</v>
      </c>
      <c r="O10931" t="s">
        <v>32630</v>
      </c>
    </row>
    <row r="10932" spans="1:20" x14ac:dyDescent="0.25">
      <c r="A10932" t="str">
        <f>"3054006"</f>
        <v>3054006</v>
      </c>
      <c r="B10932" t="s">
        <v>32631</v>
      </c>
      <c r="C10932" t="str">
        <f t="shared" si="185"/>
        <v>82525616</v>
      </c>
      <c r="D10932" t="s">
        <v>32630</v>
      </c>
      <c r="F10932" t="s">
        <v>25600</v>
      </c>
      <c r="I10932" t="s">
        <v>29</v>
      </c>
      <c r="J10932" t="s">
        <v>30</v>
      </c>
      <c r="K10932" t="s">
        <v>31</v>
      </c>
      <c r="M10932" t="s">
        <v>18479</v>
      </c>
      <c r="N10932" t="str">
        <f t="shared" si="186"/>
        <v>9/15/2017 1:56:00 PM</v>
      </c>
      <c r="O10932" t="s">
        <v>32630</v>
      </c>
    </row>
    <row r="10933" spans="1:20" x14ac:dyDescent="0.25">
      <c r="A10933" t="str">
        <f>"3054008"</f>
        <v>3054008</v>
      </c>
      <c r="B10933" t="s">
        <v>32632</v>
      </c>
      <c r="C10933" t="str">
        <f t="shared" si="185"/>
        <v>82525616</v>
      </c>
      <c r="D10933" t="s">
        <v>32630</v>
      </c>
      <c r="F10933" t="s">
        <v>25600</v>
      </c>
      <c r="I10933" t="s">
        <v>29</v>
      </c>
      <c r="J10933" t="s">
        <v>30</v>
      </c>
      <c r="K10933" t="s">
        <v>31</v>
      </c>
      <c r="M10933" t="s">
        <v>18479</v>
      </c>
      <c r="N10933" t="str">
        <f t="shared" si="186"/>
        <v>9/15/2017 1:56:00 PM</v>
      </c>
      <c r="O10933" t="s">
        <v>32630</v>
      </c>
    </row>
    <row r="10934" spans="1:20" x14ac:dyDescent="0.25">
      <c r="A10934" t="str">
        <f>"3054131"</f>
        <v>3054131</v>
      </c>
      <c r="B10934" t="s">
        <v>32633</v>
      </c>
      <c r="C10934" t="str">
        <f t="shared" si="185"/>
        <v>82525616</v>
      </c>
      <c r="D10934" t="s">
        <v>32630</v>
      </c>
      <c r="F10934" t="s">
        <v>25600</v>
      </c>
      <c r="I10934" t="s">
        <v>29</v>
      </c>
      <c r="J10934" t="s">
        <v>30</v>
      </c>
      <c r="K10934" t="s">
        <v>31</v>
      </c>
      <c r="M10934" t="s">
        <v>18479</v>
      </c>
      <c r="N10934" t="str">
        <f t="shared" si="186"/>
        <v>9/15/2017 1:56:00 PM</v>
      </c>
      <c r="O10934" t="s">
        <v>32630</v>
      </c>
    </row>
    <row r="10935" spans="1:20" x14ac:dyDescent="0.25">
      <c r="A10935" t="str">
        <f>"3054160"</f>
        <v>3054160</v>
      </c>
      <c r="B10935" t="s">
        <v>32634</v>
      </c>
      <c r="C10935" t="str">
        <f t="shared" si="185"/>
        <v>82525616</v>
      </c>
      <c r="D10935" t="s">
        <v>32630</v>
      </c>
      <c r="F10935" t="s">
        <v>25600</v>
      </c>
      <c r="I10935" t="s">
        <v>29</v>
      </c>
      <c r="J10935" t="s">
        <v>30</v>
      </c>
      <c r="K10935" t="s">
        <v>31</v>
      </c>
      <c r="M10935" t="s">
        <v>18479</v>
      </c>
      <c r="N10935" t="str">
        <f t="shared" si="186"/>
        <v>9/15/2017 1:56:00 PM</v>
      </c>
      <c r="O10935" t="s">
        <v>32630</v>
      </c>
    </row>
    <row r="10936" spans="1:20" x14ac:dyDescent="0.25">
      <c r="A10936" t="str">
        <f>"3042208"</f>
        <v>3042208</v>
      </c>
      <c r="B10936" t="s">
        <v>32635</v>
      </c>
      <c r="C10936" t="str">
        <f t="shared" si="185"/>
        <v>82525616</v>
      </c>
      <c r="D10936" t="s">
        <v>32630</v>
      </c>
      <c r="F10936" t="s">
        <v>25600</v>
      </c>
      <c r="I10936" t="s">
        <v>29</v>
      </c>
      <c r="J10936" t="s">
        <v>30</v>
      </c>
      <c r="K10936" t="s">
        <v>31</v>
      </c>
      <c r="M10936" t="s">
        <v>18479</v>
      </c>
      <c r="N10936" t="str">
        <f t="shared" si="186"/>
        <v>9/15/2017 1:56:00 PM</v>
      </c>
      <c r="O10936" t="s">
        <v>32630</v>
      </c>
    </row>
    <row r="10937" spans="1:20" x14ac:dyDescent="0.25">
      <c r="A10937" t="str">
        <f>"3078805"</f>
        <v>3078805</v>
      </c>
      <c r="B10937" t="s">
        <v>32636</v>
      </c>
      <c r="C10937" t="str">
        <f t="shared" si="185"/>
        <v>82525616</v>
      </c>
      <c r="D10937" t="s">
        <v>32630</v>
      </c>
      <c r="F10937" t="s">
        <v>25600</v>
      </c>
      <c r="I10937" t="s">
        <v>29</v>
      </c>
      <c r="J10937" t="s">
        <v>30</v>
      </c>
      <c r="K10937" t="s">
        <v>31</v>
      </c>
      <c r="M10937" t="s">
        <v>18479</v>
      </c>
      <c r="N10937" t="str">
        <f t="shared" si="186"/>
        <v>9/15/2017 1:56:00 PM</v>
      </c>
      <c r="O10937" t="s">
        <v>32630</v>
      </c>
    </row>
    <row r="10938" spans="1:20" x14ac:dyDescent="0.25">
      <c r="A10938" t="str">
        <f>"3051849"</f>
        <v>3051849</v>
      </c>
      <c r="B10938" t="s">
        <v>32637</v>
      </c>
      <c r="C10938" t="str">
        <f>"8308534"</f>
        <v>8308534</v>
      </c>
      <c r="D10938" t="s">
        <v>8183</v>
      </c>
      <c r="F10938" t="s">
        <v>8185</v>
      </c>
      <c r="I10938" t="s">
        <v>29</v>
      </c>
      <c r="J10938" t="s">
        <v>30</v>
      </c>
      <c r="K10938" t="str">
        <f>"27028"</f>
        <v>27028</v>
      </c>
      <c r="M10938" t="s">
        <v>17861</v>
      </c>
      <c r="N10938" t="str">
        <f>"9/18/2017 9:09:00 AM"</f>
        <v>9/18/2017 9:09:00 AM</v>
      </c>
      <c r="O10938" t="s">
        <v>8183</v>
      </c>
    </row>
    <row r="10939" spans="1:20" x14ac:dyDescent="0.25">
      <c r="A10939" t="str">
        <f>"3051850"</f>
        <v>3051850</v>
      </c>
      <c r="B10939" t="s">
        <v>32638</v>
      </c>
      <c r="C10939" t="str">
        <f>"8308534"</f>
        <v>8308534</v>
      </c>
      <c r="D10939" t="s">
        <v>8183</v>
      </c>
      <c r="F10939" t="s">
        <v>8185</v>
      </c>
      <c r="I10939" t="s">
        <v>29</v>
      </c>
      <c r="J10939" t="s">
        <v>30</v>
      </c>
      <c r="K10939" t="str">
        <f>"27028"</f>
        <v>27028</v>
      </c>
      <c r="M10939" t="s">
        <v>17861</v>
      </c>
      <c r="N10939" t="str">
        <f>"9/18/2017 9:09:00 AM"</f>
        <v>9/18/2017 9:09:00 AM</v>
      </c>
      <c r="O10939" t="s">
        <v>8183</v>
      </c>
    </row>
    <row r="10940" spans="1:20" x14ac:dyDescent="0.25">
      <c r="A10940" t="str">
        <f>"3061514"</f>
        <v>3061514</v>
      </c>
      <c r="B10940" t="s">
        <v>32639</v>
      </c>
      <c r="C10940" t="str">
        <f>"8308536"</f>
        <v>8308536</v>
      </c>
      <c r="D10940" t="s">
        <v>32640</v>
      </c>
      <c r="E10940" t="s">
        <v>32641</v>
      </c>
      <c r="F10940" t="s">
        <v>32642</v>
      </c>
      <c r="I10940" t="s">
        <v>184</v>
      </c>
      <c r="J10940" t="s">
        <v>30</v>
      </c>
      <c r="K10940" t="str">
        <f>"27006"</f>
        <v>27006</v>
      </c>
      <c r="M10940" t="s">
        <v>17861</v>
      </c>
      <c r="N10940" t="str">
        <f>"9/18/2017 10:41:00 AM"</f>
        <v>9/18/2017 10:41:00 AM</v>
      </c>
      <c r="O10940" t="s">
        <v>32640</v>
      </c>
      <c r="T10940" t="s">
        <v>32641</v>
      </c>
    </row>
    <row r="10941" spans="1:20" x14ac:dyDescent="0.25">
      <c r="A10941" t="str">
        <f>"3052026"</f>
        <v>3052026</v>
      </c>
      <c r="B10941" t="s">
        <v>32643</v>
      </c>
      <c r="C10941" t="str">
        <f>"8308541"</f>
        <v>8308541</v>
      </c>
      <c r="D10941" t="s">
        <v>32644</v>
      </c>
      <c r="E10941" t="s">
        <v>32645</v>
      </c>
      <c r="F10941" t="s">
        <v>32646</v>
      </c>
      <c r="I10941" t="s">
        <v>29</v>
      </c>
      <c r="J10941" t="s">
        <v>30</v>
      </c>
      <c r="K10941" t="str">
        <f>"27028"</f>
        <v>27028</v>
      </c>
      <c r="M10941" t="s">
        <v>17861</v>
      </c>
      <c r="N10941" t="str">
        <f>"9/18/2017 1:11:00 PM"</f>
        <v>9/18/2017 1:11:00 PM</v>
      </c>
      <c r="O10941" t="s">
        <v>32644</v>
      </c>
      <c r="T10941" t="s">
        <v>32645</v>
      </c>
    </row>
    <row r="10942" spans="1:20" x14ac:dyDescent="0.25">
      <c r="A10942" t="str">
        <f>"3061496"</f>
        <v>3061496</v>
      </c>
      <c r="B10942" t="s">
        <v>32647</v>
      </c>
      <c r="C10942" t="str">
        <f>"8308542"</f>
        <v>8308542</v>
      </c>
      <c r="D10942" t="s">
        <v>32648</v>
      </c>
      <c r="E10942" t="s">
        <v>32649</v>
      </c>
      <c r="F10942" t="s">
        <v>32650</v>
      </c>
      <c r="I10942" t="s">
        <v>184</v>
      </c>
      <c r="J10942" t="s">
        <v>30</v>
      </c>
      <c r="K10942" t="str">
        <f>"27006"</f>
        <v>27006</v>
      </c>
      <c r="M10942" t="s">
        <v>17861</v>
      </c>
      <c r="N10942" t="str">
        <f>"9/18/2017 1:25:00 PM"</f>
        <v>9/18/2017 1:25:00 PM</v>
      </c>
      <c r="O10942" t="s">
        <v>32648</v>
      </c>
      <c r="T10942" t="s">
        <v>32649</v>
      </c>
    </row>
    <row r="10943" spans="1:20" x14ac:dyDescent="0.25">
      <c r="A10943" t="str">
        <f>"3045265"</f>
        <v>3045265</v>
      </c>
      <c r="B10943" t="s">
        <v>32651</v>
      </c>
      <c r="C10943" t="str">
        <f>"82530280"</f>
        <v>82530280</v>
      </c>
      <c r="D10943" t="s">
        <v>32652</v>
      </c>
      <c r="E10943" t="s">
        <v>32653</v>
      </c>
      <c r="F10943" t="s">
        <v>32654</v>
      </c>
      <c r="I10943" t="s">
        <v>1149</v>
      </c>
      <c r="J10943" t="s">
        <v>30</v>
      </c>
      <c r="K10943" t="s">
        <v>1150</v>
      </c>
      <c r="M10943" t="s">
        <v>25625</v>
      </c>
      <c r="N10943" t="str">
        <f>"8/21/2017 3:12:00 PM"</f>
        <v>8/21/2017 3:12:00 PM</v>
      </c>
      <c r="O10943" t="s">
        <v>32652</v>
      </c>
      <c r="T10943" t="s">
        <v>32653</v>
      </c>
    </row>
    <row r="10944" spans="1:20" x14ac:dyDescent="0.25">
      <c r="A10944" t="str">
        <f>"3045195"</f>
        <v>3045195</v>
      </c>
      <c r="B10944" t="s">
        <v>32655</v>
      </c>
      <c r="C10944" t="str">
        <f>"82530280"</f>
        <v>82530280</v>
      </c>
      <c r="D10944" t="s">
        <v>32652</v>
      </c>
      <c r="E10944" t="s">
        <v>32653</v>
      </c>
      <c r="F10944" t="s">
        <v>32654</v>
      </c>
      <c r="I10944" t="s">
        <v>1149</v>
      </c>
      <c r="J10944" t="s">
        <v>30</v>
      </c>
      <c r="K10944" t="s">
        <v>1150</v>
      </c>
      <c r="M10944" t="s">
        <v>25625</v>
      </c>
      <c r="N10944" t="str">
        <f>"8/21/2017 3:12:00 PM"</f>
        <v>8/21/2017 3:12:00 PM</v>
      </c>
      <c r="O10944" t="s">
        <v>32652</v>
      </c>
      <c r="T10944" t="s">
        <v>32653</v>
      </c>
    </row>
    <row r="10945" spans="1:20" x14ac:dyDescent="0.25">
      <c r="A10945" t="str">
        <f>"3044388"</f>
        <v>3044388</v>
      </c>
      <c r="B10945" t="s">
        <v>32656</v>
      </c>
      <c r="C10945" t="str">
        <f>"82517740"</f>
        <v>82517740</v>
      </c>
      <c r="D10945" t="s">
        <v>32657</v>
      </c>
      <c r="E10945" t="s">
        <v>32658</v>
      </c>
      <c r="F10945" t="s">
        <v>32659</v>
      </c>
      <c r="I10945" t="s">
        <v>184</v>
      </c>
      <c r="J10945" t="s">
        <v>30</v>
      </c>
      <c r="K10945" t="s">
        <v>185</v>
      </c>
      <c r="M10945" t="s">
        <v>25625</v>
      </c>
      <c r="N10945" t="str">
        <f>"8/21/2017 3:15:00 PM"</f>
        <v>8/21/2017 3:15:00 PM</v>
      </c>
      <c r="O10945" t="s">
        <v>32657</v>
      </c>
      <c r="T10945" t="s">
        <v>32658</v>
      </c>
    </row>
    <row r="10946" spans="1:20" x14ac:dyDescent="0.25">
      <c r="A10946" t="str">
        <f>"3049441"</f>
        <v>3049441</v>
      </c>
      <c r="B10946" t="s">
        <v>32660</v>
      </c>
      <c r="C10946" t="str">
        <f>"22808000"</f>
        <v>22808000</v>
      </c>
      <c r="D10946" t="s">
        <v>32578</v>
      </c>
      <c r="E10946" t="s">
        <v>32579</v>
      </c>
      <c r="F10946" t="s">
        <v>12788</v>
      </c>
      <c r="I10946" t="s">
        <v>14604</v>
      </c>
      <c r="J10946" t="s">
        <v>30</v>
      </c>
      <c r="K10946" t="s">
        <v>14605</v>
      </c>
      <c r="M10946" t="s">
        <v>25625</v>
      </c>
      <c r="N10946" t="str">
        <f>"9/1/2017 11:06:00 AM"</f>
        <v>9/1/2017 11:06:00 AM</v>
      </c>
      <c r="O10946" t="s">
        <v>32578</v>
      </c>
      <c r="T10946" t="s">
        <v>32579</v>
      </c>
    </row>
    <row r="10947" spans="1:20" x14ac:dyDescent="0.25">
      <c r="A10947" t="str">
        <f>"3039689"</f>
        <v>3039689</v>
      </c>
      <c r="B10947" t="s">
        <v>32661</v>
      </c>
      <c r="C10947" t="str">
        <f>"82530454"</f>
        <v>82530454</v>
      </c>
      <c r="D10947" t="s">
        <v>32585</v>
      </c>
      <c r="F10947" t="s">
        <v>32586</v>
      </c>
      <c r="I10947" t="s">
        <v>29</v>
      </c>
      <c r="J10947" t="s">
        <v>30</v>
      </c>
      <c r="K10947" t="s">
        <v>31</v>
      </c>
      <c r="M10947" t="s">
        <v>25625</v>
      </c>
      <c r="N10947" t="str">
        <f>"9/1/2017 11:30:00 AM"</f>
        <v>9/1/2017 11:30:00 AM</v>
      </c>
      <c r="O10947" t="s">
        <v>32585</v>
      </c>
    </row>
    <row r="10948" spans="1:20" x14ac:dyDescent="0.25">
      <c r="A10948" t="str">
        <f>"3044407"</f>
        <v>3044407</v>
      </c>
      <c r="B10948" t="s">
        <v>32662</v>
      </c>
      <c r="C10948" t="str">
        <f>"8304951"</f>
        <v>8304951</v>
      </c>
      <c r="D10948" t="s">
        <v>32663</v>
      </c>
      <c r="E10948" t="s">
        <v>32664</v>
      </c>
      <c r="F10948" t="s">
        <v>32665</v>
      </c>
      <c r="I10948" t="s">
        <v>184</v>
      </c>
      <c r="J10948" t="s">
        <v>30</v>
      </c>
      <c r="K10948" t="str">
        <f>"27006"</f>
        <v>27006</v>
      </c>
      <c r="M10948" t="s">
        <v>25625</v>
      </c>
      <c r="N10948" t="str">
        <f>"9/1/2017 11:52:00 AM"</f>
        <v>9/1/2017 11:52:00 AM</v>
      </c>
      <c r="O10948" t="s">
        <v>32663</v>
      </c>
      <c r="T10948" t="s">
        <v>32664</v>
      </c>
    </row>
    <row r="10949" spans="1:20" x14ac:dyDescent="0.25">
      <c r="A10949" t="str">
        <f>"3047330"</f>
        <v>3047330</v>
      </c>
      <c r="B10949" t="s">
        <v>32666</v>
      </c>
      <c r="C10949" t="str">
        <f>"8308488"</f>
        <v>8308488</v>
      </c>
      <c r="D10949" t="s">
        <v>32667</v>
      </c>
      <c r="E10949" t="s">
        <v>32668</v>
      </c>
      <c r="F10949" t="s">
        <v>32669</v>
      </c>
      <c r="I10949" t="s">
        <v>184</v>
      </c>
      <c r="J10949" t="s">
        <v>30</v>
      </c>
      <c r="K10949" t="str">
        <f>"27006"</f>
        <v>27006</v>
      </c>
      <c r="M10949" t="s">
        <v>17861</v>
      </c>
      <c r="N10949" t="str">
        <f>"9/1/2017 12:15:00 PM"</f>
        <v>9/1/2017 12:15:00 PM</v>
      </c>
      <c r="O10949" t="s">
        <v>32667</v>
      </c>
      <c r="T10949" t="s">
        <v>32668</v>
      </c>
    </row>
    <row r="10950" spans="1:20" x14ac:dyDescent="0.25">
      <c r="A10950" t="str">
        <f>"3042410"</f>
        <v>3042410</v>
      </c>
      <c r="B10950" t="s">
        <v>32670</v>
      </c>
      <c r="C10950" t="str">
        <f>"8302207"</f>
        <v>8302207</v>
      </c>
      <c r="D10950" t="s">
        <v>32671</v>
      </c>
      <c r="F10950" t="s">
        <v>32672</v>
      </c>
      <c r="I10950" t="s">
        <v>184</v>
      </c>
      <c r="J10950" t="s">
        <v>30</v>
      </c>
      <c r="K10950" t="str">
        <f>"27006"</f>
        <v>27006</v>
      </c>
      <c r="M10950" t="s">
        <v>17861</v>
      </c>
      <c r="N10950" t="str">
        <f>"9/18/2017 3:59:00 PM"</f>
        <v>9/18/2017 3:59:00 PM</v>
      </c>
      <c r="O10950" t="s">
        <v>32671</v>
      </c>
    </row>
    <row r="10951" spans="1:20" x14ac:dyDescent="0.25">
      <c r="A10951" t="str">
        <f>"3062416"</f>
        <v>3062416</v>
      </c>
      <c r="B10951" t="s">
        <v>32673</v>
      </c>
      <c r="C10951" t="str">
        <f>"8308554"</f>
        <v>8308554</v>
      </c>
      <c r="D10951" t="s">
        <v>32674</v>
      </c>
      <c r="E10951" t="s">
        <v>32675</v>
      </c>
      <c r="F10951" t="s">
        <v>32676</v>
      </c>
      <c r="I10951" t="s">
        <v>2071</v>
      </c>
      <c r="J10951" t="s">
        <v>30</v>
      </c>
      <c r="K10951" t="s">
        <v>3872</v>
      </c>
      <c r="M10951" t="s">
        <v>17861</v>
      </c>
      <c r="N10951" t="str">
        <f>"9/19/2017 1:37:00 PM"</f>
        <v>9/19/2017 1:37:00 PM</v>
      </c>
      <c r="O10951" t="s">
        <v>32674</v>
      </c>
      <c r="T10951" t="s">
        <v>32675</v>
      </c>
    </row>
    <row r="10952" spans="1:20" x14ac:dyDescent="0.25">
      <c r="A10952" t="str">
        <f>"3038337"</f>
        <v>3038337</v>
      </c>
      <c r="B10952" t="s">
        <v>32677</v>
      </c>
      <c r="C10952" t="str">
        <f>"8308494"</f>
        <v>8308494</v>
      </c>
      <c r="D10952" t="s">
        <v>32678</v>
      </c>
      <c r="F10952" t="s">
        <v>32679</v>
      </c>
      <c r="I10952" t="s">
        <v>29</v>
      </c>
      <c r="J10952" t="s">
        <v>30</v>
      </c>
      <c r="K10952" t="str">
        <f>"27028"</f>
        <v>27028</v>
      </c>
      <c r="M10952" t="s">
        <v>17861</v>
      </c>
      <c r="N10952" t="str">
        <f>"9/1/2017 1:34:00 PM"</f>
        <v>9/1/2017 1:34:00 PM</v>
      </c>
      <c r="O10952" t="s">
        <v>32678</v>
      </c>
    </row>
    <row r="10953" spans="1:20" x14ac:dyDescent="0.25">
      <c r="A10953" t="str">
        <f>"3054485"</f>
        <v>3054485</v>
      </c>
      <c r="B10953" t="s">
        <v>32680</v>
      </c>
      <c r="C10953" t="str">
        <f>"8308558"</f>
        <v>8308558</v>
      </c>
      <c r="D10953" t="s">
        <v>32681</v>
      </c>
      <c r="E10953" t="s">
        <v>32682</v>
      </c>
      <c r="F10953" t="s">
        <v>32683</v>
      </c>
      <c r="I10953" t="s">
        <v>29</v>
      </c>
      <c r="J10953" t="s">
        <v>30</v>
      </c>
      <c r="K10953" t="s">
        <v>32684</v>
      </c>
      <c r="M10953" t="s">
        <v>17861</v>
      </c>
      <c r="N10953" t="str">
        <f>"9/19/2017 2:21:00 PM"</f>
        <v>9/19/2017 2:21:00 PM</v>
      </c>
      <c r="O10953" t="s">
        <v>32681</v>
      </c>
      <c r="T10953" t="s">
        <v>32682</v>
      </c>
    </row>
    <row r="10954" spans="1:20" x14ac:dyDescent="0.25">
      <c r="A10954" t="str">
        <f>"3060971"</f>
        <v>3060971</v>
      </c>
      <c r="B10954" t="s">
        <v>32685</v>
      </c>
      <c r="C10954" t="str">
        <f>"8308559"</f>
        <v>8308559</v>
      </c>
      <c r="D10954" t="s">
        <v>32686</v>
      </c>
      <c r="E10954" t="s">
        <v>32687</v>
      </c>
      <c r="F10954" t="s">
        <v>32688</v>
      </c>
      <c r="I10954" t="s">
        <v>2071</v>
      </c>
      <c r="J10954" t="s">
        <v>30</v>
      </c>
      <c r="K10954" t="s">
        <v>32689</v>
      </c>
      <c r="M10954" t="s">
        <v>17861</v>
      </c>
      <c r="N10954" t="str">
        <f>"9/19/2017 2:26:00 PM"</f>
        <v>9/19/2017 2:26:00 PM</v>
      </c>
      <c r="O10954" t="s">
        <v>32686</v>
      </c>
      <c r="T10954" t="s">
        <v>32687</v>
      </c>
    </row>
    <row r="10955" spans="1:20" x14ac:dyDescent="0.25">
      <c r="A10955" t="str">
        <f>"3050489"</f>
        <v>3050489</v>
      </c>
      <c r="B10955" t="s">
        <v>32690</v>
      </c>
      <c r="C10955" t="str">
        <f>"8302311"</f>
        <v>8302311</v>
      </c>
      <c r="D10955" t="s">
        <v>32691</v>
      </c>
      <c r="E10955" t="s">
        <v>32692</v>
      </c>
      <c r="F10955" t="s">
        <v>32693</v>
      </c>
      <c r="I10955" t="s">
        <v>184</v>
      </c>
      <c r="J10955" t="s">
        <v>30</v>
      </c>
      <c r="K10955" t="str">
        <f>"27006"</f>
        <v>27006</v>
      </c>
      <c r="M10955" t="s">
        <v>25494</v>
      </c>
      <c r="N10955" t="str">
        <f>"9/19/2017 2:25:00 PM"</f>
        <v>9/19/2017 2:25:00 PM</v>
      </c>
      <c r="O10955" t="s">
        <v>32691</v>
      </c>
      <c r="T10955" t="s">
        <v>32692</v>
      </c>
    </row>
    <row r="10956" spans="1:20" x14ac:dyDescent="0.25">
      <c r="A10956" t="str">
        <f>"3038205"</f>
        <v>3038205</v>
      </c>
      <c r="B10956" t="s">
        <v>32694</v>
      </c>
      <c r="C10956" t="str">
        <f>"8308494"</f>
        <v>8308494</v>
      </c>
      <c r="D10956" t="s">
        <v>32678</v>
      </c>
      <c r="F10956" t="s">
        <v>32679</v>
      </c>
      <c r="I10956" t="s">
        <v>29</v>
      </c>
      <c r="J10956" t="s">
        <v>30</v>
      </c>
      <c r="K10956" t="str">
        <f>"27028"</f>
        <v>27028</v>
      </c>
      <c r="M10956" t="s">
        <v>17861</v>
      </c>
      <c r="N10956" t="str">
        <f>"9/1/2017 1:34:00 PM"</f>
        <v>9/1/2017 1:34:00 PM</v>
      </c>
      <c r="O10956" t="s">
        <v>32678</v>
      </c>
    </row>
    <row r="10957" spans="1:20" x14ac:dyDescent="0.25">
      <c r="A10957" t="str">
        <f>"3050752"</f>
        <v>3050752</v>
      </c>
      <c r="B10957" t="s">
        <v>32695</v>
      </c>
      <c r="C10957" t="str">
        <f>"8308496"</f>
        <v>8308496</v>
      </c>
      <c r="D10957" t="s">
        <v>32696</v>
      </c>
      <c r="E10957" t="s">
        <v>32697</v>
      </c>
      <c r="F10957" t="s">
        <v>32698</v>
      </c>
      <c r="I10957" t="s">
        <v>184</v>
      </c>
      <c r="J10957" t="s">
        <v>30</v>
      </c>
      <c r="K10957" t="str">
        <f>"27006"</f>
        <v>27006</v>
      </c>
      <c r="M10957" t="s">
        <v>17861</v>
      </c>
      <c r="N10957" t="str">
        <f>"9/5/2017 11:19:00 AM"</f>
        <v>9/5/2017 11:19:00 AM</v>
      </c>
      <c r="O10957" t="s">
        <v>32696</v>
      </c>
      <c r="T10957" t="s">
        <v>32697</v>
      </c>
    </row>
    <row r="10958" spans="1:20" x14ac:dyDescent="0.25">
      <c r="A10958" t="str">
        <f>"3056410"</f>
        <v>3056410</v>
      </c>
      <c r="B10958" t="s">
        <v>32699</v>
      </c>
      <c r="C10958" t="str">
        <f>"8308564"</f>
        <v>8308564</v>
      </c>
      <c r="D10958" t="s">
        <v>32700</v>
      </c>
      <c r="F10958" t="s">
        <v>32701</v>
      </c>
      <c r="I10958" t="s">
        <v>29</v>
      </c>
      <c r="J10958" t="s">
        <v>30</v>
      </c>
      <c r="K10958" t="s">
        <v>16526</v>
      </c>
      <c r="M10958" t="s">
        <v>17861</v>
      </c>
      <c r="N10958" t="str">
        <f>"9/19/2017 4:08:00 PM"</f>
        <v>9/19/2017 4:08:00 PM</v>
      </c>
      <c r="O10958" t="s">
        <v>32700</v>
      </c>
    </row>
    <row r="10959" spans="1:20" x14ac:dyDescent="0.25">
      <c r="A10959" t="str">
        <f>"3044542"</f>
        <v>3044542</v>
      </c>
      <c r="B10959" t="s">
        <v>32702</v>
      </c>
      <c r="C10959" t="str">
        <f>"8308566"</f>
        <v>8308566</v>
      </c>
      <c r="D10959" t="s">
        <v>32703</v>
      </c>
      <c r="E10959" t="s">
        <v>32704</v>
      </c>
      <c r="F10959" t="s">
        <v>32705</v>
      </c>
      <c r="I10959" t="s">
        <v>184</v>
      </c>
      <c r="J10959" t="s">
        <v>30</v>
      </c>
      <c r="K10959" t="s">
        <v>5724</v>
      </c>
      <c r="M10959" t="s">
        <v>17861</v>
      </c>
      <c r="N10959" t="str">
        <f>"9/19/2017 4:16:00 PM"</f>
        <v>9/19/2017 4:16:00 PM</v>
      </c>
      <c r="O10959" t="s">
        <v>32703</v>
      </c>
      <c r="T10959" t="s">
        <v>32704</v>
      </c>
    </row>
    <row r="10960" spans="1:20" x14ac:dyDescent="0.25">
      <c r="A10960" t="str">
        <f>"3046959"</f>
        <v>3046959</v>
      </c>
      <c r="B10960" t="s">
        <v>32706</v>
      </c>
      <c r="C10960" t="str">
        <f>"8308568"</f>
        <v>8308568</v>
      </c>
      <c r="D10960" t="s">
        <v>32707</v>
      </c>
      <c r="F10960" t="s">
        <v>32708</v>
      </c>
      <c r="I10960" t="s">
        <v>29</v>
      </c>
      <c r="J10960" t="s">
        <v>30</v>
      </c>
      <c r="K10960" t="s">
        <v>18883</v>
      </c>
      <c r="M10960" t="s">
        <v>17861</v>
      </c>
      <c r="N10960" t="str">
        <f>"9/19/2017 4:22:00 PM"</f>
        <v>9/19/2017 4:22:00 PM</v>
      </c>
      <c r="O10960" t="s">
        <v>32707</v>
      </c>
    </row>
    <row r="10961" spans="1:20" x14ac:dyDescent="0.25">
      <c r="A10961" t="str">
        <f>"3045795"</f>
        <v>3045795</v>
      </c>
      <c r="B10961" t="s">
        <v>32709</v>
      </c>
      <c r="C10961" t="str">
        <f>"8308569"</f>
        <v>8308569</v>
      </c>
      <c r="D10961" t="s">
        <v>32710</v>
      </c>
      <c r="F10961" t="s">
        <v>32711</v>
      </c>
      <c r="I10961" t="s">
        <v>29</v>
      </c>
      <c r="J10961" t="s">
        <v>30</v>
      </c>
      <c r="K10961" t="s">
        <v>23550</v>
      </c>
      <c r="M10961" t="s">
        <v>17861</v>
      </c>
      <c r="N10961" t="str">
        <f>"9/20/2017 8:39:00 AM"</f>
        <v>9/20/2017 8:39:00 AM</v>
      </c>
      <c r="O10961" t="s">
        <v>32710</v>
      </c>
    </row>
    <row r="10962" spans="1:20" x14ac:dyDescent="0.25">
      <c r="A10962" t="str">
        <f>"3057473"</f>
        <v>3057473</v>
      </c>
      <c r="B10962" t="s">
        <v>32712</v>
      </c>
      <c r="C10962" t="str">
        <f>"8308497"</f>
        <v>8308497</v>
      </c>
      <c r="D10962" t="s">
        <v>32713</v>
      </c>
      <c r="E10962" t="s">
        <v>32714</v>
      </c>
      <c r="F10962" t="s">
        <v>32715</v>
      </c>
      <c r="I10962" t="s">
        <v>32716</v>
      </c>
      <c r="J10962" t="s">
        <v>30</v>
      </c>
      <c r="K10962" t="str">
        <f>"27235"</f>
        <v>27235</v>
      </c>
      <c r="M10962" t="s">
        <v>17861</v>
      </c>
      <c r="N10962" t="str">
        <f>"9/5/2017 1:10:00 PM"</f>
        <v>9/5/2017 1:10:00 PM</v>
      </c>
      <c r="O10962" t="s">
        <v>32713</v>
      </c>
      <c r="T10962" t="s">
        <v>32714</v>
      </c>
    </row>
    <row r="10963" spans="1:20" x14ac:dyDescent="0.25">
      <c r="A10963" t="str">
        <f>"3040591"</f>
        <v>3040591</v>
      </c>
      <c r="B10963" t="s">
        <v>32717</v>
      </c>
      <c r="C10963" t="str">
        <f>"29246250"</f>
        <v>29246250</v>
      </c>
      <c r="D10963" t="s">
        <v>32718</v>
      </c>
      <c r="E10963" t="s">
        <v>32719</v>
      </c>
      <c r="F10963" t="s">
        <v>32720</v>
      </c>
      <c r="I10963" t="s">
        <v>184</v>
      </c>
      <c r="J10963" t="s">
        <v>30</v>
      </c>
      <c r="K10963" t="s">
        <v>32721</v>
      </c>
      <c r="M10963" t="s">
        <v>17861</v>
      </c>
      <c r="N10963" t="str">
        <f>"9/7/2017 2:30:00 PM"</f>
        <v>9/7/2017 2:30:00 PM</v>
      </c>
      <c r="O10963" t="s">
        <v>32718</v>
      </c>
      <c r="T10963" t="s">
        <v>32719</v>
      </c>
    </row>
    <row r="10964" spans="1:20" x14ac:dyDescent="0.25">
      <c r="A10964" t="str">
        <f>"3049958"</f>
        <v>3049958</v>
      </c>
      <c r="B10964" t="s">
        <v>32722</v>
      </c>
      <c r="C10964" t="str">
        <f>"8308500"</f>
        <v>8308500</v>
      </c>
      <c r="D10964" t="s">
        <v>32723</v>
      </c>
      <c r="F10964" t="s">
        <v>32724</v>
      </c>
      <c r="I10964" t="s">
        <v>29</v>
      </c>
      <c r="J10964" t="s">
        <v>30</v>
      </c>
      <c r="K10964" t="str">
        <f>"27028"</f>
        <v>27028</v>
      </c>
      <c r="M10964" t="s">
        <v>17861</v>
      </c>
      <c r="N10964" t="str">
        <f>"9/7/2017 3:25:00 PM"</f>
        <v>9/7/2017 3:25:00 PM</v>
      </c>
      <c r="O10964" t="s">
        <v>32723</v>
      </c>
    </row>
    <row r="10965" spans="1:20" x14ac:dyDescent="0.25">
      <c r="A10965" t="str">
        <f>"3051608"</f>
        <v>3051608</v>
      </c>
      <c r="B10965" t="s">
        <v>32725</v>
      </c>
      <c r="C10965" t="str">
        <f>"40688000"</f>
        <v>40688000</v>
      </c>
      <c r="D10965" t="s">
        <v>32726</v>
      </c>
      <c r="F10965" t="s">
        <v>32727</v>
      </c>
      <c r="I10965" t="s">
        <v>32728</v>
      </c>
      <c r="J10965" t="s">
        <v>30</v>
      </c>
      <c r="K10965" t="str">
        <f>"28339"</f>
        <v>28339</v>
      </c>
      <c r="M10965" t="s">
        <v>25494</v>
      </c>
      <c r="N10965" t="str">
        <f>"9/11/2017 2:02:00 PM"</f>
        <v>9/11/2017 2:02:00 PM</v>
      </c>
      <c r="O10965" t="s">
        <v>32726</v>
      </c>
    </row>
    <row r="10966" spans="1:20" x14ac:dyDescent="0.25">
      <c r="A10966" t="str">
        <f>"3078589"</f>
        <v>3078589</v>
      </c>
      <c r="B10966" t="s">
        <v>32729</v>
      </c>
      <c r="C10966" t="str">
        <f>"51044000"</f>
        <v>51044000</v>
      </c>
      <c r="D10966" t="s">
        <v>32730</v>
      </c>
      <c r="F10966" t="str">
        <f>"C/O SHARON MILLER EARNHARDT"</f>
        <v>C/O SHARON MILLER EARNHARDT</v>
      </c>
      <c r="G10966" t="s">
        <v>32731</v>
      </c>
      <c r="I10966" t="s">
        <v>14604</v>
      </c>
      <c r="J10966" t="s">
        <v>30</v>
      </c>
      <c r="K10966" t="s">
        <v>14605</v>
      </c>
      <c r="M10966" t="s">
        <v>18470</v>
      </c>
      <c r="N10966" t="str">
        <f>"9/13/2017 1:32:00 PM"</f>
        <v>9/13/2017 1:32:00 PM</v>
      </c>
      <c r="O10966" t="s">
        <v>32730</v>
      </c>
    </row>
    <row r="10967" spans="1:20" x14ac:dyDescent="0.25">
      <c r="A10967" t="str">
        <f>"3070831"</f>
        <v>3070831</v>
      </c>
      <c r="B10967" t="s">
        <v>32732</v>
      </c>
      <c r="C10967" t="str">
        <f>"8308582"</f>
        <v>8308582</v>
      </c>
      <c r="D10967" t="s">
        <v>32733</v>
      </c>
      <c r="E10967" t="s">
        <v>32734</v>
      </c>
      <c r="F10967" t="s">
        <v>32735</v>
      </c>
      <c r="I10967" t="s">
        <v>29</v>
      </c>
      <c r="J10967" t="s">
        <v>30</v>
      </c>
      <c r="K10967" t="s">
        <v>32736</v>
      </c>
      <c r="M10967" t="s">
        <v>17861</v>
      </c>
      <c r="N10967" t="str">
        <f>"9/20/2017 1:24:00 PM"</f>
        <v>9/20/2017 1:24:00 PM</v>
      </c>
      <c r="O10967" t="s">
        <v>32733</v>
      </c>
      <c r="T10967" t="s">
        <v>32734</v>
      </c>
    </row>
    <row r="10968" spans="1:20" x14ac:dyDescent="0.25">
      <c r="A10968" t="str">
        <f>"3043804"</f>
        <v>3043804</v>
      </c>
      <c r="B10968" t="s">
        <v>32737</v>
      </c>
      <c r="C10968" t="str">
        <f>"8308584"</f>
        <v>8308584</v>
      </c>
      <c r="D10968" t="s">
        <v>32738</v>
      </c>
      <c r="E10968" t="s">
        <v>32739</v>
      </c>
      <c r="F10968" t="s">
        <v>32740</v>
      </c>
      <c r="I10968" t="s">
        <v>29</v>
      </c>
      <c r="J10968" t="s">
        <v>30</v>
      </c>
      <c r="K10968" t="str">
        <f>"27028"</f>
        <v>27028</v>
      </c>
      <c r="M10968" t="s">
        <v>17861</v>
      </c>
      <c r="N10968" t="str">
        <f>"9/20/2017 2:53:00 PM"</f>
        <v>9/20/2017 2:53:00 PM</v>
      </c>
      <c r="O10968" t="s">
        <v>32738</v>
      </c>
      <c r="T10968" t="s">
        <v>32739</v>
      </c>
    </row>
    <row r="10969" spans="1:20" x14ac:dyDescent="0.25">
      <c r="A10969" t="str">
        <f>"3049730"</f>
        <v>3049730</v>
      </c>
      <c r="B10969" t="s">
        <v>32741</v>
      </c>
      <c r="C10969" t="str">
        <f>"8308586"</f>
        <v>8308586</v>
      </c>
      <c r="D10969" t="s">
        <v>32742</v>
      </c>
      <c r="F10969" t="s">
        <v>32743</v>
      </c>
      <c r="I10969" t="s">
        <v>29</v>
      </c>
      <c r="J10969" t="s">
        <v>30</v>
      </c>
      <c r="K10969" t="str">
        <f>"27028"</f>
        <v>27028</v>
      </c>
      <c r="M10969" t="s">
        <v>17861</v>
      </c>
      <c r="N10969" t="str">
        <f>"9/20/2017 3:03:00 PM"</f>
        <v>9/20/2017 3:03:00 PM</v>
      </c>
      <c r="O10969" t="s">
        <v>32742</v>
      </c>
    </row>
    <row r="10970" spans="1:20" x14ac:dyDescent="0.25">
      <c r="A10970" t="str">
        <f>"3050157"</f>
        <v>3050157</v>
      </c>
      <c r="B10970" t="s">
        <v>32744</v>
      </c>
      <c r="C10970" t="str">
        <f>"8308587"</f>
        <v>8308587</v>
      </c>
      <c r="D10970" t="s">
        <v>32745</v>
      </c>
      <c r="E10970" t="s">
        <v>32746</v>
      </c>
      <c r="F10970" t="s">
        <v>32747</v>
      </c>
      <c r="I10970" t="s">
        <v>29</v>
      </c>
      <c r="J10970" t="s">
        <v>30</v>
      </c>
      <c r="K10970" t="s">
        <v>32748</v>
      </c>
      <c r="M10970" t="s">
        <v>17861</v>
      </c>
      <c r="N10970" t="str">
        <f>"9/21/2017 9:22:00 AM"</f>
        <v>9/21/2017 9:22:00 AM</v>
      </c>
      <c r="O10970" t="s">
        <v>32745</v>
      </c>
      <c r="T10970" t="s">
        <v>32746</v>
      </c>
    </row>
    <row r="10971" spans="1:20" x14ac:dyDescent="0.25">
      <c r="A10971" t="str">
        <f>"3056480"</f>
        <v>3056480</v>
      </c>
      <c r="B10971" t="s">
        <v>32749</v>
      </c>
      <c r="C10971" t="str">
        <f>"82521075"</f>
        <v>82521075</v>
      </c>
      <c r="D10971" t="s">
        <v>32750</v>
      </c>
      <c r="E10971" t="s">
        <v>32751</v>
      </c>
      <c r="F10971" t="s">
        <v>32752</v>
      </c>
      <c r="I10971" t="s">
        <v>29</v>
      </c>
      <c r="J10971" t="s">
        <v>30</v>
      </c>
      <c r="K10971" t="s">
        <v>32753</v>
      </c>
      <c r="M10971" t="s">
        <v>25625</v>
      </c>
      <c r="N10971" t="str">
        <f>"9/15/2017 10:47:00 AM"</f>
        <v>9/15/2017 10:47:00 AM</v>
      </c>
      <c r="O10971" t="s">
        <v>32750</v>
      </c>
      <c r="T10971" t="s">
        <v>32751</v>
      </c>
    </row>
    <row r="10972" spans="1:20" x14ac:dyDescent="0.25">
      <c r="A10972" t="str">
        <f>"3055829"</f>
        <v>3055829</v>
      </c>
      <c r="B10972" t="s">
        <v>32754</v>
      </c>
      <c r="C10972" t="str">
        <f>"82525616"</f>
        <v>82525616</v>
      </c>
      <c r="D10972" t="s">
        <v>32630</v>
      </c>
      <c r="F10972" t="s">
        <v>25600</v>
      </c>
      <c r="I10972" t="s">
        <v>29</v>
      </c>
      <c r="J10972" t="s">
        <v>30</v>
      </c>
      <c r="K10972" t="s">
        <v>31</v>
      </c>
      <c r="M10972" t="s">
        <v>18479</v>
      </c>
      <c r="N10972" t="str">
        <f>"9/15/2017 1:56:00 PM"</f>
        <v>9/15/2017 1:56:00 PM</v>
      </c>
      <c r="O10972" t="s">
        <v>32630</v>
      </c>
    </row>
    <row r="10973" spans="1:20" x14ac:dyDescent="0.25">
      <c r="A10973" t="str">
        <f>"3046798"</f>
        <v>3046798</v>
      </c>
      <c r="B10973" t="s">
        <v>32755</v>
      </c>
      <c r="C10973" t="str">
        <f>"8308472"</f>
        <v>8308472</v>
      </c>
      <c r="D10973" t="s">
        <v>32756</v>
      </c>
      <c r="E10973" t="s">
        <v>32757</v>
      </c>
      <c r="F10973" t="s">
        <v>32758</v>
      </c>
      <c r="I10973" t="s">
        <v>184</v>
      </c>
      <c r="J10973" t="s">
        <v>30</v>
      </c>
      <c r="K10973" t="str">
        <f>"27006"</f>
        <v>27006</v>
      </c>
      <c r="M10973" t="s">
        <v>17861</v>
      </c>
      <c r="N10973" t="str">
        <f>"8/31/2017 2:58:00 PM"</f>
        <v>8/31/2017 2:58:00 PM</v>
      </c>
      <c r="O10973" t="s">
        <v>32756</v>
      </c>
      <c r="T10973" t="s">
        <v>32757</v>
      </c>
    </row>
    <row r="10974" spans="1:20" x14ac:dyDescent="0.25">
      <c r="A10974" t="str">
        <f>"3043948"</f>
        <v>3043948</v>
      </c>
      <c r="B10974" t="s">
        <v>32759</v>
      </c>
      <c r="C10974" t="str">
        <f>"82528109"</f>
        <v>82528109</v>
      </c>
      <c r="D10974" t="s">
        <v>32760</v>
      </c>
      <c r="F10974" t="s">
        <v>12530</v>
      </c>
      <c r="I10974" t="s">
        <v>29</v>
      </c>
      <c r="J10974" t="s">
        <v>30</v>
      </c>
      <c r="K10974" t="s">
        <v>31</v>
      </c>
      <c r="M10974" t="s">
        <v>25733</v>
      </c>
      <c r="N10974" t="str">
        <f>"9/22/2017 3:09:00 PM"</f>
        <v>9/22/2017 3:09:00 PM</v>
      </c>
      <c r="O10974" t="s">
        <v>32760</v>
      </c>
    </row>
    <row r="10975" spans="1:20" x14ac:dyDescent="0.25">
      <c r="A10975" t="str">
        <f>"3039612"</f>
        <v>3039612</v>
      </c>
      <c r="B10975" t="s">
        <v>32761</v>
      </c>
      <c r="C10975" t="str">
        <f>"8308473"</f>
        <v>8308473</v>
      </c>
      <c r="D10975" t="s">
        <v>32762</v>
      </c>
      <c r="E10975" t="s">
        <v>32763</v>
      </c>
      <c r="F10975" t="s">
        <v>32764</v>
      </c>
      <c r="I10975" t="s">
        <v>184</v>
      </c>
      <c r="J10975" t="s">
        <v>30</v>
      </c>
      <c r="K10975" t="str">
        <f>"27006"</f>
        <v>27006</v>
      </c>
      <c r="M10975" t="s">
        <v>17861</v>
      </c>
      <c r="N10975" t="str">
        <f>"8/31/2017 3:05:00 PM"</f>
        <v>8/31/2017 3:05:00 PM</v>
      </c>
      <c r="O10975" t="s">
        <v>32762</v>
      </c>
      <c r="T10975" t="s">
        <v>32763</v>
      </c>
    </row>
    <row r="10976" spans="1:20" x14ac:dyDescent="0.25">
      <c r="A10976" t="str">
        <f>"3058106"</f>
        <v>3058106</v>
      </c>
      <c r="B10976" t="s">
        <v>32765</v>
      </c>
      <c r="C10976" t="str">
        <f>"8308479"</f>
        <v>8308479</v>
      </c>
      <c r="D10976" t="s">
        <v>32766</v>
      </c>
      <c r="E10976" t="s">
        <v>32767</v>
      </c>
      <c r="F10976" t="s">
        <v>32768</v>
      </c>
      <c r="I10976" t="s">
        <v>184</v>
      </c>
      <c r="J10976" t="s">
        <v>30</v>
      </c>
      <c r="K10976" t="str">
        <f>"27006"</f>
        <v>27006</v>
      </c>
      <c r="M10976" t="s">
        <v>17861</v>
      </c>
      <c r="N10976" t="str">
        <f>"9/1/2017 9:05:00 AM"</f>
        <v>9/1/2017 9:05:00 AM</v>
      </c>
      <c r="O10976" t="s">
        <v>32766</v>
      </c>
      <c r="T10976" t="s">
        <v>32767</v>
      </c>
    </row>
    <row r="10977" spans="1:20" x14ac:dyDescent="0.25">
      <c r="A10977" t="str">
        <f>"3048555"</f>
        <v>3048555</v>
      </c>
      <c r="B10977" t="s">
        <v>32769</v>
      </c>
      <c r="C10977" t="str">
        <f>"8302511"</f>
        <v>8302511</v>
      </c>
      <c r="D10977" t="s">
        <v>32074</v>
      </c>
      <c r="F10977" t="s">
        <v>32770</v>
      </c>
      <c r="I10977" t="s">
        <v>184</v>
      </c>
      <c r="J10977" t="s">
        <v>30</v>
      </c>
      <c r="K10977" t="str">
        <f>"27006"</f>
        <v>27006</v>
      </c>
      <c r="M10977" t="s">
        <v>25494</v>
      </c>
      <c r="N10977" t="str">
        <f>"9/1/2017 9:09:00 AM"</f>
        <v>9/1/2017 9:09:00 AM</v>
      </c>
      <c r="O10977" t="s">
        <v>32074</v>
      </c>
    </row>
    <row r="10978" spans="1:20" x14ac:dyDescent="0.25">
      <c r="A10978" t="str">
        <f>"3060111"</f>
        <v>3060111</v>
      </c>
      <c r="B10978" t="s">
        <v>32771</v>
      </c>
      <c r="C10978" t="str">
        <f>"8308482"</f>
        <v>8308482</v>
      </c>
      <c r="D10978" t="s">
        <v>32772</v>
      </c>
      <c r="E10978" t="s">
        <v>32773</v>
      </c>
      <c r="F10978" t="s">
        <v>32774</v>
      </c>
      <c r="I10978" t="s">
        <v>184</v>
      </c>
      <c r="J10978" t="s">
        <v>30</v>
      </c>
      <c r="K10978" t="str">
        <f>"27006"</f>
        <v>27006</v>
      </c>
      <c r="M10978" t="s">
        <v>17861</v>
      </c>
      <c r="N10978" t="str">
        <f>"9/1/2017 9:23:00 AM"</f>
        <v>9/1/2017 9:23:00 AM</v>
      </c>
      <c r="O10978" t="s">
        <v>32772</v>
      </c>
      <c r="T10978" t="s">
        <v>32773</v>
      </c>
    </row>
    <row r="10979" spans="1:20" x14ac:dyDescent="0.25">
      <c r="A10979" t="str">
        <f>"3052332"</f>
        <v>3052332</v>
      </c>
      <c r="B10979" t="s">
        <v>32775</v>
      </c>
      <c r="C10979" t="str">
        <f>"8308483"</f>
        <v>8308483</v>
      </c>
      <c r="D10979" t="s">
        <v>32776</v>
      </c>
      <c r="E10979" t="s">
        <v>32777</v>
      </c>
      <c r="F10979" t="s">
        <v>32778</v>
      </c>
      <c r="I10979" t="s">
        <v>29</v>
      </c>
      <c r="J10979" t="s">
        <v>30</v>
      </c>
      <c r="K10979" t="str">
        <f>"27028"</f>
        <v>27028</v>
      </c>
      <c r="M10979" t="s">
        <v>17861</v>
      </c>
      <c r="N10979" t="str">
        <f>"9/1/2017 9:55:00 AM"</f>
        <v>9/1/2017 9:55:00 AM</v>
      </c>
      <c r="O10979" t="s">
        <v>32776</v>
      </c>
      <c r="T10979" t="s">
        <v>32777</v>
      </c>
    </row>
    <row r="10980" spans="1:20" x14ac:dyDescent="0.25">
      <c r="A10980" t="str">
        <f>"3058109"</f>
        <v>3058109</v>
      </c>
      <c r="B10980" t="s">
        <v>32779</v>
      </c>
      <c r="C10980" t="str">
        <f>"8308485"</f>
        <v>8308485</v>
      </c>
      <c r="D10980" t="s">
        <v>32780</v>
      </c>
      <c r="E10980" t="s">
        <v>32781</v>
      </c>
      <c r="F10980" t="s">
        <v>32782</v>
      </c>
      <c r="I10980" t="s">
        <v>29</v>
      </c>
      <c r="J10980" t="s">
        <v>30</v>
      </c>
      <c r="K10980" t="str">
        <f>"27028"</f>
        <v>27028</v>
      </c>
      <c r="M10980" t="s">
        <v>17861</v>
      </c>
      <c r="N10980" t="str">
        <f>"9/1/2017 10:29:00 AM"</f>
        <v>9/1/2017 10:29:00 AM</v>
      </c>
      <c r="O10980" t="s">
        <v>32780</v>
      </c>
      <c r="T10980" t="s">
        <v>32781</v>
      </c>
    </row>
    <row r="10981" spans="1:20" x14ac:dyDescent="0.25">
      <c r="A10981" t="str">
        <f>"3038707"</f>
        <v>3038707</v>
      </c>
      <c r="B10981" t="s">
        <v>32783</v>
      </c>
      <c r="C10981" t="str">
        <f>"8308549"</f>
        <v>8308549</v>
      </c>
      <c r="D10981" t="s">
        <v>32784</v>
      </c>
      <c r="F10981" t="s">
        <v>32785</v>
      </c>
      <c r="I10981" t="s">
        <v>29</v>
      </c>
      <c r="J10981" t="s">
        <v>30</v>
      </c>
      <c r="K10981" t="str">
        <f>"27028"</f>
        <v>27028</v>
      </c>
      <c r="M10981" t="s">
        <v>17861</v>
      </c>
      <c r="N10981" t="str">
        <f>"9/18/2017 3:38:00 PM"</f>
        <v>9/18/2017 3:38:00 PM</v>
      </c>
      <c r="O10981" t="s">
        <v>32784</v>
      </c>
    </row>
    <row r="10982" spans="1:20" x14ac:dyDescent="0.25">
      <c r="A10982" t="str">
        <f>"3039569"</f>
        <v>3039569</v>
      </c>
      <c r="B10982" t="s">
        <v>32786</v>
      </c>
      <c r="C10982" t="str">
        <f>"8308551"</f>
        <v>8308551</v>
      </c>
      <c r="D10982" t="s">
        <v>32787</v>
      </c>
      <c r="E10982" t="s">
        <v>32788</v>
      </c>
      <c r="F10982" t="s">
        <v>32789</v>
      </c>
      <c r="I10982" t="s">
        <v>184</v>
      </c>
      <c r="J10982" t="s">
        <v>30</v>
      </c>
      <c r="K10982" t="s">
        <v>32790</v>
      </c>
      <c r="M10982" t="s">
        <v>17861</v>
      </c>
      <c r="N10982" t="str">
        <f>"9/18/2017 3:42:00 PM"</f>
        <v>9/18/2017 3:42:00 PM</v>
      </c>
      <c r="O10982" t="s">
        <v>32787</v>
      </c>
      <c r="T10982" t="s">
        <v>32788</v>
      </c>
    </row>
    <row r="10983" spans="1:20" x14ac:dyDescent="0.25">
      <c r="A10983" t="str">
        <f>"3041388"</f>
        <v>3041388</v>
      </c>
      <c r="B10983" t="s">
        <v>32791</v>
      </c>
      <c r="C10983" t="str">
        <f>"82528474"</f>
        <v>82528474</v>
      </c>
      <c r="D10983" t="s">
        <v>32792</v>
      </c>
      <c r="E10983" t="s">
        <v>32793</v>
      </c>
      <c r="F10983" t="s">
        <v>32794</v>
      </c>
      <c r="I10983" t="s">
        <v>184</v>
      </c>
      <c r="J10983" t="s">
        <v>30</v>
      </c>
      <c r="K10983" t="s">
        <v>185</v>
      </c>
      <c r="M10983" t="s">
        <v>25733</v>
      </c>
      <c r="N10983" t="str">
        <f>"9/18/2017 3:43:00 PM"</f>
        <v>9/18/2017 3:43:00 PM</v>
      </c>
      <c r="O10983" t="s">
        <v>32792</v>
      </c>
      <c r="T10983" t="s">
        <v>32793</v>
      </c>
    </row>
    <row r="10984" spans="1:20" x14ac:dyDescent="0.25">
      <c r="A10984" t="str">
        <f>"3058248"</f>
        <v>3058248</v>
      </c>
      <c r="B10984" t="s">
        <v>32795</v>
      </c>
      <c r="C10984" t="str">
        <f>"8308556"</f>
        <v>8308556</v>
      </c>
      <c r="D10984" t="s">
        <v>32796</v>
      </c>
      <c r="F10984" t="s">
        <v>32797</v>
      </c>
      <c r="I10984" t="s">
        <v>29</v>
      </c>
      <c r="J10984" t="s">
        <v>30</v>
      </c>
      <c r="K10984" t="s">
        <v>13178</v>
      </c>
      <c r="M10984" t="s">
        <v>17861</v>
      </c>
      <c r="N10984" t="str">
        <f>"9/19/2017 2:05:00 PM"</f>
        <v>9/19/2017 2:05:00 PM</v>
      </c>
      <c r="O10984" t="s">
        <v>32796</v>
      </c>
    </row>
    <row r="10985" spans="1:20" x14ac:dyDescent="0.25">
      <c r="A10985" t="str">
        <f>"3040664"</f>
        <v>3040664</v>
      </c>
      <c r="B10985" t="s">
        <v>32798</v>
      </c>
      <c r="C10985" t="str">
        <f>"35827250"</f>
        <v>35827250</v>
      </c>
      <c r="D10985" t="s">
        <v>32799</v>
      </c>
      <c r="F10985" t="s">
        <v>32800</v>
      </c>
      <c r="I10985" t="s">
        <v>184</v>
      </c>
      <c r="J10985" t="s">
        <v>30</v>
      </c>
      <c r="K10985" t="s">
        <v>185</v>
      </c>
      <c r="M10985" t="s">
        <v>32801</v>
      </c>
      <c r="N10985" t="str">
        <f>"9/19/2017 3:16:00 PM"</f>
        <v>9/19/2017 3:16:00 PM</v>
      </c>
      <c r="O10985" t="s">
        <v>32799</v>
      </c>
    </row>
    <row r="10986" spans="1:20" x14ac:dyDescent="0.25">
      <c r="A10986" t="str">
        <f>"3043907"</f>
        <v>3043907</v>
      </c>
      <c r="B10986" t="s">
        <v>32802</v>
      </c>
      <c r="C10986" t="str">
        <f>"8308563"</f>
        <v>8308563</v>
      </c>
      <c r="D10986" t="s">
        <v>32803</v>
      </c>
      <c r="F10986" t="s">
        <v>32804</v>
      </c>
      <c r="I10986" t="s">
        <v>184</v>
      </c>
      <c r="J10986" t="s">
        <v>30</v>
      </c>
      <c r="K10986" t="s">
        <v>32805</v>
      </c>
      <c r="M10986" t="s">
        <v>17861</v>
      </c>
      <c r="N10986" t="str">
        <f>"9/19/2017 4:03:00 PM"</f>
        <v>9/19/2017 4:03:00 PM</v>
      </c>
      <c r="O10986" t="s">
        <v>32803</v>
      </c>
    </row>
    <row r="10987" spans="1:20" x14ac:dyDescent="0.25">
      <c r="A10987" t="str">
        <f>"3061973"</f>
        <v>3061973</v>
      </c>
      <c r="B10987" t="s">
        <v>32806</v>
      </c>
      <c r="C10987" t="str">
        <f>"8308572"</f>
        <v>8308572</v>
      </c>
      <c r="D10987" t="s">
        <v>32807</v>
      </c>
      <c r="E10987" t="s">
        <v>32808</v>
      </c>
      <c r="F10987" t="s">
        <v>32809</v>
      </c>
      <c r="I10987" t="s">
        <v>184</v>
      </c>
      <c r="J10987" t="s">
        <v>30</v>
      </c>
      <c r="K10987" t="str">
        <f>"27006"</f>
        <v>27006</v>
      </c>
      <c r="M10987" t="s">
        <v>17861</v>
      </c>
      <c r="N10987" t="str">
        <f>"9/20/2017 9:15:00 AM"</f>
        <v>9/20/2017 9:15:00 AM</v>
      </c>
      <c r="O10987" t="s">
        <v>32807</v>
      </c>
      <c r="T10987" t="s">
        <v>32808</v>
      </c>
    </row>
    <row r="10988" spans="1:20" x14ac:dyDescent="0.25">
      <c r="A10988" t="str">
        <f>"3076918"</f>
        <v>3076918</v>
      </c>
      <c r="B10988" t="s">
        <v>32810</v>
      </c>
      <c r="C10988" t="str">
        <f>"26928000"</f>
        <v>26928000</v>
      </c>
      <c r="D10988" t="s">
        <v>32811</v>
      </c>
      <c r="F10988" t="s">
        <v>32812</v>
      </c>
      <c r="I10988" t="s">
        <v>184</v>
      </c>
      <c r="J10988" t="s">
        <v>30</v>
      </c>
      <c r="K10988" t="s">
        <v>32813</v>
      </c>
      <c r="M10988" t="s">
        <v>25625</v>
      </c>
      <c r="N10988" t="str">
        <f>"9/29/2017 9:08:00 AM"</f>
        <v>9/29/2017 9:08:00 AM</v>
      </c>
      <c r="O10988" t="s">
        <v>32811</v>
      </c>
    </row>
    <row r="10989" spans="1:20" x14ac:dyDescent="0.25">
      <c r="A10989" t="str">
        <f>"3040725"</f>
        <v>3040725</v>
      </c>
      <c r="B10989" t="s">
        <v>32814</v>
      </c>
      <c r="C10989" t="str">
        <f>"26928000"</f>
        <v>26928000</v>
      </c>
      <c r="D10989" t="s">
        <v>32811</v>
      </c>
      <c r="F10989" t="s">
        <v>32812</v>
      </c>
      <c r="I10989" t="s">
        <v>184</v>
      </c>
      <c r="J10989" t="s">
        <v>30</v>
      </c>
      <c r="K10989" t="s">
        <v>32813</v>
      </c>
      <c r="M10989" t="s">
        <v>25625</v>
      </c>
      <c r="N10989" t="str">
        <f>"9/29/2017 9:08:00 AM"</f>
        <v>9/29/2017 9:08:00 AM</v>
      </c>
      <c r="O10989" t="s">
        <v>32811</v>
      </c>
    </row>
    <row r="10990" spans="1:20" x14ac:dyDescent="0.25">
      <c r="A10990" t="str">
        <f>"3040430"</f>
        <v>3040430</v>
      </c>
      <c r="B10990" t="s">
        <v>32815</v>
      </c>
      <c r="C10990" t="str">
        <f>"26928000"</f>
        <v>26928000</v>
      </c>
      <c r="D10990" t="s">
        <v>32811</v>
      </c>
      <c r="F10990" t="s">
        <v>32812</v>
      </c>
      <c r="I10990" t="s">
        <v>184</v>
      </c>
      <c r="J10990" t="s">
        <v>30</v>
      </c>
      <c r="K10990" t="s">
        <v>32813</v>
      </c>
      <c r="M10990" t="s">
        <v>25625</v>
      </c>
      <c r="N10990" t="str">
        <f>"9/29/2017 9:08:00 AM"</f>
        <v>9/29/2017 9:08:00 AM</v>
      </c>
      <c r="O10990" t="s">
        <v>32811</v>
      </c>
    </row>
    <row r="10991" spans="1:20" x14ac:dyDescent="0.25">
      <c r="A10991" t="str">
        <f>"3040310"</f>
        <v>3040310</v>
      </c>
      <c r="B10991" t="s">
        <v>32816</v>
      </c>
      <c r="C10991" t="str">
        <f>"26928000"</f>
        <v>26928000</v>
      </c>
      <c r="D10991" t="s">
        <v>32811</v>
      </c>
      <c r="F10991" t="s">
        <v>32812</v>
      </c>
      <c r="I10991" t="s">
        <v>184</v>
      </c>
      <c r="J10991" t="s">
        <v>30</v>
      </c>
      <c r="K10991" t="s">
        <v>32813</v>
      </c>
      <c r="M10991" t="s">
        <v>25625</v>
      </c>
      <c r="N10991" t="str">
        <f>"9/29/2017 9:08:00 AM"</f>
        <v>9/29/2017 9:08:00 AM</v>
      </c>
      <c r="O10991" t="s">
        <v>32811</v>
      </c>
    </row>
    <row r="10992" spans="1:20" x14ac:dyDescent="0.25">
      <c r="A10992" t="str">
        <f>"3040278"</f>
        <v>3040278</v>
      </c>
      <c r="B10992" t="s">
        <v>32817</v>
      </c>
      <c r="C10992" t="str">
        <f>"26928000"</f>
        <v>26928000</v>
      </c>
      <c r="D10992" t="s">
        <v>32811</v>
      </c>
      <c r="F10992" t="s">
        <v>32812</v>
      </c>
      <c r="I10992" t="s">
        <v>184</v>
      </c>
      <c r="J10992" t="s">
        <v>30</v>
      </c>
      <c r="K10992" t="s">
        <v>32813</v>
      </c>
      <c r="M10992" t="s">
        <v>25625</v>
      </c>
      <c r="N10992" t="str">
        <f>"9/29/2017 9:08:00 AM"</f>
        <v>9/29/2017 9:08:00 AM</v>
      </c>
      <c r="O10992" t="s">
        <v>32811</v>
      </c>
    </row>
    <row r="10993" spans="1:20" x14ac:dyDescent="0.25">
      <c r="A10993" t="str">
        <f>"3047954"</f>
        <v>3047954</v>
      </c>
      <c r="B10993" t="s">
        <v>32818</v>
      </c>
      <c r="C10993" t="str">
        <f>"8308626"</f>
        <v>8308626</v>
      </c>
      <c r="D10993" t="s">
        <v>32819</v>
      </c>
      <c r="E10993" t="s">
        <v>32820</v>
      </c>
      <c r="F10993" t="s">
        <v>32821</v>
      </c>
      <c r="I10993" t="s">
        <v>184</v>
      </c>
      <c r="J10993" t="s">
        <v>30</v>
      </c>
      <c r="K10993" t="s">
        <v>32822</v>
      </c>
      <c r="M10993" t="s">
        <v>17861</v>
      </c>
      <c r="N10993" t="str">
        <f>"9/29/2017 2:11:00 PM"</f>
        <v>9/29/2017 2:11:00 PM</v>
      </c>
      <c r="O10993" t="s">
        <v>32819</v>
      </c>
      <c r="T10993" t="s">
        <v>32820</v>
      </c>
    </row>
    <row r="10994" spans="1:20" x14ac:dyDescent="0.25">
      <c r="A10994" t="str">
        <f>"3040326"</f>
        <v>3040326</v>
      </c>
      <c r="B10994" t="s">
        <v>32823</v>
      </c>
      <c r="C10994" t="str">
        <f>"8308627"</f>
        <v>8308627</v>
      </c>
      <c r="D10994" t="s">
        <v>16910</v>
      </c>
      <c r="E10994" t="s">
        <v>32824</v>
      </c>
      <c r="F10994" t="s">
        <v>32825</v>
      </c>
      <c r="I10994" t="s">
        <v>184</v>
      </c>
      <c r="J10994" t="s">
        <v>30</v>
      </c>
      <c r="K10994" t="s">
        <v>1927</v>
      </c>
      <c r="M10994" t="s">
        <v>17861</v>
      </c>
      <c r="N10994" t="str">
        <f>"9/29/2017 2:13:00 PM"</f>
        <v>9/29/2017 2:13:00 PM</v>
      </c>
      <c r="O10994" t="s">
        <v>16910</v>
      </c>
      <c r="T10994" t="s">
        <v>32824</v>
      </c>
    </row>
    <row r="10995" spans="1:20" x14ac:dyDescent="0.25">
      <c r="A10995" t="str">
        <f>"3061770"</f>
        <v>3061770</v>
      </c>
      <c r="B10995" t="s">
        <v>32826</v>
      </c>
      <c r="C10995" t="str">
        <f>"8308573"</f>
        <v>8308573</v>
      </c>
      <c r="D10995" t="s">
        <v>32827</v>
      </c>
      <c r="E10995" t="s">
        <v>32828</v>
      </c>
      <c r="F10995" t="s">
        <v>32829</v>
      </c>
      <c r="I10995" t="s">
        <v>184</v>
      </c>
      <c r="J10995" t="s">
        <v>30</v>
      </c>
      <c r="K10995" t="s">
        <v>3960</v>
      </c>
      <c r="M10995" t="s">
        <v>17861</v>
      </c>
      <c r="N10995" t="str">
        <f>"9/20/2017 9:58:00 AM"</f>
        <v>9/20/2017 9:58:00 AM</v>
      </c>
      <c r="O10995" t="s">
        <v>32827</v>
      </c>
      <c r="T10995" t="s">
        <v>32828</v>
      </c>
    </row>
    <row r="10996" spans="1:20" x14ac:dyDescent="0.25">
      <c r="A10996" t="str">
        <f>"3044880"</f>
        <v>3044880</v>
      </c>
      <c r="B10996" t="s">
        <v>32830</v>
      </c>
      <c r="C10996" t="str">
        <f>"8308574"</f>
        <v>8308574</v>
      </c>
      <c r="D10996" t="s">
        <v>32831</v>
      </c>
      <c r="E10996" t="s">
        <v>32832</v>
      </c>
      <c r="F10996" t="s">
        <v>32833</v>
      </c>
      <c r="I10996" t="s">
        <v>184</v>
      </c>
      <c r="J10996" t="s">
        <v>30</v>
      </c>
      <c r="K10996" t="s">
        <v>32834</v>
      </c>
      <c r="M10996" t="s">
        <v>17861</v>
      </c>
      <c r="N10996" t="str">
        <f>"9/20/2017 10:05:00 AM"</f>
        <v>9/20/2017 10:05:00 AM</v>
      </c>
      <c r="O10996" t="s">
        <v>32831</v>
      </c>
      <c r="T10996" t="s">
        <v>32832</v>
      </c>
    </row>
    <row r="10997" spans="1:20" x14ac:dyDescent="0.25">
      <c r="A10997" t="str">
        <f>"3060428"</f>
        <v>3060428</v>
      </c>
      <c r="B10997" t="s">
        <v>32835</v>
      </c>
      <c r="C10997" t="str">
        <f>"8308575"</f>
        <v>8308575</v>
      </c>
      <c r="D10997" t="s">
        <v>32836</v>
      </c>
      <c r="F10997" t="s">
        <v>32837</v>
      </c>
      <c r="I10997" t="s">
        <v>184</v>
      </c>
      <c r="J10997" t="s">
        <v>30</v>
      </c>
      <c r="K10997" t="s">
        <v>3728</v>
      </c>
      <c r="M10997" t="s">
        <v>17861</v>
      </c>
      <c r="N10997" t="str">
        <f>"9/20/2017 10:07:00 AM"</f>
        <v>9/20/2017 10:07:00 AM</v>
      </c>
      <c r="O10997" t="s">
        <v>32836</v>
      </c>
    </row>
    <row r="10998" spans="1:20" x14ac:dyDescent="0.25">
      <c r="A10998" t="str">
        <f>"3041502"</f>
        <v>3041502</v>
      </c>
      <c r="B10998" t="s">
        <v>32838</v>
      </c>
      <c r="C10998" t="str">
        <f>"8308579"</f>
        <v>8308579</v>
      </c>
      <c r="D10998" t="s">
        <v>32839</v>
      </c>
      <c r="E10998" t="s">
        <v>32840</v>
      </c>
      <c r="F10998" t="s">
        <v>32841</v>
      </c>
      <c r="I10998" t="s">
        <v>184</v>
      </c>
      <c r="J10998" t="s">
        <v>30</v>
      </c>
      <c r="K10998" t="s">
        <v>32842</v>
      </c>
      <c r="M10998" t="s">
        <v>17861</v>
      </c>
      <c r="N10998" t="str">
        <f>"9/20/2017 10:48:00 AM"</f>
        <v>9/20/2017 10:48:00 AM</v>
      </c>
      <c r="O10998" t="s">
        <v>32839</v>
      </c>
      <c r="T10998" t="s">
        <v>32840</v>
      </c>
    </row>
    <row r="10999" spans="1:20" x14ac:dyDescent="0.25">
      <c r="A10999" t="str">
        <f>"3046522"</f>
        <v>3046522</v>
      </c>
      <c r="B10999" t="s">
        <v>32843</v>
      </c>
      <c r="C10999" t="str">
        <f t="shared" ref="C10999:C11012" si="187">"21906000"</f>
        <v>21906000</v>
      </c>
      <c r="D10999" t="s">
        <v>32844</v>
      </c>
      <c r="E10999" t="s">
        <v>32845</v>
      </c>
      <c r="F10999" t="s">
        <v>32846</v>
      </c>
      <c r="I10999" t="s">
        <v>3196</v>
      </c>
      <c r="J10999" t="s">
        <v>30</v>
      </c>
      <c r="K10999" t="s">
        <v>32847</v>
      </c>
      <c r="L10999" t="s">
        <v>2497</v>
      </c>
      <c r="M10999" t="s">
        <v>22859</v>
      </c>
      <c r="N10999" t="str">
        <f t="shared" ref="N10999:N11012" si="188">"10/2/2017 11:09:00 AM"</f>
        <v>10/2/2017 11:09:00 AM</v>
      </c>
      <c r="O10999" t="s">
        <v>32844</v>
      </c>
      <c r="T10999" t="s">
        <v>32845</v>
      </c>
    </row>
    <row r="11000" spans="1:20" x14ac:dyDescent="0.25">
      <c r="A11000" t="str">
        <f>"3046523"</f>
        <v>3046523</v>
      </c>
      <c r="B11000" t="s">
        <v>32848</v>
      </c>
      <c r="C11000" t="str">
        <f t="shared" si="187"/>
        <v>21906000</v>
      </c>
      <c r="D11000" t="s">
        <v>32844</v>
      </c>
      <c r="E11000" t="s">
        <v>32845</v>
      </c>
      <c r="F11000" t="s">
        <v>32846</v>
      </c>
      <c r="I11000" t="s">
        <v>3196</v>
      </c>
      <c r="J11000" t="s">
        <v>30</v>
      </c>
      <c r="K11000" t="s">
        <v>32847</v>
      </c>
      <c r="L11000" t="s">
        <v>2497</v>
      </c>
      <c r="M11000" t="s">
        <v>22859</v>
      </c>
      <c r="N11000" t="str">
        <f t="shared" si="188"/>
        <v>10/2/2017 11:09:00 AM</v>
      </c>
      <c r="O11000" t="s">
        <v>32844</v>
      </c>
      <c r="T11000" t="s">
        <v>32845</v>
      </c>
    </row>
    <row r="11001" spans="1:20" x14ac:dyDescent="0.25">
      <c r="A11001" t="str">
        <f>"3049576"</f>
        <v>3049576</v>
      </c>
      <c r="B11001" t="s">
        <v>32849</v>
      </c>
      <c r="C11001" t="str">
        <f t="shared" si="187"/>
        <v>21906000</v>
      </c>
      <c r="D11001" t="s">
        <v>32844</v>
      </c>
      <c r="E11001" t="s">
        <v>32845</v>
      </c>
      <c r="F11001" t="s">
        <v>32846</v>
      </c>
      <c r="I11001" t="s">
        <v>3196</v>
      </c>
      <c r="J11001" t="s">
        <v>30</v>
      </c>
      <c r="K11001" t="s">
        <v>32847</v>
      </c>
      <c r="L11001" t="s">
        <v>2497</v>
      </c>
      <c r="M11001" t="s">
        <v>22859</v>
      </c>
      <c r="N11001" t="str">
        <f t="shared" si="188"/>
        <v>10/2/2017 11:09:00 AM</v>
      </c>
      <c r="O11001" t="s">
        <v>32844</v>
      </c>
      <c r="T11001" t="s">
        <v>32845</v>
      </c>
    </row>
    <row r="11002" spans="1:20" x14ac:dyDescent="0.25">
      <c r="A11002" t="str">
        <f>"3052105"</f>
        <v>3052105</v>
      </c>
      <c r="B11002" t="s">
        <v>32850</v>
      </c>
      <c r="C11002" t="str">
        <f t="shared" si="187"/>
        <v>21906000</v>
      </c>
      <c r="D11002" t="s">
        <v>32844</v>
      </c>
      <c r="E11002" t="s">
        <v>32845</v>
      </c>
      <c r="F11002" t="s">
        <v>32846</v>
      </c>
      <c r="I11002" t="s">
        <v>3196</v>
      </c>
      <c r="J11002" t="s">
        <v>30</v>
      </c>
      <c r="K11002" t="s">
        <v>32847</v>
      </c>
      <c r="L11002" t="s">
        <v>2497</v>
      </c>
      <c r="M11002" t="s">
        <v>22859</v>
      </c>
      <c r="N11002" t="str">
        <f t="shared" si="188"/>
        <v>10/2/2017 11:09:00 AM</v>
      </c>
      <c r="O11002" t="s">
        <v>32844</v>
      </c>
      <c r="T11002" t="s">
        <v>32845</v>
      </c>
    </row>
    <row r="11003" spans="1:20" x14ac:dyDescent="0.25">
      <c r="A11003" t="str">
        <f>"3053196"</f>
        <v>3053196</v>
      </c>
      <c r="B11003" t="s">
        <v>32851</v>
      </c>
      <c r="C11003" t="str">
        <f t="shared" si="187"/>
        <v>21906000</v>
      </c>
      <c r="D11003" t="s">
        <v>32844</v>
      </c>
      <c r="E11003" t="s">
        <v>32845</v>
      </c>
      <c r="F11003" t="s">
        <v>32846</v>
      </c>
      <c r="I11003" t="s">
        <v>3196</v>
      </c>
      <c r="J11003" t="s">
        <v>30</v>
      </c>
      <c r="K11003" t="s">
        <v>32847</v>
      </c>
      <c r="L11003" t="s">
        <v>2497</v>
      </c>
      <c r="M11003" t="s">
        <v>22859</v>
      </c>
      <c r="N11003" t="str">
        <f t="shared" si="188"/>
        <v>10/2/2017 11:09:00 AM</v>
      </c>
      <c r="O11003" t="s">
        <v>32844</v>
      </c>
      <c r="T11003" t="s">
        <v>32845</v>
      </c>
    </row>
    <row r="11004" spans="1:20" x14ac:dyDescent="0.25">
      <c r="A11004" t="str">
        <f>"3053195"</f>
        <v>3053195</v>
      </c>
      <c r="B11004" t="s">
        <v>32852</v>
      </c>
      <c r="C11004" t="str">
        <f t="shared" si="187"/>
        <v>21906000</v>
      </c>
      <c r="D11004" t="s">
        <v>32844</v>
      </c>
      <c r="E11004" t="s">
        <v>32845</v>
      </c>
      <c r="F11004" t="s">
        <v>32846</v>
      </c>
      <c r="I11004" t="s">
        <v>3196</v>
      </c>
      <c r="J11004" t="s">
        <v>30</v>
      </c>
      <c r="K11004" t="s">
        <v>32847</v>
      </c>
      <c r="L11004" t="s">
        <v>2497</v>
      </c>
      <c r="M11004" t="s">
        <v>22859</v>
      </c>
      <c r="N11004" t="str">
        <f t="shared" si="188"/>
        <v>10/2/2017 11:09:00 AM</v>
      </c>
      <c r="O11004" t="s">
        <v>32844</v>
      </c>
      <c r="T11004" t="s">
        <v>32845</v>
      </c>
    </row>
    <row r="11005" spans="1:20" x14ac:dyDescent="0.25">
      <c r="A11005" t="str">
        <f>"3053284"</f>
        <v>3053284</v>
      </c>
      <c r="B11005" t="s">
        <v>32853</v>
      </c>
      <c r="C11005" t="str">
        <f t="shared" si="187"/>
        <v>21906000</v>
      </c>
      <c r="D11005" t="s">
        <v>32844</v>
      </c>
      <c r="E11005" t="s">
        <v>32845</v>
      </c>
      <c r="F11005" t="s">
        <v>32846</v>
      </c>
      <c r="I11005" t="s">
        <v>3196</v>
      </c>
      <c r="J11005" t="s">
        <v>30</v>
      </c>
      <c r="K11005" t="s">
        <v>32847</v>
      </c>
      <c r="L11005" t="s">
        <v>2497</v>
      </c>
      <c r="M11005" t="s">
        <v>22859</v>
      </c>
      <c r="N11005" t="str">
        <f t="shared" si="188"/>
        <v>10/2/2017 11:09:00 AM</v>
      </c>
      <c r="O11005" t="s">
        <v>32844</v>
      </c>
      <c r="T11005" t="s">
        <v>32845</v>
      </c>
    </row>
    <row r="11006" spans="1:20" x14ac:dyDescent="0.25">
      <c r="A11006" t="str">
        <f>"3053207"</f>
        <v>3053207</v>
      </c>
      <c r="B11006" t="s">
        <v>32854</v>
      </c>
      <c r="C11006" t="str">
        <f t="shared" si="187"/>
        <v>21906000</v>
      </c>
      <c r="D11006" t="s">
        <v>32844</v>
      </c>
      <c r="E11006" t="s">
        <v>32845</v>
      </c>
      <c r="F11006" t="s">
        <v>32846</v>
      </c>
      <c r="I11006" t="s">
        <v>3196</v>
      </c>
      <c r="J11006" t="s">
        <v>30</v>
      </c>
      <c r="K11006" t="s">
        <v>32847</v>
      </c>
      <c r="L11006" t="s">
        <v>2497</v>
      </c>
      <c r="M11006" t="s">
        <v>22859</v>
      </c>
      <c r="N11006" t="str">
        <f t="shared" si="188"/>
        <v>10/2/2017 11:09:00 AM</v>
      </c>
      <c r="O11006" t="s">
        <v>32844</v>
      </c>
      <c r="T11006" t="s">
        <v>32845</v>
      </c>
    </row>
    <row r="11007" spans="1:20" x14ac:dyDescent="0.25">
      <c r="A11007" t="str">
        <f>"3053343"</f>
        <v>3053343</v>
      </c>
      <c r="B11007" t="s">
        <v>32855</v>
      </c>
      <c r="C11007" t="str">
        <f t="shared" si="187"/>
        <v>21906000</v>
      </c>
      <c r="D11007" t="s">
        <v>32844</v>
      </c>
      <c r="E11007" t="s">
        <v>32845</v>
      </c>
      <c r="F11007" t="s">
        <v>32846</v>
      </c>
      <c r="I11007" t="s">
        <v>3196</v>
      </c>
      <c r="J11007" t="s">
        <v>30</v>
      </c>
      <c r="K11007" t="s">
        <v>32847</v>
      </c>
      <c r="L11007" t="s">
        <v>2497</v>
      </c>
      <c r="M11007" t="s">
        <v>22859</v>
      </c>
      <c r="N11007" t="str">
        <f t="shared" si="188"/>
        <v>10/2/2017 11:09:00 AM</v>
      </c>
      <c r="O11007" t="s">
        <v>32844</v>
      </c>
      <c r="T11007" t="s">
        <v>32845</v>
      </c>
    </row>
    <row r="11008" spans="1:20" x14ac:dyDescent="0.25">
      <c r="A11008" t="str">
        <f>"3053296"</f>
        <v>3053296</v>
      </c>
      <c r="B11008" t="s">
        <v>32856</v>
      </c>
      <c r="C11008" t="str">
        <f t="shared" si="187"/>
        <v>21906000</v>
      </c>
      <c r="D11008" t="s">
        <v>32844</v>
      </c>
      <c r="E11008" t="s">
        <v>32845</v>
      </c>
      <c r="F11008" t="s">
        <v>32846</v>
      </c>
      <c r="I11008" t="s">
        <v>3196</v>
      </c>
      <c r="J11008" t="s">
        <v>30</v>
      </c>
      <c r="K11008" t="s">
        <v>32847</v>
      </c>
      <c r="L11008" t="s">
        <v>2497</v>
      </c>
      <c r="M11008" t="s">
        <v>22859</v>
      </c>
      <c r="N11008" t="str">
        <f t="shared" si="188"/>
        <v>10/2/2017 11:09:00 AM</v>
      </c>
      <c r="O11008" t="s">
        <v>32844</v>
      </c>
      <c r="T11008" t="s">
        <v>32845</v>
      </c>
    </row>
    <row r="11009" spans="1:20" x14ac:dyDescent="0.25">
      <c r="A11009" t="str">
        <f>"3053292"</f>
        <v>3053292</v>
      </c>
      <c r="B11009" t="s">
        <v>32857</v>
      </c>
      <c r="C11009" t="str">
        <f t="shared" si="187"/>
        <v>21906000</v>
      </c>
      <c r="D11009" t="s">
        <v>32844</v>
      </c>
      <c r="E11009" t="s">
        <v>32845</v>
      </c>
      <c r="F11009" t="s">
        <v>32846</v>
      </c>
      <c r="I11009" t="s">
        <v>3196</v>
      </c>
      <c r="J11009" t="s">
        <v>30</v>
      </c>
      <c r="K11009" t="s">
        <v>32847</v>
      </c>
      <c r="L11009" t="s">
        <v>2497</v>
      </c>
      <c r="M11009" t="s">
        <v>22859</v>
      </c>
      <c r="N11009" t="str">
        <f t="shared" si="188"/>
        <v>10/2/2017 11:09:00 AM</v>
      </c>
      <c r="O11009" t="s">
        <v>32844</v>
      </c>
      <c r="T11009" t="s">
        <v>32845</v>
      </c>
    </row>
    <row r="11010" spans="1:20" x14ac:dyDescent="0.25">
      <c r="A11010" t="str">
        <f>"3053312"</f>
        <v>3053312</v>
      </c>
      <c r="B11010" t="s">
        <v>32858</v>
      </c>
      <c r="C11010" t="str">
        <f t="shared" si="187"/>
        <v>21906000</v>
      </c>
      <c r="D11010" t="s">
        <v>32844</v>
      </c>
      <c r="E11010" t="s">
        <v>32845</v>
      </c>
      <c r="F11010" t="s">
        <v>32846</v>
      </c>
      <c r="I11010" t="s">
        <v>3196</v>
      </c>
      <c r="J11010" t="s">
        <v>30</v>
      </c>
      <c r="K11010" t="s">
        <v>32847</v>
      </c>
      <c r="L11010" t="s">
        <v>2497</v>
      </c>
      <c r="M11010" t="s">
        <v>22859</v>
      </c>
      <c r="N11010" t="str">
        <f t="shared" si="188"/>
        <v>10/2/2017 11:09:00 AM</v>
      </c>
      <c r="O11010" t="s">
        <v>32844</v>
      </c>
      <c r="T11010" t="s">
        <v>32845</v>
      </c>
    </row>
    <row r="11011" spans="1:20" x14ac:dyDescent="0.25">
      <c r="A11011" t="str">
        <f>"3053313"</f>
        <v>3053313</v>
      </c>
      <c r="B11011" t="s">
        <v>32859</v>
      </c>
      <c r="C11011" t="str">
        <f t="shared" si="187"/>
        <v>21906000</v>
      </c>
      <c r="D11011" t="s">
        <v>32844</v>
      </c>
      <c r="E11011" t="s">
        <v>32845</v>
      </c>
      <c r="F11011" t="s">
        <v>32846</v>
      </c>
      <c r="I11011" t="s">
        <v>3196</v>
      </c>
      <c r="J11011" t="s">
        <v>30</v>
      </c>
      <c r="K11011" t="s">
        <v>32847</v>
      </c>
      <c r="L11011" t="s">
        <v>2497</v>
      </c>
      <c r="M11011" t="s">
        <v>22859</v>
      </c>
      <c r="N11011" t="str">
        <f t="shared" si="188"/>
        <v>10/2/2017 11:09:00 AM</v>
      </c>
      <c r="O11011" t="s">
        <v>32844</v>
      </c>
      <c r="T11011" t="s">
        <v>32845</v>
      </c>
    </row>
    <row r="11012" spans="1:20" x14ac:dyDescent="0.25">
      <c r="A11012" t="str">
        <f>"3053359"</f>
        <v>3053359</v>
      </c>
      <c r="B11012" t="s">
        <v>32860</v>
      </c>
      <c r="C11012" t="str">
        <f t="shared" si="187"/>
        <v>21906000</v>
      </c>
      <c r="D11012" t="s">
        <v>32844</v>
      </c>
      <c r="E11012" t="s">
        <v>32845</v>
      </c>
      <c r="F11012" t="s">
        <v>32846</v>
      </c>
      <c r="I11012" t="s">
        <v>3196</v>
      </c>
      <c r="J11012" t="s">
        <v>30</v>
      </c>
      <c r="K11012" t="s">
        <v>32847</v>
      </c>
      <c r="L11012" t="s">
        <v>2497</v>
      </c>
      <c r="M11012" t="s">
        <v>22859</v>
      </c>
      <c r="N11012" t="str">
        <f t="shared" si="188"/>
        <v>10/2/2017 11:09:00 AM</v>
      </c>
      <c r="O11012" t="s">
        <v>32844</v>
      </c>
      <c r="T11012" t="s">
        <v>32845</v>
      </c>
    </row>
    <row r="11013" spans="1:20" x14ac:dyDescent="0.25">
      <c r="A11013" t="str">
        <f>"3053157"</f>
        <v>3053157</v>
      </c>
      <c r="B11013" t="s">
        <v>32861</v>
      </c>
      <c r="C11013" t="str">
        <f>"8308588"</f>
        <v>8308588</v>
      </c>
      <c r="D11013" t="s">
        <v>32862</v>
      </c>
      <c r="E11013" t="s">
        <v>32863</v>
      </c>
      <c r="F11013" t="s">
        <v>32864</v>
      </c>
      <c r="I11013" t="s">
        <v>29</v>
      </c>
      <c r="J11013" t="s">
        <v>30</v>
      </c>
      <c r="K11013" t="s">
        <v>13814</v>
      </c>
      <c r="M11013" t="s">
        <v>17861</v>
      </c>
      <c r="N11013" t="str">
        <f>"9/21/2017 9:25:00 AM"</f>
        <v>9/21/2017 9:25:00 AM</v>
      </c>
      <c r="O11013" t="s">
        <v>32862</v>
      </c>
      <c r="T11013" t="s">
        <v>32863</v>
      </c>
    </row>
    <row r="11014" spans="1:20" x14ac:dyDescent="0.25">
      <c r="A11014" t="str">
        <f>"3043377"</f>
        <v>3043377</v>
      </c>
      <c r="B11014" t="s">
        <v>32865</v>
      </c>
      <c r="C11014" t="str">
        <f>"8308589"</f>
        <v>8308589</v>
      </c>
      <c r="D11014" t="s">
        <v>32866</v>
      </c>
      <c r="F11014" t="s">
        <v>32867</v>
      </c>
      <c r="I11014" t="s">
        <v>29</v>
      </c>
      <c r="J11014" t="s">
        <v>30</v>
      </c>
      <c r="K11014" t="s">
        <v>4538</v>
      </c>
      <c r="M11014" t="s">
        <v>17861</v>
      </c>
      <c r="N11014" t="str">
        <f>"9/21/2017 10:55:00 AM"</f>
        <v>9/21/2017 10:55:00 AM</v>
      </c>
      <c r="O11014" t="s">
        <v>32866</v>
      </c>
    </row>
    <row r="11015" spans="1:20" x14ac:dyDescent="0.25">
      <c r="A11015" t="str">
        <f>"3038804"</f>
        <v>3038804</v>
      </c>
      <c r="B11015" t="s">
        <v>32868</v>
      </c>
      <c r="C11015" t="str">
        <f>"8308591"</f>
        <v>8308591</v>
      </c>
      <c r="D11015" t="s">
        <v>32869</v>
      </c>
      <c r="E11015" t="s">
        <v>32870</v>
      </c>
      <c r="F11015" t="s">
        <v>32871</v>
      </c>
      <c r="I11015" t="s">
        <v>29</v>
      </c>
      <c r="J11015" t="s">
        <v>30</v>
      </c>
      <c r="K11015" t="s">
        <v>32872</v>
      </c>
      <c r="M11015" t="s">
        <v>17861</v>
      </c>
      <c r="N11015" t="str">
        <f>"9/21/2017 2:22:00 PM"</f>
        <v>9/21/2017 2:22:00 PM</v>
      </c>
      <c r="O11015" t="s">
        <v>32869</v>
      </c>
      <c r="T11015" t="s">
        <v>32870</v>
      </c>
    </row>
    <row r="11016" spans="1:20" x14ac:dyDescent="0.25">
      <c r="A11016" t="str">
        <f>"3059830"</f>
        <v>3059830</v>
      </c>
      <c r="B11016" t="s">
        <v>32873</v>
      </c>
      <c r="C11016" t="str">
        <f>"8308544"</f>
        <v>8308544</v>
      </c>
      <c r="D11016" t="s">
        <v>32874</v>
      </c>
      <c r="F11016" t="s">
        <v>32875</v>
      </c>
      <c r="I11016" t="s">
        <v>29</v>
      </c>
      <c r="J11016" t="s">
        <v>30</v>
      </c>
      <c r="K11016" t="str">
        <f>"27028"</f>
        <v>27028</v>
      </c>
      <c r="M11016" t="s">
        <v>17861</v>
      </c>
      <c r="N11016" t="str">
        <f>"9/18/2017 2:29:00 PM"</f>
        <v>9/18/2017 2:29:00 PM</v>
      </c>
      <c r="O11016" t="s">
        <v>32874</v>
      </c>
    </row>
    <row r="11017" spans="1:20" x14ac:dyDescent="0.25">
      <c r="A11017" t="str">
        <f>"3059897"</f>
        <v>3059897</v>
      </c>
      <c r="B11017" t="s">
        <v>32876</v>
      </c>
      <c r="C11017" t="str">
        <f>"8308599"</f>
        <v>8308599</v>
      </c>
      <c r="D11017" t="s">
        <v>32877</v>
      </c>
      <c r="F11017" t="s">
        <v>32878</v>
      </c>
      <c r="I11017" t="s">
        <v>29</v>
      </c>
      <c r="J11017" t="s">
        <v>30</v>
      </c>
      <c r="K11017" t="s">
        <v>14765</v>
      </c>
      <c r="M11017" t="s">
        <v>17861</v>
      </c>
      <c r="N11017" t="str">
        <f>"9/25/2017 3:06:00 PM"</f>
        <v>9/25/2017 3:06:00 PM</v>
      </c>
      <c r="O11017" t="s">
        <v>32877</v>
      </c>
    </row>
    <row r="11018" spans="1:20" x14ac:dyDescent="0.25">
      <c r="A11018" t="str">
        <f>"3041399"</f>
        <v>3041399</v>
      </c>
      <c r="B11018" t="s">
        <v>32879</v>
      </c>
      <c r="C11018" t="str">
        <f>"8308649"</f>
        <v>8308649</v>
      </c>
      <c r="D11018" t="s">
        <v>32880</v>
      </c>
      <c r="E11018" t="s">
        <v>32881</v>
      </c>
      <c r="F11018" t="s">
        <v>32882</v>
      </c>
      <c r="I11018" t="s">
        <v>2071</v>
      </c>
      <c r="J11018" t="s">
        <v>30</v>
      </c>
      <c r="K11018" t="str">
        <f>"27006"</f>
        <v>27006</v>
      </c>
      <c r="M11018" t="s">
        <v>17861</v>
      </c>
      <c r="N11018" t="str">
        <f>"10/5/2017 12:11:00 PM"</f>
        <v>10/5/2017 12:11:00 PM</v>
      </c>
      <c r="O11018" t="s">
        <v>32880</v>
      </c>
      <c r="T11018" t="s">
        <v>32881</v>
      </c>
    </row>
    <row r="11019" spans="1:20" x14ac:dyDescent="0.25">
      <c r="A11019" t="str">
        <f>"3042330"</f>
        <v>3042330</v>
      </c>
      <c r="B11019" t="s">
        <v>32883</v>
      </c>
      <c r="C11019" t="str">
        <f>"8308600"</f>
        <v>8308600</v>
      </c>
      <c r="D11019" t="s">
        <v>32884</v>
      </c>
      <c r="F11019" t="s">
        <v>32885</v>
      </c>
      <c r="I11019" t="s">
        <v>29</v>
      </c>
      <c r="J11019" t="s">
        <v>30</v>
      </c>
      <c r="K11019" t="s">
        <v>2648</v>
      </c>
      <c r="M11019" t="s">
        <v>17861</v>
      </c>
      <c r="N11019" t="str">
        <f>"9/25/2017 3:08:00 PM"</f>
        <v>9/25/2017 3:08:00 PM</v>
      </c>
      <c r="O11019" t="s">
        <v>32884</v>
      </c>
    </row>
    <row r="11020" spans="1:20" x14ac:dyDescent="0.25">
      <c r="A11020" t="str">
        <f>"3062268"</f>
        <v>3062268</v>
      </c>
      <c r="B11020" t="s">
        <v>32886</v>
      </c>
      <c r="C11020" t="str">
        <f>"8308604"</f>
        <v>8308604</v>
      </c>
      <c r="D11020" t="s">
        <v>24165</v>
      </c>
      <c r="E11020" t="s">
        <v>32887</v>
      </c>
      <c r="F11020" t="s">
        <v>32888</v>
      </c>
      <c r="I11020" t="s">
        <v>184</v>
      </c>
      <c r="J11020" t="s">
        <v>30</v>
      </c>
      <c r="K11020" t="s">
        <v>32889</v>
      </c>
      <c r="M11020" t="s">
        <v>17861</v>
      </c>
      <c r="N11020" t="str">
        <f>"9/25/2017 3:22:00 PM"</f>
        <v>9/25/2017 3:22:00 PM</v>
      </c>
      <c r="O11020" t="s">
        <v>24165</v>
      </c>
      <c r="T11020" t="s">
        <v>32887</v>
      </c>
    </row>
    <row r="11021" spans="1:20" x14ac:dyDescent="0.25">
      <c r="A11021" t="str">
        <f>"3049846"</f>
        <v>3049846</v>
      </c>
      <c r="B11021" t="s">
        <v>32890</v>
      </c>
      <c r="C11021" t="str">
        <f>"8308608"</f>
        <v>8308608</v>
      </c>
      <c r="D11021" t="s">
        <v>32891</v>
      </c>
      <c r="E11021" t="s">
        <v>32892</v>
      </c>
      <c r="F11021" t="s">
        <v>32893</v>
      </c>
      <c r="I11021" t="s">
        <v>29</v>
      </c>
      <c r="J11021" t="s">
        <v>30</v>
      </c>
      <c r="K11021" t="s">
        <v>9710</v>
      </c>
      <c r="M11021" t="s">
        <v>17861</v>
      </c>
      <c r="N11021" t="str">
        <f>"9/25/2017 3:55:00 PM"</f>
        <v>9/25/2017 3:55:00 PM</v>
      </c>
      <c r="O11021" t="s">
        <v>32891</v>
      </c>
      <c r="T11021" t="s">
        <v>32892</v>
      </c>
    </row>
    <row r="11022" spans="1:20" x14ac:dyDescent="0.25">
      <c r="A11022" t="str">
        <f>"3044196"</f>
        <v>3044196</v>
      </c>
      <c r="B11022" t="s">
        <v>32894</v>
      </c>
      <c r="C11022" t="str">
        <f>"8308654"</f>
        <v>8308654</v>
      </c>
      <c r="D11022" t="s">
        <v>32895</v>
      </c>
      <c r="F11022" t="s">
        <v>32896</v>
      </c>
      <c r="I11022" t="s">
        <v>184</v>
      </c>
      <c r="J11022" t="s">
        <v>30</v>
      </c>
      <c r="K11022" t="s">
        <v>32897</v>
      </c>
      <c r="M11022" t="s">
        <v>17861</v>
      </c>
      <c r="N11022" t="str">
        <f>"10/5/2017 4:21:00 PM"</f>
        <v>10/5/2017 4:21:00 PM</v>
      </c>
      <c r="O11022" t="s">
        <v>32895</v>
      </c>
    </row>
    <row r="11023" spans="1:20" x14ac:dyDescent="0.25">
      <c r="A11023" t="str">
        <f>"3057787"</f>
        <v>3057787</v>
      </c>
      <c r="B11023" t="s">
        <v>32898</v>
      </c>
      <c r="C11023" t="str">
        <f>"8308545"</f>
        <v>8308545</v>
      </c>
      <c r="D11023" t="s">
        <v>32899</v>
      </c>
      <c r="F11023" t="s">
        <v>32900</v>
      </c>
      <c r="I11023" t="s">
        <v>29</v>
      </c>
      <c r="J11023" t="s">
        <v>30</v>
      </c>
      <c r="K11023" t="str">
        <f>"27028"</f>
        <v>27028</v>
      </c>
      <c r="M11023" t="s">
        <v>17861</v>
      </c>
      <c r="N11023" t="str">
        <f>"9/18/2017 2:34:00 PM"</f>
        <v>9/18/2017 2:34:00 PM</v>
      </c>
      <c r="O11023" t="s">
        <v>32899</v>
      </c>
    </row>
    <row r="11024" spans="1:20" x14ac:dyDescent="0.25">
      <c r="A11024" t="str">
        <f>"3053066"</f>
        <v>3053066</v>
      </c>
      <c r="B11024" t="s">
        <v>32901</v>
      </c>
      <c r="C11024" t="str">
        <f>"82519601"</f>
        <v>82519601</v>
      </c>
      <c r="D11024" t="s">
        <v>32902</v>
      </c>
      <c r="F11024" t="s">
        <v>32903</v>
      </c>
      <c r="I11024" t="s">
        <v>17921</v>
      </c>
      <c r="J11024" t="s">
        <v>30</v>
      </c>
      <c r="K11024" t="str">
        <f>"27028"</f>
        <v>27028</v>
      </c>
      <c r="M11024" t="s">
        <v>22859</v>
      </c>
      <c r="N11024" t="str">
        <f>"9/18/2017 3:39:00 PM"</f>
        <v>9/18/2017 3:39:00 PM</v>
      </c>
      <c r="O11024" t="s">
        <v>32902</v>
      </c>
    </row>
    <row r="11025" spans="1:20" x14ac:dyDescent="0.25">
      <c r="A11025" t="str">
        <f>"3037890"</f>
        <v>3037890</v>
      </c>
      <c r="B11025" t="s">
        <v>32904</v>
      </c>
      <c r="C11025" t="str">
        <f>"8308549"</f>
        <v>8308549</v>
      </c>
      <c r="D11025" t="s">
        <v>32784</v>
      </c>
      <c r="F11025" t="s">
        <v>32785</v>
      </c>
      <c r="I11025" t="s">
        <v>29</v>
      </c>
      <c r="J11025" t="s">
        <v>30</v>
      </c>
      <c r="K11025" t="str">
        <f>"27028"</f>
        <v>27028</v>
      </c>
      <c r="M11025" t="s">
        <v>17861</v>
      </c>
      <c r="N11025" t="str">
        <f>"9/18/2017 3:38:00 PM"</f>
        <v>9/18/2017 3:38:00 PM</v>
      </c>
      <c r="O11025" t="s">
        <v>32784</v>
      </c>
    </row>
    <row r="11026" spans="1:20" x14ac:dyDescent="0.25">
      <c r="A11026" t="str">
        <f>"3046643"</f>
        <v>3046643</v>
      </c>
      <c r="B11026" t="s">
        <v>32905</v>
      </c>
      <c r="C11026" t="str">
        <f>"8308618"</f>
        <v>8308618</v>
      </c>
      <c r="D11026" t="s">
        <v>32906</v>
      </c>
      <c r="F11026" t="s">
        <v>32907</v>
      </c>
      <c r="I11026" t="s">
        <v>29</v>
      </c>
      <c r="J11026" t="s">
        <v>30</v>
      </c>
      <c r="K11026" t="s">
        <v>32908</v>
      </c>
      <c r="M11026" t="s">
        <v>17861</v>
      </c>
      <c r="N11026" t="str">
        <f>"9/28/2017 8:36:00 AM"</f>
        <v>9/28/2017 8:36:00 AM</v>
      </c>
      <c r="O11026" t="s">
        <v>32906</v>
      </c>
    </row>
    <row r="11027" spans="1:20" x14ac:dyDescent="0.25">
      <c r="A11027" t="str">
        <f>"3042835"</f>
        <v>3042835</v>
      </c>
      <c r="B11027" t="s">
        <v>32909</v>
      </c>
      <c r="C11027" t="str">
        <f>"8308697"</f>
        <v>8308697</v>
      </c>
      <c r="D11027" t="s">
        <v>32910</v>
      </c>
      <c r="F11027" t="s">
        <v>32911</v>
      </c>
      <c r="I11027" t="s">
        <v>29</v>
      </c>
      <c r="J11027" t="s">
        <v>30</v>
      </c>
      <c r="K11027" t="s">
        <v>32912</v>
      </c>
      <c r="M11027" t="s">
        <v>17861</v>
      </c>
      <c r="N11027" t="str">
        <f>"10/13/2017 3:25:00 PM"</f>
        <v>10/13/2017 3:25:00 PM</v>
      </c>
      <c r="O11027" t="s">
        <v>32910</v>
      </c>
    </row>
    <row r="11028" spans="1:20" x14ac:dyDescent="0.25">
      <c r="A11028" t="str">
        <f>"3046951"</f>
        <v>3046951</v>
      </c>
      <c r="B11028" t="s">
        <v>32913</v>
      </c>
      <c r="C11028" t="str">
        <f>"8308619"</f>
        <v>8308619</v>
      </c>
      <c r="D11028" t="s">
        <v>32914</v>
      </c>
      <c r="F11028" t="s">
        <v>32915</v>
      </c>
      <c r="I11028" t="s">
        <v>29</v>
      </c>
      <c r="J11028" t="s">
        <v>30</v>
      </c>
      <c r="K11028" t="s">
        <v>32916</v>
      </c>
      <c r="M11028" t="s">
        <v>17861</v>
      </c>
      <c r="N11028" t="str">
        <f>"9/28/2017 9:06:00 AM"</f>
        <v>9/28/2017 9:06:00 AM</v>
      </c>
      <c r="O11028" t="s">
        <v>32914</v>
      </c>
    </row>
    <row r="11029" spans="1:20" x14ac:dyDescent="0.25">
      <c r="A11029" t="str">
        <f>"3058178"</f>
        <v>3058178</v>
      </c>
      <c r="B11029" t="s">
        <v>32917</v>
      </c>
      <c r="C11029" t="str">
        <f>"8308621"</f>
        <v>8308621</v>
      </c>
      <c r="D11029" t="s">
        <v>32918</v>
      </c>
      <c r="F11029" t="s">
        <v>32919</v>
      </c>
      <c r="I11029" t="s">
        <v>29</v>
      </c>
      <c r="J11029" t="s">
        <v>30</v>
      </c>
      <c r="K11029" t="s">
        <v>14765</v>
      </c>
      <c r="M11029" t="s">
        <v>17861</v>
      </c>
      <c r="N11029" t="str">
        <f>"9/28/2017 10:43:00 AM"</f>
        <v>9/28/2017 10:43:00 AM</v>
      </c>
      <c r="O11029" t="s">
        <v>32918</v>
      </c>
    </row>
    <row r="11030" spans="1:20" x14ac:dyDescent="0.25">
      <c r="A11030" t="str">
        <f>"3046780"</f>
        <v>3046780</v>
      </c>
      <c r="B11030" t="s">
        <v>32920</v>
      </c>
      <c r="C11030" t="str">
        <f>"8308622"</f>
        <v>8308622</v>
      </c>
      <c r="D11030" t="s">
        <v>32921</v>
      </c>
      <c r="F11030" t="s">
        <v>32922</v>
      </c>
      <c r="I11030" t="s">
        <v>32923</v>
      </c>
      <c r="J11030" t="s">
        <v>582</v>
      </c>
      <c r="K11030" t="s">
        <v>32924</v>
      </c>
      <c r="M11030" t="s">
        <v>17861</v>
      </c>
      <c r="N11030" t="str">
        <f>"9/28/2017 1:16:00 PM"</f>
        <v>9/28/2017 1:16:00 PM</v>
      </c>
      <c r="O11030" t="s">
        <v>32921</v>
      </c>
    </row>
    <row r="11031" spans="1:20" x14ac:dyDescent="0.25">
      <c r="A11031" t="str">
        <f>"3062401"</f>
        <v>3062401</v>
      </c>
      <c r="B11031" t="s">
        <v>32925</v>
      </c>
      <c r="C11031" t="str">
        <f>"8308624"</f>
        <v>8308624</v>
      </c>
      <c r="D11031" t="s">
        <v>32926</v>
      </c>
      <c r="E11031" t="s">
        <v>32927</v>
      </c>
      <c r="F11031" t="s">
        <v>32928</v>
      </c>
      <c r="I11031" t="s">
        <v>29</v>
      </c>
      <c r="J11031" t="s">
        <v>30</v>
      </c>
      <c r="K11031" t="s">
        <v>14250</v>
      </c>
      <c r="M11031" t="s">
        <v>17861</v>
      </c>
      <c r="N11031" t="str">
        <f>"9/28/2017 2:27:00 PM"</f>
        <v>9/28/2017 2:27:00 PM</v>
      </c>
      <c r="O11031" t="s">
        <v>32926</v>
      </c>
      <c r="T11031" t="s">
        <v>32927</v>
      </c>
    </row>
    <row r="11032" spans="1:20" x14ac:dyDescent="0.25">
      <c r="A11032" t="str">
        <f>"3058944"</f>
        <v>3058944</v>
      </c>
      <c r="B11032" t="s">
        <v>32929</v>
      </c>
      <c r="C11032" t="str">
        <f>"8308625"</f>
        <v>8308625</v>
      </c>
      <c r="D11032" t="s">
        <v>32930</v>
      </c>
      <c r="E11032" t="s">
        <v>32931</v>
      </c>
      <c r="F11032" t="s">
        <v>32932</v>
      </c>
      <c r="I11032" t="s">
        <v>29</v>
      </c>
      <c r="J11032" t="s">
        <v>30</v>
      </c>
      <c r="K11032" t="s">
        <v>32933</v>
      </c>
      <c r="M11032" t="s">
        <v>17861</v>
      </c>
      <c r="N11032" t="str">
        <f>"9/28/2017 2:31:00 PM"</f>
        <v>9/28/2017 2:31:00 PM</v>
      </c>
      <c r="O11032" t="s">
        <v>32930</v>
      </c>
      <c r="T11032" t="s">
        <v>32931</v>
      </c>
    </row>
    <row r="11033" spans="1:20" x14ac:dyDescent="0.25">
      <c r="A11033" t="str">
        <f>"3042921"</f>
        <v>3042921</v>
      </c>
      <c r="B11033" t="s">
        <v>32934</v>
      </c>
      <c r="C11033" t="str">
        <f>"8308630"</f>
        <v>8308630</v>
      </c>
      <c r="D11033" t="s">
        <v>32935</v>
      </c>
      <c r="E11033" t="s">
        <v>32936</v>
      </c>
      <c r="F11033" t="s">
        <v>32937</v>
      </c>
      <c r="I11033" t="s">
        <v>29</v>
      </c>
      <c r="J11033" t="s">
        <v>30</v>
      </c>
      <c r="K11033" t="s">
        <v>32938</v>
      </c>
      <c r="M11033" t="s">
        <v>17861</v>
      </c>
      <c r="N11033" t="str">
        <f>"9/29/2017 2:21:00 PM"</f>
        <v>9/29/2017 2:21:00 PM</v>
      </c>
      <c r="O11033" t="s">
        <v>32935</v>
      </c>
      <c r="T11033" t="s">
        <v>32936</v>
      </c>
    </row>
    <row r="11034" spans="1:20" x14ac:dyDescent="0.25">
      <c r="A11034" t="str">
        <f>"3043006"</f>
        <v>3043006</v>
      </c>
      <c r="B11034" t="s">
        <v>32939</v>
      </c>
      <c r="C11034" t="str">
        <f>"21906000"</f>
        <v>21906000</v>
      </c>
      <c r="D11034" t="s">
        <v>32844</v>
      </c>
      <c r="E11034" t="s">
        <v>32845</v>
      </c>
      <c r="F11034" t="s">
        <v>32846</v>
      </c>
      <c r="I11034" t="s">
        <v>3196</v>
      </c>
      <c r="J11034" t="s">
        <v>30</v>
      </c>
      <c r="K11034" t="s">
        <v>32847</v>
      </c>
      <c r="L11034" t="s">
        <v>2497</v>
      </c>
      <c r="M11034" t="s">
        <v>22859</v>
      </c>
      <c r="N11034" t="str">
        <f>"10/2/2017 11:09:00 AM"</f>
        <v>10/2/2017 11:09:00 AM</v>
      </c>
      <c r="O11034" t="s">
        <v>32844</v>
      </c>
      <c r="T11034" t="s">
        <v>32845</v>
      </c>
    </row>
    <row r="11035" spans="1:20" x14ac:dyDescent="0.25">
      <c r="A11035" t="str">
        <f>"3043962"</f>
        <v>3043962</v>
      </c>
      <c r="B11035" t="s">
        <v>32940</v>
      </c>
      <c r="C11035" t="str">
        <f>"21906000"</f>
        <v>21906000</v>
      </c>
      <c r="D11035" t="s">
        <v>32844</v>
      </c>
      <c r="E11035" t="s">
        <v>32845</v>
      </c>
      <c r="F11035" t="s">
        <v>32846</v>
      </c>
      <c r="I11035" t="s">
        <v>3196</v>
      </c>
      <c r="J11035" t="s">
        <v>30</v>
      </c>
      <c r="K11035" t="s">
        <v>32847</v>
      </c>
      <c r="L11035" t="s">
        <v>2497</v>
      </c>
      <c r="M11035" t="s">
        <v>22859</v>
      </c>
      <c r="N11035" t="str">
        <f>"10/2/2017 11:09:00 AM"</f>
        <v>10/2/2017 11:09:00 AM</v>
      </c>
      <c r="O11035" t="s">
        <v>32844</v>
      </c>
      <c r="T11035" t="s">
        <v>32845</v>
      </c>
    </row>
    <row r="11036" spans="1:20" x14ac:dyDescent="0.25">
      <c r="A11036" t="str">
        <f>"3046634"</f>
        <v>3046634</v>
      </c>
      <c r="B11036" t="s">
        <v>32941</v>
      </c>
      <c r="C11036" t="str">
        <f>"21906000"</f>
        <v>21906000</v>
      </c>
      <c r="D11036" t="s">
        <v>32844</v>
      </c>
      <c r="E11036" t="s">
        <v>32845</v>
      </c>
      <c r="F11036" t="s">
        <v>32846</v>
      </c>
      <c r="I11036" t="s">
        <v>3196</v>
      </c>
      <c r="J11036" t="s">
        <v>30</v>
      </c>
      <c r="K11036" t="s">
        <v>32847</v>
      </c>
      <c r="L11036" t="s">
        <v>2497</v>
      </c>
      <c r="M11036" t="s">
        <v>22859</v>
      </c>
      <c r="N11036" t="str">
        <f>"10/2/2017 11:09:00 AM"</f>
        <v>10/2/2017 11:09:00 AM</v>
      </c>
      <c r="O11036" t="s">
        <v>32844</v>
      </c>
      <c r="T11036" t="s">
        <v>32845</v>
      </c>
    </row>
    <row r="11037" spans="1:20" x14ac:dyDescent="0.25">
      <c r="A11037" t="str">
        <f>"3041349"</f>
        <v>3041349</v>
      </c>
      <c r="B11037" t="s">
        <v>32942</v>
      </c>
      <c r="C11037" t="str">
        <f>"8308641"</f>
        <v>8308641</v>
      </c>
      <c r="D11037" t="s">
        <v>32943</v>
      </c>
      <c r="F11037" t="s">
        <v>32944</v>
      </c>
      <c r="I11037" t="s">
        <v>2071</v>
      </c>
      <c r="J11037" t="s">
        <v>30</v>
      </c>
      <c r="K11037" t="s">
        <v>32945</v>
      </c>
      <c r="M11037" t="s">
        <v>17861</v>
      </c>
      <c r="N11037" t="str">
        <f>"10/4/2017 3:29:00 PM"</f>
        <v>10/4/2017 3:29:00 PM</v>
      </c>
      <c r="O11037" t="s">
        <v>32943</v>
      </c>
    </row>
    <row r="11038" spans="1:20" x14ac:dyDescent="0.25">
      <c r="A11038" t="str">
        <f>"3052005"</f>
        <v>3052005</v>
      </c>
      <c r="B11038" t="s">
        <v>32946</v>
      </c>
      <c r="C11038" t="str">
        <f>"74983000"</f>
        <v>74983000</v>
      </c>
      <c r="D11038" t="s">
        <v>32947</v>
      </c>
      <c r="E11038" t="s">
        <v>32948</v>
      </c>
      <c r="F11038" t="s">
        <v>32949</v>
      </c>
      <c r="I11038" t="s">
        <v>29</v>
      </c>
      <c r="J11038" t="s">
        <v>30</v>
      </c>
      <c r="K11038" t="s">
        <v>31</v>
      </c>
      <c r="M11038" t="s">
        <v>25733</v>
      </c>
      <c r="N11038" t="str">
        <f>"10/4/2017 4:23:00 PM"</f>
        <v>10/4/2017 4:23:00 PM</v>
      </c>
      <c r="O11038" t="s">
        <v>32947</v>
      </c>
      <c r="T11038" t="s">
        <v>32948</v>
      </c>
    </row>
    <row r="11039" spans="1:20" x14ac:dyDescent="0.25">
      <c r="A11039" t="str">
        <f>"3041371"</f>
        <v>3041371</v>
      </c>
      <c r="B11039" t="s">
        <v>32950</v>
      </c>
      <c r="C11039" t="str">
        <f>"8308644"</f>
        <v>8308644</v>
      </c>
      <c r="D11039" t="s">
        <v>32951</v>
      </c>
      <c r="E11039" t="s">
        <v>32952</v>
      </c>
      <c r="F11039" t="s">
        <v>32953</v>
      </c>
      <c r="I11039" t="s">
        <v>2071</v>
      </c>
      <c r="J11039" t="s">
        <v>30</v>
      </c>
      <c r="K11039" t="s">
        <v>32945</v>
      </c>
      <c r="M11039" t="s">
        <v>17861</v>
      </c>
      <c r="N11039" t="str">
        <f>"10/4/2017 4:24:00 PM"</f>
        <v>10/4/2017 4:24:00 PM</v>
      </c>
      <c r="O11039" t="s">
        <v>32951</v>
      </c>
      <c r="T11039" t="s">
        <v>32952</v>
      </c>
    </row>
    <row r="11040" spans="1:20" x14ac:dyDescent="0.25">
      <c r="A11040" t="str">
        <f>"3046415"</f>
        <v>3046415</v>
      </c>
      <c r="B11040" t="s">
        <v>32954</v>
      </c>
      <c r="C11040" t="str">
        <f>"8308646"</f>
        <v>8308646</v>
      </c>
      <c r="D11040" t="s">
        <v>32955</v>
      </c>
      <c r="F11040" t="s">
        <v>32956</v>
      </c>
      <c r="I11040" t="s">
        <v>29</v>
      </c>
      <c r="J11040" t="s">
        <v>30</v>
      </c>
      <c r="K11040" t="s">
        <v>18795</v>
      </c>
      <c r="M11040" t="s">
        <v>17861</v>
      </c>
      <c r="N11040" t="str">
        <f>"10/5/2017 9:35:00 AM"</f>
        <v>10/5/2017 9:35:00 AM</v>
      </c>
      <c r="O11040" t="s">
        <v>32955</v>
      </c>
    </row>
    <row r="11041" spans="1:20" x14ac:dyDescent="0.25">
      <c r="A11041" t="str">
        <f>"3049108"</f>
        <v>3049108</v>
      </c>
      <c r="B11041" t="s">
        <v>32957</v>
      </c>
      <c r="C11041" t="str">
        <f>"8308648"</f>
        <v>8308648</v>
      </c>
      <c r="D11041" t="s">
        <v>32958</v>
      </c>
      <c r="F11041" t="s">
        <v>32959</v>
      </c>
      <c r="I11041" t="s">
        <v>184</v>
      </c>
      <c r="J11041" t="s">
        <v>30</v>
      </c>
      <c r="K11041" t="s">
        <v>5929</v>
      </c>
      <c r="M11041" t="s">
        <v>17861</v>
      </c>
      <c r="N11041" t="str">
        <f>"10/5/2017 10:03:00 AM"</f>
        <v>10/5/2017 10:03:00 AM</v>
      </c>
      <c r="O11041" t="s">
        <v>32958</v>
      </c>
    </row>
    <row r="11042" spans="1:20" x14ac:dyDescent="0.25">
      <c r="A11042" t="str">
        <f>"3042611"</f>
        <v>3042611</v>
      </c>
      <c r="B11042" t="s">
        <v>32960</v>
      </c>
      <c r="C11042" t="str">
        <f>"8308651"</f>
        <v>8308651</v>
      </c>
      <c r="D11042" t="s">
        <v>32961</v>
      </c>
      <c r="F11042" t="s">
        <v>32962</v>
      </c>
      <c r="I11042" t="s">
        <v>184</v>
      </c>
      <c r="J11042" t="s">
        <v>30</v>
      </c>
      <c r="K11042" t="s">
        <v>32963</v>
      </c>
      <c r="M11042" t="s">
        <v>17861</v>
      </c>
      <c r="N11042" t="str">
        <f>"10/5/2017 3:03:00 PM"</f>
        <v>10/5/2017 3:03:00 PM</v>
      </c>
      <c r="O11042" t="s">
        <v>32961</v>
      </c>
    </row>
    <row r="11043" spans="1:20" x14ac:dyDescent="0.25">
      <c r="A11043" t="str">
        <f>"3042690"</f>
        <v>3042690</v>
      </c>
      <c r="B11043" t="s">
        <v>32964</v>
      </c>
      <c r="C11043" t="str">
        <f>"8308652"</f>
        <v>8308652</v>
      </c>
      <c r="D11043" t="s">
        <v>32965</v>
      </c>
      <c r="E11043" t="s">
        <v>32966</v>
      </c>
      <c r="F11043" t="s">
        <v>32967</v>
      </c>
      <c r="I11043" t="s">
        <v>29</v>
      </c>
      <c r="J11043" t="s">
        <v>30</v>
      </c>
      <c r="K11043" t="str">
        <f>"27028"</f>
        <v>27028</v>
      </c>
      <c r="M11043" t="s">
        <v>17861</v>
      </c>
      <c r="N11043" t="str">
        <f>"10/5/2017 3:25:00 PM"</f>
        <v>10/5/2017 3:25:00 PM</v>
      </c>
      <c r="O11043" t="s">
        <v>32965</v>
      </c>
      <c r="T11043" t="s">
        <v>32966</v>
      </c>
    </row>
    <row r="11044" spans="1:20" x14ac:dyDescent="0.25">
      <c r="A11044" t="str">
        <f>"3055356"</f>
        <v>3055356</v>
      </c>
      <c r="B11044" t="s">
        <v>32968</v>
      </c>
      <c r="C11044" t="str">
        <f>"8308653"</f>
        <v>8308653</v>
      </c>
      <c r="D11044" t="s">
        <v>32969</v>
      </c>
      <c r="F11044" t="s">
        <v>32970</v>
      </c>
      <c r="I11044" t="s">
        <v>29</v>
      </c>
      <c r="J11044" t="s">
        <v>30</v>
      </c>
      <c r="K11044" t="str">
        <f>"27028"</f>
        <v>27028</v>
      </c>
      <c r="M11044" t="s">
        <v>17861</v>
      </c>
      <c r="N11044" t="str">
        <f>"10/5/2017 3:58:00 PM"</f>
        <v>10/5/2017 3:58:00 PM</v>
      </c>
      <c r="O11044" t="s">
        <v>32969</v>
      </c>
    </row>
    <row r="11045" spans="1:20" x14ac:dyDescent="0.25">
      <c r="A11045" t="str">
        <f>"3052612"</f>
        <v>3052612</v>
      </c>
      <c r="B11045" t="s">
        <v>32971</v>
      </c>
      <c r="C11045" t="str">
        <f>"8308613"</f>
        <v>8308613</v>
      </c>
      <c r="D11045" t="s">
        <v>32972</v>
      </c>
      <c r="E11045" t="s">
        <v>32973</v>
      </c>
      <c r="F11045" t="s">
        <v>32974</v>
      </c>
      <c r="I11045" t="s">
        <v>29</v>
      </c>
      <c r="J11045" t="s">
        <v>30</v>
      </c>
      <c r="K11045" t="str">
        <f>"27028"</f>
        <v>27028</v>
      </c>
      <c r="M11045" t="s">
        <v>17861</v>
      </c>
      <c r="N11045" t="str">
        <f>"9/26/2017 3:15:00 PM"</f>
        <v>9/26/2017 3:15:00 PM</v>
      </c>
      <c r="O11045" t="s">
        <v>32972</v>
      </c>
      <c r="T11045" t="s">
        <v>32973</v>
      </c>
    </row>
    <row r="11046" spans="1:20" x14ac:dyDescent="0.25">
      <c r="A11046" t="str">
        <f>"3040964"</f>
        <v>3040964</v>
      </c>
      <c r="B11046" t="s">
        <v>32975</v>
      </c>
      <c r="C11046" t="str">
        <f>"8308615"</f>
        <v>8308615</v>
      </c>
      <c r="D11046" t="s">
        <v>32976</v>
      </c>
      <c r="F11046" t="s">
        <v>32977</v>
      </c>
      <c r="I11046" t="s">
        <v>184</v>
      </c>
      <c r="J11046" t="s">
        <v>30</v>
      </c>
      <c r="K11046" t="s">
        <v>32978</v>
      </c>
      <c r="M11046" t="s">
        <v>17861</v>
      </c>
      <c r="N11046" t="str">
        <f>"9/27/2017 9:51:00 AM"</f>
        <v>9/27/2017 9:51:00 AM</v>
      </c>
      <c r="O11046" t="s">
        <v>32976</v>
      </c>
    </row>
    <row r="11047" spans="1:20" x14ac:dyDescent="0.25">
      <c r="A11047" t="str">
        <f>"3040776"</f>
        <v>3040776</v>
      </c>
      <c r="B11047" t="s">
        <v>32979</v>
      </c>
      <c r="C11047" t="str">
        <f>"8308616"</f>
        <v>8308616</v>
      </c>
      <c r="D11047" t="s">
        <v>32980</v>
      </c>
      <c r="E11047" t="s">
        <v>32981</v>
      </c>
      <c r="F11047" t="s">
        <v>32982</v>
      </c>
      <c r="I11047" t="s">
        <v>184</v>
      </c>
      <c r="J11047" t="s">
        <v>30</v>
      </c>
      <c r="K11047" t="s">
        <v>32983</v>
      </c>
      <c r="M11047" t="s">
        <v>17861</v>
      </c>
      <c r="N11047" t="str">
        <f>"9/27/2017 10:13:00 AM"</f>
        <v>9/27/2017 10:13:00 AM</v>
      </c>
      <c r="O11047" t="s">
        <v>32980</v>
      </c>
      <c r="T11047" t="s">
        <v>32981</v>
      </c>
    </row>
    <row r="11048" spans="1:20" x14ac:dyDescent="0.25">
      <c r="A11048" t="str">
        <f>"3059159"</f>
        <v>3059159</v>
      </c>
      <c r="B11048" t="s">
        <v>32984</v>
      </c>
      <c r="C11048" t="str">
        <f>"8308703"</f>
        <v>8308703</v>
      </c>
      <c r="D11048" t="s">
        <v>32985</v>
      </c>
      <c r="E11048" t="s">
        <v>32986</v>
      </c>
      <c r="F11048" t="s">
        <v>32987</v>
      </c>
      <c r="I11048" t="s">
        <v>29</v>
      </c>
      <c r="J11048" t="s">
        <v>30</v>
      </c>
      <c r="K11048" t="s">
        <v>32988</v>
      </c>
      <c r="M11048" t="s">
        <v>17861</v>
      </c>
      <c r="N11048" t="str">
        <f>"10/16/2017 12:35:00 PM"</f>
        <v>10/16/2017 12:35:00 PM</v>
      </c>
      <c r="O11048" t="s">
        <v>32985</v>
      </c>
      <c r="T11048" t="s">
        <v>32986</v>
      </c>
    </row>
    <row r="11049" spans="1:20" x14ac:dyDescent="0.25">
      <c r="A11049" t="str">
        <f>"3041646"</f>
        <v>3041646</v>
      </c>
      <c r="B11049" t="s">
        <v>32989</v>
      </c>
      <c r="C11049" t="str">
        <f>"8308704"</f>
        <v>8308704</v>
      </c>
      <c r="D11049" t="s">
        <v>32990</v>
      </c>
      <c r="E11049" t="s">
        <v>32991</v>
      </c>
      <c r="F11049" t="s">
        <v>32992</v>
      </c>
      <c r="I11049" t="s">
        <v>2071</v>
      </c>
      <c r="J11049" t="s">
        <v>30</v>
      </c>
      <c r="K11049" t="s">
        <v>3764</v>
      </c>
      <c r="M11049" t="s">
        <v>17861</v>
      </c>
      <c r="N11049" t="str">
        <f>"10/16/2017 3:18:00 PM"</f>
        <v>10/16/2017 3:18:00 PM</v>
      </c>
      <c r="O11049" t="s">
        <v>32990</v>
      </c>
      <c r="T11049" t="s">
        <v>32991</v>
      </c>
    </row>
    <row r="11050" spans="1:20" x14ac:dyDescent="0.25">
      <c r="A11050" t="str">
        <f>"3052426"</f>
        <v>3052426</v>
      </c>
      <c r="B11050" t="s">
        <v>32993</v>
      </c>
      <c r="C11050" t="str">
        <f>"8308707"</f>
        <v>8308707</v>
      </c>
      <c r="D11050" t="s">
        <v>32994</v>
      </c>
      <c r="F11050" t="s">
        <v>32995</v>
      </c>
      <c r="I11050" t="s">
        <v>29</v>
      </c>
      <c r="J11050" t="s">
        <v>30</v>
      </c>
      <c r="K11050" t="s">
        <v>32996</v>
      </c>
      <c r="M11050" t="s">
        <v>17861</v>
      </c>
      <c r="N11050" t="str">
        <f>"10/17/2017 8:18:00 AM"</f>
        <v>10/17/2017 8:18:00 AM</v>
      </c>
      <c r="O11050" t="s">
        <v>32994</v>
      </c>
    </row>
    <row r="11051" spans="1:20" x14ac:dyDescent="0.25">
      <c r="A11051" t="str">
        <f>"3059980"</f>
        <v>3059980</v>
      </c>
      <c r="B11051" t="s">
        <v>32997</v>
      </c>
      <c r="C11051" t="str">
        <f>"8308710"</f>
        <v>8308710</v>
      </c>
      <c r="D11051" t="s">
        <v>32998</v>
      </c>
      <c r="E11051" t="s">
        <v>32999</v>
      </c>
      <c r="F11051" t="s">
        <v>33000</v>
      </c>
      <c r="I11051" t="s">
        <v>184</v>
      </c>
      <c r="J11051" t="s">
        <v>30</v>
      </c>
      <c r="K11051" t="s">
        <v>33001</v>
      </c>
      <c r="M11051" t="s">
        <v>17861</v>
      </c>
      <c r="N11051" t="str">
        <f>"10/17/2017 9:54:00 AM"</f>
        <v>10/17/2017 9:54:00 AM</v>
      </c>
      <c r="O11051" t="s">
        <v>32998</v>
      </c>
      <c r="T11051" t="s">
        <v>32999</v>
      </c>
    </row>
    <row r="11052" spans="1:20" x14ac:dyDescent="0.25">
      <c r="A11052" t="str">
        <f>"3059104"</f>
        <v>3059104</v>
      </c>
      <c r="B11052" t="s">
        <v>33002</v>
      </c>
      <c r="C11052" t="str">
        <f>"8308713"</f>
        <v>8308713</v>
      </c>
      <c r="D11052" t="s">
        <v>33003</v>
      </c>
      <c r="E11052" t="s">
        <v>33004</v>
      </c>
      <c r="F11052" t="s">
        <v>33005</v>
      </c>
      <c r="I11052" t="s">
        <v>29</v>
      </c>
      <c r="J11052" t="s">
        <v>30</v>
      </c>
      <c r="K11052" t="s">
        <v>15135</v>
      </c>
      <c r="M11052" t="s">
        <v>17861</v>
      </c>
      <c r="N11052" t="str">
        <f>"10/17/2017 10:57:00 AM"</f>
        <v>10/17/2017 10:57:00 AM</v>
      </c>
      <c r="O11052" t="s">
        <v>33003</v>
      </c>
      <c r="T11052" t="s">
        <v>33004</v>
      </c>
    </row>
    <row r="11053" spans="1:20" x14ac:dyDescent="0.25">
      <c r="A11053" t="str">
        <f>"3056169"</f>
        <v>3056169</v>
      </c>
      <c r="B11053" t="s">
        <v>33006</v>
      </c>
      <c r="C11053" t="str">
        <f>"8305568"</f>
        <v>8305568</v>
      </c>
      <c r="D11053" t="s">
        <v>33007</v>
      </c>
      <c r="E11053" t="s">
        <v>33008</v>
      </c>
      <c r="F11053" t="s">
        <v>33009</v>
      </c>
      <c r="I11053" t="s">
        <v>471</v>
      </c>
      <c r="J11053" t="s">
        <v>30</v>
      </c>
      <c r="K11053" t="str">
        <f>"27116"</f>
        <v>27116</v>
      </c>
      <c r="M11053" t="s">
        <v>26316</v>
      </c>
      <c r="N11053" t="str">
        <f>"10/18/2017 11:51:00 AM"</f>
        <v>10/18/2017 11:51:00 AM</v>
      </c>
      <c r="O11053" t="s">
        <v>33007</v>
      </c>
      <c r="T11053" t="s">
        <v>33008</v>
      </c>
    </row>
    <row r="11054" spans="1:20" x14ac:dyDescent="0.25">
      <c r="A11054" t="str">
        <f>"3060261"</f>
        <v>3060261</v>
      </c>
      <c r="B11054" t="s">
        <v>33010</v>
      </c>
      <c r="C11054" t="str">
        <f>"8308655"</f>
        <v>8308655</v>
      </c>
      <c r="D11054" t="s">
        <v>33011</v>
      </c>
      <c r="E11054" t="s">
        <v>33012</v>
      </c>
      <c r="F11054" t="s">
        <v>33013</v>
      </c>
      <c r="I11054" t="s">
        <v>184</v>
      </c>
      <c r="J11054" t="s">
        <v>30</v>
      </c>
      <c r="K11054" t="s">
        <v>33014</v>
      </c>
      <c r="M11054" t="s">
        <v>17861</v>
      </c>
      <c r="N11054" t="str">
        <f>"10/9/2017 8:32:00 AM"</f>
        <v>10/9/2017 8:32:00 AM</v>
      </c>
      <c r="O11054" t="s">
        <v>33011</v>
      </c>
      <c r="T11054" t="s">
        <v>33012</v>
      </c>
    </row>
    <row r="11055" spans="1:20" x14ac:dyDescent="0.25">
      <c r="A11055" t="str">
        <f>"3047601"</f>
        <v>3047601</v>
      </c>
      <c r="B11055" t="s">
        <v>33015</v>
      </c>
      <c r="C11055" t="str">
        <f>"8308661"</f>
        <v>8308661</v>
      </c>
      <c r="D11055" t="s">
        <v>33016</v>
      </c>
      <c r="E11055" t="s">
        <v>33017</v>
      </c>
      <c r="F11055" t="s">
        <v>33018</v>
      </c>
      <c r="I11055" t="s">
        <v>33019</v>
      </c>
      <c r="J11055" t="s">
        <v>30</v>
      </c>
      <c r="K11055" t="s">
        <v>33020</v>
      </c>
      <c r="M11055" t="s">
        <v>17861</v>
      </c>
      <c r="N11055" t="str">
        <f>"10/9/2017 3:07:00 PM"</f>
        <v>10/9/2017 3:07:00 PM</v>
      </c>
      <c r="O11055" t="s">
        <v>33016</v>
      </c>
      <c r="T11055" t="s">
        <v>33017</v>
      </c>
    </row>
    <row r="11056" spans="1:20" x14ac:dyDescent="0.25">
      <c r="A11056" t="str">
        <f>"3044680"</f>
        <v>3044680</v>
      </c>
      <c r="B11056" t="s">
        <v>33021</v>
      </c>
      <c r="C11056" t="str">
        <f>"8308662"</f>
        <v>8308662</v>
      </c>
      <c r="D11056" t="s">
        <v>33022</v>
      </c>
      <c r="E11056" t="s">
        <v>33023</v>
      </c>
      <c r="F11056" t="s">
        <v>33024</v>
      </c>
      <c r="I11056" t="s">
        <v>184</v>
      </c>
      <c r="J11056" t="s">
        <v>30</v>
      </c>
      <c r="K11056" t="s">
        <v>33025</v>
      </c>
      <c r="M11056" t="s">
        <v>17861</v>
      </c>
      <c r="N11056" t="str">
        <f>"10/9/2017 3:44:00 PM"</f>
        <v>10/9/2017 3:44:00 PM</v>
      </c>
      <c r="O11056" t="s">
        <v>33022</v>
      </c>
      <c r="T11056" t="s">
        <v>33023</v>
      </c>
    </row>
    <row r="11057" spans="1:20" x14ac:dyDescent="0.25">
      <c r="A11057" t="str">
        <f>"3050135"</f>
        <v>3050135</v>
      </c>
      <c r="B11057" t="s">
        <v>33026</v>
      </c>
      <c r="C11057" t="str">
        <f>"8308696"</f>
        <v>8308696</v>
      </c>
      <c r="D11057" t="s">
        <v>33027</v>
      </c>
      <c r="E11057" t="s">
        <v>33028</v>
      </c>
      <c r="F11057" t="s">
        <v>33029</v>
      </c>
      <c r="I11057" t="s">
        <v>29</v>
      </c>
      <c r="J11057" t="s">
        <v>30</v>
      </c>
      <c r="K11057" t="s">
        <v>20780</v>
      </c>
      <c r="M11057" t="s">
        <v>17861</v>
      </c>
      <c r="N11057" t="str">
        <f>"10/13/2017 12:46:00 PM"</f>
        <v>10/13/2017 12:46:00 PM</v>
      </c>
      <c r="O11057" t="s">
        <v>33027</v>
      </c>
      <c r="T11057" t="s">
        <v>33028</v>
      </c>
    </row>
    <row r="11058" spans="1:20" x14ac:dyDescent="0.25">
      <c r="A11058" t="str">
        <f>"3063915"</f>
        <v>3063915</v>
      </c>
      <c r="B11058" t="s">
        <v>33030</v>
      </c>
      <c r="C11058" t="str">
        <f>"8308776"</f>
        <v>8308776</v>
      </c>
      <c r="D11058" t="s">
        <v>33031</v>
      </c>
      <c r="E11058" t="s">
        <v>33032</v>
      </c>
      <c r="F11058" t="s">
        <v>33033</v>
      </c>
      <c r="I11058" t="s">
        <v>402</v>
      </c>
      <c r="J11058" t="s">
        <v>30</v>
      </c>
      <c r="K11058" t="str">
        <f>"27012"</f>
        <v>27012</v>
      </c>
      <c r="M11058" t="s">
        <v>17861</v>
      </c>
      <c r="N11058" t="str">
        <f>"10/26/2017 11:01:00 AM"</f>
        <v>10/26/2017 11:01:00 AM</v>
      </c>
      <c r="O11058" t="s">
        <v>33031</v>
      </c>
      <c r="T11058" t="s">
        <v>33032</v>
      </c>
    </row>
    <row r="11059" spans="1:20" x14ac:dyDescent="0.25">
      <c r="A11059" t="str">
        <f>"3040972"</f>
        <v>3040972</v>
      </c>
      <c r="B11059" t="s">
        <v>33034</v>
      </c>
      <c r="C11059" t="str">
        <f>"82526108"</f>
        <v>82526108</v>
      </c>
      <c r="D11059" t="s">
        <v>33035</v>
      </c>
      <c r="E11059" t="s">
        <v>33036</v>
      </c>
      <c r="F11059" t="s">
        <v>33037</v>
      </c>
      <c r="I11059" t="s">
        <v>184</v>
      </c>
      <c r="J11059" t="s">
        <v>30</v>
      </c>
      <c r="K11059" t="s">
        <v>185</v>
      </c>
      <c r="M11059" t="s">
        <v>25625</v>
      </c>
      <c r="N11059" t="str">
        <f>"11/6/2017 3:58:00 PM"</f>
        <v>11/6/2017 3:58:00 PM</v>
      </c>
      <c r="O11059" t="s">
        <v>33035</v>
      </c>
      <c r="T11059" t="s">
        <v>33036</v>
      </c>
    </row>
    <row r="11060" spans="1:20" x14ac:dyDescent="0.25">
      <c r="A11060" t="str">
        <f>"3061577"</f>
        <v>3061577</v>
      </c>
      <c r="B11060" t="s">
        <v>33038</v>
      </c>
      <c r="C11060" t="str">
        <f>"8308779"</f>
        <v>8308779</v>
      </c>
      <c r="D11060" t="s">
        <v>33039</v>
      </c>
      <c r="E11060" t="s">
        <v>33040</v>
      </c>
      <c r="F11060" t="s">
        <v>33041</v>
      </c>
      <c r="I11060" t="s">
        <v>184</v>
      </c>
      <c r="J11060" t="s">
        <v>30</v>
      </c>
      <c r="K11060" t="s">
        <v>25769</v>
      </c>
      <c r="M11060" t="s">
        <v>17861</v>
      </c>
      <c r="N11060" t="str">
        <f>"10/26/2017 11:35:00 AM"</f>
        <v>10/26/2017 11:35:00 AM</v>
      </c>
      <c r="O11060" t="s">
        <v>33039</v>
      </c>
      <c r="T11060" t="s">
        <v>33040</v>
      </c>
    </row>
    <row r="11061" spans="1:20" x14ac:dyDescent="0.25">
      <c r="A11061" t="str">
        <f>"3041344"</f>
        <v>3041344</v>
      </c>
      <c r="B11061" t="s">
        <v>33042</v>
      </c>
      <c r="C11061" t="str">
        <f>"8308797"</f>
        <v>8308797</v>
      </c>
      <c r="D11061" t="s">
        <v>33043</v>
      </c>
      <c r="F11061" t="s">
        <v>33044</v>
      </c>
      <c r="I11061" t="s">
        <v>2071</v>
      </c>
      <c r="J11061" t="s">
        <v>30</v>
      </c>
      <c r="K11061" t="s">
        <v>32945</v>
      </c>
      <c r="M11061" t="s">
        <v>17861</v>
      </c>
      <c r="N11061" t="str">
        <f>"11/8/2017 8:36:00 AM"</f>
        <v>11/8/2017 8:36:00 AM</v>
      </c>
      <c r="O11061" t="s">
        <v>33043</v>
      </c>
    </row>
    <row r="11062" spans="1:20" x14ac:dyDescent="0.25">
      <c r="A11062" t="str">
        <f>"3051745"</f>
        <v>3051745</v>
      </c>
      <c r="B11062" t="s">
        <v>33045</v>
      </c>
      <c r="C11062" t="str">
        <f>"8306264"</f>
        <v>8306264</v>
      </c>
      <c r="D11062" t="s">
        <v>33046</v>
      </c>
      <c r="F11062" t="s">
        <v>33047</v>
      </c>
      <c r="I11062" t="s">
        <v>29</v>
      </c>
      <c r="J11062" t="s">
        <v>30</v>
      </c>
      <c r="K11062" t="str">
        <f>"27028"</f>
        <v>27028</v>
      </c>
      <c r="M11062" t="s">
        <v>32801</v>
      </c>
      <c r="N11062" t="str">
        <f>"11/8/2017 10:23:00 AM"</f>
        <v>11/8/2017 10:23:00 AM</v>
      </c>
      <c r="O11062" t="s">
        <v>33046</v>
      </c>
    </row>
    <row r="11063" spans="1:20" x14ac:dyDescent="0.25">
      <c r="A11063" t="str">
        <f>"3051746"</f>
        <v>3051746</v>
      </c>
      <c r="B11063" t="s">
        <v>33048</v>
      </c>
      <c r="C11063" t="str">
        <f>"8306264"</f>
        <v>8306264</v>
      </c>
      <c r="D11063" t="s">
        <v>33046</v>
      </c>
      <c r="F11063" t="s">
        <v>33047</v>
      </c>
      <c r="I11063" t="s">
        <v>29</v>
      </c>
      <c r="J11063" t="s">
        <v>30</v>
      </c>
      <c r="K11063" t="str">
        <f>"27028"</f>
        <v>27028</v>
      </c>
      <c r="M11063" t="s">
        <v>32801</v>
      </c>
      <c r="N11063" t="str">
        <f>"11/8/2017 10:23:00 AM"</f>
        <v>11/8/2017 10:23:00 AM</v>
      </c>
      <c r="O11063" t="s">
        <v>33046</v>
      </c>
    </row>
    <row r="11064" spans="1:20" x14ac:dyDescent="0.25">
      <c r="A11064" t="str">
        <f>"3037452"</f>
        <v>3037452</v>
      </c>
      <c r="B11064" t="s">
        <v>33049</v>
      </c>
      <c r="C11064" t="str">
        <f>"3686000"</f>
        <v>3686000</v>
      </c>
      <c r="D11064" t="s">
        <v>33050</v>
      </c>
      <c r="F11064" t="s">
        <v>33051</v>
      </c>
      <c r="I11064" t="s">
        <v>29</v>
      </c>
      <c r="J11064" t="s">
        <v>30</v>
      </c>
      <c r="K11064" t="s">
        <v>31</v>
      </c>
      <c r="M11064" t="s">
        <v>27053</v>
      </c>
      <c r="N11064" t="str">
        <f>"11/8/2017 11:11:00 AM"</f>
        <v>11/8/2017 11:11:00 AM</v>
      </c>
      <c r="O11064" t="s">
        <v>33050</v>
      </c>
      <c r="T11064" t="s">
        <v>33050</v>
      </c>
    </row>
    <row r="11065" spans="1:20" x14ac:dyDescent="0.25">
      <c r="A11065" t="str">
        <f>"3037418"</f>
        <v>3037418</v>
      </c>
      <c r="B11065" t="s">
        <v>33052</v>
      </c>
      <c r="C11065" t="str">
        <f>"3686000"</f>
        <v>3686000</v>
      </c>
      <c r="D11065" t="s">
        <v>33050</v>
      </c>
      <c r="F11065" t="s">
        <v>33051</v>
      </c>
      <c r="I11065" t="s">
        <v>29</v>
      </c>
      <c r="J11065" t="s">
        <v>30</v>
      </c>
      <c r="K11065" t="s">
        <v>31</v>
      </c>
      <c r="M11065" t="s">
        <v>27053</v>
      </c>
      <c r="N11065" t="str">
        <f>"11/8/2017 11:11:00 AM"</f>
        <v>11/8/2017 11:11:00 AM</v>
      </c>
      <c r="O11065" t="s">
        <v>33050</v>
      </c>
      <c r="T11065" t="s">
        <v>33050</v>
      </c>
    </row>
    <row r="11066" spans="1:20" x14ac:dyDescent="0.25">
      <c r="A11066" t="str">
        <f>"3037732"</f>
        <v>3037732</v>
      </c>
      <c r="B11066" t="s">
        <v>33053</v>
      </c>
      <c r="C11066" t="str">
        <f>"82531105"</f>
        <v>82531105</v>
      </c>
      <c r="D11066" t="s">
        <v>33050</v>
      </c>
      <c r="E11066" t="s">
        <v>33054</v>
      </c>
      <c r="F11066" t="s">
        <v>33051</v>
      </c>
      <c r="I11066" t="s">
        <v>29</v>
      </c>
      <c r="J11066" t="s">
        <v>30</v>
      </c>
      <c r="K11066" t="s">
        <v>31</v>
      </c>
      <c r="M11066" t="s">
        <v>27053</v>
      </c>
      <c r="N11066" t="str">
        <f>"11/8/2017 11:12:00 AM"</f>
        <v>11/8/2017 11:12:00 AM</v>
      </c>
      <c r="O11066" t="s">
        <v>33050</v>
      </c>
      <c r="T11066" t="s">
        <v>33054</v>
      </c>
    </row>
    <row r="11067" spans="1:20" x14ac:dyDescent="0.25">
      <c r="A11067" t="str">
        <f>"3062030"</f>
        <v>3062030</v>
      </c>
      <c r="B11067" t="s">
        <v>33055</v>
      </c>
      <c r="C11067" t="str">
        <f>"8308780"</f>
        <v>8308780</v>
      </c>
      <c r="D11067" t="s">
        <v>33056</v>
      </c>
      <c r="E11067" t="s">
        <v>33057</v>
      </c>
      <c r="F11067" t="s">
        <v>33058</v>
      </c>
      <c r="I11067" t="s">
        <v>29</v>
      </c>
      <c r="J11067" t="s">
        <v>30</v>
      </c>
      <c r="K11067" t="s">
        <v>29062</v>
      </c>
      <c r="M11067" t="s">
        <v>17861</v>
      </c>
      <c r="N11067" t="str">
        <f>"10/26/2017 1:17:00 PM"</f>
        <v>10/26/2017 1:17:00 PM</v>
      </c>
      <c r="O11067" t="s">
        <v>33056</v>
      </c>
      <c r="T11067" t="s">
        <v>33057</v>
      </c>
    </row>
    <row r="11068" spans="1:20" x14ac:dyDescent="0.25">
      <c r="A11068" t="str">
        <f>"3049238"</f>
        <v>3049238</v>
      </c>
      <c r="B11068" t="s">
        <v>33059</v>
      </c>
      <c r="C11068" t="str">
        <f>"8308781"</f>
        <v>8308781</v>
      </c>
      <c r="D11068" t="s">
        <v>33060</v>
      </c>
      <c r="E11068" t="s">
        <v>33061</v>
      </c>
      <c r="F11068" t="s">
        <v>33062</v>
      </c>
      <c r="I11068" t="s">
        <v>184</v>
      </c>
      <c r="J11068" t="s">
        <v>30</v>
      </c>
      <c r="K11068" t="s">
        <v>33063</v>
      </c>
      <c r="M11068" t="s">
        <v>17861</v>
      </c>
      <c r="N11068" t="str">
        <f>"10/26/2017 1:50:00 PM"</f>
        <v>10/26/2017 1:50:00 PM</v>
      </c>
      <c r="O11068" t="s">
        <v>33060</v>
      </c>
      <c r="T11068" t="s">
        <v>33061</v>
      </c>
    </row>
    <row r="11069" spans="1:20" x14ac:dyDescent="0.25">
      <c r="A11069" t="str">
        <f>"3052887"</f>
        <v>3052887</v>
      </c>
      <c r="B11069" t="s">
        <v>33064</v>
      </c>
      <c r="C11069" t="str">
        <f>"8307205"</f>
        <v>8307205</v>
      </c>
      <c r="D11069" t="s">
        <v>33065</v>
      </c>
      <c r="E11069" t="s">
        <v>33066</v>
      </c>
      <c r="F11069" t="s">
        <v>33067</v>
      </c>
      <c r="I11069" t="s">
        <v>29</v>
      </c>
      <c r="J11069" t="s">
        <v>30</v>
      </c>
      <c r="K11069" t="str">
        <f>"27028"</f>
        <v>27028</v>
      </c>
      <c r="M11069" t="s">
        <v>25733</v>
      </c>
      <c r="N11069" t="str">
        <f>"11/13/2017 1:43:00 PM"</f>
        <v>11/13/2017 1:43:00 PM</v>
      </c>
      <c r="O11069" t="s">
        <v>33065</v>
      </c>
      <c r="T11069" t="s">
        <v>33066</v>
      </c>
    </row>
    <row r="11070" spans="1:20" x14ac:dyDescent="0.25">
      <c r="A11070" t="str">
        <f>"3046722"</f>
        <v>3046722</v>
      </c>
      <c r="B11070" t="s">
        <v>33068</v>
      </c>
      <c r="C11070" t="str">
        <f>"11402000"</f>
        <v>11402000</v>
      </c>
      <c r="D11070" t="s">
        <v>33069</v>
      </c>
      <c r="F11070" t="s">
        <v>33070</v>
      </c>
      <c r="I11070" t="s">
        <v>29</v>
      </c>
      <c r="J11070" t="s">
        <v>30</v>
      </c>
      <c r="K11070" t="s">
        <v>33071</v>
      </c>
      <c r="M11070" t="s">
        <v>26316</v>
      </c>
      <c r="N11070" t="str">
        <f>"10/18/2017 4:03:00 PM"</f>
        <v>10/18/2017 4:03:00 PM</v>
      </c>
      <c r="O11070" t="s">
        <v>33069</v>
      </c>
    </row>
    <row r="11071" spans="1:20" x14ac:dyDescent="0.25">
      <c r="A11071" t="str">
        <f>"3046975"</f>
        <v>3046975</v>
      </c>
      <c r="B11071" t="s">
        <v>33072</v>
      </c>
      <c r="C11071" t="str">
        <f>"11402000"</f>
        <v>11402000</v>
      </c>
      <c r="D11071" t="s">
        <v>33069</v>
      </c>
      <c r="F11071" t="s">
        <v>33070</v>
      </c>
      <c r="I11071" t="s">
        <v>29</v>
      </c>
      <c r="J11071" t="s">
        <v>30</v>
      </c>
      <c r="K11071" t="s">
        <v>33071</v>
      </c>
      <c r="M11071" t="s">
        <v>26316</v>
      </c>
      <c r="N11071" t="str">
        <f>"10/18/2017 4:03:00 PM"</f>
        <v>10/18/2017 4:03:00 PM</v>
      </c>
      <c r="O11071" t="s">
        <v>33069</v>
      </c>
    </row>
    <row r="11072" spans="1:20" x14ac:dyDescent="0.25">
      <c r="A11072" t="str">
        <f>"3078178"</f>
        <v>3078178</v>
      </c>
      <c r="B11072" t="s">
        <v>33073</v>
      </c>
      <c r="C11072" t="str">
        <f>"11402000"</f>
        <v>11402000</v>
      </c>
      <c r="D11072" t="s">
        <v>33069</v>
      </c>
      <c r="F11072" t="s">
        <v>33070</v>
      </c>
      <c r="I11072" t="s">
        <v>29</v>
      </c>
      <c r="J11072" t="s">
        <v>30</v>
      </c>
      <c r="K11072" t="s">
        <v>33071</v>
      </c>
      <c r="M11072" t="s">
        <v>26316</v>
      </c>
      <c r="N11072" t="str">
        <f>"10/18/2017 4:03:00 PM"</f>
        <v>10/18/2017 4:03:00 PM</v>
      </c>
      <c r="O11072" t="s">
        <v>33069</v>
      </c>
    </row>
    <row r="11073" spans="1:20" x14ac:dyDescent="0.25">
      <c r="A11073" t="str">
        <f>"3047348"</f>
        <v>3047348</v>
      </c>
      <c r="B11073" t="s">
        <v>33074</v>
      </c>
      <c r="C11073" t="str">
        <f>"8304957"</f>
        <v>8304957</v>
      </c>
      <c r="D11073" t="s">
        <v>33075</v>
      </c>
      <c r="F11073" t="s">
        <v>33076</v>
      </c>
      <c r="I11073" t="s">
        <v>29</v>
      </c>
      <c r="J11073" t="s">
        <v>30</v>
      </c>
      <c r="K11073" t="str">
        <f>"27028"</f>
        <v>27028</v>
      </c>
      <c r="M11073" t="s">
        <v>25625</v>
      </c>
      <c r="N11073" t="str">
        <f>"10/19/2017 9:30:00 AM"</f>
        <v>10/19/2017 9:30:00 AM</v>
      </c>
      <c r="O11073" t="s">
        <v>33075</v>
      </c>
    </row>
    <row r="11074" spans="1:20" x14ac:dyDescent="0.25">
      <c r="A11074" t="str">
        <f>"3046277"</f>
        <v>3046277</v>
      </c>
      <c r="B11074" t="s">
        <v>33077</v>
      </c>
      <c r="C11074" t="str">
        <f>"8304957"</f>
        <v>8304957</v>
      </c>
      <c r="D11074" t="s">
        <v>33075</v>
      </c>
      <c r="F11074" t="s">
        <v>33076</v>
      </c>
      <c r="I11074" t="s">
        <v>29</v>
      </c>
      <c r="J11074" t="s">
        <v>30</v>
      </c>
      <c r="K11074" t="str">
        <f>"27028"</f>
        <v>27028</v>
      </c>
      <c r="M11074" t="s">
        <v>25625</v>
      </c>
      <c r="N11074" t="str">
        <f>"10/19/2017 9:30:00 AM"</f>
        <v>10/19/2017 9:30:00 AM</v>
      </c>
      <c r="O11074" t="s">
        <v>33075</v>
      </c>
    </row>
    <row r="11075" spans="1:20" x14ac:dyDescent="0.25">
      <c r="A11075" t="str">
        <f>"3044226"</f>
        <v>3044226</v>
      </c>
      <c r="B11075" t="s">
        <v>33078</v>
      </c>
      <c r="C11075" t="str">
        <f>"9661500"</f>
        <v>9661500</v>
      </c>
      <c r="D11075" t="s">
        <v>33079</v>
      </c>
      <c r="F11075" t="s">
        <v>33080</v>
      </c>
      <c r="I11075" t="s">
        <v>184</v>
      </c>
      <c r="J11075" t="s">
        <v>30</v>
      </c>
      <c r="K11075" t="s">
        <v>185</v>
      </c>
      <c r="M11075" t="s">
        <v>25733</v>
      </c>
      <c r="N11075" t="str">
        <f>"10/19/2017 9:43:00 AM"</f>
        <v>10/19/2017 9:43:00 AM</v>
      </c>
      <c r="O11075" t="s">
        <v>33079</v>
      </c>
    </row>
    <row r="11076" spans="1:20" x14ac:dyDescent="0.25">
      <c r="A11076" t="str">
        <f>"3044307"</f>
        <v>3044307</v>
      </c>
      <c r="B11076" t="s">
        <v>33081</v>
      </c>
      <c r="C11076" t="str">
        <f>"8308757"</f>
        <v>8308757</v>
      </c>
      <c r="D11076" t="s">
        <v>33082</v>
      </c>
      <c r="F11076" t="s">
        <v>33083</v>
      </c>
      <c r="I11076" t="s">
        <v>184</v>
      </c>
      <c r="J11076" t="s">
        <v>30</v>
      </c>
      <c r="K11076" t="str">
        <f>"27006"</f>
        <v>27006</v>
      </c>
      <c r="M11076" t="s">
        <v>17861</v>
      </c>
      <c r="N11076" t="str">
        <f>"10/20/2017 9:31:00 AM"</f>
        <v>10/20/2017 9:31:00 AM</v>
      </c>
      <c r="O11076" t="s">
        <v>33082</v>
      </c>
    </row>
    <row r="11077" spans="1:20" x14ac:dyDescent="0.25">
      <c r="A11077" t="str">
        <f>"3077732"</f>
        <v>3077732</v>
      </c>
      <c r="B11077" t="s">
        <v>33084</v>
      </c>
      <c r="C11077" t="str">
        <f>"8308757"</f>
        <v>8308757</v>
      </c>
      <c r="D11077" t="s">
        <v>33082</v>
      </c>
      <c r="F11077" t="s">
        <v>33083</v>
      </c>
      <c r="I11077" t="s">
        <v>184</v>
      </c>
      <c r="J11077" t="s">
        <v>30</v>
      </c>
      <c r="K11077" t="str">
        <f>"27006"</f>
        <v>27006</v>
      </c>
      <c r="M11077" t="s">
        <v>17861</v>
      </c>
      <c r="N11077" t="str">
        <f>"10/20/2017 9:31:00 AM"</f>
        <v>10/20/2017 9:31:00 AM</v>
      </c>
      <c r="O11077" t="s">
        <v>33082</v>
      </c>
    </row>
    <row r="11078" spans="1:20" x14ac:dyDescent="0.25">
      <c r="A11078" t="str">
        <f>"3053547"</f>
        <v>3053547</v>
      </c>
      <c r="B11078" t="s">
        <v>33085</v>
      </c>
      <c r="C11078" t="str">
        <f>"8308761"</f>
        <v>8308761</v>
      </c>
      <c r="D11078" t="s">
        <v>33086</v>
      </c>
      <c r="E11078" t="s">
        <v>33087</v>
      </c>
      <c r="F11078" t="s">
        <v>33088</v>
      </c>
      <c r="I11078" t="s">
        <v>29</v>
      </c>
      <c r="J11078" t="s">
        <v>30</v>
      </c>
      <c r="K11078" t="s">
        <v>33089</v>
      </c>
      <c r="M11078" t="s">
        <v>17861</v>
      </c>
      <c r="N11078" t="str">
        <f>"10/20/2017 2:47:00 PM"</f>
        <v>10/20/2017 2:47:00 PM</v>
      </c>
      <c r="O11078" t="s">
        <v>33086</v>
      </c>
      <c r="T11078" t="s">
        <v>33087</v>
      </c>
    </row>
    <row r="11079" spans="1:20" x14ac:dyDescent="0.25">
      <c r="A11079" t="str">
        <f>"3063891"</f>
        <v>3063891</v>
      </c>
      <c r="B11079" t="s">
        <v>33090</v>
      </c>
      <c r="C11079" t="str">
        <f>"8308762"</f>
        <v>8308762</v>
      </c>
      <c r="D11079" t="s">
        <v>33091</v>
      </c>
      <c r="F11079" t="s">
        <v>33092</v>
      </c>
      <c r="I11079" t="s">
        <v>29</v>
      </c>
      <c r="J11079" t="s">
        <v>30</v>
      </c>
      <c r="K11079" t="str">
        <f>"27028"</f>
        <v>27028</v>
      </c>
      <c r="M11079" t="s">
        <v>17861</v>
      </c>
      <c r="N11079" t="str">
        <f>"10/20/2017 2:54:00 PM"</f>
        <v>10/20/2017 2:54:00 PM</v>
      </c>
      <c r="O11079" t="s">
        <v>33091</v>
      </c>
    </row>
    <row r="11080" spans="1:20" x14ac:dyDescent="0.25">
      <c r="A11080" t="str">
        <f>"3042981"</f>
        <v>3042981</v>
      </c>
      <c r="B11080" t="s">
        <v>33093</v>
      </c>
      <c r="C11080" t="str">
        <f>"8308765"</f>
        <v>8308765</v>
      </c>
      <c r="D11080" t="s">
        <v>33094</v>
      </c>
      <c r="E11080" t="s">
        <v>33095</v>
      </c>
      <c r="F11080" t="s">
        <v>33096</v>
      </c>
      <c r="I11080" t="s">
        <v>184</v>
      </c>
      <c r="J11080" t="s">
        <v>30</v>
      </c>
      <c r="K11080" t="s">
        <v>3186</v>
      </c>
      <c r="M11080" t="s">
        <v>17861</v>
      </c>
      <c r="N11080" t="str">
        <f>"10/23/2017 12:35:00 PM"</f>
        <v>10/23/2017 12:35:00 PM</v>
      </c>
      <c r="O11080" t="s">
        <v>33094</v>
      </c>
      <c r="T11080" t="s">
        <v>33095</v>
      </c>
    </row>
    <row r="11081" spans="1:20" x14ac:dyDescent="0.25">
      <c r="A11081" t="str">
        <f>"3054122"</f>
        <v>3054122</v>
      </c>
      <c r="B11081" t="s">
        <v>33097</v>
      </c>
      <c r="C11081" t="str">
        <f>"39458500"</f>
        <v>39458500</v>
      </c>
      <c r="D11081" t="s">
        <v>33098</v>
      </c>
      <c r="E11081" t="s">
        <v>33099</v>
      </c>
      <c r="F11081" t="s">
        <v>33100</v>
      </c>
      <c r="I11081" t="s">
        <v>964</v>
      </c>
      <c r="J11081" t="s">
        <v>30</v>
      </c>
      <c r="K11081" t="s">
        <v>11521</v>
      </c>
      <c r="M11081" t="s">
        <v>26316</v>
      </c>
      <c r="N11081" t="str">
        <f>"10/24/2017 2:04:00 PM"</f>
        <v>10/24/2017 2:04:00 PM</v>
      </c>
      <c r="O11081" t="s">
        <v>33098</v>
      </c>
      <c r="T11081" t="s">
        <v>33099</v>
      </c>
    </row>
    <row r="11082" spans="1:20" x14ac:dyDescent="0.25">
      <c r="A11082" t="str">
        <f>"3043716"</f>
        <v>3043716</v>
      </c>
      <c r="B11082" t="s">
        <v>33101</v>
      </c>
      <c r="C11082" t="str">
        <f>"8308767"</f>
        <v>8308767</v>
      </c>
      <c r="D11082" t="s">
        <v>33102</v>
      </c>
      <c r="E11082" t="s">
        <v>33103</v>
      </c>
      <c r="F11082" t="s">
        <v>33104</v>
      </c>
      <c r="I11082" t="s">
        <v>29</v>
      </c>
      <c r="J11082" t="s">
        <v>30</v>
      </c>
      <c r="K11082" t="s">
        <v>33105</v>
      </c>
      <c r="M11082" t="s">
        <v>17861</v>
      </c>
      <c r="N11082" t="str">
        <f>"10/24/2017 3:47:00 PM"</f>
        <v>10/24/2017 3:47:00 PM</v>
      </c>
      <c r="O11082" t="s">
        <v>33102</v>
      </c>
      <c r="T11082" t="s">
        <v>33103</v>
      </c>
    </row>
    <row r="11083" spans="1:20" x14ac:dyDescent="0.25">
      <c r="A11083" t="str">
        <f>"3041807"</f>
        <v>3041807</v>
      </c>
      <c r="B11083" t="s">
        <v>33106</v>
      </c>
      <c r="C11083" t="str">
        <f>"8308770"</f>
        <v>8308770</v>
      </c>
      <c r="D11083" t="s">
        <v>33107</v>
      </c>
      <c r="E11083" t="s">
        <v>33108</v>
      </c>
      <c r="F11083" t="s">
        <v>33109</v>
      </c>
      <c r="I11083" t="s">
        <v>2071</v>
      </c>
      <c r="J11083" t="s">
        <v>30</v>
      </c>
      <c r="K11083" t="str">
        <f>"27006"</f>
        <v>27006</v>
      </c>
      <c r="M11083" t="s">
        <v>17861</v>
      </c>
      <c r="N11083" t="str">
        <f>"10/25/2017 10:11:00 AM"</f>
        <v>10/25/2017 10:11:00 AM</v>
      </c>
      <c r="O11083" t="s">
        <v>33107</v>
      </c>
      <c r="T11083" t="s">
        <v>33108</v>
      </c>
    </row>
    <row r="11084" spans="1:20" x14ac:dyDescent="0.25">
      <c r="A11084" t="str">
        <f>"3040564"</f>
        <v>3040564</v>
      </c>
      <c r="B11084" t="s">
        <v>33110</v>
      </c>
      <c r="C11084" t="str">
        <f>"8308792"</f>
        <v>8308792</v>
      </c>
      <c r="D11084" t="s">
        <v>33111</v>
      </c>
      <c r="E11084" t="s">
        <v>33112</v>
      </c>
      <c r="F11084" t="s">
        <v>33113</v>
      </c>
      <c r="I11084" t="s">
        <v>184</v>
      </c>
      <c r="J11084" t="s">
        <v>30</v>
      </c>
      <c r="K11084" t="s">
        <v>33114</v>
      </c>
      <c r="M11084" t="s">
        <v>17861</v>
      </c>
      <c r="N11084" t="str">
        <f>"11/1/2017 4:20:00 PM"</f>
        <v>11/1/2017 4:20:00 PM</v>
      </c>
      <c r="O11084" t="s">
        <v>33111</v>
      </c>
      <c r="T11084" t="s">
        <v>33112</v>
      </c>
    </row>
    <row r="11085" spans="1:20" x14ac:dyDescent="0.25">
      <c r="A11085" t="str">
        <f>"3044089"</f>
        <v>3044089</v>
      </c>
      <c r="B11085" t="s">
        <v>33115</v>
      </c>
      <c r="C11085" t="str">
        <f>"8308773"</f>
        <v>8308773</v>
      </c>
      <c r="D11085" t="s">
        <v>33116</v>
      </c>
      <c r="E11085" t="s">
        <v>33117</v>
      </c>
      <c r="F11085" t="s">
        <v>33118</v>
      </c>
      <c r="I11085" t="s">
        <v>24359</v>
      </c>
      <c r="J11085" t="s">
        <v>30</v>
      </c>
      <c r="K11085" t="str">
        <f>"27006"</f>
        <v>27006</v>
      </c>
      <c r="M11085" t="s">
        <v>17861</v>
      </c>
      <c r="N11085" t="str">
        <f>"10/25/2017 4:18:00 PM"</f>
        <v>10/25/2017 4:18:00 PM</v>
      </c>
      <c r="O11085" t="s">
        <v>33116</v>
      </c>
      <c r="T11085" t="s">
        <v>33117</v>
      </c>
    </row>
    <row r="11086" spans="1:20" x14ac:dyDescent="0.25">
      <c r="A11086" t="str">
        <f>"3037572"</f>
        <v>3037572</v>
      </c>
      <c r="B11086" t="s">
        <v>33119</v>
      </c>
      <c r="C11086" t="str">
        <f>"78793250"</f>
        <v>78793250</v>
      </c>
      <c r="D11086" t="s">
        <v>33120</v>
      </c>
      <c r="E11086" t="s">
        <v>33121</v>
      </c>
      <c r="F11086" t="s">
        <v>33122</v>
      </c>
      <c r="I11086" t="s">
        <v>49</v>
      </c>
      <c r="J11086" t="s">
        <v>30</v>
      </c>
      <c r="K11086" t="s">
        <v>33123</v>
      </c>
      <c r="M11086" t="s">
        <v>25733</v>
      </c>
      <c r="N11086" t="str">
        <f>"11/7/2017 1:42:00 PM"</f>
        <v>11/7/2017 1:42:00 PM</v>
      </c>
      <c r="O11086" t="s">
        <v>33120</v>
      </c>
      <c r="T11086" t="s">
        <v>33121</v>
      </c>
    </row>
    <row r="11087" spans="1:20" x14ac:dyDescent="0.25">
      <c r="A11087" t="str">
        <f>"3052297"</f>
        <v>3052297</v>
      </c>
      <c r="B11087" t="s">
        <v>33124</v>
      </c>
      <c r="C11087" t="str">
        <f>"8307205"</f>
        <v>8307205</v>
      </c>
      <c r="D11087" t="s">
        <v>33065</v>
      </c>
      <c r="E11087" t="s">
        <v>33066</v>
      </c>
      <c r="F11087" t="s">
        <v>33067</v>
      </c>
      <c r="I11087" t="s">
        <v>29</v>
      </c>
      <c r="J11087" t="s">
        <v>30</v>
      </c>
      <c r="K11087" t="str">
        <f>"27028"</f>
        <v>27028</v>
      </c>
      <c r="M11087" t="s">
        <v>25733</v>
      </c>
      <c r="N11087" t="str">
        <f>"11/13/2017 1:43:00 PM"</f>
        <v>11/13/2017 1:43:00 PM</v>
      </c>
      <c r="O11087" t="s">
        <v>33065</v>
      </c>
      <c r="T11087" t="s">
        <v>33066</v>
      </c>
    </row>
    <row r="11088" spans="1:20" x14ac:dyDescent="0.25">
      <c r="A11088" t="str">
        <f>"3052768"</f>
        <v>3052768</v>
      </c>
      <c r="B11088" t="s">
        <v>33125</v>
      </c>
      <c r="C11088" t="str">
        <f>"8307205"</f>
        <v>8307205</v>
      </c>
      <c r="D11088" t="s">
        <v>33065</v>
      </c>
      <c r="E11088" t="s">
        <v>33066</v>
      </c>
      <c r="F11088" t="s">
        <v>33067</v>
      </c>
      <c r="I11088" t="s">
        <v>29</v>
      </c>
      <c r="J11088" t="s">
        <v>30</v>
      </c>
      <c r="K11088" t="str">
        <f>"27028"</f>
        <v>27028</v>
      </c>
      <c r="M11088" t="s">
        <v>25733</v>
      </c>
      <c r="N11088" t="str">
        <f>"11/13/2017 1:43:00 PM"</f>
        <v>11/13/2017 1:43:00 PM</v>
      </c>
      <c r="O11088" t="s">
        <v>33065</v>
      </c>
      <c r="T11088" t="s">
        <v>33066</v>
      </c>
    </row>
    <row r="11089" spans="1:20" x14ac:dyDescent="0.25">
      <c r="A11089" t="str">
        <f>"3078138"</f>
        <v>3078138</v>
      </c>
      <c r="B11089" t="s">
        <v>33126</v>
      </c>
      <c r="C11089" t="str">
        <f>"82523310"</f>
        <v>82523310</v>
      </c>
      <c r="D11089" t="s">
        <v>33127</v>
      </c>
      <c r="F11089" t="s">
        <v>33128</v>
      </c>
      <c r="G11089" t="s">
        <v>33129</v>
      </c>
      <c r="I11089" t="s">
        <v>33130</v>
      </c>
      <c r="J11089" t="s">
        <v>12215</v>
      </c>
      <c r="K11089" t="s">
        <v>33131</v>
      </c>
      <c r="M11089" t="s">
        <v>25625</v>
      </c>
      <c r="N11089" t="str">
        <f>"10/31/2017 12:00:00 PM"</f>
        <v>10/31/2017 12:00:00 PM</v>
      </c>
      <c r="O11089" t="s">
        <v>33127</v>
      </c>
    </row>
    <row r="11090" spans="1:20" x14ac:dyDescent="0.25">
      <c r="A11090" t="str">
        <f>"3056205"</f>
        <v>3056205</v>
      </c>
      <c r="B11090" t="s">
        <v>33132</v>
      </c>
      <c r="C11090" t="str">
        <f>"69956000"</f>
        <v>69956000</v>
      </c>
      <c r="D11090" t="s">
        <v>33133</v>
      </c>
      <c r="E11090" t="s">
        <v>33134</v>
      </c>
      <c r="F11090" t="s">
        <v>33135</v>
      </c>
      <c r="G11090" t="s">
        <v>33136</v>
      </c>
      <c r="I11090" t="s">
        <v>9580</v>
      </c>
      <c r="J11090" t="s">
        <v>30</v>
      </c>
      <c r="K11090" t="str">
        <f>"27014"</f>
        <v>27014</v>
      </c>
      <c r="M11090" t="s">
        <v>25733</v>
      </c>
      <c r="N11090" t="str">
        <f>"10/31/2017 1:53:00 PM"</f>
        <v>10/31/2017 1:53:00 PM</v>
      </c>
      <c r="O11090" t="s">
        <v>33133</v>
      </c>
      <c r="T11090" t="s">
        <v>33134</v>
      </c>
    </row>
    <row r="11091" spans="1:20" x14ac:dyDescent="0.25">
      <c r="A11091" t="str">
        <f>"3055960"</f>
        <v>3055960</v>
      </c>
      <c r="B11091" t="s">
        <v>33137</v>
      </c>
      <c r="C11091" t="str">
        <f>"69956000"</f>
        <v>69956000</v>
      </c>
      <c r="D11091" t="s">
        <v>33133</v>
      </c>
      <c r="E11091" t="s">
        <v>33134</v>
      </c>
      <c r="F11091" t="s">
        <v>33135</v>
      </c>
      <c r="G11091" t="s">
        <v>33136</v>
      </c>
      <c r="I11091" t="s">
        <v>9580</v>
      </c>
      <c r="J11091" t="s">
        <v>30</v>
      </c>
      <c r="K11091" t="str">
        <f>"27014"</f>
        <v>27014</v>
      </c>
      <c r="M11091" t="s">
        <v>25733</v>
      </c>
      <c r="N11091" t="str">
        <f>"10/31/2017 1:53:00 PM"</f>
        <v>10/31/2017 1:53:00 PM</v>
      </c>
      <c r="O11091" t="s">
        <v>33133</v>
      </c>
      <c r="T11091" t="s">
        <v>33134</v>
      </c>
    </row>
    <row r="11092" spans="1:20" x14ac:dyDescent="0.25">
      <c r="A11092" t="str">
        <f>"3039124"</f>
        <v>3039124</v>
      </c>
      <c r="B11092" t="s">
        <v>33138</v>
      </c>
      <c r="C11092" t="str">
        <f>"8308788"</f>
        <v>8308788</v>
      </c>
      <c r="D11092" t="s">
        <v>33139</v>
      </c>
      <c r="F11092" t="s">
        <v>33140</v>
      </c>
      <c r="I11092" t="s">
        <v>29</v>
      </c>
      <c r="J11092" t="s">
        <v>30</v>
      </c>
      <c r="K11092" t="str">
        <f>"27028"</f>
        <v>27028</v>
      </c>
      <c r="M11092" t="s">
        <v>17861</v>
      </c>
      <c r="N11092" t="str">
        <f>"10/31/2017 3:24:00 PM"</f>
        <v>10/31/2017 3:24:00 PM</v>
      </c>
      <c r="O11092" t="s">
        <v>33139</v>
      </c>
    </row>
    <row r="11093" spans="1:20" x14ac:dyDescent="0.25">
      <c r="A11093" t="str">
        <f>"3040832"</f>
        <v>3040832</v>
      </c>
      <c r="B11093" t="s">
        <v>33141</v>
      </c>
      <c r="C11093" t="str">
        <f>"8308789"</f>
        <v>8308789</v>
      </c>
      <c r="D11093" t="s">
        <v>33142</v>
      </c>
      <c r="F11093" t="s">
        <v>33143</v>
      </c>
      <c r="I11093" t="s">
        <v>184</v>
      </c>
      <c r="J11093" t="s">
        <v>30</v>
      </c>
      <c r="K11093" t="s">
        <v>2977</v>
      </c>
      <c r="M11093" t="s">
        <v>17861</v>
      </c>
      <c r="N11093" t="str">
        <f>"11/1/2017 2:06:00 PM"</f>
        <v>11/1/2017 2:06:00 PM</v>
      </c>
      <c r="O11093" t="s">
        <v>33142</v>
      </c>
    </row>
    <row r="11094" spans="1:20" x14ac:dyDescent="0.25">
      <c r="A11094" t="str">
        <f>"3078279"</f>
        <v>3078279</v>
      </c>
      <c r="B11094" t="s">
        <v>33144</v>
      </c>
      <c r="C11094" t="str">
        <f>"58240000"</f>
        <v>58240000</v>
      </c>
      <c r="D11094" t="s">
        <v>33145</v>
      </c>
      <c r="E11094" t="s">
        <v>33146</v>
      </c>
      <c r="F11094" t="s">
        <v>33147</v>
      </c>
      <c r="I11094" t="s">
        <v>29</v>
      </c>
      <c r="J11094" t="s">
        <v>30</v>
      </c>
      <c r="K11094" t="s">
        <v>31</v>
      </c>
      <c r="M11094" t="s">
        <v>25494</v>
      </c>
      <c r="N11094" t="str">
        <f>"11/16/2017 2:49:00 PM"</f>
        <v>11/16/2017 2:49:00 PM</v>
      </c>
      <c r="O11094" t="s">
        <v>33145</v>
      </c>
      <c r="T11094" t="s">
        <v>33146</v>
      </c>
    </row>
    <row r="11095" spans="1:20" x14ac:dyDescent="0.25">
      <c r="A11095" t="str">
        <f>"3078608"</f>
        <v>3078608</v>
      </c>
      <c r="B11095" t="s">
        <v>33148</v>
      </c>
      <c r="C11095" t="str">
        <f>"8308839"</f>
        <v>8308839</v>
      </c>
      <c r="D11095" t="s">
        <v>33149</v>
      </c>
      <c r="F11095" t="s">
        <v>30186</v>
      </c>
      <c r="I11095" t="s">
        <v>1149</v>
      </c>
      <c r="J11095" t="s">
        <v>30</v>
      </c>
      <c r="K11095" t="str">
        <f>"28634"</f>
        <v>28634</v>
      </c>
      <c r="M11095" t="s">
        <v>17861</v>
      </c>
      <c r="N11095" t="str">
        <f>"11/20/2017 10:13:00 AM"</f>
        <v>11/20/2017 10:13:00 AM</v>
      </c>
      <c r="O11095" t="s">
        <v>33149</v>
      </c>
    </row>
    <row r="11096" spans="1:20" x14ac:dyDescent="0.25">
      <c r="A11096" t="str">
        <f>"3065881"</f>
        <v>3065881</v>
      </c>
      <c r="B11096" t="s">
        <v>33150</v>
      </c>
      <c r="C11096" t="str">
        <f>"82522953"</f>
        <v>82522953</v>
      </c>
      <c r="D11096" t="s">
        <v>33151</v>
      </c>
      <c r="F11096" t="s">
        <v>33152</v>
      </c>
      <c r="I11096" t="s">
        <v>29</v>
      </c>
      <c r="J11096" t="s">
        <v>30</v>
      </c>
      <c r="K11096" t="s">
        <v>31</v>
      </c>
      <c r="M11096" t="s">
        <v>25733</v>
      </c>
      <c r="N11096" t="str">
        <f>"11/20/2017 11:35:00 AM"</f>
        <v>11/20/2017 11:35:00 AM</v>
      </c>
      <c r="O11096" t="s">
        <v>33151</v>
      </c>
    </row>
    <row r="11097" spans="1:20" x14ac:dyDescent="0.25">
      <c r="A11097" t="str">
        <f>"3065873"</f>
        <v>3065873</v>
      </c>
      <c r="B11097" t="s">
        <v>33153</v>
      </c>
      <c r="C11097" t="str">
        <f>"82522953"</f>
        <v>82522953</v>
      </c>
      <c r="D11097" t="s">
        <v>33151</v>
      </c>
      <c r="F11097" t="s">
        <v>33152</v>
      </c>
      <c r="I11097" t="s">
        <v>29</v>
      </c>
      <c r="J11097" t="s">
        <v>30</v>
      </c>
      <c r="K11097" t="s">
        <v>31</v>
      </c>
      <c r="M11097" t="s">
        <v>25733</v>
      </c>
      <c r="N11097" t="str">
        <f>"11/20/2017 11:35:00 AM"</f>
        <v>11/20/2017 11:35:00 AM</v>
      </c>
      <c r="O11097" t="s">
        <v>33151</v>
      </c>
    </row>
    <row r="11098" spans="1:20" x14ac:dyDescent="0.25">
      <c r="A11098" t="str">
        <f>"3040081"</f>
        <v>3040081</v>
      </c>
      <c r="B11098" t="s">
        <v>33154</v>
      </c>
      <c r="C11098" t="str">
        <f>"82522953"</f>
        <v>82522953</v>
      </c>
      <c r="D11098" t="s">
        <v>33151</v>
      </c>
      <c r="F11098" t="s">
        <v>33152</v>
      </c>
      <c r="I11098" t="s">
        <v>29</v>
      </c>
      <c r="J11098" t="s">
        <v>30</v>
      </c>
      <c r="K11098" t="s">
        <v>31</v>
      </c>
      <c r="M11098" t="s">
        <v>25733</v>
      </c>
      <c r="N11098" t="str">
        <f>"11/20/2017 11:35:00 AM"</f>
        <v>11/20/2017 11:35:00 AM</v>
      </c>
      <c r="O11098" t="s">
        <v>33151</v>
      </c>
    </row>
    <row r="11099" spans="1:20" x14ac:dyDescent="0.25">
      <c r="A11099" t="str">
        <f>"3037805"</f>
        <v>3037805</v>
      </c>
      <c r="B11099" t="s">
        <v>33155</v>
      </c>
      <c r="C11099" t="str">
        <f>"82522953"</f>
        <v>82522953</v>
      </c>
      <c r="D11099" t="s">
        <v>33151</v>
      </c>
      <c r="F11099" t="s">
        <v>33152</v>
      </c>
      <c r="I11099" t="s">
        <v>29</v>
      </c>
      <c r="J11099" t="s">
        <v>30</v>
      </c>
      <c r="K11099" t="s">
        <v>31</v>
      </c>
      <c r="M11099" t="s">
        <v>25733</v>
      </c>
      <c r="N11099" t="str">
        <f>"11/20/2017 11:35:00 AM"</f>
        <v>11/20/2017 11:35:00 AM</v>
      </c>
      <c r="O11099" t="s">
        <v>33151</v>
      </c>
    </row>
    <row r="11100" spans="1:20" x14ac:dyDescent="0.25">
      <c r="A11100" t="str">
        <f>"3078280"</f>
        <v>3078280</v>
      </c>
      <c r="B11100" t="s">
        <v>33156</v>
      </c>
      <c r="C11100" t="str">
        <f>"58240000"</f>
        <v>58240000</v>
      </c>
      <c r="D11100" t="s">
        <v>33145</v>
      </c>
      <c r="E11100" t="s">
        <v>33146</v>
      </c>
      <c r="F11100" t="s">
        <v>33147</v>
      </c>
      <c r="I11100" t="s">
        <v>29</v>
      </c>
      <c r="J11100" t="s">
        <v>30</v>
      </c>
      <c r="K11100" t="s">
        <v>31</v>
      </c>
      <c r="M11100" t="s">
        <v>25494</v>
      </c>
      <c r="N11100" t="str">
        <f>"11/16/2017 2:49:00 PM"</f>
        <v>11/16/2017 2:49:00 PM</v>
      </c>
      <c r="O11100" t="s">
        <v>33145</v>
      </c>
      <c r="T11100" t="s">
        <v>33146</v>
      </c>
    </row>
    <row r="11101" spans="1:20" x14ac:dyDescent="0.25">
      <c r="A11101" t="str">
        <f>"3045667"</f>
        <v>3045667</v>
      </c>
      <c r="B11101" t="s">
        <v>33157</v>
      </c>
      <c r="C11101" t="str">
        <f>"8308837"</f>
        <v>8308837</v>
      </c>
      <c r="D11101" t="s">
        <v>33158</v>
      </c>
      <c r="F11101" t="s">
        <v>33159</v>
      </c>
      <c r="I11101" t="s">
        <v>1107</v>
      </c>
      <c r="J11101" t="s">
        <v>30</v>
      </c>
      <c r="K11101" t="str">
        <f>"28625"</f>
        <v>28625</v>
      </c>
      <c r="M11101" t="s">
        <v>17861</v>
      </c>
      <c r="N11101" t="str">
        <f>"11/17/2017 4:01:00 PM"</f>
        <v>11/17/2017 4:01:00 PM</v>
      </c>
      <c r="O11101" t="s">
        <v>33158</v>
      </c>
    </row>
    <row r="11102" spans="1:20" x14ac:dyDescent="0.25">
      <c r="A11102" t="str">
        <f>"3039452"</f>
        <v>3039452</v>
      </c>
      <c r="B11102" t="s">
        <v>33160</v>
      </c>
      <c r="C11102" t="str">
        <f>"25066370"</f>
        <v>25066370</v>
      </c>
      <c r="D11102" t="s">
        <v>33161</v>
      </c>
      <c r="F11102" t="s">
        <v>33162</v>
      </c>
      <c r="G11102" t="s">
        <v>33163</v>
      </c>
      <c r="I11102" t="s">
        <v>29</v>
      </c>
      <c r="J11102" t="s">
        <v>30</v>
      </c>
      <c r="K11102" t="s">
        <v>31</v>
      </c>
      <c r="M11102" t="s">
        <v>32801</v>
      </c>
      <c r="N11102" t="str">
        <f>"11/16/2017 8:39:00 AM"</f>
        <v>11/16/2017 8:39:00 AM</v>
      </c>
      <c r="O11102" t="s">
        <v>33161</v>
      </c>
    </row>
    <row r="11103" spans="1:20" x14ac:dyDescent="0.25">
      <c r="A11103" t="str">
        <f>"3045578"</f>
        <v>3045578</v>
      </c>
      <c r="B11103" t="s">
        <v>33164</v>
      </c>
      <c r="C11103" t="str">
        <f>"8308837"</f>
        <v>8308837</v>
      </c>
      <c r="D11103" t="s">
        <v>33158</v>
      </c>
      <c r="F11103" t="s">
        <v>33159</v>
      </c>
      <c r="I11103" t="s">
        <v>1107</v>
      </c>
      <c r="J11103" t="s">
        <v>30</v>
      </c>
      <c r="K11103" t="str">
        <f>"28625"</f>
        <v>28625</v>
      </c>
      <c r="M11103" t="s">
        <v>17861</v>
      </c>
      <c r="N11103" t="str">
        <f>"11/17/2017 4:01:00 PM"</f>
        <v>11/17/2017 4:01:00 PM</v>
      </c>
      <c r="O11103" t="s">
        <v>33158</v>
      </c>
    </row>
    <row r="11104" spans="1:20" x14ac:dyDescent="0.25">
      <c r="A11104" t="str">
        <f>"3039855"</f>
        <v>3039855</v>
      </c>
      <c r="B11104" t="s">
        <v>33165</v>
      </c>
      <c r="C11104" t="str">
        <f>"25066370"</f>
        <v>25066370</v>
      </c>
      <c r="D11104" t="s">
        <v>33161</v>
      </c>
      <c r="F11104" t="s">
        <v>33162</v>
      </c>
      <c r="G11104" t="s">
        <v>33163</v>
      </c>
      <c r="I11104" t="s">
        <v>29</v>
      </c>
      <c r="J11104" t="s">
        <v>30</v>
      </c>
      <c r="K11104" t="s">
        <v>31</v>
      </c>
      <c r="M11104" t="s">
        <v>32801</v>
      </c>
      <c r="N11104" t="str">
        <f>"11/16/2017 8:39:00 AM"</f>
        <v>11/16/2017 8:39:00 AM</v>
      </c>
      <c r="O11104" t="s">
        <v>33161</v>
      </c>
    </row>
    <row r="11105" spans="1:20" x14ac:dyDescent="0.25">
      <c r="A11105" t="str">
        <f>"3046488"</f>
        <v>3046488</v>
      </c>
      <c r="B11105" t="s">
        <v>33166</v>
      </c>
      <c r="C11105" t="str">
        <f>"58240000"</f>
        <v>58240000</v>
      </c>
      <c r="D11105" t="s">
        <v>33145</v>
      </c>
      <c r="E11105" t="s">
        <v>33146</v>
      </c>
      <c r="F11105" t="s">
        <v>33147</v>
      </c>
      <c r="I11105" t="s">
        <v>29</v>
      </c>
      <c r="J11105" t="s">
        <v>30</v>
      </c>
      <c r="K11105" t="s">
        <v>31</v>
      </c>
      <c r="M11105" t="s">
        <v>25494</v>
      </c>
      <c r="N11105" t="str">
        <f>"11/16/2017 2:49:00 PM"</f>
        <v>11/16/2017 2:49:00 PM</v>
      </c>
      <c r="O11105" t="s">
        <v>33145</v>
      </c>
      <c r="T11105" t="s">
        <v>33146</v>
      </c>
    </row>
    <row r="11106" spans="1:20" x14ac:dyDescent="0.25">
      <c r="A11106" t="str">
        <f>"3046489"</f>
        <v>3046489</v>
      </c>
      <c r="B11106" t="s">
        <v>33167</v>
      </c>
      <c r="C11106" t="str">
        <f>"58240000"</f>
        <v>58240000</v>
      </c>
      <c r="D11106" t="s">
        <v>33145</v>
      </c>
      <c r="E11106" t="s">
        <v>33146</v>
      </c>
      <c r="F11106" t="s">
        <v>33147</v>
      </c>
      <c r="I11106" t="s">
        <v>29</v>
      </c>
      <c r="J11106" t="s">
        <v>30</v>
      </c>
      <c r="K11106" t="s">
        <v>31</v>
      </c>
      <c r="M11106" t="s">
        <v>25494</v>
      </c>
      <c r="N11106" t="str">
        <f>"11/16/2017 2:49:00 PM"</f>
        <v>11/16/2017 2:49:00 PM</v>
      </c>
      <c r="O11106" t="s">
        <v>33145</v>
      </c>
      <c r="T11106" t="s">
        <v>33146</v>
      </c>
    </row>
    <row r="11107" spans="1:20" x14ac:dyDescent="0.25">
      <c r="A11107" t="str">
        <f>"3046555"</f>
        <v>3046555</v>
      </c>
      <c r="B11107" t="s">
        <v>33168</v>
      </c>
      <c r="C11107" t="str">
        <f>"58240000"</f>
        <v>58240000</v>
      </c>
      <c r="D11107" t="s">
        <v>33145</v>
      </c>
      <c r="E11107" t="s">
        <v>33146</v>
      </c>
      <c r="F11107" t="s">
        <v>33147</v>
      </c>
      <c r="I11107" t="s">
        <v>29</v>
      </c>
      <c r="J11107" t="s">
        <v>30</v>
      </c>
      <c r="K11107" t="s">
        <v>31</v>
      </c>
      <c r="M11107" t="s">
        <v>25494</v>
      </c>
      <c r="N11107" t="str">
        <f>"11/16/2017 2:49:00 PM"</f>
        <v>11/16/2017 2:49:00 PM</v>
      </c>
      <c r="O11107" t="s">
        <v>33145</v>
      </c>
      <c r="T11107" t="s">
        <v>33146</v>
      </c>
    </row>
    <row r="11108" spans="1:20" x14ac:dyDescent="0.25">
      <c r="A11108" t="str">
        <f>"3046547"</f>
        <v>3046547</v>
      </c>
      <c r="B11108" t="s">
        <v>33169</v>
      </c>
      <c r="C11108" t="str">
        <f>"58240000"</f>
        <v>58240000</v>
      </c>
      <c r="D11108" t="s">
        <v>33145</v>
      </c>
      <c r="E11108" t="s">
        <v>33146</v>
      </c>
      <c r="F11108" t="s">
        <v>33147</v>
      </c>
      <c r="I11108" t="s">
        <v>29</v>
      </c>
      <c r="J11108" t="s">
        <v>30</v>
      </c>
      <c r="K11108" t="s">
        <v>31</v>
      </c>
      <c r="M11108" t="s">
        <v>25494</v>
      </c>
      <c r="N11108" t="str">
        <f>"11/16/2017 2:49:00 PM"</f>
        <v>11/16/2017 2:49:00 PM</v>
      </c>
      <c r="O11108" t="s">
        <v>33145</v>
      </c>
      <c r="T11108" t="s">
        <v>33146</v>
      </c>
    </row>
    <row r="11109" spans="1:20" x14ac:dyDescent="0.25">
      <c r="A11109" t="str">
        <f>"3049460"</f>
        <v>3049460</v>
      </c>
      <c r="B11109" t="s">
        <v>33170</v>
      </c>
      <c r="C11109" t="str">
        <f>"8308847"</f>
        <v>8308847</v>
      </c>
      <c r="D11109" t="s">
        <v>33171</v>
      </c>
      <c r="E11109" t="s">
        <v>33172</v>
      </c>
      <c r="F11109" t="s">
        <v>33173</v>
      </c>
      <c r="I11109" t="s">
        <v>29</v>
      </c>
      <c r="J11109" t="s">
        <v>30</v>
      </c>
      <c r="K11109" t="s">
        <v>12425</v>
      </c>
      <c r="M11109" t="s">
        <v>17861</v>
      </c>
      <c r="N11109" t="str">
        <f>"11/21/2017 10:16:00 AM"</f>
        <v>11/21/2017 10:16:00 AM</v>
      </c>
      <c r="O11109" t="s">
        <v>33171</v>
      </c>
      <c r="T11109" t="s">
        <v>33172</v>
      </c>
    </row>
    <row r="11110" spans="1:20" x14ac:dyDescent="0.25">
      <c r="A11110" t="str">
        <f>"3060246"</f>
        <v>3060246</v>
      </c>
      <c r="B11110" t="s">
        <v>33174</v>
      </c>
      <c r="C11110" t="str">
        <f>"8308866"</f>
        <v>8308866</v>
      </c>
      <c r="D11110" t="s">
        <v>33175</v>
      </c>
      <c r="F11110" t="s">
        <v>33176</v>
      </c>
      <c r="I11110" t="s">
        <v>184</v>
      </c>
      <c r="J11110" t="s">
        <v>30</v>
      </c>
      <c r="K11110" t="s">
        <v>33177</v>
      </c>
      <c r="M11110" t="s">
        <v>17861</v>
      </c>
      <c r="N11110" t="str">
        <f>"11/27/2017 2:28:00 PM"</f>
        <v>11/27/2017 2:28:00 PM</v>
      </c>
      <c r="O11110" t="s">
        <v>33175</v>
      </c>
    </row>
    <row r="11111" spans="1:20" x14ac:dyDescent="0.25">
      <c r="A11111" t="str">
        <f>"3078969"</f>
        <v>3078969</v>
      </c>
      <c r="B11111" t="s">
        <v>33178</v>
      </c>
      <c r="C11111" t="str">
        <f>"8308869"</f>
        <v>8308869</v>
      </c>
      <c r="D11111" t="s">
        <v>33179</v>
      </c>
      <c r="E11111" t="s">
        <v>33180</v>
      </c>
      <c r="F11111" t="s">
        <v>33181</v>
      </c>
      <c r="I11111" t="s">
        <v>29</v>
      </c>
      <c r="J11111" t="s">
        <v>30</v>
      </c>
      <c r="K11111" t="s">
        <v>33182</v>
      </c>
      <c r="M11111" t="s">
        <v>17861</v>
      </c>
      <c r="N11111" t="str">
        <f>"11/27/2017 3:29:00 PM"</f>
        <v>11/27/2017 3:29:00 PM</v>
      </c>
      <c r="O11111" t="s">
        <v>33179</v>
      </c>
      <c r="T11111" t="s">
        <v>33180</v>
      </c>
    </row>
    <row r="11112" spans="1:20" x14ac:dyDescent="0.25">
      <c r="A11112" t="str">
        <f>"3051366"</f>
        <v>3051366</v>
      </c>
      <c r="B11112" t="s">
        <v>33183</v>
      </c>
      <c r="C11112" t="str">
        <f>"8308851"</f>
        <v>8308851</v>
      </c>
      <c r="D11112" t="s">
        <v>33184</v>
      </c>
      <c r="F11112" t="s">
        <v>33185</v>
      </c>
      <c r="I11112" t="s">
        <v>29</v>
      </c>
      <c r="J11112" t="s">
        <v>30</v>
      </c>
      <c r="K11112" t="s">
        <v>33186</v>
      </c>
      <c r="M11112" t="s">
        <v>17861</v>
      </c>
      <c r="N11112" t="str">
        <f>"11/22/2017 10:41:00 AM"</f>
        <v>11/22/2017 10:41:00 AM</v>
      </c>
      <c r="O11112" t="s">
        <v>33184</v>
      </c>
    </row>
    <row r="11113" spans="1:20" x14ac:dyDescent="0.25">
      <c r="A11113" t="str">
        <f>"3051594"</f>
        <v>3051594</v>
      </c>
      <c r="B11113" t="s">
        <v>33187</v>
      </c>
      <c r="C11113" t="str">
        <f>"8308851"</f>
        <v>8308851</v>
      </c>
      <c r="D11113" t="s">
        <v>33184</v>
      </c>
      <c r="F11113" t="s">
        <v>33185</v>
      </c>
      <c r="I11113" t="s">
        <v>29</v>
      </c>
      <c r="J11113" t="s">
        <v>30</v>
      </c>
      <c r="K11113" t="s">
        <v>33186</v>
      </c>
      <c r="M11113" t="s">
        <v>17861</v>
      </c>
      <c r="N11113" t="str">
        <f>"11/22/2017 10:41:00 AM"</f>
        <v>11/22/2017 10:41:00 AM</v>
      </c>
      <c r="O11113" t="s">
        <v>33184</v>
      </c>
    </row>
    <row r="11114" spans="1:20" x14ac:dyDescent="0.25">
      <c r="A11114" t="str">
        <f>"3045920"</f>
        <v>3045920</v>
      </c>
      <c r="B11114" t="s">
        <v>33188</v>
      </c>
      <c r="C11114" t="str">
        <f>"48910000"</f>
        <v>48910000</v>
      </c>
      <c r="D11114" t="s">
        <v>32396</v>
      </c>
      <c r="F11114" t="s">
        <v>9829</v>
      </c>
      <c r="I11114" t="s">
        <v>29</v>
      </c>
      <c r="J11114" t="s">
        <v>30</v>
      </c>
      <c r="K11114" t="s">
        <v>31</v>
      </c>
      <c r="M11114" t="s">
        <v>25625</v>
      </c>
      <c r="N11114" t="str">
        <f>"11/20/2017 10:08:00 AM"</f>
        <v>11/20/2017 10:08:00 AM</v>
      </c>
      <c r="O11114" t="s">
        <v>32396</v>
      </c>
    </row>
    <row r="11115" spans="1:20" x14ac:dyDescent="0.25">
      <c r="A11115" t="str">
        <f>"3060024"</f>
        <v>3060024</v>
      </c>
      <c r="B11115" t="s">
        <v>33189</v>
      </c>
      <c r="C11115" t="str">
        <f>"8308816"</f>
        <v>8308816</v>
      </c>
      <c r="D11115" t="s">
        <v>33190</v>
      </c>
      <c r="F11115" t="s">
        <v>33191</v>
      </c>
      <c r="I11115" t="s">
        <v>184</v>
      </c>
      <c r="J11115" t="s">
        <v>30</v>
      </c>
      <c r="K11115" t="s">
        <v>33192</v>
      </c>
      <c r="M11115" t="s">
        <v>17861</v>
      </c>
      <c r="N11115" t="str">
        <f>"11/16/2017 8:48:00 AM"</f>
        <v>11/16/2017 8:48:00 AM</v>
      </c>
      <c r="O11115" t="s">
        <v>33190</v>
      </c>
    </row>
    <row r="11116" spans="1:20" x14ac:dyDescent="0.25">
      <c r="A11116" t="str">
        <f>"3059417"</f>
        <v>3059417</v>
      </c>
      <c r="B11116" t="s">
        <v>33193</v>
      </c>
      <c r="C11116" t="str">
        <f>"8308819"</f>
        <v>8308819</v>
      </c>
      <c r="D11116" t="s">
        <v>33194</v>
      </c>
      <c r="F11116" t="s">
        <v>33195</v>
      </c>
      <c r="I11116" t="s">
        <v>29</v>
      </c>
      <c r="J11116" t="s">
        <v>30</v>
      </c>
      <c r="K11116" t="s">
        <v>33196</v>
      </c>
      <c r="M11116" t="s">
        <v>17861</v>
      </c>
      <c r="N11116" t="str">
        <f>"11/16/2017 11:06:00 AM"</f>
        <v>11/16/2017 11:06:00 AM</v>
      </c>
      <c r="O11116" t="s">
        <v>33194</v>
      </c>
    </row>
    <row r="11117" spans="1:20" x14ac:dyDescent="0.25">
      <c r="A11117" t="str">
        <f>"3059365"</f>
        <v>3059365</v>
      </c>
      <c r="B11117" t="s">
        <v>33197</v>
      </c>
      <c r="C11117" t="str">
        <f>"8308890"</f>
        <v>8308890</v>
      </c>
      <c r="D11117" t="s">
        <v>33198</v>
      </c>
      <c r="E11117" t="s">
        <v>33199</v>
      </c>
      <c r="F11117" t="s">
        <v>33200</v>
      </c>
      <c r="I11117" t="s">
        <v>29</v>
      </c>
      <c r="J11117" t="s">
        <v>30</v>
      </c>
      <c r="K11117" t="s">
        <v>33201</v>
      </c>
      <c r="M11117" t="s">
        <v>17861</v>
      </c>
      <c r="N11117" t="str">
        <f>"11/28/2017 1:16:00 PM"</f>
        <v>11/28/2017 1:16:00 PM</v>
      </c>
      <c r="O11117" t="s">
        <v>33198</v>
      </c>
      <c r="T11117" t="s">
        <v>33199</v>
      </c>
    </row>
    <row r="11118" spans="1:20" x14ac:dyDescent="0.25">
      <c r="A11118" t="str">
        <f>"3047920"</f>
        <v>3047920</v>
      </c>
      <c r="B11118" t="s">
        <v>33202</v>
      </c>
      <c r="C11118" t="str">
        <f>"8308891"</f>
        <v>8308891</v>
      </c>
      <c r="D11118" t="s">
        <v>33203</v>
      </c>
      <c r="E11118" t="s">
        <v>33204</v>
      </c>
      <c r="F11118" t="s">
        <v>33205</v>
      </c>
      <c r="I11118" t="s">
        <v>29</v>
      </c>
      <c r="J11118" t="s">
        <v>30</v>
      </c>
      <c r="K11118" t="s">
        <v>7995</v>
      </c>
      <c r="M11118" t="s">
        <v>17861</v>
      </c>
      <c r="N11118" t="str">
        <f>"11/28/2017 1:20:00 PM"</f>
        <v>11/28/2017 1:20:00 PM</v>
      </c>
      <c r="O11118" t="s">
        <v>33203</v>
      </c>
      <c r="T11118" t="s">
        <v>33204</v>
      </c>
    </row>
    <row r="11119" spans="1:20" x14ac:dyDescent="0.25">
      <c r="A11119" t="str">
        <f>"3047913"</f>
        <v>3047913</v>
      </c>
      <c r="B11119" t="s">
        <v>33206</v>
      </c>
      <c r="C11119" t="str">
        <f>"8308891"</f>
        <v>8308891</v>
      </c>
      <c r="D11119" t="s">
        <v>33203</v>
      </c>
      <c r="E11119" t="s">
        <v>33204</v>
      </c>
      <c r="F11119" t="s">
        <v>33205</v>
      </c>
      <c r="I11119" t="s">
        <v>29</v>
      </c>
      <c r="J11119" t="s">
        <v>30</v>
      </c>
      <c r="K11119" t="s">
        <v>7995</v>
      </c>
      <c r="M11119" t="s">
        <v>17861</v>
      </c>
      <c r="N11119" t="str">
        <f>"11/28/2017 1:20:00 PM"</f>
        <v>11/28/2017 1:20:00 PM</v>
      </c>
      <c r="O11119" t="s">
        <v>33203</v>
      </c>
      <c r="T11119" t="s">
        <v>33204</v>
      </c>
    </row>
    <row r="11120" spans="1:20" x14ac:dyDescent="0.25">
      <c r="A11120" t="str">
        <f>"3049776"</f>
        <v>3049776</v>
      </c>
      <c r="B11120" t="s">
        <v>33207</v>
      </c>
      <c r="C11120" t="str">
        <f>"8308893"</f>
        <v>8308893</v>
      </c>
      <c r="D11120" t="s">
        <v>33208</v>
      </c>
      <c r="F11120" t="s">
        <v>33209</v>
      </c>
      <c r="I11120" t="s">
        <v>17921</v>
      </c>
      <c r="J11120" t="s">
        <v>30</v>
      </c>
      <c r="K11120" t="str">
        <f>"27028"</f>
        <v>27028</v>
      </c>
      <c r="M11120" t="s">
        <v>17861</v>
      </c>
      <c r="N11120" t="str">
        <f>"11/28/2017 2:09:00 PM"</f>
        <v>11/28/2017 2:09:00 PM</v>
      </c>
      <c r="O11120" t="s">
        <v>33208</v>
      </c>
    </row>
    <row r="11121" spans="1:20" x14ac:dyDescent="0.25">
      <c r="A11121" t="str">
        <f>"3053753"</f>
        <v>3053753</v>
      </c>
      <c r="B11121" t="s">
        <v>33210</v>
      </c>
      <c r="C11121" t="str">
        <f>"8308895"</f>
        <v>8308895</v>
      </c>
      <c r="D11121" t="s">
        <v>33211</v>
      </c>
      <c r="E11121" t="s">
        <v>33212</v>
      </c>
      <c r="F11121" t="s">
        <v>33213</v>
      </c>
      <c r="I11121" t="s">
        <v>29</v>
      </c>
      <c r="J11121" t="s">
        <v>30</v>
      </c>
      <c r="K11121" t="s">
        <v>6729</v>
      </c>
      <c r="M11121" t="s">
        <v>17861</v>
      </c>
      <c r="N11121" t="str">
        <f>"11/28/2017 2:43:00 PM"</f>
        <v>11/28/2017 2:43:00 PM</v>
      </c>
      <c r="O11121" t="s">
        <v>33211</v>
      </c>
      <c r="T11121" t="s">
        <v>33212</v>
      </c>
    </row>
    <row r="11122" spans="1:20" x14ac:dyDescent="0.25">
      <c r="A11122" t="str">
        <f>"3037362"</f>
        <v>3037362</v>
      </c>
      <c r="B11122" t="s">
        <v>33214</v>
      </c>
      <c r="C11122" t="str">
        <f>"8308896"</f>
        <v>8308896</v>
      </c>
      <c r="D11122" t="s">
        <v>33215</v>
      </c>
      <c r="E11122" t="s">
        <v>33216</v>
      </c>
      <c r="F11122" t="s">
        <v>33217</v>
      </c>
      <c r="I11122" t="s">
        <v>184</v>
      </c>
      <c r="J11122" t="s">
        <v>30</v>
      </c>
      <c r="K11122" t="s">
        <v>1915</v>
      </c>
      <c r="M11122" t="s">
        <v>17861</v>
      </c>
      <c r="N11122" t="str">
        <f>"11/28/2017 2:50:00 PM"</f>
        <v>11/28/2017 2:50:00 PM</v>
      </c>
      <c r="O11122" t="s">
        <v>33215</v>
      </c>
      <c r="T11122" t="s">
        <v>33216</v>
      </c>
    </row>
    <row r="11123" spans="1:20" x14ac:dyDescent="0.25">
      <c r="A11123" t="str">
        <f>"3046941"</f>
        <v>3046941</v>
      </c>
      <c r="B11123" t="s">
        <v>33218</v>
      </c>
      <c r="C11123" t="str">
        <f>"8308897"</f>
        <v>8308897</v>
      </c>
      <c r="D11123" t="s">
        <v>33219</v>
      </c>
      <c r="E11123" t="s">
        <v>33220</v>
      </c>
      <c r="F11123" t="s">
        <v>33221</v>
      </c>
      <c r="I11123" t="s">
        <v>29</v>
      </c>
      <c r="J11123" t="s">
        <v>30</v>
      </c>
      <c r="K11123" t="s">
        <v>32916</v>
      </c>
      <c r="M11123" t="s">
        <v>17861</v>
      </c>
      <c r="N11123" t="str">
        <f>"11/28/2017 2:53:00 PM"</f>
        <v>11/28/2017 2:53:00 PM</v>
      </c>
      <c r="O11123" t="s">
        <v>33219</v>
      </c>
      <c r="T11123" t="s">
        <v>33220</v>
      </c>
    </row>
    <row r="11124" spans="1:20" x14ac:dyDescent="0.25">
      <c r="A11124" t="str">
        <f>"3049157"</f>
        <v>3049157</v>
      </c>
      <c r="B11124" t="s">
        <v>33222</v>
      </c>
      <c r="C11124" t="str">
        <f>"8308820"</f>
        <v>8308820</v>
      </c>
      <c r="D11124" t="s">
        <v>33223</v>
      </c>
      <c r="E11124" t="s">
        <v>33224</v>
      </c>
      <c r="F11124" t="s">
        <v>33225</v>
      </c>
      <c r="I11124" t="s">
        <v>29</v>
      </c>
      <c r="J11124" t="s">
        <v>30</v>
      </c>
      <c r="K11124" t="s">
        <v>33226</v>
      </c>
      <c r="M11124" t="s">
        <v>17861</v>
      </c>
      <c r="N11124" t="str">
        <f>"11/16/2017 11:09:00 AM"</f>
        <v>11/16/2017 11:09:00 AM</v>
      </c>
      <c r="O11124" t="s">
        <v>33223</v>
      </c>
      <c r="T11124" t="s">
        <v>33224</v>
      </c>
    </row>
    <row r="11125" spans="1:20" x14ac:dyDescent="0.25">
      <c r="A11125" t="str">
        <f>"3038151"</f>
        <v>3038151</v>
      </c>
      <c r="B11125" t="s">
        <v>33227</v>
      </c>
      <c r="C11125" t="str">
        <f>"8308821"</f>
        <v>8308821</v>
      </c>
      <c r="D11125" t="s">
        <v>33228</v>
      </c>
      <c r="F11125" t="s">
        <v>33229</v>
      </c>
      <c r="I11125" t="s">
        <v>29</v>
      </c>
      <c r="J11125" t="s">
        <v>30</v>
      </c>
      <c r="K11125" t="s">
        <v>1056</v>
      </c>
      <c r="M11125" t="s">
        <v>17861</v>
      </c>
      <c r="N11125" t="str">
        <f>"11/16/2017 11:20:00 AM"</f>
        <v>11/16/2017 11:20:00 AM</v>
      </c>
      <c r="O11125" t="s">
        <v>33228</v>
      </c>
    </row>
    <row r="11126" spans="1:20" x14ac:dyDescent="0.25">
      <c r="A11126" t="str">
        <f>"3078916"</f>
        <v>3078916</v>
      </c>
      <c r="B11126" t="s">
        <v>33230</v>
      </c>
      <c r="C11126" t="str">
        <f>"8308821"</f>
        <v>8308821</v>
      </c>
      <c r="D11126" t="s">
        <v>33228</v>
      </c>
      <c r="F11126" t="s">
        <v>33229</v>
      </c>
      <c r="I11126" t="s">
        <v>29</v>
      </c>
      <c r="J11126" t="s">
        <v>30</v>
      </c>
      <c r="K11126" t="s">
        <v>1056</v>
      </c>
      <c r="M11126" t="s">
        <v>17861</v>
      </c>
      <c r="N11126" t="str">
        <f>"11/16/2017 11:20:00 AM"</f>
        <v>11/16/2017 11:20:00 AM</v>
      </c>
      <c r="O11126" t="s">
        <v>33228</v>
      </c>
    </row>
    <row r="11127" spans="1:20" x14ac:dyDescent="0.25">
      <c r="A11127" t="str">
        <f>"3061216"</f>
        <v>3061216</v>
      </c>
      <c r="B11127" t="s">
        <v>33231</v>
      </c>
      <c r="C11127" t="str">
        <f>"8307515"</f>
        <v>8307515</v>
      </c>
      <c r="D11127" t="s">
        <v>33232</v>
      </c>
      <c r="F11127" t="s">
        <v>33233</v>
      </c>
      <c r="I11127" t="s">
        <v>2071</v>
      </c>
      <c r="J11127" t="s">
        <v>30</v>
      </c>
      <c r="K11127" t="str">
        <f>"27006"</f>
        <v>27006</v>
      </c>
      <c r="M11127" t="s">
        <v>25494</v>
      </c>
      <c r="N11127" t="str">
        <f>"11/16/2017 11:50:00 AM"</f>
        <v>11/16/2017 11:50:00 AM</v>
      </c>
      <c r="O11127" t="s">
        <v>33232</v>
      </c>
    </row>
    <row r="11128" spans="1:20" x14ac:dyDescent="0.25">
      <c r="A11128" t="str">
        <f>"3047606"</f>
        <v>3047606</v>
      </c>
      <c r="B11128" t="s">
        <v>33234</v>
      </c>
      <c r="C11128" t="str">
        <f>"8308910"</f>
        <v>8308910</v>
      </c>
      <c r="D11128" t="s">
        <v>33235</v>
      </c>
      <c r="E11128" t="s">
        <v>33236</v>
      </c>
      <c r="F11128" t="s">
        <v>33237</v>
      </c>
      <c r="I11128" t="s">
        <v>1107</v>
      </c>
      <c r="J11128" t="s">
        <v>30</v>
      </c>
      <c r="K11128" t="str">
        <f>"28625"</f>
        <v>28625</v>
      </c>
      <c r="M11128" t="s">
        <v>17861</v>
      </c>
      <c r="N11128" t="str">
        <f>"11/28/2017 4:20:00 PM"</f>
        <v>11/28/2017 4:20:00 PM</v>
      </c>
      <c r="O11128" t="s">
        <v>33235</v>
      </c>
      <c r="T11128" t="s">
        <v>33236</v>
      </c>
    </row>
    <row r="11129" spans="1:20" x14ac:dyDescent="0.25">
      <c r="A11129" t="str">
        <f>"3049190"</f>
        <v>3049190</v>
      </c>
      <c r="B11129" t="s">
        <v>33238</v>
      </c>
      <c r="C11129" t="str">
        <f>"8308913"</f>
        <v>8308913</v>
      </c>
      <c r="D11129" t="s">
        <v>33239</v>
      </c>
      <c r="F11129" t="s">
        <v>33240</v>
      </c>
      <c r="I11129" t="s">
        <v>29</v>
      </c>
      <c r="J11129" t="s">
        <v>30</v>
      </c>
      <c r="K11129" t="s">
        <v>33241</v>
      </c>
      <c r="M11129" t="s">
        <v>17861</v>
      </c>
      <c r="N11129" t="str">
        <f>"11/29/2017 9:34:00 AM"</f>
        <v>11/29/2017 9:34:00 AM</v>
      </c>
      <c r="O11129" t="s">
        <v>33239</v>
      </c>
    </row>
    <row r="11130" spans="1:20" x14ac:dyDescent="0.25">
      <c r="A11130" t="str">
        <f>"3042587"</f>
        <v>3042587</v>
      </c>
      <c r="B11130" t="s">
        <v>33242</v>
      </c>
      <c r="C11130" t="str">
        <f>"8308914"</f>
        <v>8308914</v>
      </c>
      <c r="D11130" t="s">
        <v>33243</v>
      </c>
      <c r="F11130" t="s">
        <v>33244</v>
      </c>
      <c r="I11130" t="s">
        <v>184</v>
      </c>
      <c r="J11130" t="s">
        <v>30</v>
      </c>
      <c r="K11130" t="s">
        <v>4773</v>
      </c>
      <c r="M11130" t="s">
        <v>17861</v>
      </c>
      <c r="N11130" t="str">
        <f>"11/29/2017 9:44:00 AM"</f>
        <v>11/29/2017 9:44:00 AM</v>
      </c>
      <c r="O11130" t="s">
        <v>33243</v>
      </c>
    </row>
    <row r="11131" spans="1:20" x14ac:dyDescent="0.25">
      <c r="A11131" t="str">
        <f>"3045907"</f>
        <v>3045907</v>
      </c>
      <c r="B11131" t="s">
        <v>33245</v>
      </c>
      <c r="C11131" t="str">
        <f>"8308823"</f>
        <v>8308823</v>
      </c>
      <c r="D11131" t="s">
        <v>33246</v>
      </c>
      <c r="E11131" t="str">
        <f>"SPILLMAN ROGER P/DEBORAH A"</f>
        <v>SPILLMAN ROGER P/DEBORAH A</v>
      </c>
      <c r="F11131" t="s">
        <v>33247</v>
      </c>
      <c r="I11131" t="s">
        <v>29</v>
      </c>
      <c r="J11131" t="s">
        <v>30</v>
      </c>
      <c r="K11131" t="s">
        <v>19156</v>
      </c>
      <c r="M11131" t="s">
        <v>17861</v>
      </c>
      <c r="N11131" t="str">
        <f>"11/16/2017 1:45:00 PM"</f>
        <v>11/16/2017 1:45:00 PM</v>
      </c>
      <c r="O11131" t="s">
        <v>33246</v>
      </c>
      <c r="T11131" t="str">
        <f>"SPILLMAN ROGER P/DEBORAH A"</f>
        <v>SPILLMAN ROGER P/DEBORAH A</v>
      </c>
    </row>
    <row r="11132" spans="1:20" x14ac:dyDescent="0.25">
      <c r="A11132" t="str">
        <f>"3051655"</f>
        <v>3051655</v>
      </c>
      <c r="B11132" t="s">
        <v>33248</v>
      </c>
      <c r="C11132" t="str">
        <f>"8308823"</f>
        <v>8308823</v>
      </c>
      <c r="D11132" t="s">
        <v>33246</v>
      </c>
      <c r="E11132" t="str">
        <f>"SPILLMAN ROGER P/DEBORAH A"</f>
        <v>SPILLMAN ROGER P/DEBORAH A</v>
      </c>
      <c r="F11132" t="s">
        <v>33247</v>
      </c>
      <c r="I11132" t="s">
        <v>29</v>
      </c>
      <c r="J11132" t="s">
        <v>30</v>
      </c>
      <c r="K11132" t="s">
        <v>19156</v>
      </c>
      <c r="M11132" t="s">
        <v>17861</v>
      </c>
      <c r="N11132" t="str">
        <f>"11/16/2017 1:45:00 PM"</f>
        <v>11/16/2017 1:45:00 PM</v>
      </c>
      <c r="O11132" t="s">
        <v>33246</v>
      </c>
      <c r="T11132" t="str">
        <f>"SPILLMAN ROGER P/DEBORAH A"</f>
        <v>SPILLMAN ROGER P/DEBORAH A</v>
      </c>
    </row>
    <row r="11133" spans="1:20" x14ac:dyDescent="0.25">
      <c r="A11133" t="str">
        <f>"3040098"</f>
        <v>3040098</v>
      </c>
      <c r="B11133" t="s">
        <v>33249</v>
      </c>
      <c r="C11133" t="str">
        <f>"8308825"</f>
        <v>8308825</v>
      </c>
      <c r="D11133" t="s">
        <v>33250</v>
      </c>
      <c r="E11133" t="s">
        <v>33251</v>
      </c>
      <c r="F11133" t="s">
        <v>33252</v>
      </c>
      <c r="I11133" t="s">
        <v>29</v>
      </c>
      <c r="J11133" t="s">
        <v>30</v>
      </c>
      <c r="K11133" t="s">
        <v>1014</v>
      </c>
      <c r="M11133" t="s">
        <v>17861</v>
      </c>
      <c r="N11133" t="str">
        <f>"11/16/2017 1:57:00 PM"</f>
        <v>11/16/2017 1:57:00 PM</v>
      </c>
      <c r="O11133" t="s">
        <v>33250</v>
      </c>
      <c r="T11133" t="s">
        <v>33251</v>
      </c>
    </row>
    <row r="11134" spans="1:20" x14ac:dyDescent="0.25">
      <c r="A11134" t="str">
        <f>"3041251"</f>
        <v>3041251</v>
      </c>
      <c r="B11134" t="s">
        <v>33253</v>
      </c>
      <c r="C11134" t="str">
        <f>"82524307"</f>
        <v>82524307</v>
      </c>
      <c r="D11134" t="s">
        <v>33254</v>
      </c>
      <c r="E11134" t="s">
        <v>33255</v>
      </c>
      <c r="F11134" t="s">
        <v>33256</v>
      </c>
      <c r="I11134" t="s">
        <v>22335</v>
      </c>
      <c r="J11134" t="s">
        <v>30</v>
      </c>
      <c r="K11134" t="s">
        <v>33257</v>
      </c>
      <c r="M11134" t="s">
        <v>25733</v>
      </c>
      <c r="N11134" t="str">
        <f>"11/29/2017 1:38:00 PM"</f>
        <v>11/29/2017 1:38:00 PM</v>
      </c>
      <c r="O11134" t="s">
        <v>33254</v>
      </c>
      <c r="T11134" t="s">
        <v>33255</v>
      </c>
    </row>
    <row r="11135" spans="1:20" x14ac:dyDescent="0.25">
      <c r="A11135" t="str">
        <f>"3051962"</f>
        <v>3051962</v>
      </c>
      <c r="B11135" t="s">
        <v>33258</v>
      </c>
      <c r="C11135" t="str">
        <f>"8308935"</f>
        <v>8308935</v>
      </c>
      <c r="D11135" t="s">
        <v>33259</v>
      </c>
      <c r="E11135" t="s">
        <v>33260</v>
      </c>
      <c r="F11135" t="s">
        <v>33261</v>
      </c>
      <c r="I11135" t="s">
        <v>29</v>
      </c>
      <c r="J11135" t="s">
        <v>30</v>
      </c>
      <c r="K11135" t="s">
        <v>33262</v>
      </c>
      <c r="M11135" t="s">
        <v>17861</v>
      </c>
      <c r="N11135" t="str">
        <f>"11/29/2017 1:41:00 PM"</f>
        <v>11/29/2017 1:41:00 PM</v>
      </c>
      <c r="O11135" t="s">
        <v>33259</v>
      </c>
      <c r="T11135" t="s">
        <v>33260</v>
      </c>
    </row>
    <row r="11136" spans="1:20" x14ac:dyDescent="0.25">
      <c r="A11136" t="str">
        <f>"3051302"</f>
        <v>3051302</v>
      </c>
      <c r="B11136" t="s">
        <v>33263</v>
      </c>
      <c r="C11136" t="str">
        <f>"8308936"</f>
        <v>8308936</v>
      </c>
      <c r="D11136" t="s">
        <v>33264</v>
      </c>
      <c r="E11136" t="s">
        <v>33265</v>
      </c>
      <c r="F11136" t="s">
        <v>12852</v>
      </c>
      <c r="I11136" t="s">
        <v>17921</v>
      </c>
      <c r="J11136" t="s">
        <v>30</v>
      </c>
      <c r="K11136" t="str">
        <f>"27028"</f>
        <v>27028</v>
      </c>
      <c r="M11136" t="s">
        <v>17861</v>
      </c>
      <c r="N11136" t="str">
        <f>"11/29/2017 2:19:00 PM"</f>
        <v>11/29/2017 2:19:00 PM</v>
      </c>
      <c r="O11136" t="s">
        <v>33264</v>
      </c>
      <c r="T11136" t="s">
        <v>33265</v>
      </c>
    </row>
    <row r="11137" spans="1:20" x14ac:dyDescent="0.25">
      <c r="A11137" t="str">
        <f>"3045938"</f>
        <v>3045938</v>
      </c>
      <c r="B11137" t="s">
        <v>33266</v>
      </c>
      <c r="C11137" t="str">
        <f>"82527087"</f>
        <v>82527087</v>
      </c>
      <c r="D11137" t="s">
        <v>8558</v>
      </c>
      <c r="E11137" t="s">
        <v>33267</v>
      </c>
      <c r="F11137" t="s">
        <v>33268</v>
      </c>
      <c r="I11137" t="s">
        <v>29</v>
      </c>
      <c r="J11137" t="s">
        <v>30</v>
      </c>
      <c r="K11137" t="s">
        <v>31</v>
      </c>
      <c r="M11137" t="s">
        <v>22002</v>
      </c>
      <c r="N11137" t="str">
        <f>"11/30/2017 2:48:00 PM"</f>
        <v>11/30/2017 2:48:00 PM</v>
      </c>
      <c r="O11137" t="s">
        <v>8558</v>
      </c>
      <c r="T11137" t="s">
        <v>33267</v>
      </c>
    </row>
    <row r="11138" spans="1:20" x14ac:dyDescent="0.25">
      <c r="A11138" t="str">
        <f>"3045939"</f>
        <v>3045939</v>
      </c>
      <c r="B11138" t="s">
        <v>33269</v>
      </c>
      <c r="C11138" t="str">
        <f>"82527087"</f>
        <v>82527087</v>
      </c>
      <c r="D11138" t="s">
        <v>8558</v>
      </c>
      <c r="E11138" t="s">
        <v>33267</v>
      </c>
      <c r="F11138" t="s">
        <v>33268</v>
      </c>
      <c r="I11138" t="s">
        <v>29</v>
      </c>
      <c r="J11138" t="s">
        <v>30</v>
      </c>
      <c r="K11138" t="s">
        <v>31</v>
      </c>
      <c r="M11138" t="s">
        <v>22002</v>
      </c>
      <c r="N11138" t="str">
        <f>"11/30/2017 2:48:00 PM"</f>
        <v>11/30/2017 2:48:00 PM</v>
      </c>
      <c r="O11138" t="s">
        <v>8558</v>
      </c>
      <c r="T11138" t="s">
        <v>33267</v>
      </c>
    </row>
    <row r="11139" spans="1:20" x14ac:dyDescent="0.25">
      <c r="A11139" t="str">
        <f>"3045862"</f>
        <v>3045862</v>
      </c>
      <c r="B11139" t="s">
        <v>33270</v>
      </c>
      <c r="C11139" t="str">
        <f>"82527087"</f>
        <v>82527087</v>
      </c>
      <c r="D11139" t="s">
        <v>8558</v>
      </c>
      <c r="E11139" t="s">
        <v>33267</v>
      </c>
      <c r="F11139" t="s">
        <v>33268</v>
      </c>
      <c r="I11139" t="s">
        <v>29</v>
      </c>
      <c r="J11139" t="s">
        <v>30</v>
      </c>
      <c r="K11139" t="s">
        <v>31</v>
      </c>
      <c r="M11139" t="s">
        <v>22002</v>
      </c>
      <c r="N11139" t="str">
        <f>"11/30/2017 2:48:00 PM"</f>
        <v>11/30/2017 2:48:00 PM</v>
      </c>
      <c r="O11139" t="s">
        <v>8558</v>
      </c>
      <c r="T11139" t="s">
        <v>33267</v>
      </c>
    </row>
    <row r="11140" spans="1:20" x14ac:dyDescent="0.25">
      <c r="A11140" t="str">
        <f>"3065290"</f>
        <v>3065290</v>
      </c>
      <c r="B11140" t="s">
        <v>33271</v>
      </c>
      <c r="C11140" t="str">
        <f>"82527087"</f>
        <v>82527087</v>
      </c>
      <c r="D11140" t="s">
        <v>8558</v>
      </c>
      <c r="E11140" t="s">
        <v>33267</v>
      </c>
      <c r="F11140" t="s">
        <v>33268</v>
      </c>
      <c r="I11140" t="s">
        <v>29</v>
      </c>
      <c r="J11140" t="s">
        <v>30</v>
      </c>
      <c r="K11140" t="s">
        <v>31</v>
      </c>
      <c r="M11140" t="s">
        <v>22002</v>
      </c>
      <c r="N11140" t="str">
        <f>"11/30/2017 2:48:00 PM"</f>
        <v>11/30/2017 2:48:00 PM</v>
      </c>
      <c r="O11140" t="s">
        <v>8558</v>
      </c>
      <c r="T11140" t="s">
        <v>33267</v>
      </c>
    </row>
    <row r="11141" spans="1:20" x14ac:dyDescent="0.25">
      <c r="A11141" t="str">
        <f>"3059766"</f>
        <v>3059766</v>
      </c>
      <c r="B11141" t="s">
        <v>33272</v>
      </c>
      <c r="C11141" t="str">
        <f>"8300406"</f>
        <v>8300406</v>
      </c>
      <c r="D11141" t="s">
        <v>33273</v>
      </c>
      <c r="E11141" t="s">
        <v>33274</v>
      </c>
      <c r="F11141" t="s">
        <v>30874</v>
      </c>
      <c r="I11141" t="s">
        <v>17921</v>
      </c>
      <c r="J11141" t="s">
        <v>30</v>
      </c>
      <c r="K11141" t="s">
        <v>31</v>
      </c>
      <c r="M11141" t="s">
        <v>27053</v>
      </c>
      <c r="N11141" t="str">
        <f>"12/1/2017 8:52:00 AM"</f>
        <v>12/1/2017 8:52:00 AM</v>
      </c>
      <c r="O11141" t="s">
        <v>33273</v>
      </c>
      <c r="T11141" t="s">
        <v>33274</v>
      </c>
    </row>
    <row r="11142" spans="1:20" x14ac:dyDescent="0.25">
      <c r="A11142" t="str">
        <f>"3058172"</f>
        <v>3058172</v>
      </c>
      <c r="B11142" t="s">
        <v>33275</v>
      </c>
      <c r="C11142" t="str">
        <f>"8308828"</f>
        <v>8308828</v>
      </c>
      <c r="D11142" t="s">
        <v>33276</v>
      </c>
      <c r="E11142" t="s">
        <v>33277</v>
      </c>
      <c r="F11142" t="s">
        <v>33278</v>
      </c>
      <c r="I11142" t="s">
        <v>29</v>
      </c>
      <c r="J11142" t="s">
        <v>30</v>
      </c>
      <c r="K11142" t="s">
        <v>33279</v>
      </c>
      <c r="M11142" t="s">
        <v>17861</v>
      </c>
      <c r="N11142" t="str">
        <f>"11/16/2017 2:10:00 PM"</f>
        <v>11/16/2017 2:10:00 PM</v>
      </c>
      <c r="O11142" t="s">
        <v>33276</v>
      </c>
      <c r="T11142" t="s">
        <v>33277</v>
      </c>
    </row>
    <row r="11143" spans="1:20" x14ac:dyDescent="0.25">
      <c r="A11143" t="str">
        <f>"3057238"</f>
        <v>3057238</v>
      </c>
      <c r="B11143" t="s">
        <v>33280</v>
      </c>
      <c r="C11143" t="str">
        <f>"8308828"</f>
        <v>8308828</v>
      </c>
      <c r="D11143" t="s">
        <v>33276</v>
      </c>
      <c r="E11143" t="s">
        <v>33277</v>
      </c>
      <c r="F11143" t="s">
        <v>33278</v>
      </c>
      <c r="I11143" t="s">
        <v>29</v>
      </c>
      <c r="J11143" t="s">
        <v>30</v>
      </c>
      <c r="K11143" t="s">
        <v>33279</v>
      </c>
      <c r="M11143" t="s">
        <v>17861</v>
      </c>
      <c r="N11143" t="str">
        <f>"11/16/2017 2:10:00 PM"</f>
        <v>11/16/2017 2:10:00 PM</v>
      </c>
      <c r="O11143" t="s">
        <v>33276</v>
      </c>
      <c r="T11143" t="s">
        <v>33277</v>
      </c>
    </row>
    <row r="11144" spans="1:20" x14ac:dyDescent="0.25">
      <c r="A11144" t="str">
        <f>"3045942"</f>
        <v>3045942</v>
      </c>
      <c r="B11144" t="s">
        <v>33281</v>
      </c>
      <c r="C11144" t="str">
        <f>"48910000"</f>
        <v>48910000</v>
      </c>
      <c r="D11144" t="s">
        <v>32396</v>
      </c>
      <c r="F11144" t="s">
        <v>9829</v>
      </c>
      <c r="I11144" t="s">
        <v>29</v>
      </c>
      <c r="J11144" t="s">
        <v>30</v>
      </c>
      <c r="K11144" t="s">
        <v>31</v>
      </c>
      <c r="M11144" t="s">
        <v>25625</v>
      </c>
      <c r="N11144" t="str">
        <f>"11/20/2017 10:08:00 AM"</f>
        <v>11/20/2017 10:08:00 AM</v>
      </c>
      <c r="O11144" t="s">
        <v>32396</v>
      </c>
    </row>
    <row r="11145" spans="1:20" x14ac:dyDescent="0.25">
      <c r="A11145" t="str">
        <f>"3045966"</f>
        <v>3045966</v>
      </c>
      <c r="B11145" t="s">
        <v>33282</v>
      </c>
      <c r="C11145" t="str">
        <f>"48910000"</f>
        <v>48910000</v>
      </c>
      <c r="D11145" t="s">
        <v>32396</v>
      </c>
      <c r="F11145" t="s">
        <v>9829</v>
      </c>
      <c r="I11145" t="s">
        <v>29</v>
      </c>
      <c r="J11145" t="s">
        <v>30</v>
      </c>
      <c r="K11145" t="s">
        <v>31</v>
      </c>
      <c r="M11145" t="s">
        <v>25625</v>
      </c>
      <c r="N11145" t="str">
        <f>"11/20/2017 10:08:00 AM"</f>
        <v>11/20/2017 10:08:00 AM</v>
      </c>
      <c r="O11145" t="s">
        <v>32396</v>
      </c>
    </row>
    <row r="11146" spans="1:20" x14ac:dyDescent="0.25">
      <c r="A11146" t="str">
        <f>"3051421"</f>
        <v>3051421</v>
      </c>
      <c r="B11146" t="s">
        <v>33283</v>
      </c>
      <c r="C11146" t="str">
        <f>"8308839"</f>
        <v>8308839</v>
      </c>
      <c r="D11146" t="s">
        <v>33149</v>
      </c>
      <c r="F11146" t="s">
        <v>30186</v>
      </c>
      <c r="I11146" t="s">
        <v>1149</v>
      </c>
      <c r="J11146" t="s">
        <v>30</v>
      </c>
      <c r="K11146" t="str">
        <f>"28634"</f>
        <v>28634</v>
      </c>
      <c r="M11146" t="s">
        <v>17861</v>
      </c>
      <c r="N11146" t="str">
        <f>"11/20/2017 10:13:00 AM"</f>
        <v>11/20/2017 10:13:00 AM</v>
      </c>
      <c r="O11146" t="s">
        <v>33149</v>
      </c>
    </row>
    <row r="11147" spans="1:20" x14ac:dyDescent="0.25">
      <c r="A11147" t="str">
        <f>"3060501"</f>
        <v>3060501</v>
      </c>
      <c r="B11147" t="s">
        <v>33284</v>
      </c>
      <c r="C11147" t="str">
        <f>"8308874"</f>
        <v>8308874</v>
      </c>
      <c r="D11147" t="s">
        <v>33285</v>
      </c>
      <c r="F11147" t="s">
        <v>33286</v>
      </c>
      <c r="I11147" t="s">
        <v>184</v>
      </c>
      <c r="J11147" t="s">
        <v>30</v>
      </c>
      <c r="K11147" t="s">
        <v>33287</v>
      </c>
      <c r="M11147" t="s">
        <v>17861</v>
      </c>
      <c r="N11147" t="str">
        <f>"11/28/2017 8:22:00 AM"</f>
        <v>11/28/2017 8:22:00 AM</v>
      </c>
      <c r="O11147" t="s">
        <v>33285</v>
      </c>
    </row>
    <row r="11148" spans="1:20" x14ac:dyDescent="0.25">
      <c r="A11148" t="str">
        <f>"3057521"</f>
        <v>3057521</v>
      </c>
      <c r="B11148" t="s">
        <v>33288</v>
      </c>
      <c r="C11148" t="str">
        <f>"8308994"</f>
        <v>8308994</v>
      </c>
      <c r="D11148" t="s">
        <v>33289</v>
      </c>
      <c r="F11148" t="s">
        <v>33290</v>
      </c>
      <c r="I11148" t="s">
        <v>184</v>
      </c>
      <c r="J11148" t="s">
        <v>30</v>
      </c>
      <c r="K11148" t="s">
        <v>3205</v>
      </c>
      <c r="M11148" t="s">
        <v>17861</v>
      </c>
      <c r="N11148" t="str">
        <f>"12/5/2017 4:07:00 PM"</f>
        <v>12/5/2017 4:07:00 PM</v>
      </c>
      <c r="O11148" t="s">
        <v>33289</v>
      </c>
    </row>
    <row r="11149" spans="1:20" x14ac:dyDescent="0.25">
      <c r="A11149" t="str">
        <f>"3078292"</f>
        <v>3078292</v>
      </c>
      <c r="B11149" t="s">
        <v>33291</v>
      </c>
      <c r="C11149" t="str">
        <f>"8308994"</f>
        <v>8308994</v>
      </c>
      <c r="D11149" t="s">
        <v>33289</v>
      </c>
      <c r="F11149" t="s">
        <v>33290</v>
      </c>
      <c r="I11149" t="s">
        <v>184</v>
      </c>
      <c r="J11149" t="s">
        <v>30</v>
      </c>
      <c r="K11149" t="s">
        <v>3205</v>
      </c>
      <c r="M11149" t="s">
        <v>17861</v>
      </c>
      <c r="N11149" t="str">
        <f>"12/5/2017 4:07:00 PM"</f>
        <v>12/5/2017 4:07:00 PM</v>
      </c>
      <c r="O11149" t="s">
        <v>33289</v>
      </c>
    </row>
    <row r="11150" spans="1:20" x14ac:dyDescent="0.25">
      <c r="A11150" t="str">
        <f>"3049724"</f>
        <v>3049724</v>
      </c>
      <c r="B11150" t="s">
        <v>33292</v>
      </c>
      <c r="C11150" t="str">
        <f>"8308995"</f>
        <v>8308995</v>
      </c>
      <c r="D11150" t="s">
        <v>33293</v>
      </c>
      <c r="F11150" t="s">
        <v>33294</v>
      </c>
      <c r="I11150" t="s">
        <v>29</v>
      </c>
      <c r="J11150" t="s">
        <v>30</v>
      </c>
      <c r="K11150" t="s">
        <v>9706</v>
      </c>
      <c r="M11150" t="s">
        <v>17861</v>
      </c>
      <c r="N11150" t="str">
        <f>"12/5/2017 4:11:00 PM"</f>
        <v>12/5/2017 4:11:00 PM</v>
      </c>
      <c r="O11150" t="s">
        <v>33293</v>
      </c>
    </row>
    <row r="11151" spans="1:20" x14ac:dyDescent="0.25">
      <c r="A11151" t="str">
        <f>"3059571"</f>
        <v>3059571</v>
      </c>
      <c r="B11151" t="s">
        <v>33295</v>
      </c>
      <c r="C11151" t="str">
        <f>"8308997"</f>
        <v>8308997</v>
      </c>
      <c r="D11151" t="s">
        <v>33296</v>
      </c>
      <c r="F11151" t="s">
        <v>33297</v>
      </c>
      <c r="I11151" t="s">
        <v>29</v>
      </c>
      <c r="J11151" t="s">
        <v>30</v>
      </c>
      <c r="K11151" t="s">
        <v>33298</v>
      </c>
      <c r="M11151" t="s">
        <v>17861</v>
      </c>
      <c r="N11151" t="str">
        <f>"12/5/2017 4:17:00 PM"</f>
        <v>12/5/2017 4:17:00 PM</v>
      </c>
      <c r="O11151" t="s">
        <v>33296</v>
      </c>
    </row>
    <row r="11152" spans="1:20" x14ac:dyDescent="0.25">
      <c r="A11152" t="str">
        <f>"3059632"</f>
        <v>3059632</v>
      </c>
      <c r="B11152" t="s">
        <v>33299</v>
      </c>
      <c r="C11152" t="str">
        <f>"8308998"</f>
        <v>8308998</v>
      </c>
      <c r="D11152" t="s">
        <v>33300</v>
      </c>
      <c r="F11152" t="s">
        <v>33301</v>
      </c>
      <c r="I11152" t="s">
        <v>29</v>
      </c>
      <c r="J11152" t="s">
        <v>30</v>
      </c>
      <c r="K11152" t="s">
        <v>33302</v>
      </c>
      <c r="M11152" t="s">
        <v>17861</v>
      </c>
      <c r="N11152" t="str">
        <f>"12/6/2017 8:22:00 AM"</f>
        <v>12/6/2017 8:22:00 AM</v>
      </c>
      <c r="O11152" t="s">
        <v>33300</v>
      </c>
    </row>
    <row r="11153" spans="1:20" x14ac:dyDescent="0.25">
      <c r="A11153" t="str">
        <f>"3050768"</f>
        <v>3050768</v>
      </c>
      <c r="B11153" t="s">
        <v>33303</v>
      </c>
      <c r="C11153" t="str">
        <f>"8309000"</f>
        <v>8309000</v>
      </c>
      <c r="D11153" t="s">
        <v>33304</v>
      </c>
      <c r="E11153" t="s">
        <v>33305</v>
      </c>
      <c r="F11153" t="s">
        <v>33306</v>
      </c>
      <c r="I11153" t="s">
        <v>184</v>
      </c>
      <c r="J11153" t="s">
        <v>30</v>
      </c>
      <c r="K11153" t="s">
        <v>3201</v>
      </c>
      <c r="M11153" t="s">
        <v>17861</v>
      </c>
      <c r="N11153" t="str">
        <f>"12/6/2017 8:40:00 AM"</f>
        <v>12/6/2017 8:40:00 AM</v>
      </c>
      <c r="O11153" t="s">
        <v>33304</v>
      </c>
      <c r="T11153" t="s">
        <v>33305</v>
      </c>
    </row>
    <row r="11154" spans="1:20" x14ac:dyDescent="0.25">
      <c r="A11154" t="str">
        <f>"3057563"</f>
        <v>3057563</v>
      </c>
      <c r="B11154" t="s">
        <v>33307</v>
      </c>
      <c r="C11154" t="str">
        <f>"8308876"</f>
        <v>8308876</v>
      </c>
      <c r="D11154" t="s">
        <v>33308</v>
      </c>
      <c r="F11154" t="s">
        <v>33309</v>
      </c>
      <c r="I11154" t="s">
        <v>29</v>
      </c>
      <c r="J11154" t="s">
        <v>30</v>
      </c>
      <c r="K11154" t="s">
        <v>13701</v>
      </c>
      <c r="M11154" t="s">
        <v>17861</v>
      </c>
      <c r="N11154" t="str">
        <f>"11/28/2017 8:27:00 AM"</f>
        <v>11/28/2017 8:27:00 AM</v>
      </c>
      <c r="O11154" t="s">
        <v>33308</v>
      </c>
    </row>
    <row r="11155" spans="1:20" x14ac:dyDescent="0.25">
      <c r="A11155" t="str">
        <f>"3045726"</f>
        <v>3045726</v>
      </c>
      <c r="B11155" t="s">
        <v>33310</v>
      </c>
      <c r="C11155" t="str">
        <f>"82519834"</f>
        <v>82519834</v>
      </c>
      <c r="D11155" t="s">
        <v>33311</v>
      </c>
      <c r="F11155" t="s">
        <v>33312</v>
      </c>
      <c r="I11155" t="s">
        <v>33313</v>
      </c>
      <c r="J11155" t="s">
        <v>30</v>
      </c>
      <c r="K11155" t="s">
        <v>1150</v>
      </c>
      <c r="M11155" t="s">
        <v>32801</v>
      </c>
      <c r="N11155" t="str">
        <f>"11/28/2017 10:35:00 AM"</f>
        <v>11/28/2017 10:35:00 AM</v>
      </c>
      <c r="O11155" t="s">
        <v>33311</v>
      </c>
    </row>
    <row r="11156" spans="1:20" x14ac:dyDescent="0.25">
      <c r="A11156" t="str">
        <f>"3049962"</f>
        <v>3049962</v>
      </c>
      <c r="B11156" t="s">
        <v>33314</v>
      </c>
      <c r="C11156" t="str">
        <f>"8308856"</f>
        <v>8308856</v>
      </c>
      <c r="D11156" t="s">
        <v>33315</v>
      </c>
      <c r="E11156" t="s">
        <v>33316</v>
      </c>
      <c r="F11156" t="s">
        <v>33317</v>
      </c>
      <c r="I11156" t="s">
        <v>29</v>
      </c>
      <c r="J11156" t="s">
        <v>30</v>
      </c>
      <c r="K11156" t="s">
        <v>33318</v>
      </c>
      <c r="M11156" t="s">
        <v>17861</v>
      </c>
      <c r="N11156" t="str">
        <f>"11/27/2017 1:19:00 PM"</f>
        <v>11/27/2017 1:19:00 PM</v>
      </c>
      <c r="O11156" t="s">
        <v>33315</v>
      </c>
      <c r="T11156" t="s">
        <v>33316</v>
      </c>
    </row>
    <row r="11157" spans="1:20" x14ac:dyDescent="0.25">
      <c r="A11157" t="str">
        <f>"3051365"</f>
        <v>3051365</v>
      </c>
      <c r="B11157" t="s">
        <v>33319</v>
      </c>
      <c r="C11157" t="str">
        <f>"8309009"</f>
        <v>8309009</v>
      </c>
      <c r="D11157" t="s">
        <v>33320</v>
      </c>
      <c r="F11157" t="s">
        <v>33321</v>
      </c>
      <c r="I11157" t="s">
        <v>29</v>
      </c>
      <c r="J11157" t="s">
        <v>30</v>
      </c>
      <c r="K11157" t="s">
        <v>33322</v>
      </c>
      <c r="M11157" t="s">
        <v>17861</v>
      </c>
      <c r="N11157" t="str">
        <f>"12/6/2017 11:04:00 AM"</f>
        <v>12/6/2017 11:04:00 AM</v>
      </c>
      <c r="O11157" t="s">
        <v>33320</v>
      </c>
    </row>
    <row r="11158" spans="1:20" x14ac:dyDescent="0.25">
      <c r="A11158" t="str">
        <f>"3057403"</f>
        <v>3057403</v>
      </c>
      <c r="B11158" t="s">
        <v>33323</v>
      </c>
      <c r="C11158" t="str">
        <f>"8308856"</f>
        <v>8308856</v>
      </c>
      <c r="D11158" t="s">
        <v>33315</v>
      </c>
      <c r="E11158" t="s">
        <v>33316</v>
      </c>
      <c r="F11158" t="s">
        <v>33317</v>
      </c>
      <c r="I11158" t="s">
        <v>29</v>
      </c>
      <c r="J11158" t="s">
        <v>30</v>
      </c>
      <c r="K11158" t="s">
        <v>33318</v>
      </c>
      <c r="M11158" t="s">
        <v>17861</v>
      </c>
      <c r="N11158" t="str">
        <f>"11/27/2017 1:19:00 PM"</f>
        <v>11/27/2017 1:19:00 PM</v>
      </c>
      <c r="O11158" t="s">
        <v>33315</v>
      </c>
      <c r="T11158" t="s">
        <v>33316</v>
      </c>
    </row>
    <row r="11159" spans="1:20" x14ac:dyDescent="0.25">
      <c r="A11159" t="str">
        <f>"3053627"</f>
        <v>3053627</v>
      </c>
      <c r="B11159" t="s">
        <v>33324</v>
      </c>
      <c r="C11159" t="str">
        <f>"8308886"</f>
        <v>8308886</v>
      </c>
      <c r="D11159" t="s">
        <v>33325</v>
      </c>
      <c r="E11159" t="s">
        <v>33326</v>
      </c>
      <c r="F11159" t="s">
        <v>33327</v>
      </c>
      <c r="I11159" t="s">
        <v>29</v>
      </c>
      <c r="J11159" t="s">
        <v>30</v>
      </c>
      <c r="K11159" t="s">
        <v>33328</v>
      </c>
      <c r="M11159" t="s">
        <v>17861</v>
      </c>
      <c r="N11159" t="str">
        <f>"11/28/2017 11:21:00 AM"</f>
        <v>11/28/2017 11:21:00 AM</v>
      </c>
      <c r="O11159" t="s">
        <v>33325</v>
      </c>
      <c r="T11159" t="s">
        <v>33326</v>
      </c>
    </row>
    <row r="11160" spans="1:20" x14ac:dyDescent="0.25">
      <c r="A11160" t="str">
        <f>"3047974"</f>
        <v>3047974</v>
      </c>
      <c r="B11160" t="s">
        <v>33329</v>
      </c>
      <c r="C11160" t="str">
        <f>"8308858"</f>
        <v>8308858</v>
      </c>
      <c r="D11160" t="s">
        <v>33330</v>
      </c>
      <c r="E11160" t="s">
        <v>33331</v>
      </c>
      <c r="F11160" t="s">
        <v>33332</v>
      </c>
      <c r="I11160" t="s">
        <v>184</v>
      </c>
      <c r="J11160" t="s">
        <v>30</v>
      </c>
      <c r="K11160" t="s">
        <v>8848</v>
      </c>
      <c r="M11160" t="s">
        <v>17861</v>
      </c>
      <c r="N11160" t="str">
        <f>"11/27/2017 1:26:00 PM"</f>
        <v>11/27/2017 1:26:00 PM</v>
      </c>
      <c r="O11160" t="s">
        <v>33330</v>
      </c>
      <c r="T11160" t="s">
        <v>33331</v>
      </c>
    </row>
    <row r="11161" spans="1:20" x14ac:dyDescent="0.25">
      <c r="A11161" t="str">
        <f>"3056412"</f>
        <v>3056412</v>
      </c>
      <c r="B11161" t="s">
        <v>33333</v>
      </c>
      <c r="C11161" t="str">
        <f>"8308887"</f>
        <v>8308887</v>
      </c>
      <c r="D11161" t="s">
        <v>33334</v>
      </c>
      <c r="E11161" t="s">
        <v>33335</v>
      </c>
      <c r="F11161" t="s">
        <v>33336</v>
      </c>
      <c r="I11161" t="s">
        <v>29</v>
      </c>
      <c r="J11161" t="s">
        <v>30</v>
      </c>
      <c r="K11161" t="s">
        <v>33337</v>
      </c>
      <c r="M11161" t="s">
        <v>17861</v>
      </c>
      <c r="N11161" t="str">
        <f>"11/28/2017 12:47:00 PM"</f>
        <v>11/28/2017 12:47:00 PM</v>
      </c>
      <c r="O11161" t="s">
        <v>33334</v>
      </c>
      <c r="T11161" t="s">
        <v>33335</v>
      </c>
    </row>
    <row r="11162" spans="1:20" x14ac:dyDescent="0.25">
      <c r="A11162" t="str">
        <f>"3047535"</f>
        <v>3047535</v>
      </c>
      <c r="B11162" t="s">
        <v>33338</v>
      </c>
      <c r="C11162" t="str">
        <f>"8308899"</f>
        <v>8308899</v>
      </c>
      <c r="D11162" t="s">
        <v>20788</v>
      </c>
      <c r="F11162" t="s">
        <v>33339</v>
      </c>
      <c r="I11162" t="s">
        <v>402</v>
      </c>
      <c r="J11162" t="s">
        <v>30</v>
      </c>
      <c r="K11162" t="str">
        <f>"27012"</f>
        <v>27012</v>
      </c>
      <c r="M11162" t="s">
        <v>17861</v>
      </c>
      <c r="N11162" t="str">
        <f>"11/28/2017 3:08:00 PM"</f>
        <v>11/28/2017 3:08:00 PM</v>
      </c>
      <c r="O11162" t="s">
        <v>20788</v>
      </c>
    </row>
    <row r="11163" spans="1:20" x14ac:dyDescent="0.25">
      <c r="A11163" t="str">
        <f>"3041668"</f>
        <v>3041668</v>
      </c>
      <c r="B11163" t="s">
        <v>33340</v>
      </c>
      <c r="C11163" t="str">
        <f>"8308900"</f>
        <v>8308900</v>
      </c>
      <c r="D11163" t="s">
        <v>33341</v>
      </c>
      <c r="E11163" t="s">
        <v>33342</v>
      </c>
      <c r="F11163" t="s">
        <v>33343</v>
      </c>
      <c r="I11163" t="s">
        <v>2071</v>
      </c>
      <c r="J11163" t="s">
        <v>30</v>
      </c>
      <c r="K11163" t="str">
        <f>"27006"</f>
        <v>27006</v>
      </c>
      <c r="M11163" t="s">
        <v>17861</v>
      </c>
      <c r="N11163" t="str">
        <f>"11/28/2017 3:12:00 PM"</f>
        <v>11/28/2017 3:12:00 PM</v>
      </c>
      <c r="O11163" t="s">
        <v>33341</v>
      </c>
      <c r="T11163" t="s">
        <v>33342</v>
      </c>
    </row>
    <row r="11164" spans="1:20" x14ac:dyDescent="0.25">
      <c r="A11164" t="str">
        <f>"3040641"</f>
        <v>3040641</v>
      </c>
      <c r="B11164" t="s">
        <v>33344</v>
      </c>
      <c r="C11164" t="str">
        <f>"8308901"</f>
        <v>8308901</v>
      </c>
      <c r="D11164" t="s">
        <v>33345</v>
      </c>
      <c r="F11164" t="s">
        <v>33346</v>
      </c>
      <c r="I11164" t="s">
        <v>184</v>
      </c>
      <c r="J11164" t="s">
        <v>30</v>
      </c>
      <c r="K11164" t="s">
        <v>33347</v>
      </c>
      <c r="M11164" t="s">
        <v>17861</v>
      </c>
      <c r="N11164" t="str">
        <f>"11/28/2017 3:21:00 PM"</f>
        <v>11/28/2017 3:21:00 PM</v>
      </c>
      <c r="O11164" t="s">
        <v>33345</v>
      </c>
    </row>
    <row r="11165" spans="1:20" x14ac:dyDescent="0.25">
      <c r="A11165" t="str">
        <f>"3055409"</f>
        <v>3055409</v>
      </c>
      <c r="B11165" t="s">
        <v>33348</v>
      </c>
      <c r="C11165" t="str">
        <f>"8308902"</f>
        <v>8308902</v>
      </c>
      <c r="D11165" t="s">
        <v>33349</v>
      </c>
      <c r="E11165" t="s">
        <v>33350</v>
      </c>
      <c r="F11165" t="s">
        <v>33351</v>
      </c>
      <c r="I11165" t="s">
        <v>29</v>
      </c>
      <c r="J11165" t="s">
        <v>30</v>
      </c>
      <c r="K11165" t="s">
        <v>18786</v>
      </c>
      <c r="M11165" t="s">
        <v>17861</v>
      </c>
      <c r="N11165" t="str">
        <f>"11/28/2017 3:24:00 PM"</f>
        <v>11/28/2017 3:24:00 PM</v>
      </c>
      <c r="O11165" t="s">
        <v>33349</v>
      </c>
      <c r="T11165" t="s">
        <v>33350</v>
      </c>
    </row>
    <row r="11166" spans="1:20" x14ac:dyDescent="0.25">
      <c r="A11166" t="str">
        <f>"3076998"</f>
        <v>3076998</v>
      </c>
      <c r="B11166" t="s">
        <v>33352</v>
      </c>
      <c r="C11166" t="str">
        <f>"8302844"</f>
        <v>8302844</v>
      </c>
      <c r="D11166" t="s">
        <v>33353</v>
      </c>
      <c r="F11166" t="s">
        <v>33354</v>
      </c>
      <c r="I11166" t="s">
        <v>29</v>
      </c>
      <c r="J11166" t="s">
        <v>30</v>
      </c>
      <c r="K11166" t="str">
        <f>"27028"</f>
        <v>27028</v>
      </c>
      <c r="M11166" t="s">
        <v>25494</v>
      </c>
      <c r="N11166" t="str">
        <f>"11/29/2017 10:32:00 AM"</f>
        <v>11/29/2017 10:32:00 AM</v>
      </c>
      <c r="O11166" t="s">
        <v>33353</v>
      </c>
    </row>
    <row r="11167" spans="1:20" x14ac:dyDescent="0.25">
      <c r="A11167" t="str">
        <f>"3060946"</f>
        <v>3060946</v>
      </c>
      <c r="B11167" t="s">
        <v>33355</v>
      </c>
      <c r="C11167" t="str">
        <f>"8308920"</f>
        <v>8308920</v>
      </c>
      <c r="D11167" t="s">
        <v>33356</v>
      </c>
      <c r="F11167" t="s">
        <v>33357</v>
      </c>
      <c r="I11167" t="s">
        <v>2071</v>
      </c>
      <c r="J11167" t="s">
        <v>30</v>
      </c>
      <c r="K11167" t="str">
        <f>"27006"</f>
        <v>27006</v>
      </c>
      <c r="M11167" t="s">
        <v>17861</v>
      </c>
      <c r="N11167" t="str">
        <f>"11/29/2017 11:06:00 AM"</f>
        <v>11/29/2017 11:06:00 AM</v>
      </c>
      <c r="O11167" t="s">
        <v>33356</v>
      </c>
    </row>
    <row r="11168" spans="1:20" x14ac:dyDescent="0.25">
      <c r="A11168" t="str">
        <f>"3060672"</f>
        <v>3060672</v>
      </c>
      <c r="B11168" t="s">
        <v>33358</v>
      </c>
      <c r="C11168" t="str">
        <f>"8308934"</f>
        <v>8308934</v>
      </c>
      <c r="D11168" t="s">
        <v>33359</v>
      </c>
      <c r="E11168" t="s">
        <v>33360</v>
      </c>
      <c r="F11168" t="s">
        <v>33361</v>
      </c>
      <c r="I11168" t="s">
        <v>2071</v>
      </c>
      <c r="J11168" t="s">
        <v>30</v>
      </c>
      <c r="K11168" t="str">
        <f>"27006"</f>
        <v>27006</v>
      </c>
      <c r="M11168" t="s">
        <v>17861</v>
      </c>
      <c r="N11168" t="str">
        <f>"11/29/2017 1:35:00 PM"</f>
        <v>11/29/2017 1:35:00 PM</v>
      </c>
      <c r="O11168" t="s">
        <v>33359</v>
      </c>
      <c r="T11168" t="s">
        <v>33360</v>
      </c>
    </row>
    <row r="11169" spans="1:20" x14ac:dyDescent="0.25">
      <c r="A11169" t="str">
        <f>"3059292"</f>
        <v>3059292</v>
      </c>
      <c r="B11169" t="s">
        <v>33362</v>
      </c>
      <c r="C11169" t="str">
        <f>"8308863"</f>
        <v>8308863</v>
      </c>
      <c r="D11169" t="s">
        <v>33363</v>
      </c>
      <c r="E11169" t="s">
        <v>33364</v>
      </c>
      <c r="F11169" t="s">
        <v>33365</v>
      </c>
      <c r="I11169" t="s">
        <v>29</v>
      </c>
      <c r="J11169" t="s">
        <v>30</v>
      </c>
      <c r="K11169" t="s">
        <v>33366</v>
      </c>
      <c r="M11169" t="s">
        <v>17861</v>
      </c>
      <c r="N11169" t="str">
        <f>"11/27/2017 1:54:00 PM"</f>
        <v>11/27/2017 1:54:00 PM</v>
      </c>
      <c r="O11169" t="s">
        <v>33363</v>
      </c>
      <c r="T11169" t="s">
        <v>33364</v>
      </c>
    </row>
    <row r="11170" spans="1:20" x14ac:dyDescent="0.25">
      <c r="A11170" t="str">
        <f>"3060610"</f>
        <v>3060610</v>
      </c>
      <c r="B11170" t="s">
        <v>33367</v>
      </c>
      <c r="C11170" t="str">
        <f>"8308864"</f>
        <v>8308864</v>
      </c>
      <c r="D11170" t="s">
        <v>33368</v>
      </c>
      <c r="E11170" t="s">
        <v>33369</v>
      </c>
      <c r="F11170" t="s">
        <v>33370</v>
      </c>
      <c r="I11170" t="s">
        <v>2071</v>
      </c>
      <c r="J11170" t="s">
        <v>30</v>
      </c>
      <c r="K11170" t="str">
        <f>"27006"</f>
        <v>27006</v>
      </c>
      <c r="M11170" t="s">
        <v>17861</v>
      </c>
      <c r="N11170" t="str">
        <f>"11/27/2017 2:03:00 PM"</f>
        <v>11/27/2017 2:03:00 PM</v>
      </c>
      <c r="O11170" t="s">
        <v>33368</v>
      </c>
      <c r="T11170" t="s">
        <v>33369</v>
      </c>
    </row>
    <row r="11171" spans="1:20" x14ac:dyDescent="0.25">
      <c r="A11171" t="str">
        <f>"3052729"</f>
        <v>3052729</v>
      </c>
      <c r="B11171" t="s">
        <v>33371</v>
      </c>
      <c r="C11171" t="str">
        <f>"8308865"</f>
        <v>8308865</v>
      </c>
      <c r="D11171" t="s">
        <v>33372</v>
      </c>
      <c r="F11171" t="s">
        <v>33373</v>
      </c>
      <c r="I11171" t="s">
        <v>402</v>
      </c>
      <c r="J11171" t="s">
        <v>30</v>
      </c>
      <c r="K11171" t="str">
        <f>"27012"</f>
        <v>27012</v>
      </c>
      <c r="M11171" t="s">
        <v>17861</v>
      </c>
      <c r="N11171" t="str">
        <f>"11/27/2017 2:15:00 PM"</f>
        <v>11/27/2017 2:15:00 PM</v>
      </c>
      <c r="O11171" t="s">
        <v>33372</v>
      </c>
    </row>
    <row r="11172" spans="1:20" x14ac:dyDescent="0.25">
      <c r="A11172" t="str">
        <f>"3057429"</f>
        <v>3057429</v>
      </c>
      <c r="B11172" t="s">
        <v>33374</v>
      </c>
      <c r="C11172" t="str">
        <f>"8308866"</f>
        <v>8308866</v>
      </c>
      <c r="D11172" t="s">
        <v>33175</v>
      </c>
      <c r="F11172" t="s">
        <v>33176</v>
      </c>
      <c r="I11172" t="s">
        <v>184</v>
      </c>
      <c r="J11172" t="s">
        <v>30</v>
      </c>
      <c r="K11172" t="s">
        <v>33177</v>
      </c>
      <c r="M11172" t="s">
        <v>17861</v>
      </c>
      <c r="N11172" t="str">
        <f>"11/27/2017 2:28:00 PM"</f>
        <v>11/27/2017 2:28:00 PM</v>
      </c>
      <c r="O11172" t="s">
        <v>33175</v>
      </c>
    </row>
    <row r="11173" spans="1:20" x14ac:dyDescent="0.25">
      <c r="A11173" t="str">
        <f>"3060245"</f>
        <v>3060245</v>
      </c>
      <c r="B11173" t="s">
        <v>33375</v>
      </c>
      <c r="C11173" t="str">
        <f>"8309001"</f>
        <v>8309001</v>
      </c>
      <c r="D11173" t="s">
        <v>33376</v>
      </c>
      <c r="E11173" t="s">
        <v>33377</v>
      </c>
      <c r="F11173" t="s">
        <v>33378</v>
      </c>
      <c r="I11173" t="s">
        <v>184</v>
      </c>
      <c r="J11173" t="s">
        <v>30</v>
      </c>
      <c r="K11173" t="s">
        <v>33177</v>
      </c>
      <c r="M11173" t="s">
        <v>17861</v>
      </c>
      <c r="N11173" t="str">
        <f>"12/6/2017 9:37:00 AM"</f>
        <v>12/6/2017 9:37:00 AM</v>
      </c>
      <c r="O11173" t="s">
        <v>33376</v>
      </c>
      <c r="T11173" t="s">
        <v>33377</v>
      </c>
    </row>
    <row r="11174" spans="1:20" x14ac:dyDescent="0.25">
      <c r="A11174" t="str">
        <f>"3052782"</f>
        <v>3052782</v>
      </c>
      <c r="B11174" t="s">
        <v>33379</v>
      </c>
      <c r="C11174" t="str">
        <f>"8309007"</f>
        <v>8309007</v>
      </c>
      <c r="D11174" t="s">
        <v>33380</v>
      </c>
      <c r="E11174" t="s">
        <v>33381</v>
      </c>
      <c r="F11174" t="s">
        <v>33382</v>
      </c>
      <c r="I11174" t="s">
        <v>29</v>
      </c>
      <c r="J11174" t="s">
        <v>30</v>
      </c>
      <c r="K11174" t="s">
        <v>33383</v>
      </c>
      <c r="M11174" t="s">
        <v>17861</v>
      </c>
      <c r="N11174" t="str">
        <f>"12/6/2017 10:24:00 AM"</f>
        <v>12/6/2017 10:24:00 AM</v>
      </c>
      <c r="O11174" t="s">
        <v>33380</v>
      </c>
      <c r="T11174" t="s">
        <v>33381</v>
      </c>
    </row>
    <row r="11175" spans="1:20" x14ac:dyDescent="0.25">
      <c r="A11175" t="str">
        <f>"3052783"</f>
        <v>3052783</v>
      </c>
      <c r="B11175" t="s">
        <v>33384</v>
      </c>
      <c r="C11175" t="str">
        <f>"8309007"</f>
        <v>8309007</v>
      </c>
      <c r="D11175" t="s">
        <v>33380</v>
      </c>
      <c r="E11175" t="s">
        <v>33381</v>
      </c>
      <c r="F11175" t="s">
        <v>33382</v>
      </c>
      <c r="I11175" t="s">
        <v>29</v>
      </c>
      <c r="J11175" t="s">
        <v>30</v>
      </c>
      <c r="K11175" t="s">
        <v>33383</v>
      </c>
      <c r="M11175" t="s">
        <v>17861</v>
      </c>
      <c r="N11175" t="str">
        <f>"12/6/2017 10:24:00 AM"</f>
        <v>12/6/2017 10:24:00 AM</v>
      </c>
      <c r="O11175" t="s">
        <v>33380</v>
      </c>
      <c r="T11175" t="s">
        <v>33381</v>
      </c>
    </row>
    <row r="11176" spans="1:20" x14ac:dyDescent="0.25">
      <c r="A11176" t="str">
        <f>"3040141"</f>
        <v>3040141</v>
      </c>
      <c r="B11176" t="s">
        <v>33385</v>
      </c>
      <c r="C11176" t="str">
        <f>"82526430"</f>
        <v>82526430</v>
      </c>
      <c r="D11176" t="s">
        <v>33386</v>
      </c>
      <c r="F11176" t="str">
        <f>"C/O Sherman Reavis"</f>
        <v>C/O Sherman Reavis</v>
      </c>
      <c r="G11176" t="s">
        <v>33387</v>
      </c>
      <c r="I11176" t="s">
        <v>49</v>
      </c>
      <c r="J11176" t="s">
        <v>30</v>
      </c>
      <c r="K11176" t="s">
        <v>50</v>
      </c>
      <c r="M11176" t="s">
        <v>32801</v>
      </c>
      <c r="N11176" t="str">
        <f>"12/4/2017 2:53:00 PM"</f>
        <v>12/4/2017 2:53:00 PM</v>
      </c>
      <c r="O11176" t="s">
        <v>33386</v>
      </c>
    </row>
    <row r="11177" spans="1:20" x14ac:dyDescent="0.25">
      <c r="A11177" t="str">
        <f>"3047484"</f>
        <v>3047484</v>
      </c>
      <c r="B11177" t="s">
        <v>33388</v>
      </c>
      <c r="C11177" t="str">
        <f>"8308979"</f>
        <v>8308979</v>
      </c>
      <c r="D11177" t="s">
        <v>33389</v>
      </c>
      <c r="F11177" t="s">
        <v>33390</v>
      </c>
      <c r="I11177" t="s">
        <v>29</v>
      </c>
      <c r="J11177" t="s">
        <v>30</v>
      </c>
      <c r="K11177" t="s">
        <v>19575</v>
      </c>
      <c r="M11177" t="s">
        <v>17861</v>
      </c>
      <c r="N11177" t="str">
        <f>"12/5/2017 2:40:00 PM"</f>
        <v>12/5/2017 2:40:00 PM</v>
      </c>
      <c r="O11177" t="s">
        <v>33389</v>
      </c>
    </row>
    <row r="11178" spans="1:20" x14ac:dyDescent="0.25">
      <c r="A11178" t="str">
        <f>"3045386"</f>
        <v>3045386</v>
      </c>
      <c r="B11178" t="s">
        <v>33391</v>
      </c>
      <c r="C11178" t="str">
        <f>"8308982"</f>
        <v>8308982</v>
      </c>
      <c r="D11178" t="s">
        <v>33392</v>
      </c>
      <c r="F11178" t="s">
        <v>33393</v>
      </c>
      <c r="I11178" t="s">
        <v>1149</v>
      </c>
      <c r="J11178" t="s">
        <v>30</v>
      </c>
      <c r="K11178" t="s">
        <v>33394</v>
      </c>
      <c r="M11178" t="s">
        <v>17861</v>
      </c>
      <c r="N11178" t="str">
        <f>"12/5/2017 2:44:00 PM"</f>
        <v>12/5/2017 2:44:00 PM</v>
      </c>
      <c r="O11178" t="s">
        <v>33392</v>
      </c>
    </row>
    <row r="11179" spans="1:20" x14ac:dyDescent="0.25">
      <c r="A11179" t="str">
        <f>"3047085"</f>
        <v>3047085</v>
      </c>
      <c r="B11179" t="s">
        <v>33395</v>
      </c>
      <c r="C11179" t="str">
        <f>"8308990"</f>
        <v>8308990</v>
      </c>
      <c r="D11179" t="s">
        <v>33396</v>
      </c>
      <c r="E11179" t="s">
        <v>33397</v>
      </c>
      <c r="F11179" t="s">
        <v>33398</v>
      </c>
      <c r="I11179" t="s">
        <v>29</v>
      </c>
      <c r="J11179" t="s">
        <v>30</v>
      </c>
      <c r="K11179" t="s">
        <v>33399</v>
      </c>
      <c r="M11179" t="s">
        <v>17861</v>
      </c>
      <c r="N11179" t="str">
        <f>"12/5/2017 3:42:00 PM"</f>
        <v>12/5/2017 3:42:00 PM</v>
      </c>
      <c r="O11179" t="s">
        <v>33396</v>
      </c>
      <c r="T11179" t="s">
        <v>33397</v>
      </c>
    </row>
    <row r="11180" spans="1:20" x14ac:dyDescent="0.25">
      <c r="A11180" t="str">
        <f>"3042371"</f>
        <v>3042371</v>
      </c>
      <c r="B11180" t="s">
        <v>33400</v>
      </c>
      <c r="C11180" t="str">
        <f>"8308992"</f>
        <v>8308992</v>
      </c>
      <c r="D11180" t="s">
        <v>33401</v>
      </c>
      <c r="E11180" t="s">
        <v>33402</v>
      </c>
      <c r="F11180" t="s">
        <v>33403</v>
      </c>
      <c r="I11180" t="s">
        <v>184</v>
      </c>
      <c r="J11180" t="s">
        <v>30</v>
      </c>
      <c r="K11180" t="s">
        <v>3445</v>
      </c>
      <c r="M11180" t="s">
        <v>17861</v>
      </c>
      <c r="N11180" t="str">
        <f>"12/5/2017 3:55:00 PM"</f>
        <v>12/5/2017 3:55:00 PM</v>
      </c>
      <c r="O11180" t="s">
        <v>33401</v>
      </c>
      <c r="T11180" t="s">
        <v>33402</v>
      </c>
    </row>
    <row r="11181" spans="1:20" x14ac:dyDescent="0.25">
      <c r="A11181" t="str">
        <f>"3054621"</f>
        <v>3054621</v>
      </c>
      <c r="B11181" t="s">
        <v>33404</v>
      </c>
      <c r="C11181" t="str">
        <f>"8308993"</f>
        <v>8308993</v>
      </c>
      <c r="D11181" t="s">
        <v>33405</v>
      </c>
      <c r="F11181" t="s">
        <v>33406</v>
      </c>
      <c r="I11181" t="s">
        <v>29</v>
      </c>
      <c r="J11181" t="s">
        <v>30</v>
      </c>
      <c r="K11181" t="s">
        <v>33407</v>
      </c>
      <c r="M11181" t="s">
        <v>17861</v>
      </c>
      <c r="N11181" t="str">
        <f>"12/5/2017 4:05:00 PM"</f>
        <v>12/5/2017 4:05:00 PM</v>
      </c>
      <c r="O11181" t="s">
        <v>33405</v>
      </c>
    </row>
    <row r="11182" spans="1:20" x14ac:dyDescent="0.25">
      <c r="A11182" t="str">
        <f>"3044670"</f>
        <v>3044670</v>
      </c>
      <c r="B11182" t="s">
        <v>33408</v>
      </c>
      <c r="C11182" t="str">
        <f>"8309057"</f>
        <v>8309057</v>
      </c>
      <c r="D11182" t="s">
        <v>33409</v>
      </c>
      <c r="E11182" t="s">
        <v>33410</v>
      </c>
      <c r="F11182" t="s">
        <v>33411</v>
      </c>
      <c r="I11182" t="s">
        <v>184</v>
      </c>
      <c r="J11182" t="s">
        <v>30</v>
      </c>
      <c r="K11182" t="s">
        <v>33412</v>
      </c>
      <c r="M11182" t="s">
        <v>17861</v>
      </c>
      <c r="N11182" t="str">
        <f>"12/13/2017 10:40:00 AM"</f>
        <v>12/13/2017 10:40:00 AM</v>
      </c>
      <c r="O11182" t="s">
        <v>33409</v>
      </c>
      <c r="T11182" t="s">
        <v>33410</v>
      </c>
    </row>
    <row r="11183" spans="1:20" x14ac:dyDescent="0.25">
      <c r="A11183" t="str">
        <f>"3066942"</f>
        <v>3066942</v>
      </c>
      <c r="B11183" t="s">
        <v>33413</v>
      </c>
      <c r="C11183" t="str">
        <f>"8309068"</f>
        <v>8309068</v>
      </c>
      <c r="D11183" t="s">
        <v>33414</v>
      </c>
      <c r="F11183" t="s">
        <v>33415</v>
      </c>
      <c r="I11183" t="s">
        <v>17921</v>
      </c>
      <c r="J11183" t="s">
        <v>30</v>
      </c>
      <c r="K11183" t="str">
        <f>"27028"</f>
        <v>27028</v>
      </c>
      <c r="M11183" t="s">
        <v>17861</v>
      </c>
      <c r="N11183" t="str">
        <f>"12/14/2017 11:12:00 AM"</f>
        <v>12/14/2017 11:12:00 AM</v>
      </c>
      <c r="O11183" t="s">
        <v>33414</v>
      </c>
    </row>
    <row r="11184" spans="1:20" x14ac:dyDescent="0.25">
      <c r="A11184" t="str">
        <f>"3048616"</f>
        <v>3048616</v>
      </c>
      <c r="B11184" t="s">
        <v>33416</v>
      </c>
      <c r="C11184" t="str">
        <f>"8308571"</f>
        <v>8308571</v>
      </c>
      <c r="D11184" t="s">
        <v>33417</v>
      </c>
      <c r="F11184" t="s">
        <v>33418</v>
      </c>
      <c r="I11184" t="s">
        <v>184</v>
      </c>
      <c r="J11184" t="s">
        <v>30</v>
      </c>
      <c r="K11184" t="s">
        <v>33419</v>
      </c>
      <c r="M11184" t="s">
        <v>17861</v>
      </c>
      <c r="N11184" t="str">
        <f>"12/14/2017 2:24:00 PM"</f>
        <v>12/14/2017 2:24:00 PM</v>
      </c>
      <c r="O11184" t="s">
        <v>33417</v>
      </c>
    </row>
    <row r="11185" spans="1:20" x14ac:dyDescent="0.25">
      <c r="A11185" t="str">
        <f>"3061248"</f>
        <v>3061248</v>
      </c>
      <c r="B11185" t="s">
        <v>33420</v>
      </c>
      <c r="C11185" t="str">
        <f>"8309061"</f>
        <v>8309061</v>
      </c>
      <c r="D11185" t="s">
        <v>33421</v>
      </c>
      <c r="F11185" t="s">
        <v>33422</v>
      </c>
      <c r="I11185" t="s">
        <v>184</v>
      </c>
      <c r="J11185" t="s">
        <v>30</v>
      </c>
      <c r="K11185" t="s">
        <v>33423</v>
      </c>
      <c r="M11185" t="s">
        <v>17861</v>
      </c>
      <c r="N11185" t="str">
        <f>"12/13/2017 10:58:00 AM"</f>
        <v>12/13/2017 10:58:00 AM</v>
      </c>
      <c r="O11185" t="s">
        <v>33421</v>
      </c>
    </row>
    <row r="11186" spans="1:20" x14ac:dyDescent="0.25">
      <c r="A11186" t="str">
        <f>"3058846"</f>
        <v>3058846</v>
      </c>
      <c r="B11186" t="s">
        <v>33424</v>
      </c>
      <c r="C11186" t="str">
        <f>"8309074"</f>
        <v>8309074</v>
      </c>
      <c r="D11186" t="s">
        <v>33425</v>
      </c>
      <c r="F11186" t="s">
        <v>33426</v>
      </c>
      <c r="I11186" t="s">
        <v>29</v>
      </c>
      <c r="J11186" t="s">
        <v>30</v>
      </c>
      <c r="K11186" t="s">
        <v>33427</v>
      </c>
      <c r="M11186" t="s">
        <v>17861</v>
      </c>
      <c r="N11186" t="str">
        <f>"12/15/2017 4:22:00 PM"</f>
        <v>12/15/2017 4:22:00 PM</v>
      </c>
      <c r="O11186" t="s">
        <v>33425</v>
      </c>
    </row>
    <row r="11187" spans="1:20" x14ac:dyDescent="0.25">
      <c r="A11187" t="str">
        <f>"3057492"</f>
        <v>3057492</v>
      </c>
      <c r="B11187" t="s">
        <v>33428</v>
      </c>
      <c r="C11187" t="str">
        <f>"8304268"</f>
        <v>8304268</v>
      </c>
      <c r="D11187" t="s">
        <v>33429</v>
      </c>
      <c r="E11187" t="s">
        <v>33430</v>
      </c>
      <c r="F11187" t="s">
        <v>33431</v>
      </c>
      <c r="I11187" t="s">
        <v>184</v>
      </c>
      <c r="J11187" t="s">
        <v>30</v>
      </c>
      <c r="K11187" t="str">
        <f>"27006"</f>
        <v>27006</v>
      </c>
      <c r="M11187" t="s">
        <v>33432</v>
      </c>
      <c r="N11187" t="str">
        <f>"12/18/2017 9:27:00 AM"</f>
        <v>12/18/2017 9:27:00 AM</v>
      </c>
      <c r="O11187" t="s">
        <v>33429</v>
      </c>
      <c r="T11187" t="s">
        <v>33430</v>
      </c>
    </row>
    <row r="11188" spans="1:20" x14ac:dyDescent="0.25">
      <c r="A11188" t="str">
        <f>"3047440"</f>
        <v>3047440</v>
      </c>
      <c r="B11188" t="s">
        <v>33433</v>
      </c>
      <c r="C11188" t="str">
        <f>"8309076"</f>
        <v>8309076</v>
      </c>
      <c r="D11188" t="s">
        <v>33434</v>
      </c>
      <c r="E11188" t="s">
        <v>33435</v>
      </c>
      <c r="F11188" t="s">
        <v>33436</v>
      </c>
      <c r="I11188" t="s">
        <v>29</v>
      </c>
      <c r="J11188" t="s">
        <v>30</v>
      </c>
      <c r="K11188" t="s">
        <v>33437</v>
      </c>
      <c r="M11188" t="s">
        <v>17861</v>
      </c>
      <c r="N11188" t="str">
        <f>"12/18/2017 9:56:00 AM"</f>
        <v>12/18/2017 9:56:00 AM</v>
      </c>
      <c r="O11188" t="s">
        <v>33434</v>
      </c>
      <c r="T11188" t="s">
        <v>33435</v>
      </c>
    </row>
    <row r="11189" spans="1:20" x14ac:dyDescent="0.25">
      <c r="A11189" t="str">
        <f>"3053439"</f>
        <v>3053439</v>
      </c>
      <c r="B11189" t="s">
        <v>33438</v>
      </c>
      <c r="C11189" t="str">
        <f>"8309062"</f>
        <v>8309062</v>
      </c>
      <c r="D11189" t="s">
        <v>33439</v>
      </c>
      <c r="E11189" t="s">
        <v>33440</v>
      </c>
      <c r="F11189" t="s">
        <v>33441</v>
      </c>
      <c r="I11189" t="s">
        <v>29</v>
      </c>
      <c r="J11189" t="s">
        <v>30</v>
      </c>
      <c r="K11189" t="s">
        <v>13576</v>
      </c>
      <c r="M11189" t="s">
        <v>17861</v>
      </c>
      <c r="N11189" t="str">
        <f>"12/13/2017 11:03:00 AM"</f>
        <v>12/13/2017 11:03:00 AM</v>
      </c>
      <c r="O11189" t="s">
        <v>33439</v>
      </c>
      <c r="T11189" t="s">
        <v>33440</v>
      </c>
    </row>
    <row r="11190" spans="1:20" x14ac:dyDescent="0.25">
      <c r="A11190" t="str">
        <f>"3041452"</f>
        <v>3041452</v>
      </c>
      <c r="B11190" t="s">
        <v>33442</v>
      </c>
      <c r="C11190" t="str">
        <f>"8306308"</f>
        <v>8306308</v>
      </c>
      <c r="D11190" t="s">
        <v>33443</v>
      </c>
      <c r="F11190" t="s">
        <v>33444</v>
      </c>
      <c r="I11190" t="s">
        <v>2071</v>
      </c>
      <c r="J11190" t="s">
        <v>30</v>
      </c>
      <c r="K11190" t="str">
        <f>"27006"</f>
        <v>27006</v>
      </c>
      <c r="M11190" t="s">
        <v>32801</v>
      </c>
      <c r="N11190" t="str">
        <f>"12/7/2017 4:57:00 PM"</f>
        <v>12/7/2017 4:57:00 PM</v>
      </c>
      <c r="O11190" t="s">
        <v>33443</v>
      </c>
    </row>
    <row r="11191" spans="1:20" x14ac:dyDescent="0.25">
      <c r="A11191" t="str">
        <f>"3046366"</f>
        <v>3046366</v>
      </c>
      <c r="B11191" t="s">
        <v>33445</v>
      </c>
      <c r="C11191" t="str">
        <f>"8306815"</f>
        <v>8306815</v>
      </c>
      <c r="D11191" t="s">
        <v>33446</v>
      </c>
      <c r="F11191" t="s">
        <v>33447</v>
      </c>
      <c r="I11191" t="s">
        <v>29</v>
      </c>
      <c r="J11191" t="s">
        <v>30</v>
      </c>
      <c r="K11191" t="str">
        <f>"27028"</f>
        <v>27028</v>
      </c>
      <c r="M11191" t="s">
        <v>25494</v>
      </c>
      <c r="N11191" t="str">
        <f>"12/8/2017 8:10:00 AM"</f>
        <v>12/8/2017 8:10:00 AM</v>
      </c>
      <c r="O11191" t="s">
        <v>33446</v>
      </c>
    </row>
    <row r="11192" spans="1:20" x14ac:dyDescent="0.25">
      <c r="A11192" t="str">
        <f>"3046280"</f>
        <v>3046280</v>
      </c>
      <c r="B11192" t="s">
        <v>33448</v>
      </c>
      <c r="C11192" t="str">
        <f>"8306815"</f>
        <v>8306815</v>
      </c>
      <c r="D11192" t="s">
        <v>33446</v>
      </c>
      <c r="F11192" t="s">
        <v>33447</v>
      </c>
      <c r="I11192" t="s">
        <v>29</v>
      </c>
      <c r="J11192" t="s">
        <v>30</v>
      </c>
      <c r="K11192" t="str">
        <f>"27028"</f>
        <v>27028</v>
      </c>
      <c r="M11192" t="s">
        <v>25494</v>
      </c>
      <c r="N11192" t="str">
        <f>"12/8/2017 8:10:00 AM"</f>
        <v>12/8/2017 8:10:00 AM</v>
      </c>
      <c r="O11192" t="s">
        <v>33446</v>
      </c>
    </row>
    <row r="11193" spans="1:20" x14ac:dyDescent="0.25">
      <c r="A11193" t="str">
        <f>"3051800"</f>
        <v>3051800</v>
      </c>
      <c r="B11193" t="s">
        <v>33449</v>
      </c>
      <c r="C11193" t="str">
        <f>"8306815"</f>
        <v>8306815</v>
      </c>
      <c r="D11193" t="s">
        <v>33446</v>
      </c>
      <c r="F11193" t="s">
        <v>33447</v>
      </c>
      <c r="I11193" t="s">
        <v>29</v>
      </c>
      <c r="J11193" t="s">
        <v>30</v>
      </c>
      <c r="K11193" t="str">
        <f>"27028"</f>
        <v>27028</v>
      </c>
      <c r="M11193" t="s">
        <v>25494</v>
      </c>
      <c r="N11193" t="str">
        <f>"12/8/2017 8:10:00 AM"</f>
        <v>12/8/2017 8:10:00 AM</v>
      </c>
      <c r="O11193" t="s">
        <v>33446</v>
      </c>
    </row>
    <row r="11194" spans="1:20" x14ac:dyDescent="0.25">
      <c r="A11194" t="str">
        <f>"3057289"</f>
        <v>3057289</v>
      </c>
      <c r="B11194" t="s">
        <v>33450</v>
      </c>
      <c r="C11194" t="str">
        <f>"8306815"</f>
        <v>8306815</v>
      </c>
      <c r="D11194" t="s">
        <v>33446</v>
      </c>
      <c r="F11194" t="s">
        <v>33447</v>
      </c>
      <c r="I11194" t="s">
        <v>29</v>
      </c>
      <c r="J11194" t="s">
        <v>30</v>
      </c>
      <c r="K11194" t="str">
        <f>"27028"</f>
        <v>27028</v>
      </c>
      <c r="M11194" t="s">
        <v>25494</v>
      </c>
      <c r="N11194" t="str">
        <f>"12/8/2017 8:10:00 AM"</f>
        <v>12/8/2017 8:10:00 AM</v>
      </c>
      <c r="O11194" t="s">
        <v>33446</v>
      </c>
    </row>
    <row r="11195" spans="1:20" x14ac:dyDescent="0.25">
      <c r="A11195" t="str">
        <f>"3059199"</f>
        <v>3059199</v>
      </c>
      <c r="B11195" t="s">
        <v>33451</v>
      </c>
      <c r="C11195" t="str">
        <f>"8306815"</f>
        <v>8306815</v>
      </c>
      <c r="D11195" t="s">
        <v>33446</v>
      </c>
      <c r="F11195" t="s">
        <v>33447</v>
      </c>
      <c r="I11195" t="s">
        <v>29</v>
      </c>
      <c r="J11195" t="s">
        <v>30</v>
      </c>
      <c r="K11195" t="str">
        <f>"27028"</f>
        <v>27028</v>
      </c>
      <c r="M11195" t="s">
        <v>25494</v>
      </c>
      <c r="N11195" t="str">
        <f>"12/8/2017 8:10:00 AM"</f>
        <v>12/8/2017 8:10:00 AM</v>
      </c>
      <c r="O11195" t="s">
        <v>33446</v>
      </c>
    </row>
    <row r="11196" spans="1:20" x14ac:dyDescent="0.25">
      <c r="A11196" t="str">
        <f>"3052129"</f>
        <v>3052129</v>
      </c>
      <c r="B11196" t="s">
        <v>33452</v>
      </c>
      <c r="C11196" t="str">
        <f>"82530945"</f>
        <v>82530945</v>
      </c>
      <c r="D11196" t="s">
        <v>33453</v>
      </c>
      <c r="F11196" t="s">
        <v>33454</v>
      </c>
      <c r="I11196" t="s">
        <v>29</v>
      </c>
      <c r="J11196" t="s">
        <v>30</v>
      </c>
      <c r="K11196" t="s">
        <v>31</v>
      </c>
      <c r="M11196" t="s">
        <v>17861</v>
      </c>
      <c r="N11196" t="str">
        <f>"12/8/2017 8:26:00 AM"</f>
        <v>12/8/2017 8:26:00 AM</v>
      </c>
      <c r="O11196" t="s">
        <v>33453</v>
      </c>
    </row>
    <row r="11197" spans="1:20" x14ac:dyDescent="0.25">
      <c r="A11197" t="str">
        <f>"3045729"</f>
        <v>3045729</v>
      </c>
      <c r="B11197" t="s">
        <v>33455</v>
      </c>
      <c r="C11197" t="str">
        <f>"82515763"</f>
        <v>82515763</v>
      </c>
      <c r="D11197" t="s">
        <v>33456</v>
      </c>
      <c r="E11197" t="s">
        <v>33457</v>
      </c>
      <c r="F11197" t="s">
        <v>29678</v>
      </c>
      <c r="I11197" t="s">
        <v>1149</v>
      </c>
      <c r="J11197" t="s">
        <v>30</v>
      </c>
      <c r="K11197" t="s">
        <v>1150</v>
      </c>
      <c r="M11197" t="s">
        <v>27053</v>
      </c>
      <c r="N11197" t="str">
        <f>"12/11/2017 4:03:00 PM"</f>
        <v>12/11/2017 4:03:00 PM</v>
      </c>
      <c r="O11197" t="s">
        <v>33456</v>
      </c>
      <c r="T11197" t="s">
        <v>33457</v>
      </c>
    </row>
    <row r="11198" spans="1:20" x14ac:dyDescent="0.25">
      <c r="A11198" t="str">
        <f>"3056465"</f>
        <v>3056465</v>
      </c>
      <c r="B11198" t="s">
        <v>33458</v>
      </c>
      <c r="C11198" t="str">
        <f>"8309023"</f>
        <v>8309023</v>
      </c>
      <c r="D11198" t="s">
        <v>33459</v>
      </c>
      <c r="F11198" t="s">
        <v>33460</v>
      </c>
      <c r="I11198" t="s">
        <v>29</v>
      </c>
      <c r="J11198" t="s">
        <v>30</v>
      </c>
      <c r="K11198" t="s">
        <v>16358</v>
      </c>
      <c r="M11198" t="s">
        <v>17861</v>
      </c>
      <c r="N11198" t="str">
        <f>"12/12/2017 8:52:00 AM"</f>
        <v>12/12/2017 8:52:00 AM</v>
      </c>
      <c r="O11198" t="s">
        <v>33459</v>
      </c>
    </row>
    <row r="11199" spans="1:20" x14ac:dyDescent="0.25">
      <c r="A11199" t="str">
        <f>"3052886"</f>
        <v>3052886</v>
      </c>
      <c r="B11199" t="s">
        <v>33461</v>
      </c>
      <c r="C11199" t="str">
        <f>"8309040"</f>
        <v>8309040</v>
      </c>
      <c r="D11199" t="s">
        <v>33462</v>
      </c>
      <c r="F11199" t="s">
        <v>33463</v>
      </c>
      <c r="I11199" t="s">
        <v>29</v>
      </c>
      <c r="J11199" t="s">
        <v>30</v>
      </c>
      <c r="K11199" t="s">
        <v>33464</v>
      </c>
      <c r="M11199" t="s">
        <v>17861</v>
      </c>
      <c r="N11199" t="str">
        <f>"12/13/2017 8:26:00 AM"</f>
        <v>12/13/2017 8:26:00 AM</v>
      </c>
      <c r="O11199" t="s">
        <v>33462</v>
      </c>
    </row>
    <row r="11200" spans="1:20" x14ac:dyDescent="0.25">
      <c r="A11200" t="str">
        <f>"3055714"</f>
        <v>3055714</v>
      </c>
      <c r="B11200" t="s">
        <v>33465</v>
      </c>
      <c r="C11200" t="str">
        <f>"8309041"</f>
        <v>8309041</v>
      </c>
      <c r="D11200" t="s">
        <v>33466</v>
      </c>
      <c r="F11200" t="s">
        <v>33467</v>
      </c>
      <c r="I11200" t="s">
        <v>29</v>
      </c>
      <c r="J11200" t="s">
        <v>30</v>
      </c>
      <c r="K11200" t="s">
        <v>33468</v>
      </c>
      <c r="M11200" t="s">
        <v>17861</v>
      </c>
      <c r="N11200" t="str">
        <f>"12/13/2017 8:40:00 AM"</f>
        <v>12/13/2017 8:40:00 AM</v>
      </c>
      <c r="O11200" t="s">
        <v>33466</v>
      </c>
    </row>
    <row r="11201" spans="1:20" x14ac:dyDescent="0.25">
      <c r="A11201" t="str">
        <f>"3040553"</f>
        <v>3040553</v>
      </c>
      <c r="B11201" t="s">
        <v>33469</v>
      </c>
      <c r="C11201" t="str">
        <f>"8309046"</f>
        <v>8309046</v>
      </c>
      <c r="D11201" t="s">
        <v>33470</v>
      </c>
      <c r="E11201" t="s">
        <v>33471</v>
      </c>
      <c r="F11201" t="s">
        <v>33472</v>
      </c>
      <c r="I11201" t="s">
        <v>184</v>
      </c>
      <c r="J11201" t="s">
        <v>30</v>
      </c>
      <c r="K11201" t="s">
        <v>19416</v>
      </c>
      <c r="M11201" t="s">
        <v>17861</v>
      </c>
      <c r="N11201" t="str">
        <f>"12/13/2017 9:27:00 AM"</f>
        <v>12/13/2017 9:27:00 AM</v>
      </c>
      <c r="O11201" t="s">
        <v>33470</v>
      </c>
      <c r="T11201" t="s">
        <v>33471</v>
      </c>
    </row>
    <row r="11202" spans="1:20" x14ac:dyDescent="0.25">
      <c r="A11202" t="str">
        <f>"3059803"</f>
        <v>3059803</v>
      </c>
      <c r="B11202" t="s">
        <v>33473</v>
      </c>
      <c r="C11202" t="str">
        <f>"8309048"</f>
        <v>8309048</v>
      </c>
      <c r="D11202" t="s">
        <v>33474</v>
      </c>
      <c r="F11202" t="s">
        <v>33475</v>
      </c>
      <c r="I11202" t="s">
        <v>29</v>
      </c>
      <c r="J11202" t="s">
        <v>30</v>
      </c>
      <c r="K11202" t="s">
        <v>33476</v>
      </c>
      <c r="M11202" t="s">
        <v>17861</v>
      </c>
      <c r="N11202" t="str">
        <f>"12/13/2017 9:37:00 AM"</f>
        <v>12/13/2017 9:37:00 AM</v>
      </c>
      <c r="O11202" t="s">
        <v>33474</v>
      </c>
    </row>
    <row r="11203" spans="1:20" x14ac:dyDescent="0.25">
      <c r="A11203" t="str">
        <f>"3060597"</f>
        <v>3060597</v>
      </c>
      <c r="B11203" t="s">
        <v>33477</v>
      </c>
      <c r="C11203" t="str">
        <f>"8309103"</f>
        <v>8309103</v>
      </c>
      <c r="D11203" t="s">
        <v>33478</v>
      </c>
      <c r="E11203" t="s">
        <v>33479</v>
      </c>
      <c r="F11203" t="s">
        <v>33480</v>
      </c>
      <c r="I11203" t="s">
        <v>2071</v>
      </c>
      <c r="J11203" t="s">
        <v>30</v>
      </c>
      <c r="K11203" t="s">
        <v>6410</v>
      </c>
      <c r="M11203" t="s">
        <v>17861</v>
      </c>
      <c r="N11203" t="str">
        <f>"12/29/2017 11:25:00 AM"</f>
        <v>12/29/2017 11:25:00 AM</v>
      </c>
      <c r="O11203" t="s">
        <v>33478</v>
      </c>
      <c r="T11203" t="s">
        <v>33479</v>
      </c>
    </row>
    <row r="11204" spans="1:20" x14ac:dyDescent="0.25">
      <c r="A11204" t="str">
        <f>"3037419"</f>
        <v>3037419</v>
      </c>
      <c r="B11204" t="s">
        <v>33481</v>
      </c>
      <c r="C11204" t="str">
        <f>"82522698"</f>
        <v>82522698</v>
      </c>
      <c r="D11204" t="s">
        <v>33482</v>
      </c>
      <c r="F11204" t="s">
        <v>33483</v>
      </c>
      <c r="I11204" t="s">
        <v>29</v>
      </c>
      <c r="J11204" t="s">
        <v>30</v>
      </c>
      <c r="K11204" t="s">
        <v>33484</v>
      </c>
      <c r="M11204" t="s">
        <v>25733</v>
      </c>
      <c r="N11204" t="str">
        <f>"12/29/2017 12:16:00 PM"</f>
        <v>12/29/2017 12:16:00 PM</v>
      </c>
      <c r="O11204" t="s">
        <v>33482</v>
      </c>
    </row>
    <row r="11205" spans="1:20" x14ac:dyDescent="0.25">
      <c r="A11205" t="str">
        <f>"3049074"</f>
        <v>3049074</v>
      </c>
      <c r="B11205" t="s">
        <v>33485</v>
      </c>
      <c r="C11205" t="str">
        <f>"8309052"</f>
        <v>8309052</v>
      </c>
      <c r="D11205" t="s">
        <v>33486</v>
      </c>
      <c r="F11205" t="s">
        <v>29325</v>
      </c>
      <c r="I11205" t="s">
        <v>29</v>
      </c>
      <c r="J11205" t="s">
        <v>30</v>
      </c>
      <c r="K11205" t="s">
        <v>33487</v>
      </c>
      <c r="M11205" t="s">
        <v>17861</v>
      </c>
      <c r="N11205" t="str">
        <f>"12/13/2017 9:57:00 AM"</f>
        <v>12/13/2017 9:57:00 AM</v>
      </c>
      <c r="O11205" t="s">
        <v>33486</v>
      </c>
    </row>
    <row r="11206" spans="1:20" x14ac:dyDescent="0.25">
      <c r="A11206" t="str">
        <f>"3041515"</f>
        <v>3041515</v>
      </c>
      <c r="B11206" t="s">
        <v>33488</v>
      </c>
      <c r="C11206" t="str">
        <f>"8309111"</f>
        <v>8309111</v>
      </c>
      <c r="D11206" t="s">
        <v>33489</v>
      </c>
      <c r="F11206" t="s">
        <v>33490</v>
      </c>
      <c r="I11206" t="s">
        <v>2071</v>
      </c>
      <c r="J11206" t="s">
        <v>30</v>
      </c>
      <c r="K11206" t="str">
        <f>"27006"</f>
        <v>27006</v>
      </c>
      <c r="M11206" t="s">
        <v>17861</v>
      </c>
      <c r="N11206" t="str">
        <f>"12/29/2017 2:24:00 PM"</f>
        <v>12/29/2017 2:24:00 PM</v>
      </c>
      <c r="O11206" t="s">
        <v>33489</v>
      </c>
    </row>
    <row r="11207" spans="1:20" x14ac:dyDescent="0.25">
      <c r="A11207" t="str">
        <f>"3060248"</f>
        <v>3060248</v>
      </c>
      <c r="B11207" t="s">
        <v>33491</v>
      </c>
      <c r="C11207" t="str">
        <f>"8309053"</f>
        <v>8309053</v>
      </c>
      <c r="D11207" t="s">
        <v>33492</v>
      </c>
      <c r="E11207" t="s">
        <v>33493</v>
      </c>
      <c r="F11207" t="s">
        <v>33494</v>
      </c>
      <c r="I11207" t="s">
        <v>184</v>
      </c>
      <c r="J11207" t="s">
        <v>30</v>
      </c>
      <c r="K11207" t="s">
        <v>33177</v>
      </c>
      <c r="M11207" t="s">
        <v>17861</v>
      </c>
      <c r="N11207" t="str">
        <f>"12/13/2017 10:01:00 AM"</f>
        <v>12/13/2017 10:01:00 AM</v>
      </c>
      <c r="O11207" t="s">
        <v>33492</v>
      </c>
      <c r="T11207" t="s">
        <v>33493</v>
      </c>
    </row>
    <row r="11208" spans="1:20" x14ac:dyDescent="0.25">
      <c r="A11208" t="str">
        <f>"3059160"</f>
        <v>3059160</v>
      </c>
      <c r="B11208" t="s">
        <v>33495</v>
      </c>
      <c r="C11208" t="str">
        <f>"8309054"</f>
        <v>8309054</v>
      </c>
      <c r="D11208" t="s">
        <v>33496</v>
      </c>
      <c r="F11208" t="s">
        <v>33497</v>
      </c>
      <c r="I11208" t="s">
        <v>29</v>
      </c>
      <c r="J11208" t="s">
        <v>30</v>
      </c>
      <c r="K11208" t="s">
        <v>33498</v>
      </c>
      <c r="M11208" t="s">
        <v>17861</v>
      </c>
      <c r="N11208" t="str">
        <f>"12/13/2017 10:02:00 AM"</f>
        <v>12/13/2017 10:02:00 AM</v>
      </c>
      <c r="O11208" t="s">
        <v>33496</v>
      </c>
    </row>
    <row r="11209" spans="1:20" x14ac:dyDescent="0.25">
      <c r="A11209" t="str">
        <f>"3059208"</f>
        <v>3059208</v>
      </c>
      <c r="B11209" t="s">
        <v>33499</v>
      </c>
      <c r="C11209" t="str">
        <f>"8309073"</f>
        <v>8309073</v>
      </c>
      <c r="D11209" t="s">
        <v>33500</v>
      </c>
      <c r="F11209" t="s">
        <v>33501</v>
      </c>
      <c r="I11209" t="s">
        <v>29</v>
      </c>
      <c r="J11209" t="s">
        <v>30</v>
      </c>
      <c r="K11209" t="s">
        <v>33502</v>
      </c>
      <c r="M11209" t="s">
        <v>17861</v>
      </c>
      <c r="N11209" t="str">
        <f>"12/15/2017 12:11:00 PM"</f>
        <v>12/15/2017 12:11:00 PM</v>
      </c>
      <c r="O11209" t="s">
        <v>33500</v>
      </c>
    </row>
    <row r="11210" spans="1:20" x14ac:dyDescent="0.25">
      <c r="A11210" t="str">
        <f>"3057478"</f>
        <v>3057478</v>
      </c>
      <c r="B11210" t="s">
        <v>33503</v>
      </c>
      <c r="C11210" t="str">
        <f>"8309081"</f>
        <v>8309081</v>
      </c>
      <c r="D11210" t="s">
        <v>33504</v>
      </c>
      <c r="F11210" t="s">
        <v>33505</v>
      </c>
      <c r="I11210" t="s">
        <v>29</v>
      </c>
      <c r="J11210" t="s">
        <v>30</v>
      </c>
      <c r="K11210" t="s">
        <v>33506</v>
      </c>
      <c r="M11210" t="s">
        <v>17861</v>
      </c>
      <c r="N11210" t="str">
        <f>"12/19/2017 8:34:00 AM"</f>
        <v>12/19/2017 8:34:00 AM</v>
      </c>
      <c r="O11210" t="s">
        <v>33504</v>
      </c>
    </row>
    <row r="11211" spans="1:20" x14ac:dyDescent="0.25">
      <c r="A11211" t="str">
        <f>"3060403"</f>
        <v>3060403</v>
      </c>
      <c r="B11211" t="s">
        <v>33507</v>
      </c>
      <c r="C11211" t="str">
        <f>"8309081"</f>
        <v>8309081</v>
      </c>
      <c r="D11211" t="s">
        <v>33504</v>
      </c>
      <c r="F11211" t="s">
        <v>33505</v>
      </c>
      <c r="I11211" t="s">
        <v>29</v>
      </c>
      <c r="J11211" t="s">
        <v>30</v>
      </c>
      <c r="K11211" t="s">
        <v>33506</v>
      </c>
      <c r="M11211" t="s">
        <v>17861</v>
      </c>
      <c r="N11211" t="str">
        <f>"12/19/2017 8:34:00 AM"</f>
        <v>12/19/2017 8:34:00 AM</v>
      </c>
      <c r="O11211" t="s">
        <v>33504</v>
      </c>
    </row>
    <row r="11212" spans="1:20" x14ac:dyDescent="0.25">
      <c r="A11212" t="str">
        <f>"3051148"</f>
        <v>3051148</v>
      </c>
      <c r="B11212" t="s">
        <v>33508</v>
      </c>
      <c r="C11212" t="str">
        <f>"8307547"</f>
        <v>8307547</v>
      </c>
      <c r="D11212" t="s">
        <v>33509</v>
      </c>
      <c r="F11212" t="s">
        <v>33510</v>
      </c>
      <c r="I11212" t="s">
        <v>1149</v>
      </c>
      <c r="J11212" t="s">
        <v>30</v>
      </c>
      <c r="K11212" t="str">
        <f>"28634"</f>
        <v>28634</v>
      </c>
      <c r="M11212" t="s">
        <v>25625</v>
      </c>
      <c r="N11212" t="str">
        <f>"12/19/2017 11:48:00 AM"</f>
        <v>12/19/2017 11:48:00 AM</v>
      </c>
      <c r="O11212" t="s">
        <v>33509</v>
      </c>
    </row>
    <row r="11213" spans="1:20" x14ac:dyDescent="0.25">
      <c r="A11213" t="str">
        <f>"3043345"</f>
        <v>3043345</v>
      </c>
      <c r="B11213" t="s">
        <v>33511</v>
      </c>
      <c r="C11213" t="str">
        <f>"5928000"</f>
        <v>5928000</v>
      </c>
      <c r="D11213" t="s">
        <v>33512</v>
      </c>
      <c r="F11213" t="s">
        <v>33513</v>
      </c>
      <c r="I11213" t="s">
        <v>29</v>
      </c>
      <c r="J11213" t="s">
        <v>30</v>
      </c>
      <c r="K11213" t="s">
        <v>31</v>
      </c>
      <c r="M11213" t="s">
        <v>17861</v>
      </c>
      <c r="N11213" t="str">
        <f>"1/1/2018 1:35:00 PM"</f>
        <v>1/1/2018 1:35:00 PM</v>
      </c>
      <c r="O11213" t="s">
        <v>33512</v>
      </c>
    </row>
    <row r="11214" spans="1:20" x14ac:dyDescent="0.25">
      <c r="A11214" t="str">
        <f>"3043346"</f>
        <v>3043346</v>
      </c>
      <c r="B11214" t="s">
        <v>33514</v>
      </c>
      <c r="C11214" t="str">
        <f>"5928000"</f>
        <v>5928000</v>
      </c>
      <c r="D11214" t="s">
        <v>33512</v>
      </c>
      <c r="F11214" t="s">
        <v>33513</v>
      </c>
      <c r="I11214" t="s">
        <v>29</v>
      </c>
      <c r="J11214" t="s">
        <v>30</v>
      </c>
      <c r="K11214" t="s">
        <v>31</v>
      </c>
      <c r="M11214" t="s">
        <v>17861</v>
      </c>
      <c r="N11214" t="str">
        <f>"1/1/2018 1:35:00 PM"</f>
        <v>1/1/2018 1:35:00 PM</v>
      </c>
      <c r="O11214" t="s">
        <v>33512</v>
      </c>
    </row>
    <row r="11215" spans="1:20" x14ac:dyDescent="0.25">
      <c r="A11215" t="str">
        <f>"3077685"</f>
        <v>3077685</v>
      </c>
      <c r="B11215" t="s">
        <v>33515</v>
      </c>
      <c r="C11215" t="str">
        <f>"5928000"</f>
        <v>5928000</v>
      </c>
      <c r="D11215" t="s">
        <v>33512</v>
      </c>
      <c r="F11215" t="s">
        <v>33513</v>
      </c>
      <c r="I11215" t="s">
        <v>29</v>
      </c>
      <c r="J11215" t="s">
        <v>30</v>
      </c>
      <c r="K11215" t="s">
        <v>31</v>
      </c>
      <c r="M11215" t="s">
        <v>17861</v>
      </c>
      <c r="N11215" t="str">
        <f>"1/1/2018 1:35:00 PM"</f>
        <v>1/1/2018 1:35:00 PM</v>
      </c>
      <c r="O11215" t="s">
        <v>33512</v>
      </c>
    </row>
    <row r="11216" spans="1:20" x14ac:dyDescent="0.25">
      <c r="A11216" t="str">
        <f>"3044396"</f>
        <v>3044396</v>
      </c>
      <c r="B11216" t="s">
        <v>33516</v>
      </c>
      <c r="C11216" t="str">
        <f>"8307768"</f>
        <v>8307768</v>
      </c>
      <c r="D11216" t="s">
        <v>33517</v>
      </c>
      <c r="E11216" t="s">
        <v>33518</v>
      </c>
      <c r="F11216" t="s">
        <v>33519</v>
      </c>
      <c r="I11216" t="s">
        <v>184</v>
      </c>
      <c r="J11216" t="s">
        <v>30</v>
      </c>
      <c r="K11216" t="str">
        <f>"27006"</f>
        <v>27006</v>
      </c>
      <c r="M11216" t="s">
        <v>25494</v>
      </c>
      <c r="N11216" t="str">
        <f>"12/20/2017 1:14:00 PM"</f>
        <v>12/20/2017 1:14:00 PM</v>
      </c>
      <c r="O11216" t="s">
        <v>33517</v>
      </c>
      <c r="T11216" t="s">
        <v>33518</v>
      </c>
    </row>
    <row r="11217" spans="1:20" x14ac:dyDescent="0.25">
      <c r="A11217" t="str">
        <f>"3038594"</f>
        <v>3038594</v>
      </c>
      <c r="B11217" t="s">
        <v>33520</v>
      </c>
      <c r="C11217" t="str">
        <f>"29779500"</f>
        <v>29779500</v>
      </c>
      <c r="D11217" t="s">
        <v>33521</v>
      </c>
      <c r="F11217" t="s">
        <v>33522</v>
      </c>
      <c r="I11217" t="s">
        <v>29</v>
      </c>
      <c r="J11217" t="s">
        <v>30</v>
      </c>
      <c r="K11217" t="s">
        <v>33523</v>
      </c>
      <c r="M11217" t="s">
        <v>25494</v>
      </c>
      <c r="N11217" t="str">
        <f>"12/21/2017 12:37:00 PM"</f>
        <v>12/21/2017 12:37:00 PM</v>
      </c>
      <c r="O11217" t="s">
        <v>33521</v>
      </c>
    </row>
    <row r="11218" spans="1:20" x14ac:dyDescent="0.25">
      <c r="A11218" t="str">
        <f>"3044879"</f>
        <v>3044879</v>
      </c>
      <c r="B11218" t="s">
        <v>33524</v>
      </c>
      <c r="C11218" t="str">
        <f>"82521240"</f>
        <v>82521240</v>
      </c>
      <c r="D11218" t="s">
        <v>33525</v>
      </c>
      <c r="E11218" t="s">
        <v>33526</v>
      </c>
      <c r="F11218" t="s">
        <v>33527</v>
      </c>
      <c r="I11218" t="s">
        <v>24359</v>
      </c>
      <c r="J11218" t="s">
        <v>30</v>
      </c>
      <c r="K11218" t="s">
        <v>185</v>
      </c>
      <c r="M11218" t="s">
        <v>25733</v>
      </c>
      <c r="N11218" t="str">
        <f>"12/21/2017 1:16:00 PM"</f>
        <v>12/21/2017 1:16:00 PM</v>
      </c>
      <c r="O11218" t="s">
        <v>33525</v>
      </c>
      <c r="T11218" t="s">
        <v>33526</v>
      </c>
    </row>
    <row r="11219" spans="1:20" x14ac:dyDescent="0.25">
      <c r="A11219" t="str">
        <f>"3054258"</f>
        <v>3054258</v>
      </c>
      <c r="B11219" t="s">
        <v>33528</v>
      </c>
      <c r="C11219" t="str">
        <f>"21045000"</f>
        <v>21045000</v>
      </c>
      <c r="D11219" t="s">
        <v>33529</v>
      </c>
      <c r="E11219" t="s">
        <v>33530</v>
      </c>
      <c r="F11219" t="s">
        <v>33531</v>
      </c>
      <c r="I11219" t="s">
        <v>29</v>
      </c>
      <c r="J11219" t="s">
        <v>30</v>
      </c>
      <c r="K11219" t="s">
        <v>33532</v>
      </c>
      <c r="M11219" t="s">
        <v>25494</v>
      </c>
      <c r="N11219" t="str">
        <f>"12/28/2017 12:48:00 PM"</f>
        <v>12/28/2017 12:48:00 PM</v>
      </c>
      <c r="O11219" t="s">
        <v>33529</v>
      </c>
      <c r="T11219" t="s">
        <v>33530</v>
      </c>
    </row>
    <row r="11220" spans="1:20" x14ac:dyDescent="0.25">
      <c r="A11220" t="str">
        <f>"3054286"</f>
        <v>3054286</v>
      </c>
      <c r="B11220" t="s">
        <v>33533</v>
      </c>
      <c r="C11220" t="str">
        <f>"21045000"</f>
        <v>21045000</v>
      </c>
      <c r="D11220" t="s">
        <v>33529</v>
      </c>
      <c r="E11220" t="s">
        <v>33530</v>
      </c>
      <c r="F11220" t="s">
        <v>33531</v>
      </c>
      <c r="I11220" t="s">
        <v>29</v>
      </c>
      <c r="J11220" t="s">
        <v>30</v>
      </c>
      <c r="K11220" t="s">
        <v>33532</v>
      </c>
      <c r="M11220" t="s">
        <v>25494</v>
      </c>
      <c r="N11220" t="str">
        <f>"12/28/2017 12:48:00 PM"</f>
        <v>12/28/2017 12:48:00 PM</v>
      </c>
      <c r="O11220" t="s">
        <v>33529</v>
      </c>
      <c r="T11220" t="s">
        <v>33530</v>
      </c>
    </row>
    <row r="11221" spans="1:20" x14ac:dyDescent="0.25">
      <c r="A11221" t="str">
        <f>"3052693"</f>
        <v>3052693</v>
      </c>
      <c r="B11221" t="s">
        <v>33534</v>
      </c>
      <c r="C11221" t="str">
        <f>"8304991"</f>
        <v>8304991</v>
      </c>
      <c r="D11221" t="s">
        <v>33535</v>
      </c>
      <c r="E11221" t="s">
        <v>33536</v>
      </c>
      <c r="F11221" t="s">
        <v>33537</v>
      </c>
      <c r="I11221" t="s">
        <v>29</v>
      </c>
      <c r="J11221" t="s">
        <v>30</v>
      </c>
      <c r="K11221" t="str">
        <f>"27028"</f>
        <v>27028</v>
      </c>
      <c r="M11221" t="s">
        <v>33432</v>
      </c>
      <c r="N11221" t="str">
        <f>"12/28/2017 5:07:00 PM"</f>
        <v>12/28/2017 5:07:00 PM</v>
      </c>
      <c r="O11221" t="s">
        <v>33535</v>
      </c>
      <c r="T11221" t="s">
        <v>33536</v>
      </c>
    </row>
    <row r="11222" spans="1:20" x14ac:dyDescent="0.25">
      <c r="A11222" t="str">
        <f>"3048763"</f>
        <v>3048763</v>
      </c>
      <c r="B11222" t="s">
        <v>33538</v>
      </c>
      <c r="C11222" t="str">
        <f>"8309091"</f>
        <v>8309091</v>
      </c>
      <c r="D11222" t="s">
        <v>33539</v>
      </c>
      <c r="E11222" t="s">
        <v>33540</v>
      </c>
      <c r="F11222" t="s">
        <v>33541</v>
      </c>
      <c r="I11222" t="s">
        <v>29</v>
      </c>
      <c r="J11222" t="s">
        <v>30</v>
      </c>
      <c r="K11222" t="s">
        <v>33542</v>
      </c>
      <c r="M11222" t="s">
        <v>17861</v>
      </c>
      <c r="N11222" t="str">
        <f>"12/29/2017 8:15:00 AM"</f>
        <v>12/29/2017 8:15:00 AM</v>
      </c>
      <c r="O11222" t="s">
        <v>33539</v>
      </c>
      <c r="T11222" t="s">
        <v>33540</v>
      </c>
    </row>
    <row r="11223" spans="1:20" x14ac:dyDescent="0.25">
      <c r="A11223" t="str">
        <f>"3038429"</f>
        <v>3038429</v>
      </c>
      <c r="B11223" t="s">
        <v>33543</v>
      </c>
      <c r="C11223" t="str">
        <f>"8309093"</f>
        <v>8309093</v>
      </c>
      <c r="D11223" t="s">
        <v>33544</v>
      </c>
      <c r="E11223" t="s">
        <v>33545</v>
      </c>
      <c r="F11223" t="s">
        <v>9277</v>
      </c>
      <c r="I11223" t="s">
        <v>33546</v>
      </c>
      <c r="J11223" t="s">
        <v>30</v>
      </c>
      <c r="K11223" t="s">
        <v>33547</v>
      </c>
      <c r="M11223" t="s">
        <v>17861</v>
      </c>
      <c r="N11223" t="str">
        <f>"12/29/2017 8:55:00 AM"</f>
        <v>12/29/2017 8:55:00 AM</v>
      </c>
      <c r="O11223" t="s">
        <v>33544</v>
      </c>
      <c r="T11223" t="s">
        <v>33545</v>
      </c>
    </row>
    <row r="11224" spans="1:20" x14ac:dyDescent="0.25">
      <c r="A11224" t="str">
        <f>"3049042"</f>
        <v>3049042</v>
      </c>
      <c r="B11224" t="s">
        <v>33548</v>
      </c>
      <c r="C11224" t="str">
        <f>"8309096"</f>
        <v>8309096</v>
      </c>
      <c r="D11224" t="s">
        <v>33549</v>
      </c>
      <c r="F11224" t="s">
        <v>33550</v>
      </c>
      <c r="I11224" t="s">
        <v>2589</v>
      </c>
      <c r="J11224" t="s">
        <v>30</v>
      </c>
      <c r="K11224" t="str">
        <f>"27611"</f>
        <v>27611</v>
      </c>
      <c r="M11224" t="s">
        <v>17861</v>
      </c>
      <c r="N11224" t="str">
        <f>"12/29/2017 9:17:00 AM"</f>
        <v>12/29/2017 9:17:00 AM</v>
      </c>
      <c r="O11224" t="s">
        <v>33549</v>
      </c>
    </row>
    <row r="11225" spans="1:20" x14ac:dyDescent="0.25">
      <c r="A11225" t="str">
        <f>"3042711"</f>
        <v>3042711</v>
      </c>
      <c r="B11225" t="s">
        <v>33551</v>
      </c>
      <c r="C11225" t="str">
        <f>"8309099"</f>
        <v>8309099</v>
      </c>
      <c r="D11225" t="s">
        <v>33552</v>
      </c>
      <c r="F11225" t="s">
        <v>33553</v>
      </c>
      <c r="I11225" t="s">
        <v>29</v>
      </c>
      <c r="J11225" t="s">
        <v>30</v>
      </c>
      <c r="K11225" t="s">
        <v>4430</v>
      </c>
      <c r="M11225" t="s">
        <v>17861</v>
      </c>
      <c r="N11225" t="str">
        <f>"12/29/2017 10:38:00 AM"</f>
        <v>12/29/2017 10:38:00 AM</v>
      </c>
      <c r="O11225" t="s">
        <v>33552</v>
      </c>
    </row>
    <row r="11226" spans="1:20" x14ac:dyDescent="0.25">
      <c r="A11226" t="str">
        <f>"3060797"</f>
        <v>3060797</v>
      </c>
      <c r="B11226" t="s">
        <v>33554</v>
      </c>
      <c r="C11226" t="str">
        <f>"8309100"</f>
        <v>8309100</v>
      </c>
      <c r="D11226" t="s">
        <v>33555</v>
      </c>
      <c r="E11226" t="s">
        <v>33556</v>
      </c>
      <c r="F11226" t="s">
        <v>33557</v>
      </c>
      <c r="I11226" t="s">
        <v>184</v>
      </c>
      <c r="J11226" t="s">
        <v>30</v>
      </c>
      <c r="K11226" t="s">
        <v>33558</v>
      </c>
      <c r="M11226" t="s">
        <v>17861</v>
      </c>
      <c r="N11226" t="str">
        <f>"12/29/2017 11:07:00 AM"</f>
        <v>12/29/2017 11:07:00 AM</v>
      </c>
      <c r="O11226" t="s">
        <v>33555</v>
      </c>
      <c r="T11226" t="s">
        <v>33556</v>
      </c>
    </row>
    <row r="11227" spans="1:20" x14ac:dyDescent="0.25">
      <c r="A11227" t="str">
        <f>"3089600"</f>
        <v>3089600</v>
      </c>
      <c r="B11227" t="s">
        <v>33559</v>
      </c>
      <c r="C11227" t="str">
        <f>"8309063"</f>
        <v>8309063</v>
      </c>
      <c r="D11227" t="s">
        <v>6250</v>
      </c>
      <c r="F11227" t="s">
        <v>33560</v>
      </c>
      <c r="I11227" t="s">
        <v>184</v>
      </c>
      <c r="J11227" t="s">
        <v>30</v>
      </c>
      <c r="K11227" t="s">
        <v>33561</v>
      </c>
      <c r="M11227" t="s">
        <v>17861</v>
      </c>
      <c r="N11227" t="str">
        <f>"12/13/2017 12:50:00 PM"</f>
        <v>12/13/2017 12:50:00 PM</v>
      </c>
      <c r="O11227" t="s">
        <v>6250</v>
      </c>
    </row>
    <row r="11228" spans="1:20" x14ac:dyDescent="0.25">
      <c r="A11228" t="str">
        <f>"3045330"</f>
        <v>3045330</v>
      </c>
      <c r="B11228" t="s">
        <v>33562</v>
      </c>
      <c r="C11228" t="str">
        <f>"82518286"</f>
        <v>82518286</v>
      </c>
      <c r="D11228" t="s">
        <v>33563</v>
      </c>
      <c r="F11228" t="s">
        <v>17060</v>
      </c>
      <c r="I11228" t="s">
        <v>471</v>
      </c>
      <c r="J11228" t="s">
        <v>30</v>
      </c>
      <c r="K11228" t="s">
        <v>1262</v>
      </c>
      <c r="M11228" t="s">
        <v>33432</v>
      </c>
      <c r="N11228" t="str">
        <f>"1/5/2018 1:44:00 PM"</f>
        <v>1/5/2018 1:44:00 PM</v>
      </c>
      <c r="O11228" t="s">
        <v>33563</v>
      </c>
    </row>
    <row r="11229" spans="1:20" x14ac:dyDescent="0.25">
      <c r="A11229" t="str">
        <f>"3041565"</f>
        <v>3041565</v>
      </c>
      <c r="B11229" t="s">
        <v>33564</v>
      </c>
      <c r="C11229" t="str">
        <f>"8307477"</f>
        <v>8307477</v>
      </c>
      <c r="D11229" t="s">
        <v>33565</v>
      </c>
      <c r="E11229" t="s">
        <v>33566</v>
      </c>
      <c r="F11229" t="s">
        <v>33567</v>
      </c>
      <c r="I11229" t="s">
        <v>24359</v>
      </c>
      <c r="J11229" t="s">
        <v>30</v>
      </c>
      <c r="K11229" t="str">
        <f>"27006"</f>
        <v>27006</v>
      </c>
      <c r="M11229" t="s">
        <v>25625</v>
      </c>
      <c r="N11229" t="str">
        <f>"1/8/2018 10:23:00 AM"</f>
        <v>1/8/2018 10:23:00 AM</v>
      </c>
      <c r="O11229" t="s">
        <v>33565</v>
      </c>
      <c r="T11229" t="s">
        <v>33566</v>
      </c>
    </row>
    <row r="11230" spans="1:20" x14ac:dyDescent="0.25">
      <c r="A11230" t="str">
        <f>"3039193"</f>
        <v>3039193</v>
      </c>
      <c r="B11230" t="s">
        <v>33568</v>
      </c>
      <c r="C11230" t="str">
        <f>"9730350"</f>
        <v>9730350</v>
      </c>
      <c r="D11230" t="s">
        <v>33569</v>
      </c>
      <c r="F11230" t="s">
        <v>33570</v>
      </c>
      <c r="I11230" t="s">
        <v>17921</v>
      </c>
      <c r="J11230" t="s">
        <v>30</v>
      </c>
      <c r="K11230" t="s">
        <v>31</v>
      </c>
      <c r="M11230" t="s">
        <v>32801</v>
      </c>
      <c r="N11230" t="str">
        <f>"1/8/2018 2:52:00 PM"</f>
        <v>1/8/2018 2:52:00 PM</v>
      </c>
      <c r="O11230" t="s">
        <v>33569</v>
      </c>
    </row>
    <row r="11231" spans="1:20" x14ac:dyDescent="0.25">
      <c r="A11231" t="str">
        <f>"3061760"</f>
        <v>3061760</v>
      </c>
      <c r="B11231" t="s">
        <v>33571</v>
      </c>
      <c r="C11231" t="str">
        <f>"8309012"</f>
        <v>8309012</v>
      </c>
      <c r="D11231" t="s">
        <v>33572</v>
      </c>
      <c r="E11231" t="s">
        <v>33573</v>
      </c>
      <c r="F11231" t="s">
        <v>33574</v>
      </c>
      <c r="I11231" t="s">
        <v>2071</v>
      </c>
      <c r="J11231" t="s">
        <v>30</v>
      </c>
      <c r="K11231" t="s">
        <v>3960</v>
      </c>
      <c r="M11231" t="s">
        <v>17861</v>
      </c>
      <c r="N11231" t="str">
        <f>"12/13/2017 12:56:00 PM"</f>
        <v>12/13/2017 12:56:00 PM</v>
      </c>
      <c r="O11231" t="s">
        <v>33572</v>
      </c>
      <c r="T11231" t="s">
        <v>33573</v>
      </c>
    </row>
    <row r="11232" spans="1:20" x14ac:dyDescent="0.25">
      <c r="A11232" t="str">
        <f>"3048710"</f>
        <v>3048710</v>
      </c>
      <c r="B11232" t="s">
        <v>33575</v>
      </c>
      <c r="C11232" t="str">
        <f>"8309064"</f>
        <v>8309064</v>
      </c>
      <c r="D11232" t="s">
        <v>33576</v>
      </c>
      <c r="E11232" t="s">
        <v>33577</v>
      </c>
      <c r="F11232" t="s">
        <v>33578</v>
      </c>
      <c r="I11232" t="s">
        <v>29</v>
      </c>
      <c r="J11232" t="s">
        <v>30</v>
      </c>
      <c r="K11232" t="str">
        <f>"27028"</f>
        <v>27028</v>
      </c>
      <c r="M11232" t="s">
        <v>17861</v>
      </c>
      <c r="N11232" t="str">
        <f>"12/13/2017 12:57:00 PM"</f>
        <v>12/13/2017 12:57:00 PM</v>
      </c>
      <c r="O11232" t="s">
        <v>33576</v>
      </c>
      <c r="T11232" t="s">
        <v>33577</v>
      </c>
    </row>
    <row r="11233" spans="1:20" x14ac:dyDescent="0.25">
      <c r="A11233" t="str">
        <f>"3041271"</f>
        <v>3041271</v>
      </c>
      <c r="B11233" t="s">
        <v>33579</v>
      </c>
      <c r="C11233" t="str">
        <f>"8308978"</f>
        <v>8308978</v>
      </c>
      <c r="D11233" t="s">
        <v>33580</v>
      </c>
      <c r="E11233" t="s">
        <v>33581</v>
      </c>
      <c r="F11233" t="s">
        <v>33582</v>
      </c>
      <c r="I11233" t="s">
        <v>184</v>
      </c>
      <c r="J11233" t="s">
        <v>30</v>
      </c>
      <c r="K11233" t="str">
        <f>"27006"</f>
        <v>27006</v>
      </c>
      <c r="M11233" t="s">
        <v>17861</v>
      </c>
      <c r="N11233" t="str">
        <f>"12/13/2017 1:29:00 PM"</f>
        <v>12/13/2017 1:29:00 PM</v>
      </c>
      <c r="O11233" t="s">
        <v>33580</v>
      </c>
      <c r="T11233" t="s">
        <v>33581</v>
      </c>
    </row>
    <row r="11234" spans="1:20" x14ac:dyDescent="0.25">
      <c r="A11234" t="str">
        <f>"3057967"</f>
        <v>3057967</v>
      </c>
      <c r="B11234" t="s">
        <v>33583</v>
      </c>
      <c r="C11234" t="str">
        <f>"8307153"</f>
        <v>8307153</v>
      </c>
      <c r="D11234" t="s">
        <v>32138</v>
      </c>
      <c r="E11234" t="s">
        <v>33584</v>
      </c>
      <c r="F11234" t="s">
        <v>33585</v>
      </c>
      <c r="I11234" t="s">
        <v>29</v>
      </c>
      <c r="J11234" t="s">
        <v>30</v>
      </c>
      <c r="K11234" t="s">
        <v>33586</v>
      </c>
      <c r="M11234" t="s">
        <v>17861</v>
      </c>
      <c r="N11234" t="str">
        <f>"1/10/2018 1:53:00 PM"</f>
        <v>1/10/2018 1:53:00 PM</v>
      </c>
      <c r="O11234" t="s">
        <v>32138</v>
      </c>
      <c r="T11234" t="s">
        <v>33584</v>
      </c>
    </row>
    <row r="11235" spans="1:20" x14ac:dyDescent="0.25">
      <c r="A11235" t="str">
        <f>"3045798"</f>
        <v>3045798</v>
      </c>
      <c r="B11235" t="s">
        <v>33587</v>
      </c>
      <c r="C11235" t="str">
        <f>"8309110"</f>
        <v>8309110</v>
      </c>
      <c r="D11235" t="s">
        <v>33588</v>
      </c>
      <c r="F11235" t="s">
        <v>33589</v>
      </c>
      <c r="I11235" t="s">
        <v>17921</v>
      </c>
      <c r="J11235" t="s">
        <v>30</v>
      </c>
      <c r="K11235" t="str">
        <f>"27028"</f>
        <v>27028</v>
      </c>
      <c r="M11235" t="s">
        <v>17861</v>
      </c>
      <c r="N11235" t="str">
        <f>"12/29/2017 2:05:00 PM"</f>
        <v>12/29/2017 2:05:00 PM</v>
      </c>
      <c r="O11235" t="s">
        <v>33588</v>
      </c>
    </row>
    <row r="11236" spans="1:20" x14ac:dyDescent="0.25">
      <c r="A11236" t="str">
        <f>"3050901"</f>
        <v>3050901</v>
      </c>
      <c r="B11236" t="s">
        <v>33590</v>
      </c>
      <c r="C11236" t="str">
        <f>"32838000"</f>
        <v>32838000</v>
      </c>
      <c r="D11236" t="s">
        <v>33591</v>
      </c>
      <c r="F11236" t="s">
        <v>33592</v>
      </c>
      <c r="I11236" t="s">
        <v>184</v>
      </c>
      <c r="K11236" t="str">
        <f>"27006"</f>
        <v>27006</v>
      </c>
      <c r="M11236" t="s">
        <v>33432</v>
      </c>
      <c r="N11236" t="str">
        <f>"12/13/2017 2:26:00 PM"</f>
        <v>12/13/2017 2:26:00 PM</v>
      </c>
      <c r="O11236" t="s">
        <v>33591</v>
      </c>
    </row>
    <row r="11237" spans="1:20" x14ac:dyDescent="0.25">
      <c r="A11237" t="str">
        <f>"3043653"</f>
        <v>3043653</v>
      </c>
      <c r="B11237" t="s">
        <v>33593</v>
      </c>
      <c r="C11237" t="str">
        <f>"8309067"</f>
        <v>8309067</v>
      </c>
      <c r="D11237" t="s">
        <v>33594</v>
      </c>
      <c r="F11237" t="s">
        <v>33595</v>
      </c>
      <c r="I11237" t="s">
        <v>29</v>
      </c>
      <c r="J11237" t="s">
        <v>30</v>
      </c>
      <c r="K11237" t="s">
        <v>33596</v>
      </c>
      <c r="M11237" t="s">
        <v>17861</v>
      </c>
      <c r="N11237" t="str">
        <f>"12/13/2017 4:22:00 PM"</f>
        <v>12/13/2017 4:22:00 PM</v>
      </c>
      <c r="O11237" t="s">
        <v>33594</v>
      </c>
    </row>
    <row r="11238" spans="1:20" x14ac:dyDescent="0.25">
      <c r="A11238" t="str">
        <f>"3075395"</f>
        <v>3075395</v>
      </c>
      <c r="B11238" t="s">
        <v>33597</v>
      </c>
      <c r="C11238" t="str">
        <f>"8309128"</f>
        <v>8309128</v>
      </c>
      <c r="D11238" t="s">
        <v>33598</v>
      </c>
      <c r="F11238" t="s">
        <v>33599</v>
      </c>
      <c r="I11238" t="s">
        <v>33600</v>
      </c>
      <c r="J11238" t="s">
        <v>33601</v>
      </c>
      <c r="K11238" t="s">
        <v>33602</v>
      </c>
      <c r="M11238" t="s">
        <v>17861</v>
      </c>
      <c r="N11238" t="str">
        <f>"1/1/2018 12:32:00 PM"</f>
        <v>1/1/2018 12:32:00 PM</v>
      </c>
      <c r="O11238" t="s">
        <v>33598</v>
      </c>
    </row>
    <row r="11239" spans="1:20" x14ac:dyDescent="0.25">
      <c r="A11239" t="str">
        <f>"3058310"</f>
        <v>3058310</v>
      </c>
      <c r="B11239" t="s">
        <v>33603</v>
      </c>
      <c r="C11239" t="str">
        <f>"48186500"</f>
        <v>48186500</v>
      </c>
      <c r="D11239" t="s">
        <v>33604</v>
      </c>
      <c r="E11239" t="s">
        <v>33605</v>
      </c>
      <c r="F11239" t="s">
        <v>33606</v>
      </c>
      <c r="I11239" t="s">
        <v>29</v>
      </c>
      <c r="J11239" t="s">
        <v>30</v>
      </c>
      <c r="K11239" t="s">
        <v>33607</v>
      </c>
      <c r="M11239" t="s">
        <v>18479</v>
      </c>
      <c r="N11239" t="str">
        <f>"1/11/2018 4:28:00 PM"</f>
        <v>1/11/2018 4:28:00 PM</v>
      </c>
      <c r="O11239" t="s">
        <v>33604</v>
      </c>
      <c r="T11239" t="s">
        <v>33605</v>
      </c>
    </row>
    <row r="11240" spans="1:20" x14ac:dyDescent="0.25">
      <c r="A11240" t="str">
        <f>"3072090"</f>
        <v>3072090</v>
      </c>
      <c r="B11240" t="s">
        <v>33608</v>
      </c>
      <c r="C11240" t="str">
        <f>"79268000"</f>
        <v>79268000</v>
      </c>
      <c r="D11240" t="s">
        <v>33609</v>
      </c>
      <c r="E11240" t="s">
        <v>33610</v>
      </c>
      <c r="F11240" t="s">
        <v>33611</v>
      </c>
      <c r="I11240" t="s">
        <v>29</v>
      </c>
      <c r="J11240" t="s">
        <v>30</v>
      </c>
      <c r="K11240" t="s">
        <v>31</v>
      </c>
      <c r="M11240" t="s">
        <v>25494</v>
      </c>
      <c r="N11240" t="str">
        <f>"1/12/2018 8:15:00 AM"</f>
        <v>1/12/2018 8:15:00 AM</v>
      </c>
      <c r="O11240" t="s">
        <v>33609</v>
      </c>
      <c r="T11240" t="s">
        <v>33610</v>
      </c>
    </row>
    <row r="11241" spans="1:20" x14ac:dyDescent="0.25">
      <c r="A11241" t="str">
        <f>"3043978"</f>
        <v>3043978</v>
      </c>
      <c r="B11241" t="s">
        <v>33612</v>
      </c>
      <c r="C11241" t="str">
        <f>"8306495"</f>
        <v>8306495</v>
      </c>
      <c r="D11241" t="s">
        <v>33613</v>
      </c>
      <c r="F11241" t="s">
        <v>33614</v>
      </c>
      <c r="I11241" t="s">
        <v>184</v>
      </c>
      <c r="J11241" t="s">
        <v>30</v>
      </c>
      <c r="K11241" t="str">
        <f>"27006"</f>
        <v>27006</v>
      </c>
      <c r="M11241" t="s">
        <v>25494</v>
      </c>
      <c r="N11241" t="str">
        <f>"1/12/2018 8:20:00 AM"</f>
        <v>1/12/2018 8:20:00 AM</v>
      </c>
      <c r="O11241" t="s">
        <v>33613</v>
      </c>
    </row>
    <row r="11242" spans="1:20" x14ac:dyDescent="0.25">
      <c r="A11242" t="str">
        <f>"3043979"</f>
        <v>3043979</v>
      </c>
      <c r="B11242" t="s">
        <v>33615</v>
      </c>
      <c r="C11242" t="str">
        <f>"8306495"</f>
        <v>8306495</v>
      </c>
      <c r="D11242" t="s">
        <v>33613</v>
      </c>
      <c r="F11242" t="s">
        <v>33614</v>
      </c>
      <c r="I11242" t="s">
        <v>184</v>
      </c>
      <c r="J11242" t="s">
        <v>30</v>
      </c>
      <c r="K11242" t="str">
        <f>"27006"</f>
        <v>27006</v>
      </c>
      <c r="M11242" t="s">
        <v>25494</v>
      </c>
      <c r="N11242" t="str">
        <f>"1/12/2018 8:20:00 AM"</f>
        <v>1/12/2018 8:20:00 AM</v>
      </c>
      <c r="O11242" t="s">
        <v>33613</v>
      </c>
    </row>
    <row r="11243" spans="1:20" x14ac:dyDescent="0.25">
      <c r="A11243" t="str">
        <f>"3044250"</f>
        <v>3044250</v>
      </c>
      <c r="B11243" t="s">
        <v>33616</v>
      </c>
      <c r="C11243" t="str">
        <f>"8306495"</f>
        <v>8306495</v>
      </c>
      <c r="D11243" t="s">
        <v>33613</v>
      </c>
      <c r="F11243" t="s">
        <v>33614</v>
      </c>
      <c r="I11243" t="s">
        <v>184</v>
      </c>
      <c r="J11243" t="s">
        <v>30</v>
      </c>
      <c r="K11243" t="str">
        <f>"27006"</f>
        <v>27006</v>
      </c>
      <c r="M11243" t="s">
        <v>25494</v>
      </c>
      <c r="N11243" t="str">
        <f>"1/12/2018 8:20:00 AM"</f>
        <v>1/12/2018 8:20:00 AM</v>
      </c>
      <c r="O11243" t="s">
        <v>33613</v>
      </c>
    </row>
    <row r="11244" spans="1:20" x14ac:dyDescent="0.25">
      <c r="A11244" t="str">
        <f>"3052746"</f>
        <v>3052746</v>
      </c>
      <c r="B11244" t="s">
        <v>33617</v>
      </c>
      <c r="C11244" t="str">
        <f>"8309134"</f>
        <v>8309134</v>
      </c>
      <c r="D11244" t="s">
        <v>33618</v>
      </c>
      <c r="E11244" t="s">
        <v>33619</v>
      </c>
      <c r="F11244" t="s">
        <v>33620</v>
      </c>
      <c r="I11244" t="s">
        <v>29</v>
      </c>
      <c r="J11244" t="s">
        <v>30</v>
      </c>
      <c r="K11244" t="s">
        <v>33621</v>
      </c>
      <c r="M11244" t="s">
        <v>17861</v>
      </c>
      <c r="N11244" t="str">
        <f>"1/1/2018 1:16:00 PM"</f>
        <v>1/1/2018 1:16:00 PM</v>
      </c>
      <c r="O11244" t="s">
        <v>33618</v>
      </c>
      <c r="T11244" t="s">
        <v>33619</v>
      </c>
    </row>
    <row r="11245" spans="1:20" x14ac:dyDescent="0.25">
      <c r="A11245" t="str">
        <f>"3049857"</f>
        <v>3049857</v>
      </c>
      <c r="B11245" t="s">
        <v>33622</v>
      </c>
      <c r="C11245" t="str">
        <f>"8309174"</f>
        <v>8309174</v>
      </c>
      <c r="D11245" t="s">
        <v>33623</v>
      </c>
      <c r="F11245" t="s">
        <v>33624</v>
      </c>
      <c r="I11245" t="s">
        <v>29</v>
      </c>
      <c r="J11245" t="s">
        <v>30</v>
      </c>
      <c r="K11245" t="s">
        <v>33625</v>
      </c>
      <c r="M11245" t="s">
        <v>17861</v>
      </c>
      <c r="N11245" t="str">
        <f>"1/19/2018 12:51:00 PM"</f>
        <v>1/19/2018 12:51:00 PM</v>
      </c>
      <c r="O11245" t="s">
        <v>33623</v>
      </c>
    </row>
    <row r="11246" spans="1:20" x14ac:dyDescent="0.25">
      <c r="A11246" t="str">
        <f>"3052301"</f>
        <v>3052301</v>
      </c>
      <c r="B11246" t="s">
        <v>33626</v>
      </c>
      <c r="C11246" t="str">
        <f>"8309134"</f>
        <v>8309134</v>
      </c>
      <c r="D11246" t="s">
        <v>33618</v>
      </c>
      <c r="E11246" t="s">
        <v>33619</v>
      </c>
      <c r="F11246" t="s">
        <v>33620</v>
      </c>
      <c r="I11246" t="s">
        <v>29</v>
      </c>
      <c r="J11246" t="s">
        <v>30</v>
      </c>
      <c r="K11246" t="s">
        <v>33621</v>
      </c>
      <c r="M11246" t="s">
        <v>17861</v>
      </c>
      <c r="N11246" t="str">
        <f>"1/1/2018 1:16:00 PM"</f>
        <v>1/1/2018 1:16:00 PM</v>
      </c>
      <c r="O11246" t="s">
        <v>33618</v>
      </c>
      <c r="T11246" t="s">
        <v>33619</v>
      </c>
    </row>
    <row r="11247" spans="1:20" x14ac:dyDescent="0.25">
      <c r="A11247" t="str">
        <f>"3041413"</f>
        <v>3041413</v>
      </c>
      <c r="B11247" t="s">
        <v>33627</v>
      </c>
      <c r="C11247" t="str">
        <f>"8309141"</f>
        <v>8309141</v>
      </c>
      <c r="D11247" t="s">
        <v>33628</v>
      </c>
      <c r="F11247" t="s">
        <v>33629</v>
      </c>
      <c r="I11247" t="s">
        <v>2071</v>
      </c>
      <c r="J11247" t="s">
        <v>30</v>
      </c>
      <c r="K11247" t="str">
        <f>"27006"</f>
        <v>27006</v>
      </c>
      <c r="M11247" t="s">
        <v>17861</v>
      </c>
      <c r="N11247" t="str">
        <f>"1/1/2018 1:46:00 PM"</f>
        <v>1/1/2018 1:46:00 PM</v>
      </c>
      <c r="O11247" t="s">
        <v>33628</v>
      </c>
    </row>
    <row r="11248" spans="1:20" x14ac:dyDescent="0.25">
      <c r="A11248" t="str">
        <f>"3057424"</f>
        <v>3057424</v>
      </c>
      <c r="B11248" t="s">
        <v>33630</v>
      </c>
      <c r="C11248" t="str">
        <f>"8309182"</f>
        <v>8309182</v>
      </c>
      <c r="D11248" t="s">
        <v>33631</v>
      </c>
      <c r="E11248" t="s">
        <v>33632</v>
      </c>
      <c r="F11248" t="s">
        <v>33633</v>
      </c>
      <c r="I11248" t="s">
        <v>471</v>
      </c>
      <c r="J11248" t="s">
        <v>30</v>
      </c>
      <c r="K11248" t="str">
        <f>"27104"</f>
        <v>27104</v>
      </c>
      <c r="M11248" t="s">
        <v>17861</v>
      </c>
      <c r="N11248" t="str">
        <f>"1/19/2018 3:10:00 PM"</f>
        <v>1/19/2018 3:10:00 PM</v>
      </c>
      <c r="O11248" t="s">
        <v>33631</v>
      </c>
      <c r="T11248" t="s">
        <v>33632</v>
      </c>
    </row>
    <row r="11249" spans="1:20" x14ac:dyDescent="0.25">
      <c r="A11249" t="str">
        <f>"3057425"</f>
        <v>3057425</v>
      </c>
      <c r="B11249" t="s">
        <v>33634</v>
      </c>
      <c r="C11249" t="str">
        <f>"8309182"</f>
        <v>8309182</v>
      </c>
      <c r="D11249" t="s">
        <v>33631</v>
      </c>
      <c r="E11249" t="s">
        <v>33632</v>
      </c>
      <c r="F11249" t="s">
        <v>33633</v>
      </c>
      <c r="I11249" t="s">
        <v>471</v>
      </c>
      <c r="J11249" t="s">
        <v>30</v>
      </c>
      <c r="K11249" t="str">
        <f>"27104"</f>
        <v>27104</v>
      </c>
      <c r="M11249" t="s">
        <v>17861</v>
      </c>
      <c r="N11249" t="str">
        <f>"1/19/2018 3:10:00 PM"</f>
        <v>1/19/2018 3:10:00 PM</v>
      </c>
      <c r="O11249" t="s">
        <v>33631</v>
      </c>
      <c r="T11249" t="s">
        <v>33632</v>
      </c>
    </row>
    <row r="11250" spans="1:20" x14ac:dyDescent="0.25">
      <c r="A11250" t="str">
        <f>"3041192"</f>
        <v>3041192</v>
      </c>
      <c r="B11250" t="s">
        <v>33635</v>
      </c>
      <c r="C11250" t="str">
        <f>"8309183"</f>
        <v>8309183</v>
      </c>
      <c r="D11250" t="s">
        <v>33636</v>
      </c>
      <c r="F11250" t="s">
        <v>33637</v>
      </c>
      <c r="I11250" t="s">
        <v>2071</v>
      </c>
      <c r="J11250" t="s">
        <v>30</v>
      </c>
      <c r="K11250" t="str">
        <f>"27006"</f>
        <v>27006</v>
      </c>
      <c r="M11250" t="s">
        <v>17861</v>
      </c>
      <c r="N11250" t="str">
        <f>"1/19/2018 3:13:00 PM"</f>
        <v>1/19/2018 3:13:00 PM</v>
      </c>
      <c r="O11250" t="s">
        <v>33636</v>
      </c>
    </row>
    <row r="11251" spans="1:20" x14ac:dyDescent="0.25">
      <c r="A11251" t="str">
        <f>"3052647"</f>
        <v>3052647</v>
      </c>
      <c r="B11251" t="s">
        <v>33638</v>
      </c>
      <c r="C11251" t="str">
        <f>"8309186"</f>
        <v>8309186</v>
      </c>
      <c r="D11251" t="s">
        <v>33639</v>
      </c>
      <c r="F11251" t="s">
        <v>33640</v>
      </c>
      <c r="I11251" t="s">
        <v>29</v>
      </c>
      <c r="J11251" t="s">
        <v>30</v>
      </c>
      <c r="K11251" t="s">
        <v>33641</v>
      </c>
      <c r="M11251" t="s">
        <v>17861</v>
      </c>
      <c r="N11251" t="str">
        <f>"1/19/2018 3:21:00 PM"</f>
        <v>1/19/2018 3:21:00 PM</v>
      </c>
      <c r="O11251" t="s">
        <v>33639</v>
      </c>
    </row>
    <row r="11252" spans="1:20" x14ac:dyDescent="0.25">
      <c r="A11252" t="str">
        <f>"3052861"</f>
        <v>3052861</v>
      </c>
      <c r="B11252" t="s">
        <v>33642</v>
      </c>
      <c r="C11252" t="str">
        <f>"8309191"</f>
        <v>8309191</v>
      </c>
      <c r="D11252" t="s">
        <v>33643</v>
      </c>
      <c r="F11252" t="s">
        <v>33644</v>
      </c>
      <c r="I11252" t="s">
        <v>29</v>
      </c>
      <c r="J11252" t="s">
        <v>30</v>
      </c>
      <c r="K11252" t="s">
        <v>33645</v>
      </c>
      <c r="M11252" t="s">
        <v>17861</v>
      </c>
      <c r="N11252" t="str">
        <f>"1/19/2018 4:11:00 PM"</f>
        <v>1/19/2018 4:11:00 PM</v>
      </c>
      <c r="O11252" t="s">
        <v>33643</v>
      </c>
    </row>
    <row r="11253" spans="1:20" x14ac:dyDescent="0.25">
      <c r="A11253" t="str">
        <f>"3052651"</f>
        <v>3052651</v>
      </c>
      <c r="B11253" t="s">
        <v>33646</v>
      </c>
      <c r="C11253" t="str">
        <f>"8309142"</f>
        <v>8309142</v>
      </c>
      <c r="D11253" t="s">
        <v>33647</v>
      </c>
      <c r="E11253" t="s">
        <v>33648</v>
      </c>
      <c r="F11253" t="s">
        <v>33649</v>
      </c>
      <c r="I11253" t="s">
        <v>29</v>
      </c>
      <c r="J11253" t="s">
        <v>30</v>
      </c>
      <c r="K11253" t="s">
        <v>16858</v>
      </c>
      <c r="M11253" t="s">
        <v>17861</v>
      </c>
      <c r="N11253" t="str">
        <f>"1/1/2018 1:49:00 PM"</f>
        <v>1/1/2018 1:49:00 PM</v>
      </c>
      <c r="O11253" t="s">
        <v>33647</v>
      </c>
      <c r="T11253" t="s">
        <v>33648</v>
      </c>
    </row>
    <row r="11254" spans="1:20" x14ac:dyDescent="0.25">
      <c r="A11254" t="str">
        <f>"3058865"</f>
        <v>3058865</v>
      </c>
      <c r="B11254" t="s">
        <v>33650</v>
      </c>
      <c r="C11254" t="str">
        <f>"8309143"</f>
        <v>8309143</v>
      </c>
      <c r="D11254" t="s">
        <v>33651</v>
      </c>
      <c r="E11254" t="s">
        <v>33652</v>
      </c>
      <c r="F11254" t="s">
        <v>33653</v>
      </c>
      <c r="I11254" t="s">
        <v>29</v>
      </c>
      <c r="J11254" t="s">
        <v>30</v>
      </c>
      <c r="K11254" t="s">
        <v>33654</v>
      </c>
      <c r="M11254" t="s">
        <v>17861</v>
      </c>
      <c r="N11254" t="str">
        <f>"1/1/2018 1:50:00 PM"</f>
        <v>1/1/2018 1:50:00 PM</v>
      </c>
      <c r="O11254" t="s">
        <v>33651</v>
      </c>
      <c r="T11254" t="s">
        <v>33652</v>
      </c>
    </row>
    <row r="11255" spans="1:20" x14ac:dyDescent="0.25">
      <c r="A11255" t="str">
        <f>"3047486"</f>
        <v>3047486</v>
      </c>
      <c r="B11255" t="s">
        <v>33655</v>
      </c>
      <c r="C11255" t="str">
        <f>"8309161"</f>
        <v>8309161</v>
      </c>
      <c r="D11255" t="s">
        <v>33656</v>
      </c>
      <c r="E11255" t="s">
        <v>18862</v>
      </c>
      <c r="F11255" t="s">
        <v>18863</v>
      </c>
      <c r="I11255" t="s">
        <v>1149</v>
      </c>
      <c r="J11255" t="s">
        <v>30</v>
      </c>
      <c r="K11255" t="str">
        <f>"28634"</f>
        <v>28634</v>
      </c>
      <c r="M11255" t="s">
        <v>17861</v>
      </c>
      <c r="N11255" t="str">
        <f>"1/3/2018 1:17:00 PM"</f>
        <v>1/3/2018 1:17:00 PM</v>
      </c>
      <c r="O11255" t="s">
        <v>33656</v>
      </c>
      <c r="T11255" t="s">
        <v>18862</v>
      </c>
    </row>
    <row r="11256" spans="1:20" x14ac:dyDescent="0.25">
      <c r="A11256" t="str">
        <f>"3037221"</f>
        <v>3037221</v>
      </c>
      <c r="B11256" t="s">
        <v>33657</v>
      </c>
      <c r="C11256" t="str">
        <f>"8309198"</f>
        <v>8309198</v>
      </c>
      <c r="D11256" t="s">
        <v>33658</v>
      </c>
      <c r="E11256" t="s">
        <v>33659</v>
      </c>
      <c r="F11256" t="s">
        <v>33660</v>
      </c>
      <c r="I11256" t="s">
        <v>184</v>
      </c>
      <c r="J11256" t="s">
        <v>30</v>
      </c>
      <c r="K11256" t="s">
        <v>2066</v>
      </c>
      <c r="M11256" t="s">
        <v>17861</v>
      </c>
      <c r="N11256" t="str">
        <f>"1/22/2018 1:21:00 PM"</f>
        <v>1/22/2018 1:21:00 PM</v>
      </c>
      <c r="O11256" t="s">
        <v>33658</v>
      </c>
      <c r="T11256" t="s">
        <v>33659</v>
      </c>
    </row>
    <row r="11257" spans="1:20" x14ac:dyDescent="0.25">
      <c r="A11257" t="str">
        <f>"3037262"</f>
        <v>3037262</v>
      </c>
      <c r="B11257" t="s">
        <v>33661</v>
      </c>
      <c r="C11257" t="str">
        <f>"8309198"</f>
        <v>8309198</v>
      </c>
      <c r="D11257" t="s">
        <v>33658</v>
      </c>
      <c r="E11257" t="s">
        <v>33659</v>
      </c>
      <c r="F11257" t="s">
        <v>33660</v>
      </c>
      <c r="I11257" t="s">
        <v>184</v>
      </c>
      <c r="J11257" t="s">
        <v>30</v>
      </c>
      <c r="K11257" t="s">
        <v>2066</v>
      </c>
      <c r="M11257" t="s">
        <v>17861</v>
      </c>
      <c r="N11257" t="str">
        <f>"1/22/2018 1:21:00 PM"</f>
        <v>1/22/2018 1:21:00 PM</v>
      </c>
      <c r="O11257" t="s">
        <v>33658</v>
      </c>
      <c r="T11257" t="s">
        <v>33659</v>
      </c>
    </row>
    <row r="11258" spans="1:20" x14ac:dyDescent="0.25">
      <c r="A11258" t="str">
        <f>"3037872"</f>
        <v>3037872</v>
      </c>
      <c r="B11258" t="s">
        <v>33662</v>
      </c>
      <c r="C11258" t="str">
        <f>"8304012"</f>
        <v>8304012</v>
      </c>
      <c r="D11258" t="s">
        <v>33663</v>
      </c>
      <c r="E11258" t="s">
        <v>33664</v>
      </c>
      <c r="F11258" t="s">
        <v>33665</v>
      </c>
      <c r="I11258" t="s">
        <v>29</v>
      </c>
      <c r="J11258" t="s">
        <v>30</v>
      </c>
      <c r="K11258" t="str">
        <f>"27028"</f>
        <v>27028</v>
      </c>
      <c r="M11258" t="s">
        <v>18479</v>
      </c>
      <c r="N11258" t="str">
        <f>"1/22/2018 1:38:00 PM"</f>
        <v>1/22/2018 1:38:00 PM</v>
      </c>
      <c r="O11258" t="s">
        <v>33663</v>
      </c>
      <c r="T11258" t="s">
        <v>33664</v>
      </c>
    </row>
    <row r="11259" spans="1:20" x14ac:dyDescent="0.25">
      <c r="A11259" t="str">
        <f>"3039020"</f>
        <v>3039020</v>
      </c>
      <c r="B11259" t="s">
        <v>33666</v>
      </c>
      <c r="C11259" t="str">
        <f>"8304012"</f>
        <v>8304012</v>
      </c>
      <c r="D11259" t="s">
        <v>33663</v>
      </c>
      <c r="E11259" t="s">
        <v>33664</v>
      </c>
      <c r="F11259" t="s">
        <v>33665</v>
      </c>
      <c r="I11259" t="s">
        <v>29</v>
      </c>
      <c r="J11259" t="s">
        <v>30</v>
      </c>
      <c r="K11259" t="str">
        <f>"27028"</f>
        <v>27028</v>
      </c>
      <c r="M11259" t="s">
        <v>18479</v>
      </c>
      <c r="N11259" t="str">
        <f>"1/22/2018 1:38:00 PM"</f>
        <v>1/22/2018 1:38:00 PM</v>
      </c>
      <c r="O11259" t="s">
        <v>33663</v>
      </c>
      <c r="T11259" t="s">
        <v>33664</v>
      </c>
    </row>
    <row r="11260" spans="1:20" x14ac:dyDescent="0.25">
      <c r="A11260" t="str">
        <f>"3076835"</f>
        <v>3076835</v>
      </c>
      <c r="B11260" t="s">
        <v>33667</v>
      </c>
      <c r="C11260" t="str">
        <f>"10010500"</f>
        <v>10010500</v>
      </c>
      <c r="D11260" t="s">
        <v>33668</v>
      </c>
      <c r="F11260" t="s">
        <v>33669</v>
      </c>
      <c r="I11260" t="s">
        <v>29</v>
      </c>
      <c r="J11260" t="s">
        <v>30</v>
      </c>
      <c r="K11260" t="s">
        <v>31</v>
      </c>
      <c r="M11260" t="s">
        <v>18479</v>
      </c>
      <c r="N11260" t="str">
        <f>"1/22/2018 1:57:00 PM"</f>
        <v>1/22/2018 1:57:00 PM</v>
      </c>
      <c r="O11260" t="s">
        <v>33668</v>
      </c>
      <c r="T11260" t="s">
        <v>33668</v>
      </c>
    </row>
    <row r="11261" spans="1:20" x14ac:dyDescent="0.25">
      <c r="A11261" t="str">
        <f>"3047045"</f>
        <v>3047045</v>
      </c>
      <c r="B11261" t="s">
        <v>33670</v>
      </c>
      <c r="C11261" t="str">
        <f>"8308319"</f>
        <v>8308319</v>
      </c>
      <c r="D11261" t="s">
        <v>33671</v>
      </c>
      <c r="F11261" t="s">
        <v>33672</v>
      </c>
      <c r="I11261" t="s">
        <v>29</v>
      </c>
      <c r="J11261" t="s">
        <v>30</v>
      </c>
      <c r="K11261" t="str">
        <f>"27028"</f>
        <v>27028</v>
      </c>
      <c r="M11261" t="s">
        <v>18479</v>
      </c>
      <c r="N11261" t="str">
        <f>"1/22/2018 3:06:00 PM"</f>
        <v>1/22/2018 3:06:00 PM</v>
      </c>
      <c r="O11261" t="s">
        <v>33671</v>
      </c>
    </row>
    <row r="11262" spans="1:20" x14ac:dyDescent="0.25">
      <c r="A11262" t="str">
        <f>"3046894"</f>
        <v>3046894</v>
      </c>
      <c r="B11262" t="s">
        <v>33673</v>
      </c>
      <c r="C11262" t="str">
        <f>"82528340"</f>
        <v>82528340</v>
      </c>
      <c r="D11262" t="s">
        <v>33674</v>
      </c>
      <c r="E11262" t="s">
        <v>33675</v>
      </c>
      <c r="F11262" t="s">
        <v>33676</v>
      </c>
      <c r="I11262" t="s">
        <v>29</v>
      </c>
      <c r="J11262" t="s">
        <v>30</v>
      </c>
      <c r="K11262" t="s">
        <v>31</v>
      </c>
      <c r="M11262" t="s">
        <v>18479</v>
      </c>
      <c r="N11262" t="str">
        <f>"1/3/2018 4:16:00 PM"</f>
        <v>1/3/2018 4:16:00 PM</v>
      </c>
      <c r="O11262" t="s">
        <v>33674</v>
      </c>
      <c r="T11262" t="s">
        <v>33675</v>
      </c>
    </row>
    <row r="11263" spans="1:20" x14ac:dyDescent="0.25">
      <c r="A11263" t="str">
        <f>"3064022"</f>
        <v>3064022</v>
      </c>
      <c r="B11263" t="s">
        <v>33677</v>
      </c>
      <c r="C11263" t="str">
        <f>"8309203"</f>
        <v>8309203</v>
      </c>
      <c r="D11263" t="s">
        <v>33678</v>
      </c>
      <c r="F11263" t="s">
        <v>33679</v>
      </c>
      <c r="I11263" t="s">
        <v>184</v>
      </c>
      <c r="J11263" t="s">
        <v>30</v>
      </c>
      <c r="K11263" t="s">
        <v>33680</v>
      </c>
      <c r="M11263" t="s">
        <v>17861</v>
      </c>
      <c r="N11263" t="str">
        <f>"1/22/2018 4:27:00 PM"</f>
        <v>1/22/2018 4:27:00 PM</v>
      </c>
      <c r="O11263" t="s">
        <v>33678</v>
      </c>
    </row>
    <row r="11264" spans="1:20" x14ac:dyDescent="0.25">
      <c r="A11264" t="str">
        <f>"3061656"</f>
        <v>3061656</v>
      </c>
      <c r="B11264" t="s">
        <v>33681</v>
      </c>
      <c r="C11264" t="str">
        <f>"8307983"</f>
        <v>8307983</v>
      </c>
      <c r="D11264" t="s">
        <v>33682</v>
      </c>
      <c r="E11264" t="s">
        <v>33683</v>
      </c>
      <c r="F11264" t="s">
        <v>33684</v>
      </c>
      <c r="I11264" t="s">
        <v>29</v>
      </c>
      <c r="J11264" t="s">
        <v>30</v>
      </c>
      <c r="K11264" t="str">
        <f>"27028"</f>
        <v>27028</v>
      </c>
      <c r="M11264" t="s">
        <v>18479</v>
      </c>
      <c r="N11264" t="str">
        <f>"1/23/2018 9:59:00 AM"</f>
        <v>1/23/2018 9:59:00 AM</v>
      </c>
      <c r="O11264" t="s">
        <v>33682</v>
      </c>
      <c r="T11264" t="s">
        <v>33683</v>
      </c>
    </row>
    <row r="11265" spans="1:20" x14ac:dyDescent="0.25">
      <c r="A11265" t="str">
        <f>"3039726"</f>
        <v>3039726</v>
      </c>
      <c r="B11265" t="s">
        <v>33685</v>
      </c>
      <c r="C11265" t="str">
        <f>"82522721"</f>
        <v>82522721</v>
      </c>
      <c r="D11265" t="s">
        <v>33686</v>
      </c>
      <c r="E11265" t="s">
        <v>33687</v>
      </c>
      <c r="F11265" t="s">
        <v>33688</v>
      </c>
      <c r="I11265" t="s">
        <v>29</v>
      </c>
      <c r="J11265" t="s">
        <v>30</v>
      </c>
      <c r="K11265" t="s">
        <v>31</v>
      </c>
      <c r="M11265" t="s">
        <v>18479</v>
      </c>
      <c r="N11265" t="str">
        <f>"1/23/2018 10:06:00 AM"</f>
        <v>1/23/2018 10:06:00 AM</v>
      </c>
      <c r="O11265" t="s">
        <v>33686</v>
      </c>
      <c r="T11265" t="s">
        <v>33687</v>
      </c>
    </row>
    <row r="11266" spans="1:20" x14ac:dyDescent="0.25">
      <c r="A11266" t="str">
        <f>"3047852"</f>
        <v>3047852</v>
      </c>
      <c r="B11266" t="s">
        <v>33689</v>
      </c>
      <c r="C11266" t="str">
        <f>"8305704"</f>
        <v>8305704</v>
      </c>
      <c r="D11266" t="s">
        <v>33690</v>
      </c>
      <c r="F11266" t="s">
        <v>33691</v>
      </c>
      <c r="I11266" t="s">
        <v>184</v>
      </c>
      <c r="J11266" t="s">
        <v>30</v>
      </c>
      <c r="K11266" t="str">
        <f>"27006"</f>
        <v>27006</v>
      </c>
      <c r="M11266" t="s">
        <v>18479</v>
      </c>
      <c r="N11266" t="str">
        <f>"1/23/2018 12:05:00 PM"</f>
        <v>1/23/2018 12:05:00 PM</v>
      </c>
      <c r="O11266" t="s">
        <v>33690</v>
      </c>
    </row>
    <row r="11267" spans="1:20" x14ac:dyDescent="0.25">
      <c r="A11267" t="str">
        <f>"3046986"</f>
        <v>3046986</v>
      </c>
      <c r="B11267" t="s">
        <v>33692</v>
      </c>
      <c r="C11267" t="str">
        <f>"8304067"</f>
        <v>8304067</v>
      </c>
      <c r="D11267" t="s">
        <v>33693</v>
      </c>
      <c r="F11267" t="s">
        <v>33694</v>
      </c>
      <c r="I11267" t="s">
        <v>29</v>
      </c>
      <c r="J11267" t="s">
        <v>30</v>
      </c>
      <c r="K11267" t="str">
        <f>"27028"</f>
        <v>27028</v>
      </c>
      <c r="M11267" t="s">
        <v>18479</v>
      </c>
      <c r="N11267" t="str">
        <f>"1/23/2018 12:07:00 PM"</f>
        <v>1/23/2018 12:07:00 PM</v>
      </c>
      <c r="O11267" t="s">
        <v>33693</v>
      </c>
    </row>
    <row r="11268" spans="1:20" x14ac:dyDescent="0.25">
      <c r="A11268" t="str">
        <f>"3043914"</f>
        <v>3043914</v>
      </c>
      <c r="B11268" t="s">
        <v>33695</v>
      </c>
      <c r="C11268" t="str">
        <f>"8300524"</f>
        <v>8300524</v>
      </c>
      <c r="D11268" t="s">
        <v>9922</v>
      </c>
      <c r="F11268" t="s">
        <v>9923</v>
      </c>
      <c r="I11268" t="s">
        <v>18331</v>
      </c>
      <c r="J11268" t="s">
        <v>30</v>
      </c>
      <c r="K11268" t="str">
        <f>"27028"</f>
        <v>27028</v>
      </c>
      <c r="M11268" t="s">
        <v>25625</v>
      </c>
      <c r="N11268" t="str">
        <f>"1/4/2018 9:15:00 AM"</f>
        <v>1/4/2018 9:15:00 AM</v>
      </c>
      <c r="O11268" t="s">
        <v>9922</v>
      </c>
    </row>
    <row r="11269" spans="1:20" x14ac:dyDescent="0.25">
      <c r="A11269" t="str">
        <f>"3068724"</f>
        <v>3068724</v>
      </c>
      <c r="B11269" t="s">
        <v>33696</v>
      </c>
      <c r="C11269" t="str">
        <f>"8300524"</f>
        <v>8300524</v>
      </c>
      <c r="D11269" t="s">
        <v>9922</v>
      </c>
      <c r="F11269" t="s">
        <v>9923</v>
      </c>
      <c r="I11269" t="s">
        <v>18331</v>
      </c>
      <c r="J11269" t="s">
        <v>30</v>
      </c>
      <c r="K11269" t="str">
        <f>"27028"</f>
        <v>27028</v>
      </c>
      <c r="M11269" t="s">
        <v>25625</v>
      </c>
      <c r="N11269" t="str">
        <f>"1/4/2018 9:15:00 AM"</f>
        <v>1/4/2018 9:15:00 AM</v>
      </c>
      <c r="O11269" t="s">
        <v>9922</v>
      </c>
    </row>
    <row r="11270" spans="1:20" x14ac:dyDescent="0.25">
      <c r="A11270" t="str">
        <f>"3040696"</f>
        <v>3040696</v>
      </c>
      <c r="B11270" t="s">
        <v>33697</v>
      </c>
      <c r="C11270" t="str">
        <f>"8307159"</f>
        <v>8307159</v>
      </c>
      <c r="D11270" t="s">
        <v>33698</v>
      </c>
      <c r="E11270" t="s">
        <v>33699</v>
      </c>
      <c r="F11270" t="s">
        <v>33700</v>
      </c>
      <c r="I11270" t="s">
        <v>184</v>
      </c>
      <c r="J11270" t="s">
        <v>30</v>
      </c>
      <c r="K11270" t="str">
        <f>"27006"</f>
        <v>27006</v>
      </c>
      <c r="M11270" t="s">
        <v>18479</v>
      </c>
      <c r="N11270" t="str">
        <f>"1/4/2018 11:35:00 AM"</f>
        <v>1/4/2018 11:35:00 AM</v>
      </c>
      <c r="O11270" t="s">
        <v>33698</v>
      </c>
      <c r="T11270" t="s">
        <v>33699</v>
      </c>
    </row>
    <row r="11271" spans="1:20" x14ac:dyDescent="0.25">
      <c r="A11271" t="str">
        <f>"3040444"</f>
        <v>3040444</v>
      </c>
      <c r="B11271" t="s">
        <v>33701</v>
      </c>
      <c r="C11271" t="str">
        <f>"8307319"</f>
        <v>8307319</v>
      </c>
      <c r="D11271" t="s">
        <v>33702</v>
      </c>
      <c r="E11271" t="s">
        <v>33703</v>
      </c>
      <c r="F11271" t="s">
        <v>33704</v>
      </c>
      <c r="I11271" t="s">
        <v>29</v>
      </c>
      <c r="J11271" t="s">
        <v>30</v>
      </c>
      <c r="K11271" t="str">
        <f>"27028"</f>
        <v>27028</v>
      </c>
      <c r="M11271" t="s">
        <v>18479</v>
      </c>
      <c r="N11271" t="str">
        <f>"1/24/2018 2:40:00 PM"</f>
        <v>1/24/2018 2:40:00 PM</v>
      </c>
      <c r="O11271" t="s">
        <v>33702</v>
      </c>
      <c r="T11271" t="s">
        <v>33703</v>
      </c>
    </row>
    <row r="11272" spans="1:20" x14ac:dyDescent="0.25">
      <c r="A11272" t="str">
        <f>"3040694"</f>
        <v>3040694</v>
      </c>
      <c r="B11272" t="s">
        <v>33705</v>
      </c>
      <c r="C11272" t="str">
        <f>"8307159"</f>
        <v>8307159</v>
      </c>
      <c r="D11272" t="s">
        <v>33698</v>
      </c>
      <c r="E11272" t="s">
        <v>33699</v>
      </c>
      <c r="F11272" t="s">
        <v>33700</v>
      </c>
      <c r="I11272" t="s">
        <v>184</v>
      </c>
      <c r="J11272" t="s">
        <v>30</v>
      </c>
      <c r="K11272" t="str">
        <f>"27006"</f>
        <v>27006</v>
      </c>
      <c r="M11272" t="s">
        <v>18479</v>
      </c>
      <c r="N11272" t="str">
        <f>"1/4/2018 11:35:00 AM"</f>
        <v>1/4/2018 11:35:00 AM</v>
      </c>
      <c r="O11272" t="s">
        <v>33698</v>
      </c>
      <c r="T11272" t="s">
        <v>33699</v>
      </c>
    </row>
    <row r="11273" spans="1:20" x14ac:dyDescent="0.25">
      <c r="A11273" t="str">
        <f>"3077659"</f>
        <v>3077659</v>
      </c>
      <c r="B11273" t="s">
        <v>33706</v>
      </c>
      <c r="C11273" t="str">
        <f>"8302962"</f>
        <v>8302962</v>
      </c>
      <c r="D11273" t="s">
        <v>33707</v>
      </c>
      <c r="F11273" t="s">
        <v>33708</v>
      </c>
      <c r="I11273" t="s">
        <v>29</v>
      </c>
      <c r="J11273" t="s">
        <v>30</v>
      </c>
      <c r="K11273" t="str">
        <f>"27028"</f>
        <v>27028</v>
      </c>
      <c r="M11273" t="s">
        <v>18479</v>
      </c>
      <c r="N11273" t="str">
        <f>"1/4/2018 2:16:00 PM"</f>
        <v>1/4/2018 2:16:00 PM</v>
      </c>
      <c r="O11273" t="s">
        <v>33707</v>
      </c>
    </row>
    <row r="11274" spans="1:20" x14ac:dyDescent="0.25">
      <c r="A11274" t="str">
        <f>"3043645"</f>
        <v>3043645</v>
      </c>
      <c r="B11274" t="s">
        <v>33709</v>
      </c>
      <c r="C11274" t="str">
        <f>"8307546"</f>
        <v>8307546</v>
      </c>
      <c r="D11274" t="s">
        <v>33710</v>
      </c>
      <c r="F11274" t="s">
        <v>33711</v>
      </c>
      <c r="I11274" t="s">
        <v>29</v>
      </c>
      <c r="J11274" t="s">
        <v>30</v>
      </c>
      <c r="K11274" t="str">
        <f>"27028"</f>
        <v>27028</v>
      </c>
      <c r="M11274" t="s">
        <v>18479</v>
      </c>
      <c r="N11274" t="str">
        <f>"1/4/2018 3:18:00 PM"</f>
        <v>1/4/2018 3:18:00 PM</v>
      </c>
      <c r="O11274" t="s">
        <v>33710</v>
      </c>
    </row>
    <row r="11275" spans="1:20" x14ac:dyDescent="0.25">
      <c r="A11275" t="str">
        <f>"3070974"</f>
        <v>3070974</v>
      </c>
      <c r="B11275" t="s">
        <v>33712</v>
      </c>
      <c r="C11275" t="str">
        <f>"8302955"</f>
        <v>8302955</v>
      </c>
      <c r="D11275" t="s">
        <v>33713</v>
      </c>
      <c r="F11275" t="s">
        <v>29759</v>
      </c>
      <c r="I11275" t="s">
        <v>33714</v>
      </c>
      <c r="J11275" t="s">
        <v>23322</v>
      </c>
      <c r="K11275" t="str">
        <f>"43537"</f>
        <v>43537</v>
      </c>
      <c r="M11275" t="s">
        <v>25494</v>
      </c>
      <c r="N11275" t="str">
        <f>"1/5/2018 8:54:00 AM"</f>
        <v>1/5/2018 8:54:00 AM</v>
      </c>
      <c r="O11275" t="s">
        <v>33713</v>
      </c>
    </row>
    <row r="11276" spans="1:20" x14ac:dyDescent="0.25">
      <c r="A11276" t="str">
        <f>"3049036"</f>
        <v>3049036</v>
      </c>
      <c r="B11276" t="s">
        <v>33715</v>
      </c>
      <c r="C11276" t="str">
        <f>"8307513"</f>
        <v>8307513</v>
      </c>
      <c r="D11276" t="s">
        <v>33716</v>
      </c>
      <c r="F11276" t="s">
        <v>33717</v>
      </c>
      <c r="I11276" t="s">
        <v>29</v>
      </c>
      <c r="J11276" t="s">
        <v>30</v>
      </c>
      <c r="K11276" t="str">
        <f>"27028"</f>
        <v>27028</v>
      </c>
      <c r="M11276" t="s">
        <v>22859</v>
      </c>
      <c r="N11276" t="str">
        <f>"1/9/2018 2:14:00 PM"</f>
        <v>1/9/2018 2:14:00 PM</v>
      </c>
      <c r="O11276" t="s">
        <v>33716</v>
      </c>
    </row>
    <row r="11277" spans="1:20" x14ac:dyDescent="0.25">
      <c r="A11277" t="str">
        <f>"3061197"</f>
        <v>3061197</v>
      </c>
      <c r="B11277" t="s">
        <v>33718</v>
      </c>
      <c r="C11277" t="str">
        <f>"8306506"</f>
        <v>8306506</v>
      </c>
      <c r="D11277" t="s">
        <v>33719</v>
      </c>
      <c r="F11277" t="s">
        <v>33720</v>
      </c>
      <c r="I11277" t="s">
        <v>2071</v>
      </c>
      <c r="J11277" t="s">
        <v>30</v>
      </c>
      <c r="K11277" t="str">
        <f>"27006"</f>
        <v>27006</v>
      </c>
      <c r="M11277" t="s">
        <v>25733</v>
      </c>
      <c r="N11277" t="str">
        <f>"1/10/2018 11:25:00 AM"</f>
        <v>1/10/2018 11:25:00 AM</v>
      </c>
      <c r="O11277" t="s">
        <v>33719</v>
      </c>
    </row>
    <row r="11278" spans="1:20" x14ac:dyDescent="0.25">
      <c r="A11278" t="str">
        <f>"3078944"</f>
        <v>3078944</v>
      </c>
      <c r="B11278" t="s">
        <v>33721</v>
      </c>
      <c r="C11278" t="str">
        <f>"62500350"</f>
        <v>62500350</v>
      </c>
      <c r="D11278" t="s">
        <v>33722</v>
      </c>
      <c r="E11278" t="s">
        <v>33723</v>
      </c>
      <c r="F11278" t="s">
        <v>33724</v>
      </c>
      <c r="I11278" t="s">
        <v>12628</v>
      </c>
      <c r="J11278" t="s">
        <v>30</v>
      </c>
      <c r="K11278" t="str">
        <f>"28037"</f>
        <v>28037</v>
      </c>
      <c r="M11278" t="s">
        <v>25494</v>
      </c>
      <c r="N11278" t="str">
        <f>"1/10/2018 12:29:00 PM"</f>
        <v>1/10/2018 12:29:00 PM</v>
      </c>
      <c r="O11278" t="s">
        <v>33722</v>
      </c>
      <c r="T11278" t="s">
        <v>33723</v>
      </c>
    </row>
    <row r="11279" spans="1:20" x14ac:dyDescent="0.25">
      <c r="A11279" t="str">
        <f>"3060902"</f>
        <v>3060902</v>
      </c>
      <c r="B11279" t="s">
        <v>33725</v>
      </c>
      <c r="C11279" t="str">
        <f>"8309123"</f>
        <v>8309123</v>
      </c>
      <c r="D11279" t="s">
        <v>33726</v>
      </c>
      <c r="E11279" t="s">
        <v>33727</v>
      </c>
      <c r="F11279" t="s">
        <v>33728</v>
      </c>
      <c r="I11279" t="s">
        <v>2071</v>
      </c>
      <c r="J11279" t="s">
        <v>30</v>
      </c>
      <c r="K11279" t="str">
        <f>"27006"</f>
        <v>27006</v>
      </c>
      <c r="M11279" t="s">
        <v>17861</v>
      </c>
      <c r="N11279" t="str">
        <f>"12/29/2017 4:08:00 PM"</f>
        <v>12/29/2017 4:08:00 PM</v>
      </c>
      <c r="O11279" t="s">
        <v>33726</v>
      </c>
      <c r="T11279" t="s">
        <v>33727</v>
      </c>
    </row>
    <row r="11280" spans="1:20" x14ac:dyDescent="0.25">
      <c r="A11280" t="str">
        <f>"3055262"</f>
        <v>3055262</v>
      </c>
      <c r="B11280" t="s">
        <v>33729</v>
      </c>
      <c r="C11280" t="str">
        <f>"8309124"</f>
        <v>8309124</v>
      </c>
      <c r="D11280" t="s">
        <v>33730</v>
      </c>
      <c r="E11280" t="s">
        <v>33731</v>
      </c>
      <c r="F11280" t="s">
        <v>33732</v>
      </c>
      <c r="I11280" t="s">
        <v>17921</v>
      </c>
      <c r="J11280" t="s">
        <v>30</v>
      </c>
      <c r="K11280" t="str">
        <f>"27028"</f>
        <v>27028</v>
      </c>
      <c r="M11280" t="s">
        <v>17861</v>
      </c>
      <c r="N11280" t="str">
        <f>"12/29/2017 4:12:00 PM"</f>
        <v>12/29/2017 4:12:00 PM</v>
      </c>
      <c r="O11280" t="s">
        <v>33730</v>
      </c>
      <c r="T11280" t="s">
        <v>33731</v>
      </c>
    </row>
    <row r="11281" spans="1:20" x14ac:dyDescent="0.25">
      <c r="A11281" t="str">
        <f>"3060909"</f>
        <v>3060909</v>
      </c>
      <c r="B11281" t="s">
        <v>33733</v>
      </c>
      <c r="C11281" t="str">
        <f>"8309125"</f>
        <v>8309125</v>
      </c>
      <c r="D11281" t="s">
        <v>33734</v>
      </c>
      <c r="E11281" t="s">
        <v>33735</v>
      </c>
      <c r="F11281" t="s">
        <v>33736</v>
      </c>
      <c r="I11281" t="s">
        <v>2071</v>
      </c>
      <c r="J11281" t="s">
        <v>30</v>
      </c>
      <c r="K11281" t="str">
        <f>"27006"</f>
        <v>27006</v>
      </c>
      <c r="M11281" t="s">
        <v>17861</v>
      </c>
      <c r="N11281" t="str">
        <f>"12/29/2017 4:21:00 PM"</f>
        <v>12/29/2017 4:21:00 PM</v>
      </c>
      <c r="O11281" t="s">
        <v>33734</v>
      </c>
      <c r="T11281" t="s">
        <v>33735</v>
      </c>
    </row>
    <row r="11282" spans="1:20" x14ac:dyDescent="0.25">
      <c r="A11282" t="str">
        <f>"3055942"</f>
        <v>3055942</v>
      </c>
      <c r="B11282" t="s">
        <v>33737</v>
      </c>
      <c r="C11282" t="str">
        <f>"8307538"</f>
        <v>8307538</v>
      </c>
      <c r="D11282" t="s">
        <v>33738</v>
      </c>
      <c r="E11282" t="s">
        <v>33739</v>
      </c>
      <c r="F11282" t="s">
        <v>33740</v>
      </c>
      <c r="I11282" t="s">
        <v>9580</v>
      </c>
      <c r="J11282" t="s">
        <v>30</v>
      </c>
      <c r="K11282" t="str">
        <f>"27014"</f>
        <v>27014</v>
      </c>
      <c r="M11282" t="s">
        <v>18479</v>
      </c>
      <c r="N11282" t="str">
        <f>"1/16/2018 10:31:00 AM"</f>
        <v>1/16/2018 10:31:00 AM</v>
      </c>
      <c r="O11282" t="s">
        <v>33738</v>
      </c>
      <c r="T11282" t="s">
        <v>33739</v>
      </c>
    </row>
    <row r="11283" spans="1:20" x14ac:dyDescent="0.25">
      <c r="A11283" t="str">
        <f>"3060249"</f>
        <v>3060249</v>
      </c>
      <c r="B11283" t="s">
        <v>33741</v>
      </c>
      <c r="C11283" t="str">
        <f>"8309178"</f>
        <v>8309178</v>
      </c>
      <c r="D11283" t="s">
        <v>33742</v>
      </c>
      <c r="F11283" t="s">
        <v>33743</v>
      </c>
      <c r="I11283" t="s">
        <v>184</v>
      </c>
      <c r="J11283" t="s">
        <v>30</v>
      </c>
      <c r="K11283" t="s">
        <v>33744</v>
      </c>
      <c r="M11283" t="s">
        <v>17861</v>
      </c>
      <c r="N11283" t="str">
        <f>"1/19/2018 2:39:00 PM"</f>
        <v>1/19/2018 2:39:00 PM</v>
      </c>
      <c r="O11283" t="s">
        <v>33742</v>
      </c>
    </row>
    <row r="11284" spans="1:20" x14ac:dyDescent="0.25">
      <c r="A11284" t="str">
        <f>"3044749"</f>
        <v>3044749</v>
      </c>
      <c r="B11284" t="s">
        <v>33745</v>
      </c>
      <c r="C11284" t="str">
        <f>"8309180"</f>
        <v>8309180</v>
      </c>
      <c r="D11284" t="s">
        <v>33746</v>
      </c>
      <c r="E11284" t="s">
        <v>33747</v>
      </c>
      <c r="F11284" t="s">
        <v>33748</v>
      </c>
      <c r="I11284" t="s">
        <v>184</v>
      </c>
      <c r="J11284" t="s">
        <v>30</v>
      </c>
      <c r="K11284" t="str">
        <f>"27028"</f>
        <v>27028</v>
      </c>
      <c r="M11284" t="s">
        <v>17861</v>
      </c>
      <c r="N11284" t="str">
        <f>"1/19/2018 2:44:00 PM"</f>
        <v>1/19/2018 2:44:00 PM</v>
      </c>
      <c r="O11284" t="s">
        <v>33746</v>
      </c>
      <c r="T11284" t="s">
        <v>33747</v>
      </c>
    </row>
    <row r="11285" spans="1:20" x14ac:dyDescent="0.25">
      <c r="A11285" t="str">
        <f>"3058669"</f>
        <v>3058669</v>
      </c>
      <c r="B11285" t="s">
        <v>33749</v>
      </c>
      <c r="C11285" t="str">
        <f>"8309194"</f>
        <v>8309194</v>
      </c>
      <c r="D11285" t="s">
        <v>33750</v>
      </c>
      <c r="E11285" t="s">
        <v>33751</v>
      </c>
      <c r="F11285" t="s">
        <v>33550</v>
      </c>
      <c r="I11285" t="s">
        <v>2589</v>
      </c>
      <c r="J11285" t="s">
        <v>30</v>
      </c>
      <c r="K11285" t="str">
        <f>"27611"</f>
        <v>27611</v>
      </c>
      <c r="M11285" t="s">
        <v>17861</v>
      </c>
      <c r="N11285" t="str">
        <f>"1/22/2018 10:31:00 AM"</f>
        <v>1/22/2018 10:31:00 AM</v>
      </c>
      <c r="O11285" t="s">
        <v>33750</v>
      </c>
      <c r="T11285" t="s">
        <v>33751</v>
      </c>
    </row>
    <row r="11286" spans="1:20" x14ac:dyDescent="0.25">
      <c r="A11286" t="str">
        <f>"3050580"</f>
        <v>3050580</v>
      </c>
      <c r="B11286" t="s">
        <v>33752</v>
      </c>
      <c r="C11286" t="str">
        <f>"8309222"</f>
        <v>8309222</v>
      </c>
      <c r="D11286" t="s">
        <v>33753</v>
      </c>
      <c r="F11286" t="s">
        <v>33754</v>
      </c>
      <c r="I11286" t="s">
        <v>184</v>
      </c>
      <c r="J11286" t="s">
        <v>30</v>
      </c>
      <c r="K11286" t="s">
        <v>18622</v>
      </c>
      <c r="M11286" t="s">
        <v>17861</v>
      </c>
      <c r="N11286" t="str">
        <f>"1/29/2018 2:40:00 PM"</f>
        <v>1/29/2018 2:40:00 PM</v>
      </c>
      <c r="O11286" t="s">
        <v>33753</v>
      </c>
    </row>
    <row r="11287" spans="1:20" x14ac:dyDescent="0.25">
      <c r="A11287" t="str">
        <f>"3040190"</f>
        <v>3040190</v>
      </c>
      <c r="B11287" t="s">
        <v>33755</v>
      </c>
      <c r="C11287" t="str">
        <f>"8309223"</f>
        <v>8309223</v>
      </c>
      <c r="D11287" t="s">
        <v>33756</v>
      </c>
      <c r="F11287" t="s">
        <v>33757</v>
      </c>
      <c r="I11287" t="s">
        <v>29</v>
      </c>
      <c r="J11287" t="s">
        <v>30</v>
      </c>
      <c r="K11287" t="str">
        <f>"27028"</f>
        <v>27028</v>
      </c>
      <c r="M11287" t="s">
        <v>17861</v>
      </c>
      <c r="N11287" t="str">
        <f>"1/29/2018 2:58:00 PM"</f>
        <v>1/29/2018 2:58:00 PM</v>
      </c>
      <c r="O11287" t="s">
        <v>33756</v>
      </c>
    </row>
    <row r="11288" spans="1:20" x14ac:dyDescent="0.25">
      <c r="A11288" t="str">
        <f>"3043382"</f>
        <v>3043382</v>
      </c>
      <c r="B11288" t="s">
        <v>33758</v>
      </c>
      <c r="C11288" t="str">
        <f>"8309224"</f>
        <v>8309224</v>
      </c>
      <c r="D11288" t="s">
        <v>33759</v>
      </c>
      <c r="E11288" t="s">
        <v>33760</v>
      </c>
      <c r="F11288" t="s">
        <v>33761</v>
      </c>
      <c r="I11288" t="s">
        <v>17921</v>
      </c>
      <c r="J11288" t="s">
        <v>30</v>
      </c>
      <c r="K11288" t="str">
        <f>"27028"</f>
        <v>27028</v>
      </c>
      <c r="M11288" t="s">
        <v>17861</v>
      </c>
      <c r="N11288" t="str">
        <f>"1/29/2018 3:01:00 PM"</f>
        <v>1/29/2018 3:01:00 PM</v>
      </c>
      <c r="O11288" t="s">
        <v>33759</v>
      </c>
      <c r="T11288" t="s">
        <v>33760</v>
      </c>
    </row>
    <row r="11289" spans="1:20" x14ac:dyDescent="0.25">
      <c r="A11289" t="str">
        <f>"3044479"</f>
        <v>3044479</v>
      </c>
      <c r="B11289" t="s">
        <v>33762</v>
      </c>
      <c r="C11289" t="str">
        <f>"8309228"</f>
        <v>8309228</v>
      </c>
      <c r="D11289" t="s">
        <v>33763</v>
      </c>
      <c r="E11289" t="s">
        <v>33764</v>
      </c>
      <c r="F11289" t="s">
        <v>33765</v>
      </c>
      <c r="I11289" t="s">
        <v>184</v>
      </c>
      <c r="J11289" t="s">
        <v>30</v>
      </c>
      <c r="K11289" t="s">
        <v>5629</v>
      </c>
      <c r="M11289" t="s">
        <v>17861</v>
      </c>
      <c r="N11289" t="str">
        <f>"1/29/2018 3:35:00 PM"</f>
        <v>1/29/2018 3:35:00 PM</v>
      </c>
      <c r="O11289" t="s">
        <v>33763</v>
      </c>
      <c r="T11289" t="s">
        <v>33764</v>
      </c>
    </row>
    <row r="11290" spans="1:20" x14ac:dyDescent="0.25">
      <c r="A11290" t="str">
        <f>"3039746"</f>
        <v>3039746</v>
      </c>
      <c r="B11290" t="s">
        <v>33766</v>
      </c>
      <c r="C11290" t="str">
        <f>"28264000"</f>
        <v>28264000</v>
      </c>
      <c r="D11290" t="s">
        <v>33767</v>
      </c>
      <c r="F11290" t="s">
        <v>33768</v>
      </c>
      <c r="I11290" t="s">
        <v>29</v>
      </c>
      <c r="J11290" t="s">
        <v>30</v>
      </c>
      <c r="K11290" t="str">
        <f>"27028"</f>
        <v>27028</v>
      </c>
      <c r="M11290" t="s">
        <v>27053</v>
      </c>
      <c r="N11290" t="str">
        <f>"1/22/2018 11:04:00 AM"</f>
        <v>1/22/2018 11:04:00 AM</v>
      </c>
      <c r="O11290" t="s">
        <v>33767</v>
      </c>
    </row>
    <row r="11291" spans="1:20" x14ac:dyDescent="0.25">
      <c r="A11291" t="str">
        <f>"3047677"</f>
        <v>3047677</v>
      </c>
      <c r="B11291" t="s">
        <v>33769</v>
      </c>
      <c r="C11291" t="str">
        <f>"8308432"</f>
        <v>8308432</v>
      </c>
      <c r="D11291" t="s">
        <v>33770</v>
      </c>
      <c r="E11291" t="s">
        <v>33771</v>
      </c>
      <c r="F11291" t="s">
        <v>33772</v>
      </c>
      <c r="I11291" t="s">
        <v>184</v>
      </c>
      <c r="J11291" t="s">
        <v>30</v>
      </c>
      <c r="K11291" t="str">
        <f>"27006"</f>
        <v>27006</v>
      </c>
      <c r="M11291" t="s">
        <v>18479</v>
      </c>
      <c r="N11291" t="str">
        <f>"1/22/2018 1:16:00 PM"</f>
        <v>1/22/2018 1:16:00 PM</v>
      </c>
      <c r="O11291" t="s">
        <v>33770</v>
      </c>
      <c r="T11291" t="s">
        <v>33771</v>
      </c>
    </row>
    <row r="11292" spans="1:20" x14ac:dyDescent="0.25">
      <c r="A11292" t="str">
        <f>"3055792"</f>
        <v>3055792</v>
      </c>
      <c r="B11292" t="s">
        <v>33773</v>
      </c>
      <c r="C11292" t="str">
        <f>"8307941"</f>
        <v>8307941</v>
      </c>
      <c r="D11292" t="s">
        <v>33774</v>
      </c>
      <c r="F11292" t="s">
        <v>33775</v>
      </c>
      <c r="I11292" t="s">
        <v>9580</v>
      </c>
      <c r="J11292" t="s">
        <v>30</v>
      </c>
      <c r="K11292" t="str">
        <f>"27014"</f>
        <v>27014</v>
      </c>
      <c r="M11292" t="s">
        <v>18479</v>
      </c>
      <c r="N11292" t="str">
        <f>"1/22/2018 3:34:00 PM"</f>
        <v>1/22/2018 3:34:00 PM</v>
      </c>
      <c r="O11292" t="s">
        <v>33774</v>
      </c>
    </row>
    <row r="11293" spans="1:20" x14ac:dyDescent="0.25">
      <c r="A11293" t="str">
        <f>"3041445"</f>
        <v>3041445</v>
      </c>
      <c r="B11293" t="s">
        <v>33776</v>
      </c>
      <c r="C11293" t="str">
        <f>"8307673"</f>
        <v>8307673</v>
      </c>
      <c r="D11293" t="s">
        <v>33777</v>
      </c>
      <c r="E11293" t="s">
        <v>33778</v>
      </c>
      <c r="F11293" t="s">
        <v>33779</v>
      </c>
      <c r="I11293" t="s">
        <v>184</v>
      </c>
      <c r="J11293" t="s">
        <v>30</v>
      </c>
      <c r="K11293" t="str">
        <f>"27006"</f>
        <v>27006</v>
      </c>
      <c r="M11293" t="s">
        <v>18479</v>
      </c>
      <c r="N11293" t="str">
        <f>"1/24/2018 10:19:00 AM"</f>
        <v>1/24/2018 10:19:00 AM</v>
      </c>
      <c r="O11293" t="s">
        <v>33777</v>
      </c>
      <c r="T11293" t="s">
        <v>33778</v>
      </c>
    </row>
    <row r="11294" spans="1:20" x14ac:dyDescent="0.25">
      <c r="A11294" t="str">
        <f>"3042983"</f>
        <v>3042983</v>
      </c>
      <c r="B11294" t="s">
        <v>33780</v>
      </c>
      <c r="C11294" t="str">
        <f>"8307407"</f>
        <v>8307407</v>
      </c>
      <c r="D11294" t="s">
        <v>33781</v>
      </c>
      <c r="E11294" t="s">
        <v>33782</v>
      </c>
      <c r="F11294" t="s">
        <v>33783</v>
      </c>
      <c r="I11294" t="s">
        <v>184</v>
      </c>
      <c r="J11294" t="s">
        <v>30</v>
      </c>
      <c r="K11294" t="str">
        <f>"27006"</f>
        <v>27006</v>
      </c>
      <c r="M11294" t="s">
        <v>18479</v>
      </c>
      <c r="N11294" t="str">
        <f>"1/24/2018 2:28:00 PM"</f>
        <v>1/24/2018 2:28:00 PM</v>
      </c>
      <c r="O11294" t="s">
        <v>33781</v>
      </c>
      <c r="T11294" t="s">
        <v>33782</v>
      </c>
    </row>
    <row r="11295" spans="1:20" x14ac:dyDescent="0.25">
      <c r="A11295" t="str">
        <f>"3060736"</f>
        <v>3060736</v>
      </c>
      <c r="B11295" t="s">
        <v>33784</v>
      </c>
      <c r="C11295" t="str">
        <f>"8303124"</f>
        <v>8303124</v>
      </c>
      <c r="D11295" t="s">
        <v>33785</v>
      </c>
      <c r="E11295" t="s">
        <v>33786</v>
      </c>
      <c r="F11295" t="s">
        <v>33787</v>
      </c>
      <c r="I11295" t="s">
        <v>2071</v>
      </c>
      <c r="J11295" t="s">
        <v>30</v>
      </c>
      <c r="K11295" t="str">
        <f>"27006"</f>
        <v>27006</v>
      </c>
      <c r="M11295" t="s">
        <v>18479</v>
      </c>
      <c r="N11295" t="str">
        <f>"1/24/2018 2:33:00 PM"</f>
        <v>1/24/2018 2:33:00 PM</v>
      </c>
      <c r="O11295" t="s">
        <v>33785</v>
      </c>
      <c r="T11295" t="s">
        <v>33786</v>
      </c>
    </row>
    <row r="11296" spans="1:20" x14ac:dyDescent="0.25">
      <c r="A11296" t="str">
        <f>"3051444"</f>
        <v>3051444</v>
      </c>
      <c r="B11296" t="s">
        <v>33788</v>
      </c>
      <c r="C11296" t="str">
        <f>"14076000"</f>
        <v>14076000</v>
      </c>
      <c r="D11296" t="s">
        <v>33789</v>
      </c>
      <c r="F11296" t="s">
        <v>33790</v>
      </c>
      <c r="I11296" t="s">
        <v>29</v>
      </c>
      <c r="J11296" t="s">
        <v>30</v>
      </c>
      <c r="K11296" t="s">
        <v>14668</v>
      </c>
      <c r="M11296" t="s">
        <v>18479</v>
      </c>
      <c r="N11296" t="str">
        <f>"1/25/2018 3:03:00 PM"</f>
        <v>1/25/2018 3:03:00 PM</v>
      </c>
      <c r="O11296" t="s">
        <v>33789</v>
      </c>
    </row>
    <row r="11297" spans="1:20" x14ac:dyDescent="0.25">
      <c r="A11297" t="str">
        <f>"3054641"</f>
        <v>3054641</v>
      </c>
      <c r="B11297" t="s">
        <v>33791</v>
      </c>
      <c r="C11297" t="str">
        <f t="shared" ref="C11297:C11304" si="189">"8309240"</f>
        <v>8309240</v>
      </c>
      <c r="D11297" t="s">
        <v>33792</v>
      </c>
      <c r="F11297" t="s">
        <v>33793</v>
      </c>
      <c r="I11297" t="s">
        <v>184</v>
      </c>
      <c r="J11297" t="s">
        <v>30</v>
      </c>
      <c r="K11297" t="s">
        <v>4999</v>
      </c>
      <c r="M11297" t="s">
        <v>17861</v>
      </c>
      <c r="N11297" t="str">
        <f t="shared" ref="N11297:N11304" si="190">"1/31/2018 12:53:00 PM"</f>
        <v>1/31/2018 12:53:00 PM</v>
      </c>
      <c r="O11297" t="s">
        <v>33792</v>
      </c>
    </row>
    <row r="11298" spans="1:20" x14ac:dyDescent="0.25">
      <c r="A11298" t="str">
        <f>"3054552"</f>
        <v>3054552</v>
      </c>
      <c r="B11298" t="s">
        <v>33794</v>
      </c>
      <c r="C11298" t="str">
        <f t="shared" si="189"/>
        <v>8309240</v>
      </c>
      <c r="D11298" t="s">
        <v>33792</v>
      </c>
      <c r="F11298" t="s">
        <v>33793</v>
      </c>
      <c r="I11298" t="s">
        <v>184</v>
      </c>
      <c r="J11298" t="s">
        <v>30</v>
      </c>
      <c r="K11298" t="s">
        <v>4999</v>
      </c>
      <c r="M11298" t="s">
        <v>17861</v>
      </c>
      <c r="N11298" t="str">
        <f t="shared" si="190"/>
        <v>1/31/2018 12:53:00 PM</v>
      </c>
      <c r="O11298" t="s">
        <v>33792</v>
      </c>
    </row>
    <row r="11299" spans="1:20" x14ac:dyDescent="0.25">
      <c r="A11299" t="str">
        <f>"3055239"</f>
        <v>3055239</v>
      </c>
      <c r="B11299" t="s">
        <v>33795</v>
      </c>
      <c r="C11299" t="str">
        <f t="shared" si="189"/>
        <v>8309240</v>
      </c>
      <c r="D11299" t="s">
        <v>33792</v>
      </c>
      <c r="F11299" t="s">
        <v>33793</v>
      </c>
      <c r="I11299" t="s">
        <v>184</v>
      </c>
      <c r="J11299" t="s">
        <v>30</v>
      </c>
      <c r="K11299" t="s">
        <v>4999</v>
      </c>
      <c r="M11299" t="s">
        <v>17861</v>
      </c>
      <c r="N11299" t="str">
        <f t="shared" si="190"/>
        <v>1/31/2018 12:53:00 PM</v>
      </c>
      <c r="O11299" t="s">
        <v>33792</v>
      </c>
    </row>
    <row r="11300" spans="1:20" x14ac:dyDescent="0.25">
      <c r="A11300" t="str">
        <f>"3055240"</f>
        <v>3055240</v>
      </c>
      <c r="B11300" t="s">
        <v>33796</v>
      </c>
      <c r="C11300" t="str">
        <f t="shared" si="189"/>
        <v>8309240</v>
      </c>
      <c r="D11300" t="s">
        <v>33792</v>
      </c>
      <c r="F11300" t="s">
        <v>33793</v>
      </c>
      <c r="I11300" t="s">
        <v>184</v>
      </c>
      <c r="J11300" t="s">
        <v>30</v>
      </c>
      <c r="K11300" t="s">
        <v>4999</v>
      </c>
      <c r="M11300" t="s">
        <v>17861</v>
      </c>
      <c r="N11300" t="str">
        <f t="shared" si="190"/>
        <v>1/31/2018 12:53:00 PM</v>
      </c>
      <c r="O11300" t="s">
        <v>33792</v>
      </c>
    </row>
    <row r="11301" spans="1:20" x14ac:dyDescent="0.25">
      <c r="A11301" t="str">
        <f>"3054250"</f>
        <v>3054250</v>
      </c>
      <c r="B11301" t="s">
        <v>33797</v>
      </c>
      <c r="C11301" t="str">
        <f t="shared" si="189"/>
        <v>8309240</v>
      </c>
      <c r="D11301" t="s">
        <v>33792</v>
      </c>
      <c r="F11301" t="s">
        <v>33793</v>
      </c>
      <c r="I11301" t="s">
        <v>184</v>
      </c>
      <c r="J11301" t="s">
        <v>30</v>
      </c>
      <c r="K11301" t="s">
        <v>4999</v>
      </c>
      <c r="M11301" t="s">
        <v>17861</v>
      </c>
      <c r="N11301" t="str">
        <f t="shared" si="190"/>
        <v>1/31/2018 12:53:00 PM</v>
      </c>
      <c r="O11301" t="s">
        <v>33792</v>
      </c>
    </row>
    <row r="11302" spans="1:20" x14ac:dyDescent="0.25">
      <c r="A11302" t="str">
        <f>"3054055"</f>
        <v>3054055</v>
      </c>
      <c r="B11302" t="s">
        <v>33798</v>
      </c>
      <c r="C11302" t="str">
        <f t="shared" si="189"/>
        <v>8309240</v>
      </c>
      <c r="D11302" t="s">
        <v>33792</v>
      </c>
      <c r="F11302" t="s">
        <v>33793</v>
      </c>
      <c r="I11302" t="s">
        <v>184</v>
      </c>
      <c r="J11302" t="s">
        <v>30</v>
      </c>
      <c r="K11302" t="s">
        <v>4999</v>
      </c>
      <c r="M11302" t="s">
        <v>17861</v>
      </c>
      <c r="N11302" t="str">
        <f t="shared" si="190"/>
        <v>1/31/2018 12:53:00 PM</v>
      </c>
      <c r="O11302" t="s">
        <v>33792</v>
      </c>
    </row>
    <row r="11303" spans="1:20" x14ac:dyDescent="0.25">
      <c r="A11303" t="str">
        <f>"3054050"</f>
        <v>3054050</v>
      </c>
      <c r="B11303" t="s">
        <v>33799</v>
      </c>
      <c r="C11303" t="str">
        <f t="shared" si="189"/>
        <v>8309240</v>
      </c>
      <c r="D11303" t="s">
        <v>33792</v>
      </c>
      <c r="F11303" t="s">
        <v>33793</v>
      </c>
      <c r="I11303" t="s">
        <v>184</v>
      </c>
      <c r="J11303" t="s">
        <v>30</v>
      </c>
      <c r="K11303" t="s">
        <v>4999</v>
      </c>
      <c r="M11303" t="s">
        <v>17861</v>
      </c>
      <c r="N11303" t="str">
        <f t="shared" si="190"/>
        <v>1/31/2018 12:53:00 PM</v>
      </c>
      <c r="O11303" t="s">
        <v>33792</v>
      </c>
    </row>
    <row r="11304" spans="1:20" x14ac:dyDescent="0.25">
      <c r="A11304" t="str">
        <f>"3042578"</f>
        <v>3042578</v>
      </c>
      <c r="B11304" t="s">
        <v>33800</v>
      </c>
      <c r="C11304" t="str">
        <f t="shared" si="189"/>
        <v>8309240</v>
      </c>
      <c r="D11304" t="s">
        <v>33792</v>
      </c>
      <c r="F11304" t="s">
        <v>33793</v>
      </c>
      <c r="I11304" t="s">
        <v>184</v>
      </c>
      <c r="J11304" t="s">
        <v>30</v>
      </c>
      <c r="K11304" t="s">
        <v>4999</v>
      </c>
      <c r="M11304" t="s">
        <v>17861</v>
      </c>
      <c r="N11304" t="str">
        <f t="shared" si="190"/>
        <v>1/31/2018 12:53:00 PM</v>
      </c>
      <c r="O11304" t="s">
        <v>33792</v>
      </c>
    </row>
    <row r="11305" spans="1:20" x14ac:dyDescent="0.25">
      <c r="A11305" t="str">
        <f>"3048421"</f>
        <v>3048421</v>
      </c>
      <c r="B11305" t="s">
        <v>33801</v>
      </c>
      <c r="C11305" t="str">
        <f>"8309242"</f>
        <v>8309242</v>
      </c>
      <c r="D11305" t="s">
        <v>33802</v>
      </c>
      <c r="F11305" t="s">
        <v>33803</v>
      </c>
      <c r="I11305" t="s">
        <v>184</v>
      </c>
      <c r="J11305" t="s">
        <v>30</v>
      </c>
      <c r="K11305" t="s">
        <v>10721</v>
      </c>
      <c r="M11305" t="s">
        <v>17861</v>
      </c>
      <c r="N11305" t="str">
        <f>"1/31/2018 1:05:00 PM"</f>
        <v>1/31/2018 1:05:00 PM</v>
      </c>
      <c r="O11305" t="s">
        <v>33802</v>
      </c>
    </row>
    <row r="11306" spans="1:20" x14ac:dyDescent="0.25">
      <c r="A11306" t="str">
        <f>"3048636"</f>
        <v>3048636</v>
      </c>
      <c r="B11306" t="s">
        <v>33804</v>
      </c>
      <c r="C11306" t="str">
        <f>"8309242"</f>
        <v>8309242</v>
      </c>
      <c r="D11306" t="s">
        <v>33802</v>
      </c>
      <c r="F11306" t="s">
        <v>33803</v>
      </c>
      <c r="I11306" t="s">
        <v>184</v>
      </c>
      <c r="J11306" t="s">
        <v>30</v>
      </c>
      <c r="K11306" t="s">
        <v>10721</v>
      </c>
      <c r="M11306" t="s">
        <v>17861</v>
      </c>
      <c r="N11306" t="str">
        <f>"1/31/2018 1:05:00 PM"</f>
        <v>1/31/2018 1:05:00 PM</v>
      </c>
      <c r="O11306" t="s">
        <v>33802</v>
      </c>
    </row>
    <row r="11307" spans="1:20" x14ac:dyDescent="0.25">
      <c r="A11307" t="str">
        <f>"3044724"</f>
        <v>3044724</v>
      </c>
      <c r="B11307" t="s">
        <v>33805</v>
      </c>
      <c r="C11307" t="str">
        <f>"8309245"</f>
        <v>8309245</v>
      </c>
      <c r="D11307" t="s">
        <v>33806</v>
      </c>
      <c r="E11307" t="s">
        <v>33807</v>
      </c>
      <c r="F11307" t="s">
        <v>33808</v>
      </c>
      <c r="I11307" t="s">
        <v>184</v>
      </c>
      <c r="J11307" t="s">
        <v>30</v>
      </c>
      <c r="K11307" t="s">
        <v>5976</v>
      </c>
      <c r="M11307" t="s">
        <v>17861</v>
      </c>
      <c r="N11307" t="str">
        <f>"1/31/2018 3:27:00 PM"</f>
        <v>1/31/2018 3:27:00 PM</v>
      </c>
      <c r="O11307" t="s">
        <v>33806</v>
      </c>
      <c r="T11307" t="s">
        <v>33807</v>
      </c>
    </row>
    <row r="11308" spans="1:20" x14ac:dyDescent="0.25">
      <c r="A11308" t="str">
        <f>"3057380"</f>
        <v>3057380</v>
      </c>
      <c r="B11308" t="s">
        <v>33809</v>
      </c>
      <c r="C11308" t="str">
        <f>"8308699"</f>
        <v>8308699</v>
      </c>
      <c r="D11308" t="s">
        <v>33810</v>
      </c>
      <c r="F11308" t="s">
        <v>33811</v>
      </c>
      <c r="I11308" t="s">
        <v>184</v>
      </c>
      <c r="J11308" t="s">
        <v>30</v>
      </c>
      <c r="K11308" t="str">
        <f>"27006"</f>
        <v>27006</v>
      </c>
      <c r="M11308" t="s">
        <v>18479</v>
      </c>
      <c r="N11308" t="str">
        <f>"1/10/2018 1:54:00 PM"</f>
        <v>1/10/2018 1:54:00 PM</v>
      </c>
      <c r="O11308" t="s">
        <v>33810</v>
      </c>
    </row>
    <row r="11309" spans="1:20" x14ac:dyDescent="0.25">
      <c r="A11309" t="str">
        <f>"3060003"</f>
        <v>3060003</v>
      </c>
      <c r="B11309" t="s">
        <v>33812</v>
      </c>
      <c r="C11309" t="str">
        <f>"8308699"</f>
        <v>8308699</v>
      </c>
      <c r="D11309" t="s">
        <v>33810</v>
      </c>
      <c r="F11309" t="s">
        <v>33811</v>
      </c>
      <c r="I11309" t="s">
        <v>184</v>
      </c>
      <c r="J11309" t="s">
        <v>30</v>
      </c>
      <c r="K11309" t="str">
        <f>"27006"</f>
        <v>27006</v>
      </c>
      <c r="M11309" t="s">
        <v>18479</v>
      </c>
      <c r="N11309" t="str">
        <f>"1/10/2018 1:54:00 PM"</f>
        <v>1/10/2018 1:54:00 PM</v>
      </c>
      <c r="O11309" t="s">
        <v>33810</v>
      </c>
    </row>
    <row r="11310" spans="1:20" x14ac:dyDescent="0.25">
      <c r="A11310" t="str">
        <f>"3049046"</f>
        <v>3049046</v>
      </c>
      <c r="B11310" t="s">
        <v>33813</v>
      </c>
      <c r="C11310" t="str">
        <f>"46800690"</f>
        <v>46800690</v>
      </c>
      <c r="D11310" t="s">
        <v>33814</v>
      </c>
      <c r="E11310" t="s">
        <v>33815</v>
      </c>
      <c r="F11310" t="s">
        <v>33816</v>
      </c>
      <c r="I11310" t="s">
        <v>184</v>
      </c>
      <c r="J11310" t="s">
        <v>30</v>
      </c>
      <c r="K11310" t="s">
        <v>185</v>
      </c>
      <c r="M11310" t="s">
        <v>18479</v>
      </c>
      <c r="N11310" t="str">
        <f>"1/11/2018 10:01:00 AM"</f>
        <v>1/11/2018 10:01:00 AM</v>
      </c>
      <c r="O11310" t="s">
        <v>33814</v>
      </c>
      <c r="T11310" t="s">
        <v>33815</v>
      </c>
    </row>
    <row r="11311" spans="1:20" x14ac:dyDescent="0.25">
      <c r="A11311" t="str">
        <f>"3078211"</f>
        <v>3078211</v>
      </c>
      <c r="B11311" t="s">
        <v>33817</v>
      </c>
      <c r="C11311" t="str">
        <f>"8309167"</f>
        <v>8309167</v>
      </c>
      <c r="D11311" t="s">
        <v>33818</v>
      </c>
      <c r="F11311" t="s">
        <v>33819</v>
      </c>
      <c r="I11311" t="s">
        <v>1149</v>
      </c>
      <c r="J11311" t="s">
        <v>30</v>
      </c>
      <c r="K11311" t="str">
        <f>"28634"</f>
        <v>28634</v>
      </c>
      <c r="M11311" t="s">
        <v>17861</v>
      </c>
      <c r="N11311" t="str">
        <f>"1/11/2018 1:50:00 PM"</f>
        <v>1/11/2018 1:50:00 PM</v>
      </c>
      <c r="O11311" t="s">
        <v>33818</v>
      </c>
    </row>
    <row r="11312" spans="1:20" x14ac:dyDescent="0.25">
      <c r="A11312" t="str">
        <f>"3052673"</f>
        <v>3052673</v>
      </c>
      <c r="B11312" t="s">
        <v>33820</v>
      </c>
      <c r="C11312" t="str">
        <f>"8307550"</f>
        <v>8307550</v>
      </c>
      <c r="D11312" t="s">
        <v>33821</v>
      </c>
      <c r="F11312" t="s">
        <v>33822</v>
      </c>
      <c r="I11312" t="s">
        <v>33823</v>
      </c>
      <c r="J11312" t="s">
        <v>2109</v>
      </c>
      <c r="K11312" t="str">
        <f>"22906"</f>
        <v>22906</v>
      </c>
      <c r="M11312" t="s">
        <v>18479</v>
      </c>
      <c r="N11312" t="str">
        <f>"1/29/2018 9:18:00 AM"</f>
        <v>1/29/2018 9:18:00 AM</v>
      </c>
      <c r="O11312" t="s">
        <v>33821</v>
      </c>
    </row>
    <row r="11313" spans="1:20" x14ac:dyDescent="0.25">
      <c r="A11313" t="str">
        <f>"3055732"</f>
        <v>3055732</v>
      </c>
      <c r="B11313" t="s">
        <v>33824</v>
      </c>
      <c r="C11313" t="str">
        <f>"8309252"</f>
        <v>8309252</v>
      </c>
      <c r="D11313" t="s">
        <v>33825</v>
      </c>
      <c r="E11313" t="s">
        <v>33826</v>
      </c>
      <c r="F11313" t="s">
        <v>33827</v>
      </c>
      <c r="I11313" t="s">
        <v>9580</v>
      </c>
      <c r="J11313" t="s">
        <v>30</v>
      </c>
      <c r="K11313" t="s">
        <v>33828</v>
      </c>
      <c r="M11313" t="s">
        <v>17861</v>
      </c>
      <c r="N11313" t="str">
        <f>"2/1/2018 9:51:00 AM"</f>
        <v>2/1/2018 9:51:00 AM</v>
      </c>
      <c r="O11313" t="s">
        <v>33825</v>
      </c>
      <c r="T11313" t="s">
        <v>33826</v>
      </c>
    </row>
    <row r="11314" spans="1:20" x14ac:dyDescent="0.25">
      <c r="A11314" t="str">
        <f>"3040060"</f>
        <v>3040060</v>
      </c>
      <c r="B11314" t="s">
        <v>33829</v>
      </c>
      <c r="C11314" t="str">
        <f>"8307542"</f>
        <v>8307542</v>
      </c>
      <c r="D11314" t="s">
        <v>33830</v>
      </c>
      <c r="E11314" t="s">
        <v>33831</v>
      </c>
      <c r="F11314" t="s">
        <v>33832</v>
      </c>
      <c r="I11314" t="s">
        <v>29</v>
      </c>
      <c r="J11314" t="s">
        <v>30</v>
      </c>
      <c r="K11314" t="str">
        <f>"27028"</f>
        <v>27028</v>
      </c>
      <c r="M11314" t="s">
        <v>18479</v>
      </c>
      <c r="N11314" t="str">
        <f>"1/29/2018 10:20:00 AM"</f>
        <v>1/29/2018 10:20:00 AM</v>
      </c>
      <c r="O11314" t="s">
        <v>33830</v>
      </c>
      <c r="T11314" t="s">
        <v>33831</v>
      </c>
    </row>
    <row r="11315" spans="1:20" x14ac:dyDescent="0.25">
      <c r="A11315" t="str">
        <f>"3058396"</f>
        <v>3058396</v>
      </c>
      <c r="B11315" t="s">
        <v>33833</v>
      </c>
      <c r="C11315" t="str">
        <f>"8309256"</f>
        <v>8309256</v>
      </c>
      <c r="D11315" t="s">
        <v>33834</v>
      </c>
      <c r="E11315" t="s">
        <v>33835</v>
      </c>
      <c r="F11315" t="s">
        <v>33836</v>
      </c>
      <c r="I11315" t="s">
        <v>2071</v>
      </c>
      <c r="J11315" t="s">
        <v>30</v>
      </c>
      <c r="K11315" t="s">
        <v>33837</v>
      </c>
      <c r="M11315" t="s">
        <v>17861</v>
      </c>
      <c r="N11315" t="str">
        <f>"2/1/2018 10:10:00 AM"</f>
        <v>2/1/2018 10:10:00 AM</v>
      </c>
      <c r="O11315" t="s">
        <v>33834</v>
      </c>
      <c r="T11315" t="s">
        <v>33835</v>
      </c>
    </row>
    <row r="11316" spans="1:20" x14ac:dyDescent="0.25">
      <c r="A11316" t="str">
        <f>"3059137"</f>
        <v>3059137</v>
      </c>
      <c r="B11316" t="s">
        <v>33838</v>
      </c>
      <c r="C11316" t="str">
        <f>"8309258"</f>
        <v>8309258</v>
      </c>
      <c r="D11316" t="s">
        <v>33839</v>
      </c>
      <c r="F11316" t="s">
        <v>33840</v>
      </c>
      <c r="I11316" t="s">
        <v>29</v>
      </c>
      <c r="J11316" t="s">
        <v>30</v>
      </c>
      <c r="K11316" t="str">
        <f>"27028"</f>
        <v>27028</v>
      </c>
      <c r="M11316" t="s">
        <v>17861</v>
      </c>
      <c r="N11316" t="str">
        <f>"2/1/2018 10:55:00 AM"</f>
        <v>2/1/2018 10:55:00 AM</v>
      </c>
      <c r="O11316" t="s">
        <v>33839</v>
      </c>
    </row>
    <row r="11317" spans="1:20" x14ac:dyDescent="0.25">
      <c r="A11317" t="str">
        <f>"3057568"</f>
        <v>3057568</v>
      </c>
      <c r="B11317" t="s">
        <v>33841</v>
      </c>
      <c r="C11317" t="str">
        <f>"8309258"</f>
        <v>8309258</v>
      </c>
      <c r="D11317" t="s">
        <v>33839</v>
      </c>
      <c r="F11317" t="s">
        <v>33840</v>
      </c>
      <c r="I11317" t="s">
        <v>29</v>
      </c>
      <c r="J11317" t="s">
        <v>30</v>
      </c>
      <c r="K11317" t="str">
        <f>"27028"</f>
        <v>27028</v>
      </c>
      <c r="M11317" t="s">
        <v>17861</v>
      </c>
      <c r="N11317" t="str">
        <f>"2/1/2018 10:55:00 AM"</f>
        <v>2/1/2018 10:55:00 AM</v>
      </c>
      <c r="O11317" t="s">
        <v>33839</v>
      </c>
    </row>
    <row r="11318" spans="1:20" x14ac:dyDescent="0.25">
      <c r="A11318" t="str">
        <f>"3055120"</f>
        <v>3055120</v>
      </c>
      <c r="B11318" t="s">
        <v>33842</v>
      </c>
      <c r="C11318" t="str">
        <f>"82513210"</f>
        <v>82513210</v>
      </c>
      <c r="D11318" t="s">
        <v>33843</v>
      </c>
      <c r="F11318" t="s">
        <v>33844</v>
      </c>
      <c r="I11318" t="s">
        <v>49</v>
      </c>
      <c r="J11318" t="s">
        <v>30</v>
      </c>
      <c r="K11318" t="str">
        <f>"27055"</f>
        <v>27055</v>
      </c>
      <c r="M11318" t="s">
        <v>33845</v>
      </c>
      <c r="N11318" t="str">
        <f>"2/1/2018 11:04:00 AM"</f>
        <v>2/1/2018 11:04:00 AM</v>
      </c>
      <c r="O11318" t="s">
        <v>33843</v>
      </c>
    </row>
    <row r="11319" spans="1:20" x14ac:dyDescent="0.25">
      <c r="A11319" t="str">
        <f>"3039243"</f>
        <v>3039243</v>
      </c>
      <c r="B11319" t="s">
        <v>33846</v>
      </c>
      <c r="C11319" t="str">
        <f>"82513210"</f>
        <v>82513210</v>
      </c>
      <c r="D11319" t="s">
        <v>33843</v>
      </c>
      <c r="F11319" t="s">
        <v>33844</v>
      </c>
      <c r="I11319" t="s">
        <v>49</v>
      </c>
      <c r="J11319" t="s">
        <v>30</v>
      </c>
      <c r="K11319" t="str">
        <f>"27055"</f>
        <v>27055</v>
      </c>
      <c r="M11319" t="s">
        <v>33845</v>
      </c>
      <c r="N11319" t="str">
        <f>"2/1/2018 11:04:00 AM"</f>
        <v>2/1/2018 11:04:00 AM</v>
      </c>
      <c r="O11319" t="s">
        <v>33843</v>
      </c>
    </row>
    <row r="11320" spans="1:20" x14ac:dyDescent="0.25">
      <c r="A11320" t="str">
        <f>"3050811"</f>
        <v>3050811</v>
      </c>
      <c r="B11320" t="s">
        <v>33847</v>
      </c>
      <c r="C11320" t="str">
        <f>"8309222"</f>
        <v>8309222</v>
      </c>
      <c r="D11320" t="s">
        <v>33753</v>
      </c>
      <c r="F11320" t="s">
        <v>33754</v>
      </c>
      <c r="I11320" t="s">
        <v>184</v>
      </c>
      <c r="J11320" t="s">
        <v>30</v>
      </c>
      <c r="K11320" t="s">
        <v>18622</v>
      </c>
      <c r="M11320" t="s">
        <v>17861</v>
      </c>
      <c r="N11320" t="str">
        <f>"1/29/2018 2:40:00 PM"</f>
        <v>1/29/2018 2:40:00 PM</v>
      </c>
      <c r="O11320" t="s">
        <v>33753</v>
      </c>
    </row>
    <row r="11321" spans="1:20" x14ac:dyDescent="0.25">
      <c r="A11321" t="str">
        <f>"3060832"</f>
        <v>3060832</v>
      </c>
      <c r="B11321" t="s">
        <v>33848</v>
      </c>
      <c r="C11321" t="str">
        <f>"8309231"</f>
        <v>8309231</v>
      </c>
      <c r="D11321" t="s">
        <v>33849</v>
      </c>
      <c r="E11321" t="s">
        <v>33850</v>
      </c>
      <c r="F11321" t="s">
        <v>33851</v>
      </c>
      <c r="I11321" t="s">
        <v>184</v>
      </c>
      <c r="J11321" t="s">
        <v>30</v>
      </c>
      <c r="K11321" t="s">
        <v>33852</v>
      </c>
      <c r="M11321" t="s">
        <v>17861</v>
      </c>
      <c r="N11321" t="str">
        <f>"1/30/2018 8:47:00 AM"</f>
        <v>1/30/2018 8:47:00 AM</v>
      </c>
      <c r="O11321" t="s">
        <v>33849</v>
      </c>
      <c r="T11321" t="s">
        <v>33850</v>
      </c>
    </row>
    <row r="11322" spans="1:20" x14ac:dyDescent="0.25">
      <c r="A11322" t="str">
        <f>"3059602"</f>
        <v>3059602</v>
      </c>
      <c r="B11322" t="s">
        <v>33853</v>
      </c>
      <c r="C11322" t="str">
        <f>"8309232"</f>
        <v>8309232</v>
      </c>
      <c r="D11322" t="s">
        <v>33854</v>
      </c>
      <c r="F11322" t="s">
        <v>33855</v>
      </c>
      <c r="I11322" t="s">
        <v>29</v>
      </c>
      <c r="J11322" t="s">
        <v>30</v>
      </c>
      <c r="K11322" t="s">
        <v>13437</v>
      </c>
      <c r="M11322" t="s">
        <v>17861</v>
      </c>
      <c r="N11322" t="str">
        <f>"1/30/2018 9:15:00 AM"</f>
        <v>1/30/2018 9:15:00 AM</v>
      </c>
      <c r="O11322" t="s">
        <v>33854</v>
      </c>
    </row>
    <row r="11323" spans="1:20" x14ac:dyDescent="0.25">
      <c r="A11323" t="str">
        <f>"3037247"</f>
        <v>3037247</v>
      </c>
      <c r="B11323" t="s">
        <v>33856</v>
      </c>
      <c r="C11323" t="str">
        <f>"8306907"</f>
        <v>8306907</v>
      </c>
      <c r="D11323" t="s">
        <v>33857</v>
      </c>
      <c r="F11323" t="s">
        <v>33858</v>
      </c>
      <c r="I11323" t="s">
        <v>2275</v>
      </c>
      <c r="J11323" t="s">
        <v>30</v>
      </c>
      <c r="K11323" t="str">
        <f>"27023"</f>
        <v>27023</v>
      </c>
      <c r="M11323" t="s">
        <v>17861</v>
      </c>
      <c r="N11323" t="str">
        <f>"1/30/2018 11:55:00 AM"</f>
        <v>1/30/2018 11:55:00 AM</v>
      </c>
      <c r="O11323" t="s">
        <v>33857</v>
      </c>
    </row>
    <row r="11324" spans="1:20" x14ac:dyDescent="0.25">
      <c r="A11324" t="str">
        <f>"3057008"</f>
        <v>3057008</v>
      </c>
      <c r="B11324" t="s">
        <v>33859</v>
      </c>
      <c r="C11324" t="str">
        <f>"8309234"</f>
        <v>8309234</v>
      </c>
      <c r="D11324" t="s">
        <v>33860</v>
      </c>
      <c r="F11324" t="s">
        <v>33861</v>
      </c>
      <c r="I11324" t="s">
        <v>29</v>
      </c>
      <c r="J11324" t="s">
        <v>30</v>
      </c>
      <c r="K11324" t="s">
        <v>11032</v>
      </c>
      <c r="M11324" t="s">
        <v>17861</v>
      </c>
      <c r="N11324" t="str">
        <f>"1/30/2018 3:48:00 PM"</f>
        <v>1/30/2018 3:48:00 PM</v>
      </c>
      <c r="O11324" t="s">
        <v>33860</v>
      </c>
    </row>
    <row r="11325" spans="1:20" x14ac:dyDescent="0.25">
      <c r="A11325" t="str">
        <f>"3056457"</f>
        <v>3056457</v>
      </c>
      <c r="B11325" t="s">
        <v>33862</v>
      </c>
      <c r="C11325" t="str">
        <f>"8305799"</f>
        <v>8305799</v>
      </c>
      <c r="D11325" t="s">
        <v>33863</v>
      </c>
      <c r="F11325" t="s">
        <v>33864</v>
      </c>
      <c r="I11325" t="s">
        <v>29</v>
      </c>
      <c r="J11325" t="s">
        <v>30</v>
      </c>
      <c r="K11325" t="str">
        <f>"27028"</f>
        <v>27028</v>
      </c>
      <c r="M11325" t="s">
        <v>18479</v>
      </c>
      <c r="N11325" t="str">
        <f>"1/31/2018 9:04:00 AM"</f>
        <v>1/31/2018 9:04:00 AM</v>
      </c>
      <c r="O11325" t="s">
        <v>33863</v>
      </c>
    </row>
    <row r="11326" spans="1:20" x14ac:dyDescent="0.25">
      <c r="A11326" t="str">
        <f>"3054865"</f>
        <v>3054865</v>
      </c>
      <c r="B11326" t="s">
        <v>33865</v>
      </c>
      <c r="C11326" t="str">
        <f>"8309239"</f>
        <v>8309239</v>
      </c>
      <c r="D11326" t="s">
        <v>33866</v>
      </c>
      <c r="F11326" t="s">
        <v>33867</v>
      </c>
      <c r="I11326" t="s">
        <v>29</v>
      </c>
      <c r="J11326" t="s">
        <v>30</v>
      </c>
      <c r="K11326" t="str">
        <f>"27028"</f>
        <v>27028</v>
      </c>
      <c r="M11326" t="s">
        <v>17861</v>
      </c>
      <c r="N11326" t="str">
        <f>"1/31/2018 12:32:00 PM"</f>
        <v>1/31/2018 12:32:00 PM</v>
      </c>
      <c r="O11326" t="s">
        <v>33866</v>
      </c>
    </row>
    <row r="11327" spans="1:20" x14ac:dyDescent="0.25">
      <c r="A11327" t="str">
        <f>"3054825"</f>
        <v>3054825</v>
      </c>
      <c r="B11327" t="s">
        <v>33868</v>
      </c>
      <c r="C11327" t="str">
        <f>"8309240"</f>
        <v>8309240</v>
      </c>
      <c r="D11327" t="s">
        <v>33792</v>
      </c>
      <c r="F11327" t="s">
        <v>33793</v>
      </c>
      <c r="I11327" t="s">
        <v>184</v>
      </c>
      <c r="J11327" t="s">
        <v>30</v>
      </c>
      <c r="K11327" t="s">
        <v>4999</v>
      </c>
      <c r="M11327" t="s">
        <v>17861</v>
      </c>
      <c r="N11327" t="str">
        <f>"1/31/2018 12:53:00 PM"</f>
        <v>1/31/2018 12:53:00 PM</v>
      </c>
      <c r="O11327" t="s">
        <v>33792</v>
      </c>
    </row>
    <row r="11328" spans="1:20" x14ac:dyDescent="0.25">
      <c r="A11328" t="str">
        <f>"3077605"</f>
        <v>3077605</v>
      </c>
      <c r="B11328" t="s">
        <v>33869</v>
      </c>
      <c r="C11328" t="str">
        <f>"8308192"</f>
        <v>8308192</v>
      </c>
      <c r="D11328" t="s">
        <v>1777</v>
      </c>
      <c r="F11328" t="s">
        <v>32812</v>
      </c>
      <c r="I11328" t="s">
        <v>184</v>
      </c>
      <c r="J11328" t="s">
        <v>30</v>
      </c>
      <c r="K11328" t="str">
        <f>"27006"</f>
        <v>27006</v>
      </c>
      <c r="M11328" t="s">
        <v>18479</v>
      </c>
      <c r="N11328" t="str">
        <f>"1/25/2018 3:44:00 PM"</f>
        <v>1/25/2018 3:44:00 PM</v>
      </c>
      <c r="O11328" t="s">
        <v>1777</v>
      </c>
    </row>
    <row r="11329" spans="1:20" x14ac:dyDescent="0.25">
      <c r="A11329" t="str">
        <f>"3046837"</f>
        <v>3046837</v>
      </c>
      <c r="B11329" t="s">
        <v>33870</v>
      </c>
      <c r="C11329" t="str">
        <f>"8308709"</f>
        <v>8308709</v>
      </c>
      <c r="D11329" t="s">
        <v>33871</v>
      </c>
      <c r="E11329" t="s">
        <v>33872</v>
      </c>
      <c r="F11329" t="s">
        <v>33873</v>
      </c>
      <c r="I11329" t="s">
        <v>29</v>
      </c>
      <c r="J11329" t="s">
        <v>30</v>
      </c>
      <c r="K11329" t="s">
        <v>8523</v>
      </c>
      <c r="M11329" t="s">
        <v>17861</v>
      </c>
      <c r="N11329" t="str">
        <f>"1/26/2018 9:35:00 AM"</f>
        <v>1/26/2018 9:35:00 AM</v>
      </c>
      <c r="O11329" t="s">
        <v>33871</v>
      </c>
      <c r="T11329" t="s">
        <v>33872</v>
      </c>
    </row>
    <row r="11330" spans="1:20" x14ac:dyDescent="0.25">
      <c r="A11330" t="str">
        <f>"3052591"</f>
        <v>3052591</v>
      </c>
      <c r="B11330" t="s">
        <v>33874</v>
      </c>
      <c r="C11330" t="str">
        <f>"8309283"</f>
        <v>8309283</v>
      </c>
      <c r="D11330" t="s">
        <v>33875</v>
      </c>
      <c r="E11330" t="s">
        <v>33876</v>
      </c>
      <c r="F11330" t="s">
        <v>33877</v>
      </c>
      <c r="I11330" t="s">
        <v>29</v>
      </c>
      <c r="J11330" t="s">
        <v>30</v>
      </c>
      <c r="K11330" t="s">
        <v>33878</v>
      </c>
      <c r="M11330" t="s">
        <v>17861</v>
      </c>
      <c r="N11330" t="str">
        <f>"2/7/2018 4:14:00 PM"</f>
        <v>2/7/2018 4:14:00 PM</v>
      </c>
      <c r="O11330" t="s">
        <v>33875</v>
      </c>
      <c r="T11330" t="s">
        <v>33876</v>
      </c>
    </row>
    <row r="11331" spans="1:20" x14ac:dyDescent="0.25">
      <c r="A11331" t="str">
        <f>"3054270"</f>
        <v>3054270</v>
      </c>
      <c r="B11331" t="s">
        <v>33879</v>
      </c>
      <c r="C11331" t="str">
        <f>"8307897"</f>
        <v>8307897</v>
      </c>
      <c r="D11331" t="s">
        <v>33880</v>
      </c>
      <c r="E11331" t="s">
        <v>33881</v>
      </c>
      <c r="F11331" t="s">
        <v>33882</v>
      </c>
      <c r="I11331" t="s">
        <v>29</v>
      </c>
      <c r="J11331" t="s">
        <v>30</v>
      </c>
      <c r="K11331" t="s">
        <v>33883</v>
      </c>
      <c r="M11331" t="s">
        <v>17861</v>
      </c>
      <c r="N11331" t="str">
        <f>"2/8/2018 9:58:00 AM"</f>
        <v>2/8/2018 9:58:00 AM</v>
      </c>
      <c r="O11331" t="s">
        <v>33880</v>
      </c>
      <c r="T11331" t="s">
        <v>33881</v>
      </c>
    </row>
    <row r="11332" spans="1:20" x14ac:dyDescent="0.25">
      <c r="A11332" t="str">
        <f>"3060525"</f>
        <v>3060525</v>
      </c>
      <c r="B11332" t="s">
        <v>33884</v>
      </c>
      <c r="C11332" t="str">
        <f>"82517787"</f>
        <v>82517787</v>
      </c>
      <c r="D11332" t="s">
        <v>33885</v>
      </c>
      <c r="E11332" t="s">
        <v>33886</v>
      </c>
      <c r="F11332" t="s">
        <v>33887</v>
      </c>
      <c r="I11332" t="s">
        <v>184</v>
      </c>
      <c r="J11332" t="s">
        <v>30</v>
      </c>
      <c r="K11332" t="s">
        <v>185</v>
      </c>
      <c r="M11332" t="s">
        <v>25733</v>
      </c>
      <c r="N11332" t="str">
        <f>"1/26/2018 1:45:00 PM"</f>
        <v>1/26/2018 1:45:00 PM</v>
      </c>
      <c r="O11332" t="s">
        <v>33885</v>
      </c>
      <c r="T11332" t="s">
        <v>33886</v>
      </c>
    </row>
    <row r="11333" spans="1:20" x14ac:dyDescent="0.25">
      <c r="A11333" t="str">
        <f>"3040838"</f>
        <v>3040838</v>
      </c>
      <c r="B11333" t="s">
        <v>33888</v>
      </c>
      <c r="C11333" t="str">
        <f>"8309214"</f>
        <v>8309214</v>
      </c>
      <c r="D11333" t="s">
        <v>33889</v>
      </c>
      <c r="E11333" t="s">
        <v>8863</v>
      </c>
      <c r="F11333" t="s">
        <v>32812</v>
      </c>
      <c r="I11333" t="s">
        <v>184</v>
      </c>
      <c r="J11333" t="s">
        <v>30</v>
      </c>
      <c r="K11333" t="s">
        <v>33890</v>
      </c>
      <c r="M11333" t="s">
        <v>17861</v>
      </c>
      <c r="N11333" t="str">
        <f>"1/26/2018 1:54:00 PM"</f>
        <v>1/26/2018 1:54:00 PM</v>
      </c>
      <c r="O11333" t="s">
        <v>33889</v>
      </c>
      <c r="T11333" t="s">
        <v>8863</v>
      </c>
    </row>
    <row r="11334" spans="1:20" x14ac:dyDescent="0.25">
      <c r="A11334" t="str">
        <f>"3038670"</f>
        <v>3038670</v>
      </c>
      <c r="B11334" t="s">
        <v>33891</v>
      </c>
      <c r="C11334" t="str">
        <f>"61048000"</f>
        <v>61048000</v>
      </c>
      <c r="D11334" t="s">
        <v>33892</v>
      </c>
      <c r="F11334" t="s">
        <v>33893</v>
      </c>
      <c r="I11334" t="s">
        <v>29</v>
      </c>
      <c r="J11334" t="s">
        <v>30</v>
      </c>
      <c r="K11334" t="s">
        <v>33894</v>
      </c>
      <c r="M11334" t="s">
        <v>18479</v>
      </c>
      <c r="N11334" t="str">
        <f>"1/26/2018 3:12:00 PM"</f>
        <v>1/26/2018 3:12:00 PM</v>
      </c>
      <c r="O11334" t="s">
        <v>33892</v>
      </c>
    </row>
    <row r="11335" spans="1:20" x14ac:dyDescent="0.25">
      <c r="A11335" t="str">
        <f>"3077057"</f>
        <v>3077057</v>
      </c>
      <c r="B11335" t="s">
        <v>33895</v>
      </c>
      <c r="C11335" t="str">
        <f>"61048000"</f>
        <v>61048000</v>
      </c>
      <c r="D11335" t="s">
        <v>33892</v>
      </c>
      <c r="F11335" t="s">
        <v>33893</v>
      </c>
      <c r="I11335" t="s">
        <v>29</v>
      </c>
      <c r="J11335" t="s">
        <v>30</v>
      </c>
      <c r="K11335" t="s">
        <v>33894</v>
      </c>
      <c r="M11335" t="s">
        <v>18479</v>
      </c>
      <c r="N11335" t="str">
        <f>"1/26/2018 3:12:00 PM"</f>
        <v>1/26/2018 3:12:00 PM</v>
      </c>
      <c r="O11335" t="s">
        <v>33892</v>
      </c>
    </row>
    <row r="11336" spans="1:20" x14ac:dyDescent="0.25">
      <c r="A11336" t="str">
        <f>"3037237"</f>
        <v>3037237</v>
      </c>
      <c r="B11336" t="s">
        <v>33896</v>
      </c>
      <c r="C11336" t="str">
        <f>"8309215"</f>
        <v>8309215</v>
      </c>
      <c r="D11336" t="s">
        <v>33897</v>
      </c>
      <c r="E11336" t="s">
        <v>26380</v>
      </c>
      <c r="F11336" t="s">
        <v>26382</v>
      </c>
      <c r="I11336" t="s">
        <v>184</v>
      </c>
      <c r="J11336" t="s">
        <v>30</v>
      </c>
      <c r="K11336" t="s">
        <v>840</v>
      </c>
      <c r="M11336" t="s">
        <v>17861</v>
      </c>
      <c r="N11336" t="str">
        <f>"1/29/2018 9:07:00 AM"</f>
        <v>1/29/2018 9:07:00 AM</v>
      </c>
      <c r="O11336" t="s">
        <v>33897</v>
      </c>
      <c r="T11336" t="s">
        <v>26380</v>
      </c>
    </row>
    <row r="11337" spans="1:20" x14ac:dyDescent="0.25">
      <c r="A11337" t="str">
        <f>"3037246"</f>
        <v>3037246</v>
      </c>
      <c r="B11337" t="s">
        <v>33898</v>
      </c>
      <c r="C11337" t="str">
        <f>"8309215"</f>
        <v>8309215</v>
      </c>
      <c r="D11337" t="s">
        <v>33897</v>
      </c>
      <c r="E11337" t="s">
        <v>26380</v>
      </c>
      <c r="F11337" t="s">
        <v>26382</v>
      </c>
      <c r="I11337" t="s">
        <v>184</v>
      </c>
      <c r="J11337" t="s">
        <v>30</v>
      </c>
      <c r="K11337" t="s">
        <v>840</v>
      </c>
      <c r="M11337" t="s">
        <v>17861</v>
      </c>
      <c r="N11337" t="str">
        <f>"1/29/2018 9:07:00 AM"</f>
        <v>1/29/2018 9:07:00 AM</v>
      </c>
      <c r="O11337" t="s">
        <v>33897</v>
      </c>
      <c r="T11337" t="s">
        <v>26380</v>
      </c>
    </row>
    <row r="11338" spans="1:20" x14ac:dyDescent="0.25">
      <c r="A11338" t="str">
        <f>"3037186"</f>
        <v>3037186</v>
      </c>
      <c r="B11338" t="s">
        <v>33899</v>
      </c>
      <c r="C11338" t="str">
        <f>"8309215"</f>
        <v>8309215</v>
      </c>
      <c r="D11338" t="s">
        <v>33897</v>
      </c>
      <c r="E11338" t="s">
        <v>26380</v>
      </c>
      <c r="F11338" t="s">
        <v>26382</v>
      </c>
      <c r="I11338" t="s">
        <v>184</v>
      </c>
      <c r="J11338" t="s">
        <v>30</v>
      </c>
      <c r="K11338" t="s">
        <v>840</v>
      </c>
      <c r="M11338" t="s">
        <v>17861</v>
      </c>
      <c r="N11338" t="str">
        <f>"1/29/2018 9:07:00 AM"</f>
        <v>1/29/2018 9:07:00 AM</v>
      </c>
      <c r="O11338" t="s">
        <v>33897</v>
      </c>
      <c r="T11338" t="s">
        <v>26380</v>
      </c>
    </row>
    <row r="11339" spans="1:20" x14ac:dyDescent="0.25">
      <c r="A11339" t="str">
        <f>"3039951"</f>
        <v>3039951</v>
      </c>
      <c r="B11339" t="s">
        <v>33900</v>
      </c>
      <c r="C11339" t="str">
        <f>"8309215"</f>
        <v>8309215</v>
      </c>
      <c r="D11339" t="s">
        <v>33897</v>
      </c>
      <c r="E11339" t="s">
        <v>26380</v>
      </c>
      <c r="F11339" t="s">
        <v>26382</v>
      </c>
      <c r="I11339" t="s">
        <v>184</v>
      </c>
      <c r="J11339" t="s">
        <v>30</v>
      </c>
      <c r="K11339" t="s">
        <v>840</v>
      </c>
      <c r="M11339" t="s">
        <v>17861</v>
      </c>
      <c r="N11339" t="str">
        <f>"1/29/2018 9:07:00 AM"</f>
        <v>1/29/2018 9:07:00 AM</v>
      </c>
      <c r="O11339" t="s">
        <v>33897</v>
      </c>
      <c r="T11339" t="s">
        <v>26380</v>
      </c>
    </row>
    <row r="11340" spans="1:20" x14ac:dyDescent="0.25">
      <c r="A11340" t="str">
        <f>"3057921"</f>
        <v>3057921</v>
      </c>
      <c r="B11340" t="s">
        <v>33901</v>
      </c>
      <c r="C11340" t="str">
        <f>"8309255"</f>
        <v>8309255</v>
      </c>
      <c r="D11340" t="s">
        <v>33902</v>
      </c>
      <c r="E11340" t="s">
        <v>33903</v>
      </c>
      <c r="F11340" t="s">
        <v>33904</v>
      </c>
      <c r="I11340" t="s">
        <v>184</v>
      </c>
      <c r="J11340" t="s">
        <v>30</v>
      </c>
      <c r="K11340" t="s">
        <v>5491</v>
      </c>
      <c r="M11340" t="s">
        <v>17861</v>
      </c>
      <c r="N11340" t="str">
        <f>"2/1/2018 10:05:00 AM"</f>
        <v>2/1/2018 10:05:00 AM</v>
      </c>
      <c r="O11340" t="s">
        <v>33902</v>
      </c>
      <c r="T11340" t="s">
        <v>33903</v>
      </c>
    </row>
    <row r="11341" spans="1:20" x14ac:dyDescent="0.25">
      <c r="A11341" t="str">
        <f>"3044608"</f>
        <v>3044608</v>
      </c>
      <c r="B11341" t="s">
        <v>33905</v>
      </c>
      <c r="C11341" t="str">
        <f>"8309260"</f>
        <v>8309260</v>
      </c>
      <c r="D11341" t="s">
        <v>33906</v>
      </c>
      <c r="F11341" t="s">
        <v>33907</v>
      </c>
      <c r="I11341" t="s">
        <v>184</v>
      </c>
      <c r="J11341" t="s">
        <v>30</v>
      </c>
      <c r="K11341" t="s">
        <v>33908</v>
      </c>
      <c r="M11341" t="s">
        <v>17861</v>
      </c>
      <c r="N11341" t="str">
        <f>"2/1/2018 11:28:00 AM"</f>
        <v>2/1/2018 11:28:00 AM</v>
      </c>
      <c r="O11341" t="s">
        <v>33906</v>
      </c>
    </row>
    <row r="11342" spans="1:20" x14ac:dyDescent="0.25">
      <c r="A11342" t="str">
        <f>"3055858"</f>
        <v>3055858</v>
      </c>
      <c r="B11342" t="s">
        <v>33909</v>
      </c>
      <c r="C11342" t="str">
        <f>"8308681"</f>
        <v>8308681</v>
      </c>
      <c r="D11342" t="s">
        <v>19767</v>
      </c>
      <c r="E11342" t="s">
        <v>19768</v>
      </c>
      <c r="F11342" t="s">
        <v>33910</v>
      </c>
      <c r="I11342" t="s">
        <v>29</v>
      </c>
      <c r="J11342" t="s">
        <v>30</v>
      </c>
      <c r="K11342" t="s">
        <v>19770</v>
      </c>
      <c r="M11342" t="s">
        <v>17861</v>
      </c>
      <c r="N11342" t="str">
        <f>"2/1/2018 12:30:00 PM"</f>
        <v>2/1/2018 12:30:00 PM</v>
      </c>
      <c r="O11342" t="s">
        <v>19767</v>
      </c>
      <c r="T11342" t="s">
        <v>19768</v>
      </c>
    </row>
    <row r="11343" spans="1:20" x14ac:dyDescent="0.25">
      <c r="A11343" t="str">
        <f>"3078715"</f>
        <v>3078715</v>
      </c>
      <c r="B11343" t="s">
        <v>33911</v>
      </c>
      <c r="C11343" t="str">
        <f>"8308681"</f>
        <v>8308681</v>
      </c>
      <c r="D11343" t="s">
        <v>19767</v>
      </c>
      <c r="E11343" t="s">
        <v>19768</v>
      </c>
      <c r="F11343" t="s">
        <v>33910</v>
      </c>
      <c r="I11343" t="s">
        <v>29</v>
      </c>
      <c r="J11343" t="s">
        <v>30</v>
      </c>
      <c r="K11343" t="s">
        <v>19770</v>
      </c>
      <c r="M11343" t="s">
        <v>17861</v>
      </c>
      <c r="N11343" t="str">
        <f>"2/1/2018 12:30:00 PM"</f>
        <v>2/1/2018 12:30:00 PM</v>
      </c>
      <c r="O11343" t="s">
        <v>19767</v>
      </c>
      <c r="T11343" t="s">
        <v>19768</v>
      </c>
    </row>
    <row r="11344" spans="1:20" x14ac:dyDescent="0.25">
      <c r="A11344" t="str">
        <f>"3041460"</f>
        <v>3041460</v>
      </c>
      <c r="B11344" t="s">
        <v>33912</v>
      </c>
      <c r="C11344" t="str">
        <f>"8309266"</f>
        <v>8309266</v>
      </c>
      <c r="D11344" t="s">
        <v>33913</v>
      </c>
      <c r="F11344" t="s">
        <v>33914</v>
      </c>
      <c r="I11344" t="s">
        <v>2071</v>
      </c>
      <c r="J11344" t="s">
        <v>30</v>
      </c>
      <c r="K11344" t="s">
        <v>22356</v>
      </c>
      <c r="M11344" t="s">
        <v>17861</v>
      </c>
      <c r="N11344" t="str">
        <f>"2/2/2018 2:59:00 PM"</f>
        <v>2/2/2018 2:59:00 PM</v>
      </c>
      <c r="O11344" t="s">
        <v>33913</v>
      </c>
    </row>
    <row r="11345" spans="1:20" x14ac:dyDescent="0.25">
      <c r="A11345" t="str">
        <f>"3051176"</f>
        <v>3051176</v>
      </c>
      <c r="B11345" t="s">
        <v>33915</v>
      </c>
      <c r="C11345" t="str">
        <f>"8309272"</f>
        <v>8309272</v>
      </c>
      <c r="D11345" t="s">
        <v>33916</v>
      </c>
      <c r="F11345" t="s">
        <v>33917</v>
      </c>
      <c r="I11345" t="s">
        <v>184</v>
      </c>
      <c r="J11345" t="s">
        <v>30</v>
      </c>
      <c r="K11345" t="str">
        <f>"27006"</f>
        <v>27006</v>
      </c>
      <c r="M11345" t="s">
        <v>17861</v>
      </c>
      <c r="N11345" t="str">
        <f>"2/2/2018 3:26:00 PM"</f>
        <v>2/2/2018 3:26:00 PM</v>
      </c>
      <c r="O11345" t="s">
        <v>33916</v>
      </c>
    </row>
    <row r="11346" spans="1:20" x14ac:dyDescent="0.25">
      <c r="A11346" t="str">
        <f>"3060051"</f>
        <v>3060051</v>
      </c>
      <c r="B11346" t="s">
        <v>33918</v>
      </c>
      <c r="C11346" t="str">
        <f>"8309275"</f>
        <v>8309275</v>
      </c>
      <c r="D11346" t="s">
        <v>33919</v>
      </c>
      <c r="F11346" t="s">
        <v>33920</v>
      </c>
      <c r="I11346" t="s">
        <v>184</v>
      </c>
      <c r="J11346" t="s">
        <v>30</v>
      </c>
      <c r="K11346" t="s">
        <v>33921</v>
      </c>
      <c r="M11346" t="s">
        <v>17861</v>
      </c>
      <c r="N11346" t="str">
        <f>"2/2/2018 3:40:00 PM"</f>
        <v>2/2/2018 3:40:00 PM</v>
      </c>
      <c r="O11346" t="s">
        <v>33919</v>
      </c>
    </row>
    <row r="11347" spans="1:20" x14ac:dyDescent="0.25">
      <c r="A11347" t="str">
        <f>"3039189"</f>
        <v>3039189</v>
      </c>
      <c r="B11347" t="s">
        <v>33922</v>
      </c>
      <c r="C11347" t="str">
        <f>"82532200"</f>
        <v>82532200</v>
      </c>
      <c r="D11347" t="s">
        <v>33923</v>
      </c>
      <c r="F11347" t="s">
        <v>28303</v>
      </c>
      <c r="I11347" t="s">
        <v>29</v>
      </c>
      <c r="J11347" t="s">
        <v>30</v>
      </c>
      <c r="K11347" t="s">
        <v>31</v>
      </c>
      <c r="M11347" t="s">
        <v>33845</v>
      </c>
      <c r="N11347" t="str">
        <f>"2/15/2018 10:24:00 AM"</f>
        <v>2/15/2018 10:24:00 AM</v>
      </c>
      <c r="O11347" t="s">
        <v>33923</v>
      </c>
    </row>
    <row r="11348" spans="1:20" x14ac:dyDescent="0.25">
      <c r="A11348" t="str">
        <f>"3038589"</f>
        <v>3038589</v>
      </c>
      <c r="B11348" t="s">
        <v>33924</v>
      </c>
      <c r="C11348" t="str">
        <f>"82532200"</f>
        <v>82532200</v>
      </c>
      <c r="D11348" t="s">
        <v>33923</v>
      </c>
      <c r="F11348" t="s">
        <v>28303</v>
      </c>
      <c r="I11348" t="s">
        <v>29</v>
      </c>
      <c r="J11348" t="s">
        <v>30</v>
      </c>
      <c r="K11348" t="s">
        <v>31</v>
      </c>
      <c r="M11348" t="s">
        <v>33845</v>
      </c>
      <c r="N11348" t="str">
        <f>"2/15/2018 10:24:00 AM"</f>
        <v>2/15/2018 10:24:00 AM</v>
      </c>
      <c r="O11348" t="s">
        <v>33923</v>
      </c>
    </row>
    <row r="11349" spans="1:20" x14ac:dyDescent="0.25">
      <c r="A11349" t="str">
        <f>"3038524"</f>
        <v>3038524</v>
      </c>
      <c r="B11349" t="s">
        <v>33925</v>
      </c>
      <c r="C11349" t="str">
        <f>"82532200"</f>
        <v>82532200</v>
      </c>
      <c r="D11349" t="s">
        <v>33923</v>
      </c>
      <c r="F11349" t="s">
        <v>28303</v>
      </c>
      <c r="I11349" t="s">
        <v>29</v>
      </c>
      <c r="J11349" t="s">
        <v>30</v>
      </c>
      <c r="K11349" t="s">
        <v>31</v>
      </c>
      <c r="M11349" t="s">
        <v>33845</v>
      </c>
      <c r="N11349" t="str">
        <f>"2/15/2018 10:24:00 AM"</f>
        <v>2/15/2018 10:24:00 AM</v>
      </c>
      <c r="O11349" t="s">
        <v>33923</v>
      </c>
    </row>
    <row r="11350" spans="1:20" x14ac:dyDescent="0.25">
      <c r="A11350" t="str">
        <f>"3037905"</f>
        <v>3037905</v>
      </c>
      <c r="B11350" t="s">
        <v>33926</v>
      </c>
      <c r="C11350" t="str">
        <f>"82532200"</f>
        <v>82532200</v>
      </c>
      <c r="D11350" t="s">
        <v>33923</v>
      </c>
      <c r="F11350" t="s">
        <v>28303</v>
      </c>
      <c r="I11350" t="s">
        <v>29</v>
      </c>
      <c r="J11350" t="s">
        <v>30</v>
      </c>
      <c r="K11350" t="s">
        <v>31</v>
      </c>
      <c r="M11350" t="s">
        <v>33845</v>
      </c>
      <c r="N11350" t="str">
        <f>"2/15/2018 10:24:00 AM"</f>
        <v>2/15/2018 10:24:00 AM</v>
      </c>
      <c r="O11350" t="s">
        <v>33923</v>
      </c>
    </row>
    <row r="11351" spans="1:20" x14ac:dyDescent="0.25">
      <c r="A11351" t="str">
        <f>"3054850"</f>
        <v>3054850</v>
      </c>
      <c r="B11351" t="s">
        <v>33927</v>
      </c>
      <c r="C11351" t="str">
        <f>"82519849"</f>
        <v>82519849</v>
      </c>
      <c r="D11351" t="s">
        <v>33928</v>
      </c>
      <c r="E11351" t="s">
        <v>33929</v>
      </c>
      <c r="F11351" t="s">
        <v>33930</v>
      </c>
      <c r="I11351" t="s">
        <v>29</v>
      </c>
      <c r="J11351" t="s">
        <v>30</v>
      </c>
      <c r="K11351" t="s">
        <v>31</v>
      </c>
      <c r="M11351" t="s">
        <v>33432</v>
      </c>
      <c r="N11351" t="str">
        <f>"2/5/2018 2:41:00 PM"</f>
        <v>2/5/2018 2:41:00 PM</v>
      </c>
      <c r="O11351" t="s">
        <v>33928</v>
      </c>
      <c r="T11351" t="s">
        <v>33929</v>
      </c>
    </row>
    <row r="11352" spans="1:20" x14ac:dyDescent="0.25">
      <c r="A11352" t="str">
        <f>"3047875"</f>
        <v>3047875</v>
      </c>
      <c r="B11352" t="s">
        <v>33931</v>
      </c>
      <c r="C11352" t="str">
        <f>"8307438"</f>
        <v>8307438</v>
      </c>
      <c r="D11352" t="s">
        <v>33932</v>
      </c>
      <c r="E11352" t="s">
        <v>33933</v>
      </c>
      <c r="F11352" t="s">
        <v>33934</v>
      </c>
      <c r="I11352" t="s">
        <v>184</v>
      </c>
      <c r="J11352" t="s">
        <v>30</v>
      </c>
      <c r="K11352" t="str">
        <f>"27006"</f>
        <v>27006</v>
      </c>
      <c r="M11352" t="s">
        <v>18479</v>
      </c>
      <c r="N11352" t="str">
        <f>"2/5/2018 4:53:00 PM"</f>
        <v>2/5/2018 4:53:00 PM</v>
      </c>
      <c r="O11352" t="s">
        <v>33932</v>
      </c>
      <c r="T11352" t="s">
        <v>33933</v>
      </c>
    </row>
    <row r="11353" spans="1:20" x14ac:dyDescent="0.25">
      <c r="A11353" t="str">
        <f>"3054488"</f>
        <v>3054488</v>
      </c>
      <c r="B11353" t="s">
        <v>33935</v>
      </c>
      <c r="C11353" t="str">
        <f>"82527385"</f>
        <v>82527385</v>
      </c>
      <c r="D11353" t="s">
        <v>33936</v>
      </c>
      <c r="F11353" t="s">
        <v>33937</v>
      </c>
      <c r="G11353" t="s">
        <v>33938</v>
      </c>
      <c r="I11353" t="s">
        <v>33939</v>
      </c>
      <c r="J11353" t="s">
        <v>12725</v>
      </c>
      <c r="K11353" t="s">
        <v>33940</v>
      </c>
      <c r="M11353" t="s">
        <v>33845</v>
      </c>
      <c r="N11353" t="str">
        <f>"2/5/2018 4:59:00 PM"</f>
        <v>2/5/2018 4:59:00 PM</v>
      </c>
      <c r="O11353" t="s">
        <v>33936</v>
      </c>
    </row>
    <row r="11354" spans="1:20" x14ac:dyDescent="0.25">
      <c r="A11354" t="str">
        <f>"3062377"</f>
        <v>3062377</v>
      </c>
      <c r="B11354" t="s">
        <v>33941</v>
      </c>
      <c r="C11354" t="str">
        <f>"8309247"</f>
        <v>8309247</v>
      </c>
      <c r="D11354" t="s">
        <v>33942</v>
      </c>
      <c r="E11354" t="s">
        <v>33943</v>
      </c>
      <c r="F11354" t="s">
        <v>33944</v>
      </c>
      <c r="I11354" t="s">
        <v>29</v>
      </c>
      <c r="J11354" t="s">
        <v>30</v>
      </c>
      <c r="K11354" t="s">
        <v>14086</v>
      </c>
      <c r="M11354" t="s">
        <v>17861</v>
      </c>
      <c r="N11354" t="str">
        <f>"1/31/2018 3:35:00 PM"</f>
        <v>1/31/2018 3:35:00 PM</v>
      </c>
      <c r="O11354" t="s">
        <v>33942</v>
      </c>
      <c r="T11354" t="s">
        <v>33943</v>
      </c>
    </row>
    <row r="11355" spans="1:20" x14ac:dyDescent="0.25">
      <c r="A11355" t="str">
        <f>"3040048"</f>
        <v>3040048</v>
      </c>
      <c r="B11355" t="s">
        <v>33945</v>
      </c>
      <c r="C11355" t="str">
        <f>"82531389"</f>
        <v>82531389</v>
      </c>
      <c r="D11355" t="s">
        <v>33946</v>
      </c>
      <c r="F11355" t="s">
        <v>33947</v>
      </c>
      <c r="I11355" t="s">
        <v>29</v>
      </c>
      <c r="J11355" t="s">
        <v>30</v>
      </c>
      <c r="K11355" t="s">
        <v>31</v>
      </c>
      <c r="M11355" t="s">
        <v>25733</v>
      </c>
      <c r="N11355" t="str">
        <f>"2/15/2018 2:23:00 PM"</f>
        <v>2/15/2018 2:23:00 PM</v>
      </c>
      <c r="O11355" t="s">
        <v>33946</v>
      </c>
    </row>
    <row r="11356" spans="1:20" x14ac:dyDescent="0.25">
      <c r="A11356" t="str">
        <f>"3057281"</f>
        <v>3057281</v>
      </c>
      <c r="B11356" t="s">
        <v>33948</v>
      </c>
      <c r="C11356" t="str">
        <f>"82527410"</f>
        <v>82527410</v>
      </c>
      <c r="D11356" t="s">
        <v>33949</v>
      </c>
      <c r="F11356" t="s">
        <v>33950</v>
      </c>
      <c r="I11356" t="s">
        <v>29</v>
      </c>
      <c r="J11356" t="s">
        <v>30</v>
      </c>
      <c r="K11356" t="s">
        <v>33951</v>
      </c>
      <c r="M11356" t="s">
        <v>33845</v>
      </c>
      <c r="N11356" t="str">
        <f>"2/15/2018 2:31:00 PM"</f>
        <v>2/15/2018 2:31:00 PM</v>
      </c>
      <c r="O11356" t="s">
        <v>33949</v>
      </c>
    </row>
    <row r="11357" spans="1:20" x14ac:dyDescent="0.25">
      <c r="A11357" t="str">
        <f>"3059151"</f>
        <v>3059151</v>
      </c>
      <c r="B11357" t="s">
        <v>33952</v>
      </c>
      <c r="C11357" t="str">
        <f>"82527410"</f>
        <v>82527410</v>
      </c>
      <c r="D11357" t="s">
        <v>33949</v>
      </c>
      <c r="F11357" t="s">
        <v>33950</v>
      </c>
      <c r="I11357" t="s">
        <v>29</v>
      </c>
      <c r="J11357" t="s">
        <v>30</v>
      </c>
      <c r="K11357" t="s">
        <v>33951</v>
      </c>
      <c r="M11357" t="s">
        <v>33845</v>
      </c>
      <c r="N11357" t="str">
        <f>"2/15/2018 2:31:00 PM"</f>
        <v>2/15/2018 2:31:00 PM</v>
      </c>
      <c r="O11357" t="s">
        <v>33949</v>
      </c>
    </row>
    <row r="11358" spans="1:20" x14ac:dyDescent="0.25">
      <c r="A11358" t="str">
        <f>"3047145"</f>
        <v>3047145</v>
      </c>
      <c r="B11358" t="s">
        <v>33953</v>
      </c>
      <c r="C11358" t="str">
        <f>"8309277"</f>
        <v>8309277</v>
      </c>
      <c r="D11358" t="s">
        <v>33954</v>
      </c>
      <c r="F11358" t="s">
        <v>33955</v>
      </c>
      <c r="I11358" t="s">
        <v>184</v>
      </c>
      <c r="J11358" t="s">
        <v>30</v>
      </c>
      <c r="K11358" t="s">
        <v>33956</v>
      </c>
      <c r="M11358" t="s">
        <v>17861</v>
      </c>
      <c r="N11358" t="str">
        <f>"2/7/2018 3:19:00 PM"</f>
        <v>2/7/2018 3:19:00 PM</v>
      </c>
      <c r="O11358" t="s">
        <v>33954</v>
      </c>
    </row>
    <row r="11359" spans="1:20" x14ac:dyDescent="0.25">
      <c r="A11359" t="str">
        <f>"3045655"</f>
        <v>3045655</v>
      </c>
      <c r="B11359" t="s">
        <v>33957</v>
      </c>
      <c r="C11359" t="str">
        <f>"8309330"</f>
        <v>8309330</v>
      </c>
      <c r="D11359" t="s">
        <v>33958</v>
      </c>
      <c r="E11359" t="s">
        <v>33959</v>
      </c>
      <c r="F11359" t="s">
        <v>33960</v>
      </c>
      <c r="I11359" t="s">
        <v>29</v>
      </c>
      <c r="J11359" t="s">
        <v>30</v>
      </c>
      <c r="K11359" t="s">
        <v>9518</v>
      </c>
      <c r="M11359" t="s">
        <v>17861</v>
      </c>
      <c r="N11359" t="str">
        <f>"2/16/2018 10:20:00 AM"</f>
        <v>2/16/2018 10:20:00 AM</v>
      </c>
      <c r="O11359" t="s">
        <v>33958</v>
      </c>
      <c r="T11359" t="s">
        <v>33959</v>
      </c>
    </row>
    <row r="11360" spans="1:20" x14ac:dyDescent="0.25">
      <c r="A11360" t="str">
        <f>"3067688"</f>
        <v>3067688</v>
      </c>
      <c r="B11360" t="s">
        <v>33961</v>
      </c>
      <c r="C11360" t="str">
        <f>"8309248"</f>
        <v>8309248</v>
      </c>
      <c r="D11360" t="s">
        <v>33962</v>
      </c>
      <c r="E11360" t="s">
        <v>33963</v>
      </c>
      <c r="F11360" t="s">
        <v>33964</v>
      </c>
      <c r="I11360" t="s">
        <v>2071</v>
      </c>
      <c r="J11360" t="s">
        <v>30</v>
      </c>
      <c r="K11360" t="str">
        <f>"27006"</f>
        <v>27006</v>
      </c>
      <c r="M11360" t="s">
        <v>17861</v>
      </c>
      <c r="N11360" t="str">
        <f>"1/31/2018 3:45:00 PM"</f>
        <v>1/31/2018 3:45:00 PM</v>
      </c>
      <c r="O11360" t="s">
        <v>33962</v>
      </c>
      <c r="T11360" t="s">
        <v>33963</v>
      </c>
    </row>
    <row r="11361" spans="1:20" x14ac:dyDescent="0.25">
      <c r="A11361" t="str">
        <f>"3061787"</f>
        <v>3061787</v>
      </c>
      <c r="B11361" t="s">
        <v>33965</v>
      </c>
      <c r="C11361" t="str">
        <f>"8309249"</f>
        <v>8309249</v>
      </c>
      <c r="D11361" t="s">
        <v>33966</v>
      </c>
      <c r="F11361" t="s">
        <v>33967</v>
      </c>
      <c r="I11361" t="s">
        <v>2071</v>
      </c>
      <c r="J11361" t="s">
        <v>30</v>
      </c>
      <c r="K11361" t="str">
        <f>"27006"</f>
        <v>27006</v>
      </c>
      <c r="M11361" t="s">
        <v>17861</v>
      </c>
      <c r="N11361" t="str">
        <f>"1/31/2018 3:52:00 PM"</f>
        <v>1/31/2018 3:52:00 PM</v>
      </c>
      <c r="O11361" t="s">
        <v>33966</v>
      </c>
    </row>
    <row r="11362" spans="1:20" x14ac:dyDescent="0.25">
      <c r="A11362" t="str">
        <f>"3055141"</f>
        <v>3055141</v>
      </c>
      <c r="B11362" t="s">
        <v>33968</v>
      </c>
      <c r="C11362" t="str">
        <f>"8309250"</f>
        <v>8309250</v>
      </c>
      <c r="D11362" t="s">
        <v>33969</v>
      </c>
      <c r="E11362" t="s">
        <v>33970</v>
      </c>
      <c r="F11362" t="s">
        <v>33971</v>
      </c>
      <c r="I11362" t="s">
        <v>29</v>
      </c>
      <c r="J11362" t="s">
        <v>30</v>
      </c>
      <c r="K11362" t="str">
        <f>"27028"</f>
        <v>27028</v>
      </c>
      <c r="M11362" t="s">
        <v>17861</v>
      </c>
      <c r="N11362" t="str">
        <f>"1/31/2018 3:59:00 PM"</f>
        <v>1/31/2018 3:59:00 PM</v>
      </c>
      <c r="O11362" t="s">
        <v>33969</v>
      </c>
      <c r="T11362" t="s">
        <v>33970</v>
      </c>
    </row>
    <row r="11363" spans="1:20" x14ac:dyDescent="0.25">
      <c r="A11363" t="str">
        <f>"3067036"</f>
        <v>3067036</v>
      </c>
      <c r="B11363" t="s">
        <v>33972</v>
      </c>
      <c r="C11363" t="str">
        <f>"8309251"</f>
        <v>8309251</v>
      </c>
      <c r="D11363" t="s">
        <v>33973</v>
      </c>
      <c r="E11363" t="s">
        <v>16975</v>
      </c>
      <c r="F11363" t="s">
        <v>16976</v>
      </c>
      <c r="I11363" t="s">
        <v>2071</v>
      </c>
      <c r="J11363" t="s">
        <v>30</v>
      </c>
      <c r="K11363" t="str">
        <f>"27006"</f>
        <v>27006</v>
      </c>
      <c r="M11363" t="s">
        <v>17861</v>
      </c>
      <c r="N11363" t="str">
        <f>"1/31/2018 4:10:00 PM"</f>
        <v>1/31/2018 4:10:00 PM</v>
      </c>
      <c r="O11363" t="s">
        <v>33973</v>
      </c>
      <c r="T11363" t="s">
        <v>16975</v>
      </c>
    </row>
    <row r="11364" spans="1:20" x14ac:dyDescent="0.25">
      <c r="A11364" t="str">
        <f>"3043836"</f>
        <v>3043836</v>
      </c>
      <c r="B11364" t="s">
        <v>33974</v>
      </c>
      <c r="C11364" t="str">
        <f>"8309087"</f>
        <v>8309087</v>
      </c>
      <c r="D11364" t="s">
        <v>33975</v>
      </c>
      <c r="F11364" t="s">
        <v>33976</v>
      </c>
      <c r="I11364" t="s">
        <v>29</v>
      </c>
      <c r="J11364" t="s">
        <v>30</v>
      </c>
      <c r="K11364" t="s">
        <v>33977</v>
      </c>
      <c r="M11364" t="s">
        <v>25625</v>
      </c>
      <c r="N11364" t="str">
        <f>"2/13/2018 4:25:00 PM"</f>
        <v>2/13/2018 4:25:00 PM</v>
      </c>
      <c r="O11364" t="s">
        <v>33975</v>
      </c>
    </row>
    <row r="11365" spans="1:20" x14ac:dyDescent="0.25">
      <c r="A11365" t="str">
        <f>"3051726"</f>
        <v>3051726</v>
      </c>
      <c r="B11365" t="s">
        <v>33978</v>
      </c>
      <c r="C11365" t="str">
        <f>"8309087"</f>
        <v>8309087</v>
      </c>
      <c r="D11365" t="s">
        <v>33975</v>
      </c>
      <c r="F11365" t="s">
        <v>33976</v>
      </c>
      <c r="I11365" t="s">
        <v>29</v>
      </c>
      <c r="J11365" t="s">
        <v>30</v>
      </c>
      <c r="K11365" t="s">
        <v>33977</v>
      </c>
      <c r="M11365" t="s">
        <v>25625</v>
      </c>
      <c r="N11365" t="str">
        <f>"2/13/2018 4:25:00 PM"</f>
        <v>2/13/2018 4:25:00 PM</v>
      </c>
      <c r="O11365" t="s">
        <v>33975</v>
      </c>
    </row>
    <row r="11366" spans="1:20" x14ac:dyDescent="0.25">
      <c r="A11366" t="str">
        <f>"3078751"</f>
        <v>3078751</v>
      </c>
      <c r="B11366" t="s">
        <v>33979</v>
      </c>
      <c r="C11366" t="str">
        <f>"8309087"</f>
        <v>8309087</v>
      </c>
      <c r="D11366" t="s">
        <v>33975</v>
      </c>
      <c r="F11366" t="s">
        <v>33976</v>
      </c>
      <c r="I11366" t="s">
        <v>29</v>
      </c>
      <c r="J11366" t="s">
        <v>30</v>
      </c>
      <c r="K11366" t="s">
        <v>33977</v>
      </c>
      <c r="M11366" t="s">
        <v>25625</v>
      </c>
      <c r="N11366" t="str">
        <f>"2/13/2018 4:25:00 PM"</f>
        <v>2/13/2018 4:25:00 PM</v>
      </c>
      <c r="O11366" t="s">
        <v>33975</v>
      </c>
    </row>
    <row r="11367" spans="1:20" x14ac:dyDescent="0.25">
      <c r="A11367" t="str">
        <f>"3043255"</f>
        <v>3043255</v>
      </c>
      <c r="B11367" t="s">
        <v>33980</v>
      </c>
      <c r="C11367" t="str">
        <f>"74540000"</f>
        <v>74540000</v>
      </c>
      <c r="D11367" t="s">
        <v>33981</v>
      </c>
      <c r="F11367" t="s">
        <v>33976</v>
      </c>
      <c r="I11367" t="s">
        <v>17921</v>
      </c>
      <c r="J11367" t="s">
        <v>30</v>
      </c>
      <c r="K11367" t="s">
        <v>31</v>
      </c>
      <c r="M11367" t="s">
        <v>25625</v>
      </c>
      <c r="N11367" t="str">
        <f>"2/13/2018 4:26:00 PM"</f>
        <v>2/13/2018 4:26:00 PM</v>
      </c>
      <c r="O11367" t="s">
        <v>33981</v>
      </c>
    </row>
    <row r="11368" spans="1:20" x14ac:dyDescent="0.25">
      <c r="A11368" t="str">
        <f>"3039501"</f>
        <v>3039501</v>
      </c>
      <c r="B11368" t="s">
        <v>33982</v>
      </c>
      <c r="C11368" t="str">
        <f>"66604000"</f>
        <v>66604000</v>
      </c>
      <c r="D11368" t="s">
        <v>33983</v>
      </c>
      <c r="E11368" t="s">
        <v>33984</v>
      </c>
      <c r="F11368" t="s">
        <v>33985</v>
      </c>
      <c r="I11368" t="s">
        <v>184</v>
      </c>
      <c r="J11368" t="s">
        <v>30</v>
      </c>
      <c r="K11368" t="s">
        <v>663</v>
      </c>
      <c r="M11368" t="s">
        <v>27053</v>
      </c>
      <c r="N11368" t="str">
        <f>"2/14/2018 1:13:00 PM"</f>
        <v>2/14/2018 1:13:00 PM</v>
      </c>
      <c r="O11368" t="s">
        <v>33983</v>
      </c>
      <c r="T11368" t="s">
        <v>33984</v>
      </c>
    </row>
    <row r="11369" spans="1:20" x14ac:dyDescent="0.25">
      <c r="A11369" t="str">
        <f>"3044767"</f>
        <v>3044767</v>
      </c>
      <c r="B11369" t="s">
        <v>33986</v>
      </c>
      <c r="C11369" t="str">
        <f>"8309321"</f>
        <v>8309321</v>
      </c>
      <c r="D11369" t="s">
        <v>33987</v>
      </c>
      <c r="F11369" t="s">
        <v>33988</v>
      </c>
      <c r="I11369" t="s">
        <v>184</v>
      </c>
      <c r="J11369" t="s">
        <v>30</v>
      </c>
      <c r="K11369" t="s">
        <v>33989</v>
      </c>
      <c r="M11369" t="s">
        <v>17861</v>
      </c>
      <c r="N11369" t="str">
        <f>"2/15/2018 8:48:00 AM"</f>
        <v>2/15/2018 8:48:00 AM</v>
      </c>
      <c r="O11369" t="s">
        <v>33987</v>
      </c>
    </row>
    <row r="11370" spans="1:20" x14ac:dyDescent="0.25">
      <c r="A11370" t="str">
        <f>"3048956"</f>
        <v>3048956</v>
      </c>
      <c r="B11370" t="s">
        <v>33990</v>
      </c>
      <c r="C11370" t="str">
        <f>"82518468"</f>
        <v>82518468</v>
      </c>
      <c r="D11370" t="s">
        <v>33991</v>
      </c>
      <c r="E11370" t="s">
        <v>33992</v>
      </c>
      <c r="F11370" t="s">
        <v>33993</v>
      </c>
      <c r="I11370" t="s">
        <v>29</v>
      </c>
      <c r="J11370" t="s">
        <v>30</v>
      </c>
      <c r="K11370" t="s">
        <v>31</v>
      </c>
      <c r="M11370" t="s">
        <v>33845</v>
      </c>
      <c r="N11370" t="str">
        <f>"2/15/2018 10:48:00 AM"</f>
        <v>2/15/2018 10:48:00 AM</v>
      </c>
      <c r="O11370" t="s">
        <v>33991</v>
      </c>
      <c r="T11370" t="s">
        <v>33992</v>
      </c>
    </row>
    <row r="11371" spans="1:20" x14ac:dyDescent="0.25">
      <c r="A11371" t="str">
        <f>"3040683"</f>
        <v>3040683</v>
      </c>
      <c r="B11371" t="s">
        <v>33994</v>
      </c>
      <c r="C11371" t="str">
        <f>"8309324"</f>
        <v>8309324</v>
      </c>
      <c r="D11371" t="s">
        <v>33995</v>
      </c>
      <c r="E11371" t="s">
        <v>33996</v>
      </c>
      <c r="F11371" t="s">
        <v>33997</v>
      </c>
      <c r="I11371" t="s">
        <v>471</v>
      </c>
      <c r="J11371" t="s">
        <v>30</v>
      </c>
      <c r="K11371" t="str">
        <f>"27103"</f>
        <v>27103</v>
      </c>
      <c r="M11371" t="s">
        <v>17861</v>
      </c>
      <c r="N11371" t="str">
        <f>"2/15/2018 11:20:00 AM"</f>
        <v>2/15/2018 11:20:00 AM</v>
      </c>
      <c r="O11371" t="s">
        <v>33995</v>
      </c>
      <c r="T11371" t="s">
        <v>33996</v>
      </c>
    </row>
    <row r="11372" spans="1:20" x14ac:dyDescent="0.25">
      <c r="A11372" t="str">
        <f>"3054449"</f>
        <v>3054449</v>
      </c>
      <c r="B11372" t="s">
        <v>33998</v>
      </c>
      <c r="C11372" t="str">
        <f>"8307822"</f>
        <v>8307822</v>
      </c>
      <c r="D11372" t="s">
        <v>33999</v>
      </c>
      <c r="E11372" t="s">
        <v>34000</v>
      </c>
      <c r="F11372" t="s">
        <v>34001</v>
      </c>
      <c r="I11372" t="s">
        <v>17921</v>
      </c>
      <c r="J11372" t="s">
        <v>30</v>
      </c>
      <c r="K11372" t="str">
        <f>"27028"</f>
        <v>27028</v>
      </c>
      <c r="M11372" t="s">
        <v>18470</v>
      </c>
      <c r="N11372" t="str">
        <f>"2/15/2018 11:56:00 AM"</f>
        <v>2/15/2018 11:56:00 AM</v>
      </c>
      <c r="O11372" t="s">
        <v>33999</v>
      </c>
      <c r="T11372" t="s">
        <v>34000</v>
      </c>
    </row>
    <row r="11373" spans="1:20" x14ac:dyDescent="0.25">
      <c r="A11373" t="str">
        <f>"3076641"</f>
        <v>3076641</v>
      </c>
      <c r="B11373" t="s">
        <v>34002</v>
      </c>
      <c r="C11373" t="str">
        <f>"8309329"</f>
        <v>8309329</v>
      </c>
      <c r="D11373" t="s">
        <v>227</v>
      </c>
      <c r="E11373" t="s">
        <v>26597</v>
      </c>
      <c r="F11373" t="s">
        <v>34003</v>
      </c>
      <c r="I11373" t="s">
        <v>29</v>
      </c>
      <c r="J11373" t="s">
        <v>30</v>
      </c>
      <c r="K11373" t="s">
        <v>232</v>
      </c>
      <c r="M11373" t="s">
        <v>17861</v>
      </c>
      <c r="N11373" t="str">
        <f>"2/15/2018 1:26:00 PM"</f>
        <v>2/15/2018 1:26:00 PM</v>
      </c>
      <c r="O11373" t="s">
        <v>227</v>
      </c>
      <c r="T11373" t="s">
        <v>26597</v>
      </c>
    </row>
    <row r="11374" spans="1:20" x14ac:dyDescent="0.25">
      <c r="A11374" t="str">
        <f>"3059460"</f>
        <v>3059460</v>
      </c>
      <c r="B11374" t="s">
        <v>34004</v>
      </c>
      <c r="C11374" t="str">
        <f>"46519550"</f>
        <v>46519550</v>
      </c>
      <c r="D11374" t="s">
        <v>34005</v>
      </c>
      <c r="F11374" t="s">
        <v>34006</v>
      </c>
      <c r="I11374" t="s">
        <v>29</v>
      </c>
      <c r="J11374" t="s">
        <v>30</v>
      </c>
      <c r="K11374" t="s">
        <v>34007</v>
      </c>
      <c r="M11374" t="s">
        <v>25733</v>
      </c>
      <c r="N11374" t="str">
        <f>"2/15/2018 3:39:00 PM"</f>
        <v>2/15/2018 3:39:00 PM</v>
      </c>
      <c r="O11374" t="s">
        <v>34005</v>
      </c>
    </row>
    <row r="11375" spans="1:20" x14ac:dyDescent="0.25">
      <c r="A11375" t="str">
        <f>"3041148"</f>
        <v>3041148</v>
      </c>
      <c r="B11375" t="s">
        <v>34008</v>
      </c>
      <c r="C11375" t="str">
        <f>"8309316"</f>
        <v>8309316</v>
      </c>
      <c r="D11375" t="s">
        <v>34009</v>
      </c>
      <c r="E11375" t="s">
        <v>34010</v>
      </c>
      <c r="F11375" t="s">
        <v>34011</v>
      </c>
      <c r="I11375" t="s">
        <v>471</v>
      </c>
      <c r="J11375" t="s">
        <v>30</v>
      </c>
      <c r="K11375" t="str">
        <f>"27103"</f>
        <v>27103</v>
      </c>
      <c r="M11375" t="s">
        <v>17861</v>
      </c>
      <c r="N11375" t="str">
        <f>"2/9/2018 2:27:00 PM"</f>
        <v>2/9/2018 2:27:00 PM</v>
      </c>
      <c r="O11375" t="s">
        <v>34009</v>
      </c>
      <c r="T11375" t="s">
        <v>34010</v>
      </c>
    </row>
    <row r="11376" spans="1:20" x14ac:dyDescent="0.25">
      <c r="A11376" t="str">
        <f>"3062967"</f>
        <v>3062967</v>
      </c>
      <c r="B11376" t="s">
        <v>34012</v>
      </c>
      <c r="C11376" t="str">
        <f>"8309317"</f>
        <v>8309317</v>
      </c>
      <c r="D11376" t="s">
        <v>34013</v>
      </c>
      <c r="E11376" t="s">
        <v>34014</v>
      </c>
      <c r="F11376" t="s">
        <v>34015</v>
      </c>
      <c r="I11376" t="s">
        <v>17921</v>
      </c>
      <c r="J11376" t="s">
        <v>30</v>
      </c>
      <c r="K11376" t="str">
        <f>"27028"</f>
        <v>27028</v>
      </c>
      <c r="M11376" t="s">
        <v>17861</v>
      </c>
      <c r="N11376" t="str">
        <f>"2/9/2018 2:31:00 PM"</f>
        <v>2/9/2018 2:31:00 PM</v>
      </c>
      <c r="O11376" t="s">
        <v>34013</v>
      </c>
      <c r="T11376" t="s">
        <v>34014</v>
      </c>
    </row>
    <row r="11377" spans="1:20" x14ac:dyDescent="0.25">
      <c r="A11377" t="str">
        <f>"3069173"</f>
        <v>3069173</v>
      </c>
      <c r="B11377" t="s">
        <v>34016</v>
      </c>
      <c r="C11377" t="str">
        <f>"8309318"</f>
        <v>8309318</v>
      </c>
      <c r="D11377" t="s">
        <v>16815</v>
      </c>
      <c r="F11377" t="s">
        <v>34017</v>
      </c>
      <c r="I11377" t="s">
        <v>29</v>
      </c>
      <c r="J11377" t="s">
        <v>30</v>
      </c>
      <c r="K11377" t="s">
        <v>16537</v>
      </c>
      <c r="M11377" t="s">
        <v>17861</v>
      </c>
      <c r="N11377" t="str">
        <f>"2/9/2018 2:34:00 PM"</f>
        <v>2/9/2018 2:34:00 PM</v>
      </c>
      <c r="O11377" t="s">
        <v>16815</v>
      </c>
    </row>
    <row r="11378" spans="1:20" x14ac:dyDescent="0.25">
      <c r="A11378" t="str">
        <f>"3047074"</f>
        <v>3047074</v>
      </c>
      <c r="B11378" t="s">
        <v>34018</v>
      </c>
      <c r="C11378" t="str">
        <f>"8309319"</f>
        <v>8309319</v>
      </c>
      <c r="D11378" t="s">
        <v>34019</v>
      </c>
      <c r="F11378" t="s">
        <v>34020</v>
      </c>
      <c r="I11378" t="s">
        <v>29</v>
      </c>
      <c r="J11378" t="s">
        <v>30</v>
      </c>
      <c r="K11378" t="s">
        <v>34021</v>
      </c>
      <c r="M11378" t="s">
        <v>17861</v>
      </c>
      <c r="N11378" t="str">
        <f>"2/9/2018 2:37:00 PM"</f>
        <v>2/9/2018 2:37:00 PM</v>
      </c>
      <c r="O11378" t="s">
        <v>34019</v>
      </c>
    </row>
    <row r="11379" spans="1:20" x14ac:dyDescent="0.25">
      <c r="A11379" t="str">
        <f>"3046261"</f>
        <v>3046261</v>
      </c>
      <c r="B11379" t="s">
        <v>34022</v>
      </c>
      <c r="C11379" t="str">
        <f>"8309087"</f>
        <v>8309087</v>
      </c>
      <c r="D11379" t="s">
        <v>33975</v>
      </c>
      <c r="F11379" t="s">
        <v>33976</v>
      </c>
      <c r="I11379" t="s">
        <v>29</v>
      </c>
      <c r="J11379" t="s">
        <v>30</v>
      </c>
      <c r="K11379" t="s">
        <v>33977</v>
      </c>
      <c r="M11379" t="s">
        <v>25625</v>
      </c>
      <c r="N11379" t="str">
        <f>"2/13/2018 4:25:00 PM"</f>
        <v>2/13/2018 4:25:00 PM</v>
      </c>
      <c r="O11379" t="s">
        <v>33975</v>
      </c>
    </row>
    <row r="11380" spans="1:20" x14ac:dyDescent="0.25">
      <c r="A11380" t="str">
        <f>"3043191"</f>
        <v>3043191</v>
      </c>
      <c r="B11380" t="s">
        <v>34023</v>
      </c>
      <c r="C11380" t="str">
        <f>"8309087"</f>
        <v>8309087</v>
      </c>
      <c r="D11380" t="s">
        <v>33975</v>
      </c>
      <c r="F11380" t="s">
        <v>33976</v>
      </c>
      <c r="I11380" t="s">
        <v>29</v>
      </c>
      <c r="J11380" t="s">
        <v>30</v>
      </c>
      <c r="K11380" t="s">
        <v>33977</v>
      </c>
      <c r="M11380" t="s">
        <v>25625</v>
      </c>
      <c r="N11380" t="str">
        <f>"2/13/2018 4:25:00 PM"</f>
        <v>2/13/2018 4:25:00 PM</v>
      </c>
      <c r="O11380" t="s">
        <v>33975</v>
      </c>
    </row>
    <row r="11381" spans="1:20" x14ac:dyDescent="0.25">
      <c r="A11381" t="str">
        <f>"3043183"</f>
        <v>3043183</v>
      </c>
      <c r="B11381" t="s">
        <v>34024</v>
      </c>
      <c r="C11381" t="str">
        <f>"8309087"</f>
        <v>8309087</v>
      </c>
      <c r="D11381" t="s">
        <v>33975</v>
      </c>
      <c r="F11381" t="s">
        <v>33976</v>
      </c>
      <c r="I11381" t="s">
        <v>29</v>
      </c>
      <c r="J11381" t="s">
        <v>30</v>
      </c>
      <c r="K11381" t="s">
        <v>33977</v>
      </c>
      <c r="M11381" t="s">
        <v>25625</v>
      </c>
      <c r="N11381" t="str">
        <f>"2/13/2018 4:25:00 PM"</f>
        <v>2/13/2018 4:25:00 PM</v>
      </c>
      <c r="O11381" t="s">
        <v>33975</v>
      </c>
    </row>
    <row r="11382" spans="1:20" x14ac:dyDescent="0.25">
      <c r="A11382" t="str">
        <f>"3043256"</f>
        <v>3043256</v>
      </c>
      <c r="B11382" t="s">
        <v>34025</v>
      </c>
      <c r="C11382" t="str">
        <f>"8309087"</f>
        <v>8309087</v>
      </c>
      <c r="D11382" t="s">
        <v>33975</v>
      </c>
      <c r="F11382" t="s">
        <v>33976</v>
      </c>
      <c r="I11382" t="s">
        <v>29</v>
      </c>
      <c r="J11382" t="s">
        <v>30</v>
      </c>
      <c r="K11382" t="s">
        <v>33977</v>
      </c>
      <c r="M11382" t="s">
        <v>25625</v>
      </c>
      <c r="N11382" t="str">
        <f>"2/13/2018 4:25:00 PM"</f>
        <v>2/13/2018 4:25:00 PM</v>
      </c>
      <c r="O11382" t="s">
        <v>33975</v>
      </c>
    </row>
    <row r="11383" spans="1:20" x14ac:dyDescent="0.25">
      <c r="A11383" t="str">
        <f>"3043257"</f>
        <v>3043257</v>
      </c>
      <c r="B11383" t="s">
        <v>34026</v>
      </c>
      <c r="C11383" t="str">
        <f>"8309087"</f>
        <v>8309087</v>
      </c>
      <c r="D11383" t="s">
        <v>33975</v>
      </c>
      <c r="F11383" t="s">
        <v>33976</v>
      </c>
      <c r="I11383" t="s">
        <v>29</v>
      </c>
      <c r="J11383" t="s">
        <v>30</v>
      </c>
      <c r="K11383" t="s">
        <v>33977</v>
      </c>
      <c r="M11383" t="s">
        <v>25625</v>
      </c>
      <c r="N11383" t="str">
        <f>"2/13/2018 4:25:00 PM"</f>
        <v>2/13/2018 4:25:00 PM</v>
      </c>
      <c r="O11383" t="s">
        <v>33975</v>
      </c>
    </row>
    <row r="11384" spans="1:20" x14ac:dyDescent="0.25">
      <c r="A11384" t="str">
        <f>"3059874"</f>
        <v>3059874</v>
      </c>
      <c r="B11384" t="s">
        <v>34027</v>
      </c>
      <c r="C11384" t="str">
        <f>"27637250"</f>
        <v>27637250</v>
      </c>
      <c r="D11384" t="s">
        <v>34028</v>
      </c>
      <c r="E11384" t="s">
        <v>34029</v>
      </c>
      <c r="F11384" t="s">
        <v>34030</v>
      </c>
      <c r="I11384" t="s">
        <v>29</v>
      </c>
      <c r="J11384" t="s">
        <v>30</v>
      </c>
      <c r="K11384" t="s">
        <v>31</v>
      </c>
      <c r="M11384" t="s">
        <v>33845</v>
      </c>
      <c r="N11384" t="str">
        <f>"2/19/2018 12:26:00 PM"</f>
        <v>2/19/2018 12:26:00 PM</v>
      </c>
      <c r="O11384" t="s">
        <v>34028</v>
      </c>
      <c r="T11384" t="s">
        <v>34029</v>
      </c>
    </row>
    <row r="11385" spans="1:20" x14ac:dyDescent="0.25">
      <c r="A11385" t="str">
        <f>"3060689"</f>
        <v>3060689</v>
      </c>
      <c r="B11385" t="s">
        <v>34031</v>
      </c>
      <c r="C11385" t="str">
        <f>"8309361"</f>
        <v>8309361</v>
      </c>
      <c r="D11385" t="s">
        <v>34032</v>
      </c>
      <c r="E11385" t="s">
        <v>34033</v>
      </c>
      <c r="F11385" t="s">
        <v>34034</v>
      </c>
      <c r="I11385" t="s">
        <v>2071</v>
      </c>
      <c r="J11385" t="s">
        <v>30</v>
      </c>
      <c r="K11385" t="str">
        <f>"27006"</f>
        <v>27006</v>
      </c>
      <c r="M11385" t="s">
        <v>17861</v>
      </c>
      <c r="N11385" t="str">
        <f>"2/26/2018 3:04:00 PM"</f>
        <v>2/26/2018 3:04:00 PM</v>
      </c>
      <c r="O11385" t="s">
        <v>34032</v>
      </c>
      <c r="T11385" t="s">
        <v>34033</v>
      </c>
    </row>
    <row r="11386" spans="1:20" x14ac:dyDescent="0.25">
      <c r="A11386" t="str">
        <f>"3059667"</f>
        <v>3059667</v>
      </c>
      <c r="B11386" t="s">
        <v>34035</v>
      </c>
      <c r="C11386" t="str">
        <f>"8309364"</f>
        <v>8309364</v>
      </c>
      <c r="D11386" t="s">
        <v>34036</v>
      </c>
      <c r="F11386" t="s">
        <v>34037</v>
      </c>
      <c r="I11386" t="s">
        <v>29</v>
      </c>
      <c r="J11386" t="s">
        <v>30</v>
      </c>
      <c r="K11386" t="s">
        <v>13608</v>
      </c>
      <c r="M11386" t="s">
        <v>17861</v>
      </c>
      <c r="N11386" t="str">
        <f>"2/26/2018 3:12:00 PM"</f>
        <v>2/26/2018 3:12:00 PM</v>
      </c>
      <c r="O11386" t="s">
        <v>34036</v>
      </c>
    </row>
    <row r="11387" spans="1:20" x14ac:dyDescent="0.25">
      <c r="A11387" t="str">
        <f>"3038575"</f>
        <v>3038575</v>
      </c>
      <c r="B11387" t="s">
        <v>34038</v>
      </c>
      <c r="C11387" t="str">
        <f>"8309333"</f>
        <v>8309333</v>
      </c>
      <c r="D11387" t="s">
        <v>34039</v>
      </c>
      <c r="E11387" t="s">
        <v>34040</v>
      </c>
      <c r="F11387" t="s">
        <v>34041</v>
      </c>
      <c r="I11387" t="s">
        <v>29</v>
      </c>
      <c r="J11387" t="s">
        <v>30</v>
      </c>
      <c r="K11387" t="s">
        <v>34042</v>
      </c>
      <c r="M11387" t="s">
        <v>17861</v>
      </c>
      <c r="N11387" t="str">
        <f>"2/19/2018 2:55:00 PM"</f>
        <v>2/19/2018 2:55:00 PM</v>
      </c>
      <c r="O11387" t="s">
        <v>34039</v>
      </c>
      <c r="T11387" t="s">
        <v>34040</v>
      </c>
    </row>
    <row r="11388" spans="1:20" x14ac:dyDescent="0.25">
      <c r="A11388" t="str">
        <f>"3044584"</f>
        <v>3044584</v>
      </c>
      <c r="B11388" t="s">
        <v>34043</v>
      </c>
      <c r="C11388" t="str">
        <f>"8309334"</f>
        <v>8309334</v>
      </c>
      <c r="D11388" t="s">
        <v>34044</v>
      </c>
      <c r="E11388" t="s">
        <v>34045</v>
      </c>
      <c r="F11388" t="s">
        <v>34046</v>
      </c>
      <c r="I11388" t="s">
        <v>184</v>
      </c>
      <c r="J11388" t="s">
        <v>30</v>
      </c>
      <c r="K11388" t="s">
        <v>34047</v>
      </c>
      <c r="M11388" t="s">
        <v>17861</v>
      </c>
      <c r="N11388" t="str">
        <f>"2/19/2018 3:59:00 PM"</f>
        <v>2/19/2018 3:59:00 PM</v>
      </c>
      <c r="O11388" t="s">
        <v>34044</v>
      </c>
      <c r="T11388" t="s">
        <v>34045</v>
      </c>
    </row>
    <row r="11389" spans="1:20" x14ac:dyDescent="0.25">
      <c r="A11389" t="str">
        <f>"3040363"</f>
        <v>3040363</v>
      </c>
      <c r="B11389" t="s">
        <v>34048</v>
      </c>
      <c r="C11389" t="str">
        <f>"38566000"</f>
        <v>38566000</v>
      </c>
      <c r="D11389" t="s">
        <v>27344</v>
      </c>
      <c r="F11389" t="s">
        <v>27345</v>
      </c>
      <c r="I11389" t="s">
        <v>184</v>
      </c>
      <c r="J11389" t="s">
        <v>30</v>
      </c>
      <c r="K11389" t="s">
        <v>3281</v>
      </c>
      <c r="M11389" t="s">
        <v>33845</v>
      </c>
      <c r="N11389" t="str">
        <f>"2/16/2018 2:17:00 PM"</f>
        <v>2/16/2018 2:17:00 PM</v>
      </c>
      <c r="O11389" t="s">
        <v>27344</v>
      </c>
      <c r="T11389" t="s">
        <v>27344</v>
      </c>
    </row>
    <row r="11390" spans="1:20" x14ac:dyDescent="0.25">
      <c r="A11390" t="str">
        <f>"3038912"</f>
        <v>3038912</v>
      </c>
      <c r="B11390" t="s">
        <v>34049</v>
      </c>
      <c r="C11390" t="str">
        <f>"37689250"</f>
        <v>37689250</v>
      </c>
      <c r="D11390" t="s">
        <v>34050</v>
      </c>
      <c r="E11390" t="s">
        <v>34051</v>
      </c>
      <c r="F11390" t="s">
        <v>34052</v>
      </c>
      <c r="I11390" t="s">
        <v>29</v>
      </c>
      <c r="J11390" t="s">
        <v>30</v>
      </c>
      <c r="K11390" t="s">
        <v>34053</v>
      </c>
      <c r="M11390" t="s">
        <v>33432</v>
      </c>
      <c r="N11390" t="str">
        <f>"3/1/2018 8:32:00 AM"</f>
        <v>3/1/2018 8:32:00 AM</v>
      </c>
      <c r="O11390" t="s">
        <v>34050</v>
      </c>
      <c r="T11390" t="s">
        <v>34051</v>
      </c>
    </row>
    <row r="11391" spans="1:20" x14ac:dyDescent="0.25">
      <c r="A11391" t="str">
        <f>"3061924"</f>
        <v>3061924</v>
      </c>
      <c r="B11391" t="s">
        <v>34054</v>
      </c>
      <c r="C11391" t="str">
        <f>"8309377"</f>
        <v>8309377</v>
      </c>
      <c r="D11391" t="s">
        <v>34055</v>
      </c>
      <c r="E11391" t="s">
        <v>34056</v>
      </c>
      <c r="F11391" t="s">
        <v>34057</v>
      </c>
      <c r="I11391" t="s">
        <v>2071</v>
      </c>
      <c r="J11391" t="s">
        <v>30</v>
      </c>
      <c r="K11391" t="s">
        <v>4269</v>
      </c>
      <c r="M11391" t="s">
        <v>17861</v>
      </c>
      <c r="N11391" t="str">
        <f>"3/1/2018 9:22:00 AM"</f>
        <v>3/1/2018 9:22:00 AM</v>
      </c>
      <c r="O11391" t="s">
        <v>34055</v>
      </c>
      <c r="T11391" t="s">
        <v>34056</v>
      </c>
    </row>
    <row r="11392" spans="1:20" x14ac:dyDescent="0.25">
      <c r="A11392" t="str">
        <f>"3040744"</f>
        <v>3040744</v>
      </c>
      <c r="B11392" t="s">
        <v>34058</v>
      </c>
      <c r="C11392" t="str">
        <f>"38566000"</f>
        <v>38566000</v>
      </c>
      <c r="D11392" t="s">
        <v>27344</v>
      </c>
      <c r="F11392" t="s">
        <v>27345</v>
      </c>
      <c r="I11392" t="s">
        <v>184</v>
      </c>
      <c r="J11392" t="s">
        <v>30</v>
      </c>
      <c r="K11392" t="s">
        <v>3281</v>
      </c>
      <c r="M11392" t="s">
        <v>33845</v>
      </c>
      <c r="N11392" t="str">
        <f>"2/16/2018 2:17:00 PM"</f>
        <v>2/16/2018 2:17:00 PM</v>
      </c>
      <c r="O11392" t="s">
        <v>27344</v>
      </c>
      <c r="T11392" t="s">
        <v>27344</v>
      </c>
    </row>
    <row r="11393" spans="1:20" x14ac:dyDescent="0.25">
      <c r="A11393" t="str">
        <f>"3037204"</f>
        <v>3037204</v>
      </c>
      <c r="B11393" t="s">
        <v>34059</v>
      </c>
      <c r="C11393" t="str">
        <f>"8307113"</f>
        <v>8307113</v>
      </c>
      <c r="D11393" t="s">
        <v>34060</v>
      </c>
      <c r="E11393" t="s">
        <v>34061</v>
      </c>
      <c r="F11393" t="s">
        <v>34062</v>
      </c>
      <c r="I11393" t="s">
        <v>184</v>
      </c>
      <c r="J11393" t="s">
        <v>30</v>
      </c>
      <c r="K11393" t="str">
        <f>"27006"</f>
        <v>27006</v>
      </c>
      <c r="M11393" t="s">
        <v>33845</v>
      </c>
      <c r="N11393" t="str">
        <f>"2/19/2018 10:06:00 AM"</f>
        <v>2/19/2018 10:06:00 AM</v>
      </c>
      <c r="O11393" t="s">
        <v>34060</v>
      </c>
      <c r="T11393" t="s">
        <v>34061</v>
      </c>
    </row>
    <row r="11394" spans="1:20" x14ac:dyDescent="0.25">
      <c r="A11394" t="str">
        <f>"3049121"</f>
        <v>3049121</v>
      </c>
      <c r="B11394" t="s">
        <v>34063</v>
      </c>
      <c r="C11394" t="str">
        <f>"100000348"</f>
        <v>100000348</v>
      </c>
      <c r="D11394" t="s">
        <v>34064</v>
      </c>
      <c r="E11394" t="s">
        <v>34065</v>
      </c>
      <c r="F11394" t="s">
        <v>239</v>
      </c>
      <c r="I11394" t="s">
        <v>49</v>
      </c>
      <c r="J11394" t="s">
        <v>30</v>
      </c>
      <c r="K11394" t="s">
        <v>50</v>
      </c>
      <c r="L11394" t="s">
        <v>2497</v>
      </c>
      <c r="M11394" t="s">
        <v>33845</v>
      </c>
      <c r="N11394" t="str">
        <f>"3/2/2018 10:09:00 AM"</f>
        <v>3/2/2018 10:09:00 AM</v>
      </c>
      <c r="O11394" t="s">
        <v>34064</v>
      </c>
      <c r="T11394" t="s">
        <v>34065</v>
      </c>
    </row>
    <row r="11395" spans="1:20" x14ac:dyDescent="0.25">
      <c r="A11395" t="str">
        <f>"3047175"</f>
        <v>3047175</v>
      </c>
      <c r="B11395" t="s">
        <v>34066</v>
      </c>
      <c r="C11395" t="str">
        <f>"8309380"</f>
        <v>8309380</v>
      </c>
      <c r="D11395" t="s">
        <v>34067</v>
      </c>
      <c r="E11395" t="s">
        <v>34068</v>
      </c>
      <c r="F11395" t="s">
        <v>34069</v>
      </c>
      <c r="I11395" t="s">
        <v>34070</v>
      </c>
      <c r="J11395" t="s">
        <v>30</v>
      </c>
      <c r="K11395" t="s">
        <v>34071</v>
      </c>
      <c r="M11395" t="s">
        <v>17861</v>
      </c>
      <c r="N11395" t="str">
        <f>"3/2/2018 1:20:00 PM"</f>
        <v>3/2/2018 1:20:00 PM</v>
      </c>
      <c r="O11395" t="s">
        <v>34067</v>
      </c>
      <c r="T11395" t="s">
        <v>34068</v>
      </c>
    </row>
    <row r="11396" spans="1:20" x14ac:dyDescent="0.25">
      <c r="A11396" t="str">
        <f>"3037258"</f>
        <v>3037258</v>
      </c>
      <c r="B11396" t="s">
        <v>34072</v>
      </c>
      <c r="C11396" t="str">
        <f>"8307113"</f>
        <v>8307113</v>
      </c>
      <c r="D11396" t="s">
        <v>34060</v>
      </c>
      <c r="E11396" t="s">
        <v>34061</v>
      </c>
      <c r="F11396" t="s">
        <v>34062</v>
      </c>
      <c r="I11396" t="s">
        <v>184</v>
      </c>
      <c r="J11396" t="s">
        <v>30</v>
      </c>
      <c r="K11396" t="str">
        <f>"27006"</f>
        <v>27006</v>
      </c>
      <c r="M11396" t="s">
        <v>33845</v>
      </c>
      <c r="N11396" t="str">
        <f>"2/19/2018 10:06:00 AM"</f>
        <v>2/19/2018 10:06:00 AM</v>
      </c>
      <c r="O11396" t="s">
        <v>34060</v>
      </c>
      <c r="T11396" t="s">
        <v>34061</v>
      </c>
    </row>
    <row r="11397" spans="1:20" x14ac:dyDescent="0.25">
      <c r="A11397" t="str">
        <f>"3037249"</f>
        <v>3037249</v>
      </c>
      <c r="B11397" t="s">
        <v>34073</v>
      </c>
      <c r="C11397" t="str">
        <f>"8307113"</f>
        <v>8307113</v>
      </c>
      <c r="D11397" t="s">
        <v>34060</v>
      </c>
      <c r="E11397" t="s">
        <v>34061</v>
      </c>
      <c r="F11397" t="s">
        <v>34062</v>
      </c>
      <c r="I11397" t="s">
        <v>184</v>
      </c>
      <c r="J11397" t="s">
        <v>30</v>
      </c>
      <c r="K11397" t="str">
        <f>"27006"</f>
        <v>27006</v>
      </c>
      <c r="M11397" t="s">
        <v>33845</v>
      </c>
      <c r="N11397" t="str">
        <f>"2/19/2018 10:06:00 AM"</f>
        <v>2/19/2018 10:06:00 AM</v>
      </c>
      <c r="O11397" t="s">
        <v>34060</v>
      </c>
      <c r="T11397" t="s">
        <v>34061</v>
      </c>
    </row>
    <row r="11398" spans="1:20" x14ac:dyDescent="0.25">
      <c r="A11398" t="str">
        <f>"3060531"</f>
        <v>3060531</v>
      </c>
      <c r="B11398" t="s">
        <v>34074</v>
      </c>
      <c r="C11398" t="str">
        <f>"8309366"</f>
        <v>8309366</v>
      </c>
      <c r="D11398" t="s">
        <v>34075</v>
      </c>
      <c r="E11398" t="s">
        <v>34076</v>
      </c>
      <c r="F11398" t="s">
        <v>34077</v>
      </c>
      <c r="I11398" t="s">
        <v>184</v>
      </c>
      <c r="J11398" t="s">
        <v>30</v>
      </c>
      <c r="K11398" t="s">
        <v>9141</v>
      </c>
      <c r="M11398" t="s">
        <v>17861</v>
      </c>
      <c r="N11398" t="str">
        <f>"2/27/2018 9:22:00 AM"</f>
        <v>2/27/2018 9:22:00 AM</v>
      </c>
      <c r="O11398" t="s">
        <v>34075</v>
      </c>
      <c r="T11398" t="s">
        <v>34076</v>
      </c>
    </row>
    <row r="11399" spans="1:20" x14ac:dyDescent="0.25">
      <c r="A11399" t="str">
        <f>"3046946"</f>
        <v>3046946</v>
      </c>
      <c r="B11399" t="s">
        <v>34078</v>
      </c>
      <c r="C11399" t="str">
        <f>"8309372"</f>
        <v>8309372</v>
      </c>
      <c r="D11399" t="s">
        <v>34079</v>
      </c>
      <c r="F11399" t="s">
        <v>34080</v>
      </c>
      <c r="I11399" t="s">
        <v>29</v>
      </c>
      <c r="J11399" t="s">
        <v>30</v>
      </c>
      <c r="K11399" t="s">
        <v>28120</v>
      </c>
      <c r="M11399" t="s">
        <v>17861</v>
      </c>
      <c r="N11399" t="str">
        <f>"2/28/2018 10:04:00 AM"</f>
        <v>2/28/2018 10:04:00 AM</v>
      </c>
      <c r="O11399" t="s">
        <v>34079</v>
      </c>
    </row>
    <row r="11400" spans="1:20" x14ac:dyDescent="0.25">
      <c r="A11400" t="str">
        <f>"3053835"</f>
        <v>3053835</v>
      </c>
      <c r="B11400" t="s">
        <v>34081</v>
      </c>
      <c r="C11400" t="str">
        <f>"8309374"</f>
        <v>8309374</v>
      </c>
      <c r="D11400" t="s">
        <v>34082</v>
      </c>
      <c r="E11400" t="s">
        <v>34083</v>
      </c>
      <c r="F11400" t="s">
        <v>34084</v>
      </c>
      <c r="I11400" t="s">
        <v>29</v>
      </c>
      <c r="J11400" t="s">
        <v>30</v>
      </c>
      <c r="K11400" t="s">
        <v>11602</v>
      </c>
      <c r="M11400" t="s">
        <v>17861</v>
      </c>
      <c r="N11400" t="str">
        <f>"2/28/2018 11:01:00 AM"</f>
        <v>2/28/2018 11:01:00 AM</v>
      </c>
      <c r="O11400" t="s">
        <v>34082</v>
      </c>
      <c r="T11400" t="s">
        <v>34083</v>
      </c>
    </row>
    <row r="11401" spans="1:20" x14ac:dyDescent="0.25">
      <c r="A11401" t="str">
        <f>"3045857"</f>
        <v>3045857</v>
      </c>
      <c r="B11401" t="s">
        <v>34085</v>
      </c>
      <c r="C11401" t="str">
        <f>"100000348"</f>
        <v>100000348</v>
      </c>
      <c r="D11401" t="s">
        <v>34064</v>
      </c>
      <c r="E11401" t="s">
        <v>34065</v>
      </c>
      <c r="F11401" t="s">
        <v>239</v>
      </c>
      <c r="I11401" t="s">
        <v>49</v>
      </c>
      <c r="J11401" t="s">
        <v>30</v>
      </c>
      <c r="K11401" t="s">
        <v>50</v>
      </c>
      <c r="L11401" t="s">
        <v>2497</v>
      </c>
      <c r="M11401" t="s">
        <v>33845</v>
      </c>
      <c r="N11401" t="str">
        <f>"3/2/2018 10:09:00 AM"</f>
        <v>3/2/2018 10:09:00 AM</v>
      </c>
      <c r="O11401" t="s">
        <v>34064</v>
      </c>
      <c r="T11401" t="s">
        <v>34065</v>
      </c>
    </row>
    <row r="11402" spans="1:20" x14ac:dyDescent="0.25">
      <c r="A11402" t="str">
        <f>"3054781"</f>
        <v>3054781</v>
      </c>
      <c r="B11402" t="s">
        <v>34086</v>
      </c>
      <c r="C11402" t="str">
        <f>"100000348"</f>
        <v>100000348</v>
      </c>
      <c r="D11402" t="s">
        <v>34064</v>
      </c>
      <c r="E11402" t="s">
        <v>34065</v>
      </c>
      <c r="F11402" t="s">
        <v>239</v>
      </c>
      <c r="I11402" t="s">
        <v>49</v>
      </c>
      <c r="J11402" t="s">
        <v>30</v>
      </c>
      <c r="K11402" t="s">
        <v>50</v>
      </c>
      <c r="L11402" t="s">
        <v>2497</v>
      </c>
      <c r="M11402" t="s">
        <v>33845</v>
      </c>
      <c r="N11402" t="str">
        <f>"3/2/2018 10:09:00 AM"</f>
        <v>3/2/2018 10:09:00 AM</v>
      </c>
      <c r="O11402" t="s">
        <v>34064</v>
      </c>
      <c r="T11402" t="s">
        <v>34065</v>
      </c>
    </row>
    <row r="11403" spans="1:20" x14ac:dyDescent="0.25">
      <c r="A11403" t="str">
        <f>"3058831"</f>
        <v>3058831</v>
      </c>
      <c r="B11403" t="s">
        <v>34087</v>
      </c>
      <c r="C11403" t="str">
        <f>"8309353"</f>
        <v>8309353</v>
      </c>
      <c r="D11403" t="s">
        <v>34088</v>
      </c>
      <c r="F11403" t="s">
        <v>34089</v>
      </c>
      <c r="I11403" t="s">
        <v>29</v>
      </c>
      <c r="J11403" t="s">
        <v>30</v>
      </c>
      <c r="K11403" t="s">
        <v>34090</v>
      </c>
      <c r="M11403" t="s">
        <v>17861</v>
      </c>
      <c r="N11403" t="str">
        <f>"2/23/2018 2:59:00 PM"</f>
        <v>2/23/2018 2:59:00 PM</v>
      </c>
      <c r="O11403" t="s">
        <v>34088</v>
      </c>
    </row>
    <row r="11404" spans="1:20" x14ac:dyDescent="0.25">
      <c r="A11404" t="str">
        <f>"3052478"</f>
        <v>3052478</v>
      </c>
      <c r="B11404" t="s">
        <v>34091</v>
      </c>
      <c r="C11404" t="str">
        <f>"8309359"</f>
        <v>8309359</v>
      </c>
      <c r="D11404" t="s">
        <v>34092</v>
      </c>
      <c r="F11404" t="s">
        <v>34093</v>
      </c>
      <c r="I11404" t="s">
        <v>29</v>
      </c>
      <c r="J11404" t="s">
        <v>30</v>
      </c>
      <c r="K11404" t="s">
        <v>20447</v>
      </c>
      <c r="M11404" t="s">
        <v>17861</v>
      </c>
      <c r="N11404" t="str">
        <f>"2/26/2018 1:22:00 PM"</f>
        <v>2/26/2018 1:22:00 PM</v>
      </c>
      <c r="O11404" t="s">
        <v>34092</v>
      </c>
    </row>
    <row r="11405" spans="1:20" x14ac:dyDescent="0.25">
      <c r="A11405" t="str">
        <f>"3060217"</f>
        <v>3060217</v>
      </c>
      <c r="B11405" t="s">
        <v>34094</v>
      </c>
      <c r="C11405" t="str">
        <f>"8309360"</f>
        <v>8309360</v>
      </c>
      <c r="D11405" t="s">
        <v>34095</v>
      </c>
      <c r="E11405" t="s">
        <v>34096</v>
      </c>
      <c r="F11405" t="s">
        <v>34097</v>
      </c>
      <c r="I11405" t="s">
        <v>184</v>
      </c>
      <c r="J11405" t="s">
        <v>30</v>
      </c>
      <c r="K11405" t="s">
        <v>34098</v>
      </c>
      <c r="M11405" t="s">
        <v>17861</v>
      </c>
      <c r="N11405" t="str">
        <f>"2/26/2018 2:11:00 PM"</f>
        <v>2/26/2018 2:11:00 PM</v>
      </c>
      <c r="O11405" t="s">
        <v>34095</v>
      </c>
      <c r="T11405" t="s">
        <v>34096</v>
      </c>
    </row>
    <row r="11406" spans="1:20" x14ac:dyDescent="0.25">
      <c r="A11406" t="str">
        <f>"3051257"</f>
        <v>3051257</v>
      </c>
      <c r="B11406" t="s">
        <v>34099</v>
      </c>
      <c r="C11406" t="str">
        <f>"79644000"</f>
        <v>79644000</v>
      </c>
      <c r="D11406" t="s">
        <v>11050</v>
      </c>
      <c r="E11406" t="s">
        <v>11051</v>
      </c>
      <c r="F11406" t="s">
        <v>11052</v>
      </c>
      <c r="I11406" t="s">
        <v>29</v>
      </c>
      <c r="J11406" t="s">
        <v>30</v>
      </c>
      <c r="K11406" t="s">
        <v>11056</v>
      </c>
      <c r="M11406" t="s">
        <v>25625</v>
      </c>
      <c r="N11406" t="str">
        <f>"3/5/2018 1:32:00 PM"</f>
        <v>3/5/2018 1:32:00 PM</v>
      </c>
      <c r="O11406" t="s">
        <v>11050</v>
      </c>
      <c r="T11406" t="s">
        <v>11051</v>
      </c>
    </row>
    <row r="11407" spans="1:20" x14ac:dyDescent="0.25">
      <c r="A11407" t="str">
        <f>"3078234"</f>
        <v>3078234</v>
      </c>
      <c r="B11407" t="s">
        <v>34100</v>
      </c>
      <c r="C11407" t="str">
        <f>"79644000"</f>
        <v>79644000</v>
      </c>
      <c r="D11407" t="s">
        <v>11050</v>
      </c>
      <c r="E11407" t="s">
        <v>11051</v>
      </c>
      <c r="F11407" t="s">
        <v>11052</v>
      </c>
      <c r="I11407" t="s">
        <v>29</v>
      </c>
      <c r="J11407" t="s">
        <v>30</v>
      </c>
      <c r="K11407" t="s">
        <v>11056</v>
      </c>
      <c r="M11407" t="s">
        <v>25625</v>
      </c>
      <c r="N11407" t="str">
        <f>"3/5/2018 1:32:00 PM"</f>
        <v>3/5/2018 1:32:00 PM</v>
      </c>
      <c r="O11407" t="s">
        <v>11050</v>
      </c>
      <c r="T11407" t="s">
        <v>11051</v>
      </c>
    </row>
    <row r="11408" spans="1:20" x14ac:dyDescent="0.25">
      <c r="A11408" t="str">
        <f>"3039862"</f>
        <v>3039862</v>
      </c>
      <c r="B11408" t="s">
        <v>34101</v>
      </c>
      <c r="C11408" t="str">
        <f>"8309391"</f>
        <v>8309391</v>
      </c>
      <c r="D11408" t="s">
        <v>34102</v>
      </c>
      <c r="E11408" t="str">
        <f>"MINERVINI ELEANORE M/ADRIEANNE"</f>
        <v>MINERVINI ELEANORE M/ADRIEANNE</v>
      </c>
      <c r="F11408" t="s">
        <v>34103</v>
      </c>
      <c r="I11408" t="s">
        <v>29</v>
      </c>
      <c r="J11408" t="s">
        <v>30</v>
      </c>
      <c r="K11408" t="s">
        <v>34104</v>
      </c>
      <c r="M11408" t="s">
        <v>17861</v>
      </c>
      <c r="N11408" t="str">
        <f>"3/2/2018 2:33:00 PM"</f>
        <v>3/2/2018 2:33:00 PM</v>
      </c>
      <c r="O11408" t="s">
        <v>34102</v>
      </c>
      <c r="T11408" t="str">
        <f>"MINERVINI ELEANORE M/ADRIEANNE"</f>
        <v>MINERVINI ELEANORE M/ADRIEANNE</v>
      </c>
    </row>
    <row r="11409" spans="1:20" x14ac:dyDescent="0.25">
      <c r="A11409" t="str">
        <f>"3051158"</f>
        <v>3051158</v>
      </c>
      <c r="B11409" t="s">
        <v>34105</v>
      </c>
      <c r="C11409" t="str">
        <f>"79644000"</f>
        <v>79644000</v>
      </c>
      <c r="D11409" t="s">
        <v>11050</v>
      </c>
      <c r="E11409" t="s">
        <v>11051</v>
      </c>
      <c r="F11409" t="s">
        <v>11052</v>
      </c>
      <c r="I11409" t="s">
        <v>29</v>
      </c>
      <c r="J11409" t="s">
        <v>30</v>
      </c>
      <c r="K11409" t="s">
        <v>11056</v>
      </c>
      <c r="M11409" t="s">
        <v>25625</v>
      </c>
      <c r="N11409" t="str">
        <f>"3/5/2018 1:32:00 PM"</f>
        <v>3/5/2018 1:32:00 PM</v>
      </c>
      <c r="O11409" t="s">
        <v>11050</v>
      </c>
      <c r="T11409" t="s">
        <v>11051</v>
      </c>
    </row>
    <row r="11410" spans="1:20" x14ac:dyDescent="0.25">
      <c r="A11410" t="str">
        <f>"3051116"</f>
        <v>3051116</v>
      </c>
      <c r="B11410" t="s">
        <v>34106</v>
      </c>
      <c r="C11410" t="str">
        <f>"79644000"</f>
        <v>79644000</v>
      </c>
      <c r="D11410" t="s">
        <v>11050</v>
      </c>
      <c r="E11410" t="s">
        <v>11051</v>
      </c>
      <c r="F11410" t="s">
        <v>11052</v>
      </c>
      <c r="I11410" t="s">
        <v>29</v>
      </c>
      <c r="J11410" t="s">
        <v>30</v>
      </c>
      <c r="K11410" t="s">
        <v>11056</v>
      </c>
      <c r="M11410" t="s">
        <v>25625</v>
      </c>
      <c r="N11410" t="str">
        <f>"3/5/2018 1:32:00 PM"</f>
        <v>3/5/2018 1:32:00 PM</v>
      </c>
      <c r="O11410" t="s">
        <v>11050</v>
      </c>
      <c r="T11410" t="s">
        <v>11051</v>
      </c>
    </row>
    <row r="11411" spans="1:20" x14ac:dyDescent="0.25">
      <c r="A11411" t="str">
        <f>"3055441"</f>
        <v>3055441</v>
      </c>
      <c r="B11411" t="s">
        <v>34107</v>
      </c>
      <c r="C11411" t="str">
        <f>"8309400"</f>
        <v>8309400</v>
      </c>
      <c r="D11411" t="s">
        <v>34108</v>
      </c>
      <c r="F11411" t="s">
        <v>34109</v>
      </c>
      <c r="I11411" t="s">
        <v>29</v>
      </c>
      <c r="J11411" t="s">
        <v>30</v>
      </c>
      <c r="K11411" t="s">
        <v>12806</v>
      </c>
      <c r="M11411" t="s">
        <v>17861</v>
      </c>
      <c r="N11411" t="str">
        <f>"3/6/2018 8:47:00 AM"</f>
        <v>3/6/2018 8:47:00 AM</v>
      </c>
      <c r="O11411" t="s">
        <v>34108</v>
      </c>
    </row>
    <row r="11412" spans="1:20" x14ac:dyDescent="0.25">
      <c r="A11412" t="str">
        <f>"3051291"</f>
        <v>3051291</v>
      </c>
      <c r="B11412" t="s">
        <v>34110</v>
      </c>
      <c r="C11412" t="str">
        <f>"8309400"</f>
        <v>8309400</v>
      </c>
      <c r="D11412" t="s">
        <v>34108</v>
      </c>
      <c r="F11412" t="s">
        <v>34109</v>
      </c>
      <c r="I11412" t="s">
        <v>29</v>
      </c>
      <c r="J11412" t="s">
        <v>30</v>
      </c>
      <c r="K11412" t="s">
        <v>12806</v>
      </c>
      <c r="M11412" t="s">
        <v>17861</v>
      </c>
      <c r="N11412" t="str">
        <f>"3/6/2018 8:47:00 AM"</f>
        <v>3/6/2018 8:47:00 AM</v>
      </c>
      <c r="O11412" t="s">
        <v>34108</v>
      </c>
    </row>
    <row r="11413" spans="1:20" x14ac:dyDescent="0.25">
      <c r="A11413" t="str">
        <f>"3047028"</f>
        <v>3047028</v>
      </c>
      <c r="B11413" t="s">
        <v>34111</v>
      </c>
      <c r="C11413" t="str">
        <f>"8309394"</f>
        <v>8309394</v>
      </c>
      <c r="D11413" t="s">
        <v>34112</v>
      </c>
      <c r="F11413" t="s">
        <v>34113</v>
      </c>
      <c r="I11413" t="s">
        <v>29</v>
      </c>
      <c r="J11413" t="s">
        <v>30</v>
      </c>
      <c r="K11413" t="s">
        <v>8523</v>
      </c>
      <c r="M11413" t="s">
        <v>17861</v>
      </c>
      <c r="N11413" t="str">
        <f>"3/5/2018 3:54:00 PM"</f>
        <v>3/5/2018 3:54:00 PM</v>
      </c>
      <c r="O11413" t="s">
        <v>34112</v>
      </c>
    </row>
    <row r="11414" spans="1:20" x14ac:dyDescent="0.25">
      <c r="A11414" t="str">
        <f>"3046599"</f>
        <v>3046599</v>
      </c>
      <c r="B11414" t="s">
        <v>34114</v>
      </c>
      <c r="C11414" t="str">
        <f>"8309394"</f>
        <v>8309394</v>
      </c>
      <c r="D11414" t="s">
        <v>34112</v>
      </c>
      <c r="F11414" t="s">
        <v>34113</v>
      </c>
      <c r="I11414" t="s">
        <v>29</v>
      </c>
      <c r="J11414" t="s">
        <v>30</v>
      </c>
      <c r="K11414" t="s">
        <v>8523</v>
      </c>
      <c r="M11414" t="s">
        <v>17861</v>
      </c>
      <c r="N11414" t="str">
        <f>"3/5/2018 3:54:00 PM"</f>
        <v>3/5/2018 3:54:00 PM</v>
      </c>
      <c r="O11414" t="s">
        <v>34112</v>
      </c>
    </row>
    <row r="11415" spans="1:20" x14ac:dyDescent="0.25">
      <c r="A11415" t="str">
        <f>"3059570"</f>
        <v>3059570</v>
      </c>
      <c r="B11415" t="s">
        <v>34115</v>
      </c>
      <c r="C11415" t="str">
        <f>"82513036"</f>
        <v>82513036</v>
      </c>
      <c r="D11415" t="s">
        <v>34116</v>
      </c>
      <c r="E11415" t="s">
        <v>34117</v>
      </c>
      <c r="F11415" t="s">
        <v>34118</v>
      </c>
      <c r="I11415" t="s">
        <v>17921</v>
      </c>
      <c r="J11415" t="s">
        <v>30</v>
      </c>
      <c r="K11415" t="str">
        <f>"27028"</f>
        <v>27028</v>
      </c>
      <c r="M11415" t="s">
        <v>33845</v>
      </c>
      <c r="N11415" t="str">
        <f>"3/5/2018 4:12:00 PM"</f>
        <v>3/5/2018 4:12:00 PM</v>
      </c>
      <c r="O11415" t="s">
        <v>34116</v>
      </c>
      <c r="T11415" t="s">
        <v>34117</v>
      </c>
    </row>
    <row r="11416" spans="1:20" x14ac:dyDescent="0.25">
      <c r="A11416" t="str">
        <f>"3054523"</f>
        <v>3054523</v>
      </c>
      <c r="B11416" t="s">
        <v>34119</v>
      </c>
      <c r="C11416" t="str">
        <f>"8309401"</f>
        <v>8309401</v>
      </c>
      <c r="D11416" t="s">
        <v>34120</v>
      </c>
      <c r="F11416" t="s">
        <v>34121</v>
      </c>
      <c r="I11416" t="s">
        <v>29</v>
      </c>
      <c r="J11416" t="s">
        <v>30</v>
      </c>
      <c r="K11416" t="s">
        <v>34122</v>
      </c>
      <c r="M11416" t="s">
        <v>17861</v>
      </c>
      <c r="N11416" t="str">
        <f>"3/6/2018 9:06:00 AM"</f>
        <v>3/6/2018 9:06:00 AM</v>
      </c>
      <c r="O11416" t="s">
        <v>34120</v>
      </c>
    </row>
    <row r="11417" spans="1:20" x14ac:dyDescent="0.25">
      <c r="A11417" t="str">
        <f>"3058149"</f>
        <v>3058149</v>
      </c>
      <c r="B11417" t="s">
        <v>34123</v>
      </c>
      <c r="C11417" t="str">
        <f>"8309397"</f>
        <v>8309397</v>
      </c>
      <c r="D11417" t="s">
        <v>34124</v>
      </c>
      <c r="F11417" t="s">
        <v>34125</v>
      </c>
      <c r="I11417" t="s">
        <v>29</v>
      </c>
      <c r="J11417" t="s">
        <v>30</v>
      </c>
      <c r="K11417" t="s">
        <v>34126</v>
      </c>
      <c r="M11417" t="s">
        <v>17861</v>
      </c>
      <c r="N11417" t="str">
        <f>"3/5/2018 4:15:00 PM"</f>
        <v>3/5/2018 4:15:00 PM</v>
      </c>
      <c r="O11417" t="s">
        <v>34124</v>
      </c>
    </row>
    <row r="11418" spans="1:20" x14ac:dyDescent="0.25">
      <c r="A11418" t="str">
        <f>"3055885"</f>
        <v>3055885</v>
      </c>
      <c r="B11418" t="s">
        <v>34127</v>
      </c>
      <c r="C11418" t="str">
        <f>"4066000"</f>
        <v>4066000</v>
      </c>
      <c r="D11418" t="s">
        <v>34128</v>
      </c>
      <c r="F11418" t="s">
        <v>34129</v>
      </c>
      <c r="I11418" t="s">
        <v>9580</v>
      </c>
      <c r="J11418" t="s">
        <v>30</v>
      </c>
      <c r="K11418" t="s">
        <v>9581</v>
      </c>
      <c r="M11418" t="s">
        <v>33845</v>
      </c>
      <c r="N11418" t="str">
        <f>"3/6/2018 2:50:00 PM"</f>
        <v>3/6/2018 2:50:00 PM</v>
      </c>
      <c r="O11418" t="s">
        <v>34128</v>
      </c>
    </row>
    <row r="11419" spans="1:20" x14ac:dyDescent="0.25">
      <c r="A11419" t="str">
        <f>"3037506"</f>
        <v>3037506</v>
      </c>
      <c r="B11419" t="s">
        <v>34130</v>
      </c>
      <c r="C11419" t="str">
        <f>"8301510"</f>
        <v>8301510</v>
      </c>
      <c r="D11419" t="s">
        <v>934</v>
      </c>
      <c r="F11419" t="s">
        <v>936</v>
      </c>
      <c r="I11419" t="s">
        <v>29</v>
      </c>
      <c r="J11419" t="s">
        <v>30</v>
      </c>
      <c r="K11419" t="str">
        <f>"27028"</f>
        <v>27028</v>
      </c>
      <c r="M11419" t="s">
        <v>33845</v>
      </c>
      <c r="N11419" t="str">
        <f>"3/6/2018 3:44:00 PM"</f>
        <v>3/6/2018 3:44:00 PM</v>
      </c>
      <c r="O11419" t="s">
        <v>934</v>
      </c>
    </row>
    <row r="11420" spans="1:20" x14ac:dyDescent="0.25">
      <c r="A11420" t="str">
        <f>"3063946"</f>
        <v>3063946</v>
      </c>
      <c r="B11420" t="s">
        <v>34131</v>
      </c>
      <c r="C11420" t="str">
        <f>"8309399"</f>
        <v>8309399</v>
      </c>
      <c r="D11420" t="s">
        <v>34132</v>
      </c>
      <c r="E11420" t="s">
        <v>34133</v>
      </c>
      <c r="F11420" t="s">
        <v>34134</v>
      </c>
      <c r="I11420" t="s">
        <v>184</v>
      </c>
      <c r="J11420" t="s">
        <v>30</v>
      </c>
      <c r="K11420" t="s">
        <v>34135</v>
      </c>
      <c r="M11420" t="s">
        <v>17861</v>
      </c>
      <c r="N11420" t="str">
        <f>"3/6/2018 8:29:00 AM"</f>
        <v>3/6/2018 8:29:00 AM</v>
      </c>
      <c r="O11420" t="s">
        <v>34132</v>
      </c>
      <c r="T11420" t="s">
        <v>34133</v>
      </c>
    </row>
    <row r="11421" spans="1:20" x14ac:dyDescent="0.25">
      <c r="A11421" t="str">
        <f>"3054769"</f>
        <v>3054769</v>
      </c>
      <c r="B11421" t="s">
        <v>34136</v>
      </c>
      <c r="C11421" t="str">
        <f>"8309400"</f>
        <v>8309400</v>
      </c>
      <c r="D11421" t="s">
        <v>34108</v>
      </c>
      <c r="F11421" t="s">
        <v>34109</v>
      </c>
      <c r="I11421" t="s">
        <v>29</v>
      </c>
      <c r="J11421" t="s">
        <v>30</v>
      </c>
      <c r="K11421" t="s">
        <v>12806</v>
      </c>
      <c r="M11421" t="s">
        <v>17861</v>
      </c>
      <c r="N11421" t="str">
        <f>"3/6/2018 8:47:00 AM"</f>
        <v>3/6/2018 8:47:00 AM</v>
      </c>
      <c r="O11421" t="s">
        <v>34108</v>
      </c>
    </row>
    <row r="11422" spans="1:20" x14ac:dyDescent="0.25">
      <c r="A11422" t="str">
        <f>"3045650"</f>
        <v>3045650</v>
      </c>
      <c r="B11422" t="s">
        <v>34137</v>
      </c>
      <c r="C11422" t="str">
        <f>"8309406"</f>
        <v>8309406</v>
      </c>
      <c r="D11422" t="s">
        <v>34138</v>
      </c>
      <c r="E11422" t="s">
        <v>34139</v>
      </c>
      <c r="F11422" t="s">
        <v>34140</v>
      </c>
      <c r="I11422" t="s">
        <v>29</v>
      </c>
      <c r="J11422" t="s">
        <v>30</v>
      </c>
      <c r="K11422" t="s">
        <v>8081</v>
      </c>
      <c r="M11422" t="s">
        <v>17861</v>
      </c>
      <c r="N11422" t="str">
        <f>"3/7/2018 10:06:00 AM"</f>
        <v>3/7/2018 10:06:00 AM</v>
      </c>
      <c r="O11422" t="s">
        <v>34138</v>
      </c>
      <c r="T11422" t="s">
        <v>34139</v>
      </c>
    </row>
    <row r="11423" spans="1:20" x14ac:dyDescent="0.25">
      <c r="A11423" t="str">
        <f>"3051648"</f>
        <v>3051648</v>
      </c>
      <c r="B11423" t="s">
        <v>34141</v>
      </c>
      <c r="C11423" t="str">
        <f>"8309469"</f>
        <v>8309469</v>
      </c>
      <c r="D11423" t="s">
        <v>34142</v>
      </c>
      <c r="E11423" t="s">
        <v>34143</v>
      </c>
      <c r="F11423" t="s">
        <v>34144</v>
      </c>
      <c r="I11423" t="s">
        <v>29</v>
      </c>
      <c r="J11423" t="s">
        <v>30</v>
      </c>
      <c r="K11423" t="s">
        <v>9595</v>
      </c>
      <c r="M11423" t="s">
        <v>17861</v>
      </c>
      <c r="N11423" t="str">
        <f>"3/21/2018 9:34:00 AM"</f>
        <v>3/21/2018 9:34:00 AM</v>
      </c>
      <c r="O11423" t="s">
        <v>34142</v>
      </c>
      <c r="T11423" t="s">
        <v>34143</v>
      </c>
    </row>
    <row r="11424" spans="1:20" x14ac:dyDescent="0.25">
      <c r="A11424" t="str">
        <f>"3051683"</f>
        <v>3051683</v>
      </c>
      <c r="B11424" t="s">
        <v>34145</v>
      </c>
      <c r="C11424" t="str">
        <f>"8309469"</f>
        <v>8309469</v>
      </c>
      <c r="D11424" t="s">
        <v>34142</v>
      </c>
      <c r="E11424" t="s">
        <v>34143</v>
      </c>
      <c r="F11424" t="s">
        <v>34144</v>
      </c>
      <c r="I11424" t="s">
        <v>29</v>
      </c>
      <c r="J11424" t="s">
        <v>30</v>
      </c>
      <c r="K11424" t="s">
        <v>9595</v>
      </c>
      <c r="M11424" t="s">
        <v>17861</v>
      </c>
      <c r="N11424" t="str">
        <f>"3/21/2018 9:34:00 AM"</f>
        <v>3/21/2018 9:34:00 AM</v>
      </c>
      <c r="O11424" t="s">
        <v>34142</v>
      </c>
      <c r="T11424" t="s">
        <v>34143</v>
      </c>
    </row>
    <row r="11425" spans="1:20" x14ac:dyDescent="0.25">
      <c r="A11425" t="str">
        <f>"3051918"</f>
        <v>3051918</v>
      </c>
      <c r="B11425" t="s">
        <v>34146</v>
      </c>
      <c r="C11425" t="str">
        <f>"8309469"</f>
        <v>8309469</v>
      </c>
      <c r="D11425" t="s">
        <v>34142</v>
      </c>
      <c r="E11425" t="s">
        <v>34143</v>
      </c>
      <c r="F11425" t="s">
        <v>34144</v>
      </c>
      <c r="I11425" t="s">
        <v>29</v>
      </c>
      <c r="J11425" t="s">
        <v>30</v>
      </c>
      <c r="K11425" t="s">
        <v>9595</v>
      </c>
      <c r="M11425" t="s">
        <v>17861</v>
      </c>
      <c r="N11425" t="str">
        <f>"3/21/2018 9:34:00 AM"</f>
        <v>3/21/2018 9:34:00 AM</v>
      </c>
      <c r="O11425" t="s">
        <v>34142</v>
      </c>
      <c r="T11425" t="s">
        <v>34143</v>
      </c>
    </row>
    <row r="11426" spans="1:20" x14ac:dyDescent="0.25">
      <c r="A11426" t="str">
        <f>"3060651"</f>
        <v>3060651</v>
      </c>
      <c r="B11426" t="s">
        <v>34147</v>
      </c>
      <c r="C11426" t="str">
        <f>"8309470"</f>
        <v>8309470</v>
      </c>
      <c r="D11426" t="s">
        <v>34148</v>
      </c>
      <c r="E11426" t="s">
        <v>34149</v>
      </c>
      <c r="F11426" t="s">
        <v>34150</v>
      </c>
      <c r="I11426" t="s">
        <v>2071</v>
      </c>
      <c r="J11426" t="s">
        <v>30</v>
      </c>
      <c r="K11426" t="str">
        <f>"27006"</f>
        <v>27006</v>
      </c>
      <c r="M11426" t="s">
        <v>17861</v>
      </c>
      <c r="N11426" t="str">
        <f>"3/21/2018 9:39:00 AM"</f>
        <v>3/21/2018 9:39:00 AM</v>
      </c>
      <c r="O11426" t="s">
        <v>34148</v>
      </c>
      <c r="T11426" t="s">
        <v>34149</v>
      </c>
    </row>
    <row r="11427" spans="1:20" x14ac:dyDescent="0.25">
      <c r="A11427" t="str">
        <f>"3050475"</f>
        <v>3050475</v>
      </c>
      <c r="B11427" t="s">
        <v>34151</v>
      </c>
      <c r="C11427" t="str">
        <f>"8309473"</f>
        <v>8309473</v>
      </c>
      <c r="D11427" t="s">
        <v>34152</v>
      </c>
      <c r="F11427" t="s">
        <v>34153</v>
      </c>
      <c r="I11427" t="s">
        <v>29</v>
      </c>
      <c r="J11427" t="s">
        <v>30</v>
      </c>
      <c r="K11427" t="s">
        <v>11416</v>
      </c>
      <c r="M11427" t="s">
        <v>17861</v>
      </c>
      <c r="N11427" t="str">
        <f>"3/21/2018 10:29:00 AM"</f>
        <v>3/21/2018 10:29:00 AM</v>
      </c>
      <c r="O11427" t="s">
        <v>34152</v>
      </c>
    </row>
    <row r="11428" spans="1:20" x14ac:dyDescent="0.25">
      <c r="A11428" t="str">
        <f>"3064064"</f>
        <v>3064064</v>
      </c>
      <c r="B11428" t="s">
        <v>34154</v>
      </c>
      <c r="C11428" t="str">
        <f>"8309474"</f>
        <v>8309474</v>
      </c>
      <c r="D11428" t="s">
        <v>34155</v>
      </c>
      <c r="F11428" t="s">
        <v>34156</v>
      </c>
      <c r="I11428" t="s">
        <v>184</v>
      </c>
      <c r="J11428" t="s">
        <v>30</v>
      </c>
      <c r="K11428" t="s">
        <v>34157</v>
      </c>
      <c r="M11428" t="s">
        <v>17861</v>
      </c>
      <c r="N11428" t="str">
        <f>"3/21/2018 10:47:00 AM"</f>
        <v>3/21/2018 10:47:00 AM</v>
      </c>
      <c r="O11428" t="s">
        <v>34155</v>
      </c>
    </row>
    <row r="11429" spans="1:20" x14ac:dyDescent="0.25">
      <c r="A11429" t="str">
        <f>"3044931"</f>
        <v>3044931</v>
      </c>
      <c r="B11429" t="s">
        <v>34158</v>
      </c>
      <c r="C11429" t="str">
        <f>"8309406"</f>
        <v>8309406</v>
      </c>
      <c r="D11429" t="s">
        <v>34138</v>
      </c>
      <c r="E11429" t="s">
        <v>34139</v>
      </c>
      <c r="F11429" t="s">
        <v>34140</v>
      </c>
      <c r="I11429" t="s">
        <v>29</v>
      </c>
      <c r="J11429" t="s">
        <v>30</v>
      </c>
      <c r="K11429" t="s">
        <v>8081</v>
      </c>
      <c r="M11429" t="s">
        <v>17861</v>
      </c>
      <c r="N11429" t="str">
        <f>"3/7/2018 10:06:00 AM"</f>
        <v>3/7/2018 10:06:00 AM</v>
      </c>
      <c r="O11429" t="s">
        <v>34138</v>
      </c>
      <c r="T11429" t="s">
        <v>34139</v>
      </c>
    </row>
    <row r="11430" spans="1:20" x14ac:dyDescent="0.25">
      <c r="A11430" t="str">
        <f>"3070615"</f>
        <v>3070615</v>
      </c>
      <c r="B11430" t="s">
        <v>34159</v>
      </c>
      <c r="C11430" t="str">
        <f>"8308547"</f>
        <v>8308547</v>
      </c>
      <c r="D11430" t="s">
        <v>34160</v>
      </c>
      <c r="F11430" t="s">
        <v>16853</v>
      </c>
      <c r="I11430" t="s">
        <v>29</v>
      </c>
      <c r="J11430" t="s">
        <v>30</v>
      </c>
      <c r="K11430" t="str">
        <f>"27028"</f>
        <v>27028</v>
      </c>
      <c r="M11430" t="s">
        <v>25625</v>
      </c>
      <c r="N11430" t="str">
        <f>"3/8/2018 10:28:00 AM"</f>
        <v>3/8/2018 10:28:00 AM</v>
      </c>
      <c r="O11430" t="s">
        <v>34160</v>
      </c>
    </row>
    <row r="11431" spans="1:20" x14ac:dyDescent="0.25">
      <c r="A11431" t="str">
        <f>"3064067"</f>
        <v>3064067</v>
      </c>
      <c r="B11431" t="s">
        <v>34161</v>
      </c>
      <c r="C11431" t="str">
        <f>"8309414"</f>
        <v>8309414</v>
      </c>
      <c r="D11431" t="s">
        <v>34162</v>
      </c>
      <c r="F11431" t="s">
        <v>34163</v>
      </c>
      <c r="I11431" t="s">
        <v>184</v>
      </c>
      <c r="J11431" t="s">
        <v>30</v>
      </c>
      <c r="K11431" t="s">
        <v>34164</v>
      </c>
      <c r="M11431" t="s">
        <v>17861</v>
      </c>
      <c r="N11431" t="str">
        <f>"3/8/2018 2:35:00 PM"</f>
        <v>3/8/2018 2:35:00 PM</v>
      </c>
      <c r="O11431" t="s">
        <v>34162</v>
      </c>
    </row>
    <row r="11432" spans="1:20" x14ac:dyDescent="0.25">
      <c r="A11432" t="str">
        <f>"3042042"</f>
        <v>3042042</v>
      </c>
      <c r="B11432" t="s">
        <v>34165</v>
      </c>
      <c r="C11432" t="str">
        <f>"8309415"</f>
        <v>8309415</v>
      </c>
      <c r="D11432" t="s">
        <v>34166</v>
      </c>
      <c r="F11432" t="s">
        <v>34167</v>
      </c>
      <c r="I11432" t="s">
        <v>10172</v>
      </c>
      <c r="J11432" t="s">
        <v>30</v>
      </c>
      <c r="K11432" t="str">
        <f>"27040"</f>
        <v>27040</v>
      </c>
      <c r="M11432" t="s">
        <v>17861</v>
      </c>
      <c r="N11432" t="str">
        <f>"3/8/2018 3:48:00 PM"</f>
        <v>3/8/2018 3:48:00 PM</v>
      </c>
      <c r="O11432" t="s">
        <v>34166</v>
      </c>
    </row>
    <row r="11433" spans="1:20" x14ac:dyDescent="0.25">
      <c r="A11433" t="str">
        <f>"3040787"</f>
        <v>3040787</v>
      </c>
      <c r="B11433" t="s">
        <v>34168</v>
      </c>
      <c r="C11433" t="str">
        <f>"8306917"</f>
        <v>8306917</v>
      </c>
      <c r="D11433" t="s">
        <v>34169</v>
      </c>
      <c r="F11433" t="s">
        <v>34170</v>
      </c>
      <c r="I11433" t="s">
        <v>184</v>
      </c>
      <c r="J11433" t="s">
        <v>30</v>
      </c>
      <c r="K11433" t="str">
        <f>"27006"</f>
        <v>27006</v>
      </c>
      <c r="M11433" t="s">
        <v>33845</v>
      </c>
      <c r="N11433" t="str">
        <f>"3/8/2018 4:53:00 PM"</f>
        <v>3/8/2018 4:53:00 PM</v>
      </c>
      <c r="O11433" t="s">
        <v>34169</v>
      </c>
    </row>
    <row r="11434" spans="1:20" x14ac:dyDescent="0.25">
      <c r="A11434" t="str">
        <f>"3058016"</f>
        <v>3058016</v>
      </c>
      <c r="B11434" t="s">
        <v>34171</v>
      </c>
      <c r="C11434" t="str">
        <f>"8309417"</f>
        <v>8309417</v>
      </c>
      <c r="D11434" t="s">
        <v>34172</v>
      </c>
      <c r="E11434" t="s">
        <v>34173</v>
      </c>
      <c r="F11434" t="s">
        <v>34174</v>
      </c>
      <c r="I11434" t="s">
        <v>184</v>
      </c>
      <c r="J11434" t="s">
        <v>30</v>
      </c>
      <c r="K11434" t="s">
        <v>34175</v>
      </c>
      <c r="M11434" t="s">
        <v>17861</v>
      </c>
      <c r="N11434" t="str">
        <f>"3/9/2018 9:11:00 AM"</f>
        <v>3/9/2018 9:11:00 AM</v>
      </c>
      <c r="O11434" t="s">
        <v>34172</v>
      </c>
      <c r="T11434" t="s">
        <v>34173</v>
      </c>
    </row>
    <row r="11435" spans="1:20" x14ac:dyDescent="0.25">
      <c r="A11435" t="str">
        <f>"3068271"</f>
        <v>3068271</v>
      </c>
      <c r="B11435" t="s">
        <v>34176</v>
      </c>
      <c r="C11435" t="str">
        <f>"8309455"</f>
        <v>8309455</v>
      </c>
      <c r="D11435" t="s">
        <v>34177</v>
      </c>
      <c r="E11435" t="str">
        <f>"WYATT CHARLES E JR/ASHLEY DAWN"</f>
        <v>WYATT CHARLES E JR/ASHLEY DAWN</v>
      </c>
      <c r="F11435" t="s">
        <v>34178</v>
      </c>
      <c r="I11435" t="s">
        <v>29</v>
      </c>
      <c r="J11435" t="s">
        <v>30</v>
      </c>
      <c r="K11435" t="s">
        <v>34179</v>
      </c>
      <c r="M11435" t="s">
        <v>17861</v>
      </c>
      <c r="N11435" t="str">
        <f>"3/19/2018 1:56:00 PM"</f>
        <v>3/19/2018 1:56:00 PM</v>
      </c>
      <c r="O11435" t="s">
        <v>34177</v>
      </c>
      <c r="T11435" t="str">
        <f>"WYATT CHARLES E JR/ASHLEY DAWN"</f>
        <v>WYATT CHARLES E JR/ASHLEY DAWN</v>
      </c>
    </row>
    <row r="11436" spans="1:20" x14ac:dyDescent="0.25">
      <c r="A11436" t="str">
        <f>"3039292"</f>
        <v>3039292</v>
      </c>
      <c r="B11436" t="s">
        <v>34180</v>
      </c>
      <c r="C11436" t="str">
        <f>"8307124"</f>
        <v>8307124</v>
      </c>
      <c r="D11436" t="s">
        <v>34181</v>
      </c>
      <c r="E11436" t="s">
        <v>34182</v>
      </c>
      <c r="F11436" t="s">
        <v>34183</v>
      </c>
      <c r="I11436" t="s">
        <v>402</v>
      </c>
      <c r="J11436" t="s">
        <v>30</v>
      </c>
      <c r="K11436" t="str">
        <f>"27012"</f>
        <v>27012</v>
      </c>
      <c r="M11436" t="s">
        <v>33845</v>
      </c>
      <c r="N11436" t="str">
        <f>"3/22/2018 1:40:00 PM"</f>
        <v>3/22/2018 1:40:00 PM</v>
      </c>
      <c r="O11436" t="s">
        <v>34181</v>
      </c>
      <c r="T11436" t="s">
        <v>34182</v>
      </c>
    </row>
    <row r="11437" spans="1:20" x14ac:dyDescent="0.25">
      <c r="A11437" t="str">
        <f>"3045372"</f>
        <v>3045372</v>
      </c>
      <c r="B11437" t="s">
        <v>34184</v>
      </c>
      <c r="C11437" t="str">
        <f>"82527920"</f>
        <v>82527920</v>
      </c>
      <c r="D11437" t="s">
        <v>34185</v>
      </c>
      <c r="E11437" t="s">
        <v>34186</v>
      </c>
      <c r="F11437" t="s">
        <v>34187</v>
      </c>
      <c r="I11437" t="s">
        <v>29</v>
      </c>
      <c r="J11437" t="s">
        <v>30</v>
      </c>
      <c r="K11437" t="s">
        <v>31</v>
      </c>
      <c r="M11437" t="s">
        <v>33845</v>
      </c>
      <c r="N11437" t="str">
        <f>"3/21/2018 12:08:00 PM"</f>
        <v>3/21/2018 12:08:00 PM</v>
      </c>
      <c r="O11437" t="s">
        <v>34185</v>
      </c>
      <c r="T11437" t="s">
        <v>34186</v>
      </c>
    </row>
    <row r="11438" spans="1:20" x14ac:dyDescent="0.25">
      <c r="A11438" t="str">
        <f>"3044830"</f>
        <v>3044830</v>
      </c>
      <c r="B11438" t="s">
        <v>34188</v>
      </c>
      <c r="C11438" t="str">
        <f>"8309481"</f>
        <v>8309481</v>
      </c>
      <c r="D11438" t="s">
        <v>34189</v>
      </c>
      <c r="E11438" t="s">
        <v>34190</v>
      </c>
      <c r="F11438" t="s">
        <v>34191</v>
      </c>
      <c r="I11438" t="s">
        <v>184</v>
      </c>
      <c r="J11438" t="s">
        <v>30</v>
      </c>
      <c r="K11438" t="s">
        <v>6241</v>
      </c>
      <c r="M11438" t="s">
        <v>17861</v>
      </c>
      <c r="N11438" t="str">
        <f>"3/21/2018 1:12:00 PM"</f>
        <v>3/21/2018 1:12:00 PM</v>
      </c>
      <c r="O11438" t="s">
        <v>34189</v>
      </c>
      <c r="T11438" t="s">
        <v>34190</v>
      </c>
    </row>
    <row r="11439" spans="1:20" x14ac:dyDescent="0.25">
      <c r="A11439" t="str">
        <f>"3058771"</f>
        <v>3058771</v>
      </c>
      <c r="B11439" t="s">
        <v>34192</v>
      </c>
      <c r="C11439" t="str">
        <f>"8309498"</f>
        <v>8309498</v>
      </c>
      <c r="D11439" t="s">
        <v>34193</v>
      </c>
      <c r="F11439" t="s">
        <v>34194</v>
      </c>
      <c r="I11439" t="s">
        <v>29</v>
      </c>
      <c r="J11439" t="s">
        <v>30</v>
      </c>
      <c r="K11439" t="s">
        <v>34195</v>
      </c>
      <c r="M11439" t="s">
        <v>17861</v>
      </c>
      <c r="N11439" t="str">
        <f>"3/26/2018 4:08:00 PM"</f>
        <v>3/26/2018 4:08:00 PM</v>
      </c>
      <c r="O11439" t="s">
        <v>34193</v>
      </c>
    </row>
    <row r="11440" spans="1:20" x14ac:dyDescent="0.25">
      <c r="A11440" t="str">
        <f>"3061515"</f>
        <v>3061515</v>
      </c>
      <c r="B11440" t="s">
        <v>34196</v>
      </c>
      <c r="C11440" t="str">
        <f>"8309499"</f>
        <v>8309499</v>
      </c>
      <c r="D11440" t="s">
        <v>34197</v>
      </c>
      <c r="E11440" t="s">
        <v>34198</v>
      </c>
      <c r="F11440" t="s">
        <v>34199</v>
      </c>
      <c r="I11440" t="s">
        <v>184</v>
      </c>
      <c r="J11440" t="s">
        <v>30</v>
      </c>
      <c r="K11440" t="s">
        <v>19749</v>
      </c>
      <c r="M11440" t="s">
        <v>17861</v>
      </c>
      <c r="N11440" t="str">
        <f>"3/26/2018 4:10:00 PM"</f>
        <v>3/26/2018 4:10:00 PM</v>
      </c>
      <c r="O11440" t="s">
        <v>34197</v>
      </c>
      <c r="T11440" t="s">
        <v>34198</v>
      </c>
    </row>
    <row r="11441" spans="1:20" x14ac:dyDescent="0.25">
      <c r="A11441" t="str">
        <f>"3041568"</f>
        <v>3041568</v>
      </c>
      <c r="B11441" t="s">
        <v>34200</v>
      </c>
      <c r="C11441" t="str">
        <f>"8309482"</f>
        <v>8309482</v>
      </c>
      <c r="D11441" t="s">
        <v>34201</v>
      </c>
      <c r="E11441" t="s">
        <v>34202</v>
      </c>
      <c r="F11441" t="s">
        <v>34203</v>
      </c>
      <c r="I11441" t="s">
        <v>2071</v>
      </c>
      <c r="J11441" t="s">
        <v>30</v>
      </c>
      <c r="K11441" t="str">
        <f>"27006"</f>
        <v>27006</v>
      </c>
      <c r="M11441" t="s">
        <v>17861</v>
      </c>
      <c r="N11441" t="str">
        <f>"3/21/2018 1:22:00 PM"</f>
        <v>3/21/2018 1:22:00 PM</v>
      </c>
      <c r="O11441" t="s">
        <v>34201</v>
      </c>
      <c r="T11441" t="s">
        <v>34202</v>
      </c>
    </row>
    <row r="11442" spans="1:20" x14ac:dyDescent="0.25">
      <c r="A11442" t="str">
        <f>"3058211"</f>
        <v>3058211</v>
      </c>
      <c r="B11442" t="s">
        <v>34204</v>
      </c>
      <c r="C11442" t="str">
        <f>"12194000"</f>
        <v>12194000</v>
      </c>
      <c r="D11442" t="s">
        <v>34205</v>
      </c>
      <c r="F11442" t="s">
        <v>34206</v>
      </c>
      <c r="I11442" t="s">
        <v>34207</v>
      </c>
      <c r="J11442" t="s">
        <v>30</v>
      </c>
      <c r="K11442" t="s">
        <v>34208</v>
      </c>
      <c r="M11442" t="s">
        <v>33845</v>
      </c>
      <c r="N11442" t="str">
        <f>"2/20/2018 10:26:00 AM"</f>
        <v>2/20/2018 10:26:00 AM</v>
      </c>
      <c r="O11442" t="s">
        <v>34205</v>
      </c>
    </row>
    <row r="11443" spans="1:20" x14ac:dyDescent="0.25">
      <c r="A11443" t="str">
        <f>"3060725"</f>
        <v>3060725</v>
      </c>
      <c r="B11443" t="s">
        <v>34209</v>
      </c>
      <c r="C11443" t="str">
        <f>"8302547"</f>
        <v>8302547</v>
      </c>
      <c r="D11443" t="s">
        <v>34210</v>
      </c>
      <c r="E11443" t="s">
        <v>34211</v>
      </c>
      <c r="F11443" t="s">
        <v>34212</v>
      </c>
      <c r="I11443" t="s">
        <v>2071</v>
      </c>
      <c r="J11443" t="s">
        <v>30</v>
      </c>
      <c r="K11443" t="str">
        <f>"27028"</f>
        <v>27028</v>
      </c>
      <c r="M11443" t="s">
        <v>25733</v>
      </c>
      <c r="N11443" t="str">
        <f>"2/20/2018 11:01:00 AM"</f>
        <v>2/20/2018 11:01:00 AM</v>
      </c>
      <c r="O11443" t="s">
        <v>34210</v>
      </c>
      <c r="T11443" t="s">
        <v>34211</v>
      </c>
    </row>
    <row r="11444" spans="1:20" x14ac:dyDescent="0.25">
      <c r="A11444" t="str">
        <f>"3044368"</f>
        <v>3044368</v>
      </c>
      <c r="B11444" t="s">
        <v>34213</v>
      </c>
      <c r="C11444" t="str">
        <f>"82516947"</f>
        <v>82516947</v>
      </c>
      <c r="D11444" t="s">
        <v>34214</v>
      </c>
      <c r="F11444" t="s">
        <v>34215</v>
      </c>
      <c r="I11444" t="s">
        <v>184</v>
      </c>
      <c r="J11444" t="s">
        <v>30</v>
      </c>
      <c r="K11444" t="s">
        <v>185</v>
      </c>
      <c r="M11444" t="s">
        <v>33845</v>
      </c>
      <c r="N11444" t="str">
        <f>"2/20/2018 1:58:00 PM"</f>
        <v>2/20/2018 1:58:00 PM</v>
      </c>
      <c r="O11444" t="s">
        <v>34214</v>
      </c>
    </row>
    <row r="11445" spans="1:20" x14ac:dyDescent="0.25">
      <c r="A11445" t="str">
        <f>"3061969"</f>
        <v>3061969</v>
      </c>
      <c r="B11445" t="s">
        <v>34216</v>
      </c>
      <c r="C11445" t="str">
        <f>"8309508"</f>
        <v>8309508</v>
      </c>
      <c r="D11445" t="s">
        <v>34217</v>
      </c>
      <c r="F11445" t="s">
        <v>34218</v>
      </c>
      <c r="I11445" t="s">
        <v>29</v>
      </c>
      <c r="J11445" t="s">
        <v>30</v>
      </c>
      <c r="K11445" t="s">
        <v>11121</v>
      </c>
      <c r="M11445" t="s">
        <v>17861</v>
      </c>
      <c r="N11445" t="str">
        <f>"3/27/2018 4:23:00 PM"</f>
        <v>3/27/2018 4:23:00 PM</v>
      </c>
      <c r="O11445" t="s">
        <v>34217</v>
      </c>
    </row>
    <row r="11446" spans="1:20" x14ac:dyDescent="0.25">
      <c r="A11446" t="str">
        <f>"3054351"</f>
        <v>3054351</v>
      </c>
      <c r="B11446" t="s">
        <v>34219</v>
      </c>
      <c r="C11446" t="str">
        <f>"8307151"</f>
        <v>8307151</v>
      </c>
      <c r="D11446" t="s">
        <v>34220</v>
      </c>
      <c r="E11446" t="s">
        <v>34221</v>
      </c>
      <c r="F11446" t="s">
        <v>34222</v>
      </c>
      <c r="I11446" t="s">
        <v>29</v>
      </c>
      <c r="J11446" t="s">
        <v>30</v>
      </c>
      <c r="K11446" t="str">
        <f>"27028"</f>
        <v>27028</v>
      </c>
      <c r="M11446" t="s">
        <v>33845</v>
      </c>
      <c r="N11446" t="str">
        <f>"2/20/2018 2:27:00 PM"</f>
        <v>2/20/2018 2:27:00 PM</v>
      </c>
      <c r="O11446" t="s">
        <v>34220</v>
      </c>
      <c r="T11446" t="s">
        <v>34221</v>
      </c>
    </row>
    <row r="11447" spans="1:20" x14ac:dyDescent="0.25">
      <c r="A11447" t="str">
        <f>"3043199"</f>
        <v>3043199</v>
      </c>
      <c r="B11447" t="s">
        <v>34223</v>
      </c>
      <c r="C11447" t="str">
        <f>"82522571"</f>
        <v>82522571</v>
      </c>
      <c r="D11447" t="s">
        <v>23717</v>
      </c>
      <c r="E11447" t="s">
        <v>34224</v>
      </c>
      <c r="F11447" t="s">
        <v>34225</v>
      </c>
      <c r="I11447" t="s">
        <v>2280</v>
      </c>
      <c r="J11447" t="s">
        <v>30</v>
      </c>
      <c r="K11447" t="s">
        <v>9127</v>
      </c>
      <c r="M11447" t="s">
        <v>33845</v>
      </c>
      <c r="N11447" t="str">
        <f>"3/28/2018 10:11:00 AM"</f>
        <v>3/28/2018 10:11:00 AM</v>
      </c>
      <c r="O11447" t="s">
        <v>23717</v>
      </c>
      <c r="T11447" t="s">
        <v>34224</v>
      </c>
    </row>
    <row r="11448" spans="1:20" x14ac:dyDescent="0.25">
      <c r="A11448" t="str">
        <f>"3054157"</f>
        <v>3054157</v>
      </c>
      <c r="B11448" t="s">
        <v>34226</v>
      </c>
      <c r="C11448" t="str">
        <f>"8307151"</f>
        <v>8307151</v>
      </c>
      <c r="D11448" t="s">
        <v>34220</v>
      </c>
      <c r="E11448" t="s">
        <v>34221</v>
      </c>
      <c r="F11448" t="s">
        <v>34222</v>
      </c>
      <c r="I11448" t="s">
        <v>29</v>
      </c>
      <c r="J11448" t="s">
        <v>30</v>
      </c>
      <c r="K11448" t="str">
        <f>"27028"</f>
        <v>27028</v>
      </c>
      <c r="M11448" t="s">
        <v>33845</v>
      </c>
      <c r="N11448" t="str">
        <f>"2/20/2018 2:27:00 PM"</f>
        <v>2/20/2018 2:27:00 PM</v>
      </c>
      <c r="O11448" t="s">
        <v>34220</v>
      </c>
      <c r="T11448" t="s">
        <v>34221</v>
      </c>
    </row>
    <row r="11449" spans="1:20" x14ac:dyDescent="0.25">
      <c r="A11449" t="str">
        <f>"3052477"</f>
        <v>3052477</v>
      </c>
      <c r="B11449" t="s">
        <v>34227</v>
      </c>
      <c r="C11449" t="str">
        <f>"55431000"</f>
        <v>55431000</v>
      </c>
      <c r="D11449" t="s">
        <v>34228</v>
      </c>
      <c r="E11449" t="s">
        <v>34229</v>
      </c>
      <c r="F11449" t="s">
        <v>34230</v>
      </c>
      <c r="I11449" t="s">
        <v>29</v>
      </c>
      <c r="J11449" t="s">
        <v>30</v>
      </c>
      <c r="K11449" t="s">
        <v>31</v>
      </c>
      <c r="M11449" t="s">
        <v>33845</v>
      </c>
      <c r="N11449" t="str">
        <f>"2/20/2018 2:49:00 PM"</f>
        <v>2/20/2018 2:49:00 PM</v>
      </c>
      <c r="O11449" t="s">
        <v>34228</v>
      </c>
      <c r="T11449" t="s">
        <v>34229</v>
      </c>
    </row>
    <row r="11450" spans="1:20" x14ac:dyDescent="0.25">
      <c r="A11450" t="str">
        <f>"3054992"</f>
        <v>3054992</v>
      </c>
      <c r="B11450" t="s">
        <v>34231</v>
      </c>
      <c r="C11450" t="str">
        <f>"82524510"</f>
        <v>82524510</v>
      </c>
      <c r="D11450" t="s">
        <v>34232</v>
      </c>
      <c r="E11450" t="s">
        <v>34233</v>
      </c>
      <c r="F11450" t="s">
        <v>34234</v>
      </c>
      <c r="I11450" t="s">
        <v>29</v>
      </c>
      <c r="J11450" t="s">
        <v>30</v>
      </c>
      <c r="K11450" t="str">
        <f>"27028"</f>
        <v>27028</v>
      </c>
      <c r="M11450" t="s">
        <v>33845</v>
      </c>
      <c r="N11450" t="str">
        <f>"4/4/2018 10:39:00 AM"</f>
        <v>4/4/2018 10:39:00 AM</v>
      </c>
      <c r="O11450" t="s">
        <v>34232</v>
      </c>
      <c r="T11450" t="s">
        <v>34233</v>
      </c>
    </row>
    <row r="11451" spans="1:20" x14ac:dyDescent="0.25">
      <c r="A11451" t="str">
        <f>"3062211"</f>
        <v>3062211</v>
      </c>
      <c r="B11451" t="s">
        <v>34235</v>
      </c>
      <c r="C11451" t="str">
        <f>"8309342"</f>
        <v>8309342</v>
      </c>
      <c r="D11451" t="s">
        <v>34236</v>
      </c>
      <c r="F11451" t="s">
        <v>34237</v>
      </c>
      <c r="I11451" t="s">
        <v>29</v>
      </c>
      <c r="J11451" t="s">
        <v>30</v>
      </c>
      <c r="K11451" t="s">
        <v>15656</v>
      </c>
      <c r="M11451" t="s">
        <v>17861</v>
      </c>
      <c r="N11451" t="str">
        <f>"2/20/2018 3:54:00 PM"</f>
        <v>2/20/2018 3:54:00 PM</v>
      </c>
      <c r="O11451" t="s">
        <v>34236</v>
      </c>
    </row>
    <row r="11452" spans="1:20" x14ac:dyDescent="0.25">
      <c r="A11452" t="str">
        <f>"3053442"</f>
        <v>3053442</v>
      </c>
      <c r="B11452" t="s">
        <v>34238</v>
      </c>
      <c r="C11452" t="str">
        <f>"8309518"</f>
        <v>8309518</v>
      </c>
      <c r="D11452" t="s">
        <v>34239</v>
      </c>
      <c r="E11452" t="s">
        <v>34240</v>
      </c>
      <c r="F11452" t="s">
        <v>34241</v>
      </c>
      <c r="I11452" t="s">
        <v>29</v>
      </c>
      <c r="J11452" t="s">
        <v>30</v>
      </c>
      <c r="K11452" t="s">
        <v>13624</v>
      </c>
      <c r="M11452" t="s">
        <v>17861</v>
      </c>
      <c r="N11452" t="str">
        <f>"4/5/2018 9:38:00 AM"</f>
        <v>4/5/2018 9:38:00 AM</v>
      </c>
      <c r="O11452" t="s">
        <v>34239</v>
      </c>
      <c r="T11452" t="s">
        <v>34240</v>
      </c>
    </row>
    <row r="11453" spans="1:20" x14ac:dyDescent="0.25">
      <c r="A11453" t="str">
        <f>"3068048"</f>
        <v>3068048</v>
      </c>
      <c r="B11453" t="s">
        <v>34242</v>
      </c>
      <c r="C11453" t="str">
        <f>"8309344"</f>
        <v>8309344</v>
      </c>
      <c r="D11453" t="s">
        <v>34243</v>
      </c>
      <c r="E11453" t="str">
        <f>"GENTLE JIMMY D/MELINDA M TRSTE"</f>
        <v>GENTLE JIMMY D/MELINDA M TRSTE</v>
      </c>
      <c r="F11453" t="s">
        <v>34244</v>
      </c>
      <c r="I11453" t="s">
        <v>29</v>
      </c>
      <c r="J11453" t="s">
        <v>30</v>
      </c>
      <c r="K11453" t="s">
        <v>44</v>
      </c>
      <c r="M11453" t="s">
        <v>17861</v>
      </c>
      <c r="N11453" t="str">
        <f>"2/20/2018 4:05:00 PM"</f>
        <v>2/20/2018 4:05:00 PM</v>
      </c>
      <c r="O11453" t="s">
        <v>34243</v>
      </c>
      <c r="T11453" t="str">
        <f>"GENTLE JIMMY D/MELINDA M TRSTE"</f>
        <v>GENTLE JIMMY D/MELINDA M TRSTE</v>
      </c>
    </row>
    <row r="11454" spans="1:20" x14ac:dyDescent="0.25">
      <c r="A11454" t="str">
        <f>"3040031"</f>
        <v>3040031</v>
      </c>
      <c r="B11454" t="s">
        <v>34245</v>
      </c>
      <c r="C11454" t="str">
        <f>"8309483"</f>
        <v>8309483</v>
      </c>
      <c r="D11454" t="s">
        <v>34246</v>
      </c>
      <c r="F11454" t="s">
        <v>34247</v>
      </c>
      <c r="I11454" t="s">
        <v>29</v>
      </c>
      <c r="J11454" t="s">
        <v>30</v>
      </c>
      <c r="K11454" t="str">
        <f>"27028"</f>
        <v>27028</v>
      </c>
      <c r="M11454" t="s">
        <v>17861</v>
      </c>
      <c r="N11454" t="str">
        <f>"3/21/2018 1:28:00 PM"</f>
        <v>3/21/2018 1:28:00 PM</v>
      </c>
      <c r="O11454" t="s">
        <v>34246</v>
      </c>
    </row>
    <row r="11455" spans="1:20" x14ac:dyDescent="0.25">
      <c r="A11455" t="str">
        <f>"3039353"</f>
        <v>3039353</v>
      </c>
      <c r="B11455" t="s">
        <v>34248</v>
      </c>
      <c r="C11455" t="str">
        <f>"8309344"</f>
        <v>8309344</v>
      </c>
      <c r="D11455" t="s">
        <v>34243</v>
      </c>
      <c r="E11455" t="str">
        <f>"GENTLE JIMMY D/MELINDA M TRSTE"</f>
        <v>GENTLE JIMMY D/MELINDA M TRSTE</v>
      </c>
      <c r="F11455" t="s">
        <v>34244</v>
      </c>
      <c r="I11455" t="s">
        <v>29</v>
      </c>
      <c r="J11455" t="s">
        <v>30</v>
      </c>
      <c r="K11455" t="s">
        <v>44</v>
      </c>
      <c r="M11455" t="s">
        <v>17861</v>
      </c>
      <c r="N11455" t="str">
        <f>"2/20/2018 4:05:00 PM"</f>
        <v>2/20/2018 4:05:00 PM</v>
      </c>
      <c r="O11455" t="s">
        <v>34243</v>
      </c>
      <c r="T11455" t="str">
        <f>"GENTLE JIMMY D/MELINDA M TRSTE"</f>
        <v>GENTLE JIMMY D/MELINDA M TRSTE</v>
      </c>
    </row>
    <row r="11456" spans="1:20" x14ac:dyDescent="0.25">
      <c r="A11456" t="str">
        <f>"3037637"</f>
        <v>3037637</v>
      </c>
      <c r="B11456" t="s">
        <v>34249</v>
      </c>
      <c r="C11456" t="str">
        <f>"8309344"</f>
        <v>8309344</v>
      </c>
      <c r="D11456" t="s">
        <v>34243</v>
      </c>
      <c r="E11456" t="str">
        <f>"GENTLE JIMMY D/MELINDA M TRSTE"</f>
        <v>GENTLE JIMMY D/MELINDA M TRSTE</v>
      </c>
      <c r="F11456" t="s">
        <v>34244</v>
      </c>
      <c r="I11456" t="s">
        <v>29</v>
      </c>
      <c r="J11456" t="s">
        <v>30</v>
      </c>
      <c r="K11456" t="s">
        <v>44</v>
      </c>
      <c r="M11456" t="s">
        <v>17861</v>
      </c>
      <c r="N11456" t="str">
        <f>"2/20/2018 4:05:00 PM"</f>
        <v>2/20/2018 4:05:00 PM</v>
      </c>
      <c r="O11456" t="s">
        <v>34243</v>
      </c>
      <c r="T11456" t="str">
        <f>"GENTLE JIMMY D/MELINDA M TRSTE"</f>
        <v>GENTLE JIMMY D/MELINDA M TRSTE</v>
      </c>
    </row>
    <row r="11457" spans="1:20" x14ac:dyDescent="0.25">
      <c r="A11457" t="str">
        <f>"3037582"</f>
        <v>3037582</v>
      </c>
      <c r="B11457" t="s">
        <v>34250</v>
      </c>
      <c r="C11457" t="str">
        <f>"8309344"</f>
        <v>8309344</v>
      </c>
      <c r="D11457" t="s">
        <v>34243</v>
      </c>
      <c r="E11457" t="str">
        <f>"GENTLE JIMMY D/MELINDA M TRSTE"</f>
        <v>GENTLE JIMMY D/MELINDA M TRSTE</v>
      </c>
      <c r="F11457" t="s">
        <v>34244</v>
      </c>
      <c r="I11457" t="s">
        <v>29</v>
      </c>
      <c r="J11457" t="s">
        <v>30</v>
      </c>
      <c r="K11457" t="s">
        <v>44</v>
      </c>
      <c r="M11457" t="s">
        <v>17861</v>
      </c>
      <c r="N11457" t="str">
        <f>"2/20/2018 4:05:00 PM"</f>
        <v>2/20/2018 4:05:00 PM</v>
      </c>
      <c r="O11457" t="s">
        <v>34243</v>
      </c>
      <c r="T11457" t="str">
        <f>"GENTLE JIMMY D/MELINDA M TRSTE"</f>
        <v>GENTLE JIMMY D/MELINDA M TRSTE</v>
      </c>
    </row>
    <row r="11458" spans="1:20" x14ac:dyDescent="0.25">
      <c r="A11458" t="str">
        <f>"3056252"</f>
        <v>3056252</v>
      </c>
      <c r="B11458" t="s">
        <v>34251</v>
      </c>
      <c r="C11458" t="str">
        <f>"8304676"</f>
        <v>8304676</v>
      </c>
      <c r="D11458" t="str">
        <f>"HARGROVE ERNEST C/NELLIE P99%"</f>
        <v>HARGROVE ERNEST C/NELLIE P99%</v>
      </c>
      <c r="E11458" t="str">
        <f>"HARGROVE ERNEST C JR/TONYA H1%"</f>
        <v>HARGROVE ERNEST C JR/TONYA H1%</v>
      </c>
      <c r="F11458" t="s">
        <v>34252</v>
      </c>
      <c r="I11458" t="s">
        <v>17921</v>
      </c>
      <c r="J11458" t="s">
        <v>30</v>
      </c>
      <c r="K11458" t="str">
        <f>"27028"</f>
        <v>27028</v>
      </c>
      <c r="M11458" t="s">
        <v>33845</v>
      </c>
      <c r="N11458" t="str">
        <f>"2/21/2018 10:46:00 AM"</f>
        <v>2/21/2018 10:46:00 AM</v>
      </c>
      <c r="O11458" t="str">
        <f>"HARGROVE ERNEST C/NELLIE P99%"</f>
        <v>HARGROVE ERNEST C/NELLIE P99%</v>
      </c>
      <c r="T11458" t="str">
        <f>"HARGROVE ERNEST C JR/TONYA H1%"</f>
        <v>HARGROVE ERNEST C JR/TONYA H1%</v>
      </c>
    </row>
    <row r="11459" spans="1:20" x14ac:dyDescent="0.25">
      <c r="A11459" t="str">
        <f>"3049076"</f>
        <v>3049076</v>
      </c>
      <c r="B11459" t="s">
        <v>34253</v>
      </c>
      <c r="C11459" t="str">
        <f>"8309527"</f>
        <v>8309527</v>
      </c>
      <c r="D11459" t="s">
        <v>34254</v>
      </c>
      <c r="E11459" t="s">
        <v>34255</v>
      </c>
      <c r="F11459" t="s">
        <v>34256</v>
      </c>
      <c r="I11459" t="s">
        <v>29</v>
      </c>
      <c r="J11459" t="s">
        <v>30</v>
      </c>
      <c r="K11459" t="s">
        <v>34257</v>
      </c>
      <c r="M11459" t="s">
        <v>17861</v>
      </c>
      <c r="N11459" t="str">
        <f>"4/5/2018 10:15:00 AM"</f>
        <v>4/5/2018 10:15:00 AM</v>
      </c>
      <c r="O11459" t="s">
        <v>34254</v>
      </c>
      <c r="T11459" t="s">
        <v>34255</v>
      </c>
    </row>
    <row r="11460" spans="1:20" x14ac:dyDescent="0.25">
      <c r="A11460" t="str">
        <f>"3056539"</f>
        <v>3056539</v>
      </c>
      <c r="B11460" t="s">
        <v>34258</v>
      </c>
      <c r="C11460" t="str">
        <f>"8304676"</f>
        <v>8304676</v>
      </c>
      <c r="D11460" t="str">
        <f>"HARGROVE ERNEST C/NELLIE P99%"</f>
        <v>HARGROVE ERNEST C/NELLIE P99%</v>
      </c>
      <c r="E11460" t="str">
        <f>"HARGROVE ERNEST C JR/TONYA H1%"</f>
        <v>HARGROVE ERNEST C JR/TONYA H1%</v>
      </c>
      <c r="F11460" t="s">
        <v>34252</v>
      </c>
      <c r="I11460" t="s">
        <v>17921</v>
      </c>
      <c r="J11460" t="s">
        <v>30</v>
      </c>
      <c r="K11460" t="str">
        <f>"27028"</f>
        <v>27028</v>
      </c>
      <c r="M11460" t="s">
        <v>33845</v>
      </c>
      <c r="N11460" t="str">
        <f>"2/21/2018 10:46:00 AM"</f>
        <v>2/21/2018 10:46:00 AM</v>
      </c>
      <c r="O11460" t="str">
        <f>"HARGROVE ERNEST C/NELLIE P99%"</f>
        <v>HARGROVE ERNEST C/NELLIE P99%</v>
      </c>
      <c r="T11460" t="str">
        <f>"HARGROVE ERNEST C JR/TONYA H1%"</f>
        <v>HARGROVE ERNEST C JR/TONYA H1%</v>
      </c>
    </row>
    <row r="11461" spans="1:20" x14ac:dyDescent="0.25">
      <c r="A11461" t="str">
        <f>"3058938"</f>
        <v>3058938</v>
      </c>
      <c r="B11461" t="s">
        <v>34259</v>
      </c>
      <c r="C11461" t="str">
        <f>"8309347"</f>
        <v>8309347</v>
      </c>
      <c r="D11461" t="s">
        <v>34260</v>
      </c>
      <c r="F11461" t="s">
        <v>34261</v>
      </c>
      <c r="I11461" t="s">
        <v>29</v>
      </c>
      <c r="J11461" t="s">
        <v>30</v>
      </c>
      <c r="K11461" t="s">
        <v>34262</v>
      </c>
      <c r="M11461" t="s">
        <v>17861</v>
      </c>
      <c r="N11461" t="str">
        <f>"2/22/2018 8:38:00 AM"</f>
        <v>2/22/2018 8:38:00 AM</v>
      </c>
      <c r="O11461" t="s">
        <v>34260</v>
      </c>
    </row>
    <row r="11462" spans="1:20" x14ac:dyDescent="0.25">
      <c r="A11462" t="str">
        <f>"3058517"</f>
        <v>3058517</v>
      </c>
      <c r="B11462" t="s">
        <v>34263</v>
      </c>
      <c r="C11462" t="str">
        <f>"8309484"</f>
        <v>8309484</v>
      </c>
      <c r="D11462" t="s">
        <v>34264</v>
      </c>
      <c r="E11462" t="s">
        <v>34265</v>
      </c>
      <c r="F11462" t="s">
        <v>34266</v>
      </c>
      <c r="I11462" t="s">
        <v>29</v>
      </c>
      <c r="J11462" t="s">
        <v>30</v>
      </c>
      <c r="K11462" t="str">
        <f>"27028"</f>
        <v>27028</v>
      </c>
      <c r="M11462" t="s">
        <v>17861</v>
      </c>
      <c r="N11462" t="str">
        <f>"3/21/2018 1:32:00 PM"</f>
        <v>3/21/2018 1:32:00 PM</v>
      </c>
      <c r="O11462" t="s">
        <v>34264</v>
      </c>
      <c r="T11462" t="s">
        <v>34265</v>
      </c>
    </row>
    <row r="11463" spans="1:20" x14ac:dyDescent="0.25">
      <c r="A11463" t="str">
        <f>"3061995"</f>
        <v>3061995</v>
      </c>
      <c r="B11463" t="s">
        <v>34267</v>
      </c>
      <c r="C11463" t="str">
        <f>"8309487"</f>
        <v>8309487</v>
      </c>
      <c r="D11463" t="s">
        <v>34268</v>
      </c>
      <c r="E11463" t="s">
        <v>34269</v>
      </c>
      <c r="F11463" t="s">
        <v>34270</v>
      </c>
      <c r="I11463" t="s">
        <v>184</v>
      </c>
      <c r="J11463" t="s">
        <v>30</v>
      </c>
      <c r="K11463" t="s">
        <v>34271</v>
      </c>
      <c r="M11463" t="s">
        <v>17861</v>
      </c>
      <c r="N11463" t="str">
        <f>"3/21/2018 1:55:00 PM"</f>
        <v>3/21/2018 1:55:00 PM</v>
      </c>
      <c r="O11463" t="s">
        <v>34268</v>
      </c>
      <c r="T11463" t="s">
        <v>34269</v>
      </c>
    </row>
    <row r="11464" spans="1:20" x14ac:dyDescent="0.25">
      <c r="A11464" t="str">
        <f>"3060961"</f>
        <v>3060961</v>
      </c>
      <c r="B11464" t="s">
        <v>34272</v>
      </c>
      <c r="C11464" t="str">
        <f>"8309489"</f>
        <v>8309489</v>
      </c>
      <c r="D11464" t="s">
        <v>34273</v>
      </c>
      <c r="E11464" t="s">
        <v>34274</v>
      </c>
      <c r="F11464" t="s">
        <v>34275</v>
      </c>
      <c r="I11464" t="s">
        <v>2071</v>
      </c>
      <c r="J11464" t="s">
        <v>30</v>
      </c>
      <c r="K11464" t="str">
        <f>"27006"</f>
        <v>27006</v>
      </c>
      <c r="M11464" t="s">
        <v>17861</v>
      </c>
      <c r="N11464" t="str">
        <f>"3/22/2018 9:06:00 AM"</f>
        <v>3/22/2018 9:06:00 AM</v>
      </c>
      <c r="O11464" t="s">
        <v>34273</v>
      </c>
      <c r="T11464" t="s">
        <v>34274</v>
      </c>
    </row>
    <row r="11465" spans="1:20" x14ac:dyDescent="0.25">
      <c r="A11465" t="str">
        <f>"3041130"</f>
        <v>3041130</v>
      </c>
      <c r="B11465" t="s">
        <v>34276</v>
      </c>
      <c r="C11465" t="str">
        <f>"8302726"</f>
        <v>8302726</v>
      </c>
      <c r="D11465" t="s">
        <v>34277</v>
      </c>
      <c r="F11465" t="s">
        <v>34278</v>
      </c>
      <c r="I11465" t="s">
        <v>34279</v>
      </c>
      <c r="J11465" t="s">
        <v>1046</v>
      </c>
      <c r="K11465" t="str">
        <f>"30677"</f>
        <v>30677</v>
      </c>
      <c r="M11465" t="s">
        <v>33845</v>
      </c>
      <c r="N11465" t="str">
        <f>"3/20/2018 8:56:00 AM"</f>
        <v>3/20/2018 8:56:00 AM</v>
      </c>
      <c r="O11465" t="s">
        <v>34277</v>
      </c>
    </row>
    <row r="11466" spans="1:20" x14ac:dyDescent="0.25">
      <c r="A11466" t="str">
        <f>"3041398"</f>
        <v>3041398</v>
      </c>
      <c r="B11466" t="s">
        <v>34280</v>
      </c>
      <c r="C11466" t="str">
        <f>"8309467"</f>
        <v>8309467</v>
      </c>
      <c r="D11466" t="s">
        <v>34281</v>
      </c>
      <c r="E11466" t="s">
        <v>34282</v>
      </c>
      <c r="F11466" t="s">
        <v>34283</v>
      </c>
      <c r="I11466" t="s">
        <v>2071</v>
      </c>
      <c r="J11466" t="s">
        <v>30</v>
      </c>
      <c r="K11466" t="str">
        <f>"27006"</f>
        <v>27006</v>
      </c>
      <c r="M11466" t="s">
        <v>17861</v>
      </c>
      <c r="N11466" t="str">
        <f>"3/21/2018 9:22:00 AM"</f>
        <v>3/21/2018 9:22:00 AM</v>
      </c>
      <c r="O11466" t="s">
        <v>34281</v>
      </c>
      <c r="T11466" t="s">
        <v>34282</v>
      </c>
    </row>
    <row r="11467" spans="1:20" x14ac:dyDescent="0.25">
      <c r="A11467" t="str">
        <f>"3055418"</f>
        <v>3055418</v>
      </c>
      <c r="B11467" t="s">
        <v>34284</v>
      </c>
      <c r="C11467" t="str">
        <f>"8309468"</f>
        <v>8309468</v>
      </c>
      <c r="D11467" t="s">
        <v>34285</v>
      </c>
      <c r="F11467" t="s">
        <v>34286</v>
      </c>
      <c r="I11467" t="s">
        <v>29</v>
      </c>
      <c r="J11467" t="s">
        <v>30</v>
      </c>
      <c r="K11467" t="s">
        <v>12113</v>
      </c>
      <c r="M11467" t="s">
        <v>17861</v>
      </c>
      <c r="N11467" t="str">
        <f>"3/21/2018 9:25:00 AM"</f>
        <v>3/21/2018 9:25:00 AM</v>
      </c>
      <c r="O11467" t="s">
        <v>34285</v>
      </c>
    </row>
    <row r="11468" spans="1:20" x14ac:dyDescent="0.25">
      <c r="A11468" t="str">
        <f>"3043646"</f>
        <v>3043646</v>
      </c>
      <c r="B11468" t="s">
        <v>34287</v>
      </c>
      <c r="C11468" t="str">
        <f>"8307299"</f>
        <v>8307299</v>
      </c>
      <c r="D11468" t="s">
        <v>34288</v>
      </c>
      <c r="E11468" t="s">
        <v>34289</v>
      </c>
      <c r="F11468" t="s">
        <v>34290</v>
      </c>
      <c r="I11468" t="s">
        <v>29</v>
      </c>
      <c r="J11468" t="s">
        <v>30</v>
      </c>
      <c r="K11468" t="str">
        <f>"27028"</f>
        <v>27028</v>
      </c>
      <c r="M11468" t="s">
        <v>18479</v>
      </c>
      <c r="N11468" t="str">
        <f>"3/26/2018 3:44:00 PM"</f>
        <v>3/26/2018 3:44:00 PM</v>
      </c>
      <c r="O11468" t="s">
        <v>34288</v>
      </c>
      <c r="T11468" t="s">
        <v>34289</v>
      </c>
    </row>
    <row r="11469" spans="1:20" x14ac:dyDescent="0.25">
      <c r="A11469" t="str">
        <f>"3060220"</f>
        <v>3060220</v>
      </c>
      <c r="B11469" t="s">
        <v>34291</v>
      </c>
      <c r="C11469" t="str">
        <f>"8309502"</f>
        <v>8309502</v>
      </c>
      <c r="D11469" t="s">
        <v>34292</v>
      </c>
      <c r="E11469" t="s">
        <v>34293</v>
      </c>
      <c r="F11469" t="s">
        <v>34294</v>
      </c>
      <c r="I11469" t="s">
        <v>184</v>
      </c>
      <c r="J11469" t="s">
        <v>30</v>
      </c>
      <c r="K11469" t="s">
        <v>33177</v>
      </c>
      <c r="M11469" t="s">
        <v>17861</v>
      </c>
      <c r="N11469" t="str">
        <f>"3/27/2018 9:53:00 AM"</f>
        <v>3/27/2018 9:53:00 AM</v>
      </c>
      <c r="O11469" t="s">
        <v>34292</v>
      </c>
      <c r="T11469" t="s">
        <v>34293</v>
      </c>
    </row>
    <row r="11470" spans="1:20" x14ac:dyDescent="0.25">
      <c r="A11470" t="str">
        <f>"3043273"</f>
        <v>3043273</v>
      </c>
      <c r="B11470" t="s">
        <v>34295</v>
      </c>
      <c r="C11470" t="str">
        <f>"8309568"</f>
        <v>8309568</v>
      </c>
      <c r="D11470" t="s">
        <v>34296</v>
      </c>
      <c r="F11470" t="s">
        <v>34297</v>
      </c>
      <c r="I11470" t="s">
        <v>29</v>
      </c>
      <c r="J11470" t="s">
        <v>30</v>
      </c>
      <c r="K11470" t="s">
        <v>34298</v>
      </c>
      <c r="M11470" t="s">
        <v>17861</v>
      </c>
      <c r="N11470" t="str">
        <f>"4/10/2018 3:41:00 PM"</f>
        <v>4/10/2018 3:41:00 PM</v>
      </c>
      <c r="O11470" t="s">
        <v>34296</v>
      </c>
    </row>
    <row r="11471" spans="1:20" x14ac:dyDescent="0.25">
      <c r="A11471" t="str">
        <f>"3055539"</f>
        <v>3055539</v>
      </c>
      <c r="B11471" t="s">
        <v>34299</v>
      </c>
      <c r="C11471" t="str">
        <f>"8309571"</f>
        <v>8309571</v>
      </c>
      <c r="D11471" t="s">
        <v>34300</v>
      </c>
      <c r="E11471" t="s">
        <v>34301</v>
      </c>
      <c r="F11471" t="s">
        <v>34302</v>
      </c>
      <c r="I11471" t="s">
        <v>29</v>
      </c>
      <c r="J11471" t="s">
        <v>30</v>
      </c>
      <c r="K11471" t="s">
        <v>34303</v>
      </c>
      <c r="M11471" t="s">
        <v>17861</v>
      </c>
      <c r="N11471" t="str">
        <f>"4/10/2018 3:57:00 PM"</f>
        <v>4/10/2018 3:57:00 PM</v>
      </c>
      <c r="O11471" t="s">
        <v>34300</v>
      </c>
      <c r="T11471" t="s">
        <v>34301</v>
      </c>
    </row>
    <row r="11472" spans="1:20" x14ac:dyDescent="0.25">
      <c r="A11472" t="str">
        <f>"3058813"</f>
        <v>3058813</v>
      </c>
      <c r="B11472" t="s">
        <v>34304</v>
      </c>
      <c r="C11472" t="str">
        <f>"8309504"</f>
        <v>8309504</v>
      </c>
      <c r="D11472" t="s">
        <v>34305</v>
      </c>
      <c r="E11472" t="s">
        <v>34306</v>
      </c>
      <c r="F11472" t="s">
        <v>34307</v>
      </c>
      <c r="I11472" t="s">
        <v>29</v>
      </c>
      <c r="J11472" t="s">
        <v>30</v>
      </c>
      <c r="K11472" t="s">
        <v>33654</v>
      </c>
      <c r="M11472" t="s">
        <v>17861</v>
      </c>
      <c r="N11472" t="str">
        <f>"3/27/2018 2:03:00 PM"</f>
        <v>3/27/2018 2:03:00 PM</v>
      </c>
      <c r="O11472" t="s">
        <v>34305</v>
      </c>
      <c r="T11472" t="s">
        <v>34306</v>
      </c>
    </row>
    <row r="11473" spans="1:20" x14ac:dyDescent="0.25">
      <c r="A11473" t="str">
        <f>"3054635"</f>
        <v>3054635</v>
      </c>
      <c r="B11473" t="s">
        <v>34308</v>
      </c>
      <c r="C11473" t="str">
        <f>"8309505"</f>
        <v>8309505</v>
      </c>
      <c r="D11473" t="s">
        <v>34309</v>
      </c>
      <c r="E11473" t="s">
        <v>34310</v>
      </c>
      <c r="F11473" t="s">
        <v>34311</v>
      </c>
      <c r="I11473" t="s">
        <v>29</v>
      </c>
      <c r="J11473" t="s">
        <v>30</v>
      </c>
      <c r="K11473" t="s">
        <v>24380</v>
      </c>
      <c r="M11473" t="s">
        <v>17861</v>
      </c>
      <c r="N11473" t="str">
        <f>"3/27/2018 2:07:00 PM"</f>
        <v>3/27/2018 2:07:00 PM</v>
      </c>
      <c r="O11473" t="s">
        <v>34309</v>
      </c>
      <c r="T11473" t="s">
        <v>34310</v>
      </c>
    </row>
    <row r="11474" spans="1:20" x14ac:dyDescent="0.25">
      <c r="A11474" t="str">
        <f>"3060387"</f>
        <v>3060387</v>
      </c>
      <c r="B11474" t="s">
        <v>34312</v>
      </c>
      <c r="C11474" t="str">
        <f>"82531161"</f>
        <v>82531161</v>
      </c>
      <c r="D11474" t="s">
        <v>23897</v>
      </c>
      <c r="E11474" t="s">
        <v>34313</v>
      </c>
      <c r="F11474" t="s">
        <v>23899</v>
      </c>
      <c r="I11474" t="s">
        <v>29</v>
      </c>
      <c r="J11474" t="s">
        <v>30</v>
      </c>
      <c r="K11474" t="s">
        <v>31</v>
      </c>
      <c r="M11474" t="s">
        <v>25733</v>
      </c>
      <c r="N11474" t="str">
        <f>"3/27/2018 2:55:00 PM"</f>
        <v>3/27/2018 2:55:00 PM</v>
      </c>
      <c r="O11474" t="s">
        <v>23897</v>
      </c>
      <c r="T11474" t="s">
        <v>34313</v>
      </c>
    </row>
    <row r="11475" spans="1:20" x14ac:dyDescent="0.25">
      <c r="A11475" t="str">
        <f>"3043198"</f>
        <v>3043198</v>
      </c>
      <c r="B11475" t="s">
        <v>34314</v>
      </c>
      <c r="C11475" t="str">
        <f>"82522571"</f>
        <v>82522571</v>
      </c>
      <c r="D11475" t="s">
        <v>23717</v>
      </c>
      <c r="E11475" t="s">
        <v>34224</v>
      </c>
      <c r="F11475" t="s">
        <v>34225</v>
      </c>
      <c r="I11475" t="s">
        <v>2280</v>
      </c>
      <c r="J11475" t="s">
        <v>30</v>
      </c>
      <c r="K11475" t="s">
        <v>9127</v>
      </c>
      <c r="M11475" t="s">
        <v>33845</v>
      </c>
      <c r="N11475" t="str">
        <f>"3/28/2018 10:11:00 AM"</f>
        <v>3/28/2018 10:11:00 AM</v>
      </c>
      <c r="O11475" t="s">
        <v>23717</v>
      </c>
      <c r="T11475" t="s">
        <v>34224</v>
      </c>
    </row>
    <row r="11476" spans="1:20" x14ac:dyDescent="0.25">
      <c r="A11476" t="str">
        <f>"3044057"</f>
        <v>3044057</v>
      </c>
      <c r="B11476" t="s">
        <v>34315</v>
      </c>
      <c r="C11476" t="str">
        <f>"8302053"</f>
        <v>8302053</v>
      </c>
      <c r="D11476" t="s">
        <v>34316</v>
      </c>
      <c r="E11476" t="s">
        <v>34317</v>
      </c>
      <c r="F11476" t="s">
        <v>8682</v>
      </c>
      <c r="I11476" t="s">
        <v>184</v>
      </c>
      <c r="J11476" t="s">
        <v>30</v>
      </c>
      <c r="K11476" t="str">
        <f>"27006"</f>
        <v>27006</v>
      </c>
      <c r="M11476" t="s">
        <v>33845</v>
      </c>
      <c r="N11476" t="str">
        <f>"4/2/2018 3:49:00 PM"</f>
        <v>4/2/2018 3:49:00 PM</v>
      </c>
      <c r="O11476" t="s">
        <v>34316</v>
      </c>
      <c r="T11476" t="s">
        <v>34317</v>
      </c>
    </row>
    <row r="11477" spans="1:20" x14ac:dyDescent="0.25">
      <c r="A11477" t="str">
        <f>"3054906"</f>
        <v>3054906</v>
      </c>
      <c r="B11477" t="s">
        <v>34318</v>
      </c>
      <c r="C11477" t="str">
        <f>"82524510"</f>
        <v>82524510</v>
      </c>
      <c r="D11477" t="s">
        <v>34232</v>
      </c>
      <c r="E11477" t="s">
        <v>34233</v>
      </c>
      <c r="F11477" t="s">
        <v>34234</v>
      </c>
      <c r="I11477" t="s">
        <v>29</v>
      </c>
      <c r="J11477" t="s">
        <v>30</v>
      </c>
      <c r="K11477" t="str">
        <f>"27028"</f>
        <v>27028</v>
      </c>
      <c r="M11477" t="s">
        <v>33845</v>
      </c>
      <c r="N11477" t="str">
        <f>"4/4/2018 10:39:00 AM"</f>
        <v>4/4/2018 10:39:00 AM</v>
      </c>
      <c r="O11477" t="s">
        <v>34232</v>
      </c>
      <c r="T11477" t="s">
        <v>34233</v>
      </c>
    </row>
    <row r="11478" spans="1:20" x14ac:dyDescent="0.25">
      <c r="A11478" t="str">
        <f>"3041770"</f>
        <v>3041770</v>
      </c>
      <c r="B11478" t="s">
        <v>34319</v>
      </c>
      <c r="C11478" t="str">
        <f>"8309516"</f>
        <v>8309516</v>
      </c>
      <c r="D11478" t="s">
        <v>34320</v>
      </c>
      <c r="E11478" t="s">
        <v>34321</v>
      </c>
      <c r="F11478" t="s">
        <v>34322</v>
      </c>
      <c r="I11478" t="s">
        <v>2071</v>
      </c>
      <c r="J11478" t="s">
        <v>30</v>
      </c>
      <c r="K11478" t="str">
        <f>"27006"</f>
        <v>27006</v>
      </c>
      <c r="M11478" t="s">
        <v>17861</v>
      </c>
      <c r="N11478" t="str">
        <f>"4/5/2018 9:25:00 AM"</f>
        <v>4/5/2018 9:25:00 AM</v>
      </c>
      <c r="O11478" t="s">
        <v>34320</v>
      </c>
      <c r="T11478" t="s">
        <v>34321</v>
      </c>
    </row>
    <row r="11479" spans="1:20" x14ac:dyDescent="0.25">
      <c r="A11479" t="str">
        <f>"3076725"</f>
        <v>3076725</v>
      </c>
      <c r="B11479" t="s">
        <v>34323</v>
      </c>
      <c r="C11479" t="str">
        <f>"8309521"</f>
        <v>8309521</v>
      </c>
      <c r="D11479" t="s">
        <v>34324</v>
      </c>
      <c r="F11479" t="s">
        <v>34325</v>
      </c>
      <c r="I11479" t="s">
        <v>184</v>
      </c>
      <c r="J11479" t="s">
        <v>30</v>
      </c>
      <c r="K11479" t="s">
        <v>34326</v>
      </c>
      <c r="M11479" t="s">
        <v>17861</v>
      </c>
      <c r="N11479" t="str">
        <f>"4/5/2018 9:51:00 AM"</f>
        <v>4/5/2018 9:51:00 AM</v>
      </c>
      <c r="O11479" t="s">
        <v>34324</v>
      </c>
    </row>
    <row r="11480" spans="1:20" x14ac:dyDescent="0.25">
      <c r="A11480" t="str">
        <f>"3061599"</f>
        <v>3061599</v>
      </c>
      <c r="B11480" t="s">
        <v>34327</v>
      </c>
      <c r="C11480" t="str">
        <f>"8309522"</f>
        <v>8309522</v>
      </c>
      <c r="D11480" t="s">
        <v>34328</v>
      </c>
      <c r="E11480" t="s">
        <v>34329</v>
      </c>
      <c r="F11480" t="s">
        <v>34330</v>
      </c>
      <c r="I11480" t="s">
        <v>29</v>
      </c>
      <c r="J11480" t="s">
        <v>30</v>
      </c>
      <c r="K11480" t="s">
        <v>13727</v>
      </c>
      <c r="M11480" t="s">
        <v>17861</v>
      </c>
      <c r="N11480" t="str">
        <f>"4/5/2018 9:54:00 AM"</f>
        <v>4/5/2018 9:54:00 AM</v>
      </c>
      <c r="O11480" t="s">
        <v>34328</v>
      </c>
      <c r="T11480" t="s">
        <v>34329</v>
      </c>
    </row>
    <row r="11481" spans="1:20" x14ac:dyDescent="0.25">
      <c r="A11481" t="str">
        <f>"3037251"</f>
        <v>3037251</v>
      </c>
      <c r="B11481" t="s">
        <v>34331</v>
      </c>
      <c r="C11481" t="str">
        <f>"8309523"</f>
        <v>8309523</v>
      </c>
      <c r="D11481" t="s">
        <v>34332</v>
      </c>
      <c r="F11481" t="s">
        <v>34333</v>
      </c>
      <c r="I11481" t="s">
        <v>184</v>
      </c>
      <c r="J11481" t="s">
        <v>30</v>
      </c>
      <c r="K11481" t="s">
        <v>34334</v>
      </c>
      <c r="M11481" t="s">
        <v>17861</v>
      </c>
      <c r="N11481" t="str">
        <f>"4/5/2018 9:58:00 AM"</f>
        <v>4/5/2018 9:58:00 AM</v>
      </c>
      <c r="O11481" t="s">
        <v>34332</v>
      </c>
    </row>
    <row r="11482" spans="1:20" x14ac:dyDescent="0.25">
      <c r="A11482" t="str">
        <f>"3037313"</f>
        <v>3037313</v>
      </c>
      <c r="B11482" t="s">
        <v>34335</v>
      </c>
      <c r="C11482" t="str">
        <f>"8309524"</f>
        <v>8309524</v>
      </c>
      <c r="D11482" t="s">
        <v>34336</v>
      </c>
      <c r="F11482" t="s">
        <v>34337</v>
      </c>
      <c r="I11482" t="s">
        <v>184</v>
      </c>
      <c r="J11482" t="s">
        <v>30</v>
      </c>
      <c r="K11482" t="s">
        <v>34338</v>
      </c>
      <c r="M11482" t="s">
        <v>17861</v>
      </c>
      <c r="N11482" t="str">
        <f>"4/5/2018 10:00:00 AM"</f>
        <v>4/5/2018 10:00:00 AM</v>
      </c>
      <c r="O11482" t="s">
        <v>34336</v>
      </c>
    </row>
    <row r="11483" spans="1:20" x14ac:dyDescent="0.25">
      <c r="A11483" t="str">
        <f>"3048210"</f>
        <v>3048210</v>
      </c>
      <c r="B11483" t="s">
        <v>34339</v>
      </c>
      <c r="C11483" t="str">
        <f>"8309525"</f>
        <v>8309525</v>
      </c>
      <c r="D11483" t="s">
        <v>34340</v>
      </c>
      <c r="E11483" t="s">
        <v>34341</v>
      </c>
      <c r="F11483" t="s">
        <v>34342</v>
      </c>
      <c r="I11483" t="s">
        <v>29</v>
      </c>
      <c r="J11483" t="s">
        <v>30</v>
      </c>
      <c r="K11483" t="s">
        <v>13156</v>
      </c>
      <c r="M11483" t="s">
        <v>17861</v>
      </c>
      <c r="N11483" t="str">
        <f>"4/5/2018 10:03:00 AM"</f>
        <v>4/5/2018 10:03:00 AM</v>
      </c>
      <c r="O11483" t="s">
        <v>34340</v>
      </c>
      <c r="T11483" t="s">
        <v>34341</v>
      </c>
    </row>
    <row r="11484" spans="1:20" x14ac:dyDescent="0.25">
      <c r="A11484" t="str">
        <f>"3047011"</f>
        <v>3047011</v>
      </c>
      <c r="B11484" t="s">
        <v>34343</v>
      </c>
      <c r="C11484" t="str">
        <f>"8309526"</f>
        <v>8309526</v>
      </c>
      <c r="D11484" t="s">
        <v>34344</v>
      </c>
      <c r="E11484" t="s">
        <v>34345</v>
      </c>
      <c r="F11484" t="s">
        <v>34346</v>
      </c>
      <c r="I11484" t="s">
        <v>184</v>
      </c>
      <c r="J11484" t="s">
        <v>30</v>
      </c>
      <c r="K11484" t="s">
        <v>31848</v>
      </c>
      <c r="M11484" t="s">
        <v>17861</v>
      </c>
      <c r="N11484" t="str">
        <f>"4/5/2018 10:09:00 AM"</f>
        <v>4/5/2018 10:09:00 AM</v>
      </c>
      <c r="O11484" t="s">
        <v>34344</v>
      </c>
      <c r="T11484" t="s">
        <v>34345</v>
      </c>
    </row>
    <row r="11485" spans="1:20" x14ac:dyDescent="0.25">
      <c r="A11485" t="str">
        <f>"3041660"</f>
        <v>3041660</v>
      </c>
      <c r="B11485" t="s">
        <v>34347</v>
      </c>
      <c r="C11485" t="str">
        <f>"8309495"</f>
        <v>8309495</v>
      </c>
      <c r="D11485" t="s">
        <v>34348</v>
      </c>
      <c r="E11485" t="s">
        <v>34349</v>
      </c>
      <c r="F11485" t="s">
        <v>34350</v>
      </c>
      <c r="I11485" t="s">
        <v>2071</v>
      </c>
      <c r="J11485" t="s">
        <v>30</v>
      </c>
      <c r="K11485" t="s">
        <v>34351</v>
      </c>
      <c r="M11485" t="s">
        <v>17861</v>
      </c>
      <c r="N11485" t="str">
        <f>"3/26/2018 1:01:00 PM"</f>
        <v>3/26/2018 1:01:00 PM</v>
      </c>
      <c r="O11485" t="s">
        <v>34348</v>
      </c>
      <c r="T11485" t="s">
        <v>34349</v>
      </c>
    </row>
    <row r="11486" spans="1:20" x14ac:dyDescent="0.25">
      <c r="A11486" t="str">
        <f>"3061427"</f>
        <v>3061427</v>
      </c>
      <c r="B11486" t="s">
        <v>34352</v>
      </c>
      <c r="C11486" t="str">
        <f>"8309601"</f>
        <v>8309601</v>
      </c>
      <c r="D11486" t="s">
        <v>34353</v>
      </c>
      <c r="E11486" t="s">
        <v>34354</v>
      </c>
      <c r="F11486" t="s">
        <v>34355</v>
      </c>
      <c r="I11486" t="s">
        <v>184</v>
      </c>
      <c r="J11486" t="s">
        <v>30</v>
      </c>
      <c r="K11486" t="s">
        <v>5432</v>
      </c>
      <c r="M11486" t="s">
        <v>17861</v>
      </c>
      <c r="N11486" t="str">
        <f>"4/17/2018 3:33:00 PM"</f>
        <v>4/17/2018 3:33:00 PM</v>
      </c>
      <c r="O11486" t="s">
        <v>34353</v>
      </c>
      <c r="T11486" t="s">
        <v>34354</v>
      </c>
    </row>
    <row r="11487" spans="1:20" x14ac:dyDescent="0.25">
      <c r="A11487" t="str">
        <f>"3044448"</f>
        <v>3044448</v>
      </c>
      <c r="B11487" t="s">
        <v>34356</v>
      </c>
      <c r="C11487" t="str">
        <f>"8309603"</f>
        <v>8309603</v>
      </c>
      <c r="D11487" t="s">
        <v>34357</v>
      </c>
      <c r="E11487" t="s">
        <v>34358</v>
      </c>
      <c r="F11487" t="s">
        <v>34359</v>
      </c>
      <c r="I11487" t="s">
        <v>184</v>
      </c>
      <c r="J11487" t="s">
        <v>30</v>
      </c>
      <c r="K11487" t="s">
        <v>30957</v>
      </c>
      <c r="M11487" t="s">
        <v>17861</v>
      </c>
      <c r="N11487" t="str">
        <f>"4/17/2018 3:39:00 PM"</f>
        <v>4/17/2018 3:39:00 PM</v>
      </c>
      <c r="O11487" t="s">
        <v>34357</v>
      </c>
      <c r="T11487" t="s">
        <v>34358</v>
      </c>
    </row>
    <row r="11488" spans="1:20" x14ac:dyDescent="0.25">
      <c r="A11488" t="str">
        <f>"3043276"</f>
        <v>3043276</v>
      </c>
      <c r="B11488" t="s">
        <v>34360</v>
      </c>
      <c r="C11488" t="str">
        <f>"8309568"</f>
        <v>8309568</v>
      </c>
      <c r="D11488" t="s">
        <v>34296</v>
      </c>
      <c r="F11488" t="s">
        <v>34297</v>
      </c>
      <c r="I11488" t="s">
        <v>29</v>
      </c>
      <c r="J11488" t="s">
        <v>30</v>
      </c>
      <c r="K11488" t="s">
        <v>34298</v>
      </c>
      <c r="M11488" t="s">
        <v>17861</v>
      </c>
      <c r="N11488" t="str">
        <f>"4/10/2018 3:41:00 PM"</f>
        <v>4/10/2018 3:41:00 PM</v>
      </c>
      <c r="O11488" t="s">
        <v>34296</v>
      </c>
    </row>
    <row r="11489" spans="1:20" x14ac:dyDescent="0.25">
      <c r="A11489" t="str">
        <f>"3061228"</f>
        <v>3061228</v>
      </c>
      <c r="B11489" t="s">
        <v>34361</v>
      </c>
      <c r="C11489" t="str">
        <f>"8309573"</f>
        <v>8309573</v>
      </c>
      <c r="D11489" t="s">
        <v>34362</v>
      </c>
      <c r="F11489" t="s">
        <v>34363</v>
      </c>
      <c r="I11489" t="s">
        <v>402</v>
      </c>
      <c r="J11489" t="s">
        <v>30</v>
      </c>
      <c r="K11489" t="str">
        <f>"27012"</f>
        <v>27012</v>
      </c>
      <c r="M11489" t="s">
        <v>17861</v>
      </c>
      <c r="N11489" t="str">
        <f>"4/11/2018 10:44:00 AM"</f>
        <v>4/11/2018 10:44:00 AM</v>
      </c>
      <c r="O11489" t="s">
        <v>34362</v>
      </c>
    </row>
    <row r="11490" spans="1:20" x14ac:dyDescent="0.25">
      <c r="A11490" t="str">
        <f>"3041529"</f>
        <v>3041529</v>
      </c>
      <c r="B11490" t="s">
        <v>34364</v>
      </c>
      <c r="C11490" t="str">
        <f>"8309580"</f>
        <v>8309580</v>
      </c>
      <c r="D11490" t="s">
        <v>34365</v>
      </c>
      <c r="F11490" t="s">
        <v>34366</v>
      </c>
      <c r="I11490" t="s">
        <v>2071</v>
      </c>
      <c r="J11490" t="s">
        <v>30</v>
      </c>
      <c r="K11490" t="str">
        <f>"27006"</f>
        <v>27006</v>
      </c>
      <c r="M11490" t="s">
        <v>17861</v>
      </c>
      <c r="N11490" t="str">
        <f>"4/11/2018 2:33:00 PM"</f>
        <v>4/11/2018 2:33:00 PM</v>
      </c>
      <c r="O11490" t="s">
        <v>34365</v>
      </c>
    </row>
    <row r="11491" spans="1:20" x14ac:dyDescent="0.25">
      <c r="A11491" t="str">
        <f>"3044649"</f>
        <v>3044649</v>
      </c>
      <c r="B11491" t="s">
        <v>34367</v>
      </c>
      <c r="C11491" t="str">
        <f>"8309582"</f>
        <v>8309582</v>
      </c>
      <c r="D11491" t="s">
        <v>34368</v>
      </c>
      <c r="E11491" t="s">
        <v>34369</v>
      </c>
      <c r="F11491" t="s">
        <v>34370</v>
      </c>
      <c r="I11491" t="s">
        <v>24359</v>
      </c>
      <c r="J11491" t="s">
        <v>30</v>
      </c>
      <c r="K11491" t="str">
        <f>"27006"</f>
        <v>27006</v>
      </c>
      <c r="M11491" t="s">
        <v>17861</v>
      </c>
      <c r="N11491" t="str">
        <f>"4/11/2018 2:43:00 PM"</f>
        <v>4/11/2018 2:43:00 PM</v>
      </c>
      <c r="O11491" t="s">
        <v>34368</v>
      </c>
      <c r="T11491" t="s">
        <v>34369</v>
      </c>
    </row>
    <row r="11492" spans="1:20" x14ac:dyDescent="0.25">
      <c r="A11492" t="str">
        <f>"3041604"</f>
        <v>3041604</v>
      </c>
      <c r="B11492" t="s">
        <v>34371</v>
      </c>
      <c r="C11492" t="str">
        <f>"8309584"</f>
        <v>8309584</v>
      </c>
      <c r="D11492" t="s">
        <v>34372</v>
      </c>
      <c r="E11492" t="s">
        <v>34373</v>
      </c>
      <c r="F11492" t="s">
        <v>34374</v>
      </c>
      <c r="I11492" t="s">
        <v>2071</v>
      </c>
      <c r="J11492" t="s">
        <v>30</v>
      </c>
      <c r="K11492" t="str">
        <f>"27006"</f>
        <v>27006</v>
      </c>
      <c r="M11492" t="s">
        <v>17861</v>
      </c>
      <c r="N11492" t="str">
        <f>"4/11/2018 3:00:00 PM"</f>
        <v>4/11/2018 3:00:00 PM</v>
      </c>
      <c r="O11492" t="s">
        <v>34372</v>
      </c>
      <c r="T11492" t="s">
        <v>34373</v>
      </c>
    </row>
    <row r="11493" spans="1:20" x14ac:dyDescent="0.25">
      <c r="A11493" t="str">
        <f>"3058968"</f>
        <v>3058968</v>
      </c>
      <c r="B11493" t="s">
        <v>34375</v>
      </c>
      <c r="C11493" t="str">
        <f>"8309586"</f>
        <v>8309586</v>
      </c>
      <c r="D11493" t="s">
        <v>34376</v>
      </c>
      <c r="E11493" t="s">
        <v>34377</v>
      </c>
      <c r="F11493" t="s">
        <v>34378</v>
      </c>
      <c r="I11493" t="s">
        <v>29</v>
      </c>
      <c r="J11493" t="s">
        <v>30</v>
      </c>
      <c r="K11493" t="s">
        <v>34379</v>
      </c>
      <c r="M11493" t="s">
        <v>17861</v>
      </c>
      <c r="N11493" t="str">
        <f>"4/11/2018 3:26:00 PM"</f>
        <v>4/11/2018 3:26:00 PM</v>
      </c>
      <c r="O11493" t="s">
        <v>34376</v>
      </c>
      <c r="T11493" t="s">
        <v>34377</v>
      </c>
    </row>
    <row r="11494" spans="1:20" x14ac:dyDescent="0.25">
      <c r="A11494" t="str">
        <f>"3046953"</f>
        <v>3046953</v>
      </c>
      <c r="B11494" t="s">
        <v>34380</v>
      </c>
      <c r="C11494" t="str">
        <f>"8309594"</f>
        <v>8309594</v>
      </c>
      <c r="D11494" t="s">
        <v>34381</v>
      </c>
      <c r="F11494" t="s">
        <v>34382</v>
      </c>
      <c r="I11494" t="s">
        <v>17921</v>
      </c>
      <c r="J11494" t="s">
        <v>30</v>
      </c>
      <c r="K11494" t="str">
        <f>"27028"</f>
        <v>27028</v>
      </c>
      <c r="M11494" t="s">
        <v>17861</v>
      </c>
      <c r="N11494" t="str">
        <f>"4/13/2018 2:06:00 PM"</f>
        <v>4/13/2018 2:06:00 PM</v>
      </c>
      <c r="O11494" t="s">
        <v>34381</v>
      </c>
    </row>
    <row r="11495" spans="1:20" x14ac:dyDescent="0.25">
      <c r="A11495" t="str">
        <f>"3059135"</f>
        <v>3059135</v>
      </c>
      <c r="B11495" t="s">
        <v>34383</v>
      </c>
      <c r="C11495" t="str">
        <f>"8309595"</f>
        <v>8309595</v>
      </c>
      <c r="D11495" t="s">
        <v>34384</v>
      </c>
      <c r="E11495" t="s">
        <v>34385</v>
      </c>
      <c r="F11495" t="s">
        <v>34386</v>
      </c>
      <c r="I11495" t="s">
        <v>29</v>
      </c>
      <c r="J11495" t="s">
        <v>30</v>
      </c>
      <c r="K11495" t="s">
        <v>34387</v>
      </c>
      <c r="M11495" t="s">
        <v>17861</v>
      </c>
      <c r="N11495" t="str">
        <f>"4/16/2018 9:43:00 AM"</f>
        <v>4/16/2018 9:43:00 AM</v>
      </c>
      <c r="O11495" t="s">
        <v>34384</v>
      </c>
      <c r="T11495" t="s">
        <v>34385</v>
      </c>
    </row>
    <row r="11496" spans="1:20" x14ac:dyDescent="0.25">
      <c r="A11496" t="str">
        <f>"3078190"</f>
        <v>3078190</v>
      </c>
      <c r="B11496" t="s">
        <v>34388</v>
      </c>
      <c r="C11496" t="str">
        <f>"50670000"</f>
        <v>50670000</v>
      </c>
      <c r="D11496" t="s">
        <v>16735</v>
      </c>
      <c r="E11496" t="s">
        <v>10354</v>
      </c>
      <c r="F11496" t="s">
        <v>10355</v>
      </c>
      <c r="I11496" t="s">
        <v>184</v>
      </c>
      <c r="J11496" t="s">
        <v>30</v>
      </c>
      <c r="K11496" t="s">
        <v>34389</v>
      </c>
      <c r="M11496" t="s">
        <v>25625</v>
      </c>
      <c r="N11496" t="str">
        <f>"4/16/2018 10:09:00 AM"</f>
        <v>4/16/2018 10:09:00 AM</v>
      </c>
      <c r="O11496" t="s">
        <v>16735</v>
      </c>
      <c r="T11496" t="s">
        <v>10354</v>
      </c>
    </row>
    <row r="11497" spans="1:20" x14ac:dyDescent="0.25">
      <c r="A11497" t="str">
        <f>"3054758"</f>
        <v>3054758</v>
      </c>
      <c r="B11497" t="s">
        <v>34390</v>
      </c>
      <c r="C11497" t="str">
        <f>"50670000"</f>
        <v>50670000</v>
      </c>
      <c r="D11497" t="s">
        <v>16735</v>
      </c>
      <c r="E11497" t="s">
        <v>10354</v>
      </c>
      <c r="F11497" t="s">
        <v>10355</v>
      </c>
      <c r="I11497" t="s">
        <v>184</v>
      </c>
      <c r="J11497" t="s">
        <v>30</v>
      </c>
      <c r="K11497" t="s">
        <v>34389</v>
      </c>
      <c r="M11497" t="s">
        <v>25625</v>
      </c>
      <c r="N11497" t="str">
        <f>"4/16/2018 10:09:00 AM"</f>
        <v>4/16/2018 10:09:00 AM</v>
      </c>
      <c r="O11497" t="s">
        <v>16735</v>
      </c>
      <c r="T11497" t="s">
        <v>10354</v>
      </c>
    </row>
    <row r="11498" spans="1:20" x14ac:dyDescent="0.25">
      <c r="A11498" t="str">
        <f>"3054802"</f>
        <v>3054802</v>
      </c>
      <c r="B11498" t="s">
        <v>34391</v>
      </c>
      <c r="C11498" t="str">
        <f>"50670000"</f>
        <v>50670000</v>
      </c>
      <c r="D11498" t="s">
        <v>16735</v>
      </c>
      <c r="E11498" t="s">
        <v>10354</v>
      </c>
      <c r="F11498" t="s">
        <v>10355</v>
      </c>
      <c r="I11498" t="s">
        <v>184</v>
      </c>
      <c r="J11498" t="s">
        <v>30</v>
      </c>
      <c r="K11498" t="s">
        <v>34389</v>
      </c>
      <c r="M11498" t="s">
        <v>25625</v>
      </c>
      <c r="N11498" t="str">
        <f>"4/16/2018 10:09:00 AM"</f>
        <v>4/16/2018 10:09:00 AM</v>
      </c>
      <c r="O11498" t="s">
        <v>16735</v>
      </c>
      <c r="T11498" t="s">
        <v>10354</v>
      </c>
    </row>
    <row r="11499" spans="1:20" x14ac:dyDescent="0.25">
      <c r="A11499" t="str">
        <f>"3047886"</f>
        <v>3047886</v>
      </c>
      <c r="B11499" t="s">
        <v>34392</v>
      </c>
      <c r="C11499" t="str">
        <f>"50670000"</f>
        <v>50670000</v>
      </c>
      <c r="D11499" t="s">
        <v>16735</v>
      </c>
      <c r="E11499" t="s">
        <v>10354</v>
      </c>
      <c r="F11499" t="s">
        <v>10355</v>
      </c>
      <c r="I11499" t="s">
        <v>184</v>
      </c>
      <c r="J11499" t="s">
        <v>30</v>
      </c>
      <c r="K11499" t="s">
        <v>34389</v>
      </c>
      <c r="M11499" t="s">
        <v>25625</v>
      </c>
      <c r="N11499" t="str">
        <f>"4/16/2018 10:09:00 AM"</f>
        <v>4/16/2018 10:09:00 AM</v>
      </c>
      <c r="O11499" t="s">
        <v>16735</v>
      </c>
      <c r="T11499" t="s">
        <v>10354</v>
      </c>
    </row>
    <row r="11500" spans="1:20" x14ac:dyDescent="0.25">
      <c r="A11500" t="str">
        <f>"3054759"</f>
        <v>3054759</v>
      </c>
      <c r="B11500" t="s">
        <v>34393</v>
      </c>
      <c r="C11500" t="str">
        <f>"8309587"</f>
        <v>8309587</v>
      </c>
      <c r="D11500" t="s">
        <v>34394</v>
      </c>
      <c r="E11500" t="s">
        <v>34395</v>
      </c>
      <c r="F11500" t="s">
        <v>34396</v>
      </c>
      <c r="I11500" t="s">
        <v>184</v>
      </c>
      <c r="J11500" t="s">
        <v>30</v>
      </c>
      <c r="K11500" t="s">
        <v>34389</v>
      </c>
      <c r="M11500" t="s">
        <v>25625</v>
      </c>
      <c r="N11500" t="str">
        <f>"4/16/2018 10:12:00 AM"</f>
        <v>4/16/2018 10:12:00 AM</v>
      </c>
      <c r="O11500" t="s">
        <v>34394</v>
      </c>
      <c r="T11500" t="s">
        <v>34395</v>
      </c>
    </row>
    <row r="11501" spans="1:20" x14ac:dyDescent="0.25">
      <c r="A11501" t="str">
        <f>"3061252"</f>
        <v>3061252</v>
      </c>
      <c r="B11501" t="s">
        <v>34397</v>
      </c>
      <c r="C11501" t="str">
        <f>"8309596"</f>
        <v>8309596</v>
      </c>
      <c r="D11501" t="s">
        <v>34398</v>
      </c>
      <c r="E11501" t="s">
        <v>34399</v>
      </c>
      <c r="F11501" t="s">
        <v>34400</v>
      </c>
      <c r="I11501" t="s">
        <v>2071</v>
      </c>
      <c r="J11501" t="s">
        <v>30</v>
      </c>
      <c r="K11501" t="str">
        <f>"27006"</f>
        <v>27006</v>
      </c>
      <c r="M11501" t="s">
        <v>17861</v>
      </c>
      <c r="N11501" t="str">
        <f>"4/17/2018 1:09:00 PM"</f>
        <v>4/17/2018 1:09:00 PM</v>
      </c>
      <c r="O11501" t="s">
        <v>34398</v>
      </c>
      <c r="T11501" t="s">
        <v>34399</v>
      </c>
    </row>
    <row r="11502" spans="1:20" x14ac:dyDescent="0.25">
      <c r="A11502" t="str">
        <f>"3046772"</f>
        <v>3046772</v>
      </c>
      <c r="B11502" t="s">
        <v>34401</v>
      </c>
      <c r="C11502" t="str">
        <f>"8309597"</f>
        <v>8309597</v>
      </c>
      <c r="D11502" t="s">
        <v>34402</v>
      </c>
      <c r="E11502" t="s">
        <v>20548</v>
      </c>
      <c r="F11502" t="s">
        <v>27320</v>
      </c>
      <c r="I11502" t="s">
        <v>184</v>
      </c>
      <c r="J11502" t="s">
        <v>30</v>
      </c>
      <c r="K11502" t="s">
        <v>34403</v>
      </c>
      <c r="M11502" t="s">
        <v>17861</v>
      </c>
      <c r="N11502" t="str">
        <f>"4/17/2018 1:51:00 PM"</f>
        <v>4/17/2018 1:51:00 PM</v>
      </c>
      <c r="O11502" t="s">
        <v>34402</v>
      </c>
      <c r="T11502" t="s">
        <v>20548</v>
      </c>
    </row>
    <row r="11503" spans="1:20" x14ac:dyDescent="0.25">
      <c r="A11503" t="str">
        <f>"3055005"</f>
        <v>3055005</v>
      </c>
      <c r="B11503" t="s">
        <v>34404</v>
      </c>
      <c r="C11503" t="str">
        <f>"8309529"</f>
        <v>8309529</v>
      </c>
      <c r="D11503" t="s">
        <v>34405</v>
      </c>
      <c r="E11503" t="s">
        <v>34406</v>
      </c>
      <c r="F11503" t="s">
        <v>34407</v>
      </c>
      <c r="I11503" t="s">
        <v>29</v>
      </c>
      <c r="J11503" t="s">
        <v>30</v>
      </c>
      <c r="K11503" t="str">
        <f>"27028"</f>
        <v>27028</v>
      </c>
      <c r="M11503" t="s">
        <v>17861</v>
      </c>
      <c r="N11503" t="str">
        <f>"4/5/2018 10:52:00 AM"</f>
        <v>4/5/2018 10:52:00 AM</v>
      </c>
      <c r="O11503" t="s">
        <v>34405</v>
      </c>
      <c r="T11503" t="s">
        <v>34406</v>
      </c>
    </row>
    <row r="11504" spans="1:20" x14ac:dyDescent="0.25">
      <c r="A11504" t="str">
        <f>"3038000"</f>
        <v>3038000</v>
      </c>
      <c r="B11504" t="s">
        <v>34408</v>
      </c>
      <c r="C11504" t="str">
        <f>"8309531"</f>
        <v>8309531</v>
      </c>
      <c r="D11504" t="s">
        <v>34409</v>
      </c>
      <c r="E11504" t="s">
        <v>34410</v>
      </c>
      <c r="F11504" t="s">
        <v>34411</v>
      </c>
      <c r="I11504" t="s">
        <v>29</v>
      </c>
      <c r="J11504" t="s">
        <v>30</v>
      </c>
      <c r="K11504" t="s">
        <v>34412</v>
      </c>
      <c r="M11504" t="s">
        <v>17861</v>
      </c>
      <c r="N11504" t="str">
        <f>"4/5/2018 11:01:00 AM"</f>
        <v>4/5/2018 11:01:00 AM</v>
      </c>
      <c r="O11504" t="s">
        <v>34409</v>
      </c>
      <c r="T11504" t="s">
        <v>34410</v>
      </c>
    </row>
    <row r="11505" spans="1:20" x14ac:dyDescent="0.25">
      <c r="A11505" t="str">
        <f>"3038410"</f>
        <v>3038410</v>
      </c>
      <c r="B11505" t="s">
        <v>34413</v>
      </c>
      <c r="C11505" t="str">
        <f>"8309531"</f>
        <v>8309531</v>
      </c>
      <c r="D11505" t="s">
        <v>34409</v>
      </c>
      <c r="E11505" t="s">
        <v>34410</v>
      </c>
      <c r="F11505" t="s">
        <v>34411</v>
      </c>
      <c r="I11505" t="s">
        <v>29</v>
      </c>
      <c r="J11505" t="s">
        <v>30</v>
      </c>
      <c r="K11505" t="s">
        <v>34412</v>
      </c>
      <c r="M11505" t="s">
        <v>17861</v>
      </c>
      <c r="N11505" t="str">
        <f>"4/5/2018 11:01:00 AM"</f>
        <v>4/5/2018 11:01:00 AM</v>
      </c>
      <c r="O11505" t="s">
        <v>34409</v>
      </c>
      <c r="T11505" t="s">
        <v>34410</v>
      </c>
    </row>
    <row r="11506" spans="1:20" x14ac:dyDescent="0.25">
      <c r="A11506" t="str">
        <f>"3049929"</f>
        <v>3049929</v>
      </c>
      <c r="B11506" t="s">
        <v>34414</v>
      </c>
      <c r="C11506" t="str">
        <f>"82525264"</f>
        <v>82525264</v>
      </c>
      <c r="D11506" t="s">
        <v>34415</v>
      </c>
      <c r="E11506" t="s">
        <v>34416</v>
      </c>
      <c r="F11506" t="s">
        <v>34417</v>
      </c>
      <c r="I11506" t="s">
        <v>29</v>
      </c>
      <c r="J11506" t="s">
        <v>30</v>
      </c>
      <c r="K11506" t="s">
        <v>34418</v>
      </c>
      <c r="M11506" t="s">
        <v>25733</v>
      </c>
      <c r="N11506" t="str">
        <f>"4/6/2018 3:25:00 PM"</f>
        <v>4/6/2018 3:25:00 PM</v>
      </c>
      <c r="O11506" t="s">
        <v>34415</v>
      </c>
      <c r="T11506" t="s">
        <v>34416</v>
      </c>
    </row>
    <row r="11507" spans="1:20" x14ac:dyDescent="0.25">
      <c r="A11507" t="str">
        <f>"3052215"</f>
        <v>3052215</v>
      </c>
      <c r="B11507" t="s">
        <v>34419</v>
      </c>
      <c r="C11507" t="str">
        <f>"8309626"</f>
        <v>8309626</v>
      </c>
      <c r="D11507" t="s">
        <v>34420</v>
      </c>
      <c r="E11507" t="s">
        <v>34421</v>
      </c>
      <c r="F11507" t="s">
        <v>34422</v>
      </c>
      <c r="I11507" t="s">
        <v>3934</v>
      </c>
      <c r="J11507" t="s">
        <v>30</v>
      </c>
      <c r="K11507" t="str">
        <f>"27715"</f>
        <v>27715</v>
      </c>
      <c r="M11507" t="s">
        <v>17861</v>
      </c>
      <c r="N11507" t="str">
        <f>"4/23/2018 11:23:00 AM"</f>
        <v>4/23/2018 11:23:00 AM</v>
      </c>
      <c r="O11507" t="s">
        <v>34420</v>
      </c>
      <c r="T11507" t="s">
        <v>34421</v>
      </c>
    </row>
    <row r="11508" spans="1:20" x14ac:dyDescent="0.25">
      <c r="A11508" t="str">
        <f>"3051368"</f>
        <v>3051368</v>
      </c>
      <c r="B11508" t="s">
        <v>34423</v>
      </c>
      <c r="C11508" t="str">
        <f>"8302772"</f>
        <v>8302772</v>
      </c>
      <c r="D11508" t="s">
        <v>33180</v>
      </c>
      <c r="F11508" t="s">
        <v>34424</v>
      </c>
      <c r="I11508" t="s">
        <v>29</v>
      </c>
      <c r="J11508" t="s">
        <v>30</v>
      </c>
      <c r="K11508" t="str">
        <f>"27028"</f>
        <v>27028</v>
      </c>
      <c r="M11508" t="s">
        <v>25733</v>
      </c>
      <c r="N11508" t="str">
        <f>"4/9/2018 12:59:00 PM"</f>
        <v>4/9/2018 12:59:00 PM</v>
      </c>
      <c r="O11508" t="s">
        <v>33180</v>
      </c>
    </row>
    <row r="11509" spans="1:20" x14ac:dyDescent="0.25">
      <c r="A11509" t="str">
        <f>"3051175"</f>
        <v>3051175</v>
      </c>
      <c r="B11509" t="s">
        <v>34425</v>
      </c>
      <c r="C11509" t="str">
        <f>"8302772"</f>
        <v>8302772</v>
      </c>
      <c r="D11509" t="s">
        <v>33180</v>
      </c>
      <c r="F11509" t="s">
        <v>34424</v>
      </c>
      <c r="I11509" t="s">
        <v>29</v>
      </c>
      <c r="J11509" t="s">
        <v>30</v>
      </c>
      <c r="K11509" t="str">
        <f>"27028"</f>
        <v>27028</v>
      </c>
      <c r="M11509" t="s">
        <v>25733</v>
      </c>
      <c r="N11509" t="str">
        <f>"4/9/2018 12:59:00 PM"</f>
        <v>4/9/2018 12:59:00 PM</v>
      </c>
      <c r="O11509" t="s">
        <v>33180</v>
      </c>
    </row>
    <row r="11510" spans="1:20" x14ac:dyDescent="0.25">
      <c r="A11510" t="str">
        <f>"3060196"</f>
        <v>3060196</v>
      </c>
      <c r="B11510" t="s">
        <v>34426</v>
      </c>
      <c r="C11510" t="str">
        <f>"8309628"</f>
        <v>8309628</v>
      </c>
      <c r="D11510" t="s">
        <v>34427</v>
      </c>
      <c r="F11510" t="s">
        <v>34428</v>
      </c>
      <c r="I11510" t="s">
        <v>29</v>
      </c>
      <c r="J11510" t="s">
        <v>30</v>
      </c>
      <c r="K11510" t="s">
        <v>1461</v>
      </c>
      <c r="M11510" t="s">
        <v>17861</v>
      </c>
      <c r="N11510" t="str">
        <f>"4/23/2018 1:04:00 PM"</f>
        <v>4/23/2018 1:04:00 PM</v>
      </c>
      <c r="O11510" t="s">
        <v>34427</v>
      </c>
    </row>
    <row r="11511" spans="1:20" x14ac:dyDescent="0.25">
      <c r="A11511" t="str">
        <f>"3062201"</f>
        <v>3062201</v>
      </c>
      <c r="B11511" t="s">
        <v>34429</v>
      </c>
      <c r="C11511" t="str">
        <f>"8309628"</f>
        <v>8309628</v>
      </c>
      <c r="D11511" t="s">
        <v>34427</v>
      </c>
      <c r="F11511" t="s">
        <v>34428</v>
      </c>
      <c r="I11511" t="s">
        <v>29</v>
      </c>
      <c r="J11511" t="s">
        <v>30</v>
      </c>
      <c r="K11511" t="s">
        <v>1461</v>
      </c>
      <c r="M11511" t="s">
        <v>17861</v>
      </c>
      <c r="N11511" t="str">
        <f>"4/23/2018 1:04:00 PM"</f>
        <v>4/23/2018 1:04:00 PM</v>
      </c>
      <c r="O11511" t="s">
        <v>34427</v>
      </c>
    </row>
    <row r="11512" spans="1:20" x14ac:dyDescent="0.25">
      <c r="A11512" t="str">
        <f>"3062202"</f>
        <v>3062202</v>
      </c>
      <c r="B11512" t="s">
        <v>34430</v>
      </c>
      <c r="C11512" t="str">
        <f>"8309628"</f>
        <v>8309628</v>
      </c>
      <c r="D11512" t="s">
        <v>34427</v>
      </c>
      <c r="F11512" t="s">
        <v>34428</v>
      </c>
      <c r="I11512" t="s">
        <v>29</v>
      </c>
      <c r="J11512" t="s">
        <v>30</v>
      </c>
      <c r="K11512" t="s">
        <v>1461</v>
      </c>
      <c r="M11512" t="s">
        <v>17861</v>
      </c>
      <c r="N11512" t="str">
        <f>"4/23/2018 1:04:00 PM"</f>
        <v>4/23/2018 1:04:00 PM</v>
      </c>
      <c r="O11512" t="s">
        <v>34427</v>
      </c>
    </row>
    <row r="11513" spans="1:20" x14ac:dyDescent="0.25">
      <c r="A11513" t="str">
        <f>"3062013"</f>
        <v>3062013</v>
      </c>
      <c r="B11513" t="s">
        <v>34431</v>
      </c>
      <c r="C11513" t="str">
        <f>"63072000"</f>
        <v>63072000</v>
      </c>
      <c r="D11513" t="s">
        <v>34432</v>
      </c>
      <c r="F11513" t="s">
        <v>34433</v>
      </c>
      <c r="I11513" t="s">
        <v>29</v>
      </c>
      <c r="J11513" t="s">
        <v>30</v>
      </c>
      <c r="K11513" t="s">
        <v>31</v>
      </c>
      <c r="M11513" t="s">
        <v>18470</v>
      </c>
      <c r="N11513" t="str">
        <f>"4/23/2018 3:50:00 PM"</f>
        <v>4/23/2018 3:50:00 PM</v>
      </c>
      <c r="O11513" t="s">
        <v>34432</v>
      </c>
    </row>
    <row r="11514" spans="1:20" x14ac:dyDescent="0.25">
      <c r="A11514" t="str">
        <f>"3067161"</f>
        <v>3067161</v>
      </c>
      <c r="B11514" t="s">
        <v>34434</v>
      </c>
      <c r="C11514" t="str">
        <f>"67516000"</f>
        <v>67516000</v>
      </c>
      <c r="D11514" t="s">
        <v>34435</v>
      </c>
      <c r="E11514" t="s">
        <v>34436</v>
      </c>
      <c r="F11514" t="s">
        <v>34437</v>
      </c>
      <c r="I11514" t="s">
        <v>29</v>
      </c>
      <c r="J11514" t="s">
        <v>30</v>
      </c>
      <c r="K11514" t="s">
        <v>31</v>
      </c>
      <c r="M11514" t="s">
        <v>18470</v>
      </c>
      <c r="N11514" t="str">
        <f>"4/23/2018 3:51:00 PM"</f>
        <v>4/23/2018 3:51:00 PM</v>
      </c>
      <c r="O11514" t="s">
        <v>34435</v>
      </c>
      <c r="T11514" t="s">
        <v>34436</v>
      </c>
    </row>
    <row r="11515" spans="1:20" x14ac:dyDescent="0.25">
      <c r="A11515" t="str">
        <f>"3039602"</f>
        <v>3039602</v>
      </c>
      <c r="B11515" t="s">
        <v>34438</v>
      </c>
      <c r="C11515" t="str">
        <f>"67793000"</f>
        <v>67793000</v>
      </c>
      <c r="D11515" t="s">
        <v>34439</v>
      </c>
      <c r="F11515" t="s">
        <v>34440</v>
      </c>
      <c r="I11515" t="s">
        <v>184</v>
      </c>
      <c r="J11515" t="s">
        <v>30</v>
      </c>
      <c r="K11515" t="s">
        <v>185</v>
      </c>
      <c r="M11515" t="s">
        <v>18470</v>
      </c>
      <c r="N11515" t="str">
        <f>"4/23/2018 3:53:00 PM"</f>
        <v>4/23/2018 3:53:00 PM</v>
      </c>
      <c r="O11515" t="s">
        <v>34439</v>
      </c>
    </row>
    <row r="11516" spans="1:20" x14ac:dyDescent="0.25">
      <c r="A11516" t="str">
        <f>"3043639"</f>
        <v>3043639</v>
      </c>
      <c r="B11516" t="s">
        <v>34441</v>
      </c>
      <c r="C11516" t="str">
        <f>"82528301"</f>
        <v>82528301</v>
      </c>
      <c r="D11516" t="s">
        <v>34442</v>
      </c>
      <c r="F11516" t="s">
        <v>34443</v>
      </c>
      <c r="I11516" t="s">
        <v>29</v>
      </c>
      <c r="J11516" t="s">
        <v>30</v>
      </c>
      <c r="K11516" t="s">
        <v>31</v>
      </c>
      <c r="M11516" t="s">
        <v>18470</v>
      </c>
      <c r="N11516" t="str">
        <f>"4/23/2018 3:57:00 PM"</f>
        <v>4/23/2018 3:57:00 PM</v>
      </c>
      <c r="O11516" t="s">
        <v>34442</v>
      </c>
    </row>
    <row r="11517" spans="1:20" x14ac:dyDescent="0.25">
      <c r="A11517" t="str">
        <f>"3044453"</f>
        <v>3044453</v>
      </c>
      <c r="B11517" t="s">
        <v>34444</v>
      </c>
      <c r="C11517" t="str">
        <f>"8309563"</f>
        <v>8309563</v>
      </c>
      <c r="D11517" t="s">
        <v>34445</v>
      </c>
      <c r="E11517" t="s">
        <v>34446</v>
      </c>
      <c r="F11517" t="s">
        <v>34447</v>
      </c>
      <c r="I11517" t="s">
        <v>184</v>
      </c>
      <c r="J11517" t="s">
        <v>30</v>
      </c>
      <c r="K11517" t="s">
        <v>30957</v>
      </c>
      <c r="M11517" t="s">
        <v>17861</v>
      </c>
      <c r="N11517" t="str">
        <f>"4/10/2018 11:17:00 AM"</f>
        <v>4/10/2018 11:17:00 AM</v>
      </c>
      <c r="O11517" t="s">
        <v>34445</v>
      </c>
      <c r="T11517" t="s">
        <v>34446</v>
      </c>
    </row>
    <row r="11518" spans="1:20" x14ac:dyDescent="0.25">
      <c r="A11518" t="str">
        <f>"3042931"</f>
        <v>3042931</v>
      </c>
      <c r="B11518" t="s">
        <v>34448</v>
      </c>
      <c r="C11518" t="str">
        <f>"8309564"</f>
        <v>8309564</v>
      </c>
      <c r="D11518" t="s">
        <v>34449</v>
      </c>
      <c r="F11518" t="s">
        <v>34450</v>
      </c>
      <c r="I11518" t="s">
        <v>29</v>
      </c>
      <c r="J11518" t="s">
        <v>30</v>
      </c>
      <c r="K11518" t="str">
        <f>"27028"</f>
        <v>27028</v>
      </c>
      <c r="M11518" t="s">
        <v>17861</v>
      </c>
      <c r="N11518" t="str">
        <f>"4/10/2018 11:25:00 AM"</f>
        <v>4/10/2018 11:25:00 AM</v>
      </c>
      <c r="O11518" t="s">
        <v>34449</v>
      </c>
    </row>
    <row r="11519" spans="1:20" x14ac:dyDescent="0.25">
      <c r="A11519" t="str">
        <f>"3040766"</f>
        <v>3040766</v>
      </c>
      <c r="B11519" t="s">
        <v>34451</v>
      </c>
      <c r="C11519" t="str">
        <f>"8309565"</f>
        <v>8309565</v>
      </c>
      <c r="D11519" t="s">
        <v>34452</v>
      </c>
      <c r="F11519" t="s">
        <v>34453</v>
      </c>
      <c r="I11519" t="s">
        <v>184</v>
      </c>
      <c r="J11519" t="s">
        <v>30</v>
      </c>
      <c r="K11519" t="s">
        <v>3125</v>
      </c>
      <c r="M11519" t="s">
        <v>17861</v>
      </c>
      <c r="N11519" t="str">
        <f>"4/10/2018 3:23:00 PM"</f>
        <v>4/10/2018 3:23:00 PM</v>
      </c>
      <c r="O11519" t="s">
        <v>34452</v>
      </c>
    </row>
    <row r="11520" spans="1:20" x14ac:dyDescent="0.25">
      <c r="A11520" t="str">
        <f>"3042619"</f>
        <v>3042619</v>
      </c>
      <c r="B11520" t="s">
        <v>34454</v>
      </c>
      <c r="C11520" t="str">
        <f>"8309620"</f>
        <v>8309620</v>
      </c>
      <c r="D11520" t="s">
        <v>34455</v>
      </c>
      <c r="E11520" t="s">
        <v>34456</v>
      </c>
      <c r="F11520" t="s">
        <v>34457</v>
      </c>
      <c r="I11520" t="s">
        <v>29</v>
      </c>
      <c r="J11520" t="s">
        <v>30</v>
      </c>
      <c r="K11520" t="s">
        <v>26719</v>
      </c>
      <c r="M11520" t="s">
        <v>17861</v>
      </c>
      <c r="N11520" t="str">
        <f>"4/23/2018 10:49:00 AM"</f>
        <v>4/23/2018 10:49:00 AM</v>
      </c>
      <c r="O11520" t="s">
        <v>34455</v>
      </c>
      <c r="T11520" t="s">
        <v>34456</v>
      </c>
    </row>
    <row r="11521" spans="1:20" x14ac:dyDescent="0.25">
      <c r="A11521" t="str">
        <f>"3051737"</f>
        <v>3051737</v>
      </c>
      <c r="B11521" t="s">
        <v>34458</v>
      </c>
      <c r="C11521" t="str">
        <f>"8309631"</f>
        <v>8309631</v>
      </c>
      <c r="D11521" t="str">
        <f>"VESTAL STEVEN R/SANDRA F"</f>
        <v>VESTAL STEVEN R/SANDRA F</v>
      </c>
      <c r="E11521" t="s">
        <v>27446</v>
      </c>
      <c r="F11521" t="s">
        <v>34459</v>
      </c>
      <c r="I11521" t="s">
        <v>29</v>
      </c>
      <c r="J11521" t="s">
        <v>30</v>
      </c>
      <c r="K11521" t="s">
        <v>19719</v>
      </c>
      <c r="M11521" t="s">
        <v>17861</v>
      </c>
      <c r="N11521" t="str">
        <f>"4/24/2018 9:27:00 AM"</f>
        <v>4/24/2018 9:27:00 AM</v>
      </c>
      <c r="O11521" t="str">
        <f>"VESTAL STEVEN R/SANDRA F"</f>
        <v>VESTAL STEVEN R/SANDRA F</v>
      </c>
      <c r="T11521" t="s">
        <v>27446</v>
      </c>
    </row>
    <row r="11522" spans="1:20" x14ac:dyDescent="0.25">
      <c r="A11522" t="str">
        <f>"3059410"</f>
        <v>3059410</v>
      </c>
      <c r="B11522" t="s">
        <v>34460</v>
      </c>
      <c r="C11522" t="str">
        <f>"8309631"</f>
        <v>8309631</v>
      </c>
      <c r="D11522" t="str">
        <f>"VESTAL STEVEN R/SANDRA F"</f>
        <v>VESTAL STEVEN R/SANDRA F</v>
      </c>
      <c r="E11522" t="s">
        <v>27446</v>
      </c>
      <c r="F11522" t="s">
        <v>34459</v>
      </c>
      <c r="I11522" t="s">
        <v>29</v>
      </c>
      <c r="J11522" t="s">
        <v>30</v>
      </c>
      <c r="K11522" t="s">
        <v>19719</v>
      </c>
      <c r="M11522" t="s">
        <v>17861</v>
      </c>
      <c r="N11522" t="str">
        <f>"4/24/2018 9:27:00 AM"</f>
        <v>4/24/2018 9:27:00 AM</v>
      </c>
      <c r="O11522" t="str">
        <f>"VESTAL STEVEN R/SANDRA F"</f>
        <v>VESTAL STEVEN R/SANDRA F</v>
      </c>
      <c r="T11522" t="s">
        <v>27446</v>
      </c>
    </row>
    <row r="11523" spans="1:20" x14ac:dyDescent="0.25">
      <c r="A11523" t="str">
        <f>"3057458"</f>
        <v>3057458</v>
      </c>
      <c r="B11523" t="s">
        <v>34461</v>
      </c>
      <c r="C11523" t="str">
        <f>"15127000"</f>
        <v>15127000</v>
      </c>
      <c r="D11523" t="s">
        <v>31253</v>
      </c>
      <c r="F11523" t="s">
        <v>34462</v>
      </c>
      <c r="I11523" t="s">
        <v>29</v>
      </c>
      <c r="J11523" t="s">
        <v>30</v>
      </c>
      <c r="K11523" t="str">
        <f>"27028"</f>
        <v>27028</v>
      </c>
      <c r="M11523" t="s">
        <v>18479</v>
      </c>
      <c r="N11523" t="str">
        <f>"4/23/2018 10:55:00 AM"</f>
        <v>4/23/2018 10:55:00 AM</v>
      </c>
      <c r="O11523" t="s">
        <v>31253</v>
      </c>
    </row>
    <row r="11524" spans="1:20" x14ac:dyDescent="0.25">
      <c r="A11524" t="str">
        <f>"3038580"</f>
        <v>3038580</v>
      </c>
      <c r="B11524" t="s">
        <v>34463</v>
      </c>
      <c r="C11524" t="str">
        <f>"82515396"</f>
        <v>82515396</v>
      </c>
      <c r="D11524" t="s">
        <v>34464</v>
      </c>
      <c r="E11524" t="s">
        <v>34465</v>
      </c>
      <c r="F11524" t="s">
        <v>34466</v>
      </c>
      <c r="I11524" t="s">
        <v>29</v>
      </c>
      <c r="J11524" t="s">
        <v>30</v>
      </c>
      <c r="K11524" t="s">
        <v>31</v>
      </c>
      <c r="M11524" t="s">
        <v>33845</v>
      </c>
      <c r="N11524" t="str">
        <f>"4/23/2018 11:50:00 AM"</f>
        <v>4/23/2018 11:50:00 AM</v>
      </c>
      <c r="O11524" t="s">
        <v>34464</v>
      </c>
      <c r="T11524" t="s">
        <v>34465</v>
      </c>
    </row>
    <row r="11525" spans="1:20" x14ac:dyDescent="0.25">
      <c r="A11525" t="str">
        <f>"3051967"</f>
        <v>3051967</v>
      </c>
      <c r="B11525" t="s">
        <v>34467</v>
      </c>
      <c r="C11525" t="str">
        <f>"68660000"</f>
        <v>68660000</v>
      </c>
      <c r="D11525" t="s">
        <v>34468</v>
      </c>
      <c r="F11525" t="s">
        <v>34469</v>
      </c>
      <c r="I11525" t="s">
        <v>29</v>
      </c>
      <c r="J11525" t="s">
        <v>30</v>
      </c>
      <c r="K11525" t="s">
        <v>34470</v>
      </c>
      <c r="M11525" t="s">
        <v>33845</v>
      </c>
      <c r="N11525" t="str">
        <f>"4/23/2018 11:57:00 AM"</f>
        <v>4/23/2018 11:57:00 AM</v>
      </c>
      <c r="O11525" t="s">
        <v>34468</v>
      </c>
    </row>
    <row r="11526" spans="1:20" x14ac:dyDescent="0.25">
      <c r="A11526" t="str">
        <f>"3050619"</f>
        <v>3050619</v>
      </c>
      <c r="B11526" t="s">
        <v>34471</v>
      </c>
      <c r="C11526" t="str">
        <f>"34151000"</f>
        <v>34151000</v>
      </c>
      <c r="D11526" t="s">
        <v>34472</v>
      </c>
      <c r="E11526" t="s">
        <v>34473</v>
      </c>
      <c r="F11526" t="s">
        <v>34474</v>
      </c>
      <c r="I11526" t="s">
        <v>184</v>
      </c>
      <c r="J11526" t="s">
        <v>30</v>
      </c>
      <c r="K11526" t="str">
        <f>"27006"</f>
        <v>27006</v>
      </c>
      <c r="M11526" t="s">
        <v>34475</v>
      </c>
      <c r="N11526" t="str">
        <f>"4/23/2018 4:21:00 PM"</f>
        <v>4/23/2018 4:21:00 PM</v>
      </c>
      <c r="O11526" t="s">
        <v>34472</v>
      </c>
      <c r="T11526" t="s">
        <v>34473</v>
      </c>
    </row>
    <row r="11527" spans="1:20" x14ac:dyDescent="0.25">
      <c r="A11527" t="str">
        <f>"3051400"</f>
        <v>3051400</v>
      </c>
      <c r="B11527" t="s">
        <v>34476</v>
      </c>
      <c r="C11527" t="str">
        <f>"8309633"</f>
        <v>8309633</v>
      </c>
      <c r="D11527" t="str">
        <f>"VESTAL STEVEN R/SANDRA F"</f>
        <v>VESTAL STEVEN R/SANDRA F</v>
      </c>
      <c r="E11527" t="s">
        <v>34477</v>
      </c>
      <c r="F11527" t="s">
        <v>34459</v>
      </c>
      <c r="I11527" t="s">
        <v>29</v>
      </c>
      <c r="J11527" t="s">
        <v>30</v>
      </c>
      <c r="K11527" t="s">
        <v>19719</v>
      </c>
      <c r="M11527" t="s">
        <v>17861</v>
      </c>
      <c r="N11527" t="str">
        <f>"4/24/2018 10:35:00 AM"</f>
        <v>4/24/2018 10:35:00 AM</v>
      </c>
      <c r="O11527" t="str">
        <f>"VESTAL STEVEN R/SANDRA F"</f>
        <v>VESTAL STEVEN R/SANDRA F</v>
      </c>
      <c r="T11527" t="s">
        <v>34477</v>
      </c>
    </row>
    <row r="11528" spans="1:20" x14ac:dyDescent="0.25">
      <c r="A11528" t="str">
        <f>"3051939"</f>
        <v>3051939</v>
      </c>
      <c r="B11528" t="s">
        <v>34478</v>
      </c>
      <c r="C11528" t="str">
        <f>"8309633"</f>
        <v>8309633</v>
      </c>
      <c r="D11528" t="str">
        <f>"VESTAL STEVEN R/SANDRA F"</f>
        <v>VESTAL STEVEN R/SANDRA F</v>
      </c>
      <c r="E11528" t="s">
        <v>34477</v>
      </c>
      <c r="F11528" t="s">
        <v>34459</v>
      </c>
      <c r="I11528" t="s">
        <v>29</v>
      </c>
      <c r="J11528" t="s">
        <v>30</v>
      </c>
      <c r="K11528" t="s">
        <v>19719</v>
      </c>
      <c r="M11528" t="s">
        <v>17861</v>
      </c>
      <c r="N11528" t="str">
        <f>"4/24/2018 10:35:00 AM"</f>
        <v>4/24/2018 10:35:00 AM</v>
      </c>
      <c r="O11528" t="str">
        <f>"VESTAL STEVEN R/SANDRA F"</f>
        <v>VESTAL STEVEN R/SANDRA F</v>
      </c>
      <c r="T11528" t="s">
        <v>34477</v>
      </c>
    </row>
    <row r="11529" spans="1:20" x14ac:dyDescent="0.25">
      <c r="A11529" t="str">
        <f>"3054181"</f>
        <v>3054181</v>
      </c>
      <c r="B11529" t="s">
        <v>34479</v>
      </c>
      <c r="C11529" t="str">
        <f>"8309633"</f>
        <v>8309633</v>
      </c>
      <c r="D11529" t="str">
        <f>"VESTAL STEVEN R/SANDRA F"</f>
        <v>VESTAL STEVEN R/SANDRA F</v>
      </c>
      <c r="E11529" t="s">
        <v>34477</v>
      </c>
      <c r="F11529" t="s">
        <v>34459</v>
      </c>
      <c r="I11529" t="s">
        <v>29</v>
      </c>
      <c r="J11529" t="s">
        <v>30</v>
      </c>
      <c r="K11529" t="s">
        <v>19719</v>
      </c>
      <c r="M11529" t="s">
        <v>17861</v>
      </c>
      <c r="N11529" t="str">
        <f>"4/24/2018 10:35:00 AM"</f>
        <v>4/24/2018 10:35:00 AM</v>
      </c>
      <c r="O11529" t="str">
        <f>"VESTAL STEVEN R/SANDRA F"</f>
        <v>VESTAL STEVEN R/SANDRA F</v>
      </c>
      <c r="T11529" t="s">
        <v>34477</v>
      </c>
    </row>
    <row r="11530" spans="1:20" x14ac:dyDescent="0.25">
      <c r="A11530" t="str">
        <f>"3054295"</f>
        <v>3054295</v>
      </c>
      <c r="B11530" t="s">
        <v>34480</v>
      </c>
      <c r="C11530" t="str">
        <f>"8309633"</f>
        <v>8309633</v>
      </c>
      <c r="D11530" t="str">
        <f>"VESTAL STEVEN R/SANDRA F"</f>
        <v>VESTAL STEVEN R/SANDRA F</v>
      </c>
      <c r="E11530" t="s">
        <v>34477</v>
      </c>
      <c r="F11530" t="s">
        <v>34459</v>
      </c>
      <c r="I11530" t="s">
        <v>29</v>
      </c>
      <c r="J11530" t="s">
        <v>30</v>
      </c>
      <c r="K11530" t="s">
        <v>19719</v>
      </c>
      <c r="M11530" t="s">
        <v>17861</v>
      </c>
      <c r="N11530" t="str">
        <f>"4/24/2018 10:35:00 AM"</f>
        <v>4/24/2018 10:35:00 AM</v>
      </c>
      <c r="O11530" t="str">
        <f>"VESTAL STEVEN R/SANDRA F"</f>
        <v>VESTAL STEVEN R/SANDRA F</v>
      </c>
      <c r="T11530" t="s">
        <v>34477</v>
      </c>
    </row>
    <row r="11531" spans="1:20" x14ac:dyDescent="0.25">
      <c r="A11531" t="str">
        <f>"3050386"</f>
        <v>3050386</v>
      </c>
      <c r="B11531" t="s">
        <v>34481</v>
      </c>
      <c r="C11531" t="str">
        <f>"8309634"</f>
        <v>8309634</v>
      </c>
      <c r="D11531" t="s">
        <v>34482</v>
      </c>
      <c r="E11531" t="s">
        <v>34483</v>
      </c>
      <c r="F11531" t="s">
        <v>34484</v>
      </c>
      <c r="I11531" t="s">
        <v>184</v>
      </c>
      <c r="J11531" t="s">
        <v>30</v>
      </c>
      <c r="K11531" t="s">
        <v>14028</v>
      </c>
      <c r="M11531" t="s">
        <v>17861</v>
      </c>
      <c r="N11531" t="str">
        <f>"4/24/2018 10:56:00 AM"</f>
        <v>4/24/2018 10:56:00 AM</v>
      </c>
      <c r="O11531" t="s">
        <v>34482</v>
      </c>
      <c r="T11531" t="s">
        <v>34483</v>
      </c>
    </row>
    <row r="11532" spans="1:20" x14ac:dyDescent="0.25">
      <c r="A11532" t="str">
        <f>"3050620"</f>
        <v>3050620</v>
      </c>
      <c r="B11532" t="s">
        <v>34485</v>
      </c>
      <c r="C11532" t="str">
        <f>"34151000"</f>
        <v>34151000</v>
      </c>
      <c r="D11532" t="s">
        <v>34472</v>
      </c>
      <c r="E11532" t="s">
        <v>34473</v>
      </c>
      <c r="F11532" t="s">
        <v>34474</v>
      </c>
      <c r="I11532" t="s">
        <v>184</v>
      </c>
      <c r="J11532" t="s">
        <v>30</v>
      </c>
      <c r="K11532" t="str">
        <f>"27006"</f>
        <v>27006</v>
      </c>
      <c r="M11532" t="s">
        <v>34475</v>
      </c>
      <c r="N11532" t="str">
        <f>"4/23/2018 4:21:00 PM"</f>
        <v>4/23/2018 4:21:00 PM</v>
      </c>
      <c r="O11532" t="s">
        <v>34472</v>
      </c>
      <c r="T11532" t="s">
        <v>34473</v>
      </c>
    </row>
    <row r="11533" spans="1:20" x14ac:dyDescent="0.25">
      <c r="A11533" t="str">
        <f>"3047856"</f>
        <v>3047856</v>
      </c>
      <c r="B11533" t="s">
        <v>34486</v>
      </c>
      <c r="C11533" t="str">
        <f>"34151000"</f>
        <v>34151000</v>
      </c>
      <c r="D11533" t="s">
        <v>34472</v>
      </c>
      <c r="E11533" t="s">
        <v>34473</v>
      </c>
      <c r="F11533" t="s">
        <v>34474</v>
      </c>
      <c r="I11533" t="s">
        <v>184</v>
      </c>
      <c r="J11533" t="s">
        <v>30</v>
      </c>
      <c r="K11533" t="str">
        <f>"27006"</f>
        <v>27006</v>
      </c>
      <c r="M11533" t="s">
        <v>34475</v>
      </c>
      <c r="N11533" t="str">
        <f>"4/23/2018 4:21:00 PM"</f>
        <v>4/23/2018 4:21:00 PM</v>
      </c>
      <c r="O11533" t="s">
        <v>34472</v>
      </c>
      <c r="T11533" t="s">
        <v>34473</v>
      </c>
    </row>
    <row r="11534" spans="1:20" x14ac:dyDescent="0.25">
      <c r="A11534" t="str">
        <f>"3044551"</f>
        <v>3044551</v>
      </c>
      <c r="B11534" t="s">
        <v>34487</v>
      </c>
      <c r="C11534" t="str">
        <f>"8309629"</f>
        <v>8309629</v>
      </c>
      <c r="D11534" t="s">
        <v>34488</v>
      </c>
      <c r="E11534" t="s">
        <v>34489</v>
      </c>
      <c r="F11534" t="s">
        <v>34490</v>
      </c>
      <c r="I11534" t="s">
        <v>2071</v>
      </c>
      <c r="J11534" t="s">
        <v>30</v>
      </c>
      <c r="K11534" t="str">
        <f>"27006"</f>
        <v>27006</v>
      </c>
      <c r="M11534" t="s">
        <v>17861</v>
      </c>
      <c r="N11534" t="str">
        <f>"4/24/2018 9:11:00 AM"</f>
        <v>4/24/2018 9:11:00 AM</v>
      </c>
      <c r="O11534" t="s">
        <v>34488</v>
      </c>
      <c r="T11534" t="s">
        <v>34489</v>
      </c>
    </row>
    <row r="11535" spans="1:20" x14ac:dyDescent="0.25">
      <c r="A11535" t="str">
        <f>"3064000"</f>
        <v>3064000</v>
      </c>
      <c r="B11535" t="s">
        <v>34491</v>
      </c>
      <c r="C11535" t="str">
        <f>"8309643"</f>
        <v>8309643</v>
      </c>
      <c r="D11535" t="s">
        <v>34492</v>
      </c>
      <c r="F11535" t="s">
        <v>34493</v>
      </c>
      <c r="I11535" t="s">
        <v>471</v>
      </c>
      <c r="J11535" t="s">
        <v>30</v>
      </c>
      <c r="K11535" t="str">
        <f>"27106"</f>
        <v>27106</v>
      </c>
      <c r="M11535" t="s">
        <v>17861</v>
      </c>
      <c r="N11535" t="str">
        <f>"4/25/2018 3:43:00 PM"</f>
        <v>4/25/2018 3:43:00 PM</v>
      </c>
      <c r="O11535" t="s">
        <v>34492</v>
      </c>
    </row>
    <row r="11536" spans="1:20" x14ac:dyDescent="0.25">
      <c r="A11536" t="str">
        <f>"3064001"</f>
        <v>3064001</v>
      </c>
      <c r="B11536" t="s">
        <v>34494</v>
      </c>
      <c r="C11536" t="str">
        <f>"8309643"</f>
        <v>8309643</v>
      </c>
      <c r="D11536" t="s">
        <v>34492</v>
      </c>
      <c r="F11536" t="s">
        <v>34493</v>
      </c>
      <c r="I11536" t="s">
        <v>471</v>
      </c>
      <c r="J11536" t="s">
        <v>30</v>
      </c>
      <c r="K11536" t="str">
        <f>"27106"</f>
        <v>27106</v>
      </c>
      <c r="M11536" t="s">
        <v>17861</v>
      </c>
      <c r="N11536" t="str">
        <f>"4/25/2018 3:43:00 PM"</f>
        <v>4/25/2018 3:43:00 PM</v>
      </c>
      <c r="O11536" t="s">
        <v>34492</v>
      </c>
    </row>
    <row r="11537" spans="1:20" x14ac:dyDescent="0.25">
      <c r="A11537" t="str">
        <f>"3039827"</f>
        <v>3039827</v>
      </c>
      <c r="B11537" t="s">
        <v>34495</v>
      </c>
      <c r="C11537" t="str">
        <f>"8309644"</f>
        <v>8309644</v>
      </c>
      <c r="D11537" t="s">
        <v>34496</v>
      </c>
      <c r="F11537" t="s">
        <v>34497</v>
      </c>
      <c r="I11537" t="s">
        <v>29</v>
      </c>
      <c r="J11537" t="s">
        <v>30</v>
      </c>
      <c r="K11537" t="s">
        <v>34498</v>
      </c>
      <c r="M11537" t="s">
        <v>17861</v>
      </c>
      <c r="N11537" t="str">
        <f>"4/25/2018 3:55:00 PM"</f>
        <v>4/25/2018 3:55:00 PM</v>
      </c>
      <c r="O11537" t="s">
        <v>34496</v>
      </c>
    </row>
    <row r="11538" spans="1:20" x14ac:dyDescent="0.25">
      <c r="A11538" t="str">
        <f>"3047718"</f>
        <v>3047718</v>
      </c>
      <c r="B11538" t="s">
        <v>34499</v>
      </c>
      <c r="C11538" t="str">
        <f>"8309646"</f>
        <v>8309646</v>
      </c>
      <c r="D11538" t="s">
        <v>34500</v>
      </c>
      <c r="E11538" t="s">
        <v>34501</v>
      </c>
      <c r="F11538" t="s">
        <v>34502</v>
      </c>
      <c r="I11538" t="s">
        <v>402</v>
      </c>
      <c r="J11538" t="s">
        <v>30</v>
      </c>
      <c r="K11538" t="str">
        <f>"27012"</f>
        <v>27012</v>
      </c>
      <c r="M11538" t="s">
        <v>17861</v>
      </c>
      <c r="N11538" t="str">
        <f>"4/25/2018 4:05:00 PM"</f>
        <v>4/25/2018 4:05:00 PM</v>
      </c>
      <c r="O11538" t="s">
        <v>34500</v>
      </c>
      <c r="T11538" t="s">
        <v>34501</v>
      </c>
    </row>
    <row r="11539" spans="1:20" x14ac:dyDescent="0.25">
      <c r="A11539" t="str">
        <f>"3047781"</f>
        <v>3047781</v>
      </c>
      <c r="B11539" t="s">
        <v>34503</v>
      </c>
      <c r="C11539" t="str">
        <f t="shared" ref="C11539:C11545" si="191">"73270000"</f>
        <v>73270000</v>
      </c>
      <c r="D11539" t="s">
        <v>34504</v>
      </c>
      <c r="F11539" t="s">
        <v>18554</v>
      </c>
      <c r="I11539" t="s">
        <v>2071</v>
      </c>
      <c r="J11539" t="s">
        <v>30</v>
      </c>
      <c r="K11539" t="s">
        <v>185</v>
      </c>
      <c r="M11539" t="s">
        <v>25625</v>
      </c>
      <c r="N11539" t="str">
        <f t="shared" ref="N11539:N11545" si="192">"4/25/2018 4:27:00 PM"</f>
        <v>4/25/2018 4:27:00 PM</v>
      </c>
      <c r="O11539" t="s">
        <v>34504</v>
      </c>
    </row>
    <row r="11540" spans="1:20" x14ac:dyDescent="0.25">
      <c r="A11540" t="str">
        <f>"3046991"</f>
        <v>3046991</v>
      </c>
      <c r="B11540" t="s">
        <v>34505</v>
      </c>
      <c r="C11540" t="str">
        <f t="shared" si="191"/>
        <v>73270000</v>
      </c>
      <c r="D11540" t="s">
        <v>34504</v>
      </c>
      <c r="F11540" t="s">
        <v>18554</v>
      </c>
      <c r="I11540" t="s">
        <v>2071</v>
      </c>
      <c r="J11540" t="s">
        <v>30</v>
      </c>
      <c r="K11540" t="s">
        <v>185</v>
      </c>
      <c r="M11540" t="s">
        <v>25625</v>
      </c>
      <c r="N11540" t="str">
        <f t="shared" si="192"/>
        <v>4/25/2018 4:27:00 PM</v>
      </c>
      <c r="O11540" t="s">
        <v>34504</v>
      </c>
    </row>
    <row r="11541" spans="1:20" x14ac:dyDescent="0.25">
      <c r="A11541" t="str">
        <f>"3041605"</f>
        <v>3041605</v>
      </c>
      <c r="B11541" t="s">
        <v>34506</v>
      </c>
      <c r="C11541" t="str">
        <f t="shared" si="191"/>
        <v>73270000</v>
      </c>
      <c r="D11541" t="s">
        <v>34504</v>
      </c>
      <c r="F11541" t="s">
        <v>18554</v>
      </c>
      <c r="I11541" t="s">
        <v>2071</v>
      </c>
      <c r="J11541" t="s">
        <v>30</v>
      </c>
      <c r="K11541" t="s">
        <v>185</v>
      </c>
      <c r="M11541" t="s">
        <v>25625</v>
      </c>
      <c r="N11541" t="str">
        <f t="shared" si="192"/>
        <v>4/25/2018 4:27:00 PM</v>
      </c>
      <c r="O11541" t="s">
        <v>34504</v>
      </c>
    </row>
    <row r="11542" spans="1:20" x14ac:dyDescent="0.25">
      <c r="A11542" t="str">
        <f>"3039538"</f>
        <v>3039538</v>
      </c>
      <c r="B11542" t="s">
        <v>34507</v>
      </c>
      <c r="C11542" t="str">
        <f t="shared" si="191"/>
        <v>73270000</v>
      </c>
      <c r="D11542" t="s">
        <v>34504</v>
      </c>
      <c r="F11542" t="s">
        <v>18554</v>
      </c>
      <c r="I11542" t="s">
        <v>2071</v>
      </c>
      <c r="J11542" t="s">
        <v>30</v>
      </c>
      <c r="K11542" t="s">
        <v>185</v>
      </c>
      <c r="M11542" t="s">
        <v>25625</v>
      </c>
      <c r="N11542" t="str">
        <f t="shared" si="192"/>
        <v>4/25/2018 4:27:00 PM</v>
      </c>
      <c r="O11542" t="s">
        <v>34504</v>
      </c>
    </row>
    <row r="11543" spans="1:20" x14ac:dyDescent="0.25">
      <c r="A11543" t="str">
        <f>"3057901"</f>
        <v>3057901</v>
      </c>
      <c r="B11543" t="s">
        <v>34508</v>
      </c>
      <c r="C11543" t="str">
        <f t="shared" si="191"/>
        <v>73270000</v>
      </c>
      <c r="D11543" t="s">
        <v>34504</v>
      </c>
      <c r="F11543" t="s">
        <v>18554</v>
      </c>
      <c r="I11543" t="s">
        <v>2071</v>
      </c>
      <c r="J11543" t="s">
        <v>30</v>
      </c>
      <c r="K11543" t="s">
        <v>185</v>
      </c>
      <c r="M11543" t="s">
        <v>25625</v>
      </c>
      <c r="N11543" t="str">
        <f t="shared" si="192"/>
        <v>4/25/2018 4:27:00 PM</v>
      </c>
      <c r="O11543" t="s">
        <v>34504</v>
      </c>
    </row>
    <row r="11544" spans="1:20" x14ac:dyDescent="0.25">
      <c r="A11544" t="str">
        <f>"3060624"</f>
        <v>3060624</v>
      </c>
      <c r="B11544" t="s">
        <v>34509</v>
      </c>
      <c r="C11544" t="str">
        <f t="shared" si="191"/>
        <v>73270000</v>
      </c>
      <c r="D11544" t="s">
        <v>34504</v>
      </c>
      <c r="F11544" t="s">
        <v>18554</v>
      </c>
      <c r="I11544" t="s">
        <v>2071</v>
      </c>
      <c r="J11544" t="s">
        <v>30</v>
      </c>
      <c r="K11544" t="s">
        <v>185</v>
      </c>
      <c r="M11544" t="s">
        <v>25625</v>
      </c>
      <c r="N11544" t="str">
        <f t="shared" si="192"/>
        <v>4/25/2018 4:27:00 PM</v>
      </c>
      <c r="O11544" t="s">
        <v>34504</v>
      </c>
    </row>
    <row r="11545" spans="1:20" x14ac:dyDescent="0.25">
      <c r="A11545" t="str">
        <f>"3060789"</f>
        <v>3060789</v>
      </c>
      <c r="B11545" t="s">
        <v>34510</v>
      </c>
      <c r="C11545" t="str">
        <f t="shared" si="191"/>
        <v>73270000</v>
      </c>
      <c r="D11545" t="s">
        <v>34504</v>
      </c>
      <c r="F11545" t="s">
        <v>18554</v>
      </c>
      <c r="I11545" t="s">
        <v>2071</v>
      </c>
      <c r="J11545" t="s">
        <v>30</v>
      </c>
      <c r="K11545" t="s">
        <v>185</v>
      </c>
      <c r="M11545" t="s">
        <v>25625</v>
      </c>
      <c r="N11545" t="str">
        <f t="shared" si="192"/>
        <v>4/25/2018 4:27:00 PM</v>
      </c>
      <c r="O11545" t="s">
        <v>34504</v>
      </c>
    </row>
    <row r="11546" spans="1:20" x14ac:dyDescent="0.25">
      <c r="A11546" t="str">
        <f>"3058153"</f>
        <v>3058153</v>
      </c>
      <c r="B11546" t="s">
        <v>34511</v>
      </c>
      <c r="C11546" t="str">
        <f>"8309606"</f>
        <v>8309606</v>
      </c>
      <c r="D11546" t="s">
        <v>34512</v>
      </c>
      <c r="E11546" t="s">
        <v>34513</v>
      </c>
      <c r="F11546" t="s">
        <v>34514</v>
      </c>
      <c r="I11546" t="s">
        <v>184</v>
      </c>
      <c r="J11546" t="s">
        <v>30</v>
      </c>
      <c r="K11546" t="s">
        <v>6203</v>
      </c>
      <c r="M11546" t="s">
        <v>17861</v>
      </c>
      <c r="N11546" t="str">
        <f>"4/20/2018 2:01:00 PM"</f>
        <v>4/20/2018 2:01:00 PM</v>
      </c>
      <c r="O11546" t="s">
        <v>34512</v>
      </c>
      <c r="T11546" t="s">
        <v>34513</v>
      </c>
    </row>
    <row r="11547" spans="1:20" x14ac:dyDescent="0.25">
      <c r="A11547" t="str">
        <f>"3039336"</f>
        <v>3039336</v>
      </c>
      <c r="B11547" t="s">
        <v>34515</v>
      </c>
      <c r="C11547" t="str">
        <f>"8309607"</f>
        <v>8309607</v>
      </c>
      <c r="D11547" t="s">
        <v>34516</v>
      </c>
      <c r="E11547" t="s">
        <v>34517</v>
      </c>
      <c r="F11547" t="s">
        <v>34518</v>
      </c>
      <c r="I11547" t="s">
        <v>49</v>
      </c>
      <c r="J11547" t="s">
        <v>30</v>
      </c>
      <c r="K11547" t="s">
        <v>34519</v>
      </c>
      <c r="M11547" t="s">
        <v>17861</v>
      </c>
      <c r="N11547" t="str">
        <f>"4/20/2018 2:10:00 PM"</f>
        <v>4/20/2018 2:10:00 PM</v>
      </c>
      <c r="O11547" t="s">
        <v>34516</v>
      </c>
      <c r="T11547" t="s">
        <v>34517</v>
      </c>
    </row>
    <row r="11548" spans="1:20" x14ac:dyDescent="0.25">
      <c r="A11548" t="str">
        <f>"3060135"</f>
        <v>3060135</v>
      </c>
      <c r="B11548" t="s">
        <v>34520</v>
      </c>
      <c r="C11548" t="str">
        <f>"8309609"</f>
        <v>8309609</v>
      </c>
      <c r="D11548" t="s">
        <v>34521</v>
      </c>
      <c r="E11548" t="s">
        <v>34522</v>
      </c>
      <c r="F11548" t="s">
        <v>34523</v>
      </c>
      <c r="I11548" t="s">
        <v>184</v>
      </c>
      <c r="J11548" t="s">
        <v>30</v>
      </c>
      <c r="K11548" t="s">
        <v>34524</v>
      </c>
      <c r="M11548" t="s">
        <v>17861</v>
      </c>
      <c r="N11548" t="str">
        <f>"4/20/2018 2:18:00 PM"</f>
        <v>4/20/2018 2:18:00 PM</v>
      </c>
      <c r="O11548" t="s">
        <v>34521</v>
      </c>
      <c r="T11548" t="s">
        <v>34522</v>
      </c>
    </row>
    <row r="11549" spans="1:20" x14ac:dyDescent="0.25">
      <c r="A11549" t="str">
        <f>"3039720"</f>
        <v>3039720</v>
      </c>
      <c r="B11549" t="s">
        <v>34525</v>
      </c>
      <c r="C11549" t="str">
        <f>"8309610"</f>
        <v>8309610</v>
      </c>
      <c r="D11549" t="s">
        <v>34526</v>
      </c>
      <c r="F11549" t="s">
        <v>34527</v>
      </c>
      <c r="I11549" t="s">
        <v>29</v>
      </c>
      <c r="J11549" t="s">
        <v>30</v>
      </c>
      <c r="K11549" t="s">
        <v>1474</v>
      </c>
      <c r="M11549" t="s">
        <v>17861</v>
      </c>
      <c r="N11549" t="str">
        <f>"4/20/2018 2:21:00 PM"</f>
        <v>4/20/2018 2:21:00 PM</v>
      </c>
      <c r="O11549" t="s">
        <v>34526</v>
      </c>
    </row>
    <row r="11550" spans="1:20" x14ac:dyDescent="0.25">
      <c r="A11550" t="str">
        <f>"3039319"</f>
        <v>3039319</v>
      </c>
      <c r="B11550" t="s">
        <v>34528</v>
      </c>
      <c r="C11550" t="str">
        <f>"8309611"</f>
        <v>8309611</v>
      </c>
      <c r="D11550" t="s">
        <v>34529</v>
      </c>
      <c r="E11550" t="s">
        <v>34530</v>
      </c>
      <c r="F11550" t="s">
        <v>34531</v>
      </c>
      <c r="I11550" t="s">
        <v>29</v>
      </c>
      <c r="J11550" t="s">
        <v>30</v>
      </c>
      <c r="K11550" t="s">
        <v>34532</v>
      </c>
      <c r="M11550" t="s">
        <v>17861</v>
      </c>
      <c r="N11550" t="str">
        <f>"4/20/2018 2:25:00 PM"</f>
        <v>4/20/2018 2:25:00 PM</v>
      </c>
      <c r="O11550" t="s">
        <v>34529</v>
      </c>
      <c r="T11550" t="s">
        <v>34530</v>
      </c>
    </row>
    <row r="11551" spans="1:20" x14ac:dyDescent="0.25">
      <c r="A11551" t="str">
        <f>"3059146"</f>
        <v>3059146</v>
      </c>
      <c r="B11551" t="s">
        <v>34533</v>
      </c>
      <c r="C11551" t="str">
        <f>"8309664"</f>
        <v>8309664</v>
      </c>
      <c r="D11551" t="s">
        <v>34534</v>
      </c>
      <c r="E11551" t="s">
        <v>34535</v>
      </c>
      <c r="F11551" t="s">
        <v>34536</v>
      </c>
      <c r="I11551" t="s">
        <v>29</v>
      </c>
      <c r="J11551" t="s">
        <v>30</v>
      </c>
      <c r="K11551" t="s">
        <v>33498</v>
      </c>
      <c r="M11551" t="s">
        <v>17861</v>
      </c>
      <c r="N11551" t="str">
        <f>"4/30/2018 1:00:00 PM"</f>
        <v>4/30/2018 1:00:00 PM</v>
      </c>
      <c r="O11551" t="s">
        <v>34534</v>
      </c>
      <c r="T11551" t="s">
        <v>34535</v>
      </c>
    </row>
    <row r="11552" spans="1:20" x14ac:dyDescent="0.25">
      <c r="A11552" t="str">
        <f>"3044541"</f>
        <v>3044541</v>
      </c>
      <c r="B11552" t="s">
        <v>34537</v>
      </c>
      <c r="C11552" t="str">
        <f>"8309667"</f>
        <v>8309667</v>
      </c>
      <c r="D11552" t="s">
        <v>34538</v>
      </c>
      <c r="F11552" t="s">
        <v>34539</v>
      </c>
      <c r="I11552" t="s">
        <v>24359</v>
      </c>
      <c r="J11552" t="s">
        <v>30</v>
      </c>
      <c r="K11552" t="str">
        <f>"27006"</f>
        <v>27006</v>
      </c>
      <c r="M11552" t="s">
        <v>17861</v>
      </c>
      <c r="N11552" t="str">
        <f>"4/30/2018 2:59:00 PM"</f>
        <v>4/30/2018 2:59:00 PM</v>
      </c>
      <c r="O11552" t="s">
        <v>34538</v>
      </c>
    </row>
    <row r="11553" spans="1:20" x14ac:dyDescent="0.25">
      <c r="A11553" t="str">
        <f>"3039875"</f>
        <v>3039875</v>
      </c>
      <c r="B11553" t="s">
        <v>34540</v>
      </c>
      <c r="C11553" t="str">
        <f>"8309611"</f>
        <v>8309611</v>
      </c>
      <c r="D11553" t="s">
        <v>34529</v>
      </c>
      <c r="E11553" t="s">
        <v>34530</v>
      </c>
      <c r="F11553" t="s">
        <v>34531</v>
      </c>
      <c r="I11553" t="s">
        <v>29</v>
      </c>
      <c r="J11553" t="s">
        <v>30</v>
      </c>
      <c r="K11553" t="s">
        <v>34532</v>
      </c>
      <c r="M11553" t="s">
        <v>17861</v>
      </c>
      <c r="N11553" t="str">
        <f>"4/20/2018 2:25:00 PM"</f>
        <v>4/20/2018 2:25:00 PM</v>
      </c>
      <c r="O11553" t="s">
        <v>34529</v>
      </c>
      <c r="T11553" t="s">
        <v>34530</v>
      </c>
    </row>
    <row r="11554" spans="1:20" x14ac:dyDescent="0.25">
      <c r="A11554" t="str">
        <f>"3062108"</f>
        <v>3062108</v>
      </c>
      <c r="B11554" t="s">
        <v>34541</v>
      </c>
      <c r="C11554" t="str">
        <f>"8309612"</f>
        <v>8309612</v>
      </c>
      <c r="D11554" t="s">
        <v>34542</v>
      </c>
      <c r="E11554" t="s">
        <v>34543</v>
      </c>
      <c r="F11554" t="s">
        <v>34544</v>
      </c>
      <c r="I11554" t="s">
        <v>29</v>
      </c>
      <c r="J11554" t="s">
        <v>30</v>
      </c>
      <c r="K11554" t="s">
        <v>34545</v>
      </c>
      <c r="M11554" t="s">
        <v>17861</v>
      </c>
      <c r="N11554" t="str">
        <f>"4/20/2018 2:55:00 PM"</f>
        <v>4/20/2018 2:55:00 PM</v>
      </c>
      <c r="O11554" t="s">
        <v>34542</v>
      </c>
      <c r="T11554" t="s">
        <v>34543</v>
      </c>
    </row>
    <row r="11555" spans="1:20" x14ac:dyDescent="0.25">
      <c r="A11555" t="str">
        <f>"3047842"</f>
        <v>3047842</v>
      </c>
      <c r="B11555" t="s">
        <v>34546</v>
      </c>
      <c r="C11555" t="str">
        <f>"82531541"</f>
        <v>82531541</v>
      </c>
      <c r="D11555" t="s">
        <v>34547</v>
      </c>
      <c r="F11555" t="s">
        <v>34548</v>
      </c>
      <c r="I11555" t="s">
        <v>184</v>
      </c>
      <c r="J11555" t="s">
        <v>30</v>
      </c>
      <c r="K11555" t="s">
        <v>185</v>
      </c>
      <c r="M11555" t="s">
        <v>17861</v>
      </c>
      <c r="N11555" t="str">
        <f>"5/4/2018 9:48:00 AM"</f>
        <v>5/4/2018 9:48:00 AM</v>
      </c>
      <c r="O11555" t="s">
        <v>34547</v>
      </c>
    </row>
    <row r="11556" spans="1:20" x14ac:dyDescent="0.25">
      <c r="A11556" t="str">
        <f>"3051371"</f>
        <v>3051371</v>
      </c>
      <c r="B11556" t="s">
        <v>34549</v>
      </c>
      <c r="C11556" t="str">
        <f>"8309614"</f>
        <v>8309614</v>
      </c>
      <c r="D11556" t="s">
        <v>34550</v>
      </c>
      <c r="F11556" t="s">
        <v>34551</v>
      </c>
      <c r="I11556" t="s">
        <v>29</v>
      </c>
      <c r="J11556" t="s">
        <v>30</v>
      </c>
      <c r="K11556" t="s">
        <v>29195</v>
      </c>
      <c r="M11556" t="s">
        <v>17861</v>
      </c>
      <c r="N11556" t="str">
        <f>"4/20/2018 3:00:00 PM"</f>
        <v>4/20/2018 3:00:00 PM</v>
      </c>
      <c r="O11556" t="s">
        <v>34550</v>
      </c>
    </row>
    <row r="11557" spans="1:20" x14ac:dyDescent="0.25">
      <c r="A11557" t="str">
        <f>"3061249"</f>
        <v>3061249</v>
      </c>
      <c r="B11557" t="s">
        <v>34552</v>
      </c>
      <c r="C11557" t="str">
        <f>"8309615"</f>
        <v>8309615</v>
      </c>
      <c r="D11557" t="s">
        <v>34553</v>
      </c>
      <c r="F11557" t="s">
        <v>34554</v>
      </c>
      <c r="I11557" t="s">
        <v>2071</v>
      </c>
      <c r="J11557" t="s">
        <v>30</v>
      </c>
      <c r="K11557" t="str">
        <f>"27006"</f>
        <v>27006</v>
      </c>
      <c r="M11557" t="s">
        <v>17861</v>
      </c>
      <c r="N11557" t="str">
        <f>"4/20/2018 3:04:00 PM"</f>
        <v>4/20/2018 3:04:00 PM</v>
      </c>
      <c r="O11557" t="s">
        <v>34553</v>
      </c>
    </row>
    <row r="11558" spans="1:20" x14ac:dyDescent="0.25">
      <c r="A11558" t="str">
        <f>"3060543"</f>
        <v>3060543</v>
      </c>
      <c r="B11558" t="s">
        <v>34555</v>
      </c>
      <c r="C11558" t="str">
        <f>"8309616"</f>
        <v>8309616</v>
      </c>
      <c r="D11558" t="s">
        <v>34556</v>
      </c>
      <c r="E11558" t="s">
        <v>34557</v>
      </c>
      <c r="F11558" t="s">
        <v>34558</v>
      </c>
      <c r="I11558" t="s">
        <v>184</v>
      </c>
      <c r="J11558" t="s">
        <v>30</v>
      </c>
      <c r="K11558" t="s">
        <v>9141</v>
      </c>
      <c r="M11558" t="s">
        <v>17861</v>
      </c>
      <c r="N11558" t="str">
        <f>"4/20/2018 3:08:00 PM"</f>
        <v>4/20/2018 3:08:00 PM</v>
      </c>
      <c r="O11558" t="s">
        <v>34556</v>
      </c>
      <c r="T11558" t="s">
        <v>34557</v>
      </c>
    </row>
    <row r="11559" spans="1:20" x14ac:dyDescent="0.25">
      <c r="A11559" t="str">
        <f>"3066375"</f>
        <v>3066375</v>
      </c>
      <c r="B11559" t="s">
        <v>34559</v>
      </c>
      <c r="C11559" t="str">
        <f>"8309617"</f>
        <v>8309617</v>
      </c>
      <c r="D11559" t="s">
        <v>34560</v>
      </c>
      <c r="F11559" t="s">
        <v>34561</v>
      </c>
      <c r="I11559" t="s">
        <v>184</v>
      </c>
      <c r="J11559" t="s">
        <v>30</v>
      </c>
      <c r="K11559" t="s">
        <v>34562</v>
      </c>
      <c r="M11559" t="s">
        <v>17861</v>
      </c>
      <c r="N11559" t="str">
        <f>"4/20/2018 3:14:00 PM"</f>
        <v>4/20/2018 3:14:00 PM</v>
      </c>
      <c r="O11559" t="s">
        <v>34560</v>
      </c>
    </row>
    <row r="11560" spans="1:20" x14ac:dyDescent="0.25">
      <c r="A11560" t="str">
        <f>"3078564"</f>
        <v>3078564</v>
      </c>
      <c r="B11560" t="s">
        <v>34563</v>
      </c>
      <c r="C11560" t="str">
        <f>"8300060"</f>
        <v>8300060</v>
      </c>
      <c r="D11560" t="s">
        <v>34564</v>
      </c>
      <c r="E11560" t="s">
        <v>34565</v>
      </c>
      <c r="F11560" t="s">
        <v>34566</v>
      </c>
      <c r="I11560" t="s">
        <v>29</v>
      </c>
      <c r="J11560" t="s">
        <v>30</v>
      </c>
      <c r="K11560" t="s">
        <v>31</v>
      </c>
      <c r="M11560" t="s">
        <v>33845</v>
      </c>
      <c r="N11560" t="str">
        <f>"4/23/2018 9:09:00 AM"</f>
        <v>4/23/2018 9:09:00 AM</v>
      </c>
      <c r="O11560" t="s">
        <v>34564</v>
      </c>
      <c r="T11560" t="s">
        <v>34565</v>
      </c>
    </row>
    <row r="11561" spans="1:20" x14ac:dyDescent="0.25">
      <c r="A11561" t="str">
        <f>"3042588"</f>
        <v>3042588</v>
      </c>
      <c r="B11561" t="s">
        <v>34567</v>
      </c>
      <c r="C11561" t="str">
        <f>"70872000"</f>
        <v>70872000</v>
      </c>
      <c r="D11561" t="s">
        <v>34568</v>
      </c>
      <c r="E11561" t="s">
        <v>34569</v>
      </c>
      <c r="F11561" t="s">
        <v>32364</v>
      </c>
      <c r="I11561" t="s">
        <v>184</v>
      </c>
      <c r="J11561" t="s">
        <v>30</v>
      </c>
      <c r="K11561" t="s">
        <v>185</v>
      </c>
      <c r="M11561" t="s">
        <v>34475</v>
      </c>
      <c r="N11561" t="str">
        <f>"4/24/2018 10:09:00 AM"</f>
        <v>4/24/2018 10:09:00 AM</v>
      </c>
      <c r="O11561" t="s">
        <v>34568</v>
      </c>
      <c r="T11561" t="s">
        <v>34569</v>
      </c>
    </row>
    <row r="11562" spans="1:20" x14ac:dyDescent="0.25">
      <c r="A11562" t="str">
        <f>"3043757"</f>
        <v>3043757</v>
      </c>
      <c r="B11562" t="s">
        <v>34570</v>
      </c>
      <c r="C11562" t="str">
        <f>"944000"</f>
        <v>944000</v>
      </c>
      <c r="D11562" t="s">
        <v>14441</v>
      </c>
      <c r="F11562" t="s">
        <v>32135</v>
      </c>
      <c r="I11562" t="s">
        <v>184</v>
      </c>
      <c r="J11562" t="s">
        <v>30</v>
      </c>
      <c r="K11562" t="s">
        <v>185</v>
      </c>
      <c r="M11562" t="s">
        <v>34475</v>
      </c>
      <c r="N11562" t="str">
        <f>"4/24/2018 10:32:00 AM"</f>
        <v>4/24/2018 10:32:00 AM</v>
      </c>
      <c r="O11562" t="s">
        <v>14441</v>
      </c>
    </row>
    <row r="11563" spans="1:20" x14ac:dyDescent="0.25">
      <c r="A11563" t="str">
        <f>"3038404"</f>
        <v>3038404</v>
      </c>
      <c r="B11563" t="s">
        <v>34571</v>
      </c>
      <c r="C11563" t="str">
        <f>"8308454"</f>
        <v>8308454</v>
      </c>
      <c r="D11563" t="s">
        <v>34572</v>
      </c>
      <c r="E11563" t="s">
        <v>34573</v>
      </c>
      <c r="F11563" t="s">
        <v>34574</v>
      </c>
      <c r="I11563" t="s">
        <v>29</v>
      </c>
      <c r="J11563" t="s">
        <v>30</v>
      </c>
      <c r="K11563" t="str">
        <f>"27028"</f>
        <v>27028</v>
      </c>
      <c r="M11563" t="s">
        <v>18479</v>
      </c>
      <c r="N11563" t="str">
        <f>"4/24/2018 10:34:00 AM"</f>
        <v>4/24/2018 10:34:00 AM</v>
      </c>
      <c r="O11563" t="s">
        <v>34572</v>
      </c>
      <c r="T11563" t="s">
        <v>34573</v>
      </c>
    </row>
    <row r="11564" spans="1:20" x14ac:dyDescent="0.25">
      <c r="A11564" t="str">
        <f>"3051543"</f>
        <v>3051543</v>
      </c>
      <c r="B11564" t="s">
        <v>34575</v>
      </c>
      <c r="C11564" t="str">
        <f>"8309633"</f>
        <v>8309633</v>
      </c>
      <c r="D11564" t="str">
        <f>"VESTAL STEVEN R/SANDRA F"</f>
        <v>VESTAL STEVEN R/SANDRA F</v>
      </c>
      <c r="E11564" t="s">
        <v>34477</v>
      </c>
      <c r="F11564" t="s">
        <v>34459</v>
      </c>
      <c r="I11564" t="s">
        <v>29</v>
      </c>
      <c r="J11564" t="s">
        <v>30</v>
      </c>
      <c r="K11564" t="s">
        <v>19719</v>
      </c>
      <c r="M11564" t="s">
        <v>17861</v>
      </c>
      <c r="N11564" t="str">
        <f>"4/24/2018 10:35:00 AM"</f>
        <v>4/24/2018 10:35:00 AM</v>
      </c>
      <c r="O11564" t="str">
        <f>"VESTAL STEVEN R/SANDRA F"</f>
        <v>VESTAL STEVEN R/SANDRA F</v>
      </c>
      <c r="T11564" t="s">
        <v>34477</v>
      </c>
    </row>
    <row r="11565" spans="1:20" x14ac:dyDescent="0.25">
      <c r="A11565" t="str">
        <f>"3057030"</f>
        <v>3057030</v>
      </c>
      <c r="B11565" t="s">
        <v>34576</v>
      </c>
      <c r="C11565" t="str">
        <f>"8309643"</f>
        <v>8309643</v>
      </c>
      <c r="D11565" t="s">
        <v>34492</v>
      </c>
      <c r="F11565" t="s">
        <v>34493</v>
      </c>
      <c r="I11565" t="s">
        <v>471</v>
      </c>
      <c r="J11565" t="s">
        <v>30</v>
      </c>
      <c r="K11565" t="str">
        <f>"27106"</f>
        <v>27106</v>
      </c>
      <c r="M11565" t="s">
        <v>17861</v>
      </c>
      <c r="N11565" t="str">
        <f>"4/25/2018 3:43:00 PM"</f>
        <v>4/25/2018 3:43:00 PM</v>
      </c>
      <c r="O11565" t="s">
        <v>34492</v>
      </c>
    </row>
    <row r="11566" spans="1:20" x14ac:dyDescent="0.25">
      <c r="A11566" t="str">
        <f>"3042206"</f>
        <v>3042206</v>
      </c>
      <c r="B11566" t="s">
        <v>34577</v>
      </c>
      <c r="C11566" t="str">
        <f>"8309643"</f>
        <v>8309643</v>
      </c>
      <c r="D11566" t="s">
        <v>34492</v>
      </c>
      <c r="F11566" t="s">
        <v>34493</v>
      </c>
      <c r="I11566" t="s">
        <v>471</v>
      </c>
      <c r="J11566" t="s">
        <v>30</v>
      </c>
      <c r="K11566" t="str">
        <f>"27106"</f>
        <v>27106</v>
      </c>
      <c r="M11566" t="s">
        <v>17861</v>
      </c>
      <c r="N11566" t="str">
        <f>"4/25/2018 3:43:00 PM"</f>
        <v>4/25/2018 3:43:00 PM</v>
      </c>
      <c r="O11566" t="s">
        <v>34492</v>
      </c>
    </row>
    <row r="11567" spans="1:20" x14ac:dyDescent="0.25">
      <c r="A11567" t="str">
        <f>"3063935"</f>
        <v>3063935</v>
      </c>
      <c r="B11567" t="s">
        <v>34578</v>
      </c>
      <c r="C11567" t="str">
        <f>"8309643"</f>
        <v>8309643</v>
      </c>
      <c r="D11567" t="s">
        <v>34492</v>
      </c>
      <c r="F11567" t="s">
        <v>34493</v>
      </c>
      <c r="I11567" t="s">
        <v>471</v>
      </c>
      <c r="J11567" t="s">
        <v>30</v>
      </c>
      <c r="K11567" t="str">
        <f>"27106"</f>
        <v>27106</v>
      </c>
      <c r="M11567" t="s">
        <v>17861</v>
      </c>
      <c r="N11567" t="str">
        <f>"4/25/2018 3:43:00 PM"</f>
        <v>4/25/2018 3:43:00 PM</v>
      </c>
      <c r="O11567" t="s">
        <v>34492</v>
      </c>
    </row>
    <row r="11568" spans="1:20" x14ac:dyDescent="0.25">
      <c r="A11568" t="str">
        <f>"3038199"</f>
        <v>3038199</v>
      </c>
      <c r="B11568" t="s">
        <v>34579</v>
      </c>
      <c r="C11568" t="str">
        <f>"82532850"</f>
        <v>82532850</v>
      </c>
      <c r="D11568" t="str">
        <f>"HAGIE DAVID 1/2 UNDIV INT"</f>
        <v>HAGIE DAVID 1/2 UNDIV INT</v>
      </c>
      <c r="E11568" t="str">
        <f>"CHILDRESS KIM 1/2 UNDIV INT"</f>
        <v>CHILDRESS KIM 1/2 UNDIV INT</v>
      </c>
      <c r="F11568" t="s">
        <v>34580</v>
      </c>
      <c r="I11568" t="s">
        <v>29</v>
      </c>
      <c r="J11568" t="s">
        <v>30</v>
      </c>
      <c r="K11568" t="s">
        <v>31</v>
      </c>
      <c r="M11568" t="s">
        <v>25625</v>
      </c>
      <c r="N11568" t="str">
        <f>"4/17/2018 4:11:00 PM"</f>
        <v>4/17/2018 4:11:00 PM</v>
      </c>
      <c r="O11568" t="str">
        <f>"HAGIE DAVID 1/2 UNDIV INT"</f>
        <v>HAGIE DAVID 1/2 UNDIV INT</v>
      </c>
      <c r="T11568" t="str">
        <f>"CHILDRESS KIM 1/2 UNDIV INT"</f>
        <v>CHILDRESS KIM 1/2 UNDIV INT</v>
      </c>
    </row>
    <row r="11569" spans="1:20" x14ac:dyDescent="0.25">
      <c r="A11569" t="str">
        <f>"3053918"</f>
        <v>3053918</v>
      </c>
      <c r="B11569" t="s">
        <v>34581</v>
      </c>
      <c r="C11569" t="str">
        <f>"8302388"</f>
        <v>8302388</v>
      </c>
      <c r="D11569" t="s">
        <v>34582</v>
      </c>
      <c r="F11569" t="s">
        <v>34583</v>
      </c>
      <c r="I11569" t="s">
        <v>29</v>
      </c>
      <c r="J11569" t="s">
        <v>30</v>
      </c>
      <c r="K11569" t="str">
        <f>"27028"</f>
        <v>27028</v>
      </c>
      <c r="M11569" t="s">
        <v>33845</v>
      </c>
      <c r="N11569" t="str">
        <f>"5/9/2018 9:54:00 AM"</f>
        <v>5/9/2018 9:54:00 AM</v>
      </c>
      <c r="O11569" t="s">
        <v>34582</v>
      </c>
    </row>
    <row r="11570" spans="1:20" x14ac:dyDescent="0.25">
      <c r="A11570" t="str">
        <f>"3039903"</f>
        <v>3039903</v>
      </c>
      <c r="B11570" t="s">
        <v>34584</v>
      </c>
      <c r="C11570" t="str">
        <f>"8302388"</f>
        <v>8302388</v>
      </c>
      <c r="D11570" t="s">
        <v>34582</v>
      </c>
      <c r="F11570" t="s">
        <v>34583</v>
      </c>
      <c r="I11570" t="s">
        <v>29</v>
      </c>
      <c r="J11570" t="s">
        <v>30</v>
      </c>
      <c r="K11570" t="str">
        <f>"27028"</f>
        <v>27028</v>
      </c>
      <c r="M11570" t="s">
        <v>33845</v>
      </c>
      <c r="N11570" t="str">
        <f>"5/9/2018 9:54:00 AM"</f>
        <v>5/9/2018 9:54:00 AM</v>
      </c>
      <c r="O11570" t="s">
        <v>34582</v>
      </c>
    </row>
    <row r="11571" spans="1:20" x14ac:dyDescent="0.25">
      <c r="A11571" t="str">
        <f>"3059919"</f>
        <v>3059919</v>
      </c>
      <c r="B11571" t="s">
        <v>34585</v>
      </c>
      <c r="C11571" t="str">
        <f>"13193630"</f>
        <v>13193630</v>
      </c>
      <c r="D11571" t="s">
        <v>34586</v>
      </c>
      <c r="E11571" t="s">
        <v>34587</v>
      </c>
      <c r="F11571" t="s">
        <v>34588</v>
      </c>
      <c r="I11571" t="s">
        <v>29</v>
      </c>
      <c r="J11571" t="s">
        <v>30</v>
      </c>
      <c r="K11571" t="s">
        <v>31</v>
      </c>
      <c r="M11571" t="s">
        <v>34475</v>
      </c>
      <c r="N11571" t="str">
        <f>"5/9/2018 9:57:00 AM"</f>
        <v>5/9/2018 9:57:00 AM</v>
      </c>
      <c r="O11571" t="s">
        <v>34586</v>
      </c>
      <c r="T11571" t="s">
        <v>34587</v>
      </c>
    </row>
    <row r="11572" spans="1:20" x14ac:dyDescent="0.25">
      <c r="A11572" t="str">
        <f>"3038273"</f>
        <v>3038273</v>
      </c>
      <c r="B11572" t="s">
        <v>34589</v>
      </c>
      <c r="C11572" t="str">
        <f>"82532850"</f>
        <v>82532850</v>
      </c>
      <c r="D11572" t="str">
        <f>"HAGIE DAVID 1/2 UNDIV INT"</f>
        <v>HAGIE DAVID 1/2 UNDIV INT</v>
      </c>
      <c r="E11572" t="str">
        <f>"CHILDRESS KIM 1/2 UNDIV INT"</f>
        <v>CHILDRESS KIM 1/2 UNDIV INT</v>
      </c>
      <c r="F11572" t="s">
        <v>34580</v>
      </c>
      <c r="I11572" t="s">
        <v>29</v>
      </c>
      <c r="J11572" t="s">
        <v>30</v>
      </c>
      <c r="K11572" t="s">
        <v>31</v>
      </c>
      <c r="M11572" t="s">
        <v>25625</v>
      </c>
      <c r="N11572" t="str">
        <f>"4/17/2018 4:11:00 PM"</f>
        <v>4/17/2018 4:11:00 PM</v>
      </c>
      <c r="O11572" t="str">
        <f>"HAGIE DAVID 1/2 UNDIV INT"</f>
        <v>HAGIE DAVID 1/2 UNDIV INT</v>
      </c>
      <c r="T11572" t="str">
        <f>"CHILDRESS KIM 1/2 UNDIV INT"</f>
        <v>CHILDRESS KIM 1/2 UNDIV INT</v>
      </c>
    </row>
    <row r="11573" spans="1:20" x14ac:dyDescent="0.25">
      <c r="A11573" t="str">
        <f>"3039002"</f>
        <v>3039002</v>
      </c>
      <c r="B11573" t="s">
        <v>34590</v>
      </c>
      <c r="C11573" t="str">
        <f>"82532850"</f>
        <v>82532850</v>
      </c>
      <c r="D11573" t="str">
        <f>"HAGIE DAVID 1/2 UNDIV INT"</f>
        <v>HAGIE DAVID 1/2 UNDIV INT</v>
      </c>
      <c r="E11573" t="str">
        <f>"CHILDRESS KIM 1/2 UNDIV INT"</f>
        <v>CHILDRESS KIM 1/2 UNDIV INT</v>
      </c>
      <c r="F11573" t="s">
        <v>34580</v>
      </c>
      <c r="I11573" t="s">
        <v>29</v>
      </c>
      <c r="J11573" t="s">
        <v>30</v>
      </c>
      <c r="K11573" t="s">
        <v>31</v>
      </c>
      <c r="M11573" t="s">
        <v>25625</v>
      </c>
      <c r="N11573" t="str">
        <f>"4/17/2018 4:11:00 PM"</f>
        <v>4/17/2018 4:11:00 PM</v>
      </c>
      <c r="O11573" t="str">
        <f>"HAGIE DAVID 1/2 UNDIV INT"</f>
        <v>HAGIE DAVID 1/2 UNDIV INT</v>
      </c>
      <c r="T11573" t="str">
        <f>"CHILDRESS KIM 1/2 UNDIV INT"</f>
        <v>CHILDRESS KIM 1/2 UNDIV INT</v>
      </c>
    </row>
    <row r="11574" spans="1:20" x14ac:dyDescent="0.25">
      <c r="A11574" t="str">
        <f>"3067944"</f>
        <v>3067944</v>
      </c>
      <c r="B11574" t="s">
        <v>34591</v>
      </c>
      <c r="C11574" t="str">
        <f>"49514000"</f>
        <v>49514000</v>
      </c>
      <c r="D11574" t="s">
        <v>34592</v>
      </c>
      <c r="F11574" t="s">
        <v>34593</v>
      </c>
      <c r="I11574" t="s">
        <v>29</v>
      </c>
      <c r="J11574" t="s">
        <v>30</v>
      </c>
      <c r="K11574" t="s">
        <v>15999</v>
      </c>
      <c r="M11574" t="s">
        <v>34475</v>
      </c>
      <c r="N11574" t="str">
        <f>"4/18/2018 3:40:00 PM"</f>
        <v>4/18/2018 3:40:00 PM</v>
      </c>
      <c r="O11574" t="s">
        <v>34592</v>
      </c>
      <c r="T11574" t="s">
        <v>34592</v>
      </c>
    </row>
    <row r="11575" spans="1:20" x14ac:dyDescent="0.25">
      <c r="A11575" t="str">
        <f>"3042691"</f>
        <v>3042691</v>
      </c>
      <c r="B11575" t="s">
        <v>34594</v>
      </c>
      <c r="C11575" t="str">
        <f>"82522104"</f>
        <v>82522104</v>
      </c>
      <c r="D11575" t="s">
        <v>34595</v>
      </c>
      <c r="F11575" t="s">
        <v>34596</v>
      </c>
      <c r="I11575" t="s">
        <v>29</v>
      </c>
      <c r="J11575" t="s">
        <v>30</v>
      </c>
      <c r="K11575" t="s">
        <v>34597</v>
      </c>
      <c r="M11575" t="s">
        <v>33845</v>
      </c>
      <c r="N11575" t="str">
        <f>"4/26/2018 12:37:00 PM"</f>
        <v>4/26/2018 12:37:00 PM</v>
      </c>
      <c r="O11575" t="s">
        <v>34595</v>
      </c>
    </row>
    <row r="11576" spans="1:20" x14ac:dyDescent="0.25">
      <c r="A11576" t="str">
        <f>"3059741"</f>
        <v>3059741</v>
      </c>
      <c r="B11576" t="s">
        <v>34598</v>
      </c>
      <c r="C11576" t="str">
        <f>"82515595"</f>
        <v>82515595</v>
      </c>
      <c r="D11576" t="s">
        <v>34599</v>
      </c>
      <c r="E11576" t="s">
        <v>34600</v>
      </c>
      <c r="F11576" t="s">
        <v>34601</v>
      </c>
      <c r="I11576" t="s">
        <v>29</v>
      </c>
      <c r="J11576" t="s">
        <v>30</v>
      </c>
      <c r="K11576" t="s">
        <v>31</v>
      </c>
      <c r="M11576" t="s">
        <v>34475</v>
      </c>
      <c r="N11576" t="str">
        <f>"5/9/2018 11:14:00 AM"</f>
        <v>5/9/2018 11:14:00 AM</v>
      </c>
      <c r="O11576" t="s">
        <v>34599</v>
      </c>
      <c r="T11576" t="s">
        <v>34600</v>
      </c>
    </row>
    <row r="11577" spans="1:20" x14ac:dyDescent="0.25">
      <c r="A11577" t="str">
        <f>"3061310"</f>
        <v>3061310</v>
      </c>
      <c r="B11577" t="s">
        <v>34602</v>
      </c>
      <c r="C11577" t="str">
        <f>"8309652"</f>
        <v>8309652</v>
      </c>
      <c r="D11577" t="s">
        <v>34603</v>
      </c>
      <c r="F11577" t="s">
        <v>34604</v>
      </c>
      <c r="I11577" t="s">
        <v>2071</v>
      </c>
      <c r="J11577" t="s">
        <v>30</v>
      </c>
      <c r="K11577" t="str">
        <f>"27006"</f>
        <v>27006</v>
      </c>
      <c r="M11577" t="s">
        <v>17861</v>
      </c>
      <c r="N11577" t="str">
        <f>"4/27/2018 10:40:00 AM"</f>
        <v>4/27/2018 10:40:00 AM</v>
      </c>
      <c r="O11577" t="s">
        <v>34603</v>
      </c>
    </row>
    <row r="11578" spans="1:20" x14ac:dyDescent="0.25">
      <c r="A11578" t="str">
        <f>"3052888"</f>
        <v>3052888</v>
      </c>
      <c r="B11578" t="s">
        <v>34605</v>
      </c>
      <c r="C11578" t="str">
        <f>"82524225"</f>
        <v>82524225</v>
      </c>
      <c r="D11578" t="s">
        <v>34606</v>
      </c>
      <c r="F11578" t="s">
        <v>34607</v>
      </c>
      <c r="I11578" t="s">
        <v>34608</v>
      </c>
      <c r="J11578" t="s">
        <v>30</v>
      </c>
      <c r="K11578" t="s">
        <v>34609</v>
      </c>
      <c r="M11578" t="s">
        <v>34475</v>
      </c>
      <c r="N11578" t="str">
        <f>"5/9/2018 11:38:00 AM"</f>
        <v>5/9/2018 11:38:00 AM</v>
      </c>
      <c r="O11578" t="s">
        <v>34606</v>
      </c>
    </row>
    <row r="11579" spans="1:20" x14ac:dyDescent="0.25">
      <c r="A11579" t="str">
        <f>"3059195"</f>
        <v>3059195</v>
      </c>
      <c r="B11579" t="s">
        <v>34610</v>
      </c>
      <c r="C11579" t="str">
        <f>"8309654"</f>
        <v>8309654</v>
      </c>
      <c r="D11579" t="s">
        <v>34611</v>
      </c>
      <c r="E11579" t="s">
        <v>34612</v>
      </c>
      <c r="F11579" t="s">
        <v>34613</v>
      </c>
      <c r="I11579" t="s">
        <v>2071</v>
      </c>
      <c r="J11579" t="s">
        <v>30</v>
      </c>
      <c r="K11579" t="str">
        <f>"27006"</f>
        <v>27006</v>
      </c>
      <c r="M11579" t="s">
        <v>17861</v>
      </c>
      <c r="N11579" t="str">
        <f>"4/27/2018 12:36:00 PM"</f>
        <v>4/27/2018 12:36:00 PM</v>
      </c>
      <c r="O11579" t="s">
        <v>34611</v>
      </c>
      <c r="T11579" t="s">
        <v>34612</v>
      </c>
    </row>
    <row r="11580" spans="1:20" x14ac:dyDescent="0.25">
      <c r="A11580" t="str">
        <f>"3052048"</f>
        <v>3052048</v>
      </c>
      <c r="B11580" t="s">
        <v>34614</v>
      </c>
      <c r="C11580" t="str">
        <f>"8309721"</f>
        <v>8309721</v>
      </c>
      <c r="D11580" t="s">
        <v>34615</v>
      </c>
      <c r="F11580" t="s">
        <v>34616</v>
      </c>
      <c r="I11580" t="s">
        <v>29</v>
      </c>
      <c r="J11580" t="s">
        <v>30</v>
      </c>
      <c r="K11580" t="s">
        <v>34617</v>
      </c>
      <c r="M11580" t="s">
        <v>17861</v>
      </c>
      <c r="N11580" t="str">
        <f>"5/10/2018 1:01:00 PM"</f>
        <v>5/10/2018 1:01:00 PM</v>
      </c>
      <c r="O11580" t="s">
        <v>34615</v>
      </c>
    </row>
    <row r="11581" spans="1:20" x14ac:dyDescent="0.25">
      <c r="A11581" t="str">
        <f>"3057666"</f>
        <v>3057666</v>
      </c>
      <c r="B11581" t="s">
        <v>34618</v>
      </c>
      <c r="C11581" t="str">
        <f>"8309722"</f>
        <v>8309722</v>
      </c>
      <c r="D11581" t="s">
        <v>34619</v>
      </c>
      <c r="E11581" t="s">
        <v>34620</v>
      </c>
      <c r="F11581" t="s">
        <v>34621</v>
      </c>
      <c r="I11581" t="s">
        <v>184</v>
      </c>
      <c r="J11581" t="s">
        <v>30</v>
      </c>
      <c r="K11581" t="s">
        <v>34622</v>
      </c>
      <c r="M11581" t="s">
        <v>17861</v>
      </c>
      <c r="N11581" t="str">
        <f>"5/10/2018 1:12:00 PM"</f>
        <v>5/10/2018 1:12:00 PM</v>
      </c>
      <c r="O11581" t="s">
        <v>34619</v>
      </c>
      <c r="T11581" t="s">
        <v>34620</v>
      </c>
    </row>
    <row r="11582" spans="1:20" x14ac:dyDescent="0.25">
      <c r="A11582" t="str">
        <f>"3041692"</f>
        <v>3041692</v>
      </c>
      <c r="B11582" t="s">
        <v>34623</v>
      </c>
      <c r="C11582" t="str">
        <f>"8309663"</f>
        <v>8309663</v>
      </c>
      <c r="D11582" t="s">
        <v>34624</v>
      </c>
      <c r="F11582" t="s">
        <v>34625</v>
      </c>
      <c r="I11582" t="s">
        <v>2071</v>
      </c>
      <c r="J11582" t="s">
        <v>30</v>
      </c>
      <c r="K11582" t="str">
        <f>"27006"</f>
        <v>27006</v>
      </c>
      <c r="M11582" t="s">
        <v>17861</v>
      </c>
      <c r="N11582" t="str">
        <f>"4/30/2018 12:44:00 PM"</f>
        <v>4/30/2018 12:44:00 PM</v>
      </c>
      <c r="O11582" t="s">
        <v>34624</v>
      </c>
    </row>
    <row r="11583" spans="1:20" x14ac:dyDescent="0.25">
      <c r="A11583" t="str">
        <f>"3060995"</f>
        <v>3060995</v>
      </c>
      <c r="B11583" t="s">
        <v>34626</v>
      </c>
      <c r="C11583" t="str">
        <f>"8309674"</f>
        <v>8309674</v>
      </c>
      <c r="D11583" t="s">
        <v>34627</v>
      </c>
      <c r="E11583" t="str">
        <f>"CAPRON J BRIAN/BARBARA J"</f>
        <v>CAPRON J BRIAN/BARBARA J</v>
      </c>
      <c r="F11583" t="s">
        <v>34628</v>
      </c>
      <c r="I11583" t="s">
        <v>2071</v>
      </c>
      <c r="J11583" t="s">
        <v>30</v>
      </c>
      <c r="K11583" t="s">
        <v>34629</v>
      </c>
      <c r="M11583" t="s">
        <v>17861</v>
      </c>
      <c r="N11583" t="str">
        <f>"5/4/2018 9:35:00 AM"</f>
        <v>5/4/2018 9:35:00 AM</v>
      </c>
      <c r="O11583" t="s">
        <v>34627</v>
      </c>
      <c r="T11583" t="str">
        <f>"CAPRON J BRIAN/BARBARA J"</f>
        <v>CAPRON J BRIAN/BARBARA J</v>
      </c>
    </row>
    <row r="11584" spans="1:20" x14ac:dyDescent="0.25">
      <c r="A11584" t="str">
        <f>"3052627"</f>
        <v>3052627</v>
      </c>
      <c r="B11584" t="s">
        <v>34630</v>
      </c>
      <c r="C11584" t="str">
        <f>"8309728"</f>
        <v>8309728</v>
      </c>
      <c r="D11584" t="s">
        <v>34631</v>
      </c>
      <c r="F11584" t="s">
        <v>34632</v>
      </c>
      <c r="I11584" t="s">
        <v>29</v>
      </c>
      <c r="J11584" t="s">
        <v>30</v>
      </c>
      <c r="K11584" t="s">
        <v>34633</v>
      </c>
      <c r="M11584" t="s">
        <v>17861</v>
      </c>
      <c r="N11584" t="str">
        <f>"5/14/2018 9:57:00 AM"</f>
        <v>5/14/2018 9:57:00 AM</v>
      </c>
      <c r="O11584" t="s">
        <v>34631</v>
      </c>
    </row>
    <row r="11585" spans="1:20" x14ac:dyDescent="0.25">
      <c r="A11585" t="str">
        <f>"3049761"</f>
        <v>3049761</v>
      </c>
      <c r="B11585" t="s">
        <v>34634</v>
      </c>
      <c r="C11585" t="str">
        <f>"8309676"</f>
        <v>8309676</v>
      </c>
      <c r="D11585" t="s">
        <v>34635</v>
      </c>
      <c r="E11585" t="s">
        <v>34636</v>
      </c>
      <c r="F11585" t="s">
        <v>34637</v>
      </c>
      <c r="I11585" t="s">
        <v>29</v>
      </c>
      <c r="J11585" t="s">
        <v>30</v>
      </c>
      <c r="K11585" t="s">
        <v>34638</v>
      </c>
      <c r="M11585" t="s">
        <v>17861</v>
      </c>
      <c r="N11585" t="str">
        <f>"5/4/2018 9:45:00 AM"</f>
        <v>5/4/2018 9:45:00 AM</v>
      </c>
      <c r="O11585" t="s">
        <v>34635</v>
      </c>
      <c r="T11585" t="s">
        <v>34636</v>
      </c>
    </row>
    <row r="11586" spans="1:20" x14ac:dyDescent="0.25">
      <c r="A11586" t="str">
        <f>"3044832"</f>
        <v>3044832</v>
      </c>
      <c r="B11586" t="s">
        <v>34639</v>
      </c>
      <c r="C11586" t="str">
        <f>"8309605"</f>
        <v>8309605</v>
      </c>
      <c r="D11586" t="s">
        <v>34640</v>
      </c>
      <c r="E11586" t="s">
        <v>34641</v>
      </c>
      <c r="F11586" t="s">
        <v>34642</v>
      </c>
      <c r="I11586" t="s">
        <v>184</v>
      </c>
      <c r="J11586" t="s">
        <v>30</v>
      </c>
      <c r="K11586" t="s">
        <v>30957</v>
      </c>
      <c r="M11586" t="s">
        <v>17861</v>
      </c>
      <c r="N11586" t="str">
        <f>"4/17/2018 3:57:00 PM"</f>
        <v>4/17/2018 3:57:00 PM</v>
      </c>
      <c r="O11586" t="s">
        <v>34640</v>
      </c>
      <c r="T11586" t="s">
        <v>34641</v>
      </c>
    </row>
    <row r="11587" spans="1:20" x14ac:dyDescent="0.25">
      <c r="A11587" t="str">
        <f>"3045257"</f>
        <v>3045257</v>
      </c>
      <c r="B11587" t="s">
        <v>34643</v>
      </c>
      <c r="C11587" t="str">
        <f>"8303140"</f>
        <v>8303140</v>
      </c>
      <c r="D11587" t="s">
        <v>34644</v>
      </c>
      <c r="E11587" t="s">
        <v>34645</v>
      </c>
      <c r="F11587" t="s">
        <v>34646</v>
      </c>
      <c r="I11587" t="s">
        <v>1149</v>
      </c>
      <c r="J11587" t="s">
        <v>30</v>
      </c>
      <c r="K11587" t="str">
        <f>"28634"</f>
        <v>28634</v>
      </c>
      <c r="M11587" t="s">
        <v>18479</v>
      </c>
      <c r="N11587" t="str">
        <f>"4/26/2018 8:50:00 AM"</f>
        <v>4/26/2018 8:50:00 AM</v>
      </c>
      <c r="O11587" t="s">
        <v>34644</v>
      </c>
      <c r="T11587" t="s">
        <v>34645</v>
      </c>
    </row>
    <row r="11588" spans="1:20" x14ac:dyDescent="0.25">
      <c r="A11588" t="str">
        <f>"3060219"</f>
        <v>3060219</v>
      </c>
      <c r="B11588" t="s">
        <v>34647</v>
      </c>
      <c r="C11588" t="str">
        <f>"8309714"</f>
        <v>8309714</v>
      </c>
      <c r="D11588" t="s">
        <v>34648</v>
      </c>
      <c r="E11588" t="s">
        <v>34649</v>
      </c>
      <c r="F11588" t="s">
        <v>34650</v>
      </c>
      <c r="I11588" t="s">
        <v>184</v>
      </c>
      <c r="J11588" t="s">
        <v>30</v>
      </c>
      <c r="K11588" t="s">
        <v>33744</v>
      </c>
      <c r="M11588" t="s">
        <v>17861</v>
      </c>
      <c r="N11588" t="str">
        <f>"5/9/2018 10:19:00 AM"</f>
        <v>5/9/2018 10:19:00 AM</v>
      </c>
      <c r="O11588" t="s">
        <v>34648</v>
      </c>
      <c r="T11588" t="s">
        <v>34649</v>
      </c>
    </row>
    <row r="11589" spans="1:20" x14ac:dyDescent="0.25">
      <c r="A11589" t="str">
        <f>"3053457"</f>
        <v>3053457</v>
      </c>
      <c r="B11589" t="s">
        <v>34651</v>
      </c>
      <c r="C11589" t="str">
        <f>"8309716"</f>
        <v>8309716</v>
      </c>
      <c r="D11589" t="s">
        <v>34652</v>
      </c>
      <c r="F11589" t="s">
        <v>34653</v>
      </c>
      <c r="I11589" t="s">
        <v>29</v>
      </c>
      <c r="J11589" t="s">
        <v>30</v>
      </c>
      <c r="K11589" t="s">
        <v>34654</v>
      </c>
      <c r="M11589" t="s">
        <v>17861</v>
      </c>
      <c r="N11589" t="str">
        <f>"5/9/2018 10:36:00 AM"</f>
        <v>5/9/2018 10:36:00 AM</v>
      </c>
      <c r="O11589" t="s">
        <v>34652</v>
      </c>
    </row>
    <row r="11590" spans="1:20" x14ac:dyDescent="0.25">
      <c r="A11590" t="str">
        <f>"3058982"</f>
        <v>3058982</v>
      </c>
      <c r="B11590" t="s">
        <v>34655</v>
      </c>
      <c r="C11590" t="str">
        <f>"8309718"</f>
        <v>8309718</v>
      </c>
      <c r="D11590" t="s">
        <v>34656</v>
      </c>
      <c r="E11590" t="s">
        <v>34657</v>
      </c>
      <c r="F11590" t="s">
        <v>34658</v>
      </c>
      <c r="I11590" t="s">
        <v>29</v>
      </c>
      <c r="J11590" t="s">
        <v>30</v>
      </c>
      <c r="K11590" t="s">
        <v>34659</v>
      </c>
      <c r="M11590" t="s">
        <v>17861</v>
      </c>
      <c r="N11590" t="str">
        <f>"5/9/2018 10:53:00 AM"</f>
        <v>5/9/2018 10:53:00 AM</v>
      </c>
      <c r="O11590" t="s">
        <v>34656</v>
      </c>
      <c r="T11590" t="s">
        <v>34657</v>
      </c>
    </row>
    <row r="11591" spans="1:20" x14ac:dyDescent="0.25">
      <c r="A11591" t="str">
        <f>"3046755"</f>
        <v>3046755</v>
      </c>
      <c r="B11591" t="s">
        <v>34660</v>
      </c>
      <c r="C11591" t="str">
        <f>"57074500"</f>
        <v>57074500</v>
      </c>
      <c r="D11591" t="s">
        <v>34661</v>
      </c>
      <c r="E11591" t="s">
        <v>34662</v>
      </c>
      <c r="F11591" t="s">
        <v>34663</v>
      </c>
      <c r="I11591" t="s">
        <v>184</v>
      </c>
      <c r="J11591" t="s">
        <v>30</v>
      </c>
      <c r="K11591" t="s">
        <v>185</v>
      </c>
      <c r="M11591" t="s">
        <v>33845</v>
      </c>
      <c r="N11591" t="str">
        <f>"5/9/2018 11:06:00 AM"</f>
        <v>5/9/2018 11:06:00 AM</v>
      </c>
      <c r="O11591" t="s">
        <v>34661</v>
      </c>
      <c r="T11591" t="s">
        <v>34662</v>
      </c>
    </row>
    <row r="11592" spans="1:20" x14ac:dyDescent="0.25">
      <c r="A11592" t="str">
        <f>"3052320"</f>
        <v>3052320</v>
      </c>
      <c r="B11592" t="s">
        <v>34664</v>
      </c>
      <c r="C11592" t="str">
        <f>"82524225"</f>
        <v>82524225</v>
      </c>
      <c r="D11592" t="s">
        <v>34606</v>
      </c>
      <c r="F11592" t="s">
        <v>34607</v>
      </c>
      <c r="I11592" t="s">
        <v>34608</v>
      </c>
      <c r="J11592" t="s">
        <v>30</v>
      </c>
      <c r="K11592" t="s">
        <v>34609</v>
      </c>
      <c r="M11592" t="s">
        <v>34475</v>
      </c>
      <c r="N11592" t="str">
        <f>"5/9/2018 11:38:00 AM"</f>
        <v>5/9/2018 11:38:00 AM</v>
      </c>
      <c r="O11592" t="s">
        <v>34606</v>
      </c>
    </row>
    <row r="11593" spans="1:20" x14ac:dyDescent="0.25">
      <c r="A11593" t="str">
        <f>"3049996"</f>
        <v>3049996</v>
      </c>
      <c r="B11593" t="s">
        <v>34665</v>
      </c>
      <c r="C11593" t="str">
        <f>"71254000"</f>
        <v>71254000</v>
      </c>
      <c r="D11593" t="s">
        <v>34666</v>
      </c>
      <c r="E11593" t="s">
        <v>34667</v>
      </c>
      <c r="F11593" t="s">
        <v>34668</v>
      </c>
      <c r="I11593" t="s">
        <v>29</v>
      </c>
      <c r="J11593" t="s">
        <v>30</v>
      </c>
      <c r="K11593" t="s">
        <v>34669</v>
      </c>
      <c r="M11593" t="s">
        <v>34670</v>
      </c>
      <c r="N11593" t="str">
        <f>"5/9/2018 4:13:00 PM"</f>
        <v>5/9/2018 4:13:00 PM</v>
      </c>
      <c r="O11593" t="s">
        <v>34666</v>
      </c>
      <c r="T11593" t="s">
        <v>34667</v>
      </c>
    </row>
    <row r="11594" spans="1:20" x14ac:dyDescent="0.25">
      <c r="A11594" t="str">
        <f>"3060956"</f>
        <v>3060956</v>
      </c>
      <c r="B11594" t="s">
        <v>34671</v>
      </c>
      <c r="C11594" t="str">
        <f>"8309746"</f>
        <v>8309746</v>
      </c>
      <c r="D11594" t="s">
        <v>34672</v>
      </c>
      <c r="E11594" t="s">
        <v>34673</v>
      </c>
      <c r="F11594" t="s">
        <v>34674</v>
      </c>
      <c r="I11594" t="s">
        <v>184</v>
      </c>
      <c r="J11594" t="s">
        <v>30</v>
      </c>
      <c r="K11594" t="s">
        <v>34675</v>
      </c>
      <c r="M11594" t="s">
        <v>17861</v>
      </c>
      <c r="N11594" t="str">
        <f>"5/17/2018 10:00:00 AM"</f>
        <v>5/17/2018 10:00:00 AM</v>
      </c>
      <c r="O11594" t="s">
        <v>34672</v>
      </c>
      <c r="T11594" t="s">
        <v>34673</v>
      </c>
    </row>
    <row r="11595" spans="1:20" x14ac:dyDescent="0.25">
      <c r="A11595" t="str">
        <f>"3050427"</f>
        <v>3050427</v>
      </c>
      <c r="B11595" t="s">
        <v>34676</v>
      </c>
      <c r="C11595" t="str">
        <f>"8309724"</f>
        <v>8309724</v>
      </c>
      <c r="D11595" t="s">
        <v>34677</v>
      </c>
      <c r="E11595" t="s">
        <v>34678</v>
      </c>
      <c r="F11595" t="s">
        <v>34679</v>
      </c>
      <c r="I11595" t="s">
        <v>4502</v>
      </c>
      <c r="J11595" t="s">
        <v>30</v>
      </c>
      <c r="K11595" t="s">
        <v>34680</v>
      </c>
      <c r="M11595" t="s">
        <v>17861</v>
      </c>
      <c r="N11595" t="str">
        <f>"5/10/2018 3:03:00 PM"</f>
        <v>5/10/2018 3:03:00 PM</v>
      </c>
      <c r="O11595" t="s">
        <v>34677</v>
      </c>
      <c r="T11595" t="s">
        <v>34678</v>
      </c>
    </row>
    <row r="11596" spans="1:20" x14ac:dyDescent="0.25">
      <c r="A11596" t="str">
        <f>"3054135"</f>
        <v>3054135</v>
      </c>
      <c r="B11596" t="s">
        <v>34681</v>
      </c>
      <c r="C11596" t="str">
        <f>"82530809"</f>
        <v>82530809</v>
      </c>
      <c r="D11596" t="s">
        <v>34682</v>
      </c>
      <c r="E11596" t="s">
        <v>34683</v>
      </c>
      <c r="F11596" t="s">
        <v>34684</v>
      </c>
      <c r="I11596" t="s">
        <v>29</v>
      </c>
      <c r="J11596" t="s">
        <v>30</v>
      </c>
      <c r="K11596" t="s">
        <v>31</v>
      </c>
      <c r="M11596" t="s">
        <v>33845</v>
      </c>
      <c r="N11596" t="str">
        <f>"5/11/2018 2:30:00 PM"</f>
        <v>5/11/2018 2:30:00 PM</v>
      </c>
      <c r="O11596" t="s">
        <v>34682</v>
      </c>
      <c r="T11596" t="s">
        <v>34683</v>
      </c>
    </row>
    <row r="11597" spans="1:20" x14ac:dyDescent="0.25">
      <c r="A11597" t="str">
        <f>"3039034"</f>
        <v>3039034</v>
      </c>
      <c r="B11597" t="s">
        <v>34685</v>
      </c>
      <c r="C11597" t="str">
        <f>"8309678"</f>
        <v>8309678</v>
      </c>
      <c r="D11597" t="s">
        <v>34686</v>
      </c>
      <c r="F11597" t="s">
        <v>34687</v>
      </c>
      <c r="I11597" t="s">
        <v>29</v>
      </c>
      <c r="J11597" t="s">
        <v>30</v>
      </c>
      <c r="K11597" t="s">
        <v>10754</v>
      </c>
      <c r="M11597" t="s">
        <v>17861</v>
      </c>
      <c r="N11597" t="str">
        <f>"5/4/2018 10:09:00 AM"</f>
        <v>5/4/2018 10:09:00 AM</v>
      </c>
      <c r="O11597" t="s">
        <v>34686</v>
      </c>
    </row>
    <row r="11598" spans="1:20" x14ac:dyDescent="0.25">
      <c r="A11598" t="str">
        <f>"3070096"</f>
        <v>3070096</v>
      </c>
      <c r="B11598" t="s">
        <v>34688</v>
      </c>
      <c r="C11598" t="str">
        <f>"8309678"</f>
        <v>8309678</v>
      </c>
      <c r="D11598" t="s">
        <v>34686</v>
      </c>
      <c r="F11598" t="s">
        <v>34687</v>
      </c>
      <c r="I11598" t="s">
        <v>29</v>
      </c>
      <c r="J11598" t="s">
        <v>30</v>
      </c>
      <c r="K11598" t="s">
        <v>10754</v>
      </c>
      <c r="M11598" t="s">
        <v>17861</v>
      </c>
      <c r="N11598" t="str">
        <f>"5/4/2018 10:09:00 AM"</f>
        <v>5/4/2018 10:09:00 AM</v>
      </c>
      <c r="O11598" t="s">
        <v>34686</v>
      </c>
    </row>
    <row r="11599" spans="1:20" x14ac:dyDescent="0.25">
      <c r="A11599" t="str">
        <f>"3044709"</f>
        <v>3044709</v>
      </c>
      <c r="B11599" t="s">
        <v>34689</v>
      </c>
      <c r="C11599" t="str">
        <f>"8309682"</f>
        <v>8309682</v>
      </c>
      <c r="D11599" t="s">
        <v>34690</v>
      </c>
      <c r="F11599" t="s">
        <v>34691</v>
      </c>
      <c r="I11599" t="s">
        <v>184</v>
      </c>
      <c r="J11599" t="s">
        <v>30</v>
      </c>
      <c r="K11599" t="s">
        <v>34692</v>
      </c>
      <c r="M11599" t="s">
        <v>17861</v>
      </c>
      <c r="N11599" t="str">
        <f>"5/4/2018 11:10:00 AM"</f>
        <v>5/4/2018 11:10:00 AM</v>
      </c>
      <c r="O11599" t="s">
        <v>34690</v>
      </c>
    </row>
    <row r="11600" spans="1:20" x14ac:dyDescent="0.25">
      <c r="A11600" t="str">
        <f>"3060493"</f>
        <v>3060493</v>
      </c>
      <c r="B11600" t="s">
        <v>34693</v>
      </c>
      <c r="C11600" t="str">
        <f>"8309683"</f>
        <v>8309683</v>
      </c>
      <c r="D11600" t="s">
        <v>34694</v>
      </c>
      <c r="E11600" t="s">
        <v>34695</v>
      </c>
      <c r="F11600" t="s">
        <v>34696</v>
      </c>
      <c r="I11600" t="s">
        <v>184</v>
      </c>
      <c r="J11600" t="s">
        <v>30</v>
      </c>
      <c r="K11600" t="s">
        <v>9171</v>
      </c>
      <c r="M11600" t="s">
        <v>17861</v>
      </c>
      <c r="N11600" t="str">
        <f>"5/4/2018 11:12:00 AM"</f>
        <v>5/4/2018 11:12:00 AM</v>
      </c>
      <c r="O11600" t="s">
        <v>34694</v>
      </c>
      <c r="T11600" t="s">
        <v>34695</v>
      </c>
    </row>
    <row r="11601" spans="1:20" x14ac:dyDescent="0.25">
      <c r="A11601" t="str">
        <f>"3060213"</f>
        <v>3060213</v>
      </c>
      <c r="B11601" t="s">
        <v>34697</v>
      </c>
      <c r="C11601" t="str">
        <f>"8309684"</f>
        <v>8309684</v>
      </c>
      <c r="D11601" t="s">
        <v>34698</v>
      </c>
      <c r="F11601" t="s">
        <v>34699</v>
      </c>
      <c r="I11601" t="s">
        <v>184</v>
      </c>
      <c r="J11601" t="s">
        <v>30</v>
      </c>
      <c r="K11601" t="s">
        <v>33177</v>
      </c>
      <c r="M11601" t="s">
        <v>17861</v>
      </c>
      <c r="N11601" t="str">
        <f>"5/4/2018 1:31:00 PM"</f>
        <v>5/4/2018 1:31:00 PM</v>
      </c>
      <c r="O11601" t="s">
        <v>34698</v>
      </c>
    </row>
    <row r="11602" spans="1:20" x14ac:dyDescent="0.25">
      <c r="A11602" t="str">
        <f>"3055963"</f>
        <v>3055963</v>
      </c>
      <c r="B11602" t="s">
        <v>34700</v>
      </c>
      <c r="C11602" t="str">
        <f>"8309685"</f>
        <v>8309685</v>
      </c>
      <c r="D11602" t="s">
        <v>34701</v>
      </c>
      <c r="E11602" t="s">
        <v>34702</v>
      </c>
      <c r="F11602" t="s">
        <v>34703</v>
      </c>
      <c r="I11602" t="s">
        <v>9580</v>
      </c>
      <c r="J11602" t="s">
        <v>30</v>
      </c>
      <c r="K11602" t="s">
        <v>34704</v>
      </c>
      <c r="M11602" t="s">
        <v>17861</v>
      </c>
      <c r="N11602" t="str">
        <f>"5/4/2018 2:27:00 PM"</f>
        <v>5/4/2018 2:27:00 PM</v>
      </c>
      <c r="O11602" t="s">
        <v>34701</v>
      </c>
      <c r="T11602" t="s">
        <v>34702</v>
      </c>
    </row>
    <row r="11603" spans="1:20" x14ac:dyDescent="0.25">
      <c r="A11603" t="str">
        <f>"3062554"</f>
        <v>3062554</v>
      </c>
      <c r="B11603" t="s">
        <v>34705</v>
      </c>
      <c r="C11603" t="str">
        <f>"8309688"</f>
        <v>8309688</v>
      </c>
      <c r="D11603" t="s">
        <v>34706</v>
      </c>
      <c r="F11603" t="s">
        <v>34707</v>
      </c>
      <c r="I11603" t="s">
        <v>29</v>
      </c>
      <c r="J11603" t="s">
        <v>30</v>
      </c>
      <c r="K11603" t="s">
        <v>16112</v>
      </c>
      <c r="M11603" t="s">
        <v>17861</v>
      </c>
      <c r="N11603" t="str">
        <f>"5/7/2018 8:02:00 AM"</f>
        <v>5/7/2018 8:02:00 AM</v>
      </c>
      <c r="O11603" t="s">
        <v>34706</v>
      </c>
    </row>
    <row r="11604" spans="1:20" x14ac:dyDescent="0.25">
      <c r="A11604" t="str">
        <f>"3045723"</f>
        <v>3045723</v>
      </c>
      <c r="B11604" t="s">
        <v>34708</v>
      </c>
      <c r="C11604" t="str">
        <f>"82514413"</f>
        <v>82514413</v>
      </c>
      <c r="D11604" t="s">
        <v>34709</v>
      </c>
      <c r="F11604" t="s">
        <v>34710</v>
      </c>
      <c r="I11604" t="s">
        <v>1149</v>
      </c>
      <c r="J11604" t="s">
        <v>30</v>
      </c>
      <c r="K11604" t="s">
        <v>1150</v>
      </c>
      <c r="M11604" t="s">
        <v>25625</v>
      </c>
      <c r="N11604" t="str">
        <f>"5/7/2018 11:03:00 AM"</f>
        <v>5/7/2018 11:03:00 AM</v>
      </c>
      <c r="O11604" t="s">
        <v>34709</v>
      </c>
      <c r="T11604" t="s">
        <v>34709</v>
      </c>
    </row>
    <row r="11605" spans="1:20" x14ac:dyDescent="0.25">
      <c r="A11605" t="str">
        <f>"3045000"</f>
        <v>3045000</v>
      </c>
      <c r="B11605" t="s">
        <v>34711</v>
      </c>
      <c r="C11605" t="str">
        <f>"8305419"</f>
        <v>8305419</v>
      </c>
      <c r="D11605" t="s">
        <v>34709</v>
      </c>
      <c r="E11605" t="s">
        <v>34712</v>
      </c>
      <c r="F11605" t="s">
        <v>34710</v>
      </c>
      <c r="I11605" t="s">
        <v>1149</v>
      </c>
      <c r="J11605" t="s">
        <v>30</v>
      </c>
      <c r="K11605" t="str">
        <f>"28634"</f>
        <v>28634</v>
      </c>
      <c r="M11605" t="s">
        <v>25625</v>
      </c>
      <c r="N11605" t="str">
        <f>"5/7/2018 11:03:00 AM"</f>
        <v>5/7/2018 11:03:00 AM</v>
      </c>
      <c r="O11605" t="s">
        <v>34709</v>
      </c>
      <c r="T11605" t="s">
        <v>34712</v>
      </c>
    </row>
    <row r="11606" spans="1:20" x14ac:dyDescent="0.25">
      <c r="A11606" t="str">
        <f>"3048632"</f>
        <v>3048632</v>
      </c>
      <c r="B11606" t="s">
        <v>34713</v>
      </c>
      <c r="C11606" t="str">
        <f>"53769940"</f>
        <v>53769940</v>
      </c>
      <c r="D11606" t="s">
        <v>34714</v>
      </c>
      <c r="E11606" t="s">
        <v>34715</v>
      </c>
      <c r="F11606" t="s">
        <v>34716</v>
      </c>
      <c r="I11606" t="s">
        <v>184</v>
      </c>
      <c r="J11606" t="s">
        <v>30</v>
      </c>
      <c r="K11606" t="s">
        <v>185</v>
      </c>
      <c r="M11606" t="s">
        <v>33845</v>
      </c>
      <c r="N11606" t="str">
        <f>"5/9/2018 9:24:00 AM"</f>
        <v>5/9/2018 9:24:00 AM</v>
      </c>
      <c r="O11606" t="s">
        <v>34714</v>
      </c>
      <c r="T11606" t="s">
        <v>34715</v>
      </c>
    </row>
    <row r="11607" spans="1:20" x14ac:dyDescent="0.25">
      <c r="A11607" t="str">
        <f>"3049684"</f>
        <v>3049684</v>
      </c>
      <c r="B11607" t="s">
        <v>34717</v>
      </c>
      <c r="C11607" t="str">
        <f>"8302388"</f>
        <v>8302388</v>
      </c>
      <c r="D11607" t="s">
        <v>34582</v>
      </c>
      <c r="F11607" t="s">
        <v>34583</v>
      </c>
      <c r="I11607" t="s">
        <v>29</v>
      </c>
      <c r="J11607" t="s">
        <v>30</v>
      </c>
      <c r="K11607" t="str">
        <f>"27028"</f>
        <v>27028</v>
      </c>
      <c r="M11607" t="s">
        <v>33845</v>
      </c>
      <c r="N11607" t="str">
        <f>"5/9/2018 9:54:00 AM"</f>
        <v>5/9/2018 9:54:00 AM</v>
      </c>
      <c r="O11607" t="s">
        <v>34582</v>
      </c>
    </row>
    <row r="11608" spans="1:20" x14ac:dyDescent="0.25">
      <c r="A11608" t="str">
        <f>"3049501"</f>
        <v>3049501</v>
      </c>
      <c r="B11608" t="s">
        <v>34718</v>
      </c>
      <c r="C11608" t="str">
        <f>"8302388"</f>
        <v>8302388</v>
      </c>
      <c r="D11608" t="s">
        <v>34582</v>
      </c>
      <c r="F11608" t="s">
        <v>34583</v>
      </c>
      <c r="I11608" t="s">
        <v>29</v>
      </c>
      <c r="J11608" t="s">
        <v>30</v>
      </c>
      <c r="K11608" t="str">
        <f>"27028"</f>
        <v>27028</v>
      </c>
      <c r="M11608" t="s">
        <v>33845</v>
      </c>
      <c r="N11608" t="str">
        <f>"5/9/2018 9:54:00 AM"</f>
        <v>5/9/2018 9:54:00 AM</v>
      </c>
      <c r="O11608" t="s">
        <v>34582</v>
      </c>
    </row>
    <row r="11609" spans="1:20" x14ac:dyDescent="0.25">
      <c r="A11609" t="str">
        <f>"3050080"</f>
        <v>3050080</v>
      </c>
      <c r="B11609" t="s">
        <v>34719</v>
      </c>
      <c r="C11609" t="str">
        <f>"8302388"</f>
        <v>8302388</v>
      </c>
      <c r="D11609" t="s">
        <v>34582</v>
      </c>
      <c r="F11609" t="s">
        <v>34583</v>
      </c>
      <c r="I11609" t="s">
        <v>29</v>
      </c>
      <c r="J11609" t="s">
        <v>30</v>
      </c>
      <c r="K11609" t="str">
        <f>"27028"</f>
        <v>27028</v>
      </c>
      <c r="M11609" t="s">
        <v>33845</v>
      </c>
      <c r="N11609" t="str">
        <f>"5/9/2018 9:54:00 AM"</f>
        <v>5/9/2018 9:54:00 AM</v>
      </c>
      <c r="O11609" t="s">
        <v>34582</v>
      </c>
    </row>
    <row r="11610" spans="1:20" x14ac:dyDescent="0.25">
      <c r="A11610" t="str">
        <f>"3057667"</f>
        <v>3057667</v>
      </c>
      <c r="B11610" t="s">
        <v>34720</v>
      </c>
      <c r="C11610" t="str">
        <f>"8309739"</f>
        <v>8309739</v>
      </c>
      <c r="D11610" t="s">
        <v>34721</v>
      </c>
      <c r="E11610" t="s">
        <v>34722</v>
      </c>
      <c r="F11610" t="s">
        <v>34723</v>
      </c>
      <c r="I11610" t="s">
        <v>184</v>
      </c>
      <c r="J11610" t="s">
        <v>30</v>
      </c>
      <c r="K11610" t="s">
        <v>34622</v>
      </c>
      <c r="M11610" t="s">
        <v>17861</v>
      </c>
      <c r="N11610" t="str">
        <f>"5/17/2018 9:11:00 AM"</f>
        <v>5/17/2018 9:11:00 AM</v>
      </c>
      <c r="O11610" t="s">
        <v>34721</v>
      </c>
      <c r="T11610" t="s">
        <v>34722</v>
      </c>
    </row>
    <row r="11611" spans="1:20" x14ac:dyDescent="0.25">
      <c r="A11611" t="str">
        <f>"3041331"</f>
        <v>3041331</v>
      </c>
      <c r="B11611" t="s">
        <v>34724</v>
      </c>
      <c r="C11611" t="str">
        <f>"8309742"</f>
        <v>8309742</v>
      </c>
      <c r="D11611" t="s">
        <v>34725</v>
      </c>
      <c r="F11611" t="s">
        <v>34726</v>
      </c>
      <c r="I11611" t="s">
        <v>2071</v>
      </c>
      <c r="J11611" t="s">
        <v>30</v>
      </c>
      <c r="K11611" t="s">
        <v>32945</v>
      </c>
      <c r="M11611" t="s">
        <v>17861</v>
      </c>
      <c r="N11611" t="str">
        <f>"5/17/2018 9:25:00 AM"</f>
        <v>5/17/2018 9:25:00 AM</v>
      </c>
      <c r="O11611" t="s">
        <v>34725</v>
      </c>
    </row>
    <row r="11612" spans="1:20" x14ac:dyDescent="0.25">
      <c r="A11612" t="str">
        <f>"3041474"</f>
        <v>3041474</v>
      </c>
      <c r="B11612" t="s">
        <v>34727</v>
      </c>
      <c r="C11612" t="str">
        <f>"8309743"</f>
        <v>8309743</v>
      </c>
      <c r="D11612" t="s">
        <v>34728</v>
      </c>
      <c r="E11612" t="s">
        <v>34729</v>
      </c>
      <c r="F11612" t="s">
        <v>34730</v>
      </c>
      <c r="I11612" t="s">
        <v>2071</v>
      </c>
      <c r="J11612" t="s">
        <v>30</v>
      </c>
      <c r="K11612" t="s">
        <v>34731</v>
      </c>
      <c r="M11612" t="s">
        <v>17861</v>
      </c>
      <c r="N11612" t="str">
        <f>"5/17/2018 9:27:00 AM"</f>
        <v>5/17/2018 9:27:00 AM</v>
      </c>
      <c r="O11612" t="s">
        <v>34728</v>
      </c>
      <c r="T11612" t="s">
        <v>34729</v>
      </c>
    </row>
    <row r="11613" spans="1:20" x14ac:dyDescent="0.25">
      <c r="A11613" t="str">
        <f>"3057819"</f>
        <v>3057819</v>
      </c>
      <c r="B11613" t="s">
        <v>34732</v>
      </c>
      <c r="C11613" t="str">
        <f>"8309744"</f>
        <v>8309744</v>
      </c>
      <c r="D11613" t="s">
        <v>34733</v>
      </c>
      <c r="E11613" t="s">
        <v>34734</v>
      </c>
      <c r="F11613" t="s">
        <v>34735</v>
      </c>
      <c r="I11613" t="s">
        <v>184</v>
      </c>
      <c r="J11613" t="s">
        <v>30</v>
      </c>
      <c r="K11613" t="s">
        <v>34736</v>
      </c>
      <c r="M11613" t="s">
        <v>17861</v>
      </c>
      <c r="N11613" t="str">
        <f>"5/17/2018 9:54:00 AM"</f>
        <v>5/17/2018 9:54:00 AM</v>
      </c>
      <c r="O11613" t="s">
        <v>34733</v>
      </c>
      <c r="T11613" t="s">
        <v>34734</v>
      </c>
    </row>
    <row r="11614" spans="1:20" x14ac:dyDescent="0.25">
      <c r="A11614" t="str">
        <f>"3050505"</f>
        <v>3050505</v>
      </c>
      <c r="B11614" t="s">
        <v>34737</v>
      </c>
      <c r="C11614" t="str">
        <f>"8309745"</f>
        <v>8309745</v>
      </c>
      <c r="D11614" t="s">
        <v>34738</v>
      </c>
      <c r="F11614" t="s">
        <v>34739</v>
      </c>
      <c r="I11614" t="s">
        <v>184</v>
      </c>
      <c r="J11614" t="s">
        <v>30</v>
      </c>
      <c r="K11614" t="s">
        <v>34740</v>
      </c>
      <c r="M11614" t="s">
        <v>17861</v>
      </c>
      <c r="N11614" t="str">
        <f>"5/17/2018 9:57:00 AM"</f>
        <v>5/17/2018 9:57:00 AM</v>
      </c>
      <c r="O11614" t="s">
        <v>34738</v>
      </c>
    </row>
    <row r="11615" spans="1:20" x14ac:dyDescent="0.25">
      <c r="A11615" t="str">
        <f>"3054337"</f>
        <v>3054337</v>
      </c>
      <c r="B11615" t="s">
        <v>34741</v>
      </c>
      <c r="C11615" t="str">
        <f>"10516000"</f>
        <v>10516000</v>
      </c>
      <c r="D11615" t="s">
        <v>34742</v>
      </c>
      <c r="E11615" t="s">
        <v>34743</v>
      </c>
      <c r="F11615" t="s">
        <v>34744</v>
      </c>
      <c r="I11615" t="s">
        <v>29</v>
      </c>
      <c r="J11615" t="s">
        <v>30</v>
      </c>
      <c r="K11615" t="str">
        <f>"27028"</f>
        <v>27028</v>
      </c>
      <c r="M11615" t="s">
        <v>18479</v>
      </c>
      <c r="N11615" t="str">
        <f>"5/14/2018 10:42:00 AM"</f>
        <v>5/14/2018 10:42:00 AM</v>
      </c>
      <c r="O11615" t="s">
        <v>34742</v>
      </c>
      <c r="T11615" t="s">
        <v>34743</v>
      </c>
    </row>
    <row r="11616" spans="1:20" x14ac:dyDescent="0.25">
      <c r="A11616" t="str">
        <f>"3048186"</f>
        <v>3048186</v>
      </c>
      <c r="B11616" t="s">
        <v>34745</v>
      </c>
      <c r="C11616" t="str">
        <f>"8309726"</f>
        <v>8309726</v>
      </c>
      <c r="D11616" t="s">
        <v>34746</v>
      </c>
      <c r="E11616" t="s">
        <v>34747</v>
      </c>
      <c r="F11616" t="s">
        <v>34748</v>
      </c>
      <c r="I11616" t="s">
        <v>1149</v>
      </c>
      <c r="J11616" t="s">
        <v>30</v>
      </c>
      <c r="K11616" t="s">
        <v>34749</v>
      </c>
      <c r="M11616" t="s">
        <v>17861</v>
      </c>
      <c r="N11616" t="str">
        <f>"5/14/2018 12:53:00 PM"</f>
        <v>5/14/2018 12:53:00 PM</v>
      </c>
      <c r="O11616" t="s">
        <v>34746</v>
      </c>
      <c r="T11616" t="s">
        <v>34747</v>
      </c>
    </row>
    <row r="11617" spans="1:20" x14ac:dyDescent="0.25">
      <c r="A11617" t="str">
        <f>"3042142"</f>
        <v>3042142</v>
      </c>
      <c r="B11617" t="s">
        <v>34750</v>
      </c>
      <c r="C11617" t="str">
        <f>"8309783"</f>
        <v>8309783</v>
      </c>
      <c r="D11617" t="s">
        <v>34751</v>
      </c>
      <c r="F11617" t="s">
        <v>34752</v>
      </c>
      <c r="I11617" t="s">
        <v>2275</v>
      </c>
      <c r="J11617" t="s">
        <v>30</v>
      </c>
      <c r="K11617" t="str">
        <f>"27023"</f>
        <v>27023</v>
      </c>
      <c r="M11617" t="s">
        <v>17861</v>
      </c>
      <c r="N11617" t="str">
        <f>"5/23/2018 11:08:00 AM"</f>
        <v>5/23/2018 11:08:00 AM</v>
      </c>
      <c r="O11617" t="s">
        <v>34751</v>
      </c>
    </row>
    <row r="11618" spans="1:20" x14ac:dyDescent="0.25">
      <c r="A11618" t="str">
        <f>"3041594"</f>
        <v>3041594</v>
      </c>
      <c r="B11618" t="s">
        <v>34753</v>
      </c>
      <c r="C11618" t="str">
        <f>"8309732"</f>
        <v>8309732</v>
      </c>
      <c r="D11618" t="s">
        <v>34754</v>
      </c>
      <c r="E11618" t="s">
        <v>34755</v>
      </c>
      <c r="F11618" t="s">
        <v>34756</v>
      </c>
      <c r="I11618" t="s">
        <v>2071</v>
      </c>
      <c r="J11618" t="s">
        <v>30</v>
      </c>
      <c r="K11618" t="str">
        <f>"27006"</f>
        <v>27006</v>
      </c>
      <c r="M11618" t="s">
        <v>17861</v>
      </c>
      <c r="N11618" t="str">
        <f>"5/15/2018 8:12:00 AM"</f>
        <v>5/15/2018 8:12:00 AM</v>
      </c>
      <c r="O11618" t="s">
        <v>34754</v>
      </c>
      <c r="T11618" t="s">
        <v>34755</v>
      </c>
    </row>
    <row r="11619" spans="1:20" x14ac:dyDescent="0.25">
      <c r="A11619" t="str">
        <f>"3045064"</f>
        <v>3045064</v>
      </c>
      <c r="B11619" t="s">
        <v>34757</v>
      </c>
      <c r="C11619" t="str">
        <f>"8309790"</f>
        <v>8309790</v>
      </c>
      <c r="D11619" t="s">
        <v>6680</v>
      </c>
      <c r="E11619" t="s">
        <v>34758</v>
      </c>
      <c r="F11619" t="s">
        <v>34759</v>
      </c>
      <c r="I11619" t="s">
        <v>29</v>
      </c>
      <c r="J11619" t="s">
        <v>30</v>
      </c>
      <c r="K11619" t="s">
        <v>34760</v>
      </c>
      <c r="M11619" t="s">
        <v>17861</v>
      </c>
      <c r="N11619" t="str">
        <f>"5/23/2018 3:04:00 PM"</f>
        <v>5/23/2018 3:04:00 PM</v>
      </c>
      <c r="O11619" t="s">
        <v>6680</v>
      </c>
      <c r="T11619" t="s">
        <v>34758</v>
      </c>
    </row>
    <row r="11620" spans="1:20" x14ac:dyDescent="0.25">
      <c r="A11620" t="str">
        <f>"3045744"</f>
        <v>3045744</v>
      </c>
      <c r="B11620" t="s">
        <v>34761</v>
      </c>
      <c r="C11620" t="str">
        <f>"8309790"</f>
        <v>8309790</v>
      </c>
      <c r="D11620" t="s">
        <v>6680</v>
      </c>
      <c r="E11620" t="s">
        <v>34758</v>
      </c>
      <c r="F11620" t="s">
        <v>34759</v>
      </c>
      <c r="I11620" t="s">
        <v>29</v>
      </c>
      <c r="J11620" t="s">
        <v>30</v>
      </c>
      <c r="K11620" t="s">
        <v>34760</v>
      </c>
      <c r="M11620" t="s">
        <v>17861</v>
      </c>
      <c r="N11620" t="str">
        <f>"5/23/2018 3:04:00 PM"</f>
        <v>5/23/2018 3:04:00 PM</v>
      </c>
      <c r="O11620" t="s">
        <v>6680</v>
      </c>
      <c r="T11620" t="s">
        <v>34758</v>
      </c>
    </row>
    <row r="11621" spans="1:20" x14ac:dyDescent="0.25">
      <c r="A11621" t="str">
        <f>"3070116"</f>
        <v>3070116</v>
      </c>
      <c r="B11621" t="s">
        <v>34762</v>
      </c>
      <c r="C11621" t="str">
        <f>"8309737"</f>
        <v>8309737</v>
      </c>
      <c r="D11621" t="s">
        <v>34763</v>
      </c>
      <c r="F11621" t="s">
        <v>34764</v>
      </c>
      <c r="I11621" t="s">
        <v>29</v>
      </c>
      <c r="J11621" t="s">
        <v>30</v>
      </c>
      <c r="K11621" t="s">
        <v>26737</v>
      </c>
      <c r="M11621" t="s">
        <v>17861</v>
      </c>
      <c r="N11621" t="str">
        <f>"5/17/2018 8:54:00 AM"</f>
        <v>5/17/2018 8:54:00 AM</v>
      </c>
      <c r="O11621" t="s">
        <v>34763</v>
      </c>
    </row>
    <row r="11622" spans="1:20" x14ac:dyDescent="0.25">
      <c r="A11622" t="str">
        <f>"3044824"</f>
        <v>3044824</v>
      </c>
      <c r="B11622" t="s">
        <v>34765</v>
      </c>
      <c r="C11622" t="str">
        <f>"8309775"</f>
        <v>8309775</v>
      </c>
      <c r="D11622" t="s">
        <v>34766</v>
      </c>
      <c r="E11622" t="s">
        <v>34767</v>
      </c>
      <c r="F11622" t="s">
        <v>34768</v>
      </c>
      <c r="I11622" t="s">
        <v>184</v>
      </c>
      <c r="J11622" t="s">
        <v>30</v>
      </c>
      <c r="K11622" t="s">
        <v>6606</v>
      </c>
      <c r="M11622" t="s">
        <v>17861</v>
      </c>
      <c r="N11622" t="str">
        <f>"5/22/2018 3:33:00 PM"</f>
        <v>5/22/2018 3:33:00 PM</v>
      </c>
      <c r="O11622" t="s">
        <v>34766</v>
      </c>
      <c r="T11622" t="s">
        <v>34767</v>
      </c>
    </row>
    <row r="11623" spans="1:20" x14ac:dyDescent="0.25">
      <c r="A11623" t="str">
        <f>"3044447"</f>
        <v>3044447</v>
      </c>
      <c r="B11623" t="s">
        <v>34769</v>
      </c>
      <c r="C11623" t="str">
        <f>"8309776"</f>
        <v>8309776</v>
      </c>
      <c r="D11623" t="s">
        <v>34770</v>
      </c>
      <c r="F11623" t="s">
        <v>34771</v>
      </c>
      <c r="I11623" t="s">
        <v>184</v>
      </c>
      <c r="J11623" t="s">
        <v>30</v>
      </c>
      <c r="K11623" t="s">
        <v>30957</v>
      </c>
      <c r="M11623" t="s">
        <v>17861</v>
      </c>
      <c r="N11623" t="str">
        <f>"5/22/2018 3:36:00 PM"</f>
        <v>5/22/2018 3:36:00 PM</v>
      </c>
      <c r="O11623" t="s">
        <v>34770</v>
      </c>
    </row>
    <row r="11624" spans="1:20" x14ac:dyDescent="0.25">
      <c r="A11624" t="str">
        <f>"3038916"</f>
        <v>3038916</v>
      </c>
      <c r="B11624" t="s">
        <v>34772</v>
      </c>
      <c r="C11624" t="str">
        <f>"8309780"</f>
        <v>8309780</v>
      </c>
      <c r="D11624" t="s">
        <v>34773</v>
      </c>
      <c r="F11624" t="s">
        <v>34774</v>
      </c>
      <c r="I11624" t="s">
        <v>29</v>
      </c>
      <c r="J11624" t="s">
        <v>30</v>
      </c>
      <c r="K11624" t="s">
        <v>34775</v>
      </c>
      <c r="M11624" t="s">
        <v>17861</v>
      </c>
      <c r="N11624" t="str">
        <f>"5/22/2018 3:48:00 PM"</f>
        <v>5/22/2018 3:48:00 PM</v>
      </c>
      <c r="O11624" t="s">
        <v>34773</v>
      </c>
    </row>
    <row r="11625" spans="1:20" x14ac:dyDescent="0.25">
      <c r="A11625" t="str">
        <f>"3068407"</f>
        <v>3068407</v>
      </c>
      <c r="B11625" t="s">
        <v>34776</v>
      </c>
      <c r="C11625" t="str">
        <f>"8309780"</f>
        <v>8309780</v>
      </c>
      <c r="D11625" t="s">
        <v>34773</v>
      </c>
      <c r="F11625" t="s">
        <v>34774</v>
      </c>
      <c r="I11625" t="s">
        <v>29</v>
      </c>
      <c r="J11625" t="s">
        <v>30</v>
      </c>
      <c r="K11625" t="s">
        <v>34775</v>
      </c>
      <c r="M11625" t="s">
        <v>17861</v>
      </c>
      <c r="N11625" t="str">
        <f>"5/22/2018 3:48:00 PM"</f>
        <v>5/22/2018 3:48:00 PM</v>
      </c>
      <c r="O11625" t="s">
        <v>34773</v>
      </c>
    </row>
    <row r="11626" spans="1:20" x14ac:dyDescent="0.25">
      <c r="A11626" t="str">
        <f>"3058774"</f>
        <v>3058774</v>
      </c>
      <c r="B11626" t="s">
        <v>34777</v>
      </c>
      <c r="C11626" t="str">
        <f>"8309781"</f>
        <v>8309781</v>
      </c>
      <c r="D11626" t="s">
        <v>34778</v>
      </c>
      <c r="F11626" t="s">
        <v>34779</v>
      </c>
      <c r="I11626" t="s">
        <v>29</v>
      </c>
      <c r="J11626" t="s">
        <v>30</v>
      </c>
      <c r="K11626" t="s">
        <v>11912</v>
      </c>
      <c r="M11626" t="s">
        <v>17861</v>
      </c>
      <c r="N11626" t="str">
        <f>"5/22/2018 3:50:00 PM"</f>
        <v>5/22/2018 3:50:00 PM</v>
      </c>
      <c r="O11626" t="s">
        <v>34778</v>
      </c>
    </row>
    <row r="11627" spans="1:20" x14ac:dyDescent="0.25">
      <c r="A11627" t="str">
        <f>"3061560"</f>
        <v>3061560</v>
      </c>
      <c r="B11627" t="s">
        <v>34780</v>
      </c>
      <c r="C11627" t="str">
        <f>"8309799"</f>
        <v>8309799</v>
      </c>
      <c r="D11627" t="s">
        <v>34781</v>
      </c>
      <c r="E11627" t="s">
        <v>34782</v>
      </c>
      <c r="F11627" t="s">
        <v>34783</v>
      </c>
      <c r="I11627" t="s">
        <v>184</v>
      </c>
      <c r="J11627" t="s">
        <v>30</v>
      </c>
      <c r="K11627" t="s">
        <v>34784</v>
      </c>
      <c r="M11627" t="s">
        <v>17861</v>
      </c>
      <c r="N11627" t="str">
        <f>"5/29/2018 9:20:00 AM"</f>
        <v>5/29/2018 9:20:00 AM</v>
      </c>
      <c r="O11627" t="s">
        <v>34781</v>
      </c>
      <c r="T11627" t="s">
        <v>34782</v>
      </c>
    </row>
    <row r="11628" spans="1:20" x14ac:dyDescent="0.25">
      <c r="A11628" t="str">
        <f>"3054622"</f>
        <v>3054622</v>
      </c>
      <c r="B11628" t="s">
        <v>34785</v>
      </c>
      <c r="C11628" t="str">
        <f>"8309752"</f>
        <v>8309752</v>
      </c>
      <c r="D11628" t="s">
        <v>34786</v>
      </c>
      <c r="F11628" t="s">
        <v>34787</v>
      </c>
      <c r="I11628" t="s">
        <v>29</v>
      </c>
      <c r="J11628" t="s">
        <v>30</v>
      </c>
      <c r="K11628" t="s">
        <v>15764</v>
      </c>
      <c r="M11628" t="s">
        <v>17861</v>
      </c>
      <c r="N11628" t="str">
        <f>"5/18/2018 12:50:00 PM"</f>
        <v>5/18/2018 12:50:00 PM</v>
      </c>
      <c r="O11628" t="s">
        <v>34786</v>
      </c>
    </row>
    <row r="11629" spans="1:20" x14ac:dyDescent="0.25">
      <c r="A11629" t="str">
        <f>"3048848"</f>
        <v>3048848</v>
      </c>
      <c r="B11629" t="s">
        <v>34788</v>
      </c>
      <c r="C11629" t="str">
        <f>"8309801"</f>
        <v>8309801</v>
      </c>
      <c r="D11629" t="str">
        <f>"KISER MATTHEW DANIEL/AMANDA C"</f>
        <v>KISER MATTHEW DANIEL/AMANDA C</v>
      </c>
      <c r="E11629" t="s">
        <v>34789</v>
      </c>
      <c r="F11629" t="s">
        <v>34790</v>
      </c>
      <c r="I11629" t="s">
        <v>29</v>
      </c>
      <c r="J11629" t="s">
        <v>30</v>
      </c>
      <c r="K11629" t="s">
        <v>19719</v>
      </c>
      <c r="M11629" t="s">
        <v>17861</v>
      </c>
      <c r="N11629" t="str">
        <f>"5/29/2018 10:54:00 AM"</f>
        <v>5/29/2018 10:54:00 AM</v>
      </c>
      <c r="O11629" t="str">
        <f>"KISER MATTHEW DANIEL/AMANDA C"</f>
        <v>KISER MATTHEW DANIEL/AMANDA C</v>
      </c>
      <c r="T11629" t="s">
        <v>34789</v>
      </c>
    </row>
    <row r="11630" spans="1:20" x14ac:dyDescent="0.25">
      <c r="A11630" t="str">
        <f>"3059895"</f>
        <v>3059895</v>
      </c>
      <c r="B11630" t="s">
        <v>34791</v>
      </c>
      <c r="C11630" t="str">
        <f>"8309804"</f>
        <v>8309804</v>
      </c>
      <c r="D11630" t="s">
        <v>34792</v>
      </c>
      <c r="E11630" t="s">
        <v>34793</v>
      </c>
      <c r="F11630" t="s">
        <v>34794</v>
      </c>
      <c r="I11630" t="s">
        <v>29</v>
      </c>
      <c r="J11630" t="s">
        <v>30</v>
      </c>
      <c r="K11630" t="s">
        <v>14765</v>
      </c>
      <c r="M11630" t="s">
        <v>17861</v>
      </c>
      <c r="N11630" t="str">
        <f>"5/29/2018 11:21:00 AM"</f>
        <v>5/29/2018 11:21:00 AM</v>
      </c>
      <c r="O11630" t="s">
        <v>34792</v>
      </c>
      <c r="T11630" t="s">
        <v>34793</v>
      </c>
    </row>
    <row r="11631" spans="1:20" x14ac:dyDescent="0.25">
      <c r="A11631" t="str">
        <f>"3041797"</f>
        <v>3041797</v>
      </c>
      <c r="B11631" t="s">
        <v>34795</v>
      </c>
      <c r="C11631" t="str">
        <f>"8309808"</f>
        <v>8309808</v>
      </c>
      <c r="D11631" t="s">
        <v>34796</v>
      </c>
      <c r="E11631" t="str">
        <f>"CLEMENT BRENDA B/EDGAR D TRSTE"</f>
        <v>CLEMENT BRENDA B/EDGAR D TRSTE</v>
      </c>
      <c r="F11631" t="s">
        <v>34797</v>
      </c>
      <c r="I11631" t="s">
        <v>2071</v>
      </c>
      <c r="J11631" t="s">
        <v>30</v>
      </c>
      <c r="K11631" t="s">
        <v>19627</v>
      </c>
      <c r="M11631" t="s">
        <v>17861</v>
      </c>
      <c r="N11631" t="str">
        <f>"5/29/2018 12:56:00 PM"</f>
        <v>5/29/2018 12:56:00 PM</v>
      </c>
      <c r="O11631" t="s">
        <v>34796</v>
      </c>
      <c r="T11631" t="str">
        <f>"CLEMENT BRENDA B/EDGAR D TRSTE"</f>
        <v>CLEMENT BRENDA B/EDGAR D TRSTE</v>
      </c>
    </row>
    <row r="11632" spans="1:20" x14ac:dyDescent="0.25">
      <c r="A11632" t="str">
        <f>"3062773"</f>
        <v>3062773</v>
      </c>
      <c r="B11632" t="s">
        <v>34798</v>
      </c>
      <c r="C11632" t="str">
        <f>"8309753"</f>
        <v>8309753</v>
      </c>
      <c r="D11632" t="s">
        <v>34799</v>
      </c>
      <c r="F11632" t="s">
        <v>34800</v>
      </c>
      <c r="I11632" t="s">
        <v>29</v>
      </c>
      <c r="J11632" t="s">
        <v>30</v>
      </c>
      <c r="K11632" t="s">
        <v>4748</v>
      </c>
      <c r="M11632" t="s">
        <v>17861</v>
      </c>
      <c r="N11632" t="str">
        <f>"5/18/2018 1:27:00 PM"</f>
        <v>5/18/2018 1:27:00 PM</v>
      </c>
      <c r="O11632" t="s">
        <v>34799</v>
      </c>
    </row>
    <row r="11633" spans="1:20" x14ac:dyDescent="0.25">
      <c r="A11633" t="str">
        <f>"3058319"</f>
        <v>3058319</v>
      </c>
      <c r="B11633" t="s">
        <v>34801</v>
      </c>
      <c r="C11633" t="str">
        <f>"8309760"</f>
        <v>8309760</v>
      </c>
      <c r="D11633" t="s">
        <v>34802</v>
      </c>
      <c r="E11633" t="s">
        <v>34803</v>
      </c>
      <c r="F11633" t="s">
        <v>34804</v>
      </c>
      <c r="I11633" t="s">
        <v>29</v>
      </c>
      <c r="J11633" t="s">
        <v>30</v>
      </c>
      <c r="K11633" t="s">
        <v>34805</v>
      </c>
      <c r="M11633" t="s">
        <v>17861</v>
      </c>
      <c r="N11633" t="str">
        <f>"5/18/2018 2:58:00 PM"</f>
        <v>5/18/2018 2:58:00 PM</v>
      </c>
      <c r="O11633" t="s">
        <v>34802</v>
      </c>
      <c r="T11633" t="s">
        <v>34803</v>
      </c>
    </row>
    <row r="11634" spans="1:20" x14ac:dyDescent="0.25">
      <c r="A11634" t="str">
        <f>"3042066"</f>
        <v>3042066</v>
      </c>
      <c r="B11634" t="s">
        <v>34806</v>
      </c>
      <c r="C11634" t="str">
        <f>"8309784"</f>
        <v>8309784</v>
      </c>
      <c r="D11634" t="s">
        <v>34807</v>
      </c>
      <c r="F11634" t="s">
        <v>34808</v>
      </c>
      <c r="I11634" t="s">
        <v>163</v>
      </c>
      <c r="J11634" t="s">
        <v>30</v>
      </c>
      <c r="K11634" t="s">
        <v>34809</v>
      </c>
      <c r="M11634" t="s">
        <v>17861</v>
      </c>
      <c r="N11634" t="str">
        <f>"5/23/2018 11:07:00 AM"</f>
        <v>5/23/2018 11:07:00 AM</v>
      </c>
      <c r="O11634" t="s">
        <v>34807</v>
      </c>
    </row>
    <row r="11635" spans="1:20" x14ac:dyDescent="0.25">
      <c r="A11635" t="str">
        <f>"3048040"</f>
        <v>3048040</v>
      </c>
      <c r="B11635" t="s">
        <v>34810</v>
      </c>
      <c r="C11635" t="str">
        <f>"8309789"</f>
        <v>8309789</v>
      </c>
      <c r="D11635" t="s">
        <v>27708</v>
      </c>
      <c r="E11635" t="s">
        <v>34811</v>
      </c>
      <c r="F11635" t="s">
        <v>34812</v>
      </c>
      <c r="I11635" t="s">
        <v>184</v>
      </c>
      <c r="J11635" t="s">
        <v>30</v>
      </c>
      <c r="K11635" t="s">
        <v>34813</v>
      </c>
      <c r="M11635" t="s">
        <v>17861</v>
      </c>
      <c r="N11635" t="str">
        <f>"5/23/2018 2:51:00 PM"</f>
        <v>5/23/2018 2:51:00 PM</v>
      </c>
      <c r="O11635" t="s">
        <v>27708</v>
      </c>
      <c r="T11635" t="s">
        <v>34811</v>
      </c>
    </row>
    <row r="11636" spans="1:20" x14ac:dyDescent="0.25">
      <c r="A11636" t="str">
        <f>"3041829"</f>
        <v>3041829</v>
      </c>
      <c r="B11636" t="s">
        <v>34814</v>
      </c>
      <c r="C11636" t="str">
        <f>"8309819"</f>
        <v>8309819</v>
      </c>
      <c r="D11636" t="s">
        <v>34815</v>
      </c>
      <c r="F11636" t="s">
        <v>34816</v>
      </c>
      <c r="I11636" t="s">
        <v>2071</v>
      </c>
      <c r="J11636" t="s">
        <v>30</v>
      </c>
      <c r="K11636" t="s">
        <v>34817</v>
      </c>
      <c r="M11636" t="s">
        <v>17861</v>
      </c>
      <c r="N11636" t="str">
        <f>"5/31/2018 3:35:00 PM"</f>
        <v>5/31/2018 3:35:00 PM</v>
      </c>
      <c r="O11636" t="s">
        <v>34815</v>
      </c>
    </row>
    <row r="11637" spans="1:20" x14ac:dyDescent="0.25">
      <c r="A11637" t="str">
        <f>"3061598"</f>
        <v>3061598</v>
      </c>
      <c r="B11637" t="s">
        <v>34818</v>
      </c>
      <c r="C11637" t="str">
        <f>"8309820"</f>
        <v>8309820</v>
      </c>
      <c r="D11637" t="s">
        <v>34819</v>
      </c>
      <c r="E11637" t="s">
        <v>34820</v>
      </c>
      <c r="F11637" t="s">
        <v>34821</v>
      </c>
      <c r="I11637" t="s">
        <v>29</v>
      </c>
      <c r="J11637" t="s">
        <v>30</v>
      </c>
      <c r="K11637" t="s">
        <v>13727</v>
      </c>
      <c r="M11637" t="s">
        <v>17861</v>
      </c>
      <c r="N11637" t="str">
        <f>"5/31/2018 3:38:00 PM"</f>
        <v>5/31/2018 3:38:00 PM</v>
      </c>
      <c r="O11637" t="s">
        <v>34819</v>
      </c>
      <c r="T11637" t="s">
        <v>34820</v>
      </c>
    </row>
    <row r="11638" spans="1:20" x14ac:dyDescent="0.25">
      <c r="A11638" t="str">
        <f>"3054029"</f>
        <v>3054029</v>
      </c>
      <c r="B11638" t="s">
        <v>34822</v>
      </c>
      <c r="C11638" t="str">
        <f>"8309823"</f>
        <v>8309823</v>
      </c>
      <c r="D11638" t="s">
        <v>34823</v>
      </c>
      <c r="F11638" t="s">
        <v>34824</v>
      </c>
      <c r="I11638" t="s">
        <v>29</v>
      </c>
      <c r="J11638" t="s">
        <v>30</v>
      </c>
      <c r="K11638" t="s">
        <v>34825</v>
      </c>
      <c r="M11638" t="s">
        <v>17861</v>
      </c>
      <c r="N11638" t="str">
        <f>"5/31/2018 4:00:00 PM"</f>
        <v>5/31/2018 4:00:00 PM</v>
      </c>
      <c r="O11638" t="s">
        <v>34823</v>
      </c>
    </row>
    <row r="11639" spans="1:20" x14ac:dyDescent="0.25">
      <c r="A11639" t="str">
        <f>"3054514"</f>
        <v>3054514</v>
      </c>
      <c r="B11639" t="s">
        <v>34826</v>
      </c>
      <c r="C11639" t="str">
        <f>"8309823"</f>
        <v>8309823</v>
      </c>
      <c r="D11639" t="s">
        <v>34823</v>
      </c>
      <c r="F11639" t="s">
        <v>34824</v>
      </c>
      <c r="I11639" t="s">
        <v>29</v>
      </c>
      <c r="J11639" t="s">
        <v>30</v>
      </c>
      <c r="K11639" t="s">
        <v>34825</v>
      </c>
      <c r="M11639" t="s">
        <v>17861</v>
      </c>
      <c r="N11639" t="str">
        <f>"5/31/2018 4:00:00 PM"</f>
        <v>5/31/2018 4:00:00 PM</v>
      </c>
      <c r="O11639" t="s">
        <v>34823</v>
      </c>
    </row>
    <row r="11640" spans="1:20" x14ac:dyDescent="0.25">
      <c r="A11640" t="str">
        <f>"3059333"</f>
        <v>3059333</v>
      </c>
      <c r="B11640" t="s">
        <v>34827</v>
      </c>
      <c r="C11640" t="str">
        <f>"8309824"</f>
        <v>8309824</v>
      </c>
      <c r="D11640" t="s">
        <v>34828</v>
      </c>
      <c r="E11640" t="s">
        <v>34829</v>
      </c>
      <c r="F11640" t="s">
        <v>34830</v>
      </c>
      <c r="I11640" t="s">
        <v>29</v>
      </c>
      <c r="J11640" t="s">
        <v>30</v>
      </c>
      <c r="K11640" t="s">
        <v>18006</v>
      </c>
      <c r="M11640" t="s">
        <v>17861</v>
      </c>
      <c r="N11640" t="str">
        <f>"5/31/2018 4:04:00 PM"</f>
        <v>5/31/2018 4:04:00 PM</v>
      </c>
      <c r="O11640" t="s">
        <v>34828</v>
      </c>
      <c r="T11640" t="s">
        <v>34829</v>
      </c>
    </row>
    <row r="11641" spans="1:20" x14ac:dyDescent="0.25">
      <c r="A11641" t="str">
        <f>"3056701"</f>
        <v>3056701</v>
      </c>
      <c r="B11641" t="s">
        <v>34831</v>
      </c>
      <c r="C11641" t="str">
        <f>"8309762"</f>
        <v>8309762</v>
      </c>
      <c r="D11641" t="s">
        <v>34832</v>
      </c>
      <c r="F11641" t="s">
        <v>34833</v>
      </c>
      <c r="I11641" t="s">
        <v>29</v>
      </c>
      <c r="J11641" t="s">
        <v>30</v>
      </c>
      <c r="K11641" t="s">
        <v>34834</v>
      </c>
      <c r="M11641" t="s">
        <v>17861</v>
      </c>
      <c r="N11641" t="str">
        <f>"5/18/2018 3:06:00 PM"</f>
        <v>5/18/2018 3:06:00 PM</v>
      </c>
      <c r="O11641" t="s">
        <v>34832</v>
      </c>
    </row>
    <row r="11642" spans="1:20" x14ac:dyDescent="0.25">
      <c r="A11642" t="str">
        <f>"3041682"</f>
        <v>3041682</v>
      </c>
      <c r="B11642" t="s">
        <v>34835</v>
      </c>
      <c r="C11642" t="str">
        <f>"8309764"</f>
        <v>8309764</v>
      </c>
      <c r="D11642" t="s">
        <v>34836</v>
      </c>
      <c r="E11642" t="s">
        <v>34837</v>
      </c>
      <c r="F11642" t="s">
        <v>34838</v>
      </c>
      <c r="I11642" t="s">
        <v>2071</v>
      </c>
      <c r="J11642" t="s">
        <v>30</v>
      </c>
      <c r="K11642" t="s">
        <v>34839</v>
      </c>
      <c r="M11642" t="s">
        <v>17861</v>
      </c>
      <c r="N11642" t="str">
        <f>"5/18/2018 3:15:00 PM"</f>
        <v>5/18/2018 3:15:00 PM</v>
      </c>
      <c r="O11642" t="s">
        <v>34836</v>
      </c>
      <c r="T11642" t="s">
        <v>34837</v>
      </c>
    </row>
    <row r="11643" spans="1:20" x14ac:dyDescent="0.25">
      <c r="A11643" t="str">
        <f>"3045241"</f>
        <v>3045241</v>
      </c>
      <c r="B11643" t="s">
        <v>34840</v>
      </c>
      <c r="C11643" t="str">
        <f>"8309829"</f>
        <v>8309829</v>
      </c>
      <c r="D11643" t="s">
        <v>34841</v>
      </c>
      <c r="E11643" t="s">
        <v>34842</v>
      </c>
      <c r="F11643" t="s">
        <v>34843</v>
      </c>
      <c r="I11643" t="s">
        <v>29</v>
      </c>
      <c r="J11643" t="s">
        <v>30</v>
      </c>
      <c r="K11643" t="s">
        <v>34844</v>
      </c>
      <c r="M11643" t="s">
        <v>17861</v>
      </c>
      <c r="N11643" t="str">
        <f>"6/1/2018 10:09:00 AM"</f>
        <v>6/1/2018 10:09:00 AM</v>
      </c>
      <c r="O11643" t="s">
        <v>34841</v>
      </c>
      <c r="T11643" t="s">
        <v>34842</v>
      </c>
    </row>
    <row r="11644" spans="1:20" x14ac:dyDescent="0.25">
      <c r="A11644" t="str">
        <f>"3052778"</f>
        <v>3052778</v>
      </c>
      <c r="B11644" t="s">
        <v>34845</v>
      </c>
      <c r="C11644" t="str">
        <f>"8309832"</f>
        <v>8309832</v>
      </c>
      <c r="D11644" t="s">
        <v>34846</v>
      </c>
      <c r="F11644" t="s">
        <v>34847</v>
      </c>
      <c r="I11644" t="s">
        <v>34848</v>
      </c>
      <c r="J11644" t="s">
        <v>11346</v>
      </c>
      <c r="K11644" t="str">
        <f>"37160"</f>
        <v>37160</v>
      </c>
      <c r="M11644" t="s">
        <v>17861</v>
      </c>
      <c r="N11644" t="str">
        <f>"6/1/2018 10:33:00 AM"</f>
        <v>6/1/2018 10:33:00 AM</v>
      </c>
      <c r="O11644" t="s">
        <v>34846</v>
      </c>
    </row>
    <row r="11645" spans="1:20" x14ac:dyDescent="0.25">
      <c r="A11645" t="str">
        <f>"3062463"</f>
        <v>3062463</v>
      </c>
      <c r="B11645" t="s">
        <v>34849</v>
      </c>
      <c r="C11645" t="str">
        <f>"8309833"</f>
        <v>8309833</v>
      </c>
      <c r="D11645" t="s">
        <v>34850</v>
      </c>
      <c r="F11645" t="s">
        <v>34851</v>
      </c>
      <c r="I11645" t="s">
        <v>2071</v>
      </c>
      <c r="J11645" t="s">
        <v>30</v>
      </c>
      <c r="K11645" t="str">
        <f>"27006"</f>
        <v>27006</v>
      </c>
      <c r="M11645" t="s">
        <v>17861</v>
      </c>
      <c r="N11645" t="str">
        <f>"6/1/2018 10:38:00 AM"</f>
        <v>6/1/2018 10:38:00 AM</v>
      </c>
      <c r="O11645" t="s">
        <v>34850</v>
      </c>
    </row>
    <row r="11646" spans="1:20" x14ac:dyDescent="0.25">
      <c r="A11646" t="str">
        <f>"3058500"</f>
        <v>3058500</v>
      </c>
      <c r="B11646" t="s">
        <v>34852</v>
      </c>
      <c r="C11646" t="str">
        <f>"33196000"</f>
        <v>33196000</v>
      </c>
      <c r="D11646" t="s">
        <v>34853</v>
      </c>
      <c r="E11646" t="s">
        <v>34854</v>
      </c>
      <c r="F11646" t="s">
        <v>34855</v>
      </c>
      <c r="I11646" t="s">
        <v>29</v>
      </c>
      <c r="J11646" t="s">
        <v>30</v>
      </c>
      <c r="K11646" t="s">
        <v>31</v>
      </c>
      <c r="M11646" t="s">
        <v>25625</v>
      </c>
      <c r="N11646" t="str">
        <f>"6/4/2018 12:16:00 PM"</f>
        <v>6/4/2018 12:16:00 PM</v>
      </c>
      <c r="O11646" t="s">
        <v>34853</v>
      </c>
      <c r="T11646" t="s">
        <v>34854</v>
      </c>
    </row>
    <row r="11647" spans="1:20" x14ac:dyDescent="0.25">
      <c r="A11647" t="str">
        <f>"3040086"</f>
        <v>3040086</v>
      </c>
      <c r="B11647" t="s">
        <v>34856</v>
      </c>
      <c r="C11647" t="str">
        <f>"82529654"</f>
        <v>82529654</v>
      </c>
      <c r="D11647" t="s">
        <v>34857</v>
      </c>
      <c r="F11647" t="s">
        <v>34858</v>
      </c>
      <c r="I11647" t="s">
        <v>29</v>
      </c>
      <c r="J11647" t="s">
        <v>30</v>
      </c>
      <c r="K11647" t="s">
        <v>31</v>
      </c>
      <c r="M11647" t="s">
        <v>33845</v>
      </c>
      <c r="N11647" t="str">
        <f>"5/21/2018 10:04:00 AM"</f>
        <v>5/21/2018 10:04:00 AM</v>
      </c>
      <c r="O11647" t="s">
        <v>34857</v>
      </c>
    </row>
    <row r="11648" spans="1:20" x14ac:dyDescent="0.25">
      <c r="A11648" t="str">
        <f>"3052982"</f>
        <v>3052982</v>
      </c>
      <c r="B11648" t="s">
        <v>34859</v>
      </c>
      <c r="C11648" t="str">
        <f>"82526730"</f>
        <v>82526730</v>
      </c>
      <c r="D11648" t="s">
        <v>34860</v>
      </c>
      <c r="E11648" t="s">
        <v>34861</v>
      </c>
      <c r="F11648" t="s">
        <v>34862</v>
      </c>
      <c r="I11648" t="s">
        <v>29</v>
      </c>
      <c r="J11648" t="s">
        <v>30</v>
      </c>
      <c r="K11648" t="s">
        <v>31</v>
      </c>
      <c r="M11648" t="s">
        <v>34475</v>
      </c>
      <c r="N11648" t="str">
        <f>"5/21/2018 1:36:00 PM"</f>
        <v>5/21/2018 1:36:00 PM</v>
      </c>
      <c r="O11648" t="s">
        <v>34860</v>
      </c>
      <c r="T11648" t="s">
        <v>34861</v>
      </c>
    </row>
    <row r="11649" spans="1:20" x14ac:dyDescent="0.25">
      <c r="A11649" t="str">
        <f>"3052788"</f>
        <v>3052788</v>
      </c>
      <c r="B11649" t="s">
        <v>34863</v>
      </c>
      <c r="C11649" t="str">
        <f>"8309766"</f>
        <v>8309766</v>
      </c>
      <c r="D11649" t="s">
        <v>34864</v>
      </c>
      <c r="F11649" t="s">
        <v>34865</v>
      </c>
      <c r="I11649" t="s">
        <v>29</v>
      </c>
      <c r="J11649" t="s">
        <v>30</v>
      </c>
      <c r="K11649" t="s">
        <v>25848</v>
      </c>
      <c r="M11649" t="s">
        <v>17861</v>
      </c>
      <c r="N11649" t="str">
        <f>"5/21/2018 3:55:00 PM"</f>
        <v>5/21/2018 3:55:00 PM</v>
      </c>
      <c r="O11649" t="s">
        <v>34864</v>
      </c>
    </row>
    <row r="11650" spans="1:20" x14ac:dyDescent="0.25">
      <c r="A11650" t="str">
        <f>"3042165"</f>
        <v>3042165</v>
      </c>
      <c r="B11650" t="s">
        <v>34866</v>
      </c>
      <c r="C11650" t="str">
        <f>"8309767"</f>
        <v>8309767</v>
      </c>
      <c r="D11650" t="s">
        <v>34867</v>
      </c>
      <c r="E11650" t="s">
        <v>34868</v>
      </c>
      <c r="F11650" t="s">
        <v>34869</v>
      </c>
      <c r="I11650" t="s">
        <v>29</v>
      </c>
      <c r="J11650" t="s">
        <v>30</v>
      </c>
      <c r="K11650" t="s">
        <v>34870</v>
      </c>
      <c r="M11650" t="s">
        <v>17861</v>
      </c>
      <c r="N11650" t="str">
        <f>"5/21/2018 4:00:00 PM"</f>
        <v>5/21/2018 4:00:00 PM</v>
      </c>
      <c r="O11650" t="s">
        <v>34867</v>
      </c>
      <c r="T11650" t="s">
        <v>34868</v>
      </c>
    </row>
    <row r="11651" spans="1:20" x14ac:dyDescent="0.25">
      <c r="A11651" t="str">
        <f>"3056236"</f>
        <v>3056236</v>
      </c>
      <c r="B11651" t="s">
        <v>34871</v>
      </c>
      <c r="C11651" t="str">
        <f>"82529893"</f>
        <v>82529893</v>
      </c>
      <c r="D11651" t="s">
        <v>34872</v>
      </c>
      <c r="F11651" t="s">
        <v>34873</v>
      </c>
      <c r="I11651" t="s">
        <v>964</v>
      </c>
      <c r="J11651" t="s">
        <v>30</v>
      </c>
      <c r="K11651" t="s">
        <v>16661</v>
      </c>
      <c r="M11651" t="s">
        <v>33432</v>
      </c>
      <c r="N11651" t="str">
        <f>"6/6/2018 10:32:00 AM"</f>
        <v>6/6/2018 10:32:00 AM</v>
      </c>
      <c r="O11651" t="s">
        <v>34872</v>
      </c>
    </row>
    <row r="11652" spans="1:20" x14ac:dyDescent="0.25">
      <c r="A11652" t="str">
        <f>"3043541"</f>
        <v>3043541</v>
      </c>
      <c r="B11652" t="s">
        <v>34874</v>
      </c>
      <c r="C11652" t="str">
        <f>"82520465"</f>
        <v>82520465</v>
      </c>
      <c r="D11652" t="s">
        <v>34875</v>
      </c>
      <c r="F11652" t="s">
        <v>34876</v>
      </c>
      <c r="I11652" t="s">
        <v>29</v>
      </c>
      <c r="J11652" t="s">
        <v>30</v>
      </c>
      <c r="K11652" t="s">
        <v>31</v>
      </c>
      <c r="M11652" t="s">
        <v>33845</v>
      </c>
      <c r="N11652" t="str">
        <f>"6/6/2018 10:46:00 AM"</f>
        <v>6/6/2018 10:46:00 AM</v>
      </c>
      <c r="O11652" t="s">
        <v>34875</v>
      </c>
    </row>
    <row r="11653" spans="1:20" x14ac:dyDescent="0.25">
      <c r="A11653" t="str">
        <f>"3043114"</f>
        <v>3043114</v>
      </c>
      <c r="B11653" t="s">
        <v>34877</v>
      </c>
      <c r="C11653" t="str">
        <f>"82520465"</f>
        <v>82520465</v>
      </c>
      <c r="D11653" t="s">
        <v>34875</v>
      </c>
      <c r="F11653" t="s">
        <v>34876</v>
      </c>
      <c r="I11653" t="s">
        <v>29</v>
      </c>
      <c r="J11653" t="s">
        <v>30</v>
      </c>
      <c r="K11653" t="s">
        <v>31</v>
      </c>
      <c r="M11653" t="s">
        <v>33845</v>
      </c>
      <c r="N11653" t="str">
        <f>"6/6/2018 10:46:00 AM"</f>
        <v>6/6/2018 10:46:00 AM</v>
      </c>
      <c r="O11653" t="s">
        <v>34875</v>
      </c>
    </row>
    <row r="11654" spans="1:20" x14ac:dyDescent="0.25">
      <c r="A11654" t="str">
        <f>"3074041"</f>
        <v>3074041</v>
      </c>
      <c r="B11654" t="s">
        <v>34878</v>
      </c>
      <c r="C11654" t="str">
        <f>"8309767"</f>
        <v>8309767</v>
      </c>
      <c r="D11654" t="s">
        <v>34867</v>
      </c>
      <c r="E11654" t="s">
        <v>34868</v>
      </c>
      <c r="F11654" t="s">
        <v>34869</v>
      </c>
      <c r="I11654" t="s">
        <v>29</v>
      </c>
      <c r="J11654" t="s">
        <v>30</v>
      </c>
      <c r="K11654" t="s">
        <v>34870</v>
      </c>
      <c r="M11654" t="s">
        <v>17861</v>
      </c>
      <c r="N11654" t="str">
        <f>"5/21/2018 4:00:00 PM"</f>
        <v>5/21/2018 4:00:00 PM</v>
      </c>
      <c r="O11654" t="s">
        <v>34867</v>
      </c>
      <c r="T11654" t="s">
        <v>34868</v>
      </c>
    </row>
    <row r="11655" spans="1:20" x14ac:dyDescent="0.25">
      <c r="A11655" t="str">
        <f>"3038874"</f>
        <v>3038874</v>
      </c>
      <c r="B11655" t="s">
        <v>34879</v>
      </c>
      <c r="C11655" t="str">
        <f>"8309768"</f>
        <v>8309768</v>
      </c>
      <c r="D11655" t="s">
        <v>34880</v>
      </c>
      <c r="E11655" t="s">
        <v>34881</v>
      </c>
      <c r="F11655" t="s">
        <v>34882</v>
      </c>
      <c r="I11655" t="s">
        <v>29</v>
      </c>
      <c r="J11655" t="s">
        <v>30</v>
      </c>
      <c r="K11655" t="s">
        <v>34883</v>
      </c>
      <c r="M11655" t="s">
        <v>17861</v>
      </c>
      <c r="N11655" t="str">
        <f>"5/21/2018 4:12:00 PM"</f>
        <v>5/21/2018 4:12:00 PM</v>
      </c>
      <c r="O11655" t="s">
        <v>34880</v>
      </c>
      <c r="T11655" t="s">
        <v>34881</v>
      </c>
    </row>
    <row r="11656" spans="1:20" x14ac:dyDescent="0.25">
      <c r="A11656" t="str">
        <f>"3047639"</f>
        <v>3047639</v>
      </c>
      <c r="B11656" t="s">
        <v>34884</v>
      </c>
      <c r="C11656" t="str">
        <f>"8309772"</f>
        <v>8309772</v>
      </c>
      <c r="D11656" t="s">
        <v>34885</v>
      </c>
      <c r="F11656" t="s">
        <v>34886</v>
      </c>
      <c r="I11656" t="s">
        <v>184</v>
      </c>
      <c r="J11656" t="s">
        <v>30</v>
      </c>
      <c r="K11656" t="s">
        <v>8959</v>
      </c>
      <c r="M11656" t="s">
        <v>17861</v>
      </c>
      <c r="N11656" t="str">
        <f>"5/22/2018 10:35:00 AM"</f>
        <v>5/22/2018 10:35:00 AM</v>
      </c>
      <c r="O11656" t="s">
        <v>34885</v>
      </c>
    </row>
    <row r="11657" spans="1:20" x14ac:dyDescent="0.25">
      <c r="A11657" t="str">
        <f>"3053320"</f>
        <v>3053320</v>
      </c>
      <c r="B11657" t="s">
        <v>34887</v>
      </c>
      <c r="C11657" t="str">
        <f>"8309846"</f>
        <v>8309846</v>
      </c>
      <c r="D11657" t="s">
        <v>27237</v>
      </c>
      <c r="E11657" t="s">
        <v>34888</v>
      </c>
      <c r="F11657" t="s">
        <v>34889</v>
      </c>
      <c r="I11657" t="s">
        <v>184</v>
      </c>
      <c r="J11657" t="s">
        <v>30</v>
      </c>
      <c r="K11657" t="s">
        <v>30786</v>
      </c>
      <c r="M11657" t="s">
        <v>17861</v>
      </c>
      <c r="N11657" t="str">
        <f>"6/7/2018 8:35:00 AM"</f>
        <v>6/7/2018 8:35:00 AM</v>
      </c>
      <c r="O11657" t="s">
        <v>27237</v>
      </c>
      <c r="T11657" t="s">
        <v>34888</v>
      </c>
    </row>
    <row r="11658" spans="1:20" x14ac:dyDescent="0.25">
      <c r="A11658" t="str">
        <f>"3053340"</f>
        <v>3053340</v>
      </c>
      <c r="B11658" t="s">
        <v>34890</v>
      </c>
      <c r="C11658" t="str">
        <f>"8309846"</f>
        <v>8309846</v>
      </c>
      <c r="D11658" t="s">
        <v>27237</v>
      </c>
      <c r="E11658" t="s">
        <v>34888</v>
      </c>
      <c r="F11658" t="s">
        <v>34889</v>
      </c>
      <c r="I11658" t="s">
        <v>184</v>
      </c>
      <c r="J11658" t="s">
        <v>30</v>
      </c>
      <c r="K11658" t="s">
        <v>30786</v>
      </c>
      <c r="M11658" t="s">
        <v>17861</v>
      </c>
      <c r="N11658" t="str">
        <f>"6/7/2018 8:35:00 AM"</f>
        <v>6/7/2018 8:35:00 AM</v>
      </c>
      <c r="O11658" t="s">
        <v>27237</v>
      </c>
      <c r="T11658" t="s">
        <v>34888</v>
      </c>
    </row>
    <row r="11659" spans="1:20" x14ac:dyDescent="0.25">
      <c r="A11659" t="str">
        <f>"3053256"</f>
        <v>3053256</v>
      </c>
      <c r="B11659" t="s">
        <v>34891</v>
      </c>
      <c r="C11659" t="str">
        <f>"8309846"</f>
        <v>8309846</v>
      </c>
      <c r="D11659" t="s">
        <v>27237</v>
      </c>
      <c r="E11659" t="s">
        <v>34888</v>
      </c>
      <c r="F11659" t="s">
        <v>34889</v>
      </c>
      <c r="I11659" t="s">
        <v>184</v>
      </c>
      <c r="J11659" t="s">
        <v>30</v>
      </c>
      <c r="K11659" t="s">
        <v>30786</v>
      </c>
      <c r="M11659" t="s">
        <v>17861</v>
      </c>
      <c r="N11659" t="str">
        <f>"6/7/2018 8:35:00 AM"</f>
        <v>6/7/2018 8:35:00 AM</v>
      </c>
      <c r="O11659" t="s">
        <v>27237</v>
      </c>
      <c r="T11659" t="s">
        <v>34888</v>
      </c>
    </row>
    <row r="11660" spans="1:20" x14ac:dyDescent="0.25">
      <c r="A11660" t="str">
        <f>"3042157"</f>
        <v>3042157</v>
      </c>
      <c r="B11660" t="s">
        <v>34892</v>
      </c>
      <c r="C11660" t="str">
        <f>"8309847"</f>
        <v>8309847</v>
      </c>
      <c r="D11660" t="s">
        <v>19393</v>
      </c>
      <c r="E11660" t="s">
        <v>34893</v>
      </c>
      <c r="F11660" t="s">
        <v>34894</v>
      </c>
      <c r="I11660" t="s">
        <v>29</v>
      </c>
      <c r="J11660" t="s">
        <v>30</v>
      </c>
      <c r="K11660" t="s">
        <v>19395</v>
      </c>
      <c r="M11660" t="s">
        <v>17861</v>
      </c>
      <c r="N11660" t="str">
        <f>"6/7/2018 8:38:00 AM"</f>
        <v>6/7/2018 8:38:00 AM</v>
      </c>
      <c r="O11660" t="s">
        <v>19393</v>
      </c>
      <c r="T11660" t="s">
        <v>34893</v>
      </c>
    </row>
    <row r="11661" spans="1:20" x14ac:dyDescent="0.25">
      <c r="A11661" t="str">
        <f>"3042170"</f>
        <v>3042170</v>
      </c>
      <c r="B11661" t="s">
        <v>34895</v>
      </c>
      <c r="C11661" t="str">
        <f>"8309847"</f>
        <v>8309847</v>
      </c>
      <c r="D11661" t="s">
        <v>19393</v>
      </c>
      <c r="E11661" t="s">
        <v>34893</v>
      </c>
      <c r="F11661" t="s">
        <v>34894</v>
      </c>
      <c r="I11661" t="s">
        <v>29</v>
      </c>
      <c r="J11661" t="s">
        <v>30</v>
      </c>
      <c r="K11661" t="s">
        <v>19395</v>
      </c>
      <c r="M11661" t="s">
        <v>17861</v>
      </c>
      <c r="N11661" t="str">
        <f>"6/7/2018 8:38:00 AM"</f>
        <v>6/7/2018 8:38:00 AM</v>
      </c>
      <c r="O11661" t="s">
        <v>19393</v>
      </c>
      <c r="T11661" t="s">
        <v>34893</v>
      </c>
    </row>
    <row r="11662" spans="1:20" x14ac:dyDescent="0.25">
      <c r="A11662" t="str">
        <f>"3043456"</f>
        <v>3043456</v>
      </c>
      <c r="B11662" t="s">
        <v>34896</v>
      </c>
      <c r="C11662" t="str">
        <f>"8309849"</f>
        <v>8309849</v>
      </c>
      <c r="D11662" t="s">
        <v>34897</v>
      </c>
      <c r="E11662" t="s">
        <v>34898</v>
      </c>
      <c r="F11662" t="s">
        <v>34899</v>
      </c>
      <c r="I11662" t="s">
        <v>29</v>
      </c>
      <c r="J11662" t="s">
        <v>30</v>
      </c>
      <c r="K11662" t="s">
        <v>34900</v>
      </c>
      <c r="M11662" t="s">
        <v>17861</v>
      </c>
      <c r="N11662" t="str">
        <f>"6/7/2018 8:54:00 AM"</f>
        <v>6/7/2018 8:54:00 AM</v>
      </c>
      <c r="O11662" t="s">
        <v>34897</v>
      </c>
      <c r="T11662" t="s">
        <v>34898</v>
      </c>
    </row>
    <row r="11663" spans="1:20" x14ac:dyDescent="0.25">
      <c r="A11663" t="str">
        <f>"3042820"</f>
        <v>3042820</v>
      </c>
      <c r="B11663" t="s">
        <v>34901</v>
      </c>
      <c r="C11663" t="str">
        <f>"82525233"</f>
        <v>82525233</v>
      </c>
      <c r="D11663" t="s">
        <v>34902</v>
      </c>
      <c r="E11663" t="s">
        <v>34903</v>
      </c>
      <c r="F11663" t="s">
        <v>34904</v>
      </c>
      <c r="I11663" t="s">
        <v>29</v>
      </c>
      <c r="J11663" t="s">
        <v>30</v>
      </c>
      <c r="K11663" t="s">
        <v>34905</v>
      </c>
      <c r="M11663" t="s">
        <v>25625</v>
      </c>
      <c r="N11663" t="str">
        <f>"5/22/2018 10:38:00 AM"</f>
        <v>5/22/2018 10:38:00 AM</v>
      </c>
      <c r="O11663" t="s">
        <v>34902</v>
      </c>
      <c r="T11663" t="s">
        <v>34903</v>
      </c>
    </row>
    <row r="11664" spans="1:20" x14ac:dyDescent="0.25">
      <c r="A11664" t="str">
        <f>"3047716"</f>
        <v>3047716</v>
      </c>
      <c r="B11664" t="s">
        <v>34906</v>
      </c>
      <c r="C11664" t="str">
        <f>"8309773"</f>
        <v>8309773</v>
      </c>
      <c r="D11664" t="s">
        <v>34907</v>
      </c>
      <c r="F11664" t="s">
        <v>34886</v>
      </c>
      <c r="I11664" t="s">
        <v>184</v>
      </c>
      <c r="J11664" t="s">
        <v>30</v>
      </c>
      <c r="K11664" t="s">
        <v>8959</v>
      </c>
      <c r="M11664" t="s">
        <v>17861</v>
      </c>
      <c r="N11664" t="str">
        <f>"5/22/2018 10:50:00 AM"</f>
        <v>5/22/2018 10:50:00 AM</v>
      </c>
      <c r="O11664" t="s">
        <v>34907</v>
      </c>
    </row>
    <row r="11665" spans="1:20" x14ac:dyDescent="0.25">
      <c r="A11665" t="str">
        <f>"3051316"</f>
        <v>3051316</v>
      </c>
      <c r="B11665" t="s">
        <v>34908</v>
      </c>
      <c r="C11665" t="str">
        <f>"8309791"</f>
        <v>8309791</v>
      </c>
      <c r="D11665" t="s">
        <v>34909</v>
      </c>
      <c r="E11665" t="s">
        <v>34910</v>
      </c>
      <c r="F11665" t="s">
        <v>34911</v>
      </c>
      <c r="I11665" t="s">
        <v>29</v>
      </c>
      <c r="J11665" t="s">
        <v>30</v>
      </c>
      <c r="K11665" t="s">
        <v>14280</v>
      </c>
      <c r="M11665" t="s">
        <v>17861</v>
      </c>
      <c r="N11665" t="str">
        <f>"5/23/2018 4:02:00 PM"</f>
        <v>5/23/2018 4:02:00 PM</v>
      </c>
      <c r="O11665" t="s">
        <v>34909</v>
      </c>
      <c r="T11665" t="s">
        <v>34910</v>
      </c>
    </row>
    <row r="11666" spans="1:20" x14ac:dyDescent="0.25">
      <c r="A11666" t="str">
        <f>"3078275"</f>
        <v>3078275</v>
      </c>
      <c r="B11666" t="s">
        <v>34912</v>
      </c>
      <c r="C11666" t="str">
        <f>"8306026"</f>
        <v>8306026</v>
      </c>
      <c r="D11666" t="s">
        <v>34913</v>
      </c>
      <c r="F11666" t="s">
        <v>34914</v>
      </c>
      <c r="I11666" t="s">
        <v>29</v>
      </c>
      <c r="J11666" t="s">
        <v>30</v>
      </c>
      <c r="K11666" t="str">
        <f>"27028"</f>
        <v>27028</v>
      </c>
      <c r="M11666" t="s">
        <v>33845</v>
      </c>
      <c r="N11666" t="str">
        <f>"6/8/2018 11:25:00 AM"</f>
        <v>6/8/2018 11:25:00 AM</v>
      </c>
      <c r="O11666" t="s">
        <v>34913</v>
      </c>
    </row>
    <row r="11667" spans="1:20" x14ac:dyDescent="0.25">
      <c r="A11667" t="str">
        <f>"3043252"</f>
        <v>3043252</v>
      </c>
      <c r="B11667" t="s">
        <v>34915</v>
      </c>
      <c r="C11667" t="str">
        <f>"78200000"</f>
        <v>78200000</v>
      </c>
      <c r="D11667" t="s">
        <v>34916</v>
      </c>
      <c r="E11667" t="s">
        <v>34917</v>
      </c>
      <c r="F11667" t="s">
        <v>34918</v>
      </c>
      <c r="I11667" t="s">
        <v>29</v>
      </c>
      <c r="J11667" t="s">
        <v>30</v>
      </c>
      <c r="K11667" t="s">
        <v>8511</v>
      </c>
      <c r="M11667" t="s">
        <v>33845</v>
      </c>
      <c r="N11667" t="str">
        <f>"6/8/2018 11:26:00 AM"</f>
        <v>6/8/2018 11:26:00 AM</v>
      </c>
      <c r="O11667" t="s">
        <v>34916</v>
      </c>
      <c r="T11667" t="s">
        <v>34917</v>
      </c>
    </row>
    <row r="11668" spans="1:20" x14ac:dyDescent="0.25">
      <c r="A11668" t="str">
        <f>"3046297"</f>
        <v>3046297</v>
      </c>
      <c r="B11668" t="s">
        <v>34919</v>
      </c>
      <c r="C11668" t="str">
        <f>"78200000"</f>
        <v>78200000</v>
      </c>
      <c r="D11668" t="s">
        <v>34916</v>
      </c>
      <c r="E11668" t="s">
        <v>34917</v>
      </c>
      <c r="F11668" t="s">
        <v>34918</v>
      </c>
      <c r="I11668" t="s">
        <v>29</v>
      </c>
      <c r="J11668" t="s">
        <v>30</v>
      </c>
      <c r="K11668" t="s">
        <v>8511</v>
      </c>
      <c r="M11668" t="s">
        <v>33845</v>
      </c>
      <c r="N11668" t="str">
        <f>"6/8/2018 11:26:00 AM"</f>
        <v>6/8/2018 11:26:00 AM</v>
      </c>
      <c r="O11668" t="s">
        <v>34916</v>
      </c>
      <c r="T11668" t="s">
        <v>34917</v>
      </c>
    </row>
    <row r="11669" spans="1:20" x14ac:dyDescent="0.25">
      <c r="A11669" t="str">
        <f>"3054589"</f>
        <v>3054589</v>
      </c>
      <c r="B11669" t="s">
        <v>34920</v>
      </c>
      <c r="C11669" t="str">
        <f>"47520870"</f>
        <v>47520870</v>
      </c>
      <c r="D11669" t="s">
        <v>34921</v>
      </c>
      <c r="F11669" t="s">
        <v>34922</v>
      </c>
      <c r="I11669" t="s">
        <v>29</v>
      </c>
      <c r="J11669" t="s">
        <v>30</v>
      </c>
      <c r="K11669" t="s">
        <v>31</v>
      </c>
      <c r="M11669" t="s">
        <v>25733</v>
      </c>
      <c r="N11669" t="str">
        <f>"6/8/2018 3:14:00 PM"</f>
        <v>6/8/2018 3:14:00 PM</v>
      </c>
      <c r="O11669" t="s">
        <v>34921</v>
      </c>
    </row>
    <row r="11670" spans="1:20" x14ac:dyDescent="0.25">
      <c r="A11670" t="str">
        <f>"3049226"</f>
        <v>3049226</v>
      </c>
      <c r="B11670" t="s">
        <v>34923</v>
      </c>
      <c r="C11670" t="str">
        <f>"28476000"</f>
        <v>28476000</v>
      </c>
      <c r="D11670" t="s">
        <v>34924</v>
      </c>
      <c r="E11670" t="s">
        <v>34925</v>
      </c>
      <c r="F11670" t="s">
        <v>34926</v>
      </c>
      <c r="I11670" t="s">
        <v>29</v>
      </c>
      <c r="J11670" t="s">
        <v>30</v>
      </c>
      <c r="K11670" t="s">
        <v>31</v>
      </c>
      <c r="M11670" t="s">
        <v>34670</v>
      </c>
      <c r="N11670" t="str">
        <f>"5/22/2018 11:12:00 AM"</f>
        <v>5/22/2018 11:12:00 AM</v>
      </c>
      <c r="O11670" t="s">
        <v>34924</v>
      </c>
      <c r="T11670" t="s">
        <v>34925</v>
      </c>
    </row>
    <row r="11671" spans="1:20" x14ac:dyDescent="0.25">
      <c r="A11671" t="str">
        <f>"3048100"</f>
        <v>3048100</v>
      </c>
      <c r="B11671" t="s">
        <v>34927</v>
      </c>
      <c r="C11671" t="str">
        <f>"8309602"</f>
        <v>8309602</v>
      </c>
      <c r="D11671" t="s">
        <v>34928</v>
      </c>
      <c r="E11671" t="s">
        <v>34929</v>
      </c>
      <c r="F11671" t="s">
        <v>34930</v>
      </c>
      <c r="I11671" t="s">
        <v>184</v>
      </c>
      <c r="J11671" t="s">
        <v>30</v>
      </c>
      <c r="K11671" t="s">
        <v>8883</v>
      </c>
      <c r="M11671" t="s">
        <v>25625</v>
      </c>
      <c r="N11671" t="str">
        <f>"5/22/2018 12:14:00 PM"</f>
        <v>5/22/2018 12:14:00 PM</v>
      </c>
      <c r="O11671" t="s">
        <v>34928</v>
      </c>
      <c r="T11671" t="s">
        <v>34929</v>
      </c>
    </row>
    <row r="11672" spans="1:20" x14ac:dyDescent="0.25">
      <c r="A11672" t="str">
        <f>"3048566"</f>
        <v>3048566</v>
      </c>
      <c r="B11672" t="s">
        <v>34931</v>
      </c>
      <c r="C11672" t="str">
        <f>"82516708"</f>
        <v>82516708</v>
      </c>
      <c r="D11672" t="s">
        <v>34932</v>
      </c>
      <c r="E11672" t="s">
        <v>34933</v>
      </c>
      <c r="F11672" t="s">
        <v>34934</v>
      </c>
      <c r="I11672" t="s">
        <v>184</v>
      </c>
      <c r="J11672" t="s">
        <v>30</v>
      </c>
      <c r="K11672" t="s">
        <v>27311</v>
      </c>
      <c r="M11672" t="s">
        <v>25625</v>
      </c>
      <c r="N11672" t="str">
        <f>"5/24/2018 12:51:00 PM"</f>
        <v>5/24/2018 12:51:00 PM</v>
      </c>
      <c r="O11672" t="s">
        <v>34932</v>
      </c>
      <c r="T11672" t="s">
        <v>34933</v>
      </c>
    </row>
    <row r="11673" spans="1:20" x14ac:dyDescent="0.25">
      <c r="A11673" t="str">
        <f>"3054667"</f>
        <v>3054667</v>
      </c>
      <c r="B11673" t="s">
        <v>34935</v>
      </c>
      <c r="C11673" t="str">
        <f>"8304283"</f>
        <v>8304283</v>
      </c>
      <c r="D11673" t="s">
        <v>34936</v>
      </c>
      <c r="F11673" t="s">
        <v>34937</v>
      </c>
      <c r="I11673" t="s">
        <v>14378</v>
      </c>
      <c r="J11673" t="s">
        <v>30</v>
      </c>
      <c r="K11673" t="str">
        <f>"27013"</f>
        <v>27013</v>
      </c>
      <c r="M11673" t="s">
        <v>33845</v>
      </c>
      <c r="N11673" t="str">
        <f>"5/25/2018 2:46:00 PM"</f>
        <v>5/25/2018 2:46:00 PM</v>
      </c>
      <c r="O11673" t="s">
        <v>34936</v>
      </c>
    </row>
    <row r="11674" spans="1:20" x14ac:dyDescent="0.25">
      <c r="A11674" t="str">
        <f>"3047988"</f>
        <v>3047988</v>
      </c>
      <c r="B11674" t="s">
        <v>34938</v>
      </c>
      <c r="C11674" t="str">
        <f>"24004000"</f>
        <v>24004000</v>
      </c>
      <c r="D11674" t="s">
        <v>34939</v>
      </c>
      <c r="F11674" t="s">
        <v>34940</v>
      </c>
      <c r="I11674" t="s">
        <v>184</v>
      </c>
      <c r="J11674" t="s">
        <v>30</v>
      </c>
      <c r="K11674" t="s">
        <v>185</v>
      </c>
      <c r="M11674" t="s">
        <v>33845</v>
      </c>
      <c r="N11674" t="str">
        <f>"5/25/2018 2:48:00 PM"</f>
        <v>5/25/2018 2:48:00 PM</v>
      </c>
      <c r="O11674" t="s">
        <v>34939</v>
      </c>
    </row>
    <row r="11675" spans="1:20" x14ac:dyDescent="0.25">
      <c r="A11675" t="str">
        <f>"3053655"</f>
        <v>3053655</v>
      </c>
      <c r="B11675" t="s">
        <v>34941</v>
      </c>
      <c r="C11675" t="str">
        <f>"8309798"</f>
        <v>8309798</v>
      </c>
      <c r="D11675" t="s">
        <v>34942</v>
      </c>
      <c r="E11675" t="s">
        <v>34943</v>
      </c>
      <c r="F11675" t="s">
        <v>34944</v>
      </c>
      <c r="I11675" t="s">
        <v>29</v>
      </c>
      <c r="J11675" t="s">
        <v>30</v>
      </c>
      <c r="K11675" t="s">
        <v>33089</v>
      </c>
      <c r="M11675" t="s">
        <v>17861</v>
      </c>
      <c r="N11675" t="str">
        <f>"5/29/2018 9:18:00 AM"</f>
        <v>5/29/2018 9:18:00 AM</v>
      </c>
      <c r="O11675" t="s">
        <v>34942</v>
      </c>
      <c r="T11675" t="s">
        <v>34943</v>
      </c>
    </row>
    <row r="11676" spans="1:20" x14ac:dyDescent="0.25">
      <c r="A11676" t="str">
        <f>"3048547"</f>
        <v>3048547</v>
      </c>
      <c r="B11676" t="s">
        <v>34945</v>
      </c>
      <c r="C11676" t="str">
        <f>"8309801"</f>
        <v>8309801</v>
      </c>
      <c r="D11676" t="str">
        <f>"KISER MATTHEW DANIEL/AMANDA C"</f>
        <v>KISER MATTHEW DANIEL/AMANDA C</v>
      </c>
      <c r="E11676" t="s">
        <v>34789</v>
      </c>
      <c r="F11676" t="s">
        <v>34790</v>
      </c>
      <c r="I11676" t="s">
        <v>29</v>
      </c>
      <c r="J11676" t="s">
        <v>30</v>
      </c>
      <c r="K11676" t="s">
        <v>19719</v>
      </c>
      <c r="M11676" t="s">
        <v>17861</v>
      </c>
      <c r="N11676" t="str">
        <f>"5/29/2018 10:54:00 AM"</f>
        <v>5/29/2018 10:54:00 AM</v>
      </c>
      <c r="O11676" t="str">
        <f>"KISER MATTHEW DANIEL/AMANDA C"</f>
        <v>KISER MATTHEW DANIEL/AMANDA C</v>
      </c>
      <c r="T11676" t="s">
        <v>34789</v>
      </c>
    </row>
    <row r="11677" spans="1:20" x14ac:dyDescent="0.25">
      <c r="A11677" t="str">
        <f>"3043649"</f>
        <v>3043649</v>
      </c>
      <c r="B11677" t="s">
        <v>34946</v>
      </c>
      <c r="C11677" t="str">
        <f>"82530866"</f>
        <v>82530866</v>
      </c>
      <c r="D11677" t="s">
        <v>34947</v>
      </c>
      <c r="F11677" t="s">
        <v>34948</v>
      </c>
      <c r="I11677" t="s">
        <v>29</v>
      </c>
      <c r="J11677" t="s">
        <v>30</v>
      </c>
      <c r="K11677" t="s">
        <v>34949</v>
      </c>
      <c r="M11677" t="s">
        <v>33845</v>
      </c>
      <c r="N11677" t="str">
        <f>"5/31/2018 8:59:00 AM"</f>
        <v>5/31/2018 8:59:00 AM</v>
      </c>
      <c r="O11677" t="s">
        <v>34947</v>
      </c>
    </row>
    <row r="11678" spans="1:20" x14ac:dyDescent="0.25">
      <c r="A11678" t="str">
        <f>"3055459"</f>
        <v>3055459</v>
      </c>
      <c r="B11678" t="s">
        <v>34950</v>
      </c>
      <c r="C11678" t="str">
        <f>"8309867"</f>
        <v>8309867</v>
      </c>
      <c r="D11678" t="s">
        <v>34951</v>
      </c>
      <c r="F11678" t="s">
        <v>34952</v>
      </c>
      <c r="I11678" t="s">
        <v>29</v>
      </c>
      <c r="J11678" t="s">
        <v>30</v>
      </c>
      <c r="K11678" t="s">
        <v>34953</v>
      </c>
      <c r="M11678" t="s">
        <v>17861</v>
      </c>
      <c r="N11678" t="str">
        <f>"6/13/2018 3:08:00 PM"</f>
        <v>6/13/2018 3:08:00 PM</v>
      </c>
      <c r="O11678" t="s">
        <v>34951</v>
      </c>
    </row>
    <row r="11679" spans="1:20" x14ac:dyDescent="0.25">
      <c r="A11679" t="str">
        <f>"3078780"</f>
        <v>3078780</v>
      </c>
      <c r="B11679" t="s">
        <v>34954</v>
      </c>
      <c r="C11679" t="str">
        <f>"8309867"</f>
        <v>8309867</v>
      </c>
      <c r="D11679" t="s">
        <v>34951</v>
      </c>
      <c r="F11679" t="s">
        <v>34952</v>
      </c>
      <c r="I11679" t="s">
        <v>29</v>
      </c>
      <c r="J11679" t="s">
        <v>30</v>
      </c>
      <c r="K11679" t="s">
        <v>34953</v>
      </c>
      <c r="M11679" t="s">
        <v>17861</v>
      </c>
      <c r="N11679" t="str">
        <f>"6/13/2018 3:08:00 PM"</f>
        <v>6/13/2018 3:08:00 PM</v>
      </c>
      <c r="O11679" t="s">
        <v>34951</v>
      </c>
    </row>
    <row r="11680" spans="1:20" x14ac:dyDescent="0.25">
      <c r="A11680" t="str">
        <f>"3070076"</f>
        <v>3070076</v>
      </c>
      <c r="B11680" t="s">
        <v>34955</v>
      </c>
      <c r="C11680" t="str">
        <f>"8309867"</f>
        <v>8309867</v>
      </c>
      <c r="D11680" t="s">
        <v>34951</v>
      </c>
      <c r="F11680" t="s">
        <v>34952</v>
      </c>
      <c r="I11680" t="s">
        <v>29</v>
      </c>
      <c r="J11680" t="s">
        <v>30</v>
      </c>
      <c r="K11680" t="s">
        <v>34953</v>
      </c>
      <c r="M11680" t="s">
        <v>17861</v>
      </c>
      <c r="N11680" t="str">
        <f>"6/13/2018 3:08:00 PM"</f>
        <v>6/13/2018 3:08:00 PM</v>
      </c>
      <c r="O11680" t="s">
        <v>34951</v>
      </c>
    </row>
    <row r="11681" spans="1:20" x14ac:dyDescent="0.25">
      <c r="A11681" t="str">
        <f>"3070078"</f>
        <v>3070078</v>
      </c>
      <c r="B11681" t="s">
        <v>34956</v>
      </c>
      <c r="C11681" t="str">
        <f>"8309867"</f>
        <v>8309867</v>
      </c>
      <c r="D11681" t="s">
        <v>34951</v>
      </c>
      <c r="F11681" t="s">
        <v>34952</v>
      </c>
      <c r="I11681" t="s">
        <v>29</v>
      </c>
      <c r="J11681" t="s">
        <v>30</v>
      </c>
      <c r="K11681" t="s">
        <v>34953</v>
      </c>
      <c r="M11681" t="s">
        <v>17861</v>
      </c>
      <c r="N11681" t="str">
        <f>"6/13/2018 3:08:00 PM"</f>
        <v>6/13/2018 3:08:00 PM</v>
      </c>
      <c r="O11681" t="s">
        <v>34951</v>
      </c>
    </row>
    <row r="11682" spans="1:20" x14ac:dyDescent="0.25">
      <c r="A11682" t="str">
        <f>"3043223"</f>
        <v>3043223</v>
      </c>
      <c r="B11682" t="s">
        <v>34957</v>
      </c>
      <c r="C11682" t="str">
        <f>"82530866"</f>
        <v>82530866</v>
      </c>
      <c r="D11682" t="s">
        <v>34947</v>
      </c>
      <c r="F11682" t="s">
        <v>34948</v>
      </c>
      <c r="I11682" t="s">
        <v>29</v>
      </c>
      <c r="J11682" t="s">
        <v>30</v>
      </c>
      <c r="K11682" t="s">
        <v>34949</v>
      </c>
      <c r="M11682" t="s">
        <v>33845</v>
      </c>
      <c r="N11682" t="str">
        <f>"5/31/2018 8:59:00 AM"</f>
        <v>5/31/2018 8:59:00 AM</v>
      </c>
      <c r="O11682" t="s">
        <v>34947</v>
      </c>
    </row>
    <row r="11683" spans="1:20" x14ac:dyDescent="0.25">
      <c r="A11683" t="str">
        <f>"3045042"</f>
        <v>3045042</v>
      </c>
      <c r="B11683" t="s">
        <v>34958</v>
      </c>
      <c r="C11683" t="str">
        <f>"8309817"</f>
        <v>8309817</v>
      </c>
      <c r="D11683" t="s">
        <v>34959</v>
      </c>
      <c r="F11683" t="s">
        <v>34960</v>
      </c>
      <c r="I11683" t="s">
        <v>34961</v>
      </c>
      <c r="J11683" t="s">
        <v>1046</v>
      </c>
      <c r="K11683" t="str">
        <f>"30047"</f>
        <v>30047</v>
      </c>
      <c r="M11683" t="s">
        <v>17861</v>
      </c>
      <c r="N11683" t="str">
        <f>"5/31/2018 3:23:00 PM"</f>
        <v>5/31/2018 3:23:00 PM</v>
      </c>
      <c r="O11683" t="s">
        <v>34959</v>
      </c>
    </row>
    <row r="11684" spans="1:20" x14ac:dyDescent="0.25">
      <c r="A11684" t="str">
        <f>"3045171"</f>
        <v>3045171</v>
      </c>
      <c r="B11684" t="s">
        <v>34962</v>
      </c>
      <c r="C11684" t="str">
        <f>"8309817"</f>
        <v>8309817</v>
      </c>
      <c r="D11684" t="s">
        <v>34959</v>
      </c>
      <c r="F11684" t="s">
        <v>34960</v>
      </c>
      <c r="I11684" t="s">
        <v>34961</v>
      </c>
      <c r="J11684" t="s">
        <v>1046</v>
      </c>
      <c r="K11684" t="str">
        <f>"30047"</f>
        <v>30047</v>
      </c>
      <c r="M11684" t="s">
        <v>17861</v>
      </c>
      <c r="N11684" t="str">
        <f>"5/31/2018 3:23:00 PM"</f>
        <v>5/31/2018 3:23:00 PM</v>
      </c>
      <c r="O11684" t="s">
        <v>34959</v>
      </c>
    </row>
    <row r="11685" spans="1:20" x14ac:dyDescent="0.25">
      <c r="A11685" t="str">
        <f>"3058847"</f>
        <v>3058847</v>
      </c>
      <c r="B11685" t="s">
        <v>34963</v>
      </c>
      <c r="C11685" t="str">
        <f>"8309825"</f>
        <v>8309825</v>
      </c>
      <c r="D11685" t="s">
        <v>34964</v>
      </c>
      <c r="F11685" t="s">
        <v>34965</v>
      </c>
      <c r="I11685" t="s">
        <v>29</v>
      </c>
      <c r="J11685" t="s">
        <v>30</v>
      </c>
      <c r="K11685" t="s">
        <v>33427</v>
      </c>
      <c r="M11685" t="s">
        <v>17861</v>
      </c>
      <c r="N11685" t="str">
        <f>"5/31/2018 4:22:00 PM"</f>
        <v>5/31/2018 4:22:00 PM</v>
      </c>
      <c r="O11685" t="s">
        <v>34964</v>
      </c>
    </row>
    <row r="11686" spans="1:20" x14ac:dyDescent="0.25">
      <c r="A11686" t="str">
        <f>"3048840"</f>
        <v>3048840</v>
      </c>
      <c r="B11686" t="s">
        <v>34966</v>
      </c>
      <c r="C11686" t="str">
        <f>"8309828"</f>
        <v>8309828</v>
      </c>
      <c r="D11686" t="s">
        <v>34967</v>
      </c>
      <c r="E11686" t="s">
        <v>34968</v>
      </c>
      <c r="F11686" t="s">
        <v>34969</v>
      </c>
      <c r="I11686" t="s">
        <v>29</v>
      </c>
      <c r="J11686" t="s">
        <v>30</v>
      </c>
      <c r="K11686" t="s">
        <v>34970</v>
      </c>
      <c r="M11686" t="s">
        <v>17861</v>
      </c>
      <c r="N11686" t="str">
        <f>"6/1/2018 10:04:00 AM"</f>
        <v>6/1/2018 10:04:00 AM</v>
      </c>
      <c r="O11686" t="s">
        <v>34967</v>
      </c>
      <c r="T11686" t="s">
        <v>34968</v>
      </c>
    </row>
    <row r="11687" spans="1:20" x14ac:dyDescent="0.25">
      <c r="A11687" t="str">
        <f>"3044628"</f>
        <v>3044628</v>
      </c>
      <c r="B11687" t="s">
        <v>34971</v>
      </c>
      <c r="C11687" t="str">
        <f>"8309842"</f>
        <v>8309842</v>
      </c>
      <c r="D11687" t="s">
        <v>34972</v>
      </c>
      <c r="F11687" t="s">
        <v>34973</v>
      </c>
      <c r="I11687" t="s">
        <v>184</v>
      </c>
      <c r="J11687" t="s">
        <v>30</v>
      </c>
      <c r="K11687" t="s">
        <v>33412</v>
      </c>
      <c r="M11687" t="s">
        <v>17861</v>
      </c>
      <c r="N11687" t="str">
        <f>"6/4/2018 2:31:00 PM"</f>
        <v>6/4/2018 2:31:00 PM</v>
      </c>
      <c r="O11687" t="s">
        <v>34972</v>
      </c>
    </row>
    <row r="11688" spans="1:20" x14ac:dyDescent="0.25">
      <c r="A11688" t="str">
        <f>"3060085"</f>
        <v>3060085</v>
      </c>
      <c r="B11688" t="s">
        <v>34974</v>
      </c>
      <c r="C11688" t="str">
        <f>"8309882"</f>
        <v>8309882</v>
      </c>
      <c r="D11688" t="s">
        <v>34975</v>
      </c>
      <c r="E11688" t="s">
        <v>34976</v>
      </c>
      <c r="F11688" t="s">
        <v>34977</v>
      </c>
      <c r="I11688" t="s">
        <v>184</v>
      </c>
      <c r="J11688" t="s">
        <v>30</v>
      </c>
      <c r="K11688" t="s">
        <v>34978</v>
      </c>
      <c r="M11688" t="s">
        <v>17861</v>
      </c>
      <c r="N11688" t="str">
        <f>"6/14/2018 1:51:00 PM"</f>
        <v>6/14/2018 1:51:00 PM</v>
      </c>
      <c r="O11688" t="s">
        <v>34975</v>
      </c>
      <c r="T11688" t="s">
        <v>34976</v>
      </c>
    </row>
    <row r="11689" spans="1:20" x14ac:dyDescent="0.25">
      <c r="A11689" t="str">
        <f>"3040889"</f>
        <v>3040889</v>
      </c>
      <c r="B11689" t="s">
        <v>34979</v>
      </c>
      <c r="C11689" t="str">
        <f>"8309884"</f>
        <v>8309884</v>
      </c>
      <c r="D11689" t="s">
        <v>34980</v>
      </c>
      <c r="E11689" t="s">
        <v>34981</v>
      </c>
      <c r="F11689" t="s">
        <v>34982</v>
      </c>
      <c r="I11689" t="s">
        <v>184</v>
      </c>
      <c r="J11689" t="s">
        <v>30</v>
      </c>
      <c r="K11689" t="s">
        <v>34983</v>
      </c>
      <c r="M11689" t="s">
        <v>17861</v>
      </c>
      <c r="N11689" t="str">
        <f>"6/14/2018 2:24:00 PM"</f>
        <v>6/14/2018 2:24:00 PM</v>
      </c>
      <c r="O11689" t="s">
        <v>34980</v>
      </c>
      <c r="T11689" t="s">
        <v>34981</v>
      </c>
    </row>
    <row r="11690" spans="1:20" x14ac:dyDescent="0.25">
      <c r="A11690" t="str">
        <f>"3038396"</f>
        <v>3038396</v>
      </c>
      <c r="B11690" t="s">
        <v>34984</v>
      </c>
      <c r="C11690" t="str">
        <f>"82522895"</f>
        <v>82522895</v>
      </c>
      <c r="D11690" t="s">
        <v>34985</v>
      </c>
      <c r="F11690" t="s">
        <v>34986</v>
      </c>
      <c r="I11690" t="s">
        <v>29</v>
      </c>
      <c r="J11690" t="s">
        <v>30</v>
      </c>
      <c r="K11690" t="s">
        <v>34987</v>
      </c>
      <c r="M11690" t="s">
        <v>34475</v>
      </c>
      <c r="N11690" t="str">
        <f>"6/5/2018 11:14:00 AM"</f>
        <v>6/5/2018 11:14:00 AM</v>
      </c>
      <c r="O11690" t="s">
        <v>34985</v>
      </c>
      <c r="T11690" t="s">
        <v>34985</v>
      </c>
    </row>
    <row r="11691" spans="1:20" x14ac:dyDescent="0.25">
      <c r="A11691" t="str">
        <f>"3050565"</f>
        <v>3050565</v>
      </c>
      <c r="B11691" t="s">
        <v>34988</v>
      </c>
      <c r="C11691" t="str">
        <f>"82525502"</f>
        <v>82525502</v>
      </c>
      <c r="D11691" t="s">
        <v>34989</v>
      </c>
      <c r="E11691" t="s">
        <v>34990</v>
      </c>
      <c r="F11691" t="s">
        <v>34991</v>
      </c>
      <c r="I11691" t="s">
        <v>184</v>
      </c>
      <c r="J11691" t="s">
        <v>30</v>
      </c>
      <c r="K11691" t="s">
        <v>185</v>
      </c>
      <c r="M11691" t="s">
        <v>33845</v>
      </c>
      <c r="N11691" t="str">
        <f>"6/6/2018 9:05:00 AM"</f>
        <v>6/6/2018 9:05:00 AM</v>
      </c>
      <c r="O11691" t="s">
        <v>34989</v>
      </c>
      <c r="T11691" t="s">
        <v>34990</v>
      </c>
    </row>
    <row r="11692" spans="1:20" x14ac:dyDescent="0.25">
      <c r="A11692" t="str">
        <f>"3050927"</f>
        <v>3050927</v>
      </c>
      <c r="B11692" t="s">
        <v>34992</v>
      </c>
      <c r="C11692" t="str">
        <f>"82525502"</f>
        <v>82525502</v>
      </c>
      <c r="D11692" t="s">
        <v>34989</v>
      </c>
      <c r="E11692" t="s">
        <v>34990</v>
      </c>
      <c r="F11692" t="s">
        <v>34991</v>
      </c>
      <c r="I11692" t="s">
        <v>184</v>
      </c>
      <c r="J11692" t="s">
        <v>30</v>
      </c>
      <c r="K11692" t="s">
        <v>185</v>
      </c>
      <c r="M11692" t="s">
        <v>33845</v>
      </c>
      <c r="N11692" t="str">
        <f>"6/6/2018 9:05:00 AM"</f>
        <v>6/6/2018 9:05:00 AM</v>
      </c>
      <c r="O11692" t="s">
        <v>34989</v>
      </c>
      <c r="T11692" t="s">
        <v>34990</v>
      </c>
    </row>
    <row r="11693" spans="1:20" x14ac:dyDescent="0.25">
      <c r="A11693" t="str">
        <f>"3053420"</f>
        <v>3053420</v>
      </c>
      <c r="B11693" t="s">
        <v>34993</v>
      </c>
      <c r="C11693" t="str">
        <f>"8309846"</f>
        <v>8309846</v>
      </c>
      <c r="D11693" t="s">
        <v>27237</v>
      </c>
      <c r="E11693" t="s">
        <v>34888</v>
      </c>
      <c r="F11693" t="s">
        <v>34889</v>
      </c>
      <c r="I11693" t="s">
        <v>184</v>
      </c>
      <c r="J11693" t="s">
        <v>30</v>
      </c>
      <c r="K11693" t="s">
        <v>30786</v>
      </c>
      <c r="M11693" t="s">
        <v>17861</v>
      </c>
      <c r="N11693" t="str">
        <f>"6/7/2018 8:35:00 AM"</f>
        <v>6/7/2018 8:35:00 AM</v>
      </c>
      <c r="O11693" t="s">
        <v>27237</v>
      </c>
      <c r="T11693" t="s">
        <v>34888</v>
      </c>
    </row>
    <row r="11694" spans="1:20" x14ac:dyDescent="0.25">
      <c r="A11694" t="str">
        <f>"3053299"</f>
        <v>3053299</v>
      </c>
      <c r="B11694" t="s">
        <v>34994</v>
      </c>
      <c r="C11694" t="str">
        <f>"8309846"</f>
        <v>8309846</v>
      </c>
      <c r="D11694" t="s">
        <v>27237</v>
      </c>
      <c r="E11694" t="s">
        <v>34888</v>
      </c>
      <c r="F11694" t="s">
        <v>34889</v>
      </c>
      <c r="I11694" t="s">
        <v>184</v>
      </c>
      <c r="J11694" t="s">
        <v>30</v>
      </c>
      <c r="K11694" t="s">
        <v>30786</v>
      </c>
      <c r="M11694" t="s">
        <v>17861</v>
      </c>
      <c r="N11694" t="str">
        <f>"6/7/2018 8:35:00 AM"</f>
        <v>6/7/2018 8:35:00 AM</v>
      </c>
      <c r="O11694" t="s">
        <v>27237</v>
      </c>
      <c r="T11694" t="s">
        <v>34888</v>
      </c>
    </row>
    <row r="11695" spans="1:20" x14ac:dyDescent="0.25">
      <c r="A11695" t="str">
        <f>"3053323"</f>
        <v>3053323</v>
      </c>
      <c r="B11695" t="s">
        <v>34995</v>
      </c>
      <c r="C11695" t="str">
        <f>"8309846"</f>
        <v>8309846</v>
      </c>
      <c r="D11695" t="s">
        <v>27237</v>
      </c>
      <c r="E11695" t="s">
        <v>34888</v>
      </c>
      <c r="F11695" t="s">
        <v>34889</v>
      </c>
      <c r="I11695" t="s">
        <v>184</v>
      </c>
      <c r="J11695" t="s">
        <v>30</v>
      </c>
      <c r="K11695" t="s">
        <v>30786</v>
      </c>
      <c r="M11695" t="s">
        <v>17861</v>
      </c>
      <c r="N11695" t="str">
        <f>"6/7/2018 8:35:00 AM"</f>
        <v>6/7/2018 8:35:00 AM</v>
      </c>
      <c r="O11695" t="s">
        <v>27237</v>
      </c>
      <c r="T11695" t="s">
        <v>34888</v>
      </c>
    </row>
    <row r="11696" spans="1:20" x14ac:dyDescent="0.25">
      <c r="A11696" t="str">
        <f>"3052513"</f>
        <v>3052513</v>
      </c>
      <c r="B11696" t="s">
        <v>34996</v>
      </c>
      <c r="C11696" t="str">
        <f>"8309851"</f>
        <v>8309851</v>
      </c>
      <c r="D11696" t="str">
        <f>"VILLATORO JOSE ANTONIO/ZELMA E"</f>
        <v>VILLATORO JOSE ANTONIO/ZELMA E</v>
      </c>
      <c r="E11696" t="s">
        <v>34997</v>
      </c>
      <c r="F11696" t="s">
        <v>34998</v>
      </c>
      <c r="I11696" t="s">
        <v>29</v>
      </c>
      <c r="J11696" t="s">
        <v>30</v>
      </c>
      <c r="K11696" t="s">
        <v>34999</v>
      </c>
      <c r="M11696" t="s">
        <v>17861</v>
      </c>
      <c r="N11696" t="str">
        <f>"6/7/2018 9:30:00 AM"</f>
        <v>6/7/2018 9:30:00 AM</v>
      </c>
      <c r="O11696" t="str">
        <f>"VILLATORO JOSE ANTONIO/ZELMA E"</f>
        <v>VILLATORO JOSE ANTONIO/ZELMA E</v>
      </c>
      <c r="T11696" t="s">
        <v>34997</v>
      </c>
    </row>
    <row r="11697" spans="1:20" x14ac:dyDescent="0.25">
      <c r="A11697" t="str">
        <f>"3061593"</f>
        <v>3061593</v>
      </c>
      <c r="B11697" t="s">
        <v>35000</v>
      </c>
      <c r="C11697" t="str">
        <f>"8309854"</f>
        <v>8309854</v>
      </c>
      <c r="D11697" t="s">
        <v>35001</v>
      </c>
      <c r="F11697" t="s">
        <v>35002</v>
      </c>
      <c r="I11697" t="s">
        <v>29</v>
      </c>
      <c r="J11697" t="s">
        <v>30</v>
      </c>
      <c r="K11697" t="s">
        <v>19108</v>
      </c>
      <c r="M11697" t="s">
        <v>17861</v>
      </c>
      <c r="N11697" t="str">
        <f>"6/7/2018 9:50:00 AM"</f>
        <v>6/7/2018 9:50:00 AM</v>
      </c>
      <c r="O11697" t="s">
        <v>35001</v>
      </c>
    </row>
    <row r="11698" spans="1:20" x14ac:dyDescent="0.25">
      <c r="A11698" t="str">
        <f>"3053518"</f>
        <v>3053518</v>
      </c>
      <c r="B11698" t="s">
        <v>35003</v>
      </c>
      <c r="C11698" t="str">
        <f>"8309857"</f>
        <v>8309857</v>
      </c>
      <c r="D11698" t="s">
        <v>35004</v>
      </c>
      <c r="F11698" t="s">
        <v>35005</v>
      </c>
      <c r="I11698" t="s">
        <v>29</v>
      </c>
      <c r="J11698" t="s">
        <v>30</v>
      </c>
      <c r="K11698" t="s">
        <v>14112</v>
      </c>
      <c r="M11698" t="s">
        <v>17861</v>
      </c>
      <c r="N11698" t="str">
        <f>"6/7/2018 3:02:00 PM"</f>
        <v>6/7/2018 3:02:00 PM</v>
      </c>
      <c r="O11698" t="s">
        <v>35004</v>
      </c>
    </row>
    <row r="11699" spans="1:20" x14ac:dyDescent="0.25">
      <c r="A11699" t="str">
        <f>"3061458"</f>
        <v>3061458</v>
      </c>
      <c r="B11699" t="s">
        <v>35006</v>
      </c>
      <c r="C11699" t="str">
        <f>"8309943"</f>
        <v>8309943</v>
      </c>
      <c r="D11699" t="s">
        <v>35007</v>
      </c>
      <c r="E11699" t="s">
        <v>35008</v>
      </c>
      <c r="F11699" t="s">
        <v>35009</v>
      </c>
      <c r="I11699" t="s">
        <v>184</v>
      </c>
      <c r="J11699" t="s">
        <v>30</v>
      </c>
      <c r="K11699" t="s">
        <v>35010</v>
      </c>
      <c r="M11699" t="s">
        <v>17861</v>
      </c>
      <c r="N11699" t="str">
        <f>"6/22/2018 10:13:00 AM"</f>
        <v>6/22/2018 10:13:00 AM</v>
      </c>
      <c r="O11699" t="s">
        <v>35007</v>
      </c>
      <c r="T11699" t="s">
        <v>35008</v>
      </c>
    </row>
    <row r="11700" spans="1:20" x14ac:dyDescent="0.25">
      <c r="A11700" t="str">
        <f>"3049373"</f>
        <v>3049373</v>
      </c>
      <c r="B11700" t="s">
        <v>35011</v>
      </c>
      <c r="C11700" t="str">
        <f>"8309944"</f>
        <v>8309944</v>
      </c>
      <c r="D11700" t="s">
        <v>35012</v>
      </c>
      <c r="F11700" t="s">
        <v>35013</v>
      </c>
      <c r="I11700" t="s">
        <v>184</v>
      </c>
      <c r="J11700" t="s">
        <v>30</v>
      </c>
      <c r="K11700" t="str">
        <f>"27006"</f>
        <v>27006</v>
      </c>
      <c r="M11700" t="s">
        <v>17861</v>
      </c>
      <c r="N11700" t="str">
        <f>"6/22/2018 10:25:00 AM"</f>
        <v>6/22/2018 10:25:00 AM</v>
      </c>
      <c r="O11700" t="s">
        <v>35012</v>
      </c>
    </row>
    <row r="11701" spans="1:20" x14ac:dyDescent="0.25">
      <c r="A11701" t="str">
        <f>"3041884"</f>
        <v>3041884</v>
      </c>
      <c r="B11701" t="s">
        <v>35014</v>
      </c>
      <c r="C11701" t="str">
        <f>"8309944"</f>
        <v>8309944</v>
      </c>
      <c r="D11701" t="s">
        <v>35012</v>
      </c>
      <c r="F11701" t="s">
        <v>35013</v>
      </c>
      <c r="I11701" t="s">
        <v>184</v>
      </c>
      <c r="J11701" t="s">
        <v>30</v>
      </c>
      <c r="K11701" t="str">
        <f>"27006"</f>
        <v>27006</v>
      </c>
      <c r="M11701" t="s">
        <v>17861</v>
      </c>
      <c r="N11701" t="str">
        <f>"6/22/2018 10:25:00 AM"</f>
        <v>6/22/2018 10:25:00 AM</v>
      </c>
      <c r="O11701" t="s">
        <v>35012</v>
      </c>
    </row>
    <row r="11702" spans="1:20" x14ac:dyDescent="0.25">
      <c r="A11702" t="str">
        <f>"3052469"</f>
        <v>3052469</v>
      </c>
      <c r="B11702" t="s">
        <v>35015</v>
      </c>
      <c r="C11702" t="str">
        <f>"56024000"</f>
        <v>56024000</v>
      </c>
      <c r="D11702" t="s">
        <v>35016</v>
      </c>
      <c r="F11702" t="s">
        <v>5247</v>
      </c>
      <c r="I11702" t="s">
        <v>29</v>
      </c>
      <c r="J11702" t="s">
        <v>30</v>
      </c>
      <c r="K11702" t="s">
        <v>31</v>
      </c>
      <c r="M11702" t="s">
        <v>33845</v>
      </c>
      <c r="N11702" t="str">
        <f>"6/12/2018 10:51:00 AM"</f>
        <v>6/12/2018 10:51:00 AM</v>
      </c>
      <c r="O11702" t="s">
        <v>35016</v>
      </c>
    </row>
    <row r="11703" spans="1:20" x14ac:dyDescent="0.25">
      <c r="A11703" t="str">
        <f>"3048383"</f>
        <v>3048383</v>
      </c>
      <c r="B11703" t="s">
        <v>35017</v>
      </c>
      <c r="C11703" t="str">
        <f>"82516708"</f>
        <v>82516708</v>
      </c>
      <c r="D11703" t="s">
        <v>34932</v>
      </c>
      <c r="E11703" t="s">
        <v>34933</v>
      </c>
      <c r="F11703" t="s">
        <v>34934</v>
      </c>
      <c r="I11703" t="s">
        <v>184</v>
      </c>
      <c r="J11703" t="s">
        <v>30</v>
      </c>
      <c r="K11703" t="s">
        <v>27311</v>
      </c>
      <c r="M11703" t="s">
        <v>25625</v>
      </c>
      <c r="N11703" t="str">
        <f>"5/24/2018 12:51:00 PM"</f>
        <v>5/24/2018 12:51:00 PM</v>
      </c>
      <c r="O11703" t="s">
        <v>34932</v>
      </c>
      <c r="T11703" t="s">
        <v>34933</v>
      </c>
    </row>
    <row r="11704" spans="1:20" x14ac:dyDescent="0.25">
      <c r="A11704" t="str">
        <f>"3047464"</f>
        <v>3047464</v>
      </c>
      <c r="B11704" t="s">
        <v>35018</v>
      </c>
      <c r="C11704" t="str">
        <f>"8309862"</f>
        <v>8309862</v>
      </c>
      <c r="D11704" t="s">
        <v>35019</v>
      </c>
      <c r="F11704" t="s">
        <v>35020</v>
      </c>
      <c r="I11704" t="s">
        <v>1149</v>
      </c>
      <c r="J11704" t="s">
        <v>30</v>
      </c>
      <c r="K11704" t="s">
        <v>35021</v>
      </c>
      <c r="M11704" t="s">
        <v>17861</v>
      </c>
      <c r="N11704" t="str">
        <f>"6/13/2018 10:40:00 AM"</f>
        <v>6/13/2018 10:40:00 AM</v>
      </c>
      <c r="O11704" t="s">
        <v>35019</v>
      </c>
    </row>
    <row r="11705" spans="1:20" x14ac:dyDescent="0.25">
      <c r="A11705" t="str">
        <f>"3045028"</f>
        <v>3045028</v>
      </c>
      <c r="B11705" t="s">
        <v>35022</v>
      </c>
      <c r="C11705" t="str">
        <f>"8309865"</f>
        <v>8309865</v>
      </c>
      <c r="D11705" t="s">
        <v>35023</v>
      </c>
      <c r="E11705" t="s">
        <v>25448</v>
      </c>
      <c r="F11705" t="s">
        <v>25449</v>
      </c>
      <c r="I11705" t="s">
        <v>29</v>
      </c>
      <c r="J11705" t="s">
        <v>30</v>
      </c>
      <c r="K11705" t="s">
        <v>35024</v>
      </c>
      <c r="M11705" t="s">
        <v>17861</v>
      </c>
      <c r="N11705" t="str">
        <f>"6/13/2018 2:20:00 PM"</f>
        <v>6/13/2018 2:20:00 PM</v>
      </c>
      <c r="O11705" t="s">
        <v>35023</v>
      </c>
      <c r="T11705" t="s">
        <v>25448</v>
      </c>
    </row>
    <row r="11706" spans="1:20" x14ac:dyDescent="0.25">
      <c r="A11706" t="str">
        <f>"3054765"</f>
        <v>3054765</v>
      </c>
      <c r="B11706" t="s">
        <v>35025</v>
      </c>
      <c r="C11706" t="str">
        <f>"8309867"</f>
        <v>8309867</v>
      </c>
      <c r="D11706" t="s">
        <v>34951</v>
      </c>
      <c r="F11706" t="s">
        <v>34952</v>
      </c>
      <c r="I11706" t="s">
        <v>29</v>
      </c>
      <c r="J11706" t="s">
        <v>30</v>
      </c>
      <c r="K11706" t="s">
        <v>34953</v>
      </c>
      <c r="M11706" t="s">
        <v>17861</v>
      </c>
      <c r="N11706" t="str">
        <f>"6/13/2018 3:08:00 PM"</f>
        <v>6/13/2018 3:08:00 PM</v>
      </c>
      <c r="O11706" t="s">
        <v>34951</v>
      </c>
    </row>
    <row r="11707" spans="1:20" x14ac:dyDescent="0.25">
      <c r="A11707" t="str">
        <f>"3054899"</f>
        <v>3054899</v>
      </c>
      <c r="B11707" t="s">
        <v>35026</v>
      </c>
      <c r="C11707" t="str">
        <f>"8309867"</f>
        <v>8309867</v>
      </c>
      <c r="D11707" t="s">
        <v>34951</v>
      </c>
      <c r="F11707" t="s">
        <v>34952</v>
      </c>
      <c r="I11707" t="s">
        <v>29</v>
      </c>
      <c r="J11707" t="s">
        <v>30</v>
      </c>
      <c r="K11707" t="s">
        <v>34953</v>
      </c>
      <c r="M11707" t="s">
        <v>17861</v>
      </c>
      <c r="N11707" t="str">
        <f>"6/13/2018 3:08:00 PM"</f>
        <v>6/13/2018 3:08:00 PM</v>
      </c>
      <c r="O11707" t="s">
        <v>34951</v>
      </c>
    </row>
    <row r="11708" spans="1:20" x14ac:dyDescent="0.25">
      <c r="A11708" t="str">
        <f>"3055417"</f>
        <v>3055417</v>
      </c>
      <c r="B11708" t="s">
        <v>35027</v>
      </c>
      <c r="C11708" t="str">
        <f>"8309867"</f>
        <v>8309867</v>
      </c>
      <c r="D11708" t="s">
        <v>34951</v>
      </c>
      <c r="F11708" t="s">
        <v>34952</v>
      </c>
      <c r="I11708" t="s">
        <v>29</v>
      </c>
      <c r="J11708" t="s">
        <v>30</v>
      </c>
      <c r="K11708" t="s">
        <v>34953</v>
      </c>
      <c r="M11708" t="s">
        <v>17861</v>
      </c>
      <c r="N11708" t="str">
        <f>"6/13/2018 3:08:00 PM"</f>
        <v>6/13/2018 3:08:00 PM</v>
      </c>
      <c r="O11708" t="s">
        <v>34951</v>
      </c>
    </row>
    <row r="11709" spans="1:20" x14ac:dyDescent="0.25">
      <c r="A11709" t="str">
        <f>"3045803"</f>
        <v>3045803</v>
      </c>
      <c r="B11709" t="s">
        <v>35028</v>
      </c>
      <c r="C11709" t="str">
        <f>"8309871"</f>
        <v>8309871</v>
      </c>
      <c r="D11709" t="s">
        <v>35029</v>
      </c>
      <c r="E11709" t="s">
        <v>35030</v>
      </c>
      <c r="F11709" t="s">
        <v>35031</v>
      </c>
      <c r="I11709" t="s">
        <v>29</v>
      </c>
      <c r="J11709" t="s">
        <v>30</v>
      </c>
      <c r="K11709" t="s">
        <v>7120</v>
      </c>
      <c r="M11709" t="s">
        <v>17861</v>
      </c>
      <c r="N11709" t="str">
        <f>"6/14/2018 9:08:00 AM"</f>
        <v>6/14/2018 9:08:00 AM</v>
      </c>
      <c r="O11709" t="s">
        <v>35029</v>
      </c>
      <c r="T11709" t="s">
        <v>35030</v>
      </c>
    </row>
    <row r="11710" spans="1:20" x14ac:dyDescent="0.25">
      <c r="A11710" t="str">
        <f>"3051497"</f>
        <v>3051497</v>
      </c>
      <c r="B11710" t="s">
        <v>35032</v>
      </c>
      <c r="C11710" t="str">
        <f>"8309966"</f>
        <v>8309966</v>
      </c>
      <c r="D11710" t="s">
        <v>35033</v>
      </c>
      <c r="F11710" t="s">
        <v>35034</v>
      </c>
      <c r="I11710" t="s">
        <v>29</v>
      </c>
      <c r="J11710" t="s">
        <v>30</v>
      </c>
      <c r="K11710" t="s">
        <v>12864</v>
      </c>
      <c r="M11710" t="s">
        <v>17861</v>
      </c>
      <c r="N11710" t="str">
        <f>"6/22/2018 3:36:00 PM"</f>
        <v>6/22/2018 3:36:00 PM</v>
      </c>
      <c r="O11710" t="s">
        <v>35033</v>
      </c>
    </row>
    <row r="11711" spans="1:20" x14ac:dyDescent="0.25">
      <c r="A11711" t="str">
        <f>"3054407"</f>
        <v>3054407</v>
      </c>
      <c r="B11711" t="s">
        <v>35035</v>
      </c>
      <c r="C11711" t="str">
        <f>"8309969"</f>
        <v>8309969</v>
      </c>
      <c r="D11711" t="s">
        <v>35036</v>
      </c>
      <c r="E11711" t="s">
        <v>35037</v>
      </c>
      <c r="F11711" t="s">
        <v>35038</v>
      </c>
      <c r="I11711" t="s">
        <v>29</v>
      </c>
      <c r="J11711" t="s">
        <v>30</v>
      </c>
      <c r="K11711" t="s">
        <v>35039</v>
      </c>
      <c r="M11711" t="s">
        <v>17861</v>
      </c>
      <c r="N11711" t="str">
        <f>"6/25/2018 9:31:00 AM"</f>
        <v>6/25/2018 9:31:00 AM</v>
      </c>
      <c r="O11711" t="s">
        <v>35036</v>
      </c>
      <c r="T11711" t="s">
        <v>35037</v>
      </c>
    </row>
    <row r="11712" spans="1:20" x14ac:dyDescent="0.25">
      <c r="A11712" t="str">
        <f>"3043401"</f>
        <v>3043401</v>
      </c>
      <c r="B11712" t="s">
        <v>35040</v>
      </c>
      <c r="C11712" t="str">
        <f>"8309874"</f>
        <v>8309874</v>
      </c>
      <c r="D11712" t="s">
        <v>35041</v>
      </c>
      <c r="E11712" t="s">
        <v>35042</v>
      </c>
      <c r="F11712" t="s">
        <v>35043</v>
      </c>
      <c r="I11712" t="s">
        <v>29</v>
      </c>
      <c r="J11712" t="s">
        <v>30</v>
      </c>
      <c r="K11712" t="s">
        <v>35044</v>
      </c>
      <c r="M11712" t="s">
        <v>17861</v>
      </c>
      <c r="N11712" t="str">
        <f>"6/14/2018 9:24:00 AM"</f>
        <v>6/14/2018 9:24:00 AM</v>
      </c>
      <c r="O11712" t="s">
        <v>35041</v>
      </c>
      <c r="T11712" t="s">
        <v>35042</v>
      </c>
    </row>
    <row r="11713" spans="1:20" x14ac:dyDescent="0.25">
      <c r="A11713" t="str">
        <f>"3058075"</f>
        <v>3058075</v>
      </c>
      <c r="B11713" t="s">
        <v>35045</v>
      </c>
      <c r="C11713" t="str">
        <f>"8309875"</f>
        <v>8309875</v>
      </c>
      <c r="D11713" t="s">
        <v>35046</v>
      </c>
      <c r="F11713" t="s">
        <v>35047</v>
      </c>
      <c r="I11713" t="s">
        <v>184</v>
      </c>
      <c r="J11713" t="s">
        <v>30</v>
      </c>
      <c r="K11713" t="s">
        <v>5369</v>
      </c>
      <c r="M11713" t="s">
        <v>17861</v>
      </c>
      <c r="N11713" t="str">
        <f>"6/14/2018 9:27:00 AM"</f>
        <v>6/14/2018 9:27:00 AM</v>
      </c>
      <c r="O11713" t="s">
        <v>35046</v>
      </c>
    </row>
    <row r="11714" spans="1:20" x14ac:dyDescent="0.25">
      <c r="A11714" t="str">
        <f>"3059343"</f>
        <v>3059343</v>
      </c>
      <c r="B11714" t="s">
        <v>35048</v>
      </c>
      <c r="C11714" t="str">
        <f>"8309974"</f>
        <v>8309974</v>
      </c>
      <c r="D11714" t="s">
        <v>35049</v>
      </c>
      <c r="F11714" t="s">
        <v>35050</v>
      </c>
      <c r="I11714" t="s">
        <v>29</v>
      </c>
      <c r="J11714" t="s">
        <v>30</v>
      </c>
      <c r="K11714" t="s">
        <v>35051</v>
      </c>
      <c r="M11714" t="s">
        <v>17861</v>
      </c>
      <c r="N11714" t="str">
        <f>"6/28/2018 9:53:00 AM"</f>
        <v>6/28/2018 9:53:00 AM</v>
      </c>
      <c r="O11714" t="s">
        <v>35049</v>
      </c>
    </row>
    <row r="11715" spans="1:20" x14ac:dyDescent="0.25">
      <c r="A11715" t="str">
        <f>"3046757"</f>
        <v>3046757</v>
      </c>
      <c r="B11715" t="s">
        <v>35052</v>
      </c>
      <c r="C11715" t="str">
        <f>"8309978"</f>
        <v>8309978</v>
      </c>
      <c r="D11715" t="s">
        <v>35053</v>
      </c>
      <c r="E11715" t="s">
        <v>35054</v>
      </c>
      <c r="F11715" t="s">
        <v>35055</v>
      </c>
      <c r="I11715" t="s">
        <v>184</v>
      </c>
      <c r="J11715" t="s">
        <v>30</v>
      </c>
      <c r="K11715" t="s">
        <v>35056</v>
      </c>
      <c r="M11715" t="s">
        <v>17861</v>
      </c>
      <c r="N11715" t="str">
        <f>"6/28/2018 11:07:00 AM"</f>
        <v>6/28/2018 11:07:00 AM</v>
      </c>
      <c r="O11715" t="s">
        <v>35053</v>
      </c>
      <c r="T11715" t="s">
        <v>35054</v>
      </c>
    </row>
    <row r="11716" spans="1:20" x14ac:dyDescent="0.25">
      <c r="A11716" t="str">
        <f>"3059652"</f>
        <v>3059652</v>
      </c>
      <c r="B11716" t="s">
        <v>35057</v>
      </c>
      <c r="C11716" t="str">
        <f>"8309979"</f>
        <v>8309979</v>
      </c>
      <c r="D11716" t="s">
        <v>35058</v>
      </c>
      <c r="F11716" t="s">
        <v>35059</v>
      </c>
      <c r="I11716" t="s">
        <v>29</v>
      </c>
      <c r="J11716" t="s">
        <v>30</v>
      </c>
      <c r="K11716" t="s">
        <v>13608</v>
      </c>
      <c r="M11716" t="s">
        <v>17861</v>
      </c>
      <c r="N11716" t="str">
        <f>"6/28/2018 11:12:00 AM"</f>
        <v>6/28/2018 11:12:00 AM</v>
      </c>
      <c r="O11716" t="s">
        <v>35058</v>
      </c>
    </row>
    <row r="11717" spans="1:20" x14ac:dyDescent="0.25">
      <c r="A11717" t="str">
        <f>"3059979"</f>
        <v>3059979</v>
      </c>
      <c r="B11717" t="s">
        <v>35060</v>
      </c>
      <c r="C11717" t="str">
        <f>"8309980"</f>
        <v>8309980</v>
      </c>
      <c r="D11717" t="s">
        <v>35061</v>
      </c>
      <c r="E11717" t="s">
        <v>35062</v>
      </c>
      <c r="F11717" t="s">
        <v>35063</v>
      </c>
      <c r="I11717" t="s">
        <v>184</v>
      </c>
      <c r="J11717" t="s">
        <v>30</v>
      </c>
      <c r="K11717" t="s">
        <v>28739</v>
      </c>
      <c r="M11717" t="s">
        <v>17861</v>
      </c>
      <c r="N11717" t="str">
        <f>"6/28/2018 11:17:00 AM"</f>
        <v>6/28/2018 11:17:00 AM</v>
      </c>
      <c r="O11717" t="s">
        <v>35061</v>
      </c>
      <c r="T11717" t="s">
        <v>35062</v>
      </c>
    </row>
    <row r="11718" spans="1:20" x14ac:dyDescent="0.25">
      <c r="A11718" t="str">
        <f>"3044734"</f>
        <v>3044734</v>
      </c>
      <c r="B11718" t="s">
        <v>35064</v>
      </c>
      <c r="C11718" t="str">
        <f>"8309876"</f>
        <v>8309876</v>
      </c>
      <c r="D11718" t="s">
        <v>35065</v>
      </c>
      <c r="F11718" t="s">
        <v>35066</v>
      </c>
      <c r="I11718" t="s">
        <v>184</v>
      </c>
      <c r="J11718" t="s">
        <v>30</v>
      </c>
      <c r="K11718" t="s">
        <v>35067</v>
      </c>
      <c r="M11718" t="s">
        <v>17861</v>
      </c>
      <c r="N11718" t="str">
        <f>"6/14/2018 9:37:00 AM"</f>
        <v>6/14/2018 9:37:00 AM</v>
      </c>
      <c r="O11718" t="s">
        <v>35065</v>
      </c>
    </row>
    <row r="11719" spans="1:20" x14ac:dyDescent="0.25">
      <c r="A11719" t="str">
        <f>"3053912"</f>
        <v>3053912</v>
      </c>
      <c r="B11719" t="s">
        <v>35068</v>
      </c>
      <c r="C11719" t="str">
        <f>"8309879"</f>
        <v>8309879</v>
      </c>
      <c r="D11719" t="s">
        <v>35069</v>
      </c>
      <c r="E11719" t="s">
        <v>35070</v>
      </c>
      <c r="F11719" t="s">
        <v>35071</v>
      </c>
      <c r="I11719" t="s">
        <v>29</v>
      </c>
      <c r="J11719" t="s">
        <v>30</v>
      </c>
      <c r="K11719" t="s">
        <v>13567</v>
      </c>
      <c r="M11719" t="s">
        <v>17861</v>
      </c>
      <c r="N11719" t="str">
        <f>"6/14/2018 10:13:00 AM"</f>
        <v>6/14/2018 10:13:00 AM</v>
      </c>
      <c r="O11719" t="s">
        <v>35069</v>
      </c>
      <c r="T11719" t="s">
        <v>35070</v>
      </c>
    </row>
    <row r="11720" spans="1:20" x14ac:dyDescent="0.25">
      <c r="A11720" t="str">
        <f>"3048286"</f>
        <v>3048286</v>
      </c>
      <c r="B11720" t="s">
        <v>35072</v>
      </c>
      <c r="C11720" t="str">
        <f>"62320000"</f>
        <v>62320000</v>
      </c>
      <c r="D11720" t="s">
        <v>35073</v>
      </c>
      <c r="F11720" t="s">
        <v>35074</v>
      </c>
      <c r="I11720" t="s">
        <v>1149</v>
      </c>
      <c r="J11720" t="s">
        <v>30</v>
      </c>
      <c r="K11720" t="s">
        <v>1150</v>
      </c>
      <c r="M11720" t="s">
        <v>34475</v>
      </c>
      <c r="N11720" t="str">
        <f>"6/14/2018 1:39:00 PM"</f>
        <v>6/14/2018 1:39:00 PM</v>
      </c>
      <c r="O11720" t="s">
        <v>35073</v>
      </c>
    </row>
    <row r="11721" spans="1:20" x14ac:dyDescent="0.25">
      <c r="A11721" t="str">
        <f>"3103059"</f>
        <v>3103059</v>
      </c>
      <c r="B11721" t="s">
        <v>35075</v>
      </c>
      <c r="C11721" t="str">
        <f>"8309902"</f>
        <v>8309902</v>
      </c>
      <c r="D11721" t="s">
        <v>35076</v>
      </c>
      <c r="F11721" t="s">
        <v>35077</v>
      </c>
      <c r="I11721" t="s">
        <v>29</v>
      </c>
      <c r="J11721" t="s">
        <v>30</v>
      </c>
      <c r="K11721" t="s">
        <v>20825</v>
      </c>
      <c r="M11721" t="s">
        <v>17861</v>
      </c>
      <c r="N11721" t="str">
        <f>"6/18/2018 11:15:00 AM"</f>
        <v>6/18/2018 11:15:00 AM</v>
      </c>
      <c r="O11721" t="s">
        <v>35076</v>
      </c>
    </row>
    <row r="11722" spans="1:20" x14ac:dyDescent="0.25">
      <c r="A11722" t="str">
        <f>"3054832"</f>
        <v>3054832</v>
      </c>
      <c r="B11722" t="s">
        <v>35078</v>
      </c>
      <c r="C11722" t="str">
        <f>"8309989"</f>
        <v>8309989</v>
      </c>
      <c r="D11722" t="s">
        <v>35079</v>
      </c>
      <c r="F11722" t="s">
        <v>35080</v>
      </c>
      <c r="I11722" t="s">
        <v>29</v>
      </c>
      <c r="J11722" t="s">
        <v>30</v>
      </c>
      <c r="K11722" t="s">
        <v>11873</v>
      </c>
      <c r="M11722" t="s">
        <v>17861</v>
      </c>
      <c r="N11722" t="str">
        <f>"6/28/2018 1:28:00 PM"</f>
        <v>6/28/2018 1:28:00 PM</v>
      </c>
      <c r="O11722" t="s">
        <v>35079</v>
      </c>
    </row>
    <row r="11723" spans="1:20" x14ac:dyDescent="0.25">
      <c r="A11723" t="str">
        <f>"3055272"</f>
        <v>3055272</v>
      </c>
      <c r="B11723" t="s">
        <v>35081</v>
      </c>
      <c r="C11723" t="str">
        <f>"8309989"</f>
        <v>8309989</v>
      </c>
      <c r="D11723" t="s">
        <v>35079</v>
      </c>
      <c r="F11723" t="s">
        <v>35080</v>
      </c>
      <c r="I11723" t="s">
        <v>29</v>
      </c>
      <c r="J11723" t="s">
        <v>30</v>
      </c>
      <c r="K11723" t="s">
        <v>11873</v>
      </c>
      <c r="M11723" t="s">
        <v>17861</v>
      </c>
      <c r="N11723" t="str">
        <f>"6/28/2018 1:28:00 PM"</f>
        <v>6/28/2018 1:28:00 PM</v>
      </c>
      <c r="O11723" t="s">
        <v>35079</v>
      </c>
    </row>
    <row r="11724" spans="1:20" x14ac:dyDescent="0.25">
      <c r="A11724" t="str">
        <f>"3053104"</f>
        <v>3053104</v>
      </c>
      <c r="B11724" t="s">
        <v>35082</v>
      </c>
      <c r="C11724" t="str">
        <f>"8309923"</f>
        <v>8309923</v>
      </c>
      <c r="D11724" t="s">
        <v>35083</v>
      </c>
      <c r="F11724" t="s">
        <v>35084</v>
      </c>
      <c r="I11724" t="s">
        <v>29</v>
      </c>
      <c r="J11724" t="s">
        <v>30</v>
      </c>
      <c r="K11724" t="s">
        <v>13860</v>
      </c>
      <c r="M11724" t="s">
        <v>17861</v>
      </c>
      <c r="N11724" t="str">
        <f>"6/21/2018 10:15:00 AM"</f>
        <v>6/21/2018 10:15:00 AM</v>
      </c>
      <c r="O11724" t="s">
        <v>35083</v>
      </c>
    </row>
    <row r="11725" spans="1:20" x14ac:dyDescent="0.25">
      <c r="A11725" t="str">
        <f>"3043152"</f>
        <v>3043152</v>
      </c>
      <c r="B11725" t="s">
        <v>35085</v>
      </c>
      <c r="C11725" t="str">
        <f>"82518272"</f>
        <v>82518272</v>
      </c>
      <c r="D11725" t="s">
        <v>35086</v>
      </c>
      <c r="E11725" t="s">
        <v>35087</v>
      </c>
      <c r="F11725" t="s">
        <v>35088</v>
      </c>
      <c r="I11725" t="s">
        <v>17921</v>
      </c>
      <c r="J11725" t="s">
        <v>30</v>
      </c>
      <c r="K11725" t="str">
        <f>"27028"</f>
        <v>27028</v>
      </c>
      <c r="M11725" t="s">
        <v>25625</v>
      </c>
      <c r="N11725" t="str">
        <f>"6/28/2018 3:43:00 PM"</f>
        <v>6/28/2018 3:43:00 PM</v>
      </c>
      <c r="O11725" t="s">
        <v>35086</v>
      </c>
      <c r="T11725" t="s">
        <v>35087</v>
      </c>
    </row>
    <row r="11726" spans="1:20" x14ac:dyDescent="0.25">
      <c r="A11726" t="str">
        <f>"3054370"</f>
        <v>3054370</v>
      </c>
      <c r="B11726" t="s">
        <v>35089</v>
      </c>
      <c r="C11726" t="str">
        <f>"57434000"</f>
        <v>57434000</v>
      </c>
      <c r="D11726" t="s">
        <v>35090</v>
      </c>
      <c r="E11726" t="s">
        <v>35091</v>
      </c>
      <c r="F11726" t="s">
        <v>35092</v>
      </c>
      <c r="I11726" t="s">
        <v>29</v>
      </c>
      <c r="J11726" t="s">
        <v>30</v>
      </c>
      <c r="K11726" t="s">
        <v>35093</v>
      </c>
      <c r="M11726" t="s">
        <v>25733</v>
      </c>
      <c r="N11726" t="str">
        <f>"6/29/2018 12:58:00 PM"</f>
        <v>6/29/2018 12:58:00 PM</v>
      </c>
      <c r="O11726" t="s">
        <v>35090</v>
      </c>
      <c r="T11726" t="s">
        <v>35091</v>
      </c>
    </row>
    <row r="11727" spans="1:20" x14ac:dyDescent="0.25">
      <c r="A11727" t="str">
        <f>"3058317"</f>
        <v>3058317</v>
      </c>
      <c r="B11727" t="s">
        <v>35094</v>
      </c>
      <c r="C11727" t="str">
        <f>"8309098"</f>
        <v>8309098</v>
      </c>
      <c r="D11727" t="s">
        <v>35095</v>
      </c>
      <c r="E11727" t="s">
        <v>35096</v>
      </c>
      <c r="F11727" t="s">
        <v>35097</v>
      </c>
      <c r="I11727" t="s">
        <v>29</v>
      </c>
      <c r="J11727" t="s">
        <v>30</v>
      </c>
      <c r="K11727" t="s">
        <v>35098</v>
      </c>
      <c r="M11727" t="s">
        <v>17861</v>
      </c>
      <c r="N11727" t="str">
        <f>"6/29/2018 1:50:00 PM"</f>
        <v>6/29/2018 1:50:00 PM</v>
      </c>
      <c r="O11727" t="s">
        <v>35095</v>
      </c>
      <c r="T11727" t="s">
        <v>35096</v>
      </c>
    </row>
    <row r="11728" spans="1:20" x14ac:dyDescent="0.25">
      <c r="A11728" t="str">
        <f>"3058334"</f>
        <v>3058334</v>
      </c>
      <c r="B11728" t="s">
        <v>35099</v>
      </c>
      <c r="C11728" t="str">
        <f>"8309926"</f>
        <v>8309926</v>
      </c>
      <c r="D11728" t="s">
        <v>35100</v>
      </c>
      <c r="E11728" t="s">
        <v>35101</v>
      </c>
      <c r="F11728" t="s">
        <v>35102</v>
      </c>
      <c r="I11728" t="s">
        <v>29</v>
      </c>
      <c r="J11728" t="s">
        <v>30</v>
      </c>
      <c r="K11728" t="s">
        <v>10059</v>
      </c>
      <c r="M11728" t="s">
        <v>17861</v>
      </c>
      <c r="N11728" t="str">
        <f>"6/21/2018 10:49:00 AM"</f>
        <v>6/21/2018 10:49:00 AM</v>
      </c>
      <c r="O11728" t="s">
        <v>35100</v>
      </c>
      <c r="T11728" t="s">
        <v>35101</v>
      </c>
    </row>
    <row r="11729" spans="1:20" x14ac:dyDescent="0.25">
      <c r="A11729" t="str">
        <f>"3046651"</f>
        <v>3046651</v>
      </c>
      <c r="B11729" t="s">
        <v>35103</v>
      </c>
      <c r="C11729" t="str">
        <f>"8309932"</f>
        <v>8309932</v>
      </c>
      <c r="D11729" t="s">
        <v>35104</v>
      </c>
      <c r="E11729" t="s">
        <v>25201</v>
      </c>
      <c r="F11729" t="s">
        <v>35105</v>
      </c>
      <c r="I11729" t="s">
        <v>184</v>
      </c>
      <c r="J11729" t="s">
        <v>30</v>
      </c>
      <c r="K11729" t="s">
        <v>8647</v>
      </c>
      <c r="M11729" t="s">
        <v>17861</v>
      </c>
      <c r="N11729" t="str">
        <f>"6/21/2018 3:16:00 PM"</f>
        <v>6/21/2018 3:16:00 PM</v>
      </c>
      <c r="O11729" t="s">
        <v>35104</v>
      </c>
      <c r="T11729" t="s">
        <v>25201</v>
      </c>
    </row>
    <row r="11730" spans="1:20" x14ac:dyDescent="0.25">
      <c r="A11730" t="str">
        <f>"3060873"</f>
        <v>3060873</v>
      </c>
      <c r="B11730" t="s">
        <v>35106</v>
      </c>
      <c r="C11730" t="str">
        <f>"8309994"</f>
        <v>8309994</v>
      </c>
      <c r="D11730" t="s">
        <v>35107</v>
      </c>
      <c r="E11730" t="s">
        <v>35108</v>
      </c>
      <c r="F11730" t="s">
        <v>35109</v>
      </c>
      <c r="I11730" t="s">
        <v>184</v>
      </c>
      <c r="J11730" t="s">
        <v>30</v>
      </c>
      <c r="K11730" t="s">
        <v>4789</v>
      </c>
      <c r="M11730" t="s">
        <v>17861</v>
      </c>
      <c r="N11730" t="str">
        <f>"7/2/2018 10:22:00 AM"</f>
        <v>7/2/2018 10:22:00 AM</v>
      </c>
      <c r="O11730" t="s">
        <v>35107</v>
      </c>
      <c r="T11730" t="s">
        <v>35108</v>
      </c>
    </row>
    <row r="11731" spans="1:20" x14ac:dyDescent="0.25">
      <c r="A11731" t="str">
        <f>"3061805"</f>
        <v>3061805</v>
      </c>
      <c r="B11731" t="s">
        <v>35110</v>
      </c>
      <c r="C11731" t="str">
        <f>"8309995"</f>
        <v>8309995</v>
      </c>
      <c r="D11731" t="s">
        <v>35111</v>
      </c>
      <c r="E11731" t="s">
        <v>35112</v>
      </c>
      <c r="F11731" t="s">
        <v>35113</v>
      </c>
      <c r="I11731" t="s">
        <v>2071</v>
      </c>
      <c r="J11731" t="s">
        <v>30</v>
      </c>
      <c r="K11731" t="str">
        <f>"27006"</f>
        <v>27006</v>
      </c>
      <c r="M11731" t="s">
        <v>17861</v>
      </c>
      <c r="N11731" t="str">
        <f>"7/2/2018 10:25:00 AM"</f>
        <v>7/2/2018 10:25:00 AM</v>
      </c>
      <c r="O11731" t="s">
        <v>35111</v>
      </c>
      <c r="T11731" t="s">
        <v>35112</v>
      </c>
    </row>
    <row r="11732" spans="1:20" x14ac:dyDescent="0.25">
      <c r="A11732" t="str">
        <f>"3041358"</f>
        <v>3041358</v>
      </c>
      <c r="B11732" t="s">
        <v>35114</v>
      </c>
      <c r="C11732" t="str">
        <f>"8309999"</f>
        <v>8309999</v>
      </c>
      <c r="D11732" t="s">
        <v>35115</v>
      </c>
      <c r="F11732" t="s">
        <v>35116</v>
      </c>
      <c r="I11732" t="s">
        <v>2071</v>
      </c>
      <c r="J11732" t="s">
        <v>30</v>
      </c>
      <c r="K11732" t="str">
        <f>"27006"</f>
        <v>27006</v>
      </c>
      <c r="M11732" t="s">
        <v>17861</v>
      </c>
      <c r="N11732" t="str">
        <f>"7/2/2018 11:08:00 AM"</f>
        <v>7/2/2018 11:08:00 AM</v>
      </c>
      <c r="O11732" t="s">
        <v>35115</v>
      </c>
    </row>
    <row r="11733" spans="1:20" x14ac:dyDescent="0.25">
      <c r="A11733" t="str">
        <f>"3044829"</f>
        <v>3044829</v>
      </c>
      <c r="B11733" t="s">
        <v>35117</v>
      </c>
      <c r="C11733" t="str">
        <f>"8310000"</f>
        <v>8310000</v>
      </c>
      <c r="D11733" t="s">
        <v>35118</v>
      </c>
      <c r="E11733" t="s">
        <v>35119</v>
      </c>
      <c r="F11733" t="s">
        <v>35120</v>
      </c>
      <c r="I11733" t="s">
        <v>184</v>
      </c>
      <c r="J11733" t="s">
        <v>30</v>
      </c>
      <c r="K11733" t="s">
        <v>6149</v>
      </c>
      <c r="M11733" t="s">
        <v>17861</v>
      </c>
      <c r="N11733" t="str">
        <f>"7/2/2018 11:16:00 AM"</f>
        <v>7/2/2018 11:16:00 AM</v>
      </c>
      <c r="O11733" t="s">
        <v>35118</v>
      </c>
      <c r="T11733" t="s">
        <v>35119</v>
      </c>
    </row>
    <row r="11734" spans="1:20" x14ac:dyDescent="0.25">
      <c r="A11734" t="str">
        <f>"3061136"</f>
        <v>3061136</v>
      </c>
      <c r="B11734" t="s">
        <v>35121</v>
      </c>
      <c r="C11734" t="str">
        <f>"8310001"</f>
        <v>8310001</v>
      </c>
      <c r="D11734" t="s">
        <v>35122</v>
      </c>
      <c r="F11734" t="s">
        <v>35123</v>
      </c>
      <c r="I11734" t="s">
        <v>184</v>
      </c>
      <c r="J11734" t="s">
        <v>30</v>
      </c>
      <c r="K11734" t="s">
        <v>35124</v>
      </c>
      <c r="M11734" t="s">
        <v>17861</v>
      </c>
      <c r="N11734" t="str">
        <f>"7/2/2018 11:18:00 AM"</f>
        <v>7/2/2018 11:18:00 AM</v>
      </c>
      <c r="O11734" t="s">
        <v>35122</v>
      </c>
    </row>
    <row r="11735" spans="1:20" x14ac:dyDescent="0.25">
      <c r="A11735" t="str">
        <f>"3061694"</f>
        <v>3061694</v>
      </c>
      <c r="B11735" t="s">
        <v>35125</v>
      </c>
      <c r="C11735" t="str">
        <f>"8309939"</f>
        <v>8309939</v>
      </c>
      <c r="D11735" t="s">
        <v>35126</v>
      </c>
      <c r="E11735" t="s">
        <v>35127</v>
      </c>
      <c r="F11735" t="s">
        <v>35128</v>
      </c>
      <c r="I11735" t="s">
        <v>2071</v>
      </c>
      <c r="J11735" t="s">
        <v>30</v>
      </c>
      <c r="K11735" t="str">
        <f>"27006"</f>
        <v>27006</v>
      </c>
      <c r="M11735" t="s">
        <v>17861</v>
      </c>
      <c r="N11735" t="str">
        <f>"6/22/2018 9:35:00 AM"</f>
        <v>6/22/2018 9:35:00 AM</v>
      </c>
      <c r="O11735" t="s">
        <v>35126</v>
      </c>
      <c r="T11735" t="s">
        <v>35127</v>
      </c>
    </row>
    <row r="11736" spans="1:20" x14ac:dyDescent="0.25">
      <c r="A11736" t="str">
        <f>"3041277"</f>
        <v>3041277</v>
      </c>
      <c r="B11736" t="s">
        <v>35129</v>
      </c>
      <c r="C11736" t="str">
        <f>"8309940"</f>
        <v>8309940</v>
      </c>
      <c r="D11736" t="s">
        <v>35130</v>
      </c>
      <c r="F11736" t="s">
        <v>35131</v>
      </c>
      <c r="I11736" t="s">
        <v>2071</v>
      </c>
      <c r="J11736" t="s">
        <v>30</v>
      </c>
      <c r="K11736" t="s">
        <v>2136</v>
      </c>
      <c r="M11736" t="s">
        <v>17861</v>
      </c>
      <c r="N11736" t="str">
        <f>"6/22/2018 9:39:00 AM"</f>
        <v>6/22/2018 9:39:00 AM</v>
      </c>
      <c r="O11736" t="s">
        <v>35130</v>
      </c>
    </row>
    <row r="11737" spans="1:20" x14ac:dyDescent="0.25">
      <c r="A11737" t="str">
        <f>"3068946"</f>
        <v>3068946</v>
      </c>
      <c r="B11737" t="s">
        <v>35132</v>
      </c>
      <c r="C11737" t="str">
        <f>"8309941"</f>
        <v>8309941</v>
      </c>
      <c r="D11737" t="s">
        <v>35133</v>
      </c>
      <c r="E11737" t="s">
        <v>35134</v>
      </c>
      <c r="F11737" t="s">
        <v>35135</v>
      </c>
      <c r="I11737" t="s">
        <v>184</v>
      </c>
      <c r="J11737" t="s">
        <v>30</v>
      </c>
      <c r="K11737" t="s">
        <v>35136</v>
      </c>
      <c r="M11737" t="s">
        <v>17861</v>
      </c>
      <c r="N11737" t="str">
        <f>"6/22/2018 9:59:00 AM"</f>
        <v>6/22/2018 9:59:00 AM</v>
      </c>
      <c r="O11737" t="s">
        <v>35133</v>
      </c>
      <c r="T11737" t="s">
        <v>35134</v>
      </c>
    </row>
    <row r="11738" spans="1:20" x14ac:dyDescent="0.25">
      <c r="A11738" t="str">
        <f>"3053068"</f>
        <v>3053068</v>
      </c>
      <c r="B11738" t="s">
        <v>35137</v>
      </c>
      <c r="C11738" t="str">
        <f>"8309942"</f>
        <v>8309942</v>
      </c>
      <c r="D11738" t="s">
        <v>35138</v>
      </c>
      <c r="E11738" t="s">
        <v>35139</v>
      </c>
      <c r="F11738" t="s">
        <v>35140</v>
      </c>
      <c r="I11738" t="s">
        <v>29</v>
      </c>
      <c r="J11738" t="s">
        <v>30</v>
      </c>
      <c r="K11738" t="s">
        <v>4760</v>
      </c>
      <c r="M11738" t="s">
        <v>17861</v>
      </c>
      <c r="N11738" t="str">
        <f>"6/22/2018 10:04:00 AM"</f>
        <v>6/22/2018 10:04:00 AM</v>
      </c>
      <c r="O11738" t="s">
        <v>35138</v>
      </c>
      <c r="T11738" t="s">
        <v>35139</v>
      </c>
    </row>
    <row r="11739" spans="1:20" x14ac:dyDescent="0.25">
      <c r="A11739" t="str">
        <f>"3053009"</f>
        <v>3053009</v>
      </c>
      <c r="B11739" t="s">
        <v>35141</v>
      </c>
      <c r="C11739" t="str">
        <f>"8309942"</f>
        <v>8309942</v>
      </c>
      <c r="D11739" t="s">
        <v>35138</v>
      </c>
      <c r="E11739" t="s">
        <v>35139</v>
      </c>
      <c r="F11739" t="s">
        <v>35140</v>
      </c>
      <c r="I11739" t="s">
        <v>29</v>
      </c>
      <c r="J11739" t="s">
        <v>30</v>
      </c>
      <c r="K11739" t="s">
        <v>4760</v>
      </c>
      <c r="M11739" t="s">
        <v>17861</v>
      </c>
      <c r="N11739" t="str">
        <f>"6/22/2018 10:04:00 AM"</f>
        <v>6/22/2018 10:04:00 AM</v>
      </c>
      <c r="O11739" t="s">
        <v>35138</v>
      </c>
      <c r="T11739" t="s">
        <v>35139</v>
      </c>
    </row>
    <row r="11740" spans="1:20" x14ac:dyDescent="0.25">
      <c r="A11740" t="str">
        <f>"3040461"</f>
        <v>3040461</v>
      </c>
      <c r="B11740" t="s">
        <v>35142</v>
      </c>
      <c r="C11740" t="str">
        <f>"8309947"</f>
        <v>8309947</v>
      </c>
      <c r="D11740" t="s">
        <v>35143</v>
      </c>
      <c r="E11740" t="s">
        <v>35144</v>
      </c>
      <c r="F11740" t="s">
        <v>35145</v>
      </c>
      <c r="I11740" t="s">
        <v>29</v>
      </c>
      <c r="J11740" t="s">
        <v>30</v>
      </c>
      <c r="K11740" t="s">
        <v>1324</v>
      </c>
      <c r="M11740" t="s">
        <v>17861</v>
      </c>
      <c r="N11740" t="str">
        <f>"6/22/2018 10:39:00 AM"</f>
        <v>6/22/2018 10:39:00 AM</v>
      </c>
      <c r="O11740" t="s">
        <v>35143</v>
      </c>
      <c r="T11740" t="s">
        <v>35144</v>
      </c>
    </row>
    <row r="11741" spans="1:20" x14ac:dyDescent="0.25">
      <c r="A11741" t="str">
        <f>"3052549"</f>
        <v>3052549</v>
      </c>
      <c r="B11741" t="s">
        <v>35146</v>
      </c>
      <c r="C11741" t="str">
        <f>"82532810"</f>
        <v>82532810</v>
      </c>
      <c r="D11741" t="s">
        <v>35147</v>
      </c>
      <c r="F11741" t="s">
        <v>35148</v>
      </c>
      <c r="I11741" t="s">
        <v>29</v>
      </c>
      <c r="J11741" t="s">
        <v>30</v>
      </c>
      <c r="K11741" t="s">
        <v>31</v>
      </c>
      <c r="M11741" t="s">
        <v>18470</v>
      </c>
      <c r="N11741" t="str">
        <f>"7/5/2018 2:56:00 PM"</f>
        <v>7/5/2018 2:56:00 PM</v>
      </c>
      <c r="O11741" t="s">
        <v>35147</v>
      </c>
    </row>
    <row r="11742" spans="1:20" x14ac:dyDescent="0.25">
      <c r="A11742" t="str">
        <f>"3047557"</f>
        <v>3047557</v>
      </c>
      <c r="B11742" t="s">
        <v>35149</v>
      </c>
      <c r="C11742" t="str">
        <f>"53802000"</f>
        <v>53802000</v>
      </c>
      <c r="D11742" t="s">
        <v>35150</v>
      </c>
      <c r="E11742" t="s">
        <v>35151</v>
      </c>
      <c r="F11742" t="s">
        <v>35152</v>
      </c>
      <c r="I11742" t="s">
        <v>184</v>
      </c>
      <c r="J11742" t="s">
        <v>30</v>
      </c>
      <c r="K11742" t="s">
        <v>185</v>
      </c>
      <c r="M11742" t="s">
        <v>33845</v>
      </c>
      <c r="N11742" t="str">
        <f>"6/12/2018 2:45:00 PM"</f>
        <v>6/12/2018 2:45:00 PM</v>
      </c>
      <c r="O11742" t="s">
        <v>35150</v>
      </c>
      <c r="T11742" t="s">
        <v>35151</v>
      </c>
    </row>
    <row r="11743" spans="1:20" x14ac:dyDescent="0.25">
      <c r="A11743" t="str">
        <f>"3052642"</f>
        <v>3052642</v>
      </c>
      <c r="B11743" t="s">
        <v>35153</v>
      </c>
      <c r="C11743" t="str">
        <f>"82523860"</f>
        <v>82523860</v>
      </c>
      <c r="D11743" t="s">
        <v>35154</v>
      </c>
      <c r="E11743" t="s">
        <v>35155</v>
      </c>
      <c r="F11743" t="s">
        <v>35156</v>
      </c>
      <c r="I11743" t="s">
        <v>29</v>
      </c>
      <c r="J11743" t="s">
        <v>30</v>
      </c>
      <c r="K11743" t="s">
        <v>31</v>
      </c>
      <c r="M11743" t="s">
        <v>18470</v>
      </c>
      <c r="N11743" t="str">
        <f>"7/5/2018 3:06:00 PM"</f>
        <v>7/5/2018 3:06:00 PM</v>
      </c>
      <c r="O11743" t="s">
        <v>35154</v>
      </c>
      <c r="T11743" t="s">
        <v>35155</v>
      </c>
    </row>
    <row r="11744" spans="1:20" x14ac:dyDescent="0.25">
      <c r="A11744" t="str">
        <f>"3046245"</f>
        <v>3046245</v>
      </c>
      <c r="B11744" t="s">
        <v>35157</v>
      </c>
      <c r="C11744" t="str">
        <f>"33812000"</f>
        <v>33812000</v>
      </c>
      <c r="D11744" t="s">
        <v>35158</v>
      </c>
      <c r="E11744" t="s">
        <v>30883</v>
      </c>
      <c r="F11744" t="s">
        <v>35159</v>
      </c>
      <c r="I11744" t="s">
        <v>29</v>
      </c>
      <c r="J11744" t="s">
        <v>30</v>
      </c>
      <c r="K11744" t="s">
        <v>8224</v>
      </c>
      <c r="M11744" t="s">
        <v>18470</v>
      </c>
      <c r="N11744" t="str">
        <f>"7/5/2018 3:14:00 PM"</f>
        <v>7/5/2018 3:14:00 PM</v>
      </c>
      <c r="O11744" t="s">
        <v>35158</v>
      </c>
      <c r="T11744" t="s">
        <v>30883</v>
      </c>
    </row>
    <row r="11745" spans="1:20" x14ac:dyDescent="0.25">
      <c r="A11745" t="str">
        <f>"3050033"</f>
        <v>3050033</v>
      </c>
      <c r="B11745" t="s">
        <v>35160</v>
      </c>
      <c r="C11745" t="str">
        <f>"44060000"</f>
        <v>44060000</v>
      </c>
      <c r="D11745" t="s">
        <v>35161</v>
      </c>
      <c r="F11745" t="str">
        <f>"C/O STEVE LAKEY"</f>
        <v>C/O STEVE LAKEY</v>
      </c>
      <c r="G11745" t="s">
        <v>35162</v>
      </c>
      <c r="I11745" t="s">
        <v>29</v>
      </c>
      <c r="J11745" t="s">
        <v>30</v>
      </c>
      <c r="K11745" t="s">
        <v>31</v>
      </c>
      <c r="M11745" t="s">
        <v>18470</v>
      </c>
      <c r="N11745" t="str">
        <f>"7/5/2018 3:20:00 PM"</f>
        <v>7/5/2018 3:20:00 PM</v>
      </c>
      <c r="O11745" t="s">
        <v>35161</v>
      </c>
    </row>
    <row r="11746" spans="1:20" x14ac:dyDescent="0.25">
      <c r="A11746" t="str">
        <f>"3047558"</f>
        <v>3047558</v>
      </c>
      <c r="B11746" t="s">
        <v>35163</v>
      </c>
      <c r="C11746" t="str">
        <f>"53802000"</f>
        <v>53802000</v>
      </c>
      <c r="D11746" t="s">
        <v>35150</v>
      </c>
      <c r="E11746" t="s">
        <v>35151</v>
      </c>
      <c r="F11746" t="s">
        <v>35152</v>
      </c>
      <c r="I11746" t="s">
        <v>184</v>
      </c>
      <c r="J11746" t="s">
        <v>30</v>
      </c>
      <c r="K11746" t="s">
        <v>185</v>
      </c>
      <c r="M11746" t="s">
        <v>33845</v>
      </c>
      <c r="N11746" t="str">
        <f>"6/12/2018 2:45:00 PM"</f>
        <v>6/12/2018 2:45:00 PM</v>
      </c>
      <c r="O11746" t="s">
        <v>35150</v>
      </c>
      <c r="T11746" t="s">
        <v>35151</v>
      </c>
    </row>
    <row r="11747" spans="1:20" x14ac:dyDescent="0.25">
      <c r="A11747" t="str">
        <f>"3060086"</f>
        <v>3060086</v>
      </c>
      <c r="B11747" t="s">
        <v>35164</v>
      </c>
      <c r="C11747" t="str">
        <f>"8309957"</f>
        <v>8309957</v>
      </c>
      <c r="D11747" t="s">
        <v>35165</v>
      </c>
      <c r="E11747" t="s">
        <v>35166</v>
      </c>
      <c r="F11747" t="s">
        <v>35167</v>
      </c>
      <c r="I11747" t="s">
        <v>184</v>
      </c>
      <c r="J11747" t="s">
        <v>30</v>
      </c>
      <c r="K11747" t="s">
        <v>33921</v>
      </c>
      <c r="M11747" t="s">
        <v>17861</v>
      </c>
      <c r="N11747" t="str">
        <f>"6/22/2018 1:23:00 PM"</f>
        <v>6/22/2018 1:23:00 PM</v>
      </c>
      <c r="O11747" t="s">
        <v>35165</v>
      </c>
      <c r="T11747" t="s">
        <v>35166</v>
      </c>
    </row>
    <row r="11748" spans="1:20" x14ac:dyDescent="0.25">
      <c r="A11748" t="str">
        <f>"3048817"</f>
        <v>3048817</v>
      </c>
      <c r="B11748" t="s">
        <v>35168</v>
      </c>
      <c r="C11748" t="str">
        <f>"8309961"</f>
        <v>8309961</v>
      </c>
      <c r="D11748" t="s">
        <v>35169</v>
      </c>
      <c r="E11748" t="s">
        <v>35170</v>
      </c>
      <c r="F11748" t="s">
        <v>35171</v>
      </c>
      <c r="I11748" t="s">
        <v>29</v>
      </c>
      <c r="J11748" t="s">
        <v>30</v>
      </c>
      <c r="K11748" t="s">
        <v>35172</v>
      </c>
      <c r="M11748" t="s">
        <v>17861</v>
      </c>
      <c r="N11748" t="str">
        <f>"6/22/2018 1:46:00 PM"</f>
        <v>6/22/2018 1:46:00 PM</v>
      </c>
      <c r="O11748" t="s">
        <v>35169</v>
      </c>
      <c r="T11748" t="s">
        <v>35170</v>
      </c>
    </row>
    <row r="11749" spans="1:20" x14ac:dyDescent="0.25">
      <c r="A11749" t="str">
        <f>"3060056"</f>
        <v>3060056</v>
      </c>
      <c r="B11749" t="s">
        <v>35173</v>
      </c>
      <c r="C11749" t="str">
        <f>"8309962"</f>
        <v>8309962</v>
      </c>
      <c r="D11749" t="s">
        <v>35174</v>
      </c>
      <c r="E11749" t="s">
        <v>35175</v>
      </c>
      <c r="F11749" t="s">
        <v>35176</v>
      </c>
      <c r="I11749" t="s">
        <v>184</v>
      </c>
      <c r="J11749" t="s">
        <v>30</v>
      </c>
      <c r="K11749" t="s">
        <v>35177</v>
      </c>
      <c r="M11749" t="s">
        <v>17861</v>
      </c>
      <c r="N11749" t="str">
        <f>"6/22/2018 1:48:00 PM"</f>
        <v>6/22/2018 1:48:00 PM</v>
      </c>
      <c r="O11749" t="s">
        <v>35174</v>
      </c>
      <c r="T11749" t="s">
        <v>35175</v>
      </c>
    </row>
    <row r="11750" spans="1:20" x14ac:dyDescent="0.25">
      <c r="A11750" t="str">
        <f>"3042888"</f>
        <v>3042888</v>
      </c>
      <c r="B11750" t="s">
        <v>35178</v>
      </c>
      <c r="C11750" t="str">
        <f>"8304561"</f>
        <v>8304561</v>
      </c>
      <c r="D11750" t="s">
        <v>35179</v>
      </c>
      <c r="F11750" t="s">
        <v>35180</v>
      </c>
      <c r="I11750" t="s">
        <v>29</v>
      </c>
      <c r="J11750" t="s">
        <v>30</v>
      </c>
      <c r="K11750" t="str">
        <f>"27028"</f>
        <v>27028</v>
      </c>
      <c r="M11750" t="s">
        <v>33845</v>
      </c>
      <c r="N11750" t="str">
        <f>"6/22/2018 2:58:00 PM"</f>
        <v>6/22/2018 2:58:00 PM</v>
      </c>
      <c r="O11750" t="s">
        <v>35179</v>
      </c>
    </row>
    <row r="11751" spans="1:20" x14ac:dyDescent="0.25">
      <c r="A11751" t="str">
        <f>"3051129"</f>
        <v>3051129</v>
      </c>
      <c r="B11751" t="s">
        <v>35181</v>
      </c>
      <c r="C11751" t="str">
        <f>"8309966"</f>
        <v>8309966</v>
      </c>
      <c r="D11751" t="s">
        <v>35033</v>
      </c>
      <c r="F11751" t="s">
        <v>35034</v>
      </c>
      <c r="I11751" t="s">
        <v>29</v>
      </c>
      <c r="J11751" t="s">
        <v>30</v>
      </c>
      <c r="K11751" t="s">
        <v>12864</v>
      </c>
      <c r="M11751" t="s">
        <v>17861</v>
      </c>
      <c r="N11751" t="str">
        <f>"6/22/2018 3:36:00 PM"</f>
        <v>6/22/2018 3:36:00 PM</v>
      </c>
      <c r="O11751" t="s">
        <v>35033</v>
      </c>
    </row>
    <row r="11752" spans="1:20" x14ac:dyDescent="0.25">
      <c r="A11752" t="str">
        <f>"3042325"</f>
        <v>3042325</v>
      </c>
      <c r="B11752" t="s">
        <v>35182</v>
      </c>
      <c r="C11752" t="str">
        <f>"8309972"</f>
        <v>8309972</v>
      </c>
      <c r="D11752" t="s">
        <v>35183</v>
      </c>
      <c r="E11752" t="s">
        <v>35184</v>
      </c>
      <c r="F11752" t="s">
        <v>35185</v>
      </c>
      <c r="I11752" t="s">
        <v>184</v>
      </c>
      <c r="J11752" t="s">
        <v>30</v>
      </c>
      <c r="K11752" t="s">
        <v>3433</v>
      </c>
      <c r="M11752" t="s">
        <v>17861</v>
      </c>
      <c r="N11752" t="str">
        <f>"6/28/2018 9:31:00 AM"</f>
        <v>6/28/2018 9:31:00 AM</v>
      </c>
      <c r="O11752" t="s">
        <v>35183</v>
      </c>
      <c r="T11752" t="s">
        <v>35184</v>
      </c>
    </row>
    <row r="11753" spans="1:20" x14ac:dyDescent="0.25">
      <c r="A11753" t="str">
        <f>"3059241"</f>
        <v>3059241</v>
      </c>
      <c r="B11753" t="s">
        <v>35186</v>
      </c>
      <c r="C11753" t="str">
        <f>"8309973"</f>
        <v>8309973</v>
      </c>
      <c r="D11753" t="s">
        <v>35187</v>
      </c>
      <c r="F11753" t="s">
        <v>35188</v>
      </c>
      <c r="I11753" t="s">
        <v>29</v>
      </c>
      <c r="J11753" t="s">
        <v>30</v>
      </c>
      <c r="K11753" t="s">
        <v>11151</v>
      </c>
      <c r="M11753" t="s">
        <v>17861</v>
      </c>
      <c r="N11753" t="str">
        <f>"6/28/2018 9:36:00 AM"</f>
        <v>6/28/2018 9:36:00 AM</v>
      </c>
      <c r="O11753" t="s">
        <v>35187</v>
      </c>
    </row>
    <row r="11754" spans="1:20" x14ac:dyDescent="0.25">
      <c r="A11754" t="str">
        <f>"3062792"</f>
        <v>3062792</v>
      </c>
      <c r="B11754" t="s">
        <v>35189</v>
      </c>
      <c r="C11754" t="str">
        <f>"8309983"</f>
        <v>8309983</v>
      </c>
      <c r="D11754" t="s">
        <v>35190</v>
      </c>
      <c r="F11754" t="s">
        <v>35191</v>
      </c>
      <c r="I11754" t="s">
        <v>29</v>
      </c>
      <c r="J11754" t="s">
        <v>30</v>
      </c>
      <c r="K11754" t="s">
        <v>4748</v>
      </c>
      <c r="M11754" t="s">
        <v>17861</v>
      </c>
      <c r="N11754" t="str">
        <f>"6/28/2018 1:09:00 PM"</f>
        <v>6/28/2018 1:09:00 PM</v>
      </c>
      <c r="O11754" t="s">
        <v>35190</v>
      </c>
    </row>
    <row r="11755" spans="1:20" x14ac:dyDescent="0.25">
      <c r="A11755" t="str">
        <f>"3048859"</f>
        <v>3048859</v>
      </c>
      <c r="B11755" t="s">
        <v>35192</v>
      </c>
      <c r="C11755" t="str">
        <f>"8309985"</f>
        <v>8309985</v>
      </c>
      <c r="D11755" t="s">
        <v>35193</v>
      </c>
      <c r="F11755" t="s">
        <v>35194</v>
      </c>
      <c r="I11755" t="s">
        <v>1107</v>
      </c>
      <c r="J11755" t="s">
        <v>30</v>
      </c>
      <c r="K11755" t="s">
        <v>35195</v>
      </c>
      <c r="M11755" t="s">
        <v>17861</v>
      </c>
      <c r="N11755" t="str">
        <f>"6/28/2018 1:16:00 PM"</f>
        <v>6/28/2018 1:16:00 PM</v>
      </c>
      <c r="O11755" t="s">
        <v>35193</v>
      </c>
    </row>
    <row r="11756" spans="1:20" x14ac:dyDescent="0.25">
      <c r="A11756" t="str">
        <f>"3049271"</f>
        <v>3049271</v>
      </c>
      <c r="B11756" t="s">
        <v>35196</v>
      </c>
      <c r="C11756" t="str">
        <f>"8309986"</f>
        <v>8309986</v>
      </c>
      <c r="D11756" t="s">
        <v>35197</v>
      </c>
      <c r="E11756" t="s">
        <v>35198</v>
      </c>
      <c r="F11756" t="s">
        <v>35199</v>
      </c>
      <c r="I11756" t="s">
        <v>184</v>
      </c>
      <c r="J11756" t="s">
        <v>30</v>
      </c>
      <c r="K11756" t="s">
        <v>35200</v>
      </c>
      <c r="M11756" t="s">
        <v>17861</v>
      </c>
      <c r="N11756" t="str">
        <f>"6/28/2018 1:18:00 PM"</f>
        <v>6/28/2018 1:18:00 PM</v>
      </c>
      <c r="O11756" t="s">
        <v>35197</v>
      </c>
      <c r="T11756" t="s">
        <v>35198</v>
      </c>
    </row>
    <row r="11757" spans="1:20" x14ac:dyDescent="0.25">
      <c r="A11757" t="str">
        <f>"3058931"</f>
        <v>3058931</v>
      </c>
      <c r="B11757" t="s">
        <v>35201</v>
      </c>
      <c r="C11757" t="str">
        <f>"8309988"</f>
        <v>8309988</v>
      </c>
      <c r="D11757" t="s">
        <v>35202</v>
      </c>
      <c r="E11757" t="s">
        <v>35203</v>
      </c>
      <c r="F11757" t="s">
        <v>35204</v>
      </c>
      <c r="I11757" t="s">
        <v>29</v>
      </c>
      <c r="J11757" t="s">
        <v>30</v>
      </c>
      <c r="K11757" t="s">
        <v>14501</v>
      </c>
      <c r="M11757" t="s">
        <v>17861</v>
      </c>
      <c r="N11757" t="str">
        <f>"6/28/2018 1:24:00 PM"</f>
        <v>6/28/2018 1:24:00 PM</v>
      </c>
      <c r="O11757" t="s">
        <v>35202</v>
      </c>
      <c r="T11757" t="s">
        <v>35203</v>
      </c>
    </row>
    <row r="11758" spans="1:20" x14ac:dyDescent="0.25">
      <c r="A11758" t="str">
        <f>"3048649"</f>
        <v>3048649</v>
      </c>
      <c r="B11758" t="s">
        <v>35205</v>
      </c>
      <c r="C11758" t="str">
        <f>"8309990"</f>
        <v>8309990</v>
      </c>
      <c r="D11758" t="s">
        <v>35206</v>
      </c>
      <c r="E11758" t="s">
        <v>35207</v>
      </c>
      <c r="F11758" t="s">
        <v>35208</v>
      </c>
      <c r="I11758" t="s">
        <v>29</v>
      </c>
      <c r="J11758" t="s">
        <v>30</v>
      </c>
      <c r="K11758" t="s">
        <v>9936</v>
      </c>
      <c r="M11758" t="s">
        <v>17861</v>
      </c>
      <c r="N11758" t="str">
        <f>"6/28/2018 1:48:00 PM"</f>
        <v>6/28/2018 1:48:00 PM</v>
      </c>
      <c r="O11758" t="s">
        <v>35206</v>
      </c>
      <c r="T11758" t="s">
        <v>35207</v>
      </c>
    </row>
    <row r="11759" spans="1:20" x14ac:dyDescent="0.25">
      <c r="A11759" t="str">
        <f>"3048768"</f>
        <v>3048768</v>
      </c>
      <c r="B11759" t="s">
        <v>35209</v>
      </c>
      <c r="C11759" t="str">
        <f>"8309992"</f>
        <v>8309992</v>
      </c>
      <c r="D11759" t="s">
        <v>35210</v>
      </c>
      <c r="E11759" t="s">
        <v>35211</v>
      </c>
      <c r="F11759" t="s">
        <v>35212</v>
      </c>
      <c r="I11759" t="s">
        <v>29</v>
      </c>
      <c r="J11759" t="s">
        <v>30</v>
      </c>
      <c r="K11759" t="s">
        <v>33542</v>
      </c>
      <c r="M11759" t="s">
        <v>17861</v>
      </c>
      <c r="N11759" t="str">
        <f>"7/2/2018 9:37:00 AM"</f>
        <v>7/2/2018 9:37:00 AM</v>
      </c>
      <c r="O11759" t="s">
        <v>35210</v>
      </c>
      <c r="T11759" t="s">
        <v>35211</v>
      </c>
    </row>
    <row r="11760" spans="1:20" x14ac:dyDescent="0.25">
      <c r="A11760" t="str">
        <f>"3060886"</f>
        <v>3060886</v>
      </c>
      <c r="B11760" t="s">
        <v>35213</v>
      </c>
      <c r="C11760" t="str">
        <f>"8309993"</f>
        <v>8309993</v>
      </c>
      <c r="D11760" t="s">
        <v>35214</v>
      </c>
      <c r="E11760" t="s">
        <v>35215</v>
      </c>
      <c r="F11760" t="s">
        <v>35216</v>
      </c>
      <c r="I11760" t="s">
        <v>184</v>
      </c>
      <c r="J11760" t="s">
        <v>30</v>
      </c>
      <c r="K11760" t="s">
        <v>34675</v>
      </c>
      <c r="M11760" t="s">
        <v>17861</v>
      </c>
      <c r="N11760" t="str">
        <f>"7/2/2018 9:41:00 AM"</f>
        <v>7/2/2018 9:41:00 AM</v>
      </c>
      <c r="O11760" t="s">
        <v>35214</v>
      </c>
      <c r="T11760" t="s">
        <v>35215</v>
      </c>
    </row>
    <row r="11761" spans="1:20" x14ac:dyDescent="0.25">
      <c r="A11761" t="str">
        <f>"3039785"</f>
        <v>3039785</v>
      </c>
      <c r="B11761" t="s">
        <v>35217</v>
      </c>
      <c r="C11761" t="str">
        <f>"8310002"</f>
        <v>8310002</v>
      </c>
      <c r="D11761" t="s">
        <v>35218</v>
      </c>
      <c r="E11761" t="s">
        <v>35219</v>
      </c>
      <c r="F11761" t="s">
        <v>35220</v>
      </c>
      <c r="I11761" t="s">
        <v>29</v>
      </c>
      <c r="J11761" t="s">
        <v>30</v>
      </c>
      <c r="K11761" t="s">
        <v>35221</v>
      </c>
      <c r="M11761" t="s">
        <v>17861</v>
      </c>
      <c r="N11761" t="str">
        <f>"7/2/2018 11:21:00 AM"</f>
        <v>7/2/2018 11:21:00 AM</v>
      </c>
      <c r="O11761" t="s">
        <v>35218</v>
      </c>
      <c r="T11761" t="s">
        <v>35219</v>
      </c>
    </row>
    <row r="11762" spans="1:20" x14ac:dyDescent="0.25">
      <c r="A11762" t="str">
        <f>"3056045"</f>
        <v>3056045</v>
      </c>
      <c r="B11762" t="s">
        <v>35222</v>
      </c>
      <c r="C11762" t="str">
        <f>"8310003"</f>
        <v>8310003</v>
      </c>
      <c r="D11762" t="s">
        <v>35223</v>
      </c>
      <c r="F11762" t="s">
        <v>35224</v>
      </c>
      <c r="I11762" t="s">
        <v>9580</v>
      </c>
      <c r="J11762" t="s">
        <v>30</v>
      </c>
      <c r="K11762" t="s">
        <v>35225</v>
      </c>
      <c r="M11762" t="s">
        <v>17861</v>
      </c>
      <c r="N11762" t="str">
        <f>"7/2/2018 11:25:00 AM"</f>
        <v>7/2/2018 11:25:00 AM</v>
      </c>
      <c r="O11762" t="s">
        <v>35223</v>
      </c>
    </row>
    <row r="11763" spans="1:20" x14ac:dyDescent="0.25">
      <c r="A11763" t="str">
        <f>"3049341"</f>
        <v>3049341</v>
      </c>
      <c r="B11763" t="s">
        <v>35226</v>
      </c>
      <c r="C11763" t="str">
        <f>"7403000"</f>
        <v>7403000</v>
      </c>
      <c r="D11763" t="s">
        <v>35227</v>
      </c>
      <c r="F11763" t="s">
        <v>273</v>
      </c>
      <c r="G11763" t="s">
        <v>272</v>
      </c>
      <c r="I11763" t="s">
        <v>29</v>
      </c>
      <c r="J11763" t="s">
        <v>30</v>
      </c>
      <c r="K11763" t="s">
        <v>31</v>
      </c>
      <c r="M11763" t="s">
        <v>17861</v>
      </c>
      <c r="N11763" t="str">
        <f>"7/11/2018 1:34:00 PM"</f>
        <v>7/11/2018 1:34:00 PM</v>
      </c>
      <c r="O11763" t="s">
        <v>35227</v>
      </c>
    </row>
    <row r="11764" spans="1:20" x14ac:dyDescent="0.25">
      <c r="A11764" t="str">
        <f>"3048465"</f>
        <v>3048465</v>
      </c>
      <c r="B11764" t="s">
        <v>35228</v>
      </c>
      <c r="C11764" t="str">
        <f>"7403000"</f>
        <v>7403000</v>
      </c>
      <c r="D11764" t="s">
        <v>35227</v>
      </c>
      <c r="F11764" t="s">
        <v>273</v>
      </c>
      <c r="G11764" t="s">
        <v>272</v>
      </c>
      <c r="I11764" t="s">
        <v>29</v>
      </c>
      <c r="J11764" t="s">
        <v>30</v>
      </c>
      <c r="K11764" t="s">
        <v>31</v>
      </c>
      <c r="M11764" t="s">
        <v>17861</v>
      </c>
      <c r="N11764" t="str">
        <f>"7/11/2018 1:34:00 PM"</f>
        <v>7/11/2018 1:34:00 PM</v>
      </c>
      <c r="O11764" t="s">
        <v>35227</v>
      </c>
    </row>
    <row r="11765" spans="1:20" x14ac:dyDescent="0.25">
      <c r="A11765" t="str">
        <f>"3058539"</f>
        <v>3058539</v>
      </c>
      <c r="B11765" t="s">
        <v>35229</v>
      </c>
      <c r="C11765" t="str">
        <f>"7403000"</f>
        <v>7403000</v>
      </c>
      <c r="D11765" t="s">
        <v>35227</v>
      </c>
      <c r="F11765" t="s">
        <v>273</v>
      </c>
      <c r="G11765" t="s">
        <v>272</v>
      </c>
      <c r="I11765" t="s">
        <v>29</v>
      </c>
      <c r="J11765" t="s">
        <v>30</v>
      </c>
      <c r="K11765" t="s">
        <v>31</v>
      </c>
      <c r="M11765" t="s">
        <v>17861</v>
      </c>
      <c r="N11765" t="str">
        <f>"7/11/2018 1:34:00 PM"</f>
        <v>7/11/2018 1:34:00 PM</v>
      </c>
      <c r="O11765" t="s">
        <v>35227</v>
      </c>
    </row>
    <row r="11766" spans="1:20" x14ac:dyDescent="0.25">
      <c r="A11766" t="str">
        <f>"3061259"</f>
        <v>3061259</v>
      </c>
      <c r="B11766" t="s">
        <v>35230</v>
      </c>
      <c r="C11766" t="str">
        <f>"8310036"</f>
        <v>8310036</v>
      </c>
      <c r="D11766" t="s">
        <v>35231</v>
      </c>
      <c r="F11766" t="s">
        <v>35232</v>
      </c>
      <c r="I11766" t="s">
        <v>2071</v>
      </c>
      <c r="J11766" t="s">
        <v>30</v>
      </c>
      <c r="K11766" t="s">
        <v>35233</v>
      </c>
      <c r="M11766" t="s">
        <v>17861</v>
      </c>
      <c r="N11766" t="str">
        <f>"7/11/2018 2:40:00 PM"</f>
        <v>7/11/2018 2:40:00 PM</v>
      </c>
      <c r="O11766" t="s">
        <v>35231</v>
      </c>
    </row>
    <row r="11767" spans="1:20" x14ac:dyDescent="0.25">
      <c r="A11767" t="str">
        <f>"3056606"</f>
        <v>3056606</v>
      </c>
      <c r="B11767" t="s">
        <v>35234</v>
      </c>
      <c r="C11767" t="str">
        <f>"8310037"</f>
        <v>8310037</v>
      </c>
      <c r="D11767" t="s">
        <v>35235</v>
      </c>
      <c r="F11767" t="s">
        <v>35236</v>
      </c>
      <c r="I11767" t="s">
        <v>29</v>
      </c>
      <c r="J11767" t="s">
        <v>30</v>
      </c>
      <c r="K11767" t="s">
        <v>35237</v>
      </c>
      <c r="M11767" t="s">
        <v>17861</v>
      </c>
      <c r="N11767" t="str">
        <f>"7/11/2018 3:05:00 PM"</f>
        <v>7/11/2018 3:05:00 PM</v>
      </c>
      <c r="O11767" t="s">
        <v>35235</v>
      </c>
    </row>
    <row r="11768" spans="1:20" x14ac:dyDescent="0.25">
      <c r="A11768" t="str">
        <f>"3056624"</f>
        <v>3056624</v>
      </c>
      <c r="B11768" t="s">
        <v>35238</v>
      </c>
      <c r="C11768" t="str">
        <f>"8310037"</f>
        <v>8310037</v>
      </c>
      <c r="D11768" t="s">
        <v>35235</v>
      </c>
      <c r="F11768" t="s">
        <v>35236</v>
      </c>
      <c r="I11768" t="s">
        <v>29</v>
      </c>
      <c r="J11768" t="s">
        <v>30</v>
      </c>
      <c r="K11768" t="s">
        <v>35237</v>
      </c>
      <c r="M11768" t="s">
        <v>17861</v>
      </c>
      <c r="N11768" t="str">
        <f>"7/11/2018 3:05:00 PM"</f>
        <v>7/11/2018 3:05:00 PM</v>
      </c>
      <c r="O11768" t="s">
        <v>35235</v>
      </c>
    </row>
    <row r="11769" spans="1:20" x14ac:dyDescent="0.25">
      <c r="A11769" t="str">
        <f>"3044563"</f>
        <v>3044563</v>
      </c>
      <c r="B11769" t="s">
        <v>35239</v>
      </c>
      <c r="C11769" t="str">
        <f>"8310005"</f>
        <v>8310005</v>
      </c>
      <c r="D11769" t="s">
        <v>35240</v>
      </c>
      <c r="E11769" t="s">
        <v>35241</v>
      </c>
      <c r="F11769" t="s">
        <v>35242</v>
      </c>
      <c r="I11769" t="s">
        <v>24359</v>
      </c>
      <c r="J11769" t="s">
        <v>30</v>
      </c>
      <c r="K11769" t="str">
        <f>"27006"</f>
        <v>27006</v>
      </c>
      <c r="M11769" t="s">
        <v>17861</v>
      </c>
      <c r="N11769" t="str">
        <f>"7/2/2018 1:14:00 PM"</f>
        <v>7/2/2018 1:14:00 PM</v>
      </c>
      <c r="O11769" t="s">
        <v>35240</v>
      </c>
      <c r="T11769" t="s">
        <v>35241</v>
      </c>
    </row>
    <row r="11770" spans="1:20" x14ac:dyDescent="0.25">
      <c r="A11770" t="str">
        <f>"3040675"</f>
        <v>3040675</v>
      </c>
      <c r="B11770" t="s">
        <v>35243</v>
      </c>
      <c r="C11770" t="str">
        <f>"8310044"</f>
        <v>8310044</v>
      </c>
      <c r="D11770" t="s">
        <v>35244</v>
      </c>
      <c r="E11770" t="s">
        <v>35245</v>
      </c>
      <c r="F11770" t="s">
        <v>35246</v>
      </c>
      <c r="I11770" t="s">
        <v>184</v>
      </c>
      <c r="J11770" t="s">
        <v>30</v>
      </c>
      <c r="K11770" t="s">
        <v>35247</v>
      </c>
      <c r="M11770" t="s">
        <v>17861</v>
      </c>
      <c r="N11770" t="str">
        <f>"7/11/2018 3:47:00 PM"</f>
        <v>7/11/2018 3:47:00 PM</v>
      </c>
      <c r="O11770" t="s">
        <v>35244</v>
      </c>
      <c r="T11770" t="s">
        <v>35245</v>
      </c>
    </row>
    <row r="11771" spans="1:20" x14ac:dyDescent="0.25">
      <c r="A11771" t="str">
        <f>"3059282"</f>
        <v>3059282</v>
      </c>
      <c r="B11771" t="s">
        <v>35248</v>
      </c>
      <c r="C11771" t="str">
        <f>"8310048"</f>
        <v>8310048</v>
      </c>
      <c r="D11771" t="s">
        <v>35249</v>
      </c>
      <c r="E11771" t="s">
        <v>35250</v>
      </c>
      <c r="F11771" t="s">
        <v>35251</v>
      </c>
      <c r="I11771" t="s">
        <v>29</v>
      </c>
      <c r="J11771" t="s">
        <v>30</v>
      </c>
      <c r="K11771" t="s">
        <v>35252</v>
      </c>
      <c r="M11771" t="s">
        <v>17861</v>
      </c>
      <c r="N11771" t="str">
        <f>"7/11/2018 3:57:00 PM"</f>
        <v>7/11/2018 3:57:00 PM</v>
      </c>
      <c r="O11771" t="s">
        <v>35249</v>
      </c>
      <c r="T11771" t="s">
        <v>35250</v>
      </c>
    </row>
    <row r="11772" spans="1:20" x14ac:dyDescent="0.25">
      <c r="A11772" t="str">
        <f>"3044587"</f>
        <v>3044587</v>
      </c>
      <c r="B11772" t="s">
        <v>35253</v>
      </c>
      <c r="C11772" t="str">
        <f>"8310053"</f>
        <v>8310053</v>
      </c>
      <c r="D11772" t="s">
        <v>35254</v>
      </c>
      <c r="E11772" t="s">
        <v>35255</v>
      </c>
      <c r="F11772" t="s">
        <v>35256</v>
      </c>
      <c r="I11772" t="s">
        <v>184</v>
      </c>
      <c r="J11772" t="s">
        <v>30</v>
      </c>
      <c r="K11772" t="s">
        <v>33908</v>
      </c>
      <c r="M11772" t="s">
        <v>17861</v>
      </c>
      <c r="N11772" t="str">
        <f>"7/11/2018 4:19:00 PM"</f>
        <v>7/11/2018 4:19:00 PM</v>
      </c>
      <c r="O11772" t="s">
        <v>35254</v>
      </c>
      <c r="T11772" t="s">
        <v>35255</v>
      </c>
    </row>
    <row r="11773" spans="1:20" x14ac:dyDescent="0.25">
      <c r="A11773" t="str">
        <f>"3056490"</f>
        <v>3056490</v>
      </c>
      <c r="B11773" t="s">
        <v>35257</v>
      </c>
      <c r="C11773" t="str">
        <f>"8310006"</f>
        <v>8310006</v>
      </c>
      <c r="D11773" t="s">
        <v>35258</v>
      </c>
      <c r="E11773" t="s">
        <v>35259</v>
      </c>
      <c r="F11773" t="s">
        <v>35260</v>
      </c>
      <c r="I11773" t="s">
        <v>29</v>
      </c>
      <c r="J11773" t="s">
        <v>30</v>
      </c>
      <c r="K11773" t="s">
        <v>22298</v>
      </c>
      <c r="M11773" t="s">
        <v>17861</v>
      </c>
      <c r="N11773" t="str">
        <f>"7/2/2018 1:19:00 PM"</f>
        <v>7/2/2018 1:19:00 PM</v>
      </c>
      <c r="O11773" t="s">
        <v>35258</v>
      </c>
      <c r="T11773" t="s">
        <v>35259</v>
      </c>
    </row>
    <row r="11774" spans="1:20" x14ac:dyDescent="0.25">
      <c r="A11774" t="str">
        <f>"3041507"</f>
        <v>3041507</v>
      </c>
      <c r="B11774" t="s">
        <v>35261</v>
      </c>
      <c r="C11774" t="str">
        <f>"8310008"</f>
        <v>8310008</v>
      </c>
      <c r="D11774" t="s">
        <v>35262</v>
      </c>
      <c r="E11774" t="s">
        <v>35263</v>
      </c>
      <c r="F11774" t="s">
        <v>35264</v>
      </c>
      <c r="I11774" t="s">
        <v>184</v>
      </c>
      <c r="J11774" t="s">
        <v>30</v>
      </c>
      <c r="K11774" t="s">
        <v>32429</v>
      </c>
      <c r="M11774" t="s">
        <v>17861</v>
      </c>
      <c r="N11774" t="str">
        <f>"7/2/2018 1:29:00 PM"</f>
        <v>7/2/2018 1:29:00 PM</v>
      </c>
      <c r="O11774" t="s">
        <v>35262</v>
      </c>
      <c r="T11774" t="s">
        <v>35263</v>
      </c>
    </row>
    <row r="11775" spans="1:20" x14ac:dyDescent="0.25">
      <c r="A11775" t="str">
        <f>"3039222"</f>
        <v>3039222</v>
      </c>
      <c r="B11775" t="s">
        <v>35265</v>
      </c>
      <c r="C11775" t="str">
        <f>"8300941"</f>
        <v>8300941</v>
      </c>
      <c r="D11775" t="s">
        <v>35266</v>
      </c>
      <c r="F11775" t="s">
        <v>35267</v>
      </c>
      <c r="I11775" t="s">
        <v>29</v>
      </c>
      <c r="J11775" t="s">
        <v>30</v>
      </c>
      <c r="K11775" t="str">
        <f>"27028"</f>
        <v>27028</v>
      </c>
      <c r="M11775" t="s">
        <v>18470</v>
      </c>
      <c r="N11775" t="str">
        <f>"7/5/2018 2:51:00 PM"</f>
        <v>7/5/2018 2:51:00 PM</v>
      </c>
      <c r="O11775" t="s">
        <v>35266</v>
      </c>
    </row>
    <row r="11776" spans="1:20" x14ac:dyDescent="0.25">
      <c r="A11776" t="str">
        <f>"3066587"</f>
        <v>3066587</v>
      </c>
      <c r="B11776" t="s">
        <v>35268</v>
      </c>
      <c r="C11776" t="str">
        <f>"82532866"</f>
        <v>82532866</v>
      </c>
      <c r="D11776" t="s">
        <v>35269</v>
      </c>
      <c r="F11776" t="s">
        <v>35270</v>
      </c>
      <c r="I11776" t="s">
        <v>29</v>
      </c>
      <c r="J11776" t="s">
        <v>30</v>
      </c>
      <c r="K11776" t="s">
        <v>31</v>
      </c>
      <c r="M11776" t="s">
        <v>18470</v>
      </c>
      <c r="N11776" t="str">
        <f>"7/5/2018 3:01:00 PM"</f>
        <v>7/5/2018 3:01:00 PM</v>
      </c>
      <c r="O11776" t="s">
        <v>35269</v>
      </c>
    </row>
    <row r="11777" spans="1:20" x14ac:dyDescent="0.25">
      <c r="A11777" t="str">
        <f>"3053773"</f>
        <v>3053773</v>
      </c>
      <c r="B11777" t="s">
        <v>35271</v>
      </c>
      <c r="C11777" t="str">
        <f>"8310066"</f>
        <v>8310066</v>
      </c>
      <c r="D11777" t="s">
        <v>35272</v>
      </c>
      <c r="E11777" t="s">
        <v>35273</v>
      </c>
      <c r="F11777" t="s">
        <v>35274</v>
      </c>
      <c r="I11777" t="s">
        <v>29</v>
      </c>
      <c r="J11777" t="s">
        <v>30</v>
      </c>
      <c r="K11777" t="s">
        <v>35275</v>
      </c>
      <c r="M11777" t="s">
        <v>17861</v>
      </c>
      <c r="N11777" t="str">
        <f>"7/12/2018 1:34:00 PM"</f>
        <v>7/12/2018 1:34:00 PM</v>
      </c>
      <c r="O11777" t="s">
        <v>35272</v>
      </c>
      <c r="T11777" t="s">
        <v>35273</v>
      </c>
    </row>
    <row r="11778" spans="1:20" x14ac:dyDescent="0.25">
      <c r="A11778" t="str">
        <f>"3044740"</f>
        <v>3044740</v>
      </c>
      <c r="B11778" t="s">
        <v>35276</v>
      </c>
      <c r="C11778" t="str">
        <f>"8310068"</f>
        <v>8310068</v>
      </c>
      <c r="D11778" t="s">
        <v>35277</v>
      </c>
      <c r="E11778" t="s">
        <v>35278</v>
      </c>
      <c r="F11778" t="s">
        <v>35279</v>
      </c>
      <c r="I11778" t="s">
        <v>184</v>
      </c>
      <c r="J11778" t="s">
        <v>30</v>
      </c>
      <c r="K11778" t="s">
        <v>35280</v>
      </c>
      <c r="M11778" t="s">
        <v>17861</v>
      </c>
      <c r="N11778" t="str">
        <f>"7/12/2018 1:39:00 PM"</f>
        <v>7/12/2018 1:39:00 PM</v>
      </c>
      <c r="O11778" t="s">
        <v>35277</v>
      </c>
      <c r="T11778" t="s">
        <v>35278</v>
      </c>
    </row>
    <row r="11779" spans="1:20" x14ac:dyDescent="0.25">
      <c r="A11779" t="str">
        <f>"3057058"</f>
        <v>3057058</v>
      </c>
      <c r="B11779" t="s">
        <v>35281</v>
      </c>
      <c r="C11779" t="str">
        <f t="shared" ref="C11779:C11790" si="193">"8310069"</f>
        <v>8310069</v>
      </c>
      <c r="D11779" t="s">
        <v>35282</v>
      </c>
      <c r="F11779" t="s">
        <v>27870</v>
      </c>
      <c r="G11779" t="s">
        <v>26999</v>
      </c>
      <c r="I11779" t="s">
        <v>2525</v>
      </c>
      <c r="J11779" t="s">
        <v>30</v>
      </c>
      <c r="K11779" t="str">
        <f t="shared" ref="K11779:K11790" si="194">"27404"</f>
        <v>27404</v>
      </c>
      <c r="M11779" t="s">
        <v>17861</v>
      </c>
      <c r="N11779" t="str">
        <f t="shared" ref="N11779:N11790" si="195">"7/12/2018 1:47:00 PM"</f>
        <v>7/12/2018 1:47:00 PM</v>
      </c>
      <c r="O11779" t="s">
        <v>35282</v>
      </c>
    </row>
    <row r="11780" spans="1:20" x14ac:dyDescent="0.25">
      <c r="A11780" t="str">
        <f>"3057070"</f>
        <v>3057070</v>
      </c>
      <c r="B11780" t="s">
        <v>35283</v>
      </c>
      <c r="C11780" t="str">
        <f t="shared" si="193"/>
        <v>8310069</v>
      </c>
      <c r="D11780" t="s">
        <v>35282</v>
      </c>
      <c r="F11780" t="s">
        <v>27870</v>
      </c>
      <c r="G11780" t="s">
        <v>26999</v>
      </c>
      <c r="I11780" t="s">
        <v>2525</v>
      </c>
      <c r="J11780" t="s">
        <v>30</v>
      </c>
      <c r="K11780" t="str">
        <f t="shared" si="194"/>
        <v>27404</v>
      </c>
      <c r="M11780" t="s">
        <v>17861</v>
      </c>
      <c r="N11780" t="str">
        <f t="shared" si="195"/>
        <v>7/12/2018 1:47:00 PM</v>
      </c>
      <c r="O11780" t="s">
        <v>35282</v>
      </c>
    </row>
    <row r="11781" spans="1:20" x14ac:dyDescent="0.25">
      <c r="A11781" t="str">
        <f>"3057071"</f>
        <v>3057071</v>
      </c>
      <c r="B11781" t="s">
        <v>35284</v>
      </c>
      <c r="C11781" t="str">
        <f t="shared" si="193"/>
        <v>8310069</v>
      </c>
      <c r="D11781" t="s">
        <v>35282</v>
      </c>
      <c r="F11781" t="s">
        <v>27870</v>
      </c>
      <c r="G11781" t="s">
        <v>26999</v>
      </c>
      <c r="I11781" t="s">
        <v>2525</v>
      </c>
      <c r="J11781" t="s">
        <v>30</v>
      </c>
      <c r="K11781" t="str">
        <f t="shared" si="194"/>
        <v>27404</v>
      </c>
      <c r="M11781" t="s">
        <v>17861</v>
      </c>
      <c r="N11781" t="str">
        <f t="shared" si="195"/>
        <v>7/12/2018 1:47:00 PM</v>
      </c>
      <c r="O11781" t="s">
        <v>35282</v>
      </c>
    </row>
    <row r="11782" spans="1:20" x14ac:dyDescent="0.25">
      <c r="A11782" t="str">
        <f>"3057072"</f>
        <v>3057072</v>
      </c>
      <c r="B11782" t="s">
        <v>35285</v>
      </c>
      <c r="C11782" t="str">
        <f t="shared" si="193"/>
        <v>8310069</v>
      </c>
      <c r="D11782" t="s">
        <v>35282</v>
      </c>
      <c r="F11782" t="s">
        <v>27870</v>
      </c>
      <c r="G11782" t="s">
        <v>26999</v>
      </c>
      <c r="I11782" t="s">
        <v>2525</v>
      </c>
      <c r="J11782" t="s">
        <v>30</v>
      </c>
      <c r="K11782" t="str">
        <f t="shared" si="194"/>
        <v>27404</v>
      </c>
      <c r="M11782" t="s">
        <v>17861</v>
      </c>
      <c r="N11782" t="str">
        <f t="shared" si="195"/>
        <v>7/12/2018 1:47:00 PM</v>
      </c>
      <c r="O11782" t="s">
        <v>35282</v>
      </c>
    </row>
    <row r="11783" spans="1:20" x14ac:dyDescent="0.25">
      <c r="A11783" t="str">
        <f>"3057073"</f>
        <v>3057073</v>
      </c>
      <c r="B11783" t="s">
        <v>35286</v>
      </c>
      <c r="C11783" t="str">
        <f t="shared" si="193"/>
        <v>8310069</v>
      </c>
      <c r="D11783" t="s">
        <v>35282</v>
      </c>
      <c r="F11783" t="s">
        <v>27870</v>
      </c>
      <c r="G11783" t="s">
        <v>26999</v>
      </c>
      <c r="I11783" t="s">
        <v>2525</v>
      </c>
      <c r="J11783" t="s">
        <v>30</v>
      </c>
      <c r="K11783" t="str">
        <f t="shared" si="194"/>
        <v>27404</v>
      </c>
      <c r="M11783" t="s">
        <v>17861</v>
      </c>
      <c r="N11783" t="str">
        <f t="shared" si="195"/>
        <v>7/12/2018 1:47:00 PM</v>
      </c>
      <c r="O11783" t="s">
        <v>35282</v>
      </c>
    </row>
    <row r="11784" spans="1:20" x14ac:dyDescent="0.25">
      <c r="A11784" t="str">
        <f>"3057074"</f>
        <v>3057074</v>
      </c>
      <c r="B11784" t="s">
        <v>35287</v>
      </c>
      <c r="C11784" t="str">
        <f t="shared" si="193"/>
        <v>8310069</v>
      </c>
      <c r="D11784" t="s">
        <v>35282</v>
      </c>
      <c r="F11784" t="s">
        <v>27870</v>
      </c>
      <c r="G11784" t="s">
        <v>26999</v>
      </c>
      <c r="I11784" t="s">
        <v>2525</v>
      </c>
      <c r="J11784" t="s">
        <v>30</v>
      </c>
      <c r="K11784" t="str">
        <f t="shared" si="194"/>
        <v>27404</v>
      </c>
      <c r="M11784" t="s">
        <v>17861</v>
      </c>
      <c r="N11784" t="str">
        <f t="shared" si="195"/>
        <v>7/12/2018 1:47:00 PM</v>
      </c>
      <c r="O11784" t="s">
        <v>35282</v>
      </c>
    </row>
    <row r="11785" spans="1:20" x14ac:dyDescent="0.25">
      <c r="A11785" t="str">
        <f>"3057075"</f>
        <v>3057075</v>
      </c>
      <c r="B11785" t="s">
        <v>35288</v>
      </c>
      <c r="C11785" t="str">
        <f t="shared" si="193"/>
        <v>8310069</v>
      </c>
      <c r="D11785" t="s">
        <v>35282</v>
      </c>
      <c r="F11785" t="s">
        <v>27870</v>
      </c>
      <c r="G11785" t="s">
        <v>26999</v>
      </c>
      <c r="I11785" t="s">
        <v>2525</v>
      </c>
      <c r="J11785" t="s">
        <v>30</v>
      </c>
      <c r="K11785" t="str">
        <f t="shared" si="194"/>
        <v>27404</v>
      </c>
      <c r="M11785" t="s">
        <v>17861</v>
      </c>
      <c r="N11785" t="str">
        <f t="shared" si="195"/>
        <v>7/12/2018 1:47:00 PM</v>
      </c>
      <c r="O11785" t="s">
        <v>35282</v>
      </c>
    </row>
    <row r="11786" spans="1:20" x14ac:dyDescent="0.25">
      <c r="A11786" t="str">
        <f>"3057076"</f>
        <v>3057076</v>
      </c>
      <c r="B11786" t="s">
        <v>35289</v>
      </c>
      <c r="C11786" t="str">
        <f t="shared" si="193"/>
        <v>8310069</v>
      </c>
      <c r="D11786" t="s">
        <v>35282</v>
      </c>
      <c r="F11786" t="s">
        <v>27870</v>
      </c>
      <c r="G11786" t="s">
        <v>26999</v>
      </c>
      <c r="I11786" t="s">
        <v>2525</v>
      </c>
      <c r="J11786" t="s">
        <v>30</v>
      </c>
      <c r="K11786" t="str">
        <f t="shared" si="194"/>
        <v>27404</v>
      </c>
      <c r="M11786" t="s">
        <v>17861</v>
      </c>
      <c r="N11786" t="str">
        <f t="shared" si="195"/>
        <v>7/12/2018 1:47:00 PM</v>
      </c>
      <c r="O11786" t="s">
        <v>35282</v>
      </c>
    </row>
    <row r="11787" spans="1:20" x14ac:dyDescent="0.25">
      <c r="A11787" t="str">
        <f>"3057077"</f>
        <v>3057077</v>
      </c>
      <c r="B11787" t="s">
        <v>35290</v>
      </c>
      <c r="C11787" t="str">
        <f t="shared" si="193"/>
        <v>8310069</v>
      </c>
      <c r="D11787" t="s">
        <v>35282</v>
      </c>
      <c r="F11787" t="s">
        <v>27870</v>
      </c>
      <c r="G11787" t="s">
        <v>26999</v>
      </c>
      <c r="I11787" t="s">
        <v>2525</v>
      </c>
      <c r="J11787" t="s">
        <v>30</v>
      </c>
      <c r="K11787" t="str">
        <f t="shared" si="194"/>
        <v>27404</v>
      </c>
      <c r="M11787" t="s">
        <v>17861</v>
      </c>
      <c r="N11787" t="str">
        <f t="shared" si="195"/>
        <v>7/12/2018 1:47:00 PM</v>
      </c>
      <c r="O11787" t="s">
        <v>35282</v>
      </c>
    </row>
    <row r="11788" spans="1:20" x14ac:dyDescent="0.25">
      <c r="A11788" t="str">
        <f>"3057078"</f>
        <v>3057078</v>
      </c>
      <c r="B11788" t="s">
        <v>35291</v>
      </c>
      <c r="C11788" t="str">
        <f t="shared" si="193"/>
        <v>8310069</v>
      </c>
      <c r="D11788" t="s">
        <v>35282</v>
      </c>
      <c r="F11788" t="s">
        <v>27870</v>
      </c>
      <c r="G11788" t="s">
        <v>26999</v>
      </c>
      <c r="I11788" t="s">
        <v>2525</v>
      </c>
      <c r="J11788" t="s">
        <v>30</v>
      </c>
      <c r="K11788" t="str">
        <f t="shared" si="194"/>
        <v>27404</v>
      </c>
      <c r="M11788" t="s">
        <v>17861</v>
      </c>
      <c r="N11788" t="str">
        <f t="shared" si="195"/>
        <v>7/12/2018 1:47:00 PM</v>
      </c>
      <c r="O11788" t="s">
        <v>35282</v>
      </c>
    </row>
    <row r="11789" spans="1:20" x14ac:dyDescent="0.25">
      <c r="A11789" t="str">
        <f>"3057079"</f>
        <v>3057079</v>
      </c>
      <c r="B11789" t="s">
        <v>35292</v>
      </c>
      <c r="C11789" t="str">
        <f t="shared" si="193"/>
        <v>8310069</v>
      </c>
      <c r="D11789" t="s">
        <v>35282</v>
      </c>
      <c r="F11789" t="s">
        <v>27870</v>
      </c>
      <c r="G11789" t="s">
        <v>26999</v>
      </c>
      <c r="I11789" t="s">
        <v>2525</v>
      </c>
      <c r="J11789" t="s">
        <v>30</v>
      </c>
      <c r="K11789" t="str">
        <f t="shared" si="194"/>
        <v>27404</v>
      </c>
      <c r="M11789" t="s">
        <v>17861</v>
      </c>
      <c r="N11789" t="str">
        <f t="shared" si="195"/>
        <v>7/12/2018 1:47:00 PM</v>
      </c>
      <c r="O11789" t="s">
        <v>35282</v>
      </c>
    </row>
    <row r="11790" spans="1:20" x14ac:dyDescent="0.25">
      <c r="A11790" t="str">
        <f>"3057536"</f>
        <v>3057536</v>
      </c>
      <c r="B11790" t="s">
        <v>35293</v>
      </c>
      <c r="C11790" t="str">
        <f t="shared" si="193"/>
        <v>8310069</v>
      </c>
      <c r="D11790" t="s">
        <v>35282</v>
      </c>
      <c r="F11790" t="s">
        <v>27870</v>
      </c>
      <c r="G11790" t="s">
        <v>26999</v>
      </c>
      <c r="I11790" t="s">
        <v>2525</v>
      </c>
      <c r="J11790" t="s">
        <v>30</v>
      </c>
      <c r="K11790" t="str">
        <f t="shared" si="194"/>
        <v>27404</v>
      </c>
      <c r="M11790" t="s">
        <v>17861</v>
      </c>
      <c r="N11790" t="str">
        <f t="shared" si="195"/>
        <v>7/12/2018 1:47:00 PM</v>
      </c>
      <c r="O11790" t="s">
        <v>35282</v>
      </c>
    </row>
    <row r="11791" spans="1:20" x14ac:dyDescent="0.25">
      <c r="A11791" t="str">
        <f>"3044764"</f>
        <v>3044764</v>
      </c>
      <c r="B11791" t="s">
        <v>35294</v>
      </c>
      <c r="C11791" t="str">
        <f>"8310071"</f>
        <v>8310071</v>
      </c>
      <c r="D11791" t="s">
        <v>35295</v>
      </c>
      <c r="E11791" t="s">
        <v>35296</v>
      </c>
      <c r="F11791" t="s">
        <v>35297</v>
      </c>
      <c r="I11791" t="s">
        <v>184</v>
      </c>
      <c r="J11791" t="s">
        <v>30</v>
      </c>
      <c r="K11791" t="s">
        <v>35298</v>
      </c>
      <c r="M11791" t="s">
        <v>17861</v>
      </c>
      <c r="N11791" t="str">
        <f>"7/12/2018 2:14:00 PM"</f>
        <v>7/12/2018 2:14:00 PM</v>
      </c>
      <c r="O11791" t="s">
        <v>35295</v>
      </c>
      <c r="T11791" t="s">
        <v>35296</v>
      </c>
    </row>
    <row r="11792" spans="1:20" x14ac:dyDescent="0.25">
      <c r="A11792" t="str">
        <f>"3053480"</f>
        <v>3053480</v>
      </c>
      <c r="B11792" t="s">
        <v>35299</v>
      </c>
      <c r="C11792" t="str">
        <f>"8310072"</f>
        <v>8310072</v>
      </c>
      <c r="D11792" t="s">
        <v>35300</v>
      </c>
      <c r="F11792" t="s">
        <v>35301</v>
      </c>
      <c r="I11792" t="s">
        <v>29</v>
      </c>
      <c r="J11792" t="s">
        <v>30</v>
      </c>
      <c r="K11792" t="s">
        <v>13576</v>
      </c>
      <c r="M11792" t="s">
        <v>17861</v>
      </c>
      <c r="N11792" t="str">
        <f>"7/12/2018 2:17:00 PM"</f>
        <v>7/12/2018 2:17:00 PM</v>
      </c>
      <c r="O11792" t="s">
        <v>35300</v>
      </c>
    </row>
    <row r="11793" spans="1:20" x14ac:dyDescent="0.25">
      <c r="A11793" t="str">
        <f>"3039120"</f>
        <v>3039120</v>
      </c>
      <c r="B11793" t="s">
        <v>35302</v>
      </c>
      <c r="C11793" t="str">
        <f>"8310074"</f>
        <v>8310074</v>
      </c>
      <c r="D11793" t="s">
        <v>35303</v>
      </c>
      <c r="E11793" t="s">
        <v>35304</v>
      </c>
      <c r="F11793" t="s">
        <v>35305</v>
      </c>
      <c r="I11793" t="s">
        <v>29</v>
      </c>
      <c r="J11793" t="s">
        <v>30</v>
      </c>
      <c r="K11793" t="s">
        <v>35306</v>
      </c>
      <c r="M11793" t="s">
        <v>17861</v>
      </c>
      <c r="N11793" t="str">
        <f>"7/12/2018 2:30:00 PM"</f>
        <v>7/12/2018 2:30:00 PM</v>
      </c>
      <c r="O11793" t="s">
        <v>35303</v>
      </c>
      <c r="T11793" t="s">
        <v>35304</v>
      </c>
    </row>
    <row r="11794" spans="1:20" x14ac:dyDescent="0.25">
      <c r="A11794" t="str">
        <f>"3059291"</f>
        <v>3059291</v>
      </c>
      <c r="B11794" t="s">
        <v>35307</v>
      </c>
      <c r="C11794" t="str">
        <f>"8310076"</f>
        <v>8310076</v>
      </c>
      <c r="D11794" t="s">
        <v>35308</v>
      </c>
      <c r="F11794" t="s">
        <v>35309</v>
      </c>
      <c r="I11794" t="s">
        <v>29</v>
      </c>
      <c r="J11794" t="s">
        <v>30</v>
      </c>
      <c r="K11794" t="s">
        <v>25129</v>
      </c>
      <c r="M11794" t="s">
        <v>17861</v>
      </c>
      <c r="N11794" t="str">
        <f>"7/12/2018 2:37:00 PM"</f>
        <v>7/12/2018 2:37:00 PM</v>
      </c>
      <c r="O11794" t="s">
        <v>35308</v>
      </c>
    </row>
    <row r="11795" spans="1:20" x14ac:dyDescent="0.25">
      <c r="A11795" t="str">
        <f>"3061244"</f>
        <v>3061244</v>
      </c>
      <c r="B11795" t="s">
        <v>35310</v>
      </c>
      <c r="C11795" t="str">
        <f>"8310077"</f>
        <v>8310077</v>
      </c>
      <c r="D11795" t="s">
        <v>35311</v>
      </c>
      <c r="F11795" t="s">
        <v>35312</v>
      </c>
      <c r="I11795" t="s">
        <v>2071</v>
      </c>
      <c r="J11795" t="s">
        <v>30</v>
      </c>
      <c r="K11795" t="str">
        <f>"27006"</f>
        <v>27006</v>
      </c>
      <c r="M11795" t="s">
        <v>17861</v>
      </c>
      <c r="N11795" t="str">
        <f>"7/12/2018 2:40:00 PM"</f>
        <v>7/12/2018 2:40:00 PM</v>
      </c>
      <c r="O11795" t="s">
        <v>35311</v>
      </c>
    </row>
    <row r="11796" spans="1:20" x14ac:dyDescent="0.25">
      <c r="A11796" t="str">
        <f>"3060867"</f>
        <v>3060867</v>
      </c>
      <c r="B11796" t="s">
        <v>35313</v>
      </c>
      <c r="C11796" t="str">
        <f>"8309948"</f>
        <v>8309948</v>
      </c>
      <c r="D11796" t="s">
        <v>35314</v>
      </c>
      <c r="E11796" t="s">
        <v>35315</v>
      </c>
      <c r="F11796" t="s">
        <v>35316</v>
      </c>
      <c r="I11796" t="s">
        <v>2071</v>
      </c>
      <c r="J11796" t="s">
        <v>30</v>
      </c>
      <c r="K11796" t="s">
        <v>34675</v>
      </c>
      <c r="M11796" t="s">
        <v>17861</v>
      </c>
      <c r="N11796" t="str">
        <f>"6/22/2018 10:59:00 AM"</f>
        <v>6/22/2018 10:59:00 AM</v>
      </c>
      <c r="O11796" t="s">
        <v>35314</v>
      </c>
      <c r="T11796" t="s">
        <v>35315</v>
      </c>
    </row>
    <row r="11797" spans="1:20" x14ac:dyDescent="0.25">
      <c r="A11797" t="str">
        <f>"3053973"</f>
        <v>3053973</v>
      </c>
      <c r="B11797" t="s">
        <v>35317</v>
      </c>
      <c r="C11797" t="str">
        <f>"8309950"</f>
        <v>8309950</v>
      </c>
      <c r="D11797" t="s">
        <v>35318</v>
      </c>
      <c r="E11797" t="s">
        <v>35319</v>
      </c>
      <c r="F11797" t="s">
        <v>35320</v>
      </c>
      <c r="I11797" t="s">
        <v>2280</v>
      </c>
      <c r="J11797" t="s">
        <v>30</v>
      </c>
      <c r="K11797" t="s">
        <v>35321</v>
      </c>
      <c r="M11797" t="s">
        <v>17861</v>
      </c>
      <c r="N11797" t="str">
        <f>"6/22/2018 11:08:00 AM"</f>
        <v>6/22/2018 11:08:00 AM</v>
      </c>
      <c r="O11797" t="s">
        <v>35318</v>
      </c>
      <c r="T11797" t="s">
        <v>35319</v>
      </c>
    </row>
    <row r="11798" spans="1:20" x14ac:dyDescent="0.25">
      <c r="A11798" t="str">
        <f>"3053734"</f>
        <v>3053734</v>
      </c>
      <c r="B11798" t="s">
        <v>35322</v>
      </c>
      <c r="C11798" t="str">
        <f>"67000000"</f>
        <v>67000000</v>
      </c>
      <c r="D11798" t="s">
        <v>35323</v>
      </c>
      <c r="E11798" t="s">
        <v>35324</v>
      </c>
      <c r="F11798" t="s">
        <v>35325</v>
      </c>
      <c r="I11798" t="s">
        <v>29</v>
      </c>
      <c r="J11798" t="s">
        <v>30</v>
      </c>
      <c r="K11798" t="s">
        <v>13999</v>
      </c>
      <c r="M11798" t="s">
        <v>18470</v>
      </c>
      <c r="N11798" t="str">
        <f>"7/5/2018 4:18:00 PM"</f>
        <v>7/5/2018 4:18:00 PM</v>
      </c>
      <c r="O11798" t="s">
        <v>35323</v>
      </c>
      <c r="T11798" t="s">
        <v>35324</v>
      </c>
    </row>
    <row r="11799" spans="1:20" x14ac:dyDescent="0.25">
      <c r="A11799" t="str">
        <f>"3049063"</f>
        <v>3049063</v>
      </c>
      <c r="B11799" t="s">
        <v>35326</v>
      </c>
      <c r="C11799" t="str">
        <f>"8301975"</f>
        <v>8301975</v>
      </c>
      <c r="D11799" t="s">
        <v>35327</v>
      </c>
      <c r="F11799" t="s">
        <v>35328</v>
      </c>
      <c r="I11799" t="s">
        <v>3196</v>
      </c>
      <c r="J11799" t="s">
        <v>30</v>
      </c>
      <c r="K11799" t="str">
        <f>"28209"</f>
        <v>28209</v>
      </c>
      <c r="L11799" t="s">
        <v>2497</v>
      </c>
      <c r="M11799" t="s">
        <v>32801</v>
      </c>
      <c r="N11799" t="str">
        <f>"7/20/2018 10:21:00 AM"</f>
        <v>7/20/2018 10:21:00 AM</v>
      </c>
      <c r="O11799" t="s">
        <v>35327</v>
      </c>
    </row>
    <row r="11800" spans="1:20" x14ac:dyDescent="0.25">
      <c r="A11800" t="str">
        <f>"3071675"</f>
        <v>3071675</v>
      </c>
      <c r="B11800" t="s">
        <v>35329</v>
      </c>
      <c r="C11800" t="str">
        <f>"68850500"</f>
        <v>68850500</v>
      </c>
      <c r="D11800" t="s">
        <v>35330</v>
      </c>
      <c r="E11800" t="s">
        <v>35331</v>
      </c>
      <c r="F11800" t="s">
        <v>35332</v>
      </c>
      <c r="I11800" t="s">
        <v>49</v>
      </c>
      <c r="J11800" t="s">
        <v>30</v>
      </c>
      <c r="K11800" t="s">
        <v>58</v>
      </c>
      <c r="M11800" t="s">
        <v>18470</v>
      </c>
      <c r="N11800" t="str">
        <f>"7/5/2018 4:22:00 PM"</f>
        <v>7/5/2018 4:22:00 PM</v>
      </c>
      <c r="O11800" t="s">
        <v>35330</v>
      </c>
      <c r="T11800" t="s">
        <v>35331</v>
      </c>
    </row>
    <row r="11801" spans="1:20" x14ac:dyDescent="0.25">
      <c r="A11801" t="str">
        <f>"3055544"</f>
        <v>3055544</v>
      </c>
      <c r="B11801" t="s">
        <v>35333</v>
      </c>
      <c r="C11801" t="str">
        <f>"71205750"</f>
        <v>71205750</v>
      </c>
      <c r="D11801" t="s">
        <v>35334</v>
      </c>
      <c r="E11801" t="s">
        <v>35335</v>
      </c>
      <c r="F11801" t="s">
        <v>35336</v>
      </c>
      <c r="I11801" t="s">
        <v>29</v>
      </c>
      <c r="J11801" t="s">
        <v>30</v>
      </c>
      <c r="K11801" t="s">
        <v>16259</v>
      </c>
      <c r="M11801" t="s">
        <v>18470</v>
      </c>
      <c r="N11801" t="str">
        <f>"7/5/2018 4:44:00 PM"</f>
        <v>7/5/2018 4:44:00 PM</v>
      </c>
      <c r="O11801" t="s">
        <v>35334</v>
      </c>
      <c r="T11801" t="s">
        <v>35335</v>
      </c>
    </row>
    <row r="11802" spans="1:20" x14ac:dyDescent="0.25">
      <c r="A11802" t="str">
        <f>"3062462"</f>
        <v>3062462</v>
      </c>
      <c r="B11802" t="s">
        <v>35337</v>
      </c>
      <c r="C11802" t="str">
        <f>"80128000"</f>
        <v>80128000</v>
      </c>
      <c r="D11802" t="s">
        <v>35338</v>
      </c>
      <c r="F11802" t="s">
        <v>35339</v>
      </c>
      <c r="I11802" t="s">
        <v>184</v>
      </c>
      <c r="J11802" t="s">
        <v>30</v>
      </c>
      <c r="K11802" t="str">
        <f>"27006"</f>
        <v>27006</v>
      </c>
      <c r="M11802" t="s">
        <v>18470</v>
      </c>
      <c r="N11802" t="str">
        <f>"7/5/2018 4:55:00 PM"</f>
        <v>7/5/2018 4:55:00 PM</v>
      </c>
      <c r="O11802" t="s">
        <v>35338</v>
      </c>
    </row>
    <row r="11803" spans="1:20" x14ac:dyDescent="0.25">
      <c r="A11803" t="str">
        <f>"3038574"</f>
        <v>3038574</v>
      </c>
      <c r="B11803" t="s">
        <v>35340</v>
      </c>
      <c r="C11803" t="str">
        <f>"82527512"</f>
        <v>82527512</v>
      </c>
      <c r="D11803" t="s">
        <v>35341</v>
      </c>
      <c r="F11803" t="s">
        <v>35342</v>
      </c>
      <c r="I11803" t="s">
        <v>29</v>
      </c>
      <c r="J11803" t="s">
        <v>30</v>
      </c>
      <c r="K11803" t="s">
        <v>31</v>
      </c>
      <c r="M11803" t="s">
        <v>18470</v>
      </c>
      <c r="N11803" t="str">
        <f>"7/6/2018 10:34:00 AM"</f>
        <v>7/6/2018 10:34:00 AM</v>
      </c>
      <c r="O11803" t="s">
        <v>35341</v>
      </c>
    </row>
    <row r="11804" spans="1:20" x14ac:dyDescent="0.25">
      <c r="A11804" t="str">
        <f>"3046262"</f>
        <v>3046262</v>
      </c>
      <c r="B11804" t="s">
        <v>35343</v>
      </c>
      <c r="C11804" t="str">
        <f>"8310117"</f>
        <v>8310117</v>
      </c>
      <c r="D11804" t="s">
        <v>35344</v>
      </c>
      <c r="F11804" t="s">
        <v>35345</v>
      </c>
      <c r="I11804" t="s">
        <v>29</v>
      </c>
      <c r="J11804" t="s">
        <v>30</v>
      </c>
      <c r="K11804" t="s">
        <v>8342</v>
      </c>
      <c r="M11804" t="s">
        <v>17861</v>
      </c>
      <c r="N11804" t="str">
        <f>"7/24/2018 11:10:00 AM"</f>
        <v>7/24/2018 11:10:00 AM</v>
      </c>
      <c r="O11804" t="s">
        <v>35344</v>
      </c>
    </row>
    <row r="11805" spans="1:20" x14ac:dyDescent="0.25">
      <c r="A11805" t="str">
        <f>"3046133"</f>
        <v>3046133</v>
      </c>
      <c r="B11805" t="s">
        <v>35346</v>
      </c>
      <c r="C11805" t="str">
        <f>"8310117"</f>
        <v>8310117</v>
      </c>
      <c r="D11805" t="s">
        <v>35344</v>
      </c>
      <c r="F11805" t="s">
        <v>35345</v>
      </c>
      <c r="I11805" t="s">
        <v>29</v>
      </c>
      <c r="J11805" t="s">
        <v>30</v>
      </c>
      <c r="K11805" t="s">
        <v>8342</v>
      </c>
      <c r="M11805" t="s">
        <v>17861</v>
      </c>
      <c r="N11805" t="str">
        <f>"7/24/2018 11:10:00 AM"</f>
        <v>7/24/2018 11:10:00 AM</v>
      </c>
      <c r="O11805" t="s">
        <v>35344</v>
      </c>
    </row>
    <row r="11806" spans="1:20" x14ac:dyDescent="0.25">
      <c r="A11806" t="str">
        <f>"3057771"</f>
        <v>3057771</v>
      </c>
      <c r="B11806" t="s">
        <v>35347</v>
      </c>
      <c r="C11806" t="str">
        <f>"8310118"</f>
        <v>8310118</v>
      </c>
      <c r="D11806" t="s">
        <v>35348</v>
      </c>
      <c r="F11806" t="s">
        <v>35349</v>
      </c>
      <c r="I11806" t="s">
        <v>29</v>
      </c>
      <c r="J11806" t="s">
        <v>30</v>
      </c>
      <c r="K11806" t="s">
        <v>35350</v>
      </c>
      <c r="M11806" t="s">
        <v>17861</v>
      </c>
      <c r="N11806" t="str">
        <f>"7/24/2018 11:17:00 AM"</f>
        <v>7/24/2018 11:17:00 AM</v>
      </c>
      <c r="O11806" t="s">
        <v>35348</v>
      </c>
    </row>
    <row r="11807" spans="1:20" x14ac:dyDescent="0.25">
      <c r="A11807" t="str">
        <f>"3044411"</f>
        <v>3044411</v>
      </c>
      <c r="B11807" t="s">
        <v>35351</v>
      </c>
      <c r="C11807" t="str">
        <f>"8310119"</f>
        <v>8310119</v>
      </c>
      <c r="D11807" t="s">
        <v>35352</v>
      </c>
      <c r="F11807" t="s">
        <v>35353</v>
      </c>
      <c r="I11807" t="s">
        <v>184</v>
      </c>
      <c r="J11807" t="s">
        <v>30</v>
      </c>
      <c r="K11807" t="s">
        <v>5707</v>
      </c>
      <c r="M11807" t="s">
        <v>17861</v>
      </c>
      <c r="N11807" t="str">
        <f>"7/24/2018 11:34:00 AM"</f>
        <v>7/24/2018 11:34:00 AM</v>
      </c>
      <c r="O11807" t="s">
        <v>35352</v>
      </c>
    </row>
    <row r="11808" spans="1:20" x14ac:dyDescent="0.25">
      <c r="A11808" t="str">
        <f>"3038602"</f>
        <v>3038602</v>
      </c>
      <c r="B11808" t="s">
        <v>35354</v>
      </c>
      <c r="C11808" t="str">
        <f>"8300943"</f>
        <v>8300943</v>
      </c>
      <c r="D11808" t="s">
        <v>35355</v>
      </c>
      <c r="F11808" t="s">
        <v>35356</v>
      </c>
      <c r="I11808" t="s">
        <v>29</v>
      </c>
      <c r="J11808" t="s">
        <v>30</v>
      </c>
      <c r="K11808" t="str">
        <f>"27028"</f>
        <v>27028</v>
      </c>
      <c r="M11808" t="s">
        <v>18470</v>
      </c>
      <c r="N11808" t="str">
        <f>"7/6/2018 10:35:00 AM"</f>
        <v>7/6/2018 10:35:00 AM</v>
      </c>
      <c r="O11808" t="s">
        <v>35355</v>
      </c>
    </row>
    <row r="11809" spans="1:20" x14ac:dyDescent="0.25">
      <c r="A11809" t="str">
        <f>"3070613"</f>
        <v>3070613</v>
      </c>
      <c r="B11809" t="s">
        <v>35357</v>
      </c>
      <c r="C11809" t="str">
        <f>"8301648"</f>
        <v>8301648</v>
      </c>
      <c r="D11809" t="s">
        <v>35358</v>
      </c>
      <c r="F11809" t="s">
        <v>35359</v>
      </c>
      <c r="I11809" t="s">
        <v>1107</v>
      </c>
      <c r="J11809" t="s">
        <v>30</v>
      </c>
      <c r="K11809" t="str">
        <f>"28625"</f>
        <v>28625</v>
      </c>
      <c r="M11809" t="s">
        <v>18470</v>
      </c>
      <c r="N11809" t="str">
        <f>"7/6/2018 10:36:00 AM"</f>
        <v>7/6/2018 10:36:00 AM</v>
      </c>
      <c r="O11809" t="s">
        <v>35358</v>
      </c>
    </row>
    <row r="11810" spans="1:20" x14ac:dyDescent="0.25">
      <c r="A11810" t="str">
        <f>"3044139"</f>
        <v>3044139</v>
      </c>
      <c r="B11810" t="s">
        <v>35360</v>
      </c>
      <c r="C11810" t="str">
        <f>"82522680"</f>
        <v>82522680</v>
      </c>
      <c r="D11810" t="s">
        <v>35361</v>
      </c>
      <c r="F11810" t="s">
        <v>35362</v>
      </c>
      <c r="I11810" t="s">
        <v>184</v>
      </c>
      <c r="J11810" t="s">
        <v>30</v>
      </c>
      <c r="K11810" t="s">
        <v>9205</v>
      </c>
      <c r="M11810" t="s">
        <v>18470</v>
      </c>
      <c r="N11810" t="str">
        <f>"7/6/2018 10:37:00 AM"</f>
        <v>7/6/2018 10:37:00 AM</v>
      </c>
      <c r="O11810" t="s">
        <v>35361</v>
      </c>
    </row>
    <row r="11811" spans="1:20" x14ac:dyDescent="0.25">
      <c r="A11811" t="str">
        <f>"3050924"</f>
        <v>3050924</v>
      </c>
      <c r="B11811" t="s">
        <v>35363</v>
      </c>
      <c r="C11811" t="str">
        <f>"8306909"</f>
        <v>8306909</v>
      </c>
      <c r="D11811" t="s">
        <v>35364</v>
      </c>
      <c r="F11811" t="s">
        <v>35365</v>
      </c>
      <c r="I11811" t="s">
        <v>184</v>
      </c>
      <c r="J11811" t="s">
        <v>30</v>
      </c>
      <c r="K11811" t="str">
        <f>"27006"</f>
        <v>27006</v>
      </c>
      <c r="M11811" t="s">
        <v>17861</v>
      </c>
      <c r="N11811" t="str">
        <f>"7/9/2018 9:18:00 AM"</f>
        <v>7/9/2018 9:18:00 AM</v>
      </c>
      <c r="O11811" t="s">
        <v>35364</v>
      </c>
    </row>
    <row r="11812" spans="1:20" x14ac:dyDescent="0.25">
      <c r="A11812" t="str">
        <f>"3050588"</f>
        <v>3050588</v>
      </c>
      <c r="B11812" t="s">
        <v>35366</v>
      </c>
      <c r="C11812" t="str">
        <f>"8306909"</f>
        <v>8306909</v>
      </c>
      <c r="D11812" t="s">
        <v>35364</v>
      </c>
      <c r="F11812" t="s">
        <v>35365</v>
      </c>
      <c r="I11812" t="s">
        <v>184</v>
      </c>
      <c r="J11812" t="s">
        <v>30</v>
      </c>
      <c r="K11812" t="str">
        <f>"27006"</f>
        <v>27006</v>
      </c>
      <c r="M11812" t="s">
        <v>17861</v>
      </c>
      <c r="N11812" t="str">
        <f>"7/9/2018 9:18:00 AM"</f>
        <v>7/9/2018 9:18:00 AM</v>
      </c>
      <c r="O11812" t="s">
        <v>35364</v>
      </c>
    </row>
    <row r="11813" spans="1:20" x14ac:dyDescent="0.25">
      <c r="A11813" t="str">
        <f>"3045385"</f>
        <v>3045385</v>
      </c>
      <c r="B11813" t="s">
        <v>35367</v>
      </c>
      <c r="C11813" t="str">
        <f>"8304826"</f>
        <v>8304826</v>
      </c>
      <c r="D11813" t="s">
        <v>35368</v>
      </c>
      <c r="F11813" t="s">
        <v>35369</v>
      </c>
      <c r="I11813" t="s">
        <v>1149</v>
      </c>
      <c r="J11813" t="s">
        <v>30</v>
      </c>
      <c r="K11813" t="str">
        <f>"28634"</f>
        <v>28634</v>
      </c>
      <c r="M11813" t="s">
        <v>18470</v>
      </c>
      <c r="N11813" t="str">
        <f>"7/10/2018 4:54:00 PM"</f>
        <v>7/10/2018 4:54:00 PM</v>
      </c>
      <c r="O11813" t="s">
        <v>35368</v>
      </c>
    </row>
    <row r="11814" spans="1:20" x14ac:dyDescent="0.25">
      <c r="A11814" t="str">
        <f>"3062758"</f>
        <v>3062758</v>
      </c>
      <c r="B11814" t="s">
        <v>35370</v>
      </c>
      <c r="C11814" t="str">
        <f>"8307060"</f>
        <v>8307060</v>
      </c>
      <c r="D11814" t="s">
        <v>35371</v>
      </c>
      <c r="E11814" t="s">
        <v>35372</v>
      </c>
      <c r="F11814" t="s">
        <v>35373</v>
      </c>
      <c r="I11814" t="s">
        <v>29</v>
      </c>
      <c r="J11814" t="s">
        <v>30</v>
      </c>
      <c r="K11814" t="str">
        <f>"27028"</f>
        <v>27028</v>
      </c>
      <c r="M11814" t="s">
        <v>34475</v>
      </c>
      <c r="N11814" t="str">
        <f>"7/24/2018 4:13:00 PM"</f>
        <v>7/24/2018 4:13:00 PM</v>
      </c>
      <c r="O11814" t="s">
        <v>35371</v>
      </c>
      <c r="T11814" t="s">
        <v>35372</v>
      </c>
    </row>
    <row r="11815" spans="1:20" x14ac:dyDescent="0.25">
      <c r="A11815" t="str">
        <f>"3044793"</f>
        <v>3044793</v>
      </c>
      <c r="B11815" t="s">
        <v>35374</v>
      </c>
      <c r="C11815" t="str">
        <f>"8310141"</f>
        <v>8310141</v>
      </c>
      <c r="D11815" t="s">
        <v>35375</v>
      </c>
      <c r="E11815" t="s">
        <v>35376</v>
      </c>
      <c r="F11815" t="s">
        <v>35377</v>
      </c>
      <c r="I11815" t="s">
        <v>184</v>
      </c>
      <c r="J11815" t="s">
        <v>30</v>
      </c>
      <c r="K11815" t="s">
        <v>6077</v>
      </c>
      <c r="M11815" t="s">
        <v>17861</v>
      </c>
      <c r="N11815" t="str">
        <f>"7/25/2018 10:07:00 AM"</f>
        <v>7/25/2018 10:07:00 AM</v>
      </c>
      <c r="O11815" t="s">
        <v>35375</v>
      </c>
      <c r="T11815" t="s">
        <v>35376</v>
      </c>
    </row>
    <row r="11816" spans="1:20" x14ac:dyDescent="0.25">
      <c r="A11816" t="str">
        <f>"3061639"</f>
        <v>3061639</v>
      </c>
      <c r="B11816" t="s">
        <v>35378</v>
      </c>
      <c r="C11816" t="str">
        <f>"8310142"</f>
        <v>8310142</v>
      </c>
      <c r="D11816" t="s">
        <v>35379</v>
      </c>
      <c r="F11816" t="s">
        <v>35380</v>
      </c>
      <c r="I11816" t="s">
        <v>29</v>
      </c>
      <c r="J11816" t="s">
        <v>30</v>
      </c>
      <c r="K11816" t="str">
        <f>"27028"</f>
        <v>27028</v>
      </c>
      <c r="M11816" t="s">
        <v>17861</v>
      </c>
      <c r="N11816" t="str">
        <f>"7/25/2018 10:13:00 AM"</f>
        <v>7/25/2018 10:13:00 AM</v>
      </c>
      <c r="O11816" t="s">
        <v>35379</v>
      </c>
    </row>
    <row r="11817" spans="1:20" x14ac:dyDescent="0.25">
      <c r="A11817" t="str">
        <f>"3052096"</f>
        <v>3052096</v>
      </c>
      <c r="B11817" t="s">
        <v>35381</v>
      </c>
      <c r="C11817" t="str">
        <f>"7403000"</f>
        <v>7403000</v>
      </c>
      <c r="D11817" t="s">
        <v>35227</v>
      </c>
      <c r="F11817" t="s">
        <v>273</v>
      </c>
      <c r="G11817" t="s">
        <v>272</v>
      </c>
      <c r="I11817" t="s">
        <v>29</v>
      </c>
      <c r="J11817" t="s">
        <v>30</v>
      </c>
      <c r="K11817" t="s">
        <v>31</v>
      </c>
      <c r="M11817" t="s">
        <v>17861</v>
      </c>
      <c r="N11817" t="str">
        <f>"7/11/2018 1:34:00 PM"</f>
        <v>7/11/2018 1:34:00 PM</v>
      </c>
      <c r="O11817" t="s">
        <v>35227</v>
      </c>
    </row>
    <row r="11818" spans="1:20" x14ac:dyDescent="0.25">
      <c r="A11818" t="str">
        <f>"3052126"</f>
        <v>3052126</v>
      </c>
      <c r="B11818" t="s">
        <v>35382</v>
      </c>
      <c r="C11818" t="str">
        <f>"7403000"</f>
        <v>7403000</v>
      </c>
      <c r="D11818" t="s">
        <v>35227</v>
      </c>
      <c r="F11818" t="s">
        <v>273</v>
      </c>
      <c r="G11818" t="s">
        <v>272</v>
      </c>
      <c r="I11818" t="s">
        <v>29</v>
      </c>
      <c r="J11818" t="s">
        <v>30</v>
      </c>
      <c r="K11818" t="s">
        <v>31</v>
      </c>
      <c r="M11818" t="s">
        <v>17861</v>
      </c>
      <c r="N11818" t="str">
        <f>"7/11/2018 1:34:00 PM"</f>
        <v>7/11/2018 1:34:00 PM</v>
      </c>
      <c r="O11818" t="s">
        <v>35227</v>
      </c>
    </row>
    <row r="11819" spans="1:20" x14ac:dyDescent="0.25">
      <c r="A11819" t="str">
        <f>"3049320"</f>
        <v>3049320</v>
      </c>
      <c r="B11819" t="s">
        <v>35383</v>
      </c>
      <c r="C11819" t="str">
        <f>"7403000"</f>
        <v>7403000</v>
      </c>
      <c r="D11819" t="s">
        <v>35227</v>
      </c>
      <c r="F11819" t="s">
        <v>273</v>
      </c>
      <c r="G11819" t="s">
        <v>272</v>
      </c>
      <c r="I11819" t="s">
        <v>29</v>
      </c>
      <c r="J11819" t="s">
        <v>30</v>
      </c>
      <c r="K11819" t="s">
        <v>31</v>
      </c>
      <c r="M11819" t="s">
        <v>17861</v>
      </c>
      <c r="N11819" t="str">
        <f>"7/11/2018 1:34:00 PM"</f>
        <v>7/11/2018 1:34:00 PM</v>
      </c>
      <c r="O11819" t="s">
        <v>35227</v>
      </c>
    </row>
    <row r="11820" spans="1:20" x14ac:dyDescent="0.25">
      <c r="A11820" t="str">
        <f>"3049328"</f>
        <v>3049328</v>
      </c>
      <c r="B11820" t="s">
        <v>35384</v>
      </c>
      <c r="C11820" t="str">
        <f>"7403000"</f>
        <v>7403000</v>
      </c>
      <c r="D11820" t="s">
        <v>35227</v>
      </c>
      <c r="F11820" t="s">
        <v>273</v>
      </c>
      <c r="G11820" t="s">
        <v>272</v>
      </c>
      <c r="I11820" t="s">
        <v>29</v>
      </c>
      <c r="J11820" t="s">
        <v>30</v>
      </c>
      <c r="K11820" t="s">
        <v>31</v>
      </c>
      <c r="M11820" t="s">
        <v>17861</v>
      </c>
      <c r="N11820" t="str">
        <f>"7/11/2018 1:34:00 PM"</f>
        <v>7/11/2018 1:34:00 PM</v>
      </c>
      <c r="O11820" t="s">
        <v>35227</v>
      </c>
    </row>
    <row r="11821" spans="1:20" x14ac:dyDescent="0.25">
      <c r="A11821" t="str">
        <f>"3059402"</f>
        <v>3059402</v>
      </c>
      <c r="B11821" t="s">
        <v>35385</v>
      </c>
      <c r="C11821" t="str">
        <f>"8310043"</f>
        <v>8310043</v>
      </c>
      <c r="D11821" t="s">
        <v>35386</v>
      </c>
      <c r="F11821" t="s">
        <v>35387</v>
      </c>
      <c r="I11821" t="s">
        <v>29</v>
      </c>
      <c r="J11821" t="s">
        <v>30</v>
      </c>
      <c r="K11821" t="s">
        <v>35388</v>
      </c>
      <c r="M11821" t="s">
        <v>17861</v>
      </c>
      <c r="N11821" t="str">
        <f>"7/11/2018 3:36:00 PM"</f>
        <v>7/11/2018 3:36:00 PM</v>
      </c>
      <c r="O11821" t="s">
        <v>35386</v>
      </c>
    </row>
    <row r="11822" spans="1:20" x14ac:dyDescent="0.25">
      <c r="A11822" t="str">
        <f>"3049737"</f>
        <v>3049737</v>
      </c>
      <c r="B11822" t="s">
        <v>35389</v>
      </c>
      <c r="C11822" t="str">
        <f>"8306152"</f>
        <v>8306152</v>
      </c>
      <c r="D11822" t="s">
        <v>35390</v>
      </c>
      <c r="E11822" t="s">
        <v>35391</v>
      </c>
      <c r="F11822" t="s">
        <v>35392</v>
      </c>
      <c r="I11822" t="s">
        <v>29</v>
      </c>
      <c r="J11822" t="s">
        <v>30</v>
      </c>
      <c r="K11822" t="str">
        <f>"27028"</f>
        <v>27028</v>
      </c>
      <c r="M11822" t="s">
        <v>34475</v>
      </c>
      <c r="N11822" t="str">
        <f>"7/25/2018 2:24:00 PM"</f>
        <v>7/25/2018 2:24:00 PM</v>
      </c>
      <c r="O11822" t="s">
        <v>35390</v>
      </c>
      <c r="T11822" t="s">
        <v>35391</v>
      </c>
    </row>
    <row r="11823" spans="1:20" x14ac:dyDescent="0.25">
      <c r="A11823" t="str">
        <f>"3049762"</f>
        <v>3049762</v>
      </c>
      <c r="B11823" t="s">
        <v>35393</v>
      </c>
      <c r="C11823" t="str">
        <f>"82524057"</f>
        <v>82524057</v>
      </c>
      <c r="D11823" t="s">
        <v>35394</v>
      </c>
      <c r="F11823" t="s">
        <v>35395</v>
      </c>
      <c r="I11823" t="s">
        <v>29</v>
      </c>
      <c r="J11823" t="s">
        <v>30</v>
      </c>
      <c r="K11823" t="s">
        <v>34638</v>
      </c>
      <c r="M11823" t="s">
        <v>34475</v>
      </c>
      <c r="N11823" t="str">
        <f>"7/25/2018 2:26:00 PM"</f>
        <v>7/25/2018 2:26:00 PM</v>
      </c>
      <c r="O11823" t="s">
        <v>35394</v>
      </c>
    </row>
    <row r="11824" spans="1:20" x14ac:dyDescent="0.25">
      <c r="A11824" t="str">
        <f>"3048777"</f>
        <v>3048777</v>
      </c>
      <c r="B11824" t="s">
        <v>35396</v>
      </c>
      <c r="C11824" t="str">
        <f>"8308794"</f>
        <v>8308794</v>
      </c>
      <c r="D11824" t="s">
        <v>35397</v>
      </c>
      <c r="E11824" t="s">
        <v>35398</v>
      </c>
      <c r="F11824" t="s">
        <v>35399</v>
      </c>
      <c r="I11824" t="s">
        <v>29</v>
      </c>
      <c r="J11824" t="s">
        <v>30</v>
      </c>
      <c r="K11824" t="s">
        <v>35400</v>
      </c>
      <c r="M11824" t="s">
        <v>18479</v>
      </c>
      <c r="N11824" t="str">
        <f>"7/25/2018 4:30:00 PM"</f>
        <v>7/25/2018 4:30:00 PM</v>
      </c>
      <c r="O11824" t="s">
        <v>35397</v>
      </c>
      <c r="T11824" t="s">
        <v>35398</v>
      </c>
    </row>
    <row r="11825" spans="1:20" x14ac:dyDescent="0.25">
      <c r="A11825" t="str">
        <f>"3059575"</f>
        <v>3059575</v>
      </c>
      <c r="B11825" t="s">
        <v>35401</v>
      </c>
      <c r="C11825" t="str">
        <f>"8310054"</f>
        <v>8310054</v>
      </c>
      <c r="D11825" t="s">
        <v>35402</v>
      </c>
      <c r="E11825" t="s">
        <v>35403</v>
      </c>
      <c r="F11825" t="s">
        <v>35404</v>
      </c>
      <c r="I11825" t="s">
        <v>29</v>
      </c>
      <c r="J11825" t="s">
        <v>30</v>
      </c>
      <c r="K11825" t="s">
        <v>13405</v>
      </c>
      <c r="M11825" t="s">
        <v>17861</v>
      </c>
      <c r="N11825" t="str">
        <f>"7/11/2018 4:21:00 PM"</f>
        <v>7/11/2018 4:21:00 PM</v>
      </c>
      <c r="O11825" t="s">
        <v>35402</v>
      </c>
      <c r="T11825" t="s">
        <v>35403</v>
      </c>
    </row>
    <row r="11826" spans="1:20" x14ac:dyDescent="0.25">
      <c r="A11826" t="str">
        <f>"3053597"</f>
        <v>3053597</v>
      </c>
      <c r="B11826" t="s">
        <v>35405</v>
      </c>
      <c r="C11826" t="str">
        <f>"8310058"</f>
        <v>8310058</v>
      </c>
      <c r="D11826" t="s">
        <v>35406</v>
      </c>
      <c r="F11826" t="s">
        <v>35407</v>
      </c>
      <c r="I11826" t="s">
        <v>29</v>
      </c>
      <c r="J11826" t="s">
        <v>30</v>
      </c>
      <c r="K11826" t="s">
        <v>22691</v>
      </c>
      <c r="M11826" t="s">
        <v>17861</v>
      </c>
      <c r="N11826" t="str">
        <f>"7/12/2018 10:35:00 AM"</f>
        <v>7/12/2018 10:35:00 AM</v>
      </c>
      <c r="O11826" t="s">
        <v>35406</v>
      </c>
    </row>
    <row r="11827" spans="1:20" x14ac:dyDescent="0.25">
      <c r="A11827" t="str">
        <f>"3043688"</f>
        <v>3043688</v>
      </c>
      <c r="B11827" t="s">
        <v>35408</v>
      </c>
      <c r="C11827" t="str">
        <f>"8310152"</f>
        <v>8310152</v>
      </c>
      <c r="D11827" t="s">
        <v>35409</v>
      </c>
      <c r="E11827" t="s">
        <v>35410</v>
      </c>
      <c r="F11827" t="s">
        <v>4815</v>
      </c>
      <c r="I11827" t="s">
        <v>4816</v>
      </c>
      <c r="J11827" t="s">
        <v>30</v>
      </c>
      <c r="K11827" t="str">
        <f>"28104"</f>
        <v>28104</v>
      </c>
      <c r="M11827" t="s">
        <v>17861</v>
      </c>
      <c r="N11827" t="str">
        <f>"7/27/2018 9:34:00 AM"</f>
        <v>7/27/2018 9:34:00 AM</v>
      </c>
      <c r="O11827" t="s">
        <v>35409</v>
      </c>
      <c r="T11827" t="s">
        <v>35410</v>
      </c>
    </row>
    <row r="11828" spans="1:20" x14ac:dyDescent="0.25">
      <c r="A11828" t="str">
        <f>"3060810"</f>
        <v>3060810</v>
      </c>
      <c r="B11828" t="s">
        <v>35411</v>
      </c>
      <c r="C11828" t="str">
        <f>"8310153"</f>
        <v>8310153</v>
      </c>
      <c r="D11828" t="s">
        <v>35412</v>
      </c>
      <c r="F11828" t="s">
        <v>35413</v>
      </c>
      <c r="I11828" t="s">
        <v>184</v>
      </c>
      <c r="J11828" t="s">
        <v>30</v>
      </c>
      <c r="K11828" t="s">
        <v>35414</v>
      </c>
      <c r="M11828" t="s">
        <v>17861</v>
      </c>
      <c r="N11828" t="str">
        <f>"7/27/2018 9:48:00 AM"</f>
        <v>7/27/2018 9:48:00 AM</v>
      </c>
      <c r="O11828" t="s">
        <v>35412</v>
      </c>
    </row>
    <row r="11829" spans="1:20" x14ac:dyDescent="0.25">
      <c r="A11829" t="str">
        <f>"3050366"</f>
        <v>3050366</v>
      </c>
      <c r="B11829" t="s">
        <v>35415</v>
      </c>
      <c r="C11829" t="str">
        <f t="shared" ref="C11829:C11834" si="196">"8310156"</f>
        <v>8310156</v>
      </c>
      <c r="D11829" t="str">
        <f t="shared" ref="D11829:D11834" si="197">"CRITCHER BASIL/CAROL REV TRUST"</f>
        <v>CRITCHER BASIL/CAROL REV TRUST</v>
      </c>
      <c r="E11829" t="str">
        <f t="shared" ref="E11829:E11834" si="198">"CRITCHER BASIL/CAROL TRUSTEES"</f>
        <v>CRITCHER BASIL/CAROL TRUSTEES</v>
      </c>
      <c r="F11829" t="s">
        <v>35416</v>
      </c>
      <c r="I11829" t="s">
        <v>35417</v>
      </c>
      <c r="J11829" t="s">
        <v>30</v>
      </c>
      <c r="K11829" t="str">
        <f t="shared" ref="K11829:K11834" si="199">"28607"</f>
        <v>28607</v>
      </c>
      <c r="M11829" t="s">
        <v>17861</v>
      </c>
      <c r="N11829" t="str">
        <f t="shared" ref="N11829:N11834" si="200">"7/27/2018 12:40:00 PM"</f>
        <v>7/27/2018 12:40:00 PM</v>
      </c>
      <c r="O11829" t="str">
        <f t="shared" ref="O11829:O11834" si="201">"CRITCHER BASIL/CAROL REV TRUST"</f>
        <v>CRITCHER BASIL/CAROL REV TRUST</v>
      </c>
      <c r="T11829" t="str">
        <f t="shared" ref="T11829:T11834" si="202">"CRITCHER BASIL/CAROL TRUSTEES"</f>
        <v>CRITCHER BASIL/CAROL TRUSTEES</v>
      </c>
    </row>
    <row r="11830" spans="1:20" x14ac:dyDescent="0.25">
      <c r="A11830" t="str">
        <f>"3053546"</f>
        <v>3053546</v>
      </c>
      <c r="B11830" t="s">
        <v>35418</v>
      </c>
      <c r="C11830" t="str">
        <f t="shared" si="196"/>
        <v>8310156</v>
      </c>
      <c r="D11830" t="str">
        <f t="shared" si="197"/>
        <v>CRITCHER BASIL/CAROL REV TRUST</v>
      </c>
      <c r="E11830" t="str">
        <f t="shared" si="198"/>
        <v>CRITCHER BASIL/CAROL TRUSTEES</v>
      </c>
      <c r="F11830" t="s">
        <v>35416</v>
      </c>
      <c r="I11830" t="s">
        <v>35417</v>
      </c>
      <c r="J11830" t="s">
        <v>30</v>
      </c>
      <c r="K11830" t="str">
        <f t="shared" si="199"/>
        <v>28607</v>
      </c>
      <c r="M11830" t="s">
        <v>17861</v>
      </c>
      <c r="N11830" t="str">
        <f t="shared" si="200"/>
        <v>7/27/2018 12:40:00 PM</v>
      </c>
      <c r="O11830" t="str">
        <f t="shared" si="201"/>
        <v>CRITCHER BASIL/CAROL REV TRUST</v>
      </c>
      <c r="T11830" t="str">
        <f t="shared" si="202"/>
        <v>CRITCHER BASIL/CAROL TRUSTEES</v>
      </c>
    </row>
    <row r="11831" spans="1:20" x14ac:dyDescent="0.25">
      <c r="A11831" t="str">
        <f>"3053266"</f>
        <v>3053266</v>
      </c>
      <c r="B11831" t="s">
        <v>35419</v>
      </c>
      <c r="C11831" t="str">
        <f t="shared" si="196"/>
        <v>8310156</v>
      </c>
      <c r="D11831" t="str">
        <f t="shared" si="197"/>
        <v>CRITCHER BASIL/CAROL REV TRUST</v>
      </c>
      <c r="E11831" t="str">
        <f t="shared" si="198"/>
        <v>CRITCHER BASIL/CAROL TRUSTEES</v>
      </c>
      <c r="F11831" t="s">
        <v>35416</v>
      </c>
      <c r="I11831" t="s">
        <v>35417</v>
      </c>
      <c r="J11831" t="s">
        <v>30</v>
      </c>
      <c r="K11831" t="str">
        <f t="shared" si="199"/>
        <v>28607</v>
      </c>
      <c r="M11831" t="s">
        <v>17861</v>
      </c>
      <c r="N11831" t="str">
        <f t="shared" si="200"/>
        <v>7/27/2018 12:40:00 PM</v>
      </c>
      <c r="O11831" t="str">
        <f t="shared" si="201"/>
        <v>CRITCHER BASIL/CAROL REV TRUST</v>
      </c>
      <c r="T11831" t="str">
        <f t="shared" si="202"/>
        <v>CRITCHER BASIL/CAROL TRUSTEES</v>
      </c>
    </row>
    <row r="11832" spans="1:20" x14ac:dyDescent="0.25">
      <c r="A11832" t="str">
        <f>"3053285"</f>
        <v>3053285</v>
      </c>
      <c r="B11832" t="s">
        <v>35420</v>
      </c>
      <c r="C11832" t="str">
        <f t="shared" si="196"/>
        <v>8310156</v>
      </c>
      <c r="D11832" t="str">
        <f t="shared" si="197"/>
        <v>CRITCHER BASIL/CAROL REV TRUST</v>
      </c>
      <c r="E11832" t="str">
        <f t="shared" si="198"/>
        <v>CRITCHER BASIL/CAROL TRUSTEES</v>
      </c>
      <c r="F11832" t="s">
        <v>35416</v>
      </c>
      <c r="I11832" t="s">
        <v>35417</v>
      </c>
      <c r="J11832" t="s">
        <v>30</v>
      </c>
      <c r="K11832" t="str">
        <f t="shared" si="199"/>
        <v>28607</v>
      </c>
      <c r="M11832" t="s">
        <v>17861</v>
      </c>
      <c r="N11832" t="str">
        <f t="shared" si="200"/>
        <v>7/27/2018 12:40:00 PM</v>
      </c>
      <c r="O11832" t="str">
        <f t="shared" si="201"/>
        <v>CRITCHER BASIL/CAROL REV TRUST</v>
      </c>
      <c r="T11832" t="str">
        <f t="shared" si="202"/>
        <v>CRITCHER BASIL/CAROL TRUSTEES</v>
      </c>
    </row>
    <row r="11833" spans="1:20" x14ac:dyDescent="0.25">
      <c r="A11833" t="str">
        <f>"3053332"</f>
        <v>3053332</v>
      </c>
      <c r="B11833" t="s">
        <v>35421</v>
      </c>
      <c r="C11833" t="str">
        <f t="shared" si="196"/>
        <v>8310156</v>
      </c>
      <c r="D11833" t="str">
        <f t="shared" si="197"/>
        <v>CRITCHER BASIL/CAROL REV TRUST</v>
      </c>
      <c r="E11833" t="str">
        <f t="shared" si="198"/>
        <v>CRITCHER BASIL/CAROL TRUSTEES</v>
      </c>
      <c r="F11833" t="s">
        <v>35416</v>
      </c>
      <c r="I11833" t="s">
        <v>35417</v>
      </c>
      <c r="J11833" t="s">
        <v>30</v>
      </c>
      <c r="K11833" t="str">
        <f t="shared" si="199"/>
        <v>28607</v>
      </c>
      <c r="M11833" t="s">
        <v>17861</v>
      </c>
      <c r="N11833" t="str">
        <f t="shared" si="200"/>
        <v>7/27/2018 12:40:00 PM</v>
      </c>
      <c r="O11833" t="str">
        <f t="shared" si="201"/>
        <v>CRITCHER BASIL/CAROL REV TRUST</v>
      </c>
      <c r="T11833" t="str">
        <f t="shared" si="202"/>
        <v>CRITCHER BASIL/CAROL TRUSTEES</v>
      </c>
    </row>
    <row r="11834" spans="1:20" x14ac:dyDescent="0.25">
      <c r="A11834" t="str">
        <f>"3053333"</f>
        <v>3053333</v>
      </c>
      <c r="B11834" t="s">
        <v>35422</v>
      </c>
      <c r="C11834" t="str">
        <f t="shared" si="196"/>
        <v>8310156</v>
      </c>
      <c r="D11834" t="str">
        <f t="shared" si="197"/>
        <v>CRITCHER BASIL/CAROL REV TRUST</v>
      </c>
      <c r="E11834" t="str">
        <f t="shared" si="198"/>
        <v>CRITCHER BASIL/CAROL TRUSTEES</v>
      </c>
      <c r="F11834" t="s">
        <v>35416</v>
      </c>
      <c r="I11834" t="s">
        <v>35417</v>
      </c>
      <c r="J11834" t="s">
        <v>30</v>
      </c>
      <c r="K11834" t="str">
        <f t="shared" si="199"/>
        <v>28607</v>
      </c>
      <c r="M11834" t="s">
        <v>17861</v>
      </c>
      <c r="N11834" t="str">
        <f t="shared" si="200"/>
        <v>7/27/2018 12:40:00 PM</v>
      </c>
      <c r="O11834" t="str">
        <f t="shared" si="201"/>
        <v>CRITCHER BASIL/CAROL REV TRUST</v>
      </c>
      <c r="T11834" t="str">
        <f t="shared" si="202"/>
        <v>CRITCHER BASIL/CAROL TRUSTEES</v>
      </c>
    </row>
    <row r="11835" spans="1:20" x14ac:dyDescent="0.25">
      <c r="A11835" t="str">
        <f>"3052412"</f>
        <v>3052412</v>
      </c>
      <c r="B11835" t="s">
        <v>35423</v>
      </c>
      <c r="C11835" t="str">
        <f>"8310160"</f>
        <v>8310160</v>
      </c>
      <c r="D11835" t="s">
        <v>35424</v>
      </c>
      <c r="F11835" t="s">
        <v>35425</v>
      </c>
      <c r="I11835" t="s">
        <v>17921</v>
      </c>
      <c r="J11835" t="s">
        <v>30</v>
      </c>
      <c r="K11835" t="str">
        <f>"27028"</f>
        <v>27028</v>
      </c>
      <c r="M11835" t="s">
        <v>17861</v>
      </c>
      <c r="N11835" t="str">
        <f>"7/27/2018 1:23:00 PM"</f>
        <v>7/27/2018 1:23:00 PM</v>
      </c>
      <c r="O11835" t="s">
        <v>35424</v>
      </c>
    </row>
    <row r="11836" spans="1:20" x14ac:dyDescent="0.25">
      <c r="A11836" t="str">
        <f>"3068931"</f>
        <v>3068931</v>
      </c>
      <c r="B11836" t="s">
        <v>35426</v>
      </c>
      <c r="C11836" t="str">
        <f>"8310161"</f>
        <v>8310161</v>
      </c>
      <c r="D11836" t="s">
        <v>35427</v>
      </c>
      <c r="E11836" t="s">
        <v>35428</v>
      </c>
      <c r="F11836" t="s">
        <v>35429</v>
      </c>
      <c r="I11836" t="s">
        <v>29</v>
      </c>
      <c r="J11836" t="s">
        <v>30</v>
      </c>
      <c r="K11836" t="s">
        <v>35430</v>
      </c>
      <c r="M11836" t="s">
        <v>17861</v>
      </c>
      <c r="N11836" t="str">
        <f>"7/27/2018 1:27:00 PM"</f>
        <v>7/27/2018 1:27:00 PM</v>
      </c>
      <c r="O11836" t="s">
        <v>35427</v>
      </c>
      <c r="T11836" t="s">
        <v>35428</v>
      </c>
    </row>
    <row r="11837" spans="1:20" x14ac:dyDescent="0.25">
      <c r="A11837" t="str">
        <f>"3048303"</f>
        <v>3048303</v>
      </c>
      <c r="B11837" t="s">
        <v>35431</v>
      </c>
      <c r="C11837" t="str">
        <f>"8310063"</f>
        <v>8310063</v>
      </c>
      <c r="D11837" t="s">
        <v>35432</v>
      </c>
      <c r="E11837" t="s">
        <v>35433</v>
      </c>
      <c r="F11837" t="s">
        <v>35434</v>
      </c>
      <c r="I11837" t="s">
        <v>29</v>
      </c>
      <c r="J11837" t="s">
        <v>30</v>
      </c>
      <c r="K11837" t="s">
        <v>35435</v>
      </c>
      <c r="M11837" t="s">
        <v>17861</v>
      </c>
      <c r="N11837" t="str">
        <f>"7/12/2018 1:15:00 PM"</f>
        <v>7/12/2018 1:15:00 PM</v>
      </c>
      <c r="O11837" t="s">
        <v>35432</v>
      </c>
      <c r="T11837" t="s">
        <v>35433</v>
      </c>
    </row>
    <row r="11838" spans="1:20" x14ac:dyDescent="0.25">
      <c r="A11838" t="str">
        <f>"3037385"</f>
        <v>3037385</v>
      </c>
      <c r="B11838" t="s">
        <v>35436</v>
      </c>
      <c r="C11838" t="str">
        <f>"8310065"</f>
        <v>8310065</v>
      </c>
      <c r="D11838" t="s">
        <v>35437</v>
      </c>
      <c r="E11838" t="s">
        <v>35438</v>
      </c>
      <c r="F11838" t="s">
        <v>35439</v>
      </c>
      <c r="I11838" t="s">
        <v>184</v>
      </c>
      <c r="J11838" t="s">
        <v>30</v>
      </c>
      <c r="K11838" t="s">
        <v>35440</v>
      </c>
      <c r="M11838" t="s">
        <v>17861</v>
      </c>
      <c r="N11838" t="str">
        <f>"7/12/2018 1:20:00 PM"</f>
        <v>7/12/2018 1:20:00 PM</v>
      </c>
      <c r="O11838" t="s">
        <v>35437</v>
      </c>
      <c r="T11838" t="s">
        <v>35438</v>
      </c>
    </row>
    <row r="11839" spans="1:20" x14ac:dyDescent="0.25">
      <c r="A11839" t="str">
        <f>"3057249"</f>
        <v>3057249</v>
      </c>
      <c r="B11839" t="s">
        <v>35441</v>
      </c>
      <c r="C11839" t="str">
        <f>"8310078"</f>
        <v>8310078</v>
      </c>
      <c r="D11839" t="s">
        <v>35442</v>
      </c>
      <c r="F11839" t="s">
        <v>35443</v>
      </c>
      <c r="I11839" t="s">
        <v>29</v>
      </c>
      <c r="J11839" t="s">
        <v>30</v>
      </c>
      <c r="K11839" t="s">
        <v>35444</v>
      </c>
      <c r="M11839" t="s">
        <v>17861</v>
      </c>
      <c r="N11839" t="str">
        <f>"7/12/2018 3:12:00 PM"</f>
        <v>7/12/2018 3:12:00 PM</v>
      </c>
      <c r="O11839" t="s">
        <v>35442</v>
      </c>
    </row>
    <row r="11840" spans="1:20" x14ac:dyDescent="0.25">
      <c r="A11840" t="str">
        <f>"3048208"</f>
        <v>3048208</v>
      </c>
      <c r="B11840" t="s">
        <v>35445</v>
      </c>
      <c r="C11840" t="str">
        <f>"8310078"</f>
        <v>8310078</v>
      </c>
      <c r="D11840" t="s">
        <v>35442</v>
      </c>
      <c r="F11840" t="s">
        <v>35443</v>
      </c>
      <c r="I11840" t="s">
        <v>29</v>
      </c>
      <c r="J11840" t="s">
        <v>30</v>
      </c>
      <c r="K11840" t="s">
        <v>35444</v>
      </c>
      <c r="M11840" t="s">
        <v>17861</v>
      </c>
      <c r="N11840" t="str">
        <f>"7/12/2018 3:12:00 PM"</f>
        <v>7/12/2018 3:12:00 PM</v>
      </c>
      <c r="O11840" t="s">
        <v>35442</v>
      </c>
    </row>
    <row r="11841" spans="1:20" x14ac:dyDescent="0.25">
      <c r="A11841" t="str">
        <f>"3055903"</f>
        <v>3055903</v>
      </c>
      <c r="B11841" t="s">
        <v>35446</v>
      </c>
      <c r="C11841" t="str">
        <f>"54380000"</f>
        <v>54380000</v>
      </c>
      <c r="D11841" t="s">
        <v>35447</v>
      </c>
      <c r="E11841" t="s">
        <v>35448</v>
      </c>
      <c r="F11841" t="s">
        <v>35449</v>
      </c>
      <c r="I11841" t="s">
        <v>9580</v>
      </c>
      <c r="J11841" t="s">
        <v>30</v>
      </c>
      <c r="K11841" t="s">
        <v>9581</v>
      </c>
      <c r="M11841" t="s">
        <v>18470</v>
      </c>
      <c r="N11841" t="str">
        <f>"7/5/2018 3:47:00 PM"</f>
        <v>7/5/2018 3:47:00 PM</v>
      </c>
      <c r="O11841" t="s">
        <v>35447</v>
      </c>
      <c r="T11841" t="s">
        <v>35448</v>
      </c>
    </row>
    <row r="11842" spans="1:20" x14ac:dyDescent="0.25">
      <c r="A11842" t="str">
        <f>"3067495"</f>
        <v>3067495</v>
      </c>
      <c r="B11842" t="s">
        <v>35450</v>
      </c>
      <c r="C11842" t="str">
        <f>"82516218"</f>
        <v>82516218</v>
      </c>
      <c r="D11842" t="s">
        <v>35451</v>
      </c>
      <c r="F11842" t="s">
        <v>35452</v>
      </c>
      <c r="I11842" t="s">
        <v>29</v>
      </c>
      <c r="J11842" t="s">
        <v>30</v>
      </c>
      <c r="K11842" t="s">
        <v>14976</v>
      </c>
      <c r="M11842" t="s">
        <v>18470</v>
      </c>
      <c r="N11842" t="str">
        <f>"7/5/2018 4:13:00 PM"</f>
        <v>7/5/2018 4:13:00 PM</v>
      </c>
      <c r="O11842" t="s">
        <v>35451</v>
      </c>
    </row>
    <row r="11843" spans="1:20" x14ac:dyDescent="0.25">
      <c r="A11843" t="str">
        <f>"3061463"</f>
        <v>3061463</v>
      </c>
      <c r="B11843" t="s">
        <v>35453</v>
      </c>
      <c r="C11843" t="str">
        <f>"8310106"</f>
        <v>8310106</v>
      </c>
      <c r="D11843" t="s">
        <v>35454</v>
      </c>
      <c r="E11843" t="s">
        <v>35455</v>
      </c>
      <c r="F11843" t="s">
        <v>35456</v>
      </c>
      <c r="I11843" t="s">
        <v>184</v>
      </c>
      <c r="J11843" t="s">
        <v>30</v>
      </c>
      <c r="K11843" t="s">
        <v>5664</v>
      </c>
      <c r="M11843" t="s">
        <v>17861</v>
      </c>
      <c r="N11843" t="str">
        <f>"7/23/2018 4:11:00 PM"</f>
        <v>7/23/2018 4:11:00 PM</v>
      </c>
      <c r="O11843" t="s">
        <v>35454</v>
      </c>
      <c r="T11843" t="s">
        <v>35455</v>
      </c>
    </row>
    <row r="11844" spans="1:20" x14ac:dyDescent="0.25">
      <c r="A11844" t="str">
        <f>"3038340"</f>
        <v>3038340</v>
      </c>
      <c r="B11844" t="s">
        <v>35457</v>
      </c>
      <c r="C11844" t="str">
        <f>"8310108"</f>
        <v>8310108</v>
      </c>
      <c r="D11844" t="s">
        <v>35458</v>
      </c>
      <c r="E11844" t="s">
        <v>35459</v>
      </c>
      <c r="F11844" t="s">
        <v>35460</v>
      </c>
      <c r="I11844" t="s">
        <v>29</v>
      </c>
      <c r="J11844" t="s">
        <v>30</v>
      </c>
      <c r="K11844" t="s">
        <v>35461</v>
      </c>
      <c r="M11844" t="s">
        <v>17861</v>
      </c>
      <c r="N11844" t="str">
        <f>"7/23/2018 4:20:00 PM"</f>
        <v>7/23/2018 4:20:00 PM</v>
      </c>
      <c r="O11844" t="s">
        <v>35458</v>
      </c>
      <c r="T11844" t="s">
        <v>35459</v>
      </c>
    </row>
    <row r="11845" spans="1:20" x14ac:dyDescent="0.25">
      <c r="A11845" t="str">
        <f>"3058045"</f>
        <v>3058045</v>
      </c>
      <c r="B11845" t="s">
        <v>35462</v>
      </c>
      <c r="C11845" t="str">
        <f>"8310111"</f>
        <v>8310111</v>
      </c>
      <c r="D11845" t="s">
        <v>35463</v>
      </c>
      <c r="E11845" t="s">
        <v>35464</v>
      </c>
      <c r="F11845" t="s">
        <v>35465</v>
      </c>
      <c r="I11845" t="s">
        <v>184</v>
      </c>
      <c r="J11845" t="s">
        <v>30</v>
      </c>
      <c r="K11845" t="s">
        <v>35466</v>
      </c>
      <c r="M11845" t="s">
        <v>17861</v>
      </c>
      <c r="N11845" t="str">
        <f>"7/24/2018 9:49:00 AM"</f>
        <v>7/24/2018 9:49:00 AM</v>
      </c>
      <c r="O11845" t="s">
        <v>35463</v>
      </c>
      <c r="T11845" t="s">
        <v>35464</v>
      </c>
    </row>
    <row r="11846" spans="1:20" x14ac:dyDescent="0.25">
      <c r="A11846" t="str">
        <f>"3048118"</f>
        <v>3048118</v>
      </c>
      <c r="B11846" t="s">
        <v>35467</v>
      </c>
      <c r="C11846" t="str">
        <f>"8310113"</f>
        <v>8310113</v>
      </c>
      <c r="D11846" t="s">
        <v>35468</v>
      </c>
      <c r="F11846" t="s">
        <v>35469</v>
      </c>
      <c r="I11846" t="s">
        <v>35470</v>
      </c>
      <c r="J11846" t="s">
        <v>30</v>
      </c>
      <c r="K11846" t="s">
        <v>35471</v>
      </c>
      <c r="M11846" t="s">
        <v>17861</v>
      </c>
      <c r="N11846" t="str">
        <f>"7/24/2018 10:38:00 AM"</f>
        <v>7/24/2018 10:38:00 AM</v>
      </c>
      <c r="O11846" t="s">
        <v>35468</v>
      </c>
    </row>
    <row r="11847" spans="1:20" x14ac:dyDescent="0.25">
      <c r="A11847" t="str">
        <f>"3047118"</f>
        <v>3047118</v>
      </c>
      <c r="B11847" t="s">
        <v>35472</v>
      </c>
      <c r="C11847" t="str">
        <f>"8310126"</f>
        <v>8310126</v>
      </c>
      <c r="D11847" t="s">
        <v>35473</v>
      </c>
      <c r="E11847" t="s">
        <v>35474</v>
      </c>
      <c r="F11847" t="s">
        <v>35475</v>
      </c>
      <c r="I11847" t="s">
        <v>29</v>
      </c>
      <c r="J11847" t="s">
        <v>30</v>
      </c>
      <c r="K11847" t="s">
        <v>35476</v>
      </c>
      <c r="M11847" t="s">
        <v>17861</v>
      </c>
      <c r="N11847" t="str">
        <f>"7/24/2018 12:41:00 PM"</f>
        <v>7/24/2018 12:41:00 PM</v>
      </c>
      <c r="O11847" t="s">
        <v>35473</v>
      </c>
      <c r="T11847" t="s">
        <v>35474</v>
      </c>
    </row>
    <row r="11848" spans="1:20" x14ac:dyDescent="0.25">
      <c r="A11848" t="str">
        <f>"3048080"</f>
        <v>3048080</v>
      </c>
      <c r="B11848" t="s">
        <v>35477</v>
      </c>
      <c r="C11848" t="str">
        <f>"8309047"</f>
        <v>8309047</v>
      </c>
      <c r="D11848" t="s">
        <v>35478</v>
      </c>
      <c r="E11848" t="s">
        <v>35479</v>
      </c>
      <c r="F11848" t="s">
        <v>35480</v>
      </c>
      <c r="I11848" t="s">
        <v>184</v>
      </c>
      <c r="J11848" t="s">
        <v>30</v>
      </c>
      <c r="K11848" t="s">
        <v>34813</v>
      </c>
      <c r="M11848" t="s">
        <v>17861</v>
      </c>
      <c r="N11848" t="str">
        <f>"8/3/2018 8:36:00 AM"</f>
        <v>8/3/2018 8:36:00 AM</v>
      </c>
      <c r="O11848" t="s">
        <v>35478</v>
      </c>
      <c r="T11848" t="s">
        <v>35479</v>
      </c>
    </row>
    <row r="11849" spans="1:20" x14ac:dyDescent="0.25">
      <c r="A11849" t="str">
        <f>"3051032"</f>
        <v>3051032</v>
      </c>
      <c r="B11849" t="s">
        <v>35481</v>
      </c>
      <c r="C11849" t="str">
        <f>"8310193"</f>
        <v>8310193</v>
      </c>
      <c r="D11849" t="s">
        <v>35482</v>
      </c>
      <c r="E11849" t="s">
        <v>35483</v>
      </c>
      <c r="F11849" t="s">
        <v>35484</v>
      </c>
      <c r="I11849" t="s">
        <v>29</v>
      </c>
      <c r="J11849" t="s">
        <v>30</v>
      </c>
      <c r="K11849" t="s">
        <v>22945</v>
      </c>
      <c r="M11849" t="s">
        <v>17861</v>
      </c>
      <c r="N11849" t="str">
        <f>"8/3/2018 9:35:00 AM"</f>
        <v>8/3/2018 9:35:00 AM</v>
      </c>
      <c r="O11849" t="s">
        <v>35482</v>
      </c>
      <c r="T11849" t="s">
        <v>35483</v>
      </c>
    </row>
    <row r="11850" spans="1:20" x14ac:dyDescent="0.25">
      <c r="A11850" t="str">
        <f>"3050740"</f>
        <v>3050740</v>
      </c>
      <c r="B11850" t="s">
        <v>35485</v>
      </c>
      <c r="C11850" t="str">
        <f>"8310129"</f>
        <v>8310129</v>
      </c>
      <c r="D11850" t="s">
        <v>35486</v>
      </c>
      <c r="F11850" t="s">
        <v>35487</v>
      </c>
      <c r="I11850" t="s">
        <v>184</v>
      </c>
      <c r="J11850" t="s">
        <v>30</v>
      </c>
      <c r="K11850" t="s">
        <v>10568</v>
      </c>
      <c r="M11850" t="s">
        <v>17861</v>
      </c>
      <c r="N11850" t="str">
        <f>"7/24/2018 1:20:00 PM"</f>
        <v>7/24/2018 1:20:00 PM</v>
      </c>
      <c r="O11850" t="s">
        <v>35486</v>
      </c>
    </row>
    <row r="11851" spans="1:20" x14ac:dyDescent="0.25">
      <c r="A11851" t="str">
        <f>"3045508"</f>
        <v>3045508</v>
      </c>
      <c r="B11851" t="s">
        <v>35488</v>
      </c>
      <c r="C11851" t="str">
        <f>"8310131"</f>
        <v>8310131</v>
      </c>
      <c r="D11851" t="s">
        <v>35489</v>
      </c>
      <c r="F11851" t="s">
        <v>35490</v>
      </c>
      <c r="I11851" t="s">
        <v>402</v>
      </c>
      <c r="J11851" t="s">
        <v>30</v>
      </c>
      <c r="K11851" t="str">
        <f>"27012"</f>
        <v>27012</v>
      </c>
      <c r="M11851" t="s">
        <v>17861</v>
      </c>
      <c r="N11851" t="str">
        <f>"7/24/2018 1:40:00 PM"</f>
        <v>7/24/2018 1:40:00 PM</v>
      </c>
      <c r="O11851" t="s">
        <v>35489</v>
      </c>
    </row>
    <row r="11852" spans="1:20" x14ac:dyDescent="0.25">
      <c r="A11852" t="str">
        <f>"3062406"</f>
        <v>3062406</v>
      </c>
      <c r="B11852" t="s">
        <v>35491</v>
      </c>
      <c r="C11852" t="str">
        <f>"8310132"</f>
        <v>8310132</v>
      </c>
      <c r="D11852" t="s">
        <v>35492</v>
      </c>
      <c r="E11852" t="s">
        <v>35493</v>
      </c>
      <c r="F11852" t="s">
        <v>35494</v>
      </c>
      <c r="I11852" t="s">
        <v>29</v>
      </c>
      <c r="J11852" t="s">
        <v>30</v>
      </c>
      <c r="K11852" t="s">
        <v>14250</v>
      </c>
      <c r="M11852" t="s">
        <v>17861</v>
      </c>
      <c r="N11852" t="str">
        <f>"7/24/2018 1:43:00 PM"</f>
        <v>7/24/2018 1:43:00 PM</v>
      </c>
      <c r="O11852" t="s">
        <v>35492</v>
      </c>
      <c r="T11852" t="s">
        <v>35493</v>
      </c>
    </row>
    <row r="11853" spans="1:20" x14ac:dyDescent="0.25">
      <c r="A11853" t="str">
        <f>"3045018"</f>
        <v>3045018</v>
      </c>
      <c r="B11853" t="s">
        <v>35495</v>
      </c>
      <c r="C11853" t="str">
        <f>"8310230"</f>
        <v>8310230</v>
      </c>
      <c r="D11853" t="s">
        <v>35496</v>
      </c>
      <c r="F11853" t="s">
        <v>35497</v>
      </c>
      <c r="I11853" t="s">
        <v>29</v>
      </c>
      <c r="J11853" t="s">
        <v>30</v>
      </c>
      <c r="K11853" t="s">
        <v>35498</v>
      </c>
      <c r="M11853" t="s">
        <v>17861</v>
      </c>
      <c r="N11853" t="str">
        <f>"8/13/2018 1:06:00 PM"</f>
        <v>8/13/2018 1:06:00 PM</v>
      </c>
      <c r="O11853" t="s">
        <v>35496</v>
      </c>
    </row>
    <row r="11854" spans="1:20" x14ac:dyDescent="0.25">
      <c r="A11854" t="str">
        <f>"3045274"</f>
        <v>3045274</v>
      </c>
      <c r="B11854" t="s">
        <v>35499</v>
      </c>
      <c r="C11854" t="str">
        <f>"8310230"</f>
        <v>8310230</v>
      </c>
      <c r="D11854" t="s">
        <v>35496</v>
      </c>
      <c r="F11854" t="s">
        <v>35497</v>
      </c>
      <c r="I11854" t="s">
        <v>29</v>
      </c>
      <c r="J11854" t="s">
        <v>30</v>
      </c>
      <c r="K11854" t="s">
        <v>35498</v>
      </c>
      <c r="M11854" t="s">
        <v>17861</v>
      </c>
      <c r="N11854" t="str">
        <f>"8/13/2018 1:06:00 PM"</f>
        <v>8/13/2018 1:06:00 PM</v>
      </c>
      <c r="O11854" t="s">
        <v>35496</v>
      </c>
    </row>
    <row r="11855" spans="1:20" x14ac:dyDescent="0.25">
      <c r="A11855" t="str">
        <f>"3045452"</f>
        <v>3045452</v>
      </c>
      <c r="B11855" t="s">
        <v>35500</v>
      </c>
      <c r="C11855" t="str">
        <f>"8310133"</f>
        <v>8310133</v>
      </c>
      <c r="D11855" t="s">
        <v>35501</v>
      </c>
      <c r="E11855" t="s">
        <v>35502</v>
      </c>
      <c r="F11855" t="s">
        <v>35503</v>
      </c>
      <c r="I11855" t="s">
        <v>29</v>
      </c>
      <c r="J11855" t="s">
        <v>30</v>
      </c>
      <c r="K11855" t="s">
        <v>7858</v>
      </c>
      <c r="M11855" t="s">
        <v>17861</v>
      </c>
      <c r="N11855" t="str">
        <f>"7/24/2018 1:45:00 PM"</f>
        <v>7/24/2018 1:45:00 PM</v>
      </c>
      <c r="O11855" t="s">
        <v>35501</v>
      </c>
      <c r="T11855" t="s">
        <v>35502</v>
      </c>
    </row>
    <row r="11856" spans="1:20" x14ac:dyDescent="0.25">
      <c r="A11856" t="str">
        <f>"3052443"</f>
        <v>3052443</v>
      </c>
      <c r="B11856" t="s">
        <v>35504</v>
      </c>
      <c r="C11856" t="str">
        <f>"8306013"</f>
        <v>8306013</v>
      </c>
      <c r="D11856" t="s">
        <v>35505</v>
      </c>
      <c r="E11856" t="s">
        <v>35506</v>
      </c>
      <c r="F11856" t="s">
        <v>35507</v>
      </c>
      <c r="I11856" t="s">
        <v>29</v>
      </c>
      <c r="J11856" t="s">
        <v>30</v>
      </c>
      <c r="K11856" t="str">
        <f>"27028"</f>
        <v>27028</v>
      </c>
      <c r="M11856" t="s">
        <v>34475</v>
      </c>
      <c r="N11856" t="str">
        <f>"7/24/2018 4:13:00 PM"</f>
        <v>7/24/2018 4:13:00 PM</v>
      </c>
      <c r="O11856" t="s">
        <v>35505</v>
      </c>
      <c r="T11856" t="s">
        <v>35506</v>
      </c>
    </row>
    <row r="11857" spans="1:20" x14ac:dyDescent="0.25">
      <c r="A11857" t="str">
        <f>"3049740"</f>
        <v>3049740</v>
      </c>
      <c r="B11857" t="s">
        <v>35508</v>
      </c>
      <c r="C11857" t="str">
        <f>"8310243"</f>
        <v>8310243</v>
      </c>
      <c r="D11857" t="s">
        <v>30087</v>
      </c>
      <c r="E11857" t="s">
        <v>30088</v>
      </c>
      <c r="F11857" t="s">
        <v>35509</v>
      </c>
      <c r="I11857" t="s">
        <v>29</v>
      </c>
      <c r="J11857" t="s">
        <v>30</v>
      </c>
      <c r="K11857" t="s">
        <v>17132</v>
      </c>
      <c r="M11857" t="s">
        <v>17861</v>
      </c>
      <c r="N11857" t="str">
        <f>"8/14/2018 3:20:00 PM"</f>
        <v>8/14/2018 3:20:00 PM</v>
      </c>
      <c r="O11857" t="s">
        <v>30087</v>
      </c>
      <c r="T11857" t="s">
        <v>30088</v>
      </c>
    </row>
    <row r="11858" spans="1:20" x14ac:dyDescent="0.25">
      <c r="A11858" t="str">
        <f>"3044722"</f>
        <v>3044722</v>
      </c>
      <c r="B11858" t="s">
        <v>35510</v>
      </c>
      <c r="C11858" t="str">
        <f>"8310244"</f>
        <v>8310244</v>
      </c>
      <c r="D11858" t="s">
        <v>35511</v>
      </c>
      <c r="E11858" t="s">
        <v>35512</v>
      </c>
      <c r="F11858" t="s">
        <v>35513</v>
      </c>
      <c r="I11858" t="s">
        <v>184</v>
      </c>
      <c r="J11858" t="s">
        <v>30</v>
      </c>
      <c r="K11858" t="s">
        <v>6241</v>
      </c>
      <c r="M11858" t="s">
        <v>17861</v>
      </c>
      <c r="N11858" t="str">
        <f>"8/14/2018 3:33:00 PM"</f>
        <v>8/14/2018 3:33:00 PM</v>
      </c>
      <c r="O11858" t="s">
        <v>35511</v>
      </c>
      <c r="T11858" t="s">
        <v>35512</v>
      </c>
    </row>
    <row r="11859" spans="1:20" x14ac:dyDescent="0.25">
      <c r="A11859" t="str">
        <f>"3039646"</f>
        <v>3039646</v>
      </c>
      <c r="B11859" t="s">
        <v>35514</v>
      </c>
      <c r="C11859" t="str">
        <f>"8310145"</f>
        <v>8310145</v>
      </c>
      <c r="D11859" t="s">
        <v>35515</v>
      </c>
      <c r="F11859" t="s">
        <v>35516</v>
      </c>
      <c r="I11859" t="s">
        <v>184</v>
      </c>
      <c r="J11859" t="s">
        <v>30</v>
      </c>
      <c r="K11859" t="s">
        <v>1664</v>
      </c>
      <c r="M11859" t="s">
        <v>17861</v>
      </c>
      <c r="N11859" t="str">
        <f>"7/25/2018 11:07:00 AM"</f>
        <v>7/25/2018 11:07:00 AM</v>
      </c>
      <c r="O11859" t="s">
        <v>35515</v>
      </c>
    </row>
    <row r="11860" spans="1:20" x14ac:dyDescent="0.25">
      <c r="A11860" t="str">
        <f>"3057302"</f>
        <v>3057302</v>
      </c>
      <c r="B11860" t="s">
        <v>35517</v>
      </c>
      <c r="C11860" t="str">
        <f>"8310148"</f>
        <v>8310148</v>
      </c>
      <c r="D11860" t="s">
        <v>35518</v>
      </c>
      <c r="F11860" t="s">
        <v>35519</v>
      </c>
      <c r="I11860" t="s">
        <v>29</v>
      </c>
      <c r="J11860" t="s">
        <v>30</v>
      </c>
      <c r="K11860" t="s">
        <v>12616</v>
      </c>
      <c r="M11860" t="s">
        <v>17861</v>
      </c>
      <c r="N11860" t="str">
        <f>"7/25/2018 1:04:00 PM"</f>
        <v>7/25/2018 1:04:00 PM</v>
      </c>
      <c r="O11860" t="s">
        <v>35518</v>
      </c>
    </row>
    <row r="11861" spans="1:20" x14ac:dyDescent="0.25">
      <c r="A11861" t="str">
        <f>"3050114"</f>
        <v>3050114</v>
      </c>
      <c r="B11861" t="s">
        <v>35520</v>
      </c>
      <c r="C11861" t="str">
        <f>"8310149"</f>
        <v>8310149</v>
      </c>
      <c r="D11861" t="s">
        <v>13154</v>
      </c>
      <c r="F11861" t="s">
        <v>34342</v>
      </c>
      <c r="I11861" t="s">
        <v>29</v>
      </c>
      <c r="J11861" t="s">
        <v>30</v>
      </c>
      <c r="K11861" t="s">
        <v>13156</v>
      </c>
      <c r="M11861" t="s">
        <v>17861</v>
      </c>
      <c r="N11861" t="str">
        <f>"7/25/2018 1:20:00 PM"</f>
        <v>7/25/2018 1:20:00 PM</v>
      </c>
      <c r="O11861" t="s">
        <v>13154</v>
      </c>
    </row>
    <row r="11862" spans="1:20" x14ac:dyDescent="0.25">
      <c r="A11862" t="str">
        <f>"3038384"</f>
        <v>3038384</v>
      </c>
      <c r="B11862" t="s">
        <v>35521</v>
      </c>
      <c r="C11862" t="str">
        <f>"64222500"</f>
        <v>64222500</v>
      </c>
      <c r="D11862" t="s">
        <v>35522</v>
      </c>
      <c r="F11862" t="s">
        <v>35523</v>
      </c>
      <c r="I11862" t="s">
        <v>35524</v>
      </c>
      <c r="J11862" t="s">
        <v>12725</v>
      </c>
      <c r="K11862" t="s">
        <v>35525</v>
      </c>
      <c r="M11862" t="s">
        <v>17861</v>
      </c>
      <c r="N11862" t="str">
        <f>"7/25/2018 1:24:00 PM"</f>
        <v>7/25/2018 1:24:00 PM</v>
      </c>
      <c r="O11862" t="s">
        <v>35522</v>
      </c>
    </row>
    <row r="11863" spans="1:20" x14ac:dyDescent="0.25">
      <c r="A11863" t="str">
        <f>"3049829"</f>
        <v>3049829</v>
      </c>
      <c r="B11863" t="s">
        <v>35526</v>
      </c>
      <c r="C11863" t="str">
        <f>"8303449"</f>
        <v>8303449</v>
      </c>
      <c r="D11863" t="s">
        <v>35527</v>
      </c>
      <c r="F11863" t="s">
        <v>35528</v>
      </c>
      <c r="I11863" t="s">
        <v>29</v>
      </c>
      <c r="J11863" t="s">
        <v>30</v>
      </c>
      <c r="K11863" t="str">
        <f>"27028"</f>
        <v>27028</v>
      </c>
      <c r="M11863" t="s">
        <v>34475</v>
      </c>
      <c r="N11863" t="str">
        <f>"7/25/2018 1:25:00 PM"</f>
        <v>7/25/2018 1:25:00 PM</v>
      </c>
      <c r="O11863" t="s">
        <v>35527</v>
      </c>
    </row>
    <row r="11864" spans="1:20" x14ac:dyDescent="0.25">
      <c r="A11864" t="str">
        <f>"3062011"</f>
        <v>3062011</v>
      </c>
      <c r="B11864" t="s">
        <v>35529</v>
      </c>
      <c r="C11864" t="str">
        <f>"8308635"</f>
        <v>8308635</v>
      </c>
      <c r="D11864" t="s">
        <v>35530</v>
      </c>
      <c r="F11864" t="s">
        <v>35531</v>
      </c>
      <c r="I11864" t="s">
        <v>29</v>
      </c>
      <c r="J11864" t="s">
        <v>30</v>
      </c>
      <c r="K11864" t="str">
        <f>"27028"</f>
        <v>27028</v>
      </c>
      <c r="M11864" t="s">
        <v>18479</v>
      </c>
      <c r="N11864" t="str">
        <f>"7/26/2018 11:04:00 AM"</f>
        <v>7/26/2018 11:04:00 AM</v>
      </c>
      <c r="O11864" t="s">
        <v>35530</v>
      </c>
    </row>
    <row r="11865" spans="1:20" x14ac:dyDescent="0.25">
      <c r="A11865" t="str">
        <f>"3061975"</f>
        <v>3061975</v>
      </c>
      <c r="B11865" t="s">
        <v>35532</v>
      </c>
      <c r="C11865" t="str">
        <f>"8310151"</f>
        <v>8310151</v>
      </c>
      <c r="D11865" t="s">
        <v>35533</v>
      </c>
      <c r="F11865" t="s">
        <v>35534</v>
      </c>
      <c r="I11865" t="s">
        <v>29</v>
      </c>
      <c r="J11865" t="s">
        <v>30</v>
      </c>
      <c r="K11865" t="s">
        <v>13835</v>
      </c>
      <c r="M11865" t="s">
        <v>17861</v>
      </c>
      <c r="N11865" t="str">
        <f>"7/27/2018 9:24:00 AM"</f>
        <v>7/27/2018 9:24:00 AM</v>
      </c>
      <c r="O11865" t="s">
        <v>35533</v>
      </c>
    </row>
    <row r="11866" spans="1:20" x14ac:dyDescent="0.25">
      <c r="A11866" t="str">
        <f>"3041631"</f>
        <v>3041631</v>
      </c>
      <c r="B11866" t="s">
        <v>35535</v>
      </c>
      <c r="C11866" t="str">
        <f>"8310164"</f>
        <v>8310164</v>
      </c>
      <c r="D11866" t="s">
        <v>35536</v>
      </c>
      <c r="E11866" t="s">
        <v>35537</v>
      </c>
      <c r="F11866" t="s">
        <v>35538</v>
      </c>
      <c r="I11866" t="s">
        <v>2071</v>
      </c>
      <c r="J11866" t="s">
        <v>30</v>
      </c>
      <c r="K11866" t="str">
        <f>"27006"</f>
        <v>27006</v>
      </c>
      <c r="M11866" t="s">
        <v>17861</v>
      </c>
      <c r="N11866" t="str">
        <f>"7/30/2018 8:40:00 AM"</f>
        <v>7/30/2018 8:40:00 AM</v>
      </c>
      <c r="O11866" t="s">
        <v>35536</v>
      </c>
      <c r="T11866" t="s">
        <v>35537</v>
      </c>
    </row>
    <row r="11867" spans="1:20" x14ac:dyDescent="0.25">
      <c r="A11867" t="str">
        <f>"3061151"</f>
        <v>3061151</v>
      </c>
      <c r="B11867" t="s">
        <v>35539</v>
      </c>
      <c r="C11867" t="str">
        <f>"8310165"</f>
        <v>8310165</v>
      </c>
      <c r="D11867" t="s">
        <v>35540</v>
      </c>
      <c r="E11867" t="s">
        <v>35541</v>
      </c>
      <c r="F11867" t="s">
        <v>35542</v>
      </c>
      <c r="I11867" t="s">
        <v>184</v>
      </c>
      <c r="J11867" t="s">
        <v>30</v>
      </c>
      <c r="K11867" t="s">
        <v>35543</v>
      </c>
      <c r="M11867" t="s">
        <v>17861</v>
      </c>
      <c r="N11867" t="str">
        <f>"7/30/2018 8:52:00 AM"</f>
        <v>7/30/2018 8:52:00 AM</v>
      </c>
      <c r="O11867" t="s">
        <v>35540</v>
      </c>
      <c r="T11867" t="s">
        <v>35541</v>
      </c>
    </row>
    <row r="11868" spans="1:20" x14ac:dyDescent="0.25">
      <c r="A11868" t="str">
        <f>"3060470"</f>
        <v>3060470</v>
      </c>
      <c r="B11868" t="s">
        <v>35544</v>
      </c>
      <c r="C11868" t="str">
        <f>"8310174"</f>
        <v>8310174</v>
      </c>
      <c r="D11868" t="s">
        <v>35545</v>
      </c>
      <c r="F11868" t="s">
        <v>35546</v>
      </c>
      <c r="I11868" t="s">
        <v>184</v>
      </c>
      <c r="J11868" t="s">
        <v>30</v>
      </c>
      <c r="K11868" t="s">
        <v>9200</v>
      </c>
      <c r="M11868" t="s">
        <v>17861</v>
      </c>
      <c r="N11868" t="str">
        <f>"7/31/2018 12:27:00 PM"</f>
        <v>7/31/2018 12:27:00 PM</v>
      </c>
      <c r="O11868" t="s">
        <v>35545</v>
      </c>
    </row>
    <row r="11869" spans="1:20" x14ac:dyDescent="0.25">
      <c r="A11869" t="str">
        <f>"3050359"</f>
        <v>3050359</v>
      </c>
      <c r="B11869" t="s">
        <v>35547</v>
      </c>
      <c r="C11869" t="str">
        <f>"82531388"</f>
        <v>82531388</v>
      </c>
      <c r="D11869" t="s">
        <v>35548</v>
      </c>
      <c r="E11869" t="s">
        <v>35549</v>
      </c>
      <c r="F11869" t="s">
        <v>35550</v>
      </c>
      <c r="I11869" t="s">
        <v>29</v>
      </c>
      <c r="J11869" t="s">
        <v>30</v>
      </c>
      <c r="K11869" t="s">
        <v>31</v>
      </c>
      <c r="M11869" t="s">
        <v>25733</v>
      </c>
      <c r="N11869" t="str">
        <f>"7/19/2018 10:40:00 AM"</f>
        <v>7/19/2018 10:40:00 AM</v>
      </c>
      <c r="O11869" t="s">
        <v>35548</v>
      </c>
      <c r="T11869" t="s">
        <v>35549</v>
      </c>
    </row>
    <row r="11870" spans="1:20" x14ac:dyDescent="0.25">
      <c r="A11870" t="str">
        <f>"3058377"</f>
        <v>3058377</v>
      </c>
      <c r="B11870" t="s">
        <v>35551</v>
      </c>
      <c r="C11870" t="str">
        <f>"8310189"</f>
        <v>8310189</v>
      </c>
      <c r="D11870" t="s">
        <v>35552</v>
      </c>
      <c r="F11870" t="s">
        <v>35553</v>
      </c>
      <c r="I11870" t="s">
        <v>471</v>
      </c>
      <c r="J11870" t="s">
        <v>30</v>
      </c>
      <c r="K11870" t="str">
        <f>"27103"</f>
        <v>27103</v>
      </c>
      <c r="M11870" t="s">
        <v>17861</v>
      </c>
      <c r="N11870" t="str">
        <f>"8/2/2018 3:52:00 PM"</f>
        <v>8/2/2018 3:52:00 PM</v>
      </c>
      <c r="O11870" t="s">
        <v>35552</v>
      </c>
    </row>
    <row r="11871" spans="1:20" x14ac:dyDescent="0.25">
      <c r="A11871" t="str">
        <f>"3059494"</f>
        <v>3059494</v>
      </c>
      <c r="B11871" t="s">
        <v>35554</v>
      </c>
      <c r="C11871" t="str">
        <f>"8310266"</f>
        <v>8310266</v>
      </c>
      <c r="D11871" t="s">
        <v>35555</v>
      </c>
      <c r="E11871" t="s">
        <v>35556</v>
      </c>
      <c r="F11871" t="s">
        <v>35557</v>
      </c>
      <c r="I11871" t="s">
        <v>29</v>
      </c>
      <c r="J11871" t="s">
        <v>30</v>
      </c>
      <c r="K11871" t="s">
        <v>13405</v>
      </c>
      <c r="M11871" t="s">
        <v>17861</v>
      </c>
      <c r="N11871" t="str">
        <f>"8/22/2018 9:41:00 AM"</f>
        <v>8/22/2018 9:41:00 AM</v>
      </c>
      <c r="O11871" t="s">
        <v>35555</v>
      </c>
      <c r="T11871" t="s">
        <v>35556</v>
      </c>
    </row>
    <row r="11872" spans="1:20" x14ac:dyDescent="0.25">
      <c r="A11872" t="str">
        <f>"3055362"</f>
        <v>3055362</v>
      </c>
      <c r="B11872" t="s">
        <v>35558</v>
      </c>
      <c r="C11872" t="str">
        <f>"8310267"</f>
        <v>8310267</v>
      </c>
      <c r="D11872" t="s">
        <v>35559</v>
      </c>
      <c r="E11872" t="s">
        <v>35560</v>
      </c>
      <c r="F11872" t="s">
        <v>35561</v>
      </c>
      <c r="I11872" t="s">
        <v>29</v>
      </c>
      <c r="J11872" t="s">
        <v>30</v>
      </c>
      <c r="K11872" t="s">
        <v>15511</v>
      </c>
      <c r="M11872" t="s">
        <v>17861</v>
      </c>
      <c r="N11872" t="str">
        <f>"8/22/2018 10:07:00 AM"</f>
        <v>8/22/2018 10:07:00 AM</v>
      </c>
      <c r="O11872" t="s">
        <v>35559</v>
      </c>
      <c r="T11872" t="s">
        <v>35560</v>
      </c>
    </row>
    <row r="11873" spans="1:20" x14ac:dyDescent="0.25">
      <c r="A11873" t="str">
        <f>"3058373"</f>
        <v>3058373</v>
      </c>
      <c r="B11873" t="s">
        <v>35562</v>
      </c>
      <c r="C11873" t="str">
        <f>"8310189"</f>
        <v>8310189</v>
      </c>
      <c r="D11873" t="s">
        <v>35552</v>
      </c>
      <c r="F11873" t="s">
        <v>35553</v>
      </c>
      <c r="I11873" t="s">
        <v>471</v>
      </c>
      <c r="J11873" t="s">
        <v>30</v>
      </c>
      <c r="K11873" t="str">
        <f>"27103"</f>
        <v>27103</v>
      </c>
      <c r="M11873" t="s">
        <v>17861</v>
      </c>
      <c r="N11873" t="str">
        <f>"8/2/2018 3:52:00 PM"</f>
        <v>8/2/2018 3:52:00 PM</v>
      </c>
      <c r="O11873" t="s">
        <v>35552</v>
      </c>
    </row>
    <row r="11874" spans="1:20" x14ac:dyDescent="0.25">
      <c r="A11874" t="str">
        <f>"3057817"</f>
        <v>3057817</v>
      </c>
      <c r="B11874" t="s">
        <v>35563</v>
      </c>
      <c r="C11874" t="str">
        <f>"8310190"</f>
        <v>8310190</v>
      </c>
      <c r="D11874" t="s">
        <v>35564</v>
      </c>
      <c r="E11874" t="s">
        <v>35565</v>
      </c>
      <c r="F11874" t="s">
        <v>35566</v>
      </c>
      <c r="I11874" t="s">
        <v>29</v>
      </c>
      <c r="J11874" t="s">
        <v>30</v>
      </c>
      <c r="K11874" t="str">
        <f>"27028"</f>
        <v>27028</v>
      </c>
      <c r="M11874" t="s">
        <v>17861</v>
      </c>
      <c r="N11874" t="str">
        <f>"8/2/2018 4:07:00 PM"</f>
        <v>8/2/2018 4:07:00 PM</v>
      </c>
      <c r="O11874" t="s">
        <v>35564</v>
      </c>
      <c r="T11874" t="s">
        <v>35565</v>
      </c>
    </row>
    <row r="11875" spans="1:20" x14ac:dyDescent="0.25">
      <c r="A11875" t="str">
        <f>"3054140"</f>
        <v>3054140</v>
      </c>
      <c r="B11875" t="s">
        <v>35567</v>
      </c>
      <c r="C11875" t="str">
        <f>"8310191"</f>
        <v>8310191</v>
      </c>
      <c r="D11875" t="s">
        <v>34786</v>
      </c>
      <c r="E11875" t="s">
        <v>35568</v>
      </c>
      <c r="F11875" t="s">
        <v>34787</v>
      </c>
      <c r="I11875" t="s">
        <v>29</v>
      </c>
      <c r="J11875" t="s">
        <v>30</v>
      </c>
      <c r="K11875" t="s">
        <v>15764</v>
      </c>
      <c r="M11875" t="s">
        <v>17861</v>
      </c>
      <c r="N11875" t="str">
        <f>"8/2/2018 4:11:00 PM"</f>
        <v>8/2/2018 4:11:00 PM</v>
      </c>
      <c r="O11875" t="s">
        <v>34786</v>
      </c>
      <c r="T11875" t="s">
        <v>35568</v>
      </c>
    </row>
    <row r="11876" spans="1:20" x14ac:dyDescent="0.25">
      <c r="A11876" t="str">
        <f>"3043580"</f>
        <v>3043580</v>
      </c>
      <c r="B11876" t="s">
        <v>35569</v>
      </c>
      <c r="C11876" t="str">
        <f>"8310195"</f>
        <v>8310195</v>
      </c>
      <c r="D11876" t="s">
        <v>35570</v>
      </c>
      <c r="E11876" t="s">
        <v>35571</v>
      </c>
      <c r="F11876" t="s">
        <v>35572</v>
      </c>
      <c r="I11876" t="s">
        <v>29</v>
      </c>
      <c r="J11876" t="s">
        <v>30</v>
      </c>
      <c r="K11876" t="s">
        <v>4834</v>
      </c>
      <c r="M11876" t="s">
        <v>17861</v>
      </c>
      <c r="N11876" t="str">
        <f>"8/3/2018 11:16:00 AM"</f>
        <v>8/3/2018 11:16:00 AM</v>
      </c>
      <c r="O11876" t="s">
        <v>35570</v>
      </c>
      <c r="T11876" t="s">
        <v>35571</v>
      </c>
    </row>
    <row r="11877" spans="1:20" x14ac:dyDescent="0.25">
      <c r="A11877" t="str">
        <f>"3040699"</f>
        <v>3040699</v>
      </c>
      <c r="B11877" t="s">
        <v>35573</v>
      </c>
      <c r="C11877" t="str">
        <f>"82532378"</f>
        <v>82532378</v>
      </c>
      <c r="D11877" t="s">
        <v>35574</v>
      </c>
      <c r="E11877" t="s">
        <v>35575</v>
      </c>
      <c r="F11877" t="s">
        <v>35576</v>
      </c>
      <c r="I11877" t="s">
        <v>24359</v>
      </c>
      <c r="J11877" t="s">
        <v>30</v>
      </c>
      <c r="K11877" t="s">
        <v>34983</v>
      </c>
      <c r="M11877" t="s">
        <v>34475</v>
      </c>
      <c r="N11877" t="str">
        <f>"8/23/2018 10:15:00 AM"</f>
        <v>8/23/2018 10:15:00 AM</v>
      </c>
      <c r="O11877" t="s">
        <v>35574</v>
      </c>
      <c r="T11877" t="s">
        <v>35575</v>
      </c>
    </row>
    <row r="11878" spans="1:20" x14ac:dyDescent="0.25">
      <c r="A11878" t="str">
        <f>"3062070"</f>
        <v>3062070</v>
      </c>
      <c r="B11878" t="s">
        <v>35577</v>
      </c>
      <c r="C11878" t="str">
        <f>"82528609"</f>
        <v>82528609</v>
      </c>
      <c r="D11878" t="s">
        <v>35578</v>
      </c>
      <c r="F11878" t="s">
        <v>35579</v>
      </c>
      <c r="I11878" t="s">
        <v>24359</v>
      </c>
      <c r="J11878" t="s">
        <v>30</v>
      </c>
      <c r="K11878" t="s">
        <v>35580</v>
      </c>
      <c r="M11878" t="s">
        <v>34475</v>
      </c>
      <c r="N11878" t="str">
        <f>"8/23/2018 10:29:00 AM"</f>
        <v>8/23/2018 10:29:00 AM</v>
      </c>
      <c r="O11878" t="s">
        <v>35578</v>
      </c>
    </row>
    <row r="11879" spans="1:20" x14ac:dyDescent="0.25">
      <c r="A11879" t="str">
        <f>"3043609"</f>
        <v>3043609</v>
      </c>
      <c r="B11879" t="s">
        <v>35581</v>
      </c>
      <c r="C11879" t="str">
        <f>"82524365"</f>
        <v>82524365</v>
      </c>
      <c r="D11879" t="s">
        <v>35582</v>
      </c>
      <c r="F11879" t="s">
        <v>35583</v>
      </c>
      <c r="I11879" t="s">
        <v>15833</v>
      </c>
      <c r="J11879" t="s">
        <v>1046</v>
      </c>
      <c r="K11879" t="str">
        <f>"30040"</f>
        <v>30040</v>
      </c>
      <c r="M11879" t="s">
        <v>33845</v>
      </c>
      <c r="N11879" t="str">
        <f>"8/23/2018 10:33:00 AM"</f>
        <v>8/23/2018 10:33:00 AM</v>
      </c>
      <c r="O11879" t="s">
        <v>35582</v>
      </c>
    </row>
    <row r="11880" spans="1:20" x14ac:dyDescent="0.25">
      <c r="A11880" t="str">
        <f>"3042875"</f>
        <v>3042875</v>
      </c>
      <c r="B11880" t="s">
        <v>35584</v>
      </c>
      <c r="C11880" t="str">
        <f>"82527139"</f>
        <v>82527139</v>
      </c>
      <c r="D11880" t="s">
        <v>35585</v>
      </c>
      <c r="F11880" t="s">
        <v>35586</v>
      </c>
      <c r="I11880" t="s">
        <v>29</v>
      </c>
      <c r="J11880" t="s">
        <v>30</v>
      </c>
      <c r="K11880" t="s">
        <v>31</v>
      </c>
      <c r="M11880" t="s">
        <v>33845</v>
      </c>
      <c r="N11880" t="str">
        <f>"8/10/2018 11:06:00 AM"</f>
        <v>8/10/2018 11:06:00 AM</v>
      </c>
      <c r="O11880" t="s">
        <v>35585</v>
      </c>
    </row>
    <row r="11881" spans="1:20" x14ac:dyDescent="0.25">
      <c r="A11881" t="str">
        <f>"3040697"</f>
        <v>3040697</v>
      </c>
      <c r="B11881" t="s">
        <v>35587</v>
      </c>
      <c r="C11881" t="str">
        <f>"8307459"</f>
        <v>8307459</v>
      </c>
      <c r="D11881" t="s">
        <v>35588</v>
      </c>
      <c r="E11881" t="s">
        <v>35589</v>
      </c>
      <c r="F11881" t="s">
        <v>35590</v>
      </c>
      <c r="I11881" t="s">
        <v>24359</v>
      </c>
      <c r="J11881" t="s">
        <v>30</v>
      </c>
      <c r="K11881" t="str">
        <f>"27006"</f>
        <v>27006</v>
      </c>
      <c r="M11881" t="s">
        <v>33845</v>
      </c>
      <c r="N11881" t="str">
        <f>"8/23/2018 10:48:00 AM"</f>
        <v>8/23/2018 10:48:00 AM</v>
      </c>
      <c r="O11881" t="s">
        <v>35588</v>
      </c>
      <c r="T11881" t="s">
        <v>35589</v>
      </c>
    </row>
    <row r="11882" spans="1:20" x14ac:dyDescent="0.25">
      <c r="A11882" t="str">
        <f>"3050324"</f>
        <v>3050324</v>
      </c>
      <c r="B11882" t="s">
        <v>35591</v>
      </c>
      <c r="C11882" t="str">
        <f>"82516015"</f>
        <v>82516015</v>
      </c>
      <c r="D11882" t="s">
        <v>35592</v>
      </c>
      <c r="F11882" t="s">
        <v>35593</v>
      </c>
      <c r="I11882" t="s">
        <v>184</v>
      </c>
      <c r="J11882" t="s">
        <v>30</v>
      </c>
      <c r="K11882" t="s">
        <v>185</v>
      </c>
      <c r="M11882" t="s">
        <v>34475</v>
      </c>
      <c r="N11882" t="str">
        <f>"8/10/2018 11:55:00 AM"</f>
        <v>8/10/2018 11:55:00 AM</v>
      </c>
      <c r="O11882" t="s">
        <v>35592</v>
      </c>
    </row>
    <row r="11883" spans="1:20" x14ac:dyDescent="0.25">
      <c r="A11883" t="str">
        <f>"3057879"</f>
        <v>3057879</v>
      </c>
      <c r="B11883" t="s">
        <v>35594</v>
      </c>
      <c r="C11883" t="str">
        <f>"8310232"</f>
        <v>8310232</v>
      </c>
      <c r="D11883" t="s">
        <v>35595</v>
      </c>
      <c r="E11883" t="s">
        <v>35596</v>
      </c>
      <c r="F11883" t="s">
        <v>35597</v>
      </c>
      <c r="I11883" t="s">
        <v>184</v>
      </c>
      <c r="J11883" t="s">
        <v>30</v>
      </c>
      <c r="K11883" t="s">
        <v>27335</v>
      </c>
      <c r="M11883" t="s">
        <v>17861</v>
      </c>
      <c r="N11883" t="str">
        <f>"8/13/2018 1:37:00 PM"</f>
        <v>8/13/2018 1:37:00 PM</v>
      </c>
      <c r="O11883" t="s">
        <v>35595</v>
      </c>
      <c r="T11883" t="s">
        <v>35596</v>
      </c>
    </row>
    <row r="11884" spans="1:20" x14ac:dyDescent="0.25">
      <c r="A11884" t="str">
        <f>"3048628"</f>
        <v>3048628</v>
      </c>
      <c r="B11884" t="s">
        <v>35598</v>
      </c>
      <c r="C11884" t="str">
        <f>"8310234"</f>
        <v>8310234</v>
      </c>
      <c r="D11884" t="s">
        <v>35599</v>
      </c>
      <c r="E11884" t="s">
        <v>35600</v>
      </c>
      <c r="F11884" t="s">
        <v>35601</v>
      </c>
      <c r="I11884" t="s">
        <v>29</v>
      </c>
      <c r="J11884" t="s">
        <v>30</v>
      </c>
      <c r="K11884" t="s">
        <v>35602</v>
      </c>
      <c r="M11884" t="s">
        <v>17861</v>
      </c>
      <c r="N11884" t="str">
        <f>"8/13/2018 3:09:00 PM"</f>
        <v>8/13/2018 3:09:00 PM</v>
      </c>
      <c r="O11884" t="s">
        <v>35599</v>
      </c>
      <c r="T11884" t="s">
        <v>35600</v>
      </c>
    </row>
    <row r="11885" spans="1:20" x14ac:dyDescent="0.25">
      <c r="A11885" t="str">
        <f>"3039512"</f>
        <v>3039512</v>
      </c>
      <c r="B11885" t="s">
        <v>35603</v>
      </c>
      <c r="C11885" t="str">
        <f>"8310273"</f>
        <v>8310273</v>
      </c>
      <c r="D11885" t="s">
        <v>35604</v>
      </c>
      <c r="F11885" t="s">
        <v>23553</v>
      </c>
      <c r="I11885" t="s">
        <v>184</v>
      </c>
      <c r="J11885" t="s">
        <v>30</v>
      </c>
      <c r="K11885" t="s">
        <v>35605</v>
      </c>
      <c r="M11885" t="s">
        <v>17861</v>
      </c>
      <c r="N11885" t="str">
        <f>"8/24/2018 1:10:00 PM"</f>
        <v>8/24/2018 1:10:00 PM</v>
      </c>
      <c r="O11885" t="s">
        <v>35604</v>
      </c>
    </row>
    <row r="11886" spans="1:20" x14ac:dyDescent="0.25">
      <c r="A11886" t="str">
        <f>"3039621"</f>
        <v>3039621</v>
      </c>
      <c r="B11886" t="s">
        <v>35606</v>
      </c>
      <c r="C11886" t="str">
        <f>"8310273"</f>
        <v>8310273</v>
      </c>
      <c r="D11886" t="s">
        <v>35604</v>
      </c>
      <c r="F11886" t="s">
        <v>23553</v>
      </c>
      <c r="I11886" t="s">
        <v>184</v>
      </c>
      <c r="J11886" t="s">
        <v>30</v>
      </c>
      <c r="K11886" t="s">
        <v>35605</v>
      </c>
      <c r="M11886" t="s">
        <v>17861</v>
      </c>
      <c r="N11886" t="str">
        <f>"8/24/2018 1:10:00 PM"</f>
        <v>8/24/2018 1:10:00 PM</v>
      </c>
      <c r="O11886" t="s">
        <v>35604</v>
      </c>
    </row>
    <row r="11887" spans="1:20" x14ac:dyDescent="0.25">
      <c r="A11887" t="str">
        <f>"3037645"</f>
        <v>3037645</v>
      </c>
      <c r="B11887" t="s">
        <v>35607</v>
      </c>
      <c r="C11887" t="str">
        <f>"8310274"</f>
        <v>8310274</v>
      </c>
      <c r="D11887" t="s">
        <v>35608</v>
      </c>
      <c r="F11887" t="s">
        <v>35609</v>
      </c>
      <c r="I11887" t="s">
        <v>29</v>
      </c>
      <c r="J11887" t="s">
        <v>30</v>
      </c>
      <c r="K11887" t="s">
        <v>1056</v>
      </c>
      <c r="M11887" t="s">
        <v>17861</v>
      </c>
      <c r="N11887" t="str">
        <f>"8/24/2018 1:31:00 PM"</f>
        <v>8/24/2018 1:31:00 PM</v>
      </c>
      <c r="O11887" t="s">
        <v>35608</v>
      </c>
    </row>
    <row r="11888" spans="1:20" x14ac:dyDescent="0.25">
      <c r="A11888" t="str">
        <f>"3063780"</f>
        <v>3063780</v>
      </c>
      <c r="B11888" t="s">
        <v>35610</v>
      </c>
      <c r="C11888" t="str">
        <f>"8310175"</f>
        <v>8310175</v>
      </c>
      <c r="D11888" t="s">
        <v>35611</v>
      </c>
      <c r="E11888" t="s">
        <v>35612</v>
      </c>
      <c r="F11888" t="s">
        <v>35613</v>
      </c>
      <c r="I11888" t="s">
        <v>29</v>
      </c>
      <c r="J11888" t="s">
        <v>30</v>
      </c>
      <c r="K11888" t="s">
        <v>6895</v>
      </c>
      <c r="M11888" t="s">
        <v>17861</v>
      </c>
      <c r="N11888" t="str">
        <f>"7/31/2018 12:51:00 PM"</f>
        <v>7/31/2018 12:51:00 PM</v>
      </c>
      <c r="O11888" t="s">
        <v>35611</v>
      </c>
      <c r="T11888" t="s">
        <v>35612</v>
      </c>
    </row>
    <row r="11889" spans="1:20" x14ac:dyDescent="0.25">
      <c r="A11889" t="str">
        <f>"3044808"</f>
        <v>3044808</v>
      </c>
      <c r="B11889" t="s">
        <v>35614</v>
      </c>
      <c r="C11889" t="str">
        <f>"8310276"</f>
        <v>8310276</v>
      </c>
      <c r="D11889" t="s">
        <v>35615</v>
      </c>
      <c r="E11889" t="s">
        <v>35616</v>
      </c>
      <c r="F11889" t="s">
        <v>35617</v>
      </c>
      <c r="I11889" t="s">
        <v>184</v>
      </c>
      <c r="J11889" t="s">
        <v>30</v>
      </c>
      <c r="K11889" t="s">
        <v>6149</v>
      </c>
      <c r="M11889" t="s">
        <v>17861</v>
      </c>
      <c r="N11889" t="str">
        <f>"8/24/2018 3:40:00 PM"</f>
        <v>8/24/2018 3:40:00 PM</v>
      </c>
      <c r="O11889" t="s">
        <v>35615</v>
      </c>
      <c r="T11889" t="s">
        <v>35616</v>
      </c>
    </row>
    <row r="11890" spans="1:20" x14ac:dyDescent="0.25">
      <c r="A11890" t="str">
        <f>"3040391"</f>
        <v>3040391</v>
      </c>
      <c r="B11890" t="s">
        <v>35618</v>
      </c>
      <c r="C11890" t="str">
        <f>"8310277"</f>
        <v>8310277</v>
      </c>
      <c r="D11890" t="s">
        <v>35619</v>
      </c>
      <c r="E11890" t="s">
        <v>35620</v>
      </c>
      <c r="F11890" t="s">
        <v>35621</v>
      </c>
      <c r="I11890" t="s">
        <v>184</v>
      </c>
      <c r="J11890" t="s">
        <v>30</v>
      </c>
      <c r="K11890" t="s">
        <v>32978</v>
      </c>
      <c r="M11890" t="s">
        <v>17861</v>
      </c>
      <c r="N11890" t="str">
        <f>"8/24/2018 3:59:00 PM"</f>
        <v>8/24/2018 3:59:00 PM</v>
      </c>
      <c r="O11890" t="s">
        <v>35619</v>
      </c>
      <c r="T11890" t="s">
        <v>35620</v>
      </c>
    </row>
    <row r="11891" spans="1:20" x14ac:dyDescent="0.25">
      <c r="A11891" t="str">
        <f>"3039727"</f>
        <v>3039727</v>
      </c>
      <c r="B11891" t="s">
        <v>35622</v>
      </c>
      <c r="C11891" t="str">
        <f>"8310278"</f>
        <v>8310278</v>
      </c>
      <c r="D11891" t="s">
        <v>35619</v>
      </c>
      <c r="F11891" t="s">
        <v>35621</v>
      </c>
      <c r="I11891" t="s">
        <v>184</v>
      </c>
      <c r="J11891" t="s">
        <v>30</v>
      </c>
      <c r="K11891" t="s">
        <v>32978</v>
      </c>
      <c r="M11891" t="s">
        <v>17861</v>
      </c>
      <c r="N11891" t="str">
        <f>"8/24/2018 4:02:00 PM"</f>
        <v>8/24/2018 4:02:00 PM</v>
      </c>
      <c r="O11891" t="s">
        <v>35619</v>
      </c>
    </row>
    <row r="11892" spans="1:20" x14ac:dyDescent="0.25">
      <c r="A11892" t="str">
        <f>"3052701"</f>
        <v>3052701</v>
      </c>
      <c r="B11892" t="s">
        <v>35623</v>
      </c>
      <c r="C11892" t="str">
        <f>"8305872"</f>
        <v>8305872</v>
      </c>
      <c r="D11892" t="s">
        <v>35624</v>
      </c>
      <c r="E11892" t="s">
        <v>35625</v>
      </c>
      <c r="F11892" t="s">
        <v>35626</v>
      </c>
      <c r="I11892" t="s">
        <v>29</v>
      </c>
      <c r="J11892" t="s">
        <v>30</v>
      </c>
      <c r="K11892" t="str">
        <f>"27028"</f>
        <v>27028</v>
      </c>
      <c r="M11892" t="s">
        <v>17922</v>
      </c>
      <c r="N11892" t="str">
        <f>"8/27/2018 9:07:00 AM"</f>
        <v>8/27/2018 9:07:00 AM</v>
      </c>
      <c r="O11892" t="s">
        <v>35624</v>
      </c>
      <c r="T11892" t="s">
        <v>35625</v>
      </c>
    </row>
    <row r="11893" spans="1:20" x14ac:dyDescent="0.25">
      <c r="A11893" t="str">
        <f>"3044646"</f>
        <v>3044646</v>
      </c>
      <c r="B11893" t="s">
        <v>35627</v>
      </c>
      <c r="C11893" t="str">
        <f>"8310180"</f>
        <v>8310180</v>
      </c>
      <c r="D11893" t="s">
        <v>35628</v>
      </c>
      <c r="E11893" t="s">
        <v>35629</v>
      </c>
      <c r="F11893" t="s">
        <v>35630</v>
      </c>
      <c r="I11893" t="s">
        <v>184</v>
      </c>
      <c r="J11893" t="s">
        <v>30</v>
      </c>
      <c r="K11893" t="s">
        <v>5929</v>
      </c>
      <c r="M11893" t="s">
        <v>17861</v>
      </c>
      <c r="N11893" t="str">
        <f>"7/31/2018 1:20:00 PM"</f>
        <v>7/31/2018 1:20:00 PM</v>
      </c>
      <c r="O11893" t="s">
        <v>35628</v>
      </c>
      <c r="T11893" t="s">
        <v>35629</v>
      </c>
    </row>
    <row r="11894" spans="1:20" x14ac:dyDescent="0.25">
      <c r="A11894" t="str">
        <f>"3060148"</f>
        <v>3060148</v>
      </c>
      <c r="B11894" t="s">
        <v>35631</v>
      </c>
      <c r="C11894" t="str">
        <f>"8310183"</f>
        <v>8310183</v>
      </c>
      <c r="D11894" t="s">
        <v>35632</v>
      </c>
      <c r="E11894" t="s">
        <v>35633</v>
      </c>
      <c r="F11894" t="s">
        <v>35634</v>
      </c>
      <c r="I11894" t="s">
        <v>184</v>
      </c>
      <c r="J11894" t="s">
        <v>30</v>
      </c>
      <c r="K11894" t="s">
        <v>35635</v>
      </c>
      <c r="M11894" t="s">
        <v>17861</v>
      </c>
      <c r="N11894" t="str">
        <f>"8/2/2018 2:46:00 PM"</f>
        <v>8/2/2018 2:46:00 PM</v>
      </c>
      <c r="O11894" t="s">
        <v>35632</v>
      </c>
      <c r="T11894" t="s">
        <v>35633</v>
      </c>
    </row>
    <row r="11895" spans="1:20" x14ac:dyDescent="0.25">
      <c r="A11895" t="str">
        <f>"3051431"</f>
        <v>3051431</v>
      </c>
      <c r="B11895" t="s">
        <v>35636</v>
      </c>
      <c r="C11895" t="str">
        <f>"8310185"</f>
        <v>8310185</v>
      </c>
      <c r="D11895" t="s">
        <v>35637</v>
      </c>
      <c r="E11895" t="s">
        <v>35638</v>
      </c>
      <c r="F11895" t="s">
        <v>35639</v>
      </c>
      <c r="I11895" t="s">
        <v>29</v>
      </c>
      <c r="J11895" t="s">
        <v>30</v>
      </c>
      <c r="K11895" t="s">
        <v>35640</v>
      </c>
      <c r="M11895" t="s">
        <v>17861</v>
      </c>
      <c r="N11895" t="str">
        <f>"8/2/2018 2:51:00 PM"</f>
        <v>8/2/2018 2:51:00 PM</v>
      </c>
      <c r="O11895" t="s">
        <v>35637</v>
      </c>
      <c r="T11895" t="s">
        <v>35638</v>
      </c>
    </row>
    <row r="11896" spans="1:20" x14ac:dyDescent="0.25">
      <c r="A11896" t="str">
        <f>"3051781"</f>
        <v>3051781</v>
      </c>
      <c r="B11896" t="s">
        <v>35641</v>
      </c>
      <c r="C11896" t="str">
        <f>"8308775"</f>
        <v>8308775</v>
      </c>
      <c r="D11896" t="s">
        <v>35642</v>
      </c>
      <c r="F11896" t="s">
        <v>35643</v>
      </c>
      <c r="I11896" t="s">
        <v>17921</v>
      </c>
      <c r="J11896" t="s">
        <v>30</v>
      </c>
      <c r="K11896" t="str">
        <f>"27028"</f>
        <v>27028</v>
      </c>
      <c r="M11896" t="s">
        <v>32801</v>
      </c>
      <c r="N11896" t="str">
        <f>"8/22/2018 10:14:00 AM"</f>
        <v>8/22/2018 10:14:00 AM</v>
      </c>
      <c r="O11896" t="s">
        <v>35642</v>
      </c>
    </row>
    <row r="11897" spans="1:20" x14ac:dyDescent="0.25">
      <c r="A11897" t="str">
        <f>"3057549"</f>
        <v>3057549</v>
      </c>
      <c r="B11897" t="s">
        <v>35644</v>
      </c>
      <c r="C11897" t="str">
        <f>"8310268"</f>
        <v>8310268</v>
      </c>
      <c r="D11897" t="s">
        <v>35645</v>
      </c>
      <c r="E11897" t="s">
        <v>35646</v>
      </c>
      <c r="F11897" t="s">
        <v>35647</v>
      </c>
      <c r="I11897" t="s">
        <v>29</v>
      </c>
      <c r="J11897" t="s">
        <v>30</v>
      </c>
      <c r="K11897" t="s">
        <v>11873</v>
      </c>
      <c r="M11897" t="s">
        <v>17861</v>
      </c>
      <c r="N11897" t="str">
        <f>"8/22/2018 10:18:00 AM"</f>
        <v>8/22/2018 10:18:00 AM</v>
      </c>
      <c r="O11897" t="s">
        <v>35645</v>
      </c>
      <c r="T11897" t="s">
        <v>35646</v>
      </c>
    </row>
    <row r="11898" spans="1:20" x14ac:dyDescent="0.25">
      <c r="A11898" t="str">
        <f>"3050834"</f>
        <v>3050834</v>
      </c>
      <c r="B11898" t="s">
        <v>35648</v>
      </c>
      <c r="C11898" t="str">
        <f>"8310269"</f>
        <v>8310269</v>
      </c>
      <c r="D11898" t="s">
        <v>35649</v>
      </c>
      <c r="E11898" t="s">
        <v>35650</v>
      </c>
      <c r="F11898" t="s">
        <v>35651</v>
      </c>
      <c r="I11898" t="s">
        <v>184</v>
      </c>
      <c r="J11898" t="s">
        <v>30</v>
      </c>
      <c r="K11898" t="s">
        <v>35652</v>
      </c>
      <c r="M11898" t="s">
        <v>17861</v>
      </c>
      <c r="N11898" t="str">
        <f>"8/22/2018 10:59:00 AM"</f>
        <v>8/22/2018 10:59:00 AM</v>
      </c>
      <c r="O11898" t="s">
        <v>35649</v>
      </c>
      <c r="T11898" t="s">
        <v>35650</v>
      </c>
    </row>
    <row r="11899" spans="1:20" x14ac:dyDescent="0.25">
      <c r="A11899" t="str">
        <f>"3051881"</f>
        <v>3051881</v>
      </c>
      <c r="B11899" t="s">
        <v>35653</v>
      </c>
      <c r="C11899" t="str">
        <f>"8307514"</f>
        <v>8307514</v>
      </c>
      <c r="D11899" t="s">
        <v>35654</v>
      </c>
      <c r="E11899" t="s">
        <v>35655</v>
      </c>
      <c r="F11899" t="s">
        <v>35656</v>
      </c>
      <c r="I11899" t="s">
        <v>17921</v>
      </c>
      <c r="J11899" t="s">
        <v>30</v>
      </c>
      <c r="K11899" t="str">
        <f>"27028"</f>
        <v>27028</v>
      </c>
      <c r="M11899" t="s">
        <v>34475</v>
      </c>
      <c r="N11899" t="str">
        <f>"8/23/2018 10:12:00 AM"</f>
        <v>8/23/2018 10:12:00 AM</v>
      </c>
      <c r="O11899" t="s">
        <v>35654</v>
      </c>
      <c r="T11899" t="s">
        <v>35655</v>
      </c>
    </row>
    <row r="11900" spans="1:20" x14ac:dyDescent="0.25">
      <c r="A11900" t="str">
        <f>"3039586"</f>
        <v>3039586</v>
      </c>
      <c r="B11900" t="s">
        <v>35657</v>
      </c>
      <c r="C11900" t="str">
        <f>"8307912"</f>
        <v>8307912</v>
      </c>
      <c r="D11900" t="s">
        <v>35658</v>
      </c>
      <c r="E11900" t="s">
        <v>35659</v>
      </c>
      <c r="F11900" t="s">
        <v>35660</v>
      </c>
      <c r="I11900" t="s">
        <v>24359</v>
      </c>
      <c r="J11900" t="s">
        <v>30</v>
      </c>
      <c r="K11900" t="s">
        <v>1676</v>
      </c>
      <c r="M11900" t="s">
        <v>34475</v>
      </c>
      <c r="N11900" t="str">
        <f>"8/23/2018 10:40:00 AM"</f>
        <v>8/23/2018 10:40:00 AM</v>
      </c>
      <c r="O11900" t="s">
        <v>35658</v>
      </c>
      <c r="T11900" t="s">
        <v>35659</v>
      </c>
    </row>
    <row r="11901" spans="1:20" x14ac:dyDescent="0.25">
      <c r="A11901" t="str">
        <f>"3058782"</f>
        <v>3058782</v>
      </c>
      <c r="B11901" t="s">
        <v>35661</v>
      </c>
      <c r="C11901" t="str">
        <f>"49732000"</f>
        <v>49732000</v>
      </c>
      <c r="D11901" t="s">
        <v>35662</v>
      </c>
      <c r="E11901" t="s">
        <v>35663</v>
      </c>
      <c r="F11901" t="s">
        <v>35664</v>
      </c>
      <c r="I11901" t="s">
        <v>29</v>
      </c>
      <c r="J11901" t="s">
        <v>30</v>
      </c>
      <c r="K11901" t="s">
        <v>31</v>
      </c>
      <c r="M11901" t="s">
        <v>33432</v>
      </c>
      <c r="N11901" t="str">
        <f>"8/24/2018 10:24:00 AM"</f>
        <v>8/24/2018 10:24:00 AM</v>
      </c>
      <c r="O11901" t="s">
        <v>35662</v>
      </c>
      <c r="T11901" t="s">
        <v>35663</v>
      </c>
    </row>
    <row r="11902" spans="1:20" x14ac:dyDescent="0.25">
      <c r="A11902" t="str">
        <f>"3050923"</f>
        <v>3050923</v>
      </c>
      <c r="B11902" t="s">
        <v>35665</v>
      </c>
      <c r="C11902" t="str">
        <f>"8307165"</f>
        <v>8307165</v>
      </c>
      <c r="D11902" t="s">
        <v>35666</v>
      </c>
      <c r="E11902" t="s">
        <v>35667</v>
      </c>
      <c r="F11902" t="s">
        <v>35668</v>
      </c>
      <c r="I11902" t="s">
        <v>184</v>
      </c>
      <c r="J11902" t="s">
        <v>30</v>
      </c>
      <c r="K11902" t="str">
        <f>"27006"</f>
        <v>27006</v>
      </c>
      <c r="M11902" t="s">
        <v>34475</v>
      </c>
      <c r="N11902" t="str">
        <f>"8/24/2018 12:30:00 PM"</f>
        <v>8/24/2018 12:30:00 PM</v>
      </c>
      <c r="O11902" t="s">
        <v>35666</v>
      </c>
      <c r="T11902" t="s">
        <v>35667</v>
      </c>
    </row>
    <row r="11903" spans="1:20" x14ac:dyDescent="0.25">
      <c r="A11903" t="str">
        <f>"3050623"</f>
        <v>3050623</v>
      </c>
      <c r="B11903" t="s">
        <v>35669</v>
      </c>
      <c r="C11903" t="str">
        <f>"82525112"</f>
        <v>82525112</v>
      </c>
      <c r="D11903" t="s">
        <v>35670</v>
      </c>
      <c r="F11903" t="s">
        <v>35668</v>
      </c>
      <c r="I11903" t="s">
        <v>184</v>
      </c>
      <c r="J11903" t="s">
        <v>30</v>
      </c>
      <c r="K11903" t="str">
        <f>"27006"</f>
        <v>27006</v>
      </c>
      <c r="M11903" t="s">
        <v>34475</v>
      </c>
      <c r="N11903" t="str">
        <f>"8/24/2018 12:30:00 PM"</f>
        <v>8/24/2018 12:30:00 PM</v>
      </c>
      <c r="O11903" t="s">
        <v>35670</v>
      </c>
      <c r="T11903" t="s">
        <v>35670</v>
      </c>
    </row>
    <row r="11904" spans="1:20" x14ac:dyDescent="0.25">
      <c r="A11904" t="str">
        <f>"3038700"</f>
        <v>3038700</v>
      </c>
      <c r="B11904" t="s">
        <v>35671</v>
      </c>
      <c r="C11904" t="str">
        <f>"8310275"</f>
        <v>8310275</v>
      </c>
      <c r="D11904" t="s">
        <v>35672</v>
      </c>
      <c r="E11904" t="s">
        <v>35673</v>
      </c>
      <c r="F11904" t="s">
        <v>35674</v>
      </c>
      <c r="I11904" t="s">
        <v>29</v>
      </c>
      <c r="J11904" t="s">
        <v>30</v>
      </c>
      <c r="K11904" t="s">
        <v>35675</v>
      </c>
      <c r="M11904" t="s">
        <v>17861</v>
      </c>
      <c r="N11904" t="str">
        <f>"8/24/2018 3:35:00 PM"</f>
        <v>8/24/2018 3:35:00 PM</v>
      </c>
      <c r="O11904" t="s">
        <v>35672</v>
      </c>
      <c r="T11904" t="s">
        <v>35673</v>
      </c>
    </row>
    <row r="11905" spans="1:20" x14ac:dyDescent="0.25">
      <c r="A11905" t="str">
        <f>"3055358"</f>
        <v>3055358</v>
      </c>
      <c r="B11905" t="s">
        <v>35676</v>
      </c>
      <c r="C11905" t="str">
        <f>"8310248"</f>
        <v>8310248</v>
      </c>
      <c r="D11905" t="s">
        <v>35677</v>
      </c>
      <c r="F11905" t="s">
        <v>35678</v>
      </c>
      <c r="I11905" t="s">
        <v>29</v>
      </c>
      <c r="J11905" t="s">
        <v>30</v>
      </c>
      <c r="K11905" t="s">
        <v>35679</v>
      </c>
      <c r="M11905" t="s">
        <v>17861</v>
      </c>
      <c r="N11905" t="str">
        <f>"8/15/2018 9:28:00 AM"</f>
        <v>8/15/2018 9:28:00 AM</v>
      </c>
      <c r="O11905" t="s">
        <v>35677</v>
      </c>
    </row>
    <row r="11906" spans="1:20" x14ac:dyDescent="0.25">
      <c r="A11906" t="str">
        <f>"3046596"</f>
        <v>3046596</v>
      </c>
      <c r="B11906" t="s">
        <v>35680</v>
      </c>
      <c r="C11906" t="str">
        <f>"8310249"</f>
        <v>8310249</v>
      </c>
      <c r="D11906" t="s">
        <v>35681</v>
      </c>
      <c r="F11906" t="s">
        <v>35682</v>
      </c>
      <c r="I11906" t="s">
        <v>29</v>
      </c>
      <c r="J11906" t="s">
        <v>30</v>
      </c>
      <c r="K11906" t="s">
        <v>35683</v>
      </c>
      <c r="M11906" t="s">
        <v>17861</v>
      </c>
      <c r="N11906" t="str">
        <f>"8/15/2018 10:12:00 AM"</f>
        <v>8/15/2018 10:12:00 AM</v>
      </c>
      <c r="O11906" t="s">
        <v>35681</v>
      </c>
    </row>
    <row r="11907" spans="1:20" x14ac:dyDescent="0.25">
      <c r="A11907" t="str">
        <f>"3039699"</f>
        <v>3039699</v>
      </c>
      <c r="B11907" t="s">
        <v>35684</v>
      </c>
      <c r="C11907" t="str">
        <f>"8310251"</f>
        <v>8310251</v>
      </c>
      <c r="D11907" t="s">
        <v>35685</v>
      </c>
      <c r="F11907" t="s">
        <v>35686</v>
      </c>
      <c r="I11907" t="s">
        <v>29</v>
      </c>
      <c r="J11907" t="s">
        <v>30</v>
      </c>
      <c r="K11907" t="s">
        <v>35687</v>
      </c>
      <c r="M11907" t="s">
        <v>17861</v>
      </c>
      <c r="N11907" t="str">
        <f>"8/15/2018 10:33:00 AM"</f>
        <v>8/15/2018 10:33:00 AM</v>
      </c>
      <c r="O11907" t="s">
        <v>35685</v>
      </c>
    </row>
    <row r="11908" spans="1:20" x14ac:dyDescent="0.25">
      <c r="A11908" t="str">
        <f>"3039325"</f>
        <v>3039325</v>
      </c>
      <c r="B11908" t="s">
        <v>35688</v>
      </c>
      <c r="C11908" t="str">
        <f>"8310251"</f>
        <v>8310251</v>
      </c>
      <c r="D11908" t="s">
        <v>35685</v>
      </c>
      <c r="F11908" t="s">
        <v>35686</v>
      </c>
      <c r="I11908" t="s">
        <v>29</v>
      </c>
      <c r="J11908" t="s">
        <v>30</v>
      </c>
      <c r="K11908" t="s">
        <v>35687</v>
      </c>
      <c r="M11908" t="s">
        <v>17861</v>
      </c>
      <c r="N11908" t="str">
        <f>"8/15/2018 10:33:00 AM"</f>
        <v>8/15/2018 10:33:00 AM</v>
      </c>
      <c r="O11908" t="s">
        <v>35685</v>
      </c>
    </row>
    <row r="11909" spans="1:20" x14ac:dyDescent="0.25">
      <c r="A11909" t="str">
        <f>"3048640"</f>
        <v>3048640</v>
      </c>
      <c r="B11909" t="s">
        <v>35689</v>
      </c>
      <c r="C11909" t="str">
        <f>"8310252"</f>
        <v>8310252</v>
      </c>
      <c r="D11909" t="s">
        <v>35690</v>
      </c>
      <c r="E11909" t="s">
        <v>35691</v>
      </c>
      <c r="F11909" t="s">
        <v>35692</v>
      </c>
      <c r="I11909" t="s">
        <v>29</v>
      </c>
      <c r="J11909" t="s">
        <v>30</v>
      </c>
      <c r="K11909" t="s">
        <v>9936</v>
      </c>
      <c r="M11909" t="s">
        <v>17861</v>
      </c>
      <c r="N11909" t="str">
        <f>"8/15/2018 11:04:00 AM"</f>
        <v>8/15/2018 11:04:00 AM</v>
      </c>
      <c r="O11909" t="s">
        <v>35690</v>
      </c>
      <c r="T11909" t="s">
        <v>35691</v>
      </c>
    </row>
    <row r="11910" spans="1:20" x14ac:dyDescent="0.25">
      <c r="A11910" t="str">
        <f>"3041629"</f>
        <v>3041629</v>
      </c>
      <c r="B11910" t="s">
        <v>35693</v>
      </c>
      <c r="C11910" t="str">
        <f>"8310253"</f>
        <v>8310253</v>
      </c>
      <c r="D11910" t="s">
        <v>35694</v>
      </c>
      <c r="E11910" t="s">
        <v>35695</v>
      </c>
      <c r="F11910" t="s">
        <v>35696</v>
      </c>
      <c r="I11910" t="s">
        <v>2071</v>
      </c>
      <c r="J11910" t="s">
        <v>30</v>
      </c>
      <c r="K11910" t="s">
        <v>3641</v>
      </c>
      <c r="M11910" t="s">
        <v>17861</v>
      </c>
      <c r="N11910" t="str">
        <f>"8/15/2018 11:09:00 AM"</f>
        <v>8/15/2018 11:09:00 AM</v>
      </c>
      <c r="O11910" t="s">
        <v>35694</v>
      </c>
      <c r="T11910" t="s">
        <v>35695</v>
      </c>
    </row>
    <row r="11911" spans="1:20" x14ac:dyDescent="0.25">
      <c r="A11911" t="str">
        <f>"3040561"</f>
        <v>3040561</v>
      </c>
      <c r="B11911" t="s">
        <v>35697</v>
      </c>
      <c r="C11911" t="str">
        <f>"8310256"</f>
        <v>8310256</v>
      </c>
      <c r="D11911" t="s">
        <v>35698</v>
      </c>
      <c r="E11911" t="s">
        <v>35699</v>
      </c>
      <c r="F11911" t="s">
        <v>35700</v>
      </c>
      <c r="I11911" t="s">
        <v>184</v>
      </c>
      <c r="J11911" t="s">
        <v>30</v>
      </c>
      <c r="K11911" t="s">
        <v>33114</v>
      </c>
      <c r="M11911" t="s">
        <v>17861</v>
      </c>
      <c r="N11911" t="str">
        <f>"8/15/2018 1:48:00 PM"</f>
        <v>8/15/2018 1:48:00 PM</v>
      </c>
      <c r="O11911" t="s">
        <v>35698</v>
      </c>
      <c r="T11911" t="s">
        <v>35699</v>
      </c>
    </row>
    <row r="11912" spans="1:20" x14ac:dyDescent="0.25">
      <c r="A11912" t="str">
        <f>"3050785"</f>
        <v>3050785</v>
      </c>
      <c r="B11912" t="s">
        <v>35701</v>
      </c>
      <c r="C11912" t="str">
        <f>"8310257"</f>
        <v>8310257</v>
      </c>
      <c r="D11912" t="s">
        <v>35702</v>
      </c>
      <c r="E11912" t="s">
        <v>35703</v>
      </c>
      <c r="F11912" t="s">
        <v>35704</v>
      </c>
      <c r="I11912" t="s">
        <v>184</v>
      </c>
      <c r="J11912" t="s">
        <v>30</v>
      </c>
      <c r="K11912" t="s">
        <v>3201</v>
      </c>
      <c r="M11912" t="s">
        <v>17861</v>
      </c>
      <c r="N11912" t="str">
        <f>"8/15/2018 1:53:00 PM"</f>
        <v>8/15/2018 1:53:00 PM</v>
      </c>
      <c r="O11912" t="s">
        <v>35702</v>
      </c>
      <c r="T11912" t="s">
        <v>35703</v>
      </c>
    </row>
    <row r="11913" spans="1:20" x14ac:dyDescent="0.25">
      <c r="A11913" t="str">
        <f>"3052733"</f>
        <v>3052733</v>
      </c>
      <c r="B11913" t="s">
        <v>35705</v>
      </c>
      <c r="C11913" t="str">
        <f>"82529992"</f>
        <v>82529992</v>
      </c>
      <c r="D11913" t="s">
        <v>35706</v>
      </c>
      <c r="F11913" t="s">
        <v>35707</v>
      </c>
      <c r="I11913" t="s">
        <v>29</v>
      </c>
      <c r="J11913" t="s">
        <v>30</v>
      </c>
      <c r="K11913" t="s">
        <v>31</v>
      </c>
      <c r="M11913" t="s">
        <v>32801</v>
      </c>
      <c r="N11913" t="str">
        <f>"8/16/2018 12:57:00 PM"</f>
        <v>8/16/2018 12:57:00 PM</v>
      </c>
      <c r="O11913" t="s">
        <v>35706</v>
      </c>
    </row>
    <row r="11914" spans="1:20" x14ac:dyDescent="0.25">
      <c r="A11914" t="str">
        <f>"3076846"</f>
        <v>3076846</v>
      </c>
      <c r="B11914" t="s">
        <v>35708</v>
      </c>
      <c r="C11914" t="str">
        <f>"8310259"</f>
        <v>8310259</v>
      </c>
      <c r="D11914" t="s">
        <v>35709</v>
      </c>
      <c r="E11914" t="s">
        <v>35710</v>
      </c>
      <c r="F11914" t="s">
        <v>35711</v>
      </c>
      <c r="I11914" t="s">
        <v>29</v>
      </c>
      <c r="J11914" t="s">
        <v>30</v>
      </c>
      <c r="K11914" t="s">
        <v>2551</v>
      </c>
      <c r="M11914" t="s">
        <v>17861</v>
      </c>
      <c r="N11914" t="str">
        <f>"8/17/2018 3:15:00 PM"</f>
        <v>8/17/2018 3:15:00 PM</v>
      </c>
      <c r="O11914" t="s">
        <v>35709</v>
      </c>
      <c r="T11914" t="s">
        <v>35710</v>
      </c>
    </row>
    <row r="11915" spans="1:20" x14ac:dyDescent="0.25">
      <c r="A11915" t="str">
        <f>"3043481"</f>
        <v>3043481</v>
      </c>
      <c r="B11915" t="s">
        <v>35712</v>
      </c>
      <c r="C11915" t="str">
        <f>"53535250"</f>
        <v>53535250</v>
      </c>
      <c r="D11915" t="s">
        <v>35713</v>
      </c>
      <c r="E11915" t="s">
        <v>35714</v>
      </c>
      <c r="F11915" t="s">
        <v>35715</v>
      </c>
      <c r="I11915" t="s">
        <v>29</v>
      </c>
      <c r="J11915" t="s">
        <v>30</v>
      </c>
      <c r="K11915" t="s">
        <v>35716</v>
      </c>
      <c r="M11915" t="s">
        <v>33845</v>
      </c>
      <c r="N11915" t="str">
        <f>"8/20/2018 9:27:00 AM"</f>
        <v>8/20/2018 9:27:00 AM</v>
      </c>
      <c r="O11915" t="s">
        <v>35713</v>
      </c>
      <c r="T11915" t="s">
        <v>35714</v>
      </c>
    </row>
    <row r="11916" spans="1:20" x14ac:dyDescent="0.25">
      <c r="A11916" t="str">
        <f>"3047522"</f>
        <v>3047522</v>
      </c>
      <c r="B11916" t="s">
        <v>35717</v>
      </c>
      <c r="C11916" t="str">
        <f>"8310263"</f>
        <v>8310263</v>
      </c>
      <c r="D11916" t="s">
        <v>35718</v>
      </c>
      <c r="F11916" t="s">
        <v>35719</v>
      </c>
      <c r="I11916" t="s">
        <v>29</v>
      </c>
      <c r="J11916" t="s">
        <v>30</v>
      </c>
      <c r="K11916" t="s">
        <v>35720</v>
      </c>
      <c r="M11916" t="s">
        <v>17861</v>
      </c>
      <c r="N11916" t="str">
        <f>"8/21/2018 10:23:00 AM"</f>
        <v>8/21/2018 10:23:00 AM</v>
      </c>
      <c r="O11916" t="s">
        <v>35718</v>
      </c>
    </row>
    <row r="11917" spans="1:20" x14ac:dyDescent="0.25">
      <c r="A11917" t="str">
        <f>"3047144"</f>
        <v>3047144</v>
      </c>
      <c r="B11917" t="s">
        <v>35721</v>
      </c>
      <c r="C11917" t="str">
        <f>"60546000"</f>
        <v>60546000</v>
      </c>
      <c r="D11917" t="s">
        <v>35722</v>
      </c>
      <c r="E11917" t="s">
        <v>35723</v>
      </c>
      <c r="F11917" t="s">
        <v>35724</v>
      </c>
      <c r="I11917" t="s">
        <v>29</v>
      </c>
      <c r="J11917" t="s">
        <v>30</v>
      </c>
      <c r="K11917" t="s">
        <v>10168</v>
      </c>
      <c r="M11917" t="s">
        <v>33432</v>
      </c>
      <c r="N11917" t="str">
        <f>"8/27/2018 9:54:00 AM"</f>
        <v>8/27/2018 9:54:00 AM</v>
      </c>
      <c r="O11917" t="s">
        <v>35722</v>
      </c>
      <c r="T11917" t="s">
        <v>35723</v>
      </c>
    </row>
    <row r="11918" spans="1:20" x14ac:dyDescent="0.25">
      <c r="A11918" t="str">
        <f>"3052316"</f>
        <v>3052316</v>
      </c>
      <c r="B11918" t="s">
        <v>35725</v>
      </c>
      <c r="C11918" t="str">
        <f>"49404000"</f>
        <v>49404000</v>
      </c>
      <c r="D11918" t="s">
        <v>35726</v>
      </c>
      <c r="E11918" t="s">
        <v>30883</v>
      </c>
      <c r="F11918" t="s">
        <v>35727</v>
      </c>
      <c r="G11918" t="s">
        <v>15553</v>
      </c>
      <c r="I11918" t="s">
        <v>29</v>
      </c>
      <c r="J11918" t="s">
        <v>30</v>
      </c>
      <c r="K11918" t="s">
        <v>31</v>
      </c>
      <c r="M11918" t="s">
        <v>17861</v>
      </c>
      <c r="N11918" t="str">
        <f>"8/27/2018 10:33:00 AM"</f>
        <v>8/27/2018 10:33:00 AM</v>
      </c>
      <c r="O11918" t="s">
        <v>35726</v>
      </c>
      <c r="T11918" t="s">
        <v>30883</v>
      </c>
    </row>
    <row r="11919" spans="1:20" x14ac:dyDescent="0.25">
      <c r="A11919" t="str">
        <f>"3058247"</f>
        <v>3058247</v>
      </c>
      <c r="B11919" t="s">
        <v>35728</v>
      </c>
      <c r="C11919" t="str">
        <f>"8310290"</f>
        <v>8310290</v>
      </c>
      <c r="D11919" t="s">
        <v>35729</v>
      </c>
      <c r="E11919" t="s">
        <v>35730</v>
      </c>
      <c r="F11919" t="s">
        <v>35731</v>
      </c>
      <c r="I11919" t="s">
        <v>29</v>
      </c>
      <c r="J11919" t="s">
        <v>30</v>
      </c>
      <c r="K11919" t="s">
        <v>13178</v>
      </c>
      <c r="M11919" t="s">
        <v>17861</v>
      </c>
      <c r="N11919" t="str">
        <f>"8/27/2018 2:39:00 PM"</f>
        <v>8/27/2018 2:39:00 PM</v>
      </c>
      <c r="O11919" t="s">
        <v>35729</v>
      </c>
      <c r="T11919" t="s">
        <v>35730</v>
      </c>
    </row>
    <row r="11920" spans="1:20" x14ac:dyDescent="0.25">
      <c r="A11920" t="str">
        <f>"3047877"</f>
        <v>3047877</v>
      </c>
      <c r="B11920" t="s">
        <v>35732</v>
      </c>
      <c r="C11920" t="str">
        <f>"8310300"</f>
        <v>8310300</v>
      </c>
      <c r="D11920" t="s">
        <v>35733</v>
      </c>
      <c r="F11920" t="s">
        <v>32804</v>
      </c>
      <c r="I11920" t="s">
        <v>184</v>
      </c>
      <c r="J11920" t="s">
        <v>30</v>
      </c>
      <c r="K11920" t="s">
        <v>32805</v>
      </c>
      <c r="M11920" t="s">
        <v>17861</v>
      </c>
      <c r="N11920" t="str">
        <f>"8/29/2018 10:48:00 AM"</f>
        <v>8/29/2018 10:48:00 AM</v>
      </c>
      <c r="O11920" t="s">
        <v>35733</v>
      </c>
    </row>
    <row r="11921" spans="1:20" x14ac:dyDescent="0.25">
      <c r="A11921" t="str">
        <f>"3047092"</f>
        <v>3047092</v>
      </c>
      <c r="B11921" t="s">
        <v>35734</v>
      </c>
      <c r="C11921" t="str">
        <f>"8310302"</f>
        <v>8310302</v>
      </c>
      <c r="D11921" t="s">
        <v>35735</v>
      </c>
      <c r="E11921" t="s">
        <v>35736</v>
      </c>
      <c r="F11921" t="s">
        <v>35737</v>
      </c>
      <c r="I11921" t="s">
        <v>29</v>
      </c>
      <c r="J11921" t="s">
        <v>30</v>
      </c>
      <c r="K11921" t="s">
        <v>10186</v>
      </c>
      <c r="M11921" t="s">
        <v>17861</v>
      </c>
      <c r="N11921" t="str">
        <f>"8/29/2018 11:03:00 AM"</f>
        <v>8/29/2018 11:03:00 AM</v>
      </c>
      <c r="O11921" t="s">
        <v>35735</v>
      </c>
      <c r="T11921" t="s">
        <v>35736</v>
      </c>
    </row>
    <row r="11922" spans="1:20" x14ac:dyDescent="0.25">
      <c r="A11922" t="str">
        <f>"3057865"</f>
        <v>3057865</v>
      </c>
      <c r="B11922" t="s">
        <v>35738</v>
      </c>
      <c r="C11922" t="str">
        <f>"8310304"</f>
        <v>8310304</v>
      </c>
      <c r="D11922" t="s">
        <v>35739</v>
      </c>
      <c r="E11922" t="s">
        <v>35740</v>
      </c>
      <c r="F11922" t="s">
        <v>35741</v>
      </c>
      <c r="I11922" t="s">
        <v>184</v>
      </c>
      <c r="J11922" t="s">
        <v>30</v>
      </c>
      <c r="K11922" t="s">
        <v>3236</v>
      </c>
      <c r="M11922" t="s">
        <v>17861</v>
      </c>
      <c r="N11922" t="str">
        <f>"8/29/2018 11:16:00 AM"</f>
        <v>8/29/2018 11:16:00 AM</v>
      </c>
      <c r="O11922" t="s">
        <v>35739</v>
      </c>
      <c r="T11922" t="s">
        <v>35740</v>
      </c>
    </row>
    <row r="11923" spans="1:20" x14ac:dyDescent="0.25">
      <c r="A11923" t="str">
        <f>"3054305"</f>
        <v>3054305</v>
      </c>
      <c r="B11923" t="s">
        <v>35742</v>
      </c>
      <c r="C11923" t="str">
        <f>"82513053"</f>
        <v>82513053</v>
      </c>
      <c r="D11923" t="s">
        <v>35743</v>
      </c>
      <c r="F11923" t="s">
        <v>35744</v>
      </c>
      <c r="I11923" t="s">
        <v>24359</v>
      </c>
      <c r="J11923" t="s">
        <v>30</v>
      </c>
      <c r="K11923" t="s">
        <v>185</v>
      </c>
      <c r="M11923" t="s">
        <v>33845</v>
      </c>
      <c r="N11923" t="str">
        <f>"8/27/2018 2:47:00 PM"</f>
        <v>8/27/2018 2:47:00 PM</v>
      </c>
      <c r="O11923" t="s">
        <v>35743</v>
      </c>
    </row>
    <row r="11924" spans="1:20" x14ac:dyDescent="0.25">
      <c r="A11924" t="str">
        <f>"3062280"</f>
        <v>3062280</v>
      </c>
      <c r="B11924" t="s">
        <v>35745</v>
      </c>
      <c r="C11924" t="str">
        <f>"8308373"</f>
        <v>8308373</v>
      </c>
      <c r="D11924" t="s">
        <v>35746</v>
      </c>
      <c r="F11924" t="s">
        <v>35747</v>
      </c>
      <c r="I11924" t="s">
        <v>29</v>
      </c>
      <c r="J11924" t="s">
        <v>30</v>
      </c>
      <c r="K11924" t="str">
        <f>"27028"</f>
        <v>27028</v>
      </c>
      <c r="M11924" t="s">
        <v>33845</v>
      </c>
      <c r="N11924" t="str">
        <f>"8/27/2018 2:49:00 PM"</f>
        <v>8/27/2018 2:49:00 PM</v>
      </c>
      <c r="O11924" t="s">
        <v>35746</v>
      </c>
    </row>
    <row r="11925" spans="1:20" x14ac:dyDescent="0.25">
      <c r="A11925" t="str">
        <f>"3061137"</f>
        <v>3061137</v>
      </c>
      <c r="B11925" t="s">
        <v>35748</v>
      </c>
      <c r="C11925" t="str">
        <f>"82529247"</f>
        <v>82529247</v>
      </c>
      <c r="D11925" t="s">
        <v>35749</v>
      </c>
      <c r="E11925" t="s">
        <v>35750</v>
      </c>
      <c r="F11925" t="s">
        <v>35751</v>
      </c>
      <c r="I11925" t="s">
        <v>184</v>
      </c>
      <c r="J11925" t="s">
        <v>30</v>
      </c>
      <c r="K11925" t="s">
        <v>35752</v>
      </c>
      <c r="M11925" t="s">
        <v>34475</v>
      </c>
      <c r="N11925" t="str">
        <f>"8/27/2018 3:13:00 PM"</f>
        <v>8/27/2018 3:13:00 PM</v>
      </c>
      <c r="O11925" t="s">
        <v>35749</v>
      </c>
      <c r="T11925" t="s">
        <v>35750</v>
      </c>
    </row>
    <row r="11926" spans="1:20" x14ac:dyDescent="0.25">
      <c r="A11926" t="str">
        <f>"3053194"</f>
        <v>3053194</v>
      </c>
      <c r="B11926" t="s">
        <v>35753</v>
      </c>
      <c r="C11926" t="str">
        <f>"82524523"</f>
        <v>82524523</v>
      </c>
      <c r="D11926" t="s">
        <v>35754</v>
      </c>
      <c r="E11926" t="s">
        <v>35755</v>
      </c>
      <c r="F11926" t="s">
        <v>35756</v>
      </c>
      <c r="I11926" t="s">
        <v>29</v>
      </c>
      <c r="J11926" t="s">
        <v>30</v>
      </c>
      <c r="K11926" t="s">
        <v>12008</v>
      </c>
      <c r="M11926" t="s">
        <v>34475</v>
      </c>
      <c r="N11926" t="str">
        <f>"8/27/2018 3:30:00 PM"</f>
        <v>8/27/2018 3:30:00 PM</v>
      </c>
      <c r="O11926" t="s">
        <v>35754</v>
      </c>
      <c r="T11926" t="s">
        <v>35755</v>
      </c>
    </row>
    <row r="11927" spans="1:20" x14ac:dyDescent="0.25">
      <c r="A11927" t="str">
        <f>"3039555"</f>
        <v>3039555</v>
      </c>
      <c r="B11927" t="s">
        <v>35757</v>
      </c>
      <c r="C11927" t="str">
        <f>"8310292"</f>
        <v>8310292</v>
      </c>
      <c r="D11927" t="s">
        <v>35758</v>
      </c>
      <c r="F11927" t="s">
        <v>35759</v>
      </c>
      <c r="I11927" t="s">
        <v>184</v>
      </c>
      <c r="J11927" t="s">
        <v>30</v>
      </c>
      <c r="K11927" t="s">
        <v>1698</v>
      </c>
      <c r="M11927" t="s">
        <v>17861</v>
      </c>
      <c r="N11927" t="str">
        <f>"8/27/2018 4:01:00 PM"</f>
        <v>8/27/2018 4:01:00 PM</v>
      </c>
      <c r="O11927" t="s">
        <v>35758</v>
      </c>
    </row>
    <row r="11928" spans="1:20" x14ac:dyDescent="0.25">
      <c r="A11928" t="str">
        <f>"3061236"</f>
        <v>3061236</v>
      </c>
      <c r="B11928" t="s">
        <v>35760</v>
      </c>
      <c r="C11928" t="str">
        <f>"82528868"</f>
        <v>82528868</v>
      </c>
      <c r="D11928" t="s">
        <v>27855</v>
      </c>
      <c r="E11928" t="s">
        <v>35761</v>
      </c>
      <c r="F11928" t="s">
        <v>35762</v>
      </c>
      <c r="I11928" t="s">
        <v>17921</v>
      </c>
      <c r="J11928" t="s">
        <v>30</v>
      </c>
      <c r="K11928" t="s">
        <v>31</v>
      </c>
      <c r="M11928" t="s">
        <v>34475</v>
      </c>
      <c r="N11928" t="str">
        <f>"8/28/2018 9:21:00 AM"</f>
        <v>8/28/2018 9:21:00 AM</v>
      </c>
      <c r="O11928" t="s">
        <v>27855</v>
      </c>
      <c r="T11928" t="s">
        <v>35761</v>
      </c>
    </row>
    <row r="11929" spans="1:20" x14ac:dyDescent="0.25">
      <c r="A11929" t="str">
        <f>"3047600"</f>
        <v>3047600</v>
      </c>
      <c r="B11929" t="s">
        <v>35763</v>
      </c>
      <c r="C11929" t="str">
        <f>"8307476"</f>
        <v>8307476</v>
      </c>
      <c r="D11929" t="s">
        <v>35764</v>
      </c>
      <c r="E11929" t="s">
        <v>35765</v>
      </c>
      <c r="F11929" t="s">
        <v>35766</v>
      </c>
      <c r="I11929" t="s">
        <v>29</v>
      </c>
      <c r="J11929" t="s">
        <v>30</v>
      </c>
      <c r="K11929" t="str">
        <f>"27028"</f>
        <v>27028</v>
      </c>
      <c r="M11929" t="s">
        <v>25733</v>
      </c>
      <c r="N11929" t="str">
        <f>"8/28/2018 9:56:00 AM"</f>
        <v>8/28/2018 9:56:00 AM</v>
      </c>
      <c r="O11929" t="s">
        <v>35764</v>
      </c>
      <c r="T11929" t="s">
        <v>35765</v>
      </c>
    </row>
    <row r="11930" spans="1:20" x14ac:dyDescent="0.25">
      <c r="A11930" t="str">
        <f>"3047019"</f>
        <v>3047019</v>
      </c>
      <c r="B11930" t="s">
        <v>35767</v>
      </c>
      <c r="C11930" t="str">
        <f>"8304893"</f>
        <v>8304893</v>
      </c>
      <c r="D11930" t="s">
        <v>35768</v>
      </c>
      <c r="F11930" t="s">
        <v>35769</v>
      </c>
      <c r="I11930" t="s">
        <v>17921</v>
      </c>
      <c r="J11930" t="s">
        <v>30</v>
      </c>
      <c r="K11930" t="str">
        <f>"27028"</f>
        <v>27028</v>
      </c>
      <c r="M11930" t="s">
        <v>34475</v>
      </c>
      <c r="N11930" t="str">
        <f>"8/28/2018 2:37:00 PM"</f>
        <v>8/28/2018 2:37:00 PM</v>
      </c>
      <c r="O11930" t="s">
        <v>35768</v>
      </c>
    </row>
    <row r="11931" spans="1:20" x14ac:dyDescent="0.25">
      <c r="A11931" t="str">
        <f>"3060031"</f>
        <v>3060031</v>
      </c>
      <c r="B11931" t="s">
        <v>35770</v>
      </c>
      <c r="C11931" t="str">
        <f>"8310294"</f>
        <v>8310294</v>
      </c>
      <c r="D11931" t="s">
        <v>35771</v>
      </c>
      <c r="E11931" t="s">
        <v>35772</v>
      </c>
      <c r="F11931" t="s">
        <v>35773</v>
      </c>
      <c r="I11931" t="s">
        <v>184</v>
      </c>
      <c r="J11931" t="s">
        <v>30</v>
      </c>
      <c r="K11931" t="s">
        <v>9082</v>
      </c>
      <c r="M11931" t="s">
        <v>17861</v>
      </c>
      <c r="N11931" t="str">
        <f>"8/29/2018 9:13:00 AM"</f>
        <v>8/29/2018 9:13:00 AM</v>
      </c>
      <c r="O11931" t="s">
        <v>35771</v>
      </c>
      <c r="T11931" t="s">
        <v>35772</v>
      </c>
    </row>
    <row r="11932" spans="1:20" x14ac:dyDescent="0.25">
      <c r="A11932" t="str">
        <f>"3061380"</f>
        <v>3061380</v>
      </c>
      <c r="B11932" t="s">
        <v>35774</v>
      </c>
      <c r="C11932" t="str">
        <f>"8310295"</f>
        <v>8310295</v>
      </c>
      <c r="D11932" t="s">
        <v>35775</v>
      </c>
      <c r="E11932" t="s">
        <v>35776</v>
      </c>
      <c r="F11932" t="s">
        <v>35777</v>
      </c>
      <c r="I11932" t="s">
        <v>184</v>
      </c>
      <c r="J11932" t="s">
        <v>30</v>
      </c>
      <c r="K11932" t="s">
        <v>5334</v>
      </c>
      <c r="M11932" t="s">
        <v>17861</v>
      </c>
      <c r="N11932" t="str">
        <f>"8/29/2018 9:30:00 AM"</f>
        <v>8/29/2018 9:30:00 AM</v>
      </c>
      <c r="O11932" t="s">
        <v>35775</v>
      </c>
      <c r="T11932" t="s">
        <v>35776</v>
      </c>
    </row>
    <row r="11933" spans="1:20" x14ac:dyDescent="0.25">
      <c r="A11933" t="str">
        <f>"3070610"</f>
        <v>3070610</v>
      </c>
      <c r="B11933" t="s">
        <v>35778</v>
      </c>
      <c r="C11933" t="str">
        <f>"8310300"</f>
        <v>8310300</v>
      </c>
      <c r="D11933" t="s">
        <v>35733</v>
      </c>
      <c r="F11933" t="s">
        <v>32804</v>
      </c>
      <c r="I11933" t="s">
        <v>184</v>
      </c>
      <c r="J11933" t="s">
        <v>30</v>
      </c>
      <c r="K11933" t="s">
        <v>32805</v>
      </c>
      <c r="M11933" t="s">
        <v>17861</v>
      </c>
      <c r="N11933" t="str">
        <f>"8/29/2018 10:48:00 AM"</f>
        <v>8/29/2018 10:48:00 AM</v>
      </c>
      <c r="O11933" t="s">
        <v>35733</v>
      </c>
    </row>
    <row r="11934" spans="1:20" x14ac:dyDescent="0.25">
      <c r="A11934" t="str">
        <f>"3071486"</f>
        <v>3071486</v>
      </c>
      <c r="B11934" t="s">
        <v>35779</v>
      </c>
      <c r="C11934" t="str">
        <f>"8310300"</f>
        <v>8310300</v>
      </c>
      <c r="D11934" t="s">
        <v>35733</v>
      </c>
      <c r="F11934" t="s">
        <v>32804</v>
      </c>
      <c r="I11934" t="s">
        <v>184</v>
      </c>
      <c r="J11934" t="s">
        <v>30</v>
      </c>
      <c r="K11934" t="s">
        <v>32805</v>
      </c>
      <c r="M11934" t="s">
        <v>17861</v>
      </c>
      <c r="N11934" t="str">
        <f>"8/29/2018 10:48:00 AM"</f>
        <v>8/29/2018 10:48:00 AM</v>
      </c>
      <c r="O11934" t="s">
        <v>35733</v>
      </c>
    </row>
    <row r="11935" spans="1:20" x14ac:dyDescent="0.25">
      <c r="A11935" t="str">
        <f>"3048129"</f>
        <v>3048129</v>
      </c>
      <c r="B11935" t="s">
        <v>35780</v>
      </c>
      <c r="C11935" t="str">
        <f>"8310300"</f>
        <v>8310300</v>
      </c>
      <c r="D11935" t="s">
        <v>35733</v>
      </c>
      <c r="F11935" t="s">
        <v>32804</v>
      </c>
      <c r="I11935" t="s">
        <v>184</v>
      </c>
      <c r="J11935" t="s">
        <v>30</v>
      </c>
      <c r="K11935" t="s">
        <v>32805</v>
      </c>
      <c r="M11935" t="s">
        <v>17861</v>
      </c>
      <c r="N11935" t="str">
        <f>"8/29/2018 10:48:00 AM"</f>
        <v>8/29/2018 10:48:00 AM</v>
      </c>
      <c r="O11935" t="s">
        <v>35733</v>
      </c>
    </row>
    <row r="11936" spans="1:20" x14ac:dyDescent="0.25">
      <c r="A11936" t="str">
        <f>"3047876"</f>
        <v>3047876</v>
      </c>
      <c r="B11936" t="s">
        <v>35781</v>
      </c>
      <c r="C11936" t="str">
        <f>"8310300"</f>
        <v>8310300</v>
      </c>
      <c r="D11936" t="s">
        <v>35733</v>
      </c>
      <c r="F11936" t="s">
        <v>32804</v>
      </c>
      <c r="I11936" t="s">
        <v>184</v>
      </c>
      <c r="J11936" t="s">
        <v>30</v>
      </c>
      <c r="K11936" t="s">
        <v>32805</v>
      </c>
      <c r="M11936" t="s">
        <v>17861</v>
      </c>
      <c r="N11936" t="str">
        <f>"8/29/2018 10:48:00 AM"</f>
        <v>8/29/2018 10:48:00 AM</v>
      </c>
      <c r="O11936" t="s">
        <v>35733</v>
      </c>
    </row>
    <row r="11937" spans="1:20" x14ac:dyDescent="0.25">
      <c r="A11937" t="str">
        <f>"3040121"</f>
        <v>3040121</v>
      </c>
      <c r="B11937" t="s">
        <v>35782</v>
      </c>
      <c r="C11937" t="str">
        <f>"8310289"</f>
        <v>8310289</v>
      </c>
      <c r="D11937" t="s">
        <v>35783</v>
      </c>
      <c r="F11937" t="s">
        <v>35784</v>
      </c>
      <c r="I11937" t="s">
        <v>29</v>
      </c>
      <c r="J11937" t="s">
        <v>30</v>
      </c>
      <c r="K11937" t="s">
        <v>35785</v>
      </c>
      <c r="M11937" t="s">
        <v>17861</v>
      </c>
      <c r="N11937" t="str">
        <f>"8/27/2018 1:15:00 PM"</f>
        <v>8/27/2018 1:15:00 PM</v>
      </c>
      <c r="O11937" t="s">
        <v>35783</v>
      </c>
    </row>
    <row r="11938" spans="1:20" x14ac:dyDescent="0.25">
      <c r="A11938" t="str">
        <f>"3065728"</f>
        <v>3065728</v>
      </c>
      <c r="B11938" t="s">
        <v>35786</v>
      </c>
      <c r="C11938" t="str">
        <f>"82517287"</f>
        <v>82517287</v>
      </c>
      <c r="D11938" t="s">
        <v>35787</v>
      </c>
      <c r="F11938" t="s">
        <v>35788</v>
      </c>
      <c r="I11938" t="s">
        <v>184</v>
      </c>
      <c r="J11938" t="s">
        <v>30</v>
      </c>
      <c r="K11938" t="s">
        <v>185</v>
      </c>
      <c r="M11938" t="s">
        <v>33845</v>
      </c>
      <c r="N11938" t="str">
        <f>"8/27/2018 2:36:00 PM"</f>
        <v>8/27/2018 2:36:00 PM</v>
      </c>
      <c r="O11938" t="s">
        <v>35787</v>
      </c>
    </row>
    <row r="11939" spans="1:20" x14ac:dyDescent="0.25">
      <c r="A11939" t="str">
        <f>"3071484"</f>
        <v>3071484</v>
      </c>
      <c r="B11939" t="s">
        <v>35789</v>
      </c>
      <c r="C11939" t="str">
        <f>"8310300"</f>
        <v>8310300</v>
      </c>
      <c r="D11939" t="s">
        <v>35733</v>
      </c>
      <c r="F11939" t="s">
        <v>32804</v>
      </c>
      <c r="I11939" t="s">
        <v>184</v>
      </c>
      <c r="J11939" t="s">
        <v>30</v>
      </c>
      <c r="K11939" t="s">
        <v>32805</v>
      </c>
      <c r="M11939" t="s">
        <v>17861</v>
      </c>
      <c r="N11939" t="str">
        <f>"8/29/2018 10:48:00 AM"</f>
        <v>8/29/2018 10:48:00 AM</v>
      </c>
      <c r="O11939" t="s">
        <v>35733</v>
      </c>
    </row>
    <row r="11940" spans="1:20" x14ac:dyDescent="0.25">
      <c r="A11940" t="str">
        <f>"3046940"</f>
        <v>3046940</v>
      </c>
      <c r="B11940" t="s">
        <v>35790</v>
      </c>
      <c r="C11940" t="str">
        <f>"50533930"</f>
        <v>50533930</v>
      </c>
      <c r="D11940" t="s">
        <v>35791</v>
      </c>
      <c r="E11940" t="s">
        <v>35792</v>
      </c>
      <c r="F11940" t="s">
        <v>35793</v>
      </c>
      <c r="I11940" t="s">
        <v>29</v>
      </c>
      <c r="J11940" t="s">
        <v>30</v>
      </c>
      <c r="K11940" t="s">
        <v>10124</v>
      </c>
      <c r="M11940" t="s">
        <v>34670</v>
      </c>
      <c r="N11940" t="str">
        <f>"8/30/2018 8:10:00 AM"</f>
        <v>8/30/2018 8:10:00 AM</v>
      </c>
      <c r="O11940" t="s">
        <v>35791</v>
      </c>
      <c r="T11940" t="s">
        <v>35792</v>
      </c>
    </row>
    <row r="11941" spans="1:20" x14ac:dyDescent="0.25">
      <c r="A11941" t="str">
        <f>"3062930"</f>
        <v>3062930</v>
      </c>
      <c r="B11941" t="s">
        <v>35794</v>
      </c>
      <c r="C11941" t="str">
        <f>"8304040"</f>
        <v>8304040</v>
      </c>
      <c r="D11941" t="s">
        <v>35795</v>
      </c>
      <c r="E11941" t="s">
        <v>35796</v>
      </c>
      <c r="F11941" t="s">
        <v>35797</v>
      </c>
      <c r="I11941" t="s">
        <v>29</v>
      </c>
      <c r="J11941" t="s">
        <v>30</v>
      </c>
      <c r="K11941" t="str">
        <f>"27028"</f>
        <v>27028</v>
      </c>
      <c r="M11941" t="s">
        <v>34475</v>
      </c>
      <c r="N11941" t="str">
        <f>"8/27/2018 2:53:00 PM"</f>
        <v>8/27/2018 2:53:00 PM</v>
      </c>
      <c r="O11941" t="s">
        <v>35795</v>
      </c>
      <c r="T11941" t="s">
        <v>35796</v>
      </c>
    </row>
    <row r="11942" spans="1:20" x14ac:dyDescent="0.25">
      <c r="A11942" t="str">
        <f>"3043585"</f>
        <v>3043585</v>
      </c>
      <c r="B11942" t="s">
        <v>35798</v>
      </c>
      <c r="C11942" t="str">
        <f>"8306235"</f>
        <v>8306235</v>
      </c>
      <c r="D11942" t="s">
        <v>35799</v>
      </c>
      <c r="F11942" t="s">
        <v>35800</v>
      </c>
      <c r="I11942" t="s">
        <v>17921</v>
      </c>
      <c r="J11942" t="s">
        <v>30</v>
      </c>
      <c r="K11942" t="str">
        <f>"27028"</f>
        <v>27028</v>
      </c>
      <c r="M11942" t="s">
        <v>33845</v>
      </c>
      <c r="N11942" t="str">
        <f>"8/27/2018 2:57:00 PM"</f>
        <v>8/27/2018 2:57:00 PM</v>
      </c>
      <c r="O11942" t="s">
        <v>35799</v>
      </c>
    </row>
    <row r="11943" spans="1:20" x14ac:dyDescent="0.25">
      <c r="A11943" t="str">
        <f>"3037608"</f>
        <v>3037608</v>
      </c>
      <c r="B11943" t="s">
        <v>35801</v>
      </c>
      <c r="C11943" t="str">
        <f>"8303445"</f>
        <v>8303445</v>
      </c>
      <c r="D11943" t="s">
        <v>35802</v>
      </c>
      <c r="E11943" t="s">
        <v>35803</v>
      </c>
      <c r="F11943" t="s">
        <v>35804</v>
      </c>
      <c r="I11943" t="s">
        <v>49</v>
      </c>
      <c r="J11943" t="s">
        <v>30</v>
      </c>
      <c r="K11943" t="str">
        <f>"27055"</f>
        <v>27055</v>
      </c>
      <c r="M11943" t="s">
        <v>34475</v>
      </c>
      <c r="N11943" t="str">
        <f>"8/27/2018 2:59:00 PM"</f>
        <v>8/27/2018 2:59:00 PM</v>
      </c>
      <c r="O11943" t="s">
        <v>35802</v>
      </c>
      <c r="T11943" t="s">
        <v>35803</v>
      </c>
    </row>
    <row r="11944" spans="1:20" x14ac:dyDescent="0.25">
      <c r="A11944" t="str">
        <f>"3062418"</f>
        <v>3062418</v>
      </c>
      <c r="B11944" t="s">
        <v>35805</v>
      </c>
      <c r="C11944" t="str">
        <f>"8305253"</f>
        <v>8305253</v>
      </c>
      <c r="D11944" t="s">
        <v>35806</v>
      </c>
      <c r="F11944" t="s">
        <v>35807</v>
      </c>
      <c r="I11944" t="s">
        <v>184</v>
      </c>
      <c r="J11944" t="s">
        <v>30</v>
      </c>
      <c r="K11944" t="str">
        <f>"27006"</f>
        <v>27006</v>
      </c>
      <c r="M11944" t="s">
        <v>34475</v>
      </c>
      <c r="N11944" t="str">
        <f>"8/27/2018 3:05:00 PM"</f>
        <v>8/27/2018 3:05:00 PM</v>
      </c>
      <c r="O11944" t="s">
        <v>35806</v>
      </c>
    </row>
    <row r="11945" spans="1:20" x14ac:dyDescent="0.25">
      <c r="A11945" t="str">
        <f>"3043950"</f>
        <v>3043950</v>
      </c>
      <c r="B11945" t="s">
        <v>35808</v>
      </c>
      <c r="C11945" t="str">
        <f>"75301000"</f>
        <v>75301000</v>
      </c>
      <c r="D11945" t="s">
        <v>35809</v>
      </c>
      <c r="F11945" t="s">
        <v>35810</v>
      </c>
      <c r="I11945" t="s">
        <v>35811</v>
      </c>
      <c r="J11945" t="s">
        <v>30</v>
      </c>
      <c r="K11945" t="str">
        <f>"28394"</f>
        <v>28394</v>
      </c>
      <c r="M11945" t="s">
        <v>33845</v>
      </c>
      <c r="N11945" t="str">
        <f>"8/27/2018 3:16:00 PM"</f>
        <v>8/27/2018 3:16:00 PM</v>
      </c>
      <c r="O11945" t="s">
        <v>35809</v>
      </c>
    </row>
    <row r="11946" spans="1:20" x14ac:dyDescent="0.25">
      <c r="A11946" t="str">
        <f>"3070223"</f>
        <v>3070223</v>
      </c>
      <c r="B11946" t="s">
        <v>35812</v>
      </c>
      <c r="C11946" t="str">
        <f>"8305386"</f>
        <v>8305386</v>
      </c>
      <c r="D11946" t="s">
        <v>35813</v>
      </c>
      <c r="F11946" t="s">
        <v>35814</v>
      </c>
      <c r="I11946" t="s">
        <v>184</v>
      </c>
      <c r="J11946" t="s">
        <v>30</v>
      </c>
      <c r="K11946" t="str">
        <f>"27006"</f>
        <v>27006</v>
      </c>
      <c r="M11946" t="s">
        <v>25625</v>
      </c>
      <c r="N11946" t="str">
        <f>"9/10/2018 2:01:00 PM"</f>
        <v>9/10/2018 2:01:00 PM</v>
      </c>
      <c r="O11946" t="s">
        <v>35813</v>
      </c>
    </row>
    <row r="11947" spans="1:20" x14ac:dyDescent="0.25">
      <c r="A11947" t="str">
        <f>"3081171"</f>
        <v>3081171</v>
      </c>
      <c r="B11947" t="s">
        <v>35815</v>
      </c>
      <c r="C11947" t="str">
        <f>"8305386"</f>
        <v>8305386</v>
      </c>
      <c r="D11947" t="s">
        <v>35813</v>
      </c>
      <c r="F11947" t="s">
        <v>35814</v>
      </c>
      <c r="I11947" t="s">
        <v>184</v>
      </c>
      <c r="J11947" t="s">
        <v>30</v>
      </c>
      <c r="K11947" t="str">
        <f>"27006"</f>
        <v>27006</v>
      </c>
      <c r="M11947" t="s">
        <v>25625</v>
      </c>
      <c r="N11947" t="str">
        <f>"9/10/2018 2:01:00 PM"</f>
        <v>9/10/2018 2:01:00 PM</v>
      </c>
      <c r="O11947" t="s">
        <v>35813</v>
      </c>
    </row>
    <row r="11948" spans="1:20" x14ac:dyDescent="0.25">
      <c r="A11948" t="str">
        <f>"3041546"</f>
        <v>3041546</v>
      </c>
      <c r="B11948" t="s">
        <v>35816</v>
      </c>
      <c r="C11948" t="str">
        <f>"8305948"</f>
        <v>8305948</v>
      </c>
      <c r="D11948" t="s">
        <v>35817</v>
      </c>
      <c r="F11948" t="s">
        <v>35818</v>
      </c>
      <c r="I11948" t="s">
        <v>9345</v>
      </c>
      <c r="J11948" t="s">
        <v>30</v>
      </c>
      <c r="K11948" t="str">
        <f>"27519"</f>
        <v>27519</v>
      </c>
      <c r="M11948" t="s">
        <v>32801</v>
      </c>
      <c r="N11948" t="str">
        <f>"9/10/2018 3:16:00 PM"</f>
        <v>9/10/2018 3:16:00 PM</v>
      </c>
      <c r="O11948" t="s">
        <v>35817</v>
      </c>
    </row>
    <row r="11949" spans="1:20" x14ac:dyDescent="0.25">
      <c r="A11949" t="str">
        <f>"3047693"</f>
        <v>3047693</v>
      </c>
      <c r="B11949" t="s">
        <v>35819</v>
      </c>
      <c r="C11949" t="str">
        <f>"75301000"</f>
        <v>75301000</v>
      </c>
      <c r="D11949" t="s">
        <v>35809</v>
      </c>
      <c r="F11949" t="s">
        <v>35810</v>
      </c>
      <c r="I11949" t="s">
        <v>35811</v>
      </c>
      <c r="J11949" t="s">
        <v>30</v>
      </c>
      <c r="K11949" t="str">
        <f>"28394"</f>
        <v>28394</v>
      </c>
      <c r="M11949" t="s">
        <v>33845</v>
      </c>
      <c r="N11949" t="str">
        <f>"8/27/2018 3:16:00 PM"</f>
        <v>8/27/2018 3:16:00 PM</v>
      </c>
      <c r="O11949" t="s">
        <v>35809</v>
      </c>
    </row>
    <row r="11950" spans="1:20" x14ac:dyDescent="0.25">
      <c r="A11950" t="str">
        <f>"3066212"</f>
        <v>3066212</v>
      </c>
      <c r="B11950" t="s">
        <v>35820</v>
      </c>
      <c r="C11950" t="str">
        <f>"8307119"</f>
        <v>8307119</v>
      </c>
      <c r="D11950" t="s">
        <v>35821</v>
      </c>
      <c r="F11950" t="s">
        <v>35822</v>
      </c>
      <c r="I11950" t="s">
        <v>29</v>
      </c>
      <c r="J11950" t="s">
        <v>30</v>
      </c>
      <c r="K11950" t="str">
        <f>"27028"</f>
        <v>27028</v>
      </c>
      <c r="M11950" t="s">
        <v>33845</v>
      </c>
      <c r="N11950" t="str">
        <f>"8/27/2018 3:16:00 PM"</f>
        <v>8/27/2018 3:16:00 PM</v>
      </c>
      <c r="O11950" t="s">
        <v>35821</v>
      </c>
    </row>
    <row r="11951" spans="1:20" x14ac:dyDescent="0.25">
      <c r="A11951" t="str">
        <f>"3040336"</f>
        <v>3040336</v>
      </c>
      <c r="B11951" t="s">
        <v>35823</v>
      </c>
      <c r="C11951" t="str">
        <f>"8305386"</f>
        <v>8305386</v>
      </c>
      <c r="D11951" t="s">
        <v>35813</v>
      </c>
      <c r="F11951" t="s">
        <v>35814</v>
      </c>
      <c r="I11951" t="s">
        <v>184</v>
      </c>
      <c r="J11951" t="s">
        <v>30</v>
      </c>
      <c r="K11951" t="str">
        <f>"27006"</f>
        <v>27006</v>
      </c>
      <c r="M11951" t="s">
        <v>25625</v>
      </c>
      <c r="N11951" t="str">
        <f>"9/10/2018 2:01:00 PM"</f>
        <v>9/10/2018 2:01:00 PM</v>
      </c>
      <c r="O11951" t="s">
        <v>35813</v>
      </c>
    </row>
    <row r="11952" spans="1:20" x14ac:dyDescent="0.25">
      <c r="A11952" t="str">
        <f>"3059572"</f>
        <v>3059572</v>
      </c>
      <c r="B11952" t="s">
        <v>35824</v>
      </c>
      <c r="C11952" t="str">
        <f>"8310338"</f>
        <v>8310338</v>
      </c>
      <c r="D11952" t="s">
        <v>35825</v>
      </c>
      <c r="F11952" t="s">
        <v>35826</v>
      </c>
      <c r="I11952" t="s">
        <v>29</v>
      </c>
      <c r="J11952" t="s">
        <v>30</v>
      </c>
      <c r="K11952" t="s">
        <v>33298</v>
      </c>
      <c r="M11952" t="s">
        <v>17861</v>
      </c>
      <c r="N11952" t="str">
        <f>"9/6/2018 9:51:00 AM"</f>
        <v>9/6/2018 9:51:00 AM</v>
      </c>
      <c r="O11952" t="s">
        <v>35825</v>
      </c>
    </row>
    <row r="11953" spans="1:20" x14ac:dyDescent="0.25">
      <c r="A11953" t="str">
        <f>"3039394"</f>
        <v>3039394</v>
      </c>
      <c r="B11953" t="s">
        <v>35827</v>
      </c>
      <c r="C11953" t="str">
        <f>"47490500"</f>
        <v>47490500</v>
      </c>
      <c r="D11953" t="s">
        <v>35828</v>
      </c>
      <c r="F11953" t="s">
        <v>19658</v>
      </c>
      <c r="I11953" t="s">
        <v>19659</v>
      </c>
      <c r="J11953" t="s">
        <v>12725</v>
      </c>
      <c r="K11953" t="s">
        <v>35829</v>
      </c>
      <c r="M11953" t="s">
        <v>25625</v>
      </c>
      <c r="N11953" t="str">
        <f>"9/14/2018 2:04:00 PM"</f>
        <v>9/14/2018 2:04:00 PM</v>
      </c>
      <c r="O11953" t="s">
        <v>35828</v>
      </c>
    </row>
    <row r="11954" spans="1:20" x14ac:dyDescent="0.25">
      <c r="A11954" t="str">
        <f>"3076897"</f>
        <v>3076897</v>
      </c>
      <c r="B11954" t="s">
        <v>35830</v>
      </c>
      <c r="C11954" t="str">
        <f>"47490500"</f>
        <v>47490500</v>
      </c>
      <c r="D11954" t="s">
        <v>35828</v>
      </c>
      <c r="F11954" t="s">
        <v>19658</v>
      </c>
      <c r="I11954" t="s">
        <v>19659</v>
      </c>
      <c r="J11954" t="s">
        <v>12725</v>
      </c>
      <c r="K11954" t="s">
        <v>35829</v>
      </c>
      <c r="M11954" t="s">
        <v>25625</v>
      </c>
      <c r="N11954" t="str">
        <f>"9/14/2018 2:04:00 PM"</f>
        <v>9/14/2018 2:04:00 PM</v>
      </c>
      <c r="O11954" t="s">
        <v>35828</v>
      </c>
    </row>
    <row r="11955" spans="1:20" x14ac:dyDescent="0.25">
      <c r="A11955" t="str">
        <f>"3061513"</f>
        <v>3061513</v>
      </c>
      <c r="B11955" t="s">
        <v>35831</v>
      </c>
      <c r="C11955" t="str">
        <f>"8310308"</f>
        <v>8310308</v>
      </c>
      <c r="D11955" t="s">
        <v>35832</v>
      </c>
      <c r="F11955" t="s">
        <v>35833</v>
      </c>
      <c r="I11955" t="s">
        <v>184</v>
      </c>
      <c r="J11955" t="s">
        <v>30</v>
      </c>
      <c r="K11955" t="s">
        <v>2013</v>
      </c>
      <c r="M11955" t="s">
        <v>17861</v>
      </c>
      <c r="N11955" t="str">
        <f>"8/30/2018 10:32:00 AM"</f>
        <v>8/30/2018 10:32:00 AM</v>
      </c>
      <c r="O11955" t="s">
        <v>35832</v>
      </c>
    </row>
    <row r="11956" spans="1:20" x14ac:dyDescent="0.25">
      <c r="A11956" t="str">
        <f>"3054082"</f>
        <v>3054082</v>
      </c>
      <c r="B11956" t="s">
        <v>35834</v>
      </c>
      <c r="C11956" t="str">
        <f>"73092000"</f>
        <v>73092000</v>
      </c>
      <c r="D11956" t="s">
        <v>35835</v>
      </c>
      <c r="E11956" t="s">
        <v>35836</v>
      </c>
      <c r="F11956" t="s">
        <v>35837</v>
      </c>
      <c r="I11956" t="s">
        <v>29</v>
      </c>
      <c r="J11956" t="s">
        <v>30</v>
      </c>
      <c r="K11956" t="s">
        <v>31</v>
      </c>
      <c r="M11956" t="s">
        <v>34475</v>
      </c>
      <c r="N11956" t="str">
        <f>"8/30/2018 11:08:00 AM"</f>
        <v>8/30/2018 11:08:00 AM</v>
      </c>
      <c r="O11956" t="s">
        <v>35835</v>
      </c>
      <c r="T11956" t="s">
        <v>35836</v>
      </c>
    </row>
    <row r="11957" spans="1:20" x14ac:dyDescent="0.25">
      <c r="A11957" t="str">
        <f>"3062516"</f>
        <v>3062516</v>
      </c>
      <c r="B11957" t="s">
        <v>35838</v>
      </c>
      <c r="C11957" t="str">
        <f>"8310369"</f>
        <v>8310369</v>
      </c>
      <c r="D11957" t="s">
        <v>35839</v>
      </c>
      <c r="E11957" t="s">
        <v>35840</v>
      </c>
      <c r="F11957" t="s">
        <v>35841</v>
      </c>
      <c r="I11957" t="s">
        <v>184</v>
      </c>
      <c r="J11957" t="s">
        <v>30</v>
      </c>
      <c r="K11957" t="s">
        <v>18878</v>
      </c>
      <c r="M11957" t="s">
        <v>17861</v>
      </c>
      <c r="N11957" t="str">
        <f>"9/19/2018 1:13:00 PM"</f>
        <v>9/19/2018 1:13:00 PM</v>
      </c>
      <c r="O11957" t="s">
        <v>35839</v>
      </c>
      <c r="T11957" t="s">
        <v>35840</v>
      </c>
    </row>
    <row r="11958" spans="1:20" x14ac:dyDescent="0.25">
      <c r="A11958" t="str">
        <f>"3046081"</f>
        <v>3046081</v>
      </c>
      <c r="B11958" t="s">
        <v>35842</v>
      </c>
      <c r="C11958" t="str">
        <f>"8310370"</f>
        <v>8310370</v>
      </c>
      <c r="D11958" t="s">
        <v>35843</v>
      </c>
      <c r="E11958" t="s">
        <v>35844</v>
      </c>
      <c r="F11958" t="s">
        <v>35845</v>
      </c>
      <c r="I11958" t="s">
        <v>29</v>
      </c>
      <c r="J11958" t="s">
        <v>30</v>
      </c>
      <c r="K11958" t="s">
        <v>35846</v>
      </c>
      <c r="M11958" t="s">
        <v>17861</v>
      </c>
      <c r="N11958" t="str">
        <f>"9/19/2018 1:19:00 PM"</f>
        <v>9/19/2018 1:19:00 PM</v>
      </c>
      <c r="O11958" t="s">
        <v>35843</v>
      </c>
      <c r="T11958" t="s">
        <v>35844</v>
      </c>
    </row>
    <row r="11959" spans="1:20" x14ac:dyDescent="0.25">
      <c r="A11959" t="str">
        <f>"3046350"</f>
        <v>3046350</v>
      </c>
      <c r="B11959" t="s">
        <v>35847</v>
      </c>
      <c r="C11959" t="str">
        <f>"8310371"</f>
        <v>8310371</v>
      </c>
      <c r="D11959" t="s">
        <v>35848</v>
      </c>
      <c r="E11959" t="str">
        <f>"PHIPPS SONIA/POTTS DARREN 1%"</f>
        <v>PHIPPS SONIA/POTTS DARREN 1%</v>
      </c>
      <c r="F11959" t="s">
        <v>35849</v>
      </c>
      <c r="I11959" t="s">
        <v>29</v>
      </c>
      <c r="J11959" t="s">
        <v>30</v>
      </c>
      <c r="K11959" t="s">
        <v>35850</v>
      </c>
      <c r="M11959" t="s">
        <v>17861</v>
      </c>
      <c r="N11959" t="str">
        <f>"9/19/2018 3:47:00 PM"</f>
        <v>9/19/2018 3:47:00 PM</v>
      </c>
      <c r="O11959" t="s">
        <v>35848</v>
      </c>
      <c r="T11959" t="str">
        <f>"PHIPPS SONIA/POTTS DARREN 1%"</f>
        <v>PHIPPS SONIA/POTTS DARREN 1%</v>
      </c>
    </row>
    <row r="11960" spans="1:20" x14ac:dyDescent="0.25">
      <c r="A11960" t="str">
        <f>"3062153"</f>
        <v>3062153</v>
      </c>
      <c r="B11960" t="s">
        <v>35851</v>
      </c>
      <c r="C11960" t="str">
        <f>"8310374"</f>
        <v>8310374</v>
      </c>
      <c r="D11960" t="s">
        <v>35852</v>
      </c>
      <c r="E11960" t="s">
        <v>35853</v>
      </c>
      <c r="F11960" t="s">
        <v>35854</v>
      </c>
      <c r="I11960" t="s">
        <v>29</v>
      </c>
      <c r="J11960" t="s">
        <v>30</v>
      </c>
      <c r="K11960" t="s">
        <v>34545</v>
      </c>
      <c r="M11960" t="s">
        <v>17861</v>
      </c>
      <c r="N11960" t="str">
        <f>"9/19/2018 4:07:00 PM"</f>
        <v>9/19/2018 4:07:00 PM</v>
      </c>
      <c r="O11960" t="s">
        <v>35852</v>
      </c>
      <c r="T11960" t="s">
        <v>35853</v>
      </c>
    </row>
    <row r="11961" spans="1:20" x14ac:dyDescent="0.25">
      <c r="A11961" t="str">
        <f>"3043426"</f>
        <v>3043426</v>
      </c>
      <c r="B11961" t="s">
        <v>35855</v>
      </c>
      <c r="C11961" t="str">
        <f>"8310340"</f>
        <v>8310340</v>
      </c>
      <c r="D11961" t="s">
        <v>35856</v>
      </c>
      <c r="E11961" t="s">
        <v>35857</v>
      </c>
      <c r="F11961" t="s">
        <v>35858</v>
      </c>
      <c r="I11961" t="s">
        <v>29</v>
      </c>
      <c r="J11961" t="s">
        <v>30</v>
      </c>
      <c r="K11961" t="s">
        <v>19632</v>
      </c>
      <c r="M11961" t="s">
        <v>17861</v>
      </c>
      <c r="N11961" t="str">
        <f>"9/6/2018 10:47:00 AM"</f>
        <v>9/6/2018 10:47:00 AM</v>
      </c>
      <c r="O11961" t="s">
        <v>35856</v>
      </c>
      <c r="T11961" t="s">
        <v>35857</v>
      </c>
    </row>
    <row r="11962" spans="1:20" x14ac:dyDescent="0.25">
      <c r="A11962" t="str">
        <f>"3039730"</f>
        <v>3039730</v>
      </c>
      <c r="B11962" t="s">
        <v>35859</v>
      </c>
      <c r="C11962" t="str">
        <f>"47490500"</f>
        <v>47490500</v>
      </c>
      <c r="D11962" t="s">
        <v>35828</v>
      </c>
      <c r="F11962" t="s">
        <v>19658</v>
      </c>
      <c r="I11962" t="s">
        <v>19659</v>
      </c>
      <c r="J11962" t="s">
        <v>12725</v>
      </c>
      <c r="K11962" t="s">
        <v>35829</v>
      </c>
      <c r="M11962" t="s">
        <v>25625</v>
      </c>
      <c r="N11962" t="str">
        <f>"9/14/2018 2:04:00 PM"</f>
        <v>9/14/2018 2:04:00 PM</v>
      </c>
      <c r="O11962" t="s">
        <v>35828</v>
      </c>
    </row>
    <row r="11963" spans="1:20" x14ac:dyDescent="0.25">
      <c r="A11963" t="str">
        <f>"3054704"</f>
        <v>3054704</v>
      </c>
      <c r="B11963" t="s">
        <v>35860</v>
      </c>
      <c r="C11963" t="str">
        <f>"73092000"</f>
        <v>73092000</v>
      </c>
      <c r="D11963" t="s">
        <v>35835</v>
      </c>
      <c r="E11963" t="s">
        <v>35836</v>
      </c>
      <c r="F11963" t="s">
        <v>35837</v>
      </c>
      <c r="I11963" t="s">
        <v>29</v>
      </c>
      <c r="J11963" t="s">
        <v>30</v>
      </c>
      <c r="K11963" t="s">
        <v>31</v>
      </c>
      <c r="M11963" t="s">
        <v>34475</v>
      </c>
      <c r="N11963" t="str">
        <f>"8/30/2018 11:08:00 AM"</f>
        <v>8/30/2018 11:08:00 AM</v>
      </c>
      <c r="O11963" t="s">
        <v>35835</v>
      </c>
      <c r="T11963" t="s">
        <v>35836</v>
      </c>
    </row>
    <row r="11964" spans="1:20" x14ac:dyDescent="0.25">
      <c r="A11964" t="str">
        <f>"3056297"</f>
        <v>3056297</v>
      </c>
      <c r="B11964" t="s">
        <v>35861</v>
      </c>
      <c r="C11964" t="str">
        <f>"35988000"</f>
        <v>35988000</v>
      </c>
      <c r="D11964" t="s">
        <v>35862</v>
      </c>
      <c r="F11964" t="str">
        <f>"C/O LYNN HOBSON"</f>
        <v>C/O LYNN HOBSON</v>
      </c>
      <c r="G11964" t="s">
        <v>35863</v>
      </c>
      <c r="I11964" t="s">
        <v>35864</v>
      </c>
      <c r="J11964" t="s">
        <v>11697</v>
      </c>
      <c r="K11964" t="s">
        <v>35865</v>
      </c>
      <c r="M11964" t="s">
        <v>17922</v>
      </c>
      <c r="N11964" t="str">
        <f>"9/12/2018 2:35:00 PM"</f>
        <v>9/12/2018 2:35:00 PM</v>
      </c>
      <c r="O11964" t="s">
        <v>35862</v>
      </c>
    </row>
    <row r="11965" spans="1:20" x14ac:dyDescent="0.25">
      <c r="A11965" t="str">
        <f>"3040396"</f>
        <v>3040396</v>
      </c>
      <c r="B11965" t="s">
        <v>35866</v>
      </c>
      <c r="C11965" t="str">
        <f>"8310383"</f>
        <v>8310383</v>
      </c>
      <c r="D11965" t="s">
        <v>35867</v>
      </c>
      <c r="E11965" t="s">
        <v>35868</v>
      </c>
      <c r="F11965" t="s">
        <v>35869</v>
      </c>
      <c r="I11965" t="s">
        <v>184</v>
      </c>
      <c r="J11965" t="s">
        <v>30</v>
      </c>
      <c r="K11965" t="s">
        <v>35870</v>
      </c>
      <c r="M11965" t="s">
        <v>17861</v>
      </c>
      <c r="N11965" t="str">
        <f>"9/20/2018 2:04:00 PM"</f>
        <v>9/20/2018 2:04:00 PM</v>
      </c>
      <c r="O11965" t="s">
        <v>35867</v>
      </c>
      <c r="T11965" t="s">
        <v>35868</v>
      </c>
    </row>
    <row r="11966" spans="1:20" x14ac:dyDescent="0.25">
      <c r="A11966" t="str">
        <f>"3040961"</f>
        <v>3040961</v>
      </c>
      <c r="B11966" t="s">
        <v>35871</v>
      </c>
      <c r="C11966" t="str">
        <f>"8310383"</f>
        <v>8310383</v>
      </c>
      <c r="D11966" t="s">
        <v>35867</v>
      </c>
      <c r="E11966" t="s">
        <v>35868</v>
      </c>
      <c r="F11966" t="s">
        <v>35869</v>
      </c>
      <c r="I11966" t="s">
        <v>184</v>
      </c>
      <c r="J11966" t="s">
        <v>30</v>
      </c>
      <c r="K11966" t="s">
        <v>35870</v>
      </c>
      <c r="M11966" t="s">
        <v>17861</v>
      </c>
      <c r="N11966" t="str">
        <f>"9/20/2018 2:04:00 PM"</f>
        <v>9/20/2018 2:04:00 PM</v>
      </c>
      <c r="O11966" t="s">
        <v>35867</v>
      </c>
      <c r="T11966" t="s">
        <v>35868</v>
      </c>
    </row>
    <row r="11967" spans="1:20" x14ac:dyDescent="0.25">
      <c r="A11967" t="str">
        <f>"3062453"</f>
        <v>3062453</v>
      </c>
      <c r="B11967" t="s">
        <v>35872</v>
      </c>
      <c r="C11967" t="str">
        <f>"8310384"</f>
        <v>8310384</v>
      </c>
      <c r="D11967" t="s">
        <v>35873</v>
      </c>
      <c r="F11967" t="s">
        <v>35874</v>
      </c>
      <c r="I11967" t="s">
        <v>2071</v>
      </c>
      <c r="J11967" t="s">
        <v>30</v>
      </c>
      <c r="K11967" t="s">
        <v>35875</v>
      </c>
      <c r="M11967" t="s">
        <v>17861</v>
      </c>
      <c r="N11967" t="str">
        <f>"9/20/2018 2:14:00 PM"</f>
        <v>9/20/2018 2:14:00 PM</v>
      </c>
      <c r="O11967" t="s">
        <v>35873</v>
      </c>
    </row>
    <row r="11968" spans="1:20" x14ac:dyDescent="0.25">
      <c r="A11968" t="str">
        <f>"3056278"</f>
        <v>3056278</v>
      </c>
      <c r="B11968" t="s">
        <v>35876</v>
      </c>
      <c r="C11968" t="str">
        <f>"35988000"</f>
        <v>35988000</v>
      </c>
      <c r="D11968" t="s">
        <v>35862</v>
      </c>
      <c r="F11968" t="str">
        <f>"C/O LYNN HOBSON"</f>
        <v>C/O LYNN HOBSON</v>
      </c>
      <c r="G11968" t="s">
        <v>35863</v>
      </c>
      <c r="I11968" t="s">
        <v>35864</v>
      </c>
      <c r="J11968" t="s">
        <v>11697</v>
      </c>
      <c r="K11968" t="s">
        <v>35865</v>
      </c>
      <c r="M11968" t="s">
        <v>17922</v>
      </c>
      <c r="N11968" t="str">
        <f>"9/12/2018 2:35:00 PM"</f>
        <v>9/12/2018 2:35:00 PM</v>
      </c>
      <c r="O11968" t="s">
        <v>35862</v>
      </c>
    </row>
    <row r="11969" spans="1:20" x14ac:dyDescent="0.25">
      <c r="A11969" t="str">
        <f>"3038800"</f>
        <v>3038800</v>
      </c>
      <c r="B11969" t="s">
        <v>35877</v>
      </c>
      <c r="C11969" t="str">
        <f>"8304708"</f>
        <v>8304708</v>
      </c>
      <c r="D11969" t="s">
        <v>35878</v>
      </c>
      <c r="F11969" t="s">
        <v>24676</v>
      </c>
      <c r="I11969" t="s">
        <v>184</v>
      </c>
      <c r="J11969" t="s">
        <v>30</v>
      </c>
      <c r="K11969" t="str">
        <f>"27006"</f>
        <v>27006</v>
      </c>
      <c r="M11969" t="s">
        <v>17861</v>
      </c>
      <c r="N11969" t="str">
        <f>"9/14/2018 8:42:00 AM"</f>
        <v>9/14/2018 8:42:00 AM</v>
      </c>
      <c r="O11969" t="s">
        <v>35878</v>
      </c>
    </row>
    <row r="11970" spans="1:20" x14ac:dyDescent="0.25">
      <c r="A11970" t="str">
        <f>"3041298"</f>
        <v>3041298</v>
      </c>
      <c r="B11970" t="s">
        <v>35879</v>
      </c>
      <c r="C11970" t="str">
        <f>"8310394"</f>
        <v>8310394</v>
      </c>
      <c r="D11970" t="s">
        <v>35880</v>
      </c>
      <c r="F11970" t="s">
        <v>35881</v>
      </c>
      <c r="I11970" t="s">
        <v>2071</v>
      </c>
      <c r="J11970" t="s">
        <v>30</v>
      </c>
      <c r="K11970" t="s">
        <v>22364</v>
      </c>
      <c r="M11970" t="s">
        <v>17861</v>
      </c>
      <c r="N11970" t="str">
        <f>"9/21/2018 9:03:00 AM"</f>
        <v>9/21/2018 9:03:00 AM</v>
      </c>
      <c r="O11970" t="s">
        <v>35880</v>
      </c>
    </row>
    <row r="11971" spans="1:20" x14ac:dyDescent="0.25">
      <c r="A11971" t="str">
        <f>"3041476"</f>
        <v>3041476</v>
      </c>
      <c r="B11971" t="s">
        <v>35882</v>
      </c>
      <c r="C11971" t="str">
        <f>"8310313"</f>
        <v>8310313</v>
      </c>
      <c r="D11971" t="s">
        <v>35883</v>
      </c>
      <c r="E11971" t="s">
        <v>35884</v>
      </c>
      <c r="F11971" t="s">
        <v>35885</v>
      </c>
      <c r="I11971" t="s">
        <v>184</v>
      </c>
      <c r="J11971" t="s">
        <v>30</v>
      </c>
      <c r="K11971" t="s">
        <v>34731</v>
      </c>
      <c r="M11971" t="s">
        <v>17861</v>
      </c>
      <c r="N11971" t="str">
        <f>"8/30/2018 12:41:00 PM"</f>
        <v>8/30/2018 12:41:00 PM</v>
      </c>
      <c r="O11971" t="s">
        <v>35883</v>
      </c>
      <c r="T11971" t="s">
        <v>35884</v>
      </c>
    </row>
    <row r="11972" spans="1:20" x14ac:dyDescent="0.25">
      <c r="A11972" t="str">
        <f>"3038983"</f>
        <v>3038983</v>
      </c>
      <c r="B11972" t="s">
        <v>35886</v>
      </c>
      <c r="C11972" t="str">
        <f>"8310399"</f>
        <v>8310399</v>
      </c>
      <c r="D11972" t="s">
        <v>35887</v>
      </c>
      <c r="F11972" t="s">
        <v>35888</v>
      </c>
      <c r="I11972" t="s">
        <v>29</v>
      </c>
      <c r="J11972" t="s">
        <v>30</v>
      </c>
      <c r="K11972" t="s">
        <v>35889</v>
      </c>
      <c r="M11972" t="s">
        <v>17861</v>
      </c>
      <c r="N11972" t="str">
        <f>"9/21/2018 10:24:00 AM"</f>
        <v>9/21/2018 10:24:00 AM</v>
      </c>
      <c r="O11972" t="s">
        <v>35887</v>
      </c>
    </row>
    <row r="11973" spans="1:20" x14ac:dyDescent="0.25">
      <c r="A11973" t="str">
        <f>"3056557"</f>
        <v>3056557</v>
      </c>
      <c r="B11973" t="s">
        <v>35890</v>
      </c>
      <c r="C11973" t="str">
        <f>"8310402"</f>
        <v>8310402</v>
      </c>
      <c r="D11973" t="s">
        <v>35891</v>
      </c>
      <c r="E11973" t="s">
        <v>35892</v>
      </c>
      <c r="F11973" t="s">
        <v>35893</v>
      </c>
      <c r="I11973" t="s">
        <v>29</v>
      </c>
      <c r="J11973" t="s">
        <v>30</v>
      </c>
      <c r="K11973" t="s">
        <v>16542</v>
      </c>
      <c r="M11973" t="s">
        <v>17861</v>
      </c>
      <c r="N11973" t="str">
        <f>"9/21/2018 11:01:00 AM"</f>
        <v>9/21/2018 11:01:00 AM</v>
      </c>
      <c r="O11973" t="s">
        <v>35891</v>
      </c>
      <c r="T11973" t="s">
        <v>35892</v>
      </c>
    </row>
    <row r="11974" spans="1:20" x14ac:dyDescent="0.25">
      <c r="A11974" t="str">
        <f>"3045384"</f>
        <v>3045384</v>
      </c>
      <c r="B11974" t="s">
        <v>35894</v>
      </c>
      <c r="C11974" t="str">
        <f>"8310407"</f>
        <v>8310407</v>
      </c>
      <c r="D11974" t="s">
        <v>35895</v>
      </c>
      <c r="F11974" t="s">
        <v>35896</v>
      </c>
      <c r="I11974" t="s">
        <v>1149</v>
      </c>
      <c r="J11974" t="s">
        <v>30</v>
      </c>
      <c r="K11974" t="str">
        <f>"28634"</f>
        <v>28634</v>
      </c>
      <c r="M11974" t="s">
        <v>17861</v>
      </c>
      <c r="N11974" t="str">
        <f>"9/21/2018 12:39:00 PM"</f>
        <v>9/21/2018 12:39:00 PM</v>
      </c>
      <c r="O11974" t="s">
        <v>35895</v>
      </c>
    </row>
    <row r="11975" spans="1:20" x14ac:dyDescent="0.25">
      <c r="A11975" t="str">
        <f>"3059904"</f>
        <v>3059904</v>
      </c>
      <c r="B11975" t="s">
        <v>35897</v>
      </c>
      <c r="C11975" t="str">
        <f>"8310315"</f>
        <v>8310315</v>
      </c>
      <c r="D11975" t="s">
        <v>35898</v>
      </c>
      <c r="E11975" t="s">
        <v>35899</v>
      </c>
      <c r="F11975" t="s">
        <v>35900</v>
      </c>
      <c r="I11975" t="s">
        <v>29</v>
      </c>
      <c r="J11975" t="s">
        <v>30</v>
      </c>
      <c r="K11975" t="s">
        <v>35901</v>
      </c>
      <c r="M11975" t="s">
        <v>17861</v>
      </c>
      <c r="N11975" t="str">
        <f>"8/30/2018 1:09:00 PM"</f>
        <v>8/30/2018 1:09:00 PM</v>
      </c>
      <c r="O11975" t="s">
        <v>35898</v>
      </c>
      <c r="T11975" t="s">
        <v>35899</v>
      </c>
    </row>
    <row r="11976" spans="1:20" x14ac:dyDescent="0.25">
      <c r="A11976" t="str">
        <f>"3038975"</f>
        <v>3038975</v>
      </c>
      <c r="B11976" t="s">
        <v>35902</v>
      </c>
      <c r="C11976" t="str">
        <f>"8310318"</f>
        <v>8310318</v>
      </c>
      <c r="D11976" t="s">
        <v>35903</v>
      </c>
      <c r="E11976" t="s">
        <v>35904</v>
      </c>
      <c r="F11976" t="s">
        <v>35905</v>
      </c>
      <c r="I11976" t="s">
        <v>29</v>
      </c>
      <c r="J11976" t="s">
        <v>30</v>
      </c>
      <c r="K11976" t="s">
        <v>168</v>
      </c>
      <c r="M11976" t="s">
        <v>17861</v>
      </c>
      <c r="N11976" t="str">
        <f>"8/30/2018 2:07:00 PM"</f>
        <v>8/30/2018 2:07:00 PM</v>
      </c>
      <c r="O11976" t="s">
        <v>35903</v>
      </c>
      <c r="T11976" t="s">
        <v>35904</v>
      </c>
    </row>
    <row r="11977" spans="1:20" x14ac:dyDescent="0.25">
      <c r="A11977" t="str">
        <f>"3037563"</f>
        <v>3037563</v>
      </c>
      <c r="B11977" t="s">
        <v>35906</v>
      </c>
      <c r="C11977" t="str">
        <f>"8310318"</f>
        <v>8310318</v>
      </c>
      <c r="D11977" t="s">
        <v>35903</v>
      </c>
      <c r="E11977" t="s">
        <v>35904</v>
      </c>
      <c r="F11977" t="s">
        <v>35905</v>
      </c>
      <c r="I11977" t="s">
        <v>29</v>
      </c>
      <c r="J11977" t="s">
        <v>30</v>
      </c>
      <c r="K11977" t="s">
        <v>168</v>
      </c>
      <c r="M11977" t="s">
        <v>17861</v>
      </c>
      <c r="N11977" t="str">
        <f>"8/30/2018 2:07:00 PM"</f>
        <v>8/30/2018 2:07:00 PM</v>
      </c>
      <c r="O11977" t="s">
        <v>35903</v>
      </c>
      <c r="T11977" t="s">
        <v>35904</v>
      </c>
    </row>
    <row r="11978" spans="1:20" x14ac:dyDescent="0.25">
      <c r="A11978" t="str">
        <f>"3037981"</f>
        <v>3037981</v>
      </c>
      <c r="B11978" t="s">
        <v>35907</v>
      </c>
      <c r="C11978" t="str">
        <f>"8310318"</f>
        <v>8310318</v>
      </c>
      <c r="D11978" t="s">
        <v>35903</v>
      </c>
      <c r="E11978" t="s">
        <v>35904</v>
      </c>
      <c r="F11978" t="s">
        <v>35905</v>
      </c>
      <c r="I11978" t="s">
        <v>29</v>
      </c>
      <c r="J11978" t="s">
        <v>30</v>
      </c>
      <c r="K11978" t="s">
        <v>168</v>
      </c>
      <c r="M11978" t="s">
        <v>17861</v>
      </c>
      <c r="N11978" t="str">
        <f>"8/30/2018 2:07:00 PM"</f>
        <v>8/30/2018 2:07:00 PM</v>
      </c>
      <c r="O11978" t="s">
        <v>35903</v>
      </c>
      <c r="T11978" t="s">
        <v>35904</v>
      </c>
    </row>
    <row r="11979" spans="1:20" x14ac:dyDescent="0.25">
      <c r="A11979" t="str">
        <f>"3044549"</f>
        <v>3044549</v>
      </c>
      <c r="B11979" t="s">
        <v>35908</v>
      </c>
      <c r="C11979" t="str">
        <f>"8310319"</f>
        <v>8310319</v>
      </c>
      <c r="D11979" t="s">
        <v>35909</v>
      </c>
      <c r="E11979" t="s">
        <v>35910</v>
      </c>
      <c r="F11979" t="s">
        <v>35911</v>
      </c>
      <c r="I11979" t="s">
        <v>184</v>
      </c>
      <c r="J11979" t="s">
        <v>30</v>
      </c>
      <c r="K11979" t="s">
        <v>5811</v>
      </c>
      <c r="M11979" t="s">
        <v>17861</v>
      </c>
      <c r="N11979" t="str">
        <f>"8/30/2018 2:48:00 PM"</f>
        <v>8/30/2018 2:48:00 PM</v>
      </c>
      <c r="O11979" t="s">
        <v>35909</v>
      </c>
      <c r="T11979" t="s">
        <v>35910</v>
      </c>
    </row>
    <row r="11980" spans="1:20" x14ac:dyDescent="0.25">
      <c r="A11980" t="str">
        <f>"3041240"</f>
        <v>3041240</v>
      </c>
      <c r="B11980" t="s">
        <v>35912</v>
      </c>
      <c r="C11980" t="str">
        <f>"8310414"</f>
        <v>8310414</v>
      </c>
      <c r="D11980" t="s">
        <v>35913</v>
      </c>
      <c r="E11980" t="s">
        <v>35914</v>
      </c>
      <c r="F11980" t="s">
        <v>35915</v>
      </c>
      <c r="I11980" t="s">
        <v>184</v>
      </c>
      <c r="J11980" t="s">
        <v>30</v>
      </c>
      <c r="K11980" t="s">
        <v>35916</v>
      </c>
      <c r="M11980" t="s">
        <v>17861</v>
      </c>
      <c r="N11980" t="str">
        <f>"9/21/2018 4:04:00 PM"</f>
        <v>9/21/2018 4:04:00 PM</v>
      </c>
      <c r="O11980" t="s">
        <v>35913</v>
      </c>
      <c r="T11980" t="s">
        <v>35914</v>
      </c>
    </row>
    <row r="11981" spans="1:20" x14ac:dyDescent="0.25">
      <c r="A11981" t="str">
        <f>"3060239"</f>
        <v>3060239</v>
      </c>
      <c r="B11981" t="s">
        <v>35917</v>
      </c>
      <c r="C11981" t="str">
        <f>"8310415"</f>
        <v>8310415</v>
      </c>
      <c r="D11981" t="s">
        <v>35918</v>
      </c>
      <c r="E11981" t="s">
        <v>35919</v>
      </c>
      <c r="F11981" t="s">
        <v>35920</v>
      </c>
      <c r="I11981" t="s">
        <v>184</v>
      </c>
      <c r="J11981" t="s">
        <v>30</v>
      </c>
      <c r="K11981" t="s">
        <v>33177</v>
      </c>
      <c r="M11981" t="s">
        <v>17861</v>
      </c>
      <c r="N11981" t="str">
        <f>"9/21/2018 4:07:00 PM"</f>
        <v>9/21/2018 4:07:00 PM</v>
      </c>
      <c r="O11981" t="s">
        <v>35918</v>
      </c>
      <c r="T11981" t="s">
        <v>35919</v>
      </c>
    </row>
    <row r="11982" spans="1:20" x14ac:dyDescent="0.25">
      <c r="A11982" t="str">
        <f>"3051750"</f>
        <v>3051750</v>
      </c>
      <c r="B11982" t="s">
        <v>35921</v>
      </c>
      <c r="C11982" t="str">
        <f>"8310050"</f>
        <v>8310050</v>
      </c>
      <c r="D11982" t="s">
        <v>35922</v>
      </c>
      <c r="F11982" t="s">
        <v>35923</v>
      </c>
      <c r="I11982" t="s">
        <v>35924</v>
      </c>
      <c r="J11982" t="s">
        <v>35925</v>
      </c>
      <c r="K11982" t="s">
        <v>35926</v>
      </c>
      <c r="M11982" t="s">
        <v>17861</v>
      </c>
      <c r="N11982" t="str">
        <f>"9/24/2018 9:48:00 AM"</f>
        <v>9/24/2018 9:48:00 AM</v>
      </c>
      <c r="O11982" t="s">
        <v>35922</v>
      </c>
    </row>
    <row r="11983" spans="1:20" x14ac:dyDescent="0.25">
      <c r="A11983" t="str">
        <f>"3051728"</f>
        <v>3051728</v>
      </c>
      <c r="B11983" t="s">
        <v>35927</v>
      </c>
      <c r="C11983" t="str">
        <f>"8310050"</f>
        <v>8310050</v>
      </c>
      <c r="D11983" t="s">
        <v>35922</v>
      </c>
      <c r="F11983" t="s">
        <v>35923</v>
      </c>
      <c r="I11983" t="s">
        <v>35924</v>
      </c>
      <c r="J11983" t="s">
        <v>35925</v>
      </c>
      <c r="K11983" t="s">
        <v>35926</v>
      </c>
      <c r="M11983" t="s">
        <v>17861</v>
      </c>
      <c r="N11983" t="str">
        <f>"9/24/2018 9:48:00 AM"</f>
        <v>9/24/2018 9:48:00 AM</v>
      </c>
      <c r="O11983" t="s">
        <v>35922</v>
      </c>
    </row>
    <row r="11984" spans="1:20" x14ac:dyDescent="0.25">
      <c r="A11984" t="str">
        <f>"3058860"</f>
        <v>3058860</v>
      </c>
      <c r="B11984" t="s">
        <v>35928</v>
      </c>
      <c r="C11984" t="str">
        <f>"8310323"</f>
        <v>8310323</v>
      </c>
      <c r="D11984" t="s">
        <v>35929</v>
      </c>
      <c r="F11984" t="s">
        <v>35930</v>
      </c>
      <c r="I11984" t="s">
        <v>29</v>
      </c>
      <c r="J11984" t="s">
        <v>30</v>
      </c>
      <c r="K11984" t="s">
        <v>33654</v>
      </c>
      <c r="M11984" t="s">
        <v>17861</v>
      </c>
      <c r="N11984" t="str">
        <f>"9/24/2018 1:54:00 PM"</f>
        <v>9/24/2018 1:54:00 PM</v>
      </c>
      <c r="O11984" t="s">
        <v>35929</v>
      </c>
    </row>
    <row r="11985" spans="1:20" x14ac:dyDescent="0.25">
      <c r="A11985" t="str">
        <f>"3055019"</f>
        <v>3055019</v>
      </c>
      <c r="B11985" t="s">
        <v>35931</v>
      </c>
      <c r="C11985" t="str">
        <f>"8304934"</f>
        <v>8304934</v>
      </c>
      <c r="D11985" t="s">
        <v>35932</v>
      </c>
      <c r="E11985" t="s">
        <v>35933</v>
      </c>
      <c r="F11985" t="s">
        <v>35934</v>
      </c>
      <c r="I11985" t="s">
        <v>29</v>
      </c>
      <c r="J11985" t="s">
        <v>30</v>
      </c>
      <c r="K11985" t="str">
        <f>"27028"</f>
        <v>27028</v>
      </c>
      <c r="M11985" t="s">
        <v>17922</v>
      </c>
      <c r="N11985" t="str">
        <f>"8/30/2018 4:24:00 PM"</f>
        <v>8/30/2018 4:24:00 PM</v>
      </c>
      <c r="O11985" t="s">
        <v>35932</v>
      </c>
      <c r="T11985" t="s">
        <v>35933</v>
      </c>
    </row>
    <row r="11986" spans="1:20" x14ac:dyDescent="0.25">
      <c r="A11986" t="str">
        <f>"3041617"</f>
        <v>3041617</v>
      </c>
      <c r="B11986" t="s">
        <v>35935</v>
      </c>
      <c r="C11986" t="str">
        <f>"8301203"</f>
        <v>8301203</v>
      </c>
      <c r="D11986" t="s">
        <v>35936</v>
      </c>
      <c r="E11986" t="s">
        <v>35937</v>
      </c>
      <c r="F11986" t="s">
        <v>35938</v>
      </c>
      <c r="I11986" t="s">
        <v>2071</v>
      </c>
      <c r="J11986" t="s">
        <v>30</v>
      </c>
      <c r="K11986" t="str">
        <f>"27006"</f>
        <v>27006</v>
      </c>
      <c r="M11986" t="s">
        <v>32801</v>
      </c>
      <c r="N11986" t="str">
        <f>"8/31/2018 9:16:00 AM"</f>
        <v>8/31/2018 9:16:00 AM</v>
      </c>
      <c r="O11986" t="s">
        <v>35936</v>
      </c>
      <c r="T11986" t="s">
        <v>35937</v>
      </c>
    </row>
    <row r="11987" spans="1:20" x14ac:dyDescent="0.25">
      <c r="A11987" t="str">
        <f>"3046242"</f>
        <v>3046242</v>
      </c>
      <c r="B11987" t="s">
        <v>35939</v>
      </c>
      <c r="C11987" t="str">
        <f>"8310324"</f>
        <v>8310324</v>
      </c>
      <c r="D11987" t="s">
        <v>35940</v>
      </c>
      <c r="E11987" t="s">
        <v>9817</v>
      </c>
      <c r="F11987" t="s">
        <v>35941</v>
      </c>
      <c r="I11987" t="s">
        <v>29</v>
      </c>
      <c r="J11987" t="s">
        <v>30</v>
      </c>
      <c r="K11987" t="s">
        <v>35942</v>
      </c>
      <c r="M11987" t="s">
        <v>17861</v>
      </c>
      <c r="N11987" t="str">
        <f>"8/31/2018 2:32:00 PM"</f>
        <v>8/31/2018 2:32:00 PM</v>
      </c>
      <c r="O11987" t="s">
        <v>35940</v>
      </c>
      <c r="T11987" t="s">
        <v>9817</v>
      </c>
    </row>
    <row r="11988" spans="1:20" x14ac:dyDescent="0.25">
      <c r="A11988" t="str">
        <f>"3062834"</f>
        <v>3062834</v>
      </c>
      <c r="B11988" t="s">
        <v>35943</v>
      </c>
      <c r="C11988" t="str">
        <f>"8310328"</f>
        <v>8310328</v>
      </c>
      <c r="D11988" t="s">
        <v>35944</v>
      </c>
      <c r="E11988" t="s">
        <v>35945</v>
      </c>
      <c r="F11988" t="s">
        <v>35946</v>
      </c>
      <c r="I11988" t="s">
        <v>29</v>
      </c>
      <c r="J11988" t="s">
        <v>30</v>
      </c>
      <c r="K11988" t="s">
        <v>35947</v>
      </c>
      <c r="M11988" t="s">
        <v>17861</v>
      </c>
      <c r="N11988" t="str">
        <f>"8/31/2018 4:08:00 PM"</f>
        <v>8/31/2018 4:08:00 PM</v>
      </c>
      <c r="O11988" t="s">
        <v>35944</v>
      </c>
      <c r="T11988" t="s">
        <v>35945</v>
      </c>
    </row>
    <row r="11989" spans="1:20" x14ac:dyDescent="0.25">
      <c r="A11989" t="str">
        <f>"3059496"</f>
        <v>3059496</v>
      </c>
      <c r="B11989" t="s">
        <v>35948</v>
      </c>
      <c r="C11989" t="str">
        <f>"8310329"</f>
        <v>8310329</v>
      </c>
      <c r="D11989" t="s">
        <v>35949</v>
      </c>
      <c r="E11989" t="s">
        <v>35950</v>
      </c>
      <c r="F11989" t="s">
        <v>35951</v>
      </c>
      <c r="I11989" t="s">
        <v>29</v>
      </c>
      <c r="J11989" t="s">
        <v>30</v>
      </c>
      <c r="K11989" t="s">
        <v>33302</v>
      </c>
      <c r="M11989" t="s">
        <v>17861</v>
      </c>
      <c r="N11989" t="str">
        <f>"8/31/2018 4:12:00 PM"</f>
        <v>8/31/2018 4:12:00 PM</v>
      </c>
      <c r="O11989" t="s">
        <v>35949</v>
      </c>
      <c r="T11989" t="s">
        <v>35950</v>
      </c>
    </row>
    <row r="11990" spans="1:20" x14ac:dyDescent="0.25">
      <c r="A11990" t="str">
        <f>"3049912"</f>
        <v>3049912</v>
      </c>
      <c r="B11990" t="s">
        <v>35952</v>
      </c>
      <c r="C11990" t="str">
        <f>"8308069"</f>
        <v>8308069</v>
      </c>
      <c r="D11990" t="s">
        <v>35953</v>
      </c>
      <c r="E11990" t="s">
        <v>35954</v>
      </c>
      <c r="F11990" t="s">
        <v>35955</v>
      </c>
      <c r="I11990" t="s">
        <v>25280</v>
      </c>
      <c r="J11990" t="s">
        <v>30</v>
      </c>
      <c r="K11990" t="str">
        <f>"27014"</f>
        <v>27014</v>
      </c>
      <c r="M11990" t="s">
        <v>33432</v>
      </c>
      <c r="N11990" t="str">
        <f>"9/5/2018 12:31:00 PM"</f>
        <v>9/5/2018 12:31:00 PM</v>
      </c>
      <c r="O11990" t="s">
        <v>35953</v>
      </c>
      <c r="T11990" t="s">
        <v>35954</v>
      </c>
    </row>
    <row r="11991" spans="1:20" x14ac:dyDescent="0.25">
      <c r="A11991" t="str">
        <f>"3049175"</f>
        <v>3049175</v>
      </c>
      <c r="B11991" t="s">
        <v>35956</v>
      </c>
      <c r="C11991" t="str">
        <f>"56858000"</f>
        <v>56858000</v>
      </c>
      <c r="D11991" t="s">
        <v>35957</v>
      </c>
      <c r="E11991" t="s">
        <v>35958</v>
      </c>
      <c r="F11991" t="s">
        <v>35959</v>
      </c>
      <c r="I11991" t="s">
        <v>3196</v>
      </c>
      <c r="J11991" t="s">
        <v>30</v>
      </c>
      <c r="K11991" t="s">
        <v>32847</v>
      </c>
      <c r="L11991" t="s">
        <v>2497</v>
      </c>
      <c r="M11991" t="s">
        <v>18479</v>
      </c>
      <c r="N11991" t="str">
        <f>"9/5/2018 3:41:00 PM"</f>
        <v>9/5/2018 3:41:00 PM</v>
      </c>
      <c r="O11991" t="s">
        <v>35957</v>
      </c>
      <c r="T11991" t="s">
        <v>35958</v>
      </c>
    </row>
    <row r="11992" spans="1:20" x14ac:dyDescent="0.25">
      <c r="A11992" t="str">
        <f>"3054176"</f>
        <v>3054176</v>
      </c>
      <c r="B11992" t="s">
        <v>35960</v>
      </c>
      <c r="C11992" t="str">
        <f>"56858000"</f>
        <v>56858000</v>
      </c>
      <c r="D11992" t="s">
        <v>35957</v>
      </c>
      <c r="E11992" t="s">
        <v>35958</v>
      </c>
      <c r="F11992" t="s">
        <v>35959</v>
      </c>
      <c r="I11992" t="s">
        <v>3196</v>
      </c>
      <c r="J11992" t="s">
        <v>30</v>
      </c>
      <c r="K11992" t="s">
        <v>32847</v>
      </c>
      <c r="L11992" t="s">
        <v>2497</v>
      </c>
      <c r="M11992" t="s">
        <v>18479</v>
      </c>
      <c r="N11992" t="str">
        <f>"9/5/2018 3:41:00 PM"</f>
        <v>9/5/2018 3:41:00 PM</v>
      </c>
      <c r="O11992" t="s">
        <v>35957</v>
      </c>
      <c r="T11992" t="s">
        <v>35958</v>
      </c>
    </row>
    <row r="11993" spans="1:20" x14ac:dyDescent="0.25">
      <c r="A11993" t="str">
        <f>"3038353"</f>
        <v>3038353</v>
      </c>
      <c r="B11993" t="s">
        <v>35961</v>
      </c>
      <c r="C11993" t="str">
        <f>"8305009"</f>
        <v>8305009</v>
      </c>
      <c r="D11993" t="s">
        <v>35962</v>
      </c>
      <c r="E11993" t="s">
        <v>35963</v>
      </c>
      <c r="F11993" t="s">
        <v>35964</v>
      </c>
      <c r="I11993" t="s">
        <v>17921</v>
      </c>
      <c r="J11993" t="s">
        <v>30</v>
      </c>
      <c r="K11993" t="str">
        <f>"27028"</f>
        <v>27028</v>
      </c>
      <c r="M11993" t="s">
        <v>33845</v>
      </c>
      <c r="N11993" t="str">
        <f>"9/18/2018 9:18:00 AM"</f>
        <v>9/18/2018 9:18:00 AM</v>
      </c>
      <c r="O11993" t="s">
        <v>35962</v>
      </c>
      <c r="T11993" t="s">
        <v>35963</v>
      </c>
    </row>
    <row r="11994" spans="1:20" x14ac:dyDescent="0.25">
      <c r="A11994" t="str">
        <f>"3041472"</f>
        <v>3041472</v>
      </c>
      <c r="B11994" t="s">
        <v>35965</v>
      </c>
      <c r="C11994" t="str">
        <f>"8310367"</f>
        <v>8310367</v>
      </c>
      <c r="D11994" t="s">
        <v>35966</v>
      </c>
      <c r="E11994" t="s">
        <v>35967</v>
      </c>
      <c r="F11994" t="s">
        <v>35968</v>
      </c>
      <c r="I11994" t="s">
        <v>2071</v>
      </c>
      <c r="J11994" t="s">
        <v>30</v>
      </c>
      <c r="K11994" t="s">
        <v>34731</v>
      </c>
      <c r="M11994" t="s">
        <v>17861</v>
      </c>
      <c r="N11994" t="str">
        <f>"9/19/2018 1:04:00 PM"</f>
        <v>9/19/2018 1:04:00 PM</v>
      </c>
      <c r="O11994" t="s">
        <v>35966</v>
      </c>
      <c r="T11994" t="s">
        <v>35967</v>
      </c>
    </row>
    <row r="11995" spans="1:20" x14ac:dyDescent="0.25">
      <c r="A11995" t="str">
        <f>"3061058"</f>
        <v>3061058</v>
      </c>
      <c r="B11995" t="s">
        <v>35969</v>
      </c>
      <c r="C11995" t="str">
        <f>"8310375"</f>
        <v>8310375</v>
      </c>
      <c r="D11995" t="s">
        <v>35970</v>
      </c>
      <c r="E11995" t="s">
        <v>35971</v>
      </c>
      <c r="F11995" t="s">
        <v>35972</v>
      </c>
      <c r="I11995" t="s">
        <v>184</v>
      </c>
      <c r="J11995" t="s">
        <v>30</v>
      </c>
      <c r="K11995" t="s">
        <v>35543</v>
      </c>
      <c r="M11995" t="s">
        <v>17861</v>
      </c>
      <c r="N11995" t="str">
        <f>"9/20/2018 10:50:00 AM"</f>
        <v>9/20/2018 10:50:00 AM</v>
      </c>
      <c r="O11995" t="s">
        <v>35970</v>
      </c>
      <c r="T11995" t="s">
        <v>35971</v>
      </c>
    </row>
    <row r="11996" spans="1:20" x14ac:dyDescent="0.25">
      <c r="A11996" t="str">
        <f>"3059912"</f>
        <v>3059912</v>
      </c>
      <c r="B11996" t="s">
        <v>35973</v>
      </c>
      <c r="C11996" t="str">
        <f>"8310376"</f>
        <v>8310376</v>
      </c>
      <c r="D11996" t="s">
        <v>30140</v>
      </c>
      <c r="E11996" t="s">
        <v>35974</v>
      </c>
      <c r="F11996" t="s">
        <v>35975</v>
      </c>
      <c r="I11996" t="s">
        <v>29</v>
      </c>
      <c r="J11996" t="s">
        <v>30</v>
      </c>
      <c r="K11996" t="s">
        <v>35976</v>
      </c>
      <c r="M11996" t="s">
        <v>17861</v>
      </c>
      <c r="N11996" t="str">
        <f>"9/20/2018 10:52:00 AM"</f>
        <v>9/20/2018 10:52:00 AM</v>
      </c>
      <c r="O11996" t="s">
        <v>30140</v>
      </c>
      <c r="T11996" t="s">
        <v>35974</v>
      </c>
    </row>
    <row r="11997" spans="1:20" x14ac:dyDescent="0.25">
      <c r="A11997" t="str">
        <f>"3038306"</f>
        <v>3038306</v>
      </c>
      <c r="B11997" t="s">
        <v>35977</v>
      </c>
      <c r="C11997" t="str">
        <f>"8310345"</f>
        <v>8310345</v>
      </c>
      <c r="D11997" t="s">
        <v>35978</v>
      </c>
      <c r="F11997" t="s">
        <v>35979</v>
      </c>
      <c r="I11997" t="s">
        <v>29</v>
      </c>
      <c r="J11997" t="s">
        <v>30</v>
      </c>
      <c r="K11997" t="s">
        <v>21204</v>
      </c>
      <c r="M11997" t="s">
        <v>17861</v>
      </c>
      <c r="N11997" t="str">
        <f>"9/6/2018 2:52:00 PM"</f>
        <v>9/6/2018 2:52:00 PM</v>
      </c>
      <c r="O11997" t="s">
        <v>35978</v>
      </c>
    </row>
    <row r="11998" spans="1:20" x14ac:dyDescent="0.25">
      <c r="A11998" t="str">
        <f>"3043644"</f>
        <v>3043644</v>
      </c>
      <c r="B11998" t="s">
        <v>35980</v>
      </c>
      <c r="C11998" t="str">
        <f>"8308783"</f>
        <v>8308783</v>
      </c>
      <c r="D11998" t="s">
        <v>35981</v>
      </c>
      <c r="F11998" t="s">
        <v>35982</v>
      </c>
      <c r="I11998" t="s">
        <v>17921</v>
      </c>
      <c r="J11998" t="s">
        <v>30</v>
      </c>
      <c r="K11998" t="str">
        <f>"27028"</f>
        <v>27028</v>
      </c>
      <c r="M11998" t="s">
        <v>32801</v>
      </c>
      <c r="N11998" t="str">
        <f>"9/6/2018 4:13:00 PM"</f>
        <v>9/6/2018 4:13:00 PM</v>
      </c>
      <c r="O11998" t="s">
        <v>35981</v>
      </c>
    </row>
    <row r="11999" spans="1:20" x14ac:dyDescent="0.25">
      <c r="A11999" t="str">
        <f>"3059150"</f>
        <v>3059150</v>
      </c>
      <c r="B11999" t="s">
        <v>35983</v>
      </c>
      <c r="C11999" t="str">
        <f>"8310379"</f>
        <v>8310379</v>
      </c>
      <c r="D11999" t="s">
        <v>35984</v>
      </c>
      <c r="F11999" t="s">
        <v>35985</v>
      </c>
      <c r="I11999" t="s">
        <v>29</v>
      </c>
      <c r="J11999" t="s">
        <v>30</v>
      </c>
      <c r="K11999" t="s">
        <v>35986</v>
      </c>
      <c r="M11999" t="s">
        <v>17861</v>
      </c>
      <c r="N11999" t="str">
        <f>"9/20/2018 11:21:00 AM"</f>
        <v>9/20/2018 11:21:00 AM</v>
      </c>
      <c r="O11999" t="s">
        <v>35984</v>
      </c>
    </row>
    <row r="12000" spans="1:20" x14ac:dyDescent="0.25">
      <c r="A12000" t="str">
        <f>"3043384"</f>
        <v>3043384</v>
      </c>
      <c r="B12000" t="s">
        <v>35987</v>
      </c>
      <c r="C12000" t="str">
        <f>"8310382"</f>
        <v>8310382</v>
      </c>
      <c r="D12000" t="s">
        <v>35988</v>
      </c>
      <c r="E12000" t="s">
        <v>35989</v>
      </c>
      <c r="F12000" t="s">
        <v>35990</v>
      </c>
      <c r="I12000" t="s">
        <v>29</v>
      </c>
      <c r="J12000" t="s">
        <v>30</v>
      </c>
      <c r="K12000" t="s">
        <v>4538</v>
      </c>
      <c r="M12000" t="s">
        <v>17861</v>
      </c>
      <c r="N12000" t="str">
        <f>"9/20/2018 1:18:00 PM"</f>
        <v>9/20/2018 1:18:00 PM</v>
      </c>
      <c r="O12000" t="s">
        <v>35988</v>
      </c>
      <c r="T12000" t="s">
        <v>35989</v>
      </c>
    </row>
    <row r="12001" spans="1:20" x14ac:dyDescent="0.25">
      <c r="A12001" t="str">
        <f>"3061697"</f>
        <v>3061697</v>
      </c>
      <c r="B12001" t="s">
        <v>35991</v>
      </c>
      <c r="C12001" t="str">
        <f>"8310390"</f>
        <v>8310390</v>
      </c>
      <c r="D12001" t="s">
        <v>35992</v>
      </c>
      <c r="E12001" t="s">
        <v>35993</v>
      </c>
      <c r="F12001" t="s">
        <v>35994</v>
      </c>
      <c r="I12001" t="s">
        <v>2071</v>
      </c>
      <c r="J12001" t="s">
        <v>30</v>
      </c>
      <c r="K12001" t="str">
        <f>"27006"</f>
        <v>27006</v>
      </c>
      <c r="M12001" t="s">
        <v>17861</v>
      </c>
      <c r="N12001" t="str">
        <f>"9/20/2018 3:25:00 PM"</f>
        <v>9/20/2018 3:25:00 PM</v>
      </c>
      <c r="O12001" t="s">
        <v>35992</v>
      </c>
      <c r="T12001" t="s">
        <v>35993</v>
      </c>
    </row>
    <row r="12002" spans="1:20" x14ac:dyDescent="0.25">
      <c r="A12002" t="str">
        <f>"3040822"</f>
        <v>3040822</v>
      </c>
      <c r="B12002" t="s">
        <v>35995</v>
      </c>
      <c r="C12002" t="str">
        <f>"8310392"</f>
        <v>8310392</v>
      </c>
      <c r="D12002" t="s">
        <v>35996</v>
      </c>
      <c r="F12002" t="s">
        <v>35997</v>
      </c>
      <c r="I12002" t="s">
        <v>184</v>
      </c>
      <c r="J12002" t="s">
        <v>30</v>
      </c>
      <c r="K12002" t="s">
        <v>35998</v>
      </c>
      <c r="M12002" t="s">
        <v>17861</v>
      </c>
      <c r="N12002" t="str">
        <f>"9/20/2018 4:05:00 PM"</f>
        <v>9/20/2018 4:05:00 PM</v>
      </c>
      <c r="O12002" t="s">
        <v>35996</v>
      </c>
    </row>
    <row r="12003" spans="1:20" x14ac:dyDescent="0.25">
      <c r="A12003" t="str">
        <f>"3045229"</f>
        <v>3045229</v>
      </c>
      <c r="B12003" t="s">
        <v>35999</v>
      </c>
      <c r="C12003" t="str">
        <f>"8301804"</f>
        <v>8301804</v>
      </c>
      <c r="D12003" t="s">
        <v>36000</v>
      </c>
      <c r="F12003" t="s">
        <v>36001</v>
      </c>
      <c r="I12003" t="s">
        <v>17921</v>
      </c>
      <c r="J12003" t="s">
        <v>30</v>
      </c>
      <c r="K12003" t="str">
        <f>"27028"</f>
        <v>27028</v>
      </c>
      <c r="M12003" t="s">
        <v>33845</v>
      </c>
      <c r="N12003" t="str">
        <f>"9/21/2018 10:23:00 AM"</f>
        <v>9/21/2018 10:23:00 AM</v>
      </c>
      <c r="O12003" t="s">
        <v>36000</v>
      </c>
    </row>
    <row r="12004" spans="1:20" x14ac:dyDescent="0.25">
      <c r="A12004" t="str">
        <f>"3050041"</f>
        <v>3050041</v>
      </c>
      <c r="B12004" t="s">
        <v>36002</v>
      </c>
      <c r="C12004" t="str">
        <f>"82522921"</f>
        <v>82522921</v>
      </c>
      <c r="D12004" t="s">
        <v>36003</v>
      </c>
      <c r="E12004" t="s">
        <v>36004</v>
      </c>
      <c r="F12004" t="s">
        <v>36005</v>
      </c>
      <c r="I12004" t="s">
        <v>36006</v>
      </c>
      <c r="J12004" t="s">
        <v>30</v>
      </c>
      <c r="K12004" t="str">
        <f>"28117"</f>
        <v>28117</v>
      </c>
      <c r="M12004" t="s">
        <v>32801</v>
      </c>
      <c r="N12004" t="str">
        <f>"9/21/2018 1:07:00 PM"</f>
        <v>9/21/2018 1:07:00 PM</v>
      </c>
      <c r="O12004" t="s">
        <v>36003</v>
      </c>
      <c r="T12004" t="s">
        <v>36004</v>
      </c>
    </row>
    <row r="12005" spans="1:20" x14ac:dyDescent="0.25">
      <c r="A12005" t="str">
        <f>"3062966"</f>
        <v>3062966</v>
      </c>
      <c r="B12005" t="s">
        <v>36007</v>
      </c>
      <c r="C12005" t="str">
        <f>"8310409"</f>
        <v>8310409</v>
      </c>
      <c r="D12005" t="s">
        <v>36008</v>
      </c>
      <c r="E12005" t="s">
        <v>36009</v>
      </c>
      <c r="F12005" t="s">
        <v>36010</v>
      </c>
      <c r="I12005" t="s">
        <v>29</v>
      </c>
      <c r="J12005" t="s">
        <v>30</v>
      </c>
      <c r="K12005" t="s">
        <v>36011</v>
      </c>
      <c r="M12005" t="s">
        <v>17861</v>
      </c>
      <c r="N12005" t="str">
        <f>"9/21/2018 3:36:00 PM"</f>
        <v>9/21/2018 3:36:00 PM</v>
      </c>
      <c r="O12005" t="s">
        <v>36008</v>
      </c>
      <c r="T12005" t="s">
        <v>36009</v>
      </c>
    </row>
    <row r="12006" spans="1:20" x14ac:dyDescent="0.25">
      <c r="A12006" t="str">
        <f>"3052335"</f>
        <v>3052335</v>
      </c>
      <c r="B12006" t="s">
        <v>36012</v>
      </c>
      <c r="C12006" t="str">
        <f>"8310410"</f>
        <v>8310410</v>
      </c>
      <c r="D12006" t="s">
        <v>36013</v>
      </c>
      <c r="F12006" t="s">
        <v>36014</v>
      </c>
      <c r="I12006" t="s">
        <v>29</v>
      </c>
      <c r="J12006" t="s">
        <v>30</v>
      </c>
      <c r="K12006" t="s">
        <v>11824</v>
      </c>
      <c r="M12006" t="s">
        <v>17861</v>
      </c>
      <c r="N12006" t="str">
        <f>"9/21/2018 3:38:00 PM"</f>
        <v>9/21/2018 3:38:00 PM</v>
      </c>
      <c r="O12006" t="s">
        <v>36013</v>
      </c>
    </row>
    <row r="12007" spans="1:20" x14ac:dyDescent="0.25">
      <c r="A12007" t="str">
        <f>"3048753"</f>
        <v>3048753</v>
      </c>
      <c r="B12007" t="s">
        <v>36015</v>
      </c>
      <c r="C12007" t="str">
        <f>"8310412"</f>
        <v>8310412</v>
      </c>
      <c r="D12007" t="s">
        <v>36016</v>
      </c>
      <c r="F12007" t="s">
        <v>36017</v>
      </c>
      <c r="I12007" t="s">
        <v>29</v>
      </c>
      <c r="J12007" t="s">
        <v>30</v>
      </c>
      <c r="K12007" t="s">
        <v>36018</v>
      </c>
      <c r="M12007" t="s">
        <v>17861</v>
      </c>
      <c r="N12007" t="str">
        <f>"9/21/2018 3:53:00 PM"</f>
        <v>9/21/2018 3:53:00 PM</v>
      </c>
      <c r="O12007" t="s">
        <v>36016</v>
      </c>
    </row>
    <row r="12008" spans="1:20" x14ac:dyDescent="0.25">
      <c r="A12008" t="str">
        <f>"3060604"</f>
        <v>3060604</v>
      </c>
      <c r="B12008" t="s">
        <v>36019</v>
      </c>
      <c r="C12008" t="str">
        <f>"8310413"</f>
        <v>8310413</v>
      </c>
      <c r="D12008" t="s">
        <v>36020</v>
      </c>
      <c r="E12008" t="s">
        <v>36021</v>
      </c>
      <c r="F12008" t="s">
        <v>36022</v>
      </c>
      <c r="I12008" t="s">
        <v>2071</v>
      </c>
      <c r="J12008" t="s">
        <v>30</v>
      </c>
      <c r="K12008" t="s">
        <v>6427</v>
      </c>
      <c r="M12008" t="s">
        <v>17861</v>
      </c>
      <c r="N12008" t="str">
        <f>"9/21/2018 3:59:00 PM"</f>
        <v>9/21/2018 3:59:00 PM</v>
      </c>
      <c r="O12008" t="s">
        <v>36020</v>
      </c>
      <c r="T12008" t="s">
        <v>36021</v>
      </c>
    </row>
    <row r="12009" spans="1:20" x14ac:dyDescent="0.25">
      <c r="A12009" t="str">
        <f>"3049783"</f>
        <v>3049783</v>
      </c>
      <c r="B12009" t="s">
        <v>36023</v>
      </c>
      <c r="C12009" t="str">
        <f>"8310417"</f>
        <v>8310417</v>
      </c>
      <c r="D12009" t="s">
        <v>36024</v>
      </c>
      <c r="F12009" t="s">
        <v>36025</v>
      </c>
      <c r="I12009" t="s">
        <v>29</v>
      </c>
      <c r="J12009" t="s">
        <v>30</v>
      </c>
      <c r="K12009" t="s">
        <v>9706</v>
      </c>
      <c r="M12009" t="s">
        <v>17861</v>
      </c>
      <c r="N12009" t="str">
        <f>"9/24/2018 3:49:00 PM"</f>
        <v>9/24/2018 3:49:00 PM</v>
      </c>
      <c r="O12009" t="s">
        <v>36024</v>
      </c>
    </row>
    <row r="12010" spans="1:20" x14ac:dyDescent="0.25">
      <c r="A12010" t="str">
        <f>"3043884"</f>
        <v>3043884</v>
      </c>
      <c r="B12010" t="s">
        <v>36026</v>
      </c>
      <c r="C12010" t="str">
        <f>"67456000"</f>
        <v>67456000</v>
      </c>
      <c r="D12010" t="s">
        <v>36027</v>
      </c>
      <c r="E12010" t="s">
        <v>36028</v>
      </c>
      <c r="F12010" t="s">
        <v>36029</v>
      </c>
      <c r="I12010" t="s">
        <v>184</v>
      </c>
      <c r="J12010" t="s">
        <v>30</v>
      </c>
      <c r="K12010" t="s">
        <v>36030</v>
      </c>
      <c r="M12010" t="s">
        <v>25733</v>
      </c>
      <c r="N12010" t="str">
        <f>"9/25/2018 9:15:00 AM"</f>
        <v>9/25/2018 9:15:00 AM</v>
      </c>
      <c r="O12010" t="s">
        <v>36027</v>
      </c>
      <c r="T12010" t="s">
        <v>36028</v>
      </c>
    </row>
    <row r="12011" spans="1:20" x14ac:dyDescent="0.25">
      <c r="A12011" t="str">
        <f>"3048586"</f>
        <v>3048586</v>
      </c>
      <c r="B12011" t="s">
        <v>36031</v>
      </c>
      <c r="C12011" t="str">
        <f>"8308715"</f>
        <v>8308715</v>
      </c>
      <c r="D12011" t="s">
        <v>36032</v>
      </c>
      <c r="E12011" t="s">
        <v>36033</v>
      </c>
      <c r="F12011" t="s">
        <v>36034</v>
      </c>
      <c r="I12011" t="s">
        <v>184</v>
      </c>
      <c r="J12011" t="s">
        <v>30</v>
      </c>
      <c r="K12011" t="str">
        <f>"27006"</f>
        <v>27006</v>
      </c>
      <c r="M12011" t="s">
        <v>34475</v>
      </c>
      <c r="N12011" t="str">
        <f>"9/25/2018 11:38:00 AM"</f>
        <v>9/25/2018 11:38:00 AM</v>
      </c>
      <c r="O12011" t="s">
        <v>36032</v>
      </c>
      <c r="T12011" t="s">
        <v>36033</v>
      </c>
    </row>
    <row r="12012" spans="1:20" x14ac:dyDescent="0.25">
      <c r="A12012" t="str">
        <f>"3038145"</f>
        <v>3038145</v>
      </c>
      <c r="B12012" t="s">
        <v>36035</v>
      </c>
      <c r="C12012" t="str">
        <f>"8310430"</f>
        <v>8310430</v>
      </c>
      <c r="D12012" t="s">
        <v>36036</v>
      </c>
      <c r="F12012" t="s">
        <v>36037</v>
      </c>
      <c r="I12012" t="s">
        <v>29</v>
      </c>
      <c r="J12012" t="s">
        <v>30</v>
      </c>
      <c r="K12012" t="s">
        <v>36038</v>
      </c>
      <c r="M12012" t="s">
        <v>17861</v>
      </c>
      <c r="N12012" t="str">
        <f>"9/28/2018 1:01:00 PM"</f>
        <v>9/28/2018 1:01:00 PM</v>
      </c>
      <c r="O12012" t="s">
        <v>36036</v>
      </c>
    </row>
    <row r="12013" spans="1:20" x14ac:dyDescent="0.25">
      <c r="A12013" t="str">
        <f>"3038125"</f>
        <v>3038125</v>
      </c>
      <c r="B12013" t="s">
        <v>36039</v>
      </c>
      <c r="C12013" t="str">
        <f>"8310430"</f>
        <v>8310430</v>
      </c>
      <c r="D12013" t="s">
        <v>36036</v>
      </c>
      <c r="F12013" t="s">
        <v>36037</v>
      </c>
      <c r="I12013" t="s">
        <v>29</v>
      </c>
      <c r="J12013" t="s">
        <v>30</v>
      </c>
      <c r="K12013" t="s">
        <v>36038</v>
      </c>
      <c r="M12013" t="s">
        <v>17861</v>
      </c>
      <c r="N12013" t="str">
        <f>"9/28/2018 1:01:00 PM"</f>
        <v>9/28/2018 1:01:00 PM</v>
      </c>
      <c r="O12013" t="s">
        <v>36036</v>
      </c>
    </row>
    <row r="12014" spans="1:20" x14ac:dyDescent="0.25">
      <c r="A12014" t="str">
        <f>"3058100"</f>
        <v>3058100</v>
      </c>
      <c r="B12014" t="s">
        <v>36040</v>
      </c>
      <c r="C12014" t="str">
        <f>"8310431"</f>
        <v>8310431</v>
      </c>
      <c r="D12014" t="s">
        <v>36041</v>
      </c>
      <c r="F12014" t="s">
        <v>36042</v>
      </c>
      <c r="I12014" t="s">
        <v>184</v>
      </c>
      <c r="J12014" t="s">
        <v>30</v>
      </c>
      <c r="K12014" t="s">
        <v>22814</v>
      </c>
      <c r="M12014" t="s">
        <v>17861</v>
      </c>
      <c r="N12014" t="str">
        <f>"9/28/2018 1:21:00 PM"</f>
        <v>9/28/2018 1:21:00 PM</v>
      </c>
      <c r="O12014" t="s">
        <v>36041</v>
      </c>
    </row>
    <row r="12015" spans="1:20" x14ac:dyDescent="0.25">
      <c r="A12015" t="str">
        <f>"3054665"</f>
        <v>3054665</v>
      </c>
      <c r="B12015" t="s">
        <v>36043</v>
      </c>
      <c r="C12015" t="str">
        <f>"8310432"</f>
        <v>8310432</v>
      </c>
      <c r="D12015" t="s">
        <v>36044</v>
      </c>
      <c r="F12015" t="s">
        <v>36045</v>
      </c>
      <c r="I12015" t="s">
        <v>29</v>
      </c>
      <c r="J12015" t="s">
        <v>30</v>
      </c>
      <c r="K12015" t="s">
        <v>36046</v>
      </c>
      <c r="M12015" t="s">
        <v>17861</v>
      </c>
      <c r="N12015" t="str">
        <f>"9/28/2018 1:23:00 PM"</f>
        <v>9/28/2018 1:23:00 PM</v>
      </c>
      <c r="O12015" t="s">
        <v>36044</v>
      </c>
    </row>
    <row r="12016" spans="1:20" x14ac:dyDescent="0.25">
      <c r="A12016" t="str">
        <f>"3052844"</f>
        <v>3052844</v>
      </c>
      <c r="B12016" t="s">
        <v>36047</v>
      </c>
      <c r="C12016" t="str">
        <f>"8310465"</f>
        <v>8310465</v>
      </c>
      <c r="D12016" t="s">
        <v>36048</v>
      </c>
      <c r="E12016" t="s">
        <v>36049</v>
      </c>
      <c r="F12016" t="s">
        <v>36050</v>
      </c>
      <c r="I12016" t="s">
        <v>29</v>
      </c>
      <c r="J12016" t="s">
        <v>30</v>
      </c>
      <c r="K12016" t="s">
        <v>11873</v>
      </c>
      <c r="M12016" t="s">
        <v>17861</v>
      </c>
      <c r="N12016" t="str">
        <f>"10/5/2018 10:05:00 AM"</f>
        <v>10/5/2018 10:05:00 AM</v>
      </c>
      <c r="O12016" t="s">
        <v>36048</v>
      </c>
      <c r="T12016" t="s">
        <v>36049</v>
      </c>
    </row>
    <row r="12017" spans="1:20" x14ac:dyDescent="0.25">
      <c r="A12017" t="str">
        <f>"3049651"</f>
        <v>3049651</v>
      </c>
      <c r="B12017" t="s">
        <v>36051</v>
      </c>
      <c r="C12017" t="str">
        <f>"82518259"</f>
        <v>82518259</v>
      </c>
      <c r="D12017" t="s">
        <v>36052</v>
      </c>
      <c r="F12017" t="s">
        <v>36053</v>
      </c>
      <c r="I12017" t="s">
        <v>17921</v>
      </c>
      <c r="J12017" t="s">
        <v>30</v>
      </c>
      <c r="K12017" t="s">
        <v>185</v>
      </c>
      <c r="M12017" t="s">
        <v>17922</v>
      </c>
      <c r="N12017" t="str">
        <f>"10/8/2018 2:26:00 PM"</f>
        <v>10/8/2018 2:26:00 PM</v>
      </c>
      <c r="O12017" t="s">
        <v>36052</v>
      </c>
    </row>
    <row r="12018" spans="1:20" x14ac:dyDescent="0.25">
      <c r="A12018" t="str">
        <f>"3064710"</f>
        <v>3064710</v>
      </c>
      <c r="B12018" t="s">
        <v>36054</v>
      </c>
      <c r="C12018" t="str">
        <f>"8310420"</f>
        <v>8310420</v>
      </c>
      <c r="D12018" t="s">
        <v>36055</v>
      </c>
      <c r="E12018" t="s">
        <v>36056</v>
      </c>
      <c r="F12018" t="s">
        <v>36057</v>
      </c>
      <c r="I12018" t="s">
        <v>9580</v>
      </c>
      <c r="J12018" t="s">
        <v>30</v>
      </c>
      <c r="K12018" t="s">
        <v>36058</v>
      </c>
      <c r="M12018" t="s">
        <v>17861</v>
      </c>
      <c r="N12018" t="str">
        <f>"9/25/2018 3:23:00 PM"</f>
        <v>9/25/2018 3:23:00 PM</v>
      </c>
      <c r="O12018" t="s">
        <v>36055</v>
      </c>
      <c r="T12018" t="s">
        <v>36056</v>
      </c>
    </row>
    <row r="12019" spans="1:20" x14ac:dyDescent="0.25">
      <c r="A12019" t="str">
        <f>"3038672"</f>
        <v>3038672</v>
      </c>
      <c r="B12019" t="s">
        <v>36059</v>
      </c>
      <c r="C12019" t="str">
        <f>"8304173"</f>
        <v>8304173</v>
      </c>
      <c r="D12019" t="s">
        <v>36060</v>
      </c>
      <c r="E12019" t="s">
        <v>36061</v>
      </c>
      <c r="F12019" t="s">
        <v>36062</v>
      </c>
      <c r="I12019" t="s">
        <v>29</v>
      </c>
      <c r="J12019" t="s">
        <v>30</v>
      </c>
      <c r="K12019" t="str">
        <f>"27028"</f>
        <v>27028</v>
      </c>
      <c r="M12019" t="s">
        <v>25733</v>
      </c>
      <c r="N12019" t="str">
        <f>"9/25/2018 3:25:00 PM"</f>
        <v>9/25/2018 3:25:00 PM</v>
      </c>
      <c r="O12019" t="s">
        <v>36060</v>
      </c>
      <c r="T12019" t="s">
        <v>36061</v>
      </c>
    </row>
    <row r="12020" spans="1:20" x14ac:dyDescent="0.25">
      <c r="A12020" t="str">
        <f>"3058475"</f>
        <v>3058475</v>
      </c>
      <c r="B12020" t="s">
        <v>36063</v>
      </c>
      <c r="C12020" t="str">
        <f>"20756000"</f>
        <v>20756000</v>
      </c>
      <c r="D12020" t="s">
        <v>36064</v>
      </c>
      <c r="E12020" t="s">
        <v>36065</v>
      </c>
      <c r="F12020" t="s">
        <v>36066</v>
      </c>
      <c r="I12020" t="s">
        <v>29</v>
      </c>
      <c r="J12020" t="s">
        <v>30</v>
      </c>
      <c r="K12020" t="s">
        <v>31</v>
      </c>
      <c r="M12020" t="s">
        <v>34475</v>
      </c>
      <c r="N12020" t="str">
        <f>"9/26/2018 10:09:00 AM"</f>
        <v>9/26/2018 10:09:00 AM</v>
      </c>
      <c r="O12020" t="s">
        <v>36064</v>
      </c>
      <c r="T12020" t="s">
        <v>36065</v>
      </c>
    </row>
    <row r="12021" spans="1:20" x14ac:dyDescent="0.25">
      <c r="A12021" t="str">
        <f>"3051592"</f>
        <v>3051592</v>
      </c>
      <c r="B12021" t="s">
        <v>36067</v>
      </c>
      <c r="C12021" t="str">
        <f>"82527777"</f>
        <v>82527777</v>
      </c>
      <c r="D12021" t="s">
        <v>36068</v>
      </c>
      <c r="F12021" t="s">
        <v>36069</v>
      </c>
      <c r="I12021" t="s">
        <v>29</v>
      </c>
      <c r="J12021" t="s">
        <v>30</v>
      </c>
      <c r="K12021" t="s">
        <v>31</v>
      </c>
      <c r="M12021" t="s">
        <v>25733</v>
      </c>
      <c r="N12021" t="str">
        <f>"9/26/2018 2:26:00 PM"</f>
        <v>9/26/2018 2:26:00 PM</v>
      </c>
      <c r="O12021" t="s">
        <v>36068</v>
      </c>
    </row>
    <row r="12022" spans="1:20" x14ac:dyDescent="0.25">
      <c r="A12022" t="str">
        <f>"3046799"</f>
        <v>3046799</v>
      </c>
      <c r="B12022" t="s">
        <v>36070</v>
      </c>
      <c r="C12022" t="str">
        <f>"8310428"</f>
        <v>8310428</v>
      </c>
      <c r="D12022" t="s">
        <v>36071</v>
      </c>
      <c r="F12022" t="s">
        <v>36072</v>
      </c>
      <c r="I12022" t="s">
        <v>184</v>
      </c>
      <c r="J12022" t="s">
        <v>30</v>
      </c>
      <c r="K12022" t="s">
        <v>36073</v>
      </c>
      <c r="M12022" t="s">
        <v>17861</v>
      </c>
      <c r="N12022" t="str">
        <f>"9/26/2018 3:43:00 PM"</f>
        <v>9/26/2018 3:43:00 PM</v>
      </c>
      <c r="O12022" t="s">
        <v>36071</v>
      </c>
    </row>
    <row r="12023" spans="1:20" x14ac:dyDescent="0.25">
      <c r="A12023" t="str">
        <f>"3044247"</f>
        <v>3044247</v>
      </c>
      <c r="B12023" t="s">
        <v>36074</v>
      </c>
      <c r="C12023" t="str">
        <f>"51301000"</f>
        <v>51301000</v>
      </c>
      <c r="D12023" t="s">
        <v>36075</v>
      </c>
      <c r="E12023" t="s">
        <v>36076</v>
      </c>
      <c r="F12023" t="s">
        <v>36077</v>
      </c>
      <c r="I12023" t="s">
        <v>184</v>
      </c>
      <c r="J12023" t="s">
        <v>30</v>
      </c>
      <c r="K12023" t="s">
        <v>185</v>
      </c>
      <c r="M12023" t="s">
        <v>33845</v>
      </c>
      <c r="N12023" t="str">
        <f>"9/27/2018 3:17:00 PM"</f>
        <v>9/27/2018 3:17:00 PM</v>
      </c>
      <c r="O12023" t="s">
        <v>36075</v>
      </c>
      <c r="T12023" t="s">
        <v>36076</v>
      </c>
    </row>
    <row r="12024" spans="1:20" x14ac:dyDescent="0.25">
      <c r="A12024" t="str">
        <f>"3060574"</f>
        <v>3060574</v>
      </c>
      <c r="B12024" t="s">
        <v>36078</v>
      </c>
      <c r="C12024" t="str">
        <f>"8310467"</f>
        <v>8310467</v>
      </c>
      <c r="D12024" t="s">
        <v>36079</v>
      </c>
      <c r="E12024" t="s">
        <v>36080</v>
      </c>
      <c r="F12024" t="s">
        <v>36081</v>
      </c>
      <c r="I12024" t="s">
        <v>2071</v>
      </c>
      <c r="J12024" t="s">
        <v>30</v>
      </c>
      <c r="K12024" t="s">
        <v>6374</v>
      </c>
      <c r="M12024" t="s">
        <v>17861</v>
      </c>
      <c r="N12024" t="str">
        <f>"10/8/2018 11:19:00 AM"</f>
        <v>10/8/2018 11:19:00 AM</v>
      </c>
      <c r="O12024" t="s">
        <v>36079</v>
      </c>
      <c r="T12024" t="s">
        <v>36080</v>
      </c>
    </row>
    <row r="12025" spans="1:20" x14ac:dyDescent="0.25">
      <c r="A12025" t="str">
        <f>"3037352"</f>
        <v>3037352</v>
      </c>
      <c r="B12025" t="s">
        <v>36082</v>
      </c>
      <c r="C12025" t="str">
        <f>"8310469"</f>
        <v>8310469</v>
      </c>
      <c r="D12025" t="s">
        <v>36083</v>
      </c>
      <c r="E12025" t="s">
        <v>36084</v>
      </c>
      <c r="F12025" t="s">
        <v>36085</v>
      </c>
      <c r="I12025" t="s">
        <v>184</v>
      </c>
      <c r="J12025" t="s">
        <v>30</v>
      </c>
      <c r="K12025" t="s">
        <v>36086</v>
      </c>
      <c r="M12025" t="s">
        <v>17861</v>
      </c>
      <c r="N12025" t="str">
        <f>"10/8/2018 1:43:00 PM"</f>
        <v>10/8/2018 1:43:00 PM</v>
      </c>
      <c r="O12025" t="s">
        <v>36083</v>
      </c>
      <c r="T12025" t="s">
        <v>36084</v>
      </c>
    </row>
    <row r="12026" spans="1:20" x14ac:dyDescent="0.25">
      <c r="A12026" t="str">
        <f>"3076805"</f>
        <v>3076805</v>
      </c>
      <c r="B12026" t="s">
        <v>36087</v>
      </c>
      <c r="C12026" t="str">
        <f>"8310470"</f>
        <v>8310470</v>
      </c>
      <c r="D12026" t="s">
        <v>36088</v>
      </c>
      <c r="E12026" t="s">
        <v>36089</v>
      </c>
      <c r="F12026" t="s">
        <v>36090</v>
      </c>
      <c r="I12026" t="s">
        <v>17921</v>
      </c>
      <c r="J12026" t="s">
        <v>30</v>
      </c>
      <c r="K12026" t="str">
        <f>"27028"</f>
        <v>27028</v>
      </c>
      <c r="M12026" t="s">
        <v>17861</v>
      </c>
      <c r="N12026" t="str">
        <f>"10/8/2018 2:02:00 PM"</f>
        <v>10/8/2018 2:02:00 PM</v>
      </c>
      <c r="O12026" t="s">
        <v>36088</v>
      </c>
      <c r="T12026" t="s">
        <v>36089</v>
      </c>
    </row>
    <row r="12027" spans="1:20" x14ac:dyDescent="0.25">
      <c r="A12027" t="str">
        <f>"3051950"</f>
        <v>3051950</v>
      </c>
      <c r="B12027" t="s">
        <v>36091</v>
      </c>
      <c r="C12027" t="str">
        <f>"8306259"</f>
        <v>8306259</v>
      </c>
      <c r="D12027" t="s">
        <v>36092</v>
      </c>
      <c r="F12027" t="s">
        <v>36093</v>
      </c>
      <c r="I12027" t="s">
        <v>29</v>
      </c>
      <c r="J12027" t="s">
        <v>30</v>
      </c>
      <c r="K12027" t="str">
        <f>"27028"</f>
        <v>27028</v>
      </c>
      <c r="M12027" t="s">
        <v>25733</v>
      </c>
      <c r="N12027" t="str">
        <f>"10/16/2018 3:01:00 PM"</f>
        <v>10/16/2018 3:01:00 PM</v>
      </c>
      <c r="O12027" t="s">
        <v>36092</v>
      </c>
    </row>
    <row r="12028" spans="1:20" x14ac:dyDescent="0.25">
      <c r="A12028" t="str">
        <f>"3054044"</f>
        <v>3054044</v>
      </c>
      <c r="B12028" t="s">
        <v>36094</v>
      </c>
      <c r="C12028" t="str">
        <f>"8310489"</f>
        <v>8310489</v>
      </c>
      <c r="D12028" t="s">
        <v>36095</v>
      </c>
      <c r="E12028" t="s">
        <v>36096</v>
      </c>
      <c r="F12028" t="s">
        <v>36097</v>
      </c>
      <c r="I12028" t="s">
        <v>29</v>
      </c>
      <c r="J12028" t="s">
        <v>30</v>
      </c>
      <c r="K12028" t="s">
        <v>14785</v>
      </c>
      <c r="M12028" t="s">
        <v>17861</v>
      </c>
      <c r="N12028" t="str">
        <f>"10/16/2018 3:37:00 PM"</f>
        <v>10/16/2018 3:37:00 PM</v>
      </c>
      <c r="O12028" t="s">
        <v>36095</v>
      </c>
      <c r="T12028" t="s">
        <v>36096</v>
      </c>
    </row>
    <row r="12029" spans="1:20" x14ac:dyDescent="0.25">
      <c r="A12029" t="str">
        <f>"3052795"</f>
        <v>3052795</v>
      </c>
      <c r="B12029" t="s">
        <v>36098</v>
      </c>
      <c r="C12029" t="str">
        <f>"27014000"</f>
        <v>27014000</v>
      </c>
      <c r="D12029" t="s">
        <v>36099</v>
      </c>
      <c r="F12029" t="s">
        <v>36100</v>
      </c>
      <c r="I12029" t="s">
        <v>36101</v>
      </c>
      <c r="J12029" t="s">
        <v>30</v>
      </c>
      <c r="K12029" t="s">
        <v>36102</v>
      </c>
      <c r="M12029" t="s">
        <v>33845</v>
      </c>
      <c r="N12029" t="str">
        <f>"10/16/2018 3:42:00 PM"</f>
        <v>10/16/2018 3:42:00 PM</v>
      </c>
      <c r="O12029" t="s">
        <v>36099</v>
      </c>
    </row>
    <row r="12030" spans="1:20" x14ac:dyDescent="0.25">
      <c r="A12030" t="str">
        <f>"3049649"</f>
        <v>3049649</v>
      </c>
      <c r="B12030" t="s">
        <v>36103</v>
      </c>
      <c r="C12030" t="str">
        <f>"82518259"</f>
        <v>82518259</v>
      </c>
      <c r="D12030" t="s">
        <v>36052</v>
      </c>
      <c r="F12030" t="s">
        <v>36053</v>
      </c>
      <c r="I12030" t="s">
        <v>17921</v>
      </c>
      <c r="J12030" t="s">
        <v>30</v>
      </c>
      <c r="K12030" t="s">
        <v>185</v>
      </c>
      <c r="M12030" t="s">
        <v>17922</v>
      </c>
      <c r="N12030" t="str">
        <f>"10/8/2018 2:26:00 PM"</f>
        <v>10/8/2018 2:26:00 PM</v>
      </c>
      <c r="O12030" t="s">
        <v>36052</v>
      </c>
    </row>
    <row r="12031" spans="1:20" x14ac:dyDescent="0.25">
      <c r="A12031" t="str">
        <f>"3052843"</f>
        <v>3052843</v>
      </c>
      <c r="B12031" t="s">
        <v>36104</v>
      </c>
      <c r="C12031" t="str">
        <f>"8310434"</f>
        <v>8310434</v>
      </c>
      <c r="D12031" t="s">
        <v>36105</v>
      </c>
      <c r="F12031" t="s">
        <v>36106</v>
      </c>
      <c r="I12031" t="s">
        <v>29</v>
      </c>
      <c r="J12031" t="s">
        <v>30</v>
      </c>
      <c r="K12031" t="s">
        <v>36107</v>
      </c>
      <c r="M12031" t="s">
        <v>17861</v>
      </c>
      <c r="N12031" t="str">
        <f>"10/1/2018 1:54:00 PM"</f>
        <v>10/1/2018 1:54:00 PM</v>
      </c>
      <c r="O12031" t="s">
        <v>36105</v>
      </c>
    </row>
    <row r="12032" spans="1:20" x14ac:dyDescent="0.25">
      <c r="A12032" t="str">
        <f>"3041706"</f>
        <v>3041706</v>
      </c>
      <c r="B12032" t="s">
        <v>36108</v>
      </c>
      <c r="C12032" t="str">
        <f>"82527522"</f>
        <v>82527522</v>
      </c>
      <c r="D12032" t="s">
        <v>36109</v>
      </c>
      <c r="F12032" t="s">
        <v>36110</v>
      </c>
      <c r="I12032" t="s">
        <v>2071</v>
      </c>
      <c r="J12032" t="s">
        <v>30</v>
      </c>
      <c r="K12032" t="s">
        <v>185</v>
      </c>
      <c r="M12032" t="s">
        <v>25733</v>
      </c>
      <c r="N12032" t="str">
        <f>"10/16/2018 3:53:00 PM"</f>
        <v>10/16/2018 3:53:00 PM</v>
      </c>
      <c r="O12032" t="s">
        <v>36109</v>
      </c>
    </row>
    <row r="12033" spans="1:20" x14ac:dyDescent="0.25">
      <c r="A12033" t="str">
        <f>"3037855"</f>
        <v>3037855</v>
      </c>
      <c r="B12033" t="s">
        <v>36111</v>
      </c>
      <c r="C12033" t="str">
        <f>"8310492"</f>
        <v>8310492</v>
      </c>
      <c r="D12033" t="s">
        <v>36112</v>
      </c>
      <c r="F12033" t="s">
        <v>36113</v>
      </c>
      <c r="I12033" t="s">
        <v>29</v>
      </c>
      <c r="J12033" t="s">
        <v>30</v>
      </c>
      <c r="K12033" t="s">
        <v>36114</v>
      </c>
      <c r="M12033" t="s">
        <v>17861</v>
      </c>
      <c r="N12033" t="str">
        <f>"10/16/2018 4:03:00 PM"</f>
        <v>10/16/2018 4:03:00 PM</v>
      </c>
      <c r="O12033" t="s">
        <v>36112</v>
      </c>
    </row>
    <row r="12034" spans="1:20" x14ac:dyDescent="0.25">
      <c r="A12034" t="str">
        <f>"3038937"</f>
        <v>3038937</v>
      </c>
      <c r="B12034" t="s">
        <v>36115</v>
      </c>
      <c r="C12034" t="str">
        <f>"8310492"</f>
        <v>8310492</v>
      </c>
      <c r="D12034" t="s">
        <v>36112</v>
      </c>
      <c r="F12034" t="s">
        <v>36113</v>
      </c>
      <c r="I12034" t="s">
        <v>29</v>
      </c>
      <c r="J12034" t="s">
        <v>30</v>
      </c>
      <c r="K12034" t="s">
        <v>36114</v>
      </c>
      <c r="M12034" t="s">
        <v>17861</v>
      </c>
      <c r="N12034" t="str">
        <f>"10/16/2018 4:03:00 PM"</f>
        <v>10/16/2018 4:03:00 PM</v>
      </c>
      <c r="O12034" t="s">
        <v>36112</v>
      </c>
    </row>
    <row r="12035" spans="1:20" x14ac:dyDescent="0.25">
      <c r="A12035" t="str">
        <f>"3038932"</f>
        <v>3038932</v>
      </c>
      <c r="B12035" t="s">
        <v>36116</v>
      </c>
      <c r="C12035" t="str">
        <f>"8310493"</f>
        <v>8310493</v>
      </c>
      <c r="D12035" t="s">
        <v>36117</v>
      </c>
      <c r="E12035" t="s">
        <v>36118</v>
      </c>
      <c r="F12035" t="s">
        <v>36119</v>
      </c>
      <c r="I12035" t="s">
        <v>29</v>
      </c>
      <c r="J12035" t="s">
        <v>30</v>
      </c>
      <c r="K12035" t="s">
        <v>36120</v>
      </c>
      <c r="M12035" t="s">
        <v>17861</v>
      </c>
      <c r="N12035" t="str">
        <f>"10/16/2018 4:09:00 PM"</f>
        <v>10/16/2018 4:09:00 PM</v>
      </c>
      <c r="O12035" t="s">
        <v>36117</v>
      </c>
      <c r="T12035" t="s">
        <v>36118</v>
      </c>
    </row>
    <row r="12036" spans="1:20" x14ac:dyDescent="0.25">
      <c r="A12036" t="str">
        <f>"3060741"</f>
        <v>3060741</v>
      </c>
      <c r="B12036" t="s">
        <v>36121</v>
      </c>
      <c r="C12036" t="str">
        <f>"8310494"</f>
        <v>8310494</v>
      </c>
      <c r="D12036" t="s">
        <v>36122</v>
      </c>
      <c r="F12036" t="s">
        <v>36123</v>
      </c>
      <c r="I12036" t="s">
        <v>184</v>
      </c>
      <c r="J12036" t="s">
        <v>30</v>
      </c>
      <c r="K12036" t="s">
        <v>5057</v>
      </c>
      <c r="M12036" t="s">
        <v>17861</v>
      </c>
      <c r="N12036" t="str">
        <f>"10/16/2018 4:11:00 PM"</f>
        <v>10/16/2018 4:11:00 PM</v>
      </c>
      <c r="O12036" t="s">
        <v>36122</v>
      </c>
    </row>
    <row r="12037" spans="1:20" x14ac:dyDescent="0.25">
      <c r="A12037" t="str">
        <f>"3044842"</f>
        <v>3044842</v>
      </c>
      <c r="B12037" t="s">
        <v>36124</v>
      </c>
      <c r="C12037" t="str">
        <f>"8310495"</f>
        <v>8310495</v>
      </c>
      <c r="D12037" t="s">
        <v>36125</v>
      </c>
      <c r="E12037" t="s">
        <v>36126</v>
      </c>
      <c r="F12037" t="s">
        <v>36127</v>
      </c>
      <c r="I12037" t="s">
        <v>2071</v>
      </c>
      <c r="J12037" t="s">
        <v>30</v>
      </c>
      <c r="K12037" t="str">
        <f>"27006"</f>
        <v>27006</v>
      </c>
      <c r="M12037" t="s">
        <v>17861</v>
      </c>
      <c r="N12037" t="str">
        <f>"10/16/2018 4:13:00 PM"</f>
        <v>10/16/2018 4:13:00 PM</v>
      </c>
      <c r="O12037" t="s">
        <v>36125</v>
      </c>
      <c r="T12037" t="s">
        <v>36126</v>
      </c>
    </row>
    <row r="12038" spans="1:20" x14ac:dyDescent="0.25">
      <c r="A12038" t="str">
        <f>"3060036"</f>
        <v>3060036</v>
      </c>
      <c r="B12038" t="s">
        <v>36128</v>
      </c>
      <c r="C12038" t="str">
        <f>"8310496"</f>
        <v>8310496</v>
      </c>
      <c r="D12038" t="s">
        <v>36129</v>
      </c>
      <c r="E12038" t="s">
        <v>36130</v>
      </c>
      <c r="F12038" t="s">
        <v>36131</v>
      </c>
      <c r="I12038" t="s">
        <v>184</v>
      </c>
      <c r="J12038" t="s">
        <v>30</v>
      </c>
      <c r="K12038" t="s">
        <v>36132</v>
      </c>
      <c r="M12038" t="s">
        <v>17861</v>
      </c>
      <c r="N12038" t="str">
        <f>"10/16/2018 4:23:00 PM"</f>
        <v>10/16/2018 4:23:00 PM</v>
      </c>
      <c r="O12038" t="s">
        <v>36129</v>
      </c>
      <c r="T12038" t="s">
        <v>36130</v>
      </c>
    </row>
    <row r="12039" spans="1:20" x14ac:dyDescent="0.25">
      <c r="A12039" t="str">
        <f>"3057061"</f>
        <v>3057061</v>
      </c>
      <c r="B12039" t="s">
        <v>36133</v>
      </c>
      <c r="C12039" t="str">
        <f>"8310498"</f>
        <v>8310498</v>
      </c>
      <c r="D12039" t="s">
        <v>36134</v>
      </c>
      <c r="F12039" t="s">
        <v>36135</v>
      </c>
      <c r="I12039" t="s">
        <v>184</v>
      </c>
      <c r="J12039" t="s">
        <v>30</v>
      </c>
      <c r="K12039" t="s">
        <v>36136</v>
      </c>
      <c r="M12039" t="s">
        <v>17861</v>
      </c>
      <c r="N12039" t="str">
        <f>"10/17/2018 9:20:00 AM"</f>
        <v>10/17/2018 9:20:00 AM</v>
      </c>
      <c r="O12039" t="s">
        <v>36134</v>
      </c>
    </row>
    <row r="12040" spans="1:20" x14ac:dyDescent="0.25">
      <c r="A12040" t="str">
        <f>"3060238"</f>
        <v>3060238</v>
      </c>
      <c r="B12040" t="s">
        <v>36137</v>
      </c>
      <c r="C12040" t="str">
        <f>"8310436"</f>
        <v>8310436</v>
      </c>
      <c r="D12040" t="s">
        <v>36138</v>
      </c>
      <c r="E12040" t="s">
        <v>36139</v>
      </c>
      <c r="F12040" t="s">
        <v>36140</v>
      </c>
      <c r="I12040" t="s">
        <v>184</v>
      </c>
      <c r="J12040" t="s">
        <v>30</v>
      </c>
      <c r="K12040" t="s">
        <v>36141</v>
      </c>
      <c r="M12040" t="s">
        <v>17861</v>
      </c>
      <c r="N12040" t="str">
        <f>"10/2/2018 1:53:00 PM"</f>
        <v>10/2/2018 1:53:00 PM</v>
      </c>
      <c r="O12040" t="s">
        <v>36138</v>
      </c>
      <c r="T12040" t="s">
        <v>36139</v>
      </c>
    </row>
    <row r="12041" spans="1:20" x14ac:dyDescent="0.25">
      <c r="A12041" t="str">
        <f>"3054790"</f>
        <v>3054790</v>
      </c>
      <c r="B12041" t="s">
        <v>36142</v>
      </c>
      <c r="C12041" t="str">
        <f>"8310438"</f>
        <v>8310438</v>
      </c>
      <c r="D12041" t="s">
        <v>36143</v>
      </c>
      <c r="E12041" t="s">
        <v>36144</v>
      </c>
      <c r="F12041" t="s">
        <v>36145</v>
      </c>
      <c r="I12041" t="s">
        <v>29</v>
      </c>
      <c r="J12041" t="s">
        <v>30</v>
      </c>
      <c r="K12041" t="s">
        <v>36146</v>
      </c>
      <c r="M12041" t="s">
        <v>17861</v>
      </c>
      <c r="N12041" t="str">
        <f>"10/3/2018 8:52:00 AM"</f>
        <v>10/3/2018 8:52:00 AM</v>
      </c>
      <c r="O12041" t="s">
        <v>36143</v>
      </c>
      <c r="T12041" t="s">
        <v>36144</v>
      </c>
    </row>
    <row r="12042" spans="1:20" x14ac:dyDescent="0.25">
      <c r="A12042" t="str">
        <f>"3066768"</f>
        <v>3066768</v>
      </c>
      <c r="B12042" t="s">
        <v>36147</v>
      </c>
      <c r="C12042" t="str">
        <f>"8310440"</f>
        <v>8310440</v>
      </c>
      <c r="D12042" t="s">
        <v>36148</v>
      </c>
      <c r="E12042" t="s">
        <v>36149</v>
      </c>
      <c r="F12042" t="s">
        <v>36150</v>
      </c>
      <c r="I12042" t="s">
        <v>4502</v>
      </c>
      <c r="J12042" t="s">
        <v>30</v>
      </c>
      <c r="K12042" t="s">
        <v>36151</v>
      </c>
      <c r="M12042" t="s">
        <v>17861</v>
      </c>
      <c r="N12042" t="str">
        <f>"10/3/2018 10:56:00 AM"</f>
        <v>10/3/2018 10:56:00 AM</v>
      </c>
      <c r="O12042" t="s">
        <v>36148</v>
      </c>
      <c r="T12042" t="s">
        <v>36149</v>
      </c>
    </row>
    <row r="12043" spans="1:20" x14ac:dyDescent="0.25">
      <c r="A12043" t="str">
        <f>"3056292"</f>
        <v>3056292</v>
      </c>
      <c r="B12043" t="s">
        <v>36152</v>
      </c>
      <c r="C12043" t="str">
        <f>"35960000"</f>
        <v>35960000</v>
      </c>
      <c r="D12043" t="s">
        <v>36153</v>
      </c>
      <c r="F12043" t="str">
        <f>"C/O LYNN HOBSON"</f>
        <v>C/O LYNN HOBSON</v>
      </c>
      <c r="G12043" t="s">
        <v>36154</v>
      </c>
      <c r="I12043" t="s">
        <v>35864</v>
      </c>
      <c r="J12043" t="s">
        <v>11697</v>
      </c>
      <c r="K12043" t="s">
        <v>35865</v>
      </c>
      <c r="M12043" t="s">
        <v>17861</v>
      </c>
      <c r="N12043" t="str">
        <f>"10/19/2018 1:17:00 PM"</f>
        <v>10/19/2018 1:17:00 PM</v>
      </c>
      <c r="O12043" t="s">
        <v>36153</v>
      </c>
    </row>
    <row r="12044" spans="1:20" x14ac:dyDescent="0.25">
      <c r="A12044" t="str">
        <f>"3050893"</f>
        <v>3050893</v>
      </c>
      <c r="B12044" t="s">
        <v>36155</v>
      </c>
      <c r="C12044" t="str">
        <f>"82519511"</f>
        <v>82519511</v>
      </c>
      <c r="D12044" t="s">
        <v>36156</v>
      </c>
      <c r="E12044" t="s">
        <v>36157</v>
      </c>
      <c r="F12044" t="s">
        <v>36158</v>
      </c>
      <c r="I12044" t="s">
        <v>184</v>
      </c>
      <c r="K12044" t="s">
        <v>185</v>
      </c>
      <c r="M12044" t="s">
        <v>17861</v>
      </c>
      <c r="N12044" t="str">
        <f>"10/22/2018 8:45:00 AM"</f>
        <v>10/22/2018 8:45:00 AM</v>
      </c>
      <c r="O12044" t="s">
        <v>36156</v>
      </c>
      <c r="T12044" t="s">
        <v>36157</v>
      </c>
    </row>
    <row r="12045" spans="1:20" x14ac:dyDescent="0.25">
      <c r="A12045" t="str">
        <f>"3060763"</f>
        <v>3060763</v>
      </c>
      <c r="B12045" t="s">
        <v>36159</v>
      </c>
      <c r="C12045" t="str">
        <f>"8310441"</f>
        <v>8310441</v>
      </c>
      <c r="D12045" t="s">
        <v>36160</v>
      </c>
      <c r="E12045" t="s">
        <v>36161</v>
      </c>
      <c r="F12045" t="s">
        <v>36162</v>
      </c>
      <c r="I12045" t="s">
        <v>2071</v>
      </c>
      <c r="J12045" t="s">
        <v>30</v>
      </c>
      <c r="K12045" t="s">
        <v>4231</v>
      </c>
      <c r="M12045" t="s">
        <v>17861</v>
      </c>
      <c r="N12045" t="str">
        <f>"10/3/2018 10:59:00 AM"</f>
        <v>10/3/2018 10:59:00 AM</v>
      </c>
      <c r="O12045" t="s">
        <v>36160</v>
      </c>
      <c r="T12045" t="s">
        <v>36161</v>
      </c>
    </row>
    <row r="12046" spans="1:20" x14ac:dyDescent="0.25">
      <c r="A12046" t="str">
        <f>"3060405"</f>
        <v>3060405</v>
      </c>
      <c r="B12046" t="s">
        <v>36163</v>
      </c>
      <c r="C12046" t="str">
        <f>"8310442"</f>
        <v>8310442</v>
      </c>
      <c r="D12046" t="s">
        <v>36164</v>
      </c>
      <c r="F12046" t="s">
        <v>36165</v>
      </c>
      <c r="I12046" t="s">
        <v>2071</v>
      </c>
      <c r="J12046" t="s">
        <v>30</v>
      </c>
      <c r="K12046" t="s">
        <v>3728</v>
      </c>
      <c r="M12046" t="s">
        <v>17861</v>
      </c>
      <c r="N12046" t="str">
        <f>"10/3/2018 11:01:00 AM"</f>
        <v>10/3/2018 11:01:00 AM</v>
      </c>
      <c r="O12046" t="s">
        <v>36164</v>
      </c>
    </row>
    <row r="12047" spans="1:20" x14ac:dyDescent="0.25">
      <c r="A12047" t="str">
        <f>"3067621"</f>
        <v>3067621</v>
      </c>
      <c r="B12047" t="s">
        <v>36166</v>
      </c>
      <c r="C12047" t="str">
        <f>"8310443"</f>
        <v>8310443</v>
      </c>
      <c r="D12047" t="s">
        <v>36167</v>
      </c>
      <c r="E12047" t="s">
        <v>36168</v>
      </c>
      <c r="F12047" t="s">
        <v>36169</v>
      </c>
      <c r="I12047" t="s">
        <v>29</v>
      </c>
      <c r="J12047" t="s">
        <v>30</v>
      </c>
      <c r="K12047" t="s">
        <v>36170</v>
      </c>
      <c r="M12047" t="s">
        <v>17861</v>
      </c>
      <c r="N12047" t="str">
        <f>"10/3/2018 11:41:00 AM"</f>
        <v>10/3/2018 11:41:00 AM</v>
      </c>
      <c r="O12047" t="s">
        <v>36167</v>
      </c>
      <c r="T12047" t="s">
        <v>36168</v>
      </c>
    </row>
    <row r="12048" spans="1:20" x14ac:dyDescent="0.25">
      <c r="A12048" t="str">
        <f>"3045592"</f>
        <v>3045592</v>
      </c>
      <c r="B12048" t="s">
        <v>36171</v>
      </c>
      <c r="C12048" t="str">
        <f>"8310446"</f>
        <v>8310446</v>
      </c>
      <c r="D12048" t="s">
        <v>36172</v>
      </c>
      <c r="E12048" t="s">
        <v>36173</v>
      </c>
      <c r="F12048" t="s">
        <v>36174</v>
      </c>
      <c r="I12048" t="s">
        <v>29</v>
      </c>
      <c r="J12048" t="s">
        <v>30</v>
      </c>
      <c r="K12048" t="s">
        <v>36175</v>
      </c>
      <c r="M12048" t="s">
        <v>17861</v>
      </c>
      <c r="N12048" t="str">
        <f>"10/3/2018 12:43:00 PM"</f>
        <v>10/3/2018 12:43:00 PM</v>
      </c>
      <c r="O12048" t="s">
        <v>36172</v>
      </c>
      <c r="T12048" t="s">
        <v>36173</v>
      </c>
    </row>
    <row r="12049" spans="1:20" x14ac:dyDescent="0.25">
      <c r="A12049" t="str">
        <f>"3049909"</f>
        <v>3049909</v>
      </c>
      <c r="B12049" t="s">
        <v>36176</v>
      </c>
      <c r="C12049" t="str">
        <f>"8310513"</f>
        <v>8310513</v>
      </c>
      <c r="D12049" t="s">
        <v>36177</v>
      </c>
      <c r="E12049" t="s">
        <v>36178</v>
      </c>
      <c r="F12049" t="s">
        <v>36179</v>
      </c>
      <c r="I12049" t="s">
        <v>29</v>
      </c>
      <c r="J12049" t="s">
        <v>30</v>
      </c>
      <c r="K12049" t="s">
        <v>33487</v>
      </c>
      <c r="M12049" t="s">
        <v>17861</v>
      </c>
      <c r="N12049" t="str">
        <f>"10/22/2018 2:06:00 PM"</f>
        <v>10/22/2018 2:06:00 PM</v>
      </c>
      <c r="O12049" t="s">
        <v>36177</v>
      </c>
      <c r="T12049" t="s">
        <v>36178</v>
      </c>
    </row>
    <row r="12050" spans="1:20" x14ac:dyDescent="0.25">
      <c r="A12050" t="str">
        <f>"3054938"</f>
        <v>3054938</v>
      </c>
      <c r="B12050" t="s">
        <v>36180</v>
      </c>
      <c r="C12050" t="str">
        <f>"74178000"</f>
        <v>74178000</v>
      </c>
      <c r="D12050" t="s">
        <v>36181</v>
      </c>
      <c r="E12050" t="s">
        <v>36182</v>
      </c>
      <c r="F12050" t="s">
        <v>36183</v>
      </c>
      <c r="I12050" t="s">
        <v>36184</v>
      </c>
      <c r="J12050" t="s">
        <v>4132</v>
      </c>
      <c r="K12050" t="str">
        <f>"29726"</f>
        <v>29726</v>
      </c>
      <c r="M12050" t="s">
        <v>33432</v>
      </c>
      <c r="N12050" t="str">
        <f>"10/22/2018 2:28:00 PM"</f>
        <v>10/22/2018 2:28:00 PM</v>
      </c>
      <c r="O12050" t="s">
        <v>36181</v>
      </c>
      <c r="T12050" t="s">
        <v>36182</v>
      </c>
    </row>
    <row r="12051" spans="1:20" x14ac:dyDescent="0.25">
      <c r="A12051" t="str">
        <f>"3044592"</f>
        <v>3044592</v>
      </c>
      <c r="B12051" t="s">
        <v>36185</v>
      </c>
      <c r="C12051" t="str">
        <f>"8310515"</f>
        <v>8310515</v>
      </c>
      <c r="D12051" t="s">
        <v>36186</v>
      </c>
      <c r="F12051" t="s">
        <v>36187</v>
      </c>
      <c r="I12051" t="s">
        <v>184</v>
      </c>
      <c r="J12051" t="s">
        <v>30</v>
      </c>
      <c r="K12051" t="s">
        <v>33908</v>
      </c>
      <c r="M12051" t="s">
        <v>17861</v>
      </c>
      <c r="N12051" t="str">
        <f>"10/22/2018 2:39:00 PM"</f>
        <v>10/22/2018 2:39:00 PM</v>
      </c>
      <c r="O12051" t="s">
        <v>36186</v>
      </c>
    </row>
    <row r="12052" spans="1:20" x14ac:dyDescent="0.25">
      <c r="A12052" t="str">
        <f>"3060685"</f>
        <v>3060685</v>
      </c>
      <c r="B12052" t="s">
        <v>36188</v>
      </c>
      <c r="C12052" t="str">
        <f>"8310516"</f>
        <v>8310516</v>
      </c>
      <c r="D12052" t="s">
        <v>36189</v>
      </c>
      <c r="E12052" t="s">
        <v>36190</v>
      </c>
      <c r="F12052" t="s">
        <v>36191</v>
      </c>
      <c r="I12052" t="s">
        <v>2071</v>
      </c>
      <c r="J12052" t="s">
        <v>30</v>
      </c>
      <c r="K12052" t="s">
        <v>6342</v>
      </c>
      <c r="M12052" t="s">
        <v>17861</v>
      </c>
      <c r="N12052" t="str">
        <f>"10/22/2018 2:52:00 PM"</f>
        <v>10/22/2018 2:52:00 PM</v>
      </c>
      <c r="O12052" t="s">
        <v>36189</v>
      </c>
      <c r="T12052" t="s">
        <v>36190</v>
      </c>
    </row>
    <row r="12053" spans="1:20" x14ac:dyDescent="0.25">
      <c r="A12053" t="str">
        <f>"3048311"</f>
        <v>3048311</v>
      </c>
      <c r="B12053" t="s">
        <v>36192</v>
      </c>
      <c r="C12053" t="str">
        <f>"8310517"</f>
        <v>8310517</v>
      </c>
      <c r="D12053" t="s">
        <v>36193</v>
      </c>
      <c r="F12053" t="s">
        <v>36194</v>
      </c>
      <c r="I12053" t="s">
        <v>29</v>
      </c>
      <c r="J12053" t="s">
        <v>30</v>
      </c>
      <c r="K12053" t="s">
        <v>10984</v>
      </c>
      <c r="M12053" t="s">
        <v>17861</v>
      </c>
      <c r="N12053" t="str">
        <f>"10/22/2018 3:20:00 PM"</f>
        <v>10/22/2018 3:20:00 PM</v>
      </c>
      <c r="O12053" t="s">
        <v>36193</v>
      </c>
    </row>
    <row r="12054" spans="1:20" x14ac:dyDescent="0.25">
      <c r="A12054" t="str">
        <f>"3046073"</f>
        <v>3046073</v>
      </c>
      <c r="B12054" t="s">
        <v>36195</v>
      </c>
      <c r="C12054" t="str">
        <f>"8310518"</f>
        <v>8310518</v>
      </c>
      <c r="D12054" t="s">
        <v>36196</v>
      </c>
      <c r="E12054" t="s">
        <v>36197</v>
      </c>
      <c r="F12054" t="s">
        <v>36198</v>
      </c>
      <c r="I12054" t="s">
        <v>29</v>
      </c>
      <c r="J12054" t="s">
        <v>30</v>
      </c>
      <c r="K12054" t="s">
        <v>36199</v>
      </c>
      <c r="M12054" t="s">
        <v>17861</v>
      </c>
      <c r="N12054" t="str">
        <f>"10/22/2018 3:22:00 PM"</f>
        <v>10/22/2018 3:22:00 PM</v>
      </c>
      <c r="O12054" t="s">
        <v>36196</v>
      </c>
      <c r="T12054" t="s">
        <v>36197</v>
      </c>
    </row>
    <row r="12055" spans="1:20" x14ac:dyDescent="0.25">
      <c r="A12055" t="str">
        <f>"3052027"</f>
        <v>3052027</v>
      </c>
      <c r="B12055" t="s">
        <v>36200</v>
      </c>
      <c r="C12055" t="str">
        <f>"8310519"</f>
        <v>8310519</v>
      </c>
      <c r="D12055" t="s">
        <v>36201</v>
      </c>
      <c r="E12055" t="s">
        <v>36202</v>
      </c>
      <c r="F12055" t="s">
        <v>36203</v>
      </c>
      <c r="I12055" t="s">
        <v>29</v>
      </c>
      <c r="J12055" t="s">
        <v>30</v>
      </c>
      <c r="K12055" t="s">
        <v>36204</v>
      </c>
      <c r="M12055" t="s">
        <v>17861</v>
      </c>
      <c r="N12055" t="str">
        <f>"10/22/2018 3:25:00 PM"</f>
        <v>10/22/2018 3:25:00 PM</v>
      </c>
      <c r="O12055" t="s">
        <v>36201</v>
      </c>
      <c r="T12055" t="s">
        <v>36202</v>
      </c>
    </row>
    <row r="12056" spans="1:20" x14ac:dyDescent="0.25">
      <c r="A12056" t="str">
        <f>"3059595"</f>
        <v>3059595</v>
      </c>
      <c r="B12056" t="s">
        <v>36205</v>
      </c>
      <c r="C12056" t="str">
        <f>"8310520"</f>
        <v>8310520</v>
      </c>
      <c r="D12056" t="s">
        <v>36206</v>
      </c>
      <c r="F12056" t="s">
        <v>36207</v>
      </c>
      <c r="I12056" t="s">
        <v>29</v>
      </c>
      <c r="J12056" t="s">
        <v>30</v>
      </c>
      <c r="K12056" t="s">
        <v>36208</v>
      </c>
      <c r="M12056" t="s">
        <v>17861</v>
      </c>
      <c r="N12056" t="str">
        <f>"10/22/2018 3:31:00 PM"</f>
        <v>10/22/2018 3:31:00 PM</v>
      </c>
      <c r="O12056" t="s">
        <v>36206</v>
      </c>
    </row>
    <row r="12057" spans="1:20" x14ac:dyDescent="0.25">
      <c r="A12057" t="str">
        <f>"3043309"</f>
        <v>3043309</v>
      </c>
      <c r="B12057" t="s">
        <v>36209</v>
      </c>
      <c r="C12057" t="str">
        <f>"82521304"</f>
        <v>82521304</v>
      </c>
      <c r="D12057" t="s">
        <v>36210</v>
      </c>
      <c r="F12057" t="s">
        <v>36211</v>
      </c>
      <c r="I12057" t="s">
        <v>29</v>
      </c>
      <c r="J12057" t="s">
        <v>30</v>
      </c>
      <c r="K12057" t="s">
        <v>31</v>
      </c>
      <c r="M12057" t="s">
        <v>33845</v>
      </c>
      <c r="N12057" t="str">
        <f>"10/3/2018 12:43:00 PM"</f>
        <v>10/3/2018 12:43:00 PM</v>
      </c>
      <c r="O12057" t="s">
        <v>36210</v>
      </c>
    </row>
    <row r="12058" spans="1:20" x14ac:dyDescent="0.25">
      <c r="A12058" t="str">
        <f>"3041411"</f>
        <v>3041411</v>
      </c>
      <c r="B12058" t="s">
        <v>36212</v>
      </c>
      <c r="C12058" t="str">
        <f>"8310448"</f>
        <v>8310448</v>
      </c>
      <c r="D12058" t="s">
        <v>36213</v>
      </c>
      <c r="F12058" t="s">
        <v>36214</v>
      </c>
      <c r="I12058" t="s">
        <v>2071</v>
      </c>
      <c r="J12058" t="s">
        <v>30</v>
      </c>
      <c r="K12058" t="s">
        <v>36215</v>
      </c>
      <c r="M12058" t="s">
        <v>17861</v>
      </c>
      <c r="N12058" t="str">
        <f>"10/3/2018 12:58:00 PM"</f>
        <v>10/3/2018 12:58:00 PM</v>
      </c>
      <c r="O12058" t="s">
        <v>36213</v>
      </c>
    </row>
    <row r="12059" spans="1:20" x14ac:dyDescent="0.25">
      <c r="A12059" t="str">
        <f>"3058802"</f>
        <v>3058802</v>
      </c>
      <c r="B12059" t="s">
        <v>36216</v>
      </c>
      <c r="C12059" t="str">
        <f>"8310523"</f>
        <v>8310523</v>
      </c>
      <c r="D12059" t="str">
        <f>"STANFORD DONALD/BONNIE REV LIV"</f>
        <v>STANFORD DONALD/BONNIE REV LIV</v>
      </c>
      <c r="E12059" t="str">
        <f>"STANFORD DONALD/BONNIE CO-TRUS"</f>
        <v>STANFORD DONALD/BONNIE CO-TRUS</v>
      </c>
      <c r="F12059" t="s">
        <v>36217</v>
      </c>
      <c r="I12059" t="s">
        <v>29</v>
      </c>
      <c r="J12059" t="s">
        <v>30</v>
      </c>
      <c r="K12059" t="s">
        <v>36218</v>
      </c>
      <c r="M12059" t="s">
        <v>17861</v>
      </c>
      <c r="N12059" t="str">
        <f>"10/23/2018 9:38:00 AM"</f>
        <v>10/23/2018 9:38:00 AM</v>
      </c>
      <c r="O12059" t="str">
        <f>"STANFORD DONALD/BONNIE REV LIV"</f>
        <v>STANFORD DONALD/BONNIE REV LIV</v>
      </c>
      <c r="T12059" t="str">
        <f>"STANFORD DONALD/BONNIE CO-TRUS"</f>
        <v>STANFORD DONALD/BONNIE CO-TRUS</v>
      </c>
    </row>
    <row r="12060" spans="1:20" x14ac:dyDescent="0.25">
      <c r="A12060" t="str">
        <f>"3040537"</f>
        <v>3040537</v>
      </c>
      <c r="B12060" t="s">
        <v>36219</v>
      </c>
      <c r="C12060" t="str">
        <f>"8310525"</f>
        <v>8310525</v>
      </c>
      <c r="D12060" t="s">
        <v>36220</v>
      </c>
      <c r="F12060" t="s">
        <v>36221</v>
      </c>
      <c r="I12060" t="s">
        <v>36222</v>
      </c>
      <c r="J12060" t="s">
        <v>3737</v>
      </c>
      <c r="K12060" t="s">
        <v>36223</v>
      </c>
      <c r="M12060" t="s">
        <v>17861</v>
      </c>
      <c r="N12060" t="str">
        <f>"10/23/2018 10:06:00 AM"</f>
        <v>10/23/2018 10:06:00 AM</v>
      </c>
      <c r="O12060" t="s">
        <v>36220</v>
      </c>
    </row>
    <row r="12061" spans="1:20" x14ac:dyDescent="0.25">
      <c r="A12061" t="str">
        <f>"3061841"</f>
        <v>3061841</v>
      </c>
      <c r="B12061" t="s">
        <v>36224</v>
      </c>
      <c r="C12061" t="str">
        <f>"8310449"</f>
        <v>8310449</v>
      </c>
      <c r="D12061" t="s">
        <v>36225</v>
      </c>
      <c r="F12061" t="s">
        <v>36226</v>
      </c>
      <c r="I12061" t="s">
        <v>29</v>
      </c>
      <c r="J12061" t="s">
        <v>30</v>
      </c>
      <c r="K12061" t="s">
        <v>33498</v>
      </c>
      <c r="M12061" t="s">
        <v>17861</v>
      </c>
      <c r="N12061" t="str">
        <f>"10/3/2018 1:05:00 PM"</f>
        <v>10/3/2018 1:05:00 PM</v>
      </c>
      <c r="O12061" t="s">
        <v>36225</v>
      </c>
    </row>
    <row r="12062" spans="1:20" x14ac:dyDescent="0.25">
      <c r="A12062" t="str">
        <f>"3052930"</f>
        <v>3052930</v>
      </c>
      <c r="B12062" t="s">
        <v>36227</v>
      </c>
      <c r="C12062" t="str">
        <f>"8310450"</f>
        <v>8310450</v>
      </c>
      <c r="D12062" t="s">
        <v>36228</v>
      </c>
      <c r="E12062" t="s">
        <v>36229</v>
      </c>
      <c r="F12062" t="s">
        <v>36230</v>
      </c>
      <c r="I12062" t="s">
        <v>29</v>
      </c>
      <c r="J12062" t="s">
        <v>30</v>
      </c>
      <c r="K12062" t="s">
        <v>36231</v>
      </c>
      <c r="M12062" t="s">
        <v>17861</v>
      </c>
      <c r="N12062" t="str">
        <f>"10/3/2018 1:14:00 PM"</f>
        <v>10/3/2018 1:14:00 PM</v>
      </c>
      <c r="O12062" t="s">
        <v>36228</v>
      </c>
      <c r="T12062" t="s">
        <v>36229</v>
      </c>
    </row>
    <row r="12063" spans="1:20" x14ac:dyDescent="0.25">
      <c r="A12063" t="str">
        <f>"3050661"</f>
        <v>3050661</v>
      </c>
      <c r="B12063" t="s">
        <v>36232</v>
      </c>
      <c r="C12063" t="str">
        <f>"8310533"</f>
        <v>8310533</v>
      </c>
      <c r="D12063" t="s">
        <v>36233</v>
      </c>
      <c r="F12063" t="s">
        <v>36234</v>
      </c>
      <c r="I12063" t="s">
        <v>184</v>
      </c>
      <c r="J12063" t="s">
        <v>30</v>
      </c>
      <c r="K12063" t="s">
        <v>36235</v>
      </c>
      <c r="M12063" t="s">
        <v>17861</v>
      </c>
      <c r="N12063" t="str">
        <f>"10/26/2018 9:12:00 AM"</f>
        <v>10/26/2018 9:12:00 AM</v>
      </c>
      <c r="O12063" t="s">
        <v>36233</v>
      </c>
    </row>
    <row r="12064" spans="1:20" x14ac:dyDescent="0.25">
      <c r="A12064" t="str">
        <f>"3060879"</f>
        <v>3060879</v>
      </c>
      <c r="B12064" t="s">
        <v>36236</v>
      </c>
      <c r="C12064" t="str">
        <f>"8310534"</f>
        <v>8310534</v>
      </c>
      <c r="D12064" t="s">
        <v>36237</v>
      </c>
      <c r="E12064" t="s">
        <v>36238</v>
      </c>
      <c r="F12064" t="s">
        <v>36239</v>
      </c>
      <c r="I12064" t="s">
        <v>184</v>
      </c>
      <c r="J12064" t="s">
        <v>30</v>
      </c>
      <c r="K12064" t="s">
        <v>33852</v>
      </c>
      <c r="M12064" t="s">
        <v>17861</v>
      </c>
      <c r="N12064" t="str">
        <f>"10/26/2018 9:17:00 AM"</f>
        <v>10/26/2018 9:17:00 AM</v>
      </c>
      <c r="O12064" t="s">
        <v>36237</v>
      </c>
      <c r="T12064" t="s">
        <v>36238</v>
      </c>
    </row>
    <row r="12065" spans="1:20" x14ac:dyDescent="0.25">
      <c r="A12065" t="str">
        <f>"3061315"</f>
        <v>3061315</v>
      </c>
      <c r="B12065" t="s">
        <v>36240</v>
      </c>
      <c r="C12065" t="str">
        <f>"8310537"</f>
        <v>8310537</v>
      </c>
      <c r="D12065" t="s">
        <v>36241</v>
      </c>
      <c r="F12065" t="s">
        <v>36242</v>
      </c>
      <c r="I12065" t="s">
        <v>2071</v>
      </c>
      <c r="J12065" t="s">
        <v>30</v>
      </c>
      <c r="K12065" t="s">
        <v>36243</v>
      </c>
      <c r="M12065" t="s">
        <v>17861</v>
      </c>
      <c r="N12065" t="str">
        <f>"10/26/2018 10:38:00 AM"</f>
        <v>10/26/2018 10:38:00 AM</v>
      </c>
      <c r="O12065" t="s">
        <v>36241</v>
      </c>
    </row>
    <row r="12066" spans="1:20" x14ac:dyDescent="0.25">
      <c r="A12066" t="str">
        <f>"3059651"</f>
        <v>3059651</v>
      </c>
      <c r="B12066" t="s">
        <v>36244</v>
      </c>
      <c r="C12066" t="str">
        <f>"8310538"</f>
        <v>8310538</v>
      </c>
      <c r="D12066" t="s">
        <v>36245</v>
      </c>
      <c r="E12066" t="s">
        <v>36246</v>
      </c>
      <c r="F12066" t="s">
        <v>36247</v>
      </c>
      <c r="I12066" t="s">
        <v>29</v>
      </c>
      <c r="J12066" t="s">
        <v>30</v>
      </c>
      <c r="K12066" t="s">
        <v>13608</v>
      </c>
      <c r="M12066" t="s">
        <v>17861</v>
      </c>
      <c r="N12066" t="str">
        <f>"10/26/2018 10:41:00 AM"</f>
        <v>10/26/2018 10:41:00 AM</v>
      </c>
      <c r="O12066" t="s">
        <v>36245</v>
      </c>
      <c r="T12066" t="s">
        <v>36246</v>
      </c>
    </row>
    <row r="12067" spans="1:20" x14ac:dyDescent="0.25">
      <c r="A12067" t="str">
        <f>"3070987"</f>
        <v>3070987</v>
      </c>
      <c r="B12067" t="s">
        <v>36248</v>
      </c>
      <c r="C12067" t="str">
        <f>"8310539"</f>
        <v>8310539</v>
      </c>
      <c r="D12067" t="s">
        <v>16967</v>
      </c>
      <c r="F12067" t="s">
        <v>36249</v>
      </c>
      <c r="I12067" t="s">
        <v>29</v>
      </c>
      <c r="J12067" t="s">
        <v>30</v>
      </c>
      <c r="K12067" t="s">
        <v>16112</v>
      </c>
      <c r="M12067" t="s">
        <v>17861</v>
      </c>
      <c r="N12067" t="str">
        <f>"10/26/2018 10:51:00 AM"</f>
        <v>10/26/2018 10:51:00 AM</v>
      </c>
      <c r="O12067" t="s">
        <v>16967</v>
      </c>
    </row>
    <row r="12068" spans="1:20" x14ac:dyDescent="0.25">
      <c r="A12068" t="str">
        <f>"3054471"</f>
        <v>3054471</v>
      </c>
      <c r="B12068" t="s">
        <v>36250</v>
      </c>
      <c r="C12068" t="str">
        <f>"8310539"</f>
        <v>8310539</v>
      </c>
      <c r="D12068" t="s">
        <v>16967</v>
      </c>
      <c r="F12068" t="s">
        <v>36249</v>
      </c>
      <c r="I12068" t="s">
        <v>29</v>
      </c>
      <c r="J12068" t="s">
        <v>30</v>
      </c>
      <c r="K12068" t="s">
        <v>16112</v>
      </c>
      <c r="M12068" t="s">
        <v>17861</v>
      </c>
      <c r="N12068" t="str">
        <f>"10/26/2018 10:51:00 AM"</f>
        <v>10/26/2018 10:51:00 AM</v>
      </c>
      <c r="O12068" t="s">
        <v>16967</v>
      </c>
    </row>
    <row r="12069" spans="1:20" x14ac:dyDescent="0.25">
      <c r="A12069" t="str">
        <f>"3054108"</f>
        <v>3054108</v>
      </c>
      <c r="B12069" t="s">
        <v>36251</v>
      </c>
      <c r="C12069" t="str">
        <f>"8310539"</f>
        <v>8310539</v>
      </c>
      <c r="D12069" t="s">
        <v>16967</v>
      </c>
      <c r="F12069" t="s">
        <v>36249</v>
      </c>
      <c r="I12069" t="s">
        <v>29</v>
      </c>
      <c r="J12069" t="s">
        <v>30</v>
      </c>
      <c r="K12069" t="s">
        <v>16112</v>
      </c>
      <c r="M12069" t="s">
        <v>17861</v>
      </c>
      <c r="N12069" t="str">
        <f>"10/26/2018 10:51:00 AM"</f>
        <v>10/26/2018 10:51:00 AM</v>
      </c>
      <c r="O12069" t="s">
        <v>16967</v>
      </c>
    </row>
    <row r="12070" spans="1:20" x14ac:dyDescent="0.25">
      <c r="A12070" t="str">
        <f>"3047014"</f>
        <v>3047014</v>
      </c>
      <c r="B12070" t="s">
        <v>36252</v>
      </c>
      <c r="C12070" t="str">
        <f>"8310452"</f>
        <v>8310452</v>
      </c>
      <c r="D12070" t="s">
        <v>36253</v>
      </c>
      <c r="E12070" t="s">
        <v>36254</v>
      </c>
      <c r="F12070" t="s">
        <v>36255</v>
      </c>
      <c r="I12070" t="s">
        <v>29</v>
      </c>
      <c r="J12070" t="s">
        <v>30</v>
      </c>
      <c r="K12070" t="s">
        <v>36256</v>
      </c>
      <c r="M12070" t="s">
        <v>17861</v>
      </c>
      <c r="N12070" t="str">
        <f>"10/3/2018 1:28:00 PM"</f>
        <v>10/3/2018 1:28:00 PM</v>
      </c>
      <c r="O12070" t="s">
        <v>36253</v>
      </c>
      <c r="T12070" t="s">
        <v>36254</v>
      </c>
    </row>
    <row r="12071" spans="1:20" x14ac:dyDescent="0.25">
      <c r="A12071" t="str">
        <f>"3050907"</f>
        <v>3050907</v>
      </c>
      <c r="B12071" t="s">
        <v>36257</v>
      </c>
      <c r="C12071" t="str">
        <f>"8310456"</f>
        <v>8310456</v>
      </c>
      <c r="D12071" t="s">
        <v>36258</v>
      </c>
      <c r="E12071" t="s">
        <v>36259</v>
      </c>
      <c r="F12071" t="s">
        <v>36260</v>
      </c>
      <c r="I12071" t="s">
        <v>184</v>
      </c>
      <c r="J12071" t="s">
        <v>30</v>
      </c>
      <c r="K12071" t="s">
        <v>26530</v>
      </c>
      <c r="M12071" t="s">
        <v>17861</v>
      </c>
      <c r="N12071" t="str">
        <f>"10/3/2018 1:51:00 PM"</f>
        <v>10/3/2018 1:51:00 PM</v>
      </c>
      <c r="O12071" t="s">
        <v>36258</v>
      </c>
      <c r="T12071" t="s">
        <v>36259</v>
      </c>
    </row>
    <row r="12072" spans="1:20" x14ac:dyDescent="0.25">
      <c r="A12072" t="str">
        <f>"3044485"</f>
        <v>3044485</v>
      </c>
      <c r="B12072" t="s">
        <v>36261</v>
      </c>
      <c r="C12072" t="str">
        <f>"8310542"</f>
        <v>8310542</v>
      </c>
      <c r="D12072" t="s">
        <v>36262</v>
      </c>
      <c r="E12072" t="s">
        <v>36263</v>
      </c>
      <c r="F12072" t="s">
        <v>36264</v>
      </c>
      <c r="I12072" t="s">
        <v>184</v>
      </c>
      <c r="J12072" t="s">
        <v>30</v>
      </c>
      <c r="K12072" t="s">
        <v>5629</v>
      </c>
      <c r="M12072" t="s">
        <v>17861</v>
      </c>
      <c r="N12072" t="str">
        <f>"10/26/2018 11:03:00 AM"</f>
        <v>10/26/2018 11:03:00 AM</v>
      </c>
      <c r="O12072" t="s">
        <v>36262</v>
      </c>
      <c r="T12072" t="s">
        <v>36263</v>
      </c>
    </row>
    <row r="12073" spans="1:20" x14ac:dyDescent="0.25">
      <c r="A12073" t="str">
        <f>"3046141"</f>
        <v>3046141</v>
      </c>
      <c r="B12073" t="s">
        <v>36265</v>
      </c>
      <c r="C12073" t="str">
        <f>"8310544"</f>
        <v>8310544</v>
      </c>
      <c r="D12073" t="s">
        <v>36266</v>
      </c>
      <c r="E12073" t="s">
        <v>36267</v>
      </c>
      <c r="F12073" t="s">
        <v>36268</v>
      </c>
      <c r="I12073" t="s">
        <v>17921</v>
      </c>
      <c r="J12073" t="s">
        <v>30</v>
      </c>
      <c r="K12073" t="str">
        <f>"27028"</f>
        <v>27028</v>
      </c>
      <c r="M12073" t="s">
        <v>17861</v>
      </c>
      <c r="N12073" t="str">
        <f>"10/26/2018 1:03:00 PM"</f>
        <v>10/26/2018 1:03:00 PM</v>
      </c>
      <c r="O12073" t="s">
        <v>36266</v>
      </c>
      <c r="T12073" t="s">
        <v>36267</v>
      </c>
    </row>
    <row r="12074" spans="1:20" x14ac:dyDescent="0.25">
      <c r="A12074" t="str">
        <f>"3046725"</f>
        <v>3046725</v>
      </c>
      <c r="B12074" t="s">
        <v>36269</v>
      </c>
      <c r="C12074" t="str">
        <f>"8310547"</f>
        <v>8310547</v>
      </c>
      <c r="D12074" t="s">
        <v>36270</v>
      </c>
      <c r="E12074" t="s">
        <v>36271</v>
      </c>
      <c r="F12074" t="s">
        <v>36272</v>
      </c>
      <c r="I12074" t="s">
        <v>17921</v>
      </c>
      <c r="J12074" t="s">
        <v>30</v>
      </c>
      <c r="K12074" t="str">
        <f>"27028"</f>
        <v>27028</v>
      </c>
      <c r="M12074" t="s">
        <v>17861</v>
      </c>
      <c r="N12074" t="str">
        <f>"10/26/2018 1:20:00 PM"</f>
        <v>10/26/2018 1:20:00 PM</v>
      </c>
      <c r="O12074" t="s">
        <v>36270</v>
      </c>
      <c r="T12074" t="s">
        <v>36271</v>
      </c>
    </row>
    <row r="12075" spans="1:20" x14ac:dyDescent="0.25">
      <c r="A12075" t="str">
        <f>"3060026"</f>
        <v>3060026</v>
      </c>
      <c r="B12075" t="s">
        <v>36273</v>
      </c>
      <c r="C12075" t="str">
        <f>"8310475"</f>
        <v>8310475</v>
      </c>
      <c r="D12075" t="s">
        <v>36274</v>
      </c>
      <c r="E12075" t="s">
        <v>36275</v>
      </c>
      <c r="F12075" t="s">
        <v>36276</v>
      </c>
      <c r="I12075" t="s">
        <v>184</v>
      </c>
      <c r="J12075" t="s">
        <v>30</v>
      </c>
      <c r="K12075" t="s">
        <v>9082</v>
      </c>
      <c r="M12075" t="s">
        <v>17861</v>
      </c>
      <c r="N12075" t="str">
        <f>"10/8/2018 2:55:00 PM"</f>
        <v>10/8/2018 2:55:00 PM</v>
      </c>
      <c r="O12075" t="s">
        <v>36274</v>
      </c>
      <c r="T12075" t="s">
        <v>36275</v>
      </c>
    </row>
    <row r="12076" spans="1:20" x14ac:dyDescent="0.25">
      <c r="A12076" t="str">
        <f>"3061408"</f>
        <v>3061408</v>
      </c>
      <c r="B12076" t="s">
        <v>36277</v>
      </c>
      <c r="C12076" t="str">
        <f>"8310557"</f>
        <v>8310557</v>
      </c>
      <c r="D12076" t="s">
        <v>36278</v>
      </c>
      <c r="E12076" t="s">
        <v>36279</v>
      </c>
      <c r="F12076" t="s">
        <v>36280</v>
      </c>
      <c r="I12076" t="s">
        <v>184</v>
      </c>
      <c r="J12076" t="s">
        <v>30</v>
      </c>
      <c r="K12076" t="s">
        <v>5664</v>
      </c>
      <c r="M12076" t="s">
        <v>17861</v>
      </c>
      <c r="N12076" t="str">
        <f>"10/30/2018 1:54:00 PM"</f>
        <v>10/30/2018 1:54:00 PM</v>
      </c>
      <c r="O12076" t="s">
        <v>36278</v>
      </c>
      <c r="T12076" t="s">
        <v>36279</v>
      </c>
    </row>
    <row r="12077" spans="1:20" x14ac:dyDescent="0.25">
      <c r="A12077" t="str">
        <f>"3049743"</f>
        <v>3049743</v>
      </c>
      <c r="B12077" t="s">
        <v>36281</v>
      </c>
      <c r="C12077" t="str">
        <f>"8310476"</f>
        <v>8310476</v>
      </c>
      <c r="D12077" t="s">
        <v>36282</v>
      </c>
      <c r="F12077" t="s">
        <v>36283</v>
      </c>
      <c r="I12077" t="s">
        <v>29</v>
      </c>
      <c r="J12077" t="s">
        <v>30</v>
      </c>
      <c r="K12077" t="s">
        <v>9678</v>
      </c>
      <c r="M12077" t="s">
        <v>17861</v>
      </c>
      <c r="N12077" t="str">
        <f>"10/8/2018 2:58:00 PM"</f>
        <v>10/8/2018 2:58:00 PM</v>
      </c>
      <c r="O12077" t="s">
        <v>36282</v>
      </c>
    </row>
    <row r="12078" spans="1:20" x14ac:dyDescent="0.25">
      <c r="A12078" t="str">
        <f>"3067273"</f>
        <v>3067273</v>
      </c>
      <c r="B12078" t="s">
        <v>36284</v>
      </c>
      <c r="C12078" t="str">
        <f>"8310483"</f>
        <v>8310483</v>
      </c>
      <c r="D12078" t="s">
        <v>36285</v>
      </c>
      <c r="F12078" t="s">
        <v>36286</v>
      </c>
      <c r="I12078" t="s">
        <v>36287</v>
      </c>
      <c r="J12078" t="s">
        <v>30</v>
      </c>
      <c r="K12078" t="s">
        <v>36288</v>
      </c>
      <c r="M12078" t="s">
        <v>17861</v>
      </c>
      <c r="N12078" t="str">
        <f>"10/16/2018 2:46:00 PM"</f>
        <v>10/16/2018 2:46:00 PM</v>
      </c>
      <c r="O12078" t="s">
        <v>36285</v>
      </c>
    </row>
    <row r="12079" spans="1:20" x14ac:dyDescent="0.25">
      <c r="A12079" t="str">
        <f>"3037558"</f>
        <v>3037558</v>
      </c>
      <c r="B12079" t="s">
        <v>36289</v>
      </c>
      <c r="C12079" t="str">
        <f>"8310484"</f>
        <v>8310484</v>
      </c>
      <c r="D12079" t="s">
        <v>36290</v>
      </c>
      <c r="E12079" t="s">
        <v>36291</v>
      </c>
      <c r="F12079" t="s">
        <v>36292</v>
      </c>
      <c r="I12079" t="s">
        <v>29</v>
      </c>
      <c r="J12079" t="s">
        <v>30</v>
      </c>
      <c r="K12079" t="s">
        <v>1029</v>
      </c>
      <c r="M12079" t="s">
        <v>17861</v>
      </c>
      <c r="N12079" t="str">
        <f>"10/16/2018 2:59:00 PM"</f>
        <v>10/16/2018 2:59:00 PM</v>
      </c>
      <c r="O12079" t="s">
        <v>36290</v>
      </c>
      <c r="T12079" t="s">
        <v>36291</v>
      </c>
    </row>
    <row r="12080" spans="1:20" x14ac:dyDescent="0.25">
      <c r="A12080" t="str">
        <f>"3059625"</f>
        <v>3059625</v>
      </c>
      <c r="B12080" t="s">
        <v>36293</v>
      </c>
      <c r="C12080" t="str">
        <f>"8310491"</f>
        <v>8310491</v>
      </c>
      <c r="D12080" t="s">
        <v>36294</v>
      </c>
      <c r="F12080" t="s">
        <v>36295</v>
      </c>
      <c r="I12080" t="s">
        <v>29</v>
      </c>
      <c r="J12080" t="s">
        <v>30</v>
      </c>
      <c r="K12080" t="s">
        <v>13608</v>
      </c>
      <c r="M12080" t="s">
        <v>17861</v>
      </c>
      <c r="N12080" t="str">
        <f>"10/16/2018 3:52:00 PM"</f>
        <v>10/16/2018 3:52:00 PM</v>
      </c>
      <c r="O12080" t="s">
        <v>36294</v>
      </c>
    </row>
    <row r="12081" spans="1:20" x14ac:dyDescent="0.25">
      <c r="A12081" t="str">
        <f>"3060079"</f>
        <v>3060079</v>
      </c>
      <c r="B12081" t="s">
        <v>36296</v>
      </c>
      <c r="C12081" t="str">
        <f>"8306549"</f>
        <v>8306549</v>
      </c>
      <c r="D12081" t="s">
        <v>36297</v>
      </c>
      <c r="E12081" t="s">
        <v>36298</v>
      </c>
      <c r="F12081" t="s">
        <v>36299</v>
      </c>
      <c r="I12081" t="s">
        <v>184</v>
      </c>
      <c r="J12081" t="s">
        <v>30</v>
      </c>
      <c r="K12081" t="str">
        <f>"27006"</f>
        <v>27006</v>
      </c>
      <c r="M12081" t="s">
        <v>25733</v>
      </c>
      <c r="N12081" t="str">
        <f>"10/16/2018 3:52:00 PM"</f>
        <v>10/16/2018 3:52:00 PM</v>
      </c>
      <c r="O12081" t="s">
        <v>36297</v>
      </c>
      <c r="T12081" t="s">
        <v>36298</v>
      </c>
    </row>
    <row r="12082" spans="1:20" x14ac:dyDescent="0.25">
      <c r="A12082" t="str">
        <f>"3078379"</f>
        <v>3078379</v>
      </c>
      <c r="B12082" t="s">
        <v>36300</v>
      </c>
      <c r="C12082" t="str">
        <f>"8310503"</f>
        <v>8310503</v>
      </c>
      <c r="D12082" t="s">
        <v>36301</v>
      </c>
      <c r="F12082" t="s">
        <v>36302</v>
      </c>
      <c r="I12082" t="s">
        <v>29</v>
      </c>
      <c r="J12082" t="s">
        <v>30</v>
      </c>
      <c r="K12082" t="s">
        <v>32155</v>
      </c>
      <c r="M12082" t="s">
        <v>17861</v>
      </c>
      <c r="N12082" t="str">
        <f>"10/17/2018 10:13:00 AM"</f>
        <v>10/17/2018 10:13:00 AM</v>
      </c>
      <c r="O12082" t="s">
        <v>36301</v>
      </c>
    </row>
    <row r="12083" spans="1:20" x14ac:dyDescent="0.25">
      <c r="A12083" t="str">
        <f>"3040739"</f>
        <v>3040739</v>
      </c>
      <c r="B12083" t="s">
        <v>36303</v>
      </c>
      <c r="C12083" t="str">
        <f>"8310576"</f>
        <v>8310576</v>
      </c>
      <c r="D12083" t="s">
        <v>36304</v>
      </c>
      <c r="E12083" t="s">
        <v>36305</v>
      </c>
      <c r="F12083" t="s">
        <v>36306</v>
      </c>
      <c r="I12083" t="s">
        <v>184</v>
      </c>
      <c r="J12083" t="s">
        <v>30</v>
      </c>
      <c r="K12083" t="s">
        <v>36307</v>
      </c>
      <c r="M12083" t="s">
        <v>17861</v>
      </c>
      <c r="N12083" t="str">
        <f>"10/31/2018 11:42:00 AM"</f>
        <v>10/31/2018 11:42:00 AM</v>
      </c>
      <c r="O12083" t="s">
        <v>36304</v>
      </c>
      <c r="T12083" t="s">
        <v>36305</v>
      </c>
    </row>
    <row r="12084" spans="1:20" x14ac:dyDescent="0.25">
      <c r="A12084" t="str">
        <f>"3060215"</f>
        <v>3060215</v>
      </c>
      <c r="B12084" t="s">
        <v>36308</v>
      </c>
      <c r="C12084" t="str">
        <f>"8310505"</f>
        <v>8310505</v>
      </c>
      <c r="D12084" t="s">
        <v>36309</v>
      </c>
      <c r="E12084" t="s">
        <v>36310</v>
      </c>
      <c r="F12084" t="s">
        <v>36311</v>
      </c>
      <c r="I12084" t="s">
        <v>184</v>
      </c>
      <c r="J12084" t="s">
        <v>30</v>
      </c>
      <c r="K12084" t="s">
        <v>33744</v>
      </c>
      <c r="M12084" t="s">
        <v>17861</v>
      </c>
      <c r="N12084" t="str">
        <f>"10/17/2018 10:47:00 AM"</f>
        <v>10/17/2018 10:47:00 AM</v>
      </c>
      <c r="O12084" t="s">
        <v>36309</v>
      </c>
      <c r="T12084" t="s">
        <v>36310</v>
      </c>
    </row>
    <row r="12085" spans="1:20" x14ac:dyDescent="0.25">
      <c r="A12085" t="str">
        <f>"3039789"</f>
        <v>3039789</v>
      </c>
      <c r="B12085" t="s">
        <v>36312</v>
      </c>
      <c r="C12085" t="str">
        <f>"8310506"</f>
        <v>8310506</v>
      </c>
      <c r="D12085" t="s">
        <v>36313</v>
      </c>
      <c r="F12085" t="s">
        <v>36314</v>
      </c>
      <c r="I12085" t="s">
        <v>29</v>
      </c>
      <c r="J12085" t="s">
        <v>30</v>
      </c>
      <c r="K12085" t="s">
        <v>3215</v>
      </c>
      <c r="M12085" t="s">
        <v>17861</v>
      </c>
      <c r="N12085" t="str">
        <f>"10/17/2018 11:20:00 AM"</f>
        <v>10/17/2018 11:20:00 AM</v>
      </c>
      <c r="O12085" t="s">
        <v>36313</v>
      </c>
    </row>
    <row r="12086" spans="1:20" x14ac:dyDescent="0.25">
      <c r="A12086" t="str">
        <f>"3052619"</f>
        <v>3052619</v>
      </c>
      <c r="B12086" t="s">
        <v>36315</v>
      </c>
      <c r="C12086" t="str">
        <f>"8309532"</f>
        <v>8309532</v>
      </c>
      <c r="D12086" t="s">
        <v>36316</v>
      </c>
      <c r="F12086" t="s">
        <v>36317</v>
      </c>
      <c r="I12086" t="s">
        <v>29</v>
      </c>
      <c r="J12086" t="s">
        <v>30</v>
      </c>
      <c r="K12086" t="s">
        <v>36318</v>
      </c>
      <c r="M12086" t="s">
        <v>17861</v>
      </c>
      <c r="N12086" t="str">
        <f>"10/22/2018 12:59:00 PM"</f>
        <v>10/22/2018 12:59:00 PM</v>
      </c>
      <c r="O12086" t="s">
        <v>36316</v>
      </c>
    </row>
    <row r="12087" spans="1:20" x14ac:dyDescent="0.25">
      <c r="A12087" t="str">
        <f>"3040274"</f>
        <v>3040274</v>
      </c>
      <c r="B12087" t="s">
        <v>36319</v>
      </c>
      <c r="C12087" t="str">
        <f>"8310510"</f>
        <v>8310510</v>
      </c>
      <c r="D12087" t="s">
        <v>36320</v>
      </c>
      <c r="E12087" t="s">
        <v>36321</v>
      </c>
      <c r="F12087" t="s">
        <v>36322</v>
      </c>
      <c r="I12087" t="s">
        <v>184</v>
      </c>
      <c r="J12087" t="s">
        <v>30</v>
      </c>
      <c r="K12087" t="s">
        <v>35247</v>
      </c>
      <c r="M12087" t="s">
        <v>17861</v>
      </c>
      <c r="N12087" t="str">
        <f>"10/22/2018 1:17:00 PM"</f>
        <v>10/22/2018 1:17:00 PM</v>
      </c>
      <c r="O12087" t="s">
        <v>36320</v>
      </c>
      <c r="T12087" t="s">
        <v>36321</v>
      </c>
    </row>
    <row r="12088" spans="1:20" x14ac:dyDescent="0.25">
      <c r="A12088" t="str">
        <f>"3040752"</f>
        <v>3040752</v>
      </c>
      <c r="B12088" t="s">
        <v>36323</v>
      </c>
      <c r="C12088" t="str">
        <f>"8310510"</f>
        <v>8310510</v>
      </c>
      <c r="D12088" t="s">
        <v>36320</v>
      </c>
      <c r="E12088" t="s">
        <v>36321</v>
      </c>
      <c r="F12088" t="s">
        <v>36322</v>
      </c>
      <c r="I12088" t="s">
        <v>184</v>
      </c>
      <c r="J12088" t="s">
        <v>30</v>
      </c>
      <c r="K12088" t="s">
        <v>35247</v>
      </c>
      <c r="M12088" t="s">
        <v>17861</v>
      </c>
      <c r="N12088" t="str">
        <f>"10/22/2018 1:17:00 PM"</f>
        <v>10/22/2018 1:17:00 PM</v>
      </c>
      <c r="O12088" t="s">
        <v>36320</v>
      </c>
      <c r="T12088" t="s">
        <v>36321</v>
      </c>
    </row>
    <row r="12089" spans="1:20" x14ac:dyDescent="0.25">
      <c r="A12089" t="str">
        <f>"3052035"</f>
        <v>3052035</v>
      </c>
      <c r="B12089" t="s">
        <v>36324</v>
      </c>
      <c r="C12089" t="str">
        <f>"8310512"</f>
        <v>8310512</v>
      </c>
      <c r="D12089" t="s">
        <v>36325</v>
      </c>
      <c r="E12089" t="s">
        <v>36326</v>
      </c>
      <c r="F12089" t="s">
        <v>36327</v>
      </c>
      <c r="I12089" t="s">
        <v>29</v>
      </c>
      <c r="J12089" t="s">
        <v>30</v>
      </c>
      <c r="K12089" t="s">
        <v>36328</v>
      </c>
      <c r="M12089" t="s">
        <v>17861</v>
      </c>
      <c r="N12089" t="str">
        <f>"10/22/2018 2:03:00 PM"</f>
        <v>10/22/2018 2:03:00 PM</v>
      </c>
      <c r="O12089" t="s">
        <v>36325</v>
      </c>
      <c r="T12089" t="s">
        <v>36326</v>
      </c>
    </row>
    <row r="12090" spans="1:20" x14ac:dyDescent="0.25">
      <c r="A12090" t="str">
        <f>"3040875"</f>
        <v>3040875</v>
      </c>
      <c r="B12090" t="s">
        <v>36329</v>
      </c>
      <c r="C12090" t="str">
        <f>"8310521"</f>
        <v>8310521</v>
      </c>
      <c r="D12090" t="s">
        <v>3047</v>
      </c>
      <c r="F12090" t="s">
        <v>3034</v>
      </c>
      <c r="I12090" t="s">
        <v>184</v>
      </c>
      <c r="J12090" t="s">
        <v>30</v>
      </c>
      <c r="K12090" t="s">
        <v>36330</v>
      </c>
      <c r="M12090" t="s">
        <v>17861</v>
      </c>
      <c r="N12090" t="str">
        <f>"10/22/2018 3:38:00 PM"</f>
        <v>10/22/2018 3:38:00 PM</v>
      </c>
      <c r="O12090" t="s">
        <v>3047</v>
      </c>
    </row>
    <row r="12091" spans="1:20" x14ac:dyDescent="0.25">
      <c r="A12091" t="str">
        <f>"3040372"</f>
        <v>3040372</v>
      </c>
      <c r="B12091" t="s">
        <v>36331</v>
      </c>
      <c r="C12091" t="str">
        <f>"8310521"</f>
        <v>8310521</v>
      </c>
      <c r="D12091" t="s">
        <v>3047</v>
      </c>
      <c r="F12091" t="s">
        <v>3034</v>
      </c>
      <c r="I12091" t="s">
        <v>184</v>
      </c>
      <c r="J12091" t="s">
        <v>30</v>
      </c>
      <c r="K12091" t="s">
        <v>36330</v>
      </c>
      <c r="M12091" t="s">
        <v>17861</v>
      </c>
      <c r="N12091" t="str">
        <f>"10/22/2018 3:38:00 PM"</f>
        <v>10/22/2018 3:38:00 PM</v>
      </c>
      <c r="O12091" t="s">
        <v>3047</v>
      </c>
    </row>
    <row r="12092" spans="1:20" x14ac:dyDescent="0.25">
      <c r="A12092" t="str">
        <f>"3040679"</f>
        <v>3040679</v>
      </c>
      <c r="B12092" t="s">
        <v>36332</v>
      </c>
      <c r="C12092" t="str">
        <f>"8310531"</f>
        <v>8310531</v>
      </c>
      <c r="D12092" t="s">
        <v>36333</v>
      </c>
      <c r="F12092" t="s">
        <v>36334</v>
      </c>
      <c r="I12092" t="s">
        <v>184</v>
      </c>
      <c r="J12092" t="s">
        <v>30</v>
      </c>
      <c r="K12092" t="s">
        <v>36335</v>
      </c>
      <c r="M12092" t="s">
        <v>17861</v>
      </c>
      <c r="N12092" t="str">
        <f>"10/26/2018 8:39:00 AM"</f>
        <v>10/26/2018 8:39:00 AM</v>
      </c>
      <c r="O12092" t="s">
        <v>36333</v>
      </c>
    </row>
    <row r="12093" spans="1:20" x14ac:dyDescent="0.25">
      <c r="A12093" t="str">
        <f>"3055316"</f>
        <v>3055316</v>
      </c>
      <c r="B12093" t="s">
        <v>36336</v>
      </c>
      <c r="C12093" t="str">
        <f>"8310532"</f>
        <v>8310532</v>
      </c>
      <c r="D12093" t="s">
        <v>36337</v>
      </c>
      <c r="F12093" t="s">
        <v>36338</v>
      </c>
      <c r="I12093" t="s">
        <v>29</v>
      </c>
      <c r="J12093" t="s">
        <v>30</v>
      </c>
      <c r="K12093" t="s">
        <v>36339</v>
      </c>
      <c r="M12093" t="s">
        <v>17861</v>
      </c>
      <c r="N12093" t="str">
        <f>"10/26/2018 9:09:00 AM"</f>
        <v>10/26/2018 9:09:00 AM</v>
      </c>
      <c r="O12093" t="s">
        <v>36337</v>
      </c>
    </row>
    <row r="12094" spans="1:20" x14ac:dyDescent="0.25">
      <c r="A12094" t="str">
        <f>"3052429"</f>
        <v>3052429</v>
      </c>
      <c r="B12094" t="s">
        <v>36340</v>
      </c>
      <c r="C12094" t="str">
        <f>"8310540"</f>
        <v>8310540</v>
      </c>
      <c r="D12094" t="s">
        <v>36341</v>
      </c>
      <c r="F12094" t="s">
        <v>36342</v>
      </c>
      <c r="I12094" t="s">
        <v>29</v>
      </c>
      <c r="J12094" t="s">
        <v>30</v>
      </c>
      <c r="K12094" t="s">
        <v>36343</v>
      </c>
      <c r="M12094" t="s">
        <v>17861</v>
      </c>
      <c r="N12094" t="str">
        <f>"10/26/2018 10:54:00 AM"</f>
        <v>10/26/2018 10:54:00 AM</v>
      </c>
      <c r="O12094" t="s">
        <v>36341</v>
      </c>
    </row>
    <row r="12095" spans="1:20" x14ac:dyDescent="0.25">
      <c r="A12095" t="str">
        <f>"3041841"</f>
        <v>3041841</v>
      </c>
      <c r="B12095" t="s">
        <v>36344</v>
      </c>
      <c r="C12095" t="str">
        <f>"8310541"</f>
        <v>8310541</v>
      </c>
      <c r="D12095" t="s">
        <v>36345</v>
      </c>
      <c r="E12095" t="s">
        <v>36346</v>
      </c>
      <c r="F12095" t="s">
        <v>36347</v>
      </c>
      <c r="I12095" t="s">
        <v>2071</v>
      </c>
      <c r="J12095" t="s">
        <v>30</v>
      </c>
      <c r="K12095" t="str">
        <f>"27006"</f>
        <v>27006</v>
      </c>
      <c r="M12095" t="s">
        <v>17861</v>
      </c>
      <c r="N12095" t="str">
        <f>"10/26/2018 10:58:00 AM"</f>
        <v>10/26/2018 10:58:00 AM</v>
      </c>
      <c r="O12095" t="s">
        <v>36345</v>
      </c>
      <c r="T12095" t="s">
        <v>36346</v>
      </c>
    </row>
    <row r="12096" spans="1:20" x14ac:dyDescent="0.25">
      <c r="A12096" t="str">
        <f>"3053583"</f>
        <v>3053583</v>
      </c>
      <c r="B12096" t="s">
        <v>36348</v>
      </c>
      <c r="C12096" t="str">
        <f>"29840000"</f>
        <v>29840000</v>
      </c>
      <c r="D12096" t="s">
        <v>36349</v>
      </c>
      <c r="F12096" t="s">
        <v>12126</v>
      </c>
      <c r="I12096" t="s">
        <v>29</v>
      </c>
      <c r="J12096" t="s">
        <v>30</v>
      </c>
      <c r="K12096" t="s">
        <v>13999</v>
      </c>
      <c r="M12096" t="s">
        <v>33432</v>
      </c>
      <c r="N12096" t="str">
        <f>"10/29/2018 12:32:00 PM"</f>
        <v>10/29/2018 12:32:00 PM</v>
      </c>
      <c r="O12096" t="s">
        <v>36349</v>
      </c>
    </row>
    <row r="12097" spans="1:20" x14ac:dyDescent="0.25">
      <c r="A12097" t="str">
        <f>"3069467"</f>
        <v>3069467</v>
      </c>
      <c r="B12097" t="s">
        <v>36350</v>
      </c>
      <c r="C12097" t="str">
        <f>"8310613"</f>
        <v>8310613</v>
      </c>
      <c r="D12097" t="s">
        <v>36351</v>
      </c>
      <c r="F12097" t="s">
        <v>36352</v>
      </c>
      <c r="I12097" t="s">
        <v>29</v>
      </c>
      <c r="J12097" t="s">
        <v>30</v>
      </c>
      <c r="K12097" t="s">
        <v>1335</v>
      </c>
      <c r="M12097" t="s">
        <v>17861</v>
      </c>
      <c r="N12097" t="str">
        <f>"11/9/2018 9:03:00 AM"</f>
        <v>11/9/2018 9:03:00 AM</v>
      </c>
      <c r="O12097" t="s">
        <v>36351</v>
      </c>
    </row>
    <row r="12098" spans="1:20" x14ac:dyDescent="0.25">
      <c r="A12098" t="str">
        <f>"3060229"</f>
        <v>3060229</v>
      </c>
      <c r="B12098" t="s">
        <v>36353</v>
      </c>
      <c r="C12098" t="str">
        <f>"8310617"</f>
        <v>8310617</v>
      </c>
      <c r="D12098" t="s">
        <v>36354</v>
      </c>
      <c r="E12098" t="s">
        <v>36355</v>
      </c>
      <c r="F12098" t="s">
        <v>36356</v>
      </c>
      <c r="I12098" t="s">
        <v>184</v>
      </c>
      <c r="J12098" t="s">
        <v>30</v>
      </c>
      <c r="K12098" t="s">
        <v>33744</v>
      </c>
      <c r="M12098" t="s">
        <v>17861</v>
      </c>
      <c r="N12098" t="str">
        <f>"11/9/2018 9:36:00 AM"</f>
        <v>11/9/2018 9:36:00 AM</v>
      </c>
      <c r="O12098" t="s">
        <v>36354</v>
      </c>
      <c r="T12098" t="s">
        <v>36355</v>
      </c>
    </row>
    <row r="12099" spans="1:20" x14ac:dyDescent="0.25">
      <c r="A12099" t="str">
        <f>"3053804"</f>
        <v>3053804</v>
      </c>
      <c r="B12099" t="s">
        <v>36357</v>
      </c>
      <c r="C12099" t="str">
        <f>"8310618"</f>
        <v>8310618</v>
      </c>
      <c r="D12099" t="s">
        <v>36358</v>
      </c>
      <c r="E12099" t="s">
        <v>36359</v>
      </c>
      <c r="F12099" t="s">
        <v>36360</v>
      </c>
      <c r="I12099" t="s">
        <v>29</v>
      </c>
      <c r="J12099" t="s">
        <v>30</v>
      </c>
      <c r="K12099" t="s">
        <v>36361</v>
      </c>
      <c r="M12099" t="s">
        <v>17861</v>
      </c>
      <c r="N12099" t="str">
        <f>"11/9/2018 9:41:00 AM"</f>
        <v>11/9/2018 9:41:00 AM</v>
      </c>
      <c r="O12099" t="s">
        <v>36358</v>
      </c>
      <c r="T12099" t="s">
        <v>36359</v>
      </c>
    </row>
    <row r="12100" spans="1:20" x14ac:dyDescent="0.25">
      <c r="A12100" t="str">
        <f>"3046878"</f>
        <v>3046878</v>
      </c>
      <c r="B12100" t="s">
        <v>36362</v>
      </c>
      <c r="C12100" t="str">
        <f>"8310479"</f>
        <v>8310479</v>
      </c>
      <c r="D12100" t="s">
        <v>36363</v>
      </c>
      <c r="E12100" t="s">
        <v>36364</v>
      </c>
      <c r="F12100" t="s">
        <v>36365</v>
      </c>
      <c r="I12100" t="s">
        <v>29</v>
      </c>
      <c r="J12100" t="s">
        <v>30</v>
      </c>
      <c r="K12100" t="s">
        <v>10168</v>
      </c>
      <c r="M12100" t="s">
        <v>17861</v>
      </c>
      <c r="N12100" t="str">
        <f>"10/9/2018 9:09:00 AM"</f>
        <v>10/9/2018 9:09:00 AM</v>
      </c>
      <c r="O12100" t="s">
        <v>36363</v>
      </c>
      <c r="T12100" t="s">
        <v>36364</v>
      </c>
    </row>
    <row r="12101" spans="1:20" x14ac:dyDescent="0.25">
      <c r="A12101" t="str">
        <f>"3053881"</f>
        <v>3053881</v>
      </c>
      <c r="B12101" t="s">
        <v>36366</v>
      </c>
      <c r="C12101" t="str">
        <f>"8310624"</f>
        <v>8310624</v>
      </c>
      <c r="D12101" t="s">
        <v>36367</v>
      </c>
      <c r="E12101" t="s">
        <v>36368</v>
      </c>
      <c r="F12101" t="s">
        <v>36369</v>
      </c>
      <c r="I12101" t="s">
        <v>29</v>
      </c>
      <c r="J12101" t="s">
        <v>30</v>
      </c>
      <c r="K12101" t="s">
        <v>13235</v>
      </c>
      <c r="M12101" t="s">
        <v>17861</v>
      </c>
      <c r="N12101" t="str">
        <f>"11/9/2018 3:55:00 PM"</f>
        <v>11/9/2018 3:55:00 PM</v>
      </c>
      <c r="O12101" t="s">
        <v>36367</v>
      </c>
      <c r="T12101" t="s">
        <v>36368</v>
      </c>
    </row>
    <row r="12102" spans="1:20" x14ac:dyDescent="0.25">
      <c r="A12102" t="str">
        <f>"3050962"</f>
        <v>3050962</v>
      </c>
      <c r="B12102" t="s">
        <v>36370</v>
      </c>
      <c r="C12102" t="str">
        <f>"82518253"</f>
        <v>82518253</v>
      </c>
      <c r="D12102" t="s">
        <v>36371</v>
      </c>
      <c r="E12102" t="s">
        <v>36372</v>
      </c>
      <c r="F12102" t="s">
        <v>36373</v>
      </c>
      <c r="I12102" t="s">
        <v>29</v>
      </c>
      <c r="J12102" t="s">
        <v>30</v>
      </c>
      <c r="K12102" t="s">
        <v>31</v>
      </c>
      <c r="M12102" t="s">
        <v>34475</v>
      </c>
      <c r="N12102" t="str">
        <f>"10/9/2018 9:17:00 AM"</f>
        <v>10/9/2018 9:17:00 AM</v>
      </c>
      <c r="O12102" t="s">
        <v>36371</v>
      </c>
      <c r="T12102" t="s">
        <v>36372</v>
      </c>
    </row>
    <row r="12103" spans="1:20" x14ac:dyDescent="0.25">
      <c r="A12103" t="str">
        <f>"3077626"</f>
        <v>3077626</v>
      </c>
      <c r="B12103" t="s">
        <v>36374</v>
      </c>
      <c r="C12103" t="str">
        <f>"62266460"</f>
        <v>62266460</v>
      </c>
      <c r="D12103" t="s">
        <v>36375</v>
      </c>
      <c r="E12103" t="s">
        <v>36376</v>
      </c>
      <c r="F12103" t="s">
        <v>36377</v>
      </c>
      <c r="I12103" t="s">
        <v>29</v>
      </c>
      <c r="J12103" t="s">
        <v>30</v>
      </c>
      <c r="K12103" t="s">
        <v>36378</v>
      </c>
      <c r="M12103" t="s">
        <v>33845</v>
      </c>
      <c r="N12103" t="str">
        <f>"11/13/2018 10:15:00 AM"</f>
        <v>11/13/2018 10:15:00 AM</v>
      </c>
      <c r="O12103" t="s">
        <v>36375</v>
      </c>
      <c r="T12103" t="s">
        <v>36376</v>
      </c>
    </row>
    <row r="12104" spans="1:20" x14ac:dyDescent="0.25">
      <c r="A12104" t="str">
        <f>"3045260"</f>
        <v>3045260</v>
      </c>
      <c r="B12104" t="s">
        <v>36379</v>
      </c>
      <c r="C12104" t="str">
        <f>"8310629"</f>
        <v>8310629</v>
      </c>
      <c r="D12104" t="s">
        <v>36380</v>
      </c>
      <c r="F12104" t="s">
        <v>36381</v>
      </c>
      <c r="I12104" t="s">
        <v>36382</v>
      </c>
      <c r="J12104" t="s">
        <v>36383</v>
      </c>
      <c r="K12104" t="s">
        <v>36384</v>
      </c>
      <c r="M12104" t="s">
        <v>17861</v>
      </c>
      <c r="N12104" t="str">
        <f>"11/13/2018 2:21:00 PM"</f>
        <v>11/13/2018 2:21:00 PM</v>
      </c>
      <c r="O12104" t="s">
        <v>36380</v>
      </c>
    </row>
    <row r="12105" spans="1:20" x14ac:dyDescent="0.25">
      <c r="A12105" t="str">
        <f>"3060101"</f>
        <v>3060101</v>
      </c>
      <c r="B12105" t="s">
        <v>36385</v>
      </c>
      <c r="C12105" t="str">
        <f>"8310633"</f>
        <v>8310633</v>
      </c>
      <c r="D12105" t="s">
        <v>36386</v>
      </c>
      <c r="E12105" t="s">
        <v>36387</v>
      </c>
      <c r="F12105" t="s">
        <v>36388</v>
      </c>
      <c r="I12105" t="s">
        <v>184</v>
      </c>
      <c r="J12105" t="s">
        <v>30</v>
      </c>
      <c r="K12105" t="s">
        <v>10721</v>
      </c>
      <c r="M12105" t="s">
        <v>17861</v>
      </c>
      <c r="N12105" t="str">
        <f>"11/13/2018 2:43:00 PM"</f>
        <v>11/13/2018 2:43:00 PM</v>
      </c>
      <c r="O12105" t="s">
        <v>36386</v>
      </c>
      <c r="T12105" t="s">
        <v>36387</v>
      </c>
    </row>
    <row r="12106" spans="1:20" x14ac:dyDescent="0.25">
      <c r="A12106" t="str">
        <f>"3043079"</f>
        <v>3043079</v>
      </c>
      <c r="B12106" t="s">
        <v>36389</v>
      </c>
      <c r="C12106" t="str">
        <f>"8306397"</f>
        <v>8306397</v>
      </c>
      <c r="D12106" t="s">
        <v>36390</v>
      </c>
      <c r="E12106" t="s">
        <v>32175</v>
      </c>
      <c r="F12106" t="s">
        <v>36391</v>
      </c>
      <c r="I12106" t="s">
        <v>17921</v>
      </c>
      <c r="J12106" t="s">
        <v>30</v>
      </c>
      <c r="K12106" t="str">
        <f>"27028"</f>
        <v>27028</v>
      </c>
      <c r="M12106" t="s">
        <v>34670</v>
      </c>
      <c r="N12106" t="str">
        <f>"11/13/2018 2:48:00 PM"</f>
        <v>11/13/2018 2:48:00 PM</v>
      </c>
      <c r="O12106" t="s">
        <v>36390</v>
      </c>
      <c r="T12106" t="s">
        <v>32175</v>
      </c>
    </row>
    <row r="12107" spans="1:20" x14ac:dyDescent="0.25">
      <c r="A12107" t="str">
        <f>"3043089"</f>
        <v>3043089</v>
      </c>
      <c r="B12107" t="s">
        <v>36392</v>
      </c>
      <c r="C12107" t="str">
        <f>"8306397"</f>
        <v>8306397</v>
      </c>
      <c r="D12107" t="s">
        <v>36390</v>
      </c>
      <c r="E12107" t="s">
        <v>32175</v>
      </c>
      <c r="F12107" t="s">
        <v>36391</v>
      </c>
      <c r="I12107" t="s">
        <v>17921</v>
      </c>
      <c r="J12107" t="s">
        <v>30</v>
      </c>
      <c r="K12107" t="str">
        <f>"27028"</f>
        <v>27028</v>
      </c>
      <c r="M12107" t="s">
        <v>34670</v>
      </c>
      <c r="N12107" t="str">
        <f>"11/13/2018 2:48:00 PM"</f>
        <v>11/13/2018 2:48:00 PM</v>
      </c>
      <c r="O12107" t="s">
        <v>36390</v>
      </c>
      <c r="T12107" t="s">
        <v>32175</v>
      </c>
    </row>
    <row r="12108" spans="1:20" x14ac:dyDescent="0.25">
      <c r="A12108" t="str">
        <f>"3041365"</f>
        <v>3041365</v>
      </c>
      <c r="B12108" t="s">
        <v>36393</v>
      </c>
      <c r="C12108" t="str">
        <f>"8310634"</f>
        <v>8310634</v>
      </c>
      <c r="D12108" t="s">
        <v>36394</v>
      </c>
      <c r="F12108" t="s">
        <v>36395</v>
      </c>
      <c r="I12108" t="s">
        <v>184</v>
      </c>
      <c r="J12108" t="s">
        <v>30</v>
      </c>
      <c r="K12108" t="s">
        <v>36396</v>
      </c>
      <c r="M12108" t="s">
        <v>17861</v>
      </c>
      <c r="N12108" t="str">
        <f>"11/13/2018 2:49:00 PM"</f>
        <v>11/13/2018 2:49:00 PM</v>
      </c>
      <c r="O12108" t="s">
        <v>36394</v>
      </c>
    </row>
    <row r="12109" spans="1:20" x14ac:dyDescent="0.25">
      <c r="A12109" t="str">
        <f>"3061114"</f>
        <v>3061114</v>
      </c>
      <c r="B12109" t="s">
        <v>36397</v>
      </c>
      <c r="C12109" t="str">
        <f>"8310635"</f>
        <v>8310635</v>
      </c>
      <c r="D12109" t="s">
        <v>36398</v>
      </c>
      <c r="F12109" t="s">
        <v>36399</v>
      </c>
      <c r="I12109" t="s">
        <v>184</v>
      </c>
      <c r="J12109" t="s">
        <v>30</v>
      </c>
      <c r="K12109" t="s">
        <v>6297</v>
      </c>
      <c r="M12109" t="s">
        <v>17861</v>
      </c>
      <c r="N12109" t="str">
        <f>"11/13/2018 2:52:00 PM"</f>
        <v>11/13/2018 2:52:00 PM</v>
      </c>
      <c r="O12109" t="s">
        <v>36398</v>
      </c>
    </row>
    <row r="12110" spans="1:20" x14ac:dyDescent="0.25">
      <c r="A12110" t="str">
        <f>"3059621"</f>
        <v>3059621</v>
      </c>
      <c r="B12110" t="s">
        <v>36400</v>
      </c>
      <c r="C12110" t="str">
        <f>"8310636"</f>
        <v>8310636</v>
      </c>
      <c r="D12110" t="s">
        <v>36401</v>
      </c>
      <c r="F12110" t="s">
        <v>36402</v>
      </c>
      <c r="I12110" t="s">
        <v>29</v>
      </c>
      <c r="J12110" t="s">
        <v>30</v>
      </c>
      <c r="K12110" t="s">
        <v>13608</v>
      </c>
      <c r="M12110" t="s">
        <v>17861</v>
      </c>
      <c r="N12110" t="str">
        <f>"11/13/2018 2:59:00 PM"</f>
        <v>11/13/2018 2:59:00 PM</v>
      </c>
      <c r="O12110" t="s">
        <v>36401</v>
      </c>
    </row>
    <row r="12111" spans="1:20" x14ac:dyDescent="0.25">
      <c r="A12111" t="str">
        <f>"3037312"</f>
        <v>3037312</v>
      </c>
      <c r="B12111" t="s">
        <v>36403</v>
      </c>
      <c r="C12111" t="str">
        <f>"8310637"</f>
        <v>8310637</v>
      </c>
      <c r="D12111" t="s">
        <v>36404</v>
      </c>
      <c r="F12111" t="s">
        <v>36405</v>
      </c>
      <c r="I12111" t="s">
        <v>29</v>
      </c>
      <c r="J12111" t="s">
        <v>30</v>
      </c>
      <c r="K12111" t="s">
        <v>36406</v>
      </c>
      <c r="M12111" t="s">
        <v>17861</v>
      </c>
      <c r="N12111" t="str">
        <f>"11/13/2018 3:02:00 PM"</f>
        <v>11/13/2018 3:02:00 PM</v>
      </c>
      <c r="O12111" t="s">
        <v>36404</v>
      </c>
    </row>
    <row r="12112" spans="1:20" x14ac:dyDescent="0.25">
      <c r="A12112" t="str">
        <f>"3038123"</f>
        <v>3038123</v>
      </c>
      <c r="B12112" t="s">
        <v>36407</v>
      </c>
      <c r="C12112" t="str">
        <f>"8310480"</f>
        <v>8310480</v>
      </c>
      <c r="D12112" t="s">
        <v>36408</v>
      </c>
      <c r="F12112" t="s">
        <v>36409</v>
      </c>
      <c r="I12112" t="s">
        <v>29</v>
      </c>
      <c r="J12112" t="s">
        <v>30</v>
      </c>
      <c r="K12112" t="s">
        <v>36410</v>
      </c>
      <c r="M12112" t="s">
        <v>17861</v>
      </c>
      <c r="N12112" t="str">
        <f>"10/9/2018 9:44:00 AM"</f>
        <v>10/9/2018 9:44:00 AM</v>
      </c>
      <c r="O12112" t="s">
        <v>36408</v>
      </c>
    </row>
    <row r="12113" spans="1:20" x14ac:dyDescent="0.25">
      <c r="A12113" t="str">
        <f>"3037315"</f>
        <v>3037315</v>
      </c>
      <c r="B12113" t="s">
        <v>36411</v>
      </c>
      <c r="C12113" t="str">
        <f>"8310642"</f>
        <v>8310642</v>
      </c>
      <c r="D12113" t="str">
        <f>"NEWSOM DELANA J/STEPHEN P"</f>
        <v>NEWSOM DELANA J/STEPHEN P</v>
      </c>
      <c r="E12113" t="s">
        <v>36412</v>
      </c>
      <c r="F12113" t="s">
        <v>36413</v>
      </c>
      <c r="I12113" t="s">
        <v>184</v>
      </c>
      <c r="J12113" t="s">
        <v>30</v>
      </c>
      <c r="K12113" t="s">
        <v>36414</v>
      </c>
      <c r="M12113" t="s">
        <v>17861</v>
      </c>
      <c r="N12113" t="str">
        <f>"11/13/2018 3:40:00 PM"</f>
        <v>11/13/2018 3:40:00 PM</v>
      </c>
      <c r="O12113" t="str">
        <f>"NEWSOM DELANA J/STEPHEN P"</f>
        <v>NEWSOM DELANA J/STEPHEN P</v>
      </c>
      <c r="T12113" t="s">
        <v>36412</v>
      </c>
    </row>
    <row r="12114" spans="1:20" x14ac:dyDescent="0.25">
      <c r="A12114" t="str">
        <f>"3076734"</f>
        <v>3076734</v>
      </c>
      <c r="B12114" t="s">
        <v>36415</v>
      </c>
      <c r="C12114" t="str">
        <f>"8310642"</f>
        <v>8310642</v>
      </c>
      <c r="D12114" t="str">
        <f>"NEWSOM DELANA J/STEPHEN P"</f>
        <v>NEWSOM DELANA J/STEPHEN P</v>
      </c>
      <c r="E12114" t="s">
        <v>36412</v>
      </c>
      <c r="F12114" t="s">
        <v>36413</v>
      </c>
      <c r="I12114" t="s">
        <v>184</v>
      </c>
      <c r="J12114" t="s">
        <v>30</v>
      </c>
      <c r="K12114" t="s">
        <v>36414</v>
      </c>
      <c r="M12114" t="s">
        <v>17861</v>
      </c>
      <c r="N12114" t="str">
        <f>"11/13/2018 3:40:00 PM"</f>
        <v>11/13/2018 3:40:00 PM</v>
      </c>
      <c r="O12114" t="str">
        <f>"NEWSOM DELANA J/STEPHEN P"</f>
        <v>NEWSOM DELANA J/STEPHEN P</v>
      </c>
      <c r="T12114" t="s">
        <v>36412</v>
      </c>
    </row>
    <row r="12115" spans="1:20" x14ac:dyDescent="0.25">
      <c r="A12115" t="str">
        <f>"3040791"</f>
        <v>3040791</v>
      </c>
      <c r="B12115" t="s">
        <v>36416</v>
      </c>
      <c r="C12115" t="str">
        <f>"8310643"</f>
        <v>8310643</v>
      </c>
      <c r="D12115" t="s">
        <v>36417</v>
      </c>
      <c r="F12115" t="s">
        <v>36418</v>
      </c>
      <c r="I12115" t="s">
        <v>184</v>
      </c>
      <c r="J12115" t="s">
        <v>30</v>
      </c>
      <c r="K12115" t="s">
        <v>18915</v>
      </c>
      <c r="M12115" t="s">
        <v>17861</v>
      </c>
      <c r="N12115" t="str">
        <f>"11/13/2018 3:44:00 PM"</f>
        <v>11/13/2018 3:44:00 PM</v>
      </c>
      <c r="O12115" t="s">
        <v>36417</v>
      </c>
    </row>
    <row r="12116" spans="1:20" x14ac:dyDescent="0.25">
      <c r="A12116" t="str">
        <f>"3053678"</f>
        <v>3053678</v>
      </c>
      <c r="B12116" t="s">
        <v>36419</v>
      </c>
      <c r="C12116" t="str">
        <f>"82527421"</f>
        <v>82527421</v>
      </c>
      <c r="D12116" t="s">
        <v>36420</v>
      </c>
      <c r="E12116" t="s">
        <v>36421</v>
      </c>
      <c r="F12116" t="s">
        <v>36422</v>
      </c>
      <c r="I12116" t="s">
        <v>184</v>
      </c>
      <c r="J12116" t="s">
        <v>30</v>
      </c>
      <c r="K12116" t="s">
        <v>185</v>
      </c>
      <c r="M12116" t="s">
        <v>33845</v>
      </c>
      <c r="N12116" t="str">
        <f>"10/9/2018 4:39:00 PM"</f>
        <v>10/9/2018 4:39:00 PM</v>
      </c>
      <c r="O12116" t="s">
        <v>36420</v>
      </c>
      <c r="T12116" t="s">
        <v>36421</v>
      </c>
    </row>
    <row r="12117" spans="1:20" x14ac:dyDescent="0.25">
      <c r="A12117" t="str">
        <f>"3062942"</f>
        <v>3062942</v>
      </c>
      <c r="B12117" t="s">
        <v>36423</v>
      </c>
      <c r="C12117" t="str">
        <f>"8310651"</f>
        <v>8310651</v>
      </c>
      <c r="D12117" t="s">
        <v>36424</v>
      </c>
      <c r="E12117" t="s">
        <v>36425</v>
      </c>
      <c r="F12117" t="s">
        <v>36426</v>
      </c>
      <c r="I12117" t="s">
        <v>29</v>
      </c>
      <c r="J12117" t="s">
        <v>30</v>
      </c>
      <c r="K12117" t="s">
        <v>36427</v>
      </c>
      <c r="M12117" t="s">
        <v>17861</v>
      </c>
      <c r="N12117" t="str">
        <f>"11/19/2018 1:06:00 PM"</f>
        <v>11/19/2018 1:06:00 PM</v>
      </c>
      <c r="O12117" t="s">
        <v>36424</v>
      </c>
      <c r="T12117" t="s">
        <v>36425</v>
      </c>
    </row>
    <row r="12118" spans="1:20" x14ac:dyDescent="0.25">
      <c r="A12118" t="str">
        <f>"3041296"</f>
        <v>3041296</v>
      </c>
      <c r="B12118" t="s">
        <v>36428</v>
      </c>
      <c r="C12118" t="str">
        <f>"8310652"</f>
        <v>8310652</v>
      </c>
      <c r="D12118" t="s">
        <v>36429</v>
      </c>
      <c r="F12118" t="s">
        <v>36430</v>
      </c>
      <c r="I12118" t="s">
        <v>2071</v>
      </c>
      <c r="J12118" t="s">
        <v>30</v>
      </c>
      <c r="K12118" t="str">
        <f>"27006"</f>
        <v>27006</v>
      </c>
      <c r="M12118" t="s">
        <v>17861</v>
      </c>
      <c r="N12118" t="str">
        <f>"11/19/2018 1:15:00 PM"</f>
        <v>11/19/2018 1:15:00 PM</v>
      </c>
      <c r="O12118" t="s">
        <v>36429</v>
      </c>
    </row>
    <row r="12119" spans="1:20" x14ac:dyDescent="0.25">
      <c r="A12119" t="str">
        <f>"3060791"</f>
        <v>3060791</v>
      </c>
      <c r="B12119" t="s">
        <v>36431</v>
      </c>
      <c r="C12119" t="str">
        <f>"8310482"</f>
        <v>8310482</v>
      </c>
      <c r="D12119" t="s">
        <v>36432</v>
      </c>
      <c r="F12119" t="s">
        <v>36433</v>
      </c>
      <c r="I12119" t="s">
        <v>24359</v>
      </c>
      <c r="J12119" t="s">
        <v>30</v>
      </c>
      <c r="K12119" t="s">
        <v>819</v>
      </c>
      <c r="M12119" t="s">
        <v>17861</v>
      </c>
      <c r="N12119" t="str">
        <f>"10/10/2018 1:19:00 PM"</f>
        <v>10/10/2018 1:19:00 PM</v>
      </c>
      <c r="O12119" t="s">
        <v>36432</v>
      </c>
    </row>
    <row r="12120" spans="1:20" x14ac:dyDescent="0.25">
      <c r="A12120" t="str">
        <f>"3044699"</f>
        <v>3044699</v>
      </c>
      <c r="B12120" t="s">
        <v>36434</v>
      </c>
      <c r="C12120" t="str">
        <f>"8310658"</f>
        <v>8310658</v>
      </c>
      <c r="D12120" t="s">
        <v>36435</v>
      </c>
      <c r="E12120" t="s">
        <v>36436</v>
      </c>
      <c r="F12120" t="s">
        <v>36437</v>
      </c>
      <c r="I12120" t="s">
        <v>184</v>
      </c>
      <c r="J12120" t="s">
        <v>30</v>
      </c>
      <c r="K12120" t="s">
        <v>6274</v>
      </c>
      <c r="M12120" t="s">
        <v>17861</v>
      </c>
      <c r="N12120" t="str">
        <f>"11/19/2018 2:10:00 PM"</f>
        <v>11/19/2018 2:10:00 PM</v>
      </c>
      <c r="O12120" t="s">
        <v>36435</v>
      </c>
      <c r="T12120" t="s">
        <v>36436</v>
      </c>
    </row>
    <row r="12121" spans="1:20" x14ac:dyDescent="0.25">
      <c r="A12121" t="str">
        <f>"3040818"</f>
        <v>3040818</v>
      </c>
      <c r="B12121" t="s">
        <v>36438</v>
      </c>
      <c r="C12121" t="str">
        <f>"8310660"</f>
        <v>8310660</v>
      </c>
      <c r="D12121" t="s">
        <v>36439</v>
      </c>
      <c r="E12121" t="s">
        <v>36440</v>
      </c>
      <c r="F12121" t="s">
        <v>36441</v>
      </c>
      <c r="I12121" t="s">
        <v>184</v>
      </c>
      <c r="J12121" t="s">
        <v>30</v>
      </c>
      <c r="K12121" t="s">
        <v>36442</v>
      </c>
      <c r="M12121" t="s">
        <v>17861</v>
      </c>
      <c r="N12121" t="str">
        <f>"11/19/2018 2:34:00 PM"</f>
        <v>11/19/2018 2:34:00 PM</v>
      </c>
      <c r="O12121" t="s">
        <v>36439</v>
      </c>
      <c r="T12121" t="s">
        <v>36440</v>
      </c>
    </row>
    <row r="12122" spans="1:20" x14ac:dyDescent="0.25">
      <c r="A12122" t="str">
        <f>"3051461"</f>
        <v>3051461</v>
      </c>
      <c r="B12122" t="s">
        <v>36443</v>
      </c>
      <c r="C12122" t="str">
        <f>"8310661"</f>
        <v>8310661</v>
      </c>
      <c r="D12122" t="s">
        <v>36444</v>
      </c>
      <c r="F12122" t="s">
        <v>36445</v>
      </c>
      <c r="I12122" t="s">
        <v>29</v>
      </c>
      <c r="J12122" t="s">
        <v>30</v>
      </c>
      <c r="K12122" t="s">
        <v>36446</v>
      </c>
      <c r="M12122" t="s">
        <v>17861</v>
      </c>
      <c r="N12122" t="str">
        <f>"11/19/2018 2:52:00 PM"</f>
        <v>11/19/2018 2:52:00 PM</v>
      </c>
      <c r="O12122" t="s">
        <v>36444</v>
      </c>
    </row>
    <row r="12123" spans="1:20" x14ac:dyDescent="0.25">
      <c r="A12123" t="str">
        <f>"3043110"</f>
        <v>3043110</v>
      </c>
      <c r="B12123" t="s">
        <v>36447</v>
      </c>
      <c r="C12123" t="str">
        <f>"8310572"</f>
        <v>8310572</v>
      </c>
      <c r="D12123" t="s">
        <v>36448</v>
      </c>
      <c r="E12123" t="str">
        <f>"NEELY JOS REV TR/JOYCE R REV T"</f>
        <v>NEELY JOS REV TR/JOYCE R REV T</v>
      </c>
      <c r="F12123" t="s">
        <v>36449</v>
      </c>
      <c r="I12123" t="s">
        <v>471</v>
      </c>
      <c r="J12123" t="s">
        <v>30</v>
      </c>
      <c r="K12123" t="str">
        <f>"27106"</f>
        <v>27106</v>
      </c>
      <c r="M12123" t="s">
        <v>17861</v>
      </c>
      <c r="N12123" t="str">
        <f>"10/31/2018 11:21:00 AM"</f>
        <v>10/31/2018 11:21:00 AM</v>
      </c>
      <c r="O12123" t="s">
        <v>36448</v>
      </c>
      <c r="T12123" t="str">
        <f>"NEELY JOS REV TR/JOYCE R REV T"</f>
        <v>NEELY JOS REV TR/JOYCE R REV T</v>
      </c>
    </row>
    <row r="12124" spans="1:20" x14ac:dyDescent="0.25">
      <c r="A12124" t="str">
        <f>"3044151"</f>
        <v>3044151</v>
      </c>
      <c r="B12124" t="s">
        <v>36450</v>
      </c>
      <c r="C12124" t="str">
        <f>"8310675"</f>
        <v>8310675</v>
      </c>
      <c r="D12124" t="s">
        <v>36451</v>
      </c>
      <c r="E12124" t="str">
        <f>"PATTON JAMES F/ALLGOOD KIM P"</f>
        <v>PATTON JAMES F/ALLGOOD KIM P</v>
      </c>
      <c r="F12124" t="s">
        <v>36452</v>
      </c>
      <c r="I12124" t="s">
        <v>184</v>
      </c>
      <c r="J12124" t="s">
        <v>30</v>
      </c>
      <c r="K12124" t="s">
        <v>36453</v>
      </c>
      <c r="M12124" t="s">
        <v>17861</v>
      </c>
      <c r="N12124" t="str">
        <f>"11/26/2018 1:24:00 PM"</f>
        <v>11/26/2018 1:24:00 PM</v>
      </c>
      <c r="O12124" t="s">
        <v>36451</v>
      </c>
      <c r="T12124" t="str">
        <f>"PATTON JAMES F/ALLGOOD KIM P"</f>
        <v>PATTON JAMES F/ALLGOOD KIM P</v>
      </c>
    </row>
    <row r="12125" spans="1:20" x14ac:dyDescent="0.25">
      <c r="A12125" t="str">
        <f>"3046893"</f>
        <v>3046893</v>
      </c>
      <c r="B12125" t="s">
        <v>36454</v>
      </c>
      <c r="C12125" t="str">
        <f>"8310675"</f>
        <v>8310675</v>
      </c>
      <c r="D12125" t="s">
        <v>36451</v>
      </c>
      <c r="E12125" t="str">
        <f>"PATTON JAMES F/ALLGOOD KIM P"</f>
        <v>PATTON JAMES F/ALLGOOD KIM P</v>
      </c>
      <c r="F12125" t="s">
        <v>36452</v>
      </c>
      <c r="I12125" t="s">
        <v>184</v>
      </c>
      <c r="J12125" t="s">
        <v>30</v>
      </c>
      <c r="K12125" t="s">
        <v>36453</v>
      </c>
      <c r="M12125" t="s">
        <v>17861</v>
      </c>
      <c r="N12125" t="str">
        <f>"11/26/2018 1:24:00 PM"</f>
        <v>11/26/2018 1:24:00 PM</v>
      </c>
      <c r="O12125" t="s">
        <v>36451</v>
      </c>
      <c r="T12125" t="str">
        <f>"PATTON JAMES F/ALLGOOD KIM P"</f>
        <v>PATTON JAMES F/ALLGOOD KIM P</v>
      </c>
    </row>
    <row r="12126" spans="1:20" x14ac:dyDescent="0.25">
      <c r="A12126" t="str">
        <f>"3048200"</f>
        <v>3048200</v>
      </c>
      <c r="B12126" t="s">
        <v>36455</v>
      </c>
      <c r="C12126" t="str">
        <f>"8310675"</f>
        <v>8310675</v>
      </c>
      <c r="D12126" t="s">
        <v>36451</v>
      </c>
      <c r="E12126" t="str">
        <f>"PATTON JAMES F/ALLGOOD KIM P"</f>
        <v>PATTON JAMES F/ALLGOOD KIM P</v>
      </c>
      <c r="F12126" t="s">
        <v>36452</v>
      </c>
      <c r="I12126" t="s">
        <v>184</v>
      </c>
      <c r="J12126" t="s">
        <v>30</v>
      </c>
      <c r="K12126" t="s">
        <v>36453</v>
      </c>
      <c r="M12126" t="s">
        <v>17861</v>
      </c>
      <c r="N12126" t="str">
        <f>"11/26/2018 1:24:00 PM"</f>
        <v>11/26/2018 1:24:00 PM</v>
      </c>
      <c r="O12126" t="s">
        <v>36451</v>
      </c>
      <c r="T12126" t="str">
        <f>"PATTON JAMES F/ALLGOOD KIM P"</f>
        <v>PATTON JAMES F/ALLGOOD KIM P</v>
      </c>
    </row>
    <row r="12127" spans="1:20" x14ac:dyDescent="0.25">
      <c r="A12127" t="str">
        <f>"3067710"</f>
        <v>3067710</v>
      </c>
      <c r="B12127" t="s">
        <v>36456</v>
      </c>
      <c r="C12127" t="str">
        <f>"8310675"</f>
        <v>8310675</v>
      </c>
      <c r="D12127" t="s">
        <v>36451</v>
      </c>
      <c r="E12127" t="str">
        <f>"PATTON JAMES F/ALLGOOD KIM P"</f>
        <v>PATTON JAMES F/ALLGOOD KIM P</v>
      </c>
      <c r="F12127" t="s">
        <v>36452</v>
      </c>
      <c r="I12127" t="s">
        <v>184</v>
      </c>
      <c r="J12127" t="s">
        <v>30</v>
      </c>
      <c r="K12127" t="s">
        <v>36453</v>
      </c>
      <c r="M12127" t="s">
        <v>17861</v>
      </c>
      <c r="N12127" t="str">
        <f>"11/26/2018 1:24:00 PM"</f>
        <v>11/26/2018 1:24:00 PM</v>
      </c>
      <c r="O12127" t="s">
        <v>36451</v>
      </c>
      <c r="T12127" t="str">
        <f>"PATTON JAMES F/ALLGOOD KIM P"</f>
        <v>PATTON JAMES F/ALLGOOD KIM P</v>
      </c>
    </row>
    <row r="12128" spans="1:20" x14ac:dyDescent="0.25">
      <c r="A12128" t="str">
        <f>"3057668"</f>
        <v>3057668</v>
      </c>
      <c r="B12128" t="s">
        <v>36457</v>
      </c>
      <c r="C12128" t="str">
        <f>"8310676"</f>
        <v>8310676</v>
      </c>
      <c r="D12128" t="s">
        <v>36458</v>
      </c>
      <c r="E12128" t="s">
        <v>18789</v>
      </c>
      <c r="F12128" t="s">
        <v>36459</v>
      </c>
      <c r="I12128" t="s">
        <v>184</v>
      </c>
      <c r="J12128" t="s">
        <v>30</v>
      </c>
      <c r="K12128" t="s">
        <v>34622</v>
      </c>
      <c r="M12128" t="s">
        <v>17861</v>
      </c>
      <c r="N12128" t="str">
        <f>"11/26/2018 1:40:00 PM"</f>
        <v>11/26/2018 1:40:00 PM</v>
      </c>
      <c r="O12128" t="s">
        <v>36458</v>
      </c>
      <c r="T12128" t="s">
        <v>18789</v>
      </c>
    </row>
    <row r="12129" spans="1:20" x14ac:dyDescent="0.25">
      <c r="A12129" t="str">
        <f>"3047714"</f>
        <v>3047714</v>
      </c>
      <c r="B12129" t="s">
        <v>36460</v>
      </c>
      <c r="C12129" t="str">
        <f>"8310677"</f>
        <v>8310677</v>
      </c>
      <c r="D12129" t="s">
        <v>36461</v>
      </c>
      <c r="E12129" t="s">
        <v>36462</v>
      </c>
      <c r="F12129" t="s">
        <v>36463</v>
      </c>
      <c r="I12129" t="s">
        <v>29</v>
      </c>
      <c r="J12129" t="s">
        <v>30</v>
      </c>
      <c r="K12129" t="s">
        <v>36464</v>
      </c>
      <c r="M12129" t="s">
        <v>17861</v>
      </c>
      <c r="N12129" t="str">
        <f>"11/26/2018 1:48:00 PM"</f>
        <v>11/26/2018 1:48:00 PM</v>
      </c>
      <c r="O12129" t="s">
        <v>36461</v>
      </c>
      <c r="T12129" t="s">
        <v>36462</v>
      </c>
    </row>
    <row r="12130" spans="1:20" x14ac:dyDescent="0.25">
      <c r="A12130" t="str">
        <f>"3052779"</f>
        <v>3052779</v>
      </c>
      <c r="B12130" t="s">
        <v>36465</v>
      </c>
      <c r="C12130" t="str">
        <f>"62663000"</f>
        <v>62663000</v>
      </c>
      <c r="D12130" t="s">
        <v>36466</v>
      </c>
      <c r="F12130" t="s">
        <v>36467</v>
      </c>
      <c r="I12130" t="s">
        <v>29</v>
      </c>
      <c r="J12130" t="s">
        <v>30</v>
      </c>
      <c r="K12130" t="s">
        <v>36468</v>
      </c>
      <c r="M12130" t="s">
        <v>25733</v>
      </c>
      <c r="N12130" t="str">
        <f>"11/26/2018 2:24:00 PM"</f>
        <v>11/26/2018 2:24:00 PM</v>
      </c>
      <c r="O12130" t="s">
        <v>36466</v>
      </c>
    </row>
    <row r="12131" spans="1:20" x14ac:dyDescent="0.25">
      <c r="A12131" t="str">
        <f>"3052965"</f>
        <v>3052965</v>
      </c>
      <c r="B12131" t="s">
        <v>36469</v>
      </c>
      <c r="C12131" t="str">
        <f>"62663000"</f>
        <v>62663000</v>
      </c>
      <c r="D12131" t="s">
        <v>36466</v>
      </c>
      <c r="F12131" t="s">
        <v>36467</v>
      </c>
      <c r="I12131" t="s">
        <v>29</v>
      </c>
      <c r="J12131" t="s">
        <v>30</v>
      </c>
      <c r="K12131" t="s">
        <v>36468</v>
      </c>
      <c r="M12131" t="s">
        <v>25733</v>
      </c>
      <c r="N12131" t="str">
        <f>"11/26/2018 2:24:00 PM"</f>
        <v>11/26/2018 2:24:00 PM</v>
      </c>
      <c r="O12131" t="s">
        <v>36466</v>
      </c>
    </row>
    <row r="12132" spans="1:20" x14ac:dyDescent="0.25">
      <c r="A12132" t="str">
        <f>"3062596"</f>
        <v>3062596</v>
      </c>
      <c r="B12132" t="s">
        <v>36470</v>
      </c>
      <c r="C12132" t="str">
        <f>"68452700"</f>
        <v>68452700</v>
      </c>
      <c r="D12132" t="s">
        <v>36471</v>
      </c>
      <c r="E12132" t="s">
        <v>36472</v>
      </c>
      <c r="F12132" t="s">
        <v>36473</v>
      </c>
      <c r="I12132" t="s">
        <v>29</v>
      </c>
      <c r="J12132" t="s">
        <v>30</v>
      </c>
      <c r="K12132" t="s">
        <v>31</v>
      </c>
      <c r="M12132" t="s">
        <v>18479</v>
      </c>
      <c r="N12132" t="str">
        <f>"10/31/2018 11:23:00 AM"</f>
        <v>10/31/2018 11:23:00 AM</v>
      </c>
      <c r="O12132" t="s">
        <v>36471</v>
      </c>
      <c r="T12132" t="s">
        <v>36472</v>
      </c>
    </row>
    <row r="12133" spans="1:20" x14ac:dyDescent="0.25">
      <c r="A12133" t="str">
        <f>"3043171"</f>
        <v>3043171</v>
      </c>
      <c r="B12133" t="s">
        <v>36474</v>
      </c>
      <c r="C12133" t="str">
        <f>"8310574"</f>
        <v>8310574</v>
      </c>
      <c r="D12133" t="s">
        <v>36475</v>
      </c>
      <c r="E12133" t="s">
        <v>36476</v>
      </c>
      <c r="F12133" t="s">
        <v>36449</v>
      </c>
      <c r="I12133" t="s">
        <v>471</v>
      </c>
      <c r="J12133" t="s">
        <v>30</v>
      </c>
      <c r="K12133" t="str">
        <f>"27106"</f>
        <v>27106</v>
      </c>
      <c r="M12133" t="s">
        <v>17861</v>
      </c>
      <c r="N12133" t="str">
        <f>"10/31/2018 11:28:00 AM"</f>
        <v>10/31/2018 11:28:00 AM</v>
      </c>
      <c r="O12133" t="s">
        <v>36475</v>
      </c>
      <c r="T12133" t="s">
        <v>36476</v>
      </c>
    </row>
    <row r="12134" spans="1:20" x14ac:dyDescent="0.25">
      <c r="A12134" t="str">
        <f>"3043802"</f>
        <v>3043802</v>
      </c>
      <c r="B12134" t="s">
        <v>36477</v>
      </c>
      <c r="C12134" t="str">
        <f>"8310574"</f>
        <v>8310574</v>
      </c>
      <c r="D12134" t="s">
        <v>36475</v>
      </c>
      <c r="E12134" t="s">
        <v>36476</v>
      </c>
      <c r="F12134" t="s">
        <v>36449</v>
      </c>
      <c r="I12134" t="s">
        <v>471</v>
      </c>
      <c r="J12134" t="s">
        <v>30</v>
      </c>
      <c r="K12134" t="str">
        <f>"27106"</f>
        <v>27106</v>
      </c>
      <c r="M12134" t="s">
        <v>17861</v>
      </c>
      <c r="N12134" t="str">
        <f>"10/31/2018 11:28:00 AM"</f>
        <v>10/31/2018 11:28:00 AM</v>
      </c>
      <c r="O12134" t="s">
        <v>36475</v>
      </c>
      <c r="T12134" t="s">
        <v>36476</v>
      </c>
    </row>
    <row r="12135" spans="1:20" x14ac:dyDescent="0.25">
      <c r="A12135" t="str">
        <f>"3057660"</f>
        <v>3057660</v>
      </c>
      <c r="B12135" t="s">
        <v>36478</v>
      </c>
      <c r="C12135" t="str">
        <f>"8310580"</f>
        <v>8310580</v>
      </c>
      <c r="D12135" t="s">
        <v>36479</v>
      </c>
      <c r="E12135" t="s">
        <v>36480</v>
      </c>
      <c r="F12135" t="s">
        <v>36481</v>
      </c>
      <c r="I12135" t="s">
        <v>184</v>
      </c>
      <c r="J12135" t="s">
        <v>30</v>
      </c>
      <c r="K12135" t="s">
        <v>34622</v>
      </c>
      <c r="M12135" t="s">
        <v>17861</v>
      </c>
      <c r="N12135" t="str">
        <f>"10/31/2018 1:21:00 PM"</f>
        <v>10/31/2018 1:21:00 PM</v>
      </c>
      <c r="O12135" t="s">
        <v>36479</v>
      </c>
      <c r="T12135" t="s">
        <v>36480</v>
      </c>
    </row>
    <row r="12136" spans="1:20" x14ac:dyDescent="0.25">
      <c r="A12136" t="str">
        <f>"3060661"</f>
        <v>3060661</v>
      </c>
      <c r="B12136" t="s">
        <v>36482</v>
      </c>
      <c r="C12136" t="str">
        <f>"8310682"</f>
        <v>8310682</v>
      </c>
      <c r="D12136" t="s">
        <v>36483</v>
      </c>
      <c r="E12136" t="s">
        <v>36484</v>
      </c>
      <c r="F12136" t="s">
        <v>36485</v>
      </c>
      <c r="I12136" t="s">
        <v>2071</v>
      </c>
      <c r="J12136" t="s">
        <v>30</v>
      </c>
      <c r="K12136" t="s">
        <v>6489</v>
      </c>
      <c r="M12136" t="s">
        <v>17861</v>
      </c>
      <c r="N12136" t="str">
        <f>"11/27/2018 11:12:00 AM"</f>
        <v>11/27/2018 11:12:00 AM</v>
      </c>
      <c r="O12136" t="s">
        <v>36483</v>
      </c>
      <c r="T12136" t="s">
        <v>36484</v>
      </c>
    </row>
    <row r="12137" spans="1:20" x14ac:dyDescent="0.25">
      <c r="A12137" t="str">
        <f>"3040486"</f>
        <v>3040486</v>
      </c>
      <c r="B12137" t="s">
        <v>36486</v>
      </c>
      <c r="C12137" t="str">
        <f>"8310684"</f>
        <v>8310684</v>
      </c>
      <c r="D12137" t="s">
        <v>36487</v>
      </c>
      <c r="E12137" t="s">
        <v>36488</v>
      </c>
      <c r="F12137" t="s">
        <v>36489</v>
      </c>
      <c r="I12137" t="s">
        <v>184</v>
      </c>
      <c r="J12137" t="s">
        <v>30</v>
      </c>
      <c r="K12137" t="s">
        <v>19416</v>
      </c>
      <c r="M12137" t="s">
        <v>17861</v>
      </c>
      <c r="N12137" t="str">
        <f>"11/27/2018 1:25:00 PM"</f>
        <v>11/27/2018 1:25:00 PM</v>
      </c>
      <c r="O12137" t="s">
        <v>36487</v>
      </c>
      <c r="T12137" t="s">
        <v>36488</v>
      </c>
    </row>
    <row r="12138" spans="1:20" x14ac:dyDescent="0.25">
      <c r="A12138" t="str">
        <f>"3051797"</f>
        <v>3051797</v>
      </c>
      <c r="B12138" t="s">
        <v>36490</v>
      </c>
      <c r="C12138" t="str">
        <f>"8310686"</f>
        <v>8310686</v>
      </c>
      <c r="D12138" t="s">
        <v>36491</v>
      </c>
      <c r="E12138" t="s">
        <v>4724</v>
      </c>
      <c r="F12138" t="s">
        <v>36492</v>
      </c>
      <c r="I12138" t="s">
        <v>29</v>
      </c>
      <c r="J12138" t="s">
        <v>30</v>
      </c>
      <c r="K12138" t="s">
        <v>36493</v>
      </c>
      <c r="M12138" t="s">
        <v>17861</v>
      </c>
      <c r="N12138" t="str">
        <f>"11/27/2018 3:07:00 PM"</f>
        <v>11/27/2018 3:07:00 PM</v>
      </c>
      <c r="O12138" t="s">
        <v>36491</v>
      </c>
      <c r="T12138" t="s">
        <v>4724</v>
      </c>
    </row>
    <row r="12139" spans="1:20" x14ac:dyDescent="0.25">
      <c r="A12139" t="str">
        <f>"3052453"</f>
        <v>3052453</v>
      </c>
      <c r="B12139" t="s">
        <v>36494</v>
      </c>
      <c r="C12139" t="str">
        <f>"82527371"</f>
        <v>82527371</v>
      </c>
      <c r="D12139" t="s">
        <v>27792</v>
      </c>
      <c r="F12139" t="s">
        <v>36495</v>
      </c>
      <c r="I12139" t="s">
        <v>29</v>
      </c>
      <c r="J12139" t="s">
        <v>30</v>
      </c>
      <c r="K12139" t="s">
        <v>31</v>
      </c>
      <c r="M12139" t="s">
        <v>25733</v>
      </c>
      <c r="N12139" t="str">
        <f>"10/31/2018 2:04:00 PM"</f>
        <v>10/31/2018 2:04:00 PM</v>
      </c>
      <c r="O12139" t="s">
        <v>27792</v>
      </c>
    </row>
    <row r="12140" spans="1:20" x14ac:dyDescent="0.25">
      <c r="A12140" t="str">
        <f>"3054045"</f>
        <v>3054045</v>
      </c>
      <c r="B12140" t="s">
        <v>36496</v>
      </c>
      <c r="C12140" t="str">
        <f>"43800000"</f>
        <v>43800000</v>
      </c>
      <c r="D12140" t="s">
        <v>36497</v>
      </c>
      <c r="F12140" t="s">
        <v>36498</v>
      </c>
      <c r="I12140" t="s">
        <v>29</v>
      </c>
      <c r="J12140" t="s">
        <v>30</v>
      </c>
      <c r="K12140" t="s">
        <v>36499</v>
      </c>
      <c r="M12140" t="s">
        <v>34670</v>
      </c>
      <c r="N12140" t="str">
        <f>"11/2/2018 11:35:00 AM"</f>
        <v>11/2/2018 11:35:00 AM</v>
      </c>
      <c r="O12140" t="s">
        <v>36497</v>
      </c>
    </row>
    <row r="12141" spans="1:20" x14ac:dyDescent="0.25">
      <c r="A12141" t="str">
        <f>"3039201"</f>
        <v>3039201</v>
      </c>
      <c r="B12141" t="s">
        <v>36500</v>
      </c>
      <c r="C12141" t="str">
        <f>"82520138"</f>
        <v>82520138</v>
      </c>
      <c r="D12141" t="s">
        <v>36501</v>
      </c>
      <c r="F12141" t="s">
        <v>36502</v>
      </c>
      <c r="I12141" t="s">
        <v>1149</v>
      </c>
      <c r="J12141" t="s">
        <v>30</v>
      </c>
      <c r="K12141" t="s">
        <v>1150</v>
      </c>
      <c r="M12141" t="s">
        <v>25733</v>
      </c>
      <c r="N12141" t="str">
        <f>"11/5/2018 1:21:00 PM"</f>
        <v>11/5/2018 1:21:00 PM</v>
      </c>
      <c r="O12141" t="s">
        <v>36501</v>
      </c>
    </row>
    <row r="12142" spans="1:20" x14ac:dyDescent="0.25">
      <c r="A12142" t="str">
        <f>"3039813"</f>
        <v>3039813</v>
      </c>
      <c r="B12142" t="s">
        <v>36503</v>
      </c>
      <c r="C12142" t="str">
        <f>"8304831"</f>
        <v>8304831</v>
      </c>
      <c r="D12142" t="s">
        <v>36504</v>
      </c>
      <c r="F12142" t="s">
        <v>36505</v>
      </c>
      <c r="I12142" t="s">
        <v>29</v>
      </c>
      <c r="J12142" t="s">
        <v>30</v>
      </c>
      <c r="K12142" t="s">
        <v>36506</v>
      </c>
      <c r="M12142" t="s">
        <v>34670</v>
      </c>
      <c r="N12142" t="str">
        <f>"12/6/2018 9:43:00 AM"</f>
        <v>12/6/2018 9:43:00 AM</v>
      </c>
      <c r="O12142" t="s">
        <v>36504</v>
      </c>
    </row>
    <row r="12143" spans="1:20" x14ac:dyDescent="0.25">
      <c r="A12143" t="str">
        <f>"3076658"</f>
        <v>3076658</v>
      </c>
      <c r="B12143" t="s">
        <v>36507</v>
      </c>
      <c r="C12143" t="str">
        <f>"82520138"</f>
        <v>82520138</v>
      </c>
      <c r="D12143" t="s">
        <v>36501</v>
      </c>
      <c r="F12143" t="s">
        <v>36502</v>
      </c>
      <c r="I12143" t="s">
        <v>1149</v>
      </c>
      <c r="J12143" t="s">
        <v>30</v>
      </c>
      <c r="K12143" t="s">
        <v>1150</v>
      </c>
      <c r="M12143" t="s">
        <v>25733</v>
      </c>
      <c r="N12143" t="str">
        <f>"11/5/2018 1:21:00 PM"</f>
        <v>11/5/2018 1:21:00 PM</v>
      </c>
      <c r="O12143" t="s">
        <v>36501</v>
      </c>
    </row>
    <row r="12144" spans="1:20" x14ac:dyDescent="0.25">
      <c r="A12144" t="str">
        <f>"3052667"</f>
        <v>3052667</v>
      </c>
      <c r="B12144" t="s">
        <v>36508</v>
      </c>
      <c r="C12144" t="str">
        <f>"82524754"</f>
        <v>82524754</v>
      </c>
      <c r="D12144" t="s">
        <v>36509</v>
      </c>
      <c r="F12144" t="s">
        <v>36510</v>
      </c>
      <c r="I12144" t="s">
        <v>29</v>
      </c>
      <c r="J12144" t="s">
        <v>30</v>
      </c>
      <c r="K12144" t="s">
        <v>12144</v>
      </c>
      <c r="M12144" t="s">
        <v>34475</v>
      </c>
      <c r="N12144" t="str">
        <f>"11/5/2018 3:00:00 PM"</f>
        <v>11/5/2018 3:00:00 PM</v>
      </c>
      <c r="O12144" t="s">
        <v>36509</v>
      </c>
    </row>
    <row r="12145" spans="1:20" x14ac:dyDescent="0.25">
      <c r="A12145" t="str">
        <f>"3038330"</f>
        <v>3038330</v>
      </c>
      <c r="B12145" t="s">
        <v>36511</v>
      </c>
      <c r="C12145" t="str">
        <f>"8308841"</f>
        <v>8308841</v>
      </c>
      <c r="D12145" t="s">
        <v>36512</v>
      </c>
      <c r="E12145" t="s">
        <v>36513</v>
      </c>
      <c r="F12145" t="s">
        <v>36514</v>
      </c>
      <c r="I12145" t="s">
        <v>29</v>
      </c>
      <c r="J12145" t="s">
        <v>30</v>
      </c>
      <c r="K12145" t="s">
        <v>11151</v>
      </c>
      <c r="M12145" t="s">
        <v>33432</v>
      </c>
      <c r="N12145" t="str">
        <f>"12/6/2018 4:19:00 PM"</f>
        <v>12/6/2018 4:19:00 PM</v>
      </c>
      <c r="O12145" t="s">
        <v>36512</v>
      </c>
      <c r="T12145" t="s">
        <v>36513</v>
      </c>
    </row>
    <row r="12146" spans="1:20" x14ac:dyDescent="0.25">
      <c r="A12146" t="str">
        <f>"3037944"</f>
        <v>3037944</v>
      </c>
      <c r="B12146" t="s">
        <v>36515</v>
      </c>
      <c r="C12146" t="str">
        <f>"8309480"</f>
        <v>8309480</v>
      </c>
      <c r="D12146" t="s">
        <v>36516</v>
      </c>
      <c r="F12146" t="s">
        <v>36514</v>
      </c>
      <c r="I12146" t="s">
        <v>29</v>
      </c>
      <c r="J12146" t="s">
        <v>30</v>
      </c>
      <c r="K12146" t="s">
        <v>11151</v>
      </c>
      <c r="M12146" t="s">
        <v>33432</v>
      </c>
      <c r="N12146" t="str">
        <f>"12/6/2018 4:19:00 PM"</f>
        <v>12/6/2018 4:19:00 PM</v>
      </c>
      <c r="O12146" t="s">
        <v>36516</v>
      </c>
    </row>
    <row r="12147" spans="1:20" x14ac:dyDescent="0.25">
      <c r="A12147" t="str">
        <f>"3065653"</f>
        <v>3065653</v>
      </c>
      <c r="B12147" t="s">
        <v>36517</v>
      </c>
      <c r="C12147" t="str">
        <f>"8300393"</f>
        <v>8300393</v>
      </c>
      <c r="D12147" t="s">
        <v>36518</v>
      </c>
      <c r="F12147" t="s">
        <v>23140</v>
      </c>
      <c r="I12147" t="s">
        <v>29</v>
      </c>
      <c r="J12147" t="s">
        <v>30</v>
      </c>
      <c r="K12147" t="s">
        <v>31</v>
      </c>
      <c r="M12147" t="s">
        <v>25625</v>
      </c>
      <c r="N12147" t="str">
        <f>"11/8/2018 12:29:00 PM"</f>
        <v>11/8/2018 12:29:00 PM</v>
      </c>
      <c r="O12147" t="s">
        <v>36518</v>
      </c>
    </row>
    <row r="12148" spans="1:20" x14ac:dyDescent="0.25">
      <c r="A12148" t="str">
        <f>"3052653"</f>
        <v>3052653</v>
      </c>
      <c r="B12148" t="s">
        <v>36519</v>
      </c>
      <c r="C12148" t="str">
        <f>"29238940"</f>
        <v>29238940</v>
      </c>
      <c r="D12148" t="s">
        <v>36520</v>
      </c>
      <c r="F12148" t="s">
        <v>36521</v>
      </c>
      <c r="I12148" t="s">
        <v>36522</v>
      </c>
      <c r="J12148" t="s">
        <v>12725</v>
      </c>
      <c r="K12148" t="s">
        <v>36523</v>
      </c>
      <c r="M12148" t="s">
        <v>25625</v>
      </c>
      <c r="N12148" t="str">
        <f>"12/7/2018 2:43:00 PM"</f>
        <v>12/7/2018 2:43:00 PM</v>
      </c>
      <c r="O12148" t="s">
        <v>36520</v>
      </c>
    </row>
    <row r="12149" spans="1:20" x14ac:dyDescent="0.25">
      <c r="A12149" t="str">
        <f>"3040056"</f>
        <v>3040056</v>
      </c>
      <c r="B12149" t="s">
        <v>36524</v>
      </c>
      <c r="C12149" t="str">
        <f>"82519221"</f>
        <v>82519221</v>
      </c>
      <c r="D12149" t="s">
        <v>36525</v>
      </c>
      <c r="F12149" t="s">
        <v>36526</v>
      </c>
      <c r="I12149" t="s">
        <v>29</v>
      </c>
      <c r="J12149" t="s">
        <v>30</v>
      </c>
      <c r="K12149" t="s">
        <v>31</v>
      </c>
      <c r="M12149" t="s">
        <v>33845</v>
      </c>
      <c r="N12149" t="str">
        <f>"12/7/2018 4:40:00 PM"</f>
        <v>12/7/2018 4:40:00 PM</v>
      </c>
      <c r="O12149" t="s">
        <v>36525</v>
      </c>
    </row>
    <row r="12150" spans="1:20" x14ac:dyDescent="0.25">
      <c r="A12150" t="str">
        <f>"3059200"</f>
        <v>3059200</v>
      </c>
      <c r="B12150" t="s">
        <v>36527</v>
      </c>
      <c r="C12150" t="str">
        <f>"82519221"</f>
        <v>82519221</v>
      </c>
      <c r="D12150" t="s">
        <v>36525</v>
      </c>
      <c r="F12150" t="s">
        <v>36526</v>
      </c>
      <c r="I12150" t="s">
        <v>29</v>
      </c>
      <c r="J12150" t="s">
        <v>30</v>
      </c>
      <c r="K12150" t="s">
        <v>31</v>
      </c>
      <c r="M12150" t="s">
        <v>33845</v>
      </c>
      <c r="N12150" t="str">
        <f>"12/7/2018 4:40:00 PM"</f>
        <v>12/7/2018 4:40:00 PM</v>
      </c>
      <c r="O12150" t="s">
        <v>36525</v>
      </c>
    </row>
    <row r="12151" spans="1:20" x14ac:dyDescent="0.25">
      <c r="A12151" t="str">
        <f>"3057539"</f>
        <v>3057539</v>
      </c>
      <c r="B12151" t="s">
        <v>36528</v>
      </c>
      <c r="C12151" t="str">
        <f>"8310720"</f>
        <v>8310720</v>
      </c>
      <c r="D12151" t="s">
        <v>36529</v>
      </c>
      <c r="E12151" t="s">
        <v>36530</v>
      </c>
      <c r="F12151" t="s">
        <v>36531</v>
      </c>
      <c r="I12151" t="s">
        <v>184</v>
      </c>
      <c r="J12151" t="s">
        <v>30</v>
      </c>
      <c r="K12151" t="s">
        <v>24417</v>
      </c>
      <c r="M12151" t="s">
        <v>17861</v>
      </c>
      <c r="N12151" t="str">
        <f>"12/11/2018 2:00:00 PM"</f>
        <v>12/11/2018 2:00:00 PM</v>
      </c>
      <c r="O12151" t="s">
        <v>36529</v>
      </c>
      <c r="T12151" t="s">
        <v>36530</v>
      </c>
    </row>
    <row r="12152" spans="1:20" x14ac:dyDescent="0.25">
      <c r="A12152" t="str">
        <f>"3059310"</f>
        <v>3059310</v>
      </c>
      <c r="B12152" t="s">
        <v>36532</v>
      </c>
      <c r="C12152" t="str">
        <f>"8310721"</f>
        <v>8310721</v>
      </c>
      <c r="D12152" t="s">
        <v>36533</v>
      </c>
      <c r="F12152" t="s">
        <v>36534</v>
      </c>
      <c r="I12152" t="s">
        <v>29</v>
      </c>
      <c r="J12152" t="s">
        <v>30</v>
      </c>
      <c r="K12152" t="s">
        <v>36535</v>
      </c>
      <c r="M12152" t="s">
        <v>17861</v>
      </c>
      <c r="N12152" t="str">
        <f>"12/11/2018 2:07:00 PM"</f>
        <v>12/11/2018 2:07:00 PM</v>
      </c>
      <c r="O12152" t="s">
        <v>36533</v>
      </c>
    </row>
    <row r="12153" spans="1:20" x14ac:dyDescent="0.25">
      <c r="A12153" t="str">
        <f>"3041635"</f>
        <v>3041635</v>
      </c>
      <c r="B12153" t="s">
        <v>36536</v>
      </c>
      <c r="C12153" t="str">
        <f>"8310722"</f>
        <v>8310722</v>
      </c>
      <c r="D12153" t="s">
        <v>36537</v>
      </c>
      <c r="E12153" t="s">
        <v>36538</v>
      </c>
      <c r="F12153" t="s">
        <v>36539</v>
      </c>
      <c r="I12153" t="s">
        <v>184</v>
      </c>
      <c r="J12153" t="s">
        <v>30</v>
      </c>
      <c r="K12153" t="s">
        <v>4142</v>
      </c>
      <c r="M12153" t="s">
        <v>17861</v>
      </c>
      <c r="N12153" t="str">
        <f>"12/11/2018 2:12:00 PM"</f>
        <v>12/11/2018 2:12:00 PM</v>
      </c>
      <c r="O12153" t="s">
        <v>36537</v>
      </c>
      <c r="T12153" t="s">
        <v>36538</v>
      </c>
    </row>
    <row r="12154" spans="1:20" x14ac:dyDescent="0.25">
      <c r="A12154" t="str">
        <f>"3056550"</f>
        <v>3056550</v>
      </c>
      <c r="B12154" t="s">
        <v>36540</v>
      </c>
      <c r="C12154" t="str">
        <f>"8310603"</f>
        <v>8310603</v>
      </c>
      <c r="D12154" t="s">
        <v>36541</v>
      </c>
      <c r="E12154" t="s">
        <v>36542</v>
      </c>
      <c r="F12154" t="s">
        <v>36543</v>
      </c>
      <c r="I12154" t="s">
        <v>36544</v>
      </c>
      <c r="J12154" t="s">
        <v>30</v>
      </c>
      <c r="K12154" t="s">
        <v>36545</v>
      </c>
      <c r="M12154" t="s">
        <v>17861</v>
      </c>
      <c r="N12154" t="str">
        <f>"11/8/2018 3:52:00 PM"</f>
        <v>11/8/2018 3:52:00 PM</v>
      </c>
      <c r="O12154" t="s">
        <v>36541</v>
      </c>
      <c r="T12154" t="s">
        <v>36542</v>
      </c>
    </row>
    <row r="12155" spans="1:20" x14ac:dyDescent="0.25">
      <c r="A12155" t="str">
        <f>"3052339"</f>
        <v>3052339</v>
      </c>
      <c r="B12155" t="s">
        <v>36546</v>
      </c>
      <c r="C12155" t="str">
        <f>"8310724"</f>
        <v>8310724</v>
      </c>
      <c r="D12155" t="s">
        <v>36547</v>
      </c>
      <c r="F12155" t="s">
        <v>36548</v>
      </c>
      <c r="G12155" t="s">
        <v>36549</v>
      </c>
      <c r="I12155" t="s">
        <v>17921</v>
      </c>
      <c r="J12155" t="s">
        <v>30</v>
      </c>
      <c r="K12155" t="str">
        <f>"27028"</f>
        <v>27028</v>
      </c>
      <c r="M12155" t="s">
        <v>17861</v>
      </c>
      <c r="N12155" t="str">
        <f>"12/11/2018 2:55:00 PM"</f>
        <v>12/11/2018 2:55:00 PM</v>
      </c>
      <c r="O12155" t="s">
        <v>36547</v>
      </c>
    </row>
    <row r="12156" spans="1:20" x14ac:dyDescent="0.25">
      <c r="A12156" t="str">
        <f>"3048826"</f>
        <v>3048826</v>
      </c>
      <c r="B12156" t="s">
        <v>36550</v>
      </c>
      <c r="C12156" t="str">
        <f>"8310725"</f>
        <v>8310725</v>
      </c>
      <c r="D12156" t="str">
        <f>"BARBER CHARLES P/SUSAN BEAUMON"</f>
        <v>BARBER CHARLES P/SUSAN BEAUMON</v>
      </c>
      <c r="E12156" t="s">
        <v>36551</v>
      </c>
      <c r="F12156" t="s">
        <v>36552</v>
      </c>
      <c r="I12156" t="s">
        <v>1176</v>
      </c>
      <c r="J12156" t="s">
        <v>30</v>
      </c>
      <c r="K12156" t="str">
        <f>"27054"</f>
        <v>27054</v>
      </c>
      <c r="M12156" t="s">
        <v>17861</v>
      </c>
      <c r="N12156" t="str">
        <f>"12/11/2018 3:02:00 PM"</f>
        <v>12/11/2018 3:02:00 PM</v>
      </c>
      <c r="O12156" t="str">
        <f>"BARBER CHARLES P/SUSAN BEAUMON"</f>
        <v>BARBER CHARLES P/SUSAN BEAUMON</v>
      </c>
      <c r="T12156" t="s">
        <v>36551</v>
      </c>
    </row>
    <row r="12157" spans="1:20" x14ac:dyDescent="0.25">
      <c r="A12157" t="str">
        <f>"3041805"</f>
        <v>3041805</v>
      </c>
      <c r="B12157" t="s">
        <v>36553</v>
      </c>
      <c r="C12157" t="str">
        <f>"8310726"</f>
        <v>8310726</v>
      </c>
      <c r="D12157" t="s">
        <v>36554</v>
      </c>
      <c r="E12157" t="s">
        <v>36555</v>
      </c>
      <c r="F12157" t="s">
        <v>36556</v>
      </c>
      <c r="I12157" t="s">
        <v>2071</v>
      </c>
      <c r="J12157" t="s">
        <v>30</v>
      </c>
      <c r="K12157" t="s">
        <v>36557</v>
      </c>
      <c r="M12157" t="s">
        <v>17861</v>
      </c>
      <c r="N12157" t="str">
        <f>"12/11/2018 3:06:00 PM"</f>
        <v>12/11/2018 3:06:00 PM</v>
      </c>
      <c r="O12157" t="s">
        <v>36554</v>
      </c>
      <c r="T12157" t="s">
        <v>36555</v>
      </c>
    </row>
    <row r="12158" spans="1:20" x14ac:dyDescent="0.25">
      <c r="A12158" t="str">
        <f>"3061194"</f>
        <v>3061194</v>
      </c>
      <c r="B12158" t="s">
        <v>36558</v>
      </c>
      <c r="C12158" t="str">
        <f>"8310728"</f>
        <v>8310728</v>
      </c>
      <c r="D12158" t="s">
        <v>36559</v>
      </c>
      <c r="E12158" t="s">
        <v>36560</v>
      </c>
      <c r="F12158" t="s">
        <v>36561</v>
      </c>
      <c r="I12158" t="s">
        <v>2071</v>
      </c>
      <c r="J12158" t="s">
        <v>30</v>
      </c>
      <c r="K12158" t="s">
        <v>36562</v>
      </c>
      <c r="M12158" t="s">
        <v>17861</v>
      </c>
      <c r="N12158" t="str">
        <f>"12/11/2018 3:12:00 PM"</f>
        <v>12/11/2018 3:12:00 PM</v>
      </c>
      <c r="O12158" t="s">
        <v>36559</v>
      </c>
      <c r="T12158" t="s">
        <v>36560</v>
      </c>
    </row>
    <row r="12159" spans="1:20" x14ac:dyDescent="0.25">
      <c r="A12159" t="str">
        <f>"3058393"</f>
        <v>3058393</v>
      </c>
      <c r="B12159" t="s">
        <v>36563</v>
      </c>
      <c r="C12159" t="str">
        <f>"8310729"</f>
        <v>8310729</v>
      </c>
      <c r="D12159" t="str">
        <f>"FARY ERNEST F JR/MARGARET W REV TRUST"</f>
        <v>FARY ERNEST F JR/MARGARET W REV TRUST</v>
      </c>
      <c r="E12159" t="s">
        <v>36564</v>
      </c>
      <c r="F12159" t="s">
        <v>36565</v>
      </c>
      <c r="I12159" t="s">
        <v>2071</v>
      </c>
      <c r="J12159" t="s">
        <v>30</v>
      </c>
      <c r="K12159" t="str">
        <f>"27006"</f>
        <v>27006</v>
      </c>
      <c r="M12159" t="s">
        <v>17861</v>
      </c>
      <c r="N12159" t="str">
        <f>"12/11/2018 3:16:00 PM"</f>
        <v>12/11/2018 3:16:00 PM</v>
      </c>
      <c r="O12159" t="str">
        <f>"FARY ERNEST F JR/MARGARET W REV TRUST"</f>
        <v>FARY ERNEST F JR/MARGARET W REV TRUST</v>
      </c>
      <c r="T12159" t="s">
        <v>36564</v>
      </c>
    </row>
    <row r="12160" spans="1:20" x14ac:dyDescent="0.25">
      <c r="A12160" t="str">
        <f>"3059590"</f>
        <v>3059590</v>
      </c>
      <c r="B12160" t="s">
        <v>36566</v>
      </c>
      <c r="C12160" t="str">
        <f>"8310730"</f>
        <v>8310730</v>
      </c>
      <c r="D12160" t="s">
        <v>36567</v>
      </c>
      <c r="F12160" t="s">
        <v>36568</v>
      </c>
      <c r="I12160" t="s">
        <v>29</v>
      </c>
      <c r="J12160" t="s">
        <v>30</v>
      </c>
      <c r="K12160" t="s">
        <v>13437</v>
      </c>
      <c r="M12160" t="s">
        <v>17861</v>
      </c>
      <c r="N12160" t="str">
        <f>"12/11/2018 3:42:00 PM"</f>
        <v>12/11/2018 3:42:00 PM</v>
      </c>
      <c r="O12160" t="s">
        <v>36567</v>
      </c>
    </row>
    <row r="12161" spans="1:20" x14ac:dyDescent="0.25">
      <c r="A12161" t="str">
        <f>"3055791"</f>
        <v>3055791</v>
      </c>
      <c r="B12161" t="s">
        <v>36569</v>
      </c>
      <c r="C12161" t="str">
        <f>"8310733"</f>
        <v>8310733</v>
      </c>
      <c r="D12161" t="s">
        <v>36570</v>
      </c>
      <c r="E12161" t="s">
        <v>36571</v>
      </c>
      <c r="F12161" t="s">
        <v>36572</v>
      </c>
      <c r="I12161" t="s">
        <v>29</v>
      </c>
      <c r="J12161" t="s">
        <v>30</v>
      </c>
      <c r="K12161" t="s">
        <v>15371</v>
      </c>
      <c r="M12161" t="s">
        <v>17861</v>
      </c>
      <c r="N12161" t="str">
        <f>"12/11/2018 4:10:00 PM"</f>
        <v>12/11/2018 4:10:00 PM</v>
      </c>
      <c r="O12161" t="s">
        <v>36570</v>
      </c>
      <c r="T12161" t="s">
        <v>36571</v>
      </c>
    </row>
    <row r="12162" spans="1:20" x14ac:dyDescent="0.25">
      <c r="A12162" t="str">
        <f>"3060591"</f>
        <v>3060591</v>
      </c>
      <c r="B12162" t="s">
        <v>36573</v>
      </c>
      <c r="C12162" t="str">
        <f>"8304901"</f>
        <v>8304901</v>
      </c>
      <c r="D12162" t="s">
        <v>36574</v>
      </c>
      <c r="F12162" t="s">
        <v>36575</v>
      </c>
      <c r="I12162" t="s">
        <v>2071</v>
      </c>
      <c r="J12162" t="s">
        <v>30</v>
      </c>
      <c r="K12162" t="str">
        <f>"27006"</f>
        <v>27006</v>
      </c>
      <c r="M12162" t="s">
        <v>33845</v>
      </c>
      <c r="N12162" t="str">
        <f>"12/12/2018 8:26:00 AM"</f>
        <v>12/12/2018 8:26:00 AM</v>
      </c>
      <c r="O12162" t="s">
        <v>36574</v>
      </c>
    </row>
    <row r="12163" spans="1:20" x14ac:dyDescent="0.25">
      <c r="A12163" t="str">
        <f>"3056428"</f>
        <v>3056428</v>
      </c>
      <c r="B12163" t="s">
        <v>36576</v>
      </c>
      <c r="C12163" t="str">
        <f>"8310603"</f>
        <v>8310603</v>
      </c>
      <c r="D12163" t="s">
        <v>36541</v>
      </c>
      <c r="E12163" t="s">
        <v>36542</v>
      </c>
      <c r="F12163" t="s">
        <v>36543</v>
      </c>
      <c r="I12163" t="s">
        <v>36544</v>
      </c>
      <c r="J12163" t="s">
        <v>30</v>
      </c>
      <c r="K12163" t="s">
        <v>36545</v>
      </c>
      <c r="M12163" t="s">
        <v>17861</v>
      </c>
      <c r="N12163" t="str">
        <f>"11/8/2018 3:52:00 PM"</f>
        <v>11/8/2018 3:52:00 PM</v>
      </c>
      <c r="O12163" t="s">
        <v>36541</v>
      </c>
      <c r="T12163" t="s">
        <v>36542</v>
      </c>
    </row>
    <row r="12164" spans="1:20" x14ac:dyDescent="0.25">
      <c r="A12164" t="str">
        <f>"3054094"</f>
        <v>3054094</v>
      </c>
      <c r="B12164" t="s">
        <v>36577</v>
      </c>
      <c r="C12164" t="str">
        <f>"8310608"</f>
        <v>8310608</v>
      </c>
      <c r="D12164" t="s">
        <v>36578</v>
      </c>
      <c r="F12164" t="s">
        <v>36579</v>
      </c>
      <c r="I12164" t="s">
        <v>29</v>
      </c>
      <c r="J12164" t="s">
        <v>30</v>
      </c>
      <c r="K12164" t="s">
        <v>36580</v>
      </c>
      <c r="M12164" t="s">
        <v>17861</v>
      </c>
      <c r="N12164" t="str">
        <f>"11/8/2018 4:20:00 PM"</f>
        <v>11/8/2018 4:20:00 PM</v>
      </c>
      <c r="O12164" t="s">
        <v>36578</v>
      </c>
    </row>
    <row r="12165" spans="1:20" x14ac:dyDescent="0.25">
      <c r="A12165" t="str">
        <f>"3054623"</f>
        <v>3054623</v>
      </c>
      <c r="B12165" t="s">
        <v>36581</v>
      </c>
      <c r="C12165" t="str">
        <f>"8310608"</f>
        <v>8310608</v>
      </c>
      <c r="D12165" t="s">
        <v>36578</v>
      </c>
      <c r="F12165" t="s">
        <v>36579</v>
      </c>
      <c r="I12165" t="s">
        <v>29</v>
      </c>
      <c r="J12165" t="s">
        <v>30</v>
      </c>
      <c r="K12165" t="s">
        <v>36580</v>
      </c>
      <c r="M12165" t="s">
        <v>17861</v>
      </c>
      <c r="N12165" t="str">
        <f>"11/8/2018 4:20:00 PM"</f>
        <v>11/8/2018 4:20:00 PM</v>
      </c>
      <c r="O12165" t="s">
        <v>36578</v>
      </c>
    </row>
    <row r="12166" spans="1:20" x14ac:dyDescent="0.25">
      <c r="A12166" t="str">
        <f>"3041224"</f>
        <v>3041224</v>
      </c>
      <c r="B12166" t="s">
        <v>36582</v>
      </c>
      <c r="C12166" t="str">
        <f>"8310424"</f>
        <v>8310424</v>
      </c>
      <c r="D12166" t="s">
        <v>36583</v>
      </c>
      <c r="E12166" t="s">
        <v>36584</v>
      </c>
      <c r="F12166" t="s">
        <v>36585</v>
      </c>
      <c r="I12166" t="s">
        <v>2071</v>
      </c>
      <c r="J12166" t="s">
        <v>30</v>
      </c>
      <c r="K12166" t="s">
        <v>36586</v>
      </c>
      <c r="M12166" t="s">
        <v>17861</v>
      </c>
      <c r="N12166" t="str">
        <f>"11/9/2018 8:54:00 AM"</f>
        <v>11/9/2018 8:54:00 AM</v>
      </c>
      <c r="O12166" t="s">
        <v>36583</v>
      </c>
      <c r="T12166" t="s">
        <v>36584</v>
      </c>
    </row>
    <row r="12167" spans="1:20" x14ac:dyDescent="0.25">
      <c r="A12167" t="str">
        <f>"3055410"</f>
        <v>3055410</v>
      </c>
      <c r="B12167" t="s">
        <v>36587</v>
      </c>
      <c r="C12167" t="str">
        <f>"8310612"</f>
        <v>8310612</v>
      </c>
      <c r="D12167" t="s">
        <v>36588</v>
      </c>
      <c r="E12167" t="s">
        <v>36589</v>
      </c>
      <c r="F12167" t="s">
        <v>36590</v>
      </c>
      <c r="I12167" t="s">
        <v>29</v>
      </c>
      <c r="J12167" t="s">
        <v>30</v>
      </c>
      <c r="K12167" t="s">
        <v>36591</v>
      </c>
      <c r="M12167" t="s">
        <v>17861</v>
      </c>
      <c r="N12167" t="str">
        <f>"11/9/2018 8:57:00 AM"</f>
        <v>11/9/2018 8:57:00 AM</v>
      </c>
      <c r="O12167" t="s">
        <v>36588</v>
      </c>
      <c r="T12167" t="s">
        <v>36589</v>
      </c>
    </row>
    <row r="12168" spans="1:20" x14ac:dyDescent="0.25">
      <c r="A12168" t="str">
        <f>"3057672"</f>
        <v>3057672</v>
      </c>
      <c r="B12168" t="s">
        <v>36592</v>
      </c>
      <c r="C12168" t="str">
        <f>"8310620"</f>
        <v>8310620</v>
      </c>
      <c r="D12168" t="s">
        <v>36593</v>
      </c>
      <c r="E12168" t="s">
        <v>36594</v>
      </c>
      <c r="F12168" t="s">
        <v>36595</v>
      </c>
      <c r="I12168" t="s">
        <v>184</v>
      </c>
      <c r="J12168" t="s">
        <v>30</v>
      </c>
      <c r="K12168" t="s">
        <v>34622</v>
      </c>
      <c r="M12168" t="s">
        <v>17861</v>
      </c>
      <c r="N12168" t="str">
        <f>"11/9/2018 10:42:00 AM"</f>
        <v>11/9/2018 10:42:00 AM</v>
      </c>
      <c r="O12168" t="s">
        <v>36593</v>
      </c>
      <c r="T12168" t="s">
        <v>36594</v>
      </c>
    </row>
    <row r="12169" spans="1:20" x14ac:dyDescent="0.25">
      <c r="A12169" t="str">
        <f>"3045394"</f>
        <v>3045394</v>
      </c>
      <c r="B12169" t="s">
        <v>36596</v>
      </c>
      <c r="C12169" t="str">
        <f>"8310564"</f>
        <v>8310564</v>
      </c>
      <c r="D12169" t="s">
        <v>36597</v>
      </c>
      <c r="E12169" t="s">
        <v>36598</v>
      </c>
      <c r="F12169" t="s">
        <v>36599</v>
      </c>
      <c r="I12169" t="s">
        <v>29</v>
      </c>
      <c r="J12169" t="s">
        <v>30</v>
      </c>
      <c r="K12169" t="s">
        <v>36600</v>
      </c>
      <c r="M12169" t="s">
        <v>17861</v>
      </c>
      <c r="N12169" t="str">
        <f>"10/30/2018 3:42:00 PM"</f>
        <v>10/30/2018 3:42:00 PM</v>
      </c>
      <c r="O12169" t="s">
        <v>36597</v>
      </c>
      <c r="T12169" t="s">
        <v>36598</v>
      </c>
    </row>
    <row r="12170" spans="1:20" x14ac:dyDescent="0.25">
      <c r="A12170" t="str">
        <f>"3041748"</f>
        <v>3041748</v>
      </c>
      <c r="B12170" t="s">
        <v>36601</v>
      </c>
      <c r="C12170" t="str">
        <f>"8310740"</f>
        <v>8310740</v>
      </c>
      <c r="D12170" t="s">
        <v>36602</v>
      </c>
      <c r="E12170" t="s">
        <v>36603</v>
      </c>
      <c r="F12170" t="s">
        <v>36604</v>
      </c>
      <c r="I12170" t="s">
        <v>2071</v>
      </c>
      <c r="J12170" t="s">
        <v>30</v>
      </c>
      <c r="K12170" t="s">
        <v>36605</v>
      </c>
      <c r="M12170" t="s">
        <v>17861</v>
      </c>
      <c r="N12170" t="str">
        <f>"12/17/2018 4:04:00 PM"</f>
        <v>12/17/2018 4:04:00 PM</v>
      </c>
      <c r="O12170" t="s">
        <v>36602</v>
      </c>
      <c r="T12170" t="s">
        <v>36603</v>
      </c>
    </row>
    <row r="12171" spans="1:20" x14ac:dyDescent="0.25">
      <c r="A12171" t="str">
        <f>"3054522"</f>
        <v>3054522</v>
      </c>
      <c r="B12171" t="s">
        <v>36606</v>
      </c>
      <c r="C12171" t="str">
        <f>"8310742"</f>
        <v>8310742</v>
      </c>
      <c r="D12171" t="s">
        <v>36607</v>
      </c>
      <c r="E12171" t="str">
        <f>"FERGUSON TYLOR/JORDAN"</f>
        <v>FERGUSON TYLOR/JORDAN</v>
      </c>
      <c r="F12171" t="s">
        <v>36608</v>
      </c>
      <c r="I12171" t="s">
        <v>29</v>
      </c>
      <c r="J12171" t="s">
        <v>30</v>
      </c>
      <c r="K12171" t="s">
        <v>15414</v>
      </c>
      <c r="M12171" t="s">
        <v>17861</v>
      </c>
      <c r="N12171" t="str">
        <f>"12/17/2018 4:13:00 PM"</f>
        <v>12/17/2018 4:13:00 PM</v>
      </c>
      <c r="O12171" t="s">
        <v>36607</v>
      </c>
      <c r="T12171" t="str">
        <f>"FERGUSON TYLOR/JORDAN"</f>
        <v>FERGUSON TYLOR/JORDAN</v>
      </c>
    </row>
    <row r="12172" spans="1:20" x14ac:dyDescent="0.25">
      <c r="A12172" t="str">
        <f>"3043238"</f>
        <v>3043238</v>
      </c>
      <c r="B12172" t="s">
        <v>36609</v>
      </c>
      <c r="C12172" t="str">
        <f>"8310572"</f>
        <v>8310572</v>
      </c>
      <c r="D12172" t="s">
        <v>36448</v>
      </c>
      <c r="E12172" t="str">
        <f>"NEELY JOS REV TR/JOYCE R REV T"</f>
        <v>NEELY JOS REV TR/JOYCE R REV T</v>
      </c>
      <c r="F12172" t="s">
        <v>36449</v>
      </c>
      <c r="I12172" t="s">
        <v>471</v>
      </c>
      <c r="J12172" t="s">
        <v>30</v>
      </c>
      <c r="K12172" t="str">
        <f>"27106"</f>
        <v>27106</v>
      </c>
      <c r="M12172" t="s">
        <v>17861</v>
      </c>
      <c r="N12172" t="str">
        <f>"10/31/2018 11:21:00 AM"</f>
        <v>10/31/2018 11:21:00 AM</v>
      </c>
      <c r="O12172" t="s">
        <v>36448</v>
      </c>
      <c r="T12172" t="str">
        <f>"NEELY JOS REV TR/JOYCE R REV T"</f>
        <v>NEELY JOS REV TR/JOYCE R REV T</v>
      </c>
    </row>
    <row r="12173" spans="1:20" x14ac:dyDescent="0.25">
      <c r="A12173" t="str">
        <f>"3038432"</f>
        <v>3038432</v>
      </c>
      <c r="B12173" t="s">
        <v>36610</v>
      </c>
      <c r="C12173" t="str">
        <f>"62266460"</f>
        <v>62266460</v>
      </c>
      <c r="D12173" t="s">
        <v>36375</v>
      </c>
      <c r="E12173" t="s">
        <v>36376</v>
      </c>
      <c r="F12173" t="s">
        <v>36377</v>
      </c>
      <c r="I12173" t="s">
        <v>29</v>
      </c>
      <c r="J12173" t="s">
        <v>30</v>
      </c>
      <c r="K12173" t="s">
        <v>36378</v>
      </c>
      <c r="M12173" t="s">
        <v>33845</v>
      </c>
      <c r="N12173" t="str">
        <f>"11/13/2018 10:15:00 AM"</f>
        <v>11/13/2018 10:15:00 AM</v>
      </c>
      <c r="O12173" t="s">
        <v>36375</v>
      </c>
      <c r="T12173" t="s">
        <v>36376</v>
      </c>
    </row>
    <row r="12174" spans="1:20" x14ac:dyDescent="0.25">
      <c r="A12174" t="str">
        <f>"3057816"</f>
        <v>3057816</v>
      </c>
      <c r="B12174" t="s">
        <v>36611</v>
      </c>
      <c r="C12174" t="str">
        <f>"8310641"</f>
        <v>8310641</v>
      </c>
      <c r="D12174" t="s">
        <v>36612</v>
      </c>
      <c r="E12174" t="s">
        <v>36613</v>
      </c>
      <c r="F12174" t="s">
        <v>36614</v>
      </c>
      <c r="I12174" t="s">
        <v>29</v>
      </c>
      <c r="J12174" t="s">
        <v>30</v>
      </c>
      <c r="K12174" t="s">
        <v>12616</v>
      </c>
      <c r="M12174" t="s">
        <v>17861</v>
      </c>
      <c r="N12174" t="str">
        <f>"11/13/2018 3:34:00 PM"</f>
        <v>11/13/2018 3:34:00 PM</v>
      </c>
      <c r="O12174" t="s">
        <v>36612</v>
      </c>
      <c r="T12174" t="s">
        <v>36613</v>
      </c>
    </row>
    <row r="12175" spans="1:20" x14ac:dyDescent="0.25">
      <c r="A12175" t="str">
        <f>"3054335"</f>
        <v>3054335</v>
      </c>
      <c r="B12175" t="s">
        <v>36615</v>
      </c>
      <c r="C12175" t="str">
        <f>"8310649"</f>
        <v>8310649</v>
      </c>
      <c r="D12175" t="s">
        <v>36616</v>
      </c>
      <c r="F12175" t="s">
        <v>36617</v>
      </c>
      <c r="I12175" t="s">
        <v>29</v>
      </c>
      <c r="J12175" t="s">
        <v>30</v>
      </c>
      <c r="K12175" t="s">
        <v>33337</v>
      </c>
      <c r="M12175" t="s">
        <v>17861</v>
      </c>
      <c r="N12175" t="str">
        <f>"11/19/2018 12:54:00 PM"</f>
        <v>11/19/2018 12:54:00 PM</v>
      </c>
      <c r="O12175" t="s">
        <v>36616</v>
      </c>
    </row>
    <row r="12176" spans="1:20" x14ac:dyDescent="0.25">
      <c r="A12176" t="str">
        <f>"3060790"</f>
        <v>3060790</v>
      </c>
      <c r="B12176" t="s">
        <v>36618</v>
      </c>
      <c r="C12176" t="str">
        <f>"8310657"</f>
        <v>8310657</v>
      </c>
      <c r="D12176" t="s">
        <v>36619</v>
      </c>
      <c r="E12176" t="s">
        <v>36620</v>
      </c>
      <c r="F12176" t="s">
        <v>36621</v>
      </c>
      <c r="I12176" t="s">
        <v>184</v>
      </c>
      <c r="J12176" t="s">
        <v>30</v>
      </c>
      <c r="K12176" t="s">
        <v>5026</v>
      </c>
      <c r="M12176" t="s">
        <v>17861</v>
      </c>
      <c r="N12176" t="str">
        <f>"11/19/2018 2:08:00 PM"</f>
        <v>11/19/2018 2:08:00 PM</v>
      </c>
      <c r="O12176" t="s">
        <v>36619</v>
      </c>
      <c r="T12176" t="s">
        <v>36620</v>
      </c>
    </row>
    <row r="12177" spans="1:20" x14ac:dyDescent="0.25">
      <c r="A12177" t="str">
        <f>"3061271"</f>
        <v>3061271</v>
      </c>
      <c r="B12177" t="s">
        <v>36622</v>
      </c>
      <c r="C12177" t="str">
        <f>"8310679"</f>
        <v>8310679</v>
      </c>
      <c r="D12177" t="s">
        <v>36623</v>
      </c>
      <c r="E12177" t="s">
        <v>36624</v>
      </c>
      <c r="F12177" t="s">
        <v>36625</v>
      </c>
      <c r="I12177" t="s">
        <v>2071</v>
      </c>
      <c r="J12177" t="s">
        <v>30</v>
      </c>
      <c r="K12177" t="s">
        <v>36586</v>
      </c>
      <c r="M12177" t="s">
        <v>17861</v>
      </c>
      <c r="N12177" t="str">
        <f>"11/27/2018 8:57:00 AM"</f>
        <v>11/27/2018 8:57:00 AM</v>
      </c>
      <c r="O12177" t="s">
        <v>36623</v>
      </c>
      <c r="T12177" t="s">
        <v>36624</v>
      </c>
    </row>
    <row r="12178" spans="1:20" x14ac:dyDescent="0.25">
      <c r="A12178" t="str">
        <f>"3042274"</f>
        <v>3042274</v>
      </c>
      <c r="B12178" t="s">
        <v>36626</v>
      </c>
      <c r="C12178" t="str">
        <f>"8310680"</f>
        <v>8310680</v>
      </c>
      <c r="D12178" t="s">
        <v>36627</v>
      </c>
      <c r="F12178" t="s">
        <v>36628</v>
      </c>
      <c r="I12178" t="s">
        <v>29</v>
      </c>
      <c r="J12178" t="s">
        <v>30</v>
      </c>
      <c r="K12178" t="s">
        <v>2648</v>
      </c>
      <c r="M12178" t="s">
        <v>17861</v>
      </c>
      <c r="N12178" t="str">
        <f>"11/27/2018 9:22:00 AM"</f>
        <v>11/27/2018 9:22:00 AM</v>
      </c>
      <c r="O12178" t="s">
        <v>36627</v>
      </c>
    </row>
    <row r="12179" spans="1:20" x14ac:dyDescent="0.25">
      <c r="A12179" t="str">
        <f>"3062826"</f>
        <v>3062826</v>
      </c>
      <c r="B12179" t="s">
        <v>36629</v>
      </c>
      <c r="C12179" t="str">
        <f>"8310681"</f>
        <v>8310681</v>
      </c>
      <c r="D12179" t="s">
        <v>36630</v>
      </c>
      <c r="E12179" t="s">
        <v>36631</v>
      </c>
      <c r="F12179" t="s">
        <v>36632</v>
      </c>
      <c r="I12179" t="s">
        <v>17921</v>
      </c>
      <c r="J12179" t="s">
        <v>30</v>
      </c>
      <c r="K12179" t="str">
        <f>"27028"</f>
        <v>27028</v>
      </c>
      <c r="M12179" t="s">
        <v>17861</v>
      </c>
      <c r="N12179" t="str">
        <f>"11/27/2018 9:46:00 AM"</f>
        <v>11/27/2018 9:46:00 AM</v>
      </c>
      <c r="O12179" t="s">
        <v>36630</v>
      </c>
      <c r="T12179" t="s">
        <v>36631</v>
      </c>
    </row>
    <row r="12180" spans="1:20" x14ac:dyDescent="0.25">
      <c r="A12180" t="str">
        <f>"3078272"</f>
        <v>3078272</v>
      </c>
      <c r="B12180" t="s">
        <v>36633</v>
      </c>
      <c r="C12180" t="str">
        <f>"8302037"</f>
        <v>8302037</v>
      </c>
      <c r="D12180" t="s">
        <v>36634</v>
      </c>
      <c r="E12180" t="str">
        <f>"SMALLEY LIV TRUST 11/23/99"</f>
        <v>SMALLEY LIV TRUST 11/23/99</v>
      </c>
      <c r="F12180" t="s">
        <v>36635</v>
      </c>
      <c r="I12180" t="s">
        <v>184</v>
      </c>
      <c r="J12180" t="s">
        <v>30</v>
      </c>
      <c r="K12180" t="str">
        <f>"27006"</f>
        <v>27006</v>
      </c>
      <c r="M12180" t="s">
        <v>25625</v>
      </c>
      <c r="N12180" t="str">
        <f>"11/27/2018 10:03:00 AM"</f>
        <v>11/27/2018 10:03:00 AM</v>
      </c>
      <c r="O12180" t="s">
        <v>36634</v>
      </c>
      <c r="T12180" t="str">
        <f>"SMALLEY LIV TRUST 11/23/99"</f>
        <v>SMALLEY LIV TRUST 11/23/99</v>
      </c>
    </row>
    <row r="12181" spans="1:20" x14ac:dyDescent="0.25">
      <c r="A12181" t="str">
        <f>"3055556"</f>
        <v>3055556</v>
      </c>
      <c r="B12181" t="s">
        <v>36636</v>
      </c>
      <c r="C12181" t="str">
        <f>"74917940"</f>
        <v>74917940</v>
      </c>
      <c r="D12181" t="s">
        <v>36637</v>
      </c>
      <c r="E12181" t="s">
        <v>36638</v>
      </c>
      <c r="F12181" t="s">
        <v>36639</v>
      </c>
      <c r="I12181" t="s">
        <v>29</v>
      </c>
      <c r="J12181" t="s">
        <v>30</v>
      </c>
      <c r="K12181" t="s">
        <v>31</v>
      </c>
      <c r="M12181" t="s">
        <v>25733</v>
      </c>
      <c r="N12181" t="str">
        <f>"11/29/2018 12:52:00 PM"</f>
        <v>11/29/2018 12:52:00 PM</v>
      </c>
      <c r="O12181" t="s">
        <v>36637</v>
      </c>
      <c r="T12181" t="s">
        <v>36638</v>
      </c>
    </row>
    <row r="12182" spans="1:20" x14ac:dyDescent="0.25">
      <c r="A12182" t="str">
        <f>"3049633"</f>
        <v>3049633</v>
      </c>
      <c r="B12182" t="s">
        <v>36640</v>
      </c>
      <c r="C12182" t="str">
        <f>"82530087"</f>
        <v>82530087</v>
      </c>
      <c r="D12182" t="s">
        <v>36641</v>
      </c>
      <c r="E12182" t="s">
        <v>36642</v>
      </c>
      <c r="F12182" t="s">
        <v>36643</v>
      </c>
      <c r="I12182" t="s">
        <v>24359</v>
      </c>
      <c r="J12182" t="s">
        <v>30</v>
      </c>
      <c r="K12182" t="s">
        <v>185</v>
      </c>
      <c r="M12182" t="s">
        <v>34670</v>
      </c>
      <c r="N12182" t="str">
        <f>"11/30/2018 9:21:00 AM"</f>
        <v>11/30/2018 9:21:00 AM</v>
      </c>
      <c r="O12182" t="s">
        <v>36641</v>
      </c>
      <c r="T12182" t="s">
        <v>36642</v>
      </c>
    </row>
    <row r="12183" spans="1:20" x14ac:dyDescent="0.25">
      <c r="A12183" t="str">
        <f>"3042812"</f>
        <v>3042812</v>
      </c>
      <c r="B12183" t="s">
        <v>36644</v>
      </c>
      <c r="C12183" t="str">
        <f>"8310059"</f>
        <v>8310059</v>
      </c>
      <c r="D12183" t="s">
        <v>36645</v>
      </c>
      <c r="E12183" t="s">
        <v>36646</v>
      </c>
      <c r="F12183" t="s">
        <v>36647</v>
      </c>
      <c r="I12183" t="s">
        <v>17921</v>
      </c>
      <c r="J12183" t="s">
        <v>30</v>
      </c>
      <c r="K12183" t="str">
        <f>"27028"</f>
        <v>27028</v>
      </c>
      <c r="M12183" t="s">
        <v>33432</v>
      </c>
      <c r="N12183" t="str">
        <f>"12/5/2018 11:13:00 AM"</f>
        <v>12/5/2018 11:13:00 AM</v>
      </c>
      <c r="O12183" t="s">
        <v>36645</v>
      </c>
      <c r="T12183" t="s">
        <v>36646</v>
      </c>
    </row>
    <row r="12184" spans="1:20" x14ac:dyDescent="0.25">
      <c r="A12184" t="str">
        <f>"3059994"</f>
        <v>3059994</v>
      </c>
      <c r="B12184" t="s">
        <v>36648</v>
      </c>
      <c r="C12184" t="str">
        <f>"82532414"</f>
        <v>82532414</v>
      </c>
      <c r="D12184" t="s">
        <v>36649</v>
      </c>
      <c r="E12184" t="s">
        <v>36650</v>
      </c>
      <c r="F12184" t="s">
        <v>36651</v>
      </c>
      <c r="I12184" t="s">
        <v>184</v>
      </c>
      <c r="J12184" t="s">
        <v>30</v>
      </c>
      <c r="K12184" t="s">
        <v>185</v>
      </c>
      <c r="M12184" t="s">
        <v>25733</v>
      </c>
      <c r="N12184" t="str">
        <f>"12/6/2018 3:01:00 PM"</f>
        <v>12/6/2018 3:01:00 PM</v>
      </c>
      <c r="O12184" t="s">
        <v>36649</v>
      </c>
      <c r="T12184" t="s">
        <v>36650</v>
      </c>
    </row>
    <row r="12185" spans="1:20" x14ac:dyDescent="0.25">
      <c r="A12185" t="str">
        <f>"3058844"</f>
        <v>3058844</v>
      </c>
      <c r="B12185" t="s">
        <v>36652</v>
      </c>
      <c r="C12185" t="str">
        <f>"8305656"</f>
        <v>8305656</v>
      </c>
      <c r="D12185" t="s">
        <v>36653</v>
      </c>
      <c r="F12185" t="s">
        <v>36654</v>
      </c>
      <c r="I12185" t="s">
        <v>29</v>
      </c>
      <c r="J12185" t="s">
        <v>30</v>
      </c>
      <c r="K12185" t="str">
        <f>"27028"</f>
        <v>27028</v>
      </c>
      <c r="M12185" t="s">
        <v>25733</v>
      </c>
      <c r="N12185" t="str">
        <f>"12/6/2018 3:41:00 PM"</f>
        <v>12/6/2018 3:41:00 PM</v>
      </c>
      <c r="O12185" t="s">
        <v>36653</v>
      </c>
    </row>
    <row r="12186" spans="1:20" x14ac:dyDescent="0.25">
      <c r="A12186" t="str">
        <f>"3047577"</f>
        <v>3047577</v>
      </c>
      <c r="B12186" t="s">
        <v>36655</v>
      </c>
      <c r="C12186" t="str">
        <f>"8307250"</f>
        <v>8307250</v>
      </c>
      <c r="D12186" t="s">
        <v>36656</v>
      </c>
      <c r="E12186" t="s">
        <v>36657</v>
      </c>
      <c r="F12186" t="s">
        <v>36658</v>
      </c>
      <c r="I12186" t="s">
        <v>1107</v>
      </c>
      <c r="J12186" t="s">
        <v>30</v>
      </c>
      <c r="K12186" t="str">
        <f>"28625"</f>
        <v>28625</v>
      </c>
      <c r="M12186" t="s">
        <v>25625</v>
      </c>
      <c r="N12186" t="str">
        <f>"12/7/2018 1:44:00 PM"</f>
        <v>12/7/2018 1:44:00 PM</v>
      </c>
      <c r="O12186" t="s">
        <v>36656</v>
      </c>
      <c r="T12186" t="s">
        <v>36657</v>
      </c>
    </row>
    <row r="12187" spans="1:20" x14ac:dyDescent="0.25">
      <c r="A12187" t="str">
        <f>"3052906"</f>
        <v>3052906</v>
      </c>
      <c r="B12187" t="s">
        <v>36659</v>
      </c>
      <c r="C12187" t="str">
        <f>"8310724"</f>
        <v>8310724</v>
      </c>
      <c r="D12187" t="s">
        <v>36547</v>
      </c>
      <c r="F12187" t="s">
        <v>36548</v>
      </c>
      <c r="G12187" t="s">
        <v>36549</v>
      </c>
      <c r="I12187" t="s">
        <v>17921</v>
      </c>
      <c r="J12187" t="s">
        <v>30</v>
      </c>
      <c r="K12187" t="str">
        <f>"27028"</f>
        <v>27028</v>
      </c>
      <c r="M12187" t="s">
        <v>17861</v>
      </c>
      <c r="N12187" t="str">
        <f>"12/11/2018 2:55:00 PM"</f>
        <v>12/11/2018 2:55:00 PM</v>
      </c>
      <c r="O12187" t="s">
        <v>36547</v>
      </c>
    </row>
    <row r="12188" spans="1:20" x14ac:dyDescent="0.25">
      <c r="A12188" t="str">
        <f>"3078769"</f>
        <v>3078769</v>
      </c>
      <c r="B12188" t="s">
        <v>36660</v>
      </c>
      <c r="C12188" t="str">
        <f>"8310736"</f>
        <v>8310736</v>
      </c>
      <c r="D12188" t="s">
        <v>36661</v>
      </c>
      <c r="F12188" t="s">
        <v>36662</v>
      </c>
      <c r="I12188" t="s">
        <v>29</v>
      </c>
      <c r="J12188" t="s">
        <v>30</v>
      </c>
      <c r="K12188" t="s">
        <v>36663</v>
      </c>
      <c r="M12188" t="s">
        <v>17861</v>
      </c>
      <c r="N12188" t="str">
        <f>"12/13/2018 1:20:00 PM"</f>
        <v>12/13/2018 1:20:00 PM</v>
      </c>
      <c r="O12188" t="s">
        <v>36661</v>
      </c>
    </row>
    <row r="12189" spans="1:20" x14ac:dyDescent="0.25">
      <c r="A12189" t="str">
        <f>"3055348"</f>
        <v>3055348</v>
      </c>
      <c r="B12189" t="s">
        <v>36664</v>
      </c>
      <c r="C12189" t="str">
        <f>"8310736"</f>
        <v>8310736</v>
      </c>
      <c r="D12189" t="s">
        <v>36661</v>
      </c>
      <c r="F12189" t="s">
        <v>36662</v>
      </c>
      <c r="I12189" t="s">
        <v>29</v>
      </c>
      <c r="J12189" t="s">
        <v>30</v>
      </c>
      <c r="K12189" t="s">
        <v>36663</v>
      </c>
      <c r="M12189" t="s">
        <v>17861</v>
      </c>
      <c r="N12189" t="str">
        <f>"12/13/2018 1:20:00 PM"</f>
        <v>12/13/2018 1:20:00 PM</v>
      </c>
      <c r="O12189" t="s">
        <v>36661</v>
      </c>
    </row>
    <row r="12190" spans="1:20" x14ac:dyDescent="0.25">
      <c r="A12190" t="str">
        <f>"3055385"</f>
        <v>3055385</v>
      </c>
      <c r="B12190" t="s">
        <v>36665</v>
      </c>
      <c r="C12190" t="str">
        <f>"82524063"</f>
        <v>82524063</v>
      </c>
      <c r="D12190" t="s">
        <v>36666</v>
      </c>
      <c r="F12190" t="s">
        <v>36667</v>
      </c>
      <c r="I12190" t="s">
        <v>29</v>
      </c>
      <c r="J12190" t="s">
        <v>30</v>
      </c>
      <c r="K12190" t="s">
        <v>31</v>
      </c>
      <c r="M12190" t="s">
        <v>25625</v>
      </c>
      <c r="N12190" t="str">
        <f>"12/13/2018 2:27:00 PM"</f>
        <v>12/13/2018 2:27:00 PM</v>
      </c>
      <c r="O12190" t="s">
        <v>36666</v>
      </c>
    </row>
    <row r="12191" spans="1:20" x14ac:dyDescent="0.25">
      <c r="A12191" t="str">
        <f>"3043187"</f>
        <v>3043187</v>
      </c>
      <c r="B12191" t="s">
        <v>36668</v>
      </c>
      <c r="C12191" t="str">
        <f>"2742500"</f>
        <v>2742500</v>
      </c>
      <c r="D12191" t="s">
        <v>36669</v>
      </c>
      <c r="F12191" t="s">
        <v>36670</v>
      </c>
      <c r="I12191" t="s">
        <v>29</v>
      </c>
      <c r="J12191" t="s">
        <v>30</v>
      </c>
      <c r="K12191" t="s">
        <v>36671</v>
      </c>
      <c r="M12191" t="s">
        <v>25625</v>
      </c>
      <c r="N12191" t="str">
        <f>"12/13/2018 2:28:00 PM"</f>
        <v>12/13/2018 2:28:00 PM</v>
      </c>
      <c r="O12191" t="s">
        <v>36669</v>
      </c>
    </row>
    <row r="12192" spans="1:20" x14ac:dyDescent="0.25">
      <c r="A12192" t="str">
        <f>"3056366"</f>
        <v>3056366</v>
      </c>
      <c r="B12192" t="s">
        <v>36672</v>
      </c>
      <c r="C12192" t="str">
        <f>"8305798"</f>
        <v>8305798</v>
      </c>
      <c r="D12192" t="s">
        <v>36673</v>
      </c>
      <c r="F12192" t="s">
        <v>36674</v>
      </c>
      <c r="I12192" t="s">
        <v>36675</v>
      </c>
      <c r="J12192" t="s">
        <v>30</v>
      </c>
      <c r="K12192" t="str">
        <f>"28166"</f>
        <v>28166</v>
      </c>
      <c r="M12192" t="s">
        <v>25733</v>
      </c>
      <c r="N12192" t="str">
        <f>"12/14/2018 11:18:00 AM"</f>
        <v>12/14/2018 11:18:00 AM</v>
      </c>
      <c r="O12192" t="s">
        <v>36673</v>
      </c>
    </row>
    <row r="12193" spans="1:20" x14ac:dyDescent="0.25">
      <c r="A12193" t="str">
        <f>"3061008"</f>
        <v>3061008</v>
      </c>
      <c r="B12193" t="s">
        <v>36676</v>
      </c>
      <c r="C12193" t="str">
        <f>"8302208"</f>
        <v>8302208</v>
      </c>
      <c r="D12193" t="s">
        <v>36677</v>
      </c>
      <c r="E12193" t="str">
        <f>"C/O LINDSAY SNYDER"</f>
        <v>C/O LINDSAY SNYDER</v>
      </c>
      <c r="F12193" t="s">
        <v>36678</v>
      </c>
      <c r="I12193" t="s">
        <v>29</v>
      </c>
      <c r="J12193" t="s">
        <v>30</v>
      </c>
      <c r="K12193" t="s">
        <v>36679</v>
      </c>
      <c r="M12193" t="s">
        <v>34475</v>
      </c>
      <c r="N12193" t="str">
        <f>"12/14/2018 12:13:00 PM"</f>
        <v>12/14/2018 12:13:00 PM</v>
      </c>
      <c r="O12193" t="s">
        <v>36677</v>
      </c>
      <c r="T12193" t="str">
        <f>"C/O LINDSAY SNYDER"</f>
        <v>C/O LINDSAY SNYDER</v>
      </c>
    </row>
    <row r="12194" spans="1:20" x14ac:dyDescent="0.25">
      <c r="A12194" t="str">
        <f>"3047189"</f>
        <v>3047189</v>
      </c>
      <c r="B12194" t="s">
        <v>36680</v>
      </c>
      <c r="C12194" t="str">
        <f>"8310739"</f>
        <v>8310739</v>
      </c>
      <c r="D12194" t="s">
        <v>36681</v>
      </c>
      <c r="E12194" t="s">
        <v>36682</v>
      </c>
      <c r="F12194" t="s">
        <v>36683</v>
      </c>
      <c r="I12194" t="s">
        <v>29</v>
      </c>
      <c r="J12194" t="s">
        <v>30</v>
      </c>
      <c r="K12194" t="s">
        <v>36684</v>
      </c>
      <c r="M12194" t="s">
        <v>17861</v>
      </c>
      <c r="N12194" t="str">
        <f>"12/17/2018 3:54:00 PM"</f>
        <v>12/17/2018 3:54:00 PM</v>
      </c>
      <c r="O12194" t="s">
        <v>36681</v>
      </c>
      <c r="T12194" t="s">
        <v>36682</v>
      </c>
    </row>
    <row r="12195" spans="1:20" x14ac:dyDescent="0.25">
      <c r="A12195" t="str">
        <f>"3041610"</f>
        <v>3041610</v>
      </c>
      <c r="B12195" t="s">
        <v>36685</v>
      </c>
      <c r="C12195" t="str">
        <f>"8310670"</f>
        <v>8310670</v>
      </c>
      <c r="D12195" t="s">
        <v>36686</v>
      </c>
      <c r="F12195" t="s">
        <v>36687</v>
      </c>
      <c r="I12195" t="s">
        <v>2525</v>
      </c>
      <c r="J12195" t="s">
        <v>30</v>
      </c>
      <c r="K12195" t="s">
        <v>36688</v>
      </c>
      <c r="M12195" t="s">
        <v>17861</v>
      </c>
      <c r="N12195" t="str">
        <f>"11/26/2018 9:51:00 AM"</f>
        <v>11/26/2018 9:51:00 AM</v>
      </c>
      <c r="O12195" t="s">
        <v>36686</v>
      </c>
    </row>
    <row r="12196" spans="1:20" x14ac:dyDescent="0.25">
      <c r="A12196" t="str">
        <f>"3046892"</f>
        <v>3046892</v>
      </c>
      <c r="B12196" t="s">
        <v>36689</v>
      </c>
      <c r="C12196" t="str">
        <f>"8310752"</f>
        <v>8310752</v>
      </c>
      <c r="D12196" t="s">
        <v>36690</v>
      </c>
      <c r="E12196" t="s">
        <v>36691</v>
      </c>
      <c r="F12196" t="s">
        <v>36692</v>
      </c>
      <c r="I12196" t="s">
        <v>184</v>
      </c>
      <c r="J12196" t="s">
        <v>30</v>
      </c>
      <c r="K12196" t="s">
        <v>10338</v>
      </c>
      <c r="M12196" t="s">
        <v>17861</v>
      </c>
      <c r="N12196" t="str">
        <f>"12/18/2018 1:31:00 PM"</f>
        <v>12/18/2018 1:31:00 PM</v>
      </c>
      <c r="O12196" t="s">
        <v>36690</v>
      </c>
      <c r="T12196" t="s">
        <v>36691</v>
      </c>
    </row>
    <row r="12197" spans="1:20" x14ac:dyDescent="0.25">
      <c r="A12197" t="str">
        <f>"3037800"</f>
        <v>3037800</v>
      </c>
      <c r="B12197" t="s">
        <v>36693</v>
      </c>
      <c r="C12197" t="str">
        <f>"8310783"</f>
        <v>8310783</v>
      </c>
      <c r="D12197" t="s">
        <v>36694</v>
      </c>
      <c r="F12197" t="s">
        <v>36695</v>
      </c>
      <c r="I12197" t="s">
        <v>29</v>
      </c>
      <c r="J12197" t="s">
        <v>30</v>
      </c>
      <c r="K12197" t="s">
        <v>36696</v>
      </c>
      <c r="M12197" t="s">
        <v>17861</v>
      </c>
      <c r="N12197" t="str">
        <f>"12/19/2018 11:52:00 AM"</f>
        <v>12/19/2018 11:52:00 AM</v>
      </c>
      <c r="O12197" t="s">
        <v>36694</v>
      </c>
    </row>
    <row r="12198" spans="1:20" x14ac:dyDescent="0.25">
      <c r="A12198" t="str">
        <f>"3043766"</f>
        <v>3043766</v>
      </c>
      <c r="B12198" t="s">
        <v>36697</v>
      </c>
      <c r="C12198" t="str">
        <f t="shared" ref="C12198:C12214" si="203">"8310785"</f>
        <v>8310785</v>
      </c>
      <c r="D12198" t="s">
        <v>36698</v>
      </c>
      <c r="F12198" t="s">
        <v>36699</v>
      </c>
      <c r="I12198" t="s">
        <v>184</v>
      </c>
      <c r="J12198" t="s">
        <v>30</v>
      </c>
      <c r="K12198" t="s">
        <v>10455</v>
      </c>
      <c r="M12198" t="s">
        <v>17861</v>
      </c>
      <c r="N12198" t="str">
        <f t="shared" ref="N12198:N12214" si="204">"12/19/2018 12:32:00 PM"</f>
        <v>12/19/2018 12:32:00 PM</v>
      </c>
      <c r="O12198" t="s">
        <v>36698</v>
      </c>
    </row>
    <row r="12199" spans="1:20" x14ac:dyDescent="0.25">
      <c r="A12199" t="str">
        <f>"3047705"</f>
        <v>3047705</v>
      </c>
      <c r="B12199" t="s">
        <v>36700</v>
      </c>
      <c r="C12199" t="str">
        <f t="shared" si="203"/>
        <v>8310785</v>
      </c>
      <c r="D12199" t="s">
        <v>36698</v>
      </c>
      <c r="F12199" t="s">
        <v>36699</v>
      </c>
      <c r="I12199" t="s">
        <v>184</v>
      </c>
      <c r="J12199" t="s">
        <v>30</v>
      </c>
      <c r="K12199" t="s">
        <v>10455</v>
      </c>
      <c r="M12199" t="s">
        <v>17861</v>
      </c>
      <c r="N12199" t="str">
        <f t="shared" si="204"/>
        <v>12/19/2018 12:32:00 PM</v>
      </c>
      <c r="O12199" t="s">
        <v>36698</v>
      </c>
    </row>
    <row r="12200" spans="1:20" x14ac:dyDescent="0.25">
      <c r="A12200" t="str">
        <f>"3046867"</f>
        <v>3046867</v>
      </c>
      <c r="B12200" t="s">
        <v>36701</v>
      </c>
      <c r="C12200" t="str">
        <f t="shared" si="203"/>
        <v>8310785</v>
      </c>
      <c r="D12200" t="s">
        <v>36698</v>
      </c>
      <c r="F12200" t="s">
        <v>36699</v>
      </c>
      <c r="I12200" t="s">
        <v>184</v>
      </c>
      <c r="J12200" t="s">
        <v>30</v>
      </c>
      <c r="K12200" t="s">
        <v>10455</v>
      </c>
      <c r="M12200" t="s">
        <v>17861</v>
      </c>
      <c r="N12200" t="str">
        <f t="shared" si="204"/>
        <v>12/19/2018 12:32:00 PM</v>
      </c>
      <c r="O12200" t="s">
        <v>36698</v>
      </c>
    </row>
    <row r="12201" spans="1:20" x14ac:dyDescent="0.25">
      <c r="A12201" t="str">
        <f>"3054554"</f>
        <v>3054554</v>
      </c>
      <c r="B12201" t="s">
        <v>36702</v>
      </c>
      <c r="C12201" t="str">
        <f t="shared" si="203"/>
        <v>8310785</v>
      </c>
      <c r="D12201" t="s">
        <v>36698</v>
      </c>
      <c r="F12201" t="s">
        <v>36699</v>
      </c>
      <c r="I12201" t="s">
        <v>184</v>
      </c>
      <c r="J12201" t="s">
        <v>30</v>
      </c>
      <c r="K12201" t="s">
        <v>10455</v>
      </c>
      <c r="M12201" t="s">
        <v>17861</v>
      </c>
      <c r="N12201" t="str">
        <f t="shared" si="204"/>
        <v>12/19/2018 12:32:00 PM</v>
      </c>
      <c r="O12201" t="s">
        <v>36698</v>
      </c>
    </row>
    <row r="12202" spans="1:20" x14ac:dyDescent="0.25">
      <c r="A12202" t="str">
        <f>"3054547"</f>
        <v>3054547</v>
      </c>
      <c r="B12202" t="s">
        <v>36703</v>
      </c>
      <c r="C12202" t="str">
        <f t="shared" si="203"/>
        <v>8310785</v>
      </c>
      <c r="D12202" t="s">
        <v>36698</v>
      </c>
      <c r="F12202" t="s">
        <v>36699</v>
      </c>
      <c r="I12202" t="s">
        <v>184</v>
      </c>
      <c r="J12202" t="s">
        <v>30</v>
      </c>
      <c r="K12202" t="s">
        <v>10455</v>
      </c>
      <c r="M12202" t="s">
        <v>17861</v>
      </c>
      <c r="N12202" t="str">
        <f t="shared" si="204"/>
        <v>12/19/2018 12:32:00 PM</v>
      </c>
      <c r="O12202" t="s">
        <v>36698</v>
      </c>
    </row>
    <row r="12203" spans="1:20" x14ac:dyDescent="0.25">
      <c r="A12203" t="str">
        <f>"3054709"</f>
        <v>3054709</v>
      </c>
      <c r="B12203" t="s">
        <v>36704</v>
      </c>
      <c r="C12203" t="str">
        <f t="shared" si="203"/>
        <v>8310785</v>
      </c>
      <c r="D12203" t="s">
        <v>36698</v>
      </c>
      <c r="F12203" t="s">
        <v>36699</v>
      </c>
      <c r="I12203" t="s">
        <v>184</v>
      </c>
      <c r="J12203" t="s">
        <v>30</v>
      </c>
      <c r="K12203" t="s">
        <v>10455</v>
      </c>
      <c r="M12203" t="s">
        <v>17861</v>
      </c>
      <c r="N12203" t="str">
        <f t="shared" si="204"/>
        <v>12/19/2018 12:32:00 PM</v>
      </c>
      <c r="O12203" t="s">
        <v>36698</v>
      </c>
    </row>
    <row r="12204" spans="1:20" x14ac:dyDescent="0.25">
      <c r="A12204" t="str">
        <f>"3054670"</f>
        <v>3054670</v>
      </c>
      <c r="B12204" t="s">
        <v>36705</v>
      </c>
      <c r="C12204" t="str">
        <f t="shared" si="203"/>
        <v>8310785</v>
      </c>
      <c r="D12204" t="s">
        <v>36698</v>
      </c>
      <c r="F12204" t="s">
        <v>36699</v>
      </c>
      <c r="I12204" t="s">
        <v>184</v>
      </c>
      <c r="J12204" t="s">
        <v>30</v>
      </c>
      <c r="K12204" t="s">
        <v>10455</v>
      </c>
      <c r="M12204" t="s">
        <v>17861</v>
      </c>
      <c r="N12204" t="str">
        <f t="shared" si="204"/>
        <v>12/19/2018 12:32:00 PM</v>
      </c>
      <c r="O12204" t="s">
        <v>36698</v>
      </c>
    </row>
    <row r="12205" spans="1:20" x14ac:dyDescent="0.25">
      <c r="A12205" t="str">
        <f>"3055286"</f>
        <v>3055286</v>
      </c>
      <c r="B12205" t="s">
        <v>36706</v>
      </c>
      <c r="C12205" t="str">
        <f t="shared" si="203"/>
        <v>8310785</v>
      </c>
      <c r="D12205" t="s">
        <v>36698</v>
      </c>
      <c r="F12205" t="s">
        <v>36699</v>
      </c>
      <c r="I12205" t="s">
        <v>184</v>
      </c>
      <c r="J12205" t="s">
        <v>30</v>
      </c>
      <c r="K12205" t="s">
        <v>10455</v>
      </c>
      <c r="M12205" t="s">
        <v>17861</v>
      </c>
      <c r="N12205" t="str">
        <f t="shared" si="204"/>
        <v>12/19/2018 12:32:00 PM</v>
      </c>
      <c r="O12205" t="s">
        <v>36698</v>
      </c>
    </row>
    <row r="12206" spans="1:20" x14ac:dyDescent="0.25">
      <c r="A12206" t="str">
        <f>"3048191"</f>
        <v>3048191</v>
      </c>
      <c r="B12206" t="s">
        <v>36707</v>
      </c>
      <c r="C12206" t="str">
        <f t="shared" si="203"/>
        <v>8310785</v>
      </c>
      <c r="D12206" t="s">
        <v>36698</v>
      </c>
      <c r="F12206" t="s">
        <v>36699</v>
      </c>
      <c r="I12206" t="s">
        <v>184</v>
      </c>
      <c r="J12206" t="s">
        <v>30</v>
      </c>
      <c r="K12206" t="s">
        <v>10455</v>
      </c>
      <c r="M12206" t="s">
        <v>17861</v>
      </c>
      <c r="N12206" t="str">
        <f t="shared" si="204"/>
        <v>12/19/2018 12:32:00 PM</v>
      </c>
      <c r="O12206" t="s">
        <v>36698</v>
      </c>
    </row>
    <row r="12207" spans="1:20" x14ac:dyDescent="0.25">
      <c r="A12207" t="str">
        <f>"3050898"</f>
        <v>3050898</v>
      </c>
      <c r="B12207" t="s">
        <v>36708</v>
      </c>
      <c r="C12207" t="str">
        <f t="shared" si="203"/>
        <v>8310785</v>
      </c>
      <c r="D12207" t="s">
        <v>36698</v>
      </c>
      <c r="F12207" t="s">
        <v>36699</v>
      </c>
      <c r="I12207" t="s">
        <v>184</v>
      </c>
      <c r="J12207" t="s">
        <v>30</v>
      </c>
      <c r="K12207" t="s">
        <v>10455</v>
      </c>
      <c r="M12207" t="s">
        <v>17861</v>
      </c>
      <c r="N12207" t="str">
        <f t="shared" si="204"/>
        <v>12/19/2018 12:32:00 PM</v>
      </c>
      <c r="O12207" t="s">
        <v>36698</v>
      </c>
    </row>
    <row r="12208" spans="1:20" x14ac:dyDescent="0.25">
      <c r="A12208" t="str">
        <f>"3059965"</f>
        <v>3059965</v>
      </c>
      <c r="B12208" t="s">
        <v>36709</v>
      </c>
      <c r="C12208" t="str">
        <f t="shared" si="203"/>
        <v>8310785</v>
      </c>
      <c r="D12208" t="s">
        <v>36698</v>
      </c>
      <c r="F12208" t="s">
        <v>36699</v>
      </c>
      <c r="I12208" t="s">
        <v>184</v>
      </c>
      <c r="J12208" t="s">
        <v>30</v>
      </c>
      <c r="K12208" t="s">
        <v>10455</v>
      </c>
      <c r="M12208" t="s">
        <v>17861</v>
      </c>
      <c r="N12208" t="str">
        <f t="shared" si="204"/>
        <v>12/19/2018 12:32:00 PM</v>
      </c>
      <c r="O12208" t="s">
        <v>36698</v>
      </c>
    </row>
    <row r="12209" spans="1:20" x14ac:dyDescent="0.25">
      <c r="A12209" t="str">
        <f>"3058257"</f>
        <v>3058257</v>
      </c>
      <c r="B12209" t="s">
        <v>36710</v>
      </c>
      <c r="C12209" t="str">
        <f t="shared" si="203"/>
        <v>8310785</v>
      </c>
      <c r="D12209" t="s">
        <v>36698</v>
      </c>
      <c r="F12209" t="s">
        <v>36699</v>
      </c>
      <c r="I12209" t="s">
        <v>184</v>
      </c>
      <c r="J12209" t="s">
        <v>30</v>
      </c>
      <c r="K12209" t="s">
        <v>10455</v>
      </c>
      <c r="M12209" t="s">
        <v>17861</v>
      </c>
      <c r="N12209" t="str">
        <f t="shared" si="204"/>
        <v>12/19/2018 12:32:00 PM</v>
      </c>
      <c r="O12209" t="s">
        <v>36698</v>
      </c>
    </row>
    <row r="12210" spans="1:20" x14ac:dyDescent="0.25">
      <c r="A12210" t="str">
        <f>"3058258"</f>
        <v>3058258</v>
      </c>
      <c r="B12210" t="s">
        <v>36711</v>
      </c>
      <c r="C12210" t="str">
        <f t="shared" si="203"/>
        <v>8310785</v>
      </c>
      <c r="D12210" t="s">
        <v>36698</v>
      </c>
      <c r="F12210" t="s">
        <v>36699</v>
      </c>
      <c r="I12210" t="s">
        <v>184</v>
      </c>
      <c r="J12210" t="s">
        <v>30</v>
      </c>
      <c r="K12210" t="s">
        <v>10455</v>
      </c>
      <c r="M12210" t="s">
        <v>17861</v>
      </c>
      <c r="N12210" t="str">
        <f t="shared" si="204"/>
        <v>12/19/2018 12:32:00 PM</v>
      </c>
      <c r="O12210" t="s">
        <v>36698</v>
      </c>
    </row>
    <row r="12211" spans="1:20" x14ac:dyDescent="0.25">
      <c r="A12211" t="str">
        <f>"3058259"</f>
        <v>3058259</v>
      </c>
      <c r="B12211" t="s">
        <v>36712</v>
      </c>
      <c r="C12211" t="str">
        <f t="shared" si="203"/>
        <v>8310785</v>
      </c>
      <c r="D12211" t="s">
        <v>36698</v>
      </c>
      <c r="F12211" t="s">
        <v>36699</v>
      </c>
      <c r="I12211" t="s">
        <v>184</v>
      </c>
      <c r="J12211" t="s">
        <v>30</v>
      </c>
      <c r="K12211" t="s">
        <v>10455</v>
      </c>
      <c r="M12211" t="s">
        <v>17861</v>
      </c>
      <c r="N12211" t="str">
        <f t="shared" si="204"/>
        <v>12/19/2018 12:32:00 PM</v>
      </c>
      <c r="O12211" t="s">
        <v>36698</v>
      </c>
    </row>
    <row r="12212" spans="1:20" x14ac:dyDescent="0.25">
      <c r="A12212" t="str">
        <f>"3058255"</f>
        <v>3058255</v>
      </c>
      <c r="B12212" t="s">
        <v>36713</v>
      </c>
      <c r="C12212" t="str">
        <f t="shared" si="203"/>
        <v>8310785</v>
      </c>
      <c r="D12212" t="s">
        <v>36698</v>
      </c>
      <c r="F12212" t="s">
        <v>36699</v>
      </c>
      <c r="I12212" t="s">
        <v>184</v>
      </c>
      <c r="J12212" t="s">
        <v>30</v>
      </c>
      <c r="K12212" t="s">
        <v>10455</v>
      </c>
      <c r="M12212" t="s">
        <v>17861</v>
      </c>
      <c r="N12212" t="str">
        <f t="shared" si="204"/>
        <v>12/19/2018 12:32:00 PM</v>
      </c>
      <c r="O12212" t="s">
        <v>36698</v>
      </c>
    </row>
    <row r="12213" spans="1:20" x14ac:dyDescent="0.25">
      <c r="A12213" t="str">
        <f>"3058238"</f>
        <v>3058238</v>
      </c>
      <c r="B12213" t="s">
        <v>36714</v>
      </c>
      <c r="C12213" t="str">
        <f t="shared" si="203"/>
        <v>8310785</v>
      </c>
      <c r="D12213" t="s">
        <v>36698</v>
      </c>
      <c r="F12213" t="s">
        <v>36699</v>
      </c>
      <c r="I12213" t="s">
        <v>184</v>
      </c>
      <c r="J12213" t="s">
        <v>30</v>
      </c>
      <c r="K12213" t="s">
        <v>10455</v>
      </c>
      <c r="M12213" t="s">
        <v>17861</v>
      </c>
      <c r="N12213" t="str">
        <f t="shared" si="204"/>
        <v>12/19/2018 12:32:00 PM</v>
      </c>
      <c r="O12213" t="s">
        <v>36698</v>
      </c>
    </row>
    <row r="12214" spans="1:20" x14ac:dyDescent="0.25">
      <c r="A12214" t="str">
        <f>"3058239"</f>
        <v>3058239</v>
      </c>
      <c r="B12214" t="s">
        <v>36715</v>
      </c>
      <c r="C12214" t="str">
        <f t="shared" si="203"/>
        <v>8310785</v>
      </c>
      <c r="D12214" t="s">
        <v>36698</v>
      </c>
      <c r="F12214" t="s">
        <v>36699</v>
      </c>
      <c r="I12214" t="s">
        <v>184</v>
      </c>
      <c r="J12214" t="s">
        <v>30</v>
      </c>
      <c r="K12214" t="s">
        <v>10455</v>
      </c>
      <c r="M12214" t="s">
        <v>17861</v>
      </c>
      <c r="N12214" t="str">
        <f t="shared" si="204"/>
        <v>12/19/2018 12:32:00 PM</v>
      </c>
      <c r="O12214" t="s">
        <v>36698</v>
      </c>
    </row>
    <row r="12215" spans="1:20" x14ac:dyDescent="0.25">
      <c r="A12215" t="str">
        <f>"3057381"</f>
        <v>3057381</v>
      </c>
      <c r="B12215" t="s">
        <v>36716</v>
      </c>
      <c r="C12215" t="str">
        <f>"8310786"</f>
        <v>8310786</v>
      </c>
      <c r="D12215" t="s">
        <v>5326</v>
      </c>
      <c r="E12215" t="s">
        <v>36717</v>
      </c>
      <c r="F12215" t="s">
        <v>36718</v>
      </c>
      <c r="I12215" t="s">
        <v>184</v>
      </c>
      <c r="J12215" t="s">
        <v>30</v>
      </c>
      <c r="K12215" t="s">
        <v>5334</v>
      </c>
      <c r="M12215" t="s">
        <v>17861</v>
      </c>
      <c r="N12215" t="str">
        <f>"12/19/2018 3:55:00 PM"</f>
        <v>12/19/2018 3:55:00 PM</v>
      </c>
      <c r="O12215" t="s">
        <v>5326</v>
      </c>
      <c r="T12215" t="s">
        <v>36717</v>
      </c>
    </row>
    <row r="12216" spans="1:20" x14ac:dyDescent="0.25">
      <c r="A12216" t="str">
        <f>"3039998"</f>
        <v>3039998</v>
      </c>
      <c r="B12216" t="s">
        <v>36719</v>
      </c>
      <c r="C12216" t="str">
        <f>"82522635"</f>
        <v>82522635</v>
      </c>
      <c r="D12216" t="s">
        <v>36720</v>
      </c>
      <c r="E12216" t="s">
        <v>36721</v>
      </c>
      <c r="F12216" t="s">
        <v>17473</v>
      </c>
      <c r="I12216" t="s">
        <v>29</v>
      </c>
      <c r="J12216" t="s">
        <v>30</v>
      </c>
      <c r="K12216" t="s">
        <v>1014</v>
      </c>
      <c r="M12216" t="s">
        <v>18479</v>
      </c>
      <c r="N12216" t="str">
        <f>"12/18/2018 1:57:00 PM"</f>
        <v>12/18/2018 1:57:00 PM</v>
      </c>
      <c r="O12216" t="s">
        <v>36720</v>
      </c>
      <c r="T12216" t="s">
        <v>36721</v>
      </c>
    </row>
    <row r="12217" spans="1:20" x14ac:dyDescent="0.25">
      <c r="A12217" t="str">
        <f>"3045144"</f>
        <v>3045144</v>
      </c>
      <c r="B12217" t="s">
        <v>36722</v>
      </c>
      <c r="C12217" t="str">
        <f>"8310789"</f>
        <v>8310789</v>
      </c>
      <c r="D12217" t="s">
        <v>36723</v>
      </c>
      <c r="F12217" t="s">
        <v>36724</v>
      </c>
      <c r="I12217" t="s">
        <v>1149</v>
      </c>
      <c r="J12217" t="s">
        <v>30</v>
      </c>
      <c r="K12217" t="s">
        <v>6577</v>
      </c>
      <c r="M12217" t="s">
        <v>17861</v>
      </c>
      <c r="N12217" t="str">
        <f>"12/20/2018 10:22:00 AM"</f>
        <v>12/20/2018 10:22:00 AM</v>
      </c>
      <c r="O12217" t="s">
        <v>36723</v>
      </c>
    </row>
    <row r="12218" spans="1:20" x14ac:dyDescent="0.25">
      <c r="A12218" t="str">
        <f>"3045143"</f>
        <v>3045143</v>
      </c>
      <c r="B12218" t="s">
        <v>36725</v>
      </c>
      <c r="C12218" t="str">
        <f>"8310790"</f>
        <v>8310790</v>
      </c>
      <c r="D12218" t="s">
        <v>6571</v>
      </c>
      <c r="F12218" t="s">
        <v>36726</v>
      </c>
      <c r="I12218" t="s">
        <v>1149</v>
      </c>
      <c r="J12218" t="s">
        <v>30</v>
      </c>
      <c r="K12218" t="s">
        <v>6577</v>
      </c>
      <c r="M12218" t="s">
        <v>17861</v>
      </c>
      <c r="N12218" t="str">
        <f>"12/20/2018 10:28:00 AM"</f>
        <v>12/20/2018 10:28:00 AM</v>
      </c>
      <c r="O12218" t="s">
        <v>6571</v>
      </c>
    </row>
    <row r="12219" spans="1:20" x14ac:dyDescent="0.25">
      <c r="A12219" t="str">
        <f>"3045031"</f>
        <v>3045031</v>
      </c>
      <c r="B12219" t="s">
        <v>36727</v>
      </c>
      <c r="C12219" t="str">
        <f>"8310790"</f>
        <v>8310790</v>
      </c>
      <c r="D12219" t="s">
        <v>6571</v>
      </c>
      <c r="F12219" t="s">
        <v>36726</v>
      </c>
      <c r="I12219" t="s">
        <v>1149</v>
      </c>
      <c r="J12219" t="s">
        <v>30</v>
      </c>
      <c r="K12219" t="s">
        <v>6577</v>
      </c>
      <c r="M12219" t="s">
        <v>17861</v>
      </c>
      <c r="N12219" t="str">
        <f>"12/20/2018 10:28:00 AM"</f>
        <v>12/20/2018 10:28:00 AM</v>
      </c>
      <c r="O12219" t="s">
        <v>6571</v>
      </c>
    </row>
    <row r="12220" spans="1:20" x14ac:dyDescent="0.25">
      <c r="A12220" t="str">
        <f>"3053709"</f>
        <v>3053709</v>
      </c>
      <c r="B12220" t="s">
        <v>36728</v>
      </c>
      <c r="C12220" t="str">
        <f>"8310463"</f>
        <v>8310463</v>
      </c>
      <c r="D12220" t="s">
        <v>36729</v>
      </c>
      <c r="E12220" t="s">
        <v>36730</v>
      </c>
      <c r="F12220" t="s">
        <v>36731</v>
      </c>
      <c r="I12220" t="s">
        <v>24359</v>
      </c>
      <c r="J12220" t="s">
        <v>30</v>
      </c>
      <c r="K12220" t="str">
        <f>"27006"</f>
        <v>27006</v>
      </c>
      <c r="M12220" t="s">
        <v>25625</v>
      </c>
      <c r="N12220" t="str">
        <f>"12/21/2018 1:07:00 PM"</f>
        <v>12/21/2018 1:07:00 PM</v>
      </c>
      <c r="O12220" t="s">
        <v>36729</v>
      </c>
      <c r="T12220" t="s">
        <v>36730</v>
      </c>
    </row>
    <row r="12221" spans="1:20" x14ac:dyDescent="0.25">
      <c r="A12221" t="str">
        <f>"3037731"</f>
        <v>3037731</v>
      </c>
      <c r="B12221" t="s">
        <v>36732</v>
      </c>
      <c r="C12221" t="str">
        <f>"8301748"</f>
        <v>8301748</v>
      </c>
      <c r="D12221" t="s">
        <v>36733</v>
      </c>
      <c r="F12221" t="s">
        <v>36734</v>
      </c>
      <c r="I12221" t="s">
        <v>29</v>
      </c>
      <c r="J12221" t="s">
        <v>30</v>
      </c>
      <c r="K12221" t="str">
        <f>"27028"</f>
        <v>27028</v>
      </c>
      <c r="M12221" t="s">
        <v>18470</v>
      </c>
      <c r="N12221" t="str">
        <f>"12/21/2018 4:24:00 PM"</f>
        <v>12/21/2018 4:24:00 PM</v>
      </c>
      <c r="O12221" t="s">
        <v>36733</v>
      </c>
    </row>
    <row r="12222" spans="1:20" x14ac:dyDescent="0.25">
      <c r="A12222" t="str">
        <f>"3043703"</f>
        <v>3043703</v>
      </c>
      <c r="B12222" t="s">
        <v>36735</v>
      </c>
      <c r="C12222" t="str">
        <f>"76997250"</f>
        <v>76997250</v>
      </c>
      <c r="D12222" t="s">
        <v>36736</v>
      </c>
      <c r="E12222" t="s">
        <v>36737</v>
      </c>
      <c r="F12222" t="s">
        <v>36738</v>
      </c>
      <c r="I12222" t="s">
        <v>29</v>
      </c>
      <c r="J12222" t="s">
        <v>30</v>
      </c>
      <c r="K12222" t="s">
        <v>31</v>
      </c>
      <c r="M12222" t="s">
        <v>18470</v>
      </c>
      <c r="N12222" t="str">
        <f>"12/21/2018 4:26:00 PM"</f>
        <v>12/21/2018 4:26:00 PM</v>
      </c>
      <c r="O12222" t="s">
        <v>36736</v>
      </c>
      <c r="T12222" t="s">
        <v>36737</v>
      </c>
    </row>
    <row r="12223" spans="1:20" x14ac:dyDescent="0.25">
      <c r="A12223" t="str">
        <f>"3056784"</f>
        <v>3056784</v>
      </c>
      <c r="B12223" t="s">
        <v>36739</v>
      </c>
      <c r="C12223" t="str">
        <f>"30131000"</f>
        <v>30131000</v>
      </c>
      <c r="D12223" t="s">
        <v>36740</v>
      </c>
      <c r="E12223" t="s">
        <v>36741</v>
      </c>
      <c r="F12223" t="s">
        <v>36742</v>
      </c>
      <c r="I12223" t="s">
        <v>29</v>
      </c>
      <c r="J12223" t="s">
        <v>30</v>
      </c>
      <c r="K12223" t="str">
        <f>"27028"</f>
        <v>27028</v>
      </c>
      <c r="M12223" t="s">
        <v>18470</v>
      </c>
      <c r="N12223" t="str">
        <f>"12/27/2018 9:11:00 AM"</f>
        <v>12/27/2018 9:11:00 AM</v>
      </c>
      <c r="O12223" t="s">
        <v>36740</v>
      </c>
      <c r="T12223" t="s">
        <v>36741</v>
      </c>
    </row>
    <row r="12224" spans="1:20" x14ac:dyDescent="0.25">
      <c r="A12224" t="str">
        <f>"3048066"</f>
        <v>3048066</v>
      </c>
      <c r="B12224" t="s">
        <v>36743</v>
      </c>
      <c r="C12224" t="str">
        <f>"35044000"</f>
        <v>35044000</v>
      </c>
      <c r="D12224" t="s">
        <v>36744</v>
      </c>
      <c r="F12224" t="s">
        <v>36745</v>
      </c>
      <c r="I12224" t="s">
        <v>184</v>
      </c>
      <c r="J12224" t="s">
        <v>30</v>
      </c>
      <c r="K12224" t="s">
        <v>185</v>
      </c>
      <c r="M12224" t="s">
        <v>18470</v>
      </c>
      <c r="N12224" t="str">
        <f>"12/27/2018 9:12:00 AM"</f>
        <v>12/27/2018 9:12:00 AM</v>
      </c>
      <c r="O12224" t="s">
        <v>36744</v>
      </c>
    </row>
    <row r="12225" spans="1:20" x14ac:dyDescent="0.25">
      <c r="A12225" t="str">
        <f>"3047559"</f>
        <v>3047559</v>
      </c>
      <c r="B12225" t="s">
        <v>36746</v>
      </c>
      <c r="C12225" t="str">
        <f>"35044000"</f>
        <v>35044000</v>
      </c>
      <c r="D12225" t="s">
        <v>36744</v>
      </c>
      <c r="F12225" t="s">
        <v>36745</v>
      </c>
      <c r="I12225" t="s">
        <v>184</v>
      </c>
      <c r="J12225" t="s">
        <v>30</v>
      </c>
      <c r="K12225" t="s">
        <v>185</v>
      </c>
      <c r="M12225" t="s">
        <v>18470</v>
      </c>
      <c r="N12225" t="str">
        <f>"12/27/2018 9:12:00 AM"</f>
        <v>12/27/2018 9:12:00 AM</v>
      </c>
      <c r="O12225" t="s">
        <v>36744</v>
      </c>
    </row>
    <row r="12226" spans="1:20" x14ac:dyDescent="0.25">
      <c r="A12226" t="str">
        <f>"3078003"</f>
        <v>3078003</v>
      </c>
      <c r="B12226" t="s">
        <v>36747</v>
      </c>
      <c r="C12226" t="str">
        <f>"35044000"</f>
        <v>35044000</v>
      </c>
      <c r="D12226" t="s">
        <v>36744</v>
      </c>
      <c r="F12226" t="s">
        <v>36745</v>
      </c>
      <c r="I12226" t="s">
        <v>184</v>
      </c>
      <c r="J12226" t="s">
        <v>30</v>
      </c>
      <c r="K12226" t="s">
        <v>185</v>
      </c>
      <c r="M12226" t="s">
        <v>18470</v>
      </c>
      <c r="N12226" t="str">
        <f>"12/27/2018 9:12:00 AM"</f>
        <v>12/27/2018 9:12:00 AM</v>
      </c>
      <c r="O12226" t="s">
        <v>36744</v>
      </c>
    </row>
    <row r="12227" spans="1:20" x14ac:dyDescent="0.25">
      <c r="A12227" t="str">
        <f>"3040226"</f>
        <v>3040226</v>
      </c>
      <c r="B12227" t="s">
        <v>36748</v>
      </c>
      <c r="C12227" t="str">
        <f>"82522635"</f>
        <v>82522635</v>
      </c>
      <c r="D12227" t="s">
        <v>36720</v>
      </c>
      <c r="E12227" t="s">
        <v>36721</v>
      </c>
      <c r="F12227" t="s">
        <v>17473</v>
      </c>
      <c r="I12227" t="s">
        <v>29</v>
      </c>
      <c r="J12227" t="s">
        <v>30</v>
      </c>
      <c r="K12227" t="s">
        <v>1014</v>
      </c>
      <c r="M12227" t="s">
        <v>18479</v>
      </c>
      <c r="N12227" t="str">
        <f>"12/18/2018 1:57:00 PM"</f>
        <v>12/18/2018 1:57:00 PM</v>
      </c>
      <c r="O12227" t="s">
        <v>36720</v>
      </c>
      <c r="T12227" t="s">
        <v>36721</v>
      </c>
    </row>
    <row r="12228" spans="1:20" x14ac:dyDescent="0.25">
      <c r="A12228" t="str">
        <f>"3059898"</f>
        <v>3059898</v>
      </c>
      <c r="B12228" t="s">
        <v>36749</v>
      </c>
      <c r="C12228" t="str">
        <f>"8310754"</f>
        <v>8310754</v>
      </c>
      <c r="D12228" t="s">
        <v>36750</v>
      </c>
      <c r="E12228" t="s">
        <v>36751</v>
      </c>
      <c r="F12228" t="s">
        <v>36752</v>
      </c>
      <c r="I12228" t="s">
        <v>29</v>
      </c>
      <c r="J12228" t="s">
        <v>30</v>
      </c>
      <c r="K12228" t="s">
        <v>25848</v>
      </c>
      <c r="M12228" t="s">
        <v>17861</v>
      </c>
      <c r="N12228" t="str">
        <f>"12/18/2018 1:57:00 PM"</f>
        <v>12/18/2018 1:57:00 PM</v>
      </c>
      <c r="O12228" t="s">
        <v>36750</v>
      </c>
      <c r="T12228" t="s">
        <v>36751</v>
      </c>
    </row>
    <row r="12229" spans="1:20" x14ac:dyDescent="0.25">
      <c r="A12229" t="str">
        <f>"3042612"</f>
        <v>3042612</v>
      </c>
      <c r="B12229" t="s">
        <v>36753</v>
      </c>
      <c r="C12229" t="str">
        <f>"8310755"</f>
        <v>8310755</v>
      </c>
      <c r="D12229" t="s">
        <v>36754</v>
      </c>
      <c r="E12229" t="s">
        <v>36755</v>
      </c>
      <c r="F12229" t="s">
        <v>36756</v>
      </c>
      <c r="I12229" t="s">
        <v>184</v>
      </c>
      <c r="J12229" t="s">
        <v>30</v>
      </c>
      <c r="K12229" t="s">
        <v>20350</v>
      </c>
      <c r="M12229" t="s">
        <v>17861</v>
      </c>
      <c r="N12229" t="str">
        <f>"12/18/2018 2:05:00 PM"</f>
        <v>12/18/2018 2:05:00 PM</v>
      </c>
      <c r="O12229" t="s">
        <v>36754</v>
      </c>
      <c r="T12229" t="s">
        <v>36755</v>
      </c>
    </row>
    <row r="12230" spans="1:20" x14ac:dyDescent="0.25">
      <c r="A12230" t="str">
        <f>"3056587"</f>
        <v>3056587</v>
      </c>
      <c r="B12230" t="s">
        <v>36757</v>
      </c>
      <c r="C12230" t="str">
        <f>"8310756"</f>
        <v>8310756</v>
      </c>
      <c r="D12230" t="s">
        <v>36758</v>
      </c>
      <c r="E12230" t="s">
        <v>36759</v>
      </c>
      <c r="F12230" t="s">
        <v>36760</v>
      </c>
      <c r="I12230" t="s">
        <v>29</v>
      </c>
      <c r="J12230" t="s">
        <v>30</v>
      </c>
      <c r="K12230" t="s">
        <v>19844</v>
      </c>
      <c r="M12230" t="s">
        <v>17861</v>
      </c>
      <c r="N12230" t="str">
        <f>"12/18/2018 2:23:00 PM"</f>
        <v>12/18/2018 2:23:00 PM</v>
      </c>
      <c r="O12230" t="s">
        <v>36758</v>
      </c>
      <c r="T12230" t="s">
        <v>36759</v>
      </c>
    </row>
    <row r="12231" spans="1:20" x14ac:dyDescent="0.25">
      <c r="A12231" t="str">
        <f>"3039567"</f>
        <v>3039567</v>
      </c>
      <c r="B12231" t="s">
        <v>36761</v>
      </c>
      <c r="C12231" t="str">
        <f>"6238000"</f>
        <v>6238000</v>
      </c>
      <c r="D12231" t="s">
        <v>36762</v>
      </c>
      <c r="E12231" t="s">
        <v>36763</v>
      </c>
      <c r="F12231" t="s">
        <v>36764</v>
      </c>
      <c r="I12231" t="s">
        <v>184</v>
      </c>
      <c r="J12231" t="s">
        <v>30</v>
      </c>
      <c r="K12231" t="s">
        <v>18645</v>
      </c>
      <c r="M12231" t="s">
        <v>25733</v>
      </c>
      <c r="N12231" t="str">
        <f>"12/27/2018 1:39:00 PM"</f>
        <v>12/27/2018 1:39:00 PM</v>
      </c>
      <c r="O12231" t="s">
        <v>36762</v>
      </c>
      <c r="T12231" t="s">
        <v>36763</v>
      </c>
    </row>
    <row r="12232" spans="1:20" x14ac:dyDescent="0.25">
      <c r="A12232" t="str">
        <f>"3050096"</f>
        <v>3050096</v>
      </c>
      <c r="B12232" t="s">
        <v>36765</v>
      </c>
      <c r="C12232" t="str">
        <f>"8310798"</f>
        <v>8310798</v>
      </c>
      <c r="D12232" t="s">
        <v>36766</v>
      </c>
      <c r="F12232" t="s">
        <v>36767</v>
      </c>
      <c r="I12232" t="s">
        <v>29</v>
      </c>
      <c r="J12232" t="s">
        <v>30</v>
      </c>
      <c r="K12232" t="s">
        <v>36768</v>
      </c>
      <c r="M12232" t="s">
        <v>17861</v>
      </c>
      <c r="N12232" t="str">
        <f>"12/27/2018 3:23:00 PM"</f>
        <v>12/27/2018 3:23:00 PM</v>
      </c>
      <c r="O12232" t="s">
        <v>36766</v>
      </c>
    </row>
    <row r="12233" spans="1:20" x14ac:dyDescent="0.25">
      <c r="A12233" t="str">
        <f>"3059672"</f>
        <v>3059672</v>
      </c>
      <c r="B12233" t="s">
        <v>36769</v>
      </c>
      <c r="C12233" t="str">
        <f>"82520216"</f>
        <v>82520216</v>
      </c>
      <c r="D12233" t="s">
        <v>36770</v>
      </c>
      <c r="E12233" t="s">
        <v>36771</v>
      </c>
      <c r="F12233" t="s">
        <v>36772</v>
      </c>
      <c r="I12233" t="s">
        <v>29</v>
      </c>
      <c r="J12233" t="s">
        <v>30</v>
      </c>
      <c r="K12233" t="s">
        <v>31</v>
      </c>
      <c r="M12233" t="s">
        <v>17861</v>
      </c>
      <c r="N12233" t="str">
        <f>"12/28/2018 8:26:00 AM"</f>
        <v>12/28/2018 8:26:00 AM</v>
      </c>
      <c r="O12233" t="s">
        <v>36770</v>
      </c>
      <c r="T12233" t="s">
        <v>36771</v>
      </c>
    </row>
    <row r="12234" spans="1:20" x14ac:dyDescent="0.25">
      <c r="A12234" t="str">
        <f>"3059674"</f>
        <v>3059674</v>
      </c>
      <c r="B12234" t="s">
        <v>36773</v>
      </c>
      <c r="C12234" t="str">
        <f>"82530084"</f>
        <v>82530084</v>
      </c>
      <c r="D12234" t="s">
        <v>36774</v>
      </c>
      <c r="F12234" t="s">
        <v>36775</v>
      </c>
      <c r="I12234" t="s">
        <v>29</v>
      </c>
      <c r="J12234" t="s">
        <v>30</v>
      </c>
      <c r="K12234" t="s">
        <v>31</v>
      </c>
      <c r="M12234" t="s">
        <v>17861</v>
      </c>
      <c r="N12234" t="str">
        <f>"12/28/2018 8:27:00 AM"</f>
        <v>12/28/2018 8:27:00 AM</v>
      </c>
      <c r="O12234" t="s">
        <v>36774</v>
      </c>
    </row>
    <row r="12235" spans="1:20" x14ac:dyDescent="0.25">
      <c r="A12235" t="str">
        <f>"3046106"</f>
        <v>3046106</v>
      </c>
      <c r="B12235" t="s">
        <v>36776</v>
      </c>
      <c r="C12235" t="str">
        <f>"72792250"</f>
        <v>72792250</v>
      </c>
      <c r="D12235" t="s">
        <v>36777</v>
      </c>
      <c r="E12235" t="s">
        <v>36778</v>
      </c>
      <c r="F12235" t="s">
        <v>36779</v>
      </c>
      <c r="I12235" t="s">
        <v>29</v>
      </c>
      <c r="J12235" t="s">
        <v>30</v>
      </c>
      <c r="K12235" t="s">
        <v>31</v>
      </c>
      <c r="M12235" t="s">
        <v>33432</v>
      </c>
      <c r="N12235" t="str">
        <f>"12/28/2018 10:18:00 AM"</f>
        <v>12/28/2018 10:18:00 AM</v>
      </c>
      <c r="O12235" t="s">
        <v>36777</v>
      </c>
      <c r="T12235" t="s">
        <v>36778</v>
      </c>
    </row>
    <row r="12236" spans="1:20" x14ac:dyDescent="0.25">
      <c r="A12236" t="str">
        <f>"3045909"</f>
        <v>3045909</v>
      </c>
      <c r="B12236" t="s">
        <v>36780</v>
      </c>
      <c r="C12236" t="str">
        <f>"72792250"</f>
        <v>72792250</v>
      </c>
      <c r="D12236" t="s">
        <v>36777</v>
      </c>
      <c r="E12236" t="s">
        <v>36778</v>
      </c>
      <c r="F12236" t="s">
        <v>36779</v>
      </c>
      <c r="I12236" t="s">
        <v>29</v>
      </c>
      <c r="J12236" t="s">
        <v>30</v>
      </c>
      <c r="K12236" t="s">
        <v>31</v>
      </c>
      <c r="M12236" t="s">
        <v>33432</v>
      </c>
      <c r="N12236" t="str">
        <f>"12/28/2018 10:18:00 AM"</f>
        <v>12/28/2018 10:18:00 AM</v>
      </c>
      <c r="O12236" t="s">
        <v>36777</v>
      </c>
      <c r="T12236" t="s">
        <v>36778</v>
      </c>
    </row>
    <row r="12237" spans="1:20" x14ac:dyDescent="0.25">
      <c r="A12237" t="str">
        <f>"3047817"</f>
        <v>3047817</v>
      </c>
      <c r="B12237" t="s">
        <v>36781</v>
      </c>
      <c r="C12237" t="str">
        <f>"8310757"</f>
        <v>8310757</v>
      </c>
      <c r="D12237" t="s">
        <v>36782</v>
      </c>
      <c r="E12237" t="s">
        <v>36783</v>
      </c>
      <c r="F12237" t="s">
        <v>36784</v>
      </c>
      <c r="I12237" t="s">
        <v>184</v>
      </c>
      <c r="J12237" t="s">
        <v>30</v>
      </c>
      <c r="K12237" t="s">
        <v>19117</v>
      </c>
      <c r="M12237" t="s">
        <v>17861</v>
      </c>
      <c r="N12237" t="str">
        <f>"12/18/2018 2:46:00 PM"</f>
        <v>12/18/2018 2:46:00 PM</v>
      </c>
      <c r="O12237" t="s">
        <v>36782</v>
      </c>
      <c r="T12237" t="s">
        <v>36783</v>
      </c>
    </row>
    <row r="12238" spans="1:20" x14ac:dyDescent="0.25">
      <c r="A12238" t="str">
        <f>"3046741"</f>
        <v>3046741</v>
      </c>
      <c r="B12238" t="s">
        <v>36785</v>
      </c>
      <c r="C12238" t="str">
        <f>"8310744"</f>
        <v>8310744</v>
      </c>
      <c r="D12238" t="s">
        <v>36786</v>
      </c>
      <c r="E12238" t="s">
        <v>36787</v>
      </c>
      <c r="F12238" t="s">
        <v>36788</v>
      </c>
      <c r="I12238" t="s">
        <v>184</v>
      </c>
      <c r="J12238" t="s">
        <v>30</v>
      </c>
      <c r="K12238" t="s">
        <v>35056</v>
      </c>
      <c r="M12238" t="s">
        <v>17861</v>
      </c>
      <c r="N12238" t="str">
        <f>"12/18/2018 9:54:00 AM"</f>
        <v>12/18/2018 9:54:00 AM</v>
      </c>
      <c r="O12238" t="s">
        <v>36786</v>
      </c>
      <c r="T12238" t="s">
        <v>36787</v>
      </c>
    </row>
    <row r="12239" spans="1:20" x14ac:dyDescent="0.25">
      <c r="A12239" t="str">
        <f>"3051627"</f>
        <v>3051627</v>
      </c>
      <c r="B12239" t="s">
        <v>36789</v>
      </c>
      <c r="C12239" t="str">
        <f>"8310745"</f>
        <v>8310745</v>
      </c>
      <c r="D12239" t="s">
        <v>36790</v>
      </c>
      <c r="F12239" t="s">
        <v>36791</v>
      </c>
      <c r="I12239" t="s">
        <v>471</v>
      </c>
      <c r="J12239" t="s">
        <v>30</v>
      </c>
      <c r="K12239" t="s">
        <v>36792</v>
      </c>
      <c r="M12239" t="s">
        <v>17861</v>
      </c>
      <c r="N12239" t="str">
        <f>"12/18/2018 10:09:00 AM"</f>
        <v>12/18/2018 10:09:00 AM</v>
      </c>
      <c r="O12239" t="s">
        <v>36790</v>
      </c>
    </row>
    <row r="12240" spans="1:20" x14ac:dyDescent="0.25">
      <c r="A12240" t="str">
        <f>"3061421"</f>
        <v>3061421</v>
      </c>
      <c r="B12240" t="s">
        <v>36793</v>
      </c>
      <c r="C12240" t="str">
        <f>"8310746"</f>
        <v>8310746</v>
      </c>
      <c r="D12240" t="s">
        <v>36794</v>
      </c>
      <c r="E12240" t="s">
        <v>36795</v>
      </c>
      <c r="F12240" t="s">
        <v>36796</v>
      </c>
      <c r="I12240" t="s">
        <v>184</v>
      </c>
      <c r="J12240" t="s">
        <v>30</v>
      </c>
      <c r="K12240" t="s">
        <v>5339</v>
      </c>
      <c r="M12240" t="s">
        <v>17861</v>
      </c>
      <c r="N12240" t="str">
        <f>"12/18/2018 10:36:00 AM"</f>
        <v>12/18/2018 10:36:00 AM</v>
      </c>
      <c r="O12240" t="s">
        <v>36794</v>
      </c>
      <c r="T12240" t="s">
        <v>36795</v>
      </c>
    </row>
    <row r="12241" spans="1:20" x14ac:dyDescent="0.25">
      <c r="A12241" t="str">
        <f>"3054098"</f>
        <v>3054098</v>
      </c>
      <c r="B12241" t="s">
        <v>36797</v>
      </c>
      <c r="C12241" t="str">
        <f>"82514399"</f>
        <v>82514399</v>
      </c>
      <c r="D12241" t="s">
        <v>29818</v>
      </c>
      <c r="E12241" t="s">
        <v>21406</v>
      </c>
      <c r="F12241" t="s">
        <v>21407</v>
      </c>
      <c r="I12241" t="s">
        <v>29</v>
      </c>
      <c r="J12241" t="s">
        <v>30</v>
      </c>
      <c r="K12241" t="s">
        <v>18006</v>
      </c>
      <c r="M12241" t="s">
        <v>18479</v>
      </c>
      <c r="N12241" t="str">
        <f>"12/28/2018 11:53:00 AM"</f>
        <v>12/28/2018 11:53:00 AM</v>
      </c>
      <c r="O12241" t="s">
        <v>29818</v>
      </c>
      <c r="T12241" t="s">
        <v>21406</v>
      </c>
    </row>
    <row r="12242" spans="1:20" x14ac:dyDescent="0.25">
      <c r="A12242" t="str">
        <f>"3054117"</f>
        <v>3054117</v>
      </c>
      <c r="B12242" t="s">
        <v>36798</v>
      </c>
      <c r="C12242" t="str">
        <f>"82514399"</f>
        <v>82514399</v>
      </c>
      <c r="D12242" t="s">
        <v>29818</v>
      </c>
      <c r="E12242" t="s">
        <v>21406</v>
      </c>
      <c r="F12242" t="s">
        <v>21407</v>
      </c>
      <c r="I12242" t="s">
        <v>29</v>
      </c>
      <c r="J12242" t="s">
        <v>30</v>
      </c>
      <c r="K12242" t="s">
        <v>18006</v>
      </c>
      <c r="M12242" t="s">
        <v>18479</v>
      </c>
      <c r="N12242" t="str">
        <f>"12/28/2018 11:53:00 AM"</f>
        <v>12/28/2018 11:53:00 AM</v>
      </c>
      <c r="O12242" t="s">
        <v>29818</v>
      </c>
      <c r="T12242" t="s">
        <v>21406</v>
      </c>
    </row>
    <row r="12243" spans="1:20" x14ac:dyDescent="0.25">
      <c r="A12243" t="str">
        <f>"3054120"</f>
        <v>3054120</v>
      </c>
      <c r="B12243" t="s">
        <v>36799</v>
      </c>
      <c r="C12243" t="str">
        <f>"82514399"</f>
        <v>82514399</v>
      </c>
      <c r="D12243" t="s">
        <v>29818</v>
      </c>
      <c r="E12243" t="s">
        <v>21406</v>
      </c>
      <c r="F12243" t="s">
        <v>21407</v>
      </c>
      <c r="I12243" t="s">
        <v>29</v>
      </c>
      <c r="J12243" t="s">
        <v>30</v>
      </c>
      <c r="K12243" t="s">
        <v>18006</v>
      </c>
      <c r="M12243" t="s">
        <v>18479</v>
      </c>
      <c r="N12243" t="str">
        <f>"12/28/2018 11:53:00 AM"</f>
        <v>12/28/2018 11:53:00 AM</v>
      </c>
      <c r="O12243" t="s">
        <v>29818</v>
      </c>
      <c r="T12243" t="s">
        <v>21406</v>
      </c>
    </row>
    <row r="12244" spans="1:20" x14ac:dyDescent="0.25">
      <c r="A12244" t="str">
        <f>"3054575"</f>
        <v>3054575</v>
      </c>
      <c r="B12244" t="s">
        <v>36800</v>
      </c>
      <c r="C12244" t="str">
        <f>"82514399"</f>
        <v>82514399</v>
      </c>
      <c r="D12244" t="s">
        <v>29818</v>
      </c>
      <c r="E12244" t="s">
        <v>21406</v>
      </c>
      <c r="F12244" t="s">
        <v>21407</v>
      </c>
      <c r="I12244" t="s">
        <v>29</v>
      </c>
      <c r="J12244" t="s">
        <v>30</v>
      </c>
      <c r="K12244" t="s">
        <v>18006</v>
      </c>
      <c r="M12244" t="s">
        <v>18479</v>
      </c>
      <c r="N12244" t="str">
        <f>"12/28/2018 11:53:00 AM"</f>
        <v>12/28/2018 11:53:00 AM</v>
      </c>
      <c r="O12244" t="s">
        <v>29818</v>
      </c>
      <c r="T12244" t="s">
        <v>21406</v>
      </c>
    </row>
    <row r="12245" spans="1:20" x14ac:dyDescent="0.25">
      <c r="A12245" t="str">
        <f>"3051287"</f>
        <v>3051287</v>
      </c>
      <c r="B12245" t="s">
        <v>36801</v>
      </c>
      <c r="C12245" t="str">
        <f>"2462000"</f>
        <v>2462000</v>
      </c>
      <c r="D12245" t="s">
        <v>36802</v>
      </c>
      <c r="E12245" t="s">
        <v>36803</v>
      </c>
      <c r="F12245" t="s">
        <v>36804</v>
      </c>
      <c r="I12245" t="s">
        <v>29</v>
      </c>
      <c r="J12245" t="s">
        <v>30</v>
      </c>
      <c r="K12245" t="s">
        <v>23292</v>
      </c>
      <c r="M12245" t="s">
        <v>34670</v>
      </c>
      <c r="N12245" t="str">
        <f>"12/28/2018 1:09:00 PM"</f>
        <v>12/28/2018 1:09:00 PM</v>
      </c>
      <c r="O12245" t="s">
        <v>36802</v>
      </c>
      <c r="T12245" t="s">
        <v>36803</v>
      </c>
    </row>
    <row r="12246" spans="1:20" x14ac:dyDescent="0.25">
      <c r="A12246" t="str">
        <f>"3050374"</f>
        <v>3050374</v>
      </c>
      <c r="B12246" t="s">
        <v>36805</v>
      </c>
      <c r="C12246" t="str">
        <f>"8310801"</f>
        <v>8310801</v>
      </c>
      <c r="D12246" t="s">
        <v>36806</v>
      </c>
      <c r="F12246" t="s">
        <v>36807</v>
      </c>
      <c r="I12246" t="s">
        <v>184</v>
      </c>
      <c r="J12246" t="s">
        <v>30</v>
      </c>
      <c r="K12246" t="s">
        <v>36808</v>
      </c>
      <c r="M12246" t="s">
        <v>17861</v>
      </c>
      <c r="N12246" t="str">
        <f>"12/28/2018 2:09:00 PM"</f>
        <v>12/28/2018 2:09:00 PM</v>
      </c>
      <c r="O12246" t="s">
        <v>36806</v>
      </c>
    </row>
    <row r="12247" spans="1:20" x14ac:dyDescent="0.25">
      <c r="A12247" t="str">
        <f>"3078830"</f>
        <v>3078830</v>
      </c>
      <c r="B12247" t="s">
        <v>36809</v>
      </c>
      <c r="C12247" t="str">
        <f>"82527110"</f>
        <v>82527110</v>
      </c>
      <c r="D12247" t="s">
        <v>36810</v>
      </c>
      <c r="F12247" t="s">
        <v>31044</v>
      </c>
      <c r="I12247" t="s">
        <v>29</v>
      </c>
      <c r="J12247" t="s">
        <v>30</v>
      </c>
      <c r="K12247" t="s">
        <v>31</v>
      </c>
      <c r="M12247" t="s">
        <v>25733</v>
      </c>
      <c r="N12247" t="str">
        <f>"12/28/2018 2:18:00 PM"</f>
        <v>12/28/2018 2:18:00 PM</v>
      </c>
      <c r="O12247" t="s">
        <v>36810</v>
      </c>
    </row>
    <row r="12248" spans="1:20" x14ac:dyDescent="0.25">
      <c r="A12248" t="str">
        <f>"3049806"</f>
        <v>3049806</v>
      </c>
      <c r="B12248" t="s">
        <v>36811</v>
      </c>
      <c r="C12248" t="str">
        <f>"8310747"</f>
        <v>8310747</v>
      </c>
      <c r="D12248" t="s">
        <v>36812</v>
      </c>
      <c r="E12248" t="s">
        <v>36813</v>
      </c>
      <c r="F12248" t="s">
        <v>36814</v>
      </c>
      <c r="I12248" t="s">
        <v>29</v>
      </c>
      <c r="J12248" t="s">
        <v>30</v>
      </c>
      <c r="K12248" t="s">
        <v>9905</v>
      </c>
      <c r="M12248" t="s">
        <v>17861</v>
      </c>
      <c r="N12248" t="str">
        <f>"12/18/2018 10:41:00 AM"</f>
        <v>12/18/2018 10:41:00 AM</v>
      </c>
      <c r="O12248" t="s">
        <v>36812</v>
      </c>
      <c r="T12248" t="s">
        <v>36813</v>
      </c>
    </row>
    <row r="12249" spans="1:20" x14ac:dyDescent="0.25">
      <c r="A12249" t="str">
        <f>"3046796"</f>
        <v>3046796</v>
      </c>
      <c r="B12249" t="s">
        <v>36815</v>
      </c>
      <c r="C12249" t="str">
        <f>"8310749"</f>
        <v>8310749</v>
      </c>
      <c r="D12249" t="s">
        <v>36816</v>
      </c>
      <c r="E12249" t="s">
        <v>36817</v>
      </c>
      <c r="F12249" t="s">
        <v>36818</v>
      </c>
      <c r="I12249" t="s">
        <v>184</v>
      </c>
      <c r="J12249" t="s">
        <v>30</v>
      </c>
      <c r="K12249" t="s">
        <v>36819</v>
      </c>
      <c r="M12249" t="s">
        <v>17861</v>
      </c>
      <c r="N12249" t="str">
        <f>"12/18/2018 12:55:00 PM"</f>
        <v>12/18/2018 12:55:00 PM</v>
      </c>
      <c r="O12249" t="s">
        <v>36816</v>
      </c>
      <c r="T12249" t="s">
        <v>36817</v>
      </c>
    </row>
    <row r="12250" spans="1:20" x14ac:dyDescent="0.25">
      <c r="A12250" t="str">
        <f>"3041434"</f>
        <v>3041434</v>
      </c>
      <c r="B12250" t="s">
        <v>36820</v>
      </c>
      <c r="C12250" t="str">
        <f>"8310750"</f>
        <v>8310750</v>
      </c>
      <c r="D12250" t="s">
        <v>36821</v>
      </c>
      <c r="E12250" t="s">
        <v>36822</v>
      </c>
      <c r="F12250" t="s">
        <v>36823</v>
      </c>
      <c r="I12250" t="s">
        <v>2071</v>
      </c>
      <c r="J12250" t="s">
        <v>30</v>
      </c>
      <c r="K12250" t="s">
        <v>32842</v>
      </c>
      <c r="M12250" t="s">
        <v>17861</v>
      </c>
      <c r="N12250" t="str">
        <f>"12/18/2018 1:07:00 PM"</f>
        <v>12/18/2018 1:07:00 PM</v>
      </c>
      <c r="O12250" t="s">
        <v>36821</v>
      </c>
      <c r="T12250" t="s">
        <v>36822</v>
      </c>
    </row>
    <row r="12251" spans="1:20" x14ac:dyDescent="0.25">
      <c r="A12251" t="str">
        <f>"3045343"</f>
        <v>3045343</v>
      </c>
      <c r="B12251" t="s">
        <v>36824</v>
      </c>
      <c r="C12251" t="str">
        <f>"8310789"</f>
        <v>8310789</v>
      </c>
      <c r="D12251" t="s">
        <v>36723</v>
      </c>
      <c r="F12251" t="s">
        <v>36724</v>
      </c>
      <c r="I12251" t="s">
        <v>1149</v>
      </c>
      <c r="J12251" t="s">
        <v>30</v>
      </c>
      <c r="K12251" t="s">
        <v>6577</v>
      </c>
      <c r="M12251" t="s">
        <v>17861</v>
      </c>
      <c r="N12251" t="str">
        <f>"12/20/2018 10:22:00 AM"</f>
        <v>12/20/2018 10:22:00 AM</v>
      </c>
      <c r="O12251" t="s">
        <v>36723</v>
      </c>
    </row>
    <row r="12252" spans="1:20" x14ac:dyDescent="0.25">
      <c r="A12252" t="str">
        <f>"3078627"</f>
        <v>3078627</v>
      </c>
      <c r="B12252" t="s">
        <v>36825</v>
      </c>
      <c r="C12252" t="str">
        <f>"8309954"</f>
        <v>8309954</v>
      </c>
      <c r="D12252" t="s">
        <v>36826</v>
      </c>
      <c r="F12252" t="s">
        <v>36827</v>
      </c>
      <c r="I12252" t="s">
        <v>2589</v>
      </c>
      <c r="J12252" t="s">
        <v>30</v>
      </c>
      <c r="K12252" t="str">
        <f>"27613"</f>
        <v>27613</v>
      </c>
      <c r="M12252" t="s">
        <v>18470</v>
      </c>
      <c r="N12252" t="str">
        <f>"12/27/2018 9:18:00 AM"</f>
        <v>12/27/2018 9:18:00 AM</v>
      </c>
      <c r="O12252" t="s">
        <v>36826</v>
      </c>
    </row>
    <row r="12253" spans="1:20" x14ac:dyDescent="0.25">
      <c r="A12253" t="str">
        <f>"3078631"</f>
        <v>3078631</v>
      </c>
      <c r="B12253" t="s">
        <v>36828</v>
      </c>
      <c r="C12253" t="str">
        <f>"8309954"</f>
        <v>8309954</v>
      </c>
      <c r="D12253" t="s">
        <v>36826</v>
      </c>
      <c r="F12253" t="s">
        <v>36827</v>
      </c>
      <c r="I12253" t="s">
        <v>2589</v>
      </c>
      <c r="J12253" t="s">
        <v>30</v>
      </c>
      <c r="K12253" t="str">
        <f>"27613"</f>
        <v>27613</v>
      </c>
      <c r="M12253" t="s">
        <v>18470</v>
      </c>
      <c r="N12253" t="str">
        <f>"12/27/2018 9:18:00 AM"</f>
        <v>12/27/2018 9:18:00 AM</v>
      </c>
      <c r="O12253" t="s">
        <v>36826</v>
      </c>
    </row>
    <row r="12254" spans="1:20" x14ac:dyDescent="0.25">
      <c r="A12254" t="str">
        <f>"3078621"</f>
        <v>3078621</v>
      </c>
      <c r="B12254" t="s">
        <v>36829</v>
      </c>
      <c r="C12254" t="str">
        <f>"8309954"</f>
        <v>8309954</v>
      </c>
      <c r="D12254" t="s">
        <v>36826</v>
      </c>
      <c r="F12254" t="s">
        <v>36827</v>
      </c>
      <c r="I12254" t="s">
        <v>2589</v>
      </c>
      <c r="J12254" t="s">
        <v>30</v>
      </c>
      <c r="K12254" t="str">
        <f>"27613"</f>
        <v>27613</v>
      </c>
      <c r="M12254" t="s">
        <v>18470</v>
      </c>
      <c r="N12254" t="str">
        <f>"12/27/2018 9:18:00 AM"</f>
        <v>12/27/2018 9:18:00 AM</v>
      </c>
      <c r="O12254" t="s">
        <v>36826</v>
      </c>
    </row>
    <row r="12255" spans="1:20" x14ac:dyDescent="0.25">
      <c r="A12255" t="str">
        <f>"3061439"</f>
        <v>3061439</v>
      </c>
      <c r="B12255" t="s">
        <v>36830</v>
      </c>
      <c r="C12255" t="str">
        <f>"8306309"</f>
        <v>8306309</v>
      </c>
      <c r="D12255" t="s">
        <v>36831</v>
      </c>
      <c r="E12255" t="s">
        <v>36832</v>
      </c>
      <c r="F12255" t="s">
        <v>36833</v>
      </c>
      <c r="I12255" t="s">
        <v>184</v>
      </c>
      <c r="J12255" t="s">
        <v>30</v>
      </c>
      <c r="K12255" t="str">
        <f>"27006"</f>
        <v>27006</v>
      </c>
      <c r="M12255" t="s">
        <v>18470</v>
      </c>
      <c r="N12255" t="str">
        <f>"12/27/2018 11:19:00 AM"</f>
        <v>12/27/2018 11:19:00 AM</v>
      </c>
      <c r="O12255" t="s">
        <v>36831</v>
      </c>
      <c r="T12255" t="s">
        <v>36832</v>
      </c>
    </row>
    <row r="12256" spans="1:20" x14ac:dyDescent="0.25">
      <c r="A12256" t="str">
        <f>"3049351"</f>
        <v>3049351</v>
      </c>
      <c r="B12256" t="s">
        <v>36834</v>
      </c>
      <c r="C12256" t="str">
        <f>"8306969"</f>
        <v>8306969</v>
      </c>
      <c r="D12256" t="s">
        <v>36835</v>
      </c>
      <c r="E12256" t="s">
        <v>36836</v>
      </c>
      <c r="F12256" t="s">
        <v>16794</v>
      </c>
      <c r="I12256" t="s">
        <v>29</v>
      </c>
      <c r="J12256" t="s">
        <v>30</v>
      </c>
      <c r="K12256" t="str">
        <f>"27028"</f>
        <v>27028</v>
      </c>
      <c r="M12256" t="s">
        <v>33432</v>
      </c>
      <c r="N12256" t="str">
        <f>"12/28/2018 11:23:00 AM"</f>
        <v>12/28/2018 11:23:00 AM</v>
      </c>
      <c r="O12256" t="s">
        <v>36835</v>
      </c>
      <c r="T12256" t="s">
        <v>36836</v>
      </c>
    </row>
    <row r="12257" spans="1:20" x14ac:dyDescent="0.25">
      <c r="A12257" t="str">
        <f>"3037416"</f>
        <v>3037416</v>
      </c>
      <c r="B12257" t="s">
        <v>36837</v>
      </c>
      <c r="C12257" t="str">
        <f>"82517180"</f>
        <v>82517180</v>
      </c>
      <c r="D12257" t="s">
        <v>36838</v>
      </c>
      <c r="F12257" t="s">
        <v>36839</v>
      </c>
      <c r="I12257" t="s">
        <v>471</v>
      </c>
      <c r="J12257" t="s">
        <v>30</v>
      </c>
      <c r="K12257" t="s">
        <v>3169</v>
      </c>
      <c r="M12257" t="s">
        <v>34670</v>
      </c>
      <c r="N12257" t="str">
        <f>"1/2/2019 11:19:00 AM"</f>
        <v>1/2/2019 11:19:00 AM</v>
      </c>
      <c r="O12257" t="s">
        <v>36838</v>
      </c>
    </row>
    <row r="12258" spans="1:20" x14ac:dyDescent="0.25">
      <c r="A12258" t="str">
        <f>"3055439"</f>
        <v>3055439</v>
      </c>
      <c r="B12258" t="s">
        <v>36840</v>
      </c>
      <c r="C12258" t="str">
        <f>"8310810"</f>
        <v>8310810</v>
      </c>
      <c r="D12258" t="s">
        <v>36841</v>
      </c>
      <c r="F12258" t="s">
        <v>36842</v>
      </c>
      <c r="I12258" t="s">
        <v>29</v>
      </c>
      <c r="J12258" t="s">
        <v>30</v>
      </c>
      <c r="K12258" t="s">
        <v>16613</v>
      </c>
      <c r="M12258" t="s">
        <v>17861</v>
      </c>
      <c r="N12258" t="str">
        <f>"1/2/2019 12:48:00 PM"</f>
        <v>1/2/2019 12:48:00 PM</v>
      </c>
      <c r="O12258" t="s">
        <v>36841</v>
      </c>
    </row>
    <row r="12259" spans="1:20" x14ac:dyDescent="0.25">
      <c r="A12259" t="str">
        <f>"3055305"</f>
        <v>3055305</v>
      </c>
      <c r="B12259" t="s">
        <v>36843</v>
      </c>
      <c r="C12259" t="str">
        <f>"8310811"</f>
        <v>8310811</v>
      </c>
      <c r="D12259" t="s">
        <v>36844</v>
      </c>
      <c r="F12259" t="s">
        <v>36845</v>
      </c>
      <c r="I12259" t="s">
        <v>29</v>
      </c>
      <c r="J12259" t="s">
        <v>30</v>
      </c>
      <c r="K12259" t="s">
        <v>36846</v>
      </c>
      <c r="M12259" t="s">
        <v>17861</v>
      </c>
      <c r="N12259" t="str">
        <f>"1/2/2019 1:17:00 PM"</f>
        <v>1/2/2019 1:17:00 PM</v>
      </c>
      <c r="O12259" t="s">
        <v>36844</v>
      </c>
    </row>
    <row r="12260" spans="1:20" x14ac:dyDescent="0.25">
      <c r="A12260" t="str">
        <f>"3048193"</f>
        <v>3048193</v>
      </c>
      <c r="B12260" t="s">
        <v>36847</v>
      </c>
      <c r="C12260" t="str">
        <f>"8305909"</f>
        <v>8305909</v>
      </c>
      <c r="D12260" t="s">
        <v>36848</v>
      </c>
      <c r="E12260" t="s">
        <v>36849</v>
      </c>
      <c r="F12260" t="s">
        <v>36850</v>
      </c>
      <c r="I12260" t="s">
        <v>29</v>
      </c>
      <c r="J12260" t="s">
        <v>30</v>
      </c>
      <c r="K12260" t="s">
        <v>36851</v>
      </c>
      <c r="M12260" t="s">
        <v>17861</v>
      </c>
      <c r="N12260" t="str">
        <f>"1/2/2019 1:33:00 PM"</f>
        <v>1/2/2019 1:33:00 PM</v>
      </c>
      <c r="O12260" t="s">
        <v>36848</v>
      </c>
      <c r="T12260" t="s">
        <v>36849</v>
      </c>
    </row>
    <row r="12261" spans="1:20" x14ac:dyDescent="0.25">
      <c r="A12261" t="str">
        <f>"3037895"</f>
        <v>3037895</v>
      </c>
      <c r="B12261" t="s">
        <v>36852</v>
      </c>
      <c r="C12261" t="str">
        <f>"8310813"</f>
        <v>8310813</v>
      </c>
      <c r="D12261" t="s">
        <v>36853</v>
      </c>
      <c r="F12261" t="s">
        <v>36854</v>
      </c>
      <c r="I12261" t="s">
        <v>29</v>
      </c>
      <c r="J12261" t="s">
        <v>30</v>
      </c>
      <c r="K12261" t="s">
        <v>26571</v>
      </c>
      <c r="M12261" t="s">
        <v>17861</v>
      </c>
      <c r="N12261" t="str">
        <f>"1/2/2019 2:31:00 PM"</f>
        <v>1/2/2019 2:31:00 PM</v>
      </c>
      <c r="O12261" t="s">
        <v>36853</v>
      </c>
    </row>
    <row r="12262" spans="1:20" x14ac:dyDescent="0.25">
      <c r="A12262" t="str">
        <f>"3054402"</f>
        <v>3054402</v>
      </c>
      <c r="B12262" t="s">
        <v>36855</v>
      </c>
      <c r="C12262" t="str">
        <f>"39708000"</f>
        <v>39708000</v>
      </c>
      <c r="D12262" t="s">
        <v>36856</v>
      </c>
      <c r="F12262" t="s">
        <v>36857</v>
      </c>
      <c r="I12262" t="s">
        <v>29</v>
      </c>
      <c r="J12262" t="s">
        <v>30</v>
      </c>
      <c r="K12262" t="s">
        <v>31</v>
      </c>
      <c r="M12262" t="s">
        <v>34670</v>
      </c>
      <c r="N12262" t="str">
        <f>"1/2/2019 3:35:00 PM"</f>
        <v>1/2/2019 3:35:00 PM</v>
      </c>
      <c r="O12262" t="s">
        <v>36856</v>
      </c>
    </row>
    <row r="12263" spans="1:20" x14ac:dyDescent="0.25">
      <c r="A12263" t="str">
        <f>"3041181"</f>
        <v>3041181</v>
      </c>
      <c r="B12263" t="s">
        <v>36858</v>
      </c>
      <c r="C12263" t="str">
        <f>"8310815"</f>
        <v>8310815</v>
      </c>
      <c r="D12263" t="s">
        <v>36859</v>
      </c>
      <c r="F12263" t="s">
        <v>19091</v>
      </c>
      <c r="I12263" t="s">
        <v>32716</v>
      </c>
      <c r="J12263" t="s">
        <v>30</v>
      </c>
      <c r="K12263" t="s">
        <v>36860</v>
      </c>
      <c r="M12263" t="s">
        <v>17861</v>
      </c>
      <c r="N12263" t="str">
        <f>"1/2/2019 4:17:00 PM"</f>
        <v>1/2/2019 4:17:00 PM</v>
      </c>
      <c r="O12263" t="s">
        <v>36859</v>
      </c>
    </row>
    <row r="12264" spans="1:20" x14ac:dyDescent="0.25">
      <c r="A12264" t="str">
        <f>"3041143"</f>
        <v>3041143</v>
      </c>
      <c r="B12264" t="s">
        <v>36861</v>
      </c>
      <c r="C12264" t="str">
        <f>"8310815"</f>
        <v>8310815</v>
      </c>
      <c r="D12264" t="s">
        <v>36859</v>
      </c>
      <c r="F12264" t="s">
        <v>19091</v>
      </c>
      <c r="I12264" t="s">
        <v>32716</v>
      </c>
      <c r="J12264" t="s">
        <v>30</v>
      </c>
      <c r="K12264" t="s">
        <v>36860</v>
      </c>
      <c r="M12264" t="s">
        <v>17861</v>
      </c>
      <c r="N12264" t="str">
        <f>"1/2/2019 4:17:00 PM"</f>
        <v>1/2/2019 4:17:00 PM</v>
      </c>
      <c r="O12264" t="s">
        <v>36859</v>
      </c>
    </row>
    <row r="12265" spans="1:20" x14ac:dyDescent="0.25">
      <c r="A12265" t="str">
        <f>"3075833"</f>
        <v>3075833</v>
      </c>
      <c r="B12265" t="s">
        <v>36862</v>
      </c>
      <c r="C12265" t="str">
        <f>"8310815"</f>
        <v>8310815</v>
      </c>
      <c r="D12265" t="s">
        <v>36859</v>
      </c>
      <c r="F12265" t="s">
        <v>19091</v>
      </c>
      <c r="I12265" t="s">
        <v>32716</v>
      </c>
      <c r="J12265" t="s">
        <v>30</v>
      </c>
      <c r="K12265" t="s">
        <v>36860</v>
      </c>
      <c r="M12265" t="s">
        <v>17861</v>
      </c>
      <c r="N12265" t="str">
        <f>"1/2/2019 4:17:00 PM"</f>
        <v>1/2/2019 4:17:00 PM</v>
      </c>
      <c r="O12265" t="s">
        <v>36859</v>
      </c>
    </row>
    <row r="12266" spans="1:20" x14ac:dyDescent="0.25">
      <c r="A12266" t="str">
        <f>"3078727"</f>
        <v>3078727</v>
      </c>
      <c r="B12266" t="s">
        <v>36863</v>
      </c>
      <c r="C12266" t="str">
        <f>"8306303"</f>
        <v>8306303</v>
      </c>
      <c r="D12266" t="s">
        <v>36864</v>
      </c>
      <c r="E12266" t="s">
        <v>36865</v>
      </c>
      <c r="F12266" t="s">
        <v>36866</v>
      </c>
      <c r="I12266" t="s">
        <v>29</v>
      </c>
      <c r="J12266" t="s">
        <v>30</v>
      </c>
      <c r="K12266" t="s">
        <v>15161</v>
      </c>
      <c r="M12266" t="s">
        <v>17861</v>
      </c>
      <c r="N12266" t="str">
        <f>"12/28/2018 11:33:00 AM"</f>
        <v>12/28/2018 11:33:00 AM</v>
      </c>
      <c r="O12266" t="s">
        <v>36864</v>
      </c>
      <c r="T12266" t="s">
        <v>36865</v>
      </c>
    </row>
    <row r="12267" spans="1:20" x14ac:dyDescent="0.25">
      <c r="A12267" t="str">
        <f>"3071548"</f>
        <v>3071548</v>
      </c>
      <c r="B12267" t="s">
        <v>36867</v>
      </c>
      <c r="C12267" t="str">
        <f>"8310758"</f>
        <v>8310758</v>
      </c>
      <c r="D12267" t="s">
        <v>36868</v>
      </c>
      <c r="E12267" t="s">
        <v>36869</v>
      </c>
      <c r="F12267" t="s">
        <v>36870</v>
      </c>
      <c r="I12267" t="s">
        <v>184</v>
      </c>
      <c r="J12267" t="s">
        <v>30</v>
      </c>
      <c r="K12267" t="s">
        <v>36871</v>
      </c>
      <c r="M12267" t="s">
        <v>17861</v>
      </c>
      <c r="N12267" t="str">
        <f>"12/18/2018 3:12:00 PM"</f>
        <v>12/18/2018 3:12:00 PM</v>
      </c>
      <c r="O12267" t="s">
        <v>36868</v>
      </c>
      <c r="T12267" t="s">
        <v>36872</v>
      </c>
    </row>
    <row r="12268" spans="1:20" x14ac:dyDescent="0.25">
      <c r="A12268" t="str">
        <f>"3062515"</f>
        <v>3062515</v>
      </c>
      <c r="B12268" t="s">
        <v>36873</v>
      </c>
      <c r="C12268" t="str">
        <f>"8310760"</f>
        <v>8310760</v>
      </c>
      <c r="D12268" t="s">
        <v>36874</v>
      </c>
      <c r="E12268" t="s">
        <v>36875</v>
      </c>
      <c r="F12268" t="s">
        <v>36876</v>
      </c>
      <c r="I12268" t="s">
        <v>184</v>
      </c>
      <c r="J12268" t="s">
        <v>30</v>
      </c>
      <c r="K12268" t="s">
        <v>18878</v>
      </c>
      <c r="M12268" t="s">
        <v>17861</v>
      </c>
      <c r="N12268" t="str">
        <f>"12/18/2018 3:24:00 PM"</f>
        <v>12/18/2018 3:24:00 PM</v>
      </c>
      <c r="O12268" t="s">
        <v>36874</v>
      </c>
      <c r="T12268" t="s">
        <v>36875</v>
      </c>
    </row>
    <row r="12269" spans="1:20" x14ac:dyDescent="0.25">
      <c r="A12269" t="str">
        <f>"3062444"</f>
        <v>3062444</v>
      </c>
      <c r="B12269" t="s">
        <v>36877</v>
      </c>
      <c r="C12269" t="str">
        <f>"8310762"</f>
        <v>8310762</v>
      </c>
      <c r="D12269" t="s">
        <v>36878</v>
      </c>
      <c r="F12269" t="s">
        <v>36879</v>
      </c>
      <c r="I12269" t="s">
        <v>2071</v>
      </c>
      <c r="J12269" t="s">
        <v>30</v>
      </c>
      <c r="K12269" t="s">
        <v>35875</v>
      </c>
      <c r="M12269" t="s">
        <v>17861</v>
      </c>
      <c r="N12269" t="str">
        <f>"12/18/2018 3:48:00 PM"</f>
        <v>12/18/2018 3:48:00 PM</v>
      </c>
      <c r="O12269" t="s">
        <v>36878</v>
      </c>
    </row>
    <row r="12270" spans="1:20" x14ac:dyDescent="0.25">
      <c r="A12270" t="str">
        <f>"3059423"</f>
        <v>3059423</v>
      </c>
      <c r="B12270" t="s">
        <v>36880</v>
      </c>
      <c r="C12270" t="str">
        <f>"8310764"</f>
        <v>8310764</v>
      </c>
      <c r="D12270" t="s">
        <v>36881</v>
      </c>
      <c r="F12270" t="s">
        <v>36882</v>
      </c>
      <c r="I12270" t="s">
        <v>29</v>
      </c>
      <c r="J12270" t="s">
        <v>30</v>
      </c>
      <c r="K12270" t="s">
        <v>33366</v>
      </c>
      <c r="M12270" t="s">
        <v>17861</v>
      </c>
      <c r="N12270" t="str">
        <f>"12/18/2018 3:53:00 PM"</f>
        <v>12/18/2018 3:53:00 PM</v>
      </c>
      <c r="O12270" t="s">
        <v>36881</v>
      </c>
    </row>
    <row r="12271" spans="1:20" x14ac:dyDescent="0.25">
      <c r="A12271" t="str">
        <f>"3065362"</f>
        <v>3065362</v>
      </c>
      <c r="B12271" t="s">
        <v>36883</v>
      </c>
      <c r="C12271" t="str">
        <f>"8310765"</f>
        <v>8310765</v>
      </c>
      <c r="D12271" t="s">
        <v>36884</v>
      </c>
      <c r="E12271" t="s">
        <v>36885</v>
      </c>
      <c r="F12271" t="s">
        <v>36886</v>
      </c>
      <c r="I12271" t="s">
        <v>184</v>
      </c>
      <c r="J12271" t="s">
        <v>30</v>
      </c>
      <c r="K12271" t="s">
        <v>30957</v>
      </c>
      <c r="M12271" t="s">
        <v>17861</v>
      </c>
      <c r="N12271" t="str">
        <f>"12/18/2018 3:55:00 PM"</f>
        <v>12/18/2018 3:55:00 PM</v>
      </c>
      <c r="O12271" t="s">
        <v>36884</v>
      </c>
      <c r="T12271" t="s">
        <v>36885</v>
      </c>
    </row>
    <row r="12272" spans="1:20" x14ac:dyDescent="0.25">
      <c r="A12272" t="str">
        <f>"3077786"</f>
        <v>3077786</v>
      </c>
      <c r="B12272" t="s">
        <v>36887</v>
      </c>
      <c r="C12272" t="str">
        <f>"8310768"</f>
        <v>8310768</v>
      </c>
      <c r="D12272" t="s">
        <v>36888</v>
      </c>
      <c r="E12272" t="s">
        <v>36889</v>
      </c>
      <c r="F12272" t="s">
        <v>36890</v>
      </c>
      <c r="I12272" t="s">
        <v>1149</v>
      </c>
      <c r="J12272" t="s">
        <v>30</v>
      </c>
      <c r="K12272" t="s">
        <v>7688</v>
      </c>
      <c r="M12272" t="s">
        <v>17861</v>
      </c>
      <c r="N12272" t="str">
        <f>"12/18/2018 4:09:00 PM"</f>
        <v>12/18/2018 4:09:00 PM</v>
      </c>
      <c r="O12272" t="s">
        <v>36888</v>
      </c>
      <c r="T12272" t="s">
        <v>36889</v>
      </c>
    </row>
    <row r="12273" spans="1:20" x14ac:dyDescent="0.25">
      <c r="A12273" t="str">
        <f>"3058048"</f>
        <v>3058048</v>
      </c>
      <c r="B12273" t="s">
        <v>36891</v>
      </c>
      <c r="C12273" t="str">
        <f>"8301531"</f>
        <v>8301531</v>
      </c>
      <c r="D12273" t="s">
        <v>36892</v>
      </c>
      <c r="E12273" t="s">
        <v>36893</v>
      </c>
      <c r="F12273" t="s">
        <v>36894</v>
      </c>
      <c r="I12273" t="s">
        <v>184</v>
      </c>
      <c r="J12273" t="s">
        <v>30</v>
      </c>
      <c r="K12273" t="str">
        <f>"27006"</f>
        <v>27006</v>
      </c>
      <c r="M12273" t="s">
        <v>25733</v>
      </c>
      <c r="N12273" t="str">
        <f>"1/8/2019 9:21:00 AM"</f>
        <v>1/8/2019 9:21:00 AM</v>
      </c>
      <c r="O12273" t="s">
        <v>36892</v>
      </c>
      <c r="T12273" t="s">
        <v>36893</v>
      </c>
    </row>
    <row r="12274" spans="1:20" x14ac:dyDescent="0.25">
      <c r="A12274" t="str">
        <f>"3062224"</f>
        <v>3062224</v>
      </c>
      <c r="B12274" t="s">
        <v>36895</v>
      </c>
      <c r="C12274" t="str">
        <f>"8310770"</f>
        <v>8310770</v>
      </c>
      <c r="D12274" t="s">
        <v>36896</v>
      </c>
      <c r="E12274" t="s">
        <v>36897</v>
      </c>
      <c r="F12274" t="s">
        <v>36898</v>
      </c>
      <c r="I12274" t="s">
        <v>17921</v>
      </c>
      <c r="J12274" t="s">
        <v>30</v>
      </c>
      <c r="K12274" t="str">
        <f>"27028"</f>
        <v>27028</v>
      </c>
      <c r="M12274" t="s">
        <v>17861</v>
      </c>
      <c r="N12274" t="str">
        <f>"12/19/2018 9:33:00 AM"</f>
        <v>12/19/2018 9:33:00 AM</v>
      </c>
      <c r="O12274" t="s">
        <v>36896</v>
      </c>
      <c r="T12274" t="s">
        <v>36897</v>
      </c>
    </row>
    <row r="12275" spans="1:20" x14ac:dyDescent="0.25">
      <c r="A12275" t="str">
        <f>"3061227"</f>
        <v>3061227</v>
      </c>
      <c r="B12275" t="s">
        <v>36899</v>
      </c>
      <c r="C12275" t="str">
        <f>"8310824"</f>
        <v>8310824</v>
      </c>
      <c r="D12275" t="s">
        <v>36900</v>
      </c>
      <c r="F12275" t="s">
        <v>36901</v>
      </c>
      <c r="I12275" t="s">
        <v>184</v>
      </c>
      <c r="J12275" t="s">
        <v>30</v>
      </c>
      <c r="K12275" t="s">
        <v>36414</v>
      </c>
      <c r="M12275" t="s">
        <v>17861</v>
      </c>
      <c r="N12275" t="str">
        <f>"1/8/2019 11:20:00 AM"</f>
        <v>1/8/2019 11:20:00 AM</v>
      </c>
      <c r="O12275" t="s">
        <v>36900</v>
      </c>
    </row>
    <row r="12276" spans="1:20" x14ac:dyDescent="0.25">
      <c r="A12276" t="str">
        <f>"3050360"</f>
        <v>3050360</v>
      </c>
      <c r="B12276" t="s">
        <v>36902</v>
      </c>
      <c r="C12276" t="str">
        <f>"8310827"</f>
        <v>8310827</v>
      </c>
      <c r="D12276" t="s">
        <v>36903</v>
      </c>
      <c r="F12276" t="s">
        <v>36904</v>
      </c>
      <c r="I12276" t="s">
        <v>29</v>
      </c>
      <c r="J12276" t="s">
        <v>30</v>
      </c>
      <c r="K12276" t="s">
        <v>25014</v>
      </c>
      <c r="M12276" t="s">
        <v>17861</v>
      </c>
      <c r="N12276" t="str">
        <f>"1/8/2019 11:39:00 AM"</f>
        <v>1/8/2019 11:39:00 AM</v>
      </c>
      <c r="O12276" t="s">
        <v>36903</v>
      </c>
    </row>
    <row r="12277" spans="1:20" x14ac:dyDescent="0.25">
      <c r="A12277" t="str">
        <f>"3058012"</f>
        <v>3058012</v>
      </c>
      <c r="B12277" t="s">
        <v>36905</v>
      </c>
      <c r="C12277" t="str">
        <f>"8310774"</f>
        <v>8310774</v>
      </c>
      <c r="D12277" t="s">
        <v>36906</v>
      </c>
      <c r="E12277" t="s">
        <v>36907</v>
      </c>
      <c r="F12277" t="s">
        <v>36908</v>
      </c>
      <c r="I12277" t="s">
        <v>29</v>
      </c>
      <c r="J12277" t="s">
        <v>30</v>
      </c>
      <c r="K12277" t="s">
        <v>36909</v>
      </c>
      <c r="M12277" t="s">
        <v>17861</v>
      </c>
      <c r="N12277" t="str">
        <f>"12/19/2018 10:10:00 AM"</f>
        <v>12/19/2018 10:10:00 AM</v>
      </c>
      <c r="O12277" t="s">
        <v>36906</v>
      </c>
      <c r="T12277" t="s">
        <v>36907</v>
      </c>
    </row>
    <row r="12278" spans="1:20" x14ac:dyDescent="0.25">
      <c r="A12278" t="str">
        <f>"3041698"</f>
        <v>3041698</v>
      </c>
      <c r="B12278" t="s">
        <v>36910</v>
      </c>
      <c r="C12278" t="str">
        <f>"82525169"</f>
        <v>82525169</v>
      </c>
      <c r="D12278" t="s">
        <v>36911</v>
      </c>
      <c r="F12278" t="s">
        <v>36912</v>
      </c>
      <c r="I12278" t="s">
        <v>2071</v>
      </c>
      <c r="J12278" t="s">
        <v>30</v>
      </c>
      <c r="K12278" t="str">
        <f>"27006"</f>
        <v>27006</v>
      </c>
      <c r="M12278" t="s">
        <v>25733</v>
      </c>
      <c r="N12278" t="str">
        <f>"12/19/2018 10:33:00 AM"</f>
        <v>12/19/2018 10:33:00 AM</v>
      </c>
      <c r="O12278" t="s">
        <v>36911</v>
      </c>
    </row>
    <row r="12279" spans="1:20" x14ac:dyDescent="0.25">
      <c r="A12279" t="str">
        <f>"3061301"</f>
        <v>3061301</v>
      </c>
      <c r="B12279" t="s">
        <v>36913</v>
      </c>
      <c r="C12279" t="str">
        <f>"8310775"</f>
        <v>8310775</v>
      </c>
      <c r="D12279" t="s">
        <v>36914</v>
      </c>
      <c r="E12279" t="s">
        <v>36915</v>
      </c>
      <c r="F12279" t="s">
        <v>36916</v>
      </c>
      <c r="I12279" t="s">
        <v>2071</v>
      </c>
      <c r="J12279" t="s">
        <v>30</v>
      </c>
      <c r="K12279" t="s">
        <v>36243</v>
      </c>
      <c r="M12279" t="s">
        <v>17861</v>
      </c>
      <c r="N12279" t="str">
        <f>"12/19/2018 10:36:00 AM"</f>
        <v>12/19/2018 10:36:00 AM</v>
      </c>
      <c r="O12279" t="s">
        <v>36914</v>
      </c>
      <c r="T12279" t="s">
        <v>36915</v>
      </c>
    </row>
    <row r="12280" spans="1:20" x14ac:dyDescent="0.25">
      <c r="A12280" t="str">
        <f>"3041686"</f>
        <v>3041686</v>
      </c>
      <c r="B12280" t="s">
        <v>36917</v>
      </c>
      <c r="C12280" t="str">
        <f>"8310776"</f>
        <v>8310776</v>
      </c>
      <c r="D12280" t="s">
        <v>36918</v>
      </c>
      <c r="E12280" t="s">
        <v>36919</v>
      </c>
      <c r="F12280" t="s">
        <v>36920</v>
      </c>
      <c r="I12280" t="s">
        <v>2071</v>
      </c>
      <c r="J12280" t="s">
        <v>30</v>
      </c>
      <c r="K12280" t="s">
        <v>36921</v>
      </c>
      <c r="M12280" t="s">
        <v>17861</v>
      </c>
      <c r="N12280" t="str">
        <f>"12/19/2018 10:55:00 AM"</f>
        <v>12/19/2018 10:55:00 AM</v>
      </c>
      <c r="O12280" t="s">
        <v>36918</v>
      </c>
      <c r="T12280" t="s">
        <v>36919</v>
      </c>
    </row>
    <row r="12281" spans="1:20" x14ac:dyDescent="0.25">
      <c r="A12281" t="str">
        <f>"3059332"</f>
        <v>3059332</v>
      </c>
      <c r="B12281" t="s">
        <v>36922</v>
      </c>
      <c r="C12281" t="str">
        <f>"82514399"</f>
        <v>82514399</v>
      </c>
      <c r="D12281" t="s">
        <v>29818</v>
      </c>
      <c r="E12281" t="s">
        <v>21406</v>
      </c>
      <c r="F12281" t="s">
        <v>21407</v>
      </c>
      <c r="I12281" t="s">
        <v>29</v>
      </c>
      <c r="J12281" t="s">
        <v>30</v>
      </c>
      <c r="K12281" t="s">
        <v>18006</v>
      </c>
      <c r="M12281" t="s">
        <v>18479</v>
      </c>
      <c r="N12281" t="str">
        <f>"12/28/2018 11:53:00 AM"</f>
        <v>12/28/2018 11:53:00 AM</v>
      </c>
      <c r="O12281" t="s">
        <v>29818</v>
      </c>
      <c r="T12281" t="s">
        <v>21406</v>
      </c>
    </row>
    <row r="12282" spans="1:20" x14ac:dyDescent="0.25">
      <c r="A12282" t="str">
        <f>"3048491"</f>
        <v>3048491</v>
      </c>
      <c r="B12282" t="s">
        <v>36923</v>
      </c>
      <c r="C12282" t="str">
        <f>"82514399"</f>
        <v>82514399</v>
      </c>
      <c r="D12282" t="s">
        <v>29818</v>
      </c>
      <c r="E12282" t="s">
        <v>21406</v>
      </c>
      <c r="F12282" t="s">
        <v>21407</v>
      </c>
      <c r="I12282" t="s">
        <v>29</v>
      </c>
      <c r="J12282" t="s">
        <v>30</v>
      </c>
      <c r="K12282" t="s">
        <v>18006</v>
      </c>
      <c r="M12282" t="s">
        <v>18479</v>
      </c>
      <c r="N12282" t="str">
        <f>"12/28/2018 11:53:00 AM"</f>
        <v>12/28/2018 11:53:00 AM</v>
      </c>
      <c r="O12282" t="s">
        <v>29818</v>
      </c>
      <c r="T12282" t="s">
        <v>21406</v>
      </c>
    </row>
    <row r="12283" spans="1:20" x14ac:dyDescent="0.25">
      <c r="A12283" t="str">
        <f>"3044100"</f>
        <v>3044100</v>
      </c>
      <c r="B12283" t="s">
        <v>36924</v>
      </c>
      <c r="C12283" t="str">
        <f>"8310780"</f>
        <v>8310780</v>
      </c>
      <c r="D12283" t="s">
        <v>36925</v>
      </c>
      <c r="F12283" t="s">
        <v>36926</v>
      </c>
      <c r="I12283" t="s">
        <v>184</v>
      </c>
      <c r="J12283" t="s">
        <v>30</v>
      </c>
      <c r="K12283" t="s">
        <v>36927</v>
      </c>
      <c r="M12283" t="s">
        <v>17861</v>
      </c>
      <c r="N12283" t="str">
        <f>"12/19/2018 11:26:00 AM"</f>
        <v>12/19/2018 11:26:00 AM</v>
      </c>
      <c r="O12283" t="s">
        <v>36925</v>
      </c>
    </row>
    <row r="12284" spans="1:20" x14ac:dyDescent="0.25">
      <c r="A12284" t="str">
        <f>"3049925"</f>
        <v>3049925</v>
      </c>
      <c r="B12284" t="s">
        <v>36928</v>
      </c>
      <c r="C12284" t="str">
        <f>"8310805"</f>
        <v>8310805</v>
      </c>
      <c r="D12284" t="s">
        <v>36929</v>
      </c>
      <c r="F12284" t="s">
        <v>36930</v>
      </c>
      <c r="I12284" t="s">
        <v>29</v>
      </c>
      <c r="J12284" t="s">
        <v>30</v>
      </c>
      <c r="K12284" t="s">
        <v>18521</v>
      </c>
      <c r="M12284" t="s">
        <v>17861</v>
      </c>
      <c r="N12284" t="str">
        <f>"12/31/2018 12:29:00 PM"</f>
        <v>12/31/2018 12:29:00 PM</v>
      </c>
      <c r="O12284" t="s">
        <v>36929</v>
      </c>
    </row>
    <row r="12285" spans="1:20" x14ac:dyDescent="0.25">
      <c r="A12285" t="str">
        <f>"3048262"</f>
        <v>3048262</v>
      </c>
      <c r="B12285" t="s">
        <v>36931</v>
      </c>
      <c r="C12285" t="str">
        <f>"42797000"</f>
        <v>42797000</v>
      </c>
      <c r="D12285" t="s">
        <v>36932</v>
      </c>
      <c r="E12285" t="s">
        <v>36933</v>
      </c>
      <c r="F12285" t="s">
        <v>36934</v>
      </c>
      <c r="I12285" t="s">
        <v>29</v>
      </c>
      <c r="J12285" t="s">
        <v>30</v>
      </c>
      <c r="K12285" t="s">
        <v>31</v>
      </c>
      <c r="M12285" t="s">
        <v>36935</v>
      </c>
      <c r="N12285" t="str">
        <f>"1/2/2019 9:04:00 AM"</f>
        <v>1/2/2019 9:04:00 AM</v>
      </c>
      <c r="O12285" t="s">
        <v>36932</v>
      </c>
      <c r="T12285" t="s">
        <v>36933</v>
      </c>
    </row>
    <row r="12286" spans="1:20" x14ac:dyDescent="0.25">
      <c r="A12286" t="str">
        <f>"3061907"</f>
        <v>3061907</v>
      </c>
      <c r="B12286" t="s">
        <v>36936</v>
      </c>
      <c r="C12286" t="str">
        <f>"8305281"</f>
        <v>8305281</v>
      </c>
      <c r="D12286" t="s">
        <v>36937</v>
      </c>
      <c r="F12286" t="s">
        <v>36938</v>
      </c>
      <c r="I12286" t="s">
        <v>29</v>
      </c>
      <c r="J12286" t="s">
        <v>30</v>
      </c>
      <c r="K12286" t="str">
        <f>"27028"</f>
        <v>27028</v>
      </c>
      <c r="M12286" t="s">
        <v>33845</v>
      </c>
      <c r="N12286" t="str">
        <f>"1/10/2019 10:17:00 AM"</f>
        <v>1/10/2019 10:17:00 AM</v>
      </c>
      <c r="O12286" t="s">
        <v>36937</v>
      </c>
    </row>
    <row r="12287" spans="1:20" x14ac:dyDescent="0.25">
      <c r="A12287" t="str">
        <f>"3043719"</f>
        <v>3043719</v>
      </c>
      <c r="B12287" t="s">
        <v>36939</v>
      </c>
      <c r="C12287" t="str">
        <f>"49712000"</f>
        <v>49712000</v>
      </c>
      <c r="D12287" t="s">
        <v>36190</v>
      </c>
      <c r="F12287" t="s">
        <v>36191</v>
      </c>
      <c r="I12287" t="s">
        <v>184</v>
      </c>
      <c r="J12287" t="s">
        <v>30</v>
      </c>
      <c r="K12287" t="s">
        <v>6342</v>
      </c>
      <c r="M12287" t="s">
        <v>17861</v>
      </c>
      <c r="N12287" t="str">
        <f>"1/10/2019 10:41:00 AM"</f>
        <v>1/10/2019 10:41:00 AM</v>
      </c>
      <c r="O12287" t="s">
        <v>36190</v>
      </c>
    </row>
    <row r="12288" spans="1:20" x14ac:dyDescent="0.25">
      <c r="A12288" t="str">
        <f>"3075844"</f>
        <v>3075844</v>
      </c>
      <c r="B12288" t="s">
        <v>36940</v>
      </c>
      <c r="C12288" t="str">
        <f>"8310808"</f>
        <v>8310808</v>
      </c>
      <c r="D12288" t="s">
        <v>36941</v>
      </c>
      <c r="F12288" t="s">
        <v>31623</v>
      </c>
      <c r="I12288" t="s">
        <v>2589</v>
      </c>
      <c r="J12288" t="s">
        <v>30</v>
      </c>
      <c r="K12288" t="s">
        <v>36942</v>
      </c>
      <c r="M12288" t="s">
        <v>17861</v>
      </c>
      <c r="N12288" t="str">
        <f>"1/2/2019 9:18:00 AM"</f>
        <v>1/2/2019 9:18:00 AM</v>
      </c>
      <c r="O12288" t="s">
        <v>36941</v>
      </c>
    </row>
    <row r="12289" spans="1:20" x14ac:dyDescent="0.25">
      <c r="A12289" t="str">
        <f>"3037458"</f>
        <v>3037458</v>
      </c>
      <c r="B12289" t="s">
        <v>36943</v>
      </c>
      <c r="C12289" t="str">
        <f>"33636000"</f>
        <v>33636000</v>
      </c>
      <c r="D12289" t="s">
        <v>36944</v>
      </c>
      <c r="F12289" t="str">
        <f>"C/O NORMAN HAWKINS"</f>
        <v>C/O NORMAN HAWKINS</v>
      </c>
      <c r="G12289" t="s">
        <v>36839</v>
      </c>
      <c r="I12289" t="s">
        <v>471</v>
      </c>
      <c r="J12289" t="s">
        <v>30</v>
      </c>
      <c r="K12289" t="s">
        <v>3169</v>
      </c>
      <c r="M12289" t="s">
        <v>34670</v>
      </c>
      <c r="N12289" t="str">
        <f>"1/2/2019 11:19:00 AM"</f>
        <v>1/2/2019 11:19:00 AM</v>
      </c>
      <c r="O12289" t="s">
        <v>36944</v>
      </c>
    </row>
    <row r="12290" spans="1:20" x14ac:dyDescent="0.25">
      <c r="A12290" t="str">
        <f>"3037459"</f>
        <v>3037459</v>
      </c>
      <c r="B12290" t="s">
        <v>36945</v>
      </c>
      <c r="C12290" t="str">
        <f>"33636000"</f>
        <v>33636000</v>
      </c>
      <c r="D12290" t="s">
        <v>36944</v>
      </c>
      <c r="F12290" t="str">
        <f>"C/O NORMAN HAWKINS"</f>
        <v>C/O NORMAN HAWKINS</v>
      </c>
      <c r="G12290" t="s">
        <v>36839</v>
      </c>
      <c r="I12290" t="s">
        <v>471</v>
      </c>
      <c r="J12290" t="s">
        <v>30</v>
      </c>
      <c r="K12290" t="s">
        <v>3169</v>
      </c>
      <c r="M12290" t="s">
        <v>34670</v>
      </c>
      <c r="N12290" t="str">
        <f>"1/2/2019 11:19:00 AM"</f>
        <v>1/2/2019 11:19:00 AM</v>
      </c>
      <c r="O12290" t="s">
        <v>36944</v>
      </c>
    </row>
    <row r="12291" spans="1:20" x14ac:dyDescent="0.25">
      <c r="A12291" t="str">
        <f>"3050461"</f>
        <v>3050461</v>
      </c>
      <c r="B12291" t="s">
        <v>36946</v>
      </c>
      <c r="C12291" t="str">
        <f>"8302266"</f>
        <v>8302266</v>
      </c>
      <c r="D12291" t="s">
        <v>36947</v>
      </c>
      <c r="F12291" t="s">
        <v>36948</v>
      </c>
      <c r="I12291" t="s">
        <v>184</v>
      </c>
      <c r="J12291" t="s">
        <v>30</v>
      </c>
      <c r="K12291" t="s">
        <v>18622</v>
      </c>
      <c r="M12291" t="s">
        <v>34670</v>
      </c>
      <c r="N12291" t="str">
        <f>"1/3/2019 11:39:00 AM"</f>
        <v>1/3/2019 11:39:00 AM</v>
      </c>
      <c r="O12291" t="s">
        <v>36947</v>
      </c>
    </row>
    <row r="12292" spans="1:20" x14ac:dyDescent="0.25">
      <c r="A12292" t="str">
        <f>"3048065"</f>
        <v>3048065</v>
      </c>
      <c r="B12292" t="s">
        <v>36949</v>
      </c>
      <c r="C12292" t="str">
        <f>"82518314"</f>
        <v>82518314</v>
      </c>
      <c r="D12292" t="s">
        <v>36950</v>
      </c>
      <c r="E12292" t="s">
        <v>36951</v>
      </c>
      <c r="F12292" t="s">
        <v>36952</v>
      </c>
      <c r="I12292" t="s">
        <v>184</v>
      </c>
      <c r="J12292" t="s">
        <v>30</v>
      </c>
      <c r="K12292" t="s">
        <v>185</v>
      </c>
      <c r="M12292" t="s">
        <v>25625</v>
      </c>
      <c r="N12292" t="str">
        <f>"1/10/2019 2:17:00 PM"</f>
        <v>1/10/2019 2:17:00 PM</v>
      </c>
      <c r="O12292" t="s">
        <v>36950</v>
      </c>
      <c r="T12292" t="s">
        <v>36951</v>
      </c>
    </row>
    <row r="12293" spans="1:20" x14ac:dyDescent="0.25">
      <c r="A12293" t="str">
        <f>"3047885"</f>
        <v>3047885</v>
      </c>
      <c r="B12293" t="s">
        <v>36953</v>
      </c>
      <c r="C12293" t="str">
        <f>"82518314"</f>
        <v>82518314</v>
      </c>
      <c r="D12293" t="s">
        <v>36950</v>
      </c>
      <c r="E12293" t="s">
        <v>36951</v>
      </c>
      <c r="F12293" t="s">
        <v>36952</v>
      </c>
      <c r="I12293" t="s">
        <v>184</v>
      </c>
      <c r="J12293" t="s">
        <v>30</v>
      </c>
      <c r="K12293" t="s">
        <v>185</v>
      </c>
      <c r="M12293" t="s">
        <v>25625</v>
      </c>
      <c r="N12293" t="str">
        <f>"1/10/2019 2:17:00 PM"</f>
        <v>1/10/2019 2:17:00 PM</v>
      </c>
      <c r="O12293" t="s">
        <v>36950</v>
      </c>
      <c r="T12293" t="s">
        <v>36951</v>
      </c>
    </row>
    <row r="12294" spans="1:20" x14ac:dyDescent="0.25">
      <c r="A12294" t="str">
        <f>"3052565"</f>
        <v>3052565</v>
      </c>
      <c r="B12294" t="s">
        <v>36954</v>
      </c>
      <c r="C12294" t="str">
        <f>"53754000"</f>
        <v>53754000</v>
      </c>
      <c r="D12294" t="s">
        <v>36955</v>
      </c>
      <c r="F12294" t="s">
        <v>36956</v>
      </c>
      <c r="I12294" t="s">
        <v>29</v>
      </c>
      <c r="J12294" t="s">
        <v>30</v>
      </c>
      <c r="K12294" t="s">
        <v>31</v>
      </c>
      <c r="M12294" t="s">
        <v>33845</v>
      </c>
      <c r="N12294" t="str">
        <f>"1/10/2019 2:28:00 PM"</f>
        <v>1/10/2019 2:28:00 PM</v>
      </c>
      <c r="O12294" t="s">
        <v>36955</v>
      </c>
    </row>
    <row r="12295" spans="1:20" x14ac:dyDescent="0.25">
      <c r="A12295" t="str">
        <f>"3053548"</f>
        <v>3053548</v>
      </c>
      <c r="B12295" t="s">
        <v>36957</v>
      </c>
      <c r="C12295" t="str">
        <f>"82520342"</f>
        <v>82520342</v>
      </c>
      <c r="D12295" t="s">
        <v>36958</v>
      </c>
      <c r="F12295" t="s">
        <v>36959</v>
      </c>
      <c r="I12295" t="s">
        <v>29</v>
      </c>
      <c r="J12295" t="s">
        <v>30</v>
      </c>
      <c r="K12295" t="s">
        <v>31</v>
      </c>
      <c r="M12295" t="s">
        <v>34670</v>
      </c>
      <c r="N12295" t="str">
        <f>"1/4/2019 12:04:00 PM"</f>
        <v>1/4/2019 12:04:00 PM</v>
      </c>
      <c r="O12295" t="s">
        <v>36958</v>
      </c>
    </row>
    <row r="12296" spans="1:20" x14ac:dyDescent="0.25">
      <c r="A12296" t="str">
        <f>"3050023"</f>
        <v>3050023</v>
      </c>
      <c r="B12296" t="s">
        <v>36960</v>
      </c>
      <c r="C12296" t="str">
        <f>"64996000"</f>
        <v>64996000</v>
      </c>
      <c r="D12296" t="s">
        <v>36961</v>
      </c>
      <c r="E12296" t="s">
        <v>36962</v>
      </c>
      <c r="F12296" t="s">
        <v>8565</v>
      </c>
      <c r="I12296" t="s">
        <v>29</v>
      </c>
      <c r="J12296" t="s">
        <v>30</v>
      </c>
      <c r="K12296" t="s">
        <v>31</v>
      </c>
      <c r="M12296" t="s">
        <v>25733</v>
      </c>
      <c r="N12296" t="str">
        <f>"1/11/2019 9:13:00 AM"</f>
        <v>1/11/2019 9:13:00 AM</v>
      </c>
      <c r="O12296" t="s">
        <v>36961</v>
      </c>
      <c r="T12296" t="s">
        <v>36962</v>
      </c>
    </row>
    <row r="12297" spans="1:20" x14ac:dyDescent="0.25">
      <c r="A12297" t="str">
        <f>"3049653"</f>
        <v>3049653</v>
      </c>
      <c r="B12297" t="s">
        <v>36963</v>
      </c>
      <c r="C12297" t="str">
        <f>"64996000"</f>
        <v>64996000</v>
      </c>
      <c r="D12297" t="s">
        <v>36961</v>
      </c>
      <c r="E12297" t="s">
        <v>36962</v>
      </c>
      <c r="F12297" t="s">
        <v>8565</v>
      </c>
      <c r="I12297" t="s">
        <v>29</v>
      </c>
      <c r="J12297" t="s">
        <v>30</v>
      </c>
      <c r="K12297" t="s">
        <v>31</v>
      </c>
      <c r="M12297" t="s">
        <v>25733</v>
      </c>
      <c r="N12297" t="str">
        <f>"1/11/2019 9:13:00 AM"</f>
        <v>1/11/2019 9:13:00 AM</v>
      </c>
      <c r="O12297" t="s">
        <v>36961</v>
      </c>
      <c r="T12297" t="s">
        <v>36962</v>
      </c>
    </row>
    <row r="12298" spans="1:20" x14ac:dyDescent="0.25">
      <c r="A12298" t="str">
        <f>"3049379"</f>
        <v>3049379</v>
      </c>
      <c r="B12298" t="s">
        <v>36964</v>
      </c>
      <c r="C12298" t="str">
        <f>"82527892"</f>
        <v>82527892</v>
      </c>
      <c r="D12298" t="s">
        <v>8798</v>
      </c>
      <c r="F12298" t="s">
        <v>8799</v>
      </c>
      <c r="I12298" t="s">
        <v>184</v>
      </c>
      <c r="J12298" t="s">
        <v>30</v>
      </c>
      <c r="K12298" t="s">
        <v>185</v>
      </c>
      <c r="M12298" t="s">
        <v>32801</v>
      </c>
      <c r="N12298" t="str">
        <f>"1/11/2019 9:35:00 AM"</f>
        <v>1/11/2019 9:35:00 AM</v>
      </c>
      <c r="O12298" t="s">
        <v>8798</v>
      </c>
    </row>
    <row r="12299" spans="1:20" x14ac:dyDescent="0.25">
      <c r="A12299" t="str">
        <f>"3042792"</f>
        <v>3042792</v>
      </c>
      <c r="B12299" t="s">
        <v>36965</v>
      </c>
      <c r="C12299" t="str">
        <f>"8303416"</f>
        <v>8303416</v>
      </c>
      <c r="D12299" t="s">
        <v>36966</v>
      </c>
      <c r="E12299" t="s">
        <v>36967</v>
      </c>
      <c r="F12299" t="s">
        <v>36968</v>
      </c>
      <c r="I12299" t="s">
        <v>29</v>
      </c>
      <c r="J12299" t="s">
        <v>30</v>
      </c>
      <c r="K12299" t="s">
        <v>36969</v>
      </c>
      <c r="M12299" t="s">
        <v>33845</v>
      </c>
      <c r="N12299" t="str">
        <f>"1/11/2019 9:51:00 AM"</f>
        <v>1/11/2019 9:51:00 AM</v>
      </c>
      <c r="O12299" t="s">
        <v>36966</v>
      </c>
      <c r="T12299" t="s">
        <v>36967</v>
      </c>
    </row>
    <row r="12300" spans="1:20" x14ac:dyDescent="0.25">
      <c r="A12300" t="str">
        <f>"3042733"</f>
        <v>3042733</v>
      </c>
      <c r="B12300" t="s">
        <v>36970</v>
      </c>
      <c r="C12300" t="str">
        <f>"8303416"</f>
        <v>8303416</v>
      </c>
      <c r="D12300" t="s">
        <v>36966</v>
      </c>
      <c r="E12300" t="s">
        <v>36967</v>
      </c>
      <c r="F12300" t="s">
        <v>36968</v>
      </c>
      <c r="I12300" t="s">
        <v>29</v>
      </c>
      <c r="J12300" t="s">
        <v>30</v>
      </c>
      <c r="K12300" t="s">
        <v>36969</v>
      </c>
      <c r="M12300" t="s">
        <v>33845</v>
      </c>
      <c r="N12300" t="str">
        <f>"1/11/2019 9:51:00 AM"</f>
        <v>1/11/2019 9:51:00 AM</v>
      </c>
      <c r="O12300" t="s">
        <v>36966</v>
      </c>
      <c r="T12300" t="s">
        <v>36967</v>
      </c>
    </row>
    <row r="12301" spans="1:20" x14ac:dyDescent="0.25">
      <c r="A12301" t="str">
        <f>"3050908"</f>
        <v>3050908</v>
      </c>
      <c r="B12301" t="s">
        <v>36971</v>
      </c>
      <c r="C12301" t="str">
        <f>"8310858"</f>
        <v>8310858</v>
      </c>
      <c r="D12301" t="s">
        <v>36972</v>
      </c>
      <c r="E12301" t="s">
        <v>36973</v>
      </c>
      <c r="F12301" t="s">
        <v>36974</v>
      </c>
      <c r="I12301" t="s">
        <v>184</v>
      </c>
      <c r="J12301" t="s">
        <v>30</v>
      </c>
      <c r="K12301" t="s">
        <v>12585</v>
      </c>
      <c r="M12301" t="s">
        <v>17861</v>
      </c>
      <c r="N12301" t="str">
        <f>"1/11/2019 12:25:00 PM"</f>
        <v>1/11/2019 12:25:00 PM</v>
      </c>
      <c r="O12301" t="s">
        <v>36972</v>
      </c>
      <c r="T12301" t="s">
        <v>36973</v>
      </c>
    </row>
    <row r="12302" spans="1:20" x14ac:dyDescent="0.25">
      <c r="A12302" t="str">
        <f>"3038301"</f>
        <v>3038301</v>
      </c>
      <c r="B12302" t="s">
        <v>36975</v>
      </c>
      <c r="C12302" t="str">
        <f>"35906560"</f>
        <v>35906560</v>
      </c>
      <c r="D12302" t="s">
        <v>36976</v>
      </c>
      <c r="F12302" t="str">
        <f>"C/O MARY HINES DIXON"</f>
        <v>C/O MARY HINES DIXON</v>
      </c>
      <c r="G12302" t="s">
        <v>36977</v>
      </c>
      <c r="I12302" t="s">
        <v>29</v>
      </c>
      <c r="J12302" t="s">
        <v>30</v>
      </c>
      <c r="K12302" t="s">
        <v>31</v>
      </c>
      <c r="M12302" t="s">
        <v>25733</v>
      </c>
      <c r="N12302" t="str">
        <f>"1/4/2019 4:46:00 PM"</f>
        <v>1/4/2019 4:46:00 PM</v>
      </c>
      <c r="O12302" t="s">
        <v>36976</v>
      </c>
    </row>
    <row r="12303" spans="1:20" x14ac:dyDescent="0.25">
      <c r="A12303" t="str">
        <f>"3053995"</f>
        <v>3053995</v>
      </c>
      <c r="B12303" t="s">
        <v>36978</v>
      </c>
      <c r="C12303" t="str">
        <f>"49052000"</f>
        <v>49052000</v>
      </c>
      <c r="D12303" t="s">
        <v>36979</v>
      </c>
      <c r="E12303" t="s">
        <v>36980</v>
      </c>
      <c r="F12303" t="s">
        <v>36981</v>
      </c>
      <c r="I12303" t="s">
        <v>29</v>
      </c>
      <c r="J12303" t="s">
        <v>30</v>
      </c>
      <c r="K12303" t="s">
        <v>36982</v>
      </c>
      <c r="M12303" t="s">
        <v>18479</v>
      </c>
      <c r="N12303" t="str">
        <f>"1/7/2019 11:12:00 AM"</f>
        <v>1/7/2019 11:12:00 AM</v>
      </c>
      <c r="O12303" t="s">
        <v>36979</v>
      </c>
      <c r="T12303" t="s">
        <v>36980</v>
      </c>
    </row>
    <row r="12304" spans="1:20" x14ac:dyDescent="0.25">
      <c r="A12304" t="str">
        <f>"3054246"</f>
        <v>3054246</v>
      </c>
      <c r="B12304" t="s">
        <v>36983</v>
      </c>
      <c r="C12304" t="str">
        <f>"49052000"</f>
        <v>49052000</v>
      </c>
      <c r="D12304" t="s">
        <v>36979</v>
      </c>
      <c r="E12304" t="s">
        <v>36980</v>
      </c>
      <c r="F12304" t="s">
        <v>36981</v>
      </c>
      <c r="I12304" t="s">
        <v>29</v>
      </c>
      <c r="J12304" t="s">
        <v>30</v>
      </c>
      <c r="K12304" t="s">
        <v>36982</v>
      </c>
      <c r="M12304" t="s">
        <v>18479</v>
      </c>
      <c r="N12304" t="str">
        <f>"1/7/2019 11:12:00 AM"</f>
        <v>1/7/2019 11:12:00 AM</v>
      </c>
      <c r="O12304" t="s">
        <v>36979</v>
      </c>
      <c r="T12304" t="s">
        <v>36980</v>
      </c>
    </row>
    <row r="12305" spans="1:20" x14ac:dyDescent="0.25">
      <c r="A12305" t="str">
        <f>"3054468"</f>
        <v>3054468</v>
      </c>
      <c r="B12305" t="s">
        <v>36984</v>
      </c>
      <c r="C12305" t="str">
        <f>"49052000"</f>
        <v>49052000</v>
      </c>
      <c r="D12305" t="s">
        <v>36979</v>
      </c>
      <c r="E12305" t="s">
        <v>36980</v>
      </c>
      <c r="F12305" t="s">
        <v>36981</v>
      </c>
      <c r="I12305" t="s">
        <v>29</v>
      </c>
      <c r="J12305" t="s">
        <v>30</v>
      </c>
      <c r="K12305" t="s">
        <v>36982</v>
      </c>
      <c r="M12305" t="s">
        <v>18479</v>
      </c>
      <c r="N12305" t="str">
        <f>"1/7/2019 11:12:00 AM"</f>
        <v>1/7/2019 11:12:00 AM</v>
      </c>
      <c r="O12305" t="s">
        <v>36979</v>
      </c>
      <c r="T12305" t="s">
        <v>36980</v>
      </c>
    </row>
    <row r="12306" spans="1:20" x14ac:dyDescent="0.25">
      <c r="A12306" t="str">
        <f>"3053193"</f>
        <v>3053193</v>
      </c>
      <c r="B12306" t="s">
        <v>36985</v>
      </c>
      <c r="C12306" t="str">
        <f>"8310819"</f>
        <v>8310819</v>
      </c>
      <c r="D12306" t="s">
        <v>13938</v>
      </c>
      <c r="E12306" t="s">
        <v>11197</v>
      </c>
      <c r="F12306" t="s">
        <v>36986</v>
      </c>
      <c r="I12306" t="s">
        <v>29</v>
      </c>
      <c r="J12306" t="s">
        <v>30</v>
      </c>
      <c r="K12306" t="s">
        <v>11199</v>
      </c>
      <c r="M12306" t="s">
        <v>17861</v>
      </c>
      <c r="N12306" t="str">
        <f>"1/7/2019 4:28:00 PM"</f>
        <v>1/7/2019 4:28:00 PM</v>
      </c>
      <c r="O12306" t="s">
        <v>13938</v>
      </c>
      <c r="T12306" t="s">
        <v>11197</v>
      </c>
    </row>
    <row r="12307" spans="1:20" x14ac:dyDescent="0.25">
      <c r="A12307" t="str">
        <f>"3057343"</f>
        <v>3057343</v>
      </c>
      <c r="B12307" t="s">
        <v>36987</v>
      </c>
      <c r="C12307" t="str">
        <f>"82527561"</f>
        <v>82527561</v>
      </c>
      <c r="D12307" t="s">
        <v>36988</v>
      </c>
      <c r="F12307" t="s">
        <v>13294</v>
      </c>
      <c r="I12307" t="s">
        <v>29</v>
      </c>
      <c r="J12307" t="s">
        <v>30</v>
      </c>
      <c r="K12307" t="s">
        <v>31</v>
      </c>
      <c r="M12307" t="s">
        <v>33845</v>
      </c>
      <c r="N12307" t="str">
        <f>"1/11/2019 3:24:00 PM"</f>
        <v>1/11/2019 3:24:00 PM</v>
      </c>
      <c r="O12307" t="s">
        <v>36988</v>
      </c>
    </row>
    <row r="12308" spans="1:20" x14ac:dyDescent="0.25">
      <c r="A12308" t="str">
        <f>"3058400"</f>
        <v>3058400</v>
      </c>
      <c r="B12308" t="s">
        <v>36989</v>
      </c>
      <c r="C12308" t="str">
        <f>"82527561"</f>
        <v>82527561</v>
      </c>
      <c r="D12308" t="s">
        <v>36988</v>
      </c>
      <c r="F12308" t="s">
        <v>13294</v>
      </c>
      <c r="I12308" t="s">
        <v>29</v>
      </c>
      <c r="J12308" t="s">
        <v>30</v>
      </c>
      <c r="K12308" t="s">
        <v>31</v>
      </c>
      <c r="M12308" t="s">
        <v>33845</v>
      </c>
      <c r="N12308" t="str">
        <f>"1/11/2019 3:24:00 PM"</f>
        <v>1/11/2019 3:24:00 PM</v>
      </c>
      <c r="O12308" t="s">
        <v>36988</v>
      </c>
    </row>
    <row r="12309" spans="1:20" x14ac:dyDescent="0.25">
      <c r="A12309" t="str">
        <f>"3059617"</f>
        <v>3059617</v>
      </c>
      <c r="B12309" t="s">
        <v>36990</v>
      </c>
      <c r="C12309" t="str">
        <f>"82527561"</f>
        <v>82527561</v>
      </c>
      <c r="D12309" t="s">
        <v>36988</v>
      </c>
      <c r="F12309" t="s">
        <v>13294</v>
      </c>
      <c r="I12309" t="s">
        <v>29</v>
      </c>
      <c r="J12309" t="s">
        <v>30</v>
      </c>
      <c r="K12309" t="s">
        <v>31</v>
      </c>
      <c r="M12309" t="s">
        <v>33845</v>
      </c>
      <c r="N12309" t="str">
        <f>"1/11/2019 3:24:00 PM"</f>
        <v>1/11/2019 3:24:00 PM</v>
      </c>
      <c r="O12309" t="s">
        <v>36988</v>
      </c>
    </row>
    <row r="12310" spans="1:20" x14ac:dyDescent="0.25">
      <c r="A12310" t="str">
        <f>"3059506"</f>
        <v>3059506</v>
      </c>
      <c r="B12310" t="s">
        <v>36991</v>
      </c>
      <c r="C12310" t="str">
        <f>"82527561"</f>
        <v>82527561</v>
      </c>
      <c r="D12310" t="s">
        <v>36988</v>
      </c>
      <c r="F12310" t="s">
        <v>13294</v>
      </c>
      <c r="I12310" t="s">
        <v>29</v>
      </c>
      <c r="J12310" t="s">
        <v>30</v>
      </c>
      <c r="K12310" t="s">
        <v>31</v>
      </c>
      <c r="M12310" t="s">
        <v>33845</v>
      </c>
      <c r="N12310" t="str">
        <f>"1/11/2019 3:24:00 PM"</f>
        <v>1/11/2019 3:24:00 PM</v>
      </c>
      <c r="O12310" t="s">
        <v>36988</v>
      </c>
    </row>
    <row r="12311" spans="1:20" x14ac:dyDescent="0.25">
      <c r="A12311" t="str">
        <f>"3053173"</f>
        <v>3053173</v>
      </c>
      <c r="B12311" t="s">
        <v>36992</v>
      </c>
      <c r="C12311" t="str">
        <f>"8310822"</f>
        <v>8310822</v>
      </c>
      <c r="D12311" t="s">
        <v>36993</v>
      </c>
      <c r="F12311" t="s">
        <v>36994</v>
      </c>
      <c r="I12311" t="s">
        <v>29</v>
      </c>
      <c r="J12311" t="s">
        <v>30</v>
      </c>
      <c r="K12311" t="s">
        <v>34021</v>
      </c>
      <c r="M12311" t="s">
        <v>17861</v>
      </c>
      <c r="N12311" t="str">
        <f>"1/8/2019 10:54:00 AM"</f>
        <v>1/8/2019 10:54:00 AM</v>
      </c>
      <c r="O12311" t="s">
        <v>36993</v>
      </c>
    </row>
    <row r="12312" spans="1:20" x14ac:dyDescent="0.25">
      <c r="A12312" t="str">
        <f>"3057618"</f>
        <v>3057618</v>
      </c>
      <c r="B12312" t="s">
        <v>36995</v>
      </c>
      <c r="C12312" t="str">
        <f>"8310835"</f>
        <v>8310835</v>
      </c>
      <c r="D12312" t="s">
        <v>36996</v>
      </c>
      <c r="E12312" t="str">
        <f>"TROYER ABE A/MATTIE R"</f>
        <v>TROYER ABE A/MATTIE R</v>
      </c>
      <c r="F12312" t="s">
        <v>36997</v>
      </c>
      <c r="I12312" t="s">
        <v>1176</v>
      </c>
      <c r="J12312" t="s">
        <v>30</v>
      </c>
      <c r="K12312" t="s">
        <v>36998</v>
      </c>
      <c r="M12312" t="s">
        <v>17861</v>
      </c>
      <c r="N12312" t="str">
        <f>"1/8/2019 2:45:00 PM"</f>
        <v>1/8/2019 2:45:00 PM</v>
      </c>
      <c r="O12312" t="s">
        <v>36996</v>
      </c>
      <c r="T12312" t="str">
        <f>"TROYER ABE A/MATTIE R"</f>
        <v>TROYER ABE A/MATTIE R</v>
      </c>
    </row>
    <row r="12313" spans="1:20" x14ac:dyDescent="0.25">
      <c r="A12313" t="str">
        <f>"3058839"</f>
        <v>3058839</v>
      </c>
      <c r="B12313" t="s">
        <v>36999</v>
      </c>
      <c r="C12313" t="str">
        <f>"8310841"</f>
        <v>8310841</v>
      </c>
      <c r="D12313" t="s">
        <v>37000</v>
      </c>
      <c r="F12313" t="s">
        <v>37001</v>
      </c>
      <c r="I12313" t="s">
        <v>184</v>
      </c>
      <c r="J12313" t="s">
        <v>30</v>
      </c>
      <c r="K12313" t="s">
        <v>34736</v>
      </c>
      <c r="M12313" t="s">
        <v>17861</v>
      </c>
      <c r="N12313" t="str">
        <f>"1/8/2019 3:20:00 PM"</f>
        <v>1/8/2019 3:20:00 PM</v>
      </c>
      <c r="O12313" t="s">
        <v>37000</v>
      </c>
    </row>
    <row r="12314" spans="1:20" x14ac:dyDescent="0.25">
      <c r="A12314" t="str">
        <f>"3037189"</f>
        <v>3037189</v>
      </c>
      <c r="B12314" t="s">
        <v>37002</v>
      </c>
      <c r="C12314" t="str">
        <f>"8307233"</f>
        <v>8307233</v>
      </c>
      <c r="D12314" t="s">
        <v>37003</v>
      </c>
      <c r="E12314" t="s">
        <v>37004</v>
      </c>
      <c r="F12314" t="s">
        <v>37005</v>
      </c>
      <c r="I12314" t="s">
        <v>402</v>
      </c>
      <c r="J12314" t="s">
        <v>30</v>
      </c>
      <c r="K12314" t="s">
        <v>37006</v>
      </c>
      <c r="M12314" t="s">
        <v>18479</v>
      </c>
      <c r="N12314" t="str">
        <f>"1/8/2019 3:25:00 PM"</f>
        <v>1/8/2019 3:25:00 PM</v>
      </c>
      <c r="O12314" t="s">
        <v>37003</v>
      </c>
      <c r="T12314" t="s">
        <v>37004</v>
      </c>
    </row>
    <row r="12315" spans="1:20" x14ac:dyDescent="0.25">
      <c r="A12315" t="str">
        <f>"3041535"</f>
        <v>3041535</v>
      </c>
      <c r="B12315" t="s">
        <v>37007</v>
      </c>
      <c r="C12315" t="str">
        <f>"8310845"</f>
        <v>8310845</v>
      </c>
      <c r="D12315" t="s">
        <v>37008</v>
      </c>
      <c r="E12315" t="s">
        <v>37009</v>
      </c>
      <c r="F12315" t="s">
        <v>37010</v>
      </c>
      <c r="I12315" t="s">
        <v>184</v>
      </c>
      <c r="J12315" t="s">
        <v>30</v>
      </c>
      <c r="K12315" t="s">
        <v>2076</v>
      </c>
      <c r="M12315" t="s">
        <v>17861</v>
      </c>
      <c r="N12315" t="str">
        <f>"1/8/2019 3:42:00 PM"</f>
        <v>1/8/2019 3:42:00 PM</v>
      </c>
      <c r="O12315" t="s">
        <v>37008</v>
      </c>
      <c r="T12315" t="s">
        <v>37009</v>
      </c>
    </row>
    <row r="12316" spans="1:20" x14ac:dyDescent="0.25">
      <c r="A12316" t="str">
        <f>"3046120"</f>
        <v>3046120</v>
      </c>
      <c r="B12316" t="s">
        <v>37011</v>
      </c>
      <c r="C12316" t="str">
        <f>"8307848"</f>
        <v>8307848</v>
      </c>
      <c r="D12316" t="s">
        <v>37012</v>
      </c>
      <c r="E12316" t="s">
        <v>37013</v>
      </c>
      <c r="F12316" t="s">
        <v>37014</v>
      </c>
      <c r="I12316" t="s">
        <v>29</v>
      </c>
      <c r="J12316" t="s">
        <v>30</v>
      </c>
      <c r="K12316" t="str">
        <f>"27028"</f>
        <v>27028</v>
      </c>
      <c r="M12316" t="s">
        <v>18470</v>
      </c>
      <c r="N12316" t="str">
        <f>"1/9/2019 9:31:00 AM"</f>
        <v>1/9/2019 9:31:00 AM</v>
      </c>
      <c r="O12316" t="s">
        <v>37012</v>
      </c>
      <c r="T12316" t="s">
        <v>37013</v>
      </c>
    </row>
    <row r="12317" spans="1:20" x14ac:dyDescent="0.25">
      <c r="A12317" t="str">
        <f>"3046062"</f>
        <v>3046062</v>
      </c>
      <c r="B12317" t="s">
        <v>37015</v>
      </c>
      <c r="C12317" t="str">
        <f>"8307848"</f>
        <v>8307848</v>
      </c>
      <c r="D12317" t="s">
        <v>37012</v>
      </c>
      <c r="E12317" t="s">
        <v>37013</v>
      </c>
      <c r="F12317" t="s">
        <v>37014</v>
      </c>
      <c r="I12317" t="s">
        <v>29</v>
      </c>
      <c r="J12317" t="s">
        <v>30</v>
      </c>
      <c r="K12317" t="str">
        <f>"27028"</f>
        <v>27028</v>
      </c>
      <c r="M12317" t="s">
        <v>18470</v>
      </c>
      <c r="N12317" t="str">
        <f>"1/9/2019 9:31:00 AM"</f>
        <v>1/9/2019 9:31:00 AM</v>
      </c>
      <c r="O12317" t="s">
        <v>37012</v>
      </c>
      <c r="T12317" t="s">
        <v>37013</v>
      </c>
    </row>
    <row r="12318" spans="1:20" x14ac:dyDescent="0.25">
      <c r="A12318" t="str">
        <f>"3050425"</f>
        <v>3050425</v>
      </c>
      <c r="B12318" t="s">
        <v>37016</v>
      </c>
      <c r="C12318" t="str">
        <f>"8310848"</f>
        <v>8310848</v>
      </c>
      <c r="D12318" t="s">
        <v>37017</v>
      </c>
      <c r="E12318" t="s">
        <v>37018</v>
      </c>
      <c r="F12318" t="s">
        <v>37019</v>
      </c>
      <c r="I12318" t="s">
        <v>184</v>
      </c>
      <c r="J12318" t="s">
        <v>30</v>
      </c>
      <c r="K12318" t="s">
        <v>34562</v>
      </c>
      <c r="M12318" t="s">
        <v>17861</v>
      </c>
      <c r="N12318" t="str">
        <f>"1/9/2019 11:06:00 AM"</f>
        <v>1/9/2019 11:06:00 AM</v>
      </c>
      <c r="O12318" t="s">
        <v>37017</v>
      </c>
      <c r="T12318" t="s">
        <v>37018</v>
      </c>
    </row>
    <row r="12319" spans="1:20" x14ac:dyDescent="0.25">
      <c r="A12319" t="str">
        <f>"3044797"</f>
        <v>3044797</v>
      </c>
      <c r="B12319" t="s">
        <v>37020</v>
      </c>
      <c r="C12319" t="str">
        <f>"82527152"</f>
        <v>82527152</v>
      </c>
      <c r="D12319" t="s">
        <v>37021</v>
      </c>
      <c r="E12319" t="s">
        <v>37022</v>
      </c>
      <c r="F12319" t="s">
        <v>37023</v>
      </c>
      <c r="I12319" t="s">
        <v>184</v>
      </c>
      <c r="J12319" t="s">
        <v>30</v>
      </c>
      <c r="K12319" t="s">
        <v>185</v>
      </c>
      <c r="M12319" t="s">
        <v>17861</v>
      </c>
      <c r="N12319" t="str">
        <f>"12/31/2018 8:32:00 AM"</f>
        <v>12/31/2018 8:32:00 AM</v>
      </c>
      <c r="O12319" t="s">
        <v>37021</v>
      </c>
      <c r="T12319" t="s">
        <v>37022</v>
      </c>
    </row>
    <row r="12320" spans="1:20" x14ac:dyDescent="0.25">
      <c r="A12320" t="str">
        <f>"3059350"</f>
        <v>3059350</v>
      </c>
      <c r="B12320" t="s">
        <v>37024</v>
      </c>
      <c r="C12320" t="str">
        <f>"8309934"</f>
        <v>8309934</v>
      </c>
      <c r="D12320" t="s">
        <v>37025</v>
      </c>
      <c r="F12320" t="s">
        <v>37026</v>
      </c>
      <c r="I12320" t="s">
        <v>29</v>
      </c>
      <c r="J12320" t="s">
        <v>30</v>
      </c>
      <c r="K12320" t="s">
        <v>37027</v>
      </c>
      <c r="M12320" t="s">
        <v>18479</v>
      </c>
      <c r="N12320" t="str">
        <f>"12/31/2018 11:03:00 AM"</f>
        <v>12/31/2018 11:03:00 AM</v>
      </c>
      <c r="O12320" t="s">
        <v>37025</v>
      </c>
    </row>
    <row r="12321" spans="1:20" x14ac:dyDescent="0.25">
      <c r="A12321" t="str">
        <f>"3095635"</f>
        <v>3095635</v>
      </c>
      <c r="B12321" t="s">
        <v>37028</v>
      </c>
      <c r="C12321" t="str">
        <f>"8307667"</f>
        <v>8307667</v>
      </c>
      <c r="D12321" t="s">
        <v>36962</v>
      </c>
      <c r="E12321" t="s">
        <v>31751</v>
      </c>
      <c r="F12321" t="s">
        <v>37029</v>
      </c>
      <c r="I12321" t="s">
        <v>29</v>
      </c>
      <c r="J12321" t="s">
        <v>30</v>
      </c>
      <c r="K12321" t="str">
        <f>"27028"</f>
        <v>27028</v>
      </c>
      <c r="M12321" t="s">
        <v>34670</v>
      </c>
      <c r="N12321" t="str">
        <f>"12/31/2018 11:54:00 AM"</f>
        <v>12/31/2018 11:54:00 AM</v>
      </c>
      <c r="O12321" t="s">
        <v>36962</v>
      </c>
      <c r="T12321" t="s">
        <v>31751</v>
      </c>
    </row>
    <row r="12322" spans="1:20" x14ac:dyDescent="0.25">
      <c r="A12322" t="str">
        <f>"3050239"</f>
        <v>3050239</v>
      </c>
      <c r="B12322" t="s">
        <v>37030</v>
      </c>
      <c r="C12322" t="str">
        <f>"8310805"</f>
        <v>8310805</v>
      </c>
      <c r="D12322" t="s">
        <v>36929</v>
      </c>
      <c r="F12322" t="s">
        <v>36930</v>
      </c>
      <c r="I12322" t="s">
        <v>29</v>
      </c>
      <c r="J12322" t="s">
        <v>30</v>
      </c>
      <c r="K12322" t="s">
        <v>18521</v>
      </c>
      <c r="M12322" t="s">
        <v>17861</v>
      </c>
      <c r="N12322" t="str">
        <f>"12/31/2018 12:29:00 PM"</f>
        <v>12/31/2018 12:29:00 PM</v>
      </c>
      <c r="O12322" t="s">
        <v>36929</v>
      </c>
    </row>
    <row r="12323" spans="1:20" x14ac:dyDescent="0.25">
      <c r="A12323" t="str">
        <f>"3056955"</f>
        <v>3056955</v>
      </c>
      <c r="B12323" t="s">
        <v>37031</v>
      </c>
      <c r="C12323" t="str">
        <f>"8305281"</f>
        <v>8305281</v>
      </c>
      <c r="D12323" t="s">
        <v>36937</v>
      </c>
      <c r="F12323" t="s">
        <v>36938</v>
      </c>
      <c r="I12323" t="s">
        <v>29</v>
      </c>
      <c r="J12323" t="s">
        <v>30</v>
      </c>
      <c r="K12323" t="str">
        <f>"27028"</f>
        <v>27028</v>
      </c>
      <c r="M12323" t="s">
        <v>33845</v>
      </c>
      <c r="N12323" t="str">
        <f>"1/10/2019 10:17:00 AM"</f>
        <v>1/10/2019 10:17:00 AM</v>
      </c>
      <c r="O12323" t="s">
        <v>36937</v>
      </c>
    </row>
    <row r="12324" spans="1:20" x14ac:dyDescent="0.25">
      <c r="A12324" t="str">
        <f>"3042882"</f>
        <v>3042882</v>
      </c>
      <c r="B12324" t="s">
        <v>37032</v>
      </c>
      <c r="C12324" t="str">
        <f>"8310854"</f>
        <v>8310854</v>
      </c>
      <c r="D12324" t="s">
        <v>37033</v>
      </c>
      <c r="E12324" t="s">
        <v>37034</v>
      </c>
      <c r="F12324" t="s">
        <v>37035</v>
      </c>
      <c r="I12324" t="s">
        <v>29</v>
      </c>
      <c r="J12324" t="s">
        <v>30</v>
      </c>
      <c r="K12324" t="s">
        <v>37036</v>
      </c>
      <c r="M12324" t="s">
        <v>17861</v>
      </c>
      <c r="N12324" t="str">
        <f>"1/10/2019 1:23:00 PM"</f>
        <v>1/10/2019 1:23:00 PM</v>
      </c>
      <c r="O12324" t="s">
        <v>37033</v>
      </c>
      <c r="T12324" t="s">
        <v>37034</v>
      </c>
    </row>
    <row r="12325" spans="1:20" x14ac:dyDescent="0.25">
      <c r="A12325" t="str">
        <f>"3042187"</f>
        <v>3042187</v>
      </c>
      <c r="B12325" t="s">
        <v>37037</v>
      </c>
      <c r="C12325" t="str">
        <f>"8310855"</f>
        <v>8310855</v>
      </c>
      <c r="D12325" t="s">
        <v>37038</v>
      </c>
      <c r="F12325" t="s">
        <v>37039</v>
      </c>
      <c r="I12325" t="s">
        <v>29</v>
      </c>
      <c r="J12325" t="s">
        <v>30</v>
      </c>
      <c r="K12325" t="s">
        <v>37036</v>
      </c>
      <c r="M12325" t="s">
        <v>17861</v>
      </c>
      <c r="N12325" t="str">
        <f>"1/10/2019 1:27:00 PM"</f>
        <v>1/10/2019 1:27:00 PM</v>
      </c>
      <c r="O12325" t="s">
        <v>37038</v>
      </c>
    </row>
    <row r="12326" spans="1:20" x14ac:dyDescent="0.25">
      <c r="A12326" t="str">
        <f>"3047678"</f>
        <v>3047678</v>
      </c>
      <c r="B12326" t="s">
        <v>37040</v>
      </c>
      <c r="C12326" t="str">
        <f>"82518314"</f>
        <v>82518314</v>
      </c>
      <c r="D12326" t="s">
        <v>36950</v>
      </c>
      <c r="E12326" t="s">
        <v>36951</v>
      </c>
      <c r="F12326" t="s">
        <v>36952</v>
      </c>
      <c r="I12326" t="s">
        <v>184</v>
      </c>
      <c r="J12326" t="s">
        <v>30</v>
      </c>
      <c r="K12326" t="s">
        <v>185</v>
      </c>
      <c r="M12326" t="s">
        <v>25625</v>
      </c>
      <c r="N12326" t="str">
        <f>"1/10/2019 2:17:00 PM"</f>
        <v>1/10/2019 2:17:00 PM</v>
      </c>
      <c r="O12326" t="s">
        <v>36950</v>
      </c>
      <c r="T12326" t="s">
        <v>36951</v>
      </c>
    </row>
    <row r="12327" spans="1:20" x14ac:dyDescent="0.25">
      <c r="A12327" t="str">
        <f>"3047418"</f>
        <v>3047418</v>
      </c>
      <c r="B12327" t="s">
        <v>37041</v>
      </c>
      <c r="C12327" t="str">
        <f>"82518314"</f>
        <v>82518314</v>
      </c>
      <c r="D12327" t="s">
        <v>36950</v>
      </c>
      <c r="E12327" t="s">
        <v>36951</v>
      </c>
      <c r="F12327" t="s">
        <v>36952</v>
      </c>
      <c r="I12327" t="s">
        <v>184</v>
      </c>
      <c r="J12327" t="s">
        <v>30</v>
      </c>
      <c r="K12327" t="s">
        <v>185</v>
      </c>
      <c r="M12327" t="s">
        <v>25625</v>
      </c>
      <c r="N12327" t="str">
        <f>"1/10/2019 2:17:00 PM"</f>
        <v>1/10/2019 2:17:00 PM</v>
      </c>
      <c r="O12327" t="s">
        <v>36950</v>
      </c>
      <c r="T12327" t="s">
        <v>36951</v>
      </c>
    </row>
    <row r="12328" spans="1:20" x14ac:dyDescent="0.25">
      <c r="A12328" t="str">
        <f>"3049928"</f>
        <v>3049928</v>
      </c>
      <c r="B12328" t="s">
        <v>37042</v>
      </c>
      <c r="C12328" t="str">
        <f>"8310856"</f>
        <v>8310856</v>
      </c>
      <c r="D12328" t="s">
        <v>37043</v>
      </c>
      <c r="F12328" t="s">
        <v>37044</v>
      </c>
      <c r="I12328" t="s">
        <v>29</v>
      </c>
      <c r="J12328" t="s">
        <v>30</v>
      </c>
      <c r="K12328" t="s">
        <v>37045</v>
      </c>
      <c r="M12328" t="s">
        <v>17861</v>
      </c>
      <c r="N12328" t="str">
        <f>"1/10/2019 4:16:00 PM"</f>
        <v>1/10/2019 4:16:00 PM</v>
      </c>
      <c r="O12328" t="s">
        <v>37043</v>
      </c>
    </row>
    <row r="12329" spans="1:20" x14ac:dyDescent="0.25">
      <c r="A12329" t="str">
        <f>"3039286"</f>
        <v>3039286</v>
      </c>
      <c r="B12329" t="s">
        <v>37046</v>
      </c>
      <c r="C12329" t="str">
        <f>"77556000"</f>
        <v>77556000</v>
      </c>
      <c r="D12329" t="s">
        <v>37047</v>
      </c>
      <c r="F12329" t="s">
        <v>37048</v>
      </c>
      <c r="I12329" t="s">
        <v>184</v>
      </c>
      <c r="J12329" t="s">
        <v>30</v>
      </c>
      <c r="K12329" t="s">
        <v>37049</v>
      </c>
      <c r="M12329" t="s">
        <v>34475</v>
      </c>
      <c r="N12329" t="str">
        <f>"1/11/2019 2:53:00 PM"</f>
        <v>1/11/2019 2:53:00 PM</v>
      </c>
      <c r="O12329" t="s">
        <v>37047</v>
      </c>
    </row>
    <row r="12330" spans="1:20" x14ac:dyDescent="0.25">
      <c r="A12330" t="str">
        <f>"3046412"</f>
        <v>3046412</v>
      </c>
      <c r="B12330" t="s">
        <v>37050</v>
      </c>
      <c r="C12330" t="str">
        <f>"8310880"</f>
        <v>8310880</v>
      </c>
      <c r="D12330" t="s">
        <v>37051</v>
      </c>
      <c r="F12330" t="s">
        <v>37052</v>
      </c>
      <c r="I12330" t="s">
        <v>29</v>
      </c>
      <c r="J12330" t="s">
        <v>30</v>
      </c>
      <c r="K12330" t="s">
        <v>37053</v>
      </c>
      <c r="M12330" t="s">
        <v>17861</v>
      </c>
      <c r="N12330" t="str">
        <f>"1/15/2019 1:14:00 PM"</f>
        <v>1/15/2019 1:14:00 PM</v>
      </c>
      <c r="O12330" t="s">
        <v>37051</v>
      </c>
    </row>
    <row r="12331" spans="1:20" x14ac:dyDescent="0.25">
      <c r="A12331" t="str">
        <f>"3045840"</f>
        <v>3045840</v>
      </c>
      <c r="B12331" t="s">
        <v>37054</v>
      </c>
      <c r="C12331" t="str">
        <f>"8310880"</f>
        <v>8310880</v>
      </c>
      <c r="D12331" t="s">
        <v>37051</v>
      </c>
      <c r="F12331" t="s">
        <v>37052</v>
      </c>
      <c r="I12331" t="s">
        <v>29</v>
      </c>
      <c r="J12331" t="s">
        <v>30</v>
      </c>
      <c r="K12331" t="s">
        <v>37053</v>
      </c>
      <c r="M12331" t="s">
        <v>17861</v>
      </c>
      <c r="N12331" t="str">
        <f>"1/15/2019 1:14:00 PM"</f>
        <v>1/15/2019 1:14:00 PM</v>
      </c>
      <c r="O12331" t="s">
        <v>37051</v>
      </c>
    </row>
    <row r="12332" spans="1:20" x14ac:dyDescent="0.25">
      <c r="A12332" t="str">
        <f>"3077930"</f>
        <v>3077930</v>
      </c>
      <c r="B12332" t="s">
        <v>37055</v>
      </c>
      <c r="C12332" t="str">
        <f>"8310880"</f>
        <v>8310880</v>
      </c>
      <c r="D12332" t="s">
        <v>37051</v>
      </c>
      <c r="F12332" t="s">
        <v>37052</v>
      </c>
      <c r="I12332" t="s">
        <v>29</v>
      </c>
      <c r="J12332" t="s">
        <v>30</v>
      </c>
      <c r="K12332" t="s">
        <v>37053</v>
      </c>
      <c r="M12332" t="s">
        <v>17861</v>
      </c>
      <c r="N12332" t="str">
        <f>"1/15/2019 1:14:00 PM"</f>
        <v>1/15/2019 1:14:00 PM</v>
      </c>
      <c r="O12332" t="s">
        <v>37051</v>
      </c>
    </row>
    <row r="12333" spans="1:20" x14ac:dyDescent="0.25">
      <c r="A12333" t="str">
        <f>"3078481"</f>
        <v>3078481</v>
      </c>
      <c r="B12333" t="s">
        <v>37056</v>
      </c>
      <c r="C12333" t="str">
        <f>"8310881"</f>
        <v>8310881</v>
      </c>
      <c r="D12333" t="s">
        <v>37057</v>
      </c>
      <c r="E12333" t="s">
        <v>37058</v>
      </c>
      <c r="F12333" t="s">
        <v>37059</v>
      </c>
      <c r="I12333" t="s">
        <v>402</v>
      </c>
      <c r="J12333" t="s">
        <v>30</v>
      </c>
      <c r="K12333" t="str">
        <f>"27012"</f>
        <v>27012</v>
      </c>
      <c r="M12333" t="s">
        <v>17861</v>
      </c>
      <c r="N12333" t="str">
        <f>"1/15/2019 1:21:00 PM"</f>
        <v>1/15/2019 1:21:00 PM</v>
      </c>
      <c r="O12333" t="s">
        <v>37057</v>
      </c>
      <c r="T12333" t="s">
        <v>37058</v>
      </c>
    </row>
    <row r="12334" spans="1:20" x14ac:dyDescent="0.25">
      <c r="A12334" t="str">
        <f>"3050578"</f>
        <v>3050578</v>
      </c>
      <c r="B12334" t="s">
        <v>37060</v>
      </c>
      <c r="C12334" t="str">
        <f>"8310881"</f>
        <v>8310881</v>
      </c>
      <c r="D12334" t="s">
        <v>37057</v>
      </c>
      <c r="E12334" t="s">
        <v>37058</v>
      </c>
      <c r="F12334" t="s">
        <v>37059</v>
      </c>
      <c r="I12334" t="s">
        <v>402</v>
      </c>
      <c r="J12334" t="s">
        <v>30</v>
      </c>
      <c r="K12334" t="str">
        <f>"27012"</f>
        <v>27012</v>
      </c>
      <c r="M12334" t="s">
        <v>17861</v>
      </c>
      <c r="N12334" t="str">
        <f>"1/15/2019 1:21:00 PM"</f>
        <v>1/15/2019 1:21:00 PM</v>
      </c>
      <c r="O12334" t="s">
        <v>37057</v>
      </c>
      <c r="T12334" t="s">
        <v>37058</v>
      </c>
    </row>
    <row r="12335" spans="1:20" x14ac:dyDescent="0.25">
      <c r="A12335" t="str">
        <f>"3050548"</f>
        <v>3050548</v>
      </c>
      <c r="B12335" t="s">
        <v>37061</v>
      </c>
      <c r="C12335" t="str">
        <f>"8310881"</f>
        <v>8310881</v>
      </c>
      <c r="D12335" t="s">
        <v>37057</v>
      </c>
      <c r="E12335" t="s">
        <v>37058</v>
      </c>
      <c r="F12335" t="s">
        <v>37059</v>
      </c>
      <c r="I12335" t="s">
        <v>402</v>
      </c>
      <c r="J12335" t="s">
        <v>30</v>
      </c>
      <c r="K12335" t="str">
        <f>"27012"</f>
        <v>27012</v>
      </c>
      <c r="M12335" t="s">
        <v>17861</v>
      </c>
      <c r="N12335" t="str">
        <f>"1/15/2019 1:21:00 PM"</f>
        <v>1/15/2019 1:21:00 PM</v>
      </c>
      <c r="O12335" t="s">
        <v>37057</v>
      </c>
      <c r="T12335" t="s">
        <v>37058</v>
      </c>
    </row>
    <row r="12336" spans="1:20" x14ac:dyDescent="0.25">
      <c r="A12336" t="str">
        <f>"3050836"</f>
        <v>3050836</v>
      </c>
      <c r="B12336" t="s">
        <v>37062</v>
      </c>
      <c r="C12336" t="str">
        <f>"8310881"</f>
        <v>8310881</v>
      </c>
      <c r="D12336" t="s">
        <v>37057</v>
      </c>
      <c r="E12336" t="s">
        <v>37058</v>
      </c>
      <c r="F12336" t="s">
        <v>37059</v>
      </c>
      <c r="I12336" t="s">
        <v>402</v>
      </c>
      <c r="J12336" t="s">
        <v>30</v>
      </c>
      <c r="K12336" t="str">
        <f>"27012"</f>
        <v>27012</v>
      </c>
      <c r="M12336" t="s">
        <v>17861</v>
      </c>
      <c r="N12336" t="str">
        <f>"1/15/2019 1:21:00 PM"</f>
        <v>1/15/2019 1:21:00 PM</v>
      </c>
      <c r="O12336" t="s">
        <v>37057</v>
      </c>
      <c r="T12336" t="s">
        <v>37058</v>
      </c>
    </row>
    <row r="12337" spans="1:20" x14ac:dyDescent="0.25">
      <c r="A12337" t="str">
        <f>"3050793"</f>
        <v>3050793</v>
      </c>
      <c r="B12337" t="s">
        <v>37063</v>
      </c>
      <c r="C12337" t="str">
        <f>"8310881"</f>
        <v>8310881</v>
      </c>
      <c r="D12337" t="s">
        <v>37057</v>
      </c>
      <c r="E12337" t="s">
        <v>37058</v>
      </c>
      <c r="F12337" t="s">
        <v>37059</v>
      </c>
      <c r="I12337" t="s">
        <v>402</v>
      </c>
      <c r="J12337" t="s">
        <v>30</v>
      </c>
      <c r="K12337" t="str">
        <f>"27012"</f>
        <v>27012</v>
      </c>
      <c r="M12337" t="s">
        <v>17861</v>
      </c>
      <c r="N12337" t="str">
        <f>"1/15/2019 1:21:00 PM"</f>
        <v>1/15/2019 1:21:00 PM</v>
      </c>
      <c r="O12337" t="s">
        <v>37057</v>
      </c>
      <c r="T12337" t="s">
        <v>37058</v>
      </c>
    </row>
    <row r="12338" spans="1:20" x14ac:dyDescent="0.25">
      <c r="A12338" t="str">
        <f>"3049671"</f>
        <v>3049671</v>
      </c>
      <c r="B12338" t="s">
        <v>37064</v>
      </c>
      <c r="C12338" t="str">
        <f>"8310883"</f>
        <v>8310883</v>
      </c>
      <c r="D12338" t="s">
        <v>37065</v>
      </c>
      <c r="F12338" t="s">
        <v>37066</v>
      </c>
      <c r="I12338" t="s">
        <v>29</v>
      </c>
      <c r="J12338" t="s">
        <v>30</v>
      </c>
      <c r="K12338" t="s">
        <v>37067</v>
      </c>
      <c r="M12338" t="s">
        <v>17861</v>
      </c>
      <c r="N12338" t="str">
        <f>"1/15/2019 2:02:00 PM"</f>
        <v>1/15/2019 2:02:00 PM</v>
      </c>
      <c r="O12338" t="s">
        <v>37065</v>
      </c>
    </row>
    <row r="12339" spans="1:20" x14ac:dyDescent="0.25">
      <c r="A12339" t="str">
        <f>"3049917"</f>
        <v>3049917</v>
      </c>
      <c r="B12339" t="s">
        <v>37068</v>
      </c>
      <c r="C12339" t="str">
        <f>"8310883"</f>
        <v>8310883</v>
      </c>
      <c r="D12339" t="s">
        <v>37065</v>
      </c>
      <c r="F12339" t="s">
        <v>37066</v>
      </c>
      <c r="I12339" t="s">
        <v>29</v>
      </c>
      <c r="J12339" t="s">
        <v>30</v>
      </c>
      <c r="K12339" t="s">
        <v>37067</v>
      </c>
      <c r="M12339" t="s">
        <v>17861</v>
      </c>
      <c r="N12339" t="str">
        <f>"1/15/2019 2:02:00 PM"</f>
        <v>1/15/2019 2:02:00 PM</v>
      </c>
      <c r="O12339" t="s">
        <v>37065</v>
      </c>
    </row>
    <row r="12340" spans="1:20" x14ac:dyDescent="0.25">
      <c r="A12340" t="str">
        <f>"3038477"</f>
        <v>3038477</v>
      </c>
      <c r="B12340" t="s">
        <v>37069</v>
      </c>
      <c r="C12340" t="str">
        <f>"74850000"</f>
        <v>74850000</v>
      </c>
      <c r="D12340" t="s">
        <v>37070</v>
      </c>
      <c r="E12340" t="s">
        <v>37071</v>
      </c>
      <c r="F12340" t="s">
        <v>37072</v>
      </c>
      <c r="I12340" t="s">
        <v>471</v>
      </c>
      <c r="J12340" t="s">
        <v>30</v>
      </c>
      <c r="K12340" t="s">
        <v>2758</v>
      </c>
      <c r="M12340" t="s">
        <v>33845</v>
      </c>
      <c r="N12340" t="str">
        <f>"1/11/2019 3:23:00 PM"</f>
        <v>1/11/2019 3:23:00 PM</v>
      </c>
      <c r="O12340" t="s">
        <v>37070</v>
      </c>
      <c r="T12340" t="s">
        <v>37071</v>
      </c>
    </row>
    <row r="12341" spans="1:20" x14ac:dyDescent="0.25">
      <c r="A12341" t="str">
        <f>"3048532"</f>
        <v>3048532</v>
      </c>
      <c r="B12341" t="s">
        <v>37073</v>
      </c>
      <c r="C12341" t="str">
        <f>"82527561"</f>
        <v>82527561</v>
      </c>
      <c r="D12341" t="s">
        <v>36988</v>
      </c>
      <c r="F12341" t="s">
        <v>13294</v>
      </c>
      <c r="I12341" t="s">
        <v>29</v>
      </c>
      <c r="J12341" t="s">
        <v>30</v>
      </c>
      <c r="K12341" t="s">
        <v>31</v>
      </c>
      <c r="M12341" t="s">
        <v>33845</v>
      </c>
      <c r="N12341" t="str">
        <f>"1/11/2019 3:24:00 PM"</f>
        <v>1/11/2019 3:24:00 PM</v>
      </c>
      <c r="O12341" t="s">
        <v>36988</v>
      </c>
    </row>
    <row r="12342" spans="1:20" x14ac:dyDescent="0.25">
      <c r="A12342" t="str">
        <f>"3048832"</f>
        <v>3048832</v>
      </c>
      <c r="B12342" t="s">
        <v>37074</v>
      </c>
      <c r="C12342" t="str">
        <f>"82527561"</f>
        <v>82527561</v>
      </c>
      <c r="D12342" t="s">
        <v>36988</v>
      </c>
      <c r="F12342" t="s">
        <v>13294</v>
      </c>
      <c r="I12342" t="s">
        <v>29</v>
      </c>
      <c r="J12342" t="s">
        <v>30</v>
      </c>
      <c r="K12342" t="s">
        <v>31</v>
      </c>
      <c r="M12342" t="s">
        <v>33845</v>
      </c>
      <c r="N12342" t="str">
        <f>"1/11/2019 3:24:00 PM"</f>
        <v>1/11/2019 3:24:00 PM</v>
      </c>
      <c r="O12342" t="s">
        <v>36988</v>
      </c>
    </row>
    <row r="12343" spans="1:20" x14ac:dyDescent="0.25">
      <c r="A12343" t="str">
        <f>"3056889"</f>
        <v>3056889</v>
      </c>
      <c r="B12343" t="s">
        <v>37075</v>
      </c>
      <c r="C12343" t="str">
        <f>"82527561"</f>
        <v>82527561</v>
      </c>
      <c r="D12343" t="s">
        <v>36988</v>
      </c>
      <c r="F12343" t="s">
        <v>13294</v>
      </c>
      <c r="I12343" t="s">
        <v>29</v>
      </c>
      <c r="J12343" t="s">
        <v>30</v>
      </c>
      <c r="K12343" t="s">
        <v>31</v>
      </c>
      <c r="M12343" t="s">
        <v>33845</v>
      </c>
      <c r="N12343" t="str">
        <f>"1/11/2019 3:24:00 PM"</f>
        <v>1/11/2019 3:24:00 PM</v>
      </c>
      <c r="O12343" t="s">
        <v>36988</v>
      </c>
    </row>
    <row r="12344" spans="1:20" x14ac:dyDescent="0.25">
      <c r="A12344" t="str">
        <f>"3050954"</f>
        <v>3050954</v>
      </c>
      <c r="B12344" t="s">
        <v>37076</v>
      </c>
      <c r="C12344" t="str">
        <f>"8309108"</f>
        <v>8309108</v>
      </c>
      <c r="D12344" t="s">
        <v>37077</v>
      </c>
      <c r="E12344" t="s">
        <v>37078</v>
      </c>
      <c r="F12344" t="s">
        <v>37079</v>
      </c>
      <c r="I12344" t="s">
        <v>184</v>
      </c>
      <c r="J12344" t="s">
        <v>30</v>
      </c>
      <c r="K12344" t="str">
        <f>"27006"</f>
        <v>27006</v>
      </c>
      <c r="M12344" t="s">
        <v>17861</v>
      </c>
      <c r="N12344" t="str">
        <f>"1/14/2019 8:47:00 AM"</f>
        <v>1/14/2019 8:47:00 AM</v>
      </c>
      <c r="O12344" t="s">
        <v>37077</v>
      </c>
      <c r="T12344" t="s">
        <v>37078</v>
      </c>
    </row>
    <row r="12345" spans="1:20" x14ac:dyDescent="0.25">
      <c r="A12345" t="str">
        <f>"3048451"</f>
        <v>3048451</v>
      </c>
      <c r="B12345" t="s">
        <v>37080</v>
      </c>
      <c r="C12345" t="str">
        <f>"8310894"</f>
        <v>8310894</v>
      </c>
      <c r="D12345" t="s">
        <v>37081</v>
      </c>
      <c r="F12345" t="s">
        <v>37082</v>
      </c>
      <c r="I12345" t="s">
        <v>37083</v>
      </c>
      <c r="J12345" t="s">
        <v>12725</v>
      </c>
      <c r="K12345" t="str">
        <f>"33414"</f>
        <v>33414</v>
      </c>
      <c r="M12345" t="s">
        <v>17861</v>
      </c>
      <c r="N12345" t="str">
        <f>"1/18/2019 3:34:00 PM"</f>
        <v>1/18/2019 3:34:00 PM</v>
      </c>
      <c r="O12345" t="s">
        <v>37081</v>
      </c>
    </row>
    <row r="12346" spans="1:20" x14ac:dyDescent="0.25">
      <c r="A12346" t="str">
        <f>"3059144"</f>
        <v>3059144</v>
      </c>
      <c r="B12346" t="s">
        <v>37084</v>
      </c>
      <c r="C12346" t="str">
        <f>"8309395"</f>
        <v>8309395</v>
      </c>
      <c r="D12346" t="s">
        <v>37085</v>
      </c>
      <c r="F12346" t="s">
        <v>37086</v>
      </c>
      <c r="I12346" t="s">
        <v>29</v>
      </c>
      <c r="J12346" t="s">
        <v>30</v>
      </c>
      <c r="K12346" t="s">
        <v>8523</v>
      </c>
      <c r="M12346" t="s">
        <v>18470</v>
      </c>
      <c r="N12346" t="str">
        <f>"1/22/2019 10:23:00 AM"</f>
        <v>1/22/2019 10:23:00 AM</v>
      </c>
      <c r="O12346" t="s">
        <v>37085</v>
      </c>
    </row>
    <row r="12347" spans="1:20" x14ac:dyDescent="0.25">
      <c r="A12347" t="str">
        <f>"3048924"</f>
        <v>3048924</v>
      </c>
      <c r="B12347" t="s">
        <v>37087</v>
      </c>
      <c r="C12347" t="str">
        <f>"8310896"</f>
        <v>8310896</v>
      </c>
      <c r="D12347" t="s">
        <v>37088</v>
      </c>
      <c r="F12347" t="s">
        <v>37089</v>
      </c>
      <c r="I12347" t="s">
        <v>29</v>
      </c>
      <c r="J12347" t="s">
        <v>30</v>
      </c>
      <c r="K12347" t="s">
        <v>37090</v>
      </c>
      <c r="M12347" t="s">
        <v>17861</v>
      </c>
      <c r="N12347" t="str">
        <f>"1/22/2019 12:29:00 PM"</f>
        <v>1/22/2019 12:29:00 PM</v>
      </c>
      <c r="O12347" t="s">
        <v>37088</v>
      </c>
    </row>
    <row r="12348" spans="1:20" x14ac:dyDescent="0.25">
      <c r="A12348" t="str">
        <f>"3050629"</f>
        <v>3050629</v>
      </c>
      <c r="B12348" t="s">
        <v>37091</v>
      </c>
      <c r="C12348" t="str">
        <f>"8309108"</f>
        <v>8309108</v>
      </c>
      <c r="D12348" t="s">
        <v>37077</v>
      </c>
      <c r="E12348" t="s">
        <v>37078</v>
      </c>
      <c r="F12348" t="s">
        <v>37079</v>
      </c>
      <c r="I12348" t="s">
        <v>184</v>
      </c>
      <c r="J12348" t="s">
        <v>30</v>
      </c>
      <c r="K12348" t="str">
        <f>"27006"</f>
        <v>27006</v>
      </c>
      <c r="M12348" t="s">
        <v>17861</v>
      </c>
      <c r="N12348" t="str">
        <f>"1/14/2019 8:47:00 AM"</f>
        <v>1/14/2019 8:47:00 AM</v>
      </c>
      <c r="O12348" t="s">
        <v>37077</v>
      </c>
      <c r="T12348" t="s">
        <v>37078</v>
      </c>
    </row>
    <row r="12349" spans="1:20" x14ac:dyDescent="0.25">
      <c r="A12349" t="str">
        <f>"3046171"</f>
        <v>3046171</v>
      </c>
      <c r="B12349" t="s">
        <v>37092</v>
      </c>
      <c r="C12349" t="str">
        <f>"8310862"</f>
        <v>8310862</v>
      </c>
      <c r="D12349" t="s">
        <v>37093</v>
      </c>
      <c r="F12349" t="s">
        <v>37094</v>
      </c>
      <c r="I12349" t="s">
        <v>29</v>
      </c>
      <c r="J12349" t="s">
        <v>30</v>
      </c>
      <c r="K12349" t="s">
        <v>37095</v>
      </c>
      <c r="M12349" t="s">
        <v>17861</v>
      </c>
      <c r="N12349" t="str">
        <f>"1/14/2019 9:29:00 AM"</f>
        <v>1/14/2019 9:29:00 AM</v>
      </c>
      <c r="O12349" t="s">
        <v>37093</v>
      </c>
    </row>
    <row r="12350" spans="1:20" x14ac:dyDescent="0.25">
      <c r="A12350" t="str">
        <f>"3056761"</f>
        <v>3056761</v>
      </c>
      <c r="B12350" t="s">
        <v>37096</v>
      </c>
      <c r="C12350" t="str">
        <f>"27491000"</f>
        <v>27491000</v>
      </c>
      <c r="D12350" t="s">
        <v>37097</v>
      </c>
      <c r="E12350" t="s">
        <v>37098</v>
      </c>
      <c r="F12350" t="s">
        <v>37099</v>
      </c>
      <c r="I12350" t="s">
        <v>29</v>
      </c>
      <c r="J12350" t="s">
        <v>30</v>
      </c>
      <c r="K12350" t="s">
        <v>31</v>
      </c>
      <c r="M12350" t="s">
        <v>34475</v>
      </c>
      <c r="N12350" t="str">
        <f>"1/14/2019 2:57:00 PM"</f>
        <v>1/14/2019 2:57:00 PM</v>
      </c>
      <c r="O12350" t="s">
        <v>37097</v>
      </c>
      <c r="T12350" t="s">
        <v>37098</v>
      </c>
    </row>
    <row r="12351" spans="1:20" x14ac:dyDescent="0.25">
      <c r="A12351" t="str">
        <f>"3062565"</f>
        <v>3062565</v>
      </c>
      <c r="B12351" t="s">
        <v>37100</v>
      </c>
      <c r="C12351" t="str">
        <f>"8310395"</f>
        <v>8310395</v>
      </c>
      <c r="D12351" t="s">
        <v>37101</v>
      </c>
      <c r="E12351" t="s">
        <v>37102</v>
      </c>
      <c r="F12351" t="s">
        <v>37103</v>
      </c>
      <c r="I12351" t="s">
        <v>184</v>
      </c>
      <c r="J12351" t="s">
        <v>30</v>
      </c>
      <c r="K12351" t="s">
        <v>37104</v>
      </c>
      <c r="M12351" t="s">
        <v>36935</v>
      </c>
      <c r="N12351" t="str">
        <f>"1/23/2019 4:07:00 PM"</f>
        <v>1/23/2019 4:07:00 PM</v>
      </c>
      <c r="O12351" t="s">
        <v>37101</v>
      </c>
      <c r="T12351" t="s">
        <v>37102</v>
      </c>
    </row>
    <row r="12352" spans="1:20" x14ac:dyDescent="0.25">
      <c r="A12352" t="str">
        <f>"3046441"</f>
        <v>3046441</v>
      </c>
      <c r="B12352" t="s">
        <v>37105</v>
      </c>
      <c r="C12352" t="str">
        <f>"8306437"</f>
        <v>8306437</v>
      </c>
      <c r="D12352" t="s">
        <v>37106</v>
      </c>
      <c r="E12352" t="s">
        <v>37107</v>
      </c>
      <c r="F12352" t="s">
        <v>37108</v>
      </c>
      <c r="I12352" t="s">
        <v>29</v>
      </c>
      <c r="J12352" t="s">
        <v>30</v>
      </c>
      <c r="K12352" t="s">
        <v>37109</v>
      </c>
      <c r="M12352" t="s">
        <v>18479</v>
      </c>
      <c r="N12352" t="str">
        <f>"1/9/2019 3:41:00 PM"</f>
        <v>1/9/2019 3:41:00 PM</v>
      </c>
      <c r="O12352" t="s">
        <v>37106</v>
      </c>
      <c r="T12352" t="s">
        <v>37107</v>
      </c>
    </row>
    <row r="12353" spans="1:20" x14ac:dyDescent="0.25">
      <c r="A12353" t="str">
        <f>"3047851"</f>
        <v>3047851</v>
      </c>
      <c r="B12353" t="s">
        <v>37110</v>
      </c>
      <c r="C12353" t="str">
        <f>"8303551"</f>
        <v>8303551</v>
      </c>
      <c r="D12353" t="s">
        <v>37111</v>
      </c>
      <c r="F12353" t="s">
        <v>37112</v>
      </c>
      <c r="I12353" t="s">
        <v>184</v>
      </c>
      <c r="J12353" t="s">
        <v>30</v>
      </c>
      <c r="K12353" t="str">
        <f>"27006"</f>
        <v>27006</v>
      </c>
      <c r="M12353" t="s">
        <v>25733</v>
      </c>
      <c r="N12353" t="str">
        <f>"1/24/2019 10:35:00 AM"</f>
        <v>1/24/2019 10:35:00 AM</v>
      </c>
      <c r="O12353" t="s">
        <v>37111</v>
      </c>
    </row>
    <row r="12354" spans="1:20" x14ac:dyDescent="0.25">
      <c r="A12354" t="str">
        <f>"3042836"</f>
        <v>3042836</v>
      </c>
      <c r="B12354" t="s">
        <v>37113</v>
      </c>
      <c r="C12354" t="str">
        <f>"8310876"</f>
        <v>8310876</v>
      </c>
      <c r="D12354" t="s">
        <v>37114</v>
      </c>
      <c r="F12354" t="s">
        <v>37115</v>
      </c>
      <c r="I12354" t="s">
        <v>29</v>
      </c>
      <c r="J12354" t="s">
        <v>30</v>
      </c>
      <c r="K12354" t="s">
        <v>37116</v>
      </c>
      <c r="M12354" t="s">
        <v>17861</v>
      </c>
      <c r="N12354" t="str">
        <f>"1/15/2019 9:01:00 AM"</f>
        <v>1/15/2019 9:01:00 AM</v>
      </c>
      <c r="O12354" t="s">
        <v>37114</v>
      </c>
    </row>
    <row r="12355" spans="1:20" x14ac:dyDescent="0.25">
      <c r="A12355" t="str">
        <f>"3053612"</f>
        <v>3053612</v>
      </c>
      <c r="B12355" t="s">
        <v>37117</v>
      </c>
      <c r="C12355" t="str">
        <f>"48386000"</f>
        <v>48386000</v>
      </c>
      <c r="D12355" t="s">
        <v>37118</v>
      </c>
      <c r="F12355" t="s">
        <v>37119</v>
      </c>
      <c r="I12355" t="s">
        <v>471</v>
      </c>
      <c r="J12355" t="s">
        <v>30</v>
      </c>
      <c r="K12355" t="s">
        <v>37120</v>
      </c>
      <c r="M12355" t="s">
        <v>34475</v>
      </c>
      <c r="N12355" t="str">
        <f>"1/15/2019 9:09:00 AM"</f>
        <v>1/15/2019 9:09:00 AM</v>
      </c>
      <c r="O12355" t="s">
        <v>37118</v>
      </c>
    </row>
    <row r="12356" spans="1:20" x14ac:dyDescent="0.25">
      <c r="A12356" t="str">
        <f>"3037339"</f>
        <v>3037339</v>
      </c>
      <c r="B12356" t="s">
        <v>37121</v>
      </c>
      <c r="C12356" t="str">
        <f>"8310877"</f>
        <v>8310877</v>
      </c>
      <c r="D12356" t="s">
        <v>37122</v>
      </c>
      <c r="F12356" t="s">
        <v>28480</v>
      </c>
      <c r="I12356" t="s">
        <v>184</v>
      </c>
      <c r="J12356" t="s">
        <v>30</v>
      </c>
      <c r="K12356" t="str">
        <f>"27006"</f>
        <v>27006</v>
      </c>
      <c r="M12356" t="s">
        <v>17861</v>
      </c>
      <c r="N12356" t="str">
        <f>"1/15/2019 1:04:00 PM"</f>
        <v>1/15/2019 1:04:00 PM</v>
      </c>
      <c r="O12356" t="s">
        <v>37122</v>
      </c>
    </row>
    <row r="12357" spans="1:20" x14ac:dyDescent="0.25">
      <c r="A12357" t="str">
        <f>"3040259"</f>
        <v>3040259</v>
      </c>
      <c r="B12357" t="s">
        <v>37123</v>
      </c>
      <c r="C12357" t="str">
        <f>"8310877"</f>
        <v>8310877</v>
      </c>
      <c r="D12357" t="s">
        <v>37122</v>
      </c>
      <c r="F12357" t="s">
        <v>28480</v>
      </c>
      <c r="I12357" t="s">
        <v>184</v>
      </c>
      <c r="J12357" t="s">
        <v>30</v>
      </c>
      <c r="K12357" t="str">
        <f>"27006"</f>
        <v>27006</v>
      </c>
      <c r="M12357" t="s">
        <v>17861</v>
      </c>
      <c r="N12357" t="str">
        <f>"1/15/2019 1:04:00 PM"</f>
        <v>1/15/2019 1:04:00 PM</v>
      </c>
      <c r="O12357" t="s">
        <v>37122</v>
      </c>
    </row>
    <row r="12358" spans="1:20" x14ac:dyDescent="0.25">
      <c r="A12358" t="str">
        <f>"3037397"</f>
        <v>3037397</v>
      </c>
      <c r="B12358" t="s">
        <v>37124</v>
      </c>
      <c r="C12358" t="str">
        <f>"8310878"</f>
        <v>8310878</v>
      </c>
      <c r="D12358" t="s">
        <v>37122</v>
      </c>
      <c r="E12358" t="s">
        <v>28479</v>
      </c>
      <c r="F12358" t="s">
        <v>37125</v>
      </c>
      <c r="I12358" t="s">
        <v>184</v>
      </c>
      <c r="J12358" t="s">
        <v>30</v>
      </c>
      <c r="K12358" t="s">
        <v>37126</v>
      </c>
      <c r="M12358" t="s">
        <v>17861</v>
      </c>
      <c r="N12358" t="str">
        <f>"1/15/2019 1:07:00 PM"</f>
        <v>1/15/2019 1:07:00 PM</v>
      </c>
      <c r="O12358" t="s">
        <v>37122</v>
      </c>
      <c r="T12358" t="s">
        <v>28479</v>
      </c>
    </row>
    <row r="12359" spans="1:20" x14ac:dyDescent="0.25">
      <c r="A12359" t="str">
        <f>"3037224"</f>
        <v>3037224</v>
      </c>
      <c r="B12359" t="s">
        <v>37127</v>
      </c>
      <c r="C12359" t="str">
        <f>"8310878"</f>
        <v>8310878</v>
      </c>
      <c r="D12359" t="s">
        <v>37122</v>
      </c>
      <c r="E12359" t="s">
        <v>28479</v>
      </c>
      <c r="F12359" t="s">
        <v>37125</v>
      </c>
      <c r="I12359" t="s">
        <v>184</v>
      </c>
      <c r="J12359" t="s">
        <v>30</v>
      </c>
      <c r="K12359" t="s">
        <v>37126</v>
      </c>
      <c r="M12359" t="s">
        <v>17861</v>
      </c>
      <c r="N12359" t="str">
        <f>"1/15/2019 1:07:00 PM"</f>
        <v>1/15/2019 1:07:00 PM</v>
      </c>
      <c r="O12359" t="s">
        <v>37122</v>
      </c>
      <c r="T12359" t="s">
        <v>28479</v>
      </c>
    </row>
    <row r="12360" spans="1:20" x14ac:dyDescent="0.25">
      <c r="A12360" t="str">
        <f>"3048044"</f>
        <v>3048044</v>
      </c>
      <c r="B12360" t="s">
        <v>37128</v>
      </c>
      <c r="C12360" t="str">
        <f>"8302273"</f>
        <v>8302273</v>
      </c>
      <c r="D12360" t="s">
        <v>37129</v>
      </c>
      <c r="E12360" t="s">
        <v>37130</v>
      </c>
      <c r="F12360" t="s">
        <v>37131</v>
      </c>
      <c r="I12360" t="s">
        <v>184</v>
      </c>
      <c r="J12360" t="s">
        <v>30</v>
      </c>
      <c r="K12360" t="s">
        <v>37132</v>
      </c>
      <c r="M12360" t="s">
        <v>17861</v>
      </c>
      <c r="N12360" t="str">
        <f>"1/16/2019 9:19:00 AM"</f>
        <v>1/16/2019 9:19:00 AM</v>
      </c>
      <c r="O12360" t="s">
        <v>37129</v>
      </c>
      <c r="T12360" t="s">
        <v>37130</v>
      </c>
    </row>
    <row r="12361" spans="1:20" x14ac:dyDescent="0.25">
      <c r="A12361" t="str">
        <f>"3040118"</f>
        <v>3040118</v>
      </c>
      <c r="B12361" t="s">
        <v>37133</v>
      </c>
      <c r="C12361" t="str">
        <f>"8309956"</f>
        <v>8309956</v>
      </c>
      <c r="D12361" t="s">
        <v>37134</v>
      </c>
      <c r="E12361" t="s">
        <v>37135</v>
      </c>
      <c r="F12361" t="s">
        <v>37136</v>
      </c>
      <c r="I12361" t="s">
        <v>17921</v>
      </c>
      <c r="J12361" t="s">
        <v>30</v>
      </c>
      <c r="K12361" t="str">
        <f>"27028"</f>
        <v>27028</v>
      </c>
      <c r="M12361" t="s">
        <v>36935</v>
      </c>
      <c r="N12361" t="str">
        <f>"1/29/2019 11:21:00 AM"</f>
        <v>1/29/2019 11:21:00 AM</v>
      </c>
      <c r="O12361" t="s">
        <v>37134</v>
      </c>
      <c r="T12361" t="s">
        <v>37135</v>
      </c>
    </row>
    <row r="12362" spans="1:20" x14ac:dyDescent="0.25">
      <c r="A12362" t="str">
        <f>"3050977"</f>
        <v>3050977</v>
      </c>
      <c r="B12362" t="s">
        <v>37137</v>
      </c>
      <c r="C12362" t="str">
        <f>"82524236"</f>
        <v>82524236</v>
      </c>
      <c r="D12362" t="s">
        <v>20658</v>
      </c>
      <c r="F12362" t="s">
        <v>20660</v>
      </c>
      <c r="I12362" t="s">
        <v>184</v>
      </c>
      <c r="J12362" t="s">
        <v>30</v>
      </c>
      <c r="K12362" t="s">
        <v>185</v>
      </c>
      <c r="M12362" t="s">
        <v>25625</v>
      </c>
      <c r="N12362" t="str">
        <f>"1/16/2019 10:03:00 AM"</f>
        <v>1/16/2019 10:03:00 AM</v>
      </c>
      <c r="O12362" t="s">
        <v>20658</v>
      </c>
    </row>
    <row r="12363" spans="1:20" x14ac:dyDescent="0.25">
      <c r="A12363" t="str">
        <f>"3057044"</f>
        <v>3057044</v>
      </c>
      <c r="B12363" t="s">
        <v>37138</v>
      </c>
      <c r="C12363" t="str">
        <f>"8310892"</f>
        <v>8310892</v>
      </c>
      <c r="D12363" t="s">
        <v>37139</v>
      </c>
      <c r="F12363" t="s">
        <v>37140</v>
      </c>
      <c r="I12363" t="s">
        <v>29</v>
      </c>
      <c r="J12363" t="s">
        <v>30</v>
      </c>
      <c r="K12363" t="s">
        <v>37141</v>
      </c>
      <c r="M12363" t="s">
        <v>17861</v>
      </c>
      <c r="N12363" t="str">
        <f>"1/18/2019 1:05:00 PM"</f>
        <v>1/18/2019 1:05:00 PM</v>
      </c>
      <c r="O12363" t="s">
        <v>37139</v>
      </c>
    </row>
    <row r="12364" spans="1:20" x14ac:dyDescent="0.25">
      <c r="A12364" t="str">
        <f>"3048034"</f>
        <v>3048034</v>
      </c>
      <c r="B12364" t="s">
        <v>37142</v>
      </c>
      <c r="C12364" t="str">
        <f>"8310893"</f>
        <v>8310893</v>
      </c>
      <c r="D12364" t="s">
        <v>37143</v>
      </c>
      <c r="F12364" t="s">
        <v>37144</v>
      </c>
      <c r="I12364" t="s">
        <v>184</v>
      </c>
      <c r="J12364" t="s">
        <v>30</v>
      </c>
      <c r="K12364" t="s">
        <v>37145</v>
      </c>
      <c r="M12364" t="s">
        <v>17861</v>
      </c>
      <c r="N12364" t="str">
        <f>"1/18/2019 2:37:00 PM"</f>
        <v>1/18/2019 2:37:00 PM</v>
      </c>
      <c r="O12364" t="s">
        <v>37143</v>
      </c>
    </row>
    <row r="12365" spans="1:20" x14ac:dyDescent="0.25">
      <c r="A12365" t="str">
        <f>"3047388"</f>
        <v>3047388</v>
      </c>
      <c r="B12365" t="s">
        <v>37146</v>
      </c>
      <c r="C12365" t="str">
        <f>"8310893"</f>
        <v>8310893</v>
      </c>
      <c r="D12365" t="s">
        <v>37143</v>
      </c>
      <c r="F12365" t="s">
        <v>37144</v>
      </c>
      <c r="I12365" t="s">
        <v>184</v>
      </c>
      <c r="J12365" t="s">
        <v>30</v>
      </c>
      <c r="K12365" t="s">
        <v>37145</v>
      </c>
      <c r="M12365" t="s">
        <v>17861</v>
      </c>
      <c r="N12365" t="str">
        <f>"1/18/2019 2:37:00 PM"</f>
        <v>1/18/2019 2:37:00 PM</v>
      </c>
      <c r="O12365" t="s">
        <v>37143</v>
      </c>
    </row>
    <row r="12366" spans="1:20" x14ac:dyDescent="0.25">
      <c r="A12366" t="str">
        <f>"3070002"</f>
        <v>3070002</v>
      </c>
      <c r="B12366" t="s">
        <v>37147</v>
      </c>
      <c r="C12366" t="str">
        <f>"8301369"</f>
        <v>8301369</v>
      </c>
      <c r="D12366" t="s">
        <v>37148</v>
      </c>
      <c r="F12366" t="s">
        <v>37149</v>
      </c>
      <c r="I12366" t="s">
        <v>29</v>
      </c>
      <c r="J12366" t="s">
        <v>30</v>
      </c>
      <c r="K12366" t="str">
        <f>"27028"</f>
        <v>27028</v>
      </c>
      <c r="M12366" t="s">
        <v>36935</v>
      </c>
      <c r="N12366" t="str">
        <f>"1/22/2019 2:16:00 PM"</f>
        <v>1/22/2019 2:16:00 PM</v>
      </c>
      <c r="O12366" t="s">
        <v>37148</v>
      </c>
    </row>
    <row r="12367" spans="1:20" x14ac:dyDescent="0.25">
      <c r="A12367" t="str">
        <f>"3045568"</f>
        <v>3045568</v>
      </c>
      <c r="B12367" t="s">
        <v>37150</v>
      </c>
      <c r="C12367" t="str">
        <f>"82521889"</f>
        <v>82521889</v>
      </c>
      <c r="D12367" t="s">
        <v>37151</v>
      </c>
      <c r="F12367" t="s">
        <v>37152</v>
      </c>
      <c r="I12367" t="s">
        <v>29</v>
      </c>
      <c r="J12367" t="s">
        <v>30</v>
      </c>
      <c r="K12367" t="s">
        <v>9351</v>
      </c>
      <c r="M12367" t="s">
        <v>18479</v>
      </c>
      <c r="N12367" t="str">
        <f>"1/31/2019 2:31:00 PM"</f>
        <v>1/31/2019 2:31:00 PM</v>
      </c>
      <c r="O12367" t="s">
        <v>37151</v>
      </c>
      <c r="T12367" t="s">
        <v>37151</v>
      </c>
    </row>
    <row r="12368" spans="1:20" x14ac:dyDescent="0.25">
      <c r="A12368" t="str">
        <f>"3059721"</f>
        <v>3059721</v>
      </c>
      <c r="B12368" t="s">
        <v>37153</v>
      </c>
      <c r="C12368" t="str">
        <f>"8300341"</f>
        <v>8300341</v>
      </c>
      <c r="D12368" t="s">
        <v>37154</v>
      </c>
      <c r="F12368" t="s">
        <v>37155</v>
      </c>
      <c r="I12368" t="s">
        <v>471</v>
      </c>
      <c r="J12368" t="s">
        <v>30</v>
      </c>
      <c r="K12368" t="s">
        <v>37156</v>
      </c>
      <c r="M12368" t="s">
        <v>34670</v>
      </c>
      <c r="N12368" t="str">
        <f>"1/31/2019 3:47:00 PM"</f>
        <v>1/31/2019 3:47:00 PM</v>
      </c>
      <c r="O12368" t="s">
        <v>37154</v>
      </c>
    </row>
    <row r="12369" spans="1:20" x14ac:dyDescent="0.25">
      <c r="A12369" t="str">
        <f>"3050419"</f>
        <v>3050419</v>
      </c>
      <c r="B12369" t="s">
        <v>37157</v>
      </c>
      <c r="C12369" t="str">
        <f>"8682000"</f>
        <v>8682000</v>
      </c>
      <c r="D12369" t="s">
        <v>37158</v>
      </c>
      <c r="F12369" t="s">
        <v>37159</v>
      </c>
      <c r="I12369" t="s">
        <v>36675</v>
      </c>
      <c r="J12369" t="s">
        <v>30</v>
      </c>
      <c r="K12369" t="str">
        <f>"28166"</f>
        <v>28166</v>
      </c>
      <c r="M12369" t="s">
        <v>25733</v>
      </c>
      <c r="N12369" t="str">
        <f>"1/23/2019 2:21:00 PM"</f>
        <v>1/23/2019 2:21:00 PM</v>
      </c>
      <c r="O12369" t="s">
        <v>37158</v>
      </c>
    </row>
    <row r="12370" spans="1:20" x14ac:dyDescent="0.25">
      <c r="A12370" t="str">
        <f>"3062014"</f>
        <v>3062014</v>
      </c>
      <c r="B12370" t="s">
        <v>37160</v>
      </c>
      <c r="C12370" t="str">
        <f>"8309458"</f>
        <v>8309458</v>
      </c>
      <c r="D12370" t="s">
        <v>37161</v>
      </c>
      <c r="E12370" t="s">
        <v>37162</v>
      </c>
      <c r="F12370" t="s">
        <v>37163</v>
      </c>
      <c r="I12370" t="s">
        <v>184</v>
      </c>
      <c r="J12370" t="s">
        <v>30</v>
      </c>
      <c r="K12370" t="s">
        <v>37164</v>
      </c>
      <c r="M12370" t="s">
        <v>17861</v>
      </c>
      <c r="N12370" t="str">
        <f>"2/1/2019 9:57:00 AM"</f>
        <v>2/1/2019 9:57:00 AM</v>
      </c>
      <c r="O12370" t="s">
        <v>37161</v>
      </c>
      <c r="T12370" t="s">
        <v>37162</v>
      </c>
    </row>
    <row r="12371" spans="1:20" x14ac:dyDescent="0.25">
      <c r="A12371" t="str">
        <f>"3044637"</f>
        <v>3044637</v>
      </c>
      <c r="B12371" t="s">
        <v>37165</v>
      </c>
      <c r="C12371" t="str">
        <f>"8309870"</f>
        <v>8309870</v>
      </c>
      <c r="D12371" t="s">
        <v>37166</v>
      </c>
      <c r="E12371" t="s">
        <v>37167</v>
      </c>
      <c r="F12371" t="s">
        <v>37168</v>
      </c>
      <c r="I12371" t="s">
        <v>184</v>
      </c>
      <c r="J12371" t="s">
        <v>30</v>
      </c>
      <c r="K12371" t="s">
        <v>5840</v>
      </c>
      <c r="M12371" t="s">
        <v>17861</v>
      </c>
      <c r="N12371" t="str">
        <f>"2/1/2019 9:59:00 AM"</f>
        <v>2/1/2019 9:59:00 AM</v>
      </c>
      <c r="O12371" t="s">
        <v>37166</v>
      </c>
      <c r="T12371" t="s">
        <v>37167</v>
      </c>
    </row>
    <row r="12372" spans="1:20" x14ac:dyDescent="0.25">
      <c r="A12372" t="str">
        <f>"3054236"</f>
        <v>3054236</v>
      </c>
      <c r="B12372" t="s">
        <v>37169</v>
      </c>
      <c r="C12372" t="str">
        <f>"8309955"</f>
        <v>8309955</v>
      </c>
      <c r="D12372" t="s">
        <v>37170</v>
      </c>
      <c r="E12372" t="s">
        <v>37171</v>
      </c>
      <c r="F12372" t="s">
        <v>37172</v>
      </c>
      <c r="I12372" t="s">
        <v>29</v>
      </c>
      <c r="J12372" t="s">
        <v>30</v>
      </c>
      <c r="K12372" t="str">
        <f>"27028"</f>
        <v>27028</v>
      </c>
      <c r="M12372" t="s">
        <v>17861</v>
      </c>
      <c r="N12372" t="str">
        <f>"2/1/2019 10:09:00 AM"</f>
        <v>2/1/2019 10:09:00 AM</v>
      </c>
      <c r="O12372" t="s">
        <v>37170</v>
      </c>
      <c r="T12372" t="s">
        <v>37171</v>
      </c>
    </row>
    <row r="12373" spans="1:20" x14ac:dyDescent="0.25">
      <c r="A12373" t="str">
        <f>"3055389"</f>
        <v>3055389</v>
      </c>
      <c r="B12373" t="s">
        <v>37173</v>
      </c>
      <c r="C12373" t="str">
        <f>"82523028"</f>
        <v>82523028</v>
      </c>
      <c r="D12373" t="s">
        <v>37174</v>
      </c>
      <c r="E12373" t="s">
        <v>37175</v>
      </c>
      <c r="F12373" t="s">
        <v>37176</v>
      </c>
      <c r="I12373" t="s">
        <v>29</v>
      </c>
      <c r="J12373" t="s">
        <v>30</v>
      </c>
      <c r="K12373" t="s">
        <v>31</v>
      </c>
      <c r="M12373" t="s">
        <v>17861</v>
      </c>
      <c r="N12373" t="str">
        <f>"2/1/2019 10:25:00 AM"</f>
        <v>2/1/2019 10:25:00 AM</v>
      </c>
      <c r="O12373" t="s">
        <v>37174</v>
      </c>
      <c r="T12373" t="s">
        <v>37175</v>
      </c>
    </row>
    <row r="12374" spans="1:20" x14ac:dyDescent="0.25">
      <c r="A12374" t="str">
        <f>"3060631"</f>
        <v>3060631</v>
      </c>
      <c r="B12374" t="s">
        <v>37177</v>
      </c>
      <c r="C12374" t="str">
        <f>"8306800"</f>
        <v>8306800</v>
      </c>
      <c r="D12374" t="s">
        <v>37178</v>
      </c>
      <c r="E12374" t="s">
        <v>37179</v>
      </c>
      <c r="F12374" t="s">
        <v>37180</v>
      </c>
      <c r="I12374" t="s">
        <v>2071</v>
      </c>
      <c r="J12374" t="s">
        <v>30</v>
      </c>
      <c r="K12374" t="str">
        <f>"27006"</f>
        <v>27006</v>
      </c>
      <c r="M12374" t="s">
        <v>17861</v>
      </c>
      <c r="N12374" t="str">
        <f>"2/1/2019 10:28:00 AM"</f>
        <v>2/1/2019 10:28:00 AM</v>
      </c>
      <c r="O12374" t="s">
        <v>37178</v>
      </c>
      <c r="T12374" t="s">
        <v>37179</v>
      </c>
    </row>
    <row r="12375" spans="1:20" x14ac:dyDescent="0.25">
      <c r="A12375" t="str">
        <f>"3048254"</f>
        <v>3048254</v>
      </c>
      <c r="B12375" t="s">
        <v>37181</v>
      </c>
      <c r="C12375" t="str">
        <f>"8309210"</f>
        <v>8309210</v>
      </c>
      <c r="D12375" t="s">
        <v>37182</v>
      </c>
      <c r="F12375" t="s">
        <v>37183</v>
      </c>
      <c r="I12375" t="s">
        <v>17921</v>
      </c>
      <c r="J12375" t="s">
        <v>30</v>
      </c>
      <c r="K12375" t="str">
        <f>"27028"</f>
        <v>27028</v>
      </c>
      <c r="M12375" t="s">
        <v>17861</v>
      </c>
      <c r="N12375" t="str">
        <f>"2/1/2019 10:29:00 AM"</f>
        <v>2/1/2019 10:29:00 AM</v>
      </c>
      <c r="O12375" t="s">
        <v>37182</v>
      </c>
    </row>
    <row r="12376" spans="1:20" x14ac:dyDescent="0.25">
      <c r="A12376" t="str">
        <f>"3061177"</f>
        <v>3061177</v>
      </c>
      <c r="B12376" t="s">
        <v>37184</v>
      </c>
      <c r="C12376" t="str">
        <f>"8310683"</f>
        <v>8310683</v>
      </c>
      <c r="D12376" t="s">
        <v>37185</v>
      </c>
      <c r="E12376" t="s">
        <v>37186</v>
      </c>
      <c r="F12376" t="s">
        <v>37187</v>
      </c>
      <c r="I12376" t="s">
        <v>2071</v>
      </c>
      <c r="J12376" t="s">
        <v>30</v>
      </c>
      <c r="K12376" t="s">
        <v>37188</v>
      </c>
      <c r="M12376" t="s">
        <v>17861</v>
      </c>
      <c r="N12376" t="str">
        <f>"2/1/2019 10:47:00 AM"</f>
        <v>2/1/2019 10:47:00 AM</v>
      </c>
      <c r="O12376" t="s">
        <v>37185</v>
      </c>
      <c r="T12376" t="s">
        <v>37186</v>
      </c>
    </row>
    <row r="12377" spans="1:20" x14ac:dyDescent="0.25">
      <c r="A12377" t="str">
        <f>"3048984"</f>
        <v>3048984</v>
      </c>
      <c r="B12377" t="s">
        <v>37189</v>
      </c>
      <c r="C12377" t="str">
        <f>"8302050"</f>
        <v>8302050</v>
      </c>
      <c r="D12377" t="s">
        <v>37190</v>
      </c>
      <c r="F12377" t="s">
        <v>37191</v>
      </c>
      <c r="I12377" t="s">
        <v>49</v>
      </c>
      <c r="J12377" t="s">
        <v>30</v>
      </c>
      <c r="K12377" t="str">
        <f>"27055"</f>
        <v>27055</v>
      </c>
      <c r="M12377" t="s">
        <v>17861</v>
      </c>
      <c r="N12377" t="str">
        <f>"2/1/2019 11:00:00 AM"</f>
        <v>2/1/2019 11:00:00 AM</v>
      </c>
      <c r="O12377" t="s">
        <v>37190</v>
      </c>
    </row>
    <row r="12378" spans="1:20" x14ac:dyDescent="0.25">
      <c r="A12378" t="str">
        <f>"3048971"</f>
        <v>3048971</v>
      </c>
      <c r="B12378" t="s">
        <v>37192</v>
      </c>
      <c r="C12378" t="str">
        <f>"8302050"</f>
        <v>8302050</v>
      </c>
      <c r="D12378" t="s">
        <v>37190</v>
      </c>
      <c r="F12378" t="s">
        <v>37191</v>
      </c>
      <c r="I12378" t="s">
        <v>49</v>
      </c>
      <c r="J12378" t="s">
        <v>30</v>
      </c>
      <c r="K12378" t="str">
        <f>"27055"</f>
        <v>27055</v>
      </c>
      <c r="M12378" t="s">
        <v>17861</v>
      </c>
      <c r="N12378" t="str">
        <f>"2/1/2019 11:00:00 AM"</f>
        <v>2/1/2019 11:00:00 AM</v>
      </c>
      <c r="O12378" t="s">
        <v>37190</v>
      </c>
    </row>
    <row r="12379" spans="1:20" x14ac:dyDescent="0.25">
      <c r="A12379" t="str">
        <f>"3049612"</f>
        <v>3049612</v>
      </c>
      <c r="B12379" t="s">
        <v>37193</v>
      </c>
      <c r="C12379" t="str">
        <f>"8310906"</f>
        <v>8310906</v>
      </c>
      <c r="D12379" t="s">
        <v>10397</v>
      </c>
      <c r="F12379" t="s">
        <v>37194</v>
      </c>
      <c r="I12379" t="s">
        <v>29</v>
      </c>
      <c r="J12379" t="s">
        <v>30</v>
      </c>
      <c r="K12379" t="s">
        <v>37195</v>
      </c>
      <c r="M12379" t="s">
        <v>17861</v>
      </c>
      <c r="N12379" t="str">
        <f>"2/1/2019 1:12:00 PM"</f>
        <v>2/1/2019 1:12:00 PM</v>
      </c>
      <c r="O12379" t="s">
        <v>10397</v>
      </c>
    </row>
    <row r="12380" spans="1:20" x14ac:dyDescent="0.25">
      <c r="A12380" t="str">
        <f>"3050467"</f>
        <v>3050467</v>
      </c>
      <c r="B12380" t="s">
        <v>37196</v>
      </c>
      <c r="C12380" t="str">
        <f>"8310906"</f>
        <v>8310906</v>
      </c>
      <c r="D12380" t="s">
        <v>10397</v>
      </c>
      <c r="F12380" t="s">
        <v>37194</v>
      </c>
      <c r="I12380" t="s">
        <v>29</v>
      </c>
      <c r="J12380" t="s">
        <v>30</v>
      </c>
      <c r="K12380" t="s">
        <v>37195</v>
      </c>
      <c r="M12380" t="s">
        <v>17861</v>
      </c>
      <c r="N12380" t="str">
        <f>"2/1/2019 1:12:00 PM"</f>
        <v>2/1/2019 1:12:00 PM</v>
      </c>
      <c r="O12380" t="s">
        <v>10397</v>
      </c>
    </row>
    <row r="12381" spans="1:20" x14ac:dyDescent="0.25">
      <c r="A12381" t="str">
        <f>"3068806"</f>
        <v>3068806</v>
      </c>
      <c r="B12381" t="s">
        <v>37197</v>
      </c>
      <c r="C12381" t="str">
        <f>"8310906"</f>
        <v>8310906</v>
      </c>
      <c r="D12381" t="s">
        <v>10397</v>
      </c>
      <c r="F12381" t="s">
        <v>37194</v>
      </c>
      <c r="I12381" t="s">
        <v>29</v>
      </c>
      <c r="J12381" t="s">
        <v>30</v>
      </c>
      <c r="K12381" t="s">
        <v>37195</v>
      </c>
      <c r="M12381" t="s">
        <v>17861</v>
      </c>
      <c r="N12381" t="str">
        <f>"2/1/2019 1:12:00 PM"</f>
        <v>2/1/2019 1:12:00 PM</v>
      </c>
      <c r="O12381" t="s">
        <v>10397</v>
      </c>
    </row>
    <row r="12382" spans="1:20" x14ac:dyDescent="0.25">
      <c r="A12382" t="str">
        <f>"3068810"</f>
        <v>3068810</v>
      </c>
      <c r="B12382" t="s">
        <v>37198</v>
      </c>
      <c r="C12382" t="str">
        <f>"8310907"</f>
        <v>8310907</v>
      </c>
      <c r="D12382" t="s">
        <v>37199</v>
      </c>
      <c r="E12382" t="s">
        <v>37200</v>
      </c>
      <c r="F12382" t="s">
        <v>37201</v>
      </c>
      <c r="I12382" t="s">
        <v>184</v>
      </c>
      <c r="J12382" t="s">
        <v>30</v>
      </c>
      <c r="K12382" t="s">
        <v>37202</v>
      </c>
      <c r="M12382" t="s">
        <v>17861</v>
      </c>
      <c r="N12382" t="str">
        <f>"2/1/2019 1:19:00 PM"</f>
        <v>2/1/2019 1:19:00 PM</v>
      </c>
      <c r="O12382" t="s">
        <v>37199</v>
      </c>
      <c r="T12382" t="s">
        <v>37200</v>
      </c>
    </row>
    <row r="12383" spans="1:20" x14ac:dyDescent="0.25">
      <c r="A12383" t="str">
        <f>"3046556"</f>
        <v>3046556</v>
      </c>
      <c r="B12383" t="s">
        <v>37203</v>
      </c>
      <c r="C12383" t="str">
        <f>"8310907"</f>
        <v>8310907</v>
      </c>
      <c r="D12383" t="s">
        <v>37199</v>
      </c>
      <c r="E12383" t="s">
        <v>37200</v>
      </c>
      <c r="F12383" t="s">
        <v>37201</v>
      </c>
      <c r="I12383" t="s">
        <v>184</v>
      </c>
      <c r="J12383" t="s">
        <v>30</v>
      </c>
      <c r="K12383" t="s">
        <v>37202</v>
      </c>
      <c r="M12383" t="s">
        <v>17861</v>
      </c>
      <c r="N12383" t="str">
        <f>"2/1/2019 1:19:00 PM"</f>
        <v>2/1/2019 1:19:00 PM</v>
      </c>
      <c r="O12383" t="s">
        <v>37199</v>
      </c>
      <c r="T12383" t="s">
        <v>37200</v>
      </c>
    </row>
    <row r="12384" spans="1:20" x14ac:dyDescent="0.25">
      <c r="A12384" t="str">
        <f>"3040707"</f>
        <v>3040707</v>
      </c>
      <c r="B12384" t="s">
        <v>37204</v>
      </c>
      <c r="C12384" t="str">
        <f>"8310900"</f>
        <v>8310900</v>
      </c>
      <c r="D12384" t="s">
        <v>37205</v>
      </c>
      <c r="E12384" t="s">
        <v>37206</v>
      </c>
      <c r="F12384" t="s">
        <v>37207</v>
      </c>
      <c r="I12384" t="s">
        <v>184</v>
      </c>
      <c r="J12384" t="s">
        <v>30</v>
      </c>
      <c r="K12384" t="s">
        <v>37208</v>
      </c>
      <c r="M12384" t="s">
        <v>17861</v>
      </c>
      <c r="N12384" t="str">
        <f>"1/23/2019 3:27:00 PM"</f>
        <v>1/23/2019 3:27:00 PM</v>
      </c>
      <c r="O12384" t="s">
        <v>37205</v>
      </c>
      <c r="T12384" t="s">
        <v>37206</v>
      </c>
    </row>
    <row r="12385" spans="1:20" x14ac:dyDescent="0.25">
      <c r="A12385" t="str">
        <f>"3078455"</f>
        <v>3078455</v>
      </c>
      <c r="B12385" t="s">
        <v>37209</v>
      </c>
      <c r="C12385" t="str">
        <f>"62668000"</f>
        <v>62668000</v>
      </c>
      <c r="D12385" t="s">
        <v>37210</v>
      </c>
      <c r="E12385" t="s">
        <v>37211</v>
      </c>
      <c r="F12385" t="s">
        <v>13478</v>
      </c>
      <c r="I12385" t="s">
        <v>29</v>
      </c>
      <c r="J12385" t="s">
        <v>30</v>
      </c>
      <c r="K12385" t="s">
        <v>14566</v>
      </c>
      <c r="M12385" t="s">
        <v>17861</v>
      </c>
      <c r="N12385" t="str">
        <f>"1/14/2019 12:50:00 PM"</f>
        <v>1/14/2019 12:50:00 PM</v>
      </c>
      <c r="O12385" t="s">
        <v>37210</v>
      </c>
      <c r="T12385" t="s">
        <v>37211</v>
      </c>
    </row>
    <row r="12386" spans="1:20" x14ac:dyDescent="0.25">
      <c r="A12386" t="str">
        <f>"3052946"</f>
        <v>3052946</v>
      </c>
      <c r="B12386" t="s">
        <v>37212</v>
      </c>
      <c r="C12386" t="str">
        <f>"8302105"</f>
        <v>8302105</v>
      </c>
      <c r="D12386" t="s">
        <v>37213</v>
      </c>
      <c r="F12386" t="s">
        <v>37214</v>
      </c>
      <c r="I12386" t="s">
        <v>29</v>
      </c>
      <c r="J12386" t="s">
        <v>30</v>
      </c>
      <c r="K12386" t="str">
        <f>"27028"</f>
        <v>27028</v>
      </c>
      <c r="M12386" t="s">
        <v>34475</v>
      </c>
      <c r="N12386" t="str">
        <f>"1/14/2019 2:20:00 PM"</f>
        <v>1/14/2019 2:20:00 PM</v>
      </c>
      <c r="O12386" t="s">
        <v>37213</v>
      </c>
    </row>
    <row r="12387" spans="1:20" x14ac:dyDescent="0.25">
      <c r="A12387" t="str">
        <f>"3061933"</f>
        <v>3061933</v>
      </c>
      <c r="B12387" t="s">
        <v>37215</v>
      </c>
      <c r="C12387" t="str">
        <f>"8310870"</f>
        <v>8310870</v>
      </c>
      <c r="D12387" t="s">
        <v>37216</v>
      </c>
      <c r="F12387" t="s">
        <v>37217</v>
      </c>
      <c r="I12387" t="s">
        <v>29</v>
      </c>
      <c r="J12387" t="s">
        <v>30</v>
      </c>
      <c r="K12387" t="s">
        <v>37218</v>
      </c>
      <c r="M12387" t="s">
        <v>17861</v>
      </c>
      <c r="N12387" t="str">
        <f>"1/14/2019 2:26:00 PM"</f>
        <v>1/14/2019 2:26:00 PM</v>
      </c>
      <c r="O12387" t="s">
        <v>37216</v>
      </c>
    </row>
    <row r="12388" spans="1:20" x14ac:dyDescent="0.25">
      <c r="A12388" t="str">
        <f>"3043476"</f>
        <v>3043476</v>
      </c>
      <c r="B12388" t="s">
        <v>37219</v>
      </c>
      <c r="C12388" t="str">
        <f>"8308870"</f>
        <v>8308870</v>
      </c>
      <c r="D12388" t="s">
        <v>37220</v>
      </c>
      <c r="F12388" t="s">
        <v>37221</v>
      </c>
      <c r="I12388" t="s">
        <v>29</v>
      </c>
      <c r="J12388" t="s">
        <v>30</v>
      </c>
      <c r="K12388" t="s">
        <v>37222</v>
      </c>
      <c r="M12388" t="s">
        <v>25733</v>
      </c>
      <c r="N12388" t="str">
        <f>"1/14/2019 2:44:00 PM"</f>
        <v>1/14/2019 2:44:00 PM</v>
      </c>
      <c r="O12388" t="s">
        <v>37220</v>
      </c>
    </row>
    <row r="12389" spans="1:20" x14ac:dyDescent="0.25">
      <c r="A12389" t="str">
        <f>"3060972"</f>
        <v>3060972</v>
      </c>
      <c r="B12389" t="s">
        <v>37223</v>
      </c>
      <c r="C12389" t="str">
        <f>"8310488"</f>
        <v>8310488</v>
      </c>
      <c r="D12389" t="s">
        <v>37224</v>
      </c>
      <c r="E12389" t="s">
        <v>37225</v>
      </c>
      <c r="F12389" t="s">
        <v>37226</v>
      </c>
      <c r="I12389" t="s">
        <v>6707</v>
      </c>
      <c r="J12389" t="s">
        <v>30</v>
      </c>
      <c r="K12389" t="str">
        <f>"27539"</f>
        <v>27539</v>
      </c>
      <c r="M12389" t="s">
        <v>25625</v>
      </c>
      <c r="N12389" t="str">
        <f>"1/24/2019 10:10:00 AM"</f>
        <v>1/24/2019 10:10:00 AM</v>
      </c>
      <c r="O12389" t="s">
        <v>37224</v>
      </c>
      <c r="T12389" t="s">
        <v>37225</v>
      </c>
    </row>
    <row r="12390" spans="1:20" x14ac:dyDescent="0.25">
      <c r="A12390" t="str">
        <f>"3057426"</f>
        <v>3057426</v>
      </c>
      <c r="B12390" t="s">
        <v>37227</v>
      </c>
      <c r="C12390" t="str">
        <f>"8310959"</f>
        <v>8310959</v>
      </c>
      <c r="D12390" t="s">
        <v>37228</v>
      </c>
      <c r="E12390" t="s">
        <v>37229</v>
      </c>
      <c r="F12390" t="s">
        <v>37230</v>
      </c>
      <c r="I12390" t="s">
        <v>29</v>
      </c>
      <c r="J12390" t="s">
        <v>30</v>
      </c>
      <c r="K12390" t="s">
        <v>4152</v>
      </c>
      <c r="M12390" t="s">
        <v>17861</v>
      </c>
      <c r="N12390" t="str">
        <f>"2/13/2019 12:30:00 PM"</f>
        <v>2/13/2019 12:30:00 PM</v>
      </c>
      <c r="O12390" t="s">
        <v>37228</v>
      </c>
      <c r="T12390" t="s">
        <v>37229</v>
      </c>
    </row>
    <row r="12391" spans="1:20" x14ac:dyDescent="0.25">
      <c r="A12391" t="str">
        <f>"3059384"</f>
        <v>3059384</v>
      </c>
      <c r="B12391" t="s">
        <v>37231</v>
      </c>
      <c r="C12391" t="str">
        <f>"8310959"</f>
        <v>8310959</v>
      </c>
      <c r="D12391" t="s">
        <v>37228</v>
      </c>
      <c r="E12391" t="s">
        <v>37229</v>
      </c>
      <c r="F12391" t="s">
        <v>37230</v>
      </c>
      <c r="I12391" t="s">
        <v>29</v>
      </c>
      <c r="J12391" t="s">
        <v>30</v>
      </c>
      <c r="K12391" t="s">
        <v>4152</v>
      </c>
      <c r="M12391" t="s">
        <v>17861</v>
      </c>
      <c r="N12391" t="str">
        <f>"2/13/2019 12:30:00 PM"</f>
        <v>2/13/2019 12:30:00 PM</v>
      </c>
      <c r="O12391" t="s">
        <v>37228</v>
      </c>
      <c r="T12391" t="s">
        <v>37229</v>
      </c>
    </row>
    <row r="12392" spans="1:20" x14ac:dyDescent="0.25">
      <c r="A12392" t="str">
        <f>"3054436"</f>
        <v>3054436</v>
      </c>
      <c r="B12392" t="s">
        <v>37232</v>
      </c>
      <c r="C12392" t="str">
        <f>"8310874"</f>
        <v>8310874</v>
      </c>
      <c r="D12392" t="s">
        <v>37233</v>
      </c>
      <c r="E12392" t="s">
        <v>37234</v>
      </c>
      <c r="F12392" t="s">
        <v>37235</v>
      </c>
      <c r="I12392" t="s">
        <v>29</v>
      </c>
      <c r="J12392" t="s">
        <v>30</v>
      </c>
      <c r="K12392" t="s">
        <v>37236</v>
      </c>
      <c r="M12392" t="s">
        <v>17861</v>
      </c>
      <c r="N12392" t="str">
        <f>"1/14/2019 3:17:00 PM"</f>
        <v>1/14/2019 3:17:00 PM</v>
      </c>
      <c r="O12392" t="s">
        <v>37233</v>
      </c>
      <c r="T12392" t="s">
        <v>37234</v>
      </c>
    </row>
    <row r="12393" spans="1:20" x14ac:dyDescent="0.25">
      <c r="A12393" t="str">
        <f>"3056206"</f>
        <v>3056206</v>
      </c>
      <c r="B12393" t="s">
        <v>37237</v>
      </c>
      <c r="C12393" t="str">
        <f>"8310968"</f>
        <v>8310968</v>
      </c>
      <c r="D12393" t="s">
        <v>37238</v>
      </c>
      <c r="F12393" t="s">
        <v>37239</v>
      </c>
      <c r="I12393" t="s">
        <v>9580</v>
      </c>
      <c r="J12393" t="s">
        <v>30</v>
      </c>
      <c r="K12393" t="s">
        <v>37240</v>
      </c>
      <c r="M12393" t="s">
        <v>17861</v>
      </c>
      <c r="N12393" t="str">
        <f>"2/13/2019 2:10:00 PM"</f>
        <v>2/13/2019 2:10:00 PM</v>
      </c>
      <c r="O12393" t="s">
        <v>37238</v>
      </c>
    </row>
    <row r="12394" spans="1:20" x14ac:dyDescent="0.25">
      <c r="A12394" t="str">
        <f>"3056207"</f>
        <v>3056207</v>
      </c>
      <c r="B12394" t="s">
        <v>37241</v>
      </c>
      <c r="C12394" t="str">
        <f>"8310968"</f>
        <v>8310968</v>
      </c>
      <c r="D12394" t="s">
        <v>37238</v>
      </c>
      <c r="F12394" t="s">
        <v>37239</v>
      </c>
      <c r="I12394" t="s">
        <v>9580</v>
      </c>
      <c r="J12394" t="s">
        <v>30</v>
      </c>
      <c r="K12394" t="s">
        <v>37240</v>
      </c>
      <c r="M12394" t="s">
        <v>17861</v>
      </c>
      <c r="N12394" t="str">
        <f>"2/13/2019 2:10:00 PM"</f>
        <v>2/13/2019 2:10:00 PM</v>
      </c>
      <c r="O12394" t="s">
        <v>37238</v>
      </c>
    </row>
    <row r="12395" spans="1:20" x14ac:dyDescent="0.25">
      <c r="A12395" t="str">
        <f>"3056208"</f>
        <v>3056208</v>
      </c>
      <c r="B12395" t="s">
        <v>37242</v>
      </c>
      <c r="C12395" t="str">
        <f>"8310968"</f>
        <v>8310968</v>
      </c>
      <c r="D12395" t="s">
        <v>37238</v>
      </c>
      <c r="F12395" t="s">
        <v>37239</v>
      </c>
      <c r="I12395" t="s">
        <v>9580</v>
      </c>
      <c r="J12395" t="s">
        <v>30</v>
      </c>
      <c r="K12395" t="s">
        <v>37240</v>
      </c>
      <c r="M12395" t="s">
        <v>17861</v>
      </c>
      <c r="N12395" t="str">
        <f>"2/13/2019 2:10:00 PM"</f>
        <v>2/13/2019 2:10:00 PM</v>
      </c>
      <c r="O12395" t="s">
        <v>37238</v>
      </c>
    </row>
    <row r="12396" spans="1:20" x14ac:dyDescent="0.25">
      <c r="A12396" t="str">
        <f>"3056198"</f>
        <v>3056198</v>
      </c>
      <c r="B12396" t="s">
        <v>37243</v>
      </c>
      <c r="C12396" t="str">
        <f>"8310968"</f>
        <v>8310968</v>
      </c>
      <c r="D12396" t="s">
        <v>37238</v>
      </c>
      <c r="F12396" t="s">
        <v>37239</v>
      </c>
      <c r="I12396" t="s">
        <v>9580</v>
      </c>
      <c r="J12396" t="s">
        <v>30</v>
      </c>
      <c r="K12396" t="s">
        <v>37240</v>
      </c>
      <c r="M12396" t="s">
        <v>17861</v>
      </c>
      <c r="N12396" t="str">
        <f>"2/13/2019 2:10:00 PM"</f>
        <v>2/13/2019 2:10:00 PM</v>
      </c>
      <c r="O12396" t="s">
        <v>37238</v>
      </c>
    </row>
    <row r="12397" spans="1:20" x14ac:dyDescent="0.25">
      <c r="A12397" t="str">
        <f>"3055755"</f>
        <v>3055755</v>
      </c>
      <c r="B12397" t="s">
        <v>37244</v>
      </c>
      <c r="C12397" t="str">
        <f>"8310968"</f>
        <v>8310968</v>
      </c>
      <c r="D12397" t="s">
        <v>37238</v>
      </c>
      <c r="F12397" t="s">
        <v>37239</v>
      </c>
      <c r="I12397" t="s">
        <v>9580</v>
      </c>
      <c r="J12397" t="s">
        <v>30</v>
      </c>
      <c r="K12397" t="s">
        <v>37240</v>
      </c>
      <c r="M12397" t="s">
        <v>17861</v>
      </c>
      <c r="N12397" t="str">
        <f>"2/13/2019 2:10:00 PM"</f>
        <v>2/13/2019 2:10:00 PM</v>
      </c>
      <c r="O12397" t="s">
        <v>37238</v>
      </c>
    </row>
    <row r="12398" spans="1:20" x14ac:dyDescent="0.25">
      <c r="A12398" t="str">
        <f>"3041467"</f>
        <v>3041467</v>
      </c>
      <c r="B12398" t="s">
        <v>37245</v>
      </c>
      <c r="C12398" t="str">
        <f>"8310970"</f>
        <v>8310970</v>
      </c>
      <c r="D12398" t="s">
        <v>37246</v>
      </c>
      <c r="E12398" t="s">
        <v>37247</v>
      </c>
      <c r="F12398" t="s">
        <v>37248</v>
      </c>
      <c r="I12398" t="s">
        <v>184</v>
      </c>
      <c r="J12398" t="s">
        <v>30</v>
      </c>
      <c r="K12398" t="s">
        <v>22356</v>
      </c>
      <c r="M12398" t="s">
        <v>17861</v>
      </c>
      <c r="N12398" t="str">
        <f>"2/13/2019 2:15:00 PM"</f>
        <v>2/13/2019 2:15:00 PM</v>
      </c>
      <c r="O12398" t="s">
        <v>37246</v>
      </c>
      <c r="T12398" t="s">
        <v>37247</v>
      </c>
    </row>
    <row r="12399" spans="1:20" x14ac:dyDescent="0.25">
      <c r="A12399" t="str">
        <f>"3045264"</f>
        <v>3045264</v>
      </c>
      <c r="B12399" t="s">
        <v>37249</v>
      </c>
      <c r="C12399" t="str">
        <f>"8310971"</f>
        <v>8310971</v>
      </c>
      <c r="D12399" t="s">
        <v>37250</v>
      </c>
      <c r="E12399" t="s">
        <v>37251</v>
      </c>
      <c r="F12399" t="s">
        <v>37252</v>
      </c>
      <c r="I12399" t="s">
        <v>29</v>
      </c>
      <c r="J12399" t="s">
        <v>30</v>
      </c>
      <c r="K12399" t="s">
        <v>37253</v>
      </c>
      <c r="M12399" t="s">
        <v>17861</v>
      </c>
      <c r="N12399" t="str">
        <f>"2/13/2019 2:18:00 PM"</f>
        <v>2/13/2019 2:18:00 PM</v>
      </c>
      <c r="O12399" t="s">
        <v>37250</v>
      </c>
      <c r="T12399" t="s">
        <v>37251</v>
      </c>
    </row>
    <row r="12400" spans="1:20" x14ac:dyDescent="0.25">
      <c r="A12400" t="str">
        <f>"3039078"</f>
        <v>3039078</v>
      </c>
      <c r="B12400" t="s">
        <v>37254</v>
      </c>
      <c r="C12400" t="str">
        <f>"8306286"</f>
        <v>8306286</v>
      </c>
      <c r="D12400" t="s">
        <v>37255</v>
      </c>
      <c r="E12400" t="s">
        <v>37256</v>
      </c>
      <c r="F12400" t="s">
        <v>37257</v>
      </c>
      <c r="I12400" t="s">
        <v>49</v>
      </c>
      <c r="J12400" t="s">
        <v>30</v>
      </c>
      <c r="K12400" t="str">
        <f>"27055"</f>
        <v>27055</v>
      </c>
      <c r="M12400" t="s">
        <v>34475</v>
      </c>
      <c r="N12400" t="str">
        <f>"1/14/2019 3:50:00 PM"</f>
        <v>1/14/2019 3:50:00 PM</v>
      </c>
      <c r="O12400" t="s">
        <v>37255</v>
      </c>
      <c r="T12400" t="s">
        <v>37256</v>
      </c>
    </row>
    <row r="12401" spans="1:20" x14ac:dyDescent="0.25">
      <c r="A12401" t="str">
        <f>"3049240"</f>
        <v>3049240</v>
      </c>
      <c r="B12401" t="s">
        <v>37258</v>
      </c>
      <c r="C12401" t="str">
        <f>"8310975"</f>
        <v>8310975</v>
      </c>
      <c r="D12401" t="s">
        <v>37259</v>
      </c>
      <c r="E12401" t="s">
        <v>37260</v>
      </c>
      <c r="F12401" t="s">
        <v>37261</v>
      </c>
      <c r="I12401" t="s">
        <v>184</v>
      </c>
      <c r="J12401" t="s">
        <v>30</v>
      </c>
      <c r="K12401" t="s">
        <v>33063</v>
      </c>
      <c r="M12401" t="s">
        <v>17861</v>
      </c>
      <c r="N12401" t="str">
        <f>"2/13/2019 2:38:00 PM"</f>
        <v>2/13/2019 2:38:00 PM</v>
      </c>
      <c r="O12401" t="s">
        <v>37259</v>
      </c>
      <c r="T12401" t="s">
        <v>37260</v>
      </c>
    </row>
    <row r="12402" spans="1:20" x14ac:dyDescent="0.25">
      <c r="A12402" t="str">
        <f>"3042651"</f>
        <v>3042651</v>
      </c>
      <c r="B12402" t="s">
        <v>37262</v>
      </c>
      <c r="C12402" t="str">
        <f>"8310976"</f>
        <v>8310976</v>
      </c>
      <c r="D12402" t="s">
        <v>37263</v>
      </c>
      <c r="F12402" t="s">
        <v>37264</v>
      </c>
      <c r="I12402" t="s">
        <v>29</v>
      </c>
      <c r="J12402" t="s">
        <v>30</v>
      </c>
      <c r="K12402" t="s">
        <v>37265</v>
      </c>
      <c r="M12402" t="s">
        <v>17861</v>
      </c>
      <c r="N12402" t="str">
        <f>"2/13/2019 3:16:00 PM"</f>
        <v>2/13/2019 3:16:00 PM</v>
      </c>
      <c r="O12402" t="s">
        <v>37263</v>
      </c>
    </row>
    <row r="12403" spans="1:20" x14ac:dyDescent="0.25">
      <c r="A12403" t="str">
        <f>"3053475"</f>
        <v>3053475</v>
      </c>
      <c r="B12403" t="s">
        <v>37266</v>
      </c>
      <c r="C12403" t="str">
        <f>"8310977"</f>
        <v>8310977</v>
      </c>
      <c r="D12403" t="s">
        <v>37267</v>
      </c>
      <c r="E12403" t="s">
        <v>37268</v>
      </c>
      <c r="F12403" t="s">
        <v>37269</v>
      </c>
      <c r="I12403" t="s">
        <v>29</v>
      </c>
      <c r="J12403" t="s">
        <v>30</v>
      </c>
      <c r="K12403" t="s">
        <v>34654</v>
      </c>
      <c r="M12403" t="s">
        <v>17861</v>
      </c>
      <c r="N12403" t="str">
        <f>"2/14/2019 9:17:00 AM"</f>
        <v>2/14/2019 9:17:00 AM</v>
      </c>
      <c r="O12403" t="s">
        <v>37267</v>
      </c>
      <c r="T12403" t="s">
        <v>37268</v>
      </c>
    </row>
    <row r="12404" spans="1:20" x14ac:dyDescent="0.25">
      <c r="A12404" t="str">
        <f>"3055359"</f>
        <v>3055359</v>
      </c>
      <c r="B12404" t="s">
        <v>37270</v>
      </c>
      <c r="C12404" t="str">
        <f>"8310980"</f>
        <v>8310980</v>
      </c>
      <c r="D12404" t="s">
        <v>37271</v>
      </c>
      <c r="E12404" t="s">
        <v>37272</v>
      </c>
      <c r="F12404" t="s">
        <v>37273</v>
      </c>
      <c r="I12404" t="s">
        <v>29</v>
      </c>
      <c r="J12404" t="s">
        <v>30</v>
      </c>
      <c r="K12404" t="s">
        <v>15366</v>
      </c>
      <c r="M12404" t="s">
        <v>17861</v>
      </c>
      <c r="N12404" t="str">
        <f>"2/14/2019 9:53:00 AM"</f>
        <v>2/14/2019 9:53:00 AM</v>
      </c>
      <c r="O12404" t="s">
        <v>37271</v>
      </c>
      <c r="T12404" t="s">
        <v>37272</v>
      </c>
    </row>
    <row r="12405" spans="1:20" x14ac:dyDescent="0.25">
      <c r="A12405" t="str">
        <f>"3038522"</f>
        <v>3038522</v>
      </c>
      <c r="B12405" t="s">
        <v>37274</v>
      </c>
      <c r="C12405" t="str">
        <f>"35276000"</f>
        <v>35276000</v>
      </c>
      <c r="D12405" t="s">
        <v>37275</v>
      </c>
      <c r="E12405" t="s">
        <v>37276</v>
      </c>
      <c r="F12405" t="s">
        <v>37277</v>
      </c>
      <c r="I12405" t="s">
        <v>29</v>
      </c>
      <c r="J12405" t="s">
        <v>30</v>
      </c>
      <c r="K12405" t="s">
        <v>7290</v>
      </c>
      <c r="M12405" t="s">
        <v>34475</v>
      </c>
      <c r="N12405" t="str">
        <f>"1/14/2019 3:59:00 PM"</f>
        <v>1/14/2019 3:59:00 PM</v>
      </c>
      <c r="O12405" t="s">
        <v>37275</v>
      </c>
      <c r="T12405" t="s">
        <v>37276</v>
      </c>
    </row>
    <row r="12406" spans="1:20" x14ac:dyDescent="0.25">
      <c r="A12406" t="str">
        <f>"3053923"</f>
        <v>3053923</v>
      </c>
      <c r="B12406" t="s">
        <v>37278</v>
      </c>
      <c r="C12406" t="str">
        <f>"8310986"</f>
        <v>8310986</v>
      </c>
      <c r="D12406" t="s">
        <v>37279</v>
      </c>
      <c r="E12406" t="s">
        <v>37280</v>
      </c>
      <c r="F12406" t="s">
        <v>37281</v>
      </c>
      <c r="I12406" t="s">
        <v>29</v>
      </c>
      <c r="J12406" t="s">
        <v>30</v>
      </c>
      <c r="K12406" t="s">
        <v>13295</v>
      </c>
      <c r="M12406" t="s">
        <v>17861</v>
      </c>
      <c r="N12406" t="str">
        <f>"2/14/2019 10:40:00 AM"</f>
        <v>2/14/2019 10:40:00 AM</v>
      </c>
      <c r="O12406" t="s">
        <v>37279</v>
      </c>
      <c r="T12406" t="s">
        <v>37280</v>
      </c>
    </row>
    <row r="12407" spans="1:20" x14ac:dyDescent="0.25">
      <c r="A12407" t="str">
        <f>"3041622"</f>
        <v>3041622</v>
      </c>
      <c r="B12407" t="s">
        <v>37282</v>
      </c>
      <c r="C12407" t="str">
        <f>"8310987"</f>
        <v>8310987</v>
      </c>
      <c r="D12407" t="s">
        <v>37283</v>
      </c>
      <c r="E12407" t="s">
        <v>37284</v>
      </c>
      <c r="F12407" t="s">
        <v>37285</v>
      </c>
      <c r="I12407" t="s">
        <v>2071</v>
      </c>
      <c r="J12407" t="s">
        <v>30</v>
      </c>
      <c r="K12407" t="str">
        <f>"27006"</f>
        <v>27006</v>
      </c>
      <c r="M12407" t="s">
        <v>17861</v>
      </c>
      <c r="N12407" t="str">
        <f>"2/14/2019 10:43:00 AM"</f>
        <v>2/14/2019 10:43:00 AM</v>
      </c>
      <c r="O12407" t="s">
        <v>37283</v>
      </c>
      <c r="T12407" t="s">
        <v>37284</v>
      </c>
    </row>
    <row r="12408" spans="1:20" x14ac:dyDescent="0.25">
      <c r="A12408" t="str">
        <f>"3060643"</f>
        <v>3060643</v>
      </c>
      <c r="B12408" t="s">
        <v>37286</v>
      </c>
      <c r="C12408" t="str">
        <f>"8310989"</f>
        <v>8310989</v>
      </c>
      <c r="D12408" t="s">
        <v>37287</v>
      </c>
      <c r="E12408" t="s">
        <v>37288</v>
      </c>
      <c r="F12408" t="s">
        <v>37289</v>
      </c>
      <c r="I12408" t="s">
        <v>2071</v>
      </c>
      <c r="J12408" t="s">
        <v>30</v>
      </c>
      <c r="K12408" t="str">
        <f>"27006"</f>
        <v>27006</v>
      </c>
      <c r="M12408" t="s">
        <v>17861</v>
      </c>
      <c r="N12408" t="str">
        <f>"2/14/2019 10:59:00 AM"</f>
        <v>2/14/2019 10:59:00 AM</v>
      </c>
      <c r="O12408" t="s">
        <v>37287</v>
      </c>
      <c r="T12408" t="s">
        <v>37288</v>
      </c>
    </row>
    <row r="12409" spans="1:20" x14ac:dyDescent="0.25">
      <c r="A12409" t="str">
        <f>"3054968"</f>
        <v>3054968</v>
      </c>
      <c r="B12409" t="s">
        <v>37290</v>
      </c>
      <c r="C12409" t="str">
        <f>"8310991"</f>
        <v>8310991</v>
      </c>
      <c r="D12409" t="s">
        <v>37291</v>
      </c>
      <c r="F12409" t="s">
        <v>37292</v>
      </c>
      <c r="I12409" t="s">
        <v>29</v>
      </c>
      <c r="J12409" t="s">
        <v>30</v>
      </c>
      <c r="K12409" t="s">
        <v>37293</v>
      </c>
      <c r="M12409" t="s">
        <v>17861</v>
      </c>
      <c r="N12409" t="str">
        <f>"2/14/2019 11:14:00 AM"</f>
        <v>2/14/2019 11:14:00 AM</v>
      </c>
      <c r="O12409" t="s">
        <v>37291</v>
      </c>
    </row>
    <row r="12410" spans="1:20" x14ac:dyDescent="0.25">
      <c r="A12410" t="str">
        <f>"3043328"</f>
        <v>3043328</v>
      </c>
      <c r="B12410" t="s">
        <v>37294</v>
      </c>
      <c r="C12410" t="str">
        <f>"8310992"</f>
        <v>8310992</v>
      </c>
      <c r="D12410" t="s">
        <v>37295</v>
      </c>
      <c r="E12410" t="s">
        <v>37296</v>
      </c>
      <c r="F12410" t="s">
        <v>37297</v>
      </c>
      <c r="I12410" t="s">
        <v>402</v>
      </c>
      <c r="J12410" t="s">
        <v>30</v>
      </c>
      <c r="K12410" t="str">
        <f>"27012"</f>
        <v>27012</v>
      </c>
      <c r="M12410" t="s">
        <v>17861</v>
      </c>
      <c r="N12410" t="str">
        <f>"2/14/2019 11:26:00 AM"</f>
        <v>2/14/2019 11:26:00 AM</v>
      </c>
      <c r="O12410" t="s">
        <v>37295</v>
      </c>
      <c r="T12410" t="s">
        <v>37296</v>
      </c>
    </row>
    <row r="12411" spans="1:20" x14ac:dyDescent="0.25">
      <c r="A12411" t="str">
        <f>"3038475"</f>
        <v>3038475</v>
      </c>
      <c r="B12411" t="s">
        <v>37298</v>
      </c>
      <c r="C12411" t="str">
        <f>"35276000"</f>
        <v>35276000</v>
      </c>
      <c r="D12411" t="s">
        <v>37275</v>
      </c>
      <c r="E12411" t="s">
        <v>37276</v>
      </c>
      <c r="F12411" t="s">
        <v>37277</v>
      </c>
      <c r="I12411" t="s">
        <v>29</v>
      </c>
      <c r="J12411" t="s">
        <v>30</v>
      </c>
      <c r="K12411" t="s">
        <v>7290</v>
      </c>
      <c r="M12411" t="s">
        <v>34475</v>
      </c>
      <c r="N12411" t="str">
        <f>"1/14/2019 3:59:00 PM"</f>
        <v>1/14/2019 3:59:00 PM</v>
      </c>
      <c r="O12411" t="s">
        <v>37275</v>
      </c>
      <c r="T12411" t="s">
        <v>37276</v>
      </c>
    </row>
    <row r="12412" spans="1:20" x14ac:dyDescent="0.25">
      <c r="A12412" t="str">
        <f>"3077690"</f>
        <v>3077690</v>
      </c>
      <c r="B12412" t="s">
        <v>37299</v>
      </c>
      <c r="C12412" t="str">
        <f>"35276000"</f>
        <v>35276000</v>
      </c>
      <c r="D12412" t="s">
        <v>37275</v>
      </c>
      <c r="E12412" t="s">
        <v>37276</v>
      </c>
      <c r="F12412" t="s">
        <v>37277</v>
      </c>
      <c r="I12412" t="s">
        <v>29</v>
      </c>
      <c r="J12412" t="s">
        <v>30</v>
      </c>
      <c r="K12412" t="s">
        <v>7290</v>
      </c>
      <c r="M12412" t="s">
        <v>34475</v>
      </c>
      <c r="N12412" t="str">
        <f>"1/14/2019 3:59:00 PM"</f>
        <v>1/14/2019 3:59:00 PM</v>
      </c>
      <c r="O12412" t="s">
        <v>37275</v>
      </c>
      <c r="T12412" t="s">
        <v>37276</v>
      </c>
    </row>
    <row r="12413" spans="1:20" x14ac:dyDescent="0.25">
      <c r="A12413" t="str">
        <f>"3037940"</f>
        <v>3037940</v>
      </c>
      <c r="B12413" t="s">
        <v>37300</v>
      </c>
      <c r="C12413" t="str">
        <f>"73969000"</f>
        <v>73969000</v>
      </c>
      <c r="D12413" t="s">
        <v>37301</v>
      </c>
      <c r="F12413" t="s">
        <v>37302</v>
      </c>
      <c r="I12413" t="s">
        <v>29</v>
      </c>
      <c r="J12413" t="s">
        <v>30</v>
      </c>
      <c r="K12413" t="s">
        <v>37303</v>
      </c>
      <c r="M12413" t="s">
        <v>18470</v>
      </c>
      <c r="N12413" t="str">
        <f>"1/28/2019 1:06:00 PM"</f>
        <v>1/28/2019 1:06:00 PM</v>
      </c>
      <c r="O12413" t="s">
        <v>37301</v>
      </c>
    </row>
    <row r="12414" spans="1:20" x14ac:dyDescent="0.25">
      <c r="A12414" t="str">
        <f>"3050488"</f>
        <v>3050488</v>
      </c>
      <c r="B12414" t="s">
        <v>37304</v>
      </c>
      <c r="C12414" t="str">
        <f>"8310998"</f>
        <v>8310998</v>
      </c>
      <c r="D12414" t="s">
        <v>37305</v>
      </c>
      <c r="E12414" t="s">
        <v>37306</v>
      </c>
      <c r="F12414" t="s">
        <v>37307</v>
      </c>
      <c r="I12414" t="s">
        <v>29</v>
      </c>
      <c r="J12414" t="s">
        <v>30</v>
      </c>
      <c r="K12414" t="s">
        <v>12425</v>
      </c>
      <c r="M12414" t="s">
        <v>17861</v>
      </c>
      <c r="N12414" t="str">
        <f>"2/14/2019 2:31:00 PM"</f>
        <v>2/14/2019 2:31:00 PM</v>
      </c>
      <c r="O12414" t="s">
        <v>37305</v>
      </c>
      <c r="T12414" t="s">
        <v>37306</v>
      </c>
    </row>
    <row r="12415" spans="1:20" x14ac:dyDescent="0.25">
      <c r="A12415" t="str">
        <f>"3056638"</f>
        <v>3056638</v>
      </c>
      <c r="B12415" t="s">
        <v>37308</v>
      </c>
      <c r="C12415" t="str">
        <f>"8310999"</f>
        <v>8310999</v>
      </c>
      <c r="D12415" t="s">
        <v>37309</v>
      </c>
      <c r="E12415" t="s">
        <v>37310</v>
      </c>
      <c r="F12415" t="s">
        <v>37311</v>
      </c>
      <c r="I12415" t="s">
        <v>29</v>
      </c>
      <c r="J12415" t="s">
        <v>30</v>
      </c>
      <c r="K12415" t="s">
        <v>37312</v>
      </c>
      <c r="M12415" t="s">
        <v>17861</v>
      </c>
      <c r="N12415" t="str">
        <f>"2/14/2019 2:47:00 PM"</f>
        <v>2/14/2019 2:47:00 PM</v>
      </c>
      <c r="O12415" t="s">
        <v>37309</v>
      </c>
      <c r="T12415" t="s">
        <v>37310</v>
      </c>
    </row>
    <row r="12416" spans="1:20" x14ac:dyDescent="0.25">
      <c r="A12416" t="str">
        <f>"3055443"</f>
        <v>3055443</v>
      </c>
      <c r="B12416" t="s">
        <v>37313</v>
      </c>
      <c r="C12416" t="str">
        <f>"8310999"</f>
        <v>8310999</v>
      </c>
      <c r="D12416" t="s">
        <v>37309</v>
      </c>
      <c r="E12416" t="s">
        <v>37310</v>
      </c>
      <c r="F12416" t="s">
        <v>37311</v>
      </c>
      <c r="I12416" t="s">
        <v>29</v>
      </c>
      <c r="J12416" t="s">
        <v>30</v>
      </c>
      <c r="K12416" t="s">
        <v>37312</v>
      </c>
      <c r="M12416" t="s">
        <v>17861</v>
      </c>
      <c r="N12416" t="str">
        <f>"2/14/2019 2:47:00 PM"</f>
        <v>2/14/2019 2:47:00 PM</v>
      </c>
      <c r="O12416" t="s">
        <v>37309</v>
      </c>
      <c r="T12416" t="s">
        <v>37310</v>
      </c>
    </row>
    <row r="12417" spans="1:20" x14ac:dyDescent="0.25">
      <c r="A12417" t="str">
        <f>"3048688"</f>
        <v>3048688</v>
      </c>
      <c r="B12417" t="s">
        <v>37314</v>
      </c>
      <c r="C12417" t="str">
        <f>"8311000"</f>
        <v>8311000</v>
      </c>
      <c r="D12417" t="s">
        <v>37315</v>
      </c>
      <c r="F12417" t="s">
        <v>37316</v>
      </c>
      <c r="I12417" t="s">
        <v>29</v>
      </c>
      <c r="J12417" t="s">
        <v>30</v>
      </c>
      <c r="K12417" t="s">
        <v>9476</v>
      </c>
      <c r="M12417" t="s">
        <v>17861</v>
      </c>
      <c r="N12417" t="str">
        <f>"2/15/2019 8:40:00 AM"</f>
        <v>2/15/2019 8:40:00 AM</v>
      </c>
      <c r="O12417" t="s">
        <v>37315</v>
      </c>
    </row>
    <row r="12418" spans="1:20" x14ac:dyDescent="0.25">
      <c r="A12418" t="str">
        <f>"3038019"</f>
        <v>3038019</v>
      </c>
      <c r="B12418" t="s">
        <v>37317</v>
      </c>
      <c r="C12418" t="str">
        <f>"73969000"</f>
        <v>73969000</v>
      </c>
      <c r="D12418" t="s">
        <v>37301</v>
      </c>
      <c r="F12418" t="s">
        <v>37302</v>
      </c>
      <c r="I12418" t="s">
        <v>29</v>
      </c>
      <c r="J12418" t="s">
        <v>30</v>
      </c>
      <c r="K12418" t="s">
        <v>37303</v>
      </c>
      <c r="M12418" t="s">
        <v>18470</v>
      </c>
      <c r="N12418" t="str">
        <f>"1/28/2019 1:06:00 PM"</f>
        <v>1/28/2019 1:06:00 PM</v>
      </c>
      <c r="O12418" t="s">
        <v>37301</v>
      </c>
    </row>
    <row r="12419" spans="1:20" x14ac:dyDescent="0.25">
      <c r="A12419" t="str">
        <f>"3038020"</f>
        <v>3038020</v>
      </c>
      <c r="B12419" t="s">
        <v>37318</v>
      </c>
      <c r="C12419" t="str">
        <f>"73969000"</f>
        <v>73969000</v>
      </c>
      <c r="D12419" t="s">
        <v>37301</v>
      </c>
      <c r="F12419" t="s">
        <v>37302</v>
      </c>
      <c r="I12419" t="s">
        <v>29</v>
      </c>
      <c r="J12419" t="s">
        <v>30</v>
      </c>
      <c r="K12419" t="s">
        <v>37303</v>
      </c>
      <c r="M12419" t="s">
        <v>18470</v>
      </c>
      <c r="N12419" t="str">
        <f>"1/28/2019 1:06:00 PM"</f>
        <v>1/28/2019 1:06:00 PM</v>
      </c>
      <c r="O12419" t="s">
        <v>37301</v>
      </c>
    </row>
    <row r="12420" spans="1:20" x14ac:dyDescent="0.25">
      <c r="A12420" t="str">
        <f>"3049357"</f>
        <v>3049357</v>
      </c>
      <c r="B12420" t="s">
        <v>37319</v>
      </c>
      <c r="C12420" t="str">
        <f>"15232700"</f>
        <v>15232700</v>
      </c>
      <c r="D12420" t="s">
        <v>37320</v>
      </c>
      <c r="F12420" t="s">
        <v>37321</v>
      </c>
      <c r="I12420" t="s">
        <v>29</v>
      </c>
      <c r="J12420" t="s">
        <v>30</v>
      </c>
      <c r="K12420" t="s">
        <v>31</v>
      </c>
      <c r="M12420" t="s">
        <v>32801</v>
      </c>
      <c r="N12420" t="str">
        <f>"1/28/2019 3:31:00 PM"</f>
        <v>1/28/2019 3:31:00 PM</v>
      </c>
      <c r="O12420" t="s">
        <v>37320</v>
      </c>
    </row>
    <row r="12421" spans="1:20" x14ac:dyDescent="0.25">
      <c r="A12421" t="str">
        <f>"3041431"</f>
        <v>3041431</v>
      </c>
      <c r="B12421" t="s">
        <v>37322</v>
      </c>
      <c r="C12421" t="str">
        <f>"8310451"</f>
        <v>8310451</v>
      </c>
      <c r="D12421" t="s">
        <v>37323</v>
      </c>
      <c r="E12421" t="s">
        <v>37324</v>
      </c>
      <c r="F12421" t="s">
        <v>37325</v>
      </c>
      <c r="I12421" t="s">
        <v>24359</v>
      </c>
      <c r="J12421" t="s">
        <v>30</v>
      </c>
      <c r="K12421" t="str">
        <f>"27006"</f>
        <v>27006</v>
      </c>
      <c r="M12421" t="s">
        <v>36935</v>
      </c>
      <c r="N12421" t="str">
        <f>"1/29/2019 9:34:00 AM"</f>
        <v>1/29/2019 9:34:00 AM</v>
      </c>
      <c r="O12421" t="s">
        <v>37323</v>
      </c>
      <c r="T12421" t="s">
        <v>37324</v>
      </c>
    </row>
    <row r="12422" spans="1:20" x14ac:dyDescent="0.25">
      <c r="A12422" t="str">
        <f>"3061954"</f>
        <v>3061954</v>
      </c>
      <c r="B12422" t="s">
        <v>37326</v>
      </c>
      <c r="C12422" t="str">
        <f>"8309355"</f>
        <v>8309355</v>
      </c>
      <c r="D12422" t="s">
        <v>37327</v>
      </c>
      <c r="E12422" t="s">
        <v>37328</v>
      </c>
      <c r="F12422" t="s">
        <v>37329</v>
      </c>
      <c r="I12422" t="s">
        <v>24359</v>
      </c>
      <c r="J12422" t="s">
        <v>30</v>
      </c>
      <c r="K12422" t="str">
        <f>"27006"</f>
        <v>27006</v>
      </c>
      <c r="M12422" t="s">
        <v>36935</v>
      </c>
      <c r="N12422" t="str">
        <f>"1/29/2019 11:20:00 AM"</f>
        <v>1/29/2019 11:20:00 AM</v>
      </c>
      <c r="O12422" t="s">
        <v>37327</v>
      </c>
      <c r="T12422" t="s">
        <v>37328</v>
      </c>
    </row>
    <row r="12423" spans="1:20" x14ac:dyDescent="0.25">
      <c r="A12423" t="str">
        <f>"3045922"</f>
        <v>3045922</v>
      </c>
      <c r="B12423" t="s">
        <v>37330</v>
      </c>
      <c r="C12423" t="str">
        <f>"8310901"</f>
        <v>8310901</v>
      </c>
      <c r="D12423" t="s">
        <v>37331</v>
      </c>
      <c r="E12423" t="s">
        <v>37332</v>
      </c>
      <c r="F12423" t="s">
        <v>37333</v>
      </c>
      <c r="I12423" t="s">
        <v>29</v>
      </c>
      <c r="J12423" t="s">
        <v>30</v>
      </c>
      <c r="K12423" t="s">
        <v>8377</v>
      </c>
      <c r="M12423" t="s">
        <v>17861</v>
      </c>
      <c r="N12423" t="str">
        <f>"1/29/2019 1:50:00 PM"</f>
        <v>1/29/2019 1:50:00 PM</v>
      </c>
      <c r="O12423" t="s">
        <v>37331</v>
      </c>
      <c r="T12423" t="s">
        <v>37332</v>
      </c>
    </row>
    <row r="12424" spans="1:20" x14ac:dyDescent="0.25">
      <c r="A12424" t="str">
        <f>"3046124"</f>
        <v>3046124</v>
      </c>
      <c r="B12424" t="s">
        <v>37334</v>
      </c>
      <c r="C12424" t="str">
        <f>"8310901"</f>
        <v>8310901</v>
      </c>
      <c r="D12424" t="s">
        <v>37331</v>
      </c>
      <c r="E12424" t="s">
        <v>37332</v>
      </c>
      <c r="F12424" t="s">
        <v>37333</v>
      </c>
      <c r="I12424" t="s">
        <v>29</v>
      </c>
      <c r="J12424" t="s">
        <v>30</v>
      </c>
      <c r="K12424" t="s">
        <v>8377</v>
      </c>
      <c r="M12424" t="s">
        <v>17861</v>
      </c>
      <c r="N12424" t="str">
        <f>"1/29/2019 1:50:00 PM"</f>
        <v>1/29/2019 1:50:00 PM</v>
      </c>
      <c r="O12424" t="s">
        <v>37331</v>
      </c>
      <c r="T12424" t="s">
        <v>37332</v>
      </c>
    </row>
    <row r="12425" spans="1:20" x14ac:dyDescent="0.25">
      <c r="A12425" t="str">
        <f>"3059450"</f>
        <v>3059450</v>
      </c>
      <c r="B12425" t="s">
        <v>37335</v>
      </c>
      <c r="C12425" t="str">
        <f>"8309659"</f>
        <v>8309659</v>
      </c>
      <c r="D12425" t="s">
        <v>37336</v>
      </c>
      <c r="E12425" t="s">
        <v>37337</v>
      </c>
      <c r="F12425" t="s">
        <v>37338</v>
      </c>
      <c r="I12425" t="s">
        <v>29</v>
      </c>
      <c r="J12425" t="s">
        <v>30</v>
      </c>
      <c r="K12425" t="s">
        <v>37339</v>
      </c>
      <c r="M12425" t="s">
        <v>36935</v>
      </c>
      <c r="N12425" t="str">
        <f>"1/30/2019 9:17:00 AM"</f>
        <v>1/30/2019 9:17:00 AM</v>
      </c>
      <c r="O12425" t="s">
        <v>37336</v>
      </c>
      <c r="T12425" t="s">
        <v>37337</v>
      </c>
    </row>
    <row r="12426" spans="1:20" x14ac:dyDescent="0.25">
      <c r="A12426" t="str">
        <f>"3051206"</f>
        <v>3051206</v>
      </c>
      <c r="B12426" t="s">
        <v>37340</v>
      </c>
      <c r="C12426" t="str">
        <f>"8310904"</f>
        <v>8310904</v>
      </c>
      <c r="D12426" t="s">
        <v>37341</v>
      </c>
      <c r="E12426" t="s">
        <v>37342</v>
      </c>
      <c r="F12426" t="s">
        <v>37343</v>
      </c>
      <c r="I12426" t="s">
        <v>29</v>
      </c>
      <c r="J12426" t="s">
        <v>30</v>
      </c>
      <c r="K12426" t="s">
        <v>14369</v>
      </c>
      <c r="M12426" t="s">
        <v>17861</v>
      </c>
      <c r="N12426" t="str">
        <f>"1/31/2019 9:20:00 AM"</f>
        <v>1/31/2019 9:20:00 AM</v>
      </c>
      <c r="O12426" t="s">
        <v>37341</v>
      </c>
      <c r="T12426" t="s">
        <v>37342</v>
      </c>
    </row>
    <row r="12427" spans="1:20" x14ac:dyDescent="0.25">
      <c r="A12427" t="str">
        <f>"3051590"</f>
        <v>3051590</v>
      </c>
      <c r="B12427" t="s">
        <v>37344</v>
      </c>
      <c r="C12427" t="str">
        <f>"8310904"</f>
        <v>8310904</v>
      </c>
      <c r="D12427" t="s">
        <v>37341</v>
      </c>
      <c r="E12427" t="s">
        <v>37342</v>
      </c>
      <c r="F12427" t="s">
        <v>37343</v>
      </c>
      <c r="I12427" t="s">
        <v>29</v>
      </c>
      <c r="J12427" t="s">
        <v>30</v>
      </c>
      <c r="K12427" t="s">
        <v>14369</v>
      </c>
      <c r="M12427" t="s">
        <v>17861</v>
      </c>
      <c r="N12427" t="str">
        <f>"1/31/2019 9:20:00 AM"</f>
        <v>1/31/2019 9:20:00 AM</v>
      </c>
      <c r="O12427" t="s">
        <v>37341</v>
      </c>
      <c r="T12427" t="s">
        <v>37342</v>
      </c>
    </row>
    <row r="12428" spans="1:20" x14ac:dyDescent="0.25">
      <c r="A12428" t="str">
        <f>"3062443"</f>
        <v>3062443</v>
      </c>
      <c r="B12428" t="s">
        <v>37345</v>
      </c>
      <c r="C12428" t="str">
        <f>"8309456"</f>
        <v>8309456</v>
      </c>
      <c r="D12428" t="s">
        <v>37346</v>
      </c>
      <c r="E12428" t="s">
        <v>37347</v>
      </c>
      <c r="F12428" t="s">
        <v>37348</v>
      </c>
      <c r="I12428" t="s">
        <v>2071</v>
      </c>
      <c r="J12428" t="s">
        <v>30</v>
      </c>
      <c r="K12428" t="str">
        <f>"27006"</f>
        <v>27006</v>
      </c>
      <c r="M12428" t="s">
        <v>17861</v>
      </c>
      <c r="N12428" t="str">
        <f>"2/1/2019 9:53:00 AM"</f>
        <v>2/1/2019 9:53:00 AM</v>
      </c>
      <c r="O12428" t="s">
        <v>37346</v>
      </c>
      <c r="T12428" t="s">
        <v>37347</v>
      </c>
    </row>
    <row r="12429" spans="1:20" x14ac:dyDescent="0.25">
      <c r="A12429" t="str">
        <f>"3050494"</f>
        <v>3050494</v>
      </c>
      <c r="B12429" t="s">
        <v>37349</v>
      </c>
      <c r="C12429" t="str">
        <f>"82517540"</f>
        <v>82517540</v>
      </c>
      <c r="D12429" t="s">
        <v>37350</v>
      </c>
      <c r="F12429" t="s">
        <v>29959</v>
      </c>
      <c r="I12429" t="s">
        <v>184</v>
      </c>
      <c r="J12429" t="s">
        <v>30</v>
      </c>
      <c r="K12429" t="s">
        <v>37351</v>
      </c>
      <c r="M12429" t="s">
        <v>33845</v>
      </c>
      <c r="N12429" t="str">
        <f>"2/11/2019 9:35:00 AM"</f>
        <v>2/11/2019 9:35:00 AM</v>
      </c>
      <c r="O12429" t="s">
        <v>37350</v>
      </c>
    </row>
    <row r="12430" spans="1:20" x14ac:dyDescent="0.25">
      <c r="A12430" t="str">
        <f>"3056319"</f>
        <v>3056319</v>
      </c>
      <c r="B12430" t="s">
        <v>37352</v>
      </c>
      <c r="C12430" t="str">
        <f>"8303144"</f>
        <v>8303144</v>
      </c>
      <c r="D12430" t="s">
        <v>37353</v>
      </c>
      <c r="F12430" t="s">
        <v>37354</v>
      </c>
      <c r="I12430" t="s">
        <v>964</v>
      </c>
      <c r="J12430" t="s">
        <v>30</v>
      </c>
      <c r="K12430" t="str">
        <f>"28144"</f>
        <v>28144</v>
      </c>
      <c r="M12430" t="s">
        <v>25733</v>
      </c>
      <c r="N12430" t="str">
        <f>"2/11/2019 10:04:00 AM"</f>
        <v>2/11/2019 10:04:00 AM</v>
      </c>
      <c r="O12430" t="s">
        <v>37353</v>
      </c>
    </row>
    <row r="12431" spans="1:20" x14ac:dyDescent="0.25">
      <c r="A12431" t="str">
        <f>"3056258"</f>
        <v>3056258</v>
      </c>
      <c r="B12431" t="s">
        <v>37355</v>
      </c>
      <c r="C12431" t="str">
        <f>"8303144"</f>
        <v>8303144</v>
      </c>
      <c r="D12431" t="s">
        <v>37353</v>
      </c>
      <c r="F12431" t="s">
        <v>37354</v>
      </c>
      <c r="I12431" t="s">
        <v>964</v>
      </c>
      <c r="J12431" t="s">
        <v>30</v>
      </c>
      <c r="K12431" t="str">
        <f>"28144"</f>
        <v>28144</v>
      </c>
      <c r="M12431" t="s">
        <v>25733</v>
      </c>
      <c r="N12431" t="str">
        <f>"2/11/2019 10:04:00 AM"</f>
        <v>2/11/2019 10:04:00 AM</v>
      </c>
      <c r="O12431" t="s">
        <v>37353</v>
      </c>
    </row>
    <row r="12432" spans="1:20" x14ac:dyDescent="0.25">
      <c r="A12432" t="str">
        <f>"3038655"</f>
        <v>3038655</v>
      </c>
      <c r="B12432" t="s">
        <v>37356</v>
      </c>
      <c r="C12432" t="str">
        <f>"8307592"</f>
        <v>8307592</v>
      </c>
      <c r="D12432" t="s">
        <v>37357</v>
      </c>
      <c r="E12432" t="s">
        <v>37358</v>
      </c>
      <c r="F12432" t="s">
        <v>37359</v>
      </c>
      <c r="I12432" t="s">
        <v>29</v>
      </c>
      <c r="J12432" t="s">
        <v>30</v>
      </c>
      <c r="K12432" t="str">
        <f>"27028"</f>
        <v>27028</v>
      </c>
      <c r="M12432" t="s">
        <v>25733</v>
      </c>
      <c r="N12432" t="str">
        <f>"2/12/2019 2:51:00 PM"</f>
        <v>2/12/2019 2:51:00 PM</v>
      </c>
      <c r="O12432" t="s">
        <v>37357</v>
      </c>
      <c r="T12432" t="s">
        <v>37358</v>
      </c>
    </row>
    <row r="12433" spans="1:20" x14ac:dyDescent="0.25">
      <c r="A12433" t="str">
        <f>"3052099"</f>
        <v>3052099</v>
      </c>
      <c r="B12433" t="s">
        <v>37360</v>
      </c>
      <c r="C12433" t="str">
        <f>"8310952"</f>
        <v>8310952</v>
      </c>
      <c r="D12433" t="s">
        <v>37361</v>
      </c>
      <c r="E12433" t="s">
        <v>37362</v>
      </c>
      <c r="F12433" t="s">
        <v>37363</v>
      </c>
      <c r="I12433" t="s">
        <v>29</v>
      </c>
      <c r="J12433" t="s">
        <v>30</v>
      </c>
      <c r="K12433" t="s">
        <v>37364</v>
      </c>
      <c r="M12433" t="s">
        <v>17861</v>
      </c>
      <c r="N12433" t="str">
        <f>"2/13/2019 10:47:00 AM"</f>
        <v>2/13/2019 10:47:00 AM</v>
      </c>
      <c r="O12433" t="s">
        <v>37361</v>
      </c>
      <c r="T12433" t="s">
        <v>37362</v>
      </c>
    </row>
    <row r="12434" spans="1:20" x14ac:dyDescent="0.25">
      <c r="A12434" t="str">
        <f>"3040299"</f>
        <v>3040299</v>
      </c>
      <c r="B12434" t="s">
        <v>37365</v>
      </c>
      <c r="C12434" t="str">
        <f>"8310958"</f>
        <v>8310958</v>
      </c>
      <c r="D12434" t="s">
        <v>37366</v>
      </c>
      <c r="E12434" t="s">
        <v>37367</v>
      </c>
      <c r="F12434" t="s">
        <v>37368</v>
      </c>
      <c r="I12434" t="s">
        <v>37369</v>
      </c>
      <c r="J12434" t="s">
        <v>1046</v>
      </c>
      <c r="K12434" t="s">
        <v>37370</v>
      </c>
      <c r="M12434" t="s">
        <v>17861</v>
      </c>
      <c r="N12434" t="str">
        <f>"2/13/2019 12:26:00 PM"</f>
        <v>2/13/2019 12:26:00 PM</v>
      </c>
      <c r="O12434" t="s">
        <v>37366</v>
      </c>
      <c r="T12434" t="s">
        <v>37367</v>
      </c>
    </row>
    <row r="12435" spans="1:20" x14ac:dyDescent="0.25">
      <c r="A12435" t="str">
        <f>"3061192"</f>
        <v>3061192</v>
      </c>
      <c r="B12435" t="s">
        <v>37371</v>
      </c>
      <c r="C12435" t="str">
        <f>"8310966"</f>
        <v>8310966</v>
      </c>
      <c r="D12435" t="s">
        <v>37372</v>
      </c>
      <c r="E12435" t="s">
        <v>37373</v>
      </c>
      <c r="F12435" t="s">
        <v>37374</v>
      </c>
      <c r="I12435" t="s">
        <v>2071</v>
      </c>
      <c r="J12435" t="s">
        <v>30</v>
      </c>
      <c r="K12435" t="str">
        <f>"27006"</f>
        <v>27006</v>
      </c>
      <c r="M12435" t="s">
        <v>17861</v>
      </c>
      <c r="N12435" t="str">
        <f>"2/13/2019 1:54:00 PM"</f>
        <v>2/13/2019 1:54:00 PM</v>
      </c>
      <c r="O12435" t="s">
        <v>37372</v>
      </c>
      <c r="T12435" t="s">
        <v>37373</v>
      </c>
    </row>
    <row r="12436" spans="1:20" x14ac:dyDescent="0.25">
      <c r="A12436" t="str">
        <f>"3061491"</f>
        <v>3061491</v>
      </c>
      <c r="B12436" t="s">
        <v>37375</v>
      </c>
      <c r="C12436" t="str">
        <f>"8310974"</f>
        <v>8310974</v>
      </c>
      <c r="D12436" t="s">
        <v>37376</v>
      </c>
      <c r="E12436" t="s">
        <v>37377</v>
      </c>
      <c r="F12436" t="s">
        <v>37378</v>
      </c>
      <c r="I12436" t="s">
        <v>184</v>
      </c>
      <c r="J12436" t="s">
        <v>30</v>
      </c>
      <c r="K12436" t="s">
        <v>19800</v>
      </c>
      <c r="M12436" t="s">
        <v>17861</v>
      </c>
      <c r="N12436" t="str">
        <f>"2/13/2019 2:35:00 PM"</f>
        <v>2/13/2019 2:35:00 PM</v>
      </c>
      <c r="O12436" t="s">
        <v>37376</v>
      </c>
      <c r="T12436" t="s">
        <v>37377</v>
      </c>
    </row>
    <row r="12437" spans="1:20" x14ac:dyDescent="0.25">
      <c r="A12437" t="str">
        <f>"3061352"</f>
        <v>3061352</v>
      </c>
      <c r="B12437" t="s">
        <v>37379</v>
      </c>
      <c r="C12437" t="str">
        <f>"8310985"</f>
        <v>8310985</v>
      </c>
      <c r="D12437" t="s">
        <v>37380</v>
      </c>
      <c r="F12437" t="s">
        <v>37381</v>
      </c>
      <c r="I12437" t="s">
        <v>184</v>
      </c>
      <c r="J12437" t="s">
        <v>30</v>
      </c>
      <c r="K12437" t="s">
        <v>5432</v>
      </c>
      <c r="M12437" t="s">
        <v>17861</v>
      </c>
      <c r="N12437" t="str">
        <f>"2/14/2019 10:34:00 AM"</f>
        <v>2/14/2019 10:34:00 AM</v>
      </c>
      <c r="O12437" t="s">
        <v>37380</v>
      </c>
    </row>
    <row r="12438" spans="1:20" x14ac:dyDescent="0.25">
      <c r="A12438" t="str">
        <f>"3044041"</f>
        <v>3044041</v>
      </c>
      <c r="B12438" t="s">
        <v>37382</v>
      </c>
      <c r="C12438" t="str">
        <f>"8307014"</f>
        <v>8307014</v>
      </c>
      <c r="D12438" t="s">
        <v>37383</v>
      </c>
      <c r="E12438" t="s">
        <v>37384</v>
      </c>
      <c r="F12438" t="s">
        <v>37385</v>
      </c>
      <c r="I12438" t="s">
        <v>24359</v>
      </c>
      <c r="J12438" t="s">
        <v>30</v>
      </c>
      <c r="K12438" t="s">
        <v>35875</v>
      </c>
      <c r="M12438" t="s">
        <v>36935</v>
      </c>
      <c r="N12438" t="str">
        <f>"1/24/2019 1:54:00 PM"</f>
        <v>1/24/2019 1:54:00 PM</v>
      </c>
      <c r="O12438" t="s">
        <v>37383</v>
      </c>
      <c r="T12438" t="s">
        <v>37384</v>
      </c>
    </row>
    <row r="12439" spans="1:20" x14ac:dyDescent="0.25">
      <c r="A12439" t="str">
        <f>"3043058"</f>
        <v>3043058</v>
      </c>
      <c r="B12439" t="s">
        <v>37386</v>
      </c>
      <c r="C12439" t="str">
        <f>"8311001"</f>
        <v>8311001</v>
      </c>
      <c r="D12439" t="s">
        <v>37387</v>
      </c>
      <c r="E12439" t="s">
        <v>37388</v>
      </c>
      <c r="F12439" t="s">
        <v>37389</v>
      </c>
      <c r="I12439" t="s">
        <v>29</v>
      </c>
      <c r="J12439" t="s">
        <v>30</v>
      </c>
      <c r="K12439" t="s">
        <v>37390</v>
      </c>
      <c r="M12439" t="s">
        <v>17861</v>
      </c>
      <c r="N12439" t="str">
        <f>"2/15/2019 9:18:00 AM"</f>
        <v>2/15/2019 9:18:00 AM</v>
      </c>
      <c r="O12439" t="s">
        <v>37387</v>
      </c>
      <c r="T12439" t="s">
        <v>37388</v>
      </c>
    </row>
    <row r="12440" spans="1:20" x14ac:dyDescent="0.25">
      <c r="A12440" t="str">
        <f>"3038476"</f>
        <v>3038476</v>
      </c>
      <c r="B12440" t="s">
        <v>37391</v>
      </c>
      <c r="C12440" t="str">
        <f>"8311007"</f>
        <v>8311007</v>
      </c>
      <c r="D12440" t="s">
        <v>37392</v>
      </c>
      <c r="E12440" t="s">
        <v>37393</v>
      </c>
      <c r="F12440" t="s">
        <v>37394</v>
      </c>
      <c r="I12440" t="s">
        <v>29</v>
      </c>
      <c r="J12440" t="s">
        <v>30</v>
      </c>
      <c r="K12440" t="s">
        <v>410</v>
      </c>
      <c r="M12440" t="s">
        <v>17861</v>
      </c>
      <c r="N12440" t="str">
        <f>"2/15/2019 10:22:00 AM"</f>
        <v>2/15/2019 10:22:00 AM</v>
      </c>
      <c r="O12440" t="s">
        <v>37392</v>
      </c>
      <c r="T12440" t="s">
        <v>37393</v>
      </c>
    </row>
    <row r="12441" spans="1:20" x14ac:dyDescent="0.25">
      <c r="A12441" t="str">
        <f>"3056966"</f>
        <v>3056966</v>
      </c>
      <c r="B12441" t="s">
        <v>37395</v>
      </c>
      <c r="C12441" t="str">
        <f>"8311008"</f>
        <v>8311008</v>
      </c>
      <c r="D12441" t="s">
        <v>10945</v>
      </c>
      <c r="E12441" t="s">
        <v>11031</v>
      </c>
      <c r="F12441" t="s">
        <v>37396</v>
      </c>
      <c r="I12441" t="s">
        <v>29</v>
      </c>
      <c r="J12441" t="s">
        <v>30</v>
      </c>
      <c r="K12441" t="s">
        <v>11032</v>
      </c>
      <c r="M12441" t="s">
        <v>17861</v>
      </c>
      <c r="N12441" t="str">
        <f>"2/15/2019 10:25:00 AM"</f>
        <v>2/15/2019 10:25:00 AM</v>
      </c>
      <c r="O12441" t="s">
        <v>10945</v>
      </c>
      <c r="T12441" t="s">
        <v>11031</v>
      </c>
    </row>
    <row r="12442" spans="1:20" x14ac:dyDescent="0.25">
      <c r="A12442" t="str">
        <f>"3052503"</f>
        <v>3052503</v>
      </c>
      <c r="B12442" t="s">
        <v>37397</v>
      </c>
      <c r="C12442" t="str">
        <f>"8311009"</f>
        <v>8311009</v>
      </c>
      <c r="D12442" t="s">
        <v>37398</v>
      </c>
      <c r="F12442" t="s">
        <v>37399</v>
      </c>
      <c r="I12442" t="s">
        <v>29</v>
      </c>
      <c r="J12442" t="s">
        <v>30</v>
      </c>
      <c r="K12442" t="s">
        <v>25631</v>
      </c>
      <c r="M12442" t="s">
        <v>17861</v>
      </c>
      <c r="N12442" t="str">
        <f>"2/15/2019 10:32:00 AM"</f>
        <v>2/15/2019 10:32:00 AM</v>
      </c>
      <c r="O12442" t="s">
        <v>37398</v>
      </c>
    </row>
    <row r="12443" spans="1:20" x14ac:dyDescent="0.25">
      <c r="A12443" t="str">
        <f>"3041319"</f>
        <v>3041319</v>
      </c>
      <c r="B12443" t="s">
        <v>37400</v>
      </c>
      <c r="C12443" t="str">
        <f>"8311010"</f>
        <v>8311010</v>
      </c>
      <c r="D12443" t="s">
        <v>37401</v>
      </c>
      <c r="F12443" t="s">
        <v>37402</v>
      </c>
      <c r="I12443" t="s">
        <v>2071</v>
      </c>
      <c r="J12443" t="s">
        <v>30</v>
      </c>
      <c r="K12443" t="s">
        <v>2076</v>
      </c>
      <c r="M12443" t="s">
        <v>17861</v>
      </c>
      <c r="N12443" t="str">
        <f>"2/15/2019 10:37:00 AM"</f>
        <v>2/15/2019 10:37:00 AM</v>
      </c>
      <c r="O12443" t="s">
        <v>37401</v>
      </c>
    </row>
    <row r="12444" spans="1:20" x14ac:dyDescent="0.25">
      <c r="A12444" t="str">
        <f>"3058286"</f>
        <v>3058286</v>
      </c>
      <c r="B12444" t="s">
        <v>37403</v>
      </c>
      <c r="C12444" t="str">
        <f>"8311017"</f>
        <v>8311017</v>
      </c>
      <c r="D12444" t="s">
        <v>37404</v>
      </c>
      <c r="E12444" t="s">
        <v>37405</v>
      </c>
      <c r="F12444" t="s">
        <v>37406</v>
      </c>
      <c r="I12444" t="s">
        <v>29</v>
      </c>
      <c r="J12444" t="s">
        <v>30</v>
      </c>
      <c r="K12444" t="s">
        <v>20338</v>
      </c>
      <c r="M12444" t="s">
        <v>17861</v>
      </c>
      <c r="N12444" t="str">
        <f>"2/15/2019 1:39:00 PM"</f>
        <v>2/15/2019 1:39:00 PM</v>
      </c>
      <c r="O12444" t="s">
        <v>37404</v>
      </c>
      <c r="T12444" t="s">
        <v>37405</v>
      </c>
    </row>
    <row r="12445" spans="1:20" x14ac:dyDescent="0.25">
      <c r="A12445" t="str">
        <f>"3044633"</f>
        <v>3044633</v>
      </c>
      <c r="B12445" t="s">
        <v>37407</v>
      </c>
      <c r="C12445" t="str">
        <f>"8311019"</f>
        <v>8311019</v>
      </c>
      <c r="D12445" t="s">
        <v>37408</v>
      </c>
      <c r="F12445" t="s">
        <v>37409</v>
      </c>
      <c r="I12445" t="s">
        <v>184</v>
      </c>
      <c r="J12445" t="s">
        <v>30</v>
      </c>
      <c r="K12445" t="s">
        <v>5929</v>
      </c>
      <c r="M12445" t="s">
        <v>17861</v>
      </c>
      <c r="N12445" t="str">
        <f>"2/15/2019 1:44:00 PM"</f>
        <v>2/15/2019 1:44:00 PM</v>
      </c>
      <c r="O12445" t="s">
        <v>37408</v>
      </c>
    </row>
    <row r="12446" spans="1:20" x14ac:dyDescent="0.25">
      <c r="A12446" t="str">
        <f>"3047961"</f>
        <v>3047961</v>
      </c>
      <c r="B12446" t="s">
        <v>37410</v>
      </c>
      <c r="C12446" t="str">
        <f>"8311021"</f>
        <v>8311021</v>
      </c>
      <c r="D12446" t="s">
        <v>37411</v>
      </c>
      <c r="E12446" t="s">
        <v>37412</v>
      </c>
      <c r="F12446" t="s">
        <v>37413</v>
      </c>
      <c r="I12446" t="s">
        <v>184</v>
      </c>
      <c r="J12446" t="s">
        <v>30</v>
      </c>
      <c r="K12446" t="s">
        <v>37414</v>
      </c>
      <c r="M12446" t="s">
        <v>17861</v>
      </c>
      <c r="N12446" t="str">
        <f>"2/15/2019 1:52:00 PM"</f>
        <v>2/15/2019 1:52:00 PM</v>
      </c>
      <c r="O12446" t="s">
        <v>37411</v>
      </c>
      <c r="T12446" t="s">
        <v>37412</v>
      </c>
    </row>
    <row r="12447" spans="1:20" x14ac:dyDescent="0.25">
      <c r="A12447" t="str">
        <f>"3052542"</f>
        <v>3052542</v>
      </c>
      <c r="B12447" t="s">
        <v>37415</v>
      </c>
      <c r="C12447" t="str">
        <f>"8311025"</f>
        <v>8311025</v>
      </c>
      <c r="D12447" t="s">
        <v>37416</v>
      </c>
      <c r="F12447" t="s">
        <v>37417</v>
      </c>
      <c r="I12447" t="s">
        <v>29</v>
      </c>
      <c r="J12447" t="s">
        <v>30</v>
      </c>
      <c r="K12447" t="s">
        <v>37418</v>
      </c>
      <c r="M12447" t="s">
        <v>17861</v>
      </c>
      <c r="N12447" t="str">
        <f>"2/15/2019 2:22:00 PM"</f>
        <v>2/15/2019 2:22:00 PM</v>
      </c>
      <c r="O12447" t="s">
        <v>37416</v>
      </c>
    </row>
    <row r="12448" spans="1:20" x14ac:dyDescent="0.25">
      <c r="A12448" t="str">
        <f>"3058997"</f>
        <v>3058997</v>
      </c>
      <c r="B12448" t="s">
        <v>37419</v>
      </c>
      <c r="C12448" t="str">
        <f>"8309421"</f>
        <v>8309421</v>
      </c>
      <c r="D12448" t="s">
        <v>37420</v>
      </c>
      <c r="F12448" t="s">
        <v>37421</v>
      </c>
      <c r="I12448" t="s">
        <v>29</v>
      </c>
      <c r="J12448" t="s">
        <v>30</v>
      </c>
      <c r="K12448" t="s">
        <v>14439</v>
      </c>
      <c r="M12448" t="s">
        <v>32801</v>
      </c>
      <c r="N12448" t="str">
        <f>"2/20/2019 4:00:00 PM"</f>
        <v>2/20/2019 4:00:00 PM</v>
      </c>
      <c r="O12448" t="s">
        <v>37420</v>
      </c>
    </row>
    <row r="12449" spans="1:20" x14ac:dyDescent="0.25">
      <c r="A12449" t="str">
        <f>"3040371"</f>
        <v>3040371</v>
      </c>
      <c r="B12449" t="s">
        <v>37422</v>
      </c>
      <c r="C12449" t="str">
        <f>"8311026"</f>
        <v>8311026</v>
      </c>
      <c r="D12449" t="s">
        <v>37423</v>
      </c>
      <c r="F12449" t="s">
        <v>37424</v>
      </c>
      <c r="I12449" t="s">
        <v>37425</v>
      </c>
      <c r="J12449" t="s">
        <v>30</v>
      </c>
      <c r="K12449" t="str">
        <f>"28031"</f>
        <v>28031</v>
      </c>
      <c r="M12449" t="s">
        <v>17861</v>
      </c>
      <c r="N12449" t="str">
        <f>"2/21/2019 8:37:00 AM"</f>
        <v>2/21/2019 8:37:00 AM</v>
      </c>
      <c r="O12449" t="s">
        <v>37423</v>
      </c>
    </row>
    <row r="12450" spans="1:20" x14ac:dyDescent="0.25">
      <c r="A12450" t="str">
        <f>"3055080"</f>
        <v>3055080</v>
      </c>
      <c r="B12450" t="s">
        <v>37426</v>
      </c>
      <c r="C12450" t="str">
        <f>"8311027"</f>
        <v>8311027</v>
      </c>
      <c r="D12450" t="s">
        <v>15629</v>
      </c>
      <c r="E12450" t="s">
        <v>15628</v>
      </c>
      <c r="F12450" t="s">
        <v>37427</v>
      </c>
      <c r="I12450" t="s">
        <v>29</v>
      </c>
      <c r="J12450" t="s">
        <v>30</v>
      </c>
      <c r="K12450" t="s">
        <v>15631</v>
      </c>
      <c r="M12450" t="s">
        <v>17861</v>
      </c>
      <c r="N12450" t="str">
        <f>"2/21/2019 3:45:00 PM"</f>
        <v>2/21/2019 3:45:00 PM</v>
      </c>
      <c r="O12450" t="s">
        <v>15629</v>
      </c>
      <c r="T12450" t="s">
        <v>15628</v>
      </c>
    </row>
    <row r="12451" spans="1:20" x14ac:dyDescent="0.25">
      <c r="A12451" t="str">
        <f>"3066197"</f>
        <v>3066197</v>
      </c>
      <c r="B12451" t="s">
        <v>37428</v>
      </c>
      <c r="C12451" t="str">
        <f>"8311027"</f>
        <v>8311027</v>
      </c>
      <c r="D12451" t="s">
        <v>15629</v>
      </c>
      <c r="E12451" t="s">
        <v>15628</v>
      </c>
      <c r="F12451" t="s">
        <v>37427</v>
      </c>
      <c r="I12451" t="s">
        <v>29</v>
      </c>
      <c r="J12451" t="s">
        <v>30</v>
      </c>
      <c r="K12451" t="s">
        <v>15631</v>
      </c>
      <c r="M12451" t="s">
        <v>17861</v>
      </c>
      <c r="N12451" t="str">
        <f>"2/21/2019 3:45:00 PM"</f>
        <v>2/21/2019 3:45:00 PM</v>
      </c>
      <c r="O12451" t="s">
        <v>15629</v>
      </c>
      <c r="T12451" t="s">
        <v>15628</v>
      </c>
    </row>
    <row r="12452" spans="1:20" x14ac:dyDescent="0.25">
      <c r="A12452" t="str">
        <f>"3066192"</f>
        <v>3066192</v>
      </c>
      <c r="B12452" t="s">
        <v>37429</v>
      </c>
      <c r="C12452" t="str">
        <f>"8311027"</f>
        <v>8311027</v>
      </c>
      <c r="D12452" t="s">
        <v>15629</v>
      </c>
      <c r="E12452" t="s">
        <v>15628</v>
      </c>
      <c r="F12452" t="s">
        <v>37427</v>
      </c>
      <c r="I12452" t="s">
        <v>29</v>
      </c>
      <c r="J12452" t="s">
        <v>30</v>
      </c>
      <c r="K12452" t="s">
        <v>15631</v>
      </c>
      <c r="M12452" t="s">
        <v>17861</v>
      </c>
      <c r="N12452" t="str">
        <f>"2/21/2019 3:45:00 PM"</f>
        <v>2/21/2019 3:45:00 PM</v>
      </c>
      <c r="O12452" t="s">
        <v>15629</v>
      </c>
      <c r="T12452" t="s">
        <v>15628</v>
      </c>
    </row>
    <row r="12453" spans="1:20" x14ac:dyDescent="0.25">
      <c r="A12453" t="str">
        <f>"3070055"</f>
        <v>3070055</v>
      </c>
      <c r="B12453" t="s">
        <v>37430</v>
      </c>
      <c r="C12453" t="str">
        <f>"8311028"</f>
        <v>8311028</v>
      </c>
      <c r="D12453" t="s">
        <v>37431</v>
      </c>
      <c r="E12453" t="s">
        <v>37432</v>
      </c>
      <c r="F12453" t="s">
        <v>37433</v>
      </c>
      <c r="I12453" t="s">
        <v>29</v>
      </c>
      <c r="J12453" t="s">
        <v>30</v>
      </c>
      <c r="K12453" t="s">
        <v>15631</v>
      </c>
      <c r="M12453" t="s">
        <v>17861</v>
      </c>
      <c r="N12453" t="str">
        <f>"2/21/2019 3:54:00 PM"</f>
        <v>2/21/2019 3:54:00 PM</v>
      </c>
      <c r="O12453" t="s">
        <v>37431</v>
      </c>
      <c r="T12453" t="s">
        <v>37432</v>
      </c>
    </row>
    <row r="12454" spans="1:20" x14ac:dyDescent="0.25">
      <c r="A12454" t="str">
        <f>"3063848"</f>
        <v>3063848</v>
      </c>
      <c r="B12454" t="s">
        <v>37434</v>
      </c>
      <c r="C12454" t="str">
        <f>"8306950"</f>
        <v>8306950</v>
      </c>
      <c r="D12454" t="s">
        <v>37435</v>
      </c>
      <c r="F12454" t="s">
        <v>37436</v>
      </c>
      <c r="I12454" t="s">
        <v>24359</v>
      </c>
      <c r="J12454" t="s">
        <v>30</v>
      </c>
      <c r="K12454" t="str">
        <f>"27006"</f>
        <v>27006</v>
      </c>
      <c r="M12454" t="s">
        <v>18470</v>
      </c>
      <c r="N12454" t="str">
        <f>"2/18/2019 10:00:00 AM"</f>
        <v>2/18/2019 10:00:00 AM</v>
      </c>
      <c r="O12454" t="s">
        <v>37435</v>
      </c>
    </row>
    <row r="12455" spans="1:20" x14ac:dyDescent="0.25">
      <c r="A12455" t="str">
        <f>"3043301"</f>
        <v>3043301</v>
      </c>
      <c r="B12455" t="s">
        <v>37437</v>
      </c>
      <c r="C12455" t="str">
        <f>"8311032"</f>
        <v>8311032</v>
      </c>
      <c r="D12455" t="s">
        <v>37438</v>
      </c>
      <c r="E12455" t="s">
        <v>20738</v>
      </c>
      <c r="F12455" t="s">
        <v>37439</v>
      </c>
      <c r="I12455" t="s">
        <v>29</v>
      </c>
      <c r="J12455" t="s">
        <v>30</v>
      </c>
      <c r="K12455" t="s">
        <v>37440</v>
      </c>
      <c r="M12455" t="s">
        <v>17861</v>
      </c>
      <c r="N12455" t="str">
        <f>"2/22/2019 4:07:00 PM"</f>
        <v>2/22/2019 4:07:00 PM</v>
      </c>
      <c r="O12455" t="s">
        <v>37438</v>
      </c>
      <c r="T12455" t="s">
        <v>20738</v>
      </c>
    </row>
    <row r="12456" spans="1:20" x14ac:dyDescent="0.25">
      <c r="A12456" t="str">
        <f>"3051303"</f>
        <v>3051303</v>
      </c>
      <c r="B12456" t="s">
        <v>37441</v>
      </c>
      <c r="C12456" t="str">
        <f>"8307316"</f>
        <v>8307316</v>
      </c>
      <c r="D12456" t="s">
        <v>37442</v>
      </c>
      <c r="E12456" t="s">
        <v>37443</v>
      </c>
      <c r="F12456" t="s">
        <v>37444</v>
      </c>
      <c r="I12456" t="s">
        <v>29</v>
      </c>
      <c r="J12456" t="s">
        <v>30</v>
      </c>
      <c r="K12456" t="str">
        <f>"27028"</f>
        <v>27028</v>
      </c>
      <c r="M12456" t="s">
        <v>25625</v>
      </c>
      <c r="N12456" t="str">
        <f>"2/18/2019 2:20:00 PM"</f>
        <v>2/18/2019 2:20:00 PM</v>
      </c>
      <c r="O12456" t="s">
        <v>37442</v>
      </c>
      <c r="T12456" t="s">
        <v>37443</v>
      </c>
    </row>
    <row r="12457" spans="1:20" x14ac:dyDescent="0.25">
      <c r="A12457" t="str">
        <f>"3059588"</f>
        <v>3059588</v>
      </c>
      <c r="B12457" t="s">
        <v>37445</v>
      </c>
      <c r="C12457" t="str">
        <f>"82529844"</f>
        <v>82529844</v>
      </c>
      <c r="D12457" t="s">
        <v>37446</v>
      </c>
      <c r="F12457" t="s">
        <v>37447</v>
      </c>
      <c r="I12457" t="s">
        <v>29</v>
      </c>
      <c r="J12457" t="s">
        <v>30</v>
      </c>
      <c r="K12457" t="s">
        <v>31</v>
      </c>
      <c r="M12457" t="s">
        <v>25625</v>
      </c>
      <c r="N12457" t="str">
        <f>"2/18/2019 2:45:00 PM"</f>
        <v>2/18/2019 2:45:00 PM</v>
      </c>
      <c r="O12457" t="s">
        <v>37446</v>
      </c>
    </row>
    <row r="12458" spans="1:20" x14ac:dyDescent="0.25">
      <c r="A12458" t="str">
        <f>"3055932"</f>
        <v>3055932</v>
      </c>
      <c r="B12458" t="s">
        <v>37448</v>
      </c>
      <c r="C12458" t="str">
        <f>"8309268"</f>
        <v>8309268</v>
      </c>
      <c r="D12458" t="s">
        <v>37449</v>
      </c>
      <c r="E12458" t="s">
        <v>37450</v>
      </c>
      <c r="F12458" t="s">
        <v>37451</v>
      </c>
      <c r="I12458" t="s">
        <v>9580</v>
      </c>
      <c r="J12458" t="s">
        <v>30</v>
      </c>
      <c r="K12458" t="s">
        <v>37452</v>
      </c>
      <c r="M12458" t="s">
        <v>17861</v>
      </c>
      <c r="N12458" t="str">
        <f>"2/14/2019 12:34:00 PM"</f>
        <v>2/14/2019 12:34:00 PM</v>
      </c>
      <c r="O12458" t="s">
        <v>37449</v>
      </c>
      <c r="T12458" t="s">
        <v>37450</v>
      </c>
    </row>
    <row r="12459" spans="1:20" x14ac:dyDescent="0.25">
      <c r="A12459" t="str">
        <f>"3037277"</f>
        <v>3037277</v>
      </c>
      <c r="B12459" t="s">
        <v>37453</v>
      </c>
      <c r="C12459" t="str">
        <f>"8311040"</f>
        <v>8311040</v>
      </c>
      <c r="D12459" t="s">
        <v>37454</v>
      </c>
      <c r="F12459" t="s">
        <v>37455</v>
      </c>
      <c r="I12459" t="s">
        <v>184</v>
      </c>
      <c r="J12459" t="s">
        <v>30</v>
      </c>
      <c r="K12459" t="s">
        <v>840</v>
      </c>
      <c r="M12459" t="s">
        <v>17861</v>
      </c>
      <c r="N12459" t="str">
        <f>"2/25/2019 2:26:00 PM"</f>
        <v>2/25/2019 2:26:00 PM</v>
      </c>
      <c r="O12459" t="s">
        <v>37454</v>
      </c>
    </row>
    <row r="12460" spans="1:20" x14ac:dyDescent="0.25">
      <c r="A12460" t="str">
        <f>"3055549"</f>
        <v>3055549</v>
      </c>
      <c r="B12460" t="s">
        <v>37456</v>
      </c>
      <c r="C12460" t="str">
        <f>"8311042"</f>
        <v>8311042</v>
      </c>
      <c r="D12460" t="s">
        <v>37457</v>
      </c>
      <c r="F12460" t="s">
        <v>22764</v>
      </c>
      <c r="I12460" t="s">
        <v>9580</v>
      </c>
      <c r="J12460" t="s">
        <v>30</v>
      </c>
      <c r="K12460" t="s">
        <v>37458</v>
      </c>
      <c r="M12460" t="s">
        <v>17861</v>
      </c>
      <c r="N12460" t="str">
        <f>"2/25/2019 2:32:00 PM"</f>
        <v>2/25/2019 2:32:00 PM</v>
      </c>
      <c r="O12460" t="s">
        <v>37457</v>
      </c>
    </row>
    <row r="12461" spans="1:20" x14ac:dyDescent="0.25">
      <c r="A12461" t="str">
        <f>"3058072"</f>
        <v>3058072</v>
      </c>
      <c r="B12461" t="s">
        <v>37459</v>
      </c>
      <c r="C12461" t="str">
        <f>"8311043"</f>
        <v>8311043</v>
      </c>
      <c r="D12461" t="s">
        <v>37460</v>
      </c>
      <c r="E12461" t="s">
        <v>37461</v>
      </c>
      <c r="F12461" t="s">
        <v>37462</v>
      </c>
      <c r="I12461" t="s">
        <v>184</v>
      </c>
      <c r="J12461" t="s">
        <v>30</v>
      </c>
      <c r="K12461" t="s">
        <v>5369</v>
      </c>
      <c r="M12461" t="s">
        <v>17861</v>
      </c>
      <c r="N12461" t="str">
        <f>"2/25/2019 2:35:00 PM"</f>
        <v>2/25/2019 2:35:00 PM</v>
      </c>
      <c r="O12461" t="s">
        <v>37460</v>
      </c>
      <c r="T12461" t="s">
        <v>37461</v>
      </c>
    </row>
    <row r="12462" spans="1:20" x14ac:dyDescent="0.25">
      <c r="A12462" t="str">
        <f>"3051712"</f>
        <v>3051712</v>
      </c>
      <c r="B12462" t="s">
        <v>37463</v>
      </c>
      <c r="C12462" t="str">
        <f>"8311044"</f>
        <v>8311044</v>
      </c>
      <c r="D12462" t="s">
        <v>37464</v>
      </c>
      <c r="F12462" t="s">
        <v>37465</v>
      </c>
      <c r="I12462" t="s">
        <v>29</v>
      </c>
      <c r="J12462" t="s">
        <v>30</v>
      </c>
      <c r="K12462" t="str">
        <f>"27028"</f>
        <v>27028</v>
      </c>
      <c r="M12462" t="s">
        <v>17861</v>
      </c>
      <c r="N12462" t="str">
        <f>"2/25/2019 2:38:00 PM"</f>
        <v>2/25/2019 2:38:00 PM</v>
      </c>
      <c r="O12462" t="s">
        <v>37464</v>
      </c>
    </row>
    <row r="12463" spans="1:20" x14ac:dyDescent="0.25">
      <c r="A12463" t="str">
        <f>"3039581"</f>
        <v>3039581</v>
      </c>
      <c r="B12463" t="s">
        <v>37466</v>
      </c>
      <c r="C12463" t="str">
        <f>"8311046"</f>
        <v>8311046</v>
      </c>
      <c r="D12463" t="s">
        <v>37467</v>
      </c>
      <c r="E12463" t="s">
        <v>37468</v>
      </c>
      <c r="F12463" t="s">
        <v>37469</v>
      </c>
      <c r="I12463" t="s">
        <v>184</v>
      </c>
      <c r="J12463" t="s">
        <v>30</v>
      </c>
      <c r="K12463" t="s">
        <v>19095</v>
      </c>
      <c r="M12463" t="s">
        <v>17861</v>
      </c>
      <c r="N12463" t="str">
        <f>"2/25/2019 3:05:00 PM"</f>
        <v>2/25/2019 3:05:00 PM</v>
      </c>
      <c r="O12463" t="s">
        <v>37467</v>
      </c>
      <c r="T12463" t="s">
        <v>37468</v>
      </c>
    </row>
    <row r="12464" spans="1:20" x14ac:dyDescent="0.25">
      <c r="A12464" t="str">
        <f>"3060985"</f>
        <v>3060985</v>
      </c>
      <c r="B12464" t="s">
        <v>37470</v>
      </c>
      <c r="C12464" t="str">
        <f>"8311048"</f>
        <v>8311048</v>
      </c>
      <c r="D12464" t="s">
        <v>37471</v>
      </c>
      <c r="F12464" t="s">
        <v>37472</v>
      </c>
      <c r="I12464" t="s">
        <v>2071</v>
      </c>
      <c r="J12464" t="s">
        <v>30</v>
      </c>
      <c r="K12464" t="s">
        <v>37473</v>
      </c>
      <c r="M12464" t="s">
        <v>17861</v>
      </c>
      <c r="N12464" t="str">
        <f>"2/25/2019 3:39:00 PM"</f>
        <v>2/25/2019 3:39:00 PM</v>
      </c>
      <c r="O12464" t="s">
        <v>37471</v>
      </c>
    </row>
    <row r="12465" spans="1:20" x14ac:dyDescent="0.25">
      <c r="A12465" t="str">
        <f>"3038682"</f>
        <v>3038682</v>
      </c>
      <c r="B12465" t="s">
        <v>37474</v>
      </c>
      <c r="C12465" t="str">
        <f>"8311050"</f>
        <v>8311050</v>
      </c>
      <c r="D12465" t="s">
        <v>37475</v>
      </c>
      <c r="F12465" t="s">
        <v>37476</v>
      </c>
      <c r="I12465" t="s">
        <v>29</v>
      </c>
      <c r="J12465" t="s">
        <v>30</v>
      </c>
      <c r="K12465" t="s">
        <v>37477</v>
      </c>
      <c r="M12465" t="s">
        <v>17861</v>
      </c>
      <c r="N12465" t="str">
        <f>"2/25/2019 3:49:00 PM"</f>
        <v>2/25/2019 3:49:00 PM</v>
      </c>
      <c r="O12465" t="s">
        <v>37475</v>
      </c>
    </row>
    <row r="12466" spans="1:20" x14ac:dyDescent="0.25">
      <c r="A12466" t="str">
        <f>"3044013"</f>
        <v>3044013</v>
      </c>
      <c r="B12466" t="s">
        <v>37478</v>
      </c>
      <c r="C12466" t="str">
        <f>"8311051"</f>
        <v>8311051</v>
      </c>
      <c r="D12466" t="s">
        <v>37479</v>
      </c>
      <c r="E12466" t="s">
        <v>37480</v>
      </c>
      <c r="F12466" t="s">
        <v>37481</v>
      </c>
      <c r="I12466" t="s">
        <v>184</v>
      </c>
      <c r="J12466" t="s">
        <v>30</v>
      </c>
      <c r="K12466" t="s">
        <v>24417</v>
      </c>
      <c r="M12466" t="s">
        <v>17861</v>
      </c>
      <c r="N12466" t="str">
        <f>"2/25/2019 3:56:00 PM"</f>
        <v>2/25/2019 3:56:00 PM</v>
      </c>
      <c r="O12466" t="s">
        <v>37479</v>
      </c>
      <c r="T12466" t="s">
        <v>37480</v>
      </c>
    </row>
    <row r="12467" spans="1:20" x14ac:dyDescent="0.25">
      <c r="A12467" t="str">
        <f>"3046707"</f>
        <v>3046707</v>
      </c>
      <c r="B12467" t="s">
        <v>37482</v>
      </c>
      <c r="C12467" t="str">
        <f>"8311054"</f>
        <v>8311054</v>
      </c>
      <c r="D12467" t="s">
        <v>37483</v>
      </c>
      <c r="E12467" t="s">
        <v>37484</v>
      </c>
      <c r="F12467" t="s">
        <v>37485</v>
      </c>
      <c r="I12467" t="s">
        <v>184</v>
      </c>
      <c r="J12467" t="s">
        <v>30</v>
      </c>
      <c r="K12467" t="s">
        <v>37486</v>
      </c>
      <c r="M12467" t="s">
        <v>17861</v>
      </c>
      <c r="N12467" t="str">
        <f>"2/26/2019 9:17:00 AM"</f>
        <v>2/26/2019 9:17:00 AM</v>
      </c>
      <c r="O12467" t="s">
        <v>37483</v>
      </c>
      <c r="T12467" t="s">
        <v>37484</v>
      </c>
    </row>
    <row r="12468" spans="1:20" x14ac:dyDescent="0.25">
      <c r="A12468" t="str">
        <f>"3051775"</f>
        <v>3051775</v>
      </c>
      <c r="B12468" t="s">
        <v>37487</v>
      </c>
      <c r="C12468" t="str">
        <f>"8310996"</f>
        <v>8310996</v>
      </c>
      <c r="D12468" t="s">
        <v>37488</v>
      </c>
      <c r="E12468" t="s">
        <v>37489</v>
      </c>
      <c r="F12468" t="s">
        <v>37490</v>
      </c>
      <c r="I12468" t="s">
        <v>29</v>
      </c>
      <c r="J12468" t="s">
        <v>30</v>
      </c>
      <c r="K12468" t="s">
        <v>25051</v>
      </c>
      <c r="M12468" t="s">
        <v>17861</v>
      </c>
      <c r="N12468" t="str">
        <f>"2/14/2019 1:42:00 PM"</f>
        <v>2/14/2019 1:42:00 PM</v>
      </c>
      <c r="O12468" t="s">
        <v>37488</v>
      </c>
      <c r="T12468" t="s">
        <v>37489</v>
      </c>
    </row>
    <row r="12469" spans="1:20" x14ac:dyDescent="0.25">
      <c r="A12469" t="str">
        <f>"3061077"</f>
        <v>3061077</v>
      </c>
      <c r="B12469" t="s">
        <v>37491</v>
      </c>
      <c r="C12469" t="str">
        <f>"8310997"</f>
        <v>8310997</v>
      </c>
      <c r="D12469" t="s">
        <v>37492</v>
      </c>
      <c r="E12469" t="s">
        <v>37493</v>
      </c>
      <c r="F12469" t="s">
        <v>37494</v>
      </c>
      <c r="I12469" t="s">
        <v>2071</v>
      </c>
      <c r="J12469" t="s">
        <v>30</v>
      </c>
      <c r="K12469" t="str">
        <f>"27006"</f>
        <v>27006</v>
      </c>
      <c r="M12469" t="s">
        <v>17861</v>
      </c>
      <c r="N12469" t="str">
        <f>"2/14/2019 2:26:00 PM"</f>
        <v>2/14/2019 2:26:00 PM</v>
      </c>
      <c r="O12469" t="s">
        <v>37492</v>
      </c>
      <c r="T12469" t="s">
        <v>37493</v>
      </c>
    </row>
    <row r="12470" spans="1:20" x14ac:dyDescent="0.25">
      <c r="A12470" t="str">
        <f>"3055096"</f>
        <v>3055096</v>
      </c>
      <c r="B12470" t="s">
        <v>37495</v>
      </c>
      <c r="C12470" t="str">
        <f>"66392000"</f>
        <v>66392000</v>
      </c>
      <c r="D12470" t="s">
        <v>37496</v>
      </c>
      <c r="F12470" t="s">
        <v>7068</v>
      </c>
      <c r="I12470" t="s">
        <v>29</v>
      </c>
      <c r="J12470" t="s">
        <v>30</v>
      </c>
      <c r="K12470" t="s">
        <v>7069</v>
      </c>
      <c r="M12470" t="s">
        <v>33845</v>
      </c>
      <c r="N12470" t="str">
        <f>"2/20/2019 2:31:00 PM"</f>
        <v>2/20/2019 2:31:00 PM</v>
      </c>
      <c r="O12470" t="s">
        <v>37496</v>
      </c>
      <c r="T12470" t="s">
        <v>37496</v>
      </c>
    </row>
    <row r="12471" spans="1:20" x14ac:dyDescent="0.25">
      <c r="A12471" t="str">
        <f>"3059444"</f>
        <v>3059444</v>
      </c>
      <c r="B12471" t="s">
        <v>37497</v>
      </c>
      <c r="C12471" t="str">
        <f>"48256000"</f>
        <v>48256000</v>
      </c>
      <c r="D12471" t="s">
        <v>37498</v>
      </c>
      <c r="E12471" t="s">
        <v>37499</v>
      </c>
      <c r="F12471" t="s">
        <v>37500</v>
      </c>
      <c r="I12471" t="s">
        <v>29</v>
      </c>
      <c r="J12471" t="s">
        <v>30</v>
      </c>
      <c r="K12471" t="s">
        <v>31</v>
      </c>
      <c r="M12471" t="s">
        <v>34475</v>
      </c>
      <c r="N12471" t="str">
        <f>"2/26/2019 10:55:00 AM"</f>
        <v>2/26/2019 10:55:00 AM</v>
      </c>
      <c r="O12471" t="s">
        <v>37498</v>
      </c>
      <c r="T12471" t="s">
        <v>37499</v>
      </c>
    </row>
    <row r="12472" spans="1:20" x14ac:dyDescent="0.25">
      <c r="A12472" t="str">
        <f>"3038423"</f>
        <v>3038423</v>
      </c>
      <c r="B12472" t="s">
        <v>37501</v>
      </c>
      <c r="C12472" t="str">
        <f>"82524672"</f>
        <v>82524672</v>
      </c>
      <c r="D12472" t="s">
        <v>37502</v>
      </c>
      <c r="E12472" t="s">
        <v>37503</v>
      </c>
      <c r="F12472" t="s">
        <v>37504</v>
      </c>
      <c r="I12472" t="s">
        <v>29</v>
      </c>
      <c r="J12472" t="s">
        <v>30</v>
      </c>
      <c r="K12472" t="s">
        <v>31</v>
      </c>
      <c r="M12472" t="s">
        <v>17861</v>
      </c>
      <c r="N12472" t="str">
        <f>"2/26/2019 12:47:00 PM"</f>
        <v>2/26/2019 12:47:00 PM</v>
      </c>
      <c r="O12472" t="s">
        <v>37502</v>
      </c>
      <c r="T12472" t="s">
        <v>37503</v>
      </c>
    </row>
    <row r="12473" spans="1:20" x14ac:dyDescent="0.25">
      <c r="A12473" t="str">
        <f>"3060829"</f>
        <v>3060829</v>
      </c>
      <c r="B12473" t="s">
        <v>37505</v>
      </c>
      <c r="C12473" t="str">
        <f>"8311063"</f>
        <v>8311063</v>
      </c>
      <c r="D12473" t="s">
        <v>37506</v>
      </c>
      <c r="E12473" t="s">
        <v>37507</v>
      </c>
      <c r="F12473" t="s">
        <v>37508</v>
      </c>
      <c r="I12473" t="s">
        <v>184</v>
      </c>
      <c r="J12473" t="s">
        <v>30</v>
      </c>
      <c r="K12473" t="s">
        <v>33852</v>
      </c>
      <c r="M12473" t="s">
        <v>17861</v>
      </c>
      <c r="N12473" t="str">
        <f>"2/26/2019 3:23:00 PM"</f>
        <v>2/26/2019 3:23:00 PM</v>
      </c>
      <c r="O12473" t="s">
        <v>37506</v>
      </c>
      <c r="T12473" t="s">
        <v>37507</v>
      </c>
    </row>
    <row r="12474" spans="1:20" x14ac:dyDescent="0.25">
      <c r="A12474" t="str">
        <f>"3078591"</f>
        <v>3078591</v>
      </c>
      <c r="B12474" t="s">
        <v>37509</v>
      </c>
      <c r="C12474" t="str">
        <f>"66392000"</f>
        <v>66392000</v>
      </c>
      <c r="D12474" t="s">
        <v>37496</v>
      </c>
      <c r="F12474" t="s">
        <v>7068</v>
      </c>
      <c r="I12474" t="s">
        <v>29</v>
      </c>
      <c r="J12474" t="s">
        <v>30</v>
      </c>
      <c r="K12474" t="s">
        <v>7069</v>
      </c>
      <c r="M12474" t="s">
        <v>33845</v>
      </c>
      <c r="N12474" t="str">
        <f>"2/20/2019 2:31:00 PM"</f>
        <v>2/20/2019 2:31:00 PM</v>
      </c>
      <c r="O12474" t="s">
        <v>37496</v>
      </c>
      <c r="T12474" t="s">
        <v>37496</v>
      </c>
    </row>
    <row r="12475" spans="1:20" x14ac:dyDescent="0.25">
      <c r="A12475" t="str">
        <f>"3041074"</f>
        <v>3041074</v>
      </c>
      <c r="B12475" t="s">
        <v>37510</v>
      </c>
      <c r="C12475" t="str">
        <f>"8310502"</f>
        <v>8310502</v>
      </c>
      <c r="D12475" t="s">
        <v>37511</v>
      </c>
      <c r="F12475" t="s">
        <v>32356</v>
      </c>
      <c r="I12475" t="s">
        <v>184</v>
      </c>
      <c r="J12475" t="s">
        <v>30</v>
      </c>
      <c r="K12475" t="str">
        <f>"27006"</f>
        <v>27006</v>
      </c>
      <c r="M12475" t="s">
        <v>32801</v>
      </c>
      <c r="N12475" t="str">
        <f>"2/20/2019 2:56:00 PM"</f>
        <v>2/20/2019 2:56:00 PM</v>
      </c>
      <c r="O12475" t="s">
        <v>37511</v>
      </c>
    </row>
    <row r="12476" spans="1:20" x14ac:dyDescent="0.25">
      <c r="A12476" t="str">
        <f>"3039122"</f>
        <v>3039122</v>
      </c>
      <c r="B12476" t="s">
        <v>37512</v>
      </c>
      <c r="C12476" t="str">
        <f>"8309177"</f>
        <v>8309177</v>
      </c>
      <c r="D12476" t="s">
        <v>37513</v>
      </c>
      <c r="E12476" t="s">
        <v>37514</v>
      </c>
      <c r="F12476" t="s">
        <v>37515</v>
      </c>
      <c r="I12476" t="s">
        <v>29</v>
      </c>
      <c r="J12476" t="s">
        <v>30</v>
      </c>
      <c r="K12476" t="s">
        <v>3064</v>
      </c>
      <c r="M12476" t="s">
        <v>32801</v>
      </c>
      <c r="N12476" t="str">
        <f>"2/20/2019 3:21:00 PM"</f>
        <v>2/20/2019 3:21:00 PM</v>
      </c>
      <c r="O12476" t="s">
        <v>37513</v>
      </c>
      <c r="T12476" t="s">
        <v>37514</v>
      </c>
    </row>
    <row r="12477" spans="1:20" x14ac:dyDescent="0.25">
      <c r="A12477" t="str">
        <f>"3055760"</f>
        <v>3055760</v>
      </c>
      <c r="B12477" t="s">
        <v>37516</v>
      </c>
      <c r="C12477" t="str">
        <f>"8309666"</f>
        <v>8309666</v>
      </c>
      <c r="D12477" t="s">
        <v>37517</v>
      </c>
      <c r="E12477" t="s">
        <v>37518</v>
      </c>
      <c r="F12477" t="s">
        <v>37519</v>
      </c>
      <c r="I12477" t="s">
        <v>964</v>
      </c>
      <c r="J12477" t="s">
        <v>30</v>
      </c>
      <c r="K12477" t="s">
        <v>37520</v>
      </c>
      <c r="M12477" t="s">
        <v>25625</v>
      </c>
      <c r="N12477" t="str">
        <f>"2/20/2019 3:23:00 PM"</f>
        <v>2/20/2019 3:23:00 PM</v>
      </c>
      <c r="O12477" t="s">
        <v>37517</v>
      </c>
      <c r="T12477" t="s">
        <v>37518</v>
      </c>
    </row>
    <row r="12478" spans="1:20" x14ac:dyDescent="0.25">
      <c r="A12478" t="str">
        <f>"3042668"</f>
        <v>3042668</v>
      </c>
      <c r="B12478" t="s">
        <v>37521</v>
      </c>
      <c r="C12478" t="str">
        <f>"8306294"</f>
        <v>8306294</v>
      </c>
      <c r="D12478" t="s">
        <v>37522</v>
      </c>
      <c r="E12478" t="s">
        <v>37523</v>
      </c>
      <c r="F12478" t="s">
        <v>37524</v>
      </c>
      <c r="I12478" t="s">
        <v>29</v>
      </c>
      <c r="J12478" t="s">
        <v>30</v>
      </c>
      <c r="K12478" t="s">
        <v>19632</v>
      </c>
      <c r="M12478" t="s">
        <v>25625</v>
      </c>
      <c r="N12478" t="str">
        <f>"2/20/2019 3:32:00 PM"</f>
        <v>2/20/2019 3:32:00 PM</v>
      </c>
      <c r="O12478" t="s">
        <v>37522</v>
      </c>
      <c r="T12478" t="s">
        <v>37523</v>
      </c>
    </row>
    <row r="12479" spans="1:20" x14ac:dyDescent="0.25">
      <c r="A12479" t="str">
        <f>"3057277"</f>
        <v>3057277</v>
      </c>
      <c r="B12479" t="s">
        <v>37525</v>
      </c>
      <c r="C12479" t="str">
        <f>"8309421"</f>
        <v>8309421</v>
      </c>
      <c r="D12479" t="s">
        <v>37420</v>
      </c>
      <c r="F12479" t="s">
        <v>37421</v>
      </c>
      <c r="I12479" t="s">
        <v>29</v>
      </c>
      <c r="J12479" t="s">
        <v>30</v>
      </c>
      <c r="K12479" t="s">
        <v>14439</v>
      </c>
      <c r="M12479" t="s">
        <v>32801</v>
      </c>
      <c r="N12479" t="str">
        <f>"2/20/2019 4:00:00 PM"</f>
        <v>2/20/2019 4:00:00 PM</v>
      </c>
      <c r="O12479" t="s">
        <v>37420</v>
      </c>
    </row>
    <row r="12480" spans="1:20" x14ac:dyDescent="0.25">
      <c r="A12480" t="str">
        <f>"3057235"</f>
        <v>3057235</v>
      </c>
      <c r="B12480" t="s">
        <v>37526</v>
      </c>
      <c r="C12480" t="str">
        <f>"8309421"</f>
        <v>8309421</v>
      </c>
      <c r="D12480" t="s">
        <v>37420</v>
      </c>
      <c r="F12480" t="s">
        <v>37421</v>
      </c>
      <c r="I12480" t="s">
        <v>29</v>
      </c>
      <c r="J12480" t="s">
        <v>30</v>
      </c>
      <c r="K12480" t="s">
        <v>14439</v>
      </c>
      <c r="M12480" t="s">
        <v>32801</v>
      </c>
      <c r="N12480" t="str">
        <f>"2/20/2019 4:00:00 PM"</f>
        <v>2/20/2019 4:00:00 PM</v>
      </c>
      <c r="O12480" t="s">
        <v>37420</v>
      </c>
    </row>
    <row r="12481" spans="1:20" x14ac:dyDescent="0.25">
      <c r="A12481" t="str">
        <f>"3060311"</f>
        <v>3060311</v>
      </c>
      <c r="B12481" t="s">
        <v>37527</v>
      </c>
      <c r="C12481" t="str">
        <f>"8311031"</f>
        <v>8311031</v>
      </c>
      <c r="D12481" t="s">
        <v>37528</v>
      </c>
      <c r="F12481" t="s">
        <v>37529</v>
      </c>
      <c r="I12481" t="s">
        <v>29</v>
      </c>
      <c r="J12481" t="s">
        <v>30</v>
      </c>
      <c r="K12481" t="s">
        <v>19061</v>
      </c>
      <c r="M12481" t="s">
        <v>17861</v>
      </c>
      <c r="N12481" t="str">
        <f>"2/22/2019 4:04:00 PM"</f>
        <v>2/22/2019 4:04:00 PM</v>
      </c>
      <c r="O12481" t="s">
        <v>37528</v>
      </c>
    </row>
    <row r="12482" spans="1:20" x14ac:dyDescent="0.25">
      <c r="A12482" t="str">
        <f>"3046156"</f>
        <v>3046156</v>
      </c>
      <c r="B12482" t="s">
        <v>37530</v>
      </c>
      <c r="C12482" t="str">
        <f>"8311036"</f>
        <v>8311036</v>
      </c>
      <c r="D12482" t="s">
        <v>37531</v>
      </c>
      <c r="E12482" t="s">
        <v>37532</v>
      </c>
      <c r="F12482" t="s">
        <v>37533</v>
      </c>
      <c r="I12482" t="s">
        <v>29</v>
      </c>
      <c r="J12482" t="s">
        <v>30</v>
      </c>
      <c r="K12482" t="s">
        <v>37534</v>
      </c>
      <c r="M12482" t="s">
        <v>17861</v>
      </c>
      <c r="N12482" t="str">
        <f>"2/25/2019 10:01:00 AM"</f>
        <v>2/25/2019 10:01:00 AM</v>
      </c>
      <c r="O12482" t="s">
        <v>37531</v>
      </c>
      <c r="T12482" t="s">
        <v>37532</v>
      </c>
    </row>
    <row r="12483" spans="1:20" x14ac:dyDescent="0.25">
      <c r="A12483" t="str">
        <f>"3042862"</f>
        <v>3042862</v>
      </c>
      <c r="B12483" t="s">
        <v>37535</v>
      </c>
      <c r="C12483" t="str">
        <f>"8311038"</f>
        <v>8311038</v>
      </c>
      <c r="D12483" t="s">
        <v>37536</v>
      </c>
      <c r="F12483" t="s">
        <v>37537</v>
      </c>
      <c r="I12483" t="s">
        <v>29</v>
      </c>
      <c r="J12483" t="s">
        <v>30</v>
      </c>
      <c r="K12483" t="s">
        <v>37538</v>
      </c>
      <c r="M12483" t="s">
        <v>17861</v>
      </c>
      <c r="N12483" t="str">
        <f>"2/25/2019 10:27:00 AM"</f>
        <v>2/25/2019 10:27:00 AM</v>
      </c>
      <c r="O12483" t="s">
        <v>37536</v>
      </c>
    </row>
    <row r="12484" spans="1:20" x14ac:dyDescent="0.25">
      <c r="A12484" t="str">
        <f>"3061691"</f>
        <v>3061691</v>
      </c>
      <c r="B12484" t="s">
        <v>37539</v>
      </c>
      <c r="C12484" t="str">
        <f>"8306232"</f>
        <v>8306232</v>
      </c>
      <c r="D12484" t="s">
        <v>37540</v>
      </c>
      <c r="F12484" t="s">
        <v>3604</v>
      </c>
      <c r="I12484" t="s">
        <v>2071</v>
      </c>
      <c r="J12484" t="s">
        <v>30</v>
      </c>
      <c r="K12484" t="str">
        <f>"27006"</f>
        <v>27006</v>
      </c>
      <c r="M12484" t="s">
        <v>25733</v>
      </c>
      <c r="N12484" t="str">
        <f>"2/25/2019 1:32:00 PM"</f>
        <v>2/25/2019 1:32:00 PM</v>
      </c>
      <c r="O12484" t="s">
        <v>37540</v>
      </c>
    </row>
    <row r="12485" spans="1:20" x14ac:dyDescent="0.25">
      <c r="A12485" t="str">
        <f>"3045261"</f>
        <v>3045261</v>
      </c>
      <c r="B12485" t="s">
        <v>37541</v>
      </c>
      <c r="C12485" t="str">
        <f>"8308594"</f>
        <v>8308594</v>
      </c>
      <c r="D12485" t="s">
        <v>37542</v>
      </c>
      <c r="E12485" t="s">
        <v>37543</v>
      </c>
      <c r="F12485" t="s">
        <v>37544</v>
      </c>
      <c r="I12485" t="s">
        <v>17921</v>
      </c>
      <c r="J12485" t="s">
        <v>30</v>
      </c>
      <c r="K12485" t="str">
        <f>"27028"</f>
        <v>27028</v>
      </c>
      <c r="M12485" t="s">
        <v>25625</v>
      </c>
      <c r="N12485" t="str">
        <f>"2/18/2019 2:54:00 PM"</f>
        <v>2/18/2019 2:54:00 PM</v>
      </c>
      <c r="O12485" t="s">
        <v>37542</v>
      </c>
      <c r="T12485" t="s">
        <v>37543</v>
      </c>
    </row>
    <row r="12486" spans="1:20" x14ac:dyDescent="0.25">
      <c r="A12486" t="str">
        <f>"3058629"</f>
        <v>3058629</v>
      </c>
      <c r="B12486" t="s">
        <v>37545</v>
      </c>
      <c r="C12486" t="str">
        <f>"8305877"</f>
        <v>8305877</v>
      </c>
      <c r="D12486" t="s">
        <v>37546</v>
      </c>
      <c r="F12486" t="s">
        <v>37547</v>
      </c>
      <c r="I12486" t="s">
        <v>29</v>
      </c>
      <c r="J12486" t="s">
        <v>30</v>
      </c>
      <c r="K12486" t="str">
        <f>"27028"</f>
        <v>27028</v>
      </c>
      <c r="M12486" t="s">
        <v>25625</v>
      </c>
      <c r="N12486" t="str">
        <f>"2/19/2019 10:06:00 AM"</f>
        <v>2/19/2019 10:06:00 AM</v>
      </c>
      <c r="O12486" t="s">
        <v>37546</v>
      </c>
    </row>
    <row r="12487" spans="1:20" x14ac:dyDescent="0.25">
      <c r="A12487" t="str">
        <f>"3054986"</f>
        <v>3054986</v>
      </c>
      <c r="B12487" t="s">
        <v>37548</v>
      </c>
      <c r="C12487" t="str">
        <f>"8308318"</f>
        <v>8308318</v>
      </c>
      <c r="D12487" t="s">
        <v>37549</v>
      </c>
      <c r="E12487" t="s">
        <v>37550</v>
      </c>
      <c r="F12487" t="s">
        <v>37551</v>
      </c>
      <c r="I12487" t="s">
        <v>29</v>
      </c>
      <c r="J12487" t="s">
        <v>30</v>
      </c>
      <c r="K12487" t="s">
        <v>14700</v>
      </c>
      <c r="M12487" t="s">
        <v>36935</v>
      </c>
      <c r="N12487" t="str">
        <f>"2/19/2019 2:05:00 PM"</f>
        <v>2/19/2019 2:05:00 PM</v>
      </c>
      <c r="O12487" t="s">
        <v>37549</v>
      </c>
      <c r="T12487" t="s">
        <v>37550</v>
      </c>
    </row>
    <row r="12488" spans="1:20" x14ac:dyDescent="0.25">
      <c r="A12488" t="str">
        <f>"3038595"</f>
        <v>3038595</v>
      </c>
      <c r="B12488" t="s">
        <v>37552</v>
      </c>
      <c r="C12488" t="str">
        <f>"64245000"</f>
        <v>64245000</v>
      </c>
      <c r="D12488" t="s">
        <v>37553</v>
      </c>
      <c r="F12488" t="s">
        <v>37554</v>
      </c>
      <c r="I12488" t="s">
        <v>29</v>
      </c>
      <c r="J12488" t="s">
        <v>30</v>
      </c>
      <c r="K12488" t="s">
        <v>31</v>
      </c>
      <c r="M12488" t="s">
        <v>33845</v>
      </c>
      <c r="N12488" t="str">
        <f>"2/19/2019 2:14:00 PM"</f>
        <v>2/19/2019 2:14:00 PM</v>
      </c>
      <c r="O12488" t="s">
        <v>37553</v>
      </c>
    </row>
    <row r="12489" spans="1:20" x14ac:dyDescent="0.25">
      <c r="A12489" t="str">
        <f>"3045016"</f>
        <v>3045016</v>
      </c>
      <c r="B12489" t="s">
        <v>37555</v>
      </c>
      <c r="C12489" t="str">
        <f>"8311089"</f>
        <v>8311089</v>
      </c>
      <c r="D12489" t="s">
        <v>37556</v>
      </c>
      <c r="F12489" t="s">
        <v>37557</v>
      </c>
      <c r="I12489" t="s">
        <v>1149</v>
      </c>
      <c r="J12489" t="s">
        <v>30</v>
      </c>
      <c r="K12489" t="s">
        <v>37558</v>
      </c>
      <c r="M12489" t="s">
        <v>17861</v>
      </c>
      <c r="N12489" t="str">
        <f>"2/27/2019 3:10:00 PM"</f>
        <v>2/27/2019 3:10:00 PM</v>
      </c>
      <c r="O12489" t="s">
        <v>37556</v>
      </c>
    </row>
    <row r="12490" spans="1:20" x14ac:dyDescent="0.25">
      <c r="A12490" t="str">
        <f>"3058269"</f>
        <v>3058269</v>
      </c>
      <c r="B12490" t="s">
        <v>37559</v>
      </c>
      <c r="C12490" t="str">
        <f>"8311090"</f>
        <v>8311090</v>
      </c>
      <c r="D12490" t="s">
        <v>37560</v>
      </c>
      <c r="F12490" t="s">
        <v>37561</v>
      </c>
      <c r="I12490" t="s">
        <v>29</v>
      </c>
      <c r="J12490" t="s">
        <v>30</v>
      </c>
      <c r="K12490" t="s">
        <v>20338</v>
      </c>
      <c r="M12490" t="s">
        <v>17861</v>
      </c>
      <c r="N12490" t="str">
        <f>"2/27/2019 3:14:00 PM"</f>
        <v>2/27/2019 3:14:00 PM</v>
      </c>
      <c r="O12490" t="s">
        <v>37560</v>
      </c>
    </row>
    <row r="12491" spans="1:20" x14ac:dyDescent="0.25">
      <c r="A12491" t="str">
        <f>"3045623"</f>
        <v>3045623</v>
      </c>
      <c r="B12491" t="s">
        <v>37562</v>
      </c>
      <c r="C12491" t="str">
        <f>"8311091"</f>
        <v>8311091</v>
      </c>
      <c r="D12491" t="s">
        <v>37563</v>
      </c>
      <c r="F12491" t="s">
        <v>37564</v>
      </c>
      <c r="I12491" t="s">
        <v>1149</v>
      </c>
      <c r="J12491" t="s">
        <v>30</v>
      </c>
      <c r="K12491" t="str">
        <f>"28634"</f>
        <v>28634</v>
      </c>
      <c r="M12491" t="s">
        <v>17861</v>
      </c>
      <c r="N12491" t="str">
        <f>"2/27/2019 3:17:00 PM"</f>
        <v>2/27/2019 3:17:00 PM</v>
      </c>
      <c r="O12491" t="s">
        <v>37563</v>
      </c>
    </row>
    <row r="12492" spans="1:20" x14ac:dyDescent="0.25">
      <c r="A12492" t="str">
        <f>"3042694"</f>
        <v>3042694</v>
      </c>
      <c r="B12492" t="s">
        <v>37565</v>
      </c>
      <c r="C12492" t="str">
        <f>"8311092"</f>
        <v>8311092</v>
      </c>
      <c r="D12492" t="s">
        <v>37566</v>
      </c>
      <c r="F12492" t="s">
        <v>37567</v>
      </c>
      <c r="I12492" t="s">
        <v>2280</v>
      </c>
      <c r="J12492" t="s">
        <v>30</v>
      </c>
      <c r="K12492" t="str">
        <f>"27295"</f>
        <v>27295</v>
      </c>
      <c r="M12492" t="s">
        <v>17861</v>
      </c>
      <c r="N12492" t="str">
        <f>"2/27/2019 3:22:00 PM"</f>
        <v>2/27/2019 3:22:00 PM</v>
      </c>
      <c r="O12492" t="s">
        <v>37566</v>
      </c>
    </row>
    <row r="12493" spans="1:20" x14ac:dyDescent="0.25">
      <c r="A12493" t="str">
        <f>"3054975"</f>
        <v>3054975</v>
      </c>
      <c r="B12493" t="s">
        <v>37568</v>
      </c>
      <c r="C12493" t="str">
        <f>"82523750"</f>
        <v>82523750</v>
      </c>
      <c r="D12493" t="s">
        <v>37569</v>
      </c>
      <c r="F12493" t="s">
        <v>37570</v>
      </c>
      <c r="I12493" t="s">
        <v>964</v>
      </c>
      <c r="J12493" t="s">
        <v>30</v>
      </c>
      <c r="K12493" t="s">
        <v>37571</v>
      </c>
      <c r="M12493" t="s">
        <v>32801</v>
      </c>
      <c r="N12493" t="str">
        <f>"2/20/2019 12:24:00 PM"</f>
        <v>2/20/2019 12:24:00 PM</v>
      </c>
      <c r="O12493" t="s">
        <v>37569</v>
      </c>
    </row>
    <row r="12494" spans="1:20" x14ac:dyDescent="0.25">
      <c r="A12494" t="str">
        <f>"3041823"</f>
        <v>3041823</v>
      </c>
      <c r="B12494" t="s">
        <v>37572</v>
      </c>
      <c r="C12494" t="str">
        <f>"8311098"</f>
        <v>8311098</v>
      </c>
      <c r="D12494" t="s">
        <v>37573</v>
      </c>
      <c r="F12494" t="s">
        <v>37574</v>
      </c>
      <c r="I12494" t="s">
        <v>471</v>
      </c>
      <c r="J12494" t="s">
        <v>30</v>
      </c>
      <c r="K12494" t="s">
        <v>37575</v>
      </c>
      <c r="M12494" t="s">
        <v>17861</v>
      </c>
      <c r="N12494" t="str">
        <f>"3/1/2019 9:32:00 AM"</f>
        <v>3/1/2019 9:32:00 AM</v>
      </c>
      <c r="O12494" t="s">
        <v>37573</v>
      </c>
    </row>
    <row r="12495" spans="1:20" x14ac:dyDescent="0.25">
      <c r="A12495" t="str">
        <f>"3054869"</f>
        <v>3054869</v>
      </c>
      <c r="B12495" t="s">
        <v>37576</v>
      </c>
      <c r="C12495" t="str">
        <f>"82523750"</f>
        <v>82523750</v>
      </c>
      <c r="D12495" t="s">
        <v>37569</v>
      </c>
      <c r="F12495" t="s">
        <v>37570</v>
      </c>
      <c r="I12495" t="s">
        <v>964</v>
      </c>
      <c r="J12495" t="s">
        <v>30</v>
      </c>
      <c r="K12495" t="s">
        <v>37571</v>
      </c>
      <c r="M12495" t="s">
        <v>32801</v>
      </c>
      <c r="N12495" t="str">
        <f>"2/20/2019 12:24:00 PM"</f>
        <v>2/20/2019 12:24:00 PM</v>
      </c>
      <c r="O12495" t="s">
        <v>37569</v>
      </c>
    </row>
    <row r="12496" spans="1:20" x14ac:dyDescent="0.25">
      <c r="A12496" t="str">
        <f>"3056656"</f>
        <v>3056656</v>
      </c>
      <c r="B12496" t="s">
        <v>37577</v>
      </c>
      <c r="C12496" t="str">
        <f>"82523750"</f>
        <v>82523750</v>
      </c>
      <c r="D12496" t="s">
        <v>37569</v>
      </c>
      <c r="F12496" t="s">
        <v>37570</v>
      </c>
      <c r="I12496" t="s">
        <v>964</v>
      </c>
      <c r="J12496" t="s">
        <v>30</v>
      </c>
      <c r="K12496" t="s">
        <v>37571</v>
      </c>
      <c r="M12496" t="s">
        <v>32801</v>
      </c>
      <c r="N12496" t="str">
        <f>"2/20/2019 12:24:00 PM"</f>
        <v>2/20/2019 12:24:00 PM</v>
      </c>
      <c r="O12496" t="s">
        <v>37569</v>
      </c>
    </row>
    <row r="12497" spans="1:20" x14ac:dyDescent="0.25">
      <c r="A12497" t="str">
        <f>"3056395"</f>
        <v>3056395</v>
      </c>
      <c r="B12497" t="s">
        <v>37578</v>
      </c>
      <c r="C12497" t="str">
        <f>"82523750"</f>
        <v>82523750</v>
      </c>
      <c r="D12497" t="s">
        <v>37569</v>
      </c>
      <c r="F12497" t="s">
        <v>37570</v>
      </c>
      <c r="I12497" t="s">
        <v>964</v>
      </c>
      <c r="J12497" t="s">
        <v>30</v>
      </c>
      <c r="K12497" t="s">
        <v>37571</v>
      </c>
      <c r="M12497" t="s">
        <v>32801</v>
      </c>
      <c r="N12497" t="str">
        <f>"2/20/2019 12:24:00 PM"</f>
        <v>2/20/2019 12:24:00 PM</v>
      </c>
      <c r="O12497" t="s">
        <v>37569</v>
      </c>
    </row>
    <row r="12498" spans="1:20" x14ac:dyDescent="0.25">
      <c r="A12498" t="str">
        <f>"3057592"</f>
        <v>3057592</v>
      </c>
      <c r="B12498" t="s">
        <v>37579</v>
      </c>
      <c r="C12498" t="str">
        <f>"47518750"</f>
        <v>47518750</v>
      </c>
      <c r="D12498" t="s">
        <v>37580</v>
      </c>
      <c r="F12498" t="s">
        <v>37581</v>
      </c>
      <c r="I12498" t="s">
        <v>29</v>
      </c>
      <c r="J12498" t="s">
        <v>30</v>
      </c>
      <c r="K12498" t="s">
        <v>9626</v>
      </c>
      <c r="M12498" t="s">
        <v>33845</v>
      </c>
      <c r="N12498" t="str">
        <f>"2/20/2019 12:47:00 PM"</f>
        <v>2/20/2019 12:47:00 PM</v>
      </c>
      <c r="O12498" t="s">
        <v>37580</v>
      </c>
    </row>
    <row r="12499" spans="1:20" x14ac:dyDescent="0.25">
      <c r="A12499" t="str">
        <f>"3052471"</f>
        <v>3052471</v>
      </c>
      <c r="B12499" t="s">
        <v>37582</v>
      </c>
      <c r="C12499" t="str">
        <f>"70824000"</f>
        <v>70824000</v>
      </c>
      <c r="D12499" t="s">
        <v>37583</v>
      </c>
      <c r="E12499" t="s">
        <v>37584</v>
      </c>
      <c r="F12499" t="s">
        <v>37585</v>
      </c>
      <c r="I12499" t="s">
        <v>29</v>
      </c>
      <c r="J12499" t="s">
        <v>30</v>
      </c>
      <c r="K12499" t="s">
        <v>31</v>
      </c>
      <c r="M12499" t="s">
        <v>33845</v>
      </c>
      <c r="N12499" t="str">
        <f>"2/20/2019 12:52:00 PM"</f>
        <v>2/20/2019 12:52:00 PM</v>
      </c>
      <c r="O12499" t="s">
        <v>37583</v>
      </c>
      <c r="T12499" t="s">
        <v>37584</v>
      </c>
    </row>
    <row r="12500" spans="1:20" x14ac:dyDescent="0.25">
      <c r="A12500" t="str">
        <f>"3053145"</f>
        <v>3053145</v>
      </c>
      <c r="B12500" t="s">
        <v>37586</v>
      </c>
      <c r="C12500" t="str">
        <f>"8311065"</f>
        <v>8311065</v>
      </c>
      <c r="D12500" t="s">
        <v>37587</v>
      </c>
      <c r="E12500" t="s">
        <v>37588</v>
      </c>
      <c r="F12500" t="s">
        <v>37589</v>
      </c>
      <c r="I12500" t="s">
        <v>29</v>
      </c>
      <c r="J12500" t="s">
        <v>30</v>
      </c>
      <c r="K12500" t="s">
        <v>13860</v>
      </c>
      <c r="M12500" t="s">
        <v>17861</v>
      </c>
      <c r="N12500" t="str">
        <f>"2/26/2019 3:30:00 PM"</f>
        <v>2/26/2019 3:30:00 PM</v>
      </c>
      <c r="O12500" t="s">
        <v>37587</v>
      </c>
      <c r="T12500" t="s">
        <v>37588</v>
      </c>
    </row>
    <row r="12501" spans="1:20" x14ac:dyDescent="0.25">
      <c r="A12501" t="str">
        <f>"3047342"</f>
        <v>3047342</v>
      </c>
      <c r="B12501" t="s">
        <v>37590</v>
      </c>
      <c r="C12501" t="str">
        <f>"8305922"</f>
        <v>8305922</v>
      </c>
      <c r="D12501" t="s">
        <v>37591</v>
      </c>
      <c r="F12501" t="s">
        <v>35737</v>
      </c>
      <c r="I12501" t="s">
        <v>29</v>
      </c>
      <c r="J12501" t="s">
        <v>30</v>
      </c>
      <c r="K12501" t="str">
        <f>"27028"</f>
        <v>27028</v>
      </c>
      <c r="M12501" t="s">
        <v>18470</v>
      </c>
      <c r="N12501" t="str">
        <f>"3/6/2019 10:20:00 AM"</f>
        <v>3/6/2019 10:20:00 AM</v>
      </c>
      <c r="O12501" t="s">
        <v>37591</v>
      </c>
    </row>
    <row r="12502" spans="1:20" x14ac:dyDescent="0.25">
      <c r="A12502" t="str">
        <f>"3047300"</f>
        <v>3047300</v>
      </c>
      <c r="B12502" t="s">
        <v>37592</v>
      </c>
      <c r="C12502" t="str">
        <f>"8305922"</f>
        <v>8305922</v>
      </c>
      <c r="D12502" t="s">
        <v>37591</v>
      </c>
      <c r="F12502" t="s">
        <v>35737</v>
      </c>
      <c r="I12502" t="s">
        <v>29</v>
      </c>
      <c r="J12502" t="s">
        <v>30</v>
      </c>
      <c r="K12502" t="str">
        <f>"27028"</f>
        <v>27028</v>
      </c>
      <c r="M12502" t="s">
        <v>18470</v>
      </c>
      <c r="N12502" t="str">
        <f>"3/6/2019 10:20:00 AM"</f>
        <v>3/6/2019 10:20:00 AM</v>
      </c>
      <c r="O12502" t="s">
        <v>37591</v>
      </c>
    </row>
    <row r="12503" spans="1:20" x14ac:dyDescent="0.25">
      <c r="A12503" t="str">
        <f>"3041900"</f>
        <v>3041900</v>
      </c>
      <c r="B12503" t="s">
        <v>37593</v>
      </c>
      <c r="C12503" t="str">
        <f>"82526068"</f>
        <v>82526068</v>
      </c>
      <c r="D12503" t="s">
        <v>37594</v>
      </c>
      <c r="F12503" t="s">
        <v>37595</v>
      </c>
      <c r="I12503" t="s">
        <v>163</v>
      </c>
      <c r="J12503" t="s">
        <v>30</v>
      </c>
      <c r="K12503" t="s">
        <v>2356</v>
      </c>
      <c r="M12503" t="s">
        <v>18470</v>
      </c>
      <c r="N12503" t="str">
        <f>"2/26/2019 3:35:00 PM"</f>
        <v>2/26/2019 3:35:00 PM</v>
      </c>
      <c r="O12503" t="s">
        <v>37594</v>
      </c>
    </row>
    <row r="12504" spans="1:20" x14ac:dyDescent="0.25">
      <c r="A12504" t="str">
        <f>"3051569"</f>
        <v>3051569</v>
      </c>
      <c r="B12504" t="s">
        <v>37596</v>
      </c>
      <c r="C12504" t="str">
        <f>"8311070"</f>
        <v>8311070</v>
      </c>
      <c r="D12504" t="s">
        <v>37597</v>
      </c>
      <c r="E12504" t="str">
        <f>"KANE THOMAS A/KIRSTEN CO-TRSTE"</f>
        <v>KANE THOMAS A/KIRSTEN CO-TRSTE</v>
      </c>
      <c r="F12504" t="s">
        <v>37598</v>
      </c>
      <c r="I12504" t="s">
        <v>37599</v>
      </c>
      <c r="J12504" t="s">
        <v>30</v>
      </c>
      <c r="K12504" t="str">
        <f>"27516"</f>
        <v>27516</v>
      </c>
      <c r="M12504" t="s">
        <v>17861</v>
      </c>
      <c r="N12504" t="str">
        <f>"2/26/2019 4:09:00 PM"</f>
        <v>2/26/2019 4:09:00 PM</v>
      </c>
      <c r="O12504" t="s">
        <v>37597</v>
      </c>
      <c r="T12504" t="str">
        <f>"KANE THOMAS A/KIRSTEN CO-TRSTE"</f>
        <v>KANE THOMAS A/KIRSTEN CO-TRSTE</v>
      </c>
    </row>
    <row r="12505" spans="1:20" x14ac:dyDescent="0.25">
      <c r="A12505" t="str">
        <f>"3052359"</f>
        <v>3052359</v>
      </c>
      <c r="B12505" t="s">
        <v>37600</v>
      </c>
      <c r="C12505" t="str">
        <f>"8311071"</f>
        <v>8311071</v>
      </c>
      <c r="D12505" t="s">
        <v>37601</v>
      </c>
      <c r="E12505" t="s">
        <v>37602</v>
      </c>
      <c r="F12505" t="s">
        <v>37603</v>
      </c>
      <c r="I12505" t="s">
        <v>29</v>
      </c>
      <c r="J12505" t="s">
        <v>30</v>
      </c>
      <c r="K12505" t="s">
        <v>22923</v>
      </c>
      <c r="M12505" t="s">
        <v>17861</v>
      </c>
      <c r="N12505" t="str">
        <f>"2/26/2019 4:26:00 PM"</f>
        <v>2/26/2019 4:26:00 PM</v>
      </c>
      <c r="O12505" t="s">
        <v>37601</v>
      </c>
      <c r="T12505" t="s">
        <v>37602</v>
      </c>
    </row>
    <row r="12506" spans="1:20" x14ac:dyDescent="0.25">
      <c r="A12506" t="str">
        <f>"3065015"</f>
        <v>3065015</v>
      </c>
      <c r="B12506" t="s">
        <v>37604</v>
      </c>
      <c r="C12506" t="str">
        <f>"8311074"</f>
        <v>8311074</v>
      </c>
      <c r="D12506" t="s">
        <v>37605</v>
      </c>
      <c r="E12506" t="s">
        <v>37606</v>
      </c>
      <c r="F12506" t="s">
        <v>37607</v>
      </c>
      <c r="I12506" t="s">
        <v>184</v>
      </c>
      <c r="J12506" t="s">
        <v>30</v>
      </c>
      <c r="K12506" t="s">
        <v>37608</v>
      </c>
      <c r="M12506" t="s">
        <v>17861</v>
      </c>
      <c r="N12506" t="str">
        <f>"2/27/2019 8:45:00 AM"</f>
        <v>2/27/2019 8:45:00 AM</v>
      </c>
      <c r="O12506" t="s">
        <v>37605</v>
      </c>
      <c r="T12506" t="s">
        <v>37606</v>
      </c>
    </row>
    <row r="12507" spans="1:20" x14ac:dyDescent="0.25">
      <c r="A12507" t="str">
        <f>"3057573"</f>
        <v>3057573</v>
      </c>
      <c r="B12507" t="s">
        <v>37609</v>
      </c>
      <c r="C12507" t="str">
        <f>"8311077"</f>
        <v>8311077</v>
      </c>
      <c r="D12507" t="s">
        <v>37610</v>
      </c>
      <c r="E12507" t="s">
        <v>37611</v>
      </c>
      <c r="F12507" t="s">
        <v>37612</v>
      </c>
      <c r="I12507" t="s">
        <v>29</v>
      </c>
      <c r="J12507" t="s">
        <v>30</v>
      </c>
      <c r="K12507" t="s">
        <v>10042</v>
      </c>
      <c r="M12507" t="s">
        <v>17861</v>
      </c>
      <c r="N12507" t="str">
        <f>"2/27/2019 1:10:00 PM"</f>
        <v>2/27/2019 1:10:00 PM</v>
      </c>
      <c r="O12507" t="s">
        <v>37610</v>
      </c>
      <c r="T12507" t="s">
        <v>37611</v>
      </c>
    </row>
    <row r="12508" spans="1:20" x14ac:dyDescent="0.25">
      <c r="A12508" t="str">
        <f>"3049500"</f>
        <v>3049500</v>
      </c>
      <c r="B12508" t="s">
        <v>37613</v>
      </c>
      <c r="C12508" t="str">
        <f>"8311119"</f>
        <v>8311119</v>
      </c>
      <c r="D12508" t="s">
        <v>37614</v>
      </c>
      <c r="E12508" t="s">
        <v>37615</v>
      </c>
      <c r="F12508" t="s">
        <v>37616</v>
      </c>
      <c r="I12508" t="s">
        <v>29</v>
      </c>
      <c r="J12508" t="s">
        <v>30</v>
      </c>
      <c r="K12508" t="s">
        <v>37617</v>
      </c>
      <c r="M12508" t="s">
        <v>17861</v>
      </c>
      <c r="N12508" t="str">
        <f>"3/7/2019 3:56:00 PM"</f>
        <v>3/7/2019 3:56:00 PM</v>
      </c>
      <c r="O12508" t="s">
        <v>37614</v>
      </c>
      <c r="T12508" t="s">
        <v>37615</v>
      </c>
    </row>
    <row r="12509" spans="1:20" x14ac:dyDescent="0.25">
      <c r="A12509" t="str">
        <f>"3059861"</f>
        <v>3059861</v>
      </c>
      <c r="B12509" t="s">
        <v>37618</v>
      </c>
      <c r="C12509" t="str">
        <f>"8310419"</f>
        <v>8310419</v>
      </c>
      <c r="D12509" t="s">
        <v>37619</v>
      </c>
      <c r="F12509" t="s">
        <v>37620</v>
      </c>
      <c r="I12509" t="s">
        <v>29</v>
      </c>
      <c r="J12509" t="s">
        <v>30</v>
      </c>
      <c r="K12509" t="s">
        <v>23292</v>
      </c>
      <c r="M12509" t="s">
        <v>22270</v>
      </c>
      <c r="N12509" t="str">
        <f>"3/8/2019 12:21:00 PM"</f>
        <v>3/8/2019 12:21:00 PM</v>
      </c>
      <c r="O12509" t="s">
        <v>37619</v>
      </c>
    </row>
    <row r="12510" spans="1:20" x14ac:dyDescent="0.25">
      <c r="A12510" t="str">
        <f>"3039722"</f>
        <v>3039722</v>
      </c>
      <c r="B12510" t="s">
        <v>37621</v>
      </c>
      <c r="C12510" t="str">
        <f>"8311078"</f>
        <v>8311078</v>
      </c>
      <c r="D12510" t="s">
        <v>37622</v>
      </c>
      <c r="E12510" t="s">
        <v>37623</v>
      </c>
      <c r="F12510" t="s">
        <v>37624</v>
      </c>
      <c r="I12510" t="s">
        <v>184</v>
      </c>
      <c r="J12510" t="s">
        <v>30</v>
      </c>
      <c r="K12510" t="str">
        <f>"27006"</f>
        <v>27006</v>
      </c>
      <c r="M12510" t="s">
        <v>17861</v>
      </c>
      <c r="N12510" t="str">
        <f>"2/27/2019 1:15:00 PM"</f>
        <v>2/27/2019 1:15:00 PM</v>
      </c>
      <c r="O12510" t="s">
        <v>37622</v>
      </c>
      <c r="T12510" t="s">
        <v>37623</v>
      </c>
    </row>
    <row r="12511" spans="1:20" x14ac:dyDescent="0.25">
      <c r="A12511" t="str">
        <f>"3044574"</f>
        <v>3044574</v>
      </c>
      <c r="B12511" t="s">
        <v>37625</v>
      </c>
      <c r="C12511" t="str">
        <f>"8311080"</f>
        <v>8311080</v>
      </c>
      <c r="D12511" t="s">
        <v>37626</v>
      </c>
      <c r="E12511" t="s">
        <v>37627</v>
      </c>
      <c r="F12511" t="s">
        <v>37628</v>
      </c>
      <c r="I12511" t="s">
        <v>184</v>
      </c>
      <c r="J12511" t="s">
        <v>30</v>
      </c>
      <c r="K12511" t="s">
        <v>5682</v>
      </c>
      <c r="M12511" t="s">
        <v>17861</v>
      </c>
      <c r="N12511" t="str">
        <f>"2/27/2019 1:23:00 PM"</f>
        <v>2/27/2019 1:23:00 PM</v>
      </c>
      <c r="O12511" t="s">
        <v>37626</v>
      </c>
      <c r="T12511" t="s">
        <v>37627</v>
      </c>
    </row>
    <row r="12512" spans="1:20" x14ac:dyDescent="0.25">
      <c r="A12512" t="str">
        <f>"3051990"</f>
        <v>3051990</v>
      </c>
      <c r="B12512" t="s">
        <v>37629</v>
      </c>
      <c r="C12512" t="str">
        <f>"8311081"</f>
        <v>8311081</v>
      </c>
      <c r="D12512" t="s">
        <v>9836</v>
      </c>
      <c r="E12512" t="s">
        <v>37630</v>
      </c>
      <c r="F12512" t="s">
        <v>37631</v>
      </c>
      <c r="I12512" t="s">
        <v>29</v>
      </c>
      <c r="J12512" t="s">
        <v>30</v>
      </c>
      <c r="K12512" t="s">
        <v>34617</v>
      </c>
      <c r="M12512" t="s">
        <v>17861</v>
      </c>
      <c r="N12512" t="str">
        <f>"2/27/2019 2:00:00 PM"</f>
        <v>2/27/2019 2:00:00 PM</v>
      </c>
      <c r="O12512" t="s">
        <v>9836</v>
      </c>
      <c r="T12512" t="s">
        <v>37630</v>
      </c>
    </row>
    <row r="12513" spans="1:20" x14ac:dyDescent="0.25">
      <c r="A12513" t="str">
        <f>"3051983"</f>
        <v>3051983</v>
      </c>
      <c r="B12513" t="s">
        <v>37632</v>
      </c>
      <c r="C12513" t="str">
        <f>"8311081"</f>
        <v>8311081</v>
      </c>
      <c r="D12513" t="s">
        <v>9836</v>
      </c>
      <c r="E12513" t="s">
        <v>37630</v>
      </c>
      <c r="F12513" t="s">
        <v>37631</v>
      </c>
      <c r="I12513" t="s">
        <v>29</v>
      </c>
      <c r="J12513" t="s">
        <v>30</v>
      </c>
      <c r="K12513" t="s">
        <v>34617</v>
      </c>
      <c r="M12513" t="s">
        <v>17861</v>
      </c>
      <c r="N12513" t="str">
        <f>"2/27/2019 2:00:00 PM"</f>
        <v>2/27/2019 2:00:00 PM</v>
      </c>
      <c r="O12513" t="s">
        <v>9836</v>
      </c>
      <c r="T12513" t="s">
        <v>37630</v>
      </c>
    </row>
    <row r="12514" spans="1:20" x14ac:dyDescent="0.25">
      <c r="A12514" t="str">
        <f>"3048960"</f>
        <v>3048960</v>
      </c>
      <c r="B12514" t="s">
        <v>37633</v>
      </c>
      <c r="C12514" t="str">
        <f>"8311082"</f>
        <v>8311082</v>
      </c>
      <c r="D12514" t="s">
        <v>37634</v>
      </c>
      <c r="E12514" t="s">
        <v>37630</v>
      </c>
      <c r="F12514" t="s">
        <v>37631</v>
      </c>
      <c r="I12514" t="s">
        <v>29</v>
      </c>
      <c r="J12514" t="s">
        <v>30</v>
      </c>
      <c r="K12514" t="s">
        <v>34617</v>
      </c>
      <c r="M12514" t="s">
        <v>17861</v>
      </c>
      <c r="N12514" t="str">
        <f>"2/27/2019 2:07:00 PM"</f>
        <v>2/27/2019 2:07:00 PM</v>
      </c>
      <c r="O12514" t="s">
        <v>37634</v>
      </c>
      <c r="T12514" t="s">
        <v>37630</v>
      </c>
    </row>
    <row r="12515" spans="1:20" x14ac:dyDescent="0.25">
      <c r="A12515" t="str">
        <f>"3043341"</f>
        <v>3043341</v>
      </c>
      <c r="B12515" t="s">
        <v>37635</v>
      </c>
      <c r="C12515" t="str">
        <f>"8311084"</f>
        <v>8311084</v>
      </c>
      <c r="D12515" t="s">
        <v>37636</v>
      </c>
      <c r="E12515" t="s">
        <v>37637</v>
      </c>
      <c r="F12515" t="s">
        <v>37638</v>
      </c>
      <c r="I12515" t="s">
        <v>29</v>
      </c>
      <c r="J12515" t="s">
        <v>30</v>
      </c>
      <c r="K12515" t="s">
        <v>37639</v>
      </c>
      <c r="M12515" t="s">
        <v>17861</v>
      </c>
      <c r="N12515" t="str">
        <f>"2/27/2019 2:48:00 PM"</f>
        <v>2/27/2019 2:48:00 PM</v>
      </c>
      <c r="O12515" t="s">
        <v>37636</v>
      </c>
      <c r="T12515" t="s">
        <v>37637</v>
      </c>
    </row>
    <row r="12516" spans="1:20" x14ac:dyDescent="0.25">
      <c r="A12516" t="str">
        <f>"3043251"</f>
        <v>3043251</v>
      </c>
      <c r="B12516" t="s">
        <v>37640</v>
      </c>
      <c r="C12516" t="str">
        <f>"8311084"</f>
        <v>8311084</v>
      </c>
      <c r="D12516" t="s">
        <v>37636</v>
      </c>
      <c r="E12516" t="s">
        <v>37637</v>
      </c>
      <c r="F12516" t="s">
        <v>37638</v>
      </c>
      <c r="I12516" t="s">
        <v>29</v>
      </c>
      <c r="J12516" t="s">
        <v>30</v>
      </c>
      <c r="K12516" t="s">
        <v>37639</v>
      </c>
      <c r="M12516" t="s">
        <v>17861</v>
      </c>
      <c r="N12516" t="str">
        <f>"2/27/2019 2:48:00 PM"</f>
        <v>2/27/2019 2:48:00 PM</v>
      </c>
      <c r="O12516" t="s">
        <v>37636</v>
      </c>
      <c r="T12516" t="s">
        <v>37637</v>
      </c>
    </row>
    <row r="12517" spans="1:20" x14ac:dyDescent="0.25">
      <c r="A12517" t="str">
        <f>"3043454"</f>
        <v>3043454</v>
      </c>
      <c r="B12517" t="s">
        <v>37641</v>
      </c>
      <c r="C12517" t="str">
        <f>"8311084"</f>
        <v>8311084</v>
      </c>
      <c r="D12517" t="s">
        <v>37636</v>
      </c>
      <c r="E12517" t="s">
        <v>37637</v>
      </c>
      <c r="F12517" t="s">
        <v>37638</v>
      </c>
      <c r="I12517" t="s">
        <v>29</v>
      </c>
      <c r="J12517" t="s">
        <v>30</v>
      </c>
      <c r="K12517" t="s">
        <v>37639</v>
      </c>
      <c r="M12517" t="s">
        <v>17861</v>
      </c>
      <c r="N12517" t="str">
        <f>"2/27/2019 2:48:00 PM"</f>
        <v>2/27/2019 2:48:00 PM</v>
      </c>
      <c r="O12517" t="s">
        <v>37636</v>
      </c>
      <c r="T12517" t="s">
        <v>37637</v>
      </c>
    </row>
    <row r="12518" spans="1:20" x14ac:dyDescent="0.25">
      <c r="A12518" t="str">
        <f>"3045012"</f>
        <v>3045012</v>
      </c>
      <c r="B12518" t="s">
        <v>37642</v>
      </c>
      <c r="C12518" t="str">
        <f>"8311089"</f>
        <v>8311089</v>
      </c>
      <c r="D12518" t="s">
        <v>37556</v>
      </c>
      <c r="F12518" t="s">
        <v>37557</v>
      </c>
      <c r="I12518" t="s">
        <v>1149</v>
      </c>
      <c r="J12518" t="s">
        <v>30</v>
      </c>
      <c r="K12518" t="s">
        <v>37558</v>
      </c>
      <c r="M12518" t="s">
        <v>17861</v>
      </c>
      <c r="N12518" t="str">
        <f>"2/27/2019 3:10:00 PM"</f>
        <v>2/27/2019 3:10:00 PM</v>
      </c>
      <c r="O12518" t="s">
        <v>37556</v>
      </c>
    </row>
    <row r="12519" spans="1:20" x14ac:dyDescent="0.25">
      <c r="A12519" t="str">
        <f>"3050325"</f>
        <v>3050325</v>
      </c>
      <c r="B12519" t="s">
        <v>37643</v>
      </c>
      <c r="C12519" t="str">
        <f>"8311097"</f>
        <v>8311097</v>
      </c>
      <c r="D12519" t="s">
        <v>37644</v>
      </c>
      <c r="F12519" t="s">
        <v>37645</v>
      </c>
      <c r="I12519" t="s">
        <v>184</v>
      </c>
      <c r="J12519" t="s">
        <v>30</v>
      </c>
      <c r="K12519" t="s">
        <v>12476</v>
      </c>
      <c r="M12519" t="s">
        <v>17861</v>
      </c>
      <c r="N12519" t="str">
        <f>"3/1/2019 9:21:00 AM"</f>
        <v>3/1/2019 9:21:00 AM</v>
      </c>
      <c r="O12519" t="s">
        <v>37644</v>
      </c>
    </row>
    <row r="12520" spans="1:20" x14ac:dyDescent="0.25">
      <c r="A12520" t="str">
        <f>"3053823"</f>
        <v>3053823</v>
      </c>
      <c r="B12520" t="s">
        <v>37646</v>
      </c>
      <c r="C12520" t="str">
        <f>"8311100"</f>
        <v>8311100</v>
      </c>
      <c r="D12520" t="s">
        <v>37647</v>
      </c>
      <c r="E12520" t="s">
        <v>37648</v>
      </c>
      <c r="F12520" t="s">
        <v>37649</v>
      </c>
      <c r="I12520" t="s">
        <v>29</v>
      </c>
      <c r="J12520" t="s">
        <v>30</v>
      </c>
      <c r="K12520" t="s">
        <v>6094</v>
      </c>
      <c r="M12520" t="s">
        <v>17861</v>
      </c>
      <c r="N12520" t="str">
        <f>"3/1/2019 9:54:00 AM"</f>
        <v>3/1/2019 9:54:00 AM</v>
      </c>
      <c r="O12520" t="s">
        <v>37647</v>
      </c>
      <c r="T12520" t="s">
        <v>37648</v>
      </c>
    </row>
    <row r="12521" spans="1:20" x14ac:dyDescent="0.25">
      <c r="A12521" t="str">
        <f>"3045548"</f>
        <v>3045548</v>
      </c>
      <c r="B12521" t="s">
        <v>37650</v>
      </c>
      <c r="C12521" t="str">
        <f>"8311103"</f>
        <v>8311103</v>
      </c>
      <c r="D12521" t="s">
        <v>37651</v>
      </c>
      <c r="E12521" t="s">
        <v>37652</v>
      </c>
      <c r="F12521" t="s">
        <v>37653</v>
      </c>
      <c r="I12521" t="s">
        <v>29</v>
      </c>
      <c r="J12521" t="s">
        <v>30</v>
      </c>
      <c r="K12521" t="s">
        <v>37654</v>
      </c>
      <c r="M12521" t="s">
        <v>17861</v>
      </c>
      <c r="N12521" t="str">
        <f>"3/1/2019 10:40:00 AM"</f>
        <v>3/1/2019 10:40:00 AM</v>
      </c>
      <c r="O12521" t="s">
        <v>37651</v>
      </c>
      <c r="T12521" t="s">
        <v>37652</v>
      </c>
    </row>
    <row r="12522" spans="1:20" x14ac:dyDescent="0.25">
      <c r="A12522" t="str">
        <f>"3061490"</f>
        <v>3061490</v>
      </c>
      <c r="B12522" t="s">
        <v>37655</v>
      </c>
      <c r="C12522" t="str">
        <f>"8311104"</f>
        <v>8311104</v>
      </c>
      <c r="D12522" t="s">
        <v>37656</v>
      </c>
      <c r="E12522" t="s">
        <v>37657</v>
      </c>
      <c r="F12522" t="s">
        <v>37658</v>
      </c>
      <c r="I12522" t="s">
        <v>184</v>
      </c>
      <c r="J12522" t="s">
        <v>30</v>
      </c>
      <c r="K12522" t="s">
        <v>19800</v>
      </c>
      <c r="M12522" t="s">
        <v>17861</v>
      </c>
      <c r="N12522" t="str">
        <f>"3/1/2019 10:52:00 AM"</f>
        <v>3/1/2019 10:52:00 AM</v>
      </c>
      <c r="O12522" t="s">
        <v>37656</v>
      </c>
      <c r="T12522" t="s">
        <v>37657</v>
      </c>
    </row>
    <row r="12523" spans="1:20" x14ac:dyDescent="0.25">
      <c r="A12523" t="str">
        <f>"3050732"</f>
        <v>3050732</v>
      </c>
      <c r="B12523" t="s">
        <v>37659</v>
      </c>
      <c r="C12523" t="str">
        <f>"8311107"</f>
        <v>8311107</v>
      </c>
      <c r="D12523" t="s">
        <v>37660</v>
      </c>
      <c r="E12523" t="s">
        <v>37661</v>
      </c>
      <c r="F12523" t="s">
        <v>37662</v>
      </c>
      <c r="I12523" t="s">
        <v>184</v>
      </c>
      <c r="J12523" t="s">
        <v>30</v>
      </c>
      <c r="K12523" t="s">
        <v>37663</v>
      </c>
      <c r="M12523" t="s">
        <v>17861</v>
      </c>
      <c r="N12523" t="str">
        <f>"3/4/2019 2:01:00 PM"</f>
        <v>3/4/2019 2:01:00 PM</v>
      </c>
      <c r="O12523" t="s">
        <v>37660</v>
      </c>
      <c r="T12523" t="s">
        <v>37661</v>
      </c>
    </row>
    <row r="12524" spans="1:20" x14ac:dyDescent="0.25">
      <c r="A12524" t="str">
        <f>"3049622"</f>
        <v>3049622</v>
      </c>
      <c r="B12524" t="s">
        <v>37664</v>
      </c>
      <c r="C12524" t="str">
        <f>"48256000"</f>
        <v>48256000</v>
      </c>
      <c r="D12524" t="s">
        <v>37498</v>
      </c>
      <c r="E12524" t="s">
        <v>37499</v>
      </c>
      <c r="F12524" t="s">
        <v>37500</v>
      </c>
      <c r="I12524" t="s">
        <v>29</v>
      </c>
      <c r="J12524" t="s">
        <v>30</v>
      </c>
      <c r="K12524" t="s">
        <v>31</v>
      </c>
      <c r="M12524" t="s">
        <v>34475</v>
      </c>
      <c r="N12524" t="str">
        <f>"2/26/2019 10:55:00 AM"</f>
        <v>2/26/2019 10:55:00 AM</v>
      </c>
      <c r="O12524" t="s">
        <v>37498</v>
      </c>
      <c r="T12524" t="s">
        <v>37499</v>
      </c>
    </row>
    <row r="12525" spans="1:20" x14ac:dyDescent="0.25">
      <c r="A12525" t="str">
        <f>"3049623"</f>
        <v>3049623</v>
      </c>
      <c r="B12525" t="s">
        <v>37665</v>
      </c>
      <c r="C12525" t="str">
        <f>"48256000"</f>
        <v>48256000</v>
      </c>
      <c r="D12525" t="s">
        <v>37498</v>
      </c>
      <c r="E12525" t="s">
        <v>37499</v>
      </c>
      <c r="F12525" t="s">
        <v>37500</v>
      </c>
      <c r="I12525" t="s">
        <v>29</v>
      </c>
      <c r="J12525" t="s">
        <v>30</v>
      </c>
      <c r="K12525" t="s">
        <v>31</v>
      </c>
      <c r="M12525" t="s">
        <v>34475</v>
      </c>
      <c r="N12525" t="str">
        <f>"2/26/2019 10:55:00 AM"</f>
        <v>2/26/2019 10:55:00 AM</v>
      </c>
      <c r="O12525" t="s">
        <v>37498</v>
      </c>
      <c r="T12525" t="s">
        <v>37499</v>
      </c>
    </row>
    <row r="12526" spans="1:20" x14ac:dyDescent="0.25">
      <c r="A12526" t="str">
        <f>"3059447"</f>
        <v>3059447</v>
      </c>
      <c r="B12526" t="s">
        <v>37666</v>
      </c>
      <c r="C12526" t="str">
        <f>"48256000"</f>
        <v>48256000</v>
      </c>
      <c r="D12526" t="s">
        <v>37498</v>
      </c>
      <c r="E12526" t="s">
        <v>37499</v>
      </c>
      <c r="F12526" t="s">
        <v>37500</v>
      </c>
      <c r="I12526" t="s">
        <v>29</v>
      </c>
      <c r="J12526" t="s">
        <v>30</v>
      </c>
      <c r="K12526" t="s">
        <v>31</v>
      </c>
      <c r="M12526" t="s">
        <v>34475</v>
      </c>
      <c r="N12526" t="str">
        <f>"2/26/2019 10:55:00 AM"</f>
        <v>2/26/2019 10:55:00 AM</v>
      </c>
      <c r="O12526" t="s">
        <v>37498</v>
      </c>
      <c r="T12526" t="s">
        <v>37499</v>
      </c>
    </row>
    <row r="12527" spans="1:20" x14ac:dyDescent="0.25">
      <c r="A12527" t="str">
        <f>"3057527"</f>
        <v>3057527</v>
      </c>
      <c r="B12527" t="s">
        <v>37667</v>
      </c>
      <c r="C12527" t="str">
        <f>"82518401"</f>
        <v>82518401</v>
      </c>
      <c r="D12527" t="s">
        <v>33785</v>
      </c>
      <c r="F12527" t="s">
        <v>33787</v>
      </c>
      <c r="I12527" t="s">
        <v>24359</v>
      </c>
      <c r="J12527" t="s">
        <v>30</v>
      </c>
      <c r="K12527" t="s">
        <v>185</v>
      </c>
      <c r="M12527" t="s">
        <v>33845</v>
      </c>
      <c r="N12527" t="str">
        <f>"3/7/2019 10:36:00 AM"</f>
        <v>3/7/2019 10:36:00 AM</v>
      </c>
      <c r="O12527" t="s">
        <v>33785</v>
      </c>
    </row>
    <row r="12528" spans="1:20" x14ac:dyDescent="0.25">
      <c r="A12528" t="str">
        <f>"3061559"</f>
        <v>3061559</v>
      </c>
      <c r="B12528" t="s">
        <v>37668</v>
      </c>
      <c r="C12528" t="str">
        <f>"82518401"</f>
        <v>82518401</v>
      </c>
      <c r="D12528" t="s">
        <v>33785</v>
      </c>
      <c r="F12528" t="s">
        <v>33787</v>
      </c>
      <c r="I12528" t="s">
        <v>24359</v>
      </c>
      <c r="J12528" t="s">
        <v>30</v>
      </c>
      <c r="K12528" t="s">
        <v>185</v>
      </c>
      <c r="M12528" t="s">
        <v>33845</v>
      </c>
      <c r="N12528" t="str">
        <f>"3/7/2019 10:36:00 AM"</f>
        <v>3/7/2019 10:36:00 AM</v>
      </c>
      <c r="O12528" t="s">
        <v>33785</v>
      </c>
    </row>
    <row r="12529" spans="1:20" x14ac:dyDescent="0.25">
      <c r="A12529" t="str">
        <f>"3061053"</f>
        <v>3061053</v>
      </c>
      <c r="B12529" t="s">
        <v>37669</v>
      </c>
      <c r="C12529" t="str">
        <f>"82518401"</f>
        <v>82518401</v>
      </c>
      <c r="D12529" t="s">
        <v>33785</v>
      </c>
      <c r="F12529" t="s">
        <v>33787</v>
      </c>
      <c r="I12529" t="s">
        <v>24359</v>
      </c>
      <c r="J12529" t="s">
        <v>30</v>
      </c>
      <c r="K12529" t="s">
        <v>185</v>
      </c>
      <c r="M12529" t="s">
        <v>33845</v>
      </c>
      <c r="N12529" t="str">
        <f>"3/7/2019 10:36:00 AM"</f>
        <v>3/7/2019 10:36:00 AM</v>
      </c>
      <c r="O12529" t="s">
        <v>33785</v>
      </c>
    </row>
    <row r="12530" spans="1:20" x14ac:dyDescent="0.25">
      <c r="A12530" t="str">
        <f>"3040837"</f>
        <v>3040837</v>
      </c>
      <c r="B12530" t="s">
        <v>37670</v>
      </c>
      <c r="C12530" t="str">
        <f>"66924000"</f>
        <v>66924000</v>
      </c>
      <c r="D12530" t="s">
        <v>37671</v>
      </c>
      <c r="E12530" t="s">
        <v>30883</v>
      </c>
      <c r="F12530" t="s">
        <v>37672</v>
      </c>
      <c r="I12530" t="s">
        <v>184</v>
      </c>
      <c r="J12530" t="s">
        <v>30</v>
      </c>
      <c r="K12530" t="s">
        <v>185</v>
      </c>
      <c r="M12530" t="s">
        <v>33845</v>
      </c>
      <c r="N12530" t="str">
        <f>"3/7/2019 11:26:00 AM"</f>
        <v>3/7/2019 11:26:00 AM</v>
      </c>
      <c r="O12530" t="s">
        <v>37671</v>
      </c>
      <c r="T12530" t="s">
        <v>30883</v>
      </c>
    </row>
    <row r="12531" spans="1:20" x14ac:dyDescent="0.25">
      <c r="A12531" t="str">
        <f>"3049998"</f>
        <v>3049998</v>
      </c>
      <c r="B12531" t="s">
        <v>37673</v>
      </c>
      <c r="C12531" t="str">
        <f>"8311119"</f>
        <v>8311119</v>
      </c>
      <c r="D12531" t="s">
        <v>37614</v>
      </c>
      <c r="E12531" t="s">
        <v>37615</v>
      </c>
      <c r="F12531" t="s">
        <v>37616</v>
      </c>
      <c r="I12531" t="s">
        <v>29</v>
      </c>
      <c r="J12531" t="s">
        <v>30</v>
      </c>
      <c r="K12531" t="s">
        <v>37617</v>
      </c>
      <c r="M12531" t="s">
        <v>17861</v>
      </c>
      <c r="N12531" t="str">
        <f>"3/7/2019 3:56:00 PM"</f>
        <v>3/7/2019 3:56:00 PM</v>
      </c>
      <c r="O12531" t="s">
        <v>37614</v>
      </c>
      <c r="T12531" t="s">
        <v>37615</v>
      </c>
    </row>
    <row r="12532" spans="1:20" x14ac:dyDescent="0.25">
      <c r="A12532" t="str">
        <f>"3061429"</f>
        <v>3061429</v>
      </c>
      <c r="B12532" t="s">
        <v>37674</v>
      </c>
      <c r="C12532" t="str">
        <f>"8311114"</f>
        <v>8311114</v>
      </c>
      <c r="D12532" t="s">
        <v>37675</v>
      </c>
      <c r="E12532" t="s">
        <v>37676</v>
      </c>
      <c r="F12532" t="s">
        <v>37677</v>
      </c>
      <c r="I12532" t="s">
        <v>184</v>
      </c>
      <c r="J12532" t="s">
        <v>30</v>
      </c>
      <c r="K12532" t="s">
        <v>5408</v>
      </c>
      <c r="M12532" t="s">
        <v>17861</v>
      </c>
      <c r="N12532" t="str">
        <f>"3/4/2019 3:54:00 PM"</f>
        <v>3/4/2019 3:54:00 PM</v>
      </c>
      <c r="O12532" t="s">
        <v>37675</v>
      </c>
      <c r="T12532" t="s">
        <v>37676</v>
      </c>
    </row>
    <row r="12533" spans="1:20" x14ac:dyDescent="0.25">
      <c r="A12533" t="str">
        <f>"3038331"</f>
        <v>3038331</v>
      </c>
      <c r="B12533" t="s">
        <v>37678</v>
      </c>
      <c r="C12533" t="str">
        <f>"8308974"</f>
        <v>8308974</v>
      </c>
      <c r="D12533" t="s">
        <v>37679</v>
      </c>
      <c r="E12533" t="s">
        <v>37680</v>
      </c>
      <c r="F12533" t="s">
        <v>37681</v>
      </c>
      <c r="I12533" t="s">
        <v>29</v>
      </c>
      <c r="J12533" t="s">
        <v>30</v>
      </c>
      <c r="K12533" t="str">
        <f>"27028"</f>
        <v>27028</v>
      </c>
      <c r="M12533" t="s">
        <v>18470</v>
      </c>
      <c r="N12533" t="str">
        <f>"3/5/2019 1:29:00 PM"</f>
        <v>3/5/2019 1:29:00 PM</v>
      </c>
      <c r="O12533" t="s">
        <v>37679</v>
      </c>
      <c r="T12533" t="s">
        <v>37680</v>
      </c>
    </row>
    <row r="12534" spans="1:20" x14ac:dyDescent="0.25">
      <c r="A12534" t="str">
        <f>"3045804"</f>
        <v>3045804</v>
      </c>
      <c r="B12534" t="s">
        <v>37682</v>
      </c>
      <c r="C12534" t="str">
        <f>"8311123"</f>
        <v>8311123</v>
      </c>
      <c r="D12534" t="s">
        <v>37683</v>
      </c>
      <c r="E12534" t="s">
        <v>37684</v>
      </c>
      <c r="F12534" t="s">
        <v>37685</v>
      </c>
      <c r="I12534" t="s">
        <v>29</v>
      </c>
      <c r="J12534" t="s">
        <v>30</v>
      </c>
      <c r="K12534" t="s">
        <v>19575</v>
      </c>
      <c r="M12534" t="s">
        <v>17861</v>
      </c>
      <c r="N12534" t="str">
        <f>"3/8/2019 12:42:00 PM"</f>
        <v>3/8/2019 12:42:00 PM</v>
      </c>
      <c r="O12534" t="s">
        <v>37683</v>
      </c>
      <c r="T12534" t="s">
        <v>37684</v>
      </c>
    </row>
    <row r="12535" spans="1:20" x14ac:dyDescent="0.25">
      <c r="A12535" t="str">
        <f>"3045456"</f>
        <v>3045456</v>
      </c>
      <c r="B12535" t="s">
        <v>37686</v>
      </c>
      <c r="C12535" t="str">
        <f>"82532796"</f>
        <v>82532796</v>
      </c>
      <c r="D12535" t="s">
        <v>37687</v>
      </c>
      <c r="F12535" t="s">
        <v>9412</v>
      </c>
      <c r="I12535" t="s">
        <v>29</v>
      </c>
      <c r="J12535" t="s">
        <v>30</v>
      </c>
      <c r="K12535" t="s">
        <v>31</v>
      </c>
      <c r="M12535" t="s">
        <v>33845</v>
      </c>
      <c r="N12535" t="str">
        <f>"3/20/2019 9:18:00 AM"</f>
        <v>3/20/2019 9:18:00 AM</v>
      </c>
      <c r="O12535" t="s">
        <v>37687</v>
      </c>
    </row>
    <row r="12536" spans="1:20" x14ac:dyDescent="0.25">
      <c r="A12536" t="str">
        <f>"3045362"</f>
        <v>3045362</v>
      </c>
      <c r="B12536" t="s">
        <v>37688</v>
      </c>
      <c r="C12536" t="str">
        <f>"82532796"</f>
        <v>82532796</v>
      </c>
      <c r="D12536" t="s">
        <v>37687</v>
      </c>
      <c r="F12536" t="s">
        <v>9412</v>
      </c>
      <c r="I12536" t="s">
        <v>29</v>
      </c>
      <c r="J12536" t="s">
        <v>30</v>
      </c>
      <c r="K12536" t="s">
        <v>31</v>
      </c>
      <c r="M12536" t="s">
        <v>33845</v>
      </c>
      <c r="N12536" t="str">
        <f>"3/20/2019 9:18:00 AM"</f>
        <v>3/20/2019 9:18:00 AM</v>
      </c>
      <c r="O12536" t="s">
        <v>37687</v>
      </c>
    </row>
    <row r="12537" spans="1:20" x14ac:dyDescent="0.25">
      <c r="A12537" t="str">
        <f>"3046417"</f>
        <v>3046417</v>
      </c>
      <c r="B12537" t="s">
        <v>37689</v>
      </c>
      <c r="C12537" t="str">
        <f>"28675500"</f>
        <v>28675500</v>
      </c>
      <c r="D12537" t="s">
        <v>37690</v>
      </c>
      <c r="E12537" t="s">
        <v>37691</v>
      </c>
      <c r="F12537" t="s">
        <v>37692</v>
      </c>
      <c r="I12537" t="s">
        <v>29</v>
      </c>
      <c r="J12537" t="s">
        <v>30</v>
      </c>
      <c r="K12537" t="s">
        <v>31</v>
      </c>
      <c r="M12537" t="s">
        <v>33845</v>
      </c>
      <c r="N12537" t="str">
        <f>"3/20/2019 9:21:00 AM"</f>
        <v>3/20/2019 9:21:00 AM</v>
      </c>
      <c r="O12537" t="s">
        <v>37690</v>
      </c>
      <c r="T12537" t="s">
        <v>37691</v>
      </c>
    </row>
    <row r="12538" spans="1:20" x14ac:dyDescent="0.25">
      <c r="A12538" t="str">
        <f>"3060209"</f>
        <v>3060209</v>
      </c>
      <c r="B12538" t="s">
        <v>37693</v>
      </c>
      <c r="C12538" t="str">
        <f>"8311124"</f>
        <v>8311124</v>
      </c>
      <c r="D12538" t="s">
        <v>37694</v>
      </c>
      <c r="E12538" t="s">
        <v>37695</v>
      </c>
      <c r="F12538" t="s">
        <v>37696</v>
      </c>
      <c r="I12538" t="s">
        <v>184</v>
      </c>
      <c r="J12538" t="s">
        <v>30</v>
      </c>
      <c r="K12538" t="s">
        <v>36141</v>
      </c>
      <c r="M12538" t="s">
        <v>17861</v>
      </c>
      <c r="N12538" t="str">
        <f>"3/8/2019 1:58:00 PM"</f>
        <v>3/8/2019 1:58:00 PM</v>
      </c>
      <c r="O12538" t="s">
        <v>37694</v>
      </c>
      <c r="T12538" t="s">
        <v>37695</v>
      </c>
    </row>
    <row r="12539" spans="1:20" x14ac:dyDescent="0.25">
      <c r="A12539" t="str">
        <f>"3043672"</f>
        <v>3043672</v>
      </c>
      <c r="B12539" t="s">
        <v>37697</v>
      </c>
      <c r="C12539" t="str">
        <f>"8309078"</f>
        <v>8309078</v>
      </c>
      <c r="D12539" t="s">
        <v>37698</v>
      </c>
      <c r="E12539" t="s">
        <v>37699</v>
      </c>
      <c r="F12539" t="s">
        <v>37700</v>
      </c>
      <c r="I12539" t="s">
        <v>29</v>
      </c>
      <c r="J12539" t="s">
        <v>30</v>
      </c>
      <c r="K12539" t="s">
        <v>37701</v>
      </c>
      <c r="M12539" t="s">
        <v>25625</v>
      </c>
      <c r="N12539" t="str">
        <f>"3/20/2019 11:15:00 AM"</f>
        <v>3/20/2019 11:15:00 AM</v>
      </c>
      <c r="O12539" t="s">
        <v>37698</v>
      </c>
      <c r="T12539" t="s">
        <v>37699</v>
      </c>
    </row>
    <row r="12540" spans="1:20" x14ac:dyDescent="0.25">
      <c r="A12540" t="str">
        <f>"3043398"</f>
        <v>3043398</v>
      </c>
      <c r="B12540" t="s">
        <v>37702</v>
      </c>
      <c r="C12540" t="str">
        <f>"8311134"</f>
        <v>8311134</v>
      </c>
      <c r="D12540" t="s">
        <v>37703</v>
      </c>
      <c r="E12540" t="s">
        <v>37704</v>
      </c>
      <c r="F12540" t="s">
        <v>37705</v>
      </c>
      <c r="I12540" t="s">
        <v>29</v>
      </c>
      <c r="J12540" t="s">
        <v>30</v>
      </c>
      <c r="K12540" t="s">
        <v>37706</v>
      </c>
      <c r="M12540" t="s">
        <v>17861</v>
      </c>
      <c r="N12540" t="str">
        <f>"3/12/2019 10:36:00 AM"</f>
        <v>3/12/2019 10:36:00 AM</v>
      </c>
      <c r="O12540" t="s">
        <v>37703</v>
      </c>
      <c r="T12540" t="s">
        <v>37704</v>
      </c>
    </row>
    <row r="12541" spans="1:20" x14ac:dyDescent="0.25">
      <c r="A12541" t="str">
        <f>"3045361"</f>
        <v>3045361</v>
      </c>
      <c r="B12541" t="s">
        <v>37707</v>
      </c>
      <c r="C12541" t="str">
        <f>"8311189"</f>
        <v>8311189</v>
      </c>
      <c r="D12541" t="s">
        <v>37708</v>
      </c>
      <c r="F12541" t="s">
        <v>37709</v>
      </c>
      <c r="I12541" t="s">
        <v>29</v>
      </c>
      <c r="J12541" t="s">
        <v>30</v>
      </c>
      <c r="K12541" t="s">
        <v>37710</v>
      </c>
      <c r="M12541" t="s">
        <v>17861</v>
      </c>
      <c r="N12541" t="str">
        <f>"3/22/2019 10:33:00 AM"</f>
        <v>3/22/2019 10:33:00 AM</v>
      </c>
      <c r="O12541" t="s">
        <v>37708</v>
      </c>
    </row>
    <row r="12542" spans="1:20" x14ac:dyDescent="0.25">
      <c r="A12542" t="str">
        <f>"3056987"</f>
        <v>3056987</v>
      </c>
      <c r="B12542" t="s">
        <v>37711</v>
      </c>
      <c r="C12542" t="str">
        <f>"8311139"</f>
        <v>8311139</v>
      </c>
      <c r="D12542" t="s">
        <v>37712</v>
      </c>
      <c r="E12542" t="s">
        <v>37713</v>
      </c>
      <c r="F12542" t="s">
        <v>37714</v>
      </c>
      <c r="I12542" t="s">
        <v>29</v>
      </c>
      <c r="J12542" t="s">
        <v>30</v>
      </c>
      <c r="K12542" t="s">
        <v>37715</v>
      </c>
      <c r="M12542" t="s">
        <v>17861</v>
      </c>
      <c r="N12542" t="str">
        <f>"3/12/2019 10:53:00 AM"</f>
        <v>3/12/2019 10:53:00 AM</v>
      </c>
      <c r="O12542" t="s">
        <v>37712</v>
      </c>
      <c r="T12542" t="s">
        <v>37713</v>
      </c>
    </row>
    <row r="12543" spans="1:20" x14ac:dyDescent="0.25">
      <c r="A12543" t="str">
        <f>"3062446"</f>
        <v>3062446</v>
      </c>
      <c r="B12543" t="s">
        <v>37716</v>
      </c>
      <c r="C12543" t="str">
        <f>"8311142"</f>
        <v>8311142</v>
      </c>
      <c r="D12543" t="s">
        <v>37717</v>
      </c>
      <c r="E12543" t="s">
        <v>37718</v>
      </c>
      <c r="F12543" t="s">
        <v>37719</v>
      </c>
      <c r="I12543" t="s">
        <v>2071</v>
      </c>
      <c r="J12543" t="s">
        <v>30</v>
      </c>
      <c r="K12543" t="s">
        <v>4010</v>
      </c>
      <c r="M12543" t="s">
        <v>17861</v>
      </c>
      <c r="N12543" t="str">
        <f>"3/12/2019 11:00:00 AM"</f>
        <v>3/12/2019 11:00:00 AM</v>
      </c>
      <c r="O12543" t="s">
        <v>37717</v>
      </c>
      <c r="T12543" t="s">
        <v>37718</v>
      </c>
    </row>
    <row r="12544" spans="1:20" x14ac:dyDescent="0.25">
      <c r="A12544" t="str">
        <f>"3053770"</f>
        <v>3053770</v>
      </c>
      <c r="B12544" t="s">
        <v>37720</v>
      </c>
      <c r="C12544" t="str">
        <f>"8311144"</f>
        <v>8311144</v>
      </c>
      <c r="D12544" t="s">
        <v>37721</v>
      </c>
      <c r="E12544" t="s">
        <v>37722</v>
      </c>
      <c r="F12544" t="s">
        <v>37723</v>
      </c>
      <c r="I12544" t="s">
        <v>29</v>
      </c>
      <c r="J12544" t="s">
        <v>30</v>
      </c>
      <c r="K12544" t="s">
        <v>14976</v>
      </c>
      <c r="M12544" t="s">
        <v>17861</v>
      </c>
      <c r="N12544" t="str">
        <f>"3/12/2019 11:08:00 AM"</f>
        <v>3/12/2019 11:08:00 AM</v>
      </c>
      <c r="O12544" t="s">
        <v>37721</v>
      </c>
      <c r="T12544" t="s">
        <v>37722</v>
      </c>
    </row>
    <row r="12545" spans="1:20" x14ac:dyDescent="0.25">
      <c r="A12545" t="str">
        <f>"3061602"</f>
        <v>3061602</v>
      </c>
      <c r="B12545" t="s">
        <v>37724</v>
      </c>
      <c r="C12545" t="str">
        <f>"8311155"</f>
        <v>8311155</v>
      </c>
      <c r="D12545" t="s">
        <v>37725</v>
      </c>
      <c r="E12545" t="s">
        <v>37726</v>
      </c>
      <c r="F12545" t="s">
        <v>37727</v>
      </c>
      <c r="I12545" t="s">
        <v>29</v>
      </c>
      <c r="J12545" t="s">
        <v>30</v>
      </c>
      <c r="K12545" t="str">
        <f>"27028"</f>
        <v>27028</v>
      </c>
      <c r="M12545" t="s">
        <v>17861</v>
      </c>
      <c r="N12545" t="str">
        <f>"3/12/2019 2:35:00 PM"</f>
        <v>3/12/2019 2:35:00 PM</v>
      </c>
      <c r="O12545" t="s">
        <v>37725</v>
      </c>
      <c r="T12545" t="s">
        <v>37726</v>
      </c>
    </row>
    <row r="12546" spans="1:20" x14ac:dyDescent="0.25">
      <c r="A12546" t="str">
        <f>"3040788"</f>
        <v>3040788</v>
      </c>
      <c r="B12546" t="s">
        <v>37728</v>
      </c>
      <c r="C12546" t="str">
        <f>"8308570"</f>
        <v>8308570</v>
      </c>
      <c r="D12546" t="s">
        <v>37729</v>
      </c>
      <c r="F12546" t="s">
        <v>37730</v>
      </c>
      <c r="I12546" t="s">
        <v>184</v>
      </c>
      <c r="J12546" t="s">
        <v>30</v>
      </c>
      <c r="K12546" t="s">
        <v>25220</v>
      </c>
      <c r="M12546" t="s">
        <v>33845</v>
      </c>
      <c r="N12546" t="str">
        <f>"3/12/2019 2:44:00 PM"</f>
        <v>3/12/2019 2:44:00 PM</v>
      </c>
      <c r="O12546" t="s">
        <v>37729</v>
      </c>
    </row>
    <row r="12547" spans="1:20" x14ac:dyDescent="0.25">
      <c r="A12547" t="str">
        <f>"3045426"</f>
        <v>3045426</v>
      </c>
      <c r="B12547" t="s">
        <v>37731</v>
      </c>
      <c r="C12547" t="str">
        <f>"8309856"</f>
        <v>8309856</v>
      </c>
      <c r="D12547" t="s">
        <v>37732</v>
      </c>
      <c r="E12547" t="s">
        <v>37733</v>
      </c>
      <c r="F12547" t="s">
        <v>37734</v>
      </c>
      <c r="I12547" t="s">
        <v>29</v>
      </c>
      <c r="J12547" t="s">
        <v>30</v>
      </c>
      <c r="K12547" t="s">
        <v>37735</v>
      </c>
      <c r="M12547" t="s">
        <v>18470</v>
      </c>
      <c r="N12547" t="str">
        <f>"3/12/2019 3:50:00 PM"</f>
        <v>3/12/2019 3:50:00 PM</v>
      </c>
      <c r="O12547" t="s">
        <v>37732</v>
      </c>
      <c r="T12547" t="s">
        <v>37733</v>
      </c>
    </row>
    <row r="12548" spans="1:20" x14ac:dyDescent="0.25">
      <c r="A12548" t="str">
        <f>"3055734"</f>
        <v>3055734</v>
      </c>
      <c r="B12548" t="s">
        <v>37736</v>
      </c>
      <c r="C12548" t="str">
        <f>"8309049"</f>
        <v>8309049</v>
      </c>
      <c r="D12548" t="s">
        <v>26358</v>
      </c>
      <c r="E12548" t="s">
        <v>37737</v>
      </c>
      <c r="F12548" t="s">
        <v>37738</v>
      </c>
      <c r="I12548" t="s">
        <v>9580</v>
      </c>
      <c r="J12548" t="s">
        <v>30</v>
      </c>
      <c r="K12548" t="str">
        <f>"27014"</f>
        <v>27014</v>
      </c>
      <c r="M12548" t="s">
        <v>17861</v>
      </c>
      <c r="N12548" t="str">
        <f>"3/13/2019 3:55:00 PM"</f>
        <v>3/13/2019 3:55:00 PM</v>
      </c>
      <c r="O12548" t="s">
        <v>26358</v>
      </c>
      <c r="T12548" t="s">
        <v>37737</v>
      </c>
    </row>
    <row r="12549" spans="1:20" x14ac:dyDescent="0.25">
      <c r="A12549" t="str">
        <f>"3047738"</f>
        <v>3047738</v>
      </c>
      <c r="B12549" t="s">
        <v>37739</v>
      </c>
      <c r="C12549" t="str">
        <f>"8311179"</f>
        <v>8311179</v>
      </c>
      <c r="D12549" t="s">
        <v>37740</v>
      </c>
      <c r="F12549" t="s">
        <v>37741</v>
      </c>
      <c r="I12549" t="s">
        <v>29</v>
      </c>
      <c r="J12549" t="s">
        <v>30</v>
      </c>
      <c r="K12549" t="s">
        <v>37742</v>
      </c>
      <c r="M12549" t="s">
        <v>17861</v>
      </c>
      <c r="N12549" t="str">
        <f>"3/18/2019 1:54:00 PM"</f>
        <v>3/18/2019 1:54:00 PM</v>
      </c>
      <c r="O12549" t="s">
        <v>37740</v>
      </c>
    </row>
    <row r="12550" spans="1:20" x14ac:dyDescent="0.25">
      <c r="A12550" t="str">
        <f>"3061651"</f>
        <v>3061651</v>
      </c>
      <c r="B12550" t="s">
        <v>37743</v>
      </c>
      <c r="C12550" t="str">
        <f>"8311180"</f>
        <v>8311180</v>
      </c>
      <c r="D12550" t="s">
        <v>37744</v>
      </c>
      <c r="E12550" t="s">
        <v>37745</v>
      </c>
      <c r="F12550" t="s">
        <v>37746</v>
      </c>
      <c r="I12550" t="s">
        <v>29</v>
      </c>
      <c r="J12550" t="s">
        <v>30</v>
      </c>
      <c r="K12550" t="s">
        <v>37747</v>
      </c>
      <c r="M12550" t="s">
        <v>17861</v>
      </c>
      <c r="N12550" t="str">
        <f>"3/18/2019 1:57:00 PM"</f>
        <v>3/18/2019 1:57:00 PM</v>
      </c>
      <c r="O12550" t="s">
        <v>37744</v>
      </c>
      <c r="T12550" t="s">
        <v>37745</v>
      </c>
    </row>
    <row r="12551" spans="1:20" x14ac:dyDescent="0.25">
      <c r="A12551" t="str">
        <f>"3044492"</f>
        <v>3044492</v>
      </c>
      <c r="B12551" t="s">
        <v>37748</v>
      </c>
      <c r="C12551" t="str">
        <f>"8311181"</f>
        <v>8311181</v>
      </c>
      <c r="D12551" t="s">
        <v>37749</v>
      </c>
      <c r="F12551" t="s">
        <v>37750</v>
      </c>
      <c r="I12551" t="s">
        <v>184</v>
      </c>
      <c r="J12551" t="s">
        <v>30</v>
      </c>
      <c r="K12551" t="s">
        <v>5724</v>
      </c>
      <c r="M12551" t="s">
        <v>17861</v>
      </c>
      <c r="N12551" t="str">
        <f>"3/18/2019 2:14:00 PM"</f>
        <v>3/18/2019 2:14:00 PM</v>
      </c>
      <c r="O12551" t="s">
        <v>37749</v>
      </c>
    </row>
    <row r="12552" spans="1:20" x14ac:dyDescent="0.25">
      <c r="A12552" t="str">
        <f>"3041632"</f>
        <v>3041632</v>
      </c>
      <c r="B12552" t="s">
        <v>37751</v>
      </c>
      <c r="C12552" t="str">
        <f>"8311183"</f>
        <v>8311183</v>
      </c>
      <c r="D12552" t="s">
        <v>37752</v>
      </c>
      <c r="E12552" t="s">
        <v>37753</v>
      </c>
      <c r="F12552" t="s">
        <v>37754</v>
      </c>
      <c r="I12552" t="s">
        <v>184</v>
      </c>
      <c r="J12552" t="s">
        <v>30</v>
      </c>
      <c r="K12552" t="s">
        <v>3759</v>
      </c>
      <c r="M12552" t="s">
        <v>17861</v>
      </c>
      <c r="N12552" t="str">
        <f>"3/18/2019 2:29:00 PM"</f>
        <v>3/18/2019 2:29:00 PM</v>
      </c>
      <c r="O12552" t="s">
        <v>37752</v>
      </c>
      <c r="T12552" t="s">
        <v>37753</v>
      </c>
    </row>
    <row r="12553" spans="1:20" x14ac:dyDescent="0.25">
      <c r="A12553" t="str">
        <f>"3053584"</f>
        <v>3053584</v>
      </c>
      <c r="B12553" t="s">
        <v>37755</v>
      </c>
      <c r="C12553" t="str">
        <f>"82531205"</f>
        <v>82531205</v>
      </c>
      <c r="D12553" t="s">
        <v>37756</v>
      </c>
      <c r="E12553" t="s">
        <v>37757</v>
      </c>
      <c r="F12553" t="s">
        <v>37758</v>
      </c>
      <c r="I12553" t="s">
        <v>184</v>
      </c>
      <c r="J12553" t="s">
        <v>30</v>
      </c>
      <c r="K12553" t="s">
        <v>37759</v>
      </c>
      <c r="M12553" t="s">
        <v>25733</v>
      </c>
      <c r="N12553" t="str">
        <f>"3/19/2019 9:50:00 AM"</f>
        <v>3/19/2019 9:50:00 AM</v>
      </c>
      <c r="O12553" t="s">
        <v>37756</v>
      </c>
      <c r="T12553" t="s">
        <v>37757</v>
      </c>
    </row>
    <row r="12554" spans="1:20" x14ac:dyDescent="0.25">
      <c r="A12554" t="str">
        <f>"3050010"</f>
        <v>3050010</v>
      </c>
      <c r="B12554" t="s">
        <v>37760</v>
      </c>
      <c r="C12554" t="str">
        <f>"8305593"</f>
        <v>8305593</v>
      </c>
      <c r="D12554" t="s">
        <v>37761</v>
      </c>
      <c r="E12554" t="str">
        <f>"C/O HANNAH ORRELL BLAKE"</f>
        <v>C/O HANNAH ORRELL BLAKE</v>
      </c>
      <c r="F12554" t="s">
        <v>37762</v>
      </c>
      <c r="I12554" t="s">
        <v>29</v>
      </c>
      <c r="J12554" t="s">
        <v>30</v>
      </c>
      <c r="K12554" t="str">
        <f>"27028"</f>
        <v>27028</v>
      </c>
      <c r="M12554" t="s">
        <v>18470</v>
      </c>
      <c r="N12554" t="str">
        <f>"3/20/2019 11:14:00 AM"</f>
        <v>3/20/2019 11:14:00 AM</v>
      </c>
      <c r="O12554" t="s">
        <v>37761</v>
      </c>
      <c r="T12554" t="str">
        <f>"C/O HANNAH ORRELL BLAKE"</f>
        <v>C/O HANNAH ORRELL BLAKE</v>
      </c>
    </row>
    <row r="12555" spans="1:20" x14ac:dyDescent="0.25">
      <c r="A12555" t="str">
        <f>"3045035"</f>
        <v>3045035</v>
      </c>
      <c r="B12555" t="s">
        <v>37763</v>
      </c>
      <c r="C12555" t="str">
        <f>"8311189"</f>
        <v>8311189</v>
      </c>
      <c r="D12555" t="s">
        <v>37708</v>
      </c>
      <c r="F12555" t="s">
        <v>37709</v>
      </c>
      <c r="I12555" t="s">
        <v>29</v>
      </c>
      <c r="J12555" t="s">
        <v>30</v>
      </c>
      <c r="K12555" t="s">
        <v>37710</v>
      </c>
      <c r="M12555" t="s">
        <v>17861</v>
      </c>
      <c r="N12555" t="str">
        <f>"3/22/2019 10:33:00 AM"</f>
        <v>3/22/2019 10:33:00 AM</v>
      </c>
      <c r="O12555" t="s">
        <v>37708</v>
      </c>
    </row>
    <row r="12556" spans="1:20" x14ac:dyDescent="0.25">
      <c r="A12556" t="str">
        <f>"3055866"</f>
        <v>3055866</v>
      </c>
      <c r="B12556" t="s">
        <v>37764</v>
      </c>
      <c r="C12556" t="str">
        <f>"8311190"</f>
        <v>8311190</v>
      </c>
      <c r="D12556" t="s">
        <v>37765</v>
      </c>
      <c r="F12556" t="s">
        <v>37766</v>
      </c>
      <c r="I12556" t="s">
        <v>25280</v>
      </c>
      <c r="J12556" t="s">
        <v>30</v>
      </c>
      <c r="K12556" t="s">
        <v>37767</v>
      </c>
      <c r="M12556" t="s">
        <v>17861</v>
      </c>
      <c r="N12556" t="str">
        <f>"3/22/2019 11:56:00 AM"</f>
        <v>3/22/2019 11:56:00 AM</v>
      </c>
      <c r="O12556" t="s">
        <v>37765</v>
      </c>
    </row>
    <row r="12557" spans="1:20" x14ac:dyDescent="0.25">
      <c r="A12557" t="str">
        <f>"3037725"</f>
        <v>3037725</v>
      </c>
      <c r="B12557" t="s">
        <v>37768</v>
      </c>
      <c r="C12557" t="str">
        <f>"70889000"</f>
        <v>70889000</v>
      </c>
      <c r="D12557" t="s">
        <v>37769</v>
      </c>
      <c r="E12557" t="s">
        <v>37770</v>
      </c>
      <c r="F12557" t="s">
        <v>37771</v>
      </c>
      <c r="I12557" t="s">
        <v>49</v>
      </c>
      <c r="J12557" t="s">
        <v>30</v>
      </c>
      <c r="K12557" t="s">
        <v>50</v>
      </c>
      <c r="M12557" t="s">
        <v>25733</v>
      </c>
      <c r="N12557" t="str">
        <f>"3/25/2019 10:29:00 AM"</f>
        <v>3/25/2019 10:29:00 AM</v>
      </c>
      <c r="O12557" t="s">
        <v>37769</v>
      </c>
      <c r="T12557" t="s">
        <v>37770</v>
      </c>
    </row>
    <row r="12558" spans="1:20" x14ac:dyDescent="0.25">
      <c r="A12558" t="str">
        <f>"3037569"</f>
        <v>3037569</v>
      </c>
      <c r="B12558" t="s">
        <v>37772</v>
      </c>
      <c r="C12558" t="str">
        <f>"8309086"</f>
        <v>8309086</v>
      </c>
      <c r="D12558" t="s">
        <v>37773</v>
      </c>
      <c r="F12558" t="s">
        <v>37771</v>
      </c>
      <c r="I12558" t="s">
        <v>49</v>
      </c>
      <c r="J12558" t="s">
        <v>30</v>
      </c>
      <c r="K12558" t="s">
        <v>37774</v>
      </c>
      <c r="M12558" t="s">
        <v>25733</v>
      </c>
      <c r="N12558" t="str">
        <f>"3/25/2019 10:29:00 AM"</f>
        <v>3/25/2019 10:29:00 AM</v>
      </c>
      <c r="O12558" t="s">
        <v>37773</v>
      </c>
    </row>
    <row r="12559" spans="1:20" x14ac:dyDescent="0.25">
      <c r="A12559" t="str">
        <f>"3037603"</f>
        <v>3037603</v>
      </c>
      <c r="B12559" t="s">
        <v>37775</v>
      </c>
      <c r="C12559" t="str">
        <f>"8309086"</f>
        <v>8309086</v>
      </c>
      <c r="D12559" t="s">
        <v>37773</v>
      </c>
      <c r="F12559" t="s">
        <v>37771</v>
      </c>
      <c r="I12559" t="s">
        <v>49</v>
      </c>
      <c r="J12559" t="s">
        <v>30</v>
      </c>
      <c r="K12559" t="s">
        <v>37774</v>
      </c>
      <c r="M12559" t="s">
        <v>25733</v>
      </c>
      <c r="N12559" t="str">
        <f>"3/25/2019 10:29:00 AM"</f>
        <v>3/25/2019 10:29:00 AM</v>
      </c>
      <c r="O12559" t="s">
        <v>37773</v>
      </c>
    </row>
    <row r="12560" spans="1:20" x14ac:dyDescent="0.25">
      <c r="A12560" t="str">
        <f>"3037533"</f>
        <v>3037533</v>
      </c>
      <c r="B12560" t="s">
        <v>37776</v>
      </c>
      <c r="C12560" t="str">
        <f>"8309086"</f>
        <v>8309086</v>
      </c>
      <c r="D12560" t="s">
        <v>37773</v>
      </c>
      <c r="F12560" t="s">
        <v>37771</v>
      </c>
      <c r="I12560" t="s">
        <v>49</v>
      </c>
      <c r="J12560" t="s">
        <v>30</v>
      </c>
      <c r="K12560" t="s">
        <v>37774</v>
      </c>
      <c r="M12560" t="s">
        <v>25733</v>
      </c>
      <c r="N12560" t="str">
        <f>"3/25/2019 10:29:00 AM"</f>
        <v>3/25/2019 10:29:00 AM</v>
      </c>
      <c r="O12560" t="s">
        <v>37773</v>
      </c>
    </row>
    <row r="12561" spans="1:20" x14ac:dyDescent="0.25">
      <c r="A12561" t="str">
        <f>"3037446"</f>
        <v>3037446</v>
      </c>
      <c r="B12561" t="s">
        <v>37777</v>
      </c>
      <c r="C12561" t="str">
        <f>"8309086"</f>
        <v>8309086</v>
      </c>
      <c r="D12561" t="s">
        <v>37773</v>
      </c>
      <c r="F12561" t="s">
        <v>37771</v>
      </c>
      <c r="I12561" t="s">
        <v>49</v>
      </c>
      <c r="J12561" t="s">
        <v>30</v>
      </c>
      <c r="K12561" t="s">
        <v>37774</v>
      </c>
      <c r="M12561" t="s">
        <v>25733</v>
      </c>
      <c r="N12561" t="str">
        <f>"3/25/2019 10:29:00 AM"</f>
        <v>3/25/2019 10:29:00 AM</v>
      </c>
      <c r="O12561" t="s">
        <v>37773</v>
      </c>
    </row>
    <row r="12562" spans="1:20" x14ac:dyDescent="0.25">
      <c r="A12562" t="str">
        <f>"3043643"</f>
        <v>3043643</v>
      </c>
      <c r="B12562" t="s">
        <v>37778</v>
      </c>
      <c r="C12562" t="str">
        <f>"8311172"</f>
        <v>8311172</v>
      </c>
      <c r="D12562" t="s">
        <v>37779</v>
      </c>
      <c r="F12562" t="s">
        <v>37780</v>
      </c>
      <c r="I12562" t="s">
        <v>29</v>
      </c>
      <c r="J12562" t="s">
        <v>30</v>
      </c>
      <c r="K12562" t="s">
        <v>37781</v>
      </c>
      <c r="M12562" t="s">
        <v>17861</v>
      </c>
      <c r="N12562" t="str">
        <f>"3/18/2019 9:47:00 AM"</f>
        <v>3/18/2019 9:47:00 AM</v>
      </c>
      <c r="O12562" t="s">
        <v>37779</v>
      </c>
    </row>
    <row r="12563" spans="1:20" x14ac:dyDescent="0.25">
      <c r="A12563" t="str">
        <f>"3037348"</f>
        <v>3037348</v>
      </c>
      <c r="B12563" t="s">
        <v>37782</v>
      </c>
      <c r="C12563" t="str">
        <f>"8311216"</f>
        <v>8311216</v>
      </c>
      <c r="D12563" t="s">
        <v>37783</v>
      </c>
      <c r="E12563" t="s">
        <v>37784</v>
      </c>
      <c r="F12563" t="s">
        <v>37785</v>
      </c>
      <c r="I12563" t="s">
        <v>184</v>
      </c>
      <c r="J12563" t="s">
        <v>30</v>
      </c>
      <c r="K12563" t="s">
        <v>36086</v>
      </c>
      <c r="M12563" t="s">
        <v>17861</v>
      </c>
      <c r="N12563" t="str">
        <f>"3/27/2019 4:01:00 PM"</f>
        <v>3/27/2019 4:01:00 PM</v>
      </c>
      <c r="O12563" t="s">
        <v>37783</v>
      </c>
      <c r="T12563" t="s">
        <v>37784</v>
      </c>
    </row>
    <row r="12564" spans="1:20" x14ac:dyDescent="0.25">
      <c r="A12564" t="str">
        <f>"3062793"</f>
        <v>3062793</v>
      </c>
      <c r="B12564" t="s">
        <v>37786</v>
      </c>
      <c r="C12564" t="str">
        <f>"8311217"</f>
        <v>8311217</v>
      </c>
      <c r="D12564" t="s">
        <v>37787</v>
      </c>
      <c r="E12564" t="s">
        <v>37788</v>
      </c>
      <c r="F12564" t="s">
        <v>37789</v>
      </c>
      <c r="I12564" t="s">
        <v>29</v>
      </c>
      <c r="J12564" t="s">
        <v>30</v>
      </c>
      <c r="K12564" t="s">
        <v>4748</v>
      </c>
      <c r="M12564" t="s">
        <v>17861</v>
      </c>
      <c r="N12564" t="str">
        <f>"3/27/2019 4:07:00 PM"</f>
        <v>3/27/2019 4:07:00 PM</v>
      </c>
      <c r="O12564" t="s">
        <v>37787</v>
      </c>
      <c r="T12564" t="s">
        <v>37788</v>
      </c>
    </row>
    <row r="12565" spans="1:20" x14ac:dyDescent="0.25">
      <c r="A12565" t="str">
        <f>"3056999"</f>
        <v>3056999</v>
      </c>
      <c r="B12565" t="s">
        <v>37790</v>
      </c>
      <c r="C12565" t="str">
        <f>"82525553"</f>
        <v>82525553</v>
      </c>
      <c r="D12565" t="s">
        <v>37791</v>
      </c>
      <c r="E12565" t="s">
        <v>37792</v>
      </c>
      <c r="F12565" t="s">
        <v>37793</v>
      </c>
      <c r="I12565" t="s">
        <v>29</v>
      </c>
      <c r="J12565" t="s">
        <v>30</v>
      </c>
      <c r="K12565" t="s">
        <v>37794</v>
      </c>
      <c r="M12565" t="s">
        <v>34475</v>
      </c>
      <c r="N12565" t="str">
        <f>"3/18/2019 10:56:00 AM"</f>
        <v>3/18/2019 10:56:00 AM</v>
      </c>
      <c r="O12565" t="s">
        <v>37791</v>
      </c>
      <c r="T12565" t="s">
        <v>37792</v>
      </c>
    </row>
    <row r="12566" spans="1:20" x14ac:dyDescent="0.25">
      <c r="A12566" t="str">
        <f>"3056996"</f>
        <v>3056996</v>
      </c>
      <c r="B12566" t="s">
        <v>37795</v>
      </c>
      <c r="C12566" t="str">
        <f>"82525553"</f>
        <v>82525553</v>
      </c>
      <c r="D12566" t="s">
        <v>37791</v>
      </c>
      <c r="E12566" t="s">
        <v>37792</v>
      </c>
      <c r="F12566" t="s">
        <v>37793</v>
      </c>
      <c r="I12566" t="s">
        <v>29</v>
      </c>
      <c r="J12566" t="s">
        <v>30</v>
      </c>
      <c r="K12566" t="s">
        <v>37794</v>
      </c>
      <c r="M12566" t="s">
        <v>34475</v>
      </c>
      <c r="N12566" t="str">
        <f>"3/18/2019 10:56:00 AM"</f>
        <v>3/18/2019 10:56:00 AM</v>
      </c>
      <c r="O12566" t="s">
        <v>37791</v>
      </c>
      <c r="T12566" t="s">
        <v>37792</v>
      </c>
    </row>
    <row r="12567" spans="1:20" x14ac:dyDescent="0.25">
      <c r="A12567" t="str">
        <f>"3056997"</f>
        <v>3056997</v>
      </c>
      <c r="B12567" t="s">
        <v>37796</v>
      </c>
      <c r="C12567" t="str">
        <f>"82525553"</f>
        <v>82525553</v>
      </c>
      <c r="D12567" t="s">
        <v>37791</v>
      </c>
      <c r="E12567" t="s">
        <v>37792</v>
      </c>
      <c r="F12567" t="s">
        <v>37793</v>
      </c>
      <c r="I12567" t="s">
        <v>29</v>
      </c>
      <c r="J12567" t="s">
        <v>30</v>
      </c>
      <c r="K12567" t="s">
        <v>37794</v>
      </c>
      <c r="M12567" t="s">
        <v>34475</v>
      </c>
      <c r="N12567" t="str">
        <f>"3/18/2019 10:56:00 AM"</f>
        <v>3/18/2019 10:56:00 AM</v>
      </c>
      <c r="O12567" t="s">
        <v>37791</v>
      </c>
      <c r="T12567" t="s">
        <v>37792</v>
      </c>
    </row>
    <row r="12568" spans="1:20" x14ac:dyDescent="0.25">
      <c r="A12568" t="str">
        <f>"3053477"</f>
        <v>3053477</v>
      </c>
      <c r="B12568" t="s">
        <v>37797</v>
      </c>
      <c r="C12568" t="str">
        <f>"8311174"</f>
        <v>8311174</v>
      </c>
      <c r="D12568" t="s">
        <v>37798</v>
      </c>
      <c r="E12568" t="s">
        <v>37799</v>
      </c>
      <c r="F12568" t="s">
        <v>37800</v>
      </c>
      <c r="I12568" t="s">
        <v>29</v>
      </c>
      <c r="J12568" t="s">
        <v>30</v>
      </c>
      <c r="K12568" t="s">
        <v>37801</v>
      </c>
      <c r="M12568" t="s">
        <v>17861</v>
      </c>
      <c r="N12568" t="str">
        <f>"3/18/2019 1:18:00 PM"</f>
        <v>3/18/2019 1:18:00 PM</v>
      </c>
      <c r="O12568" t="s">
        <v>37798</v>
      </c>
      <c r="T12568" t="s">
        <v>37799</v>
      </c>
    </row>
    <row r="12569" spans="1:20" x14ac:dyDescent="0.25">
      <c r="A12569" t="str">
        <f>"3090983"</f>
        <v>3090983</v>
      </c>
      <c r="B12569" t="s">
        <v>37802</v>
      </c>
      <c r="C12569" t="str">
        <f>"8970000"</f>
        <v>8970000</v>
      </c>
      <c r="D12569" t="s">
        <v>37803</v>
      </c>
      <c r="E12569" t="s">
        <v>37804</v>
      </c>
      <c r="F12569" t="s">
        <v>37805</v>
      </c>
      <c r="I12569" t="s">
        <v>29</v>
      </c>
      <c r="J12569" t="s">
        <v>30</v>
      </c>
      <c r="K12569" t="s">
        <v>37806</v>
      </c>
      <c r="M12569" t="s">
        <v>18470</v>
      </c>
      <c r="N12569" t="str">
        <f>"3/28/2019 1:13:00 PM"</f>
        <v>3/28/2019 1:13:00 PM</v>
      </c>
      <c r="O12569" t="s">
        <v>37803</v>
      </c>
      <c r="T12569" t="s">
        <v>37804</v>
      </c>
    </row>
    <row r="12570" spans="1:20" x14ac:dyDescent="0.25">
      <c r="A12570" t="str">
        <f>"3058055"</f>
        <v>3058055</v>
      </c>
      <c r="B12570" t="s">
        <v>37807</v>
      </c>
      <c r="C12570" t="str">
        <f>"82514481"</f>
        <v>82514481</v>
      </c>
      <c r="D12570" t="s">
        <v>37808</v>
      </c>
      <c r="E12570" t="s">
        <v>37809</v>
      </c>
      <c r="F12570" t="s">
        <v>37810</v>
      </c>
      <c r="I12570" t="s">
        <v>184</v>
      </c>
      <c r="J12570" t="s">
        <v>30</v>
      </c>
      <c r="K12570" t="s">
        <v>185</v>
      </c>
      <c r="M12570" t="s">
        <v>25733</v>
      </c>
      <c r="N12570" t="str">
        <f>"3/19/2019 9:51:00 AM"</f>
        <v>3/19/2019 9:51:00 AM</v>
      </c>
      <c r="O12570" t="s">
        <v>37808</v>
      </c>
      <c r="T12570" t="s">
        <v>37809</v>
      </c>
    </row>
    <row r="12571" spans="1:20" x14ac:dyDescent="0.25">
      <c r="A12571" t="str">
        <f>"3061828"</f>
        <v>3061828</v>
      </c>
      <c r="B12571" t="s">
        <v>37811</v>
      </c>
      <c r="C12571" t="str">
        <f>"8311176"</f>
        <v>8311176</v>
      </c>
      <c r="D12571" t="s">
        <v>37812</v>
      </c>
      <c r="F12571" t="s">
        <v>37813</v>
      </c>
      <c r="I12571" t="s">
        <v>2071</v>
      </c>
      <c r="J12571" t="s">
        <v>30</v>
      </c>
      <c r="K12571" t="s">
        <v>3605</v>
      </c>
      <c r="M12571" t="s">
        <v>17861</v>
      </c>
      <c r="N12571" t="str">
        <f>"3/18/2019 1:27:00 PM"</f>
        <v>3/18/2019 1:27:00 PM</v>
      </c>
      <c r="O12571" t="s">
        <v>37812</v>
      </c>
    </row>
    <row r="12572" spans="1:20" x14ac:dyDescent="0.25">
      <c r="A12572" t="str">
        <f>"3066655"</f>
        <v>3066655</v>
      </c>
      <c r="B12572" t="s">
        <v>37814</v>
      </c>
      <c r="C12572" t="str">
        <f>"8311176"</f>
        <v>8311176</v>
      </c>
      <c r="D12572" t="s">
        <v>37812</v>
      </c>
      <c r="F12572" t="s">
        <v>37813</v>
      </c>
      <c r="I12572" t="s">
        <v>2071</v>
      </c>
      <c r="J12572" t="s">
        <v>30</v>
      </c>
      <c r="K12572" t="s">
        <v>3605</v>
      </c>
      <c r="M12572" t="s">
        <v>17861</v>
      </c>
      <c r="N12572" t="str">
        <f>"3/18/2019 1:27:00 PM"</f>
        <v>3/18/2019 1:27:00 PM</v>
      </c>
      <c r="O12572" t="s">
        <v>37812</v>
      </c>
    </row>
    <row r="12573" spans="1:20" x14ac:dyDescent="0.25">
      <c r="A12573" t="str">
        <f>"3058267"</f>
        <v>3058267</v>
      </c>
      <c r="B12573" t="s">
        <v>37815</v>
      </c>
      <c r="C12573" t="str">
        <f>"8311178"</f>
        <v>8311178</v>
      </c>
      <c r="D12573" t="s">
        <v>37816</v>
      </c>
      <c r="F12573" t="s">
        <v>37817</v>
      </c>
      <c r="I12573" t="s">
        <v>29</v>
      </c>
      <c r="J12573" t="s">
        <v>30</v>
      </c>
      <c r="K12573" t="s">
        <v>20338</v>
      </c>
      <c r="M12573" t="s">
        <v>17861</v>
      </c>
      <c r="N12573" t="str">
        <f>"3/18/2019 1:41:00 PM"</f>
        <v>3/18/2019 1:41:00 PM</v>
      </c>
      <c r="O12573" t="s">
        <v>37816</v>
      </c>
    </row>
    <row r="12574" spans="1:20" x14ac:dyDescent="0.25">
      <c r="A12574" t="str">
        <f>"3059894"</f>
        <v>3059894</v>
      </c>
      <c r="B12574" t="s">
        <v>37818</v>
      </c>
      <c r="C12574" t="str">
        <f>"8311185"</f>
        <v>8311185</v>
      </c>
      <c r="D12574" t="s">
        <v>37819</v>
      </c>
      <c r="E12574" t="s">
        <v>37820</v>
      </c>
      <c r="F12574" t="s">
        <v>37821</v>
      </c>
      <c r="I12574" t="s">
        <v>29</v>
      </c>
      <c r="J12574" t="s">
        <v>30</v>
      </c>
      <c r="K12574" t="str">
        <f>"27028"</f>
        <v>27028</v>
      </c>
      <c r="M12574" t="s">
        <v>17861</v>
      </c>
      <c r="N12574" t="str">
        <f>"3/19/2019 2:34:00 PM"</f>
        <v>3/19/2019 2:34:00 PM</v>
      </c>
      <c r="O12574" t="s">
        <v>37819</v>
      </c>
      <c r="T12574" t="s">
        <v>37820</v>
      </c>
    </row>
    <row r="12575" spans="1:20" x14ac:dyDescent="0.25">
      <c r="A12575" t="str">
        <f>"3040550"</f>
        <v>3040550</v>
      </c>
      <c r="B12575" t="s">
        <v>37822</v>
      </c>
      <c r="C12575" t="str">
        <f>"8311197"</f>
        <v>8311197</v>
      </c>
      <c r="D12575" t="s">
        <v>37823</v>
      </c>
      <c r="F12575" t="s">
        <v>37824</v>
      </c>
      <c r="I12575" t="s">
        <v>184</v>
      </c>
      <c r="J12575" t="s">
        <v>30</v>
      </c>
      <c r="K12575" t="s">
        <v>3550</v>
      </c>
      <c r="M12575" t="s">
        <v>17861</v>
      </c>
      <c r="N12575" t="str">
        <f>"3/26/2019 11:07:00 AM"</f>
        <v>3/26/2019 11:07:00 AM</v>
      </c>
      <c r="O12575" t="s">
        <v>37823</v>
      </c>
    </row>
    <row r="12576" spans="1:20" x14ac:dyDescent="0.25">
      <c r="A12576" t="str">
        <f>"3046012"</f>
        <v>3046012</v>
      </c>
      <c r="B12576" t="s">
        <v>37825</v>
      </c>
      <c r="C12576" t="str">
        <f>"8311233"</f>
        <v>8311233</v>
      </c>
      <c r="D12576" t="s">
        <v>37826</v>
      </c>
      <c r="E12576" t="s">
        <v>37827</v>
      </c>
      <c r="F12576" t="s">
        <v>37828</v>
      </c>
      <c r="I12576" t="s">
        <v>29</v>
      </c>
      <c r="J12576" t="s">
        <v>30</v>
      </c>
      <c r="K12576" t="s">
        <v>37829</v>
      </c>
      <c r="M12576" t="s">
        <v>17861</v>
      </c>
      <c r="N12576" t="str">
        <f>"4/2/2019 4:03:00 PM"</f>
        <v>4/2/2019 4:03:00 PM</v>
      </c>
      <c r="O12576" t="s">
        <v>37826</v>
      </c>
      <c r="T12576" t="s">
        <v>37827</v>
      </c>
    </row>
    <row r="12577" spans="1:20" x14ac:dyDescent="0.25">
      <c r="A12577" t="str">
        <f>"3046335"</f>
        <v>3046335</v>
      </c>
      <c r="B12577" t="s">
        <v>37830</v>
      </c>
      <c r="C12577" t="str">
        <f>"8311233"</f>
        <v>8311233</v>
      </c>
      <c r="D12577" t="s">
        <v>37826</v>
      </c>
      <c r="E12577" t="s">
        <v>37827</v>
      </c>
      <c r="F12577" t="s">
        <v>37828</v>
      </c>
      <c r="I12577" t="s">
        <v>29</v>
      </c>
      <c r="J12577" t="s">
        <v>30</v>
      </c>
      <c r="K12577" t="s">
        <v>37829</v>
      </c>
      <c r="M12577" t="s">
        <v>17861</v>
      </c>
      <c r="N12577" t="str">
        <f>"4/2/2019 4:03:00 PM"</f>
        <v>4/2/2019 4:03:00 PM</v>
      </c>
      <c r="O12577" t="s">
        <v>37826</v>
      </c>
      <c r="T12577" t="s">
        <v>37827</v>
      </c>
    </row>
    <row r="12578" spans="1:20" x14ac:dyDescent="0.25">
      <c r="A12578" t="str">
        <f>"3052374"</f>
        <v>3052374</v>
      </c>
      <c r="B12578" t="s">
        <v>37831</v>
      </c>
      <c r="C12578" t="str">
        <f>"8311199"</f>
        <v>8311199</v>
      </c>
      <c r="D12578" t="s">
        <v>37832</v>
      </c>
      <c r="F12578" t="s">
        <v>37833</v>
      </c>
      <c r="I12578" t="s">
        <v>29</v>
      </c>
      <c r="J12578" t="s">
        <v>30</v>
      </c>
      <c r="K12578" t="s">
        <v>11844</v>
      </c>
      <c r="M12578" t="s">
        <v>17861</v>
      </c>
      <c r="N12578" t="str">
        <f>"3/26/2019 1:34:00 PM"</f>
        <v>3/26/2019 1:34:00 PM</v>
      </c>
      <c r="O12578" t="s">
        <v>37832</v>
      </c>
    </row>
    <row r="12579" spans="1:20" x14ac:dyDescent="0.25">
      <c r="A12579" t="str">
        <f>"3048540"</f>
        <v>3048540</v>
      </c>
      <c r="B12579" t="s">
        <v>37834</v>
      </c>
      <c r="C12579" t="str">
        <f>"8311200"</f>
        <v>8311200</v>
      </c>
      <c r="D12579" t="s">
        <v>37835</v>
      </c>
      <c r="E12579" t="s">
        <v>37836</v>
      </c>
      <c r="F12579" t="s">
        <v>37837</v>
      </c>
      <c r="I12579" t="s">
        <v>14849</v>
      </c>
      <c r="J12579" t="s">
        <v>30</v>
      </c>
      <c r="K12579" t="s">
        <v>37838</v>
      </c>
      <c r="M12579" t="s">
        <v>17861</v>
      </c>
      <c r="N12579" t="str">
        <f>"3/26/2019 1:41:00 PM"</f>
        <v>3/26/2019 1:41:00 PM</v>
      </c>
      <c r="O12579" t="s">
        <v>37835</v>
      </c>
      <c r="T12579" t="s">
        <v>37836</v>
      </c>
    </row>
    <row r="12580" spans="1:20" x14ac:dyDescent="0.25">
      <c r="A12580" t="str">
        <f>"3041737"</f>
        <v>3041737</v>
      </c>
      <c r="B12580" t="s">
        <v>37839</v>
      </c>
      <c r="C12580" t="str">
        <f>"8311275"</f>
        <v>8311275</v>
      </c>
      <c r="D12580" t="s">
        <v>37840</v>
      </c>
      <c r="E12580" t="s">
        <v>37841</v>
      </c>
      <c r="F12580" t="s">
        <v>37842</v>
      </c>
      <c r="I12580" t="s">
        <v>2071</v>
      </c>
      <c r="J12580" t="s">
        <v>30</v>
      </c>
      <c r="K12580" t="s">
        <v>3917</v>
      </c>
      <c r="M12580" t="s">
        <v>17861</v>
      </c>
      <c r="N12580" t="str">
        <f>"4/4/2019 12:14:00 PM"</f>
        <v>4/4/2019 12:14:00 PM</v>
      </c>
      <c r="O12580" t="s">
        <v>37840</v>
      </c>
      <c r="T12580" t="s">
        <v>37841</v>
      </c>
    </row>
    <row r="12581" spans="1:20" x14ac:dyDescent="0.25">
      <c r="A12581" t="str">
        <f>"3042261"</f>
        <v>3042261</v>
      </c>
      <c r="B12581" t="s">
        <v>37843</v>
      </c>
      <c r="C12581" t="str">
        <f>"8311277"</f>
        <v>8311277</v>
      </c>
      <c r="D12581" t="s">
        <v>37844</v>
      </c>
      <c r="E12581" t="s">
        <v>37845</v>
      </c>
      <c r="F12581" t="s">
        <v>37846</v>
      </c>
      <c r="I12581" t="s">
        <v>29</v>
      </c>
      <c r="J12581" t="s">
        <v>30</v>
      </c>
      <c r="K12581" t="s">
        <v>37847</v>
      </c>
      <c r="M12581" t="s">
        <v>17861</v>
      </c>
      <c r="N12581" t="str">
        <f>"4/4/2019 12:20:00 PM"</f>
        <v>4/4/2019 12:20:00 PM</v>
      </c>
      <c r="O12581" t="s">
        <v>37844</v>
      </c>
      <c r="T12581" t="s">
        <v>37845</v>
      </c>
    </row>
    <row r="12582" spans="1:20" x14ac:dyDescent="0.25">
      <c r="A12582" t="str">
        <f>"3080342"</f>
        <v>3080342</v>
      </c>
      <c r="B12582" t="s">
        <v>37848</v>
      </c>
      <c r="C12582" t="str">
        <f>"8311280"</f>
        <v>8311280</v>
      </c>
      <c r="D12582" t="s">
        <v>37849</v>
      </c>
      <c r="F12582" t="s">
        <v>37850</v>
      </c>
      <c r="I12582" t="s">
        <v>29</v>
      </c>
      <c r="J12582" t="s">
        <v>30</v>
      </c>
      <c r="K12582" t="s">
        <v>1087</v>
      </c>
      <c r="M12582" t="s">
        <v>17861</v>
      </c>
      <c r="N12582" t="str">
        <f>"4/4/2019 12:55:00 PM"</f>
        <v>4/4/2019 12:55:00 PM</v>
      </c>
      <c r="O12582" t="s">
        <v>37849</v>
      </c>
    </row>
    <row r="12583" spans="1:20" x14ac:dyDescent="0.25">
      <c r="A12583" t="str">
        <f>"3059520"</f>
        <v>3059520</v>
      </c>
      <c r="B12583" t="s">
        <v>37851</v>
      </c>
      <c r="C12583" t="str">
        <f>"8311281"</f>
        <v>8311281</v>
      </c>
      <c r="D12583" t="s">
        <v>37852</v>
      </c>
      <c r="F12583" t="s">
        <v>37853</v>
      </c>
      <c r="I12583" t="s">
        <v>29</v>
      </c>
      <c r="J12583" t="s">
        <v>30</v>
      </c>
      <c r="K12583" t="s">
        <v>37854</v>
      </c>
      <c r="M12583" t="s">
        <v>17861</v>
      </c>
      <c r="N12583" t="str">
        <f>"4/4/2019 1:10:00 PM"</f>
        <v>4/4/2019 1:10:00 PM</v>
      </c>
      <c r="O12583" t="s">
        <v>37852</v>
      </c>
    </row>
    <row r="12584" spans="1:20" x14ac:dyDescent="0.25">
      <c r="A12584" t="str">
        <f>"3058704"</f>
        <v>3058704</v>
      </c>
      <c r="B12584" t="s">
        <v>37855</v>
      </c>
      <c r="C12584" t="str">
        <f>"8311285"</f>
        <v>8311285</v>
      </c>
      <c r="D12584" t="s">
        <v>37856</v>
      </c>
      <c r="E12584" t="s">
        <v>37857</v>
      </c>
      <c r="F12584" t="s">
        <v>37858</v>
      </c>
      <c r="I12584" t="s">
        <v>184</v>
      </c>
      <c r="J12584" t="s">
        <v>30</v>
      </c>
      <c r="K12584" t="s">
        <v>5933</v>
      </c>
      <c r="M12584" t="s">
        <v>17861</v>
      </c>
      <c r="N12584" t="str">
        <f>"4/4/2019 1:45:00 PM"</f>
        <v>4/4/2019 1:45:00 PM</v>
      </c>
      <c r="O12584" t="s">
        <v>37856</v>
      </c>
      <c r="T12584" t="s">
        <v>37857</v>
      </c>
    </row>
    <row r="12585" spans="1:20" x14ac:dyDescent="0.25">
      <c r="A12585" t="str">
        <f>"3040513"</f>
        <v>3040513</v>
      </c>
      <c r="B12585" t="s">
        <v>37859</v>
      </c>
      <c r="C12585" t="str">
        <f>"66651000"</f>
        <v>66651000</v>
      </c>
      <c r="D12585" t="s">
        <v>37860</v>
      </c>
      <c r="E12585" t="s">
        <v>37861</v>
      </c>
      <c r="F12585" t="s">
        <v>37862</v>
      </c>
      <c r="I12585" t="s">
        <v>184</v>
      </c>
      <c r="J12585" t="s">
        <v>30</v>
      </c>
      <c r="K12585" t="s">
        <v>37863</v>
      </c>
      <c r="M12585" t="s">
        <v>33845</v>
      </c>
      <c r="N12585" t="str">
        <f>"3/26/2019 2:02:00 PM"</f>
        <v>3/26/2019 2:02:00 PM</v>
      </c>
      <c r="O12585" t="s">
        <v>37860</v>
      </c>
      <c r="T12585" t="s">
        <v>37861</v>
      </c>
    </row>
    <row r="12586" spans="1:20" x14ac:dyDescent="0.25">
      <c r="A12586" t="str">
        <f>"3044477"</f>
        <v>3044477</v>
      </c>
      <c r="B12586" t="s">
        <v>37864</v>
      </c>
      <c r="C12586" t="str">
        <f>"8311203"</f>
        <v>8311203</v>
      </c>
      <c r="D12586" t="s">
        <v>37865</v>
      </c>
      <c r="E12586" t="s">
        <v>37866</v>
      </c>
      <c r="F12586" t="s">
        <v>37867</v>
      </c>
      <c r="I12586" t="s">
        <v>184</v>
      </c>
      <c r="J12586" t="s">
        <v>30</v>
      </c>
      <c r="K12586" t="s">
        <v>5629</v>
      </c>
      <c r="M12586" t="s">
        <v>17861</v>
      </c>
      <c r="N12586" t="str">
        <f>"3/26/2019 2:48:00 PM"</f>
        <v>3/26/2019 2:48:00 PM</v>
      </c>
      <c r="O12586" t="s">
        <v>37865</v>
      </c>
      <c r="T12586" t="s">
        <v>37866</v>
      </c>
    </row>
    <row r="12587" spans="1:20" x14ac:dyDescent="0.25">
      <c r="A12587" t="str">
        <f>"3047024"</f>
        <v>3047024</v>
      </c>
      <c r="B12587" t="s">
        <v>37868</v>
      </c>
      <c r="C12587" t="str">
        <f>"8300263"</f>
        <v>8300263</v>
      </c>
      <c r="D12587" t="s">
        <v>32377</v>
      </c>
      <c r="F12587" t="s">
        <v>37869</v>
      </c>
      <c r="I12587" t="s">
        <v>184</v>
      </c>
      <c r="J12587" t="s">
        <v>30</v>
      </c>
      <c r="K12587" t="s">
        <v>37870</v>
      </c>
      <c r="M12587" t="s">
        <v>18470</v>
      </c>
      <c r="N12587" t="str">
        <f>"3/26/2019 3:39:00 PM"</f>
        <v>3/26/2019 3:39:00 PM</v>
      </c>
      <c r="O12587" t="s">
        <v>32377</v>
      </c>
    </row>
    <row r="12588" spans="1:20" x14ac:dyDescent="0.25">
      <c r="A12588" t="str">
        <f>"3047046"</f>
        <v>3047046</v>
      </c>
      <c r="B12588" t="s">
        <v>37871</v>
      </c>
      <c r="C12588" t="str">
        <f>"8300263"</f>
        <v>8300263</v>
      </c>
      <c r="D12588" t="s">
        <v>32377</v>
      </c>
      <c r="F12588" t="s">
        <v>37869</v>
      </c>
      <c r="I12588" t="s">
        <v>184</v>
      </c>
      <c r="J12588" t="s">
        <v>30</v>
      </c>
      <c r="K12588" t="s">
        <v>37870</v>
      </c>
      <c r="M12588" t="s">
        <v>18470</v>
      </c>
      <c r="N12588" t="str">
        <f>"3/26/2019 3:39:00 PM"</f>
        <v>3/26/2019 3:39:00 PM</v>
      </c>
      <c r="O12588" t="s">
        <v>32377</v>
      </c>
    </row>
    <row r="12589" spans="1:20" x14ac:dyDescent="0.25">
      <c r="A12589" t="str">
        <f>"3048749"</f>
        <v>3048749</v>
      </c>
      <c r="B12589" t="s">
        <v>37872</v>
      </c>
      <c r="C12589" t="str">
        <f>"8306981"</f>
        <v>8306981</v>
      </c>
      <c r="D12589" t="s">
        <v>37873</v>
      </c>
      <c r="E12589" t="s">
        <v>37874</v>
      </c>
      <c r="F12589" t="s">
        <v>37875</v>
      </c>
      <c r="I12589" t="s">
        <v>29</v>
      </c>
      <c r="J12589" t="s">
        <v>30</v>
      </c>
      <c r="K12589" t="s">
        <v>37876</v>
      </c>
      <c r="M12589" t="s">
        <v>17861</v>
      </c>
      <c r="N12589" t="str">
        <f>"3/27/2019 9:22:00 AM"</f>
        <v>3/27/2019 9:22:00 AM</v>
      </c>
      <c r="O12589" t="s">
        <v>37873</v>
      </c>
      <c r="T12589" t="s">
        <v>37874</v>
      </c>
    </row>
    <row r="12590" spans="1:20" x14ac:dyDescent="0.25">
      <c r="A12590" t="str">
        <f>"3049334"</f>
        <v>3049334</v>
      </c>
      <c r="B12590" t="s">
        <v>37877</v>
      </c>
      <c r="C12590" t="str">
        <f>"8306981"</f>
        <v>8306981</v>
      </c>
      <c r="D12590" t="s">
        <v>37873</v>
      </c>
      <c r="E12590" t="s">
        <v>37874</v>
      </c>
      <c r="F12590" t="s">
        <v>37875</v>
      </c>
      <c r="I12590" t="s">
        <v>29</v>
      </c>
      <c r="J12590" t="s">
        <v>30</v>
      </c>
      <c r="K12590" t="s">
        <v>37876</v>
      </c>
      <c r="M12590" t="s">
        <v>17861</v>
      </c>
      <c r="N12590" t="str">
        <f>"3/27/2019 9:22:00 AM"</f>
        <v>3/27/2019 9:22:00 AM</v>
      </c>
      <c r="O12590" t="s">
        <v>37873</v>
      </c>
      <c r="T12590" t="s">
        <v>37874</v>
      </c>
    </row>
    <row r="12591" spans="1:20" x14ac:dyDescent="0.25">
      <c r="A12591" t="str">
        <f>"3038422"</f>
        <v>3038422</v>
      </c>
      <c r="B12591" t="s">
        <v>37878</v>
      </c>
      <c r="C12591" t="str">
        <f>"82528651"</f>
        <v>82528651</v>
      </c>
      <c r="D12591" t="s">
        <v>37879</v>
      </c>
      <c r="F12591" t="s">
        <v>37880</v>
      </c>
      <c r="I12591" t="s">
        <v>29</v>
      </c>
      <c r="J12591" t="s">
        <v>30</v>
      </c>
      <c r="K12591" t="s">
        <v>35461</v>
      </c>
      <c r="M12591" t="s">
        <v>33845</v>
      </c>
      <c r="N12591" t="str">
        <f>"3/27/2019 2:18:00 PM"</f>
        <v>3/27/2019 2:18:00 PM</v>
      </c>
      <c r="O12591" t="s">
        <v>37879</v>
      </c>
    </row>
    <row r="12592" spans="1:20" x14ac:dyDescent="0.25">
      <c r="A12592" t="str">
        <f>"3058028"</f>
        <v>3058028</v>
      </c>
      <c r="B12592" t="s">
        <v>37881</v>
      </c>
      <c r="C12592" t="str">
        <f>"8311208"</f>
        <v>8311208</v>
      </c>
      <c r="D12592" t="s">
        <v>37882</v>
      </c>
      <c r="F12592" t="s">
        <v>37883</v>
      </c>
      <c r="I12592" t="s">
        <v>184</v>
      </c>
      <c r="J12592" t="s">
        <v>30</v>
      </c>
      <c r="K12592" t="s">
        <v>34175</v>
      </c>
      <c r="M12592" t="s">
        <v>17861</v>
      </c>
      <c r="N12592" t="str">
        <f>"3/27/2019 2:19:00 PM"</f>
        <v>3/27/2019 2:19:00 PM</v>
      </c>
      <c r="O12592" t="s">
        <v>37882</v>
      </c>
    </row>
    <row r="12593" spans="1:20" x14ac:dyDescent="0.25">
      <c r="A12593" t="str">
        <f>"3063960"</f>
        <v>3063960</v>
      </c>
      <c r="B12593" t="s">
        <v>37884</v>
      </c>
      <c r="C12593" t="str">
        <f>"8311209"</f>
        <v>8311209</v>
      </c>
      <c r="D12593" t="s">
        <v>37885</v>
      </c>
      <c r="E12593" t="s">
        <v>37886</v>
      </c>
      <c r="F12593" t="s">
        <v>37887</v>
      </c>
      <c r="I12593" t="s">
        <v>184</v>
      </c>
      <c r="J12593" t="s">
        <v>30</v>
      </c>
      <c r="K12593" t="s">
        <v>37888</v>
      </c>
      <c r="M12593" t="s">
        <v>17861</v>
      </c>
      <c r="N12593" t="str">
        <f>"3/27/2019 2:22:00 PM"</f>
        <v>3/27/2019 2:22:00 PM</v>
      </c>
      <c r="O12593" t="s">
        <v>37885</v>
      </c>
      <c r="T12593" t="s">
        <v>37886</v>
      </c>
    </row>
    <row r="12594" spans="1:20" x14ac:dyDescent="0.25">
      <c r="A12594" t="str">
        <f>"3061692"</f>
        <v>3061692</v>
      </c>
      <c r="B12594" t="s">
        <v>37889</v>
      </c>
      <c r="C12594" t="str">
        <f>"8311215"</f>
        <v>8311215</v>
      </c>
      <c r="D12594" t="s">
        <v>37890</v>
      </c>
      <c r="E12594" t="s">
        <v>37891</v>
      </c>
      <c r="F12594" t="s">
        <v>37892</v>
      </c>
      <c r="I12594" t="s">
        <v>2071</v>
      </c>
      <c r="J12594" t="s">
        <v>30</v>
      </c>
      <c r="K12594" t="s">
        <v>4010</v>
      </c>
      <c r="M12594" t="s">
        <v>17861</v>
      </c>
      <c r="N12594" t="str">
        <f>"3/27/2019 3:52:00 PM"</f>
        <v>3/27/2019 3:52:00 PM</v>
      </c>
      <c r="O12594" t="s">
        <v>37890</v>
      </c>
      <c r="T12594" t="s">
        <v>37891</v>
      </c>
    </row>
    <row r="12595" spans="1:20" x14ac:dyDescent="0.25">
      <c r="A12595" t="str">
        <f>"3053398"</f>
        <v>3053398</v>
      </c>
      <c r="B12595" t="s">
        <v>37893</v>
      </c>
      <c r="C12595" t="str">
        <f>"8311192"</f>
        <v>8311192</v>
      </c>
      <c r="D12595" t="s">
        <v>37894</v>
      </c>
      <c r="E12595" t="s">
        <v>37895</v>
      </c>
      <c r="F12595" t="s">
        <v>37896</v>
      </c>
      <c r="I12595" t="s">
        <v>29</v>
      </c>
      <c r="J12595" t="s">
        <v>30</v>
      </c>
      <c r="K12595" t="s">
        <v>13787</v>
      </c>
      <c r="M12595" t="s">
        <v>17861</v>
      </c>
      <c r="N12595" t="str">
        <f>"3/26/2019 9:59:00 AM"</f>
        <v>3/26/2019 9:59:00 AM</v>
      </c>
      <c r="O12595" t="s">
        <v>37894</v>
      </c>
      <c r="T12595" t="s">
        <v>37895</v>
      </c>
    </row>
    <row r="12596" spans="1:20" x14ac:dyDescent="0.25">
      <c r="A12596" t="str">
        <f>"3051842"</f>
        <v>3051842</v>
      </c>
      <c r="B12596" t="s">
        <v>37897</v>
      </c>
      <c r="C12596" t="str">
        <f>"8311292"</f>
        <v>8311292</v>
      </c>
      <c r="D12596" t="s">
        <v>37898</v>
      </c>
      <c r="E12596" t="s">
        <v>37899</v>
      </c>
      <c r="F12596" t="s">
        <v>37900</v>
      </c>
      <c r="I12596" t="s">
        <v>402</v>
      </c>
      <c r="J12596" t="s">
        <v>30</v>
      </c>
      <c r="K12596" t="s">
        <v>37901</v>
      </c>
      <c r="M12596" t="s">
        <v>17861</v>
      </c>
      <c r="N12596" t="str">
        <f>"4/9/2019 2:46:00 PM"</f>
        <v>4/9/2019 2:46:00 PM</v>
      </c>
      <c r="O12596" t="s">
        <v>37898</v>
      </c>
      <c r="T12596" t="s">
        <v>37899</v>
      </c>
    </row>
    <row r="12597" spans="1:20" x14ac:dyDescent="0.25">
      <c r="A12597" t="str">
        <f>"3068590"</f>
        <v>3068590</v>
      </c>
      <c r="B12597" t="s">
        <v>37902</v>
      </c>
      <c r="C12597" t="str">
        <f>"8311292"</f>
        <v>8311292</v>
      </c>
      <c r="D12597" t="s">
        <v>37898</v>
      </c>
      <c r="E12597" t="s">
        <v>37899</v>
      </c>
      <c r="F12597" t="s">
        <v>37900</v>
      </c>
      <c r="I12597" t="s">
        <v>402</v>
      </c>
      <c r="J12597" t="s">
        <v>30</v>
      </c>
      <c r="K12597" t="s">
        <v>37901</v>
      </c>
      <c r="M12597" t="s">
        <v>17861</v>
      </c>
      <c r="N12597" t="str">
        <f>"4/9/2019 2:46:00 PM"</f>
        <v>4/9/2019 2:46:00 PM</v>
      </c>
      <c r="O12597" t="s">
        <v>37898</v>
      </c>
      <c r="T12597" t="s">
        <v>37899</v>
      </c>
    </row>
    <row r="12598" spans="1:20" x14ac:dyDescent="0.25">
      <c r="A12598" t="str">
        <f>"3038954"</f>
        <v>3038954</v>
      </c>
      <c r="B12598" t="s">
        <v>37903</v>
      </c>
      <c r="C12598" t="str">
        <f>"20958250"</f>
        <v>20958250</v>
      </c>
      <c r="D12598" t="s">
        <v>34985</v>
      </c>
      <c r="E12598" t="s">
        <v>37904</v>
      </c>
      <c r="F12598" t="s">
        <v>34986</v>
      </c>
      <c r="I12598" t="s">
        <v>29</v>
      </c>
      <c r="J12598" t="s">
        <v>30</v>
      </c>
      <c r="K12598" t="s">
        <v>34987</v>
      </c>
      <c r="M12598" t="s">
        <v>33845</v>
      </c>
      <c r="N12598" t="str">
        <f>"4/9/2019 3:10:00 PM"</f>
        <v>4/9/2019 3:10:00 PM</v>
      </c>
      <c r="O12598" t="s">
        <v>34985</v>
      </c>
      <c r="T12598" t="s">
        <v>37904</v>
      </c>
    </row>
    <row r="12599" spans="1:20" x14ac:dyDescent="0.25">
      <c r="A12599" t="str">
        <f>"3057019"</f>
        <v>3057019</v>
      </c>
      <c r="B12599" t="s">
        <v>37905</v>
      </c>
      <c r="C12599" t="str">
        <f>"8311297"</f>
        <v>8311297</v>
      </c>
      <c r="D12599" t="s">
        <v>37906</v>
      </c>
      <c r="F12599" t="s">
        <v>37907</v>
      </c>
      <c r="I12599" t="s">
        <v>1107</v>
      </c>
      <c r="J12599" t="s">
        <v>30</v>
      </c>
      <c r="K12599" t="str">
        <f>"28625"</f>
        <v>28625</v>
      </c>
      <c r="M12599" t="s">
        <v>17861</v>
      </c>
      <c r="N12599" t="str">
        <f>"4/9/2019 3:29:00 PM"</f>
        <v>4/9/2019 3:29:00 PM</v>
      </c>
      <c r="O12599" t="s">
        <v>37906</v>
      </c>
    </row>
    <row r="12600" spans="1:20" x14ac:dyDescent="0.25">
      <c r="A12600" t="str">
        <f>"3045762"</f>
        <v>3045762</v>
      </c>
      <c r="B12600" t="s">
        <v>37908</v>
      </c>
      <c r="C12600" t="str">
        <f>"8311299"</f>
        <v>8311299</v>
      </c>
      <c r="D12600" t="s">
        <v>37909</v>
      </c>
      <c r="E12600" t="s">
        <v>37910</v>
      </c>
      <c r="F12600" t="s">
        <v>37911</v>
      </c>
      <c r="I12600" t="s">
        <v>1149</v>
      </c>
      <c r="J12600" t="s">
        <v>30</v>
      </c>
      <c r="K12600" t="s">
        <v>37912</v>
      </c>
      <c r="M12600" t="s">
        <v>17861</v>
      </c>
      <c r="N12600" t="str">
        <f>"4/9/2019 3:36:00 PM"</f>
        <v>4/9/2019 3:36:00 PM</v>
      </c>
      <c r="O12600" t="s">
        <v>37909</v>
      </c>
      <c r="T12600" t="s">
        <v>37910</v>
      </c>
    </row>
    <row r="12601" spans="1:20" x14ac:dyDescent="0.25">
      <c r="A12601" t="str">
        <f>"3052794"</f>
        <v>3052794</v>
      </c>
      <c r="B12601" t="s">
        <v>37913</v>
      </c>
      <c r="C12601" t="str">
        <f>"8311194"</f>
        <v>8311194</v>
      </c>
      <c r="D12601" t="s">
        <v>37914</v>
      </c>
      <c r="F12601" t="s">
        <v>37915</v>
      </c>
      <c r="I12601" t="s">
        <v>29</v>
      </c>
      <c r="J12601" t="s">
        <v>30</v>
      </c>
      <c r="K12601" t="s">
        <v>14829</v>
      </c>
      <c r="M12601" t="s">
        <v>17861</v>
      </c>
      <c r="N12601" t="str">
        <f>"3/26/2019 10:45:00 AM"</f>
        <v>3/26/2019 10:45:00 AM</v>
      </c>
      <c r="O12601" t="s">
        <v>37914</v>
      </c>
    </row>
    <row r="12602" spans="1:20" x14ac:dyDescent="0.25">
      <c r="A12602" t="str">
        <f>"3054476"</f>
        <v>3054476</v>
      </c>
      <c r="B12602" t="s">
        <v>37916</v>
      </c>
      <c r="C12602" t="str">
        <f>"46349000"</f>
        <v>46349000</v>
      </c>
      <c r="D12602" t="s">
        <v>37917</v>
      </c>
      <c r="E12602" t="s">
        <v>37918</v>
      </c>
      <c r="F12602" t="s">
        <v>37919</v>
      </c>
      <c r="I12602" t="s">
        <v>29</v>
      </c>
      <c r="J12602" t="s">
        <v>30</v>
      </c>
      <c r="K12602" t="s">
        <v>15838</v>
      </c>
      <c r="M12602" t="s">
        <v>33845</v>
      </c>
      <c r="N12602" t="str">
        <f>"3/28/2019 11:46:00 AM"</f>
        <v>3/28/2019 11:46:00 AM</v>
      </c>
      <c r="O12602" t="s">
        <v>37917</v>
      </c>
      <c r="T12602" t="s">
        <v>37918</v>
      </c>
    </row>
    <row r="12603" spans="1:20" x14ac:dyDescent="0.25">
      <c r="A12603" t="str">
        <f>"3044132"</f>
        <v>3044132</v>
      </c>
      <c r="B12603" t="s">
        <v>37920</v>
      </c>
      <c r="C12603" t="str">
        <f>"8311307"</f>
        <v>8311307</v>
      </c>
      <c r="D12603" t="s">
        <v>37921</v>
      </c>
      <c r="F12603" t="s">
        <v>37922</v>
      </c>
      <c r="I12603" t="s">
        <v>184</v>
      </c>
      <c r="J12603" t="s">
        <v>30</v>
      </c>
      <c r="K12603" t="s">
        <v>37923</v>
      </c>
      <c r="M12603" t="s">
        <v>17861</v>
      </c>
      <c r="N12603" t="str">
        <f>"4/12/2019 8:59:00 AM"</f>
        <v>4/12/2019 8:59:00 AM</v>
      </c>
      <c r="O12603" t="s">
        <v>37921</v>
      </c>
    </row>
    <row r="12604" spans="1:20" x14ac:dyDescent="0.25">
      <c r="A12604" t="str">
        <f>"3057572"</f>
        <v>3057572</v>
      </c>
      <c r="B12604" t="s">
        <v>37924</v>
      </c>
      <c r="C12604" t="str">
        <f>"8311309"</f>
        <v>8311309</v>
      </c>
      <c r="D12604" t="s">
        <v>37925</v>
      </c>
      <c r="E12604" t="s">
        <v>37926</v>
      </c>
      <c r="F12604" t="s">
        <v>37927</v>
      </c>
      <c r="I12604" t="s">
        <v>29</v>
      </c>
      <c r="J12604" t="s">
        <v>30</v>
      </c>
      <c r="K12604" t="s">
        <v>37928</v>
      </c>
      <c r="M12604" t="s">
        <v>17861</v>
      </c>
      <c r="N12604" t="str">
        <f>"4/12/2019 10:30:00 AM"</f>
        <v>4/12/2019 10:30:00 AM</v>
      </c>
      <c r="O12604" t="s">
        <v>37925</v>
      </c>
      <c r="T12604" t="s">
        <v>37926</v>
      </c>
    </row>
    <row r="12605" spans="1:20" x14ac:dyDescent="0.25">
      <c r="A12605" t="str">
        <f>"3052142"</f>
        <v>3052142</v>
      </c>
      <c r="B12605" t="s">
        <v>37929</v>
      </c>
      <c r="C12605" t="str">
        <f>"8311310"</f>
        <v>8311310</v>
      </c>
      <c r="D12605" t="s">
        <v>37930</v>
      </c>
      <c r="E12605" t="s">
        <v>37931</v>
      </c>
      <c r="F12605" t="s">
        <v>37932</v>
      </c>
      <c r="I12605" t="s">
        <v>19211</v>
      </c>
      <c r="J12605" t="s">
        <v>30</v>
      </c>
      <c r="K12605" t="str">
        <f>"27360"</f>
        <v>27360</v>
      </c>
      <c r="M12605" t="s">
        <v>17861</v>
      </c>
      <c r="N12605" t="str">
        <f>"4/12/2019 10:33:00 AM"</f>
        <v>4/12/2019 10:33:00 AM</v>
      </c>
      <c r="O12605" t="s">
        <v>37930</v>
      </c>
      <c r="T12605" t="s">
        <v>37931</v>
      </c>
    </row>
    <row r="12606" spans="1:20" x14ac:dyDescent="0.25">
      <c r="A12606" t="str">
        <f>"3051833"</f>
        <v>3051833</v>
      </c>
      <c r="B12606" t="s">
        <v>37933</v>
      </c>
      <c r="C12606" t="str">
        <f>"8311311"</f>
        <v>8311311</v>
      </c>
      <c r="D12606" t="s">
        <v>37934</v>
      </c>
      <c r="F12606" t="s">
        <v>37935</v>
      </c>
      <c r="I12606" t="s">
        <v>184</v>
      </c>
      <c r="J12606" t="s">
        <v>30</v>
      </c>
      <c r="K12606" t="s">
        <v>37936</v>
      </c>
      <c r="M12606" t="s">
        <v>17861</v>
      </c>
      <c r="N12606" t="str">
        <f>"4/12/2019 10:37:00 AM"</f>
        <v>4/12/2019 10:37:00 AM</v>
      </c>
      <c r="O12606" t="s">
        <v>37934</v>
      </c>
    </row>
    <row r="12607" spans="1:20" x14ac:dyDescent="0.25">
      <c r="A12607" t="str">
        <f>"3043485"</f>
        <v>3043485</v>
      </c>
      <c r="B12607" t="s">
        <v>37937</v>
      </c>
      <c r="C12607" t="str">
        <f>"8311313"</f>
        <v>8311313</v>
      </c>
      <c r="D12607" t="s">
        <v>37938</v>
      </c>
      <c r="F12607" t="s">
        <v>37939</v>
      </c>
      <c r="I12607" t="s">
        <v>29</v>
      </c>
      <c r="J12607" t="s">
        <v>30</v>
      </c>
      <c r="K12607" t="s">
        <v>37940</v>
      </c>
      <c r="M12607" t="s">
        <v>17861</v>
      </c>
      <c r="N12607" t="str">
        <f>"4/12/2019 10:50:00 AM"</f>
        <v>4/12/2019 10:50:00 AM</v>
      </c>
      <c r="O12607" t="s">
        <v>37938</v>
      </c>
    </row>
    <row r="12608" spans="1:20" x14ac:dyDescent="0.25">
      <c r="A12608" t="str">
        <f>"3048758"</f>
        <v>3048758</v>
      </c>
      <c r="B12608" t="s">
        <v>37941</v>
      </c>
      <c r="C12608" t="str">
        <f>"8311314"</f>
        <v>8311314</v>
      </c>
      <c r="D12608" t="s">
        <v>37942</v>
      </c>
      <c r="F12608" t="s">
        <v>37943</v>
      </c>
      <c r="I12608" t="s">
        <v>29</v>
      </c>
      <c r="J12608" t="s">
        <v>30</v>
      </c>
      <c r="K12608" t="s">
        <v>37944</v>
      </c>
      <c r="M12608" t="s">
        <v>17861</v>
      </c>
      <c r="N12608" t="str">
        <f>"4/12/2019 11:04:00 AM"</f>
        <v>4/12/2019 11:04:00 AM</v>
      </c>
      <c r="O12608" t="s">
        <v>37942</v>
      </c>
    </row>
    <row r="12609" spans="1:20" x14ac:dyDescent="0.25">
      <c r="A12609" t="str">
        <f>"3041720"</f>
        <v>3041720</v>
      </c>
      <c r="B12609" t="s">
        <v>37945</v>
      </c>
      <c r="C12609" t="str">
        <f>"8311316"</f>
        <v>8311316</v>
      </c>
      <c r="D12609" t="s">
        <v>37946</v>
      </c>
      <c r="E12609" t="s">
        <v>37947</v>
      </c>
      <c r="F12609" t="s">
        <v>37948</v>
      </c>
      <c r="I12609" t="s">
        <v>2071</v>
      </c>
      <c r="J12609" t="s">
        <v>30</v>
      </c>
      <c r="K12609" t="s">
        <v>19627</v>
      </c>
      <c r="M12609" t="s">
        <v>17861</v>
      </c>
      <c r="N12609" t="str">
        <f>"4/12/2019 11:16:00 AM"</f>
        <v>4/12/2019 11:16:00 AM</v>
      </c>
      <c r="O12609" t="s">
        <v>37946</v>
      </c>
      <c r="T12609" t="s">
        <v>37947</v>
      </c>
    </row>
    <row r="12610" spans="1:20" x14ac:dyDescent="0.25">
      <c r="A12610" t="str">
        <f>"3052742"</f>
        <v>3052742</v>
      </c>
      <c r="B12610" t="s">
        <v>37949</v>
      </c>
      <c r="C12610" t="str">
        <f>"8305141"</f>
        <v>8305141</v>
      </c>
      <c r="D12610" t="s">
        <v>37950</v>
      </c>
      <c r="E12610" t="s">
        <v>37951</v>
      </c>
      <c r="F12610" t="s">
        <v>37952</v>
      </c>
      <c r="I12610" t="s">
        <v>29</v>
      </c>
      <c r="J12610" t="s">
        <v>30</v>
      </c>
      <c r="K12610" t="str">
        <f>"27028"</f>
        <v>27028</v>
      </c>
      <c r="M12610" t="s">
        <v>18470</v>
      </c>
      <c r="N12610" t="str">
        <f>"3/28/2019 1:06:00 PM"</f>
        <v>3/28/2019 1:06:00 PM</v>
      </c>
      <c r="O12610" t="s">
        <v>37950</v>
      </c>
      <c r="T12610" t="s">
        <v>37951</v>
      </c>
    </row>
    <row r="12611" spans="1:20" x14ac:dyDescent="0.25">
      <c r="A12611" t="str">
        <f>"3046236"</f>
        <v>3046236</v>
      </c>
      <c r="B12611" t="s">
        <v>37953</v>
      </c>
      <c r="C12611" t="str">
        <f>"8970000"</f>
        <v>8970000</v>
      </c>
      <c r="D12611" t="s">
        <v>37803</v>
      </c>
      <c r="E12611" t="s">
        <v>37804</v>
      </c>
      <c r="F12611" t="s">
        <v>37805</v>
      </c>
      <c r="I12611" t="s">
        <v>29</v>
      </c>
      <c r="J12611" t="s">
        <v>30</v>
      </c>
      <c r="K12611" t="s">
        <v>37806</v>
      </c>
      <c r="M12611" t="s">
        <v>18470</v>
      </c>
      <c r="N12611" t="str">
        <f>"3/28/2019 1:13:00 PM"</f>
        <v>3/28/2019 1:13:00 PM</v>
      </c>
      <c r="O12611" t="s">
        <v>37803</v>
      </c>
      <c r="T12611" t="s">
        <v>37804</v>
      </c>
    </row>
    <row r="12612" spans="1:20" x14ac:dyDescent="0.25">
      <c r="A12612" t="str">
        <f>"3046066"</f>
        <v>3046066</v>
      </c>
      <c r="B12612" t="s">
        <v>37954</v>
      </c>
      <c r="C12612" t="str">
        <f>"8970000"</f>
        <v>8970000</v>
      </c>
      <c r="D12612" t="s">
        <v>37803</v>
      </c>
      <c r="E12612" t="s">
        <v>37804</v>
      </c>
      <c r="F12612" t="s">
        <v>37805</v>
      </c>
      <c r="I12612" t="s">
        <v>29</v>
      </c>
      <c r="J12612" t="s">
        <v>30</v>
      </c>
      <c r="K12612" t="s">
        <v>37806</v>
      </c>
      <c r="M12612" t="s">
        <v>18470</v>
      </c>
      <c r="N12612" t="str">
        <f>"3/28/2019 1:13:00 PM"</f>
        <v>3/28/2019 1:13:00 PM</v>
      </c>
      <c r="O12612" t="s">
        <v>37803</v>
      </c>
      <c r="T12612" t="s">
        <v>37804</v>
      </c>
    </row>
    <row r="12613" spans="1:20" x14ac:dyDescent="0.25">
      <c r="A12613" t="str">
        <f>"3053137"</f>
        <v>3053137</v>
      </c>
      <c r="B12613" t="s">
        <v>37955</v>
      </c>
      <c r="C12613" t="str">
        <f>"8311267"</f>
        <v>8311267</v>
      </c>
      <c r="D12613" t="s">
        <v>37956</v>
      </c>
      <c r="F12613" t="s">
        <v>37957</v>
      </c>
      <c r="I12613" t="s">
        <v>29</v>
      </c>
      <c r="J12613" t="s">
        <v>30</v>
      </c>
      <c r="K12613" t="s">
        <v>37958</v>
      </c>
      <c r="M12613" t="s">
        <v>17861</v>
      </c>
      <c r="N12613" t="str">
        <f>"4/4/2019 9:55:00 AM"</f>
        <v>4/4/2019 9:55:00 AM</v>
      </c>
      <c r="O12613" t="s">
        <v>37956</v>
      </c>
    </row>
    <row r="12614" spans="1:20" x14ac:dyDescent="0.25">
      <c r="A12614" t="str">
        <f>"3040499"</f>
        <v>3040499</v>
      </c>
      <c r="B12614" t="s">
        <v>37959</v>
      </c>
      <c r="C12614" t="str">
        <f>"8311269"</f>
        <v>8311269</v>
      </c>
      <c r="D12614" t="s">
        <v>37960</v>
      </c>
      <c r="F12614" t="s">
        <v>37961</v>
      </c>
      <c r="I12614" t="s">
        <v>184</v>
      </c>
      <c r="J12614" t="s">
        <v>30</v>
      </c>
      <c r="K12614" t="s">
        <v>3281</v>
      </c>
      <c r="M12614" t="s">
        <v>17861</v>
      </c>
      <c r="N12614" t="str">
        <f>"4/4/2019 10:00:00 AM"</f>
        <v>4/4/2019 10:00:00 AM</v>
      </c>
      <c r="O12614" t="s">
        <v>37960</v>
      </c>
    </row>
    <row r="12615" spans="1:20" x14ac:dyDescent="0.25">
      <c r="A12615" t="str">
        <f>"3042402"</f>
        <v>3042402</v>
      </c>
      <c r="B12615" t="s">
        <v>37962</v>
      </c>
      <c r="C12615" t="str">
        <f>"8302260"</f>
        <v>8302260</v>
      </c>
      <c r="D12615" t="s">
        <v>37963</v>
      </c>
      <c r="F12615" t="s">
        <v>25795</v>
      </c>
      <c r="I12615" t="s">
        <v>29</v>
      </c>
      <c r="J12615" t="s">
        <v>30</v>
      </c>
      <c r="K12615" t="str">
        <f>"27028"</f>
        <v>27028</v>
      </c>
      <c r="M12615" t="s">
        <v>33845</v>
      </c>
      <c r="N12615" t="str">
        <f>"4/5/2019 11:59:00 AM"</f>
        <v>4/5/2019 11:59:00 AM</v>
      </c>
      <c r="O12615" t="s">
        <v>37963</v>
      </c>
    </row>
    <row r="12616" spans="1:20" x14ac:dyDescent="0.25">
      <c r="A12616" t="str">
        <f>"3059707"</f>
        <v>3059707</v>
      </c>
      <c r="B12616" t="s">
        <v>37964</v>
      </c>
      <c r="C12616" t="str">
        <f>"8311331"</f>
        <v>8311331</v>
      </c>
      <c r="D12616" t="s">
        <v>37965</v>
      </c>
      <c r="E12616" t="s">
        <v>37966</v>
      </c>
      <c r="F12616" t="s">
        <v>37967</v>
      </c>
      <c r="I12616" t="s">
        <v>29</v>
      </c>
      <c r="J12616" t="s">
        <v>30</v>
      </c>
      <c r="K12616" t="s">
        <v>37968</v>
      </c>
      <c r="M12616" t="s">
        <v>17861</v>
      </c>
      <c r="N12616" t="str">
        <f>"4/18/2019 8:24:00 AM"</f>
        <v>4/18/2019 8:24:00 AM</v>
      </c>
      <c r="O12616" t="s">
        <v>37965</v>
      </c>
      <c r="T12616" t="s">
        <v>37966</v>
      </c>
    </row>
    <row r="12617" spans="1:20" x14ac:dyDescent="0.25">
      <c r="A12617" t="str">
        <f>"3059689"</f>
        <v>3059689</v>
      </c>
      <c r="B12617" t="s">
        <v>37969</v>
      </c>
      <c r="C12617" t="str">
        <f>"8311331"</f>
        <v>8311331</v>
      </c>
      <c r="D12617" t="s">
        <v>37965</v>
      </c>
      <c r="E12617" t="s">
        <v>37966</v>
      </c>
      <c r="F12617" t="s">
        <v>37967</v>
      </c>
      <c r="I12617" t="s">
        <v>29</v>
      </c>
      <c r="J12617" t="s">
        <v>30</v>
      </c>
      <c r="K12617" t="s">
        <v>37968</v>
      </c>
      <c r="M12617" t="s">
        <v>17861</v>
      </c>
      <c r="N12617" t="str">
        <f>"4/18/2019 8:24:00 AM"</f>
        <v>4/18/2019 8:24:00 AM</v>
      </c>
      <c r="O12617" t="s">
        <v>37965</v>
      </c>
      <c r="T12617" t="s">
        <v>37966</v>
      </c>
    </row>
    <row r="12618" spans="1:20" x14ac:dyDescent="0.25">
      <c r="A12618" t="str">
        <f>"3044380"</f>
        <v>3044380</v>
      </c>
      <c r="B12618" t="s">
        <v>37970</v>
      </c>
      <c r="C12618" t="str">
        <f>"8311332"</f>
        <v>8311332</v>
      </c>
      <c r="D12618" t="s">
        <v>37971</v>
      </c>
      <c r="E12618" t="s">
        <v>37972</v>
      </c>
      <c r="F12618" t="s">
        <v>37973</v>
      </c>
      <c r="I12618" t="s">
        <v>184</v>
      </c>
      <c r="J12618" t="s">
        <v>30</v>
      </c>
      <c r="K12618" t="s">
        <v>37974</v>
      </c>
      <c r="M12618" t="s">
        <v>17861</v>
      </c>
      <c r="N12618" t="str">
        <f>"4/18/2019 8:30:00 AM"</f>
        <v>4/18/2019 8:30:00 AM</v>
      </c>
      <c r="O12618" t="s">
        <v>37971</v>
      </c>
      <c r="T12618" t="s">
        <v>37972</v>
      </c>
    </row>
    <row r="12619" spans="1:20" x14ac:dyDescent="0.25">
      <c r="A12619" t="str">
        <f>"3049538"</f>
        <v>3049538</v>
      </c>
      <c r="B12619" t="s">
        <v>37975</v>
      </c>
      <c r="C12619" t="str">
        <f>"82513169"</f>
        <v>82513169</v>
      </c>
      <c r="D12619" t="s">
        <v>37976</v>
      </c>
      <c r="F12619" t="s">
        <v>37977</v>
      </c>
      <c r="I12619" t="s">
        <v>184</v>
      </c>
      <c r="J12619" t="s">
        <v>30</v>
      </c>
      <c r="K12619" t="s">
        <v>37978</v>
      </c>
      <c r="M12619" t="s">
        <v>33845</v>
      </c>
      <c r="N12619" t="str">
        <f>"4/8/2019 9:37:00 AM"</f>
        <v>4/8/2019 9:37:00 AM</v>
      </c>
      <c r="O12619" t="s">
        <v>37976</v>
      </c>
    </row>
    <row r="12620" spans="1:20" x14ac:dyDescent="0.25">
      <c r="A12620" t="str">
        <f>"3060004"</f>
        <v>3060004</v>
      </c>
      <c r="B12620" t="s">
        <v>37979</v>
      </c>
      <c r="C12620" t="str">
        <f>"8311335"</f>
        <v>8311335</v>
      </c>
      <c r="D12620" t="s">
        <v>37980</v>
      </c>
      <c r="E12620" t="s">
        <v>37981</v>
      </c>
      <c r="F12620" t="s">
        <v>37982</v>
      </c>
      <c r="I12620" t="s">
        <v>184</v>
      </c>
      <c r="J12620" t="s">
        <v>30</v>
      </c>
      <c r="K12620" t="s">
        <v>37983</v>
      </c>
      <c r="M12620" t="s">
        <v>17861</v>
      </c>
      <c r="N12620" t="str">
        <f>"4/18/2019 8:50:00 AM"</f>
        <v>4/18/2019 8:50:00 AM</v>
      </c>
      <c r="O12620" t="s">
        <v>37980</v>
      </c>
      <c r="T12620" t="s">
        <v>37981</v>
      </c>
    </row>
    <row r="12621" spans="1:20" x14ac:dyDescent="0.25">
      <c r="A12621" t="str">
        <f>"3057570"</f>
        <v>3057570</v>
      </c>
      <c r="B12621" t="s">
        <v>37984</v>
      </c>
      <c r="C12621" t="str">
        <f>"8311338"</f>
        <v>8311338</v>
      </c>
      <c r="D12621" t="s">
        <v>37985</v>
      </c>
      <c r="E12621" t="s">
        <v>37986</v>
      </c>
      <c r="F12621" t="s">
        <v>37987</v>
      </c>
      <c r="I12621" t="s">
        <v>29</v>
      </c>
      <c r="J12621" t="s">
        <v>30</v>
      </c>
      <c r="K12621" t="s">
        <v>10042</v>
      </c>
      <c r="M12621" t="s">
        <v>17861</v>
      </c>
      <c r="N12621" t="str">
        <f>"4/18/2019 9:26:00 AM"</f>
        <v>4/18/2019 9:26:00 AM</v>
      </c>
      <c r="O12621" t="s">
        <v>37985</v>
      </c>
      <c r="T12621" t="s">
        <v>37986</v>
      </c>
    </row>
    <row r="12622" spans="1:20" x14ac:dyDescent="0.25">
      <c r="A12622" t="str">
        <f>"3050414"</f>
        <v>3050414</v>
      </c>
      <c r="B12622" t="s">
        <v>37988</v>
      </c>
      <c r="C12622" t="str">
        <f>"82513169"</f>
        <v>82513169</v>
      </c>
      <c r="D12622" t="s">
        <v>37976</v>
      </c>
      <c r="F12622" t="s">
        <v>37977</v>
      </c>
      <c r="I12622" t="s">
        <v>184</v>
      </c>
      <c r="J12622" t="s">
        <v>30</v>
      </c>
      <c r="K12622" t="s">
        <v>37978</v>
      </c>
      <c r="M12622" t="s">
        <v>33845</v>
      </c>
      <c r="N12622" t="str">
        <f>"4/8/2019 9:37:00 AM"</f>
        <v>4/8/2019 9:37:00 AM</v>
      </c>
      <c r="O12622" t="s">
        <v>37976</v>
      </c>
    </row>
    <row r="12623" spans="1:20" x14ac:dyDescent="0.25">
      <c r="A12623" t="str">
        <f>"3050372"</f>
        <v>3050372</v>
      </c>
      <c r="B12623" t="s">
        <v>37989</v>
      </c>
      <c r="C12623" t="str">
        <f>"82513169"</f>
        <v>82513169</v>
      </c>
      <c r="D12623" t="s">
        <v>37976</v>
      </c>
      <c r="F12623" t="s">
        <v>37977</v>
      </c>
      <c r="I12623" t="s">
        <v>184</v>
      </c>
      <c r="J12623" t="s">
        <v>30</v>
      </c>
      <c r="K12623" t="s">
        <v>37978</v>
      </c>
      <c r="M12623" t="s">
        <v>33845</v>
      </c>
      <c r="N12623" t="str">
        <f>"4/8/2019 9:37:00 AM"</f>
        <v>4/8/2019 9:37:00 AM</v>
      </c>
      <c r="O12623" t="s">
        <v>37976</v>
      </c>
    </row>
    <row r="12624" spans="1:20" x14ac:dyDescent="0.25">
      <c r="A12624" t="str">
        <f>"3049578"</f>
        <v>3049578</v>
      </c>
      <c r="B12624" t="s">
        <v>37990</v>
      </c>
      <c r="C12624" t="str">
        <f>"67876000"</f>
        <v>67876000</v>
      </c>
      <c r="D12624" t="s">
        <v>37991</v>
      </c>
      <c r="F12624" t="s">
        <v>37992</v>
      </c>
      <c r="I12624" t="s">
        <v>29</v>
      </c>
      <c r="J12624" t="s">
        <v>30</v>
      </c>
      <c r="K12624" t="s">
        <v>31</v>
      </c>
      <c r="M12624" t="s">
        <v>33845</v>
      </c>
      <c r="N12624" t="str">
        <f>"4/8/2019 11:52:00 AM"</f>
        <v>4/8/2019 11:52:00 AM</v>
      </c>
      <c r="O12624" t="s">
        <v>37991</v>
      </c>
    </row>
    <row r="12625" spans="1:20" x14ac:dyDescent="0.25">
      <c r="A12625" t="str">
        <f>"3046976"</f>
        <v>3046976</v>
      </c>
      <c r="B12625" t="s">
        <v>37993</v>
      </c>
      <c r="C12625" t="str">
        <f>"67876000"</f>
        <v>67876000</v>
      </c>
      <c r="D12625" t="s">
        <v>37991</v>
      </c>
      <c r="F12625" t="s">
        <v>37992</v>
      </c>
      <c r="I12625" t="s">
        <v>29</v>
      </c>
      <c r="J12625" t="s">
        <v>30</v>
      </c>
      <c r="K12625" t="s">
        <v>31</v>
      </c>
      <c r="M12625" t="s">
        <v>33845</v>
      </c>
      <c r="N12625" t="str">
        <f>"4/8/2019 11:52:00 AM"</f>
        <v>4/8/2019 11:52:00 AM</v>
      </c>
      <c r="O12625" t="s">
        <v>37991</v>
      </c>
    </row>
    <row r="12626" spans="1:20" x14ac:dyDescent="0.25">
      <c r="A12626" t="str">
        <f>"3046624"</f>
        <v>3046624</v>
      </c>
      <c r="B12626" t="s">
        <v>37994</v>
      </c>
      <c r="C12626" t="str">
        <f>"67876000"</f>
        <v>67876000</v>
      </c>
      <c r="D12626" t="s">
        <v>37991</v>
      </c>
      <c r="F12626" t="s">
        <v>37992</v>
      </c>
      <c r="I12626" t="s">
        <v>29</v>
      </c>
      <c r="J12626" t="s">
        <v>30</v>
      </c>
      <c r="K12626" t="s">
        <v>31</v>
      </c>
      <c r="M12626" t="s">
        <v>33845</v>
      </c>
      <c r="N12626" t="str">
        <f>"4/8/2019 11:52:00 AM"</f>
        <v>4/8/2019 11:52:00 AM</v>
      </c>
      <c r="O12626" t="s">
        <v>37991</v>
      </c>
    </row>
    <row r="12627" spans="1:20" x14ac:dyDescent="0.25">
      <c r="A12627" t="str">
        <f>"3046858"</f>
        <v>3046858</v>
      </c>
      <c r="B12627" t="s">
        <v>37995</v>
      </c>
      <c r="C12627" t="str">
        <f>"8306245"</f>
        <v>8306245</v>
      </c>
      <c r="D12627" t="s">
        <v>37996</v>
      </c>
      <c r="E12627" t="s">
        <v>37997</v>
      </c>
      <c r="F12627" t="s">
        <v>37998</v>
      </c>
      <c r="I12627" t="s">
        <v>29</v>
      </c>
      <c r="J12627" t="s">
        <v>30</v>
      </c>
      <c r="K12627" t="str">
        <f>"27028"</f>
        <v>27028</v>
      </c>
      <c r="M12627" t="s">
        <v>33845</v>
      </c>
      <c r="N12627" t="str">
        <f>"4/8/2019 2:34:00 PM"</f>
        <v>4/8/2019 2:34:00 PM</v>
      </c>
      <c r="O12627" t="s">
        <v>37996</v>
      </c>
      <c r="T12627" t="s">
        <v>37997</v>
      </c>
    </row>
    <row r="12628" spans="1:20" x14ac:dyDescent="0.25">
      <c r="A12628" t="str">
        <f>"3055918"</f>
        <v>3055918</v>
      </c>
      <c r="B12628" t="s">
        <v>37999</v>
      </c>
      <c r="C12628" t="str">
        <f>"8311291"</f>
        <v>8311291</v>
      </c>
      <c r="D12628" t="s">
        <v>38000</v>
      </c>
      <c r="F12628" t="s">
        <v>38001</v>
      </c>
      <c r="I12628" t="s">
        <v>9580</v>
      </c>
      <c r="J12628" t="s">
        <v>30</v>
      </c>
      <c r="K12628" t="s">
        <v>38002</v>
      </c>
      <c r="M12628" t="s">
        <v>17861</v>
      </c>
      <c r="N12628" t="str">
        <f>"4/8/2019 3:18:00 PM"</f>
        <v>4/8/2019 3:18:00 PM</v>
      </c>
      <c r="O12628" t="s">
        <v>38000</v>
      </c>
    </row>
    <row r="12629" spans="1:20" x14ac:dyDescent="0.25">
      <c r="A12629" t="str">
        <f>"3042827"</f>
        <v>3042827</v>
      </c>
      <c r="B12629" t="s">
        <v>38003</v>
      </c>
      <c r="C12629" t="str">
        <f>"8304724"</f>
        <v>8304724</v>
      </c>
      <c r="D12629" t="s">
        <v>38004</v>
      </c>
      <c r="E12629" t="s">
        <v>38005</v>
      </c>
      <c r="F12629" t="s">
        <v>38006</v>
      </c>
      <c r="I12629" t="s">
        <v>29</v>
      </c>
      <c r="J12629" t="s">
        <v>30</v>
      </c>
      <c r="K12629" t="str">
        <f>"27028"</f>
        <v>27028</v>
      </c>
      <c r="M12629" t="s">
        <v>18470</v>
      </c>
      <c r="N12629" t="str">
        <f>"4/9/2019 9:16:00 AM"</f>
        <v>4/9/2019 9:16:00 AM</v>
      </c>
      <c r="O12629" t="s">
        <v>38004</v>
      </c>
      <c r="T12629" t="s">
        <v>38005</v>
      </c>
    </row>
    <row r="12630" spans="1:20" x14ac:dyDescent="0.25">
      <c r="A12630" t="str">
        <f>"3039766"</f>
        <v>3039766</v>
      </c>
      <c r="B12630" t="s">
        <v>38007</v>
      </c>
      <c r="C12630" t="str">
        <f>"8308495"</f>
        <v>8308495</v>
      </c>
      <c r="D12630" t="s">
        <v>38008</v>
      </c>
      <c r="E12630" t="s">
        <v>38009</v>
      </c>
      <c r="F12630" t="s">
        <v>38010</v>
      </c>
      <c r="I12630" t="s">
        <v>184</v>
      </c>
      <c r="J12630" t="s">
        <v>30</v>
      </c>
      <c r="K12630" t="str">
        <f>"27006"</f>
        <v>27006</v>
      </c>
      <c r="M12630" t="s">
        <v>18479</v>
      </c>
      <c r="N12630" t="str">
        <f>"4/9/2019 2:43:00 PM"</f>
        <v>4/9/2019 2:43:00 PM</v>
      </c>
      <c r="O12630" t="s">
        <v>38008</v>
      </c>
      <c r="T12630" t="s">
        <v>38009</v>
      </c>
    </row>
    <row r="12631" spans="1:20" x14ac:dyDescent="0.25">
      <c r="A12631" t="str">
        <f>"3039683"</f>
        <v>3039683</v>
      </c>
      <c r="B12631" t="s">
        <v>38011</v>
      </c>
      <c r="C12631" t="str">
        <f>"8308657"</f>
        <v>8308657</v>
      </c>
      <c r="D12631" t="s">
        <v>38012</v>
      </c>
      <c r="F12631" t="s">
        <v>38013</v>
      </c>
      <c r="I12631" t="s">
        <v>184</v>
      </c>
      <c r="J12631" t="s">
        <v>30</v>
      </c>
      <c r="K12631" t="str">
        <f>"27006"</f>
        <v>27006</v>
      </c>
      <c r="M12631" t="s">
        <v>18470</v>
      </c>
      <c r="N12631" t="str">
        <f>"4/11/2019 11:23:00 AM"</f>
        <v>4/11/2019 11:23:00 AM</v>
      </c>
      <c r="O12631" t="s">
        <v>38012</v>
      </c>
    </row>
    <row r="12632" spans="1:20" x14ac:dyDescent="0.25">
      <c r="A12632" t="str">
        <f>"3037426"</f>
        <v>3037426</v>
      </c>
      <c r="B12632" t="s">
        <v>38014</v>
      </c>
      <c r="C12632" t="str">
        <f>"8311306"</f>
        <v>8311306</v>
      </c>
      <c r="D12632" t="s">
        <v>38015</v>
      </c>
      <c r="F12632" t="s">
        <v>38016</v>
      </c>
      <c r="I12632" t="s">
        <v>4502</v>
      </c>
      <c r="J12632" t="s">
        <v>30</v>
      </c>
      <c r="K12632" t="s">
        <v>38017</v>
      </c>
      <c r="M12632" t="s">
        <v>17861</v>
      </c>
      <c r="N12632" t="str">
        <f>"4/12/2019 8:14:00 AM"</f>
        <v>4/12/2019 8:14:00 AM</v>
      </c>
      <c r="O12632" t="s">
        <v>38015</v>
      </c>
    </row>
    <row r="12633" spans="1:20" x14ac:dyDescent="0.25">
      <c r="A12633" t="str">
        <f>"3039742"</f>
        <v>3039742</v>
      </c>
      <c r="B12633" t="s">
        <v>38018</v>
      </c>
      <c r="C12633" t="str">
        <f>"61112000"</f>
        <v>61112000</v>
      </c>
      <c r="D12633" t="s">
        <v>38019</v>
      </c>
      <c r="F12633" t="s">
        <v>38020</v>
      </c>
      <c r="I12633" t="s">
        <v>29</v>
      </c>
      <c r="J12633" t="s">
        <v>30</v>
      </c>
      <c r="K12633" t="s">
        <v>38021</v>
      </c>
      <c r="M12633" t="s">
        <v>36935</v>
      </c>
      <c r="N12633" t="str">
        <f>"3/29/2019 12:44:00 PM"</f>
        <v>3/29/2019 12:44:00 PM</v>
      </c>
      <c r="O12633" t="s">
        <v>38019</v>
      </c>
    </row>
    <row r="12634" spans="1:20" x14ac:dyDescent="0.25">
      <c r="A12634" t="str">
        <f>"3054912"</f>
        <v>3054912</v>
      </c>
      <c r="B12634" t="s">
        <v>38022</v>
      </c>
      <c r="C12634" t="str">
        <f>"8311226"</f>
        <v>8311226</v>
      </c>
      <c r="D12634" t="s">
        <v>38023</v>
      </c>
      <c r="F12634" t="s">
        <v>38024</v>
      </c>
      <c r="I12634" t="s">
        <v>29</v>
      </c>
      <c r="J12634" t="s">
        <v>30</v>
      </c>
      <c r="K12634" t="s">
        <v>38025</v>
      </c>
      <c r="M12634" t="s">
        <v>17861</v>
      </c>
      <c r="N12634" t="str">
        <f>"4/2/2019 12:38:00 PM"</f>
        <v>4/2/2019 12:38:00 PM</v>
      </c>
      <c r="O12634" t="s">
        <v>38023</v>
      </c>
    </row>
    <row r="12635" spans="1:20" x14ac:dyDescent="0.25">
      <c r="A12635" t="str">
        <f>"3055455"</f>
        <v>3055455</v>
      </c>
      <c r="B12635" t="s">
        <v>38026</v>
      </c>
      <c r="C12635" t="str">
        <f>"8311226"</f>
        <v>8311226</v>
      </c>
      <c r="D12635" t="s">
        <v>38023</v>
      </c>
      <c r="F12635" t="s">
        <v>38024</v>
      </c>
      <c r="I12635" t="s">
        <v>29</v>
      </c>
      <c r="J12635" t="s">
        <v>30</v>
      </c>
      <c r="K12635" t="s">
        <v>38025</v>
      </c>
      <c r="M12635" t="s">
        <v>17861</v>
      </c>
      <c r="N12635" t="str">
        <f>"4/2/2019 12:38:00 PM"</f>
        <v>4/2/2019 12:38:00 PM</v>
      </c>
      <c r="O12635" t="s">
        <v>38023</v>
      </c>
    </row>
    <row r="12636" spans="1:20" x14ac:dyDescent="0.25">
      <c r="A12636" t="str">
        <f>"3055412"</f>
        <v>3055412</v>
      </c>
      <c r="B12636" t="s">
        <v>38027</v>
      </c>
      <c r="C12636" t="str">
        <f>"8311226"</f>
        <v>8311226</v>
      </c>
      <c r="D12636" t="s">
        <v>38023</v>
      </c>
      <c r="F12636" t="s">
        <v>38024</v>
      </c>
      <c r="I12636" t="s">
        <v>29</v>
      </c>
      <c r="J12636" t="s">
        <v>30</v>
      </c>
      <c r="K12636" t="s">
        <v>38025</v>
      </c>
      <c r="M12636" t="s">
        <v>17861</v>
      </c>
      <c r="N12636" t="str">
        <f>"4/2/2019 12:38:00 PM"</f>
        <v>4/2/2019 12:38:00 PM</v>
      </c>
      <c r="O12636" t="s">
        <v>38023</v>
      </c>
    </row>
    <row r="12637" spans="1:20" x14ac:dyDescent="0.25">
      <c r="A12637" t="str">
        <f>"3060447"</f>
        <v>3060447</v>
      </c>
      <c r="B12637" t="s">
        <v>38028</v>
      </c>
      <c r="C12637" t="str">
        <f>"8311230"</f>
        <v>8311230</v>
      </c>
      <c r="D12637" t="s">
        <v>38029</v>
      </c>
      <c r="E12637" t="s">
        <v>38030</v>
      </c>
      <c r="F12637" t="s">
        <v>38031</v>
      </c>
      <c r="I12637" t="s">
        <v>184</v>
      </c>
      <c r="J12637" t="s">
        <v>30</v>
      </c>
      <c r="K12637" t="s">
        <v>33287</v>
      </c>
      <c r="M12637" t="s">
        <v>17861</v>
      </c>
      <c r="N12637" t="str">
        <f>"4/2/2019 3:43:00 PM"</f>
        <v>4/2/2019 3:43:00 PM</v>
      </c>
      <c r="O12637" t="s">
        <v>38029</v>
      </c>
      <c r="T12637" t="s">
        <v>38030</v>
      </c>
    </row>
    <row r="12638" spans="1:20" x14ac:dyDescent="0.25">
      <c r="A12638" t="str">
        <f>"3061257"</f>
        <v>3061257</v>
      </c>
      <c r="B12638" t="s">
        <v>38032</v>
      </c>
      <c r="C12638" t="str">
        <f>"8311232"</f>
        <v>8311232</v>
      </c>
      <c r="D12638" t="s">
        <v>38033</v>
      </c>
      <c r="E12638" t="s">
        <v>38034</v>
      </c>
      <c r="F12638" t="s">
        <v>38035</v>
      </c>
      <c r="I12638" t="s">
        <v>2071</v>
      </c>
      <c r="J12638" t="s">
        <v>30</v>
      </c>
      <c r="K12638" t="s">
        <v>35233</v>
      </c>
      <c r="M12638" t="s">
        <v>17861</v>
      </c>
      <c r="N12638" t="str">
        <f>"4/2/2019 3:55:00 PM"</f>
        <v>4/2/2019 3:55:00 PM</v>
      </c>
      <c r="O12638" t="s">
        <v>38033</v>
      </c>
      <c r="T12638" t="s">
        <v>38034</v>
      </c>
    </row>
    <row r="12639" spans="1:20" x14ac:dyDescent="0.25">
      <c r="A12639" t="str">
        <f>"3059905"</f>
        <v>3059905</v>
      </c>
      <c r="B12639" t="s">
        <v>38036</v>
      </c>
      <c r="C12639" t="str">
        <f>"8307738"</f>
        <v>8307738</v>
      </c>
      <c r="D12639" t="s">
        <v>38037</v>
      </c>
      <c r="E12639" t="s">
        <v>38038</v>
      </c>
      <c r="F12639" t="s">
        <v>38039</v>
      </c>
      <c r="I12639" t="s">
        <v>29</v>
      </c>
      <c r="J12639" t="s">
        <v>30</v>
      </c>
      <c r="K12639" t="str">
        <f>"27028"</f>
        <v>27028</v>
      </c>
      <c r="M12639" t="s">
        <v>33845</v>
      </c>
      <c r="N12639" t="str">
        <f>"4/16/2019 11:35:00 AM"</f>
        <v>4/16/2019 11:35:00 AM</v>
      </c>
      <c r="O12639" t="s">
        <v>38037</v>
      </c>
      <c r="T12639" t="s">
        <v>38038</v>
      </c>
    </row>
    <row r="12640" spans="1:20" x14ac:dyDescent="0.25">
      <c r="A12640" t="str">
        <f>"3078930"</f>
        <v>3078930</v>
      </c>
      <c r="B12640" t="s">
        <v>38040</v>
      </c>
      <c r="C12640" t="str">
        <f>"60146000"</f>
        <v>60146000</v>
      </c>
      <c r="D12640" t="s">
        <v>38041</v>
      </c>
      <c r="F12640" t="s">
        <v>38042</v>
      </c>
      <c r="I12640" t="s">
        <v>1149</v>
      </c>
      <c r="J12640" t="s">
        <v>30</v>
      </c>
      <c r="K12640" t="s">
        <v>1150</v>
      </c>
      <c r="M12640" t="s">
        <v>25733</v>
      </c>
      <c r="N12640" t="str">
        <f>"4/30/2019 4:05:00 PM"</f>
        <v>4/30/2019 4:05:00 PM</v>
      </c>
      <c r="O12640" t="s">
        <v>38041</v>
      </c>
    </row>
    <row r="12641" spans="1:20" x14ac:dyDescent="0.25">
      <c r="A12641" t="str">
        <f>"3037264"</f>
        <v>3037264</v>
      </c>
      <c r="B12641" t="s">
        <v>38043</v>
      </c>
      <c r="C12641" t="str">
        <f>"8306467"</f>
        <v>8306467</v>
      </c>
      <c r="D12641" t="s">
        <v>38044</v>
      </c>
      <c r="F12641" t="s">
        <v>38045</v>
      </c>
      <c r="I12641" t="s">
        <v>184</v>
      </c>
      <c r="J12641" t="s">
        <v>30</v>
      </c>
      <c r="K12641" t="str">
        <f>"27006"</f>
        <v>27006</v>
      </c>
      <c r="M12641" t="s">
        <v>33845</v>
      </c>
      <c r="N12641" t="str">
        <f>"4/16/2019 12:01:00 PM"</f>
        <v>4/16/2019 12:01:00 PM</v>
      </c>
      <c r="O12641" t="s">
        <v>38044</v>
      </c>
    </row>
    <row r="12642" spans="1:20" x14ac:dyDescent="0.25">
      <c r="A12642" t="str">
        <f>"3077003"</f>
        <v>3077003</v>
      </c>
      <c r="B12642" t="s">
        <v>38046</v>
      </c>
      <c r="C12642" t="str">
        <f>"8311334"</f>
        <v>8311334</v>
      </c>
      <c r="D12642" t="s">
        <v>38047</v>
      </c>
      <c r="E12642" t="s">
        <v>38048</v>
      </c>
      <c r="F12642" t="s">
        <v>38049</v>
      </c>
      <c r="I12642" t="s">
        <v>1149</v>
      </c>
      <c r="J12642" t="s">
        <v>30</v>
      </c>
      <c r="K12642" t="s">
        <v>38050</v>
      </c>
      <c r="M12642" t="s">
        <v>17861</v>
      </c>
      <c r="N12642" t="str">
        <f>"4/18/2019 8:47:00 AM"</f>
        <v>4/18/2019 8:47:00 AM</v>
      </c>
      <c r="O12642" t="s">
        <v>38047</v>
      </c>
      <c r="T12642" t="s">
        <v>38048</v>
      </c>
    </row>
    <row r="12643" spans="1:20" x14ac:dyDescent="0.25">
      <c r="A12643" t="str">
        <f>"3061976"</f>
        <v>3061976</v>
      </c>
      <c r="B12643" t="s">
        <v>38051</v>
      </c>
      <c r="C12643" t="str">
        <f>"82525162"</f>
        <v>82525162</v>
      </c>
      <c r="D12643" t="s">
        <v>38052</v>
      </c>
      <c r="F12643" t="s">
        <v>38053</v>
      </c>
      <c r="I12643" t="s">
        <v>184</v>
      </c>
      <c r="J12643" t="s">
        <v>30</v>
      </c>
      <c r="K12643" t="s">
        <v>34271</v>
      </c>
      <c r="M12643" t="s">
        <v>25733</v>
      </c>
      <c r="N12643" t="str">
        <f>"4/23/2019 11:35:00 AM"</f>
        <v>4/23/2019 11:35:00 AM</v>
      </c>
      <c r="O12643" t="s">
        <v>38052</v>
      </c>
    </row>
    <row r="12644" spans="1:20" x14ac:dyDescent="0.25">
      <c r="A12644" t="str">
        <f>"3039725"</f>
        <v>3039725</v>
      </c>
      <c r="B12644" t="s">
        <v>38054</v>
      </c>
      <c r="C12644" t="str">
        <f>"8311321"</f>
        <v>8311321</v>
      </c>
      <c r="D12644" t="s">
        <v>38055</v>
      </c>
      <c r="E12644" t="s">
        <v>38056</v>
      </c>
      <c r="F12644" t="s">
        <v>38057</v>
      </c>
      <c r="I12644" t="s">
        <v>29</v>
      </c>
      <c r="J12644" t="s">
        <v>30</v>
      </c>
      <c r="K12644" t="s">
        <v>34104</v>
      </c>
      <c r="M12644" t="s">
        <v>17861</v>
      </c>
      <c r="N12644" t="str">
        <f>"4/12/2019 1:12:00 PM"</f>
        <v>4/12/2019 1:12:00 PM</v>
      </c>
      <c r="O12644" t="s">
        <v>38055</v>
      </c>
      <c r="T12644" t="s">
        <v>38056</v>
      </c>
    </row>
    <row r="12645" spans="1:20" x14ac:dyDescent="0.25">
      <c r="A12645" t="str">
        <f>"3058789"</f>
        <v>3058789</v>
      </c>
      <c r="B12645" t="s">
        <v>38058</v>
      </c>
      <c r="C12645" t="str">
        <f>"8311322"</f>
        <v>8311322</v>
      </c>
      <c r="D12645" t="s">
        <v>38059</v>
      </c>
      <c r="E12645" t="s">
        <v>38060</v>
      </c>
      <c r="F12645" t="s">
        <v>38061</v>
      </c>
      <c r="I12645" t="s">
        <v>184</v>
      </c>
      <c r="J12645" t="s">
        <v>30</v>
      </c>
      <c r="K12645" t="s">
        <v>38062</v>
      </c>
      <c r="M12645" t="s">
        <v>17861</v>
      </c>
      <c r="N12645" t="str">
        <f>"4/12/2019 1:15:00 PM"</f>
        <v>4/12/2019 1:15:00 PM</v>
      </c>
      <c r="O12645" t="s">
        <v>38059</v>
      </c>
      <c r="T12645" t="s">
        <v>38060</v>
      </c>
    </row>
    <row r="12646" spans="1:20" x14ac:dyDescent="0.25">
      <c r="A12646" t="str">
        <f>"3061255"</f>
        <v>3061255</v>
      </c>
      <c r="B12646" t="s">
        <v>38063</v>
      </c>
      <c r="C12646" t="str">
        <f>"8311325"</f>
        <v>8311325</v>
      </c>
      <c r="D12646" t="s">
        <v>38064</v>
      </c>
      <c r="F12646" t="s">
        <v>38065</v>
      </c>
      <c r="I12646" t="s">
        <v>2071</v>
      </c>
      <c r="J12646" t="s">
        <v>30</v>
      </c>
      <c r="K12646" t="s">
        <v>38066</v>
      </c>
      <c r="M12646" t="s">
        <v>17861</v>
      </c>
      <c r="N12646" t="str">
        <f>"4/15/2019 2:02:00 PM"</f>
        <v>4/15/2019 2:02:00 PM</v>
      </c>
      <c r="O12646" t="s">
        <v>38064</v>
      </c>
    </row>
    <row r="12647" spans="1:20" x14ac:dyDescent="0.25">
      <c r="A12647" t="str">
        <f>"3038221"</f>
        <v>3038221</v>
      </c>
      <c r="B12647" t="s">
        <v>38067</v>
      </c>
      <c r="C12647" t="str">
        <f>"8300758"</f>
        <v>8300758</v>
      </c>
      <c r="D12647" t="s">
        <v>38068</v>
      </c>
      <c r="F12647" t="s">
        <v>38069</v>
      </c>
      <c r="I12647" t="s">
        <v>30550</v>
      </c>
      <c r="J12647" t="s">
        <v>30</v>
      </c>
      <c r="K12647" t="str">
        <f>"28805"</f>
        <v>28805</v>
      </c>
      <c r="M12647" t="s">
        <v>18470</v>
      </c>
      <c r="N12647" t="str">
        <f>"5/9/2019 10:18:00 AM"</f>
        <v>5/9/2019 10:18:00 AM</v>
      </c>
      <c r="O12647" t="s">
        <v>38068</v>
      </c>
    </row>
    <row r="12648" spans="1:20" x14ac:dyDescent="0.25">
      <c r="A12648" t="str">
        <f>"3044827"</f>
        <v>3044827</v>
      </c>
      <c r="B12648" t="s">
        <v>38070</v>
      </c>
      <c r="C12648" t="str">
        <f>"8311326"</f>
        <v>8311326</v>
      </c>
      <c r="D12648" t="s">
        <v>38071</v>
      </c>
      <c r="E12648" t="s">
        <v>38072</v>
      </c>
      <c r="F12648" t="s">
        <v>38073</v>
      </c>
      <c r="I12648" t="s">
        <v>184</v>
      </c>
      <c r="J12648" t="s">
        <v>30</v>
      </c>
      <c r="K12648" t="s">
        <v>33989</v>
      </c>
      <c r="M12648" t="s">
        <v>17861</v>
      </c>
      <c r="N12648" t="str">
        <f>"4/15/2019 2:22:00 PM"</f>
        <v>4/15/2019 2:22:00 PM</v>
      </c>
      <c r="O12648" t="s">
        <v>38071</v>
      </c>
      <c r="T12648" t="s">
        <v>38072</v>
      </c>
    </row>
    <row r="12649" spans="1:20" x14ac:dyDescent="0.25">
      <c r="A12649" t="str">
        <f>"3040581"</f>
        <v>3040581</v>
      </c>
      <c r="B12649" t="s">
        <v>38074</v>
      </c>
      <c r="C12649" t="str">
        <f>"8308537"</f>
        <v>8308537</v>
      </c>
      <c r="D12649" t="s">
        <v>38075</v>
      </c>
      <c r="E12649" t="s">
        <v>38076</v>
      </c>
      <c r="F12649" t="s">
        <v>38077</v>
      </c>
      <c r="I12649" t="s">
        <v>184</v>
      </c>
      <c r="J12649" t="s">
        <v>30</v>
      </c>
      <c r="K12649" t="str">
        <f>"27006"</f>
        <v>27006</v>
      </c>
      <c r="M12649" t="s">
        <v>34475</v>
      </c>
      <c r="N12649" t="str">
        <f>"5/7/2019 10:34:00 AM"</f>
        <v>5/7/2019 10:34:00 AM</v>
      </c>
      <c r="O12649" t="s">
        <v>38075</v>
      </c>
      <c r="T12649" t="s">
        <v>38076</v>
      </c>
    </row>
    <row r="12650" spans="1:20" x14ac:dyDescent="0.25">
      <c r="A12650" t="str">
        <f>"3050335"</f>
        <v>3050335</v>
      </c>
      <c r="B12650" t="s">
        <v>38078</v>
      </c>
      <c r="C12650" t="str">
        <f>"8302351"</f>
        <v>8302351</v>
      </c>
      <c r="D12650" t="s">
        <v>38079</v>
      </c>
      <c r="E12650" t="s">
        <v>38080</v>
      </c>
      <c r="F12650" t="s">
        <v>38081</v>
      </c>
      <c r="I12650" t="s">
        <v>29</v>
      </c>
      <c r="J12650" t="s">
        <v>30</v>
      </c>
      <c r="K12650" t="str">
        <f>"27028"</f>
        <v>27028</v>
      </c>
      <c r="M12650" t="s">
        <v>34475</v>
      </c>
      <c r="N12650" t="str">
        <f>"5/10/2019 3:15:00 PM"</f>
        <v>5/10/2019 3:15:00 PM</v>
      </c>
      <c r="O12650" t="s">
        <v>38079</v>
      </c>
      <c r="T12650" t="s">
        <v>38080</v>
      </c>
    </row>
    <row r="12651" spans="1:20" x14ac:dyDescent="0.25">
      <c r="A12651" t="str">
        <f>"3056933"</f>
        <v>3056933</v>
      </c>
      <c r="B12651" t="s">
        <v>38082</v>
      </c>
      <c r="C12651" t="str">
        <f>"8306660"</f>
        <v>8306660</v>
      </c>
      <c r="D12651" t="s">
        <v>38083</v>
      </c>
      <c r="E12651" t="s">
        <v>38084</v>
      </c>
      <c r="F12651" t="s">
        <v>38085</v>
      </c>
      <c r="I12651" t="s">
        <v>29</v>
      </c>
      <c r="J12651" t="s">
        <v>30</v>
      </c>
      <c r="K12651" t="str">
        <f>"27028"</f>
        <v>27028</v>
      </c>
      <c r="M12651" t="s">
        <v>34475</v>
      </c>
      <c r="N12651" t="str">
        <f>"5/7/2019 10:41:00 AM"</f>
        <v>5/7/2019 10:41:00 AM</v>
      </c>
      <c r="O12651" t="s">
        <v>38083</v>
      </c>
      <c r="T12651" t="s">
        <v>38084</v>
      </c>
    </row>
    <row r="12652" spans="1:20" x14ac:dyDescent="0.25">
      <c r="A12652" t="str">
        <f>"3057968"</f>
        <v>3057968</v>
      </c>
      <c r="B12652" t="s">
        <v>38086</v>
      </c>
      <c r="C12652" t="str">
        <f>"8311407"</f>
        <v>8311407</v>
      </c>
      <c r="D12652" t="s">
        <v>38087</v>
      </c>
      <c r="F12652" t="s">
        <v>38088</v>
      </c>
      <c r="I12652" t="s">
        <v>29</v>
      </c>
      <c r="J12652" t="s">
        <v>30</v>
      </c>
      <c r="K12652" t="s">
        <v>33586</v>
      </c>
      <c r="M12652" t="s">
        <v>17861</v>
      </c>
      <c r="N12652" t="str">
        <f>"5/14/2019 1:02:00 PM"</f>
        <v>5/14/2019 1:02:00 PM</v>
      </c>
      <c r="O12652" t="s">
        <v>38087</v>
      </c>
    </row>
    <row r="12653" spans="1:20" x14ac:dyDescent="0.25">
      <c r="A12653" t="str">
        <f>"3061484"</f>
        <v>3061484</v>
      </c>
      <c r="B12653" t="s">
        <v>38089</v>
      </c>
      <c r="C12653" t="str">
        <f>"8311408"</f>
        <v>8311408</v>
      </c>
      <c r="D12653" t="s">
        <v>38090</v>
      </c>
      <c r="E12653" t="s">
        <v>38091</v>
      </c>
      <c r="F12653" t="s">
        <v>38092</v>
      </c>
      <c r="I12653" t="s">
        <v>184</v>
      </c>
      <c r="J12653" t="s">
        <v>30</v>
      </c>
      <c r="K12653" t="s">
        <v>38093</v>
      </c>
      <c r="M12653" t="s">
        <v>17861</v>
      </c>
      <c r="N12653" t="str">
        <f>"5/14/2019 1:06:00 PM"</f>
        <v>5/14/2019 1:06:00 PM</v>
      </c>
      <c r="O12653" t="s">
        <v>38090</v>
      </c>
      <c r="T12653" t="s">
        <v>38091</v>
      </c>
    </row>
    <row r="12654" spans="1:20" x14ac:dyDescent="0.25">
      <c r="A12654" t="str">
        <f>"3059719"</f>
        <v>3059719</v>
      </c>
      <c r="B12654" t="s">
        <v>38094</v>
      </c>
      <c r="C12654" t="str">
        <f>"8311409"</f>
        <v>8311409</v>
      </c>
      <c r="D12654" t="s">
        <v>38095</v>
      </c>
      <c r="F12654" t="s">
        <v>38096</v>
      </c>
      <c r="I12654" t="s">
        <v>49</v>
      </c>
      <c r="J12654" t="s">
        <v>30</v>
      </c>
      <c r="K12654" t="str">
        <f>"27055"</f>
        <v>27055</v>
      </c>
      <c r="M12654" t="s">
        <v>17861</v>
      </c>
      <c r="N12654" t="str">
        <f>"5/14/2019 1:09:00 PM"</f>
        <v>5/14/2019 1:09:00 PM</v>
      </c>
      <c r="O12654" t="s">
        <v>38095</v>
      </c>
    </row>
    <row r="12655" spans="1:20" x14ac:dyDescent="0.25">
      <c r="A12655" t="str">
        <f>"3039137"</f>
        <v>3039137</v>
      </c>
      <c r="B12655" t="s">
        <v>38097</v>
      </c>
      <c r="C12655" t="str">
        <f>"8311409"</f>
        <v>8311409</v>
      </c>
      <c r="D12655" t="s">
        <v>38095</v>
      </c>
      <c r="F12655" t="s">
        <v>38096</v>
      </c>
      <c r="I12655" t="s">
        <v>49</v>
      </c>
      <c r="J12655" t="s">
        <v>30</v>
      </c>
      <c r="K12655" t="str">
        <f>"27055"</f>
        <v>27055</v>
      </c>
      <c r="M12655" t="s">
        <v>17861</v>
      </c>
      <c r="N12655" t="str">
        <f>"5/14/2019 1:09:00 PM"</f>
        <v>5/14/2019 1:09:00 PM</v>
      </c>
      <c r="O12655" t="s">
        <v>38095</v>
      </c>
    </row>
    <row r="12656" spans="1:20" x14ac:dyDescent="0.25">
      <c r="A12656" t="str">
        <f>"3048095"</f>
        <v>3048095</v>
      </c>
      <c r="B12656" t="s">
        <v>38098</v>
      </c>
      <c r="C12656" t="str">
        <f>"8311413"</f>
        <v>8311413</v>
      </c>
      <c r="D12656" t="s">
        <v>38099</v>
      </c>
      <c r="E12656" t="s">
        <v>23010</v>
      </c>
      <c r="F12656" t="s">
        <v>37935</v>
      </c>
      <c r="I12656" t="s">
        <v>184</v>
      </c>
      <c r="J12656" t="s">
        <v>30</v>
      </c>
      <c r="K12656" t="s">
        <v>37936</v>
      </c>
      <c r="M12656" t="s">
        <v>17861</v>
      </c>
      <c r="N12656" t="str">
        <f>"5/14/2019 2:13:00 PM"</f>
        <v>5/14/2019 2:13:00 PM</v>
      </c>
      <c r="O12656" t="s">
        <v>38099</v>
      </c>
      <c r="T12656" t="s">
        <v>23010</v>
      </c>
    </row>
    <row r="12657" spans="1:20" x14ac:dyDescent="0.25">
      <c r="A12657" t="str">
        <f>"3047871"</f>
        <v>3047871</v>
      </c>
      <c r="B12657" t="s">
        <v>38100</v>
      </c>
      <c r="C12657" t="str">
        <f>"8311413"</f>
        <v>8311413</v>
      </c>
      <c r="D12657" t="s">
        <v>38099</v>
      </c>
      <c r="E12657" t="s">
        <v>23010</v>
      </c>
      <c r="F12657" t="s">
        <v>37935</v>
      </c>
      <c r="I12657" t="s">
        <v>184</v>
      </c>
      <c r="J12657" t="s">
        <v>30</v>
      </c>
      <c r="K12657" t="s">
        <v>37936</v>
      </c>
      <c r="M12657" t="s">
        <v>17861</v>
      </c>
      <c r="N12657" t="str">
        <f>"5/14/2019 2:13:00 PM"</f>
        <v>5/14/2019 2:13:00 PM</v>
      </c>
      <c r="O12657" t="s">
        <v>38099</v>
      </c>
      <c r="T12657" t="s">
        <v>23010</v>
      </c>
    </row>
    <row r="12658" spans="1:20" x14ac:dyDescent="0.25">
      <c r="A12658" t="str">
        <f>"3061009"</f>
        <v>3061009</v>
      </c>
      <c r="B12658" t="s">
        <v>38101</v>
      </c>
      <c r="C12658" t="str">
        <f>"8311414"</f>
        <v>8311414</v>
      </c>
      <c r="D12658" t="s">
        <v>38102</v>
      </c>
      <c r="F12658" t="s">
        <v>38103</v>
      </c>
      <c r="I12658" t="s">
        <v>2071</v>
      </c>
      <c r="J12658" t="s">
        <v>30</v>
      </c>
      <c r="K12658" t="s">
        <v>38104</v>
      </c>
      <c r="M12658" t="s">
        <v>17861</v>
      </c>
      <c r="N12658" t="str">
        <f>"5/14/2019 2:20:00 PM"</f>
        <v>5/14/2019 2:20:00 PM</v>
      </c>
      <c r="O12658" t="s">
        <v>38102</v>
      </c>
    </row>
    <row r="12659" spans="1:20" x14ac:dyDescent="0.25">
      <c r="A12659" t="str">
        <f>"3054677"</f>
        <v>3054677</v>
      </c>
      <c r="B12659" t="s">
        <v>38105</v>
      </c>
      <c r="C12659" t="str">
        <f>"3813250"</f>
        <v>3813250</v>
      </c>
      <c r="D12659" t="s">
        <v>38106</v>
      </c>
      <c r="F12659" t="s">
        <v>38107</v>
      </c>
      <c r="I12659" t="s">
        <v>29</v>
      </c>
      <c r="J12659" t="s">
        <v>30</v>
      </c>
      <c r="K12659" t="s">
        <v>38108</v>
      </c>
      <c r="M12659" t="s">
        <v>34475</v>
      </c>
      <c r="N12659" t="str">
        <f>"5/7/2019 3:21:00 PM"</f>
        <v>5/7/2019 3:21:00 PM</v>
      </c>
      <c r="O12659" t="s">
        <v>38106</v>
      </c>
    </row>
    <row r="12660" spans="1:20" x14ac:dyDescent="0.25">
      <c r="A12660" t="str">
        <f>"3049768"</f>
        <v>3049768</v>
      </c>
      <c r="B12660" t="s">
        <v>38109</v>
      </c>
      <c r="C12660" t="str">
        <f>"8311416"</f>
        <v>8311416</v>
      </c>
      <c r="D12660" t="s">
        <v>38110</v>
      </c>
      <c r="E12660" t="s">
        <v>38111</v>
      </c>
      <c r="F12660" t="s">
        <v>38112</v>
      </c>
      <c r="I12660" t="s">
        <v>29</v>
      </c>
      <c r="J12660" t="s">
        <v>30</v>
      </c>
      <c r="K12660" t="s">
        <v>38113</v>
      </c>
      <c r="M12660" t="s">
        <v>17861</v>
      </c>
      <c r="N12660" t="str">
        <f>"5/14/2019 2:45:00 PM"</f>
        <v>5/14/2019 2:45:00 PM</v>
      </c>
      <c r="O12660" t="s">
        <v>38110</v>
      </c>
      <c r="T12660" t="s">
        <v>38111</v>
      </c>
    </row>
    <row r="12661" spans="1:20" x14ac:dyDescent="0.25">
      <c r="A12661" t="str">
        <f>"3061641"</f>
        <v>3061641</v>
      </c>
      <c r="B12661" t="s">
        <v>38114</v>
      </c>
      <c r="C12661" t="str">
        <f>"8303646"</f>
        <v>8303646</v>
      </c>
      <c r="D12661" t="s">
        <v>38115</v>
      </c>
      <c r="F12661" t="s">
        <v>38116</v>
      </c>
      <c r="I12661" t="s">
        <v>7917</v>
      </c>
      <c r="J12661" t="s">
        <v>30</v>
      </c>
      <c r="K12661" t="str">
        <f>"28117"</f>
        <v>28117</v>
      </c>
      <c r="M12661" t="s">
        <v>33845</v>
      </c>
      <c r="N12661" t="str">
        <f>"4/23/2019 10:38:00 AM"</f>
        <v>4/23/2019 10:38:00 AM</v>
      </c>
      <c r="O12661" t="s">
        <v>38115</v>
      </c>
    </row>
    <row r="12662" spans="1:20" x14ac:dyDescent="0.25">
      <c r="A12662" t="str">
        <f>"3059098"</f>
        <v>3059098</v>
      </c>
      <c r="B12662" t="s">
        <v>38117</v>
      </c>
      <c r="C12662" t="str">
        <f>"8305383"</f>
        <v>8305383</v>
      </c>
      <c r="D12662" t="s">
        <v>38118</v>
      </c>
      <c r="F12662" t="s">
        <v>38119</v>
      </c>
      <c r="I12662" t="s">
        <v>29</v>
      </c>
      <c r="J12662" t="s">
        <v>30</v>
      </c>
      <c r="K12662" t="str">
        <f>"27028"</f>
        <v>27028</v>
      </c>
      <c r="M12662" t="s">
        <v>33845</v>
      </c>
      <c r="N12662" t="str">
        <f>"5/14/2019 2:56:00 PM"</f>
        <v>5/14/2019 2:56:00 PM</v>
      </c>
      <c r="O12662" t="s">
        <v>38118</v>
      </c>
    </row>
    <row r="12663" spans="1:20" x14ac:dyDescent="0.25">
      <c r="A12663" t="str">
        <f>"3061642"</f>
        <v>3061642</v>
      </c>
      <c r="B12663" t="s">
        <v>38120</v>
      </c>
      <c r="C12663" t="str">
        <f>"8303646"</f>
        <v>8303646</v>
      </c>
      <c r="D12663" t="s">
        <v>38115</v>
      </c>
      <c r="F12663" t="s">
        <v>38116</v>
      </c>
      <c r="I12663" t="s">
        <v>7917</v>
      </c>
      <c r="J12663" t="s">
        <v>30</v>
      </c>
      <c r="K12663" t="str">
        <f>"28117"</f>
        <v>28117</v>
      </c>
      <c r="M12663" t="s">
        <v>33845</v>
      </c>
      <c r="N12663" t="str">
        <f>"4/23/2019 10:38:00 AM"</f>
        <v>4/23/2019 10:38:00 AM</v>
      </c>
      <c r="O12663" t="s">
        <v>38115</v>
      </c>
    </row>
    <row r="12664" spans="1:20" x14ac:dyDescent="0.25">
      <c r="A12664" t="str">
        <f>"3062384"</f>
        <v>3062384</v>
      </c>
      <c r="B12664" t="s">
        <v>38121</v>
      </c>
      <c r="C12664" t="str">
        <f>"8303646"</f>
        <v>8303646</v>
      </c>
      <c r="D12664" t="s">
        <v>38115</v>
      </c>
      <c r="F12664" t="s">
        <v>38116</v>
      </c>
      <c r="I12664" t="s">
        <v>7917</v>
      </c>
      <c r="J12664" t="s">
        <v>30</v>
      </c>
      <c r="K12664" t="str">
        <f>"28117"</f>
        <v>28117</v>
      </c>
      <c r="M12664" t="s">
        <v>33845</v>
      </c>
      <c r="N12664" t="str">
        <f>"4/23/2019 10:38:00 AM"</f>
        <v>4/23/2019 10:38:00 AM</v>
      </c>
      <c r="O12664" t="s">
        <v>38115</v>
      </c>
    </row>
    <row r="12665" spans="1:20" x14ac:dyDescent="0.25">
      <c r="A12665" t="str">
        <f>"3059549"</f>
        <v>3059549</v>
      </c>
      <c r="B12665" t="s">
        <v>38122</v>
      </c>
      <c r="C12665" t="str">
        <f>"82515463"</f>
        <v>82515463</v>
      </c>
      <c r="D12665" t="s">
        <v>38123</v>
      </c>
      <c r="F12665" t="s">
        <v>38124</v>
      </c>
      <c r="I12665" t="s">
        <v>29</v>
      </c>
      <c r="J12665" t="s">
        <v>30</v>
      </c>
      <c r="K12665" t="s">
        <v>33302</v>
      </c>
      <c r="M12665" t="s">
        <v>22270</v>
      </c>
      <c r="N12665" t="str">
        <f>"5/8/2019 8:10:00 AM"</f>
        <v>5/8/2019 8:10:00 AM</v>
      </c>
      <c r="O12665" t="s">
        <v>38123</v>
      </c>
    </row>
    <row r="12666" spans="1:20" x14ac:dyDescent="0.25">
      <c r="A12666" t="str">
        <f>"3038714"</f>
        <v>3038714</v>
      </c>
      <c r="B12666" t="s">
        <v>38125</v>
      </c>
      <c r="C12666" t="str">
        <f>"82517394"</f>
        <v>82517394</v>
      </c>
      <c r="D12666" t="s">
        <v>7176</v>
      </c>
      <c r="E12666" t="s">
        <v>38126</v>
      </c>
      <c r="F12666" t="s">
        <v>7177</v>
      </c>
      <c r="I12666" t="s">
        <v>29</v>
      </c>
      <c r="J12666" t="s">
        <v>30</v>
      </c>
      <c r="K12666" t="s">
        <v>7178</v>
      </c>
      <c r="M12666" t="s">
        <v>17861</v>
      </c>
      <c r="N12666" t="str">
        <f>"5/17/2019 8:44:00 AM"</f>
        <v>5/17/2019 8:44:00 AM</v>
      </c>
      <c r="O12666" t="s">
        <v>7176</v>
      </c>
      <c r="T12666" t="s">
        <v>38126</v>
      </c>
    </row>
    <row r="12667" spans="1:20" x14ac:dyDescent="0.25">
      <c r="A12667" t="str">
        <f>"3037938"</f>
        <v>3037938</v>
      </c>
      <c r="B12667" t="s">
        <v>38127</v>
      </c>
      <c r="C12667" t="str">
        <f>"82517394"</f>
        <v>82517394</v>
      </c>
      <c r="D12667" t="s">
        <v>7176</v>
      </c>
      <c r="E12667" t="s">
        <v>38126</v>
      </c>
      <c r="F12667" t="s">
        <v>7177</v>
      </c>
      <c r="I12667" t="s">
        <v>29</v>
      </c>
      <c r="J12667" t="s">
        <v>30</v>
      </c>
      <c r="K12667" t="s">
        <v>7178</v>
      </c>
      <c r="M12667" t="s">
        <v>17861</v>
      </c>
      <c r="N12667" t="str">
        <f>"5/17/2019 8:44:00 AM"</f>
        <v>5/17/2019 8:44:00 AM</v>
      </c>
      <c r="O12667" t="s">
        <v>7176</v>
      </c>
      <c r="T12667" t="s">
        <v>38126</v>
      </c>
    </row>
    <row r="12668" spans="1:20" x14ac:dyDescent="0.25">
      <c r="A12668" t="str">
        <f>"3037899"</f>
        <v>3037899</v>
      </c>
      <c r="B12668" t="s">
        <v>38128</v>
      </c>
      <c r="C12668" t="str">
        <f>"82517394"</f>
        <v>82517394</v>
      </c>
      <c r="D12668" t="s">
        <v>7176</v>
      </c>
      <c r="E12668" t="s">
        <v>38126</v>
      </c>
      <c r="F12668" t="s">
        <v>7177</v>
      </c>
      <c r="I12668" t="s">
        <v>29</v>
      </c>
      <c r="J12668" t="s">
        <v>30</v>
      </c>
      <c r="K12668" t="s">
        <v>7178</v>
      </c>
      <c r="M12668" t="s">
        <v>17861</v>
      </c>
      <c r="N12668" t="str">
        <f>"5/17/2019 8:44:00 AM"</f>
        <v>5/17/2019 8:44:00 AM</v>
      </c>
      <c r="O12668" t="s">
        <v>7176</v>
      </c>
      <c r="T12668" t="s">
        <v>38126</v>
      </c>
    </row>
    <row r="12669" spans="1:20" x14ac:dyDescent="0.25">
      <c r="A12669" t="str">
        <f>"3078925"</f>
        <v>3078925</v>
      </c>
      <c r="B12669" t="s">
        <v>38129</v>
      </c>
      <c r="C12669" t="str">
        <f>"82517394"</f>
        <v>82517394</v>
      </c>
      <c r="D12669" t="s">
        <v>7176</v>
      </c>
      <c r="E12669" t="s">
        <v>38126</v>
      </c>
      <c r="F12669" t="s">
        <v>7177</v>
      </c>
      <c r="I12669" t="s">
        <v>29</v>
      </c>
      <c r="J12669" t="s">
        <v>30</v>
      </c>
      <c r="K12669" t="s">
        <v>7178</v>
      </c>
      <c r="M12669" t="s">
        <v>17861</v>
      </c>
      <c r="N12669" t="str">
        <f>"5/17/2019 8:44:00 AM"</f>
        <v>5/17/2019 8:44:00 AM</v>
      </c>
      <c r="O12669" t="s">
        <v>7176</v>
      </c>
      <c r="T12669" t="s">
        <v>38126</v>
      </c>
    </row>
    <row r="12670" spans="1:20" x14ac:dyDescent="0.25">
      <c r="A12670" t="str">
        <f>"3056079"</f>
        <v>3056079</v>
      </c>
      <c r="B12670" t="s">
        <v>38130</v>
      </c>
      <c r="C12670" t="str">
        <f>"8302516"</f>
        <v>8302516</v>
      </c>
      <c r="D12670" t="s">
        <v>38131</v>
      </c>
      <c r="E12670" t="s">
        <v>38132</v>
      </c>
      <c r="F12670" t="s">
        <v>16794</v>
      </c>
      <c r="I12670" t="s">
        <v>29</v>
      </c>
      <c r="J12670" t="s">
        <v>30</v>
      </c>
      <c r="K12670" t="str">
        <f>"27028"</f>
        <v>27028</v>
      </c>
      <c r="M12670" t="s">
        <v>36935</v>
      </c>
      <c r="N12670" t="str">
        <f>"4/23/2019 4:19:00 PM"</f>
        <v>4/23/2019 4:19:00 PM</v>
      </c>
      <c r="O12670" t="s">
        <v>38131</v>
      </c>
      <c r="T12670" t="s">
        <v>38132</v>
      </c>
    </row>
    <row r="12671" spans="1:20" x14ac:dyDescent="0.25">
      <c r="A12671" t="str">
        <f>"3063933"</f>
        <v>3063933</v>
      </c>
      <c r="B12671" t="s">
        <v>38133</v>
      </c>
      <c r="C12671" t="str">
        <f>"8311437"</f>
        <v>8311437</v>
      </c>
      <c r="D12671" t="s">
        <v>38134</v>
      </c>
      <c r="F12671" t="s">
        <v>38135</v>
      </c>
      <c r="I12671" t="s">
        <v>184</v>
      </c>
      <c r="J12671" t="s">
        <v>30</v>
      </c>
      <c r="K12671" t="s">
        <v>33680</v>
      </c>
      <c r="M12671" t="s">
        <v>17861</v>
      </c>
      <c r="N12671" t="str">
        <f>"5/17/2019 1:41:00 PM"</f>
        <v>5/17/2019 1:41:00 PM</v>
      </c>
      <c r="O12671" t="s">
        <v>38134</v>
      </c>
    </row>
    <row r="12672" spans="1:20" x14ac:dyDescent="0.25">
      <c r="A12672" t="str">
        <f>"3060491"</f>
        <v>3060491</v>
      </c>
      <c r="B12672" t="s">
        <v>38136</v>
      </c>
      <c r="C12672" t="str">
        <f>"8311439"</f>
        <v>8311439</v>
      </c>
      <c r="D12672" t="s">
        <v>38137</v>
      </c>
      <c r="E12672" t="s">
        <v>38138</v>
      </c>
      <c r="F12672" t="s">
        <v>38139</v>
      </c>
      <c r="I12672" t="s">
        <v>184</v>
      </c>
      <c r="J12672" t="s">
        <v>30</v>
      </c>
      <c r="K12672" t="s">
        <v>9158</v>
      </c>
      <c r="M12672" t="s">
        <v>17861</v>
      </c>
      <c r="N12672" t="str">
        <f>"5/17/2019 1:51:00 PM"</f>
        <v>5/17/2019 1:51:00 PM</v>
      </c>
      <c r="O12672" t="s">
        <v>38137</v>
      </c>
      <c r="T12672" t="s">
        <v>38138</v>
      </c>
    </row>
    <row r="12673" spans="1:20" x14ac:dyDescent="0.25">
      <c r="A12673" t="str">
        <f>"3044877"</f>
        <v>3044877</v>
      </c>
      <c r="B12673" t="s">
        <v>38140</v>
      </c>
      <c r="C12673" t="str">
        <f>"8311440"</f>
        <v>8311440</v>
      </c>
      <c r="D12673" t="s">
        <v>38141</v>
      </c>
      <c r="E12673" t="s">
        <v>38142</v>
      </c>
      <c r="F12673" t="s">
        <v>38143</v>
      </c>
      <c r="I12673" t="s">
        <v>184</v>
      </c>
      <c r="J12673" t="s">
        <v>30</v>
      </c>
      <c r="K12673" t="s">
        <v>5608</v>
      </c>
      <c r="M12673" t="s">
        <v>17861</v>
      </c>
      <c r="N12673" t="str">
        <f>"5/17/2019 3:04:00 PM"</f>
        <v>5/17/2019 3:04:00 PM</v>
      </c>
      <c r="O12673" t="s">
        <v>38141</v>
      </c>
      <c r="T12673" t="s">
        <v>38142</v>
      </c>
    </row>
    <row r="12674" spans="1:20" x14ac:dyDescent="0.25">
      <c r="A12674" t="str">
        <f>"3060260"</f>
        <v>3060260</v>
      </c>
      <c r="B12674" t="s">
        <v>38144</v>
      </c>
      <c r="C12674" t="str">
        <f>"8311441"</f>
        <v>8311441</v>
      </c>
      <c r="D12674" t="s">
        <v>38145</v>
      </c>
      <c r="F12674" t="s">
        <v>38146</v>
      </c>
      <c r="I12674" t="s">
        <v>184</v>
      </c>
      <c r="J12674" t="s">
        <v>30</v>
      </c>
      <c r="K12674" t="s">
        <v>38147</v>
      </c>
      <c r="M12674" t="s">
        <v>17861</v>
      </c>
      <c r="N12674" t="str">
        <f>"5/17/2019 3:32:00 PM"</f>
        <v>5/17/2019 3:32:00 PM</v>
      </c>
      <c r="O12674" t="s">
        <v>38145</v>
      </c>
    </row>
    <row r="12675" spans="1:20" x14ac:dyDescent="0.25">
      <c r="A12675" t="str">
        <f>"3054539"</f>
        <v>3054539</v>
      </c>
      <c r="B12675" t="s">
        <v>38148</v>
      </c>
      <c r="C12675" t="str">
        <f>"8311444"</f>
        <v>8311444</v>
      </c>
      <c r="D12675" t="s">
        <v>38149</v>
      </c>
      <c r="E12675" t="s">
        <v>38150</v>
      </c>
      <c r="F12675" t="s">
        <v>38151</v>
      </c>
      <c r="I12675" t="s">
        <v>29</v>
      </c>
      <c r="J12675" t="s">
        <v>30</v>
      </c>
      <c r="K12675" t="s">
        <v>22874</v>
      </c>
      <c r="M12675" t="s">
        <v>17861</v>
      </c>
      <c r="N12675" t="str">
        <f>"5/17/2019 4:01:00 PM"</f>
        <v>5/17/2019 4:01:00 PM</v>
      </c>
      <c r="O12675" t="s">
        <v>38149</v>
      </c>
      <c r="T12675" t="s">
        <v>38150</v>
      </c>
    </row>
    <row r="12676" spans="1:20" x14ac:dyDescent="0.25">
      <c r="A12676" t="str">
        <f>"3044997"</f>
        <v>3044997</v>
      </c>
      <c r="B12676" t="s">
        <v>38152</v>
      </c>
      <c r="C12676" t="str">
        <f>"8311445"</f>
        <v>8311445</v>
      </c>
      <c r="D12676" t="s">
        <v>38153</v>
      </c>
      <c r="E12676" t="s">
        <v>38154</v>
      </c>
      <c r="F12676" t="s">
        <v>38155</v>
      </c>
      <c r="I12676" t="s">
        <v>29</v>
      </c>
      <c r="J12676" t="s">
        <v>30</v>
      </c>
      <c r="K12676" t="s">
        <v>8081</v>
      </c>
      <c r="M12676" t="s">
        <v>17861</v>
      </c>
      <c r="N12676" t="str">
        <f>"5/20/2019 10:01:00 AM"</f>
        <v>5/20/2019 10:01:00 AM</v>
      </c>
      <c r="O12676" t="s">
        <v>38153</v>
      </c>
      <c r="T12676" t="s">
        <v>38154</v>
      </c>
    </row>
    <row r="12677" spans="1:20" x14ac:dyDescent="0.25">
      <c r="A12677" t="str">
        <f>"3042250"</f>
        <v>3042250</v>
      </c>
      <c r="B12677" t="s">
        <v>38156</v>
      </c>
      <c r="C12677" t="str">
        <f>"8311348"</f>
        <v>8311348</v>
      </c>
      <c r="D12677" t="s">
        <v>38157</v>
      </c>
      <c r="E12677" t="s">
        <v>38158</v>
      </c>
      <c r="F12677" t="s">
        <v>38159</v>
      </c>
      <c r="I12677" t="s">
        <v>29</v>
      </c>
      <c r="J12677" t="s">
        <v>30</v>
      </c>
      <c r="K12677" t="s">
        <v>38160</v>
      </c>
      <c r="M12677" t="s">
        <v>17861</v>
      </c>
      <c r="N12677" t="str">
        <f>"4/24/2019 9:29:00 AM"</f>
        <v>4/24/2019 9:29:00 AM</v>
      </c>
      <c r="O12677" t="s">
        <v>38157</v>
      </c>
      <c r="T12677" t="s">
        <v>38158</v>
      </c>
    </row>
    <row r="12678" spans="1:20" x14ac:dyDescent="0.25">
      <c r="A12678" t="str">
        <f>"3050479"</f>
        <v>3050479</v>
      </c>
      <c r="B12678" t="s">
        <v>38161</v>
      </c>
      <c r="C12678" t="str">
        <f>"8311449"</f>
        <v>8311449</v>
      </c>
      <c r="D12678" t="s">
        <v>38162</v>
      </c>
      <c r="E12678" t="s">
        <v>38163</v>
      </c>
      <c r="F12678" t="s">
        <v>38164</v>
      </c>
      <c r="I12678" t="s">
        <v>184</v>
      </c>
      <c r="J12678" t="s">
        <v>30</v>
      </c>
      <c r="K12678" t="s">
        <v>34562</v>
      </c>
      <c r="M12678" t="s">
        <v>17861</v>
      </c>
      <c r="N12678" t="str">
        <f>"5/20/2019 1:45:00 PM"</f>
        <v>5/20/2019 1:45:00 PM</v>
      </c>
      <c r="O12678" t="s">
        <v>38162</v>
      </c>
      <c r="T12678" t="s">
        <v>38163</v>
      </c>
    </row>
    <row r="12679" spans="1:20" x14ac:dyDescent="0.25">
      <c r="A12679" t="str">
        <f>"3047773"</f>
        <v>3047773</v>
      </c>
      <c r="B12679" t="s">
        <v>38165</v>
      </c>
      <c r="C12679" t="str">
        <f>"8311450"</f>
        <v>8311450</v>
      </c>
      <c r="D12679" t="str">
        <f>"ALOI JOSEPH A/ANNE TRUSTEES"</f>
        <v>ALOI JOSEPH A/ANNE TRUSTEES</v>
      </c>
      <c r="E12679" t="str">
        <f>"JOS A/ANNE ALOI REV TRUST"</f>
        <v>JOS A/ANNE ALOI REV TRUST</v>
      </c>
      <c r="F12679" t="s">
        <v>38166</v>
      </c>
      <c r="I12679" t="s">
        <v>184</v>
      </c>
      <c r="J12679" t="s">
        <v>30</v>
      </c>
      <c r="K12679" t="s">
        <v>38167</v>
      </c>
      <c r="M12679" t="s">
        <v>17861</v>
      </c>
      <c r="N12679" t="str">
        <f>"5/20/2019 2:15:00 PM"</f>
        <v>5/20/2019 2:15:00 PM</v>
      </c>
      <c r="O12679" t="str">
        <f>"ALOI JOSEPH A/ANNE TRUSTEES"</f>
        <v>ALOI JOSEPH A/ANNE TRUSTEES</v>
      </c>
      <c r="T12679" t="str">
        <f>"JOS A/ANNE ALOI REV TRUST"</f>
        <v>JOS A/ANNE ALOI REV TRUST</v>
      </c>
    </row>
    <row r="12680" spans="1:20" x14ac:dyDescent="0.25">
      <c r="A12680" t="str">
        <f>"3040504"</f>
        <v>3040504</v>
      </c>
      <c r="B12680" t="s">
        <v>38168</v>
      </c>
      <c r="C12680" t="str">
        <f>"8311350"</f>
        <v>8311350</v>
      </c>
      <c r="D12680" t="s">
        <v>38169</v>
      </c>
      <c r="E12680" t="s">
        <v>38170</v>
      </c>
      <c r="F12680" t="s">
        <v>38171</v>
      </c>
      <c r="I12680" t="s">
        <v>184</v>
      </c>
      <c r="J12680" t="s">
        <v>30</v>
      </c>
      <c r="K12680" t="s">
        <v>2088</v>
      </c>
      <c r="M12680" t="s">
        <v>17861</v>
      </c>
      <c r="N12680" t="str">
        <f>"4/24/2019 9:45:00 AM"</f>
        <v>4/24/2019 9:45:00 AM</v>
      </c>
      <c r="O12680" t="s">
        <v>38169</v>
      </c>
      <c r="T12680" t="s">
        <v>38170</v>
      </c>
    </row>
    <row r="12681" spans="1:20" x14ac:dyDescent="0.25">
      <c r="A12681" t="str">
        <f>"3041414"</f>
        <v>3041414</v>
      </c>
      <c r="B12681" t="s">
        <v>38172</v>
      </c>
      <c r="C12681" t="str">
        <f>"8311356"</f>
        <v>8311356</v>
      </c>
      <c r="D12681" t="s">
        <v>38173</v>
      </c>
      <c r="E12681" t="s">
        <v>38174</v>
      </c>
      <c r="F12681" t="s">
        <v>38175</v>
      </c>
      <c r="I12681" t="s">
        <v>184</v>
      </c>
      <c r="J12681" t="s">
        <v>30</v>
      </c>
      <c r="K12681" t="s">
        <v>38176</v>
      </c>
      <c r="M12681" t="s">
        <v>17861</v>
      </c>
      <c r="N12681" t="str">
        <f>"4/24/2019 10:48:00 AM"</f>
        <v>4/24/2019 10:48:00 AM</v>
      </c>
      <c r="O12681" t="s">
        <v>38173</v>
      </c>
      <c r="T12681" t="s">
        <v>38174</v>
      </c>
    </row>
    <row r="12682" spans="1:20" x14ac:dyDescent="0.25">
      <c r="A12682" t="str">
        <f>"3040836"</f>
        <v>3040836</v>
      </c>
      <c r="B12682" t="s">
        <v>38177</v>
      </c>
      <c r="C12682" t="str">
        <f>"8311457"</f>
        <v>8311457</v>
      </c>
      <c r="D12682" t="s">
        <v>38178</v>
      </c>
      <c r="E12682" t="s">
        <v>38179</v>
      </c>
      <c r="F12682" t="s">
        <v>38180</v>
      </c>
      <c r="I12682" t="s">
        <v>184</v>
      </c>
      <c r="J12682" t="s">
        <v>30</v>
      </c>
      <c r="K12682" t="s">
        <v>38181</v>
      </c>
      <c r="M12682" t="s">
        <v>17861</v>
      </c>
      <c r="N12682" t="str">
        <f>"5/20/2019 4:06:00 PM"</f>
        <v>5/20/2019 4:06:00 PM</v>
      </c>
      <c r="O12682" t="s">
        <v>38178</v>
      </c>
      <c r="T12682" t="s">
        <v>38179</v>
      </c>
    </row>
    <row r="12683" spans="1:20" x14ac:dyDescent="0.25">
      <c r="A12683" t="str">
        <f>"3062561"</f>
        <v>3062561</v>
      </c>
      <c r="B12683" t="s">
        <v>38182</v>
      </c>
      <c r="C12683" t="str">
        <f>"8311462"</f>
        <v>8311462</v>
      </c>
      <c r="D12683" t="s">
        <v>38183</v>
      </c>
      <c r="E12683" t="s">
        <v>38184</v>
      </c>
      <c r="F12683" t="s">
        <v>38185</v>
      </c>
      <c r="I12683" t="s">
        <v>184</v>
      </c>
      <c r="J12683" t="s">
        <v>30</v>
      </c>
      <c r="K12683" t="s">
        <v>2097</v>
      </c>
      <c r="M12683" t="s">
        <v>17861</v>
      </c>
      <c r="N12683" t="str">
        <f>"5/21/2019 9:50:00 AM"</f>
        <v>5/21/2019 9:50:00 AM</v>
      </c>
      <c r="O12683" t="s">
        <v>38183</v>
      </c>
      <c r="T12683" t="s">
        <v>38184</v>
      </c>
    </row>
    <row r="12684" spans="1:20" x14ac:dyDescent="0.25">
      <c r="A12684" t="str">
        <f>"3052006"</f>
        <v>3052006</v>
      </c>
      <c r="B12684" t="s">
        <v>38186</v>
      </c>
      <c r="C12684" t="str">
        <f>"8311463"</f>
        <v>8311463</v>
      </c>
      <c r="D12684" t="s">
        <v>38187</v>
      </c>
      <c r="E12684" t="s">
        <v>38188</v>
      </c>
      <c r="F12684" t="s">
        <v>38189</v>
      </c>
      <c r="I12684" t="s">
        <v>29</v>
      </c>
      <c r="J12684" t="s">
        <v>30</v>
      </c>
      <c r="K12684" t="s">
        <v>29862</v>
      </c>
      <c r="M12684" t="s">
        <v>17861</v>
      </c>
      <c r="N12684" t="str">
        <f>"5/21/2019 9:55:00 AM"</f>
        <v>5/21/2019 9:55:00 AM</v>
      </c>
      <c r="O12684" t="s">
        <v>38187</v>
      </c>
      <c r="T12684" t="s">
        <v>38188</v>
      </c>
    </row>
    <row r="12685" spans="1:20" x14ac:dyDescent="0.25">
      <c r="A12685" t="str">
        <f>"3041369"</f>
        <v>3041369</v>
      </c>
      <c r="B12685" t="s">
        <v>38190</v>
      </c>
      <c r="C12685" t="str">
        <f>"8311464"</f>
        <v>8311464</v>
      </c>
      <c r="D12685" t="s">
        <v>38191</v>
      </c>
      <c r="F12685" t="s">
        <v>38192</v>
      </c>
      <c r="I12685" t="s">
        <v>184</v>
      </c>
      <c r="J12685" t="s">
        <v>30</v>
      </c>
      <c r="K12685" t="s">
        <v>2200</v>
      </c>
      <c r="M12685" t="s">
        <v>17861</v>
      </c>
      <c r="N12685" t="str">
        <f>"5/21/2019 9:58:00 AM"</f>
        <v>5/21/2019 9:58:00 AM</v>
      </c>
      <c r="O12685" t="s">
        <v>38191</v>
      </c>
    </row>
    <row r="12686" spans="1:20" x14ac:dyDescent="0.25">
      <c r="A12686" t="str">
        <f>"3061267"</f>
        <v>3061267</v>
      </c>
      <c r="B12686" t="s">
        <v>38193</v>
      </c>
      <c r="C12686" t="str">
        <f>"8311466"</f>
        <v>8311466</v>
      </c>
      <c r="D12686" t="s">
        <v>38194</v>
      </c>
      <c r="E12686" t="s">
        <v>38195</v>
      </c>
      <c r="F12686" t="s">
        <v>38196</v>
      </c>
      <c r="I12686" t="s">
        <v>2071</v>
      </c>
      <c r="J12686" t="s">
        <v>30</v>
      </c>
      <c r="K12686" t="s">
        <v>38066</v>
      </c>
      <c r="M12686" t="s">
        <v>17861</v>
      </c>
      <c r="N12686" t="str">
        <f>"5/21/2019 10:01:00 AM"</f>
        <v>5/21/2019 10:01:00 AM</v>
      </c>
      <c r="O12686" t="s">
        <v>38194</v>
      </c>
      <c r="T12686" t="s">
        <v>38195</v>
      </c>
    </row>
    <row r="12687" spans="1:20" x14ac:dyDescent="0.25">
      <c r="A12687" t="str">
        <f>"3058773"</f>
        <v>3058773</v>
      </c>
      <c r="B12687" t="s">
        <v>38197</v>
      </c>
      <c r="C12687" t="str">
        <f>"8311467"</f>
        <v>8311467</v>
      </c>
      <c r="D12687" t="s">
        <v>38198</v>
      </c>
      <c r="E12687" t="s">
        <v>38199</v>
      </c>
      <c r="F12687" t="s">
        <v>38200</v>
      </c>
      <c r="I12687" t="s">
        <v>29</v>
      </c>
      <c r="J12687" t="s">
        <v>30</v>
      </c>
      <c r="K12687" t="s">
        <v>11912</v>
      </c>
      <c r="M12687" t="s">
        <v>17861</v>
      </c>
      <c r="N12687" t="str">
        <f>"5/21/2019 10:11:00 AM"</f>
        <v>5/21/2019 10:11:00 AM</v>
      </c>
      <c r="O12687" t="s">
        <v>38198</v>
      </c>
      <c r="T12687" t="s">
        <v>38199</v>
      </c>
    </row>
    <row r="12688" spans="1:20" x14ac:dyDescent="0.25">
      <c r="A12688" t="str">
        <f>"3048604"</f>
        <v>3048604</v>
      </c>
      <c r="B12688" t="s">
        <v>38201</v>
      </c>
      <c r="C12688" t="str">
        <f>"8304191"</f>
        <v>8304191</v>
      </c>
      <c r="D12688" t="s">
        <v>38202</v>
      </c>
      <c r="E12688" t="s">
        <v>38203</v>
      </c>
      <c r="F12688" t="s">
        <v>38204</v>
      </c>
      <c r="I12688" t="s">
        <v>184</v>
      </c>
      <c r="J12688" t="s">
        <v>30</v>
      </c>
      <c r="K12688" t="str">
        <f>"27006"</f>
        <v>27006</v>
      </c>
      <c r="M12688" t="s">
        <v>18479</v>
      </c>
      <c r="N12688" t="str">
        <f>"4/25/2019 10:16:00 AM"</f>
        <v>4/25/2019 10:16:00 AM</v>
      </c>
      <c r="O12688" t="s">
        <v>38202</v>
      </c>
      <c r="T12688" t="s">
        <v>38203</v>
      </c>
    </row>
    <row r="12689" spans="1:20" x14ac:dyDescent="0.25">
      <c r="A12689" t="str">
        <f>"3062922"</f>
        <v>3062922</v>
      </c>
      <c r="B12689" t="s">
        <v>38205</v>
      </c>
      <c r="C12689" t="str">
        <f>"8310751"</f>
        <v>8310751</v>
      </c>
      <c r="D12689" t="s">
        <v>38206</v>
      </c>
      <c r="E12689" t="s">
        <v>38207</v>
      </c>
      <c r="F12689" t="s">
        <v>38208</v>
      </c>
      <c r="I12689" t="s">
        <v>29</v>
      </c>
      <c r="J12689" t="s">
        <v>30</v>
      </c>
      <c r="K12689" t="s">
        <v>38209</v>
      </c>
      <c r="M12689" t="s">
        <v>18479</v>
      </c>
      <c r="N12689" t="str">
        <f>"5/21/2019 10:46:00 AM"</f>
        <v>5/21/2019 10:46:00 AM</v>
      </c>
      <c r="O12689" t="s">
        <v>38206</v>
      </c>
      <c r="T12689" t="s">
        <v>38207</v>
      </c>
    </row>
    <row r="12690" spans="1:20" x14ac:dyDescent="0.25">
      <c r="A12690" t="str">
        <f>"3040544"</f>
        <v>3040544</v>
      </c>
      <c r="B12690" t="s">
        <v>38210</v>
      </c>
      <c r="C12690" t="str">
        <f>"8311475"</f>
        <v>8311475</v>
      </c>
      <c r="D12690" t="s">
        <v>38211</v>
      </c>
      <c r="F12690" t="s">
        <v>38212</v>
      </c>
      <c r="I12690" t="s">
        <v>184</v>
      </c>
      <c r="J12690" t="s">
        <v>30</v>
      </c>
      <c r="K12690" t="s">
        <v>20128</v>
      </c>
      <c r="M12690" t="s">
        <v>17861</v>
      </c>
      <c r="N12690" t="str">
        <f>"5/21/2019 12:36:00 PM"</f>
        <v>5/21/2019 12:36:00 PM</v>
      </c>
      <c r="O12690" t="s">
        <v>38211</v>
      </c>
    </row>
    <row r="12691" spans="1:20" x14ac:dyDescent="0.25">
      <c r="A12691" t="str">
        <f>"3060012"</f>
        <v>3060012</v>
      </c>
      <c r="B12691" t="s">
        <v>38213</v>
      </c>
      <c r="C12691" t="str">
        <f>"8311477"</f>
        <v>8311477</v>
      </c>
      <c r="D12691" t="str">
        <f>"BAREFOOT KEVIN W/CARLYNN J TRUSTEES"</f>
        <v>BAREFOOT KEVIN W/CARLYNN J TRUSTEES</v>
      </c>
      <c r="E12691" t="s">
        <v>38214</v>
      </c>
      <c r="F12691" t="s">
        <v>38215</v>
      </c>
      <c r="I12691" t="s">
        <v>184</v>
      </c>
      <c r="J12691" t="s">
        <v>30</v>
      </c>
      <c r="K12691" t="s">
        <v>38216</v>
      </c>
      <c r="M12691" t="s">
        <v>17861</v>
      </c>
      <c r="N12691" t="str">
        <f>"5/21/2019 12:44:00 PM"</f>
        <v>5/21/2019 12:44:00 PM</v>
      </c>
      <c r="O12691" t="str">
        <f>"BAREFOOT KEVIN W/CARLYNN J TRUSTEES"</f>
        <v>BAREFOOT KEVIN W/CARLYNN J TRUSTEES</v>
      </c>
      <c r="T12691" t="s">
        <v>38214</v>
      </c>
    </row>
    <row r="12692" spans="1:20" x14ac:dyDescent="0.25">
      <c r="A12692" t="str">
        <f>"3057394"</f>
        <v>3057394</v>
      </c>
      <c r="B12692" t="s">
        <v>38217</v>
      </c>
      <c r="C12692" t="str">
        <f>"8311478"</f>
        <v>8311478</v>
      </c>
      <c r="D12692" t="str">
        <f>"RICHARDSON ROBERT/JENNIFER"</f>
        <v>RICHARDSON ROBERT/JENNIFER</v>
      </c>
      <c r="E12692" t="str">
        <f>"BAREFOOT KEVIN/CARLYNN TRUSTEE"</f>
        <v>BAREFOOT KEVIN/CARLYNN TRUSTEE</v>
      </c>
      <c r="F12692" t="s">
        <v>32140</v>
      </c>
      <c r="I12692" t="s">
        <v>184</v>
      </c>
      <c r="J12692" t="s">
        <v>30</v>
      </c>
      <c r="K12692" t="s">
        <v>38216</v>
      </c>
      <c r="M12692" t="s">
        <v>17861</v>
      </c>
      <c r="N12692" t="str">
        <f>"5/21/2019 12:49:00 PM"</f>
        <v>5/21/2019 12:49:00 PM</v>
      </c>
      <c r="O12692" t="str">
        <f>"RICHARDSON ROBERT/JENNIFER"</f>
        <v>RICHARDSON ROBERT/JENNIFER</v>
      </c>
      <c r="T12692" t="str">
        <f>"BAREFOOT KEVIN/CARLYNN TRUSTEE"</f>
        <v>BAREFOOT KEVIN/CARLYNN TRUSTEE</v>
      </c>
    </row>
    <row r="12693" spans="1:20" x14ac:dyDescent="0.25">
      <c r="A12693" t="str">
        <f>"3042829"</f>
        <v>3042829</v>
      </c>
      <c r="B12693" t="s">
        <v>38218</v>
      </c>
      <c r="C12693" t="str">
        <f>"8301235"</f>
        <v>8301235</v>
      </c>
      <c r="D12693" t="s">
        <v>38219</v>
      </c>
      <c r="E12693" t="s">
        <v>38220</v>
      </c>
      <c r="F12693" t="s">
        <v>38221</v>
      </c>
      <c r="I12693" t="s">
        <v>29</v>
      </c>
      <c r="J12693" t="s">
        <v>30</v>
      </c>
      <c r="K12693" t="str">
        <f>"27028"</f>
        <v>27028</v>
      </c>
      <c r="M12693" t="s">
        <v>17861</v>
      </c>
      <c r="N12693" t="str">
        <f>"5/21/2019 4:24:00 PM"</f>
        <v>5/21/2019 4:24:00 PM</v>
      </c>
      <c r="O12693" t="s">
        <v>38219</v>
      </c>
      <c r="T12693" t="s">
        <v>38220</v>
      </c>
    </row>
    <row r="12694" spans="1:20" x14ac:dyDescent="0.25">
      <c r="A12694" t="str">
        <f>"3048382"</f>
        <v>3048382</v>
      </c>
      <c r="B12694" t="s">
        <v>38222</v>
      </c>
      <c r="C12694" t="str">
        <f>"8304191"</f>
        <v>8304191</v>
      </c>
      <c r="D12694" t="s">
        <v>38202</v>
      </c>
      <c r="E12694" t="s">
        <v>38203</v>
      </c>
      <c r="F12694" t="s">
        <v>38204</v>
      </c>
      <c r="I12694" t="s">
        <v>184</v>
      </c>
      <c r="J12694" t="s">
        <v>30</v>
      </c>
      <c r="K12694" t="str">
        <f>"27006"</f>
        <v>27006</v>
      </c>
      <c r="M12694" t="s">
        <v>18479</v>
      </c>
      <c r="N12694" t="str">
        <f>"4/25/2019 10:16:00 AM"</f>
        <v>4/25/2019 10:16:00 AM</v>
      </c>
      <c r="O12694" t="s">
        <v>38202</v>
      </c>
      <c r="T12694" t="s">
        <v>38203</v>
      </c>
    </row>
    <row r="12695" spans="1:20" x14ac:dyDescent="0.25">
      <c r="A12695" t="str">
        <f>"3041233"</f>
        <v>3041233</v>
      </c>
      <c r="B12695" t="s">
        <v>38223</v>
      </c>
      <c r="C12695" t="str">
        <f>"8305984"</f>
        <v>8305984</v>
      </c>
      <c r="D12695" t="s">
        <v>38224</v>
      </c>
      <c r="E12695" t="s">
        <v>38225</v>
      </c>
      <c r="F12695" t="s">
        <v>38226</v>
      </c>
      <c r="I12695" t="s">
        <v>2071</v>
      </c>
      <c r="J12695" t="s">
        <v>30</v>
      </c>
      <c r="K12695" t="str">
        <f>"27006"</f>
        <v>27006</v>
      </c>
      <c r="M12695" t="s">
        <v>17861</v>
      </c>
      <c r="N12695" t="str">
        <f>"4/25/2019 11:15:00 AM"</f>
        <v>4/25/2019 11:15:00 AM</v>
      </c>
      <c r="O12695" t="s">
        <v>38224</v>
      </c>
      <c r="T12695" t="s">
        <v>38225</v>
      </c>
    </row>
    <row r="12696" spans="1:20" x14ac:dyDescent="0.25">
      <c r="A12696" t="str">
        <f>"3049839"</f>
        <v>3049839</v>
      </c>
      <c r="B12696" t="s">
        <v>38227</v>
      </c>
      <c r="C12696" t="str">
        <f>"8311362"</f>
        <v>8311362</v>
      </c>
      <c r="D12696" t="s">
        <v>38228</v>
      </c>
      <c r="E12696" t="s">
        <v>38229</v>
      </c>
      <c r="F12696" t="s">
        <v>38230</v>
      </c>
      <c r="I12696" t="s">
        <v>29</v>
      </c>
      <c r="J12696" t="s">
        <v>30</v>
      </c>
      <c r="K12696" t="s">
        <v>10252</v>
      </c>
      <c r="M12696" t="s">
        <v>17861</v>
      </c>
      <c r="N12696" t="str">
        <f>"4/25/2019 3:41:00 PM"</f>
        <v>4/25/2019 3:41:00 PM</v>
      </c>
      <c r="O12696" t="s">
        <v>38228</v>
      </c>
      <c r="T12696" t="s">
        <v>38229</v>
      </c>
    </row>
    <row r="12697" spans="1:20" x14ac:dyDescent="0.25">
      <c r="A12697" t="str">
        <f>"3047932"</f>
        <v>3047932</v>
      </c>
      <c r="B12697" t="s">
        <v>38231</v>
      </c>
      <c r="C12697" t="str">
        <f>"8311484"</f>
        <v>8311484</v>
      </c>
      <c r="D12697" t="s">
        <v>7677</v>
      </c>
      <c r="F12697" t="s">
        <v>38232</v>
      </c>
      <c r="I12697" t="s">
        <v>184</v>
      </c>
      <c r="J12697" t="s">
        <v>30</v>
      </c>
      <c r="K12697" t="s">
        <v>7679</v>
      </c>
      <c r="M12697" t="s">
        <v>17861</v>
      </c>
      <c r="N12697" t="str">
        <f>"5/24/2019 1:32:00 PM"</f>
        <v>5/24/2019 1:32:00 PM</v>
      </c>
      <c r="O12697" t="s">
        <v>7677</v>
      </c>
    </row>
    <row r="12698" spans="1:20" x14ac:dyDescent="0.25">
      <c r="A12698" t="str">
        <f>"3040125"</f>
        <v>3040125</v>
      </c>
      <c r="B12698" t="s">
        <v>38233</v>
      </c>
      <c r="C12698" t="str">
        <f>"8306441"</f>
        <v>8306441</v>
      </c>
      <c r="D12698" t="str">
        <f>"MILLER ROBERT LEE SR/ANN B TRU"</f>
        <v>MILLER ROBERT LEE SR/ANN B TRU</v>
      </c>
      <c r="E12698" t="s">
        <v>38234</v>
      </c>
      <c r="F12698" t="s">
        <v>38235</v>
      </c>
      <c r="I12698" t="s">
        <v>38236</v>
      </c>
      <c r="J12698" t="s">
        <v>1543</v>
      </c>
      <c r="K12698" t="str">
        <f>"17331"</f>
        <v>17331</v>
      </c>
      <c r="M12698" t="s">
        <v>17861</v>
      </c>
      <c r="N12698" t="str">
        <f>"5/24/2019 2:09:00 PM"</f>
        <v>5/24/2019 2:09:00 PM</v>
      </c>
      <c r="O12698" t="str">
        <f>"MILLER ROBERT LEE SR/ANN B TRU"</f>
        <v>MILLER ROBERT LEE SR/ANN B TRU</v>
      </c>
      <c r="T12698" t="s">
        <v>38234</v>
      </c>
    </row>
    <row r="12699" spans="1:20" x14ac:dyDescent="0.25">
      <c r="A12699" t="str">
        <f>"3039288"</f>
        <v>3039288</v>
      </c>
      <c r="B12699" t="s">
        <v>38237</v>
      </c>
      <c r="C12699" t="str">
        <f>"8306441"</f>
        <v>8306441</v>
      </c>
      <c r="D12699" t="str">
        <f>"MILLER ROBERT LEE SR/ANN B TRU"</f>
        <v>MILLER ROBERT LEE SR/ANN B TRU</v>
      </c>
      <c r="E12699" t="s">
        <v>38234</v>
      </c>
      <c r="F12699" t="s">
        <v>38235</v>
      </c>
      <c r="I12699" t="s">
        <v>38236</v>
      </c>
      <c r="J12699" t="s">
        <v>1543</v>
      </c>
      <c r="K12699" t="str">
        <f>"17331"</f>
        <v>17331</v>
      </c>
      <c r="M12699" t="s">
        <v>17861</v>
      </c>
      <c r="N12699" t="str">
        <f>"5/24/2019 2:09:00 PM"</f>
        <v>5/24/2019 2:09:00 PM</v>
      </c>
      <c r="O12699" t="str">
        <f>"MILLER ROBERT LEE SR/ANN B TRU"</f>
        <v>MILLER ROBERT LEE SR/ANN B TRU</v>
      </c>
      <c r="T12699" t="s">
        <v>38234</v>
      </c>
    </row>
    <row r="12700" spans="1:20" x14ac:dyDescent="0.25">
      <c r="A12700" t="str">
        <f>"3053619"</f>
        <v>3053619</v>
      </c>
      <c r="B12700" t="s">
        <v>38238</v>
      </c>
      <c r="C12700" t="str">
        <f>"8311486"</f>
        <v>8311486</v>
      </c>
      <c r="D12700" t="s">
        <v>38239</v>
      </c>
      <c r="F12700" t="s">
        <v>38240</v>
      </c>
      <c r="I12700" t="s">
        <v>29</v>
      </c>
      <c r="J12700" t="s">
        <v>30</v>
      </c>
      <c r="K12700" t="s">
        <v>14112</v>
      </c>
      <c r="M12700" t="s">
        <v>17861</v>
      </c>
      <c r="N12700" t="str">
        <f>"5/28/2019 8:19:00 AM"</f>
        <v>5/28/2019 8:19:00 AM</v>
      </c>
      <c r="O12700" t="s">
        <v>38239</v>
      </c>
    </row>
    <row r="12701" spans="1:20" x14ac:dyDescent="0.25">
      <c r="A12701" t="str">
        <f>"3039277"</f>
        <v>3039277</v>
      </c>
      <c r="B12701" t="s">
        <v>38241</v>
      </c>
      <c r="C12701" t="str">
        <f>"8311487"</f>
        <v>8311487</v>
      </c>
      <c r="D12701" t="s">
        <v>38242</v>
      </c>
      <c r="E12701" t="s">
        <v>38243</v>
      </c>
      <c r="F12701" t="s">
        <v>38244</v>
      </c>
      <c r="I12701" t="s">
        <v>184</v>
      </c>
      <c r="J12701" t="s">
        <v>30</v>
      </c>
      <c r="K12701" t="s">
        <v>1664</v>
      </c>
      <c r="M12701" t="s">
        <v>17861</v>
      </c>
      <c r="N12701" t="str">
        <f>"5/28/2019 8:23:00 AM"</f>
        <v>5/28/2019 8:23:00 AM</v>
      </c>
      <c r="O12701" t="s">
        <v>38242</v>
      </c>
      <c r="T12701" t="s">
        <v>38243</v>
      </c>
    </row>
    <row r="12702" spans="1:20" x14ac:dyDescent="0.25">
      <c r="A12702" t="str">
        <f>"3039610"</f>
        <v>3039610</v>
      </c>
      <c r="B12702" t="s">
        <v>38245</v>
      </c>
      <c r="C12702" t="str">
        <f>"8311487"</f>
        <v>8311487</v>
      </c>
      <c r="D12702" t="s">
        <v>38242</v>
      </c>
      <c r="E12702" t="s">
        <v>38243</v>
      </c>
      <c r="F12702" t="s">
        <v>38244</v>
      </c>
      <c r="I12702" t="s">
        <v>184</v>
      </c>
      <c r="J12702" t="s">
        <v>30</v>
      </c>
      <c r="K12702" t="s">
        <v>1664</v>
      </c>
      <c r="M12702" t="s">
        <v>17861</v>
      </c>
      <c r="N12702" t="str">
        <f>"5/28/2019 8:23:00 AM"</f>
        <v>5/28/2019 8:23:00 AM</v>
      </c>
      <c r="O12702" t="s">
        <v>38242</v>
      </c>
      <c r="T12702" t="s">
        <v>38243</v>
      </c>
    </row>
    <row r="12703" spans="1:20" x14ac:dyDescent="0.25">
      <c r="A12703" t="str">
        <f>"3050702"</f>
        <v>3050702</v>
      </c>
      <c r="B12703" t="s">
        <v>38246</v>
      </c>
      <c r="C12703" t="str">
        <f>"82523709"</f>
        <v>82523709</v>
      </c>
      <c r="D12703" t="s">
        <v>38247</v>
      </c>
      <c r="E12703" t="s">
        <v>38248</v>
      </c>
      <c r="F12703" t="s">
        <v>38249</v>
      </c>
      <c r="I12703" t="s">
        <v>184</v>
      </c>
      <c r="J12703" t="s">
        <v>30</v>
      </c>
      <c r="K12703" t="s">
        <v>185</v>
      </c>
      <c r="M12703" t="s">
        <v>34475</v>
      </c>
      <c r="N12703" t="str">
        <f>"5/28/2019 8:32:00 AM"</f>
        <v>5/28/2019 8:32:00 AM</v>
      </c>
      <c r="O12703" t="s">
        <v>38247</v>
      </c>
      <c r="T12703" t="s">
        <v>38248</v>
      </c>
    </row>
    <row r="12704" spans="1:20" x14ac:dyDescent="0.25">
      <c r="A12704" t="str">
        <f>"3060231"</f>
        <v>3060231</v>
      </c>
      <c r="B12704" t="s">
        <v>38250</v>
      </c>
      <c r="C12704" t="str">
        <f>"8311490"</f>
        <v>8311490</v>
      </c>
      <c r="D12704" t="s">
        <v>38251</v>
      </c>
      <c r="E12704" t="s">
        <v>38252</v>
      </c>
      <c r="F12704" t="s">
        <v>38253</v>
      </c>
      <c r="I12704" t="s">
        <v>184</v>
      </c>
      <c r="J12704" t="s">
        <v>30</v>
      </c>
      <c r="K12704" t="s">
        <v>33177</v>
      </c>
      <c r="M12704" t="s">
        <v>17861</v>
      </c>
      <c r="N12704" t="str">
        <f>"5/28/2019 8:42:00 AM"</f>
        <v>5/28/2019 8:42:00 AM</v>
      </c>
      <c r="O12704" t="s">
        <v>38251</v>
      </c>
      <c r="T12704" t="s">
        <v>38252</v>
      </c>
    </row>
    <row r="12705" spans="1:20" x14ac:dyDescent="0.25">
      <c r="A12705" t="str">
        <f>"3050709"</f>
        <v>3050709</v>
      </c>
      <c r="B12705" t="s">
        <v>38254</v>
      </c>
      <c r="C12705" t="str">
        <f>"8311492"</f>
        <v>8311492</v>
      </c>
      <c r="D12705" t="s">
        <v>38255</v>
      </c>
      <c r="E12705" t="s">
        <v>38256</v>
      </c>
      <c r="F12705" t="s">
        <v>38257</v>
      </c>
      <c r="I12705" t="s">
        <v>184</v>
      </c>
      <c r="J12705" t="s">
        <v>30</v>
      </c>
      <c r="K12705" t="s">
        <v>38258</v>
      </c>
      <c r="M12705" t="s">
        <v>17861</v>
      </c>
      <c r="N12705" t="str">
        <f>"5/28/2019 9:08:00 AM"</f>
        <v>5/28/2019 9:08:00 AM</v>
      </c>
      <c r="O12705" t="s">
        <v>38255</v>
      </c>
      <c r="T12705" t="s">
        <v>38256</v>
      </c>
    </row>
    <row r="12706" spans="1:20" x14ac:dyDescent="0.25">
      <c r="A12706" t="str">
        <f>"3038699"</f>
        <v>3038699</v>
      </c>
      <c r="B12706" t="s">
        <v>38259</v>
      </c>
      <c r="C12706" t="str">
        <f>"8308095"</f>
        <v>8308095</v>
      </c>
      <c r="D12706" t="s">
        <v>38260</v>
      </c>
      <c r="E12706" t="s">
        <v>38261</v>
      </c>
      <c r="F12706" t="s">
        <v>38262</v>
      </c>
      <c r="I12706" t="s">
        <v>17921</v>
      </c>
      <c r="J12706" t="s">
        <v>30</v>
      </c>
      <c r="K12706" t="str">
        <f>"27028"</f>
        <v>27028</v>
      </c>
      <c r="M12706" t="s">
        <v>17922</v>
      </c>
      <c r="N12706" t="str">
        <f>"5/9/2019 8:30:00 AM"</f>
        <v>5/9/2019 8:30:00 AM</v>
      </c>
      <c r="O12706" t="s">
        <v>38260</v>
      </c>
      <c r="T12706" t="s">
        <v>38261</v>
      </c>
    </row>
    <row r="12707" spans="1:20" x14ac:dyDescent="0.25">
      <c r="A12707" t="str">
        <f>"3039068"</f>
        <v>3039068</v>
      </c>
      <c r="B12707" t="s">
        <v>38263</v>
      </c>
      <c r="C12707" t="str">
        <f>"8300758"</f>
        <v>8300758</v>
      </c>
      <c r="D12707" t="s">
        <v>38068</v>
      </c>
      <c r="F12707" t="s">
        <v>38069</v>
      </c>
      <c r="I12707" t="s">
        <v>30550</v>
      </c>
      <c r="J12707" t="s">
        <v>30</v>
      </c>
      <c r="K12707" t="str">
        <f>"28805"</f>
        <v>28805</v>
      </c>
      <c r="M12707" t="s">
        <v>18470</v>
      </c>
      <c r="N12707" t="str">
        <f>"5/9/2019 10:18:00 AM"</f>
        <v>5/9/2019 10:18:00 AM</v>
      </c>
      <c r="O12707" t="s">
        <v>38068</v>
      </c>
    </row>
    <row r="12708" spans="1:20" x14ac:dyDescent="0.25">
      <c r="A12708" t="str">
        <f>"3060444"</f>
        <v>3060444</v>
      </c>
      <c r="B12708" t="s">
        <v>38264</v>
      </c>
      <c r="C12708" t="str">
        <f>"8311369"</f>
        <v>8311369</v>
      </c>
      <c r="D12708" t="s">
        <v>38265</v>
      </c>
      <c r="F12708" t="s">
        <v>38266</v>
      </c>
      <c r="I12708" t="s">
        <v>2071</v>
      </c>
      <c r="J12708" t="s">
        <v>30</v>
      </c>
      <c r="K12708" t="str">
        <f>"27006"</f>
        <v>27006</v>
      </c>
      <c r="M12708" t="s">
        <v>17861</v>
      </c>
      <c r="N12708" t="str">
        <f>"4/29/2019 12:53:00 PM"</f>
        <v>4/29/2019 12:53:00 PM</v>
      </c>
      <c r="O12708" t="s">
        <v>38265</v>
      </c>
    </row>
    <row r="12709" spans="1:20" x14ac:dyDescent="0.25">
      <c r="A12709" t="str">
        <f>"3057679"</f>
        <v>3057679</v>
      </c>
      <c r="B12709" t="s">
        <v>38267</v>
      </c>
      <c r="C12709" t="str">
        <f>"8311497"</f>
        <v>8311497</v>
      </c>
      <c r="D12709" t="s">
        <v>38268</v>
      </c>
      <c r="E12709" t="s">
        <v>38269</v>
      </c>
      <c r="F12709" t="s">
        <v>38270</v>
      </c>
      <c r="I12709" t="s">
        <v>184</v>
      </c>
      <c r="J12709" t="s">
        <v>30</v>
      </c>
      <c r="K12709" t="s">
        <v>34622</v>
      </c>
      <c r="M12709" t="s">
        <v>17861</v>
      </c>
      <c r="N12709" t="str">
        <f>"5/28/2019 10:53:00 AM"</f>
        <v>5/28/2019 10:53:00 AM</v>
      </c>
      <c r="O12709" t="s">
        <v>38268</v>
      </c>
      <c r="T12709" t="s">
        <v>38269</v>
      </c>
    </row>
    <row r="12710" spans="1:20" x14ac:dyDescent="0.25">
      <c r="A12710" t="str">
        <f>"3051901"</f>
        <v>3051901</v>
      </c>
      <c r="B12710" t="s">
        <v>38271</v>
      </c>
      <c r="C12710" t="str">
        <f>"8311498"</f>
        <v>8311498</v>
      </c>
      <c r="D12710" t="s">
        <v>38272</v>
      </c>
      <c r="E12710" t="s">
        <v>38273</v>
      </c>
      <c r="F12710" t="s">
        <v>38274</v>
      </c>
      <c r="I12710" t="s">
        <v>29</v>
      </c>
      <c r="J12710" t="s">
        <v>30</v>
      </c>
      <c r="K12710" t="s">
        <v>19284</v>
      </c>
      <c r="M12710" t="s">
        <v>17861</v>
      </c>
      <c r="N12710" t="str">
        <f>"5/28/2019 10:55:00 AM"</f>
        <v>5/28/2019 10:55:00 AM</v>
      </c>
      <c r="O12710" t="s">
        <v>38272</v>
      </c>
      <c r="T12710" t="s">
        <v>38273</v>
      </c>
    </row>
    <row r="12711" spans="1:20" x14ac:dyDescent="0.25">
      <c r="A12711" t="str">
        <f>"3062258"</f>
        <v>3062258</v>
      </c>
      <c r="B12711" t="s">
        <v>38275</v>
      </c>
      <c r="C12711" t="str">
        <f>"8311372"</f>
        <v>8311372</v>
      </c>
      <c r="D12711" t="s">
        <v>38276</v>
      </c>
      <c r="E12711" t="s">
        <v>38277</v>
      </c>
      <c r="F12711" t="s">
        <v>38278</v>
      </c>
      <c r="I12711" t="s">
        <v>29</v>
      </c>
      <c r="J12711" t="s">
        <v>30</v>
      </c>
      <c r="K12711" t="str">
        <f>"27028"</f>
        <v>27028</v>
      </c>
      <c r="M12711" t="s">
        <v>17861</v>
      </c>
      <c r="N12711" t="str">
        <f>"4/29/2019 2:20:00 PM"</f>
        <v>4/29/2019 2:20:00 PM</v>
      </c>
      <c r="O12711" t="s">
        <v>38276</v>
      </c>
      <c r="T12711" t="s">
        <v>38277</v>
      </c>
    </row>
    <row r="12712" spans="1:20" x14ac:dyDescent="0.25">
      <c r="A12712" t="str">
        <f>"3048300"</f>
        <v>3048300</v>
      </c>
      <c r="B12712" t="s">
        <v>38279</v>
      </c>
      <c r="C12712" t="str">
        <f>"8311375"</f>
        <v>8311375</v>
      </c>
      <c r="D12712" t="s">
        <v>38280</v>
      </c>
      <c r="F12712" t="s">
        <v>38281</v>
      </c>
      <c r="I12712" t="s">
        <v>29</v>
      </c>
      <c r="J12712" t="s">
        <v>30</v>
      </c>
      <c r="K12712" t="s">
        <v>38282</v>
      </c>
      <c r="M12712" t="s">
        <v>17861</v>
      </c>
      <c r="N12712" t="str">
        <f>"4/29/2019 2:49:00 PM"</f>
        <v>4/29/2019 2:49:00 PM</v>
      </c>
      <c r="O12712" t="s">
        <v>38280</v>
      </c>
    </row>
    <row r="12713" spans="1:20" x14ac:dyDescent="0.25">
      <c r="A12713" t="str">
        <f>"3045624"</f>
        <v>3045624</v>
      </c>
      <c r="B12713" t="s">
        <v>38283</v>
      </c>
      <c r="C12713" t="str">
        <f>"14676000"</f>
        <v>14676000</v>
      </c>
      <c r="D12713" t="s">
        <v>38284</v>
      </c>
      <c r="E12713" t="s">
        <v>38285</v>
      </c>
      <c r="F12713" t="s">
        <v>38286</v>
      </c>
      <c r="I12713" t="s">
        <v>29</v>
      </c>
      <c r="J12713" t="s">
        <v>30</v>
      </c>
      <c r="K12713" t="s">
        <v>31</v>
      </c>
      <c r="M12713" t="s">
        <v>25733</v>
      </c>
      <c r="N12713" t="str">
        <f>"4/30/2019 3:30:00 PM"</f>
        <v>4/30/2019 3:30:00 PM</v>
      </c>
      <c r="O12713" t="s">
        <v>38284</v>
      </c>
      <c r="T12713" t="s">
        <v>38285</v>
      </c>
    </row>
    <row r="12714" spans="1:20" x14ac:dyDescent="0.25">
      <c r="A12714" t="str">
        <f>"3045559"</f>
        <v>3045559</v>
      </c>
      <c r="B12714" t="s">
        <v>38287</v>
      </c>
      <c r="C12714" t="str">
        <f>"60146000"</f>
        <v>60146000</v>
      </c>
      <c r="D12714" t="s">
        <v>38041</v>
      </c>
      <c r="F12714" t="s">
        <v>38042</v>
      </c>
      <c r="I12714" t="s">
        <v>1149</v>
      </c>
      <c r="J12714" t="s">
        <v>30</v>
      </c>
      <c r="K12714" t="s">
        <v>1150</v>
      </c>
      <c r="M12714" t="s">
        <v>25733</v>
      </c>
      <c r="N12714" t="str">
        <f>"4/30/2019 4:05:00 PM"</f>
        <v>4/30/2019 4:05:00 PM</v>
      </c>
      <c r="O12714" t="s">
        <v>38041</v>
      </c>
    </row>
    <row r="12715" spans="1:20" x14ac:dyDescent="0.25">
      <c r="A12715" t="str">
        <f>"3078929"</f>
        <v>3078929</v>
      </c>
      <c r="B12715" t="s">
        <v>38288</v>
      </c>
      <c r="C12715" t="str">
        <f>"60146000"</f>
        <v>60146000</v>
      </c>
      <c r="D12715" t="s">
        <v>38041</v>
      </c>
      <c r="F12715" t="s">
        <v>38042</v>
      </c>
      <c r="I12715" t="s">
        <v>1149</v>
      </c>
      <c r="J12715" t="s">
        <v>30</v>
      </c>
      <c r="K12715" t="s">
        <v>1150</v>
      </c>
      <c r="M12715" t="s">
        <v>25733</v>
      </c>
      <c r="N12715" t="str">
        <f>"4/30/2019 4:05:00 PM"</f>
        <v>4/30/2019 4:05:00 PM</v>
      </c>
      <c r="O12715" t="s">
        <v>38041</v>
      </c>
    </row>
    <row r="12716" spans="1:20" x14ac:dyDescent="0.25">
      <c r="A12716" t="str">
        <f>"3041046"</f>
        <v>3041046</v>
      </c>
      <c r="B12716" t="s">
        <v>38289</v>
      </c>
      <c r="C12716" t="str">
        <f>"6535000"</f>
        <v>6535000</v>
      </c>
      <c r="D12716" t="s">
        <v>38290</v>
      </c>
      <c r="F12716" t="s">
        <v>38291</v>
      </c>
      <c r="G12716" t="s">
        <v>38292</v>
      </c>
      <c r="I12716" t="s">
        <v>2071</v>
      </c>
      <c r="J12716" t="s">
        <v>30</v>
      </c>
      <c r="K12716" t="str">
        <f>"27006"</f>
        <v>27006</v>
      </c>
      <c r="M12716" t="s">
        <v>34475</v>
      </c>
      <c r="N12716" t="str">
        <f>"5/14/2019 10:01:00 AM"</f>
        <v>5/14/2019 10:01:00 AM</v>
      </c>
      <c r="O12716" t="s">
        <v>38290</v>
      </c>
    </row>
    <row r="12717" spans="1:20" x14ac:dyDescent="0.25">
      <c r="A12717" t="str">
        <f>"3067774"</f>
        <v>3067774</v>
      </c>
      <c r="B12717" t="s">
        <v>38293</v>
      </c>
      <c r="C12717" t="str">
        <f>"8311511"</f>
        <v>8311511</v>
      </c>
      <c r="D12717" t="s">
        <v>38294</v>
      </c>
      <c r="E12717" t="s">
        <v>38295</v>
      </c>
      <c r="F12717" t="s">
        <v>38296</v>
      </c>
      <c r="I12717" t="s">
        <v>184</v>
      </c>
      <c r="J12717" t="s">
        <v>30</v>
      </c>
      <c r="K12717" t="s">
        <v>6285</v>
      </c>
      <c r="M12717" t="s">
        <v>17861</v>
      </c>
      <c r="N12717" t="str">
        <f>"5/31/2019 1:13:00 PM"</f>
        <v>5/31/2019 1:13:00 PM</v>
      </c>
      <c r="O12717" t="s">
        <v>38294</v>
      </c>
      <c r="T12717" t="s">
        <v>38295</v>
      </c>
    </row>
    <row r="12718" spans="1:20" x14ac:dyDescent="0.25">
      <c r="A12718" t="str">
        <f>"3060425"</f>
        <v>3060425</v>
      </c>
      <c r="B12718" t="s">
        <v>38297</v>
      </c>
      <c r="C12718" t="str">
        <f>"8311515"</f>
        <v>8311515</v>
      </c>
      <c r="D12718" t="s">
        <v>38298</v>
      </c>
      <c r="F12718" t="s">
        <v>38299</v>
      </c>
      <c r="I12718" t="s">
        <v>2071</v>
      </c>
      <c r="J12718" t="s">
        <v>30</v>
      </c>
      <c r="K12718" t="str">
        <f>"27006"</f>
        <v>27006</v>
      </c>
      <c r="M12718" t="s">
        <v>17861</v>
      </c>
      <c r="N12718" t="str">
        <f>"6/3/2019 8:18:00 AM"</f>
        <v>6/3/2019 8:18:00 AM</v>
      </c>
      <c r="O12718" t="s">
        <v>38298</v>
      </c>
    </row>
    <row r="12719" spans="1:20" x14ac:dyDescent="0.25">
      <c r="A12719" t="str">
        <f>"3058511"</f>
        <v>3058511</v>
      </c>
      <c r="B12719" t="s">
        <v>38300</v>
      </c>
      <c r="C12719" t="str">
        <f>"8311518"</f>
        <v>8311518</v>
      </c>
      <c r="D12719" t="s">
        <v>38301</v>
      </c>
      <c r="F12719" t="s">
        <v>38302</v>
      </c>
      <c r="I12719" t="s">
        <v>29</v>
      </c>
      <c r="J12719" t="s">
        <v>30</v>
      </c>
      <c r="K12719" t="s">
        <v>26003</v>
      </c>
      <c r="M12719" t="s">
        <v>17861</v>
      </c>
      <c r="N12719" t="str">
        <f>"6/3/2019 3:43:00 PM"</f>
        <v>6/3/2019 3:43:00 PM</v>
      </c>
      <c r="O12719" t="s">
        <v>38301</v>
      </c>
    </row>
    <row r="12720" spans="1:20" x14ac:dyDescent="0.25">
      <c r="A12720" t="str">
        <f>"3057693"</f>
        <v>3057693</v>
      </c>
      <c r="B12720" t="s">
        <v>38303</v>
      </c>
      <c r="C12720" t="str">
        <f>"8311519"</f>
        <v>8311519</v>
      </c>
      <c r="D12720" t="s">
        <v>38304</v>
      </c>
      <c r="E12720" t="s">
        <v>38305</v>
      </c>
      <c r="F12720" t="s">
        <v>38306</v>
      </c>
      <c r="I12720" t="s">
        <v>184</v>
      </c>
      <c r="J12720" t="s">
        <v>30</v>
      </c>
      <c r="K12720" t="s">
        <v>783</v>
      </c>
      <c r="M12720" t="s">
        <v>17861</v>
      </c>
      <c r="N12720" t="str">
        <f>"6/3/2019 3:45:00 PM"</f>
        <v>6/3/2019 3:45:00 PM</v>
      </c>
      <c r="O12720" t="s">
        <v>38304</v>
      </c>
      <c r="T12720" t="s">
        <v>38305</v>
      </c>
    </row>
    <row r="12721" spans="1:20" x14ac:dyDescent="0.25">
      <c r="A12721" t="str">
        <f>"3060997"</f>
        <v>3060997</v>
      </c>
      <c r="B12721" t="s">
        <v>38307</v>
      </c>
      <c r="C12721" t="str">
        <f>"8311415"</f>
        <v>8311415</v>
      </c>
      <c r="D12721" t="s">
        <v>38308</v>
      </c>
      <c r="E12721" t="s">
        <v>1971</v>
      </c>
      <c r="F12721" t="s">
        <v>38309</v>
      </c>
      <c r="I12721" t="s">
        <v>402</v>
      </c>
      <c r="J12721" t="s">
        <v>30</v>
      </c>
      <c r="K12721" t="str">
        <f>"27012"</f>
        <v>27012</v>
      </c>
      <c r="M12721" t="s">
        <v>17861</v>
      </c>
      <c r="N12721" t="str">
        <f>"5/14/2019 2:31:00 PM"</f>
        <v>5/14/2019 2:31:00 PM</v>
      </c>
      <c r="O12721" t="s">
        <v>38308</v>
      </c>
      <c r="T12721" t="s">
        <v>1971</v>
      </c>
    </row>
    <row r="12722" spans="1:20" x14ac:dyDescent="0.25">
      <c r="A12722" t="str">
        <f>"3050016"</f>
        <v>3050016</v>
      </c>
      <c r="B12722" t="s">
        <v>38310</v>
      </c>
      <c r="C12722" t="str">
        <f>"8311420"</f>
        <v>8311420</v>
      </c>
      <c r="D12722" t="s">
        <v>38311</v>
      </c>
      <c r="F12722" t="s">
        <v>38312</v>
      </c>
      <c r="I12722" t="s">
        <v>29</v>
      </c>
      <c r="J12722" t="s">
        <v>30</v>
      </c>
      <c r="K12722" t="s">
        <v>19719</v>
      </c>
      <c r="M12722" t="s">
        <v>17861</v>
      </c>
      <c r="N12722" t="str">
        <f>"5/14/2019 2:55:00 PM"</f>
        <v>5/14/2019 2:55:00 PM</v>
      </c>
      <c r="O12722" t="s">
        <v>38311</v>
      </c>
    </row>
    <row r="12723" spans="1:20" x14ac:dyDescent="0.25">
      <c r="A12723" t="str">
        <f>"3062122"</f>
        <v>3062122</v>
      </c>
      <c r="B12723" t="s">
        <v>38313</v>
      </c>
      <c r="C12723" t="str">
        <f>"8311424"</f>
        <v>8311424</v>
      </c>
      <c r="D12723" t="s">
        <v>38314</v>
      </c>
      <c r="E12723" t="s">
        <v>38315</v>
      </c>
      <c r="F12723" t="s">
        <v>38316</v>
      </c>
      <c r="I12723" t="s">
        <v>29</v>
      </c>
      <c r="J12723" t="s">
        <v>30</v>
      </c>
      <c r="K12723" t="s">
        <v>36170</v>
      </c>
      <c r="M12723" t="s">
        <v>17861</v>
      </c>
      <c r="N12723" t="str">
        <f>"5/14/2019 3:02:00 PM"</f>
        <v>5/14/2019 3:02:00 PM</v>
      </c>
      <c r="O12723" t="s">
        <v>38314</v>
      </c>
      <c r="T12723" t="s">
        <v>38315</v>
      </c>
    </row>
    <row r="12724" spans="1:20" x14ac:dyDescent="0.25">
      <c r="A12724" t="str">
        <f>"3053760"</f>
        <v>3053760</v>
      </c>
      <c r="B12724" t="s">
        <v>38317</v>
      </c>
      <c r="C12724" t="str">
        <f>"8311427"</f>
        <v>8311427</v>
      </c>
      <c r="D12724" t="s">
        <v>38318</v>
      </c>
      <c r="E12724" t="s">
        <v>38319</v>
      </c>
      <c r="F12724" t="s">
        <v>38320</v>
      </c>
      <c r="I12724" t="s">
        <v>29</v>
      </c>
      <c r="J12724" t="s">
        <v>30</v>
      </c>
      <c r="K12724" t="s">
        <v>18425</v>
      </c>
      <c r="M12724" t="s">
        <v>17861</v>
      </c>
      <c r="N12724" t="str">
        <f>"5/17/2019 8:36:00 AM"</f>
        <v>5/17/2019 8:36:00 AM</v>
      </c>
      <c r="O12724" t="s">
        <v>38318</v>
      </c>
      <c r="T12724" t="s">
        <v>38319</v>
      </c>
    </row>
    <row r="12725" spans="1:20" x14ac:dyDescent="0.25">
      <c r="A12725" t="str">
        <f>"3061345"</f>
        <v>3061345</v>
      </c>
      <c r="B12725" t="s">
        <v>38321</v>
      </c>
      <c r="C12725" t="str">
        <f>"8311526"</f>
        <v>8311526</v>
      </c>
      <c r="D12725" t="s">
        <v>38322</v>
      </c>
      <c r="E12725" t="s">
        <v>38323</v>
      </c>
      <c r="F12725" t="s">
        <v>38324</v>
      </c>
      <c r="I12725" t="s">
        <v>24359</v>
      </c>
      <c r="J12725" t="s">
        <v>30</v>
      </c>
      <c r="K12725" t="str">
        <f>"27006"</f>
        <v>27006</v>
      </c>
      <c r="M12725" t="s">
        <v>17861</v>
      </c>
      <c r="N12725" t="str">
        <f>"6/3/2019 4:21:00 PM"</f>
        <v>6/3/2019 4:21:00 PM</v>
      </c>
      <c r="O12725" t="s">
        <v>38322</v>
      </c>
      <c r="T12725" t="s">
        <v>38323</v>
      </c>
    </row>
    <row r="12726" spans="1:20" x14ac:dyDescent="0.25">
      <c r="A12726" t="str">
        <f>"3062605"</f>
        <v>3062605</v>
      </c>
      <c r="B12726" t="s">
        <v>38325</v>
      </c>
      <c r="C12726" t="str">
        <f>"8311527"</f>
        <v>8311527</v>
      </c>
      <c r="D12726" t="s">
        <v>38326</v>
      </c>
      <c r="F12726" t="s">
        <v>38327</v>
      </c>
      <c r="I12726" t="s">
        <v>184</v>
      </c>
      <c r="J12726" t="s">
        <v>30</v>
      </c>
      <c r="K12726" t="s">
        <v>2174</v>
      </c>
      <c r="M12726" t="s">
        <v>17861</v>
      </c>
      <c r="N12726" t="str">
        <f>"6/3/2019 4:23:00 PM"</f>
        <v>6/3/2019 4:23:00 PM</v>
      </c>
      <c r="O12726" t="s">
        <v>38326</v>
      </c>
    </row>
    <row r="12727" spans="1:20" x14ac:dyDescent="0.25">
      <c r="A12727" t="str">
        <f>"3044469"</f>
        <v>3044469</v>
      </c>
      <c r="B12727" t="s">
        <v>38328</v>
      </c>
      <c r="C12727" t="str">
        <f>"82515610"</f>
        <v>82515610</v>
      </c>
      <c r="D12727" t="s">
        <v>38329</v>
      </c>
      <c r="F12727" t="s">
        <v>38330</v>
      </c>
      <c r="I12727" t="s">
        <v>184</v>
      </c>
      <c r="J12727" t="s">
        <v>30</v>
      </c>
      <c r="K12727" t="s">
        <v>185</v>
      </c>
      <c r="M12727" t="s">
        <v>34475</v>
      </c>
      <c r="N12727" t="str">
        <f>"6/4/2019 11:21:00 AM"</f>
        <v>6/4/2019 11:21:00 AM</v>
      </c>
      <c r="O12727" t="s">
        <v>38329</v>
      </c>
    </row>
    <row r="12728" spans="1:20" x14ac:dyDescent="0.25">
      <c r="A12728" t="str">
        <f>"3043932"</f>
        <v>3043932</v>
      </c>
      <c r="B12728" t="s">
        <v>38331</v>
      </c>
      <c r="C12728" t="str">
        <f>"82515610"</f>
        <v>82515610</v>
      </c>
      <c r="D12728" t="s">
        <v>38329</v>
      </c>
      <c r="F12728" t="s">
        <v>38330</v>
      </c>
      <c r="I12728" t="s">
        <v>184</v>
      </c>
      <c r="J12728" t="s">
        <v>30</v>
      </c>
      <c r="K12728" t="s">
        <v>185</v>
      </c>
      <c r="M12728" t="s">
        <v>34475</v>
      </c>
      <c r="N12728" t="str">
        <f>"6/4/2019 11:21:00 AM"</f>
        <v>6/4/2019 11:21:00 AM</v>
      </c>
      <c r="O12728" t="s">
        <v>38329</v>
      </c>
    </row>
    <row r="12729" spans="1:20" x14ac:dyDescent="0.25">
      <c r="A12729" t="str">
        <f>"3038962"</f>
        <v>3038962</v>
      </c>
      <c r="B12729" t="s">
        <v>38332</v>
      </c>
      <c r="C12729" t="str">
        <f>"82517394"</f>
        <v>82517394</v>
      </c>
      <c r="D12729" t="s">
        <v>7176</v>
      </c>
      <c r="E12729" t="s">
        <v>38126</v>
      </c>
      <c r="F12729" t="s">
        <v>7177</v>
      </c>
      <c r="I12729" t="s">
        <v>29</v>
      </c>
      <c r="J12729" t="s">
        <v>30</v>
      </c>
      <c r="K12729" t="s">
        <v>7178</v>
      </c>
      <c r="M12729" t="s">
        <v>17861</v>
      </c>
      <c r="N12729" t="str">
        <f>"5/17/2019 8:44:00 AM"</f>
        <v>5/17/2019 8:44:00 AM</v>
      </c>
      <c r="O12729" t="s">
        <v>7176</v>
      </c>
      <c r="T12729" t="s">
        <v>38126</v>
      </c>
    </row>
    <row r="12730" spans="1:20" x14ac:dyDescent="0.25">
      <c r="A12730" t="str">
        <f>"3061927"</f>
        <v>3061927</v>
      </c>
      <c r="B12730" t="s">
        <v>38333</v>
      </c>
      <c r="C12730" t="str">
        <f>"8311430"</f>
        <v>8311430</v>
      </c>
      <c r="D12730" t="s">
        <v>38334</v>
      </c>
      <c r="E12730" t="s">
        <v>38335</v>
      </c>
      <c r="F12730" t="s">
        <v>38336</v>
      </c>
      <c r="I12730" t="s">
        <v>184</v>
      </c>
      <c r="J12730" t="s">
        <v>30</v>
      </c>
      <c r="K12730" t="s">
        <v>28687</v>
      </c>
      <c r="M12730" t="s">
        <v>17861</v>
      </c>
      <c r="N12730" t="str">
        <f>"5/17/2019 12:37:00 PM"</f>
        <v>5/17/2019 12:37:00 PM</v>
      </c>
      <c r="O12730" t="s">
        <v>38334</v>
      </c>
      <c r="T12730" t="s">
        <v>38335</v>
      </c>
    </row>
    <row r="12731" spans="1:20" x14ac:dyDescent="0.25">
      <c r="A12731" t="str">
        <f>"3044825"</f>
        <v>3044825</v>
      </c>
      <c r="B12731" t="s">
        <v>38337</v>
      </c>
      <c r="C12731" t="str">
        <f>"8311545"</f>
        <v>8311545</v>
      </c>
      <c r="D12731" t="s">
        <v>38338</v>
      </c>
      <c r="E12731" t="s">
        <v>38339</v>
      </c>
      <c r="F12731" t="s">
        <v>38340</v>
      </c>
      <c r="I12731" t="s">
        <v>184</v>
      </c>
      <c r="J12731" t="s">
        <v>30</v>
      </c>
      <c r="K12731" t="s">
        <v>6606</v>
      </c>
      <c r="M12731" t="s">
        <v>17861</v>
      </c>
      <c r="N12731" t="str">
        <f>"6/7/2019 4:02:00 PM"</f>
        <v>6/7/2019 4:02:00 PM</v>
      </c>
      <c r="O12731" t="s">
        <v>38338</v>
      </c>
      <c r="T12731" t="s">
        <v>38339</v>
      </c>
    </row>
    <row r="12732" spans="1:20" x14ac:dyDescent="0.25">
      <c r="A12732" t="str">
        <f>"3047136"</f>
        <v>3047136</v>
      </c>
      <c r="B12732" t="s">
        <v>38341</v>
      </c>
      <c r="C12732" t="str">
        <f>"8311547"</f>
        <v>8311547</v>
      </c>
      <c r="D12732" t="s">
        <v>38342</v>
      </c>
      <c r="F12732" t="s">
        <v>38343</v>
      </c>
      <c r="I12732" t="s">
        <v>29</v>
      </c>
      <c r="J12732" t="s">
        <v>30</v>
      </c>
      <c r="K12732" t="s">
        <v>12311</v>
      </c>
      <c r="M12732" t="s">
        <v>17861</v>
      </c>
      <c r="N12732" t="str">
        <f>"6/7/2019 4:08:00 PM"</f>
        <v>6/7/2019 4:08:00 PM</v>
      </c>
      <c r="O12732" t="s">
        <v>38342</v>
      </c>
    </row>
    <row r="12733" spans="1:20" x14ac:dyDescent="0.25">
      <c r="A12733" t="str">
        <f>"3061274"</f>
        <v>3061274</v>
      </c>
      <c r="B12733" t="s">
        <v>38344</v>
      </c>
      <c r="C12733" t="str">
        <f>"8311448"</f>
        <v>8311448</v>
      </c>
      <c r="D12733" t="s">
        <v>38345</v>
      </c>
      <c r="E12733" t="s">
        <v>38346</v>
      </c>
      <c r="F12733" t="s">
        <v>38347</v>
      </c>
      <c r="I12733" t="s">
        <v>2071</v>
      </c>
      <c r="J12733" t="s">
        <v>30</v>
      </c>
      <c r="K12733" t="s">
        <v>38348</v>
      </c>
      <c r="M12733" t="s">
        <v>17861</v>
      </c>
      <c r="N12733" t="str">
        <f>"5/20/2019 1:10:00 PM"</f>
        <v>5/20/2019 1:10:00 PM</v>
      </c>
      <c r="O12733" t="s">
        <v>38345</v>
      </c>
      <c r="T12733" t="s">
        <v>38346</v>
      </c>
    </row>
    <row r="12734" spans="1:20" x14ac:dyDescent="0.25">
      <c r="A12734" t="str">
        <f>"3044571"</f>
        <v>3044571</v>
      </c>
      <c r="B12734" t="s">
        <v>38349</v>
      </c>
      <c r="C12734" t="str">
        <f>"8311453"</f>
        <v>8311453</v>
      </c>
      <c r="D12734" t="s">
        <v>38350</v>
      </c>
      <c r="E12734" t="s">
        <v>38351</v>
      </c>
      <c r="F12734" t="s">
        <v>38352</v>
      </c>
      <c r="I12734" t="s">
        <v>184</v>
      </c>
      <c r="J12734" t="s">
        <v>30</v>
      </c>
      <c r="K12734" t="s">
        <v>5682</v>
      </c>
      <c r="M12734" t="s">
        <v>17861</v>
      </c>
      <c r="N12734" t="str">
        <f>"5/20/2019 3:07:00 PM"</f>
        <v>5/20/2019 3:07:00 PM</v>
      </c>
      <c r="O12734" t="s">
        <v>38350</v>
      </c>
      <c r="T12734" t="s">
        <v>38351</v>
      </c>
    </row>
    <row r="12735" spans="1:20" x14ac:dyDescent="0.25">
      <c r="A12735" t="str">
        <f>"3047666"</f>
        <v>3047666</v>
      </c>
      <c r="B12735" t="s">
        <v>38353</v>
      </c>
      <c r="C12735" t="str">
        <f>"8311550"</f>
        <v>8311550</v>
      </c>
      <c r="D12735" t="s">
        <v>38354</v>
      </c>
      <c r="E12735" t="s">
        <v>38355</v>
      </c>
      <c r="F12735" t="s">
        <v>38356</v>
      </c>
      <c r="I12735" t="s">
        <v>184</v>
      </c>
      <c r="J12735" t="s">
        <v>30</v>
      </c>
      <c r="K12735" t="s">
        <v>7531</v>
      </c>
      <c r="M12735" t="s">
        <v>17861</v>
      </c>
      <c r="N12735" t="str">
        <f>"6/10/2019 9:31:00 AM"</f>
        <v>6/10/2019 9:31:00 AM</v>
      </c>
      <c r="O12735" t="s">
        <v>38354</v>
      </c>
      <c r="T12735" t="s">
        <v>38355</v>
      </c>
    </row>
    <row r="12736" spans="1:20" x14ac:dyDescent="0.25">
      <c r="A12736" t="str">
        <f>"3078192"</f>
        <v>3078192</v>
      </c>
      <c r="B12736" t="s">
        <v>38357</v>
      </c>
      <c r="C12736" t="str">
        <f>"8311550"</f>
        <v>8311550</v>
      </c>
      <c r="D12736" t="s">
        <v>38354</v>
      </c>
      <c r="E12736" t="s">
        <v>38355</v>
      </c>
      <c r="F12736" t="s">
        <v>38356</v>
      </c>
      <c r="I12736" t="s">
        <v>184</v>
      </c>
      <c r="J12736" t="s">
        <v>30</v>
      </c>
      <c r="K12736" t="s">
        <v>7531</v>
      </c>
      <c r="M12736" t="s">
        <v>17861</v>
      </c>
      <c r="N12736" t="str">
        <f>"6/10/2019 9:31:00 AM"</f>
        <v>6/10/2019 9:31:00 AM</v>
      </c>
      <c r="O12736" t="s">
        <v>38354</v>
      </c>
      <c r="T12736" t="s">
        <v>38355</v>
      </c>
    </row>
    <row r="12737" spans="1:20" x14ac:dyDescent="0.25">
      <c r="A12737" t="str">
        <f>"3052435"</f>
        <v>3052435</v>
      </c>
      <c r="B12737" t="s">
        <v>38358</v>
      </c>
      <c r="C12737" t="str">
        <f>"8311551"</f>
        <v>8311551</v>
      </c>
      <c r="D12737" t="s">
        <v>38359</v>
      </c>
      <c r="F12737" t="s">
        <v>38360</v>
      </c>
      <c r="I12737" t="s">
        <v>29</v>
      </c>
      <c r="J12737" t="s">
        <v>30</v>
      </c>
      <c r="K12737" t="s">
        <v>38361</v>
      </c>
      <c r="M12737" t="s">
        <v>17861</v>
      </c>
      <c r="N12737" t="str">
        <f>"6/10/2019 9:44:00 AM"</f>
        <v>6/10/2019 9:44:00 AM</v>
      </c>
      <c r="O12737" t="s">
        <v>38359</v>
      </c>
    </row>
    <row r="12738" spans="1:20" x14ac:dyDescent="0.25">
      <c r="A12738" t="str">
        <f>"3053111"</f>
        <v>3053111</v>
      </c>
      <c r="B12738" t="s">
        <v>38362</v>
      </c>
      <c r="C12738" t="str">
        <f>"8311552"</f>
        <v>8311552</v>
      </c>
      <c r="D12738" t="s">
        <v>38363</v>
      </c>
      <c r="E12738" t="s">
        <v>38364</v>
      </c>
      <c r="F12738" t="s">
        <v>38365</v>
      </c>
      <c r="I12738" t="s">
        <v>29</v>
      </c>
      <c r="J12738" t="s">
        <v>30</v>
      </c>
      <c r="K12738" t="s">
        <v>4760</v>
      </c>
      <c r="M12738" t="s">
        <v>17861</v>
      </c>
      <c r="N12738" t="str">
        <f>"6/10/2019 9:51:00 AM"</f>
        <v>6/10/2019 9:51:00 AM</v>
      </c>
      <c r="O12738" t="s">
        <v>38363</v>
      </c>
      <c r="T12738" t="s">
        <v>38364</v>
      </c>
    </row>
    <row r="12739" spans="1:20" x14ac:dyDescent="0.25">
      <c r="A12739" t="str">
        <f>"3057974"</f>
        <v>3057974</v>
      </c>
      <c r="B12739" t="s">
        <v>38366</v>
      </c>
      <c r="C12739" t="str">
        <f>"8311553"</f>
        <v>8311553</v>
      </c>
      <c r="D12739" t="s">
        <v>38367</v>
      </c>
      <c r="E12739" t="s">
        <v>38368</v>
      </c>
      <c r="F12739" t="s">
        <v>38369</v>
      </c>
      <c r="I12739" t="s">
        <v>29</v>
      </c>
      <c r="J12739" t="s">
        <v>30</v>
      </c>
      <c r="K12739" t="s">
        <v>33586</v>
      </c>
      <c r="M12739" t="s">
        <v>17861</v>
      </c>
      <c r="N12739" t="str">
        <f>"6/10/2019 9:55:00 AM"</f>
        <v>6/10/2019 9:55:00 AM</v>
      </c>
      <c r="O12739" t="s">
        <v>38367</v>
      </c>
      <c r="T12739" t="s">
        <v>38368</v>
      </c>
    </row>
    <row r="12740" spans="1:20" x14ac:dyDescent="0.25">
      <c r="A12740" t="str">
        <f>"3058885"</f>
        <v>3058885</v>
      </c>
      <c r="B12740" t="s">
        <v>38370</v>
      </c>
      <c r="C12740" t="str">
        <f>"8311455"</f>
        <v>8311455</v>
      </c>
      <c r="D12740" t="s">
        <v>38371</v>
      </c>
      <c r="F12740" t="s">
        <v>38372</v>
      </c>
      <c r="I12740" t="s">
        <v>29</v>
      </c>
      <c r="J12740" t="s">
        <v>30</v>
      </c>
      <c r="K12740" t="s">
        <v>34090</v>
      </c>
      <c r="M12740" t="s">
        <v>17861</v>
      </c>
      <c r="N12740" t="str">
        <f>"5/20/2019 3:53:00 PM"</f>
        <v>5/20/2019 3:53:00 PM</v>
      </c>
      <c r="O12740" t="s">
        <v>38371</v>
      </c>
    </row>
    <row r="12741" spans="1:20" x14ac:dyDescent="0.25">
      <c r="A12741" t="str">
        <f>"3061765"</f>
        <v>3061765</v>
      </c>
      <c r="B12741" t="s">
        <v>38373</v>
      </c>
      <c r="C12741" t="str">
        <f>"8311468"</f>
        <v>8311468</v>
      </c>
      <c r="D12741" t="s">
        <v>38374</v>
      </c>
      <c r="E12741" t="s">
        <v>38375</v>
      </c>
      <c r="F12741" t="s">
        <v>38376</v>
      </c>
      <c r="I12741" t="s">
        <v>2071</v>
      </c>
      <c r="J12741" t="s">
        <v>30</v>
      </c>
      <c r="K12741" t="s">
        <v>3960</v>
      </c>
      <c r="M12741" t="s">
        <v>17861</v>
      </c>
      <c r="N12741" t="str">
        <f>"5/21/2019 10:29:00 AM"</f>
        <v>5/21/2019 10:29:00 AM</v>
      </c>
      <c r="O12741" t="s">
        <v>38374</v>
      </c>
      <c r="T12741" t="s">
        <v>38375</v>
      </c>
    </row>
    <row r="12742" spans="1:20" x14ac:dyDescent="0.25">
      <c r="A12742" t="str">
        <f>"3050653"</f>
        <v>3050653</v>
      </c>
      <c r="B12742" t="s">
        <v>38377</v>
      </c>
      <c r="C12742" t="str">
        <f>"8311483"</f>
        <v>8311483</v>
      </c>
      <c r="D12742" t="s">
        <v>38378</v>
      </c>
      <c r="F12742" t="s">
        <v>38379</v>
      </c>
      <c r="I12742" t="s">
        <v>184</v>
      </c>
      <c r="J12742" t="s">
        <v>30</v>
      </c>
      <c r="K12742" t="s">
        <v>38380</v>
      </c>
      <c r="M12742" t="s">
        <v>17861</v>
      </c>
      <c r="N12742" t="str">
        <f>"5/24/2019 11:02:00 AM"</f>
        <v>5/24/2019 11:02:00 AM</v>
      </c>
      <c r="O12742" t="s">
        <v>38378</v>
      </c>
    </row>
    <row r="12743" spans="1:20" x14ac:dyDescent="0.25">
      <c r="A12743" t="str">
        <f>"3047534"</f>
        <v>3047534</v>
      </c>
      <c r="B12743" t="s">
        <v>38381</v>
      </c>
      <c r="C12743" t="str">
        <f>"82525485"</f>
        <v>82525485</v>
      </c>
      <c r="D12743" t="s">
        <v>38382</v>
      </c>
      <c r="E12743" t="s">
        <v>38383</v>
      </c>
      <c r="F12743" t="s">
        <v>38384</v>
      </c>
      <c r="I12743" t="s">
        <v>38385</v>
      </c>
      <c r="J12743" t="s">
        <v>1046</v>
      </c>
      <c r="K12743" t="s">
        <v>38386</v>
      </c>
      <c r="M12743" t="s">
        <v>17861</v>
      </c>
      <c r="N12743" t="str">
        <f>"5/24/2019 1:27:00 PM"</f>
        <v>5/24/2019 1:27:00 PM</v>
      </c>
      <c r="O12743" t="s">
        <v>38382</v>
      </c>
      <c r="T12743" t="s">
        <v>38383</v>
      </c>
    </row>
    <row r="12744" spans="1:20" x14ac:dyDescent="0.25">
      <c r="A12744" t="str">
        <f>"3047630"</f>
        <v>3047630</v>
      </c>
      <c r="B12744" t="s">
        <v>38387</v>
      </c>
      <c r="C12744" t="str">
        <f>"8311484"</f>
        <v>8311484</v>
      </c>
      <c r="D12744" t="s">
        <v>7677</v>
      </c>
      <c r="F12744" t="s">
        <v>38232</v>
      </c>
      <c r="I12744" t="s">
        <v>184</v>
      </c>
      <c r="J12744" t="s">
        <v>30</v>
      </c>
      <c r="K12744" t="s">
        <v>7679</v>
      </c>
      <c r="M12744" t="s">
        <v>17861</v>
      </c>
      <c r="N12744" t="str">
        <f>"5/24/2019 1:32:00 PM"</f>
        <v>5/24/2019 1:32:00 PM</v>
      </c>
      <c r="O12744" t="s">
        <v>7677</v>
      </c>
    </row>
    <row r="12745" spans="1:20" x14ac:dyDescent="0.25">
      <c r="A12745" t="str">
        <f>"3054726"</f>
        <v>3054726</v>
      </c>
      <c r="B12745" t="s">
        <v>38388</v>
      </c>
      <c r="C12745" t="str">
        <f>"8311493"</f>
        <v>8311493</v>
      </c>
      <c r="D12745" t="s">
        <v>38389</v>
      </c>
      <c r="E12745" t="s">
        <v>38390</v>
      </c>
      <c r="F12745" t="s">
        <v>38391</v>
      </c>
      <c r="I12745" t="s">
        <v>29</v>
      </c>
      <c r="J12745" t="s">
        <v>30</v>
      </c>
      <c r="K12745" t="s">
        <v>12113</v>
      </c>
      <c r="M12745" t="s">
        <v>17861</v>
      </c>
      <c r="N12745" t="str">
        <f>"5/28/2019 9:29:00 AM"</f>
        <v>5/28/2019 9:29:00 AM</v>
      </c>
      <c r="O12745" t="s">
        <v>38389</v>
      </c>
      <c r="T12745" t="s">
        <v>38390</v>
      </c>
    </row>
    <row r="12746" spans="1:20" x14ac:dyDescent="0.25">
      <c r="A12746" t="str">
        <f>"3041623"</f>
        <v>3041623</v>
      </c>
      <c r="B12746" t="s">
        <v>38392</v>
      </c>
      <c r="C12746" t="str">
        <f>"8311573"</f>
        <v>8311573</v>
      </c>
      <c r="D12746" t="s">
        <v>38393</v>
      </c>
      <c r="E12746" t="s">
        <v>38394</v>
      </c>
      <c r="F12746" t="s">
        <v>38395</v>
      </c>
      <c r="I12746" t="s">
        <v>2071</v>
      </c>
      <c r="J12746" t="s">
        <v>30</v>
      </c>
      <c r="K12746" t="s">
        <v>3764</v>
      </c>
      <c r="M12746" t="s">
        <v>17861</v>
      </c>
      <c r="N12746" t="str">
        <f>"6/10/2019 2:16:00 PM"</f>
        <v>6/10/2019 2:16:00 PM</v>
      </c>
      <c r="O12746" t="s">
        <v>38393</v>
      </c>
      <c r="T12746" t="s">
        <v>38394</v>
      </c>
    </row>
    <row r="12747" spans="1:20" x14ac:dyDescent="0.25">
      <c r="A12747" t="str">
        <f>"3047093"</f>
        <v>3047093</v>
      </c>
      <c r="B12747" t="s">
        <v>38396</v>
      </c>
      <c r="C12747" t="str">
        <f>"8311575"</f>
        <v>8311575</v>
      </c>
      <c r="D12747" t="s">
        <v>38397</v>
      </c>
      <c r="E12747" t="s">
        <v>38398</v>
      </c>
      <c r="F12747" t="s">
        <v>38399</v>
      </c>
      <c r="I12747" t="s">
        <v>29</v>
      </c>
      <c r="J12747" t="s">
        <v>30</v>
      </c>
      <c r="K12747" t="s">
        <v>36684</v>
      </c>
      <c r="M12747" t="s">
        <v>17861</v>
      </c>
      <c r="N12747" t="str">
        <f>"6/10/2019 2:43:00 PM"</f>
        <v>6/10/2019 2:43:00 PM</v>
      </c>
      <c r="O12747" t="s">
        <v>38397</v>
      </c>
      <c r="T12747" t="s">
        <v>38398</v>
      </c>
    </row>
    <row r="12748" spans="1:20" x14ac:dyDescent="0.25">
      <c r="A12748" t="str">
        <f>"3070321"</f>
        <v>3070321</v>
      </c>
      <c r="B12748" t="s">
        <v>38400</v>
      </c>
      <c r="C12748" t="str">
        <f>"8311576"</f>
        <v>8311576</v>
      </c>
      <c r="D12748" t="s">
        <v>38401</v>
      </c>
      <c r="E12748" t="s">
        <v>38402</v>
      </c>
      <c r="F12748" t="s">
        <v>38403</v>
      </c>
      <c r="I12748" t="s">
        <v>29</v>
      </c>
      <c r="J12748" t="s">
        <v>30</v>
      </c>
      <c r="K12748" t="s">
        <v>25129</v>
      </c>
      <c r="M12748" t="s">
        <v>17861</v>
      </c>
      <c r="N12748" t="str">
        <f>"6/10/2019 3:02:00 PM"</f>
        <v>6/10/2019 3:02:00 PM</v>
      </c>
      <c r="O12748" t="s">
        <v>38401</v>
      </c>
      <c r="T12748" t="s">
        <v>38402</v>
      </c>
    </row>
    <row r="12749" spans="1:20" x14ac:dyDescent="0.25">
      <c r="A12749" t="str">
        <f>"3055411"</f>
        <v>3055411</v>
      </c>
      <c r="B12749" t="s">
        <v>38404</v>
      </c>
      <c r="C12749" t="str">
        <f>"8311493"</f>
        <v>8311493</v>
      </c>
      <c r="D12749" t="s">
        <v>38389</v>
      </c>
      <c r="E12749" t="s">
        <v>38390</v>
      </c>
      <c r="F12749" t="s">
        <v>38391</v>
      </c>
      <c r="I12749" t="s">
        <v>29</v>
      </c>
      <c r="J12749" t="s">
        <v>30</v>
      </c>
      <c r="K12749" t="s">
        <v>12113</v>
      </c>
      <c r="M12749" t="s">
        <v>17861</v>
      </c>
      <c r="N12749" t="str">
        <f>"5/28/2019 9:29:00 AM"</f>
        <v>5/28/2019 9:29:00 AM</v>
      </c>
      <c r="O12749" t="s">
        <v>38389</v>
      </c>
      <c r="T12749" t="s">
        <v>38390</v>
      </c>
    </row>
    <row r="12750" spans="1:20" x14ac:dyDescent="0.25">
      <c r="A12750" t="str">
        <f>"3047819"</f>
        <v>3047819</v>
      </c>
      <c r="B12750" t="s">
        <v>38405</v>
      </c>
      <c r="C12750" t="str">
        <f>"8311496"</f>
        <v>8311496</v>
      </c>
      <c r="D12750" t="s">
        <v>38406</v>
      </c>
      <c r="F12750" t="s">
        <v>38407</v>
      </c>
      <c r="I12750" t="s">
        <v>184</v>
      </c>
      <c r="J12750" t="s">
        <v>30</v>
      </c>
      <c r="K12750" t="s">
        <v>10425</v>
      </c>
      <c r="M12750" t="s">
        <v>17861</v>
      </c>
      <c r="N12750" t="str">
        <f>"5/28/2019 10:40:00 AM"</f>
        <v>5/28/2019 10:40:00 AM</v>
      </c>
      <c r="O12750" t="s">
        <v>38406</v>
      </c>
    </row>
    <row r="12751" spans="1:20" x14ac:dyDescent="0.25">
      <c r="A12751" t="str">
        <f>"3061438"</f>
        <v>3061438</v>
      </c>
      <c r="B12751" t="s">
        <v>38408</v>
      </c>
      <c r="C12751" t="str">
        <f>"82528495"</f>
        <v>82528495</v>
      </c>
      <c r="D12751" t="s">
        <v>38409</v>
      </c>
      <c r="E12751" t="s">
        <v>38410</v>
      </c>
      <c r="F12751" t="s">
        <v>38411</v>
      </c>
      <c r="I12751" t="s">
        <v>184</v>
      </c>
      <c r="J12751" t="s">
        <v>30</v>
      </c>
      <c r="K12751" t="s">
        <v>3751</v>
      </c>
      <c r="M12751" t="s">
        <v>25733</v>
      </c>
      <c r="N12751" t="str">
        <f>"5/10/2019 11:01:00 AM"</f>
        <v>5/10/2019 11:01:00 AM</v>
      </c>
      <c r="O12751" t="s">
        <v>38409</v>
      </c>
      <c r="T12751" t="s">
        <v>38410</v>
      </c>
    </row>
    <row r="12752" spans="1:20" x14ac:dyDescent="0.25">
      <c r="A12752" t="str">
        <f>"3045393"</f>
        <v>3045393</v>
      </c>
      <c r="B12752" t="s">
        <v>38412</v>
      </c>
      <c r="C12752" t="str">
        <f>"8311589"</f>
        <v>8311589</v>
      </c>
      <c r="D12752" t="s">
        <v>38413</v>
      </c>
      <c r="E12752" t="s">
        <v>38414</v>
      </c>
      <c r="F12752" t="s">
        <v>38415</v>
      </c>
      <c r="I12752" t="s">
        <v>29</v>
      </c>
      <c r="J12752" t="s">
        <v>30</v>
      </c>
      <c r="K12752" t="s">
        <v>38416</v>
      </c>
      <c r="M12752" t="s">
        <v>17861</v>
      </c>
      <c r="N12752" t="str">
        <f>"6/12/2019 3:35:00 PM"</f>
        <v>6/12/2019 3:35:00 PM</v>
      </c>
      <c r="O12752" t="s">
        <v>38413</v>
      </c>
      <c r="T12752" t="s">
        <v>38414</v>
      </c>
    </row>
    <row r="12753" spans="1:20" x14ac:dyDescent="0.25">
      <c r="A12753" t="str">
        <f>"3078718"</f>
        <v>3078718</v>
      </c>
      <c r="B12753" t="s">
        <v>38417</v>
      </c>
      <c r="C12753" t="str">
        <f>"8311591"</f>
        <v>8311591</v>
      </c>
      <c r="D12753" t="s">
        <v>38418</v>
      </c>
      <c r="E12753" t="s">
        <v>38419</v>
      </c>
      <c r="F12753" t="s">
        <v>38420</v>
      </c>
      <c r="I12753" t="s">
        <v>29</v>
      </c>
      <c r="J12753" t="s">
        <v>30</v>
      </c>
      <c r="K12753" t="s">
        <v>28131</v>
      </c>
      <c r="M12753" t="s">
        <v>17861</v>
      </c>
      <c r="N12753" t="str">
        <f>"6/12/2019 3:42:00 PM"</f>
        <v>6/12/2019 3:42:00 PM</v>
      </c>
      <c r="O12753" t="s">
        <v>38418</v>
      </c>
      <c r="T12753" t="s">
        <v>38419</v>
      </c>
    </row>
    <row r="12754" spans="1:20" x14ac:dyDescent="0.25">
      <c r="A12754" t="str">
        <f>"3058298"</f>
        <v>3058298</v>
      </c>
      <c r="B12754" t="s">
        <v>38421</v>
      </c>
      <c r="C12754" t="str">
        <f>"8302351"</f>
        <v>8302351</v>
      </c>
      <c r="D12754" t="s">
        <v>38079</v>
      </c>
      <c r="E12754" t="s">
        <v>38080</v>
      </c>
      <c r="F12754" t="s">
        <v>38081</v>
      </c>
      <c r="I12754" t="s">
        <v>29</v>
      </c>
      <c r="J12754" t="s">
        <v>30</v>
      </c>
      <c r="K12754" t="str">
        <f>"27028"</f>
        <v>27028</v>
      </c>
      <c r="M12754" t="s">
        <v>34475</v>
      </c>
      <c r="N12754" t="str">
        <f>"5/10/2019 3:15:00 PM"</f>
        <v>5/10/2019 3:15:00 PM</v>
      </c>
      <c r="O12754" t="s">
        <v>38079</v>
      </c>
      <c r="T12754" t="s">
        <v>38080</v>
      </c>
    </row>
    <row r="12755" spans="1:20" x14ac:dyDescent="0.25">
      <c r="A12755" t="str">
        <f>"3062827"</f>
        <v>3062827</v>
      </c>
      <c r="B12755" t="s">
        <v>38422</v>
      </c>
      <c r="C12755" t="str">
        <f>"8311501"</f>
        <v>8311501</v>
      </c>
      <c r="D12755" t="s">
        <v>38423</v>
      </c>
      <c r="E12755" t="s">
        <v>38424</v>
      </c>
      <c r="F12755" t="s">
        <v>38425</v>
      </c>
      <c r="I12755" t="s">
        <v>29</v>
      </c>
      <c r="J12755" t="s">
        <v>30</v>
      </c>
      <c r="K12755" t="s">
        <v>38426</v>
      </c>
      <c r="M12755" t="s">
        <v>17861</v>
      </c>
      <c r="N12755" t="str">
        <f>"5/28/2019 11:10:00 AM"</f>
        <v>5/28/2019 11:10:00 AM</v>
      </c>
      <c r="O12755" t="s">
        <v>38423</v>
      </c>
      <c r="T12755" t="s">
        <v>38424</v>
      </c>
    </row>
    <row r="12756" spans="1:20" x14ac:dyDescent="0.25">
      <c r="A12756" t="str">
        <f>"3044144"</f>
        <v>3044144</v>
      </c>
      <c r="B12756" t="s">
        <v>38427</v>
      </c>
      <c r="C12756" t="str">
        <f>"8311533"</f>
        <v>8311533</v>
      </c>
      <c r="D12756" t="s">
        <v>38428</v>
      </c>
      <c r="E12756" t="s">
        <v>38429</v>
      </c>
      <c r="F12756" t="s">
        <v>38430</v>
      </c>
      <c r="I12756" t="s">
        <v>184</v>
      </c>
      <c r="J12756" t="s">
        <v>30</v>
      </c>
      <c r="K12756" t="s">
        <v>38431</v>
      </c>
      <c r="M12756" t="s">
        <v>17861</v>
      </c>
      <c r="N12756" t="str">
        <f>"6/13/2019 1:28:00 PM"</f>
        <v>6/13/2019 1:28:00 PM</v>
      </c>
      <c r="O12756" t="s">
        <v>38428</v>
      </c>
      <c r="T12756" t="s">
        <v>38429</v>
      </c>
    </row>
    <row r="12757" spans="1:20" x14ac:dyDescent="0.25">
      <c r="A12757" t="str">
        <f>"3058882"</f>
        <v>3058882</v>
      </c>
      <c r="B12757" t="s">
        <v>38432</v>
      </c>
      <c r="C12757" t="str">
        <f>"8310667"</f>
        <v>8310667</v>
      </c>
      <c r="D12757" t="s">
        <v>38433</v>
      </c>
      <c r="E12757" t="s">
        <v>38434</v>
      </c>
      <c r="F12757" t="s">
        <v>38435</v>
      </c>
      <c r="I12757" t="s">
        <v>29</v>
      </c>
      <c r="J12757" t="s">
        <v>30</v>
      </c>
      <c r="K12757" t="str">
        <f>"27028"</f>
        <v>27028</v>
      </c>
      <c r="M12757" t="s">
        <v>36935</v>
      </c>
      <c r="N12757" t="str">
        <f>"5/28/2019 12:18:00 PM"</f>
        <v>5/28/2019 12:18:00 PM</v>
      </c>
      <c r="O12757" t="s">
        <v>38433</v>
      </c>
      <c r="T12757" t="s">
        <v>38434</v>
      </c>
    </row>
    <row r="12758" spans="1:20" x14ac:dyDescent="0.25">
      <c r="A12758" t="str">
        <f>"3050046"</f>
        <v>3050046</v>
      </c>
      <c r="B12758" t="s">
        <v>38436</v>
      </c>
      <c r="C12758" t="str">
        <f>"49860000"</f>
        <v>49860000</v>
      </c>
      <c r="D12758" t="s">
        <v>38437</v>
      </c>
      <c r="F12758" t="s">
        <v>38438</v>
      </c>
      <c r="I12758" t="s">
        <v>29</v>
      </c>
      <c r="J12758" t="s">
        <v>30</v>
      </c>
      <c r="K12758" t="s">
        <v>37617</v>
      </c>
      <c r="M12758" t="s">
        <v>34475</v>
      </c>
      <c r="N12758" t="str">
        <f>"5/28/2019 12:47:00 PM"</f>
        <v>5/28/2019 12:47:00 PM</v>
      </c>
      <c r="O12758" t="s">
        <v>38437</v>
      </c>
    </row>
    <row r="12759" spans="1:20" x14ac:dyDescent="0.25">
      <c r="A12759" t="str">
        <f>"3057773"</f>
        <v>3057773</v>
      </c>
      <c r="B12759" t="s">
        <v>38439</v>
      </c>
      <c r="C12759" t="str">
        <f>"63682870"</f>
        <v>63682870</v>
      </c>
      <c r="D12759" t="s">
        <v>38440</v>
      </c>
      <c r="F12759" t="s">
        <v>38441</v>
      </c>
      <c r="I12759" t="s">
        <v>29</v>
      </c>
      <c r="J12759" t="s">
        <v>30</v>
      </c>
      <c r="K12759" t="s">
        <v>31</v>
      </c>
      <c r="M12759" t="s">
        <v>34475</v>
      </c>
      <c r="N12759" t="str">
        <f>"6/18/2019 11:02:00 AM"</f>
        <v>6/18/2019 11:02:00 AM</v>
      </c>
      <c r="O12759" t="s">
        <v>38440</v>
      </c>
    </row>
    <row r="12760" spans="1:20" x14ac:dyDescent="0.25">
      <c r="A12760" t="str">
        <f>"3059286"</f>
        <v>3059286</v>
      </c>
      <c r="B12760" t="s">
        <v>38442</v>
      </c>
      <c r="C12760" t="str">
        <f>"63682870"</f>
        <v>63682870</v>
      </c>
      <c r="D12760" t="s">
        <v>38440</v>
      </c>
      <c r="F12760" t="s">
        <v>38441</v>
      </c>
      <c r="I12760" t="s">
        <v>29</v>
      </c>
      <c r="J12760" t="s">
        <v>30</v>
      </c>
      <c r="K12760" t="s">
        <v>31</v>
      </c>
      <c r="M12760" t="s">
        <v>34475</v>
      </c>
      <c r="N12760" t="str">
        <f>"6/18/2019 11:02:00 AM"</f>
        <v>6/18/2019 11:02:00 AM</v>
      </c>
      <c r="O12760" t="s">
        <v>38440</v>
      </c>
    </row>
    <row r="12761" spans="1:20" x14ac:dyDescent="0.25">
      <c r="A12761" t="str">
        <f>"3050398"</f>
        <v>3050398</v>
      </c>
      <c r="B12761" t="s">
        <v>38443</v>
      </c>
      <c r="C12761" t="str">
        <f>"8311520"</f>
        <v>8311520</v>
      </c>
      <c r="D12761" t="s">
        <v>38444</v>
      </c>
      <c r="E12761" t="s">
        <v>38445</v>
      </c>
      <c r="F12761" t="s">
        <v>38446</v>
      </c>
      <c r="I12761" t="s">
        <v>184</v>
      </c>
      <c r="J12761" t="s">
        <v>30</v>
      </c>
      <c r="K12761" t="s">
        <v>12471</v>
      </c>
      <c r="M12761" t="s">
        <v>17861</v>
      </c>
      <c r="N12761" t="str">
        <f>"6/3/2019 3:49:00 PM"</f>
        <v>6/3/2019 3:49:00 PM</v>
      </c>
      <c r="O12761" t="s">
        <v>38444</v>
      </c>
      <c r="T12761" t="s">
        <v>38445</v>
      </c>
    </row>
    <row r="12762" spans="1:20" x14ac:dyDescent="0.25">
      <c r="A12762" t="str">
        <f>"3042211"</f>
        <v>3042211</v>
      </c>
      <c r="B12762" t="s">
        <v>38447</v>
      </c>
      <c r="C12762" t="str">
        <f>"8311523"</f>
        <v>8311523</v>
      </c>
      <c r="D12762" t="s">
        <v>38448</v>
      </c>
      <c r="E12762" t="s">
        <v>38449</v>
      </c>
      <c r="F12762" t="s">
        <v>38450</v>
      </c>
      <c r="I12762" t="s">
        <v>184</v>
      </c>
      <c r="J12762" t="s">
        <v>30</v>
      </c>
      <c r="K12762" t="s">
        <v>38451</v>
      </c>
      <c r="M12762" t="s">
        <v>17861</v>
      </c>
      <c r="N12762" t="str">
        <f>"6/3/2019 4:10:00 PM"</f>
        <v>6/3/2019 4:10:00 PM</v>
      </c>
      <c r="O12762" t="s">
        <v>38448</v>
      </c>
      <c r="T12762" t="s">
        <v>38449</v>
      </c>
    </row>
    <row r="12763" spans="1:20" x14ac:dyDescent="0.25">
      <c r="A12763" t="str">
        <f>"3077158"</f>
        <v>3077158</v>
      </c>
      <c r="B12763" t="s">
        <v>38452</v>
      </c>
      <c r="C12763" t="str">
        <f>"8311523"</f>
        <v>8311523</v>
      </c>
      <c r="D12763" t="s">
        <v>38448</v>
      </c>
      <c r="E12763" t="s">
        <v>38449</v>
      </c>
      <c r="F12763" t="s">
        <v>38450</v>
      </c>
      <c r="I12763" t="s">
        <v>184</v>
      </c>
      <c r="J12763" t="s">
        <v>30</v>
      </c>
      <c r="K12763" t="s">
        <v>38451</v>
      </c>
      <c r="M12763" t="s">
        <v>17861</v>
      </c>
      <c r="N12763" t="str">
        <f>"6/3/2019 4:10:00 PM"</f>
        <v>6/3/2019 4:10:00 PM</v>
      </c>
      <c r="O12763" t="s">
        <v>38448</v>
      </c>
      <c r="T12763" t="s">
        <v>38449</v>
      </c>
    </row>
    <row r="12764" spans="1:20" x14ac:dyDescent="0.25">
      <c r="A12764" t="str">
        <f>"3038482"</f>
        <v>3038482</v>
      </c>
      <c r="B12764" t="s">
        <v>38453</v>
      </c>
      <c r="C12764" t="str">
        <f>"8311525"</f>
        <v>8311525</v>
      </c>
      <c r="D12764" t="s">
        <v>38454</v>
      </c>
      <c r="F12764" t="s">
        <v>38455</v>
      </c>
      <c r="I12764" t="s">
        <v>29</v>
      </c>
      <c r="J12764" t="s">
        <v>30</v>
      </c>
      <c r="K12764" t="s">
        <v>38456</v>
      </c>
      <c r="M12764" t="s">
        <v>17861</v>
      </c>
      <c r="N12764" t="str">
        <f>"6/3/2019 4:17:00 PM"</f>
        <v>6/3/2019 4:17:00 PM</v>
      </c>
      <c r="O12764" t="s">
        <v>38454</v>
      </c>
    </row>
    <row r="12765" spans="1:20" x14ac:dyDescent="0.25">
      <c r="A12765" t="str">
        <f>"3047599"</f>
        <v>3047599</v>
      </c>
      <c r="B12765" t="s">
        <v>38457</v>
      </c>
      <c r="C12765" t="str">
        <f>"8311536"</f>
        <v>8311536</v>
      </c>
      <c r="D12765" t="s">
        <v>38458</v>
      </c>
      <c r="E12765" t="s">
        <v>38459</v>
      </c>
      <c r="F12765" t="s">
        <v>38460</v>
      </c>
      <c r="I12765" t="s">
        <v>29</v>
      </c>
      <c r="J12765" t="s">
        <v>30</v>
      </c>
      <c r="K12765" t="s">
        <v>38461</v>
      </c>
      <c r="M12765" t="s">
        <v>17861</v>
      </c>
      <c r="N12765" t="str">
        <f>"6/7/2019 10:56:00 AM"</f>
        <v>6/7/2019 10:56:00 AM</v>
      </c>
      <c r="O12765" t="s">
        <v>38458</v>
      </c>
      <c r="T12765" t="s">
        <v>38459</v>
      </c>
    </row>
    <row r="12766" spans="1:20" x14ac:dyDescent="0.25">
      <c r="A12766" t="str">
        <f>"3060234"</f>
        <v>3060234</v>
      </c>
      <c r="B12766" t="s">
        <v>38462</v>
      </c>
      <c r="C12766" t="str">
        <f>"8311539"</f>
        <v>8311539</v>
      </c>
      <c r="D12766" t="s">
        <v>38463</v>
      </c>
      <c r="E12766" t="s">
        <v>38464</v>
      </c>
      <c r="F12766" t="s">
        <v>38465</v>
      </c>
      <c r="I12766" t="s">
        <v>184</v>
      </c>
      <c r="J12766" t="s">
        <v>30</v>
      </c>
      <c r="K12766" t="s">
        <v>38466</v>
      </c>
      <c r="M12766" t="s">
        <v>17861</v>
      </c>
      <c r="N12766" t="str">
        <f>"6/7/2019 2:34:00 PM"</f>
        <v>6/7/2019 2:34:00 PM</v>
      </c>
      <c r="O12766" t="s">
        <v>38463</v>
      </c>
      <c r="T12766" t="s">
        <v>38464</v>
      </c>
    </row>
    <row r="12767" spans="1:20" x14ac:dyDescent="0.25">
      <c r="A12767" t="str">
        <f>"3061268"</f>
        <v>3061268</v>
      </c>
      <c r="B12767" t="s">
        <v>38467</v>
      </c>
      <c r="C12767" t="str">
        <f>"8311604"</f>
        <v>8311604</v>
      </c>
      <c r="D12767" t="s">
        <v>38468</v>
      </c>
      <c r="E12767" t="s">
        <v>38469</v>
      </c>
      <c r="F12767" t="s">
        <v>38470</v>
      </c>
      <c r="I12767" t="s">
        <v>2071</v>
      </c>
      <c r="J12767" t="s">
        <v>30</v>
      </c>
      <c r="K12767" t="s">
        <v>38066</v>
      </c>
      <c r="M12767" t="s">
        <v>17861</v>
      </c>
      <c r="N12767" t="str">
        <f>"6/20/2019 9:56:00 AM"</f>
        <v>6/20/2019 9:56:00 AM</v>
      </c>
      <c r="O12767" t="s">
        <v>38468</v>
      </c>
      <c r="T12767" t="s">
        <v>38469</v>
      </c>
    </row>
    <row r="12768" spans="1:20" x14ac:dyDescent="0.25">
      <c r="A12768" t="str">
        <f>"3046791"</f>
        <v>3046791</v>
      </c>
      <c r="B12768" t="s">
        <v>38471</v>
      </c>
      <c r="C12768" t="str">
        <f>"8311605"</f>
        <v>8311605</v>
      </c>
      <c r="D12768" t="str">
        <f>"MYERS STACY L/CARROLL LONG"</f>
        <v>MYERS STACY L/CARROLL LONG</v>
      </c>
      <c r="E12768" t="s">
        <v>38472</v>
      </c>
      <c r="F12768" t="s">
        <v>38473</v>
      </c>
      <c r="I12768" t="s">
        <v>184</v>
      </c>
      <c r="J12768" t="s">
        <v>30</v>
      </c>
      <c r="K12768" t="s">
        <v>38474</v>
      </c>
      <c r="M12768" t="s">
        <v>17861</v>
      </c>
      <c r="N12768" t="str">
        <f>"6/20/2019 10:03:00 AM"</f>
        <v>6/20/2019 10:03:00 AM</v>
      </c>
      <c r="O12768" t="str">
        <f>"MYERS STACY L/CARROLL LONG"</f>
        <v>MYERS STACY L/CARROLL LONG</v>
      </c>
      <c r="T12768" t="s">
        <v>38472</v>
      </c>
    </row>
    <row r="12769" spans="1:20" x14ac:dyDescent="0.25">
      <c r="A12769" t="str">
        <f>"3052695"</f>
        <v>3052695</v>
      </c>
      <c r="B12769" t="s">
        <v>38475</v>
      </c>
      <c r="C12769" t="str">
        <f>"8311606"</f>
        <v>8311606</v>
      </c>
      <c r="D12769" t="s">
        <v>38476</v>
      </c>
      <c r="F12769" t="s">
        <v>38477</v>
      </c>
      <c r="I12769" t="s">
        <v>29</v>
      </c>
      <c r="J12769" t="s">
        <v>30</v>
      </c>
      <c r="K12769" t="str">
        <f>"27028"</f>
        <v>27028</v>
      </c>
      <c r="M12769" t="s">
        <v>17861</v>
      </c>
      <c r="N12769" t="str">
        <f>"6/20/2019 10:05:00 AM"</f>
        <v>6/20/2019 10:05:00 AM</v>
      </c>
      <c r="O12769" t="s">
        <v>38476</v>
      </c>
    </row>
    <row r="12770" spans="1:20" x14ac:dyDescent="0.25">
      <c r="A12770" t="str">
        <f>"3051446"</f>
        <v>3051446</v>
      </c>
      <c r="B12770" t="s">
        <v>38478</v>
      </c>
      <c r="C12770" t="str">
        <f>"8311607"</f>
        <v>8311607</v>
      </c>
      <c r="D12770" t="s">
        <v>38479</v>
      </c>
      <c r="F12770" t="s">
        <v>38480</v>
      </c>
      <c r="I12770" t="s">
        <v>29</v>
      </c>
      <c r="J12770" t="s">
        <v>30</v>
      </c>
      <c r="K12770" t="s">
        <v>38481</v>
      </c>
      <c r="M12770" t="s">
        <v>17861</v>
      </c>
      <c r="N12770" t="str">
        <f>"6/20/2019 10:07:00 AM"</f>
        <v>6/20/2019 10:07:00 AM</v>
      </c>
      <c r="O12770" t="s">
        <v>38479</v>
      </c>
    </row>
    <row r="12771" spans="1:20" x14ac:dyDescent="0.25">
      <c r="A12771" t="str">
        <f>"3038645"</f>
        <v>3038645</v>
      </c>
      <c r="B12771" t="s">
        <v>38482</v>
      </c>
      <c r="C12771" t="str">
        <f>"8311609"</f>
        <v>8311609</v>
      </c>
      <c r="D12771" t="s">
        <v>38483</v>
      </c>
      <c r="E12771" t="s">
        <v>38484</v>
      </c>
      <c r="F12771" t="s">
        <v>38485</v>
      </c>
      <c r="I12771" t="s">
        <v>29</v>
      </c>
      <c r="J12771" t="s">
        <v>30</v>
      </c>
      <c r="K12771" t="str">
        <f>"27028"</f>
        <v>27028</v>
      </c>
      <c r="M12771" t="s">
        <v>17861</v>
      </c>
      <c r="N12771" t="str">
        <f>"6/20/2019 10:19:00 AM"</f>
        <v>6/20/2019 10:19:00 AM</v>
      </c>
      <c r="O12771" t="s">
        <v>38483</v>
      </c>
      <c r="T12771" t="s">
        <v>38484</v>
      </c>
    </row>
    <row r="12772" spans="1:20" x14ac:dyDescent="0.25">
      <c r="A12772" t="str">
        <f>"3075337"</f>
        <v>3075337</v>
      </c>
      <c r="B12772" t="s">
        <v>38486</v>
      </c>
      <c r="C12772" t="str">
        <f>"8311611"</f>
        <v>8311611</v>
      </c>
      <c r="D12772" t="s">
        <v>38487</v>
      </c>
      <c r="E12772" t="s">
        <v>38488</v>
      </c>
      <c r="F12772" t="s">
        <v>38489</v>
      </c>
      <c r="I12772" t="s">
        <v>29</v>
      </c>
      <c r="J12772" t="s">
        <v>30</v>
      </c>
      <c r="K12772" t="s">
        <v>38490</v>
      </c>
      <c r="M12772" t="s">
        <v>17861</v>
      </c>
      <c r="N12772" t="str">
        <f>"6/20/2019 11:04:00 AM"</f>
        <v>6/20/2019 11:04:00 AM</v>
      </c>
      <c r="O12772" t="s">
        <v>38487</v>
      </c>
      <c r="T12772" t="s">
        <v>38488</v>
      </c>
    </row>
    <row r="12773" spans="1:20" x14ac:dyDescent="0.25">
      <c r="A12773" t="str">
        <f>"3042367"</f>
        <v>3042367</v>
      </c>
      <c r="B12773" t="s">
        <v>38491</v>
      </c>
      <c r="C12773" t="str">
        <f>"8311613"</f>
        <v>8311613</v>
      </c>
      <c r="D12773" t="s">
        <v>38492</v>
      </c>
      <c r="E12773" t="s">
        <v>38493</v>
      </c>
      <c r="F12773" t="s">
        <v>38494</v>
      </c>
      <c r="I12773" t="s">
        <v>184</v>
      </c>
      <c r="J12773" t="s">
        <v>30</v>
      </c>
      <c r="K12773" t="s">
        <v>3457</v>
      </c>
      <c r="M12773" t="s">
        <v>17861</v>
      </c>
      <c r="N12773" t="str">
        <f>"6/20/2019 11:15:00 AM"</f>
        <v>6/20/2019 11:15:00 AM</v>
      </c>
      <c r="O12773" t="s">
        <v>38492</v>
      </c>
      <c r="T12773" t="s">
        <v>38493</v>
      </c>
    </row>
    <row r="12774" spans="1:20" x14ac:dyDescent="0.25">
      <c r="A12774" t="str">
        <f>"3047809"</f>
        <v>3047809</v>
      </c>
      <c r="B12774" t="s">
        <v>38495</v>
      </c>
      <c r="C12774" t="str">
        <f>"8311550"</f>
        <v>8311550</v>
      </c>
      <c r="D12774" t="s">
        <v>38354</v>
      </c>
      <c r="E12774" t="s">
        <v>38355</v>
      </c>
      <c r="F12774" t="s">
        <v>38356</v>
      </c>
      <c r="I12774" t="s">
        <v>184</v>
      </c>
      <c r="J12774" t="s">
        <v>30</v>
      </c>
      <c r="K12774" t="s">
        <v>7531</v>
      </c>
      <c r="M12774" t="s">
        <v>17861</v>
      </c>
      <c r="N12774" t="str">
        <f>"6/10/2019 9:31:00 AM"</f>
        <v>6/10/2019 9:31:00 AM</v>
      </c>
      <c r="O12774" t="s">
        <v>38354</v>
      </c>
      <c r="T12774" t="s">
        <v>38355</v>
      </c>
    </row>
    <row r="12775" spans="1:20" x14ac:dyDescent="0.25">
      <c r="A12775" t="str">
        <f>"3047810"</f>
        <v>3047810</v>
      </c>
      <c r="B12775" t="s">
        <v>38496</v>
      </c>
      <c r="C12775" t="str">
        <f>"8311550"</f>
        <v>8311550</v>
      </c>
      <c r="D12775" t="s">
        <v>38354</v>
      </c>
      <c r="E12775" t="s">
        <v>38355</v>
      </c>
      <c r="F12775" t="s">
        <v>38356</v>
      </c>
      <c r="I12775" t="s">
        <v>184</v>
      </c>
      <c r="J12775" t="s">
        <v>30</v>
      </c>
      <c r="K12775" t="s">
        <v>7531</v>
      </c>
      <c r="M12775" t="s">
        <v>17861</v>
      </c>
      <c r="N12775" t="str">
        <f>"6/10/2019 9:31:00 AM"</f>
        <v>6/10/2019 9:31:00 AM</v>
      </c>
      <c r="O12775" t="s">
        <v>38354</v>
      </c>
      <c r="T12775" t="s">
        <v>38355</v>
      </c>
    </row>
    <row r="12776" spans="1:20" x14ac:dyDescent="0.25">
      <c r="A12776" t="str">
        <f>"3058770"</f>
        <v>3058770</v>
      </c>
      <c r="B12776" t="s">
        <v>38497</v>
      </c>
      <c r="C12776" t="str">
        <f>"8311555"</f>
        <v>8311555</v>
      </c>
      <c r="D12776" t="s">
        <v>38498</v>
      </c>
      <c r="F12776" t="s">
        <v>38499</v>
      </c>
      <c r="I12776" t="s">
        <v>29</v>
      </c>
      <c r="J12776" t="s">
        <v>30</v>
      </c>
      <c r="K12776" t="s">
        <v>34195</v>
      </c>
      <c r="M12776" t="s">
        <v>17861</v>
      </c>
      <c r="N12776" t="str">
        <f>"6/10/2019 10:05:00 AM"</f>
        <v>6/10/2019 10:05:00 AM</v>
      </c>
      <c r="O12776" t="s">
        <v>38498</v>
      </c>
    </row>
    <row r="12777" spans="1:20" x14ac:dyDescent="0.25">
      <c r="A12777" t="str">
        <f>"3046730"</f>
        <v>3046730</v>
      </c>
      <c r="B12777" t="s">
        <v>38500</v>
      </c>
      <c r="C12777" t="str">
        <f>"8311558"</f>
        <v>8311558</v>
      </c>
      <c r="D12777" t="s">
        <v>38501</v>
      </c>
      <c r="E12777" t="s">
        <v>38502</v>
      </c>
      <c r="F12777" t="s">
        <v>38503</v>
      </c>
      <c r="I12777" t="s">
        <v>184</v>
      </c>
      <c r="J12777" t="s">
        <v>30</v>
      </c>
      <c r="K12777" t="s">
        <v>7603</v>
      </c>
      <c r="M12777" t="s">
        <v>17861</v>
      </c>
      <c r="N12777" t="str">
        <f>"6/10/2019 11:04:00 AM"</f>
        <v>6/10/2019 11:04:00 AM</v>
      </c>
      <c r="O12777" t="s">
        <v>38501</v>
      </c>
      <c r="T12777" t="s">
        <v>38502</v>
      </c>
    </row>
    <row r="12778" spans="1:20" x14ac:dyDescent="0.25">
      <c r="A12778" t="str">
        <f>"3068633"</f>
        <v>3068633</v>
      </c>
      <c r="B12778" t="s">
        <v>38504</v>
      </c>
      <c r="C12778" t="str">
        <f>"8311560"</f>
        <v>8311560</v>
      </c>
      <c r="D12778" t="s">
        <v>38505</v>
      </c>
      <c r="E12778" t="s">
        <v>38506</v>
      </c>
      <c r="F12778" t="s">
        <v>38507</v>
      </c>
      <c r="I12778" t="s">
        <v>29</v>
      </c>
      <c r="J12778" t="s">
        <v>30</v>
      </c>
      <c r="K12778" t="s">
        <v>10017</v>
      </c>
      <c r="M12778" t="s">
        <v>17861</v>
      </c>
      <c r="N12778" t="str">
        <f>"6/10/2019 11:20:00 AM"</f>
        <v>6/10/2019 11:20:00 AM</v>
      </c>
      <c r="O12778" t="s">
        <v>38505</v>
      </c>
      <c r="T12778" t="s">
        <v>38506</v>
      </c>
    </row>
    <row r="12779" spans="1:20" x14ac:dyDescent="0.25">
      <c r="A12779" t="str">
        <f>"3050422"</f>
        <v>3050422</v>
      </c>
      <c r="B12779" t="s">
        <v>38508</v>
      </c>
      <c r="C12779" t="str">
        <f>"8311562"</f>
        <v>8311562</v>
      </c>
      <c r="D12779" t="s">
        <v>38509</v>
      </c>
      <c r="E12779" t="s">
        <v>38510</v>
      </c>
      <c r="F12779" t="s">
        <v>38511</v>
      </c>
      <c r="I12779" t="s">
        <v>29</v>
      </c>
      <c r="J12779" t="s">
        <v>30</v>
      </c>
      <c r="K12779" t="s">
        <v>25014</v>
      </c>
      <c r="M12779" t="s">
        <v>17861</v>
      </c>
      <c r="N12779" t="str">
        <f>"6/10/2019 12:46:00 PM"</f>
        <v>6/10/2019 12:46:00 PM</v>
      </c>
      <c r="O12779" t="s">
        <v>38509</v>
      </c>
      <c r="T12779" t="s">
        <v>38510</v>
      </c>
    </row>
    <row r="12780" spans="1:20" x14ac:dyDescent="0.25">
      <c r="A12780" t="str">
        <f>"3045108"</f>
        <v>3045108</v>
      </c>
      <c r="B12780" t="s">
        <v>38512</v>
      </c>
      <c r="C12780" t="str">
        <f>"8311563"</f>
        <v>8311563</v>
      </c>
      <c r="D12780" t="s">
        <v>38513</v>
      </c>
      <c r="E12780" t="s">
        <v>38514</v>
      </c>
      <c r="F12780" t="s">
        <v>38515</v>
      </c>
      <c r="I12780" t="s">
        <v>29</v>
      </c>
      <c r="J12780" t="s">
        <v>30</v>
      </c>
      <c r="K12780" t="s">
        <v>34844</v>
      </c>
      <c r="M12780" t="s">
        <v>17861</v>
      </c>
      <c r="N12780" t="str">
        <f>"6/10/2019 1:00:00 PM"</f>
        <v>6/10/2019 1:00:00 PM</v>
      </c>
      <c r="O12780" t="s">
        <v>38513</v>
      </c>
      <c r="T12780" t="s">
        <v>38514</v>
      </c>
    </row>
    <row r="12781" spans="1:20" x14ac:dyDescent="0.25">
      <c r="A12781" t="str">
        <f>"3040590"</f>
        <v>3040590</v>
      </c>
      <c r="B12781" t="s">
        <v>38516</v>
      </c>
      <c r="C12781" t="str">
        <f>"8311569"</f>
        <v>8311569</v>
      </c>
      <c r="D12781" t="s">
        <v>38517</v>
      </c>
      <c r="F12781" t="s">
        <v>38518</v>
      </c>
      <c r="I12781" t="s">
        <v>184</v>
      </c>
      <c r="J12781" t="s">
        <v>30</v>
      </c>
      <c r="K12781" t="s">
        <v>38519</v>
      </c>
      <c r="M12781" t="s">
        <v>17861</v>
      </c>
      <c r="N12781" t="str">
        <f>"6/10/2019 1:52:00 PM"</f>
        <v>6/10/2019 1:52:00 PM</v>
      </c>
      <c r="O12781" t="s">
        <v>38517</v>
      </c>
    </row>
    <row r="12782" spans="1:20" x14ac:dyDescent="0.25">
      <c r="A12782" t="str">
        <f>"3061329"</f>
        <v>3061329</v>
      </c>
      <c r="B12782" t="s">
        <v>38520</v>
      </c>
      <c r="C12782" t="str">
        <f>"8311579"</f>
        <v>8311579</v>
      </c>
      <c r="D12782" t="s">
        <v>38521</v>
      </c>
      <c r="E12782" t="s">
        <v>38522</v>
      </c>
      <c r="F12782" t="s">
        <v>38523</v>
      </c>
      <c r="I12782" t="s">
        <v>184</v>
      </c>
      <c r="J12782" t="s">
        <v>30</v>
      </c>
      <c r="K12782" t="s">
        <v>25370</v>
      </c>
      <c r="M12782" t="s">
        <v>17861</v>
      </c>
      <c r="N12782" t="str">
        <f>"6/12/2019 10:05:00 AM"</f>
        <v>6/12/2019 10:05:00 AM</v>
      </c>
      <c r="O12782" t="s">
        <v>38521</v>
      </c>
      <c r="T12782" t="s">
        <v>38522</v>
      </c>
    </row>
    <row r="12783" spans="1:20" x14ac:dyDescent="0.25">
      <c r="A12783" t="str">
        <f>"3044195"</f>
        <v>3044195</v>
      </c>
      <c r="B12783" t="s">
        <v>38524</v>
      </c>
      <c r="C12783" t="str">
        <f>"8311580"</f>
        <v>8311580</v>
      </c>
      <c r="D12783" t="s">
        <v>38525</v>
      </c>
      <c r="E12783" t="s">
        <v>38526</v>
      </c>
      <c r="F12783" t="s">
        <v>38527</v>
      </c>
      <c r="I12783" t="s">
        <v>184</v>
      </c>
      <c r="J12783" t="s">
        <v>30</v>
      </c>
      <c r="K12783" t="s">
        <v>5191</v>
      </c>
      <c r="M12783" t="s">
        <v>17861</v>
      </c>
      <c r="N12783" t="str">
        <f>"6/12/2019 10:09:00 AM"</f>
        <v>6/12/2019 10:09:00 AM</v>
      </c>
      <c r="O12783" t="s">
        <v>38525</v>
      </c>
      <c r="T12783" t="s">
        <v>38526</v>
      </c>
    </row>
    <row r="12784" spans="1:20" x14ac:dyDescent="0.25">
      <c r="A12784" t="str">
        <f>"3037962"</f>
        <v>3037962</v>
      </c>
      <c r="B12784" t="s">
        <v>38528</v>
      </c>
      <c r="C12784" t="str">
        <f>"8311586"</f>
        <v>8311586</v>
      </c>
      <c r="D12784" t="s">
        <v>38529</v>
      </c>
      <c r="F12784" t="s">
        <v>38530</v>
      </c>
      <c r="I12784" t="s">
        <v>29</v>
      </c>
      <c r="J12784" t="s">
        <v>30</v>
      </c>
      <c r="K12784" t="s">
        <v>38531</v>
      </c>
      <c r="M12784" t="s">
        <v>17861</v>
      </c>
      <c r="N12784" t="str">
        <f>"6/12/2019 3:02:00 PM"</f>
        <v>6/12/2019 3:02:00 PM</v>
      </c>
      <c r="O12784" t="s">
        <v>38529</v>
      </c>
    </row>
    <row r="12785" spans="1:20" x14ac:dyDescent="0.25">
      <c r="A12785" t="str">
        <f>"3047187"</f>
        <v>3047187</v>
      </c>
      <c r="B12785" t="s">
        <v>38532</v>
      </c>
      <c r="C12785" t="str">
        <f>"8305774"</f>
        <v>8305774</v>
      </c>
      <c r="D12785" t="s">
        <v>17997</v>
      </c>
      <c r="F12785" t="s">
        <v>17999</v>
      </c>
      <c r="I12785" t="s">
        <v>184</v>
      </c>
      <c r="J12785" t="s">
        <v>30</v>
      </c>
      <c r="K12785" t="s">
        <v>38533</v>
      </c>
      <c r="M12785" t="s">
        <v>18479</v>
      </c>
      <c r="N12785" t="str">
        <f>"6/13/2019 9:07:00 AM"</f>
        <v>6/13/2019 9:07:00 AM</v>
      </c>
      <c r="O12785" t="s">
        <v>17997</v>
      </c>
    </row>
    <row r="12786" spans="1:20" x14ac:dyDescent="0.25">
      <c r="A12786" t="str">
        <f>"3042795"</f>
        <v>3042795</v>
      </c>
      <c r="B12786" t="s">
        <v>38534</v>
      </c>
      <c r="C12786" t="str">
        <f>"8308632"</f>
        <v>8308632</v>
      </c>
      <c r="D12786" t="s">
        <v>38535</v>
      </c>
      <c r="E12786" t="s">
        <v>38536</v>
      </c>
      <c r="F12786" t="s">
        <v>38537</v>
      </c>
      <c r="I12786" t="s">
        <v>29</v>
      </c>
      <c r="J12786" t="s">
        <v>30</v>
      </c>
      <c r="K12786" t="s">
        <v>38538</v>
      </c>
      <c r="M12786" t="s">
        <v>18479</v>
      </c>
      <c r="N12786" t="str">
        <f>"6/13/2019 10:32:00 AM"</f>
        <v>6/13/2019 10:32:00 AM</v>
      </c>
      <c r="O12786" t="s">
        <v>38535</v>
      </c>
      <c r="T12786" t="s">
        <v>38536</v>
      </c>
    </row>
    <row r="12787" spans="1:20" x14ac:dyDescent="0.25">
      <c r="A12787" t="str">
        <f>"3041582"</f>
        <v>3041582</v>
      </c>
      <c r="B12787" t="s">
        <v>38539</v>
      </c>
      <c r="C12787" t="str">
        <f>"8311452"</f>
        <v>8311452</v>
      </c>
      <c r="D12787" t="s">
        <v>38540</v>
      </c>
      <c r="E12787" t="s">
        <v>38541</v>
      </c>
      <c r="F12787" t="s">
        <v>38542</v>
      </c>
      <c r="I12787" t="s">
        <v>2071</v>
      </c>
      <c r="J12787" t="s">
        <v>30</v>
      </c>
      <c r="K12787" t="s">
        <v>20267</v>
      </c>
      <c r="M12787" t="s">
        <v>25733</v>
      </c>
      <c r="N12787" t="str">
        <f>"6/17/2019 3:50:00 PM"</f>
        <v>6/17/2019 3:50:00 PM</v>
      </c>
      <c r="O12787" t="s">
        <v>38540</v>
      </c>
      <c r="T12787" t="s">
        <v>38541</v>
      </c>
    </row>
    <row r="12788" spans="1:20" x14ac:dyDescent="0.25">
      <c r="A12788" t="str">
        <f>"3060133"</f>
        <v>3060133</v>
      </c>
      <c r="B12788" t="s">
        <v>38543</v>
      </c>
      <c r="C12788" t="str">
        <f>"8311653"</f>
        <v>8311653</v>
      </c>
      <c r="D12788" t="s">
        <v>38544</v>
      </c>
      <c r="E12788" t="s">
        <v>38545</v>
      </c>
      <c r="F12788" t="s">
        <v>38546</v>
      </c>
      <c r="I12788" t="s">
        <v>184</v>
      </c>
      <c r="J12788" t="s">
        <v>30</v>
      </c>
      <c r="K12788" t="s">
        <v>35635</v>
      </c>
      <c r="M12788" t="s">
        <v>17861</v>
      </c>
      <c r="N12788" t="str">
        <f>"6/28/2019 11:10:00 AM"</f>
        <v>6/28/2019 11:10:00 AM</v>
      </c>
      <c r="O12788" t="s">
        <v>38544</v>
      </c>
      <c r="T12788" t="s">
        <v>38545</v>
      </c>
    </row>
    <row r="12789" spans="1:20" x14ac:dyDescent="0.25">
      <c r="A12789" t="str">
        <f>"3057818"</f>
        <v>3057818</v>
      </c>
      <c r="B12789" t="s">
        <v>38547</v>
      </c>
      <c r="C12789" t="str">
        <f>"63682870"</f>
        <v>63682870</v>
      </c>
      <c r="D12789" t="s">
        <v>38440</v>
      </c>
      <c r="F12789" t="s">
        <v>38441</v>
      </c>
      <c r="I12789" t="s">
        <v>29</v>
      </c>
      <c r="J12789" t="s">
        <v>30</v>
      </c>
      <c r="K12789" t="s">
        <v>31</v>
      </c>
      <c r="M12789" t="s">
        <v>34475</v>
      </c>
      <c r="N12789" t="str">
        <f>"6/18/2019 11:02:00 AM"</f>
        <v>6/18/2019 11:02:00 AM</v>
      </c>
      <c r="O12789" t="s">
        <v>38440</v>
      </c>
    </row>
    <row r="12790" spans="1:20" x14ac:dyDescent="0.25">
      <c r="A12790" t="str">
        <f>"3051054"</f>
        <v>3051054</v>
      </c>
      <c r="B12790" t="s">
        <v>38548</v>
      </c>
      <c r="C12790" t="str">
        <f>"14073370"</f>
        <v>14073370</v>
      </c>
      <c r="D12790" t="s">
        <v>38549</v>
      </c>
      <c r="E12790" t="s">
        <v>38550</v>
      </c>
      <c r="F12790" t="s">
        <v>38551</v>
      </c>
      <c r="I12790" t="s">
        <v>964</v>
      </c>
      <c r="J12790" t="s">
        <v>30</v>
      </c>
      <c r="K12790" t="s">
        <v>38552</v>
      </c>
      <c r="M12790" t="s">
        <v>34475</v>
      </c>
      <c r="N12790" t="str">
        <f>"5/29/2019 12:36:00 PM"</f>
        <v>5/29/2019 12:36:00 PM</v>
      </c>
      <c r="O12790" t="s">
        <v>38549</v>
      </c>
      <c r="T12790" t="s">
        <v>38550</v>
      </c>
    </row>
    <row r="12791" spans="1:20" x14ac:dyDescent="0.25">
      <c r="A12791" t="str">
        <f>"3037213"</f>
        <v>3037213</v>
      </c>
      <c r="B12791" t="s">
        <v>38553</v>
      </c>
      <c r="C12791" t="str">
        <f>"50992000"</f>
        <v>50992000</v>
      </c>
      <c r="D12791" t="s">
        <v>38554</v>
      </c>
      <c r="F12791" t="s">
        <v>38555</v>
      </c>
      <c r="I12791" t="s">
        <v>3694</v>
      </c>
      <c r="J12791" t="s">
        <v>30</v>
      </c>
      <c r="K12791" t="s">
        <v>38556</v>
      </c>
      <c r="M12791" t="s">
        <v>25733</v>
      </c>
      <c r="N12791" t="str">
        <f>"5/30/2019 11:04:00 AM"</f>
        <v>5/30/2019 11:04:00 AM</v>
      </c>
      <c r="O12791" t="s">
        <v>38554</v>
      </c>
    </row>
    <row r="12792" spans="1:20" x14ac:dyDescent="0.25">
      <c r="A12792" t="str">
        <f>"3044424"</f>
        <v>3044424</v>
      </c>
      <c r="B12792" t="s">
        <v>38557</v>
      </c>
      <c r="C12792" t="str">
        <f>"8311664"</f>
        <v>8311664</v>
      </c>
      <c r="D12792" t="s">
        <v>38558</v>
      </c>
      <c r="F12792" t="s">
        <v>38559</v>
      </c>
      <c r="I12792" t="s">
        <v>184</v>
      </c>
      <c r="J12792" t="s">
        <v>30</v>
      </c>
      <c r="K12792" t="s">
        <v>17962</v>
      </c>
      <c r="M12792" t="s">
        <v>17861</v>
      </c>
      <c r="N12792" t="str">
        <f>"7/1/2019 1:41:00 PM"</f>
        <v>7/1/2019 1:41:00 PM</v>
      </c>
      <c r="O12792" t="s">
        <v>38558</v>
      </c>
    </row>
    <row r="12793" spans="1:20" x14ac:dyDescent="0.25">
      <c r="A12793" t="str">
        <f>"3043227"</f>
        <v>3043227</v>
      </c>
      <c r="B12793" t="s">
        <v>38560</v>
      </c>
      <c r="C12793" t="str">
        <f>"8311666"</f>
        <v>8311666</v>
      </c>
      <c r="D12793" t="s">
        <v>38561</v>
      </c>
      <c r="E12793" t="s">
        <v>38562</v>
      </c>
      <c r="F12793" t="s">
        <v>38563</v>
      </c>
      <c r="I12793" t="s">
        <v>471</v>
      </c>
      <c r="J12793" t="s">
        <v>30</v>
      </c>
      <c r="K12793" t="s">
        <v>38564</v>
      </c>
      <c r="M12793" t="s">
        <v>17861</v>
      </c>
      <c r="N12793" t="str">
        <f>"7/1/2019 2:00:00 PM"</f>
        <v>7/1/2019 2:00:00 PM</v>
      </c>
      <c r="O12793" t="s">
        <v>38561</v>
      </c>
      <c r="T12793" t="s">
        <v>38562</v>
      </c>
    </row>
    <row r="12794" spans="1:20" x14ac:dyDescent="0.25">
      <c r="A12794" t="str">
        <f>"3038497"</f>
        <v>3038497</v>
      </c>
      <c r="B12794" t="s">
        <v>38565</v>
      </c>
      <c r="C12794" t="str">
        <f>"8311668"</f>
        <v>8311668</v>
      </c>
      <c r="D12794" t="s">
        <v>38566</v>
      </c>
      <c r="F12794" t="s">
        <v>38567</v>
      </c>
      <c r="I12794" t="s">
        <v>29</v>
      </c>
      <c r="J12794" t="s">
        <v>30</v>
      </c>
      <c r="K12794" t="s">
        <v>33523</v>
      </c>
      <c r="M12794" t="s">
        <v>17861</v>
      </c>
      <c r="N12794" t="str">
        <f>"7/1/2019 2:20:00 PM"</f>
        <v>7/1/2019 2:20:00 PM</v>
      </c>
      <c r="O12794" t="s">
        <v>38566</v>
      </c>
    </row>
    <row r="12795" spans="1:20" x14ac:dyDescent="0.25">
      <c r="A12795" t="str">
        <f>"3058696"</f>
        <v>3058696</v>
      </c>
      <c r="B12795" t="s">
        <v>38568</v>
      </c>
      <c r="C12795" t="str">
        <f>"8311670"</f>
        <v>8311670</v>
      </c>
      <c r="D12795" t="s">
        <v>38569</v>
      </c>
      <c r="F12795" t="s">
        <v>38570</v>
      </c>
      <c r="I12795" t="s">
        <v>184</v>
      </c>
      <c r="J12795" t="s">
        <v>30</v>
      </c>
      <c r="K12795" t="s">
        <v>5909</v>
      </c>
      <c r="M12795" t="s">
        <v>17861</v>
      </c>
      <c r="N12795" t="str">
        <f>"7/1/2019 2:52:00 PM"</f>
        <v>7/1/2019 2:52:00 PM</v>
      </c>
      <c r="O12795" t="s">
        <v>38569</v>
      </c>
    </row>
    <row r="12796" spans="1:20" x14ac:dyDescent="0.25">
      <c r="A12796" t="str">
        <f>"3044567"</f>
        <v>3044567</v>
      </c>
      <c r="B12796" t="s">
        <v>38571</v>
      </c>
      <c r="C12796" t="str">
        <f>"8311671"</f>
        <v>8311671</v>
      </c>
      <c r="D12796" t="s">
        <v>38572</v>
      </c>
      <c r="E12796" t="s">
        <v>38573</v>
      </c>
      <c r="F12796" t="s">
        <v>38574</v>
      </c>
      <c r="I12796" t="s">
        <v>184</v>
      </c>
      <c r="J12796" t="s">
        <v>30</v>
      </c>
      <c r="K12796" t="s">
        <v>5682</v>
      </c>
      <c r="M12796" t="s">
        <v>17861</v>
      </c>
      <c r="N12796" t="str">
        <f>"7/1/2019 3:07:00 PM"</f>
        <v>7/1/2019 3:07:00 PM</v>
      </c>
      <c r="O12796" t="s">
        <v>38572</v>
      </c>
      <c r="T12796" t="s">
        <v>38573</v>
      </c>
    </row>
    <row r="12797" spans="1:20" x14ac:dyDescent="0.25">
      <c r="A12797" t="str">
        <f>"3058335"</f>
        <v>3058335</v>
      </c>
      <c r="B12797" t="s">
        <v>38575</v>
      </c>
      <c r="C12797" t="str">
        <f>"8311510"</f>
        <v>8311510</v>
      </c>
      <c r="D12797" t="s">
        <v>38576</v>
      </c>
      <c r="E12797" t="s">
        <v>38577</v>
      </c>
      <c r="F12797" t="s">
        <v>38578</v>
      </c>
      <c r="I12797" t="s">
        <v>29</v>
      </c>
      <c r="J12797" t="s">
        <v>30</v>
      </c>
      <c r="K12797" t="s">
        <v>34805</v>
      </c>
      <c r="M12797" t="s">
        <v>17861</v>
      </c>
      <c r="N12797" t="str">
        <f>"5/31/2019 1:01:00 PM"</f>
        <v>5/31/2019 1:01:00 PM</v>
      </c>
      <c r="O12797" t="s">
        <v>38576</v>
      </c>
      <c r="T12797" t="s">
        <v>38577</v>
      </c>
    </row>
    <row r="12798" spans="1:20" x14ac:dyDescent="0.25">
      <c r="A12798" t="str">
        <f>"3050883"</f>
        <v>3050883</v>
      </c>
      <c r="B12798" t="s">
        <v>38579</v>
      </c>
      <c r="C12798" t="str">
        <f>"8311598"</f>
        <v>8311598</v>
      </c>
      <c r="D12798" t="s">
        <v>38580</v>
      </c>
      <c r="F12798" t="s">
        <v>38581</v>
      </c>
      <c r="I12798" t="s">
        <v>184</v>
      </c>
      <c r="J12798" t="s">
        <v>30</v>
      </c>
      <c r="K12798" t="s">
        <v>26530</v>
      </c>
      <c r="M12798" t="s">
        <v>17861</v>
      </c>
      <c r="N12798" t="str">
        <f>"6/20/2019 8:28:00 AM"</f>
        <v>6/20/2019 8:28:00 AM</v>
      </c>
      <c r="O12798" t="s">
        <v>38580</v>
      </c>
    </row>
    <row r="12799" spans="1:20" x14ac:dyDescent="0.25">
      <c r="A12799" t="str">
        <f>"3041722"</f>
        <v>3041722</v>
      </c>
      <c r="B12799" t="s">
        <v>38582</v>
      </c>
      <c r="C12799" t="str">
        <f>"8311677"</f>
        <v>8311677</v>
      </c>
      <c r="D12799" t="s">
        <v>38583</v>
      </c>
      <c r="E12799" t="s">
        <v>38584</v>
      </c>
      <c r="F12799" t="s">
        <v>38585</v>
      </c>
      <c r="I12799" t="s">
        <v>2071</v>
      </c>
      <c r="J12799" t="s">
        <v>30</v>
      </c>
      <c r="K12799" t="s">
        <v>3973</v>
      </c>
      <c r="M12799" t="s">
        <v>17861</v>
      </c>
      <c r="N12799" t="str">
        <f>"7/1/2019 4:26:00 PM"</f>
        <v>7/1/2019 4:26:00 PM</v>
      </c>
      <c r="O12799" t="s">
        <v>38583</v>
      </c>
      <c r="T12799" t="s">
        <v>38584</v>
      </c>
    </row>
    <row r="12800" spans="1:20" x14ac:dyDescent="0.25">
      <c r="A12800" t="str">
        <f>"3039883"</f>
        <v>3039883</v>
      </c>
      <c r="B12800" t="s">
        <v>38586</v>
      </c>
      <c r="C12800" t="str">
        <f>"8311600"</f>
        <v>8311600</v>
      </c>
      <c r="D12800" t="s">
        <v>38587</v>
      </c>
      <c r="E12800" t="s">
        <v>38588</v>
      </c>
      <c r="F12800" t="s">
        <v>38589</v>
      </c>
      <c r="I12800" t="s">
        <v>184</v>
      </c>
      <c r="J12800" t="s">
        <v>30</v>
      </c>
      <c r="K12800" t="s">
        <v>32983</v>
      </c>
      <c r="M12800" t="s">
        <v>17861</v>
      </c>
      <c r="N12800" t="str">
        <f>"6/20/2019 8:48:00 AM"</f>
        <v>6/20/2019 8:48:00 AM</v>
      </c>
      <c r="O12800" t="s">
        <v>38587</v>
      </c>
      <c r="T12800" t="s">
        <v>38588</v>
      </c>
    </row>
    <row r="12801" spans="1:20" x14ac:dyDescent="0.25">
      <c r="A12801" t="str">
        <f>"3039389"</f>
        <v>3039389</v>
      </c>
      <c r="B12801" t="s">
        <v>38590</v>
      </c>
      <c r="C12801" t="str">
        <f>"8311600"</f>
        <v>8311600</v>
      </c>
      <c r="D12801" t="s">
        <v>38587</v>
      </c>
      <c r="E12801" t="s">
        <v>38588</v>
      </c>
      <c r="F12801" t="s">
        <v>38589</v>
      </c>
      <c r="I12801" t="s">
        <v>184</v>
      </c>
      <c r="J12801" t="s">
        <v>30</v>
      </c>
      <c r="K12801" t="s">
        <v>32983</v>
      </c>
      <c r="M12801" t="s">
        <v>17861</v>
      </c>
      <c r="N12801" t="str">
        <f>"6/20/2019 8:48:00 AM"</f>
        <v>6/20/2019 8:48:00 AM</v>
      </c>
      <c r="O12801" t="s">
        <v>38587</v>
      </c>
      <c r="T12801" t="s">
        <v>38588</v>
      </c>
    </row>
    <row r="12802" spans="1:20" x14ac:dyDescent="0.25">
      <c r="A12802" t="str">
        <f>"3059309"</f>
        <v>3059309</v>
      </c>
      <c r="B12802" t="s">
        <v>38591</v>
      </c>
      <c r="C12802" t="str">
        <f>"8311602"</f>
        <v>8311602</v>
      </c>
      <c r="D12802" t="s">
        <v>38592</v>
      </c>
      <c r="F12802" t="s">
        <v>38593</v>
      </c>
      <c r="I12802" t="s">
        <v>29</v>
      </c>
      <c r="J12802" t="s">
        <v>30</v>
      </c>
      <c r="K12802" t="s">
        <v>36535</v>
      </c>
      <c r="M12802" t="s">
        <v>17861</v>
      </c>
      <c r="N12802" t="str">
        <f>"6/20/2019 9:40:00 AM"</f>
        <v>6/20/2019 9:40:00 AM</v>
      </c>
      <c r="O12802" t="s">
        <v>38592</v>
      </c>
    </row>
    <row r="12803" spans="1:20" x14ac:dyDescent="0.25">
      <c r="A12803" t="str">
        <f>"3061065"</f>
        <v>3061065</v>
      </c>
      <c r="B12803" t="s">
        <v>38594</v>
      </c>
      <c r="C12803" t="str">
        <f>"8311603"</f>
        <v>8311603</v>
      </c>
      <c r="D12803" t="s">
        <v>38595</v>
      </c>
      <c r="E12803" t="s">
        <v>38596</v>
      </c>
      <c r="F12803" t="s">
        <v>38597</v>
      </c>
      <c r="I12803" t="s">
        <v>184</v>
      </c>
      <c r="J12803" t="s">
        <v>30</v>
      </c>
      <c r="K12803" t="s">
        <v>37164</v>
      </c>
      <c r="M12803" t="s">
        <v>17861</v>
      </c>
      <c r="N12803" t="str">
        <f>"6/20/2019 9:44:00 AM"</f>
        <v>6/20/2019 9:44:00 AM</v>
      </c>
      <c r="O12803" t="s">
        <v>38595</v>
      </c>
      <c r="T12803" t="s">
        <v>38596</v>
      </c>
    </row>
    <row r="12804" spans="1:20" x14ac:dyDescent="0.25">
      <c r="A12804" t="str">
        <f>"3046883"</f>
        <v>3046883</v>
      </c>
      <c r="B12804" t="s">
        <v>38598</v>
      </c>
      <c r="C12804" t="str">
        <f>"8311617"</f>
        <v>8311617</v>
      </c>
      <c r="D12804" t="s">
        <v>38599</v>
      </c>
      <c r="E12804" t="s">
        <v>38600</v>
      </c>
      <c r="F12804" t="s">
        <v>38601</v>
      </c>
      <c r="I12804" t="s">
        <v>29</v>
      </c>
      <c r="J12804" t="s">
        <v>30</v>
      </c>
      <c r="K12804" t="s">
        <v>38602</v>
      </c>
      <c r="M12804" t="s">
        <v>17861</v>
      </c>
      <c r="N12804" t="str">
        <f>"6/20/2019 1:06:00 PM"</f>
        <v>6/20/2019 1:06:00 PM</v>
      </c>
      <c r="O12804" t="s">
        <v>38599</v>
      </c>
      <c r="T12804" t="s">
        <v>38600</v>
      </c>
    </row>
    <row r="12805" spans="1:20" x14ac:dyDescent="0.25">
      <c r="A12805" t="str">
        <f>"3053576"</f>
        <v>3053576</v>
      </c>
      <c r="B12805" t="s">
        <v>38603</v>
      </c>
      <c r="C12805" t="str">
        <f>"8311688"</f>
        <v>8311688</v>
      </c>
      <c r="D12805" t="s">
        <v>38604</v>
      </c>
      <c r="E12805" t="s">
        <v>38605</v>
      </c>
      <c r="F12805" t="s">
        <v>38606</v>
      </c>
      <c r="I12805" t="s">
        <v>184</v>
      </c>
      <c r="J12805" t="s">
        <v>30</v>
      </c>
      <c r="K12805" t="s">
        <v>37759</v>
      </c>
      <c r="M12805" t="s">
        <v>17861</v>
      </c>
      <c r="N12805" t="str">
        <f>"7/3/2019 3:12:00 PM"</f>
        <v>7/3/2019 3:12:00 PM</v>
      </c>
      <c r="O12805" t="s">
        <v>38604</v>
      </c>
      <c r="T12805" t="s">
        <v>38605</v>
      </c>
    </row>
    <row r="12806" spans="1:20" x14ac:dyDescent="0.25">
      <c r="A12806" t="str">
        <f>"3049661"</f>
        <v>3049661</v>
      </c>
      <c r="B12806" t="s">
        <v>38607</v>
      </c>
      <c r="C12806" t="str">
        <f>"8303501"</f>
        <v>8303501</v>
      </c>
      <c r="D12806" t="s">
        <v>38608</v>
      </c>
      <c r="F12806" t="s">
        <v>38609</v>
      </c>
      <c r="I12806" t="s">
        <v>14378</v>
      </c>
      <c r="J12806" t="s">
        <v>30</v>
      </c>
      <c r="K12806" t="str">
        <f>"27013"</f>
        <v>27013</v>
      </c>
      <c r="M12806" t="s">
        <v>17861</v>
      </c>
      <c r="N12806" t="str">
        <f>"7/5/2019 10:15:00 AM"</f>
        <v>7/5/2019 10:15:00 AM</v>
      </c>
      <c r="O12806" t="s">
        <v>38608</v>
      </c>
    </row>
    <row r="12807" spans="1:20" x14ac:dyDescent="0.25">
      <c r="A12807" t="str">
        <f>"3050020"</f>
        <v>3050020</v>
      </c>
      <c r="B12807" t="s">
        <v>38610</v>
      </c>
      <c r="C12807" t="str">
        <f>"8303501"</f>
        <v>8303501</v>
      </c>
      <c r="D12807" t="s">
        <v>38608</v>
      </c>
      <c r="F12807" t="s">
        <v>38609</v>
      </c>
      <c r="I12807" t="s">
        <v>14378</v>
      </c>
      <c r="J12807" t="s">
        <v>30</v>
      </c>
      <c r="K12807" t="str">
        <f>"27013"</f>
        <v>27013</v>
      </c>
      <c r="M12807" t="s">
        <v>17861</v>
      </c>
      <c r="N12807" t="str">
        <f>"7/5/2019 10:15:00 AM"</f>
        <v>7/5/2019 10:15:00 AM</v>
      </c>
      <c r="O12807" t="s">
        <v>38608</v>
      </c>
    </row>
    <row r="12808" spans="1:20" x14ac:dyDescent="0.25">
      <c r="A12808" t="str">
        <f>"3053507"</f>
        <v>3053507</v>
      </c>
      <c r="B12808" t="s">
        <v>38611</v>
      </c>
      <c r="C12808" t="str">
        <f>"8311622"</f>
        <v>8311622</v>
      </c>
      <c r="D12808" t="s">
        <v>38612</v>
      </c>
      <c r="F12808" t="s">
        <v>38613</v>
      </c>
      <c r="I12808" t="s">
        <v>29</v>
      </c>
      <c r="J12808" t="s">
        <v>30</v>
      </c>
      <c r="K12808" t="s">
        <v>14976</v>
      </c>
      <c r="M12808" t="s">
        <v>17861</v>
      </c>
      <c r="N12808" t="str">
        <f>"6/20/2019 1:42:00 PM"</f>
        <v>6/20/2019 1:42:00 PM</v>
      </c>
      <c r="O12808" t="s">
        <v>38612</v>
      </c>
    </row>
    <row r="12809" spans="1:20" x14ac:dyDescent="0.25">
      <c r="A12809" t="str">
        <f>"3042856"</f>
        <v>3042856</v>
      </c>
      <c r="B12809" t="s">
        <v>38614</v>
      </c>
      <c r="C12809" t="str">
        <f>"8311624"</f>
        <v>8311624</v>
      </c>
      <c r="D12809" t="s">
        <v>38615</v>
      </c>
      <c r="E12809" t="str">
        <f>"HERNANDEZ MARIO B/LETICIA M"</f>
        <v>HERNANDEZ MARIO B/LETICIA M</v>
      </c>
      <c r="F12809" t="s">
        <v>38616</v>
      </c>
      <c r="I12809" t="s">
        <v>29</v>
      </c>
      <c r="J12809" t="s">
        <v>30</v>
      </c>
      <c r="K12809" t="s">
        <v>2677</v>
      </c>
      <c r="M12809" t="s">
        <v>17861</v>
      </c>
      <c r="N12809" t="str">
        <f>"6/20/2019 2:10:00 PM"</f>
        <v>6/20/2019 2:10:00 PM</v>
      </c>
      <c r="O12809" t="s">
        <v>38615</v>
      </c>
      <c r="T12809" t="str">
        <f>"HERNANDEZ MARIO B/LETICIA M"</f>
        <v>HERNANDEZ MARIO B/LETICIA M</v>
      </c>
    </row>
    <row r="12810" spans="1:20" x14ac:dyDescent="0.25">
      <c r="A12810" t="str">
        <f>"3062824"</f>
        <v>3062824</v>
      </c>
      <c r="B12810" t="s">
        <v>38617</v>
      </c>
      <c r="C12810" t="str">
        <f>"8311708"</f>
        <v>8311708</v>
      </c>
      <c r="D12810" t="s">
        <v>38618</v>
      </c>
      <c r="F12810" t="s">
        <v>38619</v>
      </c>
      <c r="I12810" t="s">
        <v>28704</v>
      </c>
      <c r="J12810" t="s">
        <v>30</v>
      </c>
      <c r="K12810" t="str">
        <f>"27021"</f>
        <v>27021</v>
      </c>
      <c r="M12810" t="s">
        <v>17861</v>
      </c>
      <c r="N12810" t="str">
        <f>"7/9/2019 1:57:00 PM"</f>
        <v>7/9/2019 1:57:00 PM</v>
      </c>
      <c r="O12810" t="s">
        <v>38618</v>
      </c>
    </row>
    <row r="12811" spans="1:20" x14ac:dyDescent="0.25">
      <c r="A12811" t="str">
        <f>"3039707"</f>
        <v>3039707</v>
      </c>
      <c r="B12811" t="s">
        <v>38620</v>
      </c>
      <c r="C12811" t="str">
        <f>"8311711"</f>
        <v>8311711</v>
      </c>
      <c r="D12811" t="s">
        <v>38621</v>
      </c>
      <c r="F12811" t="s">
        <v>38622</v>
      </c>
      <c r="I12811" t="s">
        <v>184</v>
      </c>
      <c r="J12811" t="s">
        <v>30</v>
      </c>
      <c r="K12811" t="s">
        <v>663</v>
      </c>
      <c r="M12811" t="s">
        <v>17861</v>
      </c>
      <c r="N12811" t="str">
        <f>"7/9/2019 2:07:00 PM"</f>
        <v>7/9/2019 2:07:00 PM</v>
      </c>
      <c r="O12811" t="s">
        <v>38621</v>
      </c>
    </row>
    <row r="12812" spans="1:20" x14ac:dyDescent="0.25">
      <c r="A12812" t="str">
        <f>"3049886"</f>
        <v>3049886</v>
      </c>
      <c r="B12812" t="s">
        <v>38623</v>
      </c>
      <c r="C12812" t="str">
        <f>"8311713"</f>
        <v>8311713</v>
      </c>
      <c r="D12812" t="s">
        <v>38624</v>
      </c>
      <c r="E12812" t="s">
        <v>38625</v>
      </c>
      <c r="F12812" t="s">
        <v>23891</v>
      </c>
      <c r="I12812" t="s">
        <v>29</v>
      </c>
      <c r="J12812" t="s">
        <v>30</v>
      </c>
      <c r="K12812" t="s">
        <v>38626</v>
      </c>
      <c r="M12812" t="s">
        <v>17861</v>
      </c>
      <c r="N12812" t="str">
        <f>"7/9/2019 2:13:00 PM"</f>
        <v>7/9/2019 2:13:00 PM</v>
      </c>
      <c r="O12812" t="s">
        <v>38624</v>
      </c>
      <c r="T12812" t="s">
        <v>38625</v>
      </c>
    </row>
    <row r="12813" spans="1:20" x14ac:dyDescent="0.25">
      <c r="A12813" t="str">
        <f>"3039098"</f>
        <v>3039098</v>
      </c>
      <c r="B12813" t="s">
        <v>38627</v>
      </c>
      <c r="C12813" t="str">
        <f>"8304113"</f>
        <v>8304113</v>
      </c>
      <c r="D12813" t="s">
        <v>38628</v>
      </c>
      <c r="F12813" t="s">
        <v>38629</v>
      </c>
      <c r="I12813" t="s">
        <v>29</v>
      </c>
      <c r="J12813" t="s">
        <v>30</v>
      </c>
      <c r="K12813" t="str">
        <f>"27028"</f>
        <v>27028</v>
      </c>
      <c r="M12813" t="s">
        <v>20405</v>
      </c>
      <c r="N12813" t="str">
        <f>"7/9/2019 2:15:00 PM"</f>
        <v>7/9/2019 2:15:00 PM</v>
      </c>
      <c r="O12813" t="s">
        <v>38628</v>
      </c>
    </row>
    <row r="12814" spans="1:20" x14ac:dyDescent="0.25">
      <c r="A12814" t="str">
        <f>"3061183"</f>
        <v>3061183</v>
      </c>
      <c r="B12814" t="s">
        <v>38630</v>
      </c>
      <c r="C12814" t="str">
        <f>"8311625"</f>
        <v>8311625</v>
      </c>
      <c r="D12814" t="s">
        <v>38631</v>
      </c>
      <c r="E12814" t="s">
        <v>38632</v>
      </c>
      <c r="F12814" t="s">
        <v>38633</v>
      </c>
      <c r="I12814" t="s">
        <v>184</v>
      </c>
      <c r="J12814" t="s">
        <v>30</v>
      </c>
      <c r="K12814" t="s">
        <v>6631</v>
      </c>
      <c r="M12814" t="s">
        <v>17861</v>
      </c>
      <c r="N12814" t="str">
        <f>"6/20/2019 2:27:00 PM"</f>
        <v>6/20/2019 2:27:00 PM</v>
      </c>
      <c r="O12814" t="s">
        <v>38631</v>
      </c>
      <c r="T12814" t="s">
        <v>38632</v>
      </c>
    </row>
    <row r="12815" spans="1:20" x14ac:dyDescent="0.25">
      <c r="A12815" t="str">
        <f>"3061653"</f>
        <v>3061653</v>
      </c>
      <c r="B12815" t="s">
        <v>38634</v>
      </c>
      <c r="C12815" t="str">
        <f>"8311631"</f>
        <v>8311631</v>
      </c>
      <c r="D12815" t="s">
        <v>38635</v>
      </c>
      <c r="E12815" t="s">
        <v>38636</v>
      </c>
      <c r="F12815" t="s">
        <v>38637</v>
      </c>
      <c r="I12815" t="s">
        <v>29</v>
      </c>
      <c r="J12815" t="s">
        <v>30</v>
      </c>
      <c r="K12815" t="s">
        <v>38638</v>
      </c>
      <c r="M12815" t="s">
        <v>17861</v>
      </c>
      <c r="N12815" t="str">
        <f>"6/20/2019 2:54:00 PM"</f>
        <v>6/20/2019 2:54:00 PM</v>
      </c>
      <c r="O12815" t="s">
        <v>38635</v>
      </c>
      <c r="T12815" t="s">
        <v>38636</v>
      </c>
    </row>
    <row r="12816" spans="1:20" x14ac:dyDescent="0.25">
      <c r="A12816" t="str">
        <f>"3059630"</f>
        <v>3059630</v>
      </c>
      <c r="B12816" t="s">
        <v>38639</v>
      </c>
      <c r="C12816" t="str">
        <f>"8311718"</f>
        <v>8311718</v>
      </c>
      <c r="D12816" t="s">
        <v>38640</v>
      </c>
      <c r="E12816" t="s">
        <v>38641</v>
      </c>
      <c r="F12816" t="s">
        <v>38642</v>
      </c>
      <c r="I12816" t="s">
        <v>29</v>
      </c>
      <c r="J12816" t="s">
        <v>30</v>
      </c>
      <c r="K12816" t="s">
        <v>33298</v>
      </c>
      <c r="M12816" t="s">
        <v>17861</v>
      </c>
      <c r="N12816" t="str">
        <f>"7/9/2019 2:47:00 PM"</f>
        <v>7/9/2019 2:47:00 PM</v>
      </c>
      <c r="O12816" t="s">
        <v>38640</v>
      </c>
      <c r="T12816" t="s">
        <v>38641</v>
      </c>
    </row>
    <row r="12817" spans="1:20" x14ac:dyDescent="0.25">
      <c r="A12817" t="str">
        <f>"3059551"</f>
        <v>3059551</v>
      </c>
      <c r="B12817" t="s">
        <v>38643</v>
      </c>
      <c r="C12817" t="str">
        <f>"8311719"</f>
        <v>8311719</v>
      </c>
      <c r="D12817" t="s">
        <v>38644</v>
      </c>
      <c r="F12817" t="s">
        <v>38645</v>
      </c>
      <c r="I12817" t="s">
        <v>29</v>
      </c>
      <c r="J12817" t="s">
        <v>30</v>
      </c>
      <c r="K12817" t="s">
        <v>33298</v>
      </c>
      <c r="M12817" t="s">
        <v>17861</v>
      </c>
      <c r="N12817" t="str">
        <f>"7/9/2019 2:48:00 PM"</f>
        <v>7/9/2019 2:48:00 PM</v>
      </c>
      <c r="O12817" t="s">
        <v>38644</v>
      </c>
    </row>
    <row r="12818" spans="1:20" x14ac:dyDescent="0.25">
      <c r="A12818" t="str">
        <f>"3041335"</f>
        <v>3041335</v>
      </c>
      <c r="B12818" t="s">
        <v>38646</v>
      </c>
      <c r="C12818" t="str">
        <f>"8311720"</f>
        <v>8311720</v>
      </c>
      <c r="D12818" t="s">
        <v>38647</v>
      </c>
      <c r="E12818" t="s">
        <v>38648</v>
      </c>
      <c r="F12818" t="s">
        <v>38649</v>
      </c>
      <c r="I12818" t="s">
        <v>184</v>
      </c>
      <c r="J12818" t="s">
        <v>30</v>
      </c>
      <c r="K12818" t="s">
        <v>32945</v>
      </c>
      <c r="M12818" t="s">
        <v>17861</v>
      </c>
      <c r="N12818" t="str">
        <f>"7/9/2019 2:49:00 PM"</f>
        <v>7/9/2019 2:49:00 PM</v>
      </c>
      <c r="O12818" t="s">
        <v>38647</v>
      </c>
      <c r="T12818" t="s">
        <v>38648</v>
      </c>
    </row>
    <row r="12819" spans="1:20" x14ac:dyDescent="0.25">
      <c r="A12819" t="str">
        <f>"3051774"</f>
        <v>3051774</v>
      </c>
      <c r="B12819" t="s">
        <v>38650</v>
      </c>
      <c r="C12819" t="str">
        <f>"8311632"</f>
        <v>8311632</v>
      </c>
      <c r="D12819" t="s">
        <v>38651</v>
      </c>
      <c r="E12819" t="s">
        <v>38652</v>
      </c>
      <c r="F12819" t="s">
        <v>38653</v>
      </c>
      <c r="I12819" t="s">
        <v>17921</v>
      </c>
      <c r="J12819" t="s">
        <v>30</v>
      </c>
      <c r="K12819" t="str">
        <f>"27028"</f>
        <v>27028</v>
      </c>
      <c r="M12819" t="s">
        <v>17861</v>
      </c>
      <c r="N12819" t="str">
        <f>"6/20/2019 3:08:00 PM"</f>
        <v>6/20/2019 3:08:00 PM</v>
      </c>
      <c r="O12819" t="s">
        <v>38651</v>
      </c>
      <c r="T12819" t="s">
        <v>38652</v>
      </c>
    </row>
    <row r="12820" spans="1:20" x14ac:dyDescent="0.25">
      <c r="A12820" t="str">
        <f>"3042731"</f>
        <v>3042731</v>
      </c>
      <c r="B12820" t="s">
        <v>38654</v>
      </c>
      <c r="C12820" t="str">
        <f>"82515693"</f>
        <v>82515693</v>
      </c>
      <c r="D12820" t="s">
        <v>38655</v>
      </c>
      <c r="F12820" t="str">
        <f>"C/O KRISTIE DEES"</f>
        <v>C/O KRISTIE DEES</v>
      </c>
      <c r="G12820" t="s">
        <v>38656</v>
      </c>
      <c r="I12820" t="s">
        <v>29</v>
      </c>
      <c r="J12820" t="s">
        <v>30</v>
      </c>
      <c r="K12820" t="s">
        <v>38657</v>
      </c>
      <c r="M12820" t="s">
        <v>34475</v>
      </c>
      <c r="N12820" t="str">
        <f>"6/25/2019 3:48:00 PM"</f>
        <v>6/25/2019 3:48:00 PM</v>
      </c>
      <c r="O12820" t="s">
        <v>38655</v>
      </c>
    </row>
    <row r="12821" spans="1:20" x14ac:dyDescent="0.25">
      <c r="A12821" t="str">
        <f>"3042952"</f>
        <v>3042952</v>
      </c>
      <c r="B12821" t="s">
        <v>38658</v>
      </c>
      <c r="C12821" t="str">
        <f>"8311638"</f>
        <v>8311638</v>
      </c>
      <c r="D12821" t="s">
        <v>38659</v>
      </c>
      <c r="F12821" t="s">
        <v>38660</v>
      </c>
      <c r="G12821" t="s">
        <v>38661</v>
      </c>
      <c r="I12821" t="s">
        <v>26983</v>
      </c>
      <c r="J12821" t="s">
        <v>12215</v>
      </c>
      <c r="K12821" t="s">
        <v>38662</v>
      </c>
      <c r="M12821" t="s">
        <v>17861</v>
      </c>
      <c r="N12821" t="str">
        <f>"6/26/2019 11:22:00 AM"</f>
        <v>6/26/2019 11:22:00 AM</v>
      </c>
      <c r="O12821" t="s">
        <v>38659</v>
      </c>
    </row>
    <row r="12822" spans="1:20" x14ac:dyDescent="0.25">
      <c r="A12822" t="str">
        <f>"3049323"</f>
        <v>3049323</v>
      </c>
      <c r="B12822" t="s">
        <v>38663</v>
      </c>
      <c r="C12822" t="str">
        <f>"21901620"</f>
        <v>21901620</v>
      </c>
      <c r="D12822" t="s">
        <v>38664</v>
      </c>
      <c r="E12822" t="s">
        <v>38665</v>
      </c>
      <c r="F12822" t="s">
        <v>38666</v>
      </c>
      <c r="I12822" t="s">
        <v>29</v>
      </c>
      <c r="J12822" t="s">
        <v>30</v>
      </c>
      <c r="K12822" t="s">
        <v>38667</v>
      </c>
      <c r="M12822" t="s">
        <v>34670</v>
      </c>
      <c r="N12822" t="str">
        <f>"7/10/2019 10:44:00 AM"</f>
        <v>7/10/2019 10:44:00 AM</v>
      </c>
      <c r="O12822" t="s">
        <v>38664</v>
      </c>
      <c r="T12822" t="s">
        <v>38665</v>
      </c>
    </row>
    <row r="12823" spans="1:20" x14ac:dyDescent="0.25">
      <c r="A12823" t="str">
        <f>"3052836"</f>
        <v>3052836</v>
      </c>
      <c r="B12823" t="s">
        <v>38668</v>
      </c>
      <c r="C12823" t="str">
        <f>"8311736"</f>
        <v>8311736</v>
      </c>
      <c r="D12823" t="s">
        <v>38669</v>
      </c>
      <c r="E12823" t="str">
        <f>"WAGNER TONY/JOYCE TRUSTEES"</f>
        <v>WAGNER TONY/JOYCE TRUSTEES</v>
      </c>
      <c r="F12823" t="s">
        <v>38670</v>
      </c>
      <c r="I12823" t="s">
        <v>29</v>
      </c>
      <c r="J12823" t="s">
        <v>30</v>
      </c>
      <c r="K12823" t="s">
        <v>38671</v>
      </c>
      <c r="M12823" t="s">
        <v>17861</v>
      </c>
      <c r="N12823" t="str">
        <f>"7/11/2019 9:05:00 AM"</f>
        <v>7/11/2019 9:05:00 AM</v>
      </c>
      <c r="O12823" t="s">
        <v>38669</v>
      </c>
      <c r="T12823" t="str">
        <f>"WAGNER TONY/JOYCE TRUSTEES"</f>
        <v>WAGNER TONY/JOYCE TRUSTEES</v>
      </c>
    </row>
    <row r="12824" spans="1:20" x14ac:dyDescent="0.25">
      <c r="A12824" t="str">
        <f>"3060236"</f>
        <v>3060236</v>
      </c>
      <c r="B12824" t="s">
        <v>38672</v>
      </c>
      <c r="C12824" t="str">
        <f>"8311737"</f>
        <v>8311737</v>
      </c>
      <c r="D12824" t="s">
        <v>38673</v>
      </c>
      <c r="E12824" t="s">
        <v>38674</v>
      </c>
      <c r="F12824" t="s">
        <v>38675</v>
      </c>
      <c r="I12824" t="s">
        <v>184</v>
      </c>
      <c r="J12824" t="s">
        <v>30</v>
      </c>
      <c r="K12824" t="s">
        <v>38676</v>
      </c>
      <c r="M12824" t="s">
        <v>17861</v>
      </c>
      <c r="N12824" t="str">
        <f>"7/11/2019 9:08:00 AM"</f>
        <v>7/11/2019 9:08:00 AM</v>
      </c>
      <c r="O12824" t="s">
        <v>38673</v>
      </c>
      <c r="T12824" t="s">
        <v>38674</v>
      </c>
    </row>
    <row r="12825" spans="1:20" x14ac:dyDescent="0.25">
      <c r="A12825" t="str">
        <f>"3044414"</f>
        <v>3044414</v>
      </c>
      <c r="B12825" t="s">
        <v>38677</v>
      </c>
      <c r="C12825" t="str">
        <f>"8311639"</f>
        <v>8311639</v>
      </c>
      <c r="D12825" t="s">
        <v>38678</v>
      </c>
      <c r="F12825" t="s">
        <v>38679</v>
      </c>
      <c r="I12825" t="s">
        <v>184</v>
      </c>
      <c r="J12825" t="s">
        <v>30</v>
      </c>
      <c r="K12825" t="s">
        <v>5557</v>
      </c>
      <c r="M12825" t="s">
        <v>17861</v>
      </c>
      <c r="N12825" t="str">
        <f>"6/26/2019 12:47:00 PM"</f>
        <v>6/26/2019 12:47:00 PM</v>
      </c>
      <c r="O12825" t="s">
        <v>38678</v>
      </c>
    </row>
    <row r="12826" spans="1:20" x14ac:dyDescent="0.25">
      <c r="A12826" t="str">
        <f>"3037857"</f>
        <v>3037857</v>
      </c>
      <c r="B12826" t="s">
        <v>38680</v>
      </c>
      <c r="C12826" t="str">
        <f>"57300000"</f>
        <v>57300000</v>
      </c>
      <c r="D12826" t="s">
        <v>38681</v>
      </c>
      <c r="E12826" t="s">
        <v>38682</v>
      </c>
      <c r="F12826" t="s">
        <v>38683</v>
      </c>
      <c r="I12826" t="s">
        <v>3580</v>
      </c>
      <c r="J12826" t="s">
        <v>30</v>
      </c>
      <c r="K12826" t="s">
        <v>38684</v>
      </c>
      <c r="M12826" t="s">
        <v>34475</v>
      </c>
      <c r="N12826" t="str">
        <f>"7/11/2019 10:54:00 AM"</f>
        <v>7/11/2019 10:54:00 AM</v>
      </c>
      <c r="O12826" t="s">
        <v>38681</v>
      </c>
      <c r="T12826" t="s">
        <v>38682</v>
      </c>
    </row>
    <row r="12827" spans="1:20" x14ac:dyDescent="0.25">
      <c r="A12827" t="str">
        <f>"3039955"</f>
        <v>3039955</v>
      </c>
      <c r="B12827" t="s">
        <v>38685</v>
      </c>
      <c r="C12827" t="str">
        <f>"57300000"</f>
        <v>57300000</v>
      </c>
      <c r="D12827" t="s">
        <v>38681</v>
      </c>
      <c r="E12827" t="s">
        <v>38682</v>
      </c>
      <c r="F12827" t="s">
        <v>38683</v>
      </c>
      <c r="I12827" t="s">
        <v>3580</v>
      </c>
      <c r="J12827" t="s">
        <v>30</v>
      </c>
      <c r="K12827" t="s">
        <v>38684</v>
      </c>
      <c r="M12827" t="s">
        <v>34475</v>
      </c>
      <c r="N12827" t="str">
        <f>"7/11/2019 10:54:00 AM"</f>
        <v>7/11/2019 10:54:00 AM</v>
      </c>
      <c r="O12827" t="s">
        <v>38681</v>
      </c>
      <c r="T12827" t="s">
        <v>38682</v>
      </c>
    </row>
    <row r="12828" spans="1:20" x14ac:dyDescent="0.25">
      <c r="A12828" t="str">
        <f>"3061504"</f>
        <v>3061504</v>
      </c>
      <c r="B12828" t="s">
        <v>38686</v>
      </c>
      <c r="C12828" t="str">
        <f>"8311743"</f>
        <v>8311743</v>
      </c>
      <c r="D12828" t="s">
        <v>38687</v>
      </c>
      <c r="E12828" t="str">
        <f>"JOHNSON CHAD W/AMANDA B"</f>
        <v>JOHNSON CHAD W/AMANDA B</v>
      </c>
      <c r="F12828" t="s">
        <v>38688</v>
      </c>
      <c r="I12828" t="s">
        <v>184</v>
      </c>
      <c r="J12828" t="s">
        <v>30</v>
      </c>
      <c r="K12828" t="s">
        <v>19800</v>
      </c>
      <c r="M12828" t="s">
        <v>17861</v>
      </c>
      <c r="N12828" t="str">
        <f>"7/11/2019 11:25:00 AM"</f>
        <v>7/11/2019 11:25:00 AM</v>
      </c>
      <c r="O12828" t="s">
        <v>38687</v>
      </c>
      <c r="T12828" t="str">
        <f>"JOHNSON CHAD W/AMANDA B"</f>
        <v>JOHNSON CHAD W/AMANDA B</v>
      </c>
    </row>
    <row r="12829" spans="1:20" x14ac:dyDescent="0.25">
      <c r="A12829" t="str">
        <f>"3038858"</f>
        <v>3038858</v>
      </c>
      <c r="B12829" t="s">
        <v>38689</v>
      </c>
      <c r="C12829" t="str">
        <f>"8311747"</f>
        <v>8311747</v>
      </c>
      <c r="D12829" t="s">
        <v>38690</v>
      </c>
      <c r="F12829" t="s">
        <v>38691</v>
      </c>
      <c r="I12829" t="s">
        <v>29</v>
      </c>
      <c r="J12829" t="s">
        <v>30</v>
      </c>
      <c r="K12829" t="str">
        <f>"27028"</f>
        <v>27028</v>
      </c>
      <c r="M12829" t="s">
        <v>17861</v>
      </c>
      <c r="N12829" t="str">
        <f>"7/11/2019 12:52:00 PM"</f>
        <v>7/11/2019 12:52:00 PM</v>
      </c>
      <c r="O12829" t="s">
        <v>38690</v>
      </c>
    </row>
    <row r="12830" spans="1:20" x14ac:dyDescent="0.25">
      <c r="A12830" t="str">
        <f>"3047069"</f>
        <v>3047069</v>
      </c>
      <c r="B12830" t="s">
        <v>38692</v>
      </c>
      <c r="C12830" t="str">
        <f>"46032400"</f>
        <v>46032400</v>
      </c>
      <c r="D12830" t="s">
        <v>38693</v>
      </c>
      <c r="E12830" t="s">
        <v>38694</v>
      </c>
      <c r="F12830" t="s">
        <v>38695</v>
      </c>
      <c r="I12830" t="s">
        <v>184</v>
      </c>
      <c r="J12830" t="s">
        <v>30</v>
      </c>
      <c r="K12830" t="s">
        <v>10661</v>
      </c>
      <c r="M12830" t="s">
        <v>17861</v>
      </c>
      <c r="N12830" t="str">
        <f>"6/28/2019 8:21:00 AM"</f>
        <v>6/28/2019 8:21:00 AM</v>
      </c>
      <c r="O12830" t="s">
        <v>38693</v>
      </c>
      <c r="T12830" t="s">
        <v>38694</v>
      </c>
    </row>
    <row r="12831" spans="1:20" x14ac:dyDescent="0.25">
      <c r="A12831" t="str">
        <f>"3054599"</f>
        <v>3054599</v>
      </c>
      <c r="B12831" t="s">
        <v>38696</v>
      </c>
      <c r="C12831" t="str">
        <f>"5085500"</f>
        <v>5085500</v>
      </c>
      <c r="D12831" t="s">
        <v>38697</v>
      </c>
      <c r="F12831" t="s">
        <v>38698</v>
      </c>
      <c r="I12831" t="s">
        <v>29</v>
      </c>
      <c r="J12831" t="s">
        <v>30</v>
      </c>
      <c r="K12831" t="str">
        <f>"27028"</f>
        <v>27028</v>
      </c>
      <c r="M12831" t="s">
        <v>17861</v>
      </c>
      <c r="N12831" t="str">
        <f>"6/28/2019 9:47:00 AM"</f>
        <v>6/28/2019 9:47:00 AM</v>
      </c>
      <c r="O12831" t="s">
        <v>38697</v>
      </c>
    </row>
    <row r="12832" spans="1:20" x14ac:dyDescent="0.25">
      <c r="A12832" t="str">
        <f>"3060222"</f>
        <v>3060222</v>
      </c>
      <c r="B12832" t="s">
        <v>38699</v>
      </c>
      <c r="C12832" t="str">
        <f>"8311649"</f>
        <v>8311649</v>
      </c>
      <c r="D12832" t="s">
        <v>38700</v>
      </c>
      <c r="E12832" t="s">
        <v>38701</v>
      </c>
      <c r="F12832" t="s">
        <v>38702</v>
      </c>
      <c r="I12832" t="s">
        <v>184</v>
      </c>
      <c r="J12832" t="s">
        <v>30</v>
      </c>
      <c r="K12832" t="s">
        <v>33177</v>
      </c>
      <c r="M12832" t="s">
        <v>17861</v>
      </c>
      <c r="N12832" t="str">
        <f>"6/28/2019 10:49:00 AM"</f>
        <v>6/28/2019 10:49:00 AM</v>
      </c>
      <c r="O12832" t="s">
        <v>38700</v>
      </c>
      <c r="T12832" t="s">
        <v>38701</v>
      </c>
    </row>
    <row r="12833" spans="1:20" x14ac:dyDescent="0.25">
      <c r="A12833" t="str">
        <f>"3060616"</f>
        <v>3060616</v>
      </c>
      <c r="B12833" t="s">
        <v>38703</v>
      </c>
      <c r="C12833" t="str">
        <f>"8311651"</f>
        <v>8311651</v>
      </c>
      <c r="D12833" t="s">
        <v>38704</v>
      </c>
      <c r="E12833" t="s">
        <v>38705</v>
      </c>
      <c r="F12833" t="s">
        <v>38706</v>
      </c>
      <c r="I12833" t="s">
        <v>184</v>
      </c>
      <c r="J12833" t="s">
        <v>30</v>
      </c>
      <c r="K12833" t="s">
        <v>6459</v>
      </c>
      <c r="M12833" t="s">
        <v>17861</v>
      </c>
      <c r="N12833" t="str">
        <f>"6/28/2019 10:58:00 AM"</f>
        <v>6/28/2019 10:58:00 AM</v>
      </c>
      <c r="O12833" t="s">
        <v>38704</v>
      </c>
      <c r="T12833" t="s">
        <v>38705</v>
      </c>
    </row>
    <row r="12834" spans="1:20" x14ac:dyDescent="0.25">
      <c r="A12834" t="str">
        <f>"3062948"</f>
        <v>3062948</v>
      </c>
      <c r="B12834" t="s">
        <v>38707</v>
      </c>
      <c r="C12834" t="str">
        <f>"8311652"</f>
        <v>8311652</v>
      </c>
      <c r="D12834" t="s">
        <v>38708</v>
      </c>
      <c r="E12834" t="s">
        <v>38709</v>
      </c>
      <c r="F12834" t="s">
        <v>38710</v>
      </c>
      <c r="I12834" t="s">
        <v>29</v>
      </c>
      <c r="J12834" t="s">
        <v>30</v>
      </c>
      <c r="K12834" t="s">
        <v>38711</v>
      </c>
      <c r="M12834" t="s">
        <v>17861</v>
      </c>
      <c r="N12834" t="str">
        <f>"6/28/2019 11:08:00 AM"</f>
        <v>6/28/2019 11:08:00 AM</v>
      </c>
      <c r="O12834" t="s">
        <v>38708</v>
      </c>
      <c r="T12834" t="s">
        <v>38709</v>
      </c>
    </row>
    <row r="12835" spans="1:20" x14ac:dyDescent="0.25">
      <c r="A12835" t="str">
        <f>"3049183"</f>
        <v>3049183</v>
      </c>
      <c r="B12835" t="s">
        <v>38712</v>
      </c>
      <c r="C12835" t="str">
        <f>"8308557"</f>
        <v>8308557</v>
      </c>
      <c r="D12835" t="s">
        <v>32192</v>
      </c>
      <c r="F12835" t="s">
        <v>38081</v>
      </c>
      <c r="I12835" t="s">
        <v>29</v>
      </c>
      <c r="J12835" t="s">
        <v>30</v>
      </c>
      <c r="K12835" t="str">
        <f>"27028"</f>
        <v>27028</v>
      </c>
      <c r="M12835" t="s">
        <v>18470</v>
      </c>
      <c r="N12835" t="str">
        <f>"6/28/2019 3:23:00 PM"</f>
        <v>6/28/2019 3:23:00 PM</v>
      </c>
      <c r="O12835" t="s">
        <v>32192</v>
      </c>
    </row>
    <row r="12836" spans="1:20" x14ac:dyDescent="0.25">
      <c r="A12836" t="str">
        <f>"3041614"</f>
        <v>3041614</v>
      </c>
      <c r="B12836" t="s">
        <v>38713</v>
      </c>
      <c r="C12836" t="str">
        <f>"8311661"</f>
        <v>8311661</v>
      </c>
      <c r="D12836" t="s">
        <v>38714</v>
      </c>
      <c r="E12836" t="s">
        <v>38715</v>
      </c>
      <c r="F12836" t="s">
        <v>38716</v>
      </c>
      <c r="I12836" t="s">
        <v>2071</v>
      </c>
      <c r="J12836" t="s">
        <v>30</v>
      </c>
      <c r="K12836" t="s">
        <v>3542</v>
      </c>
      <c r="M12836" t="s">
        <v>17861</v>
      </c>
      <c r="N12836" t="str">
        <f>"7/1/2019 1:31:00 PM"</f>
        <v>7/1/2019 1:31:00 PM</v>
      </c>
      <c r="O12836" t="s">
        <v>38714</v>
      </c>
      <c r="T12836" t="s">
        <v>38715</v>
      </c>
    </row>
    <row r="12837" spans="1:20" x14ac:dyDescent="0.25">
      <c r="A12837" t="str">
        <f>"3044638"</f>
        <v>3044638</v>
      </c>
      <c r="B12837" t="s">
        <v>38717</v>
      </c>
      <c r="C12837" t="str">
        <f>"82515537"</f>
        <v>82515537</v>
      </c>
      <c r="D12837" t="s">
        <v>38718</v>
      </c>
      <c r="E12837" t="s">
        <v>38719</v>
      </c>
      <c r="F12837" t="s">
        <v>38720</v>
      </c>
      <c r="I12837" t="s">
        <v>184</v>
      </c>
      <c r="J12837" t="s">
        <v>30</v>
      </c>
      <c r="K12837" t="s">
        <v>185</v>
      </c>
      <c r="M12837" t="s">
        <v>25733</v>
      </c>
      <c r="N12837" t="str">
        <f>"6/18/2019 2:27:00 PM"</f>
        <v>6/18/2019 2:27:00 PM</v>
      </c>
      <c r="O12837" t="s">
        <v>38718</v>
      </c>
      <c r="T12837" t="s">
        <v>38719</v>
      </c>
    </row>
    <row r="12838" spans="1:20" x14ac:dyDescent="0.25">
      <c r="A12838" t="str">
        <f>"3050659"</f>
        <v>3050659</v>
      </c>
      <c r="B12838" t="s">
        <v>38721</v>
      </c>
      <c r="C12838" t="str">
        <f>"8311662"</f>
        <v>8311662</v>
      </c>
      <c r="D12838" t="s">
        <v>38722</v>
      </c>
      <c r="E12838" t="s">
        <v>38723</v>
      </c>
      <c r="F12838" t="s">
        <v>38724</v>
      </c>
      <c r="I12838" t="s">
        <v>184</v>
      </c>
      <c r="J12838" t="s">
        <v>30</v>
      </c>
      <c r="K12838" t="s">
        <v>38725</v>
      </c>
      <c r="M12838" t="s">
        <v>17861</v>
      </c>
      <c r="N12838" t="str">
        <f>"7/1/2019 1:33:00 PM"</f>
        <v>7/1/2019 1:33:00 PM</v>
      </c>
      <c r="O12838" t="s">
        <v>38722</v>
      </c>
      <c r="T12838" t="s">
        <v>38723</v>
      </c>
    </row>
    <row r="12839" spans="1:20" x14ac:dyDescent="0.25">
      <c r="A12839" t="str">
        <f>"3058368"</f>
        <v>3058368</v>
      </c>
      <c r="B12839" t="s">
        <v>38726</v>
      </c>
      <c r="C12839" t="str">
        <f>"8311679"</f>
        <v>8311679</v>
      </c>
      <c r="D12839" t="s">
        <v>38727</v>
      </c>
      <c r="E12839" t="s">
        <v>38728</v>
      </c>
      <c r="F12839" t="s">
        <v>38729</v>
      </c>
      <c r="I12839" t="s">
        <v>2071</v>
      </c>
      <c r="J12839" t="s">
        <v>30</v>
      </c>
      <c r="K12839" t="s">
        <v>37473</v>
      </c>
      <c r="M12839" t="s">
        <v>17861</v>
      </c>
      <c r="N12839" t="str">
        <f>"7/2/2019 10:29:00 AM"</f>
        <v>7/2/2019 10:29:00 AM</v>
      </c>
      <c r="O12839" t="s">
        <v>38727</v>
      </c>
      <c r="T12839" t="s">
        <v>38728</v>
      </c>
    </row>
    <row r="12840" spans="1:20" x14ac:dyDescent="0.25">
      <c r="A12840" t="str">
        <f>"3045791"</f>
        <v>3045791</v>
      </c>
      <c r="B12840" t="s">
        <v>38730</v>
      </c>
      <c r="C12840" t="str">
        <f>"8311680"</f>
        <v>8311680</v>
      </c>
      <c r="D12840" t="s">
        <v>38731</v>
      </c>
      <c r="E12840" t="s">
        <v>38732</v>
      </c>
      <c r="F12840" t="s">
        <v>38733</v>
      </c>
      <c r="I12840" t="s">
        <v>29</v>
      </c>
      <c r="J12840" t="s">
        <v>30</v>
      </c>
      <c r="K12840" t="s">
        <v>7120</v>
      </c>
      <c r="M12840" t="s">
        <v>17861</v>
      </c>
      <c r="N12840" t="str">
        <f>"7/2/2019 10:31:00 AM"</f>
        <v>7/2/2019 10:31:00 AM</v>
      </c>
      <c r="O12840" t="s">
        <v>38731</v>
      </c>
      <c r="T12840" t="s">
        <v>38732</v>
      </c>
    </row>
    <row r="12841" spans="1:20" x14ac:dyDescent="0.25">
      <c r="A12841" t="str">
        <f>"3056355"</f>
        <v>3056355</v>
      </c>
      <c r="B12841" t="s">
        <v>38734</v>
      </c>
      <c r="C12841" t="str">
        <f>"8311682"</f>
        <v>8311682</v>
      </c>
      <c r="D12841" t="s">
        <v>38735</v>
      </c>
      <c r="E12841" t="s">
        <v>38736</v>
      </c>
      <c r="F12841" t="s">
        <v>38737</v>
      </c>
      <c r="I12841" t="s">
        <v>29</v>
      </c>
      <c r="J12841" t="s">
        <v>30</v>
      </c>
      <c r="K12841" t="s">
        <v>38738</v>
      </c>
      <c r="M12841" t="s">
        <v>17861</v>
      </c>
      <c r="N12841" t="str">
        <f>"7/2/2019 10:36:00 AM"</f>
        <v>7/2/2019 10:36:00 AM</v>
      </c>
      <c r="O12841" t="s">
        <v>38735</v>
      </c>
      <c r="T12841" t="s">
        <v>38736</v>
      </c>
    </row>
    <row r="12842" spans="1:20" x14ac:dyDescent="0.25">
      <c r="A12842" t="str">
        <f>"3062364"</f>
        <v>3062364</v>
      </c>
      <c r="B12842" t="s">
        <v>38739</v>
      </c>
      <c r="C12842" t="str">
        <f>"8311684"</f>
        <v>8311684</v>
      </c>
      <c r="D12842" t="s">
        <v>38740</v>
      </c>
      <c r="E12842" t="s">
        <v>38741</v>
      </c>
      <c r="F12842" t="s">
        <v>38742</v>
      </c>
      <c r="I12842" t="s">
        <v>29</v>
      </c>
      <c r="J12842" t="s">
        <v>30</v>
      </c>
      <c r="K12842" t="s">
        <v>14046</v>
      </c>
      <c r="M12842" t="s">
        <v>17861</v>
      </c>
      <c r="N12842" t="str">
        <f>"7/2/2019 11:15:00 AM"</f>
        <v>7/2/2019 11:15:00 AM</v>
      </c>
      <c r="O12842" t="s">
        <v>38740</v>
      </c>
      <c r="T12842" t="s">
        <v>38741</v>
      </c>
    </row>
    <row r="12843" spans="1:20" x14ac:dyDescent="0.25">
      <c r="A12843" t="str">
        <f>"3062767"</f>
        <v>3062767</v>
      </c>
      <c r="B12843" t="s">
        <v>38743</v>
      </c>
      <c r="C12843" t="str">
        <f>"8311686"</f>
        <v>8311686</v>
      </c>
      <c r="D12843" t="str">
        <f>"DAMRON JOYCE/DENNIS DILLON"</f>
        <v>DAMRON JOYCE/DENNIS DILLON</v>
      </c>
      <c r="E12843" t="s">
        <v>38744</v>
      </c>
      <c r="F12843" t="s">
        <v>38745</v>
      </c>
      <c r="I12843" t="s">
        <v>29</v>
      </c>
      <c r="J12843" t="s">
        <v>30</v>
      </c>
      <c r="K12843" t="s">
        <v>4748</v>
      </c>
      <c r="M12843" t="s">
        <v>17861</v>
      </c>
      <c r="N12843" t="str">
        <f>"7/2/2019 1:25:00 PM"</f>
        <v>7/2/2019 1:25:00 PM</v>
      </c>
      <c r="O12843" t="str">
        <f>"DAMRON JOYCE/DENNIS DILLON"</f>
        <v>DAMRON JOYCE/DENNIS DILLON</v>
      </c>
      <c r="T12843" t="s">
        <v>38744</v>
      </c>
    </row>
    <row r="12844" spans="1:20" x14ac:dyDescent="0.25">
      <c r="A12844" t="str">
        <f>"3055092"</f>
        <v>3055092</v>
      </c>
      <c r="B12844" t="s">
        <v>38746</v>
      </c>
      <c r="C12844" t="str">
        <f>"45603000"</f>
        <v>45603000</v>
      </c>
      <c r="D12844" t="s">
        <v>38747</v>
      </c>
      <c r="E12844" t="s">
        <v>38748</v>
      </c>
      <c r="F12844" t="s">
        <v>38749</v>
      </c>
      <c r="I12844" t="s">
        <v>38750</v>
      </c>
      <c r="J12844" t="s">
        <v>2109</v>
      </c>
      <c r="K12844" t="str">
        <f>"23451"</f>
        <v>23451</v>
      </c>
      <c r="M12844" t="s">
        <v>17861</v>
      </c>
      <c r="N12844" t="str">
        <f>"7/5/2019 10:26:00 AM"</f>
        <v>7/5/2019 10:26:00 AM</v>
      </c>
      <c r="O12844" t="s">
        <v>38747</v>
      </c>
      <c r="T12844" t="s">
        <v>38748</v>
      </c>
    </row>
    <row r="12845" spans="1:20" x14ac:dyDescent="0.25">
      <c r="A12845" t="str">
        <f>"3059432"</f>
        <v>3059432</v>
      </c>
      <c r="B12845" t="s">
        <v>38751</v>
      </c>
      <c r="C12845" t="str">
        <f>"8311779"</f>
        <v>8311779</v>
      </c>
      <c r="D12845" t="s">
        <v>38752</v>
      </c>
      <c r="E12845" t="s">
        <v>38753</v>
      </c>
      <c r="F12845" t="s">
        <v>38754</v>
      </c>
      <c r="I12845" t="s">
        <v>29</v>
      </c>
      <c r="J12845" t="s">
        <v>30</v>
      </c>
      <c r="K12845" t="s">
        <v>38755</v>
      </c>
      <c r="M12845" t="s">
        <v>17861</v>
      </c>
      <c r="N12845" t="str">
        <f>"7/17/2019 2:35:00 PM"</f>
        <v>7/17/2019 2:35:00 PM</v>
      </c>
      <c r="O12845" t="s">
        <v>38752</v>
      </c>
      <c r="T12845" t="s">
        <v>38753</v>
      </c>
    </row>
    <row r="12846" spans="1:20" x14ac:dyDescent="0.25">
      <c r="A12846" t="str">
        <f>"3042852"</f>
        <v>3042852</v>
      </c>
      <c r="B12846" t="s">
        <v>38756</v>
      </c>
      <c r="C12846" t="str">
        <f>"8311780"</f>
        <v>8311780</v>
      </c>
      <c r="D12846" t="s">
        <v>38757</v>
      </c>
      <c r="F12846" t="s">
        <v>38758</v>
      </c>
      <c r="I12846" t="s">
        <v>29</v>
      </c>
      <c r="J12846" t="s">
        <v>30</v>
      </c>
      <c r="K12846" t="s">
        <v>4169</v>
      </c>
      <c r="M12846" t="s">
        <v>17861</v>
      </c>
      <c r="N12846" t="str">
        <f>"7/17/2019 2:38:00 PM"</f>
        <v>7/17/2019 2:38:00 PM</v>
      </c>
      <c r="O12846" t="s">
        <v>38757</v>
      </c>
    </row>
    <row r="12847" spans="1:20" x14ac:dyDescent="0.25">
      <c r="A12847" t="str">
        <f>"3059677"</f>
        <v>3059677</v>
      </c>
      <c r="B12847" t="s">
        <v>38759</v>
      </c>
      <c r="C12847" t="str">
        <f>"8311781"</f>
        <v>8311781</v>
      </c>
      <c r="D12847" t="s">
        <v>38760</v>
      </c>
      <c r="E12847" t="s">
        <v>38761</v>
      </c>
      <c r="F12847" t="s">
        <v>38762</v>
      </c>
      <c r="I12847" t="s">
        <v>29</v>
      </c>
      <c r="J12847" t="s">
        <v>30</v>
      </c>
      <c r="K12847" t="s">
        <v>37968</v>
      </c>
      <c r="M12847" t="s">
        <v>17861</v>
      </c>
      <c r="N12847" t="str">
        <f>"7/17/2019 2:41:00 PM"</f>
        <v>7/17/2019 2:41:00 PM</v>
      </c>
      <c r="O12847" t="s">
        <v>38760</v>
      </c>
      <c r="T12847" t="s">
        <v>38761</v>
      </c>
    </row>
    <row r="12848" spans="1:20" x14ac:dyDescent="0.25">
      <c r="A12848" t="str">
        <f>"3055652"</f>
        <v>3055652</v>
      </c>
      <c r="B12848" t="s">
        <v>38763</v>
      </c>
      <c r="C12848" t="str">
        <f>"8311782"</f>
        <v>8311782</v>
      </c>
      <c r="D12848" t="s">
        <v>38764</v>
      </c>
      <c r="F12848" t="s">
        <v>38765</v>
      </c>
      <c r="I12848" t="s">
        <v>29</v>
      </c>
      <c r="J12848" t="s">
        <v>30</v>
      </c>
      <c r="K12848" t="s">
        <v>38766</v>
      </c>
      <c r="M12848" t="s">
        <v>17861</v>
      </c>
      <c r="N12848" t="str">
        <f>"7/18/2019 8:10:00 AM"</f>
        <v>7/18/2019 8:10:00 AM</v>
      </c>
      <c r="O12848" t="s">
        <v>38764</v>
      </c>
    </row>
    <row r="12849" spans="1:20" x14ac:dyDescent="0.25">
      <c r="A12849" t="str">
        <f>"3052787"</f>
        <v>3052787</v>
      </c>
      <c r="B12849" t="s">
        <v>38767</v>
      </c>
      <c r="C12849" t="str">
        <f>"8311707"</f>
        <v>8311707</v>
      </c>
      <c r="D12849" t="s">
        <v>38768</v>
      </c>
      <c r="F12849" t="s">
        <v>38769</v>
      </c>
      <c r="I12849" t="s">
        <v>29</v>
      </c>
      <c r="J12849" t="s">
        <v>30</v>
      </c>
      <c r="K12849" t="s">
        <v>38770</v>
      </c>
      <c r="M12849" t="s">
        <v>17861</v>
      </c>
      <c r="N12849" t="str">
        <f>"7/9/2019 1:37:00 PM"</f>
        <v>7/9/2019 1:37:00 PM</v>
      </c>
      <c r="O12849" t="s">
        <v>38768</v>
      </c>
    </row>
    <row r="12850" spans="1:20" x14ac:dyDescent="0.25">
      <c r="A12850" t="str">
        <f>"3062107"</f>
        <v>3062107</v>
      </c>
      <c r="B12850" t="s">
        <v>38771</v>
      </c>
      <c r="C12850" t="str">
        <f>"8311716"</f>
        <v>8311716</v>
      </c>
      <c r="D12850" t="s">
        <v>38772</v>
      </c>
      <c r="E12850" t="s">
        <v>38773</v>
      </c>
      <c r="F12850" t="s">
        <v>38774</v>
      </c>
      <c r="I12850" t="s">
        <v>29</v>
      </c>
      <c r="J12850" t="s">
        <v>30</v>
      </c>
      <c r="K12850" t="s">
        <v>34545</v>
      </c>
      <c r="M12850" t="s">
        <v>17861</v>
      </c>
      <c r="N12850" t="str">
        <f>"7/9/2019 2:37:00 PM"</f>
        <v>7/9/2019 2:37:00 PM</v>
      </c>
      <c r="O12850" t="s">
        <v>38772</v>
      </c>
      <c r="T12850" t="s">
        <v>38773</v>
      </c>
    </row>
    <row r="12851" spans="1:20" x14ac:dyDescent="0.25">
      <c r="A12851" t="str">
        <f>"3076909"</f>
        <v>3076909</v>
      </c>
      <c r="B12851" t="s">
        <v>38775</v>
      </c>
      <c r="C12851" t="str">
        <f>"8311717"</f>
        <v>8311717</v>
      </c>
      <c r="D12851" t="s">
        <v>38776</v>
      </c>
      <c r="F12851" t="s">
        <v>38777</v>
      </c>
      <c r="I12851" t="s">
        <v>184</v>
      </c>
      <c r="J12851" t="s">
        <v>30</v>
      </c>
      <c r="K12851" t="s">
        <v>38778</v>
      </c>
      <c r="M12851" t="s">
        <v>17861</v>
      </c>
      <c r="N12851" t="str">
        <f>"7/9/2019 2:42:00 PM"</f>
        <v>7/9/2019 2:42:00 PM</v>
      </c>
      <c r="O12851" t="s">
        <v>38776</v>
      </c>
    </row>
    <row r="12852" spans="1:20" x14ac:dyDescent="0.25">
      <c r="A12852" t="str">
        <f>"3041496"</f>
        <v>3041496</v>
      </c>
      <c r="B12852" t="s">
        <v>38779</v>
      </c>
      <c r="C12852" t="str">
        <f>"8311723"</f>
        <v>8311723</v>
      </c>
      <c r="D12852" t="s">
        <v>38780</v>
      </c>
      <c r="E12852" t="s">
        <v>38781</v>
      </c>
      <c r="F12852" t="s">
        <v>38782</v>
      </c>
      <c r="I12852" t="s">
        <v>2071</v>
      </c>
      <c r="J12852" t="s">
        <v>30</v>
      </c>
      <c r="K12852" t="s">
        <v>32842</v>
      </c>
      <c r="M12852" t="s">
        <v>17861</v>
      </c>
      <c r="N12852" t="str">
        <f>"7/9/2019 2:57:00 PM"</f>
        <v>7/9/2019 2:57:00 PM</v>
      </c>
      <c r="O12852" t="s">
        <v>38780</v>
      </c>
      <c r="T12852" t="s">
        <v>38781</v>
      </c>
    </row>
    <row r="12853" spans="1:20" x14ac:dyDescent="0.25">
      <c r="A12853" t="str">
        <f>"3059756"</f>
        <v>3059756</v>
      </c>
      <c r="B12853" t="s">
        <v>38783</v>
      </c>
      <c r="C12853" t="str">
        <f>"8311727"</f>
        <v>8311727</v>
      </c>
      <c r="D12853" t="s">
        <v>38784</v>
      </c>
      <c r="F12853" t="s">
        <v>38785</v>
      </c>
      <c r="I12853" t="s">
        <v>29</v>
      </c>
      <c r="J12853" t="s">
        <v>30</v>
      </c>
      <c r="K12853" t="s">
        <v>16056</v>
      </c>
      <c r="M12853" t="s">
        <v>17861</v>
      </c>
      <c r="N12853" t="str">
        <f>"7/9/2019 3:14:00 PM"</f>
        <v>7/9/2019 3:14:00 PM</v>
      </c>
      <c r="O12853" t="s">
        <v>38784</v>
      </c>
    </row>
    <row r="12854" spans="1:20" x14ac:dyDescent="0.25">
      <c r="A12854" t="str">
        <f>"3042887"</f>
        <v>3042887</v>
      </c>
      <c r="B12854" t="s">
        <v>38786</v>
      </c>
      <c r="C12854" t="str">
        <f>"8311799"</f>
        <v>8311799</v>
      </c>
      <c r="D12854" t="s">
        <v>38787</v>
      </c>
      <c r="F12854" t="s">
        <v>38788</v>
      </c>
      <c r="I12854" t="s">
        <v>29</v>
      </c>
      <c r="J12854" t="s">
        <v>30</v>
      </c>
      <c r="K12854" t="s">
        <v>16849</v>
      </c>
      <c r="M12854" t="s">
        <v>17861</v>
      </c>
      <c r="N12854" t="str">
        <f>"7/24/2019 2:29:00 PM"</f>
        <v>7/24/2019 2:29:00 PM</v>
      </c>
      <c r="O12854" t="s">
        <v>38787</v>
      </c>
    </row>
    <row r="12855" spans="1:20" x14ac:dyDescent="0.25">
      <c r="A12855" t="str">
        <f>"3041239"</f>
        <v>3041239</v>
      </c>
      <c r="B12855" t="s">
        <v>38789</v>
      </c>
      <c r="C12855" t="str">
        <f>"8311800"</f>
        <v>8311800</v>
      </c>
      <c r="D12855" t="s">
        <v>38790</v>
      </c>
      <c r="E12855" t="s">
        <v>38791</v>
      </c>
      <c r="F12855" t="s">
        <v>38792</v>
      </c>
      <c r="I12855" t="s">
        <v>2071</v>
      </c>
      <c r="J12855" t="s">
        <v>30</v>
      </c>
      <c r="K12855" t="s">
        <v>35916</v>
      </c>
      <c r="M12855" t="s">
        <v>17861</v>
      </c>
      <c r="N12855" t="str">
        <f>"7/24/2019 2:32:00 PM"</f>
        <v>7/24/2019 2:32:00 PM</v>
      </c>
      <c r="O12855" t="s">
        <v>38790</v>
      </c>
      <c r="T12855" t="s">
        <v>38791</v>
      </c>
    </row>
    <row r="12856" spans="1:20" x14ac:dyDescent="0.25">
      <c r="A12856" t="str">
        <f>"3038329"</f>
        <v>3038329</v>
      </c>
      <c r="B12856" t="s">
        <v>38793</v>
      </c>
      <c r="C12856" t="str">
        <f>"8304267"</f>
        <v>8304267</v>
      </c>
      <c r="D12856" t="s">
        <v>38794</v>
      </c>
      <c r="E12856" t="s">
        <v>38795</v>
      </c>
      <c r="F12856" t="s">
        <v>38796</v>
      </c>
      <c r="I12856" t="s">
        <v>29</v>
      </c>
      <c r="J12856" t="s">
        <v>30</v>
      </c>
      <c r="K12856" t="s">
        <v>21204</v>
      </c>
      <c r="M12856" t="s">
        <v>17861</v>
      </c>
      <c r="N12856" t="str">
        <f>"7/10/2019 8:52:00 AM"</f>
        <v>7/10/2019 8:52:00 AM</v>
      </c>
      <c r="O12856" t="s">
        <v>38794</v>
      </c>
      <c r="T12856" t="s">
        <v>38795</v>
      </c>
    </row>
    <row r="12857" spans="1:20" x14ac:dyDescent="0.25">
      <c r="A12857" t="str">
        <f>"3059834"</f>
        <v>3059834</v>
      </c>
      <c r="B12857" t="s">
        <v>38797</v>
      </c>
      <c r="C12857" t="str">
        <f>"8311742"</f>
        <v>8311742</v>
      </c>
      <c r="D12857" t="s">
        <v>38798</v>
      </c>
      <c r="F12857" t="s">
        <v>38799</v>
      </c>
      <c r="I12857" t="s">
        <v>29</v>
      </c>
      <c r="J12857" t="s">
        <v>30</v>
      </c>
      <c r="K12857" t="s">
        <v>38800</v>
      </c>
      <c r="M12857" t="s">
        <v>17861</v>
      </c>
      <c r="N12857" t="str">
        <f>"7/11/2019 10:37:00 AM"</f>
        <v>7/11/2019 10:37:00 AM</v>
      </c>
      <c r="O12857" t="s">
        <v>38798</v>
      </c>
    </row>
    <row r="12858" spans="1:20" x14ac:dyDescent="0.25">
      <c r="A12858" t="str">
        <f>"3062123"</f>
        <v>3062123</v>
      </c>
      <c r="B12858" t="s">
        <v>38801</v>
      </c>
      <c r="C12858" t="str">
        <f>"8311810"</f>
        <v>8311810</v>
      </c>
      <c r="D12858" t="s">
        <v>38802</v>
      </c>
      <c r="F12858" t="s">
        <v>38803</v>
      </c>
      <c r="I12858" t="s">
        <v>29</v>
      </c>
      <c r="J12858" t="s">
        <v>30</v>
      </c>
      <c r="K12858" t="s">
        <v>36170</v>
      </c>
      <c r="M12858" t="s">
        <v>17861</v>
      </c>
      <c r="N12858" t="str">
        <f>"7/24/2019 3:31:00 PM"</f>
        <v>7/24/2019 3:31:00 PM</v>
      </c>
      <c r="O12858" t="s">
        <v>38802</v>
      </c>
    </row>
    <row r="12859" spans="1:20" x14ac:dyDescent="0.25">
      <c r="A12859" t="str">
        <f>"3049545"</f>
        <v>3049545</v>
      </c>
      <c r="B12859" t="s">
        <v>38804</v>
      </c>
      <c r="C12859" t="str">
        <f>"8311811"</f>
        <v>8311811</v>
      </c>
      <c r="D12859" t="s">
        <v>38805</v>
      </c>
      <c r="E12859" t="s">
        <v>38806</v>
      </c>
      <c r="F12859" t="s">
        <v>38807</v>
      </c>
      <c r="I12859" t="s">
        <v>471</v>
      </c>
      <c r="J12859" t="s">
        <v>30</v>
      </c>
      <c r="K12859" t="s">
        <v>38808</v>
      </c>
      <c r="M12859" t="s">
        <v>17861</v>
      </c>
      <c r="N12859" t="str">
        <f>"7/24/2019 3:35:00 PM"</f>
        <v>7/24/2019 3:35:00 PM</v>
      </c>
      <c r="O12859" t="s">
        <v>38805</v>
      </c>
      <c r="T12859" t="s">
        <v>38806</v>
      </c>
    </row>
    <row r="12860" spans="1:20" x14ac:dyDescent="0.25">
      <c r="A12860" t="str">
        <f>"3078479"</f>
        <v>3078479</v>
      </c>
      <c r="B12860" t="s">
        <v>38809</v>
      </c>
      <c r="C12860" t="str">
        <f>"8311672"</f>
        <v>8311672</v>
      </c>
      <c r="D12860" t="s">
        <v>38810</v>
      </c>
      <c r="E12860" t="s">
        <v>38811</v>
      </c>
      <c r="F12860" t="s">
        <v>38812</v>
      </c>
      <c r="I12860" t="s">
        <v>8536</v>
      </c>
      <c r="J12860" t="s">
        <v>30</v>
      </c>
      <c r="K12860" t="s">
        <v>38813</v>
      </c>
      <c r="M12860" t="s">
        <v>17861</v>
      </c>
      <c r="N12860" t="str">
        <f>"7/1/2019 3:56:00 PM"</f>
        <v>7/1/2019 3:56:00 PM</v>
      </c>
      <c r="O12860" t="s">
        <v>38810</v>
      </c>
      <c r="T12860" t="s">
        <v>38811</v>
      </c>
    </row>
    <row r="12861" spans="1:20" x14ac:dyDescent="0.25">
      <c r="A12861" t="str">
        <f>"3040527"</f>
        <v>3040527</v>
      </c>
      <c r="B12861" t="s">
        <v>38814</v>
      </c>
      <c r="C12861" t="str">
        <f>"8311674"</f>
        <v>8311674</v>
      </c>
      <c r="D12861" t="s">
        <v>38815</v>
      </c>
      <c r="E12861" t="s">
        <v>38816</v>
      </c>
      <c r="F12861" t="s">
        <v>38817</v>
      </c>
      <c r="I12861" t="s">
        <v>184</v>
      </c>
      <c r="J12861" t="s">
        <v>30</v>
      </c>
      <c r="K12861" t="s">
        <v>19416</v>
      </c>
      <c r="M12861" t="s">
        <v>17861</v>
      </c>
      <c r="N12861" t="str">
        <f>"7/1/2019 4:04:00 PM"</f>
        <v>7/1/2019 4:04:00 PM</v>
      </c>
      <c r="O12861" t="s">
        <v>38815</v>
      </c>
      <c r="T12861" t="s">
        <v>38816</v>
      </c>
    </row>
    <row r="12862" spans="1:20" x14ac:dyDescent="0.25">
      <c r="A12862" t="str">
        <f>"3077654"</f>
        <v>3077654</v>
      </c>
      <c r="B12862" t="s">
        <v>38818</v>
      </c>
      <c r="C12862" t="str">
        <f>"8311766"</f>
        <v>8311766</v>
      </c>
      <c r="D12862" t="s">
        <v>38819</v>
      </c>
      <c r="E12862" t="s">
        <v>38820</v>
      </c>
      <c r="F12862" t="s">
        <v>38821</v>
      </c>
      <c r="I12862" t="s">
        <v>29</v>
      </c>
      <c r="J12862" t="s">
        <v>30</v>
      </c>
      <c r="K12862" t="s">
        <v>38822</v>
      </c>
      <c r="M12862" t="s">
        <v>17861</v>
      </c>
      <c r="N12862" t="str">
        <f>"7/17/2019 11:14:00 AM"</f>
        <v>7/17/2019 11:14:00 AM</v>
      </c>
      <c r="O12862" t="s">
        <v>38819</v>
      </c>
      <c r="T12862" t="s">
        <v>38820</v>
      </c>
    </row>
    <row r="12863" spans="1:20" x14ac:dyDescent="0.25">
      <c r="A12863" t="str">
        <f>"3059559"</f>
        <v>3059559</v>
      </c>
      <c r="B12863" t="s">
        <v>38823</v>
      </c>
      <c r="C12863" t="str">
        <f>"8311822"</f>
        <v>8311822</v>
      </c>
      <c r="D12863" t="s">
        <v>38824</v>
      </c>
      <c r="F12863" t="s">
        <v>38825</v>
      </c>
      <c r="I12863" t="s">
        <v>29</v>
      </c>
      <c r="J12863" t="s">
        <v>30</v>
      </c>
      <c r="K12863" t="s">
        <v>33298</v>
      </c>
      <c r="M12863" t="s">
        <v>17861</v>
      </c>
      <c r="N12863" t="str">
        <f>"7/26/2019 10:13:00 AM"</f>
        <v>7/26/2019 10:13:00 AM</v>
      </c>
      <c r="O12863" t="s">
        <v>38824</v>
      </c>
    </row>
    <row r="12864" spans="1:20" x14ac:dyDescent="0.25">
      <c r="A12864" t="str">
        <f>"3059058"</f>
        <v>3059058</v>
      </c>
      <c r="B12864" t="s">
        <v>38826</v>
      </c>
      <c r="C12864" t="str">
        <f>"82515566"</f>
        <v>82515566</v>
      </c>
      <c r="D12864" t="s">
        <v>38827</v>
      </c>
      <c r="E12864" t="s">
        <v>38828</v>
      </c>
      <c r="F12864" t="s">
        <v>38829</v>
      </c>
      <c r="I12864" t="s">
        <v>29</v>
      </c>
      <c r="J12864" t="s">
        <v>30</v>
      </c>
      <c r="K12864" t="s">
        <v>38830</v>
      </c>
      <c r="M12864" t="s">
        <v>33845</v>
      </c>
      <c r="N12864" t="str">
        <f>"7/26/2019 10:40:00 AM"</f>
        <v>7/26/2019 10:40:00 AM</v>
      </c>
      <c r="O12864" t="s">
        <v>38827</v>
      </c>
      <c r="T12864" t="s">
        <v>38828</v>
      </c>
    </row>
    <row r="12865" spans="1:20" x14ac:dyDescent="0.25">
      <c r="A12865" t="str">
        <f>"3044181"</f>
        <v>3044181</v>
      </c>
      <c r="B12865" t="s">
        <v>38831</v>
      </c>
      <c r="C12865" t="str">
        <f>"8311823"</f>
        <v>8311823</v>
      </c>
      <c r="D12865" t="s">
        <v>38832</v>
      </c>
      <c r="F12865" t="s">
        <v>38833</v>
      </c>
      <c r="I12865" t="s">
        <v>184</v>
      </c>
      <c r="J12865" t="s">
        <v>30</v>
      </c>
      <c r="K12865" t="s">
        <v>7561</v>
      </c>
      <c r="M12865" t="s">
        <v>17861</v>
      </c>
      <c r="N12865" t="str">
        <f>"7/26/2019 10:56:00 AM"</f>
        <v>7/26/2019 10:56:00 AM</v>
      </c>
      <c r="O12865" t="s">
        <v>38832</v>
      </c>
    </row>
    <row r="12866" spans="1:20" x14ac:dyDescent="0.25">
      <c r="A12866" t="str">
        <f>"3053502"</f>
        <v>3053502</v>
      </c>
      <c r="B12866" t="s">
        <v>38834</v>
      </c>
      <c r="C12866" t="str">
        <f>"8311768"</f>
        <v>8311768</v>
      </c>
      <c r="D12866" t="s">
        <v>38835</v>
      </c>
      <c r="E12866" t="s">
        <v>38836</v>
      </c>
      <c r="F12866" t="s">
        <v>38837</v>
      </c>
      <c r="I12866" t="s">
        <v>184</v>
      </c>
      <c r="J12866" t="s">
        <v>30</v>
      </c>
      <c r="K12866" t="s">
        <v>38838</v>
      </c>
      <c r="M12866" t="s">
        <v>17861</v>
      </c>
      <c r="N12866" t="str">
        <f>"7/17/2019 11:27:00 AM"</f>
        <v>7/17/2019 11:27:00 AM</v>
      </c>
      <c r="O12866" t="s">
        <v>38835</v>
      </c>
      <c r="T12866" t="s">
        <v>38836</v>
      </c>
    </row>
    <row r="12867" spans="1:20" x14ac:dyDescent="0.25">
      <c r="A12867" t="str">
        <f>"3061032"</f>
        <v>3061032</v>
      </c>
      <c r="B12867" t="s">
        <v>38839</v>
      </c>
      <c r="C12867" t="str">
        <f>"8311769"</f>
        <v>8311769</v>
      </c>
      <c r="D12867" t="s">
        <v>38840</v>
      </c>
      <c r="E12867" t="s">
        <v>38841</v>
      </c>
      <c r="F12867" t="s">
        <v>38842</v>
      </c>
      <c r="I12867" t="s">
        <v>2071</v>
      </c>
      <c r="J12867" t="s">
        <v>30</v>
      </c>
      <c r="K12867" t="s">
        <v>38843</v>
      </c>
      <c r="M12867" t="s">
        <v>17861</v>
      </c>
      <c r="N12867" t="str">
        <f>"7/17/2019 1:27:00 PM"</f>
        <v>7/17/2019 1:27:00 PM</v>
      </c>
      <c r="O12867" t="s">
        <v>38840</v>
      </c>
      <c r="T12867" t="s">
        <v>38841</v>
      </c>
    </row>
    <row r="12868" spans="1:20" x14ac:dyDescent="0.25">
      <c r="A12868" t="str">
        <f>"3049751"</f>
        <v>3049751</v>
      </c>
      <c r="B12868" t="s">
        <v>38844</v>
      </c>
      <c r="C12868" t="str">
        <f>"8311828"</f>
        <v>8311828</v>
      </c>
      <c r="D12868" t="s">
        <v>38845</v>
      </c>
      <c r="F12868" t="s">
        <v>38846</v>
      </c>
      <c r="I12868" t="s">
        <v>29</v>
      </c>
      <c r="J12868" t="s">
        <v>30</v>
      </c>
      <c r="K12868" t="s">
        <v>17132</v>
      </c>
      <c r="M12868" t="s">
        <v>17861</v>
      </c>
      <c r="N12868" t="str">
        <f>"7/29/2019 1:15:00 PM"</f>
        <v>7/29/2019 1:15:00 PM</v>
      </c>
      <c r="O12868" t="s">
        <v>38845</v>
      </c>
    </row>
    <row r="12869" spans="1:20" x14ac:dyDescent="0.25">
      <c r="A12869" t="str">
        <f>"3050694"</f>
        <v>3050694</v>
      </c>
      <c r="B12869" t="s">
        <v>38847</v>
      </c>
      <c r="C12869" t="str">
        <f>"8311830"</f>
        <v>8311830</v>
      </c>
      <c r="D12869" t="s">
        <v>38848</v>
      </c>
      <c r="E12869" t="s">
        <v>38849</v>
      </c>
      <c r="F12869" t="s">
        <v>38850</v>
      </c>
      <c r="I12869" t="s">
        <v>184</v>
      </c>
      <c r="J12869" t="s">
        <v>30</v>
      </c>
      <c r="K12869" t="s">
        <v>10595</v>
      </c>
      <c r="M12869" t="s">
        <v>17861</v>
      </c>
      <c r="N12869" t="str">
        <f>"7/29/2019 1:19:00 PM"</f>
        <v>7/29/2019 1:19:00 PM</v>
      </c>
      <c r="O12869" t="s">
        <v>38848</v>
      </c>
      <c r="T12869" t="s">
        <v>38849</v>
      </c>
    </row>
    <row r="12870" spans="1:20" x14ac:dyDescent="0.25">
      <c r="A12870" t="str">
        <f>"3042878"</f>
        <v>3042878</v>
      </c>
      <c r="B12870" t="s">
        <v>38851</v>
      </c>
      <c r="C12870" t="str">
        <f>"8311774"</f>
        <v>8311774</v>
      </c>
      <c r="D12870" t="s">
        <v>38852</v>
      </c>
      <c r="F12870" t="s">
        <v>38853</v>
      </c>
      <c r="I12870" t="s">
        <v>29</v>
      </c>
      <c r="J12870" t="s">
        <v>30</v>
      </c>
      <c r="K12870" t="s">
        <v>38854</v>
      </c>
      <c r="M12870" t="s">
        <v>17861</v>
      </c>
      <c r="N12870" t="str">
        <f>"7/17/2019 1:54:00 PM"</f>
        <v>7/17/2019 1:54:00 PM</v>
      </c>
      <c r="O12870" t="s">
        <v>38852</v>
      </c>
    </row>
    <row r="12871" spans="1:20" x14ac:dyDescent="0.25">
      <c r="A12871" t="str">
        <f>"3060620"</f>
        <v>3060620</v>
      </c>
      <c r="B12871" t="s">
        <v>38855</v>
      </c>
      <c r="C12871" t="str">
        <f>"8311777"</f>
        <v>8311777</v>
      </c>
      <c r="D12871" t="s">
        <v>38856</v>
      </c>
      <c r="F12871" t="s">
        <v>38857</v>
      </c>
      <c r="I12871" t="s">
        <v>2071</v>
      </c>
      <c r="J12871" t="s">
        <v>30</v>
      </c>
      <c r="K12871" t="s">
        <v>6459</v>
      </c>
      <c r="M12871" t="s">
        <v>17861</v>
      </c>
      <c r="N12871" t="str">
        <f>"7/17/2019 2:21:00 PM"</f>
        <v>7/17/2019 2:21:00 PM</v>
      </c>
      <c r="O12871" t="s">
        <v>38856</v>
      </c>
    </row>
    <row r="12872" spans="1:20" x14ac:dyDescent="0.25">
      <c r="A12872" t="str">
        <f>"3045368"</f>
        <v>3045368</v>
      </c>
      <c r="B12872" t="s">
        <v>38858</v>
      </c>
      <c r="C12872" t="str">
        <f>"8311793"</f>
        <v>8311793</v>
      </c>
      <c r="D12872" t="s">
        <v>38859</v>
      </c>
      <c r="E12872" t="s">
        <v>38860</v>
      </c>
      <c r="F12872" t="s">
        <v>38861</v>
      </c>
      <c r="I12872" t="s">
        <v>29</v>
      </c>
      <c r="J12872" t="s">
        <v>30</v>
      </c>
      <c r="K12872" t="s">
        <v>11163</v>
      </c>
      <c r="M12872" t="s">
        <v>17861</v>
      </c>
      <c r="N12872" t="str">
        <f>"7/24/2019 2:06:00 PM"</f>
        <v>7/24/2019 2:06:00 PM</v>
      </c>
      <c r="O12872" t="s">
        <v>38859</v>
      </c>
      <c r="T12872" t="s">
        <v>38860</v>
      </c>
    </row>
    <row r="12873" spans="1:20" x14ac:dyDescent="0.25">
      <c r="A12873" t="str">
        <f>"3050352"</f>
        <v>3050352</v>
      </c>
      <c r="B12873" t="s">
        <v>38862</v>
      </c>
      <c r="C12873" t="str">
        <f>"8311794"</f>
        <v>8311794</v>
      </c>
      <c r="D12873" t="s">
        <v>38863</v>
      </c>
      <c r="E12873" t="s">
        <v>38864</v>
      </c>
      <c r="F12873" t="s">
        <v>38865</v>
      </c>
      <c r="I12873" t="s">
        <v>184</v>
      </c>
      <c r="J12873" t="s">
        <v>30</v>
      </c>
      <c r="K12873" t="s">
        <v>12712</v>
      </c>
      <c r="M12873" t="s">
        <v>17861</v>
      </c>
      <c r="N12873" t="str">
        <f>"7/24/2019 2:11:00 PM"</f>
        <v>7/24/2019 2:11:00 PM</v>
      </c>
      <c r="O12873" t="s">
        <v>38863</v>
      </c>
      <c r="T12873" t="s">
        <v>38864</v>
      </c>
    </row>
    <row r="12874" spans="1:20" x14ac:dyDescent="0.25">
      <c r="A12874" t="str">
        <f>"3041440"</f>
        <v>3041440</v>
      </c>
      <c r="B12874" t="s">
        <v>38866</v>
      </c>
      <c r="C12874" t="str">
        <f>"8311796"</f>
        <v>8311796</v>
      </c>
      <c r="D12874" t="s">
        <v>38867</v>
      </c>
      <c r="E12874" t="s">
        <v>38868</v>
      </c>
      <c r="F12874" t="s">
        <v>38869</v>
      </c>
      <c r="I12874" t="s">
        <v>2071</v>
      </c>
      <c r="J12874" t="s">
        <v>30</v>
      </c>
      <c r="K12874" t="s">
        <v>38176</v>
      </c>
      <c r="M12874" t="s">
        <v>17861</v>
      </c>
      <c r="N12874" t="str">
        <f>"7/24/2019 2:19:00 PM"</f>
        <v>7/24/2019 2:19:00 PM</v>
      </c>
      <c r="O12874" t="s">
        <v>38867</v>
      </c>
      <c r="T12874" t="s">
        <v>38868</v>
      </c>
    </row>
    <row r="12875" spans="1:20" x14ac:dyDescent="0.25">
      <c r="A12875" t="str">
        <f>"3060066"</f>
        <v>3060066</v>
      </c>
      <c r="B12875" t="s">
        <v>38870</v>
      </c>
      <c r="C12875" t="str">
        <f>"8311797"</f>
        <v>8311797</v>
      </c>
      <c r="D12875" t="s">
        <v>38871</v>
      </c>
      <c r="E12875" t="s">
        <v>38872</v>
      </c>
      <c r="F12875" t="s">
        <v>38873</v>
      </c>
      <c r="I12875" t="s">
        <v>184</v>
      </c>
      <c r="J12875" t="s">
        <v>30</v>
      </c>
      <c r="K12875" t="s">
        <v>38874</v>
      </c>
      <c r="M12875" t="s">
        <v>17861</v>
      </c>
      <c r="N12875" t="str">
        <f>"7/24/2019 2:21:00 PM"</f>
        <v>7/24/2019 2:21:00 PM</v>
      </c>
      <c r="O12875" t="s">
        <v>38871</v>
      </c>
      <c r="T12875" t="s">
        <v>38872</v>
      </c>
    </row>
    <row r="12876" spans="1:20" x14ac:dyDescent="0.25">
      <c r="A12876" t="str">
        <f>"3042011"</f>
        <v>3042011</v>
      </c>
      <c r="B12876" t="s">
        <v>38875</v>
      </c>
      <c r="C12876" t="str">
        <f>"8311799"</f>
        <v>8311799</v>
      </c>
      <c r="D12876" t="s">
        <v>38787</v>
      </c>
      <c r="F12876" t="s">
        <v>38788</v>
      </c>
      <c r="I12876" t="s">
        <v>29</v>
      </c>
      <c r="J12876" t="s">
        <v>30</v>
      </c>
      <c r="K12876" t="s">
        <v>16849</v>
      </c>
      <c r="M12876" t="s">
        <v>17861</v>
      </c>
      <c r="N12876" t="str">
        <f>"7/24/2019 2:29:00 PM"</f>
        <v>7/24/2019 2:29:00 PM</v>
      </c>
      <c r="O12876" t="s">
        <v>38787</v>
      </c>
    </row>
    <row r="12877" spans="1:20" x14ac:dyDescent="0.25">
      <c r="A12877" t="str">
        <f>"3052517"</f>
        <v>3052517</v>
      </c>
      <c r="B12877" t="s">
        <v>38876</v>
      </c>
      <c r="C12877" t="str">
        <f>"8311807"</f>
        <v>8311807</v>
      </c>
      <c r="D12877" t="s">
        <v>38877</v>
      </c>
      <c r="F12877" t="s">
        <v>38878</v>
      </c>
      <c r="I12877" t="s">
        <v>29</v>
      </c>
      <c r="J12877" t="s">
        <v>30</v>
      </c>
      <c r="K12877" t="s">
        <v>38879</v>
      </c>
      <c r="M12877" t="s">
        <v>17861</v>
      </c>
      <c r="N12877" t="str">
        <f>"7/24/2019 3:24:00 PM"</f>
        <v>7/24/2019 3:24:00 PM</v>
      </c>
      <c r="O12877" t="s">
        <v>38877</v>
      </c>
    </row>
    <row r="12878" spans="1:20" x14ac:dyDescent="0.25">
      <c r="A12878" t="str">
        <f>"3060406"</f>
        <v>3060406</v>
      </c>
      <c r="B12878" t="s">
        <v>38880</v>
      </c>
      <c r="C12878" t="str">
        <f>"8311809"</f>
        <v>8311809</v>
      </c>
      <c r="D12878" t="s">
        <v>38881</v>
      </c>
      <c r="E12878" t="s">
        <v>35537</v>
      </c>
      <c r="F12878" t="s">
        <v>38882</v>
      </c>
      <c r="I12878" t="s">
        <v>2071</v>
      </c>
      <c r="J12878" t="s">
        <v>30</v>
      </c>
      <c r="K12878" t="s">
        <v>3728</v>
      </c>
      <c r="M12878" t="s">
        <v>17861</v>
      </c>
      <c r="N12878" t="str">
        <f>"7/24/2019 3:29:00 PM"</f>
        <v>7/24/2019 3:29:00 PM</v>
      </c>
      <c r="O12878" t="s">
        <v>38881</v>
      </c>
      <c r="T12878" t="s">
        <v>35537</v>
      </c>
    </row>
    <row r="12879" spans="1:20" x14ac:dyDescent="0.25">
      <c r="A12879" t="str">
        <f>"3056288"</f>
        <v>3056288</v>
      </c>
      <c r="B12879" t="s">
        <v>38883</v>
      </c>
      <c r="C12879" t="str">
        <f>"8310809"</f>
        <v>8310809</v>
      </c>
      <c r="D12879" t="s">
        <v>38884</v>
      </c>
      <c r="F12879" t="s">
        <v>38885</v>
      </c>
      <c r="I12879" t="s">
        <v>29</v>
      </c>
      <c r="J12879" t="s">
        <v>30</v>
      </c>
      <c r="K12879" t="str">
        <f>"27028"</f>
        <v>27028</v>
      </c>
      <c r="M12879" t="s">
        <v>18470</v>
      </c>
      <c r="N12879" t="str">
        <f>"7/16/2019 3:33:00 PM"</f>
        <v>7/16/2019 3:33:00 PM</v>
      </c>
      <c r="O12879" t="s">
        <v>38884</v>
      </c>
    </row>
    <row r="12880" spans="1:20" x14ac:dyDescent="0.25">
      <c r="A12880" t="str">
        <f>"3061498"</f>
        <v>3061498</v>
      </c>
      <c r="B12880" t="s">
        <v>38886</v>
      </c>
      <c r="C12880" t="str">
        <f>"8311753"</f>
        <v>8311753</v>
      </c>
      <c r="D12880" t="s">
        <v>38887</v>
      </c>
      <c r="F12880" t="s">
        <v>38888</v>
      </c>
      <c r="I12880" t="s">
        <v>184</v>
      </c>
      <c r="J12880" t="s">
        <v>30</v>
      </c>
      <c r="K12880" t="s">
        <v>2238</v>
      </c>
      <c r="M12880" t="s">
        <v>17861</v>
      </c>
      <c r="N12880" t="str">
        <f>"7/17/2019 9:08:00 AM"</f>
        <v>7/17/2019 9:08:00 AM</v>
      </c>
      <c r="O12880" t="s">
        <v>38887</v>
      </c>
    </row>
    <row r="12881" spans="1:20" x14ac:dyDescent="0.25">
      <c r="A12881" t="str">
        <f>"3044686"</f>
        <v>3044686</v>
      </c>
      <c r="B12881" t="s">
        <v>38889</v>
      </c>
      <c r="C12881" t="str">
        <f>"8311754"</f>
        <v>8311754</v>
      </c>
      <c r="D12881" t="s">
        <v>38890</v>
      </c>
      <c r="E12881" t="s">
        <v>38891</v>
      </c>
      <c r="F12881" t="s">
        <v>38892</v>
      </c>
      <c r="I12881" t="s">
        <v>184</v>
      </c>
      <c r="J12881" t="s">
        <v>30</v>
      </c>
      <c r="K12881" t="s">
        <v>6077</v>
      </c>
      <c r="M12881" t="s">
        <v>17861</v>
      </c>
      <c r="N12881" t="str">
        <f>"7/17/2019 9:35:00 AM"</f>
        <v>7/17/2019 9:35:00 AM</v>
      </c>
      <c r="O12881" t="s">
        <v>38890</v>
      </c>
      <c r="T12881" t="s">
        <v>38891</v>
      </c>
    </row>
    <row r="12882" spans="1:20" x14ac:dyDescent="0.25">
      <c r="A12882" t="str">
        <f>"3062226"</f>
        <v>3062226</v>
      </c>
      <c r="B12882" t="s">
        <v>38893</v>
      </c>
      <c r="C12882" t="str">
        <f>"8311756"</f>
        <v>8311756</v>
      </c>
      <c r="D12882" t="s">
        <v>38894</v>
      </c>
      <c r="E12882" t="s">
        <v>38895</v>
      </c>
      <c r="F12882" t="s">
        <v>38896</v>
      </c>
      <c r="I12882" t="s">
        <v>29</v>
      </c>
      <c r="J12882" t="s">
        <v>30</v>
      </c>
      <c r="K12882" t="str">
        <f>"27028"</f>
        <v>27028</v>
      </c>
      <c r="M12882" t="s">
        <v>17861</v>
      </c>
      <c r="N12882" t="str">
        <f>"7/17/2019 9:53:00 AM"</f>
        <v>7/17/2019 9:53:00 AM</v>
      </c>
      <c r="O12882" t="s">
        <v>38894</v>
      </c>
      <c r="T12882" t="s">
        <v>38895</v>
      </c>
    </row>
    <row r="12883" spans="1:20" x14ac:dyDescent="0.25">
      <c r="A12883" t="str">
        <f>"3059190"</f>
        <v>3059190</v>
      </c>
      <c r="B12883" t="s">
        <v>38897</v>
      </c>
      <c r="C12883" t="str">
        <f>"8311846"</f>
        <v>8311846</v>
      </c>
      <c r="D12883" t="s">
        <v>38898</v>
      </c>
      <c r="E12883" t="s">
        <v>38899</v>
      </c>
      <c r="F12883" t="s">
        <v>38900</v>
      </c>
      <c r="I12883" t="s">
        <v>29</v>
      </c>
      <c r="J12883" t="s">
        <v>30</v>
      </c>
      <c r="K12883" t="s">
        <v>11450</v>
      </c>
      <c r="M12883" t="s">
        <v>17861</v>
      </c>
      <c r="N12883" t="str">
        <f>"8/2/2019 9:22:00 AM"</f>
        <v>8/2/2019 9:22:00 AM</v>
      </c>
      <c r="O12883" t="s">
        <v>38898</v>
      </c>
      <c r="T12883" t="s">
        <v>38899</v>
      </c>
    </row>
    <row r="12884" spans="1:20" x14ac:dyDescent="0.25">
      <c r="A12884" t="str">
        <f>"3050129"</f>
        <v>3050129</v>
      </c>
      <c r="B12884" t="s">
        <v>38901</v>
      </c>
      <c r="C12884" t="str">
        <f>"8311847"</f>
        <v>8311847</v>
      </c>
      <c r="D12884" t="s">
        <v>38902</v>
      </c>
      <c r="E12884" t="s">
        <v>38903</v>
      </c>
      <c r="F12884" t="s">
        <v>38904</v>
      </c>
      <c r="I12884" t="s">
        <v>29</v>
      </c>
      <c r="J12884" t="s">
        <v>30</v>
      </c>
      <c r="K12884" t="s">
        <v>38905</v>
      </c>
      <c r="M12884" t="s">
        <v>17861</v>
      </c>
      <c r="N12884" t="str">
        <f>"8/2/2019 9:24:00 AM"</f>
        <v>8/2/2019 9:24:00 AM</v>
      </c>
      <c r="O12884" t="s">
        <v>38902</v>
      </c>
      <c r="T12884" t="s">
        <v>38903</v>
      </c>
    </row>
    <row r="12885" spans="1:20" x14ac:dyDescent="0.25">
      <c r="A12885" t="str">
        <f>"3061409"</f>
        <v>3061409</v>
      </c>
      <c r="B12885" t="s">
        <v>38906</v>
      </c>
      <c r="C12885" t="str">
        <f>"8311848"</f>
        <v>8311848</v>
      </c>
      <c r="D12885" t="s">
        <v>38907</v>
      </c>
      <c r="E12885" t="s">
        <v>38908</v>
      </c>
      <c r="F12885" t="s">
        <v>38909</v>
      </c>
      <c r="I12885" t="s">
        <v>184</v>
      </c>
      <c r="J12885" t="s">
        <v>30</v>
      </c>
      <c r="K12885" t="s">
        <v>35010</v>
      </c>
      <c r="M12885" t="s">
        <v>17861</v>
      </c>
      <c r="N12885" t="str">
        <f>"8/2/2019 9:27:00 AM"</f>
        <v>8/2/2019 9:27:00 AM</v>
      </c>
      <c r="O12885" t="s">
        <v>38907</v>
      </c>
      <c r="T12885" t="s">
        <v>38908</v>
      </c>
    </row>
    <row r="12886" spans="1:20" x14ac:dyDescent="0.25">
      <c r="A12886" t="str">
        <f>"3093705"</f>
        <v>3093705</v>
      </c>
      <c r="B12886" t="s">
        <v>38910</v>
      </c>
      <c r="C12886" t="str">
        <f>"8311849"</f>
        <v>8311849</v>
      </c>
      <c r="D12886" t="s">
        <v>38911</v>
      </c>
      <c r="F12886" t="s">
        <v>38912</v>
      </c>
      <c r="I12886" t="s">
        <v>29</v>
      </c>
      <c r="J12886" t="s">
        <v>30</v>
      </c>
      <c r="K12886" t="s">
        <v>27045</v>
      </c>
      <c r="M12886" t="s">
        <v>17861</v>
      </c>
      <c r="N12886" t="str">
        <f>"8/2/2019 10:02:00 AM"</f>
        <v>8/2/2019 10:02:00 AM</v>
      </c>
      <c r="O12886" t="s">
        <v>38911</v>
      </c>
    </row>
    <row r="12887" spans="1:20" x14ac:dyDescent="0.25">
      <c r="A12887" t="str">
        <f>"3054640"</f>
        <v>3054640</v>
      </c>
      <c r="B12887" t="s">
        <v>38913</v>
      </c>
      <c r="C12887" t="str">
        <f>"8311849"</f>
        <v>8311849</v>
      </c>
      <c r="D12887" t="s">
        <v>38911</v>
      </c>
      <c r="F12887" t="s">
        <v>38912</v>
      </c>
      <c r="I12887" t="s">
        <v>29</v>
      </c>
      <c r="J12887" t="s">
        <v>30</v>
      </c>
      <c r="K12887" t="s">
        <v>27045</v>
      </c>
      <c r="M12887" t="s">
        <v>17861</v>
      </c>
      <c r="N12887" t="str">
        <f>"8/2/2019 10:02:00 AM"</f>
        <v>8/2/2019 10:02:00 AM</v>
      </c>
      <c r="O12887" t="s">
        <v>38911</v>
      </c>
    </row>
    <row r="12888" spans="1:20" x14ac:dyDescent="0.25">
      <c r="A12888" t="str">
        <f>"3054384"</f>
        <v>3054384</v>
      </c>
      <c r="B12888" t="s">
        <v>38914</v>
      </c>
      <c r="C12888" t="str">
        <f>"8311849"</f>
        <v>8311849</v>
      </c>
      <c r="D12888" t="s">
        <v>38911</v>
      </c>
      <c r="F12888" t="s">
        <v>38912</v>
      </c>
      <c r="I12888" t="s">
        <v>29</v>
      </c>
      <c r="J12888" t="s">
        <v>30</v>
      </c>
      <c r="K12888" t="s">
        <v>27045</v>
      </c>
      <c r="M12888" t="s">
        <v>17861</v>
      </c>
      <c r="N12888" t="str">
        <f>"8/2/2019 10:02:00 AM"</f>
        <v>8/2/2019 10:02:00 AM</v>
      </c>
      <c r="O12888" t="s">
        <v>38911</v>
      </c>
    </row>
    <row r="12889" spans="1:20" x14ac:dyDescent="0.25">
      <c r="A12889" t="str">
        <f>"3046233"</f>
        <v>3046233</v>
      </c>
      <c r="B12889" t="s">
        <v>38915</v>
      </c>
      <c r="C12889" t="str">
        <f>"8311849"</f>
        <v>8311849</v>
      </c>
      <c r="D12889" t="s">
        <v>38911</v>
      </c>
      <c r="F12889" t="s">
        <v>38912</v>
      </c>
      <c r="I12889" t="s">
        <v>29</v>
      </c>
      <c r="J12889" t="s">
        <v>30</v>
      </c>
      <c r="K12889" t="s">
        <v>27045</v>
      </c>
      <c r="M12889" t="s">
        <v>17861</v>
      </c>
      <c r="N12889" t="str">
        <f>"8/2/2019 10:02:00 AM"</f>
        <v>8/2/2019 10:02:00 AM</v>
      </c>
      <c r="O12889" t="s">
        <v>38911</v>
      </c>
    </row>
    <row r="12890" spans="1:20" x14ac:dyDescent="0.25">
      <c r="A12890" t="str">
        <f>"3060227"</f>
        <v>3060227</v>
      </c>
      <c r="B12890" t="s">
        <v>38916</v>
      </c>
      <c r="C12890" t="str">
        <f>"8311757"</f>
        <v>8311757</v>
      </c>
      <c r="D12890" t="s">
        <v>38917</v>
      </c>
      <c r="E12890" t="s">
        <v>38918</v>
      </c>
      <c r="F12890" t="s">
        <v>38919</v>
      </c>
      <c r="I12890" t="s">
        <v>184</v>
      </c>
      <c r="J12890" t="s">
        <v>30</v>
      </c>
      <c r="K12890" t="s">
        <v>38466</v>
      </c>
      <c r="M12890" t="s">
        <v>17861</v>
      </c>
      <c r="N12890" t="str">
        <f>"7/17/2019 9:56:00 AM"</f>
        <v>7/17/2019 9:56:00 AM</v>
      </c>
      <c r="O12890" t="s">
        <v>38917</v>
      </c>
      <c r="T12890" t="s">
        <v>38918</v>
      </c>
    </row>
    <row r="12891" spans="1:20" x14ac:dyDescent="0.25">
      <c r="A12891" t="str">
        <f>"3062192"</f>
        <v>3062192</v>
      </c>
      <c r="B12891" t="s">
        <v>38920</v>
      </c>
      <c r="C12891" t="str">
        <f>"8311758"</f>
        <v>8311758</v>
      </c>
      <c r="D12891" t="s">
        <v>38921</v>
      </c>
      <c r="E12891" t="s">
        <v>38922</v>
      </c>
      <c r="F12891" t="s">
        <v>38923</v>
      </c>
      <c r="I12891" t="s">
        <v>29</v>
      </c>
      <c r="J12891" t="s">
        <v>30</v>
      </c>
      <c r="K12891" t="s">
        <v>15656</v>
      </c>
      <c r="M12891" t="s">
        <v>17861</v>
      </c>
      <c r="N12891" t="str">
        <f>"7/17/2019 9:58:00 AM"</f>
        <v>7/17/2019 9:58:00 AM</v>
      </c>
      <c r="O12891" t="s">
        <v>38921</v>
      </c>
      <c r="T12891" t="s">
        <v>38922</v>
      </c>
    </row>
    <row r="12892" spans="1:20" x14ac:dyDescent="0.25">
      <c r="A12892" t="str">
        <f>"3058495"</f>
        <v>3058495</v>
      </c>
      <c r="B12892" t="s">
        <v>38924</v>
      </c>
      <c r="C12892" t="str">
        <f>"8311759"</f>
        <v>8311759</v>
      </c>
      <c r="D12892" t="s">
        <v>38925</v>
      </c>
      <c r="E12892" t="s">
        <v>38926</v>
      </c>
      <c r="F12892" t="s">
        <v>38927</v>
      </c>
      <c r="I12892" t="s">
        <v>29</v>
      </c>
      <c r="J12892" t="s">
        <v>30</v>
      </c>
      <c r="K12892" t="s">
        <v>38928</v>
      </c>
      <c r="M12892" t="s">
        <v>17861</v>
      </c>
      <c r="N12892" t="str">
        <f>"7/17/2019 10:00:00 AM"</f>
        <v>7/17/2019 10:00:00 AM</v>
      </c>
      <c r="O12892" t="s">
        <v>38925</v>
      </c>
      <c r="T12892" t="s">
        <v>38926</v>
      </c>
    </row>
    <row r="12893" spans="1:20" x14ac:dyDescent="0.25">
      <c r="A12893" t="str">
        <f>"3044603"</f>
        <v>3044603</v>
      </c>
      <c r="B12893" t="s">
        <v>38929</v>
      </c>
      <c r="C12893" t="str">
        <f>"8311760"</f>
        <v>8311760</v>
      </c>
      <c r="D12893" t="s">
        <v>38930</v>
      </c>
      <c r="E12893" t="s">
        <v>38931</v>
      </c>
      <c r="F12893" t="s">
        <v>38932</v>
      </c>
      <c r="I12893" t="s">
        <v>184</v>
      </c>
      <c r="J12893" t="s">
        <v>30</v>
      </c>
      <c r="K12893" t="s">
        <v>5840</v>
      </c>
      <c r="M12893" t="s">
        <v>17861</v>
      </c>
      <c r="N12893" t="str">
        <f>"7/17/2019 10:02:00 AM"</f>
        <v>7/17/2019 10:02:00 AM</v>
      </c>
      <c r="O12893" t="s">
        <v>38930</v>
      </c>
      <c r="T12893" t="s">
        <v>38931</v>
      </c>
    </row>
    <row r="12894" spans="1:20" x14ac:dyDescent="0.25">
      <c r="A12894" t="str">
        <f>"3042978"</f>
        <v>3042978</v>
      </c>
      <c r="B12894" t="s">
        <v>38933</v>
      </c>
      <c r="C12894" t="str">
        <f>"67102000"</f>
        <v>67102000</v>
      </c>
      <c r="D12894" t="s">
        <v>38934</v>
      </c>
      <c r="E12894" t="str">
        <f>"C/ O GEORGE M SMITH"</f>
        <v>C/ O GEORGE M SMITH</v>
      </c>
      <c r="F12894" t="s">
        <v>14257</v>
      </c>
      <c r="I12894" t="s">
        <v>29</v>
      </c>
      <c r="J12894" t="s">
        <v>30</v>
      </c>
      <c r="K12894" t="s">
        <v>31</v>
      </c>
      <c r="M12894" t="s">
        <v>18470</v>
      </c>
      <c r="N12894" t="str">
        <f>"7/17/2019 10:20:00 AM"</f>
        <v>7/17/2019 10:20:00 AM</v>
      </c>
      <c r="O12894" t="s">
        <v>38934</v>
      </c>
      <c r="T12894" t="str">
        <f>"C/ O GEORGE M SMITH"</f>
        <v>C/ O GEORGE M SMITH</v>
      </c>
    </row>
    <row r="12895" spans="1:20" x14ac:dyDescent="0.25">
      <c r="A12895" t="str">
        <f>"3052589"</f>
        <v>3052589</v>
      </c>
      <c r="B12895" t="s">
        <v>38935</v>
      </c>
      <c r="C12895" t="str">
        <f>"8311764"</f>
        <v>8311764</v>
      </c>
      <c r="D12895" t="s">
        <v>38936</v>
      </c>
      <c r="F12895" t="s">
        <v>38937</v>
      </c>
      <c r="I12895" t="s">
        <v>29</v>
      </c>
      <c r="J12895" t="s">
        <v>30</v>
      </c>
      <c r="K12895" t="s">
        <v>34633</v>
      </c>
      <c r="M12895" t="s">
        <v>17861</v>
      </c>
      <c r="N12895" t="str">
        <f>"7/17/2019 10:55:00 AM"</f>
        <v>7/17/2019 10:55:00 AM</v>
      </c>
      <c r="O12895" t="s">
        <v>38936</v>
      </c>
    </row>
    <row r="12896" spans="1:20" x14ac:dyDescent="0.25">
      <c r="A12896" t="str">
        <f>"3044725"</f>
        <v>3044725</v>
      </c>
      <c r="B12896" t="s">
        <v>38938</v>
      </c>
      <c r="C12896" t="str">
        <f>"8311824"</f>
        <v>8311824</v>
      </c>
      <c r="D12896" t="s">
        <v>38939</v>
      </c>
      <c r="E12896" t="s">
        <v>38940</v>
      </c>
      <c r="F12896" t="s">
        <v>38941</v>
      </c>
      <c r="I12896" t="s">
        <v>184</v>
      </c>
      <c r="J12896" t="s">
        <v>30</v>
      </c>
      <c r="K12896" t="s">
        <v>5929</v>
      </c>
      <c r="M12896" t="s">
        <v>17861</v>
      </c>
      <c r="N12896" t="str">
        <f>"7/26/2019 11:27:00 AM"</f>
        <v>7/26/2019 11:27:00 AM</v>
      </c>
      <c r="O12896" t="s">
        <v>38939</v>
      </c>
      <c r="T12896" t="s">
        <v>38940</v>
      </c>
    </row>
    <row r="12897" spans="1:20" x14ac:dyDescent="0.25">
      <c r="A12897" t="str">
        <f>"3051478"</f>
        <v>3051478</v>
      </c>
      <c r="B12897" t="s">
        <v>38942</v>
      </c>
      <c r="C12897" t="str">
        <f>"8311826"</f>
        <v>8311826</v>
      </c>
      <c r="D12897" t="s">
        <v>38943</v>
      </c>
      <c r="E12897" t="s">
        <v>38944</v>
      </c>
      <c r="F12897" t="s">
        <v>38945</v>
      </c>
      <c r="I12897" t="s">
        <v>29</v>
      </c>
      <c r="J12897" t="s">
        <v>30</v>
      </c>
      <c r="K12897" t="s">
        <v>38946</v>
      </c>
      <c r="M12897" t="s">
        <v>17861</v>
      </c>
      <c r="N12897" t="str">
        <f>"7/26/2019 2:42:00 PM"</f>
        <v>7/26/2019 2:42:00 PM</v>
      </c>
      <c r="O12897" t="s">
        <v>38943</v>
      </c>
      <c r="T12897" t="s">
        <v>38944</v>
      </c>
    </row>
    <row r="12898" spans="1:20" x14ac:dyDescent="0.25">
      <c r="A12898" t="str">
        <f>"3044664"</f>
        <v>3044664</v>
      </c>
      <c r="B12898" t="s">
        <v>38947</v>
      </c>
      <c r="C12898" t="str">
        <f>"8311861"</f>
        <v>8311861</v>
      </c>
      <c r="D12898" t="s">
        <v>38948</v>
      </c>
      <c r="E12898" t="s">
        <v>38949</v>
      </c>
      <c r="F12898" t="s">
        <v>38950</v>
      </c>
      <c r="I12898" t="s">
        <v>184</v>
      </c>
      <c r="J12898" t="s">
        <v>30</v>
      </c>
      <c r="K12898" t="s">
        <v>32834</v>
      </c>
      <c r="M12898" t="s">
        <v>17861</v>
      </c>
      <c r="N12898" t="str">
        <f>"8/6/2019 10:25:00 AM"</f>
        <v>8/6/2019 10:25:00 AM</v>
      </c>
      <c r="O12898" t="s">
        <v>38948</v>
      </c>
      <c r="T12898" t="s">
        <v>38949</v>
      </c>
    </row>
    <row r="12899" spans="1:20" x14ac:dyDescent="0.25">
      <c r="A12899" t="str">
        <f>"3040034"</f>
        <v>3040034</v>
      </c>
      <c r="B12899" t="s">
        <v>38951</v>
      </c>
      <c r="C12899" t="str">
        <f>"8311862"</f>
        <v>8311862</v>
      </c>
      <c r="D12899" t="s">
        <v>38952</v>
      </c>
      <c r="F12899" t="s">
        <v>38953</v>
      </c>
      <c r="I12899" t="s">
        <v>29</v>
      </c>
      <c r="J12899" t="s">
        <v>30</v>
      </c>
      <c r="K12899" t="s">
        <v>38954</v>
      </c>
      <c r="M12899" t="s">
        <v>17861</v>
      </c>
      <c r="N12899" t="str">
        <f>"8/6/2019 10:35:00 AM"</f>
        <v>8/6/2019 10:35:00 AM</v>
      </c>
      <c r="O12899" t="s">
        <v>38952</v>
      </c>
    </row>
    <row r="12900" spans="1:20" x14ac:dyDescent="0.25">
      <c r="A12900" t="str">
        <f>"3060513"</f>
        <v>3060513</v>
      </c>
      <c r="B12900" t="s">
        <v>38955</v>
      </c>
      <c r="C12900" t="str">
        <f>"8311863"</f>
        <v>8311863</v>
      </c>
      <c r="D12900" t="str">
        <f>"MORGAN LARRY DOUGLAS JR/TINA RAE TRUSTEES"</f>
        <v>MORGAN LARRY DOUGLAS JR/TINA RAE TRUSTEES</v>
      </c>
      <c r="E12900" t="s">
        <v>38956</v>
      </c>
      <c r="F12900" t="s">
        <v>38957</v>
      </c>
      <c r="I12900" t="s">
        <v>184</v>
      </c>
      <c r="J12900" t="s">
        <v>30</v>
      </c>
      <c r="K12900" t="s">
        <v>9171</v>
      </c>
      <c r="M12900" t="s">
        <v>17861</v>
      </c>
      <c r="N12900" t="str">
        <f>"8/6/2019 10:39:00 AM"</f>
        <v>8/6/2019 10:39:00 AM</v>
      </c>
      <c r="O12900" t="str">
        <f>"MORGAN LARRY DOUGLAS JR/TINA RAE TRUSTEES"</f>
        <v>MORGAN LARRY DOUGLAS JR/TINA RAE TRUSTEES</v>
      </c>
      <c r="T12900" t="s">
        <v>38956</v>
      </c>
    </row>
    <row r="12901" spans="1:20" x14ac:dyDescent="0.25">
      <c r="A12901" t="str">
        <f>"3054656"</f>
        <v>3054656</v>
      </c>
      <c r="B12901" t="s">
        <v>38958</v>
      </c>
      <c r="C12901" t="str">
        <f>"8311864"</f>
        <v>8311864</v>
      </c>
      <c r="D12901" t="s">
        <v>38959</v>
      </c>
      <c r="F12901" t="s">
        <v>38960</v>
      </c>
      <c r="I12901" t="s">
        <v>29</v>
      </c>
      <c r="J12901" t="s">
        <v>30</v>
      </c>
      <c r="K12901" t="s">
        <v>33337</v>
      </c>
      <c r="M12901" t="s">
        <v>17861</v>
      </c>
      <c r="N12901" t="str">
        <f>"8/6/2019 10:40:00 AM"</f>
        <v>8/6/2019 10:40:00 AM</v>
      </c>
      <c r="O12901" t="s">
        <v>38959</v>
      </c>
    </row>
    <row r="12902" spans="1:20" x14ac:dyDescent="0.25">
      <c r="A12902" t="str">
        <f>"3059061"</f>
        <v>3059061</v>
      </c>
      <c r="B12902" t="s">
        <v>38961</v>
      </c>
      <c r="C12902" t="str">
        <f>"8311832"</f>
        <v>8311832</v>
      </c>
      <c r="D12902" t="s">
        <v>38962</v>
      </c>
      <c r="E12902" t="s">
        <v>38963</v>
      </c>
      <c r="F12902" t="s">
        <v>38964</v>
      </c>
      <c r="I12902" t="s">
        <v>29</v>
      </c>
      <c r="J12902" t="s">
        <v>30</v>
      </c>
      <c r="K12902" t="s">
        <v>15135</v>
      </c>
      <c r="M12902" t="s">
        <v>17861</v>
      </c>
      <c r="N12902" t="str">
        <f>"7/30/2019 9:59:00 AM"</f>
        <v>7/30/2019 9:59:00 AM</v>
      </c>
      <c r="O12902" t="s">
        <v>38962</v>
      </c>
      <c r="T12902" t="s">
        <v>38963</v>
      </c>
    </row>
    <row r="12903" spans="1:20" x14ac:dyDescent="0.25">
      <c r="A12903" t="str">
        <f>"3052707"</f>
        <v>3052707</v>
      </c>
      <c r="B12903" t="s">
        <v>38965</v>
      </c>
      <c r="C12903" t="str">
        <f>"8311833"</f>
        <v>8311833</v>
      </c>
      <c r="D12903" t="s">
        <v>38966</v>
      </c>
      <c r="F12903" t="s">
        <v>38967</v>
      </c>
      <c r="I12903" t="s">
        <v>29</v>
      </c>
      <c r="J12903" t="s">
        <v>30</v>
      </c>
      <c r="K12903" t="s">
        <v>19651</v>
      </c>
      <c r="M12903" t="s">
        <v>17861</v>
      </c>
      <c r="N12903" t="str">
        <f>"7/30/2019 10:09:00 AM"</f>
        <v>7/30/2019 10:09:00 AM</v>
      </c>
      <c r="O12903" t="s">
        <v>38966</v>
      </c>
    </row>
    <row r="12904" spans="1:20" x14ac:dyDescent="0.25">
      <c r="A12904" t="str">
        <f>"3052715"</f>
        <v>3052715</v>
      </c>
      <c r="B12904" t="s">
        <v>38968</v>
      </c>
      <c r="C12904" t="str">
        <f>"8311833"</f>
        <v>8311833</v>
      </c>
      <c r="D12904" t="s">
        <v>38966</v>
      </c>
      <c r="F12904" t="s">
        <v>38967</v>
      </c>
      <c r="I12904" t="s">
        <v>29</v>
      </c>
      <c r="J12904" t="s">
        <v>30</v>
      </c>
      <c r="K12904" t="s">
        <v>19651</v>
      </c>
      <c r="M12904" t="s">
        <v>17861</v>
      </c>
      <c r="N12904" t="str">
        <f>"7/30/2019 10:09:00 AM"</f>
        <v>7/30/2019 10:09:00 AM</v>
      </c>
      <c r="O12904" t="s">
        <v>38966</v>
      </c>
    </row>
    <row r="12905" spans="1:20" x14ac:dyDescent="0.25">
      <c r="A12905" t="str">
        <f>"3052405"</f>
        <v>3052405</v>
      </c>
      <c r="B12905" t="s">
        <v>38969</v>
      </c>
      <c r="C12905" t="str">
        <f>"8311833"</f>
        <v>8311833</v>
      </c>
      <c r="D12905" t="s">
        <v>38966</v>
      </c>
      <c r="F12905" t="s">
        <v>38967</v>
      </c>
      <c r="I12905" t="s">
        <v>29</v>
      </c>
      <c r="J12905" t="s">
        <v>30</v>
      </c>
      <c r="K12905" t="s">
        <v>19651</v>
      </c>
      <c r="M12905" t="s">
        <v>17861</v>
      </c>
      <c r="N12905" t="str">
        <f>"7/30/2019 10:09:00 AM"</f>
        <v>7/30/2019 10:09:00 AM</v>
      </c>
      <c r="O12905" t="s">
        <v>38966</v>
      </c>
    </row>
    <row r="12906" spans="1:20" x14ac:dyDescent="0.25">
      <c r="A12906" t="str">
        <f>"3044150"</f>
        <v>3044150</v>
      </c>
      <c r="B12906" t="s">
        <v>38970</v>
      </c>
      <c r="C12906" t="str">
        <f>"8301820"</f>
        <v>8301820</v>
      </c>
      <c r="D12906" t="s">
        <v>38971</v>
      </c>
      <c r="F12906" t="s">
        <v>38972</v>
      </c>
      <c r="I12906" t="s">
        <v>184</v>
      </c>
      <c r="J12906" t="s">
        <v>30</v>
      </c>
      <c r="K12906" t="str">
        <f>"27006"</f>
        <v>27006</v>
      </c>
      <c r="M12906" t="s">
        <v>18470</v>
      </c>
      <c r="N12906" t="str">
        <f>"7/30/2019 10:17:00 AM"</f>
        <v>7/30/2019 10:17:00 AM</v>
      </c>
      <c r="O12906" t="s">
        <v>38971</v>
      </c>
    </row>
    <row r="12907" spans="1:20" x14ac:dyDescent="0.25">
      <c r="A12907" t="str">
        <f>"3061714"</f>
        <v>3061714</v>
      </c>
      <c r="B12907" t="s">
        <v>38973</v>
      </c>
      <c r="C12907" t="str">
        <f>"8311834"</f>
        <v>8311834</v>
      </c>
      <c r="D12907" t="s">
        <v>38974</v>
      </c>
      <c r="E12907" t="s">
        <v>38975</v>
      </c>
      <c r="F12907" t="s">
        <v>38976</v>
      </c>
      <c r="I12907" t="s">
        <v>2071</v>
      </c>
      <c r="J12907" t="s">
        <v>30</v>
      </c>
      <c r="K12907" t="s">
        <v>30968</v>
      </c>
      <c r="M12907" t="s">
        <v>17861</v>
      </c>
      <c r="N12907" t="str">
        <f>"7/30/2019 2:03:00 PM"</f>
        <v>7/30/2019 2:03:00 PM</v>
      </c>
      <c r="O12907" t="s">
        <v>38974</v>
      </c>
      <c r="T12907" t="s">
        <v>38975</v>
      </c>
    </row>
    <row r="12908" spans="1:20" x14ac:dyDescent="0.25">
      <c r="A12908" t="str">
        <f>"3059802"</f>
        <v>3059802</v>
      </c>
      <c r="B12908" t="s">
        <v>38977</v>
      </c>
      <c r="C12908" t="str">
        <f>"8311835"</f>
        <v>8311835</v>
      </c>
      <c r="D12908" t="s">
        <v>38978</v>
      </c>
      <c r="F12908" t="s">
        <v>38979</v>
      </c>
      <c r="I12908" t="s">
        <v>29</v>
      </c>
      <c r="J12908" t="s">
        <v>30</v>
      </c>
      <c r="K12908" t="s">
        <v>33476</v>
      </c>
      <c r="M12908" t="s">
        <v>17861</v>
      </c>
      <c r="N12908" t="str">
        <f>"7/31/2019 1:25:00 PM"</f>
        <v>7/31/2019 1:25:00 PM</v>
      </c>
      <c r="O12908" t="s">
        <v>38978</v>
      </c>
    </row>
    <row r="12909" spans="1:20" x14ac:dyDescent="0.25">
      <c r="A12909" t="str">
        <f>"3044834"</f>
        <v>3044834</v>
      </c>
      <c r="B12909" t="s">
        <v>38980</v>
      </c>
      <c r="C12909" t="str">
        <f>"8311836"</f>
        <v>8311836</v>
      </c>
      <c r="D12909" t="s">
        <v>38981</v>
      </c>
      <c r="E12909" t="s">
        <v>38982</v>
      </c>
      <c r="F12909" t="s">
        <v>38983</v>
      </c>
      <c r="I12909" t="s">
        <v>184</v>
      </c>
      <c r="J12909" t="s">
        <v>30</v>
      </c>
      <c r="K12909" t="s">
        <v>6103</v>
      </c>
      <c r="M12909" t="s">
        <v>17861</v>
      </c>
      <c r="N12909" t="str">
        <f>"7/31/2019 1:27:00 PM"</f>
        <v>7/31/2019 1:27:00 PM</v>
      </c>
      <c r="O12909" t="s">
        <v>38981</v>
      </c>
      <c r="T12909" t="s">
        <v>38982</v>
      </c>
    </row>
    <row r="12910" spans="1:20" x14ac:dyDescent="0.25">
      <c r="A12910" t="str">
        <f>"3060716"</f>
        <v>3060716</v>
      </c>
      <c r="B12910" t="s">
        <v>38984</v>
      </c>
      <c r="C12910" t="str">
        <f>"8311837"</f>
        <v>8311837</v>
      </c>
      <c r="D12910" t="s">
        <v>38985</v>
      </c>
      <c r="E12910" t="s">
        <v>38986</v>
      </c>
      <c r="F12910" t="s">
        <v>38987</v>
      </c>
      <c r="I12910" t="s">
        <v>2071</v>
      </c>
      <c r="J12910" t="s">
        <v>30</v>
      </c>
      <c r="K12910" t="str">
        <f>"27006"</f>
        <v>27006</v>
      </c>
      <c r="M12910" t="s">
        <v>17861</v>
      </c>
      <c r="N12910" t="str">
        <f>"7/31/2019 1:31:00 PM"</f>
        <v>7/31/2019 1:31:00 PM</v>
      </c>
      <c r="O12910" t="s">
        <v>38985</v>
      </c>
      <c r="T12910" t="s">
        <v>38986</v>
      </c>
    </row>
    <row r="12911" spans="1:20" x14ac:dyDescent="0.25">
      <c r="A12911" t="str">
        <f>"3060673"</f>
        <v>3060673</v>
      </c>
      <c r="B12911" t="s">
        <v>38988</v>
      </c>
      <c r="C12911" t="str">
        <f>"8311838"</f>
        <v>8311838</v>
      </c>
      <c r="D12911" t="s">
        <v>38989</v>
      </c>
      <c r="E12911" t="s">
        <v>38990</v>
      </c>
      <c r="F12911" t="s">
        <v>38991</v>
      </c>
      <c r="I12911" t="s">
        <v>2071</v>
      </c>
      <c r="J12911" t="s">
        <v>30</v>
      </c>
      <c r="K12911" t="s">
        <v>6459</v>
      </c>
      <c r="M12911" t="s">
        <v>17861</v>
      </c>
      <c r="N12911" t="str">
        <f>"7/31/2019 1:33:00 PM"</f>
        <v>7/31/2019 1:33:00 PM</v>
      </c>
      <c r="O12911" t="s">
        <v>38989</v>
      </c>
      <c r="T12911" t="s">
        <v>38990</v>
      </c>
    </row>
    <row r="12912" spans="1:20" x14ac:dyDescent="0.25">
      <c r="A12912" t="str">
        <f>"3041784"</f>
        <v>3041784</v>
      </c>
      <c r="B12912" t="s">
        <v>38992</v>
      </c>
      <c r="C12912" t="str">
        <f>"82532951"</f>
        <v>82532951</v>
      </c>
      <c r="D12912" t="s">
        <v>38993</v>
      </c>
      <c r="E12912" t="s">
        <v>38994</v>
      </c>
      <c r="F12912" t="s">
        <v>38995</v>
      </c>
      <c r="I12912" t="s">
        <v>184</v>
      </c>
      <c r="J12912" t="s">
        <v>30</v>
      </c>
      <c r="K12912" t="s">
        <v>34839</v>
      </c>
      <c r="M12912" t="s">
        <v>18479</v>
      </c>
      <c r="N12912" t="str">
        <f>"7/26/2019 8:39:00 AM"</f>
        <v>7/26/2019 8:39:00 AM</v>
      </c>
      <c r="O12912" t="s">
        <v>38993</v>
      </c>
      <c r="T12912" t="s">
        <v>38994</v>
      </c>
    </row>
    <row r="12913" spans="1:20" x14ac:dyDescent="0.25">
      <c r="A12913" t="str">
        <f>"3050679"</f>
        <v>3050679</v>
      </c>
      <c r="B12913" t="s">
        <v>38996</v>
      </c>
      <c r="C12913" t="str">
        <f>"8311840"</f>
        <v>8311840</v>
      </c>
      <c r="D12913" t="s">
        <v>38997</v>
      </c>
      <c r="E12913" t="s">
        <v>38998</v>
      </c>
      <c r="F12913" t="s">
        <v>38999</v>
      </c>
      <c r="I12913" t="s">
        <v>184</v>
      </c>
      <c r="J12913" t="s">
        <v>30</v>
      </c>
      <c r="K12913" t="s">
        <v>10595</v>
      </c>
      <c r="M12913" t="s">
        <v>17861</v>
      </c>
      <c r="N12913" t="str">
        <f>"7/31/2019 1:39:00 PM"</f>
        <v>7/31/2019 1:39:00 PM</v>
      </c>
      <c r="O12913" t="s">
        <v>38997</v>
      </c>
      <c r="T12913" t="s">
        <v>38998</v>
      </c>
    </row>
    <row r="12914" spans="1:20" x14ac:dyDescent="0.25">
      <c r="A12914" t="str">
        <f>"3062225"</f>
        <v>3062225</v>
      </c>
      <c r="B12914" t="s">
        <v>39000</v>
      </c>
      <c r="C12914" t="str">
        <f>"8311842"</f>
        <v>8311842</v>
      </c>
      <c r="D12914" t="s">
        <v>39001</v>
      </c>
      <c r="E12914" t="s">
        <v>39002</v>
      </c>
      <c r="F12914" t="s">
        <v>39003</v>
      </c>
      <c r="I12914" t="s">
        <v>29</v>
      </c>
      <c r="J12914" t="s">
        <v>30</v>
      </c>
      <c r="K12914" t="str">
        <f>"27028"</f>
        <v>27028</v>
      </c>
      <c r="M12914" t="s">
        <v>17861</v>
      </c>
      <c r="N12914" t="str">
        <f>"7/31/2019 4:18:00 PM"</f>
        <v>7/31/2019 4:18:00 PM</v>
      </c>
      <c r="O12914" t="s">
        <v>39001</v>
      </c>
      <c r="T12914" t="s">
        <v>39002</v>
      </c>
    </row>
    <row r="12915" spans="1:20" x14ac:dyDescent="0.25">
      <c r="A12915" t="str">
        <f>"3044356"</f>
        <v>3044356</v>
      </c>
      <c r="B12915" t="s">
        <v>39004</v>
      </c>
      <c r="C12915" t="str">
        <f>"8311843"</f>
        <v>8311843</v>
      </c>
      <c r="D12915" t="s">
        <v>39005</v>
      </c>
      <c r="E12915" t="s">
        <v>39006</v>
      </c>
      <c r="F12915" t="s">
        <v>39007</v>
      </c>
      <c r="I12915" t="s">
        <v>184</v>
      </c>
      <c r="J12915" t="s">
        <v>30</v>
      </c>
      <c r="K12915" t="s">
        <v>39008</v>
      </c>
      <c r="M12915" t="s">
        <v>17861</v>
      </c>
      <c r="N12915" t="str">
        <f>"8/2/2019 8:50:00 AM"</f>
        <v>8/2/2019 8:50:00 AM</v>
      </c>
      <c r="O12915" t="s">
        <v>39005</v>
      </c>
      <c r="T12915" t="s">
        <v>39006</v>
      </c>
    </row>
    <row r="12916" spans="1:20" x14ac:dyDescent="0.25">
      <c r="A12916" t="str">
        <f>"3047369"</f>
        <v>3047369</v>
      </c>
      <c r="B12916" t="s">
        <v>39009</v>
      </c>
      <c r="C12916" t="str">
        <f>"8311818"</f>
        <v>8311818</v>
      </c>
      <c r="D12916" t="s">
        <v>39010</v>
      </c>
      <c r="F12916" t="s">
        <v>39011</v>
      </c>
      <c r="I12916" t="s">
        <v>184</v>
      </c>
      <c r="J12916" t="s">
        <v>30</v>
      </c>
      <c r="K12916" t="s">
        <v>39012</v>
      </c>
      <c r="M12916" t="s">
        <v>17861</v>
      </c>
      <c r="N12916" t="str">
        <f>"7/26/2019 9:18:00 AM"</f>
        <v>7/26/2019 9:18:00 AM</v>
      </c>
      <c r="O12916" t="s">
        <v>39010</v>
      </c>
    </row>
    <row r="12917" spans="1:20" x14ac:dyDescent="0.25">
      <c r="A12917" t="str">
        <f>"3047435"</f>
        <v>3047435</v>
      </c>
      <c r="B12917" t="s">
        <v>39013</v>
      </c>
      <c r="C12917" t="str">
        <f>"8311818"</f>
        <v>8311818</v>
      </c>
      <c r="D12917" t="s">
        <v>39010</v>
      </c>
      <c r="F12917" t="s">
        <v>39011</v>
      </c>
      <c r="I12917" t="s">
        <v>184</v>
      </c>
      <c r="J12917" t="s">
        <v>30</v>
      </c>
      <c r="K12917" t="s">
        <v>39012</v>
      </c>
      <c r="M12917" t="s">
        <v>17861</v>
      </c>
      <c r="N12917" t="str">
        <f>"7/26/2019 9:18:00 AM"</f>
        <v>7/26/2019 9:18:00 AM</v>
      </c>
      <c r="O12917" t="s">
        <v>39010</v>
      </c>
    </row>
    <row r="12918" spans="1:20" x14ac:dyDescent="0.25">
      <c r="A12918" t="str">
        <f>"3061377"</f>
        <v>3061377</v>
      </c>
      <c r="B12918" t="s">
        <v>39014</v>
      </c>
      <c r="C12918" t="str">
        <f>"8311858"</f>
        <v>8311858</v>
      </c>
      <c r="D12918" t="str">
        <f>"MCDANIEL SAMUEL G/DONNA S TRUSTEES"</f>
        <v>MCDANIEL SAMUEL G/DONNA S TRUSTEES</v>
      </c>
      <c r="E12918" t="str">
        <f>"MCDANIEL SAMUEL G/DONNA S REV"</f>
        <v>MCDANIEL SAMUEL G/DONNA S REV</v>
      </c>
      <c r="F12918" t="s">
        <v>39015</v>
      </c>
      <c r="I12918" t="s">
        <v>184</v>
      </c>
      <c r="J12918" t="s">
        <v>30</v>
      </c>
      <c r="K12918" t="s">
        <v>5408</v>
      </c>
      <c r="M12918" t="s">
        <v>17861</v>
      </c>
      <c r="N12918" t="str">
        <f>"8/6/2019 10:15:00 AM"</f>
        <v>8/6/2019 10:15:00 AM</v>
      </c>
      <c r="O12918" t="str">
        <f>"MCDANIEL SAMUEL G/DONNA S TRUSTEES"</f>
        <v>MCDANIEL SAMUEL G/DONNA S TRUSTEES</v>
      </c>
      <c r="T12918" t="str">
        <f>"MCDANIEL SAMUEL G/DONNA S REV"</f>
        <v>MCDANIEL SAMUEL G/DONNA S REV</v>
      </c>
    </row>
    <row r="12919" spans="1:20" x14ac:dyDescent="0.25">
      <c r="A12919" t="str">
        <f>"3050844"</f>
        <v>3050844</v>
      </c>
      <c r="B12919" t="s">
        <v>39016</v>
      </c>
      <c r="C12919" t="str">
        <f>"8311873"</f>
        <v>8311873</v>
      </c>
      <c r="D12919" t="s">
        <v>39017</v>
      </c>
      <c r="E12919" t="s">
        <v>39018</v>
      </c>
      <c r="F12919" t="s">
        <v>39019</v>
      </c>
      <c r="I12919" t="s">
        <v>184</v>
      </c>
      <c r="J12919" t="s">
        <v>30</v>
      </c>
      <c r="K12919" t="str">
        <f>"27006"</f>
        <v>27006</v>
      </c>
      <c r="M12919" t="s">
        <v>17861</v>
      </c>
      <c r="N12919" t="str">
        <f>"8/7/2019 11:21:00 AM"</f>
        <v>8/7/2019 11:21:00 AM</v>
      </c>
      <c r="O12919" t="s">
        <v>39017</v>
      </c>
      <c r="T12919" t="s">
        <v>39018</v>
      </c>
    </row>
    <row r="12920" spans="1:20" x14ac:dyDescent="0.25">
      <c r="A12920" t="str">
        <f>"3062398"</f>
        <v>3062398</v>
      </c>
      <c r="B12920" t="s">
        <v>39020</v>
      </c>
      <c r="C12920" t="str">
        <f>"82532362"</f>
        <v>82532362</v>
      </c>
      <c r="D12920" t="s">
        <v>39021</v>
      </c>
      <c r="E12920" t="s">
        <v>39022</v>
      </c>
      <c r="F12920" t="s">
        <v>39023</v>
      </c>
      <c r="I12920" t="s">
        <v>29</v>
      </c>
      <c r="J12920" t="s">
        <v>30</v>
      </c>
      <c r="K12920" t="s">
        <v>39024</v>
      </c>
      <c r="M12920" t="s">
        <v>25733</v>
      </c>
      <c r="N12920" t="str">
        <f>"8/7/2019 3:40:00 PM"</f>
        <v>8/7/2019 3:40:00 PM</v>
      </c>
      <c r="O12920" t="s">
        <v>39021</v>
      </c>
      <c r="T12920" t="s">
        <v>39022</v>
      </c>
    </row>
    <row r="12921" spans="1:20" x14ac:dyDescent="0.25">
      <c r="A12921" t="str">
        <f>"3058038"</f>
        <v>3058038</v>
      </c>
      <c r="B12921" t="s">
        <v>39025</v>
      </c>
      <c r="C12921" t="str">
        <f>"14384250"</f>
        <v>14384250</v>
      </c>
      <c r="D12921" t="s">
        <v>39026</v>
      </c>
      <c r="E12921" t="s">
        <v>39027</v>
      </c>
      <c r="F12921" t="s">
        <v>39028</v>
      </c>
      <c r="I12921" t="s">
        <v>184</v>
      </c>
      <c r="J12921" t="s">
        <v>30</v>
      </c>
      <c r="K12921" t="s">
        <v>6297</v>
      </c>
      <c r="M12921" t="s">
        <v>34670</v>
      </c>
      <c r="N12921" t="str">
        <f>"8/9/2019 4:05:00 PM"</f>
        <v>8/9/2019 4:05:00 PM</v>
      </c>
      <c r="O12921" t="s">
        <v>39026</v>
      </c>
      <c r="T12921" t="s">
        <v>39027</v>
      </c>
    </row>
    <row r="12922" spans="1:20" x14ac:dyDescent="0.25">
      <c r="A12922" t="str">
        <f>"3059592"</f>
        <v>3059592</v>
      </c>
      <c r="B12922" t="s">
        <v>39029</v>
      </c>
      <c r="C12922" t="str">
        <f>"8311884"</f>
        <v>8311884</v>
      </c>
      <c r="D12922" t="s">
        <v>39030</v>
      </c>
      <c r="E12922" t="s">
        <v>39031</v>
      </c>
      <c r="F12922" t="s">
        <v>39032</v>
      </c>
      <c r="I12922" t="s">
        <v>29</v>
      </c>
      <c r="J12922" t="s">
        <v>30</v>
      </c>
      <c r="K12922" t="s">
        <v>29862</v>
      </c>
      <c r="M12922" t="s">
        <v>17861</v>
      </c>
      <c r="N12922" t="str">
        <f>"8/12/2019 9:46:00 AM"</f>
        <v>8/12/2019 9:46:00 AM</v>
      </c>
      <c r="O12922" t="s">
        <v>39030</v>
      </c>
      <c r="T12922" t="s">
        <v>39031</v>
      </c>
    </row>
    <row r="12923" spans="1:20" x14ac:dyDescent="0.25">
      <c r="A12923" t="str">
        <f>"3044667"</f>
        <v>3044667</v>
      </c>
      <c r="B12923" t="s">
        <v>39033</v>
      </c>
      <c r="C12923" t="str">
        <f>"8311886"</f>
        <v>8311886</v>
      </c>
      <c r="D12923" t="s">
        <v>39034</v>
      </c>
      <c r="E12923" t="s">
        <v>39035</v>
      </c>
      <c r="F12923" t="s">
        <v>39036</v>
      </c>
      <c r="I12923" t="s">
        <v>184</v>
      </c>
      <c r="J12923" t="s">
        <v>30</v>
      </c>
      <c r="K12923" t="s">
        <v>39037</v>
      </c>
      <c r="M12923" t="s">
        <v>17861</v>
      </c>
      <c r="N12923" t="str">
        <f>"8/12/2019 10:09:00 AM"</f>
        <v>8/12/2019 10:09:00 AM</v>
      </c>
      <c r="O12923" t="s">
        <v>39034</v>
      </c>
      <c r="T12923" t="s">
        <v>39035</v>
      </c>
    </row>
    <row r="12924" spans="1:20" x14ac:dyDescent="0.25">
      <c r="A12924" t="str">
        <f>"3072501"</f>
        <v>3072501</v>
      </c>
      <c r="B12924" t="s">
        <v>39038</v>
      </c>
      <c r="C12924" t="str">
        <f>"8311932"</f>
        <v>8311932</v>
      </c>
      <c r="D12924" t="s">
        <v>39039</v>
      </c>
      <c r="F12924" t="s">
        <v>39040</v>
      </c>
      <c r="I12924" t="s">
        <v>29</v>
      </c>
      <c r="J12924" t="s">
        <v>30</v>
      </c>
      <c r="K12924" t="s">
        <v>28536</v>
      </c>
      <c r="M12924" t="s">
        <v>17861</v>
      </c>
      <c r="N12924" t="str">
        <f>"8/19/2019 1:00:00 PM"</f>
        <v>8/19/2019 1:00:00 PM</v>
      </c>
      <c r="O12924" t="s">
        <v>39039</v>
      </c>
    </row>
    <row r="12925" spans="1:20" x14ac:dyDescent="0.25">
      <c r="A12925" t="str">
        <f>"3038238"</f>
        <v>3038238</v>
      </c>
      <c r="B12925" t="s">
        <v>39041</v>
      </c>
      <c r="C12925" t="str">
        <f>"8311932"</f>
        <v>8311932</v>
      </c>
      <c r="D12925" t="s">
        <v>39039</v>
      </c>
      <c r="F12925" t="s">
        <v>39040</v>
      </c>
      <c r="I12925" t="s">
        <v>29</v>
      </c>
      <c r="J12925" t="s">
        <v>30</v>
      </c>
      <c r="K12925" t="s">
        <v>28536</v>
      </c>
      <c r="M12925" t="s">
        <v>17861</v>
      </c>
      <c r="N12925" t="str">
        <f>"8/19/2019 1:00:00 PM"</f>
        <v>8/19/2019 1:00:00 PM</v>
      </c>
      <c r="O12925" t="s">
        <v>39039</v>
      </c>
    </row>
    <row r="12926" spans="1:20" x14ac:dyDescent="0.25">
      <c r="A12926" t="str">
        <f>"3045838"</f>
        <v>3045838</v>
      </c>
      <c r="B12926" t="s">
        <v>39042</v>
      </c>
      <c r="C12926" t="str">
        <f>"8311932"</f>
        <v>8311932</v>
      </c>
      <c r="D12926" t="s">
        <v>39039</v>
      </c>
      <c r="F12926" t="s">
        <v>39040</v>
      </c>
      <c r="I12926" t="s">
        <v>29</v>
      </c>
      <c r="J12926" t="s">
        <v>30</v>
      </c>
      <c r="K12926" t="s">
        <v>28536</v>
      </c>
      <c r="M12926" t="s">
        <v>17861</v>
      </c>
      <c r="N12926" t="str">
        <f>"8/19/2019 1:00:00 PM"</f>
        <v>8/19/2019 1:00:00 PM</v>
      </c>
      <c r="O12926" t="s">
        <v>39039</v>
      </c>
    </row>
    <row r="12927" spans="1:20" x14ac:dyDescent="0.25">
      <c r="A12927" t="str">
        <f>"3046137"</f>
        <v>3046137</v>
      </c>
      <c r="B12927" t="s">
        <v>39043</v>
      </c>
      <c r="C12927" t="str">
        <f>"8311932"</f>
        <v>8311932</v>
      </c>
      <c r="D12927" t="s">
        <v>39039</v>
      </c>
      <c r="F12927" t="s">
        <v>39040</v>
      </c>
      <c r="I12927" t="s">
        <v>29</v>
      </c>
      <c r="J12927" t="s">
        <v>30</v>
      </c>
      <c r="K12927" t="s">
        <v>28536</v>
      </c>
      <c r="M12927" t="s">
        <v>17861</v>
      </c>
      <c r="N12927" t="str">
        <f>"8/19/2019 1:00:00 PM"</f>
        <v>8/19/2019 1:00:00 PM</v>
      </c>
      <c r="O12927" t="s">
        <v>39039</v>
      </c>
    </row>
    <row r="12928" spans="1:20" x14ac:dyDescent="0.25">
      <c r="A12928" t="str">
        <f>"3049325"</f>
        <v>3049325</v>
      </c>
      <c r="B12928" t="s">
        <v>39044</v>
      </c>
      <c r="C12928" t="str">
        <f>"8311933"</f>
        <v>8311933</v>
      </c>
      <c r="D12928" t="s">
        <v>39045</v>
      </c>
      <c r="E12928" t="s">
        <v>39046</v>
      </c>
      <c r="F12928" t="s">
        <v>39047</v>
      </c>
      <c r="I12928" t="s">
        <v>29</v>
      </c>
      <c r="J12928" t="s">
        <v>30</v>
      </c>
      <c r="K12928" t="s">
        <v>39048</v>
      </c>
      <c r="M12928" t="s">
        <v>17861</v>
      </c>
      <c r="N12928" t="str">
        <f>"8/19/2019 3:18:00 PM"</f>
        <v>8/19/2019 3:18:00 PM</v>
      </c>
      <c r="O12928" t="s">
        <v>39045</v>
      </c>
      <c r="T12928" t="s">
        <v>39046</v>
      </c>
    </row>
    <row r="12929" spans="1:20" x14ac:dyDescent="0.25">
      <c r="A12929" t="str">
        <f>"3061264"</f>
        <v>3061264</v>
      </c>
      <c r="B12929" t="s">
        <v>39049</v>
      </c>
      <c r="C12929" t="str">
        <f>"8311935"</f>
        <v>8311935</v>
      </c>
      <c r="D12929" t="s">
        <v>39050</v>
      </c>
      <c r="E12929" t="s">
        <v>39051</v>
      </c>
      <c r="F12929" t="s">
        <v>39052</v>
      </c>
      <c r="I12929" t="s">
        <v>2071</v>
      </c>
      <c r="J12929" t="s">
        <v>30</v>
      </c>
      <c r="K12929" t="s">
        <v>38066</v>
      </c>
      <c r="M12929" t="s">
        <v>17861</v>
      </c>
      <c r="N12929" t="str">
        <f>"8/19/2019 3:27:00 PM"</f>
        <v>8/19/2019 3:27:00 PM</v>
      </c>
      <c r="O12929" t="s">
        <v>39050</v>
      </c>
      <c r="T12929" t="s">
        <v>39051</v>
      </c>
    </row>
    <row r="12930" spans="1:20" x14ac:dyDescent="0.25">
      <c r="A12930" t="str">
        <f>"3045983"</f>
        <v>3045983</v>
      </c>
      <c r="B12930" t="s">
        <v>39053</v>
      </c>
      <c r="C12930" t="str">
        <f>"82532964"</f>
        <v>82532964</v>
      </c>
      <c r="D12930" t="s">
        <v>39054</v>
      </c>
      <c r="F12930" t="s">
        <v>39055</v>
      </c>
      <c r="G12930" t="s">
        <v>39056</v>
      </c>
      <c r="I12930" t="s">
        <v>17921</v>
      </c>
      <c r="J12930" t="s">
        <v>30</v>
      </c>
      <c r="K12930" t="s">
        <v>31</v>
      </c>
      <c r="M12930" t="s">
        <v>25625</v>
      </c>
      <c r="N12930" t="str">
        <f>"8/19/2019 4:38:00 PM"</f>
        <v>8/19/2019 4:38:00 PM</v>
      </c>
      <c r="O12930" t="s">
        <v>39054</v>
      </c>
    </row>
    <row r="12931" spans="1:20" x14ac:dyDescent="0.25">
      <c r="A12931" t="str">
        <f>"3050008"</f>
        <v>3050008</v>
      </c>
      <c r="B12931" t="s">
        <v>39057</v>
      </c>
      <c r="C12931" t="str">
        <f>"8311904"</f>
        <v>8311904</v>
      </c>
      <c r="D12931" t="s">
        <v>38805</v>
      </c>
      <c r="E12931" t="s">
        <v>39058</v>
      </c>
      <c r="F12931" t="s">
        <v>28470</v>
      </c>
      <c r="I12931" t="s">
        <v>471</v>
      </c>
      <c r="J12931" t="s">
        <v>30</v>
      </c>
      <c r="K12931" t="str">
        <f>"27104"</f>
        <v>27104</v>
      </c>
      <c r="M12931" t="s">
        <v>17861</v>
      </c>
      <c r="N12931" t="str">
        <f>"8/16/2019 11:11:00 AM"</f>
        <v>8/16/2019 11:11:00 AM</v>
      </c>
      <c r="O12931" t="s">
        <v>38805</v>
      </c>
      <c r="T12931" t="s">
        <v>39058</v>
      </c>
    </row>
    <row r="12932" spans="1:20" x14ac:dyDescent="0.25">
      <c r="A12932" t="str">
        <f>"3062946"</f>
        <v>3062946</v>
      </c>
      <c r="B12932" t="s">
        <v>39059</v>
      </c>
      <c r="C12932" t="str">
        <f>"8311857"</f>
        <v>8311857</v>
      </c>
      <c r="D12932" t="s">
        <v>39060</v>
      </c>
      <c r="F12932" t="s">
        <v>39061</v>
      </c>
      <c r="I12932" t="s">
        <v>29</v>
      </c>
      <c r="J12932" t="s">
        <v>30</v>
      </c>
      <c r="K12932" t="s">
        <v>36427</v>
      </c>
      <c r="M12932" t="s">
        <v>17861</v>
      </c>
      <c r="N12932" t="str">
        <f>"8/6/2019 10:09:00 AM"</f>
        <v>8/6/2019 10:09:00 AM</v>
      </c>
      <c r="O12932" t="s">
        <v>39060</v>
      </c>
    </row>
    <row r="12933" spans="1:20" x14ac:dyDescent="0.25">
      <c r="A12933" t="str">
        <f>"3041446"</f>
        <v>3041446</v>
      </c>
      <c r="B12933" t="s">
        <v>39062</v>
      </c>
      <c r="C12933" t="str">
        <f>"8311927"</f>
        <v>8311927</v>
      </c>
      <c r="D12933" t="s">
        <v>39063</v>
      </c>
      <c r="E12933" t="s">
        <v>39064</v>
      </c>
      <c r="F12933" t="s">
        <v>39065</v>
      </c>
      <c r="I12933" t="s">
        <v>184</v>
      </c>
      <c r="J12933" t="s">
        <v>30</v>
      </c>
      <c r="K12933" t="s">
        <v>32429</v>
      </c>
      <c r="M12933" t="s">
        <v>17861</v>
      </c>
      <c r="N12933" t="str">
        <f>"8/16/2019 3:58:00 PM"</f>
        <v>8/16/2019 3:58:00 PM</v>
      </c>
      <c r="O12933" t="s">
        <v>39063</v>
      </c>
      <c r="T12933" t="s">
        <v>39064</v>
      </c>
    </row>
    <row r="12934" spans="1:20" x14ac:dyDescent="0.25">
      <c r="A12934" t="str">
        <f>"3061153"</f>
        <v>3061153</v>
      </c>
      <c r="B12934" t="s">
        <v>39066</v>
      </c>
      <c r="C12934" t="str">
        <f>"8311931"</f>
        <v>8311931</v>
      </c>
      <c r="D12934" t="s">
        <v>39067</v>
      </c>
      <c r="F12934" t="s">
        <v>39068</v>
      </c>
      <c r="I12934" t="s">
        <v>2071</v>
      </c>
      <c r="J12934" t="s">
        <v>30</v>
      </c>
      <c r="K12934" t="s">
        <v>38104</v>
      </c>
      <c r="M12934" t="s">
        <v>17861</v>
      </c>
      <c r="N12934" t="str">
        <f>"8/19/2019 12:53:00 PM"</f>
        <v>8/19/2019 12:53:00 PM</v>
      </c>
      <c r="O12934" t="s">
        <v>39067</v>
      </c>
    </row>
    <row r="12935" spans="1:20" x14ac:dyDescent="0.25">
      <c r="A12935" t="str">
        <f>"3077097"</f>
        <v>3077097</v>
      </c>
      <c r="B12935" t="s">
        <v>39069</v>
      </c>
      <c r="C12935" t="str">
        <f>"8311932"</f>
        <v>8311932</v>
      </c>
      <c r="D12935" t="s">
        <v>39039</v>
      </c>
      <c r="F12935" t="s">
        <v>39040</v>
      </c>
      <c r="I12935" t="s">
        <v>29</v>
      </c>
      <c r="J12935" t="s">
        <v>30</v>
      </c>
      <c r="K12935" t="s">
        <v>28536</v>
      </c>
      <c r="M12935" t="s">
        <v>17861</v>
      </c>
      <c r="N12935" t="str">
        <f>"8/19/2019 1:00:00 PM"</f>
        <v>8/19/2019 1:00:00 PM</v>
      </c>
      <c r="O12935" t="s">
        <v>39039</v>
      </c>
    </row>
    <row r="12936" spans="1:20" x14ac:dyDescent="0.25">
      <c r="A12936" t="str">
        <f>"3076844"</f>
        <v>3076844</v>
      </c>
      <c r="B12936" t="s">
        <v>39070</v>
      </c>
      <c r="C12936" t="str">
        <f>"8311932"</f>
        <v>8311932</v>
      </c>
      <c r="D12936" t="s">
        <v>39039</v>
      </c>
      <c r="F12936" t="s">
        <v>39040</v>
      </c>
      <c r="I12936" t="s">
        <v>29</v>
      </c>
      <c r="J12936" t="s">
        <v>30</v>
      </c>
      <c r="K12936" t="s">
        <v>28536</v>
      </c>
      <c r="M12936" t="s">
        <v>17861</v>
      </c>
      <c r="N12936" t="str">
        <f>"8/19/2019 1:00:00 PM"</f>
        <v>8/19/2019 1:00:00 PM</v>
      </c>
      <c r="O12936" t="s">
        <v>39039</v>
      </c>
    </row>
    <row r="12937" spans="1:20" x14ac:dyDescent="0.25">
      <c r="A12937" t="str">
        <f>"3076673"</f>
        <v>3076673</v>
      </c>
      <c r="B12937" t="s">
        <v>39071</v>
      </c>
      <c r="C12937" t="str">
        <f>"8311932"</f>
        <v>8311932</v>
      </c>
      <c r="D12937" t="s">
        <v>39039</v>
      </c>
      <c r="F12937" t="s">
        <v>39040</v>
      </c>
      <c r="I12937" t="s">
        <v>29</v>
      </c>
      <c r="J12937" t="s">
        <v>30</v>
      </c>
      <c r="K12937" t="s">
        <v>28536</v>
      </c>
      <c r="M12937" t="s">
        <v>17861</v>
      </c>
      <c r="N12937" t="str">
        <f>"8/19/2019 1:00:00 PM"</f>
        <v>8/19/2019 1:00:00 PM</v>
      </c>
      <c r="O12937" t="s">
        <v>39039</v>
      </c>
    </row>
    <row r="12938" spans="1:20" x14ac:dyDescent="0.25">
      <c r="A12938" t="str">
        <f>"3059263"</f>
        <v>3059263</v>
      </c>
      <c r="B12938" t="s">
        <v>39072</v>
      </c>
      <c r="C12938" t="str">
        <f>"8311936"</f>
        <v>8311936</v>
      </c>
      <c r="D12938" t="s">
        <v>39073</v>
      </c>
      <c r="F12938" t="s">
        <v>39074</v>
      </c>
      <c r="I12938" t="s">
        <v>29</v>
      </c>
      <c r="J12938" t="s">
        <v>30</v>
      </c>
      <c r="K12938" t="s">
        <v>39075</v>
      </c>
      <c r="M12938" t="s">
        <v>17861</v>
      </c>
      <c r="N12938" t="str">
        <f>"8/21/2019 9:58:00 AM"</f>
        <v>8/21/2019 9:58:00 AM</v>
      </c>
      <c r="O12938" t="s">
        <v>39073</v>
      </c>
    </row>
    <row r="12939" spans="1:20" x14ac:dyDescent="0.25">
      <c r="A12939" t="str">
        <f>"3037740"</f>
        <v>3037740</v>
      </c>
      <c r="B12939" t="s">
        <v>39076</v>
      </c>
      <c r="C12939" t="str">
        <f>"8311951"</f>
        <v>8311951</v>
      </c>
      <c r="D12939" t="s">
        <v>39077</v>
      </c>
      <c r="E12939" t="s">
        <v>39078</v>
      </c>
      <c r="F12939" t="s">
        <v>39079</v>
      </c>
      <c r="I12939" t="s">
        <v>29</v>
      </c>
      <c r="J12939" t="s">
        <v>30</v>
      </c>
      <c r="K12939" t="s">
        <v>39080</v>
      </c>
      <c r="M12939" t="s">
        <v>17861</v>
      </c>
      <c r="N12939" t="str">
        <f>"8/23/2019 4:32:00 PM"</f>
        <v>8/23/2019 4:32:00 PM</v>
      </c>
      <c r="O12939" t="s">
        <v>39077</v>
      </c>
      <c r="T12939" t="s">
        <v>39078</v>
      </c>
    </row>
    <row r="12940" spans="1:20" x14ac:dyDescent="0.25">
      <c r="A12940" t="str">
        <f>"3056809"</f>
        <v>3056809</v>
      </c>
      <c r="B12940" t="s">
        <v>39081</v>
      </c>
      <c r="C12940" t="str">
        <f>"8308088"</f>
        <v>8308088</v>
      </c>
      <c r="D12940" t="s">
        <v>39082</v>
      </c>
      <c r="E12940" t="s">
        <v>39083</v>
      </c>
      <c r="F12940" t="s">
        <v>39084</v>
      </c>
      <c r="I12940" t="s">
        <v>39085</v>
      </c>
      <c r="J12940" t="s">
        <v>3737</v>
      </c>
      <c r="K12940" t="str">
        <f>"75254"</f>
        <v>75254</v>
      </c>
      <c r="M12940" t="s">
        <v>25733</v>
      </c>
      <c r="N12940" t="str">
        <f>"8/26/2019 10:25:00 AM"</f>
        <v>8/26/2019 10:25:00 AM</v>
      </c>
      <c r="O12940" t="s">
        <v>39082</v>
      </c>
      <c r="T12940" t="s">
        <v>39083</v>
      </c>
    </row>
    <row r="12941" spans="1:20" x14ac:dyDescent="0.25">
      <c r="A12941" t="str">
        <f>"3060952"</f>
        <v>3060952</v>
      </c>
      <c r="B12941" t="s">
        <v>39086</v>
      </c>
      <c r="C12941" t="str">
        <f>"8311909"</f>
        <v>8311909</v>
      </c>
      <c r="D12941" t="s">
        <v>39087</v>
      </c>
      <c r="E12941" t="s">
        <v>39088</v>
      </c>
      <c r="F12941" t="s">
        <v>39089</v>
      </c>
      <c r="I12941" t="s">
        <v>2071</v>
      </c>
      <c r="J12941" t="s">
        <v>30</v>
      </c>
      <c r="K12941" t="s">
        <v>39090</v>
      </c>
      <c r="M12941" t="s">
        <v>17861</v>
      </c>
      <c r="N12941" t="str">
        <f>"8/16/2019 1:04:00 PM"</f>
        <v>8/16/2019 1:04:00 PM</v>
      </c>
      <c r="O12941" t="s">
        <v>39087</v>
      </c>
      <c r="T12941" t="s">
        <v>39088</v>
      </c>
    </row>
    <row r="12942" spans="1:20" x14ac:dyDescent="0.25">
      <c r="A12942" t="str">
        <f>"3051720"</f>
        <v>3051720</v>
      </c>
      <c r="B12942" t="s">
        <v>39091</v>
      </c>
      <c r="C12942" t="str">
        <f>"14404000"</f>
        <v>14404000</v>
      </c>
      <c r="D12942" t="s">
        <v>39092</v>
      </c>
      <c r="F12942" t="s">
        <v>39093</v>
      </c>
      <c r="I12942" t="s">
        <v>29</v>
      </c>
      <c r="J12942" t="s">
        <v>30</v>
      </c>
      <c r="K12942" t="s">
        <v>31</v>
      </c>
      <c r="L12942" t="s">
        <v>2497</v>
      </c>
      <c r="M12942" t="s">
        <v>18479</v>
      </c>
      <c r="N12942" t="str">
        <f>"8/26/2019 11:03:00 AM"</f>
        <v>8/26/2019 11:03:00 AM</v>
      </c>
      <c r="O12942" t="s">
        <v>39092</v>
      </c>
    </row>
    <row r="12943" spans="1:20" x14ac:dyDescent="0.25">
      <c r="A12943" t="str">
        <f>"3051753"</f>
        <v>3051753</v>
      </c>
      <c r="B12943" t="s">
        <v>39094</v>
      </c>
      <c r="C12943" t="str">
        <f>"14404000"</f>
        <v>14404000</v>
      </c>
      <c r="D12943" t="s">
        <v>39092</v>
      </c>
      <c r="F12943" t="s">
        <v>39093</v>
      </c>
      <c r="I12943" t="s">
        <v>29</v>
      </c>
      <c r="J12943" t="s">
        <v>30</v>
      </c>
      <c r="K12943" t="s">
        <v>31</v>
      </c>
      <c r="L12943" t="s">
        <v>2497</v>
      </c>
      <c r="M12943" t="s">
        <v>18479</v>
      </c>
      <c r="N12943" t="str">
        <f>"8/26/2019 11:03:00 AM"</f>
        <v>8/26/2019 11:03:00 AM</v>
      </c>
      <c r="O12943" t="s">
        <v>39092</v>
      </c>
    </row>
    <row r="12944" spans="1:20" x14ac:dyDescent="0.25">
      <c r="A12944" t="str">
        <f>"3051754"</f>
        <v>3051754</v>
      </c>
      <c r="B12944" t="s">
        <v>39095</v>
      </c>
      <c r="C12944" t="str">
        <f>"14404000"</f>
        <v>14404000</v>
      </c>
      <c r="D12944" t="s">
        <v>39092</v>
      </c>
      <c r="F12944" t="s">
        <v>39093</v>
      </c>
      <c r="I12944" t="s">
        <v>29</v>
      </c>
      <c r="J12944" t="s">
        <v>30</v>
      </c>
      <c r="K12944" t="s">
        <v>31</v>
      </c>
      <c r="L12944" t="s">
        <v>2497</v>
      </c>
      <c r="M12944" t="s">
        <v>18479</v>
      </c>
      <c r="N12944" t="str">
        <f>"8/26/2019 11:03:00 AM"</f>
        <v>8/26/2019 11:03:00 AM</v>
      </c>
      <c r="O12944" t="s">
        <v>39092</v>
      </c>
    </row>
    <row r="12945" spans="1:20" x14ac:dyDescent="0.25">
      <c r="A12945" t="str">
        <f>"3058163"</f>
        <v>3058163</v>
      </c>
      <c r="B12945" t="s">
        <v>39096</v>
      </c>
      <c r="C12945" t="str">
        <f>"8311910"</f>
        <v>8311910</v>
      </c>
      <c r="D12945" t="s">
        <v>39097</v>
      </c>
      <c r="E12945" t="s">
        <v>39098</v>
      </c>
      <c r="F12945" t="s">
        <v>39099</v>
      </c>
      <c r="I12945" t="s">
        <v>29</v>
      </c>
      <c r="J12945" t="s">
        <v>30</v>
      </c>
      <c r="K12945" t="s">
        <v>39100</v>
      </c>
      <c r="M12945" t="s">
        <v>17861</v>
      </c>
      <c r="N12945" t="str">
        <f>"8/16/2019 1:16:00 PM"</f>
        <v>8/16/2019 1:16:00 PM</v>
      </c>
      <c r="O12945" t="s">
        <v>39097</v>
      </c>
      <c r="T12945" t="s">
        <v>39098</v>
      </c>
    </row>
    <row r="12946" spans="1:20" x14ac:dyDescent="0.25">
      <c r="A12946" t="str">
        <f>"3056894"</f>
        <v>3056894</v>
      </c>
      <c r="B12946" t="s">
        <v>39101</v>
      </c>
      <c r="C12946" t="str">
        <f>"8311910"</f>
        <v>8311910</v>
      </c>
      <c r="D12946" t="s">
        <v>39097</v>
      </c>
      <c r="E12946" t="s">
        <v>39098</v>
      </c>
      <c r="F12946" t="s">
        <v>39099</v>
      </c>
      <c r="I12946" t="s">
        <v>29</v>
      </c>
      <c r="J12946" t="s">
        <v>30</v>
      </c>
      <c r="K12946" t="s">
        <v>39100</v>
      </c>
      <c r="M12946" t="s">
        <v>17861</v>
      </c>
      <c r="N12946" t="str">
        <f>"8/16/2019 1:16:00 PM"</f>
        <v>8/16/2019 1:16:00 PM</v>
      </c>
      <c r="O12946" t="s">
        <v>39097</v>
      </c>
      <c r="T12946" t="s">
        <v>39098</v>
      </c>
    </row>
    <row r="12947" spans="1:20" x14ac:dyDescent="0.25">
      <c r="A12947" t="str">
        <f>"3042263"</f>
        <v>3042263</v>
      </c>
      <c r="B12947" t="s">
        <v>39102</v>
      </c>
      <c r="C12947" t="str">
        <f>"8311912"</f>
        <v>8311912</v>
      </c>
      <c r="D12947" t="s">
        <v>39103</v>
      </c>
      <c r="E12947" t="s">
        <v>39104</v>
      </c>
      <c r="F12947" t="s">
        <v>39105</v>
      </c>
      <c r="I12947" t="s">
        <v>29</v>
      </c>
      <c r="J12947" t="s">
        <v>30</v>
      </c>
      <c r="K12947" t="s">
        <v>37847</v>
      </c>
      <c r="M12947" t="s">
        <v>17861</v>
      </c>
      <c r="N12947" t="str">
        <f>"8/16/2019 2:47:00 PM"</f>
        <v>8/16/2019 2:47:00 PM</v>
      </c>
      <c r="O12947" t="s">
        <v>39103</v>
      </c>
      <c r="T12947" t="s">
        <v>39104</v>
      </c>
    </row>
    <row r="12948" spans="1:20" x14ac:dyDescent="0.25">
      <c r="A12948" t="str">
        <f>"3062391"</f>
        <v>3062391</v>
      </c>
      <c r="B12948" t="s">
        <v>39106</v>
      </c>
      <c r="C12948" t="str">
        <f>"8306110"</f>
        <v>8306110</v>
      </c>
      <c r="D12948" t="s">
        <v>39107</v>
      </c>
      <c r="F12948" t="s">
        <v>35553</v>
      </c>
      <c r="I12948" t="s">
        <v>471</v>
      </c>
      <c r="J12948" t="s">
        <v>30</v>
      </c>
      <c r="K12948" t="str">
        <f>"27104"</f>
        <v>27104</v>
      </c>
      <c r="M12948" t="s">
        <v>33845</v>
      </c>
      <c r="N12948" t="str">
        <f>"8/26/2019 12:31:00 PM"</f>
        <v>8/26/2019 12:31:00 PM</v>
      </c>
      <c r="O12948" t="s">
        <v>39107</v>
      </c>
    </row>
    <row r="12949" spans="1:20" x14ac:dyDescent="0.25">
      <c r="A12949" t="str">
        <f>"3070258"</f>
        <v>3070258</v>
      </c>
      <c r="B12949" t="s">
        <v>39108</v>
      </c>
      <c r="C12949" t="str">
        <f>"8306110"</f>
        <v>8306110</v>
      </c>
      <c r="D12949" t="s">
        <v>39107</v>
      </c>
      <c r="F12949" t="s">
        <v>35553</v>
      </c>
      <c r="I12949" t="s">
        <v>471</v>
      </c>
      <c r="J12949" t="s">
        <v>30</v>
      </c>
      <c r="K12949" t="str">
        <f>"27104"</f>
        <v>27104</v>
      </c>
      <c r="M12949" t="s">
        <v>33845</v>
      </c>
      <c r="N12949" t="str">
        <f>"8/26/2019 12:31:00 PM"</f>
        <v>8/26/2019 12:31:00 PM</v>
      </c>
      <c r="O12949" t="s">
        <v>39107</v>
      </c>
    </row>
    <row r="12950" spans="1:20" x14ac:dyDescent="0.25">
      <c r="A12950" t="str">
        <f>"3058300"</f>
        <v>3058300</v>
      </c>
      <c r="B12950" t="s">
        <v>39109</v>
      </c>
      <c r="C12950" t="str">
        <f>"8310723"</f>
        <v>8310723</v>
      </c>
      <c r="D12950" t="s">
        <v>39110</v>
      </c>
      <c r="F12950" t="s">
        <v>39111</v>
      </c>
      <c r="I12950" t="s">
        <v>29</v>
      </c>
      <c r="J12950" t="s">
        <v>30</v>
      </c>
      <c r="K12950" t="s">
        <v>39112</v>
      </c>
      <c r="M12950" t="s">
        <v>25733</v>
      </c>
      <c r="N12950" t="str">
        <f>"8/26/2019 2:00:00 PM"</f>
        <v>8/26/2019 2:00:00 PM</v>
      </c>
      <c r="O12950" t="s">
        <v>39110</v>
      </c>
    </row>
    <row r="12951" spans="1:20" x14ac:dyDescent="0.25">
      <c r="A12951" t="str">
        <f>"3061487"</f>
        <v>3061487</v>
      </c>
      <c r="B12951" t="s">
        <v>39113</v>
      </c>
      <c r="C12951" t="str">
        <f>"8311915"</f>
        <v>8311915</v>
      </c>
      <c r="D12951" t="s">
        <v>39114</v>
      </c>
      <c r="E12951" t="s">
        <v>39115</v>
      </c>
      <c r="F12951" t="s">
        <v>39116</v>
      </c>
      <c r="I12951" t="s">
        <v>184</v>
      </c>
      <c r="J12951" t="s">
        <v>30</v>
      </c>
      <c r="K12951" t="s">
        <v>2013</v>
      </c>
      <c r="M12951" t="s">
        <v>17861</v>
      </c>
      <c r="N12951" t="str">
        <f>"8/16/2019 3:01:00 PM"</f>
        <v>8/16/2019 3:01:00 PM</v>
      </c>
      <c r="O12951" t="s">
        <v>39114</v>
      </c>
      <c r="T12951" t="s">
        <v>39115</v>
      </c>
    </row>
    <row r="12952" spans="1:20" x14ac:dyDescent="0.25">
      <c r="A12952" t="str">
        <f>"3050984"</f>
        <v>3050984</v>
      </c>
      <c r="B12952" t="s">
        <v>39117</v>
      </c>
      <c r="C12952" t="str">
        <f>"8311916"</f>
        <v>8311916</v>
      </c>
      <c r="D12952" t="s">
        <v>39118</v>
      </c>
      <c r="E12952" t="s">
        <v>39119</v>
      </c>
      <c r="F12952" t="s">
        <v>39120</v>
      </c>
      <c r="I12952" t="s">
        <v>184</v>
      </c>
      <c r="J12952" t="s">
        <v>30</v>
      </c>
      <c r="K12952" t="s">
        <v>39121</v>
      </c>
      <c r="M12952" t="s">
        <v>17861</v>
      </c>
      <c r="N12952" t="str">
        <f>"8/16/2019 3:03:00 PM"</f>
        <v>8/16/2019 3:03:00 PM</v>
      </c>
      <c r="O12952" t="s">
        <v>39118</v>
      </c>
      <c r="T12952" t="s">
        <v>39119</v>
      </c>
    </row>
    <row r="12953" spans="1:20" x14ac:dyDescent="0.25">
      <c r="A12953" t="str">
        <f>"3059119"</f>
        <v>3059119</v>
      </c>
      <c r="B12953" t="s">
        <v>39122</v>
      </c>
      <c r="C12953" t="str">
        <f>"8311917"</f>
        <v>8311917</v>
      </c>
      <c r="D12953" t="s">
        <v>39123</v>
      </c>
      <c r="E12953" t="s">
        <v>39124</v>
      </c>
      <c r="F12953" t="s">
        <v>39125</v>
      </c>
      <c r="I12953" t="s">
        <v>29</v>
      </c>
      <c r="J12953" t="s">
        <v>30</v>
      </c>
      <c r="K12953" t="s">
        <v>15135</v>
      </c>
      <c r="M12953" t="s">
        <v>17861</v>
      </c>
      <c r="N12953" t="str">
        <f>"8/16/2019 3:11:00 PM"</f>
        <v>8/16/2019 3:11:00 PM</v>
      </c>
      <c r="O12953" t="s">
        <v>39123</v>
      </c>
      <c r="T12953" t="s">
        <v>39124</v>
      </c>
    </row>
    <row r="12954" spans="1:20" x14ac:dyDescent="0.25">
      <c r="A12954" t="str">
        <f>"3053418"</f>
        <v>3053418</v>
      </c>
      <c r="B12954" t="s">
        <v>39126</v>
      </c>
      <c r="C12954" t="str">
        <f>"8311918"</f>
        <v>8311918</v>
      </c>
      <c r="D12954" t="s">
        <v>39127</v>
      </c>
      <c r="F12954" t="s">
        <v>39128</v>
      </c>
      <c r="I12954" t="s">
        <v>29</v>
      </c>
      <c r="J12954" t="s">
        <v>30</v>
      </c>
      <c r="K12954" t="s">
        <v>13600</v>
      </c>
      <c r="M12954" t="s">
        <v>17861</v>
      </c>
      <c r="N12954" t="str">
        <f>"8/16/2019 3:15:00 PM"</f>
        <v>8/16/2019 3:15:00 PM</v>
      </c>
      <c r="O12954" t="s">
        <v>39127</v>
      </c>
    </row>
    <row r="12955" spans="1:20" x14ac:dyDescent="0.25">
      <c r="A12955" t="str">
        <f>"3063057"</f>
        <v>3063057</v>
      </c>
      <c r="B12955" t="s">
        <v>39129</v>
      </c>
      <c r="C12955" t="str">
        <f>"8311921"</f>
        <v>8311921</v>
      </c>
      <c r="D12955" t="s">
        <v>39130</v>
      </c>
      <c r="E12955" t="s">
        <v>39131</v>
      </c>
      <c r="F12955" t="s">
        <v>39132</v>
      </c>
      <c r="I12955" t="s">
        <v>184</v>
      </c>
      <c r="J12955" t="s">
        <v>30</v>
      </c>
      <c r="K12955" t="s">
        <v>7326</v>
      </c>
      <c r="M12955" t="s">
        <v>17861</v>
      </c>
      <c r="N12955" t="str">
        <f>"8/16/2019 3:32:00 PM"</f>
        <v>8/16/2019 3:32:00 PM</v>
      </c>
      <c r="O12955" t="s">
        <v>39130</v>
      </c>
      <c r="T12955" t="s">
        <v>39131</v>
      </c>
    </row>
    <row r="12956" spans="1:20" x14ac:dyDescent="0.25">
      <c r="A12956" t="str">
        <f>"3060080"</f>
        <v>3060080</v>
      </c>
      <c r="B12956" t="s">
        <v>39133</v>
      </c>
      <c r="C12956" t="str">
        <f>"8311853"</f>
        <v>8311853</v>
      </c>
      <c r="D12956" t="s">
        <v>39134</v>
      </c>
      <c r="E12956" t="s">
        <v>39135</v>
      </c>
      <c r="F12956" t="s">
        <v>39136</v>
      </c>
      <c r="I12956" t="s">
        <v>184</v>
      </c>
      <c r="J12956" t="s">
        <v>30</v>
      </c>
      <c r="K12956" t="s">
        <v>10737</v>
      </c>
      <c r="M12956" t="s">
        <v>17861</v>
      </c>
      <c r="N12956" t="str">
        <f>"8/2/2019 10:20:00 AM"</f>
        <v>8/2/2019 10:20:00 AM</v>
      </c>
      <c r="O12956" t="s">
        <v>39134</v>
      </c>
      <c r="T12956" t="s">
        <v>39135</v>
      </c>
    </row>
    <row r="12957" spans="1:20" x14ac:dyDescent="0.25">
      <c r="A12957" t="str">
        <f>"3041455"</f>
        <v>3041455</v>
      </c>
      <c r="B12957" t="s">
        <v>39137</v>
      </c>
      <c r="C12957" t="str">
        <f>"8311854"</f>
        <v>8311854</v>
      </c>
      <c r="D12957" t="s">
        <v>39138</v>
      </c>
      <c r="F12957" t="s">
        <v>39139</v>
      </c>
      <c r="I12957" t="s">
        <v>184</v>
      </c>
      <c r="J12957" t="s">
        <v>30</v>
      </c>
      <c r="K12957" t="s">
        <v>2136</v>
      </c>
      <c r="M12957" t="s">
        <v>17861</v>
      </c>
      <c r="N12957" t="str">
        <f>"8/2/2019 10:56:00 AM"</f>
        <v>8/2/2019 10:56:00 AM</v>
      </c>
      <c r="O12957" t="s">
        <v>39138</v>
      </c>
    </row>
    <row r="12958" spans="1:20" x14ac:dyDescent="0.25">
      <c r="A12958" t="str">
        <f>"3050136"</f>
        <v>3050136</v>
      </c>
      <c r="B12958" t="s">
        <v>39140</v>
      </c>
      <c r="C12958" t="str">
        <f>"40526000"</f>
        <v>40526000</v>
      </c>
      <c r="D12958" t="s">
        <v>39141</v>
      </c>
      <c r="E12958" t="s">
        <v>39142</v>
      </c>
      <c r="F12958" t="s">
        <v>39143</v>
      </c>
      <c r="I12958" t="s">
        <v>23961</v>
      </c>
      <c r="J12958" t="s">
        <v>30</v>
      </c>
      <c r="K12958" t="str">
        <f>"28110"</f>
        <v>28110</v>
      </c>
      <c r="M12958" t="s">
        <v>17861</v>
      </c>
      <c r="N12958" t="str">
        <f>"8/6/2019 8:11:00 AM"</f>
        <v>8/6/2019 8:11:00 AM</v>
      </c>
      <c r="O12958" t="s">
        <v>39141</v>
      </c>
      <c r="T12958" t="s">
        <v>39142</v>
      </c>
    </row>
    <row r="12959" spans="1:20" x14ac:dyDescent="0.25">
      <c r="A12959" t="str">
        <f>"3049620"</f>
        <v>3049620</v>
      </c>
      <c r="B12959" t="s">
        <v>39144</v>
      </c>
      <c r="C12959" t="str">
        <f>"40526000"</f>
        <v>40526000</v>
      </c>
      <c r="D12959" t="s">
        <v>39141</v>
      </c>
      <c r="E12959" t="s">
        <v>39142</v>
      </c>
      <c r="F12959" t="s">
        <v>39143</v>
      </c>
      <c r="I12959" t="s">
        <v>23961</v>
      </c>
      <c r="J12959" t="s">
        <v>30</v>
      </c>
      <c r="K12959" t="str">
        <f>"28110"</f>
        <v>28110</v>
      </c>
      <c r="M12959" t="s">
        <v>17861</v>
      </c>
      <c r="N12959" t="str">
        <f>"8/6/2019 8:11:00 AM"</f>
        <v>8/6/2019 8:11:00 AM</v>
      </c>
      <c r="O12959" t="s">
        <v>39141</v>
      </c>
      <c r="T12959" t="s">
        <v>39142</v>
      </c>
    </row>
    <row r="12960" spans="1:20" x14ac:dyDescent="0.25">
      <c r="A12960" t="str">
        <f>"3050622"</f>
        <v>3050622</v>
      </c>
      <c r="B12960" t="s">
        <v>39145</v>
      </c>
      <c r="C12960" t="str">
        <f>"2936000"</f>
        <v>2936000</v>
      </c>
      <c r="D12960" t="s">
        <v>39146</v>
      </c>
      <c r="F12960" t="s">
        <v>39147</v>
      </c>
      <c r="I12960" t="s">
        <v>184</v>
      </c>
      <c r="J12960" t="s">
        <v>30</v>
      </c>
      <c r="K12960" t="s">
        <v>39148</v>
      </c>
      <c r="M12960" t="s">
        <v>34475</v>
      </c>
      <c r="N12960" t="str">
        <f>"8/6/2019 10:09:00 AM"</f>
        <v>8/6/2019 10:09:00 AM</v>
      </c>
      <c r="O12960" t="s">
        <v>39146</v>
      </c>
    </row>
    <row r="12961" spans="1:20" x14ac:dyDescent="0.25">
      <c r="A12961" t="str">
        <f>"3061364"</f>
        <v>3061364</v>
      </c>
      <c r="B12961" t="s">
        <v>39149</v>
      </c>
      <c r="C12961" t="str">
        <f>"2936000"</f>
        <v>2936000</v>
      </c>
      <c r="D12961" t="s">
        <v>39146</v>
      </c>
      <c r="F12961" t="s">
        <v>39147</v>
      </c>
      <c r="I12961" t="s">
        <v>184</v>
      </c>
      <c r="J12961" t="s">
        <v>30</v>
      </c>
      <c r="K12961" t="s">
        <v>39148</v>
      </c>
      <c r="M12961" t="s">
        <v>34475</v>
      </c>
      <c r="N12961" t="str">
        <f>"8/6/2019 10:09:00 AM"</f>
        <v>8/6/2019 10:09:00 AM</v>
      </c>
      <c r="O12961" t="s">
        <v>39146</v>
      </c>
    </row>
    <row r="12962" spans="1:20" x14ac:dyDescent="0.25">
      <c r="A12962" t="str">
        <f>"3044524"</f>
        <v>3044524</v>
      </c>
      <c r="B12962" t="s">
        <v>39150</v>
      </c>
      <c r="C12962" t="str">
        <f>"8311923"</f>
        <v>8311923</v>
      </c>
      <c r="D12962" t="s">
        <v>39151</v>
      </c>
      <c r="F12962" t="s">
        <v>39152</v>
      </c>
      <c r="I12962" t="s">
        <v>184</v>
      </c>
      <c r="J12962" t="s">
        <v>30</v>
      </c>
      <c r="K12962" t="s">
        <v>5724</v>
      </c>
      <c r="M12962" t="s">
        <v>17861</v>
      </c>
      <c r="N12962" t="str">
        <f>"8/16/2019 3:43:00 PM"</f>
        <v>8/16/2019 3:43:00 PM</v>
      </c>
      <c r="O12962" t="s">
        <v>39151</v>
      </c>
    </row>
    <row r="12963" spans="1:20" x14ac:dyDescent="0.25">
      <c r="A12963" t="str">
        <f>"3048929"</f>
        <v>3048929</v>
      </c>
      <c r="B12963" t="s">
        <v>39153</v>
      </c>
      <c r="C12963" t="str">
        <f>"8311924"</f>
        <v>8311924</v>
      </c>
      <c r="D12963" t="s">
        <v>39154</v>
      </c>
      <c r="F12963" t="s">
        <v>39155</v>
      </c>
      <c r="I12963" t="s">
        <v>29</v>
      </c>
      <c r="J12963" t="s">
        <v>30</v>
      </c>
      <c r="K12963" t="s">
        <v>39156</v>
      </c>
      <c r="M12963" t="s">
        <v>17861</v>
      </c>
      <c r="N12963" t="str">
        <f>"8/16/2019 3:46:00 PM"</f>
        <v>8/16/2019 3:46:00 PM</v>
      </c>
      <c r="O12963" t="s">
        <v>39154</v>
      </c>
    </row>
    <row r="12964" spans="1:20" x14ac:dyDescent="0.25">
      <c r="A12964" t="str">
        <f>"3048905"</f>
        <v>3048905</v>
      </c>
      <c r="B12964" t="s">
        <v>39157</v>
      </c>
      <c r="C12964" t="str">
        <f>"8310186"</f>
        <v>8310186</v>
      </c>
      <c r="D12964" t="s">
        <v>39158</v>
      </c>
      <c r="E12964" t="s">
        <v>39159</v>
      </c>
      <c r="F12964" t="s">
        <v>39160</v>
      </c>
      <c r="I12964" t="s">
        <v>17921</v>
      </c>
      <c r="J12964" t="s">
        <v>30</v>
      </c>
      <c r="K12964" t="str">
        <f>"27028"</f>
        <v>27028</v>
      </c>
      <c r="M12964" t="s">
        <v>33845</v>
      </c>
      <c r="N12964" t="str">
        <f>"8/22/2019 10:47:00 AM"</f>
        <v>8/22/2019 10:47:00 AM</v>
      </c>
      <c r="O12964" t="s">
        <v>39158</v>
      </c>
      <c r="T12964" t="s">
        <v>39159</v>
      </c>
    </row>
    <row r="12965" spans="1:20" x14ac:dyDescent="0.25">
      <c r="A12965" t="str">
        <f>"3061239"</f>
        <v>3061239</v>
      </c>
      <c r="B12965" t="s">
        <v>39161</v>
      </c>
      <c r="C12965" t="str">
        <f>"82520171"</f>
        <v>82520171</v>
      </c>
      <c r="D12965" t="s">
        <v>39162</v>
      </c>
      <c r="F12965" t="s">
        <v>39163</v>
      </c>
      <c r="I12965" t="s">
        <v>39164</v>
      </c>
      <c r="J12965" t="s">
        <v>30</v>
      </c>
      <c r="K12965" t="str">
        <f>"28655"</f>
        <v>28655</v>
      </c>
      <c r="M12965" t="s">
        <v>33845</v>
      </c>
      <c r="N12965" t="str">
        <f>"8/22/2019 10:49:00 AM"</f>
        <v>8/22/2019 10:49:00 AM</v>
      </c>
      <c r="O12965" t="s">
        <v>39162</v>
      </c>
    </row>
    <row r="12966" spans="1:20" x14ac:dyDescent="0.25">
      <c r="A12966" t="str">
        <f>"3056221"</f>
        <v>3056221</v>
      </c>
      <c r="B12966" t="s">
        <v>39165</v>
      </c>
      <c r="C12966" t="str">
        <f>"8301439"</f>
        <v>8301439</v>
      </c>
      <c r="D12966" t="s">
        <v>39166</v>
      </c>
      <c r="F12966" t="s">
        <v>39167</v>
      </c>
      <c r="I12966" t="s">
        <v>28654</v>
      </c>
      <c r="J12966" t="s">
        <v>30</v>
      </c>
      <c r="K12966" t="str">
        <f>"28697"</f>
        <v>28697</v>
      </c>
      <c r="M12966" t="s">
        <v>33845</v>
      </c>
      <c r="N12966" t="str">
        <f>"8/22/2019 10:50:00 AM"</f>
        <v>8/22/2019 10:50:00 AM</v>
      </c>
      <c r="O12966" t="s">
        <v>39166</v>
      </c>
    </row>
    <row r="12967" spans="1:20" x14ac:dyDescent="0.25">
      <c r="A12967" t="str">
        <f>"3061149"</f>
        <v>3061149</v>
      </c>
      <c r="B12967" t="s">
        <v>39168</v>
      </c>
      <c r="C12967" t="str">
        <f>"8303271"</f>
        <v>8303271</v>
      </c>
      <c r="D12967" t="s">
        <v>39169</v>
      </c>
      <c r="E12967" t="s">
        <v>39170</v>
      </c>
      <c r="F12967" t="s">
        <v>39171</v>
      </c>
      <c r="I12967" t="s">
        <v>184</v>
      </c>
      <c r="J12967" t="s">
        <v>30</v>
      </c>
      <c r="K12967" t="s">
        <v>39172</v>
      </c>
      <c r="M12967" t="s">
        <v>18479</v>
      </c>
      <c r="N12967" t="str">
        <f>"8/23/2019 8:38:00 AM"</f>
        <v>8/23/2019 8:38:00 AM</v>
      </c>
      <c r="O12967" t="s">
        <v>39169</v>
      </c>
      <c r="T12967" t="s">
        <v>39170</v>
      </c>
    </row>
    <row r="12968" spans="1:20" x14ac:dyDescent="0.25">
      <c r="A12968" t="str">
        <f>"3052028"</f>
        <v>3052028</v>
      </c>
      <c r="B12968" t="s">
        <v>39173</v>
      </c>
      <c r="C12968" t="str">
        <f>"8311946"</f>
        <v>8311946</v>
      </c>
      <c r="D12968" t="s">
        <v>39174</v>
      </c>
      <c r="E12968" t="s">
        <v>39175</v>
      </c>
      <c r="F12968" t="s">
        <v>39176</v>
      </c>
      <c r="I12968" t="s">
        <v>29</v>
      </c>
      <c r="J12968" t="s">
        <v>30</v>
      </c>
      <c r="K12968" t="s">
        <v>39177</v>
      </c>
      <c r="M12968" t="s">
        <v>17861</v>
      </c>
      <c r="N12968" t="str">
        <f>"8/23/2019 3:56:00 PM"</f>
        <v>8/23/2019 3:56:00 PM</v>
      </c>
      <c r="O12968" t="s">
        <v>39174</v>
      </c>
      <c r="T12968" t="s">
        <v>39175</v>
      </c>
    </row>
    <row r="12969" spans="1:20" x14ac:dyDescent="0.25">
      <c r="A12969" t="str">
        <f>"3055416"</f>
        <v>3055416</v>
      </c>
      <c r="B12969" t="s">
        <v>39178</v>
      </c>
      <c r="C12969" t="str">
        <f>"8311953"</f>
        <v>8311953</v>
      </c>
      <c r="D12969" t="s">
        <v>39179</v>
      </c>
      <c r="F12969" t="s">
        <v>35077</v>
      </c>
      <c r="I12969" t="s">
        <v>29</v>
      </c>
      <c r="J12969" t="s">
        <v>30</v>
      </c>
      <c r="K12969" t="s">
        <v>20825</v>
      </c>
      <c r="M12969" t="s">
        <v>17861</v>
      </c>
      <c r="N12969" t="str">
        <f>"8/26/2019 10:42:00 AM"</f>
        <v>8/26/2019 10:42:00 AM</v>
      </c>
      <c r="O12969" t="s">
        <v>39179</v>
      </c>
    </row>
    <row r="12970" spans="1:20" x14ac:dyDescent="0.25">
      <c r="A12970" t="str">
        <f>"3060221"</f>
        <v>3060221</v>
      </c>
      <c r="B12970" t="s">
        <v>39180</v>
      </c>
      <c r="C12970" t="str">
        <f>"8311941"</f>
        <v>8311941</v>
      </c>
      <c r="D12970" t="s">
        <v>39181</v>
      </c>
      <c r="E12970" t="s">
        <v>39182</v>
      </c>
      <c r="F12970" t="s">
        <v>39183</v>
      </c>
      <c r="I12970" t="s">
        <v>184</v>
      </c>
      <c r="J12970" t="s">
        <v>30</v>
      </c>
      <c r="K12970" t="s">
        <v>33177</v>
      </c>
      <c r="M12970" t="s">
        <v>17861</v>
      </c>
      <c r="N12970" t="str">
        <f>"8/21/2019 4:20:00 PM"</f>
        <v>8/21/2019 4:20:00 PM</v>
      </c>
      <c r="O12970" t="s">
        <v>39181</v>
      </c>
      <c r="T12970" t="s">
        <v>39182</v>
      </c>
    </row>
    <row r="12971" spans="1:20" x14ac:dyDescent="0.25">
      <c r="A12971" t="str">
        <f>"3061640"</f>
        <v>3061640</v>
      </c>
      <c r="B12971" t="s">
        <v>39184</v>
      </c>
      <c r="C12971" t="str">
        <f>"8306110"</f>
        <v>8306110</v>
      </c>
      <c r="D12971" t="s">
        <v>39107</v>
      </c>
      <c r="F12971" t="s">
        <v>35553</v>
      </c>
      <c r="I12971" t="s">
        <v>471</v>
      </c>
      <c r="J12971" t="s">
        <v>30</v>
      </c>
      <c r="K12971" t="str">
        <f>"27104"</f>
        <v>27104</v>
      </c>
      <c r="M12971" t="s">
        <v>33845</v>
      </c>
      <c r="N12971" t="str">
        <f>"8/26/2019 12:31:00 PM"</f>
        <v>8/26/2019 12:31:00 PM</v>
      </c>
      <c r="O12971" t="s">
        <v>39107</v>
      </c>
    </row>
    <row r="12972" spans="1:20" x14ac:dyDescent="0.25">
      <c r="A12972" t="str">
        <f>"3061638"</f>
        <v>3061638</v>
      </c>
      <c r="B12972" t="s">
        <v>39185</v>
      </c>
      <c r="C12972" t="str">
        <f>"8306110"</f>
        <v>8306110</v>
      </c>
      <c r="D12972" t="s">
        <v>39107</v>
      </c>
      <c r="F12972" t="s">
        <v>35553</v>
      </c>
      <c r="I12972" t="s">
        <v>471</v>
      </c>
      <c r="J12972" t="s">
        <v>30</v>
      </c>
      <c r="K12972" t="str">
        <f>"27104"</f>
        <v>27104</v>
      </c>
      <c r="M12972" t="s">
        <v>33845</v>
      </c>
      <c r="N12972" t="str">
        <f>"8/26/2019 12:31:00 PM"</f>
        <v>8/26/2019 12:31:00 PM</v>
      </c>
      <c r="O12972" t="s">
        <v>39107</v>
      </c>
    </row>
    <row r="12973" spans="1:20" x14ac:dyDescent="0.25">
      <c r="A12973" t="str">
        <f>"3062389"</f>
        <v>3062389</v>
      </c>
      <c r="B12973" t="s">
        <v>39186</v>
      </c>
      <c r="C12973" t="str">
        <f>"8306110"</f>
        <v>8306110</v>
      </c>
      <c r="D12973" t="s">
        <v>39107</v>
      </c>
      <c r="F12973" t="s">
        <v>35553</v>
      </c>
      <c r="I12973" t="s">
        <v>471</v>
      </c>
      <c r="J12973" t="s">
        <v>30</v>
      </c>
      <c r="K12973" t="str">
        <f>"27104"</f>
        <v>27104</v>
      </c>
      <c r="M12973" t="s">
        <v>33845</v>
      </c>
      <c r="N12973" t="str">
        <f>"8/26/2019 12:31:00 PM"</f>
        <v>8/26/2019 12:31:00 PM</v>
      </c>
      <c r="O12973" t="s">
        <v>39107</v>
      </c>
    </row>
    <row r="12974" spans="1:20" x14ac:dyDescent="0.25">
      <c r="A12974" t="str">
        <f>"3059435"</f>
        <v>3059435</v>
      </c>
      <c r="B12974" t="s">
        <v>39187</v>
      </c>
      <c r="C12974" t="str">
        <f>"20852750"</f>
        <v>20852750</v>
      </c>
      <c r="D12974" t="s">
        <v>39188</v>
      </c>
      <c r="F12974" t="s">
        <v>39189</v>
      </c>
      <c r="I12974" t="s">
        <v>29</v>
      </c>
      <c r="J12974" t="s">
        <v>30</v>
      </c>
      <c r="K12974" t="s">
        <v>33196</v>
      </c>
      <c r="M12974" t="s">
        <v>25733</v>
      </c>
      <c r="N12974" t="str">
        <f>"8/26/2019 2:38:00 PM"</f>
        <v>8/26/2019 2:38:00 PM</v>
      </c>
      <c r="O12974" t="s">
        <v>39188</v>
      </c>
    </row>
    <row r="12975" spans="1:20" x14ac:dyDescent="0.25">
      <c r="A12975" t="str">
        <f>"3057026"</f>
        <v>3057026</v>
      </c>
      <c r="B12975" t="s">
        <v>39190</v>
      </c>
      <c r="C12975" t="str">
        <f>"82525121"</f>
        <v>82525121</v>
      </c>
      <c r="D12975" t="s">
        <v>39191</v>
      </c>
      <c r="F12975" t="s">
        <v>39192</v>
      </c>
      <c r="I12975" t="s">
        <v>2275</v>
      </c>
      <c r="J12975" t="s">
        <v>30</v>
      </c>
      <c r="K12975" t="str">
        <f>"27023"</f>
        <v>27023</v>
      </c>
      <c r="M12975" t="s">
        <v>33845</v>
      </c>
      <c r="N12975" t="str">
        <f>"8/22/2019 10:46:00 AM"</f>
        <v>8/22/2019 10:46:00 AM</v>
      </c>
      <c r="O12975" t="s">
        <v>39191</v>
      </c>
    </row>
    <row r="12976" spans="1:20" x14ac:dyDescent="0.25">
      <c r="A12976" t="str">
        <f>"3062243"</f>
        <v>3062243</v>
      </c>
      <c r="B12976" t="s">
        <v>39193</v>
      </c>
      <c r="C12976" t="str">
        <f>"8302102"</f>
        <v>8302102</v>
      </c>
      <c r="D12976" t="s">
        <v>34778</v>
      </c>
      <c r="F12976" t="s">
        <v>34779</v>
      </c>
      <c r="I12976" t="s">
        <v>29</v>
      </c>
      <c r="J12976" t="s">
        <v>30</v>
      </c>
      <c r="K12976" t="str">
        <f>"27028"</f>
        <v>27028</v>
      </c>
      <c r="M12976" t="s">
        <v>33845</v>
      </c>
      <c r="N12976" t="str">
        <f>"8/27/2019 11:54:00 AM"</f>
        <v>8/27/2019 11:54:00 AM</v>
      </c>
      <c r="O12976" t="s">
        <v>34778</v>
      </c>
    </row>
    <row r="12977" spans="1:20" x14ac:dyDescent="0.25">
      <c r="A12977" t="str">
        <f>"3037896"</f>
        <v>3037896</v>
      </c>
      <c r="B12977" t="s">
        <v>39194</v>
      </c>
      <c r="C12977" t="str">
        <f>"8306716"</f>
        <v>8306716</v>
      </c>
      <c r="D12977" t="s">
        <v>39195</v>
      </c>
      <c r="E12977" t="s">
        <v>39196</v>
      </c>
      <c r="F12977" t="s">
        <v>39197</v>
      </c>
      <c r="I12977" t="s">
        <v>29</v>
      </c>
      <c r="J12977" t="s">
        <v>30</v>
      </c>
      <c r="K12977" t="str">
        <f>"27028"</f>
        <v>27028</v>
      </c>
      <c r="M12977" t="s">
        <v>18470</v>
      </c>
      <c r="N12977" t="str">
        <f>"8/29/2019 9:01:00 AM"</f>
        <v>8/29/2019 9:01:00 AM</v>
      </c>
      <c r="O12977" t="s">
        <v>39195</v>
      </c>
      <c r="T12977" t="s">
        <v>39196</v>
      </c>
    </row>
    <row r="12978" spans="1:20" x14ac:dyDescent="0.25">
      <c r="A12978" t="str">
        <f>"3037994"</f>
        <v>3037994</v>
      </c>
      <c r="B12978" t="s">
        <v>39198</v>
      </c>
      <c r="C12978" t="str">
        <f>"8306716"</f>
        <v>8306716</v>
      </c>
      <c r="D12978" t="s">
        <v>39195</v>
      </c>
      <c r="E12978" t="s">
        <v>39196</v>
      </c>
      <c r="F12978" t="s">
        <v>39197</v>
      </c>
      <c r="I12978" t="s">
        <v>29</v>
      </c>
      <c r="J12978" t="s">
        <v>30</v>
      </c>
      <c r="K12978" t="str">
        <f>"27028"</f>
        <v>27028</v>
      </c>
      <c r="M12978" t="s">
        <v>18470</v>
      </c>
      <c r="N12978" t="str">
        <f>"8/29/2019 9:01:00 AM"</f>
        <v>8/29/2019 9:01:00 AM</v>
      </c>
      <c r="O12978" t="s">
        <v>39195</v>
      </c>
      <c r="T12978" t="s">
        <v>39196</v>
      </c>
    </row>
    <row r="12979" spans="1:20" x14ac:dyDescent="0.25">
      <c r="A12979" t="str">
        <f>"3042052"</f>
        <v>3042052</v>
      </c>
      <c r="B12979" t="s">
        <v>39199</v>
      </c>
      <c r="C12979" t="str">
        <f>"8311980"</f>
        <v>8311980</v>
      </c>
      <c r="D12979" t="s">
        <v>39200</v>
      </c>
      <c r="E12979" t="s">
        <v>39201</v>
      </c>
      <c r="F12979" t="s">
        <v>39202</v>
      </c>
      <c r="I12979" t="s">
        <v>29</v>
      </c>
      <c r="J12979" t="s">
        <v>30</v>
      </c>
      <c r="K12979" t="s">
        <v>4087</v>
      </c>
      <c r="M12979" t="s">
        <v>17861</v>
      </c>
      <c r="N12979" t="str">
        <f>"8/29/2019 9:27:00 AM"</f>
        <v>8/29/2019 9:27:00 AM</v>
      </c>
      <c r="O12979" t="s">
        <v>39200</v>
      </c>
      <c r="T12979" t="s">
        <v>39201</v>
      </c>
    </row>
    <row r="12980" spans="1:20" x14ac:dyDescent="0.25">
      <c r="A12980" t="str">
        <f>"3042816"</f>
        <v>3042816</v>
      </c>
      <c r="B12980" t="s">
        <v>39203</v>
      </c>
      <c r="C12980" t="str">
        <f>"8308421"</f>
        <v>8308421</v>
      </c>
      <c r="D12980" t="s">
        <v>39204</v>
      </c>
      <c r="E12980" t="s">
        <v>39205</v>
      </c>
      <c r="F12980" t="s">
        <v>39206</v>
      </c>
      <c r="I12980" t="s">
        <v>17921</v>
      </c>
      <c r="J12980" t="s">
        <v>30</v>
      </c>
      <c r="K12980" t="str">
        <f>"27028"</f>
        <v>27028</v>
      </c>
      <c r="M12980" t="s">
        <v>33845</v>
      </c>
      <c r="N12980" t="str">
        <f>"8/27/2019 12:06:00 PM"</f>
        <v>8/27/2019 12:06:00 PM</v>
      </c>
      <c r="O12980" t="s">
        <v>39204</v>
      </c>
      <c r="T12980" t="s">
        <v>39205</v>
      </c>
    </row>
    <row r="12981" spans="1:20" x14ac:dyDescent="0.25">
      <c r="A12981" t="str">
        <f>"3038757"</f>
        <v>3038757</v>
      </c>
      <c r="B12981" t="s">
        <v>39207</v>
      </c>
      <c r="C12981" t="str">
        <f>"8311957"</f>
        <v>8311957</v>
      </c>
      <c r="D12981" t="s">
        <v>39208</v>
      </c>
      <c r="E12981" t="s">
        <v>39209</v>
      </c>
      <c r="F12981" t="s">
        <v>39210</v>
      </c>
      <c r="I12981" t="s">
        <v>29</v>
      </c>
      <c r="J12981" t="s">
        <v>30</v>
      </c>
      <c r="K12981" t="s">
        <v>39211</v>
      </c>
      <c r="M12981" t="s">
        <v>17861</v>
      </c>
      <c r="N12981" t="str">
        <f>"8/26/2019 3:04:00 PM"</f>
        <v>8/26/2019 3:04:00 PM</v>
      </c>
      <c r="O12981" t="s">
        <v>39208</v>
      </c>
      <c r="T12981" t="s">
        <v>39209</v>
      </c>
    </row>
    <row r="12982" spans="1:20" x14ac:dyDescent="0.25">
      <c r="A12982" t="str">
        <f>"3049718"</f>
        <v>3049718</v>
      </c>
      <c r="B12982" t="s">
        <v>39212</v>
      </c>
      <c r="C12982" t="str">
        <f>"82521403"</f>
        <v>82521403</v>
      </c>
      <c r="D12982" t="s">
        <v>39213</v>
      </c>
      <c r="E12982" t="s">
        <v>39214</v>
      </c>
      <c r="F12982" t="s">
        <v>39215</v>
      </c>
      <c r="I12982" t="s">
        <v>29</v>
      </c>
      <c r="J12982" t="s">
        <v>30</v>
      </c>
      <c r="K12982" t="s">
        <v>8044</v>
      </c>
      <c r="M12982" t="s">
        <v>33432</v>
      </c>
      <c r="N12982" t="str">
        <f>"8/27/2019 10:01:00 AM"</f>
        <v>8/27/2019 10:01:00 AM</v>
      </c>
      <c r="O12982" t="s">
        <v>39213</v>
      </c>
      <c r="T12982" t="s">
        <v>39214</v>
      </c>
    </row>
    <row r="12983" spans="1:20" x14ac:dyDescent="0.25">
      <c r="A12983" t="str">
        <f>"3076925"</f>
        <v>3076925</v>
      </c>
      <c r="B12983" t="s">
        <v>39216</v>
      </c>
      <c r="C12983" t="str">
        <f>"8311982"</f>
        <v>8311982</v>
      </c>
      <c r="D12983" t="s">
        <v>39217</v>
      </c>
      <c r="F12983" t="s">
        <v>31749</v>
      </c>
      <c r="I12983" t="s">
        <v>184</v>
      </c>
      <c r="J12983" t="s">
        <v>30</v>
      </c>
      <c r="K12983" t="s">
        <v>34983</v>
      </c>
      <c r="M12983" t="s">
        <v>17861</v>
      </c>
      <c r="N12983" t="str">
        <f>"8/29/2019 10:48:00 AM"</f>
        <v>8/29/2019 10:48:00 AM</v>
      </c>
      <c r="O12983" t="s">
        <v>39217</v>
      </c>
    </row>
    <row r="12984" spans="1:20" x14ac:dyDescent="0.25">
      <c r="A12984" t="str">
        <f>"3076926"</f>
        <v>3076926</v>
      </c>
      <c r="B12984" t="s">
        <v>39218</v>
      </c>
      <c r="C12984" t="str">
        <f>"8311982"</f>
        <v>8311982</v>
      </c>
      <c r="D12984" t="s">
        <v>39217</v>
      </c>
      <c r="F12984" t="s">
        <v>31749</v>
      </c>
      <c r="I12984" t="s">
        <v>184</v>
      </c>
      <c r="J12984" t="s">
        <v>30</v>
      </c>
      <c r="K12984" t="s">
        <v>34983</v>
      </c>
      <c r="M12984" t="s">
        <v>17861</v>
      </c>
      <c r="N12984" t="str">
        <f>"8/29/2019 10:48:00 AM"</f>
        <v>8/29/2019 10:48:00 AM</v>
      </c>
      <c r="O12984" t="s">
        <v>39217</v>
      </c>
    </row>
    <row r="12985" spans="1:20" x14ac:dyDescent="0.25">
      <c r="A12985" t="str">
        <f>"3076927"</f>
        <v>3076927</v>
      </c>
      <c r="B12985" t="s">
        <v>39219</v>
      </c>
      <c r="C12985" t="str">
        <f>"8311982"</f>
        <v>8311982</v>
      </c>
      <c r="D12985" t="s">
        <v>39217</v>
      </c>
      <c r="F12985" t="s">
        <v>31749</v>
      </c>
      <c r="I12985" t="s">
        <v>184</v>
      </c>
      <c r="J12985" t="s">
        <v>30</v>
      </c>
      <c r="K12985" t="s">
        <v>34983</v>
      </c>
      <c r="M12985" t="s">
        <v>17861</v>
      </c>
      <c r="N12985" t="str">
        <f>"8/29/2019 10:48:00 AM"</f>
        <v>8/29/2019 10:48:00 AM</v>
      </c>
      <c r="O12985" t="s">
        <v>39217</v>
      </c>
    </row>
    <row r="12986" spans="1:20" x14ac:dyDescent="0.25">
      <c r="A12986" t="str">
        <f>"3040282"</f>
        <v>3040282</v>
      </c>
      <c r="B12986" t="s">
        <v>39220</v>
      </c>
      <c r="C12986" t="str">
        <f>"8311982"</f>
        <v>8311982</v>
      </c>
      <c r="D12986" t="s">
        <v>39217</v>
      </c>
      <c r="F12986" t="s">
        <v>31749</v>
      </c>
      <c r="I12986" t="s">
        <v>184</v>
      </c>
      <c r="J12986" t="s">
        <v>30</v>
      </c>
      <c r="K12986" t="s">
        <v>34983</v>
      </c>
      <c r="M12986" t="s">
        <v>17861</v>
      </c>
      <c r="N12986" t="str">
        <f>"8/29/2019 10:48:00 AM"</f>
        <v>8/29/2019 10:48:00 AM</v>
      </c>
      <c r="O12986" t="s">
        <v>39217</v>
      </c>
    </row>
    <row r="12987" spans="1:20" x14ac:dyDescent="0.25">
      <c r="A12987" t="str">
        <f>"3040284"</f>
        <v>3040284</v>
      </c>
      <c r="B12987" t="s">
        <v>39221</v>
      </c>
      <c r="C12987" t="str">
        <f>"8311982"</f>
        <v>8311982</v>
      </c>
      <c r="D12987" t="s">
        <v>39217</v>
      </c>
      <c r="F12987" t="s">
        <v>31749</v>
      </c>
      <c r="I12987" t="s">
        <v>184</v>
      </c>
      <c r="J12987" t="s">
        <v>30</v>
      </c>
      <c r="K12987" t="s">
        <v>34983</v>
      </c>
      <c r="M12987" t="s">
        <v>17861</v>
      </c>
      <c r="N12987" t="str">
        <f>"8/29/2019 10:48:00 AM"</f>
        <v>8/29/2019 10:48:00 AM</v>
      </c>
      <c r="O12987" t="s">
        <v>39217</v>
      </c>
    </row>
    <row r="12988" spans="1:20" x14ac:dyDescent="0.25">
      <c r="A12988" t="str">
        <f>"3047605"</f>
        <v>3047605</v>
      </c>
      <c r="B12988" t="s">
        <v>39222</v>
      </c>
      <c r="C12988" t="str">
        <f>"8311985"</f>
        <v>8311985</v>
      </c>
      <c r="D12988" t="s">
        <v>39223</v>
      </c>
      <c r="E12988" t="s">
        <v>39224</v>
      </c>
      <c r="F12988" t="s">
        <v>39225</v>
      </c>
      <c r="I12988" t="s">
        <v>1149</v>
      </c>
      <c r="J12988" t="s">
        <v>30</v>
      </c>
      <c r="K12988" t="s">
        <v>39226</v>
      </c>
      <c r="M12988" t="s">
        <v>17861</v>
      </c>
      <c r="N12988" t="str">
        <f>"8/30/2019 9:24:00 AM"</f>
        <v>8/30/2019 9:24:00 AM</v>
      </c>
      <c r="O12988" t="s">
        <v>39223</v>
      </c>
      <c r="T12988" t="s">
        <v>39224</v>
      </c>
    </row>
    <row r="12989" spans="1:20" x14ac:dyDescent="0.25">
      <c r="A12989" t="str">
        <f>"3051522"</f>
        <v>3051522</v>
      </c>
      <c r="B12989" t="s">
        <v>39227</v>
      </c>
      <c r="C12989" t="str">
        <f>"8309220"</f>
        <v>8309220</v>
      </c>
      <c r="D12989" t="s">
        <v>39228</v>
      </c>
      <c r="E12989" t="s">
        <v>39229</v>
      </c>
      <c r="F12989" t="s">
        <v>39230</v>
      </c>
      <c r="I12989" t="s">
        <v>1107</v>
      </c>
      <c r="J12989" t="s">
        <v>30</v>
      </c>
      <c r="K12989" t="str">
        <f>"28625"</f>
        <v>28625</v>
      </c>
      <c r="M12989" t="s">
        <v>17861</v>
      </c>
      <c r="N12989" t="str">
        <f>"8/30/2019 10:09:00 AM"</f>
        <v>8/30/2019 10:09:00 AM</v>
      </c>
      <c r="O12989" t="s">
        <v>39228</v>
      </c>
      <c r="T12989" t="s">
        <v>39229</v>
      </c>
    </row>
    <row r="12990" spans="1:20" x14ac:dyDescent="0.25">
      <c r="A12990" t="str">
        <f>"3051427"</f>
        <v>3051427</v>
      </c>
      <c r="B12990" t="s">
        <v>39231</v>
      </c>
      <c r="C12990" t="str">
        <f>"8309220"</f>
        <v>8309220</v>
      </c>
      <c r="D12990" t="s">
        <v>39228</v>
      </c>
      <c r="E12990" t="s">
        <v>39229</v>
      </c>
      <c r="F12990" t="s">
        <v>39230</v>
      </c>
      <c r="I12990" t="s">
        <v>1107</v>
      </c>
      <c r="J12990" t="s">
        <v>30</v>
      </c>
      <c r="K12990" t="str">
        <f>"28625"</f>
        <v>28625</v>
      </c>
      <c r="M12990" t="s">
        <v>17861</v>
      </c>
      <c r="N12990" t="str">
        <f>"8/30/2019 10:09:00 AM"</f>
        <v>8/30/2019 10:09:00 AM</v>
      </c>
      <c r="O12990" t="s">
        <v>39228</v>
      </c>
      <c r="T12990" t="s">
        <v>39229</v>
      </c>
    </row>
    <row r="12991" spans="1:20" x14ac:dyDescent="0.25">
      <c r="A12991" t="str">
        <f>"3054925"</f>
        <v>3054925</v>
      </c>
      <c r="B12991" t="s">
        <v>39232</v>
      </c>
      <c r="C12991" t="str">
        <f>"82523752"</f>
        <v>82523752</v>
      </c>
      <c r="D12991" t="s">
        <v>39233</v>
      </c>
      <c r="F12991" t="s">
        <v>39234</v>
      </c>
      <c r="I12991" t="s">
        <v>1176</v>
      </c>
      <c r="J12991" t="s">
        <v>30</v>
      </c>
      <c r="K12991" t="s">
        <v>39235</v>
      </c>
      <c r="M12991" t="s">
        <v>34670</v>
      </c>
      <c r="N12991" t="str">
        <f>"8/30/2019 11:13:00 AM"</f>
        <v>8/30/2019 11:13:00 AM</v>
      </c>
      <c r="O12991" t="s">
        <v>39233</v>
      </c>
    </row>
    <row r="12992" spans="1:20" x14ac:dyDescent="0.25">
      <c r="A12992" t="str">
        <f>"3044001"</f>
        <v>3044001</v>
      </c>
      <c r="B12992" t="s">
        <v>39236</v>
      </c>
      <c r="C12992" t="str">
        <f>"12510000"</f>
        <v>12510000</v>
      </c>
      <c r="D12992" t="s">
        <v>39237</v>
      </c>
      <c r="F12992" t="s">
        <v>39238</v>
      </c>
      <c r="I12992" t="s">
        <v>24359</v>
      </c>
      <c r="J12992" t="s">
        <v>30</v>
      </c>
      <c r="K12992" t="s">
        <v>185</v>
      </c>
      <c r="M12992" t="s">
        <v>33845</v>
      </c>
      <c r="N12992" t="str">
        <f>"8/27/2019 10:42:00 AM"</f>
        <v>8/27/2019 10:42:00 AM</v>
      </c>
      <c r="O12992" t="s">
        <v>39237</v>
      </c>
    </row>
    <row r="12993" spans="1:20" x14ac:dyDescent="0.25">
      <c r="A12993" t="str">
        <f>"3043994"</f>
        <v>3043994</v>
      </c>
      <c r="B12993" t="s">
        <v>39239</v>
      </c>
      <c r="C12993" t="str">
        <f>"12510000"</f>
        <v>12510000</v>
      </c>
      <c r="D12993" t="s">
        <v>39237</v>
      </c>
      <c r="F12993" t="s">
        <v>39238</v>
      </c>
      <c r="I12993" t="s">
        <v>24359</v>
      </c>
      <c r="J12993" t="s">
        <v>30</v>
      </c>
      <c r="K12993" t="s">
        <v>185</v>
      </c>
      <c r="M12993" t="s">
        <v>33845</v>
      </c>
      <c r="N12993" t="str">
        <f>"8/27/2019 10:42:00 AM"</f>
        <v>8/27/2019 10:42:00 AM</v>
      </c>
      <c r="O12993" t="s">
        <v>39237</v>
      </c>
    </row>
    <row r="12994" spans="1:20" x14ac:dyDescent="0.25">
      <c r="A12994" t="str">
        <f>"3045253"</f>
        <v>3045253</v>
      </c>
      <c r="B12994" t="s">
        <v>39240</v>
      </c>
      <c r="C12994" t="str">
        <f>"8300498"</f>
        <v>8300498</v>
      </c>
      <c r="D12994" t="s">
        <v>39241</v>
      </c>
      <c r="E12994" t="s">
        <v>39242</v>
      </c>
      <c r="F12994" t="s">
        <v>39243</v>
      </c>
      <c r="I12994" t="s">
        <v>39244</v>
      </c>
      <c r="J12994" t="s">
        <v>39245</v>
      </c>
      <c r="K12994" t="s">
        <v>39246</v>
      </c>
      <c r="M12994" t="s">
        <v>33845</v>
      </c>
      <c r="N12994" t="str">
        <f>"8/27/2019 10:44:00 AM"</f>
        <v>8/27/2019 10:44:00 AM</v>
      </c>
      <c r="O12994" t="s">
        <v>39241</v>
      </c>
      <c r="T12994" t="s">
        <v>39242</v>
      </c>
    </row>
    <row r="12995" spans="1:20" x14ac:dyDescent="0.25">
      <c r="A12995" t="str">
        <f>"3059212"</f>
        <v>3059212</v>
      </c>
      <c r="B12995" t="s">
        <v>39247</v>
      </c>
      <c r="C12995" t="str">
        <f>"8311990"</f>
        <v>8311990</v>
      </c>
      <c r="D12995" t="s">
        <v>39248</v>
      </c>
      <c r="E12995" t="s">
        <v>39249</v>
      </c>
      <c r="F12995" t="s">
        <v>39250</v>
      </c>
      <c r="I12995" t="s">
        <v>29</v>
      </c>
      <c r="J12995" t="s">
        <v>30</v>
      </c>
      <c r="K12995" t="s">
        <v>39251</v>
      </c>
      <c r="M12995" t="s">
        <v>17861</v>
      </c>
      <c r="N12995" t="str">
        <f>"9/3/2019 12:56:00 PM"</f>
        <v>9/3/2019 12:56:00 PM</v>
      </c>
      <c r="O12995" t="s">
        <v>39248</v>
      </c>
      <c r="T12995" t="s">
        <v>39249</v>
      </c>
    </row>
    <row r="12996" spans="1:20" x14ac:dyDescent="0.25">
      <c r="A12996" t="str">
        <f>"3045311"</f>
        <v>3045311</v>
      </c>
      <c r="B12996" t="s">
        <v>39252</v>
      </c>
      <c r="C12996" t="str">
        <f>"8311991"</f>
        <v>8311991</v>
      </c>
      <c r="D12996" t="s">
        <v>39253</v>
      </c>
      <c r="E12996" t="s">
        <v>39254</v>
      </c>
      <c r="F12996" t="s">
        <v>39255</v>
      </c>
      <c r="I12996" t="s">
        <v>29</v>
      </c>
      <c r="J12996" t="s">
        <v>30</v>
      </c>
      <c r="K12996" t="s">
        <v>39256</v>
      </c>
      <c r="M12996" t="s">
        <v>17861</v>
      </c>
      <c r="N12996" t="str">
        <f>"9/3/2019 12:58:00 PM"</f>
        <v>9/3/2019 12:58:00 PM</v>
      </c>
      <c r="O12996" t="s">
        <v>39253</v>
      </c>
      <c r="T12996" t="s">
        <v>39254</v>
      </c>
    </row>
    <row r="12997" spans="1:20" x14ac:dyDescent="0.25">
      <c r="A12997" t="str">
        <f>"3049884"</f>
        <v>3049884</v>
      </c>
      <c r="B12997" t="s">
        <v>39257</v>
      </c>
      <c r="C12997" t="str">
        <f>"8311996"</f>
        <v>8311996</v>
      </c>
      <c r="D12997" t="s">
        <v>39258</v>
      </c>
      <c r="E12997" t="s">
        <v>39259</v>
      </c>
      <c r="F12997" t="s">
        <v>39260</v>
      </c>
      <c r="I12997" t="s">
        <v>29</v>
      </c>
      <c r="J12997" t="s">
        <v>30</v>
      </c>
      <c r="K12997" t="s">
        <v>12991</v>
      </c>
      <c r="M12997" t="s">
        <v>17861</v>
      </c>
      <c r="N12997" t="str">
        <f>"9/3/2019 1:39:00 PM"</f>
        <v>9/3/2019 1:39:00 PM</v>
      </c>
      <c r="O12997" t="s">
        <v>39258</v>
      </c>
      <c r="T12997" t="s">
        <v>39259</v>
      </c>
    </row>
    <row r="12998" spans="1:20" x14ac:dyDescent="0.25">
      <c r="A12998" t="str">
        <f>"3052813"</f>
        <v>3052813</v>
      </c>
      <c r="B12998" t="s">
        <v>39261</v>
      </c>
      <c r="C12998" t="str">
        <f t="shared" ref="C12998:C13009" si="205">"82530235"</f>
        <v>82530235</v>
      </c>
      <c r="D12998" t="s">
        <v>33991</v>
      </c>
      <c r="F12998" t="s">
        <v>39262</v>
      </c>
      <c r="I12998" t="s">
        <v>29</v>
      </c>
      <c r="J12998" t="s">
        <v>30</v>
      </c>
      <c r="K12998" t="s">
        <v>39263</v>
      </c>
      <c r="M12998" t="s">
        <v>17861</v>
      </c>
      <c r="N12998" t="str">
        <f t="shared" ref="N12998:N13009" si="206">"9/3/2019 2:05:00 PM"</f>
        <v>9/3/2019 2:05:00 PM</v>
      </c>
      <c r="O12998" t="s">
        <v>33991</v>
      </c>
    </row>
    <row r="12999" spans="1:20" x14ac:dyDescent="0.25">
      <c r="A12999" t="str">
        <f>"3052893"</f>
        <v>3052893</v>
      </c>
      <c r="B12999" t="s">
        <v>39264</v>
      </c>
      <c r="C12999" t="str">
        <f t="shared" si="205"/>
        <v>82530235</v>
      </c>
      <c r="D12999" t="s">
        <v>33991</v>
      </c>
      <c r="F12999" t="s">
        <v>39262</v>
      </c>
      <c r="I12999" t="s">
        <v>29</v>
      </c>
      <c r="J12999" t="s">
        <v>30</v>
      </c>
      <c r="K12999" t="s">
        <v>39263</v>
      </c>
      <c r="M12999" t="s">
        <v>17861</v>
      </c>
      <c r="N12999" t="str">
        <f t="shared" si="206"/>
        <v>9/3/2019 2:05:00 PM</v>
      </c>
      <c r="O12999" t="s">
        <v>33991</v>
      </c>
    </row>
    <row r="13000" spans="1:20" x14ac:dyDescent="0.25">
      <c r="A13000" t="str">
        <f>"3052900"</f>
        <v>3052900</v>
      </c>
      <c r="B13000" t="s">
        <v>39265</v>
      </c>
      <c r="C13000" t="str">
        <f t="shared" si="205"/>
        <v>82530235</v>
      </c>
      <c r="D13000" t="s">
        <v>33991</v>
      </c>
      <c r="F13000" t="s">
        <v>39262</v>
      </c>
      <c r="I13000" t="s">
        <v>29</v>
      </c>
      <c r="J13000" t="s">
        <v>30</v>
      </c>
      <c r="K13000" t="s">
        <v>39263</v>
      </c>
      <c r="M13000" t="s">
        <v>17861</v>
      </c>
      <c r="N13000" t="str">
        <f t="shared" si="206"/>
        <v>9/3/2019 2:05:00 PM</v>
      </c>
      <c r="O13000" t="s">
        <v>33991</v>
      </c>
    </row>
    <row r="13001" spans="1:20" x14ac:dyDescent="0.25">
      <c r="A13001" t="str">
        <f>"3052911"</f>
        <v>3052911</v>
      </c>
      <c r="B13001" t="s">
        <v>39266</v>
      </c>
      <c r="C13001" t="str">
        <f t="shared" si="205"/>
        <v>82530235</v>
      </c>
      <c r="D13001" t="s">
        <v>33991</v>
      </c>
      <c r="F13001" t="s">
        <v>39262</v>
      </c>
      <c r="I13001" t="s">
        <v>29</v>
      </c>
      <c r="J13001" t="s">
        <v>30</v>
      </c>
      <c r="K13001" t="s">
        <v>39263</v>
      </c>
      <c r="M13001" t="s">
        <v>17861</v>
      </c>
      <c r="N13001" t="str">
        <f t="shared" si="206"/>
        <v>9/3/2019 2:05:00 PM</v>
      </c>
      <c r="O13001" t="s">
        <v>33991</v>
      </c>
    </row>
    <row r="13002" spans="1:20" x14ac:dyDescent="0.25">
      <c r="A13002" t="str">
        <f>"3054404"</f>
        <v>3054404</v>
      </c>
      <c r="B13002" t="s">
        <v>39267</v>
      </c>
      <c r="C13002" t="str">
        <f t="shared" si="205"/>
        <v>82530235</v>
      </c>
      <c r="D13002" t="s">
        <v>33991</v>
      </c>
      <c r="F13002" t="s">
        <v>39262</v>
      </c>
      <c r="I13002" t="s">
        <v>29</v>
      </c>
      <c r="J13002" t="s">
        <v>30</v>
      </c>
      <c r="K13002" t="s">
        <v>39263</v>
      </c>
      <c r="M13002" t="s">
        <v>17861</v>
      </c>
      <c r="N13002" t="str">
        <f t="shared" si="206"/>
        <v>9/3/2019 2:05:00 PM</v>
      </c>
      <c r="O13002" t="s">
        <v>33991</v>
      </c>
    </row>
    <row r="13003" spans="1:20" x14ac:dyDescent="0.25">
      <c r="A13003" t="str">
        <f>"3054405"</f>
        <v>3054405</v>
      </c>
      <c r="B13003" t="s">
        <v>39268</v>
      </c>
      <c r="C13003" t="str">
        <f t="shared" si="205"/>
        <v>82530235</v>
      </c>
      <c r="D13003" t="s">
        <v>33991</v>
      </c>
      <c r="F13003" t="s">
        <v>39262</v>
      </c>
      <c r="I13003" t="s">
        <v>29</v>
      </c>
      <c r="J13003" t="s">
        <v>30</v>
      </c>
      <c r="K13003" t="s">
        <v>39263</v>
      </c>
      <c r="M13003" t="s">
        <v>17861</v>
      </c>
      <c r="N13003" t="str">
        <f t="shared" si="206"/>
        <v>9/3/2019 2:05:00 PM</v>
      </c>
      <c r="O13003" t="s">
        <v>33991</v>
      </c>
    </row>
    <row r="13004" spans="1:20" x14ac:dyDescent="0.25">
      <c r="A13004" t="str">
        <f>"3054378"</f>
        <v>3054378</v>
      </c>
      <c r="B13004" t="s">
        <v>39269</v>
      </c>
      <c r="C13004" t="str">
        <f t="shared" si="205"/>
        <v>82530235</v>
      </c>
      <c r="D13004" t="s">
        <v>33991</v>
      </c>
      <c r="F13004" t="s">
        <v>39262</v>
      </c>
      <c r="I13004" t="s">
        <v>29</v>
      </c>
      <c r="J13004" t="s">
        <v>30</v>
      </c>
      <c r="K13004" t="s">
        <v>39263</v>
      </c>
      <c r="M13004" t="s">
        <v>17861</v>
      </c>
      <c r="N13004" t="str">
        <f t="shared" si="206"/>
        <v>9/3/2019 2:05:00 PM</v>
      </c>
      <c r="O13004" t="s">
        <v>33991</v>
      </c>
    </row>
    <row r="13005" spans="1:20" x14ac:dyDescent="0.25">
      <c r="A13005" t="str">
        <f>"3054114"</f>
        <v>3054114</v>
      </c>
      <c r="B13005" t="s">
        <v>39270</v>
      </c>
      <c r="C13005" t="str">
        <f t="shared" si="205"/>
        <v>82530235</v>
      </c>
      <c r="D13005" t="s">
        <v>33991</v>
      </c>
      <c r="F13005" t="s">
        <v>39262</v>
      </c>
      <c r="I13005" t="s">
        <v>29</v>
      </c>
      <c r="J13005" t="s">
        <v>30</v>
      </c>
      <c r="K13005" t="s">
        <v>39263</v>
      </c>
      <c r="M13005" t="s">
        <v>17861</v>
      </c>
      <c r="N13005" t="str">
        <f t="shared" si="206"/>
        <v>9/3/2019 2:05:00 PM</v>
      </c>
      <c r="O13005" t="s">
        <v>33991</v>
      </c>
    </row>
    <row r="13006" spans="1:20" x14ac:dyDescent="0.25">
      <c r="A13006" t="str">
        <f>"3055774"</f>
        <v>3055774</v>
      </c>
      <c r="B13006" t="s">
        <v>39271</v>
      </c>
      <c r="C13006" t="str">
        <f t="shared" si="205"/>
        <v>82530235</v>
      </c>
      <c r="D13006" t="s">
        <v>33991</v>
      </c>
      <c r="F13006" t="s">
        <v>39262</v>
      </c>
      <c r="I13006" t="s">
        <v>29</v>
      </c>
      <c r="J13006" t="s">
        <v>30</v>
      </c>
      <c r="K13006" t="s">
        <v>39263</v>
      </c>
      <c r="M13006" t="s">
        <v>17861</v>
      </c>
      <c r="N13006" t="str">
        <f t="shared" si="206"/>
        <v>9/3/2019 2:05:00 PM</v>
      </c>
      <c r="O13006" t="s">
        <v>33991</v>
      </c>
    </row>
    <row r="13007" spans="1:20" x14ac:dyDescent="0.25">
      <c r="A13007" t="str">
        <f>"3059323"</f>
        <v>3059323</v>
      </c>
      <c r="B13007" t="s">
        <v>39272</v>
      </c>
      <c r="C13007" t="str">
        <f t="shared" si="205"/>
        <v>82530235</v>
      </c>
      <c r="D13007" t="s">
        <v>33991</v>
      </c>
      <c r="F13007" t="s">
        <v>39262</v>
      </c>
      <c r="I13007" t="s">
        <v>29</v>
      </c>
      <c r="J13007" t="s">
        <v>30</v>
      </c>
      <c r="K13007" t="s">
        <v>39263</v>
      </c>
      <c r="M13007" t="s">
        <v>17861</v>
      </c>
      <c r="N13007" t="str">
        <f t="shared" si="206"/>
        <v>9/3/2019 2:05:00 PM</v>
      </c>
      <c r="O13007" t="s">
        <v>33991</v>
      </c>
    </row>
    <row r="13008" spans="1:20" x14ac:dyDescent="0.25">
      <c r="A13008" t="str">
        <f>"3059509"</f>
        <v>3059509</v>
      </c>
      <c r="B13008" t="s">
        <v>39273</v>
      </c>
      <c r="C13008" t="str">
        <f t="shared" si="205"/>
        <v>82530235</v>
      </c>
      <c r="D13008" t="s">
        <v>33991</v>
      </c>
      <c r="F13008" t="s">
        <v>39262</v>
      </c>
      <c r="I13008" t="s">
        <v>29</v>
      </c>
      <c r="J13008" t="s">
        <v>30</v>
      </c>
      <c r="K13008" t="s">
        <v>39263</v>
      </c>
      <c r="M13008" t="s">
        <v>17861</v>
      </c>
      <c r="N13008" t="str">
        <f t="shared" si="206"/>
        <v>9/3/2019 2:05:00 PM</v>
      </c>
      <c r="O13008" t="s">
        <v>33991</v>
      </c>
    </row>
    <row r="13009" spans="1:20" x14ac:dyDescent="0.25">
      <c r="A13009" t="str">
        <f>"3059502"</f>
        <v>3059502</v>
      </c>
      <c r="B13009" t="s">
        <v>39274</v>
      </c>
      <c r="C13009" t="str">
        <f t="shared" si="205"/>
        <v>82530235</v>
      </c>
      <c r="D13009" t="s">
        <v>33991</v>
      </c>
      <c r="F13009" t="s">
        <v>39262</v>
      </c>
      <c r="I13009" t="s">
        <v>29</v>
      </c>
      <c r="J13009" t="s">
        <v>30</v>
      </c>
      <c r="K13009" t="s">
        <v>39263</v>
      </c>
      <c r="M13009" t="s">
        <v>17861</v>
      </c>
      <c r="N13009" t="str">
        <f t="shared" si="206"/>
        <v>9/3/2019 2:05:00 PM</v>
      </c>
      <c r="O13009" t="s">
        <v>33991</v>
      </c>
    </row>
    <row r="13010" spans="1:20" x14ac:dyDescent="0.25">
      <c r="A13010" t="str">
        <f>"3052196"</f>
        <v>3052196</v>
      </c>
      <c r="B13010" t="s">
        <v>39275</v>
      </c>
      <c r="C13010" t="str">
        <f>"8311997"</f>
        <v>8311997</v>
      </c>
      <c r="D13010" t="s">
        <v>39276</v>
      </c>
      <c r="F13010" t="s">
        <v>39262</v>
      </c>
      <c r="I13010" t="s">
        <v>29</v>
      </c>
      <c r="J13010" t="s">
        <v>30</v>
      </c>
      <c r="K13010" t="s">
        <v>39263</v>
      </c>
      <c r="M13010" t="s">
        <v>17861</v>
      </c>
      <c r="N13010" t="str">
        <f>"9/3/2019 2:03:00 PM"</f>
        <v>9/3/2019 2:03:00 PM</v>
      </c>
      <c r="O13010" t="s">
        <v>39276</v>
      </c>
    </row>
    <row r="13011" spans="1:20" x14ac:dyDescent="0.25">
      <c r="A13011" t="str">
        <f>"3041409"</f>
        <v>3041409</v>
      </c>
      <c r="B13011" t="s">
        <v>39277</v>
      </c>
      <c r="C13011" t="str">
        <f>"8311998"</f>
        <v>8311998</v>
      </c>
      <c r="D13011" t="s">
        <v>39278</v>
      </c>
      <c r="F13011" t="s">
        <v>39279</v>
      </c>
      <c r="I13011" t="s">
        <v>2071</v>
      </c>
      <c r="J13011" t="s">
        <v>30</v>
      </c>
      <c r="K13011" t="s">
        <v>2200</v>
      </c>
      <c r="M13011" t="s">
        <v>17861</v>
      </c>
      <c r="N13011" t="str">
        <f>"9/3/2019 2:19:00 PM"</f>
        <v>9/3/2019 2:19:00 PM</v>
      </c>
      <c r="O13011" t="s">
        <v>39278</v>
      </c>
    </row>
    <row r="13012" spans="1:20" x14ac:dyDescent="0.25">
      <c r="A13012" t="str">
        <f>"3041072"</f>
        <v>3041072</v>
      </c>
      <c r="B13012" t="s">
        <v>39280</v>
      </c>
      <c r="C13012" t="str">
        <f>"8312002"</f>
        <v>8312002</v>
      </c>
      <c r="D13012" t="s">
        <v>39281</v>
      </c>
      <c r="F13012" t="s">
        <v>39282</v>
      </c>
      <c r="I13012" t="s">
        <v>2071</v>
      </c>
      <c r="J13012" t="s">
        <v>30</v>
      </c>
      <c r="K13012" t="s">
        <v>39283</v>
      </c>
      <c r="M13012" t="s">
        <v>17861</v>
      </c>
      <c r="N13012" t="str">
        <f>"9/3/2019 3:10:00 PM"</f>
        <v>9/3/2019 3:10:00 PM</v>
      </c>
      <c r="O13012" t="s">
        <v>39281</v>
      </c>
    </row>
    <row r="13013" spans="1:20" x14ac:dyDescent="0.25">
      <c r="A13013" t="str">
        <f>"3045663"</f>
        <v>3045663</v>
      </c>
      <c r="B13013" t="s">
        <v>39284</v>
      </c>
      <c r="C13013" t="str">
        <f>"8308642"</f>
        <v>8308642</v>
      </c>
      <c r="D13013" t="s">
        <v>39285</v>
      </c>
      <c r="F13013" t="s">
        <v>39286</v>
      </c>
      <c r="I13013" t="s">
        <v>1149</v>
      </c>
      <c r="J13013" t="s">
        <v>30</v>
      </c>
      <c r="K13013" t="s">
        <v>7688</v>
      </c>
      <c r="M13013" t="s">
        <v>33845</v>
      </c>
      <c r="N13013" t="str">
        <f>"8/27/2019 11:53:00 AM"</f>
        <v>8/27/2019 11:53:00 AM</v>
      </c>
      <c r="O13013" t="s">
        <v>39285</v>
      </c>
    </row>
    <row r="13014" spans="1:20" x14ac:dyDescent="0.25">
      <c r="A13014" t="str">
        <f>"3060195"</f>
        <v>3060195</v>
      </c>
      <c r="B13014" t="s">
        <v>39287</v>
      </c>
      <c r="C13014" t="str">
        <f>"8302102"</f>
        <v>8302102</v>
      </c>
      <c r="D13014" t="s">
        <v>34778</v>
      </c>
      <c r="F13014" t="s">
        <v>34779</v>
      </c>
      <c r="I13014" t="s">
        <v>29</v>
      </c>
      <c r="J13014" t="s">
        <v>30</v>
      </c>
      <c r="K13014" t="str">
        <f>"27028"</f>
        <v>27028</v>
      </c>
      <c r="M13014" t="s">
        <v>33845</v>
      </c>
      <c r="N13014" t="str">
        <f>"8/27/2019 11:54:00 AM"</f>
        <v>8/27/2019 11:54:00 AM</v>
      </c>
      <c r="O13014" t="s">
        <v>34778</v>
      </c>
    </row>
    <row r="13015" spans="1:20" x14ac:dyDescent="0.25">
      <c r="A13015" t="str">
        <f>"3043578"</f>
        <v>3043578</v>
      </c>
      <c r="B13015" t="s">
        <v>39288</v>
      </c>
      <c r="C13015" t="str">
        <f>"21599800"</f>
        <v>21599800</v>
      </c>
      <c r="D13015" t="s">
        <v>39289</v>
      </c>
      <c r="F13015" t="s">
        <v>35800</v>
      </c>
      <c r="I13015" t="s">
        <v>29</v>
      </c>
      <c r="J13015" t="s">
        <v>30</v>
      </c>
      <c r="K13015" t="s">
        <v>7303</v>
      </c>
      <c r="M13015" t="s">
        <v>25733</v>
      </c>
      <c r="N13015" t="str">
        <f>"8/29/2019 10:39:00 AM"</f>
        <v>8/29/2019 10:39:00 AM</v>
      </c>
      <c r="O13015" t="s">
        <v>39289</v>
      </c>
    </row>
    <row r="13016" spans="1:20" x14ac:dyDescent="0.25">
      <c r="A13016" t="str">
        <f>"3065373"</f>
        <v>3065373</v>
      </c>
      <c r="B13016" t="s">
        <v>39290</v>
      </c>
      <c r="C13016" t="str">
        <f>"21599800"</f>
        <v>21599800</v>
      </c>
      <c r="D13016" t="s">
        <v>39289</v>
      </c>
      <c r="F13016" t="s">
        <v>35800</v>
      </c>
      <c r="I13016" t="s">
        <v>29</v>
      </c>
      <c r="J13016" t="s">
        <v>30</v>
      </c>
      <c r="K13016" t="s">
        <v>7303</v>
      </c>
      <c r="M13016" t="s">
        <v>25733</v>
      </c>
      <c r="N13016" t="str">
        <f>"8/29/2019 10:39:00 AM"</f>
        <v>8/29/2019 10:39:00 AM</v>
      </c>
      <c r="O13016" t="s">
        <v>39289</v>
      </c>
    </row>
    <row r="13017" spans="1:20" x14ac:dyDescent="0.25">
      <c r="A13017" t="str">
        <f>"3078201"</f>
        <v>3078201</v>
      </c>
      <c r="B13017" t="s">
        <v>39291</v>
      </c>
      <c r="C13017" t="str">
        <f>"8308840"</f>
        <v>8308840</v>
      </c>
      <c r="D13017" t="s">
        <v>39292</v>
      </c>
      <c r="E13017" t="s">
        <v>39293</v>
      </c>
      <c r="F13017" t="s">
        <v>39294</v>
      </c>
      <c r="I13017" t="s">
        <v>184</v>
      </c>
      <c r="J13017" t="s">
        <v>30</v>
      </c>
      <c r="K13017" t="str">
        <f>"27006"</f>
        <v>27006</v>
      </c>
      <c r="M13017" t="s">
        <v>33845</v>
      </c>
      <c r="N13017" t="str">
        <f>"8/27/2019 2:36:00 PM"</f>
        <v>8/27/2019 2:36:00 PM</v>
      </c>
      <c r="O13017" t="s">
        <v>39292</v>
      </c>
      <c r="T13017" t="s">
        <v>39293</v>
      </c>
    </row>
    <row r="13018" spans="1:20" x14ac:dyDescent="0.25">
      <c r="A13018" t="str">
        <f>"3060668"</f>
        <v>3060668</v>
      </c>
      <c r="B13018" t="s">
        <v>39295</v>
      </c>
      <c r="C13018" t="str">
        <f>"8311971"</f>
        <v>8311971</v>
      </c>
      <c r="D13018" t="s">
        <v>39296</v>
      </c>
      <c r="E13018" t="s">
        <v>39297</v>
      </c>
      <c r="F13018" t="s">
        <v>39298</v>
      </c>
      <c r="I13018" t="s">
        <v>2071</v>
      </c>
      <c r="J13018" t="s">
        <v>30</v>
      </c>
      <c r="K13018" t="s">
        <v>6484</v>
      </c>
      <c r="M13018" t="s">
        <v>17861</v>
      </c>
      <c r="N13018" t="str">
        <f>"8/28/2019 8:48:00 AM"</f>
        <v>8/28/2019 8:48:00 AM</v>
      </c>
      <c r="O13018" t="s">
        <v>39296</v>
      </c>
      <c r="T13018" t="s">
        <v>39297</v>
      </c>
    </row>
    <row r="13019" spans="1:20" x14ac:dyDescent="0.25">
      <c r="A13019" t="str">
        <f>"3059467"</f>
        <v>3059467</v>
      </c>
      <c r="B13019" t="s">
        <v>39299</v>
      </c>
      <c r="C13019" t="str">
        <f t="shared" ref="C13019:C13027" si="207">"82515942"</f>
        <v>82515942</v>
      </c>
      <c r="D13019" t="s">
        <v>39300</v>
      </c>
      <c r="F13019" t="s">
        <v>39301</v>
      </c>
      <c r="I13019" t="s">
        <v>29</v>
      </c>
      <c r="J13019" t="s">
        <v>30</v>
      </c>
      <c r="K13019" t="str">
        <f t="shared" ref="K13019:K13028" si="208">"27028"</f>
        <v>27028</v>
      </c>
      <c r="M13019" t="s">
        <v>25733</v>
      </c>
      <c r="N13019" t="str">
        <f t="shared" ref="N13019:N13027" si="209">"9/4/2019 4:28:00 PM"</f>
        <v>9/4/2019 4:28:00 PM</v>
      </c>
      <c r="O13019" t="s">
        <v>39300</v>
      </c>
    </row>
    <row r="13020" spans="1:20" x14ac:dyDescent="0.25">
      <c r="A13020" t="str">
        <f>"3049129"</f>
        <v>3049129</v>
      </c>
      <c r="B13020" t="s">
        <v>39302</v>
      </c>
      <c r="C13020" t="str">
        <f t="shared" si="207"/>
        <v>82515942</v>
      </c>
      <c r="D13020" t="s">
        <v>39300</v>
      </c>
      <c r="F13020" t="s">
        <v>39301</v>
      </c>
      <c r="I13020" t="s">
        <v>29</v>
      </c>
      <c r="J13020" t="s">
        <v>30</v>
      </c>
      <c r="K13020" t="str">
        <f t="shared" si="208"/>
        <v>27028</v>
      </c>
      <c r="M13020" t="s">
        <v>25733</v>
      </c>
      <c r="N13020" t="str">
        <f t="shared" si="209"/>
        <v>9/4/2019 4:28:00 PM</v>
      </c>
      <c r="O13020" t="s">
        <v>39300</v>
      </c>
    </row>
    <row r="13021" spans="1:20" x14ac:dyDescent="0.25">
      <c r="A13021" t="str">
        <f>"3049109"</f>
        <v>3049109</v>
      </c>
      <c r="B13021" t="s">
        <v>39303</v>
      </c>
      <c r="C13021" t="str">
        <f t="shared" si="207"/>
        <v>82515942</v>
      </c>
      <c r="D13021" t="s">
        <v>39300</v>
      </c>
      <c r="F13021" t="s">
        <v>39301</v>
      </c>
      <c r="I13021" t="s">
        <v>29</v>
      </c>
      <c r="J13021" t="s">
        <v>30</v>
      </c>
      <c r="K13021" t="str">
        <f t="shared" si="208"/>
        <v>27028</v>
      </c>
      <c r="M13021" t="s">
        <v>25733</v>
      </c>
      <c r="N13021" t="str">
        <f t="shared" si="209"/>
        <v>9/4/2019 4:28:00 PM</v>
      </c>
      <c r="O13021" t="s">
        <v>39300</v>
      </c>
    </row>
    <row r="13022" spans="1:20" x14ac:dyDescent="0.25">
      <c r="A13022" t="str">
        <f>"3049102"</f>
        <v>3049102</v>
      </c>
      <c r="B13022" t="s">
        <v>39304</v>
      </c>
      <c r="C13022" t="str">
        <f t="shared" si="207"/>
        <v>82515942</v>
      </c>
      <c r="D13022" t="s">
        <v>39300</v>
      </c>
      <c r="F13022" t="s">
        <v>39301</v>
      </c>
      <c r="I13022" t="s">
        <v>29</v>
      </c>
      <c r="J13022" t="s">
        <v>30</v>
      </c>
      <c r="K13022" t="str">
        <f t="shared" si="208"/>
        <v>27028</v>
      </c>
      <c r="M13022" t="s">
        <v>25733</v>
      </c>
      <c r="N13022" t="str">
        <f t="shared" si="209"/>
        <v>9/4/2019 4:28:00 PM</v>
      </c>
      <c r="O13022" t="s">
        <v>39300</v>
      </c>
    </row>
    <row r="13023" spans="1:20" x14ac:dyDescent="0.25">
      <c r="A13023" t="str">
        <f>"3056910"</f>
        <v>3056910</v>
      </c>
      <c r="B13023" t="s">
        <v>39305</v>
      </c>
      <c r="C13023" t="str">
        <f t="shared" si="207"/>
        <v>82515942</v>
      </c>
      <c r="D13023" t="s">
        <v>39300</v>
      </c>
      <c r="F13023" t="s">
        <v>39301</v>
      </c>
      <c r="I13023" t="s">
        <v>29</v>
      </c>
      <c r="J13023" t="s">
        <v>30</v>
      </c>
      <c r="K13023" t="str">
        <f t="shared" si="208"/>
        <v>27028</v>
      </c>
      <c r="M13023" t="s">
        <v>25733</v>
      </c>
      <c r="N13023" t="str">
        <f t="shared" si="209"/>
        <v>9/4/2019 4:28:00 PM</v>
      </c>
      <c r="O13023" t="s">
        <v>39300</v>
      </c>
    </row>
    <row r="13024" spans="1:20" x14ac:dyDescent="0.25">
      <c r="A13024" t="str">
        <f>"3056857"</f>
        <v>3056857</v>
      </c>
      <c r="B13024" t="s">
        <v>39306</v>
      </c>
      <c r="C13024" t="str">
        <f t="shared" si="207"/>
        <v>82515942</v>
      </c>
      <c r="D13024" t="s">
        <v>39300</v>
      </c>
      <c r="F13024" t="s">
        <v>39301</v>
      </c>
      <c r="I13024" t="s">
        <v>29</v>
      </c>
      <c r="J13024" t="s">
        <v>30</v>
      </c>
      <c r="K13024" t="str">
        <f t="shared" si="208"/>
        <v>27028</v>
      </c>
      <c r="M13024" t="s">
        <v>25733</v>
      </c>
      <c r="N13024" t="str">
        <f t="shared" si="209"/>
        <v>9/4/2019 4:28:00 PM</v>
      </c>
      <c r="O13024" t="s">
        <v>39300</v>
      </c>
    </row>
    <row r="13025" spans="1:20" x14ac:dyDescent="0.25">
      <c r="A13025" t="str">
        <f>"3056893"</f>
        <v>3056893</v>
      </c>
      <c r="B13025" t="s">
        <v>39307</v>
      </c>
      <c r="C13025" t="str">
        <f t="shared" si="207"/>
        <v>82515942</v>
      </c>
      <c r="D13025" t="s">
        <v>39300</v>
      </c>
      <c r="F13025" t="s">
        <v>39301</v>
      </c>
      <c r="I13025" t="s">
        <v>29</v>
      </c>
      <c r="J13025" t="s">
        <v>30</v>
      </c>
      <c r="K13025" t="str">
        <f t="shared" si="208"/>
        <v>27028</v>
      </c>
      <c r="M13025" t="s">
        <v>25733</v>
      </c>
      <c r="N13025" t="str">
        <f t="shared" si="209"/>
        <v>9/4/2019 4:28:00 PM</v>
      </c>
      <c r="O13025" t="s">
        <v>39300</v>
      </c>
    </row>
    <row r="13026" spans="1:20" x14ac:dyDescent="0.25">
      <c r="A13026" t="str">
        <f>"3056891"</f>
        <v>3056891</v>
      </c>
      <c r="B13026" t="s">
        <v>39308</v>
      </c>
      <c r="C13026" t="str">
        <f t="shared" si="207"/>
        <v>82515942</v>
      </c>
      <c r="D13026" t="s">
        <v>39300</v>
      </c>
      <c r="F13026" t="s">
        <v>39301</v>
      </c>
      <c r="I13026" t="s">
        <v>29</v>
      </c>
      <c r="J13026" t="s">
        <v>30</v>
      </c>
      <c r="K13026" t="str">
        <f t="shared" si="208"/>
        <v>27028</v>
      </c>
      <c r="M13026" t="s">
        <v>25733</v>
      </c>
      <c r="N13026" t="str">
        <f t="shared" si="209"/>
        <v>9/4/2019 4:28:00 PM</v>
      </c>
      <c r="O13026" t="s">
        <v>39300</v>
      </c>
    </row>
    <row r="13027" spans="1:20" x14ac:dyDescent="0.25">
      <c r="A13027" t="str">
        <f>"3057332"</f>
        <v>3057332</v>
      </c>
      <c r="B13027" t="s">
        <v>39309</v>
      </c>
      <c r="C13027" t="str">
        <f t="shared" si="207"/>
        <v>82515942</v>
      </c>
      <c r="D13027" t="s">
        <v>39300</v>
      </c>
      <c r="F13027" t="s">
        <v>39301</v>
      </c>
      <c r="I13027" t="s">
        <v>29</v>
      </c>
      <c r="J13027" t="s">
        <v>30</v>
      </c>
      <c r="K13027" t="str">
        <f t="shared" si="208"/>
        <v>27028</v>
      </c>
      <c r="M13027" t="s">
        <v>25733</v>
      </c>
      <c r="N13027" t="str">
        <f t="shared" si="209"/>
        <v>9/4/2019 4:28:00 PM</v>
      </c>
      <c r="O13027" t="s">
        <v>39300</v>
      </c>
    </row>
    <row r="13028" spans="1:20" x14ac:dyDescent="0.25">
      <c r="A13028" t="str">
        <f>"3058130"</f>
        <v>3058130</v>
      </c>
      <c r="B13028" t="s">
        <v>39310</v>
      </c>
      <c r="C13028" t="str">
        <f>"8306020"</f>
        <v>8306020</v>
      </c>
      <c r="D13028" t="s">
        <v>39311</v>
      </c>
      <c r="E13028" t="s">
        <v>39312</v>
      </c>
      <c r="F13028" t="s">
        <v>39313</v>
      </c>
      <c r="I13028" t="s">
        <v>29</v>
      </c>
      <c r="J13028" t="s">
        <v>30</v>
      </c>
      <c r="K13028" t="str">
        <f t="shared" si="208"/>
        <v>27028</v>
      </c>
      <c r="M13028" t="s">
        <v>25625</v>
      </c>
      <c r="N13028" t="str">
        <f>"9/5/2019 9:21:00 AM"</f>
        <v>9/5/2019 9:21:00 AM</v>
      </c>
      <c r="O13028" t="s">
        <v>39311</v>
      </c>
      <c r="T13028" t="s">
        <v>39312</v>
      </c>
    </row>
    <row r="13029" spans="1:20" x14ac:dyDescent="0.25">
      <c r="A13029" t="str">
        <f>"3076951"</f>
        <v>3076951</v>
      </c>
      <c r="B13029" t="s">
        <v>39314</v>
      </c>
      <c r="C13029" t="str">
        <f>"82532520"</f>
        <v>82532520</v>
      </c>
      <c r="D13029" t="s">
        <v>39315</v>
      </c>
      <c r="E13029" t="s">
        <v>39316</v>
      </c>
      <c r="F13029" t="s">
        <v>39317</v>
      </c>
      <c r="I13029" t="s">
        <v>29</v>
      </c>
      <c r="J13029" t="s">
        <v>30</v>
      </c>
      <c r="K13029" t="s">
        <v>31</v>
      </c>
      <c r="M13029" t="s">
        <v>32801</v>
      </c>
      <c r="N13029" t="str">
        <f>"8/28/2019 8:59:00 AM"</f>
        <v>8/28/2019 8:59:00 AM</v>
      </c>
      <c r="O13029" t="s">
        <v>39315</v>
      </c>
      <c r="T13029" t="s">
        <v>39316</v>
      </c>
    </row>
    <row r="13030" spans="1:20" x14ac:dyDescent="0.25">
      <c r="A13030" t="str">
        <f>"3046204"</f>
        <v>3046204</v>
      </c>
      <c r="B13030" t="s">
        <v>39318</v>
      </c>
      <c r="C13030" t="str">
        <f>"82532520"</f>
        <v>82532520</v>
      </c>
      <c r="D13030" t="s">
        <v>39315</v>
      </c>
      <c r="E13030" t="s">
        <v>39316</v>
      </c>
      <c r="F13030" t="s">
        <v>39317</v>
      </c>
      <c r="I13030" t="s">
        <v>29</v>
      </c>
      <c r="J13030" t="s">
        <v>30</v>
      </c>
      <c r="K13030" t="s">
        <v>31</v>
      </c>
      <c r="M13030" t="s">
        <v>32801</v>
      </c>
      <c r="N13030" t="str">
        <f>"8/28/2019 8:59:00 AM"</f>
        <v>8/28/2019 8:59:00 AM</v>
      </c>
      <c r="O13030" t="s">
        <v>39315</v>
      </c>
      <c r="T13030" t="s">
        <v>39316</v>
      </c>
    </row>
    <row r="13031" spans="1:20" x14ac:dyDescent="0.25">
      <c r="A13031" t="str">
        <f>"3040440"</f>
        <v>3040440</v>
      </c>
      <c r="B13031" t="s">
        <v>39319</v>
      </c>
      <c r="C13031" t="str">
        <f>"82532520"</f>
        <v>82532520</v>
      </c>
      <c r="D13031" t="s">
        <v>39315</v>
      </c>
      <c r="E13031" t="s">
        <v>39316</v>
      </c>
      <c r="F13031" t="s">
        <v>39317</v>
      </c>
      <c r="I13031" t="s">
        <v>29</v>
      </c>
      <c r="J13031" t="s">
        <v>30</v>
      </c>
      <c r="K13031" t="s">
        <v>31</v>
      </c>
      <c r="M13031" t="s">
        <v>32801</v>
      </c>
      <c r="N13031" t="str">
        <f>"8/28/2019 8:59:00 AM"</f>
        <v>8/28/2019 8:59:00 AM</v>
      </c>
      <c r="O13031" t="s">
        <v>39315</v>
      </c>
      <c r="T13031" t="s">
        <v>39316</v>
      </c>
    </row>
    <row r="13032" spans="1:20" x14ac:dyDescent="0.25">
      <c r="A13032" t="str">
        <f>"3076201"</f>
        <v>3076201</v>
      </c>
      <c r="B13032" t="s">
        <v>39320</v>
      </c>
      <c r="C13032" t="str">
        <f>"8307774"</f>
        <v>8307774</v>
      </c>
      <c r="D13032" t="s">
        <v>39321</v>
      </c>
      <c r="E13032" t="s">
        <v>39322</v>
      </c>
      <c r="F13032" t="s">
        <v>39323</v>
      </c>
      <c r="I13032" t="s">
        <v>29</v>
      </c>
      <c r="J13032" t="s">
        <v>30</v>
      </c>
      <c r="K13032" t="str">
        <f>"27028"</f>
        <v>27028</v>
      </c>
      <c r="M13032" t="s">
        <v>34670</v>
      </c>
      <c r="N13032" t="str">
        <f>"8/28/2019 10:41:00 AM"</f>
        <v>8/28/2019 10:41:00 AM</v>
      </c>
      <c r="O13032" t="s">
        <v>39321</v>
      </c>
      <c r="T13032" t="s">
        <v>39322</v>
      </c>
    </row>
    <row r="13033" spans="1:20" x14ac:dyDescent="0.25">
      <c r="A13033" t="str">
        <f>"3078232"</f>
        <v>3078232</v>
      </c>
      <c r="B13033" t="s">
        <v>39324</v>
      </c>
      <c r="C13033" t="str">
        <f>"82529094"</f>
        <v>82529094</v>
      </c>
      <c r="D13033" t="s">
        <v>39325</v>
      </c>
      <c r="F13033" t="s">
        <v>39326</v>
      </c>
      <c r="I13033" t="s">
        <v>34070</v>
      </c>
      <c r="J13033" t="s">
        <v>30</v>
      </c>
      <c r="K13033" t="s">
        <v>39327</v>
      </c>
      <c r="M13033" t="s">
        <v>33845</v>
      </c>
      <c r="N13033" t="str">
        <f>"9/13/2019 9:43:00 AM"</f>
        <v>9/13/2019 9:43:00 AM</v>
      </c>
      <c r="O13033" t="s">
        <v>39325</v>
      </c>
    </row>
    <row r="13034" spans="1:20" x14ac:dyDescent="0.25">
      <c r="A13034" t="str">
        <f>"3046998"</f>
        <v>3046998</v>
      </c>
      <c r="B13034" t="s">
        <v>39328</v>
      </c>
      <c r="C13034" t="str">
        <f>"82527301"</f>
        <v>82527301</v>
      </c>
      <c r="D13034" t="s">
        <v>39329</v>
      </c>
      <c r="E13034" t="s">
        <v>39330</v>
      </c>
      <c r="F13034" t="s">
        <v>39331</v>
      </c>
      <c r="I13034" t="s">
        <v>29</v>
      </c>
      <c r="J13034" t="s">
        <v>30</v>
      </c>
      <c r="K13034" t="s">
        <v>31</v>
      </c>
      <c r="M13034" t="s">
        <v>33845</v>
      </c>
      <c r="N13034" t="str">
        <f>"9/13/2019 4:09:00 PM"</f>
        <v>9/13/2019 4:09:00 PM</v>
      </c>
      <c r="O13034" t="s">
        <v>39329</v>
      </c>
      <c r="T13034" t="s">
        <v>39330</v>
      </c>
    </row>
    <row r="13035" spans="1:20" x14ac:dyDescent="0.25">
      <c r="A13035" t="str">
        <f>"3047900"</f>
        <v>3047900</v>
      </c>
      <c r="B13035" t="s">
        <v>39332</v>
      </c>
      <c r="C13035" t="str">
        <f>"82529414"</f>
        <v>82529414</v>
      </c>
      <c r="D13035" t="s">
        <v>10987</v>
      </c>
      <c r="E13035" t="s">
        <v>20495</v>
      </c>
      <c r="F13035" t="s">
        <v>10989</v>
      </c>
      <c r="I13035" t="s">
        <v>29</v>
      </c>
      <c r="J13035" t="s">
        <v>30</v>
      </c>
      <c r="K13035" t="s">
        <v>31</v>
      </c>
      <c r="M13035" t="s">
        <v>25733</v>
      </c>
      <c r="N13035" t="str">
        <f>"9/13/2019 4:27:00 PM"</f>
        <v>9/13/2019 4:27:00 PM</v>
      </c>
      <c r="O13035" t="s">
        <v>10987</v>
      </c>
      <c r="T13035" t="s">
        <v>20495</v>
      </c>
    </row>
    <row r="13036" spans="1:20" x14ac:dyDescent="0.25">
      <c r="A13036" t="str">
        <f>"3048315"</f>
        <v>3048315</v>
      </c>
      <c r="B13036" t="s">
        <v>39333</v>
      </c>
      <c r="C13036" t="str">
        <f>"82529414"</f>
        <v>82529414</v>
      </c>
      <c r="D13036" t="s">
        <v>10987</v>
      </c>
      <c r="E13036" t="s">
        <v>20495</v>
      </c>
      <c r="F13036" t="s">
        <v>10989</v>
      </c>
      <c r="I13036" t="s">
        <v>29</v>
      </c>
      <c r="J13036" t="s">
        <v>30</v>
      </c>
      <c r="K13036" t="s">
        <v>31</v>
      </c>
      <c r="M13036" t="s">
        <v>25733</v>
      </c>
      <c r="N13036" t="str">
        <f>"9/13/2019 4:27:00 PM"</f>
        <v>9/13/2019 4:27:00 PM</v>
      </c>
      <c r="O13036" t="s">
        <v>10987</v>
      </c>
      <c r="T13036" t="s">
        <v>20495</v>
      </c>
    </row>
    <row r="13037" spans="1:20" x14ac:dyDescent="0.25">
      <c r="A13037" t="str">
        <f>"3037314"</f>
        <v>3037314</v>
      </c>
      <c r="B13037" t="s">
        <v>39334</v>
      </c>
      <c r="C13037" t="str">
        <f>"8309341"</f>
        <v>8309341</v>
      </c>
      <c r="D13037" t="s">
        <v>39335</v>
      </c>
      <c r="F13037" t="s">
        <v>39336</v>
      </c>
      <c r="I13037" t="s">
        <v>184</v>
      </c>
      <c r="J13037" t="s">
        <v>30</v>
      </c>
      <c r="K13037" t="s">
        <v>39337</v>
      </c>
      <c r="M13037" t="s">
        <v>25733</v>
      </c>
      <c r="N13037" t="str">
        <f>"9/13/2019 4:27:00 PM"</f>
        <v>9/13/2019 4:27:00 PM</v>
      </c>
      <c r="O13037" t="s">
        <v>39335</v>
      </c>
    </row>
    <row r="13038" spans="1:20" x14ac:dyDescent="0.25">
      <c r="A13038" t="str">
        <f>"3056224"</f>
        <v>3056224</v>
      </c>
      <c r="B13038" t="s">
        <v>39338</v>
      </c>
      <c r="C13038" t="str">
        <f>"8302829"</f>
        <v>8302829</v>
      </c>
      <c r="D13038" t="s">
        <v>39339</v>
      </c>
      <c r="F13038" t="s">
        <v>16488</v>
      </c>
      <c r="I13038" t="s">
        <v>29</v>
      </c>
      <c r="J13038" t="s">
        <v>30</v>
      </c>
      <c r="K13038" t="str">
        <f>"27028"</f>
        <v>27028</v>
      </c>
      <c r="M13038" t="s">
        <v>25733</v>
      </c>
      <c r="N13038" t="str">
        <f>"9/13/2019 4:28:00 PM"</f>
        <v>9/13/2019 4:28:00 PM</v>
      </c>
      <c r="O13038" t="s">
        <v>39339</v>
      </c>
    </row>
    <row r="13039" spans="1:20" x14ac:dyDescent="0.25">
      <c r="A13039" t="str">
        <f>"3055855"</f>
        <v>3055855</v>
      </c>
      <c r="B13039" t="s">
        <v>39340</v>
      </c>
      <c r="C13039" t="str">
        <f>"3372000"</f>
        <v>3372000</v>
      </c>
      <c r="D13039" t="s">
        <v>39341</v>
      </c>
      <c r="F13039" t="s">
        <v>39342</v>
      </c>
      <c r="I13039" t="s">
        <v>9580</v>
      </c>
      <c r="J13039" t="s">
        <v>30</v>
      </c>
      <c r="K13039" t="s">
        <v>9581</v>
      </c>
      <c r="M13039" t="s">
        <v>34475</v>
      </c>
      <c r="N13039" t="str">
        <f>"9/16/2019 9:25:00 AM"</f>
        <v>9/16/2019 9:25:00 AM</v>
      </c>
      <c r="O13039" t="s">
        <v>39341</v>
      </c>
    </row>
    <row r="13040" spans="1:20" x14ac:dyDescent="0.25">
      <c r="A13040" t="str">
        <f>"3055408"</f>
        <v>3055408</v>
      </c>
      <c r="B13040" t="s">
        <v>39343</v>
      </c>
      <c r="C13040" t="str">
        <f>"3372000"</f>
        <v>3372000</v>
      </c>
      <c r="D13040" t="s">
        <v>39341</v>
      </c>
      <c r="F13040" t="s">
        <v>39342</v>
      </c>
      <c r="I13040" t="s">
        <v>9580</v>
      </c>
      <c r="J13040" t="s">
        <v>30</v>
      </c>
      <c r="K13040" t="s">
        <v>9581</v>
      </c>
      <c r="M13040" t="s">
        <v>34475</v>
      </c>
      <c r="N13040" t="str">
        <f>"9/16/2019 9:25:00 AM"</f>
        <v>9/16/2019 9:25:00 AM</v>
      </c>
      <c r="O13040" t="s">
        <v>39341</v>
      </c>
    </row>
    <row r="13041" spans="1:20" x14ac:dyDescent="0.25">
      <c r="A13041" t="str">
        <f>"3077628"</f>
        <v>3077628</v>
      </c>
      <c r="B13041" t="s">
        <v>39344</v>
      </c>
      <c r="C13041" t="str">
        <f>"8311975"</f>
        <v>8311975</v>
      </c>
      <c r="D13041" t="s">
        <v>39345</v>
      </c>
      <c r="F13041" t="s">
        <v>39346</v>
      </c>
      <c r="I13041" t="s">
        <v>29</v>
      </c>
      <c r="J13041" t="s">
        <v>30</v>
      </c>
      <c r="K13041" t="s">
        <v>39347</v>
      </c>
      <c r="M13041" t="s">
        <v>17861</v>
      </c>
      <c r="N13041" t="str">
        <f>"8/28/2019 11:09:00 AM"</f>
        <v>8/28/2019 11:09:00 AM</v>
      </c>
      <c r="O13041" t="s">
        <v>39345</v>
      </c>
    </row>
    <row r="13042" spans="1:20" x14ac:dyDescent="0.25">
      <c r="A13042" t="str">
        <f>"3049429"</f>
        <v>3049429</v>
      </c>
      <c r="B13042" t="s">
        <v>39348</v>
      </c>
      <c r="C13042" t="str">
        <f>"8311978"</f>
        <v>8311978</v>
      </c>
      <c r="D13042" t="s">
        <v>39349</v>
      </c>
      <c r="F13042" t="s">
        <v>17891</v>
      </c>
      <c r="I13042" t="s">
        <v>17892</v>
      </c>
      <c r="J13042" t="s">
        <v>11346</v>
      </c>
      <c r="K13042" t="str">
        <f>"37716"</f>
        <v>37716</v>
      </c>
      <c r="M13042" t="s">
        <v>17861</v>
      </c>
      <c r="N13042" t="str">
        <f>"8/28/2019 1:28:00 PM"</f>
        <v>8/28/2019 1:28:00 PM</v>
      </c>
      <c r="O13042" t="s">
        <v>39349</v>
      </c>
    </row>
    <row r="13043" spans="1:20" x14ac:dyDescent="0.25">
      <c r="A13043" t="str">
        <f>"3047528"</f>
        <v>3047528</v>
      </c>
      <c r="B13043" t="s">
        <v>39350</v>
      </c>
      <c r="C13043" t="str">
        <f>"8306436"</f>
        <v>8306436</v>
      </c>
      <c r="D13043" t="s">
        <v>39351</v>
      </c>
      <c r="F13043" t="s">
        <v>39352</v>
      </c>
      <c r="I13043" t="s">
        <v>24359</v>
      </c>
      <c r="J13043" t="s">
        <v>30</v>
      </c>
      <c r="K13043" t="str">
        <f>"27006"</f>
        <v>27006</v>
      </c>
      <c r="M13043" t="s">
        <v>33432</v>
      </c>
      <c r="N13043" t="str">
        <f>"8/29/2019 8:42:00 AM"</f>
        <v>8/29/2019 8:42:00 AM</v>
      </c>
      <c r="O13043" t="s">
        <v>39351</v>
      </c>
    </row>
    <row r="13044" spans="1:20" x14ac:dyDescent="0.25">
      <c r="A13044" t="str">
        <f>"3077114"</f>
        <v>3077114</v>
      </c>
      <c r="B13044" t="s">
        <v>39353</v>
      </c>
      <c r="C13044" t="str">
        <f>"8311982"</f>
        <v>8311982</v>
      </c>
      <c r="D13044" t="s">
        <v>39217</v>
      </c>
      <c r="F13044" t="s">
        <v>31749</v>
      </c>
      <c r="I13044" t="s">
        <v>184</v>
      </c>
      <c r="J13044" t="s">
        <v>30</v>
      </c>
      <c r="K13044" t="s">
        <v>34983</v>
      </c>
      <c r="M13044" t="s">
        <v>17861</v>
      </c>
      <c r="N13044" t="str">
        <f>"8/29/2019 10:48:00 AM"</f>
        <v>8/29/2019 10:48:00 AM</v>
      </c>
      <c r="O13044" t="s">
        <v>39217</v>
      </c>
    </row>
    <row r="13045" spans="1:20" x14ac:dyDescent="0.25">
      <c r="A13045" t="str">
        <f>"3043368"</f>
        <v>3043368</v>
      </c>
      <c r="B13045" t="s">
        <v>39354</v>
      </c>
      <c r="C13045" t="str">
        <f>"8304821"</f>
        <v>8304821</v>
      </c>
      <c r="D13045" t="s">
        <v>39355</v>
      </c>
      <c r="E13045" t="s">
        <v>39356</v>
      </c>
      <c r="F13045" t="s">
        <v>39357</v>
      </c>
      <c r="I13045" t="s">
        <v>29</v>
      </c>
      <c r="J13045" t="s">
        <v>30</v>
      </c>
      <c r="K13045" t="s">
        <v>39358</v>
      </c>
      <c r="M13045" t="s">
        <v>25733</v>
      </c>
      <c r="N13045" t="str">
        <f>"8/26/2019 3:55:00 PM"</f>
        <v>8/26/2019 3:55:00 PM</v>
      </c>
      <c r="O13045" t="s">
        <v>39355</v>
      </c>
      <c r="T13045" t="s">
        <v>39356</v>
      </c>
    </row>
    <row r="13046" spans="1:20" x14ac:dyDescent="0.25">
      <c r="A13046" t="str">
        <f>"3053755"</f>
        <v>3053755</v>
      </c>
      <c r="B13046" t="s">
        <v>39359</v>
      </c>
      <c r="C13046" t="str">
        <f>"8312063"</f>
        <v>8312063</v>
      </c>
      <c r="D13046" t="s">
        <v>39360</v>
      </c>
      <c r="E13046" t="s">
        <v>39361</v>
      </c>
      <c r="F13046" t="s">
        <v>39362</v>
      </c>
      <c r="I13046" t="s">
        <v>29</v>
      </c>
      <c r="J13046" t="s">
        <v>30</v>
      </c>
      <c r="K13046" t="s">
        <v>10082</v>
      </c>
      <c r="M13046" t="s">
        <v>17861</v>
      </c>
      <c r="N13046" t="str">
        <f>"9/18/2019 10:52:00 AM"</f>
        <v>9/18/2019 10:52:00 AM</v>
      </c>
      <c r="O13046" t="s">
        <v>39360</v>
      </c>
      <c r="T13046" t="s">
        <v>39361</v>
      </c>
    </row>
    <row r="13047" spans="1:20" x14ac:dyDescent="0.25">
      <c r="A13047" t="str">
        <f>"3040512"</f>
        <v>3040512</v>
      </c>
      <c r="B13047" t="s">
        <v>39363</v>
      </c>
      <c r="C13047" t="str">
        <f>"8312064"</f>
        <v>8312064</v>
      </c>
      <c r="D13047" t="s">
        <v>39364</v>
      </c>
      <c r="E13047" t="s">
        <v>39365</v>
      </c>
      <c r="F13047" t="s">
        <v>39366</v>
      </c>
      <c r="I13047" t="s">
        <v>184</v>
      </c>
      <c r="J13047" t="s">
        <v>30</v>
      </c>
      <c r="K13047" t="s">
        <v>3313</v>
      </c>
      <c r="M13047" t="s">
        <v>17861</v>
      </c>
      <c r="N13047" t="str">
        <f>"9/18/2019 10:55:00 AM"</f>
        <v>9/18/2019 10:55:00 AM</v>
      </c>
      <c r="O13047" t="s">
        <v>39364</v>
      </c>
      <c r="T13047" t="s">
        <v>39365</v>
      </c>
    </row>
    <row r="13048" spans="1:20" x14ac:dyDescent="0.25">
      <c r="A13048" t="str">
        <f>"3044516"</f>
        <v>3044516</v>
      </c>
      <c r="B13048" t="s">
        <v>39367</v>
      </c>
      <c r="C13048" t="str">
        <f>"8312065"</f>
        <v>8312065</v>
      </c>
      <c r="D13048" t="s">
        <v>39368</v>
      </c>
      <c r="E13048" t="s">
        <v>39369</v>
      </c>
      <c r="F13048" t="s">
        <v>39370</v>
      </c>
      <c r="I13048" t="s">
        <v>184</v>
      </c>
      <c r="J13048" t="s">
        <v>30</v>
      </c>
      <c r="K13048" t="s">
        <v>5715</v>
      </c>
      <c r="M13048" t="s">
        <v>17861</v>
      </c>
      <c r="N13048" t="str">
        <f>"9/18/2019 10:56:00 AM"</f>
        <v>9/18/2019 10:56:00 AM</v>
      </c>
      <c r="O13048" t="s">
        <v>39368</v>
      </c>
      <c r="T13048" t="s">
        <v>39369</v>
      </c>
    </row>
    <row r="13049" spans="1:20" x14ac:dyDescent="0.25">
      <c r="A13049" t="str">
        <f>"3063030"</f>
        <v>3063030</v>
      </c>
      <c r="B13049" t="s">
        <v>39371</v>
      </c>
      <c r="C13049" t="str">
        <f>"8312066"</f>
        <v>8312066</v>
      </c>
      <c r="D13049" t="s">
        <v>39372</v>
      </c>
      <c r="E13049" t="s">
        <v>39373</v>
      </c>
      <c r="F13049" t="s">
        <v>39374</v>
      </c>
      <c r="I13049" t="s">
        <v>184</v>
      </c>
      <c r="J13049" t="s">
        <v>30</v>
      </c>
      <c r="K13049" t="s">
        <v>7477</v>
      </c>
      <c r="M13049" t="s">
        <v>17861</v>
      </c>
      <c r="N13049" t="str">
        <f>"9/18/2019 11:02:00 AM"</f>
        <v>9/18/2019 11:02:00 AM</v>
      </c>
      <c r="O13049" t="s">
        <v>39372</v>
      </c>
      <c r="T13049" t="s">
        <v>39373</v>
      </c>
    </row>
    <row r="13050" spans="1:20" x14ac:dyDescent="0.25">
      <c r="A13050" t="str">
        <f>"3074633"</f>
        <v>3074633</v>
      </c>
      <c r="B13050" t="s">
        <v>39375</v>
      </c>
      <c r="C13050" t="str">
        <f>"8312067"</f>
        <v>8312067</v>
      </c>
      <c r="D13050" t="s">
        <v>39376</v>
      </c>
      <c r="E13050" t="s">
        <v>39377</v>
      </c>
      <c r="F13050" t="s">
        <v>39378</v>
      </c>
      <c r="I13050" t="s">
        <v>29</v>
      </c>
      <c r="J13050" t="s">
        <v>30</v>
      </c>
      <c r="K13050" t="str">
        <f>"27028"</f>
        <v>27028</v>
      </c>
      <c r="M13050" t="s">
        <v>17861</v>
      </c>
      <c r="N13050" t="str">
        <f>"9/18/2019 11:14:00 AM"</f>
        <v>9/18/2019 11:14:00 AM</v>
      </c>
      <c r="O13050" t="s">
        <v>39376</v>
      </c>
      <c r="T13050" t="s">
        <v>39377</v>
      </c>
    </row>
    <row r="13051" spans="1:20" x14ac:dyDescent="0.25">
      <c r="A13051" t="str">
        <f>"3061719"</f>
        <v>3061719</v>
      </c>
      <c r="B13051" t="s">
        <v>39379</v>
      </c>
      <c r="C13051" t="str">
        <f>"8312069"</f>
        <v>8312069</v>
      </c>
      <c r="D13051" t="s">
        <v>39380</v>
      </c>
      <c r="E13051" t="s">
        <v>39381</v>
      </c>
      <c r="F13051" t="s">
        <v>39382</v>
      </c>
      <c r="I13051" t="s">
        <v>184</v>
      </c>
      <c r="J13051" t="s">
        <v>30</v>
      </c>
      <c r="K13051" t="s">
        <v>30968</v>
      </c>
      <c r="M13051" t="s">
        <v>17861</v>
      </c>
      <c r="N13051" t="str">
        <f>"9/18/2019 12:36:00 PM"</f>
        <v>9/18/2019 12:36:00 PM</v>
      </c>
      <c r="O13051" t="s">
        <v>39380</v>
      </c>
      <c r="T13051" t="s">
        <v>39381</v>
      </c>
    </row>
    <row r="13052" spans="1:20" x14ac:dyDescent="0.25">
      <c r="A13052" t="str">
        <f>"3050051"</f>
        <v>3050051</v>
      </c>
      <c r="B13052" t="s">
        <v>39383</v>
      </c>
      <c r="C13052" t="str">
        <f>"8312071"</f>
        <v>8312071</v>
      </c>
      <c r="D13052" t="s">
        <v>39384</v>
      </c>
      <c r="F13052" t="s">
        <v>39385</v>
      </c>
      <c r="I13052" t="s">
        <v>29</v>
      </c>
      <c r="J13052" t="s">
        <v>30</v>
      </c>
      <c r="K13052" t="s">
        <v>39386</v>
      </c>
      <c r="M13052" t="s">
        <v>17861</v>
      </c>
      <c r="N13052" t="str">
        <f>"9/18/2019 12:41:00 PM"</f>
        <v>9/18/2019 12:41:00 PM</v>
      </c>
      <c r="O13052" t="s">
        <v>39384</v>
      </c>
    </row>
    <row r="13053" spans="1:20" x14ac:dyDescent="0.25">
      <c r="A13053" t="str">
        <f>"3053396"</f>
        <v>3053396</v>
      </c>
      <c r="B13053" t="s">
        <v>39387</v>
      </c>
      <c r="C13053" t="str">
        <f>"8311963"</f>
        <v>8311963</v>
      </c>
      <c r="D13053" t="s">
        <v>39388</v>
      </c>
      <c r="F13053" t="s">
        <v>39389</v>
      </c>
      <c r="I13053" t="s">
        <v>29</v>
      </c>
      <c r="J13053" t="s">
        <v>30</v>
      </c>
      <c r="K13053" t="s">
        <v>13787</v>
      </c>
      <c r="M13053" t="s">
        <v>17861</v>
      </c>
      <c r="N13053" t="str">
        <f>"8/26/2019 4:14:00 PM"</f>
        <v>8/26/2019 4:14:00 PM</v>
      </c>
      <c r="O13053" t="s">
        <v>39388</v>
      </c>
    </row>
    <row r="13054" spans="1:20" x14ac:dyDescent="0.25">
      <c r="A13054" t="str">
        <f>"3067837"</f>
        <v>3067837</v>
      </c>
      <c r="B13054" t="s">
        <v>39390</v>
      </c>
      <c r="C13054" t="str">
        <f>"8311965"</f>
        <v>8311965</v>
      </c>
      <c r="D13054" t="s">
        <v>39391</v>
      </c>
      <c r="E13054" t="s">
        <v>39392</v>
      </c>
      <c r="F13054" t="s">
        <v>21560</v>
      </c>
      <c r="I13054" t="s">
        <v>29</v>
      </c>
      <c r="J13054" t="s">
        <v>30</v>
      </c>
      <c r="K13054" t="s">
        <v>39393</v>
      </c>
      <c r="M13054" t="s">
        <v>17861</v>
      </c>
      <c r="N13054" t="str">
        <f>"8/26/2019 4:22:00 PM"</f>
        <v>8/26/2019 4:22:00 PM</v>
      </c>
      <c r="O13054" t="s">
        <v>39391</v>
      </c>
      <c r="T13054" t="s">
        <v>39392</v>
      </c>
    </row>
    <row r="13055" spans="1:20" x14ac:dyDescent="0.25">
      <c r="A13055" t="str">
        <f>"3074038"</f>
        <v>3074038</v>
      </c>
      <c r="B13055" t="s">
        <v>39394</v>
      </c>
      <c r="C13055" t="str">
        <f>"8311965"</f>
        <v>8311965</v>
      </c>
      <c r="D13055" t="s">
        <v>39391</v>
      </c>
      <c r="E13055" t="s">
        <v>39392</v>
      </c>
      <c r="F13055" t="s">
        <v>21560</v>
      </c>
      <c r="I13055" t="s">
        <v>29</v>
      </c>
      <c r="J13055" t="s">
        <v>30</v>
      </c>
      <c r="K13055" t="s">
        <v>39393</v>
      </c>
      <c r="M13055" t="s">
        <v>17861</v>
      </c>
      <c r="N13055" t="str">
        <f>"8/26/2019 4:22:00 PM"</f>
        <v>8/26/2019 4:22:00 PM</v>
      </c>
      <c r="O13055" t="s">
        <v>39391</v>
      </c>
      <c r="T13055" t="s">
        <v>39392</v>
      </c>
    </row>
    <row r="13056" spans="1:20" x14ac:dyDescent="0.25">
      <c r="A13056" t="str">
        <f>"3042210"</f>
        <v>3042210</v>
      </c>
      <c r="B13056" t="s">
        <v>39395</v>
      </c>
      <c r="C13056" t="str">
        <f>"8301760"</f>
        <v>8301760</v>
      </c>
      <c r="D13056" t="s">
        <v>3515</v>
      </c>
      <c r="F13056" t="s">
        <v>3516</v>
      </c>
      <c r="I13056" t="s">
        <v>184</v>
      </c>
      <c r="J13056" t="s">
        <v>30</v>
      </c>
      <c r="K13056" t="str">
        <f>"27006"</f>
        <v>27006</v>
      </c>
      <c r="M13056" t="s">
        <v>36935</v>
      </c>
      <c r="N13056" t="str">
        <f>"8/27/2019 8:21:00 AM"</f>
        <v>8/27/2019 8:21:00 AM</v>
      </c>
      <c r="O13056" t="s">
        <v>3515</v>
      </c>
    </row>
    <row r="13057" spans="1:20" x14ac:dyDescent="0.25">
      <c r="A13057" t="str">
        <f>"3040845"</f>
        <v>3040845</v>
      </c>
      <c r="B13057" t="s">
        <v>39396</v>
      </c>
      <c r="C13057" t="str">
        <f>"8301760"</f>
        <v>8301760</v>
      </c>
      <c r="D13057" t="s">
        <v>3515</v>
      </c>
      <c r="F13057" t="s">
        <v>3516</v>
      </c>
      <c r="I13057" t="s">
        <v>184</v>
      </c>
      <c r="J13057" t="s">
        <v>30</v>
      </c>
      <c r="K13057" t="str">
        <f>"27006"</f>
        <v>27006</v>
      </c>
      <c r="M13057" t="s">
        <v>36935</v>
      </c>
      <c r="N13057" t="str">
        <f>"8/27/2019 8:21:00 AM"</f>
        <v>8/27/2019 8:21:00 AM</v>
      </c>
      <c r="O13057" t="s">
        <v>3515</v>
      </c>
    </row>
    <row r="13058" spans="1:20" x14ac:dyDescent="0.25">
      <c r="A13058" t="str">
        <f>"3045536"</f>
        <v>3045536</v>
      </c>
      <c r="B13058" t="s">
        <v>39397</v>
      </c>
      <c r="C13058" t="str">
        <f>"8311988"</f>
        <v>8311988</v>
      </c>
      <c r="D13058" t="s">
        <v>39398</v>
      </c>
      <c r="E13058" t="s">
        <v>39399</v>
      </c>
      <c r="F13058" t="s">
        <v>39400</v>
      </c>
      <c r="I13058" t="s">
        <v>1149</v>
      </c>
      <c r="J13058" t="s">
        <v>30</v>
      </c>
      <c r="K13058" t="s">
        <v>39401</v>
      </c>
      <c r="M13058" t="s">
        <v>17861</v>
      </c>
      <c r="N13058" t="str">
        <f>"9/3/2019 12:49:00 PM"</f>
        <v>9/3/2019 12:49:00 PM</v>
      </c>
      <c r="O13058" t="s">
        <v>39398</v>
      </c>
      <c r="T13058" t="s">
        <v>39399</v>
      </c>
    </row>
    <row r="13059" spans="1:20" x14ac:dyDescent="0.25">
      <c r="A13059" t="str">
        <f>"3045122"</f>
        <v>3045122</v>
      </c>
      <c r="B13059" t="s">
        <v>39402</v>
      </c>
      <c r="C13059" t="str">
        <f>"8311988"</f>
        <v>8311988</v>
      </c>
      <c r="D13059" t="s">
        <v>39398</v>
      </c>
      <c r="E13059" t="s">
        <v>39399</v>
      </c>
      <c r="F13059" t="s">
        <v>39400</v>
      </c>
      <c r="I13059" t="s">
        <v>1149</v>
      </c>
      <c r="J13059" t="s">
        <v>30</v>
      </c>
      <c r="K13059" t="s">
        <v>39401</v>
      </c>
      <c r="M13059" t="s">
        <v>17861</v>
      </c>
      <c r="N13059" t="str">
        <f>"9/3/2019 12:49:00 PM"</f>
        <v>9/3/2019 12:49:00 PM</v>
      </c>
      <c r="O13059" t="s">
        <v>39398</v>
      </c>
      <c r="T13059" t="s">
        <v>39399</v>
      </c>
    </row>
    <row r="13060" spans="1:20" x14ac:dyDescent="0.25">
      <c r="A13060" t="str">
        <f>"3045123"</f>
        <v>3045123</v>
      </c>
      <c r="B13060" t="s">
        <v>39403</v>
      </c>
      <c r="C13060" t="str">
        <f>"8311988"</f>
        <v>8311988</v>
      </c>
      <c r="D13060" t="s">
        <v>39398</v>
      </c>
      <c r="E13060" t="s">
        <v>39399</v>
      </c>
      <c r="F13060" t="s">
        <v>39400</v>
      </c>
      <c r="I13060" t="s">
        <v>1149</v>
      </c>
      <c r="J13060" t="s">
        <v>30</v>
      </c>
      <c r="K13060" t="s">
        <v>39401</v>
      </c>
      <c r="M13060" t="s">
        <v>17861</v>
      </c>
      <c r="N13060" t="str">
        <f>"9/3/2019 12:49:00 PM"</f>
        <v>9/3/2019 12:49:00 PM</v>
      </c>
      <c r="O13060" t="s">
        <v>39398</v>
      </c>
      <c r="T13060" t="s">
        <v>39399</v>
      </c>
    </row>
    <row r="13061" spans="1:20" x14ac:dyDescent="0.25">
      <c r="A13061" t="str">
        <f>"3038444"</f>
        <v>3038444</v>
      </c>
      <c r="B13061" t="s">
        <v>39404</v>
      </c>
      <c r="C13061" t="str">
        <f>"8306716"</f>
        <v>8306716</v>
      </c>
      <c r="D13061" t="s">
        <v>39195</v>
      </c>
      <c r="E13061" t="s">
        <v>39196</v>
      </c>
      <c r="F13061" t="s">
        <v>39197</v>
      </c>
      <c r="I13061" t="s">
        <v>29</v>
      </c>
      <c r="J13061" t="s">
        <v>30</v>
      </c>
      <c r="K13061" t="str">
        <f>"27028"</f>
        <v>27028</v>
      </c>
      <c r="M13061" t="s">
        <v>18470</v>
      </c>
      <c r="N13061" t="str">
        <f>"8/29/2019 9:01:00 AM"</f>
        <v>8/29/2019 9:01:00 AM</v>
      </c>
      <c r="O13061" t="s">
        <v>39195</v>
      </c>
      <c r="T13061" t="s">
        <v>39196</v>
      </c>
    </row>
    <row r="13062" spans="1:20" x14ac:dyDescent="0.25">
      <c r="A13062" t="str">
        <f>"3060653"</f>
        <v>3060653</v>
      </c>
      <c r="B13062" t="s">
        <v>39405</v>
      </c>
      <c r="C13062" t="str">
        <f>"8312007"</f>
        <v>8312007</v>
      </c>
      <c r="D13062" t="s">
        <v>39406</v>
      </c>
      <c r="E13062" t="s">
        <v>39407</v>
      </c>
      <c r="F13062" t="s">
        <v>39408</v>
      </c>
      <c r="I13062" t="s">
        <v>2071</v>
      </c>
      <c r="J13062" t="s">
        <v>30</v>
      </c>
      <c r="K13062" t="s">
        <v>6484</v>
      </c>
      <c r="M13062" t="s">
        <v>17861</v>
      </c>
      <c r="N13062" t="str">
        <f>"9/4/2019 2:12:00 PM"</f>
        <v>9/4/2019 2:12:00 PM</v>
      </c>
      <c r="O13062" t="s">
        <v>39406</v>
      </c>
      <c r="T13062" t="s">
        <v>39407</v>
      </c>
    </row>
    <row r="13063" spans="1:20" x14ac:dyDescent="0.25">
      <c r="A13063" t="str">
        <f>"3054982"</f>
        <v>3054982</v>
      </c>
      <c r="B13063" t="s">
        <v>39409</v>
      </c>
      <c r="C13063" t="str">
        <f>"8312090"</f>
        <v>8312090</v>
      </c>
      <c r="D13063" t="s">
        <v>39410</v>
      </c>
      <c r="E13063" t="s">
        <v>39411</v>
      </c>
      <c r="F13063" t="s">
        <v>39412</v>
      </c>
      <c r="I13063" t="s">
        <v>29</v>
      </c>
      <c r="J13063" t="s">
        <v>30</v>
      </c>
      <c r="K13063" t="str">
        <f>"27028"</f>
        <v>27028</v>
      </c>
      <c r="M13063" t="s">
        <v>17861</v>
      </c>
      <c r="N13063" t="str">
        <f>"9/19/2019 12:24:00 PM"</f>
        <v>9/19/2019 12:24:00 PM</v>
      </c>
      <c r="O13063" t="s">
        <v>39410</v>
      </c>
      <c r="T13063" t="s">
        <v>39411</v>
      </c>
    </row>
    <row r="13064" spans="1:20" x14ac:dyDescent="0.25">
      <c r="A13064" t="str">
        <f>"3055781"</f>
        <v>3055781</v>
      </c>
      <c r="B13064" t="s">
        <v>39413</v>
      </c>
      <c r="C13064" t="str">
        <f>"8312093"</f>
        <v>8312093</v>
      </c>
      <c r="D13064" t="s">
        <v>39414</v>
      </c>
      <c r="F13064" t="s">
        <v>39415</v>
      </c>
      <c r="I13064" t="s">
        <v>21564</v>
      </c>
      <c r="J13064" t="s">
        <v>30</v>
      </c>
      <c r="K13064" t="s">
        <v>39416</v>
      </c>
      <c r="M13064" t="s">
        <v>17861</v>
      </c>
      <c r="N13064" t="str">
        <f>"9/19/2019 1:04:00 PM"</f>
        <v>9/19/2019 1:04:00 PM</v>
      </c>
      <c r="O13064" t="s">
        <v>39414</v>
      </c>
    </row>
    <row r="13065" spans="1:20" x14ac:dyDescent="0.25">
      <c r="A13065" t="str">
        <f>"3046836"</f>
        <v>3046836</v>
      </c>
      <c r="B13065" t="s">
        <v>39417</v>
      </c>
      <c r="C13065" t="str">
        <f>"8312094"</f>
        <v>8312094</v>
      </c>
      <c r="D13065" t="s">
        <v>39418</v>
      </c>
      <c r="E13065" t="s">
        <v>39419</v>
      </c>
      <c r="F13065" t="s">
        <v>39420</v>
      </c>
      <c r="I13065" t="s">
        <v>184</v>
      </c>
      <c r="J13065" t="s">
        <v>30</v>
      </c>
      <c r="K13065" t="s">
        <v>39421</v>
      </c>
      <c r="M13065" t="s">
        <v>17861</v>
      </c>
      <c r="N13065" t="str">
        <f>"9/19/2019 1:12:00 PM"</f>
        <v>9/19/2019 1:12:00 PM</v>
      </c>
      <c r="O13065" t="s">
        <v>39418</v>
      </c>
      <c r="T13065" t="s">
        <v>39419</v>
      </c>
    </row>
    <row r="13066" spans="1:20" x14ac:dyDescent="0.25">
      <c r="A13066" t="str">
        <f>"3049848"</f>
        <v>3049848</v>
      </c>
      <c r="B13066" t="s">
        <v>39422</v>
      </c>
      <c r="C13066" t="str">
        <f>"8312095"</f>
        <v>8312095</v>
      </c>
      <c r="D13066" t="s">
        <v>39423</v>
      </c>
      <c r="E13066" t="s">
        <v>39424</v>
      </c>
      <c r="F13066" t="s">
        <v>39425</v>
      </c>
      <c r="I13066" t="s">
        <v>29</v>
      </c>
      <c r="J13066" t="s">
        <v>30</v>
      </c>
      <c r="K13066" t="s">
        <v>9710</v>
      </c>
      <c r="M13066" t="s">
        <v>17861</v>
      </c>
      <c r="N13066" t="str">
        <f>"9/19/2019 1:15:00 PM"</f>
        <v>9/19/2019 1:15:00 PM</v>
      </c>
      <c r="O13066" t="s">
        <v>39423</v>
      </c>
      <c r="T13066" t="s">
        <v>39424</v>
      </c>
    </row>
    <row r="13067" spans="1:20" x14ac:dyDescent="0.25">
      <c r="A13067" t="str">
        <f>"3056372"</f>
        <v>3056372</v>
      </c>
      <c r="B13067" t="s">
        <v>39426</v>
      </c>
      <c r="C13067" t="str">
        <f>"8312097"</f>
        <v>8312097</v>
      </c>
      <c r="D13067" t="s">
        <v>39427</v>
      </c>
      <c r="F13067" t="str">
        <f>"c/o STATE PROPERTY OFFICE"</f>
        <v>c/o STATE PROPERTY OFFICE</v>
      </c>
      <c r="G13067" t="s">
        <v>39428</v>
      </c>
      <c r="I13067" t="s">
        <v>2589</v>
      </c>
      <c r="J13067" t="s">
        <v>30</v>
      </c>
      <c r="K13067" t="s">
        <v>39429</v>
      </c>
      <c r="M13067" t="s">
        <v>17861</v>
      </c>
      <c r="N13067" t="str">
        <f>"9/19/2019 1:40:00 PM"</f>
        <v>9/19/2019 1:40:00 PM</v>
      </c>
      <c r="O13067" t="s">
        <v>39427</v>
      </c>
    </row>
    <row r="13068" spans="1:20" x14ac:dyDescent="0.25">
      <c r="A13068" t="str">
        <f>"3056381"</f>
        <v>3056381</v>
      </c>
      <c r="B13068" t="s">
        <v>39430</v>
      </c>
      <c r="C13068" t="str">
        <f>"8312097"</f>
        <v>8312097</v>
      </c>
      <c r="D13068" t="s">
        <v>39427</v>
      </c>
      <c r="F13068" t="str">
        <f>"c/o STATE PROPERTY OFFICE"</f>
        <v>c/o STATE PROPERTY OFFICE</v>
      </c>
      <c r="G13068" t="s">
        <v>39428</v>
      </c>
      <c r="I13068" t="s">
        <v>2589</v>
      </c>
      <c r="J13068" t="s">
        <v>30</v>
      </c>
      <c r="K13068" t="s">
        <v>39429</v>
      </c>
      <c r="M13068" t="s">
        <v>17861</v>
      </c>
      <c r="N13068" t="str">
        <f>"9/19/2019 1:40:00 PM"</f>
        <v>9/19/2019 1:40:00 PM</v>
      </c>
      <c r="O13068" t="s">
        <v>39427</v>
      </c>
    </row>
    <row r="13069" spans="1:20" x14ac:dyDescent="0.25">
      <c r="A13069" t="str">
        <f>"3064482"</f>
        <v>3064482</v>
      </c>
      <c r="B13069" t="s">
        <v>39431</v>
      </c>
      <c r="C13069" t="str">
        <f>"8312097"</f>
        <v>8312097</v>
      </c>
      <c r="D13069" t="s">
        <v>39427</v>
      </c>
      <c r="F13069" t="str">
        <f>"c/o STATE PROPERTY OFFICE"</f>
        <v>c/o STATE PROPERTY OFFICE</v>
      </c>
      <c r="G13069" t="s">
        <v>39428</v>
      </c>
      <c r="I13069" t="s">
        <v>2589</v>
      </c>
      <c r="J13069" t="s">
        <v>30</v>
      </c>
      <c r="K13069" t="s">
        <v>39429</v>
      </c>
      <c r="M13069" t="s">
        <v>17861</v>
      </c>
      <c r="N13069" t="str">
        <f>"9/19/2019 1:40:00 PM"</f>
        <v>9/19/2019 1:40:00 PM</v>
      </c>
      <c r="O13069" t="s">
        <v>39427</v>
      </c>
    </row>
    <row r="13070" spans="1:20" x14ac:dyDescent="0.25">
      <c r="A13070" t="str">
        <f>"3061139"</f>
        <v>3061139</v>
      </c>
      <c r="B13070" t="s">
        <v>39432</v>
      </c>
      <c r="C13070" t="str">
        <f>"8312098"</f>
        <v>8312098</v>
      </c>
      <c r="D13070" t="s">
        <v>39433</v>
      </c>
      <c r="F13070" t="s">
        <v>39434</v>
      </c>
      <c r="I13070" t="s">
        <v>2071</v>
      </c>
      <c r="J13070" t="s">
        <v>30</v>
      </c>
      <c r="K13070" t="str">
        <f>"27006"</f>
        <v>27006</v>
      </c>
      <c r="M13070" t="s">
        <v>17861</v>
      </c>
      <c r="N13070" t="str">
        <f>"9/20/2019 11:04:00 AM"</f>
        <v>9/20/2019 11:04:00 AM</v>
      </c>
      <c r="O13070" t="s">
        <v>39433</v>
      </c>
    </row>
    <row r="13071" spans="1:20" x14ac:dyDescent="0.25">
      <c r="A13071" t="str">
        <f>"3050892"</f>
        <v>3050892</v>
      </c>
      <c r="B13071" t="s">
        <v>39435</v>
      </c>
      <c r="C13071" t="str">
        <f>"8312099"</f>
        <v>8312099</v>
      </c>
      <c r="D13071" t="s">
        <v>39436</v>
      </c>
      <c r="F13071" t="s">
        <v>39437</v>
      </c>
      <c r="I13071" t="s">
        <v>184</v>
      </c>
      <c r="J13071" t="s">
        <v>30</v>
      </c>
      <c r="K13071" t="s">
        <v>39438</v>
      </c>
      <c r="M13071" t="s">
        <v>17861</v>
      </c>
      <c r="N13071" t="str">
        <f>"9/20/2019 11:08:00 AM"</f>
        <v>9/20/2019 11:08:00 AM</v>
      </c>
      <c r="O13071" t="s">
        <v>39436</v>
      </c>
    </row>
    <row r="13072" spans="1:20" x14ac:dyDescent="0.25">
      <c r="A13072" t="str">
        <f>"3060881"</f>
        <v>3060881</v>
      </c>
      <c r="B13072" t="s">
        <v>39439</v>
      </c>
      <c r="C13072" t="str">
        <f>"8312100"</f>
        <v>8312100</v>
      </c>
      <c r="D13072" t="s">
        <v>39440</v>
      </c>
      <c r="E13072" t="s">
        <v>39441</v>
      </c>
      <c r="F13072" t="s">
        <v>39442</v>
      </c>
      <c r="I13072" t="s">
        <v>184</v>
      </c>
      <c r="J13072" t="s">
        <v>30</v>
      </c>
      <c r="K13072" t="s">
        <v>5143</v>
      </c>
      <c r="M13072" t="s">
        <v>17861</v>
      </c>
      <c r="N13072" t="str">
        <f>"9/20/2019 11:12:00 AM"</f>
        <v>9/20/2019 11:12:00 AM</v>
      </c>
      <c r="O13072" t="s">
        <v>39440</v>
      </c>
      <c r="T13072" t="s">
        <v>39441</v>
      </c>
    </row>
    <row r="13073" spans="1:20" x14ac:dyDescent="0.25">
      <c r="A13073" t="str">
        <f>"3062953"</f>
        <v>3062953</v>
      </c>
      <c r="B13073" t="s">
        <v>39443</v>
      </c>
      <c r="C13073" t="str">
        <f>"8312009"</f>
        <v>8312009</v>
      </c>
      <c r="D13073" t="s">
        <v>39444</v>
      </c>
      <c r="F13073" t="s">
        <v>39445</v>
      </c>
      <c r="I13073" t="s">
        <v>29</v>
      </c>
      <c r="J13073" t="s">
        <v>30</v>
      </c>
      <c r="K13073" t="s">
        <v>39446</v>
      </c>
      <c r="M13073" t="s">
        <v>17861</v>
      </c>
      <c r="N13073" t="str">
        <f>"9/4/2019 2:20:00 PM"</f>
        <v>9/4/2019 2:20:00 PM</v>
      </c>
      <c r="O13073" t="s">
        <v>39444</v>
      </c>
    </row>
    <row r="13074" spans="1:20" x14ac:dyDescent="0.25">
      <c r="A13074" t="str">
        <f>"3059428"</f>
        <v>3059428</v>
      </c>
      <c r="B13074" t="s">
        <v>39447</v>
      </c>
      <c r="C13074" t="str">
        <f>"82515942"</f>
        <v>82515942</v>
      </c>
      <c r="D13074" t="s">
        <v>39300</v>
      </c>
      <c r="F13074" t="s">
        <v>39301</v>
      </c>
      <c r="I13074" t="s">
        <v>29</v>
      </c>
      <c r="J13074" t="s">
        <v>30</v>
      </c>
      <c r="K13074" t="str">
        <f>"27028"</f>
        <v>27028</v>
      </c>
      <c r="M13074" t="s">
        <v>25733</v>
      </c>
      <c r="N13074" t="str">
        <f>"9/4/2019 4:28:00 PM"</f>
        <v>9/4/2019 4:28:00 PM</v>
      </c>
      <c r="O13074" t="s">
        <v>39300</v>
      </c>
    </row>
    <row r="13075" spans="1:20" x14ac:dyDescent="0.25">
      <c r="A13075" t="str">
        <f>"3050561"</f>
        <v>3050561</v>
      </c>
      <c r="B13075" t="s">
        <v>39448</v>
      </c>
      <c r="C13075" t="str">
        <f>"82525099"</f>
        <v>82525099</v>
      </c>
      <c r="D13075" t="s">
        <v>39449</v>
      </c>
      <c r="F13075" t="s">
        <v>39450</v>
      </c>
      <c r="I13075" t="s">
        <v>184</v>
      </c>
      <c r="J13075" t="s">
        <v>30</v>
      </c>
      <c r="K13075" t="s">
        <v>185</v>
      </c>
      <c r="M13075" t="s">
        <v>34670</v>
      </c>
      <c r="N13075" t="str">
        <f>"9/9/2019 10:38:00 AM"</f>
        <v>9/9/2019 10:38:00 AM</v>
      </c>
      <c r="O13075" t="s">
        <v>39449</v>
      </c>
    </row>
    <row r="13076" spans="1:20" x14ac:dyDescent="0.25">
      <c r="A13076" t="str">
        <f>"3063926"</f>
        <v>3063926</v>
      </c>
      <c r="B13076" t="s">
        <v>39451</v>
      </c>
      <c r="C13076" t="str">
        <f>"8312107"</f>
        <v>8312107</v>
      </c>
      <c r="D13076" t="s">
        <v>39452</v>
      </c>
      <c r="F13076" t="s">
        <v>39453</v>
      </c>
      <c r="I13076" t="s">
        <v>29</v>
      </c>
      <c r="J13076" t="s">
        <v>30</v>
      </c>
      <c r="K13076" t="s">
        <v>39454</v>
      </c>
      <c r="M13076" t="s">
        <v>17861</v>
      </c>
      <c r="N13076" t="str">
        <f>"9/20/2019 3:23:00 PM"</f>
        <v>9/20/2019 3:23:00 PM</v>
      </c>
      <c r="O13076" t="s">
        <v>39452</v>
      </c>
    </row>
    <row r="13077" spans="1:20" x14ac:dyDescent="0.25">
      <c r="A13077" t="str">
        <f>"3061854"</f>
        <v>3061854</v>
      </c>
      <c r="B13077" t="s">
        <v>39455</v>
      </c>
      <c r="C13077" t="str">
        <f>"8312110"</f>
        <v>8312110</v>
      </c>
      <c r="D13077" t="s">
        <v>39456</v>
      </c>
      <c r="F13077" t="s">
        <v>39457</v>
      </c>
      <c r="I13077" t="s">
        <v>29</v>
      </c>
      <c r="J13077" t="s">
        <v>30</v>
      </c>
      <c r="K13077" t="s">
        <v>39458</v>
      </c>
      <c r="M13077" t="s">
        <v>17861</v>
      </c>
      <c r="N13077" t="str">
        <f>"9/23/2019 8:53:00 AM"</f>
        <v>9/23/2019 8:53:00 AM</v>
      </c>
      <c r="O13077" t="s">
        <v>39456</v>
      </c>
    </row>
    <row r="13078" spans="1:20" x14ac:dyDescent="0.25">
      <c r="A13078" t="str">
        <f>"3058857"</f>
        <v>3058857</v>
      </c>
      <c r="B13078" t="s">
        <v>39459</v>
      </c>
      <c r="C13078" t="str">
        <f>"82533113"</f>
        <v>82533113</v>
      </c>
      <c r="D13078" t="s">
        <v>39460</v>
      </c>
      <c r="F13078" t="s">
        <v>39461</v>
      </c>
      <c r="I13078" t="s">
        <v>29</v>
      </c>
      <c r="J13078" t="s">
        <v>30</v>
      </c>
      <c r="K13078" t="str">
        <f>"27028"</f>
        <v>27028</v>
      </c>
      <c r="M13078" t="s">
        <v>25733</v>
      </c>
      <c r="N13078" t="str">
        <f>"9/23/2019 3:25:00 PM"</f>
        <v>9/23/2019 3:25:00 PM</v>
      </c>
      <c r="O13078" t="s">
        <v>39460</v>
      </c>
    </row>
    <row r="13079" spans="1:20" x14ac:dyDescent="0.25">
      <c r="A13079" t="str">
        <f>"3078072"</f>
        <v>3078072</v>
      </c>
      <c r="B13079" t="s">
        <v>39462</v>
      </c>
      <c r="C13079" t="str">
        <f>"8312016"</f>
        <v>8312016</v>
      </c>
      <c r="D13079" t="s">
        <v>39463</v>
      </c>
      <c r="F13079" t="s">
        <v>39464</v>
      </c>
      <c r="I13079" t="s">
        <v>29</v>
      </c>
      <c r="J13079" t="s">
        <v>30</v>
      </c>
      <c r="K13079" t="s">
        <v>4068</v>
      </c>
      <c r="M13079" t="s">
        <v>17861</v>
      </c>
      <c r="N13079" t="str">
        <f>"9/9/2019 3:14:00 PM"</f>
        <v>9/9/2019 3:14:00 PM</v>
      </c>
      <c r="O13079" t="s">
        <v>39463</v>
      </c>
    </row>
    <row r="13080" spans="1:20" x14ac:dyDescent="0.25">
      <c r="A13080" t="str">
        <f>"3044103"</f>
        <v>3044103</v>
      </c>
      <c r="B13080" t="s">
        <v>39465</v>
      </c>
      <c r="C13080" t="str">
        <f>"82518443"</f>
        <v>82518443</v>
      </c>
      <c r="D13080" t="s">
        <v>39466</v>
      </c>
      <c r="F13080" t="s">
        <v>39467</v>
      </c>
      <c r="I13080" t="s">
        <v>184</v>
      </c>
      <c r="J13080" t="s">
        <v>30</v>
      </c>
      <c r="K13080" t="s">
        <v>185</v>
      </c>
      <c r="M13080" t="s">
        <v>34475</v>
      </c>
      <c r="N13080" t="str">
        <f>"9/11/2019 12:58:00 PM"</f>
        <v>9/11/2019 12:58:00 PM</v>
      </c>
      <c r="O13080" t="s">
        <v>39466</v>
      </c>
    </row>
    <row r="13081" spans="1:20" x14ac:dyDescent="0.25">
      <c r="A13081" t="str">
        <f>"3061398"</f>
        <v>3061398</v>
      </c>
      <c r="B13081" t="s">
        <v>39468</v>
      </c>
      <c r="C13081" t="str">
        <f>"8312129"</f>
        <v>8312129</v>
      </c>
      <c r="D13081" t="s">
        <v>39469</v>
      </c>
      <c r="E13081" t="s">
        <v>39470</v>
      </c>
      <c r="F13081" t="s">
        <v>39471</v>
      </c>
      <c r="I13081" t="s">
        <v>184</v>
      </c>
      <c r="J13081" t="s">
        <v>30</v>
      </c>
      <c r="K13081" t="s">
        <v>5312</v>
      </c>
      <c r="M13081" t="s">
        <v>17861</v>
      </c>
      <c r="N13081" t="str">
        <f>"9/24/2019 3:40:00 PM"</f>
        <v>9/24/2019 3:40:00 PM</v>
      </c>
      <c r="O13081" t="s">
        <v>39469</v>
      </c>
      <c r="T13081" t="s">
        <v>39470</v>
      </c>
    </row>
    <row r="13082" spans="1:20" x14ac:dyDescent="0.25">
      <c r="A13082" t="str">
        <f>"3051114"</f>
        <v>3051114</v>
      </c>
      <c r="B13082" t="s">
        <v>39472</v>
      </c>
      <c r="C13082" t="str">
        <f>"82529094"</f>
        <v>82529094</v>
      </c>
      <c r="D13082" t="s">
        <v>39325</v>
      </c>
      <c r="F13082" t="s">
        <v>39326</v>
      </c>
      <c r="I13082" t="s">
        <v>34070</v>
      </c>
      <c r="J13082" t="s">
        <v>30</v>
      </c>
      <c r="K13082" t="s">
        <v>39327</v>
      </c>
      <c r="M13082" t="s">
        <v>33845</v>
      </c>
      <c r="N13082" t="str">
        <f>"9/13/2019 9:43:00 AM"</f>
        <v>9/13/2019 9:43:00 AM</v>
      </c>
      <c r="O13082" t="s">
        <v>39325</v>
      </c>
    </row>
    <row r="13083" spans="1:20" x14ac:dyDescent="0.25">
      <c r="A13083" t="str">
        <f>"3066525"</f>
        <v>3066525</v>
      </c>
      <c r="B13083" t="s">
        <v>39473</v>
      </c>
      <c r="C13083" t="str">
        <f>"59374000"</f>
        <v>59374000</v>
      </c>
      <c r="D13083" t="s">
        <v>39474</v>
      </c>
      <c r="E13083" t="s">
        <v>39475</v>
      </c>
      <c r="F13083" t="s">
        <v>39476</v>
      </c>
      <c r="I13083" t="s">
        <v>29</v>
      </c>
      <c r="J13083" t="s">
        <v>30</v>
      </c>
      <c r="K13083" t="s">
        <v>27388</v>
      </c>
      <c r="M13083" t="s">
        <v>17861</v>
      </c>
      <c r="N13083" t="str">
        <f>"9/18/2019 8:35:00 AM"</f>
        <v>9/18/2019 8:35:00 AM</v>
      </c>
      <c r="O13083" t="s">
        <v>39474</v>
      </c>
      <c r="T13083" t="s">
        <v>39475</v>
      </c>
    </row>
    <row r="13084" spans="1:20" x14ac:dyDescent="0.25">
      <c r="A13084" t="str">
        <f>"3044837"</f>
        <v>3044837</v>
      </c>
      <c r="B13084" t="s">
        <v>39477</v>
      </c>
      <c r="C13084" t="str">
        <f>"8312051"</f>
        <v>8312051</v>
      </c>
      <c r="D13084" t="s">
        <v>39478</v>
      </c>
      <c r="E13084" t="s">
        <v>39479</v>
      </c>
      <c r="F13084" t="s">
        <v>39480</v>
      </c>
      <c r="I13084" t="s">
        <v>184</v>
      </c>
      <c r="J13084" t="s">
        <v>30</v>
      </c>
      <c r="K13084" t="s">
        <v>5929</v>
      </c>
      <c r="M13084" t="s">
        <v>17861</v>
      </c>
      <c r="N13084" t="str">
        <f>"9/18/2019 9:15:00 AM"</f>
        <v>9/18/2019 9:15:00 AM</v>
      </c>
      <c r="O13084" t="s">
        <v>39478</v>
      </c>
      <c r="T13084" t="s">
        <v>39479</v>
      </c>
    </row>
    <row r="13085" spans="1:20" x14ac:dyDescent="0.25">
      <c r="A13085" t="str">
        <f>"3060232"</f>
        <v>3060232</v>
      </c>
      <c r="B13085" t="s">
        <v>39481</v>
      </c>
      <c r="C13085" t="str">
        <f>"8312053"</f>
        <v>8312053</v>
      </c>
      <c r="D13085" t="s">
        <v>39482</v>
      </c>
      <c r="E13085" t="s">
        <v>39483</v>
      </c>
      <c r="F13085" t="s">
        <v>39484</v>
      </c>
      <c r="I13085" t="s">
        <v>184</v>
      </c>
      <c r="J13085" t="s">
        <v>30</v>
      </c>
      <c r="K13085" t="s">
        <v>38466</v>
      </c>
      <c r="M13085" t="s">
        <v>17861</v>
      </c>
      <c r="N13085" t="str">
        <f>"9/18/2019 9:43:00 AM"</f>
        <v>9/18/2019 9:43:00 AM</v>
      </c>
      <c r="O13085" t="s">
        <v>39482</v>
      </c>
      <c r="T13085" t="s">
        <v>39483</v>
      </c>
    </row>
    <row r="13086" spans="1:20" x14ac:dyDescent="0.25">
      <c r="A13086" t="str">
        <f>"3057529"</f>
        <v>3057529</v>
      </c>
      <c r="B13086" t="s">
        <v>39485</v>
      </c>
      <c r="C13086" t="str">
        <f>"8312060"</f>
        <v>8312060</v>
      </c>
      <c r="D13086" t="s">
        <v>39486</v>
      </c>
      <c r="E13086" t="s">
        <v>39487</v>
      </c>
      <c r="F13086" t="s">
        <v>39488</v>
      </c>
      <c r="I13086" t="s">
        <v>184</v>
      </c>
      <c r="J13086" t="s">
        <v>30</v>
      </c>
      <c r="K13086" t="s">
        <v>20466</v>
      </c>
      <c r="M13086" t="s">
        <v>17861</v>
      </c>
      <c r="N13086" t="str">
        <f>"9/18/2019 10:23:00 AM"</f>
        <v>9/18/2019 10:23:00 AM</v>
      </c>
      <c r="O13086" t="s">
        <v>39486</v>
      </c>
      <c r="T13086" t="s">
        <v>39487</v>
      </c>
    </row>
    <row r="13087" spans="1:20" x14ac:dyDescent="0.25">
      <c r="A13087" t="str">
        <f>"3051493"</f>
        <v>3051493</v>
      </c>
      <c r="B13087" t="s">
        <v>39489</v>
      </c>
      <c r="C13087" t="str">
        <f>"8312061"</f>
        <v>8312061</v>
      </c>
      <c r="D13087" t="s">
        <v>37341</v>
      </c>
      <c r="E13087" t="s">
        <v>39490</v>
      </c>
      <c r="F13087" t="s">
        <v>37343</v>
      </c>
      <c r="I13087" t="s">
        <v>29</v>
      </c>
      <c r="J13087" t="s">
        <v>30</v>
      </c>
      <c r="K13087" t="s">
        <v>14369</v>
      </c>
      <c r="M13087" t="s">
        <v>17861</v>
      </c>
      <c r="N13087" t="str">
        <f>"9/18/2019 10:35:00 AM"</f>
        <v>9/18/2019 10:35:00 AM</v>
      </c>
      <c r="O13087" t="s">
        <v>37341</v>
      </c>
      <c r="T13087" t="s">
        <v>39490</v>
      </c>
    </row>
    <row r="13088" spans="1:20" x14ac:dyDescent="0.25">
      <c r="A13088" t="str">
        <f>"3060083"</f>
        <v>3060083</v>
      </c>
      <c r="B13088" t="s">
        <v>39491</v>
      </c>
      <c r="C13088" t="str">
        <f>"8312076"</f>
        <v>8312076</v>
      </c>
      <c r="D13088" t="s">
        <v>39492</v>
      </c>
      <c r="E13088" t="s">
        <v>39493</v>
      </c>
      <c r="F13088" t="s">
        <v>39494</v>
      </c>
      <c r="I13088" t="s">
        <v>184</v>
      </c>
      <c r="J13088" t="s">
        <v>30</v>
      </c>
      <c r="K13088" t="s">
        <v>38874</v>
      </c>
      <c r="M13088" t="s">
        <v>17861</v>
      </c>
      <c r="N13088" t="str">
        <f>"9/18/2019 2:57:00 PM"</f>
        <v>9/18/2019 2:57:00 PM</v>
      </c>
      <c r="O13088" t="s">
        <v>39492</v>
      </c>
      <c r="T13088" t="s">
        <v>39493</v>
      </c>
    </row>
    <row r="13089" spans="1:20" x14ac:dyDescent="0.25">
      <c r="A13089" t="str">
        <f>"3059640"</f>
        <v>3059640</v>
      </c>
      <c r="B13089" t="s">
        <v>39495</v>
      </c>
      <c r="C13089" t="str">
        <f>"8312077"</f>
        <v>8312077</v>
      </c>
      <c r="D13089" t="s">
        <v>39496</v>
      </c>
      <c r="F13089" t="s">
        <v>39497</v>
      </c>
      <c r="I13089" t="s">
        <v>29</v>
      </c>
      <c r="J13089" t="s">
        <v>30</v>
      </c>
      <c r="K13089" t="s">
        <v>39498</v>
      </c>
      <c r="M13089" t="s">
        <v>17861</v>
      </c>
      <c r="N13089" t="str">
        <f>"9/18/2019 3:00:00 PM"</f>
        <v>9/18/2019 3:00:00 PM</v>
      </c>
      <c r="O13089" t="s">
        <v>39496</v>
      </c>
    </row>
    <row r="13090" spans="1:20" x14ac:dyDescent="0.25">
      <c r="A13090" t="str">
        <f>"3060983"</f>
        <v>3060983</v>
      </c>
      <c r="B13090" t="s">
        <v>39499</v>
      </c>
      <c r="C13090" t="str">
        <f>"8312078"</f>
        <v>8312078</v>
      </c>
      <c r="D13090" t="s">
        <v>39500</v>
      </c>
      <c r="E13090" t="s">
        <v>39501</v>
      </c>
      <c r="F13090" t="s">
        <v>39502</v>
      </c>
      <c r="I13090" t="s">
        <v>2071</v>
      </c>
      <c r="J13090" t="s">
        <v>30</v>
      </c>
      <c r="K13090" t="s">
        <v>39090</v>
      </c>
      <c r="M13090" t="s">
        <v>17861</v>
      </c>
      <c r="N13090" t="str">
        <f>"9/18/2019 3:02:00 PM"</f>
        <v>9/18/2019 3:02:00 PM</v>
      </c>
      <c r="O13090" t="s">
        <v>39500</v>
      </c>
      <c r="T13090" t="s">
        <v>39501</v>
      </c>
    </row>
    <row r="13091" spans="1:20" x14ac:dyDescent="0.25">
      <c r="A13091" t="str">
        <f>"3052054"</f>
        <v>3052054</v>
      </c>
      <c r="B13091" t="s">
        <v>39503</v>
      </c>
      <c r="C13091" t="str">
        <f>"8312080"</f>
        <v>8312080</v>
      </c>
      <c r="D13091" t="s">
        <v>39504</v>
      </c>
      <c r="E13091" t="s">
        <v>39505</v>
      </c>
      <c r="F13091" t="s">
        <v>39506</v>
      </c>
      <c r="I13091" t="s">
        <v>29</v>
      </c>
      <c r="J13091" t="s">
        <v>30</v>
      </c>
      <c r="K13091" t="s">
        <v>39507</v>
      </c>
      <c r="M13091" t="s">
        <v>17861</v>
      </c>
      <c r="N13091" t="str">
        <f>"9/18/2019 3:47:00 PM"</f>
        <v>9/18/2019 3:47:00 PM</v>
      </c>
      <c r="O13091" t="s">
        <v>39504</v>
      </c>
      <c r="T13091" t="s">
        <v>39505</v>
      </c>
    </row>
    <row r="13092" spans="1:20" x14ac:dyDescent="0.25">
      <c r="A13092" t="str">
        <f>"3046718"</f>
        <v>3046718</v>
      </c>
      <c r="B13092" t="s">
        <v>39508</v>
      </c>
      <c r="C13092" t="str">
        <f>"8312081"</f>
        <v>8312081</v>
      </c>
      <c r="D13092" t="s">
        <v>39509</v>
      </c>
      <c r="E13092" t="s">
        <v>39510</v>
      </c>
      <c r="F13092" t="s">
        <v>39511</v>
      </c>
      <c r="I13092" t="s">
        <v>184</v>
      </c>
      <c r="J13092" t="s">
        <v>30</v>
      </c>
      <c r="K13092" t="s">
        <v>7850</v>
      </c>
      <c r="M13092" t="s">
        <v>17861</v>
      </c>
      <c r="N13092" t="str">
        <f>"9/18/2019 4:00:00 PM"</f>
        <v>9/18/2019 4:00:00 PM</v>
      </c>
      <c r="O13092" t="s">
        <v>39509</v>
      </c>
      <c r="T13092" t="s">
        <v>39510</v>
      </c>
    </row>
    <row r="13093" spans="1:20" x14ac:dyDescent="0.25">
      <c r="A13093" t="str">
        <f>"3049972"</f>
        <v>3049972</v>
      </c>
      <c r="B13093" t="s">
        <v>39512</v>
      </c>
      <c r="C13093" t="str">
        <f>"8312082"</f>
        <v>8312082</v>
      </c>
      <c r="D13093" t="s">
        <v>39513</v>
      </c>
      <c r="E13093" t="s">
        <v>39514</v>
      </c>
      <c r="F13093" t="s">
        <v>39515</v>
      </c>
      <c r="I13093" t="s">
        <v>29</v>
      </c>
      <c r="J13093" t="s">
        <v>30</v>
      </c>
      <c r="K13093" t="s">
        <v>13377</v>
      </c>
      <c r="M13093" t="s">
        <v>17861</v>
      </c>
      <c r="N13093" t="str">
        <f>"9/18/2019 4:03:00 PM"</f>
        <v>9/18/2019 4:03:00 PM</v>
      </c>
      <c r="O13093" t="s">
        <v>39513</v>
      </c>
      <c r="T13093" t="s">
        <v>39514</v>
      </c>
    </row>
    <row r="13094" spans="1:20" x14ac:dyDescent="0.25">
      <c r="A13094" t="str">
        <f>"3061553"</f>
        <v>3061553</v>
      </c>
      <c r="B13094" t="s">
        <v>39516</v>
      </c>
      <c r="C13094" t="str">
        <f>"8312200"</f>
        <v>8312200</v>
      </c>
      <c r="D13094" t="s">
        <v>39517</v>
      </c>
      <c r="F13094" t="s">
        <v>39518</v>
      </c>
      <c r="I13094" t="s">
        <v>184</v>
      </c>
      <c r="J13094" t="s">
        <v>30</v>
      </c>
      <c r="K13094" t="s">
        <v>34271</v>
      </c>
      <c r="M13094" t="s">
        <v>17861</v>
      </c>
      <c r="N13094" t="str">
        <f>"10/2/2019 3:24:00 PM"</f>
        <v>10/2/2019 3:24:00 PM</v>
      </c>
      <c r="O13094" t="s">
        <v>39517</v>
      </c>
    </row>
    <row r="13095" spans="1:20" x14ac:dyDescent="0.25">
      <c r="A13095" t="str">
        <f>"3047746"</f>
        <v>3047746</v>
      </c>
      <c r="B13095" t="s">
        <v>39519</v>
      </c>
      <c r="C13095" t="str">
        <f>"8312004"</f>
        <v>8312004</v>
      </c>
      <c r="D13095" t="s">
        <v>39520</v>
      </c>
      <c r="F13095" t="s">
        <v>39521</v>
      </c>
      <c r="I13095" t="s">
        <v>184</v>
      </c>
      <c r="J13095" t="s">
        <v>30</v>
      </c>
      <c r="K13095" t="s">
        <v>39522</v>
      </c>
      <c r="M13095" t="s">
        <v>17861</v>
      </c>
      <c r="N13095" t="str">
        <f>"9/4/2019 10:32:00 AM"</f>
        <v>9/4/2019 10:32:00 AM</v>
      </c>
      <c r="O13095" t="s">
        <v>39520</v>
      </c>
    </row>
    <row r="13096" spans="1:20" x14ac:dyDescent="0.25">
      <c r="A13096" t="str">
        <f>"3048755"</f>
        <v>3048755</v>
      </c>
      <c r="B13096" t="s">
        <v>39523</v>
      </c>
      <c r="C13096" t="str">
        <f>"8303030"</f>
        <v>8303030</v>
      </c>
      <c r="D13096" t="s">
        <v>39524</v>
      </c>
      <c r="E13096" t="s">
        <v>13242</v>
      </c>
      <c r="F13096" t="s">
        <v>39525</v>
      </c>
      <c r="I13096" t="s">
        <v>29</v>
      </c>
      <c r="J13096" t="s">
        <v>30</v>
      </c>
      <c r="K13096" t="str">
        <f>"27028"</f>
        <v>27028</v>
      </c>
      <c r="M13096" t="s">
        <v>33432</v>
      </c>
      <c r="N13096" t="str">
        <f>"10/3/2019 10:01:00 AM"</f>
        <v>10/3/2019 10:01:00 AM</v>
      </c>
      <c r="O13096" t="s">
        <v>39524</v>
      </c>
      <c r="T13096" t="s">
        <v>13242</v>
      </c>
    </row>
    <row r="13097" spans="1:20" x14ac:dyDescent="0.25">
      <c r="A13097" t="str">
        <f>"3042847"</f>
        <v>3042847</v>
      </c>
      <c r="B13097" t="s">
        <v>39526</v>
      </c>
      <c r="C13097" t="str">
        <f>"8312005"</f>
        <v>8312005</v>
      </c>
      <c r="D13097" t="s">
        <v>39527</v>
      </c>
      <c r="E13097" t="s">
        <v>39528</v>
      </c>
      <c r="F13097" t="s">
        <v>39529</v>
      </c>
      <c r="I13097" t="s">
        <v>29</v>
      </c>
      <c r="J13097" t="s">
        <v>30</v>
      </c>
      <c r="K13097" t="s">
        <v>2665</v>
      </c>
      <c r="M13097" t="s">
        <v>17861</v>
      </c>
      <c r="N13097" t="str">
        <f>"9/4/2019 11:11:00 AM"</f>
        <v>9/4/2019 11:11:00 AM</v>
      </c>
      <c r="O13097" t="s">
        <v>39527</v>
      </c>
      <c r="T13097" t="s">
        <v>39528</v>
      </c>
    </row>
    <row r="13098" spans="1:20" x14ac:dyDescent="0.25">
      <c r="A13098" t="str">
        <f>"3060034"</f>
        <v>3060034</v>
      </c>
      <c r="B13098" t="s">
        <v>39530</v>
      </c>
      <c r="C13098" t="str">
        <f>"8312207"</f>
        <v>8312207</v>
      </c>
      <c r="D13098" t="s">
        <v>39531</v>
      </c>
      <c r="F13098" t="s">
        <v>39532</v>
      </c>
      <c r="I13098" t="s">
        <v>184</v>
      </c>
      <c r="J13098" t="s">
        <v>30</v>
      </c>
      <c r="K13098" t="s">
        <v>39533</v>
      </c>
      <c r="M13098" t="s">
        <v>17861</v>
      </c>
      <c r="N13098" t="str">
        <f>"10/3/2019 12:41:00 PM"</f>
        <v>10/3/2019 12:41:00 PM</v>
      </c>
      <c r="O13098" t="s">
        <v>39531</v>
      </c>
    </row>
    <row r="13099" spans="1:20" x14ac:dyDescent="0.25">
      <c r="A13099" t="str">
        <f>"3039019"</f>
        <v>3039019</v>
      </c>
      <c r="B13099" t="s">
        <v>39534</v>
      </c>
      <c r="C13099" t="str">
        <f>"8310435"</f>
        <v>8310435</v>
      </c>
      <c r="D13099" t="s">
        <v>39535</v>
      </c>
      <c r="E13099" t="s">
        <v>39536</v>
      </c>
      <c r="F13099" t="s">
        <v>39537</v>
      </c>
      <c r="I13099" t="s">
        <v>29</v>
      </c>
      <c r="J13099" t="s">
        <v>30</v>
      </c>
      <c r="K13099" t="s">
        <v>572</v>
      </c>
      <c r="M13099" t="s">
        <v>17861</v>
      </c>
      <c r="N13099" t="str">
        <f>"9/4/2019 12:35:00 PM"</f>
        <v>9/4/2019 12:35:00 PM</v>
      </c>
      <c r="O13099" t="s">
        <v>39535</v>
      </c>
      <c r="T13099" t="s">
        <v>39536</v>
      </c>
    </row>
    <row r="13100" spans="1:20" x14ac:dyDescent="0.25">
      <c r="A13100" t="str">
        <f>"3061067"</f>
        <v>3061067</v>
      </c>
      <c r="B13100" t="s">
        <v>39538</v>
      </c>
      <c r="C13100" t="str">
        <f>"8312103"</f>
        <v>8312103</v>
      </c>
      <c r="D13100" t="s">
        <v>39539</v>
      </c>
      <c r="E13100" t="s">
        <v>39540</v>
      </c>
      <c r="F13100" t="s">
        <v>39541</v>
      </c>
      <c r="I13100" t="s">
        <v>184</v>
      </c>
      <c r="J13100" t="s">
        <v>30</v>
      </c>
      <c r="K13100" t="s">
        <v>39172</v>
      </c>
      <c r="M13100" t="s">
        <v>17861</v>
      </c>
      <c r="N13100" t="str">
        <f>"9/20/2019 12:55:00 PM"</f>
        <v>9/20/2019 12:55:00 PM</v>
      </c>
      <c r="O13100" t="s">
        <v>39539</v>
      </c>
      <c r="T13100" t="s">
        <v>39540</v>
      </c>
    </row>
    <row r="13101" spans="1:20" x14ac:dyDescent="0.25">
      <c r="A13101" t="str">
        <f>"3090213"</f>
        <v>3090213</v>
      </c>
      <c r="B13101" t="s">
        <v>39542</v>
      </c>
      <c r="C13101" t="str">
        <f>"8312105"</f>
        <v>8312105</v>
      </c>
      <c r="D13101" t="s">
        <v>39543</v>
      </c>
      <c r="E13101" t="s">
        <v>39544</v>
      </c>
      <c r="F13101" t="s">
        <v>39545</v>
      </c>
      <c r="I13101" t="s">
        <v>29</v>
      </c>
      <c r="J13101" t="s">
        <v>30</v>
      </c>
      <c r="K13101" t="s">
        <v>18998</v>
      </c>
      <c r="M13101" t="s">
        <v>17861</v>
      </c>
      <c r="N13101" t="str">
        <f>"9/20/2019 3:10:00 PM"</f>
        <v>9/20/2019 3:10:00 PM</v>
      </c>
      <c r="O13101" t="s">
        <v>39543</v>
      </c>
      <c r="T13101" t="s">
        <v>39544</v>
      </c>
    </row>
    <row r="13102" spans="1:20" x14ac:dyDescent="0.25">
      <c r="A13102" t="str">
        <f>"3039104"</f>
        <v>3039104</v>
      </c>
      <c r="B13102" t="s">
        <v>39546</v>
      </c>
      <c r="C13102" t="str">
        <f>"8312106"</f>
        <v>8312106</v>
      </c>
      <c r="D13102" t="s">
        <v>39547</v>
      </c>
      <c r="E13102" t="s">
        <v>39548</v>
      </c>
      <c r="F13102" t="s">
        <v>39549</v>
      </c>
      <c r="I13102" t="s">
        <v>29</v>
      </c>
      <c r="J13102" t="s">
        <v>30</v>
      </c>
      <c r="K13102" t="s">
        <v>1056</v>
      </c>
      <c r="M13102" t="s">
        <v>17861</v>
      </c>
      <c r="N13102" t="str">
        <f>"9/20/2019 3:14:00 PM"</f>
        <v>9/20/2019 3:14:00 PM</v>
      </c>
      <c r="O13102" t="s">
        <v>39547</v>
      </c>
      <c r="T13102" t="s">
        <v>39548</v>
      </c>
    </row>
    <row r="13103" spans="1:20" x14ac:dyDescent="0.25">
      <c r="A13103" t="str">
        <f>"3066718"</f>
        <v>3066718</v>
      </c>
      <c r="B13103" t="s">
        <v>39550</v>
      </c>
      <c r="C13103" t="str">
        <f>"8312126"</f>
        <v>8312126</v>
      </c>
      <c r="D13103" t="s">
        <v>5513</v>
      </c>
      <c r="F13103" t="s">
        <v>39551</v>
      </c>
      <c r="I13103" t="s">
        <v>29</v>
      </c>
      <c r="J13103" t="s">
        <v>30</v>
      </c>
      <c r="K13103" t="s">
        <v>11199</v>
      </c>
      <c r="M13103" t="s">
        <v>17861</v>
      </c>
      <c r="N13103" t="str">
        <f>"9/24/2019 3:23:00 PM"</f>
        <v>9/24/2019 3:23:00 PM</v>
      </c>
      <c r="O13103" t="s">
        <v>5513</v>
      </c>
    </row>
    <row r="13104" spans="1:20" x14ac:dyDescent="0.25">
      <c r="A13104" t="str">
        <f>"3059173"</f>
        <v>3059173</v>
      </c>
      <c r="B13104" t="s">
        <v>39552</v>
      </c>
      <c r="C13104" t="str">
        <f>"8312222"</f>
        <v>8312222</v>
      </c>
      <c r="D13104" t="s">
        <v>39553</v>
      </c>
      <c r="F13104" t="s">
        <v>39554</v>
      </c>
      <c r="I13104" t="s">
        <v>29</v>
      </c>
      <c r="J13104" t="s">
        <v>30</v>
      </c>
      <c r="K13104" t="s">
        <v>39555</v>
      </c>
      <c r="M13104" t="s">
        <v>17861</v>
      </c>
      <c r="N13104" t="str">
        <f>"10/3/2019 2:18:00 PM"</f>
        <v>10/3/2019 2:18:00 PM</v>
      </c>
      <c r="O13104" t="s">
        <v>39553</v>
      </c>
    </row>
    <row r="13105" spans="1:20" x14ac:dyDescent="0.25">
      <c r="A13105" t="str">
        <f>"3060524"</f>
        <v>3060524</v>
      </c>
      <c r="B13105" t="s">
        <v>39556</v>
      </c>
      <c r="C13105" t="str">
        <f>"8312128"</f>
        <v>8312128</v>
      </c>
      <c r="D13105" t="str">
        <f>"WILLIAMS DAVID/TERESA REV LIV TRST"</f>
        <v>WILLIAMS DAVID/TERESA REV LIV TRST</v>
      </c>
      <c r="E13105" t="str">
        <f>"WILLIAMS DAVID/TERESA CO-TRTES"</f>
        <v>WILLIAMS DAVID/TERESA CO-TRTES</v>
      </c>
      <c r="F13105" t="s">
        <v>39557</v>
      </c>
      <c r="I13105" t="s">
        <v>184</v>
      </c>
      <c r="J13105" t="s">
        <v>30</v>
      </c>
      <c r="K13105" t="s">
        <v>9158</v>
      </c>
      <c r="M13105" t="s">
        <v>17861</v>
      </c>
      <c r="N13105" t="str">
        <f>"9/24/2019 3:38:00 PM"</f>
        <v>9/24/2019 3:38:00 PM</v>
      </c>
      <c r="O13105" t="str">
        <f>"WILLIAMS DAVID/TERESA REV LIV TRST"</f>
        <v>WILLIAMS DAVID/TERESA REV LIV TRST</v>
      </c>
      <c r="T13105" t="str">
        <f>"WILLIAMS DAVID/TERESA CO-TRTES"</f>
        <v>WILLIAMS DAVID/TERESA CO-TRTES</v>
      </c>
    </row>
    <row r="13106" spans="1:20" x14ac:dyDescent="0.25">
      <c r="A13106" t="str">
        <f>"3047579"</f>
        <v>3047579</v>
      </c>
      <c r="B13106" t="s">
        <v>39558</v>
      </c>
      <c r="C13106" t="str">
        <f>"82532432"</f>
        <v>82532432</v>
      </c>
      <c r="D13106" t="s">
        <v>39559</v>
      </c>
      <c r="E13106" t="s">
        <v>39560</v>
      </c>
      <c r="F13106" t="s">
        <v>39561</v>
      </c>
      <c r="I13106" t="s">
        <v>1149</v>
      </c>
      <c r="J13106" t="s">
        <v>30</v>
      </c>
      <c r="K13106" t="s">
        <v>1150</v>
      </c>
      <c r="M13106" t="s">
        <v>34475</v>
      </c>
      <c r="N13106" t="str">
        <f>"9/26/2019 10:55:00 AM"</f>
        <v>9/26/2019 10:55:00 AM</v>
      </c>
      <c r="O13106" t="s">
        <v>39559</v>
      </c>
      <c r="T13106" t="s">
        <v>39560</v>
      </c>
    </row>
    <row r="13107" spans="1:20" x14ac:dyDescent="0.25">
      <c r="A13107" t="str">
        <f>"3060684"</f>
        <v>3060684</v>
      </c>
      <c r="B13107" t="s">
        <v>39562</v>
      </c>
      <c r="C13107" t="str">
        <f>"8312229"</f>
        <v>8312229</v>
      </c>
      <c r="D13107" t="s">
        <v>39563</v>
      </c>
      <c r="E13107" t="s">
        <v>39564</v>
      </c>
      <c r="F13107" t="s">
        <v>39565</v>
      </c>
      <c r="I13107" t="s">
        <v>2071</v>
      </c>
      <c r="J13107" t="s">
        <v>30</v>
      </c>
      <c r="K13107" t="s">
        <v>6342</v>
      </c>
      <c r="M13107" t="s">
        <v>17861</v>
      </c>
      <c r="N13107" t="str">
        <f>"10/3/2019 3:46:00 PM"</f>
        <v>10/3/2019 3:46:00 PM</v>
      </c>
      <c r="O13107" t="s">
        <v>39563</v>
      </c>
      <c r="T13107" t="s">
        <v>39564</v>
      </c>
    </row>
    <row r="13108" spans="1:20" x14ac:dyDescent="0.25">
      <c r="A13108" t="str">
        <f>"3057784"</f>
        <v>3057784</v>
      </c>
      <c r="B13108" t="s">
        <v>39566</v>
      </c>
      <c r="C13108" t="str">
        <f>"8312230"</f>
        <v>8312230</v>
      </c>
      <c r="D13108" t="s">
        <v>39567</v>
      </c>
      <c r="E13108" t="str">
        <f>"BERMUDEZ DAVID T SR/SUZANNE B"</f>
        <v>BERMUDEZ DAVID T SR/SUZANNE B</v>
      </c>
      <c r="F13108" t="s">
        <v>39568</v>
      </c>
      <c r="I13108" t="s">
        <v>29</v>
      </c>
      <c r="J13108" t="s">
        <v>30</v>
      </c>
      <c r="K13108" t="s">
        <v>9780</v>
      </c>
      <c r="M13108" t="s">
        <v>17861</v>
      </c>
      <c r="N13108" t="str">
        <f>"10/4/2019 8:23:00 AM"</f>
        <v>10/4/2019 8:23:00 AM</v>
      </c>
      <c r="O13108" t="s">
        <v>39567</v>
      </c>
      <c r="T13108" t="str">
        <f>"BERMUDEZ DAVID T SR/SUZANNE B"</f>
        <v>BERMUDEZ DAVID T SR/SUZANNE B</v>
      </c>
    </row>
    <row r="13109" spans="1:20" x14ac:dyDescent="0.25">
      <c r="A13109" t="str">
        <f>"3050852"</f>
        <v>3050852</v>
      </c>
      <c r="B13109" t="s">
        <v>39569</v>
      </c>
      <c r="C13109" t="str">
        <f>"8312231"</f>
        <v>8312231</v>
      </c>
      <c r="D13109" t="s">
        <v>39570</v>
      </c>
      <c r="F13109" t="s">
        <v>39571</v>
      </c>
      <c r="I13109" t="s">
        <v>184</v>
      </c>
      <c r="J13109" t="s">
        <v>30</v>
      </c>
      <c r="K13109" t="s">
        <v>14194</v>
      </c>
      <c r="M13109" t="s">
        <v>17861</v>
      </c>
      <c r="N13109" t="str">
        <f>"10/4/2019 8:30:00 AM"</f>
        <v>10/4/2019 8:30:00 AM</v>
      </c>
      <c r="O13109" t="s">
        <v>39570</v>
      </c>
    </row>
    <row r="13110" spans="1:20" x14ac:dyDescent="0.25">
      <c r="A13110" t="str">
        <f>"3039027"</f>
        <v>3039027</v>
      </c>
      <c r="B13110" t="s">
        <v>39572</v>
      </c>
      <c r="C13110" t="str">
        <f>"8312232"</f>
        <v>8312232</v>
      </c>
      <c r="D13110" t="s">
        <v>39573</v>
      </c>
      <c r="E13110" t="s">
        <v>39574</v>
      </c>
      <c r="F13110" t="s">
        <v>39575</v>
      </c>
      <c r="I13110" t="s">
        <v>29</v>
      </c>
      <c r="J13110" t="s">
        <v>30</v>
      </c>
      <c r="K13110" t="s">
        <v>488</v>
      </c>
      <c r="M13110" t="s">
        <v>17861</v>
      </c>
      <c r="N13110" t="str">
        <f>"10/4/2019 10:03:00 AM"</f>
        <v>10/4/2019 10:03:00 AM</v>
      </c>
      <c r="O13110" t="s">
        <v>39573</v>
      </c>
      <c r="T13110" t="s">
        <v>39574</v>
      </c>
    </row>
    <row r="13111" spans="1:20" x14ac:dyDescent="0.25">
      <c r="A13111" t="str">
        <f>"3054480"</f>
        <v>3054480</v>
      </c>
      <c r="B13111" t="s">
        <v>39576</v>
      </c>
      <c r="C13111" t="str">
        <f>"8312233"</f>
        <v>8312233</v>
      </c>
      <c r="D13111" t="s">
        <v>39577</v>
      </c>
      <c r="E13111" t="s">
        <v>39578</v>
      </c>
      <c r="F13111" t="s">
        <v>39579</v>
      </c>
      <c r="I13111" t="s">
        <v>29</v>
      </c>
      <c r="J13111" t="s">
        <v>30</v>
      </c>
      <c r="K13111" t="s">
        <v>39580</v>
      </c>
      <c r="M13111" t="s">
        <v>17861</v>
      </c>
      <c r="N13111" t="str">
        <f>"10/4/2019 10:36:00 AM"</f>
        <v>10/4/2019 10:36:00 AM</v>
      </c>
      <c r="O13111" t="s">
        <v>39577</v>
      </c>
      <c r="T13111" t="s">
        <v>39578</v>
      </c>
    </row>
    <row r="13112" spans="1:20" x14ac:dyDescent="0.25">
      <c r="A13112" t="str">
        <f>"3054997"</f>
        <v>3054997</v>
      </c>
      <c r="B13112" t="s">
        <v>39581</v>
      </c>
      <c r="C13112" t="str">
        <f>"8312236"</f>
        <v>8312236</v>
      </c>
      <c r="D13112" t="s">
        <v>39582</v>
      </c>
      <c r="E13112" t="s">
        <v>39583</v>
      </c>
      <c r="F13112" t="s">
        <v>39584</v>
      </c>
      <c r="I13112" t="s">
        <v>29</v>
      </c>
      <c r="J13112" t="s">
        <v>30</v>
      </c>
      <c r="K13112" t="s">
        <v>15371</v>
      </c>
      <c r="M13112" t="s">
        <v>17861</v>
      </c>
      <c r="N13112" t="str">
        <f>"10/4/2019 10:54:00 AM"</f>
        <v>10/4/2019 10:54:00 AM</v>
      </c>
      <c r="O13112" t="s">
        <v>39582</v>
      </c>
      <c r="T13112" t="s">
        <v>39583</v>
      </c>
    </row>
    <row r="13113" spans="1:20" x14ac:dyDescent="0.25">
      <c r="A13113" t="str">
        <f>"3064563"</f>
        <v>3064563</v>
      </c>
      <c r="B13113" t="s">
        <v>39585</v>
      </c>
      <c r="C13113" t="str">
        <f>"8312238"</f>
        <v>8312238</v>
      </c>
      <c r="D13113" t="s">
        <v>39586</v>
      </c>
      <c r="F13113" t="s">
        <v>39587</v>
      </c>
      <c r="I13113" t="s">
        <v>29</v>
      </c>
      <c r="J13113" t="s">
        <v>30</v>
      </c>
      <c r="K13113" t="s">
        <v>39588</v>
      </c>
      <c r="M13113" t="s">
        <v>17861</v>
      </c>
      <c r="N13113" t="str">
        <f>"10/4/2019 11:00:00 AM"</f>
        <v>10/4/2019 11:00:00 AM</v>
      </c>
      <c r="O13113" t="s">
        <v>39586</v>
      </c>
    </row>
    <row r="13114" spans="1:20" x14ac:dyDescent="0.25">
      <c r="A13114" t="str">
        <f>"3042696"</f>
        <v>3042696</v>
      </c>
      <c r="B13114" t="s">
        <v>39589</v>
      </c>
      <c r="C13114" t="str">
        <f>"82527515"</f>
        <v>82527515</v>
      </c>
      <c r="D13114" t="s">
        <v>39590</v>
      </c>
      <c r="E13114" t="s">
        <v>39591</v>
      </c>
      <c r="F13114" t="s">
        <v>39592</v>
      </c>
      <c r="I13114" t="s">
        <v>29</v>
      </c>
      <c r="J13114" t="s">
        <v>30</v>
      </c>
      <c r="K13114" t="s">
        <v>37538</v>
      </c>
      <c r="M13114" t="s">
        <v>33432</v>
      </c>
      <c r="N13114" t="str">
        <f>"9/26/2019 2:54:00 PM"</f>
        <v>9/26/2019 2:54:00 PM</v>
      </c>
      <c r="O13114" t="s">
        <v>39590</v>
      </c>
      <c r="T13114" t="s">
        <v>39591</v>
      </c>
    </row>
    <row r="13115" spans="1:20" x14ac:dyDescent="0.25">
      <c r="A13115" t="str">
        <f>"3062932"</f>
        <v>3062932</v>
      </c>
      <c r="B13115" t="s">
        <v>39593</v>
      </c>
      <c r="C13115" t="str">
        <f>"8312241"</f>
        <v>8312241</v>
      </c>
      <c r="D13115" t="s">
        <v>39594</v>
      </c>
      <c r="F13115" t="s">
        <v>39595</v>
      </c>
      <c r="I13115" t="s">
        <v>29</v>
      </c>
      <c r="J13115" t="s">
        <v>30</v>
      </c>
      <c r="K13115" t="s">
        <v>39596</v>
      </c>
      <c r="M13115" t="s">
        <v>17861</v>
      </c>
      <c r="N13115" t="str">
        <f>"10/7/2019 9:18:00 AM"</f>
        <v>10/7/2019 9:18:00 AM</v>
      </c>
      <c r="O13115" t="s">
        <v>39594</v>
      </c>
    </row>
    <row r="13116" spans="1:20" x14ac:dyDescent="0.25">
      <c r="A13116" t="str">
        <f>"3063853"</f>
        <v>3063853</v>
      </c>
      <c r="B13116" t="s">
        <v>39597</v>
      </c>
      <c r="C13116" t="str">
        <f>"8303357"</f>
        <v>8303357</v>
      </c>
      <c r="D13116" t="s">
        <v>39598</v>
      </c>
      <c r="F13116" t="s">
        <v>39599</v>
      </c>
      <c r="I13116" t="s">
        <v>29</v>
      </c>
      <c r="J13116" t="s">
        <v>30</v>
      </c>
      <c r="K13116" t="s">
        <v>5281</v>
      </c>
      <c r="M13116" t="s">
        <v>34475</v>
      </c>
      <c r="N13116" t="str">
        <f>"9/27/2019 12:42:00 PM"</f>
        <v>9/27/2019 12:42:00 PM</v>
      </c>
      <c r="O13116" t="s">
        <v>39598</v>
      </c>
    </row>
    <row r="13117" spans="1:20" x14ac:dyDescent="0.25">
      <c r="A13117" t="str">
        <f>"3037182"</f>
        <v>3037182</v>
      </c>
      <c r="B13117" t="s">
        <v>39600</v>
      </c>
      <c r="C13117" t="str">
        <f>"8312248"</f>
        <v>8312248</v>
      </c>
      <c r="D13117" t="s">
        <v>39601</v>
      </c>
      <c r="E13117" t="s">
        <v>39602</v>
      </c>
      <c r="F13117" t="s">
        <v>39603</v>
      </c>
      <c r="I13117" t="s">
        <v>184</v>
      </c>
      <c r="J13117" t="s">
        <v>30</v>
      </c>
      <c r="K13117" t="s">
        <v>734</v>
      </c>
      <c r="M13117" t="s">
        <v>17861</v>
      </c>
      <c r="N13117" t="str">
        <f>"10/7/2019 11:06:00 AM"</f>
        <v>10/7/2019 11:06:00 AM</v>
      </c>
      <c r="O13117" t="s">
        <v>39601</v>
      </c>
      <c r="T13117" t="s">
        <v>39602</v>
      </c>
    </row>
    <row r="13118" spans="1:20" x14ac:dyDescent="0.25">
      <c r="A13118" t="str">
        <f>"3043383"</f>
        <v>3043383</v>
      </c>
      <c r="B13118" t="s">
        <v>39604</v>
      </c>
      <c r="C13118" t="str">
        <f>"8312170"</f>
        <v>8312170</v>
      </c>
      <c r="D13118" t="s">
        <v>39605</v>
      </c>
      <c r="E13118" t="s">
        <v>39606</v>
      </c>
      <c r="F13118" t="s">
        <v>39607</v>
      </c>
      <c r="I13118" t="s">
        <v>29</v>
      </c>
      <c r="J13118" t="s">
        <v>30</v>
      </c>
      <c r="K13118" t="s">
        <v>35044</v>
      </c>
      <c r="M13118" t="s">
        <v>17861</v>
      </c>
      <c r="N13118" t="str">
        <f>"9/27/2019 4:05:00 PM"</f>
        <v>9/27/2019 4:05:00 PM</v>
      </c>
      <c r="O13118" t="s">
        <v>39605</v>
      </c>
      <c r="T13118" t="s">
        <v>39606</v>
      </c>
    </row>
    <row r="13119" spans="1:20" x14ac:dyDescent="0.25">
      <c r="A13119" t="str">
        <f>"3060992"</f>
        <v>3060992</v>
      </c>
      <c r="B13119" t="s">
        <v>39608</v>
      </c>
      <c r="C13119" t="str">
        <f>"8312171"</f>
        <v>8312171</v>
      </c>
      <c r="D13119" t="s">
        <v>39609</v>
      </c>
      <c r="E13119" t="s">
        <v>39610</v>
      </c>
      <c r="F13119" t="s">
        <v>39611</v>
      </c>
      <c r="I13119" t="s">
        <v>2071</v>
      </c>
      <c r="J13119" t="s">
        <v>30</v>
      </c>
      <c r="K13119" t="str">
        <f>"27006"</f>
        <v>27006</v>
      </c>
      <c r="M13119" t="s">
        <v>17861</v>
      </c>
      <c r="N13119" t="str">
        <f>"9/27/2019 4:16:00 PM"</f>
        <v>9/27/2019 4:16:00 PM</v>
      </c>
      <c r="O13119" t="s">
        <v>39609</v>
      </c>
      <c r="T13119" t="s">
        <v>39610</v>
      </c>
    </row>
    <row r="13120" spans="1:20" x14ac:dyDescent="0.25">
      <c r="A13120" t="str">
        <f>"3044836"</f>
        <v>3044836</v>
      </c>
      <c r="B13120" t="s">
        <v>39612</v>
      </c>
      <c r="C13120" t="str">
        <f>"8312173"</f>
        <v>8312173</v>
      </c>
      <c r="D13120" t="s">
        <v>39613</v>
      </c>
      <c r="F13120" t="s">
        <v>39614</v>
      </c>
      <c r="I13120" t="s">
        <v>184</v>
      </c>
      <c r="J13120" t="s">
        <v>30</v>
      </c>
      <c r="K13120" t="s">
        <v>39615</v>
      </c>
      <c r="M13120" t="s">
        <v>17861</v>
      </c>
      <c r="N13120" t="str">
        <f>"9/27/2019 4:20:00 PM"</f>
        <v>9/27/2019 4:20:00 PM</v>
      </c>
      <c r="O13120" t="s">
        <v>39613</v>
      </c>
    </row>
    <row r="13121" spans="1:20" x14ac:dyDescent="0.25">
      <c r="A13121" t="str">
        <f>"3054435"</f>
        <v>3054435</v>
      </c>
      <c r="B13121" t="s">
        <v>39616</v>
      </c>
      <c r="C13121" t="str">
        <f>"8312175"</f>
        <v>8312175</v>
      </c>
      <c r="D13121" t="s">
        <v>39617</v>
      </c>
      <c r="F13121" t="s">
        <v>39618</v>
      </c>
      <c r="I13121" t="s">
        <v>29</v>
      </c>
      <c r="J13121" t="s">
        <v>30</v>
      </c>
      <c r="K13121" t="s">
        <v>37236</v>
      </c>
      <c r="M13121" t="s">
        <v>17861</v>
      </c>
      <c r="N13121" t="str">
        <f>"9/27/2019 4:24:00 PM"</f>
        <v>9/27/2019 4:24:00 PM</v>
      </c>
      <c r="O13121" t="s">
        <v>39617</v>
      </c>
    </row>
    <row r="13122" spans="1:20" x14ac:dyDescent="0.25">
      <c r="A13122" t="str">
        <f>"3063277"</f>
        <v>3063277</v>
      </c>
      <c r="B13122" t="s">
        <v>39619</v>
      </c>
      <c r="C13122" t="str">
        <f>"8312183"</f>
        <v>8312183</v>
      </c>
      <c r="D13122" t="s">
        <v>39620</v>
      </c>
      <c r="F13122" t="s">
        <v>39621</v>
      </c>
      <c r="I13122" t="s">
        <v>39622</v>
      </c>
      <c r="J13122" t="s">
        <v>30</v>
      </c>
      <c r="K13122" t="str">
        <f>"27596"</f>
        <v>27596</v>
      </c>
      <c r="M13122" t="s">
        <v>17861</v>
      </c>
      <c r="N13122" t="str">
        <f>"10/1/2019 11:24:00 AM"</f>
        <v>10/1/2019 11:24:00 AM</v>
      </c>
      <c r="O13122" t="s">
        <v>39620</v>
      </c>
    </row>
    <row r="13123" spans="1:20" x14ac:dyDescent="0.25">
      <c r="A13123" t="str">
        <f>"3071487"</f>
        <v>3071487</v>
      </c>
      <c r="B13123" t="s">
        <v>39623</v>
      </c>
      <c r="C13123" t="str">
        <f>"8312284"</f>
        <v>8312284</v>
      </c>
      <c r="D13123" t="s">
        <v>39624</v>
      </c>
      <c r="F13123" t="s">
        <v>32804</v>
      </c>
      <c r="I13123" t="s">
        <v>184</v>
      </c>
      <c r="J13123" t="s">
        <v>30</v>
      </c>
      <c r="K13123" t="s">
        <v>32805</v>
      </c>
      <c r="M13123" t="s">
        <v>17861</v>
      </c>
      <c r="N13123" t="str">
        <f>"10/8/2019 3:16:00 PM"</f>
        <v>10/8/2019 3:16:00 PM</v>
      </c>
      <c r="O13123" t="s">
        <v>39624</v>
      </c>
    </row>
    <row r="13124" spans="1:20" x14ac:dyDescent="0.25">
      <c r="A13124" t="str">
        <f>"3049541"</f>
        <v>3049541</v>
      </c>
      <c r="B13124" t="s">
        <v>39625</v>
      </c>
      <c r="C13124" t="str">
        <f>"8312286"</f>
        <v>8312286</v>
      </c>
      <c r="D13124" t="s">
        <v>39626</v>
      </c>
      <c r="E13124" t="s">
        <v>39627</v>
      </c>
      <c r="F13124" t="s">
        <v>39628</v>
      </c>
      <c r="I13124" t="s">
        <v>184</v>
      </c>
      <c r="J13124" t="s">
        <v>30</v>
      </c>
      <c r="K13124" t="s">
        <v>5531</v>
      </c>
      <c r="M13124" t="s">
        <v>17861</v>
      </c>
      <c r="N13124" t="str">
        <f>"10/8/2019 3:44:00 PM"</f>
        <v>10/8/2019 3:44:00 PM</v>
      </c>
      <c r="O13124" t="s">
        <v>39626</v>
      </c>
      <c r="T13124" t="s">
        <v>39627</v>
      </c>
    </row>
    <row r="13125" spans="1:20" x14ac:dyDescent="0.25">
      <c r="A13125" t="str">
        <f>"3050397"</f>
        <v>3050397</v>
      </c>
      <c r="B13125" t="s">
        <v>39629</v>
      </c>
      <c r="C13125" t="str">
        <f>"8312288"</f>
        <v>8312288</v>
      </c>
      <c r="D13125" t="s">
        <v>39630</v>
      </c>
      <c r="F13125" t="s">
        <v>39631</v>
      </c>
      <c r="I13125" t="s">
        <v>184</v>
      </c>
      <c r="J13125" t="s">
        <v>30</v>
      </c>
      <c r="K13125" t="s">
        <v>39632</v>
      </c>
      <c r="M13125" t="s">
        <v>17861</v>
      </c>
      <c r="N13125" t="str">
        <f>"10/8/2019 3:46:00 PM"</f>
        <v>10/8/2019 3:46:00 PM</v>
      </c>
      <c r="O13125" t="s">
        <v>39630</v>
      </c>
    </row>
    <row r="13126" spans="1:20" x14ac:dyDescent="0.25">
      <c r="A13126" t="str">
        <f>"3048831"</f>
        <v>3048831</v>
      </c>
      <c r="B13126" t="s">
        <v>39633</v>
      </c>
      <c r="C13126" t="str">
        <f>"8312196"</f>
        <v>8312196</v>
      </c>
      <c r="D13126" t="s">
        <v>39634</v>
      </c>
      <c r="F13126" t="s">
        <v>39635</v>
      </c>
      <c r="I13126" t="s">
        <v>14865</v>
      </c>
      <c r="J13126" t="s">
        <v>30</v>
      </c>
      <c r="K13126" t="s">
        <v>39636</v>
      </c>
      <c r="M13126" t="s">
        <v>17861</v>
      </c>
      <c r="N13126" t="str">
        <f>"10/2/2019 1:02:00 PM"</f>
        <v>10/2/2019 1:02:00 PM</v>
      </c>
      <c r="O13126" t="s">
        <v>39634</v>
      </c>
    </row>
    <row r="13127" spans="1:20" x14ac:dyDescent="0.25">
      <c r="A13127" t="str">
        <f>"3039858"</f>
        <v>3039858</v>
      </c>
      <c r="B13127" t="s">
        <v>39637</v>
      </c>
      <c r="C13127" t="str">
        <f>"8312201"</f>
        <v>8312201</v>
      </c>
      <c r="D13127" t="s">
        <v>2886</v>
      </c>
      <c r="E13127" t="s">
        <v>39638</v>
      </c>
      <c r="F13127" t="s">
        <v>39639</v>
      </c>
      <c r="I13127" t="s">
        <v>184</v>
      </c>
      <c r="J13127" t="s">
        <v>30</v>
      </c>
      <c r="K13127" t="s">
        <v>39640</v>
      </c>
      <c r="M13127" t="s">
        <v>25625</v>
      </c>
      <c r="N13127" t="str">
        <f>"10/10/2019 9:09:00 AM"</f>
        <v>10/10/2019 9:09:00 AM</v>
      </c>
      <c r="O13127" t="s">
        <v>2886</v>
      </c>
      <c r="T13127" t="s">
        <v>39638</v>
      </c>
    </row>
    <row r="13128" spans="1:20" x14ac:dyDescent="0.25">
      <c r="A13128" t="str">
        <f>"3048807"</f>
        <v>3048807</v>
      </c>
      <c r="B13128" t="s">
        <v>39641</v>
      </c>
      <c r="C13128" t="str">
        <f>"82523032"</f>
        <v>82523032</v>
      </c>
      <c r="D13128" t="s">
        <v>39642</v>
      </c>
      <c r="F13128" t="s">
        <v>39643</v>
      </c>
      <c r="I13128" t="s">
        <v>29</v>
      </c>
      <c r="J13128" t="s">
        <v>30</v>
      </c>
      <c r="K13128" t="s">
        <v>39644</v>
      </c>
      <c r="M13128" t="s">
        <v>33432</v>
      </c>
      <c r="N13128" t="str">
        <f>"10/2/2019 2:06:00 PM"</f>
        <v>10/2/2019 2:06:00 PM</v>
      </c>
      <c r="O13128" t="s">
        <v>39642</v>
      </c>
    </row>
    <row r="13129" spans="1:20" x14ac:dyDescent="0.25">
      <c r="A13129" t="str">
        <f>"3052938"</f>
        <v>3052938</v>
      </c>
      <c r="B13129" t="s">
        <v>39645</v>
      </c>
      <c r="C13129" t="str">
        <f>"8312305"</f>
        <v>8312305</v>
      </c>
      <c r="D13129" t="s">
        <v>38884</v>
      </c>
      <c r="E13129" t="s">
        <v>39646</v>
      </c>
      <c r="F13129" t="s">
        <v>39647</v>
      </c>
      <c r="I13129" t="s">
        <v>29</v>
      </c>
      <c r="J13129" t="s">
        <v>30</v>
      </c>
      <c r="K13129" t="s">
        <v>14829</v>
      </c>
      <c r="M13129" t="s">
        <v>17861</v>
      </c>
      <c r="N13129" t="str">
        <f>"10/11/2019 2:04:00 PM"</f>
        <v>10/11/2019 2:04:00 PM</v>
      </c>
      <c r="O13129" t="s">
        <v>38884</v>
      </c>
      <c r="T13129" t="s">
        <v>39646</v>
      </c>
    </row>
    <row r="13130" spans="1:20" x14ac:dyDescent="0.25">
      <c r="A13130" t="str">
        <f>"3041191"</f>
        <v>3041191</v>
      </c>
      <c r="B13130" t="s">
        <v>39648</v>
      </c>
      <c r="C13130" t="str">
        <f>"8312306"</f>
        <v>8312306</v>
      </c>
      <c r="D13130" t="s">
        <v>39649</v>
      </c>
      <c r="E13130" t="s">
        <v>39650</v>
      </c>
      <c r="F13130" t="s">
        <v>39651</v>
      </c>
      <c r="I13130" t="s">
        <v>2071</v>
      </c>
      <c r="J13130" t="s">
        <v>30</v>
      </c>
      <c r="K13130" t="s">
        <v>39652</v>
      </c>
      <c r="M13130" t="s">
        <v>17861</v>
      </c>
      <c r="N13130" t="str">
        <f>"10/11/2019 2:09:00 PM"</f>
        <v>10/11/2019 2:09:00 PM</v>
      </c>
      <c r="O13130" t="s">
        <v>39649</v>
      </c>
      <c r="T13130" t="s">
        <v>39650</v>
      </c>
    </row>
    <row r="13131" spans="1:20" x14ac:dyDescent="0.25">
      <c r="A13131" t="str">
        <f>"3052398"</f>
        <v>3052398</v>
      </c>
      <c r="B13131" t="s">
        <v>39653</v>
      </c>
      <c r="C13131" t="str">
        <f>"8312307"</f>
        <v>8312307</v>
      </c>
      <c r="D13131" t="s">
        <v>39654</v>
      </c>
      <c r="F13131" t="s">
        <v>39655</v>
      </c>
      <c r="I13131" t="s">
        <v>29</v>
      </c>
      <c r="J13131" t="s">
        <v>30</v>
      </c>
      <c r="K13131" t="s">
        <v>39656</v>
      </c>
      <c r="M13131" t="s">
        <v>17861</v>
      </c>
      <c r="N13131" t="str">
        <f>"10/11/2019 2:12:00 PM"</f>
        <v>10/11/2019 2:12:00 PM</v>
      </c>
      <c r="O13131" t="s">
        <v>39654</v>
      </c>
    </row>
    <row r="13132" spans="1:20" x14ac:dyDescent="0.25">
      <c r="A13132" t="str">
        <f>"3061483"</f>
        <v>3061483</v>
      </c>
      <c r="B13132" t="s">
        <v>39657</v>
      </c>
      <c r="C13132" t="str">
        <f>"8312309"</f>
        <v>8312309</v>
      </c>
      <c r="D13132" t="s">
        <v>39658</v>
      </c>
      <c r="E13132" t="s">
        <v>39659</v>
      </c>
      <c r="F13132" t="s">
        <v>39660</v>
      </c>
      <c r="I13132" t="s">
        <v>184</v>
      </c>
      <c r="J13132" t="s">
        <v>30</v>
      </c>
      <c r="K13132" t="s">
        <v>38093</v>
      </c>
      <c r="M13132" t="s">
        <v>17861</v>
      </c>
      <c r="N13132" t="str">
        <f>"10/11/2019 2:34:00 PM"</f>
        <v>10/11/2019 2:34:00 PM</v>
      </c>
      <c r="O13132" t="s">
        <v>39658</v>
      </c>
      <c r="T13132" t="s">
        <v>39659</v>
      </c>
    </row>
    <row r="13133" spans="1:20" x14ac:dyDescent="0.25">
      <c r="A13133" t="str">
        <f>"3060645"</f>
        <v>3060645</v>
      </c>
      <c r="B13133" t="s">
        <v>39661</v>
      </c>
      <c r="C13133" t="str">
        <f>"8312311"</f>
        <v>8312311</v>
      </c>
      <c r="D13133" t="s">
        <v>39662</v>
      </c>
      <c r="F13133" t="s">
        <v>39663</v>
      </c>
      <c r="I13133" t="s">
        <v>2071</v>
      </c>
      <c r="J13133" t="s">
        <v>30</v>
      </c>
      <c r="K13133" t="s">
        <v>6484</v>
      </c>
      <c r="M13133" t="s">
        <v>17861</v>
      </c>
      <c r="N13133" t="str">
        <f>"10/11/2019 2:55:00 PM"</f>
        <v>10/11/2019 2:55:00 PM</v>
      </c>
      <c r="O13133" t="s">
        <v>39662</v>
      </c>
    </row>
    <row r="13134" spans="1:20" x14ac:dyDescent="0.25">
      <c r="A13134" t="str">
        <f>"3059156"</f>
        <v>3059156</v>
      </c>
      <c r="B13134" t="s">
        <v>39664</v>
      </c>
      <c r="C13134" t="str">
        <f>"8312199"</f>
        <v>8312199</v>
      </c>
      <c r="D13134" t="s">
        <v>39665</v>
      </c>
      <c r="E13134" t="s">
        <v>13469</v>
      </c>
      <c r="F13134" t="s">
        <v>39666</v>
      </c>
      <c r="I13134" t="s">
        <v>29</v>
      </c>
      <c r="J13134" t="s">
        <v>30</v>
      </c>
      <c r="K13134" t="s">
        <v>39667</v>
      </c>
      <c r="M13134" t="s">
        <v>17861</v>
      </c>
      <c r="N13134" t="str">
        <f>"10/2/2019 3:08:00 PM"</f>
        <v>10/2/2019 3:08:00 PM</v>
      </c>
      <c r="O13134" t="s">
        <v>39665</v>
      </c>
      <c r="T13134" t="s">
        <v>13469</v>
      </c>
    </row>
    <row r="13135" spans="1:20" x14ac:dyDescent="0.25">
      <c r="A13135" t="str">
        <f>"3044720"</f>
        <v>3044720</v>
      </c>
      <c r="B13135" t="s">
        <v>39668</v>
      </c>
      <c r="C13135" t="str">
        <f>"8312316"</f>
        <v>8312316</v>
      </c>
      <c r="D13135" t="s">
        <v>39669</v>
      </c>
      <c r="F13135" t="s">
        <v>39670</v>
      </c>
      <c r="I13135" t="s">
        <v>184</v>
      </c>
      <c r="J13135" t="s">
        <v>30</v>
      </c>
      <c r="K13135" t="s">
        <v>6241</v>
      </c>
      <c r="M13135" t="s">
        <v>17861</v>
      </c>
      <c r="N13135" t="str">
        <f>"10/11/2019 3:24:00 PM"</f>
        <v>10/11/2019 3:24:00 PM</v>
      </c>
      <c r="O13135" t="s">
        <v>39669</v>
      </c>
    </row>
    <row r="13136" spans="1:20" x14ac:dyDescent="0.25">
      <c r="A13136" t="str">
        <f>"3047822"</f>
        <v>3047822</v>
      </c>
      <c r="B13136" t="s">
        <v>39671</v>
      </c>
      <c r="C13136" t="str">
        <f>"82518871"</f>
        <v>82518871</v>
      </c>
      <c r="D13136" t="s">
        <v>39672</v>
      </c>
      <c r="E13136" t="s">
        <v>39673</v>
      </c>
      <c r="F13136" t="s">
        <v>39674</v>
      </c>
      <c r="I13136" t="s">
        <v>184</v>
      </c>
      <c r="J13136" t="s">
        <v>30</v>
      </c>
      <c r="K13136" t="s">
        <v>185</v>
      </c>
      <c r="M13136" t="s">
        <v>33845</v>
      </c>
      <c r="N13136" t="str">
        <f>"10/2/2019 3:19:00 PM"</f>
        <v>10/2/2019 3:19:00 PM</v>
      </c>
      <c r="O13136" t="s">
        <v>39672</v>
      </c>
      <c r="T13136" t="s">
        <v>39673</v>
      </c>
    </row>
    <row r="13137" spans="1:20" x14ac:dyDescent="0.25">
      <c r="A13137" t="str">
        <f>"3050687"</f>
        <v>3050687</v>
      </c>
      <c r="B13137" t="s">
        <v>39675</v>
      </c>
      <c r="C13137" t="str">
        <f>"8312202"</f>
        <v>8312202</v>
      </c>
      <c r="D13137" t="s">
        <v>39676</v>
      </c>
      <c r="E13137" t="s">
        <v>39677</v>
      </c>
      <c r="F13137" t="s">
        <v>39678</v>
      </c>
      <c r="I13137" t="s">
        <v>184</v>
      </c>
      <c r="J13137" t="s">
        <v>30</v>
      </c>
      <c r="K13137" t="s">
        <v>10584</v>
      </c>
      <c r="M13137" t="s">
        <v>17861</v>
      </c>
      <c r="N13137" t="str">
        <f>"10/2/2019 3:38:00 PM"</f>
        <v>10/2/2019 3:38:00 PM</v>
      </c>
      <c r="O13137" t="s">
        <v>39676</v>
      </c>
      <c r="T13137" t="s">
        <v>39677</v>
      </c>
    </row>
    <row r="13138" spans="1:20" x14ac:dyDescent="0.25">
      <c r="A13138" t="str">
        <f>"3051412"</f>
        <v>3051412</v>
      </c>
      <c r="B13138" t="s">
        <v>39679</v>
      </c>
      <c r="C13138" t="str">
        <f>"8312083"</f>
        <v>8312083</v>
      </c>
      <c r="D13138" t="s">
        <v>39680</v>
      </c>
      <c r="E13138" t="s">
        <v>39681</v>
      </c>
      <c r="F13138" t="s">
        <v>39682</v>
      </c>
      <c r="I13138" t="s">
        <v>29</v>
      </c>
      <c r="J13138" t="s">
        <v>30</v>
      </c>
      <c r="K13138" t="s">
        <v>39683</v>
      </c>
      <c r="M13138" t="s">
        <v>17861</v>
      </c>
      <c r="N13138" t="str">
        <f>"9/19/2019 8:35:00 AM"</f>
        <v>9/19/2019 8:35:00 AM</v>
      </c>
      <c r="O13138" t="s">
        <v>39680</v>
      </c>
      <c r="T13138" t="s">
        <v>39681</v>
      </c>
    </row>
    <row r="13139" spans="1:20" x14ac:dyDescent="0.25">
      <c r="A13139" t="str">
        <f>"3061781"</f>
        <v>3061781</v>
      </c>
      <c r="B13139" t="s">
        <v>39684</v>
      </c>
      <c r="C13139" t="str">
        <f>"8312084"</f>
        <v>8312084</v>
      </c>
      <c r="D13139" t="s">
        <v>39685</v>
      </c>
      <c r="F13139" t="s">
        <v>39686</v>
      </c>
      <c r="I13139" t="s">
        <v>2071</v>
      </c>
      <c r="J13139" t="s">
        <v>30</v>
      </c>
      <c r="K13139" t="s">
        <v>3960</v>
      </c>
      <c r="M13139" t="s">
        <v>17861</v>
      </c>
      <c r="N13139" t="str">
        <f>"9/19/2019 8:44:00 AM"</f>
        <v>9/19/2019 8:44:00 AM</v>
      </c>
      <c r="O13139" t="s">
        <v>39685</v>
      </c>
    </row>
    <row r="13140" spans="1:20" x14ac:dyDescent="0.25">
      <c r="A13140" t="str">
        <f>"3050286"</f>
        <v>3050286</v>
      </c>
      <c r="B13140" t="s">
        <v>39687</v>
      </c>
      <c r="C13140" t="str">
        <f>"8312085"</f>
        <v>8312085</v>
      </c>
      <c r="D13140" t="s">
        <v>39688</v>
      </c>
      <c r="E13140" t="s">
        <v>39689</v>
      </c>
      <c r="F13140" t="s">
        <v>39690</v>
      </c>
      <c r="I13140" t="s">
        <v>184</v>
      </c>
      <c r="J13140" t="s">
        <v>30</v>
      </c>
      <c r="K13140" t="s">
        <v>39691</v>
      </c>
      <c r="M13140" t="s">
        <v>17861</v>
      </c>
      <c r="N13140" t="str">
        <f>"9/19/2019 8:52:00 AM"</f>
        <v>9/19/2019 8:52:00 AM</v>
      </c>
      <c r="O13140" t="s">
        <v>39688</v>
      </c>
      <c r="T13140" t="s">
        <v>39689</v>
      </c>
    </row>
    <row r="13141" spans="1:20" x14ac:dyDescent="0.25">
      <c r="A13141" t="str">
        <f>"3050395"</f>
        <v>3050395</v>
      </c>
      <c r="B13141" t="s">
        <v>39692</v>
      </c>
      <c r="C13141" t="str">
        <f>"8312206"</f>
        <v>8312206</v>
      </c>
      <c r="D13141" t="s">
        <v>39693</v>
      </c>
      <c r="E13141" t="s">
        <v>39694</v>
      </c>
      <c r="F13141" t="s">
        <v>39695</v>
      </c>
      <c r="I13141" t="s">
        <v>184</v>
      </c>
      <c r="J13141" t="s">
        <v>30</v>
      </c>
      <c r="K13141" t="s">
        <v>39696</v>
      </c>
      <c r="M13141" t="s">
        <v>17861</v>
      </c>
      <c r="N13141" t="str">
        <f>"10/3/2019 12:38:00 PM"</f>
        <v>10/3/2019 12:38:00 PM</v>
      </c>
      <c r="O13141" t="s">
        <v>39693</v>
      </c>
      <c r="T13141" t="s">
        <v>39694</v>
      </c>
    </row>
    <row r="13142" spans="1:20" x14ac:dyDescent="0.25">
      <c r="A13142" t="str">
        <f>"3049975"</f>
        <v>3049975</v>
      </c>
      <c r="B13142" t="s">
        <v>39697</v>
      </c>
      <c r="C13142" t="str">
        <f>"8312089"</f>
        <v>8312089</v>
      </c>
      <c r="D13142" t="s">
        <v>39698</v>
      </c>
      <c r="E13142" t="s">
        <v>39699</v>
      </c>
      <c r="F13142" t="s">
        <v>39700</v>
      </c>
      <c r="I13142" t="s">
        <v>29</v>
      </c>
      <c r="J13142" t="s">
        <v>30</v>
      </c>
      <c r="K13142" t="s">
        <v>39701</v>
      </c>
      <c r="M13142" t="s">
        <v>17861</v>
      </c>
      <c r="N13142" t="str">
        <f>"9/19/2019 12:22:00 PM"</f>
        <v>9/19/2019 12:22:00 PM</v>
      </c>
      <c r="O13142" t="s">
        <v>39698</v>
      </c>
      <c r="T13142" t="s">
        <v>39699</v>
      </c>
    </row>
    <row r="13143" spans="1:20" x14ac:dyDescent="0.25">
      <c r="A13143" t="str">
        <f>"3061251"</f>
        <v>3061251</v>
      </c>
      <c r="B13143" t="s">
        <v>39702</v>
      </c>
      <c r="C13143" t="str">
        <f>"8312218"</f>
        <v>8312218</v>
      </c>
      <c r="D13143" t="s">
        <v>39703</v>
      </c>
      <c r="E13143" t="s">
        <v>39704</v>
      </c>
      <c r="F13143" t="s">
        <v>39705</v>
      </c>
      <c r="I13143" t="s">
        <v>2071</v>
      </c>
      <c r="J13143" t="s">
        <v>30</v>
      </c>
      <c r="K13143" t="str">
        <f>"27006"</f>
        <v>27006</v>
      </c>
      <c r="M13143" t="s">
        <v>17861</v>
      </c>
      <c r="N13143" t="str">
        <f>"10/3/2019 2:02:00 PM"</f>
        <v>10/3/2019 2:02:00 PM</v>
      </c>
      <c r="O13143" t="s">
        <v>39703</v>
      </c>
      <c r="T13143" t="s">
        <v>39704</v>
      </c>
    </row>
    <row r="13144" spans="1:20" x14ac:dyDescent="0.25">
      <c r="A13144" t="str">
        <f>"3037284"</f>
        <v>3037284</v>
      </c>
      <c r="B13144" t="s">
        <v>39706</v>
      </c>
      <c r="C13144" t="str">
        <f>"8312219"</f>
        <v>8312219</v>
      </c>
      <c r="D13144" t="s">
        <v>39707</v>
      </c>
      <c r="E13144" t="s">
        <v>39708</v>
      </c>
      <c r="F13144" t="s">
        <v>39709</v>
      </c>
      <c r="I13144" t="s">
        <v>184</v>
      </c>
      <c r="J13144" t="s">
        <v>30</v>
      </c>
      <c r="K13144" t="s">
        <v>34338</v>
      </c>
      <c r="M13144" t="s">
        <v>17861</v>
      </c>
      <c r="N13144" t="str">
        <f>"10/3/2019 2:10:00 PM"</f>
        <v>10/3/2019 2:10:00 PM</v>
      </c>
      <c r="O13144" t="s">
        <v>39707</v>
      </c>
      <c r="T13144" t="s">
        <v>39708</v>
      </c>
    </row>
    <row r="13145" spans="1:20" x14ac:dyDescent="0.25">
      <c r="A13145" t="str">
        <f>"3041715"</f>
        <v>3041715</v>
      </c>
      <c r="B13145" t="s">
        <v>39710</v>
      </c>
      <c r="C13145" t="str">
        <f>"8312220"</f>
        <v>8312220</v>
      </c>
      <c r="D13145" t="s">
        <v>39711</v>
      </c>
      <c r="E13145" t="s">
        <v>39712</v>
      </c>
      <c r="F13145" t="s">
        <v>39713</v>
      </c>
      <c r="I13145" t="s">
        <v>2071</v>
      </c>
      <c r="J13145" t="s">
        <v>30</v>
      </c>
      <c r="K13145" t="str">
        <f>"27006"</f>
        <v>27006</v>
      </c>
      <c r="M13145" t="s">
        <v>17861</v>
      </c>
      <c r="N13145" t="str">
        <f>"10/3/2019 2:13:00 PM"</f>
        <v>10/3/2019 2:13:00 PM</v>
      </c>
      <c r="O13145" t="s">
        <v>39711</v>
      </c>
      <c r="T13145" t="s">
        <v>39712</v>
      </c>
    </row>
    <row r="13146" spans="1:20" x14ac:dyDescent="0.25">
      <c r="A13146" t="str">
        <f>"3061452"</f>
        <v>3061452</v>
      </c>
      <c r="B13146" t="s">
        <v>39714</v>
      </c>
      <c r="C13146" t="str">
        <f>"8312224"</f>
        <v>8312224</v>
      </c>
      <c r="D13146" t="s">
        <v>39715</v>
      </c>
      <c r="E13146" t="s">
        <v>39716</v>
      </c>
      <c r="F13146" t="s">
        <v>39717</v>
      </c>
      <c r="I13146" t="s">
        <v>184</v>
      </c>
      <c r="J13146" t="s">
        <v>30</v>
      </c>
      <c r="K13146" t="str">
        <f>"27006"</f>
        <v>27006</v>
      </c>
      <c r="M13146" t="s">
        <v>17861</v>
      </c>
      <c r="N13146" t="str">
        <f>"10/3/2019 2:24:00 PM"</f>
        <v>10/3/2019 2:24:00 PM</v>
      </c>
      <c r="O13146" t="s">
        <v>39715</v>
      </c>
      <c r="T13146" t="s">
        <v>39716</v>
      </c>
    </row>
    <row r="13147" spans="1:20" x14ac:dyDescent="0.25">
      <c r="A13147" t="str">
        <f>"3049814"</f>
        <v>3049814</v>
      </c>
      <c r="B13147" t="s">
        <v>39718</v>
      </c>
      <c r="C13147" t="str">
        <f>"8312225"</f>
        <v>8312225</v>
      </c>
      <c r="D13147" t="s">
        <v>39719</v>
      </c>
      <c r="F13147" t="s">
        <v>39720</v>
      </c>
      <c r="I13147" t="s">
        <v>29</v>
      </c>
      <c r="J13147" t="s">
        <v>30</v>
      </c>
      <c r="K13147" t="s">
        <v>9905</v>
      </c>
      <c r="M13147" t="s">
        <v>17861</v>
      </c>
      <c r="N13147" t="str">
        <f>"10/3/2019 2:26:00 PM"</f>
        <v>10/3/2019 2:26:00 PM</v>
      </c>
      <c r="O13147" t="s">
        <v>39719</v>
      </c>
    </row>
    <row r="13148" spans="1:20" x14ac:dyDescent="0.25">
      <c r="A13148" t="str">
        <f>"3043129"</f>
        <v>3043129</v>
      </c>
      <c r="B13148" t="s">
        <v>39721</v>
      </c>
      <c r="C13148" t="str">
        <f>"52288500"</f>
        <v>52288500</v>
      </c>
      <c r="D13148" t="s">
        <v>39722</v>
      </c>
      <c r="E13148" t="s">
        <v>39723</v>
      </c>
      <c r="F13148" t="s">
        <v>7174</v>
      </c>
      <c r="I13148" t="s">
        <v>471</v>
      </c>
      <c r="J13148" t="s">
        <v>30</v>
      </c>
      <c r="K13148" t="s">
        <v>2758</v>
      </c>
      <c r="M13148" t="s">
        <v>17861</v>
      </c>
      <c r="N13148" t="str">
        <f>"10/7/2019 8:41:00 AM"</f>
        <v>10/7/2019 8:41:00 AM</v>
      </c>
      <c r="O13148" t="s">
        <v>39722</v>
      </c>
      <c r="T13148" t="s">
        <v>39723</v>
      </c>
    </row>
    <row r="13149" spans="1:20" x14ac:dyDescent="0.25">
      <c r="A13149" t="str">
        <f>"3062809"</f>
        <v>3062809</v>
      </c>
      <c r="B13149" t="s">
        <v>39724</v>
      </c>
      <c r="C13149" t="str">
        <f>"8312243"</f>
        <v>8312243</v>
      </c>
      <c r="D13149" t="s">
        <v>39725</v>
      </c>
      <c r="E13149" t="s">
        <v>39726</v>
      </c>
      <c r="F13149" t="s">
        <v>39727</v>
      </c>
      <c r="I13149" t="s">
        <v>29</v>
      </c>
      <c r="J13149" t="s">
        <v>30</v>
      </c>
      <c r="K13149" t="str">
        <f>"27028"</f>
        <v>27028</v>
      </c>
      <c r="M13149" t="s">
        <v>17861</v>
      </c>
      <c r="N13149" t="str">
        <f>"10/7/2019 9:35:00 AM"</f>
        <v>10/7/2019 9:35:00 AM</v>
      </c>
      <c r="O13149" t="s">
        <v>39725</v>
      </c>
      <c r="T13149" t="s">
        <v>39726</v>
      </c>
    </row>
    <row r="13150" spans="1:20" x14ac:dyDescent="0.25">
      <c r="A13150" t="str">
        <f>"3047015"</f>
        <v>3047015</v>
      </c>
      <c r="B13150" t="s">
        <v>39728</v>
      </c>
      <c r="C13150" t="str">
        <f>"8312351"</f>
        <v>8312351</v>
      </c>
      <c r="D13150" t="s">
        <v>39729</v>
      </c>
      <c r="F13150" t="s">
        <v>39730</v>
      </c>
      <c r="I13150" t="s">
        <v>29</v>
      </c>
      <c r="J13150" t="s">
        <v>30</v>
      </c>
      <c r="K13150" t="s">
        <v>39731</v>
      </c>
      <c r="M13150" t="s">
        <v>17861</v>
      </c>
      <c r="N13150" t="str">
        <f>"10/18/2019 3:14:00 PM"</f>
        <v>10/18/2019 3:14:00 PM</v>
      </c>
      <c r="O13150" t="s">
        <v>39729</v>
      </c>
    </row>
    <row r="13151" spans="1:20" x14ac:dyDescent="0.25">
      <c r="A13151" t="str">
        <f>"3056729"</f>
        <v>3056729</v>
      </c>
      <c r="B13151" t="s">
        <v>39732</v>
      </c>
      <c r="C13151" t="str">
        <f>"8312352"</f>
        <v>8312352</v>
      </c>
      <c r="D13151" t="s">
        <v>39733</v>
      </c>
      <c r="F13151" t="s">
        <v>39734</v>
      </c>
      <c r="I13151" t="s">
        <v>29</v>
      </c>
      <c r="J13151" t="s">
        <v>30</v>
      </c>
      <c r="K13151" t="s">
        <v>39735</v>
      </c>
      <c r="M13151" t="s">
        <v>17861</v>
      </c>
      <c r="N13151" t="str">
        <f>"10/18/2019 3:43:00 PM"</f>
        <v>10/18/2019 3:43:00 PM</v>
      </c>
      <c r="O13151" t="s">
        <v>39733</v>
      </c>
    </row>
    <row r="13152" spans="1:20" x14ac:dyDescent="0.25">
      <c r="A13152" t="str">
        <f>"3056726"</f>
        <v>3056726</v>
      </c>
      <c r="B13152" t="s">
        <v>39736</v>
      </c>
      <c r="C13152" t="str">
        <f>"41356870"</f>
        <v>41356870</v>
      </c>
      <c r="D13152" t="s">
        <v>39737</v>
      </c>
      <c r="E13152" t="s">
        <v>39738</v>
      </c>
      <c r="F13152" t="s">
        <v>39739</v>
      </c>
      <c r="I13152" t="s">
        <v>29</v>
      </c>
      <c r="J13152" t="s">
        <v>30</v>
      </c>
      <c r="K13152" t="s">
        <v>31</v>
      </c>
      <c r="M13152" t="s">
        <v>33845</v>
      </c>
      <c r="N13152" t="str">
        <f>"10/21/2019 2:25:00 PM"</f>
        <v>10/21/2019 2:25:00 PM</v>
      </c>
      <c r="O13152" t="s">
        <v>39737</v>
      </c>
      <c r="T13152" t="s">
        <v>39738</v>
      </c>
    </row>
    <row r="13153" spans="1:20" x14ac:dyDescent="0.25">
      <c r="A13153" t="str">
        <f>"3056418"</f>
        <v>3056418</v>
      </c>
      <c r="B13153" t="s">
        <v>39740</v>
      </c>
      <c r="C13153" t="str">
        <f>"41356870"</f>
        <v>41356870</v>
      </c>
      <c r="D13153" t="s">
        <v>39737</v>
      </c>
      <c r="E13153" t="s">
        <v>39738</v>
      </c>
      <c r="F13153" t="s">
        <v>39739</v>
      </c>
      <c r="I13153" t="s">
        <v>29</v>
      </c>
      <c r="J13153" t="s">
        <v>30</v>
      </c>
      <c r="K13153" t="s">
        <v>31</v>
      </c>
      <c r="M13153" t="s">
        <v>33845</v>
      </c>
      <c r="N13153" t="str">
        <f>"10/21/2019 2:25:00 PM"</f>
        <v>10/21/2019 2:25:00 PM</v>
      </c>
      <c r="O13153" t="s">
        <v>39737</v>
      </c>
      <c r="T13153" t="s">
        <v>39738</v>
      </c>
    </row>
    <row r="13154" spans="1:20" x14ac:dyDescent="0.25">
      <c r="A13154" t="str">
        <f>"3075507"</f>
        <v>3075507</v>
      </c>
      <c r="B13154" t="s">
        <v>39741</v>
      </c>
      <c r="C13154" t="str">
        <f>"8312258"</f>
        <v>8312258</v>
      </c>
      <c r="D13154" t="s">
        <v>33246</v>
      </c>
      <c r="E13154" t="s">
        <v>39742</v>
      </c>
      <c r="F13154" t="s">
        <v>33247</v>
      </c>
      <c r="I13154" t="s">
        <v>17921</v>
      </c>
      <c r="J13154" t="s">
        <v>30</v>
      </c>
      <c r="K13154" t="str">
        <f>"27028"</f>
        <v>27028</v>
      </c>
      <c r="M13154" t="s">
        <v>17861</v>
      </c>
      <c r="N13154" t="str">
        <f>"10/7/2019 2:12:00 PM"</f>
        <v>10/7/2019 2:12:00 PM</v>
      </c>
      <c r="O13154" t="s">
        <v>33246</v>
      </c>
      <c r="T13154" t="s">
        <v>39742</v>
      </c>
    </row>
    <row r="13155" spans="1:20" x14ac:dyDescent="0.25">
      <c r="A13155" t="str">
        <f>"3043589"</f>
        <v>3043589</v>
      </c>
      <c r="B13155" t="s">
        <v>39743</v>
      </c>
      <c r="C13155" t="str">
        <f>"8312262"</f>
        <v>8312262</v>
      </c>
      <c r="D13155" t="str">
        <f>"MURPHY BARRY G/MARY L TRUSTEES"</f>
        <v>MURPHY BARRY G/MARY L TRUSTEES</v>
      </c>
      <c r="E13155" t="str">
        <f>"MURPHY BARR G/MARY L LIV TRUST"</f>
        <v>MURPHY BARR G/MARY L LIV TRUST</v>
      </c>
      <c r="F13155" t="s">
        <v>39744</v>
      </c>
      <c r="I13155" t="s">
        <v>29</v>
      </c>
      <c r="J13155" t="s">
        <v>30</v>
      </c>
      <c r="K13155" t="s">
        <v>37781</v>
      </c>
      <c r="M13155" t="s">
        <v>17861</v>
      </c>
      <c r="N13155" t="str">
        <f>"10/7/2019 2:30:00 PM"</f>
        <v>10/7/2019 2:30:00 PM</v>
      </c>
      <c r="O13155" t="str">
        <f>"MURPHY BARRY G/MARY L TRUSTEES"</f>
        <v>MURPHY BARRY G/MARY L TRUSTEES</v>
      </c>
      <c r="T13155" t="str">
        <f>"MURPHY BARR G/MARY L LIV TRUST"</f>
        <v>MURPHY BARR G/MARY L LIV TRUST</v>
      </c>
    </row>
    <row r="13156" spans="1:20" x14ac:dyDescent="0.25">
      <c r="A13156" t="str">
        <f>"3068340"</f>
        <v>3068340</v>
      </c>
      <c r="B13156" t="s">
        <v>39745</v>
      </c>
      <c r="C13156" t="str">
        <f>"8312264"</f>
        <v>8312264</v>
      </c>
      <c r="D13156" t="s">
        <v>39746</v>
      </c>
      <c r="E13156" t="s">
        <v>39747</v>
      </c>
      <c r="F13156" t="s">
        <v>39748</v>
      </c>
      <c r="I13156" t="s">
        <v>29</v>
      </c>
      <c r="J13156" t="s">
        <v>30</v>
      </c>
      <c r="K13156" t="s">
        <v>39749</v>
      </c>
      <c r="M13156" t="s">
        <v>17861</v>
      </c>
      <c r="N13156" t="str">
        <f>"10/7/2019 2:35:00 PM"</f>
        <v>10/7/2019 2:35:00 PM</v>
      </c>
      <c r="O13156" t="s">
        <v>39746</v>
      </c>
      <c r="T13156" t="s">
        <v>39747</v>
      </c>
    </row>
    <row r="13157" spans="1:20" x14ac:dyDescent="0.25">
      <c r="A13157" t="str">
        <f>"3043774"</f>
        <v>3043774</v>
      </c>
      <c r="B13157" t="s">
        <v>39750</v>
      </c>
      <c r="C13157" t="str">
        <f>"82516616"</f>
        <v>82516616</v>
      </c>
      <c r="D13157" t="s">
        <v>39751</v>
      </c>
      <c r="E13157" t="s">
        <v>39752</v>
      </c>
      <c r="F13157" t="s">
        <v>39753</v>
      </c>
      <c r="I13157" t="s">
        <v>29</v>
      </c>
      <c r="J13157" t="s">
        <v>30</v>
      </c>
      <c r="K13157" t="s">
        <v>31</v>
      </c>
      <c r="M13157" t="s">
        <v>25733</v>
      </c>
      <c r="N13157" t="str">
        <f>"10/8/2019 9:31:00 AM"</f>
        <v>10/8/2019 9:31:00 AM</v>
      </c>
      <c r="O13157" t="s">
        <v>39751</v>
      </c>
      <c r="T13157" t="s">
        <v>39752</v>
      </c>
    </row>
    <row r="13158" spans="1:20" x14ac:dyDescent="0.25">
      <c r="A13158" t="str">
        <f>"3054063"</f>
        <v>3054063</v>
      </c>
      <c r="B13158" t="s">
        <v>39754</v>
      </c>
      <c r="C13158" t="str">
        <f>"8312277"</f>
        <v>8312277</v>
      </c>
      <c r="D13158" t="s">
        <v>39755</v>
      </c>
      <c r="E13158" t="s">
        <v>39756</v>
      </c>
      <c r="F13158" t="s">
        <v>39757</v>
      </c>
      <c r="I13158" t="s">
        <v>29</v>
      </c>
      <c r="J13158" t="s">
        <v>30</v>
      </c>
      <c r="K13158" t="s">
        <v>39758</v>
      </c>
      <c r="M13158" t="s">
        <v>17861</v>
      </c>
      <c r="N13158" t="str">
        <f>"10/8/2019 2:12:00 PM"</f>
        <v>10/8/2019 2:12:00 PM</v>
      </c>
      <c r="O13158" t="s">
        <v>39755</v>
      </c>
      <c r="T13158" t="s">
        <v>39756</v>
      </c>
    </row>
    <row r="13159" spans="1:20" x14ac:dyDescent="0.25">
      <c r="A13159" t="str">
        <f>"3049321"</f>
        <v>3049321</v>
      </c>
      <c r="B13159" t="s">
        <v>39759</v>
      </c>
      <c r="C13159" t="str">
        <f>"8312292"</f>
        <v>8312292</v>
      </c>
      <c r="D13159" t="s">
        <v>39760</v>
      </c>
      <c r="E13159" t="s">
        <v>39761</v>
      </c>
      <c r="F13159" t="s">
        <v>39762</v>
      </c>
      <c r="I13159" t="s">
        <v>39763</v>
      </c>
      <c r="J13159" t="s">
        <v>8889</v>
      </c>
      <c r="K13159" t="str">
        <f>"66063"</f>
        <v>66063</v>
      </c>
      <c r="M13159" t="s">
        <v>17861</v>
      </c>
      <c r="N13159" t="str">
        <f>"10/9/2019 11:22:00 AM"</f>
        <v>10/9/2019 11:22:00 AM</v>
      </c>
      <c r="O13159" t="s">
        <v>39760</v>
      </c>
      <c r="T13159" t="s">
        <v>39761</v>
      </c>
    </row>
    <row r="13160" spans="1:20" x14ac:dyDescent="0.25">
      <c r="A13160" t="str">
        <f>"3044504"</f>
        <v>3044504</v>
      </c>
      <c r="B13160" t="s">
        <v>39764</v>
      </c>
      <c r="C13160" t="str">
        <f>"8312304"</f>
        <v>8312304</v>
      </c>
      <c r="D13160" t="s">
        <v>39765</v>
      </c>
      <c r="E13160" t="s">
        <v>39766</v>
      </c>
      <c r="F13160" t="s">
        <v>39767</v>
      </c>
      <c r="I13160" t="s">
        <v>184</v>
      </c>
      <c r="J13160" t="s">
        <v>30</v>
      </c>
      <c r="K13160" t="s">
        <v>5715</v>
      </c>
      <c r="M13160" t="s">
        <v>17861</v>
      </c>
      <c r="N13160" t="str">
        <f>"10/11/2019 2:01:00 PM"</f>
        <v>10/11/2019 2:01:00 PM</v>
      </c>
      <c r="O13160" t="s">
        <v>39765</v>
      </c>
      <c r="T13160" t="s">
        <v>39766</v>
      </c>
    </row>
    <row r="13161" spans="1:20" x14ac:dyDescent="0.25">
      <c r="A13161" t="str">
        <f>"3048123"</f>
        <v>3048123</v>
      </c>
      <c r="B13161" t="s">
        <v>39768</v>
      </c>
      <c r="C13161" t="str">
        <f>"8312315"</f>
        <v>8312315</v>
      </c>
      <c r="D13161" t="s">
        <v>39769</v>
      </c>
      <c r="F13161" t="s">
        <v>32907</v>
      </c>
      <c r="I13161" t="s">
        <v>29</v>
      </c>
      <c r="J13161" t="s">
        <v>30</v>
      </c>
      <c r="K13161" t="s">
        <v>32908</v>
      </c>
      <c r="M13161" t="s">
        <v>17861</v>
      </c>
      <c r="N13161" t="str">
        <f>"10/11/2019 3:10:00 PM"</f>
        <v>10/11/2019 3:10:00 PM</v>
      </c>
      <c r="O13161" t="s">
        <v>39769</v>
      </c>
    </row>
    <row r="13162" spans="1:20" x14ac:dyDescent="0.25">
      <c r="A13162" t="str">
        <f>"3037257"</f>
        <v>3037257</v>
      </c>
      <c r="B13162" t="s">
        <v>39770</v>
      </c>
      <c r="C13162" t="str">
        <f>"82531655"</f>
        <v>82531655</v>
      </c>
      <c r="D13162" t="s">
        <v>39771</v>
      </c>
      <c r="E13162" t="s">
        <v>39772</v>
      </c>
      <c r="F13162" t="s">
        <v>39773</v>
      </c>
      <c r="I13162" t="s">
        <v>184</v>
      </c>
      <c r="J13162" t="s">
        <v>30</v>
      </c>
      <c r="K13162" t="s">
        <v>18735</v>
      </c>
      <c r="M13162" t="s">
        <v>33432</v>
      </c>
      <c r="N13162" t="str">
        <f>"10/3/2019 12:54:00 PM"</f>
        <v>10/3/2019 12:54:00 PM</v>
      </c>
      <c r="O13162" t="s">
        <v>39771</v>
      </c>
      <c r="T13162" t="s">
        <v>39772</v>
      </c>
    </row>
    <row r="13163" spans="1:20" x14ac:dyDescent="0.25">
      <c r="A13163" t="str">
        <f>"3078380"</f>
        <v>3078380</v>
      </c>
      <c r="B13163" t="s">
        <v>39774</v>
      </c>
      <c r="C13163" t="str">
        <f>"8312217"</f>
        <v>8312217</v>
      </c>
      <c r="D13163" t="s">
        <v>12776</v>
      </c>
      <c r="E13163" t="s">
        <v>21655</v>
      </c>
      <c r="F13163" t="s">
        <v>21656</v>
      </c>
      <c r="I13163" t="s">
        <v>1176</v>
      </c>
      <c r="J13163" t="s">
        <v>30</v>
      </c>
      <c r="K13163" t="str">
        <f>"27054"</f>
        <v>27054</v>
      </c>
      <c r="M13163" t="s">
        <v>17861</v>
      </c>
      <c r="N13163" t="str">
        <f>"10/3/2019 1:29:00 PM"</f>
        <v>10/3/2019 1:29:00 PM</v>
      </c>
      <c r="O13163" t="s">
        <v>12776</v>
      </c>
      <c r="T13163" t="s">
        <v>21655</v>
      </c>
    </row>
    <row r="13164" spans="1:20" x14ac:dyDescent="0.25">
      <c r="A13164" t="str">
        <f>"3045895"</f>
        <v>3045895</v>
      </c>
      <c r="B13164" t="s">
        <v>39775</v>
      </c>
      <c r="C13164" t="str">
        <f>"8310325"</f>
        <v>8310325</v>
      </c>
      <c r="D13164" t="s">
        <v>39776</v>
      </c>
      <c r="E13164" t="s">
        <v>39777</v>
      </c>
      <c r="F13164" t="s">
        <v>39778</v>
      </c>
      <c r="I13164" t="s">
        <v>2525</v>
      </c>
      <c r="J13164" t="s">
        <v>30</v>
      </c>
      <c r="K13164" t="str">
        <f>"27410"</f>
        <v>27410</v>
      </c>
      <c r="M13164" t="s">
        <v>25733</v>
      </c>
      <c r="N13164" t="str">
        <f>"10/18/2019 9:05:00 AM"</f>
        <v>10/18/2019 9:05:00 AM</v>
      </c>
      <c r="O13164" t="s">
        <v>39776</v>
      </c>
      <c r="T13164" t="s">
        <v>39777</v>
      </c>
    </row>
    <row r="13165" spans="1:20" x14ac:dyDescent="0.25">
      <c r="A13165" t="str">
        <f>"3040794"</f>
        <v>3040794</v>
      </c>
      <c r="B13165" t="s">
        <v>39779</v>
      </c>
      <c r="C13165" t="str">
        <f>"81337000"</f>
        <v>81337000</v>
      </c>
      <c r="D13165" t="s">
        <v>39780</v>
      </c>
      <c r="E13165" t="s">
        <v>39781</v>
      </c>
      <c r="F13165" t="s">
        <v>39782</v>
      </c>
      <c r="I13165" t="s">
        <v>184</v>
      </c>
      <c r="J13165" t="s">
        <v>30</v>
      </c>
      <c r="K13165" t="s">
        <v>39783</v>
      </c>
      <c r="M13165" t="s">
        <v>17861</v>
      </c>
      <c r="N13165" t="str">
        <f>"10/23/2019 3:40:00 PM"</f>
        <v>10/23/2019 3:40:00 PM</v>
      </c>
      <c r="O13165" t="s">
        <v>39780</v>
      </c>
      <c r="T13165" t="s">
        <v>39781</v>
      </c>
    </row>
    <row r="13166" spans="1:20" x14ac:dyDescent="0.25">
      <c r="A13166" t="str">
        <f>"3043730"</f>
        <v>3043730</v>
      </c>
      <c r="B13166" t="s">
        <v>39784</v>
      </c>
      <c r="C13166" t="str">
        <f>"8312366"</f>
        <v>8312366</v>
      </c>
      <c r="D13166" t="s">
        <v>39785</v>
      </c>
      <c r="F13166" t="s">
        <v>39786</v>
      </c>
      <c r="I13166" t="s">
        <v>29</v>
      </c>
      <c r="J13166" t="s">
        <v>30</v>
      </c>
      <c r="K13166" t="s">
        <v>39787</v>
      </c>
      <c r="M13166" t="s">
        <v>17861</v>
      </c>
      <c r="N13166" t="str">
        <f>"10/23/2019 4:24:00 PM"</f>
        <v>10/23/2019 4:24:00 PM</v>
      </c>
      <c r="O13166" t="s">
        <v>39785</v>
      </c>
    </row>
    <row r="13167" spans="1:20" x14ac:dyDescent="0.25">
      <c r="A13167" t="str">
        <f>"3057392"</f>
        <v>3057392</v>
      </c>
      <c r="B13167" t="s">
        <v>39788</v>
      </c>
      <c r="C13167" t="str">
        <f>"8303610"</f>
        <v>8303610</v>
      </c>
      <c r="D13167" t="s">
        <v>39789</v>
      </c>
      <c r="F13167" t="s">
        <v>39790</v>
      </c>
      <c r="I13167" t="s">
        <v>23961</v>
      </c>
      <c r="J13167" t="s">
        <v>30</v>
      </c>
      <c r="K13167" t="str">
        <f>"28110"</f>
        <v>28110</v>
      </c>
      <c r="M13167" t="s">
        <v>34475</v>
      </c>
      <c r="N13167" t="str">
        <f>"10/24/2019 9:31:00 AM"</f>
        <v>10/24/2019 9:31:00 AM</v>
      </c>
      <c r="O13167" t="s">
        <v>39789</v>
      </c>
    </row>
    <row r="13168" spans="1:20" x14ac:dyDescent="0.25">
      <c r="A13168" t="str">
        <f>"3057398"</f>
        <v>3057398</v>
      </c>
      <c r="B13168" t="s">
        <v>39791</v>
      </c>
      <c r="C13168" t="str">
        <f>"8303610"</f>
        <v>8303610</v>
      </c>
      <c r="D13168" t="s">
        <v>39789</v>
      </c>
      <c r="F13168" t="s">
        <v>39790</v>
      </c>
      <c r="I13168" t="s">
        <v>23961</v>
      </c>
      <c r="J13168" t="s">
        <v>30</v>
      </c>
      <c r="K13168" t="str">
        <f>"28110"</f>
        <v>28110</v>
      </c>
      <c r="M13168" t="s">
        <v>34475</v>
      </c>
      <c r="N13168" t="str">
        <f>"10/24/2019 9:31:00 AM"</f>
        <v>10/24/2019 9:31:00 AM</v>
      </c>
      <c r="O13168" t="s">
        <v>39789</v>
      </c>
    </row>
    <row r="13169" spans="1:20" x14ac:dyDescent="0.25">
      <c r="A13169" t="str">
        <f>"3059893"</f>
        <v>3059893</v>
      </c>
      <c r="B13169" t="s">
        <v>39792</v>
      </c>
      <c r="C13169" t="str">
        <f>"8312341"</f>
        <v>8312341</v>
      </c>
      <c r="D13169" t="s">
        <v>39793</v>
      </c>
      <c r="E13169" t="s">
        <v>39794</v>
      </c>
      <c r="F13169" t="s">
        <v>39795</v>
      </c>
      <c r="I13169" t="s">
        <v>17921</v>
      </c>
      <c r="J13169" t="s">
        <v>30</v>
      </c>
      <c r="K13169" t="str">
        <f>"27028"</f>
        <v>27028</v>
      </c>
      <c r="M13169" t="s">
        <v>17861</v>
      </c>
      <c r="N13169" t="str">
        <f>"10/18/2019 9:42:00 AM"</f>
        <v>10/18/2019 9:42:00 AM</v>
      </c>
      <c r="O13169" t="s">
        <v>39793</v>
      </c>
      <c r="T13169" t="s">
        <v>39794</v>
      </c>
    </row>
    <row r="13170" spans="1:20" x14ac:dyDescent="0.25">
      <c r="A13170" t="str">
        <f>"3059932"</f>
        <v>3059932</v>
      </c>
      <c r="B13170" t="s">
        <v>39796</v>
      </c>
      <c r="C13170" t="str">
        <f>"8312342"</f>
        <v>8312342</v>
      </c>
      <c r="D13170" t="s">
        <v>39797</v>
      </c>
      <c r="E13170" t="s">
        <v>39798</v>
      </c>
      <c r="F13170" t="s">
        <v>39799</v>
      </c>
      <c r="I13170" t="s">
        <v>29</v>
      </c>
      <c r="J13170" t="s">
        <v>30</v>
      </c>
      <c r="K13170" t="s">
        <v>39800</v>
      </c>
      <c r="M13170" t="s">
        <v>17861</v>
      </c>
      <c r="N13170" t="str">
        <f>"10/18/2019 9:48:00 AM"</f>
        <v>10/18/2019 9:48:00 AM</v>
      </c>
      <c r="O13170" t="s">
        <v>39797</v>
      </c>
      <c r="T13170" t="s">
        <v>39798</v>
      </c>
    </row>
    <row r="13171" spans="1:20" x14ac:dyDescent="0.25">
      <c r="A13171" t="str">
        <f>"3059709"</f>
        <v>3059709</v>
      </c>
      <c r="B13171" t="s">
        <v>39801</v>
      </c>
      <c r="C13171" t="str">
        <f>"8312346"</f>
        <v>8312346</v>
      </c>
      <c r="D13171" t="str">
        <f>"WOLLMAN DANIEL M/YOLANDA"</f>
        <v>WOLLMAN DANIEL M/YOLANDA</v>
      </c>
      <c r="E13171" t="str">
        <f>"WOLLMAN JERRY/SARAH M"</f>
        <v>WOLLMAN JERRY/SARAH M</v>
      </c>
      <c r="F13171" t="s">
        <v>39802</v>
      </c>
      <c r="I13171" t="s">
        <v>29</v>
      </c>
      <c r="J13171" t="s">
        <v>30</v>
      </c>
      <c r="K13171" t="s">
        <v>39803</v>
      </c>
      <c r="M13171" t="s">
        <v>17861</v>
      </c>
      <c r="N13171" t="str">
        <f>"10/18/2019 10:34:00 AM"</f>
        <v>10/18/2019 10:34:00 AM</v>
      </c>
      <c r="O13171" t="str">
        <f>"WOLLMAN DANIEL M/YOLANDA"</f>
        <v>WOLLMAN DANIEL M/YOLANDA</v>
      </c>
      <c r="T13171" t="str">
        <f>"WOLLMAN JERRY/SARAH M"</f>
        <v>WOLLMAN JERRY/SARAH M</v>
      </c>
    </row>
    <row r="13172" spans="1:20" x14ac:dyDescent="0.25">
      <c r="A13172" t="str">
        <f>"3045616"</f>
        <v>3045616</v>
      </c>
      <c r="B13172" t="s">
        <v>39804</v>
      </c>
      <c r="C13172" t="str">
        <f>"8312371"</f>
        <v>8312371</v>
      </c>
      <c r="D13172" t="s">
        <v>39805</v>
      </c>
      <c r="E13172" t="s">
        <v>39806</v>
      </c>
      <c r="F13172" t="s">
        <v>39807</v>
      </c>
      <c r="I13172" t="s">
        <v>1149</v>
      </c>
      <c r="J13172" t="s">
        <v>30</v>
      </c>
      <c r="K13172" t="s">
        <v>39808</v>
      </c>
      <c r="M13172" t="s">
        <v>17861</v>
      </c>
      <c r="N13172" t="str">
        <f>"10/24/2019 3:35:00 PM"</f>
        <v>10/24/2019 3:35:00 PM</v>
      </c>
      <c r="O13172" t="s">
        <v>39805</v>
      </c>
      <c r="T13172" t="s">
        <v>39806</v>
      </c>
    </row>
    <row r="13173" spans="1:20" x14ac:dyDescent="0.25">
      <c r="A13173" t="str">
        <f>"3052460"</f>
        <v>3052460</v>
      </c>
      <c r="B13173" t="s">
        <v>39809</v>
      </c>
      <c r="C13173" t="str">
        <f>"8312372"</f>
        <v>8312372</v>
      </c>
      <c r="D13173" t="s">
        <v>39810</v>
      </c>
      <c r="F13173" t="s">
        <v>39811</v>
      </c>
      <c r="I13173" t="s">
        <v>29</v>
      </c>
      <c r="J13173" t="s">
        <v>30</v>
      </c>
      <c r="K13173" t="s">
        <v>39812</v>
      </c>
      <c r="M13173" t="s">
        <v>17861</v>
      </c>
      <c r="N13173" t="str">
        <f>"10/24/2019 3:43:00 PM"</f>
        <v>10/24/2019 3:43:00 PM</v>
      </c>
      <c r="O13173" t="s">
        <v>39810</v>
      </c>
    </row>
    <row r="13174" spans="1:20" x14ac:dyDescent="0.25">
      <c r="A13174" t="str">
        <f>"3059133"</f>
        <v>3059133</v>
      </c>
      <c r="B13174" t="s">
        <v>39813</v>
      </c>
      <c r="C13174" t="str">
        <f>"8312349"</f>
        <v>8312349</v>
      </c>
      <c r="D13174" t="s">
        <v>39814</v>
      </c>
      <c r="F13174" t="s">
        <v>39815</v>
      </c>
      <c r="I13174" t="s">
        <v>29</v>
      </c>
      <c r="J13174" t="s">
        <v>30</v>
      </c>
      <c r="K13174" t="s">
        <v>11450</v>
      </c>
      <c r="M13174" t="s">
        <v>17861</v>
      </c>
      <c r="N13174" t="str">
        <f>"10/18/2019 1:14:00 PM"</f>
        <v>10/18/2019 1:14:00 PM</v>
      </c>
      <c r="O13174" t="s">
        <v>39814</v>
      </c>
    </row>
    <row r="13175" spans="1:20" x14ac:dyDescent="0.25">
      <c r="A13175" t="str">
        <f>"3057985"</f>
        <v>3057985</v>
      </c>
      <c r="B13175" t="s">
        <v>39816</v>
      </c>
      <c r="C13175" t="str">
        <f>"8312350"</f>
        <v>8312350</v>
      </c>
      <c r="D13175" t="s">
        <v>39817</v>
      </c>
      <c r="E13175" t="s">
        <v>39818</v>
      </c>
      <c r="F13175" t="s">
        <v>39819</v>
      </c>
      <c r="I13175" t="s">
        <v>29</v>
      </c>
      <c r="J13175" t="s">
        <v>30</v>
      </c>
      <c r="K13175" t="s">
        <v>39820</v>
      </c>
      <c r="M13175" t="s">
        <v>17861</v>
      </c>
      <c r="N13175" t="str">
        <f>"10/18/2019 3:07:00 PM"</f>
        <v>10/18/2019 3:07:00 PM</v>
      </c>
      <c r="O13175" t="s">
        <v>39817</v>
      </c>
      <c r="T13175" t="s">
        <v>39818</v>
      </c>
    </row>
    <row r="13176" spans="1:20" x14ac:dyDescent="0.25">
      <c r="A13176" t="str">
        <f>"3038532"</f>
        <v>3038532</v>
      </c>
      <c r="B13176" t="s">
        <v>39821</v>
      </c>
      <c r="C13176" t="str">
        <f>"8312360"</f>
        <v>8312360</v>
      </c>
      <c r="D13176" t="s">
        <v>39822</v>
      </c>
      <c r="F13176" t="s">
        <v>39823</v>
      </c>
      <c r="I13176" t="s">
        <v>29</v>
      </c>
      <c r="J13176" t="s">
        <v>30</v>
      </c>
      <c r="K13176" t="s">
        <v>39824</v>
      </c>
      <c r="M13176" t="s">
        <v>17861</v>
      </c>
      <c r="N13176" t="str">
        <f>"10/22/2019 3:53:00 PM"</f>
        <v>10/22/2019 3:53:00 PM</v>
      </c>
      <c r="O13176" t="s">
        <v>39822</v>
      </c>
    </row>
    <row r="13177" spans="1:20" x14ac:dyDescent="0.25">
      <c r="A13177" t="str">
        <f>"3052362"</f>
        <v>3052362</v>
      </c>
      <c r="B13177" t="s">
        <v>39825</v>
      </c>
      <c r="C13177" t="str">
        <f>"8312396"</f>
        <v>8312396</v>
      </c>
      <c r="D13177" t="s">
        <v>39826</v>
      </c>
      <c r="E13177" t="s">
        <v>39827</v>
      </c>
      <c r="F13177" t="s">
        <v>39828</v>
      </c>
      <c r="I13177" t="s">
        <v>29</v>
      </c>
      <c r="J13177" t="s">
        <v>30</v>
      </c>
      <c r="K13177" t="s">
        <v>11824</v>
      </c>
      <c r="M13177" t="s">
        <v>17861</v>
      </c>
      <c r="N13177" t="str">
        <f>"10/28/2019 12:53:00 PM"</f>
        <v>10/28/2019 12:53:00 PM</v>
      </c>
      <c r="O13177" t="s">
        <v>39826</v>
      </c>
      <c r="T13177" t="s">
        <v>39827</v>
      </c>
    </row>
    <row r="13178" spans="1:20" x14ac:dyDescent="0.25">
      <c r="A13178" t="str">
        <f>"3060216"</f>
        <v>3060216</v>
      </c>
      <c r="B13178" t="s">
        <v>39829</v>
      </c>
      <c r="C13178" t="str">
        <f>"8312397"</f>
        <v>8312397</v>
      </c>
      <c r="D13178" t="s">
        <v>39830</v>
      </c>
      <c r="E13178" t="s">
        <v>39831</v>
      </c>
      <c r="F13178" t="s">
        <v>39832</v>
      </c>
      <c r="I13178" t="s">
        <v>184</v>
      </c>
      <c r="J13178" t="s">
        <v>30</v>
      </c>
      <c r="K13178" t="s">
        <v>35752</v>
      </c>
      <c r="M13178" t="s">
        <v>17861</v>
      </c>
      <c r="N13178" t="str">
        <f>"10/28/2019 12:55:00 PM"</f>
        <v>10/28/2019 12:55:00 PM</v>
      </c>
      <c r="O13178" t="s">
        <v>39830</v>
      </c>
      <c r="T13178" t="s">
        <v>39831</v>
      </c>
    </row>
    <row r="13179" spans="1:20" x14ac:dyDescent="0.25">
      <c r="A13179" t="str">
        <f>"3043635"</f>
        <v>3043635</v>
      </c>
      <c r="B13179" t="s">
        <v>39833</v>
      </c>
      <c r="C13179" t="str">
        <f>"82517336"</f>
        <v>82517336</v>
      </c>
      <c r="D13179" t="s">
        <v>39834</v>
      </c>
      <c r="E13179" t="s">
        <v>39835</v>
      </c>
      <c r="F13179" t="s">
        <v>39836</v>
      </c>
      <c r="I13179" t="s">
        <v>29</v>
      </c>
      <c r="J13179" t="s">
        <v>30</v>
      </c>
      <c r="K13179" t="s">
        <v>31</v>
      </c>
      <c r="M13179" t="s">
        <v>33432</v>
      </c>
      <c r="N13179" t="str">
        <f>"10/22/2019 4:45:00 PM"</f>
        <v>10/22/2019 4:45:00 PM</v>
      </c>
      <c r="O13179" t="s">
        <v>39834</v>
      </c>
      <c r="T13179" t="s">
        <v>39835</v>
      </c>
    </row>
    <row r="13180" spans="1:20" x14ac:dyDescent="0.25">
      <c r="A13180" t="str">
        <f>"3068720"</f>
        <v>3068720</v>
      </c>
      <c r="B13180" t="s">
        <v>39837</v>
      </c>
      <c r="C13180" t="str">
        <f>"8303294"</f>
        <v>8303294</v>
      </c>
      <c r="D13180" t="s">
        <v>39838</v>
      </c>
      <c r="F13180" t="s">
        <v>39839</v>
      </c>
      <c r="I13180" t="s">
        <v>29</v>
      </c>
      <c r="J13180" t="s">
        <v>30</v>
      </c>
      <c r="K13180" t="s">
        <v>39840</v>
      </c>
      <c r="M13180" t="s">
        <v>18479</v>
      </c>
      <c r="N13180" t="str">
        <f>"10/29/2019 1:29:00 PM"</f>
        <v>10/29/2019 1:29:00 PM</v>
      </c>
      <c r="O13180" t="s">
        <v>39838</v>
      </c>
    </row>
    <row r="13181" spans="1:20" x14ac:dyDescent="0.25">
      <c r="A13181" t="str">
        <f>"3097828"</f>
        <v>3097828</v>
      </c>
      <c r="B13181" t="s">
        <v>39841</v>
      </c>
      <c r="C13181" t="str">
        <f>"8303294"</f>
        <v>8303294</v>
      </c>
      <c r="D13181" t="s">
        <v>39838</v>
      </c>
      <c r="F13181" t="s">
        <v>39839</v>
      </c>
      <c r="I13181" t="s">
        <v>29</v>
      </c>
      <c r="J13181" t="s">
        <v>30</v>
      </c>
      <c r="K13181" t="s">
        <v>39840</v>
      </c>
      <c r="M13181" t="s">
        <v>18479</v>
      </c>
      <c r="N13181" t="str">
        <f>"10/29/2019 1:29:00 PM"</f>
        <v>10/29/2019 1:29:00 PM</v>
      </c>
      <c r="O13181" t="s">
        <v>39838</v>
      </c>
    </row>
    <row r="13182" spans="1:20" x14ac:dyDescent="0.25">
      <c r="A13182" t="str">
        <f>"3055897"</f>
        <v>3055897</v>
      </c>
      <c r="B13182" t="s">
        <v>39842</v>
      </c>
      <c r="C13182" t="str">
        <f>"78818630"</f>
        <v>78818630</v>
      </c>
      <c r="D13182" t="s">
        <v>39843</v>
      </c>
      <c r="E13182" t="s">
        <v>39844</v>
      </c>
      <c r="F13182" t="s">
        <v>8820</v>
      </c>
      <c r="I13182" t="s">
        <v>9580</v>
      </c>
      <c r="J13182" t="s">
        <v>30</v>
      </c>
      <c r="K13182" t="s">
        <v>9581</v>
      </c>
      <c r="M13182" t="s">
        <v>34475</v>
      </c>
      <c r="N13182" t="str">
        <f>"10/29/2019 3:58:00 PM"</f>
        <v>10/29/2019 3:58:00 PM</v>
      </c>
      <c r="O13182" t="s">
        <v>39843</v>
      </c>
      <c r="T13182" t="s">
        <v>39844</v>
      </c>
    </row>
    <row r="13183" spans="1:20" x14ac:dyDescent="0.25">
      <c r="A13183" t="str">
        <f>"3057024"</f>
        <v>3057024</v>
      </c>
      <c r="B13183" t="s">
        <v>39845</v>
      </c>
      <c r="C13183" t="str">
        <f>"82517336"</f>
        <v>82517336</v>
      </c>
      <c r="D13183" t="s">
        <v>39834</v>
      </c>
      <c r="E13183" t="s">
        <v>39835</v>
      </c>
      <c r="F13183" t="s">
        <v>39836</v>
      </c>
      <c r="I13183" t="s">
        <v>29</v>
      </c>
      <c r="J13183" t="s">
        <v>30</v>
      </c>
      <c r="K13183" t="s">
        <v>31</v>
      </c>
      <c r="M13183" t="s">
        <v>33432</v>
      </c>
      <c r="N13183" t="str">
        <f>"10/22/2019 4:45:00 PM"</f>
        <v>10/22/2019 4:45:00 PM</v>
      </c>
      <c r="O13183" t="s">
        <v>39834</v>
      </c>
      <c r="T13183" t="s">
        <v>39835</v>
      </c>
    </row>
    <row r="13184" spans="1:20" x14ac:dyDescent="0.25">
      <c r="A13184" t="str">
        <f>"3057352"</f>
        <v>3057352</v>
      </c>
      <c r="B13184" t="s">
        <v>39846</v>
      </c>
      <c r="C13184" t="str">
        <f>"46965750"</f>
        <v>46965750</v>
      </c>
      <c r="D13184" t="s">
        <v>39847</v>
      </c>
      <c r="F13184" t="s">
        <v>39848</v>
      </c>
      <c r="I13184" t="s">
        <v>29</v>
      </c>
      <c r="J13184" t="s">
        <v>30</v>
      </c>
      <c r="K13184" t="s">
        <v>14958</v>
      </c>
      <c r="M13184" t="s">
        <v>18479</v>
      </c>
      <c r="N13184" t="str">
        <f>"10/23/2019 11:13:00 AM"</f>
        <v>10/23/2019 11:13:00 AM</v>
      </c>
      <c r="O13184" t="s">
        <v>39847</v>
      </c>
    </row>
    <row r="13185" spans="1:20" x14ac:dyDescent="0.25">
      <c r="A13185" t="str">
        <f>"3042128"</f>
        <v>3042128</v>
      </c>
      <c r="B13185" t="s">
        <v>39849</v>
      </c>
      <c r="C13185" t="str">
        <f>"27542000"</f>
        <v>27542000</v>
      </c>
      <c r="D13185" t="s">
        <v>39850</v>
      </c>
      <c r="F13185" t="s">
        <v>39851</v>
      </c>
      <c r="I13185" t="s">
        <v>184</v>
      </c>
      <c r="J13185" t="s">
        <v>30</v>
      </c>
      <c r="K13185" t="s">
        <v>185</v>
      </c>
      <c r="M13185" t="s">
        <v>25733</v>
      </c>
      <c r="N13185" t="str">
        <f>"10/23/2019 12:58:00 PM"</f>
        <v>10/23/2019 12:58:00 PM</v>
      </c>
      <c r="O13185" t="s">
        <v>39850</v>
      </c>
    </row>
    <row r="13186" spans="1:20" x14ac:dyDescent="0.25">
      <c r="A13186" t="str">
        <f>"3063975"</f>
        <v>3063975</v>
      </c>
      <c r="B13186" t="s">
        <v>39852</v>
      </c>
      <c r="C13186" t="str">
        <f>"27542000"</f>
        <v>27542000</v>
      </c>
      <c r="D13186" t="s">
        <v>39850</v>
      </c>
      <c r="F13186" t="s">
        <v>39851</v>
      </c>
      <c r="I13186" t="s">
        <v>184</v>
      </c>
      <c r="J13186" t="s">
        <v>30</v>
      </c>
      <c r="K13186" t="s">
        <v>185</v>
      </c>
      <c r="M13186" t="s">
        <v>25733</v>
      </c>
      <c r="N13186" t="str">
        <f>"10/23/2019 12:58:00 PM"</f>
        <v>10/23/2019 12:58:00 PM</v>
      </c>
      <c r="O13186" t="s">
        <v>39850</v>
      </c>
    </row>
    <row r="13187" spans="1:20" x14ac:dyDescent="0.25">
      <c r="A13187" t="str">
        <f>"3070100"</f>
        <v>3070100</v>
      </c>
      <c r="B13187" t="s">
        <v>39853</v>
      </c>
      <c r="C13187" t="str">
        <f>"8312361"</f>
        <v>8312361</v>
      </c>
      <c r="D13187" t="s">
        <v>39854</v>
      </c>
      <c r="F13187" t="s">
        <v>39855</v>
      </c>
      <c r="I13187" t="s">
        <v>184</v>
      </c>
      <c r="J13187" t="s">
        <v>30</v>
      </c>
      <c r="K13187" t="s">
        <v>36030</v>
      </c>
      <c r="M13187" t="s">
        <v>17861</v>
      </c>
      <c r="N13187" t="str">
        <f>"10/23/2019 1:00:00 PM"</f>
        <v>10/23/2019 1:00:00 PM</v>
      </c>
      <c r="O13187" t="s">
        <v>39854</v>
      </c>
    </row>
    <row r="13188" spans="1:20" x14ac:dyDescent="0.25">
      <c r="A13188" t="str">
        <f>"3046864"</f>
        <v>3046864</v>
      </c>
      <c r="B13188" t="s">
        <v>39856</v>
      </c>
      <c r="C13188" t="str">
        <f>"82529223"</f>
        <v>82529223</v>
      </c>
      <c r="D13188" t="s">
        <v>39857</v>
      </c>
      <c r="F13188" t="s">
        <v>39858</v>
      </c>
      <c r="I13188" t="s">
        <v>29</v>
      </c>
      <c r="J13188" t="s">
        <v>30</v>
      </c>
      <c r="K13188" t="s">
        <v>31</v>
      </c>
      <c r="M13188" t="s">
        <v>25733</v>
      </c>
      <c r="N13188" t="str">
        <f>"10/23/2019 1:22:00 PM"</f>
        <v>10/23/2019 1:22:00 PM</v>
      </c>
      <c r="O13188" t="s">
        <v>39857</v>
      </c>
    </row>
    <row r="13189" spans="1:20" x14ac:dyDescent="0.25">
      <c r="A13189" t="str">
        <f>"3058077"</f>
        <v>3058077</v>
      </c>
      <c r="B13189" t="s">
        <v>39859</v>
      </c>
      <c r="C13189" t="str">
        <f>"8306616"</f>
        <v>8306616</v>
      </c>
      <c r="D13189" t="s">
        <v>39860</v>
      </c>
      <c r="F13189" t="s">
        <v>39861</v>
      </c>
      <c r="I13189" t="s">
        <v>184</v>
      </c>
      <c r="J13189" t="s">
        <v>30</v>
      </c>
      <c r="K13189" t="str">
        <f>"27006"</f>
        <v>27006</v>
      </c>
      <c r="M13189" t="s">
        <v>17861</v>
      </c>
      <c r="N13189" t="str">
        <f>"10/15/2019 9:20:00 AM"</f>
        <v>10/15/2019 9:20:00 AM</v>
      </c>
      <c r="O13189" t="s">
        <v>39860</v>
      </c>
    </row>
    <row r="13190" spans="1:20" x14ac:dyDescent="0.25">
      <c r="A13190" t="str">
        <f>"3095720"</f>
        <v>3095720</v>
      </c>
      <c r="B13190" t="s">
        <v>39862</v>
      </c>
      <c r="C13190" t="str">
        <f>"8312426"</f>
        <v>8312426</v>
      </c>
      <c r="D13190" t="s">
        <v>39863</v>
      </c>
      <c r="F13190" t="s">
        <v>39864</v>
      </c>
      <c r="I13190" t="s">
        <v>29</v>
      </c>
      <c r="J13190" t="s">
        <v>30</v>
      </c>
      <c r="K13190" t="s">
        <v>39865</v>
      </c>
      <c r="M13190" t="s">
        <v>17861</v>
      </c>
      <c r="N13190" t="str">
        <f>"11/5/2019 8:40:00 AM"</f>
        <v>11/5/2019 8:40:00 AM</v>
      </c>
      <c r="O13190" t="s">
        <v>39863</v>
      </c>
    </row>
    <row r="13191" spans="1:20" x14ac:dyDescent="0.25">
      <c r="A13191" t="str">
        <f>"3044451"</f>
        <v>3044451</v>
      </c>
      <c r="B13191" t="s">
        <v>39866</v>
      </c>
      <c r="C13191" t="str">
        <f>"8312427"</f>
        <v>8312427</v>
      </c>
      <c r="D13191" t="s">
        <v>39867</v>
      </c>
      <c r="E13191" t="s">
        <v>39868</v>
      </c>
      <c r="F13191" t="s">
        <v>39869</v>
      </c>
      <c r="I13191" t="s">
        <v>184</v>
      </c>
      <c r="J13191" t="s">
        <v>30</v>
      </c>
      <c r="K13191" t="s">
        <v>30957</v>
      </c>
      <c r="M13191" t="s">
        <v>17861</v>
      </c>
      <c r="N13191" t="str">
        <f>"11/5/2019 8:42:00 AM"</f>
        <v>11/5/2019 8:42:00 AM</v>
      </c>
      <c r="O13191" t="s">
        <v>39867</v>
      </c>
      <c r="T13191" t="s">
        <v>39868</v>
      </c>
    </row>
    <row r="13192" spans="1:20" x14ac:dyDescent="0.25">
      <c r="A13192" t="str">
        <f>"3041851"</f>
        <v>3041851</v>
      </c>
      <c r="B13192" t="s">
        <v>39870</v>
      </c>
      <c r="C13192" t="str">
        <f>"8312429"</f>
        <v>8312429</v>
      </c>
      <c r="D13192" t="s">
        <v>39871</v>
      </c>
      <c r="E13192" t="s">
        <v>39872</v>
      </c>
      <c r="F13192" t="s">
        <v>39873</v>
      </c>
      <c r="I13192" t="s">
        <v>2071</v>
      </c>
      <c r="J13192" t="s">
        <v>30</v>
      </c>
      <c r="K13192" t="s">
        <v>3872</v>
      </c>
      <c r="M13192" t="s">
        <v>17861</v>
      </c>
      <c r="N13192" t="str">
        <f>"11/5/2019 8:49:00 AM"</f>
        <v>11/5/2019 8:49:00 AM</v>
      </c>
      <c r="O13192" t="s">
        <v>39871</v>
      </c>
      <c r="T13192" t="s">
        <v>39872</v>
      </c>
    </row>
    <row r="13193" spans="1:20" x14ac:dyDescent="0.25">
      <c r="A13193" t="str">
        <f>"3053423"</f>
        <v>3053423</v>
      </c>
      <c r="B13193" t="s">
        <v>39874</v>
      </c>
      <c r="C13193" t="str">
        <f>"8312430"</f>
        <v>8312430</v>
      </c>
      <c r="D13193" t="s">
        <v>39875</v>
      </c>
      <c r="E13193" t="str">
        <f>"WILLIAMS RICHARD W SR/DOROTHY"</f>
        <v>WILLIAMS RICHARD W SR/DOROTHY</v>
      </c>
      <c r="F13193" t="s">
        <v>18198</v>
      </c>
      <c r="I13193" t="s">
        <v>964</v>
      </c>
      <c r="J13193" t="s">
        <v>30</v>
      </c>
      <c r="K13193" t="s">
        <v>39876</v>
      </c>
      <c r="M13193" t="s">
        <v>17861</v>
      </c>
      <c r="N13193" t="str">
        <f>"11/5/2019 8:53:00 AM"</f>
        <v>11/5/2019 8:53:00 AM</v>
      </c>
      <c r="O13193" t="s">
        <v>39875</v>
      </c>
      <c r="T13193" t="str">
        <f>"WILLIAMS RICHARD W SR/DOROTHY"</f>
        <v>WILLIAMS RICHARD W SR/DOROTHY</v>
      </c>
    </row>
    <row r="13194" spans="1:20" x14ac:dyDescent="0.25">
      <c r="A13194" t="str">
        <f>"3058056"</f>
        <v>3058056</v>
      </c>
      <c r="B13194" t="s">
        <v>39877</v>
      </c>
      <c r="C13194" t="str">
        <f>"8307771"</f>
        <v>8307771</v>
      </c>
      <c r="D13194" t="s">
        <v>39878</v>
      </c>
      <c r="E13194" t="s">
        <v>39879</v>
      </c>
      <c r="F13194" t="s">
        <v>39880</v>
      </c>
      <c r="I13194" t="s">
        <v>184</v>
      </c>
      <c r="J13194" t="s">
        <v>30</v>
      </c>
      <c r="K13194" t="str">
        <f>"27006"</f>
        <v>27006</v>
      </c>
      <c r="M13194" t="s">
        <v>17861</v>
      </c>
      <c r="N13194" t="str">
        <f>"10/15/2019 9:20:00 AM"</f>
        <v>10/15/2019 9:20:00 AM</v>
      </c>
      <c r="O13194" t="s">
        <v>39878</v>
      </c>
      <c r="T13194" t="s">
        <v>39879</v>
      </c>
    </row>
    <row r="13195" spans="1:20" x14ac:dyDescent="0.25">
      <c r="A13195" t="str">
        <f>"3058059"</f>
        <v>3058059</v>
      </c>
      <c r="B13195" t="s">
        <v>39881</v>
      </c>
      <c r="C13195" t="str">
        <f>"8310075"</f>
        <v>8310075</v>
      </c>
      <c r="D13195" t="s">
        <v>39882</v>
      </c>
      <c r="E13195" t="s">
        <v>39883</v>
      </c>
      <c r="F13195" t="s">
        <v>39884</v>
      </c>
      <c r="I13195" t="s">
        <v>184</v>
      </c>
      <c r="J13195" t="s">
        <v>30</v>
      </c>
      <c r="K13195" t="s">
        <v>39885</v>
      </c>
      <c r="M13195" t="s">
        <v>17861</v>
      </c>
      <c r="N13195" t="str">
        <f>"10/15/2019 9:22:00 AM"</f>
        <v>10/15/2019 9:22:00 AM</v>
      </c>
      <c r="O13195" t="s">
        <v>39882</v>
      </c>
      <c r="T13195" t="s">
        <v>39883</v>
      </c>
    </row>
    <row r="13196" spans="1:20" x14ac:dyDescent="0.25">
      <c r="A13196" t="str">
        <f>"3041578"</f>
        <v>3041578</v>
      </c>
      <c r="B13196" t="s">
        <v>39886</v>
      </c>
      <c r="C13196" t="str">
        <f>"8312435"</f>
        <v>8312435</v>
      </c>
      <c r="D13196" t="s">
        <v>39887</v>
      </c>
      <c r="E13196" t="s">
        <v>39888</v>
      </c>
      <c r="F13196" t="s">
        <v>39889</v>
      </c>
      <c r="I13196" t="s">
        <v>2071</v>
      </c>
      <c r="J13196" t="s">
        <v>30</v>
      </c>
      <c r="K13196" t="s">
        <v>36557</v>
      </c>
      <c r="M13196" t="s">
        <v>17861</v>
      </c>
      <c r="N13196" t="str">
        <f>"11/5/2019 9:43:00 AM"</f>
        <v>11/5/2019 9:43:00 AM</v>
      </c>
      <c r="O13196" t="s">
        <v>39887</v>
      </c>
      <c r="T13196" t="s">
        <v>39888</v>
      </c>
    </row>
    <row r="13197" spans="1:20" x14ac:dyDescent="0.25">
      <c r="A13197" t="str">
        <f>"3057706"</f>
        <v>3057706</v>
      </c>
      <c r="B13197" t="s">
        <v>39890</v>
      </c>
      <c r="C13197" t="str">
        <f>"8312436"</f>
        <v>8312436</v>
      </c>
      <c r="D13197" t="s">
        <v>39891</v>
      </c>
      <c r="F13197" t="s">
        <v>39892</v>
      </c>
      <c r="I13197" t="s">
        <v>29</v>
      </c>
      <c r="J13197" t="s">
        <v>30</v>
      </c>
      <c r="K13197" t="s">
        <v>15867</v>
      </c>
      <c r="M13197" t="s">
        <v>17861</v>
      </c>
      <c r="N13197" t="str">
        <f>"11/5/2019 9:45:00 AM"</f>
        <v>11/5/2019 9:45:00 AM</v>
      </c>
      <c r="O13197" t="s">
        <v>39891</v>
      </c>
    </row>
    <row r="13198" spans="1:20" x14ac:dyDescent="0.25">
      <c r="A13198" t="str">
        <f>"3048638"</f>
        <v>3048638</v>
      </c>
      <c r="B13198" t="s">
        <v>39893</v>
      </c>
      <c r="C13198" t="str">
        <f>"8312439"</f>
        <v>8312439</v>
      </c>
      <c r="D13198" t="s">
        <v>39894</v>
      </c>
      <c r="E13198" t="s">
        <v>39895</v>
      </c>
      <c r="F13198" t="s">
        <v>39896</v>
      </c>
      <c r="I13198" t="s">
        <v>29</v>
      </c>
      <c r="J13198" t="s">
        <v>30</v>
      </c>
      <c r="K13198" t="s">
        <v>9936</v>
      </c>
      <c r="M13198" t="s">
        <v>17861</v>
      </c>
      <c r="N13198" t="str">
        <f>"11/5/2019 10:31:00 AM"</f>
        <v>11/5/2019 10:31:00 AM</v>
      </c>
      <c r="O13198" t="s">
        <v>39894</v>
      </c>
      <c r="T13198" t="s">
        <v>39895</v>
      </c>
    </row>
    <row r="13199" spans="1:20" x14ac:dyDescent="0.25">
      <c r="A13199" t="str">
        <f>"3048404"</f>
        <v>3048404</v>
      </c>
      <c r="B13199" t="s">
        <v>39897</v>
      </c>
      <c r="C13199" t="str">
        <f>"8312320"</f>
        <v>8312320</v>
      </c>
      <c r="D13199" t="s">
        <v>39898</v>
      </c>
      <c r="F13199" t="s">
        <v>39899</v>
      </c>
      <c r="I13199" t="s">
        <v>29</v>
      </c>
      <c r="J13199" t="s">
        <v>30</v>
      </c>
      <c r="K13199" t="s">
        <v>31045</v>
      </c>
      <c r="M13199" t="s">
        <v>17861</v>
      </c>
      <c r="N13199" t="str">
        <f>"10/15/2019 10:07:00 AM"</f>
        <v>10/15/2019 10:07:00 AM</v>
      </c>
      <c r="O13199" t="s">
        <v>39898</v>
      </c>
    </row>
    <row r="13200" spans="1:20" x14ac:dyDescent="0.25">
      <c r="A13200" t="str">
        <f>"3057256"</f>
        <v>3057256</v>
      </c>
      <c r="B13200" t="s">
        <v>39900</v>
      </c>
      <c r="C13200" t="str">
        <f>"82527089"</f>
        <v>82527089</v>
      </c>
      <c r="D13200" t="s">
        <v>20747</v>
      </c>
      <c r="E13200" t="s">
        <v>39901</v>
      </c>
      <c r="F13200" t="s">
        <v>39902</v>
      </c>
      <c r="I13200" t="s">
        <v>184</v>
      </c>
      <c r="J13200" t="s">
        <v>30</v>
      </c>
      <c r="K13200" t="s">
        <v>185</v>
      </c>
      <c r="M13200" t="s">
        <v>36935</v>
      </c>
      <c r="N13200" t="str">
        <f>"10/15/2019 10:27:00 AM"</f>
        <v>10/15/2019 10:27:00 AM</v>
      </c>
      <c r="O13200" t="s">
        <v>20747</v>
      </c>
      <c r="T13200" t="s">
        <v>39901</v>
      </c>
    </row>
    <row r="13201" spans="1:20" x14ac:dyDescent="0.25">
      <c r="A13201" t="str">
        <f>"3078640"</f>
        <v>3078640</v>
      </c>
      <c r="B13201" t="s">
        <v>39903</v>
      </c>
      <c r="C13201" t="str">
        <f>"8312325"</f>
        <v>8312325</v>
      </c>
      <c r="D13201" t="s">
        <v>39904</v>
      </c>
      <c r="F13201" t="s">
        <v>39905</v>
      </c>
      <c r="I13201" t="s">
        <v>29</v>
      </c>
      <c r="J13201" t="s">
        <v>30</v>
      </c>
      <c r="K13201" t="s">
        <v>39906</v>
      </c>
      <c r="M13201" t="s">
        <v>18479</v>
      </c>
      <c r="N13201" t="str">
        <f>"10/15/2019 4:16:00 PM"</f>
        <v>10/15/2019 4:16:00 PM</v>
      </c>
      <c r="O13201" t="s">
        <v>39904</v>
      </c>
    </row>
    <row r="13202" spans="1:20" x14ac:dyDescent="0.25">
      <c r="A13202" t="str">
        <f>"3050118"</f>
        <v>3050118</v>
      </c>
      <c r="B13202" t="s">
        <v>39907</v>
      </c>
      <c r="C13202" t="str">
        <f>"8312328"</f>
        <v>8312328</v>
      </c>
      <c r="D13202" t="s">
        <v>39908</v>
      </c>
      <c r="F13202" t="s">
        <v>39909</v>
      </c>
      <c r="I13202" t="s">
        <v>6801</v>
      </c>
      <c r="J13202" t="s">
        <v>30</v>
      </c>
      <c r="K13202" t="s">
        <v>39910</v>
      </c>
      <c r="M13202" t="s">
        <v>17861</v>
      </c>
      <c r="N13202" t="str">
        <f>"10/16/2019 9:13:00 AM"</f>
        <v>10/16/2019 9:13:00 AM</v>
      </c>
      <c r="O13202" t="s">
        <v>39908</v>
      </c>
    </row>
    <row r="13203" spans="1:20" x14ac:dyDescent="0.25">
      <c r="A13203" t="str">
        <f>"3042665"</f>
        <v>3042665</v>
      </c>
      <c r="B13203" t="s">
        <v>39911</v>
      </c>
      <c r="C13203" t="str">
        <f>"8312454"</f>
        <v>8312454</v>
      </c>
      <c r="D13203" t="s">
        <v>39912</v>
      </c>
      <c r="E13203" t="s">
        <v>39913</v>
      </c>
      <c r="F13203" t="s">
        <v>4067</v>
      </c>
      <c r="I13203" t="s">
        <v>17921</v>
      </c>
      <c r="J13203" t="s">
        <v>30</v>
      </c>
      <c r="K13203" t="str">
        <f>"27028"</f>
        <v>27028</v>
      </c>
      <c r="M13203" t="s">
        <v>17861</v>
      </c>
      <c r="N13203" t="str">
        <f>"11/6/2019 11:31:00 AM"</f>
        <v>11/6/2019 11:31:00 AM</v>
      </c>
      <c r="O13203" t="s">
        <v>39912</v>
      </c>
      <c r="T13203" t="s">
        <v>39913</v>
      </c>
    </row>
    <row r="13204" spans="1:20" x14ac:dyDescent="0.25">
      <c r="A13204" t="str">
        <f>"3045681"</f>
        <v>3045681</v>
      </c>
      <c r="B13204" t="s">
        <v>39914</v>
      </c>
      <c r="C13204" t="str">
        <f>"8307842"</f>
        <v>8307842</v>
      </c>
      <c r="D13204" t="s">
        <v>39915</v>
      </c>
      <c r="F13204" t="s">
        <v>39916</v>
      </c>
      <c r="I13204" t="s">
        <v>29</v>
      </c>
      <c r="J13204" t="s">
        <v>30</v>
      </c>
      <c r="K13204" t="str">
        <f>"27028"</f>
        <v>27028</v>
      </c>
      <c r="M13204" t="s">
        <v>33432</v>
      </c>
      <c r="N13204" t="str">
        <f>"10/17/2019 10:42:00 AM"</f>
        <v>10/17/2019 10:42:00 AM</v>
      </c>
      <c r="O13204" t="s">
        <v>39915</v>
      </c>
    </row>
    <row r="13205" spans="1:20" x14ac:dyDescent="0.25">
      <c r="A13205" t="str">
        <f>"3037570"</f>
        <v>3037570</v>
      </c>
      <c r="B13205" t="s">
        <v>39917</v>
      </c>
      <c r="C13205" t="str">
        <f>"82530873"</f>
        <v>82530873</v>
      </c>
      <c r="D13205" t="s">
        <v>39918</v>
      </c>
      <c r="F13205" t="s">
        <v>39919</v>
      </c>
      <c r="I13205" t="s">
        <v>49</v>
      </c>
      <c r="J13205" t="s">
        <v>30</v>
      </c>
      <c r="K13205" t="s">
        <v>50</v>
      </c>
      <c r="M13205" t="s">
        <v>34475</v>
      </c>
      <c r="N13205" t="str">
        <f>"10/24/2019 1:03:00 PM"</f>
        <v>10/24/2019 1:03:00 PM</v>
      </c>
      <c r="O13205" t="s">
        <v>39918</v>
      </c>
    </row>
    <row r="13206" spans="1:20" x14ac:dyDescent="0.25">
      <c r="A13206" t="str">
        <f>"3064017"</f>
        <v>3064017</v>
      </c>
      <c r="B13206" t="s">
        <v>39920</v>
      </c>
      <c r="C13206" t="str">
        <f>"8312369"</f>
        <v>8312369</v>
      </c>
      <c r="D13206" t="s">
        <v>39921</v>
      </c>
      <c r="F13206" t="s">
        <v>39922</v>
      </c>
      <c r="I13206" t="s">
        <v>184</v>
      </c>
      <c r="J13206" t="s">
        <v>30</v>
      </c>
      <c r="K13206" t="s">
        <v>39923</v>
      </c>
      <c r="M13206" t="s">
        <v>17861</v>
      </c>
      <c r="N13206" t="str">
        <f>"10/24/2019 3:28:00 PM"</f>
        <v>10/24/2019 3:28:00 PM</v>
      </c>
      <c r="O13206" t="s">
        <v>39921</v>
      </c>
    </row>
    <row r="13207" spans="1:20" x14ac:dyDescent="0.25">
      <c r="A13207" t="str">
        <f>"3060382"</f>
        <v>3060382</v>
      </c>
      <c r="B13207" t="s">
        <v>39924</v>
      </c>
      <c r="C13207" t="str">
        <f>"8312370"</f>
        <v>8312370</v>
      </c>
      <c r="D13207" t="s">
        <v>39925</v>
      </c>
      <c r="F13207" t="s">
        <v>39926</v>
      </c>
      <c r="I13207" t="s">
        <v>29</v>
      </c>
      <c r="J13207" t="s">
        <v>30</v>
      </c>
      <c r="K13207" t="s">
        <v>477</v>
      </c>
      <c r="M13207" t="s">
        <v>17861</v>
      </c>
      <c r="N13207" t="str">
        <f>"10/24/2019 3:31:00 PM"</f>
        <v>10/24/2019 3:31:00 PM</v>
      </c>
      <c r="O13207" t="s">
        <v>39925</v>
      </c>
    </row>
    <row r="13208" spans="1:20" x14ac:dyDescent="0.25">
      <c r="A13208" t="str">
        <f>"3049788"</f>
        <v>3049788</v>
      </c>
      <c r="B13208" t="s">
        <v>39927</v>
      </c>
      <c r="C13208" t="str">
        <f>"8312386"</f>
        <v>8312386</v>
      </c>
      <c r="D13208" t="s">
        <v>39928</v>
      </c>
      <c r="F13208" t="s">
        <v>39929</v>
      </c>
      <c r="I13208" t="s">
        <v>29</v>
      </c>
      <c r="J13208" t="s">
        <v>30</v>
      </c>
      <c r="K13208" t="s">
        <v>9706</v>
      </c>
      <c r="M13208" t="s">
        <v>17861</v>
      </c>
      <c r="N13208" t="str">
        <f>"10/28/2019 10:24:00 AM"</f>
        <v>10/28/2019 10:24:00 AM</v>
      </c>
      <c r="O13208" t="s">
        <v>39928</v>
      </c>
    </row>
    <row r="13209" spans="1:20" x14ac:dyDescent="0.25">
      <c r="A13209" t="str">
        <f>"3061539"</f>
        <v>3061539</v>
      </c>
      <c r="B13209" t="s">
        <v>39930</v>
      </c>
      <c r="C13209" t="str">
        <f>"8312389"</f>
        <v>8312389</v>
      </c>
      <c r="D13209" t="s">
        <v>39931</v>
      </c>
      <c r="F13209" t="s">
        <v>39932</v>
      </c>
      <c r="I13209" t="s">
        <v>184</v>
      </c>
      <c r="J13209" t="s">
        <v>30</v>
      </c>
      <c r="K13209" t="s">
        <v>34784</v>
      </c>
      <c r="M13209" t="s">
        <v>17861</v>
      </c>
      <c r="N13209" t="str">
        <f>"10/28/2019 10:54:00 AM"</f>
        <v>10/28/2019 10:54:00 AM</v>
      </c>
      <c r="O13209" t="s">
        <v>39931</v>
      </c>
    </row>
    <row r="13210" spans="1:20" x14ac:dyDescent="0.25">
      <c r="A13210" t="str">
        <f>"3041512"</f>
        <v>3041512</v>
      </c>
      <c r="B13210" t="s">
        <v>39933</v>
      </c>
      <c r="C13210" t="str">
        <f>"8312395"</f>
        <v>8312395</v>
      </c>
      <c r="D13210" t="s">
        <v>39934</v>
      </c>
      <c r="F13210" t="s">
        <v>39935</v>
      </c>
      <c r="I13210" t="s">
        <v>2071</v>
      </c>
      <c r="J13210" t="s">
        <v>30</v>
      </c>
      <c r="K13210" t="s">
        <v>39936</v>
      </c>
      <c r="M13210" t="s">
        <v>17861</v>
      </c>
      <c r="N13210" t="str">
        <f>"10/28/2019 12:50:00 PM"</f>
        <v>10/28/2019 12:50:00 PM</v>
      </c>
      <c r="O13210" t="s">
        <v>39934</v>
      </c>
    </row>
    <row r="13211" spans="1:20" x14ac:dyDescent="0.25">
      <c r="A13211" t="str">
        <f>"3070365"</f>
        <v>3070365</v>
      </c>
      <c r="B13211" t="s">
        <v>39937</v>
      </c>
      <c r="C13211" t="str">
        <f>"8303294"</f>
        <v>8303294</v>
      </c>
      <c r="D13211" t="s">
        <v>39838</v>
      </c>
      <c r="F13211" t="s">
        <v>39839</v>
      </c>
      <c r="I13211" t="s">
        <v>29</v>
      </c>
      <c r="J13211" t="s">
        <v>30</v>
      </c>
      <c r="K13211" t="s">
        <v>39840</v>
      </c>
      <c r="M13211" t="s">
        <v>18479</v>
      </c>
      <c r="N13211" t="str">
        <f>"10/29/2019 1:29:00 PM"</f>
        <v>10/29/2019 1:29:00 PM</v>
      </c>
      <c r="O13211" t="s">
        <v>39838</v>
      </c>
    </row>
    <row r="13212" spans="1:20" x14ac:dyDescent="0.25">
      <c r="A13212" t="str">
        <f>"3038718"</f>
        <v>3038718</v>
      </c>
      <c r="B13212" t="s">
        <v>39938</v>
      </c>
      <c r="C13212" t="str">
        <f>"82523007"</f>
        <v>82523007</v>
      </c>
      <c r="D13212" t="s">
        <v>35903</v>
      </c>
      <c r="F13212" t="s">
        <v>39939</v>
      </c>
      <c r="I13212" t="s">
        <v>29</v>
      </c>
      <c r="J13212" t="s">
        <v>30</v>
      </c>
      <c r="K13212" t="s">
        <v>168</v>
      </c>
      <c r="M13212" t="s">
        <v>34475</v>
      </c>
      <c r="N13212" t="str">
        <f>"10/30/2019 2:04:00 PM"</f>
        <v>10/30/2019 2:04:00 PM</v>
      </c>
      <c r="O13212" t="s">
        <v>35903</v>
      </c>
    </row>
    <row r="13213" spans="1:20" x14ac:dyDescent="0.25">
      <c r="A13213" t="str">
        <f>"3048284"</f>
        <v>3048284</v>
      </c>
      <c r="B13213" t="s">
        <v>39940</v>
      </c>
      <c r="C13213" t="str">
        <f>"8307549"</f>
        <v>8307549</v>
      </c>
      <c r="D13213" t="s">
        <v>39941</v>
      </c>
      <c r="F13213" t="s">
        <v>39942</v>
      </c>
      <c r="I13213" t="s">
        <v>1149</v>
      </c>
      <c r="J13213" t="s">
        <v>30</v>
      </c>
      <c r="K13213" t="str">
        <f>"28634"</f>
        <v>28634</v>
      </c>
      <c r="M13213" t="s">
        <v>33432</v>
      </c>
      <c r="N13213" t="str">
        <f>"10/31/2019 3:33:00 PM"</f>
        <v>10/31/2019 3:33:00 PM</v>
      </c>
      <c r="O13213" t="s">
        <v>39941</v>
      </c>
    </row>
    <row r="13214" spans="1:20" x14ac:dyDescent="0.25">
      <c r="A13214" t="str">
        <f>"3045941"</f>
        <v>3045941</v>
      </c>
      <c r="B13214" t="s">
        <v>39943</v>
      </c>
      <c r="C13214" t="str">
        <f>"8312493"</f>
        <v>8312493</v>
      </c>
      <c r="D13214" t="s">
        <v>39944</v>
      </c>
      <c r="E13214" t="s">
        <v>39945</v>
      </c>
      <c r="F13214" t="s">
        <v>39946</v>
      </c>
      <c r="I13214" t="s">
        <v>29</v>
      </c>
      <c r="J13214" t="s">
        <v>30</v>
      </c>
      <c r="K13214" t="s">
        <v>39947</v>
      </c>
      <c r="M13214" t="s">
        <v>17861</v>
      </c>
      <c r="N13214" t="str">
        <f>"11/7/2019 1:44:00 PM"</f>
        <v>11/7/2019 1:44:00 PM</v>
      </c>
      <c r="O13214" t="s">
        <v>39944</v>
      </c>
      <c r="T13214" t="s">
        <v>39945</v>
      </c>
    </row>
    <row r="13215" spans="1:20" x14ac:dyDescent="0.25">
      <c r="A13215" t="str">
        <f>"3046002"</f>
        <v>3046002</v>
      </c>
      <c r="B13215" t="s">
        <v>39948</v>
      </c>
      <c r="C13215" t="str">
        <f>"8312493"</f>
        <v>8312493</v>
      </c>
      <c r="D13215" t="s">
        <v>39944</v>
      </c>
      <c r="E13215" t="s">
        <v>39945</v>
      </c>
      <c r="F13215" t="s">
        <v>39946</v>
      </c>
      <c r="I13215" t="s">
        <v>29</v>
      </c>
      <c r="J13215" t="s">
        <v>30</v>
      </c>
      <c r="K13215" t="s">
        <v>39947</v>
      </c>
      <c r="M13215" t="s">
        <v>17861</v>
      </c>
      <c r="N13215" t="str">
        <f>"11/7/2019 1:44:00 PM"</f>
        <v>11/7/2019 1:44:00 PM</v>
      </c>
      <c r="O13215" t="s">
        <v>39944</v>
      </c>
      <c r="T13215" t="s">
        <v>39945</v>
      </c>
    </row>
    <row r="13216" spans="1:20" x14ac:dyDescent="0.25">
      <c r="A13216" t="str">
        <f>"3046330"</f>
        <v>3046330</v>
      </c>
      <c r="B13216" t="s">
        <v>39949</v>
      </c>
      <c r="C13216" t="str">
        <f>"8312493"</f>
        <v>8312493</v>
      </c>
      <c r="D13216" t="s">
        <v>39944</v>
      </c>
      <c r="E13216" t="s">
        <v>39945</v>
      </c>
      <c r="F13216" t="s">
        <v>39946</v>
      </c>
      <c r="I13216" t="s">
        <v>29</v>
      </c>
      <c r="J13216" t="s">
        <v>30</v>
      </c>
      <c r="K13216" t="s">
        <v>39947</v>
      </c>
      <c r="M13216" t="s">
        <v>17861</v>
      </c>
      <c r="N13216" t="str">
        <f>"11/7/2019 1:44:00 PM"</f>
        <v>11/7/2019 1:44:00 PM</v>
      </c>
      <c r="O13216" t="s">
        <v>39944</v>
      </c>
      <c r="T13216" t="s">
        <v>39945</v>
      </c>
    </row>
    <row r="13217" spans="1:20" x14ac:dyDescent="0.25">
      <c r="A13217" t="str">
        <f>"3052372"</f>
        <v>3052372</v>
      </c>
      <c r="B13217" t="s">
        <v>39950</v>
      </c>
      <c r="C13217" t="str">
        <f>"8312494"</f>
        <v>8312494</v>
      </c>
      <c r="D13217" t="s">
        <v>39951</v>
      </c>
      <c r="F13217" t="s">
        <v>39952</v>
      </c>
      <c r="I13217" t="s">
        <v>29</v>
      </c>
      <c r="J13217" t="s">
        <v>30</v>
      </c>
      <c r="K13217" t="s">
        <v>39953</v>
      </c>
      <c r="M13217" t="s">
        <v>17861</v>
      </c>
      <c r="N13217" t="str">
        <f>"11/7/2019 1:48:00 PM"</f>
        <v>11/7/2019 1:48:00 PM</v>
      </c>
      <c r="O13217" t="s">
        <v>39951</v>
      </c>
    </row>
    <row r="13218" spans="1:20" x14ac:dyDescent="0.25">
      <c r="A13218" t="str">
        <f>"3061648"</f>
        <v>3061648</v>
      </c>
      <c r="B13218" t="s">
        <v>39954</v>
      </c>
      <c r="C13218" t="str">
        <f>"8312415"</f>
        <v>8312415</v>
      </c>
      <c r="D13218" t="s">
        <v>39955</v>
      </c>
      <c r="E13218" t="s">
        <v>39956</v>
      </c>
      <c r="F13218" t="s">
        <v>39957</v>
      </c>
      <c r="I13218" t="s">
        <v>29</v>
      </c>
      <c r="J13218" t="s">
        <v>30</v>
      </c>
      <c r="K13218" t="s">
        <v>19553</v>
      </c>
      <c r="M13218" t="s">
        <v>17861</v>
      </c>
      <c r="N13218" t="str">
        <f>"11/4/2019 3:53:00 PM"</f>
        <v>11/4/2019 3:53:00 PM</v>
      </c>
      <c r="O13218" t="s">
        <v>39955</v>
      </c>
      <c r="T13218" t="s">
        <v>39956</v>
      </c>
    </row>
    <row r="13219" spans="1:20" x14ac:dyDescent="0.25">
      <c r="A13219" t="str">
        <f>"3066153"</f>
        <v>3066153</v>
      </c>
      <c r="B13219" t="s">
        <v>39958</v>
      </c>
      <c r="C13219" t="str">
        <f>"8312417"</f>
        <v>8312417</v>
      </c>
      <c r="D13219" t="s">
        <v>39959</v>
      </c>
      <c r="F13219" t="s">
        <v>39960</v>
      </c>
      <c r="I13219" t="s">
        <v>2071</v>
      </c>
      <c r="J13219" t="s">
        <v>30</v>
      </c>
      <c r="K13219" t="s">
        <v>38104</v>
      </c>
      <c r="M13219" t="s">
        <v>17861</v>
      </c>
      <c r="N13219" t="str">
        <f>"11/4/2019 3:58:00 PM"</f>
        <v>11/4/2019 3:58:00 PM</v>
      </c>
      <c r="O13219" t="s">
        <v>39959</v>
      </c>
    </row>
    <row r="13220" spans="1:20" x14ac:dyDescent="0.25">
      <c r="A13220" t="str">
        <f>"3041477"</f>
        <v>3041477</v>
      </c>
      <c r="B13220" t="s">
        <v>39961</v>
      </c>
      <c r="C13220" t="str">
        <f>"8312418"</f>
        <v>8312418</v>
      </c>
      <c r="D13220" t="s">
        <v>39962</v>
      </c>
      <c r="E13220" t="s">
        <v>39963</v>
      </c>
      <c r="F13220" t="s">
        <v>39964</v>
      </c>
      <c r="I13220" t="s">
        <v>2071</v>
      </c>
      <c r="J13220" t="s">
        <v>30</v>
      </c>
      <c r="K13220" t="s">
        <v>34731</v>
      </c>
      <c r="M13220" t="s">
        <v>17861</v>
      </c>
      <c r="N13220" t="str">
        <f>"11/4/2019 4:06:00 PM"</f>
        <v>11/4/2019 4:06:00 PM</v>
      </c>
      <c r="O13220" t="s">
        <v>39962</v>
      </c>
      <c r="T13220" t="s">
        <v>39963</v>
      </c>
    </row>
    <row r="13221" spans="1:20" x14ac:dyDescent="0.25">
      <c r="A13221" t="str">
        <f>"3045525"</f>
        <v>3045525</v>
      </c>
      <c r="B13221" t="s">
        <v>39965</v>
      </c>
      <c r="C13221" t="str">
        <f>"8312422"</f>
        <v>8312422</v>
      </c>
      <c r="D13221" t="s">
        <v>39966</v>
      </c>
      <c r="E13221" t="s">
        <v>39967</v>
      </c>
      <c r="F13221" t="s">
        <v>39968</v>
      </c>
      <c r="I13221" t="s">
        <v>1149</v>
      </c>
      <c r="J13221" t="s">
        <v>30</v>
      </c>
      <c r="K13221" t="s">
        <v>6851</v>
      </c>
      <c r="M13221" t="s">
        <v>17861</v>
      </c>
      <c r="N13221" t="str">
        <f>"11/4/2019 4:22:00 PM"</f>
        <v>11/4/2019 4:22:00 PM</v>
      </c>
      <c r="O13221" t="s">
        <v>39966</v>
      </c>
      <c r="T13221" t="s">
        <v>39967</v>
      </c>
    </row>
    <row r="13222" spans="1:20" x14ac:dyDescent="0.25">
      <c r="A13222" t="str">
        <f>"3049644"</f>
        <v>3049644</v>
      </c>
      <c r="B13222" t="s">
        <v>39969</v>
      </c>
      <c r="C13222" t="str">
        <f>"8312425"</f>
        <v>8312425</v>
      </c>
      <c r="D13222" t="s">
        <v>39863</v>
      </c>
      <c r="E13222" t="s">
        <v>39970</v>
      </c>
      <c r="F13222" t="s">
        <v>39864</v>
      </c>
      <c r="I13222" t="s">
        <v>29</v>
      </c>
      <c r="J13222" t="s">
        <v>30</v>
      </c>
      <c r="K13222" t="s">
        <v>39865</v>
      </c>
      <c r="M13222" t="s">
        <v>17861</v>
      </c>
      <c r="N13222" t="str">
        <f>"11/5/2019 8:39:00 AM"</f>
        <v>11/5/2019 8:39:00 AM</v>
      </c>
      <c r="O13222" t="s">
        <v>39863</v>
      </c>
      <c r="T13222" t="s">
        <v>39970</v>
      </c>
    </row>
    <row r="13223" spans="1:20" x14ac:dyDescent="0.25">
      <c r="A13223" t="str">
        <f>"3062127"</f>
        <v>3062127</v>
      </c>
      <c r="B13223" t="s">
        <v>39971</v>
      </c>
      <c r="C13223" t="str">
        <f>"8312362"</f>
        <v>8312362</v>
      </c>
      <c r="D13223" t="s">
        <v>39972</v>
      </c>
      <c r="E13223" t="s">
        <v>39973</v>
      </c>
      <c r="F13223" t="s">
        <v>39974</v>
      </c>
      <c r="I13223" t="s">
        <v>29</v>
      </c>
      <c r="J13223" t="s">
        <v>30</v>
      </c>
      <c r="K13223" t="s">
        <v>39975</v>
      </c>
      <c r="M13223" t="s">
        <v>17861</v>
      </c>
      <c r="N13223" t="str">
        <f>"10/23/2019 3:24:00 PM"</f>
        <v>10/23/2019 3:24:00 PM</v>
      </c>
      <c r="O13223" t="s">
        <v>39972</v>
      </c>
      <c r="T13223" t="s">
        <v>39973</v>
      </c>
    </row>
    <row r="13224" spans="1:20" x14ac:dyDescent="0.25">
      <c r="A13224" t="str">
        <f>"3054932"</f>
        <v>3054932</v>
      </c>
      <c r="B13224" t="s">
        <v>39976</v>
      </c>
      <c r="C13224" t="str">
        <f>"8312557"</f>
        <v>8312557</v>
      </c>
      <c r="D13224" t="s">
        <v>39977</v>
      </c>
      <c r="E13224" t="s">
        <v>39978</v>
      </c>
      <c r="F13224" t="s">
        <v>39979</v>
      </c>
      <c r="I13224" t="s">
        <v>39980</v>
      </c>
      <c r="J13224" t="s">
        <v>30</v>
      </c>
      <c r="K13224" t="s">
        <v>39981</v>
      </c>
      <c r="M13224" t="s">
        <v>17861</v>
      </c>
      <c r="N13224" t="str">
        <f>"11/14/2019 2:55:00 PM"</f>
        <v>11/14/2019 2:55:00 PM</v>
      </c>
      <c r="O13224" t="s">
        <v>39977</v>
      </c>
      <c r="T13224" t="s">
        <v>39978</v>
      </c>
    </row>
    <row r="13225" spans="1:20" x14ac:dyDescent="0.25">
      <c r="A13225" t="str">
        <f>"3037259"</f>
        <v>3037259</v>
      </c>
      <c r="B13225" t="s">
        <v>39982</v>
      </c>
      <c r="C13225" t="str">
        <f>"8312558"</f>
        <v>8312558</v>
      </c>
      <c r="D13225" t="s">
        <v>39983</v>
      </c>
      <c r="E13225" t="s">
        <v>39984</v>
      </c>
      <c r="F13225" t="s">
        <v>39985</v>
      </c>
      <c r="I13225" t="s">
        <v>184</v>
      </c>
      <c r="J13225" t="s">
        <v>30</v>
      </c>
      <c r="K13225" t="s">
        <v>18735</v>
      </c>
      <c r="M13225" t="s">
        <v>17861</v>
      </c>
      <c r="N13225" t="str">
        <f>"11/14/2019 3:09:00 PM"</f>
        <v>11/14/2019 3:09:00 PM</v>
      </c>
      <c r="O13225" t="s">
        <v>39983</v>
      </c>
      <c r="T13225" t="s">
        <v>39984</v>
      </c>
    </row>
    <row r="13226" spans="1:20" x14ac:dyDescent="0.25">
      <c r="A13226" t="str">
        <f>"3062920"</f>
        <v>3062920</v>
      </c>
      <c r="B13226" t="s">
        <v>39986</v>
      </c>
      <c r="C13226" t="str">
        <f>"8312560"</f>
        <v>8312560</v>
      </c>
      <c r="D13226" t="s">
        <v>39987</v>
      </c>
      <c r="E13226" t="s">
        <v>39988</v>
      </c>
      <c r="F13226" t="s">
        <v>39989</v>
      </c>
      <c r="I13226" t="s">
        <v>29</v>
      </c>
      <c r="J13226" t="s">
        <v>30</v>
      </c>
      <c r="K13226" t="s">
        <v>29663</v>
      </c>
      <c r="M13226" t="s">
        <v>17861</v>
      </c>
      <c r="N13226" t="str">
        <f>"11/14/2019 3:17:00 PM"</f>
        <v>11/14/2019 3:17:00 PM</v>
      </c>
      <c r="O13226" t="s">
        <v>39987</v>
      </c>
      <c r="T13226" t="s">
        <v>39988</v>
      </c>
    </row>
    <row r="13227" spans="1:20" x14ac:dyDescent="0.25">
      <c r="A13227" t="str">
        <f>"3061597"</f>
        <v>3061597</v>
      </c>
      <c r="B13227" t="s">
        <v>39990</v>
      </c>
      <c r="C13227" t="str">
        <f>"8312561"</f>
        <v>8312561</v>
      </c>
      <c r="D13227" t="s">
        <v>39991</v>
      </c>
      <c r="E13227" t="s">
        <v>39992</v>
      </c>
      <c r="F13227" t="s">
        <v>39993</v>
      </c>
      <c r="I13227" t="s">
        <v>29</v>
      </c>
      <c r="J13227" t="s">
        <v>30</v>
      </c>
      <c r="K13227" t="str">
        <f>"27028"</f>
        <v>27028</v>
      </c>
      <c r="M13227" t="s">
        <v>17861</v>
      </c>
      <c r="N13227" t="str">
        <f>"11/14/2019 3:20:00 PM"</f>
        <v>11/14/2019 3:20:00 PM</v>
      </c>
      <c r="O13227" t="s">
        <v>39991</v>
      </c>
      <c r="T13227" t="s">
        <v>39992</v>
      </c>
    </row>
    <row r="13228" spans="1:20" x14ac:dyDescent="0.25">
      <c r="A13228" t="str">
        <f>"3062257"</f>
        <v>3062257</v>
      </c>
      <c r="B13228" t="s">
        <v>39994</v>
      </c>
      <c r="C13228" t="str">
        <f>"8312562"</f>
        <v>8312562</v>
      </c>
      <c r="D13228" t="s">
        <v>39995</v>
      </c>
      <c r="F13228" t="s">
        <v>39996</v>
      </c>
      <c r="I13228" t="s">
        <v>29</v>
      </c>
      <c r="J13228" t="s">
        <v>30</v>
      </c>
      <c r="K13228" t="s">
        <v>39997</v>
      </c>
      <c r="M13228" t="s">
        <v>17861</v>
      </c>
      <c r="N13228" t="str">
        <f>"11/14/2019 3:31:00 PM"</f>
        <v>11/14/2019 3:31:00 PM</v>
      </c>
      <c r="O13228" t="s">
        <v>39995</v>
      </c>
    </row>
    <row r="13229" spans="1:20" x14ac:dyDescent="0.25">
      <c r="A13229" t="str">
        <f>"3051326"</f>
        <v>3051326</v>
      </c>
      <c r="B13229" t="s">
        <v>39998</v>
      </c>
      <c r="C13229" t="str">
        <f>"8312566"</f>
        <v>8312566</v>
      </c>
      <c r="D13229" t="s">
        <v>39999</v>
      </c>
      <c r="E13229" t="s">
        <v>40000</v>
      </c>
      <c r="F13229" t="s">
        <v>40001</v>
      </c>
      <c r="I13229" t="s">
        <v>17921</v>
      </c>
      <c r="J13229" t="s">
        <v>30</v>
      </c>
      <c r="K13229" t="str">
        <f>"27028"</f>
        <v>27028</v>
      </c>
      <c r="M13229" t="s">
        <v>17861</v>
      </c>
      <c r="N13229" t="str">
        <f>"11/14/2019 3:46:00 PM"</f>
        <v>11/14/2019 3:46:00 PM</v>
      </c>
      <c r="O13229" t="s">
        <v>39999</v>
      </c>
      <c r="T13229" t="s">
        <v>40000</v>
      </c>
    </row>
    <row r="13230" spans="1:20" x14ac:dyDescent="0.25">
      <c r="A13230" t="str">
        <f>"3061699"</f>
        <v>3061699</v>
      </c>
      <c r="B13230" t="s">
        <v>40002</v>
      </c>
      <c r="C13230" t="str">
        <f>"8312431"</f>
        <v>8312431</v>
      </c>
      <c r="D13230" t="s">
        <v>40003</v>
      </c>
      <c r="E13230" t="s">
        <v>40004</v>
      </c>
      <c r="F13230" t="s">
        <v>40005</v>
      </c>
      <c r="I13230" t="s">
        <v>2071</v>
      </c>
      <c r="J13230" t="s">
        <v>30</v>
      </c>
      <c r="K13230" t="s">
        <v>30968</v>
      </c>
      <c r="M13230" t="s">
        <v>17861</v>
      </c>
      <c r="N13230" t="str">
        <f>"11/5/2019 8:56:00 AM"</f>
        <v>11/5/2019 8:56:00 AM</v>
      </c>
      <c r="O13230" t="s">
        <v>40003</v>
      </c>
      <c r="T13230" t="s">
        <v>40004</v>
      </c>
    </row>
    <row r="13231" spans="1:20" x14ac:dyDescent="0.25">
      <c r="A13231" t="str">
        <f>"3056019"</f>
        <v>3056019</v>
      </c>
      <c r="B13231" t="s">
        <v>40006</v>
      </c>
      <c r="C13231" t="str">
        <f>"8312433"</f>
        <v>8312433</v>
      </c>
      <c r="D13231" t="s">
        <v>40007</v>
      </c>
      <c r="E13231" t="s">
        <v>40008</v>
      </c>
      <c r="F13231" t="s">
        <v>15748</v>
      </c>
      <c r="I13231" t="s">
        <v>9580</v>
      </c>
      <c r="J13231" t="s">
        <v>30</v>
      </c>
      <c r="K13231" t="s">
        <v>27315</v>
      </c>
      <c r="M13231" t="s">
        <v>17861</v>
      </c>
      <c r="N13231" t="str">
        <f>"11/5/2019 9:24:00 AM"</f>
        <v>11/5/2019 9:24:00 AM</v>
      </c>
      <c r="O13231" t="s">
        <v>40007</v>
      </c>
      <c r="T13231" t="s">
        <v>40008</v>
      </c>
    </row>
    <row r="13232" spans="1:20" x14ac:dyDescent="0.25">
      <c r="A13232" t="str">
        <f>"3040636"</f>
        <v>3040636</v>
      </c>
      <c r="B13232" t="s">
        <v>40009</v>
      </c>
      <c r="C13232" t="str">
        <f>"8312443"</f>
        <v>8312443</v>
      </c>
      <c r="D13232" t="s">
        <v>40010</v>
      </c>
      <c r="E13232" t="s">
        <v>40011</v>
      </c>
      <c r="F13232" t="s">
        <v>40012</v>
      </c>
      <c r="I13232" t="s">
        <v>184</v>
      </c>
      <c r="J13232" t="s">
        <v>30</v>
      </c>
      <c r="K13232" t="s">
        <v>28622</v>
      </c>
      <c r="M13232" t="s">
        <v>17861</v>
      </c>
      <c r="N13232" t="str">
        <f>"11/5/2019 10:51:00 AM"</f>
        <v>11/5/2019 10:51:00 AM</v>
      </c>
      <c r="O13232" t="s">
        <v>40010</v>
      </c>
      <c r="T13232" t="s">
        <v>40011</v>
      </c>
    </row>
    <row r="13233" spans="1:20" x14ac:dyDescent="0.25">
      <c r="A13233" t="str">
        <f>"3049919"</f>
        <v>3049919</v>
      </c>
      <c r="B13233" t="s">
        <v>40013</v>
      </c>
      <c r="C13233" t="str">
        <f>"8312448"</f>
        <v>8312448</v>
      </c>
      <c r="D13233" t="s">
        <v>40014</v>
      </c>
      <c r="E13233" t="s">
        <v>40015</v>
      </c>
      <c r="F13233" t="s">
        <v>40016</v>
      </c>
      <c r="I13233" t="s">
        <v>29</v>
      </c>
      <c r="J13233" t="s">
        <v>30</v>
      </c>
      <c r="K13233" t="s">
        <v>40017</v>
      </c>
      <c r="M13233" t="s">
        <v>17861</v>
      </c>
      <c r="N13233" t="str">
        <f>"11/6/2019 9:47:00 AM"</f>
        <v>11/6/2019 9:47:00 AM</v>
      </c>
      <c r="O13233" t="s">
        <v>40014</v>
      </c>
      <c r="T13233" t="s">
        <v>40015</v>
      </c>
    </row>
    <row r="13234" spans="1:20" x14ac:dyDescent="0.25">
      <c r="A13234" t="str">
        <f>"3054415"</f>
        <v>3054415</v>
      </c>
      <c r="B13234" t="s">
        <v>40018</v>
      </c>
      <c r="C13234" t="str">
        <f>"8312450"</f>
        <v>8312450</v>
      </c>
      <c r="D13234" t="s">
        <v>40019</v>
      </c>
      <c r="F13234" t="s">
        <v>40020</v>
      </c>
      <c r="I13234" t="s">
        <v>29</v>
      </c>
      <c r="J13234" t="s">
        <v>30</v>
      </c>
      <c r="K13234" t="s">
        <v>25210</v>
      </c>
      <c r="M13234" t="s">
        <v>17861</v>
      </c>
      <c r="N13234" t="str">
        <f>"11/6/2019 10:44:00 AM"</f>
        <v>11/6/2019 10:44:00 AM</v>
      </c>
      <c r="O13234" t="s">
        <v>40019</v>
      </c>
    </row>
    <row r="13235" spans="1:20" x14ac:dyDescent="0.25">
      <c r="A13235" t="str">
        <f>"3038815"</f>
        <v>3038815</v>
      </c>
      <c r="B13235" t="s">
        <v>40021</v>
      </c>
      <c r="C13235" t="str">
        <f>"8312586"</f>
        <v>8312586</v>
      </c>
      <c r="D13235" t="s">
        <v>40022</v>
      </c>
      <c r="E13235" t="s">
        <v>40023</v>
      </c>
      <c r="F13235" t="s">
        <v>40024</v>
      </c>
      <c r="I13235" t="s">
        <v>29</v>
      </c>
      <c r="J13235" t="s">
        <v>30</v>
      </c>
      <c r="K13235" t="s">
        <v>40025</v>
      </c>
      <c r="M13235" t="s">
        <v>17861</v>
      </c>
      <c r="N13235" t="str">
        <f>"11/21/2019 3:54:00 PM"</f>
        <v>11/21/2019 3:54:00 PM</v>
      </c>
      <c r="O13235" t="s">
        <v>40022</v>
      </c>
      <c r="T13235" t="s">
        <v>40023</v>
      </c>
    </row>
    <row r="13236" spans="1:20" x14ac:dyDescent="0.25">
      <c r="A13236" t="str">
        <f>"3056499"</f>
        <v>3056499</v>
      </c>
      <c r="B13236" t="s">
        <v>40026</v>
      </c>
      <c r="C13236" t="str">
        <f>"82517545"</f>
        <v>82517545</v>
      </c>
      <c r="D13236" t="s">
        <v>40027</v>
      </c>
      <c r="E13236" t="str">
        <f>"c/o jeanne melvin"</f>
        <v>c/o jeanne melvin</v>
      </c>
      <c r="F13236" t="s">
        <v>40028</v>
      </c>
      <c r="I13236" t="s">
        <v>40029</v>
      </c>
      <c r="J13236" t="s">
        <v>30</v>
      </c>
      <c r="K13236" t="s">
        <v>40030</v>
      </c>
      <c r="M13236" t="s">
        <v>33845</v>
      </c>
      <c r="N13236" t="str">
        <f>"11/6/2019 11:26:00 AM"</f>
        <v>11/6/2019 11:26:00 AM</v>
      </c>
      <c r="O13236" t="s">
        <v>40027</v>
      </c>
      <c r="T13236" t="str">
        <f>"c/o jeanne melvin"</f>
        <v>c/o jeanne melvin</v>
      </c>
    </row>
    <row r="13237" spans="1:20" x14ac:dyDescent="0.25">
      <c r="A13237" t="str">
        <f>"3045797"</f>
        <v>3045797</v>
      </c>
      <c r="B13237" t="s">
        <v>40031</v>
      </c>
      <c r="C13237" t="str">
        <f>"8312460"</f>
        <v>8312460</v>
      </c>
      <c r="D13237" t="s">
        <v>40032</v>
      </c>
      <c r="E13237" t="s">
        <v>40033</v>
      </c>
      <c r="F13237" t="s">
        <v>40034</v>
      </c>
      <c r="I13237" t="s">
        <v>17921</v>
      </c>
      <c r="J13237" t="s">
        <v>30</v>
      </c>
      <c r="K13237" t="str">
        <f>"27028"</f>
        <v>27028</v>
      </c>
      <c r="M13237" t="s">
        <v>17861</v>
      </c>
      <c r="N13237" t="str">
        <f>"11/6/2019 1:12:00 PM"</f>
        <v>11/6/2019 1:12:00 PM</v>
      </c>
      <c r="O13237" t="s">
        <v>40032</v>
      </c>
      <c r="T13237" t="s">
        <v>40033</v>
      </c>
    </row>
    <row r="13238" spans="1:20" x14ac:dyDescent="0.25">
      <c r="A13238" t="str">
        <f>"3061250"</f>
        <v>3061250</v>
      </c>
      <c r="B13238" t="s">
        <v>40035</v>
      </c>
      <c r="C13238" t="str">
        <f>"8312589"</f>
        <v>8312589</v>
      </c>
      <c r="D13238" t="s">
        <v>40036</v>
      </c>
      <c r="E13238" t="s">
        <v>40037</v>
      </c>
      <c r="F13238" t="s">
        <v>40038</v>
      </c>
      <c r="I13238" t="s">
        <v>2071</v>
      </c>
      <c r="J13238" t="s">
        <v>30</v>
      </c>
      <c r="K13238" t="s">
        <v>38066</v>
      </c>
      <c r="M13238" t="s">
        <v>17861</v>
      </c>
      <c r="N13238" t="str">
        <f>"11/22/2019 1:18:00 PM"</f>
        <v>11/22/2019 1:18:00 PM</v>
      </c>
      <c r="O13238" t="s">
        <v>40036</v>
      </c>
      <c r="T13238" t="s">
        <v>40037</v>
      </c>
    </row>
    <row r="13239" spans="1:20" x14ac:dyDescent="0.25">
      <c r="A13239" t="str">
        <f>"3065888"</f>
        <v>3065888</v>
      </c>
      <c r="B13239" t="s">
        <v>40039</v>
      </c>
      <c r="C13239" t="str">
        <f>"8312590"</f>
        <v>8312590</v>
      </c>
      <c r="D13239" t="s">
        <v>40040</v>
      </c>
      <c r="F13239" t="s">
        <v>40041</v>
      </c>
      <c r="I13239" t="s">
        <v>1149</v>
      </c>
      <c r="J13239" t="s">
        <v>30</v>
      </c>
      <c r="K13239" t="str">
        <f>"28634"</f>
        <v>28634</v>
      </c>
      <c r="M13239" t="s">
        <v>17861</v>
      </c>
      <c r="N13239" t="str">
        <f>"11/22/2019 1:31:00 PM"</f>
        <v>11/22/2019 1:31:00 PM</v>
      </c>
      <c r="O13239" t="s">
        <v>40040</v>
      </c>
    </row>
    <row r="13240" spans="1:20" x14ac:dyDescent="0.25">
      <c r="A13240" t="str">
        <f>"3059691"</f>
        <v>3059691</v>
      </c>
      <c r="B13240" t="s">
        <v>40042</v>
      </c>
      <c r="C13240" t="str">
        <f>"8312591"</f>
        <v>8312591</v>
      </c>
      <c r="D13240" t="s">
        <v>40043</v>
      </c>
      <c r="F13240" t="s">
        <v>40044</v>
      </c>
      <c r="I13240" t="s">
        <v>29</v>
      </c>
      <c r="J13240" t="s">
        <v>30</v>
      </c>
      <c r="K13240" t="s">
        <v>40045</v>
      </c>
      <c r="M13240" t="s">
        <v>17861</v>
      </c>
      <c r="N13240" t="str">
        <f>"11/22/2019 1:55:00 PM"</f>
        <v>11/22/2019 1:55:00 PM</v>
      </c>
      <c r="O13240" t="s">
        <v>40043</v>
      </c>
    </row>
    <row r="13241" spans="1:20" x14ac:dyDescent="0.25">
      <c r="A13241" t="str">
        <f>"3040195"</f>
        <v>3040195</v>
      </c>
      <c r="B13241" t="s">
        <v>40046</v>
      </c>
      <c r="C13241" t="str">
        <f>"8312592"</f>
        <v>8312592</v>
      </c>
      <c r="D13241" t="s">
        <v>40047</v>
      </c>
      <c r="E13241" t="s">
        <v>40048</v>
      </c>
      <c r="F13241" t="s">
        <v>40049</v>
      </c>
      <c r="I13241" t="s">
        <v>29</v>
      </c>
      <c r="J13241" t="s">
        <v>30</v>
      </c>
      <c r="K13241" t="s">
        <v>1014</v>
      </c>
      <c r="M13241" t="s">
        <v>17861</v>
      </c>
      <c r="N13241" t="str">
        <f>"11/22/2019 2:00:00 PM"</f>
        <v>11/22/2019 2:00:00 PM</v>
      </c>
      <c r="O13241" t="s">
        <v>40047</v>
      </c>
      <c r="T13241" t="s">
        <v>40048</v>
      </c>
    </row>
    <row r="13242" spans="1:20" x14ac:dyDescent="0.25">
      <c r="A13242" t="str">
        <f>"3039165"</f>
        <v>3039165</v>
      </c>
      <c r="B13242" t="s">
        <v>40050</v>
      </c>
      <c r="C13242" t="str">
        <f>"8312594"</f>
        <v>8312594</v>
      </c>
      <c r="D13242" t="s">
        <v>40051</v>
      </c>
      <c r="F13242" t="s">
        <v>40052</v>
      </c>
      <c r="I13242" t="s">
        <v>29</v>
      </c>
      <c r="J13242" t="s">
        <v>30</v>
      </c>
      <c r="K13242" t="s">
        <v>2551</v>
      </c>
      <c r="M13242" t="s">
        <v>17861</v>
      </c>
      <c r="N13242" t="str">
        <f>"11/22/2019 2:06:00 PM"</f>
        <v>11/22/2019 2:06:00 PM</v>
      </c>
      <c r="O13242" t="s">
        <v>40051</v>
      </c>
    </row>
    <row r="13243" spans="1:20" x14ac:dyDescent="0.25">
      <c r="A13243" t="str">
        <f>"3075421"</f>
        <v>3075421</v>
      </c>
      <c r="B13243" t="s">
        <v>40053</v>
      </c>
      <c r="C13243" t="str">
        <f>"8312364"</f>
        <v>8312364</v>
      </c>
      <c r="D13243" t="s">
        <v>40054</v>
      </c>
      <c r="E13243" t="s">
        <v>40055</v>
      </c>
      <c r="F13243" t="s">
        <v>40056</v>
      </c>
      <c r="I13243" t="s">
        <v>184</v>
      </c>
      <c r="J13243" t="s">
        <v>30</v>
      </c>
      <c r="K13243" t="s">
        <v>24896</v>
      </c>
      <c r="M13243" t="s">
        <v>17861</v>
      </c>
      <c r="N13243" t="str">
        <f>"10/23/2019 3:30:00 PM"</f>
        <v>10/23/2019 3:30:00 PM</v>
      </c>
      <c r="O13243" t="s">
        <v>40054</v>
      </c>
      <c r="T13243" t="s">
        <v>40055</v>
      </c>
    </row>
    <row r="13244" spans="1:20" x14ac:dyDescent="0.25">
      <c r="A13244" t="str">
        <f>"3041849"</f>
        <v>3041849</v>
      </c>
      <c r="B13244" t="s">
        <v>40057</v>
      </c>
      <c r="C13244" t="str">
        <f>"8312365"</f>
        <v>8312365</v>
      </c>
      <c r="D13244" t="s">
        <v>40058</v>
      </c>
      <c r="E13244" t="s">
        <v>40059</v>
      </c>
      <c r="F13244" t="s">
        <v>40060</v>
      </c>
      <c r="I13244" t="s">
        <v>2071</v>
      </c>
      <c r="J13244" t="s">
        <v>30</v>
      </c>
      <c r="K13244" t="s">
        <v>40061</v>
      </c>
      <c r="M13244" t="s">
        <v>17861</v>
      </c>
      <c r="N13244" t="str">
        <f>"10/23/2019 3:32:00 PM"</f>
        <v>10/23/2019 3:32:00 PM</v>
      </c>
      <c r="O13244" t="s">
        <v>40058</v>
      </c>
      <c r="T13244" t="s">
        <v>40059</v>
      </c>
    </row>
    <row r="13245" spans="1:20" x14ac:dyDescent="0.25">
      <c r="A13245" t="str">
        <f>"3064704"</f>
        <v>3064704</v>
      </c>
      <c r="B13245" t="s">
        <v>40062</v>
      </c>
      <c r="C13245" t="str">
        <f>"8312487"</f>
        <v>8312487</v>
      </c>
      <c r="D13245" t="s">
        <v>40063</v>
      </c>
      <c r="F13245" t="s">
        <v>40064</v>
      </c>
      <c r="I13245" t="s">
        <v>29</v>
      </c>
      <c r="J13245" t="s">
        <v>30</v>
      </c>
      <c r="K13245" t="s">
        <v>40065</v>
      </c>
      <c r="M13245" t="s">
        <v>17861</v>
      </c>
      <c r="N13245" t="str">
        <f>"11/7/2019 11:24:00 AM"</f>
        <v>11/7/2019 11:24:00 AM</v>
      </c>
      <c r="O13245" t="s">
        <v>40063</v>
      </c>
    </row>
    <row r="13246" spans="1:20" x14ac:dyDescent="0.25">
      <c r="A13246" t="str">
        <f>"3043173"</f>
        <v>3043173</v>
      </c>
      <c r="B13246" t="s">
        <v>40066</v>
      </c>
      <c r="C13246" t="str">
        <f>"8306382"</f>
        <v>8306382</v>
      </c>
      <c r="D13246" t="s">
        <v>33975</v>
      </c>
      <c r="F13246" t="s">
        <v>33976</v>
      </c>
      <c r="I13246" t="s">
        <v>17921</v>
      </c>
      <c r="J13246" t="s">
        <v>30</v>
      </c>
      <c r="K13246" t="str">
        <f>"27028"</f>
        <v>27028</v>
      </c>
      <c r="M13246" t="s">
        <v>17861</v>
      </c>
      <c r="N13246" t="str">
        <f>"11/7/2019 12:55:00 PM"</f>
        <v>11/7/2019 12:55:00 PM</v>
      </c>
      <c r="O13246" t="s">
        <v>33975</v>
      </c>
    </row>
    <row r="13247" spans="1:20" x14ac:dyDescent="0.25">
      <c r="A13247" t="str">
        <f>"3043352"</f>
        <v>3043352</v>
      </c>
      <c r="B13247" t="s">
        <v>40067</v>
      </c>
      <c r="C13247" t="str">
        <f>"8306382"</f>
        <v>8306382</v>
      </c>
      <c r="D13247" t="s">
        <v>33975</v>
      </c>
      <c r="F13247" t="s">
        <v>33976</v>
      </c>
      <c r="I13247" t="s">
        <v>17921</v>
      </c>
      <c r="J13247" t="s">
        <v>30</v>
      </c>
      <c r="K13247" t="str">
        <f>"27028"</f>
        <v>27028</v>
      </c>
      <c r="M13247" t="s">
        <v>17861</v>
      </c>
      <c r="N13247" t="str">
        <f>"11/7/2019 12:55:00 PM"</f>
        <v>11/7/2019 12:55:00 PM</v>
      </c>
      <c r="O13247" t="s">
        <v>33975</v>
      </c>
    </row>
    <row r="13248" spans="1:20" x14ac:dyDescent="0.25">
      <c r="A13248" t="str">
        <f>"3043326"</f>
        <v>3043326</v>
      </c>
      <c r="B13248" t="s">
        <v>40068</v>
      </c>
      <c r="C13248" t="str">
        <f>"8306382"</f>
        <v>8306382</v>
      </c>
      <c r="D13248" t="s">
        <v>33975</v>
      </c>
      <c r="F13248" t="s">
        <v>33976</v>
      </c>
      <c r="I13248" t="s">
        <v>17921</v>
      </c>
      <c r="J13248" t="s">
        <v>30</v>
      </c>
      <c r="K13248" t="str">
        <f>"27028"</f>
        <v>27028</v>
      </c>
      <c r="M13248" t="s">
        <v>17861</v>
      </c>
      <c r="N13248" t="str">
        <f>"11/7/2019 12:55:00 PM"</f>
        <v>11/7/2019 12:55:00 PM</v>
      </c>
      <c r="O13248" t="s">
        <v>33975</v>
      </c>
    </row>
    <row r="13249" spans="1:20" x14ac:dyDescent="0.25">
      <c r="A13249" t="str">
        <f>"3075513"</f>
        <v>3075513</v>
      </c>
      <c r="B13249" t="s">
        <v>40069</v>
      </c>
      <c r="C13249" t="str">
        <f>"8312488"</f>
        <v>8312488</v>
      </c>
      <c r="D13249" t="s">
        <v>40070</v>
      </c>
      <c r="E13249" t="s">
        <v>40071</v>
      </c>
      <c r="F13249" t="s">
        <v>40072</v>
      </c>
      <c r="I13249" t="s">
        <v>29</v>
      </c>
      <c r="J13249" t="s">
        <v>30</v>
      </c>
      <c r="K13249" t="s">
        <v>39256</v>
      </c>
      <c r="M13249" t="s">
        <v>17861</v>
      </c>
      <c r="N13249" t="str">
        <f>"11/7/2019 12:58:00 PM"</f>
        <v>11/7/2019 12:58:00 PM</v>
      </c>
      <c r="O13249" t="s">
        <v>40070</v>
      </c>
      <c r="T13249" t="s">
        <v>40071</v>
      </c>
    </row>
    <row r="13250" spans="1:20" x14ac:dyDescent="0.25">
      <c r="A13250" t="str">
        <f>"3041198"</f>
        <v>3041198</v>
      </c>
      <c r="B13250" t="s">
        <v>40073</v>
      </c>
      <c r="C13250" t="str">
        <f>"8312489"</f>
        <v>8312489</v>
      </c>
      <c r="D13250" t="s">
        <v>40074</v>
      </c>
      <c r="F13250" t="s">
        <v>40075</v>
      </c>
      <c r="I13250" t="s">
        <v>471</v>
      </c>
      <c r="J13250" t="s">
        <v>30</v>
      </c>
      <c r="K13250" t="str">
        <f>"27103"</f>
        <v>27103</v>
      </c>
      <c r="M13250" t="s">
        <v>17861</v>
      </c>
      <c r="N13250" t="str">
        <f>"11/7/2019 1:13:00 PM"</f>
        <v>11/7/2019 1:13:00 PM</v>
      </c>
      <c r="O13250" t="s">
        <v>40074</v>
      </c>
    </row>
    <row r="13251" spans="1:20" x14ac:dyDescent="0.25">
      <c r="A13251" t="str">
        <f>"3052755"</f>
        <v>3052755</v>
      </c>
      <c r="B13251" t="s">
        <v>40076</v>
      </c>
      <c r="C13251" t="str">
        <f>"8312490"</f>
        <v>8312490</v>
      </c>
      <c r="D13251" t="s">
        <v>40077</v>
      </c>
      <c r="E13251" t="s">
        <v>40078</v>
      </c>
      <c r="F13251" t="s">
        <v>40079</v>
      </c>
      <c r="I13251" t="s">
        <v>17921</v>
      </c>
      <c r="J13251" t="s">
        <v>30</v>
      </c>
      <c r="K13251" t="str">
        <f>"27028"</f>
        <v>27028</v>
      </c>
      <c r="M13251" t="s">
        <v>17861</v>
      </c>
      <c r="N13251" t="str">
        <f>"11/7/2019 1:18:00 PM"</f>
        <v>11/7/2019 1:18:00 PM</v>
      </c>
      <c r="O13251" t="s">
        <v>40077</v>
      </c>
      <c r="T13251" t="s">
        <v>40078</v>
      </c>
    </row>
    <row r="13252" spans="1:20" x14ac:dyDescent="0.25">
      <c r="A13252" t="str">
        <f>"3041383"</f>
        <v>3041383</v>
      </c>
      <c r="B13252" t="s">
        <v>40080</v>
      </c>
      <c r="C13252" t="str">
        <f>"8312492"</f>
        <v>8312492</v>
      </c>
      <c r="D13252" t="s">
        <v>40081</v>
      </c>
      <c r="F13252" t="s">
        <v>40082</v>
      </c>
      <c r="I13252" t="s">
        <v>2071</v>
      </c>
      <c r="J13252" t="s">
        <v>30</v>
      </c>
      <c r="K13252" t="s">
        <v>2209</v>
      </c>
      <c r="M13252" t="s">
        <v>17861</v>
      </c>
      <c r="N13252" t="str">
        <f>"11/7/2019 1:38:00 PM"</f>
        <v>11/7/2019 1:38:00 PM</v>
      </c>
      <c r="O13252" t="s">
        <v>40081</v>
      </c>
    </row>
    <row r="13253" spans="1:20" x14ac:dyDescent="0.25">
      <c r="A13253" t="str">
        <f>"3041391"</f>
        <v>3041391</v>
      </c>
      <c r="B13253" t="s">
        <v>40083</v>
      </c>
      <c r="C13253" t="str">
        <f>"8312516"</f>
        <v>8312516</v>
      </c>
      <c r="D13253" t="s">
        <v>40084</v>
      </c>
      <c r="E13253" t="s">
        <v>40085</v>
      </c>
      <c r="F13253" t="s">
        <v>40086</v>
      </c>
      <c r="I13253" t="s">
        <v>2071</v>
      </c>
      <c r="J13253" t="s">
        <v>30</v>
      </c>
      <c r="K13253" t="s">
        <v>2200</v>
      </c>
      <c r="M13253" t="s">
        <v>17861</v>
      </c>
      <c r="N13253" t="str">
        <f>"11/8/2019 4:17:00 PM"</f>
        <v>11/8/2019 4:17:00 PM</v>
      </c>
      <c r="O13253" t="s">
        <v>40084</v>
      </c>
      <c r="T13253" t="s">
        <v>40085</v>
      </c>
    </row>
    <row r="13254" spans="1:20" x14ac:dyDescent="0.25">
      <c r="A13254" t="str">
        <f>"3043738"</f>
        <v>3043738</v>
      </c>
      <c r="B13254" t="s">
        <v>40087</v>
      </c>
      <c r="C13254" t="str">
        <f>"8312548"</f>
        <v>8312548</v>
      </c>
      <c r="D13254" t="s">
        <v>40088</v>
      </c>
      <c r="E13254" t="s">
        <v>40089</v>
      </c>
      <c r="F13254" t="s">
        <v>40090</v>
      </c>
      <c r="I13254" t="s">
        <v>29</v>
      </c>
      <c r="J13254" t="s">
        <v>30</v>
      </c>
      <c r="K13254" t="s">
        <v>4834</v>
      </c>
      <c r="M13254" t="s">
        <v>17861</v>
      </c>
      <c r="N13254" t="str">
        <f>"11/14/2019 11:14:00 AM"</f>
        <v>11/14/2019 11:14:00 AM</v>
      </c>
      <c r="O13254" t="s">
        <v>40088</v>
      </c>
      <c r="T13254" t="s">
        <v>40089</v>
      </c>
    </row>
    <row r="13255" spans="1:20" x14ac:dyDescent="0.25">
      <c r="A13255" t="str">
        <f>"3063711"</f>
        <v>3063711</v>
      </c>
      <c r="B13255" t="s">
        <v>40091</v>
      </c>
      <c r="C13255" t="str">
        <f>"8312550"</f>
        <v>8312550</v>
      </c>
      <c r="D13255" t="s">
        <v>40092</v>
      </c>
      <c r="F13255" t="s">
        <v>40093</v>
      </c>
      <c r="I13255" t="s">
        <v>29</v>
      </c>
      <c r="J13255" t="s">
        <v>30</v>
      </c>
      <c r="K13255" t="s">
        <v>25587</v>
      </c>
      <c r="M13255" t="s">
        <v>17861</v>
      </c>
      <c r="N13255" t="str">
        <f>"11/14/2019 1:29:00 PM"</f>
        <v>11/14/2019 1:29:00 PM</v>
      </c>
      <c r="O13255" t="s">
        <v>40092</v>
      </c>
    </row>
    <row r="13256" spans="1:20" x14ac:dyDescent="0.25">
      <c r="A13256" t="str">
        <f>"3076694"</f>
        <v>3076694</v>
      </c>
      <c r="B13256" t="s">
        <v>40094</v>
      </c>
      <c r="C13256" t="str">
        <f>"82522235"</f>
        <v>82522235</v>
      </c>
      <c r="D13256" t="s">
        <v>24780</v>
      </c>
      <c r="F13256" t="s">
        <v>600</v>
      </c>
      <c r="I13256" t="s">
        <v>29</v>
      </c>
      <c r="J13256" t="s">
        <v>30</v>
      </c>
      <c r="K13256" t="s">
        <v>31</v>
      </c>
      <c r="M13256" t="s">
        <v>25733</v>
      </c>
      <c r="N13256" t="str">
        <f>"12/3/2019 1:08:00 PM"</f>
        <v>12/3/2019 1:08:00 PM</v>
      </c>
      <c r="O13256" t="s">
        <v>24780</v>
      </c>
    </row>
    <row r="13257" spans="1:20" x14ac:dyDescent="0.25">
      <c r="A13257" t="str">
        <f>"3055646"</f>
        <v>3055646</v>
      </c>
      <c r="B13257" t="s">
        <v>40095</v>
      </c>
      <c r="C13257" t="str">
        <f>"8312607"</f>
        <v>8312607</v>
      </c>
      <c r="D13257" t="s">
        <v>40096</v>
      </c>
      <c r="E13257" t="s">
        <v>40097</v>
      </c>
      <c r="F13257" t="s">
        <v>40098</v>
      </c>
      <c r="I13257" t="s">
        <v>29</v>
      </c>
      <c r="J13257" t="s">
        <v>30</v>
      </c>
      <c r="K13257" t="s">
        <v>36146</v>
      </c>
      <c r="M13257" t="s">
        <v>17861</v>
      </c>
      <c r="N13257" t="str">
        <f>"12/3/2019 4:38:00 PM"</f>
        <v>12/3/2019 4:38:00 PM</v>
      </c>
      <c r="O13257" t="s">
        <v>40096</v>
      </c>
      <c r="T13257" t="s">
        <v>40097</v>
      </c>
    </row>
    <row r="13258" spans="1:20" x14ac:dyDescent="0.25">
      <c r="A13258" t="str">
        <f>"3061262"</f>
        <v>3061262</v>
      </c>
      <c r="B13258" t="s">
        <v>40099</v>
      </c>
      <c r="C13258" t="str">
        <f>"8312553"</f>
        <v>8312553</v>
      </c>
      <c r="D13258" t="s">
        <v>40100</v>
      </c>
      <c r="E13258" t="s">
        <v>40101</v>
      </c>
      <c r="F13258" t="s">
        <v>40102</v>
      </c>
      <c r="I13258" t="s">
        <v>2071</v>
      </c>
      <c r="J13258" t="s">
        <v>30</v>
      </c>
      <c r="K13258" t="s">
        <v>35233</v>
      </c>
      <c r="M13258" t="s">
        <v>17861</v>
      </c>
      <c r="N13258" t="str">
        <f>"11/14/2019 1:58:00 PM"</f>
        <v>11/14/2019 1:58:00 PM</v>
      </c>
      <c r="O13258" t="s">
        <v>40100</v>
      </c>
      <c r="T13258" t="s">
        <v>40101</v>
      </c>
    </row>
    <row r="13259" spans="1:20" x14ac:dyDescent="0.25">
      <c r="A13259" t="str">
        <f>"3046735"</f>
        <v>3046735</v>
      </c>
      <c r="B13259" t="s">
        <v>40103</v>
      </c>
      <c r="C13259" t="str">
        <f>"8312556"</f>
        <v>8312556</v>
      </c>
      <c r="D13259" t="s">
        <v>40104</v>
      </c>
      <c r="E13259" t="s">
        <v>40105</v>
      </c>
      <c r="F13259" t="s">
        <v>40106</v>
      </c>
      <c r="I13259" t="s">
        <v>184</v>
      </c>
      <c r="J13259" t="s">
        <v>30</v>
      </c>
      <c r="K13259" t="s">
        <v>40107</v>
      </c>
      <c r="M13259" t="s">
        <v>17861</v>
      </c>
      <c r="N13259" t="str">
        <f>"11/14/2019 2:45:00 PM"</f>
        <v>11/14/2019 2:45:00 PM</v>
      </c>
      <c r="O13259" t="s">
        <v>40104</v>
      </c>
      <c r="T13259" t="s">
        <v>40105</v>
      </c>
    </row>
    <row r="13260" spans="1:20" x14ac:dyDescent="0.25">
      <c r="A13260" t="str">
        <f>"3049746"</f>
        <v>3049746</v>
      </c>
      <c r="B13260" t="s">
        <v>40108</v>
      </c>
      <c r="C13260" t="str">
        <f>"8312565"</f>
        <v>8312565</v>
      </c>
      <c r="D13260" t="s">
        <v>40109</v>
      </c>
      <c r="E13260" t="s">
        <v>40110</v>
      </c>
      <c r="F13260" t="s">
        <v>40111</v>
      </c>
      <c r="I13260" t="s">
        <v>29</v>
      </c>
      <c r="J13260" t="s">
        <v>30</v>
      </c>
      <c r="K13260" t="s">
        <v>38113</v>
      </c>
      <c r="M13260" t="s">
        <v>17861</v>
      </c>
      <c r="N13260" t="str">
        <f>"12/4/2019 11:12:00 AM"</f>
        <v>12/4/2019 11:12:00 AM</v>
      </c>
      <c r="O13260" t="s">
        <v>40109</v>
      </c>
      <c r="T13260" t="s">
        <v>40110</v>
      </c>
    </row>
    <row r="13261" spans="1:20" x14ac:dyDescent="0.25">
      <c r="A13261" t="str">
        <f>"3054930"</f>
        <v>3054930</v>
      </c>
      <c r="B13261" t="s">
        <v>40112</v>
      </c>
      <c r="C13261" t="str">
        <f>"8312557"</f>
        <v>8312557</v>
      </c>
      <c r="D13261" t="s">
        <v>39977</v>
      </c>
      <c r="E13261" t="s">
        <v>39978</v>
      </c>
      <c r="F13261" t="s">
        <v>39979</v>
      </c>
      <c r="I13261" t="s">
        <v>39980</v>
      </c>
      <c r="J13261" t="s">
        <v>30</v>
      </c>
      <c r="K13261" t="s">
        <v>39981</v>
      </c>
      <c r="M13261" t="s">
        <v>17861</v>
      </c>
      <c r="N13261" t="str">
        <f>"11/14/2019 2:55:00 PM"</f>
        <v>11/14/2019 2:55:00 PM</v>
      </c>
      <c r="O13261" t="s">
        <v>39977</v>
      </c>
      <c r="T13261" t="s">
        <v>39978</v>
      </c>
    </row>
    <row r="13262" spans="1:20" x14ac:dyDescent="0.25">
      <c r="A13262" t="str">
        <f>"3057609"</f>
        <v>3057609</v>
      </c>
      <c r="B13262" t="s">
        <v>40113</v>
      </c>
      <c r="C13262" t="str">
        <f>"8312575"</f>
        <v>8312575</v>
      </c>
      <c r="D13262" t="s">
        <v>40114</v>
      </c>
      <c r="E13262" t="s">
        <v>40115</v>
      </c>
      <c r="F13262" t="s">
        <v>40116</v>
      </c>
      <c r="I13262" t="s">
        <v>29</v>
      </c>
      <c r="J13262" t="s">
        <v>30</v>
      </c>
      <c r="K13262" t="s">
        <v>37928</v>
      </c>
      <c r="M13262" t="s">
        <v>17861</v>
      </c>
      <c r="N13262" t="str">
        <f>"11/21/2019 2:29:00 PM"</f>
        <v>11/21/2019 2:29:00 PM</v>
      </c>
      <c r="O13262" t="s">
        <v>40114</v>
      </c>
      <c r="T13262" t="s">
        <v>40115</v>
      </c>
    </row>
    <row r="13263" spans="1:20" x14ac:dyDescent="0.25">
      <c r="A13263" t="str">
        <f>"3058892"</f>
        <v>3058892</v>
      </c>
      <c r="B13263" t="s">
        <v>40117</v>
      </c>
      <c r="C13263" t="str">
        <f>"8312618"</f>
        <v>8312618</v>
      </c>
      <c r="D13263" t="s">
        <v>40118</v>
      </c>
      <c r="F13263" t="s">
        <v>40119</v>
      </c>
      <c r="I13263" t="s">
        <v>29</v>
      </c>
      <c r="J13263" t="s">
        <v>30</v>
      </c>
      <c r="K13263" t="s">
        <v>34090</v>
      </c>
      <c r="M13263" t="s">
        <v>17861</v>
      </c>
      <c r="N13263" t="str">
        <f>"12/4/2019 11:27:00 AM"</f>
        <v>12/4/2019 11:27:00 AM</v>
      </c>
      <c r="O13263" t="s">
        <v>40118</v>
      </c>
    </row>
    <row r="13264" spans="1:20" x14ac:dyDescent="0.25">
      <c r="A13264" t="str">
        <f>"3039263"</f>
        <v>3039263</v>
      </c>
      <c r="B13264" t="s">
        <v>40120</v>
      </c>
      <c r="C13264" t="str">
        <f>"8312619"</f>
        <v>8312619</v>
      </c>
      <c r="D13264" t="s">
        <v>40121</v>
      </c>
      <c r="F13264" t="s">
        <v>40122</v>
      </c>
      <c r="I13264" t="s">
        <v>29</v>
      </c>
      <c r="J13264" t="s">
        <v>30</v>
      </c>
      <c r="K13264" t="s">
        <v>40123</v>
      </c>
      <c r="M13264" t="s">
        <v>17861</v>
      </c>
      <c r="N13264" t="str">
        <f>"12/4/2019 12:31:00 PM"</f>
        <v>12/4/2019 12:31:00 PM</v>
      </c>
      <c r="O13264" t="s">
        <v>40121</v>
      </c>
    </row>
    <row r="13265" spans="1:20" x14ac:dyDescent="0.25">
      <c r="A13265" t="str">
        <f>"3060057"</f>
        <v>3060057</v>
      </c>
      <c r="B13265" t="s">
        <v>40124</v>
      </c>
      <c r="C13265" t="str">
        <f>"8312620"</f>
        <v>8312620</v>
      </c>
      <c r="D13265" t="s">
        <v>40125</v>
      </c>
      <c r="E13265" t="s">
        <v>40126</v>
      </c>
      <c r="F13265" t="s">
        <v>40127</v>
      </c>
      <c r="I13265" t="s">
        <v>184</v>
      </c>
      <c r="J13265" t="s">
        <v>30</v>
      </c>
      <c r="K13265" t="s">
        <v>38874</v>
      </c>
      <c r="M13265" t="s">
        <v>17861</v>
      </c>
      <c r="N13265" t="str">
        <f>"12/4/2019 12:33:00 PM"</f>
        <v>12/4/2019 12:33:00 PM</v>
      </c>
      <c r="O13265" t="s">
        <v>40125</v>
      </c>
      <c r="T13265" t="s">
        <v>40126</v>
      </c>
    </row>
    <row r="13266" spans="1:20" x14ac:dyDescent="0.25">
      <c r="A13266" t="str">
        <f>"3061355"</f>
        <v>3061355</v>
      </c>
      <c r="B13266" t="s">
        <v>40128</v>
      </c>
      <c r="C13266" t="str">
        <f>"8312621"</f>
        <v>8312621</v>
      </c>
      <c r="D13266" t="s">
        <v>40129</v>
      </c>
      <c r="E13266" t="s">
        <v>40130</v>
      </c>
      <c r="F13266" t="s">
        <v>40131</v>
      </c>
      <c r="I13266" t="s">
        <v>184</v>
      </c>
      <c r="J13266" t="s">
        <v>30</v>
      </c>
      <c r="K13266" t="s">
        <v>40132</v>
      </c>
      <c r="M13266" t="s">
        <v>17861</v>
      </c>
      <c r="N13266" t="str">
        <f>"12/4/2019 12:36:00 PM"</f>
        <v>12/4/2019 12:36:00 PM</v>
      </c>
      <c r="O13266" t="s">
        <v>40129</v>
      </c>
      <c r="T13266" t="s">
        <v>40130</v>
      </c>
    </row>
    <row r="13267" spans="1:20" x14ac:dyDescent="0.25">
      <c r="A13267" t="str">
        <f>"3062321"</f>
        <v>3062321</v>
      </c>
      <c r="B13267" t="s">
        <v>40133</v>
      </c>
      <c r="C13267" t="str">
        <f>"8312622"</f>
        <v>8312622</v>
      </c>
      <c r="D13267" t="s">
        <v>40134</v>
      </c>
      <c r="E13267" t="s">
        <v>40135</v>
      </c>
      <c r="F13267" t="s">
        <v>40136</v>
      </c>
      <c r="I13267" t="s">
        <v>402</v>
      </c>
      <c r="J13267" t="s">
        <v>30</v>
      </c>
      <c r="K13267" t="s">
        <v>40137</v>
      </c>
      <c r="M13267" t="s">
        <v>17861</v>
      </c>
      <c r="N13267" t="str">
        <f>"12/4/2019 12:41:00 PM"</f>
        <v>12/4/2019 12:41:00 PM</v>
      </c>
      <c r="O13267" t="s">
        <v>40134</v>
      </c>
      <c r="T13267" t="s">
        <v>40135</v>
      </c>
    </row>
    <row r="13268" spans="1:20" x14ac:dyDescent="0.25">
      <c r="A13268" t="str">
        <f>"3062344"</f>
        <v>3062344</v>
      </c>
      <c r="B13268" t="s">
        <v>40138</v>
      </c>
      <c r="C13268" t="str">
        <f>"8312622"</f>
        <v>8312622</v>
      </c>
      <c r="D13268" t="s">
        <v>40134</v>
      </c>
      <c r="E13268" t="s">
        <v>40135</v>
      </c>
      <c r="F13268" t="s">
        <v>40136</v>
      </c>
      <c r="I13268" t="s">
        <v>402</v>
      </c>
      <c r="J13268" t="s">
        <v>30</v>
      </c>
      <c r="K13268" t="s">
        <v>40137</v>
      </c>
      <c r="M13268" t="s">
        <v>17861</v>
      </c>
      <c r="N13268" t="str">
        <f>"12/4/2019 12:41:00 PM"</f>
        <v>12/4/2019 12:41:00 PM</v>
      </c>
      <c r="O13268" t="s">
        <v>40134</v>
      </c>
      <c r="T13268" t="s">
        <v>40135</v>
      </c>
    </row>
    <row r="13269" spans="1:20" x14ac:dyDescent="0.25">
      <c r="A13269" t="str">
        <f>"3053280"</f>
        <v>3053280</v>
      </c>
      <c r="B13269" t="s">
        <v>40139</v>
      </c>
      <c r="C13269" t="str">
        <f>"8312622"</f>
        <v>8312622</v>
      </c>
      <c r="D13269" t="s">
        <v>40134</v>
      </c>
      <c r="E13269" t="s">
        <v>40135</v>
      </c>
      <c r="F13269" t="s">
        <v>40136</v>
      </c>
      <c r="I13269" t="s">
        <v>402</v>
      </c>
      <c r="J13269" t="s">
        <v>30</v>
      </c>
      <c r="K13269" t="s">
        <v>40137</v>
      </c>
      <c r="M13269" t="s">
        <v>17861</v>
      </c>
      <c r="N13269" t="str">
        <f>"12/4/2019 12:41:00 PM"</f>
        <v>12/4/2019 12:41:00 PM</v>
      </c>
      <c r="O13269" t="s">
        <v>40134</v>
      </c>
      <c r="T13269" t="s">
        <v>40135</v>
      </c>
    </row>
    <row r="13270" spans="1:20" x14ac:dyDescent="0.25">
      <c r="A13270" t="str">
        <f>"3053251"</f>
        <v>3053251</v>
      </c>
      <c r="B13270" t="s">
        <v>40140</v>
      </c>
      <c r="C13270" t="str">
        <f>"8312622"</f>
        <v>8312622</v>
      </c>
      <c r="D13270" t="s">
        <v>40134</v>
      </c>
      <c r="E13270" t="s">
        <v>40135</v>
      </c>
      <c r="F13270" t="s">
        <v>40136</v>
      </c>
      <c r="I13270" t="s">
        <v>402</v>
      </c>
      <c r="J13270" t="s">
        <v>30</v>
      </c>
      <c r="K13270" t="s">
        <v>40137</v>
      </c>
      <c r="M13270" t="s">
        <v>17861</v>
      </c>
      <c r="N13270" t="str">
        <f>"12/4/2019 12:41:00 PM"</f>
        <v>12/4/2019 12:41:00 PM</v>
      </c>
      <c r="O13270" t="s">
        <v>40134</v>
      </c>
      <c r="T13270" t="s">
        <v>40135</v>
      </c>
    </row>
    <row r="13271" spans="1:20" x14ac:dyDescent="0.25">
      <c r="A13271" t="str">
        <f>"3053219"</f>
        <v>3053219</v>
      </c>
      <c r="B13271" t="s">
        <v>40141</v>
      </c>
      <c r="C13271" t="str">
        <f>"8312622"</f>
        <v>8312622</v>
      </c>
      <c r="D13271" t="s">
        <v>40134</v>
      </c>
      <c r="E13271" t="s">
        <v>40135</v>
      </c>
      <c r="F13271" t="s">
        <v>40136</v>
      </c>
      <c r="I13271" t="s">
        <v>402</v>
      </c>
      <c r="J13271" t="s">
        <v>30</v>
      </c>
      <c r="K13271" t="s">
        <v>40137</v>
      </c>
      <c r="M13271" t="s">
        <v>17861</v>
      </c>
      <c r="N13271" t="str">
        <f>"12/4/2019 12:41:00 PM"</f>
        <v>12/4/2019 12:41:00 PM</v>
      </c>
      <c r="O13271" t="s">
        <v>40134</v>
      </c>
      <c r="T13271" t="s">
        <v>40135</v>
      </c>
    </row>
    <row r="13272" spans="1:20" x14ac:dyDescent="0.25">
      <c r="A13272" t="str">
        <f>"3045584"</f>
        <v>3045584</v>
      </c>
      <c r="B13272" t="s">
        <v>40142</v>
      </c>
      <c r="C13272" t="str">
        <f>"8312577"</f>
        <v>8312577</v>
      </c>
      <c r="D13272" t="s">
        <v>40143</v>
      </c>
      <c r="E13272" t="s">
        <v>40144</v>
      </c>
      <c r="F13272" t="s">
        <v>40145</v>
      </c>
      <c r="I13272" t="s">
        <v>29</v>
      </c>
      <c r="J13272" t="s">
        <v>30</v>
      </c>
      <c r="K13272" t="str">
        <f>"27028"</f>
        <v>27028</v>
      </c>
      <c r="M13272" t="s">
        <v>17861</v>
      </c>
      <c r="N13272" t="str">
        <f>"11/21/2019 2:55:00 PM"</f>
        <v>11/21/2019 2:55:00 PM</v>
      </c>
      <c r="O13272" t="s">
        <v>40143</v>
      </c>
      <c r="T13272" t="s">
        <v>40144</v>
      </c>
    </row>
    <row r="13273" spans="1:20" x14ac:dyDescent="0.25">
      <c r="A13273" t="str">
        <f>"3053406"</f>
        <v>3053406</v>
      </c>
      <c r="B13273" t="s">
        <v>40146</v>
      </c>
      <c r="C13273" t="str">
        <f>"8312629"</f>
        <v>8312629</v>
      </c>
      <c r="D13273" t="s">
        <v>40147</v>
      </c>
      <c r="E13273" t="s">
        <v>40148</v>
      </c>
      <c r="F13273" t="s">
        <v>40149</v>
      </c>
      <c r="I13273" t="s">
        <v>29</v>
      </c>
      <c r="J13273" t="s">
        <v>30</v>
      </c>
      <c r="K13273" t="s">
        <v>14976</v>
      </c>
      <c r="M13273" t="s">
        <v>17861</v>
      </c>
      <c r="N13273" t="str">
        <f>"12/4/2019 1:55:00 PM"</f>
        <v>12/4/2019 1:55:00 PM</v>
      </c>
      <c r="O13273" t="s">
        <v>40147</v>
      </c>
      <c r="T13273" t="s">
        <v>40148</v>
      </c>
    </row>
    <row r="13274" spans="1:20" x14ac:dyDescent="0.25">
      <c r="A13274" t="str">
        <f>"3053736"</f>
        <v>3053736</v>
      </c>
      <c r="B13274" t="s">
        <v>40150</v>
      </c>
      <c r="C13274" t="str">
        <f>"8312629"</f>
        <v>8312629</v>
      </c>
      <c r="D13274" t="s">
        <v>40147</v>
      </c>
      <c r="E13274" t="s">
        <v>40148</v>
      </c>
      <c r="F13274" t="s">
        <v>40149</v>
      </c>
      <c r="I13274" t="s">
        <v>29</v>
      </c>
      <c r="J13274" t="s">
        <v>30</v>
      </c>
      <c r="K13274" t="s">
        <v>14976</v>
      </c>
      <c r="M13274" t="s">
        <v>17861</v>
      </c>
      <c r="N13274" t="str">
        <f>"12/4/2019 1:55:00 PM"</f>
        <v>12/4/2019 1:55:00 PM</v>
      </c>
      <c r="O13274" t="s">
        <v>40147</v>
      </c>
      <c r="T13274" t="s">
        <v>40148</v>
      </c>
    </row>
    <row r="13275" spans="1:20" x14ac:dyDescent="0.25">
      <c r="A13275" t="str">
        <f>"3052740"</f>
        <v>3052740</v>
      </c>
      <c r="B13275" t="s">
        <v>40151</v>
      </c>
      <c r="C13275" t="str">
        <f>"8312578"</f>
        <v>8312578</v>
      </c>
      <c r="D13275" t="s">
        <v>40152</v>
      </c>
      <c r="F13275" t="s">
        <v>40153</v>
      </c>
      <c r="I13275" t="s">
        <v>29</v>
      </c>
      <c r="J13275" t="s">
        <v>30</v>
      </c>
      <c r="K13275" t="s">
        <v>40154</v>
      </c>
      <c r="M13275" t="s">
        <v>17861</v>
      </c>
      <c r="N13275" t="str">
        <f>"11/21/2019 2:57:00 PM"</f>
        <v>11/21/2019 2:57:00 PM</v>
      </c>
      <c r="O13275" t="s">
        <v>40152</v>
      </c>
    </row>
    <row r="13276" spans="1:20" x14ac:dyDescent="0.25">
      <c r="A13276" t="str">
        <f>"3038525"</f>
        <v>3038525</v>
      </c>
      <c r="B13276" t="s">
        <v>40155</v>
      </c>
      <c r="C13276" t="str">
        <f>"8312584"</f>
        <v>8312584</v>
      </c>
      <c r="D13276" t="s">
        <v>40156</v>
      </c>
      <c r="F13276" t="s">
        <v>40157</v>
      </c>
      <c r="I13276" t="s">
        <v>29</v>
      </c>
      <c r="J13276" t="s">
        <v>30</v>
      </c>
      <c r="K13276" t="s">
        <v>40158</v>
      </c>
      <c r="M13276" t="s">
        <v>17861</v>
      </c>
      <c r="N13276" t="str">
        <f>"11/21/2019 3:44:00 PM"</f>
        <v>11/21/2019 3:44:00 PM</v>
      </c>
      <c r="O13276" t="s">
        <v>40156</v>
      </c>
    </row>
    <row r="13277" spans="1:20" x14ac:dyDescent="0.25">
      <c r="A13277" t="str">
        <f>"3044452"</f>
        <v>3044452</v>
      </c>
      <c r="B13277" t="s">
        <v>40159</v>
      </c>
      <c r="C13277" t="str">
        <f>"8312585"</f>
        <v>8312585</v>
      </c>
      <c r="D13277" t="s">
        <v>40160</v>
      </c>
      <c r="E13277" t="s">
        <v>40161</v>
      </c>
      <c r="F13277" t="s">
        <v>40162</v>
      </c>
      <c r="I13277" t="s">
        <v>184</v>
      </c>
      <c r="J13277" t="s">
        <v>30</v>
      </c>
      <c r="K13277" t="s">
        <v>30957</v>
      </c>
      <c r="M13277" t="s">
        <v>17861</v>
      </c>
      <c r="N13277" t="str">
        <f>"11/21/2019 3:50:00 PM"</f>
        <v>11/21/2019 3:50:00 PM</v>
      </c>
      <c r="O13277" t="s">
        <v>40160</v>
      </c>
      <c r="T13277" t="s">
        <v>40161</v>
      </c>
    </row>
    <row r="13278" spans="1:20" x14ac:dyDescent="0.25">
      <c r="A13278" t="str">
        <f>"3040101"</f>
        <v>3040101</v>
      </c>
      <c r="B13278" t="s">
        <v>40163</v>
      </c>
      <c r="C13278" t="str">
        <f>"21800000"</f>
        <v>21800000</v>
      </c>
      <c r="D13278" t="s">
        <v>40164</v>
      </c>
      <c r="E13278" t="s">
        <v>40165</v>
      </c>
      <c r="F13278" t="s">
        <v>40166</v>
      </c>
      <c r="I13278" t="s">
        <v>17921</v>
      </c>
      <c r="J13278" t="s">
        <v>30</v>
      </c>
      <c r="K13278" t="str">
        <f>"27028"</f>
        <v>27028</v>
      </c>
      <c r="M13278" t="s">
        <v>25733</v>
      </c>
      <c r="N13278" t="str">
        <f>"11/22/2019 8:36:00 AM"</f>
        <v>11/22/2019 8:36:00 AM</v>
      </c>
      <c r="O13278" t="s">
        <v>40164</v>
      </c>
      <c r="T13278" t="s">
        <v>40165</v>
      </c>
    </row>
    <row r="13279" spans="1:20" x14ac:dyDescent="0.25">
      <c r="A13279" t="str">
        <f>"3076854"</f>
        <v>3076854</v>
      </c>
      <c r="B13279" t="s">
        <v>40167</v>
      </c>
      <c r="C13279" t="str">
        <f>"21800000"</f>
        <v>21800000</v>
      </c>
      <c r="D13279" t="s">
        <v>40164</v>
      </c>
      <c r="E13279" t="s">
        <v>40165</v>
      </c>
      <c r="F13279" t="s">
        <v>40166</v>
      </c>
      <c r="I13279" t="s">
        <v>17921</v>
      </c>
      <c r="J13279" t="s">
        <v>30</v>
      </c>
      <c r="K13279" t="str">
        <f>"27028"</f>
        <v>27028</v>
      </c>
      <c r="M13279" t="s">
        <v>25733</v>
      </c>
      <c r="N13279" t="str">
        <f>"11/22/2019 8:36:00 AM"</f>
        <v>11/22/2019 8:36:00 AM</v>
      </c>
      <c r="O13279" t="s">
        <v>40164</v>
      </c>
      <c r="T13279" t="s">
        <v>40165</v>
      </c>
    </row>
    <row r="13280" spans="1:20" x14ac:dyDescent="0.25">
      <c r="A13280" t="str">
        <f>"3059505"</f>
        <v>3059505</v>
      </c>
      <c r="B13280" t="s">
        <v>40168</v>
      </c>
      <c r="C13280" t="str">
        <f>"8312486"</f>
        <v>8312486</v>
      </c>
      <c r="D13280" t="s">
        <v>40169</v>
      </c>
      <c r="F13280" t="s">
        <v>40170</v>
      </c>
      <c r="I13280" t="s">
        <v>29</v>
      </c>
      <c r="J13280" t="s">
        <v>30</v>
      </c>
      <c r="K13280" t="s">
        <v>13170</v>
      </c>
      <c r="M13280" t="s">
        <v>17861</v>
      </c>
      <c r="N13280" t="str">
        <f>"11/7/2019 11:21:00 AM"</f>
        <v>11/7/2019 11:21:00 AM</v>
      </c>
      <c r="O13280" t="s">
        <v>40169</v>
      </c>
    </row>
    <row r="13281" spans="1:20" x14ac:dyDescent="0.25">
      <c r="A13281" t="str">
        <f>"3058769"</f>
        <v>3058769</v>
      </c>
      <c r="B13281" t="s">
        <v>40171</v>
      </c>
      <c r="C13281" t="str">
        <f>"8312459"</f>
        <v>8312459</v>
      </c>
      <c r="D13281" t="s">
        <v>40172</v>
      </c>
      <c r="F13281" t="s">
        <v>40173</v>
      </c>
      <c r="I13281" t="s">
        <v>29</v>
      </c>
      <c r="J13281" t="s">
        <v>30</v>
      </c>
      <c r="K13281" t="s">
        <v>40174</v>
      </c>
      <c r="M13281" t="s">
        <v>34670</v>
      </c>
      <c r="N13281" t="str">
        <f>"12/2/2019 9:36:00 AM"</f>
        <v>12/2/2019 9:36:00 AM</v>
      </c>
      <c r="O13281" t="s">
        <v>40172</v>
      </c>
    </row>
    <row r="13282" spans="1:20" x14ac:dyDescent="0.25">
      <c r="A13282" t="str">
        <f>"3041572"</f>
        <v>3041572</v>
      </c>
      <c r="B13282" t="s">
        <v>40175</v>
      </c>
      <c r="C13282" t="str">
        <f>"8302238"</f>
        <v>8302238</v>
      </c>
      <c r="D13282" t="s">
        <v>40176</v>
      </c>
      <c r="E13282" t="s">
        <v>40177</v>
      </c>
      <c r="F13282" t="s">
        <v>40178</v>
      </c>
      <c r="I13282" t="s">
        <v>2071</v>
      </c>
      <c r="J13282" t="s">
        <v>30</v>
      </c>
      <c r="K13282" t="str">
        <f>"27006"</f>
        <v>27006</v>
      </c>
      <c r="M13282" t="s">
        <v>17861</v>
      </c>
      <c r="N13282" t="str">
        <f>"12/2/2019 11:24:00 AM"</f>
        <v>12/2/2019 11:24:00 AM</v>
      </c>
      <c r="O13282" t="s">
        <v>40176</v>
      </c>
      <c r="T13282" t="s">
        <v>40177</v>
      </c>
    </row>
    <row r="13283" spans="1:20" x14ac:dyDescent="0.25">
      <c r="A13283" t="str">
        <f>"3044513"</f>
        <v>3044513</v>
      </c>
      <c r="B13283" t="s">
        <v>40179</v>
      </c>
      <c r="C13283" t="str">
        <f>"8303658"</f>
        <v>8303658</v>
      </c>
      <c r="D13283" t="s">
        <v>40180</v>
      </c>
      <c r="F13283" t="s">
        <v>40181</v>
      </c>
      <c r="I13283" t="s">
        <v>40182</v>
      </c>
      <c r="J13283" t="s">
        <v>30</v>
      </c>
      <c r="K13283" t="str">
        <f>"28117"</f>
        <v>28117</v>
      </c>
      <c r="M13283" t="s">
        <v>32801</v>
      </c>
      <c r="N13283" t="str">
        <f t="shared" ref="N13283:N13288" si="210">"12/2/2019 2:51:00 PM"</f>
        <v>12/2/2019 2:51:00 PM</v>
      </c>
      <c r="O13283" t="s">
        <v>40180</v>
      </c>
    </row>
    <row r="13284" spans="1:20" x14ac:dyDescent="0.25">
      <c r="A13284" t="str">
        <f>"3056642"</f>
        <v>3056642</v>
      </c>
      <c r="B13284" t="s">
        <v>40183</v>
      </c>
      <c r="C13284" t="str">
        <f>"8312603"</f>
        <v>8312603</v>
      </c>
      <c r="D13284" t="s">
        <v>36541</v>
      </c>
      <c r="F13284" t="s">
        <v>36543</v>
      </c>
      <c r="I13284" t="s">
        <v>36544</v>
      </c>
      <c r="J13284" t="s">
        <v>30</v>
      </c>
      <c r="K13284" t="s">
        <v>36545</v>
      </c>
      <c r="M13284" t="s">
        <v>17861</v>
      </c>
      <c r="N13284" t="str">
        <f t="shared" si="210"/>
        <v>12/2/2019 2:51:00 PM</v>
      </c>
      <c r="O13284" t="s">
        <v>36541</v>
      </c>
    </row>
    <row r="13285" spans="1:20" x14ac:dyDescent="0.25">
      <c r="A13285" t="str">
        <f>"3056318"</f>
        <v>3056318</v>
      </c>
      <c r="B13285" t="s">
        <v>40184</v>
      </c>
      <c r="C13285" t="str">
        <f>"8312603"</f>
        <v>8312603</v>
      </c>
      <c r="D13285" t="s">
        <v>36541</v>
      </c>
      <c r="F13285" t="s">
        <v>36543</v>
      </c>
      <c r="I13285" t="s">
        <v>36544</v>
      </c>
      <c r="J13285" t="s">
        <v>30</v>
      </c>
      <c r="K13285" t="s">
        <v>36545</v>
      </c>
      <c r="M13285" t="s">
        <v>17861</v>
      </c>
      <c r="N13285" t="str">
        <f t="shared" si="210"/>
        <v>12/2/2019 2:51:00 PM</v>
      </c>
      <c r="O13285" t="s">
        <v>36541</v>
      </c>
    </row>
    <row r="13286" spans="1:20" x14ac:dyDescent="0.25">
      <c r="A13286" t="str">
        <f>"3056317"</f>
        <v>3056317</v>
      </c>
      <c r="B13286" t="s">
        <v>40185</v>
      </c>
      <c r="C13286" t="str">
        <f>"8312603"</f>
        <v>8312603</v>
      </c>
      <c r="D13286" t="s">
        <v>36541</v>
      </c>
      <c r="F13286" t="s">
        <v>36543</v>
      </c>
      <c r="I13286" t="s">
        <v>36544</v>
      </c>
      <c r="J13286" t="s">
        <v>30</v>
      </c>
      <c r="K13286" t="s">
        <v>36545</v>
      </c>
      <c r="M13286" t="s">
        <v>17861</v>
      </c>
      <c r="N13286" t="str">
        <f t="shared" si="210"/>
        <v>12/2/2019 2:51:00 PM</v>
      </c>
      <c r="O13286" t="s">
        <v>36541</v>
      </c>
    </row>
    <row r="13287" spans="1:20" x14ac:dyDescent="0.25">
      <c r="A13287" t="str">
        <f>"3056709"</f>
        <v>3056709</v>
      </c>
      <c r="B13287" t="s">
        <v>40186</v>
      </c>
      <c r="C13287" t="str">
        <f>"8312603"</f>
        <v>8312603</v>
      </c>
      <c r="D13287" t="s">
        <v>36541</v>
      </c>
      <c r="F13287" t="s">
        <v>36543</v>
      </c>
      <c r="I13287" t="s">
        <v>36544</v>
      </c>
      <c r="J13287" t="s">
        <v>30</v>
      </c>
      <c r="K13287" t="s">
        <v>36545</v>
      </c>
      <c r="M13287" t="s">
        <v>17861</v>
      </c>
      <c r="N13287" t="str">
        <f t="shared" si="210"/>
        <v>12/2/2019 2:51:00 PM</v>
      </c>
      <c r="O13287" t="s">
        <v>36541</v>
      </c>
    </row>
    <row r="13288" spans="1:20" x14ac:dyDescent="0.25">
      <c r="A13288" t="str">
        <f>"3056274"</f>
        <v>3056274</v>
      </c>
      <c r="B13288" t="s">
        <v>40187</v>
      </c>
      <c r="C13288" t="str">
        <f>"8312603"</f>
        <v>8312603</v>
      </c>
      <c r="D13288" t="s">
        <v>36541</v>
      </c>
      <c r="F13288" t="s">
        <v>36543</v>
      </c>
      <c r="I13288" t="s">
        <v>36544</v>
      </c>
      <c r="J13288" t="s">
        <v>30</v>
      </c>
      <c r="K13288" t="s">
        <v>36545</v>
      </c>
      <c r="M13288" t="s">
        <v>17861</v>
      </c>
      <c r="N13288" t="str">
        <f t="shared" si="210"/>
        <v>12/2/2019 2:51:00 PM</v>
      </c>
      <c r="O13288" t="s">
        <v>36541</v>
      </c>
    </row>
    <row r="13289" spans="1:20" x14ac:dyDescent="0.25">
      <c r="A13289" t="str">
        <f>"3055517"</f>
        <v>3055517</v>
      </c>
      <c r="B13289" t="s">
        <v>40188</v>
      </c>
      <c r="C13289" t="str">
        <f>"21373000"</f>
        <v>21373000</v>
      </c>
      <c r="D13289" t="s">
        <v>40189</v>
      </c>
      <c r="F13289" t="s">
        <v>40190</v>
      </c>
      <c r="G13289" t="s">
        <v>16258</v>
      </c>
      <c r="I13289" t="s">
        <v>29</v>
      </c>
      <c r="J13289" t="s">
        <v>30</v>
      </c>
      <c r="K13289" t="s">
        <v>18786</v>
      </c>
      <c r="M13289" t="s">
        <v>34670</v>
      </c>
      <c r="N13289" t="str">
        <f>"12/2/2019 4:08:00 PM"</f>
        <v>12/2/2019 4:08:00 PM</v>
      </c>
      <c r="O13289" t="s">
        <v>40189</v>
      </c>
    </row>
    <row r="13290" spans="1:20" x14ac:dyDescent="0.25">
      <c r="A13290" t="str">
        <f>"3039128"</f>
        <v>3039128</v>
      </c>
      <c r="B13290" t="s">
        <v>40191</v>
      </c>
      <c r="C13290" t="str">
        <f>"8312604"</f>
        <v>8312604</v>
      </c>
      <c r="D13290" t="s">
        <v>40192</v>
      </c>
      <c r="F13290" t="s">
        <v>40193</v>
      </c>
      <c r="I13290" t="s">
        <v>29</v>
      </c>
      <c r="J13290" t="s">
        <v>30</v>
      </c>
      <c r="K13290" t="s">
        <v>21362</v>
      </c>
      <c r="M13290" t="s">
        <v>17861</v>
      </c>
      <c r="N13290" t="str">
        <f>"12/3/2019 10:45:00 AM"</f>
        <v>12/3/2019 10:45:00 AM</v>
      </c>
      <c r="O13290" t="s">
        <v>40192</v>
      </c>
    </row>
    <row r="13291" spans="1:20" x14ac:dyDescent="0.25">
      <c r="A13291" t="str">
        <f>"3060454"</f>
        <v>3060454</v>
      </c>
      <c r="B13291" t="s">
        <v>40194</v>
      </c>
      <c r="C13291" t="str">
        <f>"8312609"</f>
        <v>8312609</v>
      </c>
      <c r="D13291" t="s">
        <v>40195</v>
      </c>
      <c r="E13291" t="s">
        <v>40196</v>
      </c>
      <c r="F13291" t="s">
        <v>40197</v>
      </c>
      <c r="I13291" t="s">
        <v>29</v>
      </c>
      <c r="J13291" t="s">
        <v>30</v>
      </c>
      <c r="K13291" t="s">
        <v>39824</v>
      </c>
      <c r="M13291" t="s">
        <v>17861</v>
      </c>
      <c r="N13291" t="str">
        <f>"12/4/2019 10:37:00 AM"</f>
        <v>12/4/2019 10:37:00 AM</v>
      </c>
      <c r="O13291" t="s">
        <v>40195</v>
      </c>
      <c r="T13291" t="s">
        <v>40196</v>
      </c>
    </row>
    <row r="13292" spans="1:20" x14ac:dyDescent="0.25">
      <c r="A13292" t="str">
        <f>"3053910"</f>
        <v>3053910</v>
      </c>
      <c r="B13292" t="s">
        <v>40198</v>
      </c>
      <c r="C13292" t="str">
        <f>"8312611"</f>
        <v>8312611</v>
      </c>
      <c r="D13292" t="s">
        <v>40199</v>
      </c>
      <c r="F13292" t="s">
        <v>40200</v>
      </c>
      <c r="I13292" t="s">
        <v>29</v>
      </c>
      <c r="J13292" t="s">
        <v>30</v>
      </c>
      <c r="K13292" t="s">
        <v>13270</v>
      </c>
      <c r="M13292" t="s">
        <v>17861</v>
      </c>
      <c r="N13292" t="str">
        <f>"12/4/2019 10:41:00 AM"</f>
        <v>12/4/2019 10:41:00 AM</v>
      </c>
      <c r="O13292" t="s">
        <v>40199</v>
      </c>
    </row>
    <row r="13293" spans="1:20" x14ac:dyDescent="0.25">
      <c r="A13293" t="str">
        <f>"3058485"</f>
        <v>3058485</v>
      </c>
      <c r="B13293" t="s">
        <v>40201</v>
      </c>
      <c r="C13293" t="str">
        <f>"8312616"</f>
        <v>8312616</v>
      </c>
      <c r="D13293" t="s">
        <v>40202</v>
      </c>
      <c r="F13293" t="s">
        <v>40203</v>
      </c>
      <c r="I13293" t="s">
        <v>29</v>
      </c>
      <c r="J13293" t="s">
        <v>30</v>
      </c>
      <c r="K13293" t="s">
        <v>39454</v>
      </c>
      <c r="M13293" t="s">
        <v>17861</v>
      </c>
      <c r="N13293" t="str">
        <f>"12/4/2019 11:23:00 AM"</f>
        <v>12/4/2019 11:23:00 AM</v>
      </c>
      <c r="O13293" t="s">
        <v>40202</v>
      </c>
    </row>
    <row r="13294" spans="1:20" x14ac:dyDescent="0.25">
      <c r="A13294" t="str">
        <f>"3044300"</f>
        <v>3044300</v>
      </c>
      <c r="B13294" t="s">
        <v>40204</v>
      </c>
      <c r="C13294" t="str">
        <f>"8312617"</f>
        <v>8312617</v>
      </c>
      <c r="D13294" t="s">
        <v>40205</v>
      </c>
      <c r="F13294" t="s">
        <v>40206</v>
      </c>
      <c r="I13294" t="s">
        <v>184</v>
      </c>
      <c r="J13294" t="s">
        <v>30</v>
      </c>
      <c r="K13294" t="s">
        <v>40207</v>
      </c>
      <c r="M13294" t="s">
        <v>17861</v>
      </c>
      <c r="N13294" t="str">
        <f>"12/4/2019 11:25:00 AM"</f>
        <v>12/4/2019 11:25:00 AM</v>
      </c>
      <c r="O13294" t="s">
        <v>40205</v>
      </c>
    </row>
    <row r="13295" spans="1:20" x14ac:dyDescent="0.25">
      <c r="A13295" t="str">
        <f>"3052155"</f>
        <v>3052155</v>
      </c>
      <c r="B13295" t="s">
        <v>40208</v>
      </c>
      <c r="C13295" t="str">
        <f>"8312627"</f>
        <v>8312627</v>
      </c>
      <c r="D13295" t="s">
        <v>40209</v>
      </c>
      <c r="F13295" t="s">
        <v>40210</v>
      </c>
      <c r="I13295" t="s">
        <v>29</v>
      </c>
      <c r="J13295" t="s">
        <v>30</v>
      </c>
      <c r="K13295" t="s">
        <v>40211</v>
      </c>
      <c r="M13295" t="s">
        <v>17861</v>
      </c>
      <c r="N13295" t="str">
        <f>"12/4/2019 1:35:00 PM"</f>
        <v>12/4/2019 1:35:00 PM</v>
      </c>
      <c r="O13295" t="s">
        <v>40209</v>
      </c>
    </row>
    <row r="13296" spans="1:20" x14ac:dyDescent="0.25">
      <c r="A13296" t="str">
        <f>"3045340"</f>
        <v>3045340</v>
      </c>
      <c r="B13296" t="s">
        <v>40212</v>
      </c>
      <c r="C13296" t="str">
        <f>"82524661"</f>
        <v>82524661</v>
      </c>
      <c r="D13296" t="s">
        <v>25106</v>
      </c>
      <c r="E13296" t="s">
        <v>40213</v>
      </c>
      <c r="F13296" t="s">
        <v>40214</v>
      </c>
      <c r="I13296" t="s">
        <v>29</v>
      </c>
      <c r="J13296" t="s">
        <v>30</v>
      </c>
      <c r="K13296" t="s">
        <v>40215</v>
      </c>
      <c r="M13296" t="s">
        <v>33432</v>
      </c>
      <c r="N13296" t="str">
        <f>"11/22/2019 2:10:00 PM"</f>
        <v>11/22/2019 2:10:00 PM</v>
      </c>
      <c r="O13296" t="s">
        <v>25106</v>
      </c>
      <c r="T13296" t="s">
        <v>40213</v>
      </c>
    </row>
    <row r="13297" spans="1:20" x14ac:dyDescent="0.25">
      <c r="A13297" t="str">
        <f>"3060228"</f>
        <v>3060228</v>
      </c>
      <c r="B13297" t="s">
        <v>40216</v>
      </c>
      <c r="C13297" t="str">
        <f>"8312598"</f>
        <v>8312598</v>
      </c>
      <c r="D13297" t="s">
        <v>40217</v>
      </c>
      <c r="E13297" t="s">
        <v>40218</v>
      </c>
      <c r="F13297" t="s">
        <v>40219</v>
      </c>
      <c r="I13297" t="s">
        <v>184</v>
      </c>
      <c r="J13297" t="s">
        <v>30</v>
      </c>
      <c r="K13297" t="s">
        <v>38466</v>
      </c>
      <c r="M13297" t="s">
        <v>17861</v>
      </c>
      <c r="N13297" t="str">
        <f>"11/25/2019 9:50:00 AM"</f>
        <v>11/25/2019 9:50:00 AM</v>
      </c>
      <c r="O13297" t="s">
        <v>40217</v>
      </c>
      <c r="T13297" t="s">
        <v>40218</v>
      </c>
    </row>
    <row r="13298" spans="1:20" x14ac:dyDescent="0.25">
      <c r="A13298" t="str">
        <f>"3045402"</f>
        <v>3045402</v>
      </c>
      <c r="B13298" t="s">
        <v>40220</v>
      </c>
      <c r="C13298" t="str">
        <f>"8312777"</f>
        <v>8312777</v>
      </c>
      <c r="D13298" t="s">
        <v>18996</v>
      </c>
      <c r="E13298" t="s">
        <v>7743</v>
      </c>
      <c r="F13298" t="s">
        <v>7744</v>
      </c>
      <c r="I13298" t="s">
        <v>17921</v>
      </c>
      <c r="J13298" t="s">
        <v>30</v>
      </c>
      <c r="K13298" t="str">
        <f>"27028"</f>
        <v>27028</v>
      </c>
      <c r="M13298" t="s">
        <v>17861</v>
      </c>
      <c r="N13298" t="str">
        <f>"12/17/2019 12:48:00 PM"</f>
        <v>12/17/2019 12:48:00 PM</v>
      </c>
      <c r="O13298" t="s">
        <v>18996</v>
      </c>
      <c r="T13298" t="s">
        <v>7743</v>
      </c>
    </row>
    <row r="13299" spans="1:20" x14ac:dyDescent="0.25">
      <c r="A13299" t="str">
        <f>"3054189"</f>
        <v>3054189</v>
      </c>
      <c r="B13299" t="s">
        <v>40221</v>
      </c>
      <c r="C13299" t="str">
        <f>"25787500"</f>
        <v>25787500</v>
      </c>
      <c r="D13299" t="s">
        <v>40222</v>
      </c>
      <c r="F13299" t="s">
        <v>40223</v>
      </c>
      <c r="I13299" t="s">
        <v>2525</v>
      </c>
      <c r="J13299" t="s">
        <v>30</v>
      </c>
      <c r="K13299" t="s">
        <v>10998</v>
      </c>
      <c r="M13299" t="s">
        <v>25733</v>
      </c>
      <c r="N13299" t="str">
        <f>"12/17/2019 1:05:00 PM"</f>
        <v>12/17/2019 1:05:00 PM</v>
      </c>
      <c r="O13299" t="s">
        <v>40222</v>
      </c>
    </row>
    <row r="13300" spans="1:20" x14ac:dyDescent="0.25">
      <c r="A13300" t="str">
        <f>"3045021"</f>
        <v>3045021</v>
      </c>
      <c r="B13300" t="s">
        <v>40224</v>
      </c>
      <c r="C13300" t="str">
        <f>"8312601"</f>
        <v>8312601</v>
      </c>
      <c r="D13300" t="s">
        <v>40225</v>
      </c>
      <c r="F13300" t="s">
        <v>40226</v>
      </c>
      <c r="I13300" t="s">
        <v>1149</v>
      </c>
      <c r="J13300" t="s">
        <v>30</v>
      </c>
      <c r="K13300" t="s">
        <v>40227</v>
      </c>
      <c r="M13300" t="s">
        <v>17861</v>
      </c>
      <c r="N13300" t="str">
        <f>"11/25/2019 1:48:00 PM"</f>
        <v>11/25/2019 1:48:00 PM</v>
      </c>
      <c r="O13300" t="s">
        <v>40225</v>
      </c>
    </row>
    <row r="13301" spans="1:20" x14ac:dyDescent="0.25">
      <c r="A13301" t="str">
        <f>"3047211"</f>
        <v>3047211</v>
      </c>
      <c r="B13301" t="s">
        <v>40228</v>
      </c>
      <c r="C13301" t="str">
        <f>"82526999"</f>
        <v>82526999</v>
      </c>
      <c r="D13301" t="s">
        <v>40229</v>
      </c>
      <c r="F13301" t="s">
        <v>40230</v>
      </c>
      <c r="I13301" t="s">
        <v>29</v>
      </c>
      <c r="J13301" t="s">
        <v>30</v>
      </c>
      <c r="K13301" t="s">
        <v>31</v>
      </c>
      <c r="M13301" t="s">
        <v>25733</v>
      </c>
      <c r="N13301" t="str">
        <f>"12/6/2019 9:52:00 AM"</f>
        <v>12/6/2019 9:52:00 AM</v>
      </c>
      <c r="O13301" t="s">
        <v>40229</v>
      </c>
    </row>
    <row r="13302" spans="1:20" x14ac:dyDescent="0.25">
      <c r="A13302" t="str">
        <f>"3055843"</f>
        <v>3055843</v>
      </c>
      <c r="B13302" t="s">
        <v>40231</v>
      </c>
      <c r="C13302" t="str">
        <f>"8301723"</f>
        <v>8301723</v>
      </c>
      <c r="D13302" t="s">
        <v>40232</v>
      </c>
      <c r="E13302" t="s">
        <v>40233</v>
      </c>
      <c r="F13302" t="s">
        <v>40234</v>
      </c>
      <c r="I13302" t="s">
        <v>29</v>
      </c>
      <c r="J13302" t="s">
        <v>30</v>
      </c>
      <c r="K13302" t="str">
        <f>"27028"</f>
        <v>27028</v>
      </c>
      <c r="M13302" t="s">
        <v>25733</v>
      </c>
      <c r="N13302" t="str">
        <f>"12/6/2019 9:53:00 AM"</f>
        <v>12/6/2019 9:53:00 AM</v>
      </c>
      <c r="O13302" t="s">
        <v>40232</v>
      </c>
      <c r="T13302" t="s">
        <v>40233</v>
      </c>
    </row>
    <row r="13303" spans="1:20" x14ac:dyDescent="0.25">
      <c r="A13303" t="str">
        <f>"3041447"</f>
        <v>3041447</v>
      </c>
      <c r="B13303" t="s">
        <v>40235</v>
      </c>
      <c r="C13303" t="str">
        <f>"82525788"</f>
        <v>82525788</v>
      </c>
      <c r="D13303" t="s">
        <v>40236</v>
      </c>
      <c r="E13303" t="s">
        <v>40237</v>
      </c>
      <c r="F13303" t="s">
        <v>40238</v>
      </c>
      <c r="I13303" t="s">
        <v>2071</v>
      </c>
      <c r="J13303" t="s">
        <v>30</v>
      </c>
      <c r="K13303" t="s">
        <v>185</v>
      </c>
      <c r="M13303" t="s">
        <v>25733</v>
      </c>
      <c r="N13303" t="str">
        <f>"12/9/2019 8:51:00 AM"</f>
        <v>12/9/2019 8:51:00 AM</v>
      </c>
      <c r="O13303" t="s">
        <v>40236</v>
      </c>
      <c r="T13303" t="s">
        <v>40237</v>
      </c>
    </row>
    <row r="13304" spans="1:20" x14ac:dyDescent="0.25">
      <c r="A13304" t="str">
        <f>"3040523"</f>
        <v>3040523</v>
      </c>
      <c r="B13304" t="s">
        <v>40239</v>
      </c>
      <c r="C13304" t="str">
        <f>"8312782"</f>
        <v>8312782</v>
      </c>
      <c r="D13304" t="s">
        <v>40240</v>
      </c>
      <c r="E13304" t="s">
        <v>40241</v>
      </c>
      <c r="F13304" t="s">
        <v>40242</v>
      </c>
      <c r="I13304" t="s">
        <v>184</v>
      </c>
      <c r="J13304" t="s">
        <v>30</v>
      </c>
      <c r="K13304" t="s">
        <v>40243</v>
      </c>
      <c r="M13304" t="s">
        <v>17861</v>
      </c>
      <c r="N13304" t="str">
        <f>"12/19/2019 2:30:00 PM"</f>
        <v>12/19/2019 2:30:00 PM</v>
      </c>
      <c r="O13304" t="s">
        <v>40240</v>
      </c>
      <c r="T13304" t="s">
        <v>40241</v>
      </c>
    </row>
    <row r="13305" spans="1:20" x14ac:dyDescent="0.25">
      <c r="A13305" t="str">
        <f>"3063897"</f>
        <v>3063897</v>
      </c>
      <c r="B13305" t="s">
        <v>40244</v>
      </c>
      <c r="C13305" t="str">
        <f>"8312783"</f>
        <v>8312783</v>
      </c>
      <c r="D13305" t="s">
        <v>40245</v>
      </c>
      <c r="F13305" t="s">
        <v>40246</v>
      </c>
      <c r="I13305" t="s">
        <v>184</v>
      </c>
      <c r="J13305" t="s">
        <v>30</v>
      </c>
      <c r="K13305" t="s">
        <v>40247</v>
      </c>
      <c r="M13305" t="s">
        <v>17861</v>
      </c>
      <c r="N13305" t="str">
        <f>"12/19/2019 2:35:00 PM"</f>
        <v>12/19/2019 2:35:00 PM</v>
      </c>
      <c r="O13305" t="s">
        <v>40245</v>
      </c>
    </row>
    <row r="13306" spans="1:20" x14ac:dyDescent="0.25">
      <c r="A13306" t="str">
        <f>"3061296"</f>
        <v>3061296</v>
      </c>
      <c r="B13306" t="s">
        <v>40248</v>
      </c>
      <c r="C13306" t="str">
        <f>"8312785"</f>
        <v>8312785</v>
      </c>
      <c r="D13306" t="s">
        <v>40249</v>
      </c>
      <c r="E13306" t="s">
        <v>40250</v>
      </c>
      <c r="F13306" t="s">
        <v>40251</v>
      </c>
      <c r="I13306" t="s">
        <v>2071</v>
      </c>
      <c r="J13306" t="s">
        <v>30</v>
      </c>
      <c r="K13306" t="str">
        <f>"27006"</f>
        <v>27006</v>
      </c>
      <c r="M13306" t="s">
        <v>17861</v>
      </c>
      <c r="N13306" t="str">
        <f>"12/19/2019 2:59:00 PM"</f>
        <v>12/19/2019 2:59:00 PM</v>
      </c>
      <c r="O13306" t="s">
        <v>40249</v>
      </c>
      <c r="T13306" t="s">
        <v>40250</v>
      </c>
    </row>
    <row r="13307" spans="1:20" x14ac:dyDescent="0.25">
      <c r="A13307" t="str">
        <f>"3056230"</f>
        <v>3056230</v>
      </c>
      <c r="B13307" t="s">
        <v>40252</v>
      </c>
      <c r="C13307" t="str">
        <f>"82531713"</f>
        <v>82531713</v>
      </c>
      <c r="D13307" t="s">
        <v>40253</v>
      </c>
      <c r="F13307" t="s">
        <v>40254</v>
      </c>
      <c r="I13307" t="s">
        <v>29</v>
      </c>
      <c r="J13307" t="s">
        <v>30</v>
      </c>
      <c r="K13307" t="s">
        <v>31</v>
      </c>
      <c r="M13307" t="s">
        <v>17861</v>
      </c>
      <c r="N13307" t="str">
        <f>"12/19/2019 3:06:00 PM"</f>
        <v>12/19/2019 3:06:00 PM</v>
      </c>
      <c r="O13307" t="s">
        <v>40253</v>
      </c>
    </row>
    <row r="13308" spans="1:20" x14ac:dyDescent="0.25">
      <c r="A13308" t="str">
        <f>"3056219"</f>
        <v>3056219</v>
      </c>
      <c r="B13308" t="s">
        <v>40255</v>
      </c>
      <c r="C13308" t="str">
        <f>"82531713"</f>
        <v>82531713</v>
      </c>
      <c r="D13308" t="s">
        <v>40253</v>
      </c>
      <c r="F13308" t="s">
        <v>40254</v>
      </c>
      <c r="I13308" t="s">
        <v>29</v>
      </c>
      <c r="J13308" t="s">
        <v>30</v>
      </c>
      <c r="K13308" t="s">
        <v>31</v>
      </c>
      <c r="M13308" t="s">
        <v>17861</v>
      </c>
      <c r="N13308" t="str">
        <f>"12/19/2019 3:06:00 PM"</f>
        <v>12/19/2019 3:06:00 PM</v>
      </c>
      <c r="O13308" t="s">
        <v>40253</v>
      </c>
    </row>
    <row r="13309" spans="1:20" x14ac:dyDescent="0.25">
      <c r="A13309" t="str">
        <f>"3056243"</f>
        <v>3056243</v>
      </c>
      <c r="B13309" t="s">
        <v>40256</v>
      </c>
      <c r="C13309" t="str">
        <f>"82531713"</f>
        <v>82531713</v>
      </c>
      <c r="D13309" t="s">
        <v>40253</v>
      </c>
      <c r="F13309" t="s">
        <v>40254</v>
      </c>
      <c r="I13309" t="s">
        <v>29</v>
      </c>
      <c r="J13309" t="s">
        <v>30</v>
      </c>
      <c r="K13309" t="s">
        <v>31</v>
      </c>
      <c r="M13309" t="s">
        <v>17861</v>
      </c>
      <c r="N13309" t="str">
        <f>"12/19/2019 3:06:00 PM"</f>
        <v>12/19/2019 3:06:00 PM</v>
      </c>
      <c r="O13309" t="s">
        <v>40253</v>
      </c>
    </row>
    <row r="13310" spans="1:20" x14ac:dyDescent="0.25">
      <c r="A13310" t="str">
        <f>"3056793"</f>
        <v>3056793</v>
      </c>
      <c r="B13310" t="s">
        <v>40257</v>
      </c>
      <c r="C13310" t="str">
        <f>"82531713"</f>
        <v>82531713</v>
      </c>
      <c r="D13310" t="s">
        <v>40253</v>
      </c>
      <c r="F13310" t="s">
        <v>40254</v>
      </c>
      <c r="I13310" t="s">
        <v>29</v>
      </c>
      <c r="J13310" t="s">
        <v>30</v>
      </c>
      <c r="K13310" t="s">
        <v>31</v>
      </c>
      <c r="M13310" t="s">
        <v>17861</v>
      </c>
      <c r="N13310" t="str">
        <f>"12/19/2019 3:06:00 PM"</f>
        <v>12/19/2019 3:06:00 PM</v>
      </c>
      <c r="O13310" t="s">
        <v>40253</v>
      </c>
    </row>
    <row r="13311" spans="1:20" x14ac:dyDescent="0.25">
      <c r="A13311" t="str">
        <f>"3056466"</f>
        <v>3056466</v>
      </c>
      <c r="B13311" t="s">
        <v>40258</v>
      </c>
      <c r="C13311" t="str">
        <f>"82531713"</f>
        <v>82531713</v>
      </c>
      <c r="D13311" t="s">
        <v>40253</v>
      </c>
      <c r="F13311" t="s">
        <v>40254</v>
      </c>
      <c r="I13311" t="s">
        <v>29</v>
      </c>
      <c r="J13311" t="s">
        <v>30</v>
      </c>
      <c r="K13311" t="s">
        <v>31</v>
      </c>
      <c r="M13311" t="s">
        <v>17861</v>
      </c>
      <c r="N13311" t="str">
        <f>"12/19/2019 3:06:00 PM"</f>
        <v>12/19/2019 3:06:00 PM</v>
      </c>
      <c r="O13311" t="s">
        <v>40253</v>
      </c>
    </row>
    <row r="13312" spans="1:20" x14ac:dyDescent="0.25">
      <c r="A13312" t="str">
        <f>"3068091"</f>
        <v>3068091</v>
      </c>
      <c r="B13312" t="s">
        <v>40259</v>
      </c>
      <c r="C13312" t="str">
        <f>"8312194"</f>
        <v>8312194</v>
      </c>
      <c r="D13312" t="s">
        <v>40260</v>
      </c>
      <c r="E13312" t="s">
        <v>40261</v>
      </c>
      <c r="F13312" t="s">
        <v>40262</v>
      </c>
      <c r="I13312" t="s">
        <v>471</v>
      </c>
      <c r="J13312" t="s">
        <v>30</v>
      </c>
      <c r="K13312" t="s">
        <v>40263</v>
      </c>
      <c r="M13312" t="s">
        <v>17861</v>
      </c>
      <c r="N13312" t="str">
        <f>"12/10/2019 12:12:00 PM"</f>
        <v>12/10/2019 12:12:00 PM</v>
      </c>
      <c r="O13312" t="s">
        <v>40260</v>
      </c>
      <c r="T13312" t="s">
        <v>40261</v>
      </c>
    </row>
    <row r="13313" spans="1:20" x14ac:dyDescent="0.25">
      <c r="A13313" t="str">
        <f>"3059534"</f>
        <v>3059534</v>
      </c>
      <c r="B13313" t="s">
        <v>40264</v>
      </c>
      <c r="C13313" t="str">
        <f>"8310297"</f>
        <v>8310297</v>
      </c>
      <c r="D13313" t="s">
        <v>40265</v>
      </c>
      <c r="E13313" t="s">
        <v>30404</v>
      </c>
      <c r="F13313" t="s">
        <v>40266</v>
      </c>
      <c r="I13313" t="s">
        <v>29</v>
      </c>
      <c r="J13313" t="s">
        <v>30</v>
      </c>
      <c r="K13313" t="s">
        <v>40267</v>
      </c>
      <c r="M13313" t="s">
        <v>34475</v>
      </c>
      <c r="N13313" t="str">
        <f>"12/10/2019 3:04:00 PM"</f>
        <v>12/10/2019 3:04:00 PM</v>
      </c>
      <c r="O13313" t="s">
        <v>40265</v>
      </c>
      <c r="T13313" t="s">
        <v>30404</v>
      </c>
    </row>
    <row r="13314" spans="1:20" x14ac:dyDescent="0.25">
      <c r="A13314" t="str">
        <f>"3059120"</f>
        <v>3059120</v>
      </c>
      <c r="B13314" t="s">
        <v>40268</v>
      </c>
      <c r="C13314" t="str">
        <f>"8312792"</f>
        <v>8312792</v>
      </c>
      <c r="D13314" t="s">
        <v>40269</v>
      </c>
      <c r="E13314" t="s">
        <v>40270</v>
      </c>
      <c r="F13314" t="s">
        <v>40271</v>
      </c>
      <c r="I13314" t="s">
        <v>29</v>
      </c>
      <c r="J13314" t="s">
        <v>30</v>
      </c>
      <c r="K13314" t="s">
        <v>38830</v>
      </c>
      <c r="M13314" t="s">
        <v>17861</v>
      </c>
      <c r="N13314" t="str">
        <f>"12/19/2019 3:45:00 PM"</f>
        <v>12/19/2019 3:45:00 PM</v>
      </c>
      <c r="O13314" t="s">
        <v>40269</v>
      </c>
      <c r="T13314" t="s">
        <v>40270</v>
      </c>
    </row>
    <row r="13315" spans="1:20" x14ac:dyDescent="0.25">
      <c r="A13315" t="str">
        <f>"3043964"</f>
        <v>3043964</v>
      </c>
      <c r="B13315" t="s">
        <v>40272</v>
      </c>
      <c r="C13315" t="str">
        <f>"8312793"</f>
        <v>8312793</v>
      </c>
      <c r="D13315" t="s">
        <v>40273</v>
      </c>
      <c r="E13315" t="str">
        <f>"HOKE JAMES EARL JR/GIA S"</f>
        <v>HOKE JAMES EARL JR/GIA S</v>
      </c>
      <c r="F13315" t="s">
        <v>40274</v>
      </c>
      <c r="I13315" t="s">
        <v>2589</v>
      </c>
      <c r="J13315" t="s">
        <v>30</v>
      </c>
      <c r="K13315" t="s">
        <v>40275</v>
      </c>
      <c r="M13315" t="s">
        <v>17861</v>
      </c>
      <c r="N13315" t="str">
        <f>"12/19/2019 3:48:00 PM"</f>
        <v>12/19/2019 3:48:00 PM</v>
      </c>
      <c r="O13315" t="s">
        <v>40273</v>
      </c>
      <c r="T13315" t="str">
        <f>"HOKE JAMES EARL JR/GIA S"</f>
        <v>HOKE JAMES EARL JR/GIA S</v>
      </c>
    </row>
    <row r="13316" spans="1:20" x14ac:dyDescent="0.25">
      <c r="A13316" t="str">
        <f>"3061624"</f>
        <v>3061624</v>
      </c>
      <c r="B13316" t="s">
        <v>40276</v>
      </c>
      <c r="C13316" t="str">
        <f>"8312794"</f>
        <v>8312794</v>
      </c>
      <c r="D13316" t="s">
        <v>40277</v>
      </c>
      <c r="E13316" t="s">
        <v>40278</v>
      </c>
      <c r="F13316" t="s">
        <v>40279</v>
      </c>
      <c r="I13316" t="s">
        <v>29</v>
      </c>
      <c r="J13316" t="s">
        <v>30</v>
      </c>
      <c r="K13316" t="s">
        <v>13727</v>
      </c>
      <c r="M13316" t="s">
        <v>17861</v>
      </c>
      <c r="N13316" t="str">
        <f>"12/19/2019 3:53:00 PM"</f>
        <v>12/19/2019 3:53:00 PM</v>
      </c>
      <c r="O13316" t="s">
        <v>40277</v>
      </c>
      <c r="T13316" t="s">
        <v>40278</v>
      </c>
    </row>
    <row r="13317" spans="1:20" x14ac:dyDescent="0.25">
      <c r="A13317" t="str">
        <f>"3054919"</f>
        <v>3054919</v>
      </c>
      <c r="B13317" t="s">
        <v>40280</v>
      </c>
      <c r="C13317" t="str">
        <f>"8312796"</f>
        <v>8312796</v>
      </c>
      <c r="D13317" t="s">
        <v>40281</v>
      </c>
      <c r="F13317" t="s">
        <v>40282</v>
      </c>
      <c r="I13317" t="s">
        <v>29</v>
      </c>
      <c r="J13317" t="s">
        <v>30</v>
      </c>
      <c r="K13317" t="s">
        <v>40283</v>
      </c>
      <c r="M13317" t="s">
        <v>17861</v>
      </c>
      <c r="N13317" t="str">
        <f>"12/19/2019 4:00:00 PM"</f>
        <v>12/19/2019 4:00:00 PM</v>
      </c>
      <c r="O13317" t="s">
        <v>40281</v>
      </c>
    </row>
    <row r="13318" spans="1:20" x14ac:dyDescent="0.25">
      <c r="A13318" t="str">
        <f>"3077924"</f>
        <v>3077924</v>
      </c>
      <c r="B13318" t="s">
        <v>40284</v>
      </c>
      <c r="C13318" t="str">
        <f>"8312686"</f>
        <v>8312686</v>
      </c>
      <c r="D13318" t="s">
        <v>40285</v>
      </c>
      <c r="F13318" t="s">
        <v>40286</v>
      </c>
      <c r="I13318" t="s">
        <v>29</v>
      </c>
      <c r="J13318" t="s">
        <v>30</v>
      </c>
      <c r="K13318" t="s">
        <v>40267</v>
      </c>
      <c r="M13318" t="s">
        <v>17861</v>
      </c>
      <c r="N13318" t="str">
        <f>"12/11/2019 11:08:00 AM"</f>
        <v>12/11/2019 11:08:00 AM</v>
      </c>
      <c r="O13318" t="s">
        <v>40285</v>
      </c>
    </row>
    <row r="13319" spans="1:20" x14ac:dyDescent="0.25">
      <c r="A13319" t="str">
        <f>"3059376"</f>
        <v>3059376</v>
      </c>
      <c r="B13319" t="s">
        <v>40287</v>
      </c>
      <c r="C13319" t="str">
        <f>"8312799"</f>
        <v>8312799</v>
      </c>
      <c r="D13319" t="s">
        <v>40288</v>
      </c>
      <c r="F13319" t="s">
        <v>40289</v>
      </c>
      <c r="I13319" t="s">
        <v>29</v>
      </c>
      <c r="J13319" t="s">
        <v>30</v>
      </c>
      <c r="K13319" t="s">
        <v>40290</v>
      </c>
      <c r="M13319" t="s">
        <v>17861</v>
      </c>
      <c r="N13319" t="str">
        <f>"12/19/2019 4:07:00 PM"</f>
        <v>12/19/2019 4:07:00 PM</v>
      </c>
      <c r="O13319" t="s">
        <v>40288</v>
      </c>
    </row>
    <row r="13320" spans="1:20" x14ac:dyDescent="0.25">
      <c r="A13320" t="str">
        <f>"3041798"</f>
        <v>3041798</v>
      </c>
      <c r="B13320" t="s">
        <v>40291</v>
      </c>
      <c r="C13320" t="str">
        <f>"8312802"</f>
        <v>8312802</v>
      </c>
      <c r="D13320" t="s">
        <v>40292</v>
      </c>
      <c r="E13320" t="s">
        <v>40293</v>
      </c>
      <c r="F13320" t="s">
        <v>40294</v>
      </c>
      <c r="I13320" t="s">
        <v>2071</v>
      </c>
      <c r="J13320" t="s">
        <v>30</v>
      </c>
      <c r="K13320" t="s">
        <v>3542</v>
      </c>
      <c r="M13320" t="s">
        <v>17861</v>
      </c>
      <c r="N13320" t="str">
        <f>"12/20/2019 11:06:00 AM"</f>
        <v>12/20/2019 11:06:00 AM</v>
      </c>
      <c r="O13320" t="s">
        <v>40292</v>
      </c>
      <c r="T13320" t="s">
        <v>40293</v>
      </c>
    </row>
    <row r="13321" spans="1:20" x14ac:dyDescent="0.25">
      <c r="A13321" t="str">
        <f>"3062497"</f>
        <v>3062497</v>
      </c>
      <c r="B13321" t="s">
        <v>40295</v>
      </c>
      <c r="C13321" t="str">
        <f>"8312804"</f>
        <v>8312804</v>
      </c>
      <c r="D13321" t="s">
        <v>40296</v>
      </c>
      <c r="F13321" t="s">
        <v>40297</v>
      </c>
      <c r="I13321" t="s">
        <v>184</v>
      </c>
      <c r="J13321" t="s">
        <v>30</v>
      </c>
      <c r="K13321" t="s">
        <v>40298</v>
      </c>
      <c r="M13321" t="s">
        <v>17861</v>
      </c>
      <c r="N13321" t="str">
        <f>"12/20/2019 12:13:00 PM"</f>
        <v>12/20/2019 12:13:00 PM</v>
      </c>
      <c r="O13321" t="s">
        <v>40296</v>
      </c>
    </row>
    <row r="13322" spans="1:20" x14ac:dyDescent="0.25">
      <c r="A13322" t="str">
        <f>"3043509"</f>
        <v>3043509</v>
      </c>
      <c r="B13322" t="s">
        <v>40299</v>
      </c>
      <c r="C13322" t="str">
        <f>"8312686"</f>
        <v>8312686</v>
      </c>
      <c r="D13322" t="s">
        <v>40285</v>
      </c>
      <c r="F13322" t="s">
        <v>40286</v>
      </c>
      <c r="I13322" t="s">
        <v>29</v>
      </c>
      <c r="J13322" t="s">
        <v>30</v>
      </c>
      <c r="K13322" t="s">
        <v>40267</v>
      </c>
      <c r="M13322" t="s">
        <v>17861</v>
      </c>
      <c r="N13322" t="str">
        <f>"12/11/2019 11:08:00 AM"</f>
        <v>12/11/2019 11:08:00 AM</v>
      </c>
      <c r="O13322" t="s">
        <v>40285</v>
      </c>
    </row>
    <row r="13323" spans="1:20" x14ac:dyDescent="0.25">
      <c r="A13323" t="str">
        <f>"3043164"</f>
        <v>3043164</v>
      </c>
      <c r="B13323" t="s">
        <v>40300</v>
      </c>
      <c r="C13323" t="str">
        <f>"8312686"</f>
        <v>8312686</v>
      </c>
      <c r="D13323" t="s">
        <v>40285</v>
      </c>
      <c r="F13323" t="s">
        <v>40286</v>
      </c>
      <c r="I13323" t="s">
        <v>29</v>
      </c>
      <c r="J13323" t="s">
        <v>30</v>
      </c>
      <c r="K13323" t="s">
        <v>40267</v>
      </c>
      <c r="M13323" t="s">
        <v>17861</v>
      </c>
      <c r="N13323" t="str">
        <f>"12/11/2019 11:08:00 AM"</f>
        <v>12/11/2019 11:08:00 AM</v>
      </c>
      <c r="O13323" t="s">
        <v>40285</v>
      </c>
    </row>
    <row r="13324" spans="1:20" x14ac:dyDescent="0.25">
      <c r="A13324" t="str">
        <f>"3055485"</f>
        <v>3055485</v>
      </c>
      <c r="B13324" t="s">
        <v>40301</v>
      </c>
      <c r="C13324" t="str">
        <f>"8312689"</f>
        <v>8312689</v>
      </c>
      <c r="D13324" t="str">
        <f>"BALL HERSHELL RAY JR/ELLEN KAY"</f>
        <v>BALL HERSHELL RAY JR/ELLEN KAY</v>
      </c>
      <c r="E13324" t="str">
        <f>"GRIGGS DWAYNE/REBECCA BALL"</f>
        <v>GRIGGS DWAYNE/REBECCA BALL</v>
      </c>
      <c r="F13324" t="s">
        <v>40302</v>
      </c>
      <c r="I13324" t="s">
        <v>964</v>
      </c>
      <c r="J13324" t="s">
        <v>30</v>
      </c>
      <c r="K13324" t="s">
        <v>40303</v>
      </c>
      <c r="M13324" t="s">
        <v>17861</v>
      </c>
      <c r="N13324" t="str">
        <f>"12/12/2019 3:57:00 PM"</f>
        <v>12/12/2019 3:57:00 PM</v>
      </c>
      <c r="O13324" t="str">
        <f>"BALL HERSHELL RAY JR/ELLEN KAY"</f>
        <v>BALL HERSHELL RAY JR/ELLEN KAY</v>
      </c>
      <c r="T13324" t="str">
        <f>"GRIGGS DWAYNE/REBECCA BALL"</f>
        <v>GRIGGS DWAYNE/REBECCA BALL</v>
      </c>
    </row>
    <row r="13325" spans="1:20" x14ac:dyDescent="0.25">
      <c r="A13325" t="str">
        <f>"3062578"</f>
        <v>3062578</v>
      </c>
      <c r="B13325" t="s">
        <v>40304</v>
      </c>
      <c r="C13325" t="str">
        <f>"8312808"</f>
        <v>8312808</v>
      </c>
      <c r="D13325" t="s">
        <v>40305</v>
      </c>
      <c r="F13325" t="s">
        <v>40306</v>
      </c>
      <c r="I13325" t="s">
        <v>2071</v>
      </c>
      <c r="J13325" t="s">
        <v>30</v>
      </c>
      <c r="K13325" t="s">
        <v>33177</v>
      </c>
      <c r="M13325" t="s">
        <v>17861</v>
      </c>
      <c r="N13325" t="str">
        <f>"12/20/2019 12:35:00 PM"</f>
        <v>12/20/2019 12:35:00 PM</v>
      </c>
      <c r="O13325" t="s">
        <v>40305</v>
      </c>
    </row>
    <row r="13326" spans="1:20" x14ac:dyDescent="0.25">
      <c r="A13326" t="str">
        <f>"3054609"</f>
        <v>3054609</v>
      </c>
      <c r="B13326" t="s">
        <v>40307</v>
      </c>
      <c r="C13326" t="str">
        <f>"8312810"</f>
        <v>8312810</v>
      </c>
      <c r="D13326" t="s">
        <v>40308</v>
      </c>
      <c r="F13326" t="s">
        <v>40309</v>
      </c>
      <c r="I13326" t="s">
        <v>29</v>
      </c>
      <c r="J13326" t="s">
        <v>30</v>
      </c>
      <c r="K13326" t="s">
        <v>15237</v>
      </c>
      <c r="M13326" t="s">
        <v>17861</v>
      </c>
      <c r="N13326" t="str">
        <f>"12/20/2019 12:42:00 PM"</f>
        <v>12/20/2019 12:42:00 PM</v>
      </c>
      <c r="O13326" t="s">
        <v>40308</v>
      </c>
    </row>
    <row r="13327" spans="1:20" x14ac:dyDescent="0.25">
      <c r="A13327" t="str">
        <f>"3040239"</f>
        <v>3040239</v>
      </c>
      <c r="B13327" t="s">
        <v>40310</v>
      </c>
      <c r="C13327" t="str">
        <f>"8312813"</f>
        <v>8312813</v>
      </c>
      <c r="D13327" t="s">
        <v>40311</v>
      </c>
      <c r="F13327" t="s">
        <v>40312</v>
      </c>
      <c r="I13327" t="s">
        <v>29</v>
      </c>
      <c r="J13327" t="s">
        <v>30</v>
      </c>
      <c r="K13327" t="s">
        <v>40313</v>
      </c>
      <c r="M13327" t="s">
        <v>17861</v>
      </c>
      <c r="N13327" t="str">
        <f>"12/20/2019 12:51:00 PM"</f>
        <v>12/20/2019 12:51:00 PM</v>
      </c>
      <c r="O13327" t="s">
        <v>40311</v>
      </c>
    </row>
    <row r="13328" spans="1:20" x14ac:dyDescent="0.25">
      <c r="A13328" t="str">
        <f>"3054296"</f>
        <v>3054296</v>
      </c>
      <c r="B13328" t="s">
        <v>40314</v>
      </c>
      <c r="C13328" t="str">
        <f>"8312815"</f>
        <v>8312815</v>
      </c>
      <c r="D13328" t="s">
        <v>40315</v>
      </c>
      <c r="F13328" t="s">
        <v>40316</v>
      </c>
      <c r="I13328" t="s">
        <v>29</v>
      </c>
      <c r="J13328" t="s">
        <v>30</v>
      </c>
      <c r="K13328" t="s">
        <v>40317</v>
      </c>
      <c r="M13328" t="s">
        <v>17861</v>
      </c>
      <c r="N13328" t="str">
        <f>"12/20/2019 12:56:00 PM"</f>
        <v>12/20/2019 12:56:00 PM</v>
      </c>
      <c r="O13328" t="s">
        <v>40315</v>
      </c>
    </row>
    <row r="13329" spans="1:20" x14ac:dyDescent="0.25">
      <c r="A13329" t="str">
        <f>"3042360"</f>
        <v>3042360</v>
      </c>
      <c r="B13329" t="s">
        <v>40318</v>
      </c>
      <c r="C13329" t="str">
        <f>"8312816"</f>
        <v>8312816</v>
      </c>
      <c r="D13329" t="s">
        <v>40319</v>
      </c>
      <c r="F13329" t="s">
        <v>40320</v>
      </c>
      <c r="I13329" t="s">
        <v>184</v>
      </c>
      <c r="J13329" t="s">
        <v>30</v>
      </c>
      <c r="K13329" t="s">
        <v>3457</v>
      </c>
      <c r="M13329" t="s">
        <v>17861</v>
      </c>
      <c r="N13329" t="str">
        <f>"12/20/2019 1:03:00 PM"</f>
        <v>12/20/2019 1:03:00 PM</v>
      </c>
      <c r="O13329" t="s">
        <v>40319</v>
      </c>
    </row>
    <row r="13330" spans="1:20" x14ac:dyDescent="0.25">
      <c r="A13330" t="str">
        <f>"3043188"</f>
        <v>3043188</v>
      </c>
      <c r="B13330" t="s">
        <v>40321</v>
      </c>
      <c r="C13330" t="str">
        <f>"8312817"</f>
        <v>8312817</v>
      </c>
      <c r="D13330" t="s">
        <v>40322</v>
      </c>
      <c r="E13330" t="s">
        <v>40323</v>
      </c>
      <c r="F13330" t="s">
        <v>40324</v>
      </c>
      <c r="I13330" t="s">
        <v>30550</v>
      </c>
      <c r="J13330" t="s">
        <v>30</v>
      </c>
      <c r="K13330" t="str">
        <f>"28804"</f>
        <v>28804</v>
      </c>
      <c r="M13330" t="s">
        <v>17861</v>
      </c>
      <c r="N13330" t="str">
        <f>"12/20/2019 1:06:00 PM"</f>
        <v>12/20/2019 1:06:00 PM</v>
      </c>
      <c r="O13330" t="s">
        <v>40322</v>
      </c>
      <c r="T13330" t="s">
        <v>40323</v>
      </c>
    </row>
    <row r="13331" spans="1:20" x14ac:dyDescent="0.25">
      <c r="A13331" t="str">
        <f>"3043138"</f>
        <v>3043138</v>
      </c>
      <c r="B13331" t="s">
        <v>40325</v>
      </c>
      <c r="C13331" t="str">
        <f>"8312817"</f>
        <v>8312817</v>
      </c>
      <c r="D13331" t="s">
        <v>40322</v>
      </c>
      <c r="E13331" t="s">
        <v>40323</v>
      </c>
      <c r="F13331" t="s">
        <v>40324</v>
      </c>
      <c r="I13331" t="s">
        <v>30550</v>
      </c>
      <c r="J13331" t="s">
        <v>30</v>
      </c>
      <c r="K13331" t="str">
        <f>"28804"</f>
        <v>28804</v>
      </c>
      <c r="M13331" t="s">
        <v>17861</v>
      </c>
      <c r="N13331" t="str">
        <f>"12/20/2019 1:06:00 PM"</f>
        <v>12/20/2019 1:06:00 PM</v>
      </c>
      <c r="O13331" t="s">
        <v>40322</v>
      </c>
      <c r="T13331" t="s">
        <v>40323</v>
      </c>
    </row>
    <row r="13332" spans="1:20" x14ac:dyDescent="0.25">
      <c r="A13332" t="str">
        <f>"3061294"</f>
        <v>3061294</v>
      </c>
      <c r="B13332" t="s">
        <v>40326</v>
      </c>
      <c r="C13332" t="str">
        <f>"8312819"</f>
        <v>8312819</v>
      </c>
      <c r="D13332" t="s">
        <v>40327</v>
      </c>
      <c r="E13332" t="s">
        <v>40328</v>
      </c>
      <c r="F13332" t="s">
        <v>40329</v>
      </c>
      <c r="I13332" t="s">
        <v>2071</v>
      </c>
      <c r="J13332" t="s">
        <v>30</v>
      </c>
      <c r="K13332" t="str">
        <f>"27006"</f>
        <v>27006</v>
      </c>
      <c r="M13332" t="s">
        <v>17861</v>
      </c>
      <c r="N13332" t="str">
        <f>"12/20/2019 1:12:00 PM"</f>
        <v>12/20/2019 1:12:00 PM</v>
      </c>
      <c r="O13332" t="s">
        <v>40327</v>
      </c>
      <c r="T13332" t="s">
        <v>40328</v>
      </c>
    </row>
    <row r="13333" spans="1:20" x14ac:dyDescent="0.25">
      <c r="A13333" t="str">
        <f>"3061587"</f>
        <v>3061587</v>
      </c>
      <c r="B13333" t="s">
        <v>40330</v>
      </c>
      <c r="C13333" t="str">
        <f>"8305671"</f>
        <v>8305671</v>
      </c>
      <c r="D13333" t="s">
        <v>40331</v>
      </c>
      <c r="E13333" t="s">
        <v>34846</v>
      </c>
      <c r="F13333" t="s">
        <v>36467</v>
      </c>
      <c r="I13333" t="s">
        <v>29</v>
      </c>
      <c r="J13333" t="s">
        <v>30</v>
      </c>
      <c r="K13333" t="s">
        <v>36468</v>
      </c>
      <c r="M13333" t="s">
        <v>34670</v>
      </c>
      <c r="N13333" t="str">
        <f>"12/13/2019 1:06:00 PM"</f>
        <v>12/13/2019 1:06:00 PM</v>
      </c>
      <c r="O13333" t="s">
        <v>40331</v>
      </c>
      <c r="T13333" t="s">
        <v>34846</v>
      </c>
    </row>
    <row r="13334" spans="1:20" x14ac:dyDescent="0.25">
      <c r="A13334" t="str">
        <f>"3072466"</f>
        <v>3072466</v>
      </c>
      <c r="B13334" t="s">
        <v>40332</v>
      </c>
      <c r="C13334" t="str">
        <f>"8312821"</f>
        <v>8312821</v>
      </c>
      <c r="D13334" t="s">
        <v>40333</v>
      </c>
      <c r="F13334" t="s">
        <v>29219</v>
      </c>
      <c r="I13334" t="s">
        <v>29220</v>
      </c>
      <c r="J13334" t="s">
        <v>30</v>
      </c>
      <c r="K13334" t="str">
        <f>"28480"</f>
        <v>28480</v>
      </c>
      <c r="M13334" t="s">
        <v>17861</v>
      </c>
      <c r="N13334" t="str">
        <f>"12/20/2019 1:53:00 PM"</f>
        <v>12/20/2019 1:53:00 PM</v>
      </c>
      <c r="O13334" t="s">
        <v>40333</v>
      </c>
    </row>
    <row r="13335" spans="1:20" x14ac:dyDescent="0.25">
      <c r="A13335" t="str">
        <f>"3077687"</f>
        <v>3077687</v>
      </c>
      <c r="B13335" t="s">
        <v>40334</v>
      </c>
      <c r="C13335" t="str">
        <f>"8312821"</f>
        <v>8312821</v>
      </c>
      <c r="D13335" t="s">
        <v>40333</v>
      </c>
      <c r="F13335" t="s">
        <v>29219</v>
      </c>
      <c r="I13335" t="s">
        <v>29220</v>
      </c>
      <c r="J13335" t="s">
        <v>30</v>
      </c>
      <c r="K13335" t="str">
        <f>"28480"</f>
        <v>28480</v>
      </c>
      <c r="M13335" t="s">
        <v>17861</v>
      </c>
      <c r="N13335" t="str">
        <f>"12/20/2019 1:53:00 PM"</f>
        <v>12/20/2019 1:53:00 PM</v>
      </c>
      <c r="O13335" t="s">
        <v>40333</v>
      </c>
    </row>
    <row r="13336" spans="1:20" x14ac:dyDescent="0.25">
      <c r="A13336" t="str">
        <f>"3046125"</f>
        <v>3046125</v>
      </c>
      <c r="B13336" t="s">
        <v>40335</v>
      </c>
      <c r="C13336" t="str">
        <f>"8312821"</f>
        <v>8312821</v>
      </c>
      <c r="D13336" t="s">
        <v>40333</v>
      </c>
      <c r="F13336" t="s">
        <v>29219</v>
      </c>
      <c r="I13336" t="s">
        <v>29220</v>
      </c>
      <c r="J13336" t="s">
        <v>30</v>
      </c>
      <c r="K13336" t="str">
        <f>"28480"</f>
        <v>28480</v>
      </c>
      <c r="M13336" t="s">
        <v>17861</v>
      </c>
      <c r="N13336" t="str">
        <f>"12/20/2019 1:53:00 PM"</f>
        <v>12/20/2019 1:53:00 PM</v>
      </c>
      <c r="O13336" t="s">
        <v>40333</v>
      </c>
    </row>
    <row r="13337" spans="1:20" x14ac:dyDescent="0.25">
      <c r="A13337" t="str">
        <f>"3049030"</f>
        <v>3049030</v>
      </c>
      <c r="B13337" t="s">
        <v>40336</v>
      </c>
      <c r="C13337" t="str">
        <f>"8312824"</f>
        <v>8312824</v>
      </c>
      <c r="D13337" t="s">
        <v>40337</v>
      </c>
      <c r="F13337" t="s">
        <v>40338</v>
      </c>
      <c r="I13337" t="s">
        <v>29</v>
      </c>
      <c r="J13337" t="s">
        <v>30</v>
      </c>
      <c r="K13337" t="s">
        <v>40339</v>
      </c>
      <c r="M13337" t="s">
        <v>17861</v>
      </c>
      <c r="N13337" t="str">
        <f>"12/20/2019 2:27:00 PM"</f>
        <v>12/20/2019 2:27:00 PM</v>
      </c>
      <c r="O13337" t="s">
        <v>40337</v>
      </c>
    </row>
    <row r="13338" spans="1:20" x14ac:dyDescent="0.25">
      <c r="A13338" t="str">
        <f>"3060913"</f>
        <v>3060913</v>
      </c>
      <c r="B13338" t="s">
        <v>40340</v>
      </c>
      <c r="C13338" t="str">
        <f>"8312825"</f>
        <v>8312825</v>
      </c>
      <c r="D13338" t="s">
        <v>40341</v>
      </c>
      <c r="E13338" t="s">
        <v>40342</v>
      </c>
      <c r="F13338" t="s">
        <v>40343</v>
      </c>
      <c r="I13338" t="s">
        <v>2071</v>
      </c>
      <c r="J13338" t="s">
        <v>30</v>
      </c>
      <c r="K13338" t="str">
        <f>"27006"</f>
        <v>27006</v>
      </c>
      <c r="M13338" t="s">
        <v>17861</v>
      </c>
      <c r="N13338" t="str">
        <f>"12/20/2019 2:29:00 PM"</f>
        <v>12/20/2019 2:29:00 PM</v>
      </c>
      <c r="O13338" t="s">
        <v>40341</v>
      </c>
      <c r="T13338" t="s">
        <v>40342</v>
      </c>
    </row>
    <row r="13339" spans="1:20" x14ac:dyDescent="0.25">
      <c r="A13339" t="str">
        <f>"3058574"</f>
        <v>3058574</v>
      </c>
      <c r="B13339" t="s">
        <v>40344</v>
      </c>
      <c r="C13339" t="str">
        <f>"8312828"</f>
        <v>8312828</v>
      </c>
      <c r="D13339" t="s">
        <v>40345</v>
      </c>
      <c r="F13339" t="s">
        <v>37547</v>
      </c>
      <c r="I13339" t="s">
        <v>29</v>
      </c>
      <c r="J13339" t="s">
        <v>30</v>
      </c>
      <c r="K13339" t="s">
        <v>40346</v>
      </c>
      <c r="M13339" t="s">
        <v>17861</v>
      </c>
      <c r="N13339" t="str">
        <f>"12/20/2019 2:39:00 PM"</f>
        <v>12/20/2019 2:39:00 PM</v>
      </c>
      <c r="O13339" t="s">
        <v>40345</v>
      </c>
    </row>
    <row r="13340" spans="1:20" x14ac:dyDescent="0.25">
      <c r="A13340" t="str">
        <f>"3051404"</f>
        <v>3051404</v>
      </c>
      <c r="B13340" t="s">
        <v>40347</v>
      </c>
      <c r="C13340" t="str">
        <f>"8312831"</f>
        <v>8312831</v>
      </c>
      <c r="D13340" t="s">
        <v>40348</v>
      </c>
      <c r="F13340" t="s">
        <v>40349</v>
      </c>
      <c r="I13340" t="s">
        <v>29</v>
      </c>
      <c r="J13340" t="s">
        <v>30</v>
      </c>
      <c r="K13340" t="s">
        <v>12793</v>
      </c>
      <c r="M13340" t="s">
        <v>17861</v>
      </c>
      <c r="N13340" t="str">
        <f>"12/20/2019 2:48:00 PM"</f>
        <v>12/20/2019 2:48:00 PM</v>
      </c>
      <c r="O13340" t="s">
        <v>40348</v>
      </c>
    </row>
    <row r="13341" spans="1:20" x14ac:dyDescent="0.25">
      <c r="A13341" t="str">
        <f>"3061198"</f>
        <v>3061198</v>
      </c>
      <c r="B13341" t="s">
        <v>40350</v>
      </c>
      <c r="C13341" t="str">
        <f>"8312834"</f>
        <v>8312834</v>
      </c>
      <c r="D13341" t="s">
        <v>40351</v>
      </c>
      <c r="F13341" t="s">
        <v>40352</v>
      </c>
      <c r="I13341" t="s">
        <v>2071</v>
      </c>
      <c r="J13341" t="s">
        <v>30</v>
      </c>
      <c r="K13341" t="s">
        <v>40353</v>
      </c>
      <c r="M13341" t="s">
        <v>17861</v>
      </c>
      <c r="N13341" t="str">
        <f>"12/20/2019 3:16:00 PM"</f>
        <v>12/20/2019 3:16:00 PM</v>
      </c>
      <c r="O13341" t="s">
        <v>40351</v>
      </c>
    </row>
    <row r="13342" spans="1:20" x14ac:dyDescent="0.25">
      <c r="A13342" t="str">
        <f>"3044604"</f>
        <v>3044604</v>
      </c>
      <c r="B13342" t="s">
        <v>40354</v>
      </c>
      <c r="C13342" t="str">
        <f>"8312835"</f>
        <v>8312835</v>
      </c>
      <c r="D13342" t="s">
        <v>40355</v>
      </c>
      <c r="F13342" t="s">
        <v>40356</v>
      </c>
      <c r="I13342" t="s">
        <v>184</v>
      </c>
      <c r="J13342" t="s">
        <v>30</v>
      </c>
      <c r="K13342" t="s">
        <v>5840</v>
      </c>
      <c r="M13342" t="s">
        <v>17861</v>
      </c>
      <c r="N13342" t="str">
        <f>"12/20/2019 3:31:00 PM"</f>
        <v>12/20/2019 3:31:00 PM</v>
      </c>
      <c r="O13342" t="s">
        <v>40355</v>
      </c>
    </row>
    <row r="13343" spans="1:20" x14ac:dyDescent="0.25">
      <c r="A13343" t="str">
        <f>"3061280"</f>
        <v>3061280</v>
      </c>
      <c r="B13343" t="s">
        <v>40357</v>
      </c>
      <c r="C13343" t="str">
        <f>"8312838"</f>
        <v>8312838</v>
      </c>
      <c r="D13343" t="s">
        <v>40358</v>
      </c>
      <c r="E13343" t="s">
        <v>40359</v>
      </c>
      <c r="F13343" t="s">
        <v>40360</v>
      </c>
      <c r="I13343" t="s">
        <v>184</v>
      </c>
      <c r="J13343" t="s">
        <v>30</v>
      </c>
      <c r="K13343" t="str">
        <f>"27006"</f>
        <v>27006</v>
      </c>
      <c r="M13343" t="s">
        <v>17861</v>
      </c>
      <c r="N13343" t="str">
        <f>"12/23/2019 9:36:00 AM"</f>
        <v>12/23/2019 9:36:00 AM</v>
      </c>
      <c r="O13343" t="s">
        <v>40358</v>
      </c>
      <c r="T13343" t="s">
        <v>40359</v>
      </c>
    </row>
    <row r="13344" spans="1:20" x14ac:dyDescent="0.25">
      <c r="A13344" t="str">
        <f>"3076528"</f>
        <v>3076528</v>
      </c>
      <c r="B13344" t="s">
        <v>40361</v>
      </c>
      <c r="C13344" t="str">
        <f>"68733500"</f>
        <v>68733500</v>
      </c>
      <c r="D13344" t="s">
        <v>40362</v>
      </c>
      <c r="F13344" t="s">
        <v>40363</v>
      </c>
      <c r="I13344" t="s">
        <v>471</v>
      </c>
      <c r="J13344" t="s">
        <v>30</v>
      </c>
      <c r="K13344" t="s">
        <v>2758</v>
      </c>
      <c r="M13344" t="s">
        <v>33845</v>
      </c>
      <c r="N13344" t="str">
        <f>"12/13/2019 2:12:00 PM"</f>
        <v>12/13/2019 2:12:00 PM</v>
      </c>
      <c r="O13344" t="s">
        <v>40362</v>
      </c>
    </row>
    <row r="13345" spans="1:20" x14ac:dyDescent="0.25">
      <c r="A13345" t="str">
        <f>"3053807"</f>
        <v>3053807</v>
      </c>
      <c r="B13345" t="s">
        <v>40364</v>
      </c>
      <c r="C13345" t="str">
        <f>"68733500"</f>
        <v>68733500</v>
      </c>
      <c r="D13345" t="s">
        <v>40362</v>
      </c>
      <c r="F13345" t="s">
        <v>40363</v>
      </c>
      <c r="I13345" t="s">
        <v>471</v>
      </c>
      <c r="J13345" t="s">
        <v>30</v>
      </c>
      <c r="K13345" t="s">
        <v>2758</v>
      </c>
      <c r="M13345" t="s">
        <v>33845</v>
      </c>
      <c r="N13345" t="str">
        <f>"12/13/2019 2:12:00 PM"</f>
        <v>12/13/2019 2:12:00 PM</v>
      </c>
      <c r="O13345" t="s">
        <v>40362</v>
      </c>
    </row>
    <row r="13346" spans="1:20" x14ac:dyDescent="0.25">
      <c r="A13346" t="str">
        <f>"3053511"</f>
        <v>3053511</v>
      </c>
      <c r="B13346" t="s">
        <v>40365</v>
      </c>
      <c r="C13346" t="str">
        <f>"68733500"</f>
        <v>68733500</v>
      </c>
      <c r="D13346" t="s">
        <v>40362</v>
      </c>
      <c r="F13346" t="s">
        <v>40363</v>
      </c>
      <c r="I13346" t="s">
        <v>471</v>
      </c>
      <c r="J13346" t="s">
        <v>30</v>
      </c>
      <c r="K13346" t="s">
        <v>2758</v>
      </c>
      <c r="M13346" t="s">
        <v>33845</v>
      </c>
      <c r="N13346" t="str">
        <f>"12/13/2019 2:12:00 PM"</f>
        <v>12/13/2019 2:12:00 PM</v>
      </c>
      <c r="O13346" t="s">
        <v>40362</v>
      </c>
    </row>
    <row r="13347" spans="1:20" x14ac:dyDescent="0.25">
      <c r="A13347" t="str">
        <f>"3053272"</f>
        <v>3053272</v>
      </c>
      <c r="B13347" t="s">
        <v>40366</v>
      </c>
      <c r="C13347" t="str">
        <f>"68733500"</f>
        <v>68733500</v>
      </c>
      <c r="D13347" t="s">
        <v>40362</v>
      </c>
      <c r="F13347" t="s">
        <v>40363</v>
      </c>
      <c r="I13347" t="s">
        <v>471</v>
      </c>
      <c r="J13347" t="s">
        <v>30</v>
      </c>
      <c r="K13347" t="s">
        <v>2758</v>
      </c>
      <c r="M13347" t="s">
        <v>33845</v>
      </c>
      <c r="N13347" t="str">
        <f>"12/13/2019 2:12:00 PM"</f>
        <v>12/13/2019 2:12:00 PM</v>
      </c>
      <c r="O13347" t="s">
        <v>40362</v>
      </c>
    </row>
    <row r="13348" spans="1:20" x14ac:dyDescent="0.25">
      <c r="A13348" t="str">
        <f>"3040414"</f>
        <v>3040414</v>
      </c>
      <c r="B13348" t="s">
        <v>40367</v>
      </c>
      <c r="C13348" t="str">
        <f>"8302363"</f>
        <v>8302363</v>
      </c>
      <c r="D13348" t="s">
        <v>40368</v>
      </c>
      <c r="F13348" t="s">
        <v>40369</v>
      </c>
      <c r="I13348" t="s">
        <v>184</v>
      </c>
      <c r="J13348" t="s">
        <v>30</v>
      </c>
      <c r="K13348" t="str">
        <f>"27006"</f>
        <v>27006</v>
      </c>
      <c r="M13348" t="s">
        <v>36935</v>
      </c>
      <c r="N13348" t="str">
        <f>"12/17/2019 12:10:00 PM"</f>
        <v>12/17/2019 12:10:00 PM</v>
      </c>
      <c r="O13348" t="s">
        <v>40368</v>
      </c>
    </row>
    <row r="13349" spans="1:20" x14ac:dyDescent="0.25">
      <c r="A13349" t="str">
        <f>"3039004"</f>
        <v>3039004</v>
      </c>
      <c r="B13349" t="s">
        <v>40370</v>
      </c>
      <c r="C13349" t="str">
        <f>"8312632"</f>
        <v>8312632</v>
      </c>
      <c r="D13349" t="s">
        <v>40371</v>
      </c>
      <c r="E13349" t="s">
        <v>40372</v>
      </c>
      <c r="F13349" t="s">
        <v>40373</v>
      </c>
      <c r="I13349" t="s">
        <v>29</v>
      </c>
      <c r="J13349" t="s">
        <v>30</v>
      </c>
      <c r="K13349" t="s">
        <v>40374</v>
      </c>
      <c r="M13349" t="s">
        <v>17861</v>
      </c>
      <c r="N13349" t="str">
        <f>"12/4/2019 2:12:00 PM"</f>
        <v>12/4/2019 2:12:00 PM</v>
      </c>
      <c r="O13349" t="s">
        <v>40371</v>
      </c>
      <c r="T13349" t="s">
        <v>40372</v>
      </c>
    </row>
    <row r="13350" spans="1:20" x14ac:dyDescent="0.25">
      <c r="A13350" t="str">
        <f>"3046402"</f>
        <v>3046402</v>
      </c>
      <c r="B13350" t="s">
        <v>40375</v>
      </c>
      <c r="C13350" t="str">
        <f>"8312850"</f>
        <v>8312850</v>
      </c>
      <c r="D13350" t="s">
        <v>40376</v>
      </c>
      <c r="E13350" t="s">
        <v>40377</v>
      </c>
      <c r="F13350" t="s">
        <v>40378</v>
      </c>
      <c r="I13350" t="s">
        <v>29</v>
      </c>
      <c r="J13350" t="s">
        <v>30</v>
      </c>
      <c r="K13350" t="s">
        <v>28536</v>
      </c>
      <c r="M13350" t="s">
        <v>17861</v>
      </c>
      <c r="N13350" t="str">
        <f>"12/23/2019 4:15:00 PM"</f>
        <v>12/23/2019 4:15:00 PM</v>
      </c>
      <c r="O13350" t="s">
        <v>40376</v>
      </c>
      <c r="T13350" t="s">
        <v>40377</v>
      </c>
    </row>
    <row r="13351" spans="1:20" x14ac:dyDescent="0.25">
      <c r="A13351" t="str">
        <f>"3045428"</f>
        <v>3045428</v>
      </c>
      <c r="B13351" t="s">
        <v>40379</v>
      </c>
      <c r="C13351" t="str">
        <f>"8312851"</f>
        <v>8312851</v>
      </c>
      <c r="D13351" t="s">
        <v>40380</v>
      </c>
      <c r="F13351" t="s">
        <v>40381</v>
      </c>
      <c r="I13351" t="s">
        <v>29</v>
      </c>
      <c r="J13351" t="s">
        <v>30</v>
      </c>
      <c r="K13351" t="s">
        <v>40382</v>
      </c>
      <c r="M13351" t="s">
        <v>17861</v>
      </c>
      <c r="N13351" t="str">
        <f>"12/30/2019 8:38:00 AM"</f>
        <v>12/30/2019 8:38:00 AM</v>
      </c>
      <c r="O13351" t="s">
        <v>40380</v>
      </c>
    </row>
    <row r="13352" spans="1:20" x14ac:dyDescent="0.25">
      <c r="A13352" t="str">
        <f>"3041606"</f>
        <v>3041606</v>
      </c>
      <c r="B13352" t="s">
        <v>40383</v>
      </c>
      <c r="C13352" t="str">
        <f>"8312852"</f>
        <v>8312852</v>
      </c>
      <c r="D13352" t="s">
        <v>40384</v>
      </c>
      <c r="F13352" t="s">
        <v>40385</v>
      </c>
      <c r="I13352" t="s">
        <v>2071</v>
      </c>
      <c r="J13352" t="s">
        <v>30</v>
      </c>
      <c r="K13352" t="s">
        <v>40386</v>
      </c>
      <c r="M13352" t="s">
        <v>17861</v>
      </c>
      <c r="N13352" t="str">
        <f>"12/30/2019 9:02:00 AM"</f>
        <v>12/30/2019 9:02:00 AM</v>
      </c>
      <c r="O13352" t="s">
        <v>40384</v>
      </c>
    </row>
    <row r="13353" spans="1:20" x14ac:dyDescent="0.25">
      <c r="A13353" t="str">
        <f>"3044347"</f>
        <v>3044347</v>
      </c>
      <c r="B13353" t="s">
        <v>40387</v>
      </c>
      <c r="C13353" t="str">
        <f>"8312633"</f>
        <v>8312633</v>
      </c>
      <c r="D13353" t="s">
        <v>40388</v>
      </c>
      <c r="F13353" t="s">
        <v>40389</v>
      </c>
      <c r="I13353" t="s">
        <v>184</v>
      </c>
      <c r="J13353" t="s">
        <v>30</v>
      </c>
      <c r="K13353" t="s">
        <v>40390</v>
      </c>
      <c r="M13353" t="s">
        <v>17861</v>
      </c>
      <c r="N13353" t="str">
        <f>"12/4/2019 2:26:00 PM"</f>
        <v>12/4/2019 2:26:00 PM</v>
      </c>
      <c r="O13353" t="s">
        <v>40388</v>
      </c>
    </row>
    <row r="13354" spans="1:20" x14ac:dyDescent="0.25">
      <c r="A13354" t="str">
        <f>"3044351"</f>
        <v>3044351</v>
      </c>
      <c r="B13354" t="s">
        <v>40391</v>
      </c>
      <c r="C13354" t="str">
        <f>"8312633"</f>
        <v>8312633</v>
      </c>
      <c r="D13354" t="s">
        <v>40388</v>
      </c>
      <c r="F13354" t="s">
        <v>40389</v>
      </c>
      <c r="I13354" t="s">
        <v>184</v>
      </c>
      <c r="J13354" t="s">
        <v>30</v>
      </c>
      <c r="K13354" t="s">
        <v>40390</v>
      </c>
      <c r="M13354" t="s">
        <v>17861</v>
      </c>
      <c r="N13354" t="str">
        <f>"12/4/2019 2:26:00 PM"</f>
        <v>12/4/2019 2:26:00 PM</v>
      </c>
      <c r="O13354" t="s">
        <v>40388</v>
      </c>
    </row>
    <row r="13355" spans="1:20" x14ac:dyDescent="0.25">
      <c r="A13355" t="str">
        <f>"3044080"</f>
        <v>3044080</v>
      </c>
      <c r="B13355" t="s">
        <v>40392</v>
      </c>
      <c r="C13355" t="str">
        <f>"8312633"</f>
        <v>8312633</v>
      </c>
      <c r="D13355" t="s">
        <v>40388</v>
      </c>
      <c r="F13355" t="s">
        <v>40389</v>
      </c>
      <c r="I13355" t="s">
        <v>184</v>
      </c>
      <c r="J13355" t="s">
        <v>30</v>
      </c>
      <c r="K13355" t="s">
        <v>40390</v>
      </c>
      <c r="M13355" t="s">
        <v>17861</v>
      </c>
      <c r="N13355" t="str">
        <f>"12/4/2019 2:26:00 PM"</f>
        <v>12/4/2019 2:26:00 PM</v>
      </c>
      <c r="O13355" t="s">
        <v>40388</v>
      </c>
    </row>
    <row r="13356" spans="1:20" x14ac:dyDescent="0.25">
      <c r="A13356" t="str">
        <f>"3044031"</f>
        <v>3044031</v>
      </c>
      <c r="B13356" t="s">
        <v>40393</v>
      </c>
      <c r="C13356" t="str">
        <f>"8312633"</f>
        <v>8312633</v>
      </c>
      <c r="D13356" t="s">
        <v>40388</v>
      </c>
      <c r="F13356" t="s">
        <v>40389</v>
      </c>
      <c r="I13356" t="s">
        <v>184</v>
      </c>
      <c r="J13356" t="s">
        <v>30</v>
      </c>
      <c r="K13356" t="s">
        <v>40390</v>
      </c>
      <c r="M13356" t="s">
        <v>17861</v>
      </c>
      <c r="N13356" t="str">
        <f>"12/4/2019 2:26:00 PM"</f>
        <v>12/4/2019 2:26:00 PM</v>
      </c>
      <c r="O13356" t="s">
        <v>40388</v>
      </c>
    </row>
    <row r="13357" spans="1:20" x14ac:dyDescent="0.25">
      <c r="A13357" t="str">
        <f>"3077180"</f>
        <v>3077180</v>
      </c>
      <c r="B13357" t="s">
        <v>40394</v>
      </c>
      <c r="C13357" t="str">
        <f>"8312633"</f>
        <v>8312633</v>
      </c>
      <c r="D13357" t="s">
        <v>40388</v>
      </c>
      <c r="F13357" t="s">
        <v>40389</v>
      </c>
      <c r="I13357" t="s">
        <v>184</v>
      </c>
      <c r="J13357" t="s">
        <v>30</v>
      </c>
      <c r="K13357" t="s">
        <v>40390</v>
      </c>
      <c r="M13357" t="s">
        <v>17861</v>
      </c>
      <c r="N13357" t="str">
        <f>"12/4/2019 2:26:00 PM"</f>
        <v>12/4/2019 2:26:00 PM</v>
      </c>
      <c r="O13357" t="s">
        <v>40388</v>
      </c>
    </row>
    <row r="13358" spans="1:20" x14ac:dyDescent="0.25">
      <c r="A13358" t="str">
        <f>"3040594"</f>
        <v>3040594</v>
      </c>
      <c r="B13358" t="s">
        <v>40395</v>
      </c>
      <c r="C13358" t="str">
        <f>"8302363"</f>
        <v>8302363</v>
      </c>
      <c r="D13358" t="s">
        <v>40368</v>
      </c>
      <c r="F13358" t="s">
        <v>40369</v>
      </c>
      <c r="I13358" t="s">
        <v>184</v>
      </c>
      <c r="J13358" t="s">
        <v>30</v>
      </c>
      <c r="K13358" t="str">
        <f>"27006"</f>
        <v>27006</v>
      </c>
      <c r="M13358" t="s">
        <v>36935</v>
      </c>
      <c r="N13358" t="str">
        <f>"12/17/2019 12:10:00 PM"</f>
        <v>12/17/2019 12:10:00 PM</v>
      </c>
      <c r="O13358" t="s">
        <v>40368</v>
      </c>
    </row>
    <row r="13359" spans="1:20" x14ac:dyDescent="0.25">
      <c r="A13359" t="str">
        <f>"3077182"</f>
        <v>3077182</v>
      </c>
      <c r="B13359" t="s">
        <v>40396</v>
      </c>
      <c r="C13359" t="str">
        <f>"8312633"</f>
        <v>8312633</v>
      </c>
      <c r="D13359" t="s">
        <v>40388</v>
      </c>
      <c r="F13359" t="s">
        <v>40389</v>
      </c>
      <c r="I13359" t="s">
        <v>184</v>
      </c>
      <c r="J13359" t="s">
        <v>30</v>
      </c>
      <c r="K13359" t="s">
        <v>40390</v>
      </c>
      <c r="M13359" t="s">
        <v>17861</v>
      </c>
      <c r="N13359" t="str">
        <f>"12/4/2019 2:26:00 PM"</f>
        <v>12/4/2019 2:26:00 PM</v>
      </c>
      <c r="O13359" t="s">
        <v>40388</v>
      </c>
    </row>
    <row r="13360" spans="1:20" x14ac:dyDescent="0.25">
      <c r="A13360" t="str">
        <f>"3047755"</f>
        <v>3047755</v>
      </c>
      <c r="B13360" t="s">
        <v>40397</v>
      </c>
      <c r="C13360" t="str">
        <f>"82521632"</f>
        <v>82521632</v>
      </c>
      <c r="D13360" t="s">
        <v>40398</v>
      </c>
      <c r="F13360" t="s">
        <v>40399</v>
      </c>
      <c r="I13360" t="s">
        <v>184</v>
      </c>
      <c r="J13360" t="s">
        <v>30</v>
      </c>
      <c r="K13360" t="s">
        <v>185</v>
      </c>
      <c r="M13360" t="s">
        <v>33432</v>
      </c>
      <c r="N13360" t="str">
        <f>"12/19/2019 11:55:00 AM"</f>
        <v>12/19/2019 11:55:00 AM</v>
      </c>
      <c r="O13360" t="s">
        <v>40398</v>
      </c>
    </row>
    <row r="13361" spans="1:20" x14ac:dyDescent="0.25">
      <c r="A13361" t="str">
        <f>"3041275"</f>
        <v>3041275</v>
      </c>
      <c r="B13361" t="s">
        <v>40400</v>
      </c>
      <c r="C13361" t="str">
        <f>"8312781"</f>
        <v>8312781</v>
      </c>
      <c r="D13361" t="s">
        <v>40401</v>
      </c>
      <c r="E13361" t="s">
        <v>40402</v>
      </c>
      <c r="F13361" t="s">
        <v>40403</v>
      </c>
      <c r="I13361" t="s">
        <v>184</v>
      </c>
      <c r="J13361" t="s">
        <v>30</v>
      </c>
      <c r="K13361" t="s">
        <v>2136</v>
      </c>
      <c r="M13361" t="s">
        <v>17861</v>
      </c>
      <c r="N13361" t="str">
        <f>"12/19/2019 2:13:00 PM"</f>
        <v>12/19/2019 2:13:00 PM</v>
      </c>
      <c r="O13361" t="s">
        <v>40401</v>
      </c>
      <c r="T13361" t="s">
        <v>40402</v>
      </c>
    </row>
    <row r="13362" spans="1:20" x14ac:dyDescent="0.25">
      <c r="A13362" t="str">
        <f>"3060586"</f>
        <v>3060586</v>
      </c>
      <c r="B13362" t="s">
        <v>40404</v>
      </c>
      <c r="C13362" t="str">
        <f>"8312789"</f>
        <v>8312789</v>
      </c>
      <c r="D13362" t="s">
        <v>40405</v>
      </c>
      <c r="E13362" t="s">
        <v>40406</v>
      </c>
      <c r="F13362" t="s">
        <v>40407</v>
      </c>
      <c r="I13362" t="s">
        <v>2071</v>
      </c>
      <c r="J13362" t="s">
        <v>30</v>
      </c>
      <c r="K13362" t="str">
        <f>"27006"</f>
        <v>27006</v>
      </c>
      <c r="M13362" t="s">
        <v>17861</v>
      </c>
      <c r="N13362" t="str">
        <f>"12/19/2019 3:38:00 PM"</f>
        <v>12/19/2019 3:38:00 PM</v>
      </c>
      <c r="O13362" t="s">
        <v>40405</v>
      </c>
      <c r="T13362" t="s">
        <v>40406</v>
      </c>
    </row>
    <row r="13363" spans="1:20" x14ac:dyDescent="0.25">
      <c r="A13363" t="str">
        <f>"3061857"</f>
        <v>3061857</v>
      </c>
      <c r="B13363" t="s">
        <v>40408</v>
      </c>
      <c r="C13363" t="str">
        <f>"8312791"</f>
        <v>8312791</v>
      </c>
      <c r="D13363" t="s">
        <v>40409</v>
      </c>
      <c r="E13363" t="s">
        <v>40410</v>
      </c>
      <c r="F13363" t="s">
        <v>40411</v>
      </c>
      <c r="I13363" t="s">
        <v>29</v>
      </c>
      <c r="J13363" t="s">
        <v>30</v>
      </c>
      <c r="K13363" t="s">
        <v>10910</v>
      </c>
      <c r="M13363" t="s">
        <v>17861</v>
      </c>
      <c r="N13363" t="str">
        <f>"12/19/2019 3:43:00 PM"</f>
        <v>12/19/2019 3:43:00 PM</v>
      </c>
      <c r="O13363" t="s">
        <v>40409</v>
      </c>
      <c r="T13363" t="s">
        <v>40410</v>
      </c>
    </row>
    <row r="13364" spans="1:20" x14ac:dyDescent="0.25">
      <c r="A13364" t="str">
        <f>"3060061"</f>
        <v>3060061</v>
      </c>
      <c r="B13364" t="s">
        <v>40412</v>
      </c>
      <c r="C13364" t="str">
        <f>"8312798"</f>
        <v>8312798</v>
      </c>
      <c r="D13364" t="s">
        <v>40413</v>
      </c>
      <c r="E13364" t="s">
        <v>40414</v>
      </c>
      <c r="F13364" t="s">
        <v>40415</v>
      </c>
      <c r="I13364" t="s">
        <v>184</v>
      </c>
      <c r="J13364" t="s">
        <v>30</v>
      </c>
      <c r="K13364" t="s">
        <v>34978</v>
      </c>
      <c r="M13364" t="s">
        <v>17861</v>
      </c>
      <c r="N13364" t="str">
        <f>"12/19/2019 4:05:00 PM"</f>
        <v>12/19/2019 4:05:00 PM</v>
      </c>
      <c r="O13364" t="s">
        <v>40413</v>
      </c>
      <c r="T13364" t="s">
        <v>40414</v>
      </c>
    </row>
    <row r="13365" spans="1:20" x14ac:dyDescent="0.25">
      <c r="A13365" t="str">
        <f>"3058914"</f>
        <v>3058914</v>
      </c>
      <c r="B13365" t="s">
        <v>40416</v>
      </c>
      <c r="C13365" t="str">
        <f>"8312806"</f>
        <v>8312806</v>
      </c>
      <c r="D13365" t="s">
        <v>40417</v>
      </c>
      <c r="E13365" t="s">
        <v>40418</v>
      </c>
      <c r="F13365" t="s">
        <v>40419</v>
      </c>
      <c r="I13365" t="s">
        <v>29</v>
      </c>
      <c r="J13365" t="s">
        <v>30</v>
      </c>
      <c r="K13365" t="s">
        <v>34659</v>
      </c>
      <c r="M13365" t="s">
        <v>17861</v>
      </c>
      <c r="N13365" t="str">
        <f>"12/20/2019 12:27:00 PM"</f>
        <v>12/20/2019 12:27:00 PM</v>
      </c>
      <c r="O13365" t="s">
        <v>40417</v>
      </c>
      <c r="T13365" t="s">
        <v>40418</v>
      </c>
    </row>
    <row r="13366" spans="1:20" x14ac:dyDescent="0.25">
      <c r="A13366" t="str">
        <f>"3038365"</f>
        <v>3038365</v>
      </c>
      <c r="B13366" t="s">
        <v>40420</v>
      </c>
      <c r="C13366" t="str">
        <f>"8312807"</f>
        <v>8312807</v>
      </c>
      <c r="D13366" t="s">
        <v>4450</v>
      </c>
      <c r="F13366" t="s">
        <v>40421</v>
      </c>
      <c r="I13366" t="s">
        <v>29</v>
      </c>
      <c r="J13366" t="s">
        <v>30</v>
      </c>
      <c r="K13366" t="s">
        <v>4453</v>
      </c>
      <c r="M13366" t="s">
        <v>17861</v>
      </c>
      <c r="N13366" t="str">
        <f>"12/20/2019 12:29:00 PM"</f>
        <v>12/20/2019 12:29:00 PM</v>
      </c>
      <c r="O13366" t="s">
        <v>4450</v>
      </c>
    </row>
    <row r="13367" spans="1:20" x14ac:dyDescent="0.25">
      <c r="A13367" t="str">
        <f>"3043396"</f>
        <v>3043396</v>
      </c>
      <c r="B13367" t="s">
        <v>40422</v>
      </c>
      <c r="C13367" t="str">
        <f>"8312807"</f>
        <v>8312807</v>
      </c>
      <c r="D13367" t="s">
        <v>4450</v>
      </c>
      <c r="F13367" t="s">
        <v>40421</v>
      </c>
      <c r="I13367" t="s">
        <v>29</v>
      </c>
      <c r="J13367" t="s">
        <v>30</v>
      </c>
      <c r="K13367" t="s">
        <v>4453</v>
      </c>
      <c r="M13367" t="s">
        <v>17861</v>
      </c>
      <c r="N13367" t="str">
        <f>"12/20/2019 12:29:00 PM"</f>
        <v>12/20/2019 12:29:00 PM</v>
      </c>
      <c r="O13367" t="s">
        <v>4450</v>
      </c>
    </row>
    <row r="13368" spans="1:20" x14ac:dyDescent="0.25">
      <c r="A13368" t="str">
        <f>"3072467"</f>
        <v>3072467</v>
      </c>
      <c r="B13368" t="s">
        <v>40423</v>
      </c>
      <c r="C13368" t="str">
        <f>"8312821"</f>
        <v>8312821</v>
      </c>
      <c r="D13368" t="s">
        <v>40333</v>
      </c>
      <c r="F13368" t="s">
        <v>29219</v>
      </c>
      <c r="I13368" t="s">
        <v>29220</v>
      </c>
      <c r="J13368" t="s">
        <v>30</v>
      </c>
      <c r="K13368" t="str">
        <f>"28480"</f>
        <v>28480</v>
      </c>
      <c r="M13368" t="s">
        <v>17861</v>
      </c>
      <c r="N13368" t="str">
        <f>"12/20/2019 1:53:00 PM"</f>
        <v>12/20/2019 1:53:00 PM</v>
      </c>
      <c r="O13368" t="s">
        <v>40333</v>
      </c>
    </row>
    <row r="13369" spans="1:20" x14ac:dyDescent="0.25">
      <c r="A13369" t="str">
        <f>"3048336"</f>
        <v>3048336</v>
      </c>
      <c r="B13369" t="s">
        <v>40424</v>
      </c>
      <c r="C13369" t="str">
        <f>"8312840"</f>
        <v>8312840</v>
      </c>
      <c r="D13369" t="s">
        <v>40425</v>
      </c>
      <c r="E13369" t="s">
        <v>40426</v>
      </c>
      <c r="F13369" t="s">
        <v>40427</v>
      </c>
      <c r="I13369" t="s">
        <v>184</v>
      </c>
      <c r="J13369" t="s">
        <v>30</v>
      </c>
      <c r="K13369" t="s">
        <v>19117</v>
      </c>
      <c r="M13369" t="s">
        <v>17861</v>
      </c>
      <c r="N13369" t="str">
        <f>"12/23/2019 12:46:00 PM"</f>
        <v>12/23/2019 12:46:00 PM</v>
      </c>
      <c r="O13369" t="s">
        <v>40425</v>
      </c>
      <c r="T13369" t="s">
        <v>40426</v>
      </c>
    </row>
    <row r="13370" spans="1:20" x14ac:dyDescent="0.25">
      <c r="A13370" t="str">
        <f>"3047765"</f>
        <v>3047765</v>
      </c>
      <c r="B13370" t="s">
        <v>40428</v>
      </c>
      <c r="C13370" t="str">
        <f>"8312841"</f>
        <v>8312841</v>
      </c>
      <c r="D13370" t="s">
        <v>40429</v>
      </c>
      <c r="E13370" t="s">
        <v>40430</v>
      </c>
      <c r="F13370" t="s">
        <v>40431</v>
      </c>
      <c r="I13370" t="s">
        <v>184</v>
      </c>
      <c r="J13370" t="s">
        <v>30</v>
      </c>
      <c r="K13370" t="s">
        <v>10455</v>
      </c>
      <c r="M13370" t="s">
        <v>17861</v>
      </c>
      <c r="N13370" t="str">
        <f>"12/23/2019 1:26:00 PM"</f>
        <v>12/23/2019 1:26:00 PM</v>
      </c>
      <c r="O13370" t="s">
        <v>40429</v>
      </c>
      <c r="T13370" t="s">
        <v>40430</v>
      </c>
    </row>
    <row r="13371" spans="1:20" x14ac:dyDescent="0.25">
      <c r="A13371" t="str">
        <f>"3061595"</f>
        <v>3061595</v>
      </c>
      <c r="B13371" t="s">
        <v>40432</v>
      </c>
      <c r="C13371" t="str">
        <f>"8312842"</f>
        <v>8312842</v>
      </c>
      <c r="D13371" t="s">
        <v>40433</v>
      </c>
      <c r="E13371" t="s">
        <v>40434</v>
      </c>
      <c r="F13371" t="s">
        <v>40435</v>
      </c>
      <c r="I13371" t="s">
        <v>184</v>
      </c>
      <c r="J13371" t="s">
        <v>30</v>
      </c>
      <c r="K13371" t="s">
        <v>34622</v>
      </c>
      <c r="M13371" t="s">
        <v>17861</v>
      </c>
      <c r="N13371" t="str">
        <f>"12/23/2019 1:37:00 PM"</f>
        <v>12/23/2019 1:37:00 PM</v>
      </c>
      <c r="O13371" t="s">
        <v>40433</v>
      </c>
      <c r="T13371" t="s">
        <v>40434</v>
      </c>
    </row>
    <row r="13372" spans="1:20" x14ac:dyDescent="0.25">
      <c r="A13372" t="str">
        <f>"3075433"</f>
        <v>3075433</v>
      </c>
      <c r="B13372" t="s">
        <v>40436</v>
      </c>
      <c r="C13372" t="str">
        <f>"8312844"</f>
        <v>8312844</v>
      </c>
      <c r="D13372" t="s">
        <v>40437</v>
      </c>
      <c r="F13372" t="s">
        <v>40438</v>
      </c>
      <c r="I13372" t="s">
        <v>471</v>
      </c>
      <c r="J13372" t="s">
        <v>30</v>
      </c>
      <c r="K13372" t="s">
        <v>40439</v>
      </c>
      <c r="M13372" t="s">
        <v>17861</v>
      </c>
      <c r="N13372" t="str">
        <f>"12/23/2019 2:11:00 PM"</f>
        <v>12/23/2019 2:11:00 PM</v>
      </c>
      <c r="O13372" t="s">
        <v>40437</v>
      </c>
    </row>
    <row r="13373" spans="1:20" x14ac:dyDescent="0.25">
      <c r="A13373" t="str">
        <f>"3050689"</f>
        <v>3050689</v>
      </c>
      <c r="B13373" t="s">
        <v>40440</v>
      </c>
      <c r="C13373" t="str">
        <f>"8312845"</f>
        <v>8312845</v>
      </c>
      <c r="D13373" t="s">
        <v>40441</v>
      </c>
      <c r="F13373" t="s">
        <v>40442</v>
      </c>
      <c r="I13373" t="s">
        <v>184</v>
      </c>
      <c r="J13373" t="s">
        <v>30</v>
      </c>
      <c r="K13373" t="s">
        <v>38258</v>
      </c>
      <c r="M13373" t="s">
        <v>17861</v>
      </c>
      <c r="N13373" t="str">
        <f>"12/23/2019 2:16:00 PM"</f>
        <v>12/23/2019 2:16:00 PM</v>
      </c>
      <c r="O13373" t="s">
        <v>40441</v>
      </c>
    </row>
    <row r="13374" spans="1:20" x14ac:dyDescent="0.25">
      <c r="A13374" t="str">
        <f>"3058029"</f>
        <v>3058029</v>
      </c>
      <c r="B13374" t="s">
        <v>40443</v>
      </c>
      <c r="C13374" t="str">
        <f>"8312846"</f>
        <v>8312846</v>
      </c>
      <c r="D13374" t="s">
        <v>40444</v>
      </c>
      <c r="E13374" t="s">
        <v>40445</v>
      </c>
      <c r="F13374" t="s">
        <v>40446</v>
      </c>
      <c r="I13374" t="s">
        <v>184</v>
      </c>
      <c r="J13374" t="s">
        <v>30</v>
      </c>
      <c r="K13374" t="s">
        <v>34175</v>
      </c>
      <c r="M13374" t="s">
        <v>17861</v>
      </c>
      <c r="N13374" t="str">
        <f>"12/23/2019 2:49:00 PM"</f>
        <v>12/23/2019 2:49:00 PM</v>
      </c>
      <c r="O13374" t="s">
        <v>40444</v>
      </c>
      <c r="T13374" t="s">
        <v>40445</v>
      </c>
    </row>
    <row r="13375" spans="1:20" x14ac:dyDescent="0.25">
      <c r="A13375" t="str">
        <f>"3039101"</f>
        <v>3039101</v>
      </c>
      <c r="B13375" t="s">
        <v>40447</v>
      </c>
      <c r="C13375" t="str">
        <f>"8303415"</f>
        <v>8303415</v>
      </c>
      <c r="D13375" t="s">
        <v>40448</v>
      </c>
      <c r="F13375" t="s">
        <v>40449</v>
      </c>
      <c r="I13375" t="s">
        <v>29</v>
      </c>
      <c r="J13375" t="s">
        <v>30</v>
      </c>
      <c r="K13375" t="str">
        <f>"27028"</f>
        <v>27028</v>
      </c>
      <c r="M13375" t="s">
        <v>36935</v>
      </c>
      <c r="N13375" t="str">
        <f>"12/19/2019 9:54:00 AM"</f>
        <v>12/19/2019 9:54:00 AM</v>
      </c>
      <c r="O13375" t="s">
        <v>40448</v>
      </c>
    </row>
    <row r="13376" spans="1:20" x14ac:dyDescent="0.25">
      <c r="A13376" t="str">
        <f>"3049024"</f>
        <v>3049024</v>
      </c>
      <c r="B13376" t="s">
        <v>40450</v>
      </c>
      <c r="C13376" t="str">
        <f>"8312874"</f>
        <v>8312874</v>
      </c>
      <c r="D13376" t="s">
        <v>40451</v>
      </c>
      <c r="F13376" t="s">
        <v>40452</v>
      </c>
      <c r="I13376" t="s">
        <v>37599</v>
      </c>
      <c r="J13376" t="s">
        <v>30</v>
      </c>
      <c r="K13376" t="s">
        <v>40453</v>
      </c>
      <c r="M13376" t="s">
        <v>17861</v>
      </c>
      <c r="N13376" t="str">
        <f>"12/31/2019 4:00:00 PM"</f>
        <v>12/31/2019 4:00:00 PM</v>
      </c>
      <c r="O13376" t="s">
        <v>40451</v>
      </c>
    </row>
    <row r="13377" spans="1:20" x14ac:dyDescent="0.25">
      <c r="A13377" t="str">
        <f>"3049027"</f>
        <v>3049027</v>
      </c>
      <c r="B13377" t="s">
        <v>40454</v>
      </c>
      <c r="C13377" t="str">
        <f>"8312874"</f>
        <v>8312874</v>
      </c>
      <c r="D13377" t="s">
        <v>40451</v>
      </c>
      <c r="F13377" t="s">
        <v>40452</v>
      </c>
      <c r="I13377" t="s">
        <v>37599</v>
      </c>
      <c r="J13377" t="s">
        <v>30</v>
      </c>
      <c r="K13377" t="s">
        <v>40453</v>
      </c>
      <c r="M13377" t="s">
        <v>17861</v>
      </c>
      <c r="N13377" t="str">
        <f>"12/31/2019 4:00:00 PM"</f>
        <v>12/31/2019 4:00:00 PM</v>
      </c>
      <c r="O13377" t="s">
        <v>40451</v>
      </c>
    </row>
    <row r="13378" spans="1:20" x14ac:dyDescent="0.25">
      <c r="A13378" t="str">
        <f>"3049028"</f>
        <v>3049028</v>
      </c>
      <c r="B13378" t="s">
        <v>40455</v>
      </c>
      <c r="C13378" t="str">
        <f>"8312874"</f>
        <v>8312874</v>
      </c>
      <c r="D13378" t="s">
        <v>40451</v>
      </c>
      <c r="F13378" t="s">
        <v>40452</v>
      </c>
      <c r="I13378" t="s">
        <v>37599</v>
      </c>
      <c r="J13378" t="s">
        <v>30</v>
      </c>
      <c r="K13378" t="s">
        <v>40453</v>
      </c>
      <c r="M13378" t="s">
        <v>17861</v>
      </c>
      <c r="N13378" t="str">
        <f>"12/31/2019 4:00:00 PM"</f>
        <v>12/31/2019 4:00:00 PM</v>
      </c>
      <c r="O13378" t="s">
        <v>40451</v>
      </c>
    </row>
    <row r="13379" spans="1:20" x14ac:dyDescent="0.25">
      <c r="A13379" t="str">
        <f>"3048940"</f>
        <v>3048940</v>
      </c>
      <c r="B13379" t="s">
        <v>40456</v>
      </c>
      <c r="C13379" t="str">
        <f>"8312874"</f>
        <v>8312874</v>
      </c>
      <c r="D13379" t="s">
        <v>40451</v>
      </c>
      <c r="F13379" t="s">
        <v>40452</v>
      </c>
      <c r="I13379" t="s">
        <v>37599</v>
      </c>
      <c r="J13379" t="s">
        <v>30</v>
      </c>
      <c r="K13379" t="s">
        <v>40453</v>
      </c>
      <c r="M13379" t="s">
        <v>17861</v>
      </c>
      <c r="N13379" t="str">
        <f>"12/31/2019 4:00:00 PM"</f>
        <v>12/31/2019 4:00:00 PM</v>
      </c>
      <c r="O13379" t="s">
        <v>40451</v>
      </c>
    </row>
    <row r="13380" spans="1:20" x14ac:dyDescent="0.25">
      <c r="A13380" t="str">
        <f>"3048987"</f>
        <v>3048987</v>
      </c>
      <c r="B13380" t="s">
        <v>40457</v>
      </c>
      <c r="C13380" t="str">
        <f>"8312874"</f>
        <v>8312874</v>
      </c>
      <c r="D13380" t="s">
        <v>40451</v>
      </c>
      <c r="F13380" t="s">
        <v>40452</v>
      </c>
      <c r="I13380" t="s">
        <v>37599</v>
      </c>
      <c r="J13380" t="s">
        <v>30</v>
      </c>
      <c r="K13380" t="s">
        <v>40453</v>
      </c>
      <c r="M13380" t="s">
        <v>17861</v>
      </c>
      <c r="N13380" t="str">
        <f>"12/31/2019 4:00:00 PM"</f>
        <v>12/31/2019 4:00:00 PM</v>
      </c>
      <c r="O13380" t="s">
        <v>40451</v>
      </c>
    </row>
    <row r="13381" spans="1:20" x14ac:dyDescent="0.25">
      <c r="A13381" t="str">
        <f>"3049823"</f>
        <v>3049823</v>
      </c>
      <c r="B13381" t="s">
        <v>40458</v>
      </c>
      <c r="C13381" t="str">
        <f>"8312875"</f>
        <v>8312875</v>
      </c>
      <c r="D13381" t="s">
        <v>40459</v>
      </c>
      <c r="E13381" t="s">
        <v>40460</v>
      </c>
      <c r="F13381" t="s">
        <v>40461</v>
      </c>
      <c r="I13381" t="s">
        <v>29</v>
      </c>
      <c r="J13381" t="s">
        <v>30</v>
      </c>
      <c r="K13381" t="s">
        <v>24345</v>
      </c>
      <c r="M13381" t="s">
        <v>17861</v>
      </c>
      <c r="N13381" t="str">
        <f>"12/31/2019 4:06:00 PM"</f>
        <v>12/31/2019 4:06:00 PM</v>
      </c>
      <c r="O13381" t="s">
        <v>40459</v>
      </c>
      <c r="T13381" t="s">
        <v>40460</v>
      </c>
    </row>
    <row r="13382" spans="1:20" x14ac:dyDescent="0.25">
      <c r="A13382" t="str">
        <f>"3040229"</f>
        <v>3040229</v>
      </c>
      <c r="B13382" t="s">
        <v>40462</v>
      </c>
      <c r="C13382" t="str">
        <f>"82520624"</f>
        <v>82520624</v>
      </c>
      <c r="D13382" t="s">
        <v>40463</v>
      </c>
      <c r="E13382" t="s">
        <v>40464</v>
      </c>
      <c r="F13382" t="s">
        <v>40465</v>
      </c>
      <c r="I13382" t="s">
        <v>29</v>
      </c>
      <c r="J13382" t="s">
        <v>30</v>
      </c>
      <c r="K13382" t="s">
        <v>40466</v>
      </c>
      <c r="M13382" t="s">
        <v>17861</v>
      </c>
      <c r="N13382" t="str">
        <f>"12/19/2019 11:42:00 AM"</f>
        <v>12/19/2019 11:42:00 AM</v>
      </c>
      <c r="O13382" t="s">
        <v>40463</v>
      </c>
      <c r="T13382" t="s">
        <v>40464</v>
      </c>
    </row>
    <row r="13383" spans="1:20" x14ac:dyDescent="0.25">
      <c r="A13383" t="str">
        <f>"3045996"</f>
        <v>3045996</v>
      </c>
      <c r="B13383" t="s">
        <v>40467</v>
      </c>
      <c r="C13383" t="str">
        <f>"82526942"</f>
        <v>82526942</v>
      </c>
      <c r="D13383" t="s">
        <v>20069</v>
      </c>
      <c r="E13383" t="s">
        <v>40468</v>
      </c>
      <c r="F13383" t="s">
        <v>40469</v>
      </c>
      <c r="I13383" t="s">
        <v>29</v>
      </c>
      <c r="J13383" t="s">
        <v>30</v>
      </c>
      <c r="K13383" t="s">
        <v>31</v>
      </c>
      <c r="M13383" t="s">
        <v>17861</v>
      </c>
      <c r="N13383" t="str">
        <f>"12/30/2019 3:56:00 PM"</f>
        <v>12/30/2019 3:56:00 PM</v>
      </c>
      <c r="O13383" t="s">
        <v>20069</v>
      </c>
      <c r="T13383" t="s">
        <v>40468</v>
      </c>
    </row>
    <row r="13384" spans="1:20" x14ac:dyDescent="0.25">
      <c r="A13384" t="str">
        <f>"3047713"</f>
        <v>3047713</v>
      </c>
      <c r="B13384" t="s">
        <v>40470</v>
      </c>
      <c r="C13384" t="str">
        <f>"8306734"</f>
        <v>8306734</v>
      </c>
      <c r="D13384" t="s">
        <v>40471</v>
      </c>
      <c r="E13384" t="s">
        <v>40472</v>
      </c>
      <c r="F13384" t="s">
        <v>40473</v>
      </c>
      <c r="I13384" t="s">
        <v>24359</v>
      </c>
      <c r="J13384" t="s">
        <v>30</v>
      </c>
      <c r="K13384" t="str">
        <f>"27006"</f>
        <v>27006</v>
      </c>
      <c r="M13384" t="s">
        <v>33432</v>
      </c>
      <c r="N13384" t="str">
        <f>"1/2/2020 9:08:00 AM"</f>
        <v>1/2/2020 9:08:00 AM</v>
      </c>
      <c r="O13384" t="s">
        <v>40471</v>
      </c>
      <c r="T13384" t="s">
        <v>40472</v>
      </c>
    </row>
    <row r="13385" spans="1:20" x14ac:dyDescent="0.25">
      <c r="A13385" t="str">
        <f>"3044991"</f>
        <v>3044991</v>
      </c>
      <c r="B13385" t="s">
        <v>40474</v>
      </c>
      <c r="C13385" t="str">
        <f>"8312882"</f>
        <v>8312882</v>
      </c>
      <c r="D13385" t="s">
        <v>13319</v>
      </c>
      <c r="E13385" t="s">
        <v>40475</v>
      </c>
      <c r="F13385" t="s">
        <v>40476</v>
      </c>
      <c r="I13385" t="s">
        <v>29</v>
      </c>
      <c r="J13385" t="s">
        <v>30</v>
      </c>
      <c r="K13385" t="s">
        <v>39644</v>
      </c>
      <c r="M13385" t="s">
        <v>17861</v>
      </c>
      <c r="N13385" t="str">
        <f>"1/2/2020 10:52:00 AM"</f>
        <v>1/2/2020 10:52:00 AM</v>
      </c>
      <c r="O13385" t="s">
        <v>13319</v>
      </c>
      <c r="T13385" t="s">
        <v>40475</v>
      </c>
    </row>
    <row r="13386" spans="1:20" x14ac:dyDescent="0.25">
      <c r="A13386" t="str">
        <f>"3050440"</f>
        <v>3050440</v>
      </c>
      <c r="B13386" t="s">
        <v>40477</v>
      </c>
      <c r="C13386" t="str">
        <f>"8312883"</f>
        <v>8312883</v>
      </c>
      <c r="D13386" t="s">
        <v>40478</v>
      </c>
      <c r="E13386" t="s">
        <v>40479</v>
      </c>
      <c r="F13386" t="s">
        <v>40480</v>
      </c>
      <c r="I13386" t="s">
        <v>184</v>
      </c>
      <c r="J13386" t="s">
        <v>30</v>
      </c>
      <c r="K13386" t="s">
        <v>40481</v>
      </c>
      <c r="M13386" t="s">
        <v>17861</v>
      </c>
      <c r="N13386" t="str">
        <f>"1/2/2020 11:25:00 AM"</f>
        <v>1/2/2020 11:25:00 AM</v>
      </c>
      <c r="O13386" t="s">
        <v>40478</v>
      </c>
      <c r="T13386" t="s">
        <v>40479</v>
      </c>
    </row>
    <row r="13387" spans="1:20" x14ac:dyDescent="0.25">
      <c r="A13387" t="str">
        <f>"3038446"</f>
        <v>3038446</v>
      </c>
      <c r="B13387" t="s">
        <v>40482</v>
      </c>
      <c r="C13387" t="str">
        <f>"8312887"</f>
        <v>8312887</v>
      </c>
      <c r="D13387" t="s">
        <v>40483</v>
      </c>
      <c r="F13387" t="s">
        <v>40484</v>
      </c>
      <c r="I13387" t="s">
        <v>29</v>
      </c>
      <c r="J13387" t="s">
        <v>30</v>
      </c>
      <c r="K13387" t="s">
        <v>28051</v>
      </c>
      <c r="M13387" t="s">
        <v>17861</v>
      </c>
      <c r="N13387" t="str">
        <f>"1/2/2020 12:56:00 PM"</f>
        <v>1/2/2020 12:56:00 PM</v>
      </c>
      <c r="O13387" t="s">
        <v>40483</v>
      </c>
    </row>
    <row r="13388" spans="1:20" x14ac:dyDescent="0.25">
      <c r="A13388" t="str">
        <f>"3060877"</f>
        <v>3060877</v>
      </c>
      <c r="B13388" t="s">
        <v>40485</v>
      </c>
      <c r="C13388" t="str">
        <f>"82524212"</f>
        <v>82524212</v>
      </c>
      <c r="D13388" t="s">
        <v>40486</v>
      </c>
      <c r="E13388" t="s">
        <v>40487</v>
      </c>
      <c r="F13388" t="s">
        <v>40488</v>
      </c>
      <c r="I13388" t="s">
        <v>184</v>
      </c>
      <c r="J13388" t="s">
        <v>30</v>
      </c>
      <c r="K13388" t="s">
        <v>4789</v>
      </c>
      <c r="M13388" t="s">
        <v>18479</v>
      </c>
      <c r="N13388" t="str">
        <f>"1/2/2020 2:21:00 PM"</f>
        <v>1/2/2020 2:21:00 PM</v>
      </c>
      <c r="O13388" t="s">
        <v>40486</v>
      </c>
      <c r="T13388" t="s">
        <v>40487</v>
      </c>
    </row>
    <row r="13389" spans="1:20" x14ac:dyDescent="0.25">
      <c r="A13389" t="str">
        <f>"3061253"</f>
        <v>3061253</v>
      </c>
      <c r="B13389" t="s">
        <v>40489</v>
      </c>
      <c r="C13389" t="str">
        <f>"8311068"</f>
        <v>8311068</v>
      </c>
      <c r="D13389" t="s">
        <v>40490</v>
      </c>
      <c r="E13389" t="s">
        <v>40491</v>
      </c>
      <c r="F13389" t="s">
        <v>40492</v>
      </c>
      <c r="I13389" t="s">
        <v>2071</v>
      </c>
      <c r="J13389" t="s">
        <v>30</v>
      </c>
      <c r="K13389" t="s">
        <v>38348</v>
      </c>
      <c r="M13389" t="s">
        <v>18479</v>
      </c>
      <c r="N13389" t="str">
        <f>"12/30/2019 4:02:00 PM"</f>
        <v>12/30/2019 4:02:00 PM</v>
      </c>
      <c r="O13389" t="s">
        <v>40490</v>
      </c>
      <c r="T13389" t="s">
        <v>40491</v>
      </c>
    </row>
    <row r="13390" spans="1:20" x14ac:dyDescent="0.25">
      <c r="A13390" t="str">
        <f>"3047664"</f>
        <v>3047664</v>
      </c>
      <c r="B13390" t="s">
        <v>40493</v>
      </c>
      <c r="C13390" t="str">
        <f>"51272150"</f>
        <v>51272150</v>
      </c>
      <c r="D13390" t="s">
        <v>40494</v>
      </c>
      <c r="E13390" t="s">
        <v>40495</v>
      </c>
      <c r="F13390" t="s">
        <v>40496</v>
      </c>
      <c r="I13390" t="s">
        <v>184</v>
      </c>
      <c r="J13390" t="s">
        <v>30</v>
      </c>
      <c r="K13390" t="s">
        <v>40497</v>
      </c>
      <c r="M13390" t="s">
        <v>18479</v>
      </c>
      <c r="N13390" t="str">
        <f>"1/2/2020 4:50:00 PM"</f>
        <v>1/2/2020 4:50:00 PM</v>
      </c>
      <c r="O13390" t="s">
        <v>40494</v>
      </c>
      <c r="T13390" t="s">
        <v>40495</v>
      </c>
    </row>
    <row r="13391" spans="1:20" x14ac:dyDescent="0.25">
      <c r="A13391" t="str">
        <f>"3059096"</f>
        <v>3059096</v>
      </c>
      <c r="B13391" t="s">
        <v>40498</v>
      </c>
      <c r="C13391" t="str">
        <f>"82523237"</f>
        <v>82523237</v>
      </c>
      <c r="D13391" t="s">
        <v>40499</v>
      </c>
      <c r="F13391" t="s">
        <v>40500</v>
      </c>
      <c r="I13391" t="s">
        <v>29</v>
      </c>
      <c r="J13391" t="s">
        <v>30</v>
      </c>
      <c r="K13391" t="s">
        <v>11964</v>
      </c>
      <c r="M13391" t="s">
        <v>33432</v>
      </c>
      <c r="N13391" t="str">
        <f>"1/3/2020 10:52:00 AM"</f>
        <v>1/3/2020 10:52:00 AM</v>
      </c>
      <c r="O13391" t="s">
        <v>40499</v>
      </c>
    </row>
    <row r="13392" spans="1:20" x14ac:dyDescent="0.25">
      <c r="A13392" t="str">
        <f>"3038824"</f>
        <v>3038824</v>
      </c>
      <c r="B13392" t="s">
        <v>40501</v>
      </c>
      <c r="C13392" t="str">
        <f>"8310990"</f>
        <v>8310990</v>
      </c>
      <c r="D13392" t="s">
        <v>1043</v>
      </c>
      <c r="F13392" t="s">
        <v>40502</v>
      </c>
      <c r="I13392" t="s">
        <v>1045</v>
      </c>
      <c r="J13392" t="s">
        <v>1046</v>
      </c>
      <c r="K13392" t="s">
        <v>40503</v>
      </c>
      <c r="M13392" t="s">
        <v>25625</v>
      </c>
      <c r="N13392" t="str">
        <f>"1/3/2020 12:31:00 PM"</f>
        <v>1/3/2020 12:31:00 PM</v>
      </c>
      <c r="O13392" t="s">
        <v>1043</v>
      </c>
    </row>
    <row r="13393" spans="1:20" x14ac:dyDescent="0.25">
      <c r="A13393" t="str">
        <f>"3057868"</f>
        <v>3057868</v>
      </c>
      <c r="B13393" t="s">
        <v>40504</v>
      </c>
      <c r="C13393" t="str">
        <f>"8311143"</f>
        <v>8311143</v>
      </c>
      <c r="D13393" t="s">
        <v>40505</v>
      </c>
      <c r="F13393" t="s">
        <v>40506</v>
      </c>
      <c r="I13393" t="s">
        <v>184</v>
      </c>
      <c r="J13393" t="s">
        <v>30</v>
      </c>
      <c r="K13393" t="s">
        <v>3236</v>
      </c>
      <c r="M13393" t="s">
        <v>25733</v>
      </c>
      <c r="N13393" t="str">
        <f>"1/3/2020 1:50:00 PM"</f>
        <v>1/3/2020 1:50:00 PM</v>
      </c>
      <c r="O13393" t="s">
        <v>40505</v>
      </c>
    </row>
    <row r="13394" spans="1:20" x14ac:dyDescent="0.25">
      <c r="A13394" t="str">
        <f>"3043611"</f>
        <v>3043611</v>
      </c>
      <c r="B13394" t="s">
        <v>40507</v>
      </c>
      <c r="C13394" t="str">
        <f>"8312867"</f>
        <v>8312867</v>
      </c>
      <c r="D13394" t="s">
        <v>40508</v>
      </c>
      <c r="F13394" t="s">
        <v>40509</v>
      </c>
      <c r="I13394" t="s">
        <v>29</v>
      </c>
      <c r="J13394" t="s">
        <v>30</v>
      </c>
      <c r="K13394" t="s">
        <v>40510</v>
      </c>
      <c r="M13394" t="s">
        <v>17861</v>
      </c>
      <c r="N13394" t="str">
        <f>"12/31/2019 9:04:00 AM"</f>
        <v>12/31/2019 9:04:00 AM</v>
      </c>
      <c r="O13394" t="s">
        <v>40508</v>
      </c>
    </row>
    <row r="13395" spans="1:20" x14ac:dyDescent="0.25">
      <c r="A13395" t="str">
        <f>"3050965"</f>
        <v>3050965</v>
      </c>
      <c r="B13395" t="s">
        <v>40511</v>
      </c>
      <c r="C13395" t="str">
        <f>"8312867"</f>
        <v>8312867</v>
      </c>
      <c r="D13395" t="s">
        <v>40508</v>
      </c>
      <c r="F13395" t="s">
        <v>40509</v>
      </c>
      <c r="I13395" t="s">
        <v>29</v>
      </c>
      <c r="J13395" t="s">
        <v>30</v>
      </c>
      <c r="K13395" t="s">
        <v>40510</v>
      </c>
      <c r="M13395" t="s">
        <v>17861</v>
      </c>
      <c r="N13395" t="str">
        <f>"12/31/2019 9:04:00 AM"</f>
        <v>12/31/2019 9:04:00 AM</v>
      </c>
      <c r="O13395" t="s">
        <v>40508</v>
      </c>
    </row>
    <row r="13396" spans="1:20" x14ac:dyDescent="0.25">
      <c r="A13396" t="str">
        <f>"3039287"</f>
        <v>3039287</v>
      </c>
      <c r="B13396" t="s">
        <v>40512</v>
      </c>
      <c r="C13396" t="str">
        <f>"8312868"</f>
        <v>8312868</v>
      </c>
      <c r="D13396" t="s">
        <v>24824</v>
      </c>
      <c r="E13396" t="s">
        <v>40513</v>
      </c>
      <c r="F13396" t="s">
        <v>40514</v>
      </c>
      <c r="I13396" t="s">
        <v>29</v>
      </c>
      <c r="J13396" t="s">
        <v>30</v>
      </c>
      <c r="K13396" t="s">
        <v>980</v>
      </c>
      <c r="M13396" t="s">
        <v>17861</v>
      </c>
      <c r="N13396" t="str">
        <f>"12/31/2019 11:12:00 AM"</f>
        <v>12/31/2019 11:12:00 AM</v>
      </c>
      <c r="O13396" t="s">
        <v>24824</v>
      </c>
      <c r="T13396" t="s">
        <v>40513</v>
      </c>
    </row>
    <row r="13397" spans="1:20" x14ac:dyDescent="0.25">
      <c r="A13397" t="str">
        <f>"3057791"</f>
        <v>3057791</v>
      </c>
      <c r="B13397" t="s">
        <v>40515</v>
      </c>
      <c r="C13397" t="str">
        <f>"78858000"</f>
        <v>78858000</v>
      </c>
      <c r="D13397" t="s">
        <v>40516</v>
      </c>
      <c r="F13397" t="s">
        <v>40517</v>
      </c>
      <c r="I13397" t="s">
        <v>29</v>
      </c>
      <c r="J13397" t="s">
        <v>30</v>
      </c>
      <c r="K13397" t="s">
        <v>40518</v>
      </c>
      <c r="M13397" t="s">
        <v>25733</v>
      </c>
      <c r="N13397" t="str">
        <f>"1/7/2020 10:47:00 AM"</f>
        <v>1/7/2020 10:47:00 AM</v>
      </c>
      <c r="O13397" t="s">
        <v>40516</v>
      </c>
      <c r="T13397" t="s">
        <v>40516</v>
      </c>
    </row>
    <row r="13398" spans="1:20" x14ac:dyDescent="0.25">
      <c r="A13398" t="str">
        <f>"3057280"</f>
        <v>3057280</v>
      </c>
      <c r="B13398" t="s">
        <v>40519</v>
      </c>
      <c r="C13398" t="str">
        <f>"78858000"</f>
        <v>78858000</v>
      </c>
      <c r="D13398" t="s">
        <v>40516</v>
      </c>
      <c r="F13398" t="s">
        <v>40517</v>
      </c>
      <c r="I13398" t="s">
        <v>29</v>
      </c>
      <c r="J13398" t="s">
        <v>30</v>
      </c>
      <c r="K13398" t="s">
        <v>40518</v>
      </c>
      <c r="M13398" t="s">
        <v>25733</v>
      </c>
      <c r="N13398" t="str">
        <f>"1/7/2020 10:47:00 AM"</f>
        <v>1/7/2020 10:47:00 AM</v>
      </c>
      <c r="O13398" t="s">
        <v>40516</v>
      </c>
      <c r="T13398" t="s">
        <v>40516</v>
      </c>
    </row>
    <row r="13399" spans="1:20" x14ac:dyDescent="0.25">
      <c r="A13399" t="str">
        <f>"3057282"</f>
        <v>3057282</v>
      </c>
      <c r="B13399" t="s">
        <v>40520</v>
      </c>
      <c r="C13399" t="str">
        <f>"78858000"</f>
        <v>78858000</v>
      </c>
      <c r="D13399" t="s">
        <v>40516</v>
      </c>
      <c r="F13399" t="s">
        <v>40517</v>
      </c>
      <c r="I13399" t="s">
        <v>29</v>
      </c>
      <c r="J13399" t="s">
        <v>30</v>
      </c>
      <c r="K13399" t="s">
        <v>40518</v>
      </c>
      <c r="M13399" t="s">
        <v>25733</v>
      </c>
      <c r="N13399" t="str">
        <f>"1/7/2020 10:47:00 AM"</f>
        <v>1/7/2020 10:47:00 AM</v>
      </c>
      <c r="O13399" t="s">
        <v>40516</v>
      </c>
      <c r="T13399" t="s">
        <v>40516</v>
      </c>
    </row>
    <row r="13400" spans="1:20" x14ac:dyDescent="0.25">
      <c r="A13400" t="str">
        <f>"3053555"</f>
        <v>3053555</v>
      </c>
      <c r="B13400" t="s">
        <v>40521</v>
      </c>
      <c r="C13400" t="str">
        <f>"20605000"</f>
        <v>20605000</v>
      </c>
      <c r="D13400" t="s">
        <v>40522</v>
      </c>
      <c r="E13400" t="s">
        <v>40523</v>
      </c>
      <c r="F13400" t="s">
        <v>40524</v>
      </c>
      <c r="I13400" t="s">
        <v>29</v>
      </c>
      <c r="J13400" t="s">
        <v>30</v>
      </c>
      <c r="K13400" t="s">
        <v>31</v>
      </c>
      <c r="M13400" t="s">
        <v>25733</v>
      </c>
      <c r="N13400" t="str">
        <f>"1/7/2020 1:11:00 PM"</f>
        <v>1/7/2020 1:11:00 PM</v>
      </c>
      <c r="O13400" t="s">
        <v>40522</v>
      </c>
      <c r="T13400" t="s">
        <v>40523</v>
      </c>
    </row>
    <row r="13401" spans="1:20" x14ac:dyDescent="0.25">
      <c r="A13401" t="str">
        <f>"3055584"</f>
        <v>3055584</v>
      </c>
      <c r="B13401" t="s">
        <v>40525</v>
      </c>
      <c r="C13401" t="str">
        <f>"2384000"</f>
        <v>2384000</v>
      </c>
      <c r="D13401" t="s">
        <v>40526</v>
      </c>
      <c r="E13401" t="s">
        <v>40527</v>
      </c>
      <c r="F13401" t="s">
        <v>40528</v>
      </c>
      <c r="I13401" t="s">
        <v>40529</v>
      </c>
      <c r="J13401" t="s">
        <v>40530</v>
      </c>
      <c r="K13401" t="s">
        <v>40531</v>
      </c>
      <c r="M13401" t="s">
        <v>33845</v>
      </c>
      <c r="N13401" t="str">
        <f>"1/7/2020 2:37:00 PM"</f>
        <v>1/7/2020 2:37:00 PM</v>
      </c>
      <c r="O13401" t="s">
        <v>40526</v>
      </c>
      <c r="T13401" t="s">
        <v>40527</v>
      </c>
    </row>
    <row r="13402" spans="1:20" x14ac:dyDescent="0.25">
      <c r="A13402" t="str">
        <f>"3051483"</f>
        <v>3051483</v>
      </c>
      <c r="B13402" t="s">
        <v>40532</v>
      </c>
      <c r="C13402" t="str">
        <f>"4800000"</f>
        <v>4800000</v>
      </c>
      <c r="D13402" t="s">
        <v>40533</v>
      </c>
      <c r="F13402" t="s">
        <v>40534</v>
      </c>
      <c r="I13402" t="s">
        <v>29</v>
      </c>
      <c r="J13402" t="s">
        <v>30</v>
      </c>
      <c r="K13402" t="s">
        <v>31</v>
      </c>
      <c r="M13402" t="s">
        <v>33845</v>
      </c>
      <c r="N13402" t="str">
        <f>"1/7/2020 2:39:00 PM"</f>
        <v>1/7/2020 2:39:00 PM</v>
      </c>
      <c r="O13402" t="s">
        <v>40533</v>
      </c>
    </row>
    <row r="13403" spans="1:20" x14ac:dyDescent="0.25">
      <c r="A13403" t="str">
        <f>"3045060"</f>
        <v>3045060</v>
      </c>
      <c r="B13403" t="s">
        <v>40535</v>
      </c>
      <c r="C13403" t="str">
        <f>"4800000"</f>
        <v>4800000</v>
      </c>
      <c r="D13403" t="s">
        <v>40533</v>
      </c>
      <c r="F13403" t="s">
        <v>40534</v>
      </c>
      <c r="I13403" t="s">
        <v>29</v>
      </c>
      <c r="J13403" t="s">
        <v>30</v>
      </c>
      <c r="K13403" t="s">
        <v>31</v>
      </c>
      <c r="M13403" t="s">
        <v>33845</v>
      </c>
      <c r="N13403" t="str">
        <f>"1/7/2020 2:39:00 PM"</f>
        <v>1/7/2020 2:39:00 PM</v>
      </c>
      <c r="O13403" t="s">
        <v>40533</v>
      </c>
    </row>
    <row r="13404" spans="1:20" x14ac:dyDescent="0.25">
      <c r="A13404" t="str">
        <f>"3058320"</f>
        <v>3058320</v>
      </c>
      <c r="B13404" t="s">
        <v>40536</v>
      </c>
      <c r="C13404" t="str">
        <f>"8312870"</f>
        <v>8312870</v>
      </c>
      <c r="D13404" t="s">
        <v>40537</v>
      </c>
      <c r="F13404" t="s">
        <v>40538</v>
      </c>
      <c r="I13404" t="s">
        <v>29</v>
      </c>
      <c r="J13404" t="s">
        <v>30</v>
      </c>
      <c r="K13404" t="str">
        <f>"27028"</f>
        <v>27028</v>
      </c>
      <c r="M13404" t="s">
        <v>17861</v>
      </c>
      <c r="N13404" t="str">
        <f>"12/31/2019 1:09:00 PM"</f>
        <v>12/31/2019 1:09:00 PM</v>
      </c>
      <c r="O13404" t="s">
        <v>40537</v>
      </c>
    </row>
    <row r="13405" spans="1:20" x14ac:dyDescent="0.25">
      <c r="A13405" t="str">
        <f>"3077958"</f>
        <v>3077958</v>
      </c>
      <c r="B13405" t="s">
        <v>40539</v>
      </c>
      <c r="C13405" t="str">
        <f>"61940000"</f>
        <v>61940000</v>
      </c>
      <c r="D13405" t="s">
        <v>40540</v>
      </c>
      <c r="E13405" t="s">
        <v>39316</v>
      </c>
      <c r="F13405" t="s">
        <v>40541</v>
      </c>
      <c r="I13405" t="s">
        <v>29</v>
      </c>
      <c r="J13405" t="s">
        <v>30</v>
      </c>
      <c r="K13405" t="s">
        <v>40542</v>
      </c>
      <c r="M13405" t="s">
        <v>18479</v>
      </c>
      <c r="N13405" t="str">
        <f>"12/31/2019 1:14:00 PM"</f>
        <v>12/31/2019 1:14:00 PM</v>
      </c>
      <c r="O13405" t="s">
        <v>40540</v>
      </c>
      <c r="T13405" t="s">
        <v>39316</v>
      </c>
    </row>
    <row r="13406" spans="1:20" x14ac:dyDescent="0.25">
      <c r="A13406" t="str">
        <f>"3049130"</f>
        <v>3049130</v>
      </c>
      <c r="B13406" t="s">
        <v>40543</v>
      </c>
      <c r="C13406" t="str">
        <f>"8312899"</f>
        <v>8312899</v>
      </c>
      <c r="D13406" t="s">
        <v>40544</v>
      </c>
      <c r="F13406" t="s">
        <v>40545</v>
      </c>
      <c r="G13406" t="s">
        <v>40546</v>
      </c>
      <c r="I13406" t="s">
        <v>40547</v>
      </c>
      <c r="J13406" t="s">
        <v>2109</v>
      </c>
      <c r="K13406" t="s">
        <v>40548</v>
      </c>
      <c r="M13406" t="s">
        <v>17861</v>
      </c>
      <c r="N13406" t="str">
        <f>"1/8/2020 2:15:00 PM"</f>
        <v>1/8/2020 2:15:00 PM</v>
      </c>
      <c r="O13406" t="s">
        <v>40544</v>
      </c>
    </row>
    <row r="13407" spans="1:20" x14ac:dyDescent="0.25">
      <c r="A13407" t="str">
        <f>"3049115"</f>
        <v>3049115</v>
      </c>
      <c r="B13407" t="s">
        <v>40549</v>
      </c>
      <c r="C13407" t="str">
        <f>"8310846"</f>
        <v>8310846</v>
      </c>
      <c r="D13407" t="s">
        <v>40550</v>
      </c>
      <c r="E13407" t="s">
        <v>40551</v>
      </c>
      <c r="F13407" t="s">
        <v>40552</v>
      </c>
      <c r="I13407" t="s">
        <v>29</v>
      </c>
      <c r="J13407" t="s">
        <v>30</v>
      </c>
      <c r="K13407" t="s">
        <v>40553</v>
      </c>
      <c r="M13407" t="s">
        <v>17861</v>
      </c>
      <c r="N13407" t="str">
        <f>"1/9/2020 9:11:00 AM"</f>
        <v>1/9/2020 9:11:00 AM</v>
      </c>
      <c r="O13407" t="s">
        <v>40550</v>
      </c>
      <c r="T13407" t="s">
        <v>40551</v>
      </c>
    </row>
    <row r="13408" spans="1:20" x14ac:dyDescent="0.25">
      <c r="A13408" t="str">
        <f>"3049116"</f>
        <v>3049116</v>
      </c>
      <c r="B13408" t="s">
        <v>40554</v>
      </c>
      <c r="C13408" t="str">
        <f>"8310846"</f>
        <v>8310846</v>
      </c>
      <c r="D13408" t="s">
        <v>40550</v>
      </c>
      <c r="E13408" t="s">
        <v>40551</v>
      </c>
      <c r="F13408" t="s">
        <v>40552</v>
      </c>
      <c r="I13408" t="s">
        <v>29</v>
      </c>
      <c r="J13408" t="s">
        <v>30</v>
      </c>
      <c r="K13408" t="s">
        <v>40553</v>
      </c>
      <c r="M13408" t="s">
        <v>17861</v>
      </c>
      <c r="N13408" t="str">
        <f>"1/9/2020 9:11:00 AM"</f>
        <v>1/9/2020 9:11:00 AM</v>
      </c>
      <c r="O13408" t="s">
        <v>40550</v>
      </c>
      <c r="T13408" t="s">
        <v>40551</v>
      </c>
    </row>
    <row r="13409" spans="1:20" x14ac:dyDescent="0.25">
      <c r="A13409" t="str">
        <f>"3066328"</f>
        <v>3066328</v>
      </c>
      <c r="B13409" t="s">
        <v>40555</v>
      </c>
      <c r="C13409" t="str">
        <f>"8310846"</f>
        <v>8310846</v>
      </c>
      <c r="D13409" t="s">
        <v>40550</v>
      </c>
      <c r="E13409" t="s">
        <v>40551</v>
      </c>
      <c r="F13409" t="s">
        <v>40552</v>
      </c>
      <c r="I13409" t="s">
        <v>29</v>
      </c>
      <c r="J13409" t="s">
        <v>30</v>
      </c>
      <c r="K13409" t="s">
        <v>40553</v>
      </c>
      <c r="M13409" t="s">
        <v>17861</v>
      </c>
      <c r="N13409" t="str">
        <f>"1/9/2020 9:11:00 AM"</f>
        <v>1/9/2020 9:11:00 AM</v>
      </c>
      <c r="O13409" t="s">
        <v>40550</v>
      </c>
      <c r="T13409" t="s">
        <v>40551</v>
      </c>
    </row>
    <row r="13410" spans="1:20" x14ac:dyDescent="0.25">
      <c r="A13410" t="str">
        <f>"3057546"</f>
        <v>3057546</v>
      </c>
      <c r="B13410" t="s">
        <v>40556</v>
      </c>
      <c r="C13410" t="str">
        <f>"8312872"</f>
        <v>8312872</v>
      </c>
      <c r="D13410" t="s">
        <v>40557</v>
      </c>
      <c r="F13410" t="s">
        <v>40558</v>
      </c>
      <c r="I13410" t="s">
        <v>184</v>
      </c>
      <c r="J13410" t="s">
        <v>30</v>
      </c>
      <c r="K13410" t="s">
        <v>20466</v>
      </c>
      <c r="M13410" t="s">
        <v>17861</v>
      </c>
      <c r="N13410" t="str">
        <f>"12/31/2019 1:16:00 PM"</f>
        <v>12/31/2019 1:16:00 PM</v>
      </c>
      <c r="O13410" t="s">
        <v>40557</v>
      </c>
    </row>
    <row r="13411" spans="1:20" x14ac:dyDescent="0.25">
      <c r="A13411" t="str">
        <f>"3045422"</f>
        <v>3045422</v>
      </c>
      <c r="B13411" t="s">
        <v>40559</v>
      </c>
      <c r="C13411" t="str">
        <f>"8311195"</f>
        <v>8311195</v>
      </c>
      <c r="D13411" t="s">
        <v>40560</v>
      </c>
      <c r="F13411" t="s">
        <v>40561</v>
      </c>
      <c r="I13411" t="s">
        <v>29</v>
      </c>
      <c r="J13411" t="s">
        <v>30</v>
      </c>
      <c r="K13411" t="s">
        <v>40562</v>
      </c>
      <c r="M13411" t="s">
        <v>18479</v>
      </c>
      <c r="N13411" t="str">
        <f>"12/31/2019 1:20:00 PM"</f>
        <v>12/31/2019 1:20:00 PM</v>
      </c>
      <c r="O13411" t="s">
        <v>40560</v>
      </c>
    </row>
    <row r="13412" spans="1:20" x14ac:dyDescent="0.25">
      <c r="A13412" t="str">
        <f>"3055501"</f>
        <v>3055501</v>
      </c>
      <c r="B13412" t="s">
        <v>40563</v>
      </c>
      <c r="C13412" t="str">
        <f>"8312873"</f>
        <v>8312873</v>
      </c>
      <c r="D13412" t="s">
        <v>40564</v>
      </c>
      <c r="E13412" t="s">
        <v>40565</v>
      </c>
      <c r="F13412" t="s">
        <v>40566</v>
      </c>
      <c r="I13412" t="s">
        <v>29</v>
      </c>
      <c r="J13412" t="s">
        <v>30</v>
      </c>
      <c r="K13412" t="s">
        <v>38766</v>
      </c>
      <c r="M13412" t="s">
        <v>17861</v>
      </c>
      <c r="N13412" t="str">
        <f>"12/31/2019 1:19:00 PM"</f>
        <v>12/31/2019 1:19:00 PM</v>
      </c>
      <c r="O13412" t="s">
        <v>40564</v>
      </c>
      <c r="T13412" t="s">
        <v>40565</v>
      </c>
    </row>
    <row r="13413" spans="1:20" x14ac:dyDescent="0.25">
      <c r="A13413" t="str">
        <f>"3051309"</f>
        <v>3051309</v>
      </c>
      <c r="B13413" t="s">
        <v>40567</v>
      </c>
      <c r="C13413" t="str">
        <f>"8308921"</f>
        <v>8308921</v>
      </c>
      <c r="D13413" t="s">
        <v>40568</v>
      </c>
      <c r="E13413" t="s">
        <v>40569</v>
      </c>
      <c r="F13413" t="s">
        <v>40570</v>
      </c>
      <c r="I13413" t="s">
        <v>29</v>
      </c>
      <c r="J13413" t="s">
        <v>30</v>
      </c>
      <c r="K13413" t="s">
        <v>40571</v>
      </c>
      <c r="M13413" t="s">
        <v>18479</v>
      </c>
      <c r="N13413" t="str">
        <f>"12/31/2019 1:48:00 PM"</f>
        <v>12/31/2019 1:48:00 PM</v>
      </c>
      <c r="O13413" t="s">
        <v>40568</v>
      </c>
      <c r="T13413" t="s">
        <v>40569</v>
      </c>
    </row>
    <row r="13414" spans="1:20" x14ac:dyDescent="0.25">
      <c r="A13414" t="str">
        <f>"3049882"</f>
        <v>3049882</v>
      </c>
      <c r="B13414" t="s">
        <v>40572</v>
      </c>
      <c r="C13414" t="str">
        <f>"8310168"</f>
        <v>8310168</v>
      </c>
      <c r="D13414" t="s">
        <v>40573</v>
      </c>
      <c r="E13414" t="s">
        <v>40574</v>
      </c>
      <c r="F13414" t="s">
        <v>40575</v>
      </c>
      <c r="I13414" t="s">
        <v>29</v>
      </c>
      <c r="J13414" t="s">
        <v>30</v>
      </c>
      <c r="K13414" t="s">
        <v>37617</v>
      </c>
      <c r="M13414" t="s">
        <v>17861</v>
      </c>
      <c r="N13414" t="str">
        <f>"1/14/2020 10:35:00 AM"</f>
        <v>1/14/2020 10:35:00 AM</v>
      </c>
      <c r="O13414" t="s">
        <v>40573</v>
      </c>
      <c r="T13414" t="s">
        <v>40574</v>
      </c>
    </row>
    <row r="13415" spans="1:20" x14ac:dyDescent="0.25">
      <c r="A13415" t="str">
        <f>"3047229"</f>
        <v>3047229</v>
      </c>
      <c r="B13415" t="s">
        <v>40576</v>
      </c>
      <c r="C13415" t="str">
        <f>"8311859"</f>
        <v>8311859</v>
      </c>
      <c r="D13415" t="s">
        <v>40577</v>
      </c>
      <c r="E13415" t="s">
        <v>40578</v>
      </c>
      <c r="F13415" t="s">
        <v>40579</v>
      </c>
      <c r="I13415" t="s">
        <v>184</v>
      </c>
      <c r="J13415" t="s">
        <v>30</v>
      </c>
      <c r="K13415" t="str">
        <f>"27006"</f>
        <v>27006</v>
      </c>
      <c r="M13415" t="s">
        <v>18470</v>
      </c>
      <c r="N13415" t="str">
        <f>"1/14/2020 11:11:00 AM"</f>
        <v>1/14/2020 11:11:00 AM</v>
      </c>
      <c r="O13415" t="s">
        <v>40577</v>
      </c>
      <c r="T13415" t="s">
        <v>40578</v>
      </c>
    </row>
    <row r="13416" spans="1:20" x14ac:dyDescent="0.25">
      <c r="A13416" t="str">
        <f>"3056427"</f>
        <v>3056427</v>
      </c>
      <c r="B13416" t="s">
        <v>40580</v>
      </c>
      <c r="C13416" t="str">
        <f>"82524203"</f>
        <v>82524203</v>
      </c>
      <c r="D13416" t="s">
        <v>40581</v>
      </c>
      <c r="F13416" t="s">
        <v>40582</v>
      </c>
      <c r="I13416" t="s">
        <v>17921</v>
      </c>
      <c r="J13416" t="s">
        <v>30</v>
      </c>
      <c r="K13416" t="s">
        <v>40583</v>
      </c>
      <c r="M13416" t="s">
        <v>33432</v>
      </c>
      <c r="N13416" t="str">
        <f>"12/31/2019 1:51:00 PM"</f>
        <v>12/31/2019 1:51:00 PM</v>
      </c>
      <c r="O13416" t="s">
        <v>40581</v>
      </c>
    </row>
    <row r="13417" spans="1:20" x14ac:dyDescent="0.25">
      <c r="A13417" t="str">
        <f>"3049003"</f>
        <v>3049003</v>
      </c>
      <c r="B13417" t="s">
        <v>40584</v>
      </c>
      <c r="C13417" t="str">
        <f>"8312874"</f>
        <v>8312874</v>
      </c>
      <c r="D13417" t="s">
        <v>40451</v>
      </c>
      <c r="F13417" t="s">
        <v>40452</v>
      </c>
      <c r="I13417" t="s">
        <v>37599</v>
      </c>
      <c r="J13417" t="s">
        <v>30</v>
      </c>
      <c r="K13417" t="s">
        <v>40453</v>
      </c>
      <c r="M13417" t="s">
        <v>17861</v>
      </c>
      <c r="N13417" t="str">
        <f>"12/31/2019 4:00:00 PM"</f>
        <v>12/31/2019 4:00:00 PM</v>
      </c>
      <c r="O13417" t="s">
        <v>40451</v>
      </c>
    </row>
    <row r="13418" spans="1:20" x14ac:dyDescent="0.25">
      <c r="A13418" t="str">
        <f>"3049016"</f>
        <v>3049016</v>
      </c>
      <c r="B13418" t="s">
        <v>40585</v>
      </c>
      <c r="C13418" t="str">
        <f>"8312874"</f>
        <v>8312874</v>
      </c>
      <c r="D13418" t="s">
        <v>40451</v>
      </c>
      <c r="F13418" t="s">
        <v>40452</v>
      </c>
      <c r="I13418" t="s">
        <v>37599</v>
      </c>
      <c r="J13418" t="s">
        <v>30</v>
      </c>
      <c r="K13418" t="s">
        <v>40453</v>
      </c>
      <c r="M13418" t="s">
        <v>17861</v>
      </c>
      <c r="N13418" t="str">
        <f>"12/31/2019 4:00:00 PM"</f>
        <v>12/31/2019 4:00:00 PM</v>
      </c>
      <c r="O13418" t="s">
        <v>40451</v>
      </c>
    </row>
    <row r="13419" spans="1:20" x14ac:dyDescent="0.25">
      <c r="A13419" t="str">
        <f>"3049025"</f>
        <v>3049025</v>
      </c>
      <c r="B13419" t="s">
        <v>40586</v>
      </c>
      <c r="C13419" t="str">
        <f>"8312874"</f>
        <v>8312874</v>
      </c>
      <c r="D13419" t="s">
        <v>40451</v>
      </c>
      <c r="F13419" t="s">
        <v>40452</v>
      </c>
      <c r="I13419" t="s">
        <v>37599</v>
      </c>
      <c r="J13419" t="s">
        <v>30</v>
      </c>
      <c r="K13419" t="s">
        <v>40453</v>
      </c>
      <c r="M13419" t="s">
        <v>17861</v>
      </c>
      <c r="N13419" t="str">
        <f>"12/31/2019 4:00:00 PM"</f>
        <v>12/31/2019 4:00:00 PM</v>
      </c>
      <c r="O13419" t="s">
        <v>40451</v>
      </c>
    </row>
    <row r="13420" spans="1:20" x14ac:dyDescent="0.25">
      <c r="A13420" t="str">
        <f>"3062783"</f>
        <v>3062783</v>
      </c>
      <c r="B13420" t="s">
        <v>40587</v>
      </c>
      <c r="C13420" t="str">
        <f>"8312855"</f>
        <v>8312855</v>
      </c>
      <c r="D13420" t="s">
        <v>40588</v>
      </c>
      <c r="E13420" t="s">
        <v>40589</v>
      </c>
      <c r="F13420" t="s">
        <v>40590</v>
      </c>
      <c r="I13420" t="s">
        <v>29</v>
      </c>
      <c r="J13420" t="s">
        <v>30</v>
      </c>
      <c r="K13420" t="s">
        <v>5078</v>
      </c>
      <c r="M13420" t="s">
        <v>17861</v>
      </c>
      <c r="N13420" t="str">
        <f>"12/30/2019 9:41:00 AM"</f>
        <v>12/30/2019 9:41:00 AM</v>
      </c>
      <c r="O13420" t="s">
        <v>40588</v>
      </c>
      <c r="T13420" t="s">
        <v>40589</v>
      </c>
    </row>
    <row r="13421" spans="1:20" x14ac:dyDescent="0.25">
      <c r="A13421" t="str">
        <f>"3058810"</f>
        <v>3058810</v>
      </c>
      <c r="B13421" t="s">
        <v>40591</v>
      </c>
      <c r="C13421" t="str">
        <f>"8310457"</f>
        <v>8310457</v>
      </c>
      <c r="D13421" t="s">
        <v>40592</v>
      </c>
      <c r="E13421" t="s">
        <v>40593</v>
      </c>
      <c r="F13421" t="s">
        <v>40594</v>
      </c>
      <c r="I13421" t="s">
        <v>29</v>
      </c>
      <c r="J13421" t="s">
        <v>30</v>
      </c>
      <c r="K13421" t="str">
        <f>"27028"</f>
        <v>27028</v>
      </c>
      <c r="M13421" t="s">
        <v>25733</v>
      </c>
      <c r="N13421" t="str">
        <f>"12/30/2019 10:54:00 AM"</f>
        <v>12/30/2019 10:54:00 AM</v>
      </c>
      <c r="O13421" t="s">
        <v>40592</v>
      </c>
      <c r="T13421" t="s">
        <v>40593</v>
      </c>
    </row>
    <row r="13422" spans="1:20" x14ac:dyDescent="0.25">
      <c r="A13422" t="str">
        <f>"3040035"</f>
        <v>3040035</v>
      </c>
      <c r="B13422" t="s">
        <v>40595</v>
      </c>
      <c r="C13422" t="str">
        <f>"8309205"</f>
        <v>8309205</v>
      </c>
      <c r="D13422" t="s">
        <v>40596</v>
      </c>
      <c r="E13422" t="s">
        <v>40597</v>
      </c>
      <c r="F13422" t="s">
        <v>40598</v>
      </c>
      <c r="I13422" t="s">
        <v>17921</v>
      </c>
      <c r="J13422" t="s">
        <v>30</v>
      </c>
      <c r="K13422" t="str">
        <f>"27028"</f>
        <v>27028</v>
      </c>
      <c r="M13422" t="s">
        <v>33845</v>
      </c>
      <c r="N13422" t="str">
        <f>"1/16/2020 4:37:00 PM"</f>
        <v>1/16/2020 4:37:00 PM</v>
      </c>
      <c r="O13422" t="s">
        <v>40596</v>
      </c>
      <c r="T13422" t="s">
        <v>40597</v>
      </c>
    </row>
    <row r="13423" spans="1:20" x14ac:dyDescent="0.25">
      <c r="A13423" t="str">
        <f>"3041563"</f>
        <v>3041563</v>
      </c>
      <c r="B13423" t="s">
        <v>40599</v>
      </c>
      <c r="C13423" t="str">
        <f>"8308603"</f>
        <v>8308603</v>
      </c>
      <c r="D13423" t="s">
        <v>40600</v>
      </c>
      <c r="E13423" t="s">
        <v>40601</v>
      </c>
      <c r="F13423" t="s">
        <v>40602</v>
      </c>
      <c r="I13423" t="s">
        <v>184</v>
      </c>
      <c r="J13423" t="s">
        <v>30</v>
      </c>
      <c r="K13423" t="str">
        <f>"27006"</f>
        <v>27006</v>
      </c>
      <c r="M13423" t="s">
        <v>18470</v>
      </c>
      <c r="N13423" t="str">
        <f>"1/21/2020 11:35:00 AM"</f>
        <v>1/21/2020 11:35:00 AM</v>
      </c>
      <c r="O13423" t="s">
        <v>40600</v>
      </c>
      <c r="T13423" t="s">
        <v>40601</v>
      </c>
    </row>
    <row r="13424" spans="1:20" x14ac:dyDescent="0.25">
      <c r="A13424" t="str">
        <f>"3060131"</f>
        <v>3060131</v>
      </c>
      <c r="B13424" t="s">
        <v>40603</v>
      </c>
      <c r="C13424" t="str">
        <f>"8312858"</f>
        <v>8312858</v>
      </c>
      <c r="D13424" t="s">
        <v>40604</v>
      </c>
      <c r="E13424" t="s">
        <v>40605</v>
      </c>
      <c r="F13424" t="s">
        <v>40606</v>
      </c>
      <c r="I13424" t="s">
        <v>184</v>
      </c>
      <c r="J13424" t="s">
        <v>30</v>
      </c>
      <c r="K13424" t="s">
        <v>8574</v>
      </c>
      <c r="M13424" t="s">
        <v>17861</v>
      </c>
      <c r="N13424" t="str">
        <f>"12/30/2019 12:40:00 PM"</f>
        <v>12/30/2019 12:40:00 PM</v>
      </c>
      <c r="O13424" t="s">
        <v>40604</v>
      </c>
      <c r="T13424" t="s">
        <v>40605</v>
      </c>
    </row>
    <row r="13425" spans="1:20" x14ac:dyDescent="0.25">
      <c r="A13425" t="str">
        <f>"3042810"</f>
        <v>3042810</v>
      </c>
      <c r="B13425" t="s">
        <v>40607</v>
      </c>
      <c r="C13425" t="str">
        <f>"8308711"</f>
        <v>8308711</v>
      </c>
      <c r="D13425" t="s">
        <v>40608</v>
      </c>
      <c r="E13425" t="s">
        <v>40609</v>
      </c>
      <c r="F13425" t="s">
        <v>40610</v>
      </c>
      <c r="I13425" t="s">
        <v>29</v>
      </c>
      <c r="J13425" t="s">
        <v>30</v>
      </c>
      <c r="K13425" t="str">
        <f>"27028"</f>
        <v>27028</v>
      </c>
      <c r="M13425" t="s">
        <v>18470</v>
      </c>
      <c r="N13425" t="str">
        <f>"1/24/2020 10:00:00 AM"</f>
        <v>1/24/2020 10:00:00 AM</v>
      </c>
      <c r="O13425" t="s">
        <v>40608</v>
      </c>
      <c r="T13425" t="s">
        <v>40609</v>
      </c>
    </row>
    <row r="13426" spans="1:20" x14ac:dyDescent="0.25">
      <c r="A13426" t="str">
        <f>"3040177"</f>
        <v>3040177</v>
      </c>
      <c r="B13426" t="s">
        <v>40611</v>
      </c>
      <c r="C13426" t="str">
        <f>"8312861"</f>
        <v>8312861</v>
      </c>
      <c r="D13426" t="s">
        <v>40612</v>
      </c>
      <c r="F13426" t="s">
        <v>40613</v>
      </c>
      <c r="I13426" t="s">
        <v>29</v>
      </c>
      <c r="J13426" t="s">
        <v>30</v>
      </c>
      <c r="K13426" t="s">
        <v>2453</v>
      </c>
      <c r="M13426" t="s">
        <v>17861</v>
      </c>
      <c r="N13426" t="str">
        <f>"12/30/2019 2:33:00 PM"</f>
        <v>12/30/2019 2:33:00 PM</v>
      </c>
      <c r="O13426" t="s">
        <v>40612</v>
      </c>
    </row>
    <row r="13427" spans="1:20" x14ac:dyDescent="0.25">
      <c r="A13427" t="str">
        <f>"3040025"</f>
        <v>3040025</v>
      </c>
      <c r="B13427" t="s">
        <v>40614</v>
      </c>
      <c r="C13427" t="str">
        <f>"8312861"</f>
        <v>8312861</v>
      </c>
      <c r="D13427" t="s">
        <v>40612</v>
      </c>
      <c r="F13427" t="s">
        <v>40613</v>
      </c>
      <c r="I13427" t="s">
        <v>29</v>
      </c>
      <c r="J13427" t="s">
        <v>30</v>
      </c>
      <c r="K13427" t="s">
        <v>2453</v>
      </c>
      <c r="M13427" t="s">
        <v>17861</v>
      </c>
      <c r="N13427" t="str">
        <f>"12/30/2019 2:33:00 PM"</f>
        <v>12/30/2019 2:33:00 PM</v>
      </c>
      <c r="O13427" t="s">
        <v>40612</v>
      </c>
    </row>
    <row r="13428" spans="1:20" x14ac:dyDescent="0.25">
      <c r="A13428" t="str">
        <f>"3039266"</f>
        <v>3039266</v>
      </c>
      <c r="B13428" t="s">
        <v>40615</v>
      </c>
      <c r="C13428" t="str">
        <f>"8312863"</f>
        <v>8312863</v>
      </c>
      <c r="D13428" t="s">
        <v>40616</v>
      </c>
      <c r="F13428" t="s">
        <v>40617</v>
      </c>
      <c r="I13428" t="s">
        <v>29</v>
      </c>
      <c r="J13428" t="s">
        <v>30</v>
      </c>
      <c r="K13428" t="s">
        <v>40618</v>
      </c>
      <c r="M13428" t="s">
        <v>17861</v>
      </c>
      <c r="N13428" t="str">
        <f>"12/30/2019 2:41:00 PM"</f>
        <v>12/30/2019 2:41:00 PM</v>
      </c>
      <c r="O13428" t="s">
        <v>40616</v>
      </c>
    </row>
    <row r="13429" spans="1:20" x14ac:dyDescent="0.25">
      <c r="A13429" t="str">
        <f>"3059261"</f>
        <v>3059261</v>
      </c>
      <c r="B13429" t="s">
        <v>40619</v>
      </c>
      <c r="C13429" t="str">
        <f>"8312864"</f>
        <v>8312864</v>
      </c>
      <c r="D13429" t="s">
        <v>40620</v>
      </c>
      <c r="F13429" t="s">
        <v>40621</v>
      </c>
      <c r="I13429" t="s">
        <v>29</v>
      </c>
      <c r="J13429" t="s">
        <v>30</v>
      </c>
      <c r="K13429" t="s">
        <v>40622</v>
      </c>
      <c r="M13429" t="s">
        <v>17861</v>
      </c>
      <c r="N13429" t="str">
        <f>"12/30/2019 2:43:00 PM"</f>
        <v>12/30/2019 2:43:00 PM</v>
      </c>
      <c r="O13429" t="s">
        <v>40620</v>
      </c>
    </row>
    <row r="13430" spans="1:20" x14ac:dyDescent="0.25">
      <c r="A13430" t="str">
        <f>"3045984"</f>
        <v>3045984</v>
      </c>
      <c r="B13430" t="s">
        <v>40623</v>
      </c>
      <c r="C13430" t="str">
        <f>"82526721"</f>
        <v>82526721</v>
      </c>
      <c r="D13430" t="s">
        <v>18716</v>
      </c>
      <c r="F13430" t="s">
        <v>40624</v>
      </c>
      <c r="I13430" t="s">
        <v>29</v>
      </c>
      <c r="J13430" t="s">
        <v>30</v>
      </c>
      <c r="K13430" t="s">
        <v>31</v>
      </c>
      <c r="M13430" t="s">
        <v>33432</v>
      </c>
      <c r="N13430" t="str">
        <f>"12/30/2019 2:57:00 PM"</f>
        <v>12/30/2019 2:57:00 PM</v>
      </c>
      <c r="O13430" t="s">
        <v>18716</v>
      </c>
    </row>
    <row r="13431" spans="1:20" x14ac:dyDescent="0.25">
      <c r="A13431" t="str">
        <f>"3047058"</f>
        <v>3047058</v>
      </c>
      <c r="B13431" t="s">
        <v>40625</v>
      </c>
      <c r="C13431" t="str">
        <f>"8309599"</f>
        <v>8309599</v>
      </c>
      <c r="D13431" t="s">
        <v>40626</v>
      </c>
      <c r="E13431" t="s">
        <v>40627</v>
      </c>
      <c r="F13431" t="s">
        <v>40628</v>
      </c>
      <c r="I13431" t="s">
        <v>29</v>
      </c>
      <c r="J13431" t="s">
        <v>30</v>
      </c>
      <c r="K13431" t="s">
        <v>38602</v>
      </c>
      <c r="M13431" t="s">
        <v>32801</v>
      </c>
      <c r="N13431" t="str">
        <f>"1/2/2020 4:00:00 PM"</f>
        <v>1/2/2020 4:00:00 PM</v>
      </c>
      <c r="O13431" t="s">
        <v>40626</v>
      </c>
      <c r="T13431" t="s">
        <v>40627</v>
      </c>
    </row>
    <row r="13432" spans="1:20" x14ac:dyDescent="0.25">
      <c r="A13432" t="str">
        <f>"3039666"</f>
        <v>3039666</v>
      </c>
      <c r="B13432" t="s">
        <v>40629</v>
      </c>
      <c r="C13432" t="str">
        <f>"23987800"</f>
        <v>23987800</v>
      </c>
      <c r="D13432" t="s">
        <v>40630</v>
      </c>
      <c r="F13432" t="str">
        <f>"C/O ROBIN WOODRUFF"</f>
        <v>C/O ROBIN WOODRUFF</v>
      </c>
      <c r="G13432" t="s">
        <v>40631</v>
      </c>
      <c r="I13432" t="s">
        <v>184</v>
      </c>
      <c r="J13432" t="s">
        <v>30</v>
      </c>
      <c r="K13432" t="s">
        <v>40632</v>
      </c>
      <c r="M13432" t="s">
        <v>33432</v>
      </c>
      <c r="N13432" t="str">
        <f>"1/6/2020 3:18:00 PM"</f>
        <v>1/6/2020 3:18:00 PM</v>
      </c>
      <c r="O13432" t="s">
        <v>40630</v>
      </c>
    </row>
    <row r="13433" spans="1:20" x14ac:dyDescent="0.25">
      <c r="A13433" t="str">
        <f>"3042633"</f>
        <v>3042633</v>
      </c>
      <c r="B13433" t="s">
        <v>40633</v>
      </c>
      <c r="C13433" t="str">
        <f>"8312893"</f>
        <v>8312893</v>
      </c>
      <c r="D13433" t="s">
        <v>40634</v>
      </c>
      <c r="F13433" t="s">
        <v>40635</v>
      </c>
      <c r="I13433" t="s">
        <v>29</v>
      </c>
      <c r="J13433" t="s">
        <v>30</v>
      </c>
      <c r="K13433" t="s">
        <v>4430</v>
      </c>
      <c r="M13433" t="s">
        <v>17861</v>
      </c>
      <c r="N13433" t="str">
        <f>"1/7/2020 8:20:00 AM"</f>
        <v>1/7/2020 8:20:00 AM</v>
      </c>
      <c r="O13433" t="s">
        <v>40634</v>
      </c>
    </row>
    <row r="13434" spans="1:20" x14ac:dyDescent="0.25">
      <c r="A13434" t="str">
        <f>"3057790"</f>
        <v>3057790</v>
      </c>
      <c r="B13434" t="s">
        <v>40636</v>
      </c>
      <c r="C13434" t="str">
        <f>"78858000"</f>
        <v>78858000</v>
      </c>
      <c r="D13434" t="s">
        <v>40516</v>
      </c>
      <c r="F13434" t="s">
        <v>40517</v>
      </c>
      <c r="I13434" t="s">
        <v>29</v>
      </c>
      <c r="J13434" t="s">
        <v>30</v>
      </c>
      <c r="K13434" t="s">
        <v>40518</v>
      </c>
      <c r="M13434" t="s">
        <v>25733</v>
      </c>
      <c r="N13434" t="str">
        <f>"1/7/2020 10:47:00 AM"</f>
        <v>1/7/2020 10:47:00 AM</v>
      </c>
      <c r="O13434" t="s">
        <v>40516</v>
      </c>
      <c r="T13434" t="s">
        <v>40516</v>
      </c>
    </row>
    <row r="13435" spans="1:20" x14ac:dyDescent="0.25">
      <c r="A13435" t="str">
        <f>"3047859"</f>
        <v>3047859</v>
      </c>
      <c r="B13435" t="s">
        <v>40637</v>
      </c>
      <c r="C13435" t="str">
        <f>"82531885"</f>
        <v>82531885</v>
      </c>
      <c r="D13435" t="s">
        <v>40638</v>
      </c>
      <c r="E13435" t="s">
        <v>40639</v>
      </c>
      <c r="F13435" t="s">
        <v>40640</v>
      </c>
      <c r="I13435" t="s">
        <v>184</v>
      </c>
      <c r="J13435" t="s">
        <v>30</v>
      </c>
      <c r="K13435" t="s">
        <v>185</v>
      </c>
      <c r="M13435" t="s">
        <v>33845</v>
      </c>
      <c r="N13435" t="str">
        <f>"1/7/2020 2:53:00 PM"</f>
        <v>1/7/2020 2:53:00 PM</v>
      </c>
      <c r="O13435" t="s">
        <v>40638</v>
      </c>
      <c r="T13435" t="s">
        <v>40639</v>
      </c>
    </row>
    <row r="13436" spans="1:20" x14ac:dyDescent="0.25">
      <c r="A13436" t="str">
        <f>"3056238"</f>
        <v>3056238</v>
      </c>
      <c r="B13436" t="s">
        <v>40641</v>
      </c>
      <c r="C13436" t="str">
        <f>"8312896"</f>
        <v>8312896</v>
      </c>
      <c r="D13436" t="s">
        <v>40642</v>
      </c>
      <c r="E13436" t="s">
        <v>40643</v>
      </c>
      <c r="F13436" t="s">
        <v>40644</v>
      </c>
      <c r="I13436" t="s">
        <v>29</v>
      </c>
      <c r="J13436" t="s">
        <v>30</v>
      </c>
      <c r="K13436" t="s">
        <v>16758</v>
      </c>
      <c r="M13436" t="s">
        <v>17861</v>
      </c>
      <c r="N13436" t="str">
        <f>"1/8/2020 9:44:00 AM"</f>
        <v>1/8/2020 9:44:00 AM</v>
      </c>
      <c r="O13436" t="s">
        <v>40642</v>
      </c>
      <c r="T13436" t="s">
        <v>40643</v>
      </c>
    </row>
    <row r="13437" spans="1:20" x14ac:dyDescent="0.25">
      <c r="A13437" t="str">
        <f>"3053681"</f>
        <v>3053681</v>
      </c>
      <c r="B13437" t="s">
        <v>40645</v>
      </c>
      <c r="C13437" t="str">
        <f>"63458350"</f>
        <v>63458350</v>
      </c>
      <c r="D13437" t="s">
        <v>40646</v>
      </c>
      <c r="E13437" t="s">
        <v>40647</v>
      </c>
      <c r="F13437" t="s">
        <v>40648</v>
      </c>
      <c r="I13437" t="s">
        <v>29</v>
      </c>
      <c r="J13437" t="s">
        <v>30</v>
      </c>
      <c r="K13437" t="s">
        <v>31</v>
      </c>
      <c r="M13437" t="s">
        <v>25733</v>
      </c>
      <c r="N13437" t="str">
        <f>"1/10/2020 9:54:00 AM"</f>
        <v>1/10/2020 9:54:00 AM</v>
      </c>
      <c r="O13437" t="s">
        <v>40646</v>
      </c>
      <c r="T13437" t="s">
        <v>40647</v>
      </c>
    </row>
    <row r="13438" spans="1:20" x14ac:dyDescent="0.25">
      <c r="A13438" t="str">
        <f>"3047081"</f>
        <v>3047081</v>
      </c>
      <c r="B13438" t="s">
        <v>40649</v>
      </c>
      <c r="C13438" t="str">
        <f>"63458350"</f>
        <v>63458350</v>
      </c>
      <c r="D13438" t="s">
        <v>40646</v>
      </c>
      <c r="E13438" t="s">
        <v>40647</v>
      </c>
      <c r="F13438" t="s">
        <v>40648</v>
      </c>
      <c r="I13438" t="s">
        <v>29</v>
      </c>
      <c r="J13438" t="s">
        <v>30</v>
      </c>
      <c r="K13438" t="s">
        <v>31</v>
      </c>
      <c r="M13438" t="s">
        <v>25733</v>
      </c>
      <c r="N13438" t="str">
        <f>"1/10/2020 9:54:00 AM"</f>
        <v>1/10/2020 9:54:00 AM</v>
      </c>
      <c r="O13438" t="s">
        <v>40646</v>
      </c>
      <c r="T13438" t="s">
        <v>40647</v>
      </c>
    </row>
    <row r="13439" spans="1:20" x14ac:dyDescent="0.25">
      <c r="A13439" t="str">
        <f>"3060223"</f>
        <v>3060223</v>
      </c>
      <c r="B13439" t="s">
        <v>40650</v>
      </c>
      <c r="C13439" t="str">
        <f>"8311592"</f>
        <v>8311592</v>
      </c>
      <c r="D13439" t="s">
        <v>40651</v>
      </c>
      <c r="F13439" t="s">
        <v>40652</v>
      </c>
      <c r="I13439" t="s">
        <v>184</v>
      </c>
      <c r="J13439" t="s">
        <v>30</v>
      </c>
      <c r="K13439" t="s">
        <v>33177</v>
      </c>
      <c r="M13439" t="s">
        <v>17861</v>
      </c>
      <c r="N13439" t="str">
        <f>"1/13/2020 1:30:00 PM"</f>
        <v>1/13/2020 1:30:00 PM</v>
      </c>
      <c r="O13439" t="s">
        <v>40651</v>
      </c>
    </row>
    <row r="13440" spans="1:20" x14ac:dyDescent="0.25">
      <c r="A13440" t="str">
        <f>"3050745"</f>
        <v>3050745</v>
      </c>
      <c r="B13440" t="s">
        <v>40653</v>
      </c>
      <c r="C13440" t="str">
        <f>"8310004"</f>
        <v>8310004</v>
      </c>
      <c r="D13440" t="s">
        <v>40654</v>
      </c>
      <c r="E13440" t="s">
        <v>40655</v>
      </c>
      <c r="F13440" t="s">
        <v>40656</v>
      </c>
      <c r="I13440" t="s">
        <v>184</v>
      </c>
      <c r="J13440" t="s">
        <v>30</v>
      </c>
      <c r="K13440" t="s">
        <v>10530</v>
      </c>
      <c r="M13440" t="s">
        <v>17861</v>
      </c>
      <c r="N13440" t="str">
        <f>"1/13/2020 2:10:00 PM"</f>
        <v>1/13/2020 2:10:00 PM</v>
      </c>
      <c r="O13440" t="s">
        <v>40654</v>
      </c>
      <c r="T13440" t="s">
        <v>40655</v>
      </c>
    </row>
    <row r="13441" spans="1:20" x14ac:dyDescent="0.25">
      <c r="A13441" t="str">
        <f>"3054139"</f>
        <v>3054139</v>
      </c>
      <c r="B13441" t="s">
        <v>40657</v>
      </c>
      <c r="C13441" t="str">
        <f>"80513150"</f>
        <v>80513150</v>
      </c>
      <c r="D13441" t="s">
        <v>40658</v>
      </c>
      <c r="F13441" t="str">
        <f>"C/O CRYSTAL WITHERSPOON"</f>
        <v>C/O CRYSTAL WITHERSPOON</v>
      </c>
      <c r="G13441" t="s">
        <v>40659</v>
      </c>
      <c r="I13441" t="s">
        <v>2275</v>
      </c>
      <c r="J13441" t="s">
        <v>30</v>
      </c>
      <c r="K13441" t="s">
        <v>2276</v>
      </c>
      <c r="M13441" t="s">
        <v>18470</v>
      </c>
      <c r="N13441" t="str">
        <f>"1/15/2020 12:09:00 PM"</f>
        <v>1/15/2020 12:09:00 PM</v>
      </c>
      <c r="O13441" t="s">
        <v>40658</v>
      </c>
    </row>
    <row r="13442" spans="1:20" x14ac:dyDescent="0.25">
      <c r="A13442" t="str">
        <f>"3056362"</f>
        <v>3056362</v>
      </c>
      <c r="B13442" t="s">
        <v>40660</v>
      </c>
      <c r="C13442" t="str">
        <f>"8305672"</f>
        <v>8305672</v>
      </c>
      <c r="D13442" t="s">
        <v>40661</v>
      </c>
      <c r="F13442" t="s">
        <v>37099</v>
      </c>
      <c r="I13442" t="s">
        <v>40662</v>
      </c>
      <c r="J13442" t="s">
        <v>30</v>
      </c>
      <c r="K13442" t="str">
        <f>"27028"</f>
        <v>27028</v>
      </c>
      <c r="M13442" t="s">
        <v>40663</v>
      </c>
      <c r="N13442" t="str">
        <f>"1/15/2020 3:57:00 PM"</f>
        <v>1/15/2020 3:57:00 PM</v>
      </c>
      <c r="O13442" t="s">
        <v>40661</v>
      </c>
    </row>
    <row r="13443" spans="1:20" x14ac:dyDescent="0.25">
      <c r="A13443" t="str">
        <f>"3053694"</f>
        <v>3053694</v>
      </c>
      <c r="B13443" t="s">
        <v>40664</v>
      </c>
      <c r="C13443" t="str">
        <f>"8305791"</f>
        <v>8305791</v>
      </c>
      <c r="D13443" t="s">
        <v>40665</v>
      </c>
      <c r="E13443" t="s">
        <v>40666</v>
      </c>
      <c r="F13443" t="s">
        <v>40667</v>
      </c>
      <c r="I13443" t="s">
        <v>29</v>
      </c>
      <c r="J13443" t="s">
        <v>30</v>
      </c>
      <c r="K13443" t="str">
        <f>"27028"</f>
        <v>27028</v>
      </c>
      <c r="M13443" t="s">
        <v>40663</v>
      </c>
      <c r="N13443" t="str">
        <f>"1/16/2020 9:43:00 AM"</f>
        <v>1/16/2020 9:43:00 AM</v>
      </c>
      <c r="O13443" t="s">
        <v>40665</v>
      </c>
      <c r="T13443" t="s">
        <v>40666</v>
      </c>
    </row>
    <row r="13444" spans="1:20" x14ac:dyDescent="0.25">
      <c r="A13444" t="str">
        <f>"3041835"</f>
        <v>3041835</v>
      </c>
      <c r="B13444" t="s">
        <v>40668</v>
      </c>
      <c r="C13444" t="str">
        <f>"8307210"</f>
        <v>8307210</v>
      </c>
      <c r="D13444" t="str">
        <f>"SUMMERLIN GEORGE W/PATTI A TRUST"</f>
        <v>SUMMERLIN GEORGE W/PATTI A TRUST</v>
      </c>
      <c r="E13444" t="s">
        <v>40669</v>
      </c>
      <c r="F13444" t="s">
        <v>40670</v>
      </c>
      <c r="I13444" t="s">
        <v>2071</v>
      </c>
      <c r="J13444" t="s">
        <v>30</v>
      </c>
      <c r="K13444" t="str">
        <f>"27006"</f>
        <v>27006</v>
      </c>
      <c r="M13444" t="s">
        <v>33845</v>
      </c>
      <c r="N13444" t="str">
        <f>"1/16/2020 9:53:00 AM"</f>
        <v>1/16/2020 9:53:00 AM</v>
      </c>
      <c r="O13444" t="str">
        <f>"SUMMERLIN GEORGE W/PATTI A TRUST"</f>
        <v>SUMMERLIN GEORGE W/PATTI A TRUST</v>
      </c>
      <c r="T13444" t="s">
        <v>40669</v>
      </c>
    </row>
    <row r="13445" spans="1:20" x14ac:dyDescent="0.25">
      <c r="A13445" t="str">
        <f>"3048176"</f>
        <v>3048176</v>
      </c>
      <c r="B13445" t="s">
        <v>40671</v>
      </c>
      <c r="C13445" t="str">
        <f>"4396560"</f>
        <v>4396560</v>
      </c>
      <c r="D13445" t="s">
        <v>40672</v>
      </c>
      <c r="F13445" t="s">
        <v>40673</v>
      </c>
      <c r="I13445" t="s">
        <v>40674</v>
      </c>
      <c r="J13445" t="s">
        <v>30</v>
      </c>
      <c r="K13445" t="str">
        <f>"28516"</f>
        <v>28516</v>
      </c>
      <c r="M13445" t="s">
        <v>40663</v>
      </c>
      <c r="N13445" t="str">
        <f>"1/16/2020 11:23:00 AM"</f>
        <v>1/16/2020 11:23:00 AM</v>
      </c>
      <c r="O13445" t="s">
        <v>40672</v>
      </c>
    </row>
    <row r="13446" spans="1:20" x14ac:dyDescent="0.25">
      <c r="A13446" t="str">
        <f>"3050486"</f>
        <v>3050486</v>
      </c>
      <c r="B13446" t="s">
        <v>40675</v>
      </c>
      <c r="C13446" t="str">
        <f>"8311088"</f>
        <v>8311088</v>
      </c>
      <c r="D13446" t="s">
        <v>40676</v>
      </c>
      <c r="E13446" t="s">
        <v>40677</v>
      </c>
      <c r="F13446" t="s">
        <v>40678</v>
      </c>
      <c r="I13446" t="s">
        <v>184</v>
      </c>
      <c r="J13446" t="s">
        <v>30</v>
      </c>
      <c r="K13446" t="str">
        <f>"27006"</f>
        <v>27006</v>
      </c>
      <c r="M13446" t="s">
        <v>17861</v>
      </c>
      <c r="N13446" t="str">
        <f>"1/16/2020 1:30:00 PM"</f>
        <v>1/16/2020 1:30:00 PM</v>
      </c>
      <c r="O13446" t="s">
        <v>40676</v>
      </c>
      <c r="T13446" t="s">
        <v>40677</v>
      </c>
    </row>
    <row r="13447" spans="1:20" x14ac:dyDescent="0.25">
      <c r="A13447" t="str">
        <f>"3051247"</f>
        <v>3051247</v>
      </c>
      <c r="B13447" t="s">
        <v>40679</v>
      </c>
      <c r="C13447" t="str">
        <f>"49723000"</f>
        <v>49723000</v>
      </c>
      <c r="D13447" t="s">
        <v>40680</v>
      </c>
      <c r="F13447" t="s">
        <v>40681</v>
      </c>
      <c r="G13447" t="s">
        <v>40682</v>
      </c>
      <c r="I13447" t="s">
        <v>402</v>
      </c>
      <c r="J13447" t="s">
        <v>30</v>
      </c>
      <c r="K13447" t="s">
        <v>403</v>
      </c>
      <c r="M13447" t="s">
        <v>33845</v>
      </c>
      <c r="N13447" t="str">
        <f>"1/23/2020 10:41:00 AM"</f>
        <v>1/23/2020 10:41:00 AM</v>
      </c>
      <c r="O13447" t="s">
        <v>40680</v>
      </c>
    </row>
    <row r="13448" spans="1:20" x14ac:dyDescent="0.25">
      <c r="A13448" t="str">
        <f>"3041636"</f>
        <v>3041636</v>
      </c>
      <c r="B13448" t="s">
        <v>40683</v>
      </c>
      <c r="C13448" t="str">
        <f>"8312877"</f>
        <v>8312877</v>
      </c>
      <c r="D13448" t="s">
        <v>40684</v>
      </c>
      <c r="E13448" t="s">
        <v>40685</v>
      </c>
      <c r="F13448" t="s">
        <v>40686</v>
      </c>
      <c r="I13448" t="s">
        <v>2071</v>
      </c>
      <c r="J13448" t="s">
        <v>30</v>
      </c>
      <c r="K13448" t="s">
        <v>40687</v>
      </c>
      <c r="M13448" t="s">
        <v>17861</v>
      </c>
      <c r="N13448" t="str">
        <f>"12/31/2019 4:11:00 PM"</f>
        <v>12/31/2019 4:11:00 PM</v>
      </c>
      <c r="O13448" t="s">
        <v>40684</v>
      </c>
      <c r="T13448" t="s">
        <v>40685</v>
      </c>
    </row>
    <row r="13449" spans="1:20" x14ac:dyDescent="0.25">
      <c r="A13449" t="str">
        <f>"3047289"</f>
        <v>3047289</v>
      </c>
      <c r="B13449" t="s">
        <v>40688</v>
      </c>
      <c r="C13449" t="str">
        <f>"30117164"</f>
        <v>30117164</v>
      </c>
      <c r="D13449" t="s">
        <v>40689</v>
      </c>
      <c r="F13449" t="s">
        <v>40496</v>
      </c>
      <c r="I13449" t="s">
        <v>184</v>
      </c>
      <c r="J13449" t="s">
        <v>30</v>
      </c>
      <c r="K13449" t="s">
        <v>40690</v>
      </c>
      <c r="M13449" t="s">
        <v>25625</v>
      </c>
      <c r="N13449" t="str">
        <f>"12/31/2019 4:21:00 PM"</f>
        <v>12/31/2019 4:21:00 PM</v>
      </c>
      <c r="O13449" t="s">
        <v>40689</v>
      </c>
    </row>
    <row r="13450" spans="1:20" x14ac:dyDescent="0.25">
      <c r="A13450" t="str">
        <f>"3057067"</f>
        <v>3057067</v>
      </c>
      <c r="B13450" t="s">
        <v>40691</v>
      </c>
      <c r="C13450" t="str">
        <f>"54303000"</f>
        <v>54303000</v>
      </c>
      <c r="D13450" t="s">
        <v>40692</v>
      </c>
      <c r="F13450" t="str">
        <f>"C/O WILLIAM E HOLLAN"</f>
        <v>C/O WILLIAM E HOLLAN</v>
      </c>
      <c r="G13450" t="s">
        <v>40693</v>
      </c>
      <c r="I13450" t="s">
        <v>471</v>
      </c>
      <c r="J13450" t="s">
        <v>30</v>
      </c>
      <c r="K13450" t="s">
        <v>40694</v>
      </c>
      <c r="M13450" t="s">
        <v>18479</v>
      </c>
      <c r="N13450" t="str">
        <f>"1/28/2020 10:36:00 AM"</f>
        <v>1/28/2020 10:36:00 AM</v>
      </c>
      <c r="O13450" t="s">
        <v>40692</v>
      </c>
    </row>
    <row r="13451" spans="1:20" x14ac:dyDescent="0.25">
      <c r="A13451" t="str">
        <f>"3062228"</f>
        <v>3062228</v>
      </c>
      <c r="B13451" t="s">
        <v>40695</v>
      </c>
      <c r="C13451" t="str">
        <f t="shared" ref="C13451:C13474" si="211">"8312303"</f>
        <v>8312303</v>
      </c>
      <c r="D13451" t="s">
        <v>40696</v>
      </c>
      <c r="F13451" t="s">
        <v>40697</v>
      </c>
      <c r="I13451" t="s">
        <v>40698</v>
      </c>
      <c r="J13451" t="s">
        <v>4132</v>
      </c>
      <c r="K13451" t="str">
        <f t="shared" ref="K13451:K13474" si="212">"29063"</f>
        <v>29063</v>
      </c>
      <c r="M13451" t="s">
        <v>18470</v>
      </c>
      <c r="N13451" t="str">
        <f t="shared" ref="N13451:N13474" si="213">"1/28/2020 11:11:00 AM"</f>
        <v>1/28/2020 11:11:00 AM</v>
      </c>
      <c r="O13451" t="s">
        <v>40696</v>
      </c>
    </row>
    <row r="13452" spans="1:20" x14ac:dyDescent="0.25">
      <c r="A13452" t="str">
        <f>"3062218"</f>
        <v>3062218</v>
      </c>
      <c r="B13452" t="s">
        <v>40699</v>
      </c>
      <c r="C13452" t="str">
        <f t="shared" si="211"/>
        <v>8312303</v>
      </c>
      <c r="D13452" t="s">
        <v>40696</v>
      </c>
      <c r="F13452" t="s">
        <v>40697</v>
      </c>
      <c r="I13452" t="s">
        <v>40698</v>
      </c>
      <c r="J13452" t="s">
        <v>4132</v>
      </c>
      <c r="K13452" t="str">
        <f t="shared" si="212"/>
        <v>29063</v>
      </c>
      <c r="M13452" t="s">
        <v>18470</v>
      </c>
      <c r="N13452" t="str">
        <f t="shared" si="213"/>
        <v>1/28/2020 11:11:00 AM</v>
      </c>
      <c r="O13452" t="s">
        <v>40696</v>
      </c>
    </row>
    <row r="13453" spans="1:20" x14ac:dyDescent="0.25">
      <c r="A13453" t="str">
        <f>"3062219"</f>
        <v>3062219</v>
      </c>
      <c r="B13453" t="s">
        <v>40700</v>
      </c>
      <c r="C13453" t="str">
        <f t="shared" si="211"/>
        <v>8312303</v>
      </c>
      <c r="D13453" t="s">
        <v>40696</v>
      </c>
      <c r="F13453" t="s">
        <v>40697</v>
      </c>
      <c r="I13453" t="s">
        <v>40698</v>
      </c>
      <c r="J13453" t="s">
        <v>4132</v>
      </c>
      <c r="K13453" t="str">
        <f t="shared" si="212"/>
        <v>29063</v>
      </c>
      <c r="M13453" t="s">
        <v>18470</v>
      </c>
      <c r="N13453" t="str">
        <f t="shared" si="213"/>
        <v>1/28/2020 11:11:00 AM</v>
      </c>
      <c r="O13453" t="s">
        <v>40696</v>
      </c>
    </row>
    <row r="13454" spans="1:20" x14ac:dyDescent="0.25">
      <c r="A13454" t="str">
        <f>"3062220"</f>
        <v>3062220</v>
      </c>
      <c r="B13454" t="s">
        <v>40701</v>
      </c>
      <c r="C13454" t="str">
        <f t="shared" si="211"/>
        <v>8312303</v>
      </c>
      <c r="D13454" t="s">
        <v>40696</v>
      </c>
      <c r="F13454" t="s">
        <v>40697</v>
      </c>
      <c r="I13454" t="s">
        <v>40698</v>
      </c>
      <c r="J13454" t="s">
        <v>4132</v>
      </c>
      <c r="K13454" t="str">
        <f t="shared" si="212"/>
        <v>29063</v>
      </c>
      <c r="M13454" t="s">
        <v>18470</v>
      </c>
      <c r="N13454" t="str">
        <f t="shared" si="213"/>
        <v>1/28/2020 11:11:00 AM</v>
      </c>
      <c r="O13454" t="s">
        <v>40696</v>
      </c>
    </row>
    <row r="13455" spans="1:20" x14ac:dyDescent="0.25">
      <c r="A13455" t="str">
        <f>"3062217"</f>
        <v>3062217</v>
      </c>
      <c r="B13455" t="s">
        <v>40702</v>
      </c>
      <c r="C13455" t="str">
        <f t="shared" si="211"/>
        <v>8312303</v>
      </c>
      <c r="D13455" t="s">
        <v>40696</v>
      </c>
      <c r="F13455" t="s">
        <v>40697</v>
      </c>
      <c r="I13455" t="s">
        <v>40698</v>
      </c>
      <c r="J13455" t="s">
        <v>4132</v>
      </c>
      <c r="K13455" t="str">
        <f t="shared" si="212"/>
        <v>29063</v>
      </c>
      <c r="M13455" t="s">
        <v>18470</v>
      </c>
      <c r="N13455" t="str">
        <f t="shared" si="213"/>
        <v>1/28/2020 11:11:00 AM</v>
      </c>
      <c r="O13455" t="s">
        <v>40696</v>
      </c>
    </row>
    <row r="13456" spans="1:20" x14ac:dyDescent="0.25">
      <c r="A13456" t="str">
        <f>"3062177"</f>
        <v>3062177</v>
      </c>
      <c r="B13456" t="s">
        <v>40703</v>
      </c>
      <c r="C13456" t="str">
        <f t="shared" si="211"/>
        <v>8312303</v>
      </c>
      <c r="D13456" t="s">
        <v>40696</v>
      </c>
      <c r="F13456" t="s">
        <v>40697</v>
      </c>
      <c r="I13456" t="s">
        <v>40698</v>
      </c>
      <c r="J13456" t="s">
        <v>4132</v>
      </c>
      <c r="K13456" t="str">
        <f t="shared" si="212"/>
        <v>29063</v>
      </c>
      <c r="M13456" t="s">
        <v>18470</v>
      </c>
      <c r="N13456" t="str">
        <f t="shared" si="213"/>
        <v>1/28/2020 11:11:00 AM</v>
      </c>
      <c r="O13456" t="s">
        <v>40696</v>
      </c>
    </row>
    <row r="13457" spans="1:15" x14ac:dyDescent="0.25">
      <c r="A13457" t="str">
        <f>"3062178"</f>
        <v>3062178</v>
      </c>
      <c r="B13457" t="s">
        <v>40704</v>
      </c>
      <c r="C13457" t="str">
        <f t="shared" si="211"/>
        <v>8312303</v>
      </c>
      <c r="D13457" t="s">
        <v>40696</v>
      </c>
      <c r="F13457" t="s">
        <v>40697</v>
      </c>
      <c r="I13457" t="s">
        <v>40698</v>
      </c>
      <c r="J13457" t="s">
        <v>4132</v>
      </c>
      <c r="K13457" t="str">
        <f t="shared" si="212"/>
        <v>29063</v>
      </c>
      <c r="M13457" t="s">
        <v>18470</v>
      </c>
      <c r="N13457" t="str">
        <f t="shared" si="213"/>
        <v>1/28/2020 11:11:00 AM</v>
      </c>
      <c r="O13457" t="s">
        <v>40696</v>
      </c>
    </row>
    <row r="13458" spans="1:15" x14ac:dyDescent="0.25">
      <c r="A13458" t="str">
        <f>"3062183"</f>
        <v>3062183</v>
      </c>
      <c r="B13458" t="s">
        <v>40705</v>
      </c>
      <c r="C13458" t="str">
        <f t="shared" si="211"/>
        <v>8312303</v>
      </c>
      <c r="D13458" t="s">
        <v>40696</v>
      </c>
      <c r="F13458" t="s">
        <v>40697</v>
      </c>
      <c r="I13458" t="s">
        <v>40698</v>
      </c>
      <c r="J13458" t="s">
        <v>4132</v>
      </c>
      <c r="K13458" t="str">
        <f t="shared" si="212"/>
        <v>29063</v>
      </c>
      <c r="M13458" t="s">
        <v>18470</v>
      </c>
      <c r="N13458" t="str">
        <f t="shared" si="213"/>
        <v>1/28/2020 11:11:00 AM</v>
      </c>
      <c r="O13458" t="s">
        <v>40696</v>
      </c>
    </row>
    <row r="13459" spans="1:15" x14ac:dyDescent="0.25">
      <c r="A13459" t="str">
        <f>"3062180"</f>
        <v>3062180</v>
      </c>
      <c r="B13459" t="s">
        <v>40706</v>
      </c>
      <c r="C13459" t="str">
        <f t="shared" si="211"/>
        <v>8312303</v>
      </c>
      <c r="D13459" t="s">
        <v>40696</v>
      </c>
      <c r="F13459" t="s">
        <v>40697</v>
      </c>
      <c r="I13459" t="s">
        <v>40698</v>
      </c>
      <c r="J13459" t="s">
        <v>4132</v>
      </c>
      <c r="K13459" t="str">
        <f t="shared" si="212"/>
        <v>29063</v>
      </c>
      <c r="M13459" t="s">
        <v>18470</v>
      </c>
      <c r="N13459" t="str">
        <f t="shared" si="213"/>
        <v>1/28/2020 11:11:00 AM</v>
      </c>
      <c r="O13459" t="s">
        <v>40696</v>
      </c>
    </row>
    <row r="13460" spans="1:15" x14ac:dyDescent="0.25">
      <c r="A13460" t="str">
        <f>"3062181"</f>
        <v>3062181</v>
      </c>
      <c r="B13460" t="s">
        <v>40707</v>
      </c>
      <c r="C13460" t="str">
        <f t="shared" si="211"/>
        <v>8312303</v>
      </c>
      <c r="D13460" t="s">
        <v>40696</v>
      </c>
      <c r="F13460" t="s">
        <v>40697</v>
      </c>
      <c r="I13460" t="s">
        <v>40698</v>
      </c>
      <c r="J13460" t="s">
        <v>4132</v>
      </c>
      <c r="K13460" t="str">
        <f t="shared" si="212"/>
        <v>29063</v>
      </c>
      <c r="M13460" t="s">
        <v>18470</v>
      </c>
      <c r="N13460" t="str">
        <f t="shared" si="213"/>
        <v>1/28/2020 11:11:00 AM</v>
      </c>
      <c r="O13460" t="s">
        <v>40696</v>
      </c>
    </row>
    <row r="13461" spans="1:15" x14ac:dyDescent="0.25">
      <c r="A13461" t="str">
        <f>"3062182"</f>
        <v>3062182</v>
      </c>
      <c r="B13461" t="s">
        <v>40708</v>
      </c>
      <c r="C13461" t="str">
        <f t="shared" si="211"/>
        <v>8312303</v>
      </c>
      <c r="D13461" t="s">
        <v>40696</v>
      </c>
      <c r="F13461" t="s">
        <v>40697</v>
      </c>
      <c r="I13461" t="s">
        <v>40698</v>
      </c>
      <c r="J13461" t="s">
        <v>4132</v>
      </c>
      <c r="K13461" t="str">
        <f t="shared" si="212"/>
        <v>29063</v>
      </c>
      <c r="M13461" t="s">
        <v>18470</v>
      </c>
      <c r="N13461" t="str">
        <f t="shared" si="213"/>
        <v>1/28/2020 11:11:00 AM</v>
      </c>
      <c r="O13461" t="s">
        <v>40696</v>
      </c>
    </row>
    <row r="13462" spans="1:15" x14ac:dyDescent="0.25">
      <c r="A13462" t="str">
        <f>"3063115"</f>
        <v>3063115</v>
      </c>
      <c r="B13462" t="s">
        <v>40709</v>
      </c>
      <c r="C13462" t="str">
        <f t="shared" si="211"/>
        <v>8312303</v>
      </c>
      <c r="D13462" t="s">
        <v>40696</v>
      </c>
      <c r="F13462" t="s">
        <v>40697</v>
      </c>
      <c r="I13462" t="s">
        <v>40698</v>
      </c>
      <c r="J13462" t="s">
        <v>4132</v>
      </c>
      <c r="K13462" t="str">
        <f t="shared" si="212"/>
        <v>29063</v>
      </c>
      <c r="M13462" t="s">
        <v>18470</v>
      </c>
      <c r="N13462" t="str">
        <f t="shared" si="213"/>
        <v>1/28/2020 11:11:00 AM</v>
      </c>
      <c r="O13462" t="s">
        <v>40696</v>
      </c>
    </row>
    <row r="13463" spans="1:15" x14ac:dyDescent="0.25">
      <c r="A13463" t="str">
        <f>"3068895"</f>
        <v>3068895</v>
      </c>
      <c r="B13463" t="s">
        <v>40710</v>
      </c>
      <c r="C13463" t="str">
        <f t="shared" si="211"/>
        <v>8312303</v>
      </c>
      <c r="D13463" t="s">
        <v>40696</v>
      </c>
      <c r="F13463" t="s">
        <v>40697</v>
      </c>
      <c r="I13463" t="s">
        <v>40698</v>
      </c>
      <c r="J13463" t="s">
        <v>4132</v>
      </c>
      <c r="K13463" t="str">
        <f t="shared" si="212"/>
        <v>29063</v>
      </c>
      <c r="M13463" t="s">
        <v>18470</v>
      </c>
      <c r="N13463" t="str">
        <f t="shared" si="213"/>
        <v>1/28/2020 11:11:00 AM</v>
      </c>
      <c r="O13463" t="s">
        <v>40696</v>
      </c>
    </row>
    <row r="13464" spans="1:15" x14ac:dyDescent="0.25">
      <c r="A13464" t="str">
        <f>"3068898"</f>
        <v>3068898</v>
      </c>
      <c r="B13464" t="s">
        <v>40711</v>
      </c>
      <c r="C13464" t="str">
        <f t="shared" si="211"/>
        <v>8312303</v>
      </c>
      <c r="D13464" t="s">
        <v>40696</v>
      </c>
      <c r="F13464" t="s">
        <v>40697</v>
      </c>
      <c r="I13464" t="s">
        <v>40698</v>
      </c>
      <c r="J13464" t="s">
        <v>4132</v>
      </c>
      <c r="K13464" t="str">
        <f t="shared" si="212"/>
        <v>29063</v>
      </c>
      <c r="M13464" t="s">
        <v>18470</v>
      </c>
      <c r="N13464" t="str">
        <f t="shared" si="213"/>
        <v>1/28/2020 11:11:00 AM</v>
      </c>
      <c r="O13464" t="s">
        <v>40696</v>
      </c>
    </row>
    <row r="13465" spans="1:15" x14ac:dyDescent="0.25">
      <c r="A13465" t="str">
        <f>"3068910"</f>
        <v>3068910</v>
      </c>
      <c r="B13465" t="s">
        <v>40712</v>
      </c>
      <c r="C13465" t="str">
        <f t="shared" si="211"/>
        <v>8312303</v>
      </c>
      <c r="D13465" t="s">
        <v>40696</v>
      </c>
      <c r="F13465" t="s">
        <v>40697</v>
      </c>
      <c r="I13465" t="s">
        <v>40698</v>
      </c>
      <c r="J13465" t="s">
        <v>4132</v>
      </c>
      <c r="K13465" t="str">
        <f t="shared" si="212"/>
        <v>29063</v>
      </c>
      <c r="M13465" t="s">
        <v>18470</v>
      </c>
      <c r="N13465" t="str">
        <f t="shared" si="213"/>
        <v>1/28/2020 11:11:00 AM</v>
      </c>
      <c r="O13465" t="s">
        <v>40696</v>
      </c>
    </row>
    <row r="13466" spans="1:15" x14ac:dyDescent="0.25">
      <c r="A13466" t="str">
        <f>"3068911"</f>
        <v>3068911</v>
      </c>
      <c r="B13466" t="s">
        <v>40713</v>
      </c>
      <c r="C13466" t="str">
        <f t="shared" si="211"/>
        <v>8312303</v>
      </c>
      <c r="D13466" t="s">
        <v>40696</v>
      </c>
      <c r="F13466" t="s">
        <v>40697</v>
      </c>
      <c r="I13466" t="s">
        <v>40698</v>
      </c>
      <c r="J13466" t="s">
        <v>4132</v>
      </c>
      <c r="K13466" t="str">
        <f t="shared" si="212"/>
        <v>29063</v>
      </c>
      <c r="M13466" t="s">
        <v>18470</v>
      </c>
      <c r="N13466" t="str">
        <f t="shared" si="213"/>
        <v>1/28/2020 11:11:00 AM</v>
      </c>
      <c r="O13466" t="s">
        <v>40696</v>
      </c>
    </row>
    <row r="13467" spans="1:15" x14ac:dyDescent="0.25">
      <c r="A13467" t="str">
        <f>"3068914"</f>
        <v>3068914</v>
      </c>
      <c r="B13467" t="s">
        <v>40714</v>
      </c>
      <c r="C13467" t="str">
        <f t="shared" si="211"/>
        <v>8312303</v>
      </c>
      <c r="D13467" t="s">
        <v>40696</v>
      </c>
      <c r="F13467" t="s">
        <v>40697</v>
      </c>
      <c r="I13467" t="s">
        <v>40698</v>
      </c>
      <c r="J13467" t="s">
        <v>4132</v>
      </c>
      <c r="K13467" t="str">
        <f t="shared" si="212"/>
        <v>29063</v>
      </c>
      <c r="M13467" t="s">
        <v>18470</v>
      </c>
      <c r="N13467" t="str">
        <f t="shared" si="213"/>
        <v>1/28/2020 11:11:00 AM</v>
      </c>
      <c r="O13467" t="s">
        <v>40696</v>
      </c>
    </row>
    <row r="13468" spans="1:15" x14ac:dyDescent="0.25">
      <c r="A13468" t="str">
        <f>"3068915"</f>
        <v>3068915</v>
      </c>
      <c r="B13468" t="s">
        <v>40715</v>
      </c>
      <c r="C13468" t="str">
        <f t="shared" si="211"/>
        <v>8312303</v>
      </c>
      <c r="D13468" t="s">
        <v>40696</v>
      </c>
      <c r="F13468" t="s">
        <v>40697</v>
      </c>
      <c r="I13468" t="s">
        <v>40698</v>
      </c>
      <c r="J13468" t="s">
        <v>4132</v>
      </c>
      <c r="K13468" t="str">
        <f t="shared" si="212"/>
        <v>29063</v>
      </c>
      <c r="M13468" t="s">
        <v>18470</v>
      </c>
      <c r="N13468" t="str">
        <f t="shared" si="213"/>
        <v>1/28/2020 11:11:00 AM</v>
      </c>
      <c r="O13468" t="s">
        <v>40696</v>
      </c>
    </row>
    <row r="13469" spans="1:15" x14ac:dyDescent="0.25">
      <c r="A13469" t="str">
        <f>"3068916"</f>
        <v>3068916</v>
      </c>
      <c r="B13469" t="s">
        <v>40716</v>
      </c>
      <c r="C13469" t="str">
        <f t="shared" si="211"/>
        <v>8312303</v>
      </c>
      <c r="D13469" t="s">
        <v>40696</v>
      </c>
      <c r="F13469" t="s">
        <v>40697</v>
      </c>
      <c r="I13469" t="s">
        <v>40698</v>
      </c>
      <c r="J13469" t="s">
        <v>4132</v>
      </c>
      <c r="K13469" t="str">
        <f t="shared" si="212"/>
        <v>29063</v>
      </c>
      <c r="M13469" t="s">
        <v>18470</v>
      </c>
      <c r="N13469" t="str">
        <f t="shared" si="213"/>
        <v>1/28/2020 11:11:00 AM</v>
      </c>
      <c r="O13469" t="s">
        <v>40696</v>
      </c>
    </row>
    <row r="13470" spans="1:15" x14ac:dyDescent="0.25">
      <c r="A13470" t="str">
        <f>"3078314"</f>
        <v>3078314</v>
      </c>
      <c r="B13470" t="s">
        <v>40717</v>
      </c>
      <c r="C13470" t="str">
        <f t="shared" si="211"/>
        <v>8312303</v>
      </c>
      <c r="D13470" t="s">
        <v>40696</v>
      </c>
      <c r="F13470" t="s">
        <v>40697</v>
      </c>
      <c r="I13470" t="s">
        <v>40698</v>
      </c>
      <c r="J13470" t="s">
        <v>4132</v>
      </c>
      <c r="K13470" t="str">
        <f t="shared" si="212"/>
        <v>29063</v>
      </c>
      <c r="M13470" t="s">
        <v>18470</v>
      </c>
      <c r="N13470" t="str">
        <f t="shared" si="213"/>
        <v>1/28/2020 11:11:00 AM</v>
      </c>
      <c r="O13470" t="s">
        <v>40696</v>
      </c>
    </row>
    <row r="13471" spans="1:15" x14ac:dyDescent="0.25">
      <c r="A13471" t="str">
        <f>"3037179"</f>
        <v>3037179</v>
      </c>
      <c r="B13471" t="s">
        <v>40718</v>
      </c>
      <c r="C13471" t="str">
        <f t="shared" si="211"/>
        <v>8312303</v>
      </c>
      <c r="D13471" t="s">
        <v>40696</v>
      </c>
      <c r="F13471" t="s">
        <v>40697</v>
      </c>
      <c r="I13471" t="s">
        <v>40698</v>
      </c>
      <c r="J13471" t="s">
        <v>4132</v>
      </c>
      <c r="K13471" t="str">
        <f t="shared" si="212"/>
        <v>29063</v>
      </c>
      <c r="M13471" t="s">
        <v>18470</v>
      </c>
      <c r="N13471" t="str">
        <f t="shared" si="213"/>
        <v>1/28/2020 11:11:00 AM</v>
      </c>
      <c r="O13471" t="s">
        <v>40696</v>
      </c>
    </row>
    <row r="13472" spans="1:15" x14ac:dyDescent="0.25">
      <c r="A13472" t="str">
        <f>"3057036"</f>
        <v>3057036</v>
      </c>
      <c r="B13472" t="s">
        <v>40719</v>
      </c>
      <c r="C13472" t="str">
        <f t="shared" si="211"/>
        <v>8312303</v>
      </c>
      <c r="D13472" t="s">
        <v>40696</v>
      </c>
      <c r="F13472" t="s">
        <v>40697</v>
      </c>
      <c r="I13472" t="s">
        <v>40698</v>
      </c>
      <c r="J13472" t="s">
        <v>4132</v>
      </c>
      <c r="K13472" t="str">
        <f t="shared" si="212"/>
        <v>29063</v>
      </c>
      <c r="M13472" t="s">
        <v>18470</v>
      </c>
      <c r="N13472" t="str">
        <f t="shared" si="213"/>
        <v>1/28/2020 11:11:00 AM</v>
      </c>
      <c r="O13472" t="s">
        <v>40696</v>
      </c>
    </row>
    <row r="13473" spans="1:20" x14ac:dyDescent="0.25">
      <c r="A13473" t="str">
        <f>"3057033"</f>
        <v>3057033</v>
      </c>
      <c r="B13473" t="s">
        <v>40720</v>
      </c>
      <c r="C13473" t="str">
        <f t="shared" si="211"/>
        <v>8312303</v>
      </c>
      <c r="D13473" t="s">
        <v>40696</v>
      </c>
      <c r="F13473" t="s">
        <v>40697</v>
      </c>
      <c r="I13473" t="s">
        <v>40698</v>
      </c>
      <c r="J13473" t="s">
        <v>4132</v>
      </c>
      <c r="K13473" t="str">
        <f t="shared" si="212"/>
        <v>29063</v>
      </c>
      <c r="M13473" t="s">
        <v>18470</v>
      </c>
      <c r="N13473" t="str">
        <f t="shared" si="213"/>
        <v>1/28/2020 11:11:00 AM</v>
      </c>
      <c r="O13473" t="s">
        <v>40696</v>
      </c>
    </row>
    <row r="13474" spans="1:20" x14ac:dyDescent="0.25">
      <c r="A13474" t="str">
        <f>"3057512"</f>
        <v>3057512</v>
      </c>
      <c r="B13474" t="s">
        <v>40721</v>
      </c>
      <c r="C13474" t="str">
        <f t="shared" si="211"/>
        <v>8312303</v>
      </c>
      <c r="D13474" t="s">
        <v>40696</v>
      </c>
      <c r="F13474" t="s">
        <v>40697</v>
      </c>
      <c r="I13474" t="s">
        <v>40698</v>
      </c>
      <c r="J13474" t="s">
        <v>4132</v>
      </c>
      <c r="K13474" t="str">
        <f t="shared" si="212"/>
        <v>29063</v>
      </c>
      <c r="M13474" t="s">
        <v>18470</v>
      </c>
      <c r="N13474" t="str">
        <f t="shared" si="213"/>
        <v>1/28/2020 11:11:00 AM</v>
      </c>
      <c r="O13474" t="s">
        <v>40696</v>
      </c>
    </row>
    <row r="13475" spans="1:20" x14ac:dyDescent="0.25">
      <c r="A13475" t="str">
        <f>"3050292"</f>
        <v>3050292</v>
      </c>
      <c r="B13475" t="s">
        <v>40722</v>
      </c>
      <c r="C13475" t="str">
        <f>"8305461"</f>
        <v>8305461</v>
      </c>
      <c r="D13475" t="s">
        <v>40723</v>
      </c>
      <c r="E13475" t="s">
        <v>40724</v>
      </c>
      <c r="F13475" t="s">
        <v>40725</v>
      </c>
      <c r="I13475" t="s">
        <v>29</v>
      </c>
      <c r="J13475" t="s">
        <v>30</v>
      </c>
      <c r="K13475" t="str">
        <f>"27028"</f>
        <v>27028</v>
      </c>
      <c r="M13475" t="s">
        <v>18470</v>
      </c>
      <c r="N13475" t="str">
        <f>"1/28/2020 1:20:00 PM"</f>
        <v>1/28/2020 1:20:00 PM</v>
      </c>
      <c r="O13475" t="s">
        <v>40723</v>
      </c>
      <c r="T13475" t="s">
        <v>40724</v>
      </c>
    </row>
    <row r="13476" spans="1:20" x14ac:dyDescent="0.25">
      <c r="A13476" t="str">
        <f>"3049765"</f>
        <v>3049765</v>
      </c>
      <c r="B13476" t="s">
        <v>40726</v>
      </c>
      <c r="C13476" t="str">
        <f>"8305461"</f>
        <v>8305461</v>
      </c>
      <c r="D13476" t="s">
        <v>40723</v>
      </c>
      <c r="E13476" t="s">
        <v>40724</v>
      </c>
      <c r="F13476" t="s">
        <v>40725</v>
      </c>
      <c r="I13476" t="s">
        <v>29</v>
      </c>
      <c r="J13476" t="s">
        <v>30</v>
      </c>
      <c r="K13476" t="str">
        <f>"27028"</f>
        <v>27028</v>
      </c>
      <c r="M13476" t="s">
        <v>18470</v>
      </c>
      <c r="N13476" t="str">
        <f>"1/28/2020 1:20:00 PM"</f>
        <v>1/28/2020 1:20:00 PM</v>
      </c>
      <c r="O13476" t="s">
        <v>40723</v>
      </c>
      <c r="T13476" t="s">
        <v>40724</v>
      </c>
    </row>
    <row r="13477" spans="1:20" x14ac:dyDescent="0.25">
      <c r="A13477" t="str">
        <f>"3049703"</f>
        <v>3049703</v>
      </c>
      <c r="B13477" t="s">
        <v>40727</v>
      </c>
      <c r="C13477" t="str">
        <f>"8305461"</f>
        <v>8305461</v>
      </c>
      <c r="D13477" t="s">
        <v>40723</v>
      </c>
      <c r="E13477" t="s">
        <v>40724</v>
      </c>
      <c r="F13477" t="s">
        <v>40725</v>
      </c>
      <c r="I13477" t="s">
        <v>29</v>
      </c>
      <c r="J13477" t="s">
        <v>30</v>
      </c>
      <c r="K13477" t="str">
        <f>"27028"</f>
        <v>27028</v>
      </c>
      <c r="M13477" t="s">
        <v>18470</v>
      </c>
      <c r="N13477" t="str">
        <f>"1/28/2020 1:20:00 PM"</f>
        <v>1/28/2020 1:20:00 PM</v>
      </c>
      <c r="O13477" t="s">
        <v>40723</v>
      </c>
      <c r="T13477" t="s">
        <v>40724</v>
      </c>
    </row>
    <row r="13478" spans="1:20" x14ac:dyDescent="0.25">
      <c r="A13478" t="str">
        <f>"3051149"</f>
        <v>3051149</v>
      </c>
      <c r="B13478" t="s">
        <v>40728</v>
      </c>
      <c r="C13478" t="str">
        <f>"30884000"</f>
        <v>30884000</v>
      </c>
      <c r="D13478" t="s">
        <v>39229</v>
      </c>
      <c r="F13478" t="s">
        <v>40729</v>
      </c>
      <c r="I13478" t="s">
        <v>1107</v>
      </c>
      <c r="J13478" t="s">
        <v>30</v>
      </c>
      <c r="K13478" t="s">
        <v>40730</v>
      </c>
      <c r="M13478" t="s">
        <v>25733</v>
      </c>
      <c r="N13478" t="str">
        <f>"1/28/2020 2:41:00 PM"</f>
        <v>1/28/2020 2:41:00 PM</v>
      </c>
      <c r="O13478" t="s">
        <v>39229</v>
      </c>
    </row>
    <row r="13479" spans="1:20" x14ac:dyDescent="0.25">
      <c r="A13479" t="str">
        <f>"3045346"</f>
        <v>3045346</v>
      </c>
      <c r="B13479" t="s">
        <v>40731</v>
      </c>
      <c r="C13479" t="str">
        <f>"8301745"</f>
        <v>8301745</v>
      </c>
      <c r="D13479" t="s">
        <v>40732</v>
      </c>
      <c r="E13479" t="s">
        <v>40733</v>
      </c>
      <c r="F13479" t="s">
        <v>40734</v>
      </c>
      <c r="I13479" t="s">
        <v>29</v>
      </c>
      <c r="J13479" t="s">
        <v>30</v>
      </c>
      <c r="K13479" t="str">
        <f>"27028"</f>
        <v>27028</v>
      </c>
      <c r="M13479" t="s">
        <v>18470</v>
      </c>
      <c r="N13479" t="str">
        <f>"1/29/2020 9:20:00 AM"</f>
        <v>1/29/2020 9:20:00 AM</v>
      </c>
      <c r="O13479" t="s">
        <v>40732</v>
      </c>
      <c r="T13479" t="s">
        <v>40733</v>
      </c>
    </row>
    <row r="13480" spans="1:20" x14ac:dyDescent="0.25">
      <c r="A13480" t="str">
        <f>"3042794"</f>
        <v>3042794</v>
      </c>
      <c r="B13480" t="s">
        <v>40735</v>
      </c>
      <c r="C13480" t="str">
        <f>"8310398"</f>
        <v>8310398</v>
      </c>
      <c r="D13480" t="s">
        <v>40736</v>
      </c>
      <c r="E13480" t="s">
        <v>40737</v>
      </c>
      <c r="F13480" t="s">
        <v>40738</v>
      </c>
      <c r="I13480" t="s">
        <v>29</v>
      </c>
      <c r="J13480" t="s">
        <v>30</v>
      </c>
      <c r="K13480" t="s">
        <v>4422</v>
      </c>
      <c r="M13480" t="s">
        <v>25733</v>
      </c>
      <c r="N13480" t="str">
        <f>"1/29/2020 1:18:00 PM"</f>
        <v>1/29/2020 1:18:00 PM</v>
      </c>
      <c r="O13480" t="s">
        <v>40736</v>
      </c>
      <c r="T13480" t="s">
        <v>40737</v>
      </c>
    </row>
    <row r="13481" spans="1:20" x14ac:dyDescent="0.25">
      <c r="A13481" t="str">
        <f>"3043860"</f>
        <v>3043860</v>
      </c>
      <c r="B13481" t="s">
        <v>40739</v>
      </c>
      <c r="C13481" t="str">
        <f>"54303000"</f>
        <v>54303000</v>
      </c>
      <c r="D13481" t="s">
        <v>40692</v>
      </c>
      <c r="F13481" t="str">
        <f>"C/O WILLIAM E HOLLAN"</f>
        <v>C/O WILLIAM E HOLLAN</v>
      </c>
      <c r="G13481" t="s">
        <v>40693</v>
      </c>
      <c r="I13481" t="s">
        <v>471</v>
      </c>
      <c r="J13481" t="s">
        <v>30</v>
      </c>
      <c r="K13481" t="s">
        <v>40694</v>
      </c>
      <c r="M13481" t="s">
        <v>18479</v>
      </c>
      <c r="N13481" t="str">
        <f>"1/28/2020 10:36:00 AM"</f>
        <v>1/28/2020 10:36:00 AM</v>
      </c>
      <c r="O13481" t="s">
        <v>40692</v>
      </c>
    </row>
    <row r="13482" spans="1:20" x14ac:dyDescent="0.25">
      <c r="A13482" t="str">
        <f>"3043861"</f>
        <v>3043861</v>
      </c>
      <c r="B13482" t="s">
        <v>40740</v>
      </c>
      <c r="C13482" t="str">
        <f>"54303000"</f>
        <v>54303000</v>
      </c>
      <c r="D13482" t="s">
        <v>40692</v>
      </c>
      <c r="F13482" t="str">
        <f>"C/O WILLIAM E HOLLAN"</f>
        <v>C/O WILLIAM E HOLLAN</v>
      </c>
      <c r="G13482" t="s">
        <v>40693</v>
      </c>
      <c r="I13482" t="s">
        <v>471</v>
      </c>
      <c r="J13482" t="s">
        <v>30</v>
      </c>
      <c r="K13482" t="s">
        <v>40694</v>
      </c>
      <c r="M13482" t="s">
        <v>18479</v>
      </c>
      <c r="N13482" t="str">
        <f>"1/28/2020 10:36:00 AM"</f>
        <v>1/28/2020 10:36:00 AM</v>
      </c>
      <c r="O13482" t="s">
        <v>40692</v>
      </c>
    </row>
    <row r="13483" spans="1:20" x14ac:dyDescent="0.25">
      <c r="A13483" t="str">
        <f>"3043849"</f>
        <v>3043849</v>
      </c>
      <c r="B13483" t="s">
        <v>40741</v>
      </c>
      <c r="C13483" t="str">
        <f>"54303000"</f>
        <v>54303000</v>
      </c>
      <c r="D13483" t="s">
        <v>40692</v>
      </c>
      <c r="F13483" t="str">
        <f>"C/O WILLIAM E HOLLAN"</f>
        <v>C/O WILLIAM E HOLLAN</v>
      </c>
      <c r="G13483" t="s">
        <v>40693</v>
      </c>
      <c r="I13483" t="s">
        <v>471</v>
      </c>
      <c r="J13483" t="s">
        <v>30</v>
      </c>
      <c r="K13483" t="s">
        <v>40694</v>
      </c>
      <c r="M13483" t="s">
        <v>18479</v>
      </c>
      <c r="N13483" t="str">
        <f>"1/28/2020 10:36:00 AM"</f>
        <v>1/28/2020 10:36:00 AM</v>
      </c>
      <c r="O13483" t="s">
        <v>40692</v>
      </c>
    </row>
    <row r="13484" spans="1:20" x14ac:dyDescent="0.25">
      <c r="A13484" t="str">
        <f>"3043857"</f>
        <v>3043857</v>
      </c>
      <c r="B13484" t="s">
        <v>40742</v>
      </c>
      <c r="C13484" t="str">
        <f>"54303000"</f>
        <v>54303000</v>
      </c>
      <c r="D13484" t="s">
        <v>40692</v>
      </c>
      <c r="F13484" t="str">
        <f>"C/O WILLIAM E HOLLAN"</f>
        <v>C/O WILLIAM E HOLLAN</v>
      </c>
      <c r="G13484" t="s">
        <v>40693</v>
      </c>
      <c r="I13484" t="s">
        <v>471</v>
      </c>
      <c r="J13484" t="s">
        <v>30</v>
      </c>
      <c r="K13484" t="s">
        <v>40694</v>
      </c>
      <c r="M13484" t="s">
        <v>18479</v>
      </c>
      <c r="N13484" t="str">
        <f>"1/28/2020 10:36:00 AM"</f>
        <v>1/28/2020 10:36:00 AM</v>
      </c>
      <c r="O13484" t="s">
        <v>40692</v>
      </c>
    </row>
    <row r="13485" spans="1:20" x14ac:dyDescent="0.25">
      <c r="A13485" t="str">
        <f>"3043846"</f>
        <v>3043846</v>
      </c>
      <c r="B13485" t="s">
        <v>40743</v>
      </c>
      <c r="C13485" t="str">
        <f>"54303000"</f>
        <v>54303000</v>
      </c>
      <c r="D13485" t="s">
        <v>40692</v>
      </c>
      <c r="F13485" t="str">
        <f>"C/O WILLIAM E HOLLAN"</f>
        <v>C/O WILLIAM E HOLLAN</v>
      </c>
      <c r="G13485" t="s">
        <v>40693</v>
      </c>
      <c r="I13485" t="s">
        <v>471</v>
      </c>
      <c r="J13485" t="s">
        <v>30</v>
      </c>
      <c r="K13485" t="s">
        <v>40694</v>
      </c>
      <c r="M13485" t="s">
        <v>18479</v>
      </c>
      <c r="N13485" t="str">
        <f>"1/28/2020 10:36:00 AM"</f>
        <v>1/28/2020 10:36:00 AM</v>
      </c>
      <c r="O13485" t="s">
        <v>40692</v>
      </c>
    </row>
    <row r="13486" spans="1:20" x14ac:dyDescent="0.25">
      <c r="A13486" t="str">
        <f>"3060397"</f>
        <v>3060397</v>
      </c>
      <c r="B13486" t="s">
        <v>40744</v>
      </c>
      <c r="C13486" t="str">
        <f>"8310471"</f>
        <v>8310471</v>
      </c>
      <c r="D13486" t="s">
        <v>40745</v>
      </c>
      <c r="E13486" t="s">
        <v>40746</v>
      </c>
      <c r="F13486" t="s">
        <v>40747</v>
      </c>
      <c r="I13486" t="s">
        <v>29</v>
      </c>
      <c r="J13486" t="s">
        <v>30</v>
      </c>
      <c r="K13486" t="s">
        <v>40748</v>
      </c>
      <c r="M13486" t="s">
        <v>18479</v>
      </c>
      <c r="N13486" t="str">
        <f>"1/28/2020 11:00:00 AM"</f>
        <v>1/28/2020 11:00:00 AM</v>
      </c>
      <c r="O13486" t="s">
        <v>40745</v>
      </c>
      <c r="T13486" t="s">
        <v>40746</v>
      </c>
    </row>
    <row r="13487" spans="1:20" x14ac:dyDescent="0.25">
      <c r="A13487" t="str">
        <f>"3058647"</f>
        <v>3058647</v>
      </c>
      <c r="B13487" t="s">
        <v>40749</v>
      </c>
      <c r="C13487" t="str">
        <f t="shared" ref="C13487:C13496" si="214">"8312303"</f>
        <v>8312303</v>
      </c>
      <c r="D13487" t="s">
        <v>40696</v>
      </c>
      <c r="F13487" t="s">
        <v>40697</v>
      </c>
      <c r="I13487" t="s">
        <v>40698</v>
      </c>
      <c r="J13487" t="s">
        <v>4132</v>
      </c>
      <c r="K13487" t="str">
        <f t="shared" ref="K13487:K13496" si="215">"29063"</f>
        <v>29063</v>
      </c>
      <c r="M13487" t="s">
        <v>18470</v>
      </c>
      <c r="N13487" t="str">
        <f t="shared" ref="N13487:N13496" si="216">"1/28/2020 11:11:00 AM"</f>
        <v>1/28/2020 11:11:00 AM</v>
      </c>
      <c r="O13487" t="s">
        <v>40696</v>
      </c>
    </row>
    <row r="13488" spans="1:20" x14ac:dyDescent="0.25">
      <c r="A13488" t="str">
        <f>"3058663"</f>
        <v>3058663</v>
      </c>
      <c r="B13488" t="s">
        <v>40750</v>
      </c>
      <c r="C13488" t="str">
        <f t="shared" si="214"/>
        <v>8312303</v>
      </c>
      <c r="D13488" t="s">
        <v>40696</v>
      </c>
      <c r="F13488" t="s">
        <v>40697</v>
      </c>
      <c r="I13488" t="s">
        <v>40698</v>
      </c>
      <c r="J13488" t="s">
        <v>4132</v>
      </c>
      <c r="K13488" t="str">
        <f t="shared" si="215"/>
        <v>29063</v>
      </c>
      <c r="M13488" t="s">
        <v>18470</v>
      </c>
      <c r="N13488" t="str">
        <f t="shared" si="216"/>
        <v>1/28/2020 11:11:00 AM</v>
      </c>
      <c r="O13488" t="s">
        <v>40696</v>
      </c>
    </row>
    <row r="13489" spans="1:20" x14ac:dyDescent="0.25">
      <c r="A13489" t="str">
        <f>"3061867"</f>
        <v>3061867</v>
      </c>
      <c r="B13489" t="s">
        <v>40751</v>
      </c>
      <c r="C13489" t="str">
        <f t="shared" si="214"/>
        <v>8312303</v>
      </c>
      <c r="D13489" t="s">
        <v>40696</v>
      </c>
      <c r="F13489" t="s">
        <v>40697</v>
      </c>
      <c r="I13489" t="s">
        <v>40698</v>
      </c>
      <c r="J13489" t="s">
        <v>4132</v>
      </c>
      <c r="K13489" t="str">
        <f t="shared" si="215"/>
        <v>29063</v>
      </c>
      <c r="M13489" t="s">
        <v>18470</v>
      </c>
      <c r="N13489" t="str">
        <f t="shared" si="216"/>
        <v>1/28/2020 11:11:00 AM</v>
      </c>
      <c r="O13489" t="s">
        <v>40696</v>
      </c>
    </row>
    <row r="13490" spans="1:20" x14ac:dyDescent="0.25">
      <c r="A13490" t="str">
        <f>"3061868"</f>
        <v>3061868</v>
      </c>
      <c r="B13490" t="s">
        <v>40752</v>
      </c>
      <c r="C13490" t="str">
        <f t="shared" si="214"/>
        <v>8312303</v>
      </c>
      <c r="D13490" t="s">
        <v>40696</v>
      </c>
      <c r="F13490" t="s">
        <v>40697</v>
      </c>
      <c r="I13490" t="s">
        <v>40698</v>
      </c>
      <c r="J13490" t="s">
        <v>4132</v>
      </c>
      <c r="K13490" t="str">
        <f t="shared" si="215"/>
        <v>29063</v>
      </c>
      <c r="M13490" t="s">
        <v>18470</v>
      </c>
      <c r="N13490" t="str">
        <f t="shared" si="216"/>
        <v>1/28/2020 11:11:00 AM</v>
      </c>
      <c r="O13490" t="s">
        <v>40696</v>
      </c>
    </row>
    <row r="13491" spans="1:20" x14ac:dyDescent="0.25">
      <c r="A13491" t="str">
        <f>"3062326"</f>
        <v>3062326</v>
      </c>
      <c r="B13491" t="s">
        <v>40753</v>
      </c>
      <c r="C13491" t="str">
        <f t="shared" si="214"/>
        <v>8312303</v>
      </c>
      <c r="D13491" t="s">
        <v>40696</v>
      </c>
      <c r="F13491" t="s">
        <v>40697</v>
      </c>
      <c r="I13491" t="s">
        <v>40698</v>
      </c>
      <c r="J13491" t="s">
        <v>4132</v>
      </c>
      <c r="K13491" t="str">
        <f t="shared" si="215"/>
        <v>29063</v>
      </c>
      <c r="M13491" t="s">
        <v>18470</v>
      </c>
      <c r="N13491" t="str">
        <f t="shared" si="216"/>
        <v>1/28/2020 11:11:00 AM</v>
      </c>
      <c r="O13491" t="s">
        <v>40696</v>
      </c>
    </row>
    <row r="13492" spans="1:20" x14ac:dyDescent="0.25">
      <c r="A13492" t="str">
        <f>"3062327"</f>
        <v>3062327</v>
      </c>
      <c r="B13492" t="s">
        <v>40754</v>
      </c>
      <c r="C13492" t="str">
        <f t="shared" si="214"/>
        <v>8312303</v>
      </c>
      <c r="D13492" t="s">
        <v>40696</v>
      </c>
      <c r="F13492" t="s">
        <v>40697</v>
      </c>
      <c r="I13492" t="s">
        <v>40698</v>
      </c>
      <c r="J13492" t="s">
        <v>4132</v>
      </c>
      <c r="K13492" t="str">
        <f t="shared" si="215"/>
        <v>29063</v>
      </c>
      <c r="M13492" t="s">
        <v>18470</v>
      </c>
      <c r="N13492" t="str">
        <f t="shared" si="216"/>
        <v>1/28/2020 11:11:00 AM</v>
      </c>
      <c r="O13492" t="s">
        <v>40696</v>
      </c>
    </row>
    <row r="13493" spans="1:20" x14ac:dyDescent="0.25">
      <c r="A13493" t="str">
        <f>"3062328"</f>
        <v>3062328</v>
      </c>
      <c r="B13493" t="s">
        <v>40755</v>
      </c>
      <c r="C13493" t="str">
        <f t="shared" si="214"/>
        <v>8312303</v>
      </c>
      <c r="D13493" t="s">
        <v>40696</v>
      </c>
      <c r="F13493" t="s">
        <v>40697</v>
      </c>
      <c r="I13493" t="s">
        <v>40698</v>
      </c>
      <c r="J13493" t="s">
        <v>4132</v>
      </c>
      <c r="K13493" t="str">
        <f t="shared" si="215"/>
        <v>29063</v>
      </c>
      <c r="M13493" t="s">
        <v>18470</v>
      </c>
      <c r="N13493" t="str">
        <f t="shared" si="216"/>
        <v>1/28/2020 11:11:00 AM</v>
      </c>
      <c r="O13493" t="s">
        <v>40696</v>
      </c>
    </row>
    <row r="13494" spans="1:20" x14ac:dyDescent="0.25">
      <c r="A13494" t="str">
        <f>"3062246"</f>
        <v>3062246</v>
      </c>
      <c r="B13494" t="s">
        <v>40756</v>
      </c>
      <c r="C13494" t="str">
        <f t="shared" si="214"/>
        <v>8312303</v>
      </c>
      <c r="D13494" t="s">
        <v>40696</v>
      </c>
      <c r="F13494" t="s">
        <v>40697</v>
      </c>
      <c r="I13494" t="s">
        <v>40698</v>
      </c>
      <c r="J13494" t="s">
        <v>4132</v>
      </c>
      <c r="K13494" t="str">
        <f t="shared" si="215"/>
        <v>29063</v>
      </c>
      <c r="M13494" t="s">
        <v>18470</v>
      </c>
      <c r="N13494" t="str">
        <f t="shared" si="216"/>
        <v>1/28/2020 11:11:00 AM</v>
      </c>
      <c r="O13494" t="s">
        <v>40696</v>
      </c>
    </row>
    <row r="13495" spans="1:20" x14ac:dyDescent="0.25">
      <c r="A13495" t="str">
        <f>"3062249"</f>
        <v>3062249</v>
      </c>
      <c r="B13495" t="s">
        <v>40757</v>
      </c>
      <c r="C13495" t="str">
        <f t="shared" si="214"/>
        <v>8312303</v>
      </c>
      <c r="D13495" t="s">
        <v>40696</v>
      </c>
      <c r="F13495" t="s">
        <v>40697</v>
      </c>
      <c r="I13495" t="s">
        <v>40698</v>
      </c>
      <c r="J13495" t="s">
        <v>4132</v>
      </c>
      <c r="K13495" t="str">
        <f t="shared" si="215"/>
        <v>29063</v>
      </c>
      <c r="M13495" t="s">
        <v>18470</v>
      </c>
      <c r="N13495" t="str">
        <f t="shared" si="216"/>
        <v>1/28/2020 11:11:00 AM</v>
      </c>
      <c r="O13495" t="s">
        <v>40696</v>
      </c>
    </row>
    <row r="13496" spans="1:20" x14ac:dyDescent="0.25">
      <c r="A13496" t="str">
        <f>"3062250"</f>
        <v>3062250</v>
      </c>
      <c r="B13496" t="s">
        <v>40758</v>
      </c>
      <c r="C13496" t="str">
        <f t="shared" si="214"/>
        <v>8312303</v>
      </c>
      <c r="D13496" t="s">
        <v>40696</v>
      </c>
      <c r="F13496" t="s">
        <v>40697</v>
      </c>
      <c r="I13496" t="s">
        <v>40698</v>
      </c>
      <c r="J13496" t="s">
        <v>4132</v>
      </c>
      <c r="K13496" t="str">
        <f t="shared" si="215"/>
        <v>29063</v>
      </c>
      <c r="M13496" t="s">
        <v>18470</v>
      </c>
      <c r="N13496" t="str">
        <f t="shared" si="216"/>
        <v>1/28/2020 11:11:00 AM</v>
      </c>
      <c r="O13496" t="s">
        <v>40696</v>
      </c>
    </row>
    <row r="13497" spans="1:20" x14ac:dyDescent="0.25">
      <c r="A13497" t="str">
        <f>"3043312"</f>
        <v>3043312</v>
      </c>
      <c r="B13497" t="s">
        <v>40759</v>
      </c>
      <c r="C13497" t="str">
        <f>"82529183"</f>
        <v>82529183</v>
      </c>
      <c r="D13497" t="s">
        <v>40760</v>
      </c>
      <c r="F13497" t="s">
        <v>40761</v>
      </c>
      <c r="I13497" t="s">
        <v>29</v>
      </c>
      <c r="J13497" t="s">
        <v>30</v>
      </c>
      <c r="K13497" t="s">
        <v>31</v>
      </c>
      <c r="M13497" t="s">
        <v>18470</v>
      </c>
      <c r="N13497" t="str">
        <f>"1/27/2020 12:55:00 PM"</f>
        <v>1/27/2020 12:55:00 PM</v>
      </c>
      <c r="O13497" t="s">
        <v>40760</v>
      </c>
    </row>
    <row r="13498" spans="1:20" x14ac:dyDescent="0.25">
      <c r="A13498" t="str">
        <f>"3057847"</f>
        <v>3057847</v>
      </c>
      <c r="B13498" t="s">
        <v>40762</v>
      </c>
      <c r="C13498" t="str">
        <f>"8311159"</f>
        <v>8311159</v>
      </c>
      <c r="D13498" t="s">
        <v>40763</v>
      </c>
      <c r="F13498" t="s">
        <v>40764</v>
      </c>
      <c r="I13498" t="s">
        <v>29</v>
      </c>
      <c r="J13498" t="s">
        <v>30</v>
      </c>
      <c r="K13498" t="str">
        <f>"27028"</f>
        <v>27028</v>
      </c>
      <c r="M13498" t="s">
        <v>18470</v>
      </c>
      <c r="N13498" t="str">
        <f>"1/27/2020 12:57:00 PM"</f>
        <v>1/27/2020 12:57:00 PM</v>
      </c>
      <c r="O13498" t="s">
        <v>40763</v>
      </c>
    </row>
    <row r="13499" spans="1:20" x14ac:dyDescent="0.25">
      <c r="A13499" t="str">
        <f>"3047922"</f>
        <v>3047922</v>
      </c>
      <c r="B13499" t="s">
        <v>40765</v>
      </c>
      <c r="C13499" t="str">
        <f>"8310389"</f>
        <v>8310389</v>
      </c>
      <c r="D13499" t="s">
        <v>40766</v>
      </c>
      <c r="F13499" t="s">
        <v>40767</v>
      </c>
      <c r="I13499" t="s">
        <v>29</v>
      </c>
      <c r="J13499" t="s">
        <v>30</v>
      </c>
      <c r="K13499" t="s">
        <v>7995</v>
      </c>
      <c r="M13499" t="s">
        <v>18479</v>
      </c>
      <c r="N13499" t="str">
        <f>"1/28/2020 9:26:00 AM"</f>
        <v>1/28/2020 9:26:00 AM</v>
      </c>
      <c r="O13499" t="s">
        <v>40766</v>
      </c>
    </row>
    <row r="13500" spans="1:20" x14ac:dyDescent="0.25">
      <c r="A13500" t="str">
        <f>"3056747"</f>
        <v>3056747</v>
      </c>
      <c r="B13500" t="s">
        <v>40768</v>
      </c>
      <c r="C13500" t="str">
        <f>"8311798"</f>
        <v>8311798</v>
      </c>
      <c r="D13500" t="s">
        <v>40769</v>
      </c>
      <c r="F13500" t="s">
        <v>40770</v>
      </c>
      <c r="I13500" t="s">
        <v>29</v>
      </c>
      <c r="J13500" t="s">
        <v>30</v>
      </c>
      <c r="K13500" t="str">
        <f>"27028"</f>
        <v>27028</v>
      </c>
      <c r="M13500" t="s">
        <v>18470</v>
      </c>
      <c r="N13500" t="str">
        <f>"1/28/2020 10:06:00 AM"</f>
        <v>1/28/2020 10:06:00 AM</v>
      </c>
      <c r="O13500" t="s">
        <v>40769</v>
      </c>
    </row>
    <row r="13501" spans="1:20" x14ac:dyDescent="0.25">
      <c r="A13501" t="str">
        <f>"3043682"</f>
        <v>3043682</v>
      </c>
      <c r="B13501" t="s">
        <v>40771</v>
      </c>
      <c r="C13501" t="str">
        <f>"8306306"</f>
        <v>8306306</v>
      </c>
      <c r="D13501" t="s">
        <v>40772</v>
      </c>
      <c r="E13501" t="s">
        <v>40773</v>
      </c>
      <c r="F13501" t="s">
        <v>40774</v>
      </c>
      <c r="I13501" t="s">
        <v>29</v>
      </c>
      <c r="J13501" t="s">
        <v>30</v>
      </c>
      <c r="K13501" t="str">
        <f>"27028"</f>
        <v>27028</v>
      </c>
      <c r="M13501" t="s">
        <v>25733</v>
      </c>
      <c r="N13501" t="str">
        <f>"1/28/2020 10:25:00 AM"</f>
        <v>1/28/2020 10:25:00 AM</v>
      </c>
      <c r="O13501" t="s">
        <v>40772</v>
      </c>
      <c r="T13501" t="s">
        <v>40773</v>
      </c>
    </row>
    <row r="13502" spans="1:20" x14ac:dyDescent="0.25">
      <c r="A13502" t="str">
        <f>"3048312"</f>
        <v>3048312</v>
      </c>
      <c r="B13502" t="s">
        <v>40775</v>
      </c>
      <c r="C13502" t="str">
        <f>"17946750"</f>
        <v>17946750</v>
      </c>
      <c r="D13502" t="s">
        <v>40776</v>
      </c>
      <c r="E13502" t="s">
        <v>40777</v>
      </c>
      <c r="F13502" t="s">
        <v>40778</v>
      </c>
      <c r="I13502" t="s">
        <v>29</v>
      </c>
      <c r="J13502" t="s">
        <v>30</v>
      </c>
      <c r="K13502" t="s">
        <v>38282</v>
      </c>
      <c r="M13502" t="s">
        <v>25733</v>
      </c>
      <c r="N13502" t="str">
        <f>"1/28/2020 10:29:00 AM"</f>
        <v>1/28/2020 10:29:00 AM</v>
      </c>
      <c r="O13502" t="s">
        <v>40776</v>
      </c>
      <c r="T13502" t="s">
        <v>40777</v>
      </c>
    </row>
    <row r="13503" spans="1:20" x14ac:dyDescent="0.25">
      <c r="A13503" t="str">
        <f>"3062251"</f>
        <v>3062251</v>
      </c>
      <c r="B13503" t="s">
        <v>40779</v>
      </c>
      <c r="C13503" t="str">
        <f>"8312303"</f>
        <v>8312303</v>
      </c>
      <c r="D13503" t="s">
        <v>40696</v>
      </c>
      <c r="F13503" t="s">
        <v>40697</v>
      </c>
      <c r="I13503" t="s">
        <v>40698</v>
      </c>
      <c r="J13503" t="s">
        <v>4132</v>
      </c>
      <c r="K13503" t="str">
        <f>"29063"</f>
        <v>29063</v>
      </c>
      <c r="M13503" t="s">
        <v>18470</v>
      </c>
      <c r="N13503" t="str">
        <f>"1/28/2020 11:11:00 AM"</f>
        <v>1/28/2020 11:11:00 AM</v>
      </c>
      <c r="O13503" t="s">
        <v>40696</v>
      </c>
    </row>
    <row r="13504" spans="1:20" x14ac:dyDescent="0.25">
      <c r="A13504" t="str">
        <f>"3062230"</f>
        <v>3062230</v>
      </c>
      <c r="B13504" t="s">
        <v>40780</v>
      </c>
      <c r="C13504" t="str">
        <f>"8312303"</f>
        <v>8312303</v>
      </c>
      <c r="D13504" t="s">
        <v>40696</v>
      </c>
      <c r="F13504" t="s">
        <v>40697</v>
      </c>
      <c r="I13504" t="s">
        <v>40698</v>
      </c>
      <c r="J13504" t="s">
        <v>4132</v>
      </c>
      <c r="K13504" t="str">
        <f>"29063"</f>
        <v>29063</v>
      </c>
      <c r="M13504" t="s">
        <v>18470</v>
      </c>
      <c r="N13504" t="str">
        <f>"1/28/2020 11:11:00 AM"</f>
        <v>1/28/2020 11:11:00 AM</v>
      </c>
      <c r="O13504" t="s">
        <v>40696</v>
      </c>
    </row>
    <row r="13505" spans="1:20" x14ac:dyDescent="0.25">
      <c r="A13505" t="str">
        <f>"3055449"</f>
        <v>3055449</v>
      </c>
      <c r="B13505" t="s">
        <v>40781</v>
      </c>
      <c r="C13505" t="str">
        <f>"8312907"</f>
        <v>8312907</v>
      </c>
      <c r="D13505" t="s">
        <v>40782</v>
      </c>
      <c r="F13505" t="s">
        <v>40783</v>
      </c>
      <c r="I13505" t="s">
        <v>1176</v>
      </c>
      <c r="J13505" t="s">
        <v>30</v>
      </c>
      <c r="K13505" t="s">
        <v>40784</v>
      </c>
      <c r="M13505" t="s">
        <v>17861</v>
      </c>
      <c r="N13505" t="str">
        <f>"1/30/2020 9:11:00 AM"</f>
        <v>1/30/2020 9:11:00 AM</v>
      </c>
      <c r="O13505" t="s">
        <v>40782</v>
      </c>
    </row>
    <row r="13506" spans="1:20" x14ac:dyDescent="0.25">
      <c r="A13506" t="str">
        <f>"3064600"</f>
        <v>3064600</v>
      </c>
      <c r="B13506" t="s">
        <v>40785</v>
      </c>
      <c r="C13506" t="str">
        <f>"260440"</f>
        <v>260440</v>
      </c>
      <c r="D13506" t="s">
        <v>40786</v>
      </c>
      <c r="E13506" t="s">
        <v>40787</v>
      </c>
      <c r="F13506" t="s">
        <v>40788</v>
      </c>
      <c r="I13506" t="s">
        <v>184</v>
      </c>
      <c r="J13506" t="s">
        <v>30</v>
      </c>
      <c r="K13506" t="s">
        <v>185</v>
      </c>
      <c r="M13506" t="s">
        <v>36935</v>
      </c>
      <c r="N13506" t="str">
        <f>"1/30/2020 2:16:00 PM"</f>
        <v>1/30/2020 2:16:00 PM</v>
      </c>
      <c r="O13506" t="s">
        <v>40786</v>
      </c>
      <c r="T13506" t="s">
        <v>40787</v>
      </c>
    </row>
    <row r="13507" spans="1:20" x14ac:dyDescent="0.25">
      <c r="A13507" t="str">
        <f>"3037194"</f>
        <v>3037194</v>
      </c>
      <c r="B13507" t="s">
        <v>40789</v>
      </c>
      <c r="C13507" t="str">
        <f>"13545000"</f>
        <v>13545000</v>
      </c>
      <c r="D13507" t="s">
        <v>40790</v>
      </c>
      <c r="F13507" t="s">
        <v>40791</v>
      </c>
      <c r="I13507" t="s">
        <v>184</v>
      </c>
      <c r="J13507" t="s">
        <v>30</v>
      </c>
      <c r="K13507" t="s">
        <v>185</v>
      </c>
      <c r="M13507" t="s">
        <v>18479</v>
      </c>
      <c r="N13507" t="str">
        <f>"1/31/2020 1:59:00 PM"</f>
        <v>1/31/2020 1:59:00 PM</v>
      </c>
      <c r="O13507" t="s">
        <v>40790</v>
      </c>
    </row>
    <row r="13508" spans="1:20" x14ac:dyDescent="0.25">
      <c r="A13508" t="str">
        <f>"3037340"</f>
        <v>3037340</v>
      </c>
      <c r="B13508" t="s">
        <v>40792</v>
      </c>
      <c r="C13508" t="str">
        <f>"13545000"</f>
        <v>13545000</v>
      </c>
      <c r="D13508" t="s">
        <v>40790</v>
      </c>
      <c r="F13508" t="s">
        <v>40791</v>
      </c>
      <c r="I13508" t="s">
        <v>184</v>
      </c>
      <c r="J13508" t="s">
        <v>30</v>
      </c>
      <c r="K13508" t="s">
        <v>185</v>
      </c>
      <c r="M13508" t="s">
        <v>18479</v>
      </c>
      <c r="N13508" t="str">
        <f>"1/31/2020 1:59:00 PM"</f>
        <v>1/31/2020 1:59:00 PM</v>
      </c>
      <c r="O13508" t="s">
        <v>40790</v>
      </c>
    </row>
    <row r="13509" spans="1:20" x14ac:dyDescent="0.25">
      <c r="A13509" t="str">
        <f>"3045045"</f>
        <v>3045045</v>
      </c>
      <c r="B13509" t="s">
        <v>40793</v>
      </c>
      <c r="C13509" t="str">
        <f>"8312910"</f>
        <v>8312910</v>
      </c>
      <c r="D13509" t="s">
        <v>40794</v>
      </c>
      <c r="F13509" t="s">
        <v>40795</v>
      </c>
      <c r="I13509" t="s">
        <v>29</v>
      </c>
      <c r="J13509" t="s">
        <v>30</v>
      </c>
      <c r="K13509" t="s">
        <v>36600</v>
      </c>
      <c r="M13509" t="s">
        <v>17861</v>
      </c>
      <c r="N13509" t="str">
        <f>"2/3/2020 11:19:00 AM"</f>
        <v>2/3/2020 11:19:00 AM</v>
      </c>
      <c r="O13509" t="s">
        <v>40794</v>
      </c>
    </row>
    <row r="13510" spans="1:20" x14ac:dyDescent="0.25">
      <c r="A13510" t="str">
        <f>"3046006"</f>
        <v>3046006</v>
      </c>
      <c r="B13510" t="s">
        <v>40796</v>
      </c>
      <c r="C13510" t="str">
        <f>"8312912"</f>
        <v>8312912</v>
      </c>
      <c r="D13510" t="s">
        <v>40797</v>
      </c>
      <c r="F13510" t="s">
        <v>40798</v>
      </c>
      <c r="I13510" t="s">
        <v>29</v>
      </c>
      <c r="J13510" t="s">
        <v>30</v>
      </c>
      <c r="K13510" t="s">
        <v>40799</v>
      </c>
      <c r="M13510" t="s">
        <v>17861</v>
      </c>
      <c r="N13510" t="str">
        <f>"2/3/2020 1:16:00 PM"</f>
        <v>2/3/2020 1:16:00 PM</v>
      </c>
      <c r="O13510" t="s">
        <v>40797</v>
      </c>
    </row>
    <row r="13511" spans="1:20" x14ac:dyDescent="0.25">
      <c r="A13511" t="str">
        <f>"3039675"</f>
        <v>3039675</v>
      </c>
      <c r="B13511" t="s">
        <v>40800</v>
      </c>
      <c r="C13511" t="str">
        <f>"8312914"</f>
        <v>8312914</v>
      </c>
      <c r="D13511" t="s">
        <v>40801</v>
      </c>
      <c r="E13511" t="s">
        <v>40802</v>
      </c>
      <c r="F13511" t="s">
        <v>40803</v>
      </c>
      <c r="I13511" t="s">
        <v>29</v>
      </c>
      <c r="J13511" t="s">
        <v>30</v>
      </c>
      <c r="K13511" t="s">
        <v>40804</v>
      </c>
      <c r="M13511" t="s">
        <v>17861</v>
      </c>
      <c r="N13511" t="str">
        <f>"2/3/2020 2:13:00 PM"</f>
        <v>2/3/2020 2:13:00 PM</v>
      </c>
      <c r="O13511" t="s">
        <v>40801</v>
      </c>
      <c r="T13511" t="s">
        <v>40802</v>
      </c>
    </row>
    <row r="13512" spans="1:20" x14ac:dyDescent="0.25">
      <c r="A13512" t="str">
        <f>"3039591"</f>
        <v>3039591</v>
      </c>
      <c r="B13512" t="s">
        <v>40805</v>
      </c>
      <c r="C13512" t="str">
        <f>"8312915"</f>
        <v>8312915</v>
      </c>
      <c r="D13512" t="s">
        <v>40806</v>
      </c>
      <c r="F13512" t="s">
        <v>40807</v>
      </c>
      <c r="I13512" t="s">
        <v>29</v>
      </c>
      <c r="J13512" t="s">
        <v>30</v>
      </c>
      <c r="K13512" t="s">
        <v>40808</v>
      </c>
      <c r="M13512" t="s">
        <v>17861</v>
      </c>
      <c r="N13512" t="str">
        <f>"2/3/2020 2:51:00 PM"</f>
        <v>2/3/2020 2:51:00 PM</v>
      </c>
      <c r="O13512" t="s">
        <v>40806</v>
      </c>
    </row>
    <row r="13513" spans="1:20" x14ac:dyDescent="0.25">
      <c r="A13513" t="str">
        <f>"3039328"</f>
        <v>3039328</v>
      </c>
      <c r="B13513" t="s">
        <v>40809</v>
      </c>
      <c r="C13513" t="str">
        <f>"8312916"</f>
        <v>8312916</v>
      </c>
      <c r="D13513" t="s">
        <v>40810</v>
      </c>
      <c r="F13513" t="s">
        <v>40811</v>
      </c>
      <c r="I13513" t="s">
        <v>2280</v>
      </c>
      <c r="J13513" t="s">
        <v>30</v>
      </c>
      <c r="K13513" t="s">
        <v>40812</v>
      </c>
      <c r="M13513" t="s">
        <v>17861</v>
      </c>
      <c r="N13513" t="str">
        <f>"2/3/2020 3:07:00 PM"</f>
        <v>2/3/2020 3:07:00 PM</v>
      </c>
      <c r="O13513" t="s">
        <v>40810</v>
      </c>
    </row>
    <row r="13514" spans="1:20" x14ac:dyDescent="0.25">
      <c r="A13514" t="str">
        <f>"3039700"</f>
        <v>3039700</v>
      </c>
      <c r="B13514" t="s">
        <v>40813</v>
      </c>
      <c r="C13514" t="str">
        <f>"8312918"</f>
        <v>8312918</v>
      </c>
      <c r="D13514" t="s">
        <v>40814</v>
      </c>
      <c r="E13514" t="s">
        <v>40815</v>
      </c>
      <c r="F13514" t="s">
        <v>40816</v>
      </c>
      <c r="I13514" t="s">
        <v>29</v>
      </c>
      <c r="J13514" t="s">
        <v>30</v>
      </c>
      <c r="K13514" t="s">
        <v>40804</v>
      </c>
      <c r="M13514" t="s">
        <v>17861</v>
      </c>
      <c r="N13514" t="str">
        <f>"2/4/2020 8:09:00 AM"</f>
        <v>2/4/2020 8:09:00 AM</v>
      </c>
      <c r="O13514" t="s">
        <v>40814</v>
      </c>
      <c r="T13514" t="s">
        <v>40815</v>
      </c>
    </row>
    <row r="13515" spans="1:20" x14ac:dyDescent="0.25">
      <c r="A13515" t="str">
        <f>"3047087"</f>
        <v>3047087</v>
      </c>
      <c r="B13515" t="s">
        <v>40817</v>
      </c>
      <c r="C13515" t="str">
        <f>"8312919"</f>
        <v>8312919</v>
      </c>
      <c r="D13515" t="s">
        <v>40818</v>
      </c>
      <c r="F13515" t="s">
        <v>40819</v>
      </c>
      <c r="I13515" t="s">
        <v>29</v>
      </c>
      <c r="J13515" t="s">
        <v>30</v>
      </c>
      <c r="K13515" t="s">
        <v>40820</v>
      </c>
      <c r="M13515" t="s">
        <v>17861</v>
      </c>
      <c r="N13515" t="str">
        <f>"2/4/2020 9:03:00 AM"</f>
        <v>2/4/2020 9:03:00 AM</v>
      </c>
      <c r="O13515" t="s">
        <v>40818</v>
      </c>
    </row>
    <row r="13516" spans="1:20" x14ac:dyDescent="0.25">
      <c r="A13516" t="str">
        <f>"3037928"</f>
        <v>3037928</v>
      </c>
      <c r="B13516" t="s">
        <v>40821</v>
      </c>
      <c r="C13516" t="str">
        <f>"8312920"</f>
        <v>8312920</v>
      </c>
      <c r="D13516" t="s">
        <v>40822</v>
      </c>
      <c r="F13516" t="s">
        <v>40823</v>
      </c>
      <c r="I13516" t="s">
        <v>29</v>
      </c>
      <c r="J13516" t="s">
        <v>30</v>
      </c>
      <c r="K13516" t="s">
        <v>40824</v>
      </c>
      <c r="M13516" t="s">
        <v>17861</v>
      </c>
      <c r="N13516" t="str">
        <f>"2/4/2020 9:15:00 AM"</f>
        <v>2/4/2020 9:15:00 AM</v>
      </c>
      <c r="O13516" t="s">
        <v>40822</v>
      </c>
    </row>
    <row r="13517" spans="1:20" x14ac:dyDescent="0.25">
      <c r="A13517" t="str">
        <f>"3057797"</f>
        <v>3057797</v>
      </c>
      <c r="B13517" t="s">
        <v>40825</v>
      </c>
      <c r="C13517" t="str">
        <f>"8312079"</f>
        <v>8312079</v>
      </c>
      <c r="D13517" t="s">
        <v>40826</v>
      </c>
      <c r="E13517" t="s">
        <v>40827</v>
      </c>
      <c r="F13517" t="s">
        <v>40828</v>
      </c>
      <c r="I13517" t="s">
        <v>184</v>
      </c>
      <c r="J13517" t="s">
        <v>30</v>
      </c>
      <c r="K13517" t="str">
        <f>"27006"</f>
        <v>27006</v>
      </c>
      <c r="M13517" t="s">
        <v>18470</v>
      </c>
      <c r="N13517" t="str">
        <f>"2/4/2020 10:11:00 AM"</f>
        <v>2/4/2020 10:11:00 AM</v>
      </c>
      <c r="O13517" t="s">
        <v>40826</v>
      </c>
      <c r="T13517" t="s">
        <v>40827</v>
      </c>
    </row>
    <row r="13518" spans="1:20" x14ac:dyDescent="0.25">
      <c r="A13518" t="str">
        <f>"3057496"</f>
        <v>3057496</v>
      </c>
      <c r="B13518" t="s">
        <v>40829</v>
      </c>
      <c r="C13518" t="str">
        <f>"8312517"</f>
        <v>8312517</v>
      </c>
      <c r="D13518" t="s">
        <v>40830</v>
      </c>
      <c r="E13518" t="s">
        <v>40831</v>
      </c>
      <c r="F13518" t="s">
        <v>40832</v>
      </c>
      <c r="I13518" t="s">
        <v>184</v>
      </c>
      <c r="J13518" t="s">
        <v>30</v>
      </c>
      <c r="K13518" t="str">
        <f>"27006"</f>
        <v>27006</v>
      </c>
      <c r="M13518" t="s">
        <v>18470</v>
      </c>
      <c r="N13518" t="str">
        <f>"2/4/2020 10:31:00 AM"</f>
        <v>2/4/2020 10:31:00 AM</v>
      </c>
      <c r="O13518" t="s">
        <v>40830</v>
      </c>
      <c r="T13518" t="s">
        <v>40831</v>
      </c>
    </row>
    <row r="13519" spans="1:20" x14ac:dyDescent="0.25">
      <c r="A13519" t="str">
        <f>"3052167"</f>
        <v>3052167</v>
      </c>
      <c r="B13519" t="s">
        <v>40833</v>
      </c>
      <c r="C13519" t="str">
        <f>"8305851"</f>
        <v>8305851</v>
      </c>
      <c r="D13519" t="s">
        <v>40834</v>
      </c>
      <c r="F13519" t="s">
        <v>40835</v>
      </c>
      <c r="I13519" t="s">
        <v>29</v>
      </c>
      <c r="J13519" t="s">
        <v>30</v>
      </c>
      <c r="K13519" t="s">
        <v>40836</v>
      </c>
      <c r="M13519" t="s">
        <v>18479</v>
      </c>
      <c r="N13519" t="str">
        <f>"2/4/2020 10:36:00 AM"</f>
        <v>2/4/2020 10:36:00 AM</v>
      </c>
      <c r="O13519" t="s">
        <v>40834</v>
      </c>
    </row>
    <row r="13520" spans="1:20" x14ac:dyDescent="0.25">
      <c r="A13520" t="str">
        <f>"3052168"</f>
        <v>3052168</v>
      </c>
      <c r="B13520" t="s">
        <v>40837</v>
      </c>
      <c r="C13520" t="str">
        <f>"8305851"</f>
        <v>8305851</v>
      </c>
      <c r="D13520" t="s">
        <v>40834</v>
      </c>
      <c r="F13520" t="s">
        <v>40835</v>
      </c>
      <c r="I13520" t="s">
        <v>29</v>
      </c>
      <c r="J13520" t="s">
        <v>30</v>
      </c>
      <c r="K13520" t="s">
        <v>40836</v>
      </c>
      <c r="M13520" t="s">
        <v>18479</v>
      </c>
      <c r="N13520" t="str">
        <f>"2/4/2020 10:36:00 AM"</f>
        <v>2/4/2020 10:36:00 AM</v>
      </c>
      <c r="O13520" t="s">
        <v>40834</v>
      </c>
    </row>
    <row r="13521" spans="1:20" x14ac:dyDescent="0.25">
      <c r="A13521" t="str">
        <f>"3052724"</f>
        <v>3052724</v>
      </c>
      <c r="B13521" t="s">
        <v>40838</v>
      </c>
      <c r="C13521" t="str">
        <f>"8305851"</f>
        <v>8305851</v>
      </c>
      <c r="D13521" t="s">
        <v>40834</v>
      </c>
      <c r="F13521" t="s">
        <v>40835</v>
      </c>
      <c r="I13521" t="s">
        <v>29</v>
      </c>
      <c r="J13521" t="s">
        <v>30</v>
      </c>
      <c r="K13521" t="s">
        <v>40836</v>
      </c>
      <c r="M13521" t="s">
        <v>18479</v>
      </c>
      <c r="N13521" t="str">
        <f>"2/4/2020 10:36:00 AM"</f>
        <v>2/4/2020 10:36:00 AM</v>
      </c>
      <c r="O13521" t="s">
        <v>40834</v>
      </c>
    </row>
    <row r="13522" spans="1:20" x14ac:dyDescent="0.25">
      <c r="A13522" t="str">
        <f>"3066741"</f>
        <v>3066741</v>
      </c>
      <c r="B13522" t="s">
        <v>40839</v>
      </c>
      <c r="C13522" t="str">
        <f>"8312924"</f>
        <v>8312924</v>
      </c>
      <c r="D13522" t="s">
        <v>7214</v>
      </c>
      <c r="F13522" t="s">
        <v>40840</v>
      </c>
      <c r="I13522" t="s">
        <v>29</v>
      </c>
      <c r="J13522" t="s">
        <v>30</v>
      </c>
      <c r="K13522" t="s">
        <v>28576</v>
      </c>
      <c r="M13522" t="s">
        <v>17861</v>
      </c>
      <c r="N13522" t="str">
        <f>"2/4/2020 2:07:00 PM"</f>
        <v>2/4/2020 2:07:00 PM</v>
      </c>
      <c r="O13522" t="s">
        <v>7214</v>
      </c>
    </row>
    <row r="13523" spans="1:20" x14ac:dyDescent="0.25">
      <c r="A13523" t="str">
        <f>"3043974"</f>
        <v>3043974</v>
      </c>
      <c r="B13523" t="s">
        <v>40841</v>
      </c>
      <c r="C13523" t="str">
        <f>"8303091"</f>
        <v>8303091</v>
      </c>
      <c r="D13523" t="s">
        <v>40842</v>
      </c>
      <c r="F13523" t="s">
        <v>40843</v>
      </c>
      <c r="I13523" t="s">
        <v>184</v>
      </c>
      <c r="J13523" t="s">
        <v>30</v>
      </c>
      <c r="K13523" t="str">
        <f>"27006"</f>
        <v>27006</v>
      </c>
      <c r="M13523" t="s">
        <v>18470</v>
      </c>
      <c r="N13523" t="str">
        <f>"2/5/2020 9:17:00 AM"</f>
        <v>2/5/2020 9:17:00 AM</v>
      </c>
      <c r="O13523" t="s">
        <v>40842</v>
      </c>
    </row>
    <row r="13524" spans="1:20" x14ac:dyDescent="0.25">
      <c r="A13524" t="str">
        <f>"3044322"</f>
        <v>3044322</v>
      </c>
      <c r="B13524" t="s">
        <v>40844</v>
      </c>
      <c r="C13524" t="str">
        <f>"8303091"</f>
        <v>8303091</v>
      </c>
      <c r="D13524" t="s">
        <v>40842</v>
      </c>
      <c r="F13524" t="s">
        <v>40843</v>
      </c>
      <c r="I13524" t="s">
        <v>184</v>
      </c>
      <c r="J13524" t="s">
        <v>30</v>
      </c>
      <c r="K13524" t="str">
        <f>"27006"</f>
        <v>27006</v>
      </c>
      <c r="M13524" t="s">
        <v>18470</v>
      </c>
      <c r="N13524" t="str">
        <f>"2/5/2020 9:17:00 AM"</f>
        <v>2/5/2020 9:17:00 AM</v>
      </c>
      <c r="O13524" t="s">
        <v>40842</v>
      </c>
    </row>
    <row r="13525" spans="1:20" x14ac:dyDescent="0.25">
      <c r="A13525" t="str">
        <f>"3041161"</f>
        <v>3041161</v>
      </c>
      <c r="B13525" t="s">
        <v>40845</v>
      </c>
      <c r="C13525" t="str">
        <f>"82516467"</f>
        <v>82516467</v>
      </c>
      <c r="D13525" t="s">
        <v>40846</v>
      </c>
      <c r="F13525" t="s">
        <v>40847</v>
      </c>
      <c r="I13525" t="s">
        <v>402</v>
      </c>
      <c r="J13525" t="s">
        <v>30</v>
      </c>
      <c r="K13525" t="s">
        <v>403</v>
      </c>
      <c r="M13525" t="s">
        <v>25733</v>
      </c>
      <c r="N13525" t="str">
        <f>"2/5/2020 4:02:00 PM"</f>
        <v>2/5/2020 4:02:00 PM</v>
      </c>
      <c r="O13525" t="s">
        <v>40846</v>
      </c>
    </row>
    <row r="13526" spans="1:20" x14ac:dyDescent="0.25">
      <c r="A13526" t="str">
        <f>"3055008"</f>
        <v>3055008</v>
      </c>
      <c r="B13526" t="s">
        <v>40848</v>
      </c>
      <c r="C13526" t="str">
        <f>"8312943"</f>
        <v>8312943</v>
      </c>
      <c r="D13526" t="s">
        <v>40849</v>
      </c>
      <c r="F13526" t="s">
        <v>40850</v>
      </c>
      <c r="I13526" t="s">
        <v>40851</v>
      </c>
      <c r="J13526" t="s">
        <v>40852</v>
      </c>
      <c r="K13526" t="s">
        <v>40853</v>
      </c>
      <c r="M13526" t="s">
        <v>17861</v>
      </c>
      <c r="N13526" t="str">
        <f>"2/6/2020 9:24:00 AM"</f>
        <v>2/6/2020 9:24:00 AM</v>
      </c>
      <c r="O13526" t="s">
        <v>40849</v>
      </c>
    </row>
    <row r="13527" spans="1:20" x14ac:dyDescent="0.25">
      <c r="A13527" t="str">
        <f>"3054764"</f>
        <v>3054764</v>
      </c>
      <c r="B13527" t="s">
        <v>40854</v>
      </c>
      <c r="C13527" t="str">
        <f>"8312946"</f>
        <v>8312946</v>
      </c>
      <c r="D13527" t="s">
        <v>40855</v>
      </c>
      <c r="F13527" t="s">
        <v>40856</v>
      </c>
      <c r="I13527" t="s">
        <v>29</v>
      </c>
      <c r="J13527" t="s">
        <v>30</v>
      </c>
      <c r="K13527" t="s">
        <v>40857</v>
      </c>
      <c r="M13527" t="s">
        <v>17861</v>
      </c>
      <c r="N13527" t="str">
        <f>"2/6/2020 10:01:00 AM"</f>
        <v>2/6/2020 10:01:00 AM</v>
      </c>
      <c r="O13527" t="s">
        <v>40855</v>
      </c>
    </row>
    <row r="13528" spans="1:20" x14ac:dyDescent="0.25">
      <c r="A13528" t="str">
        <f>"3054041"</f>
        <v>3054041</v>
      </c>
      <c r="B13528" t="s">
        <v>40858</v>
      </c>
      <c r="C13528" t="str">
        <f>"8312950"</f>
        <v>8312950</v>
      </c>
      <c r="D13528" t="s">
        <v>40859</v>
      </c>
      <c r="F13528" t="s">
        <v>40860</v>
      </c>
      <c r="I13528" t="s">
        <v>29</v>
      </c>
      <c r="J13528" t="s">
        <v>30</v>
      </c>
      <c r="K13528" t="s">
        <v>40861</v>
      </c>
      <c r="M13528" t="s">
        <v>17861</v>
      </c>
      <c r="N13528" t="str">
        <f>"2/6/2020 2:19:00 PM"</f>
        <v>2/6/2020 2:19:00 PM</v>
      </c>
      <c r="O13528" t="s">
        <v>40859</v>
      </c>
    </row>
    <row r="13529" spans="1:20" x14ac:dyDescent="0.25">
      <c r="A13529" t="str">
        <f>"3060402"</f>
        <v>3060402</v>
      </c>
      <c r="B13529" t="s">
        <v>40862</v>
      </c>
      <c r="C13529" t="str">
        <f>"8309475"</f>
        <v>8309475</v>
      </c>
      <c r="D13529" t="s">
        <v>40863</v>
      </c>
      <c r="E13529" t="s">
        <v>40864</v>
      </c>
      <c r="F13529" t="s">
        <v>40865</v>
      </c>
      <c r="I13529" t="s">
        <v>29</v>
      </c>
      <c r="J13529" t="s">
        <v>30</v>
      </c>
      <c r="K13529" t="s">
        <v>40748</v>
      </c>
      <c r="M13529" t="s">
        <v>18470</v>
      </c>
      <c r="N13529" t="str">
        <f>"2/6/2020 2:42:00 PM"</f>
        <v>2/6/2020 2:42:00 PM</v>
      </c>
      <c r="O13529" t="s">
        <v>40863</v>
      </c>
      <c r="T13529" t="s">
        <v>40864</v>
      </c>
    </row>
    <row r="13530" spans="1:20" x14ac:dyDescent="0.25">
      <c r="A13530" t="str">
        <f>"3058186"</f>
        <v>3058186</v>
      </c>
      <c r="B13530" t="s">
        <v>40866</v>
      </c>
      <c r="C13530" t="str">
        <f>"8312952"</f>
        <v>8312952</v>
      </c>
      <c r="D13530" t="s">
        <v>40867</v>
      </c>
      <c r="E13530" t="s">
        <v>40868</v>
      </c>
      <c r="F13530" t="s">
        <v>40869</v>
      </c>
      <c r="I13530" t="s">
        <v>29</v>
      </c>
      <c r="J13530" t="s">
        <v>30</v>
      </c>
      <c r="K13530" t="s">
        <v>40870</v>
      </c>
      <c r="M13530" t="s">
        <v>17861</v>
      </c>
      <c r="N13530" t="str">
        <f>"2/10/2020 10:12:00 AM"</f>
        <v>2/10/2020 10:12:00 AM</v>
      </c>
      <c r="O13530" t="s">
        <v>40867</v>
      </c>
      <c r="T13530" t="s">
        <v>40868</v>
      </c>
    </row>
    <row r="13531" spans="1:20" x14ac:dyDescent="0.25">
      <c r="A13531" t="str">
        <f>"3051359"</f>
        <v>3051359</v>
      </c>
      <c r="B13531" t="s">
        <v>40871</v>
      </c>
      <c r="C13531" t="str">
        <f>"8313003"</f>
        <v>8313003</v>
      </c>
      <c r="D13531" t="s">
        <v>40872</v>
      </c>
      <c r="F13531" t="s">
        <v>40873</v>
      </c>
      <c r="I13531" t="s">
        <v>29</v>
      </c>
      <c r="J13531" t="s">
        <v>30</v>
      </c>
      <c r="K13531" t="s">
        <v>14537</v>
      </c>
      <c r="M13531" t="s">
        <v>17861</v>
      </c>
      <c r="N13531" t="str">
        <f>"2/11/2020 4:13:00 PM"</f>
        <v>2/11/2020 4:13:00 PM</v>
      </c>
      <c r="O13531" t="s">
        <v>40872</v>
      </c>
    </row>
    <row r="13532" spans="1:20" x14ac:dyDescent="0.25">
      <c r="A13532" t="str">
        <f>"3057446"</f>
        <v>3057446</v>
      </c>
      <c r="B13532" t="s">
        <v>40874</v>
      </c>
      <c r="C13532" t="str">
        <f>"8313005"</f>
        <v>8313005</v>
      </c>
      <c r="D13532" t="s">
        <v>40875</v>
      </c>
      <c r="E13532" t="s">
        <v>40876</v>
      </c>
      <c r="F13532" t="s">
        <v>40877</v>
      </c>
      <c r="I13532" t="s">
        <v>184</v>
      </c>
      <c r="J13532" t="s">
        <v>30</v>
      </c>
      <c r="K13532" t="s">
        <v>35247</v>
      </c>
      <c r="M13532" t="s">
        <v>17861</v>
      </c>
      <c r="N13532" t="str">
        <f>"2/11/2020 4:19:00 PM"</f>
        <v>2/11/2020 4:19:00 PM</v>
      </c>
      <c r="O13532" t="s">
        <v>40875</v>
      </c>
      <c r="T13532" t="s">
        <v>40876</v>
      </c>
    </row>
    <row r="13533" spans="1:20" x14ac:dyDescent="0.25">
      <c r="A13533" t="str">
        <f>"3057415"</f>
        <v>3057415</v>
      </c>
      <c r="B13533" t="s">
        <v>40878</v>
      </c>
      <c r="C13533" t="str">
        <f>"8313005"</f>
        <v>8313005</v>
      </c>
      <c r="D13533" t="s">
        <v>40875</v>
      </c>
      <c r="E13533" t="s">
        <v>40876</v>
      </c>
      <c r="F13533" t="s">
        <v>40877</v>
      </c>
      <c r="I13533" t="s">
        <v>184</v>
      </c>
      <c r="J13533" t="s">
        <v>30</v>
      </c>
      <c r="K13533" t="s">
        <v>35247</v>
      </c>
      <c r="M13533" t="s">
        <v>17861</v>
      </c>
      <c r="N13533" t="str">
        <f>"2/11/2020 4:19:00 PM"</f>
        <v>2/11/2020 4:19:00 PM</v>
      </c>
      <c r="O13533" t="s">
        <v>40875</v>
      </c>
      <c r="T13533" t="s">
        <v>40876</v>
      </c>
    </row>
    <row r="13534" spans="1:20" x14ac:dyDescent="0.25">
      <c r="A13534" t="str">
        <f>"3061189"</f>
        <v>3061189</v>
      </c>
      <c r="B13534" t="s">
        <v>40879</v>
      </c>
      <c r="C13534" t="str">
        <f>"8313006"</f>
        <v>8313006</v>
      </c>
      <c r="D13534" t="s">
        <v>40880</v>
      </c>
      <c r="F13534" t="s">
        <v>40881</v>
      </c>
      <c r="I13534" t="s">
        <v>2071</v>
      </c>
      <c r="J13534" t="s">
        <v>30</v>
      </c>
      <c r="K13534" t="s">
        <v>6390</v>
      </c>
      <c r="M13534" t="s">
        <v>17861</v>
      </c>
      <c r="N13534" t="str">
        <f>"2/12/2020 8:24:00 AM"</f>
        <v>2/12/2020 8:24:00 AM</v>
      </c>
      <c r="O13534" t="s">
        <v>40880</v>
      </c>
    </row>
    <row r="13535" spans="1:20" x14ac:dyDescent="0.25">
      <c r="A13535" t="str">
        <f>"3043467"</f>
        <v>3043467</v>
      </c>
      <c r="B13535" t="s">
        <v>40882</v>
      </c>
      <c r="C13535" t="str">
        <f>"8313007"</f>
        <v>8313007</v>
      </c>
      <c r="D13535" t="s">
        <v>40883</v>
      </c>
      <c r="F13535" t="s">
        <v>40884</v>
      </c>
      <c r="I13535" t="s">
        <v>29</v>
      </c>
      <c r="J13535" t="s">
        <v>30</v>
      </c>
      <c r="K13535" t="s">
        <v>8305</v>
      </c>
      <c r="M13535" t="s">
        <v>17861</v>
      </c>
      <c r="N13535" t="str">
        <f>"2/12/2020 8:30:00 AM"</f>
        <v>2/12/2020 8:30:00 AM</v>
      </c>
      <c r="O13535" t="s">
        <v>40883</v>
      </c>
    </row>
    <row r="13536" spans="1:20" x14ac:dyDescent="0.25">
      <c r="A13536" t="str">
        <f>"3039103"</f>
        <v>3039103</v>
      </c>
      <c r="B13536" t="s">
        <v>40885</v>
      </c>
      <c r="C13536" t="str">
        <f>"8313009"</f>
        <v>8313009</v>
      </c>
      <c r="D13536" t="s">
        <v>40886</v>
      </c>
      <c r="F13536" t="s">
        <v>40887</v>
      </c>
      <c r="I13536" t="s">
        <v>40888</v>
      </c>
      <c r="J13536" t="s">
        <v>40889</v>
      </c>
      <c r="K13536" t="s">
        <v>40890</v>
      </c>
      <c r="M13536" t="s">
        <v>17861</v>
      </c>
      <c r="N13536" t="str">
        <f>"2/12/2020 8:42:00 AM"</f>
        <v>2/12/2020 8:42:00 AM</v>
      </c>
      <c r="O13536" t="s">
        <v>40886</v>
      </c>
    </row>
    <row r="13537" spans="1:20" x14ac:dyDescent="0.25">
      <c r="A13537" t="str">
        <f>"3060410"</f>
        <v>3060410</v>
      </c>
      <c r="B13537" t="s">
        <v>40891</v>
      </c>
      <c r="C13537" t="str">
        <f>"8313010"</f>
        <v>8313010</v>
      </c>
      <c r="D13537" t="s">
        <v>40892</v>
      </c>
      <c r="F13537" t="s">
        <v>40893</v>
      </c>
      <c r="I13537" t="s">
        <v>2071</v>
      </c>
      <c r="J13537" t="s">
        <v>30</v>
      </c>
      <c r="K13537" t="s">
        <v>3728</v>
      </c>
      <c r="M13537" t="s">
        <v>17861</v>
      </c>
      <c r="N13537" t="str">
        <f>"2/12/2020 8:47:00 AM"</f>
        <v>2/12/2020 8:47:00 AM</v>
      </c>
      <c r="O13537" t="s">
        <v>40892</v>
      </c>
    </row>
    <row r="13538" spans="1:20" x14ac:dyDescent="0.25">
      <c r="A13538" t="str">
        <f>"3055797"</f>
        <v>3055797</v>
      </c>
      <c r="B13538" t="s">
        <v>40894</v>
      </c>
      <c r="C13538" t="str">
        <f>"8312953"</f>
        <v>8312953</v>
      </c>
      <c r="D13538" t="s">
        <v>40895</v>
      </c>
      <c r="F13538" t="s">
        <v>40896</v>
      </c>
      <c r="I13538" t="s">
        <v>40897</v>
      </c>
      <c r="J13538" t="s">
        <v>30</v>
      </c>
      <c r="K13538" t="s">
        <v>40898</v>
      </c>
      <c r="M13538" t="s">
        <v>17861</v>
      </c>
      <c r="N13538" t="str">
        <f>"2/11/2020 10:35:00 AM"</f>
        <v>2/11/2020 10:35:00 AM</v>
      </c>
      <c r="O13538" t="s">
        <v>40895</v>
      </c>
    </row>
    <row r="13539" spans="1:20" x14ac:dyDescent="0.25">
      <c r="A13539" t="str">
        <f>"3057431"</f>
        <v>3057431</v>
      </c>
      <c r="B13539" t="s">
        <v>40899</v>
      </c>
      <c r="C13539" t="str">
        <f>"8312954"</f>
        <v>8312954</v>
      </c>
      <c r="D13539" t="s">
        <v>40900</v>
      </c>
      <c r="F13539" t="s">
        <v>40901</v>
      </c>
      <c r="I13539" t="s">
        <v>184</v>
      </c>
      <c r="J13539" t="s">
        <v>30</v>
      </c>
      <c r="K13539" t="s">
        <v>38676</v>
      </c>
      <c r="M13539" t="s">
        <v>17861</v>
      </c>
      <c r="N13539" t="str">
        <f>"2/11/2020 10:37:00 AM"</f>
        <v>2/11/2020 10:37:00 AM</v>
      </c>
      <c r="O13539" t="s">
        <v>40900</v>
      </c>
    </row>
    <row r="13540" spans="1:20" x14ac:dyDescent="0.25">
      <c r="A13540" t="str">
        <f>"3060235"</f>
        <v>3060235</v>
      </c>
      <c r="B13540" t="s">
        <v>40902</v>
      </c>
      <c r="C13540" t="str">
        <f>"8312954"</f>
        <v>8312954</v>
      </c>
      <c r="D13540" t="s">
        <v>40900</v>
      </c>
      <c r="F13540" t="s">
        <v>40901</v>
      </c>
      <c r="I13540" t="s">
        <v>184</v>
      </c>
      <c r="J13540" t="s">
        <v>30</v>
      </c>
      <c r="K13540" t="s">
        <v>38676</v>
      </c>
      <c r="M13540" t="s">
        <v>17861</v>
      </c>
      <c r="N13540" t="str">
        <f>"2/11/2020 10:37:00 AM"</f>
        <v>2/11/2020 10:37:00 AM</v>
      </c>
      <c r="O13540" t="s">
        <v>40900</v>
      </c>
    </row>
    <row r="13541" spans="1:20" x14ac:dyDescent="0.25">
      <c r="A13541" t="str">
        <f>"3055572"</f>
        <v>3055572</v>
      </c>
      <c r="B13541" t="s">
        <v>40903</v>
      </c>
      <c r="C13541" t="str">
        <f>"8312955"</f>
        <v>8312955</v>
      </c>
      <c r="D13541" t="s">
        <v>40904</v>
      </c>
      <c r="E13541" t="s">
        <v>40905</v>
      </c>
      <c r="F13541" t="s">
        <v>40906</v>
      </c>
      <c r="I13541" t="s">
        <v>29</v>
      </c>
      <c r="J13541" t="s">
        <v>30</v>
      </c>
      <c r="K13541" t="s">
        <v>16621</v>
      </c>
      <c r="M13541" t="s">
        <v>17861</v>
      </c>
      <c r="N13541" t="str">
        <f>"2/11/2020 10:40:00 AM"</f>
        <v>2/11/2020 10:40:00 AM</v>
      </c>
      <c r="O13541" t="s">
        <v>40904</v>
      </c>
      <c r="T13541" t="s">
        <v>40905</v>
      </c>
    </row>
    <row r="13542" spans="1:20" x14ac:dyDescent="0.25">
      <c r="A13542" t="str">
        <f>"3058003"</f>
        <v>3058003</v>
      </c>
      <c r="B13542" t="s">
        <v>40907</v>
      </c>
      <c r="C13542" t="str">
        <f>"8312964"</f>
        <v>8312964</v>
      </c>
      <c r="D13542" t="s">
        <v>40908</v>
      </c>
      <c r="E13542" t="s">
        <v>40909</v>
      </c>
      <c r="F13542" t="s">
        <v>40910</v>
      </c>
      <c r="I13542" t="s">
        <v>29</v>
      </c>
      <c r="J13542" t="s">
        <v>30</v>
      </c>
      <c r="K13542" t="s">
        <v>36909</v>
      </c>
      <c r="M13542" t="s">
        <v>17861</v>
      </c>
      <c r="N13542" t="str">
        <f>"2/11/2020 12:24:00 PM"</f>
        <v>2/11/2020 12:24:00 PM</v>
      </c>
      <c r="O13542" t="s">
        <v>40908</v>
      </c>
      <c r="T13542" t="s">
        <v>40909</v>
      </c>
    </row>
    <row r="13543" spans="1:20" x14ac:dyDescent="0.25">
      <c r="A13543" t="str">
        <f>"3059488"</f>
        <v>3059488</v>
      </c>
      <c r="B13543" t="s">
        <v>40911</v>
      </c>
      <c r="C13543" t="str">
        <f>"8313032"</f>
        <v>8313032</v>
      </c>
      <c r="D13543" t="s">
        <v>40912</v>
      </c>
      <c r="E13543" t="s">
        <v>40913</v>
      </c>
      <c r="F13543" t="s">
        <v>40914</v>
      </c>
      <c r="I13543" t="s">
        <v>29</v>
      </c>
      <c r="J13543" t="s">
        <v>30</v>
      </c>
      <c r="K13543" t="s">
        <v>13170</v>
      </c>
      <c r="M13543" t="s">
        <v>17861</v>
      </c>
      <c r="N13543" t="str">
        <f>"2/12/2020 1:05:00 PM"</f>
        <v>2/12/2020 1:05:00 PM</v>
      </c>
      <c r="O13543" t="s">
        <v>40912</v>
      </c>
      <c r="T13543" t="s">
        <v>40913</v>
      </c>
    </row>
    <row r="13544" spans="1:20" x14ac:dyDescent="0.25">
      <c r="A13544" t="str">
        <f>"3047752"</f>
        <v>3047752</v>
      </c>
      <c r="B13544" t="s">
        <v>40915</v>
      </c>
      <c r="C13544" t="str">
        <f>"8313034"</f>
        <v>8313034</v>
      </c>
      <c r="D13544" t="s">
        <v>40916</v>
      </c>
      <c r="E13544" t="s">
        <v>40917</v>
      </c>
      <c r="F13544" t="s">
        <v>40918</v>
      </c>
      <c r="I13544" t="s">
        <v>184</v>
      </c>
      <c r="J13544" t="s">
        <v>30</v>
      </c>
      <c r="K13544" t="s">
        <v>7531</v>
      </c>
      <c r="M13544" t="s">
        <v>17861</v>
      </c>
      <c r="N13544" t="str">
        <f>"2/12/2020 1:13:00 PM"</f>
        <v>2/12/2020 1:13:00 PM</v>
      </c>
      <c r="O13544" t="s">
        <v>40916</v>
      </c>
      <c r="T13544" t="s">
        <v>40917</v>
      </c>
    </row>
    <row r="13545" spans="1:20" x14ac:dyDescent="0.25">
      <c r="A13545" t="str">
        <f>"3061720"</f>
        <v>3061720</v>
      </c>
      <c r="B13545" t="s">
        <v>40919</v>
      </c>
      <c r="C13545" t="str">
        <f>"8313036"</f>
        <v>8313036</v>
      </c>
      <c r="D13545" t="s">
        <v>40920</v>
      </c>
      <c r="F13545" t="s">
        <v>40921</v>
      </c>
      <c r="I13545" t="s">
        <v>184</v>
      </c>
      <c r="J13545" t="s">
        <v>30</v>
      </c>
      <c r="K13545" t="s">
        <v>30968</v>
      </c>
      <c r="M13545" t="s">
        <v>17861</v>
      </c>
      <c r="N13545" t="str">
        <f>"2/12/2020 1:25:00 PM"</f>
        <v>2/12/2020 1:25:00 PM</v>
      </c>
      <c r="O13545" t="s">
        <v>40920</v>
      </c>
    </row>
    <row r="13546" spans="1:20" x14ac:dyDescent="0.25">
      <c r="A13546" t="str">
        <f>"3039533"</f>
        <v>3039533</v>
      </c>
      <c r="B13546" t="s">
        <v>40922</v>
      </c>
      <c r="C13546" t="str">
        <f>"8313013"</f>
        <v>8313013</v>
      </c>
      <c r="D13546" t="s">
        <v>40923</v>
      </c>
      <c r="F13546" t="s">
        <v>40924</v>
      </c>
      <c r="I13546" t="s">
        <v>29</v>
      </c>
      <c r="J13546" t="s">
        <v>30</v>
      </c>
      <c r="K13546" t="s">
        <v>27246</v>
      </c>
      <c r="M13546" t="s">
        <v>17861</v>
      </c>
      <c r="N13546" t="str">
        <f>"2/12/2020 9:41:00 AM"</f>
        <v>2/12/2020 9:41:00 AM</v>
      </c>
      <c r="O13546" t="s">
        <v>40923</v>
      </c>
    </row>
    <row r="13547" spans="1:20" x14ac:dyDescent="0.25">
      <c r="A13547" t="str">
        <f>"3060688"</f>
        <v>3060688</v>
      </c>
      <c r="B13547" t="s">
        <v>40925</v>
      </c>
      <c r="C13547" t="str">
        <f>"8313022"</f>
        <v>8313022</v>
      </c>
      <c r="D13547" t="s">
        <v>40926</v>
      </c>
      <c r="E13547" t="s">
        <v>40927</v>
      </c>
      <c r="F13547" t="s">
        <v>40928</v>
      </c>
      <c r="I13547" t="s">
        <v>2071</v>
      </c>
      <c r="J13547" t="s">
        <v>30</v>
      </c>
      <c r="K13547" t="s">
        <v>6390</v>
      </c>
      <c r="M13547" t="s">
        <v>17861</v>
      </c>
      <c r="N13547" t="str">
        <f>"2/12/2020 10:54:00 AM"</f>
        <v>2/12/2020 10:54:00 AM</v>
      </c>
      <c r="O13547" t="s">
        <v>40926</v>
      </c>
      <c r="T13547" t="s">
        <v>40927</v>
      </c>
    </row>
    <row r="13548" spans="1:20" x14ac:dyDescent="0.25">
      <c r="A13548" t="str">
        <f>"3046216"</f>
        <v>3046216</v>
      </c>
      <c r="B13548" t="s">
        <v>40929</v>
      </c>
      <c r="C13548" t="str">
        <f>"8313045"</f>
        <v>8313045</v>
      </c>
      <c r="D13548" t="s">
        <v>40930</v>
      </c>
      <c r="E13548" t="s">
        <v>40931</v>
      </c>
      <c r="F13548" t="s">
        <v>40932</v>
      </c>
      <c r="I13548" t="s">
        <v>29</v>
      </c>
      <c r="J13548" t="s">
        <v>30</v>
      </c>
      <c r="K13548" t="s">
        <v>8342</v>
      </c>
      <c r="M13548" t="s">
        <v>17861</v>
      </c>
      <c r="N13548" t="str">
        <f>"2/13/2020 2:26:00 PM"</f>
        <v>2/13/2020 2:26:00 PM</v>
      </c>
      <c r="O13548" t="s">
        <v>40930</v>
      </c>
      <c r="T13548" t="s">
        <v>40931</v>
      </c>
    </row>
    <row r="13549" spans="1:20" x14ac:dyDescent="0.25">
      <c r="A13549" t="str">
        <f>"3049068"</f>
        <v>3049068</v>
      </c>
      <c r="B13549" t="s">
        <v>40933</v>
      </c>
      <c r="C13549" t="str">
        <f>"8313046"</f>
        <v>8313046</v>
      </c>
      <c r="D13549" t="s">
        <v>40934</v>
      </c>
      <c r="F13549" t="s">
        <v>40935</v>
      </c>
      <c r="I13549" t="s">
        <v>29</v>
      </c>
      <c r="J13549" t="s">
        <v>30</v>
      </c>
      <c r="K13549" t="s">
        <v>40936</v>
      </c>
      <c r="M13549" t="s">
        <v>17861</v>
      </c>
      <c r="N13549" t="str">
        <f>"2/13/2020 2:55:00 PM"</f>
        <v>2/13/2020 2:55:00 PM</v>
      </c>
      <c r="O13549" t="s">
        <v>40934</v>
      </c>
    </row>
    <row r="13550" spans="1:20" x14ac:dyDescent="0.25">
      <c r="A13550" t="str">
        <f>"3049752"</f>
        <v>3049752</v>
      </c>
      <c r="B13550" t="s">
        <v>40937</v>
      </c>
      <c r="C13550" t="str">
        <f>"8313049"</f>
        <v>8313049</v>
      </c>
      <c r="D13550" t="s">
        <v>40938</v>
      </c>
      <c r="E13550" t="s">
        <v>40939</v>
      </c>
      <c r="F13550" t="s">
        <v>40940</v>
      </c>
      <c r="I13550" t="s">
        <v>29</v>
      </c>
      <c r="J13550" t="s">
        <v>30</v>
      </c>
      <c r="K13550" t="s">
        <v>17132</v>
      </c>
      <c r="M13550" t="s">
        <v>17861</v>
      </c>
      <c r="N13550" t="str">
        <f>"2/13/2020 3:39:00 PM"</f>
        <v>2/13/2020 3:39:00 PM</v>
      </c>
      <c r="O13550" t="s">
        <v>40938</v>
      </c>
      <c r="T13550" t="s">
        <v>40939</v>
      </c>
    </row>
    <row r="13551" spans="1:20" x14ac:dyDescent="0.25">
      <c r="A13551" t="str">
        <f>"3051651"</f>
        <v>3051651</v>
      </c>
      <c r="B13551" t="s">
        <v>40941</v>
      </c>
      <c r="C13551" t="str">
        <f>"8313026"</f>
        <v>8313026</v>
      </c>
      <c r="D13551" t="s">
        <v>40942</v>
      </c>
      <c r="F13551" t="s">
        <v>40943</v>
      </c>
      <c r="I13551" t="s">
        <v>29</v>
      </c>
      <c r="J13551" t="s">
        <v>30</v>
      </c>
      <c r="K13551" t="s">
        <v>12083</v>
      </c>
      <c r="M13551" t="s">
        <v>17861</v>
      </c>
      <c r="N13551" t="str">
        <f>"2/12/2020 11:11:00 AM"</f>
        <v>2/12/2020 11:11:00 AM</v>
      </c>
      <c r="O13551" t="s">
        <v>40942</v>
      </c>
    </row>
    <row r="13552" spans="1:20" x14ac:dyDescent="0.25">
      <c r="A13552" t="str">
        <f>"3049792"</f>
        <v>3049792</v>
      </c>
      <c r="B13552" t="s">
        <v>40944</v>
      </c>
      <c r="C13552" t="str">
        <f>"8313053"</f>
        <v>8313053</v>
      </c>
      <c r="D13552" t="s">
        <v>40945</v>
      </c>
      <c r="F13552" t="s">
        <v>40946</v>
      </c>
      <c r="I13552" t="s">
        <v>29</v>
      </c>
      <c r="J13552" t="s">
        <v>30</v>
      </c>
      <c r="K13552" t="s">
        <v>9678</v>
      </c>
      <c r="M13552" t="s">
        <v>17861</v>
      </c>
      <c r="N13552" t="str">
        <f>"2/13/2020 3:57:00 PM"</f>
        <v>2/13/2020 3:57:00 PM</v>
      </c>
      <c r="O13552" t="s">
        <v>40945</v>
      </c>
    </row>
    <row r="13553" spans="1:20" x14ac:dyDescent="0.25">
      <c r="A13553" t="str">
        <f>"3044353"</f>
        <v>3044353</v>
      </c>
      <c r="B13553" t="s">
        <v>40947</v>
      </c>
      <c r="C13553" t="str">
        <f>"66027750"</f>
        <v>66027750</v>
      </c>
      <c r="D13553" t="s">
        <v>40948</v>
      </c>
      <c r="E13553" t="s">
        <v>40949</v>
      </c>
      <c r="F13553" t="s">
        <v>40950</v>
      </c>
      <c r="I13553" t="s">
        <v>184</v>
      </c>
      <c r="J13553" t="s">
        <v>30</v>
      </c>
      <c r="K13553" t="s">
        <v>25712</v>
      </c>
      <c r="M13553" t="s">
        <v>18479</v>
      </c>
      <c r="N13553" t="str">
        <f>"2/17/2020 10:04:00 AM"</f>
        <v>2/17/2020 10:04:00 AM</v>
      </c>
      <c r="O13553" t="s">
        <v>40948</v>
      </c>
      <c r="T13553" t="s">
        <v>40949</v>
      </c>
    </row>
    <row r="13554" spans="1:20" x14ac:dyDescent="0.25">
      <c r="A13554" t="str">
        <f>"3076689"</f>
        <v>3076689</v>
      </c>
      <c r="B13554" t="s">
        <v>40951</v>
      </c>
      <c r="C13554" t="str">
        <f>"8313040"</f>
        <v>8313040</v>
      </c>
      <c r="D13554" t="s">
        <v>40952</v>
      </c>
      <c r="F13554" t="s">
        <v>40953</v>
      </c>
      <c r="I13554" t="s">
        <v>29</v>
      </c>
      <c r="J13554" t="s">
        <v>30</v>
      </c>
      <c r="K13554" t="s">
        <v>40954</v>
      </c>
      <c r="M13554" t="s">
        <v>17861</v>
      </c>
      <c r="N13554" t="str">
        <f>"2/17/2020 2:54:00 PM"</f>
        <v>2/17/2020 2:54:00 PM</v>
      </c>
      <c r="O13554" t="s">
        <v>40952</v>
      </c>
    </row>
    <row r="13555" spans="1:20" x14ac:dyDescent="0.25">
      <c r="A13555" t="str">
        <f>"3051878"</f>
        <v>3051878</v>
      </c>
      <c r="B13555" t="s">
        <v>40955</v>
      </c>
      <c r="C13555" t="str">
        <f>"8313026"</f>
        <v>8313026</v>
      </c>
      <c r="D13555" t="s">
        <v>40942</v>
      </c>
      <c r="F13555" t="s">
        <v>40943</v>
      </c>
      <c r="I13555" t="s">
        <v>29</v>
      </c>
      <c r="J13555" t="s">
        <v>30</v>
      </c>
      <c r="K13555" t="s">
        <v>12083</v>
      </c>
      <c r="M13555" t="s">
        <v>17861</v>
      </c>
      <c r="N13555" t="str">
        <f>"2/12/2020 11:11:00 AM"</f>
        <v>2/12/2020 11:11:00 AM</v>
      </c>
      <c r="O13555" t="s">
        <v>40942</v>
      </c>
    </row>
    <row r="13556" spans="1:20" x14ac:dyDescent="0.25">
      <c r="A13556" t="str">
        <f>"3044404"</f>
        <v>3044404</v>
      </c>
      <c r="B13556" t="s">
        <v>40956</v>
      </c>
      <c r="C13556" t="str">
        <f>"8313027"</f>
        <v>8313027</v>
      </c>
      <c r="D13556" t="s">
        <v>40957</v>
      </c>
      <c r="F13556" t="s">
        <v>40958</v>
      </c>
      <c r="I13556" t="s">
        <v>184</v>
      </c>
      <c r="J13556" t="s">
        <v>30</v>
      </c>
      <c r="K13556" t="s">
        <v>6606</v>
      </c>
      <c r="M13556" t="s">
        <v>17861</v>
      </c>
      <c r="N13556" t="str">
        <f>"2/12/2020 11:13:00 AM"</f>
        <v>2/12/2020 11:13:00 AM</v>
      </c>
      <c r="O13556" t="s">
        <v>40957</v>
      </c>
    </row>
    <row r="13557" spans="1:20" x14ac:dyDescent="0.25">
      <c r="A13557" t="str">
        <f>"3051859"</f>
        <v>3051859</v>
      </c>
      <c r="B13557" t="s">
        <v>40959</v>
      </c>
      <c r="C13557" t="str">
        <f>"8312966"</f>
        <v>8312966</v>
      </c>
      <c r="D13557" t="s">
        <v>40960</v>
      </c>
      <c r="F13557" t="s">
        <v>40961</v>
      </c>
      <c r="I13557" t="s">
        <v>1107</v>
      </c>
      <c r="J13557" t="s">
        <v>30</v>
      </c>
      <c r="K13557" t="s">
        <v>40962</v>
      </c>
      <c r="M13557" t="s">
        <v>17861</v>
      </c>
      <c r="N13557" t="str">
        <f>"2/11/2020 12:31:00 PM"</f>
        <v>2/11/2020 12:31:00 PM</v>
      </c>
      <c r="O13557" t="s">
        <v>40960</v>
      </c>
    </row>
    <row r="13558" spans="1:20" x14ac:dyDescent="0.25">
      <c r="A13558" t="str">
        <f>"3045460"</f>
        <v>3045460</v>
      </c>
      <c r="B13558" t="s">
        <v>40963</v>
      </c>
      <c r="C13558" t="str">
        <f>"8312969"</f>
        <v>8312969</v>
      </c>
      <c r="D13558" t="str">
        <f>"REILLY JAMES J/PATRICIA P"</f>
        <v>REILLY JAMES J/PATRICIA P</v>
      </c>
      <c r="E13558" t="str">
        <f>"SCOTT PATRICIA R/SHIELDS KATHE"</f>
        <v>SCOTT PATRICIA R/SHIELDS KATHE</v>
      </c>
      <c r="F13558" t="s">
        <v>40964</v>
      </c>
      <c r="I13558" t="s">
        <v>40965</v>
      </c>
      <c r="J13558" t="s">
        <v>30</v>
      </c>
      <c r="K13558" t="str">
        <f>"27358"</f>
        <v>27358</v>
      </c>
      <c r="M13558" t="s">
        <v>17861</v>
      </c>
      <c r="N13558" t="str">
        <f>"2/11/2020 12:54:00 PM"</f>
        <v>2/11/2020 12:54:00 PM</v>
      </c>
      <c r="O13558" t="str">
        <f>"REILLY JAMES J/PATRICIA P"</f>
        <v>REILLY JAMES J/PATRICIA P</v>
      </c>
      <c r="T13558" t="str">
        <f>"SCOTT PATRICIA R/SHIELDS KATHE"</f>
        <v>SCOTT PATRICIA R/SHIELDS KATHE</v>
      </c>
    </row>
    <row r="13559" spans="1:20" x14ac:dyDescent="0.25">
      <c r="A13559" t="str">
        <f>"3051286"</f>
        <v>3051286</v>
      </c>
      <c r="B13559" t="s">
        <v>40966</v>
      </c>
      <c r="C13559" t="str">
        <f>"8312972"</f>
        <v>8312972</v>
      </c>
      <c r="D13559" t="s">
        <v>40967</v>
      </c>
      <c r="E13559" t="s">
        <v>40968</v>
      </c>
      <c r="F13559" t="s">
        <v>40969</v>
      </c>
      <c r="I13559" t="s">
        <v>1149</v>
      </c>
      <c r="J13559" t="s">
        <v>30</v>
      </c>
      <c r="K13559" t="s">
        <v>40970</v>
      </c>
      <c r="M13559" t="s">
        <v>17861</v>
      </c>
      <c r="N13559" t="str">
        <f>"2/11/2020 1:09:00 PM"</f>
        <v>2/11/2020 1:09:00 PM</v>
      </c>
      <c r="O13559" t="s">
        <v>40967</v>
      </c>
      <c r="T13559" t="s">
        <v>40968</v>
      </c>
    </row>
    <row r="13560" spans="1:20" x14ac:dyDescent="0.25">
      <c r="A13560" t="str">
        <f>"3059222"</f>
        <v>3059222</v>
      </c>
      <c r="B13560" t="s">
        <v>40971</v>
      </c>
      <c r="C13560" t="str">
        <f>"8312973"</f>
        <v>8312973</v>
      </c>
      <c r="D13560" t="s">
        <v>40972</v>
      </c>
      <c r="E13560" t="str">
        <f>"MCKENNEY CHARLES A/SARAH BIRD"</f>
        <v>MCKENNEY CHARLES A/SARAH BIRD</v>
      </c>
      <c r="F13560" t="s">
        <v>40973</v>
      </c>
      <c r="I13560" t="s">
        <v>184</v>
      </c>
      <c r="J13560" t="s">
        <v>30</v>
      </c>
      <c r="K13560" t="s">
        <v>36136</v>
      </c>
      <c r="M13560" t="s">
        <v>17861</v>
      </c>
      <c r="N13560" t="str">
        <f>"2/11/2020 1:12:00 PM"</f>
        <v>2/11/2020 1:12:00 PM</v>
      </c>
      <c r="O13560" t="s">
        <v>40972</v>
      </c>
      <c r="T13560" t="str">
        <f>"MCKENNEY CHARLES A/SARAH BIRD"</f>
        <v>MCKENNEY CHARLES A/SARAH BIRD</v>
      </c>
    </row>
    <row r="13561" spans="1:20" x14ac:dyDescent="0.25">
      <c r="A13561" t="str">
        <f>"3061318"</f>
        <v>3061318</v>
      </c>
      <c r="B13561" t="s">
        <v>40974</v>
      </c>
      <c r="C13561" t="str">
        <f>"8313067"</f>
        <v>8313067</v>
      </c>
      <c r="D13561" t="s">
        <v>4848</v>
      </c>
      <c r="E13561" t="s">
        <v>40975</v>
      </c>
      <c r="F13561" t="s">
        <v>40976</v>
      </c>
      <c r="I13561" t="s">
        <v>2071</v>
      </c>
      <c r="J13561" t="s">
        <v>30</v>
      </c>
      <c r="K13561" t="s">
        <v>36243</v>
      </c>
      <c r="M13561" t="s">
        <v>17861</v>
      </c>
      <c r="N13561" t="str">
        <f>"2/18/2020 11:46:00 AM"</f>
        <v>2/18/2020 11:46:00 AM</v>
      </c>
      <c r="O13561" t="s">
        <v>4848</v>
      </c>
      <c r="T13561" t="s">
        <v>40975</v>
      </c>
    </row>
    <row r="13562" spans="1:20" x14ac:dyDescent="0.25">
      <c r="A13562" t="str">
        <f>"3048834"</f>
        <v>3048834</v>
      </c>
      <c r="B13562" t="s">
        <v>40977</v>
      </c>
      <c r="C13562" t="str">
        <f>"51012000"</f>
        <v>51012000</v>
      </c>
      <c r="D13562" t="s">
        <v>40978</v>
      </c>
      <c r="E13562" t="s">
        <v>40979</v>
      </c>
      <c r="F13562" t="s">
        <v>40980</v>
      </c>
      <c r="I13562" t="s">
        <v>29</v>
      </c>
      <c r="J13562" t="s">
        <v>30</v>
      </c>
      <c r="K13562" t="s">
        <v>31</v>
      </c>
      <c r="M13562" t="s">
        <v>40663</v>
      </c>
      <c r="N13562" t="str">
        <f>"2/18/2020 3:25:00 PM"</f>
        <v>2/18/2020 3:25:00 PM</v>
      </c>
      <c r="O13562" t="s">
        <v>40978</v>
      </c>
      <c r="T13562" t="s">
        <v>40979</v>
      </c>
    </row>
    <row r="13563" spans="1:20" x14ac:dyDescent="0.25">
      <c r="A13563" t="str">
        <f>"3039367"</f>
        <v>3039367</v>
      </c>
      <c r="B13563" t="s">
        <v>40981</v>
      </c>
      <c r="C13563" t="str">
        <f>"8307395"</f>
        <v>8307395</v>
      </c>
      <c r="D13563" t="s">
        <v>40982</v>
      </c>
      <c r="F13563" t="s">
        <v>40983</v>
      </c>
      <c r="I13563" t="s">
        <v>2589</v>
      </c>
      <c r="J13563" t="s">
        <v>30</v>
      </c>
      <c r="K13563" t="s">
        <v>40984</v>
      </c>
      <c r="M13563" t="s">
        <v>17861</v>
      </c>
      <c r="N13563" t="str">
        <f>"2/19/2020 9:38:00 AM"</f>
        <v>2/19/2020 9:38:00 AM</v>
      </c>
      <c r="O13563" t="s">
        <v>40982</v>
      </c>
    </row>
    <row r="13564" spans="1:20" x14ac:dyDescent="0.25">
      <c r="A13564" t="str">
        <f>"3058809"</f>
        <v>3058809</v>
      </c>
      <c r="B13564" t="s">
        <v>40985</v>
      </c>
      <c r="C13564" t="str">
        <f>"8311140"</f>
        <v>8311140</v>
      </c>
      <c r="D13564" t="s">
        <v>40986</v>
      </c>
      <c r="F13564" t="s">
        <v>40987</v>
      </c>
      <c r="I13564" t="s">
        <v>29</v>
      </c>
      <c r="J13564" t="s">
        <v>30</v>
      </c>
      <c r="K13564" t="s">
        <v>34090</v>
      </c>
      <c r="M13564" t="s">
        <v>17861</v>
      </c>
      <c r="N13564" t="str">
        <f>"2/19/2020 10:23:00 AM"</f>
        <v>2/19/2020 10:23:00 AM</v>
      </c>
      <c r="O13564" t="s">
        <v>40986</v>
      </c>
    </row>
    <row r="13565" spans="1:20" x14ac:dyDescent="0.25">
      <c r="A13565" t="str">
        <f>"3060996"</f>
        <v>3060996</v>
      </c>
      <c r="B13565" t="s">
        <v>40988</v>
      </c>
      <c r="C13565" t="str">
        <f>"8312975"</f>
        <v>8312975</v>
      </c>
      <c r="D13565" t="s">
        <v>40989</v>
      </c>
      <c r="E13565" t="s">
        <v>40990</v>
      </c>
      <c r="F13565" t="s">
        <v>40991</v>
      </c>
      <c r="I13565" t="s">
        <v>2071</v>
      </c>
      <c r="J13565" t="s">
        <v>30</v>
      </c>
      <c r="K13565" t="s">
        <v>34629</v>
      </c>
      <c r="M13565" t="s">
        <v>17861</v>
      </c>
      <c r="N13565" t="str">
        <f>"2/11/2020 1:21:00 PM"</f>
        <v>2/11/2020 1:21:00 PM</v>
      </c>
      <c r="O13565" t="s">
        <v>40989</v>
      </c>
      <c r="T13565" t="s">
        <v>40990</v>
      </c>
    </row>
    <row r="13566" spans="1:20" x14ac:dyDescent="0.25">
      <c r="A13566" t="str">
        <f>"3058261"</f>
        <v>3058261</v>
      </c>
      <c r="B13566" t="s">
        <v>40992</v>
      </c>
      <c r="C13566" t="str">
        <f>"8312977"</f>
        <v>8312977</v>
      </c>
      <c r="D13566" t="s">
        <v>40993</v>
      </c>
      <c r="E13566" t="s">
        <v>40994</v>
      </c>
      <c r="F13566" t="s">
        <v>40995</v>
      </c>
      <c r="I13566" t="s">
        <v>29</v>
      </c>
      <c r="J13566" t="s">
        <v>30</v>
      </c>
      <c r="K13566" t="s">
        <v>40996</v>
      </c>
      <c r="M13566" t="s">
        <v>17861</v>
      </c>
      <c r="N13566" t="str">
        <f>"2/11/2020 1:37:00 PM"</f>
        <v>2/11/2020 1:37:00 PM</v>
      </c>
      <c r="O13566" t="s">
        <v>40993</v>
      </c>
      <c r="T13566" t="s">
        <v>40994</v>
      </c>
    </row>
    <row r="13567" spans="1:20" x14ac:dyDescent="0.25">
      <c r="A13567" t="str">
        <f>"3052735"</f>
        <v>3052735</v>
      </c>
      <c r="B13567" t="s">
        <v>40997</v>
      </c>
      <c r="C13567" t="str">
        <f>"8312979"</f>
        <v>8312979</v>
      </c>
      <c r="D13567" t="s">
        <v>40998</v>
      </c>
      <c r="F13567" t="s">
        <v>40999</v>
      </c>
      <c r="I13567" t="s">
        <v>29</v>
      </c>
      <c r="J13567" t="s">
        <v>30</v>
      </c>
      <c r="K13567" t="s">
        <v>41000</v>
      </c>
      <c r="M13567" t="s">
        <v>17861</v>
      </c>
      <c r="N13567" t="str">
        <f>"2/11/2020 1:44:00 PM"</f>
        <v>2/11/2020 1:44:00 PM</v>
      </c>
      <c r="O13567" t="s">
        <v>40998</v>
      </c>
    </row>
    <row r="13568" spans="1:20" x14ac:dyDescent="0.25">
      <c r="A13568" t="str">
        <f>"3041408"</f>
        <v>3041408</v>
      </c>
      <c r="B13568" t="s">
        <v>41001</v>
      </c>
      <c r="C13568" t="str">
        <f>"8312981"</f>
        <v>8312981</v>
      </c>
      <c r="D13568" t="s">
        <v>41002</v>
      </c>
      <c r="F13568" t="s">
        <v>41003</v>
      </c>
      <c r="I13568" t="s">
        <v>2071</v>
      </c>
      <c r="J13568" t="s">
        <v>30</v>
      </c>
      <c r="K13568" t="s">
        <v>2200</v>
      </c>
      <c r="M13568" t="s">
        <v>17861</v>
      </c>
      <c r="N13568" t="str">
        <f>"2/11/2020 1:50:00 PM"</f>
        <v>2/11/2020 1:50:00 PM</v>
      </c>
      <c r="O13568" t="s">
        <v>41002</v>
      </c>
    </row>
    <row r="13569" spans="1:20" x14ac:dyDescent="0.25">
      <c r="A13569" t="str">
        <f>"3062782"</f>
        <v>3062782</v>
      </c>
      <c r="B13569" t="s">
        <v>41004</v>
      </c>
      <c r="C13569" t="str">
        <f>"8312982"</f>
        <v>8312982</v>
      </c>
      <c r="D13569" t="s">
        <v>41005</v>
      </c>
      <c r="E13569" t="s">
        <v>41006</v>
      </c>
      <c r="F13569" t="s">
        <v>41007</v>
      </c>
      <c r="I13569" t="s">
        <v>29</v>
      </c>
      <c r="J13569" t="s">
        <v>30</v>
      </c>
      <c r="K13569" t="s">
        <v>5078</v>
      </c>
      <c r="M13569" t="s">
        <v>17861</v>
      </c>
      <c r="N13569" t="str">
        <f>"2/11/2020 1:52:00 PM"</f>
        <v>2/11/2020 1:52:00 PM</v>
      </c>
      <c r="O13569" t="s">
        <v>41005</v>
      </c>
      <c r="T13569" t="s">
        <v>41006</v>
      </c>
    </row>
    <row r="13570" spans="1:20" x14ac:dyDescent="0.25">
      <c r="A13570" t="str">
        <f>"3052696"</f>
        <v>3052696</v>
      </c>
      <c r="B13570" t="s">
        <v>41008</v>
      </c>
      <c r="C13570" t="str">
        <f>"8312983"</f>
        <v>8312983</v>
      </c>
      <c r="D13570" t="s">
        <v>41009</v>
      </c>
      <c r="E13570" t="s">
        <v>41010</v>
      </c>
      <c r="F13570" t="s">
        <v>41011</v>
      </c>
      <c r="I13570" t="s">
        <v>29</v>
      </c>
      <c r="J13570" t="s">
        <v>30</v>
      </c>
      <c r="K13570" t="str">
        <f>"27028"</f>
        <v>27028</v>
      </c>
      <c r="M13570" t="s">
        <v>17861</v>
      </c>
      <c r="N13570" t="str">
        <f>"2/11/2020 1:55:00 PM"</f>
        <v>2/11/2020 1:55:00 PM</v>
      </c>
      <c r="O13570" t="s">
        <v>41009</v>
      </c>
      <c r="T13570" t="s">
        <v>41010</v>
      </c>
    </row>
    <row r="13571" spans="1:20" x14ac:dyDescent="0.25">
      <c r="A13571" t="str">
        <f>"3040475"</f>
        <v>3040475</v>
      </c>
      <c r="B13571" t="s">
        <v>41012</v>
      </c>
      <c r="C13571" t="str">
        <f>"8312985"</f>
        <v>8312985</v>
      </c>
      <c r="D13571" t="s">
        <v>41013</v>
      </c>
      <c r="F13571" t="s">
        <v>41014</v>
      </c>
      <c r="I13571" t="s">
        <v>184</v>
      </c>
      <c r="J13571" t="s">
        <v>30</v>
      </c>
      <c r="K13571" t="s">
        <v>41015</v>
      </c>
      <c r="M13571" t="s">
        <v>17861</v>
      </c>
      <c r="N13571" t="str">
        <f>"2/11/2020 2:01:00 PM"</f>
        <v>2/11/2020 2:01:00 PM</v>
      </c>
      <c r="O13571" t="s">
        <v>41013</v>
      </c>
    </row>
    <row r="13572" spans="1:20" x14ac:dyDescent="0.25">
      <c r="A13572" t="str">
        <f>"3062618"</f>
        <v>3062618</v>
      </c>
      <c r="B13572" t="s">
        <v>41016</v>
      </c>
      <c r="C13572" t="str">
        <f>"8312989"</f>
        <v>8312989</v>
      </c>
      <c r="D13572" t="s">
        <v>41017</v>
      </c>
      <c r="F13572" t="s">
        <v>41018</v>
      </c>
      <c r="I13572" t="s">
        <v>29</v>
      </c>
      <c r="J13572" t="s">
        <v>30</v>
      </c>
      <c r="K13572" t="s">
        <v>26664</v>
      </c>
      <c r="M13572" t="s">
        <v>17861</v>
      </c>
      <c r="N13572" t="str">
        <f>"2/11/2020 2:58:00 PM"</f>
        <v>2/11/2020 2:58:00 PM</v>
      </c>
      <c r="O13572" t="s">
        <v>41017</v>
      </c>
    </row>
    <row r="13573" spans="1:20" x14ac:dyDescent="0.25">
      <c r="A13573" t="str">
        <f>"3043379"</f>
        <v>3043379</v>
      </c>
      <c r="B13573" t="s">
        <v>41019</v>
      </c>
      <c r="C13573" t="str">
        <f>"8312990"</f>
        <v>8312990</v>
      </c>
      <c r="D13573" t="s">
        <v>41020</v>
      </c>
      <c r="E13573" t="s">
        <v>41021</v>
      </c>
      <c r="F13573" t="s">
        <v>41022</v>
      </c>
      <c r="I13573" t="s">
        <v>29</v>
      </c>
      <c r="J13573" t="s">
        <v>30</v>
      </c>
      <c r="K13573" t="s">
        <v>4538</v>
      </c>
      <c r="M13573" t="s">
        <v>17861</v>
      </c>
      <c r="N13573" t="str">
        <f>"2/11/2020 3:04:00 PM"</f>
        <v>2/11/2020 3:04:00 PM</v>
      </c>
      <c r="O13573" t="s">
        <v>41020</v>
      </c>
      <c r="T13573" t="s">
        <v>41021</v>
      </c>
    </row>
    <row r="13574" spans="1:20" x14ac:dyDescent="0.25">
      <c r="A13574" t="str">
        <f>"3061272"</f>
        <v>3061272</v>
      </c>
      <c r="B13574" t="s">
        <v>41023</v>
      </c>
      <c r="C13574" t="str">
        <f>"8312991"</f>
        <v>8312991</v>
      </c>
      <c r="D13574" t="s">
        <v>41024</v>
      </c>
      <c r="F13574" t="s">
        <v>41025</v>
      </c>
      <c r="I13574" t="s">
        <v>2071</v>
      </c>
      <c r="J13574" t="s">
        <v>30</v>
      </c>
      <c r="K13574" t="s">
        <v>36586</v>
      </c>
      <c r="M13574" t="s">
        <v>17861</v>
      </c>
      <c r="N13574" t="str">
        <f>"2/11/2020 3:06:00 PM"</f>
        <v>2/11/2020 3:06:00 PM</v>
      </c>
      <c r="O13574" t="s">
        <v>41024</v>
      </c>
    </row>
    <row r="13575" spans="1:20" x14ac:dyDescent="0.25">
      <c r="A13575" t="str">
        <f>"3053738"</f>
        <v>3053738</v>
      </c>
      <c r="B13575" t="s">
        <v>41026</v>
      </c>
      <c r="C13575" t="str">
        <f>"8312995"</f>
        <v>8312995</v>
      </c>
      <c r="D13575" t="s">
        <v>41027</v>
      </c>
      <c r="F13575" t="s">
        <v>41028</v>
      </c>
      <c r="I13575" t="s">
        <v>184</v>
      </c>
      <c r="J13575" t="s">
        <v>30</v>
      </c>
      <c r="K13575" t="s">
        <v>41029</v>
      </c>
      <c r="M13575" t="s">
        <v>17861</v>
      </c>
      <c r="N13575" t="str">
        <f>"2/11/2020 3:26:00 PM"</f>
        <v>2/11/2020 3:26:00 PM</v>
      </c>
      <c r="O13575" t="s">
        <v>41027</v>
      </c>
    </row>
    <row r="13576" spans="1:20" x14ac:dyDescent="0.25">
      <c r="A13576" t="str">
        <f>"3058956"</f>
        <v>3058956</v>
      </c>
      <c r="B13576" t="s">
        <v>41030</v>
      </c>
      <c r="C13576" t="str">
        <f>"8312999"</f>
        <v>8312999</v>
      </c>
      <c r="D13576" t="s">
        <v>41031</v>
      </c>
      <c r="E13576" t="s">
        <v>41032</v>
      </c>
      <c r="F13576" t="s">
        <v>41033</v>
      </c>
      <c r="I13576" t="s">
        <v>29</v>
      </c>
      <c r="J13576" t="s">
        <v>30</v>
      </c>
      <c r="K13576" t="s">
        <v>34379</v>
      </c>
      <c r="M13576" t="s">
        <v>17861</v>
      </c>
      <c r="N13576" t="str">
        <f>"2/11/2020 3:55:00 PM"</f>
        <v>2/11/2020 3:55:00 PM</v>
      </c>
      <c r="O13576" t="s">
        <v>41031</v>
      </c>
      <c r="T13576" t="s">
        <v>41032</v>
      </c>
    </row>
    <row r="13577" spans="1:20" x14ac:dyDescent="0.25">
      <c r="A13577" t="str">
        <f>"3040991"</f>
        <v>3040991</v>
      </c>
      <c r="B13577" t="s">
        <v>41034</v>
      </c>
      <c r="C13577" t="str">
        <f>"22356750"</f>
        <v>22356750</v>
      </c>
      <c r="D13577" t="s">
        <v>41035</v>
      </c>
      <c r="E13577" t="s">
        <v>41036</v>
      </c>
      <c r="F13577" t="s">
        <v>41037</v>
      </c>
      <c r="I13577" t="s">
        <v>184</v>
      </c>
      <c r="J13577" t="s">
        <v>30</v>
      </c>
      <c r="K13577" t="s">
        <v>32983</v>
      </c>
      <c r="M13577" t="s">
        <v>33845</v>
      </c>
      <c r="N13577" t="str">
        <f>"2/20/2020 12:04:00 PM"</f>
        <v>2/20/2020 12:04:00 PM</v>
      </c>
      <c r="O13577" t="s">
        <v>41035</v>
      </c>
      <c r="T13577" t="s">
        <v>41036</v>
      </c>
    </row>
    <row r="13578" spans="1:20" x14ac:dyDescent="0.25">
      <c r="A13578" t="str">
        <f>"3042279"</f>
        <v>3042279</v>
      </c>
      <c r="B13578" t="s">
        <v>41038</v>
      </c>
      <c r="C13578" t="str">
        <f>"8303262"</f>
        <v>8303262</v>
      </c>
      <c r="D13578" t="s">
        <v>41039</v>
      </c>
      <c r="E13578" t="s">
        <v>41040</v>
      </c>
      <c r="F13578" t="s">
        <v>41041</v>
      </c>
      <c r="I13578" t="s">
        <v>21225</v>
      </c>
      <c r="J13578" t="s">
        <v>30</v>
      </c>
      <c r="K13578" t="str">
        <f>"27028"</f>
        <v>27028</v>
      </c>
      <c r="M13578" t="s">
        <v>33845</v>
      </c>
      <c r="N13578" t="str">
        <f>"2/20/2020 12:04:00 PM"</f>
        <v>2/20/2020 12:04:00 PM</v>
      </c>
      <c r="O13578" t="s">
        <v>41039</v>
      </c>
      <c r="T13578" t="s">
        <v>41040</v>
      </c>
    </row>
    <row r="13579" spans="1:20" x14ac:dyDescent="0.25">
      <c r="A13579" t="str">
        <f>"3038943"</f>
        <v>3038943</v>
      </c>
      <c r="B13579" t="s">
        <v>41042</v>
      </c>
      <c r="C13579" t="str">
        <f>"8313079"</f>
        <v>8313079</v>
      </c>
      <c r="D13579" t="s">
        <v>41043</v>
      </c>
      <c r="F13579" t="s">
        <v>41044</v>
      </c>
      <c r="I13579" t="s">
        <v>29</v>
      </c>
      <c r="J13579" t="s">
        <v>30</v>
      </c>
      <c r="K13579" t="s">
        <v>1215</v>
      </c>
      <c r="M13579" t="s">
        <v>17861</v>
      </c>
      <c r="N13579" t="str">
        <f>"2/20/2020 12:47:00 PM"</f>
        <v>2/20/2020 12:47:00 PM</v>
      </c>
      <c r="O13579" t="s">
        <v>41043</v>
      </c>
    </row>
    <row r="13580" spans="1:20" x14ac:dyDescent="0.25">
      <c r="A13580" t="str">
        <f>"3062959"</f>
        <v>3062959</v>
      </c>
      <c r="B13580" t="s">
        <v>41045</v>
      </c>
      <c r="C13580" t="str">
        <f>"8313080"</f>
        <v>8313080</v>
      </c>
      <c r="D13580" t="s">
        <v>41046</v>
      </c>
      <c r="E13580" t="s">
        <v>41047</v>
      </c>
      <c r="F13580" t="s">
        <v>41048</v>
      </c>
      <c r="I13580" t="s">
        <v>29</v>
      </c>
      <c r="J13580" t="s">
        <v>30</v>
      </c>
      <c r="K13580" t="s">
        <v>41049</v>
      </c>
      <c r="M13580" t="s">
        <v>17861</v>
      </c>
      <c r="N13580" t="str">
        <f>"2/20/2020 12:58:00 PM"</f>
        <v>2/20/2020 12:58:00 PM</v>
      </c>
      <c r="O13580" t="s">
        <v>41046</v>
      </c>
      <c r="T13580" t="s">
        <v>41047</v>
      </c>
    </row>
    <row r="13581" spans="1:20" x14ac:dyDescent="0.25">
      <c r="A13581" t="str">
        <f>"3052610"</f>
        <v>3052610</v>
      </c>
      <c r="B13581" t="s">
        <v>41050</v>
      </c>
      <c r="C13581" t="str">
        <f>"8313083"</f>
        <v>8313083</v>
      </c>
      <c r="D13581" t="s">
        <v>41051</v>
      </c>
      <c r="F13581" t="s">
        <v>41052</v>
      </c>
      <c r="I13581" t="s">
        <v>29</v>
      </c>
      <c r="J13581" t="s">
        <v>30</v>
      </c>
      <c r="K13581" t="s">
        <v>41053</v>
      </c>
      <c r="M13581" t="s">
        <v>17861</v>
      </c>
      <c r="N13581" t="str">
        <f>"2/20/2020 1:18:00 PM"</f>
        <v>2/20/2020 1:18:00 PM</v>
      </c>
      <c r="O13581" t="s">
        <v>41051</v>
      </c>
    </row>
    <row r="13582" spans="1:20" x14ac:dyDescent="0.25">
      <c r="A13582" t="str">
        <f>"3044874"</f>
        <v>3044874</v>
      </c>
      <c r="B13582" t="s">
        <v>41054</v>
      </c>
      <c r="C13582" t="str">
        <f>"8313084"</f>
        <v>8313084</v>
      </c>
      <c r="D13582" t="s">
        <v>41055</v>
      </c>
      <c r="E13582" t="s">
        <v>41056</v>
      </c>
      <c r="F13582" t="s">
        <v>41057</v>
      </c>
      <c r="I13582" t="s">
        <v>184</v>
      </c>
      <c r="J13582" t="s">
        <v>30</v>
      </c>
      <c r="K13582" t="s">
        <v>41058</v>
      </c>
      <c r="M13582" t="s">
        <v>17861</v>
      </c>
      <c r="N13582" t="str">
        <f>"2/20/2020 1:21:00 PM"</f>
        <v>2/20/2020 1:21:00 PM</v>
      </c>
      <c r="O13582" t="s">
        <v>41055</v>
      </c>
      <c r="T13582" t="s">
        <v>41056</v>
      </c>
    </row>
    <row r="13583" spans="1:20" x14ac:dyDescent="0.25">
      <c r="A13583" t="str">
        <f>"3041494"</f>
        <v>3041494</v>
      </c>
      <c r="B13583" t="s">
        <v>41059</v>
      </c>
      <c r="C13583" t="str">
        <f>"8313086"</f>
        <v>8313086</v>
      </c>
      <c r="D13583" t="s">
        <v>41060</v>
      </c>
      <c r="E13583" t="s">
        <v>41061</v>
      </c>
      <c r="F13583" t="s">
        <v>41062</v>
      </c>
      <c r="I13583" t="s">
        <v>2071</v>
      </c>
      <c r="J13583" t="s">
        <v>30</v>
      </c>
      <c r="K13583" t="s">
        <v>38176</v>
      </c>
      <c r="M13583" t="s">
        <v>17861</v>
      </c>
      <c r="N13583" t="str">
        <f>"2/20/2020 1:46:00 PM"</f>
        <v>2/20/2020 1:46:00 PM</v>
      </c>
      <c r="O13583" t="s">
        <v>41060</v>
      </c>
      <c r="T13583" t="s">
        <v>41061</v>
      </c>
    </row>
    <row r="13584" spans="1:20" x14ac:dyDescent="0.25">
      <c r="A13584" t="str">
        <f>"3039876"</f>
        <v>3039876</v>
      </c>
      <c r="B13584" t="s">
        <v>41063</v>
      </c>
      <c r="C13584" t="str">
        <f>"82527263"</f>
        <v>82527263</v>
      </c>
      <c r="D13584" t="s">
        <v>41064</v>
      </c>
      <c r="E13584" t="s">
        <v>41065</v>
      </c>
      <c r="F13584" t="s">
        <v>41066</v>
      </c>
      <c r="I13584" t="s">
        <v>29</v>
      </c>
      <c r="J13584" t="s">
        <v>30</v>
      </c>
      <c r="K13584" t="s">
        <v>31</v>
      </c>
      <c r="M13584" t="s">
        <v>33845</v>
      </c>
      <c r="N13584" t="str">
        <f>"2/20/2020 2:10:00 PM"</f>
        <v>2/20/2020 2:10:00 PM</v>
      </c>
      <c r="O13584" t="s">
        <v>41064</v>
      </c>
      <c r="T13584" t="s">
        <v>41065</v>
      </c>
    </row>
    <row r="13585" spans="1:20" x14ac:dyDescent="0.25">
      <c r="A13585" t="str">
        <f>"3050416"</f>
        <v>3050416</v>
      </c>
      <c r="B13585" t="s">
        <v>41067</v>
      </c>
      <c r="C13585" t="str">
        <f>"8302615"</f>
        <v>8302615</v>
      </c>
      <c r="D13585" t="s">
        <v>41068</v>
      </c>
      <c r="F13585" t="s">
        <v>41069</v>
      </c>
      <c r="I13585" t="s">
        <v>184</v>
      </c>
      <c r="J13585" t="s">
        <v>30</v>
      </c>
      <c r="K13585" t="str">
        <f>"27006"</f>
        <v>27006</v>
      </c>
      <c r="M13585" t="s">
        <v>33845</v>
      </c>
      <c r="N13585" t="str">
        <f>"2/20/2020 2:12:00 PM"</f>
        <v>2/20/2020 2:12:00 PM</v>
      </c>
      <c r="O13585" t="s">
        <v>41068</v>
      </c>
    </row>
    <row r="13586" spans="1:20" x14ac:dyDescent="0.25">
      <c r="A13586" t="str">
        <f>"3039391"</f>
        <v>3039391</v>
      </c>
      <c r="B13586" t="s">
        <v>41070</v>
      </c>
      <c r="C13586" t="str">
        <f>"8313000"</f>
        <v>8313000</v>
      </c>
      <c r="D13586" t="s">
        <v>41071</v>
      </c>
      <c r="E13586" t="s">
        <v>41072</v>
      </c>
      <c r="F13586" t="s">
        <v>41073</v>
      </c>
      <c r="I13586" t="s">
        <v>49</v>
      </c>
      <c r="J13586" t="s">
        <v>30</v>
      </c>
      <c r="K13586" t="str">
        <f>"27055"</f>
        <v>27055</v>
      </c>
      <c r="M13586" t="s">
        <v>17861</v>
      </c>
      <c r="N13586" t="str">
        <f>"2/11/2020 4:02:00 PM"</f>
        <v>2/11/2020 4:02:00 PM</v>
      </c>
      <c r="O13586" t="s">
        <v>41071</v>
      </c>
      <c r="T13586" t="s">
        <v>41072</v>
      </c>
    </row>
    <row r="13587" spans="1:20" x14ac:dyDescent="0.25">
      <c r="A13587" t="str">
        <f>"3048085"</f>
        <v>3048085</v>
      </c>
      <c r="B13587" t="s">
        <v>41074</v>
      </c>
      <c r="C13587" t="str">
        <f>"8313001"</f>
        <v>8313001</v>
      </c>
      <c r="D13587" t="s">
        <v>41075</v>
      </c>
      <c r="F13587" t="s">
        <v>39521</v>
      </c>
      <c r="I13587" t="s">
        <v>184</v>
      </c>
      <c r="J13587" t="s">
        <v>30</v>
      </c>
      <c r="K13587" t="s">
        <v>7679</v>
      </c>
      <c r="M13587" t="s">
        <v>17861</v>
      </c>
      <c r="N13587" t="str">
        <f>"2/11/2020 4:05:00 PM"</f>
        <v>2/11/2020 4:05:00 PM</v>
      </c>
      <c r="O13587" t="s">
        <v>41075</v>
      </c>
    </row>
    <row r="13588" spans="1:20" x14ac:dyDescent="0.25">
      <c r="A13588" t="str">
        <f>"3057664"</f>
        <v>3057664</v>
      </c>
      <c r="B13588" t="s">
        <v>41076</v>
      </c>
      <c r="C13588" t="str">
        <f>"8313002"</f>
        <v>8313002</v>
      </c>
      <c r="D13588" t="s">
        <v>41077</v>
      </c>
      <c r="F13588" t="s">
        <v>41078</v>
      </c>
      <c r="I13588" t="s">
        <v>184</v>
      </c>
      <c r="J13588" t="s">
        <v>30</v>
      </c>
      <c r="K13588" t="s">
        <v>41079</v>
      </c>
      <c r="M13588" t="s">
        <v>17861</v>
      </c>
      <c r="N13588" t="str">
        <f>"2/11/2020 4:11:00 PM"</f>
        <v>2/11/2020 4:11:00 PM</v>
      </c>
      <c r="O13588" t="s">
        <v>41077</v>
      </c>
    </row>
    <row r="13589" spans="1:20" x14ac:dyDescent="0.25">
      <c r="A13589" t="str">
        <f>"3039885"</f>
        <v>3039885</v>
      </c>
      <c r="B13589" t="s">
        <v>41080</v>
      </c>
      <c r="C13589" t="str">
        <f>"8313042"</f>
        <v>8313042</v>
      </c>
      <c r="D13589" t="s">
        <v>41081</v>
      </c>
      <c r="F13589" t="s">
        <v>41082</v>
      </c>
      <c r="I13589" t="s">
        <v>29</v>
      </c>
      <c r="J13589" t="s">
        <v>30</v>
      </c>
      <c r="K13589" t="s">
        <v>34104</v>
      </c>
      <c r="M13589" t="s">
        <v>17861</v>
      </c>
      <c r="N13589" t="str">
        <f>"2/13/2020 2:10:00 PM"</f>
        <v>2/13/2020 2:10:00 PM</v>
      </c>
      <c r="O13589" t="s">
        <v>41081</v>
      </c>
    </row>
    <row r="13590" spans="1:20" x14ac:dyDescent="0.25">
      <c r="A13590" t="str">
        <f>"3060495"</f>
        <v>3060495</v>
      </c>
      <c r="B13590" t="s">
        <v>41083</v>
      </c>
      <c r="C13590" t="str">
        <f>"8313051"</f>
        <v>8313051</v>
      </c>
      <c r="D13590" t="s">
        <v>41084</v>
      </c>
      <c r="E13590" t="s">
        <v>41085</v>
      </c>
      <c r="F13590" t="s">
        <v>41086</v>
      </c>
      <c r="I13590" t="s">
        <v>184</v>
      </c>
      <c r="J13590" t="s">
        <v>30</v>
      </c>
      <c r="K13590" t="s">
        <v>9123</v>
      </c>
      <c r="M13590" t="s">
        <v>17861</v>
      </c>
      <c r="N13590" t="str">
        <f>"2/13/2020 3:50:00 PM"</f>
        <v>2/13/2020 3:50:00 PM</v>
      </c>
      <c r="O13590" t="s">
        <v>41084</v>
      </c>
      <c r="T13590" t="s">
        <v>41085</v>
      </c>
    </row>
    <row r="13591" spans="1:20" x14ac:dyDescent="0.25">
      <c r="A13591" t="str">
        <f>"3061314"</f>
        <v>3061314</v>
      </c>
      <c r="B13591" t="s">
        <v>41087</v>
      </c>
      <c r="C13591" t="str">
        <f>"8313056"</f>
        <v>8313056</v>
      </c>
      <c r="D13591" t="s">
        <v>41088</v>
      </c>
      <c r="E13591" t="s">
        <v>41089</v>
      </c>
      <c r="F13591" t="s">
        <v>41090</v>
      </c>
      <c r="I13591" t="s">
        <v>2071</v>
      </c>
      <c r="J13591" t="s">
        <v>30</v>
      </c>
      <c r="K13591" t="s">
        <v>35233</v>
      </c>
      <c r="M13591" t="s">
        <v>17861</v>
      </c>
      <c r="N13591" t="str">
        <f>"2/17/2020 3:17:00 PM"</f>
        <v>2/17/2020 3:17:00 PM</v>
      </c>
      <c r="O13591" t="s">
        <v>41088</v>
      </c>
      <c r="T13591" t="s">
        <v>41089</v>
      </c>
    </row>
    <row r="13592" spans="1:20" x14ac:dyDescent="0.25">
      <c r="A13592" t="str">
        <f>"3060518"</f>
        <v>3060518</v>
      </c>
      <c r="B13592" t="s">
        <v>41091</v>
      </c>
      <c r="C13592" t="str">
        <f>"8313057"</f>
        <v>8313057</v>
      </c>
      <c r="D13592" t="s">
        <v>41092</v>
      </c>
      <c r="E13592" t="s">
        <v>41093</v>
      </c>
      <c r="F13592" t="s">
        <v>41094</v>
      </c>
      <c r="I13592" t="s">
        <v>184</v>
      </c>
      <c r="J13592" t="s">
        <v>30</v>
      </c>
      <c r="K13592" t="s">
        <v>33287</v>
      </c>
      <c r="M13592" t="s">
        <v>17861</v>
      </c>
      <c r="N13592" t="str">
        <f>"2/17/2020 3:20:00 PM"</f>
        <v>2/17/2020 3:20:00 PM</v>
      </c>
      <c r="O13592" t="s">
        <v>41092</v>
      </c>
      <c r="T13592" t="s">
        <v>41093</v>
      </c>
    </row>
    <row r="13593" spans="1:20" x14ac:dyDescent="0.25">
      <c r="A13593" t="str">
        <f>"3041274"</f>
        <v>3041274</v>
      </c>
      <c r="B13593" t="s">
        <v>41095</v>
      </c>
      <c r="C13593" t="str">
        <f>"8313059"</f>
        <v>8313059</v>
      </c>
      <c r="D13593" t="s">
        <v>41096</v>
      </c>
      <c r="E13593" t="s">
        <v>41097</v>
      </c>
      <c r="F13593" t="s">
        <v>41098</v>
      </c>
      <c r="I13593" t="s">
        <v>2071</v>
      </c>
      <c r="J13593" t="s">
        <v>30</v>
      </c>
      <c r="K13593" t="str">
        <f>"27006"</f>
        <v>27006</v>
      </c>
      <c r="M13593" t="s">
        <v>17861</v>
      </c>
      <c r="N13593" t="str">
        <f>"2/17/2020 4:01:00 PM"</f>
        <v>2/17/2020 4:01:00 PM</v>
      </c>
      <c r="O13593" t="s">
        <v>41096</v>
      </c>
      <c r="T13593" t="s">
        <v>41097</v>
      </c>
    </row>
    <row r="13594" spans="1:20" x14ac:dyDescent="0.25">
      <c r="A13594" t="str">
        <f>"3053114"</f>
        <v>3053114</v>
      </c>
      <c r="B13594" t="s">
        <v>41099</v>
      </c>
      <c r="C13594" t="str">
        <f>"8313094"</f>
        <v>8313094</v>
      </c>
      <c r="D13594" t="s">
        <v>41100</v>
      </c>
      <c r="F13594" t="s">
        <v>41101</v>
      </c>
      <c r="I13594" t="s">
        <v>29</v>
      </c>
      <c r="J13594" t="s">
        <v>30</v>
      </c>
      <c r="K13594" t="s">
        <v>4760</v>
      </c>
      <c r="M13594" t="s">
        <v>17861</v>
      </c>
      <c r="N13594" t="str">
        <f>"2/24/2020 1:04:00 PM"</f>
        <v>2/24/2020 1:04:00 PM</v>
      </c>
      <c r="O13594" t="s">
        <v>41100</v>
      </c>
    </row>
    <row r="13595" spans="1:20" x14ac:dyDescent="0.25">
      <c r="A13595" t="str">
        <f>"3061583"</f>
        <v>3061583</v>
      </c>
      <c r="B13595" t="s">
        <v>41102</v>
      </c>
      <c r="C13595" t="str">
        <f>"8313041"</f>
        <v>8313041</v>
      </c>
      <c r="D13595" t="s">
        <v>41103</v>
      </c>
      <c r="F13595" t="s">
        <v>41104</v>
      </c>
      <c r="I13595" t="s">
        <v>29</v>
      </c>
      <c r="J13595" t="s">
        <v>30</v>
      </c>
      <c r="K13595" t="s">
        <v>19108</v>
      </c>
      <c r="M13595" t="s">
        <v>17861</v>
      </c>
      <c r="N13595" t="str">
        <f>"2/13/2020 1:48:00 PM"</f>
        <v>2/13/2020 1:48:00 PM</v>
      </c>
      <c r="O13595" t="s">
        <v>41103</v>
      </c>
    </row>
    <row r="13596" spans="1:20" x14ac:dyDescent="0.25">
      <c r="A13596" t="str">
        <f>"3039309"</f>
        <v>3039309</v>
      </c>
      <c r="B13596" t="s">
        <v>41105</v>
      </c>
      <c r="C13596" t="str">
        <f>"8313104"</f>
        <v>8313104</v>
      </c>
      <c r="D13596" t="s">
        <v>40508</v>
      </c>
      <c r="F13596" t="s">
        <v>40509</v>
      </c>
      <c r="I13596" t="s">
        <v>29</v>
      </c>
      <c r="J13596" t="s">
        <v>30</v>
      </c>
      <c r="K13596" t="s">
        <v>40510</v>
      </c>
      <c r="M13596" t="s">
        <v>17861</v>
      </c>
      <c r="N13596" t="str">
        <f>"2/25/2020 1:49:00 PM"</f>
        <v>2/25/2020 1:49:00 PM</v>
      </c>
      <c r="O13596" t="s">
        <v>40508</v>
      </c>
    </row>
    <row r="13597" spans="1:20" x14ac:dyDescent="0.25">
      <c r="A13597" t="str">
        <f>"3043526"</f>
        <v>3043526</v>
      </c>
      <c r="B13597" t="s">
        <v>41106</v>
      </c>
      <c r="C13597" t="str">
        <f>"8313062"</f>
        <v>8313062</v>
      </c>
      <c r="D13597" t="s">
        <v>41107</v>
      </c>
      <c r="F13597" t="s">
        <v>41108</v>
      </c>
      <c r="I13597" t="s">
        <v>29</v>
      </c>
      <c r="J13597" t="s">
        <v>30</v>
      </c>
      <c r="K13597" t="s">
        <v>7221</v>
      </c>
      <c r="M13597" t="s">
        <v>17861</v>
      </c>
      <c r="N13597" t="str">
        <f>"2/18/2020 11:22:00 AM"</f>
        <v>2/18/2020 11:22:00 AM</v>
      </c>
      <c r="O13597" t="s">
        <v>41107</v>
      </c>
    </row>
    <row r="13598" spans="1:20" x14ac:dyDescent="0.25">
      <c r="A13598" t="str">
        <f>"3052635"</f>
        <v>3052635</v>
      </c>
      <c r="B13598" t="s">
        <v>41109</v>
      </c>
      <c r="C13598" t="str">
        <f>"8313065"</f>
        <v>8313065</v>
      </c>
      <c r="D13598" t="s">
        <v>41110</v>
      </c>
      <c r="E13598" t="s">
        <v>41111</v>
      </c>
      <c r="F13598" t="s">
        <v>41112</v>
      </c>
      <c r="I13598" t="s">
        <v>29</v>
      </c>
      <c r="J13598" t="s">
        <v>30</v>
      </c>
      <c r="K13598" t="s">
        <v>41113</v>
      </c>
      <c r="M13598" t="s">
        <v>17861</v>
      </c>
      <c r="N13598" t="str">
        <f>"2/18/2020 11:41:00 AM"</f>
        <v>2/18/2020 11:41:00 AM</v>
      </c>
      <c r="O13598" t="s">
        <v>41110</v>
      </c>
      <c r="T13598" t="s">
        <v>41111</v>
      </c>
    </row>
    <row r="13599" spans="1:20" x14ac:dyDescent="0.25">
      <c r="A13599" t="str">
        <f>"3053459"</f>
        <v>3053459</v>
      </c>
      <c r="B13599" t="s">
        <v>41114</v>
      </c>
      <c r="C13599" t="str">
        <f>"8313066"</f>
        <v>8313066</v>
      </c>
      <c r="D13599" t="s">
        <v>41115</v>
      </c>
      <c r="F13599" t="s">
        <v>41116</v>
      </c>
      <c r="I13599" t="s">
        <v>29</v>
      </c>
      <c r="J13599" t="s">
        <v>30</v>
      </c>
      <c r="K13599" t="s">
        <v>41117</v>
      </c>
      <c r="M13599" t="s">
        <v>17861</v>
      </c>
      <c r="N13599" t="str">
        <f>"2/18/2020 11:43:00 AM"</f>
        <v>2/18/2020 11:43:00 AM</v>
      </c>
      <c r="O13599" t="s">
        <v>41115</v>
      </c>
    </row>
    <row r="13600" spans="1:20" x14ac:dyDescent="0.25">
      <c r="A13600" t="str">
        <f>"3077608"</f>
        <v>3077608</v>
      </c>
      <c r="B13600" t="s">
        <v>41118</v>
      </c>
      <c r="C13600" t="str">
        <f>"11686100"</f>
        <v>11686100</v>
      </c>
      <c r="D13600" t="s">
        <v>41119</v>
      </c>
      <c r="F13600" t="s">
        <v>41120</v>
      </c>
      <c r="I13600" t="s">
        <v>471</v>
      </c>
      <c r="J13600" t="s">
        <v>30</v>
      </c>
      <c r="K13600" t="s">
        <v>41121</v>
      </c>
      <c r="M13600" t="s">
        <v>17861</v>
      </c>
      <c r="N13600" t="str">
        <f>"2/20/2020 8:46:00 AM"</f>
        <v>2/20/2020 8:46:00 AM</v>
      </c>
      <c r="O13600" t="s">
        <v>41119</v>
      </c>
    </row>
    <row r="13601" spans="1:20" x14ac:dyDescent="0.25">
      <c r="A13601" t="str">
        <f>"3051815"</f>
        <v>3051815</v>
      </c>
      <c r="B13601" t="s">
        <v>41122</v>
      </c>
      <c r="C13601" t="str">
        <f>"8311614"</f>
        <v>8311614</v>
      </c>
      <c r="D13601" t="s">
        <v>41123</v>
      </c>
      <c r="F13601" t="s">
        <v>41124</v>
      </c>
      <c r="I13601" t="s">
        <v>17084</v>
      </c>
      <c r="J13601" t="s">
        <v>30</v>
      </c>
      <c r="K13601" t="s">
        <v>41125</v>
      </c>
      <c r="M13601" t="s">
        <v>36935</v>
      </c>
      <c r="N13601" t="str">
        <f>"2/26/2020 12:18:00 PM"</f>
        <v>2/26/2020 12:18:00 PM</v>
      </c>
      <c r="O13601" t="s">
        <v>41123</v>
      </c>
    </row>
    <row r="13602" spans="1:20" x14ac:dyDescent="0.25">
      <c r="A13602" t="str">
        <f>"3041139"</f>
        <v>3041139</v>
      </c>
      <c r="B13602" t="s">
        <v>41126</v>
      </c>
      <c r="C13602" t="str">
        <f>"11686100"</f>
        <v>11686100</v>
      </c>
      <c r="D13602" t="s">
        <v>41119</v>
      </c>
      <c r="F13602" t="s">
        <v>41120</v>
      </c>
      <c r="I13602" t="s">
        <v>471</v>
      </c>
      <c r="J13602" t="s">
        <v>30</v>
      </c>
      <c r="K13602" t="s">
        <v>41121</v>
      </c>
      <c r="M13602" t="s">
        <v>17861</v>
      </c>
      <c r="N13602" t="str">
        <f>"2/20/2020 8:46:00 AM"</f>
        <v>2/20/2020 8:46:00 AM</v>
      </c>
      <c r="O13602" t="s">
        <v>41119</v>
      </c>
    </row>
    <row r="13603" spans="1:20" x14ac:dyDescent="0.25">
      <c r="A13603" t="str">
        <f>"3041095"</f>
        <v>3041095</v>
      </c>
      <c r="B13603" t="s">
        <v>41127</v>
      </c>
      <c r="C13603" t="str">
        <f>"11686100"</f>
        <v>11686100</v>
      </c>
      <c r="D13603" t="s">
        <v>41119</v>
      </c>
      <c r="F13603" t="s">
        <v>41120</v>
      </c>
      <c r="I13603" t="s">
        <v>471</v>
      </c>
      <c r="J13603" t="s">
        <v>30</v>
      </c>
      <c r="K13603" t="s">
        <v>41121</v>
      </c>
      <c r="M13603" t="s">
        <v>17861</v>
      </c>
      <c r="N13603" t="str">
        <f>"2/20/2020 8:46:00 AM"</f>
        <v>2/20/2020 8:46:00 AM</v>
      </c>
      <c r="O13603" t="s">
        <v>41119</v>
      </c>
    </row>
    <row r="13604" spans="1:20" x14ac:dyDescent="0.25">
      <c r="A13604" t="str">
        <f>"3041033"</f>
        <v>3041033</v>
      </c>
      <c r="B13604" t="s">
        <v>41128</v>
      </c>
      <c r="C13604" t="str">
        <f>"11686100"</f>
        <v>11686100</v>
      </c>
      <c r="D13604" t="s">
        <v>41119</v>
      </c>
      <c r="F13604" t="s">
        <v>41120</v>
      </c>
      <c r="I13604" t="s">
        <v>471</v>
      </c>
      <c r="J13604" t="s">
        <v>30</v>
      </c>
      <c r="K13604" t="s">
        <v>41121</v>
      </c>
      <c r="M13604" t="s">
        <v>17861</v>
      </c>
      <c r="N13604" t="str">
        <f>"2/20/2020 8:46:00 AM"</f>
        <v>2/20/2020 8:46:00 AM</v>
      </c>
      <c r="O13604" t="s">
        <v>41119</v>
      </c>
    </row>
    <row r="13605" spans="1:20" x14ac:dyDescent="0.25">
      <c r="A13605" t="str">
        <f>"3060114"</f>
        <v>3060114</v>
      </c>
      <c r="B13605" t="s">
        <v>41129</v>
      </c>
      <c r="C13605" t="str">
        <f>"8313074"</f>
        <v>8313074</v>
      </c>
      <c r="D13605" t="s">
        <v>41130</v>
      </c>
      <c r="E13605" t="s">
        <v>41131</v>
      </c>
      <c r="F13605" t="s">
        <v>41132</v>
      </c>
      <c r="I13605" t="s">
        <v>184</v>
      </c>
      <c r="J13605" t="s">
        <v>30</v>
      </c>
      <c r="K13605" t="s">
        <v>33921</v>
      </c>
      <c r="M13605" t="s">
        <v>17861</v>
      </c>
      <c r="N13605" t="str">
        <f>"2/20/2020 9:59:00 AM"</f>
        <v>2/20/2020 9:59:00 AM</v>
      </c>
      <c r="O13605" t="s">
        <v>41130</v>
      </c>
      <c r="T13605" t="s">
        <v>41131</v>
      </c>
    </row>
    <row r="13606" spans="1:20" x14ac:dyDescent="0.25">
      <c r="A13606" t="str">
        <f>"3055936"</f>
        <v>3055936</v>
      </c>
      <c r="B13606" t="s">
        <v>41133</v>
      </c>
      <c r="C13606" t="str">
        <f>"8313119"</f>
        <v>8313119</v>
      </c>
      <c r="D13606" t="s">
        <v>41134</v>
      </c>
      <c r="F13606" t="s">
        <v>41135</v>
      </c>
      <c r="I13606" t="s">
        <v>184</v>
      </c>
      <c r="J13606" t="s">
        <v>30</v>
      </c>
      <c r="K13606" t="s">
        <v>15015</v>
      </c>
      <c r="M13606" t="s">
        <v>17861</v>
      </c>
      <c r="N13606" t="str">
        <f>"2/27/2020 10:06:00 AM"</f>
        <v>2/27/2020 10:06:00 AM</v>
      </c>
      <c r="O13606" t="s">
        <v>41134</v>
      </c>
    </row>
    <row r="13607" spans="1:20" x14ac:dyDescent="0.25">
      <c r="A13607" t="str">
        <f>"3045775"</f>
        <v>3045775</v>
      </c>
      <c r="B13607" t="s">
        <v>41136</v>
      </c>
      <c r="C13607" t="str">
        <f>"8313120"</f>
        <v>8313120</v>
      </c>
      <c r="D13607" t="s">
        <v>41137</v>
      </c>
      <c r="E13607" t="s">
        <v>41138</v>
      </c>
      <c r="F13607" t="s">
        <v>41139</v>
      </c>
      <c r="I13607" t="s">
        <v>2275</v>
      </c>
      <c r="J13607" t="s">
        <v>30</v>
      </c>
      <c r="K13607" t="s">
        <v>41140</v>
      </c>
      <c r="M13607" t="s">
        <v>17861</v>
      </c>
      <c r="N13607" t="str">
        <f>"2/27/2020 10:08:00 AM"</f>
        <v>2/27/2020 10:08:00 AM</v>
      </c>
      <c r="O13607" t="s">
        <v>41137</v>
      </c>
      <c r="T13607" t="s">
        <v>41138</v>
      </c>
    </row>
    <row r="13608" spans="1:20" x14ac:dyDescent="0.25">
      <c r="A13608" t="str">
        <f>"3058301"</f>
        <v>3058301</v>
      </c>
      <c r="B13608" t="s">
        <v>41141</v>
      </c>
      <c r="C13608" t="str">
        <f>"8313075"</f>
        <v>8313075</v>
      </c>
      <c r="D13608" t="s">
        <v>41142</v>
      </c>
      <c r="E13608" t="s">
        <v>41143</v>
      </c>
      <c r="F13608" t="s">
        <v>41144</v>
      </c>
      <c r="I13608" t="s">
        <v>29</v>
      </c>
      <c r="J13608" t="s">
        <v>30</v>
      </c>
      <c r="K13608" t="s">
        <v>10059</v>
      </c>
      <c r="M13608" t="s">
        <v>17861</v>
      </c>
      <c r="N13608" t="str">
        <f>"2/20/2020 10:10:00 AM"</f>
        <v>2/20/2020 10:10:00 AM</v>
      </c>
      <c r="O13608" t="s">
        <v>41142</v>
      </c>
      <c r="T13608" t="s">
        <v>41143</v>
      </c>
    </row>
    <row r="13609" spans="1:20" x14ac:dyDescent="0.25">
      <c r="A13609" t="str">
        <f>"3057326"</f>
        <v>3057326</v>
      </c>
      <c r="B13609" t="s">
        <v>41145</v>
      </c>
      <c r="C13609" t="str">
        <f>"8313075"</f>
        <v>8313075</v>
      </c>
      <c r="D13609" t="s">
        <v>41142</v>
      </c>
      <c r="E13609" t="s">
        <v>41143</v>
      </c>
      <c r="F13609" t="s">
        <v>41144</v>
      </c>
      <c r="I13609" t="s">
        <v>29</v>
      </c>
      <c r="J13609" t="s">
        <v>30</v>
      </c>
      <c r="K13609" t="s">
        <v>10059</v>
      </c>
      <c r="M13609" t="s">
        <v>17861</v>
      </c>
      <c r="N13609" t="str">
        <f>"2/20/2020 10:10:00 AM"</f>
        <v>2/20/2020 10:10:00 AM</v>
      </c>
      <c r="O13609" t="s">
        <v>41142</v>
      </c>
      <c r="T13609" t="s">
        <v>41143</v>
      </c>
    </row>
    <row r="13610" spans="1:20" x14ac:dyDescent="0.25">
      <c r="A13610" t="str">
        <f>"3060976"</f>
        <v>3060976</v>
      </c>
      <c r="B13610" t="s">
        <v>41146</v>
      </c>
      <c r="C13610" t="str">
        <f>"8313076"</f>
        <v>8313076</v>
      </c>
      <c r="D13610" t="s">
        <v>41147</v>
      </c>
      <c r="F13610" t="s">
        <v>41148</v>
      </c>
      <c r="I13610" t="s">
        <v>2071</v>
      </c>
      <c r="J13610" t="s">
        <v>30</v>
      </c>
      <c r="K13610" t="s">
        <v>39090</v>
      </c>
      <c r="M13610" t="s">
        <v>17861</v>
      </c>
      <c r="N13610" t="str">
        <f>"2/20/2020 10:13:00 AM"</f>
        <v>2/20/2020 10:13:00 AM</v>
      </c>
      <c r="O13610" t="s">
        <v>41147</v>
      </c>
    </row>
    <row r="13611" spans="1:20" x14ac:dyDescent="0.25">
      <c r="A13611" t="str">
        <f>"3049916"</f>
        <v>3049916</v>
      </c>
      <c r="B13611" t="s">
        <v>41149</v>
      </c>
      <c r="C13611" t="str">
        <f>"78883180"</f>
        <v>78883180</v>
      </c>
      <c r="D13611" t="s">
        <v>41150</v>
      </c>
      <c r="F13611" t="s">
        <v>41151</v>
      </c>
      <c r="I13611" t="s">
        <v>29</v>
      </c>
      <c r="J13611" t="s">
        <v>30</v>
      </c>
      <c r="K13611" t="s">
        <v>37067</v>
      </c>
      <c r="M13611" t="s">
        <v>33845</v>
      </c>
      <c r="N13611" t="str">
        <f>"2/20/2020 12:01:00 PM"</f>
        <v>2/20/2020 12:01:00 PM</v>
      </c>
      <c r="O13611" t="s">
        <v>41150</v>
      </c>
    </row>
    <row r="13612" spans="1:20" x14ac:dyDescent="0.25">
      <c r="A13612" t="str">
        <f>"3058079"</f>
        <v>3058079</v>
      </c>
      <c r="B13612" t="s">
        <v>41152</v>
      </c>
      <c r="C13612" t="str">
        <f>"82519670"</f>
        <v>82519670</v>
      </c>
      <c r="D13612" t="s">
        <v>41153</v>
      </c>
      <c r="E13612" t="s">
        <v>41154</v>
      </c>
      <c r="F13612" t="s">
        <v>41155</v>
      </c>
      <c r="I13612" t="s">
        <v>184</v>
      </c>
      <c r="J13612" t="s">
        <v>30</v>
      </c>
      <c r="K13612" t="s">
        <v>185</v>
      </c>
      <c r="M13612" t="s">
        <v>33845</v>
      </c>
      <c r="N13612" t="str">
        <f>"2/20/2020 12:03:00 PM"</f>
        <v>2/20/2020 12:03:00 PM</v>
      </c>
      <c r="O13612" t="s">
        <v>41153</v>
      </c>
      <c r="T13612" t="s">
        <v>41154</v>
      </c>
    </row>
    <row r="13613" spans="1:20" x14ac:dyDescent="0.25">
      <c r="A13613" t="str">
        <f>"3045396"</f>
        <v>3045396</v>
      </c>
      <c r="B13613" t="s">
        <v>41156</v>
      </c>
      <c r="C13613" t="str">
        <f>"82529050"</f>
        <v>82529050</v>
      </c>
      <c r="D13613" t="s">
        <v>41157</v>
      </c>
      <c r="F13613" t="s">
        <v>41158</v>
      </c>
      <c r="I13613" t="s">
        <v>1149</v>
      </c>
      <c r="J13613" t="s">
        <v>30</v>
      </c>
      <c r="K13613" t="s">
        <v>6577</v>
      </c>
      <c r="M13613" t="s">
        <v>18479</v>
      </c>
      <c r="N13613" t="str">
        <f>"2/28/2020 3:22:00 PM"</f>
        <v>2/28/2020 3:22:00 PM</v>
      </c>
      <c r="O13613" t="s">
        <v>41157</v>
      </c>
    </row>
    <row r="13614" spans="1:20" x14ac:dyDescent="0.25">
      <c r="A13614" t="str">
        <f>"3046403"</f>
        <v>3046403</v>
      </c>
      <c r="B13614" t="s">
        <v>41159</v>
      </c>
      <c r="C13614" t="str">
        <f>"8312014"</f>
        <v>8312014</v>
      </c>
      <c r="D13614" t="s">
        <v>41160</v>
      </c>
      <c r="F13614" t="s">
        <v>41161</v>
      </c>
      <c r="I13614" t="s">
        <v>29</v>
      </c>
      <c r="J13614" t="s">
        <v>30</v>
      </c>
      <c r="K13614" t="s">
        <v>27835</v>
      </c>
      <c r="M13614" t="s">
        <v>17861</v>
      </c>
      <c r="N13614" t="str">
        <f>"3/2/2020 9:16:00 AM"</f>
        <v>3/2/2020 9:16:00 AM</v>
      </c>
      <c r="O13614" t="s">
        <v>41160</v>
      </c>
    </row>
    <row r="13615" spans="1:20" x14ac:dyDescent="0.25">
      <c r="A13615" t="str">
        <f>"3060632"</f>
        <v>3060632</v>
      </c>
      <c r="B13615" t="s">
        <v>41162</v>
      </c>
      <c r="C13615" t="str">
        <f>"8313127"</f>
        <v>8313127</v>
      </c>
      <c r="D13615" t="s">
        <v>41163</v>
      </c>
      <c r="E13615" t="str">
        <f>"SCHNEIDER EDWARD L/SANDRA G TR"</f>
        <v>SCHNEIDER EDWARD L/SANDRA G TR</v>
      </c>
      <c r="F13615" t="s">
        <v>41164</v>
      </c>
      <c r="I13615" t="s">
        <v>2071</v>
      </c>
      <c r="J13615" t="s">
        <v>30</v>
      </c>
      <c r="K13615" t="s">
        <v>6427</v>
      </c>
      <c r="M13615" t="s">
        <v>17861</v>
      </c>
      <c r="N13615" t="str">
        <f>"3/2/2020 11:09:00 AM"</f>
        <v>3/2/2020 11:09:00 AM</v>
      </c>
      <c r="O13615" t="s">
        <v>41163</v>
      </c>
      <c r="T13615" t="str">
        <f>"SCHNEIDER EDWARD L/SANDRA G TR"</f>
        <v>SCHNEIDER EDWARD L/SANDRA G TR</v>
      </c>
    </row>
    <row r="13616" spans="1:20" x14ac:dyDescent="0.25">
      <c r="A13616" t="str">
        <f>"3062098"</f>
        <v>3062098</v>
      </c>
      <c r="B13616" t="s">
        <v>41165</v>
      </c>
      <c r="C13616" t="str">
        <f>"8313130"</f>
        <v>8313130</v>
      </c>
      <c r="D13616" t="s">
        <v>41166</v>
      </c>
      <c r="E13616" t="s">
        <v>41167</v>
      </c>
      <c r="F13616" t="s">
        <v>41168</v>
      </c>
      <c r="I13616" t="s">
        <v>29</v>
      </c>
      <c r="J13616" t="s">
        <v>30</v>
      </c>
      <c r="K13616" t="s">
        <v>1075</v>
      </c>
      <c r="M13616" t="s">
        <v>17861</v>
      </c>
      <c r="N13616" t="str">
        <f>"3/2/2020 11:19:00 AM"</f>
        <v>3/2/2020 11:19:00 AM</v>
      </c>
      <c r="O13616" t="s">
        <v>41166</v>
      </c>
      <c r="T13616" t="s">
        <v>41167</v>
      </c>
    </row>
    <row r="13617" spans="1:20" x14ac:dyDescent="0.25">
      <c r="A13617" t="str">
        <f>"3053237"</f>
        <v>3053237</v>
      </c>
      <c r="B13617" t="s">
        <v>41169</v>
      </c>
      <c r="C13617" t="str">
        <f>"22356750"</f>
        <v>22356750</v>
      </c>
      <c r="D13617" t="s">
        <v>41035</v>
      </c>
      <c r="E13617" t="s">
        <v>41036</v>
      </c>
      <c r="F13617" t="s">
        <v>41037</v>
      </c>
      <c r="I13617" t="s">
        <v>184</v>
      </c>
      <c r="J13617" t="s">
        <v>30</v>
      </c>
      <c r="K13617" t="s">
        <v>32983</v>
      </c>
      <c r="M13617" t="s">
        <v>33845</v>
      </c>
      <c r="N13617" t="str">
        <f>"2/20/2020 12:04:00 PM"</f>
        <v>2/20/2020 12:04:00 PM</v>
      </c>
      <c r="O13617" t="s">
        <v>41035</v>
      </c>
      <c r="T13617" t="s">
        <v>41036</v>
      </c>
    </row>
    <row r="13618" spans="1:20" x14ac:dyDescent="0.25">
      <c r="A13618" t="str">
        <f>"3054356"</f>
        <v>3054356</v>
      </c>
      <c r="B13618" t="s">
        <v>41170</v>
      </c>
      <c r="C13618" t="str">
        <f>"22356750"</f>
        <v>22356750</v>
      </c>
      <c r="D13618" t="s">
        <v>41035</v>
      </c>
      <c r="E13618" t="s">
        <v>41036</v>
      </c>
      <c r="F13618" t="s">
        <v>41037</v>
      </c>
      <c r="I13618" t="s">
        <v>184</v>
      </c>
      <c r="J13618" t="s">
        <v>30</v>
      </c>
      <c r="K13618" t="s">
        <v>32983</v>
      </c>
      <c r="M13618" t="s">
        <v>33845</v>
      </c>
      <c r="N13618" t="str">
        <f>"2/20/2020 12:04:00 PM"</f>
        <v>2/20/2020 12:04:00 PM</v>
      </c>
      <c r="O13618" t="s">
        <v>41035</v>
      </c>
      <c r="T13618" t="s">
        <v>41036</v>
      </c>
    </row>
    <row r="13619" spans="1:20" x14ac:dyDescent="0.25">
      <c r="A13619" t="str">
        <f>"3041842"</f>
        <v>3041842</v>
      </c>
      <c r="B13619" t="s">
        <v>41171</v>
      </c>
      <c r="C13619" t="str">
        <f>"82530557"</f>
        <v>82530557</v>
      </c>
      <c r="D13619" t="s">
        <v>41172</v>
      </c>
      <c r="F13619" t="s">
        <v>41173</v>
      </c>
      <c r="I13619" t="s">
        <v>41174</v>
      </c>
      <c r="J13619" t="s">
        <v>12725</v>
      </c>
      <c r="K13619" t="s">
        <v>41175</v>
      </c>
      <c r="M13619" t="s">
        <v>36935</v>
      </c>
      <c r="N13619" t="str">
        <f>"2/21/2020 3:48:00 PM"</f>
        <v>2/21/2020 3:48:00 PM</v>
      </c>
      <c r="O13619" t="s">
        <v>41172</v>
      </c>
    </row>
    <row r="13620" spans="1:20" x14ac:dyDescent="0.25">
      <c r="A13620" t="str">
        <f>"3071223"</f>
        <v>3071223</v>
      </c>
      <c r="B13620" t="s">
        <v>41176</v>
      </c>
      <c r="C13620" t="str">
        <f>"8313134"</f>
        <v>8313134</v>
      </c>
      <c r="D13620" t="s">
        <v>41177</v>
      </c>
      <c r="F13620" t="s">
        <v>41178</v>
      </c>
      <c r="I13620" t="s">
        <v>184</v>
      </c>
      <c r="J13620" t="s">
        <v>30</v>
      </c>
      <c r="K13620" t="s">
        <v>8584</v>
      </c>
      <c r="M13620" t="s">
        <v>17861</v>
      </c>
      <c r="N13620" t="str">
        <f>"3/2/2020 3:00:00 PM"</f>
        <v>3/2/2020 3:00:00 PM</v>
      </c>
      <c r="O13620" t="s">
        <v>41177</v>
      </c>
    </row>
    <row r="13621" spans="1:20" x14ac:dyDescent="0.25">
      <c r="A13621" t="str">
        <f>"3048564"</f>
        <v>3048564</v>
      </c>
      <c r="B13621" t="s">
        <v>41179</v>
      </c>
      <c r="C13621" t="str">
        <f>"8313134"</f>
        <v>8313134</v>
      </c>
      <c r="D13621" t="s">
        <v>41177</v>
      </c>
      <c r="F13621" t="s">
        <v>41178</v>
      </c>
      <c r="I13621" t="s">
        <v>184</v>
      </c>
      <c r="J13621" t="s">
        <v>30</v>
      </c>
      <c r="K13621" t="s">
        <v>8584</v>
      </c>
      <c r="M13621" t="s">
        <v>17861</v>
      </c>
      <c r="N13621" t="str">
        <f>"3/2/2020 3:00:00 PM"</f>
        <v>3/2/2020 3:00:00 PM</v>
      </c>
      <c r="O13621" t="s">
        <v>41177</v>
      </c>
    </row>
    <row r="13622" spans="1:20" x14ac:dyDescent="0.25">
      <c r="A13622" t="str">
        <f>"3049120"</f>
        <v>3049120</v>
      </c>
      <c r="B13622" t="s">
        <v>41180</v>
      </c>
      <c r="C13622" t="str">
        <f>"8313137"</f>
        <v>8313137</v>
      </c>
      <c r="D13622" t="s">
        <v>41181</v>
      </c>
      <c r="E13622" t="str">
        <f>"YAMAOKA LARRY H/ESTHER L TRUST"</f>
        <v>YAMAOKA LARRY H/ESTHER L TRUST</v>
      </c>
      <c r="F13622" t="s">
        <v>41182</v>
      </c>
      <c r="I13622" t="s">
        <v>41183</v>
      </c>
      <c r="J13622" t="s">
        <v>41184</v>
      </c>
      <c r="K13622" t="s">
        <v>41185</v>
      </c>
      <c r="M13622" t="s">
        <v>17861</v>
      </c>
      <c r="N13622" t="str">
        <f>"3/2/2020 3:31:00 PM"</f>
        <v>3/2/2020 3:31:00 PM</v>
      </c>
      <c r="O13622" t="s">
        <v>41181</v>
      </c>
      <c r="T13622" t="str">
        <f>"YAMAOKA LARRY H/ESTHER L TRUST"</f>
        <v>YAMAOKA LARRY H/ESTHER L TRUST</v>
      </c>
    </row>
    <row r="13623" spans="1:20" x14ac:dyDescent="0.25">
      <c r="A13623" t="str">
        <f>"3038530"</f>
        <v>3038530</v>
      </c>
      <c r="B13623" t="s">
        <v>41186</v>
      </c>
      <c r="C13623" t="str">
        <f>"8311274"</f>
        <v>8311274</v>
      </c>
      <c r="D13623" t="s">
        <v>41187</v>
      </c>
      <c r="E13623" t="s">
        <v>41188</v>
      </c>
      <c r="F13623" t="s">
        <v>41189</v>
      </c>
      <c r="I13623" t="s">
        <v>29</v>
      </c>
      <c r="J13623" t="s">
        <v>30</v>
      </c>
      <c r="K13623" t="s">
        <v>41190</v>
      </c>
      <c r="M13623" t="s">
        <v>18479</v>
      </c>
      <c r="N13623" t="str">
        <f>"3/3/2020 11:34:00 AM"</f>
        <v>3/3/2020 11:34:00 AM</v>
      </c>
      <c r="O13623" t="s">
        <v>41187</v>
      </c>
      <c r="T13623" t="s">
        <v>41188</v>
      </c>
    </row>
    <row r="13624" spans="1:20" x14ac:dyDescent="0.25">
      <c r="A13624" t="str">
        <f>"3060786"</f>
        <v>3060786</v>
      </c>
      <c r="B13624" t="s">
        <v>41191</v>
      </c>
      <c r="C13624" t="str">
        <f>"8313142"</f>
        <v>8313142</v>
      </c>
      <c r="D13624" t="s">
        <v>41192</v>
      </c>
      <c r="E13624" t="s">
        <v>41193</v>
      </c>
      <c r="F13624" t="s">
        <v>41194</v>
      </c>
      <c r="I13624" t="s">
        <v>184</v>
      </c>
      <c r="J13624" t="s">
        <v>30</v>
      </c>
      <c r="K13624" t="s">
        <v>819</v>
      </c>
      <c r="M13624" t="s">
        <v>17861</v>
      </c>
      <c r="N13624" t="str">
        <f>"3/3/2020 12:17:00 PM"</f>
        <v>3/3/2020 12:17:00 PM</v>
      </c>
      <c r="O13624" t="s">
        <v>41192</v>
      </c>
      <c r="T13624" t="s">
        <v>41193</v>
      </c>
    </row>
    <row r="13625" spans="1:20" x14ac:dyDescent="0.25">
      <c r="A13625" t="str">
        <f>"3062361"</f>
        <v>3062361</v>
      </c>
      <c r="B13625" t="s">
        <v>41195</v>
      </c>
      <c r="C13625" t="str">
        <f>"8313144"</f>
        <v>8313144</v>
      </c>
      <c r="D13625" t="s">
        <v>41196</v>
      </c>
      <c r="F13625" t="s">
        <v>41197</v>
      </c>
      <c r="I13625" t="s">
        <v>29</v>
      </c>
      <c r="J13625" t="s">
        <v>30</v>
      </c>
      <c r="K13625" t="s">
        <v>14250</v>
      </c>
      <c r="M13625" t="s">
        <v>17861</v>
      </c>
      <c r="N13625" t="str">
        <f>"3/3/2020 12:23:00 PM"</f>
        <v>3/3/2020 12:23:00 PM</v>
      </c>
      <c r="O13625" t="s">
        <v>41196</v>
      </c>
    </row>
    <row r="13626" spans="1:20" x14ac:dyDescent="0.25">
      <c r="A13626" t="str">
        <f>"3045259"</f>
        <v>3045259</v>
      </c>
      <c r="B13626" t="s">
        <v>41198</v>
      </c>
      <c r="C13626" t="str">
        <f>"8309816"</f>
        <v>8309816</v>
      </c>
      <c r="D13626" t="s">
        <v>41199</v>
      </c>
      <c r="E13626" t="s">
        <v>41200</v>
      </c>
      <c r="F13626" t="s">
        <v>41201</v>
      </c>
      <c r="I13626" t="s">
        <v>29</v>
      </c>
      <c r="J13626" t="s">
        <v>30</v>
      </c>
      <c r="K13626" t="s">
        <v>41202</v>
      </c>
      <c r="M13626" t="s">
        <v>17861</v>
      </c>
      <c r="N13626" t="str">
        <f>"2/24/2020 10:08:00 AM"</f>
        <v>2/24/2020 10:08:00 AM</v>
      </c>
      <c r="O13626" t="s">
        <v>41199</v>
      </c>
      <c r="T13626" t="s">
        <v>41200</v>
      </c>
    </row>
    <row r="13627" spans="1:20" x14ac:dyDescent="0.25">
      <c r="A13627" t="str">
        <f>"3042667"</f>
        <v>3042667</v>
      </c>
      <c r="B13627" t="s">
        <v>41203</v>
      </c>
      <c r="C13627" t="str">
        <f>"8309184"</f>
        <v>8309184</v>
      </c>
      <c r="D13627" t="s">
        <v>41204</v>
      </c>
      <c r="F13627" t="s">
        <v>41205</v>
      </c>
      <c r="I13627" t="s">
        <v>29</v>
      </c>
      <c r="J13627" t="s">
        <v>30</v>
      </c>
      <c r="K13627" t="s">
        <v>2315</v>
      </c>
      <c r="M13627" t="s">
        <v>40663</v>
      </c>
      <c r="N13627" t="str">
        <f>"3/3/2020 1:57:00 PM"</f>
        <v>3/3/2020 1:57:00 PM</v>
      </c>
      <c r="O13627" t="s">
        <v>41204</v>
      </c>
    </row>
    <row r="13628" spans="1:20" x14ac:dyDescent="0.25">
      <c r="A13628" t="str">
        <f>"3052476"</f>
        <v>3052476</v>
      </c>
      <c r="B13628" t="s">
        <v>41206</v>
      </c>
      <c r="C13628" t="str">
        <f>"50408000"</f>
        <v>50408000</v>
      </c>
      <c r="D13628" t="s">
        <v>41207</v>
      </c>
      <c r="E13628" t="s">
        <v>41208</v>
      </c>
      <c r="F13628" t="s">
        <v>41209</v>
      </c>
      <c r="I13628" t="s">
        <v>29</v>
      </c>
      <c r="J13628" t="s">
        <v>30</v>
      </c>
      <c r="K13628" t="s">
        <v>31</v>
      </c>
      <c r="M13628" t="s">
        <v>40663</v>
      </c>
      <c r="N13628" t="str">
        <f>"3/3/2020 1:58:00 PM"</f>
        <v>3/3/2020 1:58:00 PM</v>
      </c>
      <c r="O13628" t="s">
        <v>41207</v>
      </c>
      <c r="T13628" t="s">
        <v>41208</v>
      </c>
    </row>
    <row r="13629" spans="1:20" x14ac:dyDescent="0.25">
      <c r="A13629" t="str">
        <f>"3051647"</f>
        <v>3051647</v>
      </c>
      <c r="B13629" t="s">
        <v>41210</v>
      </c>
      <c r="C13629" t="str">
        <f>"8300019"</f>
        <v>8300019</v>
      </c>
      <c r="D13629" t="s">
        <v>41211</v>
      </c>
      <c r="F13629" t="s">
        <v>41212</v>
      </c>
      <c r="I13629" t="s">
        <v>29</v>
      </c>
      <c r="J13629" t="s">
        <v>30</v>
      </c>
      <c r="K13629" t="s">
        <v>31</v>
      </c>
      <c r="M13629" t="s">
        <v>40663</v>
      </c>
      <c r="N13629" t="str">
        <f>"3/3/2020 2:49:00 PM"</f>
        <v>3/3/2020 2:49:00 PM</v>
      </c>
      <c r="O13629" t="s">
        <v>41211</v>
      </c>
    </row>
    <row r="13630" spans="1:20" x14ac:dyDescent="0.25">
      <c r="A13630" t="str">
        <f>"3044687"</f>
        <v>3044687</v>
      </c>
      <c r="B13630" t="s">
        <v>41213</v>
      </c>
      <c r="C13630" t="str">
        <f>"8313091"</f>
        <v>8313091</v>
      </c>
      <c r="D13630" t="s">
        <v>41214</v>
      </c>
      <c r="E13630" t="s">
        <v>41215</v>
      </c>
      <c r="F13630" t="s">
        <v>41216</v>
      </c>
      <c r="I13630" t="s">
        <v>184</v>
      </c>
      <c r="J13630" t="s">
        <v>30</v>
      </c>
      <c r="K13630" t="s">
        <v>5715</v>
      </c>
      <c r="M13630" t="s">
        <v>17861</v>
      </c>
      <c r="N13630" t="str">
        <f>"2/24/2020 11:07:00 AM"</f>
        <v>2/24/2020 11:07:00 AM</v>
      </c>
      <c r="O13630" t="s">
        <v>41214</v>
      </c>
      <c r="T13630" t="s">
        <v>41215</v>
      </c>
    </row>
    <row r="13631" spans="1:20" x14ac:dyDescent="0.25">
      <c r="A13631" t="str">
        <f>"3067886"</f>
        <v>3067886</v>
      </c>
      <c r="B13631" t="s">
        <v>41217</v>
      </c>
      <c r="C13631" t="str">
        <f>"8313093"</f>
        <v>8313093</v>
      </c>
      <c r="D13631" t="s">
        <v>41218</v>
      </c>
      <c r="E13631" t="s">
        <v>41219</v>
      </c>
      <c r="F13631" t="s">
        <v>41220</v>
      </c>
      <c r="I13631" t="s">
        <v>2071</v>
      </c>
      <c r="J13631" t="s">
        <v>30</v>
      </c>
      <c r="K13631" t="s">
        <v>6410</v>
      </c>
      <c r="M13631" t="s">
        <v>17861</v>
      </c>
      <c r="N13631" t="str">
        <f>"2/24/2020 11:32:00 AM"</f>
        <v>2/24/2020 11:32:00 AM</v>
      </c>
      <c r="O13631" t="s">
        <v>41218</v>
      </c>
      <c r="T13631" t="s">
        <v>41219</v>
      </c>
    </row>
    <row r="13632" spans="1:20" x14ac:dyDescent="0.25">
      <c r="A13632" t="str">
        <f>"3043759"</f>
        <v>3043759</v>
      </c>
      <c r="B13632" t="s">
        <v>41221</v>
      </c>
      <c r="C13632" t="str">
        <f>"8313104"</f>
        <v>8313104</v>
      </c>
      <c r="D13632" t="s">
        <v>40508</v>
      </c>
      <c r="F13632" t="s">
        <v>40509</v>
      </c>
      <c r="I13632" t="s">
        <v>29</v>
      </c>
      <c r="J13632" t="s">
        <v>30</v>
      </c>
      <c r="K13632" t="s">
        <v>40510</v>
      </c>
      <c r="M13632" t="s">
        <v>17861</v>
      </c>
      <c r="N13632" t="str">
        <f>"2/25/2020 1:49:00 PM"</f>
        <v>2/25/2020 1:49:00 PM</v>
      </c>
      <c r="O13632" t="s">
        <v>40508</v>
      </c>
    </row>
    <row r="13633" spans="1:20" x14ac:dyDescent="0.25">
      <c r="A13633" t="str">
        <f>"3042138"</f>
        <v>3042138</v>
      </c>
      <c r="B13633" t="s">
        <v>41222</v>
      </c>
      <c r="C13633" t="str">
        <f>"8313107"</f>
        <v>8313107</v>
      </c>
      <c r="D13633" t="s">
        <v>41223</v>
      </c>
      <c r="F13633" t="s">
        <v>41224</v>
      </c>
      <c r="I13633" t="s">
        <v>29</v>
      </c>
      <c r="J13633" t="s">
        <v>30</v>
      </c>
      <c r="K13633" t="s">
        <v>7442</v>
      </c>
      <c r="M13633" t="s">
        <v>17861</v>
      </c>
      <c r="N13633" t="str">
        <f>"2/25/2020 2:26:00 PM"</f>
        <v>2/25/2020 2:26:00 PM</v>
      </c>
      <c r="O13633" t="s">
        <v>41223</v>
      </c>
    </row>
    <row r="13634" spans="1:20" x14ac:dyDescent="0.25">
      <c r="A13634" t="str">
        <f>"3053763"</f>
        <v>3053763</v>
      </c>
      <c r="B13634" t="s">
        <v>41225</v>
      </c>
      <c r="C13634" t="str">
        <f>"8313151"</f>
        <v>8313151</v>
      </c>
      <c r="D13634" t="s">
        <v>41226</v>
      </c>
      <c r="F13634" t="s">
        <v>41227</v>
      </c>
      <c r="I13634" t="s">
        <v>184</v>
      </c>
      <c r="J13634" t="s">
        <v>30</v>
      </c>
      <c r="K13634" t="s">
        <v>41228</v>
      </c>
      <c r="M13634" t="s">
        <v>17861</v>
      </c>
      <c r="N13634" t="str">
        <f>"3/5/2020 1:41:00 PM"</f>
        <v>3/5/2020 1:41:00 PM</v>
      </c>
      <c r="O13634" t="s">
        <v>41226</v>
      </c>
    </row>
    <row r="13635" spans="1:20" x14ac:dyDescent="0.25">
      <c r="A13635" t="str">
        <f>"3050497"</f>
        <v>3050497</v>
      </c>
      <c r="B13635" t="s">
        <v>41229</v>
      </c>
      <c r="C13635" t="str">
        <f>"8313154"</f>
        <v>8313154</v>
      </c>
      <c r="D13635" t="s">
        <v>41230</v>
      </c>
      <c r="E13635" t="s">
        <v>41231</v>
      </c>
      <c r="F13635" t="s">
        <v>41232</v>
      </c>
      <c r="I13635" t="s">
        <v>184</v>
      </c>
      <c r="J13635" t="s">
        <v>30</v>
      </c>
      <c r="K13635" t="s">
        <v>18939</v>
      </c>
      <c r="M13635" t="s">
        <v>17861</v>
      </c>
      <c r="N13635" t="str">
        <f>"3/6/2020 1:15:00 PM"</f>
        <v>3/6/2020 1:15:00 PM</v>
      </c>
      <c r="O13635" t="s">
        <v>41230</v>
      </c>
      <c r="T13635" t="s">
        <v>41231</v>
      </c>
    </row>
    <row r="13636" spans="1:20" x14ac:dyDescent="0.25">
      <c r="A13636" t="str">
        <f>"3059013"</f>
        <v>3059013</v>
      </c>
      <c r="B13636" t="s">
        <v>41233</v>
      </c>
      <c r="C13636" t="str">
        <f>"8313155"</f>
        <v>8313155</v>
      </c>
      <c r="D13636" t="s">
        <v>41234</v>
      </c>
      <c r="F13636" t="s">
        <v>41235</v>
      </c>
      <c r="I13636" t="s">
        <v>29</v>
      </c>
      <c r="J13636" t="s">
        <v>30</v>
      </c>
      <c r="K13636" t="s">
        <v>41236</v>
      </c>
      <c r="M13636" t="s">
        <v>17861</v>
      </c>
      <c r="N13636" t="str">
        <f>"3/6/2020 1:17:00 PM"</f>
        <v>3/6/2020 1:17:00 PM</v>
      </c>
      <c r="O13636" t="s">
        <v>41234</v>
      </c>
    </row>
    <row r="13637" spans="1:20" x14ac:dyDescent="0.25">
      <c r="A13637" t="str">
        <f>"3038603"</f>
        <v>3038603</v>
      </c>
      <c r="B13637" t="s">
        <v>41237</v>
      </c>
      <c r="C13637" t="str">
        <f>"8313156"</f>
        <v>8313156</v>
      </c>
      <c r="D13637" t="s">
        <v>41238</v>
      </c>
      <c r="E13637" t="s">
        <v>41239</v>
      </c>
      <c r="F13637" t="s">
        <v>41240</v>
      </c>
      <c r="I13637" t="s">
        <v>41241</v>
      </c>
      <c r="J13637" t="s">
        <v>30</v>
      </c>
      <c r="K13637" t="str">
        <f>"27316"</f>
        <v>27316</v>
      </c>
      <c r="M13637" t="s">
        <v>17861</v>
      </c>
      <c r="N13637" t="str">
        <f>"3/6/2020 1:25:00 PM"</f>
        <v>3/6/2020 1:25:00 PM</v>
      </c>
      <c r="O13637" t="s">
        <v>41238</v>
      </c>
      <c r="T13637" t="s">
        <v>41239</v>
      </c>
    </row>
    <row r="13638" spans="1:20" x14ac:dyDescent="0.25">
      <c r="A13638" t="str">
        <f>"3064011"</f>
        <v>3064011</v>
      </c>
      <c r="B13638" t="s">
        <v>41242</v>
      </c>
      <c r="C13638" t="str">
        <f>"8313107"</f>
        <v>8313107</v>
      </c>
      <c r="D13638" t="s">
        <v>41223</v>
      </c>
      <c r="F13638" t="s">
        <v>41224</v>
      </c>
      <c r="I13638" t="s">
        <v>29</v>
      </c>
      <c r="J13638" t="s">
        <v>30</v>
      </c>
      <c r="K13638" t="s">
        <v>7442</v>
      </c>
      <c r="M13638" t="s">
        <v>17861</v>
      </c>
      <c r="N13638" t="str">
        <f>"2/25/2020 2:26:00 PM"</f>
        <v>2/25/2020 2:26:00 PM</v>
      </c>
      <c r="O13638" t="s">
        <v>41223</v>
      </c>
    </row>
    <row r="13639" spans="1:20" x14ac:dyDescent="0.25">
      <c r="A13639" t="str">
        <f>"3045156"</f>
        <v>3045156</v>
      </c>
      <c r="B13639" t="s">
        <v>41243</v>
      </c>
      <c r="C13639" t="str">
        <f>"8313111"</f>
        <v>8313111</v>
      </c>
      <c r="D13639" t="s">
        <v>41244</v>
      </c>
      <c r="F13639" t="s">
        <v>41245</v>
      </c>
      <c r="I13639" t="s">
        <v>29</v>
      </c>
      <c r="J13639" t="s">
        <v>30</v>
      </c>
      <c r="K13639" t="s">
        <v>37654</v>
      </c>
      <c r="M13639" t="s">
        <v>17861</v>
      </c>
      <c r="N13639" t="str">
        <f>"2/26/2020 8:18:00 AM"</f>
        <v>2/26/2020 8:18:00 AM</v>
      </c>
      <c r="O13639" t="s">
        <v>41244</v>
      </c>
    </row>
    <row r="13640" spans="1:20" x14ac:dyDescent="0.25">
      <c r="A13640" t="str">
        <f>"3048497"</f>
        <v>3048497</v>
      </c>
      <c r="B13640" t="s">
        <v>41246</v>
      </c>
      <c r="C13640" t="str">
        <f>"8313113"</f>
        <v>8313113</v>
      </c>
      <c r="D13640" t="s">
        <v>41247</v>
      </c>
      <c r="E13640" t="s">
        <v>41248</v>
      </c>
      <c r="F13640" t="s">
        <v>41249</v>
      </c>
      <c r="G13640" t="s">
        <v>33009</v>
      </c>
      <c r="I13640" t="s">
        <v>471</v>
      </c>
      <c r="J13640" t="s">
        <v>30</v>
      </c>
      <c r="K13640" t="s">
        <v>41250</v>
      </c>
      <c r="M13640" t="s">
        <v>17861</v>
      </c>
      <c r="N13640" t="str">
        <f>"2/26/2020 8:40:00 AM"</f>
        <v>2/26/2020 8:40:00 AM</v>
      </c>
      <c r="O13640" t="s">
        <v>41247</v>
      </c>
      <c r="T13640" t="s">
        <v>41248</v>
      </c>
    </row>
    <row r="13641" spans="1:20" x14ac:dyDescent="0.25">
      <c r="A13641" t="str">
        <f>"3066266"</f>
        <v>3066266</v>
      </c>
      <c r="B13641" t="s">
        <v>41251</v>
      </c>
      <c r="C13641" t="str">
        <f>"8313115"</f>
        <v>8313115</v>
      </c>
      <c r="D13641" t="str">
        <f>"SNYDER REID JAMES JR /LYNN CO"</f>
        <v>SNYDER REID JAMES JR /LYNN CO</v>
      </c>
      <c r="E13641" t="str">
        <f>"SNYDER TIMOTHY M/DONNA SETZER"</f>
        <v>SNYDER TIMOTHY M/DONNA SETZER</v>
      </c>
      <c r="F13641" t="s">
        <v>41252</v>
      </c>
      <c r="I13641" t="s">
        <v>29</v>
      </c>
      <c r="J13641" t="s">
        <v>30</v>
      </c>
      <c r="K13641" t="s">
        <v>40374</v>
      </c>
      <c r="M13641" t="s">
        <v>17861</v>
      </c>
      <c r="N13641" t="str">
        <f>"2/26/2020 3:54:00 PM"</f>
        <v>2/26/2020 3:54:00 PM</v>
      </c>
      <c r="O13641" t="str">
        <f>"SNYDER REID JAMES  JR /LYNN CO"</f>
        <v>SNYDER REID JAMES  JR /LYNN CO</v>
      </c>
      <c r="T13641" t="str">
        <f>"SNYDER TIMOTHY M/DONNA SETZER"</f>
        <v>SNYDER TIMOTHY M/DONNA SETZER</v>
      </c>
    </row>
    <row r="13642" spans="1:20" x14ac:dyDescent="0.25">
      <c r="A13642" t="str">
        <f>"3049056"</f>
        <v>3049056</v>
      </c>
      <c r="B13642" t="s">
        <v>41253</v>
      </c>
      <c r="C13642" t="str">
        <f>"82523467"</f>
        <v>82523467</v>
      </c>
      <c r="D13642" t="s">
        <v>41254</v>
      </c>
      <c r="F13642" t="s">
        <v>9277</v>
      </c>
      <c r="I13642" t="s">
        <v>163</v>
      </c>
      <c r="J13642" t="s">
        <v>30</v>
      </c>
      <c r="K13642" t="s">
        <v>41255</v>
      </c>
      <c r="M13642" t="s">
        <v>33845</v>
      </c>
      <c r="N13642" t="str">
        <f>"2/27/2020 9:17:00 AM"</f>
        <v>2/27/2020 9:17:00 AM</v>
      </c>
      <c r="O13642" t="s">
        <v>41254</v>
      </c>
    </row>
    <row r="13643" spans="1:20" x14ac:dyDescent="0.25">
      <c r="A13643" t="str">
        <f>"3049057"</f>
        <v>3049057</v>
      </c>
      <c r="B13643" t="s">
        <v>41256</v>
      </c>
      <c r="C13643" t="str">
        <f>"82523467"</f>
        <v>82523467</v>
      </c>
      <c r="D13643" t="s">
        <v>41254</v>
      </c>
      <c r="F13643" t="s">
        <v>9277</v>
      </c>
      <c r="I13643" t="s">
        <v>163</v>
      </c>
      <c r="J13643" t="s">
        <v>30</v>
      </c>
      <c r="K13643" t="s">
        <v>41255</v>
      </c>
      <c r="M13643" t="s">
        <v>33845</v>
      </c>
      <c r="N13643" t="str">
        <f>"2/27/2020 9:17:00 AM"</f>
        <v>2/27/2020 9:17:00 AM</v>
      </c>
      <c r="O13643" t="s">
        <v>41254</v>
      </c>
    </row>
    <row r="13644" spans="1:20" x14ac:dyDescent="0.25">
      <c r="A13644" t="str">
        <f>"3040218"</f>
        <v>3040218</v>
      </c>
      <c r="B13644" t="s">
        <v>41257</v>
      </c>
      <c r="C13644" t="str">
        <f>"8313118"</f>
        <v>8313118</v>
      </c>
      <c r="D13644" t="s">
        <v>41258</v>
      </c>
      <c r="E13644" t="s">
        <v>41259</v>
      </c>
      <c r="F13644" t="s">
        <v>41260</v>
      </c>
      <c r="I13644" t="s">
        <v>29</v>
      </c>
      <c r="J13644" t="s">
        <v>30</v>
      </c>
      <c r="K13644" t="s">
        <v>41261</v>
      </c>
      <c r="M13644" t="s">
        <v>17861</v>
      </c>
      <c r="N13644" t="str">
        <f>"2/27/2020 10:03:00 AM"</f>
        <v>2/27/2020 10:03:00 AM</v>
      </c>
      <c r="O13644" t="s">
        <v>41258</v>
      </c>
      <c r="T13644" t="s">
        <v>41259</v>
      </c>
    </row>
    <row r="13645" spans="1:20" x14ac:dyDescent="0.25">
      <c r="A13645" t="str">
        <f>"3060039"</f>
        <v>3060039</v>
      </c>
      <c r="B13645" t="s">
        <v>41262</v>
      </c>
      <c r="C13645" t="str">
        <f>"8313123"</f>
        <v>8313123</v>
      </c>
      <c r="D13645" t="s">
        <v>41263</v>
      </c>
      <c r="E13645" t="str">
        <f>"ADAMS WILLIAM L/WILMA B TRUSTE"</f>
        <v>ADAMS WILLIAM L/WILMA B TRUSTE</v>
      </c>
      <c r="F13645" t="s">
        <v>41264</v>
      </c>
      <c r="I13645" t="s">
        <v>184</v>
      </c>
      <c r="J13645" t="s">
        <v>30</v>
      </c>
      <c r="K13645" t="s">
        <v>37983</v>
      </c>
      <c r="M13645" t="s">
        <v>17861</v>
      </c>
      <c r="N13645" t="str">
        <f>"2/27/2020 10:50:00 AM"</f>
        <v>2/27/2020 10:50:00 AM</v>
      </c>
      <c r="O13645" t="s">
        <v>41263</v>
      </c>
      <c r="T13645" t="str">
        <f>"ADAMS WILLIAM L/WILMA B TRUSTE"</f>
        <v>ADAMS WILLIAM L/WILMA B TRUSTE</v>
      </c>
    </row>
    <row r="13646" spans="1:20" x14ac:dyDescent="0.25">
      <c r="A13646" t="str">
        <f>"3048446"</f>
        <v>3048446</v>
      </c>
      <c r="B13646" t="s">
        <v>41265</v>
      </c>
      <c r="C13646" t="str">
        <f>"8313126"</f>
        <v>8313126</v>
      </c>
      <c r="D13646" t="s">
        <v>41266</v>
      </c>
      <c r="E13646" t="s">
        <v>41267</v>
      </c>
      <c r="F13646" t="s">
        <v>41268</v>
      </c>
      <c r="I13646" t="s">
        <v>29</v>
      </c>
      <c r="J13646" t="s">
        <v>30</v>
      </c>
      <c r="K13646" t="s">
        <v>41269</v>
      </c>
      <c r="M13646" t="s">
        <v>17861</v>
      </c>
      <c r="N13646" t="str">
        <f>"2/27/2020 11:19:00 AM"</f>
        <v>2/27/2020 11:19:00 AM</v>
      </c>
      <c r="O13646" t="s">
        <v>41266</v>
      </c>
      <c r="T13646" t="s">
        <v>41267</v>
      </c>
    </row>
    <row r="13647" spans="1:20" x14ac:dyDescent="0.25">
      <c r="A13647" t="str">
        <f>"3045116"</f>
        <v>3045116</v>
      </c>
      <c r="B13647" t="s">
        <v>41270</v>
      </c>
      <c r="C13647" t="str">
        <f>"82529780"</f>
        <v>82529780</v>
      </c>
      <c r="D13647" t="s">
        <v>41271</v>
      </c>
      <c r="F13647" t="s">
        <v>41272</v>
      </c>
      <c r="I13647" t="s">
        <v>29</v>
      </c>
      <c r="J13647" t="s">
        <v>30</v>
      </c>
      <c r="K13647" t="s">
        <v>31</v>
      </c>
      <c r="M13647" t="s">
        <v>36935</v>
      </c>
      <c r="N13647" t="str">
        <f>"2/27/2020 2:06:00 PM"</f>
        <v>2/27/2020 2:06:00 PM</v>
      </c>
      <c r="O13647" t="s">
        <v>41271</v>
      </c>
    </row>
    <row r="13648" spans="1:20" x14ac:dyDescent="0.25">
      <c r="A13648" t="str">
        <f>"3095504"</f>
        <v>3095504</v>
      </c>
      <c r="B13648" t="s">
        <v>41273</v>
      </c>
      <c r="C13648" t="str">
        <f>"82529780"</f>
        <v>82529780</v>
      </c>
      <c r="D13648" t="s">
        <v>41271</v>
      </c>
      <c r="F13648" t="s">
        <v>41272</v>
      </c>
      <c r="I13648" t="s">
        <v>29</v>
      </c>
      <c r="J13648" t="s">
        <v>30</v>
      </c>
      <c r="K13648" t="s">
        <v>31</v>
      </c>
      <c r="M13648" t="s">
        <v>36935</v>
      </c>
      <c r="N13648" t="str">
        <f>"2/27/2020 2:06:00 PM"</f>
        <v>2/27/2020 2:06:00 PM</v>
      </c>
      <c r="O13648" t="s">
        <v>41271</v>
      </c>
    </row>
    <row r="13649" spans="1:20" x14ac:dyDescent="0.25">
      <c r="A13649" t="str">
        <f>"3078928"</f>
        <v>3078928</v>
      </c>
      <c r="B13649" t="s">
        <v>41274</v>
      </c>
      <c r="C13649" t="str">
        <f>"82529050"</f>
        <v>82529050</v>
      </c>
      <c r="D13649" t="s">
        <v>41157</v>
      </c>
      <c r="F13649" t="s">
        <v>41158</v>
      </c>
      <c r="I13649" t="s">
        <v>1149</v>
      </c>
      <c r="J13649" t="s">
        <v>30</v>
      </c>
      <c r="K13649" t="s">
        <v>6577</v>
      </c>
      <c r="M13649" t="s">
        <v>18479</v>
      </c>
      <c r="N13649" t="str">
        <f>"2/28/2020 3:22:00 PM"</f>
        <v>2/28/2020 3:22:00 PM</v>
      </c>
      <c r="O13649" t="s">
        <v>41157</v>
      </c>
    </row>
    <row r="13650" spans="1:20" x14ac:dyDescent="0.25">
      <c r="A13650" t="str">
        <f>"3060692"</f>
        <v>3060692</v>
      </c>
      <c r="B13650" t="s">
        <v>41275</v>
      </c>
      <c r="C13650" t="str">
        <f>"8310188"</f>
        <v>8310188</v>
      </c>
      <c r="D13650" t="s">
        <v>41276</v>
      </c>
      <c r="F13650" t="s">
        <v>41277</v>
      </c>
      <c r="I13650" t="s">
        <v>2071</v>
      </c>
      <c r="J13650" t="s">
        <v>30</v>
      </c>
      <c r="K13650" t="str">
        <f>"27006"</f>
        <v>27006</v>
      </c>
      <c r="M13650" t="s">
        <v>25733</v>
      </c>
      <c r="N13650" t="str">
        <f>"2/20/2020 2:17:00 PM"</f>
        <v>2/20/2020 2:17:00 PM</v>
      </c>
      <c r="O13650" t="s">
        <v>41276</v>
      </c>
    </row>
    <row r="13651" spans="1:20" x14ac:dyDescent="0.25">
      <c r="A13651" t="str">
        <f>"3041919"</f>
        <v>3041919</v>
      </c>
      <c r="B13651" t="s">
        <v>41278</v>
      </c>
      <c r="C13651" t="str">
        <f>"8313088"</f>
        <v>8313088</v>
      </c>
      <c r="D13651" t="s">
        <v>41279</v>
      </c>
      <c r="E13651" t="s">
        <v>41280</v>
      </c>
      <c r="F13651" t="s">
        <v>41281</v>
      </c>
      <c r="I13651" t="s">
        <v>2071</v>
      </c>
      <c r="J13651" t="s">
        <v>30</v>
      </c>
      <c r="K13651" t="str">
        <f>"27006"</f>
        <v>27006</v>
      </c>
      <c r="M13651" t="s">
        <v>17861</v>
      </c>
      <c r="N13651" t="str">
        <f>"2/20/2020 3:36:00 PM"</f>
        <v>2/20/2020 3:36:00 PM</v>
      </c>
      <c r="O13651" t="s">
        <v>41279</v>
      </c>
      <c r="T13651" t="s">
        <v>41280</v>
      </c>
    </row>
    <row r="13652" spans="1:20" x14ac:dyDescent="0.25">
      <c r="A13652" t="str">
        <f>"3062771"</f>
        <v>3062771</v>
      </c>
      <c r="B13652" t="s">
        <v>41282</v>
      </c>
      <c r="C13652" t="str">
        <f>"8312096"</f>
        <v>8312096</v>
      </c>
      <c r="D13652" t="s">
        <v>41283</v>
      </c>
      <c r="E13652" t="s">
        <v>38744</v>
      </c>
      <c r="F13652" t="s">
        <v>41284</v>
      </c>
      <c r="I13652" t="s">
        <v>29</v>
      </c>
      <c r="J13652" t="s">
        <v>30</v>
      </c>
      <c r="K13652" t="str">
        <f>"27028"</f>
        <v>27028</v>
      </c>
      <c r="M13652" t="s">
        <v>17861</v>
      </c>
      <c r="N13652" t="str">
        <f>"2/21/2020 12:03:00 PM"</f>
        <v>2/21/2020 12:03:00 PM</v>
      </c>
      <c r="O13652" t="s">
        <v>41283</v>
      </c>
      <c r="T13652" t="s">
        <v>38744</v>
      </c>
    </row>
    <row r="13653" spans="1:20" x14ac:dyDescent="0.25">
      <c r="A13653" t="str">
        <f>"3053697"</f>
        <v>3053697</v>
      </c>
      <c r="B13653" t="s">
        <v>41285</v>
      </c>
      <c r="C13653" t="str">
        <f>"8312596"</f>
        <v>8312596</v>
      </c>
      <c r="D13653" t="s">
        <v>41286</v>
      </c>
      <c r="E13653" t="s">
        <v>41287</v>
      </c>
      <c r="F13653" t="s">
        <v>41288</v>
      </c>
      <c r="I13653" t="s">
        <v>184</v>
      </c>
      <c r="J13653" t="s">
        <v>30</v>
      </c>
      <c r="K13653" t="s">
        <v>41289</v>
      </c>
      <c r="M13653" t="s">
        <v>17861</v>
      </c>
      <c r="N13653" t="str">
        <f>"2/21/2020 1:50:00 PM"</f>
        <v>2/21/2020 1:50:00 PM</v>
      </c>
      <c r="O13653" t="s">
        <v>41286</v>
      </c>
      <c r="T13653" t="s">
        <v>41287</v>
      </c>
    </row>
    <row r="13654" spans="1:20" x14ac:dyDescent="0.25">
      <c r="A13654" t="str">
        <f>"3053567"</f>
        <v>3053567</v>
      </c>
      <c r="B13654" t="s">
        <v>41290</v>
      </c>
      <c r="C13654" t="str">
        <f>"31459500"</f>
        <v>31459500</v>
      </c>
      <c r="D13654" t="s">
        <v>41291</v>
      </c>
      <c r="F13654" t="s">
        <v>41292</v>
      </c>
      <c r="I13654" t="s">
        <v>29</v>
      </c>
      <c r="K13654" t="s">
        <v>31</v>
      </c>
      <c r="M13654" t="s">
        <v>20405</v>
      </c>
      <c r="N13654" t="str">
        <f>"3/3/2020 1:50:00 PM"</f>
        <v>3/3/2020 1:50:00 PM</v>
      </c>
      <c r="O13654" t="s">
        <v>41291</v>
      </c>
    </row>
    <row r="13655" spans="1:20" x14ac:dyDescent="0.25">
      <c r="A13655" t="str">
        <f>"3058117"</f>
        <v>3058117</v>
      </c>
      <c r="B13655" t="s">
        <v>41293</v>
      </c>
      <c r="C13655" t="str">
        <f>"8310766"</f>
        <v>8310766</v>
      </c>
      <c r="D13655" t="s">
        <v>41294</v>
      </c>
      <c r="F13655" t="s">
        <v>41295</v>
      </c>
      <c r="I13655" t="s">
        <v>184</v>
      </c>
      <c r="J13655" t="s">
        <v>30</v>
      </c>
      <c r="K13655" t="s">
        <v>6203</v>
      </c>
      <c r="M13655" t="s">
        <v>25733</v>
      </c>
      <c r="N13655" t="str">
        <f>"3/3/2020 4:11:00 PM"</f>
        <v>3/3/2020 4:11:00 PM</v>
      </c>
      <c r="O13655" t="s">
        <v>41294</v>
      </c>
    </row>
    <row r="13656" spans="1:20" x14ac:dyDescent="0.25">
      <c r="A13656" t="str">
        <f>"3049858"</f>
        <v>3049858</v>
      </c>
      <c r="B13656" t="s">
        <v>41296</v>
      </c>
      <c r="C13656" t="str">
        <f>"8313149"</f>
        <v>8313149</v>
      </c>
      <c r="D13656" t="s">
        <v>41297</v>
      </c>
      <c r="E13656" t="s">
        <v>41298</v>
      </c>
      <c r="F13656" t="s">
        <v>41299</v>
      </c>
      <c r="I13656" t="s">
        <v>29</v>
      </c>
      <c r="J13656" t="s">
        <v>30</v>
      </c>
      <c r="K13656" t="s">
        <v>41300</v>
      </c>
      <c r="M13656" t="s">
        <v>17861</v>
      </c>
      <c r="N13656" t="str">
        <f>"3/5/2020 10:01:00 AM"</f>
        <v>3/5/2020 10:01:00 AM</v>
      </c>
      <c r="O13656" t="s">
        <v>41297</v>
      </c>
      <c r="T13656" t="s">
        <v>41298</v>
      </c>
    </row>
    <row r="13657" spans="1:20" x14ac:dyDescent="0.25">
      <c r="A13657" t="str">
        <f>"3059660"</f>
        <v>3059660</v>
      </c>
      <c r="B13657" t="s">
        <v>41301</v>
      </c>
      <c r="C13657" t="str">
        <f>"8313150"</f>
        <v>8313150</v>
      </c>
      <c r="D13657" t="s">
        <v>41302</v>
      </c>
      <c r="E13657" t="s">
        <v>7992</v>
      </c>
      <c r="F13657" t="s">
        <v>41303</v>
      </c>
      <c r="I13657" t="s">
        <v>29</v>
      </c>
      <c r="J13657" t="s">
        <v>30</v>
      </c>
      <c r="K13657" t="s">
        <v>7995</v>
      </c>
      <c r="M13657" t="s">
        <v>17861</v>
      </c>
      <c r="N13657" t="str">
        <f>"3/5/2020 10:25:00 AM"</f>
        <v>3/5/2020 10:25:00 AM</v>
      </c>
      <c r="O13657" t="s">
        <v>41302</v>
      </c>
      <c r="T13657" t="s">
        <v>7992</v>
      </c>
    </row>
    <row r="13658" spans="1:20" x14ac:dyDescent="0.25">
      <c r="A13658" t="str">
        <f>"3059734"</f>
        <v>3059734</v>
      </c>
      <c r="B13658" t="s">
        <v>41304</v>
      </c>
      <c r="C13658" t="str">
        <f>"8313150"</f>
        <v>8313150</v>
      </c>
      <c r="D13658" t="s">
        <v>41302</v>
      </c>
      <c r="E13658" t="s">
        <v>7992</v>
      </c>
      <c r="F13658" t="s">
        <v>41303</v>
      </c>
      <c r="I13658" t="s">
        <v>29</v>
      </c>
      <c r="J13658" t="s">
        <v>30</v>
      </c>
      <c r="K13658" t="s">
        <v>7995</v>
      </c>
      <c r="M13658" t="s">
        <v>17861</v>
      </c>
      <c r="N13658" t="str">
        <f>"3/5/2020 10:25:00 AM"</f>
        <v>3/5/2020 10:25:00 AM</v>
      </c>
      <c r="O13658" t="s">
        <v>41302</v>
      </c>
      <c r="T13658" t="s">
        <v>7992</v>
      </c>
    </row>
    <row r="13659" spans="1:20" x14ac:dyDescent="0.25">
      <c r="A13659" t="str">
        <f>"3058035"</f>
        <v>3058035</v>
      </c>
      <c r="B13659" t="s">
        <v>41305</v>
      </c>
      <c r="C13659" t="str">
        <f>"8313157"</f>
        <v>8313157</v>
      </c>
      <c r="D13659" t="s">
        <v>41306</v>
      </c>
      <c r="E13659" t="s">
        <v>41307</v>
      </c>
      <c r="F13659" t="s">
        <v>41308</v>
      </c>
      <c r="I13659" t="s">
        <v>184</v>
      </c>
      <c r="J13659" t="s">
        <v>30</v>
      </c>
      <c r="K13659" t="s">
        <v>35466</v>
      </c>
      <c r="M13659" t="s">
        <v>17861</v>
      </c>
      <c r="N13659" t="str">
        <f>"3/9/2020 11:03:00 AM"</f>
        <v>3/9/2020 11:03:00 AM</v>
      </c>
      <c r="O13659" t="s">
        <v>41306</v>
      </c>
      <c r="T13659" t="s">
        <v>41307</v>
      </c>
    </row>
    <row r="13660" spans="1:20" x14ac:dyDescent="0.25">
      <c r="A13660" t="str">
        <f>"3049891"</f>
        <v>3049891</v>
      </c>
      <c r="B13660" t="s">
        <v>41309</v>
      </c>
      <c r="C13660" t="str">
        <f>"8313198"</f>
        <v>8313198</v>
      </c>
      <c r="D13660" t="s">
        <v>41310</v>
      </c>
      <c r="F13660" t="s">
        <v>41311</v>
      </c>
      <c r="I13660" t="s">
        <v>29</v>
      </c>
      <c r="J13660" t="s">
        <v>30</v>
      </c>
      <c r="K13660" t="s">
        <v>41312</v>
      </c>
      <c r="M13660" t="s">
        <v>17861</v>
      </c>
      <c r="N13660" t="str">
        <f>"3/11/2020 2:36:00 PM"</f>
        <v>3/11/2020 2:36:00 PM</v>
      </c>
      <c r="O13660" t="s">
        <v>41310</v>
      </c>
    </row>
    <row r="13661" spans="1:20" x14ac:dyDescent="0.25">
      <c r="A13661" t="str">
        <f>"3040026"</f>
        <v>3040026</v>
      </c>
      <c r="B13661" t="s">
        <v>41313</v>
      </c>
      <c r="C13661" t="str">
        <f>"82527281"</f>
        <v>82527281</v>
      </c>
      <c r="D13661" t="s">
        <v>41314</v>
      </c>
      <c r="F13661" t="s">
        <v>41315</v>
      </c>
      <c r="I13661" t="s">
        <v>29</v>
      </c>
      <c r="J13661" t="s">
        <v>30</v>
      </c>
      <c r="K13661" t="s">
        <v>31</v>
      </c>
      <c r="M13661" t="s">
        <v>33845</v>
      </c>
      <c r="N13661" t="str">
        <f>"3/9/2020 2:04:00 PM"</f>
        <v>3/9/2020 2:04:00 PM</v>
      </c>
      <c r="O13661" t="s">
        <v>41314</v>
      </c>
    </row>
    <row r="13662" spans="1:20" x14ac:dyDescent="0.25">
      <c r="A13662" t="str">
        <f>"3041176"</f>
        <v>3041176</v>
      </c>
      <c r="B13662" t="s">
        <v>41316</v>
      </c>
      <c r="C13662" t="str">
        <f>"8313227"</f>
        <v>8313227</v>
      </c>
      <c r="D13662" t="s">
        <v>41317</v>
      </c>
      <c r="E13662" t="s">
        <v>41318</v>
      </c>
      <c r="F13662" t="s">
        <v>41319</v>
      </c>
      <c r="I13662" t="s">
        <v>2071</v>
      </c>
      <c r="J13662" t="s">
        <v>30</v>
      </c>
      <c r="K13662" t="s">
        <v>41320</v>
      </c>
      <c r="M13662" t="s">
        <v>17861</v>
      </c>
      <c r="N13662" t="str">
        <f>"3/12/2020 3:46:00 PM"</f>
        <v>3/12/2020 3:46:00 PM</v>
      </c>
      <c r="O13662" t="s">
        <v>41317</v>
      </c>
      <c r="T13662" t="s">
        <v>41318</v>
      </c>
    </row>
    <row r="13663" spans="1:20" x14ac:dyDescent="0.25">
      <c r="A13663" t="str">
        <f>"3047433"</f>
        <v>3047433</v>
      </c>
      <c r="B13663" t="s">
        <v>41321</v>
      </c>
      <c r="C13663" t="str">
        <f t="shared" ref="C13663:C13669" si="217">"8306566"</f>
        <v>8306566</v>
      </c>
      <c r="D13663" t="s">
        <v>41322</v>
      </c>
      <c r="E13663" t="str">
        <f t="shared" ref="E13663:E13669" si="218">"CAMPBELL WILLIAM JERRY/FRANCES"</f>
        <v>CAMPBELL WILLIAM JERRY/FRANCES</v>
      </c>
      <c r="F13663" t="s">
        <v>41323</v>
      </c>
      <c r="I13663" t="s">
        <v>1149</v>
      </c>
      <c r="J13663" t="s">
        <v>30</v>
      </c>
      <c r="K13663" t="str">
        <f t="shared" ref="K13663:K13669" si="219">"28634"</f>
        <v>28634</v>
      </c>
      <c r="M13663" t="s">
        <v>25733</v>
      </c>
      <c r="N13663" t="str">
        <f t="shared" ref="N13663:N13669" si="220">"3/13/2020 3:16:00 PM"</f>
        <v>3/13/2020 3:16:00 PM</v>
      </c>
      <c r="O13663" t="s">
        <v>41322</v>
      </c>
      <c r="T13663" t="str">
        <f t="shared" ref="T13663:T13669" si="221">"CAMPBELL WILLIAM JERRY/FRANCES"</f>
        <v>CAMPBELL WILLIAM JERRY/FRANCES</v>
      </c>
    </row>
    <row r="13664" spans="1:20" x14ac:dyDescent="0.25">
      <c r="A13664" t="str">
        <f>"3047454"</f>
        <v>3047454</v>
      </c>
      <c r="B13664" t="s">
        <v>41324</v>
      </c>
      <c r="C13664" t="str">
        <f t="shared" si="217"/>
        <v>8306566</v>
      </c>
      <c r="D13664" t="s">
        <v>41322</v>
      </c>
      <c r="E13664" t="str">
        <f t="shared" si="218"/>
        <v>CAMPBELL WILLIAM JERRY/FRANCES</v>
      </c>
      <c r="F13664" t="s">
        <v>41323</v>
      </c>
      <c r="I13664" t="s">
        <v>1149</v>
      </c>
      <c r="J13664" t="s">
        <v>30</v>
      </c>
      <c r="K13664" t="str">
        <f t="shared" si="219"/>
        <v>28634</v>
      </c>
      <c r="M13664" t="s">
        <v>25733</v>
      </c>
      <c r="N13664" t="str">
        <f t="shared" si="220"/>
        <v>3/13/2020 3:16:00 PM</v>
      </c>
      <c r="O13664" t="s">
        <v>41322</v>
      </c>
      <c r="T13664" t="str">
        <f t="shared" si="221"/>
        <v>CAMPBELL WILLIAM JERRY/FRANCES</v>
      </c>
    </row>
    <row r="13665" spans="1:20" x14ac:dyDescent="0.25">
      <c r="A13665" t="str">
        <f>"3047483"</f>
        <v>3047483</v>
      </c>
      <c r="B13665" t="s">
        <v>41325</v>
      </c>
      <c r="C13665" t="str">
        <f t="shared" si="217"/>
        <v>8306566</v>
      </c>
      <c r="D13665" t="s">
        <v>41322</v>
      </c>
      <c r="E13665" t="str">
        <f t="shared" si="218"/>
        <v>CAMPBELL WILLIAM JERRY/FRANCES</v>
      </c>
      <c r="F13665" t="s">
        <v>41323</v>
      </c>
      <c r="I13665" t="s">
        <v>1149</v>
      </c>
      <c r="J13665" t="s">
        <v>30</v>
      </c>
      <c r="K13665" t="str">
        <f t="shared" si="219"/>
        <v>28634</v>
      </c>
      <c r="M13665" t="s">
        <v>25733</v>
      </c>
      <c r="N13665" t="str">
        <f t="shared" si="220"/>
        <v>3/13/2020 3:16:00 PM</v>
      </c>
      <c r="O13665" t="s">
        <v>41322</v>
      </c>
      <c r="T13665" t="str">
        <f t="shared" si="221"/>
        <v>CAMPBELL WILLIAM JERRY/FRANCES</v>
      </c>
    </row>
    <row r="13666" spans="1:20" x14ac:dyDescent="0.25">
      <c r="A13666" t="str">
        <f>"3047476"</f>
        <v>3047476</v>
      </c>
      <c r="B13666" t="s">
        <v>41326</v>
      </c>
      <c r="C13666" t="str">
        <f t="shared" si="217"/>
        <v>8306566</v>
      </c>
      <c r="D13666" t="s">
        <v>41322</v>
      </c>
      <c r="E13666" t="str">
        <f t="shared" si="218"/>
        <v>CAMPBELL WILLIAM JERRY/FRANCES</v>
      </c>
      <c r="F13666" t="s">
        <v>41323</v>
      </c>
      <c r="I13666" t="s">
        <v>1149</v>
      </c>
      <c r="J13666" t="s">
        <v>30</v>
      </c>
      <c r="K13666" t="str">
        <f t="shared" si="219"/>
        <v>28634</v>
      </c>
      <c r="M13666" t="s">
        <v>25733</v>
      </c>
      <c r="N13666" t="str">
        <f t="shared" si="220"/>
        <v>3/13/2020 3:16:00 PM</v>
      </c>
      <c r="O13666" t="s">
        <v>41322</v>
      </c>
      <c r="T13666" t="str">
        <f t="shared" si="221"/>
        <v>CAMPBELL WILLIAM JERRY/FRANCES</v>
      </c>
    </row>
    <row r="13667" spans="1:20" x14ac:dyDescent="0.25">
      <c r="A13667" t="str">
        <f>"3047459"</f>
        <v>3047459</v>
      </c>
      <c r="B13667" t="s">
        <v>41327</v>
      </c>
      <c r="C13667" t="str">
        <f t="shared" si="217"/>
        <v>8306566</v>
      </c>
      <c r="D13667" t="s">
        <v>41322</v>
      </c>
      <c r="E13667" t="str">
        <f t="shared" si="218"/>
        <v>CAMPBELL WILLIAM JERRY/FRANCES</v>
      </c>
      <c r="F13667" t="s">
        <v>41323</v>
      </c>
      <c r="I13667" t="s">
        <v>1149</v>
      </c>
      <c r="J13667" t="s">
        <v>30</v>
      </c>
      <c r="K13667" t="str">
        <f t="shared" si="219"/>
        <v>28634</v>
      </c>
      <c r="M13667" t="s">
        <v>25733</v>
      </c>
      <c r="N13667" t="str">
        <f t="shared" si="220"/>
        <v>3/13/2020 3:16:00 PM</v>
      </c>
      <c r="O13667" t="s">
        <v>41322</v>
      </c>
      <c r="T13667" t="str">
        <f t="shared" si="221"/>
        <v>CAMPBELL WILLIAM JERRY/FRANCES</v>
      </c>
    </row>
    <row r="13668" spans="1:20" x14ac:dyDescent="0.25">
      <c r="A13668" t="str">
        <f>"3048345"</f>
        <v>3048345</v>
      </c>
      <c r="B13668" t="s">
        <v>41328</v>
      </c>
      <c r="C13668" t="str">
        <f t="shared" si="217"/>
        <v>8306566</v>
      </c>
      <c r="D13668" t="s">
        <v>41322</v>
      </c>
      <c r="E13668" t="str">
        <f t="shared" si="218"/>
        <v>CAMPBELL WILLIAM JERRY/FRANCES</v>
      </c>
      <c r="F13668" t="s">
        <v>41323</v>
      </c>
      <c r="I13668" t="s">
        <v>1149</v>
      </c>
      <c r="J13668" t="s">
        <v>30</v>
      </c>
      <c r="K13668" t="str">
        <f t="shared" si="219"/>
        <v>28634</v>
      </c>
      <c r="M13668" t="s">
        <v>25733</v>
      </c>
      <c r="N13668" t="str">
        <f t="shared" si="220"/>
        <v>3/13/2020 3:16:00 PM</v>
      </c>
      <c r="O13668" t="s">
        <v>41322</v>
      </c>
      <c r="T13668" t="str">
        <f t="shared" si="221"/>
        <v>CAMPBELL WILLIAM JERRY/FRANCES</v>
      </c>
    </row>
    <row r="13669" spans="1:20" x14ac:dyDescent="0.25">
      <c r="A13669" t="str">
        <f>"3048216"</f>
        <v>3048216</v>
      </c>
      <c r="B13669" t="s">
        <v>41329</v>
      </c>
      <c r="C13669" t="str">
        <f t="shared" si="217"/>
        <v>8306566</v>
      </c>
      <c r="D13669" t="s">
        <v>41322</v>
      </c>
      <c r="E13669" t="str">
        <f t="shared" si="218"/>
        <v>CAMPBELL WILLIAM JERRY/FRANCES</v>
      </c>
      <c r="F13669" t="s">
        <v>41323</v>
      </c>
      <c r="I13669" t="s">
        <v>1149</v>
      </c>
      <c r="J13669" t="s">
        <v>30</v>
      </c>
      <c r="K13669" t="str">
        <f t="shared" si="219"/>
        <v>28634</v>
      </c>
      <c r="M13669" t="s">
        <v>25733</v>
      </c>
      <c r="N13669" t="str">
        <f t="shared" si="220"/>
        <v>3/13/2020 3:16:00 PM</v>
      </c>
      <c r="O13669" t="s">
        <v>41322</v>
      </c>
      <c r="T13669" t="str">
        <f t="shared" si="221"/>
        <v>CAMPBELL WILLIAM JERRY/FRANCES</v>
      </c>
    </row>
    <row r="13670" spans="1:20" x14ac:dyDescent="0.25">
      <c r="A13670" t="str">
        <f>"3059338"</f>
        <v>3059338</v>
      </c>
      <c r="B13670" t="s">
        <v>41330</v>
      </c>
      <c r="C13670" t="str">
        <f>"8313232"</f>
        <v>8313232</v>
      </c>
      <c r="D13670" t="s">
        <v>41331</v>
      </c>
      <c r="F13670" t="s">
        <v>41332</v>
      </c>
      <c r="I13670" t="s">
        <v>29</v>
      </c>
      <c r="J13670" t="s">
        <v>30</v>
      </c>
      <c r="K13670" t="s">
        <v>41333</v>
      </c>
      <c r="M13670" t="s">
        <v>17861</v>
      </c>
      <c r="N13670" t="str">
        <f>"3/16/2020 1:36:00 PM"</f>
        <v>3/16/2020 1:36:00 PM</v>
      </c>
      <c r="O13670" t="s">
        <v>41331</v>
      </c>
    </row>
    <row r="13671" spans="1:20" x14ac:dyDescent="0.25">
      <c r="A13671" t="str">
        <f>"3053079"</f>
        <v>3053079</v>
      </c>
      <c r="B13671" t="s">
        <v>41334</v>
      </c>
      <c r="C13671" t="str">
        <f>"82516578"</f>
        <v>82516578</v>
      </c>
      <c r="D13671" t="s">
        <v>41335</v>
      </c>
      <c r="E13671" t="s">
        <v>35324</v>
      </c>
      <c r="F13671" t="s">
        <v>41336</v>
      </c>
      <c r="I13671" t="s">
        <v>29</v>
      </c>
      <c r="J13671" t="s">
        <v>30</v>
      </c>
      <c r="K13671" t="s">
        <v>31</v>
      </c>
      <c r="M13671" t="s">
        <v>33845</v>
      </c>
      <c r="N13671" t="str">
        <f>"3/9/2020 2:21:00 PM"</f>
        <v>3/9/2020 2:21:00 PM</v>
      </c>
      <c r="O13671" t="s">
        <v>41335</v>
      </c>
      <c r="T13671" t="s">
        <v>35324</v>
      </c>
    </row>
    <row r="13672" spans="1:20" x14ac:dyDescent="0.25">
      <c r="A13672" t="str">
        <f>"3058375"</f>
        <v>3058375</v>
      </c>
      <c r="B13672" t="s">
        <v>41337</v>
      </c>
      <c r="C13672" t="str">
        <f>"8313234"</f>
        <v>8313234</v>
      </c>
      <c r="D13672" t="s">
        <v>41338</v>
      </c>
      <c r="E13672" t="s">
        <v>41339</v>
      </c>
      <c r="F13672" t="s">
        <v>41340</v>
      </c>
      <c r="I13672" t="s">
        <v>2071</v>
      </c>
      <c r="J13672" t="s">
        <v>30</v>
      </c>
      <c r="K13672" t="s">
        <v>38104</v>
      </c>
      <c r="M13672" t="s">
        <v>17861</v>
      </c>
      <c r="N13672" t="str">
        <f>"3/16/2020 2:21:00 PM"</f>
        <v>3/16/2020 2:21:00 PM</v>
      </c>
      <c r="O13672" t="s">
        <v>41338</v>
      </c>
      <c r="T13672" t="s">
        <v>41339</v>
      </c>
    </row>
    <row r="13673" spans="1:20" x14ac:dyDescent="0.25">
      <c r="A13673" t="str">
        <f>"3037301"</f>
        <v>3037301</v>
      </c>
      <c r="B13673" t="s">
        <v>41341</v>
      </c>
      <c r="C13673" t="str">
        <f>"8313235"</f>
        <v>8313235</v>
      </c>
      <c r="D13673" t="s">
        <v>41342</v>
      </c>
      <c r="E13673" t="s">
        <v>41343</v>
      </c>
      <c r="F13673" t="s">
        <v>41344</v>
      </c>
      <c r="I13673" t="s">
        <v>184</v>
      </c>
      <c r="J13673" t="s">
        <v>30</v>
      </c>
      <c r="K13673" t="s">
        <v>36414</v>
      </c>
      <c r="M13673" t="s">
        <v>17861</v>
      </c>
      <c r="N13673" t="str">
        <f>"3/16/2020 2:38:00 PM"</f>
        <v>3/16/2020 2:38:00 PM</v>
      </c>
      <c r="O13673" t="s">
        <v>41342</v>
      </c>
      <c r="T13673" t="s">
        <v>41343</v>
      </c>
    </row>
    <row r="13674" spans="1:20" x14ac:dyDescent="0.25">
      <c r="A13674" t="str">
        <f>"3060208"</f>
        <v>3060208</v>
      </c>
      <c r="B13674" t="s">
        <v>41345</v>
      </c>
      <c r="C13674" t="str">
        <f>"8313237"</f>
        <v>8313237</v>
      </c>
      <c r="D13674" t="s">
        <v>41346</v>
      </c>
      <c r="F13674" t="s">
        <v>41347</v>
      </c>
      <c r="I13674" t="s">
        <v>184</v>
      </c>
      <c r="J13674" t="s">
        <v>30</v>
      </c>
      <c r="K13674" t="str">
        <f>"27006"</f>
        <v>27006</v>
      </c>
      <c r="M13674" t="s">
        <v>17861</v>
      </c>
      <c r="N13674" t="str">
        <f>"3/16/2020 3:23:00 PM"</f>
        <v>3/16/2020 3:23:00 PM</v>
      </c>
      <c r="O13674" t="s">
        <v>41346</v>
      </c>
    </row>
    <row r="13675" spans="1:20" x14ac:dyDescent="0.25">
      <c r="A13675" t="str">
        <f>"3037298"</f>
        <v>3037298</v>
      </c>
      <c r="B13675" t="s">
        <v>41348</v>
      </c>
      <c r="C13675" t="str">
        <f>"8313238"</f>
        <v>8313238</v>
      </c>
      <c r="D13675" t="s">
        <v>41349</v>
      </c>
      <c r="E13675" t="s">
        <v>41350</v>
      </c>
      <c r="F13675" t="s">
        <v>41351</v>
      </c>
      <c r="I13675" t="s">
        <v>184</v>
      </c>
      <c r="J13675" t="s">
        <v>30</v>
      </c>
      <c r="K13675" t="str">
        <f>"27006"</f>
        <v>27006</v>
      </c>
      <c r="M13675" t="s">
        <v>17861</v>
      </c>
      <c r="N13675" t="str">
        <f>"3/16/2020 3:53:00 PM"</f>
        <v>3/16/2020 3:53:00 PM</v>
      </c>
      <c r="O13675" t="s">
        <v>41349</v>
      </c>
      <c r="T13675" t="s">
        <v>41350</v>
      </c>
    </row>
    <row r="13676" spans="1:20" x14ac:dyDescent="0.25">
      <c r="A13676" t="str">
        <f>"3061285"</f>
        <v>3061285</v>
      </c>
      <c r="B13676" t="s">
        <v>41352</v>
      </c>
      <c r="C13676" t="str">
        <f>"8313239"</f>
        <v>8313239</v>
      </c>
      <c r="D13676" t="str">
        <f>"KINDLE DEBORAH I/STEVEN CARL CO TRUSTEES"</f>
        <v>KINDLE DEBORAH I/STEVEN CARL CO TRUSTEES</v>
      </c>
      <c r="E13676" t="s">
        <v>41353</v>
      </c>
      <c r="F13676" t="s">
        <v>41354</v>
      </c>
      <c r="I13676" t="s">
        <v>2071</v>
      </c>
      <c r="J13676" t="s">
        <v>30</v>
      </c>
      <c r="K13676" t="s">
        <v>36586</v>
      </c>
      <c r="M13676" t="s">
        <v>17861</v>
      </c>
      <c r="N13676" t="str">
        <f>"3/16/2020 4:18:00 PM"</f>
        <v>3/16/2020 4:18:00 PM</v>
      </c>
      <c r="O13676" t="str">
        <f>"KINDLE DEBORAH I/STEVEN CARL CO TRUSTEES"</f>
        <v>KINDLE DEBORAH I/STEVEN CARL CO TRUSTEES</v>
      </c>
      <c r="T13676" t="s">
        <v>41353</v>
      </c>
    </row>
    <row r="13677" spans="1:20" x14ac:dyDescent="0.25">
      <c r="A13677" t="str">
        <f>"3038599"</f>
        <v>3038599</v>
      </c>
      <c r="B13677" t="s">
        <v>41355</v>
      </c>
      <c r="C13677" t="str">
        <f>"82520598"</f>
        <v>82520598</v>
      </c>
      <c r="D13677" t="s">
        <v>41356</v>
      </c>
      <c r="F13677" t="s">
        <v>41357</v>
      </c>
      <c r="I13677" t="s">
        <v>29</v>
      </c>
      <c r="J13677" t="s">
        <v>30</v>
      </c>
      <c r="K13677" t="s">
        <v>31</v>
      </c>
      <c r="M13677" t="s">
        <v>25733</v>
      </c>
      <c r="N13677" t="str">
        <f>"3/9/2020 2:27:00 PM"</f>
        <v>3/9/2020 2:27:00 PM</v>
      </c>
      <c r="O13677" t="s">
        <v>41356</v>
      </c>
    </row>
    <row r="13678" spans="1:20" x14ac:dyDescent="0.25">
      <c r="A13678" t="str">
        <f>"3061084"</f>
        <v>3061084</v>
      </c>
      <c r="B13678" t="s">
        <v>41358</v>
      </c>
      <c r="C13678" t="str">
        <f>"8312968"</f>
        <v>8312968</v>
      </c>
      <c r="D13678" t="s">
        <v>41359</v>
      </c>
      <c r="E13678" t="s">
        <v>41360</v>
      </c>
      <c r="F13678" t="s">
        <v>41361</v>
      </c>
      <c r="I13678" t="s">
        <v>184</v>
      </c>
      <c r="J13678" t="s">
        <v>30</v>
      </c>
      <c r="K13678" t="str">
        <f>"27006"</f>
        <v>27006</v>
      </c>
      <c r="M13678" t="s">
        <v>17861</v>
      </c>
      <c r="N13678" t="str">
        <f>"3/18/2020 2:34:00 PM"</f>
        <v>3/18/2020 2:34:00 PM</v>
      </c>
      <c r="O13678" t="s">
        <v>41359</v>
      </c>
      <c r="T13678" t="s">
        <v>41360</v>
      </c>
    </row>
    <row r="13679" spans="1:20" x14ac:dyDescent="0.25">
      <c r="A13679" t="str">
        <f>"3038242"</f>
        <v>3038242</v>
      </c>
      <c r="B13679" t="s">
        <v>41362</v>
      </c>
      <c r="C13679" t="str">
        <f>"8313243"</f>
        <v>8313243</v>
      </c>
      <c r="D13679" t="s">
        <v>41363</v>
      </c>
      <c r="E13679" t="s">
        <v>1337</v>
      </c>
      <c r="F13679" t="s">
        <v>41364</v>
      </c>
      <c r="I13679" t="s">
        <v>29</v>
      </c>
      <c r="J13679" t="s">
        <v>30</v>
      </c>
      <c r="K13679" t="s">
        <v>1340</v>
      </c>
      <c r="M13679" t="s">
        <v>17861</v>
      </c>
      <c r="N13679" t="str">
        <f>"3/18/2020 3:40:00 PM"</f>
        <v>3/18/2020 3:40:00 PM</v>
      </c>
      <c r="O13679" t="s">
        <v>41363</v>
      </c>
      <c r="T13679" t="s">
        <v>1337</v>
      </c>
    </row>
    <row r="13680" spans="1:20" x14ac:dyDescent="0.25">
      <c r="A13680" t="str">
        <f>"3061476"</f>
        <v>3061476</v>
      </c>
      <c r="B13680" t="s">
        <v>41365</v>
      </c>
      <c r="C13680" t="str">
        <f>"8313131"</f>
        <v>8313131</v>
      </c>
      <c r="D13680" t="s">
        <v>41366</v>
      </c>
      <c r="F13680" t="s">
        <v>41367</v>
      </c>
      <c r="I13680" t="s">
        <v>36222</v>
      </c>
      <c r="J13680" t="s">
        <v>30</v>
      </c>
      <c r="K13680" t="str">
        <f>"78746"</f>
        <v>78746</v>
      </c>
      <c r="M13680" t="s">
        <v>17861</v>
      </c>
      <c r="N13680" t="str">
        <f>"3/2/2020 11:26:00 AM"</f>
        <v>3/2/2020 11:26:00 AM</v>
      </c>
      <c r="O13680" t="s">
        <v>41366</v>
      </c>
    </row>
    <row r="13681" spans="1:20" x14ac:dyDescent="0.25">
      <c r="A13681" t="str">
        <f>"3059390"</f>
        <v>3059390</v>
      </c>
      <c r="B13681" t="s">
        <v>41368</v>
      </c>
      <c r="C13681" t="str">
        <f>"8313132"</f>
        <v>8313132</v>
      </c>
      <c r="D13681" t="s">
        <v>41369</v>
      </c>
      <c r="F13681" t="s">
        <v>41370</v>
      </c>
      <c r="I13681" t="s">
        <v>29</v>
      </c>
      <c r="J13681" t="s">
        <v>30</v>
      </c>
      <c r="K13681" t="s">
        <v>41371</v>
      </c>
      <c r="M13681" t="s">
        <v>17861</v>
      </c>
      <c r="N13681" t="str">
        <f>"3/2/2020 2:32:00 PM"</f>
        <v>3/2/2020 2:32:00 PM</v>
      </c>
      <c r="O13681" t="s">
        <v>41369</v>
      </c>
    </row>
    <row r="13682" spans="1:20" x14ac:dyDescent="0.25">
      <c r="A13682" t="str">
        <f>"3078257"</f>
        <v>3078257</v>
      </c>
      <c r="B13682" t="s">
        <v>41372</v>
      </c>
      <c r="C13682" t="str">
        <f>"8313134"</f>
        <v>8313134</v>
      </c>
      <c r="D13682" t="s">
        <v>41177</v>
      </c>
      <c r="F13682" t="s">
        <v>41178</v>
      </c>
      <c r="I13682" t="s">
        <v>184</v>
      </c>
      <c r="J13682" t="s">
        <v>30</v>
      </c>
      <c r="K13682" t="s">
        <v>8584</v>
      </c>
      <c r="M13682" t="s">
        <v>17861</v>
      </c>
      <c r="N13682" t="str">
        <f>"3/2/2020 3:00:00 PM"</f>
        <v>3/2/2020 3:00:00 PM</v>
      </c>
      <c r="O13682" t="s">
        <v>41177</v>
      </c>
    </row>
    <row r="13683" spans="1:20" x14ac:dyDescent="0.25">
      <c r="A13683" t="str">
        <f>"3044927"</f>
        <v>3044927</v>
      </c>
      <c r="B13683" t="s">
        <v>41373</v>
      </c>
      <c r="C13683" t="str">
        <f>"8313181"</f>
        <v>8313181</v>
      </c>
      <c r="D13683" t="s">
        <v>41374</v>
      </c>
      <c r="E13683" t="s">
        <v>41375</v>
      </c>
      <c r="F13683" t="s">
        <v>41376</v>
      </c>
      <c r="I13683" t="s">
        <v>7917</v>
      </c>
      <c r="J13683" t="s">
        <v>30</v>
      </c>
      <c r="K13683" t="s">
        <v>41377</v>
      </c>
      <c r="M13683" t="s">
        <v>17861</v>
      </c>
      <c r="N13683" t="str">
        <f>"3/11/2020 1:54:00 PM"</f>
        <v>3/11/2020 1:54:00 PM</v>
      </c>
      <c r="O13683" t="s">
        <v>41374</v>
      </c>
      <c r="T13683" t="s">
        <v>41375</v>
      </c>
    </row>
    <row r="13684" spans="1:20" x14ac:dyDescent="0.25">
      <c r="A13684" t="str">
        <f>"3051943"</f>
        <v>3051943</v>
      </c>
      <c r="B13684" t="s">
        <v>41378</v>
      </c>
      <c r="C13684" t="str">
        <f>"8313249"</f>
        <v>8313249</v>
      </c>
      <c r="D13684" t="s">
        <v>41379</v>
      </c>
      <c r="F13684" t="s">
        <v>41380</v>
      </c>
      <c r="I13684" t="s">
        <v>29</v>
      </c>
      <c r="J13684" t="s">
        <v>30</v>
      </c>
      <c r="K13684" t="s">
        <v>19284</v>
      </c>
      <c r="M13684" t="s">
        <v>17861</v>
      </c>
      <c r="N13684" t="str">
        <f>"3/20/2020 9:43:00 AM"</f>
        <v>3/20/2020 9:43:00 AM</v>
      </c>
      <c r="O13684" t="s">
        <v>41379</v>
      </c>
    </row>
    <row r="13685" spans="1:20" x14ac:dyDescent="0.25">
      <c r="A13685" t="str">
        <f>"3052178"</f>
        <v>3052178</v>
      </c>
      <c r="B13685" t="s">
        <v>41381</v>
      </c>
      <c r="C13685" t="str">
        <f>"8313250"</f>
        <v>8313250</v>
      </c>
      <c r="D13685" t="s">
        <v>41382</v>
      </c>
      <c r="F13685" t="s">
        <v>41383</v>
      </c>
      <c r="I13685" t="s">
        <v>29</v>
      </c>
      <c r="J13685" t="s">
        <v>30</v>
      </c>
      <c r="K13685" t="s">
        <v>41117</v>
      </c>
      <c r="M13685" t="s">
        <v>17861</v>
      </c>
      <c r="N13685" t="str">
        <f>"3/20/2020 9:46:00 AM"</f>
        <v>3/20/2020 9:46:00 AM</v>
      </c>
      <c r="O13685" t="s">
        <v>41382</v>
      </c>
    </row>
    <row r="13686" spans="1:20" x14ac:dyDescent="0.25">
      <c r="A13686" t="str">
        <f>"3058781"</f>
        <v>3058781</v>
      </c>
      <c r="B13686" t="s">
        <v>41384</v>
      </c>
      <c r="C13686" t="str">
        <f>"8313251"</f>
        <v>8313251</v>
      </c>
      <c r="D13686" t="s">
        <v>41385</v>
      </c>
      <c r="E13686" t="s">
        <v>41386</v>
      </c>
      <c r="F13686" t="s">
        <v>41387</v>
      </c>
      <c r="I13686" t="s">
        <v>29</v>
      </c>
      <c r="J13686" t="s">
        <v>30</v>
      </c>
      <c r="K13686" t="s">
        <v>11644</v>
      </c>
      <c r="M13686" t="s">
        <v>17861</v>
      </c>
      <c r="N13686" t="str">
        <f>"3/20/2020 10:11:00 AM"</f>
        <v>3/20/2020 10:11:00 AM</v>
      </c>
      <c r="O13686" t="s">
        <v>41385</v>
      </c>
      <c r="T13686" t="s">
        <v>41386</v>
      </c>
    </row>
    <row r="13687" spans="1:20" x14ac:dyDescent="0.25">
      <c r="A13687" t="str">
        <f>"3054525"</f>
        <v>3054525</v>
      </c>
      <c r="B13687" t="s">
        <v>41388</v>
      </c>
      <c r="C13687" t="str">
        <f>"8313254"</f>
        <v>8313254</v>
      </c>
      <c r="D13687" t="s">
        <v>41389</v>
      </c>
      <c r="E13687" t="s">
        <v>41390</v>
      </c>
      <c r="F13687" t="s">
        <v>41391</v>
      </c>
      <c r="I13687" t="s">
        <v>29</v>
      </c>
      <c r="J13687" t="s">
        <v>30</v>
      </c>
      <c r="K13687" t="s">
        <v>36982</v>
      </c>
      <c r="M13687" t="s">
        <v>17861</v>
      </c>
      <c r="N13687" t="str">
        <f>"3/20/2020 10:25:00 AM"</f>
        <v>3/20/2020 10:25:00 AM</v>
      </c>
      <c r="O13687" t="s">
        <v>41389</v>
      </c>
      <c r="T13687" t="s">
        <v>41390</v>
      </c>
    </row>
    <row r="13688" spans="1:20" x14ac:dyDescent="0.25">
      <c r="A13688" t="str">
        <f>"3046334"</f>
        <v>3046334</v>
      </c>
      <c r="B13688" t="s">
        <v>41392</v>
      </c>
      <c r="C13688" t="str">
        <f>"8313255"</f>
        <v>8313255</v>
      </c>
      <c r="D13688" t="s">
        <v>41393</v>
      </c>
      <c r="E13688" t="s">
        <v>41394</v>
      </c>
      <c r="F13688" t="s">
        <v>41395</v>
      </c>
      <c r="I13688" t="s">
        <v>29</v>
      </c>
      <c r="J13688" t="s">
        <v>30</v>
      </c>
      <c r="K13688" t="s">
        <v>41396</v>
      </c>
      <c r="M13688" t="s">
        <v>17861</v>
      </c>
      <c r="N13688" t="str">
        <f>"3/20/2020 10:45:00 AM"</f>
        <v>3/20/2020 10:45:00 AM</v>
      </c>
      <c r="O13688" t="s">
        <v>41393</v>
      </c>
      <c r="T13688" t="s">
        <v>41394</v>
      </c>
    </row>
    <row r="13689" spans="1:20" x14ac:dyDescent="0.25">
      <c r="A13689" t="str">
        <f>"3044939"</f>
        <v>3044939</v>
      </c>
      <c r="B13689" t="s">
        <v>41397</v>
      </c>
      <c r="C13689" t="str">
        <f>"8313181"</f>
        <v>8313181</v>
      </c>
      <c r="D13689" t="s">
        <v>41374</v>
      </c>
      <c r="E13689" t="s">
        <v>41375</v>
      </c>
      <c r="F13689" t="s">
        <v>41376</v>
      </c>
      <c r="I13689" t="s">
        <v>7917</v>
      </c>
      <c r="J13689" t="s">
        <v>30</v>
      </c>
      <c r="K13689" t="s">
        <v>41377</v>
      </c>
      <c r="M13689" t="s">
        <v>17861</v>
      </c>
      <c r="N13689" t="str">
        <f>"3/11/2020 1:54:00 PM"</f>
        <v>3/11/2020 1:54:00 PM</v>
      </c>
      <c r="O13689" t="s">
        <v>41374</v>
      </c>
      <c r="T13689" t="s">
        <v>41375</v>
      </c>
    </row>
    <row r="13690" spans="1:20" x14ac:dyDescent="0.25">
      <c r="A13690" t="str">
        <f>"3057537"</f>
        <v>3057537</v>
      </c>
      <c r="B13690" t="s">
        <v>41398</v>
      </c>
      <c r="C13690" t="str">
        <f>"8313187"</f>
        <v>8313187</v>
      </c>
      <c r="D13690" t="s">
        <v>41399</v>
      </c>
      <c r="E13690" t="s">
        <v>41400</v>
      </c>
      <c r="F13690" t="s">
        <v>41401</v>
      </c>
      <c r="I13690" t="s">
        <v>29</v>
      </c>
      <c r="J13690" t="s">
        <v>30</v>
      </c>
      <c r="K13690" t="s">
        <v>41402</v>
      </c>
      <c r="M13690" t="s">
        <v>17861</v>
      </c>
      <c r="N13690" t="str">
        <f>"3/11/2020 2:06:00 PM"</f>
        <v>3/11/2020 2:06:00 PM</v>
      </c>
      <c r="O13690" t="s">
        <v>41399</v>
      </c>
      <c r="T13690" t="s">
        <v>41400</v>
      </c>
    </row>
    <row r="13691" spans="1:20" x14ac:dyDescent="0.25">
      <c r="A13691" t="str">
        <f>"3038362"</f>
        <v>3038362</v>
      </c>
      <c r="B13691" t="s">
        <v>41403</v>
      </c>
      <c r="C13691" t="str">
        <f>"8313261"</f>
        <v>8313261</v>
      </c>
      <c r="D13691" t="s">
        <v>41404</v>
      </c>
      <c r="E13691" t="s">
        <v>41405</v>
      </c>
      <c r="F13691" t="s">
        <v>41406</v>
      </c>
      <c r="I13691" t="s">
        <v>29</v>
      </c>
      <c r="J13691" t="s">
        <v>30</v>
      </c>
      <c r="K13691" t="s">
        <v>41407</v>
      </c>
      <c r="M13691" t="s">
        <v>17861</v>
      </c>
      <c r="N13691" t="str">
        <f>"3/20/2020 2:35:00 PM"</f>
        <v>3/20/2020 2:35:00 PM</v>
      </c>
      <c r="O13691" t="s">
        <v>41404</v>
      </c>
      <c r="T13691" t="s">
        <v>41405</v>
      </c>
    </row>
    <row r="13692" spans="1:20" x14ac:dyDescent="0.25">
      <c r="A13692" t="str">
        <f>"3037278"</f>
        <v>3037278</v>
      </c>
      <c r="B13692" t="s">
        <v>41408</v>
      </c>
      <c r="C13692" t="str">
        <f>"8313262"</f>
        <v>8313262</v>
      </c>
      <c r="D13692" t="s">
        <v>41409</v>
      </c>
      <c r="E13692" t="s">
        <v>41410</v>
      </c>
      <c r="F13692" t="s">
        <v>41411</v>
      </c>
      <c r="I13692" t="s">
        <v>184</v>
      </c>
      <c r="J13692" t="s">
        <v>30</v>
      </c>
      <c r="K13692" t="s">
        <v>24723</v>
      </c>
      <c r="M13692" t="s">
        <v>17861</v>
      </c>
      <c r="N13692" t="str">
        <f>"3/20/2020 2:37:00 PM"</f>
        <v>3/20/2020 2:37:00 PM</v>
      </c>
      <c r="O13692" t="s">
        <v>41409</v>
      </c>
      <c r="T13692" t="s">
        <v>41410</v>
      </c>
    </row>
    <row r="13693" spans="1:20" x14ac:dyDescent="0.25">
      <c r="A13693" t="str">
        <f>"3059577"</f>
        <v>3059577</v>
      </c>
      <c r="B13693" t="s">
        <v>41412</v>
      </c>
      <c r="C13693" t="str">
        <f>"8313189"</f>
        <v>8313189</v>
      </c>
      <c r="D13693" t="s">
        <v>41413</v>
      </c>
      <c r="F13693" t="s">
        <v>41414</v>
      </c>
      <c r="I13693" t="s">
        <v>29</v>
      </c>
      <c r="J13693" t="s">
        <v>30</v>
      </c>
      <c r="K13693" t="s">
        <v>29862</v>
      </c>
      <c r="M13693" t="s">
        <v>17861</v>
      </c>
      <c r="N13693" t="str">
        <f>"3/11/2020 2:11:00 PM"</f>
        <v>3/11/2020 2:11:00 PM</v>
      </c>
      <c r="O13693" t="s">
        <v>41413</v>
      </c>
    </row>
    <row r="13694" spans="1:20" x14ac:dyDescent="0.25">
      <c r="A13694" t="str">
        <f>"3037368"</f>
        <v>3037368</v>
      </c>
      <c r="B13694" t="s">
        <v>41415</v>
      </c>
      <c r="C13694" t="str">
        <f>"8313195"</f>
        <v>8313195</v>
      </c>
      <c r="D13694" t="s">
        <v>41416</v>
      </c>
      <c r="E13694" t="s">
        <v>41417</v>
      </c>
      <c r="F13694" t="s">
        <v>41418</v>
      </c>
      <c r="I13694" t="s">
        <v>184</v>
      </c>
      <c r="J13694" t="s">
        <v>30</v>
      </c>
      <c r="K13694" t="s">
        <v>34334</v>
      </c>
      <c r="M13694" t="s">
        <v>17861</v>
      </c>
      <c r="N13694" t="str">
        <f>"3/11/2020 2:28:00 PM"</f>
        <v>3/11/2020 2:28:00 PM</v>
      </c>
      <c r="O13694" t="s">
        <v>41416</v>
      </c>
      <c r="T13694" t="s">
        <v>41417</v>
      </c>
    </row>
    <row r="13695" spans="1:20" x14ac:dyDescent="0.25">
      <c r="A13695" t="str">
        <f>"3078590"</f>
        <v>3078590</v>
      </c>
      <c r="B13695" t="s">
        <v>41419</v>
      </c>
      <c r="C13695" t="str">
        <f>"8313226"</f>
        <v>8313226</v>
      </c>
      <c r="D13695" t="s">
        <v>41420</v>
      </c>
      <c r="E13695" t="s">
        <v>16618</v>
      </c>
      <c r="F13695" t="s">
        <v>41421</v>
      </c>
      <c r="I13695" t="s">
        <v>29</v>
      </c>
      <c r="J13695" t="s">
        <v>30</v>
      </c>
      <c r="K13695" t="s">
        <v>16621</v>
      </c>
      <c r="M13695" t="s">
        <v>17861</v>
      </c>
      <c r="N13695" t="str">
        <f>"3/12/2020 3:35:00 PM"</f>
        <v>3/12/2020 3:35:00 PM</v>
      </c>
      <c r="O13695" t="s">
        <v>41420</v>
      </c>
      <c r="T13695" t="s">
        <v>16618</v>
      </c>
    </row>
    <row r="13696" spans="1:20" x14ac:dyDescent="0.25">
      <c r="A13696" t="str">
        <f>"3059638"</f>
        <v>3059638</v>
      </c>
      <c r="B13696" t="s">
        <v>41422</v>
      </c>
      <c r="C13696" t="str">
        <f>"8313233"</f>
        <v>8313233</v>
      </c>
      <c r="D13696" t="s">
        <v>41423</v>
      </c>
      <c r="F13696" t="s">
        <v>41424</v>
      </c>
      <c r="I13696" t="s">
        <v>29</v>
      </c>
      <c r="J13696" t="s">
        <v>30</v>
      </c>
      <c r="K13696" t="s">
        <v>13608</v>
      </c>
      <c r="M13696" t="s">
        <v>17861</v>
      </c>
      <c r="N13696" t="str">
        <f>"3/16/2020 2:10:00 PM"</f>
        <v>3/16/2020 2:10:00 PM</v>
      </c>
      <c r="O13696" t="s">
        <v>41423</v>
      </c>
    </row>
    <row r="13697" spans="1:20" x14ac:dyDescent="0.25">
      <c r="A13697" t="str">
        <f>"3038809"</f>
        <v>3038809</v>
      </c>
      <c r="B13697" t="s">
        <v>41425</v>
      </c>
      <c r="C13697" t="str">
        <f>"8313240"</f>
        <v>8313240</v>
      </c>
      <c r="D13697" t="str">
        <f>"TESTAMENTARY TRUST FBO JAMES BROWN/EMMA J SHAW"</f>
        <v>TESTAMENTARY TRUST FBO JAMES BROWN/EMMA J SHAW</v>
      </c>
      <c r="E13697" t="s">
        <v>41426</v>
      </c>
      <c r="F13697" t="s">
        <v>41427</v>
      </c>
      <c r="I13697" t="s">
        <v>29</v>
      </c>
      <c r="J13697" t="s">
        <v>30</v>
      </c>
      <c r="K13697" t="s">
        <v>41428</v>
      </c>
      <c r="M13697" t="s">
        <v>17861</v>
      </c>
      <c r="N13697" t="str">
        <f>"3/18/2020 11:08:00 AM"</f>
        <v>3/18/2020 11:08:00 AM</v>
      </c>
      <c r="O13697" t="str">
        <f>"TESTAMENTARY TRUST FBO JAMES BROWN/EMMA J SHAW"</f>
        <v>TESTAMENTARY TRUST FBO JAMES BROWN/EMMA J SHAW</v>
      </c>
      <c r="T13697" t="s">
        <v>41426</v>
      </c>
    </row>
    <row r="13698" spans="1:20" x14ac:dyDescent="0.25">
      <c r="A13698" t="str">
        <f>"3081022"</f>
        <v>3081022</v>
      </c>
      <c r="B13698" t="s">
        <v>41429</v>
      </c>
      <c r="C13698" t="str">
        <f>"20614000"</f>
        <v>20614000</v>
      </c>
      <c r="D13698" t="s">
        <v>41430</v>
      </c>
      <c r="E13698" t="s">
        <v>41431</v>
      </c>
      <c r="F13698" t="s">
        <v>41432</v>
      </c>
      <c r="I13698" t="s">
        <v>184</v>
      </c>
      <c r="J13698" t="s">
        <v>30</v>
      </c>
      <c r="K13698" t="s">
        <v>819</v>
      </c>
      <c r="M13698" t="s">
        <v>18479</v>
      </c>
      <c r="N13698" t="str">
        <f>"3/23/2020 3:59:00 PM"</f>
        <v>3/23/2020 3:59:00 PM</v>
      </c>
      <c r="O13698" t="s">
        <v>41430</v>
      </c>
      <c r="T13698" t="s">
        <v>41431</v>
      </c>
    </row>
    <row r="13699" spans="1:20" x14ac:dyDescent="0.25">
      <c r="A13699" t="str">
        <f>"3043145"</f>
        <v>3043145</v>
      </c>
      <c r="B13699" t="s">
        <v>41433</v>
      </c>
      <c r="C13699" t="str">
        <f>"8313270"</f>
        <v>8313270</v>
      </c>
      <c r="D13699" t="s">
        <v>41434</v>
      </c>
      <c r="E13699" t="s">
        <v>6977</v>
      </c>
      <c r="F13699" t="s">
        <v>41435</v>
      </c>
      <c r="I13699" t="s">
        <v>29</v>
      </c>
      <c r="J13699" t="s">
        <v>30</v>
      </c>
      <c r="K13699" t="s">
        <v>6979</v>
      </c>
      <c r="M13699" t="s">
        <v>17861</v>
      </c>
      <c r="N13699" t="str">
        <f>"3/23/2020 3:09:00 PM"</f>
        <v>3/23/2020 3:09:00 PM</v>
      </c>
      <c r="O13699" t="s">
        <v>41434</v>
      </c>
      <c r="T13699" t="s">
        <v>6977</v>
      </c>
    </row>
    <row r="13700" spans="1:20" x14ac:dyDescent="0.25">
      <c r="A13700" t="str">
        <f>"3043132"</f>
        <v>3043132</v>
      </c>
      <c r="B13700" t="s">
        <v>41436</v>
      </c>
      <c r="C13700" t="str">
        <f>"8313270"</f>
        <v>8313270</v>
      </c>
      <c r="D13700" t="s">
        <v>41434</v>
      </c>
      <c r="E13700" t="s">
        <v>6977</v>
      </c>
      <c r="F13700" t="s">
        <v>41435</v>
      </c>
      <c r="I13700" t="s">
        <v>29</v>
      </c>
      <c r="J13700" t="s">
        <v>30</v>
      </c>
      <c r="K13700" t="s">
        <v>6979</v>
      </c>
      <c r="M13700" t="s">
        <v>17861</v>
      </c>
      <c r="N13700" t="str">
        <f>"3/23/2020 3:09:00 PM"</f>
        <v>3/23/2020 3:09:00 PM</v>
      </c>
      <c r="O13700" t="s">
        <v>41434</v>
      </c>
      <c r="T13700" t="s">
        <v>6977</v>
      </c>
    </row>
    <row r="13701" spans="1:20" x14ac:dyDescent="0.25">
      <c r="A13701" t="str">
        <f>"3038316"</f>
        <v>3038316</v>
      </c>
      <c r="B13701" t="s">
        <v>41437</v>
      </c>
      <c r="C13701" t="str">
        <f>"82522915"</f>
        <v>82522915</v>
      </c>
      <c r="D13701" t="s">
        <v>41438</v>
      </c>
      <c r="F13701" t="s">
        <v>41439</v>
      </c>
      <c r="I13701" t="s">
        <v>29</v>
      </c>
      <c r="J13701" t="s">
        <v>30</v>
      </c>
      <c r="K13701" t="s">
        <v>31</v>
      </c>
      <c r="M13701" t="s">
        <v>25625</v>
      </c>
      <c r="N13701" t="str">
        <f>"3/10/2020 8:26:00 AM"</f>
        <v>3/10/2020 8:26:00 AM</v>
      </c>
      <c r="O13701" t="s">
        <v>41438</v>
      </c>
    </row>
    <row r="13702" spans="1:20" x14ac:dyDescent="0.25">
      <c r="A13702" t="str">
        <f>"3038668"</f>
        <v>3038668</v>
      </c>
      <c r="B13702" t="s">
        <v>41440</v>
      </c>
      <c r="C13702" t="str">
        <f>"8313275"</f>
        <v>8313275</v>
      </c>
      <c r="D13702" t="s">
        <v>41441</v>
      </c>
      <c r="E13702" t="s">
        <v>41442</v>
      </c>
      <c r="F13702" t="s">
        <v>41443</v>
      </c>
      <c r="I13702" t="s">
        <v>29</v>
      </c>
      <c r="J13702" t="s">
        <v>30</v>
      </c>
      <c r="K13702" t="s">
        <v>41444</v>
      </c>
      <c r="M13702" t="s">
        <v>17861</v>
      </c>
      <c r="N13702" t="str">
        <f>"3/24/2020 9:11:00 AM"</f>
        <v>3/24/2020 9:11:00 AM</v>
      </c>
      <c r="O13702" t="s">
        <v>41441</v>
      </c>
      <c r="T13702" t="s">
        <v>41442</v>
      </c>
    </row>
    <row r="13703" spans="1:20" x14ac:dyDescent="0.25">
      <c r="A13703" t="str">
        <f>"3048975"</f>
        <v>3048975</v>
      </c>
      <c r="B13703" t="s">
        <v>41445</v>
      </c>
      <c r="C13703" t="str">
        <f>"82528303"</f>
        <v>82528303</v>
      </c>
      <c r="D13703" t="s">
        <v>41446</v>
      </c>
      <c r="E13703" t="s">
        <v>41447</v>
      </c>
      <c r="F13703" t="s">
        <v>41448</v>
      </c>
      <c r="I13703" t="s">
        <v>41449</v>
      </c>
      <c r="J13703" t="s">
        <v>12725</v>
      </c>
      <c r="K13703" t="str">
        <f>"33852"</f>
        <v>33852</v>
      </c>
      <c r="M13703" t="s">
        <v>25733</v>
      </c>
      <c r="N13703" t="str">
        <f>"3/24/2020 10:20:00 AM"</f>
        <v>3/24/2020 10:20:00 AM</v>
      </c>
      <c r="O13703" t="s">
        <v>41446</v>
      </c>
      <c r="T13703" t="s">
        <v>41447</v>
      </c>
    </row>
    <row r="13704" spans="1:20" x14ac:dyDescent="0.25">
      <c r="A13704" t="str">
        <f>"3060197"</f>
        <v>3060197</v>
      </c>
      <c r="B13704" t="s">
        <v>41450</v>
      </c>
      <c r="C13704" t="str">
        <f>"82514676"</f>
        <v>82514676</v>
      </c>
      <c r="D13704" t="s">
        <v>41451</v>
      </c>
      <c r="E13704" t="s">
        <v>41452</v>
      </c>
      <c r="F13704" t="s">
        <v>41453</v>
      </c>
      <c r="I13704" t="s">
        <v>29</v>
      </c>
      <c r="J13704" t="s">
        <v>30</v>
      </c>
      <c r="K13704" t="s">
        <v>31</v>
      </c>
      <c r="M13704" t="s">
        <v>41454</v>
      </c>
      <c r="N13704" t="str">
        <f>"3/10/2020 9:11:00 AM"</f>
        <v>3/10/2020 9:11:00 AM</v>
      </c>
      <c r="O13704" t="s">
        <v>41451</v>
      </c>
      <c r="T13704" t="s">
        <v>41452</v>
      </c>
    </row>
    <row r="13705" spans="1:20" x14ac:dyDescent="0.25">
      <c r="A13705" t="str">
        <f>"3043721"</f>
        <v>3043721</v>
      </c>
      <c r="B13705" t="s">
        <v>41455</v>
      </c>
      <c r="C13705" t="str">
        <f>"64363060"</f>
        <v>64363060</v>
      </c>
      <c r="D13705" t="s">
        <v>41456</v>
      </c>
      <c r="E13705" t="s">
        <v>41457</v>
      </c>
      <c r="F13705" t="s">
        <v>41458</v>
      </c>
      <c r="I13705" t="s">
        <v>29</v>
      </c>
      <c r="J13705" t="s">
        <v>30</v>
      </c>
      <c r="K13705" t="s">
        <v>559</v>
      </c>
      <c r="M13705" t="s">
        <v>25733</v>
      </c>
      <c r="N13705" t="str">
        <f>"3/10/2020 9:57:00 AM"</f>
        <v>3/10/2020 9:57:00 AM</v>
      </c>
      <c r="O13705" t="s">
        <v>41456</v>
      </c>
      <c r="T13705" t="s">
        <v>41457</v>
      </c>
    </row>
    <row r="13706" spans="1:20" x14ac:dyDescent="0.25">
      <c r="A13706" t="str">
        <f>"3046822"</f>
        <v>3046822</v>
      </c>
      <c r="B13706" t="s">
        <v>41459</v>
      </c>
      <c r="C13706" t="str">
        <f>"64363060"</f>
        <v>64363060</v>
      </c>
      <c r="D13706" t="s">
        <v>41456</v>
      </c>
      <c r="E13706" t="s">
        <v>41457</v>
      </c>
      <c r="F13706" t="s">
        <v>41458</v>
      </c>
      <c r="I13706" t="s">
        <v>29</v>
      </c>
      <c r="J13706" t="s">
        <v>30</v>
      </c>
      <c r="K13706" t="s">
        <v>559</v>
      </c>
      <c r="M13706" t="s">
        <v>25733</v>
      </c>
      <c r="N13706" t="str">
        <f>"3/10/2020 9:57:00 AM"</f>
        <v>3/10/2020 9:57:00 AM</v>
      </c>
      <c r="O13706" t="s">
        <v>41456</v>
      </c>
      <c r="T13706" t="s">
        <v>41457</v>
      </c>
    </row>
    <row r="13707" spans="1:20" x14ac:dyDescent="0.25">
      <c r="A13707" t="str">
        <f>"3038134"</f>
        <v>3038134</v>
      </c>
      <c r="B13707" t="s">
        <v>41460</v>
      </c>
      <c r="C13707" t="str">
        <f>"61055000"</f>
        <v>61055000</v>
      </c>
      <c r="D13707" t="s">
        <v>41461</v>
      </c>
      <c r="F13707" t="s">
        <v>41462</v>
      </c>
      <c r="I13707" t="s">
        <v>471</v>
      </c>
      <c r="J13707" t="s">
        <v>30</v>
      </c>
      <c r="K13707" t="s">
        <v>1210</v>
      </c>
      <c r="M13707" t="s">
        <v>32801</v>
      </c>
      <c r="N13707" t="str">
        <f>"3/10/2020 10:08:00 AM"</f>
        <v>3/10/2020 10:08:00 AM</v>
      </c>
      <c r="O13707" t="s">
        <v>41461</v>
      </c>
    </row>
    <row r="13708" spans="1:20" x14ac:dyDescent="0.25">
      <c r="A13708" t="str">
        <f>"3037916"</f>
        <v>3037916</v>
      </c>
      <c r="B13708" t="s">
        <v>41463</v>
      </c>
      <c r="C13708" t="str">
        <f>"61055000"</f>
        <v>61055000</v>
      </c>
      <c r="D13708" t="s">
        <v>41461</v>
      </c>
      <c r="F13708" t="s">
        <v>41462</v>
      </c>
      <c r="I13708" t="s">
        <v>471</v>
      </c>
      <c r="J13708" t="s">
        <v>30</v>
      </c>
      <c r="K13708" t="s">
        <v>1210</v>
      </c>
      <c r="M13708" t="s">
        <v>32801</v>
      </c>
      <c r="N13708" t="str">
        <f>"3/10/2020 10:08:00 AM"</f>
        <v>3/10/2020 10:08:00 AM</v>
      </c>
      <c r="O13708" t="s">
        <v>41461</v>
      </c>
    </row>
    <row r="13709" spans="1:20" x14ac:dyDescent="0.25">
      <c r="A13709" t="str">
        <f>"3038903"</f>
        <v>3038903</v>
      </c>
      <c r="B13709" t="s">
        <v>41464</v>
      </c>
      <c r="C13709" t="str">
        <f>"61055000"</f>
        <v>61055000</v>
      </c>
      <c r="D13709" t="s">
        <v>41461</v>
      </c>
      <c r="F13709" t="s">
        <v>41462</v>
      </c>
      <c r="I13709" t="s">
        <v>471</v>
      </c>
      <c r="J13709" t="s">
        <v>30</v>
      </c>
      <c r="K13709" t="s">
        <v>1210</v>
      </c>
      <c r="M13709" t="s">
        <v>32801</v>
      </c>
      <c r="N13709" t="str">
        <f>"3/10/2020 10:08:00 AM"</f>
        <v>3/10/2020 10:08:00 AM</v>
      </c>
      <c r="O13709" t="s">
        <v>41461</v>
      </c>
    </row>
    <row r="13710" spans="1:20" x14ac:dyDescent="0.25">
      <c r="A13710" t="str">
        <f>"3041967"</f>
        <v>3041967</v>
      </c>
      <c r="B13710" t="s">
        <v>41465</v>
      </c>
      <c r="C13710" t="str">
        <f>"82525208"</f>
        <v>82525208</v>
      </c>
      <c r="D13710" t="s">
        <v>41466</v>
      </c>
      <c r="F13710" t="s">
        <v>41467</v>
      </c>
      <c r="I13710" t="s">
        <v>29</v>
      </c>
      <c r="J13710" t="s">
        <v>30</v>
      </c>
      <c r="K13710" t="s">
        <v>31</v>
      </c>
      <c r="M13710" t="s">
        <v>33845</v>
      </c>
      <c r="N13710" t="str">
        <f>"3/10/2020 2:50:00 PM"</f>
        <v>3/10/2020 2:50:00 PM</v>
      </c>
      <c r="O13710" t="s">
        <v>41466</v>
      </c>
    </row>
    <row r="13711" spans="1:20" x14ac:dyDescent="0.25">
      <c r="A13711" t="str">
        <f>"3053898"</f>
        <v>3053898</v>
      </c>
      <c r="B13711" t="s">
        <v>41468</v>
      </c>
      <c r="C13711" t="str">
        <f>"8313294"</f>
        <v>8313294</v>
      </c>
      <c r="D13711" t="s">
        <v>41469</v>
      </c>
      <c r="F13711" t="s">
        <v>41470</v>
      </c>
      <c r="I13711" t="s">
        <v>29</v>
      </c>
      <c r="J13711" t="s">
        <v>30</v>
      </c>
      <c r="K13711" t="s">
        <v>13567</v>
      </c>
      <c r="M13711" t="s">
        <v>17861</v>
      </c>
      <c r="N13711" t="str">
        <f>"3/27/2020 11:30:00 AM"</f>
        <v>3/27/2020 11:30:00 AM</v>
      </c>
      <c r="O13711" t="s">
        <v>41469</v>
      </c>
    </row>
    <row r="13712" spans="1:20" x14ac:dyDescent="0.25">
      <c r="A13712" t="str">
        <f>"3053859"</f>
        <v>3053859</v>
      </c>
      <c r="B13712" t="s">
        <v>41471</v>
      </c>
      <c r="C13712" t="str">
        <f>"8313294"</f>
        <v>8313294</v>
      </c>
      <c r="D13712" t="s">
        <v>41469</v>
      </c>
      <c r="F13712" t="s">
        <v>41470</v>
      </c>
      <c r="I13712" t="s">
        <v>29</v>
      </c>
      <c r="J13712" t="s">
        <v>30</v>
      </c>
      <c r="K13712" t="s">
        <v>13567</v>
      </c>
      <c r="M13712" t="s">
        <v>17861</v>
      </c>
      <c r="N13712" t="str">
        <f>"3/27/2020 11:30:00 AM"</f>
        <v>3/27/2020 11:30:00 AM</v>
      </c>
      <c r="O13712" t="s">
        <v>41469</v>
      </c>
    </row>
    <row r="13713" spans="1:20" x14ac:dyDescent="0.25">
      <c r="A13713" t="str">
        <f>"3053853"</f>
        <v>3053853</v>
      </c>
      <c r="B13713" t="s">
        <v>41472</v>
      </c>
      <c r="C13713" t="str">
        <f>"8313294"</f>
        <v>8313294</v>
      </c>
      <c r="D13713" t="s">
        <v>41469</v>
      </c>
      <c r="F13713" t="s">
        <v>41470</v>
      </c>
      <c r="I13713" t="s">
        <v>29</v>
      </c>
      <c r="J13713" t="s">
        <v>30</v>
      </c>
      <c r="K13713" t="s">
        <v>13567</v>
      </c>
      <c r="M13713" t="s">
        <v>17861</v>
      </c>
      <c r="N13713" t="str">
        <f>"3/27/2020 11:30:00 AM"</f>
        <v>3/27/2020 11:30:00 AM</v>
      </c>
      <c r="O13713" t="s">
        <v>41469</v>
      </c>
    </row>
    <row r="13714" spans="1:20" x14ac:dyDescent="0.25">
      <c r="A13714" t="str">
        <f>"3053934"</f>
        <v>3053934</v>
      </c>
      <c r="B13714" t="s">
        <v>41473</v>
      </c>
      <c r="C13714" t="str">
        <f>"8313296"</f>
        <v>8313296</v>
      </c>
      <c r="D13714" t="s">
        <v>41474</v>
      </c>
      <c r="E13714" t="s">
        <v>41475</v>
      </c>
      <c r="F13714" t="s">
        <v>41476</v>
      </c>
      <c r="I13714" t="s">
        <v>29</v>
      </c>
      <c r="J13714" t="s">
        <v>30</v>
      </c>
      <c r="K13714" t="s">
        <v>41477</v>
      </c>
      <c r="M13714" t="s">
        <v>17861</v>
      </c>
      <c r="N13714" t="str">
        <f>"3/27/2020 12:01:00 PM"</f>
        <v>3/27/2020 12:01:00 PM</v>
      </c>
      <c r="O13714" t="s">
        <v>41474</v>
      </c>
      <c r="T13714" t="s">
        <v>41475</v>
      </c>
    </row>
    <row r="13715" spans="1:20" x14ac:dyDescent="0.25">
      <c r="A13715" t="str">
        <f>"3050989"</f>
        <v>3050989</v>
      </c>
      <c r="B13715" t="s">
        <v>41478</v>
      </c>
      <c r="C13715" t="str">
        <f>"8313300"</f>
        <v>8313300</v>
      </c>
      <c r="D13715" t="s">
        <v>41479</v>
      </c>
      <c r="E13715" t="s">
        <v>41480</v>
      </c>
      <c r="F13715" t="s">
        <v>41481</v>
      </c>
      <c r="I13715" t="s">
        <v>184</v>
      </c>
      <c r="J13715" t="s">
        <v>30</v>
      </c>
      <c r="K13715" t="s">
        <v>37663</v>
      </c>
      <c r="M13715" t="s">
        <v>17861</v>
      </c>
      <c r="N13715" t="str">
        <f>"3/27/2020 12:26:00 PM"</f>
        <v>3/27/2020 12:26:00 PM</v>
      </c>
      <c r="O13715" t="s">
        <v>41479</v>
      </c>
      <c r="T13715" t="s">
        <v>41480</v>
      </c>
    </row>
    <row r="13716" spans="1:20" x14ac:dyDescent="0.25">
      <c r="A13716" t="str">
        <f>"3059239"</f>
        <v>3059239</v>
      </c>
      <c r="B13716" t="s">
        <v>41482</v>
      </c>
      <c r="C13716" t="str">
        <f>"8313170"</f>
        <v>8313170</v>
      </c>
      <c r="D13716" t="s">
        <v>41483</v>
      </c>
      <c r="F13716" t="s">
        <v>41484</v>
      </c>
      <c r="I13716" t="s">
        <v>29</v>
      </c>
      <c r="J13716" t="s">
        <v>30</v>
      </c>
      <c r="K13716" t="s">
        <v>11113</v>
      </c>
      <c r="M13716" t="s">
        <v>17861</v>
      </c>
      <c r="N13716" t="str">
        <f>"3/11/2020 10:48:00 AM"</f>
        <v>3/11/2020 10:48:00 AM</v>
      </c>
      <c r="O13716" t="s">
        <v>41483</v>
      </c>
    </row>
    <row r="13717" spans="1:20" x14ac:dyDescent="0.25">
      <c r="A13717" t="str">
        <f>"3041681"</f>
        <v>3041681</v>
      </c>
      <c r="B13717" t="s">
        <v>41485</v>
      </c>
      <c r="C13717" t="str">
        <f>"8313302"</f>
        <v>8313302</v>
      </c>
      <c r="D13717" t="s">
        <v>41486</v>
      </c>
      <c r="F13717" t="s">
        <v>41487</v>
      </c>
      <c r="I13717" t="s">
        <v>2071</v>
      </c>
      <c r="J13717" t="s">
        <v>30</v>
      </c>
      <c r="K13717" t="s">
        <v>34839</v>
      </c>
      <c r="M13717" t="s">
        <v>17861</v>
      </c>
      <c r="N13717" t="str">
        <f>"3/27/2020 12:41:00 PM"</f>
        <v>3/27/2020 12:41:00 PM</v>
      </c>
      <c r="O13717" t="s">
        <v>41486</v>
      </c>
    </row>
    <row r="13718" spans="1:20" x14ac:dyDescent="0.25">
      <c r="A13718" t="str">
        <f>"3061290"</f>
        <v>3061290</v>
      </c>
      <c r="B13718" t="s">
        <v>41488</v>
      </c>
      <c r="C13718" t="str">
        <f>"8313303"</f>
        <v>8313303</v>
      </c>
      <c r="D13718" t="s">
        <v>41489</v>
      </c>
      <c r="E13718" t="s">
        <v>41490</v>
      </c>
      <c r="F13718" t="s">
        <v>41491</v>
      </c>
      <c r="I13718" t="s">
        <v>2071</v>
      </c>
      <c r="J13718" t="s">
        <v>30</v>
      </c>
      <c r="K13718" t="s">
        <v>36586</v>
      </c>
      <c r="M13718" t="s">
        <v>17861</v>
      </c>
      <c r="N13718" t="str">
        <f>"3/27/2020 12:50:00 PM"</f>
        <v>3/27/2020 12:50:00 PM</v>
      </c>
      <c r="O13718" t="s">
        <v>41489</v>
      </c>
      <c r="T13718" t="s">
        <v>41490</v>
      </c>
    </row>
    <row r="13719" spans="1:20" x14ac:dyDescent="0.25">
      <c r="A13719" t="str">
        <f>"3044605"</f>
        <v>3044605</v>
      </c>
      <c r="B13719" t="s">
        <v>41492</v>
      </c>
      <c r="C13719" t="str">
        <f>"8313309"</f>
        <v>8313309</v>
      </c>
      <c r="D13719" t="s">
        <v>41493</v>
      </c>
      <c r="E13719" t="s">
        <v>41494</v>
      </c>
      <c r="F13719" t="s">
        <v>41495</v>
      </c>
      <c r="I13719" t="s">
        <v>184</v>
      </c>
      <c r="J13719" t="s">
        <v>30</v>
      </c>
      <c r="K13719" t="s">
        <v>5840</v>
      </c>
      <c r="M13719" t="s">
        <v>17861</v>
      </c>
      <c r="N13719" t="str">
        <f>"3/27/2020 1:25:00 PM"</f>
        <v>3/27/2020 1:25:00 PM</v>
      </c>
      <c r="O13719" t="s">
        <v>41493</v>
      </c>
      <c r="T13719" t="s">
        <v>41494</v>
      </c>
    </row>
    <row r="13720" spans="1:20" x14ac:dyDescent="0.25">
      <c r="A13720" t="str">
        <f>"3060863"</f>
        <v>3060863</v>
      </c>
      <c r="B13720" t="s">
        <v>41496</v>
      </c>
      <c r="C13720" t="str">
        <f>"8313311"</f>
        <v>8313311</v>
      </c>
      <c r="D13720" t="s">
        <v>41497</v>
      </c>
      <c r="F13720" t="s">
        <v>41498</v>
      </c>
      <c r="I13720" t="s">
        <v>2071</v>
      </c>
      <c r="J13720" t="s">
        <v>30</v>
      </c>
      <c r="K13720" t="s">
        <v>34675</v>
      </c>
      <c r="M13720" t="s">
        <v>17861</v>
      </c>
      <c r="N13720" t="str">
        <f>"3/27/2020 1:29:00 PM"</f>
        <v>3/27/2020 1:29:00 PM</v>
      </c>
      <c r="O13720" t="s">
        <v>41497</v>
      </c>
    </row>
    <row r="13721" spans="1:20" x14ac:dyDescent="0.25">
      <c r="A13721" t="str">
        <f>"3041262"</f>
        <v>3041262</v>
      </c>
      <c r="B13721" t="s">
        <v>41499</v>
      </c>
      <c r="C13721" t="str">
        <f>"8313314"</f>
        <v>8313314</v>
      </c>
      <c r="D13721" t="s">
        <v>41500</v>
      </c>
      <c r="E13721" t="s">
        <v>41501</v>
      </c>
      <c r="F13721" t="s">
        <v>41502</v>
      </c>
      <c r="I13721" t="s">
        <v>2071</v>
      </c>
      <c r="J13721" t="s">
        <v>30</v>
      </c>
      <c r="K13721" t="s">
        <v>35916</v>
      </c>
      <c r="M13721" t="s">
        <v>17861</v>
      </c>
      <c r="N13721" t="str">
        <f>"3/27/2020 3:26:00 PM"</f>
        <v>3/27/2020 3:26:00 PM</v>
      </c>
      <c r="O13721" t="s">
        <v>41500</v>
      </c>
      <c r="T13721" t="s">
        <v>41501</v>
      </c>
    </row>
    <row r="13722" spans="1:20" x14ac:dyDescent="0.25">
      <c r="A13722" t="str">
        <f>"3038914"</f>
        <v>3038914</v>
      </c>
      <c r="B13722" t="s">
        <v>41503</v>
      </c>
      <c r="C13722" t="str">
        <f>"8308833"</f>
        <v>8308833</v>
      </c>
      <c r="D13722" t="s">
        <v>41504</v>
      </c>
      <c r="E13722" t="s">
        <v>41505</v>
      </c>
      <c r="F13722" t="s">
        <v>41506</v>
      </c>
      <c r="I13722" t="s">
        <v>29</v>
      </c>
      <c r="J13722" t="s">
        <v>30</v>
      </c>
      <c r="K13722" t="s">
        <v>41507</v>
      </c>
      <c r="M13722" t="s">
        <v>18479</v>
      </c>
      <c r="N13722" t="str">
        <f>"3/30/2020 10:21:00 AM"</f>
        <v>3/30/2020 10:21:00 AM</v>
      </c>
      <c r="O13722" t="s">
        <v>41504</v>
      </c>
      <c r="T13722" t="s">
        <v>41505</v>
      </c>
    </row>
    <row r="13723" spans="1:20" x14ac:dyDescent="0.25">
      <c r="A13723" t="str">
        <f>"3050722"</f>
        <v>3050722</v>
      </c>
      <c r="B13723" t="s">
        <v>41508</v>
      </c>
      <c r="C13723" t="str">
        <f>"8313316"</f>
        <v>8313316</v>
      </c>
      <c r="D13723" t="s">
        <v>41509</v>
      </c>
      <c r="F13723" t="s">
        <v>41510</v>
      </c>
      <c r="I13723" t="s">
        <v>184</v>
      </c>
      <c r="J13723" t="s">
        <v>30</v>
      </c>
      <c r="K13723" t="s">
        <v>10584</v>
      </c>
      <c r="M13723" t="s">
        <v>17861</v>
      </c>
      <c r="N13723" t="str">
        <f>"3/30/2020 12:24:00 PM"</f>
        <v>3/30/2020 12:24:00 PM</v>
      </c>
      <c r="O13723" t="s">
        <v>41509</v>
      </c>
    </row>
    <row r="13724" spans="1:20" x14ac:dyDescent="0.25">
      <c r="A13724" t="str">
        <f>"3042815"</f>
        <v>3042815</v>
      </c>
      <c r="B13724" t="s">
        <v>41511</v>
      </c>
      <c r="C13724" t="str">
        <f>"8310804"</f>
        <v>8310804</v>
      </c>
      <c r="D13724" t="s">
        <v>41512</v>
      </c>
      <c r="E13724" t="s">
        <v>41513</v>
      </c>
      <c r="F13724" t="s">
        <v>41514</v>
      </c>
      <c r="I13724" t="s">
        <v>29</v>
      </c>
      <c r="J13724" t="s">
        <v>30</v>
      </c>
      <c r="K13724" t="s">
        <v>37390</v>
      </c>
      <c r="M13724" t="s">
        <v>18470</v>
      </c>
      <c r="N13724" t="str">
        <f>"3/30/2020 12:46:00 PM"</f>
        <v>3/30/2020 12:46:00 PM</v>
      </c>
      <c r="O13724" t="s">
        <v>41512</v>
      </c>
      <c r="T13724" t="s">
        <v>41513</v>
      </c>
    </row>
    <row r="13725" spans="1:20" x14ac:dyDescent="0.25">
      <c r="A13725" t="str">
        <f>"3051664"</f>
        <v>3051664</v>
      </c>
      <c r="B13725" t="s">
        <v>41515</v>
      </c>
      <c r="C13725" t="str">
        <f>"8313179"</f>
        <v>8313179</v>
      </c>
      <c r="D13725" t="s">
        <v>41516</v>
      </c>
      <c r="E13725" t="s">
        <v>41517</v>
      </c>
      <c r="F13725" t="s">
        <v>41518</v>
      </c>
      <c r="I13725" t="s">
        <v>29</v>
      </c>
      <c r="J13725" t="s">
        <v>30</v>
      </c>
      <c r="K13725" t="s">
        <v>41519</v>
      </c>
      <c r="M13725" t="s">
        <v>17861</v>
      </c>
      <c r="N13725" t="str">
        <f>"3/11/2020 1:45:00 PM"</f>
        <v>3/11/2020 1:45:00 PM</v>
      </c>
      <c r="O13725" t="s">
        <v>41516</v>
      </c>
      <c r="T13725" t="s">
        <v>41517</v>
      </c>
    </row>
    <row r="13726" spans="1:20" x14ac:dyDescent="0.25">
      <c r="A13726" t="str">
        <f>"3051740"</f>
        <v>3051740</v>
      </c>
      <c r="B13726" t="s">
        <v>41520</v>
      </c>
      <c r="C13726" t="str">
        <f>"8313179"</f>
        <v>8313179</v>
      </c>
      <c r="D13726" t="s">
        <v>41516</v>
      </c>
      <c r="E13726" t="s">
        <v>41517</v>
      </c>
      <c r="F13726" t="s">
        <v>41518</v>
      </c>
      <c r="I13726" t="s">
        <v>29</v>
      </c>
      <c r="J13726" t="s">
        <v>30</v>
      </c>
      <c r="K13726" t="s">
        <v>41519</v>
      </c>
      <c r="M13726" t="s">
        <v>17861</v>
      </c>
      <c r="N13726" t="str">
        <f>"3/11/2020 1:45:00 PM"</f>
        <v>3/11/2020 1:45:00 PM</v>
      </c>
      <c r="O13726" t="s">
        <v>41516</v>
      </c>
      <c r="T13726" t="s">
        <v>41517</v>
      </c>
    </row>
    <row r="13727" spans="1:20" x14ac:dyDescent="0.25">
      <c r="A13727" t="str">
        <f>"3045247"</f>
        <v>3045247</v>
      </c>
      <c r="B13727" t="s">
        <v>41521</v>
      </c>
      <c r="C13727" t="str">
        <f>"8313180"</f>
        <v>8313180</v>
      </c>
      <c r="D13727" t="s">
        <v>7830</v>
      </c>
      <c r="E13727" t="s">
        <v>41522</v>
      </c>
      <c r="F13727" t="s">
        <v>41523</v>
      </c>
      <c r="I13727" t="s">
        <v>29</v>
      </c>
      <c r="J13727" t="s">
        <v>30</v>
      </c>
      <c r="K13727" t="s">
        <v>7800</v>
      </c>
      <c r="M13727" t="s">
        <v>17861</v>
      </c>
      <c r="N13727" t="str">
        <f>"3/11/2020 1:50:00 PM"</f>
        <v>3/11/2020 1:50:00 PM</v>
      </c>
      <c r="O13727" t="s">
        <v>7830</v>
      </c>
      <c r="T13727" t="s">
        <v>41522</v>
      </c>
    </row>
    <row r="13728" spans="1:20" x14ac:dyDescent="0.25">
      <c r="A13728" t="str">
        <f>"3045040"</f>
        <v>3045040</v>
      </c>
      <c r="B13728" t="s">
        <v>41524</v>
      </c>
      <c r="C13728" t="str">
        <f>"8313180"</f>
        <v>8313180</v>
      </c>
      <c r="D13728" t="s">
        <v>7830</v>
      </c>
      <c r="E13728" t="s">
        <v>41522</v>
      </c>
      <c r="F13728" t="s">
        <v>41523</v>
      </c>
      <c r="I13728" t="s">
        <v>29</v>
      </c>
      <c r="J13728" t="s">
        <v>30</v>
      </c>
      <c r="K13728" t="s">
        <v>7800</v>
      </c>
      <c r="M13728" t="s">
        <v>17861</v>
      </c>
      <c r="N13728" t="str">
        <f>"3/11/2020 1:50:00 PM"</f>
        <v>3/11/2020 1:50:00 PM</v>
      </c>
      <c r="O13728" t="s">
        <v>7830</v>
      </c>
      <c r="T13728" t="s">
        <v>41522</v>
      </c>
    </row>
    <row r="13729" spans="1:20" x14ac:dyDescent="0.25">
      <c r="A13729" t="str">
        <f>"3050159"</f>
        <v>3050159</v>
      </c>
      <c r="B13729" t="s">
        <v>41525</v>
      </c>
      <c r="C13729" t="str">
        <f>"8313257"</f>
        <v>8313257</v>
      </c>
      <c r="D13729" t="s">
        <v>41526</v>
      </c>
      <c r="E13729" t="s">
        <v>41527</v>
      </c>
      <c r="F13729" t="s">
        <v>41528</v>
      </c>
      <c r="I13729" t="s">
        <v>29</v>
      </c>
      <c r="J13729" t="s">
        <v>30</v>
      </c>
      <c r="K13729" t="s">
        <v>41529</v>
      </c>
      <c r="M13729" t="s">
        <v>17861</v>
      </c>
      <c r="N13729" t="str">
        <f>"3/20/2020 2:05:00 PM"</f>
        <v>3/20/2020 2:05:00 PM</v>
      </c>
      <c r="O13729" t="s">
        <v>41526</v>
      </c>
      <c r="T13729" t="s">
        <v>41527</v>
      </c>
    </row>
    <row r="13730" spans="1:20" x14ac:dyDescent="0.25">
      <c r="A13730" t="str">
        <f>"3047029"</f>
        <v>3047029</v>
      </c>
      <c r="B13730" t="s">
        <v>41530</v>
      </c>
      <c r="C13730" t="str">
        <f>"8313322"</f>
        <v>8313322</v>
      </c>
      <c r="D13730" t="s">
        <v>41531</v>
      </c>
      <c r="E13730" t="s">
        <v>41532</v>
      </c>
      <c r="F13730" t="s">
        <v>40819</v>
      </c>
      <c r="I13730" t="s">
        <v>29</v>
      </c>
      <c r="J13730" t="s">
        <v>30</v>
      </c>
      <c r="K13730" t="s">
        <v>40820</v>
      </c>
      <c r="M13730" t="s">
        <v>17861</v>
      </c>
      <c r="N13730" t="str">
        <f>"3/30/2020 4:30:00 PM"</f>
        <v>3/30/2020 4:30:00 PM</v>
      </c>
      <c r="O13730" t="s">
        <v>41531</v>
      </c>
      <c r="T13730" t="s">
        <v>41532</v>
      </c>
    </row>
    <row r="13731" spans="1:20" x14ac:dyDescent="0.25">
      <c r="A13731" t="str">
        <f>"3046667"</f>
        <v>3046667</v>
      </c>
      <c r="B13731" t="s">
        <v>41533</v>
      </c>
      <c r="C13731" t="str">
        <f>"8313322"</f>
        <v>8313322</v>
      </c>
      <c r="D13731" t="s">
        <v>41531</v>
      </c>
      <c r="E13731" t="s">
        <v>41532</v>
      </c>
      <c r="F13731" t="s">
        <v>40819</v>
      </c>
      <c r="I13731" t="s">
        <v>29</v>
      </c>
      <c r="J13731" t="s">
        <v>30</v>
      </c>
      <c r="K13731" t="s">
        <v>40820</v>
      </c>
      <c r="M13731" t="s">
        <v>17861</v>
      </c>
      <c r="N13731" t="str">
        <f>"3/30/2020 4:30:00 PM"</f>
        <v>3/30/2020 4:30:00 PM</v>
      </c>
      <c r="O13731" t="s">
        <v>41531</v>
      </c>
      <c r="T13731" t="s">
        <v>41532</v>
      </c>
    </row>
    <row r="13732" spans="1:20" x14ac:dyDescent="0.25">
      <c r="A13732" t="str">
        <f>"3046542"</f>
        <v>3046542</v>
      </c>
      <c r="B13732" t="s">
        <v>41534</v>
      </c>
      <c r="C13732" t="str">
        <f>"8313322"</f>
        <v>8313322</v>
      </c>
      <c r="D13732" t="s">
        <v>41531</v>
      </c>
      <c r="E13732" t="s">
        <v>41532</v>
      </c>
      <c r="F13732" t="s">
        <v>40819</v>
      </c>
      <c r="I13732" t="s">
        <v>29</v>
      </c>
      <c r="J13732" t="s">
        <v>30</v>
      </c>
      <c r="K13732" t="s">
        <v>40820</v>
      </c>
      <c r="M13732" t="s">
        <v>17861</v>
      </c>
      <c r="N13732" t="str">
        <f>"3/30/2020 4:30:00 PM"</f>
        <v>3/30/2020 4:30:00 PM</v>
      </c>
      <c r="O13732" t="s">
        <v>41531</v>
      </c>
      <c r="T13732" t="s">
        <v>41532</v>
      </c>
    </row>
    <row r="13733" spans="1:20" x14ac:dyDescent="0.25">
      <c r="A13733" t="str">
        <f>"3055798"</f>
        <v>3055798</v>
      </c>
      <c r="B13733" t="s">
        <v>41535</v>
      </c>
      <c r="C13733" t="str">
        <f>"8313258"</f>
        <v>8313258</v>
      </c>
      <c r="D13733" t="s">
        <v>41536</v>
      </c>
      <c r="E13733" t="s">
        <v>41537</v>
      </c>
      <c r="F13733" t="s">
        <v>41538</v>
      </c>
      <c r="I13733" t="s">
        <v>964</v>
      </c>
      <c r="J13733" t="s">
        <v>30</v>
      </c>
      <c r="K13733" t="s">
        <v>41539</v>
      </c>
      <c r="M13733" t="s">
        <v>17861</v>
      </c>
      <c r="N13733" t="str">
        <f>"3/20/2020 2:14:00 PM"</f>
        <v>3/20/2020 2:14:00 PM</v>
      </c>
      <c r="O13733" t="s">
        <v>41536</v>
      </c>
      <c r="T13733" t="s">
        <v>41537</v>
      </c>
    </row>
    <row r="13734" spans="1:20" x14ac:dyDescent="0.25">
      <c r="A13734" t="str">
        <f>"3044800"</f>
        <v>3044800</v>
      </c>
      <c r="B13734" t="s">
        <v>41540</v>
      </c>
      <c r="C13734" t="str">
        <f>"8313266"</f>
        <v>8313266</v>
      </c>
      <c r="D13734" t="s">
        <v>41541</v>
      </c>
      <c r="E13734" t="s">
        <v>41542</v>
      </c>
      <c r="F13734" t="s">
        <v>41543</v>
      </c>
      <c r="I13734" t="s">
        <v>184</v>
      </c>
      <c r="J13734" t="s">
        <v>30</v>
      </c>
      <c r="K13734" t="s">
        <v>6136</v>
      </c>
      <c r="M13734" t="s">
        <v>17861</v>
      </c>
      <c r="N13734" t="str">
        <f>"3/20/2020 3:16:00 PM"</f>
        <v>3/20/2020 3:16:00 PM</v>
      </c>
      <c r="O13734" t="s">
        <v>41541</v>
      </c>
      <c r="T13734" t="s">
        <v>41542</v>
      </c>
    </row>
    <row r="13735" spans="1:20" x14ac:dyDescent="0.25">
      <c r="A13735" t="str">
        <f>"3059857"</f>
        <v>3059857</v>
      </c>
      <c r="B13735" t="s">
        <v>41544</v>
      </c>
      <c r="C13735" t="str">
        <f>"82530151"</f>
        <v>82530151</v>
      </c>
      <c r="D13735" t="s">
        <v>41545</v>
      </c>
      <c r="F13735" t="s">
        <v>41546</v>
      </c>
      <c r="I13735" t="s">
        <v>29</v>
      </c>
      <c r="J13735" t="s">
        <v>30</v>
      </c>
      <c r="K13735" t="s">
        <v>41547</v>
      </c>
      <c r="M13735" t="s">
        <v>18479</v>
      </c>
      <c r="N13735" t="str">
        <f>"3/23/2020 10:28:00 AM"</f>
        <v>3/23/2020 10:28:00 AM</v>
      </c>
      <c r="O13735" t="s">
        <v>41545</v>
      </c>
    </row>
    <row r="13736" spans="1:20" x14ac:dyDescent="0.25">
      <c r="A13736" t="str">
        <f>"3062222"</f>
        <v>3062222</v>
      </c>
      <c r="B13736" t="s">
        <v>41548</v>
      </c>
      <c r="C13736" t="str">
        <f>"8310626"</f>
        <v>8310626</v>
      </c>
      <c r="D13736" t="s">
        <v>41549</v>
      </c>
      <c r="E13736" t="s">
        <v>41550</v>
      </c>
      <c r="F13736" t="s">
        <v>41551</v>
      </c>
      <c r="I13736" t="s">
        <v>29</v>
      </c>
      <c r="J13736" t="s">
        <v>30</v>
      </c>
      <c r="K13736" t="s">
        <v>41552</v>
      </c>
      <c r="M13736" t="s">
        <v>18479</v>
      </c>
      <c r="N13736" t="str">
        <f>"3/23/2020 10:38:00 AM"</f>
        <v>3/23/2020 10:38:00 AM</v>
      </c>
      <c r="O13736" t="s">
        <v>41549</v>
      </c>
      <c r="T13736" t="s">
        <v>41550</v>
      </c>
    </row>
    <row r="13737" spans="1:20" x14ac:dyDescent="0.25">
      <c r="A13737" t="str">
        <f>"3043357"</f>
        <v>3043357</v>
      </c>
      <c r="B13737" t="s">
        <v>41553</v>
      </c>
      <c r="C13737" t="str">
        <f>"8313269"</f>
        <v>8313269</v>
      </c>
      <c r="D13737" t="s">
        <v>41554</v>
      </c>
      <c r="F13737" t="s">
        <v>41555</v>
      </c>
      <c r="I13737" t="s">
        <v>29</v>
      </c>
      <c r="J13737" t="s">
        <v>30</v>
      </c>
      <c r="K13737" t="s">
        <v>41556</v>
      </c>
      <c r="M13737" t="s">
        <v>17861</v>
      </c>
      <c r="N13737" t="str">
        <f>"3/23/2020 2:37:00 PM"</f>
        <v>3/23/2020 2:37:00 PM</v>
      </c>
      <c r="O13737" t="s">
        <v>41554</v>
      </c>
    </row>
    <row r="13738" spans="1:20" x14ac:dyDescent="0.25">
      <c r="A13738" t="str">
        <f>"3060782"</f>
        <v>3060782</v>
      </c>
      <c r="B13738" t="s">
        <v>41557</v>
      </c>
      <c r="C13738" t="str">
        <f>"20614000"</f>
        <v>20614000</v>
      </c>
      <c r="D13738" t="s">
        <v>41430</v>
      </c>
      <c r="E13738" t="s">
        <v>41431</v>
      </c>
      <c r="F13738" t="s">
        <v>41432</v>
      </c>
      <c r="I13738" t="s">
        <v>184</v>
      </c>
      <c r="J13738" t="s">
        <v>30</v>
      </c>
      <c r="K13738" t="s">
        <v>819</v>
      </c>
      <c r="M13738" t="s">
        <v>18479</v>
      </c>
      <c r="N13738" t="str">
        <f>"3/23/2020 3:59:00 PM"</f>
        <v>3/23/2020 3:59:00 PM</v>
      </c>
      <c r="O13738" t="s">
        <v>41430</v>
      </c>
      <c r="T13738" t="s">
        <v>41431</v>
      </c>
    </row>
    <row r="13739" spans="1:20" x14ac:dyDescent="0.25">
      <c r="A13739" t="str">
        <f>"3043119"</f>
        <v>3043119</v>
      </c>
      <c r="B13739" t="s">
        <v>41558</v>
      </c>
      <c r="C13739" t="str">
        <f>"8313271"</f>
        <v>8313271</v>
      </c>
      <c r="D13739" t="s">
        <v>41559</v>
      </c>
      <c r="E13739" t="s">
        <v>41560</v>
      </c>
      <c r="F13739" t="s">
        <v>41561</v>
      </c>
      <c r="I13739" t="s">
        <v>29</v>
      </c>
      <c r="J13739" t="s">
        <v>30</v>
      </c>
      <c r="K13739" t="s">
        <v>41556</v>
      </c>
      <c r="M13739" t="s">
        <v>17861</v>
      </c>
      <c r="N13739" t="str">
        <f>"3/23/2020 4:00:00 PM"</f>
        <v>3/23/2020 4:00:00 PM</v>
      </c>
      <c r="O13739" t="s">
        <v>41559</v>
      </c>
      <c r="T13739" t="s">
        <v>41560</v>
      </c>
    </row>
    <row r="13740" spans="1:20" x14ac:dyDescent="0.25">
      <c r="A13740" t="str">
        <f>"3052811"</f>
        <v>3052811</v>
      </c>
      <c r="B13740" t="s">
        <v>41562</v>
      </c>
      <c r="C13740" t="str">
        <f>"43740000"</f>
        <v>43740000</v>
      </c>
      <c r="D13740" t="s">
        <v>41563</v>
      </c>
      <c r="F13740" t="s">
        <v>41564</v>
      </c>
      <c r="I13740" t="s">
        <v>29</v>
      </c>
      <c r="J13740" t="s">
        <v>30</v>
      </c>
      <c r="K13740" t="s">
        <v>39667</v>
      </c>
      <c r="M13740" t="s">
        <v>25733</v>
      </c>
      <c r="N13740" t="str">
        <f>"3/19/2020 1:05:00 PM"</f>
        <v>3/19/2020 1:05:00 PM</v>
      </c>
      <c r="O13740" t="s">
        <v>41563</v>
      </c>
    </row>
    <row r="13741" spans="1:20" x14ac:dyDescent="0.25">
      <c r="A13741" t="str">
        <f>"3042874"</f>
        <v>3042874</v>
      </c>
      <c r="B13741" t="s">
        <v>41565</v>
      </c>
      <c r="C13741" t="str">
        <f>"8307820"</f>
        <v>8307820</v>
      </c>
      <c r="D13741" t="s">
        <v>41566</v>
      </c>
      <c r="F13741" t="s">
        <v>41567</v>
      </c>
      <c r="I13741" t="s">
        <v>29</v>
      </c>
      <c r="J13741" t="s">
        <v>30</v>
      </c>
      <c r="K13741" t="s">
        <v>41568</v>
      </c>
      <c r="M13741" t="s">
        <v>25733</v>
      </c>
      <c r="N13741" t="str">
        <f>"3/24/2020 2:02:00 PM"</f>
        <v>3/24/2020 2:02:00 PM</v>
      </c>
      <c r="O13741" t="s">
        <v>41566</v>
      </c>
    </row>
    <row r="13742" spans="1:20" x14ac:dyDescent="0.25">
      <c r="A13742" t="str">
        <f>"3048534"</f>
        <v>3048534</v>
      </c>
      <c r="B13742" t="s">
        <v>41569</v>
      </c>
      <c r="C13742" t="str">
        <f>"8313333"</f>
        <v>8313333</v>
      </c>
      <c r="D13742" t="s">
        <v>41570</v>
      </c>
      <c r="E13742" t="s">
        <v>41571</v>
      </c>
      <c r="F13742" t="s">
        <v>41572</v>
      </c>
      <c r="I13742" t="s">
        <v>29</v>
      </c>
      <c r="J13742" t="s">
        <v>30</v>
      </c>
      <c r="K13742" t="s">
        <v>35172</v>
      </c>
      <c r="M13742" t="s">
        <v>17861</v>
      </c>
      <c r="N13742" t="str">
        <f>"4/2/2020 4:19:00 PM"</f>
        <v>4/2/2020 4:19:00 PM</v>
      </c>
      <c r="O13742" t="s">
        <v>41570</v>
      </c>
      <c r="T13742" t="s">
        <v>41571</v>
      </c>
    </row>
    <row r="13743" spans="1:20" x14ac:dyDescent="0.25">
      <c r="A13743" t="str">
        <f>"3060700"</f>
        <v>3060700</v>
      </c>
      <c r="B13743" t="s">
        <v>41573</v>
      </c>
      <c r="C13743" t="str">
        <f>"8306877"</f>
        <v>8306877</v>
      </c>
      <c r="D13743" t="s">
        <v>41574</v>
      </c>
      <c r="E13743" t="s">
        <v>41575</v>
      </c>
      <c r="F13743" t="s">
        <v>41576</v>
      </c>
      <c r="I13743" t="s">
        <v>2071</v>
      </c>
      <c r="J13743" t="s">
        <v>30</v>
      </c>
      <c r="K13743" t="s">
        <v>6427</v>
      </c>
      <c r="M13743" t="s">
        <v>18479</v>
      </c>
      <c r="N13743" t="str">
        <f>"4/3/2020 11:50:00 AM"</f>
        <v>4/3/2020 11:50:00 AM</v>
      </c>
      <c r="O13743" t="s">
        <v>41574</v>
      </c>
      <c r="T13743" t="s">
        <v>41575</v>
      </c>
    </row>
    <row r="13744" spans="1:20" x14ac:dyDescent="0.25">
      <c r="A13744" t="str">
        <f>"3041740"</f>
        <v>3041740</v>
      </c>
      <c r="B13744" t="s">
        <v>41577</v>
      </c>
      <c r="C13744" t="str">
        <f>"8313283"</f>
        <v>8313283</v>
      </c>
      <c r="D13744" t="s">
        <v>41578</v>
      </c>
      <c r="F13744" t="s">
        <v>41579</v>
      </c>
      <c r="I13744" t="s">
        <v>2071</v>
      </c>
      <c r="J13744" t="s">
        <v>30</v>
      </c>
      <c r="K13744" t="s">
        <v>3917</v>
      </c>
      <c r="M13744" t="s">
        <v>17861</v>
      </c>
      <c r="N13744" t="str">
        <f>"3/26/2020 4:03:00 PM"</f>
        <v>3/26/2020 4:03:00 PM</v>
      </c>
      <c r="O13744" t="s">
        <v>41578</v>
      </c>
    </row>
    <row r="13745" spans="1:20" x14ac:dyDescent="0.25">
      <c r="A13745" t="str">
        <f>"3040439"</f>
        <v>3040439</v>
      </c>
      <c r="B13745" t="s">
        <v>41580</v>
      </c>
      <c r="C13745" t="str">
        <f>"69540000"</f>
        <v>69540000</v>
      </c>
      <c r="D13745" t="s">
        <v>41581</v>
      </c>
      <c r="E13745" t="s">
        <v>41582</v>
      </c>
      <c r="F13745" t="str">
        <f>"C/O DONALD SPARKS"</f>
        <v>C/O DONALD SPARKS</v>
      </c>
      <c r="G13745" t="s">
        <v>41583</v>
      </c>
      <c r="I13745" t="s">
        <v>17921</v>
      </c>
      <c r="J13745" t="s">
        <v>30</v>
      </c>
      <c r="K13745" t="str">
        <f>"27028"</f>
        <v>27028</v>
      </c>
      <c r="M13745" t="s">
        <v>18479</v>
      </c>
      <c r="N13745" t="str">
        <f>"4/8/2020 4:38:00 PM"</f>
        <v>4/8/2020 4:38:00 PM</v>
      </c>
      <c r="O13745" t="s">
        <v>41581</v>
      </c>
      <c r="T13745" t="s">
        <v>41582</v>
      </c>
    </row>
    <row r="13746" spans="1:20" x14ac:dyDescent="0.25">
      <c r="A13746" t="str">
        <f>"3076934"</f>
        <v>3076934</v>
      </c>
      <c r="B13746" t="s">
        <v>41584</v>
      </c>
      <c r="C13746" t="str">
        <f>"69540000"</f>
        <v>69540000</v>
      </c>
      <c r="D13746" t="s">
        <v>41581</v>
      </c>
      <c r="E13746" t="s">
        <v>41582</v>
      </c>
      <c r="F13746" t="str">
        <f>"C/O DONALD SPARKS"</f>
        <v>C/O DONALD SPARKS</v>
      </c>
      <c r="G13746" t="s">
        <v>41583</v>
      </c>
      <c r="I13746" t="s">
        <v>17921</v>
      </c>
      <c r="J13746" t="s">
        <v>30</v>
      </c>
      <c r="K13746" t="str">
        <f>"27028"</f>
        <v>27028</v>
      </c>
      <c r="M13746" t="s">
        <v>18479</v>
      </c>
      <c r="N13746" t="str">
        <f>"4/8/2020 4:38:00 PM"</f>
        <v>4/8/2020 4:38:00 PM</v>
      </c>
      <c r="O13746" t="s">
        <v>41581</v>
      </c>
      <c r="T13746" t="s">
        <v>41582</v>
      </c>
    </row>
    <row r="13747" spans="1:20" x14ac:dyDescent="0.25">
      <c r="A13747" t="str">
        <f>"3083702"</f>
        <v>3083702</v>
      </c>
      <c r="B13747" t="s">
        <v>41585</v>
      </c>
      <c r="C13747" t="str">
        <f>"69540000"</f>
        <v>69540000</v>
      </c>
      <c r="D13747" t="s">
        <v>41581</v>
      </c>
      <c r="E13747" t="s">
        <v>41582</v>
      </c>
      <c r="F13747" t="str">
        <f>"C/O DONALD SPARKS"</f>
        <v>C/O DONALD SPARKS</v>
      </c>
      <c r="G13747" t="s">
        <v>41583</v>
      </c>
      <c r="I13747" t="s">
        <v>17921</v>
      </c>
      <c r="J13747" t="s">
        <v>30</v>
      </c>
      <c r="K13747" t="str">
        <f>"27028"</f>
        <v>27028</v>
      </c>
      <c r="M13747" t="s">
        <v>18479</v>
      </c>
      <c r="N13747" t="str">
        <f>"4/8/2020 4:38:00 PM"</f>
        <v>4/8/2020 4:38:00 PM</v>
      </c>
      <c r="O13747" t="s">
        <v>41581</v>
      </c>
      <c r="T13747" t="s">
        <v>41582</v>
      </c>
    </row>
    <row r="13748" spans="1:20" x14ac:dyDescent="0.25">
      <c r="A13748" t="str">
        <f>"3038045"</f>
        <v>3038045</v>
      </c>
      <c r="B13748" t="s">
        <v>41586</v>
      </c>
      <c r="C13748" t="str">
        <f>"8311542"</f>
        <v>8311542</v>
      </c>
      <c r="D13748" t="s">
        <v>41587</v>
      </c>
      <c r="E13748" t="s">
        <v>41588</v>
      </c>
      <c r="F13748" t="s">
        <v>41589</v>
      </c>
      <c r="I13748" t="s">
        <v>29</v>
      </c>
      <c r="J13748" t="s">
        <v>30</v>
      </c>
      <c r="K13748" t="s">
        <v>41590</v>
      </c>
      <c r="M13748" t="s">
        <v>18470</v>
      </c>
      <c r="N13748" t="str">
        <f>"4/8/2020 4:49:00 PM"</f>
        <v>4/8/2020 4:49:00 PM</v>
      </c>
      <c r="O13748" t="s">
        <v>41587</v>
      </c>
      <c r="T13748" t="s">
        <v>41588</v>
      </c>
    </row>
    <row r="13749" spans="1:20" x14ac:dyDescent="0.25">
      <c r="A13749" t="str">
        <f>"3043311"</f>
        <v>3043311</v>
      </c>
      <c r="B13749" t="s">
        <v>41591</v>
      </c>
      <c r="C13749" t="str">
        <f>"8307714"</f>
        <v>8307714</v>
      </c>
      <c r="D13749" t="s">
        <v>41592</v>
      </c>
      <c r="E13749" t="s">
        <v>41593</v>
      </c>
      <c r="F13749" t="s">
        <v>41594</v>
      </c>
      <c r="I13749" t="s">
        <v>17921</v>
      </c>
      <c r="J13749" t="s">
        <v>30</v>
      </c>
      <c r="K13749" t="str">
        <f>"27028"</f>
        <v>27028</v>
      </c>
      <c r="M13749" t="s">
        <v>33845</v>
      </c>
      <c r="N13749" t="str">
        <f>"4/9/2020 8:52:00 AM"</f>
        <v>4/9/2020 8:52:00 AM</v>
      </c>
      <c r="O13749" t="s">
        <v>41592</v>
      </c>
      <c r="T13749" t="s">
        <v>41593</v>
      </c>
    </row>
    <row r="13750" spans="1:20" x14ac:dyDescent="0.25">
      <c r="A13750" t="str">
        <f>"3057541"</f>
        <v>3057541</v>
      </c>
      <c r="B13750" t="s">
        <v>41595</v>
      </c>
      <c r="C13750" t="str">
        <f>"8313284"</f>
        <v>8313284</v>
      </c>
      <c r="D13750" t="s">
        <v>41596</v>
      </c>
      <c r="E13750" t="s">
        <v>41597</v>
      </c>
      <c r="F13750" t="s">
        <v>41598</v>
      </c>
      <c r="I13750" t="s">
        <v>184</v>
      </c>
      <c r="J13750" t="s">
        <v>30</v>
      </c>
      <c r="K13750" t="s">
        <v>20466</v>
      </c>
      <c r="M13750" t="s">
        <v>17861</v>
      </c>
      <c r="N13750" t="str">
        <f>"3/26/2020 4:06:00 PM"</f>
        <v>3/26/2020 4:06:00 PM</v>
      </c>
      <c r="O13750" t="s">
        <v>41596</v>
      </c>
      <c r="T13750" t="s">
        <v>41597</v>
      </c>
    </row>
    <row r="13751" spans="1:20" x14ac:dyDescent="0.25">
      <c r="A13751" t="str">
        <f>"3053071"</f>
        <v>3053071</v>
      </c>
      <c r="B13751" t="s">
        <v>41599</v>
      </c>
      <c r="C13751" t="str">
        <f>"8313286"</f>
        <v>8313286</v>
      </c>
      <c r="D13751" t="s">
        <v>41600</v>
      </c>
      <c r="E13751" t="s">
        <v>41601</v>
      </c>
      <c r="F13751" t="s">
        <v>41602</v>
      </c>
      <c r="I13751" t="s">
        <v>29</v>
      </c>
      <c r="J13751" t="s">
        <v>30</v>
      </c>
      <c r="K13751" t="s">
        <v>13860</v>
      </c>
      <c r="M13751" t="s">
        <v>17861</v>
      </c>
      <c r="N13751" t="str">
        <f>"3/26/2020 4:14:00 PM"</f>
        <v>3/26/2020 4:14:00 PM</v>
      </c>
      <c r="O13751" t="s">
        <v>41600</v>
      </c>
      <c r="T13751" t="s">
        <v>41601</v>
      </c>
    </row>
    <row r="13752" spans="1:20" x14ac:dyDescent="0.25">
      <c r="A13752" t="str">
        <f>"3042067"</f>
        <v>3042067</v>
      </c>
      <c r="B13752" t="s">
        <v>41603</v>
      </c>
      <c r="C13752" t="str">
        <f>"8313287"</f>
        <v>8313287</v>
      </c>
      <c r="D13752" t="s">
        <v>41604</v>
      </c>
      <c r="E13752" t="s">
        <v>41605</v>
      </c>
      <c r="F13752" t="s">
        <v>41606</v>
      </c>
      <c r="I13752" t="s">
        <v>29</v>
      </c>
      <c r="J13752" t="s">
        <v>30</v>
      </c>
      <c r="K13752" t="s">
        <v>4354</v>
      </c>
      <c r="M13752" t="s">
        <v>17861</v>
      </c>
      <c r="N13752" t="str">
        <f>"3/26/2020 4:25:00 PM"</f>
        <v>3/26/2020 4:25:00 PM</v>
      </c>
      <c r="O13752" t="s">
        <v>41604</v>
      </c>
      <c r="T13752" t="s">
        <v>41605</v>
      </c>
    </row>
    <row r="13753" spans="1:20" x14ac:dyDescent="0.25">
      <c r="A13753" t="str">
        <f>"3042751"</f>
        <v>3042751</v>
      </c>
      <c r="B13753" t="s">
        <v>41607</v>
      </c>
      <c r="C13753" t="str">
        <f>"8313287"</f>
        <v>8313287</v>
      </c>
      <c r="D13753" t="s">
        <v>41604</v>
      </c>
      <c r="E13753" t="s">
        <v>41605</v>
      </c>
      <c r="F13753" t="s">
        <v>41606</v>
      </c>
      <c r="I13753" t="s">
        <v>29</v>
      </c>
      <c r="J13753" t="s">
        <v>30</v>
      </c>
      <c r="K13753" t="s">
        <v>4354</v>
      </c>
      <c r="M13753" t="s">
        <v>17861</v>
      </c>
      <c r="N13753" t="str">
        <f>"3/26/2020 4:25:00 PM"</f>
        <v>3/26/2020 4:25:00 PM</v>
      </c>
      <c r="O13753" t="s">
        <v>41604</v>
      </c>
      <c r="T13753" t="s">
        <v>41605</v>
      </c>
    </row>
    <row r="13754" spans="1:20" x14ac:dyDescent="0.25">
      <c r="A13754" t="str">
        <f>"3041263"</f>
        <v>3041263</v>
      </c>
      <c r="B13754" t="s">
        <v>41608</v>
      </c>
      <c r="C13754" t="str">
        <f>"8313291"</f>
        <v>8313291</v>
      </c>
      <c r="D13754" t="s">
        <v>41609</v>
      </c>
      <c r="F13754" t="s">
        <v>41610</v>
      </c>
      <c r="I13754" t="s">
        <v>2071</v>
      </c>
      <c r="J13754" t="s">
        <v>30</v>
      </c>
      <c r="K13754" t="s">
        <v>33257</v>
      </c>
      <c r="M13754" t="s">
        <v>17861</v>
      </c>
      <c r="N13754" t="str">
        <f>"3/27/2020 11:13:00 AM"</f>
        <v>3/27/2020 11:13:00 AM</v>
      </c>
      <c r="O13754" t="s">
        <v>41609</v>
      </c>
    </row>
    <row r="13755" spans="1:20" x14ac:dyDescent="0.25">
      <c r="A13755" t="str">
        <f>"3054804"</f>
        <v>3054804</v>
      </c>
      <c r="B13755" t="s">
        <v>41611</v>
      </c>
      <c r="C13755" t="str">
        <f>"8313351"</f>
        <v>8313351</v>
      </c>
      <c r="D13755" t="s">
        <v>41612</v>
      </c>
      <c r="E13755" t="s">
        <v>41613</v>
      </c>
      <c r="F13755" t="s">
        <v>41614</v>
      </c>
      <c r="I13755" t="s">
        <v>29</v>
      </c>
      <c r="J13755" t="s">
        <v>30</v>
      </c>
      <c r="K13755" t="s">
        <v>16279</v>
      </c>
      <c r="M13755" t="s">
        <v>17861</v>
      </c>
      <c r="N13755" t="str">
        <f>"4/13/2020 12:46:00 PM"</f>
        <v>4/13/2020 12:46:00 PM</v>
      </c>
      <c r="O13755" t="s">
        <v>41612</v>
      </c>
      <c r="T13755" t="s">
        <v>41613</v>
      </c>
    </row>
    <row r="13756" spans="1:20" x14ac:dyDescent="0.25">
      <c r="A13756" t="str">
        <f>"3058030"</f>
        <v>3058030</v>
      </c>
      <c r="B13756" t="s">
        <v>41615</v>
      </c>
      <c r="C13756" t="str">
        <f>"8313352"</f>
        <v>8313352</v>
      </c>
      <c r="D13756" t="s">
        <v>41616</v>
      </c>
      <c r="E13756" t="s">
        <v>41617</v>
      </c>
      <c r="F13756" t="s">
        <v>41618</v>
      </c>
      <c r="I13756" t="s">
        <v>184</v>
      </c>
      <c r="J13756" t="s">
        <v>30</v>
      </c>
      <c r="K13756" t="s">
        <v>34175</v>
      </c>
      <c r="M13756" t="s">
        <v>17861</v>
      </c>
      <c r="N13756" t="str">
        <f>"4/13/2020 12:51:00 PM"</f>
        <v>4/13/2020 12:51:00 PM</v>
      </c>
      <c r="O13756" t="s">
        <v>41616</v>
      </c>
      <c r="T13756" t="s">
        <v>41617</v>
      </c>
    </row>
    <row r="13757" spans="1:20" x14ac:dyDescent="0.25">
      <c r="A13757" t="str">
        <f>"3059804"</f>
        <v>3059804</v>
      </c>
      <c r="B13757" t="s">
        <v>41619</v>
      </c>
      <c r="C13757" t="str">
        <f>"8313353"</f>
        <v>8313353</v>
      </c>
      <c r="D13757" t="s">
        <v>41620</v>
      </c>
      <c r="E13757" t="s">
        <v>41621</v>
      </c>
      <c r="F13757" t="s">
        <v>41622</v>
      </c>
      <c r="I13757" t="s">
        <v>29</v>
      </c>
      <c r="J13757" t="s">
        <v>30</v>
      </c>
      <c r="K13757" t="s">
        <v>33476</v>
      </c>
      <c r="M13757" t="s">
        <v>17861</v>
      </c>
      <c r="N13757" t="str">
        <f>"4/13/2020 1:14:00 PM"</f>
        <v>4/13/2020 1:14:00 PM</v>
      </c>
      <c r="O13757" t="s">
        <v>41620</v>
      </c>
      <c r="T13757" t="s">
        <v>41621</v>
      </c>
    </row>
    <row r="13758" spans="1:20" x14ac:dyDescent="0.25">
      <c r="A13758" t="str">
        <f>"3041556"</f>
        <v>3041556</v>
      </c>
      <c r="B13758" t="s">
        <v>41623</v>
      </c>
      <c r="C13758" t="str">
        <f>"8313355"</f>
        <v>8313355</v>
      </c>
      <c r="D13758" t="s">
        <v>41624</v>
      </c>
      <c r="E13758" t="s">
        <v>41625</v>
      </c>
      <c r="F13758" t="s">
        <v>41626</v>
      </c>
      <c r="I13758" t="s">
        <v>2071</v>
      </c>
      <c r="J13758" t="s">
        <v>30</v>
      </c>
      <c r="K13758" t="str">
        <f>"27006"</f>
        <v>27006</v>
      </c>
      <c r="M13758" t="s">
        <v>17861</v>
      </c>
      <c r="N13758" t="str">
        <f>"4/13/2020 1:29:00 PM"</f>
        <v>4/13/2020 1:29:00 PM</v>
      </c>
      <c r="O13758" t="s">
        <v>41624</v>
      </c>
      <c r="T13758" t="s">
        <v>41625</v>
      </c>
    </row>
    <row r="13759" spans="1:20" x14ac:dyDescent="0.25">
      <c r="A13759" t="str">
        <f>"3058870"</f>
        <v>3058870</v>
      </c>
      <c r="B13759" t="s">
        <v>41627</v>
      </c>
      <c r="C13759" t="str">
        <f>"8313301"</f>
        <v>8313301</v>
      </c>
      <c r="D13759" t="s">
        <v>41628</v>
      </c>
      <c r="F13759" t="s">
        <v>41629</v>
      </c>
      <c r="I13759" t="s">
        <v>29</v>
      </c>
      <c r="J13759" t="s">
        <v>30</v>
      </c>
      <c r="K13759" t="s">
        <v>41630</v>
      </c>
      <c r="M13759" t="s">
        <v>17861</v>
      </c>
      <c r="N13759" t="str">
        <f>"3/27/2020 12:37:00 PM"</f>
        <v>3/27/2020 12:37:00 PM</v>
      </c>
      <c r="O13759" t="s">
        <v>41628</v>
      </c>
    </row>
    <row r="13760" spans="1:20" x14ac:dyDescent="0.25">
      <c r="A13760" t="str">
        <f>"3053637"</f>
        <v>3053637</v>
      </c>
      <c r="B13760" t="s">
        <v>41631</v>
      </c>
      <c r="C13760" t="str">
        <f>"8308658"</f>
        <v>8308658</v>
      </c>
      <c r="D13760" t="s">
        <v>41632</v>
      </c>
      <c r="E13760" t="s">
        <v>41633</v>
      </c>
      <c r="F13760" t="s">
        <v>41634</v>
      </c>
      <c r="I13760" t="s">
        <v>29</v>
      </c>
      <c r="J13760" t="s">
        <v>30</v>
      </c>
      <c r="K13760" t="s">
        <v>41635</v>
      </c>
      <c r="M13760" t="s">
        <v>25733</v>
      </c>
      <c r="N13760" t="str">
        <f>"3/19/2020 1:05:00 PM"</f>
        <v>3/19/2020 1:05:00 PM</v>
      </c>
      <c r="O13760" t="s">
        <v>41632</v>
      </c>
      <c r="T13760" t="s">
        <v>41633</v>
      </c>
    </row>
    <row r="13761" spans="1:20" x14ac:dyDescent="0.25">
      <c r="A13761" t="str">
        <f>"3060759"</f>
        <v>3060759</v>
      </c>
      <c r="B13761" t="s">
        <v>41636</v>
      </c>
      <c r="C13761" t="str">
        <f>"8313247"</f>
        <v>8313247</v>
      </c>
      <c r="D13761" t="s">
        <v>41637</v>
      </c>
      <c r="E13761" t="s">
        <v>41638</v>
      </c>
      <c r="F13761" t="s">
        <v>41639</v>
      </c>
      <c r="I13761" t="s">
        <v>2071</v>
      </c>
      <c r="J13761" t="s">
        <v>30</v>
      </c>
      <c r="K13761" t="s">
        <v>33558</v>
      </c>
      <c r="M13761" t="s">
        <v>17861</v>
      </c>
      <c r="N13761" t="str">
        <f>"3/20/2020 9:01:00 AM"</f>
        <v>3/20/2020 9:01:00 AM</v>
      </c>
      <c r="O13761" t="s">
        <v>41637</v>
      </c>
      <c r="T13761" t="s">
        <v>41638</v>
      </c>
    </row>
    <row r="13762" spans="1:20" x14ac:dyDescent="0.25">
      <c r="A13762" t="str">
        <f>"3044956"</f>
        <v>3044956</v>
      </c>
      <c r="B13762" t="s">
        <v>41640</v>
      </c>
      <c r="C13762" t="str">
        <f>"8313368"</f>
        <v>8313368</v>
      </c>
      <c r="D13762" t="s">
        <v>41641</v>
      </c>
      <c r="F13762" t="s">
        <v>41642</v>
      </c>
      <c r="I13762" t="s">
        <v>29</v>
      </c>
      <c r="J13762" t="s">
        <v>30</v>
      </c>
      <c r="K13762" t="s">
        <v>9396</v>
      </c>
      <c r="M13762" t="s">
        <v>17861</v>
      </c>
      <c r="N13762" t="str">
        <f>"4/13/2020 3:24:00 PM"</f>
        <v>4/13/2020 3:24:00 PM</v>
      </c>
      <c r="O13762" t="s">
        <v>41641</v>
      </c>
    </row>
    <row r="13763" spans="1:20" x14ac:dyDescent="0.25">
      <c r="A13763" t="str">
        <f>"3057598"</f>
        <v>3057598</v>
      </c>
      <c r="B13763" t="s">
        <v>41643</v>
      </c>
      <c r="C13763" t="str">
        <f>"8313368"</f>
        <v>8313368</v>
      </c>
      <c r="D13763" t="s">
        <v>41641</v>
      </c>
      <c r="F13763" t="s">
        <v>41642</v>
      </c>
      <c r="I13763" t="s">
        <v>29</v>
      </c>
      <c r="J13763" t="s">
        <v>30</v>
      </c>
      <c r="K13763" t="s">
        <v>9396</v>
      </c>
      <c r="M13763" t="s">
        <v>17861</v>
      </c>
      <c r="N13763" t="str">
        <f>"4/13/2020 3:24:00 PM"</f>
        <v>4/13/2020 3:24:00 PM</v>
      </c>
      <c r="O13763" t="s">
        <v>41641</v>
      </c>
    </row>
    <row r="13764" spans="1:20" x14ac:dyDescent="0.25">
      <c r="A13764" t="str">
        <f>"3061727"</f>
        <v>3061727</v>
      </c>
      <c r="B13764" t="s">
        <v>41644</v>
      </c>
      <c r="C13764" t="str">
        <f>"8313369"</f>
        <v>8313369</v>
      </c>
      <c r="D13764" t="s">
        <v>41645</v>
      </c>
      <c r="E13764" t="s">
        <v>41646</v>
      </c>
      <c r="F13764" t="s">
        <v>41647</v>
      </c>
      <c r="I13764" t="s">
        <v>2071</v>
      </c>
      <c r="J13764" t="s">
        <v>30</v>
      </c>
      <c r="K13764" t="s">
        <v>30968</v>
      </c>
      <c r="M13764" t="s">
        <v>17861</v>
      </c>
      <c r="N13764" t="str">
        <f>"4/13/2020 3:26:00 PM"</f>
        <v>4/13/2020 3:26:00 PM</v>
      </c>
      <c r="O13764" t="s">
        <v>41645</v>
      </c>
      <c r="T13764" t="s">
        <v>41646</v>
      </c>
    </row>
    <row r="13765" spans="1:20" x14ac:dyDescent="0.25">
      <c r="A13765" t="str">
        <f>"3043615"</f>
        <v>3043615</v>
      </c>
      <c r="B13765" t="s">
        <v>41648</v>
      </c>
      <c r="C13765" t="str">
        <f>"8309650"</f>
        <v>8309650</v>
      </c>
      <c r="D13765" t="s">
        <v>41649</v>
      </c>
      <c r="F13765" t="s">
        <v>41650</v>
      </c>
      <c r="I13765" t="s">
        <v>29</v>
      </c>
      <c r="J13765" t="s">
        <v>30</v>
      </c>
      <c r="K13765" t="str">
        <f>"27028"</f>
        <v>27028</v>
      </c>
      <c r="M13765" t="s">
        <v>18470</v>
      </c>
      <c r="N13765" t="str">
        <f>"4/13/2020 3:37:00 PM"</f>
        <v>4/13/2020 3:37:00 PM</v>
      </c>
      <c r="O13765" t="s">
        <v>41649</v>
      </c>
    </row>
    <row r="13766" spans="1:20" x14ac:dyDescent="0.25">
      <c r="A13766" t="str">
        <f>"3057813"</f>
        <v>3057813</v>
      </c>
      <c r="B13766" t="s">
        <v>41651</v>
      </c>
      <c r="C13766" t="str">
        <f>"8313371"</f>
        <v>8313371</v>
      </c>
      <c r="D13766" t="s">
        <v>41652</v>
      </c>
      <c r="E13766" t="s">
        <v>41653</v>
      </c>
      <c r="F13766" t="s">
        <v>41654</v>
      </c>
      <c r="I13766" t="s">
        <v>29</v>
      </c>
      <c r="J13766" t="s">
        <v>30</v>
      </c>
      <c r="K13766" t="s">
        <v>12616</v>
      </c>
      <c r="M13766" t="s">
        <v>17861</v>
      </c>
      <c r="N13766" t="str">
        <f>"4/13/2020 3:36:00 PM"</f>
        <v>4/13/2020 3:36:00 PM</v>
      </c>
      <c r="O13766" t="s">
        <v>41652</v>
      </c>
      <c r="T13766" t="s">
        <v>41653</v>
      </c>
    </row>
    <row r="13767" spans="1:20" x14ac:dyDescent="0.25">
      <c r="A13767" t="str">
        <f>"3057814"</f>
        <v>3057814</v>
      </c>
      <c r="B13767" t="s">
        <v>41655</v>
      </c>
      <c r="C13767" t="str">
        <f>"8313371"</f>
        <v>8313371</v>
      </c>
      <c r="D13767" t="s">
        <v>41652</v>
      </c>
      <c r="E13767" t="s">
        <v>41653</v>
      </c>
      <c r="F13767" t="s">
        <v>41654</v>
      </c>
      <c r="I13767" t="s">
        <v>29</v>
      </c>
      <c r="J13767" t="s">
        <v>30</v>
      </c>
      <c r="K13767" t="s">
        <v>12616</v>
      </c>
      <c r="M13767" t="s">
        <v>17861</v>
      </c>
      <c r="N13767" t="str">
        <f>"4/13/2020 3:36:00 PM"</f>
        <v>4/13/2020 3:36:00 PM</v>
      </c>
      <c r="O13767" t="s">
        <v>41652</v>
      </c>
      <c r="T13767" t="s">
        <v>41653</v>
      </c>
    </row>
    <row r="13768" spans="1:20" x14ac:dyDescent="0.25">
      <c r="A13768" t="str">
        <f>"3052299"</f>
        <v>3052299</v>
      </c>
      <c r="B13768" t="s">
        <v>41656</v>
      </c>
      <c r="C13768" t="str">
        <f>"8313371"</f>
        <v>8313371</v>
      </c>
      <c r="D13768" t="s">
        <v>41652</v>
      </c>
      <c r="E13768" t="s">
        <v>41653</v>
      </c>
      <c r="F13768" t="s">
        <v>41654</v>
      </c>
      <c r="I13768" t="s">
        <v>29</v>
      </c>
      <c r="J13768" t="s">
        <v>30</v>
      </c>
      <c r="K13768" t="s">
        <v>12616</v>
      </c>
      <c r="M13768" t="s">
        <v>17861</v>
      </c>
      <c r="N13768" t="str">
        <f>"4/13/2020 3:36:00 PM"</f>
        <v>4/13/2020 3:36:00 PM</v>
      </c>
      <c r="O13768" t="s">
        <v>41652</v>
      </c>
      <c r="T13768" t="s">
        <v>41653</v>
      </c>
    </row>
    <row r="13769" spans="1:20" x14ac:dyDescent="0.25">
      <c r="A13769" t="str">
        <f>"3047719"</f>
        <v>3047719</v>
      </c>
      <c r="B13769" t="s">
        <v>41657</v>
      </c>
      <c r="C13769" t="str">
        <f>"8313248"</f>
        <v>8313248</v>
      </c>
      <c r="D13769" t="s">
        <v>41658</v>
      </c>
      <c r="E13769" t="s">
        <v>41659</v>
      </c>
      <c r="F13769" t="s">
        <v>41660</v>
      </c>
      <c r="I13769" t="s">
        <v>184</v>
      </c>
      <c r="J13769" t="s">
        <v>30</v>
      </c>
      <c r="K13769" t="str">
        <f>"27006"</f>
        <v>27006</v>
      </c>
      <c r="M13769" t="s">
        <v>17861</v>
      </c>
      <c r="N13769" t="str">
        <f>"3/20/2020 9:28:00 AM"</f>
        <v>3/20/2020 9:28:00 AM</v>
      </c>
      <c r="O13769" t="s">
        <v>41658</v>
      </c>
      <c r="T13769" t="s">
        <v>41659</v>
      </c>
    </row>
    <row r="13770" spans="1:20" x14ac:dyDescent="0.25">
      <c r="A13770" t="str">
        <f>"3056578"</f>
        <v>3056578</v>
      </c>
      <c r="B13770" t="s">
        <v>41661</v>
      </c>
      <c r="C13770" t="str">
        <f>"8308100"</f>
        <v>8308100</v>
      </c>
      <c r="D13770" t="s">
        <v>41662</v>
      </c>
      <c r="E13770" t="s">
        <v>41663</v>
      </c>
      <c r="F13770" t="s">
        <v>41664</v>
      </c>
      <c r="I13770" t="s">
        <v>29</v>
      </c>
      <c r="J13770" t="s">
        <v>30</v>
      </c>
      <c r="K13770" t="str">
        <f>"27028"</f>
        <v>27028</v>
      </c>
      <c r="M13770" t="s">
        <v>33845</v>
      </c>
      <c r="N13770" t="str">
        <f>"3/31/2020 9:37:00 AM"</f>
        <v>3/31/2020 9:37:00 AM</v>
      </c>
      <c r="O13770" t="s">
        <v>41662</v>
      </c>
      <c r="T13770" t="s">
        <v>41663</v>
      </c>
    </row>
    <row r="13771" spans="1:20" x14ac:dyDescent="0.25">
      <c r="A13771" t="str">
        <f>"3061744"</f>
        <v>3061744</v>
      </c>
      <c r="B13771" t="s">
        <v>41665</v>
      </c>
      <c r="C13771" t="str">
        <f>"8313323"</f>
        <v>8313323</v>
      </c>
      <c r="D13771" t="s">
        <v>41666</v>
      </c>
      <c r="E13771" t="s">
        <v>23802</v>
      </c>
      <c r="F13771" t="s">
        <v>41667</v>
      </c>
      <c r="I13771" t="s">
        <v>2071</v>
      </c>
      <c r="J13771" t="s">
        <v>30</v>
      </c>
      <c r="K13771" t="s">
        <v>3885</v>
      </c>
      <c r="M13771" t="s">
        <v>17861</v>
      </c>
      <c r="N13771" t="str">
        <f>"3/31/2020 10:17:00 AM"</f>
        <v>3/31/2020 10:17:00 AM</v>
      </c>
      <c r="O13771" t="s">
        <v>41666</v>
      </c>
      <c r="T13771" t="s">
        <v>23802</v>
      </c>
    </row>
    <row r="13772" spans="1:20" x14ac:dyDescent="0.25">
      <c r="A13772" t="str">
        <f>"3059348"</f>
        <v>3059348</v>
      </c>
      <c r="B13772" t="s">
        <v>41668</v>
      </c>
      <c r="C13772" t="str">
        <f>"8313374"</f>
        <v>8313374</v>
      </c>
      <c r="D13772" t="s">
        <v>41669</v>
      </c>
      <c r="E13772" t="s">
        <v>41670</v>
      </c>
      <c r="F13772" t="s">
        <v>41671</v>
      </c>
      <c r="I13772" t="s">
        <v>29</v>
      </c>
      <c r="J13772" t="s">
        <v>30</v>
      </c>
      <c r="K13772" t="s">
        <v>41371</v>
      </c>
      <c r="M13772" t="s">
        <v>17861</v>
      </c>
      <c r="N13772" t="str">
        <f>"4/15/2020 12:51:00 PM"</f>
        <v>4/15/2020 12:51:00 PM</v>
      </c>
      <c r="O13772" t="s">
        <v>41669</v>
      </c>
      <c r="T13772" t="s">
        <v>41670</v>
      </c>
    </row>
    <row r="13773" spans="1:20" x14ac:dyDescent="0.25">
      <c r="A13773" t="str">
        <f>"3058720"</f>
        <v>3058720</v>
      </c>
      <c r="B13773" t="s">
        <v>41672</v>
      </c>
      <c r="C13773" t="str">
        <f>"8313375"</f>
        <v>8313375</v>
      </c>
      <c r="D13773" t="s">
        <v>41673</v>
      </c>
      <c r="F13773" t="s">
        <v>41674</v>
      </c>
      <c r="I13773" t="s">
        <v>29</v>
      </c>
      <c r="J13773" t="s">
        <v>30</v>
      </c>
      <c r="K13773" t="s">
        <v>11637</v>
      </c>
      <c r="M13773" t="s">
        <v>17861</v>
      </c>
      <c r="N13773" t="str">
        <f>"4/16/2020 10:26:00 AM"</f>
        <v>4/16/2020 10:26:00 AM</v>
      </c>
      <c r="O13773" t="s">
        <v>41673</v>
      </c>
    </row>
    <row r="13774" spans="1:20" x14ac:dyDescent="0.25">
      <c r="A13774" t="str">
        <f>"3057648"</f>
        <v>3057648</v>
      </c>
      <c r="B13774" t="s">
        <v>41675</v>
      </c>
      <c r="C13774" t="str">
        <f>"8313376"</f>
        <v>8313376</v>
      </c>
      <c r="D13774" t="s">
        <v>41676</v>
      </c>
      <c r="E13774" t="s">
        <v>41677</v>
      </c>
      <c r="F13774" t="s">
        <v>41678</v>
      </c>
      <c r="I13774" t="s">
        <v>184</v>
      </c>
      <c r="J13774" t="s">
        <v>30</v>
      </c>
      <c r="K13774" t="s">
        <v>34622</v>
      </c>
      <c r="M13774" t="s">
        <v>17861</v>
      </c>
      <c r="N13774" t="str">
        <f>"4/16/2020 10:30:00 AM"</f>
        <v>4/16/2020 10:30:00 AM</v>
      </c>
      <c r="O13774" t="s">
        <v>41676</v>
      </c>
      <c r="T13774" t="s">
        <v>41677</v>
      </c>
    </row>
    <row r="13775" spans="1:20" x14ac:dyDescent="0.25">
      <c r="A13775" t="str">
        <f>"3060928"</f>
        <v>3060928</v>
      </c>
      <c r="B13775" t="s">
        <v>41679</v>
      </c>
      <c r="C13775" t="str">
        <f>"8313324"</f>
        <v>8313324</v>
      </c>
      <c r="D13775" t="s">
        <v>41680</v>
      </c>
      <c r="E13775" t="s">
        <v>41681</v>
      </c>
      <c r="F13775" t="s">
        <v>41682</v>
      </c>
      <c r="I13775" t="s">
        <v>2071</v>
      </c>
      <c r="J13775" t="s">
        <v>30</v>
      </c>
      <c r="K13775" t="s">
        <v>41683</v>
      </c>
      <c r="M13775" t="s">
        <v>17861</v>
      </c>
      <c r="N13775" t="str">
        <f>"4/1/2020 8:38:00 AM"</f>
        <v>4/1/2020 8:38:00 AM</v>
      </c>
      <c r="O13775" t="s">
        <v>41680</v>
      </c>
      <c r="T13775" t="s">
        <v>41681</v>
      </c>
    </row>
    <row r="13776" spans="1:20" x14ac:dyDescent="0.25">
      <c r="A13776" t="str">
        <f>"3038417"</f>
        <v>3038417</v>
      </c>
      <c r="B13776" t="s">
        <v>41684</v>
      </c>
      <c r="C13776" t="str">
        <f>"8313325"</f>
        <v>8313325</v>
      </c>
      <c r="D13776" t="s">
        <v>41685</v>
      </c>
      <c r="E13776" t="s">
        <v>41686</v>
      </c>
      <c r="F13776" t="s">
        <v>41687</v>
      </c>
      <c r="I13776" t="s">
        <v>29</v>
      </c>
      <c r="J13776" t="s">
        <v>30</v>
      </c>
      <c r="K13776" t="s">
        <v>19651</v>
      </c>
      <c r="M13776" t="s">
        <v>17861</v>
      </c>
      <c r="N13776" t="str">
        <f>"4/1/2020 8:44:00 AM"</f>
        <v>4/1/2020 8:44:00 AM</v>
      </c>
      <c r="O13776" t="s">
        <v>41685</v>
      </c>
      <c r="T13776" t="s">
        <v>41686</v>
      </c>
    </row>
    <row r="13777" spans="1:20" x14ac:dyDescent="0.25">
      <c r="A13777" t="str">
        <f>"3048803"</f>
        <v>3048803</v>
      </c>
      <c r="B13777" t="s">
        <v>41688</v>
      </c>
      <c r="C13777" t="str">
        <f>"8313380"</f>
        <v>8313380</v>
      </c>
      <c r="D13777" t="str">
        <f>"KENASTON SAMUEL/KATHERINE"</f>
        <v>KENASTON SAMUEL/KATHERINE</v>
      </c>
      <c r="E13777" t="s">
        <v>41689</v>
      </c>
      <c r="F13777" t="s">
        <v>41690</v>
      </c>
      <c r="I13777" t="s">
        <v>14378</v>
      </c>
      <c r="J13777" t="s">
        <v>30</v>
      </c>
      <c r="K13777" t="s">
        <v>41691</v>
      </c>
      <c r="M13777" t="s">
        <v>17861</v>
      </c>
      <c r="N13777" t="str">
        <f>"4/16/2020 1:38:00 PM"</f>
        <v>4/16/2020 1:38:00 PM</v>
      </c>
      <c r="O13777" t="str">
        <f>"KENASTON SAMUEL/KATHERINE"</f>
        <v>KENASTON SAMUEL/KATHERINE</v>
      </c>
      <c r="T13777" t="s">
        <v>41689</v>
      </c>
    </row>
    <row r="13778" spans="1:20" x14ac:dyDescent="0.25">
      <c r="A13778" t="str">
        <f>"3038142"</f>
        <v>3038142</v>
      </c>
      <c r="B13778" t="s">
        <v>41692</v>
      </c>
      <c r="C13778" t="str">
        <f>"8313382"</f>
        <v>8313382</v>
      </c>
      <c r="D13778" t="s">
        <v>41693</v>
      </c>
      <c r="E13778" t="s">
        <v>41694</v>
      </c>
      <c r="F13778" t="s">
        <v>41695</v>
      </c>
      <c r="I13778" t="s">
        <v>29</v>
      </c>
      <c r="J13778" t="s">
        <v>30</v>
      </c>
      <c r="K13778" t="s">
        <v>41696</v>
      </c>
      <c r="M13778" t="s">
        <v>17861</v>
      </c>
      <c r="N13778" t="str">
        <f>"4/16/2020 1:44:00 PM"</f>
        <v>4/16/2020 1:44:00 PM</v>
      </c>
      <c r="O13778" t="s">
        <v>41693</v>
      </c>
      <c r="T13778" t="s">
        <v>41694</v>
      </c>
    </row>
    <row r="13779" spans="1:20" x14ac:dyDescent="0.25">
      <c r="A13779" t="str">
        <f>"3060277"</f>
        <v>3060277</v>
      </c>
      <c r="B13779" t="s">
        <v>41697</v>
      </c>
      <c r="C13779" t="str">
        <f>"8313383"</f>
        <v>8313383</v>
      </c>
      <c r="D13779" t="s">
        <v>41698</v>
      </c>
      <c r="E13779" t="s">
        <v>41699</v>
      </c>
      <c r="F13779" t="s">
        <v>41700</v>
      </c>
      <c r="I13779" t="s">
        <v>184</v>
      </c>
      <c r="J13779" t="s">
        <v>30</v>
      </c>
      <c r="K13779" t="s">
        <v>38676</v>
      </c>
      <c r="M13779" t="s">
        <v>17861</v>
      </c>
      <c r="N13779" t="str">
        <f>"4/16/2020 1:47:00 PM"</f>
        <v>4/16/2020 1:47:00 PM</v>
      </c>
      <c r="O13779" t="s">
        <v>41698</v>
      </c>
      <c r="T13779" t="s">
        <v>41699</v>
      </c>
    </row>
    <row r="13780" spans="1:20" x14ac:dyDescent="0.25">
      <c r="A13780" t="str">
        <f>"3061571"</f>
        <v>3061571</v>
      </c>
      <c r="B13780" t="s">
        <v>41701</v>
      </c>
      <c r="C13780" t="str">
        <f>"8313386"</f>
        <v>8313386</v>
      </c>
      <c r="D13780" t="s">
        <v>41702</v>
      </c>
      <c r="F13780" t="s">
        <v>41703</v>
      </c>
      <c r="I13780" t="s">
        <v>29</v>
      </c>
      <c r="J13780" t="s">
        <v>30</v>
      </c>
      <c r="K13780" t="s">
        <v>19108</v>
      </c>
      <c r="M13780" t="s">
        <v>17861</v>
      </c>
      <c r="N13780" t="str">
        <f>"4/16/2020 1:59:00 PM"</f>
        <v>4/16/2020 1:59:00 PM</v>
      </c>
      <c r="O13780" t="s">
        <v>41702</v>
      </c>
    </row>
    <row r="13781" spans="1:20" x14ac:dyDescent="0.25">
      <c r="A13781" t="str">
        <f>"3058069"</f>
        <v>3058069</v>
      </c>
      <c r="B13781" t="s">
        <v>41704</v>
      </c>
      <c r="C13781" t="str">
        <f>"8313387"</f>
        <v>8313387</v>
      </c>
      <c r="D13781" t="s">
        <v>41705</v>
      </c>
      <c r="E13781" t="str">
        <f>"FOX LINDA R/ROBERT D ETAL TRTE"</f>
        <v>FOX LINDA R/ROBERT D ETAL TRTE</v>
      </c>
      <c r="F13781" t="s">
        <v>41706</v>
      </c>
      <c r="I13781" t="s">
        <v>184</v>
      </c>
      <c r="J13781" t="s">
        <v>30</v>
      </c>
      <c r="K13781" t="s">
        <v>6513</v>
      </c>
      <c r="M13781" t="s">
        <v>17861</v>
      </c>
      <c r="N13781" t="str">
        <f>"4/16/2020 2:09:00 PM"</f>
        <v>4/16/2020 2:09:00 PM</v>
      </c>
      <c r="O13781" t="s">
        <v>41705</v>
      </c>
      <c r="T13781" t="str">
        <f>"FOX LINDA R/ROBERT D ETAL TRTE"</f>
        <v>FOX LINDA R/ROBERT D ETAL TRTE</v>
      </c>
    </row>
    <row r="13782" spans="1:20" x14ac:dyDescent="0.25">
      <c r="A13782" t="str">
        <f>"3063783"</f>
        <v>3063783</v>
      </c>
      <c r="B13782" t="s">
        <v>41707</v>
      </c>
      <c r="C13782" t="str">
        <f>"8313326"</f>
        <v>8313326</v>
      </c>
      <c r="D13782" t="s">
        <v>41708</v>
      </c>
      <c r="E13782" t="s">
        <v>41709</v>
      </c>
      <c r="F13782" t="s">
        <v>41710</v>
      </c>
      <c r="I13782" t="s">
        <v>29</v>
      </c>
      <c r="J13782" t="s">
        <v>30</v>
      </c>
      <c r="K13782" t="s">
        <v>6895</v>
      </c>
      <c r="M13782" t="s">
        <v>17861</v>
      </c>
      <c r="N13782" t="str">
        <f>"4/1/2020 8:48:00 AM"</f>
        <v>4/1/2020 8:48:00 AM</v>
      </c>
      <c r="O13782" t="s">
        <v>41708</v>
      </c>
      <c r="T13782" t="s">
        <v>41709</v>
      </c>
    </row>
    <row r="13783" spans="1:20" x14ac:dyDescent="0.25">
      <c r="A13783" t="str">
        <f>"3058571"</f>
        <v>3058571</v>
      </c>
      <c r="B13783" t="s">
        <v>41711</v>
      </c>
      <c r="C13783" t="str">
        <f>"8313327"</f>
        <v>8313327</v>
      </c>
      <c r="D13783" t="s">
        <v>9760</v>
      </c>
      <c r="E13783" t="s">
        <v>9761</v>
      </c>
      <c r="F13783" t="s">
        <v>41712</v>
      </c>
      <c r="I13783" t="s">
        <v>29</v>
      </c>
      <c r="J13783" t="s">
        <v>30</v>
      </c>
      <c r="K13783" t="s">
        <v>9767</v>
      </c>
      <c r="M13783" t="s">
        <v>17861</v>
      </c>
      <c r="N13783" t="str">
        <f>"4/1/2020 1:42:00 PM"</f>
        <v>4/1/2020 1:42:00 PM</v>
      </c>
      <c r="O13783" t="s">
        <v>9760</v>
      </c>
      <c r="T13783" t="s">
        <v>9761</v>
      </c>
    </row>
    <row r="13784" spans="1:20" x14ac:dyDescent="0.25">
      <c r="A13784" t="str">
        <f>"3058567"</f>
        <v>3058567</v>
      </c>
      <c r="B13784" t="s">
        <v>41713</v>
      </c>
      <c r="C13784" t="str">
        <f>"8313327"</f>
        <v>8313327</v>
      </c>
      <c r="D13784" t="s">
        <v>9760</v>
      </c>
      <c r="E13784" t="s">
        <v>9761</v>
      </c>
      <c r="F13784" t="s">
        <v>41712</v>
      </c>
      <c r="I13784" t="s">
        <v>29</v>
      </c>
      <c r="J13784" t="s">
        <v>30</v>
      </c>
      <c r="K13784" t="s">
        <v>9767</v>
      </c>
      <c r="M13784" t="s">
        <v>17861</v>
      </c>
      <c r="N13784" t="str">
        <f>"4/1/2020 1:42:00 PM"</f>
        <v>4/1/2020 1:42:00 PM</v>
      </c>
      <c r="O13784" t="s">
        <v>9760</v>
      </c>
      <c r="T13784" t="s">
        <v>9761</v>
      </c>
    </row>
    <row r="13785" spans="1:20" x14ac:dyDescent="0.25">
      <c r="A13785" t="str">
        <f>"3053464"</f>
        <v>3053464</v>
      </c>
      <c r="B13785" t="s">
        <v>41714</v>
      </c>
      <c r="C13785" t="str">
        <f>"8313329"</f>
        <v>8313329</v>
      </c>
      <c r="D13785" t="s">
        <v>41715</v>
      </c>
      <c r="E13785" t="s">
        <v>41716</v>
      </c>
      <c r="F13785" t="s">
        <v>41717</v>
      </c>
      <c r="I13785" t="s">
        <v>29</v>
      </c>
      <c r="J13785" t="s">
        <v>30</v>
      </c>
      <c r="K13785" t="s">
        <v>41718</v>
      </c>
      <c r="M13785" t="s">
        <v>17861</v>
      </c>
      <c r="N13785" t="str">
        <f>"4/1/2020 1:59:00 PM"</f>
        <v>4/1/2020 1:59:00 PM</v>
      </c>
      <c r="O13785" t="s">
        <v>41715</v>
      </c>
      <c r="T13785" t="s">
        <v>41716</v>
      </c>
    </row>
    <row r="13786" spans="1:20" x14ac:dyDescent="0.25">
      <c r="A13786" t="str">
        <f>"3047712"</f>
        <v>3047712</v>
      </c>
      <c r="B13786" t="s">
        <v>41719</v>
      </c>
      <c r="C13786" t="str">
        <f>"8313406"</f>
        <v>8313406</v>
      </c>
      <c r="D13786" t="s">
        <v>41720</v>
      </c>
      <c r="E13786" t="s">
        <v>41721</v>
      </c>
      <c r="F13786" t="s">
        <v>41722</v>
      </c>
      <c r="I13786" t="s">
        <v>24359</v>
      </c>
      <c r="J13786" t="s">
        <v>30</v>
      </c>
      <c r="K13786" t="str">
        <f>"27006"</f>
        <v>27006</v>
      </c>
      <c r="M13786" t="s">
        <v>17861</v>
      </c>
      <c r="N13786" t="str">
        <f>"4/27/2020 10:59:00 AM"</f>
        <v>4/27/2020 10:59:00 AM</v>
      </c>
      <c r="O13786" t="s">
        <v>41720</v>
      </c>
      <c r="T13786" t="s">
        <v>41721</v>
      </c>
    </row>
    <row r="13787" spans="1:20" x14ac:dyDescent="0.25">
      <c r="A13787" t="str">
        <f>"3059653"</f>
        <v>3059653</v>
      </c>
      <c r="B13787" t="s">
        <v>41723</v>
      </c>
      <c r="C13787" t="str">
        <f>"8313407"</f>
        <v>8313407</v>
      </c>
      <c r="D13787" t="s">
        <v>41724</v>
      </c>
      <c r="F13787" t="s">
        <v>41725</v>
      </c>
      <c r="I13787" t="s">
        <v>29</v>
      </c>
      <c r="J13787" t="s">
        <v>30</v>
      </c>
      <c r="K13787" t="s">
        <v>13608</v>
      </c>
      <c r="M13787" t="s">
        <v>17861</v>
      </c>
      <c r="N13787" t="str">
        <f>"4/27/2020 11:12:00 AM"</f>
        <v>4/27/2020 11:12:00 AM</v>
      </c>
      <c r="O13787" t="s">
        <v>41724</v>
      </c>
    </row>
    <row r="13788" spans="1:20" x14ac:dyDescent="0.25">
      <c r="A13788" t="str">
        <f>"3057656"</f>
        <v>3057656</v>
      </c>
      <c r="B13788" t="s">
        <v>41726</v>
      </c>
      <c r="C13788" t="str">
        <f>"8313408"</f>
        <v>8313408</v>
      </c>
      <c r="D13788" t="s">
        <v>41727</v>
      </c>
      <c r="E13788" t="s">
        <v>41728</v>
      </c>
      <c r="F13788" t="s">
        <v>41729</v>
      </c>
      <c r="I13788" t="s">
        <v>184</v>
      </c>
      <c r="J13788" t="s">
        <v>30</v>
      </c>
      <c r="K13788" t="s">
        <v>41079</v>
      </c>
      <c r="M13788" t="s">
        <v>17861</v>
      </c>
      <c r="N13788" t="str">
        <f>"4/27/2020 11:16:00 AM"</f>
        <v>4/27/2020 11:16:00 AM</v>
      </c>
      <c r="O13788" t="s">
        <v>41727</v>
      </c>
      <c r="T13788" t="s">
        <v>41728</v>
      </c>
    </row>
    <row r="13789" spans="1:20" x14ac:dyDescent="0.25">
      <c r="A13789" t="str">
        <f>"3048533"</f>
        <v>3048533</v>
      </c>
      <c r="B13789" t="s">
        <v>41730</v>
      </c>
      <c r="C13789" t="str">
        <f>"8313333"</f>
        <v>8313333</v>
      </c>
      <c r="D13789" t="s">
        <v>41570</v>
      </c>
      <c r="E13789" t="s">
        <v>41571</v>
      </c>
      <c r="F13789" t="s">
        <v>41572</v>
      </c>
      <c r="I13789" t="s">
        <v>29</v>
      </c>
      <c r="J13789" t="s">
        <v>30</v>
      </c>
      <c r="K13789" t="s">
        <v>35172</v>
      </c>
      <c r="M13789" t="s">
        <v>17861</v>
      </c>
      <c r="N13789" t="str">
        <f>"4/2/2020 4:19:00 PM"</f>
        <v>4/2/2020 4:19:00 PM</v>
      </c>
      <c r="O13789" t="s">
        <v>41570</v>
      </c>
      <c r="T13789" t="s">
        <v>41571</v>
      </c>
    </row>
    <row r="13790" spans="1:20" x14ac:dyDescent="0.25">
      <c r="A13790" t="str">
        <f>"3040599"</f>
        <v>3040599</v>
      </c>
      <c r="B13790" t="s">
        <v>41731</v>
      </c>
      <c r="C13790" t="str">
        <f>"8313339"</f>
        <v>8313339</v>
      </c>
      <c r="D13790" t="s">
        <v>41732</v>
      </c>
      <c r="F13790" t="s">
        <v>41733</v>
      </c>
      <c r="I13790" t="s">
        <v>24359</v>
      </c>
      <c r="J13790" t="s">
        <v>30</v>
      </c>
      <c r="K13790" t="s">
        <v>41734</v>
      </c>
      <c r="M13790" t="s">
        <v>17861</v>
      </c>
      <c r="N13790" t="str">
        <f>"4/8/2020 12:26:00 PM"</f>
        <v>4/8/2020 12:26:00 PM</v>
      </c>
      <c r="O13790" t="s">
        <v>41732</v>
      </c>
    </row>
    <row r="13791" spans="1:20" x14ac:dyDescent="0.25">
      <c r="A13791" t="str">
        <f>"3060437"</f>
        <v>3060437</v>
      </c>
      <c r="B13791" t="s">
        <v>41735</v>
      </c>
      <c r="C13791" t="str">
        <f>"8313343"</f>
        <v>8313343</v>
      </c>
      <c r="D13791" t="s">
        <v>41736</v>
      </c>
      <c r="F13791" t="s">
        <v>41737</v>
      </c>
      <c r="I13791" t="s">
        <v>2071</v>
      </c>
      <c r="J13791" t="s">
        <v>30</v>
      </c>
      <c r="K13791" t="s">
        <v>3728</v>
      </c>
      <c r="M13791" t="s">
        <v>17861</v>
      </c>
      <c r="N13791" t="str">
        <f>"4/13/2020 10:22:00 AM"</f>
        <v>4/13/2020 10:22:00 AM</v>
      </c>
      <c r="O13791" t="s">
        <v>41736</v>
      </c>
    </row>
    <row r="13792" spans="1:20" x14ac:dyDescent="0.25">
      <c r="A13792" t="str">
        <f>"3051480"</f>
        <v>3051480</v>
      </c>
      <c r="B13792" t="s">
        <v>41738</v>
      </c>
      <c r="C13792" t="str">
        <f>"8313344"</f>
        <v>8313344</v>
      </c>
      <c r="D13792" t="s">
        <v>41739</v>
      </c>
      <c r="E13792" t="s">
        <v>41740</v>
      </c>
      <c r="F13792" t="s">
        <v>41741</v>
      </c>
      <c r="I13792" t="s">
        <v>29</v>
      </c>
      <c r="J13792" t="s">
        <v>30</v>
      </c>
      <c r="K13792" t="s">
        <v>41742</v>
      </c>
      <c r="M13792" t="s">
        <v>17861</v>
      </c>
      <c r="N13792" t="str">
        <f>"4/13/2020 10:27:00 AM"</f>
        <v>4/13/2020 10:27:00 AM</v>
      </c>
      <c r="O13792" t="s">
        <v>41739</v>
      </c>
      <c r="T13792" t="s">
        <v>41740</v>
      </c>
    </row>
    <row r="13793" spans="1:20" x14ac:dyDescent="0.25">
      <c r="A13793" t="str">
        <f>"3054352"</f>
        <v>3054352</v>
      </c>
      <c r="B13793" t="s">
        <v>41743</v>
      </c>
      <c r="C13793" t="str">
        <f>"8313347"</f>
        <v>8313347</v>
      </c>
      <c r="D13793" t="s">
        <v>41744</v>
      </c>
      <c r="F13793" t="s">
        <v>41745</v>
      </c>
      <c r="I13793" t="s">
        <v>29</v>
      </c>
      <c r="J13793" t="s">
        <v>30</v>
      </c>
      <c r="K13793" t="s">
        <v>22874</v>
      </c>
      <c r="M13793" t="s">
        <v>17861</v>
      </c>
      <c r="N13793" t="str">
        <f>"4/13/2020 11:38:00 AM"</f>
        <v>4/13/2020 11:38:00 AM</v>
      </c>
      <c r="O13793" t="s">
        <v>41744</v>
      </c>
    </row>
    <row r="13794" spans="1:20" x14ac:dyDescent="0.25">
      <c r="A13794" t="str">
        <f>"3058031"</f>
        <v>3058031</v>
      </c>
      <c r="B13794" t="s">
        <v>41746</v>
      </c>
      <c r="C13794" t="str">
        <f>"8313348"</f>
        <v>8313348</v>
      </c>
      <c r="D13794" t="s">
        <v>41747</v>
      </c>
      <c r="E13794" t="s">
        <v>41748</v>
      </c>
      <c r="F13794" t="s">
        <v>41749</v>
      </c>
      <c r="I13794" t="s">
        <v>184</v>
      </c>
      <c r="J13794" t="s">
        <v>30</v>
      </c>
      <c r="K13794" t="s">
        <v>6285</v>
      </c>
      <c r="M13794" t="s">
        <v>17861</v>
      </c>
      <c r="N13794" t="str">
        <f>"4/13/2020 12:31:00 PM"</f>
        <v>4/13/2020 12:31:00 PM</v>
      </c>
      <c r="O13794" t="s">
        <v>41747</v>
      </c>
      <c r="T13794" t="s">
        <v>41748</v>
      </c>
    </row>
    <row r="13795" spans="1:20" x14ac:dyDescent="0.25">
      <c r="A13795" t="str">
        <f>"3060058"</f>
        <v>3060058</v>
      </c>
      <c r="B13795" t="s">
        <v>41750</v>
      </c>
      <c r="C13795" t="str">
        <f>"8313349"</f>
        <v>8313349</v>
      </c>
      <c r="D13795" t="s">
        <v>41751</v>
      </c>
      <c r="E13795" t="s">
        <v>41752</v>
      </c>
      <c r="F13795" t="s">
        <v>41753</v>
      </c>
      <c r="I13795" t="s">
        <v>184</v>
      </c>
      <c r="J13795" t="s">
        <v>30</v>
      </c>
      <c r="K13795" t="s">
        <v>35177</v>
      </c>
      <c r="M13795" t="s">
        <v>17861</v>
      </c>
      <c r="N13795" t="str">
        <f>"4/13/2020 12:39:00 PM"</f>
        <v>4/13/2020 12:39:00 PM</v>
      </c>
      <c r="O13795" t="s">
        <v>41751</v>
      </c>
      <c r="T13795" t="s">
        <v>41752</v>
      </c>
    </row>
    <row r="13796" spans="1:20" x14ac:dyDescent="0.25">
      <c r="A13796" t="str">
        <f>"3061746"</f>
        <v>3061746</v>
      </c>
      <c r="B13796" t="s">
        <v>41754</v>
      </c>
      <c r="C13796" t="str">
        <f>"8313361"</f>
        <v>8313361</v>
      </c>
      <c r="D13796" t="s">
        <v>41755</v>
      </c>
      <c r="E13796" t="s">
        <v>41756</v>
      </c>
      <c r="F13796" t="s">
        <v>41757</v>
      </c>
      <c r="I13796" t="s">
        <v>2071</v>
      </c>
      <c r="J13796" t="s">
        <v>30</v>
      </c>
      <c r="K13796" t="str">
        <f>"27006"</f>
        <v>27006</v>
      </c>
      <c r="M13796" t="s">
        <v>17861</v>
      </c>
      <c r="N13796" t="str">
        <f>"4/13/2020 2:22:00 PM"</f>
        <v>4/13/2020 2:22:00 PM</v>
      </c>
      <c r="O13796" t="s">
        <v>41755</v>
      </c>
      <c r="T13796" t="s">
        <v>41756</v>
      </c>
    </row>
    <row r="13797" spans="1:20" x14ac:dyDescent="0.25">
      <c r="A13797" t="str">
        <f>"3040633"</f>
        <v>3040633</v>
      </c>
      <c r="B13797" t="s">
        <v>41758</v>
      </c>
      <c r="C13797" t="str">
        <f>"8313364"</f>
        <v>8313364</v>
      </c>
      <c r="D13797" t="s">
        <v>41759</v>
      </c>
      <c r="F13797" t="s">
        <v>41760</v>
      </c>
      <c r="I13797" t="s">
        <v>184</v>
      </c>
      <c r="J13797" t="s">
        <v>30</v>
      </c>
      <c r="K13797" t="s">
        <v>20128</v>
      </c>
      <c r="M13797" t="s">
        <v>17861</v>
      </c>
      <c r="N13797" t="str">
        <f>"4/13/2020 2:41:00 PM"</f>
        <v>4/13/2020 2:41:00 PM</v>
      </c>
      <c r="O13797" t="s">
        <v>41759</v>
      </c>
    </row>
    <row r="13798" spans="1:20" x14ac:dyDescent="0.25">
      <c r="A13798" t="str">
        <f>"3038838"</f>
        <v>3038838</v>
      </c>
      <c r="B13798" t="s">
        <v>41761</v>
      </c>
      <c r="C13798" t="str">
        <f>"8305076"</f>
        <v>8305076</v>
      </c>
      <c r="D13798" t="s">
        <v>41762</v>
      </c>
      <c r="E13798" t="s">
        <v>41763</v>
      </c>
      <c r="F13798" t="s">
        <v>41764</v>
      </c>
      <c r="I13798" t="s">
        <v>29</v>
      </c>
      <c r="J13798" t="s">
        <v>30</v>
      </c>
      <c r="K13798" t="str">
        <f>"27028"</f>
        <v>27028</v>
      </c>
      <c r="M13798" t="s">
        <v>18470</v>
      </c>
      <c r="N13798" t="str">
        <f>"3/30/2020 1:15:00 PM"</f>
        <v>3/30/2020 1:15:00 PM</v>
      </c>
      <c r="O13798" t="s">
        <v>41762</v>
      </c>
      <c r="T13798" t="s">
        <v>41763</v>
      </c>
    </row>
    <row r="13799" spans="1:20" x14ac:dyDescent="0.25">
      <c r="A13799" t="str">
        <f>"3059699"</f>
        <v>3059699</v>
      </c>
      <c r="B13799" t="s">
        <v>41765</v>
      </c>
      <c r="C13799" t="str">
        <f>"8313367"</f>
        <v>8313367</v>
      </c>
      <c r="D13799" t="s">
        <v>41766</v>
      </c>
      <c r="E13799" t="s">
        <v>41767</v>
      </c>
      <c r="F13799" t="s">
        <v>41768</v>
      </c>
      <c r="I13799" t="s">
        <v>29</v>
      </c>
      <c r="J13799" t="s">
        <v>30</v>
      </c>
      <c r="K13799" t="s">
        <v>8004</v>
      </c>
      <c r="M13799" t="s">
        <v>17861</v>
      </c>
      <c r="N13799" t="str">
        <f>"4/13/2020 3:14:00 PM"</f>
        <v>4/13/2020 3:14:00 PM</v>
      </c>
      <c r="O13799" t="s">
        <v>41766</v>
      </c>
      <c r="T13799" t="s">
        <v>41767</v>
      </c>
    </row>
    <row r="13800" spans="1:20" x14ac:dyDescent="0.25">
      <c r="A13800" t="str">
        <f>"3047100"</f>
        <v>3047100</v>
      </c>
      <c r="B13800" t="s">
        <v>41769</v>
      </c>
      <c r="C13800" t="str">
        <f>"8313318"</f>
        <v>8313318</v>
      </c>
      <c r="D13800" t="s">
        <v>41770</v>
      </c>
      <c r="F13800" t="s">
        <v>41771</v>
      </c>
      <c r="I13800" t="s">
        <v>29</v>
      </c>
      <c r="J13800" t="s">
        <v>30</v>
      </c>
      <c r="K13800" t="s">
        <v>41772</v>
      </c>
      <c r="M13800" t="s">
        <v>17861</v>
      </c>
      <c r="N13800" t="str">
        <f>"3/30/2020 4:13:00 PM"</f>
        <v>3/30/2020 4:13:00 PM</v>
      </c>
      <c r="O13800" t="s">
        <v>41770</v>
      </c>
    </row>
    <row r="13801" spans="1:20" x14ac:dyDescent="0.25">
      <c r="A13801" t="str">
        <f>"3043397"</f>
        <v>3043397</v>
      </c>
      <c r="B13801" t="s">
        <v>41773</v>
      </c>
      <c r="C13801" t="str">
        <f>"8313319"</f>
        <v>8313319</v>
      </c>
      <c r="D13801" t="s">
        <v>41774</v>
      </c>
      <c r="E13801" t="s">
        <v>41775</v>
      </c>
      <c r="F13801" t="s">
        <v>41776</v>
      </c>
      <c r="I13801" t="s">
        <v>29</v>
      </c>
      <c r="J13801" t="s">
        <v>30</v>
      </c>
      <c r="K13801" t="s">
        <v>24269</v>
      </c>
      <c r="M13801" t="s">
        <v>17861</v>
      </c>
      <c r="N13801" t="str">
        <f>"3/30/2020 4:16:00 PM"</f>
        <v>3/30/2020 4:16:00 PM</v>
      </c>
      <c r="O13801" t="s">
        <v>41774</v>
      </c>
      <c r="T13801" t="s">
        <v>41775</v>
      </c>
    </row>
    <row r="13802" spans="1:20" x14ac:dyDescent="0.25">
      <c r="A13802" t="str">
        <f>"3058797"</f>
        <v>3058797</v>
      </c>
      <c r="B13802" t="s">
        <v>41777</v>
      </c>
      <c r="C13802" t="str">
        <f>"8313320"</f>
        <v>8313320</v>
      </c>
      <c r="D13802" t="s">
        <v>41778</v>
      </c>
      <c r="E13802" t="s">
        <v>41779</v>
      </c>
      <c r="F13802" t="s">
        <v>41780</v>
      </c>
      <c r="I13802" t="s">
        <v>29</v>
      </c>
      <c r="J13802" t="s">
        <v>30</v>
      </c>
      <c r="K13802" t="s">
        <v>34090</v>
      </c>
      <c r="M13802" t="s">
        <v>17861</v>
      </c>
      <c r="N13802" t="str">
        <f>"3/30/2020 4:25:00 PM"</f>
        <v>3/30/2020 4:25:00 PM</v>
      </c>
      <c r="O13802" t="s">
        <v>41778</v>
      </c>
      <c r="T13802" t="s">
        <v>41779</v>
      </c>
    </row>
    <row r="13803" spans="1:20" x14ac:dyDescent="0.25">
      <c r="A13803" t="str">
        <f>"3048766"</f>
        <v>3048766</v>
      </c>
      <c r="B13803" t="s">
        <v>41781</v>
      </c>
      <c r="C13803" t="str">
        <f>"8313321"</f>
        <v>8313321</v>
      </c>
      <c r="D13803" t="s">
        <v>41782</v>
      </c>
      <c r="E13803" t="s">
        <v>41783</v>
      </c>
      <c r="F13803" t="s">
        <v>41784</v>
      </c>
      <c r="I13803" t="s">
        <v>29</v>
      </c>
      <c r="J13803" t="s">
        <v>30</v>
      </c>
      <c r="K13803" t="s">
        <v>41785</v>
      </c>
      <c r="M13803" t="s">
        <v>17861</v>
      </c>
      <c r="N13803" t="str">
        <f>"3/30/2020 4:27:00 PM"</f>
        <v>3/30/2020 4:27:00 PM</v>
      </c>
      <c r="O13803" t="s">
        <v>41782</v>
      </c>
      <c r="T13803" t="s">
        <v>41783</v>
      </c>
    </row>
    <row r="13804" spans="1:20" x14ac:dyDescent="0.25">
      <c r="A13804" t="str">
        <f>"3050552"</f>
        <v>3050552</v>
      </c>
      <c r="B13804" t="s">
        <v>41786</v>
      </c>
      <c r="C13804" t="str">
        <f>"29474000"</f>
        <v>29474000</v>
      </c>
      <c r="D13804" t="s">
        <v>41787</v>
      </c>
      <c r="E13804" t="s">
        <v>41788</v>
      </c>
      <c r="F13804" t="s">
        <v>41789</v>
      </c>
      <c r="I13804" t="s">
        <v>41790</v>
      </c>
      <c r="J13804" t="s">
        <v>8889</v>
      </c>
      <c r="K13804" t="s">
        <v>41791</v>
      </c>
      <c r="M13804" t="s">
        <v>17861</v>
      </c>
      <c r="N13804" t="str">
        <f>"4/15/2020 8:05:00 AM"</f>
        <v>4/15/2020 8:05:00 AM</v>
      </c>
      <c r="O13804" t="s">
        <v>41787</v>
      </c>
      <c r="T13804" t="s">
        <v>41788</v>
      </c>
    </row>
    <row r="13805" spans="1:20" x14ac:dyDescent="0.25">
      <c r="A13805" t="str">
        <f>"3041709"</f>
        <v>3041709</v>
      </c>
      <c r="B13805" t="s">
        <v>41792</v>
      </c>
      <c r="C13805" t="str">
        <f>"8313438"</f>
        <v>8313438</v>
      </c>
      <c r="D13805" t="s">
        <v>41793</v>
      </c>
      <c r="F13805" t="s">
        <v>41794</v>
      </c>
      <c r="I13805" t="s">
        <v>2071</v>
      </c>
      <c r="J13805" t="s">
        <v>30</v>
      </c>
      <c r="K13805" t="s">
        <v>41795</v>
      </c>
      <c r="M13805" t="s">
        <v>17861</v>
      </c>
      <c r="N13805" t="str">
        <f>"4/27/2020 3:15:00 PM"</f>
        <v>4/27/2020 3:15:00 PM</v>
      </c>
      <c r="O13805" t="s">
        <v>41793</v>
      </c>
    </row>
    <row r="13806" spans="1:20" x14ac:dyDescent="0.25">
      <c r="A13806" t="str">
        <f>"3038317"</f>
        <v>3038317</v>
      </c>
      <c r="B13806" t="s">
        <v>41796</v>
      </c>
      <c r="C13806" t="str">
        <f>"8313439"</f>
        <v>8313439</v>
      </c>
      <c r="D13806" t="s">
        <v>41797</v>
      </c>
      <c r="E13806" t="s">
        <v>41798</v>
      </c>
      <c r="F13806" t="s">
        <v>41799</v>
      </c>
      <c r="I13806" t="s">
        <v>29</v>
      </c>
      <c r="J13806" t="s">
        <v>30</v>
      </c>
      <c r="K13806" t="str">
        <f>"27028"</f>
        <v>27028</v>
      </c>
      <c r="M13806" t="s">
        <v>17861</v>
      </c>
      <c r="N13806" t="str">
        <f>"4/27/2020 3:18:00 PM"</f>
        <v>4/27/2020 3:18:00 PM</v>
      </c>
      <c r="O13806" t="s">
        <v>41797</v>
      </c>
      <c r="T13806" t="s">
        <v>41798</v>
      </c>
    </row>
    <row r="13807" spans="1:20" x14ac:dyDescent="0.25">
      <c r="A13807" t="str">
        <f>"3053524"</f>
        <v>3053524</v>
      </c>
      <c r="B13807" t="s">
        <v>41800</v>
      </c>
      <c r="C13807" t="str">
        <f>"8313378"</f>
        <v>8313378</v>
      </c>
      <c r="D13807" t="s">
        <v>41801</v>
      </c>
      <c r="E13807" t="s">
        <v>41802</v>
      </c>
      <c r="F13807" t="s">
        <v>41803</v>
      </c>
      <c r="I13807" t="s">
        <v>184</v>
      </c>
      <c r="J13807" t="s">
        <v>30</v>
      </c>
      <c r="K13807" t="s">
        <v>15695</v>
      </c>
      <c r="M13807" t="s">
        <v>17861</v>
      </c>
      <c r="N13807" t="str">
        <f>"4/16/2020 10:43:00 AM"</f>
        <v>4/16/2020 10:43:00 AM</v>
      </c>
      <c r="O13807" t="s">
        <v>41801</v>
      </c>
      <c r="T13807" t="s">
        <v>41802</v>
      </c>
    </row>
    <row r="13808" spans="1:20" x14ac:dyDescent="0.25">
      <c r="A13808" t="str">
        <f>"3058930"</f>
        <v>3058930</v>
      </c>
      <c r="B13808" t="s">
        <v>41804</v>
      </c>
      <c r="C13808" t="str">
        <f>"8313379"</f>
        <v>8313379</v>
      </c>
      <c r="D13808" t="s">
        <v>41805</v>
      </c>
      <c r="E13808" t="s">
        <v>41806</v>
      </c>
      <c r="F13808" t="s">
        <v>41807</v>
      </c>
      <c r="I13808" t="s">
        <v>29</v>
      </c>
      <c r="J13808" t="s">
        <v>30</v>
      </c>
      <c r="K13808" t="s">
        <v>14501</v>
      </c>
      <c r="M13808" t="s">
        <v>17861</v>
      </c>
      <c r="N13808" t="str">
        <f>"4/16/2020 10:51:00 AM"</f>
        <v>4/16/2020 10:51:00 AM</v>
      </c>
      <c r="O13808" t="s">
        <v>41805</v>
      </c>
      <c r="T13808" t="s">
        <v>41806</v>
      </c>
    </row>
    <row r="13809" spans="1:20" x14ac:dyDescent="0.25">
      <c r="A13809" t="str">
        <f>"3048232"</f>
        <v>3048232</v>
      </c>
      <c r="B13809" t="s">
        <v>41808</v>
      </c>
      <c r="C13809" t="str">
        <f>"8313447"</f>
        <v>8313447</v>
      </c>
      <c r="D13809" t="s">
        <v>41809</v>
      </c>
      <c r="F13809" t="s">
        <v>41810</v>
      </c>
      <c r="I13809" t="s">
        <v>1149</v>
      </c>
      <c r="J13809" t="s">
        <v>30</v>
      </c>
      <c r="K13809" t="str">
        <f>"28634"</f>
        <v>28634</v>
      </c>
      <c r="M13809" t="s">
        <v>17861</v>
      </c>
      <c r="N13809" t="str">
        <f>"4/28/2020 9:45:00 AM"</f>
        <v>4/28/2020 9:45:00 AM</v>
      </c>
      <c r="O13809" t="s">
        <v>41809</v>
      </c>
    </row>
    <row r="13810" spans="1:20" x14ac:dyDescent="0.25">
      <c r="A13810" t="str">
        <f>"3054254"</f>
        <v>3054254</v>
      </c>
      <c r="B13810" t="s">
        <v>41811</v>
      </c>
      <c r="C13810" t="str">
        <f>"82527081"</f>
        <v>82527081</v>
      </c>
      <c r="D13810" t="s">
        <v>41812</v>
      </c>
      <c r="E13810" t="s">
        <v>41813</v>
      </c>
      <c r="F13810" t="s">
        <v>41814</v>
      </c>
      <c r="I13810" t="s">
        <v>29</v>
      </c>
      <c r="J13810" t="s">
        <v>30</v>
      </c>
      <c r="K13810" t="s">
        <v>31</v>
      </c>
      <c r="M13810" t="s">
        <v>18470</v>
      </c>
      <c r="N13810" t="str">
        <f>"4/28/2020 12:50:00 PM"</f>
        <v>4/28/2020 12:50:00 PM</v>
      </c>
      <c r="O13810" t="s">
        <v>41812</v>
      </c>
      <c r="T13810" t="s">
        <v>41813</v>
      </c>
    </row>
    <row r="13811" spans="1:20" x14ac:dyDescent="0.25">
      <c r="A13811" t="str">
        <f>"3055771"</f>
        <v>3055771</v>
      </c>
      <c r="B13811" t="s">
        <v>41815</v>
      </c>
      <c r="C13811" t="str">
        <f>"82527081"</f>
        <v>82527081</v>
      </c>
      <c r="D13811" t="s">
        <v>41812</v>
      </c>
      <c r="E13811" t="s">
        <v>41813</v>
      </c>
      <c r="F13811" t="s">
        <v>41814</v>
      </c>
      <c r="I13811" t="s">
        <v>29</v>
      </c>
      <c r="J13811" t="s">
        <v>30</v>
      </c>
      <c r="K13811" t="s">
        <v>31</v>
      </c>
      <c r="M13811" t="s">
        <v>18470</v>
      </c>
      <c r="N13811" t="str">
        <f>"4/28/2020 12:50:00 PM"</f>
        <v>4/28/2020 12:50:00 PM</v>
      </c>
      <c r="O13811" t="s">
        <v>41812</v>
      </c>
      <c r="T13811" t="s">
        <v>41813</v>
      </c>
    </row>
    <row r="13812" spans="1:20" x14ac:dyDescent="0.25">
      <c r="A13812" t="str">
        <f>"3057499"</f>
        <v>3057499</v>
      </c>
      <c r="B13812" t="s">
        <v>41816</v>
      </c>
      <c r="C13812" t="str">
        <f>"8305839"</f>
        <v>8305839</v>
      </c>
      <c r="D13812" t="s">
        <v>41817</v>
      </c>
      <c r="E13812" t="s">
        <v>41818</v>
      </c>
      <c r="F13812" t="s">
        <v>41819</v>
      </c>
      <c r="I13812" t="s">
        <v>29</v>
      </c>
      <c r="J13812" t="s">
        <v>30</v>
      </c>
      <c r="K13812" t="str">
        <f>"27028"</f>
        <v>27028</v>
      </c>
      <c r="M13812" t="s">
        <v>18470</v>
      </c>
      <c r="N13812" t="str">
        <f>"4/28/2020 12:55:00 PM"</f>
        <v>4/28/2020 12:55:00 PM</v>
      </c>
      <c r="O13812" t="s">
        <v>41817</v>
      </c>
      <c r="T13812" t="s">
        <v>41818</v>
      </c>
    </row>
    <row r="13813" spans="1:20" x14ac:dyDescent="0.25">
      <c r="A13813" t="str">
        <f>"3060293"</f>
        <v>3060293</v>
      </c>
      <c r="B13813" t="s">
        <v>41820</v>
      </c>
      <c r="C13813" t="str">
        <f>"8305839"</f>
        <v>8305839</v>
      </c>
      <c r="D13813" t="s">
        <v>41817</v>
      </c>
      <c r="E13813" t="s">
        <v>41818</v>
      </c>
      <c r="F13813" t="s">
        <v>41819</v>
      </c>
      <c r="I13813" t="s">
        <v>29</v>
      </c>
      <c r="J13813" t="s">
        <v>30</v>
      </c>
      <c r="K13813" t="str">
        <f>"27028"</f>
        <v>27028</v>
      </c>
      <c r="M13813" t="s">
        <v>18470</v>
      </c>
      <c r="N13813" t="str">
        <f>"4/28/2020 12:55:00 PM"</f>
        <v>4/28/2020 12:55:00 PM</v>
      </c>
      <c r="O13813" t="s">
        <v>41817</v>
      </c>
      <c r="T13813" t="s">
        <v>41818</v>
      </c>
    </row>
    <row r="13814" spans="1:20" x14ac:dyDescent="0.25">
      <c r="A13814" t="str">
        <f>"3050650"</f>
        <v>3050650</v>
      </c>
      <c r="B13814" t="s">
        <v>41821</v>
      </c>
      <c r="C13814" t="str">
        <f>"82525831"</f>
        <v>82525831</v>
      </c>
      <c r="D13814" t="s">
        <v>41822</v>
      </c>
      <c r="F13814" t="s">
        <v>41823</v>
      </c>
      <c r="I13814" t="s">
        <v>184</v>
      </c>
      <c r="J13814" t="s">
        <v>30</v>
      </c>
      <c r="K13814" t="s">
        <v>185</v>
      </c>
      <c r="M13814" t="s">
        <v>25733</v>
      </c>
      <c r="N13814" t="str">
        <f>"4/28/2020 1:18:00 PM"</f>
        <v>4/28/2020 1:18:00 PM</v>
      </c>
      <c r="O13814" t="s">
        <v>41822</v>
      </c>
    </row>
    <row r="13815" spans="1:20" x14ac:dyDescent="0.25">
      <c r="A13815" t="str">
        <f>"3047754"</f>
        <v>3047754</v>
      </c>
      <c r="B13815" t="s">
        <v>41824</v>
      </c>
      <c r="C13815" t="str">
        <f>"82525831"</f>
        <v>82525831</v>
      </c>
      <c r="D13815" t="s">
        <v>41822</v>
      </c>
      <c r="F13815" t="s">
        <v>41823</v>
      </c>
      <c r="I13815" t="s">
        <v>184</v>
      </c>
      <c r="J13815" t="s">
        <v>30</v>
      </c>
      <c r="K13815" t="s">
        <v>185</v>
      </c>
      <c r="M13815" t="s">
        <v>25733</v>
      </c>
      <c r="N13815" t="str">
        <f>"4/28/2020 1:18:00 PM"</f>
        <v>4/28/2020 1:18:00 PM</v>
      </c>
      <c r="O13815" t="s">
        <v>41822</v>
      </c>
    </row>
    <row r="13816" spans="1:20" x14ac:dyDescent="0.25">
      <c r="A13816" t="str">
        <f>"3047707"</f>
        <v>3047707</v>
      </c>
      <c r="B13816" t="s">
        <v>41825</v>
      </c>
      <c r="C13816" t="str">
        <f>"8313450"</f>
        <v>8313450</v>
      </c>
      <c r="D13816" t="s">
        <v>41826</v>
      </c>
      <c r="E13816" t="s">
        <v>41827</v>
      </c>
      <c r="F13816" t="s">
        <v>41828</v>
      </c>
      <c r="I13816" t="s">
        <v>184</v>
      </c>
      <c r="J13816" t="s">
        <v>30</v>
      </c>
      <c r="K13816" t="s">
        <v>36927</v>
      </c>
      <c r="M13816" t="s">
        <v>17861</v>
      </c>
      <c r="N13816" t="str">
        <f>"4/28/2020 3:56:00 PM"</f>
        <v>4/28/2020 3:56:00 PM</v>
      </c>
      <c r="O13816" t="s">
        <v>41826</v>
      </c>
      <c r="T13816" t="s">
        <v>41827</v>
      </c>
    </row>
    <row r="13817" spans="1:20" x14ac:dyDescent="0.25">
      <c r="A13817" t="str">
        <f>"3062808"</f>
        <v>3062808</v>
      </c>
      <c r="B13817" t="s">
        <v>41829</v>
      </c>
      <c r="C13817" t="str">
        <f>"8313451"</f>
        <v>8313451</v>
      </c>
      <c r="D13817" t="s">
        <v>41830</v>
      </c>
      <c r="E13817" t="s">
        <v>41831</v>
      </c>
      <c r="F13817" t="s">
        <v>41832</v>
      </c>
      <c r="I13817" t="s">
        <v>29</v>
      </c>
      <c r="J13817" t="s">
        <v>30</v>
      </c>
      <c r="K13817" t="str">
        <f>"27028"</f>
        <v>27028</v>
      </c>
      <c r="M13817" t="s">
        <v>17861</v>
      </c>
      <c r="N13817" t="str">
        <f>"4/28/2020 3:59:00 PM"</f>
        <v>4/28/2020 3:59:00 PM</v>
      </c>
      <c r="O13817" t="s">
        <v>41830</v>
      </c>
      <c r="T13817" t="s">
        <v>41831</v>
      </c>
    </row>
    <row r="13818" spans="1:20" x14ac:dyDescent="0.25">
      <c r="A13818" t="str">
        <f>"3076570"</f>
        <v>3076570</v>
      </c>
      <c r="B13818" t="s">
        <v>41833</v>
      </c>
      <c r="C13818" t="str">
        <f>"8308477"</f>
        <v>8308477</v>
      </c>
      <c r="D13818" t="s">
        <v>41834</v>
      </c>
      <c r="F13818" t="s">
        <v>41835</v>
      </c>
      <c r="I13818" t="s">
        <v>41836</v>
      </c>
      <c r="J13818" t="s">
        <v>2109</v>
      </c>
      <c r="K13818" t="str">
        <f>"20110"</f>
        <v>20110</v>
      </c>
      <c r="M13818" t="s">
        <v>22270</v>
      </c>
      <c r="N13818" t="str">
        <f>"4/29/2020 9:43:00 AM"</f>
        <v>4/29/2020 9:43:00 AM</v>
      </c>
      <c r="O13818" t="s">
        <v>41834</v>
      </c>
    </row>
    <row r="13819" spans="1:20" x14ac:dyDescent="0.25">
      <c r="A13819" t="str">
        <f>"3043571"</f>
        <v>3043571</v>
      </c>
      <c r="B13819" t="s">
        <v>41837</v>
      </c>
      <c r="C13819" t="str">
        <f>"8313389"</f>
        <v>8313389</v>
      </c>
      <c r="D13819" t="s">
        <v>41838</v>
      </c>
      <c r="E13819" t="s">
        <v>41839</v>
      </c>
      <c r="F13819" t="s">
        <v>41840</v>
      </c>
      <c r="I13819" t="s">
        <v>29</v>
      </c>
      <c r="J13819" t="s">
        <v>30</v>
      </c>
      <c r="K13819" t="s">
        <v>39787</v>
      </c>
      <c r="M13819" t="s">
        <v>17861</v>
      </c>
      <c r="N13819" t="str">
        <f>"4/17/2020 9:05:00 AM"</f>
        <v>4/17/2020 9:05:00 AM</v>
      </c>
      <c r="O13819" t="s">
        <v>41838</v>
      </c>
      <c r="T13819" t="s">
        <v>41839</v>
      </c>
    </row>
    <row r="13820" spans="1:20" x14ac:dyDescent="0.25">
      <c r="A13820" t="str">
        <f>"3041643"</f>
        <v>3041643</v>
      </c>
      <c r="B13820" t="s">
        <v>41841</v>
      </c>
      <c r="C13820" t="str">
        <f>"8313461"</f>
        <v>8313461</v>
      </c>
      <c r="D13820" t="s">
        <v>1629</v>
      </c>
      <c r="E13820" t="s">
        <v>41842</v>
      </c>
      <c r="F13820" t="s">
        <v>41843</v>
      </c>
      <c r="I13820" t="s">
        <v>2071</v>
      </c>
      <c r="J13820" t="s">
        <v>30</v>
      </c>
      <c r="K13820" t="s">
        <v>3597</v>
      </c>
      <c r="M13820" t="s">
        <v>17861</v>
      </c>
      <c r="N13820" t="str">
        <f>"5/4/2020 10:08:00 AM"</f>
        <v>5/4/2020 10:08:00 AM</v>
      </c>
      <c r="O13820" t="s">
        <v>1629</v>
      </c>
      <c r="T13820" t="s">
        <v>41842</v>
      </c>
    </row>
    <row r="13821" spans="1:20" x14ac:dyDescent="0.25">
      <c r="A13821" t="str">
        <f>"3038169"</f>
        <v>3038169</v>
      </c>
      <c r="B13821" t="s">
        <v>41844</v>
      </c>
      <c r="C13821" t="str">
        <f>"8313399"</f>
        <v>8313399</v>
      </c>
      <c r="D13821" t="s">
        <v>41845</v>
      </c>
      <c r="F13821" t="s">
        <v>40953</v>
      </c>
      <c r="I13821" t="s">
        <v>29</v>
      </c>
      <c r="J13821" t="s">
        <v>30</v>
      </c>
      <c r="K13821" t="s">
        <v>40954</v>
      </c>
      <c r="M13821" t="s">
        <v>17861</v>
      </c>
      <c r="N13821" t="str">
        <f>"4/17/2020 3:31:00 PM"</f>
        <v>4/17/2020 3:31:00 PM</v>
      </c>
      <c r="O13821" t="s">
        <v>41845</v>
      </c>
    </row>
    <row r="13822" spans="1:20" x14ac:dyDescent="0.25">
      <c r="A13822" t="str">
        <f>"3038488"</f>
        <v>3038488</v>
      </c>
      <c r="B13822" t="s">
        <v>41846</v>
      </c>
      <c r="C13822" t="str">
        <f>"8313399"</f>
        <v>8313399</v>
      </c>
      <c r="D13822" t="s">
        <v>41845</v>
      </c>
      <c r="F13822" t="s">
        <v>40953</v>
      </c>
      <c r="I13822" t="s">
        <v>29</v>
      </c>
      <c r="J13822" t="s">
        <v>30</v>
      </c>
      <c r="K13822" t="s">
        <v>40954</v>
      </c>
      <c r="M13822" t="s">
        <v>17861</v>
      </c>
      <c r="N13822" t="str">
        <f>"4/17/2020 3:31:00 PM"</f>
        <v>4/17/2020 3:31:00 PM</v>
      </c>
      <c r="O13822" t="s">
        <v>41845</v>
      </c>
    </row>
    <row r="13823" spans="1:20" x14ac:dyDescent="0.25">
      <c r="A13823" t="str">
        <f>"3051806"</f>
        <v>3051806</v>
      </c>
      <c r="B13823" t="s">
        <v>41847</v>
      </c>
      <c r="C13823" t="str">
        <f>"65315000"</f>
        <v>65315000</v>
      </c>
      <c r="D13823" t="s">
        <v>41848</v>
      </c>
      <c r="F13823" t="s">
        <v>41849</v>
      </c>
      <c r="I13823" t="s">
        <v>29</v>
      </c>
      <c r="J13823" t="s">
        <v>30</v>
      </c>
      <c r="K13823" t="s">
        <v>31</v>
      </c>
      <c r="M13823" t="s">
        <v>25733</v>
      </c>
      <c r="N13823" t="str">
        <f>"4/24/2020 2:35:00 PM"</f>
        <v>4/24/2020 2:35:00 PM</v>
      </c>
      <c r="O13823" t="s">
        <v>41848</v>
      </c>
    </row>
    <row r="13824" spans="1:20" x14ac:dyDescent="0.25">
      <c r="A13824" t="str">
        <f>"3061623"</f>
        <v>3061623</v>
      </c>
      <c r="B13824" t="s">
        <v>41850</v>
      </c>
      <c r="C13824" t="str">
        <f>"8313412"</f>
        <v>8313412</v>
      </c>
      <c r="D13824" t="s">
        <v>41851</v>
      </c>
      <c r="E13824" t="s">
        <v>41852</v>
      </c>
      <c r="F13824" t="s">
        <v>41853</v>
      </c>
      <c r="I13824" t="s">
        <v>29</v>
      </c>
      <c r="J13824" t="s">
        <v>30</v>
      </c>
      <c r="K13824" t="s">
        <v>41854</v>
      </c>
      <c r="M13824" t="s">
        <v>17861</v>
      </c>
      <c r="N13824" t="str">
        <f>"4/27/2020 1:06:00 PM"</f>
        <v>4/27/2020 1:06:00 PM</v>
      </c>
      <c r="O13824" t="s">
        <v>41851</v>
      </c>
      <c r="T13824" t="s">
        <v>41852</v>
      </c>
    </row>
    <row r="13825" spans="1:20" x14ac:dyDescent="0.25">
      <c r="A13825" t="str">
        <f>"3061275"</f>
        <v>3061275</v>
      </c>
      <c r="B13825" t="s">
        <v>41855</v>
      </c>
      <c r="C13825" t="str">
        <f>"8313466"</f>
        <v>8313466</v>
      </c>
      <c r="D13825" t="s">
        <v>41856</v>
      </c>
      <c r="E13825" t="s">
        <v>41857</v>
      </c>
      <c r="F13825" t="s">
        <v>41858</v>
      </c>
      <c r="I13825" t="s">
        <v>2071</v>
      </c>
      <c r="J13825" t="s">
        <v>30</v>
      </c>
      <c r="K13825" t="s">
        <v>36586</v>
      </c>
      <c r="M13825" t="s">
        <v>17861</v>
      </c>
      <c r="N13825" t="str">
        <f>"5/4/2020 11:09:00 AM"</f>
        <v>5/4/2020 11:09:00 AM</v>
      </c>
      <c r="O13825" t="s">
        <v>41856</v>
      </c>
      <c r="T13825" t="s">
        <v>41857</v>
      </c>
    </row>
    <row r="13826" spans="1:20" x14ac:dyDescent="0.25">
      <c r="A13826" t="str">
        <f>"3062408"</f>
        <v>3062408</v>
      </c>
      <c r="B13826" t="s">
        <v>41859</v>
      </c>
      <c r="C13826" t="str">
        <f>"8313468"</f>
        <v>8313468</v>
      </c>
      <c r="D13826" t="s">
        <v>41860</v>
      </c>
      <c r="E13826" t="s">
        <v>41861</v>
      </c>
      <c r="F13826" t="s">
        <v>41862</v>
      </c>
      <c r="I13826" t="s">
        <v>29</v>
      </c>
      <c r="J13826" t="s">
        <v>30</v>
      </c>
      <c r="K13826" t="s">
        <v>14046</v>
      </c>
      <c r="M13826" t="s">
        <v>17861</v>
      </c>
      <c r="N13826" t="str">
        <f>"5/4/2020 11:28:00 AM"</f>
        <v>5/4/2020 11:28:00 AM</v>
      </c>
      <c r="O13826" t="s">
        <v>41860</v>
      </c>
      <c r="T13826" t="s">
        <v>41861</v>
      </c>
    </row>
    <row r="13827" spans="1:20" x14ac:dyDescent="0.25">
      <c r="A13827" t="str">
        <f>"3060517"</f>
        <v>3060517</v>
      </c>
      <c r="B13827" t="s">
        <v>41863</v>
      </c>
      <c r="C13827" t="str">
        <f>"8313469"</f>
        <v>8313469</v>
      </c>
      <c r="D13827" t="s">
        <v>41864</v>
      </c>
      <c r="E13827" t="s">
        <v>41865</v>
      </c>
      <c r="F13827" t="s">
        <v>41866</v>
      </c>
      <c r="I13827" t="s">
        <v>184</v>
      </c>
      <c r="J13827" t="s">
        <v>30</v>
      </c>
      <c r="K13827" t="s">
        <v>33287</v>
      </c>
      <c r="M13827" t="s">
        <v>17861</v>
      </c>
      <c r="N13827" t="str">
        <f>"5/4/2020 1:01:00 PM"</f>
        <v>5/4/2020 1:01:00 PM</v>
      </c>
      <c r="O13827" t="s">
        <v>41864</v>
      </c>
      <c r="T13827" t="s">
        <v>41865</v>
      </c>
    </row>
    <row r="13828" spans="1:20" x14ac:dyDescent="0.25">
      <c r="A13828" t="str">
        <f>"3060802"</f>
        <v>3060802</v>
      </c>
      <c r="B13828" t="s">
        <v>41867</v>
      </c>
      <c r="C13828" t="str">
        <f>"8313470"</f>
        <v>8313470</v>
      </c>
      <c r="D13828" t="s">
        <v>41868</v>
      </c>
      <c r="E13828" t="s">
        <v>41869</v>
      </c>
      <c r="F13828" t="s">
        <v>41870</v>
      </c>
      <c r="I13828" t="s">
        <v>184</v>
      </c>
      <c r="J13828" t="s">
        <v>30</v>
      </c>
      <c r="K13828" t="s">
        <v>35414</v>
      </c>
      <c r="M13828" t="s">
        <v>17861</v>
      </c>
      <c r="N13828" t="str">
        <f>"5/4/2020 1:08:00 PM"</f>
        <v>5/4/2020 1:08:00 PM</v>
      </c>
      <c r="O13828" t="s">
        <v>41868</v>
      </c>
      <c r="T13828" t="s">
        <v>41869</v>
      </c>
    </row>
    <row r="13829" spans="1:20" x14ac:dyDescent="0.25">
      <c r="A13829" t="str">
        <f>"3046416"</f>
        <v>3046416</v>
      </c>
      <c r="B13829" t="s">
        <v>41871</v>
      </c>
      <c r="C13829" t="str">
        <f>"8313471"</f>
        <v>8313471</v>
      </c>
      <c r="D13829" t="s">
        <v>41872</v>
      </c>
      <c r="F13829" t="s">
        <v>41873</v>
      </c>
      <c r="I13829" t="s">
        <v>29</v>
      </c>
      <c r="J13829" t="s">
        <v>30</v>
      </c>
      <c r="K13829" t="s">
        <v>41874</v>
      </c>
      <c r="M13829" t="s">
        <v>17861</v>
      </c>
      <c r="N13829" t="str">
        <f>"5/4/2020 1:17:00 PM"</f>
        <v>5/4/2020 1:17:00 PM</v>
      </c>
      <c r="O13829" t="s">
        <v>41872</v>
      </c>
    </row>
    <row r="13830" spans="1:20" x14ac:dyDescent="0.25">
      <c r="A13830" t="str">
        <f>"3057595"</f>
        <v>3057595</v>
      </c>
      <c r="B13830" t="s">
        <v>41875</v>
      </c>
      <c r="C13830" t="str">
        <f>"8313476"</f>
        <v>8313476</v>
      </c>
      <c r="D13830" t="s">
        <v>41876</v>
      </c>
      <c r="F13830" t="s">
        <v>41877</v>
      </c>
      <c r="I13830" t="s">
        <v>29</v>
      </c>
      <c r="J13830" t="s">
        <v>30</v>
      </c>
      <c r="K13830" t="s">
        <v>9396</v>
      </c>
      <c r="M13830" t="s">
        <v>17861</v>
      </c>
      <c r="N13830" t="str">
        <f>"5/5/2020 10:25:00 AM"</f>
        <v>5/5/2020 10:25:00 AM</v>
      </c>
      <c r="O13830" t="s">
        <v>41876</v>
      </c>
    </row>
    <row r="13831" spans="1:20" x14ac:dyDescent="0.25">
      <c r="A13831" t="str">
        <f>"3042328"</f>
        <v>3042328</v>
      </c>
      <c r="B13831" t="s">
        <v>41878</v>
      </c>
      <c r="C13831" t="str">
        <f>"8313414"</f>
        <v>8313414</v>
      </c>
      <c r="D13831" t="s">
        <v>41879</v>
      </c>
      <c r="E13831" t="s">
        <v>41880</v>
      </c>
      <c r="F13831" t="s">
        <v>41881</v>
      </c>
      <c r="I13831" t="s">
        <v>184</v>
      </c>
      <c r="J13831" t="s">
        <v>30</v>
      </c>
      <c r="K13831" t="s">
        <v>3433</v>
      </c>
      <c r="M13831" t="s">
        <v>17861</v>
      </c>
      <c r="N13831" t="str">
        <f>"4/27/2020 1:17:00 PM"</f>
        <v>4/27/2020 1:17:00 PM</v>
      </c>
      <c r="O13831" t="s">
        <v>41879</v>
      </c>
      <c r="T13831" t="s">
        <v>41880</v>
      </c>
    </row>
    <row r="13832" spans="1:20" x14ac:dyDescent="0.25">
      <c r="A13832" t="str">
        <f>"3058722"</f>
        <v>3058722</v>
      </c>
      <c r="B13832" t="s">
        <v>41882</v>
      </c>
      <c r="C13832" t="str">
        <f>"8313488"</f>
        <v>8313488</v>
      </c>
      <c r="D13832" t="s">
        <v>41883</v>
      </c>
      <c r="E13832" t="s">
        <v>41884</v>
      </c>
      <c r="F13832" t="s">
        <v>41885</v>
      </c>
      <c r="I13832" t="s">
        <v>29</v>
      </c>
      <c r="J13832" t="s">
        <v>30</v>
      </c>
      <c r="K13832" t="s">
        <v>40174</v>
      </c>
      <c r="M13832" t="s">
        <v>17861</v>
      </c>
      <c r="N13832" t="str">
        <f>"5/7/2020 3:11:00 PM"</f>
        <v>5/7/2020 3:11:00 PM</v>
      </c>
      <c r="O13832" t="s">
        <v>41883</v>
      </c>
      <c r="T13832" t="s">
        <v>41884</v>
      </c>
    </row>
    <row r="13833" spans="1:20" x14ac:dyDescent="0.25">
      <c r="A13833" t="str">
        <f>"3058510"</f>
        <v>3058510</v>
      </c>
      <c r="B13833" t="s">
        <v>41886</v>
      </c>
      <c r="C13833" t="str">
        <f>"8313489"</f>
        <v>8313489</v>
      </c>
      <c r="D13833" t="s">
        <v>41887</v>
      </c>
      <c r="E13833" t="s">
        <v>41888</v>
      </c>
      <c r="F13833" t="s">
        <v>41889</v>
      </c>
      <c r="I13833" t="s">
        <v>29</v>
      </c>
      <c r="J13833" t="s">
        <v>30</v>
      </c>
      <c r="K13833" t="s">
        <v>26003</v>
      </c>
      <c r="M13833" t="s">
        <v>17861</v>
      </c>
      <c r="N13833" t="str">
        <f>"5/7/2020 3:20:00 PM"</f>
        <v>5/7/2020 3:20:00 PM</v>
      </c>
      <c r="O13833" t="s">
        <v>41887</v>
      </c>
      <c r="T13833" t="s">
        <v>41888</v>
      </c>
    </row>
    <row r="13834" spans="1:20" x14ac:dyDescent="0.25">
      <c r="A13834" t="str">
        <f>"3060635"</f>
        <v>3060635</v>
      </c>
      <c r="B13834" t="s">
        <v>41890</v>
      </c>
      <c r="C13834" t="str">
        <f>"8313415"</f>
        <v>8313415</v>
      </c>
      <c r="D13834" t="s">
        <v>41891</v>
      </c>
      <c r="F13834" t="s">
        <v>41892</v>
      </c>
      <c r="I13834" t="s">
        <v>2071</v>
      </c>
      <c r="J13834" t="s">
        <v>30</v>
      </c>
      <c r="K13834" t="s">
        <v>6427</v>
      </c>
      <c r="M13834" t="s">
        <v>17861</v>
      </c>
      <c r="N13834" t="str">
        <f>"4/27/2020 1:24:00 PM"</f>
        <v>4/27/2020 1:24:00 PM</v>
      </c>
      <c r="O13834" t="s">
        <v>41891</v>
      </c>
    </row>
    <row r="13835" spans="1:20" x14ac:dyDescent="0.25">
      <c r="A13835" t="str">
        <f>"3053437"</f>
        <v>3053437</v>
      </c>
      <c r="B13835" t="s">
        <v>41893</v>
      </c>
      <c r="C13835" t="str">
        <f>"8313417"</f>
        <v>8313417</v>
      </c>
      <c r="D13835" t="s">
        <v>41894</v>
      </c>
      <c r="E13835" t="s">
        <v>41895</v>
      </c>
      <c r="F13835" t="s">
        <v>41896</v>
      </c>
      <c r="I13835" t="s">
        <v>29</v>
      </c>
      <c r="J13835" t="s">
        <v>30</v>
      </c>
      <c r="K13835" t="s">
        <v>34654</v>
      </c>
      <c r="M13835" t="s">
        <v>17861</v>
      </c>
      <c r="N13835" t="str">
        <f>"4/27/2020 1:35:00 PM"</f>
        <v>4/27/2020 1:35:00 PM</v>
      </c>
      <c r="O13835" t="s">
        <v>41894</v>
      </c>
      <c r="T13835" t="s">
        <v>41895</v>
      </c>
    </row>
    <row r="13836" spans="1:20" x14ac:dyDescent="0.25">
      <c r="A13836" t="str">
        <f>"3045266"</f>
        <v>3045266</v>
      </c>
      <c r="B13836" t="s">
        <v>41897</v>
      </c>
      <c r="C13836" t="str">
        <f>"8313418"</f>
        <v>8313418</v>
      </c>
      <c r="D13836" t="s">
        <v>41898</v>
      </c>
      <c r="F13836" t="s">
        <v>41899</v>
      </c>
      <c r="I13836" t="s">
        <v>29</v>
      </c>
      <c r="J13836" t="s">
        <v>30</v>
      </c>
      <c r="K13836" t="s">
        <v>41900</v>
      </c>
      <c r="M13836" t="s">
        <v>17861</v>
      </c>
      <c r="N13836" t="str">
        <f>"4/27/2020 1:48:00 PM"</f>
        <v>4/27/2020 1:48:00 PM</v>
      </c>
      <c r="O13836" t="s">
        <v>41898</v>
      </c>
    </row>
    <row r="13837" spans="1:20" x14ac:dyDescent="0.25">
      <c r="A13837" t="str">
        <f>"3040618"</f>
        <v>3040618</v>
      </c>
      <c r="B13837" t="s">
        <v>41901</v>
      </c>
      <c r="C13837" t="str">
        <f>"8306339"</f>
        <v>8306339</v>
      </c>
      <c r="D13837" t="s">
        <v>41902</v>
      </c>
      <c r="E13837" t="s">
        <v>41903</v>
      </c>
      <c r="F13837" t="s">
        <v>41904</v>
      </c>
      <c r="I13837" t="s">
        <v>184</v>
      </c>
      <c r="J13837" t="s">
        <v>30</v>
      </c>
      <c r="K13837" t="s">
        <v>41905</v>
      </c>
      <c r="M13837" t="s">
        <v>17861</v>
      </c>
      <c r="N13837" t="str">
        <f>"4/27/2020 2:02:00 PM"</f>
        <v>4/27/2020 2:02:00 PM</v>
      </c>
      <c r="O13837" t="s">
        <v>41902</v>
      </c>
      <c r="T13837" t="s">
        <v>41903</v>
      </c>
    </row>
    <row r="13838" spans="1:20" x14ac:dyDescent="0.25">
      <c r="A13838" t="str">
        <f>"3039756"</f>
        <v>3039756</v>
      </c>
      <c r="B13838" t="s">
        <v>41906</v>
      </c>
      <c r="C13838" t="str">
        <f>"8313422"</f>
        <v>8313422</v>
      </c>
      <c r="D13838" t="s">
        <v>41907</v>
      </c>
      <c r="E13838" t="s">
        <v>41908</v>
      </c>
      <c r="F13838" t="s">
        <v>41909</v>
      </c>
      <c r="I13838" t="s">
        <v>29</v>
      </c>
      <c r="J13838" t="s">
        <v>30</v>
      </c>
      <c r="K13838" t="s">
        <v>3215</v>
      </c>
      <c r="M13838" t="s">
        <v>17861</v>
      </c>
      <c r="N13838" t="str">
        <f>"4/27/2020 2:21:00 PM"</f>
        <v>4/27/2020 2:21:00 PM</v>
      </c>
      <c r="O13838" t="s">
        <v>41907</v>
      </c>
      <c r="T13838" t="s">
        <v>41908</v>
      </c>
    </row>
    <row r="13839" spans="1:20" x14ac:dyDescent="0.25">
      <c r="A13839" t="str">
        <f>"3075582"</f>
        <v>3075582</v>
      </c>
      <c r="B13839" t="s">
        <v>41910</v>
      </c>
      <c r="C13839" t="str">
        <f>"8313502"</f>
        <v>8313502</v>
      </c>
      <c r="D13839" t="s">
        <v>41911</v>
      </c>
      <c r="E13839" t="s">
        <v>41912</v>
      </c>
      <c r="F13839" t="s">
        <v>41913</v>
      </c>
      <c r="I13839" t="s">
        <v>184</v>
      </c>
      <c r="J13839" t="s">
        <v>30</v>
      </c>
      <c r="K13839" t="s">
        <v>36453</v>
      </c>
      <c r="M13839" t="s">
        <v>17861</v>
      </c>
      <c r="N13839" t="str">
        <f>"5/8/2020 12:03:00 PM"</f>
        <v>5/8/2020 12:03:00 PM</v>
      </c>
      <c r="O13839" t="s">
        <v>41911</v>
      </c>
      <c r="T13839" t="s">
        <v>41912</v>
      </c>
    </row>
    <row r="13840" spans="1:20" x14ac:dyDescent="0.25">
      <c r="A13840" t="str">
        <f>"3039105"</f>
        <v>3039105</v>
      </c>
      <c r="B13840" t="s">
        <v>41914</v>
      </c>
      <c r="C13840" t="str">
        <f>"82521364"</f>
        <v>82521364</v>
      </c>
      <c r="D13840" t="s">
        <v>41915</v>
      </c>
      <c r="F13840" t="s">
        <v>41916</v>
      </c>
      <c r="I13840" t="s">
        <v>29</v>
      </c>
      <c r="J13840" t="s">
        <v>30</v>
      </c>
      <c r="K13840" t="s">
        <v>31</v>
      </c>
      <c r="M13840" t="s">
        <v>25733</v>
      </c>
      <c r="N13840" t="str">
        <f>"4/27/2020 2:24:00 PM"</f>
        <v>4/27/2020 2:24:00 PM</v>
      </c>
      <c r="O13840" t="s">
        <v>41915</v>
      </c>
    </row>
    <row r="13841" spans="1:20" x14ac:dyDescent="0.25">
      <c r="A13841" t="str">
        <f>"3037610"</f>
        <v>3037610</v>
      </c>
      <c r="B13841" t="s">
        <v>41917</v>
      </c>
      <c r="C13841" t="str">
        <f>"82532149"</f>
        <v>82532149</v>
      </c>
      <c r="D13841" t="s">
        <v>41918</v>
      </c>
      <c r="E13841" t="s">
        <v>41919</v>
      </c>
      <c r="F13841" t="s">
        <v>41920</v>
      </c>
      <c r="I13841" t="s">
        <v>29</v>
      </c>
      <c r="J13841" t="s">
        <v>30</v>
      </c>
      <c r="K13841" t="s">
        <v>31</v>
      </c>
      <c r="M13841" t="s">
        <v>18470</v>
      </c>
      <c r="N13841" t="str">
        <f>"4/14/2020 10:44:00 AM"</f>
        <v>4/14/2020 10:44:00 AM</v>
      </c>
      <c r="O13841" t="s">
        <v>41918</v>
      </c>
      <c r="T13841" t="s">
        <v>41919</v>
      </c>
    </row>
    <row r="13842" spans="1:20" x14ac:dyDescent="0.25">
      <c r="A13842" t="str">
        <f>"3038606"</f>
        <v>3038606</v>
      </c>
      <c r="B13842" t="s">
        <v>41921</v>
      </c>
      <c r="C13842" t="str">
        <f>"82520694"</f>
        <v>82520694</v>
      </c>
      <c r="D13842" t="s">
        <v>41922</v>
      </c>
      <c r="F13842" t="s">
        <v>41923</v>
      </c>
      <c r="I13842" t="s">
        <v>29</v>
      </c>
      <c r="J13842" t="s">
        <v>30</v>
      </c>
      <c r="K13842" t="s">
        <v>31</v>
      </c>
      <c r="M13842" t="s">
        <v>33845</v>
      </c>
      <c r="N13842" t="str">
        <f>"4/14/2020 3:29:00 PM"</f>
        <v>4/14/2020 3:29:00 PM</v>
      </c>
      <c r="O13842" t="s">
        <v>41922</v>
      </c>
    </row>
    <row r="13843" spans="1:20" x14ac:dyDescent="0.25">
      <c r="A13843" t="str">
        <f>"3038581"</f>
        <v>3038581</v>
      </c>
      <c r="B13843" t="s">
        <v>41924</v>
      </c>
      <c r="C13843" t="str">
        <f>"8313443"</f>
        <v>8313443</v>
      </c>
      <c r="D13843" t="s">
        <v>41925</v>
      </c>
      <c r="E13843" t="s">
        <v>41926</v>
      </c>
      <c r="F13843" t="s">
        <v>41927</v>
      </c>
      <c r="I13843" t="s">
        <v>29</v>
      </c>
      <c r="J13843" t="s">
        <v>30</v>
      </c>
      <c r="K13843" t="s">
        <v>35461</v>
      </c>
      <c r="M13843" t="s">
        <v>17861</v>
      </c>
      <c r="N13843" t="str">
        <f>"4/27/2020 3:52:00 PM"</f>
        <v>4/27/2020 3:52:00 PM</v>
      </c>
      <c r="O13843" t="s">
        <v>41925</v>
      </c>
      <c r="T13843" t="s">
        <v>41926</v>
      </c>
    </row>
    <row r="13844" spans="1:20" x14ac:dyDescent="0.25">
      <c r="A13844" t="str">
        <f>"3046231"</f>
        <v>3046231</v>
      </c>
      <c r="B13844" t="s">
        <v>41928</v>
      </c>
      <c r="C13844" t="str">
        <f>"8313445"</f>
        <v>8313445</v>
      </c>
      <c r="D13844" t="s">
        <v>41929</v>
      </c>
      <c r="F13844" t="s">
        <v>41930</v>
      </c>
      <c r="I13844" t="s">
        <v>29</v>
      </c>
      <c r="J13844" t="s">
        <v>30</v>
      </c>
      <c r="K13844" t="s">
        <v>10213</v>
      </c>
      <c r="M13844" t="s">
        <v>17861</v>
      </c>
      <c r="N13844" t="str">
        <f>"4/28/2020 9:32:00 AM"</f>
        <v>4/28/2020 9:32:00 AM</v>
      </c>
      <c r="O13844" t="s">
        <v>41929</v>
      </c>
    </row>
    <row r="13845" spans="1:20" x14ac:dyDescent="0.25">
      <c r="A13845" t="str">
        <f>"3043253"</f>
        <v>3043253</v>
      </c>
      <c r="B13845" t="s">
        <v>41931</v>
      </c>
      <c r="C13845" t="str">
        <f>"8313460"</f>
        <v>8313460</v>
      </c>
      <c r="D13845" t="s">
        <v>41932</v>
      </c>
      <c r="E13845" t="s">
        <v>41933</v>
      </c>
      <c r="F13845" t="s">
        <v>41934</v>
      </c>
      <c r="I13845" t="s">
        <v>29</v>
      </c>
      <c r="J13845" t="s">
        <v>30</v>
      </c>
      <c r="K13845" t="s">
        <v>41935</v>
      </c>
      <c r="M13845" t="s">
        <v>17861</v>
      </c>
      <c r="N13845" t="str">
        <f>"5/4/2020 9:47:00 AM"</f>
        <v>5/4/2020 9:47:00 AM</v>
      </c>
      <c r="O13845" t="s">
        <v>41932</v>
      </c>
      <c r="T13845" t="s">
        <v>41933</v>
      </c>
    </row>
    <row r="13846" spans="1:20" x14ac:dyDescent="0.25">
      <c r="A13846" t="str">
        <f>"3039747"</f>
        <v>3039747</v>
      </c>
      <c r="B13846" t="s">
        <v>41936</v>
      </c>
      <c r="C13846" t="str">
        <f>"8306252"</f>
        <v>8306252</v>
      </c>
      <c r="D13846" t="s">
        <v>41937</v>
      </c>
      <c r="F13846" t="s">
        <v>41938</v>
      </c>
      <c r="I13846" t="s">
        <v>184</v>
      </c>
      <c r="J13846" t="s">
        <v>30</v>
      </c>
      <c r="K13846" t="str">
        <f>"27006"</f>
        <v>27006</v>
      </c>
      <c r="M13846" t="s">
        <v>33845</v>
      </c>
      <c r="N13846" t="str">
        <f>"5/4/2020 10:18:00 AM"</f>
        <v>5/4/2020 10:18:00 AM</v>
      </c>
      <c r="O13846" t="s">
        <v>41937</v>
      </c>
    </row>
    <row r="13847" spans="1:20" x14ac:dyDescent="0.25">
      <c r="A13847" t="str">
        <f>"3037990"</f>
        <v>3037990</v>
      </c>
      <c r="B13847" t="s">
        <v>41939</v>
      </c>
      <c r="C13847" t="str">
        <f>"8313463"</f>
        <v>8313463</v>
      </c>
      <c r="D13847" t="s">
        <v>41925</v>
      </c>
      <c r="E13847" t="s">
        <v>41940</v>
      </c>
      <c r="F13847" t="s">
        <v>41927</v>
      </c>
      <c r="I13847" t="s">
        <v>29</v>
      </c>
      <c r="J13847" t="s">
        <v>30</v>
      </c>
      <c r="K13847" t="s">
        <v>35461</v>
      </c>
      <c r="M13847" t="s">
        <v>17861</v>
      </c>
      <c r="N13847" t="str">
        <f>"5/4/2020 10:34:00 AM"</f>
        <v>5/4/2020 10:34:00 AM</v>
      </c>
      <c r="O13847" t="s">
        <v>41925</v>
      </c>
      <c r="T13847" t="s">
        <v>41940</v>
      </c>
    </row>
    <row r="13848" spans="1:20" x14ac:dyDescent="0.25">
      <c r="A13848" t="str">
        <f>"3055155"</f>
        <v>3055155</v>
      </c>
      <c r="B13848" t="s">
        <v>41941</v>
      </c>
      <c r="C13848" t="str">
        <f>"43708000"</f>
        <v>43708000</v>
      </c>
      <c r="D13848" t="s">
        <v>41942</v>
      </c>
      <c r="F13848" t="s">
        <v>41943</v>
      </c>
      <c r="I13848" t="s">
        <v>29</v>
      </c>
      <c r="J13848" t="s">
        <v>30</v>
      </c>
      <c r="K13848" t="s">
        <v>13701</v>
      </c>
      <c r="M13848" t="s">
        <v>33845</v>
      </c>
      <c r="N13848" t="str">
        <f>"5/12/2020 9:17:00 AM"</f>
        <v>5/12/2020 9:17:00 AM</v>
      </c>
      <c r="O13848" t="s">
        <v>41942</v>
      </c>
    </row>
    <row r="13849" spans="1:20" x14ac:dyDescent="0.25">
      <c r="A13849" t="str">
        <f>"3050840"</f>
        <v>3050840</v>
      </c>
      <c r="B13849" t="s">
        <v>41944</v>
      </c>
      <c r="C13849" t="str">
        <f>"8313464"</f>
        <v>8313464</v>
      </c>
      <c r="D13849" t="s">
        <v>41945</v>
      </c>
      <c r="F13849" t="s">
        <v>41946</v>
      </c>
      <c r="I13849" t="s">
        <v>184</v>
      </c>
      <c r="J13849" t="s">
        <v>30</v>
      </c>
      <c r="K13849" t="s">
        <v>20384</v>
      </c>
      <c r="M13849" t="s">
        <v>17861</v>
      </c>
      <c r="N13849" t="str">
        <f>"5/4/2020 10:42:00 AM"</f>
        <v>5/4/2020 10:42:00 AM</v>
      </c>
      <c r="O13849" t="s">
        <v>41945</v>
      </c>
    </row>
    <row r="13850" spans="1:20" x14ac:dyDescent="0.25">
      <c r="A13850" t="str">
        <f>"3043794"</f>
        <v>3043794</v>
      </c>
      <c r="B13850" t="s">
        <v>41947</v>
      </c>
      <c r="C13850" t="str">
        <f>"8313517"</f>
        <v>8313517</v>
      </c>
      <c r="D13850" t="s">
        <v>41948</v>
      </c>
      <c r="E13850" t="s">
        <v>41949</v>
      </c>
      <c r="F13850" t="s">
        <v>41950</v>
      </c>
      <c r="I13850" t="s">
        <v>29</v>
      </c>
      <c r="J13850" t="s">
        <v>30</v>
      </c>
      <c r="K13850" t="s">
        <v>36671</v>
      </c>
      <c r="M13850" t="s">
        <v>17861</v>
      </c>
      <c r="N13850" t="str">
        <f>"5/12/2020 2:00:00 PM"</f>
        <v>5/12/2020 2:00:00 PM</v>
      </c>
      <c r="O13850" t="s">
        <v>41948</v>
      </c>
      <c r="T13850" t="s">
        <v>41949</v>
      </c>
    </row>
    <row r="13851" spans="1:20" x14ac:dyDescent="0.25">
      <c r="A13851" t="str">
        <f>"3050742"</f>
        <v>3050742</v>
      </c>
      <c r="B13851" t="s">
        <v>41951</v>
      </c>
      <c r="C13851" t="str">
        <f>"8313518"</f>
        <v>8313518</v>
      </c>
      <c r="D13851" t="s">
        <v>41952</v>
      </c>
      <c r="E13851" t="s">
        <v>41953</v>
      </c>
      <c r="F13851" t="s">
        <v>41954</v>
      </c>
      <c r="I13851" t="s">
        <v>184</v>
      </c>
      <c r="J13851" t="s">
        <v>30</v>
      </c>
      <c r="K13851" t="s">
        <v>10530</v>
      </c>
      <c r="M13851" t="s">
        <v>17861</v>
      </c>
      <c r="N13851" t="str">
        <f>"5/12/2020 2:04:00 PM"</f>
        <v>5/12/2020 2:04:00 PM</v>
      </c>
      <c r="O13851" t="s">
        <v>41952</v>
      </c>
      <c r="T13851" t="s">
        <v>41953</v>
      </c>
    </row>
    <row r="13852" spans="1:20" x14ac:dyDescent="0.25">
      <c r="A13852" t="str">
        <f>"3050528"</f>
        <v>3050528</v>
      </c>
      <c r="B13852" t="s">
        <v>41955</v>
      </c>
      <c r="C13852" t="str">
        <f>"8313465"</f>
        <v>8313465</v>
      </c>
      <c r="D13852" t="s">
        <v>41956</v>
      </c>
      <c r="E13852" t="s">
        <v>41957</v>
      </c>
      <c r="F13852" t="s">
        <v>41958</v>
      </c>
      <c r="I13852" t="s">
        <v>29</v>
      </c>
      <c r="J13852" t="s">
        <v>30</v>
      </c>
      <c r="K13852" t="s">
        <v>12392</v>
      </c>
      <c r="M13852" t="s">
        <v>17861</v>
      </c>
      <c r="N13852" t="str">
        <f>"5/4/2020 11:03:00 AM"</f>
        <v>5/4/2020 11:03:00 AM</v>
      </c>
      <c r="O13852" t="s">
        <v>41956</v>
      </c>
      <c r="T13852" t="s">
        <v>41957</v>
      </c>
    </row>
    <row r="13853" spans="1:20" x14ac:dyDescent="0.25">
      <c r="A13853" t="str">
        <f>"3052021"</f>
        <v>3052021</v>
      </c>
      <c r="B13853" t="s">
        <v>41959</v>
      </c>
      <c r="C13853" t="str">
        <f>"8313482"</f>
        <v>8313482</v>
      </c>
      <c r="D13853" t="s">
        <v>41960</v>
      </c>
      <c r="F13853" t="s">
        <v>41961</v>
      </c>
      <c r="I13853" t="s">
        <v>29</v>
      </c>
      <c r="J13853" t="s">
        <v>30</v>
      </c>
      <c r="K13853" t="s">
        <v>41962</v>
      </c>
      <c r="M13853" t="s">
        <v>17861</v>
      </c>
      <c r="N13853" t="str">
        <f>"5/7/2020 11:23:00 AM"</f>
        <v>5/7/2020 11:23:00 AM</v>
      </c>
      <c r="O13853" t="s">
        <v>41960</v>
      </c>
    </row>
    <row r="13854" spans="1:20" x14ac:dyDescent="0.25">
      <c r="A13854" t="str">
        <f>"3046331"</f>
        <v>3046331</v>
      </c>
      <c r="B13854" t="s">
        <v>41963</v>
      </c>
      <c r="C13854" t="str">
        <f>"8313533"</f>
        <v>8313533</v>
      </c>
      <c r="D13854" t="s">
        <v>41964</v>
      </c>
      <c r="F13854" t="s">
        <v>41965</v>
      </c>
      <c r="I13854" t="s">
        <v>29</v>
      </c>
      <c r="J13854" t="s">
        <v>30</v>
      </c>
      <c r="K13854" t="s">
        <v>41966</v>
      </c>
      <c r="M13854" t="s">
        <v>17861</v>
      </c>
      <c r="N13854" t="str">
        <f>"5/15/2020 2:38:00 PM"</f>
        <v>5/15/2020 2:38:00 PM</v>
      </c>
      <c r="O13854" t="s">
        <v>41964</v>
      </c>
    </row>
    <row r="13855" spans="1:20" x14ac:dyDescent="0.25">
      <c r="A13855" t="str">
        <f>"3046169"</f>
        <v>3046169</v>
      </c>
      <c r="B13855" t="s">
        <v>41967</v>
      </c>
      <c r="C13855" t="str">
        <f>"8313534"</f>
        <v>8313534</v>
      </c>
      <c r="D13855" t="s">
        <v>41968</v>
      </c>
      <c r="F13855" t="s">
        <v>41969</v>
      </c>
      <c r="I13855" t="s">
        <v>29</v>
      </c>
      <c r="J13855" t="s">
        <v>30</v>
      </c>
      <c r="K13855" t="s">
        <v>41970</v>
      </c>
      <c r="M13855" t="s">
        <v>17861</v>
      </c>
      <c r="N13855" t="str">
        <f>"5/15/2020 2:44:00 PM"</f>
        <v>5/15/2020 2:44:00 PM</v>
      </c>
      <c r="O13855" t="s">
        <v>41968</v>
      </c>
    </row>
    <row r="13856" spans="1:20" x14ac:dyDescent="0.25">
      <c r="A13856" t="str">
        <f>"3045855"</f>
        <v>3045855</v>
      </c>
      <c r="B13856" t="s">
        <v>41971</v>
      </c>
      <c r="C13856" t="str">
        <f>"8313534"</f>
        <v>8313534</v>
      </c>
      <c r="D13856" t="s">
        <v>41968</v>
      </c>
      <c r="F13856" t="s">
        <v>41969</v>
      </c>
      <c r="I13856" t="s">
        <v>29</v>
      </c>
      <c r="J13856" t="s">
        <v>30</v>
      </c>
      <c r="K13856" t="s">
        <v>41970</v>
      </c>
      <c r="M13856" t="s">
        <v>17861</v>
      </c>
      <c r="N13856" t="str">
        <f>"5/15/2020 2:44:00 PM"</f>
        <v>5/15/2020 2:44:00 PM</v>
      </c>
      <c r="O13856" t="s">
        <v>41968</v>
      </c>
    </row>
    <row r="13857" spans="1:20" x14ac:dyDescent="0.25">
      <c r="A13857" t="str">
        <f>"3045861"</f>
        <v>3045861</v>
      </c>
      <c r="B13857" t="s">
        <v>41972</v>
      </c>
      <c r="C13857" t="str">
        <f>"8313534"</f>
        <v>8313534</v>
      </c>
      <c r="D13857" t="s">
        <v>41968</v>
      </c>
      <c r="F13857" t="s">
        <v>41969</v>
      </c>
      <c r="I13857" t="s">
        <v>29</v>
      </c>
      <c r="J13857" t="s">
        <v>30</v>
      </c>
      <c r="K13857" t="s">
        <v>41970</v>
      </c>
      <c r="M13857" t="s">
        <v>17861</v>
      </c>
      <c r="N13857" t="str">
        <f>"5/15/2020 2:44:00 PM"</f>
        <v>5/15/2020 2:44:00 PM</v>
      </c>
      <c r="O13857" t="s">
        <v>41968</v>
      </c>
    </row>
    <row r="13858" spans="1:20" x14ac:dyDescent="0.25">
      <c r="A13858" t="str">
        <f>"3061340"</f>
        <v>3061340</v>
      </c>
      <c r="B13858" t="s">
        <v>41973</v>
      </c>
      <c r="C13858" t="str">
        <f>"8313536"</f>
        <v>8313536</v>
      </c>
      <c r="D13858" t="s">
        <v>41974</v>
      </c>
      <c r="E13858" t="s">
        <v>41975</v>
      </c>
      <c r="F13858" t="s">
        <v>41976</v>
      </c>
      <c r="I13858" t="s">
        <v>184</v>
      </c>
      <c r="J13858" t="s">
        <v>30</v>
      </c>
      <c r="K13858" t="s">
        <v>5214</v>
      </c>
      <c r="M13858" t="s">
        <v>17861</v>
      </c>
      <c r="N13858" t="str">
        <f>"5/15/2020 3:01:00 PM"</f>
        <v>5/15/2020 3:01:00 PM</v>
      </c>
      <c r="O13858" t="s">
        <v>41974</v>
      </c>
      <c r="T13858" t="s">
        <v>41975</v>
      </c>
    </row>
    <row r="13859" spans="1:20" x14ac:dyDescent="0.25">
      <c r="A13859" t="str">
        <f>"3058037"</f>
        <v>3058037</v>
      </c>
      <c r="B13859" t="s">
        <v>41977</v>
      </c>
      <c r="C13859" t="str">
        <f>"8313494"</f>
        <v>8313494</v>
      </c>
      <c r="D13859" t="s">
        <v>41978</v>
      </c>
      <c r="F13859" t="s">
        <v>41979</v>
      </c>
      <c r="I13859" t="s">
        <v>184</v>
      </c>
      <c r="J13859" t="s">
        <v>30</v>
      </c>
      <c r="K13859" t="s">
        <v>39885</v>
      </c>
      <c r="M13859" t="s">
        <v>17861</v>
      </c>
      <c r="N13859" t="str">
        <f>"5/7/2020 4:06:00 PM"</f>
        <v>5/7/2020 4:06:00 PM</v>
      </c>
      <c r="O13859" t="s">
        <v>41978</v>
      </c>
    </row>
    <row r="13860" spans="1:20" x14ac:dyDescent="0.25">
      <c r="A13860" t="str">
        <f>"3055354"</f>
        <v>3055354</v>
      </c>
      <c r="B13860" t="s">
        <v>41980</v>
      </c>
      <c r="C13860" t="str">
        <f>"8313495"</f>
        <v>8313495</v>
      </c>
      <c r="D13860" t="s">
        <v>41981</v>
      </c>
      <c r="F13860" t="s">
        <v>41982</v>
      </c>
      <c r="I13860" t="s">
        <v>29</v>
      </c>
      <c r="J13860" t="s">
        <v>30</v>
      </c>
      <c r="K13860" t="s">
        <v>14912</v>
      </c>
      <c r="M13860" t="s">
        <v>17861</v>
      </c>
      <c r="N13860" t="str">
        <f>"5/7/2020 4:17:00 PM"</f>
        <v>5/7/2020 4:17:00 PM</v>
      </c>
      <c r="O13860" t="s">
        <v>41981</v>
      </c>
    </row>
    <row r="13861" spans="1:20" x14ac:dyDescent="0.25">
      <c r="A13861" t="str">
        <f>"3060207"</f>
        <v>3060207</v>
      </c>
      <c r="B13861" t="s">
        <v>41983</v>
      </c>
      <c r="C13861" t="str">
        <f>"8313499"</f>
        <v>8313499</v>
      </c>
      <c r="D13861" t="s">
        <v>41984</v>
      </c>
      <c r="E13861" t="s">
        <v>41985</v>
      </c>
      <c r="F13861" t="s">
        <v>41986</v>
      </c>
      <c r="I13861" t="s">
        <v>184</v>
      </c>
      <c r="J13861" t="s">
        <v>30</v>
      </c>
      <c r="K13861" t="s">
        <v>41987</v>
      </c>
      <c r="M13861" t="s">
        <v>17861</v>
      </c>
      <c r="N13861" t="str">
        <f>"5/8/2020 9:34:00 AM"</f>
        <v>5/8/2020 9:34:00 AM</v>
      </c>
      <c r="O13861" t="s">
        <v>41984</v>
      </c>
      <c r="T13861" t="s">
        <v>41985</v>
      </c>
    </row>
    <row r="13862" spans="1:20" x14ac:dyDescent="0.25">
      <c r="A13862" t="str">
        <f>"3060214"</f>
        <v>3060214</v>
      </c>
      <c r="B13862" t="s">
        <v>41988</v>
      </c>
      <c r="C13862" t="str">
        <f>"8313499"</f>
        <v>8313499</v>
      </c>
      <c r="D13862" t="s">
        <v>41984</v>
      </c>
      <c r="E13862" t="s">
        <v>41985</v>
      </c>
      <c r="F13862" t="s">
        <v>41986</v>
      </c>
      <c r="I13862" t="s">
        <v>184</v>
      </c>
      <c r="J13862" t="s">
        <v>30</v>
      </c>
      <c r="K13862" t="s">
        <v>41987</v>
      </c>
      <c r="M13862" t="s">
        <v>17861</v>
      </c>
      <c r="N13862" t="str">
        <f>"5/8/2020 9:34:00 AM"</f>
        <v>5/8/2020 9:34:00 AM</v>
      </c>
      <c r="O13862" t="s">
        <v>41984</v>
      </c>
      <c r="T13862" t="s">
        <v>41985</v>
      </c>
    </row>
    <row r="13863" spans="1:20" x14ac:dyDescent="0.25">
      <c r="A13863" t="str">
        <f>"3060211"</f>
        <v>3060211</v>
      </c>
      <c r="B13863" t="s">
        <v>41989</v>
      </c>
      <c r="C13863" t="str">
        <f>"8313499"</f>
        <v>8313499</v>
      </c>
      <c r="D13863" t="s">
        <v>41984</v>
      </c>
      <c r="E13863" t="s">
        <v>41985</v>
      </c>
      <c r="F13863" t="s">
        <v>41986</v>
      </c>
      <c r="I13863" t="s">
        <v>184</v>
      </c>
      <c r="J13863" t="s">
        <v>30</v>
      </c>
      <c r="K13863" t="s">
        <v>41987</v>
      </c>
      <c r="M13863" t="s">
        <v>17861</v>
      </c>
      <c r="N13863" t="str">
        <f>"5/8/2020 9:34:00 AM"</f>
        <v>5/8/2020 9:34:00 AM</v>
      </c>
      <c r="O13863" t="s">
        <v>41984</v>
      </c>
      <c r="T13863" t="s">
        <v>41985</v>
      </c>
    </row>
    <row r="13864" spans="1:20" x14ac:dyDescent="0.25">
      <c r="A13864" t="str">
        <f>"3054460"</f>
        <v>3054460</v>
      </c>
      <c r="B13864" t="s">
        <v>41990</v>
      </c>
      <c r="C13864" t="str">
        <f>"82521620"</f>
        <v>82521620</v>
      </c>
      <c r="D13864" t="s">
        <v>41991</v>
      </c>
      <c r="E13864" t="s">
        <v>41992</v>
      </c>
      <c r="F13864" t="s">
        <v>41993</v>
      </c>
      <c r="I13864" t="s">
        <v>29</v>
      </c>
      <c r="J13864" t="s">
        <v>30</v>
      </c>
      <c r="K13864" t="s">
        <v>41994</v>
      </c>
      <c r="M13864" t="s">
        <v>25733</v>
      </c>
      <c r="N13864" t="str">
        <f>"4/27/2020 2:25:00 PM"</f>
        <v>4/27/2020 2:25:00 PM</v>
      </c>
      <c r="O13864" t="s">
        <v>41991</v>
      </c>
      <c r="T13864" t="s">
        <v>41992</v>
      </c>
    </row>
    <row r="13865" spans="1:20" x14ac:dyDescent="0.25">
      <c r="A13865" t="str">
        <f>"3041323"</f>
        <v>3041323</v>
      </c>
      <c r="B13865" t="s">
        <v>41995</v>
      </c>
      <c r="C13865" t="str">
        <f>"8313424"</f>
        <v>8313424</v>
      </c>
      <c r="D13865" t="s">
        <v>41996</v>
      </c>
      <c r="F13865" t="s">
        <v>41997</v>
      </c>
      <c r="I13865" t="s">
        <v>2071</v>
      </c>
      <c r="J13865" t="s">
        <v>30</v>
      </c>
      <c r="K13865" t="s">
        <v>2076</v>
      </c>
      <c r="M13865" t="s">
        <v>17861</v>
      </c>
      <c r="N13865" t="str">
        <f>"4/27/2020 2:27:00 PM"</f>
        <v>4/27/2020 2:27:00 PM</v>
      </c>
      <c r="O13865" t="s">
        <v>41996</v>
      </c>
    </row>
    <row r="13866" spans="1:20" x14ac:dyDescent="0.25">
      <c r="A13866" t="str">
        <f>"3056078"</f>
        <v>3056078</v>
      </c>
      <c r="B13866" t="s">
        <v>41998</v>
      </c>
      <c r="C13866" t="str">
        <f>"8313426"</f>
        <v>8313426</v>
      </c>
      <c r="D13866" t="s">
        <v>41999</v>
      </c>
      <c r="F13866" t="s">
        <v>42000</v>
      </c>
      <c r="I13866" t="s">
        <v>9580</v>
      </c>
      <c r="J13866" t="s">
        <v>30</v>
      </c>
      <c r="K13866" t="s">
        <v>42001</v>
      </c>
      <c r="M13866" t="s">
        <v>17861</v>
      </c>
      <c r="N13866" t="str">
        <f>"4/27/2020 2:30:00 PM"</f>
        <v>4/27/2020 2:30:00 PM</v>
      </c>
      <c r="O13866" t="s">
        <v>41999</v>
      </c>
    </row>
    <row r="13867" spans="1:20" x14ac:dyDescent="0.25">
      <c r="A13867" t="str">
        <f>"3060304"</f>
        <v>3060304</v>
      </c>
      <c r="B13867" t="s">
        <v>42002</v>
      </c>
      <c r="C13867" t="str">
        <f>"8313428"</f>
        <v>8313428</v>
      </c>
      <c r="D13867" t="s">
        <v>42003</v>
      </c>
      <c r="F13867" t="s">
        <v>42004</v>
      </c>
      <c r="I13867" t="s">
        <v>29</v>
      </c>
      <c r="J13867" t="s">
        <v>30</v>
      </c>
      <c r="K13867" t="s">
        <v>42005</v>
      </c>
      <c r="M13867" t="s">
        <v>17861</v>
      </c>
      <c r="N13867" t="str">
        <f>"4/27/2020 2:35:00 PM"</f>
        <v>4/27/2020 2:35:00 PM</v>
      </c>
      <c r="O13867" t="s">
        <v>42003</v>
      </c>
    </row>
    <row r="13868" spans="1:20" x14ac:dyDescent="0.25">
      <c r="A13868" t="str">
        <f>"3061135"</f>
        <v>3061135</v>
      </c>
      <c r="B13868" t="s">
        <v>42006</v>
      </c>
      <c r="C13868" t="str">
        <f>"8313429"</f>
        <v>8313429</v>
      </c>
      <c r="D13868" t="s">
        <v>42007</v>
      </c>
      <c r="F13868" t="s">
        <v>42008</v>
      </c>
      <c r="I13868" t="s">
        <v>2071</v>
      </c>
      <c r="J13868" t="s">
        <v>30</v>
      </c>
      <c r="K13868" t="s">
        <v>35124</v>
      </c>
      <c r="M13868" t="s">
        <v>17861</v>
      </c>
      <c r="N13868" t="str">
        <f>"4/27/2020 2:47:00 PM"</f>
        <v>4/27/2020 2:47:00 PM</v>
      </c>
      <c r="O13868" t="s">
        <v>42007</v>
      </c>
    </row>
    <row r="13869" spans="1:20" x14ac:dyDescent="0.25">
      <c r="A13869" t="str">
        <f>"3051993"</f>
        <v>3051993</v>
      </c>
      <c r="B13869" t="s">
        <v>42009</v>
      </c>
      <c r="C13869" t="str">
        <f>"8313431"</f>
        <v>8313431</v>
      </c>
      <c r="D13869" t="s">
        <v>42010</v>
      </c>
      <c r="F13869" t="s">
        <v>42011</v>
      </c>
      <c r="I13869" t="s">
        <v>29</v>
      </c>
      <c r="J13869" t="s">
        <v>30</v>
      </c>
      <c r="K13869" t="s">
        <v>19284</v>
      </c>
      <c r="M13869" t="s">
        <v>17861</v>
      </c>
      <c r="N13869" t="str">
        <f>"4/27/2020 2:51:00 PM"</f>
        <v>4/27/2020 2:51:00 PM</v>
      </c>
      <c r="O13869" t="s">
        <v>42010</v>
      </c>
    </row>
    <row r="13870" spans="1:20" x14ac:dyDescent="0.25">
      <c r="A13870" t="str">
        <f>"3053088"</f>
        <v>3053088</v>
      </c>
      <c r="B13870" t="s">
        <v>42012</v>
      </c>
      <c r="C13870" t="str">
        <f>"8313432"</f>
        <v>8313432</v>
      </c>
      <c r="D13870" t="s">
        <v>42013</v>
      </c>
      <c r="E13870" t="s">
        <v>42014</v>
      </c>
      <c r="F13870" t="s">
        <v>42015</v>
      </c>
      <c r="I13870" t="s">
        <v>29</v>
      </c>
      <c r="J13870" t="s">
        <v>30</v>
      </c>
      <c r="K13870" t="s">
        <v>42016</v>
      </c>
      <c r="M13870" t="s">
        <v>17861</v>
      </c>
      <c r="N13870" t="str">
        <f>"4/27/2020 2:55:00 PM"</f>
        <v>4/27/2020 2:55:00 PM</v>
      </c>
      <c r="O13870" t="s">
        <v>42013</v>
      </c>
      <c r="T13870" t="s">
        <v>42014</v>
      </c>
    </row>
    <row r="13871" spans="1:20" x14ac:dyDescent="0.25">
      <c r="A13871" t="str">
        <f>"3053482"</f>
        <v>3053482</v>
      </c>
      <c r="B13871" t="s">
        <v>42017</v>
      </c>
      <c r="C13871" t="str">
        <f>"8313434"</f>
        <v>8313434</v>
      </c>
      <c r="D13871" t="s">
        <v>42018</v>
      </c>
      <c r="E13871" t="s">
        <v>42019</v>
      </c>
      <c r="F13871" t="s">
        <v>42020</v>
      </c>
      <c r="I13871" t="s">
        <v>29</v>
      </c>
      <c r="J13871" t="s">
        <v>30</v>
      </c>
      <c r="K13871" t="s">
        <v>13576</v>
      </c>
      <c r="M13871" t="s">
        <v>17861</v>
      </c>
      <c r="N13871" t="str">
        <f>"4/27/2020 3:04:00 PM"</f>
        <v>4/27/2020 3:04:00 PM</v>
      </c>
      <c r="O13871" t="s">
        <v>42018</v>
      </c>
      <c r="T13871" t="s">
        <v>42019</v>
      </c>
    </row>
    <row r="13872" spans="1:20" x14ac:dyDescent="0.25">
      <c r="A13872" t="str">
        <f>"3077108"</f>
        <v>3077108</v>
      </c>
      <c r="B13872" t="s">
        <v>42021</v>
      </c>
      <c r="C13872" t="str">
        <f>"8313508"</f>
        <v>8313508</v>
      </c>
      <c r="D13872" t="s">
        <v>42022</v>
      </c>
      <c r="F13872" t="s">
        <v>42023</v>
      </c>
      <c r="I13872" t="s">
        <v>42024</v>
      </c>
      <c r="J13872" t="s">
        <v>2109</v>
      </c>
      <c r="K13872" t="s">
        <v>42025</v>
      </c>
      <c r="M13872" t="s">
        <v>17861</v>
      </c>
      <c r="N13872" t="str">
        <f>"5/11/2020 4:05:00 PM"</f>
        <v>5/11/2020 4:05:00 PM</v>
      </c>
      <c r="O13872" t="s">
        <v>42022</v>
      </c>
    </row>
    <row r="13873" spans="1:20" x14ac:dyDescent="0.25">
      <c r="A13873" t="str">
        <f>"3061287"</f>
        <v>3061287</v>
      </c>
      <c r="B13873" t="s">
        <v>42026</v>
      </c>
      <c r="C13873" t="str">
        <f>"8313557"</f>
        <v>8313557</v>
      </c>
      <c r="D13873" t="s">
        <v>42027</v>
      </c>
      <c r="F13873" t="s">
        <v>42028</v>
      </c>
      <c r="I13873" t="s">
        <v>2071</v>
      </c>
      <c r="J13873" t="s">
        <v>30</v>
      </c>
      <c r="K13873" t="s">
        <v>36586</v>
      </c>
      <c r="M13873" t="s">
        <v>17861</v>
      </c>
      <c r="N13873" t="str">
        <f>"5/21/2020 4:05:00 PM"</f>
        <v>5/21/2020 4:05:00 PM</v>
      </c>
      <c r="O13873" t="s">
        <v>42027</v>
      </c>
    </row>
    <row r="13874" spans="1:20" x14ac:dyDescent="0.25">
      <c r="A13874" t="str">
        <f>"3051059"</f>
        <v>3051059</v>
      </c>
      <c r="B13874" t="s">
        <v>42029</v>
      </c>
      <c r="C13874" t="str">
        <f>"8313509"</f>
        <v>8313509</v>
      </c>
      <c r="D13874" t="s">
        <v>42030</v>
      </c>
      <c r="E13874" t="s">
        <v>42031</v>
      </c>
      <c r="F13874" t="s">
        <v>42032</v>
      </c>
      <c r="I13874" t="s">
        <v>29</v>
      </c>
      <c r="J13874" t="s">
        <v>30</v>
      </c>
      <c r="K13874" t="s">
        <v>42033</v>
      </c>
      <c r="M13874" t="s">
        <v>17861</v>
      </c>
      <c r="N13874" t="str">
        <f>"5/11/2020 4:10:00 PM"</f>
        <v>5/11/2020 4:10:00 PM</v>
      </c>
      <c r="O13874" t="s">
        <v>42030</v>
      </c>
      <c r="T13874" t="s">
        <v>42031</v>
      </c>
    </row>
    <row r="13875" spans="1:20" x14ac:dyDescent="0.25">
      <c r="A13875" t="str">
        <f>"3049871"</f>
        <v>3049871</v>
      </c>
      <c r="B13875" t="s">
        <v>42034</v>
      </c>
      <c r="C13875" t="str">
        <f>"8313510"</f>
        <v>8313510</v>
      </c>
      <c r="D13875" t="s">
        <v>42035</v>
      </c>
      <c r="E13875" t="s">
        <v>42036</v>
      </c>
      <c r="F13875" t="s">
        <v>42037</v>
      </c>
      <c r="I13875" t="s">
        <v>29</v>
      </c>
      <c r="J13875" t="s">
        <v>30</v>
      </c>
      <c r="K13875" t="s">
        <v>42038</v>
      </c>
      <c r="M13875" t="s">
        <v>17861</v>
      </c>
      <c r="N13875" t="str">
        <f>"5/11/2020 4:29:00 PM"</f>
        <v>5/11/2020 4:29:00 PM</v>
      </c>
      <c r="O13875" t="s">
        <v>42035</v>
      </c>
      <c r="T13875" t="s">
        <v>42036</v>
      </c>
    </row>
    <row r="13876" spans="1:20" x14ac:dyDescent="0.25">
      <c r="A13876" t="str">
        <f>"3040577"</f>
        <v>3040577</v>
      </c>
      <c r="B13876" t="s">
        <v>42039</v>
      </c>
      <c r="C13876" t="str">
        <f>"8313513"</f>
        <v>8313513</v>
      </c>
      <c r="D13876" t="s">
        <v>42040</v>
      </c>
      <c r="E13876" t="s">
        <v>42041</v>
      </c>
      <c r="F13876" t="s">
        <v>42042</v>
      </c>
      <c r="I13876" t="s">
        <v>184</v>
      </c>
      <c r="J13876" t="s">
        <v>30</v>
      </c>
      <c r="K13876" t="s">
        <v>41734</v>
      </c>
      <c r="M13876" t="s">
        <v>17861</v>
      </c>
      <c r="N13876" t="str">
        <f>"5/12/2020 9:17:00 AM"</f>
        <v>5/12/2020 9:17:00 AM</v>
      </c>
      <c r="O13876" t="s">
        <v>42040</v>
      </c>
      <c r="T13876" t="s">
        <v>42041</v>
      </c>
    </row>
    <row r="13877" spans="1:20" x14ac:dyDescent="0.25">
      <c r="A13877" t="str">
        <f>"3050519"</f>
        <v>3050519</v>
      </c>
      <c r="B13877" t="s">
        <v>42043</v>
      </c>
      <c r="C13877" t="str">
        <f>"8313516"</f>
        <v>8313516</v>
      </c>
      <c r="D13877" t="s">
        <v>42044</v>
      </c>
      <c r="F13877" t="s">
        <v>42045</v>
      </c>
      <c r="I13877" t="s">
        <v>29</v>
      </c>
      <c r="J13877" t="s">
        <v>30</v>
      </c>
      <c r="K13877" t="s">
        <v>30328</v>
      </c>
      <c r="M13877" t="s">
        <v>17861</v>
      </c>
      <c r="N13877" t="str">
        <f>"5/12/2020 1:41:00 PM"</f>
        <v>5/12/2020 1:41:00 PM</v>
      </c>
      <c r="O13877" t="s">
        <v>42044</v>
      </c>
    </row>
    <row r="13878" spans="1:20" x14ac:dyDescent="0.25">
      <c r="A13878" t="str">
        <f>"3053057"</f>
        <v>3053057</v>
      </c>
      <c r="B13878" t="s">
        <v>42046</v>
      </c>
      <c r="C13878" t="str">
        <f>"8313563"</f>
        <v>8313563</v>
      </c>
      <c r="D13878" t="s">
        <v>42047</v>
      </c>
      <c r="E13878" t="s">
        <v>42048</v>
      </c>
      <c r="F13878" t="s">
        <v>42049</v>
      </c>
      <c r="I13878" t="s">
        <v>17921</v>
      </c>
      <c r="J13878" t="s">
        <v>30</v>
      </c>
      <c r="K13878" t="str">
        <f>"27028"</f>
        <v>27028</v>
      </c>
      <c r="M13878" t="s">
        <v>17861</v>
      </c>
      <c r="N13878" t="str">
        <f>"5/26/2020 11:33:00 AM"</f>
        <v>5/26/2020 11:33:00 AM</v>
      </c>
      <c r="O13878" t="s">
        <v>42047</v>
      </c>
      <c r="T13878" t="s">
        <v>42048</v>
      </c>
    </row>
    <row r="13879" spans="1:20" x14ac:dyDescent="0.25">
      <c r="A13879" t="str">
        <f>"3053014"</f>
        <v>3053014</v>
      </c>
      <c r="B13879" t="s">
        <v>42050</v>
      </c>
      <c r="C13879" t="str">
        <f>"8313563"</f>
        <v>8313563</v>
      </c>
      <c r="D13879" t="s">
        <v>42047</v>
      </c>
      <c r="E13879" t="s">
        <v>42048</v>
      </c>
      <c r="F13879" t="s">
        <v>42049</v>
      </c>
      <c r="I13879" t="s">
        <v>17921</v>
      </c>
      <c r="J13879" t="s">
        <v>30</v>
      </c>
      <c r="K13879" t="str">
        <f>"27028"</f>
        <v>27028</v>
      </c>
      <c r="M13879" t="s">
        <v>17861</v>
      </c>
      <c r="N13879" t="str">
        <f>"5/26/2020 11:33:00 AM"</f>
        <v>5/26/2020 11:33:00 AM</v>
      </c>
      <c r="O13879" t="s">
        <v>42047</v>
      </c>
      <c r="T13879" t="s">
        <v>42048</v>
      </c>
    </row>
    <row r="13880" spans="1:20" x14ac:dyDescent="0.25">
      <c r="A13880" t="str">
        <f>"3045515"</f>
        <v>3045515</v>
      </c>
      <c r="B13880" t="s">
        <v>42051</v>
      </c>
      <c r="C13880" t="str">
        <f>"8313528"</f>
        <v>8313528</v>
      </c>
      <c r="D13880" t="s">
        <v>42052</v>
      </c>
      <c r="E13880" t="s">
        <v>42053</v>
      </c>
      <c r="F13880" t="s">
        <v>42054</v>
      </c>
      <c r="I13880" t="s">
        <v>29</v>
      </c>
      <c r="J13880" t="s">
        <v>30</v>
      </c>
      <c r="K13880" t="s">
        <v>36600</v>
      </c>
      <c r="M13880" t="s">
        <v>17861</v>
      </c>
      <c r="N13880" t="str">
        <f>"5/15/2020 2:12:00 PM"</f>
        <v>5/15/2020 2:12:00 PM</v>
      </c>
      <c r="O13880" t="s">
        <v>42052</v>
      </c>
      <c r="T13880" t="s">
        <v>42053</v>
      </c>
    </row>
    <row r="13881" spans="1:20" x14ac:dyDescent="0.25">
      <c r="A13881" t="str">
        <f>"3055577"</f>
        <v>3055577</v>
      </c>
      <c r="B13881" t="s">
        <v>42055</v>
      </c>
      <c r="C13881" t="str">
        <f>"23537500"</f>
        <v>23537500</v>
      </c>
      <c r="D13881" t="s">
        <v>42056</v>
      </c>
      <c r="E13881" t="s">
        <v>42057</v>
      </c>
      <c r="F13881" t="s">
        <v>42058</v>
      </c>
      <c r="I13881" t="s">
        <v>29</v>
      </c>
      <c r="J13881" t="s">
        <v>30</v>
      </c>
      <c r="K13881" t="s">
        <v>31</v>
      </c>
      <c r="M13881" t="s">
        <v>33845</v>
      </c>
      <c r="N13881" t="str">
        <f>"5/27/2020 10:47:00 AM"</f>
        <v>5/27/2020 10:47:00 AM</v>
      </c>
      <c r="O13881" t="s">
        <v>42056</v>
      </c>
      <c r="T13881" t="s">
        <v>42057</v>
      </c>
    </row>
    <row r="13882" spans="1:20" x14ac:dyDescent="0.25">
      <c r="A13882" t="str">
        <f>"3045783"</f>
        <v>3045783</v>
      </c>
      <c r="B13882" t="s">
        <v>42059</v>
      </c>
      <c r="C13882" t="str">
        <f>"8313532"</f>
        <v>8313532</v>
      </c>
      <c r="D13882" t="s">
        <v>42060</v>
      </c>
      <c r="E13882" t="s">
        <v>42061</v>
      </c>
      <c r="F13882" t="s">
        <v>42062</v>
      </c>
      <c r="I13882" t="s">
        <v>29</v>
      </c>
      <c r="J13882" t="s">
        <v>30</v>
      </c>
      <c r="K13882" t="s">
        <v>23550</v>
      </c>
      <c r="M13882" t="s">
        <v>17861</v>
      </c>
      <c r="N13882" t="str">
        <f>"5/15/2020 2:33:00 PM"</f>
        <v>5/15/2020 2:33:00 PM</v>
      </c>
      <c r="O13882" t="s">
        <v>42060</v>
      </c>
      <c r="T13882" t="s">
        <v>42061</v>
      </c>
    </row>
    <row r="13883" spans="1:20" x14ac:dyDescent="0.25">
      <c r="A13883" t="str">
        <f>"3053751"</f>
        <v>3053751</v>
      </c>
      <c r="B13883" t="s">
        <v>42063</v>
      </c>
      <c r="C13883" t="str">
        <f>"8313537"</f>
        <v>8313537</v>
      </c>
      <c r="D13883" t="s">
        <v>42064</v>
      </c>
      <c r="F13883" t="s">
        <v>42065</v>
      </c>
      <c r="I13883" t="s">
        <v>29</v>
      </c>
      <c r="J13883" t="s">
        <v>30</v>
      </c>
      <c r="K13883" t="s">
        <v>6729</v>
      </c>
      <c r="M13883" t="s">
        <v>17861</v>
      </c>
      <c r="N13883" t="str">
        <f>"5/15/2020 3:04:00 PM"</f>
        <v>5/15/2020 3:04:00 PM</v>
      </c>
      <c r="O13883" t="s">
        <v>42064</v>
      </c>
    </row>
    <row r="13884" spans="1:20" x14ac:dyDescent="0.25">
      <c r="A13884" t="str">
        <f>"3045052"</f>
        <v>3045052</v>
      </c>
      <c r="B13884" t="s">
        <v>42066</v>
      </c>
      <c r="C13884" t="str">
        <f>"8313540"</f>
        <v>8313540</v>
      </c>
      <c r="D13884" t="s">
        <v>42067</v>
      </c>
      <c r="E13884" t="s">
        <v>9486</v>
      </c>
      <c r="F13884" t="s">
        <v>42068</v>
      </c>
      <c r="I13884" t="s">
        <v>29</v>
      </c>
      <c r="J13884" t="s">
        <v>30</v>
      </c>
      <c r="K13884" t="s">
        <v>9489</v>
      </c>
      <c r="M13884" t="s">
        <v>17861</v>
      </c>
      <c r="N13884" t="str">
        <f>"5/15/2020 3:20:00 PM"</f>
        <v>5/15/2020 3:20:00 PM</v>
      </c>
      <c r="O13884" t="s">
        <v>42067</v>
      </c>
      <c r="T13884" t="s">
        <v>9486</v>
      </c>
    </row>
    <row r="13885" spans="1:20" x14ac:dyDescent="0.25">
      <c r="A13885" t="str">
        <f>"3060967"</f>
        <v>3060967</v>
      </c>
      <c r="B13885" t="s">
        <v>42069</v>
      </c>
      <c r="C13885" t="str">
        <f>"8313541"</f>
        <v>8313541</v>
      </c>
      <c r="D13885" t="s">
        <v>42070</v>
      </c>
      <c r="F13885" t="s">
        <v>42071</v>
      </c>
      <c r="I13885" t="s">
        <v>2071</v>
      </c>
      <c r="J13885" t="s">
        <v>30</v>
      </c>
      <c r="K13885" t="s">
        <v>37473</v>
      </c>
      <c r="M13885" t="s">
        <v>17861</v>
      </c>
      <c r="N13885" t="str">
        <f>"5/15/2020 3:24:00 PM"</f>
        <v>5/15/2020 3:24:00 PM</v>
      </c>
      <c r="O13885" t="s">
        <v>42070</v>
      </c>
    </row>
    <row r="13886" spans="1:20" x14ac:dyDescent="0.25">
      <c r="A13886" t="str">
        <f>"3062473"</f>
        <v>3062473</v>
      </c>
      <c r="B13886" t="s">
        <v>42072</v>
      </c>
      <c r="C13886" t="str">
        <f>"8313543"</f>
        <v>8313543</v>
      </c>
      <c r="D13886" t="s">
        <v>42073</v>
      </c>
      <c r="E13886" t="s">
        <v>42074</v>
      </c>
      <c r="F13886" t="s">
        <v>42075</v>
      </c>
      <c r="I13886" t="s">
        <v>184</v>
      </c>
      <c r="J13886" t="s">
        <v>30</v>
      </c>
      <c r="K13886" t="s">
        <v>35875</v>
      </c>
      <c r="M13886" t="s">
        <v>17861</v>
      </c>
      <c r="N13886" t="str">
        <f>"5/15/2020 3:34:00 PM"</f>
        <v>5/15/2020 3:34:00 PM</v>
      </c>
      <c r="O13886" t="s">
        <v>42073</v>
      </c>
      <c r="T13886" t="s">
        <v>42074</v>
      </c>
    </row>
    <row r="13887" spans="1:20" x14ac:dyDescent="0.25">
      <c r="A13887" t="str">
        <f>"3062496"</f>
        <v>3062496</v>
      </c>
      <c r="B13887" t="s">
        <v>42076</v>
      </c>
      <c r="C13887" t="str">
        <f>"8313578"</f>
        <v>8313578</v>
      </c>
      <c r="D13887" t="s">
        <v>42077</v>
      </c>
      <c r="F13887" t="s">
        <v>42078</v>
      </c>
      <c r="I13887" t="s">
        <v>184</v>
      </c>
      <c r="J13887" t="s">
        <v>30</v>
      </c>
      <c r="K13887" t="s">
        <v>40298</v>
      </c>
      <c r="M13887" t="s">
        <v>17861</v>
      </c>
      <c r="N13887" t="str">
        <f>"5/29/2020 2:16:00 PM"</f>
        <v>5/29/2020 2:16:00 PM</v>
      </c>
      <c r="O13887" t="s">
        <v>42077</v>
      </c>
    </row>
    <row r="13888" spans="1:20" x14ac:dyDescent="0.25">
      <c r="A13888" t="str">
        <f>"3042343"</f>
        <v>3042343</v>
      </c>
      <c r="B13888" t="s">
        <v>42079</v>
      </c>
      <c r="C13888" t="str">
        <f>"8313580"</f>
        <v>8313580</v>
      </c>
      <c r="D13888" t="s">
        <v>42080</v>
      </c>
      <c r="E13888" t="s">
        <v>42081</v>
      </c>
      <c r="F13888" t="s">
        <v>42082</v>
      </c>
      <c r="I13888" t="s">
        <v>184</v>
      </c>
      <c r="J13888" t="s">
        <v>30</v>
      </c>
      <c r="K13888" t="s">
        <v>42083</v>
      </c>
      <c r="M13888" t="s">
        <v>17861</v>
      </c>
      <c r="N13888" t="str">
        <f>"5/29/2020 2:43:00 PM"</f>
        <v>5/29/2020 2:43:00 PM</v>
      </c>
      <c r="O13888" t="s">
        <v>42080</v>
      </c>
      <c r="T13888" t="s">
        <v>42081</v>
      </c>
    </row>
    <row r="13889" spans="1:20" x14ac:dyDescent="0.25">
      <c r="A13889" t="str">
        <f>"3058869"</f>
        <v>3058869</v>
      </c>
      <c r="B13889" t="s">
        <v>42084</v>
      </c>
      <c r="C13889" t="str">
        <f>"8313582"</f>
        <v>8313582</v>
      </c>
      <c r="D13889" t="s">
        <v>42085</v>
      </c>
      <c r="E13889" t="s">
        <v>42086</v>
      </c>
      <c r="F13889" t="s">
        <v>42087</v>
      </c>
      <c r="I13889" t="s">
        <v>29</v>
      </c>
      <c r="J13889" t="s">
        <v>30</v>
      </c>
      <c r="K13889" t="str">
        <f>"27028"</f>
        <v>27028</v>
      </c>
      <c r="M13889" t="s">
        <v>17861</v>
      </c>
      <c r="N13889" t="str">
        <f>"6/1/2020 8:40:00 AM"</f>
        <v>6/1/2020 8:40:00 AM</v>
      </c>
      <c r="O13889" t="s">
        <v>42085</v>
      </c>
      <c r="T13889" t="s">
        <v>42086</v>
      </c>
    </row>
    <row r="13890" spans="1:20" x14ac:dyDescent="0.25">
      <c r="A13890" t="str">
        <f>"3060939"</f>
        <v>3060939</v>
      </c>
      <c r="B13890" t="s">
        <v>42088</v>
      </c>
      <c r="C13890" t="str">
        <f>"8313586"</f>
        <v>8313586</v>
      </c>
      <c r="D13890" t="s">
        <v>42089</v>
      </c>
      <c r="E13890" t="s">
        <v>42090</v>
      </c>
      <c r="F13890" t="s">
        <v>42091</v>
      </c>
      <c r="I13890" t="s">
        <v>2071</v>
      </c>
      <c r="J13890" t="s">
        <v>30</v>
      </c>
      <c r="K13890" t="s">
        <v>42092</v>
      </c>
      <c r="M13890" t="s">
        <v>17861</v>
      </c>
      <c r="N13890" t="str">
        <f>"6/1/2020 9:15:00 AM"</f>
        <v>6/1/2020 9:15:00 AM</v>
      </c>
      <c r="O13890" t="s">
        <v>42089</v>
      </c>
      <c r="T13890" t="s">
        <v>42090</v>
      </c>
    </row>
    <row r="13891" spans="1:20" x14ac:dyDescent="0.25">
      <c r="A13891" t="str">
        <f>"3054516"</f>
        <v>3054516</v>
      </c>
      <c r="B13891" t="s">
        <v>42093</v>
      </c>
      <c r="C13891" t="str">
        <f>"8313587"</f>
        <v>8313587</v>
      </c>
      <c r="D13891" t="s">
        <v>42094</v>
      </c>
      <c r="E13891" t="s">
        <v>42095</v>
      </c>
      <c r="F13891" t="s">
        <v>42096</v>
      </c>
      <c r="I13891" t="s">
        <v>17921</v>
      </c>
      <c r="J13891" t="s">
        <v>30</v>
      </c>
      <c r="K13891" t="str">
        <f>"27028"</f>
        <v>27028</v>
      </c>
      <c r="M13891" t="s">
        <v>17861</v>
      </c>
      <c r="N13891" t="str">
        <f>"6/1/2020 9:22:00 AM"</f>
        <v>6/1/2020 9:22:00 AM</v>
      </c>
      <c r="O13891" t="s">
        <v>42094</v>
      </c>
      <c r="T13891" t="s">
        <v>42095</v>
      </c>
    </row>
    <row r="13892" spans="1:20" x14ac:dyDescent="0.25">
      <c r="A13892" t="str">
        <f>"3061196"</f>
        <v>3061196</v>
      </c>
      <c r="B13892" t="s">
        <v>42097</v>
      </c>
      <c r="C13892" t="str">
        <f>"8313544"</f>
        <v>8313544</v>
      </c>
      <c r="D13892" t="s">
        <v>42098</v>
      </c>
      <c r="F13892" t="s">
        <v>42099</v>
      </c>
      <c r="I13892" t="s">
        <v>471</v>
      </c>
      <c r="J13892" t="s">
        <v>30</v>
      </c>
      <c r="K13892" t="s">
        <v>42100</v>
      </c>
      <c r="M13892" t="s">
        <v>17861</v>
      </c>
      <c r="N13892" t="str">
        <f>"5/15/2020 3:41:00 PM"</f>
        <v>5/15/2020 3:41:00 PM</v>
      </c>
      <c r="O13892" t="s">
        <v>42098</v>
      </c>
    </row>
    <row r="13893" spans="1:20" x14ac:dyDescent="0.25">
      <c r="A13893" t="str">
        <f>"3061266"</f>
        <v>3061266</v>
      </c>
      <c r="B13893" t="s">
        <v>42101</v>
      </c>
      <c r="C13893" t="str">
        <f>"8313545"</f>
        <v>8313545</v>
      </c>
      <c r="D13893" t="s">
        <v>42102</v>
      </c>
      <c r="E13893" t="s">
        <v>8973</v>
      </c>
      <c r="F13893" t="s">
        <v>42103</v>
      </c>
      <c r="I13893" t="s">
        <v>2071</v>
      </c>
      <c r="J13893" t="s">
        <v>30</v>
      </c>
      <c r="K13893" t="s">
        <v>38066</v>
      </c>
      <c r="M13893" t="s">
        <v>17861</v>
      </c>
      <c r="N13893" t="str">
        <f>"5/18/2020 8:37:00 AM"</f>
        <v>5/18/2020 8:37:00 AM</v>
      </c>
      <c r="O13893" t="s">
        <v>42102</v>
      </c>
      <c r="T13893" t="s">
        <v>8973</v>
      </c>
    </row>
    <row r="13894" spans="1:20" x14ac:dyDescent="0.25">
      <c r="A13894" t="str">
        <f>"3043910"</f>
        <v>3043910</v>
      </c>
      <c r="B13894" t="s">
        <v>42104</v>
      </c>
      <c r="C13894" t="str">
        <f>"8313504"</f>
        <v>8313504</v>
      </c>
      <c r="D13894" t="s">
        <v>42105</v>
      </c>
      <c r="F13894" t="s">
        <v>37813</v>
      </c>
      <c r="I13894" t="s">
        <v>2071</v>
      </c>
      <c r="J13894" t="s">
        <v>30</v>
      </c>
      <c r="K13894" t="s">
        <v>3605</v>
      </c>
      <c r="M13894" t="s">
        <v>17861</v>
      </c>
      <c r="N13894" t="str">
        <f>"5/11/2020 3:31:00 PM"</f>
        <v>5/11/2020 3:31:00 PM</v>
      </c>
      <c r="O13894" t="s">
        <v>42105</v>
      </c>
    </row>
    <row r="13895" spans="1:20" x14ac:dyDescent="0.25">
      <c r="A13895" t="str">
        <f>"3039821"</f>
        <v>3039821</v>
      </c>
      <c r="B13895" t="s">
        <v>42106</v>
      </c>
      <c r="C13895" t="str">
        <f>"8313505"</f>
        <v>8313505</v>
      </c>
      <c r="D13895" t="s">
        <v>42107</v>
      </c>
      <c r="E13895" t="s">
        <v>42108</v>
      </c>
      <c r="F13895" t="s">
        <v>42109</v>
      </c>
      <c r="I13895" t="s">
        <v>29</v>
      </c>
      <c r="J13895" t="s">
        <v>30</v>
      </c>
      <c r="K13895" t="s">
        <v>42110</v>
      </c>
      <c r="M13895" t="s">
        <v>17861</v>
      </c>
      <c r="N13895" t="str">
        <f>"5/11/2020 3:55:00 PM"</f>
        <v>5/11/2020 3:55:00 PM</v>
      </c>
      <c r="O13895" t="s">
        <v>42107</v>
      </c>
      <c r="T13895" t="s">
        <v>42108</v>
      </c>
    </row>
    <row r="13896" spans="1:20" x14ac:dyDescent="0.25">
      <c r="A13896" t="str">
        <f>"3053139"</f>
        <v>3053139</v>
      </c>
      <c r="B13896" t="s">
        <v>42111</v>
      </c>
      <c r="C13896" t="str">
        <f>"13592000"</f>
        <v>13592000</v>
      </c>
      <c r="D13896" t="s">
        <v>42112</v>
      </c>
      <c r="E13896" t="s">
        <v>42113</v>
      </c>
      <c r="F13896" t="s">
        <v>42114</v>
      </c>
      <c r="I13896" t="s">
        <v>29</v>
      </c>
      <c r="J13896" t="s">
        <v>30</v>
      </c>
      <c r="K13896" t="s">
        <v>31</v>
      </c>
      <c r="M13896" t="s">
        <v>33845</v>
      </c>
      <c r="N13896" t="str">
        <f>"5/18/2020 3:45:00 PM"</f>
        <v>5/18/2020 3:45:00 PM</v>
      </c>
      <c r="O13896" t="s">
        <v>42112</v>
      </c>
      <c r="T13896" t="s">
        <v>42113</v>
      </c>
    </row>
    <row r="13897" spans="1:20" x14ac:dyDescent="0.25">
      <c r="A13897" t="str">
        <f>"3037649"</f>
        <v>3037649</v>
      </c>
      <c r="B13897" t="s">
        <v>42115</v>
      </c>
      <c r="C13897" t="str">
        <f>"69773000"</f>
        <v>69773000</v>
      </c>
      <c r="D13897" t="s">
        <v>42116</v>
      </c>
      <c r="E13897" t="s">
        <v>42117</v>
      </c>
      <c r="F13897" t="s">
        <v>33483</v>
      </c>
      <c r="I13897" t="s">
        <v>29</v>
      </c>
      <c r="J13897" t="s">
        <v>30</v>
      </c>
      <c r="K13897" t="s">
        <v>31</v>
      </c>
      <c r="M13897" t="s">
        <v>33845</v>
      </c>
      <c r="N13897" t="str">
        <f>"5/19/2020 10:52:00 AM"</f>
        <v>5/19/2020 10:52:00 AM</v>
      </c>
      <c r="O13897" t="s">
        <v>42116</v>
      </c>
      <c r="T13897" t="s">
        <v>42117</v>
      </c>
    </row>
    <row r="13898" spans="1:20" x14ac:dyDescent="0.25">
      <c r="A13898" t="str">
        <f>"3051885"</f>
        <v>3051885</v>
      </c>
      <c r="B13898" t="s">
        <v>42118</v>
      </c>
      <c r="C13898" t="str">
        <f>"8310830"</f>
        <v>8310830</v>
      </c>
      <c r="D13898" t="s">
        <v>42119</v>
      </c>
      <c r="F13898" t="s">
        <v>42120</v>
      </c>
      <c r="I13898" t="s">
        <v>471</v>
      </c>
      <c r="J13898" t="s">
        <v>30</v>
      </c>
      <c r="K13898" t="s">
        <v>42121</v>
      </c>
      <c r="M13898" t="s">
        <v>33845</v>
      </c>
      <c r="N13898" t="str">
        <f>"5/20/2020 9:02:00 AM"</f>
        <v>5/20/2020 9:02:00 AM</v>
      </c>
      <c r="O13898" t="s">
        <v>42119</v>
      </c>
    </row>
    <row r="13899" spans="1:20" x14ac:dyDescent="0.25">
      <c r="A13899" t="str">
        <f>"3037568"</f>
        <v>3037568</v>
      </c>
      <c r="B13899" t="s">
        <v>42122</v>
      </c>
      <c r="C13899" t="str">
        <f>"82532529"</f>
        <v>82532529</v>
      </c>
      <c r="D13899" t="s">
        <v>33482</v>
      </c>
      <c r="E13899" t="s">
        <v>42117</v>
      </c>
      <c r="F13899" t="s">
        <v>42123</v>
      </c>
      <c r="I13899" t="s">
        <v>29</v>
      </c>
      <c r="J13899" t="s">
        <v>30</v>
      </c>
      <c r="K13899" t="s">
        <v>31</v>
      </c>
      <c r="M13899" t="s">
        <v>40663</v>
      </c>
      <c r="N13899" t="str">
        <f>"5/20/2020 10:08:00 AM"</f>
        <v>5/20/2020 10:08:00 AM</v>
      </c>
      <c r="O13899" t="s">
        <v>33482</v>
      </c>
      <c r="T13899" t="s">
        <v>42117</v>
      </c>
    </row>
    <row r="13900" spans="1:20" x14ac:dyDescent="0.25">
      <c r="A13900" t="str">
        <f>"3061283"</f>
        <v>3061283</v>
      </c>
      <c r="B13900" t="s">
        <v>42124</v>
      </c>
      <c r="C13900" t="str">
        <f>"8313506"</f>
        <v>8313506</v>
      </c>
      <c r="D13900" t="s">
        <v>42125</v>
      </c>
      <c r="E13900" t="s">
        <v>42126</v>
      </c>
      <c r="F13900" t="s">
        <v>42127</v>
      </c>
      <c r="I13900" t="s">
        <v>2071</v>
      </c>
      <c r="J13900" t="s">
        <v>30</v>
      </c>
      <c r="K13900" t="s">
        <v>36586</v>
      </c>
      <c r="M13900" t="s">
        <v>17861</v>
      </c>
      <c r="N13900" t="str">
        <f>"5/11/2020 3:58:00 PM"</f>
        <v>5/11/2020 3:58:00 PM</v>
      </c>
      <c r="O13900" t="s">
        <v>42125</v>
      </c>
      <c r="T13900" t="s">
        <v>42126</v>
      </c>
    </row>
    <row r="13901" spans="1:20" x14ac:dyDescent="0.25">
      <c r="A13901" t="str">
        <f>"3050264"</f>
        <v>3050264</v>
      </c>
      <c r="B13901" t="s">
        <v>42128</v>
      </c>
      <c r="C13901" t="str">
        <f>"8313507"</f>
        <v>8313507</v>
      </c>
      <c r="D13901" t="s">
        <v>42129</v>
      </c>
      <c r="F13901" t="s">
        <v>42130</v>
      </c>
      <c r="I13901" t="s">
        <v>29</v>
      </c>
      <c r="J13901" t="s">
        <v>30</v>
      </c>
      <c r="K13901" t="s">
        <v>42131</v>
      </c>
      <c r="M13901" t="s">
        <v>17861</v>
      </c>
      <c r="N13901" t="str">
        <f>"5/11/2020 4:02:00 PM"</f>
        <v>5/11/2020 4:02:00 PM</v>
      </c>
      <c r="O13901" t="s">
        <v>42129</v>
      </c>
    </row>
    <row r="13902" spans="1:20" x14ac:dyDescent="0.25">
      <c r="A13902" t="str">
        <f>"3068078"</f>
        <v>3068078</v>
      </c>
      <c r="B13902" t="s">
        <v>42132</v>
      </c>
      <c r="C13902" t="str">
        <f>"8313559"</f>
        <v>8313559</v>
      </c>
      <c r="D13902" t="s">
        <v>42133</v>
      </c>
      <c r="F13902" t="s">
        <v>42134</v>
      </c>
      <c r="I13902" t="s">
        <v>29</v>
      </c>
      <c r="J13902" t="s">
        <v>30</v>
      </c>
      <c r="K13902" t="s">
        <v>931</v>
      </c>
      <c r="M13902" t="s">
        <v>17861</v>
      </c>
      <c r="N13902" t="str">
        <f>"5/26/2020 9:51:00 AM"</f>
        <v>5/26/2020 9:51:00 AM</v>
      </c>
      <c r="O13902" t="s">
        <v>42133</v>
      </c>
    </row>
    <row r="13903" spans="1:20" x14ac:dyDescent="0.25">
      <c r="A13903" t="str">
        <f>"3061281"</f>
        <v>3061281</v>
      </c>
      <c r="B13903" t="s">
        <v>42135</v>
      </c>
      <c r="C13903" t="str">
        <f>"8313560"</f>
        <v>8313560</v>
      </c>
      <c r="D13903" t="s">
        <v>42136</v>
      </c>
      <c r="E13903" t="s">
        <v>42137</v>
      </c>
      <c r="F13903" t="s">
        <v>42138</v>
      </c>
      <c r="I13903" t="s">
        <v>2071</v>
      </c>
      <c r="J13903" t="s">
        <v>30</v>
      </c>
      <c r="K13903" t="s">
        <v>36586</v>
      </c>
      <c r="M13903" t="s">
        <v>17861</v>
      </c>
      <c r="N13903" t="str">
        <f>"5/26/2020 10:37:00 AM"</f>
        <v>5/26/2020 10:37:00 AM</v>
      </c>
      <c r="O13903" t="s">
        <v>42136</v>
      </c>
      <c r="T13903" t="s">
        <v>42137</v>
      </c>
    </row>
    <row r="13904" spans="1:20" x14ac:dyDescent="0.25">
      <c r="A13904" t="str">
        <f>"3039713"</f>
        <v>3039713</v>
      </c>
      <c r="B13904" t="s">
        <v>42139</v>
      </c>
      <c r="C13904" t="str">
        <f>"8313561"</f>
        <v>8313561</v>
      </c>
      <c r="D13904" t="s">
        <v>42140</v>
      </c>
      <c r="E13904" t="s">
        <v>42141</v>
      </c>
      <c r="F13904" t="s">
        <v>42142</v>
      </c>
      <c r="I13904" t="s">
        <v>29</v>
      </c>
      <c r="J13904" t="s">
        <v>30</v>
      </c>
      <c r="K13904" t="s">
        <v>35687</v>
      </c>
      <c r="M13904" t="s">
        <v>17861</v>
      </c>
      <c r="N13904" t="str">
        <f>"5/26/2020 11:01:00 AM"</f>
        <v>5/26/2020 11:01:00 AM</v>
      </c>
      <c r="O13904" t="s">
        <v>42140</v>
      </c>
      <c r="T13904" t="s">
        <v>42141</v>
      </c>
    </row>
    <row r="13905" spans="1:20" x14ac:dyDescent="0.25">
      <c r="A13905" t="str">
        <f>"3056142"</f>
        <v>3056142</v>
      </c>
      <c r="B13905" t="s">
        <v>42143</v>
      </c>
      <c r="C13905" t="str">
        <f>"8313562"</f>
        <v>8313562</v>
      </c>
      <c r="D13905" t="s">
        <v>42144</v>
      </c>
      <c r="F13905" t="s">
        <v>18389</v>
      </c>
      <c r="I13905" t="s">
        <v>9580</v>
      </c>
      <c r="J13905" t="s">
        <v>30</v>
      </c>
      <c r="K13905" t="s">
        <v>42145</v>
      </c>
      <c r="M13905" t="s">
        <v>17861</v>
      </c>
      <c r="N13905" t="str">
        <f>"5/26/2020 11:23:00 AM"</f>
        <v>5/26/2020 11:23:00 AM</v>
      </c>
      <c r="O13905" t="s">
        <v>42144</v>
      </c>
    </row>
    <row r="13906" spans="1:20" x14ac:dyDescent="0.25">
      <c r="A13906" t="str">
        <f>"3055477"</f>
        <v>3055477</v>
      </c>
      <c r="B13906" t="s">
        <v>42146</v>
      </c>
      <c r="C13906" t="str">
        <f>"23537500"</f>
        <v>23537500</v>
      </c>
      <c r="D13906" t="s">
        <v>42056</v>
      </c>
      <c r="E13906" t="s">
        <v>42057</v>
      </c>
      <c r="F13906" t="s">
        <v>42058</v>
      </c>
      <c r="I13906" t="s">
        <v>29</v>
      </c>
      <c r="J13906" t="s">
        <v>30</v>
      </c>
      <c r="K13906" t="s">
        <v>31</v>
      </c>
      <c r="M13906" t="s">
        <v>33845</v>
      </c>
      <c r="N13906" t="str">
        <f>"5/27/2020 10:47:00 AM"</f>
        <v>5/27/2020 10:47:00 AM</v>
      </c>
      <c r="O13906" t="s">
        <v>42056</v>
      </c>
      <c r="T13906" t="s">
        <v>42057</v>
      </c>
    </row>
    <row r="13907" spans="1:20" x14ac:dyDescent="0.25">
      <c r="A13907" t="str">
        <f>"3039106"</f>
        <v>3039106</v>
      </c>
      <c r="B13907" t="s">
        <v>42147</v>
      </c>
      <c r="C13907" t="str">
        <f>"8309140"</f>
        <v>8309140</v>
      </c>
      <c r="D13907" t="s">
        <v>42148</v>
      </c>
      <c r="E13907" t="s">
        <v>42149</v>
      </c>
      <c r="F13907" t="s">
        <v>42150</v>
      </c>
      <c r="I13907" t="s">
        <v>29</v>
      </c>
      <c r="J13907" t="s">
        <v>30</v>
      </c>
      <c r="K13907" t="s">
        <v>42151</v>
      </c>
      <c r="M13907" t="s">
        <v>33845</v>
      </c>
      <c r="N13907" t="str">
        <f>"5/27/2020 11:45:00 AM"</f>
        <v>5/27/2020 11:45:00 AM</v>
      </c>
      <c r="O13907" t="s">
        <v>42148</v>
      </c>
      <c r="T13907" t="s">
        <v>42149</v>
      </c>
    </row>
    <row r="13908" spans="1:20" x14ac:dyDescent="0.25">
      <c r="A13908" t="str">
        <f>"3048159"</f>
        <v>3048159</v>
      </c>
      <c r="B13908" t="s">
        <v>42152</v>
      </c>
      <c r="C13908" t="str">
        <f>"8313569"</f>
        <v>8313569</v>
      </c>
      <c r="D13908" t="s">
        <v>42153</v>
      </c>
      <c r="E13908" t="s">
        <v>42154</v>
      </c>
      <c r="F13908" t="s">
        <v>42155</v>
      </c>
      <c r="I13908" t="s">
        <v>184</v>
      </c>
      <c r="J13908" t="s">
        <v>30</v>
      </c>
      <c r="K13908" t="s">
        <v>42156</v>
      </c>
      <c r="M13908" t="s">
        <v>17861</v>
      </c>
      <c r="N13908" t="str">
        <f>"5/27/2020 3:02:00 PM"</f>
        <v>5/27/2020 3:02:00 PM</v>
      </c>
      <c r="O13908" t="s">
        <v>42153</v>
      </c>
      <c r="T13908" t="s">
        <v>42154</v>
      </c>
    </row>
    <row r="13909" spans="1:20" x14ac:dyDescent="0.25">
      <c r="A13909" t="str">
        <f>"3047898"</f>
        <v>3047898</v>
      </c>
      <c r="B13909" t="s">
        <v>42157</v>
      </c>
      <c r="C13909" t="str">
        <f>"8313569"</f>
        <v>8313569</v>
      </c>
      <c r="D13909" t="s">
        <v>42153</v>
      </c>
      <c r="E13909" t="s">
        <v>42154</v>
      </c>
      <c r="F13909" t="s">
        <v>42155</v>
      </c>
      <c r="I13909" t="s">
        <v>184</v>
      </c>
      <c r="J13909" t="s">
        <v>30</v>
      </c>
      <c r="K13909" t="s">
        <v>42156</v>
      </c>
      <c r="M13909" t="s">
        <v>17861</v>
      </c>
      <c r="N13909" t="str">
        <f>"5/27/2020 3:02:00 PM"</f>
        <v>5/27/2020 3:02:00 PM</v>
      </c>
      <c r="O13909" t="s">
        <v>42153</v>
      </c>
      <c r="T13909" t="s">
        <v>42154</v>
      </c>
    </row>
    <row r="13910" spans="1:20" x14ac:dyDescent="0.25">
      <c r="A13910" t="str">
        <f>"3059993"</f>
        <v>3059993</v>
      </c>
      <c r="B13910" t="s">
        <v>42158</v>
      </c>
      <c r="C13910" t="str">
        <f>"8313575"</f>
        <v>8313575</v>
      </c>
      <c r="D13910" t="s">
        <v>42159</v>
      </c>
      <c r="F13910" t="s">
        <v>42160</v>
      </c>
      <c r="I13910" t="s">
        <v>184</v>
      </c>
      <c r="J13910" t="s">
        <v>30</v>
      </c>
      <c r="K13910" t="s">
        <v>42161</v>
      </c>
      <c r="M13910" t="s">
        <v>17861</v>
      </c>
      <c r="N13910" t="str">
        <f>"5/29/2020 1:20:00 PM"</f>
        <v>5/29/2020 1:20:00 PM</v>
      </c>
      <c r="O13910" t="s">
        <v>42159</v>
      </c>
    </row>
    <row r="13911" spans="1:20" x14ac:dyDescent="0.25">
      <c r="A13911" t="str">
        <f>"3062984"</f>
        <v>3062984</v>
      </c>
      <c r="B13911" t="s">
        <v>42162</v>
      </c>
      <c r="C13911" t="str">
        <f>"8313576"</f>
        <v>8313576</v>
      </c>
      <c r="D13911" t="s">
        <v>42163</v>
      </c>
      <c r="E13911" t="s">
        <v>42164</v>
      </c>
      <c r="F13911" t="s">
        <v>42165</v>
      </c>
      <c r="I13911" t="s">
        <v>184</v>
      </c>
      <c r="J13911" t="s">
        <v>30</v>
      </c>
      <c r="K13911" t="s">
        <v>8745</v>
      </c>
      <c r="M13911" t="s">
        <v>17861</v>
      </c>
      <c r="N13911" t="str">
        <f>"5/29/2020 1:36:00 PM"</f>
        <v>5/29/2020 1:36:00 PM</v>
      </c>
      <c r="O13911" t="s">
        <v>42163</v>
      </c>
      <c r="T13911" t="s">
        <v>42164</v>
      </c>
    </row>
    <row r="13912" spans="1:20" x14ac:dyDescent="0.25">
      <c r="A13912" t="str">
        <f>"3041291"</f>
        <v>3041291</v>
      </c>
      <c r="B13912" t="s">
        <v>42166</v>
      </c>
      <c r="C13912" t="str">
        <f>"8313548"</f>
        <v>8313548</v>
      </c>
      <c r="D13912" t="s">
        <v>42167</v>
      </c>
      <c r="E13912" t="s">
        <v>42168</v>
      </c>
      <c r="F13912" t="s">
        <v>42169</v>
      </c>
      <c r="I13912" t="s">
        <v>2071</v>
      </c>
      <c r="J13912" t="s">
        <v>30</v>
      </c>
      <c r="K13912" t="s">
        <v>2361</v>
      </c>
      <c r="M13912" t="s">
        <v>17861</v>
      </c>
      <c r="N13912" t="str">
        <f>"5/21/2020 11:07:00 AM"</f>
        <v>5/21/2020 11:07:00 AM</v>
      </c>
      <c r="O13912" t="s">
        <v>42167</v>
      </c>
      <c r="T13912" t="s">
        <v>42168</v>
      </c>
    </row>
    <row r="13913" spans="1:20" x14ac:dyDescent="0.25">
      <c r="A13913" t="str">
        <f>"3041843"</f>
        <v>3041843</v>
      </c>
      <c r="B13913" t="s">
        <v>42170</v>
      </c>
      <c r="C13913" t="str">
        <f>"8313550"</f>
        <v>8313550</v>
      </c>
      <c r="D13913" t="s">
        <v>42171</v>
      </c>
      <c r="F13913" t="s">
        <v>42172</v>
      </c>
      <c r="I13913" t="s">
        <v>2071</v>
      </c>
      <c r="J13913" t="s">
        <v>30</v>
      </c>
      <c r="K13913" t="s">
        <v>42173</v>
      </c>
      <c r="M13913" t="s">
        <v>17861</v>
      </c>
      <c r="N13913" t="str">
        <f>"5/21/2020 11:15:00 AM"</f>
        <v>5/21/2020 11:15:00 AM</v>
      </c>
      <c r="O13913" t="s">
        <v>42171</v>
      </c>
    </row>
    <row r="13914" spans="1:20" x14ac:dyDescent="0.25">
      <c r="A13914" t="str">
        <f>"3058385"</f>
        <v>3058385</v>
      </c>
      <c r="B13914" t="s">
        <v>42174</v>
      </c>
      <c r="C13914" t="str">
        <f>"8313553"</f>
        <v>8313553</v>
      </c>
      <c r="D13914" t="s">
        <v>42175</v>
      </c>
      <c r="E13914" t="s">
        <v>42176</v>
      </c>
      <c r="F13914" t="s">
        <v>42177</v>
      </c>
      <c r="I13914" t="s">
        <v>2071</v>
      </c>
      <c r="J13914" t="s">
        <v>30</v>
      </c>
      <c r="K13914" t="s">
        <v>33837</v>
      </c>
      <c r="M13914" t="s">
        <v>17861</v>
      </c>
      <c r="N13914" t="str">
        <f>"5/21/2020 11:25:00 AM"</f>
        <v>5/21/2020 11:25:00 AM</v>
      </c>
      <c r="O13914" t="s">
        <v>42175</v>
      </c>
      <c r="T13914" t="s">
        <v>42176</v>
      </c>
    </row>
    <row r="13915" spans="1:20" x14ac:dyDescent="0.25">
      <c r="A13915" t="str">
        <f>"3062253"</f>
        <v>3062253</v>
      </c>
      <c r="B13915" t="s">
        <v>42178</v>
      </c>
      <c r="C13915" t="str">
        <f>"8313555"</f>
        <v>8313555</v>
      </c>
      <c r="D13915" t="s">
        <v>42179</v>
      </c>
      <c r="F13915" t="s">
        <v>42180</v>
      </c>
      <c r="I13915" t="s">
        <v>17921</v>
      </c>
      <c r="J13915" t="s">
        <v>30</v>
      </c>
      <c r="K13915" t="str">
        <f>"27028"</f>
        <v>27028</v>
      </c>
      <c r="M13915" t="s">
        <v>17861</v>
      </c>
      <c r="N13915" t="str">
        <f>"5/21/2020 2:27:00 PM"</f>
        <v>5/21/2020 2:27:00 PM</v>
      </c>
      <c r="O13915" t="s">
        <v>42179</v>
      </c>
    </row>
    <row r="13916" spans="1:20" x14ac:dyDescent="0.25">
      <c r="A13916" t="str">
        <f>"3050759"</f>
        <v>3050759</v>
      </c>
      <c r="B13916" t="s">
        <v>42181</v>
      </c>
      <c r="C13916" t="str">
        <f>"8313611"</f>
        <v>8313611</v>
      </c>
      <c r="D13916" t="s">
        <v>42182</v>
      </c>
      <c r="F13916" t="s">
        <v>42183</v>
      </c>
      <c r="I13916" t="s">
        <v>184</v>
      </c>
      <c r="J13916" t="s">
        <v>30</v>
      </c>
      <c r="K13916" t="s">
        <v>3201</v>
      </c>
      <c r="M13916" t="s">
        <v>17861</v>
      </c>
      <c r="N13916" t="str">
        <f>"6/5/2020 2:36:00 PM"</f>
        <v>6/5/2020 2:36:00 PM</v>
      </c>
      <c r="O13916" t="s">
        <v>42182</v>
      </c>
    </row>
    <row r="13917" spans="1:20" x14ac:dyDescent="0.25">
      <c r="A13917" t="str">
        <f>"3058208"</f>
        <v>3058208</v>
      </c>
      <c r="B13917" t="s">
        <v>42184</v>
      </c>
      <c r="C13917" t="str">
        <f>"8313625"</f>
        <v>8313625</v>
      </c>
      <c r="D13917" t="s">
        <v>42185</v>
      </c>
      <c r="F13917" t="s">
        <v>42186</v>
      </c>
      <c r="I13917" t="s">
        <v>29</v>
      </c>
      <c r="J13917" t="s">
        <v>30</v>
      </c>
      <c r="K13917" t="s">
        <v>42187</v>
      </c>
      <c r="M13917" t="s">
        <v>17861</v>
      </c>
      <c r="N13917" t="str">
        <f>"6/9/2020 2:31:00 PM"</f>
        <v>6/9/2020 2:31:00 PM</v>
      </c>
      <c r="O13917" t="s">
        <v>42185</v>
      </c>
    </row>
    <row r="13918" spans="1:20" x14ac:dyDescent="0.25">
      <c r="A13918" t="str">
        <f>"3058715"</f>
        <v>3058715</v>
      </c>
      <c r="B13918" t="s">
        <v>42188</v>
      </c>
      <c r="C13918" t="str">
        <f>"8313626"</f>
        <v>8313626</v>
      </c>
      <c r="D13918" t="s">
        <v>42189</v>
      </c>
      <c r="E13918" t="s">
        <v>42190</v>
      </c>
      <c r="F13918" t="s">
        <v>42191</v>
      </c>
      <c r="I13918" t="s">
        <v>29</v>
      </c>
      <c r="J13918" t="s">
        <v>30</v>
      </c>
      <c r="K13918" t="s">
        <v>42192</v>
      </c>
      <c r="M13918" t="s">
        <v>17861</v>
      </c>
      <c r="N13918" t="str">
        <f>"6/9/2020 2:37:00 PM"</f>
        <v>6/9/2020 2:37:00 PM</v>
      </c>
      <c r="O13918" t="s">
        <v>42189</v>
      </c>
      <c r="T13918" t="s">
        <v>42190</v>
      </c>
    </row>
    <row r="13919" spans="1:20" x14ac:dyDescent="0.25">
      <c r="A13919" t="str">
        <f>"3061894"</f>
        <v>3061894</v>
      </c>
      <c r="B13919" t="s">
        <v>42193</v>
      </c>
      <c r="C13919" t="str">
        <f>"8313626"</f>
        <v>8313626</v>
      </c>
      <c r="D13919" t="s">
        <v>42189</v>
      </c>
      <c r="E13919" t="s">
        <v>42190</v>
      </c>
      <c r="F13919" t="s">
        <v>42191</v>
      </c>
      <c r="I13919" t="s">
        <v>29</v>
      </c>
      <c r="J13919" t="s">
        <v>30</v>
      </c>
      <c r="K13919" t="s">
        <v>42192</v>
      </c>
      <c r="M13919" t="s">
        <v>17861</v>
      </c>
      <c r="N13919" t="str">
        <f>"6/9/2020 2:37:00 PM"</f>
        <v>6/9/2020 2:37:00 PM</v>
      </c>
      <c r="O13919" t="s">
        <v>42189</v>
      </c>
      <c r="T13919" t="s">
        <v>42190</v>
      </c>
    </row>
    <row r="13920" spans="1:20" x14ac:dyDescent="0.25">
      <c r="A13920" t="str">
        <f>"3048923"</f>
        <v>3048923</v>
      </c>
      <c r="B13920" t="s">
        <v>42194</v>
      </c>
      <c r="C13920" t="str">
        <f>"8313612"</f>
        <v>8313612</v>
      </c>
      <c r="D13920" t="s">
        <v>42195</v>
      </c>
      <c r="F13920" t="s">
        <v>12788</v>
      </c>
      <c r="I13920" t="s">
        <v>42196</v>
      </c>
      <c r="J13920" t="s">
        <v>2738</v>
      </c>
      <c r="K13920" t="s">
        <v>42197</v>
      </c>
      <c r="M13920" t="s">
        <v>17861</v>
      </c>
      <c r="N13920" t="str">
        <f>"6/5/2020 2:44:00 PM"</f>
        <v>6/5/2020 2:44:00 PM</v>
      </c>
      <c r="O13920" t="s">
        <v>42195</v>
      </c>
    </row>
    <row r="13921" spans="1:20" x14ac:dyDescent="0.25">
      <c r="A13921" t="str">
        <f>"3049384"</f>
        <v>3049384</v>
      </c>
      <c r="B13921" t="s">
        <v>42198</v>
      </c>
      <c r="C13921" t="str">
        <f>"8313612"</f>
        <v>8313612</v>
      </c>
      <c r="D13921" t="s">
        <v>42195</v>
      </c>
      <c r="F13921" t="s">
        <v>12788</v>
      </c>
      <c r="I13921" t="s">
        <v>42196</v>
      </c>
      <c r="J13921" t="s">
        <v>2738</v>
      </c>
      <c r="K13921" t="s">
        <v>42197</v>
      </c>
      <c r="M13921" t="s">
        <v>17861</v>
      </c>
      <c r="N13921" t="str">
        <f>"6/5/2020 2:44:00 PM"</f>
        <v>6/5/2020 2:44:00 PM</v>
      </c>
      <c r="O13921" t="s">
        <v>42195</v>
      </c>
    </row>
    <row r="13922" spans="1:20" x14ac:dyDescent="0.25">
      <c r="A13922" t="str">
        <f>"3037575"</f>
        <v>3037575</v>
      </c>
      <c r="B13922" t="s">
        <v>42199</v>
      </c>
      <c r="C13922" t="str">
        <f>"8313613"</f>
        <v>8313613</v>
      </c>
      <c r="D13922" t="s">
        <v>42200</v>
      </c>
      <c r="E13922" t="s">
        <v>42201</v>
      </c>
      <c r="F13922" t="s">
        <v>42202</v>
      </c>
      <c r="I13922" t="s">
        <v>29</v>
      </c>
      <c r="J13922" t="s">
        <v>30</v>
      </c>
      <c r="K13922" t="s">
        <v>42203</v>
      </c>
      <c r="M13922" t="s">
        <v>17861</v>
      </c>
      <c r="N13922" t="str">
        <f>"6/5/2020 2:59:00 PM"</f>
        <v>6/5/2020 2:59:00 PM</v>
      </c>
      <c r="O13922" t="s">
        <v>42200</v>
      </c>
      <c r="T13922" t="s">
        <v>42201</v>
      </c>
    </row>
    <row r="13923" spans="1:20" x14ac:dyDescent="0.25">
      <c r="A13923" t="str">
        <f>"3042152"</f>
        <v>3042152</v>
      </c>
      <c r="B13923" t="s">
        <v>42204</v>
      </c>
      <c r="C13923" t="str">
        <f>"8313615"</f>
        <v>8313615</v>
      </c>
      <c r="D13923" t="s">
        <v>42205</v>
      </c>
      <c r="E13923" t="s">
        <v>42206</v>
      </c>
      <c r="F13923" t="s">
        <v>42207</v>
      </c>
      <c r="I13923" t="s">
        <v>29</v>
      </c>
      <c r="J13923" t="s">
        <v>30</v>
      </c>
      <c r="K13923" t="s">
        <v>2677</v>
      </c>
      <c r="M13923" t="s">
        <v>17861</v>
      </c>
      <c r="N13923" t="str">
        <f>"6/5/2020 3:26:00 PM"</f>
        <v>6/5/2020 3:26:00 PM</v>
      </c>
      <c r="O13923" t="s">
        <v>42205</v>
      </c>
      <c r="T13923" t="s">
        <v>42206</v>
      </c>
    </row>
    <row r="13924" spans="1:20" x14ac:dyDescent="0.25">
      <c r="A13924" t="str">
        <f>"3051310"</f>
        <v>3051310</v>
      </c>
      <c r="B13924" t="s">
        <v>42208</v>
      </c>
      <c r="C13924" t="str">
        <f>"8313631"</f>
        <v>8313631</v>
      </c>
      <c r="D13924" t="s">
        <v>42209</v>
      </c>
      <c r="F13924" t="s">
        <v>42210</v>
      </c>
      <c r="I13924" t="s">
        <v>29</v>
      </c>
      <c r="J13924" t="s">
        <v>30</v>
      </c>
      <c r="K13924" t="s">
        <v>42211</v>
      </c>
      <c r="M13924" t="s">
        <v>17861</v>
      </c>
      <c r="N13924" t="str">
        <f>"6/9/2020 3:19:00 PM"</f>
        <v>6/9/2020 3:19:00 PM</v>
      </c>
      <c r="O13924" t="s">
        <v>42209</v>
      </c>
    </row>
    <row r="13925" spans="1:20" x14ac:dyDescent="0.25">
      <c r="A13925" t="str">
        <f>"3047672"</f>
        <v>3047672</v>
      </c>
      <c r="B13925" t="s">
        <v>42212</v>
      </c>
      <c r="C13925" t="str">
        <f>"8301349"</f>
        <v>8301349</v>
      </c>
      <c r="D13925" t="s">
        <v>42213</v>
      </c>
      <c r="E13925" t="s">
        <v>42214</v>
      </c>
      <c r="F13925" t="s">
        <v>24317</v>
      </c>
      <c r="I13925" t="s">
        <v>184</v>
      </c>
      <c r="J13925" t="s">
        <v>30</v>
      </c>
      <c r="K13925" t="str">
        <f>"27006"</f>
        <v>27006</v>
      </c>
      <c r="M13925" t="s">
        <v>25733</v>
      </c>
      <c r="N13925" t="str">
        <f>"6/9/2020 3:36:00 PM"</f>
        <v>6/9/2020 3:36:00 PM</v>
      </c>
      <c r="O13925" t="s">
        <v>42213</v>
      </c>
      <c r="T13925" t="s">
        <v>42214</v>
      </c>
    </row>
    <row r="13926" spans="1:20" x14ac:dyDescent="0.25">
      <c r="A13926" t="str">
        <f>"3041898"</f>
        <v>3041898</v>
      </c>
      <c r="B13926" t="s">
        <v>42215</v>
      </c>
      <c r="C13926" t="str">
        <f>"8304700"</f>
        <v>8304700</v>
      </c>
      <c r="D13926" t="s">
        <v>42216</v>
      </c>
      <c r="E13926" t="s">
        <v>42217</v>
      </c>
      <c r="F13926" t="s">
        <v>42218</v>
      </c>
      <c r="I13926" t="s">
        <v>2071</v>
      </c>
      <c r="J13926" t="s">
        <v>30</v>
      </c>
      <c r="K13926" t="str">
        <f>"27006"</f>
        <v>27006</v>
      </c>
      <c r="M13926" t="s">
        <v>25733</v>
      </c>
      <c r="N13926" t="str">
        <f>"6/9/2020 4:08:00 PM"</f>
        <v>6/9/2020 4:08:00 PM</v>
      </c>
      <c r="O13926" t="s">
        <v>42216</v>
      </c>
      <c r="T13926" t="s">
        <v>42217</v>
      </c>
    </row>
    <row r="13927" spans="1:20" x14ac:dyDescent="0.25">
      <c r="A13927" t="str">
        <f>"3042779"</f>
        <v>3042779</v>
      </c>
      <c r="B13927" t="s">
        <v>42219</v>
      </c>
      <c r="C13927" t="str">
        <f>"8313615"</f>
        <v>8313615</v>
      </c>
      <c r="D13927" t="s">
        <v>42205</v>
      </c>
      <c r="E13927" t="s">
        <v>42206</v>
      </c>
      <c r="F13927" t="s">
        <v>42207</v>
      </c>
      <c r="I13927" t="s">
        <v>29</v>
      </c>
      <c r="J13927" t="s">
        <v>30</v>
      </c>
      <c r="K13927" t="s">
        <v>2677</v>
      </c>
      <c r="M13927" t="s">
        <v>17861</v>
      </c>
      <c r="N13927" t="str">
        <f>"6/5/2020 3:26:00 PM"</f>
        <v>6/5/2020 3:26:00 PM</v>
      </c>
      <c r="O13927" t="s">
        <v>42205</v>
      </c>
      <c r="T13927" t="s">
        <v>42206</v>
      </c>
    </row>
    <row r="13928" spans="1:20" x14ac:dyDescent="0.25">
      <c r="A13928" t="str">
        <f>"3051019"</f>
        <v>3051019</v>
      </c>
      <c r="B13928" t="s">
        <v>42220</v>
      </c>
      <c r="C13928" t="str">
        <f>"8313581"</f>
        <v>8313581</v>
      </c>
      <c r="D13928" t="s">
        <v>42221</v>
      </c>
      <c r="E13928" t="s">
        <v>42222</v>
      </c>
      <c r="F13928" t="s">
        <v>42223</v>
      </c>
      <c r="I13928" t="s">
        <v>29</v>
      </c>
      <c r="J13928" t="s">
        <v>30</v>
      </c>
      <c r="K13928" t="s">
        <v>42224</v>
      </c>
      <c r="M13928" t="s">
        <v>17861</v>
      </c>
      <c r="N13928" t="str">
        <f>"6/5/2020 3:54:00 PM"</f>
        <v>6/5/2020 3:54:00 PM</v>
      </c>
      <c r="O13928" t="s">
        <v>42221</v>
      </c>
      <c r="T13928" t="s">
        <v>42222</v>
      </c>
    </row>
    <row r="13929" spans="1:20" x14ac:dyDescent="0.25">
      <c r="A13929" t="str">
        <f>"3051767"</f>
        <v>3051767</v>
      </c>
      <c r="B13929" t="s">
        <v>42225</v>
      </c>
      <c r="C13929" t="str">
        <f>"73686900"</f>
        <v>73686900</v>
      </c>
      <c r="D13929" t="s">
        <v>42226</v>
      </c>
      <c r="F13929" t="s">
        <v>41849</v>
      </c>
      <c r="I13929" t="s">
        <v>29</v>
      </c>
      <c r="J13929" t="s">
        <v>30</v>
      </c>
      <c r="K13929" t="s">
        <v>31</v>
      </c>
      <c r="M13929" t="s">
        <v>25733</v>
      </c>
      <c r="N13929" t="str">
        <f>"6/11/2020 9:37:00 AM"</f>
        <v>6/11/2020 9:37:00 AM</v>
      </c>
      <c r="O13929" t="s">
        <v>42226</v>
      </c>
    </row>
    <row r="13930" spans="1:20" x14ac:dyDescent="0.25">
      <c r="A13930" t="str">
        <f>"3040714"</f>
        <v>3040714</v>
      </c>
      <c r="B13930" t="s">
        <v>42227</v>
      </c>
      <c r="C13930" t="str">
        <f>"8312938"</f>
        <v>8312938</v>
      </c>
      <c r="D13930" t="s">
        <v>42228</v>
      </c>
      <c r="F13930" t="s">
        <v>42229</v>
      </c>
      <c r="I13930" t="s">
        <v>184</v>
      </c>
      <c r="J13930" t="s">
        <v>30</v>
      </c>
      <c r="K13930" t="s">
        <v>3019</v>
      </c>
      <c r="M13930" t="s">
        <v>17861</v>
      </c>
      <c r="N13930" t="str">
        <f>"6/5/2020 4:05:00 PM"</f>
        <v>6/5/2020 4:05:00 PM</v>
      </c>
      <c r="O13930" t="s">
        <v>42228</v>
      </c>
    </row>
    <row r="13931" spans="1:20" x14ac:dyDescent="0.25">
      <c r="A13931" t="str">
        <f>"3040270"</f>
        <v>3040270</v>
      </c>
      <c r="B13931" t="s">
        <v>42230</v>
      </c>
      <c r="C13931" t="str">
        <f>"8312938"</f>
        <v>8312938</v>
      </c>
      <c r="D13931" t="s">
        <v>42228</v>
      </c>
      <c r="F13931" t="s">
        <v>42229</v>
      </c>
      <c r="I13931" t="s">
        <v>184</v>
      </c>
      <c r="J13931" t="s">
        <v>30</v>
      </c>
      <c r="K13931" t="s">
        <v>3019</v>
      </c>
      <c r="M13931" t="s">
        <v>17861</v>
      </c>
      <c r="N13931" t="str">
        <f>"6/5/2020 4:05:00 PM"</f>
        <v>6/5/2020 4:05:00 PM</v>
      </c>
      <c r="O13931" t="s">
        <v>42228</v>
      </c>
    </row>
    <row r="13932" spans="1:20" x14ac:dyDescent="0.25">
      <c r="A13932" t="str">
        <f>"3043149"</f>
        <v>3043149</v>
      </c>
      <c r="B13932" t="s">
        <v>42231</v>
      </c>
      <c r="C13932" t="str">
        <f>"8313618"</f>
        <v>8313618</v>
      </c>
      <c r="D13932" t="s">
        <v>32557</v>
      </c>
      <c r="F13932" t="s">
        <v>38967</v>
      </c>
      <c r="I13932" t="s">
        <v>29</v>
      </c>
      <c r="J13932" t="s">
        <v>30</v>
      </c>
      <c r="K13932" t="s">
        <v>19651</v>
      </c>
      <c r="M13932" t="s">
        <v>17861</v>
      </c>
      <c r="N13932" t="str">
        <f>"6/5/2020 4:12:00 PM"</f>
        <v>6/5/2020 4:12:00 PM</v>
      </c>
      <c r="O13932" t="s">
        <v>32557</v>
      </c>
    </row>
    <row r="13933" spans="1:20" x14ac:dyDescent="0.25">
      <c r="A13933" t="str">
        <f>"3052463"</f>
        <v>3052463</v>
      </c>
      <c r="B13933" t="s">
        <v>42232</v>
      </c>
      <c r="C13933" t="str">
        <f>"8313588"</f>
        <v>8313588</v>
      </c>
      <c r="D13933" t="s">
        <v>42233</v>
      </c>
      <c r="F13933" t="s">
        <v>42234</v>
      </c>
      <c r="I13933" t="s">
        <v>29</v>
      </c>
      <c r="J13933" t="s">
        <v>30</v>
      </c>
      <c r="K13933" t="s">
        <v>13442</v>
      </c>
      <c r="M13933" t="s">
        <v>17861</v>
      </c>
      <c r="N13933" t="str">
        <f>"6/1/2020 9:25:00 AM"</f>
        <v>6/1/2020 9:25:00 AM</v>
      </c>
      <c r="O13933" t="s">
        <v>42233</v>
      </c>
    </row>
    <row r="13934" spans="1:20" x14ac:dyDescent="0.25">
      <c r="A13934" t="str">
        <f>"3045258"</f>
        <v>3045258</v>
      </c>
      <c r="B13934" t="s">
        <v>42235</v>
      </c>
      <c r="C13934" t="str">
        <f>"8313589"</f>
        <v>8313589</v>
      </c>
      <c r="D13934" t="str">
        <f>"MYRICK JASON ROBERT/RHONDA T"</f>
        <v>MYRICK JASON ROBERT/RHONDA T</v>
      </c>
      <c r="E13934" t="s">
        <v>42236</v>
      </c>
      <c r="F13934" t="s">
        <v>42237</v>
      </c>
      <c r="I13934" t="s">
        <v>29</v>
      </c>
      <c r="J13934" t="s">
        <v>30</v>
      </c>
      <c r="K13934" t="s">
        <v>13405</v>
      </c>
      <c r="M13934" t="s">
        <v>17861</v>
      </c>
      <c r="N13934" t="str">
        <f>"6/1/2020 9:50:00 AM"</f>
        <v>6/1/2020 9:50:00 AM</v>
      </c>
      <c r="O13934" t="str">
        <f>"MYRICK JASON ROBERT/RHONDA T"</f>
        <v>MYRICK JASON ROBERT/RHONDA T</v>
      </c>
      <c r="T13934" t="s">
        <v>42236</v>
      </c>
    </row>
    <row r="13935" spans="1:20" x14ac:dyDescent="0.25">
      <c r="A13935" t="str">
        <f>"3038986"</f>
        <v>3038986</v>
      </c>
      <c r="B13935" t="s">
        <v>42238</v>
      </c>
      <c r="C13935" t="str">
        <f>"8313591"</f>
        <v>8313591</v>
      </c>
      <c r="D13935" t="s">
        <v>42239</v>
      </c>
      <c r="E13935" t="s">
        <v>42240</v>
      </c>
      <c r="F13935" t="s">
        <v>42241</v>
      </c>
      <c r="I13935" t="s">
        <v>29</v>
      </c>
      <c r="J13935" t="s">
        <v>30</v>
      </c>
      <c r="K13935" t="s">
        <v>41407</v>
      </c>
      <c r="M13935" t="s">
        <v>17861</v>
      </c>
      <c r="N13935" t="str">
        <f>"6/1/2020 10:58:00 AM"</f>
        <v>6/1/2020 10:58:00 AM</v>
      </c>
      <c r="O13935" t="s">
        <v>42239</v>
      </c>
      <c r="T13935" t="s">
        <v>42240</v>
      </c>
    </row>
    <row r="13936" spans="1:20" x14ac:dyDescent="0.25">
      <c r="A13936" t="str">
        <f>"3046084"</f>
        <v>3046084</v>
      </c>
      <c r="B13936" t="s">
        <v>42242</v>
      </c>
      <c r="C13936" t="str">
        <f>"8313650"</f>
        <v>8313650</v>
      </c>
      <c r="D13936" t="s">
        <v>42243</v>
      </c>
      <c r="F13936" t="s">
        <v>42244</v>
      </c>
      <c r="I13936" t="s">
        <v>29</v>
      </c>
      <c r="J13936" t="s">
        <v>30</v>
      </c>
      <c r="K13936" t="s">
        <v>42245</v>
      </c>
      <c r="M13936" t="s">
        <v>17861</v>
      </c>
      <c r="N13936" t="str">
        <f>"6/15/2020 2:41:00 PM"</f>
        <v>6/15/2020 2:41:00 PM</v>
      </c>
      <c r="O13936" t="s">
        <v>42243</v>
      </c>
    </row>
    <row r="13937" spans="1:20" x14ac:dyDescent="0.25">
      <c r="A13937" t="str">
        <f>"3053790"</f>
        <v>3053790</v>
      </c>
      <c r="B13937" t="s">
        <v>42246</v>
      </c>
      <c r="C13937" t="str">
        <f>"8313643"</f>
        <v>8313643</v>
      </c>
      <c r="D13937" t="s">
        <v>42247</v>
      </c>
      <c r="F13937" t="s">
        <v>42248</v>
      </c>
      <c r="I13937" t="s">
        <v>29</v>
      </c>
      <c r="J13937" t="s">
        <v>30</v>
      </c>
      <c r="K13937" t="s">
        <v>42249</v>
      </c>
      <c r="M13937" t="s">
        <v>17861</v>
      </c>
      <c r="N13937" t="str">
        <f>"6/16/2020 8:41:00 AM"</f>
        <v>6/16/2020 8:41:00 AM</v>
      </c>
      <c r="O13937" t="s">
        <v>42247</v>
      </c>
    </row>
    <row r="13938" spans="1:20" x14ac:dyDescent="0.25">
      <c r="A13938" t="str">
        <f>"3062078"</f>
        <v>3062078</v>
      </c>
      <c r="B13938" t="s">
        <v>42250</v>
      </c>
      <c r="C13938" t="str">
        <f>"8313592"</f>
        <v>8313592</v>
      </c>
      <c r="D13938" t="s">
        <v>42251</v>
      </c>
      <c r="E13938" t="s">
        <v>42252</v>
      </c>
      <c r="F13938" t="s">
        <v>42253</v>
      </c>
      <c r="I13938" t="s">
        <v>29</v>
      </c>
      <c r="J13938" t="s">
        <v>30</v>
      </c>
      <c r="K13938" t="s">
        <v>42254</v>
      </c>
      <c r="M13938" t="s">
        <v>17861</v>
      </c>
      <c r="N13938" t="str">
        <f>"6/1/2020 11:03:00 AM"</f>
        <v>6/1/2020 11:03:00 AM</v>
      </c>
      <c r="O13938" t="s">
        <v>42251</v>
      </c>
      <c r="T13938" t="s">
        <v>42252</v>
      </c>
    </row>
    <row r="13939" spans="1:20" x14ac:dyDescent="0.25">
      <c r="A13939" t="str">
        <f>"3061708"</f>
        <v>3061708</v>
      </c>
      <c r="B13939" t="s">
        <v>42255</v>
      </c>
      <c r="C13939" t="str">
        <f>"8313594"</f>
        <v>8313594</v>
      </c>
      <c r="D13939" t="s">
        <v>42256</v>
      </c>
      <c r="F13939" t="s">
        <v>42257</v>
      </c>
      <c r="I13939" t="s">
        <v>2071</v>
      </c>
      <c r="J13939" t="s">
        <v>30</v>
      </c>
      <c r="K13939" t="s">
        <v>30968</v>
      </c>
      <c r="M13939" t="s">
        <v>17861</v>
      </c>
      <c r="N13939" t="str">
        <f>"6/1/2020 11:13:00 AM"</f>
        <v>6/1/2020 11:13:00 AM</v>
      </c>
      <c r="O13939" t="s">
        <v>42256</v>
      </c>
    </row>
    <row r="13940" spans="1:20" x14ac:dyDescent="0.25">
      <c r="A13940" t="str">
        <f>"3054338"</f>
        <v>3054338</v>
      </c>
      <c r="B13940" t="s">
        <v>42258</v>
      </c>
      <c r="C13940" t="str">
        <f>"8313657"</f>
        <v>8313657</v>
      </c>
      <c r="D13940" t="s">
        <v>42259</v>
      </c>
      <c r="E13940" t="s">
        <v>42260</v>
      </c>
      <c r="F13940" t="s">
        <v>38151</v>
      </c>
      <c r="I13940" t="s">
        <v>29</v>
      </c>
      <c r="J13940" t="s">
        <v>30</v>
      </c>
      <c r="K13940" t="s">
        <v>22874</v>
      </c>
      <c r="M13940" t="s">
        <v>17861</v>
      </c>
      <c r="N13940" t="str">
        <f>"6/16/2020 10:14:00 AM"</f>
        <v>6/16/2020 10:14:00 AM</v>
      </c>
      <c r="O13940" t="s">
        <v>42259</v>
      </c>
      <c r="T13940" t="s">
        <v>42260</v>
      </c>
    </row>
    <row r="13941" spans="1:20" x14ac:dyDescent="0.25">
      <c r="A13941" t="str">
        <f>"3038921"</f>
        <v>3038921</v>
      </c>
      <c r="B13941" t="s">
        <v>42261</v>
      </c>
      <c r="C13941" t="str">
        <f>"8313659"</f>
        <v>8313659</v>
      </c>
      <c r="D13941" t="s">
        <v>42262</v>
      </c>
      <c r="F13941" t="s">
        <v>42263</v>
      </c>
      <c r="I13941" t="s">
        <v>29</v>
      </c>
      <c r="J13941" t="s">
        <v>30</v>
      </c>
      <c r="K13941" t="s">
        <v>4247</v>
      </c>
      <c r="M13941" t="s">
        <v>17861</v>
      </c>
      <c r="N13941" t="str">
        <f>"6/16/2020 11:00:00 AM"</f>
        <v>6/16/2020 11:00:00 AM</v>
      </c>
      <c r="O13941" t="s">
        <v>42262</v>
      </c>
    </row>
    <row r="13942" spans="1:20" x14ac:dyDescent="0.25">
      <c r="A13942" t="str">
        <f>"3041172"</f>
        <v>3041172</v>
      </c>
      <c r="B13942" t="s">
        <v>42264</v>
      </c>
      <c r="C13942" t="str">
        <f>"8313661"</f>
        <v>8313661</v>
      </c>
      <c r="D13942" t="s">
        <v>42265</v>
      </c>
      <c r="E13942" t="s">
        <v>42266</v>
      </c>
      <c r="F13942" t="s">
        <v>42267</v>
      </c>
      <c r="I13942" t="s">
        <v>2071</v>
      </c>
      <c r="J13942" t="s">
        <v>30</v>
      </c>
      <c r="K13942" t="s">
        <v>3837</v>
      </c>
      <c r="M13942" t="s">
        <v>17861</v>
      </c>
      <c r="N13942" t="str">
        <f>"6/16/2020 11:16:00 AM"</f>
        <v>6/16/2020 11:16:00 AM</v>
      </c>
      <c r="O13942" t="s">
        <v>42265</v>
      </c>
      <c r="T13942" t="s">
        <v>42266</v>
      </c>
    </row>
    <row r="13943" spans="1:20" x14ac:dyDescent="0.25">
      <c r="A13943" t="str">
        <f>"3053353"</f>
        <v>3053353</v>
      </c>
      <c r="B13943" t="s">
        <v>42268</v>
      </c>
      <c r="C13943" t="str">
        <f>"8313662"</f>
        <v>8313662</v>
      </c>
      <c r="D13943" t="s">
        <v>42269</v>
      </c>
      <c r="E13943" t="s">
        <v>42270</v>
      </c>
      <c r="F13943" t="s">
        <v>42271</v>
      </c>
      <c r="I13943" t="s">
        <v>163</v>
      </c>
      <c r="J13943" t="s">
        <v>30</v>
      </c>
      <c r="K13943" t="s">
        <v>42272</v>
      </c>
      <c r="M13943" t="s">
        <v>17861</v>
      </c>
      <c r="N13943" t="str">
        <f>"6/16/2020 11:21:00 AM"</f>
        <v>6/16/2020 11:21:00 AM</v>
      </c>
      <c r="O13943" t="s">
        <v>42269</v>
      </c>
      <c r="T13943" t="s">
        <v>42270</v>
      </c>
    </row>
    <row r="13944" spans="1:20" x14ac:dyDescent="0.25">
      <c r="A13944" t="str">
        <f>"3058184"</f>
        <v>3058184</v>
      </c>
      <c r="B13944" t="s">
        <v>42273</v>
      </c>
      <c r="C13944" t="str">
        <f>"8313600"</f>
        <v>8313600</v>
      </c>
      <c r="D13944" t="s">
        <v>42274</v>
      </c>
      <c r="E13944" t="s">
        <v>42275</v>
      </c>
      <c r="F13944" t="s">
        <v>42276</v>
      </c>
      <c r="I13944" t="s">
        <v>29</v>
      </c>
      <c r="J13944" t="s">
        <v>30</v>
      </c>
      <c r="K13944" t="s">
        <v>42277</v>
      </c>
      <c r="M13944" t="s">
        <v>17861</v>
      </c>
      <c r="N13944" t="str">
        <f>"6/2/2020 11:55:00 AM"</f>
        <v>6/2/2020 11:55:00 AM</v>
      </c>
      <c r="O13944" t="s">
        <v>42274</v>
      </c>
      <c r="T13944" t="s">
        <v>42275</v>
      </c>
    </row>
    <row r="13945" spans="1:20" x14ac:dyDescent="0.25">
      <c r="A13945" t="str">
        <f>"3055438"</f>
        <v>3055438</v>
      </c>
      <c r="B13945" t="s">
        <v>42278</v>
      </c>
      <c r="C13945" t="str">
        <f>"8313602"</f>
        <v>8313602</v>
      </c>
      <c r="D13945" t="s">
        <v>42279</v>
      </c>
      <c r="E13945" t="s">
        <v>42280</v>
      </c>
      <c r="F13945" t="s">
        <v>42281</v>
      </c>
      <c r="I13945" t="s">
        <v>17921</v>
      </c>
      <c r="J13945" t="s">
        <v>30</v>
      </c>
      <c r="K13945" t="str">
        <f>"27028"</f>
        <v>27028</v>
      </c>
      <c r="M13945" t="s">
        <v>17861</v>
      </c>
      <c r="N13945" t="str">
        <f>"6/2/2020 2:18:00 PM"</f>
        <v>6/2/2020 2:18:00 PM</v>
      </c>
      <c r="O13945" t="s">
        <v>42279</v>
      </c>
      <c r="T13945" t="s">
        <v>42280</v>
      </c>
    </row>
    <row r="13946" spans="1:20" x14ac:dyDescent="0.25">
      <c r="A13946" t="str">
        <f>"3060534"</f>
        <v>3060534</v>
      </c>
      <c r="B13946" t="s">
        <v>42282</v>
      </c>
      <c r="C13946" t="str">
        <f>"8313603"</f>
        <v>8313603</v>
      </c>
      <c r="D13946" t="s">
        <v>42283</v>
      </c>
      <c r="E13946" t="s">
        <v>42284</v>
      </c>
      <c r="F13946" t="s">
        <v>42285</v>
      </c>
      <c r="I13946" t="s">
        <v>184</v>
      </c>
      <c r="J13946" t="s">
        <v>30</v>
      </c>
      <c r="K13946" t="s">
        <v>42286</v>
      </c>
      <c r="M13946" t="s">
        <v>17861</v>
      </c>
      <c r="N13946" t="str">
        <f>"6/2/2020 2:41:00 PM"</f>
        <v>6/2/2020 2:41:00 PM</v>
      </c>
      <c r="O13946" t="s">
        <v>42283</v>
      </c>
      <c r="T13946" t="s">
        <v>42284</v>
      </c>
    </row>
    <row r="13947" spans="1:20" x14ac:dyDescent="0.25">
      <c r="A13947" t="str">
        <f>"3048751"</f>
        <v>3048751</v>
      </c>
      <c r="B13947" t="s">
        <v>42287</v>
      </c>
      <c r="C13947" t="str">
        <f>"8313606"</f>
        <v>8313606</v>
      </c>
      <c r="D13947" t="s">
        <v>22710</v>
      </c>
      <c r="F13947" t="s">
        <v>42288</v>
      </c>
      <c r="I13947" t="s">
        <v>29</v>
      </c>
      <c r="J13947" t="s">
        <v>30</v>
      </c>
      <c r="K13947" t="s">
        <v>37876</v>
      </c>
      <c r="M13947" t="s">
        <v>17861</v>
      </c>
      <c r="N13947" t="str">
        <f>"6/2/2020 3:58:00 PM"</f>
        <v>6/2/2020 3:58:00 PM</v>
      </c>
      <c r="O13947" t="s">
        <v>22710</v>
      </c>
    </row>
    <row r="13948" spans="1:20" x14ac:dyDescent="0.25">
      <c r="A13948" t="str">
        <f>"3059554"</f>
        <v>3059554</v>
      </c>
      <c r="B13948" t="s">
        <v>42289</v>
      </c>
      <c r="C13948" t="str">
        <f>"8313607"</f>
        <v>8313607</v>
      </c>
      <c r="D13948" t="s">
        <v>42290</v>
      </c>
      <c r="E13948" t="s">
        <v>42291</v>
      </c>
      <c r="F13948" t="s">
        <v>42292</v>
      </c>
      <c r="I13948" t="s">
        <v>29</v>
      </c>
      <c r="J13948" t="s">
        <v>30</v>
      </c>
      <c r="K13948" t="s">
        <v>36208</v>
      </c>
      <c r="M13948" t="s">
        <v>17861</v>
      </c>
      <c r="N13948" t="str">
        <f>"6/2/2020 4:03:00 PM"</f>
        <v>6/2/2020 4:03:00 PM</v>
      </c>
      <c r="O13948" t="s">
        <v>42290</v>
      </c>
      <c r="T13948" t="s">
        <v>42291</v>
      </c>
    </row>
    <row r="13949" spans="1:20" x14ac:dyDescent="0.25">
      <c r="A13949" t="str">
        <f>"3044870"</f>
        <v>3044870</v>
      </c>
      <c r="B13949" t="s">
        <v>42293</v>
      </c>
      <c r="C13949" t="str">
        <f>"8313609"</f>
        <v>8313609</v>
      </c>
      <c r="D13949" t="s">
        <v>42294</v>
      </c>
      <c r="F13949" t="s">
        <v>42295</v>
      </c>
      <c r="I13949" t="s">
        <v>184</v>
      </c>
      <c r="J13949" t="s">
        <v>30</v>
      </c>
      <c r="K13949" t="s">
        <v>6036</v>
      </c>
      <c r="M13949" t="s">
        <v>17861</v>
      </c>
      <c r="N13949" t="str">
        <f>"6/2/2020 4:14:00 PM"</f>
        <v>6/2/2020 4:14:00 PM</v>
      </c>
      <c r="O13949" t="s">
        <v>42294</v>
      </c>
    </row>
    <row r="13950" spans="1:20" x14ac:dyDescent="0.25">
      <c r="A13950" t="str">
        <f>"3043150"</f>
        <v>3043150</v>
      </c>
      <c r="B13950" t="s">
        <v>42296</v>
      </c>
      <c r="C13950" t="str">
        <f>"8313618"</f>
        <v>8313618</v>
      </c>
      <c r="D13950" t="s">
        <v>32557</v>
      </c>
      <c r="F13950" t="s">
        <v>38967</v>
      </c>
      <c r="I13950" t="s">
        <v>29</v>
      </c>
      <c r="J13950" t="s">
        <v>30</v>
      </c>
      <c r="K13950" t="s">
        <v>19651</v>
      </c>
      <c r="M13950" t="s">
        <v>17861</v>
      </c>
      <c r="N13950" t="str">
        <f>"6/5/2020 4:12:00 PM"</f>
        <v>6/5/2020 4:12:00 PM</v>
      </c>
      <c r="O13950" t="s">
        <v>32557</v>
      </c>
    </row>
    <row r="13951" spans="1:20" x14ac:dyDescent="0.25">
      <c r="A13951" t="str">
        <f>"3039549"</f>
        <v>3039549</v>
      </c>
      <c r="B13951" t="s">
        <v>42297</v>
      </c>
      <c r="C13951" t="str">
        <f>"8313619"</f>
        <v>8313619</v>
      </c>
      <c r="D13951" t="s">
        <v>42298</v>
      </c>
      <c r="F13951" t="s">
        <v>42299</v>
      </c>
      <c r="I13951" t="s">
        <v>184</v>
      </c>
      <c r="J13951" t="s">
        <v>30</v>
      </c>
      <c r="K13951" t="s">
        <v>42300</v>
      </c>
      <c r="M13951" t="s">
        <v>17861</v>
      </c>
      <c r="N13951" t="str">
        <f>"6/5/2020 4:19:00 PM"</f>
        <v>6/5/2020 4:19:00 PM</v>
      </c>
      <c r="O13951" t="s">
        <v>42298</v>
      </c>
    </row>
    <row r="13952" spans="1:20" x14ac:dyDescent="0.25">
      <c r="A13952" t="str">
        <f>"3076574"</f>
        <v>3076574</v>
      </c>
      <c r="B13952" t="s">
        <v>42301</v>
      </c>
      <c r="C13952" t="str">
        <f>"8313620"</f>
        <v>8313620</v>
      </c>
      <c r="D13952" t="s">
        <v>42302</v>
      </c>
      <c r="E13952" t="s">
        <v>42303</v>
      </c>
      <c r="F13952" t="s">
        <v>42304</v>
      </c>
      <c r="I13952" t="s">
        <v>184</v>
      </c>
      <c r="J13952" t="s">
        <v>30</v>
      </c>
      <c r="K13952" t="s">
        <v>42305</v>
      </c>
      <c r="M13952" t="s">
        <v>17861</v>
      </c>
      <c r="N13952" t="str">
        <f>"6/5/2020 4:23:00 PM"</f>
        <v>6/5/2020 4:23:00 PM</v>
      </c>
      <c r="O13952" t="s">
        <v>42302</v>
      </c>
      <c r="T13952" t="s">
        <v>42303</v>
      </c>
    </row>
    <row r="13953" spans="1:20" x14ac:dyDescent="0.25">
      <c r="A13953" t="str">
        <f>"3070904"</f>
        <v>3070904</v>
      </c>
      <c r="B13953" t="s">
        <v>42306</v>
      </c>
      <c r="C13953" t="str">
        <f>"29245120"</f>
        <v>29245120</v>
      </c>
      <c r="D13953" t="s">
        <v>42307</v>
      </c>
      <c r="F13953" t="s">
        <v>42308</v>
      </c>
      <c r="I13953" t="s">
        <v>29</v>
      </c>
      <c r="J13953" t="s">
        <v>30</v>
      </c>
      <c r="K13953" t="s">
        <v>31</v>
      </c>
      <c r="M13953" t="s">
        <v>25733</v>
      </c>
      <c r="N13953" t="str">
        <f>"6/9/2020 1:53:00 PM"</f>
        <v>6/9/2020 1:53:00 PM</v>
      </c>
      <c r="O13953" t="s">
        <v>42307</v>
      </c>
      <c r="T13953" t="s">
        <v>42307</v>
      </c>
    </row>
    <row r="13954" spans="1:20" x14ac:dyDescent="0.25">
      <c r="A13954" t="str">
        <f>"3061576"</f>
        <v>3061576</v>
      </c>
      <c r="B13954" t="s">
        <v>42309</v>
      </c>
      <c r="C13954" t="str">
        <f>"8313627"</f>
        <v>8313627</v>
      </c>
      <c r="D13954" t="s">
        <v>42310</v>
      </c>
      <c r="E13954" t="s">
        <v>42311</v>
      </c>
      <c r="F13954" t="s">
        <v>42312</v>
      </c>
      <c r="I13954" t="s">
        <v>184</v>
      </c>
      <c r="J13954" t="s">
        <v>30</v>
      </c>
      <c r="K13954" t="s">
        <v>25769</v>
      </c>
      <c r="M13954" t="s">
        <v>17861</v>
      </c>
      <c r="N13954" t="str">
        <f>"6/9/2020 2:39:00 PM"</f>
        <v>6/9/2020 2:39:00 PM</v>
      </c>
      <c r="O13954" t="s">
        <v>42310</v>
      </c>
      <c r="T13954" t="s">
        <v>42311</v>
      </c>
    </row>
    <row r="13955" spans="1:20" x14ac:dyDescent="0.25">
      <c r="A13955" t="str">
        <f>"3059886"</f>
        <v>3059886</v>
      </c>
      <c r="B13955" t="s">
        <v>42313</v>
      </c>
      <c r="C13955" t="str">
        <f>"8307387"</f>
        <v>8307387</v>
      </c>
      <c r="D13955" t="s">
        <v>42314</v>
      </c>
      <c r="E13955" t="s">
        <v>42315</v>
      </c>
      <c r="F13955" t="s">
        <v>42316</v>
      </c>
      <c r="I13955" t="s">
        <v>29</v>
      </c>
      <c r="J13955" t="s">
        <v>30</v>
      </c>
      <c r="K13955" t="str">
        <f>"27028"</f>
        <v>27028</v>
      </c>
      <c r="M13955" t="s">
        <v>25733</v>
      </c>
      <c r="N13955" t="str">
        <f>"6/9/2020 3:10:00 PM"</f>
        <v>6/9/2020 3:10:00 PM</v>
      </c>
      <c r="O13955" t="s">
        <v>42314</v>
      </c>
      <c r="T13955" t="s">
        <v>42315</v>
      </c>
    </row>
    <row r="13956" spans="1:20" x14ac:dyDescent="0.25">
      <c r="A13956" t="str">
        <f>"3038708"</f>
        <v>3038708</v>
      </c>
      <c r="B13956" t="s">
        <v>42317</v>
      </c>
      <c r="C13956" t="str">
        <f>"8313629"</f>
        <v>8313629</v>
      </c>
      <c r="D13956" t="s">
        <v>42318</v>
      </c>
      <c r="E13956" t="s">
        <v>42319</v>
      </c>
      <c r="F13956" t="s">
        <v>42320</v>
      </c>
      <c r="I13956" t="s">
        <v>29</v>
      </c>
      <c r="J13956" t="s">
        <v>30</v>
      </c>
      <c r="K13956" t="s">
        <v>18903</v>
      </c>
      <c r="M13956" t="s">
        <v>17861</v>
      </c>
      <c r="N13956" t="str">
        <f>"6/9/2020 3:11:00 PM"</f>
        <v>6/9/2020 3:11:00 PM</v>
      </c>
      <c r="O13956" t="s">
        <v>42318</v>
      </c>
      <c r="T13956" t="s">
        <v>42319</v>
      </c>
    </row>
    <row r="13957" spans="1:20" x14ac:dyDescent="0.25">
      <c r="A13957" t="str">
        <f>"3055188"</f>
        <v>3055188</v>
      </c>
      <c r="B13957" t="s">
        <v>42321</v>
      </c>
      <c r="C13957" t="str">
        <f>"8313630"</f>
        <v>8313630</v>
      </c>
      <c r="D13957" t="s">
        <v>42322</v>
      </c>
      <c r="F13957" t="s">
        <v>42323</v>
      </c>
      <c r="I13957" t="s">
        <v>29</v>
      </c>
      <c r="J13957" t="s">
        <v>30</v>
      </c>
      <c r="K13957" t="s">
        <v>42324</v>
      </c>
      <c r="M13957" t="s">
        <v>17861</v>
      </c>
      <c r="N13957" t="str">
        <f>"6/9/2020 3:15:00 PM"</f>
        <v>6/9/2020 3:15:00 PM</v>
      </c>
      <c r="O13957" t="s">
        <v>42322</v>
      </c>
    </row>
    <row r="13958" spans="1:20" x14ac:dyDescent="0.25">
      <c r="A13958" t="str">
        <f>"3056684"</f>
        <v>3056684</v>
      </c>
      <c r="B13958" t="s">
        <v>42325</v>
      </c>
      <c r="C13958" t="str">
        <f>"8313635"</f>
        <v>8313635</v>
      </c>
      <c r="D13958" t="s">
        <v>42326</v>
      </c>
      <c r="E13958" t="s">
        <v>42327</v>
      </c>
      <c r="F13958" t="s">
        <v>42328</v>
      </c>
      <c r="I13958" t="s">
        <v>29</v>
      </c>
      <c r="J13958" t="s">
        <v>30</v>
      </c>
      <c r="K13958" t="s">
        <v>42329</v>
      </c>
      <c r="M13958" t="s">
        <v>17861</v>
      </c>
      <c r="N13958" t="str">
        <f>"6/10/2020 9:21:00 AM"</f>
        <v>6/10/2020 9:21:00 AM</v>
      </c>
      <c r="O13958" t="s">
        <v>42326</v>
      </c>
      <c r="T13958" t="s">
        <v>42327</v>
      </c>
    </row>
    <row r="13959" spans="1:20" x14ac:dyDescent="0.25">
      <c r="A13959" t="str">
        <f>"3040260"</f>
        <v>3040260</v>
      </c>
      <c r="B13959" t="s">
        <v>42330</v>
      </c>
      <c r="C13959" t="str">
        <f>"8304612"</f>
        <v>8304612</v>
      </c>
      <c r="D13959" t="s">
        <v>42331</v>
      </c>
      <c r="F13959" t="s">
        <v>42332</v>
      </c>
      <c r="I13959" t="s">
        <v>29</v>
      </c>
      <c r="J13959" t="s">
        <v>30</v>
      </c>
      <c r="K13959" t="s">
        <v>42333</v>
      </c>
      <c r="M13959" t="s">
        <v>18479</v>
      </c>
      <c r="N13959" t="str">
        <f>"6/10/2020 4:32:00 PM"</f>
        <v>6/10/2020 4:32:00 PM</v>
      </c>
      <c r="O13959" t="s">
        <v>42331</v>
      </c>
    </row>
    <row r="13960" spans="1:20" x14ac:dyDescent="0.25">
      <c r="A13960" t="str">
        <f>"3040040"</f>
        <v>3040040</v>
      </c>
      <c r="B13960" t="s">
        <v>42334</v>
      </c>
      <c r="C13960" t="str">
        <f>"8313640"</f>
        <v>8313640</v>
      </c>
      <c r="D13960" t="s">
        <v>42335</v>
      </c>
      <c r="F13960" t="s">
        <v>42336</v>
      </c>
      <c r="I13960" t="s">
        <v>29</v>
      </c>
      <c r="J13960" t="s">
        <v>30</v>
      </c>
      <c r="K13960" t="s">
        <v>35785</v>
      </c>
      <c r="M13960" t="s">
        <v>17861</v>
      </c>
      <c r="N13960" t="str">
        <f>"6/11/2020 2:45:00 PM"</f>
        <v>6/11/2020 2:45:00 PM</v>
      </c>
      <c r="O13960" t="s">
        <v>42335</v>
      </c>
    </row>
    <row r="13961" spans="1:20" x14ac:dyDescent="0.25">
      <c r="A13961" t="str">
        <f>"3054515"</f>
        <v>3054515</v>
      </c>
      <c r="B13961" t="s">
        <v>42337</v>
      </c>
      <c r="C13961" t="str">
        <f>"8313642"</f>
        <v>8313642</v>
      </c>
      <c r="D13961" t="s">
        <v>42338</v>
      </c>
      <c r="F13961" t="s">
        <v>42339</v>
      </c>
      <c r="I13961" t="s">
        <v>29</v>
      </c>
      <c r="J13961" t="s">
        <v>30</v>
      </c>
      <c r="K13961" t="str">
        <f>"27028"</f>
        <v>27028</v>
      </c>
      <c r="M13961" t="s">
        <v>17861</v>
      </c>
      <c r="N13961" t="str">
        <f>"6/11/2020 2:51:00 PM"</f>
        <v>6/11/2020 2:51:00 PM</v>
      </c>
      <c r="O13961" t="s">
        <v>42338</v>
      </c>
    </row>
    <row r="13962" spans="1:20" x14ac:dyDescent="0.25">
      <c r="A13962" t="str">
        <f>"3038558"</f>
        <v>3038558</v>
      </c>
      <c r="B13962" t="s">
        <v>42340</v>
      </c>
      <c r="C13962" t="str">
        <f>"8313644"</f>
        <v>8313644</v>
      </c>
      <c r="D13962" t="s">
        <v>42341</v>
      </c>
      <c r="F13962" t="s">
        <v>42342</v>
      </c>
      <c r="I13962" t="s">
        <v>29</v>
      </c>
      <c r="J13962" t="s">
        <v>30</v>
      </c>
      <c r="K13962" t="s">
        <v>42343</v>
      </c>
      <c r="M13962" t="s">
        <v>17861</v>
      </c>
      <c r="N13962" t="str">
        <f>"6/11/2020 3:12:00 PM"</f>
        <v>6/11/2020 3:12:00 PM</v>
      </c>
      <c r="O13962" t="s">
        <v>42341</v>
      </c>
    </row>
    <row r="13963" spans="1:20" x14ac:dyDescent="0.25">
      <c r="A13963" t="str">
        <f>"3062597"</f>
        <v>3062597</v>
      </c>
      <c r="B13963" t="s">
        <v>42344</v>
      </c>
      <c r="C13963" t="str">
        <f>"8313645"</f>
        <v>8313645</v>
      </c>
      <c r="D13963" t="s">
        <v>42345</v>
      </c>
      <c r="E13963" t="s">
        <v>42346</v>
      </c>
      <c r="F13963" t="s">
        <v>42347</v>
      </c>
      <c r="I13963" t="s">
        <v>184</v>
      </c>
      <c r="J13963" t="s">
        <v>30</v>
      </c>
      <c r="K13963" t="s">
        <v>2174</v>
      </c>
      <c r="M13963" t="s">
        <v>17861</v>
      </c>
      <c r="N13963" t="str">
        <f>"6/11/2020 3:33:00 PM"</f>
        <v>6/11/2020 3:33:00 PM</v>
      </c>
      <c r="O13963" t="s">
        <v>42345</v>
      </c>
      <c r="T13963" t="s">
        <v>42346</v>
      </c>
    </row>
    <row r="13964" spans="1:20" x14ac:dyDescent="0.25">
      <c r="A13964" t="str">
        <f>"3057519"</f>
        <v>3057519</v>
      </c>
      <c r="B13964" t="s">
        <v>42348</v>
      </c>
      <c r="C13964" t="str">
        <f>"8313646"</f>
        <v>8313646</v>
      </c>
      <c r="D13964" t="s">
        <v>42349</v>
      </c>
      <c r="E13964" t="s">
        <v>42350</v>
      </c>
      <c r="F13964" t="s">
        <v>42351</v>
      </c>
      <c r="I13964" t="s">
        <v>184</v>
      </c>
      <c r="J13964" t="s">
        <v>30</v>
      </c>
      <c r="K13964" t="s">
        <v>3205</v>
      </c>
      <c r="M13964" t="s">
        <v>17861</v>
      </c>
      <c r="N13964" t="str">
        <f>"6/11/2020 3:44:00 PM"</f>
        <v>6/11/2020 3:44:00 PM</v>
      </c>
      <c r="O13964" t="s">
        <v>42349</v>
      </c>
      <c r="T13964" t="s">
        <v>42350</v>
      </c>
    </row>
    <row r="13965" spans="1:20" x14ac:dyDescent="0.25">
      <c r="A13965" t="str">
        <f>"3040454"</f>
        <v>3040454</v>
      </c>
      <c r="B13965" t="s">
        <v>42352</v>
      </c>
      <c r="C13965" t="str">
        <f>"8313647"</f>
        <v>8313647</v>
      </c>
      <c r="D13965" t="s">
        <v>42353</v>
      </c>
      <c r="E13965" t="s">
        <v>42354</v>
      </c>
      <c r="F13965" t="s">
        <v>42355</v>
      </c>
      <c r="I13965" t="s">
        <v>29</v>
      </c>
      <c r="J13965" t="s">
        <v>30</v>
      </c>
      <c r="K13965" t="s">
        <v>42356</v>
      </c>
      <c r="M13965" t="s">
        <v>17861</v>
      </c>
      <c r="N13965" t="str">
        <f>"6/11/2020 3:51:00 PM"</f>
        <v>6/11/2020 3:51:00 PM</v>
      </c>
      <c r="O13965" t="s">
        <v>42353</v>
      </c>
      <c r="T13965" t="s">
        <v>42354</v>
      </c>
    </row>
    <row r="13966" spans="1:20" x14ac:dyDescent="0.25">
      <c r="A13966" t="str">
        <f>"3045735"</f>
        <v>3045735</v>
      </c>
      <c r="B13966" t="s">
        <v>42357</v>
      </c>
      <c r="C13966" t="str">
        <f>"8313654"</f>
        <v>8313654</v>
      </c>
      <c r="D13966" t="s">
        <v>42358</v>
      </c>
      <c r="E13966" t="s">
        <v>42359</v>
      </c>
      <c r="F13966" t="s">
        <v>42360</v>
      </c>
      <c r="I13966" t="s">
        <v>1149</v>
      </c>
      <c r="J13966" t="s">
        <v>30</v>
      </c>
      <c r="K13966" t="s">
        <v>42361</v>
      </c>
      <c r="M13966" t="s">
        <v>17861</v>
      </c>
      <c r="N13966" t="str">
        <f>"6/16/2020 9:36:00 AM"</f>
        <v>6/16/2020 9:36:00 AM</v>
      </c>
      <c r="O13966" t="s">
        <v>42358</v>
      </c>
      <c r="T13966" t="s">
        <v>42359</v>
      </c>
    </row>
    <row r="13967" spans="1:20" x14ac:dyDescent="0.25">
      <c r="A13967" t="str">
        <f>"3057662"</f>
        <v>3057662</v>
      </c>
      <c r="B13967" t="s">
        <v>42362</v>
      </c>
      <c r="C13967" t="str">
        <f>"8313655"</f>
        <v>8313655</v>
      </c>
      <c r="D13967" t="s">
        <v>42363</v>
      </c>
      <c r="E13967" t="s">
        <v>42364</v>
      </c>
      <c r="F13967" t="s">
        <v>42365</v>
      </c>
      <c r="I13967" t="s">
        <v>24359</v>
      </c>
      <c r="J13967" t="s">
        <v>30</v>
      </c>
      <c r="K13967" t="str">
        <f>"27006"</f>
        <v>27006</v>
      </c>
      <c r="M13967" t="s">
        <v>17861</v>
      </c>
      <c r="N13967" t="str">
        <f>"6/16/2020 9:43:00 AM"</f>
        <v>6/16/2020 9:43:00 AM</v>
      </c>
      <c r="O13967" t="s">
        <v>42363</v>
      </c>
      <c r="T13967" t="s">
        <v>42364</v>
      </c>
    </row>
    <row r="13968" spans="1:20" x14ac:dyDescent="0.25">
      <c r="A13968" t="str">
        <f>"3059371"</f>
        <v>3059371</v>
      </c>
      <c r="B13968" t="s">
        <v>42366</v>
      </c>
      <c r="C13968" t="str">
        <f>"8313664"</f>
        <v>8313664</v>
      </c>
      <c r="D13968" t="s">
        <v>42367</v>
      </c>
      <c r="F13968" t="s">
        <v>42368</v>
      </c>
      <c r="I13968" t="s">
        <v>29</v>
      </c>
      <c r="J13968" t="s">
        <v>30</v>
      </c>
      <c r="K13968" t="s">
        <v>42369</v>
      </c>
      <c r="M13968" t="s">
        <v>17861</v>
      </c>
      <c r="N13968" t="str">
        <f>"6/17/2020 10:03:00 AM"</f>
        <v>6/17/2020 10:03:00 AM</v>
      </c>
      <c r="O13968" t="s">
        <v>42367</v>
      </c>
    </row>
    <row r="13969" spans="1:20" x14ac:dyDescent="0.25">
      <c r="A13969" t="str">
        <f>"3068813"</f>
        <v>3068813</v>
      </c>
      <c r="B13969" t="s">
        <v>42370</v>
      </c>
      <c r="C13969" t="str">
        <f>"8313667"</f>
        <v>8313667</v>
      </c>
      <c r="D13969" t="s">
        <v>42371</v>
      </c>
      <c r="E13969" t="s">
        <v>42372</v>
      </c>
      <c r="F13969" t="s">
        <v>42373</v>
      </c>
      <c r="I13969" t="s">
        <v>29</v>
      </c>
      <c r="J13969" t="s">
        <v>30</v>
      </c>
      <c r="K13969" t="s">
        <v>42374</v>
      </c>
      <c r="M13969" t="s">
        <v>17861</v>
      </c>
      <c r="N13969" t="str">
        <f>"6/17/2020 10:23:00 AM"</f>
        <v>6/17/2020 10:23:00 AM</v>
      </c>
      <c r="O13969" t="s">
        <v>42371</v>
      </c>
      <c r="T13969" t="s">
        <v>42372</v>
      </c>
    </row>
    <row r="13970" spans="1:20" x14ac:dyDescent="0.25">
      <c r="A13970" t="str">
        <f>"3058883"</f>
        <v>3058883</v>
      </c>
      <c r="B13970" t="s">
        <v>42375</v>
      </c>
      <c r="C13970" t="str">
        <f>"8313687"</f>
        <v>8313687</v>
      </c>
      <c r="D13970" t="s">
        <v>42376</v>
      </c>
      <c r="E13970" t="s">
        <v>42377</v>
      </c>
      <c r="F13970" t="s">
        <v>42378</v>
      </c>
      <c r="I13970" t="s">
        <v>29</v>
      </c>
      <c r="J13970" t="s">
        <v>30</v>
      </c>
      <c r="K13970" t="s">
        <v>36218</v>
      </c>
      <c r="M13970" t="s">
        <v>17861</v>
      </c>
      <c r="N13970" t="str">
        <f>"6/24/2020 10:01:00 AM"</f>
        <v>6/24/2020 10:01:00 AM</v>
      </c>
      <c r="O13970" t="s">
        <v>42376</v>
      </c>
      <c r="T13970" t="s">
        <v>42377</v>
      </c>
    </row>
    <row r="13971" spans="1:20" x14ac:dyDescent="0.25">
      <c r="A13971" t="str">
        <f>"3050754"</f>
        <v>3050754</v>
      </c>
      <c r="B13971" t="s">
        <v>42379</v>
      </c>
      <c r="C13971" t="str">
        <f>"8313689"</f>
        <v>8313689</v>
      </c>
      <c r="D13971" t="s">
        <v>42380</v>
      </c>
      <c r="E13971" t="s">
        <v>42381</v>
      </c>
      <c r="F13971" t="s">
        <v>42382</v>
      </c>
      <c r="I13971" t="s">
        <v>184</v>
      </c>
      <c r="J13971" t="s">
        <v>30</v>
      </c>
      <c r="K13971" t="s">
        <v>3201</v>
      </c>
      <c r="M13971" t="s">
        <v>17861</v>
      </c>
      <c r="N13971" t="str">
        <f>"6/24/2020 10:49:00 AM"</f>
        <v>6/24/2020 10:49:00 AM</v>
      </c>
      <c r="O13971" t="s">
        <v>42380</v>
      </c>
      <c r="T13971" t="s">
        <v>42381</v>
      </c>
    </row>
    <row r="13972" spans="1:20" x14ac:dyDescent="0.25">
      <c r="A13972" t="str">
        <f>"3063578"</f>
        <v>3063578</v>
      </c>
      <c r="B13972" t="s">
        <v>42383</v>
      </c>
      <c r="C13972" t="str">
        <f>"8313692"</f>
        <v>8313692</v>
      </c>
      <c r="D13972" t="s">
        <v>42384</v>
      </c>
      <c r="E13972" t="s">
        <v>42385</v>
      </c>
      <c r="F13972" t="s">
        <v>42386</v>
      </c>
      <c r="I13972" t="s">
        <v>29</v>
      </c>
      <c r="J13972" t="s">
        <v>30</v>
      </c>
      <c r="K13972" t="s">
        <v>42387</v>
      </c>
      <c r="M13972" t="s">
        <v>17861</v>
      </c>
      <c r="N13972" t="str">
        <f>"6/24/2020 1:37:00 PM"</f>
        <v>6/24/2020 1:37:00 PM</v>
      </c>
      <c r="O13972" t="s">
        <v>42384</v>
      </c>
      <c r="T13972" t="s">
        <v>42385</v>
      </c>
    </row>
    <row r="13973" spans="1:20" x14ac:dyDescent="0.25">
      <c r="A13973" t="str">
        <f>"3039671"</f>
        <v>3039671</v>
      </c>
      <c r="B13973" t="s">
        <v>42388</v>
      </c>
      <c r="C13973" t="str">
        <f>"8313695"</f>
        <v>8313695</v>
      </c>
      <c r="D13973" t="s">
        <v>42389</v>
      </c>
      <c r="F13973" t="s">
        <v>42390</v>
      </c>
      <c r="I13973" t="s">
        <v>184</v>
      </c>
      <c r="J13973" t="s">
        <v>30</v>
      </c>
      <c r="K13973" t="s">
        <v>1664</v>
      </c>
      <c r="M13973" t="s">
        <v>17861</v>
      </c>
      <c r="N13973" t="str">
        <f>"6/24/2020 1:52:00 PM"</f>
        <v>6/24/2020 1:52:00 PM</v>
      </c>
      <c r="O13973" t="s">
        <v>42389</v>
      </c>
    </row>
    <row r="13974" spans="1:20" x14ac:dyDescent="0.25">
      <c r="A13974" t="str">
        <f>"3048747"</f>
        <v>3048747</v>
      </c>
      <c r="B13974" t="s">
        <v>42391</v>
      </c>
      <c r="C13974" t="str">
        <f>"8302553"</f>
        <v>8302553</v>
      </c>
      <c r="D13974" t="s">
        <v>42392</v>
      </c>
      <c r="E13974" t="s">
        <v>42393</v>
      </c>
      <c r="F13974" t="s">
        <v>42394</v>
      </c>
      <c r="I13974" t="s">
        <v>29</v>
      </c>
      <c r="J13974" t="s">
        <v>30</v>
      </c>
      <c r="K13974" t="s">
        <v>36018</v>
      </c>
      <c r="M13974" t="s">
        <v>17861</v>
      </c>
      <c r="N13974" t="str">
        <f>"6/19/2020 4:17:00 PM"</f>
        <v>6/19/2020 4:17:00 PM</v>
      </c>
      <c r="O13974" t="s">
        <v>42392</v>
      </c>
      <c r="T13974" t="s">
        <v>42393</v>
      </c>
    </row>
    <row r="13975" spans="1:20" x14ac:dyDescent="0.25">
      <c r="A13975" t="str">
        <f>"3045020"</f>
        <v>3045020</v>
      </c>
      <c r="B13975" t="s">
        <v>42395</v>
      </c>
      <c r="C13975" t="str">
        <f>"82531523"</f>
        <v>82531523</v>
      </c>
      <c r="D13975" t="s">
        <v>42396</v>
      </c>
      <c r="E13975" t="s">
        <v>42397</v>
      </c>
      <c r="F13975" t="s">
        <v>42398</v>
      </c>
      <c r="I13975" t="s">
        <v>402</v>
      </c>
      <c r="J13975" t="s">
        <v>30</v>
      </c>
      <c r="K13975" t="s">
        <v>403</v>
      </c>
      <c r="M13975" t="s">
        <v>33845</v>
      </c>
      <c r="N13975" t="str">
        <f>"6/23/2020 2:47:00 PM"</f>
        <v>6/23/2020 2:47:00 PM</v>
      </c>
      <c r="O13975" t="s">
        <v>42396</v>
      </c>
      <c r="T13975" t="s">
        <v>42397</v>
      </c>
    </row>
    <row r="13976" spans="1:20" x14ac:dyDescent="0.25">
      <c r="A13976" t="str">
        <f>"3059093"</f>
        <v>3059093</v>
      </c>
      <c r="B13976" t="s">
        <v>42399</v>
      </c>
      <c r="C13976" t="str">
        <f>"8313677"</f>
        <v>8313677</v>
      </c>
      <c r="D13976" t="s">
        <v>42400</v>
      </c>
      <c r="F13976" t="s">
        <v>42401</v>
      </c>
      <c r="I13976" t="s">
        <v>29</v>
      </c>
      <c r="J13976" t="s">
        <v>30</v>
      </c>
      <c r="K13976" t="s">
        <v>11964</v>
      </c>
      <c r="M13976" t="s">
        <v>17861</v>
      </c>
      <c r="N13976" t="str">
        <f>"6/23/2020 3:14:00 PM"</f>
        <v>6/23/2020 3:14:00 PM</v>
      </c>
      <c r="O13976" t="s">
        <v>42400</v>
      </c>
    </row>
    <row r="13977" spans="1:20" x14ac:dyDescent="0.25">
      <c r="A13977" t="str">
        <f>"3060257"</f>
        <v>3060257</v>
      </c>
      <c r="B13977" t="s">
        <v>42402</v>
      </c>
      <c r="C13977" t="str">
        <f>"8305677"</f>
        <v>8305677</v>
      </c>
      <c r="D13977" t="s">
        <v>42403</v>
      </c>
      <c r="E13977" t="s">
        <v>42404</v>
      </c>
      <c r="F13977" t="s">
        <v>42405</v>
      </c>
      <c r="I13977" t="s">
        <v>184</v>
      </c>
      <c r="J13977" t="s">
        <v>30</v>
      </c>
      <c r="K13977" t="str">
        <f>"27006"</f>
        <v>27006</v>
      </c>
      <c r="M13977" t="s">
        <v>33845</v>
      </c>
      <c r="N13977" t="str">
        <f>"6/23/2020 4:00:00 PM"</f>
        <v>6/23/2020 4:00:00 PM</v>
      </c>
      <c r="O13977" t="s">
        <v>42403</v>
      </c>
      <c r="T13977" t="s">
        <v>42404</v>
      </c>
    </row>
    <row r="13978" spans="1:20" x14ac:dyDescent="0.25">
      <c r="A13978" t="str">
        <f>"3062781"</f>
        <v>3062781</v>
      </c>
      <c r="B13978" t="s">
        <v>42406</v>
      </c>
      <c r="C13978" t="str">
        <f>"8313680"</f>
        <v>8313680</v>
      </c>
      <c r="D13978" t="s">
        <v>42407</v>
      </c>
      <c r="E13978" t="s">
        <v>42408</v>
      </c>
      <c r="F13978" t="s">
        <v>42409</v>
      </c>
      <c r="I13978" t="s">
        <v>29</v>
      </c>
      <c r="J13978" t="s">
        <v>30</v>
      </c>
      <c r="K13978" t="s">
        <v>4748</v>
      </c>
      <c r="M13978" t="s">
        <v>17861</v>
      </c>
      <c r="N13978" t="str">
        <f>"6/23/2020 4:21:00 PM"</f>
        <v>6/23/2020 4:21:00 PM</v>
      </c>
      <c r="O13978" t="s">
        <v>42407</v>
      </c>
      <c r="T13978" t="s">
        <v>42408</v>
      </c>
    </row>
    <row r="13979" spans="1:20" x14ac:dyDescent="0.25">
      <c r="A13979" t="str">
        <f>"3041350"</f>
        <v>3041350</v>
      </c>
      <c r="B13979" t="s">
        <v>42410</v>
      </c>
      <c r="C13979" t="str">
        <f>"8313682"</f>
        <v>8313682</v>
      </c>
      <c r="D13979" t="s">
        <v>42411</v>
      </c>
      <c r="E13979" t="s">
        <v>42412</v>
      </c>
      <c r="F13979" t="s">
        <v>42413</v>
      </c>
      <c r="I13979" t="s">
        <v>184</v>
      </c>
      <c r="J13979" t="s">
        <v>30</v>
      </c>
      <c r="K13979" t="s">
        <v>32945</v>
      </c>
      <c r="M13979" t="s">
        <v>17861</v>
      </c>
      <c r="N13979" t="str">
        <f>"6/23/2020 4:33:00 PM"</f>
        <v>6/23/2020 4:33:00 PM</v>
      </c>
      <c r="O13979" t="s">
        <v>42411</v>
      </c>
      <c r="T13979" t="s">
        <v>42412</v>
      </c>
    </row>
    <row r="13980" spans="1:20" x14ac:dyDescent="0.25">
      <c r="A13980" t="str">
        <f>"3052376"</f>
        <v>3052376</v>
      </c>
      <c r="B13980" t="s">
        <v>42414</v>
      </c>
      <c r="C13980" t="str">
        <f>"8313683"</f>
        <v>8313683</v>
      </c>
      <c r="D13980" t="s">
        <v>42415</v>
      </c>
      <c r="F13980" t="s">
        <v>36221</v>
      </c>
      <c r="I13980" t="s">
        <v>36222</v>
      </c>
      <c r="J13980" t="s">
        <v>3737</v>
      </c>
      <c r="K13980" t="s">
        <v>36223</v>
      </c>
      <c r="M13980" t="s">
        <v>17861</v>
      </c>
      <c r="N13980" t="str">
        <f>"6/24/2020 8:29:00 AM"</f>
        <v>6/24/2020 8:29:00 AM</v>
      </c>
      <c r="O13980" t="s">
        <v>42415</v>
      </c>
    </row>
    <row r="13981" spans="1:20" x14ac:dyDescent="0.25">
      <c r="A13981" t="str">
        <f>"3059152"</f>
        <v>3059152</v>
      </c>
      <c r="B13981" t="s">
        <v>42416</v>
      </c>
      <c r="C13981" t="str">
        <f>"8313684"</f>
        <v>8313684</v>
      </c>
      <c r="D13981" t="s">
        <v>42417</v>
      </c>
      <c r="E13981" t="s">
        <v>42418</v>
      </c>
      <c r="F13981" t="s">
        <v>42419</v>
      </c>
      <c r="I13981" t="s">
        <v>29</v>
      </c>
      <c r="J13981" t="s">
        <v>30</v>
      </c>
      <c r="K13981" t="s">
        <v>33498</v>
      </c>
      <c r="M13981" t="s">
        <v>17861</v>
      </c>
      <c r="N13981" t="str">
        <f>"6/24/2020 8:41:00 AM"</f>
        <v>6/24/2020 8:41:00 AM</v>
      </c>
      <c r="O13981" t="s">
        <v>42417</v>
      </c>
      <c r="T13981" t="s">
        <v>42418</v>
      </c>
    </row>
    <row r="13982" spans="1:20" x14ac:dyDescent="0.25">
      <c r="A13982" t="str">
        <f>"3051553"</f>
        <v>3051553</v>
      </c>
      <c r="B13982" t="s">
        <v>42420</v>
      </c>
      <c r="C13982" t="str">
        <f>"8313686"</f>
        <v>8313686</v>
      </c>
      <c r="D13982" t="s">
        <v>42421</v>
      </c>
      <c r="F13982" t="s">
        <v>42422</v>
      </c>
      <c r="I13982" t="s">
        <v>29</v>
      </c>
      <c r="J13982" t="s">
        <v>30</v>
      </c>
      <c r="K13982" t="s">
        <v>12909</v>
      </c>
      <c r="M13982" t="s">
        <v>17861</v>
      </c>
      <c r="N13982" t="str">
        <f>"6/24/2020 9:39:00 AM"</f>
        <v>6/24/2020 9:39:00 AM</v>
      </c>
      <c r="O13982" t="s">
        <v>42421</v>
      </c>
    </row>
    <row r="13983" spans="1:20" x14ac:dyDescent="0.25">
      <c r="A13983" t="str">
        <f>"3044843"</f>
        <v>3044843</v>
      </c>
      <c r="B13983" t="s">
        <v>42423</v>
      </c>
      <c r="C13983" t="str">
        <f>"8313720"</f>
        <v>8313720</v>
      </c>
      <c r="D13983" t="s">
        <v>42424</v>
      </c>
      <c r="E13983" t="s">
        <v>42425</v>
      </c>
      <c r="F13983" t="s">
        <v>42426</v>
      </c>
      <c r="I13983" t="s">
        <v>184</v>
      </c>
      <c r="J13983" t="s">
        <v>30</v>
      </c>
      <c r="K13983" t="s">
        <v>35280</v>
      </c>
      <c r="M13983" t="s">
        <v>17861</v>
      </c>
      <c r="N13983" t="str">
        <f>"6/29/2020 2:52:00 PM"</f>
        <v>6/29/2020 2:52:00 PM</v>
      </c>
      <c r="O13983" t="s">
        <v>42424</v>
      </c>
      <c r="T13983" t="s">
        <v>42425</v>
      </c>
    </row>
    <row r="13984" spans="1:20" x14ac:dyDescent="0.25">
      <c r="A13984" t="str">
        <f>"3062350"</f>
        <v>3062350</v>
      </c>
      <c r="B13984" t="s">
        <v>42427</v>
      </c>
      <c r="C13984" t="str">
        <f>"8313736"</f>
        <v>8313736</v>
      </c>
      <c r="D13984" t="s">
        <v>42428</v>
      </c>
      <c r="E13984" t="s">
        <v>42429</v>
      </c>
      <c r="F13984" t="s">
        <v>42430</v>
      </c>
      <c r="I13984" t="s">
        <v>29</v>
      </c>
      <c r="J13984" t="s">
        <v>30</v>
      </c>
      <c r="K13984" t="s">
        <v>14086</v>
      </c>
      <c r="M13984" t="s">
        <v>17861</v>
      </c>
      <c r="N13984" t="str">
        <f>"7/2/2020 10:22:00 AM"</f>
        <v>7/2/2020 10:22:00 AM</v>
      </c>
      <c r="O13984" t="s">
        <v>42428</v>
      </c>
      <c r="T13984" t="s">
        <v>42429</v>
      </c>
    </row>
    <row r="13985" spans="1:20" x14ac:dyDescent="0.25">
      <c r="A13985" t="str">
        <f>"3044851"</f>
        <v>3044851</v>
      </c>
      <c r="B13985" t="s">
        <v>42431</v>
      </c>
      <c r="C13985" t="str">
        <f>"8313722"</f>
        <v>8313722</v>
      </c>
      <c r="D13985" t="s">
        <v>42432</v>
      </c>
      <c r="E13985" t="s">
        <v>42433</v>
      </c>
      <c r="F13985" t="s">
        <v>42434</v>
      </c>
      <c r="I13985" t="s">
        <v>184</v>
      </c>
      <c r="J13985" t="s">
        <v>30</v>
      </c>
      <c r="K13985" t="s">
        <v>42435</v>
      </c>
      <c r="M13985" t="s">
        <v>17861</v>
      </c>
      <c r="N13985" t="str">
        <f>"6/29/2020 2:56:00 PM"</f>
        <v>6/29/2020 2:56:00 PM</v>
      </c>
      <c r="O13985" t="s">
        <v>42432</v>
      </c>
      <c r="T13985" t="s">
        <v>42433</v>
      </c>
    </row>
    <row r="13986" spans="1:20" x14ac:dyDescent="0.25">
      <c r="A13986" t="str">
        <f>"3050524"</f>
        <v>3050524</v>
      </c>
      <c r="B13986" t="s">
        <v>42436</v>
      </c>
      <c r="C13986" t="str">
        <f>"8313727"</f>
        <v>8313727</v>
      </c>
      <c r="D13986" t="s">
        <v>42437</v>
      </c>
      <c r="F13986" t="s">
        <v>42438</v>
      </c>
      <c r="I13986" t="s">
        <v>29</v>
      </c>
      <c r="J13986" t="s">
        <v>30</v>
      </c>
      <c r="K13986" t="s">
        <v>42439</v>
      </c>
      <c r="M13986" t="s">
        <v>17861</v>
      </c>
      <c r="N13986" t="str">
        <f>"6/29/2020 3:42:00 PM"</f>
        <v>6/29/2020 3:42:00 PM</v>
      </c>
      <c r="O13986" t="s">
        <v>42437</v>
      </c>
    </row>
    <row r="13987" spans="1:20" x14ac:dyDescent="0.25">
      <c r="A13987" t="str">
        <f>"3062369"</f>
        <v>3062369</v>
      </c>
      <c r="B13987" t="s">
        <v>42440</v>
      </c>
      <c r="C13987" t="str">
        <f>"8313739"</f>
        <v>8313739</v>
      </c>
      <c r="D13987" t="s">
        <v>42441</v>
      </c>
      <c r="F13987" t="s">
        <v>42442</v>
      </c>
      <c r="I13987" t="s">
        <v>29</v>
      </c>
      <c r="J13987" t="s">
        <v>30</v>
      </c>
      <c r="K13987" t="s">
        <v>14086</v>
      </c>
      <c r="M13987" t="s">
        <v>17861</v>
      </c>
      <c r="N13987" t="str">
        <f>"7/2/2020 2:47:00 PM"</f>
        <v>7/2/2020 2:47:00 PM</v>
      </c>
      <c r="O13987" t="s">
        <v>42441</v>
      </c>
    </row>
    <row r="13988" spans="1:20" x14ac:dyDescent="0.25">
      <c r="A13988" t="str">
        <f>"3050423"</f>
        <v>3050423</v>
      </c>
      <c r="B13988" t="s">
        <v>42443</v>
      </c>
      <c r="C13988" t="str">
        <f>"8313740"</f>
        <v>8313740</v>
      </c>
      <c r="D13988" t="s">
        <v>42444</v>
      </c>
      <c r="E13988" t="s">
        <v>42445</v>
      </c>
      <c r="F13988" t="s">
        <v>42446</v>
      </c>
      <c r="I13988" t="s">
        <v>184</v>
      </c>
      <c r="J13988" t="s">
        <v>30</v>
      </c>
      <c r="K13988" t="s">
        <v>39696</v>
      </c>
      <c r="M13988" t="s">
        <v>17861</v>
      </c>
      <c r="N13988" t="str">
        <f>"7/2/2020 2:57:00 PM"</f>
        <v>7/2/2020 2:57:00 PM</v>
      </c>
      <c r="O13988" t="s">
        <v>42444</v>
      </c>
      <c r="T13988" t="s">
        <v>42445</v>
      </c>
    </row>
    <row r="13989" spans="1:20" x14ac:dyDescent="0.25">
      <c r="A13989" t="str">
        <f>"3049533"</f>
        <v>3049533</v>
      </c>
      <c r="B13989" t="s">
        <v>42447</v>
      </c>
      <c r="C13989" t="str">
        <f>"8313728"</f>
        <v>8313728</v>
      </c>
      <c r="D13989" t="s">
        <v>42448</v>
      </c>
      <c r="F13989" t="s">
        <v>42449</v>
      </c>
      <c r="I13989" t="s">
        <v>29</v>
      </c>
      <c r="J13989" t="s">
        <v>30</v>
      </c>
      <c r="K13989" t="s">
        <v>13951</v>
      </c>
      <c r="M13989" t="s">
        <v>17861</v>
      </c>
      <c r="N13989" t="str">
        <f>"6/29/2020 3:52:00 PM"</f>
        <v>6/29/2020 3:52:00 PM</v>
      </c>
      <c r="O13989" t="s">
        <v>42448</v>
      </c>
    </row>
    <row r="13990" spans="1:20" x14ac:dyDescent="0.25">
      <c r="A13990" t="str">
        <f>"3060539"</f>
        <v>3060539</v>
      </c>
      <c r="B13990" t="s">
        <v>42450</v>
      </c>
      <c r="C13990" t="str">
        <f>"8313699"</f>
        <v>8313699</v>
      </c>
      <c r="D13990" t="s">
        <v>42451</v>
      </c>
      <c r="E13990" t="s">
        <v>42452</v>
      </c>
      <c r="F13990" t="s">
        <v>42453</v>
      </c>
      <c r="I13990" t="s">
        <v>184</v>
      </c>
      <c r="J13990" t="s">
        <v>30</v>
      </c>
      <c r="K13990" t="s">
        <v>19018</v>
      </c>
      <c r="M13990" t="s">
        <v>17861</v>
      </c>
      <c r="N13990" t="str">
        <f>"6/25/2020 1:27:00 PM"</f>
        <v>6/25/2020 1:27:00 PM</v>
      </c>
      <c r="O13990" t="s">
        <v>42451</v>
      </c>
      <c r="T13990" t="s">
        <v>42452</v>
      </c>
    </row>
    <row r="13991" spans="1:20" x14ac:dyDescent="0.25">
      <c r="A13991" t="str">
        <f>"3037391"</f>
        <v>3037391</v>
      </c>
      <c r="B13991" t="s">
        <v>42454</v>
      </c>
      <c r="C13991" t="str">
        <f>"8313747"</f>
        <v>8313747</v>
      </c>
      <c r="D13991" t="s">
        <v>42455</v>
      </c>
      <c r="E13991" t="s">
        <v>42456</v>
      </c>
      <c r="F13991" t="s">
        <v>42457</v>
      </c>
      <c r="I13991" t="s">
        <v>184</v>
      </c>
      <c r="J13991" t="s">
        <v>30</v>
      </c>
      <c r="K13991" t="s">
        <v>19095</v>
      </c>
      <c r="M13991" t="s">
        <v>17861</v>
      </c>
      <c r="N13991" t="str">
        <f>"7/2/2020 4:29:00 PM"</f>
        <v>7/2/2020 4:29:00 PM</v>
      </c>
      <c r="O13991" t="s">
        <v>42455</v>
      </c>
      <c r="T13991" t="s">
        <v>42456</v>
      </c>
    </row>
    <row r="13992" spans="1:20" x14ac:dyDescent="0.25">
      <c r="A13992" t="str">
        <f>"3041246"</f>
        <v>3041246</v>
      </c>
      <c r="B13992" t="s">
        <v>42458</v>
      </c>
      <c r="C13992" t="str">
        <f>"8313748"</f>
        <v>8313748</v>
      </c>
      <c r="D13992" t="s">
        <v>42459</v>
      </c>
      <c r="E13992" t="s">
        <v>42460</v>
      </c>
      <c r="F13992" t="s">
        <v>42461</v>
      </c>
      <c r="I13992" t="s">
        <v>2071</v>
      </c>
      <c r="J13992" t="s">
        <v>30</v>
      </c>
      <c r="K13992" t="s">
        <v>2342</v>
      </c>
      <c r="M13992" t="s">
        <v>17861</v>
      </c>
      <c r="N13992" t="str">
        <f>"7/7/2020 9:34:00 AM"</f>
        <v>7/7/2020 9:34:00 AM</v>
      </c>
      <c r="O13992" t="s">
        <v>42459</v>
      </c>
      <c r="T13992" t="s">
        <v>42460</v>
      </c>
    </row>
    <row r="13993" spans="1:20" x14ac:dyDescent="0.25">
      <c r="A13993" t="str">
        <f>"3061062"</f>
        <v>3061062</v>
      </c>
      <c r="B13993" t="s">
        <v>42462</v>
      </c>
      <c r="C13993" t="str">
        <f>"8313700"</f>
        <v>8313700</v>
      </c>
      <c r="D13993" t="s">
        <v>42463</v>
      </c>
      <c r="E13993" t="s">
        <v>42464</v>
      </c>
      <c r="F13993" t="s">
        <v>42465</v>
      </c>
      <c r="I13993" t="s">
        <v>24359</v>
      </c>
      <c r="J13993" t="s">
        <v>30</v>
      </c>
      <c r="K13993" t="str">
        <f>"27006"</f>
        <v>27006</v>
      </c>
      <c r="M13993" t="s">
        <v>17861</v>
      </c>
      <c r="N13993" t="str">
        <f>"6/25/2020 1:51:00 PM"</f>
        <v>6/25/2020 1:51:00 PM</v>
      </c>
      <c r="O13993" t="s">
        <v>42463</v>
      </c>
      <c r="T13993" t="s">
        <v>42464</v>
      </c>
    </row>
    <row r="13994" spans="1:20" x14ac:dyDescent="0.25">
      <c r="A13994" t="str">
        <f>"3041419"</f>
        <v>3041419</v>
      </c>
      <c r="B13994" t="s">
        <v>42466</v>
      </c>
      <c r="C13994" t="str">
        <f>"8313706"</f>
        <v>8313706</v>
      </c>
      <c r="D13994" t="s">
        <v>42467</v>
      </c>
      <c r="F13994" t="s">
        <v>42468</v>
      </c>
      <c r="I13994" t="s">
        <v>2071</v>
      </c>
      <c r="J13994" t="s">
        <v>30</v>
      </c>
      <c r="K13994" t="s">
        <v>2076</v>
      </c>
      <c r="M13994" t="s">
        <v>17861</v>
      </c>
      <c r="N13994" t="str">
        <f>"6/29/2020 10:07:00 AM"</f>
        <v>6/29/2020 10:07:00 AM</v>
      </c>
      <c r="O13994" t="s">
        <v>42467</v>
      </c>
    </row>
    <row r="13995" spans="1:20" x14ac:dyDescent="0.25">
      <c r="A13995" t="str">
        <f>"3053154"</f>
        <v>3053154</v>
      </c>
      <c r="B13995" t="s">
        <v>42469</v>
      </c>
      <c r="C13995" t="str">
        <f>"8313769"</f>
        <v>8313769</v>
      </c>
      <c r="D13995" t="s">
        <v>42470</v>
      </c>
      <c r="F13995" t="s">
        <v>42471</v>
      </c>
      <c r="I13995" t="s">
        <v>29</v>
      </c>
      <c r="J13995" t="s">
        <v>30</v>
      </c>
      <c r="K13995" t="s">
        <v>11227</v>
      </c>
      <c r="M13995" t="s">
        <v>17861</v>
      </c>
      <c r="N13995" t="str">
        <f>"7/8/2020 2:49:00 PM"</f>
        <v>7/8/2020 2:49:00 PM</v>
      </c>
      <c r="O13995" t="s">
        <v>42470</v>
      </c>
    </row>
    <row r="13996" spans="1:20" x14ac:dyDescent="0.25">
      <c r="A13996" t="str">
        <f>"3050963"</f>
        <v>3050963</v>
      </c>
      <c r="B13996" t="s">
        <v>42472</v>
      </c>
      <c r="C13996" t="str">
        <f>"8313773"</f>
        <v>8313773</v>
      </c>
      <c r="D13996" t="s">
        <v>42473</v>
      </c>
      <c r="F13996" t="s">
        <v>42474</v>
      </c>
      <c r="I13996" t="s">
        <v>29</v>
      </c>
      <c r="J13996" t="s">
        <v>30</v>
      </c>
      <c r="K13996" t="s">
        <v>42475</v>
      </c>
      <c r="M13996" t="s">
        <v>17861</v>
      </c>
      <c r="N13996" t="str">
        <f>"7/8/2020 3:35:00 PM"</f>
        <v>7/8/2020 3:35:00 PM</v>
      </c>
      <c r="O13996" t="s">
        <v>42473</v>
      </c>
    </row>
    <row r="13997" spans="1:20" x14ac:dyDescent="0.25">
      <c r="A13997" t="str">
        <f>"3051718"</f>
        <v>3051718</v>
      </c>
      <c r="B13997" t="s">
        <v>42476</v>
      </c>
      <c r="C13997" t="str">
        <f>"8313707"</f>
        <v>8313707</v>
      </c>
      <c r="D13997" t="s">
        <v>42477</v>
      </c>
      <c r="E13997" t="s">
        <v>42478</v>
      </c>
      <c r="F13997" t="s">
        <v>42479</v>
      </c>
      <c r="I13997" t="s">
        <v>402</v>
      </c>
      <c r="J13997" t="s">
        <v>30</v>
      </c>
      <c r="K13997" t="s">
        <v>42480</v>
      </c>
      <c r="M13997" t="s">
        <v>17861</v>
      </c>
      <c r="N13997" t="str">
        <f>"6/29/2020 10:16:00 AM"</f>
        <v>6/29/2020 10:16:00 AM</v>
      </c>
      <c r="O13997" t="s">
        <v>42477</v>
      </c>
      <c r="T13997" t="s">
        <v>42478</v>
      </c>
    </row>
    <row r="13998" spans="1:20" x14ac:dyDescent="0.25">
      <c r="A13998" t="str">
        <f>"3048151"</f>
        <v>3048151</v>
      </c>
      <c r="B13998" t="s">
        <v>42481</v>
      </c>
      <c r="C13998" t="str">
        <f>"47482750"</f>
        <v>47482750</v>
      </c>
      <c r="D13998" t="s">
        <v>42482</v>
      </c>
      <c r="E13998" t="s">
        <v>42483</v>
      </c>
      <c r="F13998" t="s">
        <v>42484</v>
      </c>
      <c r="I13998" t="s">
        <v>184</v>
      </c>
      <c r="J13998" t="s">
        <v>30</v>
      </c>
      <c r="K13998" t="s">
        <v>42485</v>
      </c>
      <c r="M13998" t="s">
        <v>33845</v>
      </c>
      <c r="N13998" t="str">
        <f>"6/29/2020 10:38:00 AM"</f>
        <v>6/29/2020 10:38:00 AM</v>
      </c>
      <c r="O13998" t="s">
        <v>42482</v>
      </c>
      <c r="T13998" t="s">
        <v>42483</v>
      </c>
    </row>
    <row r="13999" spans="1:20" x14ac:dyDescent="0.25">
      <c r="A13999" t="str">
        <f>"3057859"</f>
        <v>3057859</v>
      </c>
      <c r="B13999" t="s">
        <v>42486</v>
      </c>
      <c r="C13999" t="str">
        <f>"8313778"</f>
        <v>8313778</v>
      </c>
      <c r="D13999" t="s">
        <v>42487</v>
      </c>
      <c r="F13999" t="s">
        <v>42488</v>
      </c>
      <c r="I13999" t="s">
        <v>184</v>
      </c>
      <c r="J13999" t="s">
        <v>30</v>
      </c>
      <c r="K13999" t="s">
        <v>42489</v>
      </c>
      <c r="M13999" t="s">
        <v>17861</v>
      </c>
      <c r="N13999" t="str">
        <f>"7/9/2020 2:18:00 PM"</f>
        <v>7/9/2020 2:18:00 PM</v>
      </c>
      <c r="O13999" t="s">
        <v>42487</v>
      </c>
    </row>
    <row r="14000" spans="1:20" x14ac:dyDescent="0.25">
      <c r="A14000" t="str">
        <f>"3046816"</f>
        <v>3046816</v>
      </c>
      <c r="B14000" t="s">
        <v>42490</v>
      </c>
      <c r="C14000" t="str">
        <f>"8313780"</f>
        <v>8313780</v>
      </c>
      <c r="D14000" t="s">
        <v>42491</v>
      </c>
      <c r="E14000" t="s">
        <v>42492</v>
      </c>
      <c r="F14000" t="s">
        <v>42493</v>
      </c>
      <c r="I14000" t="s">
        <v>184</v>
      </c>
      <c r="J14000" t="s">
        <v>30</v>
      </c>
      <c r="K14000" t="s">
        <v>39421</v>
      </c>
      <c r="M14000" t="s">
        <v>17861</v>
      </c>
      <c r="N14000" t="str">
        <f>"7/9/2020 3:41:00 PM"</f>
        <v>7/9/2020 3:41:00 PM</v>
      </c>
      <c r="O14000" t="s">
        <v>42491</v>
      </c>
      <c r="T14000" t="s">
        <v>42492</v>
      </c>
    </row>
    <row r="14001" spans="1:20" x14ac:dyDescent="0.25">
      <c r="A14001" t="str">
        <f>"3078883"</f>
        <v>3078883</v>
      </c>
      <c r="B14001" t="s">
        <v>42494</v>
      </c>
      <c r="C14001" t="str">
        <f>"8313782"</f>
        <v>8313782</v>
      </c>
      <c r="D14001" t="s">
        <v>42495</v>
      </c>
      <c r="E14001" t="s">
        <v>42496</v>
      </c>
      <c r="F14001" t="s">
        <v>42497</v>
      </c>
      <c r="I14001" t="s">
        <v>29</v>
      </c>
      <c r="J14001" t="s">
        <v>30</v>
      </c>
      <c r="K14001" t="s">
        <v>42498</v>
      </c>
      <c r="M14001" t="s">
        <v>17861</v>
      </c>
      <c r="N14001" t="str">
        <f>"7/10/2020 10:41:00 AM"</f>
        <v>7/10/2020 10:41:00 AM</v>
      </c>
      <c r="O14001" t="s">
        <v>42495</v>
      </c>
      <c r="T14001" t="s">
        <v>42496</v>
      </c>
    </row>
    <row r="14002" spans="1:20" x14ac:dyDescent="0.25">
      <c r="A14002" t="str">
        <f>"3047995"</f>
        <v>3047995</v>
      </c>
      <c r="B14002" t="s">
        <v>42499</v>
      </c>
      <c r="C14002" t="str">
        <f>"8313711"</f>
        <v>8313711</v>
      </c>
      <c r="D14002" t="s">
        <v>42500</v>
      </c>
      <c r="E14002" t="s">
        <v>42501</v>
      </c>
      <c r="F14002" t="s">
        <v>42502</v>
      </c>
      <c r="I14002" t="s">
        <v>184</v>
      </c>
      <c r="J14002" t="s">
        <v>30</v>
      </c>
      <c r="K14002" t="s">
        <v>8883</v>
      </c>
      <c r="M14002" t="s">
        <v>17861</v>
      </c>
      <c r="N14002" t="str">
        <f>"6/29/2020 10:56:00 AM"</f>
        <v>6/29/2020 10:56:00 AM</v>
      </c>
      <c r="O14002" t="s">
        <v>42500</v>
      </c>
      <c r="T14002" t="s">
        <v>42501</v>
      </c>
    </row>
    <row r="14003" spans="1:20" x14ac:dyDescent="0.25">
      <c r="A14003" t="str">
        <f>"3054517"</f>
        <v>3054517</v>
      </c>
      <c r="B14003" t="s">
        <v>42503</v>
      </c>
      <c r="C14003" t="str">
        <f>"8313712"</f>
        <v>8313712</v>
      </c>
      <c r="D14003" t="s">
        <v>42504</v>
      </c>
      <c r="F14003" t="s">
        <v>42505</v>
      </c>
      <c r="I14003" t="s">
        <v>29</v>
      </c>
      <c r="J14003" t="s">
        <v>30</v>
      </c>
      <c r="K14003" t="str">
        <f>"27028"</f>
        <v>27028</v>
      </c>
      <c r="M14003" t="s">
        <v>17861</v>
      </c>
      <c r="N14003" t="str">
        <f>"6/29/2020 11:15:00 AM"</f>
        <v>6/29/2020 11:15:00 AM</v>
      </c>
      <c r="O14003" t="s">
        <v>42504</v>
      </c>
    </row>
    <row r="14004" spans="1:20" x14ac:dyDescent="0.25">
      <c r="A14004" t="str">
        <f>"3055727"</f>
        <v>3055727</v>
      </c>
      <c r="B14004" t="s">
        <v>42506</v>
      </c>
      <c r="C14004" t="str">
        <f>"8313713"</f>
        <v>8313713</v>
      </c>
      <c r="D14004" t="s">
        <v>42507</v>
      </c>
      <c r="F14004" t="s">
        <v>42508</v>
      </c>
      <c r="I14004" t="s">
        <v>9580</v>
      </c>
      <c r="J14004" t="s">
        <v>30</v>
      </c>
      <c r="K14004" t="str">
        <f>"27014"</f>
        <v>27014</v>
      </c>
      <c r="M14004" t="s">
        <v>17861</v>
      </c>
      <c r="N14004" t="str">
        <f>"6/29/2020 11:25:00 AM"</f>
        <v>6/29/2020 11:25:00 AM</v>
      </c>
      <c r="O14004" t="s">
        <v>42507</v>
      </c>
    </row>
    <row r="14005" spans="1:20" x14ac:dyDescent="0.25">
      <c r="A14005" t="str">
        <f>"3051324"</f>
        <v>3051324</v>
      </c>
      <c r="B14005" t="s">
        <v>42509</v>
      </c>
      <c r="C14005" t="str">
        <f>"8313715"</f>
        <v>8313715</v>
      </c>
      <c r="D14005" t="s">
        <v>42510</v>
      </c>
      <c r="F14005" t="s">
        <v>42511</v>
      </c>
      <c r="I14005" t="s">
        <v>29</v>
      </c>
      <c r="J14005" t="s">
        <v>30</v>
      </c>
      <c r="K14005" t="s">
        <v>14280</v>
      </c>
      <c r="M14005" t="s">
        <v>17861</v>
      </c>
      <c r="N14005" t="str">
        <f>"6/29/2020 2:00:00 PM"</f>
        <v>6/29/2020 2:00:00 PM</v>
      </c>
      <c r="O14005" t="s">
        <v>42510</v>
      </c>
    </row>
    <row r="14006" spans="1:20" x14ac:dyDescent="0.25">
      <c r="A14006" t="str">
        <f>"3054943"</f>
        <v>3054943</v>
      </c>
      <c r="B14006" t="s">
        <v>42512</v>
      </c>
      <c r="C14006" t="str">
        <f>"8313718"</f>
        <v>8313718</v>
      </c>
      <c r="D14006" t="s">
        <v>42513</v>
      </c>
      <c r="F14006" t="s">
        <v>42514</v>
      </c>
      <c r="I14006" t="s">
        <v>29</v>
      </c>
      <c r="J14006" t="s">
        <v>30</v>
      </c>
      <c r="K14006" t="s">
        <v>42515</v>
      </c>
      <c r="M14006" t="s">
        <v>17861</v>
      </c>
      <c r="N14006" t="str">
        <f>"6/29/2020 2:43:00 PM"</f>
        <v>6/29/2020 2:43:00 PM</v>
      </c>
      <c r="O14006" t="s">
        <v>42513</v>
      </c>
    </row>
    <row r="14007" spans="1:20" x14ac:dyDescent="0.25">
      <c r="A14007" t="str">
        <f>"3055314"</f>
        <v>3055314</v>
      </c>
      <c r="B14007" t="s">
        <v>42516</v>
      </c>
      <c r="C14007" t="str">
        <f>"8313718"</f>
        <v>8313718</v>
      </c>
      <c r="D14007" t="s">
        <v>42513</v>
      </c>
      <c r="F14007" t="s">
        <v>42514</v>
      </c>
      <c r="I14007" t="s">
        <v>29</v>
      </c>
      <c r="J14007" t="s">
        <v>30</v>
      </c>
      <c r="K14007" t="s">
        <v>42515</v>
      </c>
      <c r="M14007" t="s">
        <v>17861</v>
      </c>
      <c r="N14007" t="str">
        <f>"6/29/2020 2:43:00 PM"</f>
        <v>6/29/2020 2:43:00 PM</v>
      </c>
      <c r="O14007" t="s">
        <v>42513</v>
      </c>
    </row>
    <row r="14008" spans="1:20" x14ac:dyDescent="0.25">
      <c r="A14008" t="str">
        <f>"3061063"</f>
        <v>3061063</v>
      </c>
      <c r="B14008" t="s">
        <v>42517</v>
      </c>
      <c r="C14008" t="str">
        <f>"8313719"</f>
        <v>8313719</v>
      </c>
      <c r="D14008" t="s">
        <v>42518</v>
      </c>
      <c r="E14008" t="s">
        <v>42519</v>
      </c>
      <c r="F14008" t="s">
        <v>42520</v>
      </c>
      <c r="I14008" t="s">
        <v>184</v>
      </c>
      <c r="J14008" t="s">
        <v>30</v>
      </c>
      <c r="K14008" t="s">
        <v>35543</v>
      </c>
      <c r="M14008" t="s">
        <v>17861</v>
      </c>
      <c r="N14008" t="str">
        <f>"6/29/2020 2:49:00 PM"</f>
        <v>6/29/2020 2:49:00 PM</v>
      </c>
      <c r="O14008" t="s">
        <v>42518</v>
      </c>
      <c r="T14008" t="s">
        <v>42519</v>
      </c>
    </row>
    <row r="14009" spans="1:20" x14ac:dyDescent="0.25">
      <c r="A14009" t="str">
        <f>"3050287"</f>
        <v>3050287</v>
      </c>
      <c r="B14009" t="s">
        <v>42521</v>
      </c>
      <c r="C14009" t="str">
        <f>"8313728"</f>
        <v>8313728</v>
      </c>
      <c r="D14009" t="s">
        <v>42448</v>
      </c>
      <c r="F14009" t="s">
        <v>42449</v>
      </c>
      <c r="I14009" t="s">
        <v>29</v>
      </c>
      <c r="J14009" t="s">
        <v>30</v>
      </c>
      <c r="K14009" t="s">
        <v>13951</v>
      </c>
      <c r="M14009" t="s">
        <v>17861</v>
      </c>
      <c r="N14009" t="str">
        <f>"6/29/2020 3:52:00 PM"</f>
        <v>6/29/2020 3:52:00 PM</v>
      </c>
      <c r="O14009" t="s">
        <v>42448</v>
      </c>
    </row>
    <row r="14010" spans="1:20" x14ac:dyDescent="0.25">
      <c r="A14010" t="str">
        <f>"3050711"</f>
        <v>3050711</v>
      </c>
      <c r="B14010" t="s">
        <v>42522</v>
      </c>
      <c r="C14010" t="str">
        <f>"8313729"</f>
        <v>8313729</v>
      </c>
      <c r="D14010" t="s">
        <v>42523</v>
      </c>
      <c r="F14010" t="s">
        <v>42524</v>
      </c>
      <c r="I14010" t="s">
        <v>184</v>
      </c>
      <c r="J14010" t="s">
        <v>30</v>
      </c>
      <c r="K14010" t="s">
        <v>10584</v>
      </c>
      <c r="M14010" t="s">
        <v>17861</v>
      </c>
      <c r="N14010" t="str">
        <f>"6/29/2020 4:18:00 PM"</f>
        <v>6/29/2020 4:18:00 PM</v>
      </c>
      <c r="O14010" t="s">
        <v>42523</v>
      </c>
    </row>
    <row r="14011" spans="1:20" x14ac:dyDescent="0.25">
      <c r="A14011" t="str">
        <f>"3045621"</f>
        <v>3045621</v>
      </c>
      <c r="B14011" t="s">
        <v>42525</v>
      </c>
      <c r="C14011" t="str">
        <f>"8313737"</f>
        <v>8313737</v>
      </c>
      <c r="D14011" t="s">
        <v>42526</v>
      </c>
      <c r="F14011" t="s">
        <v>42527</v>
      </c>
      <c r="I14011" t="s">
        <v>29</v>
      </c>
      <c r="J14011" t="s">
        <v>30</v>
      </c>
      <c r="K14011" t="s">
        <v>42528</v>
      </c>
      <c r="M14011" t="s">
        <v>17861</v>
      </c>
      <c r="N14011" t="str">
        <f>"7/2/2020 12:47:00 PM"</f>
        <v>7/2/2020 12:47:00 PM</v>
      </c>
      <c r="O14011" t="s">
        <v>42526</v>
      </c>
    </row>
    <row r="14012" spans="1:20" x14ac:dyDescent="0.25">
      <c r="A14012" t="str">
        <f>"3058314"</f>
        <v>3058314</v>
      </c>
      <c r="B14012" t="s">
        <v>42529</v>
      </c>
      <c r="C14012" t="str">
        <f>"8313738"</f>
        <v>8313738</v>
      </c>
      <c r="D14012" t="s">
        <v>42530</v>
      </c>
      <c r="E14012" t="s">
        <v>42531</v>
      </c>
      <c r="F14012" t="s">
        <v>42532</v>
      </c>
      <c r="I14012" t="s">
        <v>29</v>
      </c>
      <c r="J14012" t="s">
        <v>30</v>
      </c>
      <c r="K14012" t="s">
        <v>37027</v>
      </c>
      <c r="M14012" t="s">
        <v>17861</v>
      </c>
      <c r="N14012" t="str">
        <f>"7/2/2020 2:44:00 PM"</f>
        <v>7/2/2020 2:44:00 PM</v>
      </c>
      <c r="O14012" t="s">
        <v>42530</v>
      </c>
      <c r="T14012" t="s">
        <v>42531</v>
      </c>
    </row>
    <row r="14013" spans="1:20" x14ac:dyDescent="0.25">
      <c r="A14013" t="str">
        <f>"3053520"</f>
        <v>3053520</v>
      </c>
      <c r="B14013" t="s">
        <v>42533</v>
      </c>
      <c r="C14013" t="str">
        <f>"8313741"</f>
        <v>8313741</v>
      </c>
      <c r="D14013" t="s">
        <v>42534</v>
      </c>
      <c r="E14013" t="s">
        <v>42535</v>
      </c>
      <c r="F14013" t="s">
        <v>42536</v>
      </c>
      <c r="I14013" t="s">
        <v>29</v>
      </c>
      <c r="J14013" t="s">
        <v>30</v>
      </c>
      <c r="K14013" t="s">
        <v>42537</v>
      </c>
      <c r="M14013" t="s">
        <v>17861</v>
      </c>
      <c r="N14013" t="str">
        <f>"7/2/2020 3:49:00 PM"</f>
        <v>7/2/2020 3:49:00 PM</v>
      </c>
      <c r="O14013" t="s">
        <v>42534</v>
      </c>
      <c r="T14013" t="s">
        <v>42535</v>
      </c>
    </row>
    <row r="14014" spans="1:20" x14ac:dyDescent="0.25">
      <c r="A14014" t="str">
        <f>"3046737"</f>
        <v>3046737</v>
      </c>
      <c r="B14014" t="s">
        <v>42538</v>
      </c>
      <c r="C14014" t="str">
        <f>"8313742"</f>
        <v>8313742</v>
      </c>
      <c r="D14014" t="s">
        <v>42539</v>
      </c>
      <c r="E14014" t="s">
        <v>42540</v>
      </c>
      <c r="F14014" t="s">
        <v>42541</v>
      </c>
      <c r="I14014" t="s">
        <v>184</v>
      </c>
      <c r="J14014" t="s">
        <v>30</v>
      </c>
      <c r="K14014" t="s">
        <v>35056</v>
      </c>
      <c r="M14014" t="s">
        <v>17861</v>
      </c>
      <c r="N14014" t="str">
        <f>"7/2/2020 3:52:00 PM"</f>
        <v>7/2/2020 3:52:00 PM</v>
      </c>
      <c r="O14014" t="s">
        <v>42539</v>
      </c>
      <c r="T14014" t="s">
        <v>42540</v>
      </c>
    </row>
    <row r="14015" spans="1:20" x14ac:dyDescent="0.25">
      <c r="A14015" t="str">
        <f>"3041345"</f>
        <v>3041345</v>
      </c>
      <c r="B14015" t="s">
        <v>42542</v>
      </c>
      <c r="C14015" t="str">
        <f>"8313763"</f>
        <v>8313763</v>
      </c>
      <c r="D14015" t="s">
        <v>42543</v>
      </c>
      <c r="E14015" t="s">
        <v>42544</v>
      </c>
      <c r="F14015" t="s">
        <v>42545</v>
      </c>
      <c r="I14015" t="s">
        <v>2071</v>
      </c>
      <c r="J14015" t="s">
        <v>30</v>
      </c>
      <c r="K14015" t="s">
        <v>32945</v>
      </c>
      <c r="M14015" t="s">
        <v>17861</v>
      </c>
      <c r="N14015" t="str">
        <f>"7/8/2020 1:21:00 PM"</f>
        <v>7/8/2020 1:21:00 PM</v>
      </c>
      <c r="O14015" t="s">
        <v>42543</v>
      </c>
      <c r="T14015" t="s">
        <v>42544</v>
      </c>
    </row>
    <row r="14016" spans="1:20" x14ac:dyDescent="0.25">
      <c r="A14016" t="str">
        <f>"3060919"</f>
        <v>3060919</v>
      </c>
      <c r="B14016" t="s">
        <v>42546</v>
      </c>
      <c r="C14016" t="str">
        <f>"8313848"</f>
        <v>8313848</v>
      </c>
      <c r="D14016" t="s">
        <v>42547</v>
      </c>
      <c r="F14016" t="s">
        <v>42548</v>
      </c>
      <c r="I14016" t="s">
        <v>2071</v>
      </c>
      <c r="J14016" t="s">
        <v>30</v>
      </c>
      <c r="K14016" t="s">
        <v>34675</v>
      </c>
      <c r="M14016" t="s">
        <v>17861</v>
      </c>
      <c r="N14016" t="str">
        <f>"7/17/2020 3:37:00 PM"</f>
        <v>7/17/2020 3:37:00 PM</v>
      </c>
      <c r="O14016" t="s">
        <v>42547</v>
      </c>
    </row>
    <row r="14017" spans="1:20" x14ac:dyDescent="0.25">
      <c r="A14017" t="str">
        <f>"3053336"</f>
        <v>3053336</v>
      </c>
      <c r="B14017" t="s">
        <v>42549</v>
      </c>
      <c r="C14017" t="str">
        <f>"31255800"</f>
        <v>31255800</v>
      </c>
      <c r="D14017" t="s">
        <v>42550</v>
      </c>
      <c r="F14017" t="s">
        <v>42551</v>
      </c>
      <c r="I14017" t="s">
        <v>184</v>
      </c>
      <c r="J14017" t="s">
        <v>30</v>
      </c>
      <c r="K14017" t="str">
        <f>"27006"</f>
        <v>27006</v>
      </c>
      <c r="M14017" t="s">
        <v>18479</v>
      </c>
      <c r="N14017" t="str">
        <f>"7/20/2020 10:08:00 AM"</f>
        <v>7/20/2020 10:08:00 AM</v>
      </c>
      <c r="O14017" t="s">
        <v>42550</v>
      </c>
    </row>
    <row r="14018" spans="1:20" x14ac:dyDescent="0.25">
      <c r="A14018" t="str">
        <f>"3053232"</f>
        <v>3053232</v>
      </c>
      <c r="B14018" t="s">
        <v>42552</v>
      </c>
      <c r="C14018" t="str">
        <f>"31255800"</f>
        <v>31255800</v>
      </c>
      <c r="D14018" t="s">
        <v>42550</v>
      </c>
      <c r="F14018" t="s">
        <v>42551</v>
      </c>
      <c r="I14018" t="s">
        <v>184</v>
      </c>
      <c r="J14018" t="s">
        <v>30</v>
      </c>
      <c r="K14018" t="str">
        <f>"27006"</f>
        <v>27006</v>
      </c>
      <c r="M14018" t="s">
        <v>18479</v>
      </c>
      <c r="N14018" t="str">
        <f>"7/20/2020 10:08:00 AM"</f>
        <v>7/20/2020 10:08:00 AM</v>
      </c>
      <c r="O14018" t="s">
        <v>42550</v>
      </c>
    </row>
    <row r="14019" spans="1:20" x14ac:dyDescent="0.25">
      <c r="A14019" t="str">
        <f>"3059671"</f>
        <v>3059671</v>
      </c>
      <c r="B14019" t="s">
        <v>42553</v>
      </c>
      <c r="C14019" t="str">
        <f>"8313768"</f>
        <v>8313768</v>
      </c>
      <c r="D14019" t="s">
        <v>42554</v>
      </c>
      <c r="E14019" t="s">
        <v>42555</v>
      </c>
      <c r="F14019" t="s">
        <v>42556</v>
      </c>
      <c r="I14019" t="s">
        <v>29</v>
      </c>
      <c r="J14019" t="s">
        <v>30</v>
      </c>
      <c r="K14019" t="s">
        <v>42557</v>
      </c>
      <c r="M14019" t="s">
        <v>17861</v>
      </c>
      <c r="N14019" t="str">
        <f>"7/8/2020 2:43:00 PM"</f>
        <v>7/8/2020 2:43:00 PM</v>
      </c>
      <c r="O14019" t="s">
        <v>42554</v>
      </c>
      <c r="T14019" t="s">
        <v>42555</v>
      </c>
    </row>
    <row r="14020" spans="1:20" x14ac:dyDescent="0.25">
      <c r="A14020" t="str">
        <f>"3044223"</f>
        <v>3044223</v>
      </c>
      <c r="B14020" t="s">
        <v>42558</v>
      </c>
      <c r="C14020" t="str">
        <f>"8313775"</f>
        <v>8313775</v>
      </c>
      <c r="D14020" t="s">
        <v>42559</v>
      </c>
      <c r="F14020" t="s">
        <v>42560</v>
      </c>
      <c r="I14020" t="s">
        <v>184</v>
      </c>
      <c r="J14020" t="s">
        <v>30</v>
      </c>
      <c r="K14020" t="s">
        <v>7438</v>
      </c>
      <c r="M14020" t="s">
        <v>17861</v>
      </c>
      <c r="N14020" t="str">
        <f>"7/9/2020 1:25:00 PM"</f>
        <v>7/9/2020 1:25:00 PM</v>
      </c>
      <c r="O14020" t="s">
        <v>42559</v>
      </c>
    </row>
    <row r="14021" spans="1:20" x14ac:dyDescent="0.25">
      <c r="A14021" t="str">
        <f>"3061846"</f>
        <v>3061846</v>
      </c>
      <c r="B14021" t="s">
        <v>42561</v>
      </c>
      <c r="C14021" t="str">
        <f>"8313776"</f>
        <v>8313776</v>
      </c>
      <c r="D14021" t="s">
        <v>42562</v>
      </c>
      <c r="F14021" t="s">
        <v>42563</v>
      </c>
      <c r="I14021" t="s">
        <v>17921</v>
      </c>
      <c r="J14021" t="s">
        <v>30</v>
      </c>
      <c r="K14021" t="str">
        <f>"27028"</f>
        <v>27028</v>
      </c>
      <c r="M14021" t="s">
        <v>17861</v>
      </c>
      <c r="N14021" t="str">
        <f>"7/9/2020 1:40:00 PM"</f>
        <v>7/9/2020 1:40:00 PM</v>
      </c>
      <c r="O14021" t="s">
        <v>42562</v>
      </c>
    </row>
    <row r="14022" spans="1:20" x14ac:dyDescent="0.25">
      <c r="A14022" t="str">
        <f>"3051299"</f>
        <v>3051299</v>
      </c>
      <c r="B14022" t="s">
        <v>42564</v>
      </c>
      <c r="C14022" t="str">
        <f>"82531477"</f>
        <v>82531477</v>
      </c>
      <c r="D14022" t="s">
        <v>42565</v>
      </c>
      <c r="E14022" t="s">
        <v>42566</v>
      </c>
      <c r="F14022" t="s">
        <v>42567</v>
      </c>
      <c r="I14022" t="s">
        <v>29</v>
      </c>
      <c r="J14022" t="s">
        <v>30</v>
      </c>
      <c r="K14022" t="s">
        <v>31</v>
      </c>
      <c r="M14022" t="s">
        <v>33845</v>
      </c>
      <c r="N14022" t="str">
        <f>"6/30/2020 11:22:00 AM"</f>
        <v>6/30/2020 11:22:00 AM</v>
      </c>
      <c r="O14022" t="s">
        <v>42565</v>
      </c>
      <c r="T14022" t="s">
        <v>42566</v>
      </c>
    </row>
    <row r="14023" spans="1:20" x14ac:dyDescent="0.25">
      <c r="A14023" t="str">
        <f>"3040474"</f>
        <v>3040474</v>
      </c>
      <c r="B14023" t="s">
        <v>42568</v>
      </c>
      <c r="C14023" t="str">
        <f>"8313858"</f>
        <v>8313858</v>
      </c>
      <c r="D14023" t="s">
        <v>42569</v>
      </c>
      <c r="F14023" t="s">
        <v>42570</v>
      </c>
      <c r="I14023" t="s">
        <v>184</v>
      </c>
      <c r="J14023" t="s">
        <v>30</v>
      </c>
      <c r="K14023" t="s">
        <v>20128</v>
      </c>
      <c r="M14023" t="s">
        <v>17861</v>
      </c>
      <c r="N14023" t="str">
        <f>"7/21/2020 3:22:00 PM"</f>
        <v>7/21/2020 3:22:00 PM</v>
      </c>
      <c r="O14023" t="s">
        <v>42569</v>
      </c>
    </row>
    <row r="14024" spans="1:20" x14ac:dyDescent="0.25">
      <c r="A14024" t="str">
        <f>"3053877"</f>
        <v>3053877</v>
      </c>
      <c r="B14024" t="s">
        <v>42571</v>
      </c>
      <c r="C14024" t="str">
        <f>"8313864"</f>
        <v>8313864</v>
      </c>
      <c r="D14024" t="s">
        <v>42572</v>
      </c>
      <c r="E14024" t="s">
        <v>42573</v>
      </c>
      <c r="F14024" t="s">
        <v>42574</v>
      </c>
      <c r="I14024" t="s">
        <v>29</v>
      </c>
      <c r="J14024" t="s">
        <v>30</v>
      </c>
      <c r="K14024" t="s">
        <v>42575</v>
      </c>
      <c r="M14024" t="s">
        <v>17861</v>
      </c>
      <c r="N14024" t="str">
        <f>"7/21/2020 3:56:00 PM"</f>
        <v>7/21/2020 3:56:00 PM</v>
      </c>
      <c r="O14024" t="s">
        <v>42572</v>
      </c>
      <c r="T14024" t="s">
        <v>42573</v>
      </c>
    </row>
    <row r="14025" spans="1:20" x14ac:dyDescent="0.25">
      <c r="A14025" t="str">
        <f>"3059753"</f>
        <v>3059753</v>
      </c>
      <c r="B14025" t="s">
        <v>42576</v>
      </c>
      <c r="C14025" t="str">
        <f>"8313865"</f>
        <v>8313865</v>
      </c>
      <c r="D14025" t="s">
        <v>42577</v>
      </c>
      <c r="F14025" t="s">
        <v>42578</v>
      </c>
      <c r="I14025" t="s">
        <v>29</v>
      </c>
      <c r="J14025" t="s">
        <v>30</v>
      </c>
      <c r="K14025" t="s">
        <v>33476</v>
      </c>
      <c r="M14025" t="s">
        <v>17861</v>
      </c>
      <c r="N14025" t="str">
        <f>"7/21/2020 3:59:00 PM"</f>
        <v>7/21/2020 3:59:00 PM</v>
      </c>
      <c r="O14025" t="s">
        <v>42577</v>
      </c>
    </row>
    <row r="14026" spans="1:20" x14ac:dyDescent="0.25">
      <c r="A14026" t="str">
        <f>"3041324"</f>
        <v>3041324</v>
      </c>
      <c r="B14026" t="s">
        <v>42579</v>
      </c>
      <c r="C14026" t="str">
        <f>"8313866"</f>
        <v>8313866</v>
      </c>
      <c r="D14026" t="s">
        <v>42580</v>
      </c>
      <c r="E14026" t="s">
        <v>42581</v>
      </c>
      <c r="F14026" t="s">
        <v>42582</v>
      </c>
      <c r="I14026" t="s">
        <v>184</v>
      </c>
      <c r="J14026" t="s">
        <v>30</v>
      </c>
      <c r="K14026" t="s">
        <v>2076</v>
      </c>
      <c r="M14026" t="s">
        <v>17861</v>
      </c>
      <c r="N14026" t="str">
        <f>"7/21/2020 4:01:00 PM"</f>
        <v>7/21/2020 4:01:00 PM</v>
      </c>
      <c r="O14026" t="s">
        <v>42580</v>
      </c>
      <c r="T14026" t="s">
        <v>42581</v>
      </c>
    </row>
    <row r="14027" spans="1:20" x14ac:dyDescent="0.25">
      <c r="A14027" t="str">
        <f>"3050992"</f>
        <v>3050992</v>
      </c>
      <c r="B14027" t="s">
        <v>42583</v>
      </c>
      <c r="C14027" t="str">
        <f>"8313870"</f>
        <v>8313870</v>
      </c>
      <c r="D14027" t="s">
        <v>42584</v>
      </c>
      <c r="F14027" t="s">
        <v>42585</v>
      </c>
      <c r="I14027" t="s">
        <v>29</v>
      </c>
      <c r="J14027" t="s">
        <v>30</v>
      </c>
      <c r="K14027" t="s">
        <v>42224</v>
      </c>
      <c r="M14027" t="s">
        <v>17861</v>
      </c>
      <c r="N14027" t="str">
        <f>"7/21/2020 4:17:00 PM"</f>
        <v>7/21/2020 4:17:00 PM</v>
      </c>
      <c r="O14027" t="s">
        <v>42584</v>
      </c>
    </row>
    <row r="14028" spans="1:20" x14ac:dyDescent="0.25">
      <c r="A14028" t="str">
        <f>"3042742"</f>
        <v>3042742</v>
      </c>
      <c r="B14028" t="s">
        <v>42586</v>
      </c>
      <c r="C14028" t="str">
        <f>"8313871"</f>
        <v>8313871</v>
      </c>
      <c r="D14028" t="s">
        <v>42587</v>
      </c>
      <c r="E14028" t="s">
        <v>42588</v>
      </c>
      <c r="F14028" t="s">
        <v>42589</v>
      </c>
      <c r="I14028" t="s">
        <v>29</v>
      </c>
      <c r="J14028" t="s">
        <v>30</v>
      </c>
      <c r="K14028" t="s">
        <v>42590</v>
      </c>
      <c r="M14028" t="s">
        <v>17861</v>
      </c>
      <c r="N14028" t="str">
        <f>"7/22/2020 9:00:00 AM"</f>
        <v>7/22/2020 9:00:00 AM</v>
      </c>
      <c r="O14028" t="s">
        <v>42587</v>
      </c>
      <c r="T14028" t="s">
        <v>42588</v>
      </c>
    </row>
    <row r="14029" spans="1:20" x14ac:dyDescent="0.25">
      <c r="A14029" t="str">
        <f>"3051185"</f>
        <v>3051185</v>
      </c>
      <c r="B14029" t="s">
        <v>42591</v>
      </c>
      <c r="C14029" t="str">
        <f>"82531477"</f>
        <v>82531477</v>
      </c>
      <c r="D14029" t="s">
        <v>42565</v>
      </c>
      <c r="E14029" t="s">
        <v>42566</v>
      </c>
      <c r="F14029" t="s">
        <v>42567</v>
      </c>
      <c r="I14029" t="s">
        <v>29</v>
      </c>
      <c r="J14029" t="s">
        <v>30</v>
      </c>
      <c r="K14029" t="s">
        <v>31</v>
      </c>
      <c r="M14029" t="s">
        <v>33845</v>
      </c>
      <c r="N14029" t="str">
        <f>"6/30/2020 11:22:00 AM"</f>
        <v>6/30/2020 11:22:00 AM</v>
      </c>
      <c r="O14029" t="s">
        <v>42565</v>
      </c>
      <c r="T14029" t="s">
        <v>42566</v>
      </c>
    </row>
    <row r="14030" spans="1:20" x14ac:dyDescent="0.25">
      <c r="A14030" t="str">
        <f>"3053448"</f>
        <v>3053448</v>
      </c>
      <c r="B14030" t="s">
        <v>42592</v>
      </c>
      <c r="C14030" t="str">
        <f>"82527424"</f>
        <v>82527424</v>
      </c>
      <c r="D14030" t="s">
        <v>42593</v>
      </c>
      <c r="E14030" t="s">
        <v>42594</v>
      </c>
      <c r="F14030" t="s">
        <v>42595</v>
      </c>
      <c r="I14030" t="s">
        <v>42596</v>
      </c>
      <c r="J14030" t="s">
        <v>30</v>
      </c>
      <c r="K14030" t="s">
        <v>42597</v>
      </c>
      <c r="M14030" t="s">
        <v>40663</v>
      </c>
      <c r="N14030" t="str">
        <f>"7/1/2020 10:07:00 AM"</f>
        <v>7/1/2020 10:07:00 AM</v>
      </c>
      <c r="O14030" t="s">
        <v>42593</v>
      </c>
      <c r="T14030" t="s">
        <v>42594</v>
      </c>
    </row>
    <row r="14031" spans="1:20" x14ac:dyDescent="0.25">
      <c r="A14031" t="str">
        <f>"3053302"</f>
        <v>3053302</v>
      </c>
      <c r="B14031" t="s">
        <v>42598</v>
      </c>
      <c r="C14031" t="str">
        <f>"82527424"</f>
        <v>82527424</v>
      </c>
      <c r="D14031" t="s">
        <v>42593</v>
      </c>
      <c r="E14031" t="s">
        <v>42594</v>
      </c>
      <c r="F14031" t="s">
        <v>42595</v>
      </c>
      <c r="I14031" t="s">
        <v>42596</v>
      </c>
      <c r="J14031" t="s">
        <v>30</v>
      </c>
      <c r="K14031" t="s">
        <v>42597</v>
      </c>
      <c r="M14031" t="s">
        <v>40663</v>
      </c>
      <c r="N14031" t="str">
        <f>"7/1/2020 10:07:00 AM"</f>
        <v>7/1/2020 10:07:00 AM</v>
      </c>
      <c r="O14031" t="s">
        <v>42593</v>
      </c>
      <c r="T14031" t="s">
        <v>42594</v>
      </c>
    </row>
    <row r="14032" spans="1:20" x14ac:dyDescent="0.25">
      <c r="A14032" t="str">
        <f>"3046310"</f>
        <v>3046310</v>
      </c>
      <c r="B14032" t="s">
        <v>42599</v>
      </c>
      <c r="C14032" t="str">
        <f>"8313731"</f>
        <v>8313731</v>
      </c>
      <c r="D14032" t="s">
        <v>42600</v>
      </c>
      <c r="E14032" t="s">
        <v>42601</v>
      </c>
      <c r="F14032" t="s">
        <v>42602</v>
      </c>
      <c r="I14032" t="s">
        <v>29</v>
      </c>
      <c r="J14032" t="s">
        <v>30</v>
      </c>
      <c r="K14032" t="s">
        <v>18768</v>
      </c>
      <c r="M14032" t="s">
        <v>17861</v>
      </c>
      <c r="N14032" t="str">
        <f>"7/2/2020 9:09:00 AM"</f>
        <v>7/2/2020 9:09:00 AM</v>
      </c>
      <c r="O14032" t="s">
        <v>42600</v>
      </c>
      <c r="T14032" t="s">
        <v>42601</v>
      </c>
    </row>
    <row r="14033" spans="1:20" x14ac:dyDescent="0.25">
      <c r="A14033" t="str">
        <f>"3058947"</f>
        <v>3058947</v>
      </c>
      <c r="B14033" t="s">
        <v>42603</v>
      </c>
      <c r="C14033" t="str">
        <f>"8313732"</f>
        <v>8313732</v>
      </c>
      <c r="D14033" t="s">
        <v>42604</v>
      </c>
      <c r="F14033" t="s">
        <v>42605</v>
      </c>
      <c r="I14033" t="s">
        <v>29</v>
      </c>
      <c r="J14033" t="s">
        <v>30</v>
      </c>
      <c r="K14033" t="s">
        <v>32933</v>
      </c>
      <c r="M14033" t="s">
        <v>17861</v>
      </c>
      <c r="N14033" t="str">
        <f>"7/2/2020 9:20:00 AM"</f>
        <v>7/2/2020 9:20:00 AM</v>
      </c>
      <c r="O14033" t="s">
        <v>42604</v>
      </c>
    </row>
    <row r="14034" spans="1:20" x14ac:dyDescent="0.25">
      <c r="A14034" t="str">
        <f>"3058628"</f>
        <v>3058628</v>
      </c>
      <c r="B14034" t="s">
        <v>42606</v>
      </c>
      <c r="C14034" t="str">
        <f>"8313734"</f>
        <v>8313734</v>
      </c>
      <c r="D14034" t="s">
        <v>42607</v>
      </c>
      <c r="E14034" t="s">
        <v>42608</v>
      </c>
      <c r="F14034" t="s">
        <v>42609</v>
      </c>
      <c r="I14034" t="s">
        <v>29</v>
      </c>
      <c r="J14034" t="s">
        <v>30</v>
      </c>
      <c r="K14034" t="s">
        <v>33366</v>
      </c>
      <c r="M14034" t="s">
        <v>17861</v>
      </c>
      <c r="N14034" t="str">
        <f>"7/2/2020 10:13:00 AM"</f>
        <v>7/2/2020 10:13:00 AM</v>
      </c>
      <c r="O14034" t="s">
        <v>42607</v>
      </c>
      <c r="T14034" t="s">
        <v>42608</v>
      </c>
    </row>
    <row r="14035" spans="1:20" x14ac:dyDescent="0.25">
      <c r="A14035" t="str">
        <f>"3040569"</f>
        <v>3040569</v>
      </c>
      <c r="B14035" t="s">
        <v>42610</v>
      </c>
      <c r="C14035" t="str">
        <f>"8313814"</f>
        <v>8313814</v>
      </c>
      <c r="D14035" t="s">
        <v>42611</v>
      </c>
      <c r="F14035" t="s">
        <v>42612</v>
      </c>
      <c r="I14035" t="s">
        <v>184</v>
      </c>
      <c r="J14035" t="s">
        <v>30</v>
      </c>
      <c r="K14035" t="s">
        <v>33114</v>
      </c>
      <c r="M14035" t="s">
        <v>17861</v>
      </c>
      <c r="N14035" t="str">
        <f>"7/14/2020 3:58:00 PM"</f>
        <v>7/14/2020 3:58:00 PM</v>
      </c>
      <c r="O14035" t="s">
        <v>42611</v>
      </c>
    </row>
    <row r="14036" spans="1:20" x14ac:dyDescent="0.25">
      <c r="A14036" t="str">
        <f>"3058323"</f>
        <v>3058323</v>
      </c>
      <c r="B14036" t="s">
        <v>42613</v>
      </c>
      <c r="C14036" t="str">
        <f>"8313886"</f>
        <v>8313886</v>
      </c>
      <c r="D14036" t="s">
        <v>42614</v>
      </c>
      <c r="E14036" t="s">
        <v>42615</v>
      </c>
      <c r="F14036" t="s">
        <v>42616</v>
      </c>
      <c r="I14036" t="s">
        <v>29</v>
      </c>
      <c r="J14036" t="s">
        <v>30</v>
      </c>
      <c r="K14036" t="s">
        <v>10059</v>
      </c>
      <c r="M14036" t="s">
        <v>17861</v>
      </c>
      <c r="N14036" t="str">
        <f>"7/29/2020 1:29:00 PM"</f>
        <v>7/29/2020 1:29:00 PM</v>
      </c>
      <c r="O14036" t="s">
        <v>42614</v>
      </c>
      <c r="T14036" t="s">
        <v>42615</v>
      </c>
    </row>
    <row r="14037" spans="1:20" x14ac:dyDescent="0.25">
      <c r="A14037" t="str">
        <f>"3044618"</f>
        <v>3044618</v>
      </c>
      <c r="B14037" t="s">
        <v>42617</v>
      </c>
      <c r="C14037" t="str">
        <f>"8313891"</f>
        <v>8313891</v>
      </c>
      <c r="D14037" t="s">
        <v>42618</v>
      </c>
      <c r="E14037" t="s">
        <v>42619</v>
      </c>
      <c r="F14037" t="s">
        <v>42620</v>
      </c>
      <c r="I14037" t="s">
        <v>184</v>
      </c>
      <c r="J14037" t="s">
        <v>30</v>
      </c>
      <c r="K14037" t="s">
        <v>6274</v>
      </c>
      <c r="M14037" t="s">
        <v>17861</v>
      </c>
      <c r="N14037" t="str">
        <f>"7/29/2020 2:51:00 PM"</f>
        <v>7/29/2020 2:51:00 PM</v>
      </c>
      <c r="O14037" t="s">
        <v>42618</v>
      </c>
      <c r="T14037" t="s">
        <v>42619</v>
      </c>
    </row>
    <row r="14038" spans="1:20" x14ac:dyDescent="0.25">
      <c r="A14038" t="str">
        <f>"3052766"</f>
        <v>3052766</v>
      </c>
      <c r="B14038" t="s">
        <v>42621</v>
      </c>
      <c r="C14038" t="str">
        <f>"8313892"</f>
        <v>8313892</v>
      </c>
      <c r="D14038" t="s">
        <v>42622</v>
      </c>
      <c r="E14038" t="s">
        <v>42623</v>
      </c>
      <c r="F14038" t="s">
        <v>42624</v>
      </c>
      <c r="I14038" t="s">
        <v>29</v>
      </c>
      <c r="J14038" t="s">
        <v>30</v>
      </c>
      <c r="K14038" t="s">
        <v>42625</v>
      </c>
      <c r="M14038" t="s">
        <v>17861</v>
      </c>
      <c r="N14038" t="str">
        <f>"7/29/2020 3:37:00 PM"</f>
        <v>7/29/2020 3:37:00 PM</v>
      </c>
      <c r="O14038" t="s">
        <v>42622</v>
      </c>
      <c r="T14038" t="s">
        <v>42623</v>
      </c>
    </row>
    <row r="14039" spans="1:20" x14ac:dyDescent="0.25">
      <c r="A14039" t="str">
        <f>"3041775"</f>
        <v>3041775</v>
      </c>
      <c r="B14039" t="s">
        <v>42626</v>
      </c>
      <c r="C14039" t="str">
        <f>"8313815"</f>
        <v>8313815</v>
      </c>
      <c r="D14039" t="s">
        <v>42627</v>
      </c>
      <c r="E14039" t="s">
        <v>42628</v>
      </c>
      <c r="F14039" t="s">
        <v>42629</v>
      </c>
      <c r="I14039" t="s">
        <v>2071</v>
      </c>
      <c r="J14039" t="s">
        <v>30</v>
      </c>
      <c r="K14039" t="str">
        <f>"27006"</f>
        <v>27006</v>
      </c>
      <c r="M14039" t="s">
        <v>17861</v>
      </c>
      <c r="N14039" t="str">
        <f>"7/14/2020 4:09:00 PM"</f>
        <v>7/14/2020 4:09:00 PM</v>
      </c>
      <c r="O14039" t="s">
        <v>42627</v>
      </c>
      <c r="T14039" t="s">
        <v>42628</v>
      </c>
    </row>
    <row r="14040" spans="1:20" x14ac:dyDescent="0.25">
      <c r="A14040" t="str">
        <f>"3059129"</f>
        <v>3059129</v>
      </c>
      <c r="B14040" t="s">
        <v>42630</v>
      </c>
      <c r="C14040" t="str">
        <f>"8313843"</f>
        <v>8313843</v>
      </c>
      <c r="D14040" t="s">
        <v>42631</v>
      </c>
      <c r="F14040" t="s">
        <v>42632</v>
      </c>
      <c r="I14040" t="s">
        <v>29</v>
      </c>
      <c r="J14040" t="s">
        <v>30</v>
      </c>
      <c r="K14040" t="s">
        <v>11411</v>
      </c>
      <c r="M14040" t="s">
        <v>17861</v>
      </c>
      <c r="N14040" t="str">
        <f>"7/17/2020 12:23:00 PM"</f>
        <v>7/17/2020 12:23:00 PM</v>
      </c>
      <c r="O14040" t="s">
        <v>42631</v>
      </c>
    </row>
    <row r="14041" spans="1:20" x14ac:dyDescent="0.25">
      <c r="A14041" t="str">
        <f>"3052574"</f>
        <v>3052574</v>
      </c>
      <c r="B14041" t="s">
        <v>42633</v>
      </c>
      <c r="C14041" t="str">
        <f>"8313846"</f>
        <v>8313846</v>
      </c>
      <c r="D14041" t="s">
        <v>42634</v>
      </c>
      <c r="E14041" t="s">
        <v>42635</v>
      </c>
      <c r="F14041" t="s">
        <v>42636</v>
      </c>
      <c r="I14041" t="s">
        <v>29</v>
      </c>
      <c r="J14041" t="s">
        <v>30</v>
      </c>
      <c r="K14041" t="s">
        <v>42637</v>
      </c>
      <c r="M14041" t="s">
        <v>17861</v>
      </c>
      <c r="N14041" t="str">
        <f>"7/17/2020 3:21:00 PM"</f>
        <v>7/17/2020 3:21:00 PM</v>
      </c>
      <c r="O14041" t="s">
        <v>42634</v>
      </c>
      <c r="T14041" t="s">
        <v>42635</v>
      </c>
    </row>
    <row r="14042" spans="1:20" x14ac:dyDescent="0.25">
      <c r="A14042" t="str">
        <f>"3063950"</f>
        <v>3063950</v>
      </c>
      <c r="B14042" t="s">
        <v>42638</v>
      </c>
      <c r="C14042" t="str">
        <f>"8313852"</f>
        <v>8313852</v>
      </c>
      <c r="D14042" t="str">
        <f>"SYKES TANYA STEWART/ALAN"</f>
        <v>SYKES TANYA STEWART/ALAN</v>
      </c>
      <c r="E14042" t="s">
        <v>42639</v>
      </c>
      <c r="F14042" t="s">
        <v>42640</v>
      </c>
      <c r="I14042" t="s">
        <v>4816</v>
      </c>
      <c r="J14042" t="s">
        <v>30</v>
      </c>
      <c r="K14042" t="s">
        <v>42641</v>
      </c>
      <c r="M14042" t="s">
        <v>17861</v>
      </c>
      <c r="N14042" t="str">
        <f>"7/20/2020 2:16:00 PM"</f>
        <v>7/20/2020 2:16:00 PM</v>
      </c>
      <c r="O14042" t="str">
        <f>"SYKES TANYA STEWART/ALAN"</f>
        <v>SYKES TANYA STEWART/ALAN</v>
      </c>
      <c r="T14042" t="s">
        <v>42639</v>
      </c>
    </row>
    <row r="14043" spans="1:20" x14ac:dyDescent="0.25">
      <c r="A14043" t="str">
        <f>"3052124"</f>
        <v>3052124</v>
      </c>
      <c r="B14043" t="s">
        <v>42642</v>
      </c>
      <c r="C14043" t="str">
        <f>"8313910"</f>
        <v>8313910</v>
      </c>
      <c r="D14043" t="s">
        <v>42643</v>
      </c>
      <c r="E14043" t="s">
        <v>42644</v>
      </c>
      <c r="F14043" t="s">
        <v>42645</v>
      </c>
      <c r="I14043" t="s">
        <v>29</v>
      </c>
      <c r="J14043" t="s">
        <v>30</v>
      </c>
      <c r="K14043" t="s">
        <v>42646</v>
      </c>
      <c r="M14043" t="s">
        <v>17861</v>
      </c>
      <c r="N14043" t="str">
        <f>"7/30/2020 4:32:00 PM"</f>
        <v>7/30/2020 4:32:00 PM</v>
      </c>
      <c r="O14043" t="s">
        <v>42643</v>
      </c>
      <c r="T14043" t="s">
        <v>42644</v>
      </c>
    </row>
    <row r="14044" spans="1:20" x14ac:dyDescent="0.25">
      <c r="A14044" t="str">
        <f>"3051102"</f>
        <v>3051102</v>
      </c>
      <c r="B14044" t="s">
        <v>42647</v>
      </c>
      <c r="C14044" t="str">
        <f>"8310172"</f>
        <v>8310172</v>
      </c>
      <c r="D14044" t="s">
        <v>42648</v>
      </c>
      <c r="E14044" t="s">
        <v>42649</v>
      </c>
      <c r="F14044" t="s">
        <v>42650</v>
      </c>
      <c r="I14044" t="s">
        <v>29</v>
      </c>
      <c r="J14044" t="s">
        <v>30</v>
      </c>
      <c r="K14044" t="s">
        <v>42651</v>
      </c>
      <c r="M14044" t="s">
        <v>33845</v>
      </c>
      <c r="N14044" t="str">
        <f>"7/21/2020 10:29:00 AM"</f>
        <v>7/21/2020 10:29:00 AM</v>
      </c>
      <c r="O14044" t="s">
        <v>42648</v>
      </c>
      <c r="T14044" t="s">
        <v>42649</v>
      </c>
    </row>
    <row r="14045" spans="1:20" x14ac:dyDescent="0.25">
      <c r="A14045" t="str">
        <f>"3053587"</f>
        <v>3053587</v>
      </c>
      <c r="B14045" t="s">
        <v>42652</v>
      </c>
      <c r="C14045" t="str">
        <f>"8313919"</f>
        <v>8313919</v>
      </c>
      <c r="D14045" t="s">
        <v>42653</v>
      </c>
      <c r="E14045" t="s">
        <v>42654</v>
      </c>
      <c r="F14045" t="s">
        <v>42655</v>
      </c>
      <c r="I14045" t="s">
        <v>29</v>
      </c>
      <c r="J14045" t="s">
        <v>30</v>
      </c>
      <c r="K14045" t="s">
        <v>28716</v>
      </c>
      <c r="M14045" t="s">
        <v>17861</v>
      </c>
      <c r="N14045" t="str">
        <f>"7/31/2020 11:32:00 AM"</f>
        <v>7/31/2020 11:32:00 AM</v>
      </c>
      <c r="O14045" t="s">
        <v>42653</v>
      </c>
      <c r="T14045" t="s">
        <v>42654</v>
      </c>
    </row>
    <row r="14046" spans="1:20" x14ac:dyDescent="0.25">
      <c r="A14046" t="str">
        <f>"3051136"</f>
        <v>3051136</v>
      </c>
      <c r="B14046" t="s">
        <v>42656</v>
      </c>
      <c r="C14046" t="str">
        <f>"8313920"</f>
        <v>8313920</v>
      </c>
      <c r="D14046" t="s">
        <v>42657</v>
      </c>
      <c r="E14046" t="s">
        <v>42658</v>
      </c>
      <c r="F14046" t="s">
        <v>42659</v>
      </c>
      <c r="I14046" t="s">
        <v>42660</v>
      </c>
      <c r="J14046" t="s">
        <v>2109</v>
      </c>
      <c r="K14046" t="s">
        <v>42661</v>
      </c>
      <c r="M14046" t="s">
        <v>17861</v>
      </c>
      <c r="N14046" t="str">
        <f>"7/31/2020 11:39:00 AM"</f>
        <v>7/31/2020 11:39:00 AM</v>
      </c>
      <c r="O14046" t="s">
        <v>42657</v>
      </c>
      <c r="T14046" t="s">
        <v>42658</v>
      </c>
    </row>
    <row r="14047" spans="1:20" x14ac:dyDescent="0.25">
      <c r="A14047" t="str">
        <f>"3061270"</f>
        <v>3061270</v>
      </c>
      <c r="B14047" t="s">
        <v>42662</v>
      </c>
      <c r="C14047" t="str">
        <f>"8313921"</f>
        <v>8313921</v>
      </c>
      <c r="D14047" t="s">
        <v>42663</v>
      </c>
      <c r="E14047" t="s">
        <v>42664</v>
      </c>
      <c r="F14047" t="s">
        <v>42665</v>
      </c>
      <c r="I14047" t="s">
        <v>2071</v>
      </c>
      <c r="J14047" t="s">
        <v>30</v>
      </c>
      <c r="K14047" t="s">
        <v>38066</v>
      </c>
      <c r="M14047" t="s">
        <v>17861</v>
      </c>
      <c r="N14047" t="str">
        <f>"7/31/2020 11:44:00 AM"</f>
        <v>7/31/2020 11:44:00 AM</v>
      </c>
      <c r="O14047" t="s">
        <v>42663</v>
      </c>
      <c r="T14047" t="s">
        <v>42664</v>
      </c>
    </row>
    <row r="14048" spans="1:20" x14ac:dyDescent="0.25">
      <c r="A14048" t="str">
        <f>"3038774"</f>
        <v>3038774</v>
      </c>
      <c r="B14048" t="s">
        <v>42666</v>
      </c>
      <c r="C14048" t="str">
        <f>"8313922"</f>
        <v>8313922</v>
      </c>
      <c r="D14048" t="s">
        <v>42667</v>
      </c>
      <c r="E14048" t="s">
        <v>6953</v>
      </c>
      <c r="F14048" t="s">
        <v>42668</v>
      </c>
      <c r="I14048" t="s">
        <v>29</v>
      </c>
      <c r="J14048" t="s">
        <v>30</v>
      </c>
      <c r="K14048" t="s">
        <v>42669</v>
      </c>
      <c r="M14048" t="s">
        <v>17861</v>
      </c>
      <c r="N14048" t="str">
        <f>"7/31/2020 1:53:00 PM"</f>
        <v>7/31/2020 1:53:00 PM</v>
      </c>
      <c r="O14048" t="s">
        <v>42667</v>
      </c>
      <c r="T14048" t="s">
        <v>6953</v>
      </c>
    </row>
    <row r="14049" spans="1:20" x14ac:dyDescent="0.25">
      <c r="A14049" t="str">
        <f>"3052488"</f>
        <v>3052488</v>
      </c>
      <c r="B14049" t="s">
        <v>42670</v>
      </c>
      <c r="C14049" t="str">
        <f>"41344000"</f>
        <v>41344000</v>
      </c>
      <c r="D14049" t="s">
        <v>42671</v>
      </c>
      <c r="E14049" t="s">
        <v>42672</v>
      </c>
      <c r="F14049" t="s">
        <v>42673</v>
      </c>
      <c r="G14049" t="s">
        <v>42674</v>
      </c>
      <c r="I14049" t="s">
        <v>42675</v>
      </c>
      <c r="J14049" t="s">
        <v>4132</v>
      </c>
      <c r="K14049" t="s">
        <v>42676</v>
      </c>
      <c r="M14049" t="s">
        <v>17861</v>
      </c>
      <c r="N14049" t="str">
        <f>"7/31/2020 2:14:00 PM"</f>
        <v>7/31/2020 2:14:00 PM</v>
      </c>
      <c r="O14049" t="s">
        <v>42671</v>
      </c>
      <c r="T14049" t="s">
        <v>42672</v>
      </c>
    </row>
    <row r="14050" spans="1:20" x14ac:dyDescent="0.25">
      <c r="A14050" t="str">
        <f>"3065740"</f>
        <v>3065740</v>
      </c>
      <c r="B14050" t="s">
        <v>42677</v>
      </c>
      <c r="C14050" t="str">
        <f>"41344000"</f>
        <v>41344000</v>
      </c>
      <c r="D14050" t="s">
        <v>42671</v>
      </c>
      <c r="E14050" t="s">
        <v>42672</v>
      </c>
      <c r="F14050" t="s">
        <v>42673</v>
      </c>
      <c r="G14050" t="s">
        <v>42674</v>
      </c>
      <c r="I14050" t="s">
        <v>42675</v>
      </c>
      <c r="J14050" t="s">
        <v>4132</v>
      </c>
      <c r="K14050" t="s">
        <v>42676</v>
      </c>
      <c r="M14050" t="s">
        <v>17861</v>
      </c>
      <c r="N14050" t="str">
        <f>"7/31/2020 2:14:00 PM"</f>
        <v>7/31/2020 2:14:00 PM</v>
      </c>
      <c r="O14050" t="s">
        <v>42671</v>
      </c>
      <c r="T14050" t="s">
        <v>42672</v>
      </c>
    </row>
    <row r="14051" spans="1:20" x14ac:dyDescent="0.25">
      <c r="A14051" t="str">
        <f>"3059659"</f>
        <v>3059659</v>
      </c>
      <c r="B14051" t="s">
        <v>42678</v>
      </c>
      <c r="C14051" t="str">
        <f>"8313926"</f>
        <v>8313926</v>
      </c>
      <c r="D14051" t="s">
        <v>42679</v>
      </c>
      <c r="E14051" t="s">
        <v>42680</v>
      </c>
      <c r="F14051" t="s">
        <v>42681</v>
      </c>
      <c r="I14051" t="s">
        <v>29</v>
      </c>
      <c r="J14051" t="s">
        <v>30</v>
      </c>
      <c r="K14051" t="s">
        <v>7995</v>
      </c>
      <c r="M14051" t="s">
        <v>17861</v>
      </c>
      <c r="N14051" t="str">
        <f>"8/3/2020 8:30:00 AM"</f>
        <v>8/3/2020 8:30:00 AM</v>
      </c>
      <c r="O14051" t="s">
        <v>42679</v>
      </c>
      <c r="T14051" t="s">
        <v>42680</v>
      </c>
    </row>
    <row r="14052" spans="1:20" x14ac:dyDescent="0.25">
      <c r="A14052" t="str">
        <f>"3058784"</f>
        <v>3058784</v>
      </c>
      <c r="B14052" t="s">
        <v>42682</v>
      </c>
      <c r="C14052" t="str">
        <f>"8313856"</f>
        <v>8313856</v>
      </c>
      <c r="D14052" t="s">
        <v>42683</v>
      </c>
      <c r="E14052" t="s">
        <v>42684</v>
      </c>
      <c r="F14052" t="s">
        <v>42685</v>
      </c>
      <c r="I14052" t="s">
        <v>29</v>
      </c>
      <c r="J14052" t="s">
        <v>30</v>
      </c>
      <c r="K14052" t="s">
        <v>11912</v>
      </c>
      <c r="M14052" t="s">
        <v>17861</v>
      </c>
      <c r="N14052" t="str">
        <f>"7/21/2020 3:00:00 PM"</f>
        <v>7/21/2020 3:00:00 PM</v>
      </c>
      <c r="O14052" t="s">
        <v>42683</v>
      </c>
      <c r="T14052" t="s">
        <v>42684</v>
      </c>
    </row>
    <row r="14053" spans="1:20" x14ac:dyDescent="0.25">
      <c r="A14053" t="str">
        <f>"3046393"</f>
        <v>3046393</v>
      </c>
      <c r="B14053" t="s">
        <v>42686</v>
      </c>
      <c r="C14053" t="str">
        <f>"8313928"</f>
        <v>8313928</v>
      </c>
      <c r="D14053" t="s">
        <v>42687</v>
      </c>
      <c r="E14053" t="s">
        <v>42688</v>
      </c>
      <c r="F14053" t="s">
        <v>42689</v>
      </c>
      <c r="I14053" t="s">
        <v>29</v>
      </c>
      <c r="J14053" t="s">
        <v>30</v>
      </c>
      <c r="K14053" t="s">
        <v>42690</v>
      </c>
      <c r="M14053" t="s">
        <v>17861</v>
      </c>
      <c r="N14053" t="str">
        <f>"8/3/2020 9:02:00 AM"</f>
        <v>8/3/2020 9:02:00 AM</v>
      </c>
      <c r="O14053" t="s">
        <v>42687</v>
      </c>
      <c r="T14053" t="s">
        <v>42688</v>
      </c>
    </row>
    <row r="14054" spans="1:20" x14ac:dyDescent="0.25">
      <c r="A14054" t="str">
        <f>"3060929"</f>
        <v>3060929</v>
      </c>
      <c r="B14054" t="s">
        <v>42691</v>
      </c>
      <c r="C14054" t="str">
        <f>"8313857"</f>
        <v>8313857</v>
      </c>
      <c r="D14054" t="s">
        <v>42692</v>
      </c>
      <c r="E14054" t="s">
        <v>42693</v>
      </c>
      <c r="F14054" t="s">
        <v>42694</v>
      </c>
      <c r="I14054" t="s">
        <v>2071</v>
      </c>
      <c r="J14054" t="s">
        <v>30</v>
      </c>
      <c r="K14054" t="s">
        <v>41683</v>
      </c>
      <c r="M14054" t="s">
        <v>17861</v>
      </c>
      <c r="N14054" t="str">
        <f>"7/21/2020 3:20:00 PM"</f>
        <v>7/21/2020 3:20:00 PM</v>
      </c>
      <c r="O14054" t="s">
        <v>42692</v>
      </c>
      <c r="T14054" t="s">
        <v>42693</v>
      </c>
    </row>
    <row r="14055" spans="1:20" x14ac:dyDescent="0.25">
      <c r="A14055" t="str">
        <f>"3048072"</f>
        <v>3048072</v>
      </c>
      <c r="B14055" t="s">
        <v>42695</v>
      </c>
      <c r="C14055" t="str">
        <f>"82524115"</f>
        <v>82524115</v>
      </c>
      <c r="D14055" t="s">
        <v>42696</v>
      </c>
      <c r="F14055" t="s">
        <v>42697</v>
      </c>
      <c r="I14055" t="s">
        <v>184</v>
      </c>
      <c r="J14055" t="s">
        <v>30</v>
      </c>
      <c r="K14055" t="s">
        <v>185</v>
      </c>
      <c r="M14055" t="s">
        <v>33845</v>
      </c>
      <c r="N14055" t="str">
        <f>"7/14/2020 12:03:00 PM"</f>
        <v>7/14/2020 12:03:00 PM</v>
      </c>
      <c r="O14055" t="s">
        <v>42696</v>
      </c>
    </row>
    <row r="14056" spans="1:20" x14ac:dyDescent="0.25">
      <c r="A14056" t="str">
        <f>"3062931"</f>
        <v>3062931</v>
      </c>
      <c r="B14056" t="s">
        <v>42698</v>
      </c>
      <c r="C14056" t="str">
        <f>"8313932"</f>
        <v>8313932</v>
      </c>
      <c r="D14056" t="s">
        <v>42699</v>
      </c>
      <c r="F14056" t="s">
        <v>42700</v>
      </c>
      <c r="I14056" t="s">
        <v>29</v>
      </c>
      <c r="J14056" t="s">
        <v>30</v>
      </c>
      <c r="K14056" t="s">
        <v>42701</v>
      </c>
      <c r="M14056" t="s">
        <v>17861</v>
      </c>
      <c r="N14056" t="str">
        <f>"8/3/2020 3:43:00 PM"</f>
        <v>8/3/2020 3:43:00 PM</v>
      </c>
      <c r="O14056" t="s">
        <v>42699</v>
      </c>
    </row>
    <row r="14057" spans="1:20" x14ac:dyDescent="0.25">
      <c r="A14057" t="str">
        <f>"3040143"</f>
        <v>3040143</v>
      </c>
      <c r="B14057" t="s">
        <v>42702</v>
      </c>
      <c r="C14057" t="str">
        <f>"8313933"</f>
        <v>8313933</v>
      </c>
      <c r="D14057" t="s">
        <v>42703</v>
      </c>
      <c r="E14057" t="s">
        <v>42704</v>
      </c>
      <c r="F14057" t="s">
        <v>42705</v>
      </c>
      <c r="I14057" t="s">
        <v>29</v>
      </c>
      <c r="J14057" t="s">
        <v>30</v>
      </c>
      <c r="K14057" t="s">
        <v>21211</v>
      </c>
      <c r="M14057" t="s">
        <v>17861</v>
      </c>
      <c r="N14057" t="str">
        <f>"8/3/2020 3:57:00 PM"</f>
        <v>8/3/2020 3:57:00 PM</v>
      </c>
      <c r="O14057" t="s">
        <v>42703</v>
      </c>
      <c r="T14057" t="s">
        <v>42704</v>
      </c>
    </row>
    <row r="14058" spans="1:20" x14ac:dyDescent="0.25">
      <c r="A14058" t="str">
        <f>"3039548"</f>
        <v>3039548</v>
      </c>
      <c r="B14058" t="s">
        <v>42706</v>
      </c>
      <c r="C14058" t="str">
        <f>"8313934"</f>
        <v>8313934</v>
      </c>
      <c r="D14058" t="s">
        <v>42707</v>
      </c>
      <c r="E14058" t="s">
        <v>42708</v>
      </c>
      <c r="F14058" t="s">
        <v>42709</v>
      </c>
      <c r="I14058" t="s">
        <v>184</v>
      </c>
      <c r="J14058" t="s">
        <v>30</v>
      </c>
      <c r="K14058" t="str">
        <f>"27006"</f>
        <v>27006</v>
      </c>
      <c r="M14058" t="s">
        <v>17861</v>
      </c>
      <c r="N14058" t="str">
        <f>"8/3/2020 4:09:00 PM"</f>
        <v>8/3/2020 4:09:00 PM</v>
      </c>
      <c r="O14058" t="s">
        <v>42707</v>
      </c>
      <c r="T14058" t="s">
        <v>42708</v>
      </c>
    </row>
    <row r="14059" spans="1:20" x14ac:dyDescent="0.25">
      <c r="A14059" t="str">
        <f>"3043666"</f>
        <v>3043666</v>
      </c>
      <c r="B14059" t="s">
        <v>42710</v>
      </c>
      <c r="C14059" t="str">
        <f>"8313937"</f>
        <v>8313937</v>
      </c>
      <c r="D14059" t="s">
        <v>42711</v>
      </c>
      <c r="F14059" t="s">
        <v>42712</v>
      </c>
      <c r="I14059" t="s">
        <v>29</v>
      </c>
      <c r="J14059" t="s">
        <v>30</v>
      </c>
      <c r="K14059" t="s">
        <v>4834</v>
      </c>
      <c r="M14059" t="s">
        <v>17861</v>
      </c>
      <c r="N14059" t="str">
        <f>"8/3/2020 8:14:00 PM"</f>
        <v>8/3/2020 8:14:00 PM</v>
      </c>
      <c r="O14059" t="s">
        <v>42711</v>
      </c>
    </row>
    <row r="14060" spans="1:20" x14ac:dyDescent="0.25">
      <c r="A14060" t="str">
        <f>"3040129"</f>
        <v>3040129</v>
      </c>
      <c r="B14060" t="s">
        <v>42713</v>
      </c>
      <c r="C14060" t="str">
        <f>"8313801"</f>
        <v>8313801</v>
      </c>
      <c r="D14060" t="s">
        <v>42714</v>
      </c>
      <c r="E14060" t="s">
        <v>42715</v>
      </c>
      <c r="F14060" t="s">
        <v>42716</v>
      </c>
      <c r="I14060" t="s">
        <v>29</v>
      </c>
      <c r="J14060" t="s">
        <v>30</v>
      </c>
      <c r="K14060" t="s">
        <v>42717</v>
      </c>
      <c r="M14060" t="s">
        <v>17861</v>
      </c>
      <c r="N14060" t="str">
        <f>"7/14/2020 12:54:00 PM"</f>
        <v>7/14/2020 12:54:00 PM</v>
      </c>
      <c r="O14060" t="s">
        <v>42714</v>
      </c>
      <c r="T14060" t="s">
        <v>42715</v>
      </c>
    </row>
    <row r="14061" spans="1:20" x14ac:dyDescent="0.25">
      <c r="A14061" t="str">
        <f>"3063452"</f>
        <v>3063452</v>
      </c>
      <c r="B14061" t="s">
        <v>42718</v>
      </c>
      <c r="C14061" t="str">
        <f>"8313801"</f>
        <v>8313801</v>
      </c>
      <c r="D14061" t="s">
        <v>42714</v>
      </c>
      <c r="E14061" t="s">
        <v>42715</v>
      </c>
      <c r="F14061" t="s">
        <v>42716</v>
      </c>
      <c r="I14061" t="s">
        <v>29</v>
      </c>
      <c r="J14061" t="s">
        <v>30</v>
      </c>
      <c r="K14061" t="s">
        <v>42717</v>
      </c>
      <c r="M14061" t="s">
        <v>17861</v>
      </c>
      <c r="N14061" t="str">
        <f>"7/14/2020 12:54:00 PM"</f>
        <v>7/14/2020 12:54:00 PM</v>
      </c>
      <c r="O14061" t="s">
        <v>42714</v>
      </c>
      <c r="T14061" t="s">
        <v>42715</v>
      </c>
    </row>
    <row r="14062" spans="1:20" x14ac:dyDescent="0.25">
      <c r="A14062" t="str">
        <f>"3059492"</f>
        <v>3059492</v>
      </c>
      <c r="B14062" t="s">
        <v>42719</v>
      </c>
      <c r="C14062" t="str">
        <f>"8313805"</f>
        <v>8313805</v>
      </c>
      <c r="D14062" t="str">
        <f>"BOWLES DON G/WANDA"</f>
        <v>BOWLES DON G/WANDA</v>
      </c>
      <c r="E14062" t="s">
        <v>42720</v>
      </c>
      <c r="F14062" t="s">
        <v>42721</v>
      </c>
      <c r="G14062" t="s">
        <v>42722</v>
      </c>
      <c r="I14062" t="s">
        <v>29</v>
      </c>
      <c r="J14062" t="s">
        <v>30</v>
      </c>
      <c r="K14062" t="s">
        <v>42723</v>
      </c>
      <c r="M14062" t="s">
        <v>17861</v>
      </c>
      <c r="N14062" t="str">
        <f>"7/14/2020 2:07:00 PM"</f>
        <v>7/14/2020 2:07:00 PM</v>
      </c>
      <c r="O14062" t="str">
        <f>"BOWLES DON G/WANDA"</f>
        <v>BOWLES DON G/WANDA</v>
      </c>
      <c r="T14062" t="s">
        <v>42720</v>
      </c>
    </row>
    <row r="14063" spans="1:20" x14ac:dyDescent="0.25">
      <c r="A14063" t="str">
        <f>"3059472"</f>
        <v>3059472</v>
      </c>
      <c r="B14063" t="s">
        <v>42724</v>
      </c>
      <c r="C14063" t="str">
        <f>"8313805"</f>
        <v>8313805</v>
      </c>
      <c r="D14063" t="str">
        <f>"BOWLES DON G/WANDA"</f>
        <v>BOWLES DON G/WANDA</v>
      </c>
      <c r="E14063" t="s">
        <v>42720</v>
      </c>
      <c r="F14063" t="s">
        <v>42721</v>
      </c>
      <c r="G14063" t="s">
        <v>42722</v>
      </c>
      <c r="I14063" t="s">
        <v>29</v>
      </c>
      <c r="J14063" t="s">
        <v>30</v>
      </c>
      <c r="K14063" t="s">
        <v>42723</v>
      </c>
      <c r="M14063" t="s">
        <v>17861</v>
      </c>
      <c r="N14063" t="str">
        <f>"7/14/2020 2:07:00 PM"</f>
        <v>7/14/2020 2:07:00 PM</v>
      </c>
      <c r="O14063" t="str">
        <f>"BOWLES DON G/WANDA"</f>
        <v>BOWLES DON G/WANDA</v>
      </c>
      <c r="T14063" t="s">
        <v>42720</v>
      </c>
    </row>
    <row r="14064" spans="1:20" x14ac:dyDescent="0.25">
      <c r="A14064" t="str">
        <f>"3049077"</f>
        <v>3049077</v>
      </c>
      <c r="B14064" t="s">
        <v>42725</v>
      </c>
      <c r="C14064" t="str">
        <f>"8313805"</f>
        <v>8313805</v>
      </c>
      <c r="D14064" t="str">
        <f>"BOWLES DON G/WANDA"</f>
        <v>BOWLES DON G/WANDA</v>
      </c>
      <c r="E14064" t="s">
        <v>42720</v>
      </c>
      <c r="F14064" t="s">
        <v>42721</v>
      </c>
      <c r="G14064" t="s">
        <v>42722</v>
      </c>
      <c r="I14064" t="s">
        <v>29</v>
      </c>
      <c r="J14064" t="s">
        <v>30</v>
      </c>
      <c r="K14064" t="s">
        <v>42723</v>
      </c>
      <c r="M14064" t="s">
        <v>17861</v>
      </c>
      <c r="N14064" t="str">
        <f>"7/14/2020 2:07:00 PM"</f>
        <v>7/14/2020 2:07:00 PM</v>
      </c>
      <c r="O14064" t="str">
        <f>"BOWLES DON G/WANDA"</f>
        <v>BOWLES DON G/WANDA</v>
      </c>
      <c r="T14064" t="s">
        <v>42720</v>
      </c>
    </row>
    <row r="14065" spans="1:20" x14ac:dyDescent="0.25">
      <c r="A14065" t="str">
        <f>"3057328"</f>
        <v>3057328</v>
      </c>
      <c r="B14065" t="s">
        <v>42726</v>
      </c>
      <c r="C14065" t="str">
        <f>"8313805"</f>
        <v>8313805</v>
      </c>
      <c r="D14065" t="str">
        <f>"BOWLES DON G/WANDA"</f>
        <v>BOWLES DON G/WANDA</v>
      </c>
      <c r="E14065" t="s">
        <v>42720</v>
      </c>
      <c r="F14065" t="s">
        <v>42721</v>
      </c>
      <c r="G14065" t="s">
        <v>42722</v>
      </c>
      <c r="I14065" t="s">
        <v>29</v>
      </c>
      <c r="J14065" t="s">
        <v>30</v>
      </c>
      <c r="K14065" t="s">
        <v>42723</v>
      </c>
      <c r="M14065" t="s">
        <v>17861</v>
      </c>
      <c r="N14065" t="str">
        <f>"7/14/2020 2:07:00 PM"</f>
        <v>7/14/2020 2:07:00 PM</v>
      </c>
      <c r="O14065" t="str">
        <f>"BOWLES DON G/WANDA"</f>
        <v>BOWLES DON G/WANDA</v>
      </c>
      <c r="T14065" t="s">
        <v>42720</v>
      </c>
    </row>
    <row r="14066" spans="1:20" x14ac:dyDescent="0.25">
      <c r="A14066" t="str">
        <f>"3049126"</f>
        <v>3049126</v>
      </c>
      <c r="B14066" t="s">
        <v>42727</v>
      </c>
      <c r="C14066" t="str">
        <f>"8313807"</f>
        <v>8313807</v>
      </c>
      <c r="D14066" t="s">
        <v>42720</v>
      </c>
      <c r="E14066" t="s">
        <v>42728</v>
      </c>
      <c r="F14066" t="s">
        <v>42729</v>
      </c>
      <c r="I14066" t="s">
        <v>29</v>
      </c>
      <c r="J14066" t="s">
        <v>30</v>
      </c>
      <c r="K14066" t="s">
        <v>21236</v>
      </c>
      <c r="M14066" t="s">
        <v>17861</v>
      </c>
      <c r="N14066" t="str">
        <f>"7/14/2020 2:32:00 PM"</f>
        <v>7/14/2020 2:32:00 PM</v>
      </c>
      <c r="O14066" t="s">
        <v>42720</v>
      </c>
      <c r="T14066" t="s">
        <v>42730</v>
      </c>
    </row>
    <row r="14067" spans="1:20" x14ac:dyDescent="0.25">
      <c r="A14067" t="str">
        <f>"3067003"</f>
        <v>3067003</v>
      </c>
      <c r="B14067" t="s">
        <v>42731</v>
      </c>
      <c r="C14067" t="str">
        <f>"8313812"</f>
        <v>8313812</v>
      </c>
      <c r="D14067" t="s">
        <v>42732</v>
      </c>
      <c r="E14067" t="s">
        <v>42733</v>
      </c>
      <c r="F14067" t="s">
        <v>42734</v>
      </c>
      <c r="I14067" t="s">
        <v>184</v>
      </c>
      <c r="J14067" t="s">
        <v>30</v>
      </c>
      <c r="K14067" t="s">
        <v>5369</v>
      </c>
      <c r="M14067" t="s">
        <v>17861</v>
      </c>
      <c r="N14067" t="str">
        <f>"7/14/2020 3:50:00 PM"</f>
        <v>7/14/2020 3:50:00 PM</v>
      </c>
      <c r="O14067" t="s">
        <v>42732</v>
      </c>
      <c r="T14067" t="s">
        <v>42733</v>
      </c>
    </row>
    <row r="14068" spans="1:20" x14ac:dyDescent="0.25">
      <c r="A14068" t="str">
        <f>"3059330"</f>
        <v>3059330</v>
      </c>
      <c r="B14068" t="s">
        <v>42735</v>
      </c>
      <c r="C14068" t="str">
        <f>"8313813"</f>
        <v>8313813</v>
      </c>
      <c r="D14068" t="s">
        <v>42736</v>
      </c>
      <c r="F14068" t="s">
        <v>42532</v>
      </c>
      <c r="I14068" t="s">
        <v>29</v>
      </c>
      <c r="J14068" t="s">
        <v>30</v>
      </c>
      <c r="K14068" t="s">
        <v>37027</v>
      </c>
      <c r="M14068" t="s">
        <v>17861</v>
      </c>
      <c r="N14068" t="str">
        <f>"7/14/2020 3:55:00 PM"</f>
        <v>7/14/2020 3:55:00 PM</v>
      </c>
      <c r="O14068" t="s">
        <v>42736</v>
      </c>
    </row>
    <row r="14069" spans="1:20" x14ac:dyDescent="0.25">
      <c r="A14069" t="str">
        <f>"3039307"</f>
        <v>3039307</v>
      </c>
      <c r="B14069" t="s">
        <v>42737</v>
      </c>
      <c r="C14069" t="str">
        <f>"75616000"</f>
        <v>75616000</v>
      </c>
      <c r="D14069" t="s">
        <v>42738</v>
      </c>
      <c r="E14069" t="s">
        <v>42739</v>
      </c>
      <c r="F14069" t="s">
        <v>42740</v>
      </c>
      <c r="I14069" t="s">
        <v>4546</v>
      </c>
      <c r="J14069" t="s">
        <v>30</v>
      </c>
      <c r="K14069" t="s">
        <v>4547</v>
      </c>
      <c r="M14069" t="s">
        <v>25625</v>
      </c>
      <c r="N14069" t="str">
        <f>"7/23/2020 11:13:00 AM"</f>
        <v>7/23/2020 11:13:00 AM</v>
      </c>
      <c r="O14069" t="s">
        <v>42738</v>
      </c>
      <c r="T14069" t="s">
        <v>42739</v>
      </c>
    </row>
    <row r="14070" spans="1:20" x14ac:dyDescent="0.25">
      <c r="A14070" t="str">
        <f>"3048879"</f>
        <v>3048879</v>
      </c>
      <c r="B14070" t="s">
        <v>42741</v>
      </c>
      <c r="C14070" t="str">
        <f>"8313878"</f>
        <v>8313878</v>
      </c>
      <c r="D14070" t="s">
        <v>42742</v>
      </c>
      <c r="F14070" t="s">
        <v>42743</v>
      </c>
      <c r="I14070" t="s">
        <v>29</v>
      </c>
      <c r="J14070" t="s">
        <v>30</v>
      </c>
      <c r="K14070" t="s">
        <v>28730</v>
      </c>
      <c r="M14070" t="s">
        <v>17861</v>
      </c>
      <c r="N14070" t="str">
        <f>"7/23/2020 4:27:00 PM"</f>
        <v>7/23/2020 4:27:00 PM</v>
      </c>
      <c r="O14070" t="s">
        <v>42742</v>
      </c>
    </row>
    <row r="14071" spans="1:20" x14ac:dyDescent="0.25">
      <c r="A14071" t="str">
        <f>"3064709"</f>
        <v>3064709</v>
      </c>
      <c r="B14071" t="s">
        <v>42744</v>
      </c>
      <c r="C14071" t="str">
        <f>"8313895"</f>
        <v>8313895</v>
      </c>
      <c r="D14071" t="s">
        <v>42745</v>
      </c>
      <c r="F14071" t="s">
        <v>42746</v>
      </c>
      <c r="I14071" t="s">
        <v>17921</v>
      </c>
      <c r="J14071" t="s">
        <v>30</v>
      </c>
      <c r="K14071" t="str">
        <f>"27028"</f>
        <v>27028</v>
      </c>
      <c r="M14071" t="s">
        <v>17861</v>
      </c>
      <c r="N14071" t="str">
        <f>"7/30/2020 8:54:00 AM"</f>
        <v>7/30/2020 8:54:00 AM</v>
      </c>
      <c r="O14071" t="s">
        <v>42745</v>
      </c>
    </row>
    <row r="14072" spans="1:20" x14ac:dyDescent="0.25">
      <c r="A14072" t="str">
        <f>"3052807"</f>
        <v>3052807</v>
      </c>
      <c r="B14072" t="s">
        <v>42747</v>
      </c>
      <c r="C14072" t="str">
        <f>"8313962"</f>
        <v>8313962</v>
      </c>
      <c r="D14072" t="s">
        <v>42748</v>
      </c>
      <c r="E14072" t="str">
        <f>"BAILEY CHARILIE E/GARY STEVEN"</f>
        <v>BAILEY CHARILIE E/GARY STEVEN</v>
      </c>
      <c r="F14072" t="s">
        <v>42749</v>
      </c>
      <c r="I14072" t="s">
        <v>29</v>
      </c>
      <c r="J14072" t="s">
        <v>30</v>
      </c>
      <c r="K14072" t="s">
        <v>23689</v>
      </c>
      <c r="M14072" t="s">
        <v>17861</v>
      </c>
      <c r="N14072" t="str">
        <f>"8/17/2020 12:08:00 PM"</f>
        <v>8/17/2020 12:08:00 PM</v>
      </c>
      <c r="O14072" t="s">
        <v>42748</v>
      </c>
      <c r="T14072" t="str">
        <f>"BAILEY CHARILIE E/GARY STEVEN"</f>
        <v>BAILEY CHARILIE E/GARY STEVEN</v>
      </c>
    </row>
    <row r="14073" spans="1:20" x14ac:dyDescent="0.25">
      <c r="A14073" t="str">
        <f>"3041069"</f>
        <v>3041069</v>
      </c>
      <c r="B14073" t="s">
        <v>42750</v>
      </c>
      <c r="C14073" t="str">
        <f>"8302477"</f>
        <v>8302477</v>
      </c>
      <c r="D14073" t="s">
        <v>42751</v>
      </c>
      <c r="F14073" t="s">
        <v>42752</v>
      </c>
      <c r="G14073" t="s">
        <v>42753</v>
      </c>
      <c r="I14073" t="s">
        <v>471</v>
      </c>
      <c r="J14073" t="s">
        <v>30</v>
      </c>
      <c r="K14073" t="str">
        <f>"27103"</f>
        <v>27103</v>
      </c>
      <c r="M14073" t="s">
        <v>33845</v>
      </c>
      <c r="N14073" t="str">
        <f>"8/17/2020 12:29:00 PM"</f>
        <v>8/17/2020 12:29:00 PM</v>
      </c>
      <c r="O14073" t="s">
        <v>42751</v>
      </c>
    </row>
    <row r="14074" spans="1:20" x14ac:dyDescent="0.25">
      <c r="A14074" t="str">
        <f>"3059695"</f>
        <v>3059695</v>
      </c>
      <c r="B14074" t="s">
        <v>42754</v>
      </c>
      <c r="C14074" t="str">
        <f>"8310615"</f>
        <v>8310615</v>
      </c>
      <c r="D14074" t="s">
        <v>42755</v>
      </c>
      <c r="E14074" t="s">
        <v>42756</v>
      </c>
      <c r="F14074" t="s">
        <v>42757</v>
      </c>
      <c r="I14074" t="s">
        <v>29</v>
      </c>
      <c r="J14074" t="s">
        <v>30</v>
      </c>
      <c r="K14074" t="s">
        <v>37968</v>
      </c>
      <c r="M14074" t="s">
        <v>18479</v>
      </c>
      <c r="N14074" t="str">
        <f>"8/17/2020 2:17:00 PM"</f>
        <v>8/17/2020 2:17:00 PM</v>
      </c>
      <c r="O14074" t="s">
        <v>42755</v>
      </c>
      <c r="T14074" t="s">
        <v>42756</v>
      </c>
    </row>
    <row r="14075" spans="1:20" x14ac:dyDescent="0.25">
      <c r="A14075" t="str">
        <f>"3041711"</f>
        <v>3041711</v>
      </c>
      <c r="B14075" t="s">
        <v>42758</v>
      </c>
      <c r="C14075" t="str">
        <f>"8313898"</f>
        <v>8313898</v>
      </c>
      <c r="D14075" t="s">
        <v>42759</v>
      </c>
      <c r="E14075" t="s">
        <v>42760</v>
      </c>
      <c r="F14075" t="s">
        <v>42761</v>
      </c>
      <c r="I14075" t="s">
        <v>2071</v>
      </c>
      <c r="J14075" t="s">
        <v>30</v>
      </c>
      <c r="K14075" t="s">
        <v>4142</v>
      </c>
      <c r="M14075" t="s">
        <v>17861</v>
      </c>
      <c r="N14075" t="str">
        <f>"7/30/2020 9:23:00 AM"</f>
        <v>7/30/2020 9:23:00 AM</v>
      </c>
      <c r="O14075" t="s">
        <v>42759</v>
      </c>
      <c r="T14075" t="s">
        <v>42760</v>
      </c>
    </row>
    <row r="14076" spans="1:20" x14ac:dyDescent="0.25">
      <c r="A14076" t="str">
        <f>"3062191"</f>
        <v>3062191</v>
      </c>
      <c r="B14076" t="s">
        <v>42762</v>
      </c>
      <c r="C14076" t="str">
        <f t="shared" ref="C14076:C14098" si="222">"16581500"</f>
        <v>16581500</v>
      </c>
      <c r="D14076" t="s">
        <v>42763</v>
      </c>
      <c r="F14076" t="str">
        <f t="shared" ref="F14076:F14098" si="223">"C/O JOE HARRIS"</f>
        <v>C/O JOE HARRIS</v>
      </c>
      <c r="G14076" t="s">
        <v>42764</v>
      </c>
      <c r="I14076" t="s">
        <v>29</v>
      </c>
      <c r="J14076" t="s">
        <v>30</v>
      </c>
      <c r="K14076" t="s">
        <v>42765</v>
      </c>
      <c r="M14076" t="s">
        <v>33845</v>
      </c>
      <c r="N14076" t="str">
        <f t="shared" ref="N14076:N14098" si="224">"8/18/2020 4:20:00 PM"</f>
        <v>8/18/2020 4:20:00 PM</v>
      </c>
      <c r="O14076" t="s">
        <v>42763</v>
      </c>
    </row>
    <row r="14077" spans="1:20" x14ac:dyDescent="0.25">
      <c r="A14077" t="str">
        <f>"3062157"</f>
        <v>3062157</v>
      </c>
      <c r="B14077" t="s">
        <v>42766</v>
      </c>
      <c r="C14077" t="str">
        <f t="shared" si="222"/>
        <v>16581500</v>
      </c>
      <c r="D14077" t="s">
        <v>42763</v>
      </c>
      <c r="F14077" t="str">
        <f t="shared" si="223"/>
        <v>C/O JOE HARRIS</v>
      </c>
      <c r="G14077" t="s">
        <v>42764</v>
      </c>
      <c r="I14077" t="s">
        <v>29</v>
      </c>
      <c r="J14077" t="s">
        <v>30</v>
      </c>
      <c r="K14077" t="s">
        <v>42765</v>
      </c>
      <c r="M14077" t="s">
        <v>33845</v>
      </c>
      <c r="N14077" t="str">
        <f t="shared" si="224"/>
        <v>8/18/2020 4:20:00 PM</v>
      </c>
      <c r="O14077" t="s">
        <v>42763</v>
      </c>
    </row>
    <row r="14078" spans="1:20" x14ac:dyDescent="0.25">
      <c r="A14078" t="str">
        <f>"3069211"</f>
        <v>3069211</v>
      </c>
      <c r="B14078" t="s">
        <v>42767</v>
      </c>
      <c r="C14078" t="str">
        <f t="shared" si="222"/>
        <v>16581500</v>
      </c>
      <c r="D14078" t="s">
        <v>42763</v>
      </c>
      <c r="F14078" t="str">
        <f t="shared" si="223"/>
        <v>C/O JOE HARRIS</v>
      </c>
      <c r="G14078" t="s">
        <v>42764</v>
      </c>
      <c r="I14078" t="s">
        <v>29</v>
      </c>
      <c r="J14078" t="s">
        <v>30</v>
      </c>
      <c r="K14078" t="s">
        <v>42765</v>
      </c>
      <c r="M14078" t="s">
        <v>33845</v>
      </c>
      <c r="N14078" t="str">
        <f t="shared" si="224"/>
        <v>8/18/2020 4:20:00 PM</v>
      </c>
      <c r="O14078" t="s">
        <v>42763</v>
      </c>
    </row>
    <row r="14079" spans="1:20" x14ac:dyDescent="0.25">
      <c r="A14079" t="str">
        <f>"3069212"</f>
        <v>3069212</v>
      </c>
      <c r="B14079" t="s">
        <v>42768</v>
      </c>
      <c r="C14079" t="str">
        <f t="shared" si="222"/>
        <v>16581500</v>
      </c>
      <c r="D14079" t="s">
        <v>42763</v>
      </c>
      <c r="F14079" t="str">
        <f t="shared" si="223"/>
        <v>C/O JOE HARRIS</v>
      </c>
      <c r="G14079" t="s">
        <v>42764</v>
      </c>
      <c r="I14079" t="s">
        <v>29</v>
      </c>
      <c r="J14079" t="s">
        <v>30</v>
      </c>
      <c r="K14079" t="s">
        <v>42765</v>
      </c>
      <c r="M14079" t="s">
        <v>33845</v>
      </c>
      <c r="N14079" t="str">
        <f t="shared" si="224"/>
        <v>8/18/2020 4:20:00 PM</v>
      </c>
      <c r="O14079" t="s">
        <v>42763</v>
      </c>
    </row>
    <row r="14080" spans="1:20" x14ac:dyDescent="0.25">
      <c r="A14080" t="str">
        <f>"3053032"</f>
        <v>3053032</v>
      </c>
      <c r="B14080" t="s">
        <v>42769</v>
      </c>
      <c r="C14080" t="str">
        <f t="shared" si="222"/>
        <v>16581500</v>
      </c>
      <c r="D14080" t="s">
        <v>42763</v>
      </c>
      <c r="F14080" t="str">
        <f t="shared" si="223"/>
        <v>C/O JOE HARRIS</v>
      </c>
      <c r="G14080" t="s">
        <v>42764</v>
      </c>
      <c r="I14080" t="s">
        <v>29</v>
      </c>
      <c r="J14080" t="s">
        <v>30</v>
      </c>
      <c r="K14080" t="s">
        <v>42765</v>
      </c>
      <c r="M14080" t="s">
        <v>33845</v>
      </c>
      <c r="N14080" t="str">
        <f t="shared" si="224"/>
        <v>8/18/2020 4:20:00 PM</v>
      </c>
      <c r="O14080" t="s">
        <v>42763</v>
      </c>
    </row>
    <row r="14081" spans="1:15" x14ac:dyDescent="0.25">
      <c r="A14081" t="str">
        <f>"3053040"</f>
        <v>3053040</v>
      </c>
      <c r="B14081" t="s">
        <v>42770</v>
      </c>
      <c r="C14081" t="str">
        <f t="shared" si="222"/>
        <v>16581500</v>
      </c>
      <c r="D14081" t="s">
        <v>42763</v>
      </c>
      <c r="F14081" t="str">
        <f t="shared" si="223"/>
        <v>C/O JOE HARRIS</v>
      </c>
      <c r="G14081" t="s">
        <v>42764</v>
      </c>
      <c r="I14081" t="s">
        <v>29</v>
      </c>
      <c r="J14081" t="s">
        <v>30</v>
      </c>
      <c r="K14081" t="s">
        <v>42765</v>
      </c>
      <c r="M14081" t="s">
        <v>33845</v>
      </c>
      <c r="N14081" t="str">
        <f t="shared" si="224"/>
        <v>8/18/2020 4:20:00 PM</v>
      </c>
      <c r="O14081" t="s">
        <v>42763</v>
      </c>
    </row>
    <row r="14082" spans="1:15" x14ac:dyDescent="0.25">
      <c r="A14082" t="str">
        <f>"3053035"</f>
        <v>3053035</v>
      </c>
      <c r="B14082" t="s">
        <v>42771</v>
      </c>
      <c r="C14082" t="str">
        <f t="shared" si="222"/>
        <v>16581500</v>
      </c>
      <c r="D14082" t="s">
        <v>42763</v>
      </c>
      <c r="F14082" t="str">
        <f t="shared" si="223"/>
        <v>C/O JOE HARRIS</v>
      </c>
      <c r="G14082" t="s">
        <v>42764</v>
      </c>
      <c r="I14082" t="s">
        <v>29</v>
      </c>
      <c r="J14082" t="s">
        <v>30</v>
      </c>
      <c r="K14082" t="s">
        <v>42765</v>
      </c>
      <c r="M14082" t="s">
        <v>33845</v>
      </c>
      <c r="N14082" t="str">
        <f t="shared" si="224"/>
        <v>8/18/2020 4:20:00 PM</v>
      </c>
      <c r="O14082" t="s">
        <v>42763</v>
      </c>
    </row>
    <row r="14083" spans="1:15" x14ac:dyDescent="0.25">
      <c r="A14083" t="str">
        <f>"3053041"</f>
        <v>3053041</v>
      </c>
      <c r="B14083" t="s">
        <v>42772</v>
      </c>
      <c r="C14083" t="str">
        <f t="shared" si="222"/>
        <v>16581500</v>
      </c>
      <c r="D14083" t="s">
        <v>42763</v>
      </c>
      <c r="F14083" t="str">
        <f t="shared" si="223"/>
        <v>C/O JOE HARRIS</v>
      </c>
      <c r="G14083" t="s">
        <v>42764</v>
      </c>
      <c r="I14083" t="s">
        <v>29</v>
      </c>
      <c r="J14083" t="s">
        <v>30</v>
      </c>
      <c r="K14083" t="s">
        <v>42765</v>
      </c>
      <c r="M14083" t="s">
        <v>33845</v>
      </c>
      <c r="N14083" t="str">
        <f t="shared" si="224"/>
        <v>8/18/2020 4:20:00 PM</v>
      </c>
      <c r="O14083" t="s">
        <v>42763</v>
      </c>
    </row>
    <row r="14084" spans="1:15" x14ac:dyDescent="0.25">
      <c r="A14084" t="str">
        <f>"3053042"</f>
        <v>3053042</v>
      </c>
      <c r="B14084" t="s">
        <v>42773</v>
      </c>
      <c r="C14084" t="str">
        <f t="shared" si="222"/>
        <v>16581500</v>
      </c>
      <c r="D14084" t="s">
        <v>42763</v>
      </c>
      <c r="F14084" t="str">
        <f t="shared" si="223"/>
        <v>C/O JOE HARRIS</v>
      </c>
      <c r="G14084" t="s">
        <v>42764</v>
      </c>
      <c r="I14084" t="s">
        <v>29</v>
      </c>
      <c r="J14084" t="s">
        <v>30</v>
      </c>
      <c r="K14084" t="s">
        <v>42765</v>
      </c>
      <c r="M14084" t="s">
        <v>33845</v>
      </c>
      <c r="N14084" t="str">
        <f t="shared" si="224"/>
        <v>8/18/2020 4:20:00 PM</v>
      </c>
      <c r="O14084" t="s">
        <v>42763</v>
      </c>
    </row>
    <row r="14085" spans="1:15" x14ac:dyDescent="0.25">
      <c r="A14085" t="str">
        <f>"3053043"</f>
        <v>3053043</v>
      </c>
      <c r="B14085" t="s">
        <v>42774</v>
      </c>
      <c r="C14085" t="str">
        <f t="shared" si="222"/>
        <v>16581500</v>
      </c>
      <c r="D14085" t="s">
        <v>42763</v>
      </c>
      <c r="F14085" t="str">
        <f t="shared" si="223"/>
        <v>C/O JOE HARRIS</v>
      </c>
      <c r="G14085" t="s">
        <v>42764</v>
      </c>
      <c r="I14085" t="s">
        <v>29</v>
      </c>
      <c r="J14085" t="s">
        <v>30</v>
      </c>
      <c r="K14085" t="s">
        <v>42765</v>
      </c>
      <c r="M14085" t="s">
        <v>33845</v>
      </c>
      <c r="N14085" t="str">
        <f t="shared" si="224"/>
        <v>8/18/2020 4:20:00 PM</v>
      </c>
      <c r="O14085" t="s">
        <v>42763</v>
      </c>
    </row>
    <row r="14086" spans="1:15" x14ac:dyDescent="0.25">
      <c r="A14086" t="str">
        <f>"3053038"</f>
        <v>3053038</v>
      </c>
      <c r="B14086" t="s">
        <v>42775</v>
      </c>
      <c r="C14086" t="str">
        <f t="shared" si="222"/>
        <v>16581500</v>
      </c>
      <c r="D14086" t="s">
        <v>42763</v>
      </c>
      <c r="F14086" t="str">
        <f t="shared" si="223"/>
        <v>C/O JOE HARRIS</v>
      </c>
      <c r="G14086" t="s">
        <v>42764</v>
      </c>
      <c r="I14086" t="s">
        <v>29</v>
      </c>
      <c r="J14086" t="s">
        <v>30</v>
      </c>
      <c r="K14086" t="s">
        <v>42765</v>
      </c>
      <c r="M14086" t="s">
        <v>33845</v>
      </c>
      <c r="N14086" t="str">
        <f t="shared" si="224"/>
        <v>8/18/2020 4:20:00 PM</v>
      </c>
      <c r="O14086" t="s">
        <v>42763</v>
      </c>
    </row>
    <row r="14087" spans="1:15" x14ac:dyDescent="0.25">
      <c r="A14087" t="str">
        <f>"3053025"</f>
        <v>3053025</v>
      </c>
      <c r="B14087" t="s">
        <v>42776</v>
      </c>
      <c r="C14087" t="str">
        <f t="shared" si="222"/>
        <v>16581500</v>
      </c>
      <c r="D14087" t="s">
        <v>42763</v>
      </c>
      <c r="F14087" t="str">
        <f t="shared" si="223"/>
        <v>C/O JOE HARRIS</v>
      </c>
      <c r="G14087" t="s">
        <v>42764</v>
      </c>
      <c r="I14087" t="s">
        <v>29</v>
      </c>
      <c r="J14087" t="s">
        <v>30</v>
      </c>
      <c r="K14087" t="s">
        <v>42765</v>
      </c>
      <c r="M14087" t="s">
        <v>33845</v>
      </c>
      <c r="N14087" t="str">
        <f t="shared" si="224"/>
        <v>8/18/2020 4:20:00 PM</v>
      </c>
      <c r="O14087" t="s">
        <v>42763</v>
      </c>
    </row>
    <row r="14088" spans="1:15" x14ac:dyDescent="0.25">
      <c r="A14088" t="str">
        <f>"3053026"</f>
        <v>3053026</v>
      </c>
      <c r="B14088" t="s">
        <v>42777</v>
      </c>
      <c r="C14088" t="str">
        <f t="shared" si="222"/>
        <v>16581500</v>
      </c>
      <c r="D14088" t="s">
        <v>42763</v>
      </c>
      <c r="F14088" t="str">
        <f t="shared" si="223"/>
        <v>C/O JOE HARRIS</v>
      </c>
      <c r="G14088" t="s">
        <v>42764</v>
      </c>
      <c r="I14088" t="s">
        <v>29</v>
      </c>
      <c r="J14088" t="s">
        <v>30</v>
      </c>
      <c r="K14088" t="s">
        <v>42765</v>
      </c>
      <c r="M14088" t="s">
        <v>33845</v>
      </c>
      <c r="N14088" t="str">
        <f t="shared" si="224"/>
        <v>8/18/2020 4:20:00 PM</v>
      </c>
      <c r="O14088" t="s">
        <v>42763</v>
      </c>
    </row>
    <row r="14089" spans="1:15" x14ac:dyDescent="0.25">
      <c r="A14089" t="str">
        <f>"3053027"</f>
        <v>3053027</v>
      </c>
      <c r="B14089" t="s">
        <v>42778</v>
      </c>
      <c r="C14089" t="str">
        <f t="shared" si="222"/>
        <v>16581500</v>
      </c>
      <c r="D14089" t="s">
        <v>42763</v>
      </c>
      <c r="F14089" t="str">
        <f t="shared" si="223"/>
        <v>C/O JOE HARRIS</v>
      </c>
      <c r="G14089" t="s">
        <v>42764</v>
      </c>
      <c r="I14089" t="s">
        <v>29</v>
      </c>
      <c r="J14089" t="s">
        <v>30</v>
      </c>
      <c r="K14089" t="s">
        <v>42765</v>
      </c>
      <c r="M14089" t="s">
        <v>33845</v>
      </c>
      <c r="N14089" t="str">
        <f t="shared" si="224"/>
        <v>8/18/2020 4:20:00 PM</v>
      </c>
      <c r="O14089" t="s">
        <v>42763</v>
      </c>
    </row>
    <row r="14090" spans="1:15" x14ac:dyDescent="0.25">
      <c r="A14090" t="str">
        <f>"3053001"</f>
        <v>3053001</v>
      </c>
      <c r="B14090" t="s">
        <v>42779</v>
      </c>
      <c r="C14090" t="str">
        <f t="shared" si="222"/>
        <v>16581500</v>
      </c>
      <c r="D14090" t="s">
        <v>42763</v>
      </c>
      <c r="F14090" t="str">
        <f t="shared" si="223"/>
        <v>C/O JOE HARRIS</v>
      </c>
      <c r="G14090" t="s">
        <v>42764</v>
      </c>
      <c r="I14090" t="s">
        <v>29</v>
      </c>
      <c r="J14090" t="s">
        <v>30</v>
      </c>
      <c r="K14090" t="s">
        <v>42765</v>
      </c>
      <c r="M14090" t="s">
        <v>33845</v>
      </c>
      <c r="N14090" t="str">
        <f t="shared" si="224"/>
        <v>8/18/2020 4:20:00 PM</v>
      </c>
      <c r="O14090" t="s">
        <v>42763</v>
      </c>
    </row>
    <row r="14091" spans="1:15" x14ac:dyDescent="0.25">
      <c r="A14091" t="str">
        <f>"3053002"</f>
        <v>3053002</v>
      </c>
      <c r="B14091" t="s">
        <v>42780</v>
      </c>
      <c r="C14091" t="str">
        <f t="shared" si="222"/>
        <v>16581500</v>
      </c>
      <c r="D14091" t="s">
        <v>42763</v>
      </c>
      <c r="F14091" t="str">
        <f t="shared" si="223"/>
        <v>C/O JOE HARRIS</v>
      </c>
      <c r="G14091" t="s">
        <v>42764</v>
      </c>
      <c r="I14091" t="s">
        <v>29</v>
      </c>
      <c r="J14091" t="s">
        <v>30</v>
      </c>
      <c r="K14091" t="s">
        <v>42765</v>
      </c>
      <c r="M14091" t="s">
        <v>33845</v>
      </c>
      <c r="N14091" t="str">
        <f t="shared" si="224"/>
        <v>8/18/2020 4:20:00 PM</v>
      </c>
      <c r="O14091" t="s">
        <v>42763</v>
      </c>
    </row>
    <row r="14092" spans="1:15" x14ac:dyDescent="0.25">
      <c r="A14092" t="str">
        <f>"3053003"</f>
        <v>3053003</v>
      </c>
      <c r="B14092" t="s">
        <v>42781</v>
      </c>
      <c r="C14092" t="str">
        <f t="shared" si="222"/>
        <v>16581500</v>
      </c>
      <c r="D14092" t="s">
        <v>42763</v>
      </c>
      <c r="F14092" t="str">
        <f t="shared" si="223"/>
        <v>C/O JOE HARRIS</v>
      </c>
      <c r="G14092" t="s">
        <v>42764</v>
      </c>
      <c r="I14092" t="s">
        <v>29</v>
      </c>
      <c r="J14092" t="s">
        <v>30</v>
      </c>
      <c r="K14092" t="s">
        <v>42765</v>
      </c>
      <c r="M14092" t="s">
        <v>33845</v>
      </c>
      <c r="N14092" t="str">
        <f t="shared" si="224"/>
        <v>8/18/2020 4:20:00 PM</v>
      </c>
      <c r="O14092" t="s">
        <v>42763</v>
      </c>
    </row>
    <row r="14093" spans="1:15" x14ac:dyDescent="0.25">
      <c r="A14093" t="str">
        <f>"3049686"</f>
        <v>3049686</v>
      </c>
      <c r="B14093" t="s">
        <v>42782</v>
      </c>
      <c r="C14093" t="str">
        <f t="shared" si="222"/>
        <v>16581500</v>
      </c>
      <c r="D14093" t="s">
        <v>42763</v>
      </c>
      <c r="F14093" t="str">
        <f t="shared" si="223"/>
        <v>C/O JOE HARRIS</v>
      </c>
      <c r="G14093" t="s">
        <v>42764</v>
      </c>
      <c r="I14093" t="s">
        <v>29</v>
      </c>
      <c r="J14093" t="s">
        <v>30</v>
      </c>
      <c r="K14093" t="s">
        <v>42765</v>
      </c>
      <c r="M14093" t="s">
        <v>33845</v>
      </c>
      <c r="N14093" t="str">
        <f t="shared" si="224"/>
        <v>8/18/2020 4:20:00 PM</v>
      </c>
      <c r="O14093" t="s">
        <v>42763</v>
      </c>
    </row>
    <row r="14094" spans="1:15" x14ac:dyDescent="0.25">
      <c r="A14094" t="str">
        <f>"3053076"</f>
        <v>3053076</v>
      </c>
      <c r="B14094" t="s">
        <v>42783</v>
      </c>
      <c r="C14094" t="str">
        <f t="shared" si="222"/>
        <v>16581500</v>
      </c>
      <c r="D14094" t="s">
        <v>42763</v>
      </c>
      <c r="F14094" t="str">
        <f t="shared" si="223"/>
        <v>C/O JOE HARRIS</v>
      </c>
      <c r="G14094" t="s">
        <v>42764</v>
      </c>
      <c r="I14094" t="s">
        <v>29</v>
      </c>
      <c r="J14094" t="s">
        <v>30</v>
      </c>
      <c r="K14094" t="s">
        <v>42765</v>
      </c>
      <c r="M14094" t="s">
        <v>33845</v>
      </c>
      <c r="N14094" t="str">
        <f t="shared" si="224"/>
        <v>8/18/2020 4:20:00 PM</v>
      </c>
      <c r="O14094" t="s">
        <v>42763</v>
      </c>
    </row>
    <row r="14095" spans="1:15" x14ac:dyDescent="0.25">
      <c r="A14095" t="str">
        <f>"3053078"</f>
        <v>3053078</v>
      </c>
      <c r="B14095" t="s">
        <v>42784</v>
      </c>
      <c r="C14095" t="str">
        <f t="shared" si="222"/>
        <v>16581500</v>
      </c>
      <c r="D14095" t="s">
        <v>42763</v>
      </c>
      <c r="F14095" t="str">
        <f t="shared" si="223"/>
        <v>C/O JOE HARRIS</v>
      </c>
      <c r="G14095" t="s">
        <v>42764</v>
      </c>
      <c r="I14095" t="s">
        <v>29</v>
      </c>
      <c r="J14095" t="s">
        <v>30</v>
      </c>
      <c r="K14095" t="s">
        <v>42765</v>
      </c>
      <c r="M14095" t="s">
        <v>33845</v>
      </c>
      <c r="N14095" t="str">
        <f t="shared" si="224"/>
        <v>8/18/2020 4:20:00 PM</v>
      </c>
      <c r="O14095" t="s">
        <v>42763</v>
      </c>
    </row>
    <row r="14096" spans="1:15" x14ac:dyDescent="0.25">
      <c r="A14096" t="str">
        <f>"3053048"</f>
        <v>3053048</v>
      </c>
      <c r="B14096" t="s">
        <v>42785</v>
      </c>
      <c r="C14096" t="str">
        <f t="shared" si="222"/>
        <v>16581500</v>
      </c>
      <c r="D14096" t="s">
        <v>42763</v>
      </c>
      <c r="F14096" t="str">
        <f t="shared" si="223"/>
        <v>C/O JOE HARRIS</v>
      </c>
      <c r="G14096" t="s">
        <v>42764</v>
      </c>
      <c r="I14096" t="s">
        <v>29</v>
      </c>
      <c r="J14096" t="s">
        <v>30</v>
      </c>
      <c r="K14096" t="s">
        <v>42765</v>
      </c>
      <c r="M14096" t="s">
        <v>33845</v>
      </c>
      <c r="N14096" t="str">
        <f t="shared" si="224"/>
        <v>8/18/2020 4:20:00 PM</v>
      </c>
      <c r="O14096" t="s">
        <v>42763</v>
      </c>
    </row>
    <row r="14097" spans="1:20" x14ac:dyDescent="0.25">
      <c r="A14097" t="str">
        <f>"3053050"</f>
        <v>3053050</v>
      </c>
      <c r="B14097" t="s">
        <v>42786</v>
      </c>
      <c r="C14097" t="str">
        <f t="shared" si="222"/>
        <v>16581500</v>
      </c>
      <c r="D14097" t="s">
        <v>42763</v>
      </c>
      <c r="F14097" t="str">
        <f t="shared" si="223"/>
        <v>C/O JOE HARRIS</v>
      </c>
      <c r="G14097" t="s">
        <v>42764</v>
      </c>
      <c r="I14097" t="s">
        <v>29</v>
      </c>
      <c r="J14097" t="s">
        <v>30</v>
      </c>
      <c r="K14097" t="s">
        <v>42765</v>
      </c>
      <c r="M14097" t="s">
        <v>33845</v>
      </c>
      <c r="N14097" t="str">
        <f t="shared" si="224"/>
        <v>8/18/2020 4:20:00 PM</v>
      </c>
      <c r="O14097" t="s">
        <v>42763</v>
      </c>
    </row>
    <row r="14098" spans="1:20" x14ac:dyDescent="0.25">
      <c r="A14098" t="str">
        <f>"3053053"</f>
        <v>3053053</v>
      </c>
      <c r="B14098" t="s">
        <v>42787</v>
      </c>
      <c r="C14098" t="str">
        <f t="shared" si="222"/>
        <v>16581500</v>
      </c>
      <c r="D14098" t="s">
        <v>42763</v>
      </c>
      <c r="F14098" t="str">
        <f t="shared" si="223"/>
        <v>C/O JOE HARRIS</v>
      </c>
      <c r="G14098" t="s">
        <v>42764</v>
      </c>
      <c r="I14098" t="s">
        <v>29</v>
      </c>
      <c r="J14098" t="s">
        <v>30</v>
      </c>
      <c r="K14098" t="s">
        <v>42765</v>
      </c>
      <c r="M14098" t="s">
        <v>33845</v>
      </c>
      <c r="N14098" t="str">
        <f t="shared" si="224"/>
        <v>8/18/2020 4:20:00 PM</v>
      </c>
      <c r="O14098" t="s">
        <v>42763</v>
      </c>
    </row>
    <row r="14099" spans="1:20" x14ac:dyDescent="0.25">
      <c r="A14099" t="str">
        <f>"3060991"</f>
        <v>3060991</v>
      </c>
      <c r="B14099" t="s">
        <v>42788</v>
      </c>
      <c r="C14099" t="str">
        <f>"8312849"</f>
        <v>8312849</v>
      </c>
      <c r="D14099" t="s">
        <v>42789</v>
      </c>
      <c r="E14099" t="s">
        <v>42790</v>
      </c>
      <c r="F14099" t="s">
        <v>42791</v>
      </c>
      <c r="I14099" t="s">
        <v>402</v>
      </c>
      <c r="J14099" t="s">
        <v>30</v>
      </c>
      <c r="K14099" t="str">
        <f>"27012"</f>
        <v>27012</v>
      </c>
      <c r="M14099" t="s">
        <v>40663</v>
      </c>
      <c r="N14099" t="str">
        <f>"8/19/2020 9:16:00 AM"</f>
        <v>8/19/2020 9:16:00 AM</v>
      </c>
      <c r="O14099" t="s">
        <v>42789</v>
      </c>
      <c r="T14099" t="s">
        <v>42790</v>
      </c>
    </row>
    <row r="14100" spans="1:20" x14ac:dyDescent="0.25">
      <c r="A14100" t="str">
        <f>"3050367"</f>
        <v>3050367</v>
      </c>
      <c r="B14100" t="s">
        <v>42792</v>
      </c>
      <c r="C14100" t="str">
        <f>"8313965"</f>
        <v>8313965</v>
      </c>
      <c r="D14100" t="s">
        <v>42793</v>
      </c>
      <c r="E14100" t="s">
        <v>42794</v>
      </c>
      <c r="F14100" t="s">
        <v>42795</v>
      </c>
      <c r="I14100" t="s">
        <v>184</v>
      </c>
      <c r="J14100" t="s">
        <v>30</v>
      </c>
      <c r="K14100" t="s">
        <v>39632</v>
      </c>
      <c r="M14100" t="s">
        <v>17861</v>
      </c>
      <c r="N14100" t="str">
        <f>"8/19/2020 12:22:00 PM"</f>
        <v>8/19/2020 12:22:00 PM</v>
      </c>
      <c r="O14100" t="s">
        <v>42793</v>
      </c>
      <c r="T14100" t="s">
        <v>42794</v>
      </c>
    </row>
    <row r="14101" spans="1:20" x14ac:dyDescent="0.25">
      <c r="A14101" t="str">
        <f>"3037891"</f>
        <v>3037891</v>
      </c>
      <c r="B14101" t="s">
        <v>42796</v>
      </c>
      <c r="C14101" t="str">
        <f>"8313966"</f>
        <v>8313966</v>
      </c>
      <c r="D14101" t="s">
        <v>42797</v>
      </c>
      <c r="E14101" t="s">
        <v>36513</v>
      </c>
      <c r="F14101" t="s">
        <v>36514</v>
      </c>
      <c r="I14101" t="s">
        <v>29</v>
      </c>
      <c r="J14101" t="s">
        <v>30</v>
      </c>
      <c r="K14101" t="s">
        <v>453</v>
      </c>
      <c r="M14101" t="s">
        <v>17861</v>
      </c>
      <c r="N14101" t="str">
        <f>"8/19/2020 1:36:00 PM"</f>
        <v>8/19/2020 1:36:00 PM</v>
      </c>
      <c r="O14101" t="s">
        <v>42797</v>
      </c>
      <c r="T14101" t="s">
        <v>36513</v>
      </c>
    </row>
    <row r="14102" spans="1:20" x14ac:dyDescent="0.25">
      <c r="A14102" t="str">
        <f>"3070752"</f>
        <v>3070752</v>
      </c>
      <c r="B14102" t="s">
        <v>42798</v>
      </c>
      <c r="C14102" t="str">
        <f>"8313905"</f>
        <v>8313905</v>
      </c>
      <c r="D14102" t="s">
        <v>42799</v>
      </c>
      <c r="F14102" t="s">
        <v>42800</v>
      </c>
      <c r="I14102" t="s">
        <v>29</v>
      </c>
      <c r="J14102" t="s">
        <v>30</v>
      </c>
      <c r="K14102" t="s">
        <v>42801</v>
      </c>
      <c r="M14102" t="s">
        <v>17861</v>
      </c>
      <c r="N14102" t="str">
        <f>"7/30/2020 1:51:00 PM"</f>
        <v>7/30/2020 1:51:00 PM</v>
      </c>
      <c r="O14102" t="s">
        <v>42799</v>
      </c>
    </row>
    <row r="14103" spans="1:20" x14ac:dyDescent="0.25">
      <c r="A14103" t="str">
        <f>"3044833"</f>
        <v>3044833</v>
      </c>
      <c r="B14103" t="s">
        <v>42802</v>
      </c>
      <c r="C14103" t="str">
        <f>"8313970"</f>
        <v>8313970</v>
      </c>
      <c r="D14103" t="s">
        <v>42803</v>
      </c>
      <c r="E14103" t="s">
        <v>42804</v>
      </c>
      <c r="F14103" t="s">
        <v>42805</v>
      </c>
      <c r="I14103" t="s">
        <v>184</v>
      </c>
      <c r="J14103" t="s">
        <v>30</v>
      </c>
      <c r="K14103" t="s">
        <v>5608</v>
      </c>
      <c r="M14103" t="s">
        <v>17861</v>
      </c>
      <c r="N14103" t="str">
        <f>"8/19/2020 2:08:00 PM"</f>
        <v>8/19/2020 2:08:00 PM</v>
      </c>
      <c r="O14103" t="s">
        <v>42803</v>
      </c>
      <c r="T14103" t="s">
        <v>42804</v>
      </c>
    </row>
    <row r="14104" spans="1:20" x14ac:dyDescent="0.25">
      <c r="A14104" t="str">
        <f>"3045866"</f>
        <v>3045866</v>
      </c>
      <c r="B14104" t="s">
        <v>42806</v>
      </c>
      <c r="C14104" t="str">
        <f>"8313972"</f>
        <v>8313972</v>
      </c>
      <c r="D14104" t="s">
        <v>42807</v>
      </c>
      <c r="E14104" t="s">
        <v>42808</v>
      </c>
      <c r="F14104" t="s">
        <v>42809</v>
      </c>
      <c r="I14104" t="s">
        <v>29</v>
      </c>
      <c r="J14104" t="s">
        <v>30</v>
      </c>
      <c r="K14104" t="str">
        <f>"27028"</f>
        <v>27028</v>
      </c>
      <c r="M14104" t="s">
        <v>17861</v>
      </c>
      <c r="N14104" t="str">
        <f>"8/20/2020 9:58:00 AM"</f>
        <v>8/20/2020 9:58:00 AM</v>
      </c>
      <c r="O14104" t="s">
        <v>42807</v>
      </c>
      <c r="T14104" t="s">
        <v>42808</v>
      </c>
    </row>
    <row r="14105" spans="1:20" x14ac:dyDescent="0.25">
      <c r="A14105" t="str">
        <f>"3060113"</f>
        <v>3060113</v>
      </c>
      <c r="B14105" t="s">
        <v>42810</v>
      </c>
      <c r="C14105" t="str">
        <f>"8313976"</f>
        <v>8313976</v>
      </c>
      <c r="D14105" t="s">
        <v>42811</v>
      </c>
      <c r="E14105" t="s">
        <v>42812</v>
      </c>
      <c r="F14105" t="s">
        <v>42813</v>
      </c>
      <c r="I14105" t="s">
        <v>184</v>
      </c>
      <c r="J14105" t="s">
        <v>30</v>
      </c>
      <c r="K14105" t="s">
        <v>33921</v>
      </c>
      <c r="M14105" t="s">
        <v>17861</v>
      </c>
      <c r="N14105" t="str">
        <f>"8/20/2020 11:03:00 AM"</f>
        <v>8/20/2020 11:03:00 AM</v>
      </c>
      <c r="O14105" t="s">
        <v>42811</v>
      </c>
      <c r="T14105" t="s">
        <v>42812</v>
      </c>
    </row>
    <row r="14106" spans="1:20" x14ac:dyDescent="0.25">
      <c r="A14106" t="str">
        <f>"3058322"</f>
        <v>3058322</v>
      </c>
      <c r="B14106" t="s">
        <v>42814</v>
      </c>
      <c r="C14106" t="str">
        <f>"8313977"</f>
        <v>8313977</v>
      </c>
      <c r="D14106" t="s">
        <v>42815</v>
      </c>
      <c r="E14106" t="s">
        <v>42816</v>
      </c>
      <c r="F14106" t="s">
        <v>42817</v>
      </c>
      <c r="I14106" t="s">
        <v>29</v>
      </c>
      <c r="J14106" t="s">
        <v>30</v>
      </c>
      <c r="K14106" t="str">
        <f>"27028"</f>
        <v>27028</v>
      </c>
      <c r="M14106" t="s">
        <v>17861</v>
      </c>
      <c r="N14106" t="str">
        <f>"8/20/2020 12:41:00 PM"</f>
        <v>8/20/2020 12:41:00 PM</v>
      </c>
      <c r="O14106" t="s">
        <v>42815</v>
      </c>
      <c r="T14106" t="s">
        <v>42816</v>
      </c>
    </row>
    <row r="14107" spans="1:20" x14ac:dyDescent="0.25">
      <c r="A14107" t="str">
        <f>"3040453"</f>
        <v>3040453</v>
      </c>
      <c r="B14107" t="s">
        <v>42818</v>
      </c>
      <c r="C14107" t="str">
        <f>"8313979"</f>
        <v>8313979</v>
      </c>
      <c r="D14107" t="s">
        <v>42819</v>
      </c>
      <c r="E14107" t="s">
        <v>42820</v>
      </c>
      <c r="F14107" t="s">
        <v>42821</v>
      </c>
      <c r="I14107" t="s">
        <v>29</v>
      </c>
      <c r="J14107" t="s">
        <v>30</v>
      </c>
      <c r="K14107" t="s">
        <v>42822</v>
      </c>
      <c r="M14107" t="s">
        <v>17861</v>
      </c>
      <c r="N14107" t="str">
        <f>"8/20/2020 1:26:00 PM"</f>
        <v>8/20/2020 1:26:00 PM</v>
      </c>
      <c r="O14107" t="s">
        <v>42819</v>
      </c>
      <c r="T14107" t="s">
        <v>42820</v>
      </c>
    </row>
    <row r="14108" spans="1:20" x14ac:dyDescent="0.25">
      <c r="A14108" t="str">
        <f>"3049805"</f>
        <v>3049805</v>
      </c>
      <c r="B14108" t="s">
        <v>42823</v>
      </c>
      <c r="C14108" t="str">
        <f>"8313981"</f>
        <v>8313981</v>
      </c>
      <c r="D14108" t="s">
        <v>42824</v>
      </c>
      <c r="E14108" t="s">
        <v>42825</v>
      </c>
      <c r="F14108" t="s">
        <v>42826</v>
      </c>
      <c r="I14108" t="s">
        <v>29</v>
      </c>
      <c r="J14108" t="s">
        <v>30</v>
      </c>
      <c r="K14108" t="s">
        <v>9905</v>
      </c>
      <c r="M14108" t="s">
        <v>17861</v>
      </c>
      <c r="N14108" t="str">
        <f>"8/20/2020 1:36:00 PM"</f>
        <v>8/20/2020 1:36:00 PM</v>
      </c>
      <c r="O14108" t="s">
        <v>42824</v>
      </c>
      <c r="T14108" t="s">
        <v>42825</v>
      </c>
    </row>
    <row r="14109" spans="1:20" x14ac:dyDescent="0.25">
      <c r="A14109" t="str">
        <f>"3038292"</f>
        <v>3038292</v>
      </c>
      <c r="B14109" t="s">
        <v>42827</v>
      </c>
      <c r="C14109" t="str">
        <f>"8313982"</f>
        <v>8313982</v>
      </c>
      <c r="D14109" t="s">
        <v>42828</v>
      </c>
      <c r="E14109" t="s">
        <v>42829</v>
      </c>
      <c r="F14109" t="s">
        <v>42830</v>
      </c>
      <c r="I14109" t="s">
        <v>29</v>
      </c>
      <c r="J14109" t="s">
        <v>30</v>
      </c>
      <c r="K14109" t="s">
        <v>19543</v>
      </c>
      <c r="M14109" t="s">
        <v>17861</v>
      </c>
      <c r="N14109" t="str">
        <f>"8/20/2020 1:43:00 PM"</f>
        <v>8/20/2020 1:43:00 PM</v>
      </c>
      <c r="O14109" t="s">
        <v>42828</v>
      </c>
      <c r="T14109" t="s">
        <v>42829</v>
      </c>
    </row>
    <row r="14110" spans="1:20" x14ac:dyDescent="0.25">
      <c r="A14110" t="str">
        <f>"3061284"</f>
        <v>3061284</v>
      </c>
      <c r="B14110" t="s">
        <v>42831</v>
      </c>
      <c r="C14110" t="str">
        <f>"8313909"</f>
        <v>8313909</v>
      </c>
      <c r="D14110" t="s">
        <v>42832</v>
      </c>
      <c r="E14110" t="s">
        <v>42833</v>
      </c>
      <c r="F14110" t="s">
        <v>42834</v>
      </c>
      <c r="I14110" t="s">
        <v>2071</v>
      </c>
      <c r="J14110" t="s">
        <v>30</v>
      </c>
      <c r="K14110" t="s">
        <v>36586</v>
      </c>
      <c r="M14110" t="s">
        <v>17861</v>
      </c>
      <c r="N14110" t="str">
        <f>"7/30/2020 4:27:00 PM"</f>
        <v>7/30/2020 4:27:00 PM</v>
      </c>
      <c r="O14110" t="s">
        <v>42832</v>
      </c>
      <c r="T14110" t="s">
        <v>42833</v>
      </c>
    </row>
    <row r="14111" spans="1:20" x14ac:dyDescent="0.25">
      <c r="A14111" t="str">
        <f>"3054521"</f>
        <v>3054521</v>
      </c>
      <c r="B14111" t="s">
        <v>42835</v>
      </c>
      <c r="C14111" t="str">
        <f>"8313911"</f>
        <v>8313911</v>
      </c>
      <c r="D14111" t="s">
        <v>42836</v>
      </c>
      <c r="E14111" t="s">
        <v>42837</v>
      </c>
      <c r="F14111" t="s">
        <v>42838</v>
      </c>
      <c r="I14111" t="s">
        <v>29</v>
      </c>
      <c r="J14111" t="s">
        <v>30</v>
      </c>
      <c r="K14111" t="s">
        <v>42839</v>
      </c>
      <c r="M14111" t="s">
        <v>17861</v>
      </c>
      <c r="N14111" t="str">
        <f>"7/31/2020 8:21:00 AM"</f>
        <v>7/31/2020 8:21:00 AM</v>
      </c>
      <c r="O14111" t="s">
        <v>42836</v>
      </c>
      <c r="T14111" t="s">
        <v>42837</v>
      </c>
    </row>
    <row r="14112" spans="1:20" x14ac:dyDescent="0.25">
      <c r="A14112" t="str">
        <f>"3059143"</f>
        <v>3059143</v>
      </c>
      <c r="B14112" t="s">
        <v>42840</v>
      </c>
      <c r="C14112" t="str">
        <f>"8313927"</f>
        <v>8313927</v>
      </c>
      <c r="D14112" t="s">
        <v>42841</v>
      </c>
      <c r="E14112" t="s">
        <v>42842</v>
      </c>
      <c r="F14112" t="s">
        <v>42843</v>
      </c>
      <c r="I14112" t="s">
        <v>29</v>
      </c>
      <c r="J14112" t="s">
        <v>30</v>
      </c>
      <c r="K14112" t="s">
        <v>42844</v>
      </c>
      <c r="M14112" t="s">
        <v>17861</v>
      </c>
      <c r="N14112" t="str">
        <f>"8/3/2020 8:36:00 AM"</f>
        <v>8/3/2020 8:36:00 AM</v>
      </c>
      <c r="O14112" t="s">
        <v>42841</v>
      </c>
      <c r="T14112" t="s">
        <v>42842</v>
      </c>
    </row>
    <row r="14113" spans="1:20" x14ac:dyDescent="0.25">
      <c r="A14113" t="str">
        <f>"3044695"</f>
        <v>3044695</v>
      </c>
      <c r="B14113" t="s">
        <v>42845</v>
      </c>
      <c r="C14113" t="str">
        <f>"8313930"</f>
        <v>8313930</v>
      </c>
      <c r="D14113" t="s">
        <v>42846</v>
      </c>
      <c r="E14113" t="s">
        <v>42847</v>
      </c>
      <c r="F14113" t="s">
        <v>42848</v>
      </c>
      <c r="I14113" t="s">
        <v>184</v>
      </c>
      <c r="J14113" t="s">
        <v>30</v>
      </c>
      <c r="K14113" t="s">
        <v>33908</v>
      </c>
      <c r="M14113" t="s">
        <v>17861</v>
      </c>
      <c r="N14113" t="str">
        <f>"8/3/2020 3:10:00 PM"</f>
        <v>8/3/2020 3:10:00 PM</v>
      </c>
      <c r="O14113" t="s">
        <v>42846</v>
      </c>
      <c r="T14113" t="s">
        <v>42847</v>
      </c>
    </row>
    <row r="14114" spans="1:20" x14ac:dyDescent="0.25">
      <c r="A14114" t="str">
        <f>"3059273"</f>
        <v>3059273</v>
      </c>
      <c r="B14114" t="s">
        <v>42849</v>
      </c>
      <c r="C14114" t="str">
        <f>"82516498"</f>
        <v>82516498</v>
      </c>
      <c r="D14114" t="s">
        <v>42850</v>
      </c>
      <c r="E14114" t="s">
        <v>42851</v>
      </c>
      <c r="F14114" t="s">
        <v>42852</v>
      </c>
      <c r="I14114" t="s">
        <v>402</v>
      </c>
      <c r="J14114" t="s">
        <v>30</v>
      </c>
      <c r="K14114" t="str">
        <f>"27012"</f>
        <v>27012</v>
      </c>
      <c r="M14114" t="s">
        <v>33845</v>
      </c>
      <c r="N14114" t="str">
        <f>"8/20/2020 2:34:00 PM"</f>
        <v>8/20/2020 2:34:00 PM</v>
      </c>
      <c r="O14114" t="s">
        <v>42850</v>
      </c>
      <c r="T14114" t="s">
        <v>42851</v>
      </c>
    </row>
    <row r="14115" spans="1:20" x14ac:dyDescent="0.25">
      <c r="A14115" t="str">
        <f>"3097342"</f>
        <v>3097342</v>
      </c>
      <c r="B14115" t="s">
        <v>42853</v>
      </c>
      <c r="C14115" t="str">
        <f>"8313931"</f>
        <v>8313931</v>
      </c>
      <c r="D14115" t="s">
        <v>42854</v>
      </c>
      <c r="E14115" t="s">
        <v>42855</v>
      </c>
      <c r="F14115" t="s">
        <v>42856</v>
      </c>
      <c r="I14115" t="s">
        <v>29</v>
      </c>
      <c r="J14115" t="s">
        <v>30</v>
      </c>
      <c r="K14115" t="s">
        <v>42857</v>
      </c>
      <c r="M14115" t="s">
        <v>17861</v>
      </c>
      <c r="N14115" t="str">
        <f>"8/3/2020 3:29:00 PM"</f>
        <v>8/3/2020 3:29:00 PM</v>
      </c>
      <c r="O14115" t="s">
        <v>42854</v>
      </c>
      <c r="T14115" t="s">
        <v>42855</v>
      </c>
    </row>
    <row r="14116" spans="1:20" x14ac:dyDescent="0.25">
      <c r="A14116" t="str">
        <f>"3055721"</f>
        <v>3055721</v>
      </c>
      <c r="B14116" t="s">
        <v>42858</v>
      </c>
      <c r="C14116" t="str">
        <f>"8313943"</f>
        <v>8313943</v>
      </c>
      <c r="D14116" t="s">
        <v>42859</v>
      </c>
      <c r="E14116" t="s">
        <v>42860</v>
      </c>
      <c r="F14116" t="s">
        <v>42861</v>
      </c>
      <c r="I14116" t="s">
        <v>29</v>
      </c>
      <c r="J14116" t="s">
        <v>30</v>
      </c>
      <c r="K14116" t="s">
        <v>994</v>
      </c>
      <c r="M14116" t="s">
        <v>17861</v>
      </c>
      <c r="N14116" t="str">
        <f>"8/3/2020 8:49:00 PM"</f>
        <v>8/3/2020 8:49:00 PM</v>
      </c>
      <c r="O14116" t="s">
        <v>42859</v>
      </c>
      <c r="T14116" t="s">
        <v>42860</v>
      </c>
    </row>
    <row r="14117" spans="1:20" x14ac:dyDescent="0.25">
      <c r="A14117" t="str">
        <f>"3040582"</f>
        <v>3040582</v>
      </c>
      <c r="B14117" t="s">
        <v>42862</v>
      </c>
      <c r="C14117" t="str">
        <f>"82521685"</f>
        <v>82521685</v>
      </c>
      <c r="D14117" t="s">
        <v>42863</v>
      </c>
      <c r="E14117" t="s">
        <v>42864</v>
      </c>
      <c r="F14117" t="s">
        <v>42865</v>
      </c>
      <c r="I14117" t="s">
        <v>42866</v>
      </c>
      <c r="J14117" t="s">
        <v>30</v>
      </c>
      <c r="K14117" t="s">
        <v>42867</v>
      </c>
      <c r="M14117" t="s">
        <v>33845</v>
      </c>
      <c r="N14117" t="str">
        <f>"8/20/2020 2:48:00 PM"</f>
        <v>8/20/2020 2:48:00 PM</v>
      </c>
      <c r="O14117" t="s">
        <v>42863</v>
      </c>
      <c r="T14117" t="s">
        <v>42864</v>
      </c>
    </row>
    <row r="14118" spans="1:20" x14ac:dyDescent="0.25">
      <c r="A14118" t="str">
        <f>"3047287"</f>
        <v>3047287</v>
      </c>
      <c r="B14118" t="s">
        <v>42868</v>
      </c>
      <c r="C14118" t="str">
        <f>"82530070"</f>
        <v>82530070</v>
      </c>
      <c r="D14118" t="s">
        <v>42869</v>
      </c>
      <c r="F14118" t="s">
        <v>42870</v>
      </c>
      <c r="I14118" t="s">
        <v>471</v>
      </c>
      <c r="J14118" t="s">
        <v>30</v>
      </c>
      <c r="K14118" t="s">
        <v>21288</v>
      </c>
      <c r="M14118" t="s">
        <v>33845</v>
      </c>
      <c r="N14118" t="str">
        <f>"8/20/2020 2:59:00 PM"</f>
        <v>8/20/2020 2:59:00 PM</v>
      </c>
      <c r="O14118" t="s">
        <v>42869</v>
      </c>
    </row>
    <row r="14119" spans="1:20" x14ac:dyDescent="0.25">
      <c r="A14119" t="str">
        <f>"3057619"</f>
        <v>3057619</v>
      </c>
      <c r="B14119" t="s">
        <v>42871</v>
      </c>
      <c r="C14119" t="str">
        <f>"82524767"</f>
        <v>82524767</v>
      </c>
      <c r="D14119" t="s">
        <v>42872</v>
      </c>
      <c r="F14119" t="s">
        <v>42873</v>
      </c>
      <c r="I14119" t="s">
        <v>17921</v>
      </c>
      <c r="J14119" t="s">
        <v>30</v>
      </c>
      <c r="K14119" t="str">
        <f>"27028"</f>
        <v>27028</v>
      </c>
      <c r="M14119" t="s">
        <v>33845</v>
      </c>
      <c r="N14119" t="str">
        <f>"8/20/2020 3:06:00 PM"</f>
        <v>8/20/2020 3:06:00 PM</v>
      </c>
      <c r="O14119" t="s">
        <v>42872</v>
      </c>
    </row>
    <row r="14120" spans="1:20" x14ac:dyDescent="0.25">
      <c r="A14120" t="str">
        <f>"3046600"</f>
        <v>3046600</v>
      </c>
      <c r="B14120" t="s">
        <v>42874</v>
      </c>
      <c r="C14120" t="str">
        <f>"82529582"</f>
        <v>82529582</v>
      </c>
      <c r="D14120" t="s">
        <v>42875</v>
      </c>
      <c r="F14120" t="s">
        <v>42876</v>
      </c>
      <c r="I14120" t="s">
        <v>964</v>
      </c>
      <c r="J14120" t="s">
        <v>30</v>
      </c>
      <c r="K14120" t="s">
        <v>965</v>
      </c>
      <c r="M14120" t="s">
        <v>33845</v>
      </c>
      <c r="N14120" t="str">
        <f>"8/11/2020 10:30:00 AM"</f>
        <v>8/11/2020 10:30:00 AM</v>
      </c>
      <c r="O14120" t="s">
        <v>42875</v>
      </c>
    </row>
    <row r="14121" spans="1:20" x14ac:dyDescent="0.25">
      <c r="A14121" t="str">
        <f>"3042652"</f>
        <v>3042652</v>
      </c>
      <c r="B14121" t="s">
        <v>42877</v>
      </c>
      <c r="C14121" t="str">
        <f>"8311085"</f>
        <v>8311085</v>
      </c>
      <c r="D14121" t="s">
        <v>42878</v>
      </c>
      <c r="F14121" t="s">
        <v>42879</v>
      </c>
      <c r="I14121" t="s">
        <v>29</v>
      </c>
      <c r="J14121" t="s">
        <v>30</v>
      </c>
      <c r="K14121" t="s">
        <v>38</v>
      </c>
      <c r="M14121" t="s">
        <v>33845</v>
      </c>
      <c r="N14121" t="str">
        <f>"8/20/2020 3:17:00 PM"</f>
        <v>8/20/2020 3:17:00 PM</v>
      </c>
      <c r="O14121" t="s">
        <v>42878</v>
      </c>
    </row>
    <row r="14122" spans="1:20" x14ac:dyDescent="0.25">
      <c r="A14122" t="str">
        <f>"3042811"</f>
        <v>3042811</v>
      </c>
      <c r="B14122" t="s">
        <v>42880</v>
      </c>
      <c r="C14122" t="str">
        <f>"8308357"</f>
        <v>8308357</v>
      </c>
      <c r="D14122" t="s">
        <v>42881</v>
      </c>
      <c r="E14122" t="s">
        <v>42882</v>
      </c>
      <c r="F14122" t="s">
        <v>42883</v>
      </c>
      <c r="I14122" t="s">
        <v>17921</v>
      </c>
      <c r="J14122" t="s">
        <v>30</v>
      </c>
      <c r="K14122" t="str">
        <f>"27028"</f>
        <v>27028</v>
      </c>
      <c r="M14122" t="s">
        <v>33845</v>
      </c>
      <c r="N14122" t="str">
        <f>"8/20/2020 3:25:00 PM"</f>
        <v>8/20/2020 3:25:00 PM</v>
      </c>
      <c r="O14122" t="s">
        <v>42881</v>
      </c>
      <c r="T14122" t="s">
        <v>42882</v>
      </c>
    </row>
    <row r="14123" spans="1:20" x14ac:dyDescent="0.25">
      <c r="A14123" t="str">
        <f>"3041989"</f>
        <v>3041989</v>
      </c>
      <c r="B14123" t="s">
        <v>42884</v>
      </c>
      <c r="C14123" t="str">
        <f>"8308357"</f>
        <v>8308357</v>
      </c>
      <c r="D14123" t="s">
        <v>42881</v>
      </c>
      <c r="E14123" t="s">
        <v>42882</v>
      </c>
      <c r="F14123" t="s">
        <v>42883</v>
      </c>
      <c r="I14123" t="s">
        <v>17921</v>
      </c>
      <c r="J14123" t="s">
        <v>30</v>
      </c>
      <c r="K14123" t="str">
        <f>"27028"</f>
        <v>27028</v>
      </c>
      <c r="M14123" t="s">
        <v>33845</v>
      </c>
      <c r="N14123" t="str">
        <f>"8/20/2020 3:25:00 PM"</f>
        <v>8/20/2020 3:25:00 PM</v>
      </c>
      <c r="O14123" t="s">
        <v>42881</v>
      </c>
      <c r="T14123" t="s">
        <v>42882</v>
      </c>
    </row>
    <row r="14124" spans="1:20" x14ac:dyDescent="0.25">
      <c r="A14124" t="str">
        <f>"3042035"</f>
        <v>3042035</v>
      </c>
      <c r="B14124" t="s">
        <v>42885</v>
      </c>
      <c r="C14124" t="str">
        <f>"8308357"</f>
        <v>8308357</v>
      </c>
      <c r="D14124" t="s">
        <v>42881</v>
      </c>
      <c r="E14124" t="s">
        <v>42882</v>
      </c>
      <c r="F14124" t="s">
        <v>42883</v>
      </c>
      <c r="I14124" t="s">
        <v>17921</v>
      </c>
      <c r="J14124" t="s">
        <v>30</v>
      </c>
      <c r="K14124" t="str">
        <f>"27028"</f>
        <v>27028</v>
      </c>
      <c r="M14124" t="s">
        <v>33845</v>
      </c>
      <c r="N14124" t="str">
        <f>"8/20/2020 3:25:00 PM"</f>
        <v>8/20/2020 3:25:00 PM</v>
      </c>
      <c r="O14124" t="s">
        <v>42881</v>
      </c>
      <c r="T14124" t="s">
        <v>42882</v>
      </c>
    </row>
    <row r="14125" spans="1:20" x14ac:dyDescent="0.25">
      <c r="A14125" t="str">
        <f>"3046915"</f>
        <v>3046915</v>
      </c>
      <c r="B14125" t="s">
        <v>42886</v>
      </c>
      <c r="C14125" t="str">
        <f>"82522360"</f>
        <v>82522360</v>
      </c>
      <c r="D14125" t="s">
        <v>42887</v>
      </c>
      <c r="E14125" t="s">
        <v>42888</v>
      </c>
      <c r="F14125" t="s">
        <v>42889</v>
      </c>
      <c r="G14125" t="s">
        <v>42890</v>
      </c>
      <c r="I14125" t="s">
        <v>29</v>
      </c>
      <c r="J14125" t="s">
        <v>30</v>
      </c>
      <c r="K14125" t="s">
        <v>10107</v>
      </c>
      <c r="M14125" t="s">
        <v>33845</v>
      </c>
      <c r="N14125" t="str">
        <f>"8/20/2020 3:30:00 PM"</f>
        <v>8/20/2020 3:30:00 PM</v>
      </c>
      <c r="O14125" t="s">
        <v>42887</v>
      </c>
      <c r="T14125" t="s">
        <v>42888</v>
      </c>
    </row>
    <row r="14126" spans="1:20" x14ac:dyDescent="0.25">
      <c r="A14126" t="str">
        <f>"3046653"</f>
        <v>3046653</v>
      </c>
      <c r="B14126" t="s">
        <v>42891</v>
      </c>
      <c r="C14126" t="str">
        <f>"82522360"</f>
        <v>82522360</v>
      </c>
      <c r="D14126" t="s">
        <v>42887</v>
      </c>
      <c r="E14126" t="s">
        <v>42888</v>
      </c>
      <c r="F14126" t="s">
        <v>42889</v>
      </c>
      <c r="G14126" t="s">
        <v>42890</v>
      </c>
      <c r="I14126" t="s">
        <v>29</v>
      </c>
      <c r="J14126" t="s">
        <v>30</v>
      </c>
      <c r="K14126" t="s">
        <v>10107</v>
      </c>
      <c r="M14126" t="s">
        <v>33845</v>
      </c>
      <c r="N14126" t="str">
        <f>"8/20/2020 3:30:00 PM"</f>
        <v>8/20/2020 3:30:00 PM</v>
      </c>
      <c r="O14126" t="s">
        <v>42887</v>
      </c>
      <c r="T14126" t="s">
        <v>42888</v>
      </c>
    </row>
    <row r="14127" spans="1:20" x14ac:dyDescent="0.25">
      <c r="A14127" t="str">
        <f>"3074516"</f>
        <v>3074516</v>
      </c>
      <c r="B14127" t="s">
        <v>42892</v>
      </c>
      <c r="C14127" t="str">
        <f>"8313879"</f>
        <v>8313879</v>
      </c>
      <c r="D14127" t="s">
        <v>42893</v>
      </c>
      <c r="E14127" t="s">
        <v>42894</v>
      </c>
      <c r="F14127" t="s">
        <v>42895</v>
      </c>
      <c r="I14127" t="s">
        <v>29</v>
      </c>
      <c r="J14127" t="s">
        <v>30</v>
      </c>
      <c r="K14127" t="s">
        <v>42896</v>
      </c>
      <c r="M14127" t="s">
        <v>17861</v>
      </c>
      <c r="N14127" t="str">
        <f>"7/29/2020 11:54:00 AM"</f>
        <v>7/29/2020 11:54:00 AM</v>
      </c>
      <c r="O14127" t="s">
        <v>42893</v>
      </c>
      <c r="T14127" t="s">
        <v>42894</v>
      </c>
    </row>
    <row r="14128" spans="1:20" x14ac:dyDescent="0.25">
      <c r="A14128" t="str">
        <f>"3047717"</f>
        <v>3047717</v>
      </c>
      <c r="B14128" t="s">
        <v>42897</v>
      </c>
      <c r="C14128" t="str">
        <f>"8309647"</f>
        <v>8309647</v>
      </c>
      <c r="D14128" t="s">
        <v>42898</v>
      </c>
      <c r="E14128" t="s">
        <v>42899</v>
      </c>
      <c r="F14128" t="s">
        <v>42900</v>
      </c>
      <c r="I14128" t="s">
        <v>24359</v>
      </c>
      <c r="J14128" t="s">
        <v>30</v>
      </c>
      <c r="K14128" t="s">
        <v>42901</v>
      </c>
      <c r="M14128" t="s">
        <v>33845</v>
      </c>
      <c r="N14128" t="str">
        <f>"8/20/2020 3:34:00 PM"</f>
        <v>8/20/2020 3:34:00 PM</v>
      </c>
      <c r="O14128" t="s">
        <v>42898</v>
      </c>
      <c r="T14128" t="s">
        <v>42899</v>
      </c>
    </row>
    <row r="14129" spans="1:20" x14ac:dyDescent="0.25">
      <c r="A14129" t="str">
        <f>"3045960"</f>
        <v>3045960</v>
      </c>
      <c r="B14129" t="s">
        <v>42902</v>
      </c>
      <c r="C14129" t="str">
        <f>"82516308"</f>
        <v>82516308</v>
      </c>
      <c r="D14129" t="s">
        <v>42903</v>
      </c>
      <c r="F14129" t="s">
        <v>42904</v>
      </c>
      <c r="I14129" t="s">
        <v>42660</v>
      </c>
      <c r="J14129" t="s">
        <v>2109</v>
      </c>
      <c r="K14129" t="s">
        <v>42905</v>
      </c>
      <c r="M14129" t="s">
        <v>33845</v>
      </c>
      <c r="N14129" t="str">
        <f>"8/20/2020 3:36:00 PM"</f>
        <v>8/20/2020 3:36:00 PM</v>
      </c>
      <c r="O14129" t="s">
        <v>42903</v>
      </c>
    </row>
    <row r="14130" spans="1:20" x14ac:dyDescent="0.25">
      <c r="A14130" t="str">
        <f>"3078122"</f>
        <v>3078122</v>
      </c>
      <c r="B14130" t="s">
        <v>42906</v>
      </c>
      <c r="C14130" t="str">
        <f>"82516308"</f>
        <v>82516308</v>
      </c>
      <c r="D14130" t="s">
        <v>42903</v>
      </c>
      <c r="F14130" t="s">
        <v>42904</v>
      </c>
      <c r="I14130" t="s">
        <v>42660</v>
      </c>
      <c r="J14130" t="s">
        <v>2109</v>
      </c>
      <c r="K14130" t="s">
        <v>42905</v>
      </c>
      <c r="M14130" t="s">
        <v>33845</v>
      </c>
      <c r="N14130" t="str">
        <f>"8/20/2020 3:36:00 PM"</f>
        <v>8/20/2020 3:36:00 PM</v>
      </c>
      <c r="O14130" t="s">
        <v>42903</v>
      </c>
    </row>
    <row r="14131" spans="1:20" x14ac:dyDescent="0.25">
      <c r="A14131" t="str">
        <f>"3041488"</f>
        <v>3041488</v>
      </c>
      <c r="B14131" t="s">
        <v>42907</v>
      </c>
      <c r="C14131" t="str">
        <f>"8301560"</f>
        <v>8301560</v>
      </c>
      <c r="D14131" t="s">
        <v>42908</v>
      </c>
      <c r="E14131" t="s">
        <v>42909</v>
      </c>
      <c r="F14131" t="s">
        <v>42910</v>
      </c>
      <c r="I14131" t="s">
        <v>17902</v>
      </c>
      <c r="J14131" t="s">
        <v>30</v>
      </c>
      <c r="K14131" t="str">
        <f>"27560"</f>
        <v>27560</v>
      </c>
      <c r="M14131" t="s">
        <v>33845</v>
      </c>
      <c r="N14131" t="str">
        <f>"8/20/2020 3:44:00 PM"</f>
        <v>8/20/2020 3:44:00 PM</v>
      </c>
      <c r="O14131" t="s">
        <v>42908</v>
      </c>
      <c r="T14131" t="s">
        <v>42909</v>
      </c>
    </row>
    <row r="14132" spans="1:20" x14ac:dyDescent="0.25">
      <c r="A14132" t="str">
        <f>"3047748"</f>
        <v>3047748</v>
      </c>
      <c r="B14132" t="s">
        <v>42911</v>
      </c>
      <c r="C14132" t="str">
        <f>"8308296"</f>
        <v>8308296</v>
      </c>
      <c r="D14132" t="s">
        <v>42912</v>
      </c>
      <c r="E14132" t="s">
        <v>42913</v>
      </c>
      <c r="F14132" t="s">
        <v>38031</v>
      </c>
      <c r="I14132" t="s">
        <v>184</v>
      </c>
      <c r="J14132" t="s">
        <v>30</v>
      </c>
      <c r="K14132" t="str">
        <f>"27006"</f>
        <v>27006</v>
      </c>
      <c r="M14132" t="s">
        <v>33845</v>
      </c>
      <c r="N14132" t="str">
        <f>"8/20/2020 3:46:00 PM"</f>
        <v>8/20/2020 3:46:00 PM</v>
      </c>
      <c r="O14132" t="s">
        <v>42912</v>
      </c>
      <c r="T14132" t="s">
        <v>42913</v>
      </c>
    </row>
    <row r="14133" spans="1:20" x14ac:dyDescent="0.25">
      <c r="A14133" t="str">
        <f>"3045280"</f>
        <v>3045280</v>
      </c>
      <c r="B14133" t="s">
        <v>42914</v>
      </c>
      <c r="C14133" t="str">
        <f>"8311145"</f>
        <v>8311145</v>
      </c>
      <c r="D14133" t="s">
        <v>42915</v>
      </c>
      <c r="E14133" t="s">
        <v>42916</v>
      </c>
      <c r="F14133" t="s">
        <v>42917</v>
      </c>
      <c r="I14133" t="s">
        <v>17921</v>
      </c>
      <c r="J14133" t="s">
        <v>30</v>
      </c>
      <c r="K14133" t="s">
        <v>42918</v>
      </c>
      <c r="M14133" t="s">
        <v>33845</v>
      </c>
      <c r="N14133" t="str">
        <f>"8/20/2020 3:50:00 PM"</f>
        <v>8/20/2020 3:50:00 PM</v>
      </c>
      <c r="O14133" t="s">
        <v>42915</v>
      </c>
      <c r="T14133" t="s">
        <v>42916</v>
      </c>
    </row>
    <row r="14134" spans="1:20" x14ac:dyDescent="0.25">
      <c r="A14134" t="str">
        <f>"3077864"</f>
        <v>3077864</v>
      </c>
      <c r="B14134" t="s">
        <v>42919</v>
      </c>
      <c r="C14134" t="str">
        <f>"8311145"</f>
        <v>8311145</v>
      </c>
      <c r="D14134" t="s">
        <v>42915</v>
      </c>
      <c r="E14134" t="s">
        <v>42916</v>
      </c>
      <c r="F14134" t="s">
        <v>42917</v>
      </c>
      <c r="I14134" t="s">
        <v>17921</v>
      </c>
      <c r="J14134" t="s">
        <v>30</v>
      </c>
      <c r="K14134" t="s">
        <v>42918</v>
      </c>
      <c r="M14134" t="s">
        <v>33845</v>
      </c>
      <c r="N14134" t="str">
        <f>"8/20/2020 3:50:00 PM"</f>
        <v>8/20/2020 3:50:00 PM</v>
      </c>
      <c r="O14134" t="s">
        <v>42915</v>
      </c>
      <c r="T14134" t="s">
        <v>42916</v>
      </c>
    </row>
    <row r="14135" spans="1:20" x14ac:dyDescent="0.25">
      <c r="A14135" t="str">
        <f>"3074524"</f>
        <v>3074524</v>
      </c>
      <c r="B14135" t="s">
        <v>42920</v>
      </c>
      <c r="C14135" t="str">
        <f>"8309740"</f>
        <v>8309740</v>
      </c>
      <c r="D14135" t="s">
        <v>42921</v>
      </c>
      <c r="E14135" t="s">
        <v>42922</v>
      </c>
      <c r="F14135" t="s">
        <v>42923</v>
      </c>
      <c r="I14135" t="s">
        <v>24359</v>
      </c>
      <c r="J14135" t="s">
        <v>30</v>
      </c>
      <c r="K14135" t="s">
        <v>42924</v>
      </c>
      <c r="M14135" t="s">
        <v>33845</v>
      </c>
      <c r="N14135" t="str">
        <f>"8/20/2020 3:52:00 PM"</f>
        <v>8/20/2020 3:52:00 PM</v>
      </c>
      <c r="O14135" t="s">
        <v>42921</v>
      </c>
      <c r="T14135" t="s">
        <v>42922</v>
      </c>
    </row>
    <row r="14136" spans="1:20" x14ac:dyDescent="0.25">
      <c r="A14136" t="str">
        <f>"3038922"</f>
        <v>3038922</v>
      </c>
      <c r="B14136" t="s">
        <v>42925</v>
      </c>
      <c r="C14136" t="str">
        <f>"8313881"</f>
        <v>8313881</v>
      </c>
      <c r="D14136" t="s">
        <v>42926</v>
      </c>
      <c r="E14136" t="s">
        <v>42927</v>
      </c>
      <c r="F14136" t="s">
        <v>42928</v>
      </c>
      <c r="I14136" t="s">
        <v>29</v>
      </c>
      <c r="J14136" t="s">
        <v>30</v>
      </c>
      <c r="K14136" t="s">
        <v>42929</v>
      </c>
      <c r="M14136" t="s">
        <v>17861</v>
      </c>
      <c r="N14136" t="str">
        <f>"7/29/2020 12:51:00 PM"</f>
        <v>7/29/2020 12:51:00 PM</v>
      </c>
      <c r="O14136" t="s">
        <v>42926</v>
      </c>
      <c r="T14136" t="s">
        <v>42927</v>
      </c>
    </row>
    <row r="14137" spans="1:20" x14ac:dyDescent="0.25">
      <c r="A14137" t="str">
        <f>"3038011"</f>
        <v>3038011</v>
      </c>
      <c r="B14137" t="s">
        <v>42930</v>
      </c>
      <c r="C14137" t="str">
        <f>"8313881"</f>
        <v>8313881</v>
      </c>
      <c r="D14137" t="s">
        <v>42926</v>
      </c>
      <c r="E14137" t="s">
        <v>42927</v>
      </c>
      <c r="F14137" t="s">
        <v>42928</v>
      </c>
      <c r="I14137" t="s">
        <v>29</v>
      </c>
      <c r="J14137" t="s">
        <v>30</v>
      </c>
      <c r="K14137" t="s">
        <v>42929</v>
      </c>
      <c r="M14137" t="s">
        <v>17861</v>
      </c>
      <c r="N14137" t="str">
        <f>"7/29/2020 12:51:00 PM"</f>
        <v>7/29/2020 12:51:00 PM</v>
      </c>
      <c r="O14137" t="s">
        <v>42926</v>
      </c>
      <c r="T14137" t="s">
        <v>42927</v>
      </c>
    </row>
    <row r="14138" spans="1:20" x14ac:dyDescent="0.25">
      <c r="A14138" t="str">
        <f>"3044319"</f>
        <v>3044319</v>
      </c>
      <c r="B14138" t="s">
        <v>42931</v>
      </c>
      <c r="C14138" t="str">
        <f>"8313882"</f>
        <v>8313882</v>
      </c>
      <c r="D14138" t="s">
        <v>42932</v>
      </c>
      <c r="F14138" t="s">
        <v>42933</v>
      </c>
      <c r="I14138" t="s">
        <v>184</v>
      </c>
      <c r="J14138" t="s">
        <v>30</v>
      </c>
      <c r="K14138" t="s">
        <v>39008</v>
      </c>
      <c r="M14138" t="s">
        <v>17861</v>
      </c>
      <c r="N14138" t="str">
        <f>"7/29/2020 12:56:00 PM"</f>
        <v>7/29/2020 12:56:00 PM</v>
      </c>
      <c r="O14138" t="s">
        <v>42932</v>
      </c>
    </row>
    <row r="14139" spans="1:20" x14ac:dyDescent="0.25">
      <c r="A14139" t="str">
        <f>"3049750"</f>
        <v>3049750</v>
      </c>
      <c r="B14139" t="s">
        <v>42934</v>
      </c>
      <c r="C14139" t="str">
        <f>"8313883"</f>
        <v>8313883</v>
      </c>
      <c r="D14139" t="s">
        <v>42935</v>
      </c>
      <c r="E14139" t="s">
        <v>42936</v>
      </c>
      <c r="F14139" t="s">
        <v>42937</v>
      </c>
      <c r="I14139" t="s">
        <v>29</v>
      </c>
      <c r="J14139" t="s">
        <v>30</v>
      </c>
      <c r="K14139" t="s">
        <v>42938</v>
      </c>
      <c r="M14139" t="s">
        <v>17861</v>
      </c>
      <c r="N14139" t="str">
        <f>"7/29/2020 1:02:00 PM"</f>
        <v>7/29/2020 1:02:00 PM</v>
      </c>
      <c r="O14139" t="s">
        <v>42935</v>
      </c>
      <c r="T14139" t="s">
        <v>42936</v>
      </c>
    </row>
    <row r="14140" spans="1:20" x14ac:dyDescent="0.25">
      <c r="A14140" t="str">
        <f>"3062156"</f>
        <v>3062156</v>
      </c>
      <c r="B14140" t="s">
        <v>42939</v>
      </c>
      <c r="C14140" t="str">
        <f>"16581500"</f>
        <v>16581500</v>
      </c>
      <c r="D14140" t="s">
        <v>42763</v>
      </c>
      <c r="F14140" t="str">
        <f>"C/O JOE HARRIS"</f>
        <v>C/O JOE HARRIS</v>
      </c>
      <c r="G14140" t="s">
        <v>42764</v>
      </c>
      <c r="I14140" t="s">
        <v>29</v>
      </c>
      <c r="J14140" t="s">
        <v>30</v>
      </c>
      <c r="K14140" t="s">
        <v>42765</v>
      </c>
      <c r="M14140" t="s">
        <v>33845</v>
      </c>
      <c r="N14140" t="str">
        <f>"8/18/2020 4:20:00 PM"</f>
        <v>8/18/2020 4:20:00 PM</v>
      </c>
      <c r="O14140" t="s">
        <v>42763</v>
      </c>
    </row>
    <row r="14141" spans="1:20" x14ac:dyDescent="0.25">
      <c r="A14141" t="str">
        <f>"3053134"</f>
        <v>3053134</v>
      </c>
      <c r="B14141" t="s">
        <v>42940</v>
      </c>
      <c r="C14141" t="str">
        <f>"8313968"</f>
        <v>8313968</v>
      </c>
      <c r="D14141" t="s">
        <v>29159</v>
      </c>
      <c r="F14141" t="s">
        <v>42941</v>
      </c>
      <c r="I14141" t="s">
        <v>29</v>
      </c>
      <c r="J14141" t="s">
        <v>30</v>
      </c>
      <c r="K14141" t="s">
        <v>42942</v>
      </c>
      <c r="M14141" t="s">
        <v>17861</v>
      </c>
      <c r="N14141" t="str">
        <f>"8/19/2020 1:53:00 PM"</f>
        <v>8/19/2020 1:53:00 PM</v>
      </c>
      <c r="O14141" t="s">
        <v>29159</v>
      </c>
    </row>
    <row r="14142" spans="1:20" x14ac:dyDescent="0.25">
      <c r="A14142" t="str">
        <f>"3046544"</f>
        <v>3046544</v>
      </c>
      <c r="B14142" t="s">
        <v>42943</v>
      </c>
      <c r="C14142" t="str">
        <f>"14856000"</f>
        <v>14856000</v>
      </c>
      <c r="D14142" t="s">
        <v>42944</v>
      </c>
      <c r="F14142" t="s">
        <v>42945</v>
      </c>
      <c r="I14142" t="s">
        <v>24359</v>
      </c>
      <c r="J14142" t="s">
        <v>30</v>
      </c>
      <c r="K14142" t="s">
        <v>185</v>
      </c>
      <c r="M14142" t="s">
        <v>33845</v>
      </c>
      <c r="N14142" t="str">
        <f>"8/20/2020 2:32:00 PM"</f>
        <v>8/20/2020 2:32:00 PM</v>
      </c>
      <c r="O14142" t="s">
        <v>42944</v>
      </c>
    </row>
    <row r="14143" spans="1:20" x14ac:dyDescent="0.25">
      <c r="A14143" t="str">
        <f>"3062955"</f>
        <v>3062955</v>
      </c>
      <c r="B14143" t="s">
        <v>42946</v>
      </c>
      <c r="C14143" t="str">
        <f>"8313987"</f>
        <v>8313987</v>
      </c>
      <c r="D14143" t="s">
        <v>42947</v>
      </c>
      <c r="F14143" t="s">
        <v>42948</v>
      </c>
      <c r="I14143" t="s">
        <v>29</v>
      </c>
      <c r="J14143" t="s">
        <v>30</v>
      </c>
      <c r="K14143" t="s">
        <v>11686</v>
      </c>
      <c r="M14143" t="s">
        <v>17861</v>
      </c>
      <c r="N14143" t="str">
        <f>"8/21/2020 10:45:00 AM"</f>
        <v>8/21/2020 10:45:00 AM</v>
      </c>
      <c r="O14143" t="s">
        <v>42947</v>
      </c>
    </row>
    <row r="14144" spans="1:20" x14ac:dyDescent="0.25">
      <c r="A14144" t="str">
        <f>"3056877"</f>
        <v>3056877</v>
      </c>
      <c r="B14144" t="s">
        <v>42949</v>
      </c>
      <c r="C14144" t="str">
        <f>"8313987"</f>
        <v>8313987</v>
      </c>
      <c r="D14144" t="s">
        <v>42947</v>
      </c>
      <c r="F14144" t="s">
        <v>42948</v>
      </c>
      <c r="I14144" t="s">
        <v>29</v>
      </c>
      <c r="J14144" t="s">
        <v>30</v>
      </c>
      <c r="K14144" t="s">
        <v>11686</v>
      </c>
      <c r="M14144" t="s">
        <v>17861</v>
      </c>
      <c r="N14144" t="str">
        <f>"8/21/2020 10:45:00 AM"</f>
        <v>8/21/2020 10:45:00 AM</v>
      </c>
      <c r="O14144" t="s">
        <v>42947</v>
      </c>
    </row>
    <row r="14145" spans="1:20" x14ac:dyDescent="0.25">
      <c r="A14145" t="str">
        <f>"3046588"</f>
        <v>3046588</v>
      </c>
      <c r="B14145" t="s">
        <v>42950</v>
      </c>
      <c r="C14145" t="str">
        <f>"14856000"</f>
        <v>14856000</v>
      </c>
      <c r="D14145" t="s">
        <v>42944</v>
      </c>
      <c r="F14145" t="s">
        <v>42945</v>
      </c>
      <c r="I14145" t="s">
        <v>24359</v>
      </c>
      <c r="J14145" t="s">
        <v>30</v>
      </c>
      <c r="K14145" t="s">
        <v>185</v>
      </c>
      <c r="M14145" t="s">
        <v>33845</v>
      </c>
      <c r="N14145" t="str">
        <f>"8/20/2020 2:32:00 PM"</f>
        <v>8/20/2020 2:32:00 PM</v>
      </c>
      <c r="O14145" t="s">
        <v>42944</v>
      </c>
    </row>
    <row r="14146" spans="1:20" x14ac:dyDescent="0.25">
      <c r="A14146" t="str">
        <f>"3046988"</f>
        <v>3046988</v>
      </c>
      <c r="B14146" t="s">
        <v>42951</v>
      </c>
      <c r="C14146" t="str">
        <f>"14856000"</f>
        <v>14856000</v>
      </c>
      <c r="D14146" t="s">
        <v>42944</v>
      </c>
      <c r="F14146" t="s">
        <v>42945</v>
      </c>
      <c r="I14146" t="s">
        <v>24359</v>
      </c>
      <c r="J14146" t="s">
        <v>30</v>
      </c>
      <c r="K14146" t="s">
        <v>185</v>
      </c>
      <c r="M14146" t="s">
        <v>33845</v>
      </c>
      <c r="N14146" t="str">
        <f>"8/20/2020 2:32:00 PM"</f>
        <v>8/20/2020 2:32:00 PM</v>
      </c>
      <c r="O14146" t="s">
        <v>42944</v>
      </c>
    </row>
    <row r="14147" spans="1:20" x14ac:dyDescent="0.25">
      <c r="A14147" t="str">
        <f>"3077993"</f>
        <v>3077993</v>
      </c>
      <c r="B14147" t="s">
        <v>42952</v>
      </c>
      <c r="C14147" t="str">
        <f>"14856000"</f>
        <v>14856000</v>
      </c>
      <c r="D14147" t="s">
        <v>42944</v>
      </c>
      <c r="F14147" t="s">
        <v>42945</v>
      </c>
      <c r="I14147" t="s">
        <v>24359</v>
      </c>
      <c r="J14147" t="s">
        <v>30</v>
      </c>
      <c r="K14147" t="s">
        <v>185</v>
      </c>
      <c r="M14147" t="s">
        <v>33845</v>
      </c>
      <c r="N14147" t="str">
        <f>"8/20/2020 2:32:00 PM"</f>
        <v>8/20/2020 2:32:00 PM</v>
      </c>
      <c r="O14147" t="s">
        <v>42944</v>
      </c>
    </row>
    <row r="14148" spans="1:20" x14ac:dyDescent="0.25">
      <c r="A14148" t="str">
        <f>"3041548"</f>
        <v>3041548</v>
      </c>
      <c r="B14148" t="s">
        <v>42953</v>
      </c>
      <c r="C14148" t="str">
        <f>"82530884"</f>
        <v>82530884</v>
      </c>
      <c r="D14148" t="s">
        <v>42954</v>
      </c>
      <c r="F14148" t="s">
        <v>38987</v>
      </c>
      <c r="I14148" t="s">
        <v>2071</v>
      </c>
      <c r="J14148" t="s">
        <v>30</v>
      </c>
      <c r="K14148" t="s">
        <v>185</v>
      </c>
      <c r="M14148" t="s">
        <v>33845</v>
      </c>
      <c r="N14148" t="str">
        <f>"8/20/2020 2:47:00 PM"</f>
        <v>8/20/2020 2:47:00 PM</v>
      </c>
      <c r="O14148" t="s">
        <v>42954</v>
      </c>
    </row>
    <row r="14149" spans="1:20" x14ac:dyDescent="0.25">
      <c r="A14149" t="str">
        <f>"3056533"</f>
        <v>3056533</v>
      </c>
      <c r="B14149" t="s">
        <v>42955</v>
      </c>
      <c r="C14149" t="str">
        <f>"82528997"</f>
        <v>82528997</v>
      </c>
      <c r="D14149" t="s">
        <v>42956</v>
      </c>
      <c r="E14149" t="s">
        <v>42957</v>
      </c>
      <c r="F14149" t="s">
        <v>42958</v>
      </c>
      <c r="I14149" t="s">
        <v>29</v>
      </c>
      <c r="J14149" t="s">
        <v>30</v>
      </c>
      <c r="K14149" t="s">
        <v>31</v>
      </c>
      <c r="M14149" t="s">
        <v>33845</v>
      </c>
      <c r="N14149" t="str">
        <f>"8/20/2020 2:47:00 PM"</f>
        <v>8/20/2020 2:47:00 PM</v>
      </c>
      <c r="O14149" t="s">
        <v>42956</v>
      </c>
      <c r="T14149" t="s">
        <v>42957</v>
      </c>
    </row>
    <row r="14150" spans="1:20" x14ac:dyDescent="0.25">
      <c r="A14150" t="str">
        <f>"3051052"</f>
        <v>3051052</v>
      </c>
      <c r="B14150" t="s">
        <v>42959</v>
      </c>
      <c r="C14150" t="str">
        <f>"78134000"</f>
        <v>78134000</v>
      </c>
      <c r="D14150" t="s">
        <v>42960</v>
      </c>
      <c r="E14150" t="s">
        <v>42961</v>
      </c>
      <c r="F14150" t="s">
        <v>42962</v>
      </c>
      <c r="I14150" t="s">
        <v>29</v>
      </c>
      <c r="J14150" t="s">
        <v>30</v>
      </c>
      <c r="K14150" t="s">
        <v>31</v>
      </c>
      <c r="M14150" t="s">
        <v>33845</v>
      </c>
      <c r="N14150" t="str">
        <f>"8/20/2020 3:11:00 PM"</f>
        <v>8/20/2020 3:11:00 PM</v>
      </c>
      <c r="O14150" t="s">
        <v>42960</v>
      </c>
      <c r="T14150" t="s">
        <v>42961</v>
      </c>
    </row>
    <row r="14151" spans="1:20" x14ac:dyDescent="0.25">
      <c r="A14151" t="str">
        <f>"3038464"</f>
        <v>3038464</v>
      </c>
      <c r="B14151" t="s">
        <v>42963</v>
      </c>
      <c r="C14151" t="str">
        <f>"20971500"</f>
        <v>20971500</v>
      </c>
      <c r="D14151" t="s">
        <v>42964</v>
      </c>
      <c r="E14151" t="s">
        <v>42965</v>
      </c>
      <c r="F14151" t="s">
        <v>42966</v>
      </c>
      <c r="I14151" t="s">
        <v>42967</v>
      </c>
      <c r="J14151" t="s">
        <v>30</v>
      </c>
      <c r="K14151" t="s">
        <v>42968</v>
      </c>
      <c r="M14151" t="s">
        <v>41454</v>
      </c>
      <c r="N14151" t="str">
        <f>"8/24/2020 3:05:00 PM"</f>
        <v>8/24/2020 3:05:00 PM</v>
      </c>
      <c r="O14151" t="s">
        <v>42964</v>
      </c>
      <c r="T14151" t="s">
        <v>42965</v>
      </c>
    </row>
    <row r="14152" spans="1:20" x14ac:dyDescent="0.25">
      <c r="A14152" t="str">
        <f>"3060734"</f>
        <v>3060734</v>
      </c>
      <c r="B14152" t="s">
        <v>42969</v>
      </c>
      <c r="C14152" t="str">
        <f>"8306114"</f>
        <v>8306114</v>
      </c>
      <c r="D14152" t="s">
        <v>42970</v>
      </c>
      <c r="E14152" t="s">
        <v>42971</v>
      </c>
      <c r="F14152" t="s">
        <v>42972</v>
      </c>
      <c r="I14152" t="s">
        <v>24359</v>
      </c>
      <c r="J14152" t="s">
        <v>30</v>
      </c>
      <c r="K14152" t="str">
        <f>"27006"</f>
        <v>27006</v>
      </c>
      <c r="M14152" t="s">
        <v>33845</v>
      </c>
      <c r="N14152" t="str">
        <f>"8/20/2020 3:32:00 PM"</f>
        <v>8/20/2020 3:32:00 PM</v>
      </c>
      <c r="O14152" t="s">
        <v>42970</v>
      </c>
      <c r="T14152" t="s">
        <v>42971</v>
      </c>
    </row>
    <row r="14153" spans="1:20" x14ac:dyDescent="0.25">
      <c r="A14153" t="str">
        <f>"3059059"</f>
        <v>3059059</v>
      </c>
      <c r="B14153" t="s">
        <v>42973</v>
      </c>
      <c r="C14153" t="str">
        <f>"21036130"</f>
        <v>21036130</v>
      </c>
      <c r="D14153" t="s">
        <v>42974</v>
      </c>
      <c r="E14153" t="s">
        <v>42975</v>
      </c>
      <c r="F14153" t="s">
        <v>42976</v>
      </c>
      <c r="I14153" t="s">
        <v>29</v>
      </c>
      <c r="J14153" t="s">
        <v>30</v>
      </c>
      <c r="K14153" t="s">
        <v>38830</v>
      </c>
      <c r="M14153" t="s">
        <v>17861</v>
      </c>
      <c r="N14153" t="str">
        <f>"8/12/2020 12:58:00 PM"</f>
        <v>8/12/2020 12:58:00 PM</v>
      </c>
      <c r="O14153" t="s">
        <v>42974</v>
      </c>
      <c r="T14153" t="s">
        <v>42975</v>
      </c>
    </row>
    <row r="14154" spans="1:20" x14ac:dyDescent="0.25">
      <c r="A14154" t="str">
        <f>"3049093"</f>
        <v>3049093</v>
      </c>
      <c r="B14154" t="s">
        <v>42977</v>
      </c>
      <c r="C14154" t="str">
        <f>"8312959"</f>
        <v>8312959</v>
      </c>
      <c r="D14154" t="s">
        <v>42978</v>
      </c>
      <c r="F14154" t="s">
        <v>42979</v>
      </c>
      <c r="I14154" t="s">
        <v>42980</v>
      </c>
      <c r="J14154" t="s">
        <v>30</v>
      </c>
      <c r="K14154" t="str">
        <f>"28173"</f>
        <v>28173</v>
      </c>
      <c r="M14154" t="s">
        <v>33845</v>
      </c>
      <c r="N14154" t="str">
        <f>"8/24/2020 4:03:00 PM"</f>
        <v>8/24/2020 4:03:00 PM</v>
      </c>
      <c r="O14154" t="s">
        <v>42978</v>
      </c>
    </row>
    <row r="14155" spans="1:20" x14ac:dyDescent="0.25">
      <c r="A14155" t="str">
        <f>"3049091"</f>
        <v>3049091</v>
      </c>
      <c r="B14155" t="s">
        <v>42981</v>
      </c>
      <c r="C14155" t="str">
        <f>"8312959"</f>
        <v>8312959</v>
      </c>
      <c r="D14155" t="s">
        <v>42978</v>
      </c>
      <c r="F14155" t="s">
        <v>42979</v>
      </c>
      <c r="I14155" t="s">
        <v>42980</v>
      </c>
      <c r="J14155" t="s">
        <v>30</v>
      </c>
      <c r="K14155" t="str">
        <f>"28173"</f>
        <v>28173</v>
      </c>
      <c r="M14155" t="s">
        <v>33845</v>
      </c>
      <c r="N14155" t="str">
        <f>"8/24/2020 4:03:00 PM"</f>
        <v>8/24/2020 4:03:00 PM</v>
      </c>
      <c r="O14155" t="s">
        <v>42978</v>
      </c>
    </row>
    <row r="14156" spans="1:20" x14ac:dyDescent="0.25">
      <c r="A14156" t="str">
        <f>"3066431"</f>
        <v>3066431</v>
      </c>
      <c r="B14156" t="s">
        <v>42982</v>
      </c>
      <c r="C14156" t="str">
        <f>"8312959"</f>
        <v>8312959</v>
      </c>
      <c r="D14156" t="s">
        <v>42978</v>
      </c>
      <c r="F14156" t="s">
        <v>42979</v>
      </c>
      <c r="I14156" t="s">
        <v>42980</v>
      </c>
      <c r="J14156" t="s">
        <v>30</v>
      </c>
      <c r="K14156" t="str">
        <f>"28173"</f>
        <v>28173</v>
      </c>
      <c r="M14156" t="s">
        <v>33845</v>
      </c>
      <c r="N14156" t="str">
        <f>"8/24/2020 4:03:00 PM"</f>
        <v>8/24/2020 4:03:00 PM</v>
      </c>
      <c r="O14156" t="s">
        <v>42978</v>
      </c>
    </row>
    <row r="14157" spans="1:20" x14ac:dyDescent="0.25">
      <c r="A14157" t="str">
        <f>"3060107"</f>
        <v>3060107</v>
      </c>
      <c r="B14157" t="s">
        <v>42983</v>
      </c>
      <c r="C14157" t="str">
        <f>"82514589"</f>
        <v>82514589</v>
      </c>
      <c r="D14157" t="s">
        <v>42984</v>
      </c>
      <c r="E14157" t="s">
        <v>42985</v>
      </c>
      <c r="F14157" t="s">
        <v>42986</v>
      </c>
      <c r="I14157" t="s">
        <v>184</v>
      </c>
      <c r="J14157" t="s">
        <v>30</v>
      </c>
      <c r="K14157" t="s">
        <v>10737</v>
      </c>
      <c r="M14157" t="s">
        <v>25733</v>
      </c>
      <c r="N14157" t="str">
        <f>"8/25/2020 12:30:00 PM"</f>
        <v>8/25/2020 12:30:00 PM</v>
      </c>
      <c r="O14157" t="s">
        <v>42984</v>
      </c>
      <c r="T14157" t="s">
        <v>42985</v>
      </c>
    </row>
    <row r="14158" spans="1:20" x14ac:dyDescent="0.25">
      <c r="A14158" t="str">
        <f>"3054658"</f>
        <v>3054658</v>
      </c>
      <c r="B14158" t="s">
        <v>42987</v>
      </c>
      <c r="C14158" t="str">
        <f>"8312800"</f>
        <v>8312800</v>
      </c>
      <c r="D14158" t="s">
        <v>42988</v>
      </c>
      <c r="F14158" t="s">
        <v>19381</v>
      </c>
      <c r="I14158" t="s">
        <v>29</v>
      </c>
      <c r="J14158" t="s">
        <v>30</v>
      </c>
      <c r="K14158" t="str">
        <f>"27028"</f>
        <v>27028</v>
      </c>
      <c r="M14158" t="s">
        <v>25733</v>
      </c>
      <c r="N14158" t="str">
        <f>"8/25/2020 1:29:00 PM"</f>
        <v>8/25/2020 1:29:00 PM</v>
      </c>
      <c r="O14158" t="s">
        <v>42988</v>
      </c>
    </row>
    <row r="14159" spans="1:20" x14ac:dyDescent="0.25">
      <c r="A14159" t="str">
        <f>"3058179"</f>
        <v>3058179</v>
      </c>
      <c r="B14159" t="s">
        <v>42989</v>
      </c>
      <c r="C14159" t="str">
        <f>"82527924"</f>
        <v>82527924</v>
      </c>
      <c r="D14159" t="s">
        <v>42990</v>
      </c>
      <c r="E14159" t="s">
        <v>42991</v>
      </c>
      <c r="F14159" t="s">
        <v>42992</v>
      </c>
      <c r="I14159" t="s">
        <v>29</v>
      </c>
      <c r="J14159" t="s">
        <v>30</v>
      </c>
      <c r="K14159" t="s">
        <v>31</v>
      </c>
      <c r="M14159" t="s">
        <v>25733</v>
      </c>
      <c r="N14159" t="str">
        <f>"8/25/2020 3:44:00 PM"</f>
        <v>8/25/2020 3:44:00 PM</v>
      </c>
      <c r="O14159" t="s">
        <v>42990</v>
      </c>
      <c r="T14159" t="s">
        <v>42991</v>
      </c>
    </row>
    <row r="14160" spans="1:20" x14ac:dyDescent="0.25">
      <c r="A14160" t="str">
        <f>"3057271"</f>
        <v>3057271</v>
      </c>
      <c r="B14160" t="s">
        <v>42993</v>
      </c>
      <c r="C14160" t="str">
        <f>"82527924"</f>
        <v>82527924</v>
      </c>
      <c r="D14160" t="s">
        <v>42990</v>
      </c>
      <c r="E14160" t="s">
        <v>42991</v>
      </c>
      <c r="F14160" t="s">
        <v>42992</v>
      </c>
      <c r="I14160" t="s">
        <v>29</v>
      </c>
      <c r="J14160" t="s">
        <v>30</v>
      </c>
      <c r="K14160" t="s">
        <v>31</v>
      </c>
      <c r="M14160" t="s">
        <v>25733</v>
      </c>
      <c r="N14160" t="str">
        <f>"8/25/2020 3:44:00 PM"</f>
        <v>8/25/2020 3:44:00 PM</v>
      </c>
      <c r="O14160" t="s">
        <v>42990</v>
      </c>
      <c r="T14160" t="s">
        <v>42991</v>
      </c>
    </row>
    <row r="14161" spans="1:20" x14ac:dyDescent="0.25">
      <c r="A14161" t="str">
        <f>"3057274"</f>
        <v>3057274</v>
      </c>
      <c r="B14161" t="s">
        <v>42994</v>
      </c>
      <c r="C14161" t="str">
        <f>"82527924"</f>
        <v>82527924</v>
      </c>
      <c r="D14161" t="s">
        <v>42990</v>
      </c>
      <c r="E14161" t="s">
        <v>42991</v>
      </c>
      <c r="F14161" t="s">
        <v>42992</v>
      </c>
      <c r="I14161" t="s">
        <v>29</v>
      </c>
      <c r="J14161" t="s">
        <v>30</v>
      </c>
      <c r="K14161" t="s">
        <v>31</v>
      </c>
      <c r="M14161" t="s">
        <v>25733</v>
      </c>
      <c r="N14161" t="str">
        <f>"8/25/2020 3:44:00 PM"</f>
        <v>8/25/2020 3:44:00 PM</v>
      </c>
      <c r="O14161" t="s">
        <v>42990</v>
      </c>
      <c r="T14161" t="s">
        <v>42991</v>
      </c>
    </row>
    <row r="14162" spans="1:20" x14ac:dyDescent="0.25">
      <c r="A14162" t="str">
        <f>"3057288"</f>
        <v>3057288</v>
      </c>
      <c r="B14162" t="s">
        <v>42995</v>
      </c>
      <c r="C14162" t="str">
        <f>"82527924"</f>
        <v>82527924</v>
      </c>
      <c r="D14162" t="s">
        <v>42990</v>
      </c>
      <c r="E14162" t="s">
        <v>42991</v>
      </c>
      <c r="F14162" t="s">
        <v>42992</v>
      </c>
      <c r="I14162" t="s">
        <v>29</v>
      </c>
      <c r="J14162" t="s">
        <v>30</v>
      </c>
      <c r="K14162" t="s">
        <v>31</v>
      </c>
      <c r="M14162" t="s">
        <v>25733</v>
      </c>
      <c r="N14162" t="str">
        <f>"8/25/2020 3:44:00 PM"</f>
        <v>8/25/2020 3:44:00 PM</v>
      </c>
      <c r="O14162" t="s">
        <v>42990</v>
      </c>
      <c r="T14162" t="s">
        <v>42991</v>
      </c>
    </row>
    <row r="14163" spans="1:20" x14ac:dyDescent="0.25">
      <c r="A14163" t="str">
        <f>"3044225"</f>
        <v>3044225</v>
      </c>
      <c r="B14163" t="s">
        <v>42996</v>
      </c>
      <c r="C14163" t="str">
        <f>"8313998"</f>
        <v>8313998</v>
      </c>
      <c r="D14163" t="s">
        <v>42997</v>
      </c>
      <c r="F14163" t="s">
        <v>42998</v>
      </c>
      <c r="I14163" t="s">
        <v>184</v>
      </c>
      <c r="J14163" t="s">
        <v>30</v>
      </c>
      <c r="K14163" t="s">
        <v>19904</v>
      </c>
      <c r="M14163" t="s">
        <v>17861</v>
      </c>
      <c r="N14163" t="str">
        <f>"8/26/2020 10:59:00 AM"</f>
        <v>8/26/2020 10:59:00 AM</v>
      </c>
      <c r="O14163" t="s">
        <v>42997</v>
      </c>
    </row>
    <row r="14164" spans="1:20" x14ac:dyDescent="0.25">
      <c r="A14164" t="str">
        <f>"3061269"</f>
        <v>3061269</v>
      </c>
      <c r="B14164" t="s">
        <v>42999</v>
      </c>
      <c r="C14164" t="str">
        <f>"8314000"</f>
        <v>8314000</v>
      </c>
      <c r="D14164" t="s">
        <v>43000</v>
      </c>
      <c r="E14164" t="s">
        <v>43001</v>
      </c>
      <c r="F14164" t="s">
        <v>43002</v>
      </c>
      <c r="I14164" t="s">
        <v>2071</v>
      </c>
      <c r="J14164" t="s">
        <v>30</v>
      </c>
      <c r="K14164" t="s">
        <v>36586</v>
      </c>
      <c r="M14164" t="s">
        <v>17861</v>
      </c>
      <c r="N14164" t="str">
        <f>"8/26/2020 11:13:00 AM"</f>
        <v>8/26/2020 11:13:00 AM</v>
      </c>
      <c r="O14164" t="s">
        <v>43000</v>
      </c>
      <c r="T14164" t="s">
        <v>43001</v>
      </c>
    </row>
    <row r="14165" spans="1:20" x14ac:dyDescent="0.25">
      <c r="A14165" t="str">
        <f>"3038187"</f>
        <v>3038187</v>
      </c>
      <c r="B14165" t="s">
        <v>43003</v>
      </c>
      <c r="C14165" t="str">
        <f>"82523678"</f>
        <v>82523678</v>
      </c>
      <c r="D14165" t="s">
        <v>43004</v>
      </c>
      <c r="F14165" t="s">
        <v>43005</v>
      </c>
      <c r="I14165" t="s">
        <v>471</v>
      </c>
      <c r="J14165" t="s">
        <v>30</v>
      </c>
      <c r="K14165" t="s">
        <v>43006</v>
      </c>
      <c r="M14165" t="s">
        <v>33845</v>
      </c>
      <c r="N14165" t="str">
        <f>"8/12/2020 3:13:00 PM"</f>
        <v>8/12/2020 3:13:00 PM</v>
      </c>
      <c r="O14165" t="s">
        <v>43004</v>
      </c>
    </row>
    <row r="14166" spans="1:20" x14ac:dyDescent="0.25">
      <c r="A14166" t="str">
        <f>"3061141"</f>
        <v>3061141</v>
      </c>
      <c r="B14166" t="s">
        <v>43007</v>
      </c>
      <c r="C14166" t="str">
        <f>"8311959"</f>
        <v>8311959</v>
      </c>
      <c r="D14166" t="s">
        <v>43008</v>
      </c>
      <c r="F14166" t="s">
        <v>43009</v>
      </c>
      <c r="I14166" t="s">
        <v>2071</v>
      </c>
      <c r="J14166" t="s">
        <v>30</v>
      </c>
      <c r="K14166" t="s">
        <v>43010</v>
      </c>
      <c r="M14166" t="s">
        <v>33845</v>
      </c>
      <c r="N14166" t="str">
        <f>"8/13/2020 11:02:00 AM"</f>
        <v>8/13/2020 11:02:00 AM</v>
      </c>
      <c r="O14166" t="s">
        <v>43008</v>
      </c>
    </row>
    <row r="14167" spans="1:20" x14ac:dyDescent="0.25">
      <c r="A14167" t="str">
        <f>"3054136"</f>
        <v>3054136</v>
      </c>
      <c r="B14167" t="s">
        <v>43011</v>
      </c>
      <c r="C14167" t="str">
        <f>"8314004"</f>
        <v>8314004</v>
      </c>
      <c r="D14167" t="s">
        <v>43012</v>
      </c>
      <c r="F14167" t="s">
        <v>43013</v>
      </c>
      <c r="I14167" t="s">
        <v>29</v>
      </c>
      <c r="J14167" t="s">
        <v>30</v>
      </c>
      <c r="K14167" t="s">
        <v>43014</v>
      </c>
      <c r="M14167" t="s">
        <v>17861</v>
      </c>
      <c r="N14167" t="str">
        <f>"8/26/2020 1:41:00 PM"</f>
        <v>8/26/2020 1:41:00 PM</v>
      </c>
      <c r="O14167" t="s">
        <v>43012</v>
      </c>
    </row>
    <row r="14168" spans="1:20" x14ac:dyDescent="0.25">
      <c r="A14168" t="str">
        <f>"3059342"</f>
        <v>3059342</v>
      </c>
      <c r="B14168" t="s">
        <v>43015</v>
      </c>
      <c r="C14168" t="str">
        <f>"8314007"</f>
        <v>8314007</v>
      </c>
      <c r="D14168" t="s">
        <v>43016</v>
      </c>
      <c r="E14168" t="s">
        <v>43017</v>
      </c>
      <c r="F14168" t="s">
        <v>43018</v>
      </c>
      <c r="I14168" t="s">
        <v>29</v>
      </c>
      <c r="J14168" t="s">
        <v>30</v>
      </c>
      <c r="K14168" t="s">
        <v>33201</v>
      </c>
      <c r="M14168" t="s">
        <v>17861</v>
      </c>
      <c r="N14168" t="str">
        <f>"8/26/2020 2:44:00 PM"</f>
        <v>8/26/2020 2:44:00 PM</v>
      </c>
      <c r="O14168" t="s">
        <v>43016</v>
      </c>
      <c r="T14168" t="s">
        <v>43017</v>
      </c>
    </row>
    <row r="14169" spans="1:20" x14ac:dyDescent="0.25">
      <c r="A14169" t="str">
        <f>"3050421"</f>
        <v>3050421</v>
      </c>
      <c r="B14169" t="s">
        <v>43019</v>
      </c>
      <c r="C14169" t="str">
        <f>"8314008"</f>
        <v>8314008</v>
      </c>
      <c r="D14169" t="s">
        <v>43020</v>
      </c>
      <c r="E14169" t="s">
        <v>43021</v>
      </c>
      <c r="F14169" t="s">
        <v>43022</v>
      </c>
      <c r="I14169" t="s">
        <v>29</v>
      </c>
      <c r="J14169" t="s">
        <v>30</v>
      </c>
      <c r="K14169" t="s">
        <v>14112</v>
      </c>
      <c r="M14169" t="s">
        <v>17861</v>
      </c>
      <c r="N14169" t="str">
        <f>"8/26/2020 2:59:00 PM"</f>
        <v>8/26/2020 2:59:00 PM</v>
      </c>
      <c r="O14169" t="s">
        <v>43020</v>
      </c>
      <c r="T14169" t="s">
        <v>43021</v>
      </c>
    </row>
    <row r="14170" spans="1:20" x14ac:dyDescent="0.25">
      <c r="A14170" t="str">
        <f>"3044458"</f>
        <v>3044458</v>
      </c>
      <c r="B14170" t="s">
        <v>43023</v>
      </c>
      <c r="C14170" t="str">
        <f>"8314009"</f>
        <v>8314009</v>
      </c>
      <c r="D14170" t="s">
        <v>43024</v>
      </c>
      <c r="E14170" t="s">
        <v>43025</v>
      </c>
      <c r="F14170" t="s">
        <v>43026</v>
      </c>
      <c r="I14170" t="s">
        <v>184</v>
      </c>
      <c r="J14170" t="s">
        <v>30</v>
      </c>
      <c r="K14170" t="s">
        <v>18888</v>
      </c>
      <c r="M14170" t="s">
        <v>17861</v>
      </c>
      <c r="N14170" t="str">
        <f>"8/26/2020 3:04:00 PM"</f>
        <v>8/26/2020 3:04:00 PM</v>
      </c>
      <c r="O14170" t="s">
        <v>43024</v>
      </c>
      <c r="T14170" t="s">
        <v>43025</v>
      </c>
    </row>
    <row r="14171" spans="1:20" x14ac:dyDescent="0.25">
      <c r="A14171" t="str">
        <f>"3057460"</f>
        <v>3057460</v>
      </c>
      <c r="B14171" t="s">
        <v>43027</v>
      </c>
      <c r="C14171" t="str">
        <f>"8314013"</f>
        <v>8314013</v>
      </c>
      <c r="D14171" t="s">
        <v>43028</v>
      </c>
      <c r="E14171" t="s">
        <v>43029</v>
      </c>
      <c r="F14171" t="s">
        <v>43030</v>
      </c>
      <c r="I14171" t="s">
        <v>29</v>
      </c>
      <c r="J14171" t="s">
        <v>30</v>
      </c>
      <c r="K14171" t="s">
        <v>43031</v>
      </c>
      <c r="M14171" t="s">
        <v>17861</v>
      </c>
      <c r="N14171" t="str">
        <f>"8/26/2020 3:26:00 PM"</f>
        <v>8/26/2020 3:26:00 PM</v>
      </c>
      <c r="O14171" t="s">
        <v>43028</v>
      </c>
      <c r="T14171" t="s">
        <v>43029</v>
      </c>
    </row>
    <row r="14172" spans="1:20" x14ac:dyDescent="0.25">
      <c r="A14172" t="str">
        <f>"3060327"</f>
        <v>3060327</v>
      </c>
      <c r="B14172" t="s">
        <v>43032</v>
      </c>
      <c r="C14172" t="str">
        <f>"8314013"</f>
        <v>8314013</v>
      </c>
      <c r="D14172" t="s">
        <v>43028</v>
      </c>
      <c r="E14172" t="s">
        <v>43029</v>
      </c>
      <c r="F14172" t="s">
        <v>43030</v>
      </c>
      <c r="I14172" t="s">
        <v>29</v>
      </c>
      <c r="J14172" t="s">
        <v>30</v>
      </c>
      <c r="K14172" t="s">
        <v>43031</v>
      </c>
      <c r="M14172" t="s">
        <v>17861</v>
      </c>
      <c r="N14172" t="str">
        <f>"8/26/2020 3:26:00 PM"</f>
        <v>8/26/2020 3:26:00 PM</v>
      </c>
      <c r="O14172" t="s">
        <v>43028</v>
      </c>
      <c r="T14172" t="s">
        <v>43029</v>
      </c>
    </row>
    <row r="14173" spans="1:20" x14ac:dyDescent="0.25">
      <c r="A14173" t="str">
        <f>"3045520"</f>
        <v>3045520</v>
      </c>
      <c r="B14173" t="s">
        <v>43033</v>
      </c>
      <c r="C14173" t="str">
        <f>"8314014"</f>
        <v>8314014</v>
      </c>
      <c r="D14173" t="s">
        <v>43034</v>
      </c>
      <c r="E14173" t="s">
        <v>43035</v>
      </c>
      <c r="F14173" t="s">
        <v>43036</v>
      </c>
      <c r="I14173" t="s">
        <v>29</v>
      </c>
      <c r="J14173" t="s">
        <v>30</v>
      </c>
      <c r="K14173" t="s">
        <v>7753</v>
      </c>
      <c r="M14173" t="s">
        <v>17861</v>
      </c>
      <c r="N14173" t="str">
        <f>"8/26/2020 3:28:00 PM"</f>
        <v>8/26/2020 3:28:00 PM</v>
      </c>
      <c r="O14173" t="s">
        <v>43034</v>
      </c>
      <c r="T14173" t="s">
        <v>43035</v>
      </c>
    </row>
    <row r="14174" spans="1:20" x14ac:dyDescent="0.25">
      <c r="A14174" t="str">
        <f>"3042351"</f>
        <v>3042351</v>
      </c>
      <c r="B14174" t="s">
        <v>43037</v>
      </c>
      <c r="C14174" t="str">
        <f>"8314016"</f>
        <v>8314016</v>
      </c>
      <c r="D14174" t="s">
        <v>43038</v>
      </c>
      <c r="E14174" t="s">
        <v>43039</v>
      </c>
      <c r="F14174" t="s">
        <v>43040</v>
      </c>
      <c r="I14174" t="s">
        <v>184</v>
      </c>
      <c r="J14174" t="s">
        <v>30</v>
      </c>
      <c r="K14174" t="s">
        <v>3457</v>
      </c>
      <c r="M14174" t="s">
        <v>17861</v>
      </c>
      <c r="N14174" t="str">
        <f>"8/26/2020 3:36:00 PM"</f>
        <v>8/26/2020 3:36:00 PM</v>
      </c>
      <c r="O14174" t="s">
        <v>43038</v>
      </c>
      <c r="T14174" t="s">
        <v>43039</v>
      </c>
    </row>
    <row r="14175" spans="1:20" x14ac:dyDescent="0.25">
      <c r="A14175" t="str">
        <f>"3041550"</f>
        <v>3041550</v>
      </c>
      <c r="B14175" t="s">
        <v>43041</v>
      </c>
      <c r="C14175" t="str">
        <f>"8314018"</f>
        <v>8314018</v>
      </c>
      <c r="D14175" t="s">
        <v>43042</v>
      </c>
      <c r="E14175" t="s">
        <v>43043</v>
      </c>
      <c r="F14175" t="s">
        <v>43044</v>
      </c>
      <c r="I14175" t="s">
        <v>2071</v>
      </c>
      <c r="J14175" t="s">
        <v>30</v>
      </c>
      <c r="K14175" t="str">
        <f>"27006"</f>
        <v>27006</v>
      </c>
      <c r="M14175" t="s">
        <v>17861</v>
      </c>
      <c r="N14175" t="str">
        <f>"8/26/2020 3:44:00 PM"</f>
        <v>8/26/2020 3:44:00 PM</v>
      </c>
      <c r="O14175" t="s">
        <v>43042</v>
      </c>
      <c r="T14175" t="s">
        <v>43043</v>
      </c>
    </row>
    <row r="14176" spans="1:20" x14ac:dyDescent="0.25">
      <c r="A14176" t="str">
        <f>"3061311"</f>
        <v>3061311</v>
      </c>
      <c r="B14176" t="s">
        <v>43045</v>
      </c>
      <c r="C14176" t="str">
        <f>"8311831"</f>
        <v>8311831</v>
      </c>
      <c r="D14176" t="s">
        <v>43046</v>
      </c>
      <c r="E14176" t="s">
        <v>43047</v>
      </c>
      <c r="F14176" t="s">
        <v>43048</v>
      </c>
      <c r="I14176" t="s">
        <v>2071</v>
      </c>
      <c r="J14176" t="s">
        <v>30</v>
      </c>
      <c r="K14176" t="s">
        <v>35233</v>
      </c>
      <c r="M14176" t="s">
        <v>25733</v>
      </c>
      <c r="N14176" t="str">
        <f>"8/13/2020 12:52:00 PM"</f>
        <v>8/13/2020 12:52:00 PM</v>
      </c>
      <c r="O14176" t="s">
        <v>43046</v>
      </c>
      <c r="T14176" t="s">
        <v>43047</v>
      </c>
    </row>
    <row r="14177" spans="1:20" x14ac:dyDescent="0.25">
      <c r="A14177" t="str">
        <f>"3061176"</f>
        <v>3061176</v>
      </c>
      <c r="B14177" t="s">
        <v>43049</v>
      </c>
      <c r="C14177" t="str">
        <f>"8302352"</f>
        <v>8302352</v>
      </c>
      <c r="D14177" t="s">
        <v>43050</v>
      </c>
      <c r="E14177" t="s">
        <v>43051</v>
      </c>
      <c r="F14177" t="s">
        <v>43052</v>
      </c>
      <c r="I14177" t="s">
        <v>184</v>
      </c>
      <c r="J14177" t="s">
        <v>30</v>
      </c>
      <c r="K14177" t="str">
        <f>"27006"</f>
        <v>27006</v>
      </c>
      <c r="M14177" t="s">
        <v>25733</v>
      </c>
      <c r="N14177" t="str">
        <f>"8/13/2020 2:31:00 PM"</f>
        <v>8/13/2020 2:31:00 PM</v>
      </c>
      <c r="O14177" t="s">
        <v>43050</v>
      </c>
      <c r="T14177" t="s">
        <v>43051</v>
      </c>
    </row>
    <row r="14178" spans="1:20" x14ac:dyDescent="0.25">
      <c r="A14178" t="str">
        <f>"3059860"</f>
        <v>3059860</v>
      </c>
      <c r="B14178" t="s">
        <v>43053</v>
      </c>
      <c r="C14178" t="str">
        <f>"82530562"</f>
        <v>82530562</v>
      </c>
      <c r="D14178" t="s">
        <v>43054</v>
      </c>
      <c r="E14178" t="s">
        <v>43055</v>
      </c>
      <c r="F14178" t="s">
        <v>43056</v>
      </c>
      <c r="I14178" t="s">
        <v>29</v>
      </c>
      <c r="J14178" t="s">
        <v>30</v>
      </c>
      <c r="K14178" t="s">
        <v>31</v>
      </c>
      <c r="M14178" t="s">
        <v>17861</v>
      </c>
      <c r="N14178" t="str">
        <f>"8/14/2020 9:00:00 AM"</f>
        <v>8/14/2020 9:00:00 AM</v>
      </c>
      <c r="O14178" t="s">
        <v>43054</v>
      </c>
      <c r="T14178" t="s">
        <v>43055</v>
      </c>
    </row>
    <row r="14179" spans="1:20" x14ac:dyDescent="0.25">
      <c r="A14179" t="str">
        <f>"3056542"</f>
        <v>3056542</v>
      </c>
      <c r="B14179" t="s">
        <v>43057</v>
      </c>
      <c r="C14179" t="str">
        <f>"82530562"</f>
        <v>82530562</v>
      </c>
      <c r="D14179" t="s">
        <v>43054</v>
      </c>
      <c r="E14179" t="s">
        <v>43055</v>
      </c>
      <c r="F14179" t="s">
        <v>43056</v>
      </c>
      <c r="I14179" t="s">
        <v>29</v>
      </c>
      <c r="J14179" t="s">
        <v>30</v>
      </c>
      <c r="K14179" t="s">
        <v>31</v>
      </c>
      <c r="M14179" t="s">
        <v>17861</v>
      </c>
      <c r="N14179" t="str">
        <f>"8/14/2020 9:00:00 AM"</f>
        <v>8/14/2020 9:00:00 AM</v>
      </c>
      <c r="O14179" t="s">
        <v>43054</v>
      </c>
      <c r="T14179" t="s">
        <v>43055</v>
      </c>
    </row>
    <row r="14180" spans="1:20" x14ac:dyDescent="0.25">
      <c r="A14180" t="str">
        <f>"3048356"</f>
        <v>3048356</v>
      </c>
      <c r="B14180" t="s">
        <v>43058</v>
      </c>
      <c r="C14180" t="str">
        <f>"82532956"</f>
        <v>82532956</v>
      </c>
      <c r="D14180" t="s">
        <v>43059</v>
      </c>
      <c r="F14180" t="s">
        <v>43060</v>
      </c>
      <c r="I14180" t="s">
        <v>29</v>
      </c>
      <c r="J14180" t="s">
        <v>30</v>
      </c>
      <c r="K14180" t="s">
        <v>31</v>
      </c>
      <c r="M14180" t="s">
        <v>36935</v>
      </c>
      <c r="N14180" t="str">
        <f>"8/14/2020 12:17:00 PM"</f>
        <v>8/14/2020 12:17:00 PM</v>
      </c>
      <c r="O14180" t="s">
        <v>43059</v>
      </c>
    </row>
    <row r="14181" spans="1:20" x14ac:dyDescent="0.25">
      <c r="A14181" t="str">
        <f>"3041659"</f>
        <v>3041659</v>
      </c>
      <c r="B14181" t="s">
        <v>43061</v>
      </c>
      <c r="C14181" t="str">
        <f>"8313961"</f>
        <v>8313961</v>
      </c>
      <c r="D14181" t="s">
        <v>43062</v>
      </c>
      <c r="F14181" t="s">
        <v>43063</v>
      </c>
      <c r="I14181" t="s">
        <v>2071</v>
      </c>
      <c r="J14181" t="s">
        <v>30</v>
      </c>
      <c r="K14181" t="str">
        <f>"27006"</f>
        <v>27006</v>
      </c>
      <c r="M14181" t="s">
        <v>17861</v>
      </c>
      <c r="N14181" t="str">
        <f>"8/14/2020 3:38:00 PM"</f>
        <v>8/14/2020 3:38:00 PM</v>
      </c>
      <c r="O14181" t="s">
        <v>43062</v>
      </c>
    </row>
    <row r="14182" spans="1:20" x14ac:dyDescent="0.25">
      <c r="A14182" t="str">
        <f>"3057200"</f>
        <v>3057200</v>
      </c>
      <c r="B14182" t="s">
        <v>43064</v>
      </c>
      <c r="C14182" t="str">
        <f>"82522801"</f>
        <v>82522801</v>
      </c>
      <c r="D14182" t="s">
        <v>43065</v>
      </c>
      <c r="F14182" t="s">
        <v>43066</v>
      </c>
      <c r="I14182" t="s">
        <v>471</v>
      </c>
      <c r="J14182" t="s">
        <v>30</v>
      </c>
      <c r="K14182" t="s">
        <v>43067</v>
      </c>
      <c r="M14182" t="s">
        <v>17861</v>
      </c>
      <c r="N14182" t="str">
        <f>"8/17/2020 9:31:00 AM"</f>
        <v>8/17/2020 9:31:00 AM</v>
      </c>
      <c r="O14182" t="s">
        <v>43065</v>
      </c>
    </row>
    <row r="14183" spans="1:20" x14ac:dyDescent="0.25">
      <c r="A14183" t="str">
        <f>"3044170"</f>
        <v>3044170</v>
      </c>
      <c r="B14183" t="s">
        <v>43068</v>
      </c>
      <c r="C14183" t="str">
        <f>"8313985"</f>
        <v>8313985</v>
      </c>
      <c r="D14183" t="s">
        <v>43069</v>
      </c>
      <c r="E14183" t="s">
        <v>43070</v>
      </c>
      <c r="F14183" t="s">
        <v>43071</v>
      </c>
      <c r="I14183" t="s">
        <v>184</v>
      </c>
      <c r="J14183" t="s">
        <v>30</v>
      </c>
      <c r="K14183" t="s">
        <v>43072</v>
      </c>
      <c r="M14183" t="s">
        <v>17861</v>
      </c>
      <c r="N14183" t="str">
        <f>"8/21/2020 10:27:00 AM"</f>
        <v>8/21/2020 10:27:00 AM</v>
      </c>
      <c r="O14183" t="s">
        <v>43069</v>
      </c>
      <c r="T14183" t="s">
        <v>43070</v>
      </c>
    </row>
    <row r="14184" spans="1:20" x14ac:dyDescent="0.25">
      <c r="A14184" t="str">
        <f>"3076872"</f>
        <v>3076872</v>
      </c>
      <c r="B14184" t="s">
        <v>43073</v>
      </c>
      <c r="C14184" t="str">
        <f>"8313986"</f>
        <v>8313986</v>
      </c>
      <c r="D14184" t="s">
        <v>43074</v>
      </c>
      <c r="E14184" t="s">
        <v>43075</v>
      </c>
      <c r="F14184" t="s">
        <v>43076</v>
      </c>
      <c r="I14184" t="s">
        <v>29</v>
      </c>
      <c r="J14184" t="s">
        <v>30</v>
      </c>
      <c r="K14184" t="s">
        <v>43077</v>
      </c>
      <c r="M14184" t="s">
        <v>17861</v>
      </c>
      <c r="N14184" t="str">
        <f>"8/21/2020 10:36:00 AM"</f>
        <v>8/21/2020 10:36:00 AM</v>
      </c>
      <c r="O14184" t="s">
        <v>43074</v>
      </c>
      <c r="T14184" t="s">
        <v>43075</v>
      </c>
    </row>
    <row r="14185" spans="1:20" x14ac:dyDescent="0.25">
      <c r="A14185" t="str">
        <f>"3044009"</f>
        <v>3044009</v>
      </c>
      <c r="B14185" t="s">
        <v>43078</v>
      </c>
      <c r="C14185" t="str">
        <f>"8313991"</f>
        <v>8313991</v>
      </c>
      <c r="D14185" t="s">
        <v>43079</v>
      </c>
      <c r="F14185" t="s">
        <v>43080</v>
      </c>
      <c r="I14185" t="s">
        <v>184</v>
      </c>
      <c r="J14185" t="s">
        <v>30</v>
      </c>
      <c r="K14185" t="s">
        <v>9056</v>
      </c>
      <c r="M14185" t="s">
        <v>17861</v>
      </c>
      <c r="N14185" t="str">
        <f>"8/24/2020 8:23:00 AM"</f>
        <v>8/24/2020 8:23:00 AM</v>
      </c>
      <c r="O14185" t="s">
        <v>43079</v>
      </c>
    </row>
    <row r="14186" spans="1:20" x14ac:dyDescent="0.25">
      <c r="A14186" t="str">
        <f>"3054859"</f>
        <v>3054859</v>
      </c>
      <c r="B14186" t="s">
        <v>43081</v>
      </c>
      <c r="C14186" t="str">
        <f>"46337470"</f>
        <v>46337470</v>
      </c>
      <c r="D14186" t="s">
        <v>43082</v>
      </c>
      <c r="E14186" t="str">
        <f>"C/O JOHN THOMAS ARNOLD SR"</f>
        <v>C/O JOHN THOMAS ARNOLD SR</v>
      </c>
      <c r="F14186" t="s">
        <v>43083</v>
      </c>
      <c r="I14186" t="s">
        <v>1176</v>
      </c>
      <c r="J14186" t="s">
        <v>30</v>
      </c>
      <c r="K14186" t="s">
        <v>1177</v>
      </c>
      <c r="M14186" t="s">
        <v>17861</v>
      </c>
      <c r="N14186" t="str">
        <f>"8/24/2020 8:55:00 AM"</f>
        <v>8/24/2020 8:55:00 AM</v>
      </c>
      <c r="O14186" t="s">
        <v>43082</v>
      </c>
      <c r="T14186" t="str">
        <f>"C/O JOHN THOMAS ARNOLD SR"</f>
        <v>C/O JOHN THOMAS ARNOLD SR</v>
      </c>
    </row>
    <row r="14187" spans="1:20" x14ac:dyDescent="0.25">
      <c r="A14187" t="str">
        <f>"3045026"</f>
        <v>3045026</v>
      </c>
      <c r="B14187" t="s">
        <v>43084</v>
      </c>
      <c r="C14187" t="str">
        <f>"8303129"</f>
        <v>8303129</v>
      </c>
      <c r="D14187" t="s">
        <v>43085</v>
      </c>
      <c r="E14187" t="s">
        <v>43086</v>
      </c>
      <c r="F14187" t="s">
        <v>43087</v>
      </c>
      <c r="I14187" t="s">
        <v>184</v>
      </c>
      <c r="J14187" t="s">
        <v>30</v>
      </c>
      <c r="K14187" t="str">
        <f>"27006"</f>
        <v>27006</v>
      </c>
      <c r="M14187" t="s">
        <v>25733</v>
      </c>
      <c r="N14187" t="str">
        <f>"8/24/2020 2:25:00 PM"</f>
        <v>8/24/2020 2:25:00 PM</v>
      </c>
      <c r="O14187" t="s">
        <v>43085</v>
      </c>
      <c r="T14187" t="s">
        <v>43086</v>
      </c>
    </row>
    <row r="14188" spans="1:20" x14ac:dyDescent="0.25">
      <c r="A14188" t="str">
        <f>"3045011"</f>
        <v>3045011</v>
      </c>
      <c r="B14188" t="s">
        <v>43088</v>
      </c>
      <c r="C14188" t="str">
        <f>"8303129"</f>
        <v>8303129</v>
      </c>
      <c r="D14188" t="s">
        <v>43085</v>
      </c>
      <c r="E14188" t="s">
        <v>43086</v>
      </c>
      <c r="F14188" t="s">
        <v>43087</v>
      </c>
      <c r="I14188" t="s">
        <v>184</v>
      </c>
      <c r="J14188" t="s">
        <v>30</v>
      </c>
      <c r="K14188" t="str">
        <f>"27006"</f>
        <v>27006</v>
      </c>
      <c r="M14188" t="s">
        <v>25733</v>
      </c>
      <c r="N14188" t="str">
        <f>"8/24/2020 2:25:00 PM"</f>
        <v>8/24/2020 2:25:00 PM</v>
      </c>
      <c r="O14188" t="s">
        <v>43085</v>
      </c>
      <c r="T14188" t="s">
        <v>43086</v>
      </c>
    </row>
    <row r="14189" spans="1:20" x14ac:dyDescent="0.25">
      <c r="A14189" t="str">
        <f>"3045006"</f>
        <v>3045006</v>
      </c>
      <c r="B14189" t="s">
        <v>43089</v>
      </c>
      <c r="C14189" t="str">
        <f>"8303129"</f>
        <v>8303129</v>
      </c>
      <c r="D14189" t="s">
        <v>43085</v>
      </c>
      <c r="E14189" t="s">
        <v>43086</v>
      </c>
      <c r="F14189" t="s">
        <v>43087</v>
      </c>
      <c r="I14189" t="s">
        <v>184</v>
      </c>
      <c r="J14189" t="s">
        <v>30</v>
      </c>
      <c r="K14189" t="str">
        <f>"27006"</f>
        <v>27006</v>
      </c>
      <c r="M14189" t="s">
        <v>25733</v>
      </c>
      <c r="N14189" t="str">
        <f>"8/24/2020 2:25:00 PM"</f>
        <v>8/24/2020 2:25:00 PM</v>
      </c>
      <c r="O14189" t="s">
        <v>43085</v>
      </c>
      <c r="T14189" t="s">
        <v>43086</v>
      </c>
    </row>
    <row r="14190" spans="1:20" x14ac:dyDescent="0.25">
      <c r="A14190" t="str">
        <f>"3038006"</f>
        <v>3038006</v>
      </c>
      <c r="B14190" t="s">
        <v>43090</v>
      </c>
      <c r="C14190" t="str">
        <f>"8300857"</f>
        <v>8300857</v>
      </c>
      <c r="D14190" t="s">
        <v>43091</v>
      </c>
      <c r="E14190" t="s">
        <v>43092</v>
      </c>
      <c r="F14190" t="s">
        <v>42966</v>
      </c>
      <c r="I14190" t="s">
        <v>42967</v>
      </c>
      <c r="J14190" t="s">
        <v>30</v>
      </c>
      <c r="K14190" t="str">
        <f>"28557"</f>
        <v>28557</v>
      </c>
      <c r="M14190" t="s">
        <v>41454</v>
      </c>
      <c r="N14190" t="str">
        <f>"8/24/2020 3:04:00 PM"</f>
        <v>8/24/2020 3:04:00 PM</v>
      </c>
      <c r="O14190" t="s">
        <v>43091</v>
      </c>
      <c r="T14190" t="s">
        <v>43092</v>
      </c>
    </row>
    <row r="14191" spans="1:20" x14ac:dyDescent="0.25">
      <c r="A14191" t="str">
        <f>"3049432"</f>
        <v>3049432</v>
      </c>
      <c r="B14191" t="s">
        <v>43093</v>
      </c>
      <c r="C14191" t="str">
        <f>"82523715"</f>
        <v>82523715</v>
      </c>
      <c r="D14191" t="s">
        <v>43094</v>
      </c>
      <c r="F14191" t="s">
        <v>43095</v>
      </c>
      <c r="G14191" t="s">
        <v>43096</v>
      </c>
      <c r="I14191" t="s">
        <v>43097</v>
      </c>
      <c r="J14191" t="s">
        <v>1543</v>
      </c>
      <c r="K14191" t="s">
        <v>43098</v>
      </c>
      <c r="M14191" t="s">
        <v>25733</v>
      </c>
      <c r="N14191" t="str">
        <f>"8/24/2020 3:20:00 PM"</f>
        <v>8/24/2020 3:20:00 PM</v>
      </c>
      <c r="O14191" t="s">
        <v>43094</v>
      </c>
    </row>
    <row r="14192" spans="1:20" x14ac:dyDescent="0.25">
      <c r="A14192" t="str">
        <f>"3049094"</f>
        <v>3049094</v>
      </c>
      <c r="B14192" t="s">
        <v>43099</v>
      </c>
      <c r="C14192" t="str">
        <f>"8312959"</f>
        <v>8312959</v>
      </c>
      <c r="D14192" t="s">
        <v>42978</v>
      </c>
      <c r="F14192" t="s">
        <v>42979</v>
      </c>
      <c r="I14192" t="s">
        <v>42980</v>
      </c>
      <c r="J14192" t="s">
        <v>30</v>
      </c>
      <c r="K14192" t="str">
        <f>"28173"</f>
        <v>28173</v>
      </c>
      <c r="M14192" t="s">
        <v>33845</v>
      </c>
      <c r="N14192" t="str">
        <f>"8/24/2020 4:03:00 PM"</f>
        <v>8/24/2020 4:03:00 PM</v>
      </c>
      <c r="O14192" t="s">
        <v>42978</v>
      </c>
    </row>
    <row r="14193" spans="1:20" x14ac:dyDescent="0.25">
      <c r="A14193" t="str">
        <f>"3062965"</f>
        <v>3062965</v>
      </c>
      <c r="B14193" t="s">
        <v>43100</v>
      </c>
      <c r="C14193" t="str">
        <f>"8300122"</f>
        <v>8300122</v>
      </c>
      <c r="D14193" t="s">
        <v>43101</v>
      </c>
      <c r="E14193" t="s">
        <v>43102</v>
      </c>
      <c r="F14193" t="s">
        <v>43103</v>
      </c>
      <c r="I14193" t="s">
        <v>29</v>
      </c>
      <c r="J14193" t="s">
        <v>30</v>
      </c>
      <c r="K14193" t="s">
        <v>31</v>
      </c>
      <c r="M14193" t="s">
        <v>33432</v>
      </c>
      <c r="N14193" t="str">
        <f>"8/26/2020 11:44:00 AM"</f>
        <v>8/26/2020 11:44:00 AM</v>
      </c>
      <c r="O14193" t="s">
        <v>43101</v>
      </c>
      <c r="T14193" t="s">
        <v>43102</v>
      </c>
    </row>
    <row r="14194" spans="1:20" x14ac:dyDescent="0.25">
      <c r="A14194" t="str">
        <f>"3054261"</f>
        <v>3054261</v>
      </c>
      <c r="B14194" t="s">
        <v>43104</v>
      </c>
      <c r="C14194" t="str">
        <f>"8314002"</f>
        <v>8314002</v>
      </c>
      <c r="D14194" t="s">
        <v>43105</v>
      </c>
      <c r="F14194" t="s">
        <v>43106</v>
      </c>
      <c r="I14194" t="s">
        <v>29</v>
      </c>
      <c r="J14194" t="s">
        <v>30</v>
      </c>
      <c r="K14194" t="s">
        <v>43107</v>
      </c>
      <c r="M14194" t="s">
        <v>17861</v>
      </c>
      <c r="N14194" t="str">
        <f>"8/26/2020 1:22:00 PM"</f>
        <v>8/26/2020 1:22:00 PM</v>
      </c>
      <c r="O14194" t="s">
        <v>43105</v>
      </c>
    </row>
    <row r="14195" spans="1:20" x14ac:dyDescent="0.25">
      <c r="A14195" t="str">
        <f>"3045509"</f>
        <v>3045509</v>
      </c>
      <c r="B14195" t="s">
        <v>43108</v>
      </c>
      <c r="C14195" t="str">
        <f>"8314022"</f>
        <v>8314022</v>
      </c>
      <c r="D14195" t="s">
        <v>43109</v>
      </c>
      <c r="F14195" t="s">
        <v>43110</v>
      </c>
      <c r="I14195" t="s">
        <v>29</v>
      </c>
      <c r="J14195" t="s">
        <v>30</v>
      </c>
      <c r="K14195" t="s">
        <v>9351</v>
      </c>
      <c r="M14195" t="s">
        <v>17861</v>
      </c>
      <c r="N14195" t="str">
        <f>"8/26/2020 4:09:00 PM"</f>
        <v>8/26/2020 4:09:00 PM</v>
      </c>
      <c r="O14195" t="s">
        <v>43109</v>
      </c>
    </row>
    <row r="14196" spans="1:20" x14ac:dyDescent="0.25">
      <c r="A14196" t="str">
        <f>"3057628"</f>
        <v>3057628</v>
      </c>
      <c r="B14196" t="s">
        <v>43111</v>
      </c>
      <c r="C14196" t="str">
        <f>"8314023"</f>
        <v>8314023</v>
      </c>
      <c r="D14196" t="s">
        <v>43112</v>
      </c>
      <c r="E14196" t="s">
        <v>43113</v>
      </c>
      <c r="F14196" t="s">
        <v>43114</v>
      </c>
      <c r="I14196" t="s">
        <v>184</v>
      </c>
      <c r="J14196" t="s">
        <v>30</v>
      </c>
      <c r="K14196" t="s">
        <v>43115</v>
      </c>
      <c r="M14196" t="s">
        <v>17861</v>
      </c>
      <c r="N14196" t="str">
        <f>"8/26/2020 4:13:00 PM"</f>
        <v>8/26/2020 4:13:00 PM</v>
      </c>
      <c r="O14196" t="s">
        <v>43112</v>
      </c>
      <c r="T14196" t="s">
        <v>43113</v>
      </c>
    </row>
    <row r="14197" spans="1:20" x14ac:dyDescent="0.25">
      <c r="A14197" t="str">
        <f>"3044599"</f>
        <v>3044599</v>
      </c>
      <c r="B14197" t="s">
        <v>43116</v>
      </c>
      <c r="C14197" t="str">
        <f>"8314027"</f>
        <v>8314027</v>
      </c>
      <c r="D14197" t="s">
        <v>43117</v>
      </c>
      <c r="E14197" t="s">
        <v>43118</v>
      </c>
      <c r="F14197" t="s">
        <v>43119</v>
      </c>
      <c r="I14197" t="s">
        <v>184</v>
      </c>
      <c r="J14197" t="s">
        <v>30</v>
      </c>
      <c r="K14197" t="s">
        <v>43120</v>
      </c>
      <c r="M14197" t="s">
        <v>17861</v>
      </c>
      <c r="N14197" t="str">
        <f>"8/26/2020 6:40:00 PM"</f>
        <v>8/26/2020 6:40:00 PM</v>
      </c>
      <c r="O14197" t="s">
        <v>43117</v>
      </c>
      <c r="T14197" t="s">
        <v>43118</v>
      </c>
    </row>
    <row r="14198" spans="1:20" x14ac:dyDescent="0.25">
      <c r="A14198" t="str">
        <f>"3061133"</f>
        <v>3061133</v>
      </c>
      <c r="B14198" t="s">
        <v>43121</v>
      </c>
      <c r="C14198" t="str">
        <f>"8306898"</f>
        <v>8306898</v>
      </c>
      <c r="D14198" t="s">
        <v>43122</v>
      </c>
      <c r="F14198" t="s">
        <v>43123</v>
      </c>
      <c r="I14198" t="s">
        <v>24359</v>
      </c>
      <c r="J14198" t="s">
        <v>30</v>
      </c>
      <c r="K14198" t="str">
        <f>"27006"</f>
        <v>27006</v>
      </c>
      <c r="M14198" t="s">
        <v>33845</v>
      </c>
      <c r="N14198" t="str">
        <f>"8/20/2020 3:54:00 PM"</f>
        <v>8/20/2020 3:54:00 PM</v>
      </c>
      <c r="O14198" t="s">
        <v>43122</v>
      </c>
    </row>
    <row r="14199" spans="1:20" x14ac:dyDescent="0.25">
      <c r="A14199" t="str">
        <f>"3056774"</f>
        <v>3056774</v>
      </c>
      <c r="B14199" t="s">
        <v>43124</v>
      </c>
      <c r="C14199" t="str">
        <f>"8307642"</f>
        <v>8307642</v>
      </c>
      <c r="D14199" t="s">
        <v>43125</v>
      </c>
      <c r="F14199" t="s">
        <v>43126</v>
      </c>
      <c r="I14199" t="s">
        <v>14849</v>
      </c>
      <c r="J14199" t="s">
        <v>30</v>
      </c>
      <c r="K14199" t="str">
        <f>"27299"</f>
        <v>27299</v>
      </c>
      <c r="M14199" t="s">
        <v>33845</v>
      </c>
      <c r="N14199" t="str">
        <f>"8/20/2020 3:54:00 PM"</f>
        <v>8/20/2020 3:54:00 PM</v>
      </c>
      <c r="O14199" t="s">
        <v>43125</v>
      </c>
    </row>
    <row r="14200" spans="1:20" x14ac:dyDescent="0.25">
      <c r="A14200" t="str">
        <f>"3062227"</f>
        <v>3062227</v>
      </c>
      <c r="B14200" t="s">
        <v>43127</v>
      </c>
      <c r="C14200" t="str">
        <f>"8300333"</f>
        <v>8300333</v>
      </c>
      <c r="D14200" t="s">
        <v>43128</v>
      </c>
      <c r="E14200" t="s">
        <v>43129</v>
      </c>
      <c r="F14200" t="s">
        <v>43130</v>
      </c>
      <c r="I14200" t="s">
        <v>29</v>
      </c>
      <c r="J14200" t="s">
        <v>30</v>
      </c>
      <c r="K14200" t="s">
        <v>41552</v>
      </c>
      <c r="M14200" t="s">
        <v>18479</v>
      </c>
      <c r="N14200" t="str">
        <f>"8/21/2020 10:12:00 AM"</f>
        <v>8/21/2020 10:12:00 AM</v>
      </c>
      <c r="O14200" t="s">
        <v>43128</v>
      </c>
      <c r="T14200" t="s">
        <v>43129</v>
      </c>
    </row>
    <row r="14201" spans="1:20" x14ac:dyDescent="0.25">
      <c r="A14201" t="str">
        <f>"3040182"</f>
        <v>3040182</v>
      </c>
      <c r="B14201" t="s">
        <v>43131</v>
      </c>
      <c r="C14201" t="str">
        <f>"8313984"</f>
        <v>8313984</v>
      </c>
      <c r="D14201" t="s">
        <v>43132</v>
      </c>
      <c r="F14201" t="s">
        <v>43133</v>
      </c>
      <c r="I14201" t="s">
        <v>29</v>
      </c>
      <c r="J14201" t="s">
        <v>30</v>
      </c>
      <c r="K14201" t="s">
        <v>2347</v>
      </c>
      <c r="M14201" t="s">
        <v>17861</v>
      </c>
      <c r="N14201" t="str">
        <f>"8/21/2020 10:18:00 AM"</f>
        <v>8/21/2020 10:18:00 AM</v>
      </c>
      <c r="O14201" t="s">
        <v>43132</v>
      </c>
    </row>
    <row r="14202" spans="1:20" x14ac:dyDescent="0.25">
      <c r="A14202" t="str">
        <f>"3043875"</f>
        <v>3043875</v>
      </c>
      <c r="B14202" t="s">
        <v>43134</v>
      </c>
      <c r="C14202" t="str">
        <f>"8313985"</f>
        <v>8313985</v>
      </c>
      <c r="D14202" t="s">
        <v>43069</v>
      </c>
      <c r="E14202" t="s">
        <v>43070</v>
      </c>
      <c r="F14202" t="s">
        <v>43071</v>
      </c>
      <c r="I14202" t="s">
        <v>184</v>
      </c>
      <c r="J14202" t="s">
        <v>30</v>
      </c>
      <c r="K14202" t="s">
        <v>43072</v>
      </c>
      <c r="M14202" t="s">
        <v>17861</v>
      </c>
      <c r="N14202" t="str">
        <f>"8/21/2020 10:27:00 AM"</f>
        <v>8/21/2020 10:27:00 AM</v>
      </c>
      <c r="O14202" t="s">
        <v>43069</v>
      </c>
      <c r="T14202" t="s">
        <v>43070</v>
      </c>
    </row>
    <row r="14203" spans="1:20" x14ac:dyDescent="0.25">
      <c r="A14203" t="str">
        <f>"3045414"</f>
        <v>3045414</v>
      </c>
      <c r="B14203" t="s">
        <v>43135</v>
      </c>
      <c r="C14203" t="str">
        <f>"8314034"</f>
        <v>8314034</v>
      </c>
      <c r="D14203" t="s">
        <v>43136</v>
      </c>
      <c r="E14203" t="s">
        <v>43137</v>
      </c>
      <c r="F14203" t="s">
        <v>43138</v>
      </c>
      <c r="I14203" t="s">
        <v>29</v>
      </c>
      <c r="J14203" t="s">
        <v>30</v>
      </c>
      <c r="K14203" t="s">
        <v>43139</v>
      </c>
      <c r="M14203" t="s">
        <v>17861</v>
      </c>
      <c r="N14203" t="str">
        <f>"8/31/2020 2:52:00 PM"</f>
        <v>8/31/2020 2:52:00 PM</v>
      </c>
      <c r="O14203" t="s">
        <v>43136</v>
      </c>
      <c r="T14203" t="s">
        <v>43137</v>
      </c>
    </row>
    <row r="14204" spans="1:20" x14ac:dyDescent="0.25">
      <c r="A14204" t="str">
        <f>"3048735"</f>
        <v>3048735</v>
      </c>
      <c r="B14204" t="s">
        <v>43140</v>
      </c>
      <c r="C14204" t="str">
        <f>"8314037"</f>
        <v>8314037</v>
      </c>
      <c r="D14204" t="s">
        <v>43141</v>
      </c>
      <c r="F14204" t="s">
        <v>43142</v>
      </c>
      <c r="I14204" t="s">
        <v>29</v>
      </c>
      <c r="J14204" t="s">
        <v>30</v>
      </c>
      <c r="K14204" t="s">
        <v>36018</v>
      </c>
      <c r="M14204" t="s">
        <v>17861</v>
      </c>
      <c r="N14204" t="str">
        <f>"8/31/2020 3:41:00 PM"</f>
        <v>8/31/2020 3:41:00 PM</v>
      </c>
      <c r="O14204" t="s">
        <v>43141</v>
      </c>
    </row>
    <row r="14205" spans="1:20" x14ac:dyDescent="0.25">
      <c r="A14205" t="str">
        <f>"3038461"</f>
        <v>3038461</v>
      </c>
      <c r="B14205" t="s">
        <v>43143</v>
      </c>
      <c r="C14205" t="str">
        <f>"8314040"</f>
        <v>8314040</v>
      </c>
      <c r="D14205" t="s">
        <v>43144</v>
      </c>
      <c r="F14205" t="s">
        <v>43145</v>
      </c>
      <c r="I14205" t="s">
        <v>29</v>
      </c>
      <c r="J14205" t="s">
        <v>30</v>
      </c>
      <c r="K14205" t="s">
        <v>43146</v>
      </c>
      <c r="M14205" t="s">
        <v>17861</v>
      </c>
      <c r="N14205" t="str">
        <f>"8/31/2020 4:24:00 PM"</f>
        <v>8/31/2020 4:24:00 PM</v>
      </c>
      <c r="O14205" t="s">
        <v>43144</v>
      </c>
    </row>
    <row r="14206" spans="1:20" x14ac:dyDescent="0.25">
      <c r="A14206" t="str">
        <f>"3060244"</f>
        <v>3060244</v>
      </c>
      <c r="B14206" t="s">
        <v>43147</v>
      </c>
      <c r="C14206" t="str">
        <f>"8314045"</f>
        <v>8314045</v>
      </c>
      <c r="D14206" t="s">
        <v>43148</v>
      </c>
      <c r="E14206" t="s">
        <v>43149</v>
      </c>
      <c r="F14206" t="s">
        <v>43150</v>
      </c>
      <c r="I14206" t="s">
        <v>184</v>
      </c>
      <c r="J14206" t="s">
        <v>30</v>
      </c>
      <c r="K14206" t="s">
        <v>33744</v>
      </c>
      <c r="M14206" t="s">
        <v>17861</v>
      </c>
      <c r="N14206" t="str">
        <f>"9/1/2020 8:46:00 AM"</f>
        <v>9/1/2020 8:46:00 AM</v>
      </c>
      <c r="O14206" t="s">
        <v>43148</v>
      </c>
      <c r="T14206" t="s">
        <v>43149</v>
      </c>
    </row>
    <row r="14207" spans="1:20" x14ac:dyDescent="0.25">
      <c r="A14207" t="str">
        <f>"3049907"</f>
        <v>3049907</v>
      </c>
      <c r="B14207" t="s">
        <v>43151</v>
      </c>
      <c r="C14207" t="str">
        <f>"8314048"</f>
        <v>8314048</v>
      </c>
      <c r="D14207" t="s">
        <v>43152</v>
      </c>
      <c r="E14207" t="s">
        <v>43153</v>
      </c>
      <c r="F14207" t="s">
        <v>43154</v>
      </c>
      <c r="I14207" t="s">
        <v>29</v>
      </c>
      <c r="J14207" t="s">
        <v>30</v>
      </c>
      <c r="K14207" t="s">
        <v>43155</v>
      </c>
      <c r="M14207" t="s">
        <v>17861</v>
      </c>
      <c r="N14207" t="str">
        <f>"9/1/2020 9:36:00 AM"</f>
        <v>9/1/2020 9:36:00 AM</v>
      </c>
      <c r="O14207" t="s">
        <v>43152</v>
      </c>
      <c r="T14207" t="s">
        <v>43153</v>
      </c>
    </row>
    <row r="14208" spans="1:20" x14ac:dyDescent="0.25">
      <c r="A14208" t="str">
        <f>"3049566"</f>
        <v>3049566</v>
      </c>
      <c r="B14208" t="s">
        <v>43156</v>
      </c>
      <c r="C14208" t="str">
        <f>"8314048"</f>
        <v>8314048</v>
      </c>
      <c r="D14208" t="s">
        <v>43152</v>
      </c>
      <c r="E14208" t="s">
        <v>43153</v>
      </c>
      <c r="F14208" t="s">
        <v>43154</v>
      </c>
      <c r="I14208" t="s">
        <v>29</v>
      </c>
      <c r="J14208" t="s">
        <v>30</v>
      </c>
      <c r="K14208" t="s">
        <v>43155</v>
      </c>
      <c r="M14208" t="s">
        <v>17861</v>
      </c>
      <c r="N14208" t="str">
        <f>"9/1/2020 9:36:00 AM"</f>
        <v>9/1/2020 9:36:00 AM</v>
      </c>
      <c r="O14208" t="s">
        <v>43152</v>
      </c>
      <c r="T14208" t="s">
        <v>43153</v>
      </c>
    </row>
    <row r="14209" spans="1:20" x14ac:dyDescent="0.25">
      <c r="A14209" t="str">
        <f>"3060320"</f>
        <v>3060320</v>
      </c>
      <c r="B14209" t="s">
        <v>43157</v>
      </c>
      <c r="C14209" t="str">
        <f>"8314050"</f>
        <v>8314050</v>
      </c>
      <c r="D14209" t="s">
        <v>43158</v>
      </c>
      <c r="E14209" t="s">
        <v>43159</v>
      </c>
      <c r="F14209" t="s">
        <v>43160</v>
      </c>
      <c r="I14209" t="s">
        <v>29</v>
      </c>
      <c r="J14209" t="s">
        <v>30</v>
      </c>
      <c r="K14209" t="s">
        <v>43161</v>
      </c>
      <c r="M14209" t="s">
        <v>17861</v>
      </c>
      <c r="N14209" t="str">
        <f>"9/1/2020 9:47:00 AM"</f>
        <v>9/1/2020 9:47:00 AM</v>
      </c>
      <c r="O14209" t="s">
        <v>43158</v>
      </c>
      <c r="T14209" t="s">
        <v>43159</v>
      </c>
    </row>
    <row r="14210" spans="1:20" x14ac:dyDescent="0.25">
      <c r="A14210" t="str">
        <f>"3038653"</f>
        <v>3038653</v>
      </c>
      <c r="B14210" t="s">
        <v>43162</v>
      </c>
      <c r="C14210" t="str">
        <f>"8314043"</f>
        <v>8314043</v>
      </c>
      <c r="D14210" t="s">
        <v>43163</v>
      </c>
      <c r="F14210" t="s">
        <v>43164</v>
      </c>
      <c r="I14210" t="s">
        <v>37425</v>
      </c>
      <c r="J14210" t="s">
        <v>30</v>
      </c>
      <c r="K14210" t="s">
        <v>43165</v>
      </c>
      <c r="M14210" t="s">
        <v>17861</v>
      </c>
      <c r="N14210" t="str">
        <f>"9/1/2020 8:32:00 AM"</f>
        <v>9/1/2020 8:32:00 AM</v>
      </c>
      <c r="O14210" t="s">
        <v>43163</v>
      </c>
    </row>
    <row r="14211" spans="1:20" x14ac:dyDescent="0.25">
      <c r="A14211" t="str">
        <f>"3062355"</f>
        <v>3062355</v>
      </c>
      <c r="B14211" t="s">
        <v>43166</v>
      </c>
      <c r="C14211" t="str">
        <f>"8314044"</f>
        <v>8314044</v>
      </c>
      <c r="D14211" t="s">
        <v>43167</v>
      </c>
      <c r="E14211" t="s">
        <v>43168</v>
      </c>
      <c r="F14211" t="s">
        <v>43169</v>
      </c>
      <c r="I14211" t="s">
        <v>29</v>
      </c>
      <c r="J14211" t="s">
        <v>30</v>
      </c>
      <c r="K14211" t="s">
        <v>39024</v>
      </c>
      <c r="M14211" t="s">
        <v>17861</v>
      </c>
      <c r="N14211" t="str">
        <f>"9/1/2020 8:36:00 AM"</f>
        <v>9/1/2020 8:36:00 AM</v>
      </c>
      <c r="O14211" t="s">
        <v>43167</v>
      </c>
      <c r="T14211" t="s">
        <v>43168</v>
      </c>
    </row>
    <row r="14212" spans="1:20" x14ac:dyDescent="0.25">
      <c r="A14212" t="str">
        <f>"3037629"</f>
        <v>3037629</v>
      </c>
      <c r="B14212" t="s">
        <v>43170</v>
      </c>
      <c r="C14212" t="str">
        <f>"8314053"</f>
        <v>8314053</v>
      </c>
      <c r="D14212" t="s">
        <v>43171</v>
      </c>
      <c r="E14212" t="s">
        <v>43172</v>
      </c>
      <c r="F14212" t="s">
        <v>43173</v>
      </c>
      <c r="I14212" t="s">
        <v>17921</v>
      </c>
      <c r="J14212" t="s">
        <v>30</v>
      </c>
      <c r="K14212" t="str">
        <f>"27028"</f>
        <v>27028</v>
      </c>
      <c r="M14212" t="s">
        <v>17861</v>
      </c>
      <c r="N14212" t="str">
        <f>"9/1/2020 10:24:00 AM"</f>
        <v>9/1/2020 10:24:00 AM</v>
      </c>
      <c r="O14212" t="s">
        <v>43171</v>
      </c>
      <c r="T14212" t="s">
        <v>43172</v>
      </c>
    </row>
    <row r="14213" spans="1:20" x14ac:dyDescent="0.25">
      <c r="A14213" t="str">
        <f>"3062950"</f>
        <v>3062950</v>
      </c>
      <c r="B14213" t="s">
        <v>43174</v>
      </c>
      <c r="C14213" t="str">
        <f>"8314054"</f>
        <v>8314054</v>
      </c>
      <c r="D14213" t="s">
        <v>43175</v>
      </c>
      <c r="F14213" t="s">
        <v>43176</v>
      </c>
      <c r="I14213" t="s">
        <v>29</v>
      </c>
      <c r="J14213" t="s">
        <v>30</v>
      </c>
      <c r="K14213" t="s">
        <v>36011</v>
      </c>
      <c r="M14213" t="s">
        <v>17861</v>
      </c>
      <c r="N14213" t="str">
        <f>"9/1/2020 10:29:00 AM"</f>
        <v>9/1/2020 10:29:00 AM</v>
      </c>
      <c r="O14213" t="s">
        <v>43175</v>
      </c>
    </row>
    <row r="14214" spans="1:20" x14ac:dyDescent="0.25">
      <c r="A14214" t="str">
        <f>"3052586"</f>
        <v>3052586</v>
      </c>
      <c r="B14214" t="s">
        <v>43177</v>
      </c>
      <c r="C14214" t="str">
        <f>"8314057"</f>
        <v>8314057</v>
      </c>
      <c r="D14214" t="s">
        <v>43178</v>
      </c>
      <c r="F14214" t="s">
        <v>43179</v>
      </c>
      <c r="I14214" t="s">
        <v>29</v>
      </c>
      <c r="J14214" t="s">
        <v>30</v>
      </c>
      <c r="K14214" t="s">
        <v>43180</v>
      </c>
      <c r="M14214" t="s">
        <v>17861</v>
      </c>
      <c r="N14214" t="str">
        <f>"9/1/2020 10:53:00 AM"</f>
        <v>9/1/2020 10:53:00 AM</v>
      </c>
      <c r="O14214" t="s">
        <v>43178</v>
      </c>
    </row>
    <row r="14215" spans="1:20" x14ac:dyDescent="0.25">
      <c r="A14215" t="str">
        <f>"3064016"</f>
        <v>3064016</v>
      </c>
      <c r="B14215" t="s">
        <v>43181</v>
      </c>
      <c r="C14215" t="str">
        <f>"8314058"</f>
        <v>8314058</v>
      </c>
      <c r="D14215" t="s">
        <v>43182</v>
      </c>
      <c r="E14215" t="s">
        <v>43183</v>
      </c>
      <c r="F14215" t="s">
        <v>43184</v>
      </c>
      <c r="I14215" t="s">
        <v>184</v>
      </c>
      <c r="J14215" t="s">
        <v>30</v>
      </c>
      <c r="K14215" t="s">
        <v>39923</v>
      </c>
      <c r="M14215" t="s">
        <v>17861</v>
      </c>
      <c r="N14215" t="str">
        <f>"9/1/2020 11:17:00 AM"</f>
        <v>9/1/2020 11:17:00 AM</v>
      </c>
      <c r="O14215" t="s">
        <v>43182</v>
      </c>
      <c r="T14215" t="s">
        <v>43183</v>
      </c>
    </row>
    <row r="14216" spans="1:20" x14ac:dyDescent="0.25">
      <c r="A14216" t="str">
        <f>"3059939"</f>
        <v>3059939</v>
      </c>
      <c r="B14216" t="s">
        <v>43185</v>
      </c>
      <c r="C14216" t="str">
        <f>"8314059"</f>
        <v>8314059</v>
      </c>
      <c r="D14216" t="s">
        <v>43186</v>
      </c>
      <c r="E14216" t="s">
        <v>43187</v>
      </c>
      <c r="F14216" t="s">
        <v>43188</v>
      </c>
      <c r="I14216" t="s">
        <v>29</v>
      </c>
      <c r="J14216" t="s">
        <v>30</v>
      </c>
      <c r="K14216" t="s">
        <v>41547</v>
      </c>
      <c r="M14216" t="s">
        <v>17861</v>
      </c>
      <c r="N14216" t="str">
        <f>"9/1/2020 11:24:00 AM"</f>
        <v>9/1/2020 11:24:00 AM</v>
      </c>
      <c r="O14216" t="s">
        <v>43186</v>
      </c>
      <c r="T14216" t="s">
        <v>43187</v>
      </c>
    </row>
    <row r="14217" spans="1:20" x14ac:dyDescent="0.25">
      <c r="A14217" t="str">
        <f>"3048229"</f>
        <v>3048229</v>
      </c>
      <c r="B14217" t="s">
        <v>43189</v>
      </c>
      <c r="C14217" t="str">
        <f>"8314060"</f>
        <v>8314060</v>
      </c>
      <c r="D14217" t="s">
        <v>43190</v>
      </c>
      <c r="F14217" t="s">
        <v>43191</v>
      </c>
      <c r="I14217" t="s">
        <v>29</v>
      </c>
      <c r="J14217" t="s">
        <v>30</v>
      </c>
      <c r="K14217" t="s">
        <v>43192</v>
      </c>
      <c r="M14217" t="s">
        <v>17861</v>
      </c>
      <c r="N14217" t="str">
        <f>"9/1/2020 11:35:00 AM"</f>
        <v>9/1/2020 11:35:00 AM</v>
      </c>
      <c r="O14217" t="s">
        <v>43190</v>
      </c>
    </row>
    <row r="14218" spans="1:20" x14ac:dyDescent="0.25">
      <c r="A14218" t="str">
        <f>"3044748"</f>
        <v>3044748</v>
      </c>
      <c r="B14218" t="s">
        <v>43193</v>
      </c>
      <c r="C14218" t="str">
        <f>"8314062"</f>
        <v>8314062</v>
      </c>
      <c r="D14218" t="s">
        <v>43194</v>
      </c>
      <c r="F14218" t="s">
        <v>43195</v>
      </c>
      <c r="I14218" t="s">
        <v>184</v>
      </c>
      <c r="J14218" t="s">
        <v>30</v>
      </c>
      <c r="K14218" t="s">
        <v>6036</v>
      </c>
      <c r="M14218" t="s">
        <v>17861</v>
      </c>
      <c r="N14218" t="str">
        <f>"9/1/2020 11:38:00 AM"</f>
        <v>9/1/2020 11:38:00 AM</v>
      </c>
      <c r="O14218" t="s">
        <v>43194</v>
      </c>
    </row>
    <row r="14219" spans="1:20" x14ac:dyDescent="0.25">
      <c r="A14219" t="str">
        <f>"3062254"</f>
        <v>3062254</v>
      </c>
      <c r="B14219" t="s">
        <v>43196</v>
      </c>
      <c r="C14219" t="str">
        <f>"8314063"</f>
        <v>8314063</v>
      </c>
      <c r="D14219" t="s">
        <v>43197</v>
      </c>
      <c r="E14219" t="s">
        <v>43198</v>
      </c>
      <c r="F14219" t="s">
        <v>43199</v>
      </c>
      <c r="I14219" t="s">
        <v>17921</v>
      </c>
      <c r="J14219" t="s">
        <v>30</v>
      </c>
      <c r="K14219" t="str">
        <f>"27028"</f>
        <v>27028</v>
      </c>
      <c r="M14219" t="s">
        <v>17861</v>
      </c>
      <c r="N14219" t="str">
        <f>"9/1/2020 11:45:00 AM"</f>
        <v>9/1/2020 11:45:00 AM</v>
      </c>
      <c r="O14219" t="s">
        <v>43197</v>
      </c>
      <c r="T14219" t="s">
        <v>43198</v>
      </c>
    </row>
    <row r="14220" spans="1:20" x14ac:dyDescent="0.25">
      <c r="A14220" t="str">
        <f>"3039025"</f>
        <v>3039025</v>
      </c>
      <c r="B14220" t="s">
        <v>43200</v>
      </c>
      <c r="C14220" t="str">
        <f>"8314067"</f>
        <v>8314067</v>
      </c>
      <c r="D14220" t="s">
        <v>43201</v>
      </c>
      <c r="E14220" t="s">
        <v>43202</v>
      </c>
      <c r="F14220" t="s">
        <v>43203</v>
      </c>
      <c r="I14220" t="s">
        <v>29</v>
      </c>
      <c r="J14220" t="s">
        <v>30</v>
      </c>
      <c r="K14220" t="s">
        <v>43204</v>
      </c>
      <c r="M14220" t="s">
        <v>17861</v>
      </c>
      <c r="N14220" t="str">
        <f>"9/1/2020 12:31:00 PM"</f>
        <v>9/1/2020 12:31:00 PM</v>
      </c>
      <c r="O14220" t="s">
        <v>43201</v>
      </c>
      <c r="T14220" t="s">
        <v>43202</v>
      </c>
    </row>
    <row r="14221" spans="1:20" x14ac:dyDescent="0.25">
      <c r="A14221" t="str">
        <f>"3050230"</f>
        <v>3050230</v>
      </c>
      <c r="B14221" t="s">
        <v>43205</v>
      </c>
      <c r="C14221" t="str">
        <f>"8314070"</f>
        <v>8314070</v>
      </c>
      <c r="D14221" t="s">
        <v>43206</v>
      </c>
      <c r="E14221" t="s">
        <v>43207</v>
      </c>
      <c r="F14221" t="s">
        <v>43208</v>
      </c>
      <c r="I14221" t="s">
        <v>29</v>
      </c>
      <c r="J14221" t="s">
        <v>30</v>
      </c>
      <c r="K14221" t="s">
        <v>43209</v>
      </c>
      <c r="M14221" t="s">
        <v>17861</v>
      </c>
      <c r="N14221" t="str">
        <f>"9/1/2020 12:52:00 PM"</f>
        <v>9/1/2020 12:52:00 PM</v>
      </c>
      <c r="O14221" t="s">
        <v>43206</v>
      </c>
      <c r="T14221" t="s">
        <v>43207</v>
      </c>
    </row>
    <row r="14222" spans="1:20" x14ac:dyDescent="0.25">
      <c r="A14222" t="str">
        <f>"3040167"</f>
        <v>3040167</v>
      </c>
      <c r="B14222" t="s">
        <v>43210</v>
      </c>
      <c r="C14222" t="str">
        <f>"8314077"</f>
        <v>8314077</v>
      </c>
      <c r="D14222" t="s">
        <v>43211</v>
      </c>
      <c r="E14222" t="s">
        <v>43212</v>
      </c>
      <c r="F14222" t="s">
        <v>43213</v>
      </c>
      <c r="I14222" t="s">
        <v>29</v>
      </c>
      <c r="J14222" t="s">
        <v>30</v>
      </c>
      <c r="K14222" t="s">
        <v>43214</v>
      </c>
      <c r="M14222" t="s">
        <v>17861</v>
      </c>
      <c r="N14222" t="str">
        <f>"9/1/2020 2:57:00 PM"</f>
        <v>9/1/2020 2:57:00 PM</v>
      </c>
      <c r="O14222" t="s">
        <v>43211</v>
      </c>
      <c r="T14222" t="s">
        <v>43212</v>
      </c>
    </row>
    <row r="14223" spans="1:20" x14ac:dyDescent="0.25">
      <c r="A14223" t="str">
        <f>"3057906"</f>
        <v>3057906</v>
      </c>
      <c r="B14223" t="s">
        <v>43215</v>
      </c>
      <c r="C14223" t="str">
        <f>"8314081"</f>
        <v>8314081</v>
      </c>
      <c r="D14223" t="s">
        <v>43216</v>
      </c>
      <c r="F14223" t="s">
        <v>43217</v>
      </c>
      <c r="I14223" t="s">
        <v>184</v>
      </c>
      <c r="J14223" t="s">
        <v>30</v>
      </c>
      <c r="K14223" t="s">
        <v>28489</v>
      </c>
      <c r="M14223" t="s">
        <v>17861</v>
      </c>
      <c r="N14223" t="str">
        <f>"9/1/2020 3:19:00 PM"</f>
        <v>9/1/2020 3:19:00 PM</v>
      </c>
      <c r="O14223" t="s">
        <v>43216</v>
      </c>
    </row>
    <row r="14224" spans="1:20" x14ac:dyDescent="0.25">
      <c r="A14224" t="str">
        <f>"3046778"</f>
        <v>3046778</v>
      </c>
      <c r="B14224" t="s">
        <v>43218</v>
      </c>
      <c r="C14224" t="str">
        <f>"8314083"</f>
        <v>8314083</v>
      </c>
      <c r="D14224" t="s">
        <v>43219</v>
      </c>
      <c r="E14224" t="s">
        <v>43220</v>
      </c>
      <c r="F14224" t="s">
        <v>43221</v>
      </c>
      <c r="I14224" t="s">
        <v>184</v>
      </c>
      <c r="J14224" t="s">
        <v>30</v>
      </c>
      <c r="K14224" t="s">
        <v>7850</v>
      </c>
      <c r="M14224" t="s">
        <v>17861</v>
      </c>
      <c r="N14224" t="str">
        <f>"9/1/2020 3:23:00 PM"</f>
        <v>9/1/2020 3:23:00 PM</v>
      </c>
      <c r="O14224" t="s">
        <v>43219</v>
      </c>
      <c r="T14224" t="s">
        <v>43220</v>
      </c>
    </row>
    <row r="14225" spans="1:20" x14ac:dyDescent="0.25">
      <c r="A14225" t="str">
        <f>"3055889"</f>
        <v>3055889</v>
      </c>
      <c r="B14225" t="s">
        <v>43222</v>
      </c>
      <c r="C14225" t="str">
        <f>"80460000"</f>
        <v>80460000</v>
      </c>
      <c r="D14225" t="s">
        <v>43223</v>
      </c>
      <c r="F14225" t="s">
        <v>43224</v>
      </c>
      <c r="I14225" t="s">
        <v>9580</v>
      </c>
      <c r="J14225" t="s">
        <v>30</v>
      </c>
      <c r="K14225" t="s">
        <v>9581</v>
      </c>
      <c r="M14225" t="s">
        <v>36935</v>
      </c>
      <c r="N14225" t="str">
        <f>"9/14/2020 10:54:00 AM"</f>
        <v>9/14/2020 10:54:00 AM</v>
      </c>
      <c r="O14225" t="s">
        <v>43223</v>
      </c>
    </row>
    <row r="14226" spans="1:20" x14ac:dyDescent="0.25">
      <c r="A14226" t="str">
        <f>"3053147"</f>
        <v>3053147</v>
      </c>
      <c r="B14226" t="s">
        <v>43225</v>
      </c>
      <c r="C14226" t="str">
        <f>"8311829"</f>
        <v>8311829</v>
      </c>
      <c r="D14226" t="s">
        <v>43226</v>
      </c>
      <c r="E14226" t="s">
        <v>43227</v>
      </c>
      <c r="F14226" t="s">
        <v>43228</v>
      </c>
      <c r="I14226" t="s">
        <v>29</v>
      </c>
      <c r="J14226" t="s">
        <v>30</v>
      </c>
      <c r="K14226" t="s">
        <v>4760</v>
      </c>
      <c r="M14226" t="s">
        <v>36935</v>
      </c>
      <c r="N14226" t="str">
        <f>"9/14/2020 11:07:00 AM"</f>
        <v>9/14/2020 11:07:00 AM</v>
      </c>
      <c r="O14226" t="s">
        <v>43226</v>
      </c>
      <c r="T14226" t="s">
        <v>43227</v>
      </c>
    </row>
    <row r="14227" spans="1:20" x14ac:dyDescent="0.25">
      <c r="A14227" t="str">
        <f>"3056272"</f>
        <v>3056272</v>
      </c>
      <c r="B14227" t="s">
        <v>43229</v>
      </c>
      <c r="C14227" t="str">
        <f>"8314103"</f>
        <v>8314103</v>
      </c>
      <c r="D14227" t="s">
        <v>43230</v>
      </c>
      <c r="F14227" t="s">
        <v>43231</v>
      </c>
      <c r="I14227" t="s">
        <v>964</v>
      </c>
      <c r="J14227" t="s">
        <v>30</v>
      </c>
      <c r="K14227" t="s">
        <v>43232</v>
      </c>
      <c r="M14227" t="s">
        <v>17861</v>
      </c>
      <c r="N14227" t="str">
        <f>"9/14/2020 8:26:00 PM"</f>
        <v>9/14/2020 8:26:00 PM</v>
      </c>
      <c r="O14227" t="s">
        <v>43230</v>
      </c>
    </row>
    <row r="14228" spans="1:20" x14ac:dyDescent="0.25">
      <c r="A14228" t="str">
        <f>"3063724"</f>
        <v>3063724</v>
      </c>
      <c r="B14228" t="s">
        <v>43233</v>
      </c>
      <c r="C14228" t="str">
        <f>"8314104"</f>
        <v>8314104</v>
      </c>
      <c r="D14228" t="s">
        <v>43234</v>
      </c>
      <c r="E14228" t="str">
        <f>"HACKLER DONNA/DUSTIN"</f>
        <v>HACKLER DONNA/DUSTIN</v>
      </c>
      <c r="F14228" t="s">
        <v>43235</v>
      </c>
      <c r="I14228" t="s">
        <v>29</v>
      </c>
      <c r="J14228" t="s">
        <v>30</v>
      </c>
      <c r="K14228" t="s">
        <v>43236</v>
      </c>
      <c r="M14228" t="s">
        <v>17861</v>
      </c>
      <c r="N14228" t="str">
        <f>"9/14/2020 8:31:00 PM"</f>
        <v>9/14/2020 8:31:00 PM</v>
      </c>
      <c r="O14228" t="s">
        <v>43234</v>
      </c>
      <c r="T14228" t="str">
        <f>"HACKLER DONNA/DUSTIN"</f>
        <v>HACKLER DONNA/DUSTIN</v>
      </c>
    </row>
    <row r="14229" spans="1:20" x14ac:dyDescent="0.25">
      <c r="A14229" t="str">
        <f>"3040667"</f>
        <v>3040667</v>
      </c>
      <c r="B14229" t="s">
        <v>43237</v>
      </c>
      <c r="C14229" t="str">
        <f>"8314106"</f>
        <v>8314106</v>
      </c>
      <c r="D14229" t="s">
        <v>43238</v>
      </c>
      <c r="E14229" t="s">
        <v>43239</v>
      </c>
      <c r="F14229" t="s">
        <v>43240</v>
      </c>
      <c r="I14229" t="s">
        <v>29</v>
      </c>
      <c r="J14229" t="s">
        <v>30</v>
      </c>
      <c r="K14229" t="s">
        <v>43241</v>
      </c>
      <c r="M14229" t="s">
        <v>17861</v>
      </c>
      <c r="N14229" t="str">
        <f>"9/16/2020 10:22:00 AM"</f>
        <v>9/16/2020 10:22:00 AM</v>
      </c>
      <c r="O14229" t="s">
        <v>43238</v>
      </c>
      <c r="T14229" t="s">
        <v>43239</v>
      </c>
    </row>
    <row r="14230" spans="1:20" x14ac:dyDescent="0.25">
      <c r="A14230" t="str">
        <f>"3062988"</f>
        <v>3062988</v>
      </c>
      <c r="B14230" t="s">
        <v>43242</v>
      </c>
      <c r="C14230" t="str">
        <f>"8314107"</f>
        <v>8314107</v>
      </c>
      <c r="D14230" t="s">
        <v>43243</v>
      </c>
      <c r="F14230" t="s">
        <v>43244</v>
      </c>
      <c r="I14230" t="s">
        <v>184</v>
      </c>
      <c r="J14230" t="s">
        <v>30</v>
      </c>
      <c r="K14230" t="s">
        <v>8745</v>
      </c>
      <c r="M14230" t="s">
        <v>17861</v>
      </c>
      <c r="N14230" t="str">
        <f>"9/16/2020 10:38:00 AM"</f>
        <v>9/16/2020 10:38:00 AM</v>
      </c>
      <c r="O14230" t="s">
        <v>43243</v>
      </c>
    </row>
    <row r="14231" spans="1:20" x14ac:dyDescent="0.25">
      <c r="A14231" t="str">
        <f>"3056677"</f>
        <v>3056677</v>
      </c>
      <c r="B14231" t="s">
        <v>43245</v>
      </c>
      <c r="C14231" t="str">
        <f>"8314108"</f>
        <v>8314108</v>
      </c>
      <c r="D14231" t="s">
        <v>43246</v>
      </c>
      <c r="F14231" t="s">
        <v>43247</v>
      </c>
      <c r="I14231" t="s">
        <v>29</v>
      </c>
      <c r="J14231" t="s">
        <v>30</v>
      </c>
      <c r="K14231" t="s">
        <v>43248</v>
      </c>
      <c r="M14231" t="s">
        <v>17861</v>
      </c>
      <c r="N14231" t="str">
        <f>"9/16/2020 10:43:00 AM"</f>
        <v>9/16/2020 10:43:00 AM</v>
      </c>
      <c r="O14231" t="s">
        <v>43246</v>
      </c>
    </row>
    <row r="14232" spans="1:20" x14ac:dyDescent="0.25">
      <c r="A14232" t="str">
        <f>"3059122"</f>
        <v>3059122</v>
      </c>
      <c r="B14232" t="s">
        <v>43249</v>
      </c>
      <c r="C14232" t="str">
        <f>"8314109"</f>
        <v>8314109</v>
      </c>
      <c r="D14232" t="s">
        <v>43250</v>
      </c>
      <c r="F14232" t="s">
        <v>43251</v>
      </c>
      <c r="I14232" t="s">
        <v>29</v>
      </c>
      <c r="J14232" t="s">
        <v>30</v>
      </c>
      <c r="K14232" t="s">
        <v>43252</v>
      </c>
      <c r="M14232" t="s">
        <v>17861</v>
      </c>
      <c r="N14232" t="str">
        <f>"9/16/2020 10:49:00 AM"</f>
        <v>9/16/2020 10:49:00 AM</v>
      </c>
      <c r="O14232" t="s">
        <v>43250</v>
      </c>
    </row>
    <row r="14233" spans="1:20" x14ac:dyDescent="0.25">
      <c r="A14233" t="str">
        <f>"3069632"</f>
        <v>3069632</v>
      </c>
      <c r="B14233" t="s">
        <v>43253</v>
      </c>
      <c r="C14233" t="str">
        <f>"8314111"</f>
        <v>8314111</v>
      </c>
      <c r="D14233" t="s">
        <v>43254</v>
      </c>
      <c r="F14233" t="s">
        <v>43255</v>
      </c>
      <c r="I14233" t="s">
        <v>29</v>
      </c>
      <c r="J14233" t="s">
        <v>30</v>
      </c>
      <c r="K14233" t="s">
        <v>43256</v>
      </c>
      <c r="M14233" t="s">
        <v>17861</v>
      </c>
      <c r="N14233" t="str">
        <f>"9/16/2020 10:56:00 AM"</f>
        <v>9/16/2020 10:56:00 AM</v>
      </c>
      <c r="O14233" t="s">
        <v>43254</v>
      </c>
    </row>
    <row r="14234" spans="1:20" x14ac:dyDescent="0.25">
      <c r="A14234" t="str">
        <f>"3044036"</f>
        <v>3044036</v>
      </c>
      <c r="B14234" t="s">
        <v>43257</v>
      </c>
      <c r="C14234" t="str">
        <f>"8314112"</f>
        <v>8314112</v>
      </c>
      <c r="D14234" t="s">
        <v>43258</v>
      </c>
      <c r="E14234" t="s">
        <v>43259</v>
      </c>
      <c r="F14234" t="s">
        <v>43260</v>
      </c>
      <c r="I14234" t="s">
        <v>184</v>
      </c>
      <c r="J14234" t="s">
        <v>30</v>
      </c>
      <c r="K14234" t="s">
        <v>43261</v>
      </c>
      <c r="M14234" t="s">
        <v>17861</v>
      </c>
      <c r="N14234" t="str">
        <f>"9/16/2020 11:02:00 AM"</f>
        <v>9/16/2020 11:02:00 AM</v>
      </c>
      <c r="O14234" t="s">
        <v>43258</v>
      </c>
      <c r="T14234" t="s">
        <v>43259</v>
      </c>
    </row>
    <row r="14235" spans="1:20" x14ac:dyDescent="0.25">
      <c r="A14235" t="str">
        <f>"3043701"</f>
        <v>3043701</v>
      </c>
      <c r="B14235" t="s">
        <v>43262</v>
      </c>
      <c r="C14235" t="str">
        <f>"8314115"</f>
        <v>8314115</v>
      </c>
      <c r="D14235" t="s">
        <v>43263</v>
      </c>
      <c r="E14235" t="s">
        <v>43264</v>
      </c>
      <c r="F14235" t="s">
        <v>43265</v>
      </c>
      <c r="I14235" t="s">
        <v>29</v>
      </c>
      <c r="J14235" t="s">
        <v>30</v>
      </c>
      <c r="K14235" t="s">
        <v>37781</v>
      </c>
      <c r="M14235" t="s">
        <v>17861</v>
      </c>
      <c r="N14235" t="str">
        <f>"9/16/2020 11:32:00 AM"</f>
        <v>9/16/2020 11:32:00 AM</v>
      </c>
      <c r="O14235" t="s">
        <v>43263</v>
      </c>
      <c r="T14235" t="s">
        <v>43264</v>
      </c>
    </row>
    <row r="14236" spans="1:20" x14ac:dyDescent="0.25">
      <c r="A14236" t="str">
        <f>"3058490"</f>
        <v>3058490</v>
      </c>
      <c r="B14236" t="s">
        <v>43266</v>
      </c>
      <c r="C14236" t="str">
        <f>"8314116"</f>
        <v>8314116</v>
      </c>
      <c r="D14236" t="s">
        <v>43267</v>
      </c>
      <c r="E14236" t="s">
        <v>43268</v>
      </c>
      <c r="F14236" t="s">
        <v>43269</v>
      </c>
      <c r="I14236" t="s">
        <v>8536</v>
      </c>
      <c r="J14236" t="s">
        <v>30</v>
      </c>
      <c r="K14236" t="s">
        <v>43270</v>
      </c>
      <c r="M14236" t="s">
        <v>17861</v>
      </c>
      <c r="N14236" t="str">
        <f>"9/16/2020 11:36:00 AM"</f>
        <v>9/16/2020 11:36:00 AM</v>
      </c>
      <c r="O14236" t="s">
        <v>43267</v>
      </c>
      <c r="T14236" t="s">
        <v>43268</v>
      </c>
    </row>
    <row r="14237" spans="1:20" x14ac:dyDescent="0.25">
      <c r="A14237" t="str">
        <f>"3063023"</f>
        <v>3063023</v>
      </c>
      <c r="B14237" t="s">
        <v>43271</v>
      </c>
      <c r="C14237" t="str">
        <f>"8314118"</f>
        <v>8314118</v>
      </c>
      <c r="D14237" t="s">
        <v>43272</v>
      </c>
      <c r="F14237" t="s">
        <v>43273</v>
      </c>
      <c r="I14237" t="s">
        <v>184</v>
      </c>
      <c r="J14237" t="s">
        <v>30</v>
      </c>
      <c r="K14237" t="s">
        <v>35136</v>
      </c>
      <c r="M14237" t="s">
        <v>17861</v>
      </c>
      <c r="N14237" t="str">
        <f>"9/16/2020 12:25:00 PM"</f>
        <v>9/16/2020 12:25:00 PM</v>
      </c>
      <c r="O14237" t="s">
        <v>43272</v>
      </c>
    </row>
    <row r="14238" spans="1:20" x14ac:dyDescent="0.25">
      <c r="A14238" t="str">
        <f>"3044835"</f>
        <v>3044835</v>
      </c>
      <c r="B14238" t="s">
        <v>43274</v>
      </c>
      <c r="C14238" t="str">
        <f>"8314084"</f>
        <v>8314084</v>
      </c>
      <c r="D14238" t="s">
        <v>43275</v>
      </c>
      <c r="E14238" t="s">
        <v>43276</v>
      </c>
      <c r="F14238" t="s">
        <v>43277</v>
      </c>
      <c r="I14238" t="s">
        <v>184</v>
      </c>
      <c r="J14238" t="s">
        <v>30</v>
      </c>
      <c r="K14238" t="s">
        <v>6241</v>
      </c>
      <c r="M14238" t="s">
        <v>17861</v>
      </c>
      <c r="N14238" t="str">
        <f>"9/1/2020 3:28:00 PM"</f>
        <v>9/1/2020 3:28:00 PM</v>
      </c>
      <c r="O14238" t="s">
        <v>43275</v>
      </c>
      <c r="T14238" t="s">
        <v>43276</v>
      </c>
    </row>
    <row r="14239" spans="1:20" x14ac:dyDescent="0.25">
      <c r="A14239" t="str">
        <f>"3039153"</f>
        <v>3039153</v>
      </c>
      <c r="B14239" t="s">
        <v>43278</v>
      </c>
      <c r="C14239" t="str">
        <f>"8314087"</f>
        <v>8314087</v>
      </c>
      <c r="D14239" t="s">
        <v>43279</v>
      </c>
      <c r="E14239" t="s">
        <v>43280</v>
      </c>
      <c r="F14239" t="s">
        <v>43281</v>
      </c>
      <c r="I14239" t="s">
        <v>29</v>
      </c>
      <c r="J14239" t="s">
        <v>30</v>
      </c>
      <c r="K14239" t="s">
        <v>43282</v>
      </c>
      <c r="M14239" t="s">
        <v>17861</v>
      </c>
      <c r="N14239" t="str">
        <f>"9/1/2020 3:45:00 PM"</f>
        <v>9/1/2020 3:45:00 PM</v>
      </c>
      <c r="O14239" t="s">
        <v>43279</v>
      </c>
      <c r="T14239" t="s">
        <v>43280</v>
      </c>
    </row>
    <row r="14240" spans="1:20" x14ac:dyDescent="0.25">
      <c r="A14240" t="str">
        <f>"3045756"</f>
        <v>3045756</v>
      </c>
      <c r="B14240" t="s">
        <v>43283</v>
      </c>
      <c r="C14240" t="str">
        <f>"8314088"</f>
        <v>8314088</v>
      </c>
      <c r="D14240" t="s">
        <v>43284</v>
      </c>
      <c r="E14240" t="s">
        <v>43285</v>
      </c>
      <c r="F14240" t="s">
        <v>43286</v>
      </c>
      <c r="I14240" t="s">
        <v>1149</v>
      </c>
      <c r="J14240" t="s">
        <v>30</v>
      </c>
      <c r="K14240" t="str">
        <f>"28634"</f>
        <v>28634</v>
      </c>
      <c r="M14240" t="s">
        <v>17861</v>
      </c>
      <c r="N14240" t="str">
        <f>"9/1/2020 3:51:00 PM"</f>
        <v>9/1/2020 3:51:00 PM</v>
      </c>
      <c r="O14240" t="s">
        <v>43284</v>
      </c>
      <c r="T14240" t="s">
        <v>43285</v>
      </c>
    </row>
    <row r="14241" spans="1:20" x14ac:dyDescent="0.25">
      <c r="A14241" t="str">
        <f>"3040366"</f>
        <v>3040366</v>
      </c>
      <c r="B14241" t="s">
        <v>43287</v>
      </c>
      <c r="C14241" t="str">
        <f>"8314089"</f>
        <v>8314089</v>
      </c>
      <c r="D14241" t="s">
        <v>37951</v>
      </c>
      <c r="F14241" t="s">
        <v>37952</v>
      </c>
      <c r="I14241" t="s">
        <v>29</v>
      </c>
      <c r="J14241" t="s">
        <v>30</v>
      </c>
      <c r="K14241" t="s">
        <v>43288</v>
      </c>
      <c r="M14241" t="s">
        <v>17861</v>
      </c>
      <c r="N14241" t="str">
        <f>"9/2/2020 10:03:00 AM"</f>
        <v>9/2/2020 10:03:00 AM</v>
      </c>
      <c r="O14241" t="s">
        <v>37951</v>
      </c>
    </row>
    <row r="14242" spans="1:20" x14ac:dyDescent="0.25">
      <c r="A14242" t="str">
        <f>"3038315"</f>
        <v>3038315</v>
      </c>
      <c r="B14242" t="s">
        <v>43289</v>
      </c>
      <c r="C14242" t="str">
        <f>"8310860"</f>
        <v>8310860</v>
      </c>
      <c r="D14242" t="s">
        <v>43290</v>
      </c>
      <c r="F14242" t="s">
        <v>43291</v>
      </c>
      <c r="I14242" t="s">
        <v>17921</v>
      </c>
      <c r="J14242" t="s">
        <v>30</v>
      </c>
      <c r="K14242" t="str">
        <f>"27028"</f>
        <v>27028</v>
      </c>
      <c r="M14242" t="s">
        <v>17861</v>
      </c>
      <c r="N14242" t="str">
        <f>"9/2/2020 12:03:00 PM"</f>
        <v>9/2/2020 12:03:00 PM</v>
      </c>
      <c r="O14242" t="s">
        <v>43290</v>
      </c>
    </row>
    <row r="14243" spans="1:20" x14ac:dyDescent="0.25">
      <c r="A14243" t="str">
        <f>"3049881"</f>
        <v>3049881</v>
      </c>
      <c r="B14243" t="s">
        <v>43292</v>
      </c>
      <c r="C14243" t="str">
        <f>"8311966"</f>
        <v>8311966</v>
      </c>
      <c r="D14243" t="s">
        <v>43293</v>
      </c>
      <c r="E14243" t="s">
        <v>43294</v>
      </c>
      <c r="F14243" t="s">
        <v>43295</v>
      </c>
      <c r="I14243" t="s">
        <v>29</v>
      </c>
      <c r="J14243" t="s">
        <v>30</v>
      </c>
      <c r="K14243" t="s">
        <v>32748</v>
      </c>
      <c r="M14243" t="s">
        <v>17861</v>
      </c>
      <c r="N14243" t="str">
        <f>"9/2/2020 1:38:00 PM"</f>
        <v>9/2/2020 1:38:00 PM</v>
      </c>
      <c r="O14243" t="s">
        <v>43293</v>
      </c>
      <c r="T14243" t="s">
        <v>43294</v>
      </c>
    </row>
    <row r="14244" spans="1:20" x14ac:dyDescent="0.25">
      <c r="A14244" t="str">
        <f>"3061681"</f>
        <v>3061681</v>
      </c>
      <c r="B14244" t="s">
        <v>43296</v>
      </c>
      <c r="C14244" t="str">
        <f>"8314130"</f>
        <v>8314130</v>
      </c>
      <c r="D14244" t="s">
        <v>43297</v>
      </c>
      <c r="F14244" t="s">
        <v>43298</v>
      </c>
      <c r="I14244" t="s">
        <v>471</v>
      </c>
      <c r="J14244" t="s">
        <v>30</v>
      </c>
      <c r="K14244" t="s">
        <v>43299</v>
      </c>
      <c r="M14244" t="s">
        <v>17861</v>
      </c>
      <c r="N14244" t="str">
        <f>"9/17/2020 8:59:00 AM"</f>
        <v>9/17/2020 8:59:00 AM</v>
      </c>
      <c r="O14244" t="s">
        <v>43297</v>
      </c>
    </row>
    <row r="14245" spans="1:20" x14ac:dyDescent="0.25">
      <c r="A14245" t="str">
        <f>"3041495"</f>
        <v>3041495</v>
      </c>
      <c r="B14245" t="s">
        <v>43300</v>
      </c>
      <c r="C14245" t="str">
        <f>"8314131"</f>
        <v>8314131</v>
      </c>
      <c r="D14245" t="s">
        <v>43301</v>
      </c>
      <c r="E14245" t="s">
        <v>43302</v>
      </c>
      <c r="F14245" t="s">
        <v>43303</v>
      </c>
      <c r="I14245" t="s">
        <v>2071</v>
      </c>
      <c r="J14245" t="s">
        <v>30</v>
      </c>
      <c r="K14245" t="s">
        <v>38176</v>
      </c>
      <c r="M14245" t="s">
        <v>17861</v>
      </c>
      <c r="N14245" t="str">
        <f>"9/17/2020 9:26:00 AM"</f>
        <v>9/17/2020 9:26:00 AM</v>
      </c>
      <c r="O14245" t="s">
        <v>43301</v>
      </c>
      <c r="T14245" t="s">
        <v>43302</v>
      </c>
    </row>
    <row r="14246" spans="1:20" x14ac:dyDescent="0.25">
      <c r="A14246" t="str">
        <f>"3041379"</f>
        <v>3041379</v>
      </c>
      <c r="B14246" t="s">
        <v>43304</v>
      </c>
      <c r="C14246" t="str">
        <f>"8314132"</f>
        <v>8314132</v>
      </c>
      <c r="D14246" t="s">
        <v>43305</v>
      </c>
      <c r="F14246" t="s">
        <v>43306</v>
      </c>
      <c r="I14246" t="s">
        <v>2071</v>
      </c>
      <c r="J14246" t="s">
        <v>30</v>
      </c>
      <c r="K14246" t="s">
        <v>43307</v>
      </c>
      <c r="M14246" t="s">
        <v>17861</v>
      </c>
      <c r="N14246" t="str">
        <f>"9/17/2020 9:32:00 AM"</f>
        <v>9/17/2020 9:32:00 AM</v>
      </c>
      <c r="O14246" t="s">
        <v>43305</v>
      </c>
    </row>
    <row r="14247" spans="1:20" x14ac:dyDescent="0.25">
      <c r="A14247" t="str">
        <f>"3057066"</f>
        <v>3057066</v>
      </c>
      <c r="B14247" t="s">
        <v>43308</v>
      </c>
      <c r="C14247" t="str">
        <f>"8314133"</f>
        <v>8314133</v>
      </c>
      <c r="D14247" t="s">
        <v>43309</v>
      </c>
      <c r="F14247" t="s">
        <v>43310</v>
      </c>
      <c r="I14247" t="s">
        <v>184</v>
      </c>
      <c r="J14247" t="s">
        <v>30</v>
      </c>
      <c r="K14247" t="s">
        <v>43311</v>
      </c>
      <c r="M14247" t="s">
        <v>17861</v>
      </c>
      <c r="N14247" t="str">
        <f>"9/17/2020 9:37:00 AM"</f>
        <v>9/17/2020 9:37:00 AM</v>
      </c>
      <c r="O14247" t="s">
        <v>43309</v>
      </c>
    </row>
    <row r="14248" spans="1:20" x14ac:dyDescent="0.25">
      <c r="A14248" t="str">
        <f>"3061325"</f>
        <v>3061325</v>
      </c>
      <c r="B14248" t="s">
        <v>43312</v>
      </c>
      <c r="C14248" t="str">
        <f>"8314133"</f>
        <v>8314133</v>
      </c>
      <c r="D14248" t="s">
        <v>43309</v>
      </c>
      <c r="F14248" t="s">
        <v>43310</v>
      </c>
      <c r="I14248" t="s">
        <v>184</v>
      </c>
      <c r="J14248" t="s">
        <v>30</v>
      </c>
      <c r="K14248" t="s">
        <v>43311</v>
      </c>
      <c r="M14248" t="s">
        <v>17861</v>
      </c>
      <c r="N14248" t="str">
        <f>"9/17/2020 9:37:00 AM"</f>
        <v>9/17/2020 9:37:00 AM</v>
      </c>
      <c r="O14248" t="s">
        <v>43309</v>
      </c>
    </row>
    <row r="14249" spans="1:20" x14ac:dyDescent="0.25">
      <c r="A14249" t="str">
        <f>"3037934"</f>
        <v>3037934</v>
      </c>
      <c r="B14249" t="s">
        <v>43313</v>
      </c>
      <c r="C14249" t="str">
        <f>"8314134"</f>
        <v>8314134</v>
      </c>
      <c r="D14249" t="s">
        <v>21681</v>
      </c>
      <c r="F14249" t="s">
        <v>43314</v>
      </c>
      <c r="I14249" t="s">
        <v>29</v>
      </c>
      <c r="J14249" t="s">
        <v>30</v>
      </c>
      <c r="K14249" t="s">
        <v>7120</v>
      </c>
      <c r="M14249" t="s">
        <v>17861</v>
      </c>
      <c r="N14249" t="str">
        <f>"9/17/2020 9:44:00 AM"</f>
        <v>9/17/2020 9:44:00 AM</v>
      </c>
      <c r="O14249" t="s">
        <v>21681</v>
      </c>
    </row>
    <row r="14250" spans="1:20" x14ac:dyDescent="0.25">
      <c r="A14250" t="str">
        <f>"3076733"</f>
        <v>3076733</v>
      </c>
      <c r="B14250" t="s">
        <v>43315</v>
      </c>
      <c r="C14250" t="str">
        <f>"8314135"</f>
        <v>8314135</v>
      </c>
      <c r="D14250" t="s">
        <v>37003</v>
      </c>
      <c r="E14250" t="str">
        <f>"BELFORD PETER M/JENNIFER L TRS"</f>
        <v>BELFORD PETER M/JENNIFER L TRS</v>
      </c>
      <c r="F14250" t="s">
        <v>37005</v>
      </c>
      <c r="I14250" t="s">
        <v>402</v>
      </c>
      <c r="J14250" t="s">
        <v>30</v>
      </c>
      <c r="K14250" t="s">
        <v>37006</v>
      </c>
      <c r="M14250" t="s">
        <v>17861</v>
      </c>
      <c r="N14250" t="str">
        <f>"9/17/2020 9:49:00 AM"</f>
        <v>9/17/2020 9:49:00 AM</v>
      </c>
      <c r="O14250" t="s">
        <v>37003</v>
      </c>
      <c r="T14250" t="str">
        <f>"BELFORD PETER M/JENNIFER L TRS"</f>
        <v>BELFORD PETER M/JENNIFER L TRS</v>
      </c>
    </row>
    <row r="14251" spans="1:20" x14ac:dyDescent="0.25">
      <c r="A14251" t="str">
        <f>"3060269"</f>
        <v>3060269</v>
      </c>
      <c r="B14251" t="s">
        <v>43316</v>
      </c>
      <c r="C14251" t="str">
        <f>"8314136"</f>
        <v>8314136</v>
      </c>
      <c r="D14251" t="s">
        <v>43317</v>
      </c>
      <c r="E14251" t="s">
        <v>43318</v>
      </c>
      <c r="F14251" t="s">
        <v>43319</v>
      </c>
      <c r="I14251" t="s">
        <v>184</v>
      </c>
      <c r="J14251" t="s">
        <v>30</v>
      </c>
      <c r="K14251" t="s">
        <v>38676</v>
      </c>
      <c r="M14251" t="s">
        <v>17861</v>
      </c>
      <c r="N14251" t="str">
        <f>"9/17/2020 10:04:00 AM"</f>
        <v>9/17/2020 10:04:00 AM</v>
      </c>
      <c r="O14251" t="s">
        <v>43317</v>
      </c>
      <c r="T14251" t="s">
        <v>43318</v>
      </c>
    </row>
    <row r="14252" spans="1:20" x14ac:dyDescent="0.25">
      <c r="A14252" t="str">
        <f>"3057705"</f>
        <v>3057705</v>
      </c>
      <c r="B14252" t="s">
        <v>43320</v>
      </c>
      <c r="C14252" t="str">
        <f>"8314137"</f>
        <v>8314137</v>
      </c>
      <c r="D14252" t="s">
        <v>43321</v>
      </c>
      <c r="F14252" t="s">
        <v>43322</v>
      </c>
      <c r="I14252" t="s">
        <v>29</v>
      </c>
      <c r="J14252" t="s">
        <v>30</v>
      </c>
      <c r="K14252" t="s">
        <v>43323</v>
      </c>
      <c r="M14252" t="s">
        <v>17861</v>
      </c>
      <c r="N14252" t="str">
        <f>"9/17/2020 10:18:00 AM"</f>
        <v>9/17/2020 10:18:00 AM</v>
      </c>
      <c r="O14252" t="s">
        <v>43321</v>
      </c>
    </row>
    <row r="14253" spans="1:20" x14ac:dyDescent="0.25">
      <c r="A14253" t="str">
        <f>"3042315"</f>
        <v>3042315</v>
      </c>
      <c r="B14253" t="s">
        <v>43324</v>
      </c>
      <c r="C14253" t="str">
        <f>"8314140"</f>
        <v>8314140</v>
      </c>
      <c r="D14253" t="s">
        <v>43325</v>
      </c>
      <c r="F14253" t="s">
        <v>43326</v>
      </c>
      <c r="I14253" t="s">
        <v>184</v>
      </c>
      <c r="J14253" t="s">
        <v>30</v>
      </c>
      <c r="K14253" t="s">
        <v>3433</v>
      </c>
      <c r="M14253" t="s">
        <v>17861</v>
      </c>
      <c r="N14253" t="str">
        <f>"9/17/2020 12:52:00 PM"</f>
        <v>9/17/2020 12:52:00 PM</v>
      </c>
      <c r="O14253" t="s">
        <v>43325</v>
      </c>
    </row>
    <row r="14254" spans="1:20" x14ac:dyDescent="0.25">
      <c r="A14254" t="str">
        <f>"3039432"</f>
        <v>3039432</v>
      </c>
      <c r="B14254" t="s">
        <v>43327</v>
      </c>
      <c r="C14254" t="str">
        <f>"8314141"</f>
        <v>8314141</v>
      </c>
      <c r="D14254" t="s">
        <v>14005</v>
      </c>
      <c r="F14254" t="s">
        <v>43328</v>
      </c>
      <c r="I14254" t="s">
        <v>29</v>
      </c>
      <c r="J14254" t="s">
        <v>30</v>
      </c>
      <c r="K14254" t="s">
        <v>37958</v>
      </c>
      <c r="M14254" t="s">
        <v>17861</v>
      </c>
      <c r="N14254" t="str">
        <f>"9/17/2020 1:04:00 PM"</f>
        <v>9/17/2020 1:04:00 PM</v>
      </c>
      <c r="O14254" t="s">
        <v>14005</v>
      </c>
    </row>
    <row r="14255" spans="1:20" x14ac:dyDescent="0.25">
      <c r="A14255" t="str">
        <f>"3043388"</f>
        <v>3043388</v>
      </c>
      <c r="B14255" t="s">
        <v>43329</v>
      </c>
      <c r="C14255" t="str">
        <f>"8314142"</f>
        <v>8314142</v>
      </c>
      <c r="D14255" t="s">
        <v>43330</v>
      </c>
      <c r="E14255" t="s">
        <v>43331</v>
      </c>
      <c r="F14255" t="s">
        <v>43332</v>
      </c>
      <c r="I14255" t="s">
        <v>29</v>
      </c>
      <c r="J14255" t="s">
        <v>30</v>
      </c>
      <c r="K14255" t="s">
        <v>4538</v>
      </c>
      <c r="M14255" t="s">
        <v>17861</v>
      </c>
      <c r="N14255" t="str">
        <f>"9/17/2020 1:12:00 PM"</f>
        <v>9/17/2020 1:12:00 PM</v>
      </c>
      <c r="O14255" t="s">
        <v>43330</v>
      </c>
      <c r="T14255" t="s">
        <v>43331</v>
      </c>
    </row>
    <row r="14256" spans="1:20" x14ac:dyDescent="0.25">
      <c r="A14256" t="str">
        <f>"3041097"</f>
        <v>3041097</v>
      </c>
      <c r="B14256" t="s">
        <v>43333</v>
      </c>
      <c r="C14256" t="str">
        <f>"82515961"</f>
        <v>82515961</v>
      </c>
      <c r="D14256" t="s">
        <v>43334</v>
      </c>
      <c r="F14256" t="s">
        <v>43335</v>
      </c>
      <c r="G14256" t="s">
        <v>43336</v>
      </c>
      <c r="I14256" t="s">
        <v>471</v>
      </c>
      <c r="J14256" t="s">
        <v>30</v>
      </c>
      <c r="K14256" t="s">
        <v>1210</v>
      </c>
      <c r="M14256" t="s">
        <v>17922</v>
      </c>
      <c r="N14256" t="str">
        <f>"9/2/2020 2:12:00 PM"</f>
        <v>9/2/2020 2:12:00 PM</v>
      </c>
      <c r="O14256" t="s">
        <v>43334</v>
      </c>
    </row>
    <row r="14257" spans="1:20" x14ac:dyDescent="0.25">
      <c r="A14257" t="str">
        <f>"3044812"</f>
        <v>3044812</v>
      </c>
      <c r="B14257" t="s">
        <v>43337</v>
      </c>
      <c r="C14257" t="str">
        <f>"8313501"</f>
        <v>8313501</v>
      </c>
      <c r="D14257" t="s">
        <v>43338</v>
      </c>
      <c r="E14257" t="s">
        <v>43339</v>
      </c>
      <c r="F14257" t="s">
        <v>43340</v>
      </c>
      <c r="I14257" t="s">
        <v>184</v>
      </c>
      <c r="J14257" t="s">
        <v>30</v>
      </c>
      <c r="K14257" t="s">
        <v>6606</v>
      </c>
      <c r="M14257" t="s">
        <v>25733</v>
      </c>
      <c r="N14257" t="str">
        <f>"9/17/2020 1:23:00 PM"</f>
        <v>9/17/2020 1:23:00 PM</v>
      </c>
      <c r="O14257" t="s">
        <v>43338</v>
      </c>
      <c r="T14257" t="s">
        <v>43339</v>
      </c>
    </row>
    <row r="14258" spans="1:20" x14ac:dyDescent="0.25">
      <c r="A14258" t="str">
        <f>"3047497"</f>
        <v>3047497</v>
      </c>
      <c r="B14258" t="s">
        <v>43341</v>
      </c>
      <c r="C14258" t="str">
        <f>"8311412"</f>
        <v>8311412</v>
      </c>
      <c r="D14258" t="s">
        <v>43342</v>
      </c>
      <c r="F14258" t="s">
        <v>32770</v>
      </c>
      <c r="I14258" t="s">
        <v>184</v>
      </c>
      <c r="J14258" t="s">
        <v>30</v>
      </c>
      <c r="K14258" t="s">
        <v>43343</v>
      </c>
      <c r="M14258" t="s">
        <v>33845</v>
      </c>
      <c r="N14258" t="str">
        <f>"9/17/2020 1:53:00 PM"</f>
        <v>9/17/2020 1:53:00 PM</v>
      </c>
      <c r="O14258" t="s">
        <v>43342</v>
      </c>
    </row>
    <row r="14259" spans="1:20" x14ac:dyDescent="0.25">
      <c r="A14259" t="str">
        <f>"3062828"</f>
        <v>3062828</v>
      </c>
      <c r="B14259" t="s">
        <v>43344</v>
      </c>
      <c r="C14259" t="str">
        <f>"8314148"</f>
        <v>8314148</v>
      </c>
      <c r="D14259" t="s">
        <v>43345</v>
      </c>
      <c r="E14259" t="s">
        <v>43346</v>
      </c>
      <c r="F14259" t="s">
        <v>43347</v>
      </c>
      <c r="I14259" t="s">
        <v>29</v>
      </c>
      <c r="J14259" t="s">
        <v>30</v>
      </c>
      <c r="K14259" t="s">
        <v>38426</v>
      </c>
      <c r="M14259" t="s">
        <v>17861</v>
      </c>
      <c r="N14259" t="str">
        <f>"9/17/2020 2:12:00 PM"</f>
        <v>9/17/2020 2:12:00 PM</v>
      </c>
      <c r="O14259" t="s">
        <v>43345</v>
      </c>
      <c r="T14259" t="s">
        <v>43346</v>
      </c>
    </row>
    <row r="14260" spans="1:20" x14ac:dyDescent="0.25">
      <c r="A14260" t="str">
        <f>"3063022"</f>
        <v>3063022</v>
      </c>
      <c r="B14260" t="s">
        <v>43348</v>
      </c>
      <c r="C14260" t="str">
        <f>"8314150"</f>
        <v>8314150</v>
      </c>
      <c r="D14260" t="s">
        <v>43349</v>
      </c>
      <c r="E14260" t="s">
        <v>43350</v>
      </c>
      <c r="F14260" t="s">
        <v>43351</v>
      </c>
      <c r="I14260" t="s">
        <v>184</v>
      </c>
      <c r="J14260" t="s">
        <v>30</v>
      </c>
      <c r="K14260" t="s">
        <v>35136</v>
      </c>
      <c r="M14260" t="s">
        <v>17861</v>
      </c>
      <c r="N14260" t="str">
        <f>"9/17/2020 2:32:00 PM"</f>
        <v>9/17/2020 2:32:00 PM</v>
      </c>
      <c r="O14260" t="s">
        <v>43349</v>
      </c>
      <c r="T14260" t="s">
        <v>43350</v>
      </c>
    </row>
    <row r="14261" spans="1:20" x14ac:dyDescent="0.25">
      <c r="A14261" t="str">
        <f>"3053838"</f>
        <v>3053838</v>
      </c>
      <c r="B14261" t="s">
        <v>43352</v>
      </c>
      <c r="C14261" t="str">
        <f>"8314151"</f>
        <v>8314151</v>
      </c>
      <c r="D14261" t="s">
        <v>43353</v>
      </c>
      <c r="E14261" t="s">
        <v>43354</v>
      </c>
      <c r="F14261" t="s">
        <v>43355</v>
      </c>
      <c r="I14261" t="s">
        <v>29</v>
      </c>
      <c r="J14261" t="s">
        <v>30</v>
      </c>
      <c r="K14261" t="str">
        <f>"27028"</f>
        <v>27028</v>
      </c>
      <c r="M14261" t="s">
        <v>17861</v>
      </c>
      <c r="N14261" t="str">
        <f>"9/17/2020 2:38:00 PM"</f>
        <v>9/17/2020 2:38:00 PM</v>
      </c>
      <c r="O14261" t="s">
        <v>43353</v>
      </c>
      <c r="T14261" t="s">
        <v>43354</v>
      </c>
    </row>
    <row r="14262" spans="1:20" x14ac:dyDescent="0.25">
      <c r="A14262" t="str">
        <f>"3044721"</f>
        <v>3044721</v>
      </c>
      <c r="B14262" t="s">
        <v>43356</v>
      </c>
      <c r="C14262" t="str">
        <f>"8314155"</f>
        <v>8314155</v>
      </c>
      <c r="D14262" t="s">
        <v>43357</v>
      </c>
      <c r="E14262" t="s">
        <v>43358</v>
      </c>
      <c r="F14262" t="s">
        <v>43359</v>
      </c>
      <c r="I14262" t="s">
        <v>2071</v>
      </c>
      <c r="J14262" t="s">
        <v>30</v>
      </c>
      <c r="K14262" t="s">
        <v>6241</v>
      </c>
      <c r="M14262" t="s">
        <v>17861</v>
      </c>
      <c r="N14262" t="str">
        <f>"9/17/2020 5:42:00 PM"</f>
        <v>9/17/2020 5:42:00 PM</v>
      </c>
      <c r="O14262" t="s">
        <v>43357</v>
      </c>
      <c r="T14262" t="s">
        <v>43358</v>
      </c>
    </row>
    <row r="14263" spans="1:20" x14ac:dyDescent="0.25">
      <c r="A14263" t="str">
        <f>"3041946"</f>
        <v>3041946</v>
      </c>
      <c r="B14263" t="s">
        <v>43360</v>
      </c>
      <c r="C14263" t="str">
        <f>"82515961"</f>
        <v>82515961</v>
      </c>
      <c r="D14263" t="s">
        <v>43334</v>
      </c>
      <c r="F14263" t="s">
        <v>43335</v>
      </c>
      <c r="G14263" t="s">
        <v>43336</v>
      </c>
      <c r="I14263" t="s">
        <v>471</v>
      </c>
      <c r="J14263" t="s">
        <v>30</v>
      </c>
      <c r="K14263" t="s">
        <v>1210</v>
      </c>
      <c r="M14263" t="s">
        <v>17922</v>
      </c>
      <c r="N14263" t="str">
        <f>"9/2/2020 2:12:00 PM"</f>
        <v>9/2/2020 2:12:00 PM</v>
      </c>
      <c r="O14263" t="s">
        <v>43334</v>
      </c>
    </row>
    <row r="14264" spans="1:20" x14ac:dyDescent="0.25">
      <c r="A14264" t="str">
        <f>"3042957"</f>
        <v>3042957</v>
      </c>
      <c r="B14264" t="s">
        <v>43361</v>
      </c>
      <c r="C14264" t="str">
        <f>"8314091"</f>
        <v>8314091</v>
      </c>
      <c r="D14264" t="s">
        <v>43362</v>
      </c>
      <c r="E14264" t="s">
        <v>43363</v>
      </c>
      <c r="F14264" t="s">
        <v>43364</v>
      </c>
      <c r="I14264" t="s">
        <v>29</v>
      </c>
      <c r="J14264" t="s">
        <v>30</v>
      </c>
      <c r="K14264" t="s">
        <v>43365</v>
      </c>
      <c r="M14264" t="s">
        <v>17861</v>
      </c>
      <c r="N14264" t="str">
        <f>"9/8/2020 3:09:00 PM"</f>
        <v>9/8/2020 3:09:00 PM</v>
      </c>
      <c r="O14264" t="s">
        <v>43362</v>
      </c>
      <c r="T14264" t="s">
        <v>43363</v>
      </c>
    </row>
    <row r="14265" spans="1:20" x14ac:dyDescent="0.25">
      <c r="A14265" t="str">
        <f>"3038944"</f>
        <v>3038944</v>
      </c>
      <c r="B14265" t="s">
        <v>43366</v>
      </c>
      <c r="C14265" t="str">
        <f>"8314159"</f>
        <v>8314159</v>
      </c>
      <c r="D14265" t="s">
        <v>43367</v>
      </c>
      <c r="E14265" t="s">
        <v>43368</v>
      </c>
      <c r="F14265" t="s">
        <v>43369</v>
      </c>
      <c r="I14265" t="s">
        <v>29</v>
      </c>
      <c r="J14265" t="s">
        <v>30</v>
      </c>
      <c r="K14265" t="s">
        <v>2551</v>
      </c>
      <c r="M14265" t="s">
        <v>17861</v>
      </c>
      <c r="N14265" t="str">
        <f>"9/18/2020 8:40:00 AM"</f>
        <v>9/18/2020 8:40:00 AM</v>
      </c>
      <c r="O14265" t="s">
        <v>43367</v>
      </c>
      <c r="T14265" t="s">
        <v>43368</v>
      </c>
    </row>
    <row r="14266" spans="1:20" x14ac:dyDescent="0.25">
      <c r="A14266" t="str">
        <f>"3061303"</f>
        <v>3061303</v>
      </c>
      <c r="B14266" t="s">
        <v>43370</v>
      </c>
      <c r="C14266" t="str">
        <f>"8314160"</f>
        <v>8314160</v>
      </c>
      <c r="D14266" t="s">
        <v>43371</v>
      </c>
      <c r="E14266" t="s">
        <v>43372</v>
      </c>
      <c r="F14266" t="s">
        <v>43373</v>
      </c>
      <c r="I14266" t="s">
        <v>2071</v>
      </c>
      <c r="J14266" t="s">
        <v>30</v>
      </c>
      <c r="K14266" t="s">
        <v>36243</v>
      </c>
      <c r="M14266" t="s">
        <v>17861</v>
      </c>
      <c r="N14266" t="str">
        <f>"9/18/2020 8:45:00 AM"</f>
        <v>9/18/2020 8:45:00 AM</v>
      </c>
      <c r="O14266" t="s">
        <v>43371</v>
      </c>
      <c r="T14266" t="s">
        <v>43372</v>
      </c>
    </row>
    <row r="14267" spans="1:20" x14ac:dyDescent="0.25">
      <c r="A14267" t="str">
        <f>"3061144"</f>
        <v>3061144</v>
      </c>
      <c r="B14267" t="s">
        <v>43374</v>
      </c>
      <c r="C14267" t="str">
        <f>"8314161"</f>
        <v>8314161</v>
      </c>
      <c r="D14267" t="s">
        <v>43375</v>
      </c>
      <c r="F14267" t="s">
        <v>43376</v>
      </c>
      <c r="I14267" t="s">
        <v>2071</v>
      </c>
      <c r="J14267" t="s">
        <v>30</v>
      </c>
      <c r="K14267" t="s">
        <v>43377</v>
      </c>
      <c r="M14267" t="s">
        <v>17861</v>
      </c>
      <c r="N14267" t="str">
        <f>"9/18/2020 8:56:00 AM"</f>
        <v>9/18/2020 8:56:00 AM</v>
      </c>
      <c r="O14267" t="s">
        <v>43375</v>
      </c>
    </row>
    <row r="14268" spans="1:20" x14ac:dyDescent="0.25">
      <c r="A14268" t="str">
        <f>"3047864"</f>
        <v>3047864</v>
      </c>
      <c r="B14268" t="s">
        <v>43378</v>
      </c>
      <c r="C14268" t="str">
        <f>"8314162"</f>
        <v>8314162</v>
      </c>
      <c r="D14268" t="s">
        <v>43379</v>
      </c>
      <c r="F14268" t="s">
        <v>43380</v>
      </c>
      <c r="I14268" t="s">
        <v>184</v>
      </c>
      <c r="J14268" t="s">
        <v>30</v>
      </c>
      <c r="K14268" t="s">
        <v>43381</v>
      </c>
      <c r="M14268" t="s">
        <v>17861</v>
      </c>
      <c r="N14268" t="str">
        <f>"9/18/2020 8:59:00 AM"</f>
        <v>9/18/2020 8:59:00 AM</v>
      </c>
      <c r="O14268" t="s">
        <v>43379</v>
      </c>
    </row>
    <row r="14269" spans="1:20" x14ac:dyDescent="0.25">
      <c r="A14269" t="str">
        <f>"3062527"</f>
        <v>3062527</v>
      </c>
      <c r="B14269" t="s">
        <v>43382</v>
      </c>
      <c r="C14269" t="str">
        <f>"8314163"</f>
        <v>8314163</v>
      </c>
      <c r="D14269" t="s">
        <v>43383</v>
      </c>
      <c r="F14269" t="s">
        <v>43384</v>
      </c>
      <c r="I14269" t="s">
        <v>184</v>
      </c>
      <c r="J14269" t="s">
        <v>30</v>
      </c>
      <c r="K14269" t="s">
        <v>43385</v>
      </c>
      <c r="M14269" t="s">
        <v>17861</v>
      </c>
      <c r="N14269" t="str">
        <f>"9/18/2020 9:03:00 AM"</f>
        <v>9/18/2020 9:03:00 AM</v>
      </c>
      <c r="O14269" t="s">
        <v>43383</v>
      </c>
    </row>
    <row r="14270" spans="1:20" x14ac:dyDescent="0.25">
      <c r="A14270" t="str">
        <f>"3042649"</f>
        <v>3042649</v>
      </c>
      <c r="B14270" t="s">
        <v>43386</v>
      </c>
      <c r="C14270" t="str">
        <f>"8314166"</f>
        <v>8314166</v>
      </c>
      <c r="D14270" t="s">
        <v>43387</v>
      </c>
      <c r="F14270" t="s">
        <v>43388</v>
      </c>
      <c r="I14270" t="s">
        <v>29</v>
      </c>
      <c r="J14270" t="s">
        <v>30</v>
      </c>
      <c r="K14270" t="s">
        <v>43389</v>
      </c>
      <c r="M14270" t="s">
        <v>17861</v>
      </c>
      <c r="N14270" t="str">
        <f>"9/18/2020 9:26:00 AM"</f>
        <v>9/18/2020 9:26:00 AM</v>
      </c>
      <c r="O14270" t="s">
        <v>43387</v>
      </c>
    </row>
    <row r="14271" spans="1:20" x14ac:dyDescent="0.25">
      <c r="A14271" t="str">
        <f>"3077076"</f>
        <v>3077076</v>
      </c>
      <c r="B14271" t="s">
        <v>43390</v>
      </c>
      <c r="C14271" t="str">
        <f>"8314167"</f>
        <v>8314167</v>
      </c>
      <c r="D14271" t="str">
        <f>"WHITAKER KRISTEN L/JASON"</f>
        <v>WHITAKER KRISTEN L/JASON</v>
      </c>
      <c r="E14271" t="str">
        <f>"WHITAKER WILLIAN E SR/WANDA"</f>
        <v>WHITAKER WILLIAN E SR/WANDA</v>
      </c>
      <c r="F14271" t="s">
        <v>43391</v>
      </c>
      <c r="I14271" t="s">
        <v>29</v>
      </c>
      <c r="J14271" t="s">
        <v>30</v>
      </c>
      <c r="K14271" t="s">
        <v>43392</v>
      </c>
      <c r="M14271" t="s">
        <v>17861</v>
      </c>
      <c r="N14271" t="str">
        <f>"9/18/2020 9:30:00 AM"</f>
        <v>9/18/2020 9:30:00 AM</v>
      </c>
      <c r="O14271" t="str">
        <f>"WHITAKER KRISTEN L/JASON"</f>
        <v>WHITAKER KRISTEN L/JASON</v>
      </c>
      <c r="T14271" t="str">
        <f>"WHITAKER WILLIAN E SR/WANDA"</f>
        <v>WHITAKER WILLIAN E SR/WANDA</v>
      </c>
    </row>
    <row r="14272" spans="1:20" x14ac:dyDescent="0.25">
      <c r="A14272" t="str">
        <f>"3048403"</f>
        <v>3048403</v>
      </c>
      <c r="B14272" t="s">
        <v>43393</v>
      </c>
      <c r="C14272" t="str">
        <f>"4682000"</f>
        <v>4682000</v>
      </c>
      <c r="D14272" t="s">
        <v>43394</v>
      </c>
      <c r="E14272" t="s">
        <v>43395</v>
      </c>
      <c r="F14272" t="s">
        <v>43396</v>
      </c>
      <c r="I14272" t="s">
        <v>184</v>
      </c>
      <c r="J14272" t="s">
        <v>30</v>
      </c>
      <c r="K14272" t="s">
        <v>9087</v>
      </c>
      <c r="M14272" t="s">
        <v>17861</v>
      </c>
      <c r="N14272" t="str">
        <f>"9/8/2020 3:21:00 PM"</f>
        <v>9/8/2020 3:21:00 PM</v>
      </c>
      <c r="O14272" t="s">
        <v>43394</v>
      </c>
      <c r="T14272" t="s">
        <v>43395</v>
      </c>
    </row>
    <row r="14273" spans="1:20" x14ac:dyDescent="0.25">
      <c r="A14273" t="str">
        <f>"3048569"</f>
        <v>3048569</v>
      </c>
      <c r="B14273" t="s">
        <v>43397</v>
      </c>
      <c r="C14273" t="str">
        <f>"4682000"</f>
        <v>4682000</v>
      </c>
      <c r="D14273" t="s">
        <v>43394</v>
      </c>
      <c r="E14273" t="s">
        <v>43395</v>
      </c>
      <c r="F14273" t="s">
        <v>43396</v>
      </c>
      <c r="I14273" t="s">
        <v>184</v>
      </c>
      <c r="J14273" t="s">
        <v>30</v>
      </c>
      <c r="K14273" t="s">
        <v>9087</v>
      </c>
      <c r="M14273" t="s">
        <v>17861</v>
      </c>
      <c r="N14273" t="str">
        <f>"9/8/2020 3:21:00 PM"</f>
        <v>9/8/2020 3:21:00 PM</v>
      </c>
      <c r="O14273" t="s">
        <v>43394</v>
      </c>
      <c r="T14273" t="s">
        <v>43395</v>
      </c>
    </row>
    <row r="14274" spans="1:20" x14ac:dyDescent="0.25">
      <c r="A14274" t="str">
        <f>"3086264"</f>
        <v>3086264</v>
      </c>
      <c r="B14274" t="s">
        <v>43398</v>
      </c>
      <c r="C14274" t="str">
        <f>"8314071"</f>
        <v>8314071</v>
      </c>
      <c r="D14274" t="s">
        <v>43399</v>
      </c>
      <c r="E14274" t="s">
        <v>43400</v>
      </c>
      <c r="F14274" t="s">
        <v>43401</v>
      </c>
      <c r="I14274" t="s">
        <v>29</v>
      </c>
      <c r="J14274" t="s">
        <v>30</v>
      </c>
      <c r="K14274" t="s">
        <v>43402</v>
      </c>
      <c r="M14274" t="s">
        <v>17861</v>
      </c>
      <c r="N14274" t="str">
        <f>"9/1/2020 12:55:00 PM"</f>
        <v>9/1/2020 12:55:00 PM</v>
      </c>
      <c r="O14274" t="s">
        <v>43399</v>
      </c>
      <c r="T14274" t="s">
        <v>43400</v>
      </c>
    </row>
    <row r="14275" spans="1:20" x14ac:dyDescent="0.25">
      <c r="A14275" t="str">
        <f>"3062526"</f>
        <v>3062526</v>
      </c>
      <c r="B14275" t="s">
        <v>43403</v>
      </c>
      <c r="C14275" t="str">
        <f>"8314172"</f>
        <v>8314172</v>
      </c>
      <c r="D14275" t="s">
        <v>43404</v>
      </c>
      <c r="F14275" t="s">
        <v>43405</v>
      </c>
      <c r="I14275" t="s">
        <v>184</v>
      </c>
      <c r="J14275" t="s">
        <v>30</v>
      </c>
      <c r="K14275" t="s">
        <v>43385</v>
      </c>
      <c r="M14275" t="s">
        <v>17861</v>
      </c>
      <c r="N14275" t="str">
        <f>"9/18/2020 11:02:00 AM"</f>
        <v>9/18/2020 11:02:00 AM</v>
      </c>
      <c r="O14275" t="s">
        <v>43404</v>
      </c>
    </row>
    <row r="14276" spans="1:20" x14ac:dyDescent="0.25">
      <c r="A14276" t="str">
        <f>"3067882"</f>
        <v>3067882</v>
      </c>
      <c r="B14276" t="s">
        <v>43406</v>
      </c>
      <c r="C14276" t="str">
        <f>"8314174"</f>
        <v>8314174</v>
      </c>
      <c r="D14276" t="s">
        <v>43407</v>
      </c>
      <c r="F14276" t="s">
        <v>43408</v>
      </c>
      <c r="I14276" t="s">
        <v>29</v>
      </c>
      <c r="J14276" t="s">
        <v>30</v>
      </c>
      <c r="K14276" t="s">
        <v>43409</v>
      </c>
      <c r="M14276" t="s">
        <v>17861</v>
      </c>
      <c r="N14276" t="str">
        <f>"9/18/2020 11:08:00 AM"</f>
        <v>9/18/2020 11:08:00 AM</v>
      </c>
      <c r="O14276" t="s">
        <v>43407</v>
      </c>
    </row>
    <row r="14277" spans="1:20" x14ac:dyDescent="0.25">
      <c r="A14277" t="str">
        <f>"3041403"</f>
        <v>3041403</v>
      </c>
      <c r="B14277" t="s">
        <v>43410</v>
      </c>
      <c r="C14277" t="str">
        <f>"8314072"</f>
        <v>8314072</v>
      </c>
      <c r="D14277" t="s">
        <v>43411</v>
      </c>
      <c r="F14277" t="s">
        <v>43412</v>
      </c>
      <c r="I14277" t="s">
        <v>2071</v>
      </c>
      <c r="J14277" t="s">
        <v>30</v>
      </c>
      <c r="K14277" t="s">
        <v>2200</v>
      </c>
      <c r="M14277" t="s">
        <v>17861</v>
      </c>
      <c r="N14277" t="str">
        <f>"9/1/2020 2:19:00 PM"</f>
        <v>9/1/2020 2:19:00 PM</v>
      </c>
      <c r="O14277" t="s">
        <v>43411</v>
      </c>
    </row>
    <row r="14278" spans="1:20" x14ac:dyDescent="0.25">
      <c r="A14278" t="str">
        <f>"3060553"</f>
        <v>3060553</v>
      </c>
      <c r="B14278" t="s">
        <v>43413</v>
      </c>
      <c r="C14278" t="str">
        <f>"8314075"</f>
        <v>8314075</v>
      </c>
      <c r="D14278" t="s">
        <v>43414</v>
      </c>
      <c r="E14278" t="s">
        <v>43415</v>
      </c>
      <c r="F14278" t="s">
        <v>43416</v>
      </c>
      <c r="I14278" t="s">
        <v>2071</v>
      </c>
      <c r="J14278" t="s">
        <v>30</v>
      </c>
      <c r="K14278" t="s">
        <v>6350</v>
      </c>
      <c r="M14278" t="s">
        <v>17861</v>
      </c>
      <c r="N14278" t="str">
        <f>"9/1/2020 2:42:00 PM"</f>
        <v>9/1/2020 2:42:00 PM</v>
      </c>
      <c r="O14278" t="s">
        <v>43414</v>
      </c>
      <c r="T14278" t="s">
        <v>43415</v>
      </c>
    </row>
    <row r="14279" spans="1:20" x14ac:dyDescent="0.25">
      <c r="A14279" t="str">
        <f>"3039177"</f>
        <v>3039177</v>
      </c>
      <c r="B14279" t="s">
        <v>43417</v>
      </c>
      <c r="C14279" t="str">
        <f>"8314076"</f>
        <v>8314076</v>
      </c>
      <c r="D14279" t="s">
        <v>43418</v>
      </c>
      <c r="E14279" t="s">
        <v>43419</v>
      </c>
      <c r="F14279" t="s">
        <v>43420</v>
      </c>
      <c r="I14279" t="s">
        <v>29</v>
      </c>
      <c r="J14279" t="s">
        <v>30</v>
      </c>
      <c r="K14279" t="s">
        <v>28665</v>
      </c>
      <c r="M14279" t="s">
        <v>17861</v>
      </c>
      <c r="N14279" t="str">
        <f>"9/1/2020 2:54:00 PM"</f>
        <v>9/1/2020 2:54:00 PM</v>
      </c>
      <c r="O14279" t="s">
        <v>43418</v>
      </c>
      <c r="T14279" t="s">
        <v>43419</v>
      </c>
    </row>
    <row r="14280" spans="1:20" x14ac:dyDescent="0.25">
      <c r="A14280" t="str">
        <f>"3063036"</f>
        <v>3063036</v>
      </c>
      <c r="B14280" t="s">
        <v>43421</v>
      </c>
      <c r="C14280" t="str">
        <f>"8314085"</f>
        <v>8314085</v>
      </c>
      <c r="D14280" t="s">
        <v>43422</v>
      </c>
      <c r="E14280" t="s">
        <v>43423</v>
      </c>
      <c r="F14280" t="s">
        <v>43424</v>
      </c>
      <c r="I14280" t="s">
        <v>184</v>
      </c>
      <c r="J14280" t="s">
        <v>30</v>
      </c>
      <c r="K14280" t="s">
        <v>7326</v>
      </c>
      <c r="M14280" t="s">
        <v>17861</v>
      </c>
      <c r="N14280" t="str">
        <f>"9/1/2020 3:40:00 PM"</f>
        <v>9/1/2020 3:40:00 PM</v>
      </c>
      <c r="O14280" t="s">
        <v>43422</v>
      </c>
      <c r="T14280" t="s">
        <v>43423</v>
      </c>
    </row>
    <row r="14281" spans="1:20" x14ac:dyDescent="0.25">
      <c r="A14281" t="str">
        <f>"3051661"</f>
        <v>3051661</v>
      </c>
      <c r="B14281" t="s">
        <v>43425</v>
      </c>
      <c r="C14281" t="str">
        <f>"8314086"</f>
        <v>8314086</v>
      </c>
      <c r="D14281" t="s">
        <v>43426</v>
      </c>
      <c r="F14281" t="s">
        <v>43427</v>
      </c>
      <c r="I14281" t="s">
        <v>4502</v>
      </c>
      <c r="J14281" t="s">
        <v>30</v>
      </c>
      <c r="K14281" t="s">
        <v>43428</v>
      </c>
      <c r="M14281" t="s">
        <v>17861</v>
      </c>
      <c r="N14281" t="str">
        <f>"9/1/2020 3:43:00 PM"</f>
        <v>9/1/2020 3:43:00 PM</v>
      </c>
      <c r="O14281" t="s">
        <v>43426</v>
      </c>
    </row>
    <row r="14282" spans="1:20" x14ac:dyDescent="0.25">
      <c r="A14282" t="str">
        <f>"3076727"</f>
        <v>3076727</v>
      </c>
      <c r="B14282" t="s">
        <v>43429</v>
      </c>
      <c r="C14282" t="str">
        <f>"8312247"</f>
        <v>8312247</v>
      </c>
      <c r="D14282" t="s">
        <v>43430</v>
      </c>
      <c r="E14282" t="s">
        <v>43431</v>
      </c>
      <c r="F14282" t="s">
        <v>43432</v>
      </c>
      <c r="I14282" t="s">
        <v>184</v>
      </c>
      <c r="J14282" t="s">
        <v>30</v>
      </c>
      <c r="K14282" t="s">
        <v>831</v>
      </c>
      <c r="M14282" t="s">
        <v>20405</v>
      </c>
      <c r="N14282" t="str">
        <f>"9/1/2020 1:43:00 PM"</f>
        <v>9/1/2020 1:43:00 PM</v>
      </c>
      <c r="O14282" t="s">
        <v>43430</v>
      </c>
      <c r="T14282" t="s">
        <v>43431</v>
      </c>
    </row>
    <row r="14283" spans="1:20" x14ac:dyDescent="0.25">
      <c r="A14283" t="str">
        <f>"3037281"</f>
        <v>3037281</v>
      </c>
      <c r="B14283" t="s">
        <v>43433</v>
      </c>
      <c r="C14283" t="str">
        <f>"8312247"</f>
        <v>8312247</v>
      </c>
      <c r="D14283" t="s">
        <v>43430</v>
      </c>
      <c r="E14283" t="s">
        <v>43431</v>
      </c>
      <c r="F14283" t="s">
        <v>43432</v>
      </c>
      <c r="I14283" t="s">
        <v>184</v>
      </c>
      <c r="J14283" t="s">
        <v>30</v>
      </c>
      <c r="K14283" t="s">
        <v>831</v>
      </c>
      <c r="M14283" t="s">
        <v>20405</v>
      </c>
      <c r="N14283" t="str">
        <f>"9/1/2020 1:43:00 PM"</f>
        <v>9/1/2020 1:43:00 PM</v>
      </c>
      <c r="O14283" t="s">
        <v>43430</v>
      </c>
      <c r="T14283" t="s">
        <v>43431</v>
      </c>
    </row>
    <row r="14284" spans="1:20" x14ac:dyDescent="0.25">
      <c r="A14284" t="str">
        <f>"3037192"</f>
        <v>3037192</v>
      </c>
      <c r="B14284" t="s">
        <v>43434</v>
      </c>
      <c r="C14284" t="str">
        <f>"8312247"</f>
        <v>8312247</v>
      </c>
      <c r="D14284" t="s">
        <v>43430</v>
      </c>
      <c r="E14284" t="s">
        <v>43431</v>
      </c>
      <c r="F14284" t="s">
        <v>43432</v>
      </c>
      <c r="I14284" t="s">
        <v>184</v>
      </c>
      <c r="J14284" t="s">
        <v>30</v>
      </c>
      <c r="K14284" t="s">
        <v>831</v>
      </c>
      <c r="M14284" t="s">
        <v>20405</v>
      </c>
      <c r="N14284" t="str">
        <f>"9/1/2020 1:43:00 PM"</f>
        <v>9/1/2020 1:43:00 PM</v>
      </c>
      <c r="O14284" t="s">
        <v>43430</v>
      </c>
      <c r="T14284" t="s">
        <v>43431</v>
      </c>
    </row>
    <row r="14285" spans="1:20" x14ac:dyDescent="0.25">
      <c r="A14285" t="str">
        <f>"3037245"</f>
        <v>3037245</v>
      </c>
      <c r="B14285" t="s">
        <v>43435</v>
      </c>
      <c r="C14285" t="str">
        <f>"8312247"</f>
        <v>8312247</v>
      </c>
      <c r="D14285" t="s">
        <v>43430</v>
      </c>
      <c r="E14285" t="s">
        <v>43431</v>
      </c>
      <c r="F14285" t="s">
        <v>43432</v>
      </c>
      <c r="I14285" t="s">
        <v>184</v>
      </c>
      <c r="J14285" t="s">
        <v>30</v>
      </c>
      <c r="K14285" t="s">
        <v>831</v>
      </c>
      <c r="M14285" t="s">
        <v>20405</v>
      </c>
      <c r="N14285" t="str">
        <f>"9/1/2020 1:43:00 PM"</f>
        <v>9/1/2020 1:43:00 PM</v>
      </c>
      <c r="O14285" t="s">
        <v>43430</v>
      </c>
      <c r="T14285" t="s">
        <v>43431</v>
      </c>
    </row>
    <row r="14286" spans="1:20" x14ac:dyDescent="0.25">
      <c r="A14286" t="str">
        <f>"3037226"</f>
        <v>3037226</v>
      </c>
      <c r="B14286" t="s">
        <v>43436</v>
      </c>
      <c r="C14286" t="str">
        <f>"8312247"</f>
        <v>8312247</v>
      </c>
      <c r="D14286" t="s">
        <v>43430</v>
      </c>
      <c r="E14286" t="s">
        <v>43431</v>
      </c>
      <c r="F14286" t="s">
        <v>43432</v>
      </c>
      <c r="I14286" t="s">
        <v>184</v>
      </c>
      <c r="J14286" t="s">
        <v>30</v>
      </c>
      <c r="K14286" t="s">
        <v>831</v>
      </c>
      <c r="M14286" t="s">
        <v>20405</v>
      </c>
      <c r="N14286" t="str">
        <f>"9/1/2020 1:43:00 PM"</f>
        <v>9/1/2020 1:43:00 PM</v>
      </c>
      <c r="O14286" t="s">
        <v>43430</v>
      </c>
      <c r="T14286" t="s">
        <v>43431</v>
      </c>
    </row>
    <row r="14287" spans="1:20" x14ac:dyDescent="0.25">
      <c r="A14287" t="str">
        <f>"3046104"</f>
        <v>3046104</v>
      </c>
      <c r="B14287" t="s">
        <v>43437</v>
      </c>
      <c r="C14287" t="str">
        <f>"82528424"</f>
        <v>82528424</v>
      </c>
      <c r="D14287" t="s">
        <v>43438</v>
      </c>
      <c r="E14287" t="s">
        <v>43439</v>
      </c>
      <c r="F14287" t="s">
        <v>43440</v>
      </c>
      <c r="I14287" t="s">
        <v>29</v>
      </c>
      <c r="J14287" t="s">
        <v>30</v>
      </c>
      <c r="K14287" t="s">
        <v>31</v>
      </c>
      <c r="M14287" t="s">
        <v>25733</v>
      </c>
      <c r="N14287" t="str">
        <f>"9/11/2020 1:24:00 PM"</f>
        <v>9/11/2020 1:24:00 PM</v>
      </c>
      <c r="O14287" t="s">
        <v>43438</v>
      </c>
      <c r="T14287" t="s">
        <v>43439</v>
      </c>
    </row>
    <row r="14288" spans="1:20" x14ac:dyDescent="0.25">
      <c r="A14288" t="str">
        <f>"3043805"</f>
        <v>3043805</v>
      </c>
      <c r="B14288" t="s">
        <v>43441</v>
      </c>
      <c r="C14288" t="str">
        <f>"82515414"</f>
        <v>82515414</v>
      </c>
      <c r="D14288" t="s">
        <v>43442</v>
      </c>
      <c r="E14288" t="s">
        <v>43443</v>
      </c>
      <c r="F14288" t="s">
        <v>22953</v>
      </c>
      <c r="I14288" t="s">
        <v>29</v>
      </c>
      <c r="J14288" t="s">
        <v>30</v>
      </c>
      <c r="K14288" t="s">
        <v>43444</v>
      </c>
      <c r="M14288" t="s">
        <v>33845</v>
      </c>
      <c r="N14288" t="str">
        <f>"9/11/2020 1:43:00 PM"</f>
        <v>9/11/2020 1:43:00 PM</v>
      </c>
      <c r="O14288" t="s">
        <v>43442</v>
      </c>
      <c r="T14288" t="s">
        <v>43443</v>
      </c>
    </row>
    <row r="14289" spans="1:20" x14ac:dyDescent="0.25">
      <c r="A14289" t="str">
        <f>"3061622"</f>
        <v>3061622</v>
      </c>
      <c r="B14289" t="s">
        <v>43445</v>
      </c>
      <c r="C14289" t="str">
        <f>"8314119"</f>
        <v>8314119</v>
      </c>
      <c r="D14289" t="s">
        <v>43446</v>
      </c>
      <c r="F14289" t="s">
        <v>43447</v>
      </c>
      <c r="I14289" t="s">
        <v>17921</v>
      </c>
      <c r="J14289" t="s">
        <v>30</v>
      </c>
      <c r="K14289" t="str">
        <f>"27028"</f>
        <v>27028</v>
      </c>
      <c r="M14289" t="s">
        <v>17861</v>
      </c>
      <c r="N14289" t="str">
        <f>"9/16/2020 12:29:00 PM"</f>
        <v>9/16/2020 12:29:00 PM</v>
      </c>
      <c r="O14289" t="s">
        <v>43446</v>
      </c>
    </row>
    <row r="14290" spans="1:20" x14ac:dyDescent="0.25">
      <c r="A14290" t="str">
        <f>"3043527"</f>
        <v>3043527</v>
      </c>
      <c r="B14290" t="s">
        <v>43448</v>
      </c>
      <c r="C14290" t="str">
        <f>"8314122"</f>
        <v>8314122</v>
      </c>
      <c r="D14290" t="s">
        <v>43449</v>
      </c>
      <c r="E14290" t="s">
        <v>43450</v>
      </c>
      <c r="F14290" t="s">
        <v>43451</v>
      </c>
      <c r="I14290" t="s">
        <v>29</v>
      </c>
      <c r="J14290" t="s">
        <v>30</v>
      </c>
      <c r="K14290" t="s">
        <v>7114</v>
      </c>
      <c r="M14290" t="s">
        <v>17861</v>
      </c>
      <c r="N14290" t="str">
        <f>"9/16/2020 2:31:00 PM"</f>
        <v>9/16/2020 2:31:00 PM</v>
      </c>
      <c r="O14290" t="s">
        <v>43449</v>
      </c>
      <c r="T14290" t="s">
        <v>43450</v>
      </c>
    </row>
    <row r="14291" spans="1:20" x14ac:dyDescent="0.25">
      <c r="A14291" t="str">
        <f>"3058894"</f>
        <v>3058894</v>
      </c>
      <c r="B14291" t="s">
        <v>43452</v>
      </c>
      <c r="C14291" t="str">
        <f>"8314123"</f>
        <v>8314123</v>
      </c>
      <c r="D14291" t="s">
        <v>43453</v>
      </c>
      <c r="E14291" t="s">
        <v>43454</v>
      </c>
      <c r="F14291" t="s">
        <v>43455</v>
      </c>
      <c r="I14291" t="s">
        <v>29</v>
      </c>
      <c r="J14291" t="s">
        <v>30</v>
      </c>
      <c r="K14291" t="s">
        <v>34090</v>
      </c>
      <c r="M14291" t="s">
        <v>17861</v>
      </c>
      <c r="N14291" t="str">
        <f>"9/16/2020 2:37:00 PM"</f>
        <v>9/16/2020 2:37:00 PM</v>
      </c>
      <c r="O14291" t="s">
        <v>43453</v>
      </c>
      <c r="T14291" t="s">
        <v>43454</v>
      </c>
    </row>
    <row r="14292" spans="1:20" x14ac:dyDescent="0.25">
      <c r="A14292" t="str">
        <f>"3078008"</f>
        <v>3078008</v>
      </c>
      <c r="B14292" t="s">
        <v>43456</v>
      </c>
      <c r="C14292" t="str">
        <f>"8314125"</f>
        <v>8314125</v>
      </c>
      <c r="D14292" t="s">
        <v>43457</v>
      </c>
      <c r="E14292" t="s">
        <v>43458</v>
      </c>
      <c r="F14292" t="s">
        <v>43459</v>
      </c>
      <c r="I14292" t="s">
        <v>184</v>
      </c>
      <c r="J14292" t="s">
        <v>30</v>
      </c>
      <c r="K14292" t="s">
        <v>43460</v>
      </c>
      <c r="M14292" t="s">
        <v>17861</v>
      </c>
      <c r="N14292" t="str">
        <f>"9/17/2020 8:30:00 AM"</f>
        <v>9/17/2020 8:30:00 AM</v>
      </c>
      <c r="O14292" t="s">
        <v>43457</v>
      </c>
      <c r="T14292" t="s">
        <v>43458</v>
      </c>
    </row>
    <row r="14293" spans="1:20" x14ac:dyDescent="0.25">
      <c r="A14293" t="str">
        <f>"3060719"</f>
        <v>3060719</v>
      </c>
      <c r="B14293" t="s">
        <v>43461</v>
      </c>
      <c r="C14293" t="str">
        <f>"8314126"</f>
        <v>8314126</v>
      </c>
      <c r="D14293" t="str">
        <f>"KRULL RANDY C/LEORA JEAN TRSTE"</f>
        <v>KRULL RANDY C/LEORA JEAN TRSTE</v>
      </c>
      <c r="E14293" t="s">
        <v>43462</v>
      </c>
      <c r="F14293" t="s">
        <v>43463</v>
      </c>
      <c r="I14293" t="s">
        <v>2071</v>
      </c>
      <c r="J14293" t="s">
        <v>30</v>
      </c>
      <c r="K14293" t="s">
        <v>4183</v>
      </c>
      <c r="M14293" t="s">
        <v>17861</v>
      </c>
      <c r="N14293" t="str">
        <f>"9/17/2020 8:42:00 AM"</f>
        <v>9/17/2020 8:42:00 AM</v>
      </c>
      <c r="O14293" t="str">
        <f>"KRULL RANDY C/LEORA JEAN TRSTE"</f>
        <v>KRULL RANDY C/LEORA JEAN TRSTE</v>
      </c>
      <c r="T14293" t="s">
        <v>43462</v>
      </c>
    </row>
    <row r="14294" spans="1:20" x14ac:dyDescent="0.25">
      <c r="A14294" t="str">
        <f>"3041457"</f>
        <v>3041457</v>
      </c>
      <c r="B14294" t="s">
        <v>43464</v>
      </c>
      <c r="C14294" t="str">
        <f>"8314128"</f>
        <v>8314128</v>
      </c>
      <c r="D14294" t="str">
        <f>"HANSEN WILLIAM B/KATHLEEN M TRSTEE"</f>
        <v>HANSEN WILLIAM B/KATHLEEN M TRSTEE</v>
      </c>
      <c r="E14294" t="s">
        <v>43465</v>
      </c>
      <c r="F14294" t="s">
        <v>43466</v>
      </c>
      <c r="I14294" t="s">
        <v>2071</v>
      </c>
      <c r="J14294" t="s">
        <v>30</v>
      </c>
      <c r="K14294" t="str">
        <f>"27006"</f>
        <v>27006</v>
      </c>
      <c r="M14294" t="s">
        <v>17861</v>
      </c>
      <c r="N14294" t="str">
        <f>"9/17/2020 8:53:00 AM"</f>
        <v>9/17/2020 8:53:00 AM</v>
      </c>
      <c r="O14294" t="str">
        <f>"HANSEN WILLIAM B/KATHLEEN M TRSTEE"</f>
        <v>HANSEN WILLIAM B/KATHLEEN M TRSTEE</v>
      </c>
      <c r="T14294" t="s">
        <v>43465</v>
      </c>
    </row>
    <row r="14295" spans="1:20" x14ac:dyDescent="0.25">
      <c r="A14295" t="str">
        <f>"3041736"</f>
        <v>3041736</v>
      </c>
      <c r="B14295" t="s">
        <v>43467</v>
      </c>
      <c r="C14295" t="str">
        <f>"8314143"</f>
        <v>8314143</v>
      </c>
      <c r="D14295" t="s">
        <v>43468</v>
      </c>
      <c r="E14295" t="s">
        <v>43469</v>
      </c>
      <c r="F14295" t="s">
        <v>43470</v>
      </c>
      <c r="I14295" t="s">
        <v>2071</v>
      </c>
      <c r="J14295" t="s">
        <v>30</v>
      </c>
      <c r="K14295" t="s">
        <v>3917</v>
      </c>
      <c r="M14295" t="s">
        <v>17861</v>
      </c>
      <c r="N14295" t="str">
        <f>"9/17/2020 1:18:00 PM"</f>
        <v>9/17/2020 1:18:00 PM</v>
      </c>
      <c r="O14295" t="s">
        <v>43468</v>
      </c>
      <c r="T14295" t="s">
        <v>43469</v>
      </c>
    </row>
    <row r="14296" spans="1:20" x14ac:dyDescent="0.25">
      <c r="A14296" t="str">
        <f>"3040960"</f>
        <v>3040960</v>
      </c>
      <c r="B14296" t="s">
        <v>43471</v>
      </c>
      <c r="C14296" t="str">
        <f>"8314157"</f>
        <v>8314157</v>
      </c>
      <c r="D14296" t="s">
        <v>43472</v>
      </c>
      <c r="F14296" t="s">
        <v>43473</v>
      </c>
      <c r="I14296" t="s">
        <v>184</v>
      </c>
      <c r="J14296" t="s">
        <v>30</v>
      </c>
      <c r="K14296" t="s">
        <v>3186</v>
      </c>
      <c r="M14296" t="s">
        <v>17861</v>
      </c>
      <c r="N14296" t="str">
        <f>"9/17/2020 6:24:00 PM"</f>
        <v>9/17/2020 6:24:00 PM</v>
      </c>
      <c r="O14296" t="s">
        <v>43472</v>
      </c>
    </row>
    <row r="14297" spans="1:20" x14ac:dyDescent="0.25">
      <c r="A14297" t="str">
        <f>"3046733"</f>
        <v>3046733</v>
      </c>
      <c r="B14297" t="s">
        <v>43474</v>
      </c>
      <c r="C14297" t="str">
        <f>"8314158"</f>
        <v>8314158</v>
      </c>
      <c r="D14297" t="s">
        <v>43475</v>
      </c>
      <c r="F14297" t="s">
        <v>43476</v>
      </c>
      <c r="I14297" t="s">
        <v>184</v>
      </c>
      <c r="J14297" t="s">
        <v>30</v>
      </c>
      <c r="K14297" t="s">
        <v>40107</v>
      </c>
      <c r="M14297" t="s">
        <v>17861</v>
      </c>
      <c r="N14297" t="str">
        <f>"9/17/2020 6:30:00 PM"</f>
        <v>9/17/2020 6:30:00 PM</v>
      </c>
      <c r="O14297" t="s">
        <v>43475</v>
      </c>
    </row>
    <row r="14298" spans="1:20" x14ac:dyDescent="0.25">
      <c r="A14298" t="str">
        <f>"3050206"</f>
        <v>3050206</v>
      </c>
      <c r="B14298" t="s">
        <v>43477</v>
      </c>
      <c r="C14298" t="str">
        <f>"8314168"</f>
        <v>8314168</v>
      </c>
      <c r="D14298" t="s">
        <v>43478</v>
      </c>
      <c r="F14298" t="s">
        <v>43479</v>
      </c>
      <c r="I14298" t="s">
        <v>9580</v>
      </c>
      <c r="J14298" t="s">
        <v>30</v>
      </c>
      <c r="K14298" t="s">
        <v>43480</v>
      </c>
      <c r="M14298" t="s">
        <v>17861</v>
      </c>
      <c r="N14298" t="str">
        <f>"9/18/2020 10:39:00 AM"</f>
        <v>9/18/2020 10:39:00 AM</v>
      </c>
      <c r="O14298" t="s">
        <v>43478</v>
      </c>
    </row>
    <row r="14299" spans="1:20" x14ac:dyDescent="0.25">
      <c r="A14299" t="str">
        <f>"3038335"</f>
        <v>3038335</v>
      </c>
      <c r="B14299" t="s">
        <v>43481</v>
      </c>
      <c r="C14299" t="str">
        <f>"82530734"</f>
        <v>82530734</v>
      </c>
      <c r="D14299" t="s">
        <v>43482</v>
      </c>
      <c r="E14299" t="s">
        <v>42964</v>
      </c>
      <c r="F14299" t="s">
        <v>43483</v>
      </c>
      <c r="I14299" t="s">
        <v>29</v>
      </c>
      <c r="J14299" t="s">
        <v>30</v>
      </c>
      <c r="K14299" t="s">
        <v>31</v>
      </c>
      <c r="M14299" t="s">
        <v>17861</v>
      </c>
      <c r="N14299" t="str">
        <f>"9/30/2020 10:05:00 AM"</f>
        <v>9/30/2020 10:05:00 AM</v>
      </c>
      <c r="O14299" t="s">
        <v>43482</v>
      </c>
      <c r="T14299" t="s">
        <v>42964</v>
      </c>
    </row>
    <row r="14300" spans="1:20" x14ac:dyDescent="0.25">
      <c r="A14300" t="str">
        <f>"3053787"</f>
        <v>3053787</v>
      </c>
      <c r="B14300" t="s">
        <v>43484</v>
      </c>
      <c r="C14300" t="str">
        <f>"8314168"</f>
        <v>8314168</v>
      </c>
      <c r="D14300" t="s">
        <v>43478</v>
      </c>
      <c r="F14300" t="s">
        <v>43479</v>
      </c>
      <c r="I14300" t="s">
        <v>9580</v>
      </c>
      <c r="J14300" t="s">
        <v>30</v>
      </c>
      <c r="K14300" t="s">
        <v>43480</v>
      </c>
      <c r="M14300" t="s">
        <v>17861</v>
      </c>
      <c r="N14300" t="str">
        <f>"9/18/2020 10:39:00 AM"</f>
        <v>9/18/2020 10:39:00 AM</v>
      </c>
      <c r="O14300" t="s">
        <v>43478</v>
      </c>
    </row>
    <row r="14301" spans="1:20" x14ac:dyDescent="0.25">
      <c r="A14301" t="str">
        <f>"3053854"</f>
        <v>3053854</v>
      </c>
      <c r="B14301" t="s">
        <v>43485</v>
      </c>
      <c r="C14301" t="str">
        <f>"8314169"</f>
        <v>8314169</v>
      </c>
      <c r="D14301" t="s">
        <v>43486</v>
      </c>
      <c r="E14301" t="s">
        <v>43487</v>
      </c>
      <c r="F14301" t="s">
        <v>43488</v>
      </c>
      <c r="I14301" t="s">
        <v>29</v>
      </c>
      <c r="J14301" t="s">
        <v>30</v>
      </c>
      <c r="K14301" t="s">
        <v>13567</v>
      </c>
      <c r="M14301" t="s">
        <v>17861</v>
      </c>
      <c r="N14301" t="str">
        <f>"9/18/2020 10:48:00 AM"</f>
        <v>9/18/2020 10:48:00 AM</v>
      </c>
      <c r="O14301" t="s">
        <v>43486</v>
      </c>
      <c r="T14301" t="s">
        <v>43487</v>
      </c>
    </row>
    <row r="14302" spans="1:20" x14ac:dyDescent="0.25">
      <c r="A14302" t="str">
        <f>"3044377"</f>
        <v>3044377</v>
      </c>
      <c r="B14302" t="s">
        <v>43489</v>
      </c>
      <c r="C14302" t="str">
        <f>"8314178"</f>
        <v>8314178</v>
      </c>
      <c r="D14302" t="s">
        <v>43490</v>
      </c>
      <c r="E14302" t="s">
        <v>43491</v>
      </c>
      <c r="F14302" t="s">
        <v>43492</v>
      </c>
      <c r="I14302" t="s">
        <v>184</v>
      </c>
      <c r="J14302" t="s">
        <v>30</v>
      </c>
      <c r="K14302" t="s">
        <v>5976</v>
      </c>
      <c r="M14302" t="s">
        <v>17861</v>
      </c>
      <c r="N14302" t="str">
        <f>"9/18/2020 4:08:00 PM"</f>
        <v>9/18/2020 4:08:00 PM</v>
      </c>
      <c r="O14302" t="s">
        <v>43490</v>
      </c>
      <c r="T14302" t="s">
        <v>43491</v>
      </c>
    </row>
    <row r="14303" spans="1:20" x14ac:dyDescent="0.25">
      <c r="A14303" t="str">
        <f>"3040628"</f>
        <v>3040628</v>
      </c>
      <c r="B14303" t="s">
        <v>43493</v>
      </c>
      <c r="C14303" t="str">
        <f>"8314228"</f>
        <v>8314228</v>
      </c>
      <c r="D14303" t="s">
        <v>43494</v>
      </c>
      <c r="E14303" t="s">
        <v>43495</v>
      </c>
      <c r="F14303" t="s">
        <v>43496</v>
      </c>
      <c r="I14303" t="s">
        <v>184</v>
      </c>
      <c r="J14303" t="s">
        <v>30</v>
      </c>
      <c r="K14303" t="s">
        <v>43497</v>
      </c>
      <c r="M14303" t="s">
        <v>17861</v>
      </c>
      <c r="N14303" t="str">
        <f>"9/30/2020 9:18:00 PM"</f>
        <v>9/30/2020 9:18:00 PM</v>
      </c>
      <c r="O14303" t="s">
        <v>43494</v>
      </c>
      <c r="T14303" t="s">
        <v>43495</v>
      </c>
    </row>
    <row r="14304" spans="1:20" x14ac:dyDescent="0.25">
      <c r="A14304" t="str">
        <f>"3044741"</f>
        <v>3044741</v>
      </c>
      <c r="B14304" t="s">
        <v>43498</v>
      </c>
      <c r="C14304" t="str">
        <f>"8314229"</f>
        <v>8314229</v>
      </c>
      <c r="D14304" t="s">
        <v>43499</v>
      </c>
      <c r="E14304" t="s">
        <v>43500</v>
      </c>
      <c r="F14304" t="s">
        <v>43501</v>
      </c>
      <c r="I14304" t="s">
        <v>184</v>
      </c>
      <c r="J14304" t="s">
        <v>30</v>
      </c>
      <c r="K14304" t="s">
        <v>6241</v>
      </c>
      <c r="M14304" t="s">
        <v>17861</v>
      </c>
      <c r="N14304" t="str">
        <f>"9/30/2020 9:25:00 PM"</f>
        <v>9/30/2020 9:25:00 PM</v>
      </c>
      <c r="O14304" t="s">
        <v>43499</v>
      </c>
      <c r="T14304" t="s">
        <v>43500</v>
      </c>
    </row>
    <row r="14305" spans="1:20" x14ac:dyDescent="0.25">
      <c r="A14305" t="str">
        <f>"3060177"</f>
        <v>3060177</v>
      </c>
      <c r="B14305" t="s">
        <v>43502</v>
      </c>
      <c r="C14305" t="str">
        <f>"8314180"</f>
        <v>8314180</v>
      </c>
      <c r="D14305" t="s">
        <v>43503</v>
      </c>
      <c r="E14305" t="s">
        <v>43504</v>
      </c>
      <c r="F14305" t="s">
        <v>43505</v>
      </c>
      <c r="I14305" t="s">
        <v>184</v>
      </c>
      <c r="J14305" t="s">
        <v>30</v>
      </c>
      <c r="K14305" t="str">
        <f>"27006"</f>
        <v>27006</v>
      </c>
      <c r="M14305" t="s">
        <v>17861</v>
      </c>
      <c r="N14305" t="str">
        <f>"9/22/2020 9:18:00 AM"</f>
        <v>9/22/2020 9:18:00 AM</v>
      </c>
      <c r="O14305" t="s">
        <v>43503</v>
      </c>
      <c r="T14305" t="s">
        <v>43504</v>
      </c>
    </row>
    <row r="14306" spans="1:20" x14ac:dyDescent="0.25">
      <c r="A14306" t="str">
        <f>"3060054"</f>
        <v>3060054</v>
      </c>
      <c r="B14306" t="s">
        <v>43506</v>
      </c>
      <c r="C14306" t="str">
        <f>"8314181"</f>
        <v>8314181</v>
      </c>
      <c r="D14306" t="s">
        <v>43507</v>
      </c>
      <c r="E14306" t="s">
        <v>43508</v>
      </c>
      <c r="F14306" t="s">
        <v>43509</v>
      </c>
      <c r="I14306" t="s">
        <v>184</v>
      </c>
      <c r="J14306" t="s">
        <v>30</v>
      </c>
      <c r="K14306" t="s">
        <v>34978</v>
      </c>
      <c r="M14306" t="s">
        <v>17861</v>
      </c>
      <c r="N14306" t="str">
        <f>"9/22/2020 9:24:00 AM"</f>
        <v>9/22/2020 9:24:00 AM</v>
      </c>
      <c r="O14306" t="s">
        <v>43507</v>
      </c>
      <c r="T14306" t="s">
        <v>43508</v>
      </c>
    </row>
    <row r="14307" spans="1:20" x14ac:dyDescent="0.25">
      <c r="A14307" t="str">
        <f>"3044679"</f>
        <v>3044679</v>
      </c>
      <c r="B14307" t="s">
        <v>43510</v>
      </c>
      <c r="C14307" t="str">
        <f>"8314183"</f>
        <v>8314183</v>
      </c>
      <c r="D14307" t="s">
        <v>43511</v>
      </c>
      <c r="F14307" t="s">
        <v>43512</v>
      </c>
      <c r="I14307" t="s">
        <v>184</v>
      </c>
      <c r="J14307" t="s">
        <v>30</v>
      </c>
      <c r="K14307" t="s">
        <v>5608</v>
      </c>
      <c r="M14307" t="s">
        <v>17861</v>
      </c>
      <c r="N14307" t="str">
        <f>"9/22/2020 9:31:00 AM"</f>
        <v>9/22/2020 9:31:00 AM</v>
      </c>
      <c r="O14307" t="s">
        <v>43511</v>
      </c>
    </row>
    <row r="14308" spans="1:20" x14ac:dyDescent="0.25">
      <c r="A14308" t="str">
        <f>"3062470"</f>
        <v>3062470</v>
      </c>
      <c r="B14308" t="s">
        <v>43513</v>
      </c>
      <c r="C14308" t="str">
        <f>"8314184"</f>
        <v>8314184</v>
      </c>
      <c r="D14308" t="s">
        <v>43514</v>
      </c>
      <c r="E14308" t="s">
        <v>43515</v>
      </c>
      <c r="F14308" t="s">
        <v>43516</v>
      </c>
      <c r="I14308" t="s">
        <v>184</v>
      </c>
      <c r="J14308" t="s">
        <v>30</v>
      </c>
      <c r="K14308" t="s">
        <v>35875</v>
      </c>
      <c r="M14308" t="s">
        <v>17861</v>
      </c>
      <c r="N14308" t="str">
        <f>"9/22/2020 9:37:00 AM"</f>
        <v>9/22/2020 9:37:00 AM</v>
      </c>
      <c r="O14308" t="s">
        <v>43514</v>
      </c>
      <c r="T14308" t="s">
        <v>43515</v>
      </c>
    </row>
    <row r="14309" spans="1:20" x14ac:dyDescent="0.25">
      <c r="A14309" t="str">
        <f>"3057703"</f>
        <v>3057703</v>
      </c>
      <c r="B14309" t="s">
        <v>43517</v>
      </c>
      <c r="C14309" t="str">
        <f>"38474000"</f>
        <v>38474000</v>
      </c>
      <c r="D14309" t="s">
        <v>43518</v>
      </c>
      <c r="F14309" t="s">
        <v>43519</v>
      </c>
      <c r="I14309" t="s">
        <v>29</v>
      </c>
      <c r="J14309" t="s">
        <v>30</v>
      </c>
      <c r="K14309" t="s">
        <v>43323</v>
      </c>
      <c r="M14309" t="s">
        <v>25733</v>
      </c>
      <c r="N14309" t="str">
        <f>"9/24/2020 12:26:00 PM"</f>
        <v>9/24/2020 12:26:00 PM</v>
      </c>
      <c r="O14309" t="s">
        <v>43518</v>
      </c>
    </row>
    <row r="14310" spans="1:20" x14ac:dyDescent="0.25">
      <c r="A14310" t="str">
        <f>"3039312"</f>
        <v>3039312</v>
      </c>
      <c r="B14310" t="s">
        <v>43520</v>
      </c>
      <c r="C14310" t="str">
        <f>"8312216"</f>
        <v>8312216</v>
      </c>
      <c r="D14310" t="s">
        <v>43521</v>
      </c>
      <c r="F14310" t="s">
        <v>43522</v>
      </c>
      <c r="I14310" t="s">
        <v>29</v>
      </c>
      <c r="J14310" t="s">
        <v>30</v>
      </c>
      <c r="K14310" t="s">
        <v>43523</v>
      </c>
      <c r="M14310" t="s">
        <v>25733</v>
      </c>
      <c r="N14310" t="str">
        <f>"9/24/2020 1:12:00 PM"</f>
        <v>9/24/2020 1:12:00 PM</v>
      </c>
      <c r="O14310" t="s">
        <v>43521</v>
      </c>
    </row>
    <row r="14311" spans="1:20" x14ac:dyDescent="0.25">
      <c r="A14311" t="str">
        <f>"3059421"</f>
        <v>3059421</v>
      </c>
      <c r="B14311" t="s">
        <v>43524</v>
      </c>
      <c r="C14311" t="str">
        <f>"8314242"</f>
        <v>8314242</v>
      </c>
      <c r="D14311" t="s">
        <v>43525</v>
      </c>
      <c r="F14311" t="s">
        <v>43526</v>
      </c>
      <c r="I14311" t="s">
        <v>29</v>
      </c>
      <c r="J14311" t="s">
        <v>30</v>
      </c>
      <c r="K14311" t="s">
        <v>43527</v>
      </c>
      <c r="M14311" t="s">
        <v>17861</v>
      </c>
      <c r="N14311" t="str">
        <f>"10/1/2020 1:31:00 PM"</f>
        <v>10/1/2020 1:31:00 PM</v>
      </c>
      <c r="O14311" t="s">
        <v>43525</v>
      </c>
    </row>
    <row r="14312" spans="1:20" x14ac:dyDescent="0.25">
      <c r="A14312" t="str">
        <f>"3060804"</f>
        <v>3060804</v>
      </c>
      <c r="B14312" t="s">
        <v>43528</v>
      </c>
      <c r="C14312" t="str">
        <f>"8314243"</f>
        <v>8314243</v>
      </c>
      <c r="D14312" t="s">
        <v>43529</v>
      </c>
      <c r="E14312" t="s">
        <v>43530</v>
      </c>
      <c r="F14312" t="s">
        <v>43531</v>
      </c>
      <c r="I14312" t="s">
        <v>184</v>
      </c>
      <c r="J14312" t="s">
        <v>30</v>
      </c>
      <c r="K14312" t="s">
        <v>5026</v>
      </c>
      <c r="M14312" t="s">
        <v>17861</v>
      </c>
      <c r="N14312" t="str">
        <f>"10/1/2020 1:42:00 PM"</f>
        <v>10/1/2020 1:42:00 PM</v>
      </c>
      <c r="O14312" t="s">
        <v>43529</v>
      </c>
      <c r="T14312" t="s">
        <v>43530</v>
      </c>
    </row>
    <row r="14313" spans="1:20" x14ac:dyDescent="0.25">
      <c r="A14313" t="str">
        <f>"3060566"</f>
        <v>3060566</v>
      </c>
      <c r="B14313" t="s">
        <v>43532</v>
      </c>
      <c r="C14313" t="str">
        <f>"8314244"</f>
        <v>8314244</v>
      </c>
      <c r="D14313" t="s">
        <v>43533</v>
      </c>
      <c r="E14313" t="s">
        <v>43534</v>
      </c>
      <c r="F14313" t="s">
        <v>43535</v>
      </c>
      <c r="I14313" t="s">
        <v>2071</v>
      </c>
      <c r="J14313" t="s">
        <v>30</v>
      </c>
      <c r="K14313" t="s">
        <v>6350</v>
      </c>
      <c r="M14313" t="s">
        <v>17861</v>
      </c>
      <c r="N14313" t="str">
        <f>"10/1/2020 1:45:00 PM"</f>
        <v>10/1/2020 1:45:00 PM</v>
      </c>
      <c r="O14313" t="s">
        <v>43533</v>
      </c>
      <c r="T14313" t="s">
        <v>43534</v>
      </c>
    </row>
    <row r="14314" spans="1:20" x14ac:dyDescent="0.25">
      <c r="A14314" t="str">
        <f>"3040164"</f>
        <v>3040164</v>
      </c>
      <c r="B14314" t="s">
        <v>43536</v>
      </c>
      <c r="C14314" t="str">
        <f>"8312216"</f>
        <v>8312216</v>
      </c>
      <c r="D14314" t="s">
        <v>43521</v>
      </c>
      <c r="F14314" t="s">
        <v>43522</v>
      </c>
      <c r="I14314" t="s">
        <v>29</v>
      </c>
      <c r="J14314" t="s">
        <v>30</v>
      </c>
      <c r="K14314" t="s">
        <v>43523</v>
      </c>
      <c r="M14314" t="s">
        <v>25733</v>
      </c>
      <c r="N14314" t="str">
        <f>"9/24/2020 1:12:00 PM"</f>
        <v>9/24/2020 1:12:00 PM</v>
      </c>
      <c r="O14314" t="s">
        <v>43521</v>
      </c>
    </row>
    <row r="14315" spans="1:20" x14ac:dyDescent="0.25">
      <c r="A14315" t="str">
        <f>"3054434"</f>
        <v>3054434</v>
      </c>
      <c r="B14315" t="s">
        <v>43537</v>
      </c>
      <c r="C14315" t="str">
        <f>"8303110"</f>
        <v>8303110</v>
      </c>
      <c r="D14315" t="s">
        <v>43538</v>
      </c>
      <c r="F14315" t="s">
        <v>43539</v>
      </c>
      <c r="I14315" t="s">
        <v>29</v>
      </c>
      <c r="J14315" t="s">
        <v>30</v>
      </c>
      <c r="K14315" t="s">
        <v>15727</v>
      </c>
      <c r="M14315" t="s">
        <v>25733</v>
      </c>
      <c r="N14315" t="str">
        <f>"9/25/2020 11:10:00 AM"</f>
        <v>9/25/2020 11:10:00 AM</v>
      </c>
      <c r="O14315" t="s">
        <v>43538</v>
      </c>
    </row>
    <row r="14316" spans="1:20" x14ac:dyDescent="0.25">
      <c r="A14316" t="str">
        <f>"3056928"</f>
        <v>3056928</v>
      </c>
      <c r="B14316" t="s">
        <v>43540</v>
      </c>
      <c r="C14316" t="str">
        <f>"82517914"</f>
        <v>82517914</v>
      </c>
      <c r="D14316" t="s">
        <v>43541</v>
      </c>
      <c r="F14316" t="s">
        <v>1106</v>
      </c>
      <c r="I14316" t="s">
        <v>1107</v>
      </c>
      <c r="J14316" t="s">
        <v>30</v>
      </c>
      <c r="K14316" t="s">
        <v>43542</v>
      </c>
      <c r="M14316" t="s">
        <v>18479</v>
      </c>
      <c r="N14316" t="str">
        <f>"9/25/2020 11:14:00 AM"</f>
        <v>9/25/2020 11:14:00 AM</v>
      </c>
      <c r="O14316" t="s">
        <v>43541</v>
      </c>
    </row>
    <row r="14317" spans="1:20" x14ac:dyDescent="0.25">
      <c r="A14317" t="str">
        <f>"3051626"</f>
        <v>3051626</v>
      </c>
      <c r="B14317" t="s">
        <v>43543</v>
      </c>
      <c r="C14317" t="str">
        <f>"8314254"</f>
        <v>8314254</v>
      </c>
      <c r="D14317" t="s">
        <v>1751</v>
      </c>
      <c r="F14317" t="s">
        <v>43544</v>
      </c>
      <c r="I14317" t="s">
        <v>471</v>
      </c>
      <c r="J14317" t="s">
        <v>30</v>
      </c>
      <c r="K14317" t="s">
        <v>43545</v>
      </c>
      <c r="M14317" t="s">
        <v>17861</v>
      </c>
      <c r="N14317" t="str">
        <f>"10/1/2020 2:45:00 PM"</f>
        <v>10/1/2020 2:45:00 PM</v>
      </c>
      <c r="O14317" t="s">
        <v>1751</v>
      </c>
    </row>
    <row r="14318" spans="1:20" x14ac:dyDescent="0.25">
      <c r="A14318" t="str">
        <f>"3049331"</f>
        <v>3049331</v>
      </c>
      <c r="B14318" t="s">
        <v>43546</v>
      </c>
      <c r="C14318" t="str">
        <f>"8314255"</f>
        <v>8314255</v>
      </c>
      <c r="D14318" t="s">
        <v>43547</v>
      </c>
      <c r="E14318" t="s">
        <v>43548</v>
      </c>
      <c r="F14318" t="s">
        <v>43549</v>
      </c>
      <c r="I14318" t="s">
        <v>29</v>
      </c>
      <c r="J14318" t="s">
        <v>30</v>
      </c>
      <c r="K14318" t="s">
        <v>8138</v>
      </c>
      <c r="M14318" t="s">
        <v>17861</v>
      </c>
      <c r="N14318" t="str">
        <f>"10/1/2020 2:49:00 PM"</f>
        <v>10/1/2020 2:49:00 PM</v>
      </c>
      <c r="O14318" t="s">
        <v>43547</v>
      </c>
      <c r="T14318" t="s">
        <v>43548</v>
      </c>
    </row>
    <row r="14319" spans="1:20" x14ac:dyDescent="0.25">
      <c r="A14319" t="str">
        <f>"3061304"</f>
        <v>3061304</v>
      </c>
      <c r="B14319" t="s">
        <v>43550</v>
      </c>
      <c r="C14319" t="str">
        <f>"8314258"</f>
        <v>8314258</v>
      </c>
      <c r="D14319" t="s">
        <v>43551</v>
      </c>
      <c r="E14319" t="s">
        <v>43552</v>
      </c>
      <c r="F14319" t="s">
        <v>43553</v>
      </c>
      <c r="I14319" t="s">
        <v>2071</v>
      </c>
      <c r="J14319" t="s">
        <v>30</v>
      </c>
      <c r="K14319" t="s">
        <v>38348</v>
      </c>
      <c r="M14319" t="s">
        <v>17861</v>
      </c>
      <c r="N14319" t="str">
        <f>"10/1/2020 3:01:00 PM"</f>
        <v>10/1/2020 3:01:00 PM</v>
      </c>
      <c r="O14319" t="s">
        <v>43551</v>
      </c>
      <c r="T14319" t="s">
        <v>43552</v>
      </c>
    </row>
    <row r="14320" spans="1:20" x14ac:dyDescent="0.25">
      <c r="A14320" t="str">
        <f>"3046497"</f>
        <v>3046497</v>
      </c>
      <c r="B14320" t="s">
        <v>43554</v>
      </c>
      <c r="C14320" t="str">
        <f>"8300696"</f>
        <v>8300696</v>
      </c>
      <c r="D14320" t="s">
        <v>43555</v>
      </c>
      <c r="F14320" t="s">
        <v>19229</v>
      </c>
      <c r="I14320" t="s">
        <v>29</v>
      </c>
      <c r="J14320" t="s">
        <v>30</v>
      </c>
      <c r="K14320" t="str">
        <f>"27028"</f>
        <v>27028</v>
      </c>
      <c r="M14320" t="s">
        <v>33845</v>
      </c>
      <c r="N14320" t="str">
        <f>"10/1/2020 3:09:00 PM"</f>
        <v>10/1/2020 3:09:00 PM</v>
      </c>
      <c r="O14320" t="s">
        <v>43555</v>
      </c>
    </row>
    <row r="14321" spans="1:20" x14ac:dyDescent="0.25">
      <c r="A14321" t="str">
        <f>"3048726"</f>
        <v>3048726</v>
      </c>
      <c r="B14321" t="s">
        <v>43556</v>
      </c>
      <c r="C14321" t="str">
        <f>"82517914"</f>
        <v>82517914</v>
      </c>
      <c r="D14321" t="s">
        <v>43541</v>
      </c>
      <c r="F14321" t="s">
        <v>1106</v>
      </c>
      <c r="I14321" t="s">
        <v>1107</v>
      </c>
      <c r="J14321" t="s">
        <v>30</v>
      </c>
      <c r="K14321" t="s">
        <v>43542</v>
      </c>
      <c r="M14321" t="s">
        <v>18479</v>
      </c>
      <c r="N14321" t="str">
        <f>"9/25/2020 11:14:00 AM"</f>
        <v>9/25/2020 11:14:00 AM</v>
      </c>
      <c r="O14321" t="s">
        <v>43541</v>
      </c>
    </row>
    <row r="14322" spans="1:20" x14ac:dyDescent="0.25">
      <c r="A14322" t="str">
        <f>"3048672"</f>
        <v>3048672</v>
      </c>
      <c r="B14322" t="s">
        <v>43557</v>
      </c>
      <c r="C14322" t="str">
        <f>"82517914"</f>
        <v>82517914</v>
      </c>
      <c r="D14322" t="s">
        <v>43541</v>
      </c>
      <c r="F14322" t="s">
        <v>1106</v>
      </c>
      <c r="I14322" t="s">
        <v>1107</v>
      </c>
      <c r="J14322" t="s">
        <v>30</v>
      </c>
      <c r="K14322" t="s">
        <v>43542</v>
      </c>
      <c r="M14322" t="s">
        <v>18479</v>
      </c>
      <c r="N14322" t="str">
        <f>"9/25/2020 11:14:00 AM"</f>
        <v>9/25/2020 11:14:00 AM</v>
      </c>
      <c r="O14322" t="s">
        <v>43541</v>
      </c>
    </row>
    <row r="14323" spans="1:20" x14ac:dyDescent="0.25">
      <c r="A14323" t="str">
        <f>"3047469"</f>
        <v>3047469</v>
      </c>
      <c r="B14323" t="s">
        <v>43558</v>
      </c>
      <c r="C14323" t="str">
        <f>"82517914"</f>
        <v>82517914</v>
      </c>
      <c r="D14323" t="s">
        <v>43541</v>
      </c>
      <c r="F14323" t="s">
        <v>1106</v>
      </c>
      <c r="I14323" t="s">
        <v>1107</v>
      </c>
      <c r="J14323" t="s">
        <v>30</v>
      </c>
      <c r="K14323" t="s">
        <v>43542</v>
      </c>
      <c r="M14323" t="s">
        <v>18479</v>
      </c>
      <c r="N14323" t="str">
        <f>"9/25/2020 11:14:00 AM"</f>
        <v>9/25/2020 11:14:00 AM</v>
      </c>
      <c r="O14323" t="s">
        <v>43541</v>
      </c>
    </row>
    <row r="14324" spans="1:20" x14ac:dyDescent="0.25">
      <c r="A14324" t="str">
        <f>"3060354"</f>
        <v>3060354</v>
      </c>
      <c r="B14324" t="s">
        <v>43559</v>
      </c>
      <c r="C14324" t="str">
        <f>"8314221"</f>
        <v>8314221</v>
      </c>
      <c r="D14324" t="s">
        <v>43560</v>
      </c>
      <c r="E14324" t="s">
        <v>43561</v>
      </c>
      <c r="F14324" t="s">
        <v>43562</v>
      </c>
      <c r="I14324" t="s">
        <v>402</v>
      </c>
      <c r="J14324" t="s">
        <v>30</v>
      </c>
      <c r="K14324" t="s">
        <v>43563</v>
      </c>
      <c r="M14324" t="s">
        <v>17861</v>
      </c>
      <c r="N14324" t="str">
        <f>"9/28/2020 11:14:00 AM"</f>
        <v>9/28/2020 11:14:00 AM</v>
      </c>
      <c r="O14324" t="s">
        <v>43560</v>
      </c>
      <c r="T14324" t="s">
        <v>43561</v>
      </c>
    </row>
    <row r="14325" spans="1:20" x14ac:dyDescent="0.25">
      <c r="A14325" t="str">
        <f>"3051930"</f>
        <v>3051930</v>
      </c>
      <c r="B14325" t="s">
        <v>43564</v>
      </c>
      <c r="C14325" t="str">
        <f>"8314222"</f>
        <v>8314222</v>
      </c>
      <c r="D14325" t="s">
        <v>43565</v>
      </c>
      <c r="F14325" t="s">
        <v>43566</v>
      </c>
      <c r="I14325" t="s">
        <v>29</v>
      </c>
      <c r="J14325" t="s">
        <v>30</v>
      </c>
      <c r="K14325" t="s">
        <v>43567</v>
      </c>
      <c r="M14325" t="s">
        <v>17861</v>
      </c>
      <c r="N14325" t="str">
        <f>"9/28/2020 4:09:00 PM"</f>
        <v>9/28/2020 4:09:00 PM</v>
      </c>
      <c r="O14325" t="s">
        <v>43565</v>
      </c>
    </row>
    <row r="14326" spans="1:20" x14ac:dyDescent="0.25">
      <c r="A14326" t="str">
        <f>"3051579"</f>
        <v>3051579</v>
      </c>
      <c r="B14326" t="s">
        <v>43568</v>
      </c>
      <c r="C14326" t="str">
        <f>"8314269"</f>
        <v>8314269</v>
      </c>
      <c r="D14326" t="s">
        <v>43569</v>
      </c>
      <c r="E14326" t="s">
        <v>43570</v>
      </c>
      <c r="F14326" t="s">
        <v>43571</v>
      </c>
      <c r="I14326" t="s">
        <v>29</v>
      </c>
      <c r="J14326" t="s">
        <v>30</v>
      </c>
      <c r="K14326" t="s">
        <v>28391</v>
      </c>
      <c r="M14326" t="s">
        <v>17861</v>
      </c>
      <c r="N14326" t="str">
        <f>"10/1/2020 3:49:00 PM"</f>
        <v>10/1/2020 3:49:00 PM</v>
      </c>
      <c r="O14326" t="s">
        <v>43569</v>
      </c>
      <c r="T14326" t="s">
        <v>43570</v>
      </c>
    </row>
    <row r="14327" spans="1:20" x14ac:dyDescent="0.25">
      <c r="A14327" t="str">
        <f>"3062029"</f>
        <v>3062029</v>
      </c>
      <c r="B14327" t="s">
        <v>43572</v>
      </c>
      <c r="C14327" t="str">
        <f>"8314225"</f>
        <v>8314225</v>
      </c>
      <c r="D14327" t="s">
        <v>43573</v>
      </c>
      <c r="E14327" t="s">
        <v>43574</v>
      </c>
      <c r="F14327" t="s">
        <v>43575</v>
      </c>
      <c r="I14327" t="s">
        <v>402</v>
      </c>
      <c r="J14327" t="s">
        <v>30</v>
      </c>
      <c r="K14327" t="str">
        <f>"27012"</f>
        <v>27012</v>
      </c>
      <c r="M14327" t="s">
        <v>17861</v>
      </c>
      <c r="N14327" t="str">
        <f>"9/29/2020 4:41:00 PM"</f>
        <v>9/29/2020 4:41:00 PM</v>
      </c>
      <c r="O14327" t="s">
        <v>43573</v>
      </c>
      <c r="T14327" t="s">
        <v>43574</v>
      </c>
    </row>
    <row r="14328" spans="1:20" x14ac:dyDescent="0.25">
      <c r="A14328" t="str">
        <f>"3054091"</f>
        <v>3054091</v>
      </c>
      <c r="B14328" t="s">
        <v>43576</v>
      </c>
      <c r="C14328" t="str">
        <f>"82523939"</f>
        <v>82523939</v>
      </c>
      <c r="D14328" t="s">
        <v>43577</v>
      </c>
      <c r="E14328" t="s">
        <v>43578</v>
      </c>
      <c r="F14328" t="s">
        <v>20451</v>
      </c>
      <c r="I14328" t="s">
        <v>43579</v>
      </c>
      <c r="J14328" t="s">
        <v>1046</v>
      </c>
      <c r="K14328" t="s">
        <v>43580</v>
      </c>
      <c r="M14328" t="s">
        <v>33845</v>
      </c>
      <c r="N14328" t="str">
        <f>"10/5/2020 11:35:00 AM"</f>
        <v>10/5/2020 11:35:00 AM</v>
      </c>
      <c r="O14328" t="s">
        <v>43577</v>
      </c>
      <c r="T14328" t="s">
        <v>43578</v>
      </c>
    </row>
    <row r="14329" spans="1:20" x14ac:dyDescent="0.25">
      <c r="A14329" t="str">
        <f>"3059865"</f>
        <v>3059865</v>
      </c>
      <c r="B14329" t="s">
        <v>43581</v>
      </c>
      <c r="C14329" t="str">
        <f>"45772000"</f>
        <v>45772000</v>
      </c>
      <c r="D14329" t="s">
        <v>43582</v>
      </c>
      <c r="E14329" t="s">
        <v>43583</v>
      </c>
      <c r="F14329" t="s">
        <v>43584</v>
      </c>
      <c r="I14329" t="s">
        <v>29</v>
      </c>
      <c r="J14329" t="s">
        <v>30</v>
      </c>
      <c r="K14329" t="s">
        <v>31</v>
      </c>
      <c r="M14329" t="s">
        <v>25733</v>
      </c>
      <c r="N14329" t="str">
        <f>"10/5/2020 1:22:00 PM"</f>
        <v>10/5/2020 1:22:00 PM</v>
      </c>
      <c r="O14329" t="s">
        <v>43582</v>
      </c>
      <c r="T14329" t="s">
        <v>43583</v>
      </c>
    </row>
    <row r="14330" spans="1:20" x14ac:dyDescent="0.25">
      <c r="A14330" t="str">
        <f>"3056925"</f>
        <v>3056925</v>
      </c>
      <c r="B14330" t="s">
        <v>43585</v>
      </c>
      <c r="C14330" t="str">
        <f>"82522224"</f>
        <v>82522224</v>
      </c>
      <c r="D14330" t="s">
        <v>43586</v>
      </c>
      <c r="F14330" t="s">
        <v>40682</v>
      </c>
      <c r="I14330" t="s">
        <v>402</v>
      </c>
      <c r="J14330" t="s">
        <v>30</v>
      </c>
      <c r="K14330" t="s">
        <v>43587</v>
      </c>
      <c r="M14330" t="s">
        <v>33845</v>
      </c>
      <c r="N14330" t="str">
        <f>"9/30/2020 11:18:00 AM"</f>
        <v>9/30/2020 11:18:00 AM</v>
      </c>
      <c r="O14330" t="s">
        <v>43586</v>
      </c>
    </row>
    <row r="14331" spans="1:20" x14ac:dyDescent="0.25">
      <c r="A14331" t="str">
        <f>"3057479"</f>
        <v>3057479</v>
      </c>
      <c r="B14331" t="s">
        <v>43588</v>
      </c>
      <c r="C14331" t="str">
        <f>"8313112"</f>
        <v>8313112</v>
      </c>
      <c r="D14331" t="s">
        <v>43589</v>
      </c>
      <c r="E14331" t="s">
        <v>43590</v>
      </c>
      <c r="F14331" t="s">
        <v>43591</v>
      </c>
      <c r="I14331" t="s">
        <v>29</v>
      </c>
      <c r="J14331" t="s">
        <v>30</v>
      </c>
      <c r="K14331" t="s">
        <v>42192</v>
      </c>
      <c r="M14331" t="s">
        <v>33432</v>
      </c>
      <c r="N14331" t="str">
        <f>"10/6/2020 4:06:00 PM"</f>
        <v>10/6/2020 4:06:00 PM</v>
      </c>
      <c r="O14331" t="s">
        <v>43589</v>
      </c>
      <c r="T14331" t="s">
        <v>43590</v>
      </c>
    </row>
    <row r="14332" spans="1:20" x14ac:dyDescent="0.25">
      <c r="A14332" t="str">
        <f>"3039036"</f>
        <v>3039036</v>
      </c>
      <c r="B14332" t="s">
        <v>43592</v>
      </c>
      <c r="C14332" t="str">
        <f>"8313112"</f>
        <v>8313112</v>
      </c>
      <c r="D14332" t="s">
        <v>43589</v>
      </c>
      <c r="E14332" t="s">
        <v>43590</v>
      </c>
      <c r="F14332" t="s">
        <v>43591</v>
      </c>
      <c r="I14332" t="s">
        <v>29</v>
      </c>
      <c r="J14332" t="s">
        <v>30</v>
      </c>
      <c r="K14332" t="s">
        <v>42192</v>
      </c>
      <c r="M14332" t="s">
        <v>33432</v>
      </c>
      <c r="N14332" t="str">
        <f>"10/6/2020 4:06:00 PM"</f>
        <v>10/6/2020 4:06:00 PM</v>
      </c>
      <c r="O14332" t="s">
        <v>43589</v>
      </c>
      <c r="T14332" t="s">
        <v>43590</v>
      </c>
    </row>
    <row r="14333" spans="1:20" x14ac:dyDescent="0.25">
      <c r="A14333" t="str">
        <f>"3057796"</f>
        <v>3057796</v>
      </c>
      <c r="B14333" t="s">
        <v>43593</v>
      </c>
      <c r="C14333" t="str">
        <f>"8314281"</f>
        <v>8314281</v>
      </c>
      <c r="D14333" t="s">
        <v>43594</v>
      </c>
      <c r="E14333" t="s">
        <v>43595</v>
      </c>
      <c r="F14333" t="s">
        <v>43596</v>
      </c>
      <c r="I14333" t="s">
        <v>184</v>
      </c>
      <c r="J14333" t="s">
        <v>30</v>
      </c>
      <c r="K14333" t="s">
        <v>9271</v>
      </c>
      <c r="M14333" t="s">
        <v>17861</v>
      </c>
      <c r="N14333" t="str">
        <f>"10/7/2020 11:27:00 AM"</f>
        <v>10/7/2020 11:27:00 AM</v>
      </c>
      <c r="O14333" t="s">
        <v>43594</v>
      </c>
      <c r="T14333" t="s">
        <v>43595</v>
      </c>
    </row>
    <row r="14334" spans="1:20" x14ac:dyDescent="0.25">
      <c r="A14334" t="str">
        <f>"3044860"</f>
        <v>3044860</v>
      </c>
      <c r="B14334" t="s">
        <v>43597</v>
      </c>
      <c r="C14334" t="str">
        <f>"8314282"</f>
        <v>8314282</v>
      </c>
      <c r="D14334" t="s">
        <v>43598</v>
      </c>
      <c r="E14334" t="s">
        <v>43599</v>
      </c>
      <c r="F14334" t="s">
        <v>43600</v>
      </c>
      <c r="I14334" t="s">
        <v>184</v>
      </c>
      <c r="J14334" t="s">
        <v>30</v>
      </c>
      <c r="K14334" t="s">
        <v>6136</v>
      </c>
      <c r="M14334" t="s">
        <v>17861</v>
      </c>
      <c r="N14334" t="str">
        <f>"10/7/2020 11:38:00 AM"</f>
        <v>10/7/2020 11:38:00 AM</v>
      </c>
      <c r="O14334" t="s">
        <v>43598</v>
      </c>
      <c r="T14334" t="s">
        <v>43599</v>
      </c>
    </row>
    <row r="14335" spans="1:20" x14ac:dyDescent="0.25">
      <c r="A14335" t="str">
        <f>"3042768"</f>
        <v>3042768</v>
      </c>
      <c r="B14335" t="s">
        <v>43601</v>
      </c>
      <c r="C14335" t="str">
        <f>"8314286"</f>
        <v>8314286</v>
      </c>
      <c r="D14335" t="s">
        <v>43602</v>
      </c>
      <c r="F14335" t="s">
        <v>43603</v>
      </c>
      <c r="I14335" t="s">
        <v>29</v>
      </c>
      <c r="J14335" t="s">
        <v>30</v>
      </c>
      <c r="K14335" t="str">
        <f>"27028"</f>
        <v>27028</v>
      </c>
      <c r="M14335" t="s">
        <v>17861</v>
      </c>
      <c r="N14335" t="str">
        <f>"10/7/2020 1:22:00 PM"</f>
        <v>10/7/2020 1:22:00 PM</v>
      </c>
      <c r="O14335" t="s">
        <v>43602</v>
      </c>
    </row>
    <row r="14336" spans="1:20" x14ac:dyDescent="0.25">
      <c r="A14336" t="str">
        <f>"3058523"</f>
        <v>3058523</v>
      </c>
      <c r="B14336" t="s">
        <v>43604</v>
      </c>
      <c r="C14336" t="str">
        <f>"82522224"</f>
        <v>82522224</v>
      </c>
      <c r="D14336" t="s">
        <v>43586</v>
      </c>
      <c r="F14336" t="s">
        <v>40682</v>
      </c>
      <c r="I14336" t="s">
        <v>402</v>
      </c>
      <c r="J14336" t="s">
        <v>30</v>
      </c>
      <c r="K14336" t="s">
        <v>43587</v>
      </c>
      <c r="M14336" t="s">
        <v>33845</v>
      </c>
      <c r="N14336" t="str">
        <f>"9/30/2020 11:18:00 AM"</f>
        <v>9/30/2020 11:18:00 AM</v>
      </c>
      <c r="O14336" t="s">
        <v>43586</v>
      </c>
    </row>
    <row r="14337" spans="1:20" x14ac:dyDescent="0.25">
      <c r="A14337" t="str">
        <f>"3054315"</f>
        <v>3054315</v>
      </c>
      <c r="B14337" t="s">
        <v>43605</v>
      </c>
      <c r="C14337" t="str">
        <f>"8314226"</f>
        <v>8314226</v>
      </c>
      <c r="D14337" t="s">
        <v>43606</v>
      </c>
      <c r="F14337" t="s">
        <v>43607</v>
      </c>
      <c r="I14337" t="s">
        <v>29</v>
      </c>
      <c r="J14337" t="s">
        <v>30</v>
      </c>
      <c r="K14337" t="s">
        <v>43608</v>
      </c>
      <c r="M14337" t="s">
        <v>17861</v>
      </c>
      <c r="N14337" t="str">
        <f>"9/30/2020 9:04:00 PM"</f>
        <v>9/30/2020 9:04:00 PM</v>
      </c>
      <c r="O14337" t="s">
        <v>43606</v>
      </c>
    </row>
    <row r="14338" spans="1:20" x14ac:dyDescent="0.25">
      <c r="A14338" t="str">
        <f>"3062840"</f>
        <v>3062840</v>
      </c>
      <c r="B14338" t="s">
        <v>43609</v>
      </c>
      <c r="C14338" t="str">
        <f>"8314230"</f>
        <v>8314230</v>
      </c>
      <c r="D14338" t="s">
        <v>43610</v>
      </c>
      <c r="E14338" t="s">
        <v>43611</v>
      </c>
      <c r="F14338" t="s">
        <v>43612</v>
      </c>
      <c r="I14338" t="s">
        <v>29</v>
      </c>
      <c r="J14338" t="s">
        <v>30</v>
      </c>
      <c r="K14338" t="s">
        <v>35947</v>
      </c>
      <c r="M14338" t="s">
        <v>17861</v>
      </c>
      <c r="N14338" t="str">
        <f>"10/1/2020 9:27:00 AM"</f>
        <v>10/1/2020 9:27:00 AM</v>
      </c>
      <c r="O14338" t="s">
        <v>43610</v>
      </c>
      <c r="T14338" t="s">
        <v>43611</v>
      </c>
    </row>
    <row r="14339" spans="1:20" x14ac:dyDescent="0.25">
      <c r="A14339" t="str">
        <f>"3058290"</f>
        <v>3058290</v>
      </c>
      <c r="B14339" t="s">
        <v>43613</v>
      </c>
      <c r="C14339" t="str">
        <f>"8314293"</f>
        <v>8314293</v>
      </c>
      <c r="D14339" t="s">
        <v>43614</v>
      </c>
      <c r="E14339" t="s">
        <v>43615</v>
      </c>
      <c r="F14339" t="s">
        <v>43616</v>
      </c>
      <c r="I14339" t="s">
        <v>29</v>
      </c>
      <c r="J14339" t="s">
        <v>30</v>
      </c>
      <c r="K14339" t="s">
        <v>9871</v>
      </c>
      <c r="M14339" t="s">
        <v>17861</v>
      </c>
      <c r="N14339" t="str">
        <f>"10/7/2020 3:54:00 PM"</f>
        <v>10/7/2020 3:54:00 PM</v>
      </c>
      <c r="O14339" t="s">
        <v>43614</v>
      </c>
      <c r="T14339" t="s">
        <v>43615</v>
      </c>
    </row>
    <row r="14340" spans="1:20" x14ac:dyDescent="0.25">
      <c r="A14340" t="str">
        <f>"3050944"</f>
        <v>3050944</v>
      </c>
      <c r="B14340" t="s">
        <v>43617</v>
      </c>
      <c r="C14340" t="str">
        <f>"8314294"</f>
        <v>8314294</v>
      </c>
      <c r="D14340" t="s">
        <v>43618</v>
      </c>
      <c r="E14340" t="s">
        <v>43619</v>
      </c>
      <c r="F14340" t="s">
        <v>43620</v>
      </c>
      <c r="I14340" t="s">
        <v>184</v>
      </c>
      <c r="J14340" t="s">
        <v>30</v>
      </c>
      <c r="K14340" t="s">
        <v>12785</v>
      </c>
      <c r="M14340" t="s">
        <v>17861</v>
      </c>
      <c r="N14340" t="str">
        <f>"10/7/2020 3:57:00 PM"</f>
        <v>10/7/2020 3:57:00 PM</v>
      </c>
      <c r="O14340" t="s">
        <v>43618</v>
      </c>
      <c r="T14340" t="s">
        <v>43619</v>
      </c>
    </row>
    <row r="14341" spans="1:20" x14ac:dyDescent="0.25">
      <c r="A14341" t="str">
        <f>"3052853"</f>
        <v>3052853</v>
      </c>
      <c r="B14341" t="s">
        <v>43621</v>
      </c>
      <c r="C14341" t="str">
        <f>"8314295"</f>
        <v>8314295</v>
      </c>
      <c r="D14341" t="s">
        <v>43622</v>
      </c>
      <c r="E14341" t="s">
        <v>43623</v>
      </c>
      <c r="F14341" t="s">
        <v>43624</v>
      </c>
      <c r="I14341" t="s">
        <v>29</v>
      </c>
      <c r="J14341" t="s">
        <v>30</v>
      </c>
      <c r="K14341" t="s">
        <v>33621</v>
      </c>
      <c r="M14341" t="s">
        <v>17861</v>
      </c>
      <c r="N14341" t="str">
        <f>"10/7/2020 7:45:00 PM"</f>
        <v>10/7/2020 7:45:00 PM</v>
      </c>
      <c r="O14341" t="s">
        <v>43622</v>
      </c>
      <c r="T14341" t="s">
        <v>43623</v>
      </c>
    </row>
    <row r="14342" spans="1:20" x14ac:dyDescent="0.25">
      <c r="A14342" t="str">
        <f>"3049237"</f>
        <v>3049237</v>
      </c>
      <c r="B14342" t="s">
        <v>43625</v>
      </c>
      <c r="C14342" t="str">
        <f>"8314296"</f>
        <v>8314296</v>
      </c>
      <c r="D14342" t="s">
        <v>43626</v>
      </c>
      <c r="E14342" t="s">
        <v>43627</v>
      </c>
      <c r="F14342" t="s">
        <v>43628</v>
      </c>
      <c r="I14342" t="s">
        <v>184</v>
      </c>
      <c r="J14342" t="s">
        <v>30</v>
      </c>
      <c r="K14342" t="s">
        <v>43629</v>
      </c>
      <c r="M14342" t="s">
        <v>17861</v>
      </c>
      <c r="N14342" t="str">
        <f>"10/7/2020 7:50:00 PM"</f>
        <v>10/7/2020 7:50:00 PM</v>
      </c>
      <c r="O14342" t="s">
        <v>43626</v>
      </c>
      <c r="T14342" t="s">
        <v>43627</v>
      </c>
    </row>
    <row r="14343" spans="1:20" x14ac:dyDescent="0.25">
      <c r="A14343" t="str">
        <f>"3045236"</f>
        <v>3045236</v>
      </c>
      <c r="B14343" t="s">
        <v>43630</v>
      </c>
      <c r="C14343" t="str">
        <f>"8314297"</f>
        <v>8314297</v>
      </c>
      <c r="D14343" t="s">
        <v>43631</v>
      </c>
      <c r="E14343" t="s">
        <v>43632</v>
      </c>
      <c r="F14343" t="s">
        <v>43633</v>
      </c>
      <c r="I14343" t="s">
        <v>29</v>
      </c>
      <c r="J14343" t="s">
        <v>30</v>
      </c>
      <c r="K14343" t="s">
        <v>43634</v>
      </c>
      <c r="M14343" t="s">
        <v>17861</v>
      </c>
      <c r="N14343" t="str">
        <f>"10/7/2020 7:55:00 PM"</f>
        <v>10/7/2020 7:55:00 PM</v>
      </c>
      <c r="O14343" t="s">
        <v>43631</v>
      </c>
      <c r="T14343" t="s">
        <v>43632</v>
      </c>
    </row>
    <row r="14344" spans="1:20" x14ac:dyDescent="0.25">
      <c r="A14344" t="str">
        <f>"3041685"</f>
        <v>3041685</v>
      </c>
      <c r="B14344" t="s">
        <v>43635</v>
      </c>
      <c r="C14344" t="str">
        <f>"8314298"</f>
        <v>8314298</v>
      </c>
      <c r="D14344" t="s">
        <v>43636</v>
      </c>
      <c r="F14344" t="s">
        <v>43637</v>
      </c>
      <c r="I14344" t="s">
        <v>471</v>
      </c>
      <c r="J14344" t="s">
        <v>30</v>
      </c>
      <c r="K14344" t="s">
        <v>43638</v>
      </c>
      <c r="M14344" t="s">
        <v>17861</v>
      </c>
      <c r="N14344" t="str">
        <f>"10/7/2020 7:59:00 PM"</f>
        <v>10/7/2020 7:59:00 PM</v>
      </c>
      <c r="O14344" t="s">
        <v>43636</v>
      </c>
    </row>
    <row r="14345" spans="1:20" x14ac:dyDescent="0.25">
      <c r="A14345" t="str">
        <f>"3062393"</f>
        <v>3062393</v>
      </c>
      <c r="B14345" t="s">
        <v>43639</v>
      </c>
      <c r="C14345" t="str">
        <f>"8314300"</f>
        <v>8314300</v>
      </c>
      <c r="D14345" t="s">
        <v>43640</v>
      </c>
      <c r="E14345" t="s">
        <v>43641</v>
      </c>
      <c r="F14345" t="s">
        <v>43642</v>
      </c>
      <c r="I14345" t="s">
        <v>29</v>
      </c>
      <c r="J14345" t="s">
        <v>30</v>
      </c>
      <c r="K14345" t="s">
        <v>39024</v>
      </c>
      <c r="M14345" t="s">
        <v>17861</v>
      </c>
      <c r="N14345" t="str">
        <f>"10/7/2020 8:07:00 PM"</f>
        <v>10/7/2020 8:07:00 PM</v>
      </c>
      <c r="O14345" t="s">
        <v>43640</v>
      </c>
      <c r="T14345" t="s">
        <v>43641</v>
      </c>
    </row>
    <row r="14346" spans="1:20" x14ac:dyDescent="0.25">
      <c r="A14346" t="str">
        <f>"3055204"</f>
        <v>3055204</v>
      </c>
      <c r="B14346" t="s">
        <v>43643</v>
      </c>
      <c r="C14346" t="str">
        <f>"8314192"</f>
        <v>8314192</v>
      </c>
      <c r="D14346" t="s">
        <v>43644</v>
      </c>
      <c r="E14346" t="s">
        <v>43645</v>
      </c>
      <c r="F14346" t="s">
        <v>43646</v>
      </c>
      <c r="I14346" t="s">
        <v>29</v>
      </c>
      <c r="J14346" t="s">
        <v>30</v>
      </c>
      <c r="K14346" t="s">
        <v>42324</v>
      </c>
      <c r="M14346" t="s">
        <v>17861</v>
      </c>
      <c r="N14346" t="str">
        <f>"9/22/2020 1:55:00 PM"</f>
        <v>9/22/2020 1:55:00 PM</v>
      </c>
      <c r="O14346" t="s">
        <v>43644</v>
      </c>
      <c r="T14346" t="s">
        <v>43645</v>
      </c>
    </row>
    <row r="14347" spans="1:20" x14ac:dyDescent="0.25">
      <c r="A14347" t="str">
        <f>"3056163"</f>
        <v>3056163</v>
      </c>
      <c r="B14347" t="s">
        <v>43647</v>
      </c>
      <c r="C14347" t="str">
        <f>"8314196"</f>
        <v>8314196</v>
      </c>
      <c r="D14347" t="s">
        <v>43648</v>
      </c>
      <c r="F14347" t="s">
        <v>15896</v>
      </c>
      <c r="I14347" t="s">
        <v>9580</v>
      </c>
      <c r="J14347" t="s">
        <v>30</v>
      </c>
      <c r="K14347" t="s">
        <v>43649</v>
      </c>
      <c r="M14347" t="s">
        <v>17861</v>
      </c>
      <c r="N14347" t="str">
        <f>"9/22/2020 2:21:00 PM"</f>
        <v>9/22/2020 2:21:00 PM</v>
      </c>
      <c r="O14347" t="s">
        <v>43648</v>
      </c>
    </row>
    <row r="14348" spans="1:20" x14ac:dyDescent="0.25">
      <c r="A14348" t="str">
        <f>"3056179"</f>
        <v>3056179</v>
      </c>
      <c r="B14348" t="s">
        <v>43650</v>
      </c>
      <c r="C14348" t="str">
        <f>"8314196"</f>
        <v>8314196</v>
      </c>
      <c r="D14348" t="s">
        <v>43648</v>
      </c>
      <c r="F14348" t="s">
        <v>15896</v>
      </c>
      <c r="I14348" t="s">
        <v>9580</v>
      </c>
      <c r="J14348" t="s">
        <v>30</v>
      </c>
      <c r="K14348" t="s">
        <v>43649</v>
      </c>
      <c r="M14348" t="s">
        <v>17861</v>
      </c>
      <c r="N14348" t="str">
        <f>"9/22/2020 2:21:00 PM"</f>
        <v>9/22/2020 2:21:00 PM</v>
      </c>
      <c r="O14348" t="s">
        <v>43648</v>
      </c>
    </row>
    <row r="14349" spans="1:20" x14ac:dyDescent="0.25">
      <c r="A14349" t="str">
        <f>"3056026"</f>
        <v>3056026</v>
      </c>
      <c r="B14349" t="s">
        <v>43651</v>
      </c>
      <c r="C14349" t="str">
        <f>"8314196"</f>
        <v>8314196</v>
      </c>
      <c r="D14349" t="s">
        <v>43648</v>
      </c>
      <c r="F14349" t="s">
        <v>15896</v>
      </c>
      <c r="I14349" t="s">
        <v>9580</v>
      </c>
      <c r="J14349" t="s">
        <v>30</v>
      </c>
      <c r="K14349" t="s">
        <v>43649</v>
      </c>
      <c r="M14349" t="s">
        <v>17861</v>
      </c>
      <c r="N14349" t="str">
        <f>"9/22/2020 2:21:00 PM"</f>
        <v>9/22/2020 2:21:00 PM</v>
      </c>
      <c r="O14349" t="s">
        <v>43648</v>
      </c>
    </row>
    <row r="14350" spans="1:20" x14ac:dyDescent="0.25">
      <c r="A14350" t="str">
        <f>"3055752"</f>
        <v>3055752</v>
      </c>
      <c r="B14350" t="s">
        <v>43652</v>
      </c>
      <c r="C14350" t="str">
        <f>"8314198"</f>
        <v>8314198</v>
      </c>
      <c r="D14350" t="s">
        <v>43653</v>
      </c>
      <c r="F14350" t="s">
        <v>43654</v>
      </c>
      <c r="I14350" t="s">
        <v>9580</v>
      </c>
      <c r="J14350" t="s">
        <v>30</v>
      </c>
      <c r="K14350" t="s">
        <v>43655</v>
      </c>
      <c r="M14350" t="s">
        <v>17861</v>
      </c>
      <c r="N14350" t="str">
        <f>"9/22/2020 2:52:00 PM"</f>
        <v>9/22/2020 2:52:00 PM</v>
      </c>
      <c r="O14350" t="s">
        <v>43653</v>
      </c>
    </row>
    <row r="14351" spans="1:20" x14ac:dyDescent="0.25">
      <c r="A14351" t="str">
        <f>"3055371"</f>
        <v>3055371</v>
      </c>
      <c r="B14351" t="s">
        <v>43656</v>
      </c>
      <c r="C14351" t="str">
        <f>"8314199"</f>
        <v>8314199</v>
      </c>
      <c r="D14351" t="s">
        <v>43657</v>
      </c>
      <c r="E14351" t="s">
        <v>43658</v>
      </c>
      <c r="F14351" t="s">
        <v>43659</v>
      </c>
      <c r="I14351" t="s">
        <v>29</v>
      </c>
      <c r="J14351" t="s">
        <v>30</v>
      </c>
      <c r="K14351" t="s">
        <v>43660</v>
      </c>
      <c r="M14351" t="s">
        <v>17861</v>
      </c>
      <c r="N14351" t="str">
        <f>"9/22/2020 2:55:00 PM"</f>
        <v>9/22/2020 2:55:00 PM</v>
      </c>
      <c r="O14351" t="s">
        <v>43657</v>
      </c>
      <c r="T14351" t="s">
        <v>43658</v>
      </c>
    </row>
    <row r="14352" spans="1:20" x14ac:dyDescent="0.25">
      <c r="A14352" t="str">
        <f>"3046641"</f>
        <v>3046641</v>
      </c>
      <c r="B14352" t="s">
        <v>43661</v>
      </c>
      <c r="C14352" t="str">
        <f>"8314241"</f>
        <v>8314241</v>
      </c>
      <c r="D14352" t="s">
        <v>43662</v>
      </c>
      <c r="E14352" t="s">
        <v>43663</v>
      </c>
      <c r="F14352" t="s">
        <v>43664</v>
      </c>
      <c r="I14352" t="s">
        <v>471</v>
      </c>
      <c r="J14352" t="s">
        <v>30</v>
      </c>
      <c r="K14352" t="s">
        <v>43665</v>
      </c>
      <c r="M14352" t="s">
        <v>17861</v>
      </c>
      <c r="N14352" t="str">
        <f>"10/1/2020 1:15:00 PM"</f>
        <v>10/1/2020 1:15:00 PM</v>
      </c>
      <c r="O14352" t="s">
        <v>43662</v>
      </c>
      <c r="T14352" t="s">
        <v>43663</v>
      </c>
    </row>
    <row r="14353" spans="1:20" x14ac:dyDescent="0.25">
      <c r="A14353" t="str">
        <f>"3041244"</f>
        <v>3041244</v>
      </c>
      <c r="B14353" t="s">
        <v>43666</v>
      </c>
      <c r="C14353" t="str">
        <f>"8314247"</f>
        <v>8314247</v>
      </c>
      <c r="D14353" t="s">
        <v>43667</v>
      </c>
      <c r="F14353" t="s">
        <v>43668</v>
      </c>
      <c r="I14353" t="s">
        <v>2071</v>
      </c>
      <c r="J14353" t="s">
        <v>30</v>
      </c>
      <c r="K14353" t="s">
        <v>2342</v>
      </c>
      <c r="M14353" t="s">
        <v>17861</v>
      </c>
      <c r="N14353" t="str">
        <f>"10/1/2020 2:04:00 PM"</f>
        <v>10/1/2020 2:04:00 PM</v>
      </c>
      <c r="O14353" t="s">
        <v>43667</v>
      </c>
    </row>
    <row r="14354" spans="1:20" x14ac:dyDescent="0.25">
      <c r="A14354" t="str">
        <f>"3037317"</f>
        <v>3037317</v>
      </c>
      <c r="B14354" t="s">
        <v>43669</v>
      </c>
      <c r="C14354" t="str">
        <f>"8314248"</f>
        <v>8314248</v>
      </c>
      <c r="D14354" t="s">
        <v>43670</v>
      </c>
      <c r="E14354" t="s">
        <v>43671</v>
      </c>
      <c r="F14354" t="s">
        <v>43672</v>
      </c>
      <c r="I14354" t="s">
        <v>184</v>
      </c>
      <c r="J14354" t="s">
        <v>30</v>
      </c>
      <c r="K14354" t="s">
        <v>36414</v>
      </c>
      <c r="M14354" t="s">
        <v>17861</v>
      </c>
      <c r="N14354" t="str">
        <f>"10/1/2020 2:14:00 PM"</f>
        <v>10/1/2020 2:14:00 PM</v>
      </c>
      <c r="O14354" t="s">
        <v>43670</v>
      </c>
      <c r="T14354" t="s">
        <v>43671</v>
      </c>
    </row>
    <row r="14355" spans="1:20" x14ac:dyDescent="0.25">
      <c r="A14355" t="str">
        <f>"3051605"</f>
        <v>3051605</v>
      </c>
      <c r="B14355" t="s">
        <v>43673</v>
      </c>
      <c r="C14355" t="str">
        <f>"8314254"</f>
        <v>8314254</v>
      </c>
      <c r="D14355" t="s">
        <v>1751</v>
      </c>
      <c r="F14355" t="s">
        <v>43544</v>
      </c>
      <c r="I14355" t="s">
        <v>471</v>
      </c>
      <c r="J14355" t="s">
        <v>30</v>
      </c>
      <c r="K14355" t="s">
        <v>43545</v>
      </c>
      <c r="M14355" t="s">
        <v>17861</v>
      </c>
      <c r="N14355" t="str">
        <f>"10/1/2020 2:45:00 PM"</f>
        <v>10/1/2020 2:45:00 PM</v>
      </c>
      <c r="O14355" t="s">
        <v>1751</v>
      </c>
    </row>
    <row r="14356" spans="1:20" x14ac:dyDescent="0.25">
      <c r="A14356" t="str">
        <f>"3050715"</f>
        <v>3050715</v>
      </c>
      <c r="B14356" t="s">
        <v>43674</v>
      </c>
      <c r="C14356" t="str">
        <f>"8314262"</f>
        <v>8314262</v>
      </c>
      <c r="D14356" t="s">
        <v>43675</v>
      </c>
      <c r="E14356" t="s">
        <v>43676</v>
      </c>
      <c r="F14356" t="s">
        <v>43677</v>
      </c>
      <c r="I14356" t="s">
        <v>184</v>
      </c>
      <c r="J14356" t="s">
        <v>30</v>
      </c>
      <c r="K14356" t="s">
        <v>10555</v>
      </c>
      <c r="M14356" t="s">
        <v>17861</v>
      </c>
      <c r="N14356" t="str">
        <f>"10/1/2020 3:20:00 PM"</f>
        <v>10/1/2020 3:20:00 PM</v>
      </c>
      <c r="O14356" t="s">
        <v>43675</v>
      </c>
      <c r="T14356" t="s">
        <v>43676</v>
      </c>
    </row>
    <row r="14357" spans="1:20" x14ac:dyDescent="0.25">
      <c r="A14357" t="str">
        <f>"3058493"</f>
        <v>3058493</v>
      </c>
      <c r="B14357" t="s">
        <v>43678</v>
      </c>
      <c r="C14357" t="str">
        <f>"8314263"</f>
        <v>8314263</v>
      </c>
      <c r="D14357" t="s">
        <v>43679</v>
      </c>
      <c r="F14357" t="s">
        <v>43298</v>
      </c>
      <c r="I14357" t="s">
        <v>471</v>
      </c>
      <c r="J14357" t="s">
        <v>30</v>
      </c>
      <c r="K14357" t="s">
        <v>43299</v>
      </c>
      <c r="M14357" t="s">
        <v>17861</v>
      </c>
      <c r="N14357" t="str">
        <f>"10/1/2020 3:23:00 PM"</f>
        <v>10/1/2020 3:23:00 PM</v>
      </c>
      <c r="O14357" t="s">
        <v>43679</v>
      </c>
    </row>
    <row r="14358" spans="1:20" x14ac:dyDescent="0.25">
      <c r="A14358" t="str">
        <f>"3043285"</f>
        <v>3043285</v>
      </c>
      <c r="B14358" t="s">
        <v>43680</v>
      </c>
      <c r="C14358" t="str">
        <f>"82525340"</f>
        <v>82525340</v>
      </c>
      <c r="D14358" t="s">
        <v>43681</v>
      </c>
      <c r="F14358" t="s">
        <v>43682</v>
      </c>
      <c r="I14358" t="s">
        <v>29</v>
      </c>
      <c r="J14358" t="s">
        <v>30</v>
      </c>
      <c r="K14358" t="s">
        <v>31</v>
      </c>
      <c r="M14358" t="s">
        <v>33845</v>
      </c>
      <c r="N14358" t="str">
        <f>"10/13/2020 10:15:00 AM"</f>
        <v>10/13/2020 10:15:00 AM</v>
      </c>
      <c r="O14358" t="s">
        <v>43681</v>
      </c>
    </row>
    <row r="14359" spans="1:20" x14ac:dyDescent="0.25">
      <c r="A14359" t="str">
        <f>"3046963"</f>
        <v>3046963</v>
      </c>
      <c r="B14359" t="s">
        <v>43683</v>
      </c>
      <c r="C14359" t="str">
        <f>"8314266"</f>
        <v>8314266</v>
      </c>
      <c r="D14359" t="s">
        <v>43684</v>
      </c>
      <c r="F14359" t="s">
        <v>43685</v>
      </c>
      <c r="I14359" t="s">
        <v>29</v>
      </c>
      <c r="J14359" t="s">
        <v>30</v>
      </c>
      <c r="K14359" t="s">
        <v>23230</v>
      </c>
      <c r="M14359" t="s">
        <v>17861</v>
      </c>
      <c r="N14359" t="str">
        <f>"10/1/2020 3:36:00 PM"</f>
        <v>10/1/2020 3:36:00 PM</v>
      </c>
      <c r="O14359" t="s">
        <v>43684</v>
      </c>
    </row>
    <row r="14360" spans="1:20" x14ac:dyDescent="0.25">
      <c r="A14360" t="str">
        <f>"3058304"</f>
        <v>3058304</v>
      </c>
      <c r="B14360" t="s">
        <v>43686</v>
      </c>
      <c r="C14360" t="str">
        <f>"8314267"</f>
        <v>8314267</v>
      </c>
      <c r="D14360" t="s">
        <v>43687</v>
      </c>
      <c r="E14360" t="s">
        <v>43688</v>
      </c>
      <c r="F14360" t="s">
        <v>43689</v>
      </c>
      <c r="I14360" t="s">
        <v>29</v>
      </c>
      <c r="J14360" t="s">
        <v>30</v>
      </c>
      <c r="K14360" t="s">
        <v>34805</v>
      </c>
      <c r="M14360" t="s">
        <v>17861</v>
      </c>
      <c r="N14360" t="str">
        <f>"10/1/2020 3:43:00 PM"</f>
        <v>10/1/2020 3:43:00 PM</v>
      </c>
      <c r="O14360" t="s">
        <v>43687</v>
      </c>
      <c r="T14360" t="s">
        <v>43688</v>
      </c>
    </row>
    <row r="14361" spans="1:20" x14ac:dyDescent="0.25">
      <c r="A14361" t="str">
        <f>"3051904"</f>
        <v>3051904</v>
      </c>
      <c r="B14361" t="s">
        <v>43690</v>
      </c>
      <c r="C14361" t="str">
        <f>"8314268"</f>
        <v>8314268</v>
      </c>
      <c r="D14361" t="s">
        <v>43691</v>
      </c>
      <c r="F14361" t="s">
        <v>43692</v>
      </c>
      <c r="I14361" t="s">
        <v>29</v>
      </c>
      <c r="J14361" t="s">
        <v>30</v>
      </c>
      <c r="K14361" t="s">
        <v>25809</v>
      </c>
      <c r="M14361" t="s">
        <v>17861</v>
      </c>
      <c r="N14361" t="str">
        <f>"10/1/2020 3:45:00 PM"</f>
        <v>10/1/2020 3:45:00 PM</v>
      </c>
      <c r="O14361" t="s">
        <v>43691</v>
      </c>
    </row>
    <row r="14362" spans="1:20" x14ac:dyDescent="0.25">
      <c r="A14362" t="str">
        <f>"3051494"</f>
        <v>3051494</v>
      </c>
      <c r="B14362" t="s">
        <v>43693</v>
      </c>
      <c r="C14362" t="str">
        <f>"79816000"</f>
        <v>79816000</v>
      </c>
      <c r="D14362" t="s">
        <v>43694</v>
      </c>
      <c r="F14362" t="s">
        <v>43695</v>
      </c>
      <c r="I14362" t="s">
        <v>29</v>
      </c>
      <c r="J14362" t="s">
        <v>30</v>
      </c>
      <c r="K14362" t="s">
        <v>31</v>
      </c>
      <c r="M14362" t="s">
        <v>33845</v>
      </c>
      <c r="N14362" t="str">
        <f>"10/5/2020 11:31:00 AM"</f>
        <v>10/5/2020 11:31:00 AM</v>
      </c>
      <c r="O14362" t="s">
        <v>43694</v>
      </c>
    </row>
    <row r="14363" spans="1:20" x14ac:dyDescent="0.25">
      <c r="A14363" t="str">
        <f>"3060355"</f>
        <v>3060355</v>
      </c>
      <c r="B14363" t="s">
        <v>43696</v>
      </c>
      <c r="C14363" t="str">
        <f>"8313112"</f>
        <v>8313112</v>
      </c>
      <c r="D14363" t="s">
        <v>43589</v>
      </c>
      <c r="E14363" t="s">
        <v>43590</v>
      </c>
      <c r="F14363" t="s">
        <v>43591</v>
      </c>
      <c r="I14363" t="s">
        <v>29</v>
      </c>
      <c r="J14363" t="s">
        <v>30</v>
      </c>
      <c r="K14363" t="s">
        <v>42192</v>
      </c>
      <c r="M14363" t="s">
        <v>33432</v>
      </c>
      <c r="N14363" t="str">
        <f>"10/6/2020 4:06:00 PM"</f>
        <v>10/6/2020 4:06:00 PM</v>
      </c>
      <c r="O14363" t="s">
        <v>43589</v>
      </c>
      <c r="T14363" t="s">
        <v>43590</v>
      </c>
    </row>
    <row r="14364" spans="1:20" x14ac:dyDescent="0.25">
      <c r="A14364" t="str">
        <f>"3060760"</f>
        <v>3060760</v>
      </c>
      <c r="B14364" t="s">
        <v>43697</v>
      </c>
      <c r="C14364" t="str">
        <f>"8314289"</f>
        <v>8314289</v>
      </c>
      <c r="D14364" t="s">
        <v>43698</v>
      </c>
      <c r="E14364" t="str">
        <f>"SANDELL JOHN/JANICE"</f>
        <v>SANDELL JOHN/JANICE</v>
      </c>
      <c r="F14364" t="s">
        <v>43699</v>
      </c>
      <c r="I14364" t="s">
        <v>2071</v>
      </c>
      <c r="J14364" t="s">
        <v>30</v>
      </c>
      <c r="K14364" t="s">
        <v>33558</v>
      </c>
      <c r="M14364" t="s">
        <v>17861</v>
      </c>
      <c r="N14364" t="str">
        <f>"10/7/2020 3:36:00 PM"</f>
        <v>10/7/2020 3:36:00 PM</v>
      </c>
      <c r="O14364" t="s">
        <v>43698</v>
      </c>
      <c r="T14364" t="str">
        <f>"SANDELL JOHN/JANICE"</f>
        <v>SANDELL JOHN/JANICE</v>
      </c>
    </row>
    <row r="14365" spans="1:20" x14ac:dyDescent="0.25">
      <c r="A14365" t="str">
        <f>"3041218"</f>
        <v>3041218</v>
      </c>
      <c r="B14365" t="s">
        <v>43700</v>
      </c>
      <c r="C14365" t="str">
        <f>"8314290"</f>
        <v>8314290</v>
      </c>
      <c r="D14365" t="s">
        <v>43701</v>
      </c>
      <c r="E14365" t="s">
        <v>43702</v>
      </c>
      <c r="F14365" t="s">
        <v>43703</v>
      </c>
      <c r="I14365" t="s">
        <v>2071</v>
      </c>
      <c r="J14365" t="s">
        <v>30</v>
      </c>
      <c r="K14365" t="s">
        <v>39936</v>
      </c>
      <c r="M14365" t="s">
        <v>17861</v>
      </c>
      <c r="N14365" t="str">
        <f>"10/7/2020 3:39:00 PM"</f>
        <v>10/7/2020 3:39:00 PM</v>
      </c>
      <c r="O14365" t="s">
        <v>43701</v>
      </c>
      <c r="T14365" t="s">
        <v>43702</v>
      </c>
    </row>
    <row r="14366" spans="1:20" x14ac:dyDescent="0.25">
      <c r="A14366" t="str">
        <f>"3047423"</f>
        <v>3047423</v>
      </c>
      <c r="B14366" t="s">
        <v>43704</v>
      </c>
      <c r="C14366" t="str">
        <f>"8314292"</f>
        <v>8314292</v>
      </c>
      <c r="D14366" t="s">
        <v>43705</v>
      </c>
      <c r="E14366" t="s">
        <v>43706</v>
      </c>
      <c r="F14366" t="s">
        <v>43707</v>
      </c>
      <c r="I14366" t="s">
        <v>471</v>
      </c>
      <c r="J14366" t="s">
        <v>30</v>
      </c>
      <c r="K14366" t="str">
        <f>"27107"</f>
        <v>27107</v>
      </c>
      <c r="M14366" t="s">
        <v>17861</v>
      </c>
      <c r="N14366" t="str">
        <f>"10/7/2020 3:50:00 PM"</f>
        <v>10/7/2020 3:50:00 PM</v>
      </c>
      <c r="O14366" t="s">
        <v>43705</v>
      </c>
      <c r="T14366" t="s">
        <v>43706</v>
      </c>
    </row>
    <row r="14367" spans="1:20" x14ac:dyDescent="0.25">
      <c r="A14367" t="str">
        <f>"3062085"</f>
        <v>3062085</v>
      </c>
      <c r="B14367" t="s">
        <v>43708</v>
      </c>
      <c r="C14367" t="str">
        <f>"8301835"</f>
        <v>8301835</v>
      </c>
      <c r="D14367" t="s">
        <v>43709</v>
      </c>
      <c r="F14367" t="s">
        <v>1129</v>
      </c>
      <c r="I14367" t="s">
        <v>29</v>
      </c>
      <c r="J14367" t="s">
        <v>30</v>
      </c>
      <c r="K14367" t="str">
        <f>"27028"</f>
        <v>27028</v>
      </c>
      <c r="M14367" t="s">
        <v>33845</v>
      </c>
      <c r="N14367" t="str">
        <f>"10/1/2020 9:29:00 AM"</f>
        <v>10/1/2020 9:29:00 AM</v>
      </c>
      <c r="O14367" t="s">
        <v>43709</v>
      </c>
    </row>
    <row r="14368" spans="1:20" x14ac:dyDescent="0.25">
      <c r="A14368" t="str">
        <f>"3041773"</f>
        <v>3041773</v>
      </c>
      <c r="B14368" t="s">
        <v>43710</v>
      </c>
      <c r="C14368" t="str">
        <f>"8314231"</f>
        <v>8314231</v>
      </c>
      <c r="D14368" t="s">
        <v>43711</v>
      </c>
      <c r="E14368" t="s">
        <v>43712</v>
      </c>
      <c r="F14368" t="s">
        <v>43713</v>
      </c>
      <c r="I14368" t="s">
        <v>2071</v>
      </c>
      <c r="J14368" t="s">
        <v>30</v>
      </c>
      <c r="K14368" t="s">
        <v>3837</v>
      </c>
      <c r="M14368" t="s">
        <v>17861</v>
      </c>
      <c r="N14368" t="str">
        <f>"10/1/2020 9:30:00 AM"</f>
        <v>10/1/2020 9:30:00 AM</v>
      </c>
      <c r="O14368" t="s">
        <v>43711</v>
      </c>
      <c r="T14368" t="s">
        <v>43712</v>
      </c>
    </row>
    <row r="14369" spans="1:20" x14ac:dyDescent="0.25">
      <c r="A14369" t="str">
        <f>"3058141"</f>
        <v>3058141</v>
      </c>
      <c r="B14369" t="s">
        <v>43714</v>
      </c>
      <c r="C14369" t="str">
        <f>"8314232"</f>
        <v>8314232</v>
      </c>
      <c r="D14369" t="s">
        <v>43715</v>
      </c>
      <c r="F14369" t="s">
        <v>43716</v>
      </c>
      <c r="I14369" t="s">
        <v>29</v>
      </c>
      <c r="J14369" t="s">
        <v>30</v>
      </c>
      <c r="K14369" t="s">
        <v>13727</v>
      </c>
      <c r="M14369" t="s">
        <v>17861</v>
      </c>
      <c r="N14369" t="str">
        <f>"10/1/2020 9:34:00 AM"</f>
        <v>10/1/2020 9:34:00 AM</v>
      </c>
      <c r="O14369" t="s">
        <v>43715</v>
      </c>
    </row>
    <row r="14370" spans="1:20" x14ac:dyDescent="0.25">
      <c r="A14370" t="str">
        <f>"3046862"</f>
        <v>3046862</v>
      </c>
      <c r="B14370" t="s">
        <v>43717</v>
      </c>
      <c r="C14370" t="str">
        <f>"8314234"</f>
        <v>8314234</v>
      </c>
      <c r="D14370" t="s">
        <v>43718</v>
      </c>
      <c r="E14370" t="str">
        <f>"ALLEN MICHELLE A/CHARLES P"</f>
        <v>ALLEN MICHELLE A/CHARLES P</v>
      </c>
      <c r="F14370" t="s">
        <v>43719</v>
      </c>
      <c r="I14370" t="s">
        <v>29</v>
      </c>
      <c r="J14370" t="s">
        <v>30</v>
      </c>
      <c r="K14370" t="s">
        <v>8843</v>
      </c>
      <c r="M14370" t="s">
        <v>17861</v>
      </c>
      <c r="N14370" t="str">
        <f>"10/1/2020 9:45:00 AM"</f>
        <v>10/1/2020 9:45:00 AM</v>
      </c>
      <c r="O14370" t="s">
        <v>43718</v>
      </c>
      <c r="T14370" t="str">
        <f>"ALLEN MICHELLE A/CHARLES P"</f>
        <v>ALLEN MICHELLE A/CHARLES P</v>
      </c>
    </row>
    <row r="14371" spans="1:20" x14ac:dyDescent="0.25">
      <c r="A14371" t="str">
        <f>"3041236"</f>
        <v>3041236</v>
      </c>
      <c r="B14371" t="s">
        <v>43720</v>
      </c>
      <c r="C14371" t="str">
        <f>"8305650"</f>
        <v>8305650</v>
      </c>
      <c r="D14371" t="s">
        <v>43721</v>
      </c>
      <c r="E14371" t="s">
        <v>43722</v>
      </c>
      <c r="F14371" t="s">
        <v>43723</v>
      </c>
      <c r="I14371" t="s">
        <v>2071</v>
      </c>
      <c r="J14371" t="s">
        <v>30</v>
      </c>
      <c r="K14371" t="str">
        <f>"27006"</f>
        <v>27006</v>
      </c>
      <c r="M14371" t="s">
        <v>25733</v>
      </c>
      <c r="N14371" t="str">
        <f>"10/13/2020 9:29:00 AM"</f>
        <v>10/13/2020 9:29:00 AM</v>
      </c>
      <c r="O14371" t="s">
        <v>43721</v>
      </c>
      <c r="T14371" t="s">
        <v>43722</v>
      </c>
    </row>
    <row r="14372" spans="1:20" x14ac:dyDescent="0.25">
      <c r="A14372" t="str">
        <f>"3043448"</f>
        <v>3043448</v>
      </c>
      <c r="B14372" t="s">
        <v>43724</v>
      </c>
      <c r="C14372" t="str">
        <f>"82525340"</f>
        <v>82525340</v>
      </c>
      <c r="D14372" t="s">
        <v>43681</v>
      </c>
      <c r="F14372" t="s">
        <v>43682</v>
      </c>
      <c r="I14372" t="s">
        <v>29</v>
      </c>
      <c r="J14372" t="s">
        <v>30</v>
      </c>
      <c r="K14372" t="s">
        <v>31</v>
      </c>
      <c r="M14372" t="s">
        <v>33845</v>
      </c>
      <c r="N14372" t="str">
        <f>"10/13/2020 10:15:00 AM"</f>
        <v>10/13/2020 10:15:00 AM</v>
      </c>
      <c r="O14372" t="s">
        <v>43681</v>
      </c>
    </row>
    <row r="14373" spans="1:20" x14ac:dyDescent="0.25">
      <c r="A14373" t="str">
        <f>"3041787"</f>
        <v>3041787</v>
      </c>
      <c r="B14373" t="s">
        <v>43725</v>
      </c>
      <c r="C14373" t="str">
        <f>"8306079"</f>
        <v>8306079</v>
      </c>
      <c r="D14373" t="s">
        <v>43726</v>
      </c>
      <c r="F14373" t="s">
        <v>43727</v>
      </c>
      <c r="I14373" t="s">
        <v>2071</v>
      </c>
      <c r="J14373" t="s">
        <v>30</v>
      </c>
      <c r="K14373" t="str">
        <f>"27006"</f>
        <v>27006</v>
      </c>
      <c r="M14373" t="s">
        <v>33845</v>
      </c>
      <c r="N14373" t="str">
        <f>"10/13/2020 11:26:00 AM"</f>
        <v>10/13/2020 11:26:00 AM</v>
      </c>
      <c r="O14373" t="s">
        <v>43726</v>
      </c>
    </row>
    <row r="14374" spans="1:20" x14ac:dyDescent="0.25">
      <c r="A14374" t="str">
        <f>"3041416"</f>
        <v>3041416</v>
      </c>
      <c r="B14374" t="s">
        <v>43728</v>
      </c>
      <c r="C14374" t="str">
        <f>"8314357"</f>
        <v>8314357</v>
      </c>
      <c r="D14374" t="s">
        <v>43729</v>
      </c>
      <c r="F14374" t="s">
        <v>43730</v>
      </c>
      <c r="I14374" t="s">
        <v>2071</v>
      </c>
      <c r="J14374" t="s">
        <v>30</v>
      </c>
      <c r="K14374" t="s">
        <v>32842</v>
      </c>
      <c r="M14374" t="s">
        <v>17861</v>
      </c>
      <c r="N14374" t="str">
        <f>"10/19/2020 2:55:00 PM"</f>
        <v>10/19/2020 2:55:00 PM</v>
      </c>
      <c r="O14374" t="s">
        <v>43729</v>
      </c>
    </row>
    <row r="14375" spans="1:20" x14ac:dyDescent="0.25">
      <c r="A14375" t="str">
        <f>"3050240"</f>
        <v>3050240</v>
      </c>
      <c r="B14375" t="s">
        <v>43731</v>
      </c>
      <c r="C14375" t="str">
        <f>"8300657"</f>
        <v>8300657</v>
      </c>
      <c r="D14375" t="s">
        <v>43732</v>
      </c>
      <c r="F14375" t="s">
        <v>43733</v>
      </c>
      <c r="I14375" t="s">
        <v>17921</v>
      </c>
      <c r="J14375" t="s">
        <v>30</v>
      </c>
      <c r="K14375" t="str">
        <f>"27028"</f>
        <v>27028</v>
      </c>
      <c r="M14375" t="s">
        <v>41454</v>
      </c>
      <c r="N14375" t="str">
        <f>"10/20/2020 11:56:00 AM"</f>
        <v>10/20/2020 11:56:00 AM</v>
      </c>
      <c r="O14375" t="s">
        <v>43732</v>
      </c>
    </row>
    <row r="14376" spans="1:20" x14ac:dyDescent="0.25">
      <c r="A14376" t="str">
        <f>"3056904"</f>
        <v>3056904</v>
      </c>
      <c r="B14376" t="s">
        <v>43734</v>
      </c>
      <c r="C14376" t="str">
        <f>"8300657"</f>
        <v>8300657</v>
      </c>
      <c r="D14376" t="s">
        <v>43732</v>
      </c>
      <c r="F14376" t="s">
        <v>43733</v>
      </c>
      <c r="I14376" t="s">
        <v>17921</v>
      </c>
      <c r="J14376" t="s">
        <v>30</v>
      </c>
      <c r="K14376" t="str">
        <f>"27028"</f>
        <v>27028</v>
      </c>
      <c r="M14376" t="s">
        <v>41454</v>
      </c>
      <c r="N14376" t="str">
        <f>"10/20/2020 11:56:00 AM"</f>
        <v>10/20/2020 11:56:00 AM</v>
      </c>
      <c r="O14376" t="s">
        <v>43732</v>
      </c>
    </row>
    <row r="14377" spans="1:20" x14ac:dyDescent="0.25">
      <c r="A14377" t="str">
        <f>"3040865"</f>
        <v>3040865</v>
      </c>
      <c r="B14377" t="s">
        <v>43735</v>
      </c>
      <c r="C14377" t="str">
        <f>"8314369"</f>
        <v>8314369</v>
      </c>
      <c r="D14377" t="s">
        <v>43736</v>
      </c>
      <c r="F14377" t="s">
        <v>4657</v>
      </c>
      <c r="I14377" t="s">
        <v>184</v>
      </c>
      <c r="J14377" t="s">
        <v>30</v>
      </c>
      <c r="K14377" t="s">
        <v>19348</v>
      </c>
      <c r="M14377" t="s">
        <v>17861</v>
      </c>
      <c r="N14377" t="str">
        <f>"10/20/2020 1:39:00 PM"</f>
        <v>10/20/2020 1:39:00 PM</v>
      </c>
      <c r="O14377" t="s">
        <v>43736</v>
      </c>
    </row>
    <row r="14378" spans="1:20" x14ac:dyDescent="0.25">
      <c r="A14378" t="str">
        <f>"3053538"</f>
        <v>3053538</v>
      </c>
      <c r="B14378" t="s">
        <v>43737</v>
      </c>
      <c r="C14378" t="str">
        <f>"8314371"</f>
        <v>8314371</v>
      </c>
      <c r="D14378" t="s">
        <v>43738</v>
      </c>
      <c r="F14378" t="s">
        <v>43739</v>
      </c>
      <c r="I14378" t="s">
        <v>29</v>
      </c>
      <c r="J14378" t="s">
        <v>30</v>
      </c>
      <c r="K14378" t="s">
        <v>43740</v>
      </c>
      <c r="M14378" t="s">
        <v>17861</v>
      </c>
      <c r="N14378" t="str">
        <f>"10/20/2020 2:20:00 PM"</f>
        <v>10/20/2020 2:20:00 PM</v>
      </c>
      <c r="O14378" t="s">
        <v>43738</v>
      </c>
    </row>
    <row r="14379" spans="1:20" x14ac:dyDescent="0.25">
      <c r="A14379" t="str">
        <f>"3060756"</f>
        <v>3060756</v>
      </c>
      <c r="B14379" t="s">
        <v>43741</v>
      </c>
      <c r="C14379" t="str">
        <f>"8314372"</f>
        <v>8314372</v>
      </c>
      <c r="D14379" t="s">
        <v>43742</v>
      </c>
      <c r="E14379" t="s">
        <v>43743</v>
      </c>
      <c r="F14379" t="s">
        <v>43744</v>
      </c>
      <c r="I14379" t="s">
        <v>184</v>
      </c>
      <c r="J14379" t="s">
        <v>30</v>
      </c>
      <c r="K14379" t="s">
        <v>5057</v>
      </c>
      <c r="M14379" t="s">
        <v>17861</v>
      </c>
      <c r="N14379" t="str">
        <f>"10/20/2020 2:38:00 PM"</f>
        <v>10/20/2020 2:38:00 PM</v>
      </c>
      <c r="O14379" t="s">
        <v>43742</v>
      </c>
      <c r="T14379" t="s">
        <v>43743</v>
      </c>
    </row>
    <row r="14380" spans="1:20" x14ac:dyDescent="0.25">
      <c r="A14380" t="str">
        <f>"3042352"</f>
        <v>3042352</v>
      </c>
      <c r="B14380" t="s">
        <v>43745</v>
      </c>
      <c r="C14380" t="str">
        <f>"8314374"</f>
        <v>8314374</v>
      </c>
      <c r="D14380" t="s">
        <v>43746</v>
      </c>
      <c r="E14380" t="s">
        <v>43747</v>
      </c>
      <c r="F14380" t="s">
        <v>43748</v>
      </c>
      <c r="I14380" t="s">
        <v>184</v>
      </c>
      <c r="J14380" t="s">
        <v>30</v>
      </c>
      <c r="K14380" t="s">
        <v>3457</v>
      </c>
      <c r="M14380" t="s">
        <v>17861</v>
      </c>
      <c r="N14380" t="str">
        <f>"10/20/2020 3:20:00 PM"</f>
        <v>10/20/2020 3:20:00 PM</v>
      </c>
      <c r="O14380" t="s">
        <v>43746</v>
      </c>
      <c r="T14380" t="s">
        <v>43747</v>
      </c>
    </row>
    <row r="14381" spans="1:20" x14ac:dyDescent="0.25">
      <c r="A14381" t="str">
        <f>"3051311"</f>
        <v>3051311</v>
      </c>
      <c r="B14381" t="s">
        <v>43749</v>
      </c>
      <c r="C14381" t="str">
        <f>"8314377"</f>
        <v>8314377</v>
      </c>
      <c r="D14381" t="s">
        <v>43750</v>
      </c>
      <c r="E14381" t="s">
        <v>43751</v>
      </c>
      <c r="F14381" t="s">
        <v>43752</v>
      </c>
      <c r="I14381" t="s">
        <v>29</v>
      </c>
      <c r="J14381" t="s">
        <v>30</v>
      </c>
      <c r="K14381" t="s">
        <v>27190</v>
      </c>
      <c r="M14381" t="s">
        <v>17861</v>
      </c>
      <c r="N14381" t="str">
        <f>"10/20/2020 8:51:00 PM"</f>
        <v>10/20/2020 8:51:00 PM</v>
      </c>
      <c r="O14381" t="s">
        <v>43750</v>
      </c>
      <c r="T14381" t="s">
        <v>43751</v>
      </c>
    </row>
    <row r="14382" spans="1:20" x14ac:dyDescent="0.25">
      <c r="A14382" t="str">
        <f>"3037898"</f>
        <v>3037898</v>
      </c>
      <c r="B14382" t="s">
        <v>43753</v>
      </c>
      <c r="C14382" t="str">
        <f>"8314359"</f>
        <v>8314359</v>
      </c>
      <c r="D14382" t="str">
        <f>"SHELTON L LEONARD/JEAN"</f>
        <v>SHELTON L LEONARD/JEAN</v>
      </c>
      <c r="E14382" t="s">
        <v>43754</v>
      </c>
      <c r="F14382" t="s">
        <v>43755</v>
      </c>
      <c r="I14382" t="s">
        <v>29</v>
      </c>
      <c r="J14382" t="s">
        <v>30</v>
      </c>
      <c r="K14382" t="s">
        <v>198</v>
      </c>
      <c r="M14382" t="s">
        <v>17861</v>
      </c>
      <c r="N14382" t="str">
        <f>"10/19/2020 3:15:00 PM"</f>
        <v>10/19/2020 3:15:00 PM</v>
      </c>
      <c r="O14382" t="str">
        <f>"SHELTON L LEONARD/JEAN"</f>
        <v>SHELTON L LEONARD/JEAN</v>
      </c>
      <c r="T14382" t="s">
        <v>43754</v>
      </c>
    </row>
    <row r="14383" spans="1:20" x14ac:dyDescent="0.25">
      <c r="A14383" t="str">
        <f>"3059941"</f>
        <v>3059941</v>
      </c>
      <c r="B14383" t="s">
        <v>43756</v>
      </c>
      <c r="C14383" t="str">
        <f>"8314366"</f>
        <v>8314366</v>
      </c>
      <c r="D14383" t="s">
        <v>43757</v>
      </c>
      <c r="F14383" t="s">
        <v>43758</v>
      </c>
      <c r="I14383" t="s">
        <v>29</v>
      </c>
      <c r="J14383" t="s">
        <v>30</v>
      </c>
      <c r="K14383" t="s">
        <v>16228</v>
      </c>
      <c r="M14383" t="s">
        <v>17861</v>
      </c>
      <c r="N14383" t="str">
        <f>"10/20/2020 9:33:00 AM"</f>
        <v>10/20/2020 9:33:00 AM</v>
      </c>
      <c r="O14383" t="s">
        <v>43757</v>
      </c>
    </row>
    <row r="14384" spans="1:20" x14ac:dyDescent="0.25">
      <c r="A14384" t="str">
        <f>"3061359"</f>
        <v>3061359</v>
      </c>
      <c r="B14384" t="s">
        <v>43759</v>
      </c>
      <c r="C14384" t="str">
        <f>"8314312"</f>
        <v>8314312</v>
      </c>
      <c r="D14384" t="s">
        <v>43760</v>
      </c>
      <c r="E14384" t="s">
        <v>43761</v>
      </c>
      <c r="F14384" t="s">
        <v>43762</v>
      </c>
      <c r="I14384" t="s">
        <v>184</v>
      </c>
      <c r="J14384" t="s">
        <v>30</v>
      </c>
      <c r="K14384" t="s">
        <v>5200</v>
      </c>
      <c r="M14384" t="s">
        <v>17861</v>
      </c>
      <c r="N14384" t="str">
        <f>"10/8/2020 2:39:00 PM"</f>
        <v>10/8/2020 2:39:00 PM</v>
      </c>
      <c r="O14384" t="s">
        <v>43760</v>
      </c>
      <c r="T14384" t="s">
        <v>43761</v>
      </c>
    </row>
    <row r="14385" spans="1:20" x14ac:dyDescent="0.25">
      <c r="A14385" t="str">
        <f>"3059668"</f>
        <v>3059668</v>
      </c>
      <c r="B14385" t="s">
        <v>43763</v>
      </c>
      <c r="C14385" t="str">
        <f>"8314385"</f>
        <v>8314385</v>
      </c>
      <c r="D14385" t="s">
        <v>43764</v>
      </c>
      <c r="E14385" t="s">
        <v>43765</v>
      </c>
      <c r="F14385" t="s">
        <v>43766</v>
      </c>
      <c r="I14385" t="s">
        <v>29</v>
      </c>
      <c r="J14385" t="s">
        <v>30</v>
      </c>
      <c r="K14385" t="s">
        <v>13608</v>
      </c>
      <c r="M14385" t="s">
        <v>17861</v>
      </c>
      <c r="N14385" t="str">
        <f>"10/21/2020 10:16:00 AM"</f>
        <v>10/21/2020 10:16:00 AM</v>
      </c>
      <c r="O14385" t="s">
        <v>43764</v>
      </c>
      <c r="T14385" t="s">
        <v>43765</v>
      </c>
    </row>
    <row r="14386" spans="1:20" x14ac:dyDescent="0.25">
      <c r="A14386" t="str">
        <f>"3041653"</f>
        <v>3041653</v>
      </c>
      <c r="B14386" t="s">
        <v>43767</v>
      </c>
      <c r="C14386" t="str">
        <f>"8314386"</f>
        <v>8314386</v>
      </c>
      <c r="D14386" t="s">
        <v>43768</v>
      </c>
      <c r="E14386" t="s">
        <v>43769</v>
      </c>
      <c r="F14386" t="s">
        <v>43770</v>
      </c>
      <c r="I14386" t="s">
        <v>2071</v>
      </c>
      <c r="J14386" t="s">
        <v>30</v>
      </c>
      <c r="K14386" t="s">
        <v>3597</v>
      </c>
      <c r="M14386" t="s">
        <v>17861</v>
      </c>
      <c r="N14386" t="str">
        <f>"10/21/2020 10:25:00 AM"</f>
        <v>10/21/2020 10:25:00 AM</v>
      </c>
      <c r="O14386" t="s">
        <v>43768</v>
      </c>
      <c r="T14386" t="s">
        <v>43769</v>
      </c>
    </row>
    <row r="14387" spans="1:20" x14ac:dyDescent="0.25">
      <c r="A14387" t="str">
        <f>"3041763"</f>
        <v>3041763</v>
      </c>
      <c r="B14387" t="s">
        <v>43771</v>
      </c>
      <c r="C14387" t="str">
        <f>"8314387"</f>
        <v>8314387</v>
      </c>
      <c r="D14387" t="s">
        <v>43772</v>
      </c>
      <c r="E14387" t="s">
        <v>43773</v>
      </c>
      <c r="F14387" t="s">
        <v>43774</v>
      </c>
      <c r="I14387" t="s">
        <v>11215</v>
      </c>
      <c r="J14387" t="s">
        <v>30</v>
      </c>
      <c r="K14387" t="s">
        <v>43775</v>
      </c>
      <c r="M14387" t="s">
        <v>17861</v>
      </c>
      <c r="N14387" t="str">
        <f>"10/21/2020 10:43:00 AM"</f>
        <v>10/21/2020 10:43:00 AM</v>
      </c>
      <c r="O14387" t="s">
        <v>43772</v>
      </c>
      <c r="T14387" t="s">
        <v>43773</v>
      </c>
    </row>
    <row r="14388" spans="1:20" x14ac:dyDescent="0.25">
      <c r="A14388" t="str">
        <f>"3052741"</f>
        <v>3052741</v>
      </c>
      <c r="B14388" t="s">
        <v>43776</v>
      </c>
      <c r="C14388" t="str">
        <f>"8314382"</f>
        <v>8314382</v>
      </c>
      <c r="D14388" t="s">
        <v>43777</v>
      </c>
      <c r="E14388" t="s">
        <v>43778</v>
      </c>
      <c r="F14388" t="s">
        <v>43779</v>
      </c>
      <c r="I14388" t="s">
        <v>29</v>
      </c>
      <c r="J14388" t="s">
        <v>30</v>
      </c>
      <c r="K14388" t="s">
        <v>40154</v>
      </c>
      <c r="M14388" t="s">
        <v>17861</v>
      </c>
      <c r="N14388" t="str">
        <f>"10/21/2020 9:45:00 AM"</f>
        <v>10/21/2020 9:45:00 AM</v>
      </c>
      <c r="O14388" t="s">
        <v>43777</v>
      </c>
      <c r="T14388" t="s">
        <v>43778</v>
      </c>
    </row>
    <row r="14389" spans="1:20" x14ac:dyDescent="0.25">
      <c r="A14389" t="str">
        <f>"3061365"</f>
        <v>3061365</v>
      </c>
      <c r="B14389" t="s">
        <v>43780</v>
      </c>
      <c r="C14389" t="str">
        <f>"8314383"</f>
        <v>8314383</v>
      </c>
      <c r="D14389" t="s">
        <v>43781</v>
      </c>
      <c r="F14389" t="s">
        <v>43782</v>
      </c>
      <c r="I14389" t="s">
        <v>184</v>
      </c>
      <c r="J14389" t="s">
        <v>30</v>
      </c>
      <c r="K14389" t="s">
        <v>5312</v>
      </c>
      <c r="M14389" t="s">
        <v>17861</v>
      </c>
      <c r="N14389" t="str">
        <f>"10/21/2020 10:00:00 AM"</f>
        <v>10/21/2020 10:00:00 AM</v>
      </c>
      <c r="O14389" t="s">
        <v>43781</v>
      </c>
    </row>
    <row r="14390" spans="1:20" x14ac:dyDescent="0.25">
      <c r="A14390" t="str">
        <f>"3055594"</f>
        <v>3055594</v>
      </c>
      <c r="B14390" t="s">
        <v>43783</v>
      </c>
      <c r="C14390" t="str">
        <f>"8314384"</f>
        <v>8314384</v>
      </c>
      <c r="D14390" t="s">
        <v>43784</v>
      </c>
      <c r="E14390" t="s">
        <v>43785</v>
      </c>
      <c r="F14390" t="s">
        <v>43786</v>
      </c>
      <c r="I14390" t="s">
        <v>29</v>
      </c>
      <c r="J14390" t="s">
        <v>30</v>
      </c>
      <c r="K14390" t="s">
        <v>43787</v>
      </c>
      <c r="M14390" t="s">
        <v>17861</v>
      </c>
      <c r="N14390" t="str">
        <f>"10/21/2020 10:12:00 AM"</f>
        <v>10/21/2020 10:12:00 AM</v>
      </c>
      <c r="O14390" t="s">
        <v>43784</v>
      </c>
      <c r="T14390" t="s">
        <v>43785</v>
      </c>
    </row>
    <row r="14391" spans="1:20" x14ac:dyDescent="0.25">
      <c r="A14391" t="str">
        <f>"3077632"</f>
        <v>3077632</v>
      </c>
      <c r="B14391" t="s">
        <v>43788</v>
      </c>
      <c r="C14391" t="str">
        <f>"23084000"</f>
        <v>23084000</v>
      </c>
      <c r="D14391" t="s">
        <v>43789</v>
      </c>
      <c r="E14391" t="s">
        <v>43790</v>
      </c>
      <c r="F14391" t="s">
        <v>4379</v>
      </c>
      <c r="I14391" t="s">
        <v>29</v>
      </c>
      <c r="J14391" t="s">
        <v>30</v>
      </c>
      <c r="K14391" t="s">
        <v>26771</v>
      </c>
      <c r="M14391" t="s">
        <v>33845</v>
      </c>
      <c r="N14391" t="str">
        <f>"10/13/2020 3:33:00 PM"</f>
        <v>10/13/2020 3:33:00 PM</v>
      </c>
      <c r="O14391" t="s">
        <v>43789</v>
      </c>
      <c r="T14391" t="s">
        <v>43790</v>
      </c>
    </row>
    <row r="14392" spans="1:20" x14ac:dyDescent="0.25">
      <c r="A14392" t="str">
        <f>"3057957"</f>
        <v>3057957</v>
      </c>
      <c r="B14392" t="s">
        <v>43791</v>
      </c>
      <c r="C14392" t="str">
        <f>"20578000"</f>
        <v>20578000</v>
      </c>
      <c r="D14392" t="s">
        <v>43792</v>
      </c>
      <c r="E14392" t="s">
        <v>43793</v>
      </c>
      <c r="F14392" t="s">
        <v>43794</v>
      </c>
      <c r="I14392" t="s">
        <v>29</v>
      </c>
      <c r="J14392" t="s">
        <v>30</v>
      </c>
      <c r="K14392" t="s">
        <v>43795</v>
      </c>
      <c r="M14392" t="s">
        <v>17861</v>
      </c>
      <c r="N14392" t="str">
        <f>"10/13/2020 3:41:00 PM"</f>
        <v>10/13/2020 3:41:00 PM</v>
      </c>
      <c r="O14392" t="s">
        <v>43792</v>
      </c>
      <c r="T14392" t="s">
        <v>43793</v>
      </c>
    </row>
    <row r="14393" spans="1:20" x14ac:dyDescent="0.25">
      <c r="A14393" t="str">
        <f>"3048551"</f>
        <v>3048551</v>
      </c>
      <c r="B14393" t="s">
        <v>43796</v>
      </c>
      <c r="C14393" t="str">
        <f>"63658600"</f>
        <v>63658600</v>
      </c>
      <c r="D14393" t="s">
        <v>43797</v>
      </c>
      <c r="F14393" t="s">
        <v>43798</v>
      </c>
      <c r="I14393" t="s">
        <v>25312</v>
      </c>
      <c r="J14393" t="s">
        <v>4132</v>
      </c>
      <c r="K14393" t="str">
        <f>"29609"</f>
        <v>29609</v>
      </c>
      <c r="M14393" t="s">
        <v>33845</v>
      </c>
      <c r="N14393" t="str">
        <f>"10/22/2020 11:42:00 AM"</f>
        <v>10/22/2020 11:42:00 AM</v>
      </c>
      <c r="O14393" t="s">
        <v>43797</v>
      </c>
    </row>
    <row r="14394" spans="1:20" x14ac:dyDescent="0.25">
      <c r="A14394" t="str">
        <f>"3043514"</f>
        <v>3043514</v>
      </c>
      <c r="B14394" t="s">
        <v>43799</v>
      </c>
      <c r="C14394" t="str">
        <f>"82532884"</f>
        <v>82532884</v>
      </c>
      <c r="D14394" t="s">
        <v>43800</v>
      </c>
      <c r="F14394" t="s">
        <v>43801</v>
      </c>
      <c r="I14394" t="s">
        <v>29</v>
      </c>
      <c r="J14394" t="s">
        <v>30</v>
      </c>
      <c r="K14394" t="s">
        <v>31</v>
      </c>
      <c r="M14394" t="s">
        <v>41454</v>
      </c>
      <c r="N14394" t="str">
        <f>"10/22/2020 11:58:00 AM"</f>
        <v>10/22/2020 11:58:00 AM</v>
      </c>
      <c r="O14394" t="s">
        <v>43800</v>
      </c>
    </row>
    <row r="14395" spans="1:20" x14ac:dyDescent="0.25">
      <c r="A14395" t="str">
        <f>"3049795"</f>
        <v>3049795</v>
      </c>
      <c r="B14395" t="s">
        <v>43802</v>
      </c>
      <c r="C14395" t="str">
        <f>"82516277"</f>
        <v>82516277</v>
      </c>
      <c r="D14395" t="s">
        <v>43803</v>
      </c>
      <c r="E14395" t="s">
        <v>43804</v>
      </c>
      <c r="F14395" t="s">
        <v>43801</v>
      </c>
      <c r="I14395" t="s">
        <v>29</v>
      </c>
      <c r="J14395" t="s">
        <v>30</v>
      </c>
      <c r="K14395" t="s">
        <v>31</v>
      </c>
      <c r="M14395" t="s">
        <v>41454</v>
      </c>
      <c r="N14395" t="str">
        <f>"10/22/2020 12:00:00 PM"</f>
        <v>10/22/2020 12:00:00 PM</v>
      </c>
      <c r="O14395" t="s">
        <v>43803</v>
      </c>
      <c r="T14395" t="s">
        <v>43804</v>
      </c>
    </row>
    <row r="14396" spans="1:20" x14ac:dyDescent="0.25">
      <c r="A14396" t="str">
        <f>"3059283"</f>
        <v>3059283</v>
      </c>
      <c r="B14396" t="s">
        <v>43805</v>
      </c>
      <c r="C14396" t="str">
        <f>"8314403"</f>
        <v>8314403</v>
      </c>
      <c r="D14396" t="s">
        <v>43806</v>
      </c>
      <c r="E14396" t="s">
        <v>43807</v>
      </c>
      <c r="F14396" t="s">
        <v>43808</v>
      </c>
      <c r="I14396" t="s">
        <v>29</v>
      </c>
      <c r="J14396" t="s">
        <v>30</v>
      </c>
      <c r="K14396" t="s">
        <v>43809</v>
      </c>
      <c r="M14396" t="s">
        <v>17861</v>
      </c>
      <c r="N14396" t="str">
        <f>"10/22/2020 1:41:00 PM"</f>
        <v>10/22/2020 1:41:00 PM</v>
      </c>
      <c r="O14396" t="s">
        <v>43806</v>
      </c>
      <c r="T14396" t="s">
        <v>43807</v>
      </c>
    </row>
    <row r="14397" spans="1:20" x14ac:dyDescent="0.25">
      <c r="A14397" t="str">
        <f>"3041519"</f>
        <v>3041519</v>
      </c>
      <c r="B14397" t="s">
        <v>43810</v>
      </c>
      <c r="C14397" t="str">
        <f>"8314406"</f>
        <v>8314406</v>
      </c>
      <c r="D14397" t="s">
        <v>43811</v>
      </c>
      <c r="E14397" t="s">
        <v>43812</v>
      </c>
      <c r="F14397" t="s">
        <v>43813</v>
      </c>
      <c r="I14397" t="s">
        <v>2071</v>
      </c>
      <c r="J14397" t="s">
        <v>30</v>
      </c>
      <c r="K14397" t="s">
        <v>22822</v>
      </c>
      <c r="M14397" t="s">
        <v>17861</v>
      </c>
      <c r="N14397" t="str">
        <f>"10/22/2020 1:51:00 PM"</f>
        <v>10/22/2020 1:51:00 PM</v>
      </c>
      <c r="O14397" t="s">
        <v>43811</v>
      </c>
      <c r="T14397" t="s">
        <v>43812</v>
      </c>
    </row>
    <row r="14398" spans="1:20" x14ac:dyDescent="0.25">
      <c r="A14398" t="str">
        <f>"3061150"</f>
        <v>3061150</v>
      </c>
      <c r="B14398" t="s">
        <v>43814</v>
      </c>
      <c r="C14398" t="str">
        <f>"8314407"</f>
        <v>8314407</v>
      </c>
      <c r="D14398" t="s">
        <v>43815</v>
      </c>
      <c r="E14398" t="s">
        <v>43816</v>
      </c>
      <c r="F14398" t="s">
        <v>43817</v>
      </c>
      <c r="I14398" t="s">
        <v>184</v>
      </c>
      <c r="J14398" t="s">
        <v>30</v>
      </c>
      <c r="K14398" t="s">
        <v>39172</v>
      </c>
      <c r="M14398" t="s">
        <v>17861</v>
      </c>
      <c r="N14398" t="str">
        <f>"10/22/2020 1:54:00 PM"</f>
        <v>10/22/2020 1:54:00 PM</v>
      </c>
      <c r="O14398" t="s">
        <v>43815</v>
      </c>
      <c r="T14398" t="s">
        <v>43816</v>
      </c>
    </row>
    <row r="14399" spans="1:20" x14ac:dyDescent="0.25">
      <c r="A14399" t="str">
        <f>"3057112"</f>
        <v>3057112</v>
      </c>
      <c r="B14399" t="s">
        <v>43818</v>
      </c>
      <c r="C14399" t="str">
        <f>"20578000"</f>
        <v>20578000</v>
      </c>
      <c r="D14399" t="s">
        <v>43792</v>
      </c>
      <c r="E14399" t="s">
        <v>43793</v>
      </c>
      <c r="F14399" t="s">
        <v>43794</v>
      </c>
      <c r="I14399" t="s">
        <v>29</v>
      </c>
      <c r="J14399" t="s">
        <v>30</v>
      </c>
      <c r="K14399" t="s">
        <v>43795</v>
      </c>
      <c r="M14399" t="s">
        <v>17861</v>
      </c>
      <c r="N14399" t="str">
        <f>"10/13/2020 3:41:00 PM"</f>
        <v>10/13/2020 3:41:00 PM</v>
      </c>
      <c r="O14399" t="s">
        <v>43792</v>
      </c>
      <c r="T14399" t="s">
        <v>43793</v>
      </c>
    </row>
    <row r="14400" spans="1:20" x14ac:dyDescent="0.25">
      <c r="A14400" t="str">
        <f>"3056631"</f>
        <v>3056631</v>
      </c>
      <c r="B14400" t="s">
        <v>43819</v>
      </c>
      <c r="C14400" t="str">
        <f>"20578000"</f>
        <v>20578000</v>
      </c>
      <c r="D14400" t="s">
        <v>43792</v>
      </c>
      <c r="E14400" t="s">
        <v>43793</v>
      </c>
      <c r="F14400" t="s">
        <v>43794</v>
      </c>
      <c r="I14400" t="s">
        <v>29</v>
      </c>
      <c r="J14400" t="s">
        <v>30</v>
      </c>
      <c r="K14400" t="s">
        <v>43795</v>
      </c>
      <c r="M14400" t="s">
        <v>17861</v>
      </c>
      <c r="N14400" t="str">
        <f>"10/13/2020 3:41:00 PM"</f>
        <v>10/13/2020 3:41:00 PM</v>
      </c>
      <c r="O14400" t="s">
        <v>43792</v>
      </c>
      <c r="T14400" t="s">
        <v>43793</v>
      </c>
    </row>
    <row r="14401" spans="1:20" x14ac:dyDescent="0.25">
      <c r="A14401" t="str">
        <f>"3045289"</f>
        <v>3045289</v>
      </c>
      <c r="B14401" t="s">
        <v>43820</v>
      </c>
      <c r="C14401" t="str">
        <f>"8314329"</f>
        <v>8314329</v>
      </c>
      <c r="D14401" t="s">
        <v>43821</v>
      </c>
      <c r="E14401" t="s">
        <v>43822</v>
      </c>
      <c r="F14401" t="s">
        <v>43823</v>
      </c>
      <c r="I14401" t="s">
        <v>7917</v>
      </c>
      <c r="J14401" t="s">
        <v>30</v>
      </c>
      <c r="K14401" t="s">
        <v>43824</v>
      </c>
      <c r="M14401" t="s">
        <v>17861</v>
      </c>
      <c r="N14401" t="str">
        <f>"10/14/2020 2:46:00 PM"</f>
        <v>10/14/2020 2:46:00 PM</v>
      </c>
      <c r="O14401" t="s">
        <v>43821</v>
      </c>
      <c r="T14401" t="s">
        <v>43822</v>
      </c>
    </row>
    <row r="14402" spans="1:20" x14ac:dyDescent="0.25">
      <c r="A14402" t="str">
        <f>"3052401"</f>
        <v>3052401</v>
      </c>
      <c r="B14402" t="s">
        <v>43825</v>
      </c>
      <c r="C14402" t="str">
        <f>"8314423"</f>
        <v>8314423</v>
      </c>
      <c r="D14402" t="s">
        <v>43826</v>
      </c>
      <c r="E14402" t="s">
        <v>43827</v>
      </c>
      <c r="F14402" t="s">
        <v>43828</v>
      </c>
      <c r="I14402" t="s">
        <v>29</v>
      </c>
      <c r="J14402" t="s">
        <v>30</v>
      </c>
      <c r="K14402" t="s">
        <v>43829</v>
      </c>
      <c r="M14402" t="s">
        <v>17861</v>
      </c>
      <c r="N14402" t="str">
        <f>"10/22/2020 7:34:00 PM"</f>
        <v>10/22/2020 7:34:00 PM</v>
      </c>
      <c r="O14402" t="s">
        <v>43826</v>
      </c>
      <c r="T14402" t="s">
        <v>43827</v>
      </c>
    </row>
    <row r="14403" spans="1:20" x14ac:dyDescent="0.25">
      <c r="A14403" t="str">
        <f>"3052080"</f>
        <v>3052080</v>
      </c>
      <c r="B14403" t="s">
        <v>43830</v>
      </c>
      <c r="C14403" t="str">
        <f>"8314331"</f>
        <v>8314331</v>
      </c>
      <c r="D14403" t="s">
        <v>43831</v>
      </c>
      <c r="F14403" t="s">
        <v>43832</v>
      </c>
      <c r="I14403" t="s">
        <v>29</v>
      </c>
      <c r="J14403" t="s">
        <v>30</v>
      </c>
      <c r="K14403" t="s">
        <v>43833</v>
      </c>
      <c r="M14403" t="s">
        <v>17861</v>
      </c>
      <c r="N14403" t="str">
        <f>"10/15/2020 9:24:00 AM"</f>
        <v>10/15/2020 9:24:00 AM</v>
      </c>
      <c r="O14403" t="s">
        <v>43831</v>
      </c>
    </row>
    <row r="14404" spans="1:20" x14ac:dyDescent="0.25">
      <c r="A14404" t="str">
        <f>"3042662"</f>
        <v>3042662</v>
      </c>
      <c r="B14404" t="s">
        <v>43834</v>
      </c>
      <c r="C14404" t="str">
        <f>"82533112"</f>
        <v>82533112</v>
      </c>
      <c r="D14404" t="s">
        <v>43835</v>
      </c>
      <c r="F14404" t="s">
        <v>43836</v>
      </c>
      <c r="I14404" t="s">
        <v>29</v>
      </c>
      <c r="J14404" t="s">
        <v>30</v>
      </c>
      <c r="K14404" t="str">
        <f>"27028"</f>
        <v>27028</v>
      </c>
      <c r="M14404" t="s">
        <v>33845</v>
      </c>
      <c r="N14404" t="str">
        <f>"10/19/2020 9:43:00 AM"</f>
        <v>10/19/2020 9:43:00 AM</v>
      </c>
      <c r="O14404" t="s">
        <v>43835</v>
      </c>
    </row>
    <row r="14405" spans="1:20" x14ac:dyDescent="0.25">
      <c r="A14405" t="str">
        <f>"3049596"</f>
        <v>3049596</v>
      </c>
      <c r="B14405" t="s">
        <v>43837</v>
      </c>
      <c r="C14405" t="str">
        <f t="shared" ref="C14405:C14414" si="225">"2364000"</f>
        <v>2364000</v>
      </c>
      <c r="D14405" t="s">
        <v>27530</v>
      </c>
      <c r="E14405" t="s">
        <v>43838</v>
      </c>
      <c r="F14405" t="s">
        <v>43839</v>
      </c>
      <c r="I14405" t="s">
        <v>29</v>
      </c>
      <c r="J14405" t="s">
        <v>30</v>
      </c>
      <c r="K14405" t="s">
        <v>31</v>
      </c>
      <c r="M14405" t="s">
        <v>41454</v>
      </c>
      <c r="N14405" t="str">
        <f t="shared" ref="N14405:N14414" si="226">"11/2/2020 9:12:00 AM"</f>
        <v>11/2/2020 9:12:00 AM</v>
      </c>
      <c r="O14405" t="s">
        <v>27530</v>
      </c>
      <c r="T14405" t="s">
        <v>43838</v>
      </c>
    </row>
    <row r="14406" spans="1:20" x14ac:dyDescent="0.25">
      <c r="A14406" t="str">
        <f>"3050003"</f>
        <v>3050003</v>
      </c>
      <c r="B14406" t="s">
        <v>43840</v>
      </c>
      <c r="C14406" t="str">
        <f t="shared" si="225"/>
        <v>2364000</v>
      </c>
      <c r="D14406" t="s">
        <v>27530</v>
      </c>
      <c r="E14406" t="s">
        <v>43838</v>
      </c>
      <c r="F14406" t="s">
        <v>43839</v>
      </c>
      <c r="I14406" t="s">
        <v>29</v>
      </c>
      <c r="J14406" t="s">
        <v>30</v>
      </c>
      <c r="K14406" t="s">
        <v>31</v>
      </c>
      <c r="M14406" t="s">
        <v>41454</v>
      </c>
      <c r="N14406" t="str">
        <f t="shared" si="226"/>
        <v>11/2/2020 9:12:00 AM</v>
      </c>
      <c r="O14406" t="s">
        <v>27530</v>
      </c>
      <c r="T14406" t="s">
        <v>43838</v>
      </c>
    </row>
    <row r="14407" spans="1:20" x14ac:dyDescent="0.25">
      <c r="A14407" t="str">
        <f>"3048552"</f>
        <v>3048552</v>
      </c>
      <c r="B14407" t="s">
        <v>43841</v>
      </c>
      <c r="C14407" t="str">
        <f t="shared" si="225"/>
        <v>2364000</v>
      </c>
      <c r="D14407" t="s">
        <v>27530</v>
      </c>
      <c r="E14407" t="s">
        <v>43838</v>
      </c>
      <c r="F14407" t="s">
        <v>43839</v>
      </c>
      <c r="I14407" t="s">
        <v>29</v>
      </c>
      <c r="J14407" t="s">
        <v>30</v>
      </c>
      <c r="K14407" t="s">
        <v>31</v>
      </c>
      <c r="M14407" t="s">
        <v>41454</v>
      </c>
      <c r="N14407" t="str">
        <f t="shared" si="226"/>
        <v>11/2/2020 9:12:00 AM</v>
      </c>
      <c r="O14407" t="s">
        <v>27530</v>
      </c>
      <c r="T14407" t="s">
        <v>43838</v>
      </c>
    </row>
    <row r="14408" spans="1:20" x14ac:dyDescent="0.25">
      <c r="A14408" t="str">
        <f>"3048738"</f>
        <v>3048738</v>
      </c>
      <c r="B14408" t="s">
        <v>43842</v>
      </c>
      <c r="C14408" t="str">
        <f t="shared" si="225"/>
        <v>2364000</v>
      </c>
      <c r="D14408" t="s">
        <v>27530</v>
      </c>
      <c r="E14408" t="s">
        <v>43838</v>
      </c>
      <c r="F14408" t="s">
        <v>43839</v>
      </c>
      <c r="I14408" t="s">
        <v>29</v>
      </c>
      <c r="J14408" t="s">
        <v>30</v>
      </c>
      <c r="K14408" t="s">
        <v>31</v>
      </c>
      <c r="M14408" t="s">
        <v>41454</v>
      </c>
      <c r="N14408" t="str">
        <f t="shared" si="226"/>
        <v>11/2/2020 9:12:00 AM</v>
      </c>
      <c r="O14408" t="s">
        <v>27530</v>
      </c>
      <c r="T14408" t="s">
        <v>43838</v>
      </c>
    </row>
    <row r="14409" spans="1:20" x14ac:dyDescent="0.25">
      <c r="A14409" t="str">
        <f>"3048660"</f>
        <v>3048660</v>
      </c>
      <c r="B14409" t="s">
        <v>43843</v>
      </c>
      <c r="C14409" t="str">
        <f t="shared" si="225"/>
        <v>2364000</v>
      </c>
      <c r="D14409" t="s">
        <v>27530</v>
      </c>
      <c r="E14409" t="s">
        <v>43838</v>
      </c>
      <c r="F14409" t="s">
        <v>43839</v>
      </c>
      <c r="I14409" t="s">
        <v>29</v>
      </c>
      <c r="J14409" t="s">
        <v>30</v>
      </c>
      <c r="K14409" t="s">
        <v>31</v>
      </c>
      <c r="M14409" t="s">
        <v>41454</v>
      </c>
      <c r="N14409" t="str">
        <f t="shared" si="226"/>
        <v>11/2/2020 9:12:00 AM</v>
      </c>
      <c r="O14409" t="s">
        <v>27530</v>
      </c>
      <c r="T14409" t="s">
        <v>43838</v>
      </c>
    </row>
    <row r="14410" spans="1:20" x14ac:dyDescent="0.25">
      <c r="A14410" t="str">
        <f>"3048683"</f>
        <v>3048683</v>
      </c>
      <c r="B14410" t="s">
        <v>43844</v>
      </c>
      <c r="C14410" t="str">
        <f t="shared" si="225"/>
        <v>2364000</v>
      </c>
      <c r="D14410" t="s">
        <v>27530</v>
      </c>
      <c r="E14410" t="s">
        <v>43838</v>
      </c>
      <c r="F14410" t="s">
        <v>43839</v>
      </c>
      <c r="I14410" t="s">
        <v>29</v>
      </c>
      <c r="J14410" t="s">
        <v>30</v>
      </c>
      <c r="K14410" t="s">
        <v>31</v>
      </c>
      <c r="M14410" t="s">
        <v>41454</v>
      </c>
      <c r="N14410" t="str">
        <f t="shared" si="226"/>
        <v>11/2/2020 9:12:00 AM</v>
      </c>
      <c r="O14410" t="s">
        <v>27530</v>
      </c>
      <c r="T14410" t="s">
        <v>43838</v>
      </c>
    </row>
    <row r="14411" spans="1:20" x14ac:dyDescent="0.25">
      <c r="A14411" t="str">
        <f>"3048679"</f>
        <v>3048679</v>
      </c>
      <c r="B14411" t="s">
        <v>43845</v>
      </c>
      <c r="C14411" t="str">
        <f t="shared" si="225"/>
        <v>2364000</v>
      </c>
      <c r="D14411" t="s">
        <v>27530</v>
      </c>
      <c r="E14411" t="s">
        <v>43838</v>
      </c>
      <c r="F14411" t="s">
        <v>43839</v>
      </c>
      <c r="I14411" t="s">
        <v>29</v>
      </c>
      <c r="J14411" t="s">
        <v>30</v>
      </c>
      <c r="K14411" t="s">
        <v>31</v>
      </c>
      <c r="M14411" t="s">
        <v>41454</v>
      </c>
      <c r="N14411" t="str">
        <f t="shared" si="226"/>
        <v>11/2/2020 9:12:00 AM</v>
      </c>
      <c r="O14411" t="s">
        <v>27530</v>
      </c>
      <c r="T14411" t="s">
        <v>43838</v>
      </c>
    </row>
    <row r="14412" spans="1:20" x14ac:dyDescent="0.25">
      <c r="A14412" t="str">
        <f>"3048709"</f>
        <v>3048709</v>
      </c>
      <c r="B14412" t="s">
        <v>43846</v>
      </c>
      <c r="C14412" t="str">
        <f t="shared" si="225"/>
        <v>2364000</v>
      </c>
      <c r="D14412" t="s">
        <v>27530</v>
      </c>
      <c r="E14412" t="s">
        <v>43838</v>
      </c>
      <c r="F14412" t="s">
        <v>43839</v>
      </c>
      <c r="I14412" t="s">
        <v>29</v>
      </c>
      <c r="J14412" t="s">
        <v>30</v>
      </c>
      <c r="K14412" t="s">
        <v>31</v>
      </c>
      <c r="M14412" t="s">
        <v>41454</v>
      </c>
      <c r="N14412" t="str">
        <f t="shared" si="226"/>
        <v>11/2/2020 9:12:00 AM</v>
      </c>
      <c r="O14412" t="s">
        <v>27530</v>
      </c>
      <c r="T14412" t="s">
        <v>43838</v>
      </c>
    </row>
    <row r="14413" spans="1:20" x14ac:dyDescent="0.25">
      <c r="A14413" t="str">
        <f>"3048706"</f>
        <v>3048706</v>
      </c>
      <c r="B14413" t="s">
        <v>43847</v>
      </c>
      <c r="C14413" t="str">
        <f t="shared" si="225"/>
        <v>2364000</v>
      </c>
      <c r="D14413" t="s">
        <v>27530</v>
      </c>
      <c r="E14413" t="s">
        <v>43838</v>
      </c>
      <c r="F14413" t="s">
        <v>43839</v>
      </c>
      <c r="I14413" t="s">
        <v>29</v>
      </c>
      <c r="J14413" t="s">
        <v>30</v>
      </c>
      <c r="K14413" t="s">
        <v>31</v>
      </c>
      <c r="M14413" t="s">
        <v>41454</v>
      </c>
      <c r="N14413" t="str">
        <f t="shared" si="226"/>
        <v>11/2/2020 9:12:00 AM</v>
      </c>
      <c r="O14413" t="s">
        <v>27530</v>
      </c>
      <c r="T14413" t="s">
        <v>43838</v>
      </c>
    </row>
    <row r="14414" spans="1:20" x14ac:dyDescent="0.25">
      <c r="A14414" t="str">
        <f>"3078674"</f>
        <v>3078674</v>
      </c>
      <c r="B14414" t="s">
        <v>43848</v>
      </c>
      <c r="C14414" t="str">
        <f t="shared" si="225"/>
        <v>2364000</v>
      </c>
      <c r="D14414" t="s">
        <v>27530</v>
      </c>
      <c r="E14414" t="s">
        <v>43838</v>
      </c>
      <c r="F14414" t="s">
        <v>43839</v>
      </c>
      <c r="I14414" t="s">
        <v>29</v>
      </c>
      <c r="J14414" t="s">
        <v>30</v>
      </c>
      <c r="K14414" t="s">
        <v>31</v>
      </c>
      <c r="M14414" t="s">
        <v>41454</v>
      </c>
      <c r="N14414" t="str">
        <f t="shared" si="226"/>
        <v>11/2/2020 9:12:00 AM</v>
      </c>
      <c r="O14414" t="s">
        <v>27530</v>
      </c>
      <c r="T14414" t="s">
        <v>43838</v>
      </c>
    </row>
    <row r="14415" spans="1:20" x14ac:dyDescent="0.25">
      <c r="A14415" t="str">
        <f>"3067369"</f>
        <v>3067369</v>
      </c>
      <c r="B14415" t="s">
        <v>43849</v>
      </c>
      <c r="C14415" t="str">
        <f>"18057500"</f>
        <v>18057500</v>
      </c>
      <c r="D14415" t="s">
        <v>43850</v>
      </c>
      <c r="E14415" t="s">
        <v>43851</v>
      </c>
      <c r="F14415" t="s">
        <v>43852</v>
      </c>
      <c r="I14415" t="s">
        <v>29</v>
      </c>
      <c r="J14415" t="s">
        <v>30</v>
      </c>
      <c r="K14415" t="s">
        <v>43853</v>
      </c>
      <c r="M14415" t="s">
        <v>17861</v>
      </c>
      <c r="N14415" t="str">
        <f>"11/3/2020 1:16:00 PM"</f>
        <v>11/3/2020 1:16:00 PM</v>
      </c>
      <c r="O14415" t="s">
        <v>43850</v>
      </c>
      <c r="T14415" t="s">
        <v>43851</v>
      </c>
    </row>
    <row r="14416" spans="1:20" x14ac:dyDescent="0.25">
      <c r="A14416" t="str">
        <f>"3038793"</f>
        <v>3038793</v>
      </c>
      <c r="B14416" t="s">
        <v>43854</v>
      </c>
      <c r="C14416" t="str">
        <f>"8314346"</f>
        <v>8314346</v>
      </c>
      <c r="D14416" t="s">
        <v>43855</v>
      </c>
      <c r="E14416" t="s">
        <v>43856</v>
      </c>
      <c r="F14416" t="s">
        <v>43857</v>
      </c>
      <c r="I14416" t="s">
        <v>29</v>
      </c>
      <c r="J14416" t="s">
        <v>30</v>
      </c>
      <c r="K14416" t="s">
        <v>43858</v>
      </c>
      <c r="M14416" t="s">
        <v>17861</v>
      </c>
      <c r="N14416" t="str">
        <f>"10/19/2020 10:10:00 AM"</f>
        <v>10/19/2020 10:10:00 AM</v>
      </c>
      <c r="O14416" t="s">
        <v>43855</v>
      </c>
      <c r="T14416" t="s">
        <v>43856</v>
      </c>
    </row>
    <row r="14417" spans="1:20" x14ac:dyDescent="0.25">
      <c r="A14417" t="str">
        <f>"3044826"</f>
        <v>3044826</v>
      </c>
      <c r="B14417" t="s">
        <v>43859</v>
      </c>
      <c r="C14417" t="str">
        <f>"8314301"</f>
        <v>8314301</v>
      </c>
      <c r="D14417" t="s">
        <v>43860</v>
      </c>
      <c r="E14417" t="s">
        <v>43861</v>
      </c>
      <c r="F14417" t="s">
        <v>43862</v>
      </c>
      <c r="I14417" t="s">
        <v>184</v>
      </c>
      <c r="J14417" t="s">
        <v>30</v>
      </c>
      <c r="K14417" t="s">
        <v>6241</v>
      </c>
      <c r="M14417" t="s">
        <v>17861</v>
      </c>
      <c r="N14417" t="str">
        <f>"10/7/2020 8:11:00 PM"</f>
        <v>10/7/2020 8:11:00 PM</v>
      </c>
      <c r="O14417" t="s">
        <v>43860</v>
      </c>
      <c r="T14417" t="s">
        <v>43861</v>
      </c>
    </row>
    <row r="14418" spans="1:20" x14ac:dyDescent="0.25">
      <c r="A14418" t="str">
        <f>"3049770"</f>
        <v>3049770</v>
      </c>
      <c r="B14418" t="s">
        <v>43863</v>
      </c>
      <c r="C14418" t="str">
        <f>"8314497"</f>
        <v>8314497</v>
      </c>
      <c r="D14418" t="s">
        <v>43864</v>
      </c>
      <c r="E14418" t="s">
        <v>43865</v>
      </c>
      <c r="F14418" t="s">
        <v>43866</v>
      </c>
      <c r="I14418" t="s">
        <v>29</v>
      </c>
      <c r="J14418" t="s">
        <v>30</v>
      </c>
      <c r="K14418" t="s">
        <v>38113</v>
      </c>
      <c r="M14418" t="s">
        <v>17861</v>
      </c>
      <c r="N14418" t="str">
        <f>"11/6/2020 4:49:00 PM"</f>
        <v>11/6/2020 4:49:00 PM</v>
      </c>
      <c r="O14418" t="s">
        <v>43864</v>
      </c>
      <c r="T14418" t="s">
        <v>43865</v>
      </c>
    </row>
    <row r="14419" spans="1:20" x14ac:dyDescent="0.25">
      <c r="A14419" t="str">
        <f>"3058116"</f>
        <v>3058116</v>
      </c>
      <c r="B14419" t="s">
        <v>43867</v>
      </c>
      <c r="C14419" t="str">
        <f>"8314498"</f>
        <v>8314498</v>
      </c>
      <c r="D14419" t="s">
        <v>43868</v>
      </c>
      <c r="F14419" t="s">
        <v>43869</v>
      </c>
      <c r="I14419" t="s">
        <v>2071</v>
      </c>
      <c r="J14419" t="s">
        <v>30</v>
      </c>
      <c r="K14419" t="s">
        <v>6203</v>
      </c>
      <c r="M14419" t="s">
        <v>17861</v>
      </c>
      <c r="N14419" t="str">
        <f>"11/9/2020 9:21:00 AM"</f>
        <v>11/9/2020 9:21:00 AM</v>
      </c>
      <c r="O14419" t="s">
        <v>43868</v>
      </c>
    </row>
    <row r="14420" spans="1:20" x14ac:dyDescent="0.25">
      <c r="A14420" t="str">
        <f>"3057923"</f>
        <v>3057923</v>
      </c>
      <c r="B14420" t="s">
        <v>43870</v>
      </c>
      <c r="C14420" t="str">
        <f>"8314500"</f>
        <v>8314500</v>
      </c>
      <c r="D14420" t="s">
        <v>43871</v>
      </c>
      <c r="E14420" t="s">
        <v>43872</v>
      </c>
      <c r="F14420" t="s">
        <v>43873</v>
      </c>
      <c r="I14420" t="s">
        <v>184</v>
      </c>
      <c r="J14420" t="s">
        <v>30</v>
      </c>
      <c r="K14420" t="s">
        <v>5933</v>
      </c>
      <c r="M14420" t="s">
        <v>17861</v>
      </c>
      <c r="N14420" t="str">
        <f>"11/9/2020 9:32:00 AM"</f>
        <v>11/9/2020 9:32:00 AM</v>
      </c>
      <c r="O14420" t="s">
        <v>43871</v>
      </c>
      <c r="T14420" t="s">
        <v>43872</v>
      </c>
    </row>
    <row r="14421" spans="1:20" x14ac:dyDescent="0.25">
      <c r="A14421" t="str">
        <f>"3059548"</f>
        <v>3059548</v>
      </c>
      <c r="B14421" t="s">
        <v>43874</v>
      </c>
      <c r="C14421" t="str">
        <f>"8314502"</f>
        <v>8314502</v>
      </c>
      <c r="D14421" t="s">
        <v>43875</v>
      </c>
      <c r="F14421" t="s">
        <v>43876</v>
      </c>
      <c r="I14421" t="s">
        <v>29</v>
      </c>
      <c r="J14421" t="s">
        <v>30</v>
      </c>
      <c r="K14421" t="s">
        <v>13712</v>
      </c>
      <c r="M14421" t="s">
        <v>17861</v>
      </c>
      <c r="N14421" t="str">
        <f>"11/9/2020 9:44:00 AM"</f>
        <v>11/9/2020 9:44:00 AM</v>
      </c>
      <c r="O14421" t="s">
        <v>43875</v>
      </c>
    </row>
    <row r="14422" spans="1:20" x14ac:dyDescent="0.25">
      <c r="A14422" t="str">
        <f>"3062764"</f>
        <v>3062764</v>
      </c>
      <c r="B14422" t="s">
        <v>43877</v>
      </c>
      <c r="C14422" t="str">
        <f>"8314503"</f>
        <v>8314503</v>
      </c>
      <c r="D14422" t="s">
        <v>43878</v>
      </c>
      <c r="F14422" t="s">
        <v>43879</v>
      </c>
      <c r="I14422" t="s">
        <v>184</v>
      </c>
      <c r="J14422" t="s">
        <v>30</v>
      </c>
      <c r="K14422" t="s">
        <v>34978</v>
      </c>
      <c r="M14422" t="s">
        <v>17861</v>
      </c>
      <c r="N14422" t="str">
        <f>"11/9/2020 9:59:00 AM"</f>
        <v>11/9/2020 9:59:00 AM</v>
      </c>
      <c r="O14422" t="s">
        <v>43878</v>
      </c>
    </row>
    <row r="14423" spans="1:20" x14ac:dyDescent="0.25">
      <c r="A14423" t="str">
        <f>"3039810"</f>
        <v>3039810</v>
      </c>
      <c r="B14423" t="s">
        <v>43880</v>
      </c>
      <c r="C14423" t="str">
        <f>"8314349"</f>
        <v>8314349</v>
      </c>
      <c r="D14423" t="s">
        <v>43881</v>
      </c>
      <c r="E14423" t="s">
        <v>43882</v>
      </c>
      <c r="F14423" t="s">
        <v>43883</v>
      </c>
      <c r="I14423" t="s">
        <v>29</v>
      </c>
      <c r="J14423" t="s">
        <v>30</v>
      </c>
      <c r="K14423" t="s">
        <v>43884</v>
      </c>
      <c r="M14423" t="s">
        <v>17861</v>
      </c>
      <c r="N14423" t="str">
        <f>"10/19/2020 11:11:00 AM"</f>
        <v>10/19/2020 11:11:00 AM</v>
      </c>
      <c r="O14423" t="s">
        <v>43881</v>
      </c>
      <c r="T14423" t="s">
        <v>43882</v>
      </c>
    </row>
    <row r="14424" spans="1:20" x14ac:dyDescent="0.25">
      <c r="A14424" t="str">
        <f>"3041321"</f>
        <v>3041321</v>
      </c>
      <c r="B14424" t="s">
        <v>43885</v>
      </c>
      <c r="C14424" t="str">
        <f>"8314350"</f>
        <v>8314350</v>
      </c>
      <c r="D14424" t="s">
        <v>43886</v>
      </c>
      <c r="F14424" t="s">
        <v>43887</v>
      </c>
      <c r="I14424" t="s">
        <v>2071</v>
      </c>
      <c r="J14424" t="s">
        <v>30</v>
      </c>
      <c r="K14424" t="s">
        <v>2076</v>
      </c>
      <c r="M14424" t="s">
        <v>17861</v>
      </c>
      <c r="N14424" t="str">
        <f>"10/19/2020 11:15:00 AM"</f>
        <v>10/19/2020 11:15:00 AM</v>
      </c>
      <c r="O14424" t="s">
        <v>43886</v>
      </c>
    </row>
    <row r="14425" spans="1:20" x14ac:dyDescent="0.25">
      <c r="A14425" t="str">
        <f>"3039826"</f>
        <v>3039826</v>
      </c>
      <c r="B14425" t="s">
        <v>43888</v>
      </c>
      <c r="C14425" t="str">
        <f>"8314352"</f>
        <v>8314352</v>
      </c>
      <c r="D14425" t="s">
        <v>43889</v>
      </c>
      <c r="F14425" t="s">
        <v>43890</v>
      </c>
      <c r="I14425" t="s">
        <v>29</v>
      </c>
      <c r="J14425" t="s">
        <v>30</v>
      </c>
      <c r="K14425" t="s">
        <v>1413</v>
      </c>
      <c r="M14425" t="s">
        <v>17861</v>
      </c>
      <c r="N14425" t="str">
        <f>"10/19/2020 12:59:00 PM"</f>
        <v>10/19/2020 12:59:00 PM</v>
      </c>
      <c r="O14425" t="s">
        <v>43889</v>
      </c>
    </row>
    <row r="14426" spans="1:20" x14ac:dyDescent="0.25">
      <c r="A14426" t="str">
        <f>"3060046"</f>
        <v>3060046</v>
      </c>
      <c r="B14426" t="s">
        <v>43891</v>
      </c>
      <c r="C14426" t="str">
        <f>"8314355"</f>
        <v>8314355</v>
      </c>
      <c r="D14426" t="s">
        <v>43892</v>
      </c>
      <c r="F14426" t="s">
        <v>43893</v>
      </c>
      <c r="I14426" t="s">
        <v>184</v>
      </c>
      <c r="J14426" t="s">
        <v>30</v>
      </c>
      <c r="K14426" t="s">
        <v>34978</v>
      </c>
      <c r="M14426" t="s">
        <v>17861</v>
      </c>
      <c r="N14426" t="str">
        <f>"10/19/2020 2:18:00 PM"</f>
        <v>10/19/2020 2:18:00 PM</v>
      </c>
      <c r="O14426" t="s">
        <v>43892</v>
      </c>
    </row>
    <row r="14427" spans="1:20" x14ac:dyDescent="0.25">
      <c r="A14427" t="str">
        <f>"3050862"</f>
        <v>3050862</v>
      </c>
      <c r="B14427" t="s">
        <v>43894</v>
      </c>
      <c r="C14427" t="str">
        <f>"8314306"</f>
        <v>8314306</v>
      </c>
      <c r="D14427" t="s">
        <v>43895</v>
      </c>
      <c r="F14427" t="s">
        <v>43896</v>
      </c>
      <c r="I14427" t="s">
        <v>184</v>
      </c>
      <c r="J14427" t="s">
        <v>30</v>
      </c>
      <c r="K14427" t="s">
        <v>43897</v>
      </c>
      <c r="M14427" t="s">
        <v>17861</v>
      </c>
      <c r="N14427" t="str">
        <f>"10/8/2020 9:23:00 AM"</f>
        <v>10/8/2020 9:23:00 AM</v>
      </c>
      <c r="O14427" t="s">
        <v>43895</v>
      </c>
    </row>
    <row r="14428" spans="1:20" x14ac:dyDescent="0.25">
      <c r="A14428" t="str">
        <f>"3045916"</f>
        <v>3045916</v>
      </c>
      <c r="B14428" t="s">
        <v>43898</v>
      </c>
      <c r="C14428" t="str">
        <f>"8314307"</f>
        <v>8314307</v>
      </c>
      <c r="D14428" t="s">
        <v>43899</v>
      </c>
      <c r="F14428" t="s">
        <v>43900</v>
      </c>
      <c r="I14428" t="s">
        <v>29</v>
      </c>
      <c r="J14428" t="s">
        <v>30</v>
      </c>
      <c r="K14428" t="s">
        <v>43901</v>
      </c>
      <c r="M14428" t="s">
        <v>17861</v>
      </c>
      <c r="N14428" t="str">
        <f>"10/8/2020 10:05:00 AM"</f>
        <v>10/8/2020 10:05:00 AM</v>
      </c>
      <c r="O14428" t="s">
        <v>43899</v>
      </c>
    </row>
    <row r="14429" spans="1:20" x14ac:dyDescent="0.25">
      <c r="A14429" t="str">
        <f>"3045632"</f>
        <v>3045632</v>
      </c>
      <c r="B14429" t="s">
        <v>43902</v>
      </c>
      <c r="C14429" t="str">
        <f>"8314308"</f>
        <v>8314308</v>
      </c>
      <c r="D14429" t="s">
        <v>43903</v>
      </c>
      <c r="F14429" t="s">
        <v>43904</v>
      </c>
      <c r="I14429" t="s">
        <v>1149</v>
      </c>
      <c r="J14429" t="s">
        <v>30</v>
      </c>
      <c r="K14429" t="s">
        <v>6577</v>
      </c>
      <c r="M14429" t="s">
        <v>17861</v>
      </c>
      <c r="N14429" t="str">
        <f>"10/8/2020 1:51:00 PM"</f>
        <v>10/8/2020 1:51:00 PM</v>
      </c>
      <c r="O14429" t="s">
        <v>43903</v>
      </c>
    </row>
    <row r="14430" spans="1:20" x14ac:dyDescent="0.25">
      <c r="A14430" t="str">
        <f>"3045145"</f>
        <v>3045145</v>
      </c>
      <c r="B14430" t="s">
        <v>43905</v>
      </c>
      <c r="C14430" t="str">
        <f>"8314308"</f>
        <v>8314308</v>
      </c>
      <c r="D14430" t="s">
        <v>43903</v>
      </c>
      <c r="F14430" t="s">
        <v>43904</v>
      </c>
      <c r="I14430" t="s">
        <v>1149</v>
      </c>
      <c r="J14430" t="s">
        <v>30</v>
      </c>
      <c r="K14430" t="s">
        <v>6577</v>
      </c>
      <c r="M14430" t="s">
        <v>17861</v>
      </c>
      <c r="N14430" t="str">
        <f>"10/8/2020 1:51:00 PM"</f>
        <v>10/8/2020 1:51:00 PM</v>
      </c>
      <c r="O14430" t="s">
        <v>43903</v>
      </c>
    </row>
    <row r="14431" spans="1:20" x14ac:dyDescent="0.25">
      <c r="A14431" t="str">
        <f>"3062417"</f>
        <v>3062417</v>
      </c>
      <c r="B14431" t="s">
        <v>43906</v>
      </c>
      <c r="C14431" t="str">
        <f>"8314309"</f>
        <v>8314309</v>
      </c>
      <c r="D14431" t="s">
        <v>43907</v>
      </c>
      <c r="F14431" t="s">
        <v>43908</v>
      </c>
      <c r="I14431" t="s">
        <v>2071</v>
      </c>
      <c r="J14431" t="s">
        <v>30</v>
      </c>
      <c r="K14431" t="s">
        <v>3885</v>
      </c>
      <c r="M14431" t="s">
        <v>17861</v>
      </c>
      <c r="N14431" t="str">
        <f>"10/8/2020 1:59:00 PM"</f>
        <v>10/8/2020 1:59:00 PM</v>
      </c>
      <c r="O14431" t="s">
        <v>43907</v>
      </c>
    </row>
    <row r="14432" spans="1:20" x14ac:dyDescent="0.25">
      <c r="A14432" t="str">
        <f>"3046510"</f>
        <v>3046510</v>
      </c>
      <c r="B14432" t="s">
        <v>43909</v>
      </c>
      <c r="C14432" t="str">
        <f>"8314311"</f>
        <v>8314311</v>
      </c>
      <c r="D14432" t="s">
        <v>43910</v>
      </c>
      <c r="E14432" t="s">
        <v>43911</v>
      </c>
      <c r="F14432" t="s">
        <v>43912</v>
      </c>
      <c r="I14432" t="s">
        <v>29</v>
      </c>
      <c r="J14432" t="s">
        <v>30</v>
      </c>
      <c r="K14432" t="s">
        <v>19108</v>
      </c>
      <c r="M14432" t="s">
        <v>17861</v>
      </c>
      <c r="N14432" t="str">
        <f>"10/8/2020 2:35:00 PM"</f>
        <v>10/8/2020 2:35:00 PM</v>
      </c>
      <c r="O14432" t="s">
        <v>43910</v>
      </c>
      <c r="T14432" t="s">
        <v>43911</v>
      </c>
    </row>
    <row r="14433" spans="1:20" x14ac:dyDescent="0.25">
      <c r="A14433" t="str">
        <f>"3044621"</f>
        <v>3044621</v>
      </c>
      <c r="B14433" t="s">
        <v>43913</v>
      </c>
      <c r="C14433" t="str">
        <f>"8314389"</f>
        <v>8314389</v>
      </c>
      <c r="D14433" t="s">
        <v>43914</v>
      </c>
      <c r="E14433" t="s">
        <v>43915</v>
      </c>
      <c r="F14433" t="s">
        <v>43916</v>
      </c>
      <c r="I14433" t="s">
        <v>184</v>
      </c>
      <c r="J14433" t="s">
        <v>30</v>
      </c>
      <c r="K14433" t="s">
        <v>6274</v>
      </c>
      <c r="M14433" t="s">
        <v>17861</v>
      </c>
      <c r="N14433" t="str">
        <f>"10/21/2020 10:53:00 AM"</f>
        <v>10/21/2020 10:53:00 AM</v>
      </c>
      <c r="O14433" t="s">
        <v>43914</v>
      </c>
      <c r="T14433" t="s">
        <v>43915</v>
      </c>
    </row>
    <row r="14434" spans="1:20" x14ac:dyDescent="0.25">
      <c r="A14434" t="str">
        <f>"3048043"</f>
        <v>3048043</v>
      </c>
      <c r="B14434" t="s">
        <v>43917</v>
      </c>
      <c r="C14434" t="str">
        <f>"24788000"</f>
        <v>24788000</v>
      </c>
      <c r="D14434" t="s">
        <v>43918</v>
      </c>
      <c r="E14434" t="s">
        <v>43919</v>
      </c>
      <c r="F14434" t="s">
        <v>43920</v>
      </c>
      <c r="I14434" t="s">
        <v>184</v>
      </c>
      <c r="J14434" t="s">
        <v>30</v>
      </c>
      <c r="K14434" t="s">
        <v>43921</v>
      </c>
      <c r="M14434" t="s">
        <v>33845</v>
      </c>
      <c r="N14434" t="str">
        <f>"10/12/2020 11:17:00 AM"</f>
        <v>10/12/2020 11:17:00 AM</v>
      </c>
      <c r="O14434" t="s">
        <v>43918</v>
      </c>
      <c r="T14434" t="s">
        <v>43919</v>
      </c>
    </row>
    <row r="14435" spans="1:20" x14ac:dyDescent="0.25">
      <c r="A14435" t="str">
        <f>"3054942"</f>
        <v>3054942</v>
      </c>
      <c r="B14435" t="s">
        <v>43922</v>
      </c>
      <c r="C14435" t="str">
        <f>"8314318"</f>
        <v>8314318</v>
      </c>
      <c r="D14435" t="s">
        <v>43923</v>
      </c>
      <c r="F14435" t="s">
        <v>43924</v>
      </c>
      <c r="I14435" t="s">
        <v>29</v>
      </c>
      <c r="J14435" t="s">
        <v>30</v>
      </c>
      <c r="K14435" t="str">
        <f>"27028"</f>
        <v>27028</v>
      </c>
      <c r="M14435" t="s">
        <v>18470</v>
      </c>
      <c r="N14435" t="str">
        <f>"10/12/2020 2:43:00 PM"</f>
        <v>10/12/2020 2:43:00 PM</v>
      </c>
      <c r="O14435" t="s">
        <v>43923</v>
      </c>
    </row>
    <row r="14436" spans="1:20" x14ac:dyDescent="0.25">
      <c r="A14436" t="str">
        <f>"3051198"</f>
        <v>3051198</v>
      </c>
      <c r="B14436" t="s">
        <v>43925</v>
      </c>
      <c r="C14436" t="str">
        <f>"8306630"</f>
        <v>8306630</v>
      </c>
      <c r="D14436" t="s">
        <v>43926</v>
      </c>
      <c r="E14436" t="s">
        <v>43927</v>
      </c>
      <c r="F14436" t="s">
        <v>43928</v>
      </c>
      <c r="I14436" t="s">
        <v>1176</v>
      </c>
      <c r="J14436" t="s">
        <v>30</v>
      </c>
      <c r="K14436" t="s">
        <v>43929</v>
      </c>
      <c r="M14436" t="s">
        <v>18479</v>
      </c>
      <c r="N14436" t="str">
        <f>"10/21/2020 10:55:00 AM"</f>
        <v>10/21/2020 10:55:00 AM</v>
      </c>
      <c r="O14436" t="s">
        <v>43926</v>
      </c>
      <c r="T14436" t="s">
        <v>43927</v>
      </c>
    </row>
    <row r="14437" spans="1:20" x14ac:dyDescent="0.25">
      <c r="A14437" t="str">
        <f>"3041762"</f>
        <v>3041762</v>
      </c>
      <c r="B14437" t="s">
        <v>43930</v>
      </c>
      <c r="C14437" t="str">
        <f>"8314392"</f>
        <v>8314392</v>
      </c>
      <c r="D14437" t="s">
        <v>43931</v>
      </c>
      <c r="E14437" t="s">
        <v>43932</v>
      </c>
      <c r="F14437" t="s">
        <v>43933</v>
      </c>
      <c r="I14437" t="s">
        <v>2071</v>
      </c>
      <c r="J14437" t="s">
        <v>30</v>
      </c>
      <c r="K14437" t="s">
        <v>3837</v>
      </c>
      <c r="M14437" t="s">
        <v>17861</v>
      </c>
      <c r="N14437" t="str">
        <f>"10/21/2020 3:00:00 PM"</f>
        <v>10/21/2020 3:00:00 PM</v>
      </c>
      <c r="O14437" t="s">
        <v>43931</v>
      </c>
      <c r="T14437" t="s">
        <v>43932</v>
      </c>
    </row>
    <row r="14438" spans="1:20" x14ac:dyDescent="0.25">
      <c r="A14438" t="str">
        <f>"3043995"</f>
        <v>3043995</v>
      </c>
      <c r="B14438" t="s">
        <v>43934</v>
      </c>
      <c r="C14438" t="str">
        <f>"82529139"</f>
        <v>82529139</v>
      </c>
      <c r="D14438" t="s">
        <v>43935</v>
      </c>
      <c r="F14438" t="s">
        <v>43936</v>
      </c>
      <c r="I14438" t="s">
        <v>24359</v>
      </c>
      <c r="J14438" t="s">
        <v>30</v>
      </c>
      <c r="K14438" t="s">
        <v>185</v>
      </c>
      <c r="M14438" t="s">
        <v>33845</v>
      </c>
      <c r="N14438" t="str">
        <f>"10/22/2020 10:32:00 AM"</f>
        <v>10/22/2020 10:32:00 AM</v>
      </c>
      <c r="O14438" t="s">
        <v>43935</v>
      </c>
    </row>
    <row r="14439" spans="1:20" x14ac:dyDescent="0.25">
      <c r="A14439" t="str">
        <f>"3048761"</f>
        <v>3048761</v>
      </c>
      <c r="B14439" t="s">
        <v>43937</v>
      </c>
      <c r="C14439" t="str">
        <f>"63684000"</f>
        <v>63684000</v>
      </c>
      <c r="D14439" t="s">
        <v>43938</v>
      </c>
      <c r="F14439" t="s">
        <v>43798</v>
      </c>
      <c r="I14439" t="s">
        <v>25312</v>
      </c>
      <c r="J14439" t="s">
        <v>4132</v>
      </c>
      <c r="K14439" t="str">
        <f>"29609"</f>
        <v>29609</v>
      </c>
      <c r="M14439" t="s">
        <v>33845</v>
      </c>
      <c r="N14439" t="str">
        <f>"10/22/2020 11:41:00 AM"</f>
        <v>10/22/2020 11:41:00 AM</v>
      </c>
      <c r="O14439" t="s">
        <v>43939</v>
      </c>
    </row>
    <row r="14440" spans="1:20" x14ac:dyDescent="0.25">
      <c r="A14440" t="str">
        <f>"3042370"</f>
        <v>3042370</v>
      </c>
      <c r="B14440" t="s">
        <v>43940</v>
      </c>
      <c r="C14440" t="str">
        <f>"8314415"</f>
        <v>8314415</v>
      </c>
      <c r="D14440" t="s">
        <v>43941</v>
      </c>
      <c r="F14440" t="s">
        <v>43942</v>
      </c>
      <c r="I14440" t="s">
        <v>184</v>
      </c>
      <c r="J14440" t="s">
        <v>30</v>
      </c>
      <c r="K14440" t="s">
        <v>3445</v>
      </c>
      <c r="M14440" t="s">
        <v>17861</v>
      </c>
      <c r="N14440" t="str">
        <f>"10/22/2020 3:37:00 PM"</f>
        <v>10/22/2020 3:37:00 PM</v>
      </c>
      <c r="O14440" t="s">
        <v>43941</v>
      </c>
    </row>
    <row r="14441" spans="1:20" x14ac:dyDescent="0.25">
      <c r="A14441" t="str">
        <f>"3071283"</f>
        <v>3071283</v>
      </c>
      <c r="B14441" t="s">
        <v>43943</v>
      </c>
      <c r="C14441" t="str">
        <f>"8314418"</f>
        <v>8314418</v>
      </c>
      <c r="D14441" t="s">
        <v>43944</v>
      </c>
      <c r="F14441" t="s">
        <v>43945</v>
      </c>
      <c r="I14441" t="s">
        <v>29</v>
      </c>
      <c r="J14441" t="s">
        <v>30</v>
      </c>
      <c r="K14441" t="s">
        <v>43946</v>
      </c>
      <c r="M14441" t="s">
        <v>17861</v>
      </c>
      <c r="N14441" t="str">
        <f>"10/22/2020 6:36:00 PM"</f>
        <v>10/22/2020 6:36:00 PM</v>
      </c>
      <c r="O14441" t="s">
        <v>43944</v>
      </c>
    </row>
    <row r="14442" spans="1:20" x14ac:dyDescent="0.25">
      <c r="A14442" t="str">
        <f>"3041836"</f>
        <v>3041836</v>
      </c>
      <c r="B14442" t="s">
        <v>43947</v>
      </c>
      <c r="C14442" t="str">
        <f>"8314421"</f>
        <v>8314421</v>
      </c>
      <c r="D14442" t="s">
        <v>43948</v>
      </c>
      <c r="E14442" t="s">
        <v>43949</v>
      </c>
      <c r="F14442" t="s">
        <v>43950</v>
      </c>
      <c r="I14442" t="s">
        <v>2071</v>
      </c>
      <c r="J14442" t="s">
        <v>30</v>
      </c>
      <c r="K14442" t="s">
        <v>42173</v>
      </c>
      <c r="M14442" t="s">
        <v>17861</v>
      </c>
      <c r="N14442" t="str">
        <f>"10/22/2020 7:22:00 PM"</f>
        <v>10/22/2020 7:22:00 PM</v>
      </c>
      <c r="O14442" t="s">
        <v>43948</v>
      </c>
      <c r="T14442" t="s">
        <v>43949</v>
      </c>
    </row>
    <row r="14443" spans="1:20" x14ac:dyDescent="0.25">
      <c r="A14443" t="str">
        <f>"3038833"</f>
        <v>3038833</v>
      </c>
      <c r="B14443" t="s">
        <v>43951</v>
      </c>
      <c r="C14443" t="str">
        <f>"82515567"</f>
        <v>82515567</v>
      </c>
      <c r="D14443" t="s">
        <v>43952</v>
      </c>
      <c r="E14443" t="s">
        <v>43953</v>
      </c>
      <c r="F14443" t="s">
        <v>43954</v>
      </c>
      <c r="I14443" t="s">
        <v>29</v>
      </c>
      <c r="J14443" t="s">
        <v>30</v>
      </c>
      <c r="K14443" t="s">
        <v>31</v>
      </c>
      <c r="M14443" t="s">
        <v>25733</v>
      </c>
      <c r="N14443" t="str">
        <f>"10/29/2020 2:09:00 PM"</f>
        <v>10/29/2020 2:09:00 PM</v>
      </c>
      <c r="O14443" t="s">
        <v>43952</v>
      </c>
      <c r="T14443" t="s">
        <v>43953</v>
      </c>
    </row>
    <row r="14444" spans="1:20" x14ac:dyDescent="0.25">
      <c r="A14444" t="str">
        <f>"3049515"</f>
        <v>3049515</v>
      </c>
      <c r="B14444" t="s">
        <v>43955</v>
      </c>
      <c r="C14444" t="str">
        <f>"2364000"</f>
        <v>2364000</v>
      </c>
      <c r="D14444" t="s">
        <v>27530</v>
      </c>
      <c r="E14444" t="s">
        <v>43838</v>
      </c>
      <c r="F14444" t="s">
        <v>43839</v>
      </c>
      <c r="I14444" t="s">
        <v>29</v>
      </c>
      <c r="J14444" t="s">
        <v>30</v>
      </c>
      <c r="K14444" t="s">
        <v>31</v>
      </c>
      <c r="M14444" t="s">
        <v>41454</v>
      </c>
      <c r="N14444" t="str">
        <f>"11/2/2020 9:12:00 AM"</f>
        <v>11/2/2020 9:12:00 AM</v>
      </c>
      <c r="O14444" t="s">
        <v>27530</v>
      </c>
      <c r="T14444" t="s">
        <v>43838</v>
      </c>
    </row>
    <row r="14445" spans="1:20" x14ac:dyDescent="0.25">
      <c r="A14445" t="str">
        <f>"3058824"</f>
        <v>3058824</v>
      </c>
      <c r="B14445" t="s">
        <v>43956</v>
      </c>
      <c r="C14445" t="str">
        <f>"8314485"</f>
        <v>8314485</v>
      </c>
      <c r="D14445" t="s">
        <v>43957</v>
      </c>
      <c r="F14445" t="s">
        <v>43958</v>
      </c>
      <c r="I14445" t="s">
        <v>29</v>
      </c>
      <c r="J14445" t="s">
        <v>30</v>
      </c>
      <c r="K14445" t="s">
        <v>43959</v>
      </c>
      <c r="M14445" t="s">
        <v>17861</v>
      </c>
      <c r="N14445" t="str">
        <f>"11/6/2020 11:26:00 AM"</f>
        <v>11/6/2020 11:26:00 AM</v>
      </c>
      <c r="O14445" t="s">
        <v>43957</v>
      </c>
    </row>
    <row r="14446" spans="1:20" x14ac:dyDescent="0.25">
      <c r="A14446" t="str">
        <f>"3040583"</f>
        <v>3040583</v>
      </c>
      <c r="B14446" t="s">
        <v>43960</v>
      </c>
      <c r="C14446" t="str">
        <f>"8314562"</f>
        <v>8314562</v>
      </c>
      <c r="D14446" t="s">
        <v>43961</v>
      </c>
      <c r="F14446" t="s">
        <v>43962</v>
      </c>
      <c r="I14446" t="s">
        <v>184</v>
      </c>
      <c r="J14446" t="s">
        <v>30</v>
      </c>
      <c r="K14446" t="s">
        <v>3550</v>
      </c>
      <c r="M14446" t="s">
        <v>17861</v>
      </c>
      <c r="N14446" t="str">
        <f>"11/11/2020 7:09:00 PM"</f>
        <v>11/11/2020 7:09:00 PM</v>
      </c>
      <c r="O14446" t="s">
        <v>43961</v>
      </c>
    </row>
    <row r="14447" spans="1:20" x14ac:dyDescent="0.25">
      <c r="A14447" t="str">
        <f>"3051556"</f>
        <v>3051556</v>
      </c>
      <c r="B14447" t="s">
        <v>43963</v>
      </c>
      <c r="C14447" t="str">
        <f>"8314563"</f>
        <v>8314563</v>
      </c>
      <c r="D14447" t="s">
        <v>43964</v>
      </c>
      <c r="E14447" t="s">
        <v>43965</v>
      </c>
      <c r="F14447" t="s">
        <v>43966</v>
      </c>
      <c r="I14447" t="s">
        <v>29</v>
      </c>
      <c r="J14447" t="s">
        <v>30</v>
      </c>
      <c r="K14447" t="s">
        <v>43967</v>
      </c>
      <c r="M14447" t="s">
        <v>17861</v>
      </c>
      <c r="N14447" t="str">
        <f>"11/11/2020 7:16:00 PM"</f>
        <v>11/11/2020 7:16:00 PM</v>
      </c>
      <c r="O14447" t="s">
        <v>43964</v>
      </c>
      <c r="T14447" t="s">
        <v>43965</v>
      </c>
    </row>
    <row r="14448" spans="1:20" x14ac:dyDescent="0.25">
      <c r="A14448" t="str">
        <f>"3058170"</f>
        <v>3058170</v>
      </c>
      <c r="B14448" t="s">
        <v>43968</v>
      </c>
      <c r="C14448" t="str">
        <f>"8314564"</f>
        <v>8314564</v>
      </c>
      <c r="D14448" t="s">
        <v>43969</v>
      </c>
      <c r="F14448" t="s">
        <v>43970</v>
      </c>
      <c r="I14448" t="s">
        <v>29</v>
      </c>
      <c r="J14448" t="s">
        <v>30</v>
      </c>
      <c r="K14448" t="s">
        <v>38928</v>
      </c>
      <c r="M14448" t="s">
        <v>17861</v>
      </c>
      <c r="N14448" t="str">
        <f>"11/11/2020 7:23:00 PM"</f>
        <v>11/11/2020 7:23:00 PM</v>
      </c>
      <c r="O14448" t="s">
        <v>43969</v>
      </c>
    </row>
    <row r="14449" spans="1:20" x14ac:dyDescent="0.25">
      <c r="A14449" t="str">
        <f>"3046930"</f>
        <v>3046930</v>
      </c>
      <c r="B14449" t="s">
        <v>43971</v>
      </c>
      <c r="C14449" t="str">
        <f>"8314489"</f>
        <v>8314489</v>
      </c>
      <c r="D14449" t="s">
        <v>43972</v>
      </c>
      <c r="F14449" t="s">
        <v>43973</v>
      </c>
      <c r="I14449" t="s">
        <v>43974</v>
      </c>
      <c r="J14449" t="s">
        <v>4132</v>
      </c>
      <c r="K14449" t="s">
        <v>43975</v>
      </c>
      <c r="M14449" t="s">
        <v>17861</v>
      </c>
      <c r="N14449" t="str">
        <f>"11/6/2020 2:00:00 PM"</f>
        <v>11/6/2020 2:00:00 PM</v>
      </c>
      <c r="O14449" t="s">
        <v>43972</v>
      </c>
    </row>
    <row r="14450" spans="1:20" x14ac:dyDescent="0.25">
      <c r="A14450" t="str">
        <f>"3052024"</f>
        <v>3052024</v>
      </c>
      <c r="B14450" t="s">
        <v>43976</v>
      </c>
      <c r="C14450" t="str">
        <f>"8314508"</f>
        <v>8314508</v>
      </c>
      <c r="D14450" t="s">
        <v>43977</v>
      </c>
      <c r="E14450" t="s">
        <v>43978</v>
      </c>
      <c r="F14450" t="s">
        <v>43979</v>
      </c>
      <c r="I14450" t="s">
        <v>29</v>
      </c>
      <c r="J14450" t="s">
        <v>30</v>
      </c>
      <c r="K14450" t="s">
        <v>43980</v>
      </c>
      <c r="M14450" t="s">
        <v>17861</v>
      </c>
      <c r="N14450" t="str">
        <f>"11/9/2020 12:50:00 PM"</f>
        <v>11/9/2020 12:50:00 PM</v>
      </c>
      <c r="O14450" t="s">
        <v>43977</v>
      </c>
      <c r="T14450" t="s">
        <v>43978</v>
      </c>
    </row>
    <row r="14451" spans="1:20" x14ac:dyDescent="0.25">
      <c r="A14451" t="str">
        <f>"3061891"</f>
        <v>3061891</v>
      </c>
      <c r="B14451" t="s">
        <v>43981</v>
      </c>
      <c r="C14451" t="str">
        <f>"8314573"</f>
        <v>8314573</v>
      </c>
      <c r="D14451" t="s">
        <v>43982</v>
      </c>
      <c r="E14451" t="s">
        <v>43983</v>
      </c>
      <c r="F14451" t="s">
        <v>43984</v>
      </c>
      <c r="I14451" t="s">
        <v>2071</v>
      </c>
      <c r="J14451" t="s">
        <v>30</v>
      </c>
      <c r="K14451" t="s">
        <v>36586</v>
      </c>
      <c r="M14451" t="s">
        <v>17861</v>
      </c>
      <c r="N14451" t="str">
        <f>"11/17/2020 8:56:00 AM"</f>
        <v>11/17/2020 8:56:00 AM</v>
      </c>
      <c r="O14451" t="s">
        <v>43982</v>
      </c>
      <c r="T14451" t="s">
        <v>43983</v>
      </c>
    </row>
    <row r="14452" spans="1:20" x14ac:dyDescent="0.25">
      <c r="A14452" t="str">
        <f>"3061460"</f>
        <v>3061460</v>
      </c>
      <c r="B14452" t="s">
        <v>43985</v>
      </c>
      <c r="C14452" t="str">
        <f>"8314356"</f>
        <v>8314356</v>
      </c>
      <c r="D14452" t="s">
        <v>43986</v>
      </c>
      <c r="F14452" t="s">
        <v>43987</v>
      </c>
      <c r="I14452" t="s">
        <v>184</v>
      </c>
      <c r="J14452" t="s">
        <v>30</v>
      </c>
      <c r="K14452" t="s">
        <v>5334</v>
      </c>
      <c r="M14452" t="s">
        <v>17861</v>
      </c>
      <c r="N14452" t="str">
        <f>"11/17/2020 9:01:00 AM"</f>
        <v>11/17/2020 9:01:00 AM</v>
      </c>
      <c r="O14452" t="s">
        <v>43986</v>
      </c>
    </row>
    <row r="14453" spans="1:20" x14ac:dyDescent="0.25">
      <c r="A14453" t="str">
        <f>"3065628"</f>
        <v>3065628</v>
      </c>
      <c r="B14453" t="s">
        <v>43988</v>
      </c>
      <c r="C14453" t="str">
        <f>"8314574"</f>
        <v>8314574</v>
      </c>
      <c r="D14453" t="s">
        <v>43989</v>
      </c>
      <c r="F14453" t="s">
        <v>43990</v>
      </c>
      <c r="I14453" t="s">
        <v>17921</v>
      </c>
      <c r="J14453" t="s">
        <v>30</v>
      </c>
      <c r="K14453" t="str">
        <f>"27028"</f>
        <v>27028</v>
      </c>
      <c r="M14453" t="s">
        <v>17861</v>
      </c>
      <c r="N14453" t="str">
        <f>"11/17/2020 9:05:00 AM"</f>
        <v>11/17/2020 9:05:00 AM</v>
      </c>
      <c r="O14453" t="s">
        <v>43989</v>
      </c>
    </row>
    <row r="14454" spans="1:20" x14ac:dyDescent="0.25">
      <c r="A14454" t="str">
        <f>"3053700"</f>
        <v>3053700</v>
      </c>
      <c r="B14454" t="s">
        <v>43991</v>
      </c>
      <c r="C14454" t="str">
        <f>"8314575"</f>
        <v>8314575</v>
      </c>
      <c r="D14454" t="s">
        <v>43992</v>
      </c>
      <c r="F14454" t="s">
        <v>43993</v>
      </c>
      <c r="I14454" t="s">
        <v>29</v>
      </c>
      <c r="J14454" t="s">
        <v>30</v>
      </c>
      <c r="K14454" t="s">
        <v>43994</v>
      </c>
      <c r="M14454" t="s">
        <v>17861</v>
      </c>
      <c r="N14454" t="str">
        <f>"11/17/2020 9:22:00 AM"</f>
        <v>11/17/2020 9:22:00 AM</v>
      </c>
      <c r="O14454" t="s">
        <v>43992</v>
      </c>
    </row>
    <row r="14455" spans="1:20" x14ac:dyDescent="0.25">
      <c r="A14455" t="str">
        <f>"3058284"</f>
        <v>3058284</v>
      </c>
      <c r="B14455" t="s">
        <v>43995</v>
      </c>
      <c r="C14455" t="str">
        <f>"8314509"</f>
        <v>8314509</v>
      </c>
      <c r="D14455" t="s">
        <v>43996</v>
      </c>
      <c r="E14455" t="s">
        <v>43997</v>
      </c>
      <c r="F14455" t="s">
        <v>43998</v>
      </c>
      <c r="I14455" t="s">
        <v>29</v>
      </c>
      <c r="J14455" t="s">
        <v>30</v>
      </c>
      <c r="K14455" t="str">
        <f>"27028"</f>
        <v>27028</v>
      </c>
      <c r="M14455" t="s">
        <v>17861</v>
      </c>
      <c r="N14455" t="str">
        <f>"11/9/2020 12:55:00 PM"</f>
        <v>11/9/2020 12:55:00 PM</v>
      </c>
      <c r="O14455" t="s">
        <v>43996</v>
      </c>
      <c r="T14455" t="s">
        <v>43997</v>
      </c>
    </row>
    <row r="14456" spans="1:20" x14ac:dyDescent="0.25">
      <c r="A14456" t="str">
        <f>"3040520"</f>
        <v>3040520</v>
      </c>
      <c r="B14456" t="s">
        <v>43999</v>
      </c>
      <c r="C14456" t="str">
        <f>"8314511"</f>
        <v>8314511</v>
      </c>
      <c r="D14456" t="s">
        <v>44000</v>
      </c>
      <c r="F14456" t="s">
        <v>44001</v>
      </c>
      <c r="I14456" t="s">
        <v>184</v>
      </c>
      <c r="J14456" t="s">
        <v>30</v>
      </c>
      <c r="K14456" t="s">
        <v>20128</v>
      </c>
      <c r="M14456" t="s">
        <v>17861</v>
      </c>
      <c r="N14456" t="str">
        <f>"11/9/2020 1:13:00 PM"</f>
        <v>11/9/2020 1:13:00 PM</v>
      </c>
      <c r="O14456" t="s">
        <v>44000</v>
      </c>
    </row>
    <row r="14457" spans="1:20" x14ac:dyDescent="0.25">
      <c r="A14457" t="str">
        <f>"3060650"</f>
        <v>3060650</v>
      </c>
      <c r="B14457" t="s">
        <v>44002</v>
      </c>
      <c r="C14457" t="str">
        <f>"8314590"</f>
        <v>8314590</v>
      </c>
      <c r="D14457" t="s">
        <v>44003</v>
      </c>
      <c r="E14457" t="s">
        <v>44004</v>
      </c>
      <c r="F14457" t="s">
        <v>44005</v>
      </c>
      <c r="I14457" t="s">
        <v>2071</v>
      </c>
      <c r="J14457" t="s">
        <v>30</v>
      </c>
      <c r="K14457" t="str">
        <f>"27006"</f>
        <v>27006</v>
      </c>
      <c r="M14457" t="s">
        <v>17861</v>
      </c>
      <c r="N14457" t="str">
        <f>"11/17/2020 2:56:00 PM"</f>
        <v>11/17/2020 2:56:00 PM</v>
      </c>
      <c r="O14457" t="s">
        <v>44003</v>
      </c>
      <c r="T14457" t="s">
        <v>44004</v>
      </c>
    </row>
    <row r="14458" spans="1:20" x14ac:dyDescent="0.25">
      <c r="A14458" t="str">
        <f>"3057853"</f>
        <v>3057853</v>
      </c>
      <c r="B14458" t="s">
        <v>44006</v>
      </c>
      <c r="C14458" t="str">
        <f>"8314513"</f>
        <v>8314513</v>
      </c>
      <c r="D14458" t="s">
        <v>44007</v>
      </c>
      <c r="E14458" t="s">
        <v>44008</v>
      </c>
      <c r="F14458" t="s">
        <v>44009</v>
      </c>
      <c r="I14458" t="s">
        <v>184</v>
      </c>
      <c r="J14458" t="s">
        <v>30</v>
      </c>
      <c r="K14458" t="s">
        <v>9009</v>
      </c>
      <c r="M14458" t="s">
        <v>17861</v>
      </c>
      <c r="N14458" t="str">
        <f>"11/9/2020 1:26:00 PM"</f>
        <v>11/9/2020 1:26:00 PM</v>
      </c>
      <c r="O14458" t="s">
        <v>44007</v>
      </c>
      <c r="T14458" t="s">
        <v>44008</v>
      </c>
    </row>
    <row r="14459" spans="1:20" x14ac:dyDescent="0.25">
      <c r="A14459" t="str">
        <f>"3057555"</f>
        <v>3057555</v>
      </c>
      <c r="B14459" t="s">
        <v>44010</v>
      </c>
      <c r="C14459" t="str">
        <f>"8314515"</f>
        <v>8314515</v>
      </c>
      <c r="D14459" t="s">
        <v>44011</v>
      </c>
      <c r="F14459" t="s">
        <v>44012</v>
      </c>
      <c r="I14459" t="s">
        <v>29</v>
      </c>
      <c r="J14459" t="s">
        <v>30</v>
      </c>
      <c r="K14459" t="s">
        <v>42625</v>
      </c>
      <c r="M14459" t="s">
        <v>17861</v>
      </c>
      <c r="N14459" t="str">
        <f>"11/9/2020 1:29:00 PM"</f>
        <v>11/9/2020 1:29:00 PM</v>
      </c>
      <c r="O14459" t="s">
        <v>44011</v>
      </c>
    </row>
    <row r="14460" spans="1:20" x14ac:dyDescent="0.25">
      <c r="A14460" t="str">
        <f>"3045160"</f>
        <v>3045160</v>
      </c>
      <c r="B14460" t="s">
        <v>44013</v>
      </c>
      <c r="C14460" t="str">
        <f>"82526237"</f>
        <v>82526237</v>
      </c>
      <c r="D14460" t="s">
        <v>44014</v>
      </c>
      <c r="F14460" t="s">
        <v>44015</v>
      </c>
      <c r="I14460" t="s">
        <v>29</v>
      </c>
      <c r="J14460" t="s">
        <v>30</v>
      </c>
      <c r="K14460" t="s">
        <v>31</v>
      </c>
      <c r="M14460" t="s">
        <v>33845</v>
      </c>
      <c r="N14460" t="str">
        <f>"11/9/2020 2:41:00 PM"</f>
        <v>11/9/2020 2:41:00 PM</v>
      </c>
      <c r="O14460" t="s">
        <v>44014</v>
      </c>
    </row>
    <row r="14461" spans="1:20" x14ac:dyDescent="0.25">
      <c r="A14461" t="str">
        <f>"3060472"</f>
        <v>3060472</v>
      </c>
      <c r="B14461" t="s">
        <v>44016</v>
      </c>
      <c r="C14461" t="str">
        <f>"8314534"</f>
        <v>8314534</v>
      </c>
      <c r="D14461" t="s">
        <v>44017</v>
      </c>
      <c r="E14461" t="s">
        <v>44018</v>
      </c>
      <c r="F14461" t="s">
        <v>44019</v>
      </c>
      <c r="I14461" t="s">
        <v>184</v>
      </c>
      <c r="J14461" t="s">
        <v>30</v>
      </c>
      <c r="K14461" t="s">
        <v>9200</v>
      </c>
      <c r="M14461" t="s">
        <v>17861</v>
      </c>
      <c r="N14461" t="str">
        <f>"11/10/2020 10:48:00 AM"</f>
        <v>11/10/2020 10:48:00 AM</v>
      </c>
      <c r="O14461" t="s">
        <v>44017</v>
      </c>
      <c r="T14461" t="s">
        <v>44018</v>
      </c>
    </row>
    <row r="14462" spans="1:20" x14ac:dyDescent="0.25">
      <c r="A14462" t="str">
        <f>"3041437"</f>
        <v>3041437</v>
      </c>
      <c r="B14462" t="s">
        <v>44020</v>
      </c>
      <c r="C14462" t="str">
        <f>"8314535"</f>
        <v>8314535</v>
      </c>
      <c r="D14462" t="s">
        <v>44021</v>
      </c>
      <c r="F14462" t="s">
        <v>44022</v>
      </c>
      <c r="I14462" t="s">
        <v>2071</v>
      </c>
      <c r="J14462" t="s">
        <v>30</v>
      </c>
      <c r="K14462" t="s">
        <v>32842</v>
      </c>
      <c r="M14462" t="s">
        <v>17861</v>
      </c>
      <c r="N14462" t="str">
        <f>"11/10/2020 10:51:00 AM"</f>
        <v>11/10/2020 10:51:00 AM</v>
      </c>
      <c r="O14462" t="s">
        <v>44021</v>
      </c>
    </row>
    <row r="14463" spans="1:20" x14ac:dyDescent="0.25">
      <c r="A14463" t="str">
        <f>"3059355"</f>
        <v>3059355</v>
      </c>
      <c r="B14463" t="s">
        <v>44023</v>
      </c>
      <c r="C14463" t="str">
        <f>"8314538"</f>
        <v>8314538</v>
      </c>
      <c r="D14463" t="s">
        <v>44024</v>
      </c>
      <c r="E14463" t="s">
        <v>44025</v>
      </c>
      <c r="F14463" t="s">
        <v>44026</v>
      </c>
      <c r="I14463" t="s">
        <v>29</v>
      </c>
      <c r="J14463" t="s">
        <v>30</v>
      </c>
      <c r="K14463" t="s">
        <v>43809</v>
      </c>
      <c r="M14463" t="s">
        <v>17861</v>
      </c>
      <c r="N14463" t="str">
        <f>"11/10/2020 11:04:00 AM"</f>
        <v>11/10/2020 11:04:00 AM</v>
      </c>
      <c r="O14463" t="s">
        <v>44024</v>
      </c>
      <c r="T14463" t="s">
        <v>44025</v>
      </c>
    </row>
    <row r="14464" spans="1:20" x14ac:dyDescent="0.25">
      <c r="A14464" t="str">
        <f>"3048618"</f>
        <v>3048618</v>
      </c>
      <c r="B14464" t="s">
        <v>44027</v>
      </c>
      <c r="C14464" t="str">
        <f>"8314539"</f>
        <v>8314539</v>
      </c>
      <c r="D14464" t="s">
        <v>44028</v>
      </c>
      <c r="E14464" t="s">
        <v>44029</v>
      </c>
      <c r="F14464" t="s">
        <v>44030</v>
      </c>
      <c r="I14464" t="s">
        <v>184</v>
      </c>
      <c r="J14464" t="s">
        <v>30</v>
      </c>
      <c r="K14464" t="s">
        <v>44031</v>
      </c>
      <c r="M14464" t="s">
        <v>17861</v>
      </c>
      <c r="N14464" t="str">
        <f>"11/10/2020 11:09:00 AM"</f>
        <v>11/10/2020 11:09:00 AM</v>
      </c>
      <c r="O14464" t="s">
        <v>44028</v>
      </c>
      <c r="T14464" t="s">
        <v>44029</v>
      </c>
    </row>
    <row r="14465" spans="1:20" x14ac:dyDescent="0.25">
      <c r="A14465" t="str">
        <f>"3061276"</f>
        <v>3061276</v>
      </c>
      <c r="B14465" t="s">
        <v>44032</v>
      </c>
      <c r="C14465" t="str">
        <f>"8314543"</f>
        <v>8314543</v>
      </c>
      <c r="D14465" t="s">
        <v>44033</v>
      </c>
      <c r="E14465" t="s">
        <v>44034</v>
      </c>
      <c r="F14465" t="s">
        <v>44035</v>
      </c>
      <c r="I14465" t="s">
        <v>2071</v>
      </c>
      <c r="J14465" t="s">
        <v>30</v>
      </c>
      <c r="K14465" t="s">
        <v>36586</v>
      </c>
      <c r="M14465" t="s">
        <v>17861</v>
      </c>
      <c r="N14465" t="str">
        <f>"11/10/2020 11:51:00 AM"</f>
        <v>11/10/2020 11:51:00 AM</v>
      </c>
      <c r="O14465" t="s">
        <v>44033</v>
      </c>
      <c r="T14465" t="s">
        <v>44034</v>
      </c>
    </row>
    <row r="14466" spans="1:20" x14ac:dyDescent="0.25">
      <c r="A14466" t="str">
        <f>"3061170"</f>
        <v>3061170</v>
      </c>
      <c r="B14466" t="s">
        <v>44036</v>
      </c>
      <c r="C14466" t="str">
        <f>"8314544"</f>
        <v>8314544</v>
      </c>
      <c r="D14466" t="s">
        <v>44037</v>
      </c>
      <c r="E14466" t="s">
        <v>44038</v>
      </c>
      <c r="F14466" t="s">
        <v>44039</v>
      </c>
      <c r="I14466" t="s">
        <v>2071</v>
      </c>
      <c r="J14466" t="s">
        <v>30</v>
      </c>
      <c r="K14466" t="s">
        <v>2233</v>
      </c>
      <c r="M14466" t="s">
        <v>17861</v>
      </c>
      <c r="N14466" t="str">
        <f>"11/10/2020 12:09:00 PM"</f>
        <v>11/10/2020 12:09:00 PM</v>
      </c>
      <c r="O14466" t="s">
        <v>44037</v>
      </c>
      <c r="T14466" t="s">
        <v>44038</v>
      </c>
    </row>
    <row r="14467" spans="1:20" x14ac:dyDescent="0.25">
      <c r="A14467" t="str">
        <f>"3060102"</f>
        <v>3060102</v>
      </c>
      <c r="B14467" t="s">
        <v>44040</v>
      </c>
      <c r="C14467" t="str">
        <f>"8314545"</f>
        <v>8314545</v>
      </c>
      <c r="D14467" t="s">
        <v>44041</v>
      </c>
      <c r="F14467" t="s">
        <v>44042</v>
      </c>
      <c r="I14467" t="s">
        <v>184</v>
      </c>
      <c r="J14467" t="s">
        <v>30</v>
      </c>
      <c r="K14467" t="s">
        <v>10721</v>
      </c>
      <c r="M14467" t="s">
        <v>17861</v>
      </c>
      <c r="N14467" t="str">
        <f>"11/10/2020 12:17:00 PM"</f>
        <v>11/10/2020 12:17:00 PM</v>
      </c>
      <c r="O14467" t="s">
        <v>44041</v>
      </c>
    </row>
    <row r="14468" spans="1:20" x14ac:dyDescent="0.25">
      <c r="A14468" t="str">
        <f>"3053405"</f>
        <v>3053405</v>
      </c>
      <c r="B14468" t="s">
        <v>44043</v>
      </c>
      <c r="C14468" t="str">
        <f>"8314546"</f>
        <v>8314546</v>
      </c>
      <c r="D14468" t="s">
        <v>44044</v>
      </c>
      <c r="F14468" t="s">
        <v>44045</v>
      </c>
      <c r="I14468" t="s">
        <v>8729</v>
      </c>
      <c r="J14468" t="s">
        <v>30</v>
      </c>
      <c r="K14468" t="str">
        <f>"27925"</f>
        <v>27925</v>
      </c>
      <c r="M14468" t="s">
        <v>17861</v>
      </c>
      <c r="N14468" t="str">
        <f>"11/10/2020 12:39:00 PM"</f>
        <v>11/10/2020 12:39:00 PM</v>
      </c>
      <c r="O14468" t="s">
        <v>44044</v>
      </c>
    </row>
    <row r="14469" spans="1:20" x14ac:dyDescent="0.25">
      <c r="A14469" t="str">
        <f>"3044847"</f>
        <v>3044847</v>
      </c>
      <c r="B14469" t="s">
        <v>44046</v>
      </c>
      <c r="C14469" t="str">
        <f>"8314555"</f>
        <v>8314555</v>
      </c>
      <c r="D14469" t="s">
        <v>44047</v>
      </c>
      <c r="E14469" t="s">
        <v>44048</v>
      </c>
      <c r="F14469" t="s">
        <v>44049</v>
      </c>
      <c r="I14469" t="s">
        <v>184</v>
      </c>
      <c r="J14469" t="s">
        <v>30</v>
      </c>
      <c r="K14469" t="s">
        <v>6606</v>
      </c>
      <c r="M14469" t="s">
        <v>17861</v>
      </c>
      <c r="N14469" t="str">
        <f>"11/10/2020 2:21:00 PM"</f>
        <v>11/10/2020 2:21:00 PM</v>
      </c>
      <c r="O14469" t="s">
        <v>44047</v>
      </c>
      <c r="T14469" t="s">
        <v>44048</v>
      </c>
    </row>
    <row r="14470" spans="1:20" x14ac:dyDescent="0.25">
      <c r="A14470" t="str">
        <f>"3056727"</f>
        <v>3056727</v>
      </c>
      <c r="B14470" t="s">
        <v>44050</v>
      </c>
      <c r="C14470" t="str">
        <f>"8304563"</f>
        <v>8304563</v>
      </c>
      <c r="D14470" t="s">
        <v>44051</v>
      </c>
      <c r="F14470" t="s">
        <v>44052</v>
      </c>
      <c r="I14470" t="s">
        <v>29</v>
      </c>
      <c r="J14470" t="s">
        <v>30</v>
      </c>
      <c r="K14470" t="str">
        <f>"27028"</f>
        <v>27028</v>
      </c>
      <c r="M14470" t="s">
        <v>25733</v>
      </c>
      <c r="N14470" t="str">
        <f>"11/10/2020 3:06:00 PM"</f>
        <v>11/10/2020 3:06:00 PM</v>
      </c>
      <c r="O14470" t="s">
        <v>44051</v>
      </c>
    </row>
    <row r="14471" spans="1:20" x14ac:dyDescent="0.25">
      <c r="A14471" t="str">
        <f>"3061288"</f>
        <v>3061288</v>
      </c>
      <c r="B14471" t="s">
        <v>44053</v>
      </c>
      <c r="C14471" t="str">
        <f>"8314558"</f>
        <v>8314558</v>
      </c>
      <c r="D14471" t="s">
        <v>44054</v>
      </c>
      <c r="E14471" t="s">
        <v>44055</v>
      </c>
      <c r="F14471" t="s">
        <v>44056</v>
      </c>
      <c r="I14471" t="s">
        <v>2071</v>
      </c>
      <c r="J14471" t="s">
        <v>30</v>
      </c>
      <c r="K14471" t="s">
        <v>36586</v>
      </c>
      <c r="M14471" t="s">
        <v>17861</v>
      </c>
      <c r="N14471" t="str">
        <f>"11/11/2020 6:38:00 PM"</f>
        <v>11/11/2020 6:38:00 PM</v>
      </c>
      <c r="O14471" t="s">
        <v>44054</v>
      </c>
      <c r="T14471" t="s">
        <v>44055</v>
      </c>
    </row>
    <row r="14472" spans="1:20" x14ac:dyDescent="0.25">
      <c r="A14472" t="str">
        <f>"3043519"</f>
        <v>3043519</v>
      </c>
      <c r="B14472" t="s">
        <v>44057</v>
      </c>
      <c r="C14472" t="str">
        <f>"8314561"</f>
        <v>8314561</v>
      </c>
      <c r="D14472" t="s">
        <v>44058</v>
      </c>
      <c r="F14472" t="s">
        <v>44059</v>
      </c>
      <c r="I14472" t="s">
        <v>29</v>
      </c>
      <c r="J14472" t="s">
        <v>30</v>
      </c>
      <c r="K14472" t="s">
        <v>19739</v>
      </c>
      <c r="M14472" t="s">
        <v>17861</v>
      </c>
      <c r="N14472" t="str">
        <f>"11/11/2020 7:02:00 PM"</f>
        <v>11/11/2020 7:02:00 PM</v>
      </c>
      <c r="O14472" t="s">
        <v>44058</v>
      </c>
    </row>
    <row r="14473" spans="1:20" x14ac:dyDescent="0.25">
      <c r="A14473" t="str">
        <f>"3052044"</f>
        <v>3052044</v>
      </c>
      <c r="B14473" t="s">
        <v>44060</v>
      </c>
      <c r="C14473" t="str">
        <f>"8302296"</f>
        <v>8302296</v>
      </c>
      <c r="D14473" t="s">
        <v>44061</v>
      </c>
      <c r="F14473" t="s">
        <v>44062</v>
      </c>
      <c r="I14473" t="s">
        <v>29</v>
      </c>
      <c r="J14473" t="s">
        <v>30</v>
      </c>
      <c r="K14473" t="str">
        <f>"27028"</f>
        <v>27028</v>
      </c>
      <c r="M14473" t="s">
        <v>25733</v>
      </c>
      <c r="N14473" t="str">
        <f>"11/13/2020 2:12:00 PM"</f>
        <v>11/13/2020 2:12:00 PM</v>
      </c>
      <c r="O14473" t="s">
        <v>44061</v>
      </c>
    </row>
    <row r="14474" spans="1:20" x14ac:dyDescent="0.25">
      <c r="A14474" t="str">
        <f>"3046337"</f>
        <v>3046337</v>
      </c>
      <c r="B14474" t="s">
        <v>44063</v>
      </c>
      <c r="C14474" t="str">
        <f>"8314572"</f>
        <v>8314572</v>
      </c>
      <c r="D14474" t="s">
        <v>44064</v>
      </c>
      <c r="F14474" t="s">
        <v>44065</v>
      </c>
      <c r="I14474" t="s">
        <v>29</v>
      </c>
      <c r="J14474" t="s">
        <v>30</v>
      </c>
      <c r="K14474" t="s">
        <v>44066</v>
      </c>
      <c r="M14474" t="s">
        <v>17861</v>
      </c>
      <c r="N14474" t="str">
        <f>"11/17/2020 8:53:00 AM"</f>
        <v>11/17/2020 8:53:00 AM</v>
      </c>
      <c r="O14474" t="s">
        <v>44064</v>
      </c>
    </row>
    <row r="14475" spans="1:20" x14ac:dyDescent="0.25">
      <c r="A14475" t="str">
        <f>"3059118"</f>
        <v>3059118</v>
      </c>
      <c r="B14475" t="s">
        <v>44067</v>
      </c>
      <c r="C14475" t="str">
        <f>"8314577"</f>
        <v>8314577</v>
      </c>
      <c r="D14475" t="s">
        <v>44068</v>
      </c>
      <c r="E14475" t="s">
        <v>44069</v>
      </c>
      <c r="F14475" t="s">
        <v>44070</v>
      </c>
      <c r="I14475" t="s">
        <v>29</v>
      </c>
      <c r="J14475" t="s">
        <v>30</v>
      </c>
      <c r="K14475" t="s">
        <v>15135</v>
      </c>
      <c r="M14475" t="s">
        <v>17861</v>
      </c>
      <c r="N14475" t="str">
        <f>"11/17/2020 11:16:00 AM"</f>
        <v>11/17/2020 11:16:00 AM</v>
      </c>
      <c r="O14475" t="s">
        <v>44068</v>
      </c>
      <c r="T14475" t="s">
        <v>44069</v>
      </c>
    </row>
    <row r="14476" spans="1:20" x14ac:dyDescent="0.25">
      <c r="A14476" t="str">
        <f>"3048663"</f>
        <v>3048663</v>
      </c>
      <c r="B14476" t="s">
        <v>44071</v>
      </c>
      <c r="C14476" t="str">
        <f>"8314589"</f>
        <v>8314589</v>
      </c>
      <c r="D14476" t="s">
        <v>44072</v>
      </c>
      <c r="E14476" t="s">
        <v>44073</v>
      </c>
      <c r="F14476" t="s">
        <v>44074</v>
      </c>
      <c r="I14476" t="s">
        <v>29</v>
      </c>
      <c r="J14476" t="s">
        <v>30</v>
      </c>
      <c r="K14476" t="s">
        <v>44075</v>
      </c>
      <c r="M14476" t="s">
        <v>17861</v>
      </c>
      <c r="N14476" t="str">
        <f>"11/17/2020 2:47:00 PM"</f>
        <v>11/17/2020 2:47:00 PM</v>
      </c>
      <c r="O14476" t="s">
        <v>44072</v>
      </c>
      <c r="T14476" t="s">
        <v>44073</v>
      </c>
    </row>
    <row r="14477" spans="1:20" x14ac:dyDescent="0.25">
      <c r="A14477" t="str">
        <f>"3054481"</f>
        <v>3054481</v>
      </c>
      <c r="B14477" t="s">
        <v>44076</v>
      </c>
      <c r="C14477" t="str">
        <f>"8314522"</f>
        <v>8314522</v>
      </c>
      <c r="D14477" t="s">
        <v>44077</v>
      </c>
      <c r="F14477" t="s">
        <v>44078</v>
      </c>
      <c r="I14477" t="s">
        <v>29</v>
      </c>
      <c r="J14477" t="s">
        <v>30</v>
      </c>
      <c r="K14477" t="s">
        <v>8528</v>
      </c>
      <c r="M14477" t="s">
        <v>17861</v>
      </c>
      <c r="N14477" t="str">
        <f>"11/9/2020 4:46:00 PM"</f>
        <v>11/9/2020 4:46:00 PM</v>
      </c>
      <c r="O14477" t="s">
        <v>44077</v>
      </c>
    </row>
    <row r="14478" spans="1:20" x14ac:dyDescent="0.25">
      <c r="A14478" t="str">
        <f>"3044643"</f>
        <v>3044643</v>
      </c>
      <c r="B14478" t="s">
        <v>44079</v>
      </c>
      <c r="C14478" t="str">
        <f>"8314524"</f>
        <v>8314524</v>
      </c>
      <c r="D14478" t="s">
        <v>44080</v>
      </c>
      <c r="E14478" t="s">
        <v>44081</v>
      </c>
      <c r="F14478" t="s">
        <v>44082</v>
      </c>
      <c r="I14478" t="s">
        <v>184</v>
      </c>
      <c r="J14478" t="s">
        <v>30</v>
      </c>
      <c r="K14478" t="s">
        <v>33412</v>
      </c>
      <c r="M14478" t="s">
        <v>17861</v>
      </c>
      <c r="N14478" t="str">
        <f>"11/9/2020 7:18:00 PM"</f>
        <v>11/9/2020 7:18:00 PM</v>
      </c>
      <c r="O14478" t="s">
        <v>44080</v>
      </c>
      <c r="T14478" t="s">
        <v>44081</v>
      </c>
    </row>
    <row r="14479" spans="1:20" x14ac:dyDescent="0.25">
      <c r="A14479" t="str">
        <f>"3061282"</f>
        <v>3061282</v>
      </c>
      <c r="B14479" t="s">
        <v>44083</v>
      </c>
      <c r="C14479" t="str">
        <f>"8314528"</f>
        <v>8314528</v>
      </c>
      <c r="D14479" t="s">
        <v>44084</v>
      </c>
      <c r="E14479" t="s">
        <v>44085</v>
      </c>
      <c r="F14479" t="s">
        <v>44086</v>
      </c>
      <c r="I14479" t="s">
        <v>2071</v>
      </c>
      <c r="J14479" t="s">
        <v>30</v>
      </c>
      <c r="K14479" t="s">
        <v>36586</v>
      </c>
      <c r="M14479" t="s">
        <v>17861</v>
      </c>
      <c r="N14479" t="str">
        <f>"11/9/2020 7:47:00 PM"</f>
        <v>11/9/2020 7:47:00 PM</v>
      </c>
      <c r="O14479" t="s">
        <v>44084</v>
      </c>
      <c r="T14479" t="s">
        <v>44085</v>
      </c>
    </row>
    <row r="14480" spans="1:20" x14ac:dyDescent="0.25">
      <c r="A14480" t="str">
        <f>"3051532"</f>
        <v>3051532</v>
      </c>
      <c r="B14480" t="s">
        <v>44087</v>
      </c>
      <c r="C14480" t="str">
        <f>"8314529"</f>
        <v>8314529</v>
      </c>
      <c r="D14480" t="s">
        <v>44088</v>
      </c>
      <c r="F14480" t="s">
        <v>44089</v>
      </c>
      <c r="I14480" t="s">
        <v>29</v>
      </c>
      <c r="J14480" t="s">
        <v>30</v>
      </c>
      <c r="K14480" t="s">
        <v>14487</v>
      </c>
      <c r="M14480" t="s">
        <v>17861</v>
      </c>
      <c r="N14480" t="str">
        <f>"11/9/2020 7:54:00 PM"</f>
        <v>11/9/2020 7:54:00 PM</v>
      </c>
      <c r="O14480" t="s">
        <v>44088</v>
      </c>
    </row>
    <row r="14481" spans="1:20" x14ac:dyDescent="0.25">
      <c r="A14481" t="str">
        <f>"3060116"</f>
        <v>3060116</v>
      </c>
      <c r="B14481" t="s">
        <v>44090</v>
      </c>
      <c r="C14481" t="str">
        <f>"8314533"</f>
        <v>8314533</v>
      </c>
      <c r="D14481" t="s">
        <v>44091</v>
      </c>
      <c r="E14481" t="s">
        <v>44092</v>
      </c>
      <c r="F14481" t="s">
        <v>44093</v>
      </c>
      <c r="I14481" t="s">
        <v>184</v>
      </c>
      <c r="J14481" t="s">
        <v>30</v>
      </c>
      <c r="K14481" t="s">
        <v>34978</v>
      </c>
      <c r="M14481" t="s">
        <v>17861</v>
      </c>
      <c r="N14481" t="str">
        <f>"11/10/2020 10:24:00 AM"</f>
        <v>11/10/2020 10:24:00 AM</v>
      </c>
      <c r="O14481" t="s">
        <v>44091</v>
      </c>
      <c r="T14481" t="s">
        <v>44092</v>
      </c>
    </row>
    <row r="14482" spans="1:20" x14ac:dyDescent="0.25">
      <c r="A14482" t="str">
        <f>"3042341"</f>
        <v>3042341</v>
      </c>
      <c r="B14482" t="s">
        <v>44094</v>
      </c>
      <c r="C14482" t="str">
        <f>"8314597"</f>
        <v>8314597</v>
      </c>
      <c r="D14482" t="s">
        <v>44095</v>
      </c>
      <c r="E14482" t="s">
        <v>44096</v>
      </c>
      <c r="F14482" t="s">
        <v>44097</v>
      </c>
      <c r="I14482" t="s">
        <v>184</v>
      </c>
      <c r="J14482" t="s">
        <v>30</v>
      </c>
      <c r="K14482" t="s">
        <v>42083</v>
      </c>
      <c r="M14482" t="s">
        <v>17861</v>
      </c>
      <c r="N14482" t="str">
        <f>"11/18/2020 8:40:00 AM"</f>
        <v>11/18/2020 8:40:00 AM</v>
      </c>
      <c r="O14482" t="s">
        <v>44095</v>
      </c>
      <c r="T14482" t="s">
        <v>44096</v>
      </c>
    </row>
    <row r="14483" spans="1:20" x14ac:dyDescent="0.25">
      <c r="A14483" t="str">
        <f>"3040695"</f>
        <v>3040695</v>
      </c>
      <c r="B14483" t="s">
        <v>44098</v>
      </c>
      <c r="C14483" t="str">
        <f>"8314647"</f>
        <v>8314647</v>
      </c>
      <c r="D14483" t="s">
        <v>44099</v>
      </c>
      <c r="F14483" t="s">
        <v>44100</v>
      </c>
      <c r="I14483" t="s">
        <v>184</v>
      </c>
      <c r="J14483" t="s">
        <v>30</v>
      </c>
      <c r="K14483" t="s">
        <v>3517</v>
      </c>
      <c r="M14483" t="s">
        <v>17861</v>
      </c>
      <c r="N14483" t="str">
        <f>"11/20/2020 10:28:00 AM"</f>
        <v>11/20/2020 10:28:00 AM</v>
      </c>
      <c r="O14483" t="s">
        <v>44099</v>
      </c>
    </row>
    <row r="14484" spans="1:20" x14ac:dyDescent="0.25">
      <c r="A14484" t="str">
        <f>"3056500"</f>
        <v>3056500</v>
      </c>
      <c r="B14484" t="s">
        <v>44101</v>
      </c>
      <c r="C14484" t="str">
        <f>"8314648"</f>
        <v>8314648</v>
      </c>
      <c r="D14484" t="s">
        <v>44102</v>
      </c>
      <c r="F14484" t="s">
        <v>44103</v>
      </c>
      <c r="I14484" t="s">
        <v>29</v>
      </c>
      <c r="J14484" t="s">
        <v>30</v>
      </c>
      <c r="K14484" t="s">
        <v>16139</v>
      </c>
      <c r="M14484" t="s">
        <v>17861</v>
      </c>
      <c r="N14484" t="str">
        <f>"11/20/2020 10:45:00 AM"</f>
        <v>11/20/2020 10:45:00 AM</v>
      </c>
      <c r="O14484" t="s">
        <v>44102</v>
      </c>
    </row>
    <row r="14485" spans="1:20" x14ac:dyDescent="0.25">
      <c r="A14485" t="str">
        <f>"3059597"</f>
        <v>3059597</v>
      </c>
      <c r="B14485" t="s">
        <v>44104</v>
      </c>
      <c r="C14485" t="str">
        <f>"8314649"</f>
        <v>8314649</v>
      </c>
      <c r="D14485" t="s">
        <v>44105</v>
      </c>
      <c r="F14485" t="s">
        <v>44106</v>
      </c>
      <c r="I14485" t="s">
        <v>29</v>
      </c>
      <c r="J14485" t="s">
        <v>30</v>
      </c>
      <c r="K14485" t="s">
        <v>44107</v>
      </c>
      <c r="M14485" t="s">
        <v>17861</v>
      </c>
      <c r="N14485" t="str">
        <f>"11/20/2020 10:50:00 AM"</f>
        <v>11/20/2020 10:50:00 AM</v>
      </c>
      <c r="O14485" t="s">
        <v>44105</v>
      </c>
    </row>
    <row r="14486" spans="1:20" x14ac:dyDescent="0.25">
      <c r="A14486" t="str">
        <f>"3045315"</f>
        <v>3045315</v>
      </c>
      <c r="B14486" t="s">
        <v>44108</v>
      </c>
      <c r="C14486" t="str">
        <f>"8314598"</f>
        <v>8314598</v>
      </c>
      <c r="D14486" t="s">
        <v>44109</v>
      </c>
      <c r="E14486" t="s">
        <v>44110</v>
      </c>
      <c r="F14486" t="s">
        <v>44111</v>
      </c>
      <c r="I14486" t="s">
        <v>17921</v>
      </c>
      <c r="J14486" t="s">
        <v>30</v>
      </c>
      <c r="K14486" t="str">
        <f>"27028"</f>
        <v>27028</v>
      </c>
      <c r="M14486" t="s">
        <v>17861</v>
      </c>
      <c r="N14486" t="str">
        <f>"11/18/2020 10:27:00 AM"</f>
        <v>11/18/2020 10:27:00 AM</v>
      </c>
      <c r="O14486" t="s">
        <v>44109</v>
      </c>
      <c r="T14486" t="s">
        <v>44110</v>
      </c>
    </row>
    <row r="14487" spans="1:20" x14ac:dyDescent="0.25">
      <c r="A14487" t="str">
        <f>"3072979"</f>
        <v>3072979</v>
      </c>
      <c r="B14487" t="s">
        <v>44112</v>
      </c>
      <c r="C14487" t="str">
        <f>"8314651"</f>
        <v>8314651</v>
      </c>
      <c r="D14487" t="s">
        <v>44113</v>
      </c>
      <c r="E14487" t="s">
        <v>44114</v>
      </c>
      <c r="F14487" t="s">
        <v>44115</v>
      </c>
      <c r="I14487" t="s">
        <v>184</v>
      </c>
      <c r="J14487" t="s">
        <v>30</v>
      </c>
      <c r="K14487" t="s">
        <v>6103</v>
      </c>
      <c r="M14487" t="s">
        <v>17861</v>
      </c>
      <c r="N14487" t="str">
        <f>"11/20/2020 11:13:00 AM"</f>
        <v>11/20/2020 11:13:00 AM</v>
      </c>
      <c r="O14487" t="s">
        <v>44113</v>
      </c>
      <c r="T14487" t="s">
        <v>44114</v>
      </c>
    </row>
    <row r="14488" spans="1:20" x14ac:dyDescent="0.25">
      <c r="A14488" t="str">
        <f>"3056679"</f>
        <v>3056679</v>
      </c>
      <c r="B14488" t="s">
        <v>44116</v>
      </c>
      <c r="C14488" t="str">
        <f>"66118000"</f>
        <v>66118000</v>
      </c>
      <c r="D14488" t="s">
        <v>44117</v>
      </c>
      <c r="F14488" t="s">
        <v>44118</v>
      </c>
      <c r="I14488" t="s">
        <v>29</v>
      </c>
      <c r="J14488" t="s">
        <v>30</v>
      </c>
      <c r="K14488" t="s">
        <v>31</v>
      </c>
      <c r="M14488" t="s">
        <v>33845</v>
      </c>
      <c r="N14488" t="str">
        <f>"11/20/2020 11:17:00 AM"</f>
        <v>11/20/2020 11:17:00 AM</v>
      </c>
      <c r="O14488" t="s">
        <v>44117</v>
      </c>
    </row>
    <row r="14489" spans="1:20" x14ac:dyDescent="0.25">
      <c r="A14489" t="str">
        <f>"3060594"</f>
        <v>3060594</v>
      </c>
      <c r="B14489" t="s">
        <v>44119</v>
      </c>
      <c r="C14489" t="str">
        <f>"8314654"</f>
        <v>8314654</v>
      </c>
      <c r="D14489" t="s">
        <v>44120</v>
      </c>
      <c r="E14489" t="s">
        <v>44121</v>
      </c>
      <c r="F14489" t="s">
        <v>44122</v>
      </c>
      <c r="I14489" t="s">
        <v>2071</v>
      </c>
      <c r="J14489" t="s">
        <v>30</v>
      </c>
      <c r="K14489" t="s">
        <v>6410</v>
      </c>
      <c r="M14489" t="s">
        <v>17861</v>
      </c>
      <c r="N14489" t="str">
        <f>"11/20/2020 11:41:00 AM"</f>
        <v>11/20/2020 11:41:00 AM</v>
      </c>
      <c r="O14489" t="s">
        <v>44120</v>
      </c>
      <c r="T14489" t="s">
        <v>44121</v>
      </c>
    </row>
    <row r="14490" spans="1:20" x14ac:dyDescent="0.25">
      <c r="A14490" t="str">
        <f>"3056385"</f>
        <v>3056385</v>
      </c>
      <c r="B14490" t="s">
        <v>44123</v>
      </c>
      <c r="C14490" t="str">
        <f>"8314656"</f>
        <v>8314656</v>
      </c>
      <c r="D14490" t="s">
        <v>44124</v>
      </c>
      <c r="F14490" t="s">
        <v>44125</v>
      </c>
      <c r="I14490" t="s">
        <v>2280</v>
      </c>
      <c r="J14490" t="s">
        <v>30</v>
      </c>
      <c r="K14490" t="s">
        <v>44126</v>
      </c>
      <c r="M14490" t="s">
        <v>17861</v>
      </c>
      <c r="N14490" t="str">
        <f>"11/20/2020 12:15:00 PM"</f>
        <v>11/20/2020 12:15:00 PM</v>
      </c>
      <c r="O14490" t="s">
        <v>44124</v>
      </c>
    </row>
    <row r="14491" spans="1:20" x14ac:dyDescent="0.25">
      <c r="A14491" t="str">
        <f>"3054559"</f>
        <v>3054559</v>
      </c>
      <c r="B14491" t="s">
        <v>44127</v>
      </c>
      <c r="C14491" t="str">
        <f>"8314658"</f>
        <v>8314658</v>
      </c>
      <c r="D14491" t="s">
        <v>44128</v>
      </c>
      <c r="E14491" t="s">
        <v>44129</v>
      </c>
      <c r="F14491" t="s">
        <v>44130</v>
      </c>
      <c r="I14491" t="s">
        <v>29</v>
      </c>
      <c r="J14491" t="s">
        <v>30</v>
      </c>
      <c r="K14491" t="s">
        <v>33532</v>
      </c>
      <c r="M14491" t="s">
        <v>17861</v>
      </c>
      <c r="N14491" t="str">
        <f>"11/20/2020 2:45:00 PM"</f>
        <v>11/20/2020 2:45:00 PM</v>
      </c>
      <c r="O14491" t="s">
        <v>44128</v>
      </c>
      <c r="T14491" t="s">
        <v>44129</v>
      </c>
    </row>
    <row r="14492" spans="1:20" x14ac:dyDescent="0.25">
      <c r="A14492" t="str">
        <f>"3051723"</f>
        <v>3051723</v>
      </c>
      <c r="B14492" t="s">
        <v>44131</v>
      </c>
      <c r="C14492" t="str">
        <f>"8313267"</f>
        <v>8313267</v>
      </c>
      <c r="D14492" t="s">
        <v>44132</v>
      </c>
      <c r="F14492" t="s">
        <v>44133</v>
      </c>
      <c r="I14492" t="s">
        <v>471</v>
      </c>
      <c r="J14492" t="s">
        <v>30</v>
      </c>
      <c r="K14492" t="s">
        <v>44134</v>
      </c>
      <c r="M14492" t="s">
        <v>40663</v>
      </c>
      <c r="N14492" t="str">
        <f>"11/18/2020 10:39:00 AM"</f>
        <v>11/18/2020 10:39:00 AM</v>
      </c>
      <c r="O14492" t="s">
        <v>44132</v>
      </c>
    </row>
    <row r="14493" spans="1:20" x14ac:dyDescent="0.25">
      <c r="A14493" t="str">
        <f>"3049265"</f>
        <v>3049265</v>
      </c>
      <c r="B14493" t="s">
        <v>44135</v>
      </c>
      <c r="C14493" t="str">
        <f>"8314593"</f>
        <v>8314593</v>
      </c>
      <c r="D14493" t="s">
        <v>44136</v>
      </c>
      <c r="E14493" t="s">
        <v>44137</v>
      </c>
      <c r="F14493" t="s">
        <v>44138</v>
      </c>
      <c r="I14493" t="s">
        <v>184</v>
      </c>
      <c r="J14493" t="s">
        <v>30</v>
      </c>
      <c r="K14493" t="s">
        <v>43629</v>
      </c>
      <c r="M14493" t="s">
        <v>17861</v>
      </c>
      <c r="N14493" t="str">
        <f>"11/17/2020 3:09:00 PM"</f>
        <v>11/17/2020 3:09:00 PM</v>
      </c>
      <c r="O14493" t="s">
        <v>44136</v>
      </c>
      <c r="T14493" t="s">
        <v>44137</v>
      </c>
    </row>
    <row r="14494" spans="1:20" x14ac:dyDescent="0.25">
      <c r="A14494" t="str">
        <f>"3048855"</f>
        <v>3048855</v>
      </c>
      <c r="B14494" t="s">
        <v>44139</v>
      </c>
      <c r="C14494" t="str">
        <f>"8314594"</f>
        <v>8314594</v>
      </c>
      <c r="D14494" t="s">
        <v>44140</v>
      </c>
      <c r="F14494" t="s">
        <v>44141</v>
      </c>
      <c r="I14494" t="s">
        <v>29</v>
      </c>
      <c r="J14494" t="s">
        <v>30</v>
      </c>
      <c r="K14494" t="s">
        <v>44142</v>
      </c>
      <c r="M14494" t="s">
        <v>17861</v>
      </c>
      <c r="N14494" t="str">
        <f>"11/17/2020 3:14:00 PM"</f>
        <v>11/17/2020 3:14:00 PM</v>
      </c>
      <c r="O14494" t="s">
        <v>44140</v>
      </c>
    </row>
    <row r="14495" spans="1:20" x14ac:dyDescent="0.25">
      <c r="A14495" t="str">
        <f>"3049850"</f>
        <v>3049850</v>
      </c>
      <c r="B14495" t="s">
        <v>44143</v>
      </c>
      <c r="C14495" t="str">
        <f>"8314595"</f>
        <v>8314595</v>
      </c>
      <c r="D14495" t="s">
        <v>44144</v>
      </c>
      <c r="E14495" t="s">
        <v>44145</v>
      </c>
      <c r="F14495" t="s">
        <v>44146</v>
      </c>
      <c r="I14495" t="s">
        <v>29</v>
      </c>
      <c r="J14495" t="s">
        <v>30</v>
      </c>
      <c r="K14495" t="s">
        <v>9710</v>
      </c>
      <c r="M14495" t="s">
        <v>17861</v>
      </c>
      <c r="N14495" t="str">
        <f>"11/18/2020 8:13:00 AM"</f>
        <v>11/18/2020 8:13:00 AM</v>
      </c>
      <c r="O14495" t="s">
        <v>44144</v>
      </c>
      <c r="T14495" t="s">
        <v>44145</v>
      </c>
    </row>
    <row r="14496" spans="1:20" x14ac:dyDescent="0.25">
      <c r="A14496" t="str">
        <f>"3054328"</f>
        <v>3054328</v>
      </c>
      <c r="B14496" t="s">
        <v>44147</v>
      </c>
      <c r="C14496" t="str">
        <f>"8314596"</f>
        <v>8314596</v>
      </c>
      <c r="D14496" t="s">
        <v>44148</v>
      </c>
      <c r="E14496" t="s">
        <v>44149</v>
      </c>
      <c r="F14496" t="s">
        <v>44150</v>
      </c>
      <c r="I14496" t="s">
        <v>29</v>
      </c>
      <c r="J14496" t="s">
        <v>30</v>
      </c>
      <c r="K14496" t="s">
        <v>15511</v>
      </c>
      <c r="M14496" t="s">
        <v>17861</v>
      </c>
      <c r="N14496" t="str">
        <f>"11/18/2020 8:28:00 AM"</f>
        <v>11/18/2020 8:28:00 AM</v>
      </c>
      <c r="O14496" t="s">
        <v>44148</v>
      </c>
      <c r="T14496" t="s">
        <v>44149</v>
      </c>
    </row>
    <row r="14497" spans="1:20" x14ac:dyDescent="0.25">
      <c r="A14497" t="str">
        <f>"3062533"</f>
        <v>3062533</v>
      </c>
      <c r="B14497" t="s">
        <v>44151</v>
      </c>
      <c r="C14497" t="str">
        <f>"8314650"</f>
        <v>8314650</v>
      </c>
      <c r="D14497" t="s">
        <v>44152</v>
      </c>
      <c r="F14497" t="s">
        <v>44153</v>
      </c>
      <c r="I14497" t="s">
        <v>184</v>
      </c>
      <c r="J14497" t="s">
        <v>30</v>
      </c>
      <c r="K14497" t="s">
        <v>43385</v>
      </c>
      <c r="M14497" t="s">
        <v>17861</v>
      </c>
      <c r="N14497" t="str">
        <f>"11/20/2020 10:53:00 AM"</f>
        <v>11/20/2020 10:53:00 AM</v>
      </c>
      <c r="O14497" t="s">
        <v>44152</v>
      </c>
    </row>
    <row r="14498" spans="1:20" x14ac:dyDescent="0.25">
      <c r="A14498" t="str">
        <f>"3038244"</f>
        <v>3038244</v>
      </c>
      <c r="B14498" t="s">
        <v>44154</v>
      </c>
      <c r="C14498" t="str">
        <f>"82522107"</f>
        <v>82522107</v>
      </c>
      <c r="D14498" t="s">
        <v>44155</v>
      </c>
      <c r="F14498" t="s">
        <v>44156</v>
      </c>
      <c r="I14498" t="s">
        <v>44157</v>
      </c>
      <c r="J14498" t="s">
        <v>11346</v>
      </c>
      <c r="K14498" t="s">
        <v>44158</v>
      </c>
      <c r="M14498" t="s">
        <v>33845</v>
      </c>
      <c r="N14498" t="str">
        <f>"11/23/2020 12:29:00 PM"</f>
        <v>11/23/2020 12:29:00 PM</v>
      </c>
      <c r="O14498" t="s">
        <v>44155</v>
      </c>
    </row>
    <row r="14499" spans="1:20" x14ac:dyDescent="0.25">
      <c r="A14499" t="str">
        <f>"3060947"</f>
        <v>3060947</v>
      </c>
      <c r="B14499" t="s">
        <v>44159</v>
      </c>
      <c r="C14499" t="str">
        <f>"8314682"</f>
        <v>8314682</v>
      </c>
      <c r="D14499" t="s">
        <v>44160</v>
      </c>
      <c r="E14499" t="s">
        <v>44161</v>
      </c>
      <c r="F14499" t="s">
        <v>44162</v>
      </c>
      <c r="I14499" t="s">
        <v>2071</v>
      </c>
      <c r="J14499" t="s">
        <v>30</v>
      </c>
      <c r="K14499" t="s">
        <v>34675</v>
      </c>
      <c r="M14499" t="s">
        <v>17861</v>
      </c>
      <c r="N14499" t="str">
        <f>"11/30/2020 8:36:00 AM"</f>
        <v>11/30/2020 8:36:00 AM</v>
      </c>
      <c r="O14499" t="s">
        <v>44160</v>
      </c>
      <c r="T14499" t="s">
        <v>44161</v>
      </c>
    </row>
    <row r="14500" spans="1:20" x14ac:dyDescent="0.25">
      <c r="A14500" t="str">
        <f>"3048778"</f>
        <v>3048778</v>
      </c>
      <c r="B14500" t="s">
        <v>44163</v>
      </c>
      <c r="C14500" t="str">
        <f>"82528927"</f>
        <v>82528927</v>
      </c>
      <c r="D14500" t="s">
        <v>44164</v>
      </c>
      <c r="F14500" t="s">
        <v>44165</v>
      </c>
      <c r="I14500" t="s">
        <v>29</v>
      </c>
      <c r="J14500" t="s">
        <v>30</v>
      </c>
      <c r="K14500" t="s">
        <v>31</v>
      </c>
      <c r="M14500" t="s">
        <v>33845</v>
      </c>
      <c r="N14500" t="str">
        <f>"11/23/2020 2:29:00 PM"</f>
        <v>11/23/2020 2:29:00 PM</v>
      </c>
      <c r="O14500" t="s">
        <v>44164</v>
      </c>
    </row>
    <row r="14501" spans="1:20" x14ac:dyDescent="0.25">
      <c r="A14501" t="str">
        <f>"3041489"</f>
        <v>3041489</v>
      </c>
      <c r="B14501" t="s">
        <v>44166</v>
      </c>
      <c r="C14501" t="str">
        <f>"8314601"</f>
        <v>8314601</v>
      </c>
      <c r="D14501" t="s">
        <v>44167</v>
      </c>
      <c r="E14501" t="s">
        <v>44168</v>
      </c>
      <c r="F14501" t="s">
        <v>44169</v>
      </c>
      <c r="I14501" t="s">
        <v>2071</v>
      </c>
      <c r="J14501" t="s">
        <v>30</v>
      </c>
      <c r="K14501" t="str">
        <f>"27006"</f>
        <v>27006</v>
      </c>
      <c r="M14501" t="s">
        <v>17861</v>
      </c>
      <c r="N14501" t="str">
        <f>"11/18/2020 11:22:00 AM"</f>
        <v>11/18/2020 11:22:00 AM</v>
      </c>
      <c r="O14501" t="s">
        <v>44167</v>
      </c>
      <c r="T14501" t="s">
        <v>44168</v>
      </c>
    </row>
    <row r="14502" spans="1:20" x14ac:dyDescent="0.25">
      <c r="A14502" t="str">
        <f>"3037434"</f>
        <v>3037434</v>
      </c>
      <c r="B14502" t="s">
        <v>44170</v>
      </c>
      <c r="C14502" t="str">
        <f>"8314604"</f>
        <v>8314604</v>
      </c>
      <c r="D14502" t="s">
        <v>44171</v>
      </c>
      <c r="E14502" t="s">
        <v>44172</v>
      </c>
      <c r="F14502" t="s">
        <v>44173</v>
      </c>
      <c r="I14502" t="s">
        <v>44174</v>
      </c>
      <c r="J14502" t="s">
        <v>9877</v>
      </c>
      <c r="K14502" t="s">
        <v>44175</v>
      </c>
      <c r="M14502" t="s">
        <v>17861</v>
      </c>
      <c r="N14502" t="str">
        <f>"11/18/2020 1:35:00 PM"</f>
        <v>11/18/2020 1:35:00 PM</v>
      </c>
      <c r="O14502" t="s">
        <v>44171</v>
      </c>
      <c r="T14502" t="s">
        <v>44172</v>
      </c>
    </row>
    <row r="14503" spans="1:20" x14ac:dyDescent="0.25">
      <c r="A14503" t="str">
        <f>"3037980"</f>
        <v>3037980</v>
      </c>
      <c r="B14503" t="s">
        <v>44176</v>
      </c>
      <c r="C14503" t="str">
        <f>"8314687"</f>
        <v>8314687</v>
      </c>
      <c r="D14503" t="s">
        <v>44177</v>
      </c>
      <c r="E14503" t="s">
        <v>44178</v>
      </c>
      <c r="F14503" t="s">
        <v>38581</v>
      </c>
      <c r="I14503" t="s">
        <v>184</v>
      </c>
      <c r="J14503" t="s">
        <v>30</v>
      </c>
      <c r="K14503" t="s">
        <v>26530</v>
      </c>
      <c r="M14503" t="s">
        <v>17861</v>
      </c>
      <c r="N14503" t="str">
        <f>"11/30/2020 10:27:00 AM"</f>
        <v>11/30/2020 10:27:00 AM</v>
      </c>
      <c r="O14503" t="s">
        <v>44177</v>
      </c>
      <c r="T14503" t="s">
        <v>44178</v>
      </c>
    </row>
    <row r="14504" spans="1:20" x14ac:dyDescent="0.25">
      <c r="A14504" t="str">
        <f>"3061279"</f>
        <v>3061279</v>
      </c>
      <c r="B14504" t="s">
        <v>44179</v>
      </c>
      <c r="C14504" t="str">
        <f>"8314688"</f>
        <v>8314688</v>
      </c>
      <c r="D14504" t="s">
        <v>44180</v>
      </c>
      <c r="F14504" t="s">
        <v>44181</v>
      </c>
      <c r="I14504" t="s">
        <v>2071</v>
      </c>
      <c r="J14504" t="s">
        <v>30</v>
      </c>
      <c r="K14504" t="s">
        <v>36586</v>
      </c>
      <c r="M14504" t="s">
        <v>17861</v>
      </c>
      <c r="N14504" t="str">
        <f>"11/30/2020 10:39:00 AM"</f>
        <v>11/30/2020 10:39:00 AM</v>
      </c>
      <c r="O14504" t="s">
        <v>44180</v>
      </c>
    </row>
    <row r="14505" spans="1:20" x14ac:dyDescent="0.25">
      <c r="A14505" t="str">
        <f>"3048791"</f>
        <v>3048791</v>
      </c>
      <c r="B14505" t="s">
        <v>44182</v>
      </c>
      <c r="C14505" t="str">
        <f>"8314690"</f>
        <v>8314690</v>
      </c>
      <c r="D14505" t="s">
        <v>44183</v>
      </c>
      <c r="E14505" t="s">
        <v>44184</v>
      </c>
      <c r="F14505" t="s">
        <v>44185</v>
      </c>
      <c r="I14505" t="s">
        <v>29</v>
      </c>
      <c r="J14505" t="s">
        <v>30</v>
      </c>
      <c r="K14505" t="s">
        <v>44186</v>
      </c>
      <c r="M14505" t="s">
        <v>17861</v>
      </c>
      <c r="N14505" t="str">
        <f>"11/30/2020 10:49:00 AM"</f>
        <v>11/30/2020 10:49:00 AM</v>
      </c>
      <c r="O14505" t="s">
        <v>44183</v>
      </c>
      <c r="T14505" t="s">
        <v>44184</v>
      </c>
    </row>
    <row r="14506" spans="1:20" x14ac:dyDescent="0.25">
      <c r="A14506" t="str">
        <f>"3044165"</f>
        <v>3044165</v>
      </c>
      <c r="B14506" t="s">
        <v>44187</v>
      </c>
      <c r="C14506" t="str">
        <f>"8314691"</f>
        <v>8314691</v>
      </c>
      <c r="D14506" t="s">
        <v>44188</v>
      </c>
      <c r="E14506" t="s">
        <v>44189</v>
      </c>
      <c r="F14506" t="s">
        <v>44190</v>
      </c>
      <c r="I14506" t="s">
        <v>184</v>
      </c>
      <c r="J14506" t="s">
        <v>30</v>
      </c>
      <c r="K14506" t="s">
        <v>36453</v>
      </c>
      <c r="M14506" t="s">
        <v>17861</v>
      </c>
      <c r="N14506" t="str">
        <f>"11/30/2020 12:28:00 PM"</f>
        <v>11/30/2020 12:28:00 PM</v>
      </c>
      <c r="O14506" t="s">
        <v>44188</v>
      </c>
      <c r="T14506" t="s">
        <v>44189</v>
      </c>
    </row>
    <row r="14507" spans="1:20" x14ac:dyDescent="0.25">
      <c r="A14507" t="str">
        <f>"3050843"</f>
        <v>3050843</v>
      </c>
      <c r="B14507" t="s">
        <v>44191</v>
      </c>
      <c r="C14507" t="str">
        <f>"8314692"</f>
        <v>8314692</v>
      </c>
      <c r="D14507" t="s">
        <v>44192</v>
      </c>
      <c r="F14507" t="s">
        <v>44193</v>
      </c>
      <c r="I14507" t="s">
        <v>184</v>
      </c>
      <c r="J14507" t="s">
        <v>30</v>
      </c>
      <c r="K14507" t="s">
        <v>26078</v>
      </c>
      <c r="M14507" t="s">
        <v>17861</v>
      </c>
      <c r="N14507" t="str">
        <f>"11/30/2020 1:31:00 PM"</f>
        <v>11/30/2020 1:31:00 PM</v>
      </c>
      <c r="O14507" t="s">
        <v>44192</v>
      </c>
    </row>
    <row r="14508" spans="1:20" x14ac:dyDescent="0.25">
      <c r="A14508" t="str">
        <f>"3055653"</f>
        <v>3055653</v>
      </c>
      <c r="B14508" t="s">
        <v>44194</v>
      </c>
      <c r="C14508" t="str">
        <f>"8314605"</f>
        <v>8314605</v>
      </c>
      <c r="D14508" t="s">
        <v>44195</v>
      </c>
      <c r="E14508" t="s">
        <v>44196</v>
      </c>
      <c r="F14508" t="s">
        <v>44197</v>
      </c>
      <c r="I14508" t="s">
        <v>29</v>
      </c>
      <c r="J14508" t="s">
        <v>30</v>
      </c>
      <c r="K14508" t="s">
        <v>44198</v>
      </c>
      <c r="M14508" t="s">
        <v>17861</v>
      </c>
      <c r="N14508" t="str">
        <f>"11/18/2020 1:47:00 PM"</f>
        <v>11/18/2020 1:47:00 PM</v>
      </c>
      <c r="O14508" t="s">
        <v>44195</v>
      </c>
      <c r="T14508" t="s">
        <v>44196</v>
      </c>
    </row>
    <row r="14509" spans="1:20" x14ac:dyDescent="0.25">
      <c r="A14509" t="str">
        <f>"3060558"</f>
        <v>3060558</v>
      </c>
      <c r="B14509" t="s">
        <v>44199</v>
      </c>
      <c r="C14509" t="str">
        <f>"8314608"</f>
        <v>8314608</v>
      </c>
      <c r="D14509" t="s">
        <v>44200</v>
      </c>
      <c r="E14509" t="s">
        <v>44201</v>
      </c>
      <c r="F14509" t="s">
        <v>44202</v>
      </c>
      <c r="I14509" t="s">
        <v>2071</v>
      </c>
      <c r="J14509" t="s">
        <v>30</v>
      </c>
      <c r="K14509" t="str">
        <f>"27006"</f>
        <v>27006</v>
      </c>
      <c r="M14509" t="s">
        <v>17861</v>
      </c>
      <c r="N14509" t="str">
        <f>"11/18/2020 3:40:00 PM"</f>
        <v>11/18/2020 3:40:00 PM</v>
      </c>
      <c r="O14509" t="s">
        <v>44200</v>
      </c>
      <c r="T14509" t="s">
        <v>44201</v>
      </c>
    </row>
    <row r="14510" spans="1:20" x14ac:dyDescent="0.25">
      <c r="A14510" t="str">
        <f>"3059873"</f>
        <v>3059873</v>
      </c>
      <c r="B14510" t="s">
        <v>44203</v>
      </c>
      <c r="C14510" t="str">
        <f>"8314609"</f>
        <v>8314609</v>
      </c>
      <c r="D14510" t="s">
        <v>44204</v>
      </c>
      <c r="E14510" t="s">
        <v>44205</v>
      </c>
      <c r="F14510" t="s">
        <v>44206</v>
      </c>
      <c r="I14510" t="s">
        <v>29</v>
      </c>
      <c r="J14510" t="s">
        <v>30</v>
      </c>
      <c r="K14510" t="s">
        <v>41547</v>
      </c>
      <c r="M14510" t="s">
        <v>17861</v>
      </c>
      <c r="N14510" t="str">
        <f>"11/19/2020 8:44:00 AM"</f>
        <v>11/19/2020 8:44:00 AM</v>
      </c>
      <c r="O14510" t="s">
        <v>44204</v>
      </c>
      <c r="T14510" t="s">
        <v>44205</v>
      </c>
    </row>
    <row r="14511" spans="1:20" x14ac:dyDescent="0.25">
      <c r="A14511" t="str">
        <f>"3063782"</f>
        <v>3063782</v>
      </c>
      <c r="B14511" t="s">
        <v>44207</v>
      </c>
      <c r="C14511" t="str">
        <f>"8314611"</f>
        <v>8314611</v>
      </c>
      <c r="D14511" t="s">
        <v>44208</v>
      </c>
      <c r="E14511" t="s">
        <v>44209</v>
      </c>
      <c r="F14511" t="s">
        <v>44210</v>
      </c>
      <c r="I14511" t="s">
        <v>29</v>
      </c>
      <c r="J14511" t="s">
        <v>30</v>
      </c>
      <c r="K14511" t="s">
        <v>6895</v>
      </c>
      <c r="M14511" t="s">
        <v>17861</v>
      </c>
      <c r="N14511" t="str">
        <f>"11/19/2020 9:49:00 AM"</f>
        <v>11/19/2020 9:49:00 AM</v>
      </c>
      <c r="O14511" t="s">
        <v>44208</v>
      </c>
      <c r="T14511" t="s">
        <v>44209</v>
      </c>
    </row>
    <row r="14512" spans="1:20" x14ac:dyDescent="0.25">
      <c r="A14512" t="str">
        <f>"3042629"</f>
        <v>3042629</v>
      </c>
      <c r="B14512" t="s">
        <v>44211</v>
      </c>
      <c r="C14512" t="str">
        <f>"8314697"</f>
        <v>8314697</v>
      </c>
      <c r="D14512" t="s">
        <v>44212</v>
      </c>
      <c r="E14512" t="s">
        <v>44213</v>
      </c>
      <c r="F14512" t="s">
        <v>44214</v>
      </c>
      <c r="I14512" t="s">
        <v>17921</v>
      </c>
      <c r="J14512" t="s">
        <v>30</v>
      </c>
      <c r="K14512" t="str">
        <f>"27028"</f>
        <v>27028</v>
      </c>
      <c r="M14512" t="s">
        <v>17861</v>
      </c>
      <c r="N14512" t="str">
        <f>"11/30/2020 3:06:00 PM"</f>
        <v>11/30/2020 3:06:00 PM</v>
      </c>
      <c r="O14512" t="s">
        <v>44212</v>
      </c>
      <c r="T14512" t="s">
        <v>44213</v>
      </c>
    </row>
    <row r="14513" spans="1:20" x14ac:dyDescent="0.25">
      <c r="A14513" t="str">
        <f>"3061003"</f>
        <v>3061003</v>
      </c>
      <c r="B14513" t="s">
        <v>44215</v>
      </c>
      <c r="C14513" t="str">
        <f>"8314698"</f>
        <v>8314698</v>
      </c>
      <c r="D14513" t="s">
        <v>44216</v>
      </c>
      <c r="E14513" t="s">
        <v>44217</v>
      </c>
      <c r="F14513" t="s">
        <v>44218</v>
      </c>
      <c r="I14513" t="s">
        <v>2071</v>
      </c>
      <c r="J14513" t="s">
        <v>30</v>
      </c>
      <c r="K14513" t="str">
        <f>"27006"</f>
        <v>27006</v>
      </c>
      <c r="M14513" t="s">
        <v>17861</v>
      </c>
      <c r="N14513" t="str">
        <f>"11/30/2020 3:11:00 PM"</f>
        <v>11/30/2020 3:11:00 PM</v>
      </c>
      <c r="O14513" t="s">
        <v>44216</v>
      </c>
      <c r="T14513" t="s">
        <v>44217</v>
      </c>
    </row>
    <row r="14514" spans="1:20" x14ac:dyDescent="0.25">
      <c r="A14514" t="str">
        <f>"3066344"</f>
        <v>3066344</v>
      </c>
      <c r="B14514" t="s">
        <v>44219</v>
      </c>
      <c r="C14514" t="str">
        <f>"8314701"</f>
        <v>8314701</v>
      </c>
      <c r="D14514" t="s">
        <v>44220</v>
      </c>
      <c r="E14514" t="s">
        <v>44221</v>
      </c>
      <c r="F14514" t="s">
        <v>44222</v>
      </c>
      <c r="I14514" t="s">
        <v>184</v>
      </c>
      <c r="J14514" t="s">
        <v>30</v>
      </c>
      <c r="K14514" t="s">
        <v>39148</v>
      </c>
      <c r="M14514" t="s">
        <v>17861</v>
      </c>
      <c r="N14514" t="str">
        <f>"11/30/2020 3:37:00 PM"</f>
        <v>11/30/2020 3:37:00 PM</v>
      </c>
      <c r="O14514" t="s">
        <v>44220</v>
      </c>
      <c r="T14514" t="s">
        <v>44221</v>
      </c>
    </row>
    <row r="14515" spans="1:20" x14ac:dyDescent="0.25">
      <c r="A14515" t="str">
        <f>"3060263"</f>
        <v>3060263</v>
      </c>
      <c r="B14515" t="s">
        <v>44223</v>
      </c>
      <c r="C14515" t="str">
        <f>"8314702"</f>
        <v>8314702</v>
      </c>
      <c r="D14515" t="str">
        <f>"LOPEZ HERNAN M/NATALEE J"</f>
        <v>LOPEZ HERNAN M/NATALEE J</v>
      </c>
      <c r="E14515" t="s">
        <v>44224</v>
      </c>
      <c r="F14515" t="s">
        <v>44225</v>
      </c>
      <c r="I14515" t="s">
        <v>184</v>
      </c>
      <c r="J14515" t="s">
        <v>30</v>
      </c>
      <c r="K14515" t="s">
        <v>33014</v>
      </c>
      <c r="M14515" t="s">
        <v>17861</v>
      </c>
      <c r="N14515" t="str">
        <f>"11/30/2020 3:42:00 PM"</f>
        <v>11/30/2020 3:42:00 PM</v>
      </c>
      <c r="O14515" t="str">
        <f>"LOPEZ HERNAN M/NATALEE J"</f>
        <v>LOPEZ HERNAN M/NATALEE J</v>
      </c>
      <c r="T14515" t="s">
        <v>44224</v>
      </c>
    </row>
    <row r="14516" spans="1:20" x14ac:dyDescent="0.25">
      <c r="A14516" t="str">
        <f>"3042147"</f>
        <v>3042147</v>
      </c>
      <c r="B14516" t="s">
        <v>44226</v>
      </c>
      <c r="C14516" t="str">
        <f>"8314613"</f>
        <v>8314613</v>
      </c>
      <c r="D14516" t="s">
        <v>44227</v>
      </c>
      <c r="E14516" t="s">
        <v>19039</v>
      </c>
      <c r="F14516" t="s">
        <v>44228</v>
      </c>
      <c r="I14516" t="s">
        <v>184</v>
      </c>
      <c r="J14516" t="s">
        <v>30</v>
      </c>
      <c r="K14516" t="s">
        <v>5349</v>
      </c>
      <c r="M14516" t="s">
        <v>17861</v>
      </c>
      <c r="N14516" t="str">
        <f>"11/19/2020 10:06:00 AM"</f>
        <v>11/19/2020 10:06:00 AM</v>
      </c>
      <c r="O14516" t="s">
        <v>44227</v>
      </c>
      <c r="T14516" t="s">
        <v>19039</v>
      </c>
    </row>
    <row r="14517" spans="1:20" x14ac:dyDescent="0.25">
      <c r="A14517" t="str">
        <f>"3042125"</f>
        <v>3042125</v>
      </c>
      <c r="B14517" t="s">
        <v>44229</v>
      </c>
      <c r="C14517" t="str">
        <f>"8314613"</f>
        <v>8314613</v>
      </c>
      <c r="D14517" t="s">
        <v>44227</v>
      </c>
      <c r="E14517" t="s">
        <v>19039</v>
      </c>
      <c r="F14517" t="s">
        <v>44228</v>
      </c>
      <c r="I14517" t="s">
        <v>184</v>
      </c>
      <c r="J14517" t="s">
        <v>30</v>
      </c>
      <c r="K14517" t="s">
        <v>5349</v>
      </c>
      <c r="M14517" t="s">
        <v>17861</v>
      </c>
      <c r="N14517" t="str">
        <f>"11/19/2020 10:06:00 AM"</f>
        <v>11/19/2020 10:06:00 AM</v>
      </c>
      <c r="O14517" t="s">
        <v>44227</v>
      </c>
      <c r="T14517" t="s">
        <v>19039</v>
      </c>
    </row>
    <row r="14518" spans="1:20" x14ac:dyDescent="0.25">
      <c r="A14518" t="str">
        <f>"3042126"</f>
        <v>3042126</v>
      </c>
      <c r="B14518" t="s">
        <v>44230</v>
      </c>
      <c r="C14518" t="str">
        <f>"8314613"</f>
        <v>8314613</v>
      </c>
      <c r="D14518" t="s">
        <v>44227</v>
      </c>
      <c r="E14518" t="s">
        <v>19039</v>
      </c>
      <c r="F14518" t="s">
        <v>44228</v>
      </c>
      <c r="I14518" t="s">
        <v>184</v>
      </c>
      <c r="J14518" t="s">
        <v>30</v>
      </c>
      <c r="K14518" t="s">
        <v>5349</v>
      </c>
      <c r="M14518" t="s">
        <v>17861</v>
      </c>
      <c r="N14518" t="str">
        <f>"11/19/2020 10:06:00 AM"</f>
        <v>11/19/2020 10:06:00 AM</v>
      </c>
      <c r="O14518" t="s">
        <v>44227</v>
      </c>
      <c r="T14518" t="s">
        <v>19039</v>
      </c>
    </row>
    <row r="14519" spans="1:20" x14ac:dyDescent="0.25">
      <c r="A14519" t="str">
        <f>"3042127"</f>
        <v>3042127</v>
      </c>
      <c r="B14519" t="s">
        <v>44231</v>
      </c>
      <c r="C14519" t="str">
        <f>"8314613"</f>
        <v>8314613</v>
      </c>
      <c r="D14519" t="s">
        <v>44227</v>
      </c>
      <c r="E14519" t="s">
        <v>19039</v>
      </c>
      <c r="F14519" t="s">
        <v>44228</v>
      </c>
      <c r="I14519" t="s">
        <v>184</v>
      </c>
      <c r="J14519" t="s">
        <v>30</v>
      </c>
      <c r="K14519" t="s">
        <v>5349</v>
      </c>
      <c r="M14519" t="s">
        <v>17861</v>
      </c>
      <c r="N14519" t="str">
        <f>"11/19/2020 10:06:00 AM"</f>
        <v>11/19/2020 10:06:00 AM</v>
      </c>
      <c r="O14519" t="s">
        <v>44227</v>
      </c>
      <c r="T14519" t="s">
        <v>19039</v>
      </c>
    </row>
    <row r="14520" spans="1:20" x14ac:dyDescent="0.25">
      <c r="A14520" t="str">
        <f>"3044731"</f>
        <v>3044731</v>
      </c>
      <c r="B14520" t="s">
        <v>44232</v>
      </c>
      <c r="C14520" t="str">
        <f>"8314615"</f>
        <v>8314615</v>
      </c>
      <c r="D14520" t="s">
        <v>44233</v>
      </c>
      <c r="E14520" t="s">
        <v>44234</v>
      </c>
      <c r="F14520" t="s">
        <v>44235</v>
      </c>
      <c r="I14520" t="s">
        <v>184</v>
      </c>
      <c r="J14520" t="s">
        <v>30</v>
      </c>
      <c r="K14520" t="s">
        <v>34692</v>
      </c>
      <c r="M14520" t="s">
        <v>17861</v>
      </c>
      <c r="N14520" t="str">
        <f>"11/19/2020 10:24:00 AM"</f>
        <v>11/19/2020 10:24:00 AM</v>
      </c>
      <c r="O14520" t="s">
        <v>44233</v>
      </c>
      <c r="T14520" t="s">
        <v>44234</v>
      </c>
    </row>
    <row r="14521" spans="1:20" x14ac:dyDescent="0.25">
      <c r="A14521" t="str">
        <f>"3050876"</f>
        <v>3050876</v>
      </c>
      <c r="B14521" t="s">
        <v>44236</v>
      </c>
      <c r="C14521" t="str">
        <f>"8314617"</f>
        <v>8314617</v>
      </c>
      <c r="D14521" t="s">
        <v>44237</v>
      </c>
      <c r="F14521" t="s">
        <v>44238</v>
      </c>
      <c r="I14521" t="s">
        <v>184</v>
      </c>
      <c r="J14521" t="s">
        <v>30</v>
      </c>
      <c r="K14521" t="s">
        <v>26530</v>
      </c>
      <c r="M14521" t="s">
        <v>17861</v>
      </c>
      <c r="N14521" t="str">
        <f>"11/19/2020 10:29:00 AM"</f>
        <v>11/19/2020 10:29:00 AM</v>
      </c>
      <c r="O14521" t="s">
        <v>44237</v>
      </c>
    </row>
    <row r="14522" spans="1:20" x14ac:dyDescent="0.25">
      <c r="A14522" t="str">
        <f>"3050983"</f>
        <v>3050983</v>
      </c>
      <c r="B14522" t="s">
        <v>44239</v>
      </c>
      <c r="C14522" t="str">
        <f>"8313143"</f>
        <v>8313143</v>
      </c>
      <c r="D14522" t="s">
        <v>44240</v>
      </c>
      <c r="E14522" t="s">
        <v>44241</v>
      </c>
      <c r="F14522" t="s">
        <v>44242</v>
      </c>
      <c r="I14522" t="s">
        <v>24359</v>
      </c>
      <c r="J14522" t="s">
        <v>30</v>
      </c>
      <c r="K14522" t="s">
        <v>44243</v>
      </c>
      <c r="M14522" t="s">
        <v>33845</v>
      </c>
      <c r="N14522" t="str">
        <f>"11/19/2020 10:51:00 AM"</f>
        <v>11/19/2020 10:51:00 AM</v>
      </c>
      <c r="O14522" t="s">
        <v>44240</v>
      </c>
      <c r="T14522" t="s">
        <v>44241</v>
      </c>
    </row>
    <row r="14523" spans="1:20" x14ac:dyDescent="0.25">
      <c r="A14523" t="str">
        <f>"3045757"</f>
        <v>3045757</v>
      </c>
      <c r="B14523" t="s">
        <v>44244</v>
      </c>
      <c r="C14523" t="str">
        <f>"8314719"</f>
        <v>8314719</v>
      </c>
      <c r="D14523" t="s">
        <v>44245</v>
      </c>
      <c r="E14523" t="s">
        <v>44246</v>
      </c>
      <c r="F14523" t="s">
        <v>44247</v>
      </c>
      <c r="I14523" t="s">
        <v>1149</v>
      </c>
      <c r="J14523" t="s">
        <v>30</v>
      </c>
      <c r="K14523" t="s">
        <v>37912</v>
      </c>
      <c r="M14523" t="s">
        <v>17861</v>
      </c>
      <c r="N14523" t="str">
        <f>"12/2/2020 2:26:00 PM"</f>
        <v>12/2/2020 2:26:00 PM</v>
      </c>
      <c r="O14523" t="s">
        <v>44245</v>
      </c>
      <c r="T14523" t="s">
        <v>44246</v>
      </c>
    </row>
    <row r="14524" spans="1:20" x14ac:dyDescent="0.25">
      <c r="A14524" t="str">
        <f>"3042920"</f>
        <v>3042920</v>
      </c>
      <c r="B14524" t="s">
        <v>44248</v>
      </c>
      <c r="C14524" t="str">
        <f>"8314720"</f>
        <v>8314720</v>
      </c>
      <c r="D14524" t="s">
        <v>44249</v>
      </c>
      <c r="F14524" t="s">
        <v>44250</v>
      </c>
      <c r="I14524" t="s">
        <v>29</v>
      </c>
      <c r="J14524" t="s">
        <v>30</v>
      </c>
      <c r="K14524" t="s">
        <v>44251</v>
      </c>
      <c r="M14524" t="s">
        <v>17861</v>
      </c>
      <c r="N14524" t="str">
        <f>"12/2/2020 2:35:00 PM"</f>
        <v>12/2/2020 2:35:00 PM</v>
      </c>
      <c r="O14524" t="s">
        <v>44249</v>
      </c>
    </row>
    <row r="14525" spans="1:20" x14ac:dyDescent="0.25">
      <c r="A14525" t="str">
        <f>"3044301"</f>
        <v>3044301</v>
      </c>
      <c r="B14525" t="s">
        <v>44252</v>
      </c>
      <c r="C14525" t="str">
        <f>"8314721"</f>
        <v>8314721</v>
      </c>
      <c r="D14525" t="s">
        <v>44253</v>
      </c>
      <c r="E14525" t="s">
        <v>44254</v>
      </c>
      <c r="F14525" t="s">
        <v>44255</v>
      </c>
      <c r="I14525" t="s">
        <v>184</v>
      </c>
      <c r="J14525" t="s">
        <v>30</v>
      </c>
      <c r="K14525" t="s">
        <v>44256</v>
      </c>
      <c r="M14525" t="s">
        <v>17861</v>
      </c>
      <c r="N14525" t="str">
        <f>"12/2/2020 2:41:00 PM"</f>
        <v>12/2/2020 2:41:00 PM</v>
      </c>
      <c r="O14525" t="s">
        <v>44253</v>
      </c>
      <c r="T14525" t="s">
        <v>44254</v>
      </c>
    </row>
    <row r="14526" spans="1:20" x14ac:dyDescent="0.25">
      <c r="A14526" t="str">
        <f>"3059858"</f>
        <v>3059858</v>
      </c>
      <c r="B14526" t="s">
        <v>44257</v>
      </c>
      <c r="C14526" t="str">
        <f>"8314722"</f>
        <v>8314722</v>
      </c>
      <c r="D14526" t="s">
        <v>44258</v>
      </c>
      <c r="F14526" t="s">
        <v>44259</v>
      </c>
      <c r="I14526" t="s">
        <v>29</v>
      </c>
      <c r="J14526" t="s">
        <v>30</v>
      </c>
      <c r="K14526" t="s">
        <v>38800</v>
      </c>
      <c r="M14526" t="s">
        <v>17861</v>
      </c>
      <c r="N14526" t="str">
        <f>"12/3/2020 9:59:00 AM"</f>
        <v>12/3/2020 9:59:00 AM</v>
      </c>
      <c r="O14526" t="s">
        <v>44258</v>
      </c>
    </row>
    <row r="14527" spans="1:20" x14ac:dyDescent="0.25">
      <c r="A14527" t="str">
        <f>"3055968"</f>
        <v>3055968</v>
      </c>
      <c r="B14527" t="s">
        <v>44260</v>
      </c>
      <c r="C14527" t="str">
        <f>"8314620"</f>
        <v>8314620</v>
      </c>
      <c r="D14527" t="s">
        <v>44261</v>
      </c>
      <c r="E14527" t="s">
        <v>44262</v>
      </c>
      <c r="F14527" t="s">
        <v>44263</v>
      </c>
      <c r="I14527" t="s">
        <v>9580</v>
      </c>
      <c r="J14527" t="s">
        <v>30</v>
      </c>
      <c r="K14527" t="s">
        <v>44264</v>
      </c>
      <c r="M14527" t="s">
        <v>17861</v>
      </c>
      <c r="N14527" t="str">
        <f>"11/19/2020 12:21:00 PM"</f>
        <v>11/19/2020 12:21:00 PM</v>
      </c>
      <c r="O14527" t="s">
        <v>44261</v>
      </c>
      <c r="T14527" t="s">
        <v>44262</v>
      </c>
    </row>
    <row r="14528" spans="1:20" x14ac:dyDescent="0.25">
      <c r="A14528" t="str">
        <f>"3045507"</f>
        <v>3045507</v>
      </c>
      <c r="B14528" t="s">
        <v>44265</v>
      </c>
      <c r="C14528" t="str">
        <f>"8314637"</f>
        <v>8314637</v>
      </c>
      <c r="D14528" t="s">
        <v>44266</v>
      </c>
      <c r="F14528" t="s">
        <v>44267</v>
      </c>
      <c r="I14528" t="s">
        <v>1107</v>
      </c>
      <c r="J14528" t="s">
        <v>30</v>
      </c>
      <c r="K14528" t="str">
        <f>"28625"</f>
        <v>28625</v>
      </c>
      <c r="M14528" t="s">
        <v>17861</v>
      </c>
      <c r="N14528" t="str">
        <f>"11/19/2020 3:09:00 PM"</f>
        <v>11/19/2020 3:09:00 PM</v>
      </c>
      <c r="O14528" t="s">
        <v>44266</v>
      </c>
    </row>
    <row r="14529" spans="1:20" x14ac:dyDescent="0.25">
      <c r="A14529" t="str">
        <f>"3060253"</f>
        <v>3060253</v>
      </c>
      <c r="B14529" t="s">
        <v>44268</v>
      </c>
      <c r="C14529" t="str">
        <f>"8314745"</f>
        <v>8314745</v>
      </c>
      <c r="D14529" t="s">
        <v>44269</v>
      </c>
      <c r="F14529" t="s">
        <v>44270</v>
      </c>
      <c r="I14529" t="s">
        <v>184</v>
      </c>
      <c r="J14529" t="s">
        <v>30</v>
      </c>
      <c r="K14529" t="s">
        <v>41987</v>
      </c>
      <c r="M14529" t="s">
        <v>17861</v>
      </c>
      <c r="N14529" t="str">
        <f>"12/4/2020 12:57:00 PM"</f>
        <v>12/4/2020 12:57:00 PM</v>
      </c>
      <c r="O14529" t="s">
        <v>44269</v>
      </c>
    </row>
    <row r="14530" spans="1:20" x14ac:dyDescent="0.25">
      <c r="A14530" t="str">
        <f>"3060078"</f>
        <v>3060078</v>
      </c>
      <c r="B14530" t="s">
        <v>44271</v>
      </c>
      <c r="C14530" t="str">
        <f>"8314749"</f>
        <v>8314749</v>
      </c>
      <c r="D14530" t="s">
        <v>44272</v>
      </c>
      <c r="E14530" t="s">
        <v>44273</v>
      </c>
      <c r="F14530" t="s">
        <v>44274</v>
      </c>
      <c r="I14530" t="s">
        <v>184</v>
      </c>
      <c r="J14530" t="s">
        <v>30</v>
      </c>
      <c r="K14530" t="s">
        <v>35177</v>
      </c>
      <c r="M14530" t="s">
        <v>17861</v>
      </c>
      <c r="N14530" t="str">
        <f>"12/4/2020 1:25:00 PM"</f>
        <v>12/4/2020 1:25:00 PM</v>
      </c>
      <c r="O14530" t="s">
        <v>44272</v>
      </c>
      <c r="T14530" t="s">
        <v>44273</v>
      </c>
    </row>
    <row r="14531" spans="1:20" x14ac:dyDescent="0.25">
      <c r="A14531" t="str">
        <f>"3060704"</f>
        <v>3060704</v>
      </c>
      <c r="B14531" t="s">
        <v>44275</v>
      </c>
      <c r="C14531" t="str">
        <f>"8314752"</f>
        <v>8314752</v>
      </c>
      <c r="D14531" t="s">
        <v>44276</v>
      </c>
      <c r="E14531" t="s">
        <v>44277</v>
      </c>
      <c r="F14531" t="s">
        <v>44278</v>
      </c>
      <c r="I14531" t="s">
        <v>2071</v>
      </c>
      <c r="J14531" t="s">
        <v>30</v>
      </c>
      <c r="K14531" t="s">
        <v>4183</v>
      </c>
      <c r="M14531" t="s">
        <v>17861</v>
      </c>
      <c r="N14531" t="str">
        <f>"12/4/2020 2:00:00 PM"</f>
        <v>12/4/2020 2:00:00 PM</v>
      </c>
      <c r="O14531" t="s">
        <v>44276</v>
      </c>
      <c r="T14531" t="s">
        <v>44277</v>
      </c>
    </row>
    <row r="14532" spans="1:20" x14ac:dyDescent="0.25">
      <c r="A14532" t="str">
        <f>"3059141"</f>
        <v>3059141</v>
      </c>
      <c r="B14532" t="s">
        <v>44279</v>
      </c>
      <c r="C14532" t="str">
        <f>"8314753"</f>
        <v>8314753</v>
      </c>
      <c r="D14532" t="s">
        <v>44280</v>
      </c>
      <c r="E14532" t="s">
        <v>44281</v>
      </c>
      <c r="F14532" t="s">
        <v>44282</v>
      </c>
      <c r="I14532" t="s">
        <v>29</v>
      </c>
      <c r="J14532" t="s">
        <v>30</v>
      </c>
      <c r="K14532" t="s">
        <v>39555</v>
      </c>
      <c r="M14532" t="s">
        <v>17861</v>
      </c>
      <c r="N14532" t="str">
        <f>"12/4/2020 2:06:00 PM"</f>
        <v>12/4/2020 2:06:00 PM</v>
      </c>
      <c r="O14532" t="s">
        <v>44280</v>
      </c>
      <c r="T14532" t="s">
        <v>44281</v>
      </c>
    </row>
    <row r="14533" spans="1:20" x14ac:dyDescent="0.25">
      <c r="A14533" t="str">
        <f>"3060178"</f>
        <v>3060178</v>
      </c>
      <c r="B14533" t="s">
        <v>44283</v>
      </c>
      <c r="C14533" t="str">
        <f>"8314643"</f>
        <v>8314643</v>
      </c>
      <c r="D14533" t="s">
        <v>44284</v>
      </c>
      <c r="E14533" t="s">
        <v>44285</v>
      </c>
      <c r="F14533" t="s">
        <v>44286</v>
      </c>
      <c r="I14533" t="s">
        <v>184</v>
      </c>
      <c r="J14533" t="s">
        <v>30</v>
      </c>
      <c r="K14533" t="str">
        <f>"27006"</f>
        <v>27006</v>
      </c>
      <c r="M14533" t="s">
        <v>17861</v>
      </c>
      <c r="N14533" t="str">
        <f>"11/20/2020 8:33:00 AM"</f>
        <v>11/20/2020 8:33:00 AM</v>
      </c>
      <c r="O14533" t="s">
        <v>44284</v>
      </c>
      <c r="T14533" t="s">
        <v>44285</v>
      </c>
    </row>
    <row r="14534" spans="1:20" x14ac:dyDescent="0.25">
      <c r="A14534" t="str">
        <f>"3044787"</f>
        <v>3044787</v>
      </c>
      <c r="B14534" t="s">
        <v>44287</v>
      </c>
      <c r="C14534" t="str">
        <f>"8314756"</f>
        <v>8314756</v>
      </c>
      <c r="D14534" t="s">
        <v>44288</v>
      </c>
      <c r="E14534" t="s">
        <v>44289</v>
      </c>
      <c r="F14534" t="s">
        <v>44290</v>
      </c>
      <c r="I14534" t="s">
        <v>184</v>
      </c>
      <c r="J14534" t="s">
        <v>30</v>
      </c>
      <c r="K14534" t="s">
        <v>6111</v>
      </c>
      <c r="M14534" t="s">
        <v>17861</v>
      </c>
      <c r="N14534" t="str">
        <f>"12/4/2020 2:26:00 PM"</f>
        <v>12/4/2020 2:26:00 PM</v>
      </c>
      <c r="O14534" t="s">
        <v>44288</v>
      </c>
      <c r="T14534" t="s">
        <v>44289</v>
      </c>
    </row>
    <row r="14535" spans="1:20" x14ac:dyDescent="0.25">
      <c r="A14535" t="str">
        <f>"3061226"</f>
        <v>3061226</v>
      </c>
      <c r="B14535" t="s">
        <v>44291</v>
      </c>
      <c r="C14535" t="str">
        <f>"8314757"</f>
        <v>8314757</v>
      </c>
      <c r="D14535" t="s">
        <v>44292</v>
      </c>
      <c r="F14535" t="s">
        <v>44293</v>
      </c>
      <c r="I14535" t="s">
        <v>2071</v>
      </c>
      <c r="J14535" t="s">
        <v>30</v>
      </c>
      <c r="K14535" t="s">
        <v>44294</v>
      </c>
      <c r="M14535" t="s">
        <v>17861</v>
      </c>
      <c r="N14535" t="str">
        <f>"12/4/2020 2:46:00 PM"</f>
        <v>12/4/2020 2:46:00 PM</v>
      </c>
      <c r="O14535" t="s">
        <v>44292</v>
      </c>
    </row>
    <row r="14536" spans="1:20" x14ac:dyDescent="0.25">
      <c r="A14536" t="str">
        <f>"3041061"</f>
        <v>3041061</v>
      </c>
      <c r="B14536" t="s">
        <v>44295</v>
      </c>
      <c r="C14536" t="str">
        <f>"8304781"</f>
        <v>8304781</v>
      </c>
      <c r="D14536" t="s">
        <v>22474</v>
      </c>
      <c r="E14536" t="s">
        <v>44296</v>
      </c>
      <c r="F14536" t="s">
        <v>22476</v>
      </c>
      <c r="I14536" t="s">
        <v>2071</v>
      </c>
      <c r="J14536" t="s">
        <v>30</v>
      </c>
      <c r="K14536" t="str">
        <f>"27006"</f>
        <v>27006</v>
      </c>
      <c r="M14536" t="s">
        <v>41454</v>
      </c>
      <c r="N14536" t="str">
        <f>"12/7/2020 9:24:00 AM"</f>
        <v>12/7/2020 9:24:00 AM</v>
      </c>
      <c r="O14536" t="s">
        <v>22474</v>
      </c>
      <c r="T14536" t="s">
        <v>44296</v>
      </c>
    </row>
    <row r="14537" spans="1:20" x14ac:dyDescent="0.25">
      <c r="A14537" t="str">
        <f>"3040956"</f>
        <v>3040956</v>
      </c>
      <c r="B14537" t="s">
        <v>44297</v>
      </c>
      <c r="C14537" t="str">
        <f>"8314765"</f>
        <v>8314765</v>
      </c>
      <c r="D14537" t="s">
        <v>44298</v>
      </c>
      <c r="F14537" t="s">
        <v>44299</v>
      </c>
      <c r="I14537" t="s">
        <v>184</v>
      </c>
      <c r="J14537" t="s">
        <v>30</v>
      </c>
      <c r="K14537" t="s">
        <v>1622</v>
      </c>
      <c r="M14537" t="s">
        <v>17861</v>
      </c>
      <c r="N14537" t="str">
        <f>"12/7/2020 11:16:00 AM"</f>
        <v>12/7/2020 11:16:00 AM</v>
      </c>
      <c r="O14537" t="s">
        <v>44298</v>
      </c>
    </row>
    <row r="14538" spans="1:20" x14ac:dyDescent="0.25">
      <c r="A14538" t="str">
        <f>"3054581"</f>
        <v>3054581</v>
      </c>
      <c r="B14538" t="s">
        <v>44300</v>
      </c>
      <c r="C14538" t="str">
        <f>"82530682"</f>
        <v>82530682</v>
      </c>
      <c r="D14538" t="s">
        <v>44301</v>
      </c>
      <c r="E14538" t="s">
        <v>44302</v>
      </c>
      <c r="F14538" t="s">
        <v>44303</v>
      </c>
      <c r="I14538" t="s">
        <v>29</v>
      </c>
      <c r="J14538" t="s">
        <v>30</v>
      </c>
      <c r="K14538" t="s">
        <v>31</v>
      </c>
      <c r="M14538" t="s">
        <v>18470</v>
      </c>
      <c r="N14538" t="str">
        <f>"11/20/2020 8:54:00 AM"</f>
        <v>11/20/2020 8:54:00 AM</v>
      </c>
      <c r="O14538" t="s">
        <v>44301</v>
      </c>
      <c r="T14538" t="s">
        <v>44302</v>
      </c>
    </row>
    <row r="14539" spans="1:20" x14ac:dyDescent="0.25">
      <c r="A14539" t="str">
        <f>"3042948"</f>
        <v>3042948</v>
      </c>
      <c r="B14539" t="s">
        <v>44304</v>
      </c>
      <c r="C14539" t="str">
        <f>"8314645"</f>
        <v>8314645</v>
      </c>
      <c r="D14539" t="s">
        <v>44305</v>
      </c>
      <c r="E14539" t="s">
        <v>44306</v>
      </c>
      <c r="F14539" t="s">
        <v>44307</v>
      </c>
      <c r="I14539" t="s">
        <v>29</v>
      </c>
      <c r="J14539" t="s">
        <v>30</v>
      </c>
      <c r="K14539" t="s">
        <v>38854</v>
      </c>
      <c r="M14539" t="s">
        <v>17861</v>
      </c>
      <c r="N14539" t="str">
        <f>"11/20/2020 10:09:00 AM"</f>
        <v>11/20/2020 10:09:00 AM</v>
      </c>
      <c r="O14539" t="s">
        <v>44305</v>
      </c>
      <c r="T14539" t="s">
        <v>44306</v>
      </c>
    </row>
    <row r="14540" spans="1:20" x14ac:dyDescent="0.25">
      <c r="A14540" t="str">
        <f>"3052644"</f>
        <v>3052644</v>
      </c>
      <c r="B14540" t="s">
        <v>44308</v>
      </c>
      <c r="C14540" t="str">
        <f>"8314680"</f>
        <v>8314680</v>
      </c>
      <c r="D14540" t="s">
        <v>44309</v>
      </c>
      <c r="E14540" t="s">
        <v>44310</v>
      </c>
      <c r="F14540" t="s">
        <v>44311</v>
      </c>
      <c r="I14540" t="s">
        <v>17921</v>
      </c>
      <c r="J14540" t="s">
        <v>30</v>
      </c>
      <c r="K14540" t="str">
        <f>"27028"</f>
        <v>27028</v>
      </c>
      <c r="M14540" t="s">
        <v>17861</v>
      </c>
      <c r="N14540" t="str">
        <f>"11/24/2020 3:20:00 PM"</f>
        <v>11/24/2020 3:20:00 PM</v>
      </c>
      <c r="O14540" t="s">
        <v>44309</v>
      </c>
      <c r="T14540" t="s">
        <v>44310</v>
      </c>
    </row>
    <row r="14541" spans="1:20" x14ac:dyDescent="0.25">
      <c r="A14541" t="str">
        <f>"3041690"</f>
        <v>3041690</v>
      </c>
      <c r="B14541" t="s">
        <v>44312</v>
      </c>
      <c r="C14541" t="str">
        <f>"82529023"</f>
        <v>82529023</v>
      </c>
      <c r="D14541" t="s">
        <v>44313</v>
      </c>
      <c r="E14541" t="s">
        <v>44314</v>
      </c>
      <c r="F14541" t="s">
        <v>44315</v>
      </c>
      <c r="I14541" t="s">
        <v>2071</v>
      </c>
      <c r="J14541" t="s">
        <v>30</v>
      </c>
      <c r="K14541" t="s">
        <v>185</v>
      </c>
      <c r="M14541" t="s">
        <v>25733</v>
      </c>
      <c r="N14541" t="str">
        <f>"12/7/2020 1:12:00 PM"</f>
        <v>12/7/2020 1:12:00 PM</v>
      </c>
      <c r="O14541" t="s">
        <v>44313</v>
      </c>
      <c r="T14541" t="s">
        <v>44314</v>
      </c>
    </row>
    <row r="14542" spans="1:20" x14ac:dyDescent="0.25">
      <c r="A14542" t="str">
        <f>"3051869"</f>
        <v>3051869</v>
      </c>
      <c r="B14542" t="s">
        <v>44316</v>
      </c>
      <c r="C14542" t="str">
        <f>"8314769"</f>
        <v>8314769</v>
      </c>
      <c r="D14542" t="s">
        <v>44317</v>
      </c>
      <c r="F14542" t="s">
        <v>44318</v>
      </c>
      <c r="I14542" t="s">
        <v>29</v>
      </c>
      <c r="J14542" t="s">
        <v>30</v>
      </c>
      <c r="K14542" t="s">
        <v>27610</v>
      </c>
      <c r="M14542" t="s">
        <v>17861</v>
      </c>
      <c r="N14542" t="str">
        <f>"12/7/2020 1:14:00 PM"</f>
        <v>12/7/2020 1:14:00 PM</v>
      </c>
      <c r="O14542" t="s">
        <v>44317</v>
      </c>
    </row>
    <row r="14543" spans="1:20" x14ac:dyDescent="0.25">
      <c r="A14543" t="str">
        <f>"3052820"</f>
        <v>3052820</v>
      </c>
      <c r="B14543" t="s">
        <v>44319</v>
      </c>
      <c r="C14543" t="str">
        <f>"8314684"</f>
        <v>8314684</v>
      </c>
      <c r="D14543" t="s">
        <v>44320</v>
      </c>
      <c r="E14543" t="s">
        <v>44321</v>
      </c>
      <c r="F14543" t="s">
        <v>44322</v>
      </c>
      <c r="I14543" t="s">
        <v>29</v>
      </c>
      <c r="J14543" t="s">
        <v>30</v>
      </c>
      <c r="K14543" t="s">
        <v>44323</v>
      </c>
      <c r="M14543" t="s">
        <v>17861</v>
      </c>
      <c r="N14543" t="str">
        <f>"11/30/2020 8:46:00 AM"</f>
        <v>11/30/2020 8:46:00 AM</v>
      </c>
      <c r="O14543" t="s">
        <v>44320</v>
      </c>
      <c r="T14543" t="s">
        <v>44321</v>
      </c>
    </row>
    <row r="14544" spans="1:20" x14ac:dyDescent="0.25">
      <c r="A14544" t="str">
        <f>"3059451"</f>
        <v>3059451</v>
      </c>
      <c r="B14544" t="s">
        <v>44324</v>
      </c>
      <c r="C14544" t="str">
        <f>"8314686"</f>
        <v>8314686</v>
      </c>
      <c r="D14544" t="s">
        <v>44325</v>
      </c>
      <c r="F14544" t="s">
        <v>44326</v>
      </c>
      <c r="I14544" t="s">
        <v>29</v>
      </c>
      <c r="J14544" t="s">
        <v>30</v>
      </c>
      <c r="K14544" t="s">
        <v>35388</v>
      </c>
      <c r="M14544" t="s">
        <v>17861</v>
      </c>
      <c r="N14544" t="str">
        <f>"11/30/2020 10:14:00 AM"</f>
        <v>11/30/2020 10:14:00 AM</v>
      </c>
      <c r="O14544" t="s">
        <v>44325</v>
      </c>
    </row>
    <row r="14545" spans="1:20" x14ac:dyDescent="0.25">
      <c r="A14545" t="str">
        <f>"3038005"</f>
        <v>3038005</v>
      </c>
      <c r="B14545" t="s">
        <v>44327</v>
      </c>
      <c r="C14545" t="str">
        <f>"8314687"</f>
        <v>8314687</v>
      </c>
      <c r="D14545" t="s">
        <v>44177</v>
      </c>
      <c r="E14545" t="s">
        <v>44178</v>
      </c>
      <c r="F14545" t="s">
        <v>38581</v>
      </c>
      <c r="I14545" t="s">
        <v>184</v>
      </c>
      <c r="J14545" t="s">
        <v>30</v>
      </c>
      <c r="K14545" t="s">
        <v>26530</v>
      </c>
      <c r="M14545" t="s">
        <v>17861</v>
      </c>
      <c r="N14545" t="str">
        <f>"11/30/2020 10:27:00 AM"</f>
        <v>11/30/2020 10:27:00 AM</v>
      </c>
      <c r="O14545" t="s">
        <v>44177</v>
      </c>
      <c r="T14545" t="s">
        <v>44178</v>
      </c>
    </row>
    <row r="14546" spans="1:20" x14ac:dyDescent="0.25">
      <c r="A14546" t="str">
        <f>"3043204"</f>
        <v>3043204</v>
      </c>
      <c r="B14546" t="s">
        <v>44328</v>
      </c>
      <c r="C14546" t="str">
        <f>"8314693"</f>
        <v>8314693</v>
      </c>
      <c r="D14546" t="s">
        <v>44329</v>
      </c>
      <c r="F14546" t="s">
        <v>44330</v>
      </c>
      <c r="I14546" t="s">
        <v>17921</v>
      </c>
      <c r="J14546" t="s">
        <v>30</v>
      </c>
      <c r="K14546" t="str">
        <f>"27028"</f>
        <v>27028</v>
      </c>
      <c r="M14546" t="s">
        <v>17861</v>
      </c>
      <c r="N14546" t="str">
        <f>"11/30/2020 1:39:00 PM"</f>
        <v>11/30/2020 1:39:00 PM</v>
      </c>
      <c r="O14546" t="s">
        <v>44329</v>
      </c>
    </row>
    <row r="14547" spans="1:20" x14ac:dyDescent="0.25">
      <c r="A14547" t="str">
        <f>"3061277"</f>
        <v>3061277</v>
      </c>
      <c r="B14547" t="s">
        <v>44331</v>
      </c>
      <c r="C14547" t="str">
        <f>"8314694"</f>
        <v>8314694</v>
      </c>
      <c r="D14547" t="s">
        <v>44332</v>
      </c>
      <c r="E14547" t="s">
        <v>44333</v>
      </c>
      <c r="F14547" t="s">
        <v>44334</v>
      </c>
      <c r="I14547" t="s">
        <v>2071</v>
      </c>
      <c r="J14547" t="s">
        <v>30</v>
      </c>
      <c r="K14547" t="s">
        <v>36586</v>
      </c>
      <c r="M14547" t="s">
        <v>17861</v>
      </c>
      <c r="N14547" t="str">
        <f>"11/30/2020 1:59:00 PM"</f>
        <v>11/30/2020 1:59:00 PM</v>
      </c>
      <c r="O14547" t="s">
        <v>44332</v>
      </c>
      <c r="T14547" t="s">
        <v>44333</v>
      </c>
    </row>
    <row r="14548" spans="1:20" x14ac:dyDescent="0.25">
      <c r="A14548" t="str">
        <f>"3043469"</f>
        <v>3043469</v>
      </c>
      <c r="B14548" t="s">
        <v>44335</v>
      </c>
      <c r="C14548" t="str">
        <f>"8314695"</f>
        <v>8314695</v>
      </c>
      <c r="D14548" t="s">
        <v>44336</v>
      </c>
      <c r="E14548" t="s">
        <v>44337</v>
      </c>
      <c r="F14548" t="s">
        <v>44338</v>
      </c>
      <c r="I14548" t="s">
        <v>29</v>
      </c>
      <c r="J14548" t="s">
        <v>30</v>
      </c>
      <c r="K14548" t="s">
        <v>44339</v>
      </c>
      <c r="M14548" t="s">
        <v>17861</v>
      </c>
      <c r="N14548" t="str">
        <f>"11/30/2020 2:03:00 PM"</f>
        <v>11/30/2020 2:03:00 PM</v>
      </c>
      <c r="O14548" t="s">
        <v>44336</v>
      </c>
      <c r="T14548" t="s">
        <v>44337</v>
      </c>
    </row>
    <row r="14549" spans="1:20" x14ac:dyDescent="0.25">
      <c r="A14549" t="str">
        <f>"3058074"</f>
        <v>3058074</v>
      </c>
      <c r="B14549" t="s">
        <v>44340</v>
      </c>
      <c r="C14549" t="str">
        <f>"8314696"</f>
        <v>8314696</v>
      </c>
      <c r="D14549" t="s">
        <v>44341</v>
      </c>
      <c r="F14549" t="s">
        <v>44342</v>
      </c>
      <c r="I14549" t="s">
        <v>184</v>
      </c>
      <c r="J14549" t="s">
        <v>30</v>
      </c>
      <c r="K14549" t="s">
        <v>5369</v>
      </c>
      <c r="M14549" t="s">
        <v>17861</v>
      </c>
      <c r="N14549" t="str">
        <f>"11/30/2020 2:06:00 PM"</f>
        <v>11/30/2020 2:06:00 PM</v>
      </c>
      <c r="O14549" t="s">
        <v>44341</v>
      </c>
    </row>
    <row r="14550" spans="1:20" x14ac:dyDescent="0.25">
      <c r="A14550" t="str">
        <f>"3044364"</f>
        <v>3044364</v>
      </c>
      <c r="B14550" t="s">
        <v>44343</v>
      </c>
      <c r="C14550" t="str">
        <f>"82519435"</f>
        <v>82519435</v>
      </c>
      <c r="D14550" t="s">
        <v>44344</v>
      </c>
      <c r="E14550" t="s">
        <v>44345</v>
      </c>
      <c r="F14550" t="s">
        <v>44346</v>
      </c>
      <c r="I14550" t="s">
        <v>184</v>
      </c>
      <c r="J14550" t="s">
        <v>30</v>
      </c>
      <c r="K14550" t="s">
        <v>185</v>
      </c>
      <c r="M14550" t="s">
        <v>25733</v>
      </c>
      <c r="N14550" t="str">
        <f>"12/1/2020 1:55:00 PM"</f>
        <v>12/1/2020 1:55:00 PM</v>
      </c>
      <c r="O14550" t="s">
        <v>44344</v>
      </c>
      <c r="T14550" t="s">
        <v>44345</v>
      </c>
    </row>
    <row r="14551" spans="1:20" x14ac:dyDescent="0.25">
      <c r="A14551" t="str">
        <f>"3061297"</f>
        <v>3061297</v>
      </c>
      <c r="B14551" t="s">
        <v>44347</v>
      </c>
      <c r="C14551" t="str">
        <f>"8314711"</f>
        <v>8314711</v>
      </c>
      <c r="D14551" t="s">
        <v>44348</v>
      </c>
      <c r="E14551" t="s">
        <v>44349</v>
      </c>
      <c r="F14551" t="s">
        <v>44350</v>
      </c>
      <c r="I14551" t="s">
        <v>2071</v>
      </c>
      <c r="J14551" t="s">
        <v>30</v>
      </c>
      <c r="K14551" t="s">
        <v>38348</v>
      </c>
      <c r="M14551" t="s">
        <v>17861</v>
      </c>
      <c r="N14551" t="str">
        <f>"12/2/2020 11:43:00 AM"</f>
        <v>12/2/2020 11:43:00 AM</v>
      </c>
      <c r="O14551" t="s">
        <v>44348</v>
      </c>
      <c r="T14551" t="s">
        <v>44349</v>
      </c>
    </row>
    <row r="14552" spans="1:20" x14ac:dyDescent="0.25">
      <c r="A14552" t="str">
        <f>"3049827"</f>
        <v>3049827</v>
      </c>
      <c r="B14552" t="s">
        <v>44351</v>
      </c>
      <c r="C14552" t="str">
        <f t="shared" ref="C14552:C14568" si="227">"8307168"</f>
        <v>8307168</v>
      </c>
      <c r="D14552" t="s">
        <v>44352</v>
      </c>
      <c r="E14552" t="s">
        <v>44353</v>
      </c>
      <c r="F14552" t="s">
        <v>44354</v>
      </c>
      <c r="I14552" t="s">
        <v>44355</v>
      </c>
      <c r="J14552" t="s">
        <v>11697</v>
      </c>
      <c r="K14552" t="s">
        <v>44356</v>
      </c>
      <c r="M14552" t="s">
        <v>17861</v>
      </c>
      <c r="N14552" t="str">
        <f t="shared" ref="N14552:N14568" si="228">"12/14/2020 4:35:00 PM"</f>
        <v>12/14/2020 4:35:00 PM</v>
      </c>
      <c r="O14552" t="s">
        <v>44352</v>
      </c>
      <c r="T14552" t="s">
        <v>44353</v>
      </c>
    </row>
    <row r="14553" spans="1:20" x14ac:dyDescent="0.25">
      <c r="A14553" t="str">
        <f>"3049812"</f>
        <v>3049812</v>
      </c>
      <c r="B14553" t="s">
        <v>44357</v>
      </c>
      <c r="C14553" t="str">
        <f t="shared" si="227"/>
        <v>8307168</v>
      </c>
      <c r="D14553" t="s">
        <v>44352</v>
      </c>
      <c r="E14553" t="s">
        <v>44353</v>
      </c>
      <c r="F14553" t="s">
        <v>44354</v>
      </c>
      <c r="I14553" t="s">
        <v>44355</v>
      </c>
      <c r="J14553" t="s">
        <v>11697</v>
      </c>
      <c r="K14553" t="s">
        <v>44356</v>
      </c>
      <c r="M14553" t="s">
        <v>17861</v>
      </c>
      <c r="N14553" t="str">
        <f t="shared" si="228"/>
        <v>12/14/2020 4:35:00 PM</v>
      </c>
      <c r="O14553" t="s">
        <v>44352</v>
      </c>
      <c r="T14553" t="s">
        <v>44353</v>
      </c>
    </row>
    <row r="14554" spans="1:20" x14ac:dyDescent="0.25">
      <c r="A14554" t="str">
        <f>"3049813"</f>
        <v>3049813</v>
      </c>
      <c r="B14554" t="s">
        <v>44358</v>
      </c>
      <c r="C14554" t="str">
        <f t="shared" si="227"/>
        <v>8307168</v>
      </c>
      <c r="D14554" t="s">
        <v>44352</v>
      </c>
      <c r="E14554" t="s">
        <v>44353</v>
      </c>
      <c r="F14554" t="s">
        <v>44354</v>
      </c>
      <c r="I14554" t="s">
        <v>44355</v>
      </c>
      <c r="J14554" t="s">
        <v>11697</v>
      </c>
      <c r="K14554" t="s">
        <v>44356</v>
      </c>
      <c r="M14554" t="s">
        <v>17861</v>
      </c>
      <c r="N14554" t="str">
        <f t="shared" si="228"/>
        <v>12/14/2020 4:35:00 PM</v>
      </c>
      <c r="O14554" t="s">
        <v>44352</v>
      </c>
      <c r="T14554" t="s">
        <v>44353</v>
      </c>
    </row>
    <row r="14555" spans="1:20" x14ac:dyDescent="0.25">
      <c r="A14555" t="str">
        <f>"3049831"</f>
        <v>3049831</v>
      </c>
      <c r="B14555" t="s">
        <v>44359</v>
      </c>
      <c r="C14555" t="str">
        <f t="shared" si="227"/>
        <v>8307168</v>
      </c>
      <c r="D14555" t="s">
        <v>44352</v>
      </c>
      <c r="E14555" t="s">
        <v>44353</v>
      </c>
      <c r="F14555" t="s">
        <v>44354</v>
      </c>
      <c r="I14555" t="s">
        <v>44355</v>
      </c>
      <c r="J14555" t="s">
        <v>11697</v>
      </c>
      <c r="K14555" t="s">
        <v>44356</v>
      </c>
      <c r="M14555" t="s">
        <v>17861</v>
      </c>
      <c r="N14555" t="str">
        <f t="shared" si="228"/>
        <v>12/14/2020 4:35:00 PM</v>
      </c>
      <c r="O14555" t="s">
        <v>44352</v>
      </c>
      <c r="T14555" t="s">
        <v>44353</v>
      </c>
    </row>
    <row r="14556" spans="1:20" x14ac:dyDescent="0.25">
      <c r="A14556" t="str">
        <f>"3049791"</f>
        <v>3049791</v>
      </c>
      <c r="B14556" t="s">
        <v>44360</v>
      </c>
      <c r="C14556" t="str">
        <f t="shared" si="227"/>
        <v>8307168</v>
      </c>
      <c r="D14556" t="s">
        <v>44352</v>
      </c>
      <c r="E14556" t="s">
        <v>44353</v>
      </c>
      <c r="F14556" t="s">
        <v>44354</v>
      </c>
      <c r="I14556" t="s">
        <v>44355</v>
      </c>
      <c r="J14556" t="s">
        <v>11697</v>
      </c>
      <c r="K14556" t="s">
        <v>44356</v>
      </c>
      <c r="M14556" t="s">
        <v>17861</v>
      </c>
      <c r="N14556" t="str">
        <f t="shared" si="228"/>
        <v>12/14/2020 4:35:00 PM</v>
      </c>
      <c r="O14556" t="s">
        <v>44352</v>
      </c>
      <c r="T14556" t="s">
        <v>44353</v>
      </c>
    </row>
    <row r="14557" spans="1:20" x14ac:dyDescent="0.25">
      <c r="A14557" t="str">
        <f>"3050739"</f>
        <v>3050739</v>
      </c>
      <c r="B14557" t="s">
        <v>44361</v>
      </c>
      <c r="C14557" t="str">
        <f t="shared" si="227"/>
        <v>8307168</v>
      </c>
      <c r="D14557" t="s">
        <v>44352</v>
      </c>
      <c r="E14557" t="s">
        <v>44353</v>
      </c>
      <c r="F14557" t="s">
        <v>44354</v>
      </c>
      <c r="I14557" t="s">
        <v>44355</v>
      </c>
      <c r="J14557" t="s">
        <v>11697</v>
      </c>
      <c r="K14557" t="s">
        <v>44356</v>
      </c>
      <c r="M14557" t="s">
        <v>17861</v>
      </c>
      <c r="N14557" t="str">
        <f t="shared" si="228"/>
        <v>12/14/2020 4:35:00 PM</v>
      </c>
      <c r="O14557" t="s">
        <v>44352</v>
      </c>
      <c r="T14557" t="s">
        <v>44353</v>
      </c>
    </row>
    <row r="14558" spans="1:20" x14ac:dyDescent="0.25">
      <c r="A14558" t="str">
        <f>"3053741"</f>
        <v>3053741</v>
      </c>
      <c r="B14558" t="s">
        <v>44362</v>
      </c>
      <c r="C14558" t="str">
        <f t="shared" si="227"/>
        <v>8307168</v>
      </c>
      <c r="D14558" t="s">
        <v>44352</v>
      </c>
      <c r="E14558" t="s">
        <v>44353</v>
      </c>
      <c r="F14558" t="s">
        <v>44354</v>
      </c>
      <c r="I14558" t="s">
        <v>44355</v>
      </c>
      <c r="J14558" t="s">
        <v>11697</v>
      </c>
      <c r="K14558" t="s">
        <v>44356</v>
      </c>
      <c r="M14558" t="s">
        <v>17861</v>
      </c>
      <c r="N14558" t="str">
        <f t="shared" si="228"/>
        <v>12/14/2020 4:35:00 PM</v>
      </c>
      <c r="O14558" t="s">
        <v>44352</v>
      </c>
      <c r="T14558" t="s">
        <v>44353</v>
      </c>
    </row>
    <row r="14559" spans="1:20" x14ac:dyDescent="0.25">
      <c r="A14559" t="str">
        <f>"3042265"</f>
        <v>3042265</v>
      </c>
      <c r="B14559" t="s">
        <v>44363</v>
      </c>
      <c r="C14559" t="str">
        <f t="shared" si="227"/>
        <v>8307168</v>
      </c>
      <c r="D14559" t="s">
        <v>44352</v>
      </c>
      <c r="E14559" t="s">
        <v>44353</v>
      </c>
      <c r="F14559" t="s">
        <v>44354</v>
      </c>
      <c r="I14559" t="s">
        <v>44355</v>
      </c>
      <c r="J14559" t="s">
        <v>11697</v>
      </c>
      <c r="K14559" t="s">
        <v>44356</v>
      </c>
      <c r="M14559" t="s">
        <v>17861</v>
      </c>
      <c r="N14559" t="str">
        <f t="shared" si="228"/>
        <v>12/14/2020 4:35:00 PM</v>
      </c>
      <c r="O14559" t="s">
        <v>44352</v>
      </c>
      <c r="T14559" t="s">
        <v>44353</v>
      </c>
    </row>
    <row r="14560" spans="1:20" x14ac:dyDescent="0.25">
      <c r="A14560" t="str">
        <f>"3042251"</f>
        <v>3042251</v>
      </c>
      <c r="B14560" t="s">
        <v>44364</v>
      </c>
      <c r="C14560" t="str">
        <f t="shared" si="227"/>
        <v>8307168</v>
      </c>
      <c r="D14560" t="s">
        <v>44352</v>
      </c>
      <c r="E14560" t="s">
        <v>44353</v>
      </c>
      <c r="F14560" t="s">
        <v>44354</v>
      </c>
      <c r="I14560" t="s">
        <v>44355</v>
      </c>
      <c r="J14560" t="s">
        <v>11697</v>
      </c>
      <c r="K14560" t="s">
        <v>44356</v>
      </c>
      <c r="M14560" t="s">
        <v>17861</v>
      </c>
      <c r="N14560" t="str">
        <f t="shared" si="228"/>
        <v>12/14/2020 4:35:00 PM</v>
      </c>
      <c r="O14560" t="s">
        <v>44352</v>
      </c>
      <c r="T14560" t="s">
        <v>44353</v>
      </c>
    </row>
    <row r="14561" spans="1:20" x14ac:dyDescent="0.25">
      <c r="A14561" t="str">
        <f>"3041410"</f>
        <v>3041410</v>
      </c>
      <c r="B14561" t="s">
        <v>44365</v>
      </c>
      <c r="C14561" t="str">
        <f t="shared" si="227"/>
        <v>8307168</v>
      </c>
      <c r="D14561" t="s">
        <v>44352</v>
      </c>
      <c r="E14561" t="s">
        <v>44353</v>
      </c>
      <c r="F14561" t="s">
        <v>44354</v>
      </c>
      <c r="I14561" t="s">
        <v>44355</v>
      </c>
      <c r="J14561" t="s">
        <v>11697</v>
      </c>
      <c r="K14561" t="s">
        <v>44356</v>
      </c>
      <c r="M14561" t="s">
        <v>17861</v>
      </c>
      <c r="N14561" t="str">
        <f t="shared" si="228"/>
        <v>12/14/2020 4:35:00 PM</v>
      </c>
      <c r="O14561" t="s">
        <v>44352</v>
      </c>
      <c r="T14561" t="s">
        <v>44353</v>
      </c>
    </row>
    <row r="14562" spans="1:20" x14ac:dyDescent="0.25">
      <c r="A14562" t="str">
        <f>"3041316"</f>
        <v>3041316</v>
      </c>
      <c r="B14562" t="s">
        <v>44366</v>
      </c>
      <c r="C14562" t="str">
        <f t="shared" si="227"/>
        <v>8307168</v>
      </c>
      <c r="D14562" t="s">
        <v>44352</v>
      </c>
      <c r="E14562" t="s">
        <v>44353</v>
      </c>
      <c r="F14562" t="s">
        <v>44354</v>
      </c>
      <c r="I14562" t="s">
        <v>44355</v>
      </c>
      <c r="J14562" t="s">
        <v>11697</v>
      </c>
      <c r="K14562" t="s">
        <v>44356</v>
      </c>
      <c r="M14562" t="s">
        <v>17861</v>
      </c>
      <c r="N14562" t="str">
        <f t="shared" si="228"/>
        <v>12/14/2020 4:35:00 PM</v>
      </c>
      <c r="O14562" t="s">
        <v>44352</v>
      </c>
      <c r="T14562" t="s">
        <v>44353</v>
      </c>
    </row>
    <row r="14563" spans="1:20" x14ac:dyDescent="0.25">
      <c r="A14563" t="str">
        <f>"3045810"</f>
        <v>3045810</v>
      </c>
      <c r="B14563" t="s">
        <v>44367</v>
      </c>
      <c r="C14563" t="str">
        <f t="shared" si="227"/>
        <v>8307168</v>
      </c>
      <c r="D14563" t="s">
        <v>44352</v>
      </c>
      <c r="E14563" t="s">
        <v>44353</v>
      </c>
      <c r="F14563" t="s">
        <v>44354</v>
      </c>
      <c r="I14563" t="s">
        <v>44355</v>
      </c>
      <c r="J14563" t="s">
        <v>11697</v>
      </c>
      <c r="K14563" t="s">
        <v>44356</v>
      </c>
      <c r="M14563" t="s">
        <v>17861</v>
      </c>
      <c r="N14563" t="str">
        <f t="shared" si="228"/>
        <v>12/14/2020 4:35:00 PM</v>
      </c>
      <c r="O14563" t="s">
        <v>44352</v>
      </c>
      <c r="T14563" t="s">
        <v>44353</v>
      </c>
    </row>
    <row r="14564" spans="1:20" x14ac:dyDescent="0.25">
      <c r="A14564" t="str">
        <f>"3044677"</f>
        <v>3044677</v>
      </c>
      <c r="B14564" t="s">
        <v>44368</v>
      </c>
      <c r="C14564" t="str">
        <f t="shared" si="227"/>
        <v>8307168</v>
      </c>
      <c r="D14564" t="s">
        <v>44352</v>
      </c>
      <c r="E14564" t="s">
        <v>44353</v>
      </c>
      <c r="F14564" t="s">
        <v>44354</v>
      </c>
      <c r="I14564" t="s">
        <v>44355</v>
      </c>
      <c r="J14564" t="s">
        <v>11697</v>
      </c>
      <c r="K14564" t="s">
        <v>44356</v>
      </c>
      <c r="M14564" t="s">
        <v>17861</v>
      </c>
      <c r="N14564" t="str">
        <f t="shared" si="228"/>
        <v>12/14/2020 4:35:00 PM</v>
      </c>
      <c r="O14564" t="s">
        <v>44352</v>
      </c>
      <c r="T14564" t="s">
        <v>44353</v>
      </c>
    </row>
    <row r="14565" spans="1:20" x14ac:dyDescent="0.25">
      <c r="A14565" t="str">
        <f>"3044693"</f>
        <v>3044693</v>
      </c>
      <c r="B14565" t="s">
        <v>44369</v>
      </c>
      <c r="C14565" t="str">
        <f t="shared" si="227"/>
        <v>8307168</v>
      </c>
      <c r="D14565" t="s">
        <v>44352</v>
      </c>
      <c r="E14565" t="s">
        <v>44353</v>
      </c>
      <c r="F14565" t="s">
        <v>44354</v>
      </c>
      <c r="I14565" t="s">
        <v>44355</v>
      </c>
      <c r="J14565" t="s">
        <v>11697</v>
      </c>
      <c r="K14565" t="s">
        <v>44356</v>
      </c>
      <c r="M14565" t="s">
        <v>17861</v>
      </c>
      <c r="N14565" t="str">
        <f t="shared" si="228"/>
        <v>12/14/2020 4:35:00 PM</v>
      </c>
      <c r="O14565" t="s">
        <v>44352</v>
      </c>
      <c r="T14565" t="s">
        <v>44353</v>
      </c>
    </row>
    <row r="14566" spans="1:20" x14ac:dyDescent="0.25">
      <c r="A14566" t="str">
        <f>"3058954"</f>
        <v>3058954</v>
      </c>
      <c r="B14566" t="s">
        <v>44370</v>
      </c>
      <c r="C14566" t="str">
        <f t="shared" si="227"/>
        <v>8307168</v>
      </c>
      <c r="D14566" t="s">
        <v>44352</v>
      </c>
      <c r="E14566" t="s">
        <v>44353</v>
      </c>
      <c r="F14566" t="s">
        <v>44354</v>
      </c>
      <c r="I14566" t="s">
        <v>44355</v>
      </c>
      <c r="J14566" t="s">
        <v>11697</v>
      </c>
      <c r="K14566" t="s">
        <v>44356</v>
      </c>
      <c r="M14566" t="s">
        <v>17861</v>
      </c>
      <c r="N14566" t="str">
        <f t="shared" si="228"/>
        <v>12/14/2020 4:35:00 PM</v>
      </c>
      <c r="O14566" t="s">
        <v>44352</v>
      </c>
      <c r="T14566" t="s">
        <v>44353</v>
      </c>
    </row>
    <row r="14567" spans="1:20" x14ac:dyDescent="0.25">
      <c r="A14567" t="str">
        <f>"3058983"</f>
        <v>3058983</v>
      </c>
      <c r="B14567" t="s">
        <v>44371</v>
      </c>
      <c r="C14567" t="str">
        <f t="shared" si="227"/>
        <v>8307168</v>
      </c>
      <c r="D14567" t="s">
        <v>44352</v>
      </c>
      <c r="E14567" t="s">
        <v>44353</v>
      </c>
      <c r="F14567" t="s">
        <v>44354</v>
      </c>
      <c r="I14567" t="s">
        <v>44355</v>
      </c>
      <c r="J14567" t="s">
        <v>11697</v>
      </c>
      <c r="K14567" t="s">
        <v>44356</v>
      </c>
      <c r="M14567" t="s">
        <v>17861</v>
      </c>
      <c r="N14567" t="str">
        <f t="shared" si="228"/>
        <v>12/14/2020 4:35:00 PM</v>
      </c>
      <c r="O14567" t="s">
        <v>44352</v>
      </c>
      <c r="T14567" t="s">
        <v>44353</v>
      </c>
    </row>
    <row r="14568" spans="1:20" x14ac:dyDescent="0.25">
      <c r="A14568" t="str">
        <f>"3059878"</f>
        <v>3059878</v>
      </c>
      <c r="B14568" t="s">
        <v>44372</v>
      </c>
      <c r="C14568" t="str">
        <f t="shared" si="227"/>
        <v>8307168</v>
      </c>
      <c r="D14568" t="s">
        <v>44352</v>
      </c>
      <c r="E14568" t="s">
        <v>44353</v>
      </c>
      <c r="F14568" t="s">
        <v>44354</v>
      </c>
      <c r="I14568" t="s">
        <v>44355</v>
      </c>
      <c r="J14568" t="s">
        <v>11697</v>
      </c>
      <c r="K14568" t="s">
        <v>44356</v>
      </c>
      <c r="M14568" t="s">
        <v>17861</v>
      </c>
      <c r="N14568" t="str">
        <f t="shared" si="228"/>
        <v>12/14/2020 4:35:00 PM</v>
      </c>
      <c r="O14568" t="s">
        <v>44352</v>
      </c>
      <c r="T14568" t="s">
        <v>44353</v>
      </c>
    </row>
    <row r="14569" spans="1:20" x14ac:dyDescent="0.25">
      <c r="A14569" t="str">
        <f>"3049918"</f>
        <v>3049918</v>
      </c>
      <c r="B14569" t="s">
        <v>44373</v>
      </c>
      <c r="C14569" t="str">
        <f>"8314802"</f>
        <v>8314802</v>
      </c>
      <c r="D14569" t="s">
        <v>44374</v>
      </c>
      <c r="E14569" t="s">
        <v>44375</v>
      </c>
      <c r="F14569" t="s">
        <v>44376</v>
      </c>
      <c r="I14569" t="s">
        <v>29</v>
      </c>
      <c r="J14569" t="s">
        <v>30</v>
      </c>
      <c r="K14569" t="s">
        <v>37067</v>
      </c>
      <c r="M14569" t="s">
        <v>17861</v>
      </c>
      <c r="N14569" t="str">
        <f>"12/15/2020 4:27:00 PM"</f>
        <v>12/15/2020 4:27:00 PM</v>
      </c>
      <c r="O14569" t="s">
        <v>44374</v>
      </c>
      <c r="T14569" t="s">
        <v>44375</v>
      </c>
    </row>
    <row r="14570" spans="1:20" x14ac:dyDescent="0.25">
      <c r="A14570" t="str">
        <f>"3063540"</f>
        <v>3063540</v>
      </c>
      <c r="B14570" t="s">
        <v>44377</v>
      </c>
      <c r="C14570" t="str">
        <f>"8314804"</f>
        <v>8314804</v>
      </c>
      <c r="D14570" t="s">
        <v>44378</v>
      </c>
      <c r="E14570" t="s">
        <v>44379</v>
      </c>
      <c r="F14570" t="s">
        <v>44380</v>
      </c>
      <c r="I14570" t="s">
        <v>29</v>
      </c>
      <c r="J14570" t="s">
        <v>30</v>
      </c>
      <c r="K14570" t="s">
        <v>6750</v>
      </c>
      <c r="M14570" t="s">
        <v>17861</v>
      </c>
      <c r="N14570" t="str">
        <f>"12/16/2020 9:07:00 AM"</f>
        <v>12/16/2020 9:07:00 AM</v>
      </c>
      <c r="O14570" t="s">
        <v>44378</v>
      </c>
      <c r="T14570" t="s">
        <v>44379</v>
      </c>
    </row>
    <row r="14571" spans="1:20" x14ac:dyDescent="0.25">
      <c r="A14571" t="str">
        <f>"3064327"</f>
        <v>3064327</v>
      </c>
      <c r="B14571" t="s">
        <v>44381</v>
      </c>
      <c r="C14571" t="str">
        <f>"8314806"</f>
        <v>8314806</v>
      </c>
      <c r="D14571" t="s">
        <v>43889</v>
      </c>
      <c r="E14571" t="s">
        <v>44382</v>
      </c>
      <c r="F14571" t="s">
        <v>43890</v>
      </c>
      <c r="I14571" t="s">
        <v>29</v>
      </c>
      <c r="J14571" t="s">
        <v>30</v>
      </c>
      <c r="K14571" t="s">
        <v>1413</v>
      </c>
      <c r="M14571" t="s">
        <v>17861</v>
      </c>
      <c r="N14571" t="str">
        <f>"12/16/2020 12:42:00 PM"</f>
        <v>12/16/2020 12:42:00 PM</v>
      </c>
      <c r="O14571" t="s">
        <v>43889</v>
      </c>
      <c r="T14571" t="s">
        <v>44382</v>
      </c>
    </row>
    <row r="14572" spans="1:20" x14ac:dyDescent="0.25">
      <c r="A14572" t="str">
        <f>"3039865"</f>
        <v>3039865</v>
      </c>
      <c r="B14572" t="s">
        <v>44383</v>
      </c>
      <c r="C14572" t="str">
        <f>"8314714"</f>
        <v>8314714</v>
      </c>
      <c r="D14572" t="s">
        <v>44384</v>
      </c>
      <c r="F14572" t="s">
        <v>44385</v>
      </c>
      <c r="I14572" t="s">
        <v>402</v>
      </c>
      <c r="J14572" t="s">
        <v>30</v>
      </c>
      <c r="K14572" t="s">
        <v>44386</v>
      </c>
      <c r="M14572" t="s">
        <v>17861</v>
      </c>
      <c r="N14572" t="str">
        <f>"12/2/2020 12:34:00 PM"</f>
        <v>12/2/2020 12:34:00 PM</v>
      </c>
      <c r="O14572" t="s">
        <v>44384</v>
      </c>
    </row>
    <row r="14573" spans="1:20" x14ac:dyDescent="0.25">
      <c r="A14573" t="str">
        <f>"3060275"</f>
        <v>3060275</v>
      </c>
      <c r="B14573" t="s">
        <v>44387</v>
      </c>
      <c r="C14573" t="str">
        <f>"8314715"</f>
        <v>8314715</v>
      </c>
      <c r="D14573" t="s">
        <v>44388</v>
      </c>
      <c r="F14573" t="s">
        <v>44389</v>
      </c>
      <c r="I14573" t="s">
        <v>184</v>
      </c>
      <c r="J14573" t="s">
        <v>30</v>
      </c>
      <c r="K14573" t="s">
        <v>38676</v>
      </c>
      <c r="M14573" t="s">
        <v>17861</v>
      </c>
      <c r="N14573" t="str">
        <f>"12/2/2020 12:51:00 PM"</f>
        <v>12/2/2020 12:51:00 PM</v>
      </c>
      <c r="O14573" t="s">
        <v>44388</v>
      </c>
    </row>
    <row r="14574" spans="1:20" x14ac:dyDescent="0.25">
      <c r="A14574" t="str">
        <f>"3059252"</f>
        <v>3059252</v>
      </c>
      <c r="B14574" t="s">
        <v>44390</v>
      </c>
      <c r="C14574" t="str">
        <f>"8314716"</f>
        <v>8314716</v>
      </c>
      <c r="D14574" t="s">
        <v>44391</v>
      </c>
      <c r="F14574" t="s">
        <v>44392</v>
      </c>
      <c r="I14574" t="s">
        <v>29</v>
      </c>
      <c r="J14574" t="s">
        <v>30</v>
      </c>
      <c r="K14574" t="s">
        <v>44393</v>
      </c>
      <c r="M14574" t="s">
        <v>17861</v>
      </c>
      <c r="N14574" t="str">
        <f>"12/2/2020 12:56:00 PM"</f>
        <v>12/2/2020 12:56:00 PM</v>
      </c>
      <c r="O14574" t="s">
        <v>44391</v>
      </c>
    </row>
    <row r="14575" spans="1:20" x14ac:dyDescent="0.25">
      <c r="A14575" t="str">
        <f>"3045971"</f>
        <v>3045971</v>
      </c>
      <c r="B14575" t="s">
        <v>44394</v>
      </c>
      <c r="C14575" t="str">
        <f>"8314717"</f>
        <v>8314717</v>
      </c>
      <c r="D14575" t="s">
        <v>44395</v>
      </c>
      <c r="F14575" t="s">
        <v>44396</v>
      </c>
      <c r="I14575" t="s">
        <v>29</v>
      </c>
      <c r="J14575" t="s">
        <v>30</v>
      </c>
      <c r="K14575" t="s">
        <v>16882</v>
      </c>
      <c r="M14575" t="s">
        <v>17861</v>
      </c>
      <c r="N14575" t="str">
        <f>"12/2/2020 2:07:00 PM"</f>
        <v>12/2/2020 2:07:00 PM</v>
      </c>
      <c r="O14575" t="s">
        <v>44395</v>
      </c>
    </row>
    <row r="14576" spans="1:20" x14ac:dyDescent="0.25">
      <c r="A14576" t="str">
        <f>"3052726"</f>
        <v>3052726</v>
      </c>
      <c r="B14576" t="s">
        <v>44397</v>
      </c>
      <c r="C14576" t="str">
        <f>"8314718"</f>
        <v>8314718</v>
      </c>
      <c r="D14576" t="s">
        <v>44398</v>
      </c>
      <c r="F14576" t="s">
        <v>44399</v>
      </c>
      <c r="I14576" t="s">
        <v>29</v>
      </c>
      <c r="J14576" t="s">
        <v>30</v>
      </c>
      <c r="K14576" t="s">
        <v>44400</v>
      </c>
      <c r="M14576" t="s">
        <v>17861</v>
      </c>
      <c r="N14576" t="str">
        <f>"12/2/2020 2:17:00 PM"</f>
        <v>12/2/2020 2:17:00 PM</v>
      </c>
      <c r="O14576" t="s">
        <v>44398</v>
      </c>
    </row>
    <row r="14577" spans="1:20" x14ac:dyDescent="0.25">
      <c r="A14577" t="str">
        <f>"3057692"</f>
        <v>3057692</v>
      </c>
      <c r="B14577" t="s">
        <v>44401</v>
      </c>
      <c r="C14577" t="str">
        <f>"8314723"</f>
        <v>8314723</v>
      </c>
      <c r="D14577" t="s">
        <v>44402</v>
      </c>
      <c r="E14577" t="s">
        <v>44403</v>
      </c>
      <c r="F14577" t="s">
        <v>44404</v>
      </c>
      <c r="I14577" t="s">
        <v>184</v>
      </c>
      <c r="J14577" t="s">
        <v>30</v>
      </c>
      <c r="K14577" t="s">
        <v>840</v>
      </c>
      <c r="M14577" t="s">
        <v>17861</v>
      </c>
      <c r="N14577" t="str">
        <f>"12/3/2020 10:38:00 AM"</f>
        <v>12/3/2020 10:38:00 AM</v>
      </c>
      <c r="O14577" t="s">
        <v>44402</v>
      </c>
      <c r="T14577" t="s">
        <v>44403</v>
      </c>
    </row>
    <row r="14578" spans="1:20" x14ac:dyDescent="0.25">
      <c r="A14578" t="str">
        <f>"3063012"</f>
        <v>3063012</v>
      </c>
      <c r="B14578" t="s">
        <v>44405</v>
      </c>
      <c r="C14578" t="str">
        <f>"8314678"</f>
        <v>8314678</v>
      </c>
      <c r="D14578" t="s">
        <v>44406</v>
      </c>
      <c r="E14578" t="s">
        <v>44407</v>
      </c>
      <c r="F14578" t="s">
        <v>44408</v>
      </c>
      <c r="I14578" t="s">
        <v>184</v>
      </c>
      <c r="J14578" t="s">
        <v>30</v>
      </c>
      <c r="K14578" t="s">
        <v>35136</v>
      </c>
      <c r="M14578" t="s">
        <v>17861</v>
      </c>
      <c r="N14578" t="str">
        <f>"11/24/2020 3:14:00 PM"</f>
        <v>11/24/2020 3:14:00 PM</v>
      </c>
      <c r="O14578" t="s">
        <v>44406</v>
      </c>
      <c r="T14578" t="s">
        <v>44407</v>
      </c>
    </row>
    <row r="14579" spans="1:20" x14ac:dyDescent="0.25">
      <c r="A14579" t="str">
        <f>"3047308"</f>
        <v>3047308</v>
      </c>
      <c r="B14579" t="s">
        <v>44409</v>
      </c>
      <c r="C14579" t="str">
        <f>"8314679"</f>
        <v>8314679</v>
      </c>
      <c r="D14579" t="s">
        <v>44410</v>
      </c>
      <c r="E14579" t="s">
        <v>44411</v>
      </c>
      <c r="F14579" t="s">
        <v>44412</v>
      </c>
      <c r="I14579" t="s">
        <v>24359</v>
      </c>
      <c r="J14579" t="s">
        <v>30</v>
      </c>
      <c r="K14579" t="str">
        <f>"27006"</f>
        <v>27006</v>
      </c>
      <c r="M14579" t="s">
        <v>17861</v>
      </c>
      <c r="N14579" t="str">
        <f>"11/24/2020 3:17:00 PM"</f>
        <v>11/24/2020 3:17:00 PM</v>
      </c>
      <c r="O14579" t="s">
        <v>44410</v>
      </c>
      <c r="T14579" t="s">
        <v>44411</v>
      </c>
    </row>
    <row r="14580" spans="1:20" x14ac:dyDescent="0.25">
      <c r="A14580" t="str">
        <f>"3047309"</f>
        <v>3047309</v>
      </c>
      <c r="B14580" t="s">
        <v>44413</v>
      </c>
      <c r="C14580" t="str">
        <f>"8314679"</f>
        <v>8314679</v>
      </c>
      <c r="D14580" t="s">
        <v>44410</v>
      </c>
      <c r="E14580" t="s">
        <v>44411</v>
      </c>
      <c r="F14580" t="s">
        <v>44412</v>
      </c>
      <c r="I14580" t="s">
        <v>24359</v>
      </c>
      <c r="J14580" t="s">
        <v>30</v>
      </c>
      <c r="K14580" t="str">
        <f>"27006"</f>
        <v>27006</v>
      </c>
      <c r="M14580" t="s">
        <v>17861</v>
      </c>
      <c r="N14580" t="str">
        <f>"11/24/2020 3:17:00 PM"</f>
        <v>11/24/2020 3:17:00 PM</v>
      </c>
      <c r="O14580" t="s">
        <v>44410</v>
      </c>
      <c r="T14580" t="s">
        <v>44411</v>
      </c>
    </row>
    <row r="14581" spans="1:20" x14ac:dyDescent="0.25">
      <c r="A14581" t="str">
        <f>"3047321"</f>
        <v>3047321</v>
      </c>
      <c r="B14581" t="s">
        <v>44414</v>
      </c>
      <c r="C14581" t="str">
        <f>"8314679"</f>
        <v>8314679</v>
      </c>
      <c r="D14581" t="s">
        <v>44410</v>
      </c>
      <c r="E14581" t="s">
        <v>44411</v>
      </c>
      <c r="F14581" t="s">
        <v>44412</v>
      </c>
      <c r="I14581" t="s">
        <v>24359</v>
      </c>
      <c r="J14581" t="s">
        <v>30</v>
      </c>
      <c r="K14581" t="str">
        <f>"27006"</f>
        <v>27006</v>
      </c>
      <c r="M14581" t="s">
        <v>17861</v>
      </c>
      <c r="N14581" t="str">
        <f>"11/24/2020 3:17:00 PM"</f>
        <v>11/24/2020 3:17:00 PM</v>
      </c>
      <c r="O14581" t="s">
        <v>44410</v>
      </c>
      <c r="T14581" t="s">
        <v>44411</v>
      </c>
    </row>
    <row r="14582" spans="1:20" x14ac:dyDescent="0.25">
      <c r="A14582" t="str">
        <f>"3060485"</f>
        <v>3060485</v>
      </c>
      <c r="B14582" t="s">
        <v>44415</v>
      </c>
      <c r="C14582" t="str">
        <f>"8314743"</f>
        <v>8314743</v>
      </c>
      <c r="D14582" t="str">
        <f>"STEELMAN LINDA M/R G TRUSTEE"</f>
        <v>STEELMAN LINDA M/R G TRUSTEE</v>
      </c>
      <c r="E14582" t="s">
        <v>44416</v>
      </c>
      <c r="F14582" t="s">
        <v>44417</v>
      </c>
      <c r="I14582" t="s">
        <v>184</v>
      </c>
      <c r="J14582" t="s">
        <v>30</v>
      </c>
      <c r="K14582" t="s">
        <v>9123</v>
      </c>
      <c r="M14582" t="s">
        <v>17861</v>
      </c>
      <c r="N14582" t="str">
        <f>"12/4/2020 12:28:00 PM"</f>
        <v>12/4/2020 12:28:00 PM</v>
      </c>
      <c r="O14582" t="str">
        <f>"STEELMAN LINDA M/R G TRUSTEE"</f>
        <v>STEELMAN LINDA M/R G TRUSTEE</v>
      </c>
      <c r="T14582" t="s">
        <v>44416</v>
      </c>
    </row>
    <row r="14583" spans="1:20" x14ac:dyDescent="0.25">
      <c r="A14583" t="str">
        <f>"3058659"</f>
        <v>3058659</v>
      </c>
      <c r="B14583" t="s">
        <v>44418</v>
      </c>
      <c r="C14583" t="str">
        <f>"8314754"</f>
        <v>8314754</v>
      </c>
      <c r="D14583" t="s">
        <v>44419</v>
      </c>
      <c r="E14583" t="s">
        <v>44420</v>
      </c>
      <c r="F14583" t="s">
        <v>44421</v>
      </c>
      <c r="I14583" t="s">
        <v>24359</v>
      </c>
      <c r="J14583" t="s">
        <v>30</v>
      </c>
      <c r="K14583" t="str">
        <f>"27006"</f>
        <v>27006</v>
      </c>
      <c r="M14583" t="s">
        <v>17861</v>
      </c>
      <c r="N14583" t="str">
        <f>"12/4/2020 2:15:00 PM"</f>
        <v>12/4/2020 2:15:00 PM</v>
      </c>
      <c r="O14583" t="s">
        <v>44419</v>
      </c>
      <c r="T14583" t="s">
        <v>44420</v>
      </c>
    </row>
    <row r="14584" spans="1:20" x14ac:dyDescent="0.25">
      <c r="A14584" t="str">
        <f>"3038767"</f>
        <v>3038767</v>
      </c>
      <c r="B14584" t="s">
        <v>44422</v>
      </c>
      <c r="C14584" t="str">
        <f>"8314774"</f>
        <v>8314774</v>
      </c>
      <c r="D14584" t="s">
        <v>44423</v>
      </c>
      <c r="E14584" t="s">
        <v>44424</v>
      </c>
      <c r="F14584" t="s">
        <v>44425</v>
      </c>
      <c r="I14584" t="s">
        <v>29</v>
      </c>
      <c r="J14584" t="s">
        <v>30</v>
      </c>
      <c r="K14584" t="s">
        <v>44426</v>
      </c>
      <c r="M14584" t="s">
        <v>17861</v>
      </c>
      <c r="N14584" t="str">
        <f>"12/8/2020 10:39:00 AM"</f>
        <v>12/8/2020 10:39:00 AM</v>
      </c>
      <c r="O14584" t="s">
        <v>44423</v>
      </c>
      <c r="T14584" t="s">
        <v>44424</v>
      </c>
    </row>
    <row r="14585" spans="1:20" x14ac:dyDescent="0.25">
      <c r="A14585" t="str">
        <f>"3050493"</f>
        <v>3050493</v>
      </c>
      <c r="B14585" t="s">
        <v>44427</v>
      </c>
      <c r="C14585" t="str">
        <f>"8314776"</f>
        <v>8314776</v>
      </c>
      <c r="D14585" t="s">
        <v>44428</v>
      </c>
      <c r="E14585" t="s">
        <v>44429</v>
      </c>
      <c r="F14585" t="s">
        <v>44430</v>
      </c>
      <c r="I14585" t="s">
        <v>184</v>
      </c>
      <c r="J14585" t="s">
        <v>30</v>
      </c>
      <c r="K14585" t="s">
        <v>10661</v>
      </c>
      <c r="M14585" t="s">
        <v>17861</v>
      </c>
      <c r="N14585" t="str">
        <f>"12/8/2020 3:17:00 PM"</f>
        <v>12/8/2020 3:17:00 PM</v>
      </c>
      <c r="O14585" t="s">
        <v>44428</v>
      </c>
      <c r="T14585" t="s">
        <v>44429</v>
      </c>
    </row>
    <row r="14586" spans="1:20" x14ac:dyDescent="0.25">
      <c r="A14586" t="str">
        <f>"3046333"</f>
        <v>3046333</v>
      </c>
      <c r="B14586" t="s">
        <v>44431</v>
      </c>
      <c r="C14586" t="str">
        <f>"8311692"</f>
        <v>8311692</v>
      </c>
      <c r="D14586" t="s">
        <v>44432</v>
      </c>
      <c r="E14586" t="s">
        <v>44433</v>
      </c>
      <c r="F14586" t="s">
        <v>44434</v>
      </c>
      <c r="I14586" t="s">
        <v>29</v>
      </c>
      <c r="J14586" t="s">
        <v>30</v>
      </c>
      <c r="K14586" t="s">
        <v>44435</v>
      </c>
      <c r="M14586" t="s">
        <v>25733</v>
      </c>
      <c r="N14586" t="str">
        <f>"12/9/2020 11:00:00 AM"</f>
        <v>12/9/2020 11:00:00 AM</v>
      </c>
      <c r="O14586" t="s">
        <v>44432</v>
      </c>
      <c r="T14586" t="s">
        <v>44433</v>
      </c>
    </row>
    <row r="14587" spans="1:20" x14ac:dyDescent="0.25">
      <c r="A14587" t="str">
        <f>"3050884"</f>
        <v>3050884</v>
      </c>
      <c r="B14587" t="s">
        <v>44436</v>
      </c>
      <c r="C14587" t="str">
        <f>"8314779"</f>
        <v>8314779</v>
      </c>
      <c r="D14587" t="s">
        <v>44437</v>
      </c>
      <c r="E14587" t="s">
        <v>44438</v>
      </c>
      <c r="F14587" t="s">
        <v>44439</v>
      </c>
      <c r="I14587" t="s">
        <v>184</v>
      </c>
      <c r="J14587" t="s">
        <v>30</v>
      </c>
      <c r="K14587" t="s">
        <v>12590</v>
      </c>
      <c r="M14587" t="s">
        <v>17861</v>
      </c>
      <c r="N14587" t="str">
        <f>"12/10/2020 11:13:00 AM"</f>
        <v>12/10/2020 11:13:00 AM</v>
      </c>
      <c r="O14587" t="s">
        <v>44437</v>
      </c>
      <c r="T14587" t="s">
        <v>44438</v>
      </c>
    </row>
    <row r="14588" spans="1:20" x14ac:dyDescent="0.25">
      <c r="A14588" t="str">
        <f>"3054396"</f>
        <v>3054396</v>
      </c>
      <c r="B14588" t="s">
        <v>44440</v>
      </c>
      <c r="C14588" t="str">
        <f>"8314782"</f>
        <v>8314782</v>
      </c>
      <c r="D14588" t="s">
        <v>44441</v>
      </c>
      <c r="F14588" t="s">
        <v>44442</v>
      </c>
      <c r="I14588" t="s">
        <v>29</v>
      </c>
      <c r="J14588" t="s">
        <v>30</v>
      </c>
      <c r="K14588" t="s">
        <v>15414</v>
      </c>
      <c r="M14588" t="s">
        <v>17861</v>
      </c>
      <c r="N14588" t="str">
        <f>"12/10/2020 1:14:00 PM"</f>
        <v>12/10/2020 1:14:00 PM</v>
      </c>
      <c r="O14588" t="s">
        <v>44441</v>
      </c>
    </row>
    <row r="14589" spans="1:20" x14ac:dyDescent="0.25">
      <c r="A14589" t="str">
        <f>"3054104"</f>
        <v>3054104</v>
      </c>
      <c r="B14589" t="s">
        <v>44443</v>
      </c>
      <c r="C14589" t="str">
        <f>"8314782"</f>
        <v>8314782</v>
      </c>
      <c r="D14589" t="s">
        <v>44441</v>
      </c>
      <c r="F14589" t="s">
        <v>44442</v>
      </c>
      <c r="I14589" t="s">
        <v>29</v>
      </c>
      <c r="J14589" t="s">
        <v>30</v>
      </c>
      <c r="K14589" t="s">
        <v>15414</v>
      </c>
      <c r="M14589" t="s">
        <v>17861</v>
      </c>
      <c r="N14589" t="str">
        <f>"12/10/2020 1:14:00 PM"</f>
        <v>12/10/2020 1:14:00 PM</v>
      </c>
      <c r="O14589" t="s">
        <v>44441</v>
      </c>
    </row>
    <row r="14590" spans="1:20" x14ac:dyDescent="0.25">
      <c r="A14590" t="str">
        <f>"3054395"</f>
        <v>3054395</v>
      </c>
      <c r="B14590" t="s">
        <v>44444</v>
      </c>
      <c r="C14590" t="str">
        <f>"8314784"</f>
        <v>8314784</v>
      </c>
      <c r="D14590" t="s">
        <v>44445</v>
      </c>
      <c r="F14590" t="s">
        <v>44446</v>
      </c>
      <c r="I14590" t="s">
        <v>29</v>
      </c>
      <c r="J14590" t="s">
        <v>30</v>
      </c>
      <c r="K14590" t="s">
        <v>15516</v>
      </c>
      <c r="M14590" t="s">
        <v>17861</v>
      </c>
      <c r="N14590" t="str">
        <f>"12/10/2020 2:06:00 PM"</f>
        <v>12/10/2020 2:06:00 PM</v>
      </c>
      <c r="O14590" t="s">
        <v>44445</v>
      </c>
    </row>
    <row r="14591" spans="1:20" x14ac:dyDescent="0.25">
      <c r="A14591" t="str">
        <f>"3037787"</f>
        <v>3037787</v>
      </c>
      <c r="B14591" t="s">
        <v>44447</v>
      </c>
      <c r="C14591" t="str">
        <f>"23611500"</f>
        <v>23611500</v>
      </c>
      <c r="D14591" t="s">
        <v>44448</v>
      </c>
      <c r="F14591" t="s">
        <v>44449</v>
      </c>
      <c r="I14591" t="s">
        <v>29</v>
      </c>
      <c r="J14591" t="s">
        <v>30</v>
      </c>
      <c r="K14591" t="s">
        <v>44450</v>
      </c>
      <c r="M14591" t="s">
        <v>33845</v>
      </c>
      <c r="N14591" t="str">
        <f>"12/11/2020 1:45:00 PM"</f>
        <v>12/11/2020 1:45:00 PM</v>
      </c>
      <c r="O14591" t="s">
        <v>44448</v>
      </c>
    </row>
    <row r="14592" spans="1:20" x14ac:dyDescent="0.25">
      <c r="A14592" t="str">
        <f>"3048888"</f>
        <v>3048888</v>
      </c>
      <c r="B14592" t="s">
        <v>44451</v>
      </c>
      <c r="C14592" t="str">
        <f>"8300368"</f>
        <v>8300368</v>
      </c>
      <c r="D14592" t="s">
        <v>44452</v>
      </c>
      <c r="F14592" t="s">
        <v>44453</v>
      </c>
      <c r="I14592" t="s">
        <v>44454</v>
      </c>
      <c r="J14592" t="s">
        <v>30</v>
      </c>
      <c r="K14592" t="s">
        <v>44455</v>
      </c>
      <c r="M14592" t="s">
        <v>17861</v>
      </c>
      <c r="N14592" t="str">
        <f>"12/14/2020 8:24:00 AM"</f>
        <v>12/14/2020 8:24:00 AM</v>
      </c>
      <c r="O14592" t="s">
        <v>44452</v>
      </c>
    </row>
    <row r="14593" spans="1:20" x14ac:dyDescent="0.25">
      <c r="A14593" t="str">
        <f>"3050251"</f>
        <v>3050251</v>
      </c>
      <c r="B14593" t="s">
        <v>44456</v>
      </c>
      <c r="C14593" t="str">
        <f>"12900620"</f>
        <v>12900620</v>
      </c>
      <c r="D14593" t="s">
        <v>44457</v>
      </c>
      <c r="F14593" t="str">
        <f>"C/O JERRY SWICEGOOD"</f>
        <v>C/O JERRY SWICEGOOD</v>
      </c>
      <c r="G14593" t="s">
        <v>44458</v>
      </c>
      <c r="I14593" t="s">
        <v>29</v>
      </c>
      <c r="J14593" t="s">
        <v>30</v>
      </c>
      <c r="K14593" t="s">
        <v>31</v>
      </c>
      <c r="M14593" t="s">
        <v>33845</v>
      </c>
      <c r="N14593" t="str">
        <f>"12/17/2020 9:49:00 AM"</f>
        <v>12/17/2020 9:49:00 AM</v>
      </c>
      <c r="O14593" t="s">
        <v>44457</v>
      </c>
    </row>
    <row r="14594" spans="1:20" x14ac:dyDescent="0.25">
      <c r="A14594" t="str">
        <f>"3050113"</f>
        <v>3050113</v>
      </c>
      <c r="B14594" t="s">
        <v>44459</v>
      </c>
      <c r="C14594" t="str">
        <f>"12900620"</f>
        <v>12900620</v>
      </c>
      <c r="D14594" t="s">
        <v>44457</v>
      </c>
      <c r="F14594" t="str">
        <f>"C/O JERRY SWICEGOOD"</f>
        <v>C/O JERRY SWICEGOOD</v>
      </c>
      <c r="G14594" t="s">
        <v>44458</v>
      </c>
      <c r="I14594" t="s">
        <v>29</v>
      </c>
      <c r="J14594" t="s">
        <v>30</v>
      </c>
      <c r="K14594" t="s">
        <v>31</v>
      </c>
      <c r="M14594" t="s">
        <v>33845</v>
      </c>
      <c r="N14594" t="str">
        <f>"12/17/2020 9:49:00 AM"</f>
        <v>12/17/2020 9:49:00 AM</v>
      </c>
      <c r="O14594" t="s">
        <v>44457</v>
      </c>
    </row>
    <row r="14595" spans="1:20" x14ac:dyDescent="0.25">
      <c r="A14595" t="str">
        <f>"3049526"</f>
        <v>3049526</v>
      </c>
      <c r="B14595" t="s">
        <v>44460</v>
      </c>
      <c r="C14595" t="str">
        <f>"12900620"</f>
        <v>12900620</v>
      </c>
      <c r="D14595" t="s">
        <v>44457</v>
      </c>
      <c r="F14595" t="str">
        <f>"C/O JERRY SWICEGOOD"</f>
        <v>C/O JERRY SWICEGOOD</v>
      </c>
      <c r="G14595" t="s">
        <v>44458</v>
      </c>
      <c r="I14595" t="s">
        <v>29</v>
      </c>
      <c r="J14595" t="s">
        <v>30</v>
      </c>
      <c r="K14595" t="s">
        <v>31</v>
      </c>
      <c r="M14595" t="s">
        <v>33845</v>
      </c>
      <c r="N14595" t="str">
        <f>"12/17/2020 9:49:00 AM"</f>
        <v>12/17/2020 9:49:00 AM</v>
      </c>
      <c r="O14595" t="s">
        <v>44457</v>
      </c>
    </row>
    <row r="14596" spans="1:20" x14ac:dyDescent="0.25">
      <c r="A14596" t="str">
        <f>"3056648"</f>
        <v>3056648</v>
      </c>
      <c r="B14596" t="s">
        <v>44461</v>
      </c>
      <c r="C14596" t="str">
        <f>"82528761"</f>
        <v>82528761</v>
      </c>
      <c r="D14596" t="s">
        <v>44462</v>
      </c>
      <c r="E14596" t="s">
        <v>44463</v>
      </c>
      <c r="F14596" t="s">
        <v>44464</v>
      </c>
      <c r="I14596" t="s">
        <v>29</v>
      </c>
      <c r="J14596" t="s">
        <v>30</v>
      </c>
      <c r="K14596" t="s">
        <v>31</v>
      </c>
      <c r="M14596" t="s">
        <v>41454</v>
      </c>
      <c r="N14596" t="str">
        <f>"12/17/2020 3:21:00 PM"</f>
        <v>12/17/2020 3:21:00 PM</v>
      </c>
      <c r="O14596" t="s">
        <v>44462</v>
      </c>
      <c r="T14596" t="s">
        <v>44463</v>
      </c>
    </row>
    <row r="14597" spans="1:20" x14ac:dyDescent="0.25">
      <c r="A14597" t="str">
        <f>"3060168"</f>
        <v>3060168</v>
      </c>
      <c r="B14597" t="s">
        <v>44465</v>
      </c>
      <c r="C14597" t="str">
        <f>"8314813"</f>
        <v>8314813</v>
      </c>
      <c r="D14597" t="s">
        <v>44466</v>
      </c>
      <c r="E14597" t="s">
        <v>44467</v>
      </c>
      <c r="F14597" t="s">
        <v>44468</v>
      </c>
      <c r="I14597" t="s">
        <v>24359</v>
      </c>
      <c r="J14597" t="s">
        <v>30</v>
      </c>
      <c r="K14597" t="str">
        <f>"27006"</f>
        <v>27006</v>
      </c>
      <c r="M14597" t="s">
        <v>17861</v>
      </c>
      <c r="N14597" t="str">
        <f>"12/18/2020 9:27:00 AM"</f>
        <v>12/18/2020 9:27:00 AM</v>
      </c>
      <c r="O14597" t="s">
        <v>44466</v>
      </c>
      <c r="T14597" t="s">
        <v>44467</v>
      </c>
    </row>
    <row r="14598" spans="1:20" x14ac:dyDescent="0.25">
      <c r="A14598" t="str">
        <f>"3062400"</f>
        <v>3062400</v>
      </c>
      <c r="B14598" t="s">
        <v>44469</v>
      </c>
      <c r="C14598" t="str">
        <f>"8314766"</f>
        <v>8314766</v>
      </c>
      <c r="D14598" t="s">
        <v>44470</v>
      </c>
      <c r="F14598" t="s">
        <v>44471</v>
      </c>
      <c r="I14598" t="s">
        <v>17921</v>
      </c>
      <c r="J14598" t="s">
        <v>30</v>
      </c>
      <c r="K14598" t="str">
        <f>"27028"</f>
        <v>27028</v>
      </c>
      <c r="M14598" t="s">
        <v>17861</v>
      </c>
      <c r="N14598" t="str">
        <f>"12/7/2020 11:57:00 AM"</f>
        <v>12/7/2020 11:57:00 AM</v>
      </c>
      <c r="O14598" t="s">
        <v>44470</v>
      </c>
    </row>
    <row r="14599" spans="1:20" x14ac:dyDescent="0.25">
      <c r="A14599" t="str">
        <f>"3058775"</f>
        <v>3058775</v>
      </c>
      <c r="B14599" t="s">
        <v>44472</v>
      </c>
      <c r="C14599" t="str">
        <f>"8314767"</f>
        <v>8314767</v>
      </c>
      <c r="D14599" t="s">
        <v>44473</v>
      </c>
      <c r="E14599" t="s">
        <v>44474</v>
      </c>
      <c r="F14599" t="s">
        <v>44475</v>
      </c>
      <c r="I14599" t="s">
        <v>29</v>
      </c>
      <c r="J14599" t="s">
        <v>30</v>
      </c>
      <c r="K14599" t="s">
        <v>11644</v>
      </c>
      <c r="M14599" t="s">
        <v>17861</v>
      </c>
      <c r="N14599" t="str">
        <f>"12/7/2020 12:49:00 PM"</f>
        <v>12/7/2020 12:49:00 PM</v>
      </c>
      <c r="O14599" t="s">
        <v>44473</v>
      </c>
      <c r="T14599" t="s">
        <v>44474</v>
      </c>
    </row>
    <row r="14600" spans="1:20" x14ac:dyDescent="0.25">
      <c r="A14600" t="str">
        <f>"3039745"</f>
        <v>3039745</v>
      </c>
      <c r="B14600" t="s">
        <v>44476</v>
      </c>
      <c r="C14600" t="str">
        <f>"8305678"</f>
        <v>8305678</v>
      </c>
      <c r="D14600" t="s">
        <v>44477</v>
      </c>
      <c r="F14600" t="s">
        <v>44478</v>
      </c>
      <c r="I14600" t="s">
        <v>29</v>
      </c>
      <c r="J14600" t="s">
        <v>30</v>
      </c>
      <c r="K14600" t="str">
        <f>"27028"</f>
        <v>27028</v>
      </c>
      <c r="M14600" t="s">
        <v>25733</v>
      </c>
      <c r="N14600" t="str">
        <f>"12/7/2020 1:10:00 PM"</f>
        <v>12/7/2020 1:10:00 PM</v>
      </c>
      <c r="O14600" t="s">
        <v>44477</v>
      </c>
    </row>
    <row r="14601" spans="1:20" x14ac:dyDescent="0.25">
      <c r="A14601" t="str">
        <f>"3057434"</f>
        <v>3057434</v>
      </c>
      <c r="B14601" t="s">
        <v>44479</v>
      </c>
      <c r="C14601" t="str">
        <f>"8314822"</f>
        <v>8314822</v>
      </c>
      <c r="D14601" t="s">
        <v>44480</v>
      </c>
      <c r="F14601" t="s">
        <v>44481</v>
      </c>
      <c r="I14601" t="s">
        <v>14865</v>
      </c>
      <c r="J14601" t="s">
        <v>30</v>
      </c>
      <c r="K14601" t="s">
        <v>44482</v>
      </c>
      <c r="M14601" t="s">
        <v>17861</v>
      </c>
      <c r="N14601" t="str">
        <f>"12/22/2020 4:09:00 PM"</f>
        <v>12/22/2020 4:09:00 PM</v>
      </c>
      <c r="O14601" t="s">
        <v>44480</v>
      </c>
    </row>
    <row r="14602" spans="1:20" x14ac:dyDescent="0.25">
      <c r="A14602" t="str">
        <f>"3037253"</f>
        <v>3037253</v>
      </c>
      <c r="B14602" t="s">
        <v>44483</v>
      </c>
      <c r="C14602" t="str">
        <f>"82526483"</f>
        <v>82526483</v>
      </c>
      <c r="D14602" t="s">
        <v>44484</v>
      </c>
      <c r="F14602" t="s">
        <v>44485</v>
      </c>
      <c r="I14602" t="s">
        <v>184</v>
      </c>
      <c r="J14602" t="s">
        <v>30</v>
      </c>
      <c r="K14602" t="s">
        <v>2066</v>
      </c>
      <c r="M14602" t="s">
        <v>17861</v>
      </c>
      <c r="N14602" t="str">
        <f>"12/29/2020 9:56:00 AM"</f>
        <v>12/29/2020 9:56:00 AM</v>
      </c>
      <c r="O14602" t="s">
        <v>44484</v>
      </c>
    </row>
    <row r="14603" spans="1:20" x14ac:dyDescent="0.25">
      <c r="A14603" t="str">
        <f>"3055330"</f>
        <v>3055330</v>
      </c>
      <c r="B14603" t="s">
        <v>44486</v>
      </c>
      <c r="C14603" t="str">
        <f>"8314853"</f>
        <v>8314853</v>
      </c>
      <c r="D14603" t="s">
        <v>44487</v>
      </c>
      <c r="F14603" t="s">
        <v>44488</v>
      </c>
      <c r="I14603" t="s">
        <v>29</v>
      </c>
      <c r="J14603" t="s">
        <v>30</v>
      </c>
      <c r="K14603" t="s">
        <v>39156</v>
      </c>
      <c r="M14603" t="s">
        <v>17861</v>
      </c>
      <c r="N14603" t="str">
        <f>"12/29/2020 11:20:00 AM"</f>
        <v>12/29/2020 11:20:00 AM</v>
      </c>
      <c r="O14603" t="s">
        <v>44487</v>
      </c>
    </row>
    <row r="14604" spans="1:20" x14ac:dyDescent="0.25">
      <c r="A14604" t="str">
        <f>"3061847"</f>
        <v>3061847</v>
      </c>
      <c r="B14604" t="s">
        <v>44489</v>
      </c>
      <c r="C14604" t="str">
        <f>"8314855"</f>
        <v>8314855</v>
      </c>
      <c r="D14604" t="s">
        <v>44490</v>
      </c>
      <c r="F14604" t="s">
        <v>44491</v>
      </c>
      <c r="I14604" t="s">
        <v>29</v>
      </c>
      <c r="J14604" t="s">
        <v>30</v>
      </c>
      <c r="K14604" t="str">
        <f>"27028"</f>
        <v>27028</v>
      </c>
      <c r="M14604" t="s">
        <v>17861</v>
      </c>
      <c r="N14604" t="str">
        <f>"12/29/2020 11:29:00 AM"</f>
        <v>12/29/2020 11:29:00 AM</v>
      </c>
      <c r="O14604" t="s">
        <v>44490</v>
      </c>
    </row>
    <row r="14605" spans="1:20" x14ac:dyDescent="0.25">
      <c r="A14605" t="str">
        <f>"3043865"</f>
        <v>3043865</v>
      </c>
      <c r="B14605" t="s">
        <v>44492</v>
      </c>
      <c r="C14605" t="str">
        <f>"8314856"</f>
        <v>8314856</v>
      </c>
      <c r="D14605" t="s">
        <v>44493</v>
      </c>
      <c r="F14605" t="s">
        <v>44494</v>
      </c>
      <c r="I14605" t="s">
        <v>184</v>
      </c>
      <c r="J14605" t="s">
        <v>30</v>
      </c>
      <c r="K14605" t="s">
        <v>19112</v>
      </c>
      <c r="M14605" t="s">
        <v>17861</v>
      </c>
      <c r="N14605" t="str">
        <f>"12/29/2020 11:35:00 AM"</f>
        <v>12/29/2020 11:35:00 AM</v>
      </c>
      <c r="O14605" t="s">
        <v>44493</v>
      </c>
    </row>
    <row r="14606" spans="1:20" x14ac:dyDescent="0.25">
      <c r="A14606" t="str">
        <f>"3049153"</f>
        <v>3049153</v>
      </c>
      <c r="B14606" t="s">
        <v>44495</v>
      </c>
      <c r="C14606" t="str">
        <f>"8314857"</f>
        <v>8314857</v>
      </c>
      <c r="D14606" t="s">
        <v>44496</v>
      </c>
      <c r="F14606" t="s">
        <v>44497</v>
      </c>
      <c r="I14606" t="s">
        <v>29</v>
      </c>
      <c r="J14606" t="s">
        <v>30</v>
      </c>
      <c r="K14606" t="s">
        <v>44498</v>
      </c>
      <c r="M14606" t="s">
        <v>17861</v>
      </c>
      <c r="N14606" t="str">
        <f>"12/29/2020 1:42:00 PM"</f>
        <v>12/29/2020 1:42:00 PM</v>
      </c>
      <c r="O14606" t="s">
        <v>44496</v>
      </c>
    </row>
    <row r="14607" spans="1:20" x14ac:dyDescent="0.25">
      <c r="A14607" t="str">
        <f>"3060309"</f>
        <v>3060309</v>
      </c>
      <c r="B14607" t="s">
        <v>44499</v>
      </c>
      <c r="C14607" t="str">
        <f>"8314859"</f>
        <v>8314859</v>
      </c>
      <c r="D14607" t="s">
        <v>44500</v>
      </c>
      <c r="E14607" t="s">
        <v>44501</v>
      </c>
      <c r="F14607" t="s">
        <v>44502</v>
      </c>
      <c r="I14607" t="s">
        <v>29</v>
      </c>
      <c r="J14607" t="s">
        <v>30</v>
      </c>
      <c r="K14607" t="s">
        <v>19061</v>
      </c>
      <c r="M14607" t="s">
        <v>17861</v>
      </c>
      <c r="N14607" t="str">
        <f>"12/29/2020 1:59:00 PM"</f>
        <v>12/29/2020 1:59:00 PM</v>
      </c>
      <c r="O14607" t="s">
        <v>44500</v>
      </c>
      <c r="T14607" t="s">
        <v>44501</v>
      </c>
    </row>
    <row r="14608" spans="1:20" x14ac:dyDescent="0.25">
      <c r="A14608" t="str">
        <f>"3047657"</f>
        <v>3047657</v>
      </c>
      <c r="B14608" t="s">
        <v>44503</v>
      </c>
      <c r="C14608" t="str">
        <f>"8314822"</f>
        <v>8314822</v>
      </c>
      <c r="D14608" t="s">
        <v>44480</v>
      </c>
      <c r="F14608" t="s">
        <v>44481</v>
      </c>
      <c r="I14608" t="s">
        <v>14865</v>
      </c>
      <c r="J14608" t="s">
        <v>30</v>
      </c>
      <c r="K14608" t="s">
        <v>44482</v>
      </c>
      <c r="M14608" t="s">
        <v>17861</v>
      </c>
      <c r="N14608" t="str">
        <f>"12/22/2020 4:09:00 PM"</f>
        <v>12/22/2020 4:09:00 PM</v>
      </c>
      <c r="O14608" t="s">
        <v>44480</v>
      </c>
    </row>
    <row r="14609" spans="1:20" x14ac:dyDescent="0.25">
      <c r="A14609" t="str">
        <f>"3052500"</f>
        <v>3052500</v>
      </c>
      <c r="B14609" t="s">
        <v>44504</v>
      </c>
      <c r="C14609" t="str">
        <f>"8314823"</f>
        <v>8314823</v>
      </c>
      <c r="D14609" t="s">
        <v>44505</v>
      </c>
      <c r="E14609" t="s">
        <v>44506</v>
      </c>
      <c r="F14609" t="s">
        <v>44507</v>
      </c>
      <c r="I14609" t="s">
        <v>29</v>
      </c>
      <c r="J14609" t="s">
        <v>30</v>
      </c>
      <c r="K14609" t="s">
        <v>44508</v>
      </c>
      <c r="M14609" t="s">
        <v>17861</v>
      </c>
      <c r="N14609" t="str">
        <f>"12/22/2020 4:28:00 PM"</f>
        <v>12/22/2020 4:28:00 PM</v>
      </c>
      <c r="O14609" t="s">
        <v>44505</v>
      </c>
      <c r="T14609" t="s">
        <v>44506</v>
      </c>
    </row>
    <row r="14610" spans="1:20" x14ac:dyDescent="0.25">
      <c r="A14610" t="str">
        <f>"3067936"</f>
        <v>3067936</v>
      </c>
      <c r="B14610" t="s">
        <v>44509</v>
      </c>
      <c r="C14610" t="str">
        <f>"82527393"</f>
        <v>82527393</v>
      </c>
      <c r="D14610" t="s">
        <v>44510</v>
      </c>
      <c r="E14610" t="s">
        <v>44511</v>
      </c>
      <c r="F14610" t="s">
        <v>44512</v>
      </c>
      <c r="I14610" t="s">
        <v>29</v>
      </c>
      <c r="J14610" t="s">
        <v>30</v>
      </c>
      <c r="K14610" t="s">
        <v>31</v>
      </c>
      <c r="M14610" t="s">
        <v>25733</v>
      </c>
      <c r="N14610" t="str">
        <f>"12/18/2020 11:21:00 AM"</f>
        <v>12/18/2020 11:21:00 AM</v>
      </c>
      <c r="O14610" t="s">
        <v>44510</v>
      </c>
      <c r="T14610" t="s">
        <v>44511</v>
      </c>
    </row>
    <row r="14611" spans="1:20" x14ac:dyDescent="0.25">
      <c r="A14611" t="str">
        <f>"3053569"</f>
        <v>3053569</v>
      </c>
      <c r="B14611" t="s">
        <v>44513</v>
      </c>
      <c r="C14611" t="str">
        <f>"63381950"</f>
        <v>63381950</v>
      </c>
      <c r="D14611" t="s">
        <v>44514</v>
      </c>
      <c r="F14611" t="s">
        <v>44515</v>
      </c>
      <c r="I14611" t="s">
        <v>29</v>
      </c>
      <c r="J14611" t="s">
        <v>30</v>
      </c>
      <c r="K14611" t="s">
        <v>31</v>
      </c>
      <c r="M14611" t="s">
        <v>25733</v>
      </c>
      <c r="N14611" t="str">
        <f>"12/29/2020 4:14:00 PM"</f>
        <v>12/29/2020 4:14:00 PM</v>
      </c>
      <c r="O14611" t="s">
        <v>44514</v>
      </c>
    </row>
    <row r="14612" spans="1:20" x14ac:dyDescent="0.25">
      <c r="A14612" t="str">
        <f>"3060314"</f>
        <v>3060314</v>
      </c>
      <c r="B14612" t="s">
        <v>44516</v>
      </c>
      <c r="C14612" t="str">
        <f>"8314862"</f>
        <v>8314862</v>
      </c>
      <c r="D14612" t="s">
        <v>44517</v>
      </c>
      <c r="F14612" t="s">
        <v>44518</v>
      </c>
      <c r="I14612" t="s">
        <v>29</v>
      </c>
      <c r="J14612" t="s">
        <v>30</v>
      </c>
      <c r="K14612" t="s">
        <v>44519</v>
      </c>
      <c r="M14612" t="s">
        <v>17861</v>
      </c>
      <c r="N14612" t="str">
        <f>"12/30/2020 8:38:00 AM"</f>
        <v>12/30/2020 8:38:00 AM</v>
      </c>
      <c r="O14612" t="s">
        <v>44517</v>
      </c>
    </row>
    <row r="14613" spans="1:20" x14ac:dyDescent="0.25">
      <c r="A14613" t="str">
        <f>"3061129"</f>
        <v>3061129</v>
      </c>
      <c r="B14613" t="s">
        <v>44520</v>
      </c>
      <c r="C14613" t="str">
        <f>"8314863"</f>
        <v>8314863</v>
      </c>
      <c r="D14613" t="s">
        <v>44521</v>
      </c>
      <c r="F14613" t="s">
        <v>44522</v>
      </c>
      <c r="I14613" t="s">
        <v>2071</v>
      </c>
      <c r="J14613" t="s">
        <v>30</v>
      </c>
      <c r="K14613" t="s">
        <v>44523</v>
      </c>
      <c r="M14613" t="s">
        <v>17861</v>
      </c>
      <c r="N14613" t="str">
        <f>"12/30/2020 8:44:00 AM"</f>
        <v>12/30/2020 8:44:00 AM</v>
      </c>
      <c r="O14613" t="s">
        <v>44521</v>
      </c>
    </row>
    <row r="14614" spans="1:20" x14ac:dyDescent="0.25">
      <c r="A14614" t="str">
        <f>"3061366"</f>
        <v>3061366</v>
      </c>
      <c r="B14614" t="s">
        <v>44524</v>
      </c>
      <c r="C14614" t="str">
        <f>"8314864"</f>
        <v>8314864</v>
      </c>
      <c r="D14614" t="s">
        <v>44525</v>
      </c>
      <c r="E14614" t="s">
        <v>44526</v>
      </c>
      <c r="F14614" t="s">
        <v>44527</v>
      </c>
      <c r="I14614" t="s">
        <v>184</v>
      </c>
      <c r="J14614" t="s">
        <v>30</v>
      </c>
      <c r="K14614" t="s">
        <v>5339</v>
      </c>
      <c r="M14614" t="s">
        <v>17861</v>
      </c>
      <c r="N14614" t="str">
        <f>"12/30/2020 8:51:00 AM"</f>
        <v>12/30/2020 8:51:00 AM</v>
      </c>
      <c r="O14614" t="s">
        <v>44525</v>
      </c>
      <c r="T14614" t="s">
        <v>44526</v>
      </c>
    </row>
    <row r="14615" spans="1:20" x14ac:dyDescent="0.25">
      <c r="A14615" t="str">
        <f>"3061317"</f>
        <v>3061317</v>
      </c>
      <c r="B14615" t="s">
        <v>44528</v>
      </c>
      <c r="C14615" t="str">
        <f>"8314865"</f>
        <v>8314865</v>
      </c>
      <c r="D14615" t="s">
        <v>44529</v>
      </c>
      <c r="F14615" t="s">
        <v>44530</v>
      </c>
      <c r="I14615" t="s">
        <v>2071</v>
      </c>
      <c r="J14615" t="s">
        <v>30</v>
      </c>
      <c r="K14615" t="s">
        <v>36243</v>
      </c>
      <c r="M14615" t="s">
        <v>17861</v>
      </c>
      <c r="N14615" t="str">
        <f>"12/30/2020 8:55:00 AM"</f>
        <v>12/30/2020 8:55:00 AM</v>
      </c>
      <c r="O14615" t="s">
        <v>44529</v>
      </c>
    </row>
    <row r="14616" spans="1:20" x14ac:dyDescent="0.25">
      <c r="A14616" t="str">
        <f>"3052856"</f>
        <v>3052856</v>
      </c>
      <c r="B14616" t="s">
        <v>44531</v>
      </c>
      <c r="C14616" t="str">
        <f>"8314868"</f>
        <v>8314868</v>
      </c>
      <c r="D14616" t="s">
        <v>44532</v>
      </c>
      <c r="E14616" t="s">
        <v>44533</v>
      </c>
      <c r="F14616" t="s">
        <v>44534</v>
      </c>
      <c r="I14616" t="s">
        <v>29</v>
      </c>
      <c r="J14616" t="s">
        <v>30</v>
      </c>
      <c r="K14616" t="s">
        <v>23689</v>
      </c>
      <c r="M14616" t="s">
        <v>17861</v>
      </c>
      <c r="N14616" t="str">
        <f>"12/30/2020 9:42:00 AM"</f>
        <v>12/30/2020 9:42:00 AM</v>
      </c>
      <c r="O14616" t="s">
        <v>44532</v>
      </c>
      <c r="T14616" t="s">
        <v>44533</v>
      </c>
    </row>
    <row r="14617" spans="1:20" x14ac:dyDescent="0.25">
      <c r="A14617" t="str">
        <f>"3052303"</f>
        <v>3052303</v>
      </c>
      <c r="B14617" t="s">
        <v>44535</v>
      </c>
      <c r="C14617" t="str">
        <f>"8314868"</f>
        <v>8314868</v>
      </c>
      <c r="D14617" t="s">
        <v>44532</v>
      </c>
      <c r="E14617" t="s">
        <v>44533</v>
      </c>
      <c r="F14617" t="s">
        <v>44534</v>
      </c>
      <c r="I14617" t="s">
        <v>29</v>
      </c>
      <c r="J14617" t="s">
        <v>30</v>
      </c>
      <c r="K14617" t="s">
        <v>23689</v>
      </c>
      <c r="M14617" t="s">
        <v>17861</v>
      </c>
      <c r="N14617" t="str">
        <f>"12/30/2020 9:42:00 AM"</f>
        <v>12/30/2020 9:42:00 AM</v>
      </c>
      <c r="O14617" t="s">
        <v>44532</v>
      </c>
      <c r="T14617" t="s">
        <v>44533</v>
      </c>
    </row>
    <row r="14618" spans="1:20" x14ac:dyDescent="0.25">
      <c r="A14618" t="str">
        <f>"3039396"</f>
        <v>3039396</v>
      </c>
      <c r="B14618" t="s">
        <v>44536</v>
      </c>
      <c r="C14618" t="str">
        <f>"8314871"</f>
        <v>8314871</v>
      </c>
      <c r="D14618" t="s">
        <v>44537</v>
      </c>
      <c r="F14618" t="s">
        <v>44538</v>
      </c>
      <c r="I14618" t="s">
        <v>471</v>
      </c>
      <c r="J14618" t="s">
        <v>30</v>
      </c>
      <c r="K14618" t="s">
        <v>44539</v>
      </c>
      <c r="M14618" t="s">
        <v>17861</v>
      </c>
      <c r="N14618" t="str">
        <f>"12/30/2020 10:54:00 AM"</f>
        <v>12/30/2020 10:54:00 AM</v>
      </c>
      <c r="O14618" t="s">
        <v>44537</v>
      </c>
    </row>
    <row r="14619" spans="1:20" x14ac:dyDescent="0.25">
      <c r="A14619" t="str">
        <f>"3054431"</f>
        <v>3054431</v>
      </c>
      <c r="B14619" t="s">
        <v>44540</v>
      </c>
      <c r="C14619" t="str">
        <f>"8308461"</f>
        <v>8308461</v>
      </c>
      <c r="D14619" t="s">
        <v>44541</v>
      </c>
      <c r="F14619" t="s">
        <v>44542</v>
      </c>
      <c r="I14619" t="s">
        <v>17921</v>
      </c>
      <c r="J14619" t="s">
        <v>30</v>
      </c>
      <c r="K14619" t="str">
        <f>"27028"</f>
        <v>27028</v>
      </c>
      <c r="M14619" t="s">
        <v>33432</v>
      </c>
      <c r="N14619" t="str">
        <f>"12/30/2020 11:10:00 AM"</f>
        <v>12/30/2020 11:10:00 AM</v>
      </c>
      <c r="O14619" t="s">
        <v>44541</v>
      </c>
    </row>
    <row r="14620" spans="1:20" x14ac:dyDescent="0.25">
      <c r="A14620" t="str">
        <f>"3037657"</f>
        <v>3037657</v>
      </c>
      <c r="B14620" t="s">
        <v>44543</v>
      </c>
      <c r="C14620" t="str">
        <f>"8314872"</f>
        <v>8314872</v>
      </c>
      <c r="D14620" t="s">
        <v>44544</v>
      </c>
      <c r="F14620" t="s">
        <v>44545</v>
      </c>
      <c r="I14620" t="s">
        <v>29</v>
      </c>
      <c r="J14620" t="s">
        <v>30</v>
      </c>
      <c r="K14620" t="s">
        <v>31489</v>
      </c>
      <c r="M14620" t="s">
        <v>17861</v>
      </c>
      <c r="N14620" t="str">
        <f>"12/30/2020 11:31:00 AM"</f>
        <v>12/30/2020 11:31:00 AM</v>
      </c>
      <c r="O14620" t="s">
        <v>44544</v>
      </c>
    </row>
    <row r="14621" spans="1:20" x14ac:dyDescent="0.25">
      <c r="A14621" t="str">
        <f>"3044209"</f>
        <v>3044209</v>
      </c>
      <c r="B14621" t="s">
        <v>44546</v>
      </c>
      <c r="C14621" t="str">
        <f>"8301100"</f>
        <v>8301100</v>
      </c>
      <c r="D14621" t="s">
        <v>44547</v>
      </c>
      <c r="E14621" t="s">
        <v>44548</v>
      </c>
      <c r="F14621" t="s">
        <v>44549</v>
      </c>
      <c r="G14621" t="s">
        <v>44550</v>
      </c>
      <c r="I14621" t="s">
        <v>471</v>
      </c>
      <c r="J14621" t="s">
        <v>30</v>
      </c>
      <c r="K14621" t="str">
        <f>"27103"</f>
        <v>27103</v>
      </c>
      <c r="M14621" t="s">
        <v>36935</v>
      </c>
      <c r="N14621" t="str">
        <f>"12/18/2020 12:45:00 PM"</f>
        <v>12/18/2020 12:45:00 PM</v>
      </c>
      <c r="O14621" t="s">
        <v>44547</v>
      </c>
      <c r="T14621" t="s">
        <v>44548</v>
      </c>
    </row>
    <row r="14622" spans="1:20" x14ac:dyDescent="0.25">
      <c r="A14622" t="str">
        <f>"3060915"</f>
        <v>3060915</v>
      </c>
      <c r="B14622" t="s">
        <v>44551</v>
      </c>
      <c r="C14622" t="str">
        <f>"8313593"</f>
        <v>8313593</v>
      </c>
      <c r="D14622" t="s">
        <v>44552</v>
      </c>
      <c r="E14622" t="s">
        <v>44553</v>
      </c>
      <c r="F14622" t="s">
        <v>44554</v>
      </c>
      <c r="I14622" t="s">
        <v>2071</v>
      </c>
      <c r="J14622" t="s">
        <v>30</v>
      </c>
      <c r="K14622" t="s">
        <v>37104</v>
      </c>
      <c r="M14622" t="s">
        <v>25625</v>
      </c>
      <c r="N14622" t="str">
        <f>"12/21/2020 10:47:00 AM"</f>
        <v>12/21/2020 10:47:00 AM</v>
      </c>
      <c r="O14622" t="s">
        <v>44552</v>
      </c>
      <c r="T14622" t="s">
        <v>44553</v>
      </c>
    </row>
    <row r="14623" spans="1:20" x14ac:dyDescent="0.25">
      <c r="A14623" t="str">
        <f>"3039568"</f>
        <v>3039568</v>
      </c>
      <c r="B14623" t="s">
        <v>44555</v>
      </c>
      <c r="C14623" t="str">
        <f>"53845500"</f>
        <v>53845500</v>
      </c>
      <c r="D14623" t="s">
        <v>44556</v>
      </c>
      <c r="E14623" t="s">
        <v>44557</v>
      </c>
      <c r="F14623" t="s">
        <v>44558</v>
      </c>
      <c r="I14623" t="s">
        <v>184</v>
      </c>
      <c r="J14623" t="s">
        <v>30</v>
      </c>
      <c r="K14623" t="s">
        <v>185</v>
      </c>
      <c r="M14623" t="s">
        <v>25733</v>
      </c>
      <c r="N14623" t="str">
        <f>"12/31/2020 8:43:00 AM"</f>
        <v>12/31/2020 8:43:00 AM</v>
      </c>
      <c r="O14623" t="s">
        <v>44556</v>
      </c>
      <c r="T14623" t="s">
        <v>44557</v>
      </c>
    </row>
    <row r="14624" spans="1:20" x14ac:dyDescent="0.25">
      <c r="A14624" t="str">
        <f>"3039914"</f>
        <v>3039914</v>
      </c>
      <c r="B14624" t="s">
        <v>44559</v>
      </c>
      <c r="C14624" t="str">
        <f>"53845500"</f>
        <v>53845500</v>
      </c>
      <c r="D14624" t="s">
        <v>44556</v>
      </c>
      <c r="E14624" t="s">
        <v>44557</v>
      </c>
      <c r="F14624" t="s">
        <v>44558</v>
      </c>
      <c r="I14624" t="s">
        <v>184</v>
      </c>
      <c r="J14624" t="s">
        <v>30</v>
      </c>
      <c r="K14624" t="s">
        <v>185</v>
      </c>
      <c r="M14624" t="s">
        <v>25733</v>
      </c>
      <c r="N14624" t="str">
        <f>"12/31/2020 8:43:00 AM"</f>
        <v>12/31/2020 8:43:00 AM</v>
      </c>
      <c r="O14624" t="s">
        <v>44556</v>
      </c>
      <c r="T14624" t="s">
        <v>44557</v>
      </c>
    </row>
    <row r="14625" spans="1:20" x14ac:dyDescent="0.25">
      <c r="A14625" t="str">
        <f>"3038527"</f>
        <v>3038527</v>
      </c>
      <c r="B14625" t="s">
        <v>44560</v>
      </c>
      <c r="C14625" t="str">
        <f>"8304014"</f>
        <v>8304014</v>
      </c>
      <c r="D14625" t="s">
        <v>44561</v>
      </c>
      <c r="F14625" t="s">
        <v>44562</v>
      </c>
      <c r="I14625" t="s">
        <v>29</v>
      </c>
      <c r="J14625" t="s">
        <v>30</v>
      </c>
      <c r="K14625" t="s">
        <v>44563</v>
      </c>
      <c r="M14625" t="s">
        <v>33432</v>
      </c>
      <c r="N14625" t="str">
        <f>"12/31/2020 9:15:00 AM"</f>
        <v>12/31/2020 9:15:00 AM</v>
      </c>
      <c r="O14625" t="s">
        <v>44561</v>
      </c>
    </row>
    <row r="14626" spans="1:20" x14ac:dyDescent="0.25">
      <c r="A14626" t="str">
        <f>"3069501"</f>
        <v>3069501</v>
      </c>
      <c r="B14626" t="s">
        <v>44564</v>
      </c>
      <c r="C14626" t="str">
        <f>"8314880"</f>
        <v>8314880</v>
      </c>
      <c r="D14626" t="str">
        <f>"WEBB JAMES W/VERNA S"</f>
        <v>WEBB JAMES W/VERNA S</v>
      </c>
      <c r="E14626" t="str">
        <f>"ONEAL WILLIAM F/RUBY S"</f>
        <v>ONEAL WILLIAM F/RUBY S</v>
      </c>
      <c r="F14626" t="s">
        <v>14585</v>
      </c>
      <c r="I14626" t="s">
        <v>17921</v>
      </c>
      <c r="J14626" t="s">
        <v>30</v>
      </c>
      <c r="K14626" t="str">
        <f>"27028"</f>
        <v>27028</v>
      </c>
      <c r="M14626" t="s">
        <v>17861</v>
      </c>
      <c r="N14626" t="str">
        <f>"12/31/2020 10:51:00 AM"</f>
        <v>12/31/2020 10:51:00 AM</v>
      </c>
      <c r="O14626" t="str">
        <f>"WEBB JAMES W/VERNA S"</f>
        <v>WEBB JAMES W/VERNA S</v>
      </c>
      <c r="T14626" t="str">
        <f>"ONEAL WILLIAM F/RUBY S"</f>
        <v>ONEAL WILLIAM F/RUBY S</v>
      </c>
    </row>
    <row r="14627" spans="1:20" x14ac:dyDescent="0.25">
      <c r="A14627" t="str">
        <f>"3037976"</f>
        <v>3037976</v>
      </c>
      <c r="B14627" t="s">
        <v>44565</v>
      </c>
      <c r="C14627" t="str">
        <f>"8314815"</f>
        <v>8314815</v>
      </c>
      <c r="D14627" t="s">
        <v>44566</v>
      </c>
      <c r="E14627" t="s">
        <v>44567</v>
      </c>
      <c r="F14627" t="s">
        <v>44568</v>
      </c>
      <c r="I14627" t="s">
        <v>29</v>
      </c>
      <c r="J14627" t="s">
        <v>30</v>
      </c>
      <c r="K14627" t="s">
        <v>44569</v>
      </c>
      <c r="M14627" t="s">
        <v>17861</v>
      </c>
      <c r="N14627" t="str">
        <f>"12/21/2020 1:18:00 PM"</f>
        <v>12/21/2020 1:18:00 PM</v>
      </c>
      <c r="O14627" t="s">
        <v>44566</v>
      </c>
      <c r="T14627" t="s">
        <v>44567</v>
      </c>
    </row>
    <row r="14628" spans="1:20" x14ac:dyDescent="0.25">
      <c r="A14628" t="str">
        <f>"3038282"</f>
        <v>3038282</v>
      </c>
      <c r="B14628" t="s">
        <v>44570</v>
      </c>
      <c r="C14628" t="str">
        <f>"8314815"</f>
        <v>8314815</v>
      </c>
      <c r="D14628" t="s">
        <v>44566</v>
      </c>
      <c r="E14628" t="s">
        <v>44567</v>
      </c>
      <c r="F14628" t="s">
        <v>44568</v>
      </c>
      <c r="I14628" t="s">
        <v>29</v>
      </c>
      <c r="J14628" t="s">
        <v>30</v>
      </c>
      <c r="K14628" t="s">
        <v>44569</v>
      </c>
      <c r="M14628" t="s">
        <v>17861</v>
      </c>
      <c r="N14628" t="str">
        <f>"12/21/2020 1:18:00 PM"</f>
        <v>12/21/2020 1:18:00 PM</v>
      </c>
      <c r="O14628" t="s">
        <v>44566</v>
      </c>
      <c r="T14628" t="s">
        <v>44567</v>
      </c>
    </row>
    <row r="14629" spans="1:20" x14ac:dyDescent="0.25">
      <c r="A14629" t="str">
        <f>"3048400"</f>
        <v>3048400</v>
      </c>
      <c r="B14629" t="s">
        <v>44571</v>
      </c>
      <c r="C14629" t="str">
        <f>"8314817"</f>
        <v>8314817</v>
      </c>
      <c r="D14629" t="s">
        <v>44572</v>
      </c>
      <c r="F14629" t="s">
        <v>44573</v>
      </c>
      <c r="G14629" t="s">
        <v>27912</v>
      </c>
      <c r="I14629" t="s">
        <v>163</v>
      </c>
      <c r="J14629" t="s">
        <v>30</v>
      </c>
      <c r="K14629" t="str">
        <f>"27285"</f>
        <v>27285</v>
      </c>
      <c r="M14629" t="s">
        <v>17861</v>
      </c>
      <c r="N14629" t="str">
        <f>"12/21/2020 3:48:00 PM"</f>
        <v>12/21/2020 3:48:00 PM</v>
      </c>
      <c r="O14629" t="s">
        <v>44572</v>
      </c>
    </row>
    <row r="14630" spans="1:20" x14ac:dyDescent="0.25">
      <c r="A14630" t="str">
        <f>"3047141"</f>
        <v>3047141</v>
      </c>
      <c r="B14630" t="s">
        <v>44574</v>
      </c>
      <c r="C14630" t="str">
        <f>"20634000"</f>
        <v>20634000</v>
      </c>
      <c r="D14630" t="s">
        <v>44575</v>
      </c>
      <c r="E14630" t="s">
        <v>44576</v>
      </c>
      <c r="F14630" t="s">
        <v>44577</v>
      </c>
      <c r="I14630" t="s">
        <v>29</v>
      </c>
      <c r="J14630" t="s">
        <v>30</v>
      </c>
      <c r="K14630" t="s">
        <v>12336</v>
      </c>
      <c r="M14630" t="s">
        <v>33432</v>
      </c>
      <c r="N14630" t="str">
        <f>"12/22/2020 10:54:00 AM"</f>
        <v>12/22/2020 10:54:00 AM</v>
      </c>
      <c r="O14630" t="s">
        <v>44575</v>
      </c>
      <c r="T14630" t="s">
        <v>44576</v>
      </c>
    </row>
    <row r="14631" spans="1:20" x14ac:dyDescent="0.25">
      <c r="A14631" t="str">
        <f>"3052685"</f>
        <v>3052685</v>
      </c>
      <c r="B14631" t="s">
        <v>44578</v>
      </c>
      <c r="C14631" t="str">
        <f>"8314819"</f>
        <v>8314819</v>
      </c>
      <c r="D14631" t="s">
        <v>44579</v>
      </c>
      <c r="F14631" t="s">
        <v>44580</v>
      </c>
      <c r="I14631" t="s">
        <v>29</v>
      </c>
      <c r="J14631" t="s">
        <v>30</v>
      </c>
      <c r="K14631" t="s">
        <v>44581</v>
      </c>
      <c r="M14631" t="s">
        <v>17861</v>
      </c>
      <c r="N14631" t="str">
        <f>"12/22/2020 2:55:00 PM"</f>
        <v>12/22/2020 2:55:00 PM</v>
      </c>
      <c r="O14631" t="s">
        <v>44579</v>
      </c>
    </row>
    <row r="14632" spans="1:20" x14ac:dyDescent="0.25">
      <c r="A14632" t="str">
        <f>"3057929"</f>
        <v>3057929</v>
      </c>
      <c r="B14632" t="s">
        <v>44582</v>
      </c>
      <c r="C14632" t="str">
        <f>"8314860"</f>
        <v>8314860</v>
      </c>
      <c r="D14632" t="s">
        <v>44583</v>
      </c>
      <c r="E14632" t="s">
        <v>44584</v>
      </c>
      <c r="F14632" t="s">
        <v>44585</v>
      </c>
      <c r="I14632" t="s">
        <v>184</v>
      </c>
      <c r="J14632" t="s">
        <v>30</v>
      </c>
      <c r="K14632" t="s">
        <v>3412</v>
      </c>
      <c r="M14632" t="s">
        <v>17861</v>
      </c>
      <c r="N14632" t="str">
        <f>"12/29/2020 2:03:00 PM"</f>
        <v>12/29/2020 2:03:00 PM</v>
      </c>
      <c r="O14632" t="s">
        <v>44583</v>
      </c>
      <c r="T14632" t="s">
        <v>44584</v>
      </c>
    </row>
    <row r="14633" spans="1:20" x14ac:dyDescent="0.25">
      <c r="A14633" t="str">
        <f>"3057493"</f>
        <v>3057493</v>
      </c>
      <c r="B14633" t="s">
        <v>44586</v>
      </c>
      <c r="C14633" t="str">
        <f>"8311002"</f>
        <v>8311002</v>
      </c>
      <c r="D14633" t="s">
        <v>44587</v>
      </c>
      <c r="E14633" t="s">
        <v>44588</v>
      </c>
      <c r="F14633" t="s">
        <v>44589</v>
      </c>
      <c r="I14633" t="s">
        <v>24359</v>
      </c>
      <c r="J14633" t="s">
        <v>30</v>
      </c>
      <c r="K14633" t="str">
        <f>"27006"</f>
        <v>27006</v>
      </c>
      <c r="M14633" t="s">
        <v>25733</v>
      </c>
      <c r="N14633" t="str">
        <f>"12/29/2020 2:30:00 PM"</f>
        <v>12/29/2020 2:30:00 PM</v>
      </c>
      <c r="O14633" t="s">
        <v>44587</v>
      </c>
      <c r="T14633" t="s">
        <v>44588</v>
      </c>
    </row>
    <row r="14634" spans="1:20" x14ac:dyDescent="0.25">
      <c r="A14634" t="str">
        <f>"3068505"</f>
        <v>3068505</v>
      </c>
      <c r="B14634" t="s">
        <v>44590</v>
      </c>
      <c r="C14634" t="str">
        <f>"8314861"</f>
        <v>8314861</v>
      </c>
      <c r="D14634" t="s">
        <v>44591</v>
      </c>
      <c r="E14634" t="s">
        <v>44592</v>
      </c>
      <c r="F14634" t="s">
        <v>33317</v>
      </c>
      <c r="I14634" t="s">
        <v>29</v>
      </c>
      <c r="J14634" t="s">
        <v>30</v>
      </c>
      <c r="K14634" t="s">
        <v>33318</v>
      </c>
      <c r="M14634" t="s">
        <v>17861</v>
      </c>
      <c r="N14634" t="str">
        <f>"12/29/2020 3:27:00 PM"</f>
        <v>12/29/2020 3:27:00 PM</v>
      </c>
      <c r="O14634" t="s">
        <v>44591</v>
      </c>
      <c r="T14634" t="s">
        <v>44592</v>
      </c>
    </row>
    <row r="14635" spans="1:20" x14ac:dyDescent="0.25">
      <c r="A14635" t="str">
        <f>"3058395"</f>
        <v>3058395</v>
      </c>
      <c r="B14635" t="s">
        <v>44593</v>
      </c>
      <c r="C14635" t="str">
        <f>"8314824"</f>
        <v>8314824</v>
      </c>
      <c r="D14635" t="s">
        <v>44594</v>
      </c>
      <c r="E14635" t="s">
        <v>44595</v>
      </c>
      <c r="F14635" t="s">
        <v>44596</v>
      </c>
      <c r="I14635" t="s">
        <v>2071</v>
      </c>
      <c r="J14635" t="s">
        <v>30</v>
      </c>
      <c r="K14635" t="str">
        <f>"27006"</f>
        <v>27006</v>
      </c>
      <c r="M14635" t="s">
        <v>17861</v>
      </c>
      <c r="N14635" t="str">
        <f>"12/23/2020 10:21:00 AM"</f>
        <v>12/23/2020 10:21:00 AM</v>
      </c>
      <c r="O14635" t="s">
        <v>44594</v>
      </c>
      <c r="T14635" t="s">
        <v>44595</v>
      </c>
    </row>
    <row r="14636" spans="1:20" x14ac:dyDescent="0.25">
      <c r="A14636" t="str">
        <f>"3059154"</f>
        <v>3059154</v>
      </c>
      <c r="B14636" t="s">
        <v>44597</v>
      </c>
      <c r="C14636" t="str">
        <f>"8314827"</f>
        <v>8314827</v>
      </c>
      <c r="D14636" t="s">
        <v>44598</v>
      </c>
      <c r="F14636" t="s">
        <v>44599</v>
      </c>
      <c r="I14636" t="s">
        <v>29</v>
      </c>
      <c r="J14636" t="s">
        <v>30</v>
      </c>
      <c r="K14636" t="s">
        <v>44600</v>
      </c>
      <c r="M14636" t="s">
        <v>17861</v>
      </c>
      <c r="N14636" t="str">
        <f>"12/23/2020 11:29:00 AM"</f>
        <v>12/23/2020 11:29:00 AM</v>
      </c>
      <c r="O14636" t="s">
        <v>44598</v>
      </c>
    </row>
    <row r="14637" spans="1:20" x14ac:dyDescent="0.25">
      <c r="A14637" t="str">
        <f>"3062124"</f>
        <v>3062124</v>
      </c>
      <c r="B14637" t="s">
        <v>44601</v>
      </c>
      <c r="C14637" t="str">
        <f>"8314828"</f>
        <v>8314828</v>
      </c>
      <c r="D14637" t="s">
        <v>44602</v>
      </c>
      <c r="E14637" t="s">
        <v>44603</v>
      </c>
      <c r="F14637" t="s">
        <v>44604</v>
      </c>
      <c r="I14637" t="s">
        <v>17921</v>
      </c>
      <c r="J14637" t="s">
        <v>30</v>
      </c>
      <c r="K14637" t="str">
        <f>"27028"</f>
        <v>27028</v>
      </c>
      <c r="M14637" t="s">
        <v>17861</v>
      </c>
      <c r="N14637" t="str">
        <f>"12/23/2020 11:31:00 AM"</f>
        <v>12/23/2020 11:31:00 AM</v>
      </c>
      <c r="O14637" t="s">
        <v>44602</v>
      </c>
      <c r="T14637" t="s">
        <v>44603</v>
      </c>
    </row>
    <row r="14638" spans="1:20" x14ac:dyDescent="0.25">
      <c r="A14638" t="str">
        <f>"3061932"</f>
        <v>3061932</v>
      </c>
      <c r="B14638" t="s">
        <v>44605</v>
      </c>
      <c r="C14638" t="str">
        <f>"8314830"</f>
        <v>8314830</v>
      </c>
      <c r="D14638" t="s">
        <v>44606</v>
      </c>
      <c r="E14638" t="s">
        <v>44607</v>
      </c>
      <c r="F14638" t="s">
        <v>44608</v>
      </c>
      <c r="I14638" t="s">
        <v>184</v>
      </c>
      <c r="J14638" t="s">
        <v>30</v>
      </c>
      <c r="K14638" t="s">
        <v>44609</v>
      </c>
      <c r="M14638" t="s">
        <v>17861</v>
      </c>
      <c r="N14638" t="str">
        <f>"12/23/2020 12:29:00 PM"</f>
        <v>12/23/2020 12:29:00 PM</v>
      </c>
      <c r="O14638" t="s">
        <v>44606</v>
      </c>
      <c r="T14638" t="s">
        <v>44607</v>
      </c>
    </row>
    <row r="14639" spans="1:20" x14ac:dyDescent="0.25">
      <c r="A14639" t="str">
        <f>"3044021"</f>
        <v>3044021</v>
      </c>
      <c r="B14639" t="s">
        <v>44610</v>
      </c>
      <c r="C14639" t="str">
        <f>"8314833"</f>
        <v>8314833</v>
      </c>
      <c r="D14639" t="s">
        <v>44611</v>
      </c>
      <c r="F14639" t="s">
        <v>44612</v>
      </c>
      <c r="I14639" t="s">
        <v>471</v>
      </c>
      <c r="J14639" t="s">
        <v>30</v>
      </c>
      <c r="K14639" t="s">
        <v>44613</v>
      </c>
      <c r="M14639" t="s">
        <v>17861</v>
      </c>
      <c r="N14639" t="str">
        <f>"12/23/2020 12:56:00 PM"</f>
        <v>12/23/2020 12:56:00 PM</v>
      </c>
      <c r="O14639" t="s">
        <v>44611</v>
      </c>
    </row>
    <row r="14640" spans="1:20" x14ac:dyDescent="0.25">
      <c r="A14640" t="str">
        <f>"3044705"</f>
        <v>3044705</v>
      </c>
      <c r="B14640" t="s">
        <v>44614</v>
      </c>
      <c r="C14640" t="str">
        <f>"8314837"</f>
        <v>8314837</v>
      </c>
      <c r="D14640" t="s">
        <v>44615</v>
      </c>
      <c r="E14640" t="s">
        <v>44616</v>
      </c>
      <c r="F14640" t="s">
        <v>44617</v>
      </c>
      <c r="I14640" t="s">
        <v>184</v>
      </c>
      <c r="J14640" t="s">
        <v>30</v>
      </c>
      <c r="K14640" t="s">
        <v>6241</v>
      </c>
      <c r="M14640" t="s">
        <v>17861</v>
      </c>
      <c r="N14640" t="str">
        <f>"12/23/2020 1:11:00 PM"</f>
        <v>12/23/2020 1:11:00 PM</v>
      </c>
      <c r="O14640" t="s">
        <v>44615</v>
      </c>
      <c r="T14640" t="s">
        <v>44616</v>
      </c>
    </row>
    <row r="14641" spans="1:20" x14ac:dyDescent="0.25">
      <c r="A14641" t="str">
        <f>"3060510"</f>
        <v>3060510</v>
      </c>
      <c r="B14641" t="s">
        <v>44618</v>
      </c>
      <c r="C14641" t="str">
        <f>"8314839"</f>
        <v>8314839</v>
      </c>
      <c r="D14641" t="s">
        <v>44619</v>
      </c>
      <c r="E14641" t="s">
        <v>44620</v>
      </c>
      <c r="F14641" t="s">
        <v>44621</v>
      </c>
      <c r="I14641" t="s">
        <v>184</v>
      </c>
      <c r="J14641" t="s">
        <v>30</v>
      </c>
      <c r="K14641" t="s">
        <v>9200</v>
      </c>
      <c r="M14641" t="s">
        <v>17861</v>
      </c>
      <c r="N14641" t="str">
        <f>"12/23/2020 1:27:00 PM"</f>
        <v>12/23/2020 1:27:00 PM</v>
      </c>
      <c r="O14641" t="s">
        <v>44619</v>
      </c>
      <c r="T14641" t="s">
        <v>44620</v>
      </c>
    </row>
    <row r="14642" spans="1:20" x14ac:dyDescent="0.25">
      <c r="A14642" t="str">
        <f>"3056180"</f>
        <v>3056180</v>
      </c>
      <c r="B14642" t="s">
        <v>44622</v>
      </c>
      <c r="C14642" t="str">
        <f>"8314844"</f>
        <v>8314844</v>
      </c>
      <c r="D14642" t="s">
        <v>22202</v>
      </c>
      <c r="F14642" t="s">
        <v>44623</v>
      </c>
      <c r="I14642" t="s">
        <v>29</v>
      </c>
      <c r="J14642" t="s">
        <v>30</v>
      </c>
      <c r="K14642" t="s">
        <v>44624</v>
      </c>
      <c r="M14642" t="s">
        <v>17861</v>
      </c>
      <c r="N14642" t="str">
        <f>"12/23/2020 2:07:00 PM"</f>
        <v>12/23/2020 2:07:00 PM</v>
      </c>
      <c r="O14642" t="s">
        <v>22202</v>
      </c>
    </row>
    <row r="14643" spans="1:20" x14ac:dyDescent="0.25">
      <c r="A14643" t="str">
        <f>"3048665"</f>
        <v>3048665</v>
      </c>
      <c r="B14643" t="s">
        <v>44625</v>
      </c>
      <c r="C14643" t="str">
        <f>"8314845"</f>
        <v>8314845</v>
      </c>
      <c r="D14643" t="s">
        <v>44626</v>
      </c>
      <c r="F14643" t="s">
        <v>44627</v>
      </c>
      <c r="I14643" t="s">
        <v>29</v>
      </c>
      <c r="J14643" t="s">
        <v>30</v>
      </c>
      <c r="K14643" t="s">
        <v>44628</v>
      </c>
      <c r="M14643" t="s">
        <v>17861</v>
      </c>
      <c r="N14643" t="str">
        <f>"12/23/2020 2:14:00 PM"</f>
        <v>12/23/2020 2:14:00 PM</v>
      </c>
      <c r="O14643" t="s">
        <v>44626</v>
      </c>
    </row>
    <row r="14644" spans="1:20" x14ac:dyDescent="0.25">
      <c r="A14644" t="str">
        <f>"3046765"</f>
        <v>3046765</v>
      </c>
      <c r="B14644" t="s">
        <v>44629</v>
      </c>
      <c r="C14644" t="str">
        <f>"8314846"</f>
        <v>8314846</v>
      </c>
      <c r="D14644" t="s">
        <v>44630</v>
      </c>
      <c r="F14644" t="s">
        <v>8776</v>
      </c>
      <c r="I14644" t="s">
        <v>29</v>
      </c>
      <c r="J14644" t="s">
        <v>30</v>
      </c>
      <c r="K14644" t="s">
        <v>19908</v>
      </c>
      <c r="M14644" t="s">
        <v>17861</v>
      </c>
      <c r="N14644" t="str">
        <f>"12/23/2020 2:17:00 PM"</f>
        <v>12/23/2020 2:17:00 PM</v>
      </c>
      <c r="O14644" t="s">
        <v>44630</v>
      </c>
    </row>
    <row r="14645" spans="1:20" x14ac:dyDescent="0.25">
      <c r="A14645" t="str">
        <f>"3058119"</f>
        <v>3058119</v>
      </c>
      <c r="B14645" t="s">
        <v>44631</v>
      </c>
      <c r="C14645" t="str">
        <f>"8314848"</f>
        <v>8314848</v>
      </c>
      <c r="D14645" t="s">
        <v>44632</v>
      </c>
      <c r="E14645" t="s">
        <v>44633</v>
      </c>
      <c r="F14645" t="s">
        <v>44634</v>
      </c>
      <c r="I14645" t="s">
        <v>184</v>
      </c>
      <c r="J14645" t="s">
        <v>30</v>
      </c>
      <c r="K14645" t="s">
        <v>6203</v>
      </c>
      <c r="M14645" t="s">
        <v>17861</v>
      </c>
      <c r="N14645" t="str">
        <f>"12/23/2020 2:25:00 PM"</f>
        <v>12/23/2020 2:25:00 PM</v>
      </c>
      <c r="O14645" t="s">
        <v>44632</v>
      </c>
      <c r="T14645" t="s">
        <v>44633</v>
      </c>
    </row>
    <row r="14646" spans="1:20" x14ac:dyDescent="0.25">
      <c r="A14646" t="str">
        <f>"3043402"</f>
        <v>3043402</v>
      </c>
      <c r="B14646" t="s">
        <v>44635</v>
      </c>
      <c r="C14646" t="str">
        <f>"8312237"</f>
        <v>8312237</v>
      </c>
      <c r="D14646" t="s">
        <v>44636</v>
      </c>
      <c r="E14646" t="s">
        <v>44637</v>
      </c>
      <c r="F14646" t="s">
        <v>44638</v>
      </c>
      <c r="I14646" t="s">
        <v>17921</v>
      </c>
      <c r="J14646" t="s">
        <v>30</v>
      </c>
      <c r="K14646" t="s">
        <v>44639</v>
      </c>
      <c r="M14646" t="s">
        <v>33432</v>
      </c>
      <c r="N14646" t="str">
        <f>"12/30/2020 11:46:00 AM"</f>
        <v>12/30/2020 11:46:00 AM</v>
      </c>
      <c r="O14646" t="s">
        <v>44636</v>
      </c>
      <c r="T14646" t="s">
        <v>44637</v>
      </c>
    </row>
    <row r="14647" spans="1:20" x14ac:dyDescent="0.25">
      <c r="A14647" t="str">
        <f>"3038710"</f>
        <v>3038710</v>
      </c>
      <c r="B14647" t="s">
        <v>44640</v>
      </c>
      <c r="C14647" t="str">
        <f>"8306973"</f>
        <v>8306973</v>
      </c>
      <c r="D14647" t="s">
        <v>44641</v>
      </c>
      <c r="E14647" t="s">
        <v>44642</v>
      </c>
      <c r="F14647" t="s">
        <v>44643</v>
      </c>
      <c r="I14647" t="s">
        <v>29</v>
      </c>
      <c r="J14647" t="s">
        <v>30</v>
      </c>
      <c r="K14647" t="str">
        <f>"27028"</f>
        <v>27028</v>
      </c>
      <c r="M14647" t="s">
        <v>33432</v>
      </c>
      <c r="N14647" t="str">
        <f>"12/30/2020 11:54:00 AM"</f>
        <v>12/30/2020 11:54:00 AM</v>
      </c>
      <c r="O14647" t="s">
        <v>44641</v>
      </c>
      <c r="T14647" t="s">
        <v>44642</v>
      </c>
    </row>
    <row r="14648" spans="1:20" x14ac:dyDescent="0.25">
      <c r="A14648" t="str">
        <f>"3058491"</f>
        <v>3058491</v>
      </c>
      <c r="B14648" t="s">
        <v>44644</v>
      </c>
      <c r="C14648" t="str">
        <f>"8314849"</f>
        <v>8314849</v>
      </c>
      <c r="D14648" t="s">
        <v>44645</v>
      </c>
      <c r="E14648" t="s">
        <v>44646</v>
      </c>
      <c r="F14648" t="s">
        <v>44647</v>
      </c>
      <c r="I14648" t="s">
        <v>184</v>
      </c>
      <c r="J14648" t="s">
        <v>30</v>
      </c>
      <c r="K14648" t="s">
        <v>44648</v>
      </c>
      <c r="M14648" t="s">
        <v>17861</v>
      </c>
      <c r="N14648" t="str">
        <f>"12/23/2020 2:29:00 PM"</f>
        <v>12/23/2020 2:29:00 PM</v>
      </c>
      <c r="O14648" t="s">
        <v>44645</v>
      </c>
      <c r="T14648" t="s">
        <v>44646</v>
      </c>
    </row>
    <row r="14649" spans="1:20" x14ac:dyDescent="0.25">
      <c r="A14649" t="str">
        <f>"3051041"</f>
        <v>3051041</v>
      </c>
      <c r="B14649" t="s">
        <v>44649</v>
      </c>
      <c r="C14649" t="str">
        <f>"8314850"</f>
        <v>8314850</v>
      </c>
      <c r="D14649" t="s">
        <v>44650</v>
      </c>
      <c r="E14649" t="s">
        <v>44651</v>
      </c>
      <c r="F14649" t="s">
        <v>44652</v>
      </c>
      <c r="I14649" t="s">
        <v>29</v>
      </c>
      <c r="J14649" t="s">
        <v>30</v>
      </c>
      <c r="K14649" t="s">
        <v>33322</v>
      </c>
      <c r="M14649" t="s">
        <v>17861</v>
      </c>
      <c r="N14649" t="str">
        <f>"12/23/2020 3:01:00 PM"</f>
        <v>12/23/2020 3:01:00 PM</v>
      </c>
      <c r="O14649" t="s">
        <v>44650</v>
      </c>
      <c r="T14649" t="s">
        <v>44651</v>
      </c>
    </row>
    <row r="14650" spans="1:20" x14ac:dyDescent="0.25">
      <c r="A14650" t="str">
        <f>"3051305"</f>
        <v>3051305</v>
      </c>
      <c r="B14650" t="s">
        <v>44653</v>
      </c>
      <c r="C14650" t="str">
        <f>"8314850"</f>
        <v>8314850</v>
      </c>
      <c r="D14650" t="s">
        <v>44650</v>
      </c>
      <c r="E14650" t="s">
        <v>44651</v>
      </c>
      <c r="F14650" t="s">
        <v>44652</v>
      </c>
      <c r="I14650" t="s">
        <v>29</v>
      </c>
      <c r="J14650" t="s">
        <v>30</v>
      </c>
      <c r="K14650" t="s">
        <v>33322</v>
      </c>
      <c r="M14650" t="s">
        <v>17861</v>
      </c>
      <c r="N14650" t="str">
        <f>"12/23/2020 3:01:00 PM"</f>
        <v>12/23/2020 3:01:00 PM</v>
      </c>
      <c r="O14650" t="s">
        <v>44650</v>
      </c>
      <c r="T14650" t="s">
        <v>44651</v>
      </c>
    </row>
    <row r="14651" spans="1:20" x14ac:dyDescent="0.25">
      <c r="A14651" t="str">
        <f>"3058086"</f>
        <v>3058086</v>
      </c>
      <c r="B14651" t="s">
        <v>44654</v>
      </c>
      <c r="C14651" t="str">
        <f>"8314888"</f>
        <v>8314888</v>
      </c>
      <c r="D14651" t="s">
        <v>44655</v>
      </c>
      <c r="E14651" t="s">
        <v>44656</v>
      </c>
      <c r="F14651" t="s">
        <v>44657</v>
      </c>
      <c r="I14651" t="s">
        <v>184</v>
      </c>
      <c r="J14651" t="s">
        <v>30</v>
      </c>
      <c r="K14651" t="s">
        <v>6513</v>
      </c>
      <c r="M14651" t="s">
        <v>17861</v>
      </c>
      <c r="N14651" t="str">
        <f>"1/4/2021 9:41:00 AM"</f>
        <v>1/4/2021 9:41:00 AM</v>
      </c>
      <c r="O14651" t="s">
        <v>44655</v>
      </c>
      <c r="T14651" t="s">
        <v>44656</v>
      </c>
    </row>
    <row r="14652" spans="1:20" x14ac:dyDescent="0.25">
      <c r="A14652" t="str">
        <f>"3041645"</f>
        <v>3041645</v>
      </c>
      <c r="B14652" t="s">
        <v>44658</v>
      </c>
      <c r="C14652" t="str">
        <f>"8314889"</f>
        <v>8314889</v>
      </c>
      <c r="D14652" t="s">
        <v>44659</v>
      </c>
      <c r="E14652" t="s">
        <v>44660</v>
      </c>
      <c r="F14652" t="s">
        <v>44661</v>
      </c>
      <c r="I14652" t="s">
        <v>2071</v>
      </c>
      <c r="J14652" t="s">
        <v>30</v>
      </c>
      <c r="K14652" t="s">
        <v>3764</v>
      </c>
      <c r="M14652" t="s">
        <v>17861</v>
      </c>
      <c r="N14652" t="str">
        <f>"1/4/2021 9:43:00 AM"</f>
        <v>1/4/2021 9:43:00 AM</v>
      </c>
      <c r="O14652" t="s">
        <v>44659</v>
      </c>
      <c r="T14652" t="s">
        <v>44660</v>
      </c>
    </row>
    <row r="14653" spans="1:20" x14ac:dyDescent="0.25">
      <c r="A14653" t="str">
        <f>"3060764"</f>
        <v>3060764</v>
      </c>
      <c r="B14653" t="s">
        <v>44662</v>
      </c>
      <c r="C14653" t="str">
        <f>"8314890"</f>
        <v>8314890</v>
      </c>
      <c r="D14653" t="s">
        <v>44663</v>
      </c>
      <c r="E14653" t="s">
        <v>35914</v>
      </c>
      <c r="F14653" t="s">
        <v>44664</v>
      </c>
      <c r="I14653" t="s">
        <v>2071</v>
      </c>
      <c r="J14653" t="s">
        <v>30</v>
      </c>
      <c r="K14653" t="s">
        <v>4269</v>
      </c>
      <c r="M14653" t="s">
        <v>17861</v>
      </c>
      <c r="N14653" t="str">
        <f>"1/4/2021 9:59:00 AM"</f>
        <v>1/4/2021 9:59:00 AM</v>
      </c>
      <c r="O14653" t="s">
        <v>44663</v>
      </c>
      <c r="T14653" t="s">
        <v>35914</v>
      </c>
    </row>
    <row r="14654" spans="1:20" x14ac:dyDescent="0.25">
      <c r="A14654" t="str">
        <f>"3040804"</f>
        <v>3040804</v>
      </c>
      <c r="B14654" t="s">
        <v>44665</v>
      </c>
      <c r="C14654" t="str">
        <f>"8314504"</f>
        <v>8314504</v>
      </c>
      <c r="D14654" t="s">
        <v>44666</v>
      </c>
      <c r="E14654" t="s">
        <v>44667</v>
      </c>
      <c r="F14654" t="s">
        <v>44668</v>
      </c>
      <c r="I14654" t="s">
        <v>184</v>
      </c>
      <c r="J14654" t="s">
        <v>30</v>
      </c>
      <c r="K14654" t="s">
        <v>3125</v>
      </c>
      <c r="M14654" t="s">
        <v>17861</v>
      </c>
      <c r="N14654" t="str">
        <f>"1/5/2021 4:43:00 PM"</f>
        <v>1/5/2021 4:43:00 PM</v>
      </c>
      <c r="O14654" t="s">
        <v>44666</v>
      </c>
      <c r="T14654" t="s">
        <v>44667</v>
      </c>
    </row>
    <row r="14655" spans="1:20" x14ac:dyDescent="0.25">
      <c r="A14655" t="str">
        <f>"3059760"</f>
        <v>3059760</v>
      </c>
      <c r="B14655" t="s">
        <v>44669</v>
      </c>
      <c r="C14655" t="str">
        <f>"8314892"</f>
        <v>8314892</v>
      </c>
      <c r="D14655" t="s">
        <v>44670</v>
      </c>
      <c r="E14655" t="s">
        <v>44671</v>
      </c>
      <c r="F14655" t="s">
        <v>44672</v>
      </c>
      <c r="I14655" t="s">
        <v>29</v>
      </c>
      <c r="J14655" t="s">
        <v>30</v>
      </c>
      <c r="K14655" t="s">
        <v>9848</v>
      </c>
      <c r="M14655" t="s">
        <v>17861</v>
      </c>
      <c r="N14655" t="str">
        <f>"1/4/2021 10:12:00 AM"</f>
        <v>1/4/2021 10:12:00 AM</v>
      </c>
      <c r="O14655" t="s">
        <v>44670</v>
      </c>
      <c r="T14655" t="s">
        <v>44671</v>
      </c>
    </row>
    <row r="14656" spans="1:20" x14ac:dyDescent="0.25">
      <c r="A14656" t="str">
        <f>"3060717"</f>
        <v>3060717</v>
      </c>
      <c r="B14656" t="s">
        <v>44673</v>
      </c>
      <c r="C14656" t="str">
        <f>"8314924"</f>
        <v>8314924</v>
      </c>
      <c r="D14656" t="s">
        <v>44674</v>
      </c>
      <c r="E14656" t="s">
        <v>44675</v>
      </c>
      <c r="F14656" t="s">
        <v>44676</v>
      </c>
      <c r="I14656" t="s">
        <v>2071</v>
      </c>
      <c r="J14656" t="s">
        <v>30</v>
      </c>
      <c r="K14656" t="s">
        <v>4183</v>
      </c>
      <c r="M14656" t="s">
        <v>17861</v>
      </c>
      <c r="N14656" t="str">
        <f>"1/6/2021 10:40:00 AM"</f>
        <v>1/6/2021 10:40:00 AM</v>
      </c>
      <c r="O14656" t="s">
        <v>44674</v>
      </c>
      <c r="T14656" t="s">
        <v>44675</v>
      </c>
    </row>
    <row r="14657" spans="1:20" x14ac:dyDescent="0.25">
      <c r="A14657" t="str">
        <f>"3040566"</f>
        <v>3040566</v>
      </c>
      <c r="B14657" t="s">
        <v>44677</v>
      </c>
      <c r="C14657" t="str">
        <f>"8314925"</f>
        <v>8314925</v>
      </c>
      <c r="D14657" t="s">
        <v>44678</v>
      </c>
      <c r="E14657" t="s">
        <v>44679</v>
      </c>
      <c r="F14657" t="s">
        <v>44680</v>
      </c>
      <c r="I14657" t="s">
        <v>184</v>
      </c>
      <c r="J14657" t="s">
        <v>30</v>
      </c>
      <c r="K14657" t="s">
        <v>3313</v>
      </c>
      <c r="M14657" t="s">
        <v>17861</v>
      </c>
      <c r="N14657" t="str">
        <f>"1/6/2021 10:43:00 AM"</f>
        <v>1/6/2021 10:43:00 AM</v>
      </c>
      <c r="O14657" t="s">
        <v>44678</v>
      </c>
      <c r="T14657" t="s">
        <v>44679</v>
      </c>
    </row>
    <row r="14658" spans="1:20" x14ac:dyDescent="0.25">
      <c r="A14658" t="str">
        <f>"3045298"</f>
        <v>3045298</v>
      </c>
      <c r="B14658" t="s">
        <v>44681</v>
      </c>
      <c r="C14658" t="str">
        <f>"8306569"</f>
        <v>8306569</v>
      </c>
      <c r="D14658" t="s">
        <v>44682</v>
      </c>
      <c r="E14658" t="s">
        <v>44683</v>
      </c>
      <c r="F14658" t="s">
        <v>44684</v>
      </c>
      <c r="I14658" t="s">
        <v>29</v>
      </c>
      <c r="J14658" t="s">
        <v>30</v>
      </c>
      <c r="K14658" t="s">
        <v>44685</v>
      </c>
      <c r="M14658" t="s">
        <v>17861</v>
      </c>
      <c r="N14658" t="str">
        <f>"1/6/2021 3:55:00 PM"</f>
        <v>1/6/2021 3:55:00 PM</v>
      </c>
      <c r="O14658" t="s">
        <v>44682</v>
      </c>
      <c r="T14658" t="s">
        <v>44683</v>
      </c>
    </row>
    <row r="14659" spans="1:20" x14ac:dyDescent="0.25">
      <c r="A14659" t="str">
        <f>"3046865"</f>
        <v>3046865</v>
      </c>
      <c r="B14659" t="s">
        <v>44686</v>
      </c>
      <c r="C14659" t="str">
        <f>"82533069"</f>
        <v>82533069</v>
      </c>
      <c r="D14659" t="s">
        <v>44687</v>
      </c>
      <c r="E14659" t="s">
        <v>44688</v>
      </c>
      <c r="F14659" t="s">
        <v>44689</v>
      </c>
      <c r="I14659" t="s">
        <v>29</v>
      </c>
      <c r="J14659" t="s">
        <v>30</v>
      </c>
      <c r="K14659" t="str">
        <f>"27028"</f>
        <v>27028</v>
      </c>
      <c r="M14659" t="s">
        <v>25733</v>
      </c>
      <c r="N14659" t="str">
        <f>"1/4/2021 11:02:00 AM"</f>
        <v>1/4/2021 11:02:00 AM</v>
      </c>
      <c r="O14659" t="s">
        <v>44687</v>
      </c>
      <c r="T14659" t="s">
        <v>44688</v>
      </c>
    </row>
    <row r="14660" spans="1:20" x14ac:dyDescent="0.25">
      <c r="A14660" t="str">
        <f>"3038955"</f>
        <v>3038955</v>
      </c>
      <c r="B14660" t="s">
        <v>44690</v>
      </c>
      <c r="C14660" t="str">
        <f>"8309600"</f>
        <v>8309600</v>
      </c>
      <c r="D14660" t="s">
        <v>44691</v>
      </c>
      <c r="E14660" t="s">
        <v>44692</v>
      </c>
      <c r="F14660" t="s">
        <v>44693</v>
      </c>
      <c r="I14660" t="s">
        <v>29</v>
      </c>
      <c r="J14660" t="s">
        <v>30</v>
      </c>
      <c r="K14660" t="s">
        <v>44694</v>
      </c>
      <c r="M14660" t="s">
        <v>33432</v>
      </c>
      <c r="N14660" t="str">
        <f>"1/4/2021 12:10:00 PM"</f>
        <v>1/4/2021 12:10:00 PM</v>
      </c>
      <c r="O14660" t="s">
        <v>44691</v>
      </c>
      <c r="T14660" t="s">
        <v>44692</v>
      </c>
    </row>
    <row r="14661" spans="1:20" x14ac:dyDescent="0.25">
      <c r="A14661" t="str">
        <f>"3038500"</f>
        <v>3038500</v>
      </c>
      <c r="B14661" t="s">
        <v>44695</v>
      </c>
      <c r="C14661" t="str">
        <f>"8309600"</f>
        <v>8309600</v>
      </c>
      <c r="D14661" t="s">
        <v>44691</v>
      </c>
      <c r="E14661" t="s">
        <v>44692</v>
      </c>
      <c r="F14661" t="s">
        <v>44693</v>
      </c>
      <c r="I14661" t="s">
        <v>29</v>
      </c>
      <c r="J14661" t="s">
        <v>30</v>
      </c>
      <c r="K14661" t="s">
        <v>44694</v>
      </c>
      <c r="M14661" t="s">
        <v>33432</v>
      </c>
      <c r="N14661" t="str">
        <f>"1/4/2021 12:10:00 PM"</f>
        <v>1/4/2021 12:10:00 PM</v>
      </c>
      <c r="O14661" t="s">
        <v>44691</v>
      </c>
      <c r="T14661" t="s">
        <v>44692</v>
      </c>
    </row>
    <row r="14662" spans="1:20" x14ac:dyDescent="0.25">
      <c r="A14662" t="str">
        <f>"3038060"</f>
        <v>3038060</v>
      </c>
      <c r="B14662" t="s">
        <v>44696</v>
      </c>
      <c r="C14662" t="str">
        <f>"8309600"</f>
        <v>8309600</v>
      </c>
      <c r="D14662" t="s">
        <v>44691</v>
      </c>
      <c r="E14662" t="s">
        <v>44692</v>
      </c>
      <c r="F14662" t="s">
        <v>44693</v>
      </c>
      <c r="I14662" t="s">
        <v>29</v>
      </c>
      <c r="J14662" t="s">
        <v>30</v>
      </c>
      <c r="K14662" t="s">
        <v>44694</v>
      </c>
      <c r="M14662" t="s">
        <v>33432</v>
      </c>
      <c r="N14662" t="str">
        <f>"1/4/2021 12:10:00 PM"</f>
        <v>1/4/2021 12:10:00 PM</v>
      </c>
      <c r="O14662" t="s">
        <v>44691</v>
      </c>
      <c r="T14662" t="s">
        <v>44692</v>
      </c>
    </row>
    <row r="14663" spans="1:20" x14ac:dyDescent="0.25">
      <c r="A14663" t="str">
        <f>"3052891"</f>
        <v>3052891</v>
      </c>
      <c r="B14663" t="s">
        <v>44697</v>
      </c>
      <c r="C14663" t="str">
        <f>"8314897"</f>
        <v>8314897</v>
      </c>
      <c r="D14663" t="s">
        <v>44698</v>
      </c>
      <c r="F14663" t="s">
        <v>44699</v>
      </c>
      <c r="I14663" t="s">
        <v>29</v>
      </c>
      <c r="J14663" t="s">
        <v>30</v>
      </c>
      <c r="K14663" t="s">
        <v>32101</v>
      </c>
      <c r="M14663" t="s">
        <v>17861</v>
      </c>
      <c r="N14663" t="str">
        <f>"1/4/2021 2:16:00 PM"</f>
        <v>1/4/2021 2:16:00 PM</v>
      </c>
      <c r="O14663" t="s">
        <v>44698</v>
      </c>
    </row>
    <row r="14664" spans="1:20" x14ac:dyDescent="0.25">
      <c r="A14664" t="str">
        <f>"3041549"</f>
        <v>3041549</v>
      </c>
      <c r="B14664" t="s">
        <v>44700</v>
      </c>
      <c r="C14664" t="str">
        <f>"8314900"</f>
        <v>8314900</v>
      </c>
      <c r="D14664" t="s">
        <v>44701</v>
      </c>
      <c r="F14664" t="s">
        <v>44702</v>
      </c>
      <c r="I14664" t="s">
        <v>2071</v>
      </c>
      <c r="J14664" t="s">
        <v>30</v>
      </c>
      <c r="K14664" t="str">
        <f>"27006"</f>
        <v>27006</v>
      </c>
      <c r="M14664" t="s">
        <v>17861</v>
      </c>
      <c r="N14664" t="str">
        <f>"1/5/2021 10:16:00 AM"</f>
        <v>1/5/2021 10:16:00 AM</v>
      </c>
      <c r="O14664" t="s">
        <v>44701</v>
      </c>
    </row>
    <row r="14665" spans="1:20" x14ac:dyDescent="0.25">
      <c r="A14665" t="str">
        <f>"3092941"</f>
        <v>3092941</v>
      </c>
      <c r="B14665" t="s">
        <v>44703</v>
      </c>
      <c r="C14665" t="str">
        <f>"8314902"</f>
        <v>8314902</v>
      </c>
      <c r="D14665" t="s">
        <v>44704</v>
      </c>
      <c r="F14665" t="s">
        <v>44705</v>
      </c>
      <c r="I14665" t="s">
        <v>2525</v>
      </c>
      <c r="J14665" t="s">
        <v>30</v>
      </c>
      <c r="K14665" t="s">
        <v>44706</v>
      </c>
      <c r="M14665" t="s">
        <v>17861</v>
      </c>
      <c r="N14665" t="str">
        <f>"1/5/2021 10:22:00 AM"</f>
        <v>1/5/2021 10:22:00 AM</v>
      </c>
      <c r="O14665" t="s">
        <v>44704</v>
      </c>
    </row>
    <row r="14666" spans="1:20" x14ac:dyDescent="0.25">
      <c r="A14666" t="str">
        <f>"3041533"</f>
        <v>3041533</v>
      </c>
      <c r="B14666" t="s">
        <v>44707</v>
      </c>
      <c r="C14666" t="str">
        <f>"8314903"</f>
        <v>8314903</v>
      </c>
      <c r="D14666" t="s">
        <v>44708</v>
      </c>
      <c r="F14666" t="s">
        <v>44709</v>
      </c>
      <c r="I14666" t="s">
        <v>2071</v>
      </c>
      <c r="J14666" t="s">
        <v>30</v>
      </c>
      <c r="K14666" t="str">
        <f>"27006"</f>
        <v>27006</v>
      </c>
      <c r="M14666" t="s">
        <v>17861</v>
      </c>
      <c r="N14666" t="str">
        <f>"1/5/2021 10:24:00 AM"</f>
        <v>1/5/2021 10:24:00 AM</v>
      </c>
      <c r="O14666" t="s">
        <v>44708</v>
      </c>
    </row>
    <row r="14667" spans="1:20" x14ac:dyDescent="0.25">
      <c r="A14667" t="str">
        <f>"3078296"</f>
        <v>3078296</v>
      </c>
      <c r="B14667" t="s">
        <v>44710</v>
      </c>
      <c r="C14667" t="str">
        <f>"8314904"</f>
        <v>8314904</v>
      </c>
      <c r="D14667" t="s">
        <v>44711</v>
      </c>
      <c r="F14667" t="s">
        <v>44712</v>
      </c>
      <c r="I14667" t="s">
        <v>184</v>
      </c>
      <c r="J14667" t="s">
        <v>30</v>
      </c>
      <c r="K14667" t="s">
        <v>31882</v>
      </c>
      <c r="M14667" t="s">
        <v>17861</v>
      </c>
      <c r="N14667" t="str">
        <f>"1/5/2021 11:07:00 AM"</f>
        <v>1/5/2021 11:07:00 AM</v>
      </c>
      <c r="O14667" t="s">
        <v>44711</v>
      </c>
    </row>
    <row r="14668" spans="1:20" x14ac:dyDescent="0.25">
      <c r="A14668" t="str">
        <f>"3061219"</f>
        <v>3061219</v>
      </c>
      <c r="B14668" t="s">
        <v>44713</v>
      </c>
      <c r="C14668" t="str">
        <f>"8314905"</f>
        <v>8314905</v>
      </c>
      <c r="D14668" t="s">
        <v>44714</v>
      </c>
      <c r="F14668" t="s">
        <v>44715</v>
      </c>
      <c r="I14668" t="s">
        <v>2071</v>
      </c>
      <c r="J14668" t="s">
        <v>30</v>
      </c>
      <c r="K14668" t="s">
        <v>44716</v>
      </c>
      <c r="M14668" t="s">
        <v>17861</v>
      </c>
      <c r="N14668" t="str">
        <f>"1/5/2021 12:56:00 PM"</f>
        <v>1/5/2021 12:56:00 PM</v>
      </c>
      <c r="O14668" t="s">
        <v>44714</v>
      </c>
    </row>
    <row r="14669" spans="1:20" x14ac:dyDescent="0.25">
      <c r="A14669" t="str">
        <f>"3038968"</f>
        <v>3038968</v>
      </c>
      <c r="B14669" t="s">
        <v>44717</v>
      </c>
      <c r="C14669" t="str">
        <f>"8314882"</f>
        <v>8314882</v>
      </c>
      <c r="D14669" t="s">
        <v>44718</v>
      </c>
      <c r="F14669" t="s">
        <v>44719</v>
      </c>
      <c r="I14669" t="s">
        <v>29</v>
      </c>
      <c r="J14669" t="s">
        <v>30</v>
      </c>
      <c r="K14669" t="s">
        <v>44720</v>
      </c>
      <c r="M14669" t="s">
        <v>17861</v>
      </c>
      <c r="N14669" t="str">
        <f>"12/31/2020 1:48:00 PM"</f>
        <v>12/31/2020 1:48:00 PM</v>
      </c>
      <c r="O14669" t="s">
        <v>44718</v>
      </c>
    </row>
    <row r="14670" spans="1:20" x14ac:dyDescent="0.25">
      <c r="A14670" t="str">
        <f>"3052902"</f>
        <v>3052902</v>
      </c>
      <c r="B14670" t="s">
        <v>44721</v>
      </c>
      <c r="C14670" t="str">
        <f>"8314883"</f>
        <v>8314883</v>
      </c>
      <c r="D14670" t="s">
        <v>44722</v>
      </c>
      <c r="F14670" t="s">
        <v>44723</v>
      </c>
      <c r="I14670" t="s">
        <v>29</v>
      </c>
      <c r="J14670" t="s">
        <v>30</v>
      </c>
      <c r="K14670" t="s">
        <v>36107</v>
      </c>
      <c r="M14670" t="s">
        <v>17861</v>
      </c>
      <c r="N14670" t="str">
        <f>"12/31/2020 1:59:00 PM"</f>
        <v>12/31/2020 1:59:00 PM</v>
      </c>
      <c r="O14670" t="s">
        <v>44722</v>
      </c>
    </row>
    <row r="14671" spans="1:20" x14ac:dyDescent="0.25">
      <c r="A14671" t="str">
        <f>"3078346"</f>
        <v>3078346</v>
      </c>
      <c r="B14671" t="s">
        <v>44724</v>
      </c>
      <c r="C14671" t="str">
        <f>"8314884"</f>
        <v>8314884</v>
      </c>
      <c r="D14671" t="s">
        <v>44725</v>
      </c>
      <c r="F14671" t="s">
        <v>44726</v>
      </c>
      <c r="I14671" t="s">
        <v>44727</v>
      </c>
      <c r="J14671" t="s">
        <v>4132</v>
      </c>
      <c r="K14671" t="str">
        <f>"29150"</f>
        <v>29150</v>
      </c>
      <c r="M14671" t="s">
        <v>17861</v>
      </c>
      <c r="N14671" t="str">
        <f>"12/31/2020 3:03:00 PM"</f>
        <v>12/31/2020 3:03:00 PM</v>
      </c>
      <c r="O14671" t="s">
        <v>44725</v>
      </c>
    </row>
    <row r="14672" spans="1:20" x14ac:dyDescent="0.25">
      <c r="A14672" t="str">
        <f>"3054903"</f>
        <v>3054903</v>
      </c>
      <c r="B14672" t="s">
        <v>44728</v>
      </c>
      <c r="C14672" t="str">
        <f>"8314885"</f>
        <v>8314885</v>
      </c>
      <c r="D14672" t="s">
        <v>44729</v>
      </c>
      <c r="F14672" t="s">
        <v>44730</v>
      </c>
      <c r="I14672" t="s">
        <v>17921</v>
      </c>
      <c r="J14672" t="s">
        <v>30</v>
      </c>
      <c r="K14672" t="str">
        <f>"27028"</f>
        <v>27028</v>
      </c>
      <c r="M14672" t="s">
        <v>17861</v>
      </c>
      <c r="N14672" t="str">
        <f>"1/4/2021 8:37:00 AM"</f>
        <v>1/4/2021 8:37:00 AM</v>
      </c>
      <c r="O14672" t="s">
        <v>44729</v>
      </c>
    </row>
    <row r="14673" spans="1:20" x14ac:dyDescent="0.25">
      <c r="A14673" t="str">
        <f>"3055266"</f>
        <v>3055266</v>
      </c>
      <c r="B14673" t="s">
        <v>44731</v>
      </c>
      <c r="C14673" t="str">
        <f>"8314885"</f>
        <v>8314885</v>
      </c>
      <c r="D14673" t="s">
        <v>44729</v>
      </c>
      <c r="F14673" t="s">
        <v>44730</v>
      </c>
      <c r="I14673" t="s">
        <v>17921</v>
      </c>
      <c r="J14673" t="s">
        <v>30</v>
      </c>
      <c r="K14673" t="str">
        <f>"27028"</f>
        <v>27028</v>
      </c>
      <c r="M14673" t="s">
        <v>17861</v>
      </c>
      <c r="N14673" t="str">
        <f>"1/4/2021 8:37:00 AM"</f>
        <v>1/4/2021 8:37:00 AM</v>
      </c>
      <c r="O14673" t="s">
        <v>44729</v>
      </c>
    </row>
    <row r="14674" spans="1:20" x14ac:dyDescent="0.25">
      <c r="A14674" t="str">
        <f>"3059556"</f>
        <v>3059556</v>
      </c>
      <c r="B14674" t="s">
        <v>44732</v>
      </c>
      <c r="C14674" t="str">
        <f>"8314887"</f>
        <v>8314887</v>
      </c>
      <c r="D14674" t="s">
        <v>44733</v>
      </c>
      <c r="F14674" t="s">
        <v>44734</v>
      </c>
      <c r="I14674" t="s">
        <v>29</v>
      </c>
      <c r="J14674" t="s">
        <v>30</v>
      </c>
      <c r="K14674" t="s">
        <v>29062</v>
      </c>
      <c r="M14674" t="s">
        <v>17861</v>
      </c>
      <c r="N14674" t="str">
        <f>"1/4/2021 9:17:00 AM"</f>
        <v>1/4/2021 9:17:00 AM</v>
      </c>
      <c r="O14674" t="s">
        <v>44733</v>
      </c>
    </row>
    <row r="14675" spans="1:20" x14ac:dyDescent="0.25">
      <c r="A14675" t="str">
        <f>"3038428"</f>
        <v>3038428</v>
      </c>
      <c r="B14675" t="s">
        <v>44735</v>
      </c>
      <c r="C14675" t="str">
        <f>"8314917"</f>
        <v>8314917</v>
      </c>
      <c r="D14675" t="s">
        <v>44736</v>
      </c>
      <c r="F14675" t="s">
        <v>44737</v>
      </c>
      <c r="I14675" t="s">
        <v>17921</v>
      </c>
      <c r="J14675" t="s">
        <v>30</v>
      </c>
      <c r="K14675" t="s">
        <v>44738</v>
      </c>
      <c r="M14675" t="s">
        <v>17861</v>
      </c>
      <c r="N14675" t="str">
        <f>"1/5/2021 4:32:00 PM"</f>
        <v>1/5/2021 4:32:00 PM</v>
      </c>
      <c r="O14675" t="s">
        <v>44736</v>
      </c>
    </row>
    <row r="14676" spans="1:20" x14ac:dyDescent="0.25">
      <c r="A14676" t="str">
        <f>"3044965"</f>
        <v>3044965</v>
      </c>
      <c r="B14676" t="s">
        <v>44739</v>
      </c>
      <c r="C14676" t="str">
        <f>"8314918"</f>
        <v>8314918</v>
      </c>
      <c r="D14676" t="s">
        <v>44740</v>
      </c>
      <c r="E14676" t="s">
        <v>44741</v>
      </c>
      <c r="F14676" t="s">
        <v>44742</v>
      </c>
      <c r="I14676" t="s">
        <v>44743</v>
      </c>
      <c r="J14676" t="s">
        <v>11697</v>
      </c>
      <c r="K14676" t="s">
        <v>44744</v>
      </c>
      <c r="M14676" t="s">
        <v>17861</v>
      </c>
      <c r="N14676" t="str">
        <f>"1/5/2021 4:35:00 PM"</f>
        <v>1/5/2021 4:35:00 PM</v>
      </c>
      <c r="O14676" t="s">
        <v>44740</v>
      </c>
      <c r="T14676" t="s">
        <v>44741</v>
      </c>
    </row>
    <row r="14677" spans="1:20" x14ac:dyDescent="0.25">
      <c r="A14677" t="str">
        <f>"3049903"</f>
        <v>3049903</v>
      </c>
      <c r="B14677" t="s">
        <v>44745</v>
      </c>
      <c r="C14677" t="str">
        <f>"8314920"</f>
        <v>8314920</v>
      </c>
      <c r="D14677" t="s">
        <v>44746</v>
      </c>
      <c r="E14677" t="s">
        <v>44747</v>
      </c>
      <c r="F14677" t="s">
        <v>44748</v>
      </c>
      <c r="I14677" t="s">
        <v>29</v>
      </c>
      <c r="J14677" t="s">
        <v>30</v>
      </c>
      <c r="K14677" t="s">
        <v>44749</v>
      </c>
      <c r="M14677" t="s">
        <v>17861</v>
      </c>
      <c r="N14677" t="str">
        <f>"1/5/2021 4:49:00 PM"</f>
        <v>1/5/2021 4:49:00 PM</v>
      </c>
      <c r="O14677" t="s">
        <v>44746</v>
      </c>
      <c r="T14677" t="s">
        <v>44747</v>
      </c>
    </row>
    <row r="14678" spans="1:20" x14ac:dyDescent="0.25">
      <c r="A14678" t="str">
        <f>"3060020"</f>
        <v>3060020</v>
      </c>
      <c r="B14678" t="s">
        <v>44750</v>
      </c>
      <c r="C14678" t="str">
        <f>"8314951"</f>
        <v>8314951</v>
      </c>
      <c r="D14678" t="s">
        <v>44751</v>
      </c>
      <c r="F14678" t="s">
        <v>44752</v>
      </c>
      <c r="I14678" t="s">
        <v>184</v>
      </c>
      <c r="J14678" t="s">
        <v>30</v>
      </c>
      <c r="K14678" t="s">
        <v>32261</v>
      </c>
      <c r="M14678" t="s">
        <v>17861</v>
      </c>
      <c r="N14678" t="str">
        <f>"1/12/2021 7:32:00 PM"</f>
        <v>1/12/2021 7:32:00 PM</v>
      </c>
      <c r="O14678" t="s">
        <v>44751</v>
      </c>
    </row>
    <row r="14679" spans="1:20" x14ac:dyDescent="0.25">
      <c r="A14679" t="str">
        <f>"3060021"</f>
        <v>3060021</v>
      </c>
      <c r="B14679" t="s">
        <v>44753</v>
      </c>
      <c r="C14679" t="str">
        <f>"8314952"</f>
        <v>8314952</v>
      </c>
      <c r="D14679" t="s">
        <v>44754</v>
      </c>
      <c r="E14679" t="s">
        <v>44755</v>
      </c>
      <c r="F14679" t="s">
        <v>44752</v>
      </c>
      <c r="I14679" t="s">
        <v>184</v>
      </c>
      <c r="J14679" t="s">
        <v>30</v>
      </c>
      <c r="K14679" t="s">
        <v>32261</v>
      </c>
      <c r="M14679" t="s">
        <v>17861</v>
      </c>
      <c r="N14679" t="str">
        <f>"1/12/2021 7:34:00 PM"</f>
        <v>1/12/2021 7:34:00 PM</v>
      </c>
      <c r="O14679" t="s">
        <v>44754</v>
      </c>
      <c r="T14679" t="s">
        <v>44755</v>
      </c>
    </row>
    <row r="14680" spans="1:20" x14ac:dyDescent="0.25">
      <c r="A14680" t="str">
        <f>"3039854"</f>
        <v>3039854</v>
      </c>
      <c r="B14680" t="s">
        <v>44756</v>
      </c>
      <c r="C14680" t="str">
        <f>"8314935"</f>
        <v>8314935</v>
      </c>
      <c r="D14680" t="s">
        <v>44757</v>
      </c>
      <c r="F14680" t="s">
        <v>44758</v>
      </c>
      <c r="I14680" t="s">
        <v>184</v>
      </c>
      <c r="J14680" t="s">
        <v>30</v>
      </c>
      <c r="K14680" t="s">
        <v>44759</v>
      </c>
      <c r="M14680" t="s">
        <v>17861</v>
      </c>
      <c r="N14680" t="str">
        <f>"1/7/2021 10:29:00 AM"</f>
        <v>1/7/2021 10:29:00 AM</v>
      </c>
      <c r="O14680" t="s">
        <v>44757</v>
      </c>
    </row>
    <row r="14681" spans="1:20" x14ac:dyDescent="0.25">
      <c r="A14681" t="str">
        <f>"3040305"</f>
        <v>3040305</v>
      </c>
      <c r="B14681" t="s">
        <v>44760</v>
      </c>
      <c r="C14681" t="str">
        <f>"66680000"</f>
        <v>66680000</v>
      </c>
      <c r="D14681" t="s">
        <v>44761</v>
      </c>
      <c r="F14681" t="s">
        <v>44762</v>
      </c>
      <c r="I14681" t="s">
        <v>29</v>
      </c>
      <c r="J14681" t="s">
        <v>30</v>
      </c>
      <c r="K14681" t="s">
        <v>44763</v>
      </c>
      <c r="M14681" t="s">
        <v>18479</v>
      </c>
      <c r="N14681" t="str">
        <f>"1/14/2021 3:46:00 PM"</f>
        <v>1/14/2021 3:46:00 PM</v>
      </c>
      <c r="O14681" t="s">
        <v>44761</v>
      </c>
    </row>
    <row r="14682" spans="1:20" x14ac:dyDescent="0.25">
      <c r="A14682" t="str">
        <f>"3040877"</f>
        <v>3040877</v>
      </c>
      <c r="B14682" t="s">
        <v>44764</v>
      </c>
      <c r="C14682" t="str">
        <f>"66680000"</f>
        <v>66680000</v>
      </c>
      <c r="D14682" t="s">
        <v>44761</v>
      </c>
      <c r="F14682" t="s">
        <v>44762</v>
      </c>
      <c r="I14682" t="s">
        <v>29</v>
      </c>
      <c r="J14682" t="s">
        <v>30</v>
      </c>
      <c r="K14682" t="s">
        <v>44763</v>
      </c>
      <c r="M14682" t="s">
        <v>18479</v>
      </c>
      <c r="N14682" t="str">
        <f>"1/14/2021 3:46:00 PM"</f>
        <v>1/14/2021 3:46:00 PM</v>
      </c>
      <c r="O14682" t="s">
        <v>44761</v>
      </c>
    </row>
    <row r="14683" spans="1:20" x14ac:dyDescent="0.25">
      <c r="A14683" t="str">
        <f>"3041833"</f>
        <v>3041833</v>
      </c>
      <c r="B14683" t="s">
        <v>44765</v>
      </c>
      <c r="C14683" t="str">
        <f>"8313724"</f>
        <v>8313724</v>
      </c>
      <c r="D14683" t="s">
        <v>44766</v>
      </c>
      <c r="E14683" t="s">
        <v>44767</v>
      </c>
      <c r="F14683" t="s">
        <v>44768</v>
      </c>
      <c r="I14683" t="s">
        <v>184</v>
      </c>
      <c r="J14683" t="s">
        <v>30</v>
      </c>
      <c r="K14683" t="s">
        <v>3759</v>
      </c>
      <c r="M14683" t="s">
        <v>18470</v>
      </c>
      <c r="N14683" t="str">
        <f>"1/15/2021 9:16:00 AM"</f>
        <v>1/15/2021 9:16:00 AM</v>
      </c>
      <c r="O14683" t="s">
        <v>44766</v>
      </c>
      <c r="T14683" t="s">
        <v>44767</v>
      </c>
    </row>
    <row r="14684" spans="1:20" x14ac:dyDescent="0.25">
      <c r="A14684" t="str">
        <f>"3061343"</f>
        <v>3061343</v>
      </c>
      <c r="B14684" t="s">
        <v>44769</v>
      </c>
      <c r="C14684" t="str">
        <f>"8314906"</f>
        <v>8314906</v>
      </c>
      <c r="D14684" t="s">
        <v>44770</v>
      </c>
      <c r="E14684" t="s">
        <v>44771</v>
      </c>
      <c r="F14684" t="s">
        <v>44772</v>
      </c>
      <c r="I14684" t="s">
        <v>184</v>
      </c>
      <c r="J14684" t="s">
        <v>30</v>
      </c>
      <c r="K14684" t="s">
        <v>20272</v>
      </c>
      <c r="M14684" t="s">
        <v>17861</v>
      </c>
      <c r="N14684" t="str">
        <f>"1/5/2021 1:05:00 PM"</f>
        <v>1/5/2021 1:05:00 PM</v>
      </c>
      <c r="O14684" t="s">
        <v>44770</v>
      </c>
      <c r="T14684" t="s">
        <v>44771</v>
      </c>
    </row>
    <row r="14685" spans="1:20" x14ac:dyDescent="0.25">
      <c r="A14685" t="str">
        <f>"3046409"</f>
        <v>3046409</v>
      </c>
      <c r="B14685" t="s">
        <v>44773</v>
      </c>
      <c r="C14685" t="str">
        <f>"8314907"</f>
        <v>8314907</v>
      </c>
      <c r="D14685" t="s">
        <v>44774</v>
      </c>
      <c r="E14685" t="s">
        <v>44775</v>
      </c>
      <c r="F14685" t="s">
        <v>44776</v>
      </c>
      <c r="I14685" t="s">
        <v>29</v>
      </c>
      <c r="J14685" t="s">
        <v>30</v>
      </c>
      <c r="K14685" t="s">
        <v>42690</v>
      </c>
      <c r="M14685" t="s">
        <v>17861</v>
      </c>
      <c r="N14685" t="str">
        <f>"1/5/2021 1:08:00 PM"</f>
        <v>1/5/2021 1:08:00 PM</v>
      </c>
      <c r="O14685" t="s">
        <v>44774</v>
      </c>
      <c r="T14685" t="s">
        <v>44775</v>
      </c>
    </row>
    <row r="14686" spans="1:20" x14ac:dyDescent="0.25">
      <c r="A14686" t="str">
        <f>"3071088"</f>
        <v>3071088</v>
      </c>
      <c r="B14686" t="s">
        <v>44777</v>
      </c>
      <c r="C14686" t="str">
        <f>"48464000"</f>
        <v>48464000</v>
      </c>
      <c r="D14686" t="s">
        <v>44778</v>
      </c>
      <c r="E14686" t="s">
        <v>44779</v>
      </c>
      <c r="F14686" t="s">
        <v>44780</v>
      </c>
      <c r="I14686" t="s">
        <v>29</v>
      </c>
      <c r="J14686" t="s">
        <v>30</v>
      </c>
      <c r="K14686" t="s">
        <v>44781</v>
      </c>
      <c r="M14686" t="s">
        <v>17861</v>
      </c>
      <c r="N14686" t="str">
        <f t="shared" ref="N14686:N14693" si="229">"1/15/2021 5:09:00 PM"</f>
        <v>1/15/2021 5:09:00 PM</v>
      </c>
      <c r="O14686" t="s">
        <v>44778</v>
      </c>
      <c r="T14686" t="s">
        <v>44779</v>
      </c>
    </row>
    <row r="14687" spans="1:20" x14ac:dyDescent="0.25">
      <c r="A14687" t="str">
        <f>"3071089"</f>
        <v>3071089</v>
      </c>
      <c r="B14687" t="s">
        <v>44782</v>
      </c>
      <c r="C14687" t="str">
        <f>"48464000"</f>
        <v>48464000</v>
      </c>
      <c r="D14687" t="s">
        <v>44778</v>
      </c>
      <c r="E14687" t="s">
        <v>44779</v>
      </c>
      <c r="F14687" t="s">
        <v>44780</v>
      </c>
      <c r="I14687" t="s">
        <v>29</v>
      </c>
      <c r="J14687" t="s">
        <v>30</v>
      </c>
      <c r="K14687" t="s">
        <v>44781</v>
      </c>
      <c r="M14687" t="s">
        <v>17861</v>
      </c>
      <c r="N14687" t="str">
        <f t="shared" si="229"/>
        <v>1/15/2021 5:09:00 PM</v>
      </c>
      <c r="O14687" t="s">
        <v>44778</v>
      </c>
      <c r="T14687" t="s">
        <v>44779</v>
      </c>
    </row>
    <row r="14688" spans="1:20" x14ac:dyDescent="0.25">
      <c r="A14688" t="str">
        <f>"3071087"</f>
        <v>3071087</v>
      </c>
      <c r="B14688" t="s">
        <v>44783</v>
      </c>
      <c r="C14688" t="str">
        <f t="shared" ref="C14688:C14693" si="230">"48540000"</f>
        <v>48540000</v>
      </c>
      <c r="D14688" t="s">
        <v>44779</v>
      </c>
      <c r="F14688" t="s">
        <v>44780</v>
      </c>
      <c r="I14688" t="s">
        <v>29</v>
      </c>
      <c r="J14688" t="s">
        <v>30</v>
      </c>
      <c r="K14688" t="s">
        <v>44781</v>
      </c>
      <c r="M14688" t="s">
        <v>17861</v>
      </c>
      <c r="N14688" t="str">
        <f t="shared" si="229"/>
        <v>1/15/2021 5:09:00 PM</v>
      </c>
      <c r="O14688" t="s">
        <v>44779</v>
      </c>
    </row>
    <row r="14689" spans="1:20" x14ac:dyDescent="0.25">
      <c r="A14689" t="str">
        <f>"3049678"</f>
        <v>3049678</v>
      </c>
      <c r="B14689" t="s">
        <v>44784</v>
      </c>
      <c r="C14689" t="str">
        <f t="shared" si="230"/>
        <v>48540000</v>
      </c>
      <c r="D14689" t="s">
        <v>44779</v>
      </c>
      <c r="F14689" t="s">
        <v>44780</v>
      </c>
      <c r="I14689" t="s">
        <v>29</v>
      </c>
      <c r="J14689" t="s">
        <v>30</v>
      </c>
      <c r="K14689" t="s">
        <v>44781</v>
      </c>
      <c r="M14689" t="s">
        <v>17861</v>
      </c>
      <c r="N14689" t="str">
        <f t="shared" si="229"/>
        <v>1/15/2021 5:09:00 PM</v>
      </c>
      <c r="O14689" t="s">
        <v>44779</v>
      </c>
    </row>
    <row r="14690" spans="1:20" x14ac:dyDescent="0.25">
      <c r="A14690" t="str">
        <f>"3050255"</f>
        <v>3050255</v>
      </c>
      <c r="B14690" t="s">
        <v>44785</v>
      </c>
      <c r="C14690" t="str">
        <f t="shared" si="230"/>
        <v>48540000</v>
      </c>
      <c r="D14690" t="s">
        <v>44779</v>
      </c>
      <c r="F14690" t="s">
        <v>44780</v>
      </c>
      <c r="I14690" t="s">
        <v>29</v>
      </c>
      <c r="J14690" t="s">
        <v>30</v>
      </c>
      <c r="K14690" t="s">
        <v>44781</v>
      </c>
      <c r="M14690" t="s">
        <v>17861</v>
      </c>
      <c r="N14690" t="str">
        <f t="shared" si="229"/>
        <v>1/15/2021 5:09:00 PM</v>
      </c>
      <c r="O14690" t="s">
        <v>44779</v>
      </c>
    </row>
    <row r="14691" spans="1:20" x14ac:dyDescent="0.25">
      <c r="A14691" t="str">
        <f>"3046251"</f>
        <v>3046251</v>
      </c>
      <c r="B14691" t="s">
        <v>44786</v>
      </c>
      <c r="C14691" t="str">
        <f t="shared" si="230"/>
        <v>48540000</v>
      </c>
      <c r="D14691" t="s">
        <v>44779</v>
      </c>
      <c r="F14691" t="s">
        <v>44780</v>
      </c>
      <c r="I14691" t="s">
        <v>29</v>
      </c>
      <c r="J14691" t="s">
        <v>30</v>
      </c>
      <c r="K14691" t="s">
        <v>44781</v>
      </c>
      <c r="M14691" t="s">
        <v>17861</v>
      </c>
      <c r="N14691" t="str">
        <f t="shared" si="229"/>
        <v>1/15/2021 5:09:00 PM</v>
      </c>
      <c r="O14691" t="s">
        <v>44779</v>
      </c>
    </row>
    <row r="14692" spans="1:20" x14ac:dyDescent="0.25">
      <c r="A14692" t="str">
        <f>"3043473"</f>
        <v>3043473</v>
      </c>
      <c r="B14692" t="s">
        <v>44787</v>
      </c>
      <c r="C14692" t="str">
        <f t="shared" si="230"/>
        <v>48540000</v>
      </c>
      <c r="D14692" t="s">
        <v>44779</v>
      </c>
      <c r="F14692" t="s">
        <v>44780</v>
      </c>
      <c r="I14692" t="s">
        <v>29</v>
      </c>
      <c r="J14692" t="s">
        <v>30</v>
      </c>
      <c r="K14692" t="s">
        <v>44781</v>
      </c>
      <c r="M14692" t="s">
        <v>17861</v>
      </c>
      <c r="N14692" t="str">
        <f t="shared" si="229"/>
        <v>1/15/2021 5:09:00 PM</v>
      </c>
      <c r="O14692" t="s">
        <v>44779</v>
      </c>
    </row>
    <row r="14693" spans="1:20" x14ac:dyDescent="0.25">
      <c r="A14693" t="str">
        <f>"3043785"</f>
        <v>3043785</v>
      </c>
      <c r="B14693" t="s">
        <v>44788</v>
      </c>
      <c r="C14693" t="str">
        <f t="shared" si="230"/>
        <v>48540000</v>
      </c>
      <c r="D14693" t="s">
        <v>44779</v>
      </c>
      <c r="F14693" t="s">
        <v>44780</v>
      </c>
      <c r="I14693" t="s">
        <v>29</v>
      </c>
      <c r="J14693" t="s">
        <v>30</v>
      </c>
      <c r="K14693" t="s">
        <v>44781</v>
      </c>
      <c r="M14693" t="s">
        <v>17861</v>
      </c>
      <c r="N14693" t="str">
        <f t="shared" si="229"/>
        <v>1/15/2021 5:09:00 PM</v>
      </c>
      <c r="O14693" t="s">
        <v>44779</v>
      </c>
    </row>
    <row r="14694" spans="1:20" x14ac:dyDescent="0.25">
      <c r="A14694" t="str">
        <f>"3077940"</f>
        <v>3077940</v>
      </c>
      <c r="B14694" t="s">
        <v>44789</v>
      </c>
      <c r="C14694" t="str">
        <f>"48543000"</f>
        <v>48543000</v>
      </c>
      <c r="D14694" t="s">
        <v>44779</v>
      </c>
      <c r="E14694" t="s">
        <v>44790</v>
      </c>
      <c r="F14694" t="s">
        <v>44780</v>
      </c>
      <c r="I14694" t="s">
        <v>29</v>
      </c>
      <c r="J14694" t="s">
        <v>30</v>
      </c>
      <c r="K14694" t="s">
        <v>44781</v>
      </c>
      <c r="M14694" t="s">
        <v>17861</v>
      </c>
      <c r="N14694" t="str">
        <f>"1/15/2021 5:10:00 PM"</f>
        <v>1/15/2021 5:10:00 PM</v>
      </c>
      <c r="O14694" t="s">
        <v>44779</v>
      </c>
      <c r="T14694" t="s">
        <v>44790</v>
      </c>
    </row>
    <row r="14695" spans="1:20" x14ac:dyDescent="0.25">
      <c r="A14695" t="str">
        <f>"3077941"</f>
        <v>3077941</v>
      </c>
      <c r="B14695" t="s">
        <v>44791</v>
      </c>
      <c r="C14695" t="str">
        <f>"48543000"</f>
        <v>48543000</v>
      </c>
      <c r="D14695" t="s">
        <v>44779</v>
      </c>
      <c r="E14695" t="s">
        <v>44790</v>
      </c>
      <c r="F14695" t="s">
        <v>44780</v>
      </c>
      <c r="I14695" t="s">
        <v>29</v>
      </c>
      <c r="J14695" t="s">
        <v>30</v>
      </c>
      <c r="K14695" t="s">
        <v>44781</v>
      </c>
      <c r="M14695" t="s">
        <v>17861</v>
      </c>
      <c r="N14695" t="str">
        <f>"1/15/2021 5:10:00 PM"</f>
        <v>1/15/2021 5:10:00 PM</v>
      </c>
      <c r="O14695" t="s">
        <v>44779</v>
      </c>
      <c r="T14695" t="s">
        <v>44790</v>
      </c>
    </row>
    <row r="14696" spans="1:20" x14ac:dyDescent="0.25">
      <c r="A14696" t="str">
        <f>"3042984"</f>
        <v>3042984</v>
      </c>
      <c r="B14696" t="s">
        <v>44792</v>
      </c>
      <c r="C14696" t="str">
        <f>"8314912"</f>
        <v>8314912</v>
      </c>
      <c r="D14696" t="s">
        <v>44793</v>
      </c>
      <c r="E14696" t="s">
        <v>44794</v>
      </c>
      <c r="F14696" t="s">
        <v>44795</v>
      </c>
      <c r="I14696" t="s">
        <v>184</v>
      </c>
      <c r="J14696" t="s">
        <v>30</v>
      </c>
      <c r="K14696" t="s">
        <v>4843</v>
      </c>
      <c r="M14696" t="s">
        <v>17861</v>
      </c>
      <c r="N14696" t="str">
        <f>"1/5/2021 2:06:00 PM"</f>
        <v>1/5/2021 2:06:00 PM</v>
      </c>
      <c r="O14696" t="s">
        <v>44793</v>
      </c>
      <c r="T14696" t="s">
        <v>44794</v>
      </c>
    </row>
    <row r="14697" spans="1:20" x14ac:dyDescent="0.25">
      <c r="A14697" t="str">
        <f>"3042922"</f>
        <v>3042922</v>
      </c>
      <c r="B14697" t="s">
        <v>44796</v>
      </c>
      <c r="C14697" t="str">
        <f>"8314914"</f>
        <v>8314914</v>
      </c>
      <c r="D14697" t="s">
        <v>44797</v>
      </c>
      <c r="F14697" t="s">
        <v>44798</v>
      </c>
      <c r="I14697" t="s">
        <v>17921</v>
      </c>
      <c r="J14697" t="s">
        <v>30</v>
      </c>
      <c r="K14697" t="str">
        <f>"27028"</f>
        <v>27028</v>
      </c>
      <c r="M14697" t="s">
        <v>17861</v>
      </c>
      <c r="N14697" t="str">
        <f>"1/5/2021 4:13:00 PM"</f>
        <v>1/5/2021 4:13:00 PM</v>
      </c>
      <c r="O14697" t="s">
        <v>44797</v>
      </c>
    </row>
    <row r="14698" spans="1:20" x14ac:dyDescent="0.25">
      <c r="A14698" t="str">
        <f>"3046264"</f>
        <v>3046264</v>
      </c>
      <c r="B14698" t="s">
        <v>44799</v>
      </c>
      <c r="C14698" t="str">
        <f>"8314915"</f>
        <v>8314915</v>
      </c>
      <c r="D14698" t="s">
        <v>44800</v>
      </c>
      <c r="F14698" t="s">
        <v>44801</v>
      </c>
      <c r="I14698" t="s">
        <v>29</v>
      </c>
      <c r="J14698" t="s">
        <v>30</v>
      </c>
      <c r="K14698" t="s">
        <v>44802</v>
      </c>
      <c r="M14698" t="s">
        <v>17861</v>
      </c>
      <c r="N14698" t="str">
        <f>"1/5/2021 4:16:00 PM"</f>
        <v>1/5/2021 4:16:00 PM</v>
      </c>
      <c r="O14698" t="s">
        <v>44800</v>
      </c>
    </row>
    <row r="14699" spans="1:20" x14ac:dyDescent="0.25">
      <c r="A14699" t="str">
        <f>"3039735"</f>
        <v>3039735</v>
      </c>
      <c r="B14699" t="s">
        <v>44803</v>
      </c>
      <c r="C14699" t="str">
        <f>"8308989"</f>
        <v>8308989</v>
      </c>
      <c r="D14699" t="s">
        <v>44804</v>
      </c>
      <c r="E14699" t="s">
        <v>44805</v>
      </c>
      <c r="F14699" t="s">
        <v>44806</v>
      </c>
      <c r="I14699" t="s">
        <v>29</v>
      </c>
      <c r="J14699" t="s">
        <v>30</v>
      </c>
      <c r="K14699" t="str">
        <f t="shared" ref="K14699:K14708" si="231">"27028"</f>
        <v>27028</v>
      </c>
      <c r="M14699" t="s">
        <v>18470</v>
      </c>
      <c r="N14699" t="str">
        <f>"1/12/2021 3:03:00 PM"</f>
        <v>1/12/2021 3:03:00 PM</v>
      </c>
      <c r="O14699" t="s">
        <v>44804</v>
      </c>
      <c r="T14699" t="s">
        <v>44805</v>
      </c>
    </row>
    <row r="14700" spans="1:20" x14ac:dyDescent="0.25">
      <c r="A14700" t="str">
        <f>"3053297"</f>
        <v>3053297</v>
      </c>
      <c r="B14700" t="s">
        <v>44807</v>
      </c>
      <c r="C14700" t="str">
        <f>"8305428"</f>
        <v>8305428</v>
      </c>
      <c r="D14700" t="s">
        <v>39104</v>
      </c>
      <c r="F14700" t="s">
        <v>39105</v>
      </c>
      <c r="I14700" t="s">
        <v>17921</v>
      </c>
      <c r="J14700" t="s">
        <v>30</v>
      </c>
      <c r="K14700" t="str">
        <f t="shared" si="231"/>
        <v>27028</v>
      </c>
      <c r="M14700" t="s">
        <v>33845</v>
      </c>
      <c r="N14700" t="str">
        <f>"1/22/2021 11:09:00 AM"</f>
        <v>1/22/2021 11:09:00 AM</v>
      </c>
      <c r="O14700" t="s">
        <v>39104</v>
      </c>
    </row>
    <row r="14701" spans="1:20" x14ac:dyDescent="0.25">
      <c r="A14701" t="str">
        <f>"3046432"</f>
        <v>3046432</v>
      </c>
      <c r="B14701" t="s">
        <v>44808</v>
      </c>
      <c r="C14701" t="str">
        <f t="shared" ref="C14701:C14708" si="232">"8309077"</f>
        <v>8309077</v>
      </c>
      <c r="D14701" t="s">
        <v>26822</v>
      </c>
      <c r="E14701" t="s">
        <v>44809</v>
      </c>
      <c r="F14701" t="s">
        <v>44810</v>
      </c>
      <c r="I14701" t="s">
        <v>29</v>
      </c>
      <c r="J14701" t="s">
        <v>30</v>
      </c>
      <c r="K14701" t="str">
        <f t="shared" si="231"/>
        <v>27028</v>
      </c>
      <c r="M14701" t="s">
        <v>25625</v>
      </c>
      <c r="N14701" t="str">
        <f t="shared" ref="N14701:N14708" si="233">"1/22/2021 3:59:00 PM"</f>
        <v>1/22/2021 3:59:00 PM</v>
      </c>
      <c r="O14701" t="s">
        <v>26822</v>
      </c>
      <c r="T14701" t="s">
        <v>44809</v>
      </c>
    </row>
    <row r="14702" spans="1:20" x14ac:dyDescent="0.25">
      <c r="A14702" t="str">
        <f>"3045921"</f>
        <v>3045921</v>
      </c>
      <c r="B14702" t="s">
        <v>44811</v>
      </c>
      <c r="C14702" t="str">
        <f t="shared" si="232"/>
        <v>8309077</v>
      </c>
      <c r="D14702" t="s">
        <v>26822</v>
      </c>
      <c r="E14702" t="s">
        <v>44809</v>
      </c>
      <c r="F14702" t="s">
        <v>44810</v>
      </c>
      <c r="I14702" t="s">
        <v>29</v>
      </c>
      <c r="J14702" t="s">
        <v>30</v>
      </c>
      <c r="K14702" t="str">
        <f t="shared" si="231"/>
        <v>27028</v>
      </c>
      <c r="M14702" t="s">
        <v>25625</v>
      </c>
      <c r="N14702" t="str">
        <f t="shared" si="233"/>
        <v>1/22/2021 3:59:00 PM</v>
      </c>
      <c r="O14702" t="s">
        <v>26822</v>
      </c>
      <c r="T14702" t="s">
        <v>44809</v>
      </c>
    </row>
    <row r="14703" spans="1:20" x14ac:dyDescent="0.25">
      <c r="A14703" t="str">
        <f>"3045864"</f>
        <v>3045864</v>
      </c>
      <c r="B14703" t="s">
        <v>44812</v>
      </c>
      <c r="C14703" t="str">
        <f t="shared" si="232"/>
        <v>8309077</v>
      </c>
      <c r="D14703" t="s">
        <v>26822</v>
      </c>
      <c r="E14703" t="s">
        <v>44809</v>
      </c>
      <c r="F14703" t="s">
        <v>44810</v>
      </c>
      <c r="I14703" t="s">
        <v>29</v>
      </c>
      <c r="J14703" t="s">
        <v>30</v>
      </c>
      <c r="K14703" t="str">
        <f t="shared" si="231"/>
        <v>27028</v>
      </c>
      <c r="M14703" t="s">
        <v>25625</v>
      </c>
      <c r="N14703" t="str">
        <f t="shared" si="233"/>
        <v>1/22/2021 3:59:00 PM</v>
      </c>
      <c r="O14703" t="s">
        <v>26822</v>
      </c>
      <c r="T14703" t="s">
        <v>44809</v>
      </c>
    </row>
    <row r="14704" spans="1:20" x14ac:dyDescent="0.25">
      <c r="A14704" t="str">
        <f>"3042910"</f>
        <v>3042910</v>
      </c>
      <c r="B14704" t="s">
        <v>44813</v>
      </c>
      <c r="C14704" t="str">
        <f t="shared" si="232"/>
        <v>8309077</v>
      </c>
      <c r="D14704" t="s">
        <v>26822</v>
      </c>
      <c r="E14704" t="s">
        <v>44809</v>
      </c>
      <c r="F14704" t="s">
        <v>44810</v>
      </c>
      <c r="I14704" t="s">
        <v>29</v>
      </c>
      <c r="J14704" t="s">
        <v>30</v>
      </c>
      <c r="K14704" t="str">
        <f t="shared" si="231"/>
        <v>27028</v>
      </c>
      <c r="M14704" t="s">
        <v>25625</v>
      </c>
      <c r="N14704" t="str">
        <f t="shared" si="233"/>
        <v>1/22/2021 3:59:00 PM</v>
      </c>
      <c r="O14704" t="s">
        <v>26822</v>
      </c>
      <c r="T14704" t="s">
        <v>44809</v>
      </c>
    </row>
    <row r="14705" spans="1:20" x14ac:dyDescent="0.25">
      <c r="A14705" t="str">
        <f>"3068069"</f>
        <v>3068069</v>
      </c>
      <c r="B14705" t="s">
        <v>44814</v>
      </c>
      <c r="C14705" t="str">
        <f t="shared" si="232"/>
        <v>8309077</v>
      </c>
      <c r="D14705" t="s">
        <v>26822</v>
      </c>
      <c r="E14705" t="s">
        <v>44809</v>
      </c>
      <c r="F14705" t="s">
        <v>44810</v>
      </c>
      <c r="I14705" t="s">
        <v>29</v>
      </c>
      <c r="J14705" t="s">
        <v>30</v>
      </c>
      <c r="K14705" t="str">
        <f t="shared" si="231"/>
        <v>27028</v>
      </c>
      <c r="M14705" t="s">
        <v>25625</v>
      </c>
      <c r="N14705" t="str">
        <f t="shared" si="233"/>
        <v>1/22/2021 3:59:00 PM</v>
      </c>
      <c r="O14705" t="s">
        <v>26822</v>
      </c>
      <c r="T14705" t="s">
        <v>44809</v>
      </c>
    </row>
    <row r="14706" spans="1:20" x14ac:dyDescent="0.25">
      <c r="A14706" t="str">
        <f>"3068070"</f>
        <v>3068070</v>
      </c>
      <c r="B14706" t="s">
        <v>44815</v>
      </c>
      <c r="C14706" t="str">
        <f t="shared" si="232"/>
        <v>8309077</v>
      </c>
      <c r="D14706" t="s">
        <v>26822</v>
      </c>
      <c r="E14706" t="s">
        <v>44809</v>
      </c>
      <c r="F14706" t="s">
        <v>44810</v>
      </c>
      <c r="I14706" t="s">
        <v>29</v>
      </c>
      <c r="J14706" t="s">
        <v>30</v>
      </c>
      <c r="K14706" t="str">
        <f t="shared" si="231"/>
        <v>27028</v>
      </c>
      <c r="M14706" t="s">
        <v>25625</v>
      </c>
      <c r="N14706" t="str">
        <f t="shared" si="233"/>
        <v>1/22/2021 3:59:00 PM</v>
      </c>
      <c r="O14706" t="s">
        <v>26822</v>
      </c>
      <c r="T14706" t="s">
        <v>44809</v>
      </c>
    </row>
    <row r="14707" spans="1:20" x14ac:dyDescent="0.25">
      <c r="A14707" t="str">
        <f>"3068071"</f>
        <v>3068071</v>
      </c>
      <c r="B14707" t="s">
        <v>44816</v>
      </c>
      <c r="C14707" t="str">
        <f t="shared" si="232"/>
        <v>8309077</v>
      </c>
      <c r="D14707" t="s">
        <v>26822</v>
      </c>
      <c r="E14707" t="s">
        <v>44809</v>
      </c>
      <c r="F14707" t="s">
        <v>44810</v>
      </c>
      <c r="I14707" t="s">
        <v>29</v>
      </c>
      <c r="J14707" t="s">
        <v>30</v>
      </c>
      <c r="K14707" t="str">
        <f t="shared" si="231"/>
        <v>27028</v>
      </c>
      <c r="M14707" t="s">
        <v>25625</v>
      </c>
      <c r="N14707" t="str">
        <f t="shared" si="233"/>
        <v>1/22/2021 3:59:00 PM</v>
      </c>
      <c r="O14707" t="s">
        <v>26822</v>
      </c>
      <c r="T14707" t="s">
        <v>44809</v>
      </c>
    </row>
    <row r="14708" spans="1:20" x14ac:dyDescent="0.25">
      <c r="A14708" t="str">
        <f>"3068068"</f>
        <v>3068068</v>
      </c>
      <c r="B14708" t="s">
        <v>44817</v>
      </c>
      <c r="C14708" t="str">
        <f t="shared" si="232"/>
        <v>8309077</v>
      </c>
      <c r="D14708" t="s">
        <v>26822</v>
      </c>
      <c r="E14708" t="s">
        <v>44809</v>
      </c>
      <c r="F14708" t="s">
        <v>44810</v>
      </c>
      <c r="I14708" t="s">
        <v>29</v>
      </c>
      <c r="J14708" t="s">
        <v>30</v>
      </c>
      <c r="K14708" t="str">
        <f t="shared" si="231"/>
        <v>27028</v>
      </c>
      <c r="M14708" t="s">
        <v>25625</v>
      </c>
      <c r="N14708" t="str">
        <f t="shared" si="233"/>
        <v>1/22/2021 3:59:00 PM</v>
      </c>
      <c r="O14708" t="s">
        <v>26822</v>
      </c>
      <c r="T14708" t="s">
        <v>44809</v>
      </c>
    </row>
    <row r="14709" spans="1:20" x14ac:dyDescent="0.25">
      <c r="A14709" t="str">
        <f>"3061855"</f>
        <v>3061855</v>
      </c>
      <c r="B14709" t="s">
        <v>44818</v>
      </c>
      <c r="C14709" t="str">
        <f>"53751000"</f>
        <v>53751000</v>
      </c>
      <c r="D14709" t="s">
        <v>44819</v>
      </c>
      <c r="E14709" t="s">
        <v>44820</v>
      </c>
      <c r="F14709" t="s">
        <v>44821</v>
      </c>
      <c r="I14709" t="s">
        <v>29</v>
      </c>
      <c r="J14709" t="s">
        <v>30</v>
      </c>
      <c r="K14709" t="s">
        <v>31</v>
      </c>
      <c r="M14709" t="s">
        <v>33845</v>
      </c>
      <c r="N14709" t="str">
        <f>"1/25/2021 12:01:00 PM"</f>
        <v>1/25/2021 12:01:00 PM</v>
      </c>
      <c r="O14709" t="s">
        <v>44819</v>
      </c>
      <c r="T14709" t="s">
        <v>44820</v>
      </c>
    </row>
    <row r="14710" spans="1:20" x14ac:dyDescent="0.25">
      <c r="A14710" t="str">
        <f>"3051335"</f>
        <v>3051335</v>
      </c>
      <c r="B14710" t="s">
        <v>44822</v>
      </c>
      <c r="C14710" t="str">
        <f>"8311962"</f>
        <v>8311962</v>
      </c>
      <c r="D14710" t="s">
        <v>44823</v>
      </c>
      <c r="F14710" t="s">
        <v>44824</v>
      </c>
      <c r="I14710" t="s">
        <v>29</v>
      </c>
      <c r="J14710" t="s">
        <v>30</v>
      </c>
      <c r="K14710" t="str">
        <f>"27028"</f>
        <v>27028</v>
      </c>
      <c r="M14710" t="s">
        <v>18470</v>
      </c>
      <c r="N14710" t="str">
        <f>"1/12/2021 4:27:00 PM"</f>
        <v>1/12/2021 4:27:00 PM</v>
      </c>
      <c r="O14710" t="s">
        <v>44823</v>
      </c>
    </row>
    <row r="14711" spans="1:20" x14ac:dyDescent="0.25">
      <c r="A14711" t="str">
        <f>"3059124"</f>
        <v>3059124</v>
      </c>
      <c r="B14711" t="s">
        <v>44825</v>
      </c>
      <c r="C14711" t="str">
        <f>"8314955"</f>
        <v>8314955</v>
      </c>
      <c r="D14711" t="s">
        <v>44826</v>
      </c>
      <c r="F14711" t="s">
        <v>44827</v>
      </c>
      <c r="I14711" t="s">
        <v>29</v>
      </c>
      <c r="J14711" t="s">
        <v>30</v>
      </c>
      <c r="K14711" t="s">
        <v>11411</v>
      </c>
      <c r="M14711" t="s">
        <v>17861</v>
      </c>
      <c r="N14711" t="str">
        <f>"1/14/2021 12:50:00 PM"</f>
        <v>1/14/2021 12:50:00 PM</v>
      </c>
      <c r="O14711" t="s">
        <v>44826</v>
      </c>
    </row>
    <row r="14712" spans="1:20" x14ac:dyDescent="0.25">
      <c r="A14712" t="str">
        <f>"3039049"</f>
        <v>3039049</v>
      </c>
      <c r="B14712" t="s">
        <v>44828</v>
      </c>
      <c r="C14712" t="str">
        <f>"70060000"</f>
        <v>70060000</v>
      </c>
      <c r="D14712" t="s">
        <v>44829</v>
      </c>
      <c r="E14712" t="s">
        <v>44830</v>
      </c>
      <c r="F14712" t="s">
        <v>593</v>
      </c>
      <c r="I14712" t="s">
        <v>29</v>
      </c>
      <c r="J14712" t="s">
        <v>30</v>
      </c>
      <c r="K14712" t="s">
        <v>594</v>
      </c>
      <c r="M14712" t="s">
        <v>33845</v>
      </c>
      <c r="N14712" t="str">
        <f>"1/6/2021 11:09:00 AM"</f>
        <v>1/6/2021 11:09:00 AM</v>
      </c>
      <c r="O14712" t="s">
        <v>44829</v>
      </c>
      <c r="T14712" t="s">
        <v>44830</v>
      </c>
    </row>
    <row r="14713" spans="1:20" x14ac:dyDescent="0.25">
      <c r="A14713" t="str">
        <f>"3060455"</f>
        <v>3060455</v>
      </c>
      <c r="B14713" t="s">
        <v>44831</v>
      </c>
      <c r="C14713" t="str">
        <f>"8314978"</f>
        <v>8314978</v>
      </c>
      <c r="D14713" t="s">
        <v>44832</v>
      </c>
      <c r="F14713" t="s">
        <v>44833</v>
      </c>
      <c r="I14713" t="s">
        <v>184</v>
      </c>
      <c r="J14713" t="s">
        <v>30</v>
      </c>
      <c r="K14713" t="s">
        <v>44834</v>
      </c>
      <c r="M14713" t="s">
        <v>17861</v>
      </c>
      <c r="N14713" t="str">
        <f>"1/27/2021 10:10:00 AM"</f>
        <v>1/27/2021 10:10:00 AM</v>
      </c>
      <c r="O14713" t="s">
        <v>44832</v>
      </c>
    </row>
    <row r="14714" spans="1:20" x14ac:dyDescent="0.25">
      <c r="A14714" t="str">
        <f>"3044318"</f>
        <v>3044318</v>
      </c>
      <c r="B14714" t="s">
        <v>44835</v>
      </c>
      <c r="C14714" t="str">
        <f>"60908000"</f>
        <v>60908000</v>
      </c>
      <c r="D14714" t="s">
        <v>44836</v>
      </c>
      <c r="E14714" t="s">
        <v>44837</v>
      </c>
      <c r="F14714" t="s">
        <v>44838</v>
      </c>
      <c r="I14714" t="s">
        <v>184</v>
      </c>
      <c r="J14714" t="s">
        <v>30</v>
      </c>
      <c r="K14714" t="s">
        <v>44839</v>
      </c>
      <c r="M14714" t="s">
        <v>25733</v>
      </c>
      <c r="N14714" t="str">
        <f>"1/27/2021 10:30:00 AM"</f>
        <v>1/27/2021 10:30:00 AM</v>
      </c>
      <c r="O14714" t="s">
        <v>44836</v>
      </c>
      <c r="T14714" t="s">
        <v>44837</v>
      </c>
    </row>
    <row r="14715" spans="1:20" x14ac:dyDescent="0.25">
      <c r="A14715" t="str">
        <f>"3039322"</f>
        <v>3039322</v>
      </c>
      <c r="B14715" t="s">
        <v>44840</v>
      </c>
      <c r="C14715" t="str">
        <f>"70060000"</f>
        <v>70060000</v>
      </c>
      <c r="D14715" t="s">
        <v>44829</v>
      </c>
      <c r="E14715" t="s">
        <v>44830</v>
      </c>
      <c r="F14715" t="s">
        <v>593</v>
      </c>
      <c r="I14715" t="s">
        <v>29</v>
      </c>
      <c r="J14715" t="s">
        <v>30</v>
      </c>
      <c r="K14715" t="s">
        <v>594</v>
      </c>
      <c r="M14715" t="s">
        <v>33845</v>
      </c>
      <c r="N14715" t="str">
        <f>"1/6/2021 11:09:00 AM"</f>
        <v>1/6/2021 11:09:00 AM</v>
      </c>
      <c r="O14715" t="s">
        <v>44829</v>
      </c>
      <c r="T14715" t="s">
        <v>44830</v>
      </c>
    </row>
    <row r="14716" spans="1:20" x14ac:dyDescent="0.25">
      <c r="A14716" t="str">
        <f>"3061164"</f>
        <v>3061164</v>
      </c>
      <c r="B14716" t="s">
        <v>44841</v>
      </c>
      <c r="C14716" t="str">
        <f>"8314928"</f>
        <v>8314928</v>
      </c>
      <c r="D14716" t="s">
        <v>44842</v>
      </c>
      <c r="E14716" t="s">
        <v>44843</v>
      </c>
      <c r="F14716" t="s">
        <v>44844</v>
      </c>
      <c r="I14716" t="s">
        <v>184</v>
      </c>
      <c r="J14716" t="s">
        <v>30</v>
      </c>
      <c r="K14716" t="s">
        <v>33561</v>
      </c>
      <c r="M14716" t="s">
        <v>17861</v>
      </c>
      <c r="N14716" t="str">
        <f>"1/6/2021 11:49:00 AM"</f>
        <v>1/6/2021 11:49:00 AM</v>
      </c>
      <c r="O14716" t="s">
        <v>44842</v>
      </c>
      <c r="T14716" t="s">
        <v>44843</v>
      </c>
    </row>
    <row r="14717" spans="1:20" x14ac:dyDescent="0.25">
      <c r="A14717" t="str">
        <f>"3045547"</f>
        <v>3045547</v>
      </c>
      <c r="B14717" t="s">
        <v>44845</v>
      </c>
      <c r="C14717" t="str">
        <f>"82513250"</f>
        <v>82513250</v>
      </c>
      <c r="D14717" t="s">
        <v>44846</v>
      </c>
      <c r="F14717" t="s">
        <v>44847</v>
      </c>
      <c r="I14717" t="s">
        <v>29</v>
      </c>
      <c r="J14717" t="s">
        <v>30</v>
      </c>
      <c r="K14717" t="str">
        <f>"27028"</f>
        <v>27028</v>
      </c>
      <c r="M14717" t="s">
        <v>17861</v>
      </c>
      <c r="N14717" t="str">
        <f>"1/28/2021 1:05:00 PM"</f>
        <v>1/28/2021 1:05:00 PM</v>
      </c>
      <c r="O14717" t="s">
        <v>44846</v>
      </c>
    </row>
    <row r="14718" spans="1:20" x14ac:dyDescent="0.25">
      <c r="A14718" t="str">
        <f>"3053611"</f>
        <v>3053611</v>
      </c>
      <c r="B14718" t="s">
        <v>44848</v>
      </c>
      <c r="C14718" t="str">
        <f>"8314930"</f>
        <v>8314930</v>
      </c>
      <c r="D14718" t="s">
        <v>44849</v>
      </c>
      <c r="F14718" t="s">
        <v>44850</v>
      </c>
      <c r="I14718" t="s">
        <v>29</v>
      </c>
      <c r="J14718" t="s">
        <v>30</v>
      </c>
      <c r="K14718" t="s">
        <v>13930</v>
      </c>
      <c r="M14718" t="s">
        <v>17861</v>
      </c>
      <c r="N14718" t="str">
        <f>"1/6/2021 12:29:00 PM"</f>
        <v>1/6/2021 12:29:00 PM</v>
      </c>
      <c r="O14718" t="s">
        <v>44849</v>
      </c>
    </row>
    <row r="14719" spans="1:20" x14ac:dyDescent="0.25">
      <c r="A14719" t="str">
        <f>"3037205"</f>
        <v>3037205</v>
      </c>
      <c r="B14719" t="s">
        <v>44851</v>
      </c>
      <c r="C14719" t="str">
        <f>"8314984"</f>
        <v>8314984</v>
      </c>
      <c r="D14719" t="s">
        <v>25688</v>
      </c>
      <c r="F14719" t="s">
        <v>44852</v>
      </c>
      <c r="I14719" t="s">
        <v>184</v>
      </c>
      <c r="J14719" t="s">
        <v>30</v>
      </c>
      <c r="K14719" t="s">
        <v>44853</v>
      </c>
      <c r="M14719" t="s">
        <v>17861</v>
      </c>
      <c r="N14719" t="str">
        <f>"1/28/2021 2:08:00 PM"</f>
        <v>1/28/2021 2:08:00 PM</v>
      </c>
      <c r="O14719" t="s">
        <v>25688</v>
      </c>
    </row>
    <row r="14720" spans="1:20" x14ac:dyDescent="0.25">
      <c r="A14720" t="str">
        <f>"3053371"</f>
        <v>3053371</v>
      </c>
      <c r="B14720" t="s">
        <v>44854</v>
      </c>
      <c r="C14720" t="str">
        <f>"8314986"</f>
        <v>8314986</v>
      </c>
      <c r="D14720" t="s">
        <v>22688</v>
      </c>
      <c r="E14720" t="s">
        <v>44855</v>
      </c>
      <c r="F14720" t="s">
        <v>44856</v>
      </c>
      <c r="I14720" t="s">
        <v>29</v>
      </c>
      <c r="J14720" t="s">
        <v>30</v>
      </c>
      <c r="K14720" t="s">
        <v>22691</v>
      </c>
      <c r="M14720" t="s">
        <v>17861</v>
      </c>
      <c r="N14720" t="str">
        <f>"1/28/2021 3:14:00 PM"</f>
        <v>1/28/2021 3:14:00 PM</v>
      </c>
      <c r="O14720" t="s">
        <v>22688</v>
      </c>
      <c r="T14720" t="s">
        <v>44855</v>
      </c>
    </row>
    <row r="14721" spans="1:20" x14ac:dyDescent="0.25">
      <c r="A14721" t="str">
        <f>"3037778"</f>
        <v>3037778</v>
      </c>
      <c r="B14721" t="s">
        <v>44857</v>
      </c>
      <c r="C14721" t="str">
        <f>"8314987"</f>
        <v>8314987</v>
      </c>
      <c r="D14721" t="s">
        <v>44858</v>
      </c>
      <c r="F14721" t="s">
        <v>44859</v>
      </c>
      <c r="I14721" t="s">
        <v>29</v>
      </c>
      <c r="J14721" t="s">
        <v>30</v>
      </c>
      <c r="K14721" t="s">
        <v>28665</v>
      </c>
      <c r="M14721" t="s">
        <v>17861</v>
      </c>
      <c r="N14721" t="str">
        <f>"1/28/2021 3:44:00 PM"</f>
        <v>1/28/2021 3:44:00 PM</v>
      </c>
      <c r="O14721" t="s">
        <v>44858</v>
      </c>
    </row>
    <row r="14722" spans="1:20" x14ac:dyDescent="0.25">
      <c r="A14722" t="str">
        <f>"3053270"</f>
        <v>3053270</v>
      </c>
      <c r="B14722" t="s">
        <v>44860</v>
      </c>
      <c r="C14722" t="str">
        <f>"8314932"</f>
        <v>8314932</v>
      </c>
      <c r="D14722" t="s">
        <v>44861</v>
      </c>
      <c r="F14722" t="s">
        <v>44862</v>
      </c>
      <c r="I14722" t="s">
        <v>29</v>
      </c>
      <c r="J14722" t="s">
        <v>30</v>
      </c>
      <c r="K14722" t="s">
        <v>44863</v>
      </c>
      <c r="M14722" t="s">
        <v>17861</v>
      </c>
      <c r="N14722" t="str">
        <f>"1/7/2021 9:16:00 AM"</f>
        <v>1/7/2021 9:16:00 AM</v>
      </c>
      <c r="O14722" t="s">
        <v>44861</v>
      </c>
    </row>
    <row r="14723" spans="1:20" x14ac:dyDescent="0.25">
      <c r="A14723" t="str">
        <f>"3053394"</f>
        <v>3053394</v>
      </c>
      <c r="B14723" t="s">
        <v>44864</v>
      </c>
      <c r="C14723" t="str">
        <f>"82519977"</f>
        <v>82519977</v>
      </c>
      <c r="D14723" t="s">
        <v>44865</v>
      </c>
      <c r="E14723" t="s">
        <v>44866</v>
      </c>
      <c r="F14723" t="s">
        <v>44867</v>
      </c>
      <c r="I14723" t="s">
        <v>184</v>
      </c>
      <c r="J14723" t="s">
        <v>30</v>
      </c>
      <c r="K14723" t="s">
        <v>185</v>
      </c>
      <c r="M14723" t="s">
        <v>18470</v>
      </c>
      <c r="N14723" t="str">
        <f>"2/1/2021 4:38:00 PM"</f>
        <v>2/1/2021 4:38:00 PM</v>
      </c>
      <c r="O14723" t="s">
        <v>44865</v>
      </c>
      <c r="T14723" t="s">
        <v>44866</v>
      </c>
    </row>
    <row r="14724" spans="1:20" x14ac:dyDescent="0.25">
      <c r="A14724" t="str">
        <f>"3044323"</f>
        <v>3044323</v>
      </c>
      <c r="B14724" t="s">
        <v>44868</v>
      </c>
      <c r="C14724" t="str">
        <f>"8314989"</f>
        <v>8314989</v>
      </c>
      <c r="D14724" t="s">
        <v>44869</v>
      </c>
      <c r="F14724" t="s">
        <v>44870</v>
      </c>
      <c r="I14724" t="s">
        <v>184</v>
      </c>
      <c r="J14724" t="s">
        <v>30</v>
      </c>
      <c r="K14724" t="s">
        <v>36030</v>
      </c>
      <c r="M14724" t="s">
        <v>17861</v>
      </c>
      <c r="N14724" t="str">
        <f>"2/2/2021 9:27:00 AM"</f>
        <v>2/2/2021 9:27:00 AM</v>
      </c>
      <c r="O14724" t="s">
        <v>44869</v>
      </c>
    </row>
    <row r="14725" spans="1:20" x14ac:dyDescent="0.25">
      <c r="A14725" t="str">
        <f>"3044143"</f>
        <v>3044143</v>
      </c>
      <c r="B14725" t="s">
        <v>44871</v>
      </c>
      <c r="C14725" t="str">
        <f>"8314990"</f>
        <v>8314990</v>
      </c>
      <c r="D14725" t="s">
        <v>44872</v>
      </c>
      <c r="F14725" t="s">
        <v>44873</v>
      </c>
      <c r="I14725" t="s">
        <v>184</v>
      </c>
      <c r="J14725" t="s">
        <v>30</v>
      </c>
      <c r="K14725" t="s">
        <v>36030</v>
      </c>
      <c r="M14725" t="s">
        <v>17861</v>
      </c>
      <c r="N14725" t="str">
        <f>"2/2/2021 9:32:00 AM"</f>
        <v>2/2/2021 9:32:00 AM</v>
      </c>
      <c r="O14725" t="s">
        <v>44872</v>
      </c>
    </row>
    <row r="14726" spans="1:20" x14ac:dyDescent="0.25">
      <c r="A14726" t="str">
        <f>"3078466"</f>
        <v>3078466</v>
      </c>
      <c r="B14726" t="s">
        <v>44874</v>
      </c>
      <c r="C14726" t="str">
        <f>"8314932"</f>
        <v>8314932</v>
      </c>
      <c r="D14726" t="s">
        <v>44861</v>
      </c>
      <c r="F14726" t="s">
        <v>44862</v>
      </c>
      <c r="I14726" t="s">
        <v>29</v>
      </c>
      <c r="J14726" t="s">
        <v>30</v>
      </c>
      <c r="K14726" t="s">
        <v>44863</v>
      </c>
      <c r="M14726" t="s">
        <v>17861</v>
      </c>
      <c r="N14726" t="str">
        <f>"1/7/2021 9:16:00 AM"</f>
        <v>1/7/2021 9:16:00 AM</v>
      </c>
      <c r="O14726" t="s">
        <v>44861</v>
      </c>
    </row>
    <row r="14727" spans="1:20" x14ac:dyDescent="0.25">
      <c r="A14727" t="str">
        <f>"3040085"</f>
        <v>3040085</v>
      </c>
      <c r="B14727" t="s">
        <v>44875</v>
      </c>
      <c r="C14727" t="str">
        <f>"8314933"</f>
        <v>8314933</v>
      </c>
      <c r="D14727" t="s">
        <v>44876</v>
      </c>
      <c r="F14727" t="s">
        <v>44877</v>
      </c>
      <c r="I14727" t="s">
        <v>29</v>
      </c>
      <c r="J14727" t="s">
        <v>30</v>
      </c>
      <c r="K14727" t="s">
        <v>44878</v>
      </c>
      <c r="M14727" t="s">
        <v>17861</v>
      </c>
      <c r="N14727" t="str">
        <f>"1/7/2021 9:31:00 AM"</f>
        <v>1/7/2021 9:31:00 AM</v>
      </c>
      <c r="O14727" t="s">
        <v>44876</v>
      </c>
    </row>
    <row r="14728" spans="1:20" x14ac:dyDescent="0.25">
      <c r="A14728" t="str">
        <f>"3040191"</f>
        <v>3040191</v>
      </c>
      <c r="B14728" t="s">
        <v>44879</v>
      </c>
      <c r="C14728" t="str">
        <f>"8314933"</f>
        <v>8314933</v>
      </c>
      <c r="D14728" t="s">
        <v>44876</v>
      </c>
      <c r="F14728" t="s">
        <v>44877</v>
      </c>
      <c r="I14728" t="s">
        <v>29</v>
      </c>
      <c r="J14728" t="s">
        <v>30</v>
      </c>
      <c r="K14728" t="s">
        <v>44878</v>
      </c>
      <c r="M14728" t="s">
        <v>17861</v>
      </c>
      <c r="N14728" t="str">
        <f>"1/7/2021 9:31:00 AM"</f>
        <v>1/7/2021 9:31:00 AM</v>
      </c>
      <c r="O14728" t="s">
        <v>44876</v>
      </c>
    </row>
    <row r="14729" spans="1:20" x14ac:dyDescent="0.25">
      <c r="A14729" t="str">
        <f>"3045902"</f>
        <v>3045902</v>
      </c>
      <c r="B14729" t="s">
        <v>44880</v>
      </c>
      <c r="C14729" t="str">
        <f>"48464000"</f>
        <v>48464000</v>
      </c>
      <c r="D14729" t="s">
        <v>44778</v>
      </c>
      <c r="E14729" t="s">
        <v>44779</v>
      </c>
      <c r="F14729" t="s">
        <v>44780</v>
      </c>
      <c r="I14729" t="s">
        <v>29</v>
      </c>
      <c r="J14729" t="s">
        <v>30</v>
      </c>
      <c r="K14729" t="s">
        <v>44781</v>
      </c>
      <c r="M14729" t="s">
        <v>17861</v>
      </c>
      <c r="N14729" t="str">
        <f>"1/15/2021 5:09:00 PM"</f>
        <v>1/15/2021 5:09:00 PM</v>
      </c>
      <c r="O14729" t="s">
        <v>44778</v>
      </c>
      <c r="T14729" t="s">
        <v>44779</v>
      </c>
    </row>
    <row r="14730" spans="1:20" x14ac:dyDescent="0.25">
      <c r="A14730" t="str">
        <f>"3053521"</f>
        <v>3053521</v>
      </c>
      <c r="B14730" t="s">
        <v>44881</v>
      </c>
      <c r="C14730" t="str">
        <f>"8314938"</f>
        <v>8314938</v>
      </c>
      <c r="D14730" t="s">
        <v>44882</v>
      </c>
      <c r="F14730" t="s">
        <v>44883</v>
      </c>
      <c r="I14730" t="s">
        <v>29</v>
      </c>
      <c r="J14730" t="s">
        <v>30</v>
      </c>
      <c r="K14730" t="s">
        <v>14976</v>
      </c>
      <c r="M14730" t="s">
        <v>17861</v>
      </c>
      <c r="N14730" t="str">
        <f>"1/7/2021 2:11:00 PM"</f>
        <v>1/7/2021 2:11:00 PM</v>
      </c>
      <c r="O14730" t="s">
        <v>44882</v>
      </c>
    </row>
    <row r="14731" spans="1:20" x14ac:dyDescent="0.25">
      <c r="A14731" t="str">
        <f>"3061223"</f>
        <v>3061223</v>
      </c>
      <c r="B14731" t="s">
        <v>44884</v>
      </c>
      <c r="C14731" t="str">
        <f>"8307663"</f>
        <v>8307663</v>
      </c>
      <c r="D14731" t="s">
        <v>44885</v>
      </c>
      <c r="F14731" t="s">
        <v>44886</v>
      </c>
      <c r="I14731" t="s">
        <v>402</v>
      </c>
      <c r="J14731" t="s">
        <v>30</v>
      </c>
      <c r="K14731" t="str">
        <f>"27012"</f>
        <v>27012</v>
      </c>
      <c r="M14731" t="s">
        <v>18470</v>
      </c>
      <c r="N14731" t="str">
        <f>"1/8/2021 9:34:00 AM"</f>
        <v>1/8/2021 9:34:00 AM</v>
      </c>
      <c r="O14731" t="s">
        <v>44885</v>
      </c>
    </row>
    <row r="14732" spans="1:20" x14ac:dyDescent="0.25">
      <c r="A14732" t="str">
        <f>"3051959"</f>
        <v>3051959</v>
      </c>
      <c r="B14732" t="s">
        <v>44887</v>
      </c>
      <c r="C14732" t="str">
        <f>"48464000"</f>
        <v>48464000</v>
      </c>
      <c r="D14732" t="s">
        <v>44778</v>
      </c>
      <c r="E14732" t="s">
        <v>44779</v>
      </c>
      <c r="F14732" t="s">
        <v>44780</v>
      </c>
      <c r="I14732" t="s">
        <v>29</v>
      </c>
      <c r="J14732" t="s">
        <v>30</v>
      </c>
      <c r="K14732" t="s">
        <v>44781</v>
      </c>
      <c r="M14732" t="s">
        <v>17861</v>
      </c>
      <c r="N14732" t="str">
        <f>"1/15/2021 5:09:00 PM"</f>
        <v>1/15/2021 5:09:00 PM</v>
      </c>
      <c r="O14732" t="s">
        <v>44778</v>
      </c>
      <c r="T14732" t="s">
        <v>44779</v>
      </c>
    </row>
    <row r="14733" spans="1:20" x14ac:dyDescent="0.25">
      <c r="A14733" t="str">
        <f>"3053837"</f>
        <v>3053837</v>
      </c>
      <c r="B14733" t="s">
        <v>44888</v>
      </c>
      <c r="C14733" t="str">
        <f>"8312897"</f>
        <v>8312897</v>
      </c>
      <c r="D14733" t="s">
        <v>44889</v>
      </c>
      <c r="E14733" t="s">
        <v>44890</v>
      </c>
      <c r="F14733" t="s">
        <v>44891</v>
      </c>
      <c r="I14733" t="s">
        <v>29</v>
      </c>
      <c r="J14733" t="s">
        <v>30</v>
      </c>
      <c r="K14733" t="str">
        <f>"27028"</f>
        <v>27028</v>
      </c>
      <c r="M14733" t="s">
        <v>18470</v>
      </c>
      <c r="N14733" t="str">
        <f>"1/8/2021 9:57:00 AM"</f>
        <v>1/8/2021 9:57:00 AM</v>
      </c>
      <c r="O14733" t="s">
        <v>44889</v>
      </c>
      <c r="T14733" t="s">
        <v>44890</v>
      </c>
    </row>
    <row r="14734" spans="1:20" x14ac:dyDescent="0.25">
      <c r="A14734" t="str">
        <f>"3049176"</f>
        <v>3049176</v>
      </c>
      <c r="B14734" t="s">
        <v>44892</v>
      </c>
      <c r="C14734" t="str">
        <f>"8306455"</f>
        <v>8306455</v>
      </c>
      <c r="D14734" t="s">
        <v>44893</v>
      </c>
      <c r="F14734" t="s">
        <v>44894</v>
      </c>
      <c r="I14734" t="s">
        <v>17921</v>
      </c>
      <c r="J14734" t="s">
        <v>30</v>
      </c>
      <c r="K14734" t="str">
        <f>"27028"</f>
        <v>27028</v>
      </c>
      <c r="M14734" t="s">
        <v>33432</v>
      </c>
      <c r="N14734" t="str">
        <f>"1/8/2021 2:32:00 PM"</f>
        <v>1/8/2021 2:32:00 PM</v>
      </c>
      <c r="O14734" t="s">
        <v>44893</v>
      </c>
    </row>
    <row r="14735" spans="1:20" x14ac:dyDescent="0.25">
      <c r="A14735" t="str">
        <f>"3039815"</f>
        <v>3039815</v>
      </c>
      <c r="B14735" t="s">
        <v>44895</v>
      </c>
      <c r="C14735" t="str">
        <f>"82530484"</f>
        <v>82530484</v>
      </c>
      <c r="D14735" t="s">
        <v>44896</v>
      </c>
      <c r="F14735" t="s">
        <v>17416</v>
      </c>
      <c r="I14735" t="s">
        <v>29</v>
      </c>
      <c r="J14735" t="s">
        <v>30</v>
      </c>
      <c r="K14735" t="s">
        <v>31</v>
      </c>
      <c r="M14735" t="s">
        <v>18470</v>
      </c>
      <c r="N14735" t="str">
        <f>"1/12/2021 8:55:00 AM"</f>
        <v>1/12/2021 8:55:00 AM</v>
      </c>
      <c r="O14735" t="s">
        <v>44896</v>
      </c>
    </row>
    <row r="14736" spans="1:20" x14ac:dyDescent="0.25">
      <c r="A14736" t="str">
        <f>"3050532"</f>
        <v>3050532</v>
      </c>
      <c r="B14736" t="s">
        <v>44897</v>
      </c>
      <c r="C14736" t="str">
        <f>"8312410"</f>
        <v>8312410</v>
      </c>
      <c r="D14736" t="s">
        <v>44898</v>
      </c>
      <c r="E14736" t="s">
        <v>44899</v>
      </c>
      <c r="F14736" t="s">
        <v>44900</v>
      </c>
      <c r="I14736" t="s">
        <v>184</v>
      </c>
      <c r="J14736" t="s">
        <v>30</v>
      </c>
      <c r="K14736" t="str">
        <f>"27006"</f>
        <v>27006</v>
      </c>
      <c r="M14736" t="s">
        <v>18470</v>
      </c>
      <c r="N14736" t="str">
        <f>"1/12/2021 9:16:00 AM"</f>
        <v>1/12/2021 9:16:00 AM</v>
      </c>
      <c r="O14736" t="s">
        <v>44898</v>
      </c>
      <c r="T14736" t="s">
        <v>44899</v>
      </c>
    </row>
    <row r="14737" spans="1:20" x14ac:dyDescent="0.25">
      <c r="A14737" t="str">
        <f>"3054307"</f>
        <v>3054307</v>
      </c>
      <c r="B14737" t="s">
        <v>44901</v>
      </c>
      <c r="C14737" t="str">
        <f>"45626960"</f>
        <v>45626960</v>
      </c>
      <c r="D14737" t="s">
        <v>44902</v>
      </c>
      <c r="F14737" t="s">
        <v>44903</v>
      </c>
      <c r="G14737" t="s">
        <v>44904</v>
      </c>
      <c r="I14737" t="s">
        <v>9580</v>
      </c>
      <c r="J14737" t="s">
        <v>30</v>
      </c>
      <c r="K14737" t="s">
        <v>9581</v>
      </c>
      <c r="M14737" t="s">
        <v>18470</v>
      </c>
      <c r="N14737" t="str">
        <f>"1/12/2021 9:47:00 AM"</f>
        <v>1/12/2021 9:47:00 AM</v>
      </c>
      <c r="O14737" t="s">
        <v>44902</v>
      </c>
    </row>
    <row r="14738" spans="1:20" x14ac:dyDescent="0.25">
      <c r="A14738" t="str">
        <f>"3055623"</f>
        <v>3055623</v>
      </c>
      <c r="B14738" t="s">
        <v>44905</v>
      </c>
      <c r="C14738" t="str">
        <f>"8306644"</f>
        <v>8306644</v>
      </c>
      <c r="D14738" t="s">
        <v>44906</v>
      </c>
      <c r="F14738" t="s">
        <v>44907</v>
      </c>
      <c r="I14738" t="s">
        <v>44908</v>
      </c>
      <c r="J14738" t="s">
        <v>1543</v>
      </c>
      <c r="K14738" t="s">
        <v>44909</v>
      </c>
      <c r="M14738" t="s">
        <v>18470</v>
      </c>
      <c r="N14738" t="str">
        <f>"1/12/2021 11:36:00 AM"</f>
        <v>1/12/2021 11:36:00 AM</v>
      </c>
      <c r="O14738" t="s">
        <v>44906</v>
      </c>
    </row>
    <row r="14739" spans="1:20" x14ac:dyDescent="0.25">
      <c r="A14739" t="str">
        <f>"3051405"</f>
        <v>3051405</v>
      </c>
      <c r="B14739" t="s">
        <v>44910</v>
      </c>
      <c r="C14739" t="str">
        <f>"1629000"</f>
        <v>1629000</v>
      </c>
      <c r="D14739" t="s">
        <v>44911</v>
      </c>
      <c r="E14739" t="s">
        <v>44912</v>
      </c>
      <c r="F14739" t="s">
        <v>44913</v>
      </c>
      <c r="I14739" t="s">
        <v>29</v>
      </c>
      <c r="J14739" t="s">
        <v>30</v>
      </c>
      <c r="K14739" t="s">
        <v>44914</v>
      </c>
      <c r="M14739" t="s">
        <v>18479</v>
      </c>
      <c r="N14739" t="str">
        <f>"1/25/2021 3:50:00 PM"</f>
        <v>1/25/2021 3:50:00 PM</v>
      </c>
      <c r="O14739" t="s">
        <v>44911</v>
      </c>
      <c r="T14739" t="s">
        <v>44912</v>
      </c>
    </row>
    <row r="14740" spans="1:20" x14ac:dyDescent="0.25">
      <c r="A14740" t="str">
        <f>"3045478"</f>
        <v>3045478</v>
      </c>
      <c r="B14740" t="s">
        <v>44915</v>
      </c>
      <c r="C14740" t="str">
        <f>"82515401"</f>
        <v>82515401</v>
      </c>
      <c r="D14740" t="s">
        <v>44916</v>
      </c>
      <c r="F14740" t="s">
        <v>44917</v>
      </c>
      <c r="I14740" t="s">
        <v>29</v>
      </c>
      <c r="J14740" t="s">
        <v>30</v>
      </c>
      <c r="K14740" t="s">
        <v>4068</v>
      </c>
      <c r="M14740" t="s">
        <v>33845</v>
      </c>
      <c r="N14740" t="str">
        <f>"2/16/2021 3:35:00 PM"</f>
        <v>2/16/2021 3:35:00 PM</v>
      </c>
      <c r="O14740" t="s">
        <v>44916</v>
      </c>
    </row>
    <row r="14741" spans="1:20" x14ac:dyDescent="0.25">
      <c r="A14741" t="str">
        <f>"3042674"</f>
        <v>3042674</v>
      </c>
      <c r="B14741" t="s">
        <v>44918</v>
      </c>
      <c r="C14741" t="str">
        <f>"8312797"</f>
        <v>8312797</v>
      </c>
      <c r="D14741" t="s">
        <v>44919</v>
      </c>
      <c r="E14741" t="s">
        <v>44920</v>
      </c>
      <c r="F14741" t="s">
        <v>44921</v>
      </c>
      <c r="I14741" t="s">
        <v>17921</v>
      </c>
      <c r="J14741" t="s">
        <v>30</v>
      </c>
      <c r="K14741" t="s">
        <v>44922</v>
      </c>
      <c r="M14741" t="s">
        <v>33845</v>
      </c>
      <c r="N14741" t="str">
        <f>"1/26/2021 11:22:00 AM"</f>
        <v>1/26/2021 11:22:00 AM</v>
      </c>
      <c r="O14741" t="s">
        <v>44919</v>
      </c>
      <c r="T14741" t="s">
        <v>44920</v>
      </c>
    </row>
    <row r="14742" spans="1:20" x14ac:dyDescent="0.25">
      <c r="A14742" t="str">
        <f>"3057144"</f>
        <v>3057144</v>
      </c>
      <c r="B14742" t="s">
        <v>44923</v>
      </c>
      <c r="C14742" t="str">
        <f>"8302661"</f>
        <v>8302661</v>
      </c>
      <c r="D14742" t="s">
        <v>44924</v>
      </c>
      <c r="F14742" t="s">
        <v>44925</v>
      </c>
      <c r="I14742" t="s">
        <v>184</v>
      </c>
      <c r="J14742" t="s">
        <v>30</v>
      </c>
      <c r="K14742" t="str">
        <f>"27006"</f>
        <v>27006</v>
      </c>
      <c r="M14742" t="s">
        <v>33845</v>
      </c>
      <c r="N14742" t="str">
        <f>"2/16/2021 4:14:00 PM"</f>
        <v>2/16/2021 4:14:00 PM</v>
      </c>
      <c r="O14742" t="s">
        <v>44924</v>
      </c>
    </row>
    <row r="14743" spans="1:20" x14ac:dyDescent="0.25">
      <c r="A14743" t="str">
        <f>"3062524"</f>
        <v>3062524</v>
      </c>
      <c r="B14743" t="s">
        <v>44926</v>
      </c>
      <c r="C14743" t="str">
        <f>"8302661"</f>
        <v>8302661</v>
      </c>
      <c r="D14743" t="s">
        <v>44924</v>
      </c>
      <c r="F14743" t="s">
        <v>44925</v>
      </c>
      <c r="I14743" t="s">
        <v>184</v>
      </c>
      <c r="J14743" t="s">
        <v>30</v>
      </c>
      <c r="K14743" t="str">
        <f>"27006"</f>
        <v>27006</v>
      </c>
      <c r="M14743" t="s">
        <v>33845</v>
      </c>
      <c r="N14743" t="str">
        <f>"2/16/2021 4:14:00 PM"</f>
        <v>2/16/2021 4:14:00 PM</v>
      </c>
      <c r="O14743" t="s">
        <v>44924</v>
      </c>
    </row>
    <row r="14744" spans="1:20" x14ac:dyDescent="0.25">
      <c r="A14744" t="str">
        <f>"3043260"</f>
        <v>3043260</v>
      </c>
      <c r="B14744" t="s">
        <v>44927</v>
      </c>
      <c r="C14744" t="str">
        <f>"8314977"</f>
        <v>8314977</v>
      </c>
      <c r="D14744" t="s">
        <v>44928</v>
      </c>
      <c r="F14744" t="s">
        <v>44929</v>
      </c>
      <c r="I14744" t="s">
        <v>402</v>
      </c>
      <c r="J14744" t="s">
        <v>30</v>
      </c>
      <c r="K14744" t="s">
        <v>44930</v>
      </c>
      <c r="M14744" t="s">
        <v>17861</v>
      </c>
      <c r="N14744" t="str">
        <f>"1/27/2021 9:56:00 AM"</f>
        <v>1/27/2021 9:56:00 AM</v>
      </c>
      <c r="O14744" t="s">
        <v>44928</v>
      </c>
    </row>
    <row r="14745" spans="1:20" x14ac:dyDescent="0.25">
      <c r="A14745" t="str">
        <f>"3044096"</f>
        <v>3044096</v>
      </c>
      <c r="B14745" t="s">
        <v>44931</v>
      </c>
      <c r="C14745" t="str">
        <f>"8314980"</f>
        <v>8314980</v>
      </c>
      <c r="D14745" t="s">
        <v>9108</v>
      </c>
      <c r="F14745" t="s">
        <v>9109</v>
      </c>
      <c r="I14745" t="s">
        <v>184</v>
      </c>
      <c r="J14745" t="s">
        <v>30</v>
      </c>
      <c r="K14745" t="s">
        <v>44932</v>
      </c>
      <c r="M14745" t="s">
        <v>17861</v>
      </c>
      <c r="N14745" t="str">
        <f>"1/27/2021 9:10:00 PM"</f>
        <v>1/27/2021 9:10:00 PM</v>
      </c>
      <c r="O14745" t="s">
        <v>44933</v>
      </c>
    </row>
    <row r="14746" spans="1:20" x14ac:dyDescent="0.25">
      <c r="A14746" t="str">
        <f>"3047506"</f>
        <v>3047506</v>
      </c>
      <c r="B14746" t="s">
        <v>44934</v>
      </c>
      <c r="C14746" t="str">
        <f>"8315015"</f>
        <v>8315015</v>
      </c>
      <c r="D14746" t="s">
        <v>44935</v>
      </c>
      <c r="F14746" t="s">
        <v>44936</v>
      </c>
      <c r="I14746" t="s">
        <v>36675</v>
      </c>
      <c r="J14746" t="s">
        <v>30</v>
      </c>
      <c r="K14746" t="s">
        <v>44937</v>
      </c>
      <c r="M14746" t="s">
        <v>17861</v>
      </c>
      <c r="N14746" t="str">
        <f>"2/22/2021 9:30:00 AM"</f>
        <v>2/22/2021 9:30:00 AM</v>
      </c>
      <c r="O14746" t="s">
        <v>44935</v>
      </c>
    </row>
    <row r="14747" spans="1:20" x14ac:dyDescent="0.25">
      <c r="A14747" t="str">
        <f>"3038535"</f>
        <v>3038535</v>
      </c>
      <c r="B14747" t="s">
        <v>44938</v>
      </c>
      <c r="C14747" t="str">
        <f>"8306756"</f>
        <v>8306756</v>
      </c>
      <c r="D14747" t="s">
        <v>44939</v>
      </c>
      <c r="E14747" t="s">
        <v>44940</v>
      </c>
      <c r="F14747" t="s">
        <v>44941</v>
      </c>
      <c r="I14747" t="s">
        <v>29</v>
      </c>
      <c r="J14747" t="s">
        <v>30</v>
      </c>
      <c r="K14747" t="str">
        <f>"27028"</f>
        <v>27028</v>
      </c>
      <c r="M14747" t="s">
        <v>33845</v>
      </c>
      <c r="N14747" t="str">
        <f>"2/22/2021 9:32:00 AM"</f>
        <v>2/22/2021 9:32:00 AM</v>
      </c>
      <c r="O14747" t="s">
        <v>44939</v>
      </c>
      <c r="T14747" t="s">
        <v>44940</v>
      </c>
    </row>
    <row r="14748" spans="1:20" x14ac:dyDescent="0.25">
      <c r="A14748" t="str">
        <f>"3045120"</f>
        <v>3045120</v>
      </c>
      <c r="B14748" t="s">
        <v>44942</v>
      </c>
      <c r="C14748" t="str">
        <f>"82513250"</f>
        <v>82513250</v>
      </c>
      <c r="D14748" t="s">
        <v>44846</v>
      </c>
      <c r="F14748" t="s">
        <v>44847</v>
      </c>
      <c r="I14748" t="s">
        <v>29</v>
      </c>
      <c r="J14748" t="s">
        <v>30</v>
      </c>
      <c r="K14748" t="str">
        <f>"27028"</f>
        <v>27028</v>
      </c>
      <c r="M14748" t="s">
        <v>17861</v>
      </c>
      <c r="N14748" t="str">
        <f>"1/28/2021 1:05:00 PM"</f>
        <v>1/28/2021 1:05:00 PM</v>
      </c>
      <c r="O14748" t="s">
        <v>44846</v>
      </c>
    </row>
    <row r="14749" spans="1:20" x14ac:dyDescent="0.25">
      <c r="A14749" t="str">
        <f>"3037275"</f>
        <v>3037275</v>
      </c>
      <c r="B14749" t="s">
        <v>44943</v>
      </c>
      <c r="C14749" t="str">
        <f>"8314984"</f>
        <v>8314984</v>
      </c>
      <c r="D14749" t="s">
        <v>25688</v>
      </c>
      <c r="F14749" t="s">
        <v>44852</v>
      </c>
      <c r="I14749" t="s">
        <v>184</v>
      </c>
      <c r="J14749" t="s">
        <v>30</v>
      </c>
      <c r="K14749" t="s">
        <v>44853</v>
      </c>
      <c r="M14749" t="s">
        <v>17861</v>
      </c>
      <c r="N14749" t="str">
        <f>"1/28/2021 2:08:00 PM"</f>
        <v>1/28/2021 2:08:00 PM</v>
      </c>
      <c r="O14749" t="s">
        <v>25688</v>
      </c>
    </row>
    <row r="14750" spans="1:20" x14ac:dyDescent="0.25">
      <c r="A14750" t="str">
        <f>"3059275"</f>
        <v>3059275</v>
      </c>
      <c r="B14750" t="s">
        <v>44944</v>
      </c>
      <c r="C14750" t="str">
        <f>"8314354"</f>
        <v>8314354</v>
      </c>
      <c r="D14750" t="s">
        <v>44945</v>
      </c>
      <c r="E14750" t="s">
        <v>44946</v>
      </c>
      <c r="F14750" t="s">
        <v>44947</v>
      </c>
      <c r="I14750" t="s">
        <v>29</v>
      </c>
      <c r="J14750" t="s">
        <v>30</v>
      </c>
      <c r="K14750" t="s">
        <v>44948</v>
      </c>
      <c r="M14750" t="s">
        <v>18479</v>
      </c>
      <c r="N14750" t="str">
        <f>"2/1/2021 11:35:00 AM"</f>
        <v>2/1/2021 11:35:00 AM</v>
      </c>
      <c r="O14750" t="s">
        <v>44945</v>
      </c>
      <c r="T14750" t="s">
        <v>44946</v>
      </c>
    </row>
    <row r="14751" spans="1:20" x14ac:dyDescent="0.25">
      <c r="A14751" t="str">
        <f>"3040348"</f>
        <v>3040348</v>
      </c>
      <c r="B14751" t="s">
        <v>44949</v>
      </c>
      <c r="C14751" t="str">
        <f>"82526825"</f>
        <v>82526825</v>
      </c>
      <c r="D14751" t="s">
        <v>32258</v>
      </c>
      <c r="E14751" t="s">
        <v>32259</v>
      </c>
      <c r="F14751" t="s">
        <v>44752</v>
      </c>
      <c r="I14751" t="s">
        <v>184</v>
      </c>
      <c r="J14751" t="s">
        <v>30</v>
      </c>
      <c r="K14751" t="s">
        <v>185</v>
      </c>
      <c r="M14751" t="s">
        <v>25733</v>
      </c>
      <c r="N14751" t="str">
        <f>"2/3/2021 1:39:00 PM"</f>
        <v>2/3/2021 1:39:00 PM</v>
      </c>
      <c r="O14751" t="s">
        <v>32258</v>
      </c>
      <c r="T14751" t="s">
        <v>32259</v>
      </c>
    </row>
    <row r="14752" spans="1:20" x14ac:dyDescent="0.25">
      <c r="A14752" t="str">
        <f>"3049843"</f>
        <v>3049843</v>
      </c>
      <c r="B14752" t="s">
        <v>44950</v>
      </c>
      <c r="C14752" t="str">
        <f>"82516985"</f>
        <v>82516985</v>
      </c>
      <c r="D14752" t="s">
        <v>44951</v>
      </c>
      <c r="E14752" t="s">
        <v>44952</v>
      </c>
      <c r="F14752" t="s">
        <v>44953</v>
      </c>
      <c r="I14752" t="s">
        <v>29</v>
      </c>
      <c r="J14752" t="s">
        <v>30</v>
      </c>
      <c r="K14752" t="s">
        <v>31</v>
      </c>
      <c r="M14752" t="s">
        <v>32801</v>
      </c>
      <c r="N14752" t="str">
        <f>"2/22/2021 2:41:00 PM"</f>
        <v>2/22/2021 2:41:00 PM</v>
      </c>
      <c r="O14752" t="s">
        <v>44951</v>
      </c>
      <c r="T14752" t="s">
        <v>44952</v>
      </c>
    </row>
    <row r="14753" spans="1:20" x14ac:dyDescent="0.25">
      <c r="A14753" t="str">
        <f>"3062028"</f>
        <v>3062028</v>
      </c>
      <c r="B14753" t="s">
        <v>44954</v>
      </c>
      <c r="C14753" t="str">
        <f>"8315022"</f>
        <v>8315022</v>
      </c>
      <c r="D14753" t="s">
        <v>44955</v>
      </c>
      <c r="E14753" t="s">
        <v>44956</v>
      </c>
      <c r="F14753" t="s">
        <v>44957</v>
      </c>
      <c r="I14753" t="s">
        <v>471</v>
      </c>
      <c r="J14753" t="s">
        <v>30</v>
      </c>
      <c r="K14753" t="s">
        <v>44958</v>
      </c>
      <c r="M14753" t="s">
        <v>17861</v>
      </c>
      <c r="N14753" t="str">
        <f>"2/22/2021 2:42:00 PM"</f>
        <v>2/22/2021 2:42:00 PM</v>
      </c>
      <c r="O14753" t="s">
        <v>44955</v>
      </c>
      <c r="T14753" t="s">
        <v>44956</v>
      </c>
    </row>
    <row r="14754" spans="1:20" x14ac:dyDescent="0.25">
      <c r="A14754" t="str">
        <f>"3076735"</f>
        <v>3076735</v>
      </c>
      <c r="B14754" t="s">
        <v>44959</v>
      </c>
      <c r="C14754" t="str">
        <f>"8301282"</f>
        <v>8301282</v>
      </c>
      <c r="D14754" t="s">
        <v>43414</v>
      </c>
      <c r="E14754" t="s">
        <v>43415</v>
      </c>
      <c r="F14754" t="s">
        <v>44960</v>
      </c>
      <c r="I14754" t="s">
        <v>184</v>
      </c>
      <c r="J14754" t="s">
        <v>30</v>
      </c>
      <c r="K14754" t="s">
        <v>44961</v>
      </c>
      <c r="M14754" t="s">
        <v>17861</v>
      </c>
      <c r="N14754" t="str">
        <f>"2/23/2021 8:20:00 AM"</f>
        <v>2/23/2021 8:20:00 AM</v>
      </c>
      <c r="O14754" t="s">
        <v>43414</v>
      </c>
      <c r="T14754" t="s">
        <v>43415</v>
      </c>
    </row>
    <row r="14755" spans="1:20" x14ac:dyDescent="0.25">
      <c r="A14755" t="str">
        <f>"3037228"</f>
        <v>3037228</v>
      </c>
      <c r="B14755" t="s">
        <v>44962</v>
      </c>
      <c r="C14755" t="str">
        <f>"8301282"</f>
        <v>8301282</v>
      </c>
      <c r="D14755" t="s">
        <v>43414</v>
      </c>
      <c r="E14755" t="s">
        <v>43415</v>
      </c>
      <c r="F14755" t="s">
        <v>44960</v>
      </c>
      <c r="I14755" t="s">
        <v>184</v>
      </c>
      <c r="J14755" t="s">
        <v>30</v>
      </c>
      <c r="K14755" t="s">
        <v>44961</v>
      </c>
      <c r="M14755" t="s">
        <v>17861</v>
      </c>
      <c r="N14755" t="str">
        <f>"2/23/2021 8:20:00 AM"</f>
        <v>2/23/2021 8:20:00 AM</v>
      </c>
      <c r="O14755" t="s">
        <v>43414</v>
      </c>
      <c r="T14755" t="s">
        <v>43415</v>
      </c>
    </row>
    <row r="14756" spans="1:20" x14ac:dyDescent="0.25">
      <c r="A14756" t="str">
        <f>"3037269"</f>
        <v>3037269</v>
      </c>
      <c r="B14756" t="s">
        <v>44963</v>
      </c>
      <c r="C14756" t="str">
        <f>"8301282"</f>
        <v>8301282</v>
      </c>
      <c r="D14756" t="s">
        <v>43414</v>
      </c>
      <c r="E14756" t="s">
        <v>43415</v>
      </c>
      <c r="F14756" t="s">
        <v>44960</v>
      </c>
      <c r="I14756" t="s">
        <v>184</v>
      </c>
      <c r="J14756" t="s">
        <v>30</v>
      </c>
      <c r="K14756" t="s">
        <v>44961</v>
      </c>
      <c r="M14756" t="s">
        <v>17861</v>
      </c>
      <c r="N14756" t="str">
        <f>"2/23/2021 8:20:00 AM"</f>
        <v>2/23/2021 8:20:00 AM</v>
      </c>
      <c r="O14756" t="s">
        <v>43414</v>
      </c>
      <c r="T14756" t="s">
        <v>43415</v>
      </c>
    </row>
    <row r="14757" spans="1:20" x14ac:dyDescent="0.25">
      <c r="A14757" t="str">
        <f>"3048789"</f>
        <v>3048789</v>
      </c>
      <c r="B14757" t="s">
        <v>44964</v>
      </c>
      <c r="C14757" t="str">
        <f>"8315026"</f>
        <v>8315026</v>
      </c>
      <c r="D14757" t="s">
        <v>44965</v>
      </c>
      <c r="F14757" t="s">
        <v>44966</v>
      </c>
      <c r="I14757" t="s">
        <v>17921</v>
      </c>
      <c r="J14757" t="s">
        <v>30</v>
      </c>
      <c r="K14757" t="str">
        <f>"27028"</f>
        <v>27028</v>
      </c>
      <c r="M14757" t="s">
        <v>17861</v>
      </c>
      <c r="N14757" t="str">
        <f>"2/23/2021 9:39:00 AM"</f>
        <v>2/23/2021 9:39:00 AM</v>
      </c>
      <c r="O14757" t="s">
        <v>44965</v>
      </c>
    </row>
    <row r="14758" spans="1:20" x14ac:dyDescent="0.25">
      <c r="A14758" t="str">
        <f>"3055819"</f>
        <v>3055819</v>
      </c>
      <c r="B14758" t="s">
        <v>44967</v>
      </c>
      <c r="C14758" t="str">
        <f>"8306255"</f>
        <v>8306255</v>
      </c>
      <c r="D14758" t="s">
        <v>44968</v>
      </c>
      <c r="F14758" t="s">
        <v>44969</v>
      </c>
      <c r="I14758" t="s">
        <v>9580</v>
      </c>
      <c r="J14758" t="s">
        <v>30</v>
      </c>
      <c r="K14758" t="s">
        <v>44970</v>
      </c>
      <c r="M14758" t="s">
        <v>17861</v>
      </c>
      <c r="N14758" t="str">
        <f>"2/23/2021 9:45:00 AM"</f>
        <v>2/23/2021 9:45:00 AM</v>
      </c>
      <c r="O14758" t="s">
        <v>44968</v>
      </c>
    </row>
    <row r="14759" spans="1:20" x14ac:dyDescent="0.25">
      <c r="A14759" t="str">
        <f>"3065017"</f>
        <v>3065017</v>
      </c>
      <c r="B14759" t="s">
        <v>44971</v>
      </c>
      <c r="C14759" t="str">
        <f>"82526825"</f>
        <v>82526825</v>
      </c>
      <c r="D14759" t="s">
        <v>32258</v>
      </c>
      <c r="E14759" t="s">
        <v>32259</v>
      </c>
      <c r="F14759" t="s">
        <v>44752</v>
      </c>
      <c r="I14759" t="s">
        <v>184</v>
      </c>
      <c r="J14759" t="s">
        <v>30</v>
      </c>
      <c r="K14759" t="s">
        <v>185</v>
      </c>
      <c r="M14759" t="s">
        <v>25733</v>
      </c>
      <c r="N14759" t="str">
        <f>"2/3/2021 1:39:00 PM"</f>
        <v>2/3/2021 1:39:00 PM</v>
      </c>
      <c r="O14759" t="s">
        <v>32258</v>
      </c>
      <c r="T14759" t="s">
        <v>32259</v>
      </c>
    </row>
    <row r="14760" spans="1:20" x14ac:dyDescent="0.25">
      <c r="A14760" t="str">
        <f>"3046788"</f>
        <v>3046788</v>
      </c>
      <c r="B14760" t="s">
        <v>44972</v>
      </c>
      <c r="C14760" t="str">
        <f>"8313440"</f>
        <v>8313440</v>
      </c>
      <c r="D14760" t="s">
        <v>44973</v>
      </c>
      <c r="F14760" t="s">
        <v>44974</v>
      </c>
      <c r="I14760" t="s">
        <v>184</v>
      </c>
      <c r="J14760" t="s">
        <v>30</v>
      </c>
      <c r="K14760" t="str">
        <f>"27006"</f>
        <v>27006</v>
      </c>
      <c r="M14760" t="s">
        <v>18470</v>
      </c>
      <c r="N14760" t="str">
        <f>"2/4/2021 11:45:00 AM"</f>
        <v>2/4/2021 11:45:00 AM</v>
      </c>
      <c r="O14760" t="s">
        <v>44973</v>
      </c>
    </row>
    <row r="14761" spans="1:20" x14ac:dyDescent="0.25">
      <c r="A14761" t="str">
        <f>"3048913"</f>
        <v>3048913</v>
      </c>
      <c r="B14761" t="s">
        <v>44975</v>
      </c>
      <c r="C14761" t="str">
        <f>"8305505"</f>
        <v>8305505</v>
      </c>
      <c r="D14761" t="s">
        <v>44976</v>
      </c>
      <c r="F14761" t="s">
        <v>44977</v>
      </c>
      <c r="G14761" t="s">
        <v>44978</v>
      </c>
      <c r="I14761" t="s">
        <v>44979</v>
      </c>
      <c r="J14761" t="s">
        <v>30197</v>
      </c>
      <c r="K14761" t="s">
        <v>44980</v>
      </c>
      <c r="M14761" t="s">
        <v>17861</v>
      </c>
      <c r="N14761" t="str">
        <f>"2/23/2021 10:27:00 AM"</f>
        <v>2/23/2021 10:27:00 AM</v>
      </c>
      <c r="O14761" t="s">
        <v>44976</v>
      </c>
    </row>
    <row r="14762" spans="1:20" x14ac:dyDescent="0.25">
      <c r="A14762" t="str">
        <f>"3049887"</f>
        <v>3049887</v>
      </c>
      <c r="B14762" t="s">
        <v>44981</v>
      </c>
      <c r="C14762" t="str">
        <f>"40006000"</f>
        <v>40006000</v>
      </c>
      <c r="D14762" t="s">
        <v>44982</v>
      </c>
      <c r="F14762" t="s">
        <v>44983</v>
      </c>
      <c r="I14762" t="s">
        <v>29</v>
      </c>
      <c r="J14762" t="s">
        <v>30</v>
      </c>
      <c r="K14762" t="s">
        <v>13099</v>
      </c>
      <c r="M14762" t="s">
        <v>18479</v>
      </c>
      <c r="N14762" t="str">
        <f>"2/23/2021 10:28:00 AM"</f>
        <v>2/23/2021 10:28:00 AM</v>
      </c>
      <c r="O14762" t="s">
        <v>44982</v>
      </c>
    </row>
    <row r="14763" spans="1:20" x14ac:dyDescent="0.25">
      <c r="A14763" t="str">
        <f>"3038381"</f>
        <v>3038381</v>
      </c>
      <c r="B14763" t="s">
        <v>44984</v>
      </c>
      <c r="C14763" t="str">
        <f>"8312049"</f>
        <v>8312049</v>
      </c>
      <c r="D14763" t="s">
        <v>44985</v>
      </c>
      <c r="E14763" t="s">
        <v>44986</v>
      </c>
      <c r="F14763" t="s">
        <v>4492</v>
      </c>
      <c r="I14763" t="s">
        <v>17921</v>
      </c>
      <c r="J14763" t="s">
        <v>30</v>
      </c>
      <c r="K14763" t="s">
        <v>44987</v>
      </c>
      <c r="M14763" t="s">
        <v>17861</v>
      </c>
      <c r="N14763" t="str">
        <f>"2/23/2021 10:40:00 AM"</f>
        <v>2/23/2021 10:40:00 AM</v>
      </c>
      <c r="O14763" t="s">
        <v>44985</v>
      </c>
      <c r="T14763" t="s">
        <v>44986</v>
      </c>
    </row>
    <row r="14764" spans="1:20" x14ac:dyDescent="0.25">
      <c r="A14764" t="str">
        <f>"3059466"</f>
        <v>3059466</v>
      </c>
      <c r="B14764" t="s">
        <v>44988</v>
      </c>
      <c r="C14764" t="str">
        <f>"8312056"</f>
        <v>8312056</v>
      </c>
      <c r="D14764" t="s">
        <v>44989</v>
      </c>
      <c r="E14764" t="s">
        <v>44990</v>
      </c>
      <c r="F14764" t="s">
        <v>44991</v>
      </c>
      <c r="I14764" t="s">
        <v>29</v>
      </c>
      <c r="J14764" t="s">
        <v>30</v>
      </c>
      <c r="K14764" t="str">
        <f>"27028"</f>
        <v>27028</v>
      </c>
      <c r="M14764" t="s">
        <v>18470</v>
      </c>
      <c r="N14764" t="str">
        <f>"2/4/2021 3:44:00 PM"</f>
        <v>2/4/2021 3:44:00 PM</v>
      </c>
      <c r="O14764" t="s">
        <v>44989</v>
      </c>
      <c r="T14764" t="s">
        <v>44990</v>
      </c>
    </row>
    <row r="14765" spans="1:20" x14ac:dyDescent="0.25">
      <c r="A14765" t="str">
        <f>"3040171"</f>
        <v>3040171</v>
      </c>
      <c r="B14765" t="s">
        <v>44992</v>
      </c>
      <c r="C14765" t="str">
        <f>"82519102"</f>
        <v>82519102</v>
      </c>
      <c r="D14765" t="s">
        <v>44993</v>
      </c>
      <c r="F14765" t="s">
        <v>44994</v>
      </c>
      <c r="I14765" t="s">
        <v>29</v>
      </c>
      <c r="J14765" t="s">
        <v>30</v>
      </c>
      <c r="K14765" t="s">
        <v>21889</v>
      </c>
      <c r="M14765" t="s">
        <v>18479</v>
      </c>
      <c r="N14765" t="str">
        <f>"2/5/2021 3:40:00 PM"</f>
        <v>2/5/2021 3:40:00 PM</v>
      </c>
      <c r="O14765" t="s">
        <v>44993</v>
      </c>
    </row>
    <row r="14766" spans="1:20" x14ac:dyDescent="0.25">
      <c r="A14766" t="str">
        <f>"3045190"</f>
        <v>3045190</v>
      </c>
      <c r="B14766" t="s">
        <v>44995</v>
      </c>
      <c r="C14766" t="str">
        <f>"8309500"</f>
        <v>8309500</v>
      </c>
      <c r="D14766" t="s">
        <v>44996</v>
      </c>
      <c r="F14766" t="s">
        <v>44997</v>
      </c>
      <c r="G14766" t="s">
        <v>44998</v>
      </c>
      <c r="I14766" t="s">
        <v>29</v>
      </c>
      <c r="J14766" t="s">
        <v>30</v>
      </c>
      <c r="K14766" t="s">
        <v>44999</v>
      </c>
      <c r="M14766" t="s">
        <v>18470</v>
      </c>
      <c r="N14766" t="str">
        <f>"2/8/2021 4:35:00 PM"</f>
        <v>2/8/2021 4:35:00 PM</v>
      </c>
      <c r="O14766" t="s">
        <v>44996</v>
      </c>
    </row>
    <row r="14767" spans="1:20" x14ac:dyDescent="0.25">
      <c r="A14767" t="str">
        <f>"3078412"</f>
        <v>3078412</v>
      </c>
      <c r="B14767" t="s">
        <v>45000</v>
      </c>
      <c r="C14767" t="str">
        <f>"8311755"</f>
        <v>8311755</v>
      </c>
      <c r="D14767" t="s">
        <v>45001</v>
      </c>
      <c r="E14767" t="s">
        <v>45002</v>
      </c>
      <c r="F14767" t="s">
        <v>45003</v>
      </c>
      <c r="I14767" t="s">
        <v>29</v>
      </c>
      <c r="J14767" t="s">
        <v>30</v>
      </c>
      <c r="K14767" t="s">
        <v>45004</v>
      </c>
      <c r="M14767" t="s">
        <v>17861</v>
      </c>
      <c r="N14767" t="str">
        <f>"2/23/2021 12:08:00 PM"</f>
        <v>2/23/2021 12:08:00 PM</v>
      </c>
      <c r="O14767" t="s">
        <v>45001</v>
      </c>
      <c r="T14767" t="s">
        <v>45002</v>
      </c>
    </row>
    <row r="14768" spans="1:20" x14ac:dyDescent="0.25">
      <c r="A14768" t="str">
        <f>"3049930"</f>
        <v>3049930</v>
      </c>
      <c r="B14768" t="s">
        <v>45005</v>
      </c>
      <c r="C14768" t="str">
        <f>"8311755"</f>
        <v>8311755</v>
      </c>
      <c r="D14768" t="s">
        <v>45001</v>
      </c>
      <c r="E14768" t="s">
        <v>45002</v>
      </c>
      <c r="F14768" t="s">
        <v>45003</v>
      </c>
      <c r="I14768" t="s">
        <v>29</v>
      </c>
      <c r="J14768" t="s">
        <v>30</v>
      </c>
      <c r="K14768" t="s">
        <v>45004</v>
      </c>
      <c r="M14768" t="s">
        <v>17861</v>
      </c>
      <c r="N14768" t="str">
        <f>"2/23/2021 12:08:00 PM"</f>
        <v>2/23/2021 12:08:00 PM</v>
      </c>
      <c r="O14768" t="s">
        <v>45001</v>
      </c>
      <c r="T14768" t="s">
        <v>45002</v>
      </c>
    </row>
    <row r="14769" spans="1:20" x14ac:dyDescent="0.25">
      <c r="A14769" t="str">
        <f>"3043958"</f>
        <v>3043958</v>
      </c>
      <c r="B14769" t="s">
        <v>45006</v>
      </c>
      <c r="C14769" t="str">
        <f>"82520227"</f>
        <v>82520227</v>
      </c>
      <c r="D14769" t="s">
        <v>45002</v>
      </c>
      <c r="F14769" t="s">
        <v>45003</v>
      </c>
      <c r="I14769" t="s">
        <v>29</v>
      </c>
      <c r="J14769" t="s">
        <v>30</v>
      </c>
      <c r="K14769" t="s">
        <v>45004</v>
      </c>
      <c r="M14769" t="s">
        <v>17861</v>
      </c>
      <c r="N14769" t="str">
        <f>"2/23/2021 12:09:00 PM"</f>
        <v>2/23/2021 12:09:00 PM</v>
      </c>
      <c r="O14769" t="s">
        <v>45007</v>
      </c>
    </row>
    <row r="14770" spans="1:20" x14ac:dyDescent="0.25">
      <c r="A14770" t="str">
        <f>"3055733"</f>
        <v>3055733</v>
      </c>
      <c r="B14770" t="s">
        <v>45008</v>
      </c>
      <c r="C14770" t="str">
        <f>"8312582"</f>
        <v>8312582</v>
      </c>
      <c r="D14770" t="s">
        <v>45009</v>
      </c>
      <c r="E14770" t="s">
        <v>45010</v>
      </c>
      <c r="F14770" t="s">
        <v>45011</v>
      </c>
      <c r="I14770" t="s">
        <v>9580</v>
      </c>
      <c r="J14770" t="s">
        <v>30</v>
      </c>
      <c r="K14770" t="s">
        <v>45012</v>
      </c>
      <c r="M14770" t="s">
        <v>17861</v>
      </c>
      <c r="N14770" t="str">
        <f>"2/23/2021 12:15:00 PM"</f>
        <v>2/23/2021 12:15:00 PM</v>
      </c>
      <c r="O14770" t="s">
        <v>45009</v>
      </c>
      <c r="T14770" t="s">
        <v>45010</v>
      </c>
    </row>
    <row r="14771" spans="1:20" x14ac:dyDescent="0.25">
      <c r="A14771" t="str">
        <f>"3056417"</f>
        <v>3056417</v>
      </c>
      <c r="B14771" t="s">
        <v>45013</v>
      </c>
      <c r="C14771" t="str">
        <f>"53832500"</f>
        <v>53832500</v>
      </c>
      <c r="D14771" t="s">
        <v>45014</v>
      </c>
      <c r="F14771" t="s">
        <v>21732</v>
      </c>
      <c r="I14771" t="s">
        <v>29</v>
      </c>
      <c r="J14771" t="s">
        <v>30</v>
      </c>
      <c r="K14771" t="s">
        <v>45015</v>
      </c>
      <c r="M14771" t="s">
        <v>17861</v>
      </c>
      <c r="N14771" t="str">
        <f>"2/23/2021 12:32:00 PM"</f>
        <v>2/23/2021 12:32:00 PM</v>
      </c>
      <c r="O14771" t="s">
        <v>45014</v>
      </c>
    </row>
    <row r="14772" spans="1:20" x14ac:dyDescent="0.25">
      <c r="A14772" t="str">
        <f>"3056325"</f>
        <v>3056325</v>
      </c>
      <c r="B14772" t="s">
        <v>45016</v>
      </c>
      <c r="C14772" t="str">
        <f>"53832500"</f>
        <v>53832500</v>
      </c>
      <c r="D14772" t="s">
        <v>45014</v>
      </c>
      <c r="F14772" t="s">
        <v>21732</v>
      </c>
      <c r="I14772" t="s">
        <v>29</v>
      </c>
      <c r="J14772" t="s">
        <v>30</v>
      </c>
      <c r="K14772" t="s">
        <v>45015</v>
      </c>
      <c r="M14772" t="s">
        <v>17861</v>
      </c>
      <c r="N14772" t="str">
        <f>"2/23/2021 12:32:00 PM"</f>
        <v>2/23/2021 12:32:00 PM</v>
      </c>
      <c r="O14772" t="s">
        <v>45014</v>
      </c>
    </row>
    <row r="14773" spans="1:20" x14ac:dyDescent="0.25">
      <c r="A14773" t="str">
        <f>"3056326"</f>
        <v>3056326</v>
      </c>
      <c r="B14773" t="s">
        <v>45017</v>
      </c>
      <c r="C14773" t="str">
        <f>"53832500"</f>
        <v>53832500</v>
      </c>
      <c r="D14773" t="s">
        <v>45014</v>
      </c>
      <c r="F14773" t="s">
        <v>21732</v>
      </c>
      <c r="I14773" t="s">
        <v>29</v>
      </c>
      <c r="J14773" t="s">
        <v>30</v>
      </c>
      <c r="K14773" t="s">
        <v>45015</v>
      </c>
      <c r="M14773" t="s">
        <v>17861</v>
      </c>
      <c r="N14773" t="str">
        <f>"2/23/2021 12:32:00 PM"</f>
        <v>2/23/2021 12:32:00 PM</v>
      </c>
      <c r="O14773" t="s">
        <v>45014</v>
      </c>
    </row>
    <row r="14774" spans="1:20" x14ac:dyDescent="0.25">
      <c r="A14774" t="str">
        <f>"3056301"</f>
        <v>3056301</v>
      </c>
      <c r="B14774" t="s">
        <v>45018</v>
      </c>
      <c r="C14774" t="str">
        <f>"53832500"</f>
        <v>53832500</v>
      </c>
      <c r="D14774" t="s">
        <v>45014</v>
      </c>
      <c r="F14774" t="s">
        <v>21732</v>
      </c>
      <c r="I14774" t="s">
        <v>29</v>
      </c>
      <c r="J14774" t="s">
        <v>30</v>
      </c>
      <c r="K14774" t="s">
        <v>45015</v>
      </c>
      <c r="M14774" t="s">
        <v>17861</v>
      </c>
      <c r="N14774" t="str">
        <f>"2/23/2021 12:32:00 PM"</f>
        <v>2/23/2021 12:32:00 PM</v>
      </c>
      <c r="O14774" t="s">
        <v>45014</v>
      </c>
    </row>
    <row r="14775" spans="1:20" x14ac:dyDescent="0.25">
      <c r="A14775" t="str">
        <f>"3054785"</f>
        <v>3054785</v>
      </c>
      <c r="B14775" t="s">
        <v>45019</v>
      </c>
      <c r="C14775" t="str">
        <f>"53832500"</f>
        <v>53832500</v>
      </c>
      <c r="D14775" t="s">
        <v>45014</v>
      </c>
      <c r="F14775" t="s">
        <v>21732</v>
      </c>
      <c r="I14775" t="s">
        <v>29</v>
      </c>
      <c r="J14775" t="s">
        <v>30</v>
      </c>
      <c r="K14775" t="s">
        <v>45015</v>
      </c>
      <c r="M14775" t="s">
        <v>17861</v>
      </c>
      <c r="N14775" t="str">
        <f>"2/23/2021 12:32:00 PM"</f>
        <v>2/23/2021 12:32:00 PM</v>
      </c>
      <c r="O14775" t="s">
        <v>45014</v>
      </c>
    </row>
    <row r="14776" spans="1:20" x14ac:dyDescent="0.25">
      <c r="A14776" t="str">
        <f>"3047785"</f>
        <v>3047785</v>
      </c>
      <c r="B14776" t="s">
        <v>45020</v>
      </c>
      <c r="C14776" t="str">
        <f>"82528809"</f>
        <v>82528809</v>
      </c>
      <c r="D14776" t="s">
        <v>35364</v>
      </c>
      <c r="F14776" t="s">
        <v>45021</v>
      </c>
      <c r="I14776" t="s">
        <v>184</v>
      </c>
      <c r="J14776" t="s">
        <v>30</v>
      </c>
      <c r="K14776" t="s">
        <v>45022</v>
      </c>
      <c r="M14776" t="s">
        <v>17861</v>
      </c>
      <c r="N14776" t="str">
        <f>"2/23/2021 12:33:00 PM"</f>
        <v>2/23/2021 12:33:00 PM</v>
      </c>
      <c r="O14776" t="s">
        <v>35364</v>
      </c>
    </row>
    <row r="14777" spans="1:20" x14ac:dyDescent="0.25">
      <c r="A14777" t="str">
        <f>"3046844"</f>
        <v>3046844</v>
      </c>
      <c r="B14777" t="s">
        <v>45023</v>
      </c>
      <c r="C14777" t="str">
        <f>"8312843"</f>
        <v>8312843</v>
      </c>
      <c r="D14777" t="s">
        <v>45024</v>
      </c>
      <c r="E14777" t="s">
        <v>45025</v>
      </c>
      <c r="F14777" t="s">
        <v>45026</v>
      </c>
      <c r="I14777" t="s">
        <v>29</v>
      </c>
      <c r="J14777" t="s">
        <v>30</v>
      </c>
      <c r="K14777" t="s">
        <v>45027</v>
      </c>
      <c r="M14777" t="s">
        <v>17861</v>
      </c>
      <c r="N14777" t="str">
        <f>"2/23/2021 12:35:00 PM"</f>
        <v>2/23/2021 12:35:00 PM</v>
      </c>
      <c r="O14777" t="s">
        <v>45024</v>
      </c>
      <c r="T14777" t="s">
        <v>45025</v>
      </c>
    </row>
    <row r="14778" spans="1:20" x14ac:dyDescent="0.25">
      <c r="A14778" t="str">
        <f>"3045488"</f>
        <v>3045488</v>
      </c>
      <c r="B14778" t="s">
        <v>45028</v>
      </c>
      <c r="C14778" t="str">
        <f>"8310616"</f>
        <v>8310616</v>
      </c>
      <c r="D14778" t="s">
        <v>45029</v>
      </c>
      <c r="E14778" t="s">
        <v>45030</v>
      </c>
      <c r="F14778" t="s">
        <v>45031</v>
      </c>
      <c r="I14778" t="s">
        <v>29</v>
      </c>
      <c r="J14778" t="s">
        <v>30</v>
      </c>
      <c r="K14778" t="s">
        <v>26003</v>
      </c>
      <c r="M14778" t="s">
        <v>25733</v>
      </c>
      <c r="N14778" t="str">
        <f>"2/11/2021 11:09:00 AM"</f>
        <v>2/11/2021 11:09:00 AM</v>
      </c>
      <c r="O14778" t="s">
        <v>45029</v>
      </c>
      <c r="T14778" t="s">
        <v>45030</v>
      </c>
    </row>
    <row r="14779" spans="1:20" x14ac:dyDescent="0.25">
      <c r="A14779" t="str">
        <f>"3055481"</f>
        <v>3055481</v>
      </c>
      <c r="B14779" t="s">
        <v>45032</v>
      </c>
      <c r="C14779" t="str">
        <f>"8303038"</f>
        <v>8303038</v>
      </c>
      <c r="D14779" t="s">
        <v>45033</v>
      </c>
      <c r="F14779" t="s">
        <v>45034</v>
      </c>
      <c r="I14779" t="s">
        <v>29</v>
      </c>
      <c r="J14779" t="s">
        <v>30</v>
      </c>
      <c r="K14779" t="s">
        <v>45035</v>
      </c>
      <c r="M14779" t="s">
        <v>17861</v>
      </c>
      <c r="N14779" t="str">
        <f>"2/23/2021 12:40:00 PM"</f>
        <v>2/23/2021 12:40:00 PM</v>
      </c>
      <c r="O14779" t="s">
        <v>45033</v>
      </c>
    </row>
    <row r="14780" spans="1:20" x14ac:dyDescent="0.25">
      <c r="A14780" t="str">
        <f>"3044052"</f>
        <v>3044052</v>
      </c>
      <c r="B14780" t="s">
        <v>45036</v>
      </c>
      <c r="C14780" t="str">
        <f>"8311223"</f>
        <v>8311223</v>
      </c>
      <c r="D14780" t="s">
        <v>45037</v>
      </c>
      <c r="E14780" t="s">
        <v>45038</v>
      </c>
      <c r="F14780" t="s">
        <v>45039</v>
      </c>
      <c r="I14780" t="s">
        <v>184</v>
      </c>
      <c r="J14780" t="s">
        <v>30</v>
      </c>
      <c r="K14780" t="s">
        <v>45040</v>
      </c>
      <c r="M14780" t="s">
        <v>17861</v>
      </c>
      <c r="N14780" t="str">
        <f>"2/23/2021 12:42:00 PM"</f>
        <v>2/23/2021 12:42:00 PM</v>
      </c>
      <c r="O14780" t="s">
        <v>45037</v>
      </c>
      <c r="T14780" t="s">
        <v>45038</v>
      </c>
    </row>
    <row r="14781" spans="1:20" x14ac:dyDescent="0.25">
      <c r="A14781" t="str">
        <f>"3078552"</f>
        <v>3078552</v>
      </c>
      <c r="B14781" t="s">
        <v>45041</v>
      </c>
      <c r="C14781" t="str">
        <f>"8310616"</f>
        <v>8310616</v>
      </c>
      <c r="D14781" t="s">
        <v>45029</v>
      </c>
      <c r="E14781" t="s">
        <v>45030</v>
      </c>
      <c r="F14781" t="s">
        <v>45031</v>
      </c>
      <c r="I14781" t="s">
        <v>29</v>
      </c>
      <c r="J14781" t="s">
        <v>30</v>
      </c>
      <c r="K14781" t="s">
        <v>26003</v>
      </c>
      <c r="M14781" t="s">
        <v>25733</v>
      </c>
      <c r="N14781" t="str">
        <f>"2/11/2021 11:09:00 AM"</f>
        <v>2/11/2021 11:09:00 AM</v>
      </c>
      <c r="O14781" t="s">
        <v>45029</v>
      </c>
      <c r="T14781" t="s">
        <v>45030</v>
      </c>
    </row>
    <row r="14782" spans="1:20" x14ac:dyDescent="0.25">
      <c r="A14782" t="str">
        <f>"3055715"</f>
        <v>3055715</v>
      </c>
      <c r="B14782" t="s">
        <v>45042</v>
      </c>
      <c r="C14782" t="str">
        <f>"8305075"</f>
        <v>8305075</v>
      </c>
      <c r="D14782" t="s">
        <v>45043</v>
      </c>
      <c r="E14782" t="s">
        <v>45044</v>
      </c>
      <c r="F14782" t="s">
        <v>45045</v>
      </c>
      <c r="I14782" t="s">
        <v>29</v>
      </c>
      <c r="J14782" t="s">
        <v>30</v>
      </c>
      <c r="K14782" t="str">
        <f>"27028"</f>
        <v>27028</v>
      </c>
      <c r="M14782" t="s">
        <v>33845</v>
      </c>
      <c r="N14782" t="str">
        <f>"1/19/2021 2:47:00 PM"</f>
        <v>1/19/2021 2:47:00 PM</v>
      </c>
      <c r="O14782" t="s">
        <v>45043</v>
      </c>
      <c r="T14782" t="s">
        <v>45044</v>
      </c>
    </row>
    <row r="14783" spans="1:20" x14ac:dyDescent="0.25">
      <c r="A14783" t="str">
        <f>"3045929"</f>
        <v>3045929</v>
      </c>
      <c r="B14783" t="s">
        <v>45046</v>
      </c>
      <c r="C14783" t="str">
        <f>"8306905"</f>
        <v>8306905</v>
      </c>
      <c r="D14783" t="s">
        <v>45047</v>
      </c>
      <c r="F14783" t="s">
        <v>45048</v>
      </c>
      <c r="I14783" t="s">
        <v>163</v>
      </c>
      <c r="J14783" t="s">
        <v>30</v>
      </c>
      <c r="K14783" t="s">
        <v>45049</v>
      </c>
      <c r="M14783" t="s">
        <v>17861</v>
      </c>
      <c r="N14783" t="str">
        <f>"2/23/2021 12:50:00 PM"</f>
        <v>2/23/2021 12:50:00 PM</v>
      </c>
      <c r="O14783" t="s">
        <v>45047</v>
      </c>
    </row>
    <row r="14784" spans="1:20" x14ac:dyDescent="0.25">
      <c r="A14784" t="str">
        <f>"3037307"</f>
        <v>3037307</v>
      </c>
      <c r="B14784" t="s">
        <v>45050</v>
      </c>
      <c r="C14784" t="str">
        <f>"82529859"</f>
        <v>82529859</v>
      </c>
      <c r="D14784" t="s">
        <v>45051</v>
      </c>
      <c r="F14784" t="s">
        <v>45052</v>
      </c>
      <c r="I14784" t="s">
        <v>184</v>
      </c>
      <c r="J14784" t="s">
        <v>30</v>
      </c>
      <c r="K14784" t="s">
        <v>24404</v>
      </c>
      <c r="M14784" t="s">
        <v>17861</v>
      </c>
      <c r="N14784" t="str">
        <f>"2/23/2021 12:53:00 PM"</f>
        <v>2/23/2021 12:53:00 PM</v>
      </c>
      <c r="O14784" t="s">
        <v>45051</v>
      </c>
    </row>
    <row r="14785" spans="1:20" x14ac:dyDescent="0.25">
      <c r="A14785" t="str">
        <f>"3041456"</f>
        <v>3041456</v>
      </c>
      <c r="B14785" t="s">
        <v>45053</v>
      </c>
      <c r="C14785" t="str">
        <f>"8311300"</f>
        <v>8311300</v>
      </c>
      <c r="D14785" t="s">
        <v>45054</v>
      </c>
      <c r="F14785" t="s">
        <v>45055</v>
      </c>
      <c r="I14785" t="s">
        <v>2071</v>
      </c>
      <c r="J14785" t="s">
        <v>30</v>
      </c>
      <c r="K14785" t="s">
        <v>2136</v>
      </c>
      <c r="M14785" t="s">
        <v>18479</v>
      </c>
      <c r="N14785" t="str">
        <f>"2/23/2021 1:28:00 PM"</f>
        <v>2/23/2021 1:28:00 PM</v>
      </c>
      <c r="O14785" t="s">
        <v>45054</v>
      </c>
    </row>
    <row r="14786" spans="1:20" x14ac:dyDescent="0.25">
      <c r="A14786" t="str">
        <f>"3037993"</f>
        <v>3037993</v>
      </c>
      <c r="B14786" t="s">
        <v>45056</v>
      </c>
      <c r="C14786" t="str">
        <f>"82525758"</f>
        <v>82525758</v>
      </c>
      <c r="D14786" t="s">
        <v>45057</v>
      </c>
      <c r="E14786" t="s">
        <v>45058</v>
      </c>
      <c r="F14786" t="s">
        <v>45059</v>
      </c>
      <c r="I14786" t="s">
        <v>49</v>
      </c>
      <c r="J14786" t="s">
        <v>30</v>
      </c>
      <c r="K14786" t="s">
        <v>45060</v>
      </c>
      <c r="M14786" t="s">
        <v>18479</v>
      </c>
      <c r="N14786" t="str">
        <f>"2/23/2021 2:03:00 PM"</f>
        <v>2/23/2021 2:03:00 PM</v>
      </c>
      <c r="O14786" t="s">
        <v>45057</v>
      </c>
      <c r="T14786" t="s">
        <v>45058</v>
      </c>
    </row>
    <row r="14787" spans="1:20" x14ac:dyDescent="0.25">
      <c r="A14787" t="str">
        <f>"3038004"</f>
        <v>3038004</v>
      </c>
      <c r="B14787" t="s">
        <v>45061</v>
      </c>
      <c r="C14787" t="str">
        <f>"82525758"</f>
        <v>82525758</v>
      </c>
      <c r="D14787" t="s">
        <v>45057</v>
      </c>
      <c r="E14787" t="s">
        <v>45058</v>
      </c>
      <c r="F14787" t="s">
        <v>45059</v>
      </c>
      <c r="I14787" t="s">
        <v>49</v>
      </c>
      <c r="J14787" t="s">
        <v>30</v>
      </c>
      <c r="K14787" t="s">
        <v>45060</v>
      </c>
      <c r="M14787" t="s">
        <v>18479</v>
      </c>
      <c r="N14787" t="str">
        <f>"2/23/2021 2:03:00 PM"</f>
        <v>2/23/2021 2:03:00 PM</v>
      </c>
      <c r="O14787" t="s">
        <v>45057</v>
      </c>
      <c r="T14787" t="s">
        <v>45058</v>
      </c>
    </row>
    <row r="14788" spans="1:20" x14ac:dyDescent="0.25">
      <c r="A14788" t="str">
        <f>"3038518"</f>
        <v>3038518</v>
      </c>
      <c r="B14788" t="s">
        <v>45062</v>
      </c>
      <c r="C14788" t="str">
        <f>"82525758"</f>
        <v>82525758</v>
      </c>
      <c r="D14788" t="s">
        <v>45057</v>
      </c>
      <c r="E14788" t="s">
        <v>45058</v>
      </c>
      <c r="F14788" t="s">
        <v>45059</v>
      </c>
      <c r="I14788" t="s">
        <v>49</v>
      </c>
      <c r="J14788" t="s">
        <v>30</v>
      </c>
      <c r="K14788" t="s">
        <v>45060</v>
      </c>
      <c r="M14788" t="s">
        <v>18479</v>
      </c>
      <c r="N14788" t="str">
        <f>"2/23/2021 2:03:00 PM"</f>
        <v>2/23/2021 2:03:00 PM</v>
      </c>
      <c r="O14788" t="s">
        <v>45057</v>
      </c>
      <c r="T14788" t="s">
        <v>45058</v>
      </c>
    </row>
    <row r="14789" spans="1:20" x14ac:dyDescent="0.25">
      <c r="A14789" t="str">
        <f>"3038397"</f>
        <v>3038397</v>
      </c>
      <c r="B14789" t="s">
        <v>45063</v>
      </c>
      <c r="C14789" t="str">
        <f>"55462250"</f>
        <v>55462250</v>
      </c>
      <c r="D14789" t="s">
        <v>45057</v>
      </c>
      <c r="F14789" t="s">
        <v>45059</v>
      </c>
      <c r="I14789" t="s">
        <v>49</v>
      </c>
      <c r="J14789" t="s">
        <v>30</v>
      </c>
      <c r="K14789" t="s">
        <v>45060</v>
      </c>
      <c r="M14789" t="s">
        <v>18479</v>
      </c>
      <c r="N14789" t="str">
        <f>"2/23/2021 2:04:00 PM"</f>
        <v>2/23/2021 2:04:00 PM</v>
      </c>
      <c r="O14789" t="s">
        <v>45057</v>
      </c>
    </row>
    <row r="14790" spans="1:20" x14ac:dyDescent="0.25">
      <c r="A14790" t="str">
        <f>"3037792"</f>
        <v>3037792</v>
      </c>
      <c r="B14790" t="s">
        <v>45064</v>
      </c>
      <c r="C14790" t="str">
        <f>"55462250"</f>
        <v>55462250</v>
      </c>
      <c r="D14790" t="s">
        <v>45057</v>
      </c>
      <c r="F14790" t="s">
        <v>45059</v>
      </c>
      <c r="I14790" t="s">
        <v>49</v>
      </c>
      <c r="J14790" t="s">
        <v>30</v>
      </c>
      <c r="K14790" t="s">
        <v>45060</v>
      </c>
      <c r="M14790" t="s">
        <v>18479</v>
      </c>
      <c r="N14790" t="str">
        <f>"2/23/2021 2:04:00 PM"</f>
        <v>2/23/2021 2:04:00 PM</v>
      </c>
      <c r="O14790" t="s">
        <v>45057</v>
      </c>
    </row>
    <row r="14791" spans="1:20" x14ac:dyDescent="0.25">
      <c r="A14791" t="str">
        <f>"3039123"</f>
        <v>3039123</v>
      </c>
      <c r="B14791" t="s">
        <v>45065</v>
      </c>
      <c r="C14791" t="str">
        <f>"8312045"</f>
        <v>8312045</v>
      </c>
      <c r="D14791" t="s">
        <v>45066</v>
      </c>
      <c r="E14791" t="s">
        <v>45067</v>
      </c>
      <c r="F14791" t="s">
        <v>45068</v>
      </c>
      <c r="I14791" t="s">
        <v>29</v>
      </c>
      <c r="J14791" t="s">
        <v>30</v>
      </c>
      <c r="K14791" t="s">
        <v>41444</v>
      </c>
      <c r="M14791" t="s">
        <v>17861</v>
      </c>
      <c r="N14791" t="str">
        <f>"2/23/2021 3:51:00 PM"</f>
        <v>2/23/2021 3:51:00 PM</v>
      </c>
      <c r="O14791" t="s">
        <v>45066</v>
      </c>
      <c r="T14791" t="s">
        <v>45067</v>
      </c>
    </row>
    <row r="14792" spans="1:20" x14ac:dyDescent="0.25">
      <c r="A14792" t="str">
        <f>"3038044"</f>
        <v>3038044</v>
      </c>
      <c r="B14792" t="s">
        <v>45069</v>
      </c>
      <c r="C14792" t="str">
        <f>"8311820"</f>
        <v>8311820</v>
      </c>
      <c r="D14792" t="s">
        <v>45070</v>
      </c>
      <c r="F14792" t="s">
        <v>45071</v>
      </c>
      <c r="I14792" t="s">
        <v>29</v>
      </c>
      <c r="J14792" t="s">
        <v>30</v>
      </c>
      <c r="K14792" t="str">
        <f>"27028"</f>
        <v>27028</v>
      </c>
      <c r="M14792" t="s">
        <v>18470</v>
      </c>
      <c r="N14792" t="str">
        <f>"2/12/2021 12:08:00 PM"</f>
        <v>2/12/2021 12:08:00 PM</v>
      </c>
      <c r="O14792" t="s">
        <v>45070</v>
      </c>
    </row>
    <row r="14793" spans="1:20" x14ac:dyDescent="0.25">
      <c r="A14793" t="str">
        <f>"3038690"</f>
        <v>3038690</v>
      </c>
      <c r="B14793" t="s">
        <v>45072</v>
      </c>
      <c r="C14793" t="str">
        <f>"82530891"</f>
        <v>82530891</v>
      </c>
      <c r="D14793" t="s">
        <v>45073</v>
      </c>
      <c r="F14793" t="s">
        <v>45074</v>
      </c>
      <c r="I14793" t="s">
        <v>29</v>
      </c>
      <c r="J14793" t="s">
        <v>30</v>
      </c>
      <c r="K14793" t="s">
        <v>2564</v>
      </c>
      <c r="M14793" t="s">
        <v>40663</v>
      </c>
      <c r="N14793" t="str">
        <f>"2/12/2021 2:33:00 PM"</f>
        <v>2/12/2021 2:33:00 PM</v>
      </c>
      <c r="O14793" t="s">
        <v>45073</v>
      </c>
    </row>
    <row r="14794" spans="1:20" x14ac:dyDescent="0.25">
      <c r="A14794" t="str">
        <f>"3039160"</f>
        <v>3039160</v>
      </c>
      <c r="B14794" t="s">
        <v>45075</v>
      </c>
      <c r="C14794" t="str">
        <f>"82523359"</f>
        <v>82523359</v>
      </c>
      <c r="D14794" t="s">
        <v>45076</v>
      </c>
      <c r="F14794" t="s">
        <v>45077</v>
      </c>
      <c r="I14794" t="s">
        <v>29</v>
      </c>
      <c r="J14794" t="s">
        <v>30</v>
      </c>
      <c r="K14794" t="s">
        <v>31</v>
      </c>
      <c r="M14794" t="s">
        <v>40663</v>
      </c>
      <c r="N14794" t="str">
        <f>"2/12/2021 4:01:00 PM"</f>
        <v>2/12/2021 4:01:00 PM</v>
      </c>
      <c r="O14794" t="s">
        <v>45076</v>
      </c>
    </row>
    <row r="14795" spans="1:20" x14ac:dyDescent="0.25">
      <c r="A14795" t="str">
        <f>"3041341"</f>
        <v>3041341</v>
      </c>
      <c r="B14795" t="s">
        <v>45078</v>
      </c>
      <c r="C14795" t="str">
        <f>"8315031"</f>
        <v>8315031</v>
      </c>
      <c r="D14795" t="s">
        <v>45079</v>
      </c>
      <c r="E14795" t="s">
        <v>45080</v>
      </c>
      <c r="F14795" t="s">
        <v>45081</v>
      </c>
      <c r="I14795" t="s">
        <v>2071</v>
      </c>
      <c r="J14795" t="s">
        <v>30</v>
      </c>
      <c r="K14795" t="s">
        <v>45082</v>
      </c>
      <c r="M14795" t="s">
        <v>17861</v>
      </c>
      <c r="N14795" t="str">
        <f>"2/25/2021 9:08:00 AM"</f>
        <v>2/25/2021 9:08:00 AM</v>
      </c>
      <c r="O14795" t="s">
        <v>45079</v>
      </c>
      <c r="T14795" t="s">
        <v>45080</v>
      </c>
    </row>
    <row r="14796" spans="1:20" x14ac:dyDescent="0.25">
      <c r="A14796" t="str">
        <f>"3061402"</f>
        <v>3061402</v>
      </c>
      <c r="B14796" t="s">
        <v>45083</v>
      </c>
      <c r="C14796" t="str">
        <f>"8315033"</f>
        <v>8315033</v>
      </c>
      <c r="D14796" t="s">
        <v>45084</v>
      </c>
      <c r="F14796" t="s">
        <v>45085</v>
      </c>
      <c r="I14796" t="s">
        <v>184</v>
      </c>
      <c r="J14796" t="s">
        <v>30</v>
      </c>
      <c r="K14796" t="s">
        <v>5339</v>
      </c>
      <c r="M14796" t="s">
        <v>17861</v>
      </c>
      <c r="N14796" t="str">
        <f>"2/25/2021 9:23:00 AM"</f>
        <v>2/25/2021 9:23:00 AM</v>
      </c>
      <c r="O14796" t="s">
        <v>45084</v>
      </c>
    </row>
    <row r="14797" spans="1:20" x14ac:dyDescent="0.25">
      <c r="A14797" t="str">
        <f>"3052480"</f>
        <v>3052480</v>
      </c>
      <c r="B14797" t="s">
        <v>45086</v>
      </c>
      <c r="C14797" t="str">
        <f>"8310524"</f>
        <v>8310524</v>
      </c>
      <c r="D14797" t="s">
        <v>45087</v>
      </c>
      <c r="F14797" t="s">
        <v>45088</v>
      </c>
      <c r="I14797" t="s">
        <v>29</v>
      </c>
      <c r="J14797" t="s">
        <v>30</v>
      </c>
      <c r="K14797" t="s">
        <v>45089</v>
      </c>
      <c r="M14797" t="s">
        <v>33845</v>
      </c>
      <c r="N14797" t="str">
        <f>"2/25/2021 10:23:00 AM"</f>
        <v>2/25/2021 10:23:00 AM</v>
      </c>
      <c r="O14797" t="s">
        <v>45087</v>
      </c>
    </row>
    <row r="14798" spans="1:20" x14ac:dyDescent="0.25">
      <c r="A14798" t="str">
        <f>"3037580"</f>
        <v>3037580</v>
      </c>
      <c r="B14798" t="s">
        <v>45090</v>
      </c>
      <c r="C14798" t="str">
        <f>"8312356"</f>
        <v>8312356</v>
      </c>
      <c r="D14798" t="s">
        <v>45091</v>
      </c>
      <c r="E14798" t="s">
        <v>45092</v>
      </c>
      <c r="F14798" t="s">
        <v>45093</v>
      </c>
      <c r="I14798" t="s">
        <v>29</v>
      </c>
      <c r="J14798" t="s">
        <v>30</v>
      </c>
      <c r="K14798" t="s">
        <v>45094</v>
      </c>
      <c r="M14798" t="s">
        <v>18479</v>
      </c>
      <c r="N14798" t="str">
        <f>"2/25/2021 10:37:00 AM"</f>
        <v>2/25/2021 10:37:00 AM</v>
      </c>
      <c r="O14798" t="s">
        <v>45091</v>
      </c>
      <c r="T14798" t="s">
        <v>45092</v>
      </c>
    </row>
    <row r="14799" spans="1:20" x14ac:dyDescent="0.25">
      <c r="A14799" t="str">
        <f>"3065492"</f>
        <v>3065492</v>
      </c>
      <c r="B14799" t="s">
        <v>45095</v>
      </c>
      <c r="C14799" t="str">
        <f>"8312356"</f>
        <v>8312356</v>
      </c>
      <c r="D14799" t="s">
        <v>45091</v>
      </c>
      <c r="E14799" t="s">
        <v>45092</v>
      </c>
      <c r="F14799" t="s">
        <v>45093</v>
      </c>
      <c r="I14799" t="s">
        <v>29</v>
      </c>
      <c r="J14799" t="s">
        <v>30</v>
      </c>
      <c r="K14799" t="s">
        <v>45094</v>
      </c>
      <c r="M14799" t="s">
        <v>18479</v>
      </c>
      <c r="N14799" t="str">
        <f>"2/25/2021 10:37:00 AM"</f>
        <v>2/25/2021 10:37:00 AM</v>
      </c>
      <c r="O14799" t="s">
        <v>45091</v>
      </c>
      <c r="T14799" t="s">
        <v>45092</v>
      </c>
    </row>
    <row r="14800" spans="1:20" x14ac:dyDescent="0.25">
      <c r="A14800" t="str">
        <f>"3049948"</f>
        <v>3049948</v>
      </c>
      <c r="B14800" t="s">
        <v>45096</v>
      </c>
      <c r="C14800" t="str">
        <f>"8307350"</f>
        <v>8307350</v>
      </c>
      <c r="D14800" t="s">
        <v>45097</v>
      </c>
      <c r="E14800" t="s">
        <v>45098</v>
      </c>
      <c r="F14800" t="s">
        <v>45099</v>
      </c>
      <c r="I14800" t="s">
        <v>29</v>
      </c>
      <c r="J14800" t="s">
        <v>30</v>
      </c>
      <c r="K14800" t="s">
        <v>45004</v>
      </c>
      <c r="M14800" t="s">
        <v>17861</v>
      </c>
      <c r="N14800" t="str">
        <f>"2/25/2021 10:44:00 AM"</f>
        <v>2/25/2021 10:44:00 AM</v>
      </c>
      <c r="O14800" t="s">
        <v>45097</v>
      </c>
      <c r="T14800" t="s">
        <v>45098</v>
      </c>
    </row>
    <row r="14801" spans="1:20" x14ac:dyDescent="0.25">
      <c r="A14801" t="str">
        <f>"3054304"</f>
        <v>3054304</v>
      </c>
      <c r="B14801" t="s">
        <v>45100</v>
      </c>
      <c r="C14801" t="str">
        <f>"82531500"</f>
        <v>82531500</v>
      </c>
      <c r="D14801" t="s">
        <v>45101</v>
      </c>
      <c r="F14801" t="s">
        <v>45102</v>
      </c>
      <c r="G14801" t="s">
        <v>45103</v>
      </c>
      <c r="I14801" t="s">
        <v>29</v>
      </c>
      <c r="J14801" t="s">
        <v>30</v>
      </c>
      <c r="K14801" t="s">
        <v>31</v>
      </c>
      <c r="M14801" t="s">
        <v>25625</v>
      </c>
      <c r="N14801" t="str">
        <f>"2/25/2021 12:55:00 PM"</f>
        <v>2/25/2021 12:55:00 PM</v>
      </c>
      <c r="O14801" t="s">
        <v>45101</v>
      </c>
    </row>
    <row r="14802" spans="1:20" x14ac:dyDescent="0.25">
      <c r="A14802" t="str">
        <f>"3054288"</f>
        <v>3054288</v>
      </c>
      <c r="B14802" t="s">
        <v>45104</v>
      </c>
      <c r="C14802" t="str">
        <f>"8306102"</f>
        <v>8306102</v>
      </c>
      <c r="D14802" t="s">
        <v>45105</v>
      </c>
      <c r="F14802" t="s">
        <v>45106</v>
      </c>
      <c r="I14802" t="s">
        <v>45107</v>
      </c>
      <c r="J14802" t="s">
        <v>30</v>
      </c>
      <c r="K14802" t="s">
        <v>45108</v>
      </c>
      <c r="M14802" t="s">
        <v>17861</v>
      </c>
      <c r="N14802" t="str">
        <f>"2/25/2021 1:55:00 PM"</f>
        <v>2/25/2021 1:55:00 PM</v>
      </c>
      <c r="O14802" t="s">
        <v>45105</v>
      </c>
    </row>
    <row r="14803" spans="1:20" x14ac:dyDescent="0.25">
      <c r="A14803" t="str">
        <f>"3054062"</f>
        <v>3054062</v>
      </c>
      <c r="B14803" t="s">
        <v>45109</v>
      </c>
      <c r="C14803" t="str">
        <f>"82521106"</f>
        <v>82521106</v>
      </c>
      <c r="D14803" t="s">
        <v>45110</v>
      </c>
      <c r="F14803" t="s">
        <v>45106</v>
      </c>
      <c r="I14803" t="s">
        <v>45107</v>
      </c>
      <c r="J14803" t="s">
        <v>30</v>
      </c>
      <c r="K14803" t="s">
        <v>45108</v>
      </c>
      <c r="M14803" t="s">
        <v>17861</v>
      </c>
      <c r="N14803" t="str">
        <f>"2/25/2021 1:56:00 PM"</f>
        <v>2/25/2021 1:56:00 PM</v>
      </c>
      <c r="O14803" t="s">
        <v>45110</v>
      </c>
    </row>
    <row r="14804" spans="1:20" x14ac:dyDescent="0.25">
      <c r="A14804" t="str">
        <f>"3044294"</f>
        <v>3044294</v>
      </c>
      <c r="B14804" t="s">
        <v>45111</v>
      </c>
      <c r="C14804" t="str">
        <f>"55987250"</f>
        <v>55987250</v>
      </c>
      <c r="D14804" t="s">
        <v>45112</v>
      </c>
      <c r="E14804" t="s">
        <v>45113</v>
      </c>
      <c r="F14804" t="s">
        <v>45114</v>
      </c>
      <c r="I14804" t="s">
        <v>184</v>
      </c>
      <c r="J14804" t="s">
        <v>30</v>
      </c>
      <c r="K14804" t="s">
        <v>185</v>
      </c>
      <c r="M14804" t="s">
        <v>40663</v>
      </c>
      <c r="N14804" t="str">
        <f>"2/12/2021 4:47:00 PM"</f>
        <v>2/12/2021 4:47:00 PM</v>
      </c>
      <c r="O14804" t="s">
        <v>45112</v>
      </c>
      <c r="T14804" t="s">
        <v>45113</v>
      </c>
    </row>
    <row r="14805" spans="1:20" x14ac:dyDescent="0.25">
      <c r="A14805" t="str">
        <f>"3054310"</f>
        <v>3054310</v>
      </c>
      <c r="B14805" t="s">
        <v>45115</v>
      </c>
      <c r="C14805" t="str">
        <f>"18130000"</f>
        <v>18130000</v>
      </c>
      <c r="D14805" t="s">
        <v>45116</v>
      </c>
      <c r="E14805" t="s">
        <v>45117</v>
      </c>
      <c r="F14805" t="s">
        <v>45106</v>
      </c>
      <c r="I14805" t="s">
        <v>45107</v>
      </c>
      <c r="J14805" t="s">
        <v>30</v>
      </c>
      <c r="K14805" t="s">
        <v>45108</v>
      </c>
      <c r="M14805" t="s">
        <v>17861</v>
      </c>
      <c r="N14805" t="str">
        <f>"2/25/2021 2:01:00 PM"</f>
        <v>2/25/2021 2:01:00 PM</v>
      </c>
      <c r="O14805" t="s">
        <v>45116</v>
      </c>
      <c r="T14805" t="s">
        <v>45117</v>
      </c>
    </row>
    <row r="14806" spans="1:20" x14ac:dyDescent="0.25">
      <c r="A14806" t="str">
        <f>"3051046"</f>
        <v>3051046</v>
      </c>
      <c r="B14806" t="s">
        <v>45118</v>
      </c>
      <c r="C14806" t="str">
        <f>"18130000"</f>
        <v>18130000</v>
      </c>
      <c r="D14806" t="s">
        <v>45116</v>
      </c>
      <c r="E14806" t="s">
        <v>45117</v>
      </c>
      <c r="F14806" t="s">
        <v>45106</v>
      </c>
      <c r="I14806" t="s">
        <v>45107</v>
      </c>
      <c r="J14806" t="s">
        <v>30</v>
      </c>
      <c r="K14806" t="s">
        <v>45108</v>
      </c>
      <c r="M14806" t="s">
        <v>17861</v>
      </c>
      <c r="N14806" t="str">
        <f>"2/25/2021 2:01:00 PM"</f>
        <v>2/25/2021 2:01:00 PM</v>
      </c>
      <c r="O14806" t="s">
        <v>45116</v>
      </c>
      <c r="T14806" t="s">
        <v>45117</v>
      </c>
    </row>
    <row r="14807" spans="1:20" x14ac:dyDescent="0.25">
      <c r="A14807" t="str">
        <f>"3042331"</f>
        <v>3042331</v>
      </c>
      <c r="B14807" t="s">
        <v>45119</v>
      </c>
      <c r="C14807" t="str">
        <f>"8315037"</f>
        <v>8315037</v>
      </c>
      <c r="D14807" t="s">
        <v>45120</v>
      </c>
      <c r="F14807" t="s">
        <v>45121</v>
      </c>
      <c r="I14807" t="s">
        <v>29</v>
      </c>
      <c r="J14807" t="s">
        <v>30</v>
      </c>
      <c r="K14807" t="s">
        <v>2917</v>
      </c>
      <c r="M14807" t="s">
        <v>17861</v>
      </c>
      <c r="N14807" t="str">
        <f>"2/25/2021 2:06:00 PM"</f>
        <v>2/25/2021 2:06:00 PM</v>
      </c>
      <c r="O14807" t="s">
        <v>45120</v>
      </c>
    </row>
    <row r="14808" spans="1:20" x14ac:dyDescent="0.25">
      <c r="A14808" t="str">
        <f>"3039845"</f>
        <v>3039845</v>
      </c>
      <c r="B14808" t="s">
        <v>45122</v>
      </c>
      <c r="C14808" t="str">
        <f>"8315039"</f>
        <v>8315039</v>
      </c>
      <c r="D14808" t="s">
        <v>45123</v>
      </c>
      <c r="E14808" t="s">
        <v>45124</v>
      </c>
      <c r="F14808" t="s">
        <v>45125</v>
      </c>
      <c r="I14808" t="s">
        <v>29</v>
      </c>
      <c r="J14808" t="s">
        <v>30</v>
      </c>
      <c r="K14808" t="s">
        <v>2862</v>
      </c>
      <c r="M14808" t="s">
        <v>17861</v>
      </c>
      <c r="N14808" t="str">
        <f>"2/25/2021 2:11:00 PM"</f>
        <v>2/25/2021 2:11:00 PM</v>
      </c>
      <c r="O14808" t="s">
        <v>45123</v>
      </c>
      <c r="T14808" t="s">
        <v>45124</v>
      </c>
    </row>
    <row r="14809" spans="1:20" x14ac:dyDescent="0.25">
      <c r="A14809" t="str">
        <f>"3038976"</f>
        <v>3038976</v>
      </c>
      <c r="B14809" t="s">
        <v>45126</v>
      </c>
      <c r="C14809" t="str">
        <f>"8315041"</f>
        <v>8315041</v>
      </c>
      <c r="D14809" t="s">
        <v>45127</v>
      </c>
      <c r="F14809" t="s">
        <v>45128</v>
      </c>
      <c r="I14809" t="s">
        <v>2280</v>
      </c>
      <c r="J14809" t="s">
        <v>30</v>
      </c>
      <c r="K14809" t="s">
        <v>45129</v>
      </c>
      <c r="M14809" t="s">
        <v>17861</v>
      </c>
      <c r="N14809" t="str">
        <f>"2/25/2021 2:42:00 PM"</f>
        <v>2/25/2021 2:42:00 PM</v>
      </c>
      <c r="O14809" t="s">
        <v>45127</v>
      </c>
    </row>
    <row r="14810" spans="1:20" x14ac:dyDescent="0.25">
      <c r="A14810" t="str">
        <f>"3043507"</f>
        <v>3043507</v>
      </c>
      <c r="B14810" t="s">
        <v>45130</v>
      </c>
      <c r="C14810" t="str">
        <f>"8307125"</f>
        <v>8307125</v>
      </c>
      <c r="D14810" t="s">
        <v>45131</v>
      </c>
      <c r="E14810" t="s">
        <v>45132</v>
      </c>
      <c r="F14810" t="s">
        <v>45133</v>
      </c>
      <c r="I14810" t="s">
        <v>29</v>
      </c>
      <c r="J14810" t="s">
        <v>30</v>
      </c>
      <c r="K14810" t="str">
        <f>"27028"</f>
        <v>27028</v>
      </c>
      <c r="M14810" t="s">
        <v>25733</v>
      </c>
      <c r="N14810" t="str">
        <f>"2/25/2021 3:11:00 PM"</f>
        <v>2/25/2021 3:11:00 PM</v>
      </c>
      <c r="O14810" t="s">
        <v>45131</v>
      </c>
      <c r="T14810" t="s">
        <v>45132</v>
      </c>
    </row>
    <row r="14811" spans="1:20" x14ac:dyDescent="0.25">
      <c r="A14811" t="str">
        <f>"3056024"</f>
        <v>3056024</v>
      </c>
      <c r="B14811" t="s">
        <v>45134</v>
      </c>
      <c r="C14811" t="str">
        <f>"8313341"</f>
        <v>8313341</v>
      </c>
      <c r="D14811" t="s">
        <v>45135</v>
      </c>
      <c r="E14811" t="s">
        <v>45136</v>
      </c>
      <c r="F14811" t="s">
        <v>45137</v>
      </c>
      <c r="I14811" t="s">
        <v>9580</v>
      </c>
      <c r="J14811" t="s">
        <v>30</v>
      </c>
      <c r="K14811" t="s">
        <v>45138</v>
      </c>
      <c r="M14811" t="s">
        <v>17861</v>
      </c>
      <c r="N14811" t="str">
        <f>"2/25/2021 3:56:00 PM"</f>
        <v>2/25/2021 3:56:00 PM</v>
      </c>
      <c r="O14811" t="s">
        <v>45135</v>
      </c>
      <c r="T14811" t="s">
        <v>45136</v>
      </c>
    </row>
    <row r="14812" spans="1:20" x14ac:dyDescent="0.25">
      <c r="A14812" t="str">
        <f>"3055709"</f>
        <v>3055709</v>
      </c>
      <c r="B14812" t="s">
        <v>45139</v>
      </c>
      <c r="C14812" t="str">
        <f>"82531454"</f>
        <v>82531454</v>
      </c>
      <c r="D14812" t="s">
        <v>45140</v>
      </c>
      <c r="E14812" t="s">
        <v>45141</v>
      </c>
      <c r="F14812" t="s">
        <v>45142</v>
      </c>
      <c r="I14812" t="s">
        <v>23961</v>
      </c>
      <c r="J14812" t="s">
        <v>30</v>
      </c>
      <c r="K14812" t="s">
        <v>45143</v>
      </c>
      <c r="M14812" t="s">
        <v>17861</v>
      </c>
      <c r="N14812" t="str">
        <f>"2/25/2021 3:57:00 PM"</f>
        <v>2/25/2021 3:57:00 PM</v>
      </c>
      <c r="O14812" t="s">
        <v>45140</v>
      </c>
      <c r="T14812" t="s">
        <v>45141</v>
      </c>
    </row>
    <row r="14813" spans="1:20" x14ac:dyDescent="0.25">
      <c r="A14813" t="str">
        <f>"3055868"</f>
        <v>3055868</v>
      </c>
      <c r="B14813" t="s">
        <v>45144</v>
      </c>
      <c r="C14813" t="str">
        <f>"8314929"</f>
        <v>8314929</v>
      </c>
      <c r="D14813" t="s">
        <v>45145</v>
      </c>
      <c r="F14813" t="s">
        <v>45146</v>
      </c>
      <c r="I14813" t="s">
        <v>9580</v>
      </c>
      <c r="J14813" t="s">
        <v>30</v>
      </c>
      <c r="K14813" t="s">
        <v>45147</v>
      </c>
      <c r="M14813" t="s">
        <v>17861</v>
      </c>
      <c r="N14813" t="str">
        <f>"2/25/2021 4:03:00 PM"</f>
        <v>2/25/2021 4:03:00 PM</v>
      </c>
      <c r="O14813" t="s">
        <v>45145</v>
      </c>
    </row>
    <row r="14814" spans="1:20" x14ac:dyDescent="0.25">
      <c r="A14814" t="str">
        <f>"3047383"</f>
        <v>3047383</v>
      </c>
      <c r="B14814" t="s">
        <v>45148</v>
      </c>
      <c r="C14814" t="str">
        <f>"8309158"</f>
        <v>8309158</v>
      </c>
      <c r="D14814" t="s">
        <v>45149</v>
      </c>
      <c r="F14814" t="s">
        <v>45150</v>
      </c>
      <c r="I14814" t="s">
        <v>45151</v>
      </c>
      <c r="J14814" t="s">
        <v>2738</v>
      </c>
      <c r="K14814" t="str">
        <f>"10589"</f>
        <v>10589</v>
      </c>
      <c r="M14814" t="s">
        <v>40663</v>
      </c>
      <c r="N14814" t="str">
        <f>"2/15/2021 9:16:00 AM"</f>
        <v>2/15/2021 9:16:00 AM</v>
      </c>
      <c r="O14814" t="s">
        <v>45149</v>
      </c>
    </row>
    <row r="14815" spans="1:20" x14ac:dyDescent="0.25">
      <c r="A14815" t="str">
        <f>"3056035"</f>
        <v>3056035</v>
      </c>
      <c r="B14815" t="s">
        <v>45152</v>
      </c>
      <c r="C14815" t="str">
        <f>"8305028"</f>
        <v>8305028</v>
      </c>
      <c r="D14815" t="s">
        <v>45153</v>
      </c>
      <c r="E14815" t="s">
        <v>45154</v>
      </c>
      <c r="F14815" t="s">
        <v>45155</v>
      </c>
      <c r="I14815" t="s">
        <v>9580</v>
      </c>
      <c r="J14815" t="s">
        <v>30</v>
      </c>
      <c r="K14815" t="s">
        <v>45156</v>
      </c>
      <c r="M14815" t="s">
        <v>17861</v>
      </c>
      <c r="N14815" t="str">
        <f>"2/25/2021 4:16:00 PM"</f>
        <v>2/25/2021 4:16:00 PM</v>
      </c>
      <c r="O14815" t="s">
        <v>45153</v>
      </c>
      <c r="T14815" t="s">
        <v>45154</v>
      </c>
    </row>
    <row r="14816" spans="1:20" x14ac:dyDescent="0.25">
      <c r="A14816" t="str">
        <f>"3055882"</f>
        <v>3055882</v>
      </c>
      <c r="B14816" t="s">
        <v>45157</v>
      </c>
      <c r="C14816" t="str">
        <f>"8313885"</f>
        <v>8313885</v>
      </c>
      <c r="D14816" t="s">
        <v>45158</v>
      </c>
      <c r="E14816" t="s">
        <v>45159</v>
      </c>
      <c r="F14816" t="s">
        <v>45160</v>
      </c>
      <c r="I14816" t="s">
        <v>9580</v>
      </c>
      <c r="J14816" t="s">
        <v>30</v>
      </c>
      <c r="K14816" t="s">
        <v>45161</v>
      </c>
      <c r="M14816" t="s">
        <v>17861</v>
      </c>
      <c r="N14816" t="str">
        <f>"2/25/2021 4:18:00 PM"</f>
        <v>2/25/2021 4:18:00 PM</v>
      </c>
      <c r="O14816" t="s">
        <v>45158</v>
      </c>
      <c r="T14816" t="s">
        <v>45159</v>
      </c>
    </row>
    <row r="14817" spans="1:20" x14ac:dyDescent="0.25">
      <c r="A14817" t="str">
        <f>"3055778"</f>
        <v>3055778</v>
      </c>
      <c r="B14817" t="s">
        <v>45162</v>
      </c>
      <c r="C14817" t="str">
        <f>"8311570"</f>
        <v>8311570</v>
      </c>
      <c r="D14817" t="s">
        <v>45163</v>
      </c>
      <c r="F14817" t="s">
        <v>45164</v>
      </c>
      <c r="I14817" t="s">
        <v>9580</v>
      </c>
      <c r="J14817" t="s">
        <v>30</v>
      </c>
      <c r="K14817" t="s">
        <v>45165</v>
      </c>
      <c r="M14817" t="s">
        <v>17861</v>
      </c>
      <c r="N14817" t="str">
        <f>"2/25/2021 4:19:00 PM"</f>
        <v>2/25/2021 4:19:00 PM</v>
      </c>
      <c r="O14817" t="s">
        <v>45163</v>
      </c>
    </row>
    <row r="14818" spans="1:20" x14ac:dyDescent="0.25">
      <c r="A14818" t="str">
        <f>"3055888"</f>
        <v>3055888</v>
      </c>
      <c r="B14818" t="s">
        <v>45166</v>
      </c>
      <c r="C14818" t="str">
        <f>"8304740"</f>
        <v>8304740</v>
      </c>
      <c r="D14818" t="s">
        <v>45167</v>
      </c>
      <c r="E14818" t="s">
        <v>45168</v>
      </c>
      <c r="F14818" t="s">
        <v>45169</v>
      </c>
      <c r="I14818" t="s">
        <v>9580</v>
      </c>
      <c r="J14818" t="s">
        <v>30</v>
      </c>
      <c r="K14818" t="s">
        <v>45170</v>
      </c>
      <c r="M14818" t="s">
        <v>17861</v>
      </c>
      <c r="N14818" t="str">
        <f>"2/25/2021 4:23:00 PM"</f>
        <v>2/25/2021 4:23:00 PM</v>
      </c>
      <c r="O14818" t="s">
        <v>45167</v>
      </c>
      <c r="T14818" t="s">
        <v>45168</v>
      </c>
    </row>
    <row r="14819" spans="1:20" x14ac:dyDescent="0.25">
      <c r="A14819" t="str">
        <f>"3055994"</f>
        <v>3055994</v>
      </c>
      <c r="B14819" t="s">
        <v>45171</v>
      </c>
      <c r="C14819" t="str">
        <f>"8313579"</f>
        <v>8313579</v>
      </c>
      <c r="D14819" t="s">
        <v>45172</v>
      </c>
      <c r="E14819" t="s">
        <v>45173</v>
      </c>
      <c r="F14819" t="s">
        <v>45174</v>
      </c>
      <c r="I14819" t="s">
        <v>9580</v>
      </c>
      <c r="J14819" t="s">
        <v>30</v>
      </c>
      <c r="K14819" t="s">
        <v>45175</v>
      </c>
      <c r="M14819" t="s">
        <v>17861</v>
      </c>
      <c r="N14819" t="str">
        <f>"2/25/2021 4:35:00 PM"</f>
        <v>2/25/2021 4:35:00 PM</v>
      </c>
      <c r="O14819" t="s">
        <v>45172</v>
      </c>
      <c r="T14819" t="s">
        <v>45173</v>
      </c>
    </row>
    <row r="14820" spans="1:20" x14ac:dyDescent="0.25">
      <c r="A14820" t="str">
        <f>"3050058"</f>
        <v>3050058</v>
      </c>
      <c r="B14820" t="s">
        <v>45176</v>
      </c>
      <c r="C14820" t="str">
        <f>"8315046"</f>
        <v>8315046</v>
      </c>
      <c r="D14820" t="s">
        <v>45177</v>
      </c>
      <c r="F14820" t="s">
        <v>45178</v>
      </c>
      <c r="I14820" t="s">
        <v>29</v>
      </c>
      <c r="J14820" t="s">
        <v>30</v>
      </c>
      <c r="K14820" t="s">
        <v>45179</v>
      </c>
      <c r="M14820" t="s">
        <v>17861</v>
      </c>
      <c r="N14820" t="str">
        <f>"2/25/2021 4:50:00 PM"</f>
        <v>2/25/2021 4:50:00 PM</v>
      </c>
      <c r="O14820" t="s">
        <v>45177</v>
      </c>
    </row>
    <row r="14821" spans="1:20" x14ac:dyDescent="0.25">
      <c r="A14821" t="str">
        <f>"3050110"</f>
        <v>3050110</v>
      </c>
      <c r="B14821" t="s">
        <v>45180</v>
      </c>
      <c r="C14821" t="str">
        <f>"8315047"</f>
        <v>8315047</v>
      </c>
      <c r="D14821" t="s">
        <v>45181</v>
      </c>
      <c r="E14821" t="s">
        <v>45182</v>
      </c>
      <c r="F14821" t="s">
        <v>45183</v>
      </c>
      <c r="I14821" t="s">
        <v>29</v>
      </c>
      <c r="J14821" t="s">
        <v>30</v>
      </c>
      <c r="K14821" t="s">
        <v>45179</v>
      </c>
      <c r="M14821" t="s">
        <v>17861</v>
      </c>
      <c r="N14821" t="str">
        <f>"2/25/2021 4:54:00 PM"</f>
        <v>2/25/2021 4:54:00 PM</v>
      </c>
      <c r="O14821" t="s">
        <v>45181</v>
      </c>
      <c r="T14821" t="s">
        <v>45182</v>
      </c>
    </row>
    <row r="14822" spans="1:20" x14ac:dyDescent="0.25">
      <c r="A14822" t="str">
        <f>"3057632"</f>
        <v>3057632</v>
      </c>
      <c r="B14822" t="s">
        <v>45184</v>
      </c>
      <c r="C14822" t="str">
        <f>"8315048"</f>
        <v>8315048</v>
      </c>
      <c r="D14822" t="s">
        <v>45185</v>
      </c>
      <c r="F14822" t="s">
        <v>45186</v>
      </c>
      <c r="I14822" t="s">
        <v>29</v>
      </c>
      <c r="J14822" t="s">
        <v>30</v>
      </c>
      <c r="K14822" t="s">
        <v>44685</v>
      </c>
      <c r="M14822" t="s">
        <v>17861</v>
      </c>
      <c r="N14822" t="str">
        <f>"2/26/2021 8:27:00 AM"</f>
        <v>2/26/2021 8:27:00 AM</v>
      </c>
      <c r="O14822" t="s">
        <v>45185</v>
      </c>
    </row>
    <row r="14823" spans="1:20" x14ac:dyDescent="0.25">
      <c r="A14823" t="str">
        <f>"3038896"</f>
        <v>3038896</v>
      </c>
      <c r="B14823" t="s">
        <v>45187</v>
      </c>
      <c r="C14823" t="str">
        <f>"8315050"</f>
        <v>8315050</v>
      </c>
      <c r="D14823" t="s">
        <v>45188</v>
      </c>
      <c r="E14823" t="s">
        <v>45189</v>
      </c>
      <c r="F14823" t="s">
        <v>45190</v>
      </c>
      <c r="I14823" t="s">
        <v>29</v>
      </c>
      <c r="J14823" t="s">
        <v>30</v>
      </c>
      <c r="K14823" t="s">
        <v>42929</v>
      </c>
      <c r="M14823" t="s">
        <v>17861</v>
      </c>
      <c r="N14823" t="str">
        <f>"2/26/2021 8:39:00 AM"</f>
        <v>2/26/2021 8:39:00 AM</v>
      </c>
      <c r="O14823" t="s">
        <v>45188</v>
      </c>
      <c r="T14823" t="s">
        <v>45189</v>
      </c>
    </row>
    <row r="14824" spans="1:20" x14ac:dyDescent="0.25">
      <c r="A14824" t="str">
        <f>"3040626"</f>
        <v>3040626</v>
      </c>
      <c r="B14824" t="s">
        <v>45191</v>
      </c>
      <c r="C14824" t="str">
        <f>"8307690"</f>
        <v>8307690</v>
      </c>
      <c r="D14824" t="s">
        <v>45192</v>
      </c>
      <c r="F14824" t="s">
        <v>45193</v>
      </c>
      <c r="I14824" t="s">
        <v>184</v>
      </c>
      <c r="J14824" t="s">
        <v>30</v>
      </c>
      <c r="K14824" t="str">
        <f>"27006"</f>
        <v>27006</v>
      </c>
      <c r="M14824" t="s">
        <v>17861</v>
      </c>
      <c r="N14824" t="str">
        <f>"2/26/2021 10:12:00 AM"</f>
        <v>2/26/2021 10:12:00 AM</v>
      </c>
      <c r="O14824" t="s">
        <v>45192</v>
      </c>
    </row>
    <row r="14825" spans="1:20" x14ac:dyDescent="0.25">
      <c r="A14825" t="str">
        <f>"3047001"</f>
        <v>3047001</v>
      </c>
      <c r="B14825" t="s">
        <v>45194</v>
      </c>
      <c r="C14825" t="str">
        <f>"82510926"</f>
        <v>82510926</v>
      </c>
      <c r="D14825" t="s">
        <v>45195</v>
      </c>
      <c r="E14825" t="s">
        <v>45196</v>
      </c>
      <c r="F14825" t="s">
        <v>45197</v>
      </c>
      <c r="I14825" t="s">
        <v>29</v>
      </c>
      <c r="J14825" t="s">
        <v>30</v>
      </c>
      <c r="K14825" t="s">
        <v>45198</v>
      </c>
      <c r="M14825" t="s">
        <v>33845</v>
      </c>
      <c r="N14825" t="str">
        <f>"1/19/2021 2:56:00 PM"</f>
        <v>1/19/2021 2:56:00 PM</v>
      </c>
      <c r="O14825" t="s">
        <v>45195</v>
      </c>
      <c r="T14825" t="s">
        <v>45196</v>
      </c>
    </row>
    <row r="14826" spans="1:20" x14ac:dyDescent="0.25">
      <c r="A14826" t="str">
        <f>"3039067"</f>
        <v>3039067</v>
      </c>
      <c r="B14826" t="s">
        <v>45199</v>
      </c>
      <c r="C14826" t="str">
        <f>"8315054"</f>
        <v>8315054</v>
      </c>
      <c r="D14826" t="s">
        <v>45200</v>
      </c>
      <c r="F14826" t="s">
        <v>45201</v>
      </c>
      <c r="I14826" t="s">
        <v>29</v>
      </c>
      <c r="J14826" t="s">
        <v>30</v>
      </c>
      <c r="K14826" t="s">
        <v>1511</v>
      </c>
      <c r="M14826" t="s">
        <v>17861</v>
      </c>
      <c r="N14826" t="str">
        <f>"2/26/2021 12:51:00 PM"</f>
        <v>2/26/2021 12:51:00 PM</v>
      </c>
      <c r="O14826" t="s">
        <v>45200</v>
      </c>
    </row>
    <row r="14827" spans="1:20" x14ac:dyDescent="0.25">
      <c r="A14827" t="str">
        <f>"3061525"</f>
        <v>3061525</v>
      </c>
      <c r="B14827" t="s">
        <v>45202</v>
      </c>
      <c r="C14827" t="str">
        <f>"8315055"</f>
        <v>8315055</v>
      </c>
      <c r="D14827" t="s">
        <v>45203</v>
      </c>
      <c r="F14827" t="s">
        <v>45204</v>
      </c>
      <c r="I14827" t="s">
        <v>184</v>
      </c>
      <c r="J14827" t="s">
        <v>30</v>
      </c>
      <c r="K14827" t="s">
        <v>45205</v>
      </c>
      <c r="M14827" t="s">
        <v>17861</v>
      </c>
      <c r="N14827" t="str">
        <f>"2/26/2021 12:54:00 PM"</f>
        <v>2/26/2021 12:54:00 PM</v>
      </c>
      <c r="O14827" t="s">
        <v>45203</v>
      </c>
    </row>
    <row r="14828" spans="1:20" x14ac:dyDescent="0.25">
      <c r="A14828" t="str">
        <f>"3061302"</f>
        <v>3061302</v>
      </c>
      <c r="B14828" t="s">
        <v>45206</v>
      </c>
      <c r="C14828" t="str">
        <f>"8315058"</f>
        <v>8315058</v>
      </c>
      <c r="D14828" t="s">
        <v>45207</v>
      </c>
      <c r="E14828" t="s">
        <v>45208</v>
      </c>
      <c r="F14828" t="s">
        <v>45209</v>
      </c>
      <c r="I14828" t="s">
        <v>2071</v>
      </c>
      <c r="J14828" t="s">
        <v>30</v>
      </c>
      <c r="K14828" t="str">
        <f>"27006"</f>
        <v>27006</v>
      </c>
      <c r="M14828" t="s">
        <v>17861</v>
      </c>
      <c r="N14828" t="str">
        <f>"2/26/2021 1:57:00 PM"</f>
        <v>2/26/2021 1:57:00 PM</v>
      </c>
      <c r="O14828" t="s">
        <v>45207</v>
      </c>
      <c r="T14828" t="s">
        <v>45208</v>
      </c>
    </row>
    <row r="14829" spans="1:20" x14ac:dyDescent="0.25">
      <c r="A14829" t="str">
        <f>"3049733"</f>
        <v>3049733</v>
      </c>
      <c r="B14829" t="s">
        <v>45210</v>
      </c>
      <c r="C14829" t="str">
        <f>"8315059"</f>
        <v>8315059</v>
      </c>
      <c r="D14829" t="s">
        <v>45211</v>
      </c>
      <c r="F14829" t="s">
        <v>45212</v>
      </c>
      <c r="I14829" t="s">
        <v>29</v>
      </c>
      <c r="J14829" t="s">
        <v>30</v>
      </c>
      <c r="K14829" t="s">
        <v>9905</v>
      </c>
      <c r="M14829" t="s">
        <v>17861</v>
      </c>
      <c r="N14829" t="str">
        <f>"2/26/2021 2:09:00 PM"</f>
        <v>2/26/2021 2:09:00 PM</v>
      </c>
      <c r="O14829" t="s">
        <v>45211</v>
      </c>
    </row>
    <row r="14830" spans="1:20" x14ac:dyDescent="0.25">
      <c r="A14830" t="str">
        <f>"3039170"</f>
        <v>3039170</v>
      </c>
      <c r="B14830" t="s">
        <v>45213</v>
      </c>
      <c r="C14830" t="str">
        <f>"8315063"</f>
        <v>8315063</v>
      </c>
      <c r="D14830" t="s">
        <v>45214</v>
      </c>
      <c r="F14830" t="s">
        <v>45215</v>
      </c>
      <c r="I14830" t="s">
        <v>29</v>
      </c>
      <c r="J14830" t="s">
        <v>30</v>
      </c>
      <c r="K14830" t="s">
        <v>45216</v>
      </c>
      <c r="M14830" t="s">
        <v>17861</v>
      </c>
      <c r="N14830" t="str">
        <f>"2/26/2021 2:23:00 PM"</f>
        <v>2/26/2021 2:23:00 PM</v>
      </c>
      <c r="O14830" t="s">
        <v>45214</v>
      </c>
    </row>
    <row r="14831" spans="1:20" x14ac:dyDescent="0.25">
      <c r="A14831" t="str">
        <f>"3038158"</f>
        <v>3038158</v>
      </c>
      <c r="B14831" t="s">
        <v>45217</v>
      </c>
      <c r="C14831" t="str">
        <f>"8315063"</f>
        <v>8315063</v>
      </c>
      <c r="D14831" t="s">
        <v>45214</v>
      </c>
      <c r="F14831" t="s">
        <v>45215</v>
      </c>
      <c r="I14831" t="s">
        <v>29</v>
      </c>
      <c r="J14831" t="s">
        <v>30</v>
      </c>
      <c r="K14831" t="s">
        <v>45216</v>
      </c>
      <c r="M14831" t="s">
        <v>17861</v>
      </c>
      <c r="N14831" t="str">
        <f>"2/26/2021 2:23:00 PM"</f>
        <v>2/26/2021 2:23:00 PM</v>
      </c>
      <c r="O14831" t="s">
        <v>45214</v>
      </c>
    </row>
    <row r="14832" spans="1:20" x14ac:dyDescent="0.25">
      <c r="A14832" t="str">
        <f>"3044284"</f>
        <v>3044284</v>
      </c>
      <c r="B14832" t="s">
        <v>45218</v>
      </c>
      <c r="C14832" t="str">
        <f>"8315065"</f>
        <v>8315065</v>
      </c>
      <c r="D14832" t="s">
        <v>45219</v>
      </c>
      <c r="F14832" t="s">
        <v>45220</v>
      </c>
      <c r="I14832" t="s">
        <v>184</v>
      </c>
      <c r="J14832" t="s">
        <v>30</v>
      </c>
      <c r="K14832" t="s">
        <v>5191</v>
      </c>
      <c r="M14832" t="s">
        <v>17861</v>
      </c>
      <c r="N14832" t="str">
        <f>"2/26/2021 2:28:00 PM"</f>
        <v>2/26/2021 2:28:00 PM</v>
      </c>
      <c r="O14832" t="s">
        <v>45219</v>
      </c>
    </row>
    <row r="14833" spans="1:20" x14ac:dyDescent="0.25">
      <c r="A14833" t="str">
        <f>"3060367"</f>
        <v>3060367</v>
      </c>
      <c r="B14833" t="s">
        <v>45221</v>
      </c>
      <c r="C14833" t="str">
        <f>"8315066"</f>
        <v>8315066</v>
      </c>
      <c r="D14833" t="s">
        <v>45222</v>
      </c>
      <c r="E14833" t="s">
        <v>45223</v>
      </c>
      <c r="F14833" t="s">
        <v>45224</v>
      </c>
      <c r="I14833" t="s">
        <v>29</v>
      </c>
      <c r="J14833" t="s">
        <v>30</v>
      </c>
      <c r="K14833" t="s">
        <v>45225</v>
      </c>
      <c r="M14833" t="s">
        <v>17861</v>
      </c>
      <c r="N14833" t="str">
        <f>"2/26/2021 2:30:00 PM"</f>
        <v>2/26/2021 2:30:00 PM</v>
      </c>
      <c r="O14833" t="s">
        <v>45222</v>
      </c>
      <c r="T14833" t="s">
        <v>45223</v>
      </c>
    </row>
    <row r="14834" spans="1:20" x14ac:dyDescent="0.25">
      <c r="A14834" t="str">
        <f>"3037292"</f>
        <v>3037292</v>
      </c>
      <c r="B14834" t="s">
        <v>45226</v>
      </c>
      <c r="C14834" t="str">
        <f>"8309162"</f>
        <v>8309162</v>
      </c>
      <c r="D14834" t="s">
        <v>45227</v>
      </c>
      <c r="F14834" t="s">
        <v>45228</v>
      </c>
      <c r="I14834" t="s">
        <v>24359</v>
      </c>
      <c r="J14834" t="s">
        <v>30</v>
      </c>
      <c r="K14834" t="str">
        <f>"27006"</f>
        <v>27006</v>
      </c>
      <c r="M14834" t="s">
        <v>33845</v>
      </c>
      <c r="N14834" t="str">
        <f>"1/21/2021 9:24:00 AM"</f>
        <v>1/21/2021 9:24:00 AM</v>
      </c>
      <c r="O14834" t="s">
        <v>45227</v>
      </c>
    </row>
    <row r="14835" spans="1:20" x14ac:dyDescent="0.25">
      <c r="A14835" t="str">
        <f>"3053156"</f>
        <v>3053156</v>
      </c>
      <c r="B14835" t="s">
        <v>45229</v>
      </c>
      <c r="C14835" t="str">
        <f>"8315068"</f>
        <v>8315068</v>
      </c>
      <c r="D14835" t="s">
        <v>45230</v>
      </c>
      <c r="F14835" t="s">
        <v>45231</v>
      </c>
      <c r="I14835" t="s">
        <v>29</v>
      </c>
      <c r="J14835" t="s">
        <v>30</v>
      </c>
      <c r="K14835" t="s">
        <v>13860</v>
      </c>
      <c r="M14835" t="s">
        <v>17861</v>
      </c>
      <c r="N14835" t="str">
        <f>"2/26/2021 3:25:00 PM"</f>
        <v>2/26/2021 3:25:00 PM</v>
      </c>
      <c r="O14835" t="s">
        <v>45230</v>
      </c>
    </row>
    <row r="14836" spans="1:20" x14ac:dyDescent="0.25">
      <c r="A14836" t="str">
        <f>"3059158"</f>
        <v>3059158</v>
      </c>
      <c r="B14836" t="s">
        <v>45232</v>
      </c>
      <c r="C14836" t="str">
        <f>"8315069"</f>
        <v>8315069</v>
      </c>
      <c r="D14836" t="s">
        <v>45233</v>
      </c>
      <c r="F14836" t="s">
        <v>45234</v>
      </c>
      <c r="I14836" t="s">
        <v>17921</v>
      </c>
      <c r="J14836" t="s">
        <v>30</v>
      </c>
      <c r="K14836" t="str">
        <f>"27028"</f>
        <v>27028</v>
      </c>
      <c r="M14836" t="s">
        <v>17861</v>
      </c>
      <c r="N14836" t="str">
        <f>"2/26/2021 3:36:00 PM"</f>
        <v>2/26/2021 3:36:00 PM</v>
      </c>
      <c r="O14836" t="s">
        <v>45233</v>
      </c>
    </row>
    <row r="14837" spans="1:20" x14ac:dyDescent="0.25">
      <c r="A14837" t="str">
        <f>"3059838"</f>
        <v>3059838</v>
      </c>
      <c r="B14837" t="s">
        <v>45235</v>
      </c>
      <c r="C14837" t="str">
        <f>"82514565"</f>
        <v>82514565</v>
      </c>
      <c r="D14837" t="s">
        <v>45236</v>
      </c>
      <c r="F14837" t="s">
        <v>45237</v>
      </c>
      <c r="I14837" t="s">
        <v>29</v>
      </c>
      <c r="J14837" t="s">
        <v>30</v>
      </c>
      <c r="K14837" t="s">
        <v>45238</v>
      </c>
      <c r="M14837" t="s">
        <v>25733</v>
      </c>
      <c r="N14837" t="str">
        <f>"3/1/2021 10:46:00 AM"</f>
        <v>3/1/2021 10:46:00 AM</v>
      </c>
      <c r="O14837" t="s">
        <v>45236</v>
      </c>
    </row>
    <row r="14838" spans="1:20" x14ac:dyDescent="0.25">
      <c r="A14838" t="str">
        <f>"3054003"</f>
        <v>3054003</v>
      </c>
      <c r="B14838" t="s">
        <v>45239</v>
      </c>
      <c r="C14838" t="str">
        <f>"82514565"</f>
        <v>82514565</v>
      </c>
      <c r="D14838" t="s">
        <v>45236</v>
      </c>
      <c r="F14838" t="s">
        <v>45237</v>
      </c>
      <c r="I14838" t="s">
        <v>29</v>
      </c>
      <c r="J14838" t="s">
        <v>30</v>
      </c>
      <c r="K14838" t="s">
        <v>45238</v>
      </c>
      <c r="M14838" t="s">
        <v>25733</v>
      </c>
      <c r="N14838" t="str">
        <f>"3/1/2021 10:46:00 AM"</f>
        <v>3/1/2021 10:46:00 AM</v>
      </c>
      <c r="O14838" t="s">
        <v>45236</v>
      </c>
    </row>
    <row r="14839" spans="1:20" x14ac:dyDescent="0.25">
      <c r="A14839" t="str">
        <f>"3054557"</f>
        <v>3054557</v>
      </c>
      <c r="B14839" t="s">
        <v>45240</v>
      </c>
      <c r="C14839" t="str">
        <f>"82514565"</f>
        <v>82514565</v>
      </c>
      <c r="D14839" t="s">
        <v>45236</v>
      </c>
      <c r="F14839" t="s">
        <v>45237</v>
      </c>
      <c r="I14839" t="s">
        <v>29</v>
      </c>
      <c r="J14839" t="s">
        <v>30</v>
      </c>
      <c r="K14839" t="s">
        <v>45238</v>
      </c>
      <c r="M14839" t="s">
        <v>25733</v>
      </c>
      <c r="N14839" t="str">
        <f>"3/1/2021 10:46:00 AM"</f>
        <v>3/1/2021 10:46:00 AM</v>
      </c>
      <c r="O14839" t="s">
        <v>45236</v>
      </c>
    </row>
    <row r="14840" spans="1:20" x14ac:dyDescent="0.25">
      <c r="A14840" t="str">
        <f>"3054574"</f>
        <v>3054574</v>
      </c>
      <c r="B14840" t="s">
        <v>45241</v>
      </c>
      <c r="C14840" t="str">
        <f>"82514565"</f>
        <v>82514565</v>
      </c>
      <c r="D14840" t="s">
        <v>45236</v>
      </c>
      <c r="F14840" t="s">
        <v>45237</v>
      </c>
      <c r="I14840" t="s">
        <v>29</v>
      </c>
      <c r="J14840" t="s">
        <v>30</v>
      </c>
      <c r="K14840" t="s">
        <v>45238</v>
      </c>
      <c r="M14840" t="s">
        <v>25733</v>
      </c>
      <c r="N14840" t="str">
        <f>"3/1/2021 10:46:00 AM"</f>
        <v>3/1/2021 10:46:00 AM</v>
      </c>
      <c r="O14840" t="s">
        <v>45236</v>
      </c>
    </row>
    <row r="14841" spans="1:20" x14ac:dyDescent="0.25">
      <c r="A14841" t="str">
        <f>"3056575"</f>
        <v>3056575</v>
      </c>
      <c r="B14841" t="s">
        <v>45242</v>
      </c>
      <c r="C14841" t="str">
        <f>"82514565"</f>
        <v>82514565</v>
      </c>
      <c r="D14841" t="s">
        <v>45236</v>
      </c>
      <c r="F14841" t="s">
        <v>45237</v>
      </c>
      <c r="I14841" t="s">
        <v>29</v>
      </c>
      <c r="J14841" t="s">
        <v>30</v>
      </c>
      <c r="K14841" t="s">
        <v>45238</v>
      </c>
      <c r="M14841" t="s">
        <v>25733</v>
      </c>
      <c r="N14841" t="str">
        <f>"3/1/2021 10:46:00 AM"</f>
        <v>3/1/2021 10:46:00 AM</v>
      </c>
      <c r="O14841" t="s">
        <v>45236</v>
      </c>
    </row>
    <row r="14842" spans="1:20" x14ac:dyDescent="0.25">
      <c r="A14842" t="str">
        <f>"3053356"</f>
        <v>3053356</v>
      </c>
      <c r="B14842" t="s">
        <v>45243</v>
      </c>
      <c r="C14842" t="str">
        <f>"8305428"</f>
        <v>8305428</v>
      </c>
      <c r="D14842" t="s">
        <v>39104</v>
      </c>
      <c r="F14842" t="s">
        <v>39105</v>
      </c>
      <c r="I14842" t="s">
        <v>17921</v>
      </c>
      <c r="J14842" t="s">
        <v>30</v>
      </c>
      <c r="K14842" t="str">
        <f>"27028"</f>
        <v>27028</v>
      </c>
      <c r="M14842" t="s">
        <v>33845</v>
      </c>
      <c r="N14842" t="str">
        <f>"1/22/2021 11:09:00 AM"</f>
        <v>1/22/2021 11:09:00 AM</v>
      </c>
      <c r="O14842" t="s">
        <v>39104</v>
      </c>
    </row>
    <row r="14843" spans="1:20" x14ac:dyDescent="0.25">
      <c r="A14843" t="str">
        <f>"3050820"</f>
        <v>3050820</v>
      </c>
      <c r="B14843" t="s">
        <v>45244</v>
      </c>
      <c r="C14843" t="str">
        <f>"82530699"</f>
        <v>82530699</v>
      </c>
      <c r="D14843" t="s">
        <v>45245</v>
      </c>
      <c r="F14843" t="s">
        <v>45246</v>
      </c>
      <c r="I14843" t="s">
        <v>184</v>
      </c>
      <c r="J14843" t="s">
        <v>30</v>
      </c>
      <c r="K14843" t="s">
        <v>185</v>
      </c>
      <c r="M14843" t="s">
        <v>33845</v>
      </c>
      <c r="N14843" t="str">
        <f>"2/16/2021 4:08:00 PM"</f>
        <v>2/16/2021 4:08:00 PM</v>
      </c>
      <c r="O14843" t="s">
        <v>45245</v>
      </c>
    </row>
    <row r="14844" spans="1:20" x14ac:dyDescent="0.25">
      <c r="A14844" t="str">
        <f>"3038370"</f>
        <v>3038370</v>
      </c>
      <c r="B14844" t="s">
        <v>45247</v>
      </c>
      <c r="C14844" t="str">
        <f>"82527992"</f>
        <v>82527992</v>
      </c>
      <c r="D14844" t="s">
        <v>45248</v>
      </c>
      <c r="E14844" t="s">
        <v>45249</v>
      </c>
      <c r="F14844" t="s">
        <v>45250</v>
      </c>
      <c r="I14844" t="s">
        <v>29</v>
      </c>
      <c r="J14844" t="s">
        <v>30</v>
      </c>
      <c r="K14844" t="s">
        <v>45251</v>
      </c>
      <c r="M14844" t="s">
        <v>41454</v>
      </c>
      <c r="N14844" t="str">
        <f>"2/18/2021 4:00:00 PM"</f>
        <v>2/18/2021 4:00:00 PM</v>
      </c>
      <c r="O14844" t="s">
        <v>45248</v>
      </c>
      <c r="T14844" t="s">
        <v>45249</v>
      </c>
    </row>
    <row r="14845" spans="1:20" x14ac:dyDescent="0.25">
      <c r="A14845" t="str">
        <f>"3038166"</f>
        <v>3038166</v>
      </c>
      <c r="B14845" t="s">
        <v>45252</v>
      </c>
      <c r="C14845" t="str">
        <f>"82527992"</f>
        <v>82527992</v>
      </c>
      <c r="D14845" t="s">
        <v>45248</v>
      </c>
      <c r="E14845" t="s">
        <v>45249</v>
      </c>
      <c r="F14845" t="s">
        <v>45250</v>
      </c>
      <c r="I14845" t="s">
        <v>29</v>
      </c>
      <c r="J14845" t="s">
        <v>30</v>
      </c>
      <c r="K14845" t="s">
        <v>45251</v>
      </c>
      <c r="M14845" t="s">
        <v>41454</v>
      </c>
      <c r="N14845" t="str">
        <f>"2/18/2021 4:00:00 PM"</f>
        <v>2/18/2021 4:00:00 PM</v>
      </c>
      <c r="O14845" t="s">
        <v>45248</v>
      </c>
      <c r="T14845" t="s">
        <v>45249</v>
      </c>
    </row>
    <row r="14846" spans="1:20" x14ac:dyDescent="0.25">
      <c r="A14846" t="str">
        <f>"3050596"</f>
        <v>3050596</v>
      </c>
      <c r="B14846" t="s">
        <v>45253</v>
      </c>
      <c r="C14846" t="str">
        <f>"8314877"</f>
        <v>8314877</v>
      </c>
      <c r="D14846" t="s">
        <v>45254</v>
      </c>
      <c r="E14846" t="s">
        <v>22194</v>
      </c>
      <c r="F14846" t="s">
        <v>45255</v>
      </c>
      <c r="I14846" t="s">
        <v>184</v>
      </c>
      <c r="J14846" t="s">
        <v>30</v>
      </c>
      <c r="K14846" t="s">
        <v>39121</v>
      </c>
      <c r="M14846" t="s">
        <v>25625</v>
      </c>
      <c r="N14846" t="str">
        <f>"2/22/2021 9:57:00 AM"</f>
        <v>2/22/2021 9:57:00 AM</v>
      </c>
      <c r="O14846" t="s">
        <v>45254</v>
      </c>
      <c r="T14846" t="s">
        <v>22194</v>
      </c>
    </row>
    <row r="14847" spans="1:20" x14ac:dyDescent="0.25">
      <c r="A14847" t="str">
        <f>"3054545"</f>
        <v>3054545</v>
      </c>
      <c r="B14847" t="s">
        <v>45256</v>
      </c>
      <c r="C14847" t="str">
        <f>"8307469"</f>
        <v>8307469</v>
      </c>
      <c r="D14847" t="s">
        <v>45257</v>
      </c>
      <c r="E14847" t="s">
        <v>45258</v>
      </c>
      <c r="F14847" t="s">
        <v>45259</v>
      </c>
      <c r="I14847" t="s">
        <v>29</v>
      </c>
      <c r="J14847" t="s">
        <v>30</v>
      </c>
      <c r="K14847" t="s">
        <v>45260</v>
      </c>
      <c r="M14847" t="s">
        <v>45261</v>
      </c>
      <c r="N14847" t="str">
        <f>"2/22/2021 11:44:00 AM"</f>
        <v>2/22/2021 11:44:00 AM</v>
      </c>
      <c r="O14847" t="s">
        <v>45257</v>
      </c>
      <c r="T14847" t="s">
        <v>45258</v>
      </c>
    </row>
    <row r="14848" spans="1:20" x14ac:dyDescent="0.25">
      <c r="A14848" t="str">
        <f>"3076948"</f>
        <v>3076948</v>
      </c>
      <c r="B14848" t="s">
        <v>45262</v>
      </c>
      <c r="C14848" t="str">
        <f>"82525784"</f>
        <v>82525784</v>
      </c>
      <c r="D14848" t="s">
        <v>45263</v>
      </c>
      <c r="F14848" t="s">
        <v>45264</v>
      </c>
      <c r="I14848" t="s">
        <v>471</v>
      </c>
      <c r="J14848" t="s">
        <v>30</v>
      </c>
      <c r="K14848" t="s">
        <v>472</v>
      </c>
      <c r="M14848" t="s">
        <v>33845</v>
      </c>
      <c r="N14848" t="str">
        <f>"2/22/2021 12:31:00 PM"</f>
        <v>2/22/2021 12:31:00 PM</v>
      </c>
      <c r="O14848" t="s">
        <v>45263</v>
      </c>
    </row>
    <row r="14849" spans="1:20" x14ac:dyDescent="0.25">
      <c r="A14849" t="str">
        <f>"3041595"</f>
        <v>3041595</v>
      </c>
      <c r="B14849" t="s">
        <v>45265</v>
      </c>
      <c r="C14849" t="str">
        <f>"8302297"</f>
        <v>8302297</v>
      </c>
      <c r="D14849" t="s">
        <v>45266</v>
      </c>
      <c r="F14849" t="s">
        <v>45267</v>
      </c>
      <c r="I14849" t="s">
        <v>2071</v>
      </c>
      <c r="J14849" t="s">
        <v>30</v>
      </c>
      <c r="K14849" t="str">
        <f>"27006"</f>
        <v>27006</v>
      </c>
      <c r="M14849" t="s">
        <v>33845</v>
      </c>
      <c r="N14849" t="str">
        <f>"2/22/2021 2:21:00 PM"</f>
        <v>2/22/2021 2:21:00 PM</v>
      </c>
      <c r="O14849" t="s">
        <v>45266</v>
      </c>
    </row>
    <row r="14850" spans="1:20" x14ac:dyDescent="0.25">
      <c r="A14850" t="str">
        <f>"3046356"</f>
        <v>3046356</v>
      </c>
      <c r="B14850" t="s">
        <v>45268</v>
      </c>
      <c r="C14850" t="str">
        <f>"8315089"</f>
        <v>8315089</v>
      </c>
      <c r="D14850" t="s">
        <v>45269</v>
      </c>
      <c r="E14850" t="s">
        <v>45270</v>
      </c>
      <c r="F14850" t="s">
        <v>45271</v>
      </c>
      <c r="I14850" t="s">
        <v>29</v>
      </c>
      <c r="J14850" t="s">
        <v>30</v>
      </c>
      <c r="K14850" t="s">
        <v>45272</v>
      </c>
      <c r="M14850" t="s">
        <v>17861</v>
      </c>
      <c r="N14850" t="str">
        <f>"3/2/2021 2:47:00 PM"</f>
        <v>3/2/2021 2:47:00 PM</v>
      </c>
      <c r="O14850" t="s">
        <v>45269</v>
      </c>
      <c r="T14850" t="s">
        <v>45270</v>
      </c>
    </row>
    <row r="14851" spans="1:20" x14ac:dyDescent="0.25">
      <c r="A14851" t="str">
        <f>"3077953"</f>
        <v>3077953</v>
      </c>
      <c r="B14851" t="s">
        <v>45273</v>
      </c>
      <c r="C14851" t="str">
        <f>"8315091"</f>
        <v>8315091</v>
      </c>
      <c r="D14851" t="s">
        <v>45274</v>
      </c>
      <c r="F14851" t="s">
        <v>45275</v>
      </c>
      <c r="I14851" t="s">
        <v>29</v>
      </c>
      <c r="J14851" t="s">
        <v>30</v>
      </c>
      <c r="K14851" t="s">
        <v>42277</v>
      </c>
      <c r="M14851" t="s">
        <v>17861</v>
      </c>
      <c r="N14851" t="str">
        <f>"3/2/2021 2:59:00 PM"</f>
        <v>3/2/2021 2:59:00 PM</v>
      </c>
      <c r="O14851" t="s">
        <v>45274</v>
      </c>
    </row>
    <row r="14852" spans="1:20" x14ac:dyDescent="0.25">
      <c r="A14852" t="str">
        <f>"3042781"</f>
        <v>3042781</v>
      </c>
      <c r="B14852" t="s">
        <v>45276</v>
      </c>
      <c r="C14852" t="str">
        <f>"8315092"</f>
        <v>8315092</v>
      </c>
      <c r="D14852" t="s">
        <v>45277</v>
      </c>
      <c r="E14852" t="s">
        <v>45278</v>
      </c>
      <c r="F14852" t="s">
        <v>45279</v>
      </c>
      <c r="I14852" t="s">
        <v>29</v>
      </c>
      <c r="J14852" t="s">
        <v>30</v>
      </c>
      <c r="K14852" t="s">
        <v>9432</v>
      </c>
      <c r="M14852" t="s">
        <v>17861</v>
      </c>
      <c r="N14852" t="str">
        <f>"3/2/2021 3:04:00 PM"</f>
        <v>3/2/2021 3:04:00 PM</v>
      </c>
      <c r="O14852" t="s">
        <v>45277</v>
      </c>
      <c r="T14852" t="s">
        <v>45278</v>
      </c>
    </row>
    <row r="14853" spans="1:20" x14ac:dyDescent="0.25">
      <c r="A14853" t="str">
        <f>"3060957"</f>
        <v>3060957</v>
      </c>
      <c r="B14853" t="s">
        <v>45280</v>
      </c>
      <c r="C14853" t="str">
        <f>"8315094"</f>
        <v>8315094</v>
      </c>
      <c r="D14853" t="s">
        <v>45281</v>
      </c>
      <c r="E14853" t="s">
        <v>45282</v>
      </c>
      <c r="F14853" t="s">
        <v>45283</v>
      </c>
      <c r="I14853" t="s">
        <v>2071</v>
      </c>
      <c r="J14853" t="s">
        <v>30</v>
      </c>
      <c r="K14853" t="s">
        <v>37104</v>
      </c>
      <c r="M14853" t="s">
        <v>17861</v>
      </c>
      <c r="N14853" t="str">
        <f>"3/2/2021 3:12:00 PM"</f>
        <v>3/2/2021 3:12:00 PM</v>
      </c>
      <c r="O14853" t="s">
        <v>45281</v>
      </c>
      <c r="T14853" t="s">
        <v>45282</v>
      </c>
    </row>
    <row r="14854" spans="1:20" x14ac:dyDescent="0.25">
      <c r="A14854" t="str">
        <f>"3051008"</f>
        <v>3051008</v>
      </c>
      <c r="B14854" t="s">
        <v>45284</v>
      </c>
      <c r="C14854" t="str">
        <f>"8315095"</f>
        <v>8315095</v>
      </c>
      <c r="D14854" t="s">
        <v>45285</v>
      </c>
      <c r="E14854" t="s">
        <v>45286</v>
      </c>
      <c r="F14854" t="s">
        <v>45287</v>
      </c>
      <c r="I14854" t="s">
        <v>1107</v>
      </c>
      <c r="J14854" t="s">
        <v>30</v>
      </c>
      <c r="K14854" t="s">
        <v>45288</v>
      </c>
      <c r="M14854" t="s">
        <v>17861</v>
      </c>
      <c r="N14854" t="str">
        <f>"3/2/2021 3:18:00 PM"</f>
        <v>3/2/2021 3:18:00 PM</v>
      </c>
      <c r="O14854" t="s">
        <v>45285</v>
      </c>
      <c r="T14854" t="s">
        <v>45286</v>
      </c>
    </row>
    <row r="14855" spans="1:20" x14ac:dyDescent="0.25">
      <c r="A14855" t="str">
        <f>"3052428"</f>
        <v>3052428</v>
      </c>
      <c r="B14855" t="s">
        <v>45289</v>
      </c>
      <c r="C14855" t="str">
        <f>"8315096"</f>
        <v>8315096</v>
      </c>
      <c r="D14855" t="s">
        <v>45290</v>
      </c>
      <c r="E14855" t="s">
        <v>45291</v>
      </c>
      <c r="F14855" t="s">
        <v>45292</v>
      </c>
      <c r="I14855" t="s">
        <v>29</v>
      </c>
      <c r="J14855" t="s">
        <v>30</v>
      </c>
      <c r="K14855" t="s">
        <v>11890</v>
      </c>
      <c r="M14855" t="s">
        <v>17861</v>
      </c>
      <c r="N14855" t="str">
        <f>"3/2/2021 3:21:00 PM"</f>
        <v>3/2/2021 3:21:00 PM</v>
      </c>
      <c r="O14855" t="s">
        <v>45290</v>
      </c>
      <c r="T14855" t="s">
        <v>45291</v>
      </c>
    </row>
    <row r="14856" spans="1:20" x14ac:dyDescent="0.25">
      <c r="A14856" t="str">
        <f>"3057681"</f>
        <v>3057681</v>
      </c>
      <c r="B14856" t="s">
        <v>45293</v>
      </c>
      <c r="C14856" t="str">
        <f>"8315097"</f>
        <v>8315097</v>
      </c>
      <c r="D14856" t="s">
        <v>45294</v>
      </c>
      <c r="E14856" t="s">
        <v>45295</v>
      </c>
      <c r="F14856" t="s">
        <v>45296</v>
      </c>
      <c r="I14856" t="s">
        <v>2071</v>
      </c>
      <c r="J14856" t="s">
        <v>30</v>
      </c>
      <c r="K14856" t="str">
        <f>"27006"</f>
        <v>27006</v>
      </c>
      <c r="M14856" t="s">
        <v>17861</v>
      </c>
      <c r="N14856" t="str">
        <f>"3/2/2021 4:14:00 PM"</f>
        <v>3/2/2021 4:14:00 PM</v>
      </c>
      <c r="O14856" t="s">
        <v>45294</v>
      </c>
      <c r="T14856" t="s">
        <v>45295</v>
      </c>
    </row>
    <row r="14857" spans="1:20" x14ac:dyDescent="0.25">
      <c r="A14857" t="str">
        <f>"3058165"</f>
        <v>3058165</v>
      </c>
      <c r="B14857" t="s">
        <v>45297</v>
      </c>
      <c r="C14857" t="str">
        <f>"8315098"</f>
        <v>8315098</v>
      </c>
      <c r="D14857" t="s">
        <v>45298</v>
      </c>
      <c r="E14857" t="s">
        <v>45299</v>
      </c>
      <c r="F14857" t="s">
        <v>45300</v>
      </c>
      <c r="I14857" t="s">
        <v>29</v>
      </c>
      <c r="J14857" t="s">
        <v>30</v>
      </c>
      <c r="K14857" t="s">
        <v>45301</v>
      </c>
      <c r="M14857" t="s">
        <v>17861</v>
      </c>
      <c r="N14857" t="str">
        <f>"3/2/2021 4:44:00 PM"</f>
        <v>3/2/2021 4:44:00 PM</v>
      </c>
      <c r="O14857" t="s">
        <v>45298</v>
      </c>
      <c r="T14857" t="s">
        <v>45299</v>
      </c>
    </row>
    <row r="14858" spans="1:20" x14ac:dyDescent="0.25">
      <c r="A14858" t="str">
        <f>"3055264"</f>
        <v>3055264</v>
      </c>
      <c r="B14858" t="s">
        <v>45302</v>
      </c>
      <c r="C14858" t="str">
        <f>"8315101"</f>
        <v>8315101</v>
      </c>
      <c r="D14858" t="s">
        <v>45303</v>
      </c>
      <c r="E14858" t="s">
        <v>45304</v>
      </c>
      <c r="F14858" t="s">
        <v>45305</v>
      </c>
      <c r="I14858" t="s">
        <v>29</v>
      </c>
      <c r="J14858" t="s">
        <v>30</v>
      </c>
      <c r="K14858" t="s">
        <v>45306</v>
      </c>
      <c r="M14858" t="s">
        <v>17861</v>
      </c>
      <c r="N14858" t="str">
        <f>"3/3/2021 8:38:00 AM"</f>
        <v>3/3/2021 8:38:00 AM</v>
      </c>
      <c r="O14858" t="s">
        <v>45303</v>
      </c>
      <c r="T14858" t="s">
        <v>45304</v>
      </c>
    </row>
    <row r="14859" spans="1:20" x14ac:dyDescent="0.25">
      <c r="A14859" t="str">
        <f>"3054957"</f>
        <v>3054957</v>
      </c>
      <c r="B14859" t="s">
        <v>45307</v>
      </c>
      <c r="C14859" t="str">
        <f>"8315102"</f>
        <v>8315102</v>
      </c>
      <c r="D14859" t="s">
        <v>45308</v>
      </c>
      <c r="E14859" t="s">
        <v>45309</v>
      </c>
      <c r="F14859" t="s">
        <v>45310</v>
      </c>
      <c r="I14859" t="s">
        <v>2275</v>
      </c>
      <c r="J14859" t="s">
        <v>30</v>
      </c>
      <c r="K14859" t="s">
        <v>45311</v>
      </c>
      <c r="M14859" t="s">
        <v>17861</v>
      </c>
      <c r="N14859" t="str">
        <f>"3/3/2021 8:43:00 AM"</f>
        <v>3/3/2021 8:43:00 AM</v>
      </c>
      <c r="O14859" t="s">
        <v>45308</v>
      </c>
      <c r="T14859" t="s">
        <v>45309</v>
      </c>
    </row>
    <row r="14860" spans="1:20" x14ac:dyDescent="0.25">
      <c r="A14860" t="str">
        <f>"3064319"</f>
        <v>3064319</v>
      </c>
      <c r="B14860" t="s">
        <v>45312</v>
      </c>
      <c r="C14860" t="str">
        <f>"8315103"</f>
        <v>8315103</v>
      </c>
      <c r="D14860" t="s">
        <v>45313</v>
      </c>
      <c r="E14860" t="s">
        <v>45314</v>
      </c>
      <c r="F14860" t="s">
        <v>45315</v>
      </c>
      <c r="I14860" t="s">
        <v>29</v>
      </c>
      <c r="J14860" t="s">
        <v>30</v>
      </c>
      <c r="K14860" t="s">
        <v>45225</v>
      </c>
      <c r="M14860" t="s">
        <v>17861</v>
      </c>
      <c r="N14860" t="str">
        <f>"3/3/2021 8:46:00 AM"</f>
        <v>3/3/2021 8:46:00 AM</v>
      </c>
      <c r="O14860" t="s">
        <v>45313</v>
      </c>
      <c r="T14860" t="s">
        <v>45314</v>
      </c>
    </row>
    <row r="14861" spans="1:20" x14ac:dyDescent="0.25">
      <c r="A14861" t="str">
        <f>"3052536"</f>
        <v>3052536</v>
      </c>
      <c r="B14861" t="s">
        <v>45316</v>
      </c>
      <c r="C14861" t="str">
        <f>"8315104"</f>
        <v>8315104</v>
      </c>
      <c r="D14861" t="s">
        <v>45317</v>
      </c>
      <c r="F14861" t="s">
        <v>45318</v>
      </c>
      <c r="I14861" t="s">
        <v>29</v>
      </c>
      <c r="J14861" t="s">
        <v>30</v>
      </c>
      <c r="K14861" t="s">
        <v>34999</v>
      </c>
      <c r="M14861" t="s">
        <v>17861</v>
      </c>
      <c r="N14861" t="str">
        <f>"3/3/2021 9:02:00 AM"</f>
        <v>3/3/2021 9:02:00 AM</v>
      </c>
      <c r="O14861" t="s">
        <v>45317</v>
      </c>
    </row>
    <row r="14862" spans="1:20" x14ac:dyDescent="0.25">
      <c r="A14862" t="str">
        <f>"3044998"</f>
        <v>3044998</v>
      </c>
      <c r="B14862" t="s">
        <v>45319</v>
      </c>
      <c r="C14862" t="str">
        <f>"82518650"</f>
        <v>82518650</v>
      </c>
      <c r="D14862" t="s">
        <v>45320</v>
      </c>
      <c r="F14862" t="s">
        <v>45321</v>
      </c>
      <c r="I14862" t="s">
        <v>29</v>
      </c>
      <c r="J14862" t="s">
        <v>30</v>
      </c>
      <c r="K14862" t="s">
        <v>7883</v>
      </c>
      <c r="M14862" t="s">
        <v>17861</v>
      </c>
      <c r="N14862" t="str">
        <f>"2/23/2021 10:06:00 AM"</f>
        <v>2/23/2021 10:06:00 AM</v>
      </c>
      <c r="O14862" t="s">
        <v>45320</v>
      </c>
    </row>
    <row r="14863" spans="1:20" x14ac:dyDescent="0.25">
      <c r="A14863" t="str">
        <f>"3043763"</f>
        <v>3043763</v>
      </c>
      <c r="B14863" t="s">
        <v>45322</v>
      </c>
      <c r="C14863" t="str">
        <f>"8315106"</f>
        <v>8315106</v>
      </c>
      <c r="D14863" t="s">
        <v>45323</v>
      </c>
      <c r="E14863" t="s">
        <v>45324</v>
      </c>
      <c r="F14863" t="s">
        <v>45325</v>
      </c>
      <c r="I14863" t="s">
        <v>29</v>
      </c>
      <c r="J14863" t="s">
        <v>30</v>
      </c>
      <c r="K14863" t="s">
        <v>39787</v>
      </c>
      <c r="M14863" t="s">
        <v>17861</v>
      </c>
      <c r="N14863" t="str">
        <f>"3/3/2021 9:28:00 AM"</f>
        <v>3/3/2021 9:28:00 AM</v>
      </c>
      <c r="O14863" t="s">
        <v>45323</v>
      </c>
      <c r="T14863" t="s">
        <v>45324</v>
      </c>
    </row>
    <row r="14864" spans="1:20" x14ac:dyDescent="0.25">
      <c r="A14864" t="str">
        <f>"3040692"</f>
        <v>3040692</v>
      </c>
      <c r="B14864" t="s">
        <v>45326</v>
      </c>
      <c r="C14864" t="str">
        <f>"8315109"</f>
        <v>8315109</v>
      </c>
      <c r="D14864" t="s">
        <v>23694</v>
      </c>
      <c r="E14864" t="s">
        <v>45327</v>
      </c>
      <c r="F14864" t="s">
        <v>23695</v>
      </c>
      <c r="I14864" t="s">
        <v>184</v>
      </c>
      <c r="J14864" t="s">
        <v>30</v>
      </c>
      <c r="K14864" t="s">
        <v>45328</v>
      </c>
      <c r="M14864" t="s">
        <v>17861</v>
      </c>
      <c r="N14864" t="str">
        <f>"3/3/2021 1:07:00 PM"</f>
        <v>3/3/2021 1:07:00 PM</v>
      </c>
      <c r="O14864" t="s">
        <v>23694</v>
      </c>
      <c r="T14864" t="s">
        <v>45327</v>
      </c>
    </row>
    <row r="14865" spans="1:20" x14ac:dyDescent="0.25">
      <c r="A14865" t="str">
        <f>"3040329"</f>
        <v>3040329</v>
      </c>
      <c r="B14865" t="s">
        <v>45329</v>
      </c>
      <c r="C14865" t="str">
        <f>"8315109"</f>
        <v>8315109</v>
      </c>
      <c r="D14865" t="s">
        <v>23694</v>
      </c>
      <c r="E14865" t="s">
        <v>45327</v>
      </c>
      <c r="F14865" t="s">
        <v>23695</v>
      </c>
      <c r="I14865" t="s">
        <v>184</v>
      </c>
      <c r="J14865" t="s">
        <v>30</v>
      </c>
      <c r="K14865" t="s">
        <v>45328</v>
      </c>
      <c r="M14865" t="s">
        <v>17861</v>
      </c>
      <c r="N14865" t="str">
        <f>"3/3/2021 1:07:00 PM"</f>
        <v>3/3/2021 1:07:00 PM</v>
      </c>
      <c r="O14865" t="s">
        <v>23694</v>
      </c>
      <c r="T14865" t="s">
        <v>45327</v>
      </c>
    </row>
    <row r="14866" spans="1:20" x14ac:dyDescent="0.25">
      <c r="A14866" t="str">
        <f>"3059483"</f>
        <v>3059483</v>
      </c>
      <c r="B14866" t="s">
        <v>45330</v>
      </c>
      <c r="C14866" t="str">
        <f>"8315111"</f>
        <v>8315111</v>
      </c>
      <c r="D14866" t="s">
        <v>45331</v>
      </c>
      <c r="E14866" t="str">
        <f>"SKINNER MARCIA L/JOSEPH P"</f>
        <v>SKINNER MARCIA L/JOSEPH P</v>
      </c>
      <c r="F14866" t="s">
        <v>37217</v>
      </c>
      <c r="I14866" t="s">
        <v>29</v>
      </c>
      <c r="J14866" t="s">
        <v>30</v>
      </c>
      <c r="K14866" t="s">
        <v>37218</v>
      </c>
      <c r="M14866" t="s">
        <v>17861</v>
      </c>
      <c r="N14866" t="str">
        <f>"3/3/2021 1:22:00 PM"</f>
        <v>3/3/2021 1:22:00 PM</v>
      </c>
      <c r="O14866" t="s">
        <v>45331</v>
      </c>
      <c r="T14866" t="str">
        <f>"SKINNER MARCIA L/JOSEPH P"</f>
        <v>SKINNER MARCIA L/JOSEPH P</v>
      </c>
    </row>
    <row r="14867" spans="1:20" x14ac:dyDescent="0.25">
      <c r="A14867" t="str">
        <f>"3062447"</f>
        <v>3062447</v>
      </c>
      <c r="B14867" t="s">
        <v>45332</v>
      </c>
      <c r="C14867" t="str">
        <f>"8309958"</f>
        <v>8309958</v>
      </c>
      <c r="D14867" t="s">
        <v>45333</v>
      </c>
      <c r="E14867" t="s">
        <v>45334</v>
      </c>
      <c r="F14867" t="s">
        <v>45335</v>
      </c>
      <c r="I14867" t="s">
        <v>471</v>
      </c>
      <c r="J14867" t="s">
        <v>30</v>
      </c>
      <c r="K14867" t="s">
        <v>45336</v>
      </c>
      <c r="M14867" t="s">
        <v>17861</v>
      </c>
      <c r="N14867" t="str">
        <f>"2/23/2021 10:11:00 AM"</f>
        <v>2/23/2021 10:11:00 AM</v>
      </c>
      <c r="O14867" t="s">
        <v>45333</v>
      </c>
      <c r="T14867" t="s">
        <v>45334</v>
      </c>
    </row>
    <row r="14868" spans="1:20" x14ac:dyDescent="0.25">
      <c r="A14868" t="str">
        <f>"3046095"</f>
        <v>3046095</v>
      </c>
      <c r="B14868" t="s">
        <v>45337</v>
      </c>
      <c r="C14868" t="str">
        <f>"82527886"</f>
        <v>82527886</v>
      </c>
      <c r="D14868" t="s">
        <v>45338</v>
      </c>
      <c r="F14868" t="s">
        <v>45339</v>
      </c>
      <c r="I14868" t="s">
        <v>7917</v>
      </c>
      <c r="J14868" t="s">
        <v>30</v>
      </c>
      <c r="K14868" t="s">
        <v>45340</v>
      </c>
      <c r="M14868" t="s">
        <v>17861</v>
      </c>
      <c r="N14868" t="str">
        <f>"2/23/2021 10:59:00 AM"</f>
        <v>2/23/2021 10:59:00 AM</v>
      </c>
      <c r="O14868" t="s">
        <v>45338</v>
      </c>
    </row>
    <row r="14869" spans="1:20" x14ac:dyDescent="0.25">
      <c r="A14869" t="str">
        <f>"3047068"</f>
        <v>3047068</v>
      </c>
      <c r="B14869" t="s">
        <v>45341</v>
      </c>
      <c r="C14869" t="str">
        <f>"8310794"</f>
        <v>8310794</v>
      </c>
      <c r="D14869" t="s">
        <v>45342</v>
      </c>
      <c r="E14869" t="s">
        <v>45343</v>
      </c>
      <c r="F14869" t="s">
        <v>45344</v>
      </c>
      <c r="I14869" t="s">
        <v>29</v>
      </c>
      <c r="J14869" t="s">
        <v>30</v>
      </c>
      <c r="K14869" t="s">
        <v>10231</v>
      </c>
      <c r="M14869" t="s">
        <v>17861</v>
      </c>
      <c r="N14869" t="str">
        <f>"2/23/2021 11:04:00 AM"</f>
        <v>2/23/2021 11:04:00 AM</v>
      </c>
      <c r="O14869" t="s">
        <v>45342</v>
      </c>
      <c r="T14869" t="s">
        <v>45343</v>
      </c>
    </row>
    <row r="14870" spans="1:20" x14ac:dyDescent="0.25">
      <c r="A14870" t="str">
        <f>"3055817"</f>
        <v>3055817</v>
      </c>
      <c r="B14870" t="s">
        <v>45345</v>
      </c>
      <c r="C14870" t="str">
        <f>"8315123"</f>
        <v>8315123</v>
      </c>
      <c r="D14870" t="s">
        <v>45346</v>
      </c>
      <c r="F14870" t="s">
        <v>45347</v>
      </c>
      <c r="I14870" t="s">
        <v>25280</v>
      </c>
      <c r="J14870" t="s">
        <v>30</v>
      </c>
      <c r="K14870" t="str">
        <f>"27014"</f>
        <v>27014</v>
      </c>
      <c r="M14870" t="s">
        <v>17861</v>
      </c>
      <c r="N14870" t="str">
        <f>"3/4/2021 11:27:00 AM"</f>
        <v>3/4/2021 11:27:00 AM</v>
      </c>
      <c r="O14870" t="s">
        <v>45346</v>
      </c>
    </row>
    <row r="14871" spans="1:20" x14ac:dyDescent="0.25">
      <c r="A14871" t="str">
        <f>"3075429"</f>
        <v>3075429</v>
      </c>
      <c r="B14871" t="s">
        <v>45348</v>
      </c>
      <c r="C14871" t="str">
        <f>"8305203"</f>
        <v>8305203</v>
      </c>
      <c r="D14871" t="s">
        <v>45349</v>
      </c>
      <c r="E14871" t="s">
        <v>45350</v>
      </c>
      <c r="F14871" t="s">
        <v>45351</v>
      </c>
      <c r="I14871" t="s">
        <v>163</v>
      </c>
      <c r="J14871" t="s">
        <v>30</v>
      </c>
      <c r="K14871" t="str">
        <f>"27285"</f>
        <v>27285</v>
      </c>
      <c r="M14871" t="s">
        <v>25733</v>
      </c>
      <c r="N14871" t="str">
        <f>"2/23/2021 11:15:00 AM"</f>
        <v>2/23/2021 11:15:00 AM</v>
      </c>
      <c r="O14871" t="s">
        <v>45349</v>
      </c>
      <c r="T14871" t="s">
        <v>45350</v>
      </c>
    </row>
    <row r="14872" spans="1:20" x14ac:dyDescent="0.25">
      <c r="A14872" t="str">
        <f>"3044034"</f>
        <v>3044034</v>
      </c>
      <c r="B14872" t="s">
        <v>45352</v>
      </c>
      <c r="C14872" t="str">
        <f>"8311451"</f>
        <v>8311451</v>
      </c>
      <c r="D14872" t="s">
        <v>45353</v>
      </c>
      <c r="E14872" t="s">
        <v>45354</v>
      </c>
      <c r="F14872" t="s">
        <v>45355</v>
      </c>
      <c r="I14872" t="s">
        <v>184</v>
      </c>
      <c r="J14872" t="s">
        <v>30</v>
      </c>
      <c r="K14872" t="s">
        <v>19297</v>
      </c>
      <c r="M14872" t="s">
        <v>17861</v>
      </c>
      <c r="N14872" t="str">
        <f>"2/23/2021 12:38:00 PM"</f>
        <v>2/23/2021 12:38:00 PM</v>
      </c>
      <c r="O14872" t="s">
        <v>45353</v>
      </c>
      <c r="T14872" t="s">
        <v>45354</v>
      </c>
    </row>
    <row r="14873" spans="1:20" x14ac:dyDescent="0.25">
      <c r="A14873" t="str">
        <f>"3055442"</f>
        <v>3055442</v>
      </c>
      <c r="B14873" t="s">
        <v>45356</v>
      </c>
      <c r="C14873" t="str">
        <f>"8312423"</f>
        <v>8312423</v>
      </c>
      <c r="D14873" t="s">
        <v>45357</v>
      </c>
      <c r="F14873" t="s">
        <v>45358</v>
      </c>
      <c r="I14873" t="s">
        <v>29</v>
      </c>
      <c r="J14873" t="s">
        <v>30</v>
      </c>
      <c r="K14873" t="s">
        <v>45359</v>
      </c>
      <c r="M14873" t="s">
        <v>17861</v>
      </c>
      <c r="N14873" t="str">
        <f>"2/23/2021 12:47:00 PM"</f>
        <v>2/23/2021 12:47:00 PM</v>
      </c>
      <c r="O14873" t="s">
        <v>45357</v>
      </c>
    </row>
    <row r="14874" spans="1:20" x14ac:dyDescent="0.25">
      <c r="A14874" t="str">
        <f>"3061091"</f>
        <v>3061091</v>
      </c>
      <c r="B14874" t="s">
        <v>45360</v>
      </c>
      <c r="C14874" t="str">
        <f>"82531018"</f>
        <v>82531018</v>
      </c>
      <c r="D14874" t="s">
        <v>45361</v>
      </c>
      <c r="E14874" t="s">
        <v>45362</v>
      </c>
      <c r="F14874" t="s">
        <v>45363</v>
      </c>
      <c r="I14874" t="s">
        <v>184</v>
      </c>
      <c r="J14874" t="s">
        <v>30</v>
      </c>
      <c r="K14874" t="s">
        <v>41058</v>
      </c>
      <c r="M14874" t="s">
        <v>17861</v>
      </c>
      <c r="N14874" t="str">
        <f>"2/23/2021 12:48:00 PM"</f>
        <v>2/23/2021 12:48:00 PM</v>
      </c>
      <c r="O14874" t="s">
        <v>45361</v>
      </c>
      <c r="T14874" t="s">
        <v>45362</v>
      </c>
    </row>
    <row r="14875" spans="1:20" x14ac:dyDescent="0.25">
      <c r="A14875" t="str">
        <f>"3051560"</f>
        <v>3051560</v>
      </c>
      <c r="B14875" t="s">
        <v>45364</v>
      </c>
      <c r="C14875" t="str">
        <f>"8308637"</f>
        <v>8308637</v>
      </c>
      <c r="D14875" t="s">
        <v>45365</v>
      </c>
      <c r="E14875" t="s">
        <v>45366</v>
      </c>
      <c r="F14875" t="s">
        <v>45367</v>
      </c>
      <c r="I14875" t="s">
        <v>29</v>
      </c>
      <c r="J14875" t="s">
        <v>30</v>
      </c>
      <c r="K14875" t="str">
        <f>"27028"</f>
        <v>27028</v>
      </c>
      <c r="M14875" t="s">
        <v>33845</v>
      </c>
      <c r="N14875" t="str">
        <f>"2/24/2021 1:57:00 PM"</f>
        <v>2/24/2021 1:57:00 PM</v>
      </c>
      <c r="O14875" t="s">
        <v>45365</v>
      </c>
      <c r="T14875" t="s">
        <v>45366</v>
      </c>
    </row>
    <row r="14876" spans="1:20" x14ac:dyDescent="0.25">
      <c r="A14876" t="str">
        <f>"3049066"</f>
        <v>3049066</v>
      </c>
      <c r="B14876" t="s">
        <v>45368</v>
      </c>
      <c r="C14876" t="str">
        <f>"8315140"</f>
        <v>8315140</v>
      </c>
      <c r="D14876" t="s">
        <v>45369</v>
      </c>
      <c r="F14876" t="s">
        <v>45370</v>
      </c>
      <c r="I14876" t="s">
        <v>29</v>
      </c>
      <c r="J14876" t="s">
        <v>30</v>
      </c>
      <c r="K14876" t="s">
        <v>45371</v>
      </c>
      <c r="M14876" t="s">
        <v>17861</v>
      </c>
      <c r="N14876" t="str">
        <f>"3/4/2021 2:00:00 PM"</f>
        <v>3/4/2021 2:00:00 PM</v>
      </c>
      <c r="O14876" t="s">
        <v>45369</v>
      </c>
    </row>
    <row r="14877" spans="1:20" x14ac:dyDescent="0.25">
      <c r="A14877" t="str">
        <f>"3042897"</f>
        <v>3042897</v>
      </c>
      <c r="B14877" t="s">
        <v>45372</v>
      </c>
      <c r="C14877" t="str">
        <f>"34386000"</f>
        <v>34386000</v>
      </c>
      <c r="D14877" t="s">
        <v>45373</v>
      </c>
      <c r="E14877" t="s">
        <v>45374</v>
      </c>
      <c r="F14877" t="s">
        <v>45375</v>
      </c>
      <c r="I14877" t="s">
        <v>29</v>
      </c>
      <c r="J14877" t="s">
        <v>30</v>
      </c>
      <c r="K14877" t="s">
        <v>2665</v>
      </c>
      <c r="M14877" t="s">
        <v>17861</v>
      </c>
      <c r="N14877" t="str">
        <f>"3/4/2021 2:02:00 PM"</f>
        <v>3/4/2021 2:02:00 PM</v>
      </c>
      <c r="O14877" t="s">
        <v>45373</v>
      </c>
      <c r="T14877" t="s">
        <v>45374</v>
      </c>
    </row>
    <row r="14878" spans="1:20" x14ac:dyDescent="0.25">
      <c r="A14878" t="str">
        <f>"3046989"</f>
        <v>3046989</v>
      </c>
      <c r="B14878" t="s">
        <v>45376</v>
      </c>
      <c r="C14878" t="str">
        <f>"8309511"</f>
        <v>8309511</v>
      </c>
      <c r="D14878" t="s">
        <v>45377</v>
      </c>
      <c r="F14878" t="s">
        <v>45378</v>
      </c>
      <c r="I14878" t="s">
        <v>184</v>
      </c>
      <c r="J14878" t="s">
        <v>30</v>
      </c>
      <c r="K14878" t="s">
        <v>34389</v>
      </c>
      <c r="M14878" t="s">
        <v>33845</v>
      </c>
      <c r="N14878" t="str">
        <f>"2/24/2021 2:44:00 PM"</f>
        <v>2/24/2021 2:44:00 PM</v>
      </c>
      <c r="O14878" t="s">
        <v>45377</v>
      </c>
    </row>
    <row r="14879" spans="1:20" x14ac:dyDescent="0.25">
      <c r="A14879" t="str">
        <f>"3060124"</f>
        <v>3060124</v>
      </c>
      <c r="B14879" t="s">
        <v>45379</v>
      </c>
      <c r="C14879" t="str">
        <f>"8315145"</f>
        <v>8315145</v>
      </c>
      <c r="D14879" t="s">
        <v>45380</v>
      </c>
      <c r="E14879" t="s">
        <v>45381</v>
      </c>
      <c r="F14879" t="s">
        <v>45382</v>
      </c>
      <c r="I14879" t="s">
        <v>184</v>
      </c>
      <c r="J14879" t="s">
        <v>30</v>
      </c>
      <c r="K14879" t="s">
        <v>10767</v>
      </c>
      <c r="M14879" t="s">
        <v>17861</v>
      </c>
      <c r="N14879" t="str">
        <f>"3/4/2021 2:33:00 PM"</f>
        <v>3/4/2021 2:33:00 PM</v>
      </c>
      <c r="O14879" t="s">
        <v>45380</v>
      </c>
      <c r="T14879" t="s">
        <v>45381</v>
      </c>
    </row>
    <row r="14880" spans="1:20" x14ac:dyDescent="0.25">
      <c r="A14880" t="str">
        <f>"3057456"</f>
        <v>3057456</v>
      </c>
      <c r="B14880" t="s">
        <v>45383</v>
      </c>
      <c r="C14880" t="str">
        <f>"8315149"</f>
        <v>8315149</v>
      </c>
      <c r="D14880" t="s">
        <v>45384</v>
      </c>
      <c r="F14880" t="s">
        <v>45385</v>
      </c>
      <c r="I14880" t="s">
        <v>184</v>
      </c>
      <c r="J14880" t="s">
        <v>30</v>
      </c>
      <c r="K14880" t="s">
        <v>840</v>
      </c>
      <c r="M14880" t="s">
        <v>17861</v>
      </c>
      <c r="N14880" t="str">
        <f>"3/4/2021 2:44:00 PM"</f>
        <v>3/4/2021 2:44:00 PM</v>
      </c>
      <c r="O14880" t="s">
        <v>45384</v>
      </c>
    </row>
    <row r="14881" spans="1:20" x14ac:dyDescent="0.25">
      <c r="A14881" t="str">
        <f>"3069889"</f>
        <v>3069889</v>
      </c>
      <c r="B14881" t="s">
        <v>45386</v>
      </c>
      <c r="C14881" t="str">
        <f>"82519412"</f>
        <v>82519412</v>
      </c>
      <c r="D14881" t="s">
        <v>45387</v>
      </c>
      <c r="F14881" t="s">
        <v>45388</v>
      </c>
      <c r="I14881" t="s">
        <v>29</v>
      </c>
      <c r="J14881" t="s">
        <v>30</v>
      </c>
      <c r="K14881" t="s">
        <v>40065</v>
      </c>
      <c r="M14881" t="s">
        <v>17861</v>
      </c>
      <c r="N14881" t="str">
        <f>"3/5/2021 11:05:00 AM"</f>
        <v>3/5/2021 11:05:00 AM</v>
      </c>
      <c r="O14881" t="s">
        <v>45387</v>
      </c>
    </row>
    <row r="14882" spans="1:20" x14ac:dyDescent="0.25">
      <c r="A14882" t="str">
        <f>"3072525"</f>
        <v>3072525</v>
      </c>
      <c r="B14882" t="s">
        <v>45389</v>
      </c>
      <c r="C14882" t="str">
        <f>"82519412"</f>
        <v>82519412</v>
      </c>
      <c r="D14882" t="s">
        <v>45387</v>
      </c>
      <c r="F14882" t="s">
        <v>45388</v>
      </c>
      <c r="I14882" t="s">
        <v>29</v>
      </c>
      <c r="J14882" t="s">
        <v>30</v>
      </c>
      <c r="K14882" t="s">
        <v>40065</v>
      </c>
      <c r="M14882" t="s">
        <v>17861</v>
      </c>
      <c r="N14882" t="str">
        <f>"3/5/2021 11:05:00 AM"</f>
        <v>3/5/2021 11:05:00 AM</v>
      </c>
      <c r="O14882" t="s">
        <v>45387</v>
      </c>
    </row>
    <row r="14883" spans="1:20" x14ac:dyDescent="0.25">
      <c r="A14883" t="str">
        <f>"3041269"</f>
        <v>3041269</v>
      </c>
      <c r="B14883" t="s">
        <v>45390</v>
      </c>
      <c r="C14883" t="str">
        <f>"8315030"</f>
        <v>8315030</v>
      </c>
      <c r="D14883" t="s">
        <v>45391</v>
      </c>
      <c r="F14883" t="s">
        <v>45392</v>
      </c>
      <c r="I14883" t="s">
        <v>184</v>
      </c>
      <c r="J14883" t="s">
        <v>30</v>
      </c>
      <c r="K14883" t="s">
        <v>32429</v>
      </c>
      <c r="M14883" t="s">
        <v>17861</v>
      </c>
      <c r="N14883" t="str">
        <f>"2/25/2021 8:41:00 AM"</f>
        <v>2/25/2021 8:41:00 AM</v>
      </c>
      <c r="O14883" t="s">
        <v>45391</v>
      </c>
    </row>
    <row r="14884" spans="1:20" x14ac:dyDescent="0.25">
      <c r="A14884" t="str">
        <f>"3054018"</f>
        <v>3054018</v>
      </c>
      <c r="B14884" t="s">
        <v>45393</v>
      </c>
      <c r="C14884" t="str">
        <f>"18130000"</f>
        <v>18130000</v>
      </c>
      <c r="D14884" t="s">
        <v>45116</v>
      </c>
      <c r="E14884" t="s">
        <v>45117</v>
      </c>
      <c r="F14884" t="s">
        <v>45106</v>
      </c>
      <c r="I14884" t="s">
        <v>45107</v>
      </c>
      <c r="J14884" t="s">
        <v>30</v>
      </c>
      <c r="K14884" t="s">
        <v>45108</v>
      </c>
      <c r="M14884" t="s">
        <v>17861</v>
      </c>
      <c r="N14884" t="str">
        <f>"2/25/2021 2:01:00 PM"</f>
        <v>2/25/2021 2:01:00 PM</v>
      </c>
      <c r="O14884" t="s">
        <v>45116</v>
      </c>
      <c r="T14884" t="s">
        <v>45117</v>
      </c>
    </row>
    <row r="14885" spans="1:20" x14ac:dyDescent="0.25">
      <c r="A14885" t="str">
        <f>"3055987"</f>
        <v>3055987</v>
      </c>
      <c r="B14885" t="s">
        <v>45394</v>
      </c>
      <c r="C14885" t="str">
        <f>"8313500"</f>
        <v>8313500</v>
      </c>
      <c r="D14885" t="s">
        <v>45395</v>
      </c>
      <c r="F14885" t="s">
        <v>45396</v>
      </c>
      <c r="I14885" t="s">
        <v>1107</v>
      </c>
      <c r="J14885" t="s">
        <v>30</v>
      </c>
      <c r="K14885" t="s">
        <v>45397</v>
      </c>
      <c r="M14885" t="s">
        <v>17861</v>
      </c>
      <c r="N14885" t="str">
        <f>"2/25/2021 4:12:00 PM"</f>
        <v>2/25/2021 4:12:00 PM</v>
      </c>
      <c r="O14885" t="s">
        <v>45395</v>
      </c>
    </row>
    <row r="14886" spans="1:20" x14ac:dyDescent="0.25">
      <c r="A14886" t="str">
        <f>"3041363"</f>
        <v>3041363</v>
      </c>
      <c r="B14886" t="s">
        <v>45398</v>
      </c>
      <c r="C14886" t="str">
        <f>"8311905"</f>
        <v>8311905</v>
      </c>
      <c r="D14886" t="s">
        <v>45399</v>
      </c>
      <c r="E14886" t="s">
        <v>45400</v>
      </c>
      <c r="F14886" t="s">
        <v>45401</v>
      </c>
      <c r="I14886" t="s">
        <v>2071</v>
      </c>
      <c r="J14886" t="s">
        <v>30</v>
      </c>
      <c r="K14886" t="s">
        <v>32945</v>
      </c>
      <c r="M14886" t="s">
        <v>17861</v>
      </c>
      <c r="N14886" t="str">
        <f>"2/26/2021 10:23:00 AM"</f>
        <v>2/26/2021 10:23:00 AM</v>
      </c>
      <c r="O14886" t="s">
        <v>45399</v>
      </c>
      <c r="T14886" t="s">
        <v>45400</v>
      </c>
    </row>
    <row r="14887" spans="1:20" x14ac:dyDescent="0.25">
      <c r="A14887" t="str">
        <f>"3055629"</f>
        <v>3055629</v>
      </c>
      <c r="B14887" t="s">
        <v>45402</v>
      </c>
      <c r="C14887" t="str">
        <f>"82516219"</f>
        <v>82516219</v>
      </c>
      <c r="D14887" t="s">
        <v>45403</v>
      </c>
      <c r="F14887" t="s">
        <v>45404</v>
      </c>
      <c r="I14887" t="s">
        <v>29</v>
      </c>
      <c r="J14887" t="s">
        <v>30</v>
      </c>
      <c r="K14887" t="s">
        <v>45405</v>
      </c>
      <c r="M14887" t="s">
        <v>33845</v>
      </c>
      <c r="N14887" t="str">
        <f>"2/16/2021 2:21:00 PM"</f>
        <v>2/16/2021 2:21:00 PM</v>
      </c>
      <c r="O14887" t="s">
        <v>45403</v>
      </c>
    </row>
    <row r="14888" spans="1:20" x14ac:dyDescent="0.25">
      <c r="A14888" t="str">
        <f>"3056833"</f>
        <v>3056833</v>
      </c>
      <c r="B14888" t="s">
        <v>45406</v>
      </c>
      <c r="C14888" t="str">
        <f>"82526591"</f>
        <v>82526591</v>
      </c>
      <c r="D14888" t="s">
        <v>45407</v>
      </c>
      <c r="E14888" t="s">
        <v>45408</v>
      </c>
      <c r="F14888" t="s">
        <v>45409</v>
      </c>
      <c r="I14888" t="s">
        <v>184</v>
      </c>
      <c r="J14888" t="s">
        <v>30</v>
      </c>
      <c r="K14888" t="s">
        <v>185</v>
      </c>
      <c r="M14888" t="s">
        <v>40663</v>
      </c>
      <c r="N14888" t="str">
        <f>"3/6/2021 11:55:00 PM"</f>
        <v>3/6/2021 11:55:00 PM</v>
      </c>
      <c r="O14888" t="s">
        <v>45407</v>
      </c>
      <c r="T14888" t="s">
        <v>45408</v>
      </c>
    </row>
    <row r="14889" spans="1:20" x14ac:dyDescent="0.25">
      <c r="A14889" t="str">
        <f>"3055386"</f>
        <v>3055386</v>
      </c>
      <c r="B14889" t="s">
        <v>45410</v>
      </c>
      <c r="C14889" t="str">
        <f>"8315067"</f>
        <v>8315067</v>
      </c>
      <c r="D14889" t="s">
        <v>45411</v>
      </c>
      <c r="F14889" t="s">
        <v>45412</v>
      </c>
      <c r="I14889" t="s">
        <v>29</v>
      </c>
      <c r="J14889" t="s">
        <v>30</v>
      </c>
      <c r="K14889" t="s">
        <v>36146</v>
      </c>
      <c r="M14889" t="s">
        <v>17861</v>
      </c>
      <c r="N14889" t="str">
        <f>"2/26/2021 3:17:00 PM"</f>
        <v>2/26/2021 3:17:00 PM</v>
      </c>
      <c r="O14889" t="s">
        <v>45411</v>
      </c>
    </row>
    <row r="14890" spans="1:20" x14ac:dyDescent="0.25">
      <c r="A14890" t="str">
        <f>"3048295"</f>
        <v>3048295</v>
      </c>
      <c r="B14890" t="s">
        <v>45413</v>
      </c>
      <c r="C14890" t="str">
        <f>"8315077"</f>
        <v>8315077</v>
      </c>
      <c r="D14890" t="s">
        <v>45414</v>
      </c>
      <c r="E14890" t="s">
        <v>39045</v>
      </c>
      <c r="F14890" t="s">
        <v>45415</v>
      </c>
      <c r="I14890" t="s">
        <v>29</v>
      </c>
      <c r="J14890" t="s">
        <v>30</v>
      </c>
      <c r="K14890" t="s">
        <v>45416</v>
      </c>
      <c r="M14890" t="s">
        <v>17861</v>
      </c>
      <c r="N14890" t="str">
        <f>"3/2/2021 11:16:00 AM"</f>
        <v>3/2/2021 11:16:00 AM</v>
      </c>
      <c r="O14890" t="s">
        <v>45414</v>
      </c>
      <c r="T14890" t="s">
        <v>39045</v>
      </c>
    </row>
    <row r="14891" spans="1:20" x14ac:dyDescent="0.25">
      <c r="A14891" t="str">
        <f>"3041948"</f>
        <v>3041948</v>
      </c>
      <c r="B14891" t="s">
        <v>45417</v>
      </c>
      <c r="C14891" t="str">
        <f t="shared" ref="C14891:C14897" si="234">"8304929"</f>
        <v>8304929</v>
      </c>
      <c r="D14891" t="s">
        <v>45418</v>
      </c>
      <c r="E14891" t="s">
        <v>45419</v>
      </c>
      <c r="F14891" t="s">
        <v>45420</v>
      </c>
      <c r="G14891" t="s">
        <v>45421</v>
      </c>
      <c r="I14891" t="s">
        <v>3736</v>
      </c>
      <c r="J14891" t="s">
        <v>3737</v>
      </c>
      <c r="K14891" t="s">
        <v>45422</v>
      </c>
      <c r="M14891" t="s">
        <v>17861</v>
      </c>
      <c r="N14891" t="str">
        <f t="shared" ref="N14891:N14897" si="235">"3/9/2021 10:24:00 AM"</f>
        <v>3/9/2021 10:24:00 AM</v>
      </c>
      <c r="O14891" t="s">
        <v>45418</v>
      </c>
      <c r="T14891" t="s">
        <v>45419</v>
      </c>
    </row>
    <row r="14892" spans="1:20" x14ac:dyDescent="0.25">
      <c r="A14892" t="str">
        <f>"3041949"</f>
        <v>3041949</v>
      </c>
      <c r="B14892" t="s">
        <v>45423</v>
      </c>
      <c r="C14892" t="str">
        <f t="shared" si="234"/>
        <v>8304929</v>
      </c>
      <c r="D14892" t="s">
        <v>45418</v>
      </c>
      <c r="E14892" t="s">
        <v>45419</v>
      </c>
      <c r="F14892" t="s">
        <v>45420</v>
      </c>
      <c r="G14892" t="s">
        <v>45421</v>
      </c>
      <c r="I14892" t="s">
        <v>3736</v>
      </c>
      <c r="J14892" t="s">
        <v>3737</v>
      </c>
      <c r="K14892" t="s">
        <v>45422</v>
      </c>
      <c r="M14892" t="s">
        <v>17861</v>
      </c>
      <c r="N14892" t="str">
        <f t="shared" si="235"/>
        <v>3/9/2021 10:24:00 AM</v>
      </c>
      <c r="O14892" t="s">
        <v>45418</v>
      </c>
      <c r="T14892" t="s">
        <v>45419</v>
      </c>
    </row>
    <row r="14893" spans="1:20" x14ac:dyDescent="0.25">
      <c r="A14893" t="str">
        <f>"3041950"</f>
        <v>3041950</v>
      </c>
      <c r="B14893" t="s">
        <v>45424</v>
      </c>
      <c r="C14893" t="str">
        <f t="shared" si="234"/>
        <v>8304929</v>
      </c>
      <c r="D14893" t="s">
        <v>45418</v>
      </c>
      <c r="E14893" t="s">
        <v>45419</v>
      </c>
      <c r="F14893" t="s">
        <v>45420</v>
      </c>
      <c r="G14893" t="s">
        <v>45421</v>
      </c>
      <c r="I14893" t="s">
        <v>3736</v>
      </c>
      <c r="J14893" t="s">
        <v>3737</v>
      </c>
      <c r="K14893" t="s">
        <v>45422</v>
      </c>
      <c r="M14893" t="s">
        <v>17861</v>
      </c>
      <c r="N14893" t="str">
        <f t="shared" si="235"/>
        <v>3/9/2021 10:24:00 AM</v>
      </c>
      <c r="O14893" t="s">
        <v>45418</v>
      </c>
      <c r="T14893" t="s">
        <v>45419</v>
      </c>
    </row>
    <row r="14894" spans="1:20" x14ac:dyDescent="0.25">
      <c r="A14894" t="str">
        <f>"3041951"</f>
        <v>3041951</v>
      </c>
      <c r="B14894" t="s">
        <v>45425</v>
      </c>
      <c r="C14894" t="str">
        <f t="shared" si="234"/>
        <v>8304929</v>
      </c>
      <c r="D14894" t="s">
        <v>45418</v>
      </c>
      <c r="E14894" t="s">
        <v>45419</v>
      </c>
      <c r="F14894" t="s">
        <v>45420</v>
      </c>
      <c r="G14894" t="s">
        <v>45421</v>
      </c>
      <c r="I14894" t="s">
        <v>3736</v>
      </c>
      <c r="J14894" t="s">
        <v>3737</v>
      </c>
      <c r="K14894" t="s">
        <v>45422</v>
      </c>
      <c r="M14894" t="s">
        <v>17861</v>
      </c>
      <c r="N14894" t="str">
        <f t="shared" si="235"/>
        <v>3/9/2021 10:24:00 AM</v>
      </c>
      <c r="O14894" t="s">
        <v>45418</v>
      </c>
      <c r="T14894" t="s">
        <v>45419</v>
      </c>
    </row>
    <row r="14895" spans="1:20" x14ac:dyDescent="0.25">
      <c r="A14895" t="str">
        <f>"3062297"</f>
        <v>3062297</v>
      </c>
      <c r="B14895" t="s">
        <v>45426</v>
      </c>
      <c r="C14895" t="str">
        <f t="shared" si="234"/>
        <v>8304929</v>
      </c>
      <c r="D14895" t="s">
        <v>45418</v>
      </c>
      <c r="E14895" t="s">
        <v>45419</v>
      </c>
      <c r="F14895" t="s">
        <v>45420</v>
      </c>
      <c r="G14895" t="s">
        <v>45421</v>
      </c>
      <c r="I14895" t="s">
        <v>3736</v>
      </c>
      <c r="J14895" t="s">
        <v>3737</v>
      </c>
      <c r="K14895" t="s">
        <v>45422</v>
      </c>
      <c r="M14895" t="s">
        <v>17861</v>
      </c>
      <c r="N14895" t="str">
        <f t="shared" si="235"/>
        <v>3/9/2021 10:24:00 AM</v>
      </c>
      <c r="O14895" t="s">
        <v>45418</v>
      </c>
      <c r="T14895" t="s">
        <v>45419</v>
      </c>
    </row>
    <row r="14896" spans="1:20" x14ac:dyDescent="0.25">
      <c r="A14896" t="str">
        <f>"3062295"</f>
        <v>3062295</v>
      </c>
      <c r="B14896" t="s">
        <v>45427</v>
      </c>
      <c r="C14896" t="str">
        <f t="shared" si="234"/>
        <v>8304929</v>
      </c>
      <c r="D14896" t="s">
        <v>45418</v>
      </c>
      <c r="E14896" t="s">
        <v>45419</v>
      </c>
      <c r="F14896" t="s">
        <v>45420</v>
      </c>
      <c r="G14896" t="s">
        <v>45421</v>
      </c>
      <c r="I14896" t="s">
        <v>3736</v>
      </c>
      <c r="J14896" t="s">
        <v>3737</v>
      </c>
      <c r="K14896" t="s">
        <v>45422</v>
      </c>
      <c r="M14896" t="s">
        <v>17861</v>
      </c>
      <c r="N14896" t="str">
        <f t="shared" si="235"/>
        <v>3/9/2021 10:24:00 AM</v>
      </c>
      <c r="O14896" t="s">
        <v>45418</v>
      </c>
      <c r="T14896" t="s">
        <v>45419</v>
      </c>
    </row>
    <row r="14897" spans="1:20" x14ac:dyDescent="0.25">
      <c r="A14897" t="str">
        <f>"3062296"</f>
        <v>3062296</v>
      </c>
      <c r="B14897" t="s">
        <v>45428</v>
      </c>
      <c r="C14897" t="str">
        <f t="shared" si="234"/>
        <v>8304929</v>
      </c>
      <c r="D14897" t="s">
        <v>45418</v>
      </c>
      <c r="E14897" t="s">
        <v>45419</v>
      </c>
      <c r="F14897" t="s">
        <v>45420</v>
      </c>
      <c r="G14897" t="s">
        <v>45421</v>
      </c>
      <c r="I14897" t="s">
        <v>3736</v>
      </c>
      <c r="J14897" t="s">
        <v>3737</v>
      </c>
      <c r="K14897" t="s">
        <v>45422</v>
      </c>
      <c r="M14897" t="s">
        <v>17861</v>
      </c>
      <c r="N14897" t="str">
        <f t="shared" si="235"/>
        <v>3/9/2021 10:24:00 AM</v>
      </c>
      <c r="O14897" t="s">
        <v>45418</v>
      </c>
      <c r="T14897" t="s">
        <v>45419</v>
      </c>
    </row>
    <row r="14898" spans="1:20" x14ac:dyDescent="0.25">
      <c r="A14898" t="str">
        <f>"3059626"</f>
        <v>3059626</v>
      </c>
      <c r="B14898" t="s">
        <v>45429</v>
      </c>
      <c r="C14898" t="str">
        <f>"82522562"</f>
        <v>82522562</v>
      </c>
      <c r="D14898" t="s">
        <v>45430</v>
      </c>
      <c r="E14898" t="s">
        <v>45431</v>
      </c>
      <c r="F14898" t="s">
        <v>45432</v>
      </c>
      <c r="I14898" t="s">
        <v>184</v>
      </c>
      <c r="J14898" t="s">
        <v>30</v>
      </c>
      <c r="K14898" t="s">
        <v>12785</v>
      </c>
      <c r="M14898" t="s">
        <v>40663</v>
      </c>
      <c r="N14898" t="str">
        <f>"3/9/2021 12:21:00 PM"</f>
        <v>3/9/2021 12:21:00 PM</v>
      </c>
      <c r="O14898" t="s">
        <v>45430</v>
      </c>
      <c r="T14898" t="s">
        <v>45431</v>
      </c>
    </row>
    <row r="14899" spans="1:20" x14ac:dyDescent="0.25">
      <c r="A14899" t="str">
        <f>"3058474"</f>
        <v>3058474</v>
      </c>
      <c r="B14899" t="s">
        <v>45433</v>
      </c>
      <c r="C14899" t="str">
        <f>"8315079"</f>
        <v>8315079</v>
      </c>
      <c r="D14899" t="s">
        <v>45434</v>
      </c>
      <c r="E14899" t="s">
        <v>45435</v>
      </c>
      <c r="F14899" t="s">
        <v>45436</v>
      </c>
      <c r="I14899" t="s">
        <v>24359</v>
      </c>
      <c r="J14899" t="s">
        <v>30</v>
      </c>
      <c r="K14899" t="str">
        <f>"27006"</f>
        <v>27006</v>
      </c>
      <c r="M14899" t="s">
        <v>17861</v>
      </c>
      <c r="N14899" t="str">
        <f>"3/2/2021 1:09:00 PM"</f>
        <v>3/2/2021 1:09:00 PM</v>
      </c>
      <c r="O14899" t="s">
        <v>45434</v>
      </c>
      <c r="T14899" t="s">
        <v>45435</v>
      </c>
    </row>
    <row r="14900" spans="1:20" x14ac:dyDescent="0.25">
      <c r="A14900" t="str">
        <f>"3043066"</f>
        <v>3043066</v>
      </c>
      <c r="B14900" t="s">
        <v>45437</v>
      </c>
      <c r="C14900" t="str">
        <f>"8315155"</f>
        <v>8315155</v>
      </c>
      <c r="D14900" t="s">
        <v>32598</v>
      </c>
      <c r="E14900" t="s">
        <v>45438</v>
      </c>
      <c r="F14900" t="s">
        <v>32600</v>
      </c>
      <c r="I14900" t="s">
        <v>29</v>
      </c>
      <c r="J14900" t="s">
        <v>30</v>
      </c>
      <c r="K14900" t="s">
        <v>37538</v>
      </c>
      <c r="M14900" t="s">
        <v>17861</v>
      </c>
      <c r="N14900" t="str">
        <f>"3/10/2021 2:13:00 PM"</f>
        <v>3/10/2021 2:13:00 PM</v>
      </c>
      <c r="O14900" t="s">
        <v>32598</v>
      </c>
      <c r="T14900" t="s">
        <v>45438</v>
      </c>
    </row>
    <row r="14901" spans="1:20" x14ac:dyDescent="0.25">
      <c r="A14901" t="str">
        <f>"3043065"</f>
        <v>3043065</v>
      </c>
      <c r="B14901" t="s">
        <v>45439</v>
      </c>
      <c r="C14901" t="str">
        <f>"8315155"</f>
        <v>8315155</v>
      </c>
      <c r="D14901" t="s">
        <v>32598</v>
      </c>
      <c r="E14901" t="s">
        <v>45438</v>
      </c>
      <c r="F14901" t="s">
        <v>32600</v>
      </c>
      <c r="I14901" t="s">
        <v>29</v>
      </c>
      <c r="J14901" t="s">
        <v>30</v>
      </c>
      <c r="K14901" t="s">
        <v>37538</v>
      </c>
      <c r="M14901" t="s">
        <v>17861</v>
      </c>
      <c r="N14901" t="str">
        <f>"3/10/2021 2:13:00 PM"</f>
        <v>3/10/2021 2:13:00 PM</v>
      </c>
      <c r="O14901" t="s">
        <v>32598</v>
      </c>
      <c r="T14901" t="s">
        <v>45438</v>
      </c>
    </row>
    <row r="14902" spans="1:20" x14ac:dyDescent="0.25">
      <c r="A14902" t="str">
        <f>"3063948"</f>
        <v>3063948</v>
      </c>
      <c r="B14902" t="s">
        <v>45440</v>
      </c>
      <c r="C14902" t="str">
        <f>"8315080"</f>
        <v>8315080</v>
      </c>
      <c r="D14902" t="s">
        <v>45441</v>
      </c>
      <c r="F14902" t="s">
        <v>45442</v>
      </c>
      <c r="I14902" t="s">
        <v>184</v>
      </c>
      <c r="J14902" t="s">
        <v>30</v>
      </c>
      <c r="K14902" t="s">
        <v>45443</v>
      </c>
      <c r="M14902" t="s">
        <v>17861</v>
      </c>
      <c r="N14902" t="str">
        <f>"3/2/2021 1:35:00 PM"</f>
        <v>3/2/2021 1:35:00 PM</v>
      </c>
      <c r="O14902" t="s">
        <v>45441</v>
      </c>
    </row>
    <row r="14903" spans="1:20" x14ac:dyDescent="0.25">
      <c r="A14903" t="str">
        <f>"3060007"</f>
        <v>3060007</v>
      </c>
      <c r="B14903" t="s">
        <v>45444</v>
      </c>
      <c r="C14903" t="str">
        <f>"8315081"</f>
        <v>8315081</v>
      </c>
      <c r="D14903" t="s">
        <v>45445</v>
      </c>
      <c r="E14903" t="s">
        <v>45446</v>
      </c>
      <c r="F14903" t="s">
        <v>45447</v>
      </c>
      <c r="I14903" t="s">
        <v>402</v>
      </c>
      <c r="J14903" t="s">
        <v>30</v>
      </c>
      <c r="K14903" t="s">
        <v>45448</v>
      </c>
      <c r="M14903" t="s">
        <v>17861</v>
      </c>
      <c r="N14903" t="str">
        <f>"3/2/2021 1:43:00 PM"</f>
        <v>3/2/2021 1:43:00 PM</v>
      </c>
      <c r="O14903" t="s">
        <v>45445</v>
      </c>
      <c r="T14903" t="s">
        <v>45446</v>
      </c>
    </row>
    <row r="14904" spans="1:20" x14ac:dyDescent="0.25">
      <c r="A14904" t="str">
        <f>"3045019"</f>
        <v>3045019</v>
      </c>
      <c r="B14904" t="s">
        <v>45449</v>
      </c>
      <c r="C14904" t="str">
        <f>"82516799"</f>
        <v>82516799</v>
      </c>
      <c r="D14904" t="s">
        <v>45450</v>
      </c>
      <c r="F14904" t="s">
        <v>45451</v>
      </c>
      <c r="I14904" t="s">
        <v>17921</v>
      </c>
      <c r="J14904" t="s">
        <v>30</v>
      </c>
      <c r="K14904" t="str">
        <f>"27028"</f>
        <v>27028</v>
      </c>
      <c r="M14904" t="s">
        <v>40663</v>
      </c>
      <c r="N14904" t="str">
        <f>"3/2/2021 2:32:00 PM"</f>
        <v>3/2/2021 2:32:00 PM</v>
      </c>
      <c r="O14904" t="s">
        <v>45450</v>
      </c>
    </row>
    <row r="14905" spans="1:20" x14ac:dyDescent="0.25">
      <c r="A14905" t="str">
        <f>"3043591"</f>
        <v>3043591</v>
      </c>
      <c r="B14905" t="s">
        <v>45452</v>
      </c>
      <c r="C14905" t="str">
        <f>"8304689"</f>
        <v>8304689</v>
      </c>
      <c r="D14905" t="s">
        <v>45453</v>
      </c>
      <c r="E14905" t="s">
        <v>45454</v>
      </c>
      <c r="F14905" t="s">
        <v>45455</v>
      </c>
      <c r="I14905" t="s">
        <v>17921</v>
      </c>
      <c r="J14905" t="s">
        <v>30</v>
      </c>
      <c r="K14905" t="str">
        <f>"27028"</f>
        <v>27028</v>
      </c>
      <c r="M14905" t="s">
        <v>25733</v>
      </c>
      <c r="N14905" t="str">
        <f>"3/2/2021 2:35:00 PM"</f>
        <v>3/2/2021 2:35:00 PM</v>
      </c>
      <c r="O14905" t="s">
        <v>45453</v>
      </c>
      <c r="T14905" t="s">
        <v>45454</v>
      </c>
    </row>
    <row r="14906" spans="1:20" x14ac:dyDescent="0.25">
      <c r="A14906" t="str">
        <f>"3057713"</f>
        <v>3057713</v>
      </c>
      <c r="B14906" t="s">
        <v>45456</v>
      </c>
      <c r="C14906" t="str">
        <f>"8315105"</f>
        <v>8315105</v>
      </c>
      <c r="D14906" t="s">
        <v>45457</v>
      </c>
      <c r="F14906" t="s">
        <v>45458</v>
      </c>
      <c r="I14906" t="s">
        <v>2071</v>
      </c>
      <c r="J14906" t="s">
        <v>30</v>
      </c>
      <c r="K14906" t="str">
        <f>"27006"</f>
        <v>27006</v>
      </c>
      <c r="M14906" t="s">
        <v>17861</v>
      </c>
      <c r="N14906" t="str">
        <f>"3/3/2021 9:21:00 AM"</f>
        <v>3/3/2021 9:21:00 AM</v>
      </c>
      <c r="O14906" t="s">
        <v>45457</v>
      </c>
    </row>
    <row r="14907" spans="1:20" x14ac:dyDescent="0.25">
      <c r="A14907" t="str">
        <f>"3053494"</f>
        <v>3053494</v>
      </c>
      <c r="B14907" t="s">
        <v>45459</v>
      </c>
      <c r="C14907" t="str">
        <f>"8315119"</f>
        <v>8315119</v>
      </c>
      <c r="D14907" t="s">
        <v>45460</v>
      </c>
      <c r="F14907" t="s">
        <v>45461</v>
      </c>
      <c r="I14907" t="s">
        <v>184</v>
      </c>
      <c r="J14907" t="s">
        <v>30</v>
      </c>
      <c r="K14907" t="s">
        <v>45462</v>
      </c>
      <c r="M14907" t="s">
        <v>17861</v>
      </c>
      <c r="N14907" t="str">
        <f>"3/4/2021 10:40:00 AM"</f>
        <v>3/4/2021 10:40:00 AM</v>
      </c>
      <c r="O14907" t="s">
        <v>45460</v>
      </c>
    </row>
    <row r="14908" spans="1:20" x14ac:dyDescent="0.25">
      <c r="A14908" t="str">
        <f>"3044218"</f>
        <v>3044218</v>
      </c>
      <c r="B14908" t="s">
        <v>45463</v>
      </c>
      <c r="C14908" t="str">
        <f>"8315121"</f>
        <v>8315121</v>
      </c>
      <c r="D14908" t="s">
        <v>45464</v>
      </c>
      <c r="E14908" t="s">
        <v>45465</v>
      </c>
      <c r="F14908" t="s">
        <v>45466</v>
      </c>
      <c r="I14908" t="s">
        <v>184</v>
      </c>
      <c r="J14908" t="s">
        <v>30</v>
      </c>
      <c r="K14908" t="s">
        <v>32897</v>
      </c>
      <c r="M14908" t="s">
        <v>17861</v>
      </c>
      <c r="N14908" t="str">
        <f>"3/4/2021 11:17:00 AM"</f>
        <v>3/4/2021 11:17:00 AM</v>
      </c>
      <c r="O14908" t="s">
        <v>45464</v>
      </c>
      <c r="T14908" t="s">
        <v>45465</v>
      </c>
    </row>
    <row r="14909" spans="1:20" x14ac:dyDescent="0.25">
      <c r="A14909" t="str">
        <f>"3052595"</f>
        <v>3052595</v>
      </c>
      <c r="B14909" t="s">
        <v>45467</v>
      </c>
      <c r="C14909" t="str">
        <f>"8315122"</f>
        <v>8315122</v>
      </c>
      <c r="D14909" t="s">
        <v>45468</v>
      </c>
      <c r="E14909" t="s">
        <v>45469</v>
      </c>
      <c r="F14909" t="s">
        <v>45470</v>
      </c>
      <c r="I14909" t="s">
        <v>29</v>
      </c>
      <c r="J14909" t="s">
        <v>30</v>
      </c>
      <c r="K14909" t="s">
        <v>45471</v>
      </c>
      <c r="M14909" t="s">
        <v>17861</v>
      </c>
      <c r="N14909" t="str">
        <f>"3/4/2021 11:20:00 AM"</f>
        <v>3/4/2021 11:20:00 AM</v>
      </c>
      <c r="O14909" t="s">
        <v>45468</v>
      </c>
      <c r="T14909" t="s">
        <v>45469</v>
      </c>
    </row>
    <row r="14910" spans="1:20" x14ac:dyDescent="0.25">
      <c r="A14910" t="str">
        <f>"3061696"</f>
        <v>3061696</v>
      </c>
      <c r="B14910" t="s">
        <v>45472</v>
      </c>
      <c r="C14910" t="str">
        <f>"8315131"</f>
        <v>8315131</v>
      </c>
      <c r="D14910" t="s">
        <v>45473</v>
      </c>
      <c r="E14910" t="s">
        <v>45474</v>
      </c>
      <c r="F14910" t="s">
        <v>45475</v>
      </c>
      <c r="I14910" t="s">
        <v>184</v>
      </c>
      <c r="J14910" t="s">
        <v>30</v>
      </c>
      <c r="K14910" t="s">
        <v>4010</v>
      </c>
      <c r="M14910" t="s">
        <v>17861</v>
      </c>
      <c r="N14910" t="str">
        <f>"3/4/2021 1:06:00 PM"</f>
        <v>3/4/2021 1:06:00 PM</v>
      </c>
      <c r="O14910" t="s">
        <v>45473</v>
      </c>
      <c r="T14910" t="s">
        <v>45474</v>
      </c>
    </row>
    <row r="14911" spans="1:20" x14ac:dyDescent="0.25">
      <c r="A14911" t="str">
        <f>"3055546"</f>
        <v>3055546</v>
      </c>
      <c r="B14911" t="s">
        <v>45476</v>
      </c>
      <c r="C14911" t="str">
        <f>"8315170"</f>
        <v>8315170</v>
      </c>
      <c r="D14911" t="s">
        <v>45477</v>
      </c>
      <c r="F14911" t="s">
        <v>45478</v>
      </c>
      <c r="I14911" t="s">
        <v>29</v>
      </c>
      <c r="J14911" t="s">
        <v>30</v>
      </c>
      <c r="K14911" t="s">
        <v>16621</v>
      </c>
      <c r="M14911" t="s">
        <v>17861</v>
      </c>
      <c r="N14911" t="str">
        <f>"3/11/2021 10:03:00 AM"</f>
        <v>3/11/2021 10:03:00 AM</v>
      </c>
      <c r="O14911" t="s">
        <v>45477</v>
      </c>
    </row>
    <row r="14912" spans="1:20" x14ac:dyDescent="0.25">
      <c r="A14912" t="str">
        <f>"3061626"</f>
        <v>3061626</v>
      </c>
      <c r="B14912" t="s">
        <v>45479</v>
      </c>
      <c r="C14912" t="str">
        <f>"8315172"</f>
        <v>8315172</v>
      </c>
      <c r="D14912" t="s">
        <v>45480</v>
      </c>
      <c r="E14912" t="str">
        <f>"KILFOIL DOUGLAS E/ANNE S TRSTE"</f>
        <v>KILFOIL DOUGLAS E/ANNE S TRSTE</v>
      </c>
      <c r="F14912" t="s">
        <v>45481</v>
      </c>
      <c r="I14912" t="s">
        <v>29</v>
      </c>
      <c r="J14912" t="s">
        <v>30</v>
      </c>
      <c r="K14912" t="s">
        <v>13727</v>
      </c>
      <c r="M14912" t="s">
        <v>17861</v>
      </c>
      <c r="N14912" t="str">
        <f>"3/11/2021 1:00:00 PM"</f>
        <v>3/11/2021 1:00:00 PM</v>
      </c>
      <c r="O14912" t="s">
        <v>45480</v>
      </c>
      <c r="T14912" t="str">
        <f>"KILFOIL DOUGLAS E/ANNE S TRSTE"</f>
        <v>KILFOIL DOUGLAS E/ANNE S TRSTE</v>
      </c>
    </row>
    <row r="14913" spans="1:20" x14ac:dyDescent="0.25">
      <c r="A14913" t="str">
        <f>"3061308"</f>
        <v>3061308</v>
      </c>
      <c r="B14913" t="s">
        <v>45482</v>
      </c>
      <c r="C14913" t="str">
        <f>"8315173"</f>
        <v>8315173</v>
      </c>
      <c r="D14913" t="s">
        <v>45483</v>
      </c>
      <c r="E14913" t="s">
        <v>45484</v>
      </c>
      <c r="F14913" t="s">
        <v>45485</v>
      </c>
      <c r="I14913" t="s">
        <v>2071</v>
      </c>
      <c r="J14913" t="s">
        <v>30</v>
      </c>
      <c r="K14913" t="str">
        <f>"27006"</f>
        <v>27006</v>
      </c>
      <c r="M14913" t="s">
        <v>17861</v>
      </c>
      <c r="N14913" t="str">
        <f>"3/11/2021 1:12:00 PM"</f>
        <v>3/11/2021 1:12:00 PM</v>
      </c>
      <c r="O14913" t="s">
        <v>45483</v>
      </c>
      <c r="T14913" t="s">
        <v>45484</v>
      </c>
    </row>
    <row r="14914" spans="1:20" x14ac:dyDescent="0.25">
      <c r="A14914" t="str">
        <f>"3060605"</f>
        <v>3060605</v>
      </c>
      <c r="B14914" t="s">
        <v>45486</v>
      </c>
      <c r="C14914" t="str">
        <f>"8315174"</f>
        <v>8315174</v>
      </c>
      <c r="D14914" t="s">
        <v>45487</v>
      </c>
      <c r="E14914" t="s">
        <v>45488</v>
      </c>
      <c r="F14914" t="s">
        <v>45489</v>
      </c>
      <c r="I14914" t="s">
        <v>2071</v>
      </c>
      <c r="J14914" t="s">
        <v>30</v>
      </c>
      <c r="K14914" t="str">
        <f>"27006"</f>
        <v>27006</v>
      </c>
      <c r="M14914" t="s">
        <v>17861</v>
      </c>
      <c r="N14914" t="str">
        <f>"3/11/2021 1:28:00 PM"</f>
        <v>3/11/2021 1:28:00 PM</v>
      </c>
      <c r="O14914" t="s">
        <v>45487</v>
      </c>
      <c r="T14914" t="s">
        <v>45488</v>
      </c>
    </row>
    <row r="14915" spans="1:20" x14ac:dyDescent="0.25">
      <c r="A14915" t="str">
        <f>"3061206"</f>
        <v>3061206</v>
      </c>
      <c r="B14915" t="s">
        <v>45490</v>
      </c>
      <c r="C14915" t="str">
        <f>"8315175"</f>
        <v>8315175</v>
      </c>
      <c r="D14915" t="s">
        <v>45491</v>
      </c>
      <c r="F14915" t="s">
        <v>45492</v>
      </c>
      <c r="I14915" t="s">
        <v>2071</v>
      </c>
      <c r="J14915" t="s">
        <v>30</v>
      </c>
      <c r="K14915" t="s">
        <v>44523</v>
      </c>
      <c r="M14915" t="s">
        <v>17861</v>
      </c>
      <c r="N14915" t="str">
        <f>"3/11/2021 1:37:00 PM"</f>
        <v>3/11/2021 1:37:00 PM</v>
      </c>
      <c r="O14915" t="s">
        <v>45491</v>
      </c>
    </row>
    <row r="14916" spans="1:20" x14ac:dyDescent="0.25">
      <c r="A14916" t="str">
        <f>"3047934"</f>
        <v>3047934</v>
      </c>
      <c r="B14916" t="s">
        <v>45493</v>
      </c>
      <c r="C14916" t="str">
        <f>"8315176"</f>
        <v>8315176</v>
      </c>
      <c r="D14916" t="s">
        <v>45494</v>
      </c>
      <c r="E14916" t="s">
        <v>45495</v>
      </c>
      <c r="F14916" t="s">
        <v>45496</v>
      </c>
      <c r="I14916" t="s">
        <v>29</v>
      </c>
      <c r="J14916" t="s">
        <v>30</v>
      </c>
      <c r="K14916" t="s">
        <v>8044</v>
      </c>
      <c r="M14916" t="s">
        <v>17861</v>
      </c>
      <c r="N14916" t="str">
        <f>"3/11/2021 1:43:00 PM"</f>
        <v>3/11/2021 1:43:00 PM</v>
      </c>
      <c r="O14916" t="s">
        <v>45494</v>
      </c>
      <c r="T14916" t="s">
        <v>45495</v>
      </c>
    </row>
    <row r="14917" spans="1:20" x14ac:dyDescent="0.25">
      <c r="A14917" t="str">
        <f>"3059605"</f>
        <v>3059605</v>
      </c>
      <c r="B14917" t="s">
        <v>45497</v>
      </c>
      <c r="C14917" t="str">
        <f>"8315132"</f>
        <v>8315132</v>
      </c>
      <c r="D14917" t="s">
        <v>45498</v>
      </c>
      <c r="E14917" t="str">
        <f>"MOW ADDISON D/ABRAHAM J"</f>
        <v>MOW ADDISON D/ABRAHAM J</v>
      </c>
      <c r="F14917" t="s">
        <v>45499</v>
      </c>
      <c r="I14917" t="s">
        <v>29</v>
      </c>
      <c r="J14917" t="s">
        <v>30</v>
      </c>
      <c r="K14917" t="s">
        <v>39498</v>
      </c>
      <c r="M14917" t="s">
        <v>17861</v>
      </c>
      <c r="N14917" t="str">
        <f>"3/4/2021 1:11:00 PM"</f>
        <v>3/4/2021 1:11:00 PM</v>
      </c>
      <c r="O14917" t="s">
        <v>45498</v>
      </c>
      <c r="T14917" t="str">
        <f>"MOW ADDISON D/ABRAHAM J"</f>
        <v>MOW ADDISON D/ABRAHAM J</v>
      </c>
    </row>
    <row r="14918" spans="1:20" x14ac:dyDescent="0.25">
      <c r="A14918" t="str">
        <f>"3050887"</f>
        <v>3050887</v>
      </c>
      <c r="B14918" t="s">
        <v>45500</v>
      </c>
      <c r="C14918" t="str">
        <f>"8315134"</f>
        <v>8315134</v>
      </c>
      <c r="D14918" t="s">
        <v>45501</v>
      </c>
      <c r="E14918" t="s">
        <v>45502</v>
      </c>
      <c r="F14918" t="s">
        <v>45503</v>
      </c>
      <c r="I14918" t="s">
        <v>184</v>
      </c>
      <c r="J14918" t="s">
        <v>30</v>
      </c>
      <c r="K14918" t="s">
        <v>45504</v>
      </c>
      <c r="M14918" t="s">
        <v>17861</v>
      </c>
      <c r="N14918" t="str">
        <f>"3/4/2021 1:31:00 PM"</f>
        <v>3/4/2021 1:31:00 PM</v>
      </c>
      <c r="O14918" t="s">
        <v>45501</v>
      </c>
      <c r="T14918" t="s">
        <v>45502</v>
      </c>
    </row>
    <row r="14919" spans="1:20" x14ac:dyDescent="0.25">
      <c r="A14919" t="str">
        <f>"3040124"</f>
        <v>3040124</v>
      </c>
      <c r="B14919" t="s">
        <v>45505</v>
      </c>
      <c r="C14919" t="str">
        <f>"8315138"</f>
        <v>8315138</v>
      </c>
      <c r="D14919" t="s">
        <v>45506</v>
      </c>
      <c r="F14919" t="s">
        <v>45507</v>
      </c>
      <c r="I14919" t="s">
        <v>29</v>
      </c>
      <c r="J14919" t="s">
        <v>30</v>
      </c>
      <c r="K14919" t="s">
        <v>43523</v>
      </c>
      <c r="M14919" t="s">
        <v>17861</v>
      </c>
      <c r="N14919" t="str">
        <f>"3/4/2021 1:51:00 PM"</f>
        <v>3/4/2021 1:51:00 PM</v>
      </c>
      <c r="O14919" t="s">
        <v>45506</v>
      </c>
    </row>
    <row r="14920" spans="1:20" x14ac:dyDescent="0.25">
      <c r="A14920" t="str">
        <f>"3043370"</f>
        <v>3043370</v>
      </c>
      <c r="B14920" t="s">
        <v>45508</v>
      </c>
      <c r="C14920" t="str">
        <f>"8315139"</f>
        <v>8315139</v>
      </c>
      <c r="D14920" t="s">
        <v>45509</v>
      </c>
      <c r="E14920" t="s">
        <v>45510</v>
      </c>
      <c r="F14920" t="s">
        <v>45511</v>
      </c>
      <c r="I14920" t="s">
        <v>29</v>
      </c>
      <c r="J14920" t="s">
        <v>30</v>
      </c>
      <c r="K14920" t="s">
        <v>24269</v>
      </c>
      <c r="M14920" t="s">
        <v>17861</v>
      </c>
      <c r="N14920" t="str">
        <f>"3/4/2021 1:56:00 PM"</f>
        <v>3/4/2021 1:56:00 PM</v>
      </c>
      <c r="O14920" t="s">
        <v>45509</v>
      </c>
      <c r="T14920" t="s">
        <v>45510</v>
      </c>
    </row>
    <row r="14921" spans="1:20" x14ac:dyDescent="0.25">
      <c r="A14921" t="str">
        <f>"3059758"</f>
        <v>3059758</v>
      </c>
      <c r="B14921" t="s">
        <v>45512</v>
      </c>
      <c r="C14921" t="str">
        <f>"8315144"</f>
        <v>8315144</v>
      </c>
      <c r="D14921" t="s">
        <v>45513</v>
      </c>
      <c r="E14921" t="s">
        <v>45514</v>
      </c>
      <c r="F14921" t="s">
        <v>31714</v>
      </c>
      <c r="I14921" t="s">
        <v>29</v>
      </c>
      <c r="J14921" t="s">
        <v>30</v>
      </c>
      <c r="K14921" t="s">
        <v>45515</v>
      </c>
      <c r="M14921" t="s">
        <v>17861</v>
      </c>
      <c r="N14921" t="str">
        <f>"3/4/2021 2:14:00 PM"</f>
        <v>3/4/2021 2:14:00 PM</v>
      </c>
      <c r="O14921" t="s">
        <v>45513</v>
      </c>
      <c r="T14921" t="s">
        <v>45514</v>
      </c>
    </row>
    <row r="14922" spans="1:20" x14ac:dyDescent="0.25">
      <c r="A14922" t="str">
        <f>"3054864"</f>
        <v>3054864</v>
      </c>
      <c r="B14922" t="s">
        <v>45516</v>
      </c>
      <c r="C14922" t="str">
        <f>"8305104"</f>
        <v>8305104</v>
      </c>
      <c r="D14922" t="s">
        <v>45517</v>
      </c>
      <c r="F14922" t="s">
        <v>45518</v>
      </c>
      <c r="I14922" t="s">
        <v>45519</v>
      </c>
      <c r="J14922" t="s">
        <v>30</v>
      </c>
      <c r="K14922" t="s">
        <v>45520</v>
      </c>
      <c r="M14922" t="s">
        <v>40663</v>
      </c>
      <c r="N14922" t="str">
        <f>"3/6/2021 10:53:00 PM"</f>
        <v>3/6/2021 10:53:00 PM</v>
      </c>
      <c r="O14922" t="s">
        <v>45517</v>
      </c>
    </row>
    <row r="14923" spans="1:20" x14ac:dyDescent="0.25">
      <c r="A14923" t="str">
        <f>"3052333"</f>
        <v>3052333</v>
      </c>
      <c r="B14923" t="s">
        <v>45521</v>
      </c>
      <c r="C14923" t="str">
        <f>"8315183"</f>
        <v>8315183</v>
      </c>
      <c r="D14923" t="s">
        <v>45522</v>
      </c>
      <c r="E14923" t="s">
        <v>45523</v>
      </c>
      <c r="F14923" t="s">
        <v>45524</v>
      </c>
      <c r="I14923" t="s">
        <v>29</v>
      </c>
      <c r="J14923" t="s">
        <v>30</v>
      </c>
      <c r="K14923" t="s">
        <v>11824</v>
      </c>
      <c r="M14923" t="s">
        <v>17861</v>
      </c>
      <c r="N14923" t="str">
        <f>"3/12/2021 10:16:00 AM"</f>
        <v>3/12/2021 10:16:00 AM</v>
      </c>
      <c r="O14923" t="s">
        <v>45522</v>
      </c>
      <c r="T14923" t="s">
        <v>45523</v>
      </c>
    </row>
    <row r="14924" spans="1:20" x14ac:dyDescent="0.25">
      <c r="A14924" t="str">
        <f>"3045769"</f>
        <v>3045769</v>
      </c>
      <c r="B14924" t="s">
        <v>45525</v>
      </c>
      <c r="C14924" t="str">
        <f>"8315184"</f>
        <v>8315184</v>
      </c>
      <c r="D14924" t="s">
        <v>45526</v>
      </c>
      <c r="F14924" t="s">
        <v>45527</v>
      </c>
      <c r="I14924" t="s">
        <v>1149</v>
      </c>
      <c r="J14924" t="s">
        <v>30</v>
      </c>
      <c r="K14924" t="s">
        <v>37912</v>
      </c>
      <c r="M14924" t="s">
        <v>17861</v>
      </c>
      <c r="N14924" t="str">
        <f>"3/12/2021 10:19:00 AM"</f>
        <v>3/12/2021 10:19:00 AM</v>
      </c>
      <c r="O14924" t="s">
        <v>45526</v>
      </c>
    </row>
    <row r="14925" spans="1:20" x14ac:dyDescent="0.25">
      <c r="A14925" t="str">
        <f>"3044872"</f>
        <v>3044872</v>
      </c>
      <c r="B14925" t="s">
        <v>45528</v>
      </c>
      <c r="C14925" t="str">
        <f>"8315185"</f>
        <v>8315185</v>
      </c>
      <c r="D14925" t="s">
        <v>45529</v>
      </c>
      <c r="E14925" t="s">
        <v>45530</v>
      </c>
      <c r="F14925" t="s">
        <v>45531</v>
      </c>
      <c r="I14925" t="s">
        <v>184</v>
      </c>
      <c r="J14925" t="s">
        <v>30</v>
      </c>
      <c r="K14925" t="s">
        <v>39037</v>
      </c>
      <c r="M14925" t="s">
        <v>17861</v>
      </c>
      <c r="N14925" t="str">
        <f>"3/12/2021 10:22:00 AM"</f>
        <v>3/12/2021 10:22:00 AM</v>
      </c>
      <c r="O14925" t="s">
        <v>45529</v>
      </c>
      <c r="T14925" t="s">
        <v>45530</v>
      </c>
    </row>
    <row r="14926" spans="1:20" x14ac:dyDescent="0.25">
      <c r="A14926" t="str">
        <f>"3053452"</f>
        <v>3053452</v>
      </c>
      <c r="B14926" t="s">
        <v>45532</v>
      </c>
      <c r="C14926" t="str">
        <f>"8315186"</f>
        <v>8315186</v>
      </c>
      <c r="D14926" t="s">
        <v>45533</v>
      </c>
      <c r="F14926" t="s">
        <v>45534</v>
      </c>
      <c r="I14926" t="s">
        <v>45535</v>
      </c>
      <c r="J14926" t="s">
        <v>40889</v>
      </c>
      <c r="K14926" t="s">
        <v>45536</v>
      </c>
      <c r="M14926" t="s">
        <v>17861</v>
      </c>
      <c r="N14926" t="str">
        <f>"3/12/2021 10:25:00 AM"</f>
        <v>3/12/2021 10:25:00 AM</v>
      </c>
      <c r="O14926" t="s">
        <v>45533</v>
      </c>
    </row>
    <row r="14927" spans="1:20" x14ac:dyDescent="0.25">
      <c r="A14927" t="str">
        <f>"3053300"</f>
        <v>3053300</v>
      </c>
      <c r="B14927" t="s">
        <v>45537</v>
      </c>
      <c r="C14927" t="str">
        <f>"8315186"</f>
        <v>8315186</v>
      </c>
      <c r="D14927" t="s">
        <v>45533</v>
      </c>
      <c r="F14927" t="s">
        <v>45534</v>
      </c>
      <c r="I14927" t="s">
        <v>45535</v>
      </c>
      <c r="J14927" t="s">
        <v>40889</v>
      </c>
      <c r="K14927" t="s">
        <v>45536</v>
      </c>
      <c r="M14927" t="s">
        <v>17861</v>
      </c>
      <c r="N14927" t="str">
        <f>"3/12/2021 10:25:00 AM"</f>
        <v>3/12/2021 10:25:00 AM</v>
      </c>
      <c r="O14927" t="s">
        <v>45533</v>
      </c>
    </row>
    <row r="14928" spans="1:20" x14ac:dyDescent="0.25">
      <c r="A14928" t="str">
        <f>"3054116"</f>
        <v>3054116</v>
      </c>
      <c r="B14928" t="s">
        <v>45538</v>
      </c>
      <c r="C14928" t="str">
        <f>"8315188"</f>
        <v>8315188</v>
      </c>
      <c r="D14928" t="s">
        <v>26220</v>
      </c>
      <c r="E14928" t="s">
        <v>45539</v>
      </c>
      <c r="F14928" t="s">
        <v>45540</v>
      </c>
      <c r="I14928" t="s">
        <v>29</v>
      </c>
      <c r="J14928" t="s">
        <v>30</v>
      </c>
      <c r="K14928" t="s">
        <v>45541</v>
      </c>
      <c r="M14928" t="s">
        <v>17861</v>
      </c>
      <c r="N14928" t="str">
        <f>"3/12/2021 10:46:00 AM"</f>
        <v>3/12/2021 10:46:00 AM</v>
      </c>
      <c r="O14928" t="s">
        <v>26220</v>
      </c>
      <c r="T14928" t="s">
        <v>45539</v>
      </c>
    </row>
    <row r="14929" spans="1:20" x14ac:dyDescent="0.25">
      <c r="A14929" t="str">
        <f>"3057640"</f>
        <v>3057640</v>
      </c>
      <c r="B14929" t="s">
        <v>45542</v>
      </c>
      <c r="C14929" t="str">
        <f>"8315189"</f>
        <v>8315189</v>
      </c>
      <c r="D14929" t="s">
        <v>45543</v>
      </c>
      <c r="E14929" t="s">
        <v>45544</v>
      </c>
      <c r="F14929" t="s">
        <v>45545</v>
      </c>
      <c r="I14929" t="s">
        <v>184</v>
      </c>
      <c r="J14929" t="s">
        <v>30</v>
      </c>
      <c r="K14929" t="s">
        <v>45546</v>
      </c>
      <c r="M14929" t="s">
        <v>17861</v>
      </c>
      <c r="N14929" t="str">
        <f>"3/12/2021 10:48:00 AM"</f>
        <v>3/12/2021 10:48:00 AM</v>
      </c>
      <c r="O14929" t="s">
        <v>45543</v>
      </c>
      <c r="T14929" t="s">
        <v>45544</v>
      </c>
    </row>
    <row r="14930" spans="1:20" x14ac:dyDescent="0.25">
      <c r="A14930" t="str">
        <f>"3064590"</f>
        <v>3064590</v>
      </c>
      <c r="B14930" t="s">
        <v>45547</v>
      </c>
      <c r="C14930" t="str">
        <f>"82523674"</f>
        <v>82523674</v>
      </c>
      <c r="D14930" t="s">
        <v>45548</v>
      </c>
      <c r="F14930" t="s">
        <v>45549</v>
      </c>
      <c r="I14930" t="s">
        <v>1107</v>
      </c>
      <c r="J14930" t="s">
        <v>30</v>
      </c>
      <c r="K14930" t="str">
        <f>"28625"</f>
        <v>28625</v>
      </c>
      <c r="M14930" t="s">
        <v>40663</v>
      </c>
      <c r="N14930" t="str">
        <f>"3/6/2021 11:39:00 PM"</f>
        <v>3/6/2021 11:39:00 PM</v>
      </c>
      <c r="O14930" t="s">
        <v>45548</v>
      </c>
    </row>
    <row r="14931" spans="1:20" x14ac:dyDescent="0.25">
      <c r="A14931" t="str">
        <f>"3066567"</f>
        <v>3066567</v>
      </c>
      <c r="B14931" t="s">
        <v>45550</v>
      </c>
      <c r="C14931" t="str">
        <f>"8315192"</f>
        <v>8315192</v>
      </c>
      <c r="D14931" t="s">
        <v>45551</v>
      </c>
      <c r="E14931" t="s">
        <v>45552</v>
      </c>
      <c r="F14931" t="s">
        <v>45553</v>
      </c>
      <c r="I14931" t="s">
        <v>24359</v>
      </c>
      <c r="J14931" t="s">
        <v>30</v>
      </c>
      <c r="K14931" t="str">
        <f>"27006"</f>
        <v>27006</v>
      </c>
      <c r="M14931" t="s">
        <v>17861</v>
      </c>
      <c r="N14931" t="str">
        <f>"3/12/2021 1:13:00 PM"</f>
        <v>3/12/2021 1:13:00 PM</v>
      </c>
      <c r="O14931" t="s">
        <v>45551</v>
      </c>
      <c r="T14931" t="s">
        <v>45552</v>
      </c>
    </row>
    <row r="14932" spans="1:20" x14ac:dyDescent="0.25">
      <c r="A14932" t="str">
        <f>"3041815"</f>
        <v>3041815</v>
      </c>
      <c r="B14932" t="s">
        <v>45554</v>
      </c>
      <c r="C14932" t="str">
        <f>"8315193"</f>
        <v>8315193</v>
      </c>
      <c r="D14932" t="s">
        <v>45555</v>
      </c>
      <c r="E14932" t="s">
        <v>45556</v>
      </c>
      <c r="F14932" t="s">
        <v>45557</v>
      </c>
      <c r="I14932" t="s">
        <v>2071</v>
      </c>
      <c r="J14932" t="s">
        <v>30</v>
      </c>
      <c r="K14932" t="s">
        <v>36921</v>
      </c>
      <c r="M14932" t="s">
        <v>17861</v>
      </c>
      <c r="N14932" t="str">
        <f>"3/12/2021 1:22:00 PM"</f>
        <v>3/12/2021 1:22:00 PM</v>
      </c>
      <c r="O14932" t="s">
        <v>45555</v>
      </c>
      <c r="T14932" t="s">
        <v>45556</v>
      </c>
    </row>
    <row r="14933" spans="1:20" x14ac:dyDescent="0.25">
      <c r="A14933" t="str">
        <f>"3061265"</f>
        <v>3061265</v>
      </c>
      <c r="B14933" t="s">
        <v>45558</v>
      </c>
      <c r="C14933" t="str">
        <f>"8315196"</f>
        <v>8315196</v>
      </c>
      <c r="D14933" t="s">
        <v>45559</v>
      </c>
      <c r="E14933" t="s">
        <v>45560</v>
      </c>
      <c r="F14933" t="s">
        <v>45561</v>
      </c>
      <c r="I14933" t="s">
        <v>2071</v>
      </c>
      <c r="J14933" t="s">
        <v>30</v>
      </c>
      <c r="K14933" t="s">
        <v>38066</v>
      </c>
      <c r="M14933" t="s">
        <v>17861</v>
      </c>
      <c r="N14933" t="str">
        <f>"3/12/2021 2:22:00 PM"</f>
        <v>3/12/2021 2:22:00 PM</v>
      </c>
      <c r="O14933" t="s">
        <v>45559</v>
      </c>
      <c r="T14933" t="s">
        <v>45560</v>
      </c>
    </row>
    <row r="14934" spans="1:20" x14ac:dyDescent="0.25">
      <c r="A14934" t="str">
        <f>"3064591"</f>
        <v>3064591</v>
      </c>
      <c r="B14934" t="s">
        <v>45562</v>
      </c>
      <c r="C14934" t="str">
        <f>"82523674"</f>
        <v>82523674</v>
      </c>
      <c r="D14934" t="s">
        <v>45548</v>
      </c>
      <c r="F14934" t="s">
        <v>45549</v>
      </c>
      <c r="I14934" t="s">
        <v>1107</v>
      </c>
      <c r="J14934" t="s">
        <v>30</v>
      </c>
      <c r="K14934" t="str">
        <f>"28625"</f>
        <v>28625</v>
      </c>
      <c r="M14934" t="s">
        <v>40663</v>
      </c>
      <c r="N14934" t="str">
        <f>"3/6/2021 11:39:00 PM"</f>
        <v>3/6/2021 11:39:00 PM</v>
      </c>
      <c r="O14934" t="s">
        <v>45548</v>
      </c>
    </row>
    <row r="14935" spans="1:20" x14ac:dyDescent="0.25">
      <c r="A14935" t="str">
        <f>"3064589"</f>
        <v>3064589</v>
      </c>
      <c r="B14935" t="s">
        <v>45563</v>
      </c>
      <c r="C14935" t="str">
        <f>"82523674"</f>
        <v>82523674</v>
      </c>
      <c r="D14935" t="s">
        <v>45548</v>
      </c>
      <c r="F14935" t="s">
        <v>45549</v>
      </c>
      <c r="I14935" t="s">
        <v>1107</v>
      </c>
      <c r="J14935" t="s">
        <v>30</v>
      </c>
      <c r="K14935" t="str">
        <f>"28625"</f>
        <v>28625</v>
      </c>
      <c r="M14935" t="s">
        <v>40663</v>
      </c>
      <c r="N14935" t="str">
        <f>"3/6/2021 11:39:00 PM"</f>
        <v>3/6/2021 11:39:00 PM</v>
      </c>
      <c r="O14935" t="s">
        <v>45548</v>
      </c>
    </row>
    <row r="14936" spans="1:20" x14ac:dyDescent="0.25">
      <c r="A14936" t="str">
        <f>"3061475"</f>
        <v>3061475</v>
      </c>
      <c r="B14936" t="s">
        <v>45564</v>
      </c>
      <c r="C14936" t="str">
        <f>"82526591"</f>
        <v>82526591</v>
      </c>
      <c r="D14936" t="s">
        <v>45407</v>
      </c>
      <c r="E14936" t="s">
        <v>45408</v>
      </c>
      <c r="F14936" t="s">
        <v>45409</v>
      </c>
      <c r="I14936" t="s">
        <v>184</v>
      </c>
      <c r="J14936" t="s">
        <v>30</v>
      </c>
      <c r="K14936" t="s">
        <v>185</v>
      </c>
      <c r="M14936" t="s">
        <v>40663</v>
      </c>
      <c r="N14936" t="str">
        <f>"3/6/2021 11:55:00 PM"</f>
        <v>3/6/2021 11:55:00 PM</v>
      </c>
      <c r="O14936" t="s">
        <v>45407</v>
      </c>
      <c r="T14936" t="s">
        <v>45408</v>
      </c>
    </row>
    <row r="14937" spans="1:20" x14ac:dyDescent="0.25">
      <c r="A14937" t="str">
        <f>"3041426"</f>
        <v>3041426</v>
      </c>
      <c r="B14937" t="s">
        <v>45565</v>
      </c>
      <c r="C14937" t="str">
        <f>"82524145"</f>
        <v>82524145</v>
      </c>
      <c r="D14937" t="s">
        <v>45566</v>
      </c>
      <c r="F14937" t="s">
        <v>45567</v>
      </c>
      <c r="I14937" t="s">
        <v>184</v>
      </c>
      <c r="J14937" t="s">
        <v>30</v>
      </c>
      <c r="K14937" t="str">
        <f>"27006"</f>
        <v>27006</v>
      </c>
      <c r="M14937" t="s">
        <v>18470</v>
      </c>
      <c r="N14937" t="str">
        <f>"3/1/2021 3:13:00 PM"</f>
        <v>3/1/2021 3:13:00 PM</v>
      </c>
      <c r="O14937" t="s">
        <v>45566</v>
      </c>
    </row>
    <row r="14938" spans="1:20" x14ac:dyDescent="0.25">
      <c r="A14938" t="str">
        <f>"3048294"</f>
        <v>3048294</v>
      </c>
      <c r="B14938" t="s">
        <v>45568</v>
      </c>
      <c r="C14938" t="str">
        <f>"8315077"</f>
        <v>8315077</v>
      </c>
      <c r="D14938" t="s">
        <v>45414</v>
      </c>
      <c r="E14938" t="s">
        <v>39045</v>
      </c>
      <c r="F14938" t="s">
        <v>45415</v>
      </c>
      <c r="I14938" t="s">
        <v>29</v>
      </c>
      <c r="J14938" t="s">
        <v>30</v>
      </c>
      <c r="K14938" t="s">
        <v>45416</v>
      </c>
      <c r="M14938" t="s">
        <v>17861</v>
      </c>
      <c r="N14938" t="str">
        <f>"3/2/2021 11:16:00 AM"</f>
        <v>3/2/2021 11:16:00 AM</v>
      </c>
      <c r="O14938" t="s">
        <v>45414</v>
      </c>
      <c r="T14938" t="s">
        <v>39045</v>
      </c>
    </row>
    <row r="14939" spans="1:20" x14ac:dyDescent="0.25">
      <c r="A14939" t="str">
        <f>"3045369"</f>
        <v>3045369</v>
      </c>
      <c r="B14939" t="s">
        <v>45569</v>
      </c>
      <c r="C14939" t="str">
        <f>"8315154"</f>
        <v>8315154</v>
      </c>
      <c r="D14939" t="s">
        <v>45570</v>
      </c>
      <c r="E14939" t="s">
        <v>45320</v>
      </c>
      <c r="F14939" t="s">
        <v>45321</v>
      </c>
      <c r="I14939" t="s">
        <v>29</v>
      </c>
      <c r="J14939" t="s">
        <v>30</v>
      </c>
      <c r="K14939" t="s">
        <v>7883</v>
      </c>
      <c r="M14939" t="s">
        <v>17861</v>
      </c>
      <c r="N14939" t="str">
        <f>"3/10/2021 11:24:00 AM"</f>
        <v>3/10/2021 11:24:00 AM</v>
      </c>
      <c r="O14939" t="s">
        <v>45570</v>
      </c>
      <c r="T14939" t="s">
        <v>45320</v>
      </c>
    </row>
    <row r="14940" spans="1:20" x14ac:dyDescent="0.25">
      <c r="A14940" t="str">
        <f>"3061952"</f>
        <v>3061952</v>
      </c>
      <c r="B14940" t="s">
        <v>45571</v>
      </c>
      <c r="C14940" t="str">
        <f>"8315156"</f>
        <v>8315156</v>
      </c>
      <c r="D14940" t="s">
        <v>45572</v>
      </c>
      <c r="E14940" t="s">
        <v>45573</v>
      </c>
      <c r="F14940" t="s">
        <v>45574</v>
      </c>
      <c r="I14940" t="s">
        <v>184</v>
      </c>
      <c r="J14940" t="s">
        <v>30</v>
      </c>
      <c r="K14940" t="s">
        <v>33561</v>
      </c>
      <c r="M14940" t="s">
        <v>17861</v>
      </c>
      <c r="N14940" t="str">
        <f>"3/10/2021 2:18:00 PM"</f>
        <v>3/10/2021 2:18:00 PM</v>
      </c>
      <c r="O14940" t="s">
        <v>45572</v>
      </c>
      <c r="T14940" t="s">
        <v>45573</v>
      </c>
    </row>
    <row r="14941" spans="1:20" x14ac:dyDescent="0.25">
      <c r="A14941" t="str">
        <f>"3062221"</f>
        <v>3062221</v>
      </c>
      <c r="B14941" t="s">
        <v>45575</v>
      </c>
      <c r="C14941" t="str">
        <f>"8315157"</f>
        <v>8315157</v>
      </c>
      <c r="D14941" t="s">
        <v>45576</v>
      </c>
      <c r="F14941" t="s">
        <v>45577</v>
      </c>
      <c r="I14941" t="s">
        <v>29</v>
      </c>
      <c r="J14941" t="s">
        <v>30</v>
      </c>
      <c r="K14941" t="str">
        <f>"27028"</f>
        <v>27028</v>
      </c>
      <c r="M14941" t="s">
        <v>17861</v>
      </c>
      <c r="N14941" t="str">
        <f>"3/10/2021 2:26:00 PM"</f>
        <v>3/10/2021 2:26:00 PM</v>
      </c>
      <c r="O14941" t="s">
        <v>45576</v>
      </c>
    </row>
    <row r="14942" spans="1:20" x14ac:dyDescent="0.25">
      <c r="A14942" t="str">
        <f>"3037539"</f>
        <v>3037539</v>
      </c>
      <c r="B14942" t="s">
        <v>45578</v>
      </c>
      <c r="C14942" t="str">
        <f>"8315159"</f>
        <v>8315159</v>
      </c>
      <c r="D14942" t="s">
        <v>45579</v>
      </c>
      <c r="F14942" t="s">
        <v>45580</v>
      </c>
      <c r="I14942" t="s">
        <v>29</v>
      </c>
      <c r="J14942" t="s">
        <v>30</v>
      </c>
      <c r="K14942" t="s">
        <v>1103</v>
      </c>
      <c r="M14942" t="s">
        <v>17861</v>
      </c>
      <c r="N14942" t="str">
        <f>"3/10/2021 3:19:00 PM"</f>
        <v>3/10/2021 3:19:00 PM</v>
      </c>
      <c r="O14942" t="s">
        <v>45579</v>
      </c>
    </row>
    <row r="14943" spans="1:20" x14ac:dyDescent="0.25">
      <c r="A14943" t="str">
        <f>"3037648"</f>
        <v>3037648</v>
      </c>
      <c r="B14943" t="s">
        <v>45581</v>
      </c>
      <c r="C14943" t="str">
        <f>"8315161"</f>
        <v>8315161</v>
      </c>
      <c r="D14943" t="s">
        <v>45582</v>
      </c>
      <c r="E14943" t="s">
        <v>45583</v>
      </c>
      <c r="F14943" t="s">
        <v>45584</v>
      </c>
      <c r="I14943" t="s">
        <v>29</v>
      </c>
      <c r="J14943" t="s">
        <v>30</v>
      </c>
      <c r="K14943" t="s">
        <v>45585</v>
      </c>
      <c r="M14943" t="s">
        <v>17861</v>
      </c>
      <c r="N14943" t="str">
        <f>"3/10/2021 4:28:00 PM"</f>
        <v>3/10/2021 4:28:00 PM</v>
      </c>
      <c r="O14943" t="s">
        <v>45582</v>
      </c>
      <c r="T14943" t="s">
        <v>45583</v>
      </c>
    </row>
    <row r="14944" spans="1:20" x14ac:dyDescent="0.25">
      <c r="A14944" t="str">
        <f>"3061212"</f>
        <v>3061212</v>
      </c>
      <c r="B14944" t="s">
        <v>45586</v>
      </c>
      <c r="C14944" t="str">
        <f>"8315162"</f>
        <v>8315162</v>
      </c>
      <c r="D14944" t="s">
        <v>45587</v>
      </c>
      <c r="F14944" t="s">
        <v>45588</v>
      </c>
      <c r="I14944" t="s">
        <v>2071</v>
      </c>
      <c r="J14944" t="s">
        <v>30</v>
      </c>
      <c r="K14944" t="s">
        <v>45589</v>
      </c>
      <c r="M14944" t="s">
        <v>17861</v>
      </c>
      <c r="N14944" t="str">
        <f>"3/11/2021 8:16:00 AM"</f>
        <v>3/11/2021 8:16:00 AM</v>
      </c>
      <c r="O14944" t="s">
        <v>45587</v>
      </c>
    </row>
    <row r="14945" spans="1:20" x14ac:dyDescent="0.25">
      <c r="A14945" t="str">
        <f>"3043696"</f>
        <v>3043696</v>
      </c>
      <c r="B14945" t="s">
        <v>45590</v>
      </c>
      <c r="C14945" t="str">
        <f>"8315163"</f>
        <v>8315163</v>
      </c>
      <c r="D14945" t="s">
        <v>45591</v>
      </c>
      <c r="E14945" t="s">
        <v>45592</v>
      </c>
      <c r="F14945" t="s">
        <v>45593</v>
      </c>
      <c r="I14945" t="s">
        <v>29</v>
      </c>
      <c r="J14945" t="s">
        <v>30</v>
      </c>
      <c r="K14945" t="s">
        <v>45251</v>
      </c>
      <c r="M14945" t="s">
        <v>17861</v>
      </c>
      <c r="N14945" t="str">
        <f>"3/11/2021 8:29:00 AM"</f>
        <v>3/11/2021 8:29:00 AM</v>
      </c>
      <c r="O14945" t="s">
        <v>45591</v>
      </c>
      <c r="T14945" t="s">
        <v>45592</v>
      </c>
    </row>
    <row r="14946" spans="1:20" x14ac:dyDescent="0.25">
      <c r="A14946" t="str">
        <f>"3052816"</f>
        <v>3052816</v>
      </c>
      <c r="B14946" t="s">
        <v>45594</v>
      </c>
      <c r="C14946" t="str">
        <f>"8315164"</f>
        <v>8315164</v>
      </c>
      <c r="D14946" t="s">
        <v>45595</v>
      </c>
      <c r="F14946" t="s">
        <v>45596</v>
      </c>
      <c r="I14946" t="s">
        <v>29</v>
      </c>
      <c r="J14946" t="s">
        <v>30</v>
      </c>
      <c r="K14946" t="s">
        <v>33383</v>
      </c>
      <c r="M14946" t="s">
        <v>17861</v>
      </c>
      <c r="N14946" t="str">
        <f>"3/11/2021 8:33:00 AM"</f>
        <v>3/11/2021 8:33:00 AM</v>
      </c>
      <c r="O14946" t="s">
        <v>45595</v>
      </c>
    </row>
    <row r="14947" spans="1:20" x14ac:dyDescent="0.25">
      <c r="A14947" t="str">
        <f>"3052052"</f>
        <v>3052052</v>
      </c>
      <c r="B14947" t="s">
        <v>45597</v>
      </c>
      <c r="C14947" t="str">
        <f>"8315166"</f>
        <v>8315166</v>
      </c>
      <c r="D14947" t="s">
        <v>45598</v>
      </c>
      <c r="F14947" t="s">
        <v>45599</v>
      </c>
      <c r="I14947" t="s">
        <v>29</v>
      </c>
      <c r="J14947" t="s">
        <v>30</v>
      </c>
      <c r="K14947" t="s">
        <v>39507</v>
      </c>
      <c r="M14947" t="s">
        <v>17861</v>
      </c>
      <c r="N14947" t="str">
        <f>"3/11/2021 8:49:00 AM"</f>
        <v>3/11/2021 8:49:00 AM</v>
      </c>
      <c r="O14947" t="s">
        <v>45598</v>
      </c>
    </row>
    <row r="14948" spans="1:20" x14ac:dyDescent="0.25">
      <c r="A14948" t="str">
        <f>"3053874"</f>
        <v>3053874</v>
      </c>
      <c r="B14948" t="s">
        <v>45600</v>
      </c>
      <c r="C14948" t="str">
        <f>"8315203"</f>
        <v>8315203</v>
      </c>
      <c r="D14948" t="s">
        <v>45601</v>
      </c>
      <c r="E14948" t="s">
        <v>45602</v>
      </c>
      <c r="F14948" t="s">
        <v>45603</v>
      </c>
      <c r="I14948" t="s">
        <v>29</v>
      </c>
      <c r="J14948" t="s">
        <v>30</v>
      </c>
      <c r="K14948" t="s">
        <v>41477</v>
      </c>
      <c r="M14948" t="s">
        <v>17861</v>
      </c>
      <c r="N14948" t="str">
        <f>"3/18/2021 3:40:00 PM"</f>
        <v>3/18/2021 3:40:00 PM</v>
      </c>
      <c r="O14948" t="s">
        <v>45601</v>
      </c>
      <c r="T14948" t="s">
        <v>45602</v>
      </c>
    </row>
    <row r="14949" spans="1:20" x14ac:dyDescent="0.25">
      <c r="A14949" t="str">
        <f>"3060226"</f>
        <v>3060226</v>
      </c>
      <c r="B14949" t="s">
        <v>45604</v>
      </c>
      <c r="C14949" t="str">
        <f>"8315205"</f>
        <v>8315205</v>
      </c>
      <c r="D14949" t="s">
        <v>45605</v>
      </c>
      <c r="E14949" t="s">
        <v>45606</v>
      </c>
      <c r="F14949" t="s">
        <v>45607</v>
      </c>
      <c r="I14949" t="s">
        <v>184</v>
      </c>
      <c r="J14949" t="s">
        <v>30</v>
      </c>
      <c r="K14949" t="s">
        <v>33744</v>
      </c>
      <c r="M14949" t="s">
        <v>17861</v>
      </c>
      <c r="N14949" t="str">
        <f>"3/18/2021 3:52:00 PM"</f>
        <v>3/18/2021 3:52:00 PM</v>
      </c>
      <c r="O14949" t="s">
        <v>45605</v>
      </c>
      <c r="T14949" t="s">
        <v>45606</v>
      </c>
    </row>
    <row r="14950" spans="1:20" x14ac:dyDescent="0.25">
      <c r="A14950" t="str">
        <f>"3058140"</f>
        <v>3058140</v>
      </c>
      <c r="B14950" t="s">
        <v>45608</v>
      </c>
      <c r="C14950" t="str">
        <f>"8315206"</f>
        <v>8315206</v>
      </c>
      <c r="D14950" t="s">
        <v>45609</v>
      </c>
      <c r="E14950" t="s">
        <v>45610</v>
      </c>
      <c r="F14950" t="s">
        <v>45611</v>
      </c>
      <c r="I14950" t="s">
        <v>184</v>
      </c>
      <c r="J14950" t="s">
        <v>30</v>
      </c>
      <c r="K14950" t="s">
        <v>6513</v>
      </c>
      <c r="M14950" t="s">
        <v>17861</v>
      </c>
      <c r="N14950" t="str">
        <f>"3/18/2021 3:56:00 PM"</f>
        <v>3/18/2021 3:56:00 PM</v>
      </c>
      <c r="O14950" t="s">
        <v>45609</v>
      </c>
      <c r="T14950" t="s">
        <v>45610</v>
      </c>
    </row>
    <row r="14951" spans="1:20" x14ac:dyDescent="0.25">
      <c r="A14951" t="str">
        <f>"3061753"</f>
        <v>3061753</v>
      </c>
      <c r="B14951" t="s">
        <v>45612</v>
      </c>
      <c r="C14951" t="str">
        <f>"8315207"</f>
        <v>8315207</v>
      </c>
      <c r="D14951" t="s">
        <v>45613</v>
      </c>
      <c r="E14951" t="s">
        <v>45614</v>
      </c>
      <c r="F14951" t="s">
        <v>45615</v>
      </c>
      <c r="I14951" t="s">
        <v>2071</v>
      </c>
      <c r="J14951" t="s">
        <v>30</v>
      </c>
      <c r="K14951" t="s">
        <v>4010</v>
      </c>
      <c r="M14951" t="s">
        <v>17861</v>
      </c>
      <c r="N14951" t="str">
        <f>"3/18/2021 4:23:00 PM"</f>
        <v>3/18/2021 4:23:00 PM</v>
      </c>
      <c r="O14951" t="s">
        <v>45613</v>
      </c>
      <c r="T14951" t="s">
        <v>45614</v>
      </c>
    </row>
    <row r="14952" spans="1:20" x14ac:dyDescent="0.25">
      <c r="A14952" t="str">
        <f>"3056073"</f>
        <v>3056073</v>
      </c>
      <c r="B14952" t="s">
        <v>45616</v>
      </c>
      <c r="C14952" t="str">
        <f>"8315208"</f>
        <v>8315208</v>
      </c>
      <c r="D14952" t="s">
        <v>45617</v>
      </c>
      <c r="F14952" t="s">
        <v>45618</v>
      </c>
      <c r="I14952" t="s">
        <v>9580</v>
      </c>
      <c r="J14952" t="s">
        <v>30</v>
      </c>
      <c r="K14952" t="str">
        <f>"27014"</f>
        <v>27014</v>
      </c>
      <c r="M14952" t="s">
        <v>17861</v>
      </c>
      <c r="N14952" t="str">
        <f>"3/18/2021 4:30:00 PM"</f>
        <v>3/18/2021 4:30:00 PM</v>
      </c>
      <c r="O14952" t="s">
        <v>45617</v>
      </c>
    </row>
    <row r="14953" spans="1:20" x14ac:dyDescent="0.25">
      <c r="A14953" t="str">
        <f>"3044565"</f>
        <v>3044565</v>
      </c>
      <c r="B14953" t="s">
        <v>45619</v>
      </c>
      <c r="C14953" t="str">
        <f>"8315168"</f>
        <v>8315168</v>
      </c>
      <c r="D14953" t="s">
        <v>45620</v>
      </c>
      <c r="F14953" t="s">
        <v>45621</v>
      </c>
      <c r="I14953" t="s">
        <v>24359</v>
      </c>
      <c r="J14953" t="s">
        <v>30</v>
      </c>
      <c r="K14953" t="str">
        <f>"27006"</f>
        <v>27006</v>
      </c>
      <c r="M14953" t="s">
        <v>17861</v>
      </c>
      <c r="N14953" t="str">
        <f>"3/11/2021 9:09:00 AM"</f>
        <v>3/11/2021 9:09:00 AM</v>
      </c>
      <c r="O14953" t="s">
        <v>45620</v>
      </c>
    </row>
    <row r="14954" spans="1:20" x14ac:dyDescent="0.25">
      <c r="A14954" t="str">
        <f>"3049880"</f>
        <v>3049880</v>
      </c>
      <c r="B14954" t="s">
        <v>45622</v>
      </c>
      <c r="C14954" t="str">
        <f>"8315177"</f>
        <v>8315177</v>
      </c>
      <c r="D14954" t="s">
        <v>45623</v>
      </c>
      <c r="E14954" t="s">
        <v>45624</v>
      </c>
      <c r="F14954" t="s">
        <v>45625</v>
      </c>
      <c r="I14954" t="s">
        <v>29</v>
      </c>
      <c r="J14954" t="s">
        <v>30</v>
      </c>
      <c r="K14954" t="s">
        <v>32748</v>
      </c>
      <c r="M14954" t="s">
        <v>17861</v>
      </c>
      <c r="N14954" t="str">
        <f>"3/11/2021 2:08:00 PM"</f>
        <v>3/11/2021 2:08:00 PM</v>
      </c>
      <c r="O14954" t="s">
        <v>45623</v>
      </c>
      <c r="T14954" t="s">
        <v>45624</v>
      </c>
    </row>
    <row r="14955" spans="1:20" x14ac:dyDescent="0.25">
      <c r="A14955" t="str">
        <f>"3054524"</f>
        <v>3054524</v>
      </c>
      <c r="B14955" t="s">
        <v>45626</v>
      </c>
      <c r="C14955" t="str">
        <f>"8315178"</f>
        <v>8315178</v>
      </c>
      <c r="D14955" t="s">
        <v>45627</v>
      </c>
      <c r="F14955" t="s">
        <v>45628</v>
      </c>
      <c r="I14955" t="s">
        <v>29</v>
      </c>
      <c r="J14955" t="s">
        <v>30</v>
      </c>
      <c r="K14955" t="s">
        <v>15414</v>
      </c>
      <c r="M14955" t="s">
        <v>17861</v>
      </c>
      <c r="N14955" t="str">
        <f>"3/11/2021 2:34:00 PM"</f>
        <v>3/11/2021 2:34:00 PM</v>
      </c>
      <c r="O14955" t="s">
        <v>45627</v>
      </c>
    </row>
    <row r="14956" spans="1:20" x14ac:dyDescent="0.25">
      <c r="A14956" t="str">
        <f>"3044795"</f>
        <v>3044795</v>
      </c>
      <c r="B14956" t="s">
        <v>45629</v>
      </c>
      <c r="C14956" t="str">
        <f>"8315171"</f>
        <v>8315171</v>
      </c>
      <c r="D14956" t="s">
        <v>45630</v>
      </c>
      <c r="E14956" t="s">
        <v>45631</v>
      </c>
      <c r="F14956" t="s">
        <v>45632</v>
      </c>
      <c r="I14956" t="s">
        <v>184</v>
      </c>
      <c r="J14956" t="s">
        <v>30</v>
      </c>
      <c r="K14956" t="s">
        <v>6077</v>
      </c>
      <c r="M14956" t="s">
        <v>17861</v>
      </c>
      <c r="N14956" t="str">
        <f>"3/11/2021 2:37:00 PM"</f>
        <v>3/11/2021 2:37:00 PM</v>
      </c>
      <c r="O14956" t="s">
        <v>45630</v>
      </c>
      <c r="T14956" t="s">
        <v>45631</v>
      </c>
    </row>
    <row r="14957" spans="1:20" x14ac:dyDescent="0.25">
      <c r="A14957" t="str">
        <f>"3053735"</f>
        <v>3053735</v>
      </c>
      <c r="B14957" t="s">
        <v>45633</v>
      </c>
      <c r="C14957" t="str">
        <f t="shared" ref="C14957:C14963" si="236">"8315220"</f>
        <v>8315220</v>
      </c>
      <c r="D14957" t="s">
        <v>45634</v>
      </c>
      <c r="F14957" t="s">
        <v>34889</v>
      </c>
      <c r="I14957" t="s">
        <v>184</v>
      </c>
      <c r="J14957" t="s">
        <v>30</v>
      </c>
      <c r="K14957" t="s">
        <v>30786</v>
      </c>
      <c r="M14957" t="s">
        <v>17861</v>
      </c>
      <c r="N14957" t="str">
        <f t="shared" ref="N14957:N14963" si="237">"3/19/2021 3:44:00 PM"</f>
        <v>3/19/2021 3:44:00 PM</v>
      </c>
      <c r="O14957" t="s">
        <v>45634</v>
      </c>
    </row>
    <row r="14958" spans="1:20" x14ac:dyDescent="0.25">
      <c r="A14958" t="str">
        <f>"3053337"</f>
        <v>3053337</v>
      </c>
      <c r="B14958" t="s">
        <v>45635</v>
      </c>
      <c r="C14958" t="str">
        <f t="shared" si="236"/>
        <v>8315220</v>
      </c>
      <c r="D14958" t="s">
        <v>45634</v>
      </c>
      <c r="F14958" t="s">
        <v>34889</v>
      </c>
      <c r="I14958" t="s">
        <v>184</v>
      </c>
      <c r="J14958" t="s">
        <v>30</v>
      </c>
      <c r="K14958" t="s">
        <v>30786</v>
      </c>
      <c r="M14958" t="s">
        <v>17861</v>
      </c>
      <c r="N14958" t="str">
        <f t="shared" si="237"/>
        <v>3/19/2021 3:44:00 PM</v>
      </c>
      <c r="O14958" t="s">
        <v>45634</v>
      </c>
    </row>
    <row r="14959" spans="1:20" x14ac:dyDescent="0.25">
      <c r="A14959" t="str">
        <f>"3053273"</f>
        <v>3053273</v>
      </c>
      <c r="B14959" t="s">
        <v>45636</v>
      </c>
      <c r="C14959" t="str">
        <f t="shared" si="236"/>
        <v>8315220</v>
      </c>
      <c r="D14959" t="s">
        <v>45634</v>
      </c>
      <c r="F14959" t="s">
        <v>34889</v>
      </c>
      <c r="I14959" t="s">
        <v>184</v>
      </c>
      <c r="J14959" t="s">
        <v>30</v>
      </c>
      <c r="K14959" t="s">
        <v>30786</v>
      </c>
      <c r="M14959" t="s">
        <v>17861</v>
      </c>
      <c r="N14959" t="str">
        <f t="shared" si="237"/>
        <v>3/19/2021 3:44:00 PM</v>
      </c>
      <c r="O14959" t="s">
        <v>45634</v>
      </c>
    </row>
    <row r="14960" spans="1:20" x14ac:dyDescent="0.25">
      <c r="A14960" t="str">
        <f>"3053517"</f>
        <v>3053517</v>
      </c>
      <c r="B14960" t="s">
        <v>45637</v>
      </c>
      <c r="C14960" t="str">
        <f t="shared" si="236"/>
        <v>8315220</v>
      </c>
      <c r="D14960" t="s">
        <v>45634</v>
      </c>
      <c r="F14960" t="s">
        <v>34889</v>
      </c>
      <c r="I14960" t="s">
        <v>184</v>
      </c>
      <c r="J14960" t="s">
        <v>30</v>
      </c>
      <c r="K14960" t="s">
        <v>30786</v>
      </c>
      <c r="M14960" t="s">
        <v>17861</v>
      </c>
      <c r="N14960" t="str">
        <f t="shared" si="237"/>
        <v>3/19/2021 3:44:00 PM</v>
      </c>
      <c r="O14960" t="s">
        <v>45634</v>
      </c>
    </row>
    <row r="14961" spans="1:20" x14ac:dyDescent="0.25">
      <c r="A14961" t="str">
        <f>"3053595"</f>
        <v>3053595</v>
      </c>
      <c r="B14961" t="s">
        <v>45638</v>
      </c>
      <c r="C14961" t="str">
        <f t="shared" si="236"/>
        <v>8315220</v>
      </c>
      <c r="D14961" t="s">
        <v>45634</v>
      </c>
      <c r="F14961" t="s">
        <v>34889</v>
      </c>
      <c r="I14961" t="s">
        <v>184</v>
      </c>
      <c r="J14961" t="s">
        <v>30</v>
      </c>
      <c r="K14961" t="s">
        <v>30786</v>
      </c>
      <c r="M14961" t="s">
        <v>17861</v>
      </c>
      <c r="N14961" t="str">
        <f t="shared" si="237"/>
        <v>3/19/2021 3:44:00 PM</v>
      </c>
      <c r="O14961" t="s">
        <v>45634</v>
      </c>
    </row>
    <row r="14962" spans="1:20" x14ac:dyDescent="0.25">
      <c r="A14962" t="str">
        <f>"3055669"</f>
        <v>3055669</v>
      </c>
      <c r="B14962" t="s">
        <v>45639</v>
      </c>
      <c r="C14962" t="str">
        <f t="shared" si="236"/>
        <v>8315220</v>
      </c>
      <c r="D14962" t="s">
        <v>45634</v>
      </c>
      <c r="F14962" t="s">
        <v>34889</v>
      </c>
      <c r="I14962" t="s">
        <v>184</v>
      </c>
      <c r="J14962" t="s">
        <v>30</v>
      </c>
      <c r="K14962" t="s">
        <v>30786</v>
      </c>
      <c r="M14962" t="s">
        <v>17861</v>
      </c>
      <c r="N14962" t="str">
        <f t="shared" si="237"/>
        <v>3/19/2021 3:44:00 PM</v>
      </c>
      <c r="O14962" t="s">
        <v>45634</v>
      </c>
    </row>
    <row r="14963" spans="1:20" x14ac:dyDescent="0.25">
      <c r="A14963" t="str">
        <f>"3048290"</f>
        <v>3048290</v>
      </c>
      <c r="B14963" t="s">
        <v>45640</v>
      </c>
      <c r="C14963" t="str">
        <f t="shared" si="236"/>
        <v>8315220</v>
      </c>
      <c r="D14963" t="s">
        <v>45634</v>
      </c>
      <c r="F14963" t="s">
        <v>34889</v>
      </c>
      <c r="I14963" t="s">
        <v>184</v>
      </c>
      <c r="J14963" t="s">
        <v>30</v>
      </c>
      <c r="K14963" t="s">
        <v>30786</v>
      </c>
      <c r="M14963" t="s">
        <v>17861</v>
      </c>
      <c r="N14963" t="str">
        <f t="shared" si="237"/>
        <v>3/19/2021 3:44:00 PM</v>
      </c>
      <c r="O14963" t="s">
        <v>45634</v>
      </c>
    </row>
    <row r="14964" spans="1:20" x14ac:dyDescent="0.25">
      <c r="A14964" t="str">
        <f>"3061619"</f>
        <v>3061619</v>
      </c>
      <c r="B14964" t="s">
        <v>45641</v>
      </c>
      <c r="C14964" t="str">
        <f>"8315223"</f>
        <v>8315223</v>
      </c>
      <c r="D14964" t="s">
        <v>45642</v>
      </c>
      <c r="E14964" t="s">
        <v>45643</v>
      </c>
      <c r="F14964" t="s">
        <v>45644</v>
      </c>
      <c r="I14964" t="s">
        <v>29</v>
      </c>
      <c r="J14964" t="s">
        <v>30</v>
      </c>
      <c r="K14964" t="s">
        <v>10059</v>
      </c>
      <c r="M14964" t="s">
        <v>17861</v>
      </c>
      <c r="N14964" t="str">
        <f>"3/19/2021 4:09:00 PM"</f>
        <v>3/19/2021 4:09:00 PM</v>
      </c>
      <c r="O14964" t="s">
        <v>45642</v>
      </c>
      <c r="T14964" t="s">
        <v>45643</v>
      </c>
    </row>
    <row r="14965" spans="1:20" x14ac:dyDescent="0.25">
      <c r="A14965" t="str">
        <f>"3060000"</f>
        <v>3060000</v>
      </c>
      <c r="B14965" t="s">
        <v>45645</v>
      </c>
      <c r="C14965" t="str">
        <f>"8315137"</f>
        <v>8315137</v>
      </c>
      <c r="D14965" t="s">
        <v>45646</v>
      </c>
      <c r="E14965" t="s">
        <v>45647</v>
      </c>
      <c r="F14965" t="s">
        <v>45648</v>
      </c>
      <c r="I14965" t="s">
        <v>471</v>
      </c>
      <c r="J14965" t="s">
        <v>30</v>
      </c>
      <c r="K14965" t="str">
        <f>"27106"</f>
        <v>27106</v>
      </c>
      <c r="M14965" t="s">
        <v>17861</v>
      </c>
      <c r="N14965" t="str">
        <f>"3/22/2021 9:21:00 AM"</f>
        <v>3/22/2021 9:21:00 AM</v>
      </c>
      <c r="O14965" t="s">
        <v>45646</v>
      </c>
      <c r="T14965" t="s">
        <v>45647</v>
      </c>
    </row>
    <row r="14966" spans="1:20" x14ac:dyDescent="0.25">
      <c r="A14966" t="str">
        <f>"3061207"</f>
        <v>3061207</v>
      </c>
      <c r="B14966" t="s">
        <v>45649</v>
      </c>
      <c r="C14966" t="str">
        <f>"8315180"</f>
        <v>8315180</v>
      </c>
      <c r="D14966" t="s">
        <v>45650</v>
      </c>
      <c r="F14966" t="s">
        <v>45651</v>
      </c>
      <c r="I14966" t="s">
        <v>2071</v>
      </c>
      <c r="J14966" t="s">
        <v>30</v>
      </c>
      <c r="K14966" t="s">
        <v>45652</v>
      </c>
      <c r="M14966" t="s">
        <v>17861</v>
      </c>
      <c r="N14966" t="str">
        <f>"3/11/2021 2:56:00 PM"</f>
        <v>3/11/2021 2:56:00 PM</v>
      </c>
      <c r="O14966" t="s">
        <v>45650</v>
      </c>
    </row>
    <row r="14967" spans="1:20" x14ac:dyDescent="0.25">
      <c r="A14967" t="str">
        <f>"3038328"</f>
        <v>3038328</v>
      </c>
      <c r="B14967" t="s">
        <v>45653</v>
      </c>
      <c r="C14967" t="str">
        <f>"8313363"</f>
        <v>8313363</v>
      </c>
      <c r="D14967" t="s">
        <v>45654</v>
      </c>
      <c r="E14967" t="s">
        <v>45655</v>
      </c>
      <c r="F14967" t="s">
        <v>45656</v>
      </c>
      <c r="I14967" t="s">
        <v>49</v>
      </c>
      <c r="J14967" t="s">
        <v>30</v>
      </c>
      <c r="K14967" t="str">
        <f>"27055"</f>
        <v>27055</v>
      </c>
      <c r="M14967" t="s">
        <v>18470</v>
      </c>
      <c r="N14967" t="str">
        <f>"3/12/2021 9:48:00 AM"</f>
        <v>3/12/2021 9:48:00 AM</v>
      </c>
      <c r="O14967" t="s">
        <v>45654</v>
      </c>
      <c r="T14967" t="s">
        <v>45655</v>
      </c>
    </row>
    <row r="14968" spans="1:20" x14ac:dyDescent="0.25">
      <c r="A14968" t="str">
        <f>"3044810"</f>
        <v>3044810</v>
      </c>
      <c r="B14968" t="s">
        <v>45657</v>
      </c>
      <c r="C14968" t="str">
        <f>"8315181"</f>
        <v>8315181</v>
      </c>
      <c r="D14968" t="s">
        <v>45658</v>
      </c>
      <c r="E14968" t="s">
        <v>45659</v>
      </c>
      <c r="F14968" t="s">
        <v>45660</v>
      </c>
      <c r="I14968" t="s">
        <v>184</v>
      </c>
      <c r="J14968" t="s">
        <v>30</v>
      </c>
      <c r="K14968" t="s">
        <v>6241</v>
      </c>
      <c r="M14968" t="s">
        <v>17861</v>
      </c>
      <c r="N14968" t="str">
        <f>"3/12/2021 10:03:00 AM"</f>
        <v>3/12/2021 10:03:00 AM</v>
      </c>
      <c r="O14968" t="s">
        <v>45658</v>
      </c>
      <c r="T14968" t="s">
        <v>45659</v>
      </c>
    </row>
    <row r="14969" spans="1:20" x14ac:dyDescent="0.25">
      <c r="A14969" t="str">
        <f>"3047935"</f>
        <v>3047935</v>
      </c>
      <c r="B14969" t="s">
        <v>45661</v>
      </c>
      <c r="C14969" t="str">
        <f>"8315192"</f>
        <v>8315192</v>
      </c>
      <c r="D14969" t="s">
        <v>45551</v>
      </c>
      <c r="E14969" t="s">
        <v>45552</v>
      </c>
      <c r="F14969" t="s">
        <v>45553</v>
      </c>
      <c r="I14969" t="s">
        <v>24359</v>
      </c>
      <c r="J14969" t="s">
        <v>30</v>
      </c>
      <c r="K14969" t="str">
        <f>"27006"</f>
        <v>27006</v>
      </c>
      <c r="M14969" t="s">
        <v>17861</v>
      </c>
      <c r="N14969" t="str">
        <f>"3/12/2021 1:13:00 PM"</f>
        <v>3/12/2021 1:13:00 PM</v>
      </c>
      <c r="O14969" t="s">
        <v>45551</v>
      </c>
      <c r="T14969" t="s">
        <v>45552</v>
      </c>
    </row>
    <row r="14970" spans="1:20" x14ac:dyDescent="0.25">
      <c r="A14970" t="str">
        <f>"3054463"</f>
        <v>3054463</v>
      </c>
      <c r="B14970" t="s">
        <v>45662</v>
      </c>
      <c r="C14970" t="str">
        <f>"8309805"</f>
        <v>8309805</v>
      </c>
      <c r="D14970" t="s">
        <v>45663</v>
      </c>
      <c r="E14970" t="s">
        <v>45664</v>
      </c>
      <c r="F14970" t="s">
        <v>45665</v>
      </c>
      <c r="I14970" t="s">
        <v>29</v>
      </c>
      <c r="J14970" t="s">
        <v>30</v>
      </c>
      <c r="K14970" t="s">
        <v>43107</v>
      </c>
      <c r="M14970" t="s">
        <v>33845</v>
      </c>
      <c r="N14970" t="str">
        <f>"3/8/2021 12:05:00 PM"</f>
        <v>3/8/2021 12:05:00 PM</v>
      </c>
      <c r="O14970" t="s">
        <v>45663</v>
      </c>
      <c r="T14970" t="s">
        <v>45664</v>
      </c>
    </row>
    <row r="14971" spans="1:20" x14ac:dyDescent="0.25">
      <c r="A14971" t="str">
        <f>"3050166"</f>
        <v>3050166</v>
      </c>
      <c r="B14971" t="s">
        <v>45666</v>
      </c>
      <c r="C14971" t="str">
        <f>"8315234"</f>
        <v>8315234</v>
      </c>
      <c r="D14971" t="str">
        <f>"WHITT RICHARD H SR/GENNA"</f>
        <v>WHITT RICHARD H SR/GENNA</v>
      </c>
      <c r="E14971" t="s">
        <v>45667</v>
      </c>
      <c r="F14971" t="s">
        <v>45668</v>
      </c>
      <c r="I14971" t="s">
        <v>29</v>
      </c>
      <c r="J14971" t="s">
        <v>30</v>
      </c>
      <c r="K14971" t="s">
        <v>37067</v>
      </c>
      <c r="M14971" t="s">
        <v>17861</v>
      </c>
      <c r="N14971" t="str">
        <f>"3/23/2021 10:11:00 AM"</f>
        <v>3/23/2021 10:11:00 AM</v>
      </c>
      <c r="O14971" t="str">
        <f>"WHITT RICHARD H SR/GENNA"</f>
        <v>WHITT RICHARD H SR/GENNA</v>
      </c>
      <c r="T14971" t="s">
        <v>45667</v>
      </c>
    </row>
    <row r="14972" spans="1:20" x14ac:dyDescent="0.25">
      <c r="A14972" t="str">
        <f>"3045574"</f>
        <v>3045574</v>
      </c>
      <c r="B14972" t="s">
        <v>45669</v>
      </c>
      <c r="C14972" t="str">
        <f>"8315236"</f>
        <v>8315236</v>
      </c>
      <c r="D14972" t="s">
        <v>45670</v>
      </c>
      <c r="E14972" t="s">
        <v>45671</v>
      </c>
      <c r="F14972" t="s">
        <v>45672</v>
      </c>
      <c r="I14972" t="s">
        <v>1149</v>
      </c>
      <c r="J14972" t="s">
        <v>30</v>
      </c>
      <c r="K14972" t="s">
        <v>37558</v>
      </c>
      <c r="M14972" t="s">
        <v>17861</v>
      </c>
      <c r="N14972" t="str">
        <f>"3/23/2021 10:50:00 AM"</f>
        <v>3/23/2021 10:50:00 AM</v>
      </c>
      <c r="O14972" t="s">
        <v>45670</v>
      </c>
      <c r="T14972" t="s">
        <v>45671</v>
      </c>
    </row>
    <row r="14973" spans="1:20" x14ac:dyDescent="0.25">
      <c r="A14973" t="str">
        <f>"3044777"</f>
        <v>3044777</v>
      </c>
      <c r="B14973" t="s">
        <v>45673</v>
      </c>
      <c r="C14973" t="str">
        <f>"8315237"</f>
        <v>8315237</v>
      </c>
      <c r="D14973" t="s">
        <v>45674</v>
      </c>
      <c r="E14973" t="s">
        <v>45675</v>
      </c>
      <c r="F14973" t="s">
        <v>45676</v>
      </c>
      <c r="I14973" t="s">
        <v>184</v>
      </c>
      <c r="J14973" t="s">
        <v>30</v>
      </c>
      <c r="K14973" t="s">
        <v>21438</v>
      </c>
      <c r="M14973" t="s">
        <v>17861</v>
      </c>
      <c r="N14973" t="str">
        <f>"3/23/2021 11:51:00 AM"</f>
        <v>3/23/2021 11:51:00 AM</v>
      </c>
      <c r="O14973" t="s">
        <v>45674</v>
      </c>
      <c r="T14973" t="s">
        <v>45675</v>
      </c>
    </row>
    <row r="14974" spans="1:20" x14ac:dyDescent="0.25">
      <c r="A14974" t="str">
        <f>"3050305"</f>
        <v>3050305</v>
      </c>
      <c r="B14974" t="s">
        <v>45677</v>
      </c>
      <c r="C14974" t="str">
        <f>"8315240"</f>
        <v>8315240</v>
      </c>
      <c r="D14974" t="s">
        <v>45678</v>
      </c>
      <c r="E14974" t="s">
        <v>45679</v>
      </c>
      <c r="F14974" t="s">
        <v>45680</v>
      </c>
      <c r="I14974" t="s">
        <v>184</v>
      </c>
      <c r="J14974" t="s">
        <v>30</v>
      </c>
      <c r="K14974" t="s">
        <v>39691</v>
      </c>
      <c r="M14974" t="s">
        <v>17861</v>
      </c>
      <c r="N14974" t="str">
        <f>"3/23/2021 12:46:00 PM"</f>
        <v>3/23/2021 12:46:00 PM</v>
      </c>
      <c r="O14974" t="s">
        <v>45678</v>
      </c>
      <c r="T14974" t="s">
        <v>45679</v>
      </c>
    </row>
    <row r="14975" spans="1:20" x14ac:dyDescent="0.25">
      <c r="A14975" t="str">
        <f>"3049646"</f>
        <v>3049646</v>
      </c>
      <c r="B14975" t="s">
        <v>45681</v>
      </c>
      <c r="C14975" t="str">
        <f>"8315240"</f>
        <v>8315240</v>
      </c>
      <c r="D14975" t="s">
        <v>45678</v>
      </c>
      <c r="E14975" t="s">
        <v>45679</v>
      </c>
      <c r="F14975" t="s">
        <v>45680</v>
      </c>
      <c r="I14975" t="s">
        <v>184</v>
      </c>
      <c r="J14975" t="s">
        <v>30</v>
      </c>
      <c r="K14975" t="s">
        <v>39691</v>
      </c>
      <c r="M14975" t="s">
        <v>17861</v>
      </c>
      <c r="N14975" t="str">
        <f>"3/23/2021 12:46:00 PM"</f>
        <v>3/23/2021 12:46:00 PM</v>
      </c>
      <c r="O14975" t="s">
        <v>45678</v>
      </c>
      <c r="T14975" t="s">
        <v>45679</v>
      </c>
    </row>
    <row r="14976" spans="1:20" x14ac:dyDescent="0.25">
      <c r="A14976" t="str">
        <f>"3049632"</f>
        <v>3049632</v>
      </c>
      <c r="B14976" t="s">
        <v>45682</v>
      </c>
      <c r="C14976" t="str">
        <f>"8315240"</f>
        <v>8315240</v>
      </c>
      <c r="D14976" t="s">
        <v>45678</v>
      </c>
      <c r="E14976" t="s">
        <v>45679</v>
      </c>
      <c r="F14976" t="s">
        <v>45680</v>
      </c>
      <c r="I14976" t="s">
        <v>184</v>
      </c>
      <c r="J14976" t="s">
        <v>30</v>
      </c>
      <c r="K14976" t="s">
        <v>39691</v>
      </c>
      <c r="M14976" t="s">
        <v>17861</v>
      </c>
      <c r="N14976" t="str">
        <f>"3/23/2021 12:46:00 PM"</f>
        <v>3/23/2021 12:46:00 PM</v>
      </c>
      <c r="O14976" t="s">
        <v>45678</v>
      </c>
      <c r="T14976" t="s">
        <v>45679</v>
      </c>
    </row>
    <row r="14977" spans="1:20" x14ac:dyDescent="0.25">
      <c r="A14977" t="str">
        <f>"3048549"</f>
        <v>3048549</v>
      </c>
      <c r="B14977" t="s">
        <v>45683</v>
      </c>
      <c r="C14977" t="str">
        <f>"82518327"</f>
        <v>82518327</v>
      </c>
      <c r="D14977" t="s">
        <v>45684</v>
      </c>
      <c r="F14977" t="s">
        <v>45685</v>
      </c>
      <c r="I14977" t="s">
        <v>29</v>
      </c>
      <c r="J14977" t="s">
        <v>30</v>
      </c>
      <c r="K14977" t="s">
        <v>45686</v>
      </c>
      <c r="M14977" t="s">
        <v>25733</v>
      </c>
      <c r="N14977" t="str">
        <f>"3/23/2021 12:47:00 PM"</f>
        <v>3/23/2021 12:47:00 PM</v>
      </c>
      <c r="O14977" t="s">
        <v>45684</v>
      </c>
    </row>
    <row r="14978" spans="1:20" x14ac:dyDescent="0.25">
      <c r="A14978" t="str">
        <f>"3045673"</f>
        <v>3045673</v>
      </c>
      <c r="B14978" t="s">
        <v>45687</v>
      </c>
      <c r="C14978" t="str">
        <f>"82518327"</f>
        <v>82518327</v>
      </c>
      <c r="D14978" t="s">
        <v>45684</v>
      </c>
      <c r="F14978" t="s">
        <v>45685</v>
      </c>
      <c r="I14978" t="s">
        <v>29</v>
      </c>
      <c r="J14978" t="s">
        <v>30</v>
      </c>
      <c r="K14978" t="s">
        <v>45686</v>
      </c>
      <c r="M14978" t="s">
        <v>25733</v>
      </c>
      <c r="N14978" t="str">
        <f>"3/23/2021 12:47:00 PM"</f>
        <v>3/23/2021 12:47:00 PM</v>
      </c>
      <c r="O14978" t="s">
        <v>45684</v>
      </c>
    </row>
    <row r="14979" spans="1:20" x14ac:dyDescent="0.25">
      <c r="A14979" t="str">
        <f>"3045167"</f>
        <v>3045167</v>
      </c>
      <c r="B14979" t="s">
        <v>45688</v>
      </c>
      <c r="C14979" t="str">
        <f>"82518327"</f>
        <v>82518327</v>
      </c>
      <c r="D14979" t="s">
        <v>45684</v>
      </c>
      <c r="F14979" t="s">
        <v>45685</v>
      </c>
      <c r="I14979" t="s">
        <v>29</v>
      </c>
      <c r="J14979" t="s">
        <v>30</v>
      </c>
      <c r="K14979" t="s">
        <v>45686</v>
      </c>
      <c r="M14979" t="s">
        <v>25733</v>
      </c>
      <c r="N14979" t="str">
        <f>"3/23/2021 12:47:00 PM"</f>
        <v>3/23/2021 12:47:00 PM</v>
      </c>
      <c r="O14979" t="s">
        <v>45684</v>
      </c>
    </row>
    <row r="14980" spans="1:20" x14ac:dyDescent="0.25">
      <c r="A14980" t="str">
        <f>"3041947"</f>
        <v>3041947</v>
      </c>
      <c r="B14980" t="s">
        <v>45689</v>
      </c>
      <c r="C14980" t="str">
        <f>"8304929"</f>
        <v>8304929</v>
      </c>
      <c r="D14980" t="s">
        <v>45418</v>
      </c>
      <c r="E14980" t="s">
        <v>45419</v>
      </c>
      <c r="F14980" t="s">
        <v>45420</v>
      </c>
      <c r="G14980" t="s">
        <v>45421</v>
      </c>
      <c r="I14980" t="s">
        <v>3736</v>
      </c>
      <c r="J14980" t="s">
        <v>3737</v>
      </c>
      <c r="K14980" t="s">
        <v>45422</v>
      </c>
      <c r="M14980" t="s">
        <v>17861</v>
      </c>
      <c r="N14980" t="str">
        <f>"3/9/2021 10:24:00 AM"</f>
        <v>3/9/2021 10:24:00 AM</v>
      </c>
      <c r="O14980" t="s">
        <v>45418</v>
      </c>
      <c r="T14980" t="s">
        <v>45419</v>
      </c>
    </row>
    <row r="14981" spans="1:20" x14ac:dyDescent="0.25">
      <c r="A14981" t="str">
        <f>"3066965"</f>
        <v>3066965</v>
      </c>
      <c r="B14981" t="s">
        <v>45690</v>
      </c>
      <c r="C14981" t="str">
        <f>"8312836"</f>
        <v>8312836</v>
      </c>
      <c r="D14981" t="s">
        <v>45691</v>
      </c>
      <c r="F14981" t="s">
        <v>45692</v>
      </c>
      <c r="I14981" t="s">
        <v>184</v>
      </c>
      <c r="J14981" t="s">
        <v>30</v>
      </c>
      <c r="K14981" t="s">
        <v>36442</v>
      </c>
      <c r="M14981" t="s">
        <v>17861</v>
      </c>
      <c r="N14981" t="str">
        <f>"3/16/2021 10:51:00 AM"</f>
        <v>3/16/2021 10:51:00 AM</v>
      </c>
      <c r="O14981" t="s">
        <v>45691</v>
      </c>
    </row>
    <row r="14982" spans="1:20" x14ac:dyDescent="0.25">
      <c r="A14982" t="str">
        <f>"3067055"</f>
        <v>3067055</v>
      </c>
      <c r="B14982" t="s">
        <v>45693</v>
      </c>
      <c r="C14982" t="str">
        <f>"8312836"</f>
        <v>8312836</v>
      </c>
      <c r="D14982" t="s">
        <v>45691</v>
      </c>
      <c r="F14982" t="s">
        <v>45692</v>
      </c>
      <c r="I14982" t="s">
        <v>184</v>
      </c>
      <c r="J14982" t="s">
        <v>30</v>
      </c>
      <c r="K14982" t="s">
        <v>36442</v>
      </c>
      <c r="M14982" t="s">
        <v>17861</v>
      </c>
      <c r="N14982" t="str">
        <f>"3/16/2021 10:51:00 AM"</f>
        <v>3/16/2021 10:51:00 AM</v>
      </c>
      <c r="O14982" t="s">
        <v>45691</v>
      </c>
    </row>
    <row r="14983" spans="1:20" x14ac:dyDescent="0.25">
      <c r="A14983" t="str">
        <f>"3050801"</f>
        <v>3050801</v>
      </c>
      <c r="B14983" t="s">
        <v>45694</v>
      </c>
      <c r="C14983" t="str">
        <f>"8314304"</f>
        <v>8314304</v>
      </c>
      <c r="D14983" t="s">
        <v>45695</v>
      </c>
      <c r="F14983" t="s">
        <v>45696</v>
      </c>
      <c r="I14983" t="s">
        <v>184</v>
      </c>
      <c r="J14983" t="s">
        <v>30</v>
      </c>
      <c r="K14983" t="s">
        <v>12463</v>
      </c>
      <c r="M14983" t="s">
        <v>18479</v>
      </c>
      <c r="N14983" t="str">
        <f>"3/16/2021 4:44:00 PM"</f>
        <v>3/16/2021 4:44:00 PM</v>
      </c>
      <c r="O14983" t="s">
        <v>45695</v>
      </c>
    </row>
    <row r="14984" spans="1:20" x14ac:dyDescent="0.25">
      <c r="A14984" t="str">
        <f>"3054928"</f>
        <v>3054928</v>
      </c>
      <c r="B14984" t="s">
        <v>45697</v>
      </c>
      <c r="C14984" t="str">
        <f>"25984000"</f>
        <v>25984000</v>
      </c>
      <c r="D14984" t="s">
        <v>45698</v>
      </c>
      <c r="F14984" t="s">
        <v>45699</v>
      </c>
      <c r="I14984" t="s">
        <v>29</v>
      </c>
      <c r="J14984" t="s">
        <v>30</v>
      </c>
      <c r="K14984" t="str">
        <f>"27028"</f>
        <v>27028</v>
      </c>
      <c r="M14984" t="s">
        <v>25733</v>
      </c>
      <c r="N14984" t="str">
        <f>"3/23/2021 2:40:00 PM"</f>
        <v>3/23/2021 2:40:00 PM</v>
      </c>
      <c r="O14984" t="s">
        <v>45698</v>
      </c>
    </row>
    <row r="14985" spans="1:20" x14ac:dyDescent="0.25">
      <c r="A14985" t="str">
        <f>"3049854"</f>
        <v>3049854</v>
      </c>
      <c r="B14985" t="s">
        <v>45700</v>
      </c>
      <c r="C14985" t="str">
        <f>"8315247"</f>
        <v>8315247</v>
      </c>
      <c r="D14985" t="s">
        <v>45701</v>
      </c>
      <c r="F14985" t="s">
        <v>45702</v>
      </c>
      <c r="I14985" t="s">
        <v>29</v>
      </c>
      <c r="J14985" t="s">
        <v>30</v>
      </c>
      <c r="K14985" t="s">
        <v>17132</v>
      </c>
      <c r="M14985" t="s">
        <v>17861</v>
      </c>
      <c r="N14985" t="str">
        <f>"3/23/2021 3:11:00 PM"</f>
        <v>3/23/2021 3:11:00 PM</v>
      </c>
      <c r="O14985" t="s">
        <v>45701</v>
      </c>
    </row>
    <row r="14986" spans="1:20" x14ac:dyDescent="0.25">
      <c r="A14986" t="str">
        <f>"3058980"</f>
        <v>3058980</v>
      </c>
      <c r="B14986" t="s">
        <v>45703</v>
      </c>
      <c r="C14986" t="str">
        <f>"8315250"</f>
        <v>8315250</v>
      </c>
      <c r="D14986" t="s">
        <v>45704</v>
      </c>
      <c r="E14986" t="s">
        <v>45705</v>
      </c>
      <c r="F14986" t="s">
        <v>45706</v>
      </c>
      <c r="I14986" t="s">
        <v>29</v>
      </c>
      <c r="J14986" t="s">
        <v>30</v>
      </c>
      <c r="K14986" t="s">
        <v>34659</v>
      </c>
      <c r="M14986" t="s">
        <v>17861</v>
      </c>
      <c r="N14986" t="str">
        <f>"3/23/2021 3:27:00 PM"</f>
        <v>3/23/2021 3:27:00 PM</v>
      </c>
      <c r="O14986" t="s">
        <v>45704</v>
      </c>
      <c r="T14986" t="s">
        <v>45705</v>
      </c>
    </row>
    <row r="14987" spans="1:20" x14ac:dyDescent="0.25">
      <c r="A14987" t="str">
        <f>"3061518"</f>
        <v>3061518</v>
      </c>
      <c r="B14987" t="s">
        <v>45707</v>
      </c>
      <c r="C14987" t="str">
        <f>"8315252"</f>
        <v>8315252</v>
      </c>
      <c r="D14987" t="s">
        <v>45708</v>
      </c>
      <c r="E14987" t="s">
        <v>45709</v>
      </c>
      <c r="F14987" t="s">
        <v>45710</v>
      </c>
      <c r="I14987" t="s">
        <v>184</v>
      </c>
      <c r="J14987" t="s">
        <v>30</v>
      </c>
      <c r="K14987" t="s">
        <v>45205</v>
      </c>
      <c r="M14987" t="s">
        <v>17861</v>
      </c>
      <c r="N14987" t="str">
        <f>"3/23/2021 3:43:00 PM"</f>
        <v>3/23/2021 3:43:00 PM</v>
      </c>
      <c r="O14987" t="s">
        <v>45708</v>
      </c>
      <c r="T14987" t="s">
        <v>45709</v>
      </c>
    </row>
    <row r="14988" spans="1:20" x14ac:dyDescent="0.25">
      <c r="A14988" t="str">
        <f>"3061119"</f>
        <v>3061119</v>
      </c>
      <c r="B14988" t="s">
        <v>45711</v>
      </c>
      <c r="C14988" t="str">
        <f>"8315254"</f>
        <v>8315254</v>
      </c>
      <c r="D14988" t="s">
        <v>45712</v>
      </c>
      <c r="E14988" t="s">
        <v>45713</v>
      </c>
      <c r="F14988" t="s">
        <v>43087</v>
      </c>
      <c r="I14988" t="s">
        <v>184</v>
      </c>
      <c r="J14988" t="s">
        <v>30</v>
      </c>
      <c r="K14988" t="s">
        <v>6297</v>
      </c>
      <c r="M14988" t="s">
        <v>17861</v>
      </c>
      <c r="N14988" t="str">
        <f>"3/23/2021 3:55:00 PM"</f>
        <v>3/23/2021 3:55:00 PM</v>
      </c>
      <c r="O14988" t="s">
        <v>45712</v>
      </c>
      <c r="T14988" t="s">
        <v>45713</v>
      </c>
    </row>
    <row r="14989" spans="1:20" x14ac:dyDescent="0.25">
      <c r="A14989" t="str">
        <f>"3041034"</f>
        <v>3041034</v>
      </c>
      <c r="B14989" t="s">
        <v>45714</v>
      </c>
      <c r="C14989" t="str">
        <f>"82526435"</f>
        <v>82526435</v>
      </c>
      <c r="D14989" t="s">
        <v>45715</v>
      </c>
      <c r="F14989" t="s">
        <v>45716</v>
      </c>
      <c r="I14989" t="s">
        <v>2071</v>
      </c>
      <c r="J14989" t="s">
        <v>30</v>
      </c>
      <c r="K14989" t="s">
        <v>45717</v>
      </c>
      <c r="M14989" t="s">
        <v>17861</v>
      </c>
      <c r="N14989" t="str">
        <f>"3/17/2021 11:17:00 AM"</f>
        <v>3/17/2021 11:17:00 AM</v>
      </c>
      <c r="O14989" t="s">
        <v>45715</v>
      </c>
    </row>
    <row r="14990" spans="1:20" x14ac:dyDescent="0.25">
      <c r="A14990" t="str">
        <f>"3067352"</f>
        <v>3067352</v>
      </c>
      <c r="B14990" t="s">
        <v>45718</v>
      </c>
      <c r="C14990" t="str">
        <f>"8314412"</f>
        <v>8314412</v>
      </c>
      <c r="D14990" t="s">
        <v>45719</v>
      </c>
      <c r="E14990" t="s">
        <v>21296</v>
      </c>
      <c r="F14990" t="s">
        <v>45720</v>
      </c>
      <c r="I14990" t="s">
        <v>184</v>
      </c>
      <c r="J14990" t="s">
        <v>30</v>
      </c>
      <c r="K14990" t="str">
        <f>"27006"</f>
        <v>27006</v>
      </c>
      <c r="M14990" t="s">
        <v>18470</v>
      </c>
      <c r="N14990" t="str">
        <f>"3/17/2021 3:12:00 PM"</f>
        <v>3/17/2021 3:12:00 PM</v>
      </c>
      <c r="O14990" t="s">
        <v>45719</v>
      </c>
      <c r="T14990" t="s">
        <v>21296</v>
      </c>
    </row>
    <row r="14991" spans="1:20" x14ac:dyDescent="0.25">
      <c r="A14991" t="str">
        <f>"3062162"</f>
        <v>3062162</v>
      </c>
      <c r="B14991" t="s">
        <v>45721</v>
      </c>
      <c r="C14991" t="str">
        <f>"8315258"</f>
        <v>8315258</v>
      </c>
      <c r="D14991" t="s">
        <v>45722</v>
      </c>
      <c r="E14991" t="s">
        <v>45723</v>
      </c>
      <c r="F14991" t="s">
        <v>25897</v>
      </c>
      <c r="I14991" t="s">
        <v>184</v>
      </c>
      <c r="J14991" t="s">
        <v>30</v>
      </c>
      <c r="K14991" t="s">
        <v>5707</v>
      </c>
      <c r="M14991" t="s">
        <v>17861</v>
      </c>
      <c r="N14991" t="str">
        <f>"3/23/2021 7:12:00 PM"</f>
        <v>3/23/2021 7:12:00 PM</v>
      </c>
      <c r="O14991" t="s">
        <v>45722</v>
      </c>
      <c r="T14991" t="s">
        <v>45723</v>
      </c>
    </row>
    <row r="14992" spans="1:20" x14ac:dyDescent="0.25">
      <c r="A14992" t="str">
        <f>"3059110"</f>
        <v>3059110</v>
      </c>
      <c r="B14992" t="s">
        <v>45724</v>
      </c>
      <c r="C14992" t="str">
        <f>"8315259"</f>
        <v>8315259</v>
      </c>
      <c r="D14992" t="s">
        <v>45725</v>
      </c>
      <c r="E14992" t="s">
        <v>45726</v>
      </c>
      <c r="F14992" t="s">
        <v>45727</v>
      </c>
      <c r="I14992" t="s">
        <v>184</v>
      </c>
      <c r="J14992" t="s">
        <v>30</v>
      </c>
      <c r="K14992" t="s">
        <v>28489</v>
      </c>
      <c r="M14992" t="s">
        <v>17861</v>
      </c>
      <c r="N14992" t="str">
        <f>"3/23/2021 7:18:00 PM"</f>
        <v>3/23/2021 7:18:00 PM</v>
      </c>
      <c r="O14992" t="s">
        <v>45725</v>
      </c>
      <c r="T14992" t="s">
        <v>45726</v>
      </c>
    </row>
    <row r="14993" spans="1:20" x14ac:dyDescent="0.25">
      <c r="A14993" t="str">
        <f>"3040495"</f>
        <v>3040495</v>
      </c>
      <c r="B14993" t="s">
        <v>45728</v>
      </c>
      <c r="C14993" t="str">
        <f>"8315261"</f>
        <v>8315261</v>
      </c>
      <c r="D14993" t="s">
        <v>45729</v>
      </c>
      <c r="E14993" t="s">
        <v>45730</v>
      </c>
      <c r="F14993" t="s">
        <v>45731</v>
      </c>
      <c r="I14993" t="s">
        <v>184</v>
      </c>
      <c r="J14993" t="s">
        <v>30</v>
      </c>
      <c r="K14993" t="s">
        <v>3559</v>
      </c>
      <c r="M14993" t="s">
        <v>17861</v>
      </c>
      <c r="N14993" t="str">
        <f>"3/24/2021 8:41:00 AM"</f>
        <v>3/24/2021 8:41:00 AM</v>
      </c>
      <c r="O14993" t="s">
        <v>45729</v>
      </c>
      <c r="T14993" t="s">
        <v>45730</v>
      </c>
    </row>
    <row r="14994" spans="1:20" x14ac:dyDescent="0.25">
      <c r="A14994" t="str">
        <f>"3077978"</f>
        <v>3077978</v>
      </c>
      <c r="B14994" t="s">
        <v>45732</v>
      </c>
      <c r="C14994" t="str">
        <f>"8303455"</f>
        <v>8303455</v>
      </c>
      <c r="D14994" t="s">
        <v>45733</v>
      </c>
      <c r="F14994" t="s">
        <v>44762</v>
      </c>
      <c r="I14994" t="s">
        <v>29</v>
      </c>
      <c r="J14994" t="s">
        <v>30</v>
      </c>
      <c r="K14994" t="str">
        <f>"27028"</f>
        <v>27028</v>
      </c>
      <c r="M14994" t="s">
        <v>25733</v>
      </c>
      <c r="N14994" t="str">
        <f>"3/24/2021 9:21:00 AM"</f>
        <v>3/24/2021 9:21:00 AM</v>
      </c>
      <c r="O14994" t="s">
        <v>45733</v>
      </c>
    </row>
    <row r="14995" spans="1:20" x14ac:dyDescent="0.25">
      <c r="A14995" t="str">
        <f>"3077979"</f>
        <v>3077979</v>
      </c>
      <c r="B14995" t="s">
        <v>45734</v>
      </c>
      <c r="C14995" t="str">
        <f>"8303455"</f>
        <v>8303455</v>
      </c>
      <c r="D14995" t="s">
        <v>45733</v>
      </c>
      <c r="F14995" t="s">
        <v>44762</v>
      </c>
      <c r="I14995" t="s">
        <v>29</v>
      </c>
      <c r="J14995" t="s">
        <v>30</v>
      </c>
      <c r="K14995" t="str">
        <f>"27028"</f>
        <v>27028</v>
      </c>
      <c r="M14995" t="s">
        <v>25733</v>
      </c>
      <c r="N14995" t="str">
        <f>"3/24/2021 9:21:00 AM"</f>
        <v>3/24/2021 9:21:00 AM</v>
      </c>
      <c r="O14995" t="s">
        <v>45733</v>
      </c>
    </row>
    <row r="14996" spans="1:20" x14ac:dyDescent="0.25">
      <c r="A14996" t="str">
        <f>"3077983"</f>
        <v>3077983</v>
      </c>
      <c r="B14996" t="s">
        <v>45735</v>
      </c>
      <c r="C14996" t="str">
        <f>"8303455"</f>
        <v>8303455</v>
      </c>
      <c r="D14996" t="s">
        <v>45733</v>
      </c>
      <c r="F14996" t="s">
        <v>44762</v>
      </c>
      <c r="I14996" t="s">
        <v>29</v>
      </c>
      <c r="J14996" t="s">
        <v>30</v>
      </c>
      <c r="K14996" t="str">
        <f>"27028"</f>
        <v>27028</v>
      </c>
      <c r="M14996" t="s">
        <v>25733</v>
      </c>
      <c r="N14996" t="str">
        <f>"3/24/2021 9:21:00 AM"</f>
        <v>3/24/2021 9:21:00 AM</v>
      </c>
      <c r="O14996" t="s">
        <v>45733</v>
      </c>
    </row>
    <row r="14997" spans="1:20" x14ac:dyDescent="0.25">
      <c r="A14997" t="str">
        <f>"3062033"</f>
        <v>3062033</v>
      </c>
      <c r="B14997" t="s">
        <v>45736</v>
      </c>
      <c r="C14997" t="str">
        <f>"8315263"</f>
        <v>8315263</v>
      </c>
      <c r="D14997" t="s">
        <v>45737</v>
      </c>
      <c r="F14997" t="s">
        <v>45738</v>
      </c>
      <c r="I14997" t="s">
        <v>29</v>
      </c>
      <c r="J14997" t="s">
        <v>30</v>
      </c>
      <c r="K14997" t="s">
        <v>14501</v>
      </c>
      <c r="M14997" t="s">
        <v>17861</v>
      </c>
      <c r="N14997" t="str">
        <f>"3/24/2021 9:31:00 AM"</f>
        <v>3/24/2021 9:31:00 AM</v>
      </c>
      <c r="O14997" t="s">
        <v>45737</v>
      </c>
    </row>
    <row r="14998" spans="1:20" x14ac:dyDescent="0.25">
      <c r="A14998" t="str">
        <f>"3047509"</f>
        <v>3047509</v>
      </c>
      <c r="B14998" t="s">
        <v>45739</v>
      </c>
      <c r="C14998" t="str">
        <f>"8314798"</f>
        <v>8314798</v>
      </c>
      <c r="D14998" t="s">
        <v>45740</v>
      </c>
      <c r="F14998" t="s">
        <v>45741</v>
      </c>
      <c r="I14998" t="s">
        <v>1149</v>
      </c>
      <c r="J14998" t="s">
        <v>30</v>
      </c>
      <c r="K14998" t="s">
        <v>45742</v>
      </c>
      <c r="M14998" t="s">
        <v>18470</v>
      </c>
      <c r="N14998" t="str">
        <f>"3/18/2021 9:50:00 AM"</f>
        <v>3/18/2021 9:50:00 AM</v>
      </c>
      <c r="O14998" t="s">
        <v>45740</v>
      </c>
    </row>
    <row r="14999" spans="1:20" x14ac:dyDescent="0.25">
      <c r="A14999" t="str">
        <f>"3052988"</f>
        <v>3052988</v>
      </c>
      <c r="B14999" t="s">
        <v>45743</v>
      </c>
      <c r="C14999" t="str">
        <f>"82527125"</f>
        <v>82527125</v>
      </c>
      <c r="D14999" t="s">
        <v>45744</v>
      </c>
      <c r="E14999" t="s">
        <v>45745</v>
      </c>
      <c r="F14999" t="s">
        <v>45746</v>
      </c>
      <c r="I14999" t="s">
        <v>29</v>
      </c>
      <c r="J14999" t="s">
        <v>30</v>
      </c>
      <c r="K14999" t="s">
        <v>45747</v>
      </c>
      <c r="M14999" t="s">
        <v>18479</v>
      </c>
      <c r="N14999" t="str">
        <f>"3/18/2021 10:58:00 AM"</f>
        <v>3/18/2021 10:58:00 AM</v>
      </c>
      <c r="O14999" t="s">
        <v>45744</v>
      </c>
      <c r="T14999" t="s">
        <v>45745</v>
      </c>
    </row>
    <row r="15000" spans="1:20" x14ac:dyDescent="0.25">
      <c r="A15000" t="str">
        <f>"3061721"</f>
        <v>3061721</v>
      </c>
      <c r="B15000" t="s">
        <v>45748</v>
      </c>
      <c r="C15000" t="str">
        <f>"8307762"</f>
        <v>8307762</v>
      </c>
      <c r="D15000" t="s">
        <v>45749</v>
      </c>
      <c r="E15000" t="s">
        <v>45750</v>
      </c>
      <c r="F15000" t="s">
        <v>45751</v>
      </c>
      <c r="I15000" t="s">
        <v>2071</v>
      </c>
      <c r="J15000" t="s">
        <v>30</v>
      </c>
      <c r="K15000" t="str">
        <f>"27006"</f>
        <v>27006</v>
      </c>
      <c r="M15000" t="s">
        <v>25733</v>
      </c>
      <c r="N15000" t="str">
        <f>"3/18/2021 3:40:00 PM"</f>
        <v>3/18/2021 3:40:00 PM</v>
      </c>
      <c r="O15000" t="s">
        <v>45749</v>
      </c>
      <c r="T15000" t="s">
        <v>45750</v>
      </c>
    </row>
    <row r="15001" spans="1:20" x14ac:dyDescent="0.25">
      <c r="A15001" t="str">
        <f>"3039935"</f>
        <v>3039935</v>
      </c>
      <c r="B15001" t="s">
        <v>45752</v>
      </c>
      <c r="C15001" t="str">
        <f>"8315212"</f>
        <v>8315212</v>
      </c>
      <c r="D15001" t="s">
        <v>45753</v>
      </c>
      <c r="E15001" t="s">
        <v>45754</v>
      </c>
      <c r="F15001" t="s">
        <v>45755</v>
      </c>
      <c r="I15001" t="s">
        <v>184</v>
      </c>
      <c r="J15001" t="s">
        <v>30</v>
      </c>
      <c r="K15001" t="s">
        <v>35998</v>
      </c>
      <c r="M15001" t="s">
        <v>17861</v>
      </c>
      <c r="N15001" t="str">
        <f>"3/19/2021 2:43:00 PM"</f>
        <v>3/19/2021 2:43:00 PM</v>
      </c>
      <c r="O15001" t="s">
        <v>45753</v>
      </c>
      <c r="T15001" t="s">
        <v>45754</v>
      </c>
    </row>
    <row r="15002" spans="1:20" x14ac:dyDescent="0.25">
      <c r="A15002" t="str">
        <f>"3062158"</f>
        <v>3062158</v>
      </c>
      <c r="B15002" t="s">
        <v>45756</v>
      </c>
      <c r="C15002" t="str">
        <f>"8315214"</f>
        <v>8315214</v>
      </c>
      <c r="D15002" t="s">
        <v>45757</v>
      </c>
      <c r="F15002" t="s">
        <v>45758</v>
      </c>
      <c r="I15002" t="s">
        <v>29</v>
      </c>
      <c r="J15002" t="s">
        <v>30</v>
      </c>
      <c r="K15002" t="s">
        <v>39975</v>
      </c>
      <c r="M15002" t="s">
        <v>17861</v>
      </c>
      <c r="N15002" t="str">
        <f>"3/19/2021 3:08:00 PM"</f>
        <v>3/19/2021 3:08:00 PM</v>
      </c>
      <c r="O15002" t="s">
        <v>45757</v>
      </c>
    </row>
    <row r="15003" spans="1:20" x14ac:dyDescent="0.25">
      <c r="A15003" t="str">
        <f>"3076616"</f>
        <v>3076616</v>
      </c>
      <c r="B15003" t="s">
        <v>45759</v>
      </c>
      <c r="C15003" t="str">
        <f>"8315281"</f>
        <v>8315281</v>
      </c>
      <c r="D15003" t="s">
        <v>45760</v>
      </c>
      <c r="F15003" t="s">
        <v>45761</v>
      </c>
      <c r="I15003" t="s">
        <v>1149</v>
      </c>
      <c r="J15003" t="s">
        <v>30</v>
      </c>
      <c r="K15003" t="s">
        <v>45762</v>
      </c>
      <c r="M15003" t="s">
        <v>17861</v>
      </c>
      <c r="N15003" t="str">
        <f>"3/25/2021 9:15:00 AM"</f>
        <v>3/25/2021 9:15:00 AM</v>
      </c>
      <c r="O15003" t="s">
        <v>45760</v>
      </c>
    </row>
    <row r="15004" spans="1:20" x14ac:dyDescent="0.25">
      <c r="A15004" t="str">
        <f>"3062947"</f>
        <v>3062947</v>
      </c>
      <c r="B15004" t="s">
        <v>45763</v>
      </c>
      <c r="C15004" t="str">
        <f>"8315282"</f>
        <v>8315282</v>
      </c>
      <c r="D15004" t="s">
        <v>45764</v>
      </c>
      <c r="E15004" t="s">
        <v>45765</v>
      </c>
      <c r="F15004" t="s">
        <v>45766</v>
      </c>
      <c r="I15004" t="s">
        <v>29</v>
      </c>
      <c r="J15004" t="s">
        <v>30</v>
      </c>
      <c r="K15004" t="s">
        <v>38209</v>
      </c>
      <c r="M15004" t="s">
        <v>17861</v>
      </c>
      <c r="N15004" t="str">
        <f>"3/25/2021 9:38:00 AM"</f>
        <v>3/25/2021 9:38:00 AM</v>
      </c>
      <c r="O15004" t="s">
        <v>45764</v>
      </c>
      <c r="T15004" t="s">
        <v>45765</v>
      </c>
    </row>
    <row r="15005" spans="1:20" x14ac:dyDescent="0.25">
      <c r="A15005" t="str">
        <f>"3055523"</f>
        <v>3055523</v>
      </c>
      <c r="B15005" t="s">
        <v>45767</v>
      </c>
      <c r="C15005" t="str">
        <f>"8315283"</f>
        <v>8315283</v>
      </c>
      <c r="D15005" t="s">
        <v>45768</v>
      </c>
      <c r="F15005" t="s">
        <v>45769</v>
      </c>
      <c r="I15005" t="s">
        <v>29</v>
      </c>
      <c r="J15005" t="s">
        <v>30</v>
      </c>
      <c r="K15005" t="s">
        <v>1329</v>
      </c>
      <c r="M15005" t="s">
        <v>17861</v>
      </c>
      <c r="N15005" t="str">
        <f>"3/25/2021 9:47:00 AM"</f>
        <v>3/25/2021 9:47:00 AM</v>
      </c>
      <c r="O15005" t="s">
        <v>45768</v>
      </c>
    </row>
    <row r="15006" spans="1:20" x14ac:dyDescent="0.25">
      <c r="A15006" t="str">
        <f>"3040968"</f>
        <v>3040968</v>
      </c>
      <c r="B15006" t="s">
        <v>45770</v>
      </c>
      <c r="C15006" t="str">
        <f>"8315284"</f>
        <v>8315284</v>
      </c>
      <c r="D15006" t="s">
        <v>45771</v>
      </c>
      <c r="F15006" t="s">
        <v>45772</v>
      </c>
      <c r="I15006" t="s">
        <v>184</v>
      </c>
      <c r="J15006" t="s">
        <v>30</v>
      </c>
      <c r="K15006" t="s">
        <v>45773</v>
      </c>
      <c r="M15006" t="s">
        <v>17861</v>
      </c>
      <c r="N15006" t="str">
        <f>"3/25/2021 9:53:00 AM"</f>
        <v>3/25/2021 9:53:00 AM</v>
      </c>
      <c r="O15006" t="s">
        <v>45771</v>
      </c>
    </row>
    <row r="15007" spans="1:20" x14ac:dyDescent="0.25">
      <c r="A15007" t="str">
        <f>"3059493"</f>
        <v>3059493</v>
      </c>
      <c r="B15007" t="s">
        <v>45774</v>
      </c>
      <c r="C15007" t="str">
        <f>"8315285"</f>
        <v>8315285</v>
      </c>
      <c r="D15007" t="s">
        <v>45775</v>
      </c>
      <c r="F15007" t="s">
        <v>45776</v>
      </c>
      <c r="I15007" t="s">
        <v>17921</v>
      </c>
      <c r="J15007" t="s">
        <v>30</v>
      </c>
      <c r="K15007" t="str">
        <f>"27028"</f>
        <v>27028</v>
      </c>
      <c r="M15007" t="s">
        <v>17861</v>
      </c>
      <c r="N15007" t="str">
        <f>"3/25/2021 10:07:00 AM"</f>
        <v>3/25/2021 10:07:00 AM</v>
      </c>
      <c r="O15007" t="s">
        <v>45775</v>
      </c>
    </row>
    <row r="15008" spans="1:20" x14ac:dyDescent="0.25">
      <c r="A15008" t="str">
        <f>"3042387"</f>
        <v>3042387</v>
      </c>
      <c r="B15008" t="s">
        <v>45777</v>
      </c>
      <c r="C15008" t="str">
        <f>"8315286"</f>
        <v>8315286</v>
      </c>
      <c r="D15008" t="s">
        <v>45778</v>
      </c>
      <c r="E15008" t="s">
        <v>45779</v>
      </c>
      <c r="F15008" t="s">
        <v>45780</v>
      </c>
      <c r="I15008" t="s">
        <v>184</v>
      </c>
      <c r="J15008" t="s">
        <v>30</v>
      </c>
      <c r="K15008" t="s">
        <v>3433</v>
      </c>
      <c r="M15008" t="s">
        <v>17861</v>
      </c>
      <c r="N15008" t="str">
        <f>"3/25/2021 10:16:00 AM"</f>
        <v>3/25/2021 10:16:00 AM</v>
      </c>
      <c r="O15008" t="s">
        <v>45778</v>
      </c>
      <c r="T15008" t="s">
        <v>45779</v>
      </c>
    </row>
    <row r="15009" spans="1:20" x14ac:dyDescent="0.25">
      <c r="A15009" t="str">
        <f>"3038190"</f>
        <v>3038190</v>
      </c>
      <c r="B15009" t="s">
        <v>45781</v>
      </c>
      <c r="C15009" t="str">
        <f>"8314838"</f>
        <v>8314838</v>
      </c>
      <c r="D15009" t="s">
        <v>45782</v>
      </c>
      <c r="F15009" t="s">
        <v>45783</v>
      </c>
      <c r="I15009" t="s">
        <v>45784</v>
      </c>
      <c r="J15009" t="s">
        <v>2109</v>
      </c>
      <c r="K15009" t="str">
        <f>"22101"</f>
        <v>22101</v>
      </c>
      <c r="M15009" t="s">
        <v>17861</v>
      </c>
      <c r="N15009" t="str">
        <f>"3/25/2021 10:46:00 AM"</f>
        <v>3/25/2021 10:46:00 AM</v>
      </c>
      <c r="O15009" t="s">
        <v>45782</v>
      </c>
    </row>
    <row r="15010" spans="1:20" x14ac:dyDescent="0.25">
      <c r="A15010" t="str">
        <f>"3062536"</f>
        <v>3062536</v>
      </c>
      <c r="B15010" t="s">
        <v>45785</v>
      </c>
      <c r="C15010" t="str">
        <f>"8315287"</f>
        <v>8315287</v>
      </c>
      <c r="D15010" t="s">
        <v>45786</v>
      </c>
      <c r="E15010" t="s">
        <v>45787</v>
      </c>
      <c r="F15010" t="s">
        <v>45788</v>
      </c>
      <c r="I15010" t="s">
        <v>184</v>
      </c>
      <c r="J15010" t="s">
        <v>30</v>
      </c>
      <c r="K15010" t="s">
        <v>18878</v>
      </c>
      <c r="M15010" t="s">
        <v>17861</v>
      </c>
      <c r="N15010" t="str">
        <f>"3/25/2021 11:22:00 AM"</f>
        <v>3/25/2021 11:22:00 AM</v>
      </c>
      <c r="O15010" t="s">
        <v>45786</v>
      </c>
      <c r="T15010" t="s">
        <v>45787</v>
      </c>
    </row>
    <row r="15011" spans="1:20" x14ac:dyDescent="0.25">
      <c r="A15011" t="str">
        <f>"3050373"</f>
        <v>3050373</v>
      </c>
      <c r="B15011" t="s">
        <v>45789</v>
      </c>
      <c r="C15011" t="str">
        <f>"82525214"</f>
        <v>82525214</v>
      </c>
      <c r="D15011" t="s">
        <v>45790</v>
      </c>
      <c r="E15011" t="s">
        <v>45791</v>
      </c>
      <c r="F15011" t="s">
        <v>45792</v>
      </c>
      <c r="I15011" t="s">
        <v>184</v>
      </c>
      <c r="J15011" t="s">
        <v>30</v>
      </c>
      <c r="K15011" t="s">
        <v>31882</v>
      </c>
      <c r="M15011" t="s">
        <v>18479</v>
      </c>
      <c r="N15011" t="str">
        <f>"3/25/2021 11:59:00 AM"</f>
        <v>3/25/2021 11:59:00 AM</v>
      </c>
      <c r="O15011" t="s">
        <v>45790</v>
      </c>
      <c r="T15011" t="s">
        <v>45791</v>
      </c>
    </row>
    <row r="15012" spans="1:20" x14ac:dyDescent="0.25">
      <c r="A15012" t="str">
        <f>"3040314"</f>
        <v>3040314</v>
      </c>
      <c r="B15012" t="s">
        <v>45793</v>
      </c>
      <c r="C15012" t="str">
        <f>"8315288"</f>
        <v>8315288</v>
      </c>
      <c r="D15012" t="s">
        <v>45794</v>
      </c>
      <c r="E15012" t="s">
        <v>4928</v>
      </c>
      <c r="F15012" t="s">
        <v>45795</v>
      </c>
      <c r="I15012" t="s">
        <v>24359</v>
      </c>
      <c r="J15012" t="s">
        <v>30</v>
      </c>
      <c r="K15012" t="str">
        <f>"27006"</f>
        <v>27006</v>
      </c>
      <c r="M15012" t="s">
        <v>17861</v>
      </c>
      <c r="N15012" t="str">
        <f>"3/25/2021 12:10:00 PM"</f>
        <v>3/25/2021 12:10:00 PM</v>
      </c>
      <c r="O15012" t="s">
        <v>45794</v>
      </c>
      <c r="T15012" t="s">
        <v>4928</v>
      </c>
    </row>
    <row r="15013" spans="1:20" x14ac:dyDescent="0.25">
      <c r="A15013" t="str">
        <f>"3062770"</f>
        <v>3062770</v>
      </c>
      <c r="B15013" t="s">
        <v>45796</v>
      </c>
      <c r="C15013" t="str">
        <f>"8315289"</f>
        <v>8315289</v>
      </c>
      <c r="D15013" t="s">
        <v>38744</v>
      </c>
      <c r="E15013" t="str">
        <f>"DAMRON DENNIS D/JOYCE A"</f>
        <v>DAMRON DENNIS D/JOYCE A</v>
      </c>
      <c r="F15013" t="s">
        <v>45797</v>
      </c>
      <c r="I15013" t="s">
        <v>29</v>
      </c>
      <c r="J15013" t="s">
        <v>30</v>
      </c>
      <c r="K15013" t="s">
        <v>4748</v>
      </c>
      <c r="M15013" t="s">
        <v>17861</v>
      </c>
      <c r="N15013" t="str">
        <f>"3/25/2021 12:27:00 PM"</f>
        <v>3/25/2021 12:27:00 PM</v>
      </c>
      <c r="O15013" t="s">
        <v>38744</v>
      </c>
      <c r="T15013" t="str">
        <f>"DAMRON DENNIS D/JOYCE A"</f>
        <v>DAMRON DENNIS D/JOYCE A</v>
      </c>
    </row>
    <row r="15014" spans="1:20" x14ac:dyDescent="0.25">
      <c r="A15014" t="str">
        <f>"3060176"</f>
        <v>3060176</v>
      </c>
      <c r="B15014" t="s">
        <v>45798</v>
      </c>
      <c r="C15014" t="str">
        <f>"8315290"</f>
        <v>8315290</v>
      </c>
      <c r="D15014" t="s">
        <v>45799</v>
      </c>
      <c r="E15014" t="s">
        <v>45800</v>
      </c>
      <c r="F15014" t="s">
        <v>45801</v>
      </c>
      <c r="I15014" t="s">
        <v>184</v>
      </c>
      <c r="J15014" t="s">
        <v>30</v>
      </c>
      <c r="K15014" t="str">
        <f>"27006"</f>
        <v>27006</v>
      </c>
      <c r="M15014" t="s">
        <v>17861</v>
      </c>
      <c r="N15014" t="str">
        <f>"3/25/2021 12:50:00 PM"</f>
        <v>3/25/2021 12:50:00 PM</v>
      </c>
      <c r="O15014" t="s">
        <v>45799</v>
      </c>
      <c r="T15014" t="s">
        <v>45800</v>
      </c>
    </row>
    <row r="15015" spans="1:20" x14ac:dyDescent="0.25">
      <c r="A15015" t="str">
        <f>"3042283"</f>
        <v>3042283</v>
      </c>
      <c r="B15015" t="s">
        <v>45802</v>
      </c>
      <c r="C15015" t="str">
        <f>"8315217"</f>
        <v>8315217</v>
      </c>
      <c r="D15015" t="s">
        <v>45803</v>
      </c>
      <c r="F15015" t="s">
        <v>45804</v>
      </c>
      <c r="I15015" t="s">
        <v>29</v>
      </c>
      <c r="J15015" t="s">
        <v>30</v>
      </c>
      <c r="K15015" t="s">
        <v>37847</v>
      </c>
      <c r="M15015" t="s">
        <v>17861</v>
      </c>
      <c r="N15015" t="str">
        <f>"3/19/2021 3:30:00 PM"</f>
        <v>3/19/2021 3:30:00 PM</v>
      </c>
      <c r="O15015" t="s">
        <v>45803</v>
      </c>
    </row>
    <row r="15016" spans="1:20" x14ac:dyDescent="0.25">
      <c r="A15016" t="str">
        <f>"3062467"</f>
        <v>3062467</v>
      </c>
      <c r="B15016" t="s">
        <v>45805</v>
      </c>
      <c r="C15016" t="str">
        <f>"8315219"</f>
        <v>8315219</v>
      </c>
      <c r="D15016" t="s">
        <v>45806</v>
      </c>
      <c r="F15016" t="s">
        <v>45807</v>
      </c>
      <c r="I15016" t="s">
        <v>2071</v>
      </c>
      <c r="J15016" t="s">
        <v>30</v>
      </c>
      <c r="K15016" t="s">
        <v>35875</v>
      </c>
      <c r="M15016" t="s">
        <v>17861</v>
      </c>
      <c r="N15016" t="str">
        <f>"3/19/2021 3:40:00 PM"</f>
        <v>3/19/2021 3:40:00 PM</v>
      </c>
      <c r="O15016" t="s">
        <v>45806</v>
      </c>
    </row>
    <row r="15017" spans="1:20" x14ac:dyDescent="0.25">
      <c r="A15017" t="str">
        <f>"3059458"</f>
        <v>3059458</v>
      </c>
      <c r="B15017" t="s">
        <v>45808</v>
      </c>
      <c r="C15017" t="str">
        <f>"8315226"</f>
        <v>8315226</v>
      </c>
      <c r="D15017" t="s">
        <v>45809</v>
      </c>
      <c r="F15017" t="s">
        <v>45810</v>
      </c>
      <c r="I15017" t="s">
        <v>29</v>
      </c>
      <c r="J15017" t="s">
        <v>30</v>
      </c>
      <c r="K15017" t="s">
        <v>35388</v>
      </c>
      <c r="M15017" t="s">
        <v>17861</v>
      </c>
      <c r="N15017" t="str">
        <f>"3/22/2021 1:24:00 PM"</f>
        <v>3/22/2021 1:24:00 PM</v>
      </c>
      <c r="O15017" t="s">
        <v>45809</v>
      </c>
    </row>
    <row r="15018" spans="1:20" x14ac:dyDescent="0.25">
      <c r="A15018" t="str">
        <f>"3041076"</f>
        <v>3041076</v>
      </c>
      <c r="B15018" t="s">
        <v>45811</v>
      </c>
      <c r="C15018" t="str">
        <f>"8315227"</f>
        <v>8315227</v>
      </c>
      <c r="D15018" t="s">
        <v>45812</v>
      </c>
      <c r="F15018" t="s">
        <v>45813</v>
      </c>
      <c r="I15018" t="s">
        <v>163</v>
      </c>
      <c r="J15018" t="s">
        <v>30</v>
      </c>
      <c r="K15018" t="s">
        <v>45814</v>
      </c>
      <c r="M15018" t="s">
        <v>17861</v>
      </c>
      <c r="N15018" t="str">
        <f>"3/22/2021 1:46:00 PM"</f>
        <v>3/22/2021 1:46:00 PM</v>
      </c>
      <c r="O15018" t="s">
        <v>45812</v>
      </c>
    </row>
    <row r="15019" spans="1:20" x14ac:dyDescent="0.25">
      <c r="A15019" t="str">
        <f>"3053267"</f>
        <v>3053267</v>
      </c>
      <c r="B15019" t="s">
        <v>45815</v>
      </c>
      <c r="C15019" t="str">
        <f>"8315228"</f>
        <v>8315228</v>
      </c>
      <c r="D15019" t="s">
        <v>45816</v>
      </c>
      <c r="E15019" t="s">
        <v>24054</v>
      </c>
      <c r="F15019" t="s">
        <v>41135</v>
      </c>
      <c r="I15019" t="s">
        <v>184</v>
      </c>
      <c r="J15019" t="s">
        <v>30</v>
      </c>
      <c r="K15019" t="s">
        <v>15015</v>
      </c>
      <c r="M15019" t="s">
        <v>17861</v>
      </c>
      <c r="N15019" t="str">
        <f>"3/22/2021 1:54:00 PM"</f>
        <v>3/22/2021 1:54:00 PM</v>
      </c>
      <c r="O15019" t="s">
        <v>45816</v>
      </c>
      <c r="T15019" t="s">
        <v>24054</v>
      </c>
    </row>
    <row r="15020" spans="1:20" x14ac:dyDescent="0.25">
      <c r="A15020" t="str">
        <f>"3039944"</f>
        <v>3039944</v>
      </c>
      <c r="B15020" t="s">
        <v>45817</v>
      </c>
      <c r="C15020" t="str">
        <f>"8315231"</f>
        <v>8315231</v>
      </c>
      <c r="D15020" t="s">
        <v>45818</v>
      </c>
      <c r="E15020" t="s">
        <v>45819</v>
      </c>
      <c r="F15020" t="s">
        <v>45820</v>
      </c>
      <c r="I15020" t="s">
        <v>184</v>
      </c>
      <c r="J15020" t="s">
        <v>30</v>
      </c>
      <c r="K15020" t="s">
        <v>45821</v>
      </c>
      <c r="M15020" t="s">
        <v>17861</v>
      </c>
      <c r="N15020" t="str">
        <f>"3/23/2021 9:25:00 AM"</f>
        <v>3/23/2021 9:25:00 AM</v>
      </c>
      <c r="O15020" t="s">
        <v>45818</v>
      </c>
      <c r="T15020" t="s">
        <v>45819</v>
      </c>
    </row>
    <row r="15021" spans="1:20" x14ac:dyDescent="0.25">
      <c r="A15021" t="str">
        <f>"3049798"</f>
        <v>3049798</v>
      </c>
      <c r="B15021" t="s">
        <v>45822</v>
      </c>
      <c r="C15021" t="str">
        <f>"8315233"</f>
        <v>8315233</v>
      </c>
      <c r="D15021" t="s">
        <v>45823</v>
      </c>
      <c r="E15021" t="s">
        <v>45824</v>
      </c>
      <c r="F15021" t="s">
        <v>45825</v>
      </c>
      <c r="I15021" t="s">
        <v>29</v>
      </c>
      <c r="J15021" t="s">
        <v>30</v>
      </c>
      <c r="K15021" t="s">
        <v>9678</v>
      </c>
      <c r="M15021" t="s">
        <v>17861</v>
      </c>
      <c r="N15021" t="str">
        <f>"3/23/2021 10:04:00 AM"</f>
        <v>3/23/2021 10:04:00 AM</v>
      </c>
      <c r="O15021" t="s">
        <v>45823</v>
      </c>
      <c r="T15021" t="s">
        <v>45824</v>
      </c>
    </row>
    <row r="15022" spans="1:20" x14ac:dyDescent="0.25">
      <c r="A15022" t="str">
        <f>"3053047"</f>
        <v>3053047</v>
      </c>
      <c r="B15022" t="s">
        <v>45826</v>
      </c>
      <c r="C15022" t="str">
        <f>"8315198"</f>
        <v>8315198</v>
      </c>
      <c r="D15022" t="s">
        <v>45827</v>
      </c>
      <c r="E15022" t="s">
        <v>45828</v>
      </c>
      <c r="F15022" t="s">
        <v>45829</v>
      </c>
      <c r="I15022" t="s">
        <v>29</v>
      </c>
      <c r="J15022" t="s">
        <v>30</v>
      </c>
      <c r="K15022" t="s">
        <v>45830</v>
      </c>
      <c r="M15022" t="s">
        <v>17861</v>
      </c>
      <c r="N15022" t="str">
        <f>"3/12/2021 2:37:00 PM"</f>
        <v>3/12/2021 2:37:00 PM</v>
      </c>
      <c r="O15022" t="s">
        <v>45827</v>
      </c>
      <c r="T15022" t="s">
        <v>45828</v>
      </c>
    </row>
    <row r="15023" spans="1:20" x14ac:dyDescent="0.25">
      <c r="A15023" t="str">
        <f>"3051224"</f>
        <v>3051224</v>
      </c>
      <c r="B15023" t="s">
        <v>45831</v>
      </c>
      <c r="C15023" t="str">
        <f>"82516327"</f>
        <v>82516327</v>
      </c>
      <c r="D15023" t="s">
        <v>45832</v>
      </c>
      <c r="E15023" t="s">
        <v>45833</v>
      </c>
      <c r="F15023" t="s">
        <v>45834</v>
      </c>
      <c r="I15023" t="s">
        <v>29</v>
      </c>
      <c r="J15023" t="s">
        <v>30</v>
      </c>
      <c r="K15023" t="s">
        <v>31</v>
      </c>
      <c r="M15023" t="s">
        <v>25733</v>
      </c>
      <c r="N15023" t="str">
        <f>"3/15/2021 10:34:00 AM"</f>
        <v>3/15/2021 10:34:00 AM</v>
      </c>
      <c r="O15023" t="s">
        <v>45832</v>
      </c>
      <c r="T15023" t="s">
        <v>45833</v>
      </c>
    </row>
    <row r="15024" spans="1:20" x14ac:dyDescent="0.25">
      <c r="A15024" t="str">
        <f>"3078634"</f>
        <v>3078634</v>
      </c>
      <c r="B15024" t="s">
        <v>45835</v>
      </c>
      <c r="C15024" t="str">
        <f>"82516327"</f>
        <v>82516327</v>
      </c>
      <c r="D15024" t="s">
        <v>45832</v>
      </c>
      <c r="E15024" t="s">
        <v>45833</v>
      </c>
      <c r="F15024" t="s">
        <v>45834</v>
      </c>
      <c r="I15024" t="s">
        <v>29</v>
      </c>
      <c r="J15024" t="s">
        <v>30</v>
      </c>
      <c r="K15024" t="s">
        <v>31</v>
      </c>
      <c r="M15024" t="s">
        <v>25733</v>
      </c>
      <c r="N15024" t="str">
        <f>"3/15/2021 10:34:00 AM"</f>
        <v>3/15/2021 10:34:00 AM</v>
      </c>
      <c r="O15024" t="s">
        <v>45832</v>
      </c>
      <c r="T15024" t="s">
        <v>45833</v>
      </c>
    </row>
    <row r="15025" spans="1:20" x14ac:dyDescent="0.25">
      <c r="A15025" t="str">
        <f>"3078637"</f>
        <v>3078637</v>
      </c>
      <c r="B15025" t="s">
        <v>45836</v>
      </c>
      <c r="C15025" t="str">
        <f>"82516327"</f>
        <v>82516327</v>
      </c>
      <c r="D15025" t="s">
        <v>45832</v>
      </c>
      <c r="E15025" t="s">
        <v>45833</v>
      </c>
      <c r="F15025" t="s">
        <v>45834</v>
      </c>
      <c r="I15025" t="s">
        <v>29</v>
      </c>
      <c r="J15025" t="s">
        <v>30</v>
      </c>
      <c r="K15025" t="s">
        <v>31</v>
      </c>
      <c r="M15025" t="s">
        <v>25733</v>
      </c>
      <c r="N15025" t="str">
        <f>"3/15/2021 10:34:00 AM"</f>
        <v>3/15/2021 10:34:00 AM</v>
      </c>
      <c r="O15025" t="s">
        <v>45832</v>
      </c>
      <c r="T15025" t="s">
        <v>45833</v>
      </c>
    </row>
    <row r="15026" spans="1:20" x14ac:dyDescent="0.25">
      <c r="A15026" t="str">
        <f>"3055150"</f>
        <v>3055150</v>
      </c>
      <c r="B15026" t="s">
        <v>45837</v>
      </c>
      <c r="C15026" t="str">
        <f>"39722500"</f>
        <v>39722500</v>
      </c>
      <c r="D15026" t="s">
        <v>45838</v>
      </c>
      <c r="F15026" t="s">
        <v>45839</v>
      </c>
      <c r="I15026" t="s">
        <v>29</v>
      </c>
      <c r="J15026" t="s">
        <v>30</v>
      </c>
      <c r="K15026" t="s">
        <v>36339</v>
      </c>
      <c r="M15026" t="s">
        <v>33845</v>
      </c>
      <c r="N15026" t="str">
        <f>"3/15/2021 11:57:00 AM"</f>
        <v>3/15/2021 11:57:00 AM</v>
      </c>
      <c r="O15026" t="s">
        <v>45838</v>
      </c>
    </row>
    <row r="15027" spans="1:20" x14ac:dyDescent="0.25">
      <c r="A15027" t="str">
        <f>"3042885"</f>
        <v>3042885</v>
      </c>
      <c r="B15027" t="s">
        <v>45840</v>
      </c>
      <c r="C15027" t="str">
        <f>"37139500"</f>
        <v>37139500</v>
      </c>
      <c r="D15027" t="s">
        <v>45841</v>
      </c>
      <c r="F15027" t="s">
        <v>45842</v>
      </c>
      <c r="I15027" t="s">
        <v>29</v>
      </c>
      <c r="J15027" t="s">
        <v>30</v>
      </c>
      <c r="K15027" t="s">
        <v>31</v>
      </c>
      <c r="M15027" t="s">
        <v>33845</v>
      </c>
      <c r="N15027" t="str">
        <f>"3/16/2021 9:28:00 AM"</f>
        <v>3/16/2021 9:28:00 AM</v>
      </c>
      <c r="O15027" t="s">
        <v>45841</v>
      </c>
    </row>
    <row r="15028" spans="1:20" x14ac:dyDescent="0.25">
      <c r="A15028" t="str">
        <f>"3057758"</f>
        <v>3057758</v>
      </c>
      <c r="B15028" t="s">
        <v>45843</v>
      </c>
      <c r="C15028" t="str">
        <f>"8315244"</f>
        <v>8315244</v>
      </c>
      <c r="D15028" t="s">
        <v>45844</v>
      </c>
      <c r="E15028" t="s">
        <v>45845</v>
      </c>
      <c r="F15028" t="s">
        <v>45846</v>
      </c>
      <c r="I15028" t="s">
        <v>29</v>
      </c>
      <c r="J15028" t="s">
        <v>30</v>
      </c>
      <c r="K15028" t="s">
        <v>45847</v>
      </c>
      <c r="M15028" t="s">
        <v>17861</v>
      </c>
      <c r="N15028" t="str">
        <f>"3/23/2021 2:25:00 PM"</f>
        <v>3/23/2021 2:25:00 PM</v>
      </c>
      <c r="O15028" t="s">
        <v>45844</v>
      </c>
      <c r="T15028" t="s">
        <v>45845</v>
      </c>
    </row>
    <row r="15029" spans="1:20" x14ac:dyDescent="0.25">
      <c r="A15029" t="str">
        <f>"3054851"</f>
        <v>3054851</v>
      </c>
      <c r="B15029" t="s">
        <v>45848</v>
      </c>
      <c r="C15029" t="str">
        <f>"25984000"</f>
        <v>25984000</v>
      </c>
      <c r="D15029" t="s">
        <v>45698</v>
      </c>
      <c r="F15029" t="s">
        <v>45699</v>
      </c>
      <c r="I15029" t="s">
        <v>29</v>
      </c>
      <c r="J15029" t="s">
        <v>30</v>
      </c>
      <c r="K15029" t="str">
        <f>"27028"</f>
        <v>27028</v>
      </c>
      <c r="M15029" t="s">
        <v>25733</v>
      </c>
      <c r="N15029" t="str">
        <f>"3/23/2021 2:40:00 PM"</f>
        <v>3/23/2021 2:40:00 PM</v>
      </c>
      <c r="O15029" t="s">
        <v>45698</v>
      </c>
    </row>
    <row r="15030" spans="1:20" x14ac:dyDescent="0.25">
      <c r="A15030" t="str">
        <f>"3045383"</f>
        <v>3045383</v>
      </c>
      <c r="B15030" t="s">
        <v>45849</v>
      </c>
      <c r="C15030" t="str">
        <f>"8315256"</f>
        <v>8315256</v>
      </c>
      <c r="D15030" t="s">
        <v>45850</v>
      </c>
      <c r="F15030" t="s">
        <v>45851</v>
      </c>
      <c r="I15030" t="s">
        <v>1149</v>
      </c>
      <c r="J15030" t="s">
        <v>30</v>
      </c>
      <c r="K15030" t="s">
        <v>6559</v>
      </c>
      <c r="M15030" t="s">
        <v>17861</v>
      </c>
      <c r="N15030" t="str">
        <f>"3/23/2021 6:50:00 PM"</f>
        <v>3/23/2021 6:50:00 PM</v>
      </c>
      <c r="O15030" t="s">
        <v>45850</v>
      </c>
    </row>
    <row r="15031" spans="1:20" x14ac:dyDescent="0.25">
      <c r="A15031" t="str">
        <f>"3062971"</f>
        <v>3062971</v>
      </c>
      <c r="B15031" t="s">
        <v>45852</v>
      </c>
      <c r="C15031" t="str">
        <f>"8315257"</f>
        <v>8315257</v>
      </c>
      <c r="D15031" t="s">
        <v>45853</v>
      </c>
      <c r="E15031" t="s">
        <v>45854</v>
      </c>
      <c r="F15031" t="s">
        <v>45855</v>
      </c>
      <c r="I15031" t="s">
        <v>29</v>
      </c>
      <c r="J15031" t="s">
        <v>30</v>
      </c>
      <c r="K15031" t="s">
        <v>13600</v>
      </c>
      <c r="M15031" t="s">
        <v>17861</v>
      </c>
      <c r="N15031" t="str">
        <f>"3/23/2021 7:07:00 PM"</f>
        <v>3/23/2021 7:07:00 PM</v>
      </c>
      <c r="O15031" t="s">
        <v>45853</v>
      </c>
      <c r="T15031" t="s">
        <v>45854</v>
      </c>
    </row>
    <row r="15032" spans="1:20" x14ac:dyDescent="0.25">
      <c r="A15032" t="str">
        <f>"3042653"</f>
        <v>3042653</v>
      </c>
      <c r="B15032" t="s">
        <v>45856</v>
      </c>
      <c r="C15032" t="str">
        <f>"8313639"</f>
        <v>8313639</v>
      </c>
      <c r="D15032" t="s">
        <v>45857</v>
      </c>
      <c r="E15032" t="s">
        <v>45858</v>
      </c>
      <c r="F15032" t="s">
        <v>45859</v>
      </c>
      <c r="I15032" t="s">
        <v>29</v>
      </c>
      <c r="J15032" t="s">
        <v>30</v>
      </c>
      <c r="K15032" t="s">
        <v>4430</v>
      </c>
      <c r="M15032" t="s">
        <v>25733</v>
      </c>
      <c r="N15032" t="str">
        <f>"3/24/2021 10:06:00 AM"</f>
        <v>3/24/2021 10:06:00 AM</v>
      </c>
      <c r="O15032" t="s">
        <v>45857</v>
      </c>
      <c r="T15032" t="s">
        <v>45858</v>
      </c>
    </row>
    <row r="15033" spans="1:20" x14ac:dyDescent="0.25">
      <c r="A15033" t="str">
        <f>"3043403"</f>
        <v>3043403</v>
      </c>
      <c r="B15033" t="s">
        <v>45860</v>
      </c>
      <c r="C15033" t="str">
        <f>"8315265"</f>
        <v>8315265</v>
      </c>
      <c r="D15033" t="s">
        <v>45861</v>
      </c>
      <c r="E15033" t="s">
        <v>45862</v>
      </c>
      <c r="F15033" t="s">
        <v>45863</v>
      </c>
      <c r="I15033" t="s">
        <v>29</v>
      </c>
      <c r="J15033" t="s">
        <v>30</v>
      </c>
      <c r="K15033" t="s">
        <v>4538</v>
      </c>
      <c r="M15033" t="s">
        <v>17861</v>
      </c>
      <c r="N15033" t="str">
        <f>"3/24/2021 12:49:00 PM"</f>
        <v>3/24/2021 12:49:00 PM</v>
      </c>
      <c r="O15033" t="s">
        <v>45861</v>
      </c>
      <c r="T15033" t="s">
        <v>45862</v>
      </c>
    </row>
    <row r="15034" spans="1:20" x14ac:dyDescent="0.25">
      <c r="A15034" t="str">
        <f>"3060629"</f>
        <v>3060629</v>
      </c>
      <c r="B15034" t="s">
        <v>45864</v>
      </c>
      <c r="C15034" t="str">
        <f>"8315267"</f>
        <v>8315267</v>
      </c>
      <c r="D15034" t="s">
        <v>45865</v>
      </c>
      <c r="E15034" t="s">
        <v>45866</v>
      </c>
      <c r="F15034" t="s">
        <v>45867</v>
      </c>
      <c r="I15034" t="s">
        <v>2071</v>
      </c>
      <c r="J15034" t="s">
        <v>30</v>
      </c>
      <c r="K15034" t="s">
        <v>6459</v>
      </c>
      <c r="M15034" t="s">
        <v>17861</v>
      </c>
      <c r="N15034" t="str">
        <f>"3/24/2021 1:18:00 PM"</f>
        <v>3/24/2021 1:18:00 PM</v>
      </c>
      <c r="O15034" t="s">
        <v>45865</v>
      </c>
      <c r="T15034" t="s">
        <v>45866</v>
      </c>
    </row>
    <row r="15035" spans="1:20" x14ac:dyDescent="0.25">
      <c r="A15035" t="str">
        <f>"3052323"</f>
        <v>3052323</v>
      </c>
      <c r="B15035" t="s">
        <v>45868</v>
      </c>
      <c r="C15035" t="str">
        <f>"55998000"</f>
        <v>55998000</v>
      </c>
      <c r="D15035" t="s">
        <v>45869</v>
      </c>
      <c r="F15035" t="s">
        <v>45870</v>
      </c>
      <c r="I15035" t="s">
        <v>29</v>
      </c>
      <c r="J15035" t="s">
        <v>30</v>
      </c>
      <c r="K15035" t="s">
        <v>45871</v>
      </c>
      <c r="M15035" t="s">
        <v>40663</v>
      </c>
      <c r="N15035" t="str">
        <f>"3/24/2021 2:56:00 PM"</f>
        <v>3/24/2021 2:56:00 PM</v>
      </c>
      <c r="O15035" t="s">
        <v>45869</v>
      </c>
    </row>
    <row r="15036" spans="1:20" x14ac:dyDescent="0.25">
      <c r="A15036" t="str">
        <f>"3049511"</f>
        <v>3049511</v>
      </c>
      <c r="B15036" t="s">
        <v>45872</v>
      </c>
      <c r="C15036" t="str">
        <f>"8315279"</f>
        <v>8315279</v>
      </c>
      <c r="D15036" t="s">
        <v>45873</v>
      </c>
      <c r="E15036" t="s">
        <v>45874</v>
      </c>
      <c r="F15036" t="s">
        <v>45875</v>
      </c>
      <c r="I15036" t="s">
        <v>45876</v>
      </c>
      <c r="J15036" t="s">
        <v>12725</v>
      </c>
      <c r="K15036" t="s">
        <v>45877</v>
      </c>
      <c r="M15036" t="s">
        <v>17861</v>
      </c>
      <c r="N15036" t="str">
        <f>"3/24/2021 7:28:00 PM"</f>
        <v>3/24/2021 7:28:00 PM</v>
      </c>
      <c r="O15036" t="s">
        <v>45873</v>
      </c>
      <c r="T15036" t="s">
        <v>45874</v>
      </c>
    </row>
    <row r="15037" spans="1:20" x14ac:dyDescent="0.25">
      <c r="A15037" t="str">
        <f>"3048096"</f>
        <v>3048096</v>
      </c>
      <c r="B15037" t="s">
        <v>45878</v>
      </c>
      <c r="C15037" t="str">
        <f>"8315242"</f>
        <v>8315242</v>
      </c>
      <c r="D15037" t="s">
        <v>45879</v>
      </c>
      <c r="E15037" t="s">
        <v>45880</v>
      </c>
      <c r="F15037" t="s">
        <v>45881</v>
      </c>
      <c r="I15037" t="s">
        <v>184</v>
      </c>
      <c r="J15037" t="s">
        <v>30</v>
      </c>
      <c r="K15037" t="s">
        <v>45882</v>
      </c>
      <c r="M15037" t="s">
        <v>17861</v>
      </c>
      <c r="N15037" t="str">
        <f>"3/23/2021 1:06:00 PM"</f>
        <v>3/23/2021 1:06:00 PM</v>
      </c>
      <c r="O15037" t="s">
        <v>45879</v>
      </c>
      <c r="T15037" t="s">
        <v>45880</v>
      </c>
    </row>
    <row r="15038" spans="1:20" x14ac:dyDescent="0.25">
      <c r="A15038" t="str">
        <f>"3045580"</f>
        <v>3045580</v>
      </c>
      <c r="B15038" t="s">
        <v>45883</v>
      </c>
      <c r="C15038" t="str">
        <f>"8315243"</f>
        <v>8315243</v>
      </c>
      <c r="D15038" t="s">
        <v>2597</v>
      </c>
      <c r="F15038" t="s">
        <v>45884</v>
      </c>
      <c r="I15038" t="s">
        <v>29</v>
      </c>
      <c r="J15038" t="s">
        <v>30</v>
      </c>
      <c r="K15038" t="s">
        <v>44685</v>
      </c>
      <c r="M15038" t="s">
        <v>17861</v>
      </c>
      <c r="N15038" t="str">
        <f>"3/23/2021 1:22:00 PM"</f>
        <v>3/23/2021 1:22:00 PM</v>
      </c>
      <c r="O15038" t="s">
        <v>2597</v>
      </c>
    </row>
    <row r="15039" spans="1:20" x14ac:dyDescent="0.25">
      <c r="A15039" t="str">
        <f>"3040642"</f>
        <v>3040642</v>
      </c>
      <c r="B15039" t="s">
        <v>45885</v>
      </c>
      <c r="C15039" t="str">
        <f>"8315312"</f>
        <v>8315312</v>
      </c>
      <c r="D15039" t="s">
        <v>45886</v>
      </c>
      <c r="E15039" t="s">
        <v>45887</v>
      </c>
      <c r="F15039" t="s">
        <v>45888</v>
      </c>
      <c r="I15039" t="s">
        <v>184</v>
      </c>
      <c r="J15039" t="s">
        <v>30</v>
      </c>
      <c r="K15039" t="s">
        <v>41734</v>
      </c>
      <c r="M15039" t="s">
        <v>17861</v>
      </c>
      <c r="N15039" t="str">
        <f>"3/26/2021 10:18:00 AM"</f>
        <v>3/26/2021 10:18:00 AM</v>
      </c>
      <c r="O15039" t="s">
        <v>45886</v>
      </c>
      <c r="T15039" t="s">
        <v>45887</v>
      </c>
    </row>
    <row r="15040" spans="1:20" x14ac:dyDescent="0.25">
      <c r="A15040" t="str">
        <f>"3050208"</f>
        <v>3050208</v>
      </c>
      <c r="B15040" t="s">
        <v>45889</v>
      </c>
      <c r="C15040" t="str">
        <f>"8315328"</f>
        <v>8315328</v>
      </c>
      <c r="D15040" t="s">
        <v>45890</v>
      </c>
      <c r="E15040" t="s">
        <v>45891</v>
      </c>
      <c r="F15040" t="s">
        <v>45892</v>
      </c>
      <c r="I15040" t="s">
        <v>29</v>
      </c>
      <c r="J15040" t="s">
        <v>30</v>
      </c>
      <c r="K15040" t="s">
        <v>18521</v>
      </c>
      <c r="M15040" t="s">
        <v>17861</v>
      </c>
      <c r="N15040" t="str">
        <f>"3/26/2021 2:21:00 PM"</f>
        <v>3/26/2021 2:21:00 PM</v>
      </c>
      <c r="O15040" t="s">
        <v>45890</v>
      </c>
      <c r="T15040" t="s">
        <v>45891</v>
      </c>
    </row>
    <row r="15041" spans="1:20" x14ac:dyDescent="0.25">
      <c r="A15041" t="str">
        <f>"3046266"</f>
        <v>3046266</v>
      </c>
      <c r="B15041" t="s">
        <v>45893</v>
      </c>
      <c r="C15041" t="str">
        <f>"8315331"</f>
        <v>8315331</v>
      </c>
      <c r="D15041" t="s">
        <v>45894</v>
      </c>
      <c r="F15041" t="s">
        <v>45895</v>
      </c>
      <c r="I15041" t="s">
        <v>29</v>
      </c>
      <c r="J15041" t="s">
        <v>30</v>
      </c>
      <c r="K15041" t="s">
        <v>45896</v>
      </c>
      <c r="M15041" t="s">
        <v>17861</v>
      </c>
      <c r="N15041" t="str">
        <f>"3/26/2021 2:46:00 PM"</f>
        <v>3/26/2021 2:46:00 PM</v>
      </c>
      <c r="O15041" t="s">
        <v>45894</v>
      </c>
    </row>
    <row r="15042" spans="1:20" x14ac:dyDescent="0.25">
      <c r="A15042" t="str">
        <f>"3042092"</f>
        <v>3042092</v>
      </c>
      <c r="B15042" t="s">
        <v>45897</v>
      </c>
      <c r="C15042" t="str">
        <f>"8315332"</f>
        <v>8315332</v>
      </c>
      <c r="D15042" t="s">
        <v>45898</v>
      </c>
      <c r="E15042" t="s">
        <v>45899</v>
      </c>
      <c r="F15042" t="s">
        <v>45900</v>
      </c>
      <c r="I15042" t="s">
        <v>184</v>
      </c>
      <c r="J15042" t="s">
        <v>30</v>
      </c>
      <c r="K15042" t="s">
        <v>26564</v>
      </c>
      <c r="M15042" t="s">
        <v>17861</v>
      </c>
      <c r="N15042" t="str">
        <f>"3/26/2021 3:01:00 PM"</f>
        <v>3/26/2021 3:01:00 PM</v>
      </c>
      <c r="O15042" t="s">
        <v>45898</v>
      </c>
      <c r="T15042" t="s">
        <v>45899</v>
      </c>
    </row>
    <row r="15043" spans="1:20" x14ac:dyDescent="0.25">
      <c r="A15043" t="str">
        <f>"3064012"</f>
        <v>3064012</v>
      </c>
      <c r="B15043" t="s">
        <v>45901</v>
      </c>
      <c r="C15043" t="str">
        <f>"8315332"</f>
        <v>8315332</v>
      </c>
      <c r="D15043" t="s">
        <v>45898</v>
      </c>
      <c r="E15043" t="s">
        <v>45899</v>
      </c>
      <c r="F15043" t="s">
        <v>45900</v>
      </c>
      <c r="I15043" t="s">
        <v>184</v>
      </c>
      <c r="J15043" t="s">
        <v>30</v>
      </c>
      <c r="K15043" t="s">
        <v>26564</v>
      </c>
      <c r="M15043" t="s">
        <v>17861</v>
      </c>
      <c r="N15043" t="str">
        <f>"3/26/2021 3:01:00 PM"</f>
        <v>3/26/2021 3:01:00 PM</v>
      </c>
      <c r="O15043" t="s">
        <v>45898</v>
      </c>
      <c r="T15043" t="s">
        <v>45899</v>
      </c>
    </row>
    <row r="15044" spans="1:20" x14ac:dyDescent="0.25">
      <c r="A15044" t="str">
        <f>"3042906"</f>
        <v>3042906</v>
      </c>
      <c r="B15044" t="s">
        <v>45902</v>
      </c>
      <c r="C15044" t="str">
        <f>"8315314"</f>
        <v>8315314</v>
      </c>
      <c r="D15044" t="s">
        <v>45903</v>
      </c>
      <c r="F15044" t="s">
        <v>45904</v>
      </c>
      <c r="I15044" t="s">
        <v>45905</v>
      </c>
      <c r="J15044" t="s">
        <v>12725</v>
      </c>
      <c r="K15044" t="s">
        <v>45906</v>
      </c>
      <c r="M15044" t="s">
        <v>17861</v>
      </c>
      <c r="N15044" t="str">
        <f>"3/26/2021 10:45:00 AM"</f>
        <v>3/26/2021 10:45:00 AM</v>
      </c>
      <c r="O15044" t="s">
        <v>45903</v>
      </c>
    </row>
    <row r="15045" spans="1:20" x14ac:dyDescent="0.25">
      <c r="A15045" t="str">
        <f>"3047878"</f>
        <v>3047878</v>
      </c>
      <c r="B15045" t="s">
        <v>45907</v>
      </c>
      <c r="C15045" t="str">
        <f>"8311157"</f>
        <v>8311157</v>
      </c>
      <c r="D15045" t="s">
        <v>45908</v>
      </c>
      <c r="E15045" t="s">
        <v>45909</v>
      </c>
      <c r="F15045" t="s">
        <v>45910</v>
      </c>
      <c r="I15045" t="s">
        <v>184</v>
      </c>
      <c r="J15045" t="s">
        <v>30</v>
      </c>
      <c r="K15045" t="str">
        <f>"27006"</f>
        <v>27006</v>
      </c>
      <c r="M15045" t="s">
        <v>18470</v>
      </c>
      <c r="N15045" t="str">
        <f>"3/29/2021 9:59:00 AM"</f>
        <v>3/29/2021 9:59:00 AM</v>
      </c>
      <c r="O15045" t="s">
        <v>45908</v>
      </c>
      <c r="T15045" t="s">
        <v>45909</v>
      </c>
    </row>
    <row r="15046" spans="1:20" x14ac:dyDescent="0.25">
      <c r="A15046" t="str">
        <f>"3050013"</f>
        <v>3050013</v>
      </c>
      <c r="B15046" t="s">
        <v>45911</v>
      </c>
      <c r="C15046" t="str">
        <f>"8313441"</f>
        <v>8313441</v>
      </c>
      <c r="D15046" t="s">
        <v>45912</v>
      </c>
      <c r="F15046" t="s">
        <v>45913</v>
      </c>
      <c r="I15046" t="s">
        <v>29</v>
      </c>
      <c r="J15046" t="s">
        <v>30</v>
      </c>
      <c r="K15046" t="str">
        <f>"27028"</f>
        <v>27028</v>
      </c>
      <c r="M15046" t="s">
        <v>18479</v>
      </c>
      <c r="N15046" t="str">
        <f>"3/29/2021 10:58:00 AM"</f>
        <v>3/29/2021 10:58:00 AM</v>
      </c>
      <c r="O15046" t="s">
        <v>45912</v>
      </c>
    </row>
    <row r="15047" spans="1:20" x14ac:dyDescent="0.25">
      <c r="A15047" t="str">
        <f>"3062475"</f>
        <v>3062475</v>
      </c>
      <c r="B15047" t="s">
        <v>45914</v>
      </c>
      <c r="C15047" t="str">
        <f>"8315315"</f>
        <v>8315315</v>
      </c>
      <c r="D15047" t="s">
        <v>45915</v>
      </c>
      <c r="F15047" t="s">
        <v>45916</v>
      </c>
      <c r="I15047" t="s">
        <v>2071</v>
      </c>
      <c r="J15047" t="s">
        <v>30</v>
      </c>
      <c r="K15047" t="s">
        <v>35875</v>
      </c>
      <c r="M15047" t="s">
        <v>17861</v>
      </c>
      <c r="N15047" t="str">
        <f>"3/26/2021 10:49:00 AM"</f>
        <v>3/26/2021 10:49:00 AM</v>
      </c>
      <c r="O15047" t="s">
        <v>45915</v>
      </c>
    </row>
    <row r="15048" spans="1:20" x14ac:dyDescent="0.25">
      <c r="A15048" t="str">
        <f>"3048856"</f>
        <v>3048856</v>
      </c>
      <c r="B15048" t="s">
        <v>45917</v>
      </c>
      <c r="C15048" t="str">
        <f>"8315318"</f>
        <v>8315318</v>
      </c>
      <c r="D15048" t="s">
        <v>45918</v>
      </c>
      <c r="E15048" t="s">
        <v>45919</v>
      </c>
      <c r="F15048" t="s">
        <v>45920</v>
      </c>
      <c r="I15048" t="s">
        <v>29</v>
      </c>
      <c r="J15048" t="s">
        <v>30</v>
      </c>
      <c r="K15048" t="str">
        <f>"27028"</f>
        <v>27028</v>
      </c>
      <c r="M15048" t="s">
        <v>17861</v>
      </c>
      <c r="N15048" t="str">
        <f>"3/26/2021 11:17:00 AM"</f>
        <v>3/26/2021 11:17:00 AM</v>
      </c>
      <c r="O15048" t="s">
        <v>45918</v>
      </c>
      <c r="T15048" t="s">
        <v>45919</v>
      </c>
    </row>
    <row r="15049" spans="1:20" x14ac:dyDescent="0.25">
      <c r="A15049" t="str">
        <f>"3046458"</f>
        <v>3046458</v>
      </c>
      <c r="B15049" t="s">
        <v>45921</v>
      </c>
      <c r="C15049" t="str">
        <f>"82528326"</f>
        <v>82528326</v>
      </c>
      <c r="D15049" t="s">
        <v>45922</v>
      </c>
      <c r="F15049" t="s">
        <v>9753</v>
      </c>
      <c r="I15049" t="s">
        <v>29</v>
      </c>
      <c r="J15049" t="s">
        <v>30</v>
      </c>
      <c r="K15049" t="s">
        <v>31</v>
      </c>
      <c r="M15049" t="s">
        <v>33845</v>
      </c>
      <c r="N15049" t="str">
        <f>"3/30/2021 2:22:00 PM"</f>
        <v>3/30/2021 2:22:00 PM</v>
      </c>
      <c r="O15049" t="s">
        <v>45922</v>
      </c>
    </row>
    <row r="15050" spans="1:20" x14ac:dyDescent="0.25">
      <c r="A15050" t="str">
        <f>"3045974"</f>
        <v>3045974</v>
      </c>
      <c r="B15050" t="s">
        <v>45923</v>
      </c>
      <c r="C15050" t="str">
        <f>"82528326"</f>
        <v>82528326</v>
      </c>
      <c r="D15050" t="s">
        <v>45922</v>
      </c>
      <c r="F15050" t="s">
        <v>9753</v>
      </c>
      <c r="I15050" t="s">
        <v>29</v>
      </c>
      <c r="J15050" t="s">
        <v>30</v>
      </c>
      <c r="K15050" t="s">
        <v>31</v>
      </c>
      <c r="M15050" t="s">
        <v>33845</v>
      </c>
      <c r="N15050" t="str">
        <f>"3/30/2021 2:22:00 PM"</f>
        <v>3/30/2021 2:22:00 PM</v>
      </c>
      <c r="O15050" t="s">
        <v>45922</v>
      </c>
    </row>
    <row r="15051" spans="1:20" x14ac:dyDescent="0.25">
      <c r="A15051" t="str">
        <f>"3045858"</f>
        <v>3045858</v>
      </c>
      <c r="B15051" t="s">
        <v>45924</v>
      </c>
      <c r="C15051" t="str">
        <f>"82528326"</f>
        <v>82528326</v>
      </c>
      <c r="D15051" t="s">
        <v>45922</v>
      </c>
      <c r="F15051" t="s">
        <v>9753</v>
      </c>
      <c r="I15051" t="s">
        <v>29</v>
      </c>
      <c r="J15051" t="s">
        <v>30</v>
      </c>
      <c r="K15051" t="s">
        <v>31</v>
      </c>
      <c r="M15051" t="s">
        <v>33845</v>
      </c>
      <c r="N15051" t="str">
        <f>"3/30/2021 2:22:00 PM"</f>
        <v>3/30/2021 2:22:00 PM</v>
      </c>
      <c r="O15051" t="s">
        <v>45922</v>
      </c>
    </row>
    <row r="15052" spans="1:20" x14ac:dyDescent="0.25">
      <c r="A15052" t="str">
        <f>"3062233"</f>
        <v>3062233</v>
      </c>
      <c r="B15052" t="s">
        <v>45925</v>
      </c>
      <c r="C15052" t="str">
        <f>"82528326"</f>
        <v>82528326</v>
      </c>
      <c r="D15052" t="s">
        <v>45922</v>
      </c>
      <c r="F15052" t="s">
        <v>9753</v>
      </c>
      <c r="I15052" t="s">
        <v>29</v>
      </c>
      <c r="J15052" t="s">
        <v>30</v>
      </c>
      <c r="K15052" t="s">
        <v>31</v>
      </c>
      <c r="M15052" t="s">
        <v>33845</v>
      </c>
      <c r="N15052" t="str">
        <f>"3/30/2021 2:22:00 PM"</f>
        <v>3/30/2021 2:22:00 PM</v>
      </c>
      <c r="O15052" t="s">
        <v>45922</v>
      </c>
    </row>
    <row r="15053" spans="1:20" x14ac:dyDescent="0.25">
      <c r="A15053" t="str">
        <f>"3059411"</f>
        <v>3059411</v>
      </c>
      <c r="B15053" t="s">
        <v>45926</v>
      </c>
      <c r="C15053" t="str">
        <f>"8315319"</f>
        <v>8315319</v>
      </c>
      <c r="D15053" t="s">
        <v>42607</v>
      </c>
      <c r="E15053" t="s">
        <v>45927</v>
      </c>
      <c r="F15053" t="s">
        <v>42609</v>
      </c>
      <c r="I15053" t="s">
        <v>29</v>
      </c>
      <c r="J15053" t="s">
        <v>30</v>
      </c>
      <c r="K15053" t="s">
        <v>33366</v>
      </c>
      <c r="M15053" t="s">
        <v>17861</v>
      </c>
      <c r="N15053" t="str">
        <f>"3/26/2021 11:21:00 AM"</f>
        <v>3/26/2021 11:21:00 AM</v>
      </c>
      <c r="O15053" t="s">
        <v>42607</v>
      </c>
      <c r="T15053" t="s">
        <v>45927</v>
      </c>
    </row>
    <row r="15054" spans="1:20" x14ac:dyDescent="0.25">
      <c r="A15054" t="str">
        <f>"3050684"</f>
        <v>3050684</v>
      </c>
      <c r="B15054" t="s">
        <v>45928</v>
      </c>
      <c r="C15054" t="str">
        <f>"8315320"</f>
        <v>8315320</v>
      </c>
      <c r="D15054" t="s">
        <v>45929</v>
      </c>
      <c r="E15054" t="s">
        <v>45930</v>
      </c>
      <c r="F15054" t="s">
        <v>45931</v>
      </c>
      <c r="I15054" t="s">
        <v>184</v>
      </c>
      <c r="J15054" t="s">
        <v>30</v>
      </c>
      <c r="K15054" t="s">
        <v>3201</v>
      </c>
      <c r="M15054" t="s">
        <v>17861</v>
      </c>
      <c r="N15054" t="str">
        <f>"3/26/2021 11:24:00 AM"</f>
        <v>3/26/2021 11:24:00 AM</v>
      </c>
      <c r="O15054" t="s">
        <v>45929</v>
      </c>
      <c r="T15054" t="s">
        <v>45930</v>
      </c>
    </row>
    <row r="15055" spans="1:20" x14ac:dyDescent="0.25">
      <c r="A15055" t="str">
        <f>"3039847"</f>
        <v>3039847</v>
      </c>
      <c r="B15055" t="s">
        <v>45932</v>
      </c>
      <c r="C15055" t="str">
        <f>"8315323"</f>
        <v>8315323</v>
      </c>
      <c r="D15055" t="s">
        <v>45933</v>
      </c>
      <c r="E15055" t="s">
        <v>45934</v>
      </c>
      <c r="F15055" t="s">
        <v>1533</v>
      </c>
      <c r="I15055" t="s">
        <v>184</v>
      </c>
      <c r="J15055" t="s">
        <v>30</v>
      </c>
      <c r="K15055" t="s">
        <v>45935</v>
      </c>
      <c r="M15055" t="s">
        <v>17861</v>
      </c>
      <c r="N15055" t="str">
        <f>"3/26/2021 1:20:00 PM"</f>
        <v>3/26/2021 1:20:00 PM</v>
      </c>
      <c r="O15055" t="s">
        <v>45933</v>
      </c>
      <c r="T15055" t="s">
        <v>45934</v>
      </c>
    </row>
    <row r="15056" spans="1:20" x14ac:dyDescent="0.25">
      <c r="A15056" t="str">
        <f>"3039449"</f>
        <v>3039449</v>
      </c>
      <c r="B15056" t="s">
        <v>45936</v>
      </c>
      <c r="C15056" t="str">
        <f>"8315323"</f>
        <v>8315323</v>
      </c>
      <c r="D15056" t="s">
        <v>45933</v>
      </c>
      <c r="E15056" t="s">
        <v>45934</v>
      </c>
      <c r="F15056" t="s">
        <v>1533</v>
      </c>
      <c r="I15056" t="s">
        <v>184</v>
      </c>
      <c r="J15056" t="s">
        <v>30</v>
      </c>
      <c r="K15056" t="s">
        <v>45935</v>
      </c>
      <c r="M15056" t="s">
        <v>17861</v>
      </c>
      <c r="N15056" t="str">
        <f>"3/26/2021 1:20:00 PM"</f>
        <v>3/26/2021 1:20:00 PM</v>
      </c>
      <c r="O15056" t="s">
        <v>45933</v>
      </c>
      <c r="T15056" t="s">
        <v>45934</v>
      </c>
    </row>
    <row r="15057" spans="1:20" x14ac:dyDescent="0.25">
      <c r="A15057" t="str">
        <f>"3048844"</f>
        <v>3048844</v>
      </c>
      <c r="B15057" t="s">
        <v>45937</v>
      </c>
      <c r="C15057" t="str">
        <f>"8315324"</f>
        <v>8315324</v>
      </c>
      <c r="D15057" t="s">
        <v>45938</v>
      </c>
      <c r="F15057" t="s">
        <v>45939</v>
      </c>
      <c r="I15057" t="s">
        <v>29</v>
      </c>
      <c r="J15057" t="s">
        <v>30</v>
      </c>
      <c r="K15057" t="s">
        <v>45940</v>
      </c>
      <c r="M15057" t="s">
        <v>17861</v>
      </c>
      <c r="N15057" t="str">
        <f>"3/26/2021 1:48:00 PM"</f>
        <v>3/26/2021 1:48:00 PM</v>
      </c>
      <c r="O15057" t="s">
        <v>45938</v>
      </c>
    </row>
    <row r="15058" spans="1:20" x14ac:dyDescent="0.25">
      <c r="A15058" t="str">
        <f>"3044287"</f>
        <v>3044287</v>
      </c>
      <c r="B15058" t="s">
        <v>45941</v>
      </c>
      <c r="C15058" t="str">
        <f>"8315293"</f>
        <v>8315293</v>
      </c>
      <c r="D15058" t="s">
        <v>45942</v>
      </c>
      <c r="F15058" t="s">
        <v>45943</v>
      </c>
      <c r="I15058" t="s">
        <v>184</v>
      </c>
      <c r="J15058" t="s">
        <v>30</v>
      </c>
      <c r="K15058" t="s">
        <v>38431</v>
      </c>
      <c r="M15058" t="s">
        <v>17861</v>
      </c>
      <c r="N15058" t="str">
        <f>"3/25/2021 2:14:00 PM"</f>
        <v>3/25/2021 2:14:00 PM</v>
      </c>
      <c r="O15058" t="s">
        <v>45942</v>
      </c>
    </row>
    <row r="15059" spans="1:20" x14ac:dyDescent="0.25">
      <c r="A15059" t="str">
        <f>"3078447"</f>
        <v>3078447</v>
      </c>
      <c r="B15059" t="s">
        <v>45944</v>
      </c>
      <c r="C15059" t="str">
        <f>"8315342"</f>
        <v>8315342</v>
      </c>
      <c r="D15059" t="s">
        <v>45945</v>
      </c>
      <c r="F15059" t="s">
        <v>45946</v>
      </c>
      <c r="I15059" t="s">
        <v>29</v>
      </c>
      <c r="J15059" t="s">
        <v>30</v>
      </c>
      <c r="K15059" t="s">
        <v>45947</v>
      </c>
      <c r="M15059" t="s">
        <v>17861</v>
      </c>
      <c r="N15059" t="str">
        <f>"4/1/2021 3:51:00 PM"</f>
        <v>4/1/2021 3:51:00 PM</v>
      </c>
      <c r="O15059" t="s">
        <v>45945</v>
      </c>
    </row>
    <row r="15060" spans="1:20" x14ac:dyDescent="0.25">
      <c r="A15060" t="str">
        <f>"3078448"</f>
        <v>3078448</v>
      </c>
      <c r="B15060" t="s">
        <v>45948</v>
      </c>
      <c r="C15060" t="str">
        <f>"8315342"</f>
        <v>8315342</v>
      </c>
      <c r="D15060" t="s">
        <v>45945</v>
      </c>
      <c r="F15060" t="s">
        <v>45946</v>
      </c>
      <c r="I15060" t="s">
        <v>29</v>
      </c>
      <c r="J15060" t="s">
        <v>30</v>
      </c>
      <c r="K15060" t="s">
        <v>45947</v>
      </c>
      <c r="M15060" t="s">
        <v>17861</v>
      </c>
      <c r="N15060" t="str">
        <f>"4/1/2021 3:51:00 PM"</f>
        <v>4/1/2021 3:51:00 PM</v>
      </c>
      <c r="O15060" t="s">
        <v>45945</v>
      </c>
    </row>
    <row r="15061" spans="1:20" x14ac:dyDescent="0.25">
      <c r="A15061" t="str">
        <f>"3078456"</f>
        <v>3078456</v>
      </c>
      <c r="B15061" t="s">
        <v>45949</v>
      </c>
      <c r="C15061" t="str">
        <f>"8315342"</f>
        <v>8315342</v>
      </c>
      <c r="D15061" t="s">
        <v>45945</v>
      </c>
      <c r="F15061" t="s">
        <v>45946</v>
      </c>
      <c r="I15061" t="s">
        <v>29</v>
      </c>
      <c r="J15061" t="s">
        <v>30</v>
      </c>
      <c r="K15061" t="s">
        <v>45947</v>
      </c>
      <c r="M15061" t="s">
        <v>17861</v>
      </c>
      <c r="N15061" t="str">
        <f>"4/1/2021 3:51:00 PM"</f>
        <v>4/1/2021 3:51:00 PM</v>
      </c>
      <c r="O15061" t="s">
        <v>45945</v>
      </c>
    </row>
    <row r="15062" spans="1:20" x14ac:dyDescent="0.25">
      <c r="A15062" t="str">
        <f>"3053495"</f>
        <v>3053495</v>
      </c>
      <c r="B15062" t="s">
        <v>45950</v>
      </c>
      <c r="C15062" t="str">
        <f>"8315345"</f>
        <v>8315345</v>
      </c>
      <c r="D15062" t="s">
        <v>45951</v>
      </c>
      <c r="F15062" t="s">
        <v>45952</v>
      </c>
      <c r="I15062" t="s">
        <v>184</v>
      </c>
      <c r="J15062" t="s">
        <v>30</v>
      </c>
      <c r="K15062" t="s">
        <v>15695</v>
      </c>
      <c r="M15062" t="s">
        <v>17861</v>
      </c>
      <c r="N15062" t="str">
        <f>"4/1/2021 4:16:00 PM"</f>
        <v>4/1/2021 4:16:00 PM</v>
      </c>
      <c r="O15062" t="s">
        <v>45951</v>
      </c>
    </row>
    <row r="15063" spans="1:20" x14ac:dyDescent="0.25">
      <c r="A15063" t="str">
        <f>"3061370"</f>
        <v>3061370</v>
      </c>
      <c r="B15063" t="s">
        <v>45953</v>
      </c>
      <c r="C15063" t="str">
        <f>"8315294"</f>
        <v>8315294</v>
      </c>
      <c r="D15063" t="s">
        <v>45954</v>
      </c>
      <c r="E15063" t="s">
        <v>45955</v>
      </c>
      <c r="F15063" t="s">
        <v>45956</v>
      </c>
      <c r="I15063" t="s">
        <v>184</v>
      </c>
      <c r="J15063" t="s">
        <v>30</v>
      </c>
      <c r="K15063" t="s">
        <v>20272</v>
      </c>
      <c r="M15063" t="s">
        <v>17861</v>
      </c>
      <c r="N15063" t="str">
        <f>"3/25/2021 2:22:00 PM"</f>
        <v>3/25/2021 2:22:00 PM</v>
      </c>
      <c r="O15063" t="s">
        <v>45954</v>
      </c>
      <c r="T15063" t="s">
        <v>45955</v>
      </c>
    </row>
    <row r="15064" spans="1:20" x14ac:dyDescent="0.25">
      <c r="A15064" t="str">
        <f>"3044415"</f>
        <v>3044415</v>
      </c>
      <c r="B15064" t="s">
        <v>45957</v>
      </c>
      <c r="C15064" t="str">
        <f>"8315295"</f>
        <v>8315295</v>
      </c>
      <c r="D15064" t="s">
        <v>45958</v>
      </c>
      <c r="E15064" t="s">
        <v>45959</v>
      </c>
      <c r="F15064" t="s">
        <v>45960</v>
      </c>
      <c r="I15064" t="s">
        <v>184</v>
      </c>
      <c r="J15064" t="s">
        <v>30</v>
      </c>
      <c r="K15064" t="s">
        <v>5557</v>
      </c>
      <c r="M15064" t="s">
        <v>17861</v>
      </c>
      <c r="N15064" t="str">
        <f>"3/25/2021 2:29:00 PM"</f>
        <v>3/25/2021 2:29:00 PM</v>
      </c>
      <c r="O15064" t="s">
        <v>45958</v>
      </c>
      <c r="T15064" t="s">
        <v>45959</v>
      </c>
    </row>
    <row r="15065" spans="1:20" x14ac:dyDescent="0.25">
      <c r="A15065" t="str">
        <f>"3060711"</f>
        <v>3060711</v>
      </c>
      <c r="B15065" t="s">
        <v>45961</v>
      </c>
      <c r="C15065" t="str">
        <f>"8315296"</f>
        <v>8315296</v>
      </c>
      <c r="D15065" t="s">
        <v>45962</v>
      </c>
      <c r="E15065" t="s">
        <v>45963</v>
      </c>
      <c r="F15065" t="s">
        <v>45964</v>
      </c>
      <c r="I15065" t="s">
        <v>2071</v>
      </c>
      <c r="J15065" t="s">
        <v>30</v>
      </c>
      <c r="K15065" t="s">
        <v>4269</v>
      </c>
      <c r="M15065" t="s">
        <v>17861</v>
      </c>
      <c r="N15065" t="str">
        <f>"3/25/2021 2:39:00 PM"</f>
        <v>3/25/2021 2:39:00 PM</v>
      </c>
      <c r="O15065" t="s">
        <v>45962</v>
      </c>
      <c r="T15065" t="s">
        <v>45963</v>
      </c>
    </row>
    <row r="15066" spans="1:20" x14ac:dyDescent="0.25">
      <c r="A15066" t="str">
        <f>"3078176"</f>
        <v>3078176</v>
      </c>
      <c r="B15066" t="s">
        <v>45965</v>
      </c>
      <c r="C15066" t="str">
        <f>"8315351"</f>
        <v>8315351</v>
      </c>
      <c r="D15066" t="s">
        <v>45966</v>
      </c>
      <c r="F15066" t="s">
        <v>45967</v>
      </c>
      <c r="I15066" t="s">
        <v>29</v>
      </c>
      <c r="J15066" t="s">
        <v>30</v>
      </c>
      <c r="K15066" t="s">
        <v>45968</v>
      </c>
      <c r="M15066" t="s">
        <v>17861</v>
      </c>
      <c r="N15066" t="str">
        <f>"4/5/2021 12:58:00 PM"</f>
        <v>4/5/2021 12:58:00 PM</v>
      </c>
      <c r="O15066" t="s">
        <v>45966</v>
      </c>
    </row>
    <row r="15067" spans="1:20" x14ac:dyDescent="0.25">
      <c r="A15067" t="str">
        <f>"3043412"</f>
        <v>3043412</v>
      </c>
      <c r="B15067" t="s">
        <v>45969</v>
      </c>
      <c r="C15067" t="str">
        <f>"8315353"</f>
        <v>8315353</v>
      </c>
      <c r="D15067" t="str">
        <f>"MURPHY BARRY GENE/MARY LOU TRUSEES"</f>
        <v>MURPHY BARRY GENE/MARY LOU TRUSEES</v>
      </c>
      <c r="E15067" t="str">
        <f>"MURPHY BARRY G/MARY L LIV TRST"</f>
        <v>MURPHY BARRY G/MARY L LIV TRST</v>
      </c>
      <c r="F15067" t="s">
        <v>45970</v>
      </c>
      <c r="I15067" t="s">
        <v>17921</v>
      </c>
      <c r="J15067" t="s">
        <v>30</v>
      </c>
      <c r="K15067" t="str">
        <f>"27028"</f>
        <v>27028</v>
      </c>
      <c r="M15067" t="s">
        <v>17861</v>
      </c>
      <c r="N15067" t="str">
        <f>"4/5/2021 1:42:00 PM"</f>
        <v>4/5/2021 1:42:00 PM</v>
      </c>
      <c r="O15067" t="str">
        <f>"MURPHY BARRY GENE/MARY LOU TRUSEES"</f>
        <v>MURPHY BARRY GENE/MARY LOU TRUSEES</v>
      </c>
      <c r="T15067" t="str">
        <f>"MURPHY BARRY G/MARY L LIV TRST"</f>
        <v>MURPHY BARRY G/MARY L LIV TRST</v>
      </c>
    </row>
    <row r="15068" spans="1:20" x14ac:dyDescent="0.25">
      <c r="A15068" t="str">
        <f>"3046392"</f>
        <v>3046392</v>
      </c>
      <c r="B15068" t="s">
        <v>45971</v>
      </c>
      <c r="C15068" t="str">
        <f>"8315355"</f>
        <v>8315355</v>
      </c>
      <c r="D15068" t="s">
        <v>45972</v>
      </c>
      <c r="E15068" t="s">
        <v>45973</v>
      </c>
      <c r="F15068" t="s">
        <v>45974</v>
      </c>
      <c r="I15068" t="s">
        <v>17921</v>
      </c>
      <c r="J15068" t="s">
        <v>30</v>
      </c>
      <c r="K15068" t="str">
        <f>"27028"</f>
        <v>27028</v>
      </c>
      <c r="M15068" t="s">
        <v>17861</v>
      </c>
      <c r="N15068" t="str">
        <f>"4/5/2021 2:03:00 PM"</f>
        <v>4/5/2021 2:03:00 PM</v>
      </c>
      <c r="O15068" t="s">
        <v>45972</v>
      </c>
      <c r="T15068" t="s">
        <v>45973</v>
      </c>
    </row>
    <row r="15069" spans="1:20" x14ac:dyDescent="0.25">
      <c r="A15069" t="str">
        <f>"3061772"</f>
        <v>3061772</v>
      </c>
      <c r="B15069" t="s">
        <v>45975</v>
      </c>
      <c r="C15069" t="str">
        <f>"8315359"</f>
        <v>8315359</v>
      </c>
      <c r="D15069" t="s">
        <v>45976</v>
      </c>
      <c r="F15069" t="s">
        <v>45977</v>
      </c>
      <c r="I15069" t="s">
        <v>2071</v>
      </c>
      <c r="J15069" t="s">
        <v>30</v>
      </c>
      <c r="K15069" t="s">
        <v>3960</v>
      </c>
      <c r="M15069" t="s">
        <v>17861</v>
      </c>
      <c r="N15069" t="str">
        <f>"4/5/2021 2:43:00 PM"</f>
        <v>4/5/2021 2:43:00 PM</v>
      </c>
      <c r="O15069" t="s">
        <v>45976</v>
      </c>
    </row>
    <row r="15070" spans="1:20" x14ac:dyDescent="0.25">
      <c r="A15070" t="str">
        <f>"3038911"</f>
        <v>3038911</v>
      </c>
      <c r="B15070" t="s">
        <v>45978</v>
      </c>
      <c r="C15070" t="str">
        <f>"8315297"</f>
        <v>8315297</v>
      </c>
      <c r="D15070" t="s">
        <v>45979</v>
      </c>
      <c r="E15070" t="s">
        <v>45980</v>
      </c>
      <c r="F15070" t="s">
        <v>45981</v>
      </c>
      <c r="I15070" t="s">
        <v>29</v>
      </c>
      <c r="J15070" t="s">
        <v>30</v>
      </c>
      <c r="K15070" t="s">
        <v>31886</v>
      </c>
      <c r="M15070" t="s">
        <v>17861</v>
      </c>
      <c r="N15070" t="str">
        <f>"3/25/2021 3:00:00 PM"</f>
        <v>3/25/2021 3:00:00 PM</v>
      </c>
      <c r="O15070" t="s">
        <v>45979</v>
      </c>
      <c r="T15070" t="s">
        <v>45980</v>
      </c>
    </row>
    <row r="15071" spans="1:20" x14ac:dyDescent="0.25">
      <c r="A15071" t="str">
        <f>"3047841"</f>
        <v>3047841</v>
      </c>
      <c r="B15071" t="s">
        <v>45982</v>
      </c>
      <c r="C15071" t="str">
        <f>"52537000"</f>
        <v>52537000</v>
      </c>
      <c r="D15071" t="s">
        <v>45983</v>
      </c>
      <c r="E15071" t="s">
        <v>45984</v>
      </c>
      <c r="F15071" t="s">
        <v>45985</v>
      </c>
      <c r="I15071" t="s">
        <v>184</v>
      </c>
      <c r="J15071" t="s">
        <v>30</v>
      </c>
      <c r="K15071" t="s">
        <v>10705</v>
      </c>
      <c r="M15071" t="s">
        <v>25733</v>
      </c>
      <c r="N15071" t="str">
        <f>"4/6/2021 9:01:00 AM"</f>
        <v>4/6/2021 9:01:00 AM</v>
      </c>
      <c r="O15071" t="s">
        <v>45983</v>
      </c>
      <c r="T15071" t="s">
        <v>45984</v>
      </c>
    </row>
    <row r="15072" spans="1:20" x14ac:dyDescent="0.25">
      <c r="A15072" t="str">
        <f>"3052615"</f>
        <v>3052615</v>
      </c>
      <c r="B15072" t="s">
        <v>45986</v>
      </c>
      <c r="C15072" t="str">
        <f>"40085200"</f>
        <v>40085200</v>
      </c>
      <c r="D15072" t="s">
        <v>45987</v>
      </c>
      <c r="F15072" t="s">
        <v>45988</v>
      </c>
      <c r="I15072" t="s">
        <v>29</v>
      </c>
      <c r="J15072" t="s">
        <v>30</v>
      </c>
      <c r="K15072" t="s">
        <v>31</v>
      </c>
      <c r="M15072" t="s">
        <v>25733</v>
      </c>
      <c r="N15072" t="str">
        <f>"4/6/2021 9:07:00 AM"</f>
        <v>4/6/2021 9:07:00 AM</v>
      </c>
      <c r="O15072" t="s">
        <v>45987</v>
      </c>
    </row>
    <row r="15073" spans="1:20" x14ac:dyDescent="0.25">
      <c r="A15073" t="str">
        <f>"3058494"</f>
        <v>3058494</v>
      </c>
      <c r="B15073" t="s">
        <v>45989</v>
      </c>
      <c r="C15073" t="str">
        <f>"69040000"</f>
        <v>69040000</v>
      </c>
      <c r="D15073" t="s">
        <v>45990</v>
      </c>
      <c r="F15073" t="s">
        <v>45991</v>
      </c>
      <c r="I15073" t="s">
        <v>29</v>
      </c>
      <c r="J15073" t="s">
        <v>30</v>
      </c>
      <c r="K15073" t="s">
        <v>31</v>
      </c>
      <c r="M15073" t="s">
        <v>25733</v>
      </c>
      <c r="N15073" t="str">
        <f>"4/6/2021 9:09:00 AM"</f>
        <v>4/6/2021 9:09:00 AM</v>
      </c>
      <c r="O15073" t="s">
        <v>45990</v>
      </c>
    </row>
    <row r="15074" spans="1:20" x14ac:dyDescent="0.25">
      <c r="A15074" t="str">
        <f>"3061200"</f>
        <v>3061200</v>
      </c>
      <c r="B15074" t="s">
        <v>45992</v>
      </c>
      <c r="C15074" t="str">
        <f>"8315363"</f>
        <v>8315363</v>
      </c>
      <c r="D15074" t="s">
        <v>45993</v>
      </c>
      <c r="F15074" t="s">
        <v>45994</v>
      </c>
      <c r="I15074" t="s">
        <v>2071</v>
      </c>
      <c r="J15074" t="s">
        <v>30</v>
      </c>
      <c r="K15074" t="str">
        <f>"27006"</f>
        <v>27006</v>
      </c>
      <c r="M15074" t="s">
        <v>17861</v>
      </c>
      <c r="N15074" t="str">
        <f>"4/6/2021 1:59:00 PM"</f>
        <v>4/6/2021 1:59:00 PM</v>
      </c>
      <c r="O15074" t="s">
        <v>45993</v>
      </c>
    </row>
    <row r="15075" spans="1:20" x14ac:dyDescent="0.25">
      <c r="A15075" t="str">
        <f>"3045711"</f>
        <v>3045711</v>
      </c>
      <c r="B15075" t="s">
        <v>45995</v>
      </c>
      <c r="C15075" t="str">
        <f>"8315299"</f>
        <v>8315299</v>
      </c>
      <c r="D15075" t="s">
        <v>45996</v>
      </c>
      <c r="E15075" t="s">
        <v>45997</v>
      </c>
      <c r="F15075" t="s">
        <v>45998</v>
      </c>
      <c r="I15075" t="s">
        <v>29</v>
      </c>
      <c r="J15075" t="s">
        <v>30</v>
      </c>
      <c r="K15075" t="s">
        <v>18998</v>
      </c>
      <c r="M15075" t="s">
        <v>17861</v>
      </c>
      <c r="N15075" t="str">
        <f>"3/25/2021 3:20:00 PM"</f>
        <v>3/25/2021 3:20:00 PM</v>
      </c>
      <c r="O15075" t="s">
        <v>45996</v>
      </c>
      <c r="T15075" t="s">
        <v>45997</v>
      </c>
    </row>
    <row r="15076" spans="1:20" x14ac:dyDescent="0.25">
      <c r="A15076" t="str">
        <f>"3059603"</f>
        <v>3059603</v>
      </c>
      <c r="B15076" t="s">
        <v>45999</v>
      </c>
      <c r="C15076" t="str">
        <f>"8315369"</f>
        <v>8315369</v>
      </c>
      <c r="D15076" t="s">
        <v>46000</v>
      </c>
      <c r="E15076" t="s">
        <v>46001</v>
      </c>
      <c r="F15076" t="s">
        <v>46002</v>
      </c>
      <c r="I15076" t="s">
        <v>29</v>
      </c>
      <c r="J15076" t="s">
        <v>30</v>
      </c>
      <c r="K15076" t="s">
        <v>13437</v>
      </c>
      <c r="M15076" t="s">
        <v>17861</v>
      </c>
      <c r="N15076" t="str">
        <f>"4/7/2021 1:35:00 PM"</f>
        <v>4/7/2021 1:35:00 PM</v>
      </c>
      <c r="O15076" t="s">
        <v>46000</v>
      </c>
      <c r="T15076" t="s">
        <v>46001</v>
      </c>
    </row>
    <row r="15077" spans="1:20" x14ac:dyDescent="0.25">
      <c r="A15077" t="str">
        <f>"3062440"</f>
        <v>3062440</v>
      </c>
      <c r="B15077" t="s">
        <v>46003</v>
      </c>
      <c r="C15077" t="str">
        <f>"8315371"</f>
        <v>8315371</v>
      </c>
      <c r="D15077" t="s">
        <v>46004</v>
      </c>
      <c r="F15077" t="s">
        <v>46005</v>
      </c>
      <c r="I15077" t="s">
        <v>2071</v>
      </c>
      <c r="J15077" t="s">
        <v>30</v>
      </c>
      <c r="K15077" t="str">
        <f>"27006"</f>
        <v>27006</v>
      </c>
      <c r="M15077" t="s">
        <v>17861</v>
      </c>
      <c r="N15077" t="str">
        <f>"4/7/2021 2:01:00 PM"</f>
        <v>4/7/2021 2:01:00 PM</v>
      </c>
      <c r="O15077" t="s">
        <v>46004</v>
      </c>
    </row>
    <row r="15078" spans="1:20" x14ac:dyDescent="0.25">
      <c r="A15078" t="str">
        <f>"3040830"</f>
        <v>3040830</v>
      </c>
      <c r="B15078" t="s">
        <v>46006</v>
      </c>
      <c r="C15078" t="str">
        <f>"8315372"</f>
        <v>8315372</v>
      </c>
      <c r="D15078" t="s">
        <v>46007</v>
      </c>
      <c r="F15078" t="s">
        <v>46008</v>
      </c>
      <c r="I15078" t="s">
        <v>184</v>
      </c>
      <c r="J15078" t="s">
        <v>30</v>
      </c>
      <c r="K15078" t="s">
        <v>46009</v>
      </c>
      <c r="M15078" t="s">
        <v>17861</v>
      </c>
      <c r="N15078" t="str">
        <f>"4/7/2021 2:03:00 PM"</f>
        <v>4/7/2021 2:03:00 PM</v>
      </c>
      <c r="O15078" t="s">
        <v>46007</v>
      </c>
    </row>
    <row r="15079" spans="1:20" x14ac:dyDescent="0.25">
      <c r="A15079" t="str">
        <f>"3057562"</f>
        <v>3057562</v>
      </c>
      <c r="B15079" t="s">
        <v>46010</v>
      </c>
      <c r="C15079" t="str">
        <f>"8315300"</f>
        <v>8315300</v>
      </c>
      <c r="D15079" t="s">
        <v>14774</v>
      </c>
      <c r="E15079" t="s">
        <v>46011</v>
      </c>
      <c r="F15079" t="s">
        <v>46012</v>
      </c>
      <c r="I15079" t="s">
        <v>29</v>
      </c>
      <c r="J15079" t="s">
        <v>30</v>
      </c>
      <c r="K15079" t="s">
        <v>13701</v>
      </c>
      <c r="M15079" t="s">
        <v>17861</v>
      </c>
      <c r="N15079" t="str">
        <f>"3/25/2021 3:24:00 PM"</f>
        <v>3/25/2021 3:24:00 PM</v>
      </c>
      <c r="O15079" t="s">
        <v>14774</v>
      </c>
      <c r="T15079" t="s">
        <v>46011</v>
      </c>
    </row>
    <row r="15080" spans="1:20" x14ac:dyDescent="0.25">
      <c r="A15080" t="str">
        <f>"3042758"</f>
        <v>3042758</v>
      </c>
      <c r="B15080" t="s">
        <v>46013</v>
      </c>
      <c r="C15080" t="str">
        <f>"8303020"</f>
        <v>8303020</v>
      </c>
      <c r="D15080" t="s">
        <v>46014</v>
      </c>
      <c r="F15080" t="s">
        <v>46015</v>
      </c>
      <c r="I15080" t="s">
        <v>29</v>
      </c>
      <c r="J15080" t="s">
        <v>30</v>
      </c>
      <c r="K15080" t="str">
        <f>"27028"</f>
        <v>27028</v>
      </c>
      <c r="M15080" t="s">
        <v>36935</v>
      </c>
      <c r="N15080" t="str">
        <f>"4/7/2021 2:39:00 PM"</f>
        <v>4/7/2021 2:39:00 PM</v>
      </c>
      <c r="O15080" t="s">
        <v>46014</v>
      </c>
    </row>
    <row r="15081" spans="1:20" x14ac:dyDescent="0.25">
      <c r="A15081" t="str">
        <f>"3049200"</f>
        <v>3049200</v>
      </c>
      <c r="B15081" t="s">
        <v>46016</v>
      </c>
      <c r="C15081" t="str">
        <f>"8315375"</f>
        <v>8315375</v>
      </c>
      <c r="D15081" t="s">
        <v>46017</v>
      </c>
      <c r="F15081" t="s">
        <v>46018</v>
      </c>
      <c r="I15081" t="s">
        <v>1149</v>
      </c>
      <c r="J15081" t="s">
        <v>30</v>
      </c>
      <c r="K15081" t="str">
        <f>"28634"</f>
        <v>28634</v>
      </c>
      <c r="M15081" t="s">
        <v>17861</v>
      </c>
      <c r="N15081" t="str">
        <f>"4/7/2021 3:06:00 PM"</f>
        <v>4/7/2021 3:06:00 PM</v>
      </c>
      <c r="O15081" t="s">
        <v>46017</v>
      </c>
    </row>
    <row r="15082" spans="1:20" x14ac:dyDescent="0.25">
      <c r="A15082" t="str">
        <f>"3061004"</f>
        <v>3061004</v>
      </c>
      <c r="B15082" t="s">
        <v>46019</v>
      </c>
      <c r="C15082" t="str">
        <f>"8307736"</f>
        <v>8307736</v>
      </c>
      <c r="D15082" t="str">
        <f>"PINKHAM RICHARD COLLINS/JOAN FORTIER JOINT REV TR"</f>
        <v>PINKHAM RICHARD COLLINS/JOAN FORTIER JOINT REV TR</v>
      </c>
      <c r="E15082" t="s">
        <v>46020</v>
      </c>
      <c r="F15082" t="s">
        <v>46021</v>
      </c>
      <c r="I15082" t="s">
        <v>2071</v>
      </c>
      <c r="J15082" t="s">
        <v>30</v>
      </c>
      <c r="K15082" t="str">
        <f>"27006"</f>
        <v>27006</v>
      </c>
      <c r="M15082" t="s">
        <v>33845</v>
      </c>
      <c r="N15082" t="str">
        <f>"4/7/2021 3:50:00 PM"</f>
        <v>4/7/2021 3:50:00 PM</v>
      </c>
      <c r="O15082" t="str">
        <f>"PINKHAM RICHARD COLLINS/JOAN FORTIER JOINT REV TR"</f>
        <v>PINKHAM RICHARD COLLINS/JOAN FORTIER JOINT REV TR</v>
      </c>
      <c r="T15082" t="s">
        <v>46020</v>
      </c>
    </row>
    <row r="15083" spans="1:20" x14ac:dyDescent="0.25">
      <c r="A15083" t="str">
        <f>"3050435"</f>
        <v>3050435</v>
      </c>
      <c r="B15083" t="s">
        <v>46022</v>
      </c>
      <c r="C15083" t="str">
        <f>"8315325"</f>
        <v>8315325</v>
      </c>
      <c r="D15083" t="s">
        <v>46023</v>
      </c>
      <c r="E15083" t="s">
        <v>46024</v>
      </c>
      <c r="F15083" t="s">
        <v>46025</v>
      </c>
      <c r="I15083" t="s">
        <v>184</v>
      </c>
      <c r="J15083" t="s">
        <v>30</v>
      </c>
      <c r="K15083" t="s">
        <v>14028</v>
      </c>
      <c r="M15083" t="s">
        <v>17861</v>
      </c>
      <c r="N15083" t="str">
        <f>"3/26/2021 1:53:00 PM"</f>
        <v>3/26/2021 1:53:00 PM</v>
      </c>
      <c r="O15083" t="s">
        <v>46023</v>
      </c>
      <c r="T15083" t="s">
        <v>46024</v>
      </c>
    </row>
    <row r="15084" spans="1:20" x14ac:dyDescent="0.25">
      <c r="A15084" t="str">
        <f>"3062027"</f>
        <v>3062027</v>
      </c>
      <c r="B15084" t="s">
        <v>46026</v>
      </c>
      <c r="C15084" t="str">
        <f>"8315311"</f>
        <v>8315311</v>
      </c>
      <c r="D15084" t="s">
        <v>46027</v>
      </c>
      <c r="E15084" t="s">
        <v>46028</v>
      </c>
      <c r="F15084" t="s">
        <v>46029</v>
      </c>
      <c r="I15084" t="s">
        <v>29</v>
      </c>
      <c r="J15084" t="s">
        <v>30</v>
      </c>
      <c r="K15084" t="str">
        <f>"27028"</f>
        <v>27028</v>
      </c>
      <c r="M15084" t="s">
        <v>17861</v>
      </c>
      <c r="N15084" t="str">
        <f>"3/26/2021 10:15:00 AM"</f>
        <v>3/26/2021 10:15:00 AM</v>
      </c>
      <c r="O15084" t="s">
        <v>46027</v>
      </c>
      <c r="T15084" t="s">
        <v>46028</v>
      </c>
    </row>
    <row r="15085" spans="1:20" x14ac:dyDescent="0.25">
      <c r="A15085" t="str">
        <f>"3044911"</f>
        <v>3044911</v>
      </c>
      <c r="B15085" t="s">
        <v>46030</v>
      </c>
      <c r="C15085" t="str">
        <f>"8315334"</f>
        <v>8315334</v>
      </c>
      <c r="D15085" t="s">
        <v>46031</v>
      </c>
      <c r="F15085" t="s">
        <v>46032</v>
      </c>
      <c r="I15085" t="s">
        <v>184</v>
      </c>
      <c r="J15085" t="s">
        <v>30</v>
      </c>
      <c r="K15085" t="s">
        <v>6036</v>
      </c>
      <c r="M15085" t="s">
        <v>17861</v>
      </c>
      <c r="N15085" t="str">
        <f>"3/26/2021 3:14:00 PM"</f>
        <v>3/26/2021 3:14:00 PM</v>
      </c>
      <c r="O15085" t="s">
        <v>46031</v>
      </c>
    </row>
    <row r="15086" spans="1:20" x14ac:dyDescent="0.25">
      <c r="A15086" t="str">
        <f>"3052075"</f>
        <v>3052075</v>
      </c>
      <c r="B15086" t="s">
        <v>46033</v>
      </c>
      <c r="C15086" t="str">
        <f>"8315391"</f>
        <v>8315391</v>
      </c>
      <c r="D15086" t="s">
        <v>46034</v>
      </c>
      <c r="E15086" t="s">
        <v>46035</v>
      </c>
      <c r="F15086" t="s">
        <v>46036</v>
      </c>
      <c r="I15086" t="s">
        <v>29</v>
      </c>
      <c r="J15086" t="s">
        <v>30</v>
      </c>
      <c r="K15086" t="s">
        <v>46037</v>
      </c>
      <c r="M15086" t="s">
        <v>17861</v>
      </c>
      <c r="N15086" t="str">
        <f>"4/8/2021 8:45:00 PM"</f>
        <v>4/8/2021 8:45:00 PM</v>
      </c>
      <c r="O15086" t="s">
        <v>46034</v>
      </c>
      <c r="T15086" t="s">
        <v>46035</v>
      </c>
    </row>
    <row r="15087" spans="1:20" x14ac:dyDescent="0.25">
      <c r="A15087" t="str">
        <f>"3050800"</f>
        <v>3050800</v>
      </c>
      <c r="B15087" t="s">
        <v>46038</v>
      </c>
      <c r="C15087" t="str">
        <f>"8315392"</f>
        <v>8315392</v>
      </c>
      <c r="D15087" t="s">
        <v>46039</v>
      </c>
      <c r="E15087" t="s">
        <v>46040</v>
      </c>
      <c r="F15087" t="s">
        <v>46041</v>
      </c>
      <c r="I15087" t="s">
        <v>184</v>
      </c>
      <c r="J15087" t="s">
        <v>30</v>
      </c>
      <c r="K15087" t="s">
        <v>20384</v>
      </c>
      <c r="M15087" t="s">
        <v>17861</v>
      </c>
      <c r="N15087" t="str">
        <f>"4/8/2021 8:48:00 PM"</f>
        <v>4/8/2021 8:48:00 PM</v>
      </c>
      <c r="O15087" t="s">
        <v>46039</v>
      </c>
      <c r="T15087" t="s">
        <v>46040</v>
      </c>
    </row>
    <row r="15088" spans="1:20" x14ac:dyDescent="0.25">
      <c r="A15088" t="str">
        <f>"3058014"</f>
        <v>3058014</v>
      </c>
      <c r="B15088" t="s">
        <v>46042</v>
      </c>
      <c r="C15088" t="str">
        <f>"82528326"</f>
        <v>82528326</v>
      </c>
      <c r="D15088" t="s">
        <v>45922</v>
      </c>
      <c r="F15088" t="s">
        <v>9753</v>
      </c>
      <c r="I15088" t="s">
        <v>29</v>
      </c>
      <c r="J15088" t="s">
        <v>30</v>
      </c>
      <c r="K15088" t="s">
        <v>31</v>
      </c>
      <c r="M15088" t="s">
        <v>33845</v>
      </c>
      <c r="N15088" t="str">
        <f>"3/30/2021 2:22:00 PM"</f>
        <v>3/30/2021 2:22:00 PM</v>
      </c>
      <c r="O15088" t="s">
        <v>45922</v>
      </c>
    </row>
    <row r="15089" spans="1:20" x14ac:dyDescent="0.25">
      <c r="A15089" t="str">
        <f>"3058015"</f>
        <v>3058015</v>
      </c>
      <c r="B15089" t="s">
        <v>46043</v>
      </c>
      <c r="C15089" t="str">
        <f>"82528326"</f>
        <v>82528326</v>
      </c>
      <c r="D15089" t="s">
        <v>45922</v>
      </c>
      <c r="F15089" t="s">
        <v>9753</v>
      </c>
      <c r="I15089" t="s">
        <v>29</v>
      </c>
      <c r="J15089" t="s">
        <v>30</v>
      </c>
      <c r="K15089" t="s">
        <v>31</v>
      </c>
      <c r="M15089" t="s">
        <v>33845</v>
      </c>
      <c r="N15089" t="str">
        <f>"3/30/2021 2:22:00 PM"</f>
        <v>3/30/2021 2:22:00 PM</v>
      </c>
      <c r="O15089" t="s">
        <v>45922</v>
      </c>
    </row>
    <row r="15090" spans="1:20" x14ac:dyDescent="0.25">
      <c r="A15090" t="str">
        <f>"3045558"</f>
        <v>3045558</v>
      </c>
      <c r="B15090" t="s">
        <v>46044</v>
      </c>
      <c r="C15090" t="str">
        <f>"29442000"</f>
        <v>29442000</v>
      </c>
      <c r="D15090" t="s">
        <v>46045</v>
      </c>
      <c r="F15090" t="s">
        <v>46046</v>
      </c>
      <c r="I15090" t="s">
        <v>29</v>
      </c>
      <c r="J15090" t="s">
        <v>30</v>
      </c>
      <c r="K15090" t="s">
        <v>31</v>
      </c>
      <c r="M15090" t="s">
        <v>25733</v>
      </c>
      <c r="N15090" t="str">
        <f>"3/31/2021 8:58:00 AM"</f>
        <v>3/31/2021 8:58:00 AM</v>
      </c>
      <c r="O15090" t="s">
        <v>46045</v>
      </c>
    </row>
    <row r="15091" spans="1:20" x14ac:dyDescent="0.25">
      <c r="A15091" t="str">
        <f>"3040390"</f>
        <v>3040390</v>
      </c>
      <c r="B15091" t="s">
        <v>46047</v>
      </c>
      <c r="C15091" t="str">
        <f>"8315399"</f>
        <v>8315399</v>
      </c>
      <c r="D15091" t="s">
        <v>46048</v>
      </c>
      <c r="F15091" t="s">
        <v>46049</v>
      </c>
      <c r="I15091" t="s">
        <v>471</v>
      </c>
      <c r="J15091" t="s">
        <v>30</v>
      </c>
      <c r="K15091" t="str">
        <f>"27127"</f>
        <v>27127</v>
      </c>
      <c r="M15091" t="s">
        <v>17861</v>
      </c>
      <c r="N15091" t="str">
        <f>"4/9/2021 8:27:00 AM"</f>
        <v>4/9/2021 8:27:00 AM</v>
      </c>
      <c r="O15091" t="s">
        <v>46048</v>
      </c>
    </row>
    <row r="15092" spans="1:20" x14ac:dyDescent="0.25">
      <c r="A15092" t="str">
        <f>"3040400"</f>
        <v>3040400</v>
      </c>
      <c r="B15092" t="s">
        <v>46050</v>
      </c>
      <c r="C15092" t="str">
        <f>"8315399"</f>
        <v>8315399</v>
      </c>
      <c r="D15092" t="s">
        <v>46048</v>
      </c>
      <c r="F15092" t="s">
        <v>46049</v>
      </c>
      <c r="I15092" t="s">
        <v>471</v>
      </c>
      <c r="J15092" t="s">
        <v>30</v>
      </c>
      <c r="K15092" t="str">
        <f>"27127"</f>
        <v>27127</v>
      </c>
      <c r="M15092" t="s">
        <v>17861</v>
      </c>
      <c r="N15092" t="str">
        <f>"4/9/2021 8:27:00 AM"</f>
        <v>4/9/2021 8:27:00 AM</v>
      </c>
      <c r="O15092" t="s">
        <v>46048</v>
      </c>
    </row>
    <row r="15093" spans="1:20" x14ac:dyDescent="0.25">
      <c r="A15093" t="str">
        <f>"3061256"</f>
        <v>3061256</v>
      </c>
      <c r="B15093" t="s">
        <v>46051</v>
      </c>
      <c r="C15093" t="str">
        <f>"8315400"</f>
        <v>8315400</v>
      </c>
      <c r="D15093" t="s">
        <v>46052</v>
      </c>
      <c r="E15093" t="s">
        <v>46053</v>
      </c>
      <c r="F15093" t="s">
        <v>46054</v>
      </c>
      <c r="I15093" t="s">
        <v>2071</v>
      </c>
      <c r="J15093" t="s">
        <v>30</v>
      </c>
      <c r="K15093" t="s">
        <v>35233</v>
      </c>
      <c r="M15093" t="s">
        <v>17861</v>
      </c>
      <c r="N15093" t="str">
        <f>"4/9/2021 9:55:00 AM"</f>
        <v>4/9/2021 9:55:00 AM</v>
      </c>
      <c r="O15093" t="s">
        <v>46052</v>
      </c>
      <c r="T15093" t="s">
        <v>46053</v>
      </c>
    </row>
    <row r="15094" spans="1:20" x14ac:dyDescent="0.25">
      <c r="A15094" t="str">
        <f>"3060042"</f>
        <v>3060042</v>
      </c>
      <c r="B15094" t="s">
        <v>46055</v>
      </c>
      <c r="C15094" t="str">
        <f>"8315403"</f>
        <v>8315403</v>
      </c>
      <c r="D15094" t="s">
        <v>46056</v>
      </c>
      <c r="E15094" t="s">
        <v>46057</v>
      </c>
      <c r="F15094" t="s">
        <v>46058</v>
      </c>
      <c r="I15094" t="s">
        <v>184</v>
      </c>
      <c r="J15094" t="s">
        <v>30</v>
      </c>
      <c r="K15094" t="s">
        <v>46059</v>
      </c>
      <c r="M15094" t="s">
        <v>17861</v>
      </c>
      <c r="N15094" t="str">
        <f>"4/9/2021 11:34:00 AM"</f>
        <v>4/9/2021 11:34:00 AM</v>
      </c>
      <c r="O15094" t="s">
        <v>46056</v>
      </c>
      <c r="T15094" t="s">
        <v>46057</v>
      </c>
    </row>
    <row r="15095" spans="1:20" x14ac:dyDescent="0.25">
      <c r="A15095" t="str">
        <f>"3058297"</f>
        <v>3058297</v>
      </c>
      <c r="B15095" t="s">
        <v>46060</v>
      </c>
      <c r="C15095" t="str">
        <f>"8315404"</f>
        <v>8315404</v>
      </c>
      <c r="D15095" t="s">
        <v>46061</v>
      </c>
      <c r="E15095" t="s">
        <v>46062</v>
      </c>
      <c r="F15095" t="s">
        <v>46063</v>
      </c>
      <c r="I15095" t="s">
        <v>29</v>
      </c>
      <c r="J15095" t="s">
        <v>30</v>
      </c>
      <c r="K15095" t="s">
        <v>9871</v>
      </c>
      <c r="M15095" t="s">
        <v>17861</v>
      </c>
      <c r="N15095" t="str">
        <f>"4/9/2021 11:39:00 AM"</f>
        <v>4/9/2021 11:39:00 AM</v>
      </c>
      <c r="O15095" t="s">
        <v>46061</v>
      </c>
      <c r="T15095" t="s">
        <v>46062</v>
      </c>
    </row>
    <row r="15096" spans="1:20" x14ac:dyDescent="0.25">
      <c r="A15096" t="str">
        <f>"3057753"</f>
        <v>3057753</v>
      </c>
      <c r="B15096" t="s">
        <v>46064</v>
      </c>
      <c r="C15096" t="str">
        <f>"8315405"</f>
        <v>8315405</v>
      </c>
      <c r="D15096" t="s">
        <v>46065</v>
      </c>
      <c r="F15096" t="s">
        <v>46066</v>
      </c>
      <c r="I15096" t="s">
        <v>29</v>
      </c>
      <c r="J15096" t="s">
        <v>30</v>
      </c>
      <c r="K15096" t="s">
        <v>45847</v>
      </c>
      <c r="M15096" t="s">
        <v>17861</v>
      </c>
      <c r="N15096" t="str">
        <f>"4/9/2021 12:25:00 PM"</f>
        <v>4/9/2021 12:25:00 PM</v>
      </c>
      <c r="O15096" t="s">
        <v>46065</v>
      </c>
    </row>
    <row r="15097" spans="1:20" x14ac:dyDescent="0.25">
      <c r="A15097" t="str">
        <f>"3053279"</f>
        <v>3053279</v>
      </c>
      <c r="B15097" t="s">
        <v>46067</v>
      </c>
      <c r="C15097" t="str">
        <f>"8315406"</f>
        <v>8315406</v>
      </c>
      <c r="D15097" t="s">
        <v>46068</v>
      </c>
      <c r="E15097" t="s">
        <v>46069</v>
      </c>
      <c r="F15097" t="s">
        <v>46070</v>
      </c>
      <c r="I15097" t="s">
        <v>29</v>
      </c>
      <c r="J15097" t="s">
        <v>30</v>
      </c>
      <c r="K15097" t="s">
        <v>36231</v>
      </c>
      <c r="M15097" t="s">
        <v>17861</v>
      </c>
      <c r="N15097" t="str">
        <f>"4/9/2021 12:31:00 PM"</f>
        <v>4/9/2021 12:31:00 PM</v>
      </c>
      <c r="O15097" t="s">
        <v>46068</v>
      </c>
      <c r="T15097" t="s">
        <v>46069</v>
      </c>
    </row>
    <row r="15098" spans="1:20" x14ac:dyDescent="0.25">
      <c r="A15098" t="str">
        <f>"3078253"</f>
        <v>3078253</v>
      </c>
      <c r="B15098" t="s">
        <v>46071</v>
      </c>
      <c r="C15098" t="str">
        <f>"8315406"</f>
        <v>8315406</v>
      </c>
      <c r="D15098" t="s">
        <v>46068</v>
      </c>
      <c r="E15098" t="s">
        <v>46069</v>
      </c>
      <c r="F15098" t="s">
        <v>46070</v>
      </c>
      <c r="I15098" t="s">
        <v>29</v>
      </c>
      <c r="J15098" t="s">
        <v>30</v>
      </c>
      <c r="K15098" t="s">
        <v>36231</v>
      </c>
      <c r="M15098" t="s">
        <v>17861</v>
      </c>
      <c r="N15098" t="str">
        <f>"4/9/2021 12:31:00 PM"</f>
        <v>4/9/2021 12:31:00 PM</v>
      </c>
      <c r="O15098" t="s">
        <v>46068</v>
      </c>
      <c r="T15098" t="s">
        <v>46069</v>
      </c>
    </row>
    <row r="15099" spans="1:20" x14ac:dyDescent="0.25">
      <c r="A15099" t="str">
        <f>"3061688"</f>
        <v>3061688</v>
      </c>
      <c r="B15099" t="s">
        <v>46072</v>
      </c>
      <c r="C15099" t="str">
        <f>"8315407"</f>
        <v>8315407</v>
      </c>
      <c r="D15099" t="s">
        <v>46073</v>
      </c>
      <c r="E15099" t="s">
        <v>46074</v>
      </c>
      <c r="F15099" t="s">
        <v>46075</v>
      </c>
      <c r="I15099" t="s">
        <v>2071</v>
      </c>
      <c r="J15099" t="s">
        <v>30</v>
      </c>
      <c r="K15099" t="s">
        <v>3872</v>
      </c>
      <c r="M15099" t="s">
        <v>17861</v>
      </c>
      <c r="N15099" t="str">
        <f>"4/9/2021 12:49:00 PM"</f>
        <v>4/9/2021 12:49:00 PM</v>
      </c>
      <c r="O15099" t="s">
        <v>46073</v>
      </c>
      <c r="T15099" t="s">
        <v>46074</v>
      </c>
    </row>
    <row r="15100" spans="1:20" x14ac:dyDescent="0.25">
      <c r="A15100" t="str">
        <f>"3043678"</f>
        <v>3043678</v>
      </c>
      <c r="B15100" t="s">
        <v>46076</v>
      </c>
      <c r="C15100" t="str">
        <f>"8311072"</f>
        <v>8311072</v>
      </c>
      <c r="D15100" t="s">
        <v>46077</v>
      </c>
      <c r="E15100" t="s">
        <v>46078</v>
      </c>
      <c r="F15100" t="s">
        <v>46079</v>
      </c>
      <c r="I15100" t="s">
        <v>29</v>
      </c>
      <c r="J15100" t="s">
        <v>30</v>
      </c>
      <c r="K15100" t="s">
        <v>7114</v>
      </c>
      <c r="M15100" t="s">
        <v>33845</v>
      </c>
      <c r="N15100" t="str">
        <f>"3/31/2021 12:38:00 PM"</f>
        <v>3/31/2021 12:38:00 PM</v>
      </c>
      <c r="O15100" t="s">
        <v>46077</v>
      </c>
      <c r="T15100" t="s">
        <v>46078</v>
      </c>
    </row>
    <row r="15101" spans="1:20" x14ac:dyDescent="0.25">
      <c r="A15101" t="str">
        <f>"3077727"</f>
        <v>3077727</v>
      </c>
      <c r="B15101" t="s">
        <v>46080</v>
      </c>
      <c r="C15101" t="str">
        <f>"8313583"</f>
        <v>8313583</v>
      </c>
      <c r="D15101" t="s">
        <v>46081</v>
      </c>
      <c r="E15101" t="s">
        <v>46082</v>
      </c>
      <c r="F15101" t="s">
        <v>46083</v>
      </c>
      <c r="I15101" t="s">
        <v>184</v>
      </c>
      <c r="J15101" t="s">
        <v>30</v>
      </c>
      <c r="K15101" t="s">
        <v>33014</v>
      </c>
      <c r="M15101" t="s">
        <v>25733</v>
      </c>
      <c r="N15101" t="str">
        <f>"3/31/2021 3:24:00 PM"</f>
        <v>3/31/2021 3:24:00 PM</v>
      </c>
      <c r="O15101" t="s">
        <v>46081</v>
      </c>
      <c r="T15101" t="s">
        <v>46082</v>
      </c>
    </row>
    <row r="15102" spans="1:20" x14ac:dyDescent="0.25">
      <c r="A15102" t="str">
        <f>"3045995"</f>
        <v>3045995</v>
      </c>
      <c r="B15102" t="s">
        <v>46084</v>
      </c>
      <c r="C15102" t="str">
        <f>"15370900"</f>
        <v>15370900</v>
      </c>
      <c r="D15102" t="s">
        <v>46085</v>
      </c>
      <c r="E15102" t="s">
        <v>46086</v>
      </c>
      <c r="F15102" t="s">
        <v>46087</v>
      </c>
      <c r="I15102" t="s">
        <v>21225</v>
      </c>
      <c r="J15102" t="s">
        <v>30</v>
      </c>
      <c r="K15102" t="str">
        <f>"27028"</f>
        <v>27028</v>
      </c>
      <c r="M15102" t="s">
        <v>18470</v>
      </c>
      <c r="N15102" t="str">
        <f>"4/1/2021 11:13:00 AM"</f>
        <v>4/1/2021 11:13:00 AM</v>
      </c>
      <c r="O15102" t="s">
        <v>46085</v>
      </c>
      <c r="T15102" t="s">
        <v>46086</v>
      </c>
    </row>
    <row r="15103" spans="1:20" x14ac:dyDescent="0.25">
      <c r="A15103" t="str">
        <f>"3046087"</f>
        <v>3046087</v>
      </c>
      <c r="B15103" t="s">
        <v>46088</v>
      </c>
      <c r="C15103" t="str">
        <f>"15370900"</f>
        <v>15370900</v>
      </c>
      <c r="D15103" t="s">
        <v>46085</v>
      </c>
      <c r="E15103" t="s">
        <v>46086</v>
      </c>
      <c r="F15103" t="s">
        <v>46087</v>
      </c>
      <c r="I15103" t="s">
        <v>21225</v>
      </c>
      <c r="J15103" t="s">
        <v>30</v>
      </c>
      <c r="K15103" t="str">
        <f>"27028"</f>
        <v>27028</v>
      </c>
      <c r="M15103" t="s">
        <v>18470</v>
      </c>
      <c r="N15103" t="str">
        <f>"4/1/2021 11:13:00 AM"</f>
        <v>4/1/2021 11:13:00 AM</v>
      </c>
      <c r="O15103" t="s">
        <v>46085</v>
      </c>
      <c r="T15103" t="s">
        <v>46086</v>
      </c>
    </row>
    <row r="15104" spans="1:20" x14ac:dyDescent="0.25">
      <c r="A15104" t="str">
        <f>"3046238"</f>
        <v>3046238</v>
      </c>
      <c r="B15104" t="s">
        <v>46089</v>
      </c>
      <c r="C15104" t="str">
        <f>"15370900"</f>
        <v>15370900</v>
      </c>
      <c r="D15104" t="s">
        <v>46085</v>
      </c>
      <c r="E15104" t="s">
        <v>46086</v>
      </c>
      <c r="F15104" t="s">
        <v>46087</v>
      </c>
      <c r="I15104" t="s">
        <v>21225</v>
      </c>
      <c r="J15104" t="s">
        <v>30</v>
      </c>
      <c r="K15104" t="str">
        <f>"27028"</f>
        <v>27028</v>
      </c>
      <c r="M15104" t="s">
        <v>18470</v>
      </c>
      <c r="N15104" t="str">
        <f>"4/1/2021 11:13:00 AM"</f>
        <v>4/1/2021 11:13:00 AM</v>
      </c>
      <c r="O15104" t="s">
        <v>46085</v>
      </c>
      <c r="T15104" t="s">
        <v>46086</v>
      </c>
    </row>
    <row r="15105" spans="1:20" x14ac:dyDescent="0.25">
      <c r="A15105" t="str">
        <f>"3078127"</f>
        <v>3078127</v>
      </c>
      <c r="B15105" t="s">
        <v>46090</v>
      </c>
      <c r="C15105" t="str">
        <f>"8315349"</f>
        <v>8315349</v>
      </c>
      <c r="D15105" t="s">
        <v>27478</v>
      </c>
      <c r="E15105" t="s">
        <v>46091</v>
      </c>
      <c r="F15105" t="s">
        <v>46092</v>
      </c>
      <c r="I15105" t="s">
        <v>1107</v>
      </c>
      <c r="J15105" t="s">
        <v>30</v>
      </c>
      <c r="K15105" t="str">
        <f>"28625"</f>
        <v>28625</v>
      </c>
      <c r="M15105" t="s">
        <v>17861</v>
      </c>
      <c r="N15105" t="str">
        <f>"4/5/2021 12:49:00 PM"</f>
        <v>4/5/2021 12:49:00 PM</v>
      </c>
      <c r="O15105" t="s">
        <v>27478</v>
      </c>
      <c r="T15105" t="s">
        <v>46091</v>
      </c>
    </row>
    <row r="15106" spans="1:20" x14ac:dyDescent="0.25">
      <c r="A15106" t="str">
        <f>"3052835"</f>
        <v>3052835</v>
      </c>
      <c r="B15106" t="s">
        <v>46093</v>
      </c>
      <c r="C15106" t="str">
        <f>"8315350"</f>
        <v>8315350</v>
      </c>
      <c r="D15106" t="s">
        <v>46094</v>
      </c>
      <c r="F15106" t="s">
        <v>46095</v>
      </c>
      <c r="I15106" t="s">
        <v>29</v>
      </c>
      <c r="J15106" t="s">
        <v>30</v>
      </c>
      <c r="K15106" t="s">
        <v>46096</v>
      </c>
      <c r="M15106" t="s">
        <v>17861</v>
      </c>
      <c r="N15106" t="str">
        <f>"4/5/2021 12:54:00 PM"</f>
        <v>4/5/2021 12:54:00 PM</v>
      </c>
      <c r="O15106" t="s">
        <v>46094</v>
      </c>
    </row>
    <row r="15107" spans="1:20" x14ac:dyDescent="0.25">
      <c r="A15107" t="str">
        <f>"3046469"</f>
        <v>3046469</v>
      </c>
      <c r="B15107" t="s">
        <v>46097</v>
      </c>
      <c r="C15107" t="str">
        <f>"8315351"</f>
        <v>8315351</v>
      </c>
      <c r="D15107" t="s">
        <v>45966</v>
      </c>
      <c r="F15107" t="s">
        <v>45967</v>
      </c>
      <c r="I15107" t="s">
        <v>29</v>
      </c>
      <c r="J15107" t="s">
        <v>30</v>
      </c>
      <c r="K15107" t="s">
        <v>45968</v>
      </c>
      <c r="M15107" t="s">
        <v>17861</v>
      </c>
      <c r="N15107" t="str">
        <f>"4/5/2021 12:58:00 PM"</f>
        <v>4/5/2021 12:58:00 PM</v>
      </c>
      <c r="O15107" t="s">
        <v>45966</v>
      </c>
    </row>
    <row r="15108" spans="1:20" x14ac:dyDescent="0.25">
      <c r="A15108" t="str">
        <f>"3055699"</f>
        <v>3055699</v>
      </c>
      <c r="B15108" t="s">
        <v>46098</v>
      </c>
      <c r="C15108" t="str">
        <f>"8305603"</f>
        <v>8305603</v>
      </c>
      <c r="D15108" t="s">
        <v>46099</v>
      </c>
      <c r="F15108" t="s">
        <v>46100</v>
      </c>
      <c r="I15108" t="s">
        <v>2525</v>
      </c>
      <c r="J15108" t="s">
        <v>30</v>
      </c>
      <c r="K15108" t="str">
        <f>"27409"</f>
        <v>27409</v>
      </c>
      <c r="M15108" t="s">
        <v>25625</v>
      </c>
      <c r="N15108" t="str">
        <f>"4/6/2021 8:54:00 AM"</f>
        <v>4/6/2021 8:54:00 AM</v>
      </c>
      <c r="O15108" t="s">
        <v>46099</v>
      </c>
    </row>
    <row r="15109" spans="1:20" x14ac:dyDescent="0.25">
      <c r="A15109" t="str">
        <f>"3049376"</f>
        <v>3049376</v>
      </c>
      <c r="B15109" t="s">
        <v>46101</v>
      </c>
      <c r="C15109" t="str">
        <f>"8314689"</f>
        <v>8314689</v>
      </c>
      <c r="D15109" t="s">
        <v>46102</v>
      </c>
      <c r="E15109" t="s">
        <v>46103</v>
      </c>
      <c r="F15109" t="s">
        <v>46104</v>
      </c>
      <c r="I15109" t="s">
        <v>184</v>
      </c>
      <c r="J15109" t="s">
        <v>30</v>
      </c>
      <c r="K15109" t="s">
        <v>46105</v>
      </c>
      <c r="M15109" t="s">
        <v>17861</v>
      </c>
      <c r="N15109" t="str">
        <f>"4/7/2021 10:01:00 AM"</f>
        <v>4/7/2021 10:01:00 AM</v>
      </c>
      <c r="O15109" t="s">
        <v>46102</v>
      </c>
      <c r="T15109" t="s">
        <v>46103</v>
      </c>
    </row>
    <row r="15110" spans="1:20" x14ac:dyDescent="0.25">
      <c r="A15110" t="str">
        <f>"3048174"</f>
        <v>3048174</v>
      </c>
      <c r="B15110" t="s">
        <v>46106</v>
      </c>
      <c r="C15110" t="str">
        <f>"76644000"</f>
        <v>76644000</v>
      </c>
      <c r="D15110" t="s">
        <v>46107</v>
      </c>
      <c r="F15110" t="s">
        <v>46108</v>
      </c>
      <c r="I15110" t="s">
        <v>184</v>
      </c>
      <c r="J15110" t="s">
        <v>30</v>
      </c>
      <c r="K15110" t="s">
        <v>10425</v>
      </c>
      <c r="M15110" t="s">
        <v>17861</v>
      </c>
      <c r="N15110" t="str">
        <f>"4/14/2021 11:05:00 AM"</f>
        <v>4/14/2021 11:05:00 AM</v>
      </c>
      <c r="O15110" t="s">
        <v>46107</v>
      </c>
    </row>
    <row r="15111" spans="1:20" x14ac:dyDescent="0.25">
      <c r="A15111" t="str">
        <f>"3055020"</f>
        <v>3055020</v>
      </c>
      <c r="B15111" t="s">
        <v>46109</v>
      </c>
      <c r="C15111" t="str">
        <f>"8313307"</f>
        <v>8313307</v>
      </c>
      <c r="D15111" t="s">
        <v>46110</v>
      </c>
      <c r="F15111" t="s">
        <v>46111</v>
      </c>
      <c r="I15111" t="s">
        <v>17921</v>
      </c>
      <c r="J15111" t="s">
        <v>30</v>
      </c>
      <c r="K15111" t="str">
        <f>"27028"</f>
        <v>27028</v>
      </c>
      <c r="M15111" t="s">
        <v>40663</v>
      </c>
      <c r="N15111" t="str">
        <f>"4/14/2021 2:39:00 PM"</f>
        <v>4/14/2021 2:39:00 PM</v>
      </c>
      <c r="O15111" t="s">
        <v>46110</v>
      </c>
    </row>
    <row r="15112" spans="1:20" x14ac:dyDescent="0.25">
      <c r="A15112" t="str">
        <f>"3048335"</f>
        <v>3048335</v>
      </c>
      <c r="B15112" t="s">
        <v>46112</v>
      </c>
      <c r="C15112" t="str">
        <f>"8315426"</f>
        <v>8315426</v>
      </c>
      <c r="D15112" t="s">
        <v>46113</v>
      </c>
      <c r="F15112" t="s">
        <v>46114</v>
      </c>
      <c r="I15112" t="s">
        <v>19211</v>
      </c>
      <c r="J15112" t="s">
        <v>1046</v>
      </c>
      <c r="K15112" t="str">
        <f>"31758"</f>
        <v>31758</v>
      </c>
      <c r="M15112" t="s">
        <v>17861</v>
      </c>
      <c r="N15112" t="str">
        <f>"4/15/2021 9:50:00 AM"</f>
        <v>4/15/2021 9:50:00 AM</v>
      </c>
      <c r="O15112" t="s">
        <v>46113</v>
      </c>
    </row>
    <row r="15113" spans="1:20" x14ac:dyDescent="0.25">
      <c r="A15113" t="str">
        <f>"3041644"</f>
        <v>3041644</v>
      </c>
      <c r="B15113" t="s">
        <v>46115</v>
      </c>
      <c r="C15113" t="str">
        <f>"8315430"</f>
        <v>8315430</v>
      </c>
      <c r="D15113" t="s">
        <v>46116</v>
      </c>
      <c r="E15113" t="s">
        <v>46117</v>
      </c>
      <c r="F15113" t="s">
        <v>46118</v>
      </c>
      <c r="I15113" t="s">
        <v>2071</v>
      </c>
      <c r="J15113" t="s">
        <v>30</v>
      </c>
      <c r="K15113" t="str">
        <f>"27006"</f>
        <v>27006</v>
      </c>
      <c r="M15113" t="s">
        <v>17861</v>
      </c>
      <c r="N15113" t="str">
        <f>"4/15/2021 1:57:00 PM"</f>
        <v>4/15/2021 1:57:00 PM</v>
      </c>
      <c r="O15113" t="s">
        <v>46116</v>
      </c>
      <c r="T15113" t="s">
        <v>46117</v>
      </c>
    </row>
    <row r="15114" spans="1:20" x14ac:dyDescent="0.25">
      <c r="A15114" t="str">
        <f>"3039155"</f>
        <v>3039155</v>
      </c>
      <c r="B15114" t="s">
        <v>46119</v>
      </c>
      <c r="C15114" t="str">
        <f>"8315373"</f>
        <v>8315373</v>
      </c>
      <c r="D15114" t="s">
        <v>46120</v>
      </c>
      <c r="F15114" t="s">
        <v>46121</v>
      </c>
      <c r="I15114" t="s">
        <v>29</v>
      </c>
      <c r="J15114" t="s">
        <v>30</v>
      </c>
      <c r="K15114" t="s">
        <v>35889</v>
      </c>
      <c r="M15114" t="s">
        <v>17861</v>
      </c>
      <c r="N15114" t="str">
        <f>"4/7/2021 2:36:00 PM"</f>
        <v>4/7/2021 2:36:00 PM</v>
      </c>
      <c r="O15114" t="s">
        <v>46120</v>
      </c>
    </row>
    <row r="15115" spans="1:20" x14ac:dyDescent="0.25">
      <c r="A15115" t="str">
        <f>"3048853"</f>
        <v>3048853</v>
      </c>
      <c r="B15115" t="s">
        <v>46122</v>
      </c>
      <c r="C15115" t="str">
        <f>"8315303"</f>
        <v>8315303</v>
      </c>
      <c r="D15115" t="s">
        <v>46123</v>
      </c>
      <c r="E15115" t="s">
        <v>46124</v>
      </c>
      <c r="F15115" t="s">
        <v>46125</v>
      </c>
      <c r="I15115" t="s">
        <v>24359</v>
      </c>
      <c r="J15115" t="s">
        <v>30</v>
      </c>
      <c r="K15115" t="str">
        <f>"27006"</f>
        <v>27006</v>
      </c>
      <c r="M15115" t="s">
        <v>17861</v>
      </c>
      <c r="N15115" t="str">
        <f>"3/26/2021 8:30:00 AM"</f>
        <v>3/26/2021 8:30:00 AM</v>
      </c>
      <c r="O15115" t="s">
        <v>46123</v>
      </c>
      <c r="T15115" t="s">
        <v>46124</v>
      </c>
    </row>
    <row r="15116" spans="1:20" x14ac:dyDescent="0.25">
      <c r="A15116" t="str">
        <f>"3044398"</f>
        <v>3044398</v>
      </c>
      <c r="B15116" t="s">
        <v>46126</v>
      </c>
      <c r="C15116" t="str">
        <f>"8315435"</f>
        <v>8315435</v>
      </c>
      <c r="D15116" t="s">
        <v>6160</v>
      </c>
      <c r="F15116" t="s">
        <v>46127</v>
      </c>
      <c r="I15116" t="s">
        <v>184</v>
      </c>
      <c r="J15116" t="s">
        <v>30</v>
      </c>
      <c r="K15116" t="s">
        <v>6149</v>
      </c>
      <c r="M15116" t="s">
        <v>17861</v>
      </c>
      <c r="N15116" t="str">
        <f>"4/15/2021 3:17:00 PM"</f>
        <v>4/15/2021 3:17:00 PM</v>
      </c>
      <c r="O15116" t="s">
        <v>6160</v>
      </c>
    </row>
    <row r="15117" spans="1:20" x14ac:dyDescent="0.25">
      <c r="A15117" t="str">
        <f>"3052772"</f>
        <v>3052772</v>
      </c>
      <c r="B15117" t="s">
        <v>46128</v>
      </c>
      <c r="C15117" t="str">
        <f>"8315436"</f>
        <v>8315436</v>
      </c>
      <c r="D15117" t="s">
        <v>46129</v>
      </c>
      <c r="F15117" t="s">
        <v>46130</v>
      </c>
      <c r="I15117" t="s">
        <v>29</v>
      </c>
      <c r="J15117" t="s">
        <v>30</v>
      </c>
      <c r="K15117" t="s">
        <v>33621</v>
      </c>
      <c r="M15117" t="s">
        <v>17861</v>
      </c>
      <c r="N15117" t="str">
        <f>"4/15/2021 3:21:00 PM"</f>
        <v>4/15/2021 3:21:00 PM</v>
      </c>
      <c r="O15117" t="s">
        <v>46129</v>
      </c>
    </row>
    <row r="15118" spans="1:20" x14ac:dyDescent="0.25">
      <c r="A15118" t="str">
        <f>"3038918"</f>
        <v>3038918</v>
      </c>
      <c r="B15118" t="s">
        <v>46131</v>
      </c>
      <c r="C15118" t="str">
        <f>"8315439"</f>
        <v>8315439</v>
      </c>
      <c r="D15118" t="s">
        <v>45214</v>
      </c>
      <c r="E15118" t="s">
        <v>46132</v>
      </c>
      <c r="F15118" t="s">
        <v>45215</v>
      </c>
      <c r="I15118" t="s">
        <v>29</v>
      </c>
      <c r="J15118" t="s">
        <v>30</v>
      </c>
      <c r="K15118" t="s">
        <v>45216</v>
      </c>
      <c r="M15118" t="s">
        <v>17861</v>
      </c>
      <c r="N15118" t="str">
        <f>"4/15/2021 3:39:00 PM"</f>
        <v>4/15/2021 3:39:00 PM</v>
      </c>
      <c r="O15118" t="s">
        <v>45214</v>
      </c>
      <c r="T15118" t="s">
        <v>46132</v>
      </c>
    </row>
    <row r="15119" spans="1:20" x14ac:dyDescent="0.25">
      <c r="A15119" t="str">
        <f>"3057750"</f>
        <v>3057750</v>
      </c>
      <c r="B15119" t="s">
        <v>46133</v>
      </c>
      <c r="C15119" t="str">
        <f>"8315441"</f>
        <v>8315441</v>
      </c>
      <c r="D15119" t="str">
        <f>"DAVIS-CAMPBELL DARLENE/ANTHONY"</f>
        <v>DAVIS-CAMPBELL DARLENE/ANTHONY</v>
      </c>
      <c r="E15119" t="s">
        <v>46134</v>
      </c>
      <c r="F15119" t="s">
        <v>46135</v>
      </c>
      <c r="I15119" t="s">
        <v>29</v>
      </c>
      <c r="J15119" t="s">
        <v>30</v>
      </c>
      <c r="K15119" t="s">
        <v>45847</v>
      </c>
      <c r="M15119" t="s">
        <v>17861</v>
      </c>
      <c r="N15119" t="str">
        <f>"4/15/2021 4:21:00 PM"</f>
        <v>4/15/2021 4:21:00 PM</v>
      </c>
      <c r="O15119" t="str">
        <f>"DAVIS-CAMPBELL DARLENE/ANTHONY"</f>
        <v>DAVIS-CAMPBELL DARLENE/ANTHONY</v>
      </c>
      <c r="T15119" t="s">
        <v>46134</v>
      </c>
    </row>
    <row r="15120" spans="1:20" x14ac:dyDescent="0.25">
      <c r="A15120" t="str">
        <f>"3038740"</f>
        <v>3038740</v>
      </c>
      <c r="B15120" t="s">
        <v>46136</v>
      </c>
      <c r="C15120" t="str">
        <f>"8315442"</f>
        <v>8315442</v>
      </c>
      <c r="D15120" t="str">
        <f>"CRANFILL LARRY JOE/MAUDIE LOU"</f>
        <v>CRANFILL LARRY JOE/MAUDIE LOU</v>
      </c>
      <c r="E15120" t="s">
        <v>46137</v>
      </c>
      <c r="F15120" t="s">
        <v>46138</v>
      </c>
      <c r="I15120" t="s">
        <v>1107</v>
      </c>
      <c r="J15120" t="s">
        <v>30</v>
      </c>
      <c r="K15120" t="str">
        <f>"28625"</f>
        <v>28625</v>
      </c>
      <c r="M15120" t="s">
        <v>17861</v>
      </c>
      <c r="N15120" t="str">
        <f>"4/15/2021 4:27:00 PM"</f>
        <v>4/15/2021 4:27:00 PM</v>
      </c>
      <c r="O15120" t="str">
        <f>"CRANFILL LARRY JOE/MAUDIE LOU"</f>
        <v>CRANFILL LARRY JOE/MAUDIE LOU</v>
      </c>
      <c r="T15120" t="s">
        <v>46137</v>
      </c>
    </row>
    <row r="15121" spans="1:20" x14ac:dyDescent="0.25">
      <c r="A15121" t="str">
        <f>"3041231"</f>
        <v>3041231</v>
      </c>
      <c r="B15121" t="s">
        <v>46139</v>
      </c>
      <c r="C15121" t="str">
        <f>"8315444"</f>
        <v>8315444</v>
      </c>
      <c r="D15121" t="s">
        <v>46140</v>
      </c>
      <c r="E15121" t="s">
        <v>46141</v>
      </c>
      <c r="F15121" t="s">
        <v>46142</v>
      </c>
      <c r="I15121" t="s">
        <v>2071</v>
      </c>
      <c r="J15121" t="s">
        <v>30</v>
      </c>
      <c r="K15121" t="s">
        <v>39936</v>
      </c>
      <c r="M15121" t="s">
        <v>17861</v>
      </c>
      <c r="N15121" t="str">
        <f>"4/16/2021 9:36:00 AM"</f>
        <v>4/16/2021 9:36:00 AM</v>
      </c>
      <c r="O15121" t="s">
        <v>46140</v>
      </c>
      <c r="T15121" t="s">
        <v>46141</v>
      </c>
    </row>
    <row r="15122" spans="1:20" x14ac:dyDescent="0.25">
      <c r="A15122" t="str">
        <f>"3043504"</f>
        <v>3043504</v>
      </c>
      <c r="B15122" t="s">
        <v>46143</v>
      </c>
      <c r="C15122" t="str">
        <f>"8315445"</f>
        <v>8315445</v>
      </c>
      <c r="D15122" t="s">
        <v>46144</v>
      </c>
      <c r="E15122" t="s">
        <v>46145</v>
      </c>
      <c r="F15122" t="s">
        <v>46146</v>
      </c>
      <c r="I15122" t="s">
        <v>29</v>
      </c>
      <c r="J15122" t="s">
        <v>30</v>
      </c>
      <c r="K15122" t="s">
        <v>46147</v>
      </c>
      <c r="M15122" t="s">
        <v>17861</v>
      </c>
      <c r="N15122" t="str">
        <f>"4/16/2021 9:53:00 AM"</f>
        <v>4/16/2021 9:53:00 AM</v>
      </c>
      <c r="O15122" t="s">
        <v>46144</v>
      </c>
      <c r="T15122" t="s">
        <v>46145</v>
      </c>
    </row>
    <row r="15123" spans="1:20" x14ac:dyDescent="0.25">
      <c r="A15123" t="str">
        <f>"3047228"</f>
        <v>3047228</v>
      </c>
      <c r="B15123" t="s">
        <v>46148</v>
      </c>
      <c r="C15123" t="str">
        <f>"8315446"</f>
        <v>8315446</v>
      </c>
      <c r="D15123" t="s">
        <v>46149</v>
      </c>
      <c r="E15123" t="s">
        <v>46150</v>
      </c>
      <c r="F15123" t="s">
        <v>46151</v>
      </c>
      <c r="I15123" t="s">
        <v>42967</v>
      </c>
      <c r="J15123" t="s">
        <v>30</v>
      </c>
      <c r="K15123" t="s">
        <v>46152</v>
      </c>
      <c r="M15123" t="s">
        <v>17861</v>
      </c>
      <c r="N15123" t="str">
        <f>"4/16/2021 10:38:00 AM"</f>
        <v>4/16/2021 10:38:00 AM</v>
      </c>
      <c r="O15123" t="s">
        <v>46149</v>
      </c>
      <c r="T15123" t="s">
        <v>46150</v>
      </c>
    </row>
    <row r="15124" spans="1:20" x14ac:dyDescent="0.25">
      <c r="A15124" t="str">
        <f>"3061657"</f>
        <v>3061657</v>
      </c>
      <c r="B15124" t="s">
        <v>46153</v>
      </c>
      <c r="C15124" t="str">
        <f>"8315304"</f>
        <v>8315304</v>
      </c>
      <c r="D15124" t="s">
        <v>46154</v>
      </c>
      <c r="F15124" t="s">
        <v>46155</v>
      </c>
      <c r="I15124" t="s">
        <v>29</v>
      </c>
      <c r="J15124" t="s">
        <v>30</v>
      </c>
      <c r="K15124" t="s">
        <v>38638</v>
      </c>
      <c r="M15124" t="s">
        <v>17861</v>
      </c>
      <c r="N15124" t="str">
        <f>"3/26/2021 8:33:00 AM"</f>
        <v>3/26/2021 8:33:00 AM</v>
      </c>
      <c r="O15124" t="s">
        <v>46154</v>
      </c>
    </row>
    <row r="15125" spans="1:20" x14ac:dyDescent="0.25">
      <c r="A15125" t="str">
        <f>"3053754"</f>
        <v>3053754</v>
      </c>
      <c r="B15125" t="s">
        <v>46156</v>
      </c>
      <c r="C15125" t="str">
        <f>"8315305"</f>
        <v>8315305</v>
      </c>
      <c r="D15125" t="s">
        <v>46157</v>
      </c>
      <c r="F15125" t="s">
        <v>46158</v>
      </c>
      <c r="I15125" t="s">
        <v>29</v>
      </c>
      <c r="J15125" t="s">
        <v>30</v>
      </c>
      <c r="K15125" t="s">
        <v>42249</v>
      </c>
      <c r="M15125" t="s">
        <v>17861</v>
      </c>
      <c r="N15125" t="str">
        <f>"3/26/2021 8:36:00 AM"</f>
        <v>3/26/2021 8:36:00 AM</v>
      </c>
      <c r="O15125" t="s">
        <v>46157</v>
      </c>
    </row>
    <row r="15126" spans="1:20" x14ac:dyDescent="0.25">
      <c r="A15126" t="str">
        <f>"3062459"</f>
        <v>3062459</v>
      </c>
      <c r="B15126" t="s">
        <v>46159</v>
      </c>
      <c r="C15126" t="str">
        <f>"8315306"</f>
        <v>8315306</v>
      </c>
      <c r="D15126" t="s">
        <v>46160</v>
      </c>
      <c r="F15126" t="s">
        <v>46161</v>
      </c>
      <c r="I15126" t="s">
        <v>2071</v>
      </c>
      <c r="J15126" t="s">
        <v>30</v>
      </c>
      <c r="K15126" t="s">
        <v>3872</v>
      </c>
      <c r="M15126" t="s">
        <v>17861</v>
      </c>
      <c r="N15126" t="str">
        <f>"3/26/2021 8:39:00 AM"</f>
        <v>3/26/2021 8:39:00 AM</v>
      </c>
      <c r="O15126" t="s">
        <v>46160</v>
      </c>
    </row>
    <row r="15127" spans="1:20" x14ac:dyDescent="0.25">
      <c r="A15127" t="str">
        <f>"3061565"</f>
        <v>3061565</v>
      </c>
      <c r="B15127" t="s">
        <v>46162</v>
      </c>
      <c r="C15127" t="str">
        <f>"8315309"</f>
        <v>8315309</v>
      </c>
      <c r="D15127" t="s">
        <v>46163</v>
      </c>
      <c r="F15127" t="s">
        <v>46164</v>
      </c>
      <c r="I15127" t="s">
        <v>184</v>
      </c>
      <c r="J15127" t="s">
        <v>30</v>
      </c>
      <c r="K15127" t="s">
        <v>34271</v>
      </c>
      <c r="M15127" t="s">
        <v>17861</v>
      </c>
      <c r="N15127" t="str">
        <f>"3/26/2021 9:25:00 AM"</f>
        <v>3/26/2021 9:25:00 AM</v>
      </c>
      <c r="O15127" t="s">
        <v>46163</v>
      </c>
    </row>
    <row r="15128" spans="1:20" x14ac:dyDescent="0.25">
      <c r="A15128" t="str">
        <f>"3057757"</f>
        <v>3057757</v>
      </c>
      <c r="B15128" t="s">
        <v>46165</v>
      </c>
      <c r="C15128" t="str">
        <f>"8315327"</f>
        <v>8315327</v>
      </c>
      <c r="D15128" t="s">
        <v>46166</v>
      </c>
      <c r="F15128" t="s">
        <v>46167</v>
      </c>
      <c r="I15128" t="s">
        <v>29</v>
      </c>
      <c r="J15128" t="s">
        <v>30</v>
      </c>
      <c r="K15128" t="str">
        <f>"27028"</f>
        <v>27028</v>
      </c>
      <c r="M15128" t="s">
        <v>17861</v>
      </c>
      <c r="N15128" t="str">
        <f>"3/26/2021 2:16:00 PM"</f>
        <v>3/26/2021 2:16:00 PM</v>
      </c>
      <c r="O15128" t="s">
        <v>46166</v>
      </c>
    </row>
    <row r="15129" spans="1:20" x14ac:dyDescent="0.25">
      <c r="A15129" t="str">
        <f>"3059439"</f>
        <v>3059439</v>
      </c>
      <c r="B15129" t="s">
        <v>46168</v>
      </c>
      <c r="C15129" t="str">
        <f>"8315310"</f>
        <v>8315310</v>
      </c>
      <c r="D15129" t="s">
        <v>46169</v>
      </c>
      <c r="E15129" t="s">
        <v>46170</v>
      </c>
      <c r="F15129" t="s">
        <v>46171</v>
      </c>
      <c r="I15129" t="s">
        <v>29</v>
      </c>
      <c r="J15129" t="s">
        <v>30</v>
      </c>
      <c r="K15129" t="s">
        <v>46172</v>
      </c>
      <c r="M15129" t="s">
        <v>17861</v>
      </c>
      <c r="N15129" t="str">
        <f>"3/26/2021 9:30:00 AM"</f>
        <v>3/26/2021 9:30:00 AM</v>
      </c>
      <c r="O15129" t="s">
        <v>46169</v>
      </c>
      <c r="T15129" t="s">
        <v>46170</v>
      </c>
    </row>
    <row r="15130" spans="1:20" x14ac:dyDescent="0.25">
      <c r="A15130" t="str">
        <f>"3045685"</f>
        <v>3045685</v>
      </c>
      <c r="B15130" t="s">
        <v>46173</v>
      </c>
      <c r="C15130" t="str">
        <f>"8315393"</f>
        <v>8315393</v>
      </c>
      <c r="D15130" t="s">
        <v>46174</v>
      </c>
      <c r="E15130" t="s">
        <v>46175</v>
      </c>
      <c r="F15130" t="s">
        <v>46176</v>
      </c>
      <c r="I15130" t="s">
        <v>29</v>
      </c>
      <c r="J15130" t="s">
        <v>30</v>
      </c>
      <c r="K15130" t="str">
        <f>"27028"</f>
        <v>27028</v>
      </c>
      <c r="M15130" t="s">
        <v>17861</v>
      </c>
      <c r="N15130" t="str">
        <f>"4/8/2021 8:52:00 PM"</f>
        <v>4/8/2021 8:52:00 PM</v>
      </c>
      <c r="O15130" t="s">
        <v>46174</v>
      </c>
      <c r="T15130" t="s">
        <v>46175</v>
      </c>
    </row>
    <row r="15131" spans="1:20" x14ac:dyDescent="0.25">
      <c r="A15131" t="str">
        <f>"3041008"</f>
        <v>3041008</v>
      </c>
      <c r="B15131" t="s">
        <v>46177</v>
      </c>
      <c r="C15131" t="str">
        <f>"8315396"</f>
        <v>8315396</v>
      </c>
      <c r="D15131" t="s">
        <v>46178</v>
      </c>
      <c r="E15131" t="s">
        <v>46179</v>
      </c>
      <c r="F15131" t="s">
        <v>46180</v>
      </c>
      <c r="I15131" t="s">
        <v>184</v>
      </c>
      <c r="J15131" t="s">
        <v>30</v>
      </c>
      <c r="K15131" t="s">
        <v>46181</v>
      </c>
      <c r="M15131" t="s">
        <v>17861</v>
      </c>
      <c r="N15131" t="str">
        <f>"4/8/2021 9:07:00 PM"</f>
        <v>4/8/2021 9:07:00 PM</v>
      </c>
      <c r="O15131" t="s">
        <v>46178</v>
      </c>
      <c r="T15131" t="s">
        <v>46179</v>
      </c>
    </row>
    <row r="15132" spans="1:20" x14ac:dyDescent="0.25">
      <c r="A15132" t="str">
        <f>"3054347"</f>
        <v>3054347</v>
      </c>
      <c r="B15132" t="s">
        <v>46182</v>
      </c>
      <c r="C15132" t="str">
        <f>"8315397"</f>
        <v>8315397</v>
      </c>
      <c r="D15132" t="s">
        <v>46183</v>
      </c>
      <c r="E15132" t="s">
        <v>46184</v>
      </c>
      <c r="F15132" t="s">
        <v>46185</v>
      </c>
      <c r="I15132" t="s">
        <v>964</v>
      </c>
      <c r="J15132" t="s">
        <v>30</v>
      </c>
      <c r="K15132" t="s">
        <v>46186</v>
      </c>
      <c r="M15132" t="s">
        <v>17861</v>
      </c>
      <c r="N15132" t="str">
        <f>"4/8/2021 9:14:00 PM"</f>
        <v>4/8/2021 9:14:00 PM</v>
      </c>
      <c r="O15132" t="s">
        <v>46183</v>
      </c>
      <c r="T15132" t="s">
        <v>46184</v>
      </c>
    </row>
    <row r="15133" spans="1:20" x14ac:dyDescent="0.25">
      <c r="A15133" t="str">
        <f>"3057987"</f>
        <v>3057987</v>
      </c>
      <c r="B15133" t="s">
        <v>46187</v>
      </c>
      <c r="C15133" t="str">
        <f>"8315410"</f>
        <v>8315410</v>
      </c>
      <c r="D15133" t="s">
        <v>46188</v>
      </c>
      <c r="E15133" t="s">
        <v>46189</v>
      </c>
      <c r="F15133" t="s">
        <v>46190</v>
      </c>
      <c r="I15133" t="s">
        <v>184</v>
      </c>
      <c r="J15133" t="s">
        <v>30</v>
      </c>
      <c r="K15133" t="s">
        <v>44648</v>
      </c>
      <c r="M15133" t="s">
        <v>17861</v>
      </c>
      <c r="N15133" t="str">
        <f>"4/9/2021 12:58:00 PM"</f>
        <v>4/9/2021 12:58:00 PM</v>
      </c>
      <c r="O15133" t="s">
        <v>46188</v>
      </c>
      <c r="T15133" t="s">
        <v>46189</v>
      </c>
    </row>
    <row r="15134" spans="1:20" x14ac:dyDescent="0.25">
      <c r="A15134" t="str">
        <f>"3057732"</f>
        <v>3057732</v>
      </c>
      <c r="B15134" t="s">
        <v>46191</v>
      </c>
      <c r="C15134" t="str">
        <f>"8315411"</f>
        <v>8315411</v>
      </c>
      <c r="D15134" t="s">
        <v>46192</v>
      </c>
      <c r="F15134" t="s">
        <v>46193</v>
      </c>
      <c r="I15134" t="s">
        <v>29</v>
      </c>
      <c r="J15134" t="s">
        <v>30</v>
      </c>
      <c r="K15134" t="s">
        <v>45847</v>
      </c>
      <c r="M15134" t="s">
        <v>17861</v>
      </c>
      <c r="N15134" t="str">
        <f>"4/9/2021 2:47:00 PM"</f>
        <v>4/9/2021 2:47:00 PM</v>
      </c>
      <c r="O15134" t="s">
        <v>46192</v>
      </c>
    </row>
    <row r="15135" spans="1:20" x14ac:dyDescent="0.25">
      <c r="A15135" t="str">
        <f>"3057745"</f>
        <v>3057745</v>
      </c>
      <c r="B15135" t="s">
        <v>46194</v>
      </c>
      <c r="C15135" t="str">
        <f>"8315413"</f>
        <v>8315413</v>
      </c>
      <c r="D15135" t="s">
        <v>46195</v>
      </c>
      <c r="E15135" t="s">
        <v>46196</v>
      </c>
      <c r="F15135" t="s">
        <v>46197</v>
      </c>
      <c r="I15135" t="s">
        <v>29</v>
      </c>
      <c r="J15135" t="s">
        <v>30</v>
      </c>
      <c r="K15135" t="s">
        <v>38025</v>
      </c>
      <c r="M15135" t="s">
        <v>17861</v>
      </c>
      <c r="N15135" t="str">
        <f>"4/9/2021 3:08:00 PM"</f>
        <v>4/9/2021 3:08:00 PM</v>
      </c>
      <c r="O15135" t="s">
        <v>46195</v>
      </c>
      <c r="T15135" t="s">
        <v>46196</v>
      </c>
    </row>
    <row r="15136" spans="1:20" x14ac:dyDescent="0.25">
      <c r="A15136" t="str">
        <f>"3044630"</f>
        <v>3044630</v>
      </c>
      <c r="B15136" t="s">
        <v>46198</v>
      </c>
      <c r="C15136" t="str">
        <f>"8315416"</f>
        <v>8315416</v>
      </c>
      <c r="D15136" t="s">
        <v>46199</v>
      </c>
      <c r="E15136" t="s">
        <v>46200</v>
      </c>
      <c r="F15136" t="s">
        <v>46201</v>
      </c>
      <c r="I15136" t="s">
        <v>184</v>
      </c>
      <c r="J15136" t="s">
        <v>30</v>
      </c>
      <c r="K15136" t="s">
        <v>5840</v>
      </c>
      <c r="M15136" t="s">
        <v>17861</v>
      </c>
      <c r="N15136" t="str">
        <f>"4/12/2021 9:47:00 AM"</f>
        <v>4/12/2021 9:47:00 AM</v>
      </c>
      <c r="O15136" t="s">
        <v>46199</v>
      </c>
      <c r="T15136" t="s">
        <v>46200</v>
      </c>
    </row>
    <row r="15137" spans="1:20" x14ac:dyDescent="0.25">
      <c r="A15137" t="str">
        <f>"3049163"</f>
        <v>3049163</v>
      </c>
      <c r="B15137" t="s">
        <v>46202</v>
      </c>
      <c r="C15137" t="str">
        <f>"8302072"</f>
        <v>8302072</v>
      </c>
      <c r="D15137" t="s">
        <v>46203</v>
      </c>
      <c r="E15137" t="s">
        <v>46204</v>
      </c>
      <c r="F15137" t="str">
        <f>"C/O FIRST HORIZON BANK"</f>
        <v>C/O FIRST HORIZON BANK</v>
      </c>
      <c r="G15137" t="s">
        <v>46205</v>
      </c>
      <c r="I15137" t="s">
        <v>11345</v>
      </c>
      <c r="J15137" t="s">
        <v>11346</v>
      </c>
      <c r="K15137" t="s">
        <v>46206</v>
      </c>
      <c r="M15137" t="s">
        <v>25733</v>
      </c>
      <c r="N15137" t="str">
        <f>"4/22/2021 12:49:00 PM"</f>
        <v>4/22/2021 12:49:00 PM</v>
      </c>
      <c r="O15137" t="s">
        <v>46203</v>
      </c>
      <c r="T15137" t="s">
        <v>46204</v>
      </c>
    </row>
    <row r="15138" spans="1:20" x14ac:dyDescent="0.25">
      <c r="A15138" t="str">
        <f>"3058122"</f>
        <v>3058122</v>
      </c>
      <c r="B15138" t="s">
        <v>46207</v>
      </c>
      <c r="C15138" t="str">
        <f>"8315417"</f>
        <v>8315417</v>
      </c>
      <c r="D15138" t="s">
        <v>46208</v>
      </c>
      <c r="E15138" t="s">
        <v>46209</v>
      </c>
      <c r="F15138" t="s">
        <v>46210</v>
      </c>
      <c r="I15138" t="s">
        <v>184</v>
      </c>
      <c r="J15138" t="s">
        <v>30</v>
      </c>
      <c r="K15138" t="s">
        <v>39885</v>
      </c>
      <c r="M15138" t="s">
        <v>17861</v>
      </c>
      <c r="N15138" t="str">
        <f>"4/12/2021 9:50:00 AM"</f>
        <v>4/12/2021 9:50:00 AM</v>
      </c>
      <c r="O15138" t="s">
        <v>46208</v>
      </c>
      <c r="T15138" t="s">
        <v>46209</v>
      </c>
    </row>
    <row r="15139" spans="1:20" x14ac:dyDescent="0.25">
      <c r="A15139" t="str">
        <f>"3053849"</f>
        <v>3053849</v>
      </c>
      <c r="B15139" t="s">
        <v>46211</v>
      </c>
      <c r="C15139" t="str">
        <f>"8315419"</f>
        <v>8315419</v>
      </c>
      <c r="D15139" t="s">
        <v>46212</v>
      </c>
      <c r="F15139" t="s">
        <v>46213</v>
      </c>
      <c r="I15139" t="s">
        <v>29</v>
      </c>
      <c r="J15139" t="s">
        <v>30</v>
      </c>
      <c r="K15139" t="s">
        <v>43994</v>
      </c>
      <c r="M15139" t="s">
        <v>17861</v>
      </c>
      <c r="N15139" t="str">
        <f>"4/12/2021 10:31:00 AM"</f>
        <v>4/12/2021 10:31:00 AM</v>
      </c>
      <c r="O15139" t="s">
        <v>46212</v>
      </c>
    </row>
    <row r="15140" spans="1:20" x14ac:dyDescent="0.25">
      <c r="A15140" t="str">
        <f>"3049470"</f>
        <v>3049470</v>
      </c>
      <c r="B15140" t="s">
        <v>46214</v>
      </c>
      <c r="C15140" t="str">
        <f>"8315419"</f>
        <v>8315419</v>
      </c>
      <c r="D15140" t="s">
        <v>46212</v>
      </c>
      <c r="F15140" t="s">
        <v>46213</v>
      </c>
      <c r="I15140" t="s">
        <v>29</v>
      </c>
      <c r="J15140" t="s">
        <v>30</v>
      </c>
      <c r="K15140" t="s">
        <v>43994</v>
      </c>
      <c r="M15140" t="s">
        <v>17861</v>
      </c>
      <c r="N15140" t="str">
        <f>"4/12/2021 10:31:00 AM"</f>
        <v>4/12/2021 10:31:00 AM</v>
      </c>
      <c r="O15140" t="s">
        <v>46212</v>
      </c>
    </row>
    <row r="15141" spans="1:20" x14ac:dyDescent="0.25">
      <c r="A15141" t="str">
        <f>"3060569"</f>
        <v>3060569</v>
      </c>
      <c r="B15141" t="s">
        <v>46215</v>
      </c>
      <c r="C15141" t="str">
        <f>"8314644"</f>
        <v>8314644</v>
      </c>
      <c r="D15141" t="s">
        <v>46216</v>
      </c>
      <c r="F15141" t="s">
        <v>46217</v>
      </c>
      <c r="I15141" t="s">
        <v>2071</v>
      </c>
      <c r="J15141" t="s">
        <v>30</v>
      </c>
      <c r="K15141" t="str">
        <f>"27006"</f>
        <v>27006</v>
      </c>
      <c r="M15141" t="s">
        <v>18470</v>
      </c>
      <c r="N15141" t="str">
        <f>"4/13/2021 5:02:00 PM"</f>
        <v>4/13/2021 5:02:00 PM</v>
      </c>
      <c r="O15141" t="s">
        <v>46216</v>
      </c>
    </row>
    <row r="15142" spans="1:20" x14ac:dyDescent="0.25">
      <c r="A15142" t="str">
        <f>"3046252"</f>
        <v>3046252</v>
      </c>
      <c r="B15142" t="s">
        <v>46218</v>
      </c>
      <c r="C15142" t="str">
        <f>"8315425"</f>
        <v>8315425</v>
      </c>
      <c r="D15142" t="s">
        <v>30916</v>
      </c>
      <c r="E15142" t="s">
        <v>31078</v>
      </c>
      <c r="F15142" t="s">
        <v>46219</v>
      </c>
      <c r="I15142" t="s">
        <v>29</v>
      </c>
      <c r="J15142" t="s">
        <v>30</v>
      </c>
      <c r="K15142" t="s">
        <v>43527</v>
      </c>
      <c r="M15142" t="s">
        <v>17861</v>
      </c>
      <c r="N15142" t="str">
        <f>"4/14/2021 10:19:00 AM"</f>
        <v>4/14/2021 10:19:00 AM</v>
      </c>
      <c r="O15142" t="s">
        <v>30916</v>
      </c>
      <c r="T15142" t="s">
        <v>31078</v>
      </c>
    </row>
    <row r="15143" spans="1:20" x14ac:dyDescent="0.25">
      <c r="A15143" t="str">
        <f>"3047334"</f>
        <v>3047334</v>
      </c>
      <c r="B15143" t="s">
        <v>46220</v>
      </c>
      <c r="C15143" t="str">
        <f>"8315425"</f>
        <v>8315425</v>
      </c>
      <c r="D15143" t="s">
        <v>30916</v>
      </c>
      <c r="E15143" t="s">
        <v>31078</v>
      </c>
      <c r="F15143" t="s">
        <v>46219</v>
      </c>
      <c r="I15143" t="s">
        <v>29</v>
      </c>
      <c r="J15143" t="s">
        <v>30</v>
      </c>
      <c r="K15143" t="s">
        <v>43527</v>
      </c>
      <c r="M15143" t="s">
        <v>17861</v>
      </c>
      <c r="N15143" t="str">
        <f>"4/14/2021 10:19:00 AM"</f>
        <v>4/14/2021 10:19:00 AM</v>
      </c>
      <c r="O15143" t="s">
        <v>30916</v>
      </c>
      <c r="T15143" t="s">
        <v>31078</v>
      </c>
    </row>
    <row r="15144" spans="1:20" x14ac:dyDescent="0.25">
      <c r="A15144" t="str">
        <f>"3052419"</f>
        <v>3052419</v>
      </c>
      <c r="B15144" t="s">
        <v>46221</v>
      </c>
      <c r="C15144" t="str">
        <f>"8315433"</f>
        <v>8315433</v>
      </c>
      <c r="D15144" t="s">
        <v>46222</v>
      </c>
      <c r="F15144" t="s">
        <v>46223</v>
      </c>
      <c r="I15144" t="s">
        <v>3196</v>
      </c>
      <c r="J15144" t="s">
        <v>30</v>
      </c>
      <c r="K15144" t="str">
        <f>"28234"</f>
        <v>28234</v>
      </c>
      <c r="M15144" t="s">
        <v>17861</v>
      </c>
      <c r="N15144" t="str">
        <f>"4/15/2021 3:01:00 PM"</f>
        <v>4/15/2021 3:01:00 PM</v>
      </c>
      <c r="O15144" t="s">
        <v>46222</v>
      </c>
    </row>
    <row r="15145" spans="1:20" x14ac:dyDescent="0.25">
      <c r="A15145" t="str">
        <f>"3077008"</f>
        <v>3077008</v>
      </c>
      <c r="B15145" t="s">
        <v>46224</v>
      </c>
      <c r="C15145" t="str">
        <f>"8315434"</f>
        <v>8315434</v>
      </c>
      <c r="D15145" t="s">
        <v>46225</v>
      </c>
      <c r="F15145" t="s">
        <v>46226</v>
      </c>
      <c r="I15145" t="s">
        <v>29</v>
      </c>
      <c r="J15145" t="s">
        <v>30</v>
      </c>
      <c r="K15145" t="s">
        <v>46227</v>
      </c>
      <c r="M15145" t="s">
        <v>17861</v>
      </c>
      <c r="N15145" t="str">
        <f>"4/15/2021 3:09:00 PM"</f>
        <v>4/15/2021 3:09:00 PM</v>
      </c>
      <c r="O15145" t="s">
        <v>46225</v>
      </c>
    </row>
    <row r="15146" spans="1:20" x14ac:dyDescent="0.25">
      <c r="A15146" t="str">
        <f>"3060838"</f>
        <v>3060838</v>
      </c>
      <c r="B15146" t="s">
        <v>46228</v>
      </c>
      <c r="C15146" t="str">
        <f>"8315383"</f>
        <v>8315383</v>
      </c>
      <c r="D15146" t="s">
        <v>46229</v>
      </c>
      <c r="E15146" t="s">
        <v>46230</v>
      </c>
      <c r="F15146" t="s">
        <v>46231</v>
      </c>
      <c r="I15146" t="s">
        <v>184</v>
      </c>
      <c r="J15146" t="s">
        <v>30</v>
      </c>
      <c r="K15146" t="s">
        <v>4789</v>
      </c>
      <c r="M15146" t="s">
        <v>17861</v>
      </c>
      <c r="N15146" t="str">
        <f>"4/8/2021 2:28:00 PM"</f>
        <v>4/8/2021 2:28:00 PM</v>
      </c>
      <c r="O15146" t="s">
        <v>46229</v>
      </c>
      <c r="T15146" t="s">
        <v>46230</v>
      </c>
    </row>
    <row r="15147" spans="1:20" x14ac:dyDescent="0.25">
      <c r="A15147" t="str">
        <f>"3061263"</f>
        <v>3061263</v>
      </c>
      <c r="B15147" t="s">
        <v>46232</v>
      </c>
      <c r="C15147" t="str">
        <f>"8315387"</f>
        <v>8315387</v>
      </c>
      <c r="D15147" t="s">
        <v>46233</v>
      </c>
      <c r="F15147" t="s">
        <v>46234</v>
      </c>
      <c r="I15147" t="s">
        <v>2071</v>
      </c>
      <c r="J15147" t="s">
        <v>30</v>
      </c>
      <c r="K15147" t="s">
        <v>38066</v>
      </c>
      <c r="M15147" t="s">
        <v>17861</v>
      </c>
      <c r="N15147" t="str">
        <f>"4/8/2021 4:25:00 PM"</f>
        <v>4/8/2021 4:25:00 PM</v>
      </c>
      <c r="O15147" t="s">
        <v>46233</v>
      </c>
    </row>
    <row r="15148" spans="1:20" x14ac:dyDescent="0.25">
      <c r="A15148" t="str">
        <f>"3042386"</f>
        <v>3042386</v>
      </c>
      <c r="B15148" t="s">
        <v>46235</v>
      </c>
      <c r="C15148" t="str">
        <f>"8315389"</f>
        <v>8315389</v>
      </c>
      <c r="D15148" t="s">
        <v>46236</v>
      </c>
      <c r="E15148" t="s">
        <v>46237</v>
      </c>
      <c r="F15148" t="s">
        <v>46238</v>
      </c>
      <c r="I15148" t="s">
        <v>184</v>
      </c>
      <c r="J15148" t="s">
        <v>30</v>
      </c>
      <c r="K15148" t="s">
        <v>3457</v>
      </c>
      <c r="M15148" t="s">
        <v>17861</v>
      </c>
      <c r="N15148" t="str">
        <f>"4/8/2021 6:46:00 PM"</f>
        <v>4/8/2021 6:46:00 PM</v>
      </c>
      <c r="O15148" t="s">
        <v>46236</v>
      </c>
      <c r="T15148" t="s">
        <v>46237</v>
      </c>
    </row>
    <row r="15149" spans="1:20" x14ac:dyDescent="0.25">
      <c r="A15149" t="str">
        <f>"3037345"</f>
        <v>3037345</v>
      </c>
      <c r="B15149" t="s">
        <v>46239</v>
      </c>
      <c r="C15149" t="str">
        <f>"82518382"</f>
        <v>82518382</v>
      </c>
      <c r="D15149" t="s">
        <v>46240</v>
      </c>
      <c r="F15149" t="s">
        <v>46241</v>
      </c>
      <c r="I15149" t="s">
        <v>184</v>
      </c>
      <c r="J15149" t="s">
        <v>30</v>
      </c>
      <c r="K15149" t="s">
        <v>728</v>
      </c>
      <c r="M15149" t="s">
        <v>18479</v>
      </c>
      <c r="N15149" t="str">
        <f>"4/21/2021 2:17:00 PM"</f>
        <v>4/21/2021 2:17:00 PM</v>
      </c>
      <c r="O15149" t="s">
        <v>46240</v>
      </c>
    </row>
    <row r="15150" spans="1:20" x14ac:dyDescent="0.25">
      <c r="A15150" t="str">
        <f>"3053514"</f>
        <v>3053514</v>
      </c>
      <c r="B15150" t="s">
        <v>46242</v>
      </c>
      <c r="C15150" t="str">
        <f>"82530292"</f>
        <v>82530292</v>
      </c>
      <c r="D15150" t="s">
        <v>46243</v>
      </c>
      <c r="F15150" t="s">
        <v>46244</v>
      </c>
      <c r="I15150" t="s">
        <v>40897</v>
      </c>
      <c r="K15150" t="s">
        <v>46245</v>
      </c>
      <c r="M15150" t="s">
        <v>33845</v>
      </c>
      <c r="N15150" t="str">
        <f>"4/21/2021 2:40:00 PM"</f>
        <v>4/21/2021 2:40:00 PM</v>
      </c>
      <c r="O15150" t="s">
        <v>46243</v>
      </c>
    </row>
    <row r="15151" spans="1:20" x14ac:dyDescent="0.25">
      <c r="A15151" t="str">
        <f>"3051535"</f>
        <v>3051535</v>
      </c>
      <c r="B15151" t="s">
        <v>46246</v>
      </c>
      <c r="C15151" t="str">
        <f>"8315474"</f>
        <v>8315474</v>
      </c>
      <c r="D15151" t="s">
        <v>46247</v>
      </c>
      <c r="E15151" t="s">
        <v>46248</v>
      </c>
      <c r="F15151" t="s">
        <v>46249</v>
      </c>
      <c r="I15151" t="s">
        <v>29</v>
      </c>
      <c r="J15151" t="s">
        <v>30</v>
      </c>
      <c r="K15151" t="s">
        <v>11082</v>
      </c>
      <c r="M15151" t="s">
        <v>17861</v>
      </c>
      <c r="N15151" t="str">
        <f>"4/21/2021 3:16:00 PM"</f>
        <v>4/21/2021 3:16:00 PM</v>
      </c>
      <c r="O15151" t="s">
        <v>46247</v>
      </c>
      <c r="T15151" t="s">
        <v>46248</v>
      </c>
    </row>
    <row r="15152" spans="1:20" x14ac:dyDescent="0.25">
      <c r="A15152" t="str">
        <f>"3048584"</f>
        <v>3048584</v>
      </c>
      <c r="B15152" t="s">
        <v>46250</v>
      </c>
      <c r="C15152" t="str">
        <f>"8315476"</f>
        <v>8315476</v>
      </c>
      <c r="D15152" t="s">
        <v>46251</v>
      </c>
      <c r="E15152" t="s">
        <v>46252</v>
      </c>
      <c r="F15152" t="s">
        <v>46253</v>
      </c>
      <c r="I15152" t="s">
        <v>184</v>
      </c>
      <c r="J15152" t="s">
        <v>30</v>
      </c>
      <c r="K15152" t="s">
        <v>46254</v>
      </c>
      <c r="M15152" t="s">
        <v>17861</v>
      </c>
      <c r="N15152" t="str">
        <f>"4/21/2021 4:05:00 PM"</f>
        <v>4/21/2021 4:05:00 PM</v>
      </c>
      <c r="O15152" t="s">
        <v>46251</v>
      </c>
      <c r="T15152" t="s">
        <v>46252</v>
      </c>
    </row>
    <row r="15153" spans="1:20" x14ac:dyDescent="0.25">
      <c r="A15153" t="str">
        <f>"3053496"</f>
        <v>3053496</v>
      </c>
      <c r="B15153" t="s">
        <v>46255</v>
      </c>
      <c r="C15153" t="str">
        <f>"8315485"</f>
        <v>8315485</v>
      </c>
      <c r="D15153" t="s">
        <v>46256</v>
      </c>
      <c r="E15153" t="s">
        <v>46257</v>
      </c>
      <c r="F15153" t="s">
        <v>46258</v>
      </c>
      <c r="I15153" t="s">
        <v>29</v>
      </c>
      <c r="J15153" t="s">
        <v>30</v>
      </c>
      <c r="K15153" t="s">
        <v>13989</v>
      </c>
      <c r="M15153" t="s">
        <v>17861</v>
      </c>
      <c r="N15153" t="str">
        <f>"5/3/2021 4:06:00 PM"</f>
        <v>5/3/2021 4:06:00 PM</v>
      </c>
      <c r="O15153" t="s">
        <v>46256</v>
      </c>
      <c r="T15153" t="s">
        <v>46257</v>
      </c>
    </row>
    <row r="15154" spans="1:20" x14ac:dyDescent="0.25">
      <c r="A15154" t="str">
        <f>"3051013"</f>
        <v>3051013</v>
      </c>
      <c r="B15154" t="s">
        <v>46259</v>
      </c>
      <c r="C15154" t="str">
        <f>"8315477"</f>
        <v>8315477</v>
      </c>
      <c r="D15154" t="s">
        <v>46260</v>
      </c>
      <c r="F15154" t="s">
        <v>46261</v>
      </c>
      <c r="I15154" t="s">
        <v>32123</v>
      </c>
      <c r="J15154" t="s">
        <v>30</v>
      </c>
      <c r="K15154" t="s">
        <v>46262</v>
      </c>
      <c r="M15154" t="s">
        <v>17861</v>
      </c>
      <c r="N15154" t="str">
        <f>"4/22/2021 9:46:00 AM"</f>
        <v>4/22/2021 9:46:00 AM</v>
      </c>
      <c r="O15154" t="s">
        <v>46260</v>
      </c>
    </row>
    <row r="15155" spans="1:20" x14ac:dyDescent="0.25">
      <c r="A15155" t="str">
        <f>"3049048"</f>
        <v>3049048</v>
      </c>
      <c r="B15155" t="s">
        <v>46263</v>
      </c>
      <c r="C15155" t="str">
        <f>"8302072"</f>
        <v>8302072</v>
      </c>
      <c r="D15155" t="s">
        <v>46203</v>
      </c>
      <c r="E15155" t="s">
        <v>46204</v>
      </c>
      <c r="F15155" t="str">
        <f>"C/O FIRST HORIZON BANK"</f>
        <v>C/O FIRST HORIZON BANK</v>
      </c>
      <c r="G15155" t="s">
        <v>46205</v>
      </c>
      <c r="I15155" t="s">
        <v>11345</v>
      </c>
      <c r="J15155" t="s">
        <v>11346</v>
      </c>
      <c r="K15155" t="s">
        <v>46206</v>
      </c>
      <c r="M15155" t="s">
        <v>25733</v>
      </c>
      <c r="N15155" t="str">
        <f>"4/22/2021 12:49:00 PM"</f>
        <v>4/22/2021 12:49:00 PM</v>
      </c>
      <c r="O15155" t="s">
        <v>46203</v>
      </c>
      <c r="T15155" t="s">
        <v>46204</v>
      </c>
    </row>
    <row r="15156" spans="1:20" x14ac:dyDescent="0.25">
      <c r="A15156" t="str">
        <f>"3045626"</f>
        <v>3045626</v>
      </c>
      <c r="B15156" t="s">
        <v>46264</v>
      </c>
      <c r="C15156" t="str">
        <f>"8315451"</f>
        <v>8315451</v>
      </c>
      <c r="D15156" t="s">
        <v>46265</v>
      </c>
      <c r="E15156" t="s">
        <v>46266</v>
      </c>
      <c r="F15156" t="s">
        <v>38515</v>
      </c>
      <c r="I15156" t="s">
        <v>29</v>
      </c>
      <c r="J15156" t="s">
        <v>30</v>
      </c>
      <c r="K15156" t="s">
        <v>34844</v>
      </c>
      <c r="M15156" t="s">
        <v>17861</v>
      </c>
      <c r="N15156" t="str">
        <f>"4/16/2021 12:12:00 PM"</f>
        <v>4/16/2021 12:12:00 PM</v>
      </c>
      <c r="O15156" t="s">
        <v>46265</v>
      </c>
      <c r="T15156" t="s">
        <v>46266</v>
      </c>
    </row>
    <row r="15157" spans="1:20" x14ac:dyDescent="0.25">
      <c r="A15157" t="str">
        <f>"3062538"</f>
        <v>3062538</v>
      </c>
      <c r="B15157" t="s">
        <v>46267</v>
      </c>
      <c r="C15157" t="str">
        <f>"8315489"</f>
        <v>8315489</v>
      </c>
      <c r="D15157" t="s">
        <v>46268</v>
      </c>
      <c r="F15157" t="s">
        <v>41367</v>
      </c>
      <c r="I15157" t="s">
        <v>36222</v>
      </c>
      <c r="J15157" t="s">
        <v>3737</v>
      </c>
      <c r="K15157" t="str">
        <f>"78746"</f>
        <v>78746</v>
      </c>
      <c r="M15157" t="s">
        <v>17861</v>
      </c>
      <c r="N15157" t="str">
        <f>"5/4/2021 8:52:00 AM"</f>
        <v>5/4/2021 8:52:00 AM</v>
      </c>
      <c r="O15157" t="s">
        <v>46268</v>
      </c>
    </row>
    <row r="15158" spans="1:20" x14ac:dyDescent="0.25">
      <c r="A15158" t="str">
        <f>"3055193"</f>
        <v>3055193</v>
      </c>
      <c r="B15158" t="s">
        <v>46269</v>
      </c>
      <c r="C15158" t="str">
        <f>"8315452"</f>
        <v>8315452</v>
      </c>
      <c r="D15158" t="s">
        <v>46270</v>
      </c>
      <c r="F15158" t="s">
        <v>46271</v>
      </c>
      <c r="I15158" t="s">
        <v>29</v>
      </c>
      <c r="J15158" t="s">
        <v>30</v>
      </c>
      <c r="K15158" t="s">
        <v>46272</v>
      </c>
      <c r="M15158" t="s">
        <v>17861</v>
      </c>
      <c r="N15158" t="str">
        <f>"4/16/2021 3:44:00 PM"</f>
        <v>4/16/2021 3:44:00 PM</v>
      </c>
      <c r="O15158" t="s">
        <v>46270</v>
      </c>
    </row>
    <row r="15159" spans="1:20" x14ac:dyDescent="0.25">
      <c r="A15159" t="str">
        <f>"3053369"</f>
        <v>3053369</v>
      </c>
      <c r="B15159" t="s">
        <v>46273</v>
      </c>
      <c r="C15159" t="str">
        <f t="shared" ref="C15159:C15173" si="238">"8315490"</f>
        <v>8315490</v>
      </c>
      <c r="D15159" t="s">
        <v>46274</v>
      </c>
      <c r="F15159" t="s">
        <v>40452</v>
      </c>
      <c r="I15159" t="s">
        <v>37599</v>
      </c>
      <c r="J15159" t="s">
        <v>30</v>
      </c>
      <c r="K15159" t="s">
        <v>40453</v>
      </c>
      <c r="M15159" t="s">
        <v>17861</v>
      </c>
      <c r="N15159" t="str">
        <f t="shared" ref="N15159:N15173" si="239">"5/4/2021 9:17:00 AM"</f>
        <v>5/4/2021 9:17:00 AM</v>
      </c>
      <c r="O15159" t="s">
        <v>46274</v>
      </c>
    </row>
    <row r="15160" spans="1:20" x14ac:dyDescent="0.25">
      <c r="A15160" t="str">
        <f>"3053363"</f>
        <v>3053363</v>
      </c>
      <c r="B15160" t="s">
        <v>46275</v>
      </c>
      <c r="C15160" t="str">
        <f t="shared" si="238"/>
        <v>8315490</v>
      </c>
      <c r="D15160" t="s">
        <v>46274</v>
      </c>
      <c r="F15160" t="s">
        <v>40452</v>
      </c>
      <c r="I15160" t="s">
        <v>37599</v>
      </c>
      <c r="J15160" t="s">
        <v>30</v>
      </c>
      <c r="K15160" t="s">
        <v>40453</v>
      </c>
      <c r="M15160" t="s">
        <v>17861</v>
      </c>
      <c r="N15160" t="str">
        <f t="shared" si="239"/>
        <v>5/4/2021 9:17:00 AM</v>
      </c>
      <c r="O15160" t="s">
        <v>46274</v>
      </c>
    </row>
    <row r="15161" spans="1:20" x14ac:dyDescent="0.25">
      <c r="A15161" t="str">
        <f>"3053364"</f>
        <v>3053364</v>
      </c>
      <c r="B15161" t="s">
        <v>46276</v>
      </c>
      <c r="C15161" t="str">
        <f t="shared" si="238"/>
        <v>8315490</v>
      </c>
      <c r="D15161" t="s">
        <v>46274</v>
      </c>
      <c r="F15161" t="s">
        <v>40452</v>
      </c>
      <c r="I15161" t="s">
        <v>37599</v>
      </c>
      <c r="J15161" t="s">
        <v>30</v>
      </c>
      <c r="K15161" t="s">
        <v>40453</v>
      </c>
      <c r="M15161" t="s">
        <v>17861</v>
      </c>
      <c r="N15161" t="str">
        <f t="shared" si="239"/>
        <v>5/4/2021 9:17:00 AM</v>
      </c>
      <c r="O15161" t="s">
        <v>46274</v>
      </c>
    </row>
    <row r="15162" spans="1:20" x14ac:dyDescent="0.25">
      <c r="A15162" t="str">
        <f>"3053366"</f>
        <v>3053366</v>
      </c>
      <c r="B15162" t="s">
        <v>46277</v>
      </c>
      <c r="C15162" t="str">
        <f t="shared" si="238"/>
        <v>8315490</v>
      </c>
      <c r="D15162" t="s">
        <v>46274</v>
      </c>
      <c r="F15162" t="s">
        <v>40452</v>
      </c>
      <c r="I15162" t="s">
        <v>37599</v>
      </c>
      <c r="J15162" t="s">
        <v>30</v>
      </c>
      <c r="K15162" t="s">
        <v>40453</v>
      </c>
      <c r="M15162" t="s">
        <v>17861</v>
      </c>
      <c r="N15162" t="str">
        <f t="shared" si="239"/>
        <v>5/4/2021 9:17:00 AM</v>
      </c>
      <c r="O15162" t="s">
        <v>46274</v>
      </c>
    </row>
    <row r="15163" spans="1:20" x14ac:dyDescent="0.25">
      <c r="A15163" t="str">
        <f>"3053346"</f>
        <v>3053346</v>
      </c>
      <c r="B15163" t="s">
        <v>46278</v>
      </c>
      <c r="C15163" t="str">
        <f t="shared" si="238"/>
        <v>8315490</v>
      </c>
      <c r="D15163" t="s">
        <v>46274</v>
      </c>
      <c r="F15163" t="s">
        <v>40452</v>
      </c>
      <c r="I15163" t="s">
        <v>37599</v>
      </c>
      <c r="J15163" t="s">
        <v>30</v>
      </c>
      <c r="K15163" t="s">
        <v>40453</v>
      </c>
      <c r="M15163" t="s">
        <v>17861</v>
      </c>
      <c r="N15163" t="str">
        <f t="shared" si="239"/>
        <v>5/4/2021 9:17:00 AM</v>
      </c>
      <c r="O15163" t="s">
        <v>46274</v>
      </c>
    </row>
    <row r="15164" spans="1:20" x14ac:dyDescent="0.25">
      <c r="A15164" t="str">
        <f>"3053347"</f>
        <v>3053347</v>
      </c>
      <c r="B15164" t="s">
        <v>46279</v>
      </c>
      <c r="C15164" t="str">
        <f t="shared" si="238"/>
        <v>8315490</v>
      </c>
      <c r="D15164" t="s">
        <v>46274</v>
      </c>
      <c r="F15164" t="s">
        <v>40452</v>
      </c>
      <c r="I15164" t="s">
        <v>37599</v>
      </c>
      <c r="J15164" t="s">
        <v>30</v>
      </c>
      <c r="K15164" t="s">
        <v>40453</v>
      </c>
      <c r="M15164" t="s">
        <v>17861</v>
      </c>
      <c r="N15164" t="str">
        <f t="shared" si="239"/>
        <v>5/4/2021 9:17:00 AM</v>
      </c>
      <c r="O15164" t="s">
        <v>46274</v>
      </c>
    </row>
    <row r="15165" spans="1:20" x14ac:dyDescent="0.25">
      <c r="A15165" t="str">
        <f>"3053344"</f>
        <v>3053344</v>
      </c>
      <c r="B15165" t="s">
        <v>46280</v>
      </c>
      <c r="C15165" t="str">
        <f t="shared" si="238"/>
        <v>8315490</v>
      </c>
      <c r="D15165" t="s">
        <v>46274</v>
      </c>
      <c r="F15165" t="s">
        <v>40452</v>
      </c>
      <c r="I15165" t="s">
        <v>37599</v>
      </c>
      <c r="J15165" t="s">
        <v>30</v>
      </c>
      <c r="K15165" t="s">
        <v>40453</v>
      </c>
      <c r="M15165" t="s">
        <v>17861</v>
      </c>
      <c r="N15165" t="str">
        <f t="shared" si="239"/>
        <v>5/4/2021 9:17:00 AM</v>
      </c>
      <c r="O15165" t="s">
        <v>46274</v>
      </c>
    </row>
    <row r="15166" spans="1:20" x14ac:dyDescent="0.25">
      <c r="A15166" t="str">
        <f>"3053345"</f>
        <v>3053345</v>
      </c>
      <c r="B15166" t="s">
        <v>46281</v>
      </c>
      <c r="C15166" t="str">
        <f t="shared" si="238"/>
        <v>8315490</v>
      </c>
      <c r="D15166" t="s">
        <v>46274</v>
      </c>
      <c r="F15166" t="s">
        <v>40452</v>
      </c>
      <c r="I15166" t="s">
        <v>37599</v>
      </c>
      <c r="J15166" t="s">
        <v>30</v>
      </c>
      <c r="K15166" t="s">
        <v>40453</v>
      </c>
      <c r="M15166" t="s">
        <v>17861</v>
      </c>
      <c r="N15166" t="str">
        <f t="shared" si="239"/>
        <v>5/4/2021 9:17:00 AM</v>
      </c>
      <c r="O15166" t="s">
        <v>46274</v>
      </c>
    </row>
    <row r="15167" spans="1:20" x14ac:dyDescent="0.25">
      <c r="A15167" t="str">
        <f>"3053315"</f>
        <v>3053315</v>
      </c>
      <c r="B15167" t="s">
        <v>46282</v>
      </c>
      <c r="C15167" t="str">
        <f t="shared" si="238"/>
        <v>8315490</v>
      </c>
      <c r="D15167" t="s">
        <v>46274</v>
      </c>
      <c r="F15167" t="s">
        <v>40452</v>
      </c>
      <c r="I15167" t="s">
        <v>37599</v>
      </c>
      <c r="J15167" t="s">
        <v>30</v>
      </c>
      <c r="K15167" t="s">
        <v>40453</v>
      </c>
      <c r="M15167" t="s">
        <v>17861</v>
      </c>
      <c r="N15167" t="str">
        <f t="shared" si="239"/>
        <v>5/4/2021 9:17:00 AM</v>
      </c>
      <c r="O15167" t="s">
        <v>46274</v>
      </c>
    </row>
    <row r="15168" spans="1:20" x14ac:dyDescent="0.25">
      <c r="A15168" t="str">
        <f>"3053316"</f>
        <v>3053316</v>
      </c>
      <c r="B15168" t="s">
        <v>46283</v>
      </c>
      <c r="C15168" t="str">
        <f t="shared" si="238"/>
        <v>8315490</v>
      </c>
      <c r="D15168" t="s">
        <v>46274</v>
      </c>
      <c r="F15168" t="s">
        <v>40452</v>
      </c>
      <c r="I15168" t="s">
        <v>37599</v>
      </c>
      <c r="J15168" t="s">
        <v>30</v>
      </c>
      <c r="K15168" t="s">
        <v>40453</v>
      </c>
      <c r="M15168" t="s">
        <v>17861</v>
      </c>
      <c r="N15168" t="str">
        <f t="shared" si="239"/>
        <v>5/4/2021 9:17:00 AM</v>
      </c>
      <c r="O15168" t="s">
        <v>46274</v>
      </c>
    </row>
    <row r="15169" spans="1:20" x14ac:dyDescent="0.25">
      <c r="A15169" t="str">
        <f>"3053314"</f>
        <v>3053314</v>
      </c>
      <c r="B15169" t="s">
        <v>46284</v>
      </c>
      <c r="C15169" t="str">
        <f t="shared" si="238"/>
        <v>8315490</v>
      </c>
      <c r="D15169" t="s">
        <v>46274</v>
      </c>
      <c r="F15169" t="s">
        <v>40452</v>
      </c>
      <c r="I15169" t="s">
        <v>37599</v>
      </c>
      <c r="J15169" t="s">
        <v>30</v>
      </c>
      <c r="K15169" t="s">
        <v>40453</v>
      </c>
      <c r="M15169" t="s">
        <v>17861</v>
      </c>
      <c r="N15169" t="str">
        <f t="shared" si="239"/>
        <v>5/4/2021 9:17:00 AM</v>
      </c>
      <c r="O15169" t="s">
        <v>46274</v>
      </c>
    </row>
    <row r="15170" spans="1:20" x14ac:dyDescent="0.25">
      <c r="A15170" t="str">
        <f>"3053324"</f>
        <v>3053324</v>
      </c>
      <c r="B15170" t="s">
        <v>46285</v>
      </c>
      <c r="C15170" t="str">
        <f t="shared" si="238"/>
        <v>8315490</v>
      </c>
      <c r="D15170" t="s">
        <v>46274</v>
      </c>
      <c r="F15170" t="s">
        <v>40452</v>
      </c>
      <c r="I15170" t="s">
        <v>37599</v>
      </c>
      <c r="J15170" t="s">
        <v>30</v>
      </c>
      <c r="K15170" t="s">
        <v>40453</v>
      </c>
      <c r="M15170" t="s">
        <v>17861</v>
      </c>
      <c r="N15170" t="str">
        <f t="shared" si="239"/>
        <v>5/4/2021 9:17:00 AM</v>
      </c>
      <c r="O15170" t="s">
        <v>46274</v>
      </c>
    </row>
    <row r="15171" spans="1:20" x14ac:dyDescent="0.25">
      <c r="A15171" t="str">
        <f>"3053325"</f>
        <v>3053325</v>
      </c>
      <c r="B15171" t="s">
        <v>46286</v>
      </c>
      <c r="C15171" t="str">
        <f t="shared" si="238"/>
        <v>8315490</v>
      </c>
      <c r="D15171" t="s">
        <v>46274</v>
      </c>
      <c r="F15171" t="s">
        <v>40452</v>
      </c>
      <c r="I15171" t="s">
        <v>37599</v>
      </c>
      <c r="J15171" t="s">
        <v>30</v>
      </c>
      <c r="K15171" t="s">
        <v>40453</v>
      </c>
      <c r="M15171" t="s">
        <v>17861</v>
      </c>
      <c r="N15171" t="str">
        <f t="shared" si="239"/>
        <v>5/4/2021 9:17:00 AM</v>
      </c>
      <c r="O15171" t="s">
        <v>46274</v>
      </c>
    </row>
    <row r="15172" spans="1:20" x14ac:dyDescent="0.25">
      <c r="A15172" t="str">
        <f>"3053326"</f>
        <v>3053326</v>
      </c>
      <c r="B15172" t="s">
        <v>46287</v>
      </c>
      <c r="C15172" t="str">
        <f t="shared" si="238"/>
        <v>8315490</v>
      </c>
      <c r="D15172" t="s">
        <v>46274</v>
      </c>
      <c r="F15172" t="s">
        <v>40452</v>
      </c>
      <c r="I15172" t="s">
        <v>37599</v>
      </c>
      <c r="J15172" t="s">
        <v>30</v>
      </c>
      <c r="K15172" t="s">
        <v>40453</v>
      </c>
      <c r="M15172" t="s">
        <v>17861</v>
      </c>
      <c r="N15172" t="str">
        <f t="shared" si="239"/>
        <v>5/4/2021 9:17:00 AM</v>
      </c>
      <c r="O15172" t="s">
        <v>46274</v>
      </c>
    </row>
    <row r="15173" spans="1:20" x14ac:dyDescent="0.25">
      <c r="A15173" t="str">
        <f>"3052163"</f>
        <v>3052163</v>
      </c>
      <c r="B15173" t="s">
        <v>46288</v>
      </c>
      <c r="C15173" t="str">
        <f t="shared" si="238"/>
        <v>8315490</v>
      </c>
      <c r="D15173" t="s">
        <v>46274</v>
      </c>
      <c r="F15173" t="s">
        <v>40452</v>
      </c>
      <c r="I15173" t="s">
        <v>37599</v>
      </c>
      <c r="J15173" t="s">
        <v>30</v>
      </c>
      <c r="K15173" t="s">
        <v>40453</v>
      </c>
      <c r="M15173" t="s">
        <v>17861</v>
      </c>
      <c r="N15173" t="str">
        <f t="shared" si="239"/>
        <v>5/4/2021 9:17:00 AM</v>
      </c>
      <c r="O15173" t="s">
        <v>46274</v>
      </c>
    </row>
    <row r="15174" spans="1:20" x14ac:dyDescent="0.25">
      <c r="A15174" t="str">
        <f>"3053539"</f>
        <v>3053539</v>
      </c>
      <c r="B15174" t="s">
        <v>46289</v>
      </c>
      <c r="C15174" t="str">
        <f>"8315493"</f>
        <v>8315493</v>
      </c>
      <c r="D15174" t="s">
        <v>46290</v>
      </c>
      <c r="E15174" t="s">
        <v>46291</v>
      </c>
      <c r="F15174" t="s">
        <v>46292</v>
      </c>
      <c r="I15174" t="s">
        <v>29</v>
      </c>
      <c r="J15174" t="s">
        <v>30</v>
      </c>
      <c r="K15174" t="s">
        <v>43740</v>
      </c>
      <c r="M15174" t="s">
        <v>17861</v>
      </c>
      <c r="N15174" t="str">
        <f>"5/4/2021 10:05:00 AM"</f>
        <v>5/4/2021 10:05:00 AM</v>
      </c>
      <c r="O15174" t="s">
        <v>46290</v>
      </c>
      <c r="T15174" t="s">
        <v>46291</v>
      </c>
    </row>
    <row r="15175" spans="1:20" x14ac:dyDescent="0.25">
      <c r="A15175" t="str">
        <f>"3066088"</f>
        <v>3066088</v>
      </c>
      <c r="B15175" t="s">
        <v>46293</v>
      </c>
      <c r="C15175" t="str">
        <f>"8315494"</f>
        <v>8315494</v>
      </c>
      <c r="D15175" t="s">
        <v>46294</v>
      </c>
      <c r="E15175" t="s">
        <v>46295</v>
      </c>
      <c r="F15175" t="s">
        <v>46296</v>
      </c>
      <c r="I15175" t="s">
        <v>29</v>
      </c>
      <c r="J15175" t="s">
        <v>30</v>
      </c>
      <c r="K15175" t="s">
        <v>9678</v>
      </c>
      <c r="M15175" t="s">
        <v>17861</v>
      </c>
      <c r="N15175" t="str">
        <f>"5/4/2021 10:08:00 AM"</f>
        <v>5/4/2021 10:08:00 AM</v>
      </c>
      <c r="O15175" t="s">
        <v>46294</v>
      </c>
      <c r="T15175" t="s">
        <v>46295</v>
      </c>
    </row>
    <row r="15176" spans="1:20" x14ac:dyDescent="0.25">
      <c r="A15176" t="str">
        <f>"3058864"</f>
        <v>3058864</v>
      </c>
      <c r="B15176" t="s">
        <v>46297</v>
      </c>
      <c r="C15176" t="str">
        <f>"8315495"</f>
        <v>8315495</v>
      </c>
      <c r="D15176" t="s">
        <v>46298</v>
      </c>
      <c r="E15176" t="s">
        <v>46299</v>
      </c>
      <c r="F15176" t="s">
        <v>46300</v>
      </c>
      <c r="I15176" t="s">
        <v>29</v>
      </c>
      <c r="J15176" t="s">
        <v>30</v>
      </c>
      <c r="K15176" t="s">
        <v>41630</v>
      </c>
      <c r="M15176" t="s">
        <v>17861</v>
      </c>
      <c r="N15176" t="str">
        <f>"5/4/2021 10:12:00 AM"</f>
        <v>5/4/2021 10:12:00 AM</v>
      </c>
      <c r="O15176" t="s">
        <v>46298</v>
      </c>
      <c r="T15176" t="s">
        <v>46299</v>
      </c>
    </row>
    <row r="15177" spans="1:20" x14ac:dyDescent="0.25">
      <c r="A15177" t="str">
        <f>"3059352"</f>
        <v>3059352</v>
      </c>
      <c r="B15177" t="s">
        <v>46301</v>
      </c>
      <c r="C15177" t="str">
        <f>"8315459"</f>
        <v>8315459</v>
      </c>
      <c r="D15177" t="s">
        <v>46302</v>
      </c>
      <c r="F15177" t="s">
        <v>46303</v>
      </c>
      <c r="I15177" t="s">
        <v>29</v>
      </c>
      <c r="J15177" t="s">
        <v>30</v>
      </c>
      <c r="K15177" t="s">
        <v>46304</v>
      </c>
      <c r="M15177" t="s">
        <v>17861</v>
      </c>
      <c r="N15177" t="str">
        <f>"4/16/2021 4:34:00 PM"</f>
        <v>4/16/2021 4:34:00 PM</v>
      </c>
      <c r="O15177" t="s">
        <v>46302</v>
      </c>
    </row>
    <row r="15178" spans="1:20" x14ac:dyDescent="0.25">
      <c r="A15178" t="str">
        <f>"3038946"</f>
        <v>3038946</v>
      </c>
      <c r="B15178" t="s">
        <v>46305</v>
      </c>
      <c r="C15178" t="str">
        <f>"8315460"</f>
        <v>8315460</v>
      </c>
      <c r="D15178" t="s">
        <v>46306</v>
      </c>
      <c r="E15178" t="s">
        <v>46307</v>
      </c>
      <c r="F15178" t="s">
        <v>46308</v>
      </c>
      <c r="I15178" t="s">
        <v>402</v>
      </c>
      <c r="J15178" t="s">
        <v>30</v>
      </c>
      <c r="K15178" t="s">
        <v>46309</v>
      </c>
      <c r="M15178" t="s">
        <v>17861</v>
      </c>
      <c r="N15178" t="str">
        <f>"4/19/2021 9:27:00 AM"</f>
        <v>4/19/2021 9:27:00 AM</v>
      </c>
      <c r="O15178" t="s">
        <v>46306</v>
      </c>
      <c r="T15178" t="s">
        <v>46307</v>
      </c>
    </row>
    <row r="15179" spans="1:20" x14ac:dyDescent="0.25">
      <c r="A15179" t="str">
        <f>"3042599"</f>
        <v>3042599</v>
      </c>
      <c r="B15179" t="s">
        <v>46310</v>
      </c>
      <c r="C15179" t="str">
        <f>"8315461"</f>
        <v>8315461</v>
      </c>
      <c r="D15179" t="s">
        <v>46311</v>
      </c>
      <c r="F15179" t="s">
        <v>46312</v>
      </c>
      <c r="I15179" t="s">
        <v>29</v>
      </c>
      <c r="J15179" t="s">
        <v>30</v>
      </c>
      <c r="K15179" t="s">
        <v>46313</v>
      </c>
      <c r="M15179" t="s">
        <v>17861</v>
      </c>
      <c r="N15179" t="str">
        <f>"4/19/2021 10:46:00 AM"</f>
        <v>4/19/2021 10:46:00 AM</v>
      </c>
      <c r="O15179" t="s">
        <v>46311</v>
      </c>
    </row>
    <row r="15180" spans="1:20" x14ac:dyDescent="0.25">
      <c r="A15180" t="str">
        <f>"3080571"</f>
        <v>3080571</v>
      </c>
      <c r="B15180" t="s">
        <v>46314</v>
      </c>
      <c r="C15180" t="str">
        <f>"82520084"</f>
        <v>82520084</v>
      </c>
      <c r="D15180" t="s">
        <v>46315</v>
      </c>
      <c r="F15180" t="s">
        <v>46316</v>
      </c>
      <c r="I15180" t="s">
        <v>23790</v>
      </c>
      <c r="J15180" t="s">
        <v>30</v>
      </c>
      <c r="K15180" t="s">
        <v>40030</v>
      </c>
      <c r="M15180" t="s">
        <v>17861</v>
      </c>
      <c r="N15180" t="str">
        <f>"4/19/2021 2:43:00 PM"</f>
        <v>4/19/2021 2:43:00 PM</v>
      </c>
      <c r="O15180" t="s">
        <v>46315</v>
      </c>
    </row>
    <row r="15181" spans="1:20" x14ac:dyDescent="0.25">
      <c r="A15181" t="str">
        <f>"3038617"</f>
        <v>3038617</v>
      </c>
      <c r="B15181" t="s">
        <v>46317</v>
      </c>
      <c r="C15181" t="str">
        <f>"8315469"</f>
        <v>8315469</v>
      </c>
      <c r="D15181" t="s">
        <v>46318</v>
      </c>
      <c r="E15181" t="s">
        <v>46319</v>
      </c>
      <c r="F15181" t="s">
        <v>46320</v>
      </c>
      <c r="I15181" t="s">
        <v>29</v>
      </c>
      <c r="J15181" t="s">
        <v>30</v>
      </c>
      <c r="K15181" t="s">
        <v>35430</v>
      </c>
      <c r="M15181" t="s">
        <v>17861</v>
      </c>
      <c r="N15181" t="str">
        <f>"4/21/2021 10:56:00 AM"</f>
        <v>4/21/2021 10:56:00 AM</v>
      </c>
      <c r="O15181" t="s">
        <v>46318</v>
      </c>
      <c r="T15181" t="s">
        <v>46319</v>
      </c>
    </row>
    <row r="15182" spans="1:20" x14ac:dyDescent="0.25">
      <c r="A15182" t="str">
        <f>"3061918"</f>
        <v>3061918</v>
      </c>
      <c r="B15182" t="s">
        <v>46321</v>
      </c>
      <c r="C15182" t="str">
        <f>"8315510"</f>
        <v>8315510</v>
      </c>
      <c r="D15182" t="s">
        <v>46322</v>
      </c>
      <c r="F15182" t="s">
        <v>46323</v>
      </c>
      <c r="I15182" t="s">
        <v>29</v>
      </c>
      <c r="J15182" t="s">
        <v>30</v>
      </c>
      <c r="K15182" t="s">
        <v>41190</v>
      </c>
      <c r="M15182" t="s">
        <v>17861</v>
      </c>
      <c r="N15182" t="str">
        <f>"5/5/2021 9:42:00 AM"</f>
        <v>5/5/2021 9:42:00 AM</v>
      </c>
      <c r="O15182" t="s">
        <v>46322</v>
      </c>
    </row>
    <row r="15183" spans="1:20" x14ac:dyDescent="0.25">
      <c r="A15183" t="str">
        <f>"3047950"</f>
        <v>3047950</v>
      </c>
      <c r="B15183" t="s">
        <v>46324</v>
      </c>
      <c r="C15183" t="str">
        <f>"8315512"</f>
        <v>8315512</v>
      </c>
      <c r="D15183" t="s">
        <v>46325</v>
      </c>
      <c r="F15183" t="s">
        <v>46326</v>
      </c>
      <c r="I15183" t="s">
        <v>184</v>
      </c>
      <c r="J15183" t="s">
        <v>30</v>
      </c>
      <c r="K15183" t="s">
        <v>46327</v>
      </c>
      <c r="M15183" t="s">
        <v>17861</v>
      </c>
      <c r="N15183" t="str">
        <f>"5/5/2021 9:54:00 AM"</f>
        <v>5/5/2021 9:54:00 AM</v>
      </c>
      <c r="O15183" t="s">
        <v>46325</v>
      </c>
    </row>
    <row r="15184" spans="1:20" x14ac:dyDescent="0.25">
      <c r="A15184" t="str">
        <f>"3060104"</f>
        <v>3060104</v>
      </c>
      <c r="B15184" t="s">
        <v>46328</v>
      </c>
      <c r="C15184" t="str">
        <f>"8315513"</f>
        <v>8315513</v>
      </c>
      <c r="D15184" t="s">
        <v>46329</v>
      </c>
      <c r="F15184" t="s">
        <v>46330</v>
      </c>
      <c r="I15184" t="s">
        <v>24359</v>
      </c>
      <c r="J15184" t="s">
        <v>30</v>
      </c>
      <c r="K15184" t="str">
        <f>"27006"</f>
        <v>27006</v>
      </c>
      <c r="M15184" t="s">
        <v>17861</v>
      </c>
      <c r="N15184" t="str">
        <f>"5/5/2021 9:58:00 AM"</f>
        <v>5/5/2021 9:58:00 AM</v>
      </c>
      <c r="O15184" t="s">
        <v>46329</v>
      </c>
    </row>
    <row r="15185" spans="1:20" x14ac:dyDescent="0.25">
      <c r="A15185" t="str">
        <f>"3044770"</f>
        <v>3044770</v>
      </c>
      <c r="B15185" t="s">
        <v>46331</v>
      </c>
      <c r="C15185" t="str">
        <f>"8315514"</f>
        <v>8315514</v>
      </c>
      <c r="D15185" t="s">
        <v>46332</v>
      </c>
      <c r="E15185" t="s">
        <v>46333</v>
      </c>
      <c r="F15185" t="s">
        <v>46334</v>
      </c>
      <c r="I15185" t="s">
        <v>184</v>
      </c>
      <c r="J15185" t="s">
        <v>30</v>
      </c>
      <c r="K15185" t="s">
        <v>6136</v>
      </c>
      <c r="M15185" t="s">
        <v>17861</v>
      </c>
      <c r="N15185" t="str">
        <f>"5/5/2021 10:04:00 AM"</f>
        <v>5/5/2021 10:04:00 AM</v>
      </c>
      <c r="O15185" t="s">
        <v>46332</v>
      </c>
      <c r="T15185" t="s">
        <v>46333</v>
      </c>
    </row>
    <row r="15186" spans="1:20" x14ac:dyDescent="0.25">
      <c r="A15186" t="str">
        <f>"3060739"</f>
        <v>3060739</v>
      </c>
      <c r="B15186" t="s">
        <v>46335</v>
      </c>
      <c r="C15186" t="str">
        <f>"8315515"</f>
        <v>8315515</v>
      </c>
      <c r="D15186" t="s">
        <v>46336</v>
      </c>
      <c r="E15186" t="s">
        <v>46337</v>
      </c>
      <c r="F15186" t="s">
        <v>46338</v>
      </c>
      <c r="I15186" t="s">
        <v>29</v>
      </c>
      <c r="J15186" t="s">
        <v>30</v>
      </c>
      <c r="K15186" t="s">
        <v>1461</v>
      </c>
      <c r="M15186" t="s">
        <v>17861</v>
      </c>
      <c r="N15186" t="str">
        <f>"5/5/2021 10:08:00 AM"</f>
        <v>5/5/2021 10:08:00 AM</v>
      </c>
      <c r="O15186" t="s">
        <v>46336</v>
      </c>
      <c r="T15186" t="s">
        <v>46337</v>
      </c>
    </row>
    <row r="15187" spans="1:20" x14ac:dyDescent="0.25">
      <c r="A15187" t="str">
        <f>"3050814"</f>
        <v>3050814</v>
      </c>
      <c r="B15187" t="s">
        <v>46339</v>
      </c>
      <c r="C15187" t="str">
        <f>"8315481"</f>
        <v>8315481</v>
      </c>
      <c r="D15187" t="s">
        <v>46340</v>
      </c>
      <c r="F15187" t="s">
        <v>46341</v>
      </c>
      <c r="I15187" t="s">
        <v>184</v>
      </c>
      <c r="J15187" t="s">
        <v>30</v>
      </c>
      <c r="K15187" t="s">
        <v>46342</v>
      </c>
      <c r="M15187" t="s">
        <v>17861</v>
      </c>
      <c r="N15187" t="str">
        <f>"5/3/2021 3:07:00 PM"</f>
        <v>5/3/2021 3:07:00 PM</v>
      </c>
      <c r="O15187" t="s">
        <v>46340</v>
      </c>
    </row>
    <row r="15188" spans="1:20" x14ac:dyDescent="0.25">
      <c r="A15188" t="str">
        <f>"3053894"</f>
        <v>3053894</v>
      </c>
      <c r="B15188" t="s">
        <v>46343</v>
      </c>
      <c r="C15188" t="str">
        <f>"8315482"</f>
        <v>8315482</v>
      </c>
      <c r="D15188" t="s">
        <v>46344</v>
      </c>
      <c r="F15188" t="s">
        <v>46345</v>
      </c>
      <c r="I15188" t="s">
        <v>471</v>
      </c>
      <c r="J15188" t="s">
        <v>30</v>
      </c>
      <c r="K15188" t="s">
        <v>46346</v>
      </c>
      <c r="M15188" t="s">
        <v>17861</v>
      </c>
      <c r="N15188" t="str">
        <f>"5/3/2021 3:11:00 PM"</f>
        <v>5/3/2021 3:11:00 PM</v>
      </c>
      <c r="O15188" t="s">
        <v>46344</v>
      </c>
    </row>
    <row r="15189" spans="1:20" x14ac:dyDescent="0.25">
      <c r="A15189" t="str">
        <f>"3053091"</f>
        <v>3053091</v>
      </c>
      <c r="B15189" t="s">
        <v>46347</v>
      </c>
      <c r="C15189" t="str">
        <f>"8315484"</f>
        <v>8315484</v>
      </c>
      <c r="D15189" t="s">
        <v>46348</v>
      </c>
      <c r="E15189" t="s">
        <v>46349</v>
      </c>
      <c r="F15189" t="s">
        <v>46350</v>
      </c>
      <c r="I15189" t="s">
        <v>29</v>
      </c>
      <c r="J15189" t="s">
        <v>30</v>
      </c>
      <c r="K15189" t="s">
        <v>13347</v>
      </c>
      <c r="M15189" t="s">
        <v>17861</v>
      </c>
      <c r="N15189" t="str">
        <f>"5/3/2021 3:54:00 PM"</f>
        <v>5/3/2021 3:54:00 PM</v>
      </c>
      <c r="O15189" t="s">
        <v>46348</v>
      </c>
      <c r="T15189" t="s">
        <v>46349</v>
      </c>
    </row>
    <row r="15190" spans="1:20" x14ac:dyDescent="0.25">
      <c r="A15190" t="str">
        <f>"3060658"</f>
        <v>3060658</v>
      </c>
      <c r="B15190" t="s">
        <v>46351</v>
      </c>
      <c r="C15190" t="str">
        <f>"8315486"</f>
        <v>8315486</v>
      </c>
      <c r="D15190" t="s">
        <v>46352</v>
      </c>
      <c r="E15190" t="s">
        <v>46353</v>
      </c>
      <c r="F15190" t="s">
        <v>46354</v>
      </c>
      <c r="I15190" t="s">
        <v>2071</v>
      </c>
      <c r="J15190" t="s">
        <v>30</v>
      </c>
      <c r="K15190" t="s">
        <v>6776</v>
      </c>
      <c r="M15190" t="s">
        <v>17861</v>
      </c>
      <c r="N15190" t="str">
        <f>"5/3/2021 4:26:00 PM"</f>
        <v>5/3/2021 4:26:00 PM</v>
      </c>
      <c r="O15190" t="s">
        <v>46352</v>
      </c>
      <c r="T15190" t="s">
        <v>46353</v>
      </c>
    </row>
    <row r="15191" spans="1:20" x14ac:dyDescent="0.25">
      <c r="A15191" t="str">
        <f>"3060662"</f>
        <v>3060662</v>
      </c>
      <c r="B15191" t="s">
        <v>46355</v>
      </c>
      <c r="C15191" t="str">
        <f>"8315537"</f>
        <v>8315537</v>
      </c>
      <c r="D15191" t="s">
        <v>46356</v>
      </c>
      <c r="E15191" t="s">
        <v>46357</v>
      </c>
      <c r="F15191" t="s">
        <v>46358</v>
      </c>
      <c r="I15191" t="s">
        <v>2071</v>
      </c>
      <c r="J15191" t="s">
        <v>30</v>
      </c>
      <c r="K15191" t="s">
        <v>6489</v>
      </c>
      <c r="M15191" t="s">
        <v>17861</v>
      </c>
      <c r="N15191" t="str">
        <f>"5/6/2021 2:36:00 PM"</f>
        <v>5/6/2021 2:36:00 PM</v>
      </c>
      <c r="O15191" t="s">
        <v>46356</v>
      </c>
      <c r="T15191" t="s">
        <v>46357</v>
      </c>
    </row>
    <row r="15192" spans="1:20" x14ac:dyDescent="0.25">
      <c r="A15192" t="str">
        <f>"3061700"</f>
        <v>3061700</v>
      </c>
      <c r="B15192" t="s">
        <v>46359</v>
      </c>
      <c r="C15192" t="str">
        <f>"8315540"</f>
        <v>8315540</v>
      </c>
      <c r="D15192" t="s">
        <v>46360</v>
      </c>
      <c r="F15192" t="s">
        <v>46361</v>
      </c>
      <c r="I15192" t="s">
        <v>2071</v>
      </c>
      <c r="J15192" t="s">
        <v>30</v>
      </c>
      <c r="K15192" t="s">
        <v>30968</v>
      </c>
      <c r="M15192" t="s">
        <v>17861</v>
      </c>
      <c r="N15192" t="str">
        <f>"5/6/2021 2:49:00 PM"</f>
        <v>5/6/2021 2:49:00 PM</v>
      </c>
      <c r="O15192" t="s">
        <v>46360</v>
      </c>
    </row>
    <row r="15193" spans="1:20" x14ac:dyDescent="0.25">
      <c r="A15193" t="str">
        <f>"3061220"</f>
        <v>3061220</v>
      </c>
      <c r="B15193" t="s">
        <v>46362</v>
      </c>
      <c r="C15193" t="str">
        <f>"8315488"</f>
        <v>8315488</v>
      </c>
      <c r="D15193" t="s">
        <v>46363</v>
      </c>
      <c r="E15193" t="s">
        <v>46364</v>
      </c>
      <c r="F15193" t="s">
        <v>46365</v>
      </c>
      <c r="I15193" t="s">
        <v>2071</v>
      </c>
      <c r="J15193" t="s">
        <v>30</v>
      </c>
      <c r="K15193" t="s">
        <v>46366</v>
      </c>
      <c r="M15193" t="s">
        <v>17861</v>
      </c>
      <c r="N15193" t="str">
        <f>"5/4/2021 8:35:00 AM"</f>
        <v>5/4/2021 8:35:00 AM</v>
      </c>
      <c r="O15193" t="s">
        <v>46363</v>
      </c>
      <c r="T15193" t="s">
        <v>46364</v>
      </c>
    </row>
    <row r="15194" spans="1:20" x14ac:dyDescent="0.25">
      <c r="A15194" t="str">
        <f>"3046852"</f>
        <v>3046852</v>
      </c>
      <c r="B15194" t="s">
        <v>46367</v>
      </c>
      <c r="C15194" t="str">
        <f>"8315488"</f>
        <v>8315488</v>
      </c>
      <c r="D15194" t="s">
        <v>46363</v>
      </c>
      <c r="E15194" t="s">
        <v>46364</v>
      </c>
      <c r="F15194" t="s">
        <v>46365</v>
      </c>
      <c r="I15194" t="s">
        <v>2071</v>
      </c>
      <c r="J15194" t="s">
        <v>30</v>
      </c>
      <c r="K15194" t="s">
        <v>46366</v>
      </c>
      <c r="M15194" t="s">
        <v>17861</v>
      </c>
      <c r="N15194" t="str">
        <f>"5/4/2021 8:35:00 AM"</f>
        <v>5/4/2021 8:35:00 AM</v>
      </c>
      <c r="O15194" t="s">
        <v>46363</v>
      </c>
      <c r="T15194" t="s">
        <v>46364</v>
      </c>
    </row>
    <row r="15195" spans="1:20" x14ac:dyDescent="0.25">
      <c r="A15195" t="str">
        <f>"3043438"</f>
        <v>3043438</v>
      </c>
      <c r="B15195" t="s">
        <v>46368</v>
      </c>
      <c r="C15195" t="str">
        <f>"8309042"</f>
        <v>8309042</v>
      </c>
      <c r="D15195" t="s">
        <v>46369</v>
      </c>
      <c r="F15195" t="s">
        <v>46370</v>
      </c>
      <c r="I15195" t="s">
        <v>17510</v>
      </c>
      <c r="J15195" t="s">
        <v>17511</v>
      </c>
      <c r="K15195" t="s">
        <v>46371</v>
      </c>
      <c r="M15195" t="s">
        <v>25733</v>
      </c>
      <c r="N15195" t="str">
        <f>"4/23/2021 8:42:00 AM"</f>
        <v>4/23/2021 8:42:00 AM</v>
      </c>
      <c r="O15195" t="s">
        <v>46369</v>
      </c>
    </row>
    <row r="15196" spans="1:20" x14ac:dyDescent="0.25">
      <c r="A15196" t="str">
        <f>"3058835"</f>
        <v>3058835</v>
      </c>
      <c r="B15196" t="s">
        <v>46372</v>
      </c>
      <c r="C15196" t="str">
        <f>"8315545"</f>
        <v>8315545</v>
      </c>
      <c r="D15196" t="s">
        <v>46373</v>
      </c>
      <c r="E15196" t="s">
        <v>46374</v>
      </c>
      <c r="F15196" t="s">
        <v>46375</v>
      </c>
      <c r="I15196" t="s">
        <v>29</v>
      </c>
      <c r="J15196" t="s">
        <v>30</v>
      </c>
      <c r="K15196" t="s">
        <v>36218</v>
      </c>
      <c r="M15196" t="s">
        <v>17861</v>
      </c>
      <c r="N15196" t="str">
        <f>"5/6/2021 3:18:00 PM"</f>
        <v>5/6/2021 3:18:00 PM</v>
      </c>
      <c r="O15196" t="s">
        <v>46373</v>
      </c>
      <c r="T15196" t="s">
        <v>46374</v>
      </c>
    </row>
    <row r="15197" spans="1:20" x14ac:dyDescent="0.25">
      <c r="A15197" t="str">
        <f>"3057322"</f>
        <v>3057322</v>
      </c>
      <c r="B15197" t="s">
        <v>46376</v>
      </c>
      <c r="C15197" t="str">
        <f>"8315547"</f>
        <v>8315547</v>
      </c>
      <c r="D15197" t="s">
        <v>46377</v>
      </c>
      <c r="F15197" t="s">
        <v>46378</v>
      </c>
      <c r="I15197" t="s">
        <v>17921</v>
      </c>
      <c r="J15197" t="s">
        <v>30</v>
      </c>
      <c r="K15197" t="str">
        <f>"27028"</f>
        <v>27028</v>
      </c>
      <c r="M15197" t="s">
        <v>17861</v>
      </c>
      <c r="N15197" t="str">
        <f>"5/6/2021 3:24:00 PM"</f>
        <v>5/6/2021 3:24:00 PM</v>
      </c>
      <c r="O15197" t="s">
        <v>46377</v>
      </c>
    </row>
    <row r="15198" spans="1:20" x14ac:dyDescent="0.25">
      <c r="A15198" t="str">
        <f>"3052364"</f>
        <v>3052364</v>
      </c>
      <c r="B15198" t="s">
        <v>46379</v>
      </c>
      <c r="C15198" t="str">
        <f>"8315548"</f>
        <v>8315548</v>
      </c>
      <c r="D15198" t="s">
        <v>46380</v>
      </c>
      <c r="F15198" t="s">
        <v>46381</v>
      </c>
      <c r="I15198" t="s">
        <v>29</v>
      </c>
      <c r="J15198" t="s">
        <v>30</v>
      </c>
      <c r="K15198" t="s">
        <v>39953</v>
      </c>
      <c r="M15198" t="s">
        <v>17861</v>
      </c>
      <c r="N15198" t="str">
        <f>"5/6/2021 3:31:00 PM"</f>
        <v>5/6/2021 3:31:00 PM</v>
      </c>
      <c r="O15198" t="s">
        <v>46380</v>
      </c>
    </row>
    <row r="15199" spans="1:20" x14ac:dyDescent="0.25">
      <c r="A15199" t="str">
        <f>"3046448"</f>
        <v>3046448</v>
      </c>
      <c r="B15199" t="s">
        <v>46382</v>
      </c>
      <c r="C15199" t="str">
        <f>"8315549"</f>
        <v>8315549</v>
      </c>
      <c r="D15199" t="s">
        <v>46383</v>
      </c>
      <c r="F15199" t="s">
        <v>46384</v>
      </c>
      <c r="I15199" t="s">
        <v>29</v>
      </c>
      <c r="J15199" t="s">
        <v>30</v>
      </c>
      <c r="K15199" t="s">
        <v>8224</v>
      </c>
      <c r="M15199" t="s">
        <v>17861</v>
      </c>
      <c r="N15199" t="str">
        <f>"5/6/2021 3:34:00 PM"</f>
        <v>5/6/2021 3:34:00 PM</v>
      </c>
      <c r="O15199" t="s">
        <v>46383</v>
      </c>
    </row>
    <row r="15200" spans="1:20" x14ac:dyDescent="0.25">
      <c r="A15200" t="str">
        <f>"3043011"</f>
        <v>3043011</v>
      </c>
      <c r="B15200" t="s">
        <v>46385</v>
      </c>
      <c r="C15200" t="str">
        <f>"8315550"</f>
        <v>8315550</v>
      </c>
      <c r="D15200" t="str">
        <f>"MYERS CRAIG LOUIS/JESSICA DYSON"</f>
        <v>MYERS CRAIG LOUIS/JESSICA DYSON</v>
      </c>
      <c r="E15200" t="s">
        <v>46386</v>
      </c>
      <c r="F15200" t="s">
        <v>42917</v>
      </c>
      <c r="I15200" t="s">
        <v>29</v>
      </c>
      <c r="J15200" t="s">
        <v>30</v>
      </c>
      <c r="K15200" t="s">
        <v>8026</v>
      </c>
      <c r="M15200" t="s">
        <v>17861</v>
      </c>
      <c r="N15200" t="str">
        <f>"5/6/2021 3:38:00 PM"</f>
        <v>5/6/2021 3:38:00 PM</v>
      </c>
      <c r="O15200" t="str">
        <f>"MYERS CRAIG LOUIS/JESSICA DYSON"</f>
        <v>MYERS CRAIG LOUIS/JESSICA DYSON</v>
      </c>
      <c r="T15200" t="s">
        <v>46386</v>
      </c>
    </row>
    <row r="15201" spans="1:20" x14ac:dyDescent="0.25">
      <c r="A15201" t="str">
        <f>"3042996"</f>
        <v>3042996</v>
      </c>
      <c r="B15201" t="s">
        <v>46387</v>
      </c>
      <c r="C15201" t="str">
        <f>"8315550"</f>
        <v>8315550</v>
      </c>
      <c r="D15201" t="str">
        <f>"MYERS CRAIG LOUIS/JESSICA DYSON"</f>
        <v>MYERS CRAIG LOUIS/JESSICA DYSON</v>
      </c>
      <c r="E15201" t="s">
        <v>46386</v>
      </c>
      <c r="F15201" t="s">
        <v>42917</v>
      </c>
      <c r="I15201" t="s">
        <v>29</v>
      </c>
      <c r="J15201" t="s">
        <v>30</v>
      </c>
      <c r="K15201" t="s">
        <v>8026</v>
      </c>
      <c r="M15201" t="s">
        <v>17861</v>
      </c>
      <c r="N15201" t="str">
        <f>"5/6/2021 3:38:00 PM"</f>
        <v>5/6/2021 3:38:00 PM</v>
      </c>
      <c r="O15201" t="str">
        <f>"MYERS CRAIG LOUIS/JESSICA DYSON"</f>
        <v>MYERS CRAIG LOUIS/JESSICA DYSON</v>
      </c>
      <c r="T15201" t="s">
        <v>46386</v>
      </c>
    </row>
    <row r="15202" spans="1:20" x14ac:dyDescent="0.25">
      <c r="A15202" t="str">
        <f>"3057674"</f>
        <v>3057674</v>
      </c>
      <c r="B15202" t="s">
        <v>46388</v>
      </c>
      <c r="C15202" t="str">
        <f>"8315551"</f>
        <v>8315551</v>
      </c>
      <c r="D15202" t="s">
        <v>46389</v>
      </c>
      <c r="E15202" t="s">
        <v>46390</v>
      </c>
      <c r="F15202" t="s">
        <v>46391</v>
      </c>
      <c r="I15202" t="s">
        <v>184</v>
      </c>
      <c r="J15202" t="s">
        <v>30</v>
      </c>
      <c r="K15202" t="s">
        <v>34622</v>
      </c>
      <c r="M15202" t="s">
        <v>17861</v>
      </c>
      <c r="N15202" t="str">
        <f>"5/6/2021 3:42:00 PM"</f>
        <v>5/6/2021 3:42:00 PM</v>
      </c>
      <c r="O15202" t="s">
        <v>46389</v>
      </c>
      <c r="T15202" t="s">
        <v>46390</v>
      </c>
    </row>
    <row r="15203" spans="1:20" x14ac:dyDescent="0.25">
      <c r="A15203" t="str">
        <f>"3049981"</f>
        <v>3049981</v>
      </c>
      <c r="B15203" t="s">
        <v>46392</v>
      </c>
      <c r="C15203" t="str">
        <f>"8315553"</f>
        <v>8315553</v>
      </c>
      <c r="D15203" t="s">
        <v>46393</v>
      </c>
      <c r="F15203" t="s">
        <v>46394</v>
      </c>
      <c r="I15203" t="s">
        <v>471</v>
      </c>
      <c r="J15203" t="s">
        <v>30</v>
      </c>
      <c r="K15203" t="str">
        <f>"27107"</f>
        <v>27107</v>
      </c>
      <c r="M15203" t="s">
        <v>17861</v>
      </c>
      <c r="N15203" t="str">
        <f>"5/7/2021 9:05:00 AM"</f>
        <v>5/7/2021 9:05:00 AM</v>
      </c>
      <c r="O15203" t="s">
        <v>46393</v>
      </c>
    </row>
    <row r="15204" spans="1:20" x14ac:dyDescent="0.25">
      <c r="A15204" t="str">
        <f>"3062427"</f>
        <v>3062427</v>
      </c>
      <c r="B15204" t="s">
        <v>46395</v>
      </c>
      <c r="C15204" t="str">
        <f>"8315554"</f>
        <v>8315554</v>
      </c>
      <c r="D15204" t="s">
        <v>46396</v>
      </c>
      <c r="E15204" t="s">
        <v>46397</v>
      </c>
      <c r="F15204" t="s">
        <v>46398</v>
      </c>
      <c r="I15204" t="s">
        <v>2071</v>
      </c>
      <c r="J15204" t="s">
        <v>30</v>
      </c>
      <c r="K15204" t="s">
        <v>3872</v>
      </c>
      <c r="M15204" t="s">
        <v>17861</v>
      </c>
      <c r="N15204" t="str">
        <f>"5/7/2021 9:19:00 AM"</f>
        <v>5/7/2021 9:19:00 AM</v>
      </c>
      <c r="O15204" t="s">
        <v>46396</v>
      </c>
      <c r="T15204" t="s">
        <v>46397</v>
      </c>
    </row>
    <row r="15205" spans="1:20" x14ac:dyDescent="0.25">
      <c r="A15205" t="str">
        <f>"3043289"</f>
        <v>3043289</v>
      </c>
      <c r="B15205" t="s">
        <v>46399</v>
      </c>
      <c r="C15205" t="str">
        <f>"8309042"</f>
        <v>8309042</v>
      </c>
      <c r="D15205" t="s">
        <v>46369</v>
      </c>
      <c r="F15205" t="s">
        <v>46370</v>
      </c>
      <c r="I15205" t="s">
        <v>17510</v>
      </c>
      <c r="J15205" t="s">
        <v>17511</v>
      </c>
      <c r="K15205" t="s">
        <v>46371</v>
      </c>
      <c r="M15205" t="s">
        <v>25733</v>
      </c>
      <c r="N15205" t="str">
        <f>"4/23/2021 8:42:00 AM"</f>
        <v>4/23/2021 8:42:00 AM</v>
      </c>
      <c r="O15205" t="s">
        <v>46369</v>
      </c>
    </row>
    <row r="15206" spans="1:20" x14ac:dyDescent="0.25">
      <c r="A15206" t="str">
        <f>"3061849"</f>
        <v>3061849</v>
      </c>
      <c r="B15206" t="s">
        <v>46400</v>
      </c>
      <c r="C15206" t="str">
        <f>"8309042"</f>
        <v>8309042</v>
      </c>
      <c r="D15206" t="s">
        <v>46369</v>
      </c>
      <c r="F15206" t="s">
        <v>46370</v>
      </c>
      <c r="I15206" t="s">
        <v>17510</v>
      </c>
      <c r="J15206" t="s">
        <v>17511</v>
      </c>
      <c r="K15206" t="s">
        <v>46371</v>
      </c>
      <c r="M15206" t="s">
        <v>25733</v>
      </c>
      <c r="N15206" t="str">
        <f>"4/23/2021 8:42:00 AM"</f>
        <v>4/23/2021 8:42:00 AM</v>
      </c>
      <c r="O15206" t="s">
        <v>46369</v>
      </c>
    </row>
    <row r="15207" spans="1:20" x14ac:dyDescent="0.25">
      <c r="A15207" t="str">
        <f>"3075810"</f>
        <v>3075810</v>
      </c>
      <c r="B15207" t="s">
        <v>46401</v>
      </c>
      <c r="C15207" t="str">
        <f>"82532424"</f>
        <v>82532424</v>
      </c>
      <c r="D15207" t="s">
        <v>46402</v>
      </c>
      <c r="F15207" t="s">
        <v>42764</v>
      </c>
      <c r="I15207" t="s">
        <v>29</v>
      </c>
      <c r="J15207" t="s">
        <v>30</v>
      </c>
      <c r="K15207" t="s">
        <v>31</v>
      </c>
      <c r="M15207" t="s">
        <v>25733</v>
      </c>
      <c r="N15207" t="str">
        <f>"4/27/2021 3:47:00 PM"</f>
        <v>4/27/2021 3:47:00 PM</v>
      </c>
      <c r="O15207" t="s">
        <v>46402</v>
      </c>
    </row>
    <row r="15208" spans="1:20" x14ac:dyDescent="0.25">
      <c r="A15208" t="str">
        <f>"3047511"</f>
        <v>3047511</v>
      </c>
      <c r="B15208" t="s">
        <v>46403</v>
      </c>
      <c r="C15208" t="str">
        <f>"8315558"</f>
        <v>8315558</v>
      </c>
      <c r="D15208" t="s">
        <v>46404</v>
      </c>
      <c r="F15208" t="s">
        <v>46405</v>
      </c>
      <c r="I15208" t="s">
        <v>184</v>
      </c>
      <c r="J15208" t="s">
        <v>30</v>
      </c>
      <c r="K15208" t="s">
        <v>46406</v>
      </c>
      <c r="M15208" t="s">
        <v>17861</v>
      </c>
      <c r="N15208" t="str">
        <f>"5/7/2021 10:53:00 AM"</f>
        <v>5/7/2021 10:53:00 AM</v>
      </c>
      <c r="O15208" t="s">
        <v>46404</v>
      </c>
    </row>
    <row r="15209" spans="1:20" x14ac:dyDescent="0.25">
      <c r="A15209" t="str">
        <f>"3078357"</f>
        <v>3078357</v>
      </c>
      <c r="B15209" t="s">
        <v>46407</v>
      </c>
      <c r="C15209" t="str">
        <f>"8315558"</f>
        <v>8315558</v>
      </c>
      <c r="D15209" t="s">
        <v>46404</v>
      </c>
      <c r="F15209" t="s">
        <v>46405</v>
      </c>
      <c r="I15209" t="s">
        <v>184</v>
      </c>
      <c r="J15209" t="s">
        <v>30</v>
      </c>
      <c r="K15209" t="s">
        <v>46406</v>
      </c>
      <c r="M15209" t="s">
        <v>17861</v>
      </c>
      <c r="N15209" t="str">
        <f>"5/7/2021 10:53:00 AM"</f>
        <v>5/7/2021 10:53:00 AM</v>
      </c>
      <c r="O15209" t="s">
        <v>46404</v>
      </c>
    </row>
    <row r="15210" spans="1:20" x14ac:dyDescent="0.25">
      <c r="A15210" t="str">
        <f>"3047371"</f>
        <v>3047371</v>
      </c>
      <c r="B15210" t="s">
        <v>46408</v>
      </c>
      <c r="C15210" t="str">
        <f>"8315559"</f>
        <v>8315559</v>
      </c>
      <c r="D15210" t="s">
        <v>46409</v>
      </c>
      <c r="E15210" t="s">
        <v>46410</v>
      </c>
      <c r="F15210" t="s">
        <v>46411</v>
      </c>
      <c r="I15210" t="s">
        <v>46412</v>
      </c>
      <c r="J15210" t="s">
        <v>30</v>
      </c>
      <c r="K15210" t="str">
        <f>"27332"</f>
        <v>27332</v>
      </c>
      <c r="M15210" t="s">
        <v>17861</v>
      </c>
      <c r="N15210" t="str">
        <f>"5/7/2021 11:01:00 AM"</f>
        <v>5/7/2021 11:01:00 AM</v>
      </c>
      <c r="O15210" t="s">
        <v>46409</v>
      </c>
      <c r="T15210" t="s">
        <v>46410</v>
      </c>
    </row>
    <row r="15211" spans="1:20" x14ac:dyDescent="0.25">
      <c r="A15211" t="str">
        <f>"3055686"</f>
        <v>3055686</v>
      </c>
      <c r="B15211" t="s">
        <v>46413</v>
      </c>
      <c r="C15211" t="str">
        <f>"8315560"</f>
        <v>8315560</v>
      </c>
      <c r="D15211" t="s">
        <v>46414</v>
      </c>
      <c r="F15211" t="s">
        <v>39128</v>
      </c>
      <c r="I15211" t="s">
        <v>29</v>
      </c>
      <c r="J15211" t="s">
        <v>30</v>
      </c>
      <c r="K15211" t="s">
        <v>13600</v>
      </c>
      <c r="M15211" t="s">
        <v>17861</v>
      </c>
      <c r="N15211" t="str">
        <f>"5/7/2021 11:17:00 AM"</f>
        <v>5/7/2021 11:17:00 AM</v>
      </c>
      <c r="O15211" t="s">
        <v>46414</v>
      </c>
    </row>
    <row r="15212" spans="1:20" x14ac:dyDescent="0.25">
      <c r="A15212" t="str">
        <f>"3048801"</f>
        <v>3048801</v>
      </c>
      <c r="B15212" t="s">
        <v>46415</v>
      </c>
      <c r="C15212" t="str">
        <f>"8315563"</f>
        <v>8315563</v>
      </c>
      <c r="D15212" t="s">
        <v>46416</v>
      </c>
      <c r="E15212" t="s">
        <v>46417</v>
      </c>
      <c r="F15212" t="s">
        <v>46418</v>
      </c>
      <c r="I15212" t="s">
        <v>29</v>
      </c>
      <c r="J15212" t="s">
        <v>30</v>
      </c>
      <c r="K15212" t="s">
        <v>46419</v>
      </c>
      <c r="M15212" t="s">
        <v>17861</v>
      </c>
      <c r="N15212" t="str">
        <f>"5/7/2021 2:02:00 PM"</f>
        <v>5/7/2021 2:02:00 PM</v>
      </c>
      <c r="O15212" t="s">
        <v>46416</v>
      </c>
      <c r="T15212" t="s">
        <v>46417</v>
      </c>
    </row>
    <row r="15213" spans="1:20" x14ac:dyDescent="0.25">
      <c r="A15213" t="str">
        <f>"3047845"</f>
        <v>3047845</v>
      </c>
      <c r="B15213" t="s">
        <v>46420</v>
      </c>
      <c r="C15213" t="str">
        <f>"8315564"</f>
        <v>8315564</v>
      </c>
      <c r="D15213" t="s">
        <v>46421</v>
      </c>
      <c r="E15213" t="s">
        <v>46422</v>
      </c>
      <c r="F15213" t="s">
        <v>46423</v>
      </c>
      <c r="I15213" t="s">
        <v>184</v>
      </c>
      <c r="J15213" t="s">
        <v>30</v>
      </c>
      <c r="K15213" t="s">
        <v>46424</v>
      </c>
      <c r="M15213" t="s">
        <v>17861</v>
      </c>
      <c r="N15213" t="str">
        <f>"5/7/2021 2:15:00 PM"</f>
        <v>5/7/2021 2:15:00 PM</v>
      </c>
      <c r="O15213" t="s">
        <v>46421</v>
      </c>
      <c r="T15213" t="s">
        <v>46422</v>
      </c>
    </row>
    <row r="15214" spans="1:20" x14ac:dyDescent="0.25">
      <c r="A15214" t="str">
        <f>"3075812"</f>
        <v>3075812</v>
      </c>
      <c r="B15214" t="s">
        <v>46425</v>
      </c>
      <c r="C15214" t="str">
        <f>"82532424"</f>
        <v>82532424</v>
      </c>
      <c r="D15214" t="s">
        <v>46402</v>
      </c>
      <c r="F15214" t="s">
        <v>42764</v>
      </c>
      <c r="I15214" t="s">
        <v>29</v>
      </c>
      <c r="J15214" t="s">
        <v>30</v>
      </c>
      <c r="K15214" t="s">
        <v>31</v>
      </c>
      <c r="M15214" t="s">
        <v>25733</v>
      </c>
      <c r="N15214" t="str">
        <f>"4/27/2021 3:47:00 PM"</f>
        <v>4/27/2021 3:47:00 PM</v>
      </c>
      <c r="O15214" t="s">
        <v>46402</v>
      </c>
    </row>
    <row r="15215" spans="1:20" x14ac:dyDescent="0.25">
      <c r="A15215" t="str">
        <f>"3068026"</f>
        <v>3068026</v>
      </c>
      <c r="B15215" t="s">
        <v>46426</v>
      </c>
      <c r="C15215" t="str">
        <f>"82532424"</f>
        <v>82532424</v>
      </c>
      <c r="D15215" t="s">
        <v>46402</v>
      </c>
      <c r="F15215" t="s">
        <v>42764</v>
      </c>
      <c r="I15215" t="s">
        <v>29</v>
      </c>
      <c r="J15215" t="s">
        <v>30</v>
      </c>
      <c r="K15215" t="s">
        <v>31</v>
      </c>
      <c r="M15215" t="s">
        <v>25733</v>
      </c>
      <c r="N15215" t="str">
        <f>"4/27/2021 3:47:00 PM"</f>
        <v>4/27/2021 3:47:00 PM</v>
      </c>
      <c r="O15215" t="s">
        <v>46402</v>
      </c>
    </row>
    <row r="15216" spans="1:20" x14ac:dyDescent="0.25">
      <c r="A15216" t="str">
        <f>"3069205"</f>
        <v>3069205</v>
      </c>
      <c r="B15216" t="s">
        <v>46427</v>
      </c>
      <c r="C15216" t="str">
        <f>"82532424"</f>
        <v>82532424</v>
      </c>
      <c r="D15216" t="s">
        <v>46402</v>
      </c>
      <c r="F15216" t="s">
        <v>42764</v>
      </c>
      <c r="I15216" t="s">
        <v>29</v>
      </c>
      <c r="J15216" t="s">
        <v>30</v>
      </c>
      <c r="K15216" t="s">
        <v>31</v>
      </c>
      <c r="M15216" t="s">
        <v>25733</v>
      </c>
      <c r="N15216" t="str">
        <f>"4/27/2021 3:47:00 PM"</f>
        <v>4/27/2021 3:47:00 PM</v>
      </c>
      <c r="O15216" t="s">
        <v>46402</v>
      </c>
    </row>
    <row r="15217" spans="1:20" x14ac:dyDescent="0.25">
      <c r="A15217" t="str">
        <f>"3069209"</f>
        <v>3069209</v>
      </c>
      <c r="B15217" t="s">
        <v>46428</v>
      </c>
      <c r="C15217" t="str">
        <f>"82532424"</f>
        <v>82532424</v>
      </c>
      <c r="D15217" t="s">
        <v>46402</v>
      </c>
      <c r="F15217" t="s">
        <v>42764</v>
      </c>
      <c r="I15217" t="s">
        <v>29</v>
      </c>
      <c r="J15217" t="s">
        <v>30</v>
      </c>
      <c r="K15217" t="s">
        <v>31</v>
      </c>
      <c r="M15217" t="s">
        <v>25733</v>
      </c>
      <c r="N15217" t="str">
        <f>"4/27/2021 3:47:00 PM"</f>
        <v>4/27/2021 3:47:00 PM</v>
      </c>
      <c r="O15217" t="s">
        <v>46402</v>
      </c>
    </row>
    <row r="15218" spans="1:20" x14ac:dyDescent="0.25">
      <c r="A15218" t="str">
        <f>"3049160"</f>
        <v>3049160</v>
      </c>
      <c r="B15218" t="s">
        <v>46429</v>
      </c>
      <c r="C15218" t="str">
        <f>"82532424"</f>
        <v>82532424</v>
      </c>
      <c r="D15218" t="s">
        <v>46402</v>
      </c>
      <c r="F15218" t="s">
        <v>42764</v>
      </c>
      <c r="I15218" t="s">
        <v>29</v>
      </c>
      <c r="J15218" t="s">
        <v>30</v>
      </c>
      <c r="K15218" t="s">
        <v>31</v>
      </c>
      <c r="M15218" t="s">
        <v>25733</v>
      </c>
      <c r="N15218" t="str">
        <f>"4/27/2021 3:47:00 PM"</f>
        <v>4/27/2021 3:47:00 PM</v>
      </c>
      <c r="O15218" t="s">
        <v>46402</v>
      </c>
    </row>
    <row r="15219" spans="1:20" x14ac:dyDescent="0.25">
      <c r="A15219" t="str">
        <f>"3078893"</f>
        <v>3078893</v>
      </c>
      <c r="B15219" t="s">
        <v>46430</v>
      </c>
      <c r="C15219" t="str">
        <f>"8314565"</f>
        <v>8314565</v>
      </c>
      <c r="D15219" t="s">
        <v>46431</v>
      </c>
      <c r="F15219" t="s">
        <v>46432</v>
      </c>
      <c r="I15219" t="s">
        <v>29</v>
      </c>
      <c r="J15219" t="s">
        <v>30</v>
      </c>
      <c r="K15219" t="s">
        <v>13347</v>
      </c>
      <c r="M15219" t="s">
        <v>18479</v>
      </c>
      <c r="N15219" t="str">
        <f>"4/28/2021 4:13:00 PM"</f>
        <v>4/28/2021 4:13:00 PM</v>
      </c>
      <c r="O15219" t="s">
        <v>46431</v>
      </c>
    </row>
    <row r="15220" spans="1:20" x14ac:dyDescent="0.25">
      <c r="A15220" t="str">
        <f>"3056379"</f>
        <v>3056379</v>
      </c>
      <c r="B15220" t="s">
        <v>46433</v>
      </c>
      <c r="C15220" t="str">
        <f>"8304018"</f>
        <v>8304018</v>
      </c>
      <c r="D15220" t="s">
        <v>46434</v>
      </c>
      <c r="F15220" t="s">
        <v>46435</v>
      </c>
      <c r="I15220" t="s">
        <v>46436</v>
      </c>
      <c r="J15220" t="s">
        <v>30</v>
      </c>
      <c r="K15220" t="s">
        <v>46437</v>
      </c>
      <c r="M15220" t="s">
        <v>17861</v>
      </c>
      <c r="N15220" t="str">
        <f>"5/7/2021 3:19:00 PM"</f>
        <v>5/7/2021 3:19:00 PM</v>
      </c>
      <c r="O15220" t="s">
        <v>46434</v>
      </c>
    </row>
    <row r="15221" spans="1:20" x14ac:dyDescent="0.25">
      <c r="A15221" t="str">
        <f>"3037745"</f>
        <v>3037745</v>
      </c>
      <c r="B15221" t="s">
        <v>46438</v>
      </c>
      <c r="C15221" t="str">
        <f>"8315572"</f>
        <v>8315572</v>
      </c>
      <c r="D15221" t="s">
        <v>46439</v>
      </c>
      <c r="E15221" t="s">
        <v>46440</v>
      </c>
      <c r="F15221" t="s">
        <v>46441</v>
      </c>
      <c r="I15221" t="s">
        <v>29</v>
      </c>
      <c r="J15221" t="s">
        <v>30</v>
      </c>
      <c r="K15221" t="s">
        <v>46442</v>
      </c>
      <c r="M15221" t="s">
        <v>17861</v>
      </c>
      <c r="N15221" t="str">
        <f>"5/7/2021 3:48:00 PM"</f>
        <v>5/7/2021 3:48:00 PM</v>
      </c>
      <c r="O15221" t="s">
        <v>46439</v>
      </c>
      <c r="T15221" t="s">
        <v>46440</v>
      </c>
    </row>
    <row r="15222" spans="1:20" x14ac:dyDescent="0.25">
      <c r="A15222" t="str">
        <f>"3050434"</f>
        <v>3050434</v>
      </c>
      <c r="B15222" t="s">
        <v>46443</v>
      </c>
      <c r="C15222" t="str">
        <f>"8315573"</f>
        <v>8315573</v>
      </c>
      <c r="D15222" t="s">
        <v>46444</v>
      </c>
      <c r="E15222" t="s">
        <v>46445</v>
      </c>
      <c r="F15222" t="s">
        <v>46446</v>
      </c>
      <c r="I15222" t="s">
        <v>29</v>
      </c>
      <c r="J15222" t="s">
        <v>30</v>
      </c>
      <c r="K15222" t="s">
        <v>14112</v>
      </c>
      <c r="M15222" t="s">
        <v>17861</v>
      </c>
      <c r="N15222" t="str">
        <f>"5/7/2021 3:50:00 PM"</f>
        <v>5/7/2021 3:50:00 PM</v>
      </c>
      <c r="O15222" t="s">
        <v>46444</v>
      </c>
      <c r="T15222" t="s">
        <v>46445</v>
      </c>
    </row>
    <row r="15223" spans="1:20" x14ac:dyDescent="0.25">
      <c r="A15223" t="str">
        <f>"3053368"</f>
        <v>3053368</v>
      </c>
      <c r="B15223" t="s">
        <v>46447</v>
      </c>
      <c r="C15223" t="str">
        <f>"8315490"</f>
        <v>8315490</v>
      </c>
      <c r="D15223" t="s">
        <v>46274</v>
      </c>
      <c r="F15223" t="s">
        <v>40452</v>
      </c>
      <c r="I15223" t="s">
        <v>37599</v>
      </c>
      <c r="J15223" t="s">
        <v>30</v>
      </c>
      <c r="K15223" t="s">
        <v>40453</v>
      </c>
      <c r="M15223" t="s">
        <v>17861</v>
      </c>
      <c r="N15223" t="str">
        <f>"5/4/2021 9:17:00 AM"</f>
        <v>5/4/2021 9:17:00 AM</v>
      </c>
      <c r="O15223" t="s">
        <v>46274</v>
      </c>
    </row>
    <row r="15224" spans="1:20" x14ac:dyDescent="0.25">
      <c r="A15224" t="str">
        <f>"3049378"</f>
        <v>3049378</v>
      </c>
      <c r="B15224" t="s">
        <v>46448</v>
      </c>
      <c r="C15224" t="str">
        <f>"8315497"</f>
        <v>8315497</v>
      </c>
      <c r="D15224" t="s">
        <v>46449</v>
      </c>
      <c r="E15224" t="s">
        <v>46450</v>
      </c>
      <c r="F15224" t="s">
        <v>46451</v>
      </c>
      <c r="I15224" t="s">
        <v>184</v>
      </c>
      <c r="J15224" t="s">
        <v>30</v>
      </c>
      <c r="K15224" t="s">
        <v>25964</v>
      </c>
      <c r="M15224" t="s">
        <v>17861</v>
      </c>
      <c r="N15224" t="str">
        <f>"5/4/2021 10:26:00 AM"</f>
        <v>5/4/2021 10:26:00 AM</v>
      </c>
      <c r="O15224" t="s">
        <v>46449</v>
      </c>
      <c r="T15224" t="s">
        <v>46450</v>
      </c>
    </row>
    <row r="15225" spans="1:20" x14ac:dyDescent="0.25">
      <c r="A15225" t="str">
        <f>"3058018"</f>
        <v>3058018</v>
      </c>
      <c r="B15225" t="s">
        <v>46452</v>
      </c>
      <c r="C15225" t="str">
        <f>"8315580"</f>
        <v>8315580</v>
      </c>
      <c r="D15225" t="s">
        <v>46453</v>
      </c>
      <c r="E15225" t="s">
        <v>46454</v>
      </c>
      <c r="F15225" t="s">
        <v>46455</v>
      </c>
      <c r="I15225" t="s">
        <v>184</v>
      </c>
      <c r="J15225" t="s">
        <v>30</v>
      </c>
      <c r="K15225" t="s">
        <v>46456</v>
      </c>
      <c r="M15225" t="s">
        <v>17861</v>
      </c>
      <c r="N15225" t="str">
        <f>"5/7/2021 4:17:00 PM"</f>
        <v>5/7/2021 4:17:00 PM</v>
      </c>
      <c r="O15225" t="s">
        <v>46453</v>
      </c>
      <c r="T15225" t="s">
        <v>46454</v>
      </c>
    </row>
    <row r="15226" spans="1:20" x14ac:dyDescent="0.25">
      <c r="A15226" t="str">
        <f>"3057566"</f>
        <v>3057566</v>
      </c>
      <c r="B15226" t="s">
        <v>46457</v>
      </c>
      <c r="C15226" t="str">
        <f>"8315582"</f>
        <v>8315582</v>
      </c>
      <c r="D15226" t="s">
        <v>46458</v>
      </c>
      <c r="E15226" t="s">
        <v>46459</v>
      </c>
      <c r="F15226" t="s">
        <v>46460</v>
      </c>
      <c r="I15226" t="s">
        <v>29</v>
      </c>
      <c r="J15226" t="s">
        <v>30</v>
      </c>
      <c r="K15226" t="s">
        <v>41402</v>
      </c>
      <c r="M15226" t="s">
        <v>17861</v>
      </c>
      <c r="N15226" t="str">
        <f>"5/10/2021 8:51:00 AM"</f>
        <v>5/10/2021 8:51:00 AM</v>
      </c>
      <c r="O15226" t="s">
        <v>46458</v>
      </c>
      <c r="T15226" t="s">
        <v>46459</v>
      </c>
    </row>
    <row r="15227" spans="1:20" x14ac:dyDescent="0.25">
      <c r="A15227" t="str">
        <f>"3042252"</f>
        <v>3042252</v>
      </c>
      <c r="B15227" t="s">
        <v>46461</v>
      </c>
      <c r="C15227" t="str">
        <f>"8315501"</f>
        <v>8315501</v>
      </c>
      <c r="D15227" t="s">
        <v>46462</v>
      </c>
      <c r="E15227" t="s">
        <v>46463</v>
      </c>
      <c r="F15227" t="s">
        <v>46464</v>
      </c>
      <c r="I15227" t="s">
        <v>29</v>
      </c>
      <c r="J15227" t="s">
        <v>30</v>
      </c>
      <c r="K15227" t="s">
        <v>2917</v>
      </c>
      <c r="M15227" t="s">
        <v>17861</v>
      </c>
      <c r="N15227" t="str">
        <f>"5/4/2021 10:58:00 AM"</f>
        <v>5/4/2021 10:58:00 AM</v>
      </c>
      <c r="O15227" t="s">
        <v>46462</v>
      </c>
      <c r="T15227" t="s">
        <v>46463</v>
      </c>
    </row>
    <row r="15228" spans="1:20" x14ac:dyDescent="0.25">
      <c r="A15228" t="str">
        <f>"3048811"</f>
        <v>3048811</v>
      </c>
      <c r="B15228" t="s">
        <v>46465</v>
      </c>
      <c r="C15228" t="str">
        <f>"8315584"</f>
        <v>8315584</v>
      </c>
      <c r="D15228" t="s">
        <v>46466</v>
      </c>
      <c r="E15228" t="s">
        <v>46467</v>
      </c>
      <c r="F15228" t="s">
        <v>46468</v>
      </c>
      <c r="I15228" t="s">
        <v>29</v>
      </c>
      <c r="J15228" t="s">
        <v>30</v>
      </c>
      <c r="K15228" t="s">
        <v>13156</v>
      </c>
      <c r="M15228" t="s">
        <v>17861</v>
      </c>
      <c r="N15228" t="str">
        <f>"5/10/2021 9:14:00 AM"</f>
        <v>5/10/2021 9:14:00 AM</v>
      </c>
      <c r="O15228" t="s">
        <v>46466</v>
      </c>
      <c r="T15228" t="s">
        <v>46467</v>
      </c>
    </row>
    <row r="15229" spans="1:20" x14ac:dyDescent="0.25">
      <c r="A15229" t="str">
        <f>"3062532"</f>
        <v>3062532</v>
      </c>
      <c r="B15229" t="s">
        <v>46469</v>
      </c>
      <c r="C15229" t="str">
        <f>"8315502"</f>
        <v>8315502</v>
      </c>
      <c r="D15229" t="s">
        <v>46470</v>
      </c>
      <c r="E15229" t="s">
        <v>46471</v>
      </c>
      <c r="F15229" t="s">
        <v>46472</v>
      </c>
      <c r="I15229" t="s">
        <v>184</v>
      </c>
      <c r="J15229" t="s">
        <v>30</v>
      </c>
      <c r="K15229" t="s">
        <v>40298</v>
      </c>
      <c r="M15229" t="s">
        <v>17861</v>
      </c>
      <c r="N15229" t="str">
        <f>"5/4/2021 11:00:00 AM"</f>
        <v>5/4/2021 11:00:00 AM</v>
      </c>
      <c r="O15229" t="s">
        <v>46470</v>
      </c>
      <c r="T15229" t="s">
        <v>46471</v>
      </c>
    </row>
    <row r="15230" spans="1:20" x14ac:dyDescent="0.25">
      <c r="A15230" t="str">
        <f>"3044525"</f>
        <v>3044525</v>
      </c>
      <c r="B15230" t="s">
        <v>46473</v>
      </c>
      <c r="C15230" t="str">
        <f>"8315505"</f>
        <v>8315505</v>
      </c>
      <c r="D15230" t="s">
        <v>46474</v>
      </c>
      <c r="E15230" t="s">
        <v>46475</v>
      </c>
      <c r="F15230" t="s">
        <v>46476</v>
      </c>
      <c r="I15230" t="s">
        <v>184</v>
      </c>
      <c r="J15230" t="s">
        <v>30</v>
      </c>
      <c r="K15230" t="s">
        <v>5707</v>
      </c>
      <c r="M15230" t="s">
        <v>17861</v>
      </c>
      <c r="N15230" t="str">
        <f>"5/5/2021 8:49:00 AM"</f>
        <v>5/5/2021 8:49:00 AM</v>
      </c>
      <c r="O15230" t="s">
        <v>46474</v>
      </c>
      <c r="T15230" t="s">
        <v>46475</v>
      </c>
    </row>
    <row r="15231" spans="1:20" x14ac:dyDescent="0.25">
      <c r="A15231" t="str">
        <f>"3056002"</f>
        <v>3056002</v>
      </c>
      <c r="B15231" t="s">
        <v>46477</v>
      </c>
      <c r="C15231" t="str">
        <f>"8315587"</f>
        <v>8315587</v>
      </c>
      <c r="D15231" t="s">
        <v>46478</v>
      </c>
      <c r="F15231" t="s">
        <v>21208</v>
      </c>
      <c r="I15231" t="s">
        <v>29</v>
      </c>
      <c r="J15231" t="s">
        <v>30</v>
      </c>
      <c r="K15231" t="s">
        <v>12909</v>
      </c>
      <c r="M15231" t="s">
        <v>17861</v>
      </c>
      <c r="N15231" t="str">
        <f>"5/10/2021 10:01:00 AM"</f>
        <v>5/10/2021 10:01:00 AM</v>
      </c>
      <c r="O15231" t="s">
        <v>46478</v>
      </c>
    </row>
    <row r="15232" spans="1:20" x14ac:dyDescent="0.25">
      <c r="A15232" t="str">
        <f>"3041256"</f>
        <v>3041256</v>
      </c>
      <c r="B15232" t="s">
        <v>46479</v>
      </c>
      <c r="C15232" t="str">
        <f>"8315588"</f>
        <v>8315588</v>
      </c>
      <c r="D15232" t="s">
        <v>46480</v>
      </c>
      <c r="E15232" t="s">
        <v>46481</v>
      </c>
      <c r="F15232" t="s">
        <v>46482</v>
      </c>
      <c r="I15232" t="s">
        <v>2071</v>
      </c>
      <c r="J15232" t="s">
        <v>30</v>
      </c>
      <c r="K15232" t="s">
        <v>33257</v>
      </c>
      <c r="M15232" t="s">
        <v>17861</v>
      </c>
      <c r="N15232" t="str">
        <f>"5/10/2021 10:06:00 AM"</f>
        <v>5/10/2021 10:06:00 AM</v>
      </c>
      <c r="O15232" t="s">
        <v>46480</v>
      </c>
      <c r="T15232" t="s">
        <v>46481</v>
      </c>
    </row>
    <row r="15233" spans="1:20" x14ac:dyDescent="0.25">
      <c r="A15233" t="str">
        <f>"3057020"</f>
        <v>3057020</v>
      </c>
      <c r="B15233" t="s">
        <v>46483</v>
      </c>
      <c r="C15233" t="str">
        <f>"66048000"</f>
        <v>66048000</v>
      </c>
      <c r="D15233" t="s">
        <v>46484</v>
      </c>
      <c r="F15233" t="s">
        <v>46485</v>
      </c>
      <c r="I15233" t="s">
        <v>29</v>
      </c>
      <c r="J15233" t="s">
        <v>30</v>
      </c>
      <c r="K15233" t="s">
        <v>37715</v>
      </c>
      <c r="M15233" t="s">
        <v>33845</v>
      </c>
      <c r="N15233" t="str">
        <f>"4/30/2021 12:43:00 PM"</f>
        <v>4/30/2021 12:43:00 PM</v>
      </c>
      <c r="O15233" t="s">
        <v>46484</v>
      </c>
    </row>
    <row r="15234" spans="1:20" x14ac:dyDescent="0.25">
      <c r="A15234" t="str">
        <f>"3058811"</f>
        <v>3058811</v>
      </c>
      <c r="B15234" t="s">
        <v>46486</v>
      </c>
      <c r="C15234" t="str">
        <f>"8315592"</f>
        <v>8315592</v>
      </c>
      <c r="D15234" t="s">
        <v>46487</v>
      </c>
      <c r="E15234" t="s">
        <v>46488</v>
      </c>
      <c r="F15234" t="s">
        <v>34536</v>
      </c>
      <c r="I15234" t="s">
        <v>29</v>
      </c>
      <c r="J15234" t="s">
        <v>30</v>
      </c>
      <c r="K15234" t="s">
        <v>33498</v>
      </c>
      <c r="M15234" t="s">
        <v>17861</v>
      </c>
      <c r="N15234" t="str">
        <f>"5/12/2021 8:37:00 AM"</f>
        <v>5/12/2021 8:37:00 AM</v>
      </c>
      <c r="O15234" t="s">
        <v>46487</v>
      </c>
      <c r="T15234" t="s">
        <v>46488</v>
      </c>
    </row>
    <row r="15235" spans="1:20" x14ac:dyDescent="0.25">
      <c r="A15235" t="str">
        <f>"3061715"</f>
        <v>3061715</v>
      </c>
      <c r="B15235" t="s">
        <v>46489</v>
      </c>
      <c r="C15235" t="str">
        <f>"8315593"</f>
        <v>8315593</v>
      </c>
      <c r="D15235" t="s">
        <v>46490</v>
      </c>
      <c r="E15235" t="s">
        <v>46491</v>
      </c>
      <c r="F15235" t="s">
        <v>46492</v>
      </c>
      <c r="I15235" t="s">
        <v>2071</v>
      </c>
      <c r="J15235" t="s">
        <v>30</v>
      </c>
      <c r="K15235" t="s">
        <v>30968</v>
      </c>
      <c r="M15235" t="s">
        <v>17861</v>
      </c>
      <c r="N15235" t="str">
        <f>"5/12/2021 9:03:00 AM"</f>
        <v>5/12/2021 9:03:00 AM</v>
      </c>
      <c r="O15235" t="s">
        <v>46490</v>
      </c>
      <c r="T15235" t="s">
        <v>46491</v>
      </c>
    </row>
    <row r="15236" spans="1:20" x14ac:dyDescent="0.25">
      <c r="A15236" t="str">
        <f>"3048728"</f>
        <v>3048728</v>
      </c>
      <c r="B15236" t="s">
        <v>46493</v>
      </c>
      <c r="C15236" t="str">
        <f>"8315507"</f>
        <v>8315507</v>
      </c>
      <c r="D15236" t="s">
        <v>46494</v>
      </c>
      <c r="E15236" t="s">
        <v>46495</v>
      </c>
      <c r="F15236" t="s">
        <v>46496</v>
      </c>
      <c r="I15236" t="s">
        <v>184</v>
      </c>
      <c r="J15236" t="s">
        <v>30</v>
      </c>
      <c r="K15236" t="s">
        <v>46497</v>
      </c>
      <c r="M15236" t="s">
        <v>17861</v>
      </c>
      <c r="N15236" t="str">
        <f>"5/5/2021 9:07:00 AM"</f>
        <v>5/5/2021 9:07:00 AM</v>
      </c>
      <c r="O15236" t="s">
        <v>46494</v>
      </c>
      <c r="T15236" t="s">
        <v>46495</v>
      </c>
    </row>
    <row r="15237" spans="1:20" x14ac:dyDescent="0.25">
      <c r="A15237" t="str">
        <f>"3062067"</f>
        <v>3062067</v>
      </c>
      <c r="B15237" t="s">
        <v>46498</v>
      </c>
      <c r="C15237" t="str">
        <f>"8304625"</f>
        <v>8304625</v>
      </c>
      <c r="D15237" t="s">
        <v>46499</v>
      </c>
      <c r="F15237" t="str">
        <f>"C/O PRISCILLA WILLIAMS"</f>
        <v>C/O PRISCILLA WILLIAMS</v>
      </c>
      <c r="G15237" t="s">
        <v>46500</v>
      </c>
      <c r="I15237" t="s">
        <v>7917</v>
      </c>
      <c r="J15237" t="s">
        <v>30</v>
      </c>
      <c r="K15237" t="s">
        <v>46501</v>
      </c>
      <c r="M15237" t="s">
        <v>25733</v>
      </c>
      <c r="N15237" t="str">
        <f>"4/30/2021 2:08:00 PM"</f>
        <v>4/30/2021 2:08:00 PM</v>
      </c>
      <c r="O15237" t="s">
        <v>46499</v>
      </c>
    </row>
    <row r="15238" spans="1:20" x14ac:dyDescent="0.25">
      <c r="A15238" t="str">
        <f>"3041221"</f>
        <v>3041221</v>
      </c>
      <c r="B15238" t="s">
        <v>46502</v>
      </c>
      <c r="C15238" t="str">
        <f>"8315597"</f>
        <v>8315597</v>
      </c>
      <c r="D15238" t="s">
        <v>46503</v>
      </c>
      <c r="E15238" t="s">
        <v>46504</v>
      </c>
      <c r="F15238" t="s">
        <v>46505</v>
      </c>
      <c r="I15238" t="s">
        <v>2071</v>
      </c>
      <c r="J15238" t="s">
        <v>30</v>
      </c>
      <c r="K15238" t="s">
        <v>36586</v>
      </c>
      <c r="M15238" t="s">
        <v>17861</v>
      </c>
      <c r="N15238" t="str">
        <f>"5/12/2021 9:23:00 AM"</f>
        <v>5/12/2021 9:23:00 AM</v>
      </c>
      <c r="O15238" t="s">
        <v>46503</v>
      </c>
      <c r="T15238" t="s">
        <v>46504</v>
      </c>
    </row>
    <row r="15239" spans="1:20" x14ac:dyDescent="0.25">
      <c r="A15239" t="str">
        <f>"3047292"</f>
        <v>3047292</v>
      </c>
      <c r="B15239" t="s">
        <v>46506</v>
      </c>
      <c r="C15239" t="str">
        <f>"8315599"</f>
        <v>8315599</v>
      </c>
      <c r="D15239" t="s">
        <v>46507</v>
      </c>
      <c r="E15239" t="s">
        <v>46508</v>
      </c>
      <c r="F15239" t="s">
        <v>46509</v>
      </c>
      <c r="I15239" t="s">
        <v>184</v>
      </c>
      <c r="J15239" t="s">
        <v>30</v>
      </c>
      <c r="K15239" t="s">
        <v>46510</v>
      </c>
      <c r="M15239" t="s">
        <v>17861</v>
      </c>
      <c r="N15239" t="str">
        <f>"5/12/2021 9:37:00 AM"</f>
        <v>5/12/2021 9:37:00 AM</v>
      </c>
      <c r="O15239" t="s">
        <v>46507</v>
      </c>
      <c r="T15239" t="s">
        <v>46508</v>
      </c>
    </row>
    <row r="15240" spans="1:20" x14ac:dyDescent="0.25">
      <c r="A15240" t="str">
        <f>"3050866"</f>
        <v>3050866</v>
      </c>
      <c r="B15240" t="s">
        <v>46511</v>
      </c>
      <c r="C15240" t="str">
        <f>"8315601"</f>
        <v>8315601</v>
      </c>
      <c r="D15240" t="s">
        <v>46512</v>
      </c>
      <c r="E15240" t="s">
        <v>46513</v>
      </c>
      <c r="F15240" t="s">
        <v>46514</v>
      </c>
      <c r="I15240" t="s">
        <v>11215</v>
      </c>
      <c r="J15240" t="s">
        <v>30</v>
      </c>
      <c r="K15240" t="s">
        <v>46515</v>
      </c>
      <c r="M15240" t="s">
        <v>17861</v>
      </c>
      <c r="N15240" t="str">
        <f>"5/12/2021 9:46:00 AM"</f>
        <v>5/12/2021 9:46:00 AM</v>
      </c>
      <c r="O15240" t="s">
        <v>46512</v>
      </c>
      <c r="T15240" t="s">
        <v>46513</v>
      </c>
    </row>
    <row r="15241" spans="1:20" x14ac:dyDescent="0.25">
      <c r="A15241" t="str">
        <f>"3043612"</f>
        <v>3043612</v>
      </c>
      <c r="B15241" t="s">
        <v>46516</v>
      </c>
      <c r="C15241" t="str">
        <f>"8315535"</f>
        <v>8315535</v>
      </c>
      <c r="D15241" t="s">
        <v>46517</v>
      </c>
      <c r="E15241" t="s">
        <v>46518</v>
      </c>
      <c r="F15241" t="s">
        <v>46519</v>
      </c>
      <c r="I15241" t="s">
        <v>29</v>
      </c>
      <c r="J15241" t="s">
        <v>30</v>
      </c>
      <c r="K15241" t="s">
        <v>46520</v>
      </c>
      <c r="M15241" t="s">
        <v>17861</v>
      </c>
      <c r="N15241" t="str">
        <f>"5/6/2021 2:24:00 PM"</f>
        <v>5/6/2021 2:24:00 PM</v>
      </c>
      <c r="O15241" t="s">
        <v>46517</v>
      </c>
      <c r="T15241" t="s">
        <v>46518</v>
      </c>
    </row>
    <row r="15242" spans="1:20" x14ac:dyDescent="0.25">
      <c r="A15242" t="str">
        <f>"3039186"</f>
        <v>3039186</v>
      </c>
      <c r="B15242" t="s">
        <v>46521</v>
      </c>
      <c r="C15242" t="str">
        <f>"8315536"</f>
        <v>8315536</v>
      </c>
      <c r="D15242" t="s">
        <v>46522</v>
      </c>
      <c r="F15242" t="s">
        <v>46523</v>
      </c>
      <c r="I15242" t="s">
        <v>29</v>
      </c>
      <c r="J15242" t="s">
        <v>30</v>
      </c>
      <c r="K15242" t="s">
        <v>39211</v>
      </c>
      <c r="M15242" t="s">
        <v>17861</v>
      </c>
      <c r="N15242" t="str">
        <f>"5/6/2021 2:31:00 PM"</f>
        <v>5/6/2021 2:31:00 PM</v>
      </c>
      <c r="O15242" t="s">
        <v>46522</v>
      </c>
    </row>
    <row r="15243" spans="1:20" x14ac:dyDescent="0.25">
      <c r="A15243" t="str">
        <f>"3039211"</f>
        <v>3039211</v>
      </c>
      <c r="B15243" t="s">
        <v>46524</v>
      </c>
      <c r="C15243" t="str">
        <f>"8315536"</f>
        <v>8315536</v>
      </c>
      <c r="D15243" t="s">
        <v>46522</v>
      </c>
      <c r="F15243" t="s">
        <v>46523</v>
      </c>
      <c r="I15243" t="s">
        <v>29</v>
      </c>
      <c r="J15243" t="s">
        <v>30</v>
      </c>
      <c r="K15243" t="s">
        <v>39211</v>
      </c>
      <c r="M15243" t="s">
        <v>17861</v>
      </c>
      <c r="N15243" t="str">
        <f>"5/6/2021 2:31:00 PM"</f>
        <v>5/6/2021 2:31:00 PM</v>
      </c>
      <c r="O15243" t="s">
        <v>46522</v>
      </c>
    </row>
    <row r="15244" spans="1:20" x14ac:dyDescent="0.25">
      <c r="A15244" t="str">
        <f>"3058121"</f>
        <v>3058121</v>
      </c>
      <c r="B15244" t="s">
        <v>46525</v>
      </c>
      <c r="C15244" t="str">
        <f>"8315541"</f>
        <v>8315541</v>
      </c>
      <c r="D15244" t="s">
        <v>46526</v>
      </c>
      <c r="E15244" t="s">
        <v>46527</v>
      </c>
      <c r="F15244" t="s">
        <v>46528</v>
      </c>
      <c r="I15244" t="s">
        <v>184</v>
      </c>
      <c r="J15244" t="s">
        <v>30</v>
      </c>
      <c r="K15244" t="s">
        <v>5369</v>
      </c>
      <c r="M15244" t="s">
        <v>17861</v>
      </c>
      <c r="N15244" t="str">
        <f>"5/6/2021 2:52:00 PM"</f>
        <v>5/6/2021 2:52:00 PM</v>
      </c>
      <c r="O15244" t="s">
        <v>46526</v>
      </c>
      <c r="T15244" t="s">
        <v>46527</v>
      </c>
    </row>
    <row r="15245" spans="1:20" x14ac:dyDescent="0.25">
      <c r="A15245" t="str">
        <f>"3059765"</f>
        <v>3059765</v>
      </c>
      <c r="B15245" t="s">
        <v>46529</v>
      </c>
      <c r="C15245" t="str">
        <f>"8315542"</f>
        <v>8315542</v>
      </c>
      <c r="D15245" t="s">
        <v>46530</v>
      </c>
      <c r="F15245" t="s">
        <v>46531</v>
      </c>
      <c r="I15245" t="s">
        <v>29</v>
      </c>
      <c r="J15245" t="s">
        <v>30</v>
      </c>
      <c r="K15245" t="s">
        <v>46532</v>
      </c>
      <c r="M15245" t="s">
        <v>17861</v>
      </c>
      <c r="N15245" t="str">
        <f>"5/6/2021 2:55:00 PM"</f>
        <v>5/6/2021 2:55:00 PM</v>
      </c>
      <c r="O15245" t="s">
        <v>46530</v>
      </c>
    </row>
    <row r="15246" spans="1:20" x14ac:dyDescent="0.25">
      <c r="A15246" t="str">
        <f>"3044669"</f>
        <v>3044669</v>
      </c>
      <c r="B15246" t="s">
        <v>46533</v>
      </c>
      <c r="C15246" t="str">
        <f>"8315543"</f>
        <v>8315543</v>
      </c>
      <c r="D15246" t="s">
        <v>46534</v>
      </c>
      <c r="E15246" t="s">
        <v>46535</v>
      </c>
      <c r="F15246" t="s">
        <v>46536</v>
      </c>
      <c r="I15246" t="s">
        <v>184</v>
      </c>
      <c r="J15246" t="s">
        <v>30</v>
      </c>
      <c r="K15246" t="s">
        <v>6036</v>
      </c>
      <c r="M15246" t="s">
        <v>17861</v>
      </c>
      <c r="N15246" t="str">
        <f>"5/6/2021 3:04:00 PM"</f>
        <v>5/6/2021 3:04:00 PM</v>
      </c>
      <c r="O15246" t="s">
        <v>46534</v>
      </c>
      <c r="T15246" t="s">
        <v>46535</v>
      </c>
    </row>
    <row r="15247" spans="1:20" x14ac:dyDescent="0.25">
      <c r="A15247" t="str">
        <f>"3057978"</f>
        <v>3057978</v>
      </c>
      <c r="B15247" t="s">
        <v>46537</v>
      </c>
      <c r="C15247" t="str">
        <f>"8315557"</f>
        <v>8315557</v>
      </c>
      <c r="D15247" t="s">
        <v>46538</v>
      </c>
      <c r="F15247" t="s">
        <v>46539</v>
      </c>
      <c r="I15247" t="s">
        <v>29</v>
      </c>
      <c r="J15247" t="s">
        <v>30</v>
      </c>
      <c r="K15247" t="s">
        <v>33586</v>
      </c>
      <c r="M15247" t="s">
        <v>17861</v>
      </c>
      <c r="N15247" t="str">
        <f>"5/7/2021 10:50:00 AM"</f>
        <v>5/7/2021 10:50:00 AM</v>
      </c>
      <c r="O15247" t="s">
        <v>46538</v>
      </c>
    </row>
    <row r="15248" spans="1:20" x14ac:dyDescent="0.25">
      <c r="A15248" t="str">
        <f>"3048026"</f>
        <v>3048026</v>
      </c>
      <c r="B15248" t="s">
        <v>46540</v>
      </c>
      <c r="C15248" t="str">
        <f>"8315558"</f>
        <v>8315558</v>
      </c>
      <c r="D15248" t="s">
        <v>46404</v>
      </c>
      <c r="F15248" t="s">
        <v>46405</v>
      </c>
      <c r="I15248" t="s">
        <v>184</v>
      </c>
      <c r="J15248" t="s">
        <v>30</v>
      </c>
      <c r="K15248" t="s">
        <v>46406</v>
      </c>
      <c r="M15248" t="s">
        <v>17861</v>
      </c>
      <c r="N15248" t="str">
        <f>"5/7/2021 10:53:00 AM"</f>
        <v>5/7/2021 10:53:00 AM</v>
      </c>
      <c r="O15248" t="s">
        <v>46404</v>
      </c>
    </row>
    <row r="15249" spans="1:20" x14ac:dyDescent="0.25">
      <c r="A15249" t="str">
        <f>"3047496"</f>
        <v>3047496</v>
      </c>
      <c r="B15249" t="s">
        <v>46541</v>
      </c>
      <c r="C15249" t="str">
        <f>"8315558"</f>
        <v>8315558</v>
      </c>
      <c r="D15249" t="s">
        <v>46404</v>
      </c>
      <c r="F15249" t="s">
        <v>46405</v>
      </c>
      <c r="I15249" t="s">
        <v>184</v>
      </c>
      <c r="J15249" t="s">
        <v>30</v>
      </c>
      <c r="K15249" t="s">
        <v>46406</v>
      </c>
      <c r="M15249" t="s">
        <v>17861</v>
      </c>
      <c r="N15249" t="str">
        <f>"5/7/2021 10:53:00 AM"</f>
        <v>5/7/2021 10:53:00 AM</v>
      </c>
      <c r="O15249" t="s">
        <v>46404</v>
      </c>
    </row>
    <row r="15250" spans="1:20" x14ac:dyDescent="0.25">
      <c r="A15250" t="str">
        <f>"3071571"</f>
        <v>3071571</v>
      </c>
      <c r="B15250" t="s">
        <v>46542</v>
      </c>
      <c r="C15250" t="str">
        <f>"8315565"</f>
        <v>8315565</v>
      </c>
      <c r="D15250" t="s">
        <v>46543</v>
      </c>
      <c r="F15250" t="s">
        <v>46544</v>
      </c>
      <c r="I15250" t="s">
        <v>184</v>
      </c>
      <c r="J15250" t="s">
        <v>30</v>
      </c>
      <c r="K15250" t="s">
        <v>46424</v>
      </c>
      <c r="M15250" t="s">
        <v>17861</v>
      </c>
      <c r="N15250" t="str">
        <f>"5/7/2021 2:18:00 PM"</f>
        <v>5/7/2021 2:18:00 PM</v>
      </c>
      <c r="O15250" t="s">
        <v>46543</v>
      </c>
    </row>
    <row r="15251" spans="1:20" x14ac:dyDescent="0.25">
      <c r="A15251" t="str">
        <f>"3061757"</f>
        <v>3061757</v>
      </c>
      <c r="B15251" t="s">
        <v>46545</v>
      </c>
      <c r="C15251" t="str">
        <f>"8315566"</f>
        <v>8315566</v>
      </c>
      <c r="D15251" t="s">
        <v>46546</v>
      </c>
      <c r="E15251" t="s">
        <v>46547</v>
      </c>
      <c r="F15251" t="s">
        <v>46548</v>
      </c>
      <c r="I15251" t="s">
        <v>2071</v>
      </c>
      <c r="J15251" t="s">
        <v>30</v>
      </c>
      <c r="K15251" t="str">
        <f>"27006"</f>
        <v>27006</v>
      </c>
      <c r="M15251" t="s">
        <v>17861</v>
      </c>
      <c r="N15251" t="str">
        <f>"5/7/2021 2:25:00 PM"</f>
        <v>5/7/2021 2:25:00 PM</v>
      </c>
      <c r="O15251" t="s">
        <v>46546</v>
      </c>
      <c r="T15251" t="s">
        <v>46547</v>
      </c>
    </row>
    <row r="15252" spans="1:20" x14ac:dyDescent="0.25">
      <c r="A15252" t="str">
        <f>"3041853"</f>
        <v>3041853</v>
      </c>
      <c r="B15252" t="s">
        <v>46549</v>
      </c>
      <c r="C15252" t="str">
        <f>"8315568"</f>
        <v>8315568</v>
      </c>
      <c r="D15252" t="s">
        <v>46550</v>
      </c>
      <c r="E15252" t="s">
        <v>46551</v>
      </c>
      <c r="F15252" t="s">
        <v>46552</v>
      </c>
      <c r="I15252" t="s">
        <v>2071</v>
      </c>
      <c r="J15252" t="s">
        <v>30</v>
      </c>
      <c r="K15252" t="s">
        <v>34351</v>
      </c>
      <c r="M15252" t="s">
        <v>17861</v>
      </c>
      <c r="N15252" t="str">
        <f>"5/7/2021 2:55:00 PM"</f>
        <v>5/7/2021 2:55:00 PM</v>
      </c>
      <c r="O15252" t="s">
        <v>46550</v>
      </c>
      <c r="T15252" t="s">
        <v>46551</v>
      </c>
    </row>
    <row r="15253" spans="1:20" x14ac:dyDescent="0.25">
      <c r="A15253" t="str">
        <f>"3056312"</f>
        <v>3056312</v>
      </c>
      <c r="B15253" t="s">
        <v>46553</v>
      </c>
      <c r="C15253" t="str">
        <f>"8304018"</f>
        <v>8304018</v>
      </c>
      <c r="D15253" t="s">
        <v>46434</v>
      </c>
      <c r="F15253" t="s">
        <v>46435</v>
      </c>
      <c r="I15253" t="s">
        <v>46436</v>
      </c>
      <c r="J15253" t="s">
        <v>30</v>
      </c>
      <c r="K15253" t="s">
        <v>46437</v>
      </c>
      <c r="M15253" t="s">
        <v>17861</v>
      </c>
      <c r="N15253" t="str">
        <f>"5/7/2021 3:19:00 PM"</f>
        <v>5/7/2021 3:19:00 PM</v>
      </c>
      <c r="O15253" t="s">
        <v>46434</v>
      </c>
    </row>
    <row r="15254" spans="1:20" x14ac:dyDescent="0.25">
      <c r="A15254" t="str">
        <f>"3056364"</f>
        <v>3056364</v>
      </c>
      <c r="B15254" t="s">
        <v>46554</v>
      </c>
      <c r="C15254" t="str">
        <f>"8304018"</f>
        <v>8304018</v>
      </c>
      <c r="D15254" t="s">
        <v>46434</v>
      </c>
      <c r="F15254" t="s">
        <v>46435</v>
      </c>
      <c r="I15254" t="s">
        <v>46436</v>
      </c>
      <c r="J15254" t="s">
        <v>30</v>
      </c>
      <c r="K15254" t="s">
        <v>46437</v>
      </c>
      <c r="M15254" t="s">
        <v>17861</v>
      </c>
      <c r="N15254" t="str">
        <f>"5/7/2021 3:19:00 PM"</f>
        <v>5/7/2021 3:19:00 PM</v>
      </c>
      <c r="O15254" t="s">
        <v>46434</v>
      </c>
    </row>
    <row r="15255" spans="1:20" x14ac:dyDescent="0.25">
      <c r="A15255" t="str">
        <f>"3056360"</f>
        <v>3056360</v>
      </c>
      <c r="B15255" t="s">
        <v>46555</v>
      </c>
      <c r="C15255" t="str">
        <f>"8304018"</f>
        <v>8304018</v>
      </c>
      <c r="D15255" t="s">
        <v>46434</v>
      </c>
      <c r="F15255" t="s">
        <v>46435</v>
      </c>
      <c r="I15255" t="s">
        <v>46436</v>
      </c>
      <c r="J15255" t="s">
        <v>30</v>
      </c>
      <c r="K15255" t="s">
        <v>46437</v>
      </c>
      <c r="M15255" t="s">
        <v>17861</v>
      </c>
      <c r="N15255" t="str">
        <f>"5/7/2021 3:19:00 PM"</f>
        <v>5/7/2021 3:19:00 PM</v>
      </c>
      <c r="O15255" t="s">
        <v>46434</v>
      </c>
    </row>
    <row r="15256" spans="1:20" x14ac:dyDescent="0.25">
      <c r="A15256" t="str">
        <f>"3055192"</f>
        <v>3055192</v>
      </c>
      <c r="B15256" t="s">
        <v>46556</v>
      </c>
      <c r="C15256" t="str">
        <f>"8315576"</f>
        <v>8315576</v>
      </c>
      <c r="D15256" t="s">
        <v>46557</v>
      </c>
      <c r="F15256" t="s">
        <v>46558</v>
      </c>
      <c r="I15256" t="s">
        <v>29</v>
      </c>
      <c r="J15256" t="s">
        <v>30</v>
      </c>
      <c r="K15256" t="s">
        <v>15511</v>
      </c>
      <c r="M15256" t="s">
        <v>17861</v>
      </c>
      <c r="N15256" t="str">
        <f>"5/7/2021 3:57:00 PM"</f>
        <v>5/7/2021 3:57:00 PM</v>
      </c>
      <c r="O15256" t="s">
        <v>46557</v>
      </c>
    </row>
    <row r="15257" spans="1:20" x14ac:dyDescent="0.25">
      <c r="A15257" t="str">
        <f>"3055041"</f>
        <v>3055041</v>
      </c>
      <c r="B15257" t="s">
        <v>46559</v>
      </c>
      <c r="C15257" t="str">
        <f>"8315577"</f>
        <v>8315577</v>
      </c>
      <c r="D15257" t="s">
        <v>14891</v>
      </c>
      <c r="F15257" t="s">
        <v>46560</v>
      </c>
      <c r="I15257" t="s">
        <v>29</v>
      </c>
      <c r="J15257" t="s">
        <v>30</v>
      </c>
      <c r="K15257" t="s">
        <v>16765</v>
      </c>
      <c r="M15257" t="s">
        <v>17861</v>
      </c>
      <c r="N15257" t="str">
        <f>"5/7/2021 3:59:00 PM"</f>
        <v>5/7/2021 3:59:00 PM</v>
      </c>
      <c r="O15257" t="s">
        <v>14891</v>
      </c>
    </row>
    <row r="15258" spans="1:20" x14ac:dyDescent="0.25">
      <c r="A15258" t="str">
        <f>"3039931"</f>
        <v>3039931</v>
      </c>
      <c r="B15258" t="s">
        <v>46561</v>
      </c>
      <c r="C15258" t="str">
        <f>"8315583"</f>
        <v>8315583</v>
      </c>
      <c r="D15258" t="s">
        <v>46562</v>
      </c>
      <c r="E15258" t="s">
        <v>46563</v>
      </c>
      <c r="F15258" t="s">
        <v>46564</v>
      </c>
      <c r="I15258" t="s">
        <v>29</v>
      </c>
      <c r="J15258" t="s">
        <v>30</v>
      </c>
      <c r="K15258" t="s">
        <v>46565</v>
      </c>
      <c r="M15258" t="s">
        <v>17861</v>
      </c>
      <c r="N15258" t="str">
        <f>"5/10/2021 9:06:00 AM"</f>
        <v>5/10/2021 9:06:00 AM</v>
      </c>
      <c r="O15258" t="s">
        <v>46562</v>
      </c>
      <c r="T15258" t="s">
        <v>46563</v>
      </c>
    </row>
    <row r="15259" spans="1:20" x14ac:dyDescent="0.25">
      <c r="A15259" t="str">
        <f>"3058788"</f>
        <v>3058788</v>
      </c>
      <c r="B15259" t="s">
        <v>46566</v>
      </c>
      <c r="C15259" t="str">
        <f>"8315586"</f>
        <v>8315586</v>
      </c>
      <c r="D15259" t="s">
        <v>46567</v>
      </c>
      <c r="E15259" t="s">
        <v>46568</v>
      </c>
      <c r="F15259" t="s">
        <v>46569</v>
      </c>
      <c r="I15259" t="s">
        <v>29</v>
      </c>
      <c r="J15259" t="s">
        <v>30</v>
      </c>
      <c r="K15259" t="s">
        <v>11912</v>
      </c>
      <c r="M15259" t="s">
        <v>17861</v>
      </c>
      <c r="N15259" t="str">
        <f>"5/10/2021 9:55:00 AM"</f>
        <v>5/10/2021 9:55:00 AM</v>
      </c>
      <c r="O15259" t="s">
        <v>46567</v>
      </c>
      <c r="T15259" t="s">
        <v>46568</v>
      </c>
    </row>
    <row r="15260" spans="1:20" x14ac:dyDescent="0.25">
      <c r="A15260" t="str">
        <f>"3048277"</f>
        <v>3048277</v>
      </c>
      <c r="B15260" t="s">
        <v>46570</v>
      </c>
      <c r="C15260" t="str">
        <f>"8315587"</f>
        <v>8315587</v>
      </c>
      <c r="D15260" t="s">
        <v>46478</v>
      </c>
      <c r="F15260" t="s">
        <v>21208</v>
      </c>
      <c r="I15260" t="s">
        <v>29</v>
      </c>
      <c r="J15260" t="s">
        <v>30</v>
      </c>
      <c r="K15260" t="s">
        <v>12909</v>
      </c>
      <c r="M15260" t="s">
        <v>17861</v>
      </c>
      <c r="N15260" t="str">
        <f>"5/10/2021 10:01:00 AM"</f>
        <v>5/10/2021 10:01:00 AM</v>
      </c>
      <c r="O15260" t="s">
        <v>46478</v>
      </c>
    </row>
    <row r="15261" spans="1:20" x14ac:dyDescent="0.25">
      <c r="A15261" t="str">
        <f>"3049369"</f>
        <v>3049369</v>
      </c>
      <c r="B15261" t="s">
        <v>46571</v>
      </c>
      <c r="C15261" t="str">
        <f>"8315590"</f>
        <v>8315590</v>
      </c>
      <c r="D15261" t="s">
        <v>46572</v>
      </c>
      <c r="F15261" t="s">
        <v>46573</v>
      </c>
      <c r="I15261" t="s">
        <v>29</v>
      </c>
      <c r="J15261" t="s">
        <v>30</v>
      </c>
      <c r="K15261" t="s">
        <v>44186</v>
      </c>
      <c r="M15261" t="s">
        <v>17861</v>
      </c>
      <c r="N15261" t="str">
        <f>"5/12/2021 8:13:00 AM"</f>
        <v>5/12/2021 8:13:00 AM</v>
      </c>
      <c r="O15261" t="s">
        <v>46572</v>
      </c>
    </row>
    <row r="15262" spans="1:20" x14ac:dyDescent="0.25">
      <c r="A15262" t="str">
        <f>"3044602"</f>
        <v>3044602</v>
      </c>
      <c r="B15262" t="s">
        <v>46574</v>
      </c>
      <c r="C15262" t="str">
        <f>"8315595"</f>
        <v>8315595</v>
      </c>
      <c r="D15262" t="s">
        <v>46575</v>
      </c>
      <c r="E15262" t="s">
        <v>46576</v>
      </c>
      <c r="F15262" t="s">
        <v>46577</v>
      </c>
      <c r="I15262" t="s">
        <v>184</v>
      </c>
      <c r="J15262" t="s">
        <v>30</v>
      </c>
      <c r="K15262" t="s">
        <v>33412</v>
      </c>
      <c r="M15262" t="s">
        <v>17861</v>
      </c>
      <c r="N15262" t="str">
        <f>"5/12/2021 9:11:00 AM"</f>
        <v>5/12/2021 9:11:00 AM</v>
      </c>
      <c r="O15262" t="s">
        <v>46575</v>
      </c>
      <c r="T15262" t="s">
        <v>46576</v>
      </c>
    </row>
    <row r="15263" spans="1:20" x14ac:dyDescent="0.25">
      <c r="A15263" t="str">
        <f>"3053820"</f>
        <v>3053820</v>
      </c>
      <c r="B15263" t="s">
        <v>46578</v>
      </c>
      <c r="C15263" t="str">
        <f>"8315596"</f>
        <v>8315596</v>
      </c>
      <c r="D15263" t="s">
        <v>46579</v>
      </c>
      <c r="E15263" t="s">
        <v>46580</v>
      </c>
      <c r="F15263" t="s">
        <v>46581</v>
      </c>
      <c r="I15263" t="s">
        <v>29</v>
      </c>
      <c r="J15263" t="s">
        <v>30</v>
      </c>
      <c r="K15263" t="s">
        <v>10082</v>
      </c>
      <c r="M15263" t="s">
        <v>17861</v>
      </c>
      <c r="N15263" t="str">
        <f>"5/12/2021 9:20:00 AM"</f>
        <v>5/12/2021 9:20:00 AM</v>
      </c>
      <c r="O15263" t="s">
        <v>46579</v>
      </c>
      <c r="T15263" t="s">
        <v>46580</v>
      </c>
    </row>
    <row r="15264" spans="1:20" x14ac:dyDescent="0.25">
      <c r="A15264" t="str">
        <f>"3060701"</f>
        <v>3060701</v>
      </c>
      <c r="B15264" t="s">
        <v>46582</v>
      </c>
      <c r="C15264" t="str">
        <f>"8315518"</f>
        <v>8315518</v>
      </c>
      <c r="D15264" t="s">
        <v>46583</v>
      </c>
      <c r="E15264" t="s">
        <v>46584</v>
      </c>
      <c r="F15264" t="s">
        <v>46585</v>
      </c>
      <c r="I15264" t="s">
        <v>2071</v>
      </c>
      <c r="J15264" t="s">
        <v>30</v>
      </c>
      <c r="K15264" t="s">
        <v>6459</v>
      </c>
      <c r="M15264" t="s">
        <v>17861</v>
      </c>
      <c r="N15264" t="str">
        <f>"5/5/2021 10:21:00 AM"</f>
        <v>5/5/2021 10:21:00 AM</v>
      </c>
      <c r="O15264" t="s">
        <v>46583</v>
      </c>
      <c r="T15264" t="s">
        <v>46584</v>
      </c>
    </row>
    <row r="15265" spans="1:20" x14ac:dyDescent="0.25">
      <c r="A15265" t="str">
        <f>"3042388"</f>
        <v>3042388</v>
      </c>
      <c r="B15265" t="s">
        <v>46586</v>
      </c>
      <c r="C15265" t="str">
        <f>"8315608"</f>
        <v>8315608</v>
      </c>
      <c r="D15265" t="s">
        <v>46587</v>
      </c>
      <c r="E15265" t="s">
        <v>46588</v>
      </c>
      <c r="F15265" t="s">
        <v>46589</v>
      </c>
      <c r="I15265" t="s">
        <v>184</v>
      </c>
      <c r="J15265" t="s">
        <v>30</v>
      </c>
      <c r="K15265" t="s">
        <v>3433</v>
      </c>
      <c r="M15265" t="s">
        <v>17861</v>
      </c>
      <c r="N15265" t="str">
        <f>"5/12/2021 11:11:00 AM"</f>
        <v>5/12/2021 11:11:00 AM</v>
      </c>
      <c r="O15265" t="s">
        <v>46587</v>
      </c>
      <c r="T15265" t="s">
        <v>46588</v>
      </c>
    </row>
    <row r="15266" spans="1:20" x14ac:dyDescent="0.25">
      <c r="A15266" t="str">
        <f>"3052420"</f>
        <v>3052420</v>
      </c>
      <c r="B15266" t="s">
        <v>46590</v>
      </c>
      <c r="C15266" t="str">
        <f>"8315609"</f>
        <v>8315609</v>
      </c>
      <c r="D15266" t="s">
        <v>46591</v>
      </c>
      <c r="E15266" t="s">
        <v>46592</v>
      </c>
      <c r="F15266" t="s">
        <v>46593</v>
      </c>
      <c r="I15266" t="s">
        <v>17921</v>
      </c>
      <c r="J15266" t="s">
        <v>30</v>
      </c>
      <c r="K15266" t="str">
        <f>"27028"</f>
        <v>27028</v>
      </c>
      <c r="M15266" t="s">
        <v>17861</v>
      </c>
      <c r="N15266" t="str">
        <f>"5/12/2021 11:19:00 AM"</f>
        <v>5/12/2021 11:19:00 AM</v>
      </c>
      <c r="O15266" t="s">
        <v>46591</v>
      </c>
      <c r="T15266" t="s">
        <v>46592</v>
      </c>
    </row>
    <row r="15267" spans="1:20" x14ac:dyDescent="0.25">
      <c r="A15267" t="str">
        <f>"3052273"</f>
        <v>3052273</v>
      </c>
      <c r="B15267" t="s">
        <v>46594</v>
      </c>
      <c r="C15267" t="str">
        <f>"8315609"</f>
        <v>8315609</v>
      </c>
      <c r="D15267" t="s">
        <v>46591</v>
      </c>
      <c r="E15267" t="s">
        <v>46592</v>
      </c>
      <c r="F15267" t="s">
        <v>46593</v>
      </c>
      <c r="I15267" t="s">
        <v>17921</v>
      </c>
      <c r="J15267" t="s">
        <v>30</v>
      </c>
      <c r="K15267" t="str">
        <f>"27028"</f>
        <v>27028</v>
      </c>
      <c r="M15267" t="s">
        <v>17861</v>
      </c>
      <c r="N15267" t="str">
        <f>"5/12/2021 11:19:00 AM"</f>
        <v>5/12/2021 11:19:00 AM</v>
      </c>
      <c r="O15267" t="s">
        <v>46591</v>
      </c>
      <c r="T15267" t="s">
        <v>46592</v>
      </c>
    </row>
    <row r="15268" spans="1:20" x14ac:dyDescent="0.25">
      <c r="A15268" t="str">
        <f>"3052594"</f>
        <v>3052594</v>
      </c>
      <c r="B15268" t="s">
        <v>46595</v>
      </c>
      <c r="C15268" t="str">
        <f>"8315610"</f>
        <v>8315610</v>
      </c>
      <c r="D15268" t="s">
        <v>46596</v>
      </c>
      <c r="F15268" t="s">
        <v>46597</v>
      </c>
      <c r="I15268" t="s">
        <v>29</v>
      </c>
      <c r="J15268" t="s">
        <v>30</v>
      </c>
      <c r="K15268" t="s">
        <v>11824</v>
      </c>
      <c r="M15268" t="s">
        <v>17861</v>
      </c>
      <c r="N15268" t="str">
        <f>"5/12/2021 11:23:00 AM"</f>
        <v>5/12/2021 11:23:00 AM</v>
      </c>
      <c r="O15268" t="s">
        <v>46596</v>
      </c>
    </row>
    <row r="15269" spans="1:20" x14ac:dyDescent="0.25">
      <c r="A15269" t="str">
        <f>"3044901"</f>
        <v>3044901</v>
      </c>
      <c r="B15269" t="s">
        <v>46598</v>
      </c>
      <c r="C15269" t="str">
        <f>"8315612"</f>
        <v>8315612</v>
      </c>
      <c r="D15269" t="s">
        <v>46599</v>
      </c>
      <c r="E15269" t="s">
        <v>46600</v>
      </c>
      <c r="F15269" t="s">
        <v>46601</v>
      </c>
      <c r="I15269" t="s">
        <v>184</v>
      </c>
      <c r="J15269" t="s">
        <v>30</v>
      </c>
      <c r="K15269" t="s">
        <v>46602</v>
      </c>
      <c r="M15269" t="s">
        <v>17861</v>
      </c>
      <c r="N15269" t="str">
        <f>"5/12/2021 11:57:00 AM"</f>
        <v>5/12/2021 11:57:00 AM</v>
      </c>
      <c r="O15269" t="s">
        <v>46599</v>
      </c>
      <c r="T15269" t="s">
        <v>46600</v>
      </c>
    </row>
    <row r="15270" spans="1:20" x14ac:dyDescent="0.25">
      <c r="A15270" t="str">
        <f>"3052967"</f>
        <v>3052967</v>
      </c>
      <c r="B15270" t="s">
        <v>46603</v>
      </c>
      <c r="C15270" t="str">
        <f>"82522140"</f>
        <v>82522140</v>
      </c>
      <c r="D15270" t="s">
        <v>46604</v>
      </c>
      <c r="F15270" t="s">
        <v>24137</v>
      </c>
      <c r="I15270" t="s">
        <v>402</v>
      </c>
      <c r="J15270" t="s">
        <v>30</v>
      </c>
      <c r="K15270" t="s">
        <v>403</v>
      </c>
      <c r="M15270" t="s">
        <v>18470</v>
      </c>
      <c r="N15270" t="str">
        <f>"5/18/2021 9:38:00 AM"</f>
        <v>5/18/2021 9:38:00 AM</v>
      </c>
      <c r="O15270" t="s">
        <v>46604</v>
      </c>
    </row>
    <row r="15271" spans="1:20" x14ac:dyDescent="0.25">
      <c r="A15271" t="str">
        <f>"3052727"</f>
        <v>3052727</v>
      </c>
      <c r="B15271" t="s">
        <v>46605</v>
      </c>
      <c r="C15271" t="str">
        <f>"82522140"</f>
        <v>82522140</v>
      </c>
      <c r="D15271" t="s">
        <v>46604</v>
      </c>
      <c r="F15271" t="s">
        <v>24137</v>
      </c>
      <c r="I15271" t="s">
        <v>402</v>
      </c>
      <c r="J15271" t="s">
        <v>30</v>
      </c>
      <c r="K15271" t="s">
        <v>403</v>
      </c>
      <c r="M15271" t="s">
        <v>18470</v>
      </c>
      <c r="N15271" t="str">
        <f>"5/18/2021 9:38:00 AM"</f>
        <v>5/18/2021 9:38:00 AM</v>
      </c>
      <c r="O15271" t="s">
        <v>46604</v>
      </c>
    </row>
    <row r="15272" spans="1:20" x14ac:dyDescent="0.25">
      <c r="A15272" t="str">
        <f>"3100309"</f>
        <v>3100309</v>
      </c>
      <c r="B15272" t="s">
        <v>46606</v>
      </c>
      <c r="C15272" t="str">
        <f>"82522140"</f>
        <v>82522140</v>
      </c>
      <c r="D15272" t="s">
        <v>46604</v>
      </c>
      <c r="F15272" t="s">
        <v>24137</v>
      </c>
      <c r="I15272" t="s">
        <v>402</v>
      </c>
      <c r="J15272" t="s">
        <v>30</v>
      </c>
      <c r="K15272" t="s">
        <v>403</v>
      </c>
      <c r="M15272" t="s">
        <v>18470</v>
      </c>
      <c r="N15272" t="str">
        <f>"5/18/2021 9:38:00 AM"</f>
        <v>5/18/2021 9:38:00 AM</v>
      </c>
      <c r="O15272" t="s">
        <v>46604</v>
      </c>
    </row>
    <row r="15273" spans="1:20" x14ac:dyDescent="0.25">
      <c r="A15273" t="str">
        <f>"3051452"</f>
        <v>3051452</v>
      </c>
      <c r="B15273" t="s">
        <v>46607</v>
      </c>
      <c r="C15273" t="str">
        <f>"21515250"</f>
        <v>21515250</v>
      </c>
      <c r="D15273" t="s">
        <v>46608</v>
      </c>
      <c r="E15273" t="s">
        <v>46609</v>
      </c>
      <c r="F15273" t="s">
        <v>46610</v>
      </c>
      <c r="I15273" t="s">
        <v>29</v>
      </c>
      <c r="J15273" t="s">
        <v>30</v>
      </c>
      <c r="K15273" t="s">
        <v>31</v>
      </c>
      <c r="M15273" t="s">
        <v>33845</v>
      </c>
      <c r="N15273" t="str">
        <f>"5/18/2021 10:18:00 AM"</f>
        <v>5/18/2021 10:18:00 AM</v>
      </c>
      <c r="O15273" t="s">
        <v>46608</v>
      </c>
      <c r="T15273" t="s">
        <v>46609</v>
      </c>
    </row>
    <row r="15274" spans="1:20" x14ac:dyDescent="0.25">
      <c r="A15274" t="str">
        <f>"3048197"</f>
        <v>3048197</v>
      </c>
      <c r="B15274" t="s">
        <v>46611</v>
      </c>
      <c r="C15274" t="str">
        <f>"71608000"</f>
        <v>71608000</v>
      </c>
      <c r="D15274" t="s">
        <v>46612</v>
      </c>
      <c r="F15274" t="s">
        <v>15249</v>
      </c>
      <c r="I15274" t="s">
        <v>1149</v>
      </c>
      <c r="J15274" t="s">
        <v>30</v>
      </c>
      <c r="K15274" t="s">
        <v>1150</v>
      </c>
      <c r="M15274" t="s">
        <v>33845</v>
      </c>
      <c r="N15274" t="str">
        <f>"5/18/2021 10:18:00 AM"</f>
        <v>5/18/2021 10:18:00 AM</v>
      </c>
      <c r="O15274" t="s">
        <v>46612</v>
      </c>
    </row>
    <row r="15275" spans="1:20" x14ac:dyDescent="0.25">
      <c r="A15275" t="str">
        <f>"3037921"</f>
        <v>3037921</v>
      </c>
      <c r="B15275" t="s">
        <v>46613</v>
      </c>
      <c r="C15275" t="str">
        <f>"72839500"</f>
        <v>72839500</v>
      </c>
      <c r="D15275" t="s">
        <v>46614</v>
      </c>
      <c r="F15275" t="s">
        <v>46615</v>
      </c>
      <c r="I15275" t="s">
        <v>29</v>
      </c>
      <c r="J15275" t="s">
        <v>30</v>
      </c>
      <c r="K15275" t="s">
        <v>2374</v>
      </c>
      <c r="M15275" t="s">
        <v>33845</v>
      </c>
      <c r="N15275" t="str">
        <f>"5/18/2021 12:06:00 PM"</f>
        <v>5/18/2021 12:06:00 PM</v>
      </c>
      <c r="O15275" t="s">
        <v>46614</v>
      </c>
    </row>
    <row r="15276" spans="1:20" x14ac:dyDescent="0.25">
      <c r="A15276" t="str">
        <f>"3038877"</f>
        <v>3038877</v>
      </c>
      <c r="B15276" t="s">
        <v>46616</v>
      </c>
      <c r="C15276" t="str">
        <f>"72839500"</f>
        <v>72839500</v>
      </c>
      <c r="D15276" t="s">
        <v>46614</v>
      </c>
      <c r="F15276" t="s">
        <v>46615</v>
      </c>
      <c r="I15276" t="s">
        <v>29</v>
      </c>
      <c r="J15276" t="s">
        <v>30</v>
      </c>
      <c r="K15276" t="s">
        <v>2374</v>
      </c>
      <c r="M15276" t="s">
        <v>33845</v>
      </c>
      <c r="N15276" t="str">
        <f>"5/18/2021 12:06:00 PM"</f>
        <v>5/18/2021 12:06:00 PM</v>
      </c>
      <c r="O15276" t="s">
        <v>46614</v>
      </c>
    </row>
    <row r="15277" spans="1:20" x14ac:dyDescent="0.25">
      <c r="A15277" t="str">
        <f>"3046068"</f>
        <v>3046068</v>
      </c>
      <c r="B15277" t="s">
        <v>46617</v>
      </c>
      <c r="C15277" t="str">
        <f>"8315614"</f>
        <v>8315614</v>
      </c>
      <c r="D15277" t="s">
        <v>46618</v>
      </c>
      <c r="F15277" t="s">
        <v>46619</v>
      </c>
      <c r="I15277" t="s">
        <v>29</v>
      </c>
      <c r="J15277" t="s">
        <v>30</v>
      </c>
      <c r="K15277" t="s">
        <v>46620</v>
      </c>
      <c r="M15277" t="s">
        <v>17861</v>
      </c>
      <c r="N15277" t="str">
        <f>"5/12/2021 12:07:00 PM"</f>
        <v>5/12/2021 12:07:00 PM</v>
      </c>
      <c r="O15277" t="s">
        <v>46618</v>
      </c>
    </row>
    <row r="15278" spans="1:20" x14ac:dyDescent="0.25">
      <c r="A15278" t="str">
        <f>"3059843"</f>
        <v>3059843</v>
      </c>
      <c r="B15278" t="s">
        <v>46621</v>
      </c>
      <c r="C15278" t="str">
        <f>"8312390"</f>
        <v>8312390</v>
      </c>
      <c r="D15278" t="s">
        <v>46622</v>
      </c>
      <c r="F15278" t="s">
        <v>46623</v>
      </c>
      <c r="I15278" t="s">
        <v>29</v>
      </c>
      <c r="J15278" t="s">
        <v>30</v>
      </c>
      <c r="K15278" t="s">
        <v>46624</v>
      </c>
      <c r="M15278" t="s">
        <v>33845</v>
      </c>
      <c r="N15278" t="str">
        <f>"5/18/2021 1:50:00 PM"</f>
        <v>5/18/2021 1:50:00 PM</v>
      </c>
      <c r="O15278" t="s">
        <v>46622</v>
      </c>
    </row>
    <row r="15279" spans="1:20" x14ac:dyDescent="0.25">
      <c r="A15279" t="str">
        <f>"3045641"</f>
        <v>3045641</v>
      </c>
      <c r="B15279" t="s">
        <v>46625</v>
      </c>
      <c r="C15279" t="str">
        <f>"8311599"</f>
        <v>8311599</v>
      </c>
      <c r="D15279" t="s">
        <v>46626</v>
      </c>
      <c r="F15279" t="s">
        <v>46627</v>
      </c>
      <c r="I15279" t="s">
        <v>29</v>
      </c>
      <c r="J15279" t="s">
        <v>30</v>
      </c>
      <c r="K15279" t="s">
        <v>46628</v>
      </c>
      <c r="M15279" t="s">
        <v>33845</v>
      </c>
      <c r="N15279" t="str">
        <f>"5/18/2021 3:54:00 PM"</f>
        <v>5/18/2021 3:54:00 PM</v>
      </c>
      <c r="O15279" t="s">
        <v>46626</v>
      </c>
    </row>
    <row r="15280" spans="1:20" x14ac:dyDescent="0.25">
      <c r="A15280" t="str">
        <f>"3063852"</f>
        <v>3063852</v>
      </c>
      <c r="B15280" t="s">
        <v>46629</v>
      </c>
      <c r="C15280" t="str">
        <f>"8313636"</f>
        <v>8313636</v>
      </c>
      <c r="D15280" t="s">
        <v>46630</v>
      </c>
      <c r="E15280" t="s">
        <v>46631</v>
      </c>
      <c r="F15280" t="s">
        <v>44795</v>
      </c>
      <c r="I15280" t="s">
        <v>184</v>
      </c>
      <c r="J15280" t="s">
        <v>30</v>
      </c>
      <c r="K15280" t="s">
        <v>4843</v>
      </c>
      <c r="M15280" t="s">
        <v>33845</v>
      </c>
      <c r="N15280" t="str">
        <f>"5/18/2021 4:02:00 PM"</f>
        <v>5/18/2021 4:02:00 PM</v>
      </c>
      <c r="O15280" t="s">
        <v>46630</v>
      </c>
      <c r="T15280" t="s">
        <v>46631</v>
      </c>
    </row>
    <row r="15281" spans="1:20" x14ac:dyDescent="0.25">
      <c r="A15281" t="str">
        <f>"3056617"</f>
        <v>3056617</v>
      </c>
      <c r="B15281" t="s">
        <v>46632</v>
      </c>
      <c r="C15281" t="str">
        <f>"8315621"</f>
        <v>8315621</v>
      </c>
      <c r="D15281" t="s">
        <v>46633</v>
      </c>
      <c r="F15281" t="s">
        <v>46634</v>
      </c>
      <c r="I15281" t="s">
        <v>46635</v>
      </c>
      <c r="J15281" t="s">
        <v>11994</v>
      </c>
      <c r="K15281" t="str">
        <f>"21037"</f>
        <v>21037</v>
      </c>
      <c r="M15281" t="s">
        <v>17861</v>
      </c>
      <c r="N15281" t="str">
        <f>"5/12/2021 7:59:00 PM"</f>
        <v>5/12/2021 7:59:00 PM</v>
      </c>
      <c r="O15281" t="s">
        <v>46633</v>
      </c>
    </row>
    <row r="15282" spans="1:20" x14ac:dyDescent="0.25">
      <c r="A15282" t="str">
        <f>"3052550"</f>
        <v>3052550</v>
      </c>
      <c r="B15282" t="s">
        <v>46636</v>
      </c>
      <c r="C15282" t="str">
        <f>"8315658"</f>
        <v>8315658</v>
      </c>
      <c r="D15282" t="s">
        <v>46637</v>
      </c>
      <c r="F15282" t="s">
        <v>46638</v>
      </c>
      <c r="I15282" t="s">
        <v>29</v>
      </c>
      <c r="J15282" t="s">
        <v>30</v>
      </c>
      <c r="K15282" t="s">
        <v>13442</v>
      </c>
      <c r="M15282" t="s">
        <v>17861</v>
      </c>
      <c r="N15282" t="str">
        <f>"5/24/2021 8:36:00 AM"</f>
        <v>5/24/2021 8:36:00 AM</v>
      </c>
      <c r="O15282" t="s">
        <v>46637</v>
      </c>
    </row>
    <row r="15283" spans="1:20" x14ac:dyDescent="0.25">
      <c r="A15283" t="str">
        <f>"3044844"</f>
        <v>3044844</v>
      </c>
      <c r="B15283" t="s">
        <v>46639</v>
      </c>
      <c r="C15283" t="str">
        <f>"8315659"</f>
        <v>8315659</v>
      </c>
      <c r="D15283" t="s">
        <v>46640</v>
      </c>
      <c r="E15283" t="s">
        <v>46641</v>
      </c>
      <c r="F15283" t="s">
        <v>46642</v>
      </c>
      <c r="I15283" t="s">
        <v>184</v>
      </c>
      <c r="J15283" t="s">
        <v>30</v>
      </c>
      <c r="K15283" t="s">
        <v>6077</v>
      </c>
      <c r="M15283" t="s">
        <v>17861</v>
      </c>
      <c r="N15283" t="str">
        <f>"5/24/2021 8:40:00 AM"</f>
        <v>5/24/2021 8:40:00 AM</v>
      </c>
      <c r="O15283" t="s">
        <v>46640</v>
      </c>
      <c r="T15283" t="s">
        <v>46641</v>
      </c>
    </row>
    <row r="15284" spans="1:20" x14ac:dyDescent="0.25">
      <c r="A15284" t="str">
        <f>"3040947"</f>
        <v>3040947</v>
      </c>
      <c r="B15284" t="s">
        <v>46643</v>
      </c>
      <c r="C15284" t="str">
        <f>"8315660"</f>
        <v>8315660</v>
      </c>
      <c r="D15284" t="s">
        <v>46644</v>
      </c>
      <c r="F15284" t="s">
        <v>46645</v>
      </c>
      <c r="I15284" t="s">
        <v>184</v>
      </c>
      <c r="J15284" t="s">
        <v>30</v>
      </c>
      <c r="K15284" t="s">
        <v>3323</v>
      </c>
      <c r="M15284" t="s">
        <v>17861</v>
      </c>
      <c r="N15284" t="str">
        <f>"5/24/2021 9:18:00 AM"</f>
        <v>5/24/2021 9:18:00 AM</v>
      </c>
      <c r="O15284" t="s">
        <v>46644</v>
      </c>
    </row>
    <row r="15285" spans="1:20" x14ac:dyDescent="0.25">
      <c r="A15285" t="str">
        <f>"3048256"</f>
        <v>3048256</v>
      </c>
      <c r="B15285" t="s">
        <v>46646</v>
      </c>
      <c r="C15285" t="str">
        <f>"8315622"</f>
        <v>8315622</v>
      </c>
      <c r="D15285" t="s">
        <v>46647</v>
      </c>
      <c r="E15285" t="s">
        <v>46648</v>
      </c>
      <c r="F15285" t="s">
        <v>46649</v>
      </c>
      <c r="I15285" t="s">
        <v>29</v>
      </c>
      <c r="J15285" t="s">
        <v>30</v>
      </c>
      <c r="K15285" t="s">
        <v>22945</v>
      </c>
      <c r="M15285" t="s">
        <v>17861</v>
      </c>
      <c r="N15285" t="str">
        <f>"5/12/2021 8:05:00 PM"</f>
        <v>5/12/2021 8:05:00 PM</v>
      </c>
      <c r="O15285" t="s">
        <v>46647</v>
      </c>
      <c r="T15285" t="s">
        <v>46648</v>
      </c>
    </row>
    <row r="15286" spans="1:20" x14ac:dyDescent="0.25">
      <c r="A15286" t="str">
        <f>"3044188"</f>
        <v>3044188</v>
      </c>
      <c r="B15286" t="s">
        <v>46650</v>
      </c>
      <c r="C15286" t="str">
        <f>"8315624"</f>
        <v>8315624</v>
      </c>
      <c r="D15286" t="s">
        <v>46651</v>
      </c>
      <c r="E15286" t="s">
        <v>46652</v>
      </c>
      <c r="F15286" t="s">
        <v>46653</v>
      </c>
      <c r="I15286" t="s">
        <v>184</v>
      </c>
      <c r="J15286" t="s">
        <v>30</v>
      </c>
      <c r="K15286" t="s">
        <v>46654</v>
      </c>
      <c r="M15286" t="s">
        <v>17861</v>
      </c>
      <c r="N15286" t="str">
        <f>"5/12/2021 8:14:00 PM"</f>
        <v>5/12/2021 8:14:00 PM</v>
      </c>
      <c r="O15286" t="s">
        <v>46651</v>
      </c>
      <c r="T15286" t="s">
        <v>46652</v>
      </c>
    </row>
    <row r="15287" spans="1:20" x14ac:dyDescent="0.25">
      <c r="A15287" t="str">
        <f>"3047901"</f>
        <v>3047901</v>
      </c>
      <c r="B15287" t="s">
        <v>46655</v>
      </c>
      <c r="C15287" t="str">
        <f>"8315625"</f>
        <v>8315625</v>
      </c>
      <c r="D15287" t="s">
        <v>46656</v>
      </c>
      <c r="E15287" t="s">
        <v>46657</v>
      </c>
      <c r="F15287" t="s">
        <v>46658</v>
      </c>
      <c r="I15287" t="s">
        <v>29</v>
      </c>
      <c r="J15287" t="s">
        <v>30</v>
      </c>
      <c r="K15287" t="s">
        <v>9364</v>
      </c>
      <c r="M15287" t="s">
        <v>17861</v>
      </c>
      <c r="N15287" t="str">
        <f>"5/12/2021 8:19:00 PM"</f>
        <v>5/12/2021 8:19:00 PM</v>
      </c>
      <c r="O15287" t="s">
        <v>46656</v>
      </c>
      <c r="T15287" t="s">
        <v>46657</v>
      </c>
    </row>
    <row r="15288" spans="1:20" x14ac:dyDescent="0.25">
      <c r="A15288" t="str">
        <f>"3061796"</f>
        <v>3061796</v>
      </c>
      <c r="B15288" t="s">
        <v>46659</v>
      </c>
      <c r="C15288" t="str">
        <f>"8315668"</f>
        <v>8315668</v>
      </c>
      <c r="D15288" t="s">
        <v>46660</v>
      </c>
      <c r="F15288" t="s">
        <v>46661</v>
      </c>
      <c r="I15288" t="s">
        <v>2071</v>
      </c>
      <c r="J15288" t="s">
        <v>30</v>
      </c>
      <c r="K15288" t="s">
        <v>45717</v>
      </c>
      <c r="M15288" t="s">
        <v>17861</v>
      </c>
      <c r="N15288" t="str">
        <f>"5/24/2021 12:32:00 PM"</f>
        <v>5/24/2021 12:32:00 PM</v>
      </c>
      <c r="O15288" t="s">
        <v>46660</v>
      </c>
    </row>
    <row r="15289" spans="1:20" x14ac:dyDescent="0.25">
      <c r="A15289" t="str">
        <f>"3044807"</f>
        <v>3044807</v>
      </c>
      <c r="B15289" t="s">
        <v>46662</v>
      </c>
      <c r="C15289" t="str">
        <f>"8315673"</f>
        <v>8315673</v>
      </c>
      <c r="D15289" t="s">
        <v>46663</v>
      </c>
      <c r="E15289" t="s">
        <v>46664</v>
      </c>
      <c r="F15289" t="s">
        <v>46665</v>
      </c>
      <c r="I15289" t="s">
        <v>184</v>
      </c>
      <c r="J15289" t="s">
        <v>30</v>
      </c>
      <c r="K15289" t="s">
        <v>6149</v>
      </c>
      <c r="M15289" t="s">
        <v>17861</v>
      </c>
      <c r="N15289" t="str">
        <f>"5/24/2021 2:10:00 PM"</f>
        <v>5/24/2021 2:10:00 PM</v>
      </c>
      <c r="O15289" t="s">
        <v>46663</v>
      </c>
      <c r="T15289" t="s">
        <v>46664</v>
      </c>
    </row>
    <row r="15290" spans="1:20" x14ac:dyDescent="0.25">
      <c r="A15290" t="str">
        <f>"3058854"</f>
        <v>3058854</v>
      </c>
      <c r="B15290" t="s">
        <v>46666</v>
      </c>
      <c r="C15290" t="str">
        <f>"8315674"</f>
        <v>8315674</v>
      </c>
      <c r="D15290" t="s">
        <v>46667</v>
      </c>
      <c r="F15290" t="s">
        <v>46668</v>
      </c>
      <c r="I15290" t="s">
        <v>29</v>
      </c>
      <c r="J15290" t="s">
        <v>30</v>
      </c>
      <c r="K15290" t="s">
        <v>33654</v>
      </c>
      <c r="M15290" t="s">
        <v>17861</v>
      </c>
      <c r="N15290" t="str">
        <f>"5/24/2021 2:14:00 PM"</f>
        <v>5/24/2021 2:14:00 PM</v>
      </c>
      <c r="O15290" t="s">
        <v>46667</v>
      </c>
    </row>
    <row r="15291" spans="1:20" x14ac:dyDescent="0.25">
      <c r="A15291" t="str">
        <f>"3041309"</f>
        <v>3041309</v>
      </c>
      <c r="B15291" t="s">
        <v>46669</v>
      </c>
      <c r="C15291" t="str">
        <f>"8315626"</f>
        <v>8315626</v>
      </c>
      <c r="D15291" t="s">
        <v>46670</v>
      </c>
      <c r="E15291" t="s">
        <v>46671</v>
      </c>
      <c r="F15291" t="s">
        <v>46672</v>
      </c>
      <c r="I15291" t="s">
        <v>184</v>
      </c>
      <c r="J15291" t="s">
        <v>30</v>
      </c>
      <c r="K15291" t="s">
        <v>2361</v>
      </c>
      <c r="M15291" t="s">
        <v>17861</v>
      </c>
      <c r="N15291" t="str">
        <f>"5/12/2021 8:23:00 PM"</f>
        <v>5/12/2021 8:23:00 PM</v>
      </c>
      <c r="O15291" t="s">
        <v>46670</v>
      </c>
      <c r="T15291" t="s">
        <v>46671</v>
      </c>
    </row>
    <row r="15292" spans="1:20" x14ac:dyDescent="0.25">
      <c r="A15292" t="str">
        <f>"3059149"</f>
        <v>3059149</v>
      </c>
      <c r="B15292" t="s">
        <v>46673</v>
      </c>
      <c r="C15292" t="str">
        <f>"8315627"</f>
        <v>8315627</v>
      </c>
      <c r="D15292" t="s">
        <v>46674</v>
      </c>
      <c r="F15292" t="s">
        <v>46675</v>
      </c>
      <c r="I15292" t="s">
        <v>29</v>
      </c>
      <c r="J15292" t="s">
        <v>30</v>
      </c>
      <c r="K15292" t="s">
        <v>35986</v>
      </c>
      <c r="M15292" t="s">
        <v>17861</v>
      </c>
      <c r="N15292" t="str">
        <f>"5/12/2021 8:27:00 PM"</f>
        <v>5/12/2021 8:27:00 PM</v>
      </c>
      <c r="O15292" t="s">
        <v>46674</v>
      </c>
    </row>
    <row r="15293" spans="1:20" x14ac:dyDescent="0.25">
      <c r="A15293" t="str">
        <f>"3065035"</f>
        <v>3065035</v>
      </c>
      <c r="B15293" t="s">
        <v>46676</v>
      </c>
      <c r="C15293" t="str">
        <f>"8315631"</f>
        <v>8315631</v>
      </c>
      <c r="D15293" t="s">
        <v>46677</v>
      </c>
      <c r="F15293" t="s">
        <v>46678</v>
      </c>
      <c r="I15293" t="s">
        <v>184</v>
      </c>
      <c r="J15293" t="s">
        <v>30</v>
      </c>
      <c r="K15293" t="s">
        <v>5292</v>
      </c>
      <c r="M15293" t="s">
        <v>17861</v>
      </c>
      <c r="N15293" t="str">
        <f>"5/13/2021 8:22:00 AM"</f>
        <v>5/13/2021 8:22:00 AM</v>
      </c>
      <c r="O15293" t="s">
        <v>46677</v>
      </c>
    </row>
    <row r="15294" spans="1:20" x14ac:dyDescent="0.25">
      <c r="A15294" t="str">
        <f>"3044533"</f>
        <v>3044533</v>
      </c>
      <c r="B15294" t="s">
        <v>46679</v>
      </c>
      <c r="C15294" t="str">
        <f>"8315678"</f>
        <v>8315678</v>
      </c>
      <c r="D15294" t="s">
        <v>46680</v>
      </c>
      <c r="F15294" t="s">
        <v>46681</v>
      </c>
      <c r="I15294" t="s">
        <v>184</v>
      </c>
      <c r="J15294" t="s">
        <v>30</v>
      </c>
      <c r="K15294" t="s">
        <v>5724</v>
      </c>
      <c r="M15294" t="s">
        <v>17861</v>
      </c>
      <c r="N15294" t="str">
        <f>"5/24/2021 2:45:00 PM"</f>
        <v>5/24/2021 2:45:00 PM</v>
      </c>
      <c r="O15294" t="s">
        <v>46680</v>
      </c>
    </row>
    <row r="15295" spans="1:20" x14ac:dyDescent="0.25">
      <c r="A15295" t="str">
        <f>"3062511"</f>
        <v>3062511</v>
      </c>
      <c r="B15295" t="s">
        <v>46682</v>
      </c>
      <c r="C15295" t="str">
        <f>"8315681"</f>
        <v>8315681</v>
      </c>
      <c r="D15295" t="s">
        <v>46683</v>
      </c>
      <c r="E15295" t="s">
        <v>46684</v>
      </c>
      <c r="F15295" t="s">
        <v>46685</v>
      </c>
      <c r="I15295" t="s">
        <v>184</v>
      </c>
      <c r="J15295" t="s">
        <v>30</v>
      </c>
      <c r="K15295" t="s">
        <v>3751</v>
      </c>
      <c r="M15295" t="s">
        <v>17861</v>
      </c>
      <c r="N15295" t="str">
        <f>"5/24/2021 3:02:00 PM"</f>
        <v>5/24/2021 3:02:00 PM</v>
      </c>
      <c r="O15295" t="s">
        <v>46683</v>
      </c>
      <c r="T15295" t="s">
        <v>46684</v>
      </c>
    </row>
    <row r="15296" spans="1:20" x14ac:dyDescent="0.25">
      <c r="A15296" t="str">
        <f>"3040966"</f>
        <v>3040966</v>
      </c>
      <c r="B15296" t="s">
        <v>46686</v>
      </c>
      <c r="C15296" t="str">
        <f>"8315682"</f>
        <v>8315682</v>
      </c>
      <c r="D15296" t="s">
        <v>1777</v>
      </c>
      <c r="E15296" t="s">
        <v>1778</v>
      </c>
      <c r="F15296" t="s">
        <v>32812</v>
      </c>
      <c r="I15296" t="s">
        <v>184</v>
      </c>
      <c r="J15296" t="s">
        <v>30</v>
      </c>
      <c r="K15296" t="s">
        <v>33890</v>
      </c>
      <c r="M15296" t="s">
        <v>17861</v>
      </c>
      <c r="N15296" t="str">
        <f>"5/24/2021 3:05:00 PM"</f>
        <v>5/24/2021 3:05:00 PM</v>
      </c>
      <c r="O15296" t="s">
        <v>1777</v>
      </c>
      <c r="T15296" t="s">
        <v>1778</v>
      </c>
    </row>
    <row r="15297" spans="1:20" x14ac:dyDescent="0.25">
      <c r="A15297" t="str">
        <f>"3057065"</f>
        <v>3057065</v>
      </c>
      <c r="B15297" t="s">
        <v>46687</v>
      </c>
      <c r="C15297" t="str">
        <f>"8315631"</f>
        <v>8315631</v>
      </c>
      <c r="D15297" t="s">
        <v>46677</v>
      </c>
      <c r="F15297" t="s">
        <v>46678</v>
      </c>
      <c r="I15297" t="s">
        <v>184</v>
      </c>
      <c r="J15297" t="s">
        <v>30</v>
      </c>
      <c r="K15297" t="s">
        <v>5292</v>
      </c>
      <c r="M15297" t="s">
        <v>17861</v>
      </c>
      <c r="N15297" t="str">
        <f>"5/13/2021 8:22:00 AM"</f>
        <v>5/13/2021 8:22:00 AM</v>
      </c>
      <c r="O15297" t="s">
        <v>46677</v>
      </c>
    </row>
    <row r="15298" spans="1:20" x14ac:dyDescent="0.25">
      <c r="A15298" t="str">
        <f>"3052626"</f>
        <v>3052626</v>
      </c>
      <c r="B15298" t="s">
        <v>46688</v>
      </c>
      <c r="C15298" t="str">
        <f>"8315633"</f>
        <v>8315633</v>
      </c>
      <c r="D15298" t="s">
        <v>46689</v>
      </c>
      <c r="E15298" t="s">
        <v>46690</v>
      </c>
      <c r="F15298" t="s">
        <v>46691</v>
      </c>
      <c r="I15298" t="s">
        <v>29</v>
      </c>
      <c r="J15298" t="s">
        <v>30</v>
      </c>
      <c r="K15298" t="s">
        <v>12144</v>
      </c>
      <c r="M15298" t="s">
        <v>17861</v>
      </c>
      <c r="N15298" t="str">
        <f>"5/13/2021 8:30:00 AM"</f>
        <v>5/13/2021 8:30:00 AM</v>
      </c>
      <c r="O15298" t="s">
        <v>46689</v>
      </c>
      <c r="T15298" t="s">
        <v>46690</v>
      </c>
    </row>
    <row r="15299" spans="1:20" x14ac:dyDescent="0.25">
      <c r="A15299" t="str">
        <f>"3056592"</f>
        <v>3056592</v>
      </c>
      <c r="B15299" t="s">
        <v>46692</v>
      </c>
      <c r="C15299" t="str">
        <f>"8315634"</f>
        <v>8315634</v>
      </c>
      <c r="D15299" t="s">
        <v>46693</v>
      </c>
      <c r="E15299" t="s">
        <v>46694</v>
      </c>
      <c r="F15299" t="s">
        <v>46695</v>
      </c>
      <c r="I15299" t="s">
        <v>29</v>
      </c>
      <c r="J15299" t="s">
        <v>30</v>
      </c>
      <c r="K15299" t="s">
        <v>16678</v>
      </c>
      <c r="M15299" t="s">
        <v>17861</v>
      </c>
      <c r="N15299" t="str">
        <f>"5/13/2021 9:07:00 AM"</f>
        <v>5/13/2021 9:07:00 AM</v>
      </c>
      <c r="O15299" t="s">
        <v>46693</v>
      </c>
      <c r="T15299" t="s">
        <v>46694</v>
      </c>
    </row>
    <row r="15300" spans="1:20" x14ac:dyDescent="0.25">
      <c r="A15300" t="str">
        <f>"3049053"</f>
        <v>3049053</v>
      </c>
      <c r="B15300" t="s">
        <v>46696</v>
      </c>
      <c r="C15300" t="str">
        <f>"8306744"</f>
        <v>8306744</v>
      </c>
      <c r="D15300" t="s">
        <v>46697</v>
      </c>
      <c r="E15300" t="s">
        <v>46698</v>
      </c>
      <c r="F15300" t="s">
        <v>46699</v>
      </c>
      <c r="I15300" t="s">
        <v>29</v>
      </c>
      <c r="J15300" t="s">
        <v>30</v>
      </c>
      <c r="K15300" t="s">
        <v>9806</v>
      </c>
      <c r="M15300" t="s">
        <v>17861</v>
      </c>
      <c r="N15300" t="str">
        <f>"5/25/2021 9:45:00 AM"</f>
        <v>5/25/2021 9:45:00 AM</v>
      </c>
      <c r="O15300" t="s">
        <v>46697</v>
      </c>
      <c r="T15300" t="s">
        <v>46698</v>
      </c>
    </row>
    <row r="15301" spans="1:20" x14ac:dyDescent="0.25">
      <c r="A15301" t="str">
        <f>"3049709"</f>
        <v>3049709</v>
      </c>
      <c r="B15301" t="s">
        <v>46700</v>
      </c>
      <c r="C15301" t="str">
        <f>"8306744"</f>
        <v>8306744</v>
      </c>
      <c r="D15301" t="s">
        <v>46697</v>
      </c>
      <c r="E15301" t="s">
        <v>46698</v>
      </c>
      <c r="F15301" t="s">
        <v>46699</v>
      </c>
      <c r="I15301" t="s">
        <v>29</v>
      </c>
      <c r="J15301" t="s">
        <v>30</v>
      </c>
      <c r="K15301" t="s">
        <v>9806</v>
      </c>
      <c r="M15301" t="s">
        <v>17861</v>
      </c>
      <c r="N15301" t="str">
        <f>"5/25/2021 9:45:00 AM"</f>
        <v>5/25/2021 9:45:00 AM</v>
      </c>
      <c r="O15301" t="s">
        <v>46697</v>
      </c>
      <c r="T15301" t="s">
        <v>46698</v>
      </c>
    </row>
    <row r="15302" spans="1:20" x14ac:dyDescent="0.25">
      <c r="A15302" t="str">
        <f>"3051077"</f>
        <v>3051077</v>
      </c>
      <c r="B15302" t="s">
        <v>46701</v>
      </c>
      <c r="C15302" t="str">
        <f>"8306744"</f>
        <v>8306744</v>
      </c>
      <c r="D15302" t="s">
        <v>46697</v>
      </c>
      <c r="E15302" t="s">
        <v>46698</v>
      </c>
      <c r="F15302" t="s">
        <v>46699</v>
      </c>
      <c r="I15302" t="s">
        <v>29</v>
      </c>
      <c r="J15302" t="s">
        <v>30</v>
      </c>
      <c r="K15302" t="s">
        <v>9806</v>
      </c>
      <c r="M15302" t="s">
        <v>17861</v>
      </c>
      <c r="N15302" t="str">
        <f>"5/25/2021 9:45:00 AM"</f>
        <v>5/25/2021 9:45:00 AM</v>
      </c>
      <c r="O15302" t="s">
        <v>46697</v>
      </c>
      <c r="T15302" t="s">
        <v>46698</v>
      </c>
    </row>
    <row r="15303" spans="1:20" x14ac:dyDescent="0.25">
      <c r="A15303" t="str">
        <f>"3054010"</f>
        <v>3054010</v>
      </c>
      <c r="B15303" t="s">
        <v>46702</v>
      </c>
      <c r="C15303" t="str">
        <f>"8306744"</f>
        <v>8306744</v>
      </c>
      <c r="D15303" t="s">
        <v>46697</v>
      </c>
      <c r="E15303" t="s">
        <v>46698</v>
      </c>
      <c r="F15303" t="s">
        <v>46699</v>
      </c>
      <c r="I15303" t="s">
        <v>29</v>
      </c>
      <c r="J15303" t="s">
        <v>30</v>
      </c>
      <c r="K15303" t="s">
        <v>9806</v>
      </c>
      <c r="M15303" t="s">
        <v>17861</v>
      </c>
      <c r="N15303" t="str">
        <f>"5/25/2021 9:45:00 AM"</f>
        <v>5/25/2021 9:45:00 AM</v>
      </c>
      <c r="O15303" t="s">
        <v>46697</v>
      </c>
      <c r="T15303" t="s">
        <v>46698</v>
      </c>
    </row>
    <row r="15304" spans="1:20" x14ac:dyDescent="0.25">
      <c r="A15304" t="str">
        <f>"3056692"</f>
        <v>3056692</v>
      </c>
      <c r="B15304" t="s">
        <v>46703</v>
      </c>
      <c r="C15304" t="str">
        <f>"8315690"</f>
        <v>8315690</v>
      </c>
      <c r="D15304" t="s">
        <v>46704</v>
      </c>
      <c r="E15304" t="s">
        <v>46705</v>
      </c>
      <c r="F15304" t="s">
        <v>46706</v>
      </c>
      <c r="I15304" t="s">
        <v>9580</v>
      </c>
      <c r="J15304" t="s">
        <v>30</v>
      </c>
      <c r="K15304" t="s">
        <v>46707</v>
      </c>
      <c r="M15304" t="s">
        <v>17861</v>
      </c>
      <c r="N15304" t="str">
        <f>"5/25/2021 2:01:00 PM"</f>
        <v>5/25/2021 2:01:00 PM</v>
      </c>
      <c r="O15304" t="s">
        <v>46704</v>
      </c>
      <c r="T15304" t="s">
        <v>46705</v>
      </c>
    </row>
    <row r="15305" spans="1:20" x14ac:dyDescent="0.25">
      <c r="A15305" t="str">
        <f>"3055684"</f>
        <v>3055684</v>
      </c>
      <c r="B15305" t="s">
        <v>46708</v>
      </c>
      <c r="C15305" t="str">
        <f>"8315690"</f>
        <v>8315690</v>
      </c>
      <c r="D15305" t="s">
        <v>46704</v>
      </c>
      <c r="E15305" t="s">
        <v>46705</v>
      </c>
      <c r="F15305" t="s">
        <v>46706</v>
      </c>
      <c r="I15305" t="s">
        <v>9580</v>
      </c>
      <c r="J15305" t="s">
        <v>30</v>
      </c>
      <c r="K15305" t="s">
        <v>46707</v>
      </c>
      <c r="M15305" t="s">
        <v>17861</v>
      </c>
      <c r="N15305" t="str">
        <f>"5/25/2021 2:01:00 PM"</f>
        <v>5/25/2021 2:01:00 PM</v>
      </c>
      <c r="O15305" t="s">
        <v>46704</v>
      </c>
      <c r="T15305" t="s">
        <v>46705</v>
      </c>
    </row>
    <row r="15306" spans="1:20" x14ac:dyDescent="0.25">
      <c r="A15306" t="str">
        <f>"3038977"</f>
        <v>3038977</v>
      </c>
      <c r="B15306" t="s">
        <v>46709</v>
      </c>
      <c r="C15306" t="str">
        <f>"8315691"</f>
        <v>8315691</v>
      </c>
      <c r="D15306" t="s">
        <v>46710</v>
      </c>
      <c r="F15306" t="s">
        <v>46711</v>
      </c>
      <c r="I15306" t="s">
        <v>29</v>
      </c>
      <c r="J15306" t="s">
        <v>30</v>
      </c>
      <c r="K15306" t="s">
        <v>46712</v>
      </c>
      <c r="M15306" t="s">
        <v>17861</v>
      </c>
      <c r="N15306" t="str">
        <f>"5/25/2021 2:06:00 PM"</f>
        <v>5/25/2021 2:06:00 PM</v>
      </c>
      <c r="O15306" t="s">
        <v>46710</v>
      </c>
    </row>
    <row r="15307" spans="1:20" x14ac:dyDescent="0.25">
      <c r="A15307" t="str">
        <f>"3046563"</f>
        <v>3046563</v>
      </c>
      <c r="B15307" t="s">
        <v>46713</v>
      </c>
      <c r="C15307" t="str">
        <f>"8313774"</f>
        <v>8313774</v>
      </c>
      <c r="D15307" t="s">
        <v>24216</v>
      </c>
      <c r="E15307" t="s">
        <v>46714</v>
      </c>
      <c r="F15307" t="s">
        <v>46715</v>
      </c>
      <c r="I15307" t="s">
        <v>29</v>
      </c>
      <c r="J15307" t="s">
        <v>30</v>
      </c>
      <c r="K15307" t="s">
        <v>24219</v>
      </c>
      <c r="M15307" t="s">
        <v>18479</v>
      </c>
      <c r="N15307" t="str">
        <f>"5/25/2021 4:49:00 PM"</f>
        <v>5/25/2021 4:49:00 PM</v>
      </c>
      <c r="O15307" t="s">
        <v>24216</v>
      </c>
      <c r="T15307" t="s">
        <v>46714</v>
      </c>
    </row>
    <row r="15308" spans="1:20" x14ac:dyDescent="0.25">
      <c r="A15308" t="str">
        <f>"3059078"</f>
        <v>3059078</v>
      </c>
      <c r="B15308" t="s">
        <v>46716</v>
      </c>
      <c r="C15308" t="str">
        <f>"8315697"</f>
        <v>8315697</v>
      </c>
      <c r="D15308" t="s">
        <v>46717</v>
      </c>
      <c r="E15308" t="s">
        <v>46718</v>
      </c>
      <c r="F15308" t="s">
        <v>46719</v>
      </c>
      <c r="I15308" t="s">
        <v>14865</v>
      </c>
      <c r="J15308" t="s">
        <v>30</v>
      </c>
      <c r="K15308" t="s">
        <v>46720</v>
      </c>
      <c r="M15308" t="s">
        <v>17861</v>
      </c>
      <c r="N15308" t="str">
        <f>"5/26/2021 10:24:00 AM"</f>
        <v>5/26/2021 10:24:00 AM</v>
      </c>
      <c r="O15308" t="s">
        <v>46717</v>
      </c>
      <c r="T15308" t="s">
        <v>46718</v>
      </c>
    </row>
    <row r="15309" spans="1:20" x14ac:dyDescent="0.25">
      <c r="A15309" t="str">
        <f>"3053592"</f>
        <v>3053592</v>
      </c>
      <c r="B15309" t="s">
        <v>46721</v>
      </c>
      <c r="C15309" t="str">
        <f>"8315698"</f>
        <v>8315698</v>
      </c>
      <c r="D15309" t="s">
        <v>46722</v>
      </c>
      <c r="E15309" t="s">
        <v>46723</v>
      </c>
      <c r="F15309" t="s">
        <v>46724</v>
      </c>
      <c r="I15309" t="s">
        <v>17921</v>
      </c>
      <c r="J15309" t="s">
        <v>30</v>
      </c>
      <c r="K15309" t="str">
        <f>"27028"</f>
        <v>27028</v>
      </c>
      <c r="M15309" t="s">
        <v>17861</v>
      </c>
      <c r="N15309" t="str">
        <f>"5/26/2021 10:31:00 AM"</f>
        <v>5/26/2021 10:31:00 AM</v>
      </c>
      <c r="O15309" t="s">
        <v>46722</v>
      </c>
      <c r="T15309" t="s">
        <v>46723</v>
      </c>
    </row>
    <row r="15310" spans="1:20" x14ac:dyDescent="0.25">
      <c r="A15310" t="str">
        <f>"3038673"</f>
        <v>3038673</v>
      </c>
      <c r="B15310" t="s">
        <v>46725</v>
      </c>
      <c r="C15310" t="str">
        <f>"8315699"</f>
        <v>8315699</v>
      </c>
      <c r="D15310" t="s">
        <v>46726</v>
      </c>
      <c r="E15310" t="s">
        <v>46727</v>
      </c>
      <c r="F15310" t="s">
        <v>46728</v>
      </c>
      <c r="I15310" t="s">
        <v>29</v>
      </c>
      <c r="J15310" t="s">
        <v>30</v>
      </c>
      <c r="K15310" t="s">
        <v>20232</v>
      </c>
      <c r="M15310" t="s">
        <v>17861</v>
      </c>
      <c r="N15310" t="str">
        <f>"5/26/2021 10:46:00 AM"</f>
        <v>5/26/2021 10:46:00 AM</v>
      </c>
      <c r="O15310" t="s">
        <v>46726</v>
      </c>
      <c r="T15310" t="s">
        <v>46727</v>
      </c>
    </row>
    <row r="15311" spans="1:20" x14ac:dyDescent="0.25">
      <c r="A15311" t="str">
        <f>"3062951"</f>
        <v>3062951</v>
      </c>
      <c r="B15311" t="s">
        <v>46729</v>
      </c>
      <c r="C15311" t="str">
        <f>"8315635"</f>
        <v>8315635</v>
      </c>
      <c r="D15311" t="s">
        <v>46730</v>
      </c>
      <c r="E15311" t="s">
        <v>46731</v>
      </c>
      <c r="F15311" t="s">
        <v>46732</v>
      </c>
      <c r="I15311" t="s">
        <v>29</v>
      </c>
      <c r="J15311" t="s">
        <v>30</v>
      </c>
      <c r="K15311" t="s">
        <v>36011</v>
      </c>
      <c r="M15311" t="s">
        <v>17861</v>
      </c>
      <c r="N15311" t="str">
        <f>"5/13/2021 9:12:00 AM"</f>
        <v>5/13/2021 9:12:00 AM</v>
      </c>
      <c r="O15311" t="s">
        <v>46730</v>
      </c>
      <c r="T15311" t="s">
        <v>46731</v>
      </c>
    </row>
    <row r="15312" spans="1:20" x14ac:dyDescent="0.25">
      <c r="A15312" t="str">
        <f>"3062807"</f>
        <v>3062807</v>
      </c>
      <c r="B15312" t="s">
        <v>46733</v>
      </c>
      <c r="C15312" t="str">
        <f>"8315636"</f>
        <v>8315636</v>
      </c>
      <c r="D15312" t="s">
        <v>46734</v>
      </c>
      <c r="E15312" t="s">
        <v>46735</v>
      </c>
      <c r="F15312" t="s">
        <v>46736</v>
      </c>
      <c r="I15312" t="s">
        <v>29</v>
      </c>
      <c r="J15312" t="s">
        <v>30</v>
      </c>
      <c r="K15312" t="s">
        <v>35947</v>
      </c>
      <c r="M15312" t="s">
        <v>17861</v>
      </c>
      <c r="N15312" t="str">
        <f>"5/13/2021 10:04:00 AM"</f>
        <v>5/13/2021 10:04:00 AM</v>
      </c>
      <c r="O15312" t="s">
        <v>46734</v>
      </c>
      <c r="T15312" t="s">
        <v>46735</v>
      </c>
    </row>
    <row r="15313" spans="1:20" x14ac:dyDescent="0.25">
      <c r="A15313" t="str">
        <f>"3065500"</f>
        <v>3065500</v>
      </c>
      <c r="B15313" t="s">
        <v>46737</v>
      </c>
      <c r="C15313" t="str">
        <f>"8315704"</f>
        <v>8315704</v>
      </c>
      <c r="D15313" t="s">
        <v>46738</v>
      </c>
      <c r="E15313" t="s">
        <v>46739</v>
      </c>
      <c r="F15313" t="s">
        <v>46740</v>
      </c>
      <c r="I15313" t="s">
        <v>2071</v>
      </c>
      <c r="J15313" t="s">
        <v>30</v>
      </c>
      <c r="K15313" t="s">
        <v>3789</v>
      </c>
      <c r="M15313" t="s">
        <v>17861</v>
      </c>
      <c r="N15313" t="str">
        <f>"5/26/2021 1:00:00 PM"</f>
        <v>5/26/2021 1:00:00 PM</v>
      </c>
      <c r="O15313" t="s">
        <v>46738</v>
      </c>
      <c r="T15313" t="s">
        <v>46739</v>
      </c>
    </row>
    <row r="15314" spans="1:20" x14ac:dyDescent="0.25">
      <c r="A15314" t="str">
        <f>"3039200"</f>
        <v>3039200</v>
      </c>
      <c r="B15314" t="s">
        <v>46741</v>
      </c>
      <c r="C15314" t="str">
        <f>"8315706"</f>
        <v>8315706</v>
      </c>
      <c r="D15314" t="s">
        <v>46742</v>
      </c>
      <c r="F15314" t="s">
        <v>46743</v>
      </c>
      <c r="I15314" t="s">
        <v>29</v>
      </c>
      <c r="J15314" t="s">
        <v>30</v>
      </c>
      <c r="K15314" t="s">
        <v>34298</v>
      </c>
      <c r="M15314" t="s">
        <v>17861</v>
      </c>
      <c r="N15314" t="str">
        <f>"5/26/2021 1:13:00 PM"</f>
        <v>5/26/2021 1:13:00 PM</v>
      </c>
      <c r="O15314" t="s">
        <v>46742</v>
      </c>
    </row>
    <row r="15315" spans="1:20" x14ac:dyDescent="0.25">
      <c r="A15315" t="str">
        <f>"3039681"</f>
        <v>3039681</v>
      </c>
      <c r="B15315" t="s">
        <v>46744</v>
      </c>
      <c r="C15315" t="str">
        <f>"8315709"</f>
        <v>8315709</v>
      </c>
      <c r="D15315" t="s">
        <v>46745</v>
      </c>
      <c r="E15315" t="s">
        <v>46746</v>
      </c>
      <c r="F15315" t="s">
        <v>46747</v>
      </c>
      <c r="I15315" t="s">
        <v>49</v>
      </c>
      <c r="J15315" t="s">
        <v>30</v>
      </c>
      <c r="K15315" t="str">
        <f>"27055"</f>
        <v>27055</v>
      </c>
      <c r="M15315" t="s">
        <v>17861</v>
      </c>
      <c r="N15315" t="str">
        <f>"5/26/2021 3:07:00 PM"</f>
        <v>5/26/2021 3:07:00 PM</v>
      </c>
      <c r="O15315" t="s">
        <v>46745</v>
      </c>
      <c r="T15315" t="s">
        <v>46746</v>
      </c>
    </row>
    <row r="15316" spans="1:20" x14ac:dyDescent="0.25">
      <c r="A15316" t="str">
        <f>"3039947"</f>
        <v>3039947</v>
      </c>
      <c r="B15316" t="s">
        <v>46748</v>
      </c>
      <c r="C15316" t="str">
        <f>"8315709"</f>
        <v>8315709</v>
      </c>
      <c r="D15316" t="s">
        <v>46745</v>
      </c>
      <c r="E15316" t="s">
        <v>46746</v>
      </c>
      <c r="F15316" t="s">
        <v>46747</v>
      </c>
      <c r="I15316" t="s">
        <v>49</v>
      </c>
      <c r="J15316" t="s">
        <v>30</v>
      </c>
      <c r="K15316" t="str">
        <f>"27055"</f>
        <v>27055</v>
      </c>
      <c r="M15316" t="s">
        <v>17861</v>
      </c>
      <c r="N15316" t="str">
        <f>"5/26/2021 3:07:00 PM"</f>
        <v>5/26/2021 3:07:00 PM</v>
      </c>
      <c r="O15316" t="s">
        <v>46745</v>
      </c>
      <c r="T15316" t="s">
        <v>46746</v>
      </c>
    </row>
    <row r="15317" spans="1:20" x14ac:dyDescent="0.25">
      <c r="A15317" t="str">
        <f>"3060345"</f>
        <v>3060345</v>
      </c>
      <c r="B15317" t="s">
        <v>46749</v>
      </c>
      <c r="C15317" t="str">
        <f>"8315709"</f>
        <v>8315709</v>
      </c>
      <c r="D15317" t="s">
        <v>46745</v>
      </c>
      <c r="E15317" t="s">
        <v>46746</v>
      </c>
      <c r="F15317" t="s">
        <v>46747</v>
      </c>
      <c r="I15317" t="s">
        <v>49</v>
      </c>
      <c r="J15317" t="s">
        <v>30</v>
      </c>
      <c r="K15317" t="str">
        <f>"27055"</f>
        <v>27055</v>
      </c>
      <c r="M15317" t="s">
        <v>17861</v>
      </c>
      <c r="N15317" t="str">
        <f>"5/26/2021 3:07:00 PM"</f>
        <v>5/26/2021 3:07:00 PM</v>
      </c>
      <c r="O15317" t="s">
        <v>46745</v>
      </c>
      <c r="T15317" t="s">
        <v>46746</v>
      </c>
    </row>
    <row r="15318" spans="1:20" x14ac:dyDescent="0.25">
      <c r="A15318" t="str">
        <f>"3051003"</f>
        <v>3051003</v>
      </c>
      <c r="B15318" t="s">
        <v>46750</v>
      </c>
      <c r="C15318" t="str">
        <f>"8315710"</f>
        <v>8315710</v>
      </c>
      <c r="D15318" t="s">
        <v>46751</v>
      </c>
      <c r="E15318" t="s">
        <v>46752</v>
      </c>
      <c r="F15318" t="s">
        <v>46753</v>
      </c>
      <c r="I15318" t="s">
        <v>184</v>
      </c>
      <c r="J15318" t="s">
        <v>30</v>
      </c>
      <c r="K15318" t="s">
        <v>37663</v>
      </c>
      <c r="M15318" t="s">
        <v>17861</v>
      </c>
      <c r="N15318" t="str">
        <f>"5/26/2021 3:26:00 PM"</f>
        <v>5/26/2021 3:26:00 PM</v>
      </c>
      <c r="O15318" t="s">
        <v>46751</v>
      </c>
      <c r="T15318" t="s">
        <v>46752</v>
      </c>
    </row>
    <row r="15319" spans="1:20" x14ac:dyDescent="0.25">
      <c r="A15319" t="str">
        <f>"3044359"</f>
        <v>3044359</v>
      </c>
      <c r="B15319" t="s">
        <v>46754</v>
      </c>
      <c r="C15319" t="str">
        <f>"8315712"</f>
        <v>8315712</v>
      </c>
      <c r="D15319" t="s">
        <v>46755</v>
      </c>
      <c r="E15319" t="s">
        <v>46756</v>
      </c>
      <c r="F15319" t="s">
        <v>46757</v>
      </c>
      <c r="I15319" t="s">
        <v>184</v>
      </c>
      <c r="J15319" t="s">
        <v>30</v>
      </c>
      <c r="K15319" t="s">
        <v>5976</v>
      </c>
      <c r="M15319" t="s">
        <v>17861</v>
      </c>
      <c r="N15319" t="str">
        <f>"5/26/2021 3:46:00 PM"</f>
        <v>5/26/2021 3:46:00 PM</v>
      </c>
      <c r="O15319" t="s">
        <v>46755</v>
      </c>
      <c r="T15319" t="s">
        <v>46756</v>
      </c>
    </row>
    <row r="15320" spans="1:20" x14ac:dyDescent="0.25">
      <c r="A15320" t="str">
        <f>"3062891"</f>
        <v>3062891</v>
      </c>
      <c r="B15320" t="s">
        <v>46758</v>
      </c>
      <c r="C15320" t="str">
        <f>"8315713"</f>
        <v>8315713</v>
      </c>
      <c r="D15320" t="s">
        <v>46759</v>
      </c>
      <c r="E15320" t="s">
        <v>46760</v>
      </c>
      <c r="F15320" t="s">
        <v>46761</v>
      </c>
      <c r="I15320" t="s">
        <v>29</v>
      </c>
      <c r="J15320" t="s">
        <v>30</v>
      </c>
      <c r="K15320" t="s">
        <v>46762</v>
      </c>
      <c r="M15320" t="s">
        <v>17861</v>
      </c>
      <c r="N15320" t="str">
        <f>"5/26/2021 3:50:00 PM"</f>
        <v>5/26/2021 3:50:00 PM</v>
      </c>
      <c r="O15320" t="s">
        <v>46759</v>
      </c>
      <c r="T15320" t="s">
        <v>46760</v>
      </c>
    </row>
    <row r="15321" spans="1:20" x14ac:dyDescent="0.25">
      <c r="A15321" t="str">
        <f>"3053177"</f>
        <v>3053177</v>
      </c>
      <c r="B15321" t="s">
        <v>46763</v>
      </c>
      <c r="C15321" t="str">
        <f>"8315638"</f>
        <v>8315638</v>
      </c>
      <c r="D15321" t="s">
        <v>46764</v>
      </c>
      <c r="E15321" t="s">
        <v>46765</v>
      </c>
      <c r="F15321" t="s">
        <v>46766</v>
      </c>
      <c r="I15321" t="s">
        <v>29</v>
      </c>
      <c r="J15321" t="s">
        <v>30</v>
      </c>
      <c r="K15321" t="s">
        <v>34021</v>
      </c>
      <c r="M15321" t="s">
        <v>17861</v>
      </c>
      <c r="N15321" t="str">
        <f>"5/13/2021 10:39:00 AM"</f>
        <v>5/13/2021 10:39:00 AM</v>
      </c>
      <c r="O15321" t="s">
        <v>46764</v>
      </c>
      <c r="T15321" t="s">
        <v>46765</v>
      </c>
    </row>
    <row r="15322" spans="1:20" x14ac:dyDescent="0.25">
      <c r="A15322" t="str">
        <f>"3049059"</f>
        <v>3049059</v>
      </c>
      <c r="B15322" t="s">
        <v>46767</v>
      </c>
      <c r="C15322" t="str">
        <f>"8315715"</f>
        <v>8315715</v>
      </c>
      <c r="D15322" t="s">
        <v>46768</v>
      </c>
      <c r="E15322" t="s">
        <v>46769</v>
      </c>
      <c r="F15322" t="s">
        <v>46770</v>
      </c>
      <c r="I15322" t="s">
        <v>29</v>
      </c>
      <c r="J15322" t="s">
        <v>30</v>
      </c>
      <c r="K15322" t="s">
        <v>46771</v>
      </c>
      <c r="M15322" t="s">
        <v>17861</v>
      </c>
      <c r="N15322" t="str">
        <f>"5/27/2021 12:31:00 PM"</f>
        <v>5/27/2021 12:31:00 PM</v>
      </c>
      <c r="O15322" t="s">
        <v>46768</v>
      </c>
      <c r="T15322" t="s">
        <v>46769</v>
      </c>
    </row>
    <row r="15323" spans="1:20" x14ac:dyDescent="0.25">
      <c r="A15323" t="str">
        <f>"3057744"</f>
        <v>3057744</v>
      </c>
      <c r="B15323" t="s">
        <v>46772</v>
      </c>
      <c r="C15323" t="str">
        <f>"8315717"</f>
        <v>8315717</v>
      </c>
      <c r="D15323" t="s">
        <v>46773</v>
      </c>
      <c r="F15323" t="s">
        <v>46774</v>
      </c>
      <c r="I15323" t="s">
        <v>29</v>
      </c>
      <c r="J15323" t="s">
        <v>30</v>
      </c>
      <c r="K15323" t="s">
        <v>38025</v>
      </c>
      <c r="M15323" t="s">
        <v>17861</v>
      </c>
      <c r="N15323" t="str">
        <f>"5/27/2021 1:07:00 PM"</f>
        <v>5/27/2021 1:07:00 PM</v>
      </c>
      <c r="O15323" t="s">
        <v>46773</v>
      </c>
    </row>
    <row r="15324" spans="1:20" x14ac:dyDescent="0.25">
      <c r="A15324" t="str">
        <f>"3048598"</f>
        <v>3048598</v>
      </c>
      <c r="B15324" t="s">
        <v>46775</v>
      </c>
      <c r="C15324" t="str">
        <f>"8315718"</f>
        <v>8315718</v>
      </c>
      <c r="D15324" t="s">
        <v>46776</v>
      </c>
      <c r="E15324" t="s">
        <v>46777</v>
      </c>
      <c r="F15324" t="s">
        <v>46778</v>
      </c>
      <c r="I15324" t="s">
        <v>19211</v>
      </c>
      <c r="J15324" t="s">
        <v>30</v>
      </c>
      <c r="K15324" t="str">
        <f>"27360"</f>
        <v>27360</v>
      </c>
      <c r="M15324" t="s">
        <v>17861</v>
      </c>
      <c r="N15324" t="str">
        <f>"5/27/2021 1:20:00 PM"</f>
        <v>5/27/2021 1:20:00 PM</v>
      </c>
      <c r="O15324" t="s">
        <v>46776</v>
      </c>
      <c r="T15324" t="s">
        <v>46777</v>
      </c>
    </row>
    <row r="15325" spans="1:20" x14ac:dyDescent="0.25">
      <c r="A15325" t="str">
        <f>"3043959"</f>
        <v>3043959</v>
      </c>
      <c r="B15325" t="s">
        <v>46779</v>
      </c>
      <c r="C15325" t="str">
        <f>"8315718"</f>
        <v>8315718</v>
      </c>
      <c r="D15325" t="s">
        <v>46776</v>
      </c>
      <c r="E15325" t="s">
        <v>46777</v>
      </c>
      <c r="F15325" t="s">
        <v>46778</v>
      </c>
      <c r="I15325" t="s">
        <v>19211</v>
      </c>
      <c r="J15325" t="s">
        <v>30</v>
      </c>
      <c r="K15325" t="str">
        <f>"27360"</f>
        <v>27360</v>
      </c>
      <c r="M15325" t="s">
        <v>17861</v>
      </c>
      <c r="N15325" t="str">
        <f>"5/27/2021 1:20:00 PM"</f>
        <v>5/27/2021 1:20:00 PM</v>
      </c>
      <c r="O15325" t="s">
        <v>46776</v>
      </c>
      <c r="T15325" t="s">
        <v>46777</v>
      </c>
    </row>
    <row r="15326" spans="1:20" x14ac:dyDescent="0.25">
      <c r="A15326" t="str">
        <f>"3059304"</f>
        <v>3059304</v>
      </c>
      <c r="B15326" t="s">
        <v>46780</v>
      </c>
      <c r="C15326" t="str">
        <f>"8315719"</f>
        <v>8315719</v>
      </c>
      <c r="D15326" t="s">
        <v>46781</v>
      </c>
      <c r="F15326" t="s">
        <v>46782</v>
      </c>
      <c r="I15326" t="s">
        <v>29</v>
      </c>
      <c r="J15326" t="s">
        <v>30</v>
      </c>
      <c r="K15326" t="s">
        <v>46783</v>
      </c>
      <c r="M15326" t="s">
        <v>17861</v>
      </c>
      <c r="N15326" t="str">
        <f>"5/27/2021 1:32:00 PM"</f>
        <v>5/27/2021 1:32:00 PM</v>
      </c>
      <c r="O15326" t="s">
        <v>46781</v>
      </c>
    </row>
    <row r="15327" spans="1:20" x14ac:dyDescent="0.25">
      <c r="A15327" t="str">
        <f>"3050195"</f>
        <v>3050195</v>
      </c>
      <c r="B15327" t="s">
        <v>46784</v>
      </c>
      <c r="C15327" t="str">
        <f>"8315720"</f>
        <v>8315720</v>
      </c>
      <c r="D15327" t="s">
        <v>46785</v>
      </c>
      <c r="F15327" t="s">
        <v>46786</v>
      </c>
      <c r="I15327" t="s">
        <v>29</v>
      </c>
      <c r="J15327" t="s">
        <v>30</v>
      </c>
      <c r="K15327" t="s">
        <v>42131</v>
      </c>
      <c r="M15327" t="s">
        <v>17861</v>
      </c>
      <c r="N15327" t="str">
        <f>"5/27/2021 1:50:00 PM"</f>
        <v>5/27/2021 1:50:00 PM</v>
      </c>
      <c r="O15327" t="s">
        <v>46785</v>
      </c>
    </row>
    <row r="15328" spans="1:20" x14ac:dyDescent="0.25">
      <c r="A15328" t="str">
        <f>"3049794"</f>
        <v>3049794</v>
      </c>
      <c r="B15328" t="s">
        <v>46787</v>
      </c>
      <c r="C15328" t="str">
        <f>"8315720"</f>
        <v>8315720</v>
      </c>
      <c r="D15328" t="s">
        <v>46785</v>
      </c>
      <c r="F15328" t="s">
        <v>46786</v>
      </c>
      <c r="I15328" t="s">
        <v>29</v>
      </c>
      <c r="J15328" t="s">
        <v>30</v>
      </c>
      <c r="K15328" t="s">
        <v>42131</v>
      </c>
      <c r="M15328" t="s">
        <v>17861</v>
      </c>
      <c r="N15328" t="str">
        <f>"5/27/2021 1:50:00 PM"</f>
        <v>5/27/2021 1:50:00 PM</v>
      </c>
      <c r="O15328" t="s">
        <v>46785</v>
      </c>
    </row>
    <row r="15329" spans="1:20" x14ac:dyDescent="0.25">
      <c r="A15329" t="str">
        <f>"3053008"</f>
        <v>3053008</v>
      </c>
      <c r="B15329" t="s">
        <v>46788</v>
      </c>
      <c r="C15329" t="str">
        <f>"8315638"</f>
        <v>8315638</v>
      </c>
      <c r="D15329" t="s">
        <v>46764</v>
      </c>
      <c r="E15329" t="s">
        <v>46765</v>
      </c>
      <c r="F15329" t="s">
        <v>46766</v>
      </c>
      <c r="I15329" t="s">
        <v>29</v>
      </c>
      <c r="J15329" t="s">
        <v>30</v>
      </c>
      <c r="K15329" t="s">
        <v>34021</v>
      </c>
      <c r="M15329" t="s">
        <v>17861</v>
      </c>
      <c r="N15329" t="str">
        <f>"5/13/2021 10:39:00 AM"</f>
        <v>5/13/2021 10:39:00 AM</v>
      </c>
      <c r="O15329" t="s">
        <v>46764</v>
      </c>
      <c r="T15329" t="s">
        <v>46765</v>
      </c>
    </row>
    <row r="15330" spans="1:20" x14ac:dyDescent="0.25">
      <c r="A15330" t="str">
        <f>"3049294"</f>
        <v>3049294</v>
      </c>
      <c r="B15330" t="s">
        <v>46789</v>
      </c>
      <c r="C15330" t="str">
        <f>"8315606"</f>
        <v>8315606</v>
      </c>
      <c r="D15330" t="s">
        <v>46790</v>
      </c>
      <c r="E15330" t="s">
        <v>46791</v>
      </c>
      <c r="F15330" t="s">
        <v>46792</v>
      </c>
      <c r="I15330" t="s">
        <v>184</v>
      </c>
      <c r="J15330" t="s">
        <v>30</v>
      </c>
      <c r="K15330" t="s">
        <v>46254</v>
      </c>
      <c r="M15330" t="s">
        <v>17861</v>
      </c>
      <c r="N15330" t="str">
        <f>"5/12/2021 10:46:00 AM"</f>
        <v>5/12/2021 10:46:00 AM</v>
      </c>
      <c r="O15330" t="s">
        <v>46790</v>
      </c>
      <c r="T15330" t="s">
        <v>46791</v>
      </c>
    </row>
    <row r="15331" spans="1:20" x14ac:dyDescent="0.25">
      <c r="A15331" t="str">
        <f>"3043116"</f>
        <v>3043116</v>
      </c>
      <c r="B15331" t="s">
        <v>46793</v>
      </c>
      <c r="C15331" t="str">
        <f>"8307940"</f>
        <v>8307940</v>
      </c>
      <c r="D15331" t="s">
        <v>46794</v>
      </c>
      <c r="F15331" t="s">
        <v>46795</v>
      </c>
      <c r="I15331" t="s">
        <v>29</v>
      </c>
      <c r="J15331" t="s">
        <v>30</v>
      </c>
      <c r="K15331" t="str">
        <f>"27028"</f>
        <v>27028</v>
      </c>
      <c r="M15331" t="s">
        <v>33845</v>
      </c>
      <c r="N15331" t="str">
        <f>"5/13/2021 3:00:00 PM"</f>
        <v>5/13/2021 3:00:00 PM</v>
      </c>
      <c r="O15331" t="s">
        <v>46794</v>
      </c>
    </row>
    <row r="15332" spans="1:20" x14ac:dyDescent="0.25">
      <c r="A15332" t="str">
        <f>"3052060"</f>
        <v>3052060</v>
      </c>
      <c r="B15332" t="s">
        <v>46796</v>
      </c>
      <c r="C15332" t="str">
        <f>"82513018"</f>
        <v>82513018</v>
      </c>
      <c r="D15332" t="s">
        <v>46797</v>
      </c>
      <c r="F15332" t="s">
        <v>46798</v>
      </c>
      <c r="I15332" t="s">
        <v>29</v>
      </c>
      <c r="J15332" t="s">
        <v>30</v>
      </c>
      <c r="K15332" t="s">
        <v>31</v>
      </c>
      <c r="M15332" t="s">
        <v>25733</v>
      </c>
      <c r="N15332" t="str">
        <f>"5/27/2021 3:18:00 PM"</f>
        <v>5/27/2021 3:18:00 PM</v>
      </c>
      <c r="O15332" t="s">
        <v>46797</v>
      </c>
    </row>
    <row r="15333" spans="1:20" x14ac:dyDescent="0.25">
      <c r="A15333" t="str">
        <f>"3058313"</f>
        <v>3058313</v>
      </c>
      <c r="B15333" t="s">
        <v>46799</v>
      </c>
      <c r="C15333" t="str">
        <f>"8312091"</f>
        <v>8312091</v>
      </c>
      <c r="D15333" t="s">
        <v>46800</v>
      </c>
      <c r="E15333" t="s">
        <v>46801</v>
      </c>
      <c r="F15333" t="s">
        <v>46802</v>
      </c>
      <c r="I15333" t="s">
        <v>29</v>
      </c>
      <c r="J15333" t="s">
        <v>30</v>
      </c>
      <c r="K15333" t="str">
        <f>"27028"</f>
        <v>27028</v>
      </c>
      <c r="M15333" t="s">
        <v>36935</v>
      </c>
      <c r="N15333" t="str">
        <f>"5/28/2021 11:36:00 AM"</f>
        <v>5/28/2021 11:36:00 AM</v>
      </c>
      <c r="O15333" t="s">
        <v>46800</v>
      </c>
      <c r="T15333" t="s">
        <v>46801</v>
      </c>
    </row>
    <row r="15334" spans="1:20" x14ac:dyDescent="0.25">
      <c r="A15334" t="str">
        <f>"3077191"</f>
        <v>3077191</v>
      </c>
      <c r="B15334" t="s">
        <v>46803</v>
      </c>
      <c r="C15334" t="str">
        <f>"8306546"</f>
        <v>8306546</v>
      </c>
      <c r="D15334" t="s">
        <v>46804</v>
      </c>
      <c r="E15334" t="s">
        <v>46805</v>
      </c>
      <c r="F15334" t="s">
        <v>46806</v>
      </c>
      <c r="I15334" t="s">
        <v>184</v>
      </c>
      <c r="J15334" t="s">
        <v>30</v>
      </c>
      <c r="K15334" t="s">
        <v>46807</v>
      </c>
      <c r="M15334" t="s">
        <v>36935</v>
      </c>
      <c r="N15334" t="str">
        <f>"5/28/2021 12:04:00 PM"</f>
        <v>5/28/2021 12:04:00 PM</v>
      </c>
      <c r="O15334" t="s">
        <v>46804</v>
      </c>
      <c r="T15334" t="s">
        <v>46805</v>
      </c>
    </row>
    <row r="15335" spans="1:20" x14ac:dyDescent="0.25">
      <c r="A15335" t="str">
        <f>"3043633"</f>
        <v>3043633</v>
      </c>
      <c r="B15335" t="s">
        <v>46808</v>
      </c>
      <c r="C15335" t="str">
        <f>"8307940"</f>
        <v>8307940</v>
      </c>
      <c r="D15335" t="s">
        <v>46794</v>
      </c>
      <c r="F15335" t="s">
        <v>46795</v>
      </c>
      <c r="I15335" t="s">
        <v>29</v>
      </c>
      <c r="J15335" t="s">
        <v>30</v>
      </c>
      <c r="K15335" t="str">
        <f>"27028"</f>
        <v>27028</v>
      </c>
      <c r="M15335" t="s">
        <v>33845</v>
      </c>
      <c r="N15335" t="str">
        <f>"5/13/2021 3:00:00 PM"</f>
        <v>5/13/2021 3:00:00 PM</v>
      </c>
      <c r="O15335" t="s">
        <v>46794</v>
      </c>
    </row>
    <row r="15336" spans="1:20" x14ac:dyDescent="0.25">
      <c r="A15336" t="str">
        <f>"3043249"</f>
        <v>3043249</v>
      </c>
      <c r="B15336" t="s">
        <v>46809</v>
      </c>
      <c r="C15336" t="str">
        <f>"8307940"</f>
        <v>8307940</v>
      </c>
      <c r="D15336" t="s">
        <v>46794</v>
      </c>
      <c r="F15336" t="s">
        <v>46795</v>
      </c>
      <c r="I15336" t="s">
        <v>29</v>
      </c>
      <c r="J15336" t="s">
        <v>30</v>
      </c>
      <c r="K15336" t="str">
        <f>"27028"</f>
        <v>27028</v>
      </c>
      <c r="M15336" t="s">
        <v>33845</v>
      </c>
      <c r="N15336" t="str">
        <f>"5/13/2021 3:00:00 PM"</f>
        <v>5/13/2021 3:00:00 PM</v>
      </c>
      <c r="O15336" t="s">
        <v>46794</v>
      </c>
    </row>
    <row r="15337" spans="1:20" x14ac:dyDescent="0.25">
      <c r="A15337" t="str">
        <f>"3052901"</f>
        <v>3052901</v>
      </c>
      <c r="B15337" t="s">
        <v>46810</v>
      </c>
      <c r="C15337" t="str">
        <f>"82522140"</f>
        <v>82522140</v>
      </c>
      <c r="D15337" t="s">
        <v>46604</v>
      </c>
      <c r="F15337" t="s">
        <v>24137</v>
      </c>
      <c r="I15337" t="s">
        <v>402</v>
      </c>
      <c r="J15337" t="s">
        <v>30</v>
      </c>
      <c r="K15337" t="s">
        <v>403</v>
      </c>
      <c r="M15337" t="s">
        <v>18470</v>
      </c>
      <c r="N15337" t="str">
        <f>"5/18/2021 9:38:00 AM"</f>
        <v>5/18/2021 9:38:00 AM</v>
      </c>
      <c r="O15337" t="s">
        <v>46604</v>
      </c>
    </row>
    <row r="15338" spans="1:20" x14ac:dyDescent="0.25">
      <c r="A15338" t="str">
        <f>"3056846"</f>
        <v>3056846</v>
      </c>
      <c r="B15338" t="s">
        <v>46811</v>
      </c>
      <c r="C15338" t="str">
        <f>"8312390"</f>
        <v>8312390</v>
      </c>
      <c r="D15338" t="s">
        <v>46622</v>
      </c>
      <c r="F15338" t="s">
        <v>46623</v>
      </c>
      <c r="I15338" t="s">
        <v>29</v>
      </c>
      <c r="J15338" t="s">
        <v>30</v>
      </c>
      <c r="K15338" t="s">
        <v>46624</v>
      </c>
      <c r="M15338" t="s">
        <v>33845</v>
      </c>
      <c r="N15338" t="str">
        <f>"5/18/2021 1:50:00 PM"</f>
        <v>5/18/2021 1:50:00 PM</v>
      </c>
      <c r="O15338" t="s">
        <v>46622</v>
      </c>
    </row>
    <row r="15339" spans="1:20" x14ac:dyDescent="0.25">
      <c r="A15339" t="str">
        <f>"3044775"</f>
        <v>3044775</v>
      </c>
      <c r="B15339" t="s">
        <v>46812</v>
      </c>
      <c r="C15339" t="str">
        <f>"8315322"</f>
        <v>8315322</v>
      </c>
      <c r="D15339" t="s">
        <v>46813</v>
      </c>
      <c r="E15339" t="s">
        <v>46814</v>
      </c>
      <c r="F15339" t="s">
        <v>46815</v>
      </c>
      <c r="I15339" t="s">
        <v>184</v>
      </c>
      <c r="J15339" t="s">
        <v>30</v>
      </c>
      <c r="K15339" t="s">
        <v>42435</v>
      </c>
      <c r="M15339" t="s">
        <v>25733</v>
      </c>
      <c r="N15339" t="str">
        <f>"5/21/2021 9:23:00 AM"</f>
        <v>5/21/2021 9:23:00 AM</v>
      </c>
      <c r="O15339" t="s">
        <v>46813</v>
      </c>
      <c r="T15339" t="s">
        <v>46814</v>
      </c>
    </row>
    <row r="15340" spans="1:20" x14ac:dyDescent="0.25">
      <c r="A15340" t="str">
        <f>"3077197"</f>
        <v>3077197</v>
      </c>
      <c r="B15340" t="s">
        <v>46816</v>
      </c>
      <c r="C15340" t="str">
        <f>"8315661"</f>
        <v>8315661</v>
      </c>
      <c r="D15340" t="s">
        <v>46817</v>
      </c>
      <c r="E15340" t="s">
        <v>46818</v>
      </c>
      <c r="F15340" t="s">
        <v>46819</v>
      </c>
      <c r="I15340" t="s">
        <v>184</v>
      </c>
      <c r="J15340" t="s">
        <v>30</v>
      </c>
      <c r="K15340" t="s">
        <v>5191</v>
      </c>
      <c r="M15340" t="s">
        <v>17861</v>
      </c>
      <c r="N15340" t="str">
        <f>"5/24/2021 9:28:00 AM"</f>
        <v>5/24/2021 9:28:00 AM</v>
      </c>
      <c r="O15340" t="s">
        <v>46817</v>
      </c>
      <c r="T15340" t="s">
        <v>46818</v>
      </c>
    </row>
    <row r="15341" spans="1:20" x14ac:dyDescent="0.25">
      <c r="A15341" t="str">
        <f>"3060028"</f>
        <v>3060028</v>
      </c>
      <c r="B15341" t="s">
        <v>46820</v>
      </c>
      <c r="C15341" t="str">
        <f>"8315664"</f>
        <v>8315664</v>
      </c>
      <c r="D15341" t="s">
        <v>46821</v>
      </c>
      <c r="E15341" t="s">
        <v>46822</v>
      </c>
      <c r="F15341" t="s">
        <v>46823</v>
      </c>
      <c r="I15341" t="s">
        <v>24359</v>
      </c>
      <c r="J15341" t="s">
        <v>30</v>
      </c>
      <c r="K15341" t="str">
        <f>"27006"</f>
        <v>27006</v>
      </c>
      <c r="M15341" t="s">
        <v>17861</v>
      </c>
      <c r="N15341" t="str">
        <f>"5/24/2021 10:01:00 AM"</f>
        <v>5/24/2021 10:01:00 AM</v>
      </c>
      <c r="O15341" t="s">
        <v>46821</v>
      </c>
      <c r="T15341" t="s">
        <v>46822</v>
      </c>
    </row>
    <row r="15342" spans="1:20" x14ac:dyDescent="0.25">
      <c r="A15342" t="str">
        <f>"3056006"</f>
        <v>3056006</v>
      </c>
      <c r="B15342" t="s">
        <v>46824</v>
      </c>
      <c r="C15342" t="str">
        <f>"39140000"</f>
        <v>39140000</v>
      </c>
      <c r="D15342" t="s">
        <v>46825</v>
      </c>
      <c r="F15342" t="s">
        <v>46826</v>
      </c>
      <c r="G15342" t="s">
        <v>46827</v>
      </c>
      <c r="I15342" t="s">
        <v>46828</v>
      </c>
      <c r="J15342" t="s">
        <v>1046</v>
      </c>
      <c r="K15342" t="s">
        <v>46829</v>
      </c>
      <c r="M15342" t="s">
        <v>25625</v>
      </c>
      <c r="N15342" t="str">
        <f>"6/2/2021 9:51:00 AM"</f>
        <v>6/2/2021 9:51:00 AM</v>
      </c>
      <c r="O15342" t="s">
        <v>46825</v>
      </c>
    </row>
    <row r="15343" spans="1:20" x14ac:dyDescent="0.25">
      <c r="A15343" t="str">
        <f>"3055836"</f>
        <v>3055836</v>
      </c>
      <c r="B15343" t="s">
        <v>46830</v>
      </c>
      <c r="C15343" t="str">
        <f>"8314898"</f>
        <v>8314898</v>
      </c>
      <c r="D15343" t="s">
        <v>46831</v>
      </c>
      <c r="E15343" t="s">
        <v>46832</v>
      </c>
      <c r="F15343" t="s">
        <v>46833</v>
      </c>
      <c r="I15343" t="s">
        <v>46834</v>
      </c>
      <c r="J15343" t="s">
        <v>1046</v>
      </c>
      <c r="K15343" t="str">
        <f>"30083"</f>
        <v>30083</v>
      </c>
      <c r="M15343" t="s">
        <v>25625</v>
      </c>
      <c r="N15343" t="str">
        <f>"6/2/2021 9:53:00 AM"</f>
        <v>6/2/2021 9:53:00 AM</v>
      </c>
      <c r="O15343" t="s">
        <v>46831</v>
      </c>
      <c r="T15343" t="s">
        <v>46832</v>
      </c>
    </row>
    <row r="15344" spans="1:20" x14ac:dyDescent="0.25">
      <c r="A15344" t="str">
        <f>"3071073"</f>
        <v>3071073</v>
      </c>
      <c r="B15344" t="s">
        <v>46835</v>
      </c>
      <c r="C15344" t="str">
        <f>"8302479"</f>
        <v>8302479</v>
      </c>
      <c r="D15344" t="s">
        <v>46836</v>
      </c>
      <c r="F15344" t="s">
        <v>33858</v>
      </c>
      <c r="I15344" t="s">
        <v>2275</v>
      </c>
      <c r="J15344" t="s">
        <v>30</v>
      </c>
      <c r="K15344" t="s">
        <v>46837</v>
      </c>
      <c r="M15344" t="s">
        <v>41454</v>
      </c>
      <c r="N15344" t="str">
        <f>"5/24/2021 11:38:00 AM"</f>
        <v>5/24/2021 11:38:00 AM</v>
      </c>
      <c r="O15344" t="s">
        <v>46836</v>
      </c>
    </row>
    <row r="15345" spans="1:20" x14ac:dyDescent="0.25">
      <c r="A15345" t="str">
        <f>"3049652"</f>
        <v>3049652</v>
      </c>
      <c r="B15345" t="s">
        <v>46838</v>
      </c>
      <c r="C15345" t="str">
        <f>"8315676"</f>
        <v>8315676</v>
      </c>
      <c r="D15345" t="s">
        <v>19667</v>
      </c>
      <c r="E15345" t="s">
        <v>46839</v>
      </c>
      <c r="F15345" t="s">
        <v>46840</v>
      </c>
      <c r="I15345" t="s">
        <v>29</v>
      </c>
      <c r="J15345" t="s">
        <v>30</v>
      </c>
      <c r="K15345" t="s">
        <v>43155</v>
      </c>
      <c r="M15345" t="s">
        <v>17861</v>
      </c>
      <c r="N15345" t="str">
        <f>"5/24/2021 2:30:00 PM"</f>
        <v>5/24/2021 2:30:00 PM</v>
      </c>
      <c r="O15345" t="s">
        <v>19667</v>
      </c>
      <c r="T15345" t="s">
        <v>46839</v>
      </c>
    </row>
    <row r="15346" spans="1:20" x14ac:dyDescent="0.25">
      <c r="A15346" t="str">
        <f>"3050236"</f>
        <v>3050236</v>
      </c>
      <c r="B15346" t="s">
        <v>46841</v>
      </c>
      <c r="C15346" t="str">
        <f>"8315676"</f>
        <v>8315676</v>
      </c>
      <c r="D15346" t="s">
        <v>19667</v>
      </c>
      <c r="E15346" t="s">
        <v>46839</v>
      </c>
      <c r="F15346" t="s">
        <v>46840</v>
      </c>
      <c r="I15346" t="s">
        <v>29</v>
      </c>
      <c r="J15346" t="s">
        <v>30</v>
      </c>
      <c r="K15346" t="s">
        <v>43155</v>
      </c>
      <c r="M15346" t="s">
        <v>17861</v>
      </c>
      <c r="N15346" t="str">
        <f>"5/24/2021 2:30:00 PM"</f>
        <v>5/24/2021 2:30:00 PM</v>
      </c>
      <c r="O15346" t="s">
        <v>19667</v>
      </c>
      <c r="T15346" t="s">
        <v>46839</v>
      </c>
    </row>
    <row r="15347" spans="1:20" x14ac:dyDescent="0.25">
      <c r="A15347" t="str">
        <f>"3040169"</f>
        <v>3040169</v>
      </c>
      <c r="B15347" t="s">
        <v>46842</v>
      </c>
      <c r="C15347" t="str">
        <f>"8315677"</f>
        <v>8315677</v>
      </c>
      <c r="D15347" t="s">
        <v>46843</v>
      </c>
      <c r="F15347" t="s">
        <v>46844</v>
      </c>
      <c r="I15347" t="s">
        <v>29</v>
      </c>
      <c r="J15347" t="s">
        <v>30</v>
      </c>
      <c r="K15347" t="s">
        <v>41261</v>
      </c>
      <c r="M15347" t="s">
        <v>17861</v>
      </c>
      <c r="N15347" t="str">
        <f>"5/24/2021 2:43:00 PM"</f>
        <v>5/24/2021 2:43:00 PM</v>
      </c>
      <c r="O15347" t="s">
        <v>46843</v>
      </c>
    </row>
    <row r="15348" spans="1:20" x14ac:dyDescent="0.25">
      <c r="A15348" t="str">
        <f>"3048916"</f>
        <v>3048916</v>
      </c>
      <c r="B15348" t="s">
        <v>46845</v>
      </c>
      <c r="C15348" t="str">
        <f>"65208000"</f>
        <v>65208000</v>
      </c>
      <c r="D15348" t="s">
        <v>46846</v>
      </c>
      <c r="F15348" t="str">
        <f>"C/O RANDY SHERRILL"</f>
        <v>C/O RANDY SHERRILL</v>
      </c>
      <c r="G15348" t="s">
        <v>34779</v>
      </c>
      <c r="I15348" t="s">
        <v>29</v>
      </c>
      <c r="J15348" t="s">
        <v>30</v>
      </c>
      <c r="K15348" t="s">
        <v>1505</v>
      </c>
      <c r="M15348" t="s">
        <v>33845</v>
      </c>
      <c r="N15348" t="str">
        <f>"5/24/2021 3:22:00 PM"</f>
        <v>5/24/2021 3:22:00 PM</v>
      </c>
      <c r="O15348" t="s">
        <v>46846</v>
      </c>
    </row>
    <row r="15349" spans="1:20" x14ac:dyDescent="0.25">
      <c r="A15349" t="str">
        <f>"3066645"</f>
        <v>3066645</v>
      </c>
      <c r="B15349" t="s">
        <v>46847</v>
      </c>
      <c r="C15349" t="str">
        <f>"8315684"</f>
        <v>8315684</v>
      </c>
      <c r="D15349" t="s">
        <v>46848</v>
      </c>
      <c r="E15349" t="s">
        <v>46849</v>
      </c>
      <c r="F15349" t="s">
        <v>46850</v>
      </c>
      <c r="I15349" t="s">
        <v>29</v>
      </c>
      <c r="J15349" t="s">
        <v>30</v>
      </c>
      <c r="K15349" t="s">
        <v>13041</v>
      </c>
      <c r="M15349" t="s">
        <v>17861</v>
      </c>
      <c r="N15349" t="str">
        <f>"5/25/2021 8:15:00 AM"</f>
        <v>5/25/2021 8:15:00 AM</v>
      </c>
      <c r="O15349" t="s">
        <v>46848</v>
      </c>
      <c r="T15349" t="s">
        <v>46849</v>
      </c>
    </row>
    <row r="15350" spans="1:20" x14ac:dyDescent="0.25">
      <c r="A15350" t="str">
        <f>"3078735"</f>
        <v>3078735</v>
      </c>
      <c r="B15350" t="s">
        <v>46851</v>
      </c>
      <c r="C15350" t="str">
        <f>"8306744"</f>
        <v>8306744</v>
      </c>
      <c r="D15350" t="s">
        <v>46697</v>
      </c>
      <c r="E15350" t="s">
        <v>46698</v>
      </c>
      <c r="F15350" t="s">
        <v>46699</v>
      </c>
      <c r="I15350" t="s">
        <v>29</v>
      </c>
      <c r="J15350" t="s">
        <v>30</v>
      </c>
      <c r="K15350" t="s">
        <v>9806</v>
      </c>
      <c r="M15350" t="s">
        <v>17861</v>
      </c>
      <c r="N15350" t="str">
        <f>"5/25/2021 9:45:00 AM"</f>
        <v>5/25/2021 9:45:00 AM</v>
      </c>
      <c r="O15350" t="s">
        <v>46697</v>
      </c>
      <c r="T15350" t="s">
        <v>46698</v>
      </c>
    </row>
    <row r="15351" spans="1:20" x14ac:dyDescent="0.25">
      <c r="A15351" t="str">
        <f>"3050175"</f>
        <v>3050175</v>
      </c>
      <c r="B15351" t="s">
        <v>46852</v>
      </c>
      <c r="C15351" t="str">
        <f>"8315700"</f>
        <v>8315700</v>
      </c>
      <c r="D15351" t="s">
        <v>46853</v>
      </c>
      <c r="F15351" t="s">
        <v>46854</v>
      </c>
      <c r="I15351" t="s">
        <v>46855</v>
      </c>
      <c r="J15351" t="s">
        <v>3150</v>
      </c>
      <c r="K15351" t="s">
        <v>46856</v>
      </c>
      <c r="M15351" t="s">
        <v>17861</v>
      </c>
      <c r="N15351" t="str">
        <f>"5/26/2021 10:50:00 AM"</f>
        <v>5/26/2021 10:50:00 AM</v>
      </c>
      <c r="O15351" t="s">
        <v>46853</v>
      </c>
    </row>
    <row r="15352" spans="1:20" x14ac:dyDescent="0.25">
      <c r="A15352" t="str">
        <f>"3041270"</f>
        <v>3041270</v>
      </c>
      <c r="B15352" t="s">
        <v>46857</v>
      </c>
      <c r="C15352" t="str">
        <f>"8315701"</f>
        <v>8315701</v>
      </c>
      <c r="D15352" t="s">
        <v>46858</v>
      </c>
      <c r="E15352" t="s">
        <v>46859</v>
      </c>
      <c r="F15352" t="s">
        <v>46860</v>
      </c>
      <c r="I15352" t="s">
        <v>184</v>
      </c>
      <c r="J15352" t="s">
        <v>30</v>
      </c>
      <c r="K15352" t="s">
        <v>32429</v>
      </c>
      <c r="M15352" t="s">
        <v>17861</v>
      </c>
      <c r="N15352" t="str">
        <f>"5/26/2021 10:54:00 AM"</f>
        <v>5/26/2021 10:54:00 AM</v>
      </c>
      <c r="O15352" t="s">
        <v>46858</v>
      </c>
      <c r="T15352" t="s">
        <v>46859</v>
      </c>
    </row>
    <row r="15353" spans="1:20" x14ac:dyDescent="0.25">
      <c r="A15353" t="str">
        <f>"3048225"</f>
        <v>3048225</v>
      </c>
      <c r="B15353" t="s">
        <v>46861</v>
      </c>
      <c r="C15353" t="str">
        <f>"8315714"</f>
        <v>8315714</v>
      </c>
      <c r="D15353" t="s">
        <v>46862</v>
      </c>
      <c r="F15353" t="s">
        <v>46863</v>
      </c>
      <c r="I15353" t="s">
        <v>1149</v>
      </c>
      <c r="J15353" t="s">
        <v>30</v>
      </c>
      <c r="K15353" t="s">
        <v>46864</v>
      </c>
      <c r="M15353" t="s">
        <v>17861</v>
      </c>
      <c r="N15353" t="str">
        <f>"5/27/2021 12:22:00 PM"</f>
        <v>5/27/2021 12:22:00 PM</v>
      </c>
      <c r="O15353" t="s">
        <v>46862</v>
      </c>
    </row>
    <row r="15354" spans="1:20" x14ac:dyDescent="0.25">
      <c r="A15354" t="str">
        <f>"3049573"</f>
        <v>3049573</v>
      </c>
      <c r="B15354" t="s">
        <v>46865</v>
      </c>
      <c r="C15354" t="str">
        <f>"8315722"</f>
        <v>8315722</v>
      </c>
      <c r="D15354" t="s">
        <v>46866</v>
      </c>
      <c r="E15354" t="s">
        <v>46867</v>
      </c>
      <c r="F15354" t="s">
        <v>46868</v>
      </c>
      <c r="I15354" t="s">
        <v>29</v>
      </c>
      <c r="J15354" t="s">
        <v>30</v>
      </c>
      <c r="K15354" t="s">
        <v>13959</v>
      </c>
      <c r="M15354" t="s">
        <v>17861</v>
      </c>
      <c r="N15354" t="str">
        <f>"5/27/2021 2:03:00 PM"</f>
        <v>5/27/2021 2:03:00 PM</v>
      </c>
      <c r="O15354" t="s">
        <v>46866</v>
      </c>
      <c r="T15354" t="s">
        <v>46867</v>
      </c>
    </row>
    <row r="15355" spans="1:20" x14ac:dyDescent="0.25">
      <c r="A15355" t="str">
        <f>"3060766"</f>
        <v>3060766</v>
      </c>
      <c r="B15355" t="s">
        <v>46869</v>
      </c>
      <c r="C15355" t="str">
        <f>"8315723"</f>
        <v>8315723</v>
      </c>
      <c r="D15355" t="s">
        <v>46870</v>
      </c>
      <c r="E15355" t="s">
        <v>46871</v>
      </c>
      <c r="F15355" t="s">
        <v>46872</v>
      </c>
      <c r="I15355" t="s">
        <v>2071</v>
      </c>
      <c r="J15355" t="s">
        <v>30</v>
      </c>
      <c r="K15355" t="s">
        <v>4183</v>
      </c>
      <c r="M15355" t="s">
        <v>17861</v>
      </c>
      <c r="N15355" t="str">
        <f>"5/27/2021 2:24:00 PM"</f>
        <v>5/27/2021 2:24:00 PM</v>
      </c>
      <c r="O15355" t="s">
        <v>46870</v>
      </c>
      <c r="T15355" t="s">
        <v>46871</v>
      </c>
    </row>
    <row r="15356" spans="1:20" x14ac:dyDescent="0.25">
      <c r="A15356" t="str">
        <f>"3051436"</f>
        <v>3051436</v>
      </c>
      <c r="B15356" t="s">
        <v>46873</v>
      </c>
      <c r="C15356" t="str">
        <f>"8302439"</f>
        <v>8302439</v>
      </c>
      <c r="D15356" t="s">
        <v>46874</v>
      </c>
      <c r="E15356" t="s">
        <v>46875</v>
      </c>
      <c r="F15356" t="s">
        <v>46876</v>
      </c>
      <c r="I15356" t="s">
        <v>29</v>
      </c>
      <c r="J15356" t="s">
        <v>30</v>
      </c>
      <c r="K15356" t="s">
        <v>11078</v>
      </c>
      <c r="M15356" t="s">
        <v>36935</v>
      </c>
      <c r="N15356" t="str">
        <f>"5/13/2021 12:19:00 PM"</f>
        <v>5/13/2021 12:19:00 PM</v>
      </c>
      <c r="O15356" t="s">
        <v>46874</v>
      </c>
      <c r="T15356" t="s">
        <v>46875</v>
      </c>
    </row>
    <row r="15357" spans="1:20" x14ac:dyDescent="0.25">
      <c r="A15357" t="str">
        <f>"3053629"</f>
        <v>3053629</v>
      </c>
      <c r="B15357" t="s">
        <v>46877</v>
      </c>
      <c r="C15357" t="str">
        <f>"8315641"</f>
        <v>8315641</v>
      </c>
      <c r="D15357" t="s">
        <v>46878</v>
      </c>
      <c r="E15357" t="s">
        <v>46879</v>
      </c>
      <c r="F15357" t="s">
        <v>46880</v>
      </c>
      <c r="I15357" t="s">
        <v>184</v>
      </c>
      <c r="J15357" t="s">
        <v>30</v>
      </c>
      <c r="K15357" t="s">
        <v>46881</v>
      </c>
      <c r="M15357" t="s">
        <v>17861</v>
      </c>
      <c r="N15357" t="str">
        <f>"5/13/2021 12:33:00 PM"</f>
        <v>5/13/2021 12:33:00 PM</v>
      </c>
      <c r="O15357" t="s">
        <v>46878</v>
      </c>
      <c r="T15357" t="s">
        <v>46879</v>
      </c>
    </row>
    <row r="15358" spans="1:20" x14ac:dyDescent="0.25">
      <c r="A15358" t="str">
        <f>"3059629"</f>
        <v>3059629</v>
      </c>
      <c r="B15358" t="s">
        <v>46882</v>
      </c>
      <c r="C15358" t="str">
        <f>"8315642"</f>
        <v>8315642</v>
      </c>
      <c r="D15358" t="s">
        <v>46883</v>
      </c>
      <c r="E15358" t="s">
        <v>46884</v>
      </c>
      <c r="F15358" t="s">
        <v>46885</v>
      </c>
      <c r="I15358" t="s">
        <v>29</v>
      </c>
      <c r="J15358" t="s">
        <v>30</v>
      </c>
      <c r="K15358" t="s">
        <v>13437</v>
      </c>
      <c r="M15358" t="s">
        <v>17861</v>
      </c>
      <c r="N15358" t="str">
        <f>"5/13/2021 12:40:00 PM"</f>
        <v>5/13/2021 12:40:00 PM</v>
      </c>
      <c r="O15358" t="s">
        <v>46883</v>
      </c>
      <c r="T15358" t="s">
        <v>46884</v>
      </c>
    </row>
    <row r="15359" spans="1:20" x14ac:dyDescent="0.25">
      <c r="A15359" t="str">
        <f>"3047269"</f>
        <v>3047269</v>
      </c>
      <c r="B15359" t="s">
        <v>46886</v>
      </c>
      <c r="C15359" t="str">
        <f>"8315644"</f>
        <v>8315644</v>
      </c>
      <c r="D15359" t="s">
        <v>38599</v>
      </c>
      <c r="E15359" t="s">
        <v>46887</v>
      </c>
      <c r="F15359" t="s">
        <v>38601</v>
      </c>
      <c r="I15359" t="s">
        <v>29</v>
      </c>
      <c r="J15359" t="s">
        <v>30</v>
      </c>
      <c r="K15359" t="s">
        <v>38602</v>
      </c>
      <c r="M15359" t="s">
        <v>17861</v>
      </c>
      <c r="N15359" t="str">
        <f>"5/13/2021 1:02:00 PM"</f>
        <v>5/13/2021 1:02:00 PM</v>
      </c>
      <c r="O15359" t="s">
        <v>38599</v>
      </c>
      <c r="T15359" t="s">
        <v>46887</v>
      </c>
    </row>
    <row r="15360" spans="1:20" x14ac:dyDescent="0.25">
      <c r="A15360" t="str">
        <f>"3038355"</f>
        <v>3038355</v>
      </c>
      <c r="B15360" t="s">
        <v>46888</v>
      </c>
      <c r="C15360" t="str">
        <f>"8315732"</f>
        <v>8315732</v>
      </c>
      <c r="D15360" t="s">
        <v>46889</v>
      </c>
      <c r="E15360" t="s">
        <v>46890</v>
      </c>
      <c r="F15360" t="s">
        <v>46891</v>
      </c>
      <c r="I15360" t="s">
        <v>29</v>
      </c>
      <c r="J15360" t="s">
        <v>30</v>
      </c>
      <c r="K15360" t="s">
        <v>46892</v>
      </c>
      <c r="M15360" t="s">
        <v>17861</v>
      </c>
      <c r="N15360" t="str">
        <f>"6/1/2021 10:40:00 AM"</f>
        <v>6/1/2021 10:40:00 AM</v>
      </c>
      <c r="O15360" t="s">
        <v>46889</v>
      </c>
      <c r="T15360" t="s">
        <v>46890</v>
      </c>
    </row>
    <row r="15361" spans="1:20" x14ac:dyDescent="0.25">
      <c r="A15361" t="str">
        <f>"3041405"</f>
        <v>3041405</v>
      </c>
      <c r="B15361" t="s">
        <v>46893</v>
      </c>
      <c r="C15361" t="str">
        <f>"8315734"</f>
        <v>8315734</v>
      </c>
      <c r="D15361" t="s">
        <v>46894</v>
      </c>
      <c r="E15361" t="s">
        <v>46895</v>
      </c>
      <c r="F15361" t="s">
        <v>46896</v>
      </c>
      <c r="I15361" t="s">
        <v>2071</v>
      </c>
      <c r="J15361" t="s">
        <v>30</v>
      </c>
      <c r="K15361" t="str">
        <f>"27006"</f>
        <v>27006</v>
      </c>
      <c r="M15361" t="s">
        <v>17861</v>
      </c>
      <c r="N15361" t="str">
        <f>"6/1/2021 10:47:00 AM"</f>
        <v>6/1/2021 10:47:00 AM</v>
      </c>
      <c r="O15361" t="s">
        <v>46894</v>
      </c>
      <c r="T15361" t="s">
        <v>46895</v>
      </c>
    </row>
    <row r="15362" spans="1:20" x14ac:dyDescent="0.25">
      <c r="A15362" t="str">
        <f>"3062018"</f>
        <v>3062018</v>
      </c>
      <c r="B15362" t="s">
        <v>46897</v>
      </c>
      <c r="C15362" t="str">
        <f>"8315735"</f>
        <v>8315735</v>
      </c>
      <c r="D15362" t="s">
        <v>46898</v>
      </c>
      <c r="F15362" t="s">
        <v>46899</v>
      </c>
      <c r="I15362" t="s">
        <v>184</v>
      </c>
      <c r="J15362" t="s">
        <v>30</v>
      </c>
      <c r="K15362" t="s">
        <v>37164</v>
      </c>
      <c r="M15362" t="s">
        <v>17861</v>
      </c>
      <c r="N15362" t="str">
        <f>"6/1/2021 10:52:00 AM"</f>
        <v>6/1/2021 10:52:00 AM</v>
      </c>
      <c r="O15362" t="s">
        <v>46898</v>
      </c>
    </row>
    <row r="15363" spans="1:20" x14ac:dyDescent="0.25">
      <c r="A15363" t="str">
        <f>"3061305"</f>
        <v>3061305</v>
      </c>
      <c r="B15363" t="s">
        <v>46900</v>
      </c>
      <c r="C15363" t="str">
        <f>"8315737"</f>
        <v>8315737</v>
      </c>
      <c r="D15363" t="s">
        <v>46901</v>
      </c>
      <c r="E15363" t="s">
        <v>46902</v>
      </c>
      <c r="F15363" t="s">
        <v>46903</v>
      </c>
      <c r="I15363" t="s">
        <v>2071</v>
      </c>
      <c r="J15363" t="s">
        <v>30</v>
      </c>
      <c r="K15363" t="s">
        <v>38348</v>
      </c>
      <c r="M15363" t="s">
        <v>17861</v>
      </c>
      <c r="N15363" t="str">
        <f>"6/1/2021 10:58:00 AM"</f>
        <v>6/1/2021 10:58:00 AM</v>
      </c>
      <c r="O15363" t="s">
        <v>46901</v>
      </c>
      <c r="T15363" t="s">
        <v>46902</v>
      </c>
    </row>
    <row r="15364" spans="1:20" x14ac:dyDescent="0.25">
      <c r="A15364" t="str">
        <f>"3042908"</f>
        <v>3042908</v>
      </c>
      <c r="B15364" t="s">
        <v>46904</v>
      </c>
      <c r="C15364" t="str">
        <f>"8315738"</f>
        <v>8315738</v>
      </c>
      <c r="D15364" t="s">
        <v>46905</v>
      </c>
      <c r="E15364" t="s">
        <v>46906</v>
      </c>
      <c r="F15364" t="s">
        <v>46907</v>
      </c>
      <c r="I15364" t="s">
        <v>29</v>
      </c>
      <c r="J15364" t="s">
        <v>30</v>
      </c>
      <c r="K15364" t="s">
        <v>46908</v>
      </c>
      <c r="M15364" t="s">
        <v>17861</v>
      </c>
      <c r="N15364" t="str">
        <f>"6/1/2021 11:01:00 AM"</f>
        <v>6/1/2021 11:01:00 AM</v>
      </c>
      <c r="O15364" t="s">
        <v>46905</v>
      </c>
      <c r="T15364" t="s">
        <v>46906</v>
      </c>
    </row>
    <row r="15365" spans="1:20" x14ac:dyDescent="0.25">
      <c r="A15365" t="str">
        <f>"3050707"</f>
        <v>3050707</v>
      </c>
      <c r="B15365" t="s">
        <v>46909</v>
      </c>
      <c r="C15365" t="str">
        <f>"8315740"</f>
        <v>8315740</v>
      </c>
      <c r="D15365" t="s">
        <v>46910</v>
      </c>
      <c r="E15365" t="s">
        <v>46911</v>
      </c>
      <c r="F15365" t="s">
        <v>46912</v>
      </c>
      <c r="I15365" t="s">
        <v>184</v>
      </c>
      <c r="J15365" t="s">
        <v>30</v>
      </c>
      <c r="K15365" t="s">
        <v>10584</v>
      </c>
      <c r="M15365" t="s">
        <v>17861</v>
      </c>
      <c r="N15365" t="str">
        <f>"6/1/2021 11:08:00 AM"</f>
        <v>6/1/2021 11:08:00 AM</v>
      </c>
      <c r="O15365" t="s">
        <v>46910</v>
      </c>
      <c r="T15365" t="s">
        <v>46911</v>
      </c>
    </row>
    <row r="15366" spans="1:20" x14ac:dyDescent="0.25">
      <c r="A15366" t="str">
        <f>"3058564"</f>
        <v>3058564</v>
      </c>
      <c r="B15366" t="s">
        <v>46913</v>
      </c>
      <c r="C15366" t="str">
        <f>"8315742"</f>
        <v>8315742</v>
      </c>
      <c r="D15366" t="s">
        <v>46914</v>
      </c>
      <c r="F15366" t="s">
        <v>46915</v>
      </c>
      <c r="I15366" t="s">
        <v>29</v>
      </c>
      <c r="J15366" t="s">
        <v>30</v>
      </c>
      <c r="K15366" t="s">
        <v>38025</v>
      </c>
      <c r="M15366" t="s">
        <v>17861</v>
      </c>
      <c r="N15366" t="str">
        <f>"6/1/2021 11:19:00 AM"</f>
        <v>6/1/2021 11:19:00 AM</v>
      </c>
      <c r="O15366" t="s">
        <v>46914</v>
      </c>
    </row>
    <row r="15367" spans="1:20" x14ac:dyDescent="0.25">
      <c r="A15367" t="str">
        <f>"3041733"</f>
        <v>3041733</v>
      </c>
      <c r="B15367" t="s">
        <v>46916</v>
      </c>
      <c r="C15367" t="str">
        <f>"23614120"</f>
        <v>23614120</v>
      </c>
      <c r="D15367" t="s">
        <v>46917</v>
      </c>
      <c r="E15367" t="s">
        <v>46918</v>
      </c>
      <c r="F15367" t="s">
        <v>46919</v>
      </c>
      <c r="I15367" t="s">
        <v>2071</v>
      </c>
      <c r="J15367" t="s">
        <v>30</v>
      </c>
      <c r="K15367" t="s">
        <v>185</v>
      </c>
      <c r="M15367" t="s">
        <v>25733</v>
      </c>
      <c r="N15367" t="str">
        <f>"6/2/2021 10:44:00 AM"</f>
        <v>6/2/2021 10:44:00 AM</v>
      </c>
      <c r="O15367" t="s">
        <v>46917</v>
      </c>
      <c r="T15367" t="s">
        <v>46918</v>
      </c>
    </row>
    <row r="15368" spans="1:20" x14ac:dyDescent="0.25">
      <c r="A15368" t="str">
        <f>"3043537"</f>
        <v>3043537</v>
      </c>
      <c r="B15368" t="s">
        <v>46920</v>
      </c>
      <c r="C15368" t="str">
        <f>"8315775"</f>
        <v>8315775</v>
      </c>
      <c r="D15368" t="s">
        <v>46921</v>
      </c>
      <c r="E15368" t="s">
        <v>46922</v>
      </c>
      <c r="F15368" t="s">
        <v>46923</v>
      </c>
      <c r="I15368" t="s">
        <v>29</v>
      </c>
      <c r="J15368" t="s">
        <v>30</v>
      </c>
      <c r="K15368" t="s">
        <v>41568</v>
      </c>
      <c r="M15368" t="s">
        <v>17861</v>
      </c>
      <c r="N15368" t="str">
        <f>"6/10/2021 2:52:00 PM"</f>
        <v>6/10/2021 2:52:00 PM</v>
      </c>
      <c r="O15368" t="s">
        <v>46921</v>
      </c>
      <c r="T15368" t="s">
        <v>46922</v>
      </c>
    </row>
    <row r="15369" spans="1:20" x14ac:dyDescent="0.25">
      <c r="A15369" t="str">
        <f>"3048239"</f>
        <v>3048239</v>
      </c>
      <c r="B15369" t="s">
        <v>46924</v>
      </c>
      <c r="C15369" t="str">
        <f>"8315776"</f>
        <v>8315776</v>
      </c>
      <c r="D15369" t="s">
        <v>46925</v>
      </c>
      <c r="F15369" t="s">
        <v>46926</v>
      </c>
      <c r="I15369" t="s">
        <v>29</v>
      </c>
      <c r="J15369" t="s">
        <v>30</v>
      </c>
      <c r="K15369" t="s">
        <v>46927</v>
      </c>
      <c r="M15369" t="s">
        <v>17861</v>
      </c>
      <c r="N15369" t="str">
        <f>"6/10/2021 3:05:00 PM"</f>
        <v>6/10/2021 3:05:00 PM</v>
      </c>
      <c r="O15369" t="s">
        <v>46925</v>
      </c>
    </row>
    <row r="15370" spans="1:20" x14ac:dyDescent="0.25">
      <c r="A15370" t="str">
        <f>"3041235"</f>
        <v>3041235</v>
      </c>
      <c r="B15370" t="s">
        <v>46928</v>
      </c>
      <c r="C15370" t="str">
        <f>"8315777"</f>
        <v>8315777</v>
      </c>
      <c r="D15370" t="s">
        <v>46929</v>
      </c>
      <c r="F15370" t="s">
        <v>46930</v>
      </c>
      <c r="I15370" t="s">
        <v>2071</v>
      </c>
      <c r="J15370" t="s">
        <v>30</v>
      </c>
      <c r="K15370" t="s">
        <v>35916</v>
      </c>
      <c r="M15370" t="s">
        <v>17861</v>
      </c>
      <c r="N15370" t="str">
        <f>"6/10/2021 3:12:00 PM"</f>
        <v>6/10/2021 3:12:00 PM</v>
      </c>
      <c r="O15370" t="s">
        <v>46929</v>
      </c>
    </row>
    <row r="15371" spans="1:20" x14ac:dyDescent="0.25">
      <c r="A15371" t="str">
        <f>"3070827"</f>
        <v>3070827</v>
      </c>
      <c r="B15371" t="s">
        <v>46931</v>
      </c>
      <c r="C15371" t="str">
        <f>"8314550"</f>
        <v>8314550</v>
      </c>
      <c r="D15371" t="str">
        <f>"ROBERT THOMAS C/FRANKIE ELAINE REV LIV TRUST"</f>
        <v>ROBERT THOMAS C/FRANKIE ELAINE REV LIV TRUST</v>
      </c>
      <c r="E15371" t="str">
        <f>"ROBERT THOMAS C/FRANKIE E TRST"</f>
        <v>ROBERT THOMAS C/FRANKIE E TRST</v>
      </c>
      <c r="F15371" t="s">
        <v>46932</v>
      </c>
      <c r="I15371" t="s">
        <v>29</v>
      </c>
      <c r="J15371" t="s">
        <v>30</v>
      </c>
      <c r="K15371" t="str">
        <f>"27028"</f>
        <v>27028</v>
      </c>
      <c r="M15371" t="s">
        <v>18479</v>
      </c>
      <c r="N15371" t="str">
        <f>"5/27/2021 2:37:00 PM"</f>
        <v>5/27/2021 2:37:00 PM</v>
      </c>
      <c r="O15371" t="str">
        <f>"ROBERT THOMAS C/FRANKIE ELAINE REV LIV TRUST"</f>
        <v>ROBERT THOMAS C/FRANKIE ELAINE REV LIV TRUST</v>
      </c>
      <c r="T15371" t="str">
        <f>"ROBERT THOMAS C/FRANKIE E TRST"</f>
        <v>ROBERT THOMAS C/FRANKIE E TRST</v>
      </c>
    </row>
    <row r="15372" spans="1:20" x14ac:dyDescent="0.25">
      <c r="A15372" t="str">
        <f>"3051578"</f>
        <v>3051578</v>
      </c>
      <c r="B15372" t="s">
        <v>46933</v>
      </c>
      <c r="C15372" t="str">
        <f>"8315785"</f>
        <v>8315785</v>
      </c>
      <c r="D15372" t="s">
        <v>46934</v>
      </c>
      <c r="E15372" t="s">
        <v>46935</v>
      </c>
      <c r="F15372" t="s">
        <v>46936</v>
      </c>
      <c r="I15372" t="s">
        <v>7917</v>
      </c>
      <c r="J15372" t="s">
        <v>30</v>
      </c>
      <c r="K15372" t="s">
        <v>46937</v>
      </c>
      <c r="M15372" t="s">
        <v>17861</v>
      </c>
      <c r="N15372" t="str">
        <f>"6/11/2021 10:21:00 AM"</f>
        <v>6/11/2021 10:21:00 AM</v>
      </c>
      <c r="O15372" t="s">
        <v>46934</v>
      </c>
      <c r="T15372" t="s">
        <v>46935</v>
      </c>
    </row>
    <row r="15373" spans="1:20" x14ac:dyDescent="0.25">
      <c r="A15373" t="str">
        <f>"3051589"</f>
        <v>3051589</v>
      </c>
      <c r="B15373" t="s">
        <v>46938</v>
      </c>
      <c r="C15373" t="str">
        <f>"8315785"</f>
        <v>8315785</v>
      </c>
      <c r="D15373" t="s">
        <v>46934</v>
      </c>
      <c r="E15373" t="s">
        <v>46935</v>
      </c>
      <c r="F15373" t="s">
        <v>46936</v>
      </c>
      <c r="I15373" t="s">
        <v>7917</v>
      </c>
      <c r="J15373" t="s">
        <v>30</v>
      </c>
      <c r="K15373" t="s">
        <v>46937</v>
      </c>
      <c r="M15373" t="s">
        <v>17861</v>
      </c>
      <c r="N15373" t="str">
        <f>"6/11/2021 10:21:00 AM"</f>
        <v>6/11/2021 10:21:00 AM</v>
      </c>
      <c r="O15373" t="s">
        <v>46934</v>
      </c>
      <c r="T15373" t="s">
        <v>46935</v>
      </c>
    </row>
    <row r="15374" spans="1:20" x14ac:dyDescent="0.25">
      <c r="A15374" t="str">
        <f>"3049426"</f>
        <v>3049426</v>
      </c>
      <c r="B15374" t="s">
        <v>46939</v>
      </c>
      <c r="C15374" t="str">
        <f>"8315786"</f>
        <v>8315786</v>
      </c>
      <c r="D15374" t="s">
        <v>46940</v>
      </c>
      <c r="F15374" t="s">
        <v>46941</v>
      </c>
      <c r="I15374" t="s">
        <v>29</v>
      </c>
      <c r="J15374" t="s">
        <v>30</v>
      </c>
      <c r="K15374" t="s">
        <v>46942</v>
      </c>
      <c r="M15374" t="s">
        <v>17861</v>
      </c>
      <c r="N15374" t="str">
        <f>"6/11/2021 10:25:00 AM"</f>
        <v>6/11/2021 10:25:00 AM</v>
      </c>
      <c r="O15374" t="s">
        <v>46940</v>
      </c>
    </row>
    <row r="15375" spans="1:20" x14ac:dyDescent="0.25">
      <c r="A15375" t="str">
        <f>"3045552"</f>
        <v>3045552</v>
      </c>
      <c r="B15375" t="s">
        <v>46943</v>
      </c>
      <c r="C15375" t="str">
        <f>"8315790"</f>
        <v>8315790</v>
      </c>
      <c r="D15375" t="s">
        <v>46944</v>
      </c>
      <c r="E15375" t="s">
        <v>46945</v>
      </c>
      <c r="F15375" t="s">
        <v>46946</v>
      </c>
      <c r="I15375" t="s">
        <v>29</v>
      </c>
      <c r="J15375" t="s">
        <v>30</v>
      </c>
      <c r="K15375" t="s">
        <v>7800</v>
      </c>
      <c r="M15375" t="s">
        <v>17861</v>
      </c>
      <c r="N15375" t="str">
        <f>"6/11/2021 1:10:00 PM"</f>
        <v>6/11/2021 1:10:00 PM</v>
      </c>
      <c r="O15375" t="s">
        <v>46944</v>
      </c>
      <c r="T15375" t="s">
        <v>46945</v>
      </c>
    </row>
    <row r="15376" spans="1:20" x14ac:dyDescent="0.25">
      <c r="A15376" t="str">
        <f>"3052679"</f>
        <v>3052679</v>
      </c>
      <c r="B15376" t="s">
        <v>46947</v>
      </c>
      <c r="C15376" t="str">
        <f>"8315791"</f>
        <v>8315791</v>
      </c>
      <c r="D15376" t="s">
        <v>46948</v>
      </c>
      <c r="E15376" t="s">
        <v>46949</v>
      </c>
      <c r="F15376" t="s">
        <v>46950</v>
      </c>
      <c r="I15376" t="s">
        <v>29</v>
      </c>
      <c r="J15376" t="s">
        <v>30</v>
      </c>
      <c r="K15376" t="s">
        <v>46951</v>
      </c>
      <c r="M15376" t="s">
        <v>17861</v>
      </c>
      <c r="N15376" t="str">
        <f>"6/11/2021 1:14:00 PM"</f>
        <v>6/11/2021 1:14:00 PM</v>
      </c>
      <c r="O15376" t="s">
        <v>46948</v>
      </c>
      <c r="T15376" t="s">
        <v>46949</v>
      </c>
    </row>
    <row r="15377" spans="1:20" x14ac:dyDescent="0.25">
      <c r="A15377" t="str">
        <f>"3049755"</f>
        <v>3049755</v>
      </c>
      <c r="B15377" t="s">
        <v>46952</v>
      </c>
      <c r="C15377" t="str">
        <f>"8315793"</f>
        <v>8315793</v>
      </c>
      <c r="D15377" t="s">
        <v>46953</v>
      </c>
      <c r="E15377" t="s">
        <v>46954</v>
      </c>
      <c r="F15377" t="s">
        <v>46955</v>
      </c>
      <c r="I15377" t="s">
        <v>29</v>
      </c>
      <c r="J15377" t="s">
        <v>30</v>
      </c>
      <c r="K15377" t="s">
        <v>9678</v>
      </c>
      <c r="M15377" t="s">
        <v>17861</v>
      </c>
      <c r="N15377" t="str">
        <f>"6/11/2021 1:23:00 PM"</f>
        <v>6/11/2021 1:23:00 PM</v>
      </c>
      <c r="O15377" t="s">
        <v>46953</v>
      </c>
      <c r="T15377" t="s">
        <v>46954</v>
      </c>
    </row>
    <row r="15378" spans="1:20" x14ac:dyDescent="0.25">
      <c r="A15378" t="str">
        <f>"3038561"</f>
        <v>3038561</v>
      </c>
      <c r="B15378" t="s">
        <v>46956</v>
      </c>
      <c r="C15378" t="str">
        <f>"8315794"</f>
        <v>8315794</v>
      </c>
      <c r="D15378" t="s">
        <v>46957</v>
      </c>
      <c r="E15378" t="s">
        <v>46958</v>
      </c>
      <c r="F15378" t="s">
        <v>46959</v>
      </c>
      <c r="I15378" t="s">
        <v>29</v>
      </c>
      <c r="J15378" t="s">
        <v>30</v>
      </c>
      <c r="K15378" t="s">
        <v>21204</v>
      </c>
      <c r="M15378" t="s">
        <v>17861</v>
      </c>
      <c r="N15378" t="str">
        <f>"6/11/2021 1:28:00 PM"</f>
        <v>6/11/2021 1:28:00 PM</v>
      </c>
      <c r="O15378" t="s">
        <v>46957</v>
      </c>
      <c r="T15378" t="s">
        <v>46958</v>
      </c>
    </row>
    <row r="15379" spans="1:20" x14ac:dyDescent="0.25">
      <c r="A15379" t="str">
        <f>"3050155"</f>
        <v>3050155</v>
      </c>
      <c r="B15379" t="s">
        <v>46960</v>
      </c>
      <c r="C15379" t="str">
        <f>"8315765"</f>
        <v>8315765</v>
      </c>
      <c r="D15379" t="s">
        <v>46961</v>
      </c>
      <c r="F15379" t="s">
        <v>46962</v>
      </c>
      <c r="I15379" t="s">
        <v>29</v>
      </c>
      <c r="J15379" t="s">
        <v>30</v>
      </c>
      <c r="K15379" t="s">
        <v>46963</v>
      </c>
      <c r="M15379" t="s">
        <v>17861</v>
      </c>
      <c r="N15379" t="str">
        <f>"6/10/2021 10:36:00 AM"</f>
        <v>6/10/2021 10:36:00 AM</v>
      </c>
      <c r="O15379" t="s">
        <v>46961</v>
      </c>
    </row>
    <row r="15380" spans="1:20" x14ac:dyDescent="0.25">
      <c r="A15380" t="str">
        <f>"3044714"</f>
        <v>3044714</v>
      </c>
      <c r="B15380" t="s">
        <v>46964</v>
      </c>
      <c r="C15380" t="str">
        <f>"8315798"</f>
        <v>8315798</v>
      </c>
      <c r="D15380" t="s">
        <v>46965</v>
      </c>
      <c r="E15380" t="s">
        <v>46966</v>
      </c>
      <c r="F15380" t="s">
        <v>46967</v>
      </c>
      <c r="I15380" t="s">
        <v>184</v>
      </c>
      <c r="J15380" t="s">
        <v>30</v>
      </c>
      <c r="K15380" t="s">
        <v>5976</v>
      </c>
      <c r="M15380" t="s">
        <v>17861</v>
      </c>
      <c r="N15380" t="str">
        <f>"6/11/2021 1:50:00 PM"</f>
        <v>6/11/2021 1:50:00 PM</v>
      </c>
      <c r="O15380" t="s">
        <v>46965</v>
      </c>
      <c r="T15380" t="s">
        <v>46966</v>
      </c>
    </row>
    <row r="15381" spans="1:20" x14ac:dyDescent="0.25">
      <c r="A15381" t="str">
        <f>"3059216"</f>
        <v>3059216</v>
      </c>
      <c r="B15381" t="s">
        <v>46968</v>
      </c>
      <c r="C15381" t="str">
        <f>"8315799"</f>
        <v>8315799</v>
      </c>
      <c r="D15381" t="s">
        <v>46969</v>
      </c>
      <c r="F15381" t="s">
        <v>46970</v>
      </c>
      <c r="I15381" t="s">
        <v>29</v>
      </c>
      <c r="J15381" t="s">
        <v>30</v>
      </c>
      <c r="K15381" t="s">
        <v>11649</v>
      </c>
      <c r="M15381" t="s">
        <v>17861</v>
      </c>
      <c r="N15381" t="str">
        <f>"6/11/2021 1:53:00 PM"</f>
        <v>6/11/2021 1:53:00 PM</v>
      </c>
      <c r="O15381" t="s">
        <v>46969</v>
      </c>
    </row>
    <row r="15382" spans="1:20" x14ac:dyDescent="0.25">
      <c r="A15382" t="str">
        <f>"3057747"</f>
        <v>3057747</v>
      </c>
      <c r="B15382" t="s">
        <v>46971</v>
      </c>
      <c r="C15382" t="str">
        <f>"8315800"</f>
        <v>8315800</v>
      </c>
      <c r="D15382" t="s">
        <v>46972</v>
      </c>
      <c r="F15382" t="s">
        <v>46973</v>
      </c>
      <c r="I15382" t="s">
        <v>29</v>
      </c>
      <c r="J15382" t="s">
        <v>30</v>
      </c>
      <c r="K15382" t="s">
        <v>38025</v>
      </c>
      <c r="M15382" t="s">
        <v>17861</v>
      </c>
      <c r="N15382" t="str">
        <f>"6/11/2021 1:56:00 PM"</f>
        <v>6/11/2021 1:56:00 PM</v>
      </c>
      <c r="O15382" t="s">
        <v>46972</v>
      </c>
    </row>
    <row r="15383" spans="1:20" x14ac:dyDescent="0.25">
      <c r="A15383" t="str">
        <f>"3061905"</f>
        <v>3061905</v>
      </c>
      <c r="B15383" t="s">
        <v>46974</v>
      </c>
      <c r="C15383" t="str">
        <f>"8315801"</f>
        <v>8315801</v>
      </c>
      <c r="D15383" t="s">
        <v>46975</v>
      </c>
      <c r="E15383" t="s">
        <v>46976</v>
      </c>
      <c r="F15383" t="s">
        <v>46977</v>
      </c>
      <c r="I15383" t="s">
        <v>29</v>
      </c>
      <c r="J15383" t="s">
        <v>30</v>
      </c>
      <c r="K15383" t="s">
        <v>39458</v>
      </c>
      <c r="M15383" t="s">
        <v>17861</v>
      </c>
      <c r="N15383" t="str">
        <f>"6/11/2021 3:19:00 PM"</f>
        <v>6/11/2021 3:19:00 PM</v>
      </c>
      <c r="O15383" t="s">
        <v>46975</v>
      </c>
      <c r="T15383" t="s">
        <v>46976</v>
      </c>
    </row>
    <row r="15384" spans="1:20" x14ac:dyDescent="0.25">
      <c r="A15384" t="str">
        <f>"3055767"</f>
        <v>3055767</v>
      </c>
      <c r="B15384" t="s">
        <v>46978</v>
      </c>
      <c r="C15384" t="str">
        <f>"8315802"</f>
        <v>8315802</v>
      </c>
      <c r="D15384" t="s">
        <v>46979</v>
      </c>
      <c r="F15384" t="s">
        <v>46980</v>
      </c>
      <c r="I15384" t="s">
        <v>964</v>
      </c>
      <c r="J15384" t="s">
        <v>30</v>
      </c>
      <c r="K15384" t="s">
        <v>46981</v>
      </c>
      <c r="M15384" t="s">
        <v>17861</v>
      </c>
      <c r="N15384" t="str">
        <f>"6/11/2021 3:51:00 PM"</f>
        <v>6/11/2021 3:51:00 PM</v>
      </c>
      <c r="O15384" t="s">
        <v>46979</v>
      </c>
    </row>
    <row r="15385" spans="1:20" x14ac:dyDescent="0.25">
      <c r="A15385" t="str">
        <f>"3040206"</f>
        <v>3040206</v>
      </c>
      <c r="B15385" t="s">
        <v>46982</v>
      </c>
      <c r="C15385" t="str">
        <f>"8315803"</f>
        <v>8315803</v>
      </c>
      <c r="D15385" t="s">
        <v>46983</v>
      </c>
      <c r="F15385" t="s">
        <v>46984</v>
      </c>
      <c r="I15385" t="s">
        <v>29</v>
      </c>
      <c r="J15385" t="s">
        <v>30</v>
      </c>
      <c r="K15385" t="s">
        <v>19608</v>
      </c>
      <c r="M15385" t="s">
        <v>17861</v>
      </c>
      <c r="N15385" t="str">
        <f>"6/11/2021 3:56:00 PM"</f>
        <v>6/11/2021 3:56:00 PM</v>
      </c>
      <c r="O15385" t="s">
        <v>46983</v>
      </c>
    </row>
    <row r="15386" spans="1:20" x14ac:dyDescent="0.25">
      <c r="A15386" t="str">
        <f>"3058792"</f>
        <v>3058792</v>
      </c>
      <c r="B15386" t="s">
        <v>46985</v>
      </c>
      <c r="C15386" t="str">
        <f>"8315805"</f>
        <v>8315805</v>
      </c>
      <c r="D15386" t="s">
        <v>46986</v>
      </c>
      <c r="E15386" t="s">
        <v>46987</v>
      </c>
      <c r="F15386" t="s">
        <v>46988</v>
      </c>
      <c r="I15386" t="s">
        <v>29</v>
      </c>
      <c r="J15386" t="s">
        <v>30</v>
      </c>
      <c r="K15386" t="s">
        <v>40174</v>
      </c>
      <c r="M15386" t="s">
        <v>17861</v>
      </c>
      <c r="N15386" t="str">
        <f>"6/11/2021 4:08:00 PM"</f>
        <v>6/11/2021 4:08:00 PM</v>
      </c>
      <c r="O15386" t="s">
        <v>46986</v>
      </c>
      <c r="T15386" t="s">
        <v>46987</v>
      </c>
    </row>
    <row r="15387" spans="1:20" x14ac:dyDescent="0.25">
      <c r="A15387" t="str">
        <f>"3057733"</f>
        <v>3057733</v>
      </c>
      <c r="B15387" t="s">
        <v>46989</v>
      </c>
      <c r="C15387" t="str">
        <f>"8315806"</f>
        <v>8315806</v>
      </c>
      <c r="D15387" t="s">
        <v>46990</v>
      </c>
      <c r="E15387" t="s">
        <v>46991</v>
      </c>
      <c r="F15387" t="s">
        <v>46992</v>
      </c>
      <c r="I15387" t="s">
        <v>29</v>
      </c>
      <c r="J15387" t="s">
        <v>30</v>
      </c>
      <c r="K15387" t="s">
        <v>38025</v>
      </c>
      <c r="M15387" t="s">
        <v>17861</v>
      </c>
      <c r="N15387" t="str">
        <f>"6/11/2021 4:12:00 PM"</f>
        <v>6/11/2021 4:12:00 PM</v>
      </c>
      <c r="O15387" t="s">
        <v>46990</v>
      </c>
      <c r="T15387" t="s">
        <v>46991</v>
      </c>
    </row>
    <row r="15388" spans="1:20" x14ac:dyDescent="0.25">
      <c r="A15388" t="str">
        <f>"3059891"</f>
        <v>3059891</v>
      </c>
      <c r="B15388" t="s">
        <v>46993</v>
      </c>
      <c r="C15388" t="str">
        <f>"8315807"</f>
        <v>8315807</v>
      </c>
      <c r="D15388" t="s">
        <v>46994</v>
      </c>
      <c r="E15388" t="s">
        <v>46995</v>
      </c>
      <c r="F15388" t="s">
        <v>46996</v>
      </c>
      <c r="I15388" t="s">
        <v>29</v>
      </c>
      <c r="J15388" t="s">
        <v>30</v>
      </c>
      <c r="K15388" t="s">
        <v>38025</v>
      </c>
      <c r="M15388" t="s">
        <v>17861</v>
      </c>
      <c r="N15388" t="str">
        <f>"6/11/2021 4:15:00 PM"</f>
        <v>6/11/2021 4:15:00 PM</v>
      </c>
      <c r="O15388" t="s">
        <v>46994</v>
      </c>
      <c r="T15388" t="s">
        <v>46995</v>
      </c>
    </row>
    <row r="15389" spans="1:20" x14ac:dyDescent="0.25">
      <c r="A15389" t="str">
        <f>"3040469"</f>
        <v>3040469</v>
      </c>
      <c r="B15389" t="s">
        <v>46997</v>
      </c>
      <c r="C15389" t="str">
        <f>"8315808"</f>
        <v>8315808</v>
      </c>
      <c r="D15389" t="s">
        <v>46998</v>
      </c>
      <c r="E15389" t="s">
        <v>46999</v>
      </c>
      <c r="F15389" t="s">
        <v>47000</v>
      </c>
      <c r="I15389" t="s">
        <v>29</v>
      </c>
      <c r="J15389" t="s">
        <v>30</v>
      </c>
      <c r="K15389" t="s">
        <v>1335</v>
      </c>
      <c r="M15389" t="s">
        <v>17861</v>
      </c>
      <c r="N15389" t="str">
        <f>"6/11/2021 4:18:00 PM"</f>
        <v>6/11/2021 4:18:00 PM</v>
      </c>
      <c r="O15389" t="s">
        <v>46998</v>
      </c>
      <c r="T15389" t="s">
        <v>46999</v>
      </c>
    </row>
    <row r="15390" spans="1:20" x14ac:dyDescent="0.25">
      <c r="A15390" t="str">
        <f>"3050199"</f>
        <v>3050199</v>
      </c>
      <c r="B15390" t="s">
        <v>47001</v>
      </c>
      <c r="C15390" t="str">
        <f>"8315765"</f>
        <v>8315765</v>
      </c>
      <c r="D15390" t="s">
        <v>46961</v>
      </c>
      <c r="F15390" t="s">
        <v>46962</v>
      </c>
      <c r="I15390" t="s">
        <v>29</v>
      </c>
      <c r="J15390" t="s">
        <v>30</v>
      </c>
      <c r="K15390" t="s">
        <v>46963</v>
      </c>
      <c r="M15390" t="s">
        <v>17861</v>
      </c>
      <c r="N15390" t="str">
        <f>"6/10/2021 10:36:00 AM"</f>
        <v>6/10/2021 10:36:00 AM</v>
      </c>
      <c r="O15390" t="s">
        <v>46961</v>
      </c>
    </row>
    <row r="15391" spans="1:20" x14ac:dyDescent="0.25">
      <c r="A15391" t="str">
        <f>"3061175"</f>
        <v>3061175</v>
      </c>
      <c r="B15391" t="s">
        <v>47002</v>
      </c>
      <c r="C15391" t="str">
        <f>"8315766"</f>
        <v>8315766</v>
      </c>
      <c r="D15391" t="s">
        <v>47003</v>
      </c>
      <c r="F15391" t="s">
        <v>47004</v>
      </c>
      <c r="I15391" t="s">
        <v>184</v>
      </c>
      <c r="J15391" t="s">
        <v>30</v>
      </c>
      <c r="K15391" t="s">
        <v>47005</v>
      </c>
      <c r="M15391" t="s">
        <v>17861</v>
      </c>
      <c r="N15391" t="str">
        <f>"6/10/2021 10:42:00 AM"</f>
        <v>6/10/2021 10:42:00 AM</v>
      </c>
      <c r="O15391" t="s">
        <v>47003</v>
      </c>
    </row>
    <row r="15392" spans="1:20" x14ac:dyDescent="0.25">
      <c r="A15392" t="str">
        <f>"3050777"</f>
        <v>3050777</v>
      </c>
      <c r="B15392" t="s">
        <v>47006</v>
      </c>
      <c r="C15392" t="str">
        <f>"8315767"</f>
        <v>8315767</v>
      </c>
      <c r="D15392" t="s">
        <v>47007</v>
      </c>
      <c r="E15392" t="s">
        <v>47008</v>
      </c>
      <c r="F15392" t="s">
        <v>47009</v>
      </c>
      <c r="I15392" t="s">
        <v>184</v>
      </c>
      <c r="J15392" t="s">
        <v>30</v>
      </c>
      <c r="K15392" t="s">
        <v>10550</v>
      </c>
      <c r="M15392" t="s">
        <v>17861</v>
      </c>
      <c r="N15392" t="str">
        <f>"6/10/2021 10:51:00 AM"</f>
        <v>6/10/2021 10:51:00 AM</v>
      </c>
      <c r="O15392" t="s">
        <v>47007</v>
      </c>
      <c r="T15392" t="s">
        <v>47008</v>
      </c>
    </row>
    <row r="15393" spans="1:20" x14ac:dyDescent="0.25">
      <c r="A15393" t="str">
        <f>"3058145"</f>
        <v>3058145</v>
      </c>
      <c r="B15393" t="s">
        <v>47010</v>
      </c>
      <c r="C15393" t="str">
        <f>"8315769"</f>
        <v>8315769</v>
      </c>
      <c r="D15393" t="s">
        <v>47011</v>
      </c>
      <c r="F15393" t="s">
        <v>32593</v>
      </c>
      <c r="I15393" t="s">
        <v>29</v>
      </c>
      <c r="J15393" t="s">
        <v>30</v>
      </c>
      <c r="K15393" t="s">
        <v>34126</v>
      </c>
      <c r="M15393" t="s">
        <v>17861</v>
      </c>
      <c r="N15393" t="str">
        <f>"6/10/2021 1:27:00 PM"</f>
        <v>6/10/2021 1:27:00 PM</v>
      </c>
      <c r="O15393" t="s">
        <v>47011</v>
      </c>
    </row>
    <row r="15394" spans="1:20" x14ac:dyDescent="0.25">
      <c r="A15394" t="str">
        <f>"3052817"</f>
        <v>3052817</v>
      </c>
      <c r="B15394" t="s">
        <v>47012</v>
      </c>
      <c r="C15394" t="str">
        <f>"8315772"</f>
        <v>8315772</v>
      </c>
      <c r="D15394" t="s">
        <v>47013</v>
      </c>
      <c r="E15394" t="s">
        <v>47014</v>
      </c>
      <c r="F15394" t="s">
        <v>47015</v>
      </c>
      <c r="I15394" t="s">
        <v>29</v>
      </c>
      <c r="J15394" t="s">
        <v>30</v>
      </c>
      <c r="K15394" t="s">
        <v>47016</v>
      </c>
      <c r="M15394" t="s">
        <v>17861</v>
      </c>
      <c r="N15394" t="str">
        <f>"6/10/2021 1:49:00 PM"</f>
        <v>6/10/2021 1:49:00 PM</v>
      </c>
      <c r="O15394" t="s">
        <v>47013</v>
      </c>
      <c r="T15394" t="s">
        <v>47014</v>
      </c>
    </row>
    <row r="15395" spans="1:20" x14ac:dyDescent="0.25">
      <c r="A15395" t="str">
        <f>"3052563"</f>
        <v>3052563</v>
      </c>
      <c r="B15395" t="s">
        <v>47017</v>
      </c>
      <c r="C15395" t="str">
        <f>"8315774"</f>
        <v>8315774</v>
      </c>
      <c r="D15395" t="s">
        <v>47018</v>
      </c>
      <c r="F15395" t="s">
        <v>47019</v>
      </c>
      <c r="I15395" t="s">
        <v>29</v>
      </c>
      <c r="J15395" t="s">
        <v>30</v>
      </c>
      <c r="K15395" t="s">
        <v>47020</v>
      </c>
      <c r="M15395" t="s">
        <v>17861</v>
      </c>
      <c r="N15395" t="str">
        <f>"6/10/2021 2:20:00 PM"</f>
        <v>6/10/2021 2:20:00 PM</v>
      </c>
      <c r="O15395" t="s">
        <v>47018</v>
      </c>
    </row>
    <row r="15396" spans="1:20" x14ac:dyDescent="0.25">
      <c r="A15396" t="str">
        <f>"3061414"</f>
        <v>3061414</v>
      </c>
      <c r="B15396" t="s">
        <v>47021</v>
      </c>
      <c r="C15396" t="str">
        <f>"8315778"</f>
        <v>8315778</v>
      </c>
      <c r="D15396" t="s">
        <v>47022</v>
      </c>
      <c r="E15396" t="s">
        <v>47023</v>
      </c>
      <c r="F15396" t="s">
        <v>47024</v>
      </c>
      <c r="I15396" t="s">
        <v>184</v>
      </c>
      <c r="J15396" t="s">
        <v>30</v>
      </c>
      <c r="K15396" t="s">
        <v>5664</v>
      </c>
      <c r="M15396" t="s">
        <v>17861</v>
      </c>
      <c r="N15396" t="str">
        <f>"6/10/2021 3:15:00 PM"</f>
        <v>6/10/2021 3:15:00 PM</v>
      </c>
      <c r="O15396" t="s">
        <v>47022</v>
      </c>
      <c r="T15396" t="s">
        <v>47023</v>
      </c>
    </row>
    <row r="15397" spans="1:20" x14ac:dyDescent="0.25">
      <c r="A15397" t="str">
        <f>"3047566"</f>
        <v>3047566</v>
      </c>
      <c r="B15397" t="s">
        <v>47025</v>
      </c>
      <c r="C15397" t="str">
        <f>"8312321"</f>
        <v>8312321</v>
      </c>
      <c r="D15397" t="s">
        <v>47026</v>
      </c>
      <c r="E15397" t="s">
        <v>47027</v>
      </c>
      <c r="F15397" t="s">
        <v>47028</v>
      </c>
      <c r="I15397" t="s">
        <v>1149</v>
      </c>
      <c r="J15397" t="s">
        <v>30</v>
      </c>
      <c r="K15397" t="s">
        <v>47029</v>
      </c>
      <c r="M15397" t="s">
        <v>25733</v>
      </c>
      <c r="N15397" t="str">
        <f>"6/2/2021 2:29:00 PM"</f>
        <v>6/2/2021 2:29:00 PM</v>
      </c>
      <c r="O15397" t="s">
        <v>47026</v>
      </c>
      <c r="T15397" t="s">
        <v>47027</v>
      </c>
    </row>
    <row r="15398" spans="1:20" x14ac:dyDescent="0.25">
      <c r="A15398" t="str">
        <f>"3061069"</f>
        <v>3061069</v>
      </c>
      <c r="B15398" t="s">
        <v>47030</v>
      </c>
      <c r="C15398" t="str">
        <f>"8302419"</f>
        <v>8302419</v>
      </c>
      <c r="D15398" t="s">
        <v>47031</v>
      </c>
      <c r="E15398" t="s">
        <v>47032</v>
      </c>
      <c r="F15398" t="s">
        <v>47033</v>
      </c>
      <c r="I15398" t="s">
        <v>184</v>
      </c>
      <c r="J15398" t="s">
        <v>30</v>
      </c>
      <c r="K15398" t="str">
        <f>"27006"</f>
        <v>27006</v>
      </c>
      <c r="M15398" t="s">
        <v>33845</v>
      </c>
      <c r="N15398" t="str">
        <f>"6/2/2021 3:39:00 PM"</f>
        <v>6/2/2021 3:39:00 PM</v>
      </c>
      <c r="O15398" t="s">
        <v>47031</v>
      </c>
      <c r="T15398" t="s">
        <v>47032</v>
      </c>
    </row>
    <row r="15399" spans="1:20" x14ac:dyDescent="0.25">
      <c r="A15399" t="str">
        <f>"3052832"</f>
        <v>3052832</v>
      </c>
      <c r="B15399" t="s">
        <v>47034</v>
      </c>
      <c r="C15399" t="str">
        <f>"8315747"</f>
        <v>8315747</v>
      </c>
      <c r="D15399" t="s">
        <v>47035</v>
      </c>
      <c r="E15399" t="s">
        <v>47036</v>
      </c>
      <c r="F15399" t="s">
        <v>47037</v>
      </c>
      <c r="I15399" t="s">
        <v>964</v>
      </c>
      <c r="J15399" t="s">
        <v>30</v>
      </c>
      <c r="K15399" t="s">
        <v>47038</v>
      </c>
      <c r="M15399" t="s">
        <v>17861</v>
      </c>
      <c r="N15399" t="str">
        <f>"6/9/2021 1:55:00 PM"</f>
        <v>6/9/2021 1:55:00 PM</v>
      </c>
      <c r="O15399" t="s">
        <v>47035</v>
      </c>
      <c r="T15399" t="s">
        <v>47036</v>
      </c>
    </row>
    <row r="15400" spans="1:20" x14ac:dyDescent="0.25">
      <c r="A15400" t="str">
        <f>"3045824"</f>
        <v>3045824</v>
      </c>
      <c r="B15400" t="s">
        <v>47039</v>
      </c>
      <c r="C15400" t="str">
        <f>"8315832"</f>
        <v>8315832</v>
      </c>
      <c r="D15400" t="s">
        <v>47040</v>
      </c>
      <c r="F15400" t="s">
        <v>47041</v>
      </c>
      <c r="I15400" t="s">
        <v>29</v>
      </c>
      <c r="J15400" t="s">
        <v>30</v>
      </c>
      <c r="K15400" t="s">
        <v>47042</v>
      </c>
      <c r="M15400" t="s">
        <v>17861</v>
      </c>
      <c r="N15400" t="str">
        <f>"6/21/2021 8:59:00 AM"</f>
        <v>6/21/2021 8:59:00 AM</v>
      </c>
      <c r="O15400" t="s">
        <v>47040</v>
      </c>
    </row>
    <row r="15401" spans="1:20" x14ac:dyDescent="0.25">
      <c r="A15401" t="str">
        <f>"3051192"</f>
        <v>3051192</v>
      </c>
      <c r="B15401" t="s">
        <v>47043</v>
      </c>
      <c r="C15401" t="str">
        <f>"8315836"</f>
        <v>8315836</v>
      </c>
      <c r="D15401" t="s">
        <v>47044</v>
      </c>
      <c r="E15401" t="s">
        <v>47045</v>
      </c>
      <c r="F15401" t="s">
        <v>47046</v>
      </c>
      <c r="I15401" t="s">
        <v>1107</v>
      </c>
      <c r="J15401" t="s">
        <v>30</v>
      </c>
      <c r="K15401" t="str">
        <f>"28625"</f>
        <v>28625</v>
      </c>
      <c r="M15401" t="s">
        <v>17861</v>
      </c>
      <c r="N15401" t="str">
        <f>"6/21/2021 1:42:00 PM"</f>
        <v>6/21/2021 1:42:00 PM</v>
      </c>
      <c r="O15401" t="s">
        <v>47044</v>
      </c>
      <c r="T15401" t="s">
        <v>47045</v>
      </c>
    </row>
    <row r="15402" spans="1:20" x14ac:dyDescent="0.25">
      <c r="A15402" t="str">
        <f>"3047127"</f>
        <v>3047127</v>
      </c>
      <c r="B15402" t="s">
        <v>47047</v>
      </c>
      <c r="C15402" t="str">
        <f>"8310969"</f>
        <v>8310969</v>
      </c>
      <c r="D15402" t="s">
        <v>47048</v>
      </c>
      <c r="E15402" t="s">
        <v>47049</v>
      </c>
      <c r="F15402" t="s">
        <v>47050</v>
      </c>
      <c r="I15402" t="s">
        <v>29</v>
      </c>
      <c r="J15402" t="s">
        <v>30</v>
      </c>
      <c r="K15402" t="s">
        <v>10119</v>
      </c>
      <c r="M15402" t="s">
        <v>41454</v>
      </c>
      <c r="N15402" t="str">
        <f>"6/21/2021 2:41:00 PM"</f>
        <v>6/21/2021 2:41:00 PM</v>
      </c>
      <c r="O15402" t="s">
        <v>47048</v>
      </c>
      <c r="T15402" t="s">
        <v>47049</v>
      </c>
    </row>
    <row r="15403" spans="1:20" x14ac:dyDescent="0.25">
      <c r="A15403" t="str">
        <f>"3094178"</f>
        <v>3094178</v>
      </c>
      <c r="B15403" t="s">
        <v>47051</v>
      </c>
      <c r="C15403" t="str">
        <f>"8310969"</f>
        <v>8310969</v>
      </c>
      <c r="D15403" t="s">
        <v>47048</v>
      </c>
      <c r="E15403" t="s">
        <v>47049</v>
      </c>
      <c r="F15403" t="s">
        <v>47050</v>
      </c>
      <c r="I15403" t="s">
        <v>29</v>
      </c>
      <c r="J15403" t="s">
        <v>30</v>
      </c>
      <c r="K15403" t="s">
        <v>10119</v>
      </c>
      <c r="M15403" t="s">
        <v>41454</v>
      </c>
      <c r="N15403" t="str">
        <f>"6/21/2021 2:41:00 PM"</f>
        <v>6/21/2021 2:41:00 PM</v>
      </c>
      <c r="O15403" t="s">
        <v>47048</v>
      </c>
      <c r="T15403" t="s">
        <v>47049</v>
      </c>
    </row>
    <row r="15404" spans="1:20" x14ac:dyDescent="0.25">
      <c r="A15404" t="str">
        <f>"3062383"</f>
        <v>3062383</v>
      </c>
      <c r="B15404" t="s">
        <v>47052</v>
      </c>
      <c r="C15404" t="str">
        <f>"8315751"</f>
        <v>8315751</v>
      </c>
      <c r="D15404" t="s">
        <v>47053</v>
      </c>
      <c r="F15404" t="s">
        <v>47054</v>
      </c>
      <c r="I15404" t="s">
        <v>29</v>
      </c>
      <c r="J15404" t="s">
        <v>30</v>
      </c>
      <c r="K15404" t="str">
        <f>"27028"</f>
        <v>27028</v>
      </c>
      <c r="M15404" t="s">
        <v>17861</v>
      </c>
      <c r="N15404" t="str">
        <f>"6/9/2021 2:18:00 PM"</f>
        <v>6/9/2021 2:18:00 PM</v>
      </c>
      <c r="O15404" t="s">
        <v>47053</v>
      </c>
    </row>
    <row r="15405" spans="1:20" x14ac:dyDescent="0.25">
      <c r="A15405" t="str">
        <f>"3058241"</f>
        <v>3058241</v>
      </c>
      <c r="B15405" t="s">
        <v>47055</v>
      </c>
      <c r="C15405" t="str">
        <f>"8315752"</f>
        <v>8315752</v>
      </c>
      <c r="D15405" t="s">
        <v>47056</v>
      </c>
      <c r="F15405" t="s">
        <v>47057</v>
      </c>
      <c r="I15405" t="s">
        <v>29</v>
      </c>
      <c r="J15405" t="s">
        <v>30</v>
      </c>
      <c r="K15405" t="s">
        <v>9848</v>
      </c>
      <c r="M15405" t="s">
        <v>17861</v>
      </c>
      <c r="N15405" t="str">
        <f>"6/9/2021 2:20:00 PM"</f>
        <v>6/9/2021 2:20:00 PM</v>
      </c>
      <c r="O15405" t="s">
        <v>47056</v>
      </c>
    </row>
    <row r="15406" spans="1:20" x14ac:dyDescent="0.25">
      <c r="A15406" t="str">
        <f>"3046357"</f>
        <v>3046357</v>
      </c>
      <c r="B15406" t="s">
        <v>47058</v>
      </c>
      <c r="C15406" t="str">
        <f>"8315754"</f>
        <v>8315754</v>
      </c>
      <c r="D15406" t="s">
        <v>47059</v>
      </c>
      <c r="E15406" t="s">
        <v>47060</v>
      </c>
      <c r="F15406" t="s">
        <v>47061</v>
      </c>
      <c r="I15406" t="s">
        <v>29</v>
      </c>
      <c r="J15406" t="s">
        <v>30</v>
      </c>
      <c r="K15406" t="s">
        <v>47062</v>
      </c>
      <c r="M15406" t="s">
        <v>17861</v>
      </c>
      <c r="N15406" t="str">
        <f>"6/9/2021 3:14:00 PM"</f>
        <v>6/9/2021 3:14:00 PM</v>
      </c>
      <c r="O15406" t="s">
        <v>47059</v>
      </c>
      <c r="T15406" t="s">
        <v>47060</v>
      </c>
    </row>
    <row r="15407" spans="1:20" x14ac:dyDescent="0.25">
      <c r="A15407" t="str">
        <f>"3041832"</f>
        <v>3041832</v>
      </c>
      <c r="B15407" t="s">
        <v>47063</v>
      </c>
      <c r="C15407" t="str">
        <f>"8315757"</f>
        <v>8315757</v>
      </c>
      <c r="D15407" t="s">
        <v>47064</v>
      </c>
      <c r="E15407" t="s">
        <v>47065</v>
      </c>
      <c r="F15407" t="s">
        <v>47066</v>
      </c>
      <c r="I15407" t="s">
        <v>2071</v>
      </c>
      <c r="J15407" t="s">
        <v>30</v>
      </c>
      <c r="K15407" t="s">
        <v>34817</v>
      </c>
      <c r="M15407" t="s">
        <v>17861</v>
      </c>
      <c r="N15407" t="str">
        <f>"6/9/2021 3:48:00 PM"</f>
        <v>6/9/2021 3:48:00 PM</v>
      </c>
      <c r="O15407" t="s">
        <v>47064</v>
      </c>
      <c r="T15407" t="s">
        <v>47065</v>
      </c>
    </row>
    <row r="15408" spans="1:20" x14ac:dyDescent="0.25">
      <c r="A15408" t="str">
        <f>"3060841"</f>
        <v>3060841</v>
      </c>
      <c r="B15408" t="s">
        <v>47067</v>
      </c>
      <c r="C15408" t="str">
        <f>"8302411"</f>
        <v>8302411</v>
      </c>
      <c r="D15408" t="s">
        <v>47068</v>
      </c>
      <c r="E15408" t="s">
        <v>47069</v>
      </c>
      <c r="F15408" t="s">
        <v>47070</v>
      </c>
      <c r="I15408" t="s">
        <v>24359</v>
      </c>
      <c r="J15408" t="s">
        <v>30</v>
      </c>
      <c r="K15408" t="str">
        <f>"27006"</f>
        <v>27006</v>
      </c>
      <c r="M15408" t="s">
        <v>41454</v>
      </c>
      <c r="N15408" t="str">
        <f>"6/23/2021 12:23:00 PM"</f>
        <v>6/23/2021 12:23:00 PM</v>
      </c>
      <c r="O15408" t="s">
        <v>47068</v>
      </c>
      <c r="T15408" t="s">
        <v>47069</v>
      </c>
    </row>
    <row r="15409" spans="1:20" x14ac:dyDescent="0.25">
      <c r="A15409" t="str">
        <f>"3057743"</f>
        <v>3057743</v>
      </c>
      <c r="B15409" t="s">
        <v>47071</v>
      </c>
      <c r="C15409" t="str">
        <f>"8315859"</f>
        <v>8315859</v>
      </c>
      <c r="D15409" t="s">
        <v>47072</v>
      </c>
      <c r="E15409" t="s">
        <v>47073</v>
      </c>
      <c r="F15409" t="s">
        <v>47074</v>
      </c>
      <c r="I15409" t="s">
        <v>29</v>
      </c>
      <c r="J15409" t="s">
        <v>30</v>
      </c>
      <c r="K15409" t="s">
        <v>38025</v>
      </c>
      <c r="M15409" t="s">
        <v>17861</v>
      </c>
      <c r="N15409" t="str">
        <f>"6/23/2021 2:08:00 PM"</f>
        <v>6/23/2021 2:08:00 PM</v>
      </c>
      <c r="O15409" t="s">
        <v>47072</v>
      </c>
      <c r="T15409" t="s">
        <v>47073</v>
      </c>
    </row>
    <row r="15410" spans="1:20" x14ac:dyDescent="0.25">
      <c r="A15410" t="str">
        <f>"3054933"</f>
        <v>3054933</v>
      </c>
      <c r="B15410" t="s">
        <v>47075</v>
      </c>
      <c r="C15410" t="str">
        <f>"8315861"</f>
        <v>8315861</v>
      </c>
      <c r="D15410" t="s">
        <v>47076</v>
      </c>
      <c r="F15410" t="s">
        <v>47077</v>
      </c>
      <c r="I15410" t="s">
        <v>29</v>
      </c>
      <c r="J15410" t="s">
        <v>30</v>
      </c>
      <c r="K15410" t="s">
        <v>43323</v>
      </c>
      <c r="M15410" t="s">
        <v>17861</v>
      </c>
      <c r="N15410" t="str">
        <f>"6/23/2021 2:28:00 PM"</f>
        <v>6/23/2021 2:28:00 PM</v>
      </c>
      <c r="O15410" t="s">
        <v>47076</v>
      </c>
    </row>
    <row r="15411" spans="1:20" x14ac:dyDescent="0.25">
      <c r="A15411" t="str">
        <f>"3051061"</f>
        <v>3051061</v>
      </c>
      <c r="B15411" t="s">
        <v>47078</v>
      </c>
      <c r="C15411" t="str">
        <f>"79172000"</f>
        <v>79172000</v>
      </c>
      <c r="D15411" t="s">
        <v>47079</v>
      </c>
      <c r="F15411" t="s">
        <v>47080</v>
      </c>
      <c r="I15411" t="s">
        <v>29</v>
      </c>
      <c r="J15411" t="s">
        <v>30</v>
      </c>
      <c r="K15411" t="s">
        <v>47081</v>
      </c>
      <c r="M15411" t="s">
        <v>17861</v>
      </c>
      <c r="N15411" t="str">
        <f>"6/9/2021 3:49:00 PM"</f>
        <v>6/9/2021 3:49:00 PM</v>
      </c>
      <c r="O15411" t="s">
        <v>47079</v>
      </c>
    </row>
    <row r="15412" spans="1:20" x14ac:dyDescent="0.25">
      <c r="A15412" t="str">
        <f>"3051433"</f>
        <v>3051433</v>
      </c>
      <c r="B15412" t="s">
        <v>47082</v>
      </c>
      <c r="C15412" t="str">
        <f>"79172000"</f>
        <v>79172000</v>
      </c>
      <c r="D15412" t="s">
        <v>47079</v>
      </c>
      <c r="F15412" t="s">
        <v>47080</v>
      </c>
      <c r="I15412" t="s">
        <v>29</v>
      </c>
      <c r="J15412" t="s">
        <v>30</v>
      </c>
      <c r="K15412" t="s">
        <v>47081</v>
      </c>
      <c r="M15412" t="s">
        <v>17861</v>
      </c>
      <c r="N15412" t="str">
        <f>"6/9/2021 3:49:00 PM"</f>
        <v>6/9/2021 3:49:00 PM</v>
      </c>
      <c r="O15412" t="s">
        <v>47079</v>
      </c>
    </row>
    <row r="15413" spans="1:20" x14ac:dyDescent="0.25">
      <c r="A15413" t="str">
        <f>"3046142"</f>
        <v>3046142</v>
      </c>
      <c r="B15413" t="s">
        <v>47083</v>
      </c>
      <c r="C15413" t="str">
        <f>"8315759"</f>
        <v>8315759</v>
      </c>
      <c r="D15413" t="s">
        <v>47084</v>
      </c>
      <c r="E15413" t="s">
        <v>47085</v>
      </c>
      <c r="F15413" t="s">
        <v>47086</v>
      </c>
      <c r="I15413" t="s">
        <v>29</v>
      </c>
      <c r="J15413" t="s">
        <v>30</v>
      </c>
      <c r="K15413" t="s">
        <v>18795</v>
      </c>
      <c r="M15413" t="s">
        <v>17861</v>
      </c>
      <c r="N15413" t="str">
        <f>"6/9/2021 4:12:00 PM"</f>
        <v>6/9/2021 4:12:00 PM</v>
      </c>
      <c r="O15413" t="s">
        <v>47084</v>
      </c>
      <c r="T15413" t="s">
        <v>47085</v>
      </c>
    </row>
    <row r="15414" spans="1:20" x14ac:dyDescent="0.25">
      <c r="A15414" t="str">
        <f>"3045937"</f>
        <v>3045937</v>
      </c>
      <c r="B15414" t="s">
        <v>47087</v>
      </c>
      <c r="C15414" t="str">
        <f>"8315759"</f>
        <v>8315759</v>
      </c>
      <c r="D15414" t="s">
        <v>47084</v>
      </c>
      <c r="E15414" t="s">
        <v>47085</v>
      </c>
      <c r="F15414" t="s">
        <v>47086</v>
      </c>
      <c r="I15414" t="s">
        <v>29</v>
      </c>
      <c r="J15414" t="s">
        <v>30</v>
      </c>
      <c r="K15414" t="s">
        <v>18795</v>
      </c>
      <c r="M15414" t="s">
        <v>17861</v>
      </c>
      <c r="N15414" t="str">
        <f>"6/9/2021 4:12:00 PM"</f>
        <v>6/9/2021 4:12:00 PM</v>
      </c>
      <c r="O15414" t="s">
        <v>47084</v>
      </c>
      <c r="T15414" t="s">
        <v>47085</v>
      </c>
    </row>
    <row r="15415" spans="1:20" x14ac:dyDescent="0.25">
      <c r="A15415" t="str">
        <f>"3061273"</f>
        <v>3061273</v>
      </c>
      <c r="B15415" t="s">
        <v>47088</v>
      </c>
      <c r="C15415" t="str">
        <f>"8315761"</f>
        <v>8315761</v>
      </c>
      <c r="D15415" t="s">
        <v>47089</v>
      </c>
      <c r="E15415" t="s">
        <v>47090</v>
      </c>
      <c r="F15415" t="s">
        <v>47091</v>
      </c>
      <c r="I15415" t="s">
        <v>2071</v>
      </c>
      <c r="J15415" t="s">
        <v>30</v>
      </c>
      <c r="K15415" t="str">
        <f>"27006"</f>
        <v>27006</v>
      </c>
      <c r="M15415" t="s">
        <v>17861</v>
      </c>
      <c r="N15415" t="str">
        <f>"6/10/2021 9:28:00 AM"</f>
        <v>6/10/2021 9:28:00 AM</v>
      </c>
      <c r="O15415" t="s">
        <v>47089</v>
      </c>
      <c r="T15415" t="s">
        <v>47090</v>
      </c>
    </row>
    <row r="15416" spans="1:20" x14ac:dyDescent="0.25">
      <c r="A15416" t="str">
        <f>"3059445"</f>
        <v>3059445</v>
      </c>
      <c r="B15416" t="s">
        <v>47092</v>
      </c>
      <c r="C15416" t="str">
        <f>"8315762"</f>
        <v>8315762</v>
      </c>
      <c r="D15416" t="s">
        <v>47093</v>
      </c>
      <c r="F15416" t="s">
        <v>47094</v>
      </c>
      <c r="I15416" t="s">
        <v>29</v>
      </c>
      <c r="J15416" t="s">
        <v>30</v>
      </c>
      <c r="K15416" t="s">
        <v>46172</v>
      </c>
      <c r="M15416" t="s">
        <v>17861</v>
      </c>
      <c r="N15416" t="str">
        <f>"6/10/2021 9:41:00 AM"</f>
        <v>6/10/2021 9:41:00 AM</v>
      </c>
      <c r="O15416" t="s">
        <v>47093</v>
      </c>
    </row>
    <row r="15417" spans="1:20" x14ac:dyDescent="0.25">
      <c r="A15417" t="str">
        <f>"3045894"</f>
        <v>3045894</v>
      </c>
      <c r="B15417" t="s">
        <v>47095</v>
      </c>
      <c r="C15417" t="str">
        <f>"8315866"</f>
        <v>8315866</v>
      </c>
      <c r="D15417" t="s">
        <v>47096</v>
      </c>
      <c r="F15417" t="s">
        <v>47097</v>
      </c>
      <c r="I15417" t="s">
        <v>29</v>
      </c>
      <c r="J15417" t="s">
        <v>30</v>
      </c>
      <c r="K15417" t="s">
        <v>47098</v>
      </c>
      <c r="M15417" t="s">
        <v>17861</v>
      </c>
      <c r="N15417" t="str">
        <f>"6/23/2021 3:55:00 PM"</f>
        <v>6/23/2021 3:55:00 PM</v>
      </c>
      <c r="O15417" t="s">
        <v>47096</v>
      </c>
    </row>
    <row r="15418" spans="1:20" x14ac:dyDescent="0.25">
      <c r="A15418" t="str">
        <f>"3046183"</f>
        <v>3046183</v>
      </c>
      <c r="B15418" t="s">
        <v>47099</v>
      </c>
      <c r="C15418" t="str">
        <f>"8315866"</f>
        <v>8315866</v>
      </c>
      <c r="D15418" t="s">
        <v>47096</v>
      </c>
      <c r="F15418" t="s">
        <v>47097</v>
      </c>
      <c r="I15418" t="s">
        <v>29</v>
      </c>
      <c r="J15418" t="s">
        <v>30</v>
      </c>
      <c r="K15418" t="s">
        <v>47098</v>
      </c>
      <c r="M15418" t="s">
        <v>17861</v>
      </c>
      <c r="N15418" t="str">
        <f>"6/23/2021 3:55:00 PM"</f>
        <v>6/23/2021 3:55:00 PM</v>
      </c>
      <c r="O15418" t="s">
        <v>47096</v>
      </c>
    </row>
    <row r="15419" spans="1:20" x14ac:dyDescent="0.25">
      <c r="A15419" t="str">
        <f>"3046098"</f>
        <v>3046098</v>
      </c>
      <c r="B15419" t="s">
        <v>47100</v>
      </c>
      <c r="C15419" t="str">
        <f>"8315866"</f>
        <v>8315866</v>
      </c>
      <c r="D15419" t="s">
        <v>47096</v>
      </c>
      <c r="F15419" t="s">
        <v>47097</v>
      </c>
      <c r="I15419" t="s">
        <v>29</v>
      </c>
      <c r="J15419" t="s">
        <v>30</v>
      </c>
      <c r="K15419" t="s">
        <v>47098</v>
      </c>
      <c r="M15419" t="s">
        <v>17861</v>
      </c>
      <c r="N15419" t="str">
        <f>"6/23/2021 3:55:00 PM"</f>
        <v>6/23/2021 3:55:00 PM</v>
      </c>
      <c r="O15419" t="s">
        <v>47096</v>
      </c>
    </row>
    <row r="15420" spans="1:20" x14ac:dyDescent="0.25">
      <c r="A15420" t="str">
        <f>"3078168"</f>
        <v>3078168</v>
      </c>
      <c r="B15420" t="s">
        <v>47101</v>
      </c>
      <c r="C15420" t="str">
        <f>"8315867"</f>
        <v>8315867</v>
      </c>
      <c r="D15420" t="s">
        <v>47102</v>
      </c>
      <c r="F15420" t="s">
        <v>47103</v>
      </c>
      <c r="I15420" t="s">
        <v>29</v>
      </c>
      <c r="J15420" t="s">
        <v>30</v>
      </c>
      <c r="K15420" t="s">
        <v>10107</v>
      </c>
      <c r="M15420" t="s">
        <v>17861</v>
      </c>
      <c r="N15420" t="str">
        <f>"6/23/2021 4:08:00 PM"</f>
        <v>6/23/2021 4:08:00 PM</v>
      </c>
      <c r="O15420" t="s">
        <v>47102</v>
      </c>
    </row>
    <row r="15421" spans="1:20" x14ac:dyDescent="0.25">
      <c r="A15421" t="str">
        <f>"3078169"</f>
        <v>3078169</v>
      </c>
      <c r="B15421" t="s">
        <v>47104</v>
      </c>
      <c r="C15421" t="str">
        <f>"8315867"</f>
        <v>8315867</v>
      </c>
      <c r="D15421" t="s">
        <v>47102</v>
      </c>
      <c r="F15421" t="s">
        <v>47103</v>
      </c>
      <c r="I15421" t="s">
        <v>29</v>
      </c>
      <c r="J15421" t="s">
        <v>30</v>
      </c>
      <c r="K15421" t="s">
        <v>10107</v>
      </c>
      <c r="M15421" t="s">
        <v>17861</v>
      </c>
      <c r="N15421" t="str">
        <f>"6/23/2021 4:08:00 PM"</f>
        <v>6/23/2021 4:08:00 PM</v>
      </c>
      <c r="O15421" t="s">
        <v>47102</v>
      </c>
    </row>
    <row r="15422" spans="1:20" x14ac:dyDescent="0.25">
      <c r="A15422" t="str">
        <f>"3052684"</f>
        <v>3052684</v>
      </c>
      <c r="B15422" t="s">
        <v>47105</v>
      </c>
      <c r="C15422" t="str">
        <f>"8315869"</f>
        <v>8315869</v>
      </c>
      <c r="D15422" t="s">
        <v>47106</v>
      </c>
      <c r="F15422" t="s">
        <v>47107</v>
      </c>
      <c r="I15422" t="s">
        <v>29</v>
      </c>
      <c r="J15422" t="s">
        <v>30</v>
      </c>
      <c r="K15422" t="s">
        <v>47108</v>
      </c>
      <c r="M15422" t="s">
        <v>17861</v>
      </c>
      <c r="N15422" t="str">
        <f>"6/23/2021 4:14:00 PM"</f>
        <v>6/23/2021 4:14:00 PM</v>
      </c>
      <c r="O15422" t="s">
        <v>47106</v>
      </c>
    </row>
    <row r="15423" spans="1:20" x14ac:dyDescent="0.25">
      <c r="A15423" t="str">
        <f>"3061889"</f>
        <v>3061889</v>
      </c>
      <c r="B15423" t="s">
        <v>47109</v>
      </c>
      <c r="C15423" t="str">
        <f>"8315872"</f>
        <v>8315872</v>
      </c>
      <c r="D15423" t="s">
        <v>47110</v>
      </c>
      <c r="F15423" t="s">
        <v>47111</v>
      </c>
      <c r="I15423" t="s">
        <v>29</v>
      </c>
      <c r="J15423" t="s">
        <v>30</v>
      </c>
      <c r="K15423" t="s">
        <v>47112</v>
      </c>
      <c r="M15423" t="s">
        <v>17861</v>
      </c>
      <c r="N15423" t="str">
        <f>"6/23/2021 4:36:00 PM"</f>
        <v>6/23/2021 4:36:00 PM</v>
      </c>
      <c r="O15423" t="s">
        <v>47110</v>
      </c>
    </row>
    <row r="15424" spans="1:20" x14ac:dyDescent="0.25">
      <c r="A15424" t="str">
        <f>"3051410"</f>
        <v>3051410</v>
      </c>
      <c r="B15424" t="s">
        <v>47113</v>
      </c>
      <c r="C15424" t="str">
        <f>"8315873"</f>
        <v>8315873</v>
      </c>
      <c r="D15424" t="s">
        <v>47114</v>
      </c>
      <c r="F15424" t="s">
        <v>47115</v>
      </c>
      <c r="I15424" t="s">
        <v>29</v>
      </c>
      <c r="J15424" t="s">
        <v>30</v>
      </c>
      <c r="K15424" t="s">
        <v>14487</v>
      </c>
      <c r="M15424" t="s">
        <v>17861</v>
      </c>
      <c r="N15424" t="str">
        <f>"6/23/2021 4:43:00 PM"</f>
        <v>6/23/2021 4:43:00 PM</v>
      </c>
      <c r="O15424" t="s">
        <v>47114</v>
      </c>
    </row>
    <row r="15425" spans="1:20" x14ac:dyDescent="0.25">
      <c r="A15425" t="str">
        <f>"3040831"</f>
        <v>3040831</v>
      </c>
      <c r="B15425" t="s">
        <v>47116</v>
      </c>
      <c r="C15425" t="str">
        <f>"8315876"</f>
        <v>8315876</v>
      </c>
      <c r="D15425" t="s">
        <v>47117</v>
      </c>
      <c r="F15425" t="s">
        <v>47118</v>
      </c>
      <c r="I15425" t="s">
        <v>184</v>
      </c>
      <c r="J15425" t="s">
        <v>30</v>
      </c>
      <c r="K15425" t="s">
        <v>45328</v>
      </c>
      <c r="M15425" t="s">
        <v>17861</v>
      </c>
      <c r="N15425" t="str">
        <f>"6/24/2021 9:31:00 AM"</f>
        <v>6/24/2021 9:31:00 AM</v>
      </c>
      <c r="O15425" t="s">
        <v>47117</v>
      </c>
    </row>
    <row r="15426" spans="1:20" x14ac:dyDescent="0.25">
      <c r="A15426" t="str">
        <f>"3078956"</f>
        <v>3078956</v>
      </c>
      <c r="B15426" t="s">
        <v>47119</v>
      </c>
      <c r="C15426" t="str">
        <f>"8315764"</f>
        <v>8315764</v>
      </c>
      <c r="D15426" t="s">
        <v>47120</v>
      </c>
      <c r="F15426" t="s">
        <v>47121</v>
      </c>
      <c r="I15426" t="s">
        <v>29</v>
      </c>
      <c r="J15426" t="s">
        <v>30</v>
      </c>
      <c r="K15426" t="s">
        <v>28120</v>
      </c>
      <c r="M15426" t="s">
        <v>17861</v>
      </c>
      <c r="N15426" t="str">
        <f>"6/10/2021 10:20:00 AM"</f>
        <v>6/10/2021 10:20:00 AM</v>
      </c>
      <c r="O15426" t="s">
        <v>47120</v>
      </c>
    </row>
    <row r="15427" spans="1:20" x14ac:dyDescent="0.25">
      <c r="A15427" t="str">
        <f>"3049510"</f>
        <v>3049510</v>
      </c>
      <c r="B15427" t="s">
        <v>47122</v>
      </c>
      <c r="C15427" t="str">
        <f>"8315765"</f>
        <v>8315765</v>
      </c>
      <c r="D15427" t="s">
        <v>46961</v>
      </c>
      <c r="F15427" t="s">
        <v>46962</v>
      </c>
      <c r="I15427" t="s">
        <v>29</v>
      </c>
      <c r="J15427" t="s">
        <v>30</v>
      </c>
      <c r="K15427" t="s">
        <v>46963</v>
      </c>
      <c r="M15427" t="s">
        <v>17861</v>
      </c>
      <c r="N15427" t="str">
        <f>"6/10/2021 10:36:00 AM"</f>
        <v>6/10/2021 10:36:00 AM</v>
      </c>
      <c r="O15427" t="s">
        <v>46961</v>
      </c>
    </row>
    <row r="15428" spans="1:20" x14ac:dyDescent="0.25">
      <c r="A15428" t="str">
        <f>"3050190"</f>
        <v>3050190</v>
      </c>
      <c r="B15428" t="s">
        <v>47123</v>
      </c>
      <c r="C15428" t="str">
        <f>"8315765"</f>
        <v>8315765</v>
      </c>
      <c r="D15428" t="s">
        <v>46961</v>
      </c>
      <c r="F15428" t="s">
        <v>46962</v>
      </c>
      <c r="I15428" t="s">
        <v>29</v>
      </c>
      <c r="J15428" t="s">
        <v>30</v>
      </c>
      <c r="K15428" t="s">
        <v>46963</v>
      </c>
      <c r="M15428" t="s">
        <v>17861</v>
      </c>
      <c r="N15428" t="str">
        <f>"6/10/2021 10:36:00 AM"</f>
        <v>6/10/2021 10:36:00 AM</v>
      </c>
      <c r="O15428" t="s">
        <v>46961</v>
      </c>
    </row>
    <row r="15429" spans="1:20" x14ac:dyDescent="0.25">
      <c r="A15429" t="str">
        <f>"3038254"</f>
        <v>3038254</v>
      </c>
      <c r="B15429" t="s">
        <v>47124</v>
      </c>
      <c r="C15429" t="str">
        <f>"8315811"</f>
        <v>8315811</v>
      </c>
      <c r="D15429" t="s">
        <v>47125</v>
      </c>
      <c r="E15429" t="s">
        <v>47126</v>
      </c>
      <c r="F15429" t="s">
        <v>47127</v>
      </c>
      <c r="I15429" t="s">
        <v>39085</v>
      </c>
      <c r="J15429" t="s">
        <v>3737</v>
      </c>
      <c r="K15429" t="str">
        <f>"75205"</f>
        <v>75205</v>
      </c>
      <c r="M15429" t="s">
        <v>17861</v>
      </c>
      <c r="N15429" t="str">
        <f>"6/14/2021 11:36:00 AM"</f>
        <v>6/14/2021 11:36:00 AM</v>
      </c>
      <c r="O15429" t="s">
        <v>47125</v>
      </c>
      <c r="T15429" t="s">
        <v>47126</v>
      </c>
    </row>
    <row r="15430" spans="1:20" x14ac:dyDescent="0.25">
      <c r="A15430" t="str">
        <f>"3044242"</f>
        <v>3044242</v>
      </c>
      <c r="B15430" t="s">
        <v>47128</v>
      </c>
      <c r="C15430" t="str">
        <f>"8315883"</f>
        <v>8315883</v>
      </c>
      <c r="D15430" t="s">
        <v>47129</v>
      </c>
      <c r="E15430" t="s">
        <v>47130</v>
      </c>
      <c r="F15430" t="s">
        <v>47131</v>
      </c>
      <c r="I15430" t="s">
        <v>184</v>
      </c>
      <c r="J15430" t="s">
        <v>30</v>
      </c>
      <c r="K15430" t="s">
        <v>47132</v>
      </c>
      <c r="M15430" t="s">
        <v>17861</v>
      </c>
      <c r="N15430" t="str">
        <f>"6/24/2021 10:42:00 AM"</f>
        <v>6/24/2021 10:42:00 AM</v>
      </c>
      <c r="O15430" t="s">
        <v>47129</v>
      </c>
      <c r="T15430" t="s">
        <v>47130</v>
      </c>
    </row>
    <row r="15431" spans="1:20" x14ac:dyDescent="0.25">
      <c r="A15431" t="str">
        <f>"3048805"</f>
        <v>3048805</v>
      </c>
      <c r="B15431" t="s">
        <v>47133</v>
      </c>
      <c r="C15431" t="str">
        <f>"8315884"</f>
        <v>8315884</v>
      </c>
      <c r="D15431" t="s">
        <v>47134</v>
      </c>
      <c r="F15431" t="s">
        <v>47135</v>
      </c>
      <c r="I15431" t="s">
        <v>29</v>
      </c>
      <c r="J15431" t="s">
        <v>30</v>
      </c>
      <c r="K15431" t="s">
        <v>39644</v>
      </c>
      <c r="M15431" t="s">
        <v>17861</v>
      </c>
      <c r="N15431" t="str">
        <f>"6/24/2021 10:46:00 AM"</f>
        <v>6/24/2021 10:46:00 AM</v>
      </c>
      <c r="O15431" t="s">
        <v>47134</v>
      </c>
    </row>
    <row r="15432" spans="1:20" x14ac:dyDescent="0.25">
      <c r="A15432" t="str">
        <f>"3050026"</f>
        <v>3050026</v>
      </c>
      <c r="B15432" t="s">
        <v>47136</v>
      </c>
      <c r="C15432" t="str">
        <f>"27667000"</f>
        <v>27667000</v>
      </c>
      <c r="D15432" t="s">
        <v>47137</v>
      </c>
      <c r="E15432" t="s">
        <v>47138</v>
      </c>
      <c r="F15432" t="s">
        <v>47139</v>
      </c>
      <c r="I15432" t="s">
        <v>29</v>
      </c>
      <c r="J15432" t="s">
        <v>30</v>
      </c>
      <c r="K15432" t="s">
        <v>31</v>
      </c>
      <c r="M15432" t="s">
        <v>25733</v>
      </c>
      <c r="N15432" t="str">
        <f>"6/14/2021 2:46:00 PM"</f>
        <v>6/14/2021 2:46:00 PM</v>
      </c>
      <c r="O15432" t="s">
        <v>47137</v>
      </c>
      <c r="T15432" t="s">
        <v>47138</v>
      </c>
    </row>
    <row r="15433" spans="1:20" x14ac:dyDescent="0.25">
      <c r="A15433" t="str">
        <f>"3060987"</f>
        <v>3060987</v>
      </c>
      <c r="B15433" t="s">
        <v>47140</v>
      </c>
      <c r="C15433" t="str">
        <f>"8315888"</f>
        <v>8315888</v>
      </c>
      <c r="D15433" t="s">
        <v>47141</v>
      </c>
      <c r="F15433" t="s">
        <v>47142</v>
      </c>
      <c r="I15433" t="s">
        <v>2071</v>
      </c>
      <c r="J15433" t="s">
        <v>30</v>
      </c>
      <c r="K15433" t="s">
        <v>37473</v>
      </c>
      <c r="M15433" t="s">
        <v>17861</v>
      </c>
      <c r="N15433" t="str">
        <f>"6/24/2021 12:56:00 PM"</f>
        <v>6/24/2021 12:56:00 PM</v>
      </c>
      <c r="O15433" t="s">
        <v>47141</v>
      </c>
    </row>
    <row r="15434" spans="1:20" x14ac:dyDescent="0.25">
      <c r="A15434" t="str">
        <f>"3042855"</f>
        <v>3042855</v>
      </c>
      <c r="B15434" t="s">
        <v>47143</v>
      </c>
      <c r="C15434" t="str">
        <f>"8315890"</f>
        <v>8315890</v>
      </c>
      <c r="D15434" t="s">
        <v>47144</v>
      </c>
      <c r="E15434" t="s">
        <v>47145</v>
      </c>
      <c r="F15434" t="s">
        <v>47146</v>
      </c>
      <c r="I15434" t="s">
        <v>29</v>
      </c>
      <c r="J15434" t="s">
        <v>30</v>
      </c>
      <c r="K15434" t="s">
        <v>47147</v>
      </c>
      <c r="M15434" t="s">
        <v>17861</v>
      </c>
      <c r="N15434" t="str">
        <f>"6/24/2021 1:10:00 PM"</f>
        <v>6/24/2021 1:10:00 PM</v>
      </c>
      <c r="O15434" t="s">
        <v>47144</v>
      </c>
      <c r="T15434" t="s">
        <v>47145</v>
      </c>
    </row>
    <row r="15435" spans="1:20" x14ac:dyDescent="0.25">
      <c r="A15435" t="str">
        <f>"3053774"</f>
        <v>3053774</v>
      </c>
      <c r="B15435" t="s">
        <v>47148</v>
      </c>
      <c r="C15435" t="str">
        <f>"82524917"</f>
        <v>82524917</v>
      </c>
      <c r="D15435" t="s">
        <v>47149</v>
      </c>
      <c r="F15435" t="s">
        <v>47150</v>
      </c>
      <c r="I15435" t="s">
        <v>29</v>
      </c>
      <c r="J15435" t="s">
        <v>30</v>
      </c>
      <c r="K15435" t="s">
        <v>6729</v>
      </c>
      <c r="M15435" t="s">
        <v>25733</v>
      </c>
      <c r="N15435" t="str">
        <f>"6/14/2021 2:52:00 PM"</f>
        <v>6/14/2021 2:52:00 PM</v>
      </c>
      <c r="O15435" t="s">
        <v>47149</v>
      </c>
      <c r="T15435" t="s">
        <v>47149</v>
      </c>
    </row>
    <row r="15436" spans="1:20" x14ac:dyDescent="0.25">
      <c r="A15436" t="str">
        <f>"3052697"</f>
        <v>3052697</v>
      </c>
      <c r="B15436" t="s">
        <v>47151</v>
      </c>
      <c r="C15436" t="str">
        <f>"8312830"</f>
        <v>8312830</v>
      </c>
      <c r="D15436" t="s">
        <v>47152</v>
      </c>
      <c r="E15436" t="s">
        <v>47153</v>
      </c>
      <c r="F15436" t="s">
        <v>47154</v>
      </c>
      <c r="I15436" t="s">
        <v>29</v>
      </c>
      <c r="J15436" t="s">
        <v>30</v>
      </c>
      <c r="K15436" t="str">
        <f>"27028"</f>
        <v>27028</v>
      </c>
      <c r="M15436" t="s">
        <v>25733</v>
      </c>
      <c r="N15436" t="str">
        <f>"6/14/2021 2:53:00 PM"</f>
        <v>6/14/2021 2:53:00 PM</v>
      </c>
      <c r="O15436" t="s">
        <v>47152</v>
      </c>
      <c r="T15436" t="s">
        <v>47153</v>
      </c>
    </row>
    <row r="15437" spans="1:20" x14ac:dyDescent="0.25">
      <c r="A15437" t="str">
        <f>"3048349"</f>
        <v>3048349</v>
      </c>
      <c r="B15437" t="s">
        <v>47155</v>
      </c>
      <c r="C15437" t="str">
        <f>"8315825"</f>
        <v>8315825</v>
      </c>
      <c r="D15437" t="s">
        <v>47156</v>
      </c>
      <c r="E15437" t="s">
        <v>47157</v>
      </c>
      <c r="F15437" t="s">
        <v>47158</v>
      </c>
      <c r="I15437" t="s">
        <v>29</v>
      </c>
      <c r="J15437" t="s">
        <v>30</v>
      </c>
      <c r="K15437" t="s">
        <v>27835</v>
      </c>
      <c r="M15437" t="s">
        <v>17861</v>
      </c>
      <c r="N15437" t="str">
        <f>"6/15/2021 1:26:00 PM"</f>
        <v>6/15/2021 1:26:00 PM</v>
      </c>
      <c r="O15437" t="s">
        <v>47156</v>
      </c>
      <c r="T15437" t="s">
        <v>47157</v>
      </c>
    </row>
    <row r="15438" spans="1:20" x14ac:dyDescent="0.25">
      <c r="A15438" t="str">
        <f>"3050371"</f>
        <v>3050371</v>
      </c>
      <c r="B15438" t="s">
        <v>47159</v>
      </c>
      <c r="C15438" t="str">
        <f>"8315897"</f>
        <v>8315897</v>
      </c>
      <c r="D15438" t="s">
        <v>47160</v>
      </c>
      <c r="F15438" t="s">
        <v>47161</v>
      </c>
      <c r="I15438" t="s">
        <v>29</v>
      </c>
      <c r="J15438" t="s">
        <v>30</v>
      </c>
      <c r="K15438" t="s">
        <v>47162</v>
      </c>
      <c r="M15438" t="s">
        <v>17861</v>
      </c>
      <c r="N15438" t="str">
        <f>"6/24/2021 1:35:00 PM"</f>
        <v>6/24/2021 1:35:00 PM</v>
      </c>
      <c r="O15438" t="s">
        <v>47160</v>
      </c>
    </row>
    <row r="15439" spans="1:20" x14ac:dyDescent="0.25">
      <c r="A15439" t="str">
        <f>"3049572"</f>
        <v>3049572</v>
      </c>
      <c r="B15439" t="s">
        <v>47163</v>
      </c>
      <c r="C15439" t="str">
        <f>"8315897"</f>
        <v>8315897</v>
      </c>
      <c r="D15439" t="s">
        <v>47160</v>
      </c>
      <c r="F15439" t="s">
        <v>47161</v>
      </c>
      <c r="I15439" t="s">
        <v>29</v>
      </c>
      <c r="J15439" t="s">
        <v>30</v>
      </c>
      <c r="K15439" t="s">
        <v>47162</v>
      </c>
      <c r="M15439" t="s">
        <v>17861</v>
      </c>
      <c r="N15439" t="str">
        <f>"6/24/2021 1:35:00 PM"</f>
        <v>6/24/2021 1:35:00 PM</v>
      </c>
      <c r="O15439" t="s">
        <v>47160</v>
      </c>
    </row>
    <row r="15440" spans="1:20" x14ac:dyDescent="0.25">
      <c r="A15440" t="str">
        <f>"3052098"</f>
        <v>3052098</v>
      </c>
      <c r="B15440" t="s">
        <v>47164</v>
      </c>
      <c r="C15440" t="str">
        <f>"8315898"</f>
        <v>8315898</v>
      </c>
      <c r="D15440" t="s">
        <v>47165</v>
      </c>
      <c r="E15440" t="s">
        <v>47166</v>
      </c>
      <c r="F15440" t="s">
        <v>47167</v>
      </c>
      <c r="I15440" t="s">
        <v>29</v>
      </c>
      <c r="J15440" t="s">
        <v>30</v>
      </c>
      <c r="K15440" t="s">
        <v>11927</v>
      </c>
      <c r="M15440" t="s">
        <v>17861</v>
      </c>
      <c r="N15440" t="str">
        <f>"6/24/2021 1:40:00 PM"</f>
        <v>6/24/2021 1:40:00 PM</v>
      </c>
      <c r="O15440" t="s">
        <v>47165</v>
      </c>
      <c r="T15440" t="s">
        <v>47166</v>
      </c>
    </row>
    <row r="15441" spans="1:20" x14ac:dyDescent="0.25">
      <c r="A15441" t="str">
        <f>"3062090"</f>
        <v>3062090</v>
      </c>
      <c r="B15441" t="s">
        <v>47168</v>
      </c>
      <c r="C15441" t="str">
        <f>"8315899"</f>
        <v>8315899</v>
      </c>
      <c r="D15441" t="s">
        <v>47169</v>
      </c>
      <c r="E15441" t="s">
        <v>47170</v>
      </c>
      <c r="F15441" t="s">
        <v>47171</v>
      </c>
      <c r="I15441" t="s">
        <v>29</v>
      </c>
      <c r="J15441" t="s">
        <v>30</v>
      </c>
      <c r="K15441" t="s">
        <v>47172</v>
      </c>
      <c r="M15441" t="s">
        <v>17861</v>
      </c>
      <c r="N15441" t="str">
        <f>"6/24/2021 1:45:00 PM"</f>
        <v>6/24/2021 1:45:00 PM</v>
      </c>
      <c r="O15441" t="s">
        <v>47169</v>
      </c>
      <c r="T15441" t="s">
        <v>47170</v>
      </c>
    </row>
    <row r="15442" spans="1:20" x14ac:dyDescent="0.25">
      <c r="A15442" t="str">
        <f>"3045521"</f>
        <v>3045521</v>
      </c>
      <c r="B15442" t="s">
        <v>47173</v>
      </c>
      <c r="C15442" t="str">
        <f>"8315900"</f>
        <v>8315900</v>
      </c>
      <c r="D15442" t="s">
        <v>47174</v>
      </c>
      <c r="E15442" t="s">
        <v>47175</v>
      </c>
      <c r="F15442" t="s">
        <v>47176</v>
      </c>
      <c r="I15442" t="s">
        <v>1149</v>
      </c>
      <c r="J15442" t="s">
        <v>30</v>
      </c>
      <c r="K15442" t="s">
        <v>47177</v>
      </c>
      <c r="M15442" t="s">
        <v>17861</v>
      </c>
      <c r="N15442" t="str">
        <f>"6/24/2021 1:49:00 PM"</f>
        <v>6/24/2021 1:49:00 PM</v>
      </c>
      <c r="O15442" t="s">
        <v>47174</v>
      </c>
      <c r="T15442" t="s">
        <v>47175</v>
      </c>
    </row>
    <row r="15443" spans="1:20" x14ac:dyDescent="0.25">
      <c r="A15443" t="str">
        <f>"3060427"</f>
        <v>3060427</v>
      </c>
      <c r="B15443" t="s">
        <v>47178</v>
      </c>
      <c r="C15443" t="str">
        <f>"8315902"</f>
        <v>8315902</v>
      </c>
      <c r="D15443" t="s">
        <v>47179</v>
      </c>
      <c r="F15443" t="s">
        <v>47180</v>
      </c>
      <c r="I15443" t="s">
        <v>2071</v>
      </c>
      <c r="J15443" t="s">
        <v>30</v>
      </c>
      <c r="K15443" t="s">
        <v>3728</v>
      </c>
      <c r="M15443" t="s">
        <v>17861</v>
      </c>
      <c r="N15443" t="str">
        <f>"6/24/2021 2:01:00 PM"</f>
        <v>6/24/2021 2:01:00 PM</v>
      </c>
      <c r="O15443" t="s">
        <v>47179</v>
      </c>
    </row>
    <row r="15444" spans="1:20" x14ac:dyDescent="0.25">
      <c r="A15444" t="str">
        <f>"3061307"</f>
        <v>3061307</v>
      </c>
      <c r="B15444" t="s">
        <v>47181</v>
      </c>
      <c r="C15444" t="str">
        <f>"8315907"</f>
        <v>8315907</v>
      </c>
      <c r="D15444" t="s">
        <v>47182</v>
      </c>
      <c r="F15444" t="s">
        <v>47183</v>
      </c>
      <c r="I15444" t="s">
        <v>2071</v>
      </c>
      <c r="J15444" t="s">
        <v>30</v>
      </c>
      <c r="K15444" t="str">
        <f>"27006"</f>
        <v>27006</v>
      </c>
      <c r="M15444" t="s">
        <v>17861</v>
      </c>
      <c r="N15444" t="str">
        <f>"6/24/2021 3:10:00 PM"</f>
        <v>6/24/2021 3:10:00 PM</v>
      </c>
      <c r="O15444" t="s">
        <v>47182</v>
      </c>
    </row>
    <row r="15445" spans="1:20" x14ac:dyDescent="0.25">
      <c r="A15445" t="str">
        <f>"3041177"</f>
        <v>3041177</v>
      </c>
      <c r="B15445" t="s">
        <v>47184</v>
      </c>
      <c r="C15445" t="str">
        <f>"8315911"</f>
        <v>8315911</v>
      </c>
      <c r="D15445" t="s">
        <v>47185</v>
      </c>
      <c r="F15445" t="s">
        <v>47186</v>
      </c>
      <c r="I15445" t="s">
        <v>2071</v>
      </c>
      <c r="J15445" t="s">
        <v>30</v>
      </c>
      <c r="K15445" t="s">
        <v>40386</v>
      </c>
      <c r="M15445" t="s">
        <v>17861</v>
      </c>
      <c r="N15445" t="str">
        <f>"6/24/2021 4:08:00 PM"</f>
        <v>6/24/2021 4:08:00 PM</v>
      </c>
      <c r="O15445" t="s">
        <v>47185</v>
      </c>
    </row>
    <row r="15446" spans="1:20" x14ac:dyDescent="0.25">
      <c r="A15446" t="str">
        <f>"3046607"</f>
        <v>3046607</v>
      </c>
      <c r="B15446" t="s">
        <v>47187</v>
      </c>
      <c r="C15446" t="str">
        <f>"8315912"</f>
        <v>8315912</v>
      </c>
      <c r="D15446" t="s">
        <v>12290</v>
      </c>
      <c r="E15446" t="s">
        <v>19945</v>
      </c>
      <c r="F15446" t="s">
        <v>47188</v>
      </c>
      <c r="I15446" t="s">
        <v>29</v>
      </c>
      <c r="J15446" t="s">
        <v>30</v>
      </c>
      <c r="K15446" t="s">
        <v>19946</v>
      </c>
      <c r="M15446" t="s">
        <v>17861</v>
      </c>
      <c r="N15446" t="str">
        <f>"6/24/2021 4:10:00 PM"</f>
        <v>6/24/2021 4:10:00 PM</v>
      </c>
      <c r="O15446" t="s">
        <v>12290</v>
      </c>
      <c r="T15446" t="s">
        <v>19945</v>
      </c>
    </row>
    <row r="15447" spans="1:20" x14ac:dyDescent="0.25">
      <c r="A15447" t="str">
        <f>"3046557"</f>
        <v>3046557</v>
      </c>
      <c r="B15447" t="s">
        <v>47189</v>
      </c>
      <c r="C15447" t="str">
        <f>"80632000"</f>
        <v>80632000</v>
      </c>
      <c r="D15447" t="s">
        <v>47190</v>
      </c>
      <c r="F15447" t="s">
        <v>47191</v>
      </c>
      <c r="I15447" t="s">
        <v>29</v>
      </c>
      <c r="J15447" t="s">
        <v>30</v>
      </c>
      <c r="K15447" t="s">
        <v>13989</v>
      </c>
      <c r="M15447" t="s">
        <v>25733</v>
      </c>
      <c r="N15447" t="str">
        <f>"6/17/2021 1:16:00 PM"</f>
        <v>6/17/2021 1:16:00 PM</v>
      </c>
      <c r="O15447" t="s">
        <v>47190</v>
      </c>
    </row>
    <row r="15448" spans="1:20" x14ac:dyDescent="0.25">
      <c r="A15448" t="str">
        <f>"3042956"</f>
        <v>3042956</v>
      </c>
      <c r="B15448" t="s">
        <v>47192</v>
      </c>
      <c r="C15448" t="str">
        <f>"8315917"</f>
        <v>8315917</v>
      </c>
      <c r="D15448" t="str">
        <f>"VINCELETTE PHILLIP V/CHARLOTTE A"</f>
        <v>VINCELETTE PHILLIP V/CHARLOTTE A</v>
      </c>
      <c r="E15448" t="s">
        <v>36967</v>
      </c>
      <c r="F15448" t="s">
        <v>47193</v>
      </c>
      <c r="I15448" t="s">
        <v>29</v>
      </c>
      <c r="J15448" t="s">
        <v>30</v>
      </c>
      <c r="K15448" t="s">
        <v>4354</v>
      </c>
      <c r="M15448" t="s">
        <v>17861</v>
      </c>
      <c r="N15448" t="str">
        <f>"6/25/2021 1:51:00 PM"</f>
        <v>6/25/2021 1:51:00 PM</v>
      </c>
      <c r="O15448" t="str">
        <f>"VINCELETTE PHILLIP V/CHARLOTTE A"</f>
        <v>VINCELETTE PHILLIP V/CHARLOTTE A</v>
      </c>
      <c r="T15448" t="s">
        <v>36967</v>
      </c>
    </row>
    <row r="15449" spans="1:20" x14ac:dyDescent="0.25">
      <c r="A15449" t="str">
        <f>"3057462"</f>
        <v>3057462</v>
      </c>
      <c r="B15449" t="s">
        <v>47194</v>
      </c>
      <c r="C15449" t="str">
        <f>"77772000"</f>
        <v>77772000</v>
      </c>
      <c r="D15449" t="s">
        <v>47195</v>
      </c>
      <c r="F15449" t="str">
        <f>"C/O JAMES WHARTON"</f>
        <v>C/O JAMES WHARTON</v>
      </c>
      <c r="G15449" t="s">
        <v>47196</v>
      </c>
      <c r="I15449" t="s">
        <v>47197</v>
      </c>
      <c r="J15449" t="s">
        <v>30708</v>
      </c>
      <c r="K15449" t="s">
        <v>47198</v>
      </c>
      <c r="M15449" t="s">
        <v>33845</v>
      </c>
      <c r="N15449" t="str">
        <f>"6/28/2021 2:07:00 PM"</f>
        <v>6/28/2021 2:07:00 PM</v>
      </c>
      <c r="O15449" t="s">
        <v>47195</v>
      </c>
    </row>
    <row r="15450" spans="1:20" x14ac:dyDescent="0.25">
      <c r="A15450" t="str">
        <f>"3057455"</f>
        <v>3057455</v>
      </c>
      <c r="B15450" t="s">
        <v>47199</v>
      </c>
      <c r="C15450" t="str">
        <f>"77772000"</f>
        <v>77772000</v>
      </c>
      <c r="D15450" t="s">
        <v>47195</v>
      </c>
      <c r="F15450" t="str">
        <f>"C/O JAMES WHARTON"</f>
        <v>C/O JAMES WHARTON</v>
      </c>
      <c r="G15450" t="s">
        <v>47196</v>
      </c>
      <c r="I15450" t="s">
        <v>47197</v>
      </c>
      <c r="J15450" t="s">
        <v>30708</v>
      </c>
      <c r="K15450" t="s">
        <v>47198</v>
      </c>
      <c r="M15450" t="s">
        <v>33845</v>
      </c>
      <c r="N15450" t="str">
        <f>"6/28/2021 2:07:00 PM"</f>
        <v>6/28/2021 2:07:00 PM</v>
      </c>
      <c r="O15450" t="s">
        <v>47195</v>
      </c>
    </row>
    <row r="15451" spans="1:20" x14ac:dyDescent="0.25">
      <c r="A15451" t="str">
        <f>"3057498"</f>
        <v>3057498</v>
      </c>
      <c r="B15451" t="s">
        <v>47200</v>
      </c>
      <c r="C15451" t="str">
        <f>"77772000"</f>
        <v>77772000</v>
      </c>
      <c r="D15451" t="s">
        <v>47195</v>
      </c>
      <c r="F15451" t="str">
        <f>"C/O JAMES WHARTON"</f>
        <v>C/O JAMES WHARTON</v>
      </c>
      <c r="G15451" t="s">
        <v>47196</v>
      </c>
      <c r="I15451" t="s">
        <v>47197</v>
      </c>
      <c r="J15451" t="s">
        <v>30708</v>
      </c>
      <c r="K15451" t="s">
        <v>47198</v>
      </c>
      <c r="M15451" t="s">
        <v>33845</v>
      </c>
      <c r="N15451" t="str">
        <f>"6/28/2021 2:07:00 PM"</f>
        <v>6/28/2021 2:07:00 PM</v>
      </c>
      <c r="O15451" t="s">
        <v>47195</v>
      </c>
    </row>
    <row r="15452" spans="1:20" x14ac:dyDescent="0.25">
      <c r="A15452" t="str">
        <f>"3057476"</f>
        <v>3057476</v>
      </c>
      <c r="B15452" t="s">
        <v>47201</v>
      </c>
      <c r="C15452" t="str">
        <f>"77772000"</f>
        <v>77772000</v>
      </c>
      <c r="D15452" t="s">
        <v>47195</v>
      </c>
      <c r="F15452" t="str">
        <f>"C/O JAMES WHARTON"</f>
        <v>C/O JAMES WHARTON</v>
      </c>
      <c r="G15452" t="s">
        <v>47196</v>
      </c>
      <c r="I15452" t="s">
        <v>47197</v>
      </c>
      <c r="J15452" t="s">
        <v>30708</v>
      </c>
      <c r="K15452" t="s">
        <v>47198</v>
      </c>
      <c r="M15452" t="s">
        <v>33845</v>
      </c>
      <c r="N15452" t="str">
        <f>"6/28/2021 2:07:00 PM"</f>
        <v>6/28/2021 2:07:00 PM</v>
      </c>
      <c r="O15452" t="s">
        <v>47195</v>
      </c>
    </row>
    <row r="15453" spans="1:20" x14ac:dyDescent="0.25">
      <c r="A15453" t="str">
        <f>"3046995"</f>
        <v>3046995</v>
      </c>
      <c r="B15453" t="s">
        <v>47202</v>
      </c>
      <c r="C15453" t="str">
        <f>"80632000"</f>
        <v>80632000</v>
      </c>
      <c r="D15453" t="s">
        <v>47190</v>
      </c>
      <c r="F15453" t="s">
        <v>47191</v>
      </c>
      <c r="I15453" t="s">
        <v>29</v>
      </c>
      <c r="J15453" t="s">
        <v>30</v>
      </c>
      <c r="K15453" t="s">
        <v>13989</v>
      </c>
      <c r="M15453" t="s">
        <v>25733</v>
      </c>
      <c r="N15453" t="str">
        <f>"6/17/2021 1:16:00 PM"</f>
        <v>6/17/2021 1:16:00 PM</v>
      </c>
      <c r="O15453" t="s">
        <v>47190</v>
      </c>
    </row>
    <row r="15454" spans="1:20" x14ac:dyDescent="0.25">
      <c r="A15454" t="str">
        <f>"3047299"</f>
        <v>3047299</v>
      </c>
      <c r="B15454" t="s">
        <v>47203</v>
      </c>
      <c r="C15454" t="str">
        <f>"80798000"</f>
        <v>80798000</v>
      </c>
      <c r="D15454" t="s">
        <v>47204</v>
      </c>
      <c r="F15454" t="s">
        <v>47205</v>
      </c>
      <c r="I15454" t="s">
        <v>184</v>
      </c>
      <c r="J15454" t="s">
        <v>30</v>
      </c>
      <c r="K15454" t="s">
        <v>185</v>
      </c>
      <c r="M15454" t="s">
        <v>25733</v>
      </c>
      <c r="N15454" t="str">
        <f>"6/17/2021 1:39:00 PM"</f>
        <v>6/17/2021 1:39:00 PM</v>
      </c>
      <c r="O15454" t="s">
        <v>47204</v>
      </c>
    </row>
    <row r="15455" spans="1:20" x14ac:dyDescent="0.25">
      <c r="A15455" t="str">
        <f>"3046311"</f>
        <v>3046311</v>
      </c>
      <c r="B15455" t="s">
        <v>47206</v>
      </c>
      <c r="C15455" t="str">
        <f>"8313925"</f>
        <v>8313925</v>
      </c>
      <c r="D15455" t="s">
        <v>47207</v>
      </c>
      <c r="F15455" t="s">
        <v>47208</v>
      </c>
      <c r="I15455" t="s">
        <v>29</v>
      </c>
      <c r="J15455" t="s">
        <v>30</v>
      </c>
      <c r="K15455" t="s">
        <v>47209</v>
      </c>
      <c r="M15455" t="s">
        <v>25733</v>
      </c>
      <c r="N15455" t="str">
        <f>"6/17/2021 2:15:00 PM"</f>
        <v>6/17/2021 2:15:00 PM</v>
      </c>
      <c r="O15455" t="s">
        <v>47207</v>
      </c>
    </row>
    <row r="15456" spans="1:20" x14ac:dyDescent="0.25">
      <c r="A15456" t="str">
        <f>"3053776"</f>
        <v>3053776</v>
      </c>
      <c r="B15456" t="s">
        <v>47210</v>
      </c>
      <c r="C15456" t="str">
        <f>"8315923"</f>
        <v>8315923</v>
      </c>
      <c r="D15456" t="s">
        <v>47211</v>
      </c>
      <c r="E15456" t="s">
        <v>47212</v>
      </c>
      <c r="F15456" t="s">
        <v>47213</v>
      </c>
      <c r="I15456" t="s">
        <v>29</v>
      </c>
      <c r="J15456" t="s">
        <v>30</v>
      </c>
      <c r="K15456" t="s">
        <v>47214</v>
      </c>
      <c r="M15456" t="s">
        <v>17861</v>
      </c>
      <c r="N15456" t="str">
        <f>"7/1/2021 11:24:00 AM"</f>
        <v>7/1/2021 11:24:00 AM</v>
      </c>
      <c r="O15456" t="s">
        <v>47211</v>
      </c>
      <c r="T15456" t="s">
        <v>47212</v>
      </c>
    </row>
    <row r="15457" spans="1:20" x14ac:dyDescent="0.25">
      <c r="A15457" t="str">
        <f>"3060018"</f>
        <v>3060018</v>
      </c>
      <c r="B15457" t="s">
        <v>47215</v>
      </c>
      <c r="C15457" t="str">
        <f>"8315924"</f>
        <v>8315924</v>
      </c>
      <c r="D15457" t="s">
        <v>47216</v>
      </c>
      <c r="F15457" t="s">
        <v>47217</v>
      </c>
      <c r="I15457" t="s">
        <v>184</v>
      </c>
      <c r="J15457" t="s">
        <v>30</v>
      </c>
      <c r="K15457" t="s">
        <v>33001</v>
      </c>
      <c r="M15457" t="s">
        <v>17861</v>
      </c>
      <c r="N15457" t="str">
        <f>"7/1/2021 12:49:00 PM"</f>
        <v>7/1/2021 12:49:00 PM</v>
      </c>
      <c r="O15457" t="s">
        <v>47216</v>
      </c>
    </row>
    <row r="15458" spans="1:20" x14ac:dyDescent="0.25">
      <c r="A15458" t="str">
        <f>"3049000"</f>
        <v>3049000</v>
      </c>
      <c r="B15458" t="s">
        <v>47218</v>
      </c>
      <c r="C15458" t="str">
        <f>"8308104"</f>
        <v>8308104</v>
      </c>
      <c r="D15458" t="s">
        <v>47219</v>
      </c>
      <c r="F15458" t="s">
        <v>47220</v>
      </c>
      <c r="I15458" t="s">
        <v>2589</v>
      </c>
      <c r="J15458" t="s">
        <v>30</v>
      </c>
      <c r="K15458" t="s">
        <v>47221</v>
      </c>
      <c r="M15458" t="s">
        <v>17861</v>
      </c>
      <c r="N15458" t="str">
        <f>"6/18/2021 12:59:00 PM"</f>
        <v>6/18/2021 12:59:00 PM</v>
      </c>
      <c r="O15458" t="s">
        <v>47219</v>
      </c>
    </row>
    <row r="15459" spans="1:20" x14ac:dyDescent="0.25">
      <c r="A15459" t="str">
        <f>"3044392"</f>
        <v>3044392</v>
      </c>
      <c r="B15459" t="s">
        <v>47222</v>
      </c>
      <c r="C15459" t="str">
        <f>"8315841"</f>
        <v>8315841</v>
      </c>
      <c r="D15459" t="s">
        <v>47223</v>
      </c>
      <c r="E15459" t="s">
        <v>47224</v>
      </c>
      <c r="F15459" t="s">
        <v>47225</v>
      </c>
      <c r="I15459" t="s">
        <v>184</v>
      </c>
      <c r="J15459" t="s">
        <v>30</v>
      </c>
      <c r="K15459" t="s">
        <v>5010</v>
      </c>
      <c r="M15459" t="s">
        <v>17861</v>
      </c>
      <c r="N15459" t="str">
        <f>"6/22/2021 12:46:00 PM"</f>
        <v>6/22/2021 12:46:00 PM</v>
      </c>
      <c r="O15459" t="s">
        <v>47223</v>
      </c>
      <c r="T15459" t="s">
        <v>47224</v>
      </c>
    </row>
    <row r="15460" spans="1:20" x14ac:dyDescent="0.25">
      <c r="A15460" t="str">
        <f>"3078936"</f>
        <v>3078936</v>
      </c>
      <c r="B15460" t="s">
        <v>47226</v>
      </c>
      <c r="C15460" t="str">
        <f>"8315927"</f>
        <v>8315927</v>
      </c>
      <c r="D15460" t="s">
        <v>47227</v>
      </c>
      <c r="E15460" t="s">
        <v>47228</v>
      </c>
      <c r="F15460" t="s">
        <v>47229</v>
      </c>
      <c r="I15460" t="s">
        <v>471</v>
      </c>
      <c r="J15460" t="s">
        <v>30</v>
      </c>
      <c r="K15460" t="s">
        <v>47230</v>
      </c>
      <c r="M15460" t="s">
        <v>17861</v>
      </c>
      <c r="N15460" t="str">
        <f>"7/1/2021 1:04:00 PM"</f>
        <v>7/1/2021 1:04:00 PM</v>
      </c>
      <c r="O15460" t="s">
        <v>47227</v>
      </c>
      <c r="T15460" t="s">
        <v>47228</v>
      </c>
    </row>
    <row r="15461" spans="1:20" x14ac:dyDescent="0.25">
      <c r="A15461" t="str">
        <f>"3078474"</f>
        <v>3078474</v>
      </c>
      <c r="B15461" t="s">
        <v>47231</v>
      </c>
      <c r="C15461" t="str">
        <f>"8315927"</f>
        <v>8315927</v>
      </c>
      <c r="D15461" t="s">
        <v>47227</v>
      </c>
      <c r="E15461" t="s">
        <v>47228</v>
      </c>
      <c r="F15461" t="s">
        <v>47229</v>
      </c>
      <c r="I15461" t="s">
        <v>471</v>
      </c>
      <c r="J15461" t="s">
        <v>30</v>
      </c>
      <c r="K15461" t="s">
        <v>47230</v>
      </c>
      <c r="M15461" t="s">
        <v>17861</v>
      </c>
      <c r="N15461" t="str">
        <f>"7/1/2021 1:04:00 PM"</f>
        <v>7/1/2021 1:04:00 PM</v>
      </c>
      <c r="O15461" t="s">
        <v>47227</v>
      </c>
      <c r="T15461" t="s">
        <v>47228</v>
      </c>
    </row>
    <row r="15462" spans="1:20" x14ac:dyDescent="0.25">
      <c r="A15462" t="str">
        <f>"3037693"</f>
        <v>3037693</v>
      </c>
      <c r="B15462" t="s">
        <v>47232</v>
      </c>
      <c r="C15462" t="str">
        <f>"8315929"</f>
        <v>8315929</v>
      </c>
      <c r="D15462" t="s">
        <v>47233</v>
      </c>
      <c r="E15462" t="s">
        <v>47234</v>
      </c>
      <c r="F15462" t="s">
        <v>47235</v>
      </c>
      <c r="I15462" t="s">
        <v>29</v>
      </c>
      <c r="J15462" t="s">
        <v>30</v>
      </c>
      <c r="K15462" t="s">
        <v>47236</v>
      </c>
      <c r="M15462" t="s">
        <v>17861</v>
      </c>
      <c r="N15462" t="str">
        <f>"7/1/2021 1:11:00 PM"</f>
        <v>7/1/2021 1:11:00 PM</v>
      </c>
      <c r="O15462" t="s">
        <v>47233</v>
      </c>
      <c r="T15462" t="s">
        <v>47234</v>
      </c>
    </row>
    <row r="15463" spans="1:20" x14ac:dyDescent="0.25">
      <c r="A15463" t="str">
        <f>"3037616"</f>
        <v>3037616</v>
      </c>
      <c r="B15463" t="s">
        <v>47237</v>
      </c>
      <c r="C15463" t="str">
        <f>"8315929"</f>
        <v>8315929</v>
      </c>
      <c r="D15463" t="s">
        <v>47233</v>
      </c>
      <c r="E15463" t="s">
        <v>47234</v>
      </c>
      <c r="F15463" t="s">
        <v>47235</v>
      </c>
      <c r="I15463" t="s">
        <v>29</v>
      </c>
      <c r="J15463" t="s">
        <v>30</v>
      </c>
      <c r="K15463" t="s">
        <v>47236</v>
      </c>
      <c r="M15463" t="s">
        <v>17861</v>
      </c>
      <c r="N15463" t="str">
        <f>"7/1/2021 1:11:00 PM"</f>
        <v>7/1/2021 1:11:00 PM</v>
      </c>
      <c r="O15463" t="s">
        <v>47233</v>
      </c>
      <c r="T15463" t="s">
        <v>47234</v>
      </c>
    </row>
    <row r="15464" spans="1:20" x14ac:dyDescent="0.25">
      <c r="A15464" t="str">
        <f>"3059305"</f>
        <v>3059305</v>
      </c>
      <c r="B15464" t="s">
        <v>47238</v>
      </c>
      <c r="C15464" t="str">
        <f>"8315930"</f>
        <v>8315930</v>
      </c>
      <c r="D15464" t="s">
        <v>47239</v>
      </c>
      <c r="E15464" t="s">
        <v>47240</v>
      </c>
      <c r="F15464" t="s">
        <v>47241</v>
      </c>
      <c r="I15464" t="s">
        <v>29</v>
      </c>
      <c r="J15464" t="s">
        <v>30</v>
      </c>
      <c r="K15464" t="s">
        <v>46783</v>
      </c>
      <c r="M15464" t="s">
        <v>17861</v>
      </c>
      <c r="N15464" t="str">
        <f>"7/1/2021 1:23:00 PM"</f>
        <v>7/1/2021 1:23:00 PM</v>
      </c>
      <c r="O15464" t="s">
        <v>47239</v>
      </c>
      <c r="T15464" t="s">
        <v>47240</v>
      </c>
    </row>
    <row r="15465" spans="1:20" x14ac:dyDescent="0.25">
      <c r="A15465" t="str">
        <f>"3051133"</f>
        <v>3051133</v>
      </c>
      <c r="B15465" t="s">
        <v>47242</v>
      </c>
      <c r="C15465" t="str">
        <f>"8315931"</f>
        <v>8315931</v>
      </c>
      <c r="D15465" t="s">
        <v>47243</v>
      </c>
      <c r="E15465" t="s">
        <v>47244</v>
      </c>
      <c r="F15465" t="s">
        <v>34551</v>
      </c>
      <c r="I15465" t="s">
        <v>29</v>
      </c>
      <c r="J15465" t="s">
        <v>30</v>
      </c>
      <c r="K15465" t="s">
        <v>29195</v>
      </c>
      <c r="M15465" t="s">
        <v>17861</v>
      </c>
      <c r="N15465" t="str">
        <f>"7/1/2021 1:25:00 PM"</f>
        <v>7/1/2021 1:25:00 PM</v>
      </c>
      <c r="O15465" t="s">
        <v>47243</v>
      </c>
      <c r="T15465" t="s">
        <v>47244</v>
      </c>
    </row>
    <row r="15466" spans="1:20" x14ac:dyDescent="0.25">
      <c r="A15466" t="str">
        <f>"3041364"</f>
        <v>3041364</v>
      </c>
      <c r="B15466" t="s">
        <v>47245</v>
      </c>
      <c r="C15466" t="str">
        <f>"8315933"</f>
        <v>8315933</v>
      </c>
      <c r="D15466" t="s">
        <v>47246</v>
      </c>
      <c r="E15466" t="s">
        <v>47247</v>
      </c>
      <c r="F15466" t="s">
        <v>47248</v>
      </c>
      <c r="I15466" t="s">
        <v>184</v>
      </c>
      <c r="J15466" t="s">
        <v>30</v>
      </c>
      <c r="K15466" t="s">
        <v>36396</v>
      </c>
      <c r="M15466" t="s">
        <v>17861</v>
      </c>
      <c r="N15466" t="str">
        <f>"7/1/2021 1:32:00 PM"</f>
        <v>7/1/2021 1:32:00 PM</v>
      </c>
      <c r="O15466" t="s">
        <v>47246</v>
      </c>
      <c r="T15466" t="s">
        <v>47247</v>
      </c>
    </row>
    <row r="15467" spans="1:20" x14ac:dyDescent="0.25">
      <c r="A15467" t="str">
        <f>"3054977"</f>
        <v>3054977</v>
      </c>
      <c r="B15467" t="s">
        <v>47249</v>
      </c>
      <c r="C15467" t="str">
        <f>"8315843"</f>
        <v>8315843</v>
      </c>
      <c r="D15467" t="s">
        <v>47250</v>
      </c>
      <c r="F15467" t="s">
        <v>47251</v>
      </c>
      <c r="I15467" t="s">
        <v>471</v>
      </c>
      <c r="J15467" t="s">
        <v>30</v>
      </c>
      <c r="K15467" t="s">
        <v>47252</v>
      </c>
      <c r="M15467" t="s">
        <v>17861</v>
      </c>
      <c r="N15467" t="str">
        <f>"6/22/2021 2:48:00 PM"</f>
        <v>6/22/2021 2:48:00 PM</v>
      </c>
      <c r="O15467" t="s">
        <v>47250</v>
      </c>
    </row>
    <row r="15468" spans="1:20" x14ac:dyDescent="0.25">
      <c r="A15468" t="str">
        <f>"3048854"</f>
        <v>3048854</v>
      </c>
      <c r="B15468" t="s">
        <v>47253</v>
      </c>
      <c r="C15468" t="str">
        <f>"8315845"</f>
        <v>8315845</v>
      </c>
      <c r="D15468" t="s">
        <v>47254</v>
      </c>
      <c r="E15468" t="s">
        <v>47255</v>
      </c>
      <c r="F15468" t="s">
        <v>47256</v>
      </c>
      <c r="I15468" t="s">
        <v>29</v>
      </c>
      <c r="J15468" t="s">
        <v>30</v>
      </c>
      <c r="K15468" t="s">
        <v>47257</v>
      </c>
      <c r="M15468" t="s">
        <v>17861</v>
      </c>
      <c r="N15468" t="str">
        <f>"6/22/2021 3:50:00 PM"</f>
        <v>6/22/2021 3:50:00 PM</v>
      </c>
      <c r="O15468" t="s">
        <v>47254</v>
      </c>
      <c r="T15468" t="s">
        <v>47255</v>
      </c>
    </row>
    <row r="15469" spans="1:20" x14ac:dyDescent="0.25">
      <c r="A15469" t="str">
        <f>"3043333"</f>
        <v>3043333</v>
      </c>
      <c r="B15469" t="s">
        <v>47258</v>
      </c>
      <c r="C15469" t="str">
        <f>"8315846"</f>
        <v>8315846</v>
      </c>
      <c r="D15469" t="s">
        <v>47259</v>
      </c>
      <c r="E15469" t="s">
        <v>47260</v>
      </c>
      <c r="F15469" t="s">
        <v>47261</v>
      </c>
      <c r="I15469" t="s">
        <v>29</v>
      </c>
      <c r="J15469" t="s">
        <v>30</v>
      </c>
      <c r="K15469" t="s">
        <v>47262</v>
      </c>
      <c r="M15469" t="s">
        <v>17861</v>
      </c>
      <c r="N15469" t="str">
        <f>"6/22/2021 4:20:00 PM"</f>
        <v>6/22/2021 4:20:00 PM</v>
      </c>
      <c r="O15469" t="s">
        <v>47259</v>
      </c>
      <c r="T15469" t="s">
        <v>47260</v>
      </c>
    </row>
    <row r="15470" spans="1:20" x14ac:dyDescent="0.25">
      <c r="A15470" t="str">
        <f>"3051862"</f>
        <v>3051862</v>
      </c>
      <c r="B15470" t="s">
        <v>47263</v>
      </c>
      <c r="C15470" t="str">
        <f>"8315862"</f>
        <v>8315862</v>
      </c>
      <c r="D15470" t="s">
        <v>47264</v>
      </c>
      <c r="F15470" t="s">
        <v>47265</v>
      </c>
      <c r="I15470" t="s">
        <v>29</v>
      </c>
      <c r="J15470" t="s">
        <v>30</v>
      </c>
      <c r="K15470" t="s">
        <v>47266</v>
      </c>
      <c r="M15470" t="s">
        <v>17861</v>
      </c>
      <c r="N15470" t="str">
        <f>"6/23/2021 3:04:00 PM"</f>
        <v>6/23/2021 3:04:00 PM</v>
      </c>
      <c r="O15470" t="s">
        <v>47264</v>
      </c>
    </row>
    <row r="15471" spans="1:20" x14ac:dyDescent="0.25">
      <c r="A15471" t="str">
        <f>"3052325"</f>
        <v>3052325</v>
      </c>
      <c r="B15471" t="s">
        <v>47267</v>
      </c>
      <c r="C15471" t="str">
        <f>"8315864"</f>
        <v>8315864</v>
      </c>
      <c r="D15471" t="s">
        <v>47268</v>
      </c>
      <c r="F15471" t="s">
        <v>47269</v>
      </c>
      <c r="I15471" t="s">
        <v>2280</v>
      </c>
      <c r="J15471" t="s">
        <v>30</v>
      </c>
      <c r="K15471" t="s">
        <v>47270</v>
      </c>
      <c r="M15471" t="s">
        <v>17861</v>
      </c>
      <c r="N15471" t="str">
        <f>"6/23/2021 3:14:00 PM"</f>
        <v>6/23/2021 3:14:00 PM</v>
      </c>
      <c r="O15471" t="s">
        <v>47268</v>
      </c>
    </row>
    <row r="15472" spans="1:20" x14ac:dyDescent="0.25">
      <c r="A15472" t="str">
        <f>"3052932"</f>
        <v>3052932</v>
      </c>
      <c r="B15472" t="s">
        <v>47271</v>
      </c>
      <c r="C15472" t="str">
        <f>"8315864"</f>
        <v>8315864</v>
      </c>
      <c r="D15472" t="s">
        <v>47268</v>
      </c>
      <c r="F15472" t="s">
        <v>47269</v>
      </c>
      <c r="I15472" t="s">
        <v>2280</v>
      </c>
      <c r="J15472" t="s">
        <v>30</v>
      </c>
      <c r="K15472" t="s">
        <v>47270</v>
      </c>
      <c r="M15472" t="s">
        <v>17861</v>
      </c>
      <c r="N15472" t="str">
        <f>"6/23/2021 3:14:00 PM"</f>
        <v>6/23/2021 3:14:00 PM</v>
      </c>
      <c r="O15472" t="s">
        <v>47268</v>
      </c>
    </row>
    <row r="15473" spans="1:20" x14ac:dyDescent="0.25">
      <c r="A15473" t="str">
        <f>"3045790"</f>
        <v>3045790</v>
      </c>
      <c r="B15473" t="s">
        <v>47272</v>
      </c>
      <c r="C15473" t="str">
        <f>"8315866"</f>
        <v>8315866</v>
      </c>
      <c r="D15473" t="s">
        <v>47096</v>
      </c>
      <c r="F15473" t="s">
        <v>47097</v>
      </c>
      <c r="I15473" t="s">
        <v>29</v>
      </c>
      <c r="J15473" t="s">
        <v>30</v>
      </c>
      <c r="K15473" t="s">
        <v>47098</v>
      </c>
      <c r="M15473" t="s">
        <v>17861</v>
      </c>
      <c r="N15473" t="str">
        <f>"6/23/2021 3:55:00 PM"</f>
        <v>6/23/2021 3:55:00 PM</v>
      </c>
      <c r="O15473" t="s">
        <v>47096</v>
      </c>
    </row>
    <row r="15474" spans="1:20" x14ac:dyDescent="0.25">
      <c r="A15474" t="str">
        <f>"3046326"</f>
        <v>3046326</v>
      </c>
      <c r="B15474" t="s">
        <v>47273</v>
      </c>
      <c r="C15474" t="str">
        <f>"8315866"</f>
        <v>8315866</v>
      </c>
      <c r="D15474" t="s">
        <v>47096</v>
      </c>
      <c r="F15474" t="s">
        <v>47097</v>
      </c>
      <c r="I15474" t="s">
        <v>29</v>
      </c>
      <c r="J15474" t="s">
        <v>30</v>
      </c>
      <c r="K15474" t="s">
        <v>47098</v>
      </c>
      <c r="M15474" t="s">
        <v>17861</v>
      </c>
      <c r="N15474" t="str">
        <f>"6/23/2021 3:55:00 PM"</f>
        <v>6/23/2021 3:55:00 PM</v>
      </c>
      <c r="O15474" t="s">
        <v>47096</v>
      </c>
    </row>
    <row r="15475" spans="1:20" x14ac:dyDescent="0.25">
      <c r="A15475" t="str">
        <f>"3046210"</f>
        <v>3046210</v>
      </c>
      <c r="B15475" t="s">
        <v>47274</v>
      </c>
      <c r="C15475" t="str">
        <f>"8315866"</f>
        <v>8315866</v>
      </c>
      <c r="D15475" t="s">
        <v>47096</v>
      </c>
      <c r="F15475" t="s">
        <v>47097</v>
      </c>
      <c r="I15475" t="s">
        <v>29</v>
      </c>
      <c r="J15475" t="s">
        <v>30</v>
      </c>
      <c r="K15475" t="s">
        <v>47098</v>
      </c>
      <c r="M15475" t="s">
        <v>17861</v>
      </c>
      <c r="N15475" t="str">
        <f>"6/23/2021 3:55:00 PM"</f>
        <v>6/23/2021 3:55:00 PM</v>
      </c>
      <c r="O15475" t="s">
        <v>47096</v>
      </c>
    </row>
    <row r="15476" spans="1:20" x14ac:dyDescent="0.25">
      <c r="A15476" t="str">
        <f>"3053410"</f>
        <v>3053410</v>
      </c>
      <c r="B15476" t="s">
        <v>47275</v>
      </c>
      <c r="C15476" t="str">
        <f>"8315797"</f>
        <v>8315797</v>
      </c>
      <c r="D15476" t="s">
        <v>47276</v>
      </c>
      <c r="F15476" t="s">
        <v>47277</v>
      </c>
      <c r="I15476" t="s">
        <v>29</v>
      </c>
      <c r="J15476" t="s">
        <v>30</v>
      </c>
      <c r="K15476" t="s">
        <v>13624</v>
      </c>
      <c r="M15476" t="s">
        <v>17861</v>
      </c>
      <c r="N15476" t="str">
        <f>"6/11/2021 1:47:00 PM"</f>
        <v>6/11/2021 1:47:00 PM</v>
      </c>
      <c r="O15476" t="s">
        <v>47276</v>
      </c>
    </row>
    <row r="15477" spans="1:20" x14ac:dyDescent="0.25">
      <c r="A15477" t="str">
        <f>"3059614"</f>
        <v>3059614</v>
      </c>
      <c r="B15477" t="s">
        <v>47278</v>
      </c>
      <c r="C15477" t="str">
        <f>"8315887"</f>
        <v>8315887</v>
      </c>
      <c r="D15477" t="s">
        <v>47279</v>
      </c>
      <c r="E15477" t="s">
        <v>47280</v>
      </c>
      <c r="F15477" t="s">
        <v>47281</v>
      </c>
      <c r="I15477" t="s">
        <v>29</v>
      </c>
      <c r="J15477" t="s">
        <v>30</v>
      </c>
      <c r="K15477" t="s">
        <v>13608</v>
      </c>
      <c r="M15477" t="s">
        <v>17861</v>
      </c>
      <c r="N15477" t="str">
        <f>"6/24/2021 12:53:00 PM"</f>
        <v>6/24/2021 12:53:00 PM</v>
      </c>
      <c r="O15477" t="s">
        <v>47279</v>
      </c>
      <c r="T15477" t="s">
        <v>47280</v>
      </c>
    </row>
    <row r="15478" spans="1:20" x14ac:dyDescent="0.25">
      <c r="A15478" t="str">
        <f>"3054567"</f>
        <v>3054567</v>
      </c>
      <c r="B15478" t="s">
        <v>47282</v>
      </c>
      <c r="C15478" t="str">
        <f>"8315894"</f>
        <v>8315894</v>
      </c>
      <c r="D15478" t="s">
        <v>47283</v>
      </c>
      <c r="E15478" t="s">
        <v>47284</v>
      </c>
      <c r="F15478" t="s">
        <v>47285</v>
      </c>
      <c r="I15478" t="s">
        <v>29</v>
      </c>
      <c r="J15478" t="s">
        <v>30</v>
      </c>
      <c r="K15478" t="s">
        <v>42839</v>
      </c>
      <c r="M15478" t="s">
        <v>17861</v>
      </c>
      <c r="N15478" t="str">
        <f>"6/24/2021 1:27:00 PM"</f>
        <v>6/24/2021 1:27:00 PM</v>
      </c>
      <c r="O15478" t="s">
        <v>47283</v>
      </c>
      <c r="T15478" t="s">
        <v>47284</v>
      </c>
    </row>
    <row r="15479" spans="1:20" x14ac:dyDescent="0.25">
      <c r="A15479" t="str">
        <f>"3057746"</f>
        <v>3057746</v>
      </c>
      <c r="B15479" t="s">
        <v>47286</v>
      </c>
      <c r="C15479" t="str">
        <f>"8315895"</f>
        <v>8315895</v>
      </c>
      <c r="D15479" t="s">
        <v>47287</v>
      </c>
      <c r="F15479" t="s">
        <v>47288</v>
      </c>
      <c r="I15479" t="s">
        <v>29</v>
      </c>
      <c r="J15479" t="s">
        <v>30</v>
      </c>
      <c r="K15479" t="s">
        <v>38025</v>
      </c>
      <c r="M15479" t="s">
        <v>17861</v>
      </c>
      <c r="N15479" t="str">
        <f>"6/24/2021 1:28:00 PM"</f>
        <v>6/24/2021 1:28:00 PM</v>
      </c>
      <c r="O15479" t="s">
        <v>47287</v>
      </c>
    </row>
    <row r="15480" spans="1:20" x14ac:dyDescent="0.25">
      <c r="A15480" t="str">
        <f>"3063959"</f>
        <v>3063959</v>
      </c>
      <c r="B15480" t="s">
        <v>47289</v>
      </c>
      <c r="C15480" t="str">
        <f>"8315896"</f>
        <v>8315896</v>
      </c>
      <c r="D15480" t="s">
        <v>47290</v>
      </c>
      <c r="F15480" t="s">
        <v>47291</v>
      </c>
      <c r="I15480" t="s">
        <v>184</v>
      </c>
      <c r="J15480" t="s">
        <v>30</v>
      </c>
      <c r="K15480" t="s">
        <v>32963</v>
      </c>
      <c r="M15480" t="s">
        <v>17861</v>
      </c>
      <c r="N15480" t="str">
        <f>"6/24/2021 1:33:00 PM"</f>
        <v>6/24/2021 1:33:00 PM</v>
      </c>
      <c r="O15480" t="s">
        <v>47290</v>
      </c>
    </row>
    <row r="15481" spans="1:20" x14ac:dyDescent="0.25">
      <c r="A15481" t="str">
        <f>"3040036"</f>
        <v>3040036</v>
      </c>
      <c r="B15481" t="s">
        <v>47292</v>
      </c>
      <c r="C15481" t="str">
        <f>"8315914"</f>
        <v>8315914</v>
      </c>
      <c r="D15481" t="s">
        <v>47293</v>
      </c>
      <c r="F15481" t="s">
        <v>47294</v>
      </c>
      <c r="I15481" t="s">
        <v>29</v>
      </c>
      <c r="J15481" t="s">
        <v>30</v>
      </c>
      <c r="K15481" t="s">
        <v>38954</v>
      </c>
      <c r="M15481" t="s">
        <v>17861</v>
      </c>
      <c r="N15481" t="str">
        <f>"6/24/2021 4:17:00 PM"</f>
        <v>6/24/2021 4:17:00 PM</v>
      </c>
      <c r="O15481" t="s">
        <v>47293</v>
      </c>
    </row>
    <row r="15482" spans="1:20" x14ac:dyDescent="0.25">
      <c r="A15482" t="str">
        <f>"3060583"</f>
        <v>3060583</v>
      </c>
      <c r="B15482" t="s">
        <v>47295</v>
      </c>
      <c r="C15482" t="str">
        <f>"20866750"</f>
        <v>20866750</v>
      </c>
      <c r="D15482" t="s">
        <v>47296</v>
      </c>
      <c r="F15482" t="s">
        <v>47297</v>
      </c>
      <c r="I15482" t="s">
        <v>471</v>
      </c>
      <c r="J15482" t="s">
        <v>30</v>
      </c>
      <c r="K15482" t="s">
        <v>47298</v>
      </c>
      <c r="M15482" t="s">
        <v>18479</v>
      </c>
      <c r="N15482" t="str">
        <f>"6/30/2021 9:08:00 AM"</f>
        <v>6/30/2021 9:08:00 AM</v>
      </c>
      <c r="O15482" t="s">
        <v>47296</v>
      </c>
    </row>
    <row r="15483" spans="1:20" x14ac:dyDescent="0.25">
      <c r="A15483" t="str">
        <f>"3061717"</f>
        <v>3061717</v>
      </c>
      <c r="B15483" t="s">
        <v>47299</v>
      </c>
      <c r="C15483" t="str">
        <f>"8315921"</f>
        <v>8315921</v>
      </c>
      <c r="D15483" t="s">
        <v>47300</v>
      </c>
      <c r="F15483" t="s">
        <v>47301</v>
      </c>
      <c r="I15483" t="s">
        <v>2071</v>
      </c>
      <c r="J15483" t="s">
        <v>30</v>
      </c>
      <c r="K15483" t="s">
        <v>30968</v>
      </c>
      <c r="M15483" t="s">
        <v>17861</v>
      </c>
      <c r="N15483" t="str">
        <f>"7/1/2021 11:18:00 AM"</f>
        <v>7/1/2021 11:18:00 AM</v>
      </c>
      <c r="O15483" t="s">
        <v>47300</v>
      </c>
    </row>
    <row r="15484" spans="1:20" x14ac:dyDescent="0.25">
      <c r="A15484" t="str">
        <f>"3060500"</f>
        <v>3060500</v>
      </c>
      <c r="B15484" t="s">
        <v>47302</v>
      </c>
      <c r="C15484" t="str">
        <f>"8315922"</f>
        <v>8315922</v>
      </c>
      <c r="D15484" t="s">
        <v>47303</v>
      </c>
      <c r="E15484" t="s">
        <v>47304</v>
      </c>
      <c r="F15484" t="s">
        <v>47305</v>
      </c>
      <c r="I15484" t="s">
        <v>184</v>
      </c>
      <c r="J15484" t="s">
        <v>30</v>
      </c>
      <c r="K15484" t="s">
        <v>33287</v>
      </c>
      <c r="M15484" t="s">
        <v>17861</v>
      </c>
      <c r="N15484" t="str">
        <f>"7/1/2021 11:20:00 AM"</f>
        <v>7/1/2021 11:20:00 AM</v>
      </c>
      <c r="O15484" t="s">
        <v>47303</v>
      </c>
      <c r="T15484" t="s">
        <v>47304</v>
      </c>
    </row>
    <row r="15485" spans="1:20" x14ac:dyDescent="0.25">
      <c r="A15485" t="str">
        <f>"3060378"</f>
        <v>3060378</v>
      </c>
      <c r="B15485" t="s">
        <v>47306</v>
      </c>
      <c r="C15485" t="str">
        <f>"8315926"</f>
        <v>8315926</v>
      </c>
      <c r="D15485" t="s">
        <v>42190</v>
      </c>
      <c r="E15485" t="s">
        <v>42189</v>
      </c>
      <c r="F15485" t="s">
        <v>42191</v>
      </c>
      <c r="I15485" t="s">
        <v>29</v>
      </c>
      <c r="J15485" t="s">
        <v>30</v>
      </c>
      <c r="K15485" t="s">
        <v>42192</v>
      </c>
      <c r="M15485" t="s">
        <v>17861</v>
      </c>
      <c r="N15485" t="str">
        <f>"7/1/2021 12:57:00 PM"</f>
        <v>7/1/2021 12:57:00 PM</v>
      </c>
      <c r="O15485" t="s">
        <v>42190</v>
      </c>
      <c r="T15485" t="s">
        <v>42189</v>
      </c>
    </row>
    <row r="15486" spans="1:20" x14ac:dyDescent="0.25">
      <c r="A15486" t="str">
        <f>"3068893"</f>
        <v>3068893</v>
      </c>
      <c r="B15486" t="s">
        <v>47307</v>
      </c>
      <c r="C15486" t="str">
        <f>"8315927"</f>
        <v>8315927</v>
      </c>
      <c r="D15486" t="s">
        <v>47227</v>
      </c>
      <c r="E15486" t="s">
        <v>47228</v>
      </c>
      <c r="F15486" t="s">
        <v>47229</v>
      </c>
      <c r="I15486" t="s">
        <v>471</v>
      </c>
      <c r="J15486" t="s">
        <v>30</v>
      </c>
      <c r="K15486" t="s">
        <v>47230</v>
      </c>
      <c r="M15486" t="s">
        <v>17861</v>
      </c>
      <c r="N15486" t="str">
        <f>"7/1/2021 1:04:00 PM"</f>
        <v>7/1/2021 1:04:00 PM</v>
      </c>
      <c r="O15486" t="s">
        <v>47227</v>
      </c>
      <c r="T15486" t="s">
        <v>47228</v>
      </c>
    </row>
    <row r="15487" spans="1:20" x14ac:dyDescent="0.25">
      <c r="A15487" t="str">
        <f>"3059696"</f>
        <v>3059696</v>
      </c>
      <c r="B15487" t="s">
        <v>47308</v>
      </c>
      <c r="C15487" t="str">
        <f>"8315879"</f>
        <v>8315879</v>
      </c>
      <c r="D15487" t="s">
        <v>47309</v>
      </c>
      <c r="E15487" t="s">
        <v>47310</v>
      </c>
      <c r="F15487" t="s">
        <v>35674</v>
      </c>
      <c r="I15487" t="s">
        <v>29</v>
      </c>
      <c r="J15487" t="s">
        <v>30</v>
      </c>
      <c r="K15487" t="s">
        <v>35675</v>
      </c>
      <c r="M15487" t="s">
        <v>17861</v>
      </c>
      <c r="N15487" t="str">
        <f>"6/24/2021 10:07:00 AM"</f>
        <v>6/24/2021 10:07:00 AM</v>
      </c>
      <c r="O15487" t="s">
        <v>47309</v>
      </c>
      <c r="T15487" t="s">
        <v>47310</v>
      </c>
    </row>
    <row r="15488" spans="1:20" x14ac:dyDescent="0.25">
      <c r="A15488" t="str">
        <f>"3038947"</f>
        <v>3038947</v>
      </c>
      <c r="B15488" t="s">
        <v>47311</v>
      </c>
      <c r="C15488" t="str">
        <f>"8315880"</f>
        <v>8315880</v>
      </c>
      <c r="D15488" t="s">
        <v>47312</v>
      </c>
      <c r="E15488" t="s">
        <v>47313</v>
      </c>
      <c r="F15488" t="s">
        <v>47314</v>
      </c>
      <c r="I15488" t="s">
        <v>29</v>
      </c>
      <c r="J15488" t="s">
        <v>30</v>
      </c>
      <c r="K15488" t="s">
        <v>31886</v>
      </c>
      <c r="M15488" t="s">
        <v>17861</v>
      </c>
      <c r="N15488" t="str">
        <f>"6/24/2021 10:19:00 AM"</f>
        <v>6/24/2021 10:19:00 AM</v>
      </c>
      <c r="O15488" t="s">
        <v>47312</v>
      </c>
      <c r="T15488" t="s">
        <v>47313</v>
      </c>
    </row>
    <row r="15489" spans="1:20" x14ac:dyDescent="0.25">
      <c r="A15489" t="str">
        <f>"3044338"</f>
        <v>3044338</v>
      </c>
      <c r="B15489" t="s">
        <v>47315</v>
      </c>
      <c r="C15489" t="str">
        <f>"8315881"</f>
        <v>8315881</v>
      </c>
      <c r="D15489" t="s">
        <v>47316</v>
      </c>
      <c r="E15489" t="s">
        <v>47317</v>
      </c>
      <c r="F15489" t="s">
        <v>47318</v>
      </c>
      <c r="I15489" t="s">
        <v>184</v>
      </c>
      <c r="J15489" t="s">
        <v>30</v>
      </c>
      <c r="K15489" t="s">
        <v>47319</v>
      </c>
      <c r="M15489" t="s">
        <v>17861</v>
      </c>
      <c r="N15489" t="str">
        <f>"6/24/2021 10:38:00 AM"</f>
        <v>6/24/2021 10:38:00 AM</v>
      </c>
      <c r="O15489" t="s">
        <v>47316</v>
      </c>
      <c r="T15489" t="s">
        <v>47317</v>
      </c>
    </row>
    <row r="15490" spans="1:20" x14ac:dyDescent="0.25">
      <c r="A15490" t="str">
        <f>"3057663"</f>
        <v>3057663</v>
      </c>
      <c r="B15490" t="s">
        <v>47320</v>
      </c>
      <c r="C15490" t="str">
        <f>"8315882"</f>
        <v>8315882</v>
      </c>
      <c r="D15490" t="s">
        <v>47321</v>
      </c>
      <c r="E15490" t="s">
        <v>47322</v>
      </c>
      <c r="F15490" t="s">
        <v>47323</v>
      </c>
      <c r="I15490" t="s">
        <v>184</v>
      </c>
      <c r="J15490" t="s">
        <v>30</v>
      </c>
      <c r="K15490" t="s">
        <v>34622</v>
      </c>
      <c r="M15490" t="s">
        <v>17861</v>
      </c>
      <c r="N15490" t="str">
        <f>"6/24/2021 10:40:00 AM"</f>
        <v>6/24/2021 10:40:00 AM</v>
      </c>
      <c r="O15490" t="s">
        <v>47321</v>
      </c>
      <c r="T15490" t="s">
        <v>47322</v>
      </c>
    </row>
    <row r="15491" spans="1:20" x14ac:dyDescent="0.25">
      <c r="A15491" t="str">
        <f>"3039786"</f>
        <v>3039786</v>
      </c>
      <c r="B15491" t="s">
        <v>47324</v>
      </c>
      <c r="C15491" t="str">
        <f>"8315957"</f>
        <v>8315957</v>
      </c>
      <c r="D15491" t="s">
        <v>47325</v>
      </c>
      <c r="E15491" t="s">
        <v>47326</v>
      </c>
      <c r="F15491" t="s">
        <v>47327</v>
      </c>
      <c r="I15491" t="s">
        <v>184</v>
      </c>
      <c r="J15491" t="s">
        <v>30</v>
      </c>
      <c r="K15491" t="s">
        <v>38778</v>
      </c>
      <c r="M15491" t="s">
        <v>17861</v>
      </c>
      <c r="N15491" t="str">
        <f>"7/6/2021 11:06:00 AM"</f>
        <v>7/6/2021 11:06:00 AM</v>
      </c>
      <c r="O15491" t="s">
        <v>47325</v>
      </c>
      <c r="T15491" t="s">
        <v>47326</v>
      </c>
    </row>
    <row r="15492" spans="1:20" x14ac:dyDescent="0.25">
      <c r="A15492" t="str">
        <f>"3050857"</f>
        <v>3050857</v>
      </c>
      <c r="B15492" t="s">
        <v>47328</v>
      </c>
      <c r="C15492" t="str">
        <f>"8315996"</f>
        <v>8315996</v>
      </c>
      <c r="D15492" t="s">
        <v>47329</v>
      </c>
      <c r="F15492" t="s">
        <v>47330</v>
      </c>
      <c r="I15492" t="s">
        <v>184</v>
      </c>
      <c r="J15492" t="s">
        <v>30</v>
      </c>
      <c r="K15492" t="s">
        <v>20384</v>
      </c>
      <c r="M15492" t="s">
        <v>17861</v>
      </c>
      <c r="N15492" t="str">
        <f>"7/12/2021 3:57:00 PM"</f>
        <v>7/12/2021 3:57:00 PM</v>
      </c>
      <c r="O15492" t="s">
        <v>47329</v>
      </c>
    </row>
    <row r="15493" spans="1:20" x14ac:dyDescent="0.25">
      <c r="A15493" t="str">
        <f>"3059972"</f>
        <v>3059972</v>
      </c>
      <c r="B15493" t="s">
        <v>47331</v>
      </c>
      <c r="C15493" t="str">
        <f>"8315998"</f>
        <v>8315998</v>
      </c>
      <c r="D15493" t="str">
        <f>"CPI/AMERST SFR PROGRAM II OWNER LLC"</f>
        <v>CPI/AMERST SFR PROGRAM II OWNER LLC</v>
      </c>
      <c r="F15493" t="s">
        <v>36221</v>
      </c>
      <c r="I15493" t="s">
        <v>36222</v>
      </c>
      <c r="J15493" t="s">
        <v>3737</v>
      </c>
      <c r="K15493" t="s">
        <v>36223</v>
      </c>
      <c r="M15493" t="s">
        <v>17861</v>
      </c>
      <c r="N15493" t="str">
        <f>"7/12/2021 4:08:00 PM"</f>
        <v>7/12/2021 4:08:00 PM</v>
      </c>
      <c r="O15493" t="str">
        <f>"CPI/AMERST SFR PROGRAM II OWNER LLC"</f>
        <v>CPI/AMERST SFR PROGRAM II OWNER LLC</v>
      </c>
    </row>
    <row r="15494" spans="1:20" x14ac:dyDescent="0.25">
      <c r="A15494" t="str">
        <f>"3047134"</f>
        <v>3047134</v>
      </c>
      <c r="B15494" t="s">
        <v>47332</v>
      </c>
      <c r="C15494" t="str">
        <f>"8315960"</f>
        <v>8315960</v>
      </c>
      <c r="D15494" t="s">
        <v>47333</v>
      </c>
      <c r="F15494" t="s">
        <v>47334</v>
      </c>
      <c r="I15494" t="s">
        <v>402</v>
      </c>
      <c r="J15494" t="s">
        <v>30</v>
      </c>
      <c r="K15494" t="s">
        <v>47335</v>
      </c>
      <c r="M15494" t="s">
        <v>17861</v>
      </c>
      <c r="N15494" t="str">
        <f>"7/6/2021 11:16:00 AM"</f>
        <v>7/6/2021 11:16:00 AM</v>
      </c>
      <c r="O15494" t="s">
        <v>47333</v>
      </c>
    </row>
    <row r="15495" spans="1:20" x14ac:dyDescent="0.25">
      <c r="A15495" t="str">
        <f>"3054537"</f>
        <v>3054537</v>
      </c>
      <c r="B15495" t="s">
        <v>47336</v>
      </c>
      <c r="C15495" t="str">
        <f>"82519770"</f>
        <v>82519770</v>
      </c>
      <c r="D15495" t="s">
        <v>47337</v>
      </c>
      <c r="F15495" t="s">
        <v>47338</v>
      </c>
      <c r="I15495" t="s">
        <v>47339</v>
      </c>
      <c r="J15495" t="s">
        <v>3737</v>
      </c>
      <c r="K15495" t="s">
        <v>47340</v>
      </c>
      <c r="M15495" t="s">
        <v>25733</v>
      </c>
      <c r="N15495" t="str">
        <f>"7/7/2021 9:10:00 AM"</f>
        <v>7/7/2021 9:10:00 AM</v>
      </c>
      <c r="O15495" t="s">
        <v>47337</v>
      </c>
      <c r="T15495" t="s">
        <v>47337</v>
      </c>
    </row>
    <row r="15496" spans="1:20" x14ac:dyDescent="0.25">
      <c r="A15496" t="str">
        <f>"3046689"</f>
        <v>3046689</v>
      </c>
      <c r="B15496" t="s">
        <v>47341</v>
      </c>
      <c r="C15496" t="str">
        <f>"8316007"</f>
        <v>8316007</v>
      </c>
      <c r="D15496" t="s">
        <v>47342</v>
      </c>
      <c r="E15496" t="s">
        <v>47343</v>
      </c>
      <c r="F15496" t="s">
        <v>20743</v>
      </c>
      <c r="I15496" t="s">
        <v>29</v>
      </c>
      <c r="J15496" t="s">
        <v>30</v>
      </c>
      <c r="K15496" t="s">
        <v>20744</v>
      </c>
      <c r="M15496" t="s">
        <v>17861</v>
      </c>
      <c r="N15496" t="str">
        <f>"7/13/2021 2:49:00 PM"</f>
        <v>7/13/2021 2:49:00 PM</v>
      </c>
      <c r="O15496" t="s">
        <v>47342</v>
      </c>
      <c r="T15496" t="s">
        <v>47343</v>
      </c>
    </row>
    <row r="15497" spans="1:20" x14ac:dyDescent="0.25">
      <c r="A15497" t="str">
        <f>"3037548"</f>
        <v>3037548</v>
      </c>
      <c r="B15497" t="s">
        <v>47344</v>
      </c>
      <c r="C15497" t="str">
        <f>"8315928"</f>
        <v>8315928</v>
      </c>
      <c r="D15497" t="s">
        <v>25914</v>
      </c>
      <c r="F15497" t="s">
        <v>47345</v>
      </c>
      <c r="I15497" t="s">
        <v>49</v>
      </c>
      <c r="J15497" t="s">
        <v>30</v>
      </c>
      <c r="K15497" t="s">
        <v>47346</v>
      </c>
      <c r="M15497" t="s">
        <v>17861</v>
      </c>
      <c r="N15497" t="str">
        <f>"7/13/2021 3:55:00 PM"</f>
        <v>7/13/2021 3:55:00 PM</v>
      </c>
      <c r="O15497" t="s">
        <v>25914</v>
      </c>
    </row>
    <row r="15498" spans="1:20" x14ac:dyDescent="0.25">
      <c r="A15498" t="str">
        <f>"3042154"</f>
        <v>3042154</v>
      </c>
      <c r="B15498" t="s">
        <v>47347</v>
      </c>
      <c r="C15498" t="str">
        <f>"8315974"</f>
        <v>8315974</v>
      </c>
      <c r="D15498" t="s">
        <v>47348</v>
      </c>
      <c r="F15498" t="s">
        <v>47349</v>
      </c>
      <c r="I15498" t="s">
        <v>1149</v>
      </c>
      <c r="J15498" t="s">
        <v>30</v>
      </c>
      <c r="K15498" t="s">
        <v>47350</v>
      </c>
      <c r="M15498" t="s">
        <v>17861</v>
      </c>
      <c r="N15498" t="str">
        <f>"7/7/2021 4:18:00 PM"</f>
        <v>7/7/2021 4:18:00 PM</v>
      </c>
      <c r="O15498" t="s">
        <v>47348</v>
      </c>
    </row>
    <row r="15499" spans="1:20" x14ac:dyDescent="0.25">
      <c r="A15499" t="str">
        <f>"3058884"</f>
        <v>3058884</v>
      </c>
      <c r="B15499" t="s">
        <v>47351</v>
      </c>
      <c r="C15499" t="str">
        <f>"8315975"</f>
        <v>8315975</v>
      </c>
      <c r="D15499" t="s">
        <v>47352</v>
      </c>
      <c r="E15499" t="s">
        <v>47353</v>
      </c>
      <c r="F15499" t="s">
        <v>47354</v>
      </c>
      <c r="I15499" t="s">
        <v>29</v>
      </c>
      <c r="J15499" t="s">
        <v>30</v>
      </c>
      <c r="K15499" t="s">
        <v>34090</v>
      </c>
      <c r="M15499" t="s">
        <v>17861</v>
      </c>
      <c r="N15499" t="str">
        <f>"7/7/2021 4:24:00 PM"</f>
        <v>7/7/2021 4:24:00 PM</v>
      </c>
      <c r="O15499" t="s">
        <v>47352</v>
      </c>
      <c r="T15499" t="s">
        <v>47353</v>
      </c>
    </row>
    <row r="15500" spans="1:20" x14ac:dyDescent="0.25">
      <c r="A15500" t="str">
        <f>"3040062"</f>
        <v>3040062</v>
      </c>
      <c r="B15500" t="s">
        <v>47355</v>
      </c>
      <c r="C15500" t="str">
        <f>"8315936"</f>
        <v>8315936</v>
      </c>
      <c r="D15500" t="s">
        <v>47356</v>
      </c>
      <c r="E15500" t="s">
        <v>47357</v>
      </c>
      <c r="F15500" t="s">
        <v>47358</v>
      </c>
      <c r="I15500" t="s">
        <v>29</v>
      </c>
      <c r="J15500" t="s">
        <v>30</v>
      </c>
      <c r="K15500" t="s">
        <v>47359</v>
      </c>
      <c r="M15500" t="s">
        <v>17861</v>
      </c>
      <c r="N15500" t="str">
        <f>"7/1/2021 2:03:00 PM"</f>
        <v>7/1/2021 2:03:00 PM</v>
      </c>
      <c r="O15500" t="s">
        <v>47356</v>
      </c>
      <c r="T15500" t="s">
        <v>47357</v>
      </c>
    </row>
    <row r="15501" spans="1:20" x14ac:dyDescent="0.25">
      <c r="A15501" t="str">
        <f>"3062110"</f>
        <v>3062110</v>
      </c>
      <c r="B15501" t="s">
        <v>47360</v>
      </c>
      <c r="C15501" t="str">
        <f>"8316014"</f>
        <v>8316014</v>
      </c>
      <c r="D15501" t="s">
        <v>47361</v>
      </c>
      <c r="E15501" t="s">
        <v>47362</v>
      </c>
      <c r="F15501" t="s">
        <v>47363</v>
      </c>
      <c r="I15501" t="s">
        <v>29</v>
      </c>
      <c r="J15501" t="s">
        <v>30</v>
      </c>
      <c r="K15501" t="s">
        <v>39975</v>
      </c>
      <c r="M15501" t="s">
        <v>17861</v>
      </c>
      <c r="N15501" t="str">
        <f>"7/21/2021 12:23:00 PM"</f>
        <v>7/21/2021 12:23:00 PM</v>
      </c>
      <c r="O15501" t="s">
        <v>47361</v>
      </c>
      <c r="T15501" t="s">
        <v>47362</v>
      </c>
    </row>
    <row r="15502" spans="1:20" x14ac:dyDescent="0.25">
      <c r="A15502" t="str">
        <f>"3051357"</f>
        <v>3051357</v>
      </c>
      <c r="B15502" t="s">
        <v>47364</v>
      </c>
      <c r="C15502" t="str">
        <f>"8316015"</f>
        <v>8316015</v>
      </c>
      <c r="D15502" t="s">
        <v>47365</v>
      </c>
      <c r="E15502" t="s">
        <v>47366</v>
      </c>
      <c r="F15502" t="s">
        <v>47367</v>
      </c>
      <c r="I15502" t="s">
        <v>29</v>
      </c>
      <c r="J15502" t="s">
        <v>30</v>
      </c>
      <c r="K15502" t="s">
        <v>47368</v>
      </c>
      <c r="M15502" t="s">
        <v>17861</v>
      </c>
      <c r="N15502" t="str">
        <f>"7/21/2021 12:30:00 PM"</f>
        <v>7/21/2021 12:30:00 PM</v>
      </c>
      <c r="O15502" t="s">
        <v>47365</v>
      </c>
      <c r="T15502" t="s">
        <v>47366</v>
      </c>
    </row>
    <row r="15503" spans="1:20" x14ac:dyDescent="0.25">
      <c r="A15503" t="str">
        <f>"3051500"</f>
        <v>3051500</v>
      </c>
      <c r="B15503" t="s">
        <v>47369</v>
      </c>
      <c r="C15503" t="str">
        <f>"8316015"</f>
        <v>8316015</v>
      </c>
      <c r="D15503" t="s">
        <v>47365</v>
      </c>
      <c r="E15503" t="s">
        <v>47366</v>
      </c>
      <c r="F15503" t="s">
        <v>47367</v>
      </c>
      <c r="I15503" t="s">
        <v>29</v>
      </c>
      <c r="J15503" t="s">
        <v>30</v>
      </c>
      <c r="K15503" t="s">
        <v>47368</v>
      </c>
      <c r="M15503" t="s">
        <v>17861</v>
      </c>
      <c r="N15503" t="str">
        <f>"7/21/2021 12:30:00 PM"</f>
        <v>7/21/2021 12:30:00 PM</v>
      </c>
      <c r="O15503" t="s">
        <v>47365</v>
      </c>
      <c r="T15503" t="s">
        <v>47366</v>
      </c>
    </row>
    <row r="15504" spans="1:20" x14ac:dyDescent="0.25">
      <c r="A15504" t="str">
        <f>"3051512"</f>
        <v>3051512</v>
      </c>
      <c r="B15504" t="s">
        <v>47370</v>
      </c>
      <c r="C15504" t="str">
        <f>"8316015"</f>
        <v>8316015</v>
      </c>
      <c r="D15504" t="s">
        <v>47365</v>
      </c>
      <c r="E15504" t="s">
        <v>47366</v>
      </c>
      <c r="F15504" t="s">
        <v>47367</v>
      </c>
      <c r="I15504" t="s">
        <v>29</v>
      </c>
      <c r="J15504" t="s">
        <v>30</v>
      </c>
      <c r="K15504" t="s">
        <v>47368</v>
      </c>
      <c r="M15504" t="s">
        <v>17861</v>
      </c>
      <c r="N15504" t="str">
        <f>"7/21/2021 12:30:00 PM"</f>
        <v>7/21/2021 12:30:00 PM</v>
      </c>
      <c r="O15504" t="s">
        <v>47365</v>
      </c>
      <c r="T15504" t="s">
        <v>47366</v>
      </c>
    </row>
    <row r="15505" spans="1:20" x14ac:dyDescent="0.25">
      <c r="A15505" t="str">
        <f>"3051473"</f>
        <v>3051473</v>
      </c>
      <c r="B15505" t="s">
        <v>47371</v>
      </c>
      <c r="C15505" t="str">
        <f>"8316015"</f>
        <v>8316015</v>
      </c>
      <c r="D15505" t="s">
        <v>47365</v>
      </c>
      <c r="E15505" t="s">
        <v>47366</v>
      </c>
      <c r="F15505" t="s">
        <v>47367</v>
      </c>
      <c r="I15505" t="s">
        <v>29</v>
      </c>
      <c r="J15505" t="s">
        <v>30</v>
      </c>
      <c r="K15505" t="s">
        <v>47368</v>
      </c>
      <c r="M15505" t="s">
        <v>17861</v>
      </c>
      <c r="N15505" t="str">
        <f>"7/21/2021 12:30:00 PM"</f>
        <v>7/21/2021 12:30:00 PM</v>
      </c>
      <c r="O15505" t="s">
        <v>47365</v>
      </c>
      <c r="T15505" t="s">
        <v>47366</v>
      </c>
    </row>
    <row r="15506" spans="1:20" x14ac:dyDescent="0.25">
      <c r="A15506" t="str">
        <f>"3040209"</f>
        <v>3040209</v>
      </c>
      <c r="B15506" t="s">
        <v>47372</v>
      </c>
      <c r="C15506" t="str">
        <f>"8315936"</f>
        <v>8315936</v>
      </c>
      <c r="D15506" t="s">
        <v>47356</v>
      </c>
      <c r="E15506" t="s">
        <v>47357</v>
      </c>
      <c r="F15506" t="s">
        <v>47358</v>
      </c>
      <c r="I15506" t="s">
        <v>29</v>
      </c>
      <c r="J15506" t="s">
        <v>30</v>
      </c>
      <c r="K15506" t="s">
        <v>47359</v>
      </c>
      <c r="M15506" t="s">
        <v>17861</v>
      </c>
      <c r="N15506" t="str">
        <f>"7/1/2021 2:03:00 PM"</f>
        <v>7/1/2021 2:03:00 PM</v>
      </c>
      <c r="O15506" t="s">
        <v>47356</v>
      </c>
      <c r="T15506" t="s">
        <v>47357</v>
      </c>
    </row>
    <row r="15507" spans="1:20" x14ac:dyDescent="0.25">
      <c r="A15507" t="str">
        <f>"3060230"</f>
        <v>3060230</v>
      </c>
      <c r="B15507" t="s">
        <v>47373</v>
      </c>
      <c r="C15507" t="str">
        <f>"8315937"</f>
        <v>8315937</v>
      </c>
      <c r="D15507" t="s">
        <v>47374</v>
      </c>
      <c r="E15507" t="s">
        <v>47375</v>
      </c>
      <c r="F15507" t="s">
        <v>47376</v>
      </c>
      <c r="I15507" t="s">
        <v>184</v>
      </c>
      <c r="J15507" t="s">
        <v>30</v>
      </c>
      <c r="K15507" t="s">
        <v>33744</v>
      </c>
      <c r="M15507" t="s">
        <v>17861</v>
      </c>
      <c r="N15507" t="str">
        <f>"7/1/2021 2:08:00 PM"</f>
        <v>7/1/2021 2:08:00 PM</v>
      </c>
      <c r="O15507" t="s">
        <v>47374</v>
      </c>
      <c r="T15507" t="s">
        <v>47375</v>
      </c>
    </row>
    <row r="15508" spans="1:20" x14ac:dyDescent="0.25">
      <c r="A15508" t="str">
        <f>"3061785"</f>
        <v>3061785</v>
      </c>
      <c r="B15508" t="s">
        <v>47377</v>
      </c>
      <c r="C15508" t="str">
        <f>"8315941"</f>
        <v>8315941</v>
      </c>
      <c r="D15508" t="s">
        <v>47378</v>
      </c>
      <c r="E15508" t="s">
        <v>47379</v>
      </c>
      <c r="F15508" t="s">
        <v>47380</v>
      </c>
      <c r="I15508" t="s">
        <v>2071</v>
      </c>
      <c r="J15508" t="s">
        <v>30</v>
      </c>
      <c r="K15508" t="s">
        <v>3960</v>
      </c>
      <c r="M15508" t="s">
        <v>17861</v>
      </c>
      <c r="N15508" t="str">
        <f>"7/1/2021 2:23:00 PM"</f>
        <v>7/1/2021 2:23:00 PM</v>
      </c>
      <c r="O15508" t="s">
        <v>47378</v>
      </c>
      <c r="T15508" t="s">
        <v>47379</v>
      </c>
    </row>
    <row r="15509" spans="1:20" x14ac:dyDescent="0.25">
      <c r="A15509" t="str">
        <f>"3039999"</f>
        <v>3039999</v>
      </c>
      <c r="B15509" t="s">
        <v>47381</v>
      </c>
      <c r="C15509" t="str">
        <f>"8316018"</f>
        <v>8316018</v>
      </c>
      <c r="D15509" t="s">
        <v>47382</v>
      </c>
      <c r="E15509" t="s">
        <v>47383</v>
      </c>
      <c r="F15509" t="s">
        <v>47384</v>
      </c>
      <c r="I15509" t="s">
        <v>29</v>
      </c>
      <c r="J15509" t="s">
        <v>30</v>
      </c>
      <c r="K15509" t="s">
        <v>1171</v>
      </c>
      <c r="M15509" t="s">
        <v>17861</v>
      </c>
      <c r="N15509" t="str">
        <f>"7/21/2021 12:50:00 PM"</f>
        <v>7/21/2021 12:50:00 PM</v>
      </c>
      <c r="O15509" t="s">
        <v>47382</v>
      </c>
      <c r="T15509" t="s">
        <v>47383</v>
      </c>
    </row>
    <row r="15510" spans="1:20" x14ac:dyDescent="0.25">
      <c r="A15510" t="str">
        <f>"3039987"</f>
        <v>3039987</v>
      </c>
      <c r="B15510" t="s">
        <v>47385</v>
      </c>
      <c r="C15510" t="str">
        <f>"8316018"</f>
        <v>8316018</v>
      </c>
      <c r="D15510" t="s">
        <v>47382</v>
      </c>
      <c r="E15510" t="s">
        <v>47383</v>
      </c>
      <c r="F15510" t="s">
        <v>47384</v>
      </c>
      <c r="I15510" t="s">
        <v>29</v>
      </c>
      <c r="J15510" t="s">
        <v>30</v>
      </c>
      <c r="K15510" t="s">
        <v>1171</v>
      </c>
      <c r="M15510" t="s">
        <v>17861</v>
      </c>
      <c r="N15510" t="str">
        <f>"7/21/2021 12:50:00 PM"</f>
        <v>7/21/2021 12:50:00 PM</v>
      </c>
      <c r="O15510" t="s">
        <v>47382</v>
      </c>
      <c r="T15510" t="s">
        <v>47383</v>
      </c>
    </row>
    <row r="15511" spans="1:20" x14ac:dyDescent="0.25">
      <c r="A15511" t="str">
        <f>"3045577"</f>
        <v>3045577</v>
      </c>
      <c r="B15511" t="s">
        <v>47386</v>
      </c>
      <c r="C15511" t="str">
        <f>"8316020"</f>
        <v>8316020</v>
      </c>
      <c r="D15511" t="s">
        <v>47387</v>
      </c>
      <c r="E15511" t="s">
        <v>47388</v>
      </c>
      <c r="F15511" t="s">
        <v>47389</v>
      </c>
      <c r="I15511" t="s">
        <v>29</v>
      </c>
      <c r="J15511" t="s">
        <v>30</v>
      </c>
      <c r="K15511" t="s">
        <v>36600</v>
      </c>
      <c r="M15511" t="s">
        <v>17861</v>
      </c>
      <c r="N15511" t="str">
        <f>"7/21/2021 1:10:00 PM"</f>
        <v>7/21/2021 1:10:00 PM</v>
      </c>
      <c r="O15511" t="s">
        <v>47387</v>
      </c>
      <c r="T15511" t="s">
        <v>47388</v>
      </c>
    </row>
    <row r="15512" spans="1:20" x14ac:dyDescent="0.25">
      <c r="A15512" t="str">
        <f>"3055538"</f>
        <v>3055538</v>
      </c>
      <c r="B15512" t="s">
        <v>47390</v>
      </c>
      <c r="C15512" t="str">
        <f>"8316021"</f>
        <v>8316021</v>
      </c>
      <c r="D15512" t="s">
        <v>47391</v>
      </c>
      <c r="F15512" t="s">
        <v>47392</v>
      </c>
      <c r="I15512" t="s">
        <v>2280</v>
      </c>
      <c r="J15512" t="s">
        <v>30</v>
      </c>
      <c r="K15512" t="s">
        <v>47393</v>
      </c>
      <c r="M15512" t="s">
        <v>17861</v>
      </c>
      <c r="N15512" t="str">
        <f>"7/21/2021 1:15:00 PM"</f>
        <v>7/21/2021 1:15:00 PM</v>
      </c>
      <c r="O15512" t="s">
        <v>47391</v>
      </c>
    </row>
    <row r="15513" spans="1:20" x14ac:dyDescent="0.25">
      <c r="A15513" t="str">
        <f>"3061851"</f>
        <v>3061851</v>
      </c>
      <c r="B15513" t="s">
        <v>47394</v>
      </c>
      <c r="C15513" t="str">
        <f>"8316023"</f>
        <v>8316023</v>
      </c>
      <c r="D15513" t="s">
        <v>47395</v>
      </c>
      <c r="F15513" t="s">
        <v>47396</v>
      </c>
      <c r="I15513" t="s">
        <v>29</v>
      </c>
      <c r="J15513" t="s">
        <v>30</v>
      </c>
      <c r="K15513" t="str">
        <f>"27028"</f>
        <v>27028</v>
      </c>
      <c r="M15513" t="s">
        <v>17861</v>
      </c>
      <c r="N15513" t="str">
        <f>"7/21/2021 1:39:00 PM"</f>
        <v>7/21/2021 1:39:00 PM</v>
      </c>
      <c r="O15513" t="s">
        <v>47395</v>
      </c>
    </row>
    <row r="15514" spans="1:20" x14ac:dyDescent="0.25">
      <c r="A15514" t="str">
        <f>"3078978"</f>
        <v>3078978</v>
      </c>
      <c r="B15514" t="s">
        <v>47397</v>
      </c>
      <c r="C15514" t="str">
        <f>"8316025"</f>
        <v>8316025</v>
      </c>
      <c r="D15514" t="s">
        <v>47398</v>
      </c>
      <c r="F15514" t="s">
        <v>47399</v>
      </c>
      <c r="I15514" t="s">
        <v>10172</v>
      </c>
      <c r="J15514" t="s">
        <v>30</v>
      </c>
      <c r="K15514" t="s">
        <v>47400</v>
      </c>
      <c r="M15514" t="s">
        <v>17861</v>
      </c>
      <c r="N15514" t="str">
        <f>"7/21/2021 1:56:00 PM"</f>
        <v>7/21/2021 1:56:00 PM</v>
      </c>
      <c r="O15514" t="s">
        <v>47398</v>
      </c>
    </row>
    <row r="15515" spans="1:20" x14ac:dyDescent="0.25">
      <c r="A15515" t="str">
        <f>"3042233"</f>
        <v>3042233</v>
      </c>
      <c r="B15515" t="s">
        <v>47401</v>
      </c>
      <c r="C15515" t="str">
        <f>"8315943"</f>
        <v>8315943</v>
      </c>
      <c r="D15515" t="s">
        <v>24506</v>
      </c>
      <c r="F15515" t="s">
        <v>47402</v>
      </c>
      <c r="I15515" t="s">
        <v>184</v>
      </c>
      <c r="J15515" t="s">
        <v>30</v>
      </c>
      <c r="K15515" t="s">
        <v>47403</v>
      </c>
      <c r="M15515" t="s">
        <v>17861</v>
      </c>
      <c r="N15515" t="str">
        <f>"7/1/2021 2:30:00 PM"</f>
        <v>7/1/2021 2:30:00 PM</v>
      </c>
      <c r="O15515" t="s">
        <v>24506</v>
      </c>
    </row>
    <row r="15516" spans="1:20" x14ac:dyDescent="0.25">
      <c r="A15516" t="str">
        <f>"3041693"</f>
        <v>3041693</v>
      </c>
      <c r="B15516" t="s">
        <v>47404</v>
      </c>
      <c r="C15516" t="str">
        <f>"8315946"</f>
        <v>8315946</v>
      </c>
      <c r="D15516" t="s">
        <v>47405</v>
      </c>
      <c r="E15516" t="s">
        <v>47406</v>
      </c>
      <c r="F15516" t="s">
        <v>44833</v>
      </c>
      <c r="I15516" t="s">
        <v>2071</v>
      </c>
      <c r="J15516" t="s">
        <v>30</v>
      </c>
      <c r="K15516" t="s">
        <v>44834</v>
      </c>
      <c r="M15516" t="s">
        <v>17861</v>
      </c>
      <c r="N15516" t="str">
        <f>"7/1/2021 2:42:00 PM"</f>
        <v>7/1/2021 2:42:00 PM</v>
      </c>
      <c r="O15516" t="s">
        <v>47405</v>
      </c>
      <c r="T15516" t="s">
        <v>47406</v>
      </c>
    </row>
    <row r="15517" spans="1:20" x14ac:dyDescent="0.25">
      <c r="A15517" t="str">
        <f>"3060703"</f>
        <v>3060703</v>
      </c>
      <c r="B15517" t="s">
        <v>47407</v>
      </c>
      <c r="C15517" t="str">
        <f>"8316032"</f>
        <v>8316032</v>
      </c>
      <c r="D15517" t="s">
        <v>47408</v>
      </c>
      <c r="E15517" t="s">
        <v>47409</v>
      </c>
      <c r="F15517" t="s">
        <v>47410</v>
      </c>
      <c r="I15517" t="s">
        <v>2071</v>
      </c>
      <c r="J15517" t="s">
        <v>30</v>
      </c>
      <c r="K15517" t="s">
        <v>4183</v>
      </c>
      <c r="M15517" t="s">
        <v>17861</v>
      </c>
      <c r="N15517" t="str">
        <f>"7/21/2021 4:17:00 PM"</f>
        <v>7/21/2021 4:17:00 PM</v>
      </c>
      <c r="O15517" t="s">
        <v>47408</v>
      </c>
      <c r="T15517" t="s">
        <v>47409</v>
      </c>
    </row>
    <row r="15518" spans="1:20" x14ac:dyDescent="0.25">
      <c r="A15518" t="str">
        <f>"3063707"</f>
        <v>3063707</v>
      </c>
      <c r="B15518" t="s">
        <v>47411</v>
      </c>
      <c r="C15518" t="str">
        <f>"8315947"</f>
        <v>8315947</v>
      </c>
      <c r="D15518" t="s">
        <v>47412</v>
      </c>
      <c r="F15518" t="s">
        <v>47413</v>
      </c>
      <c r="I15518" t="s">
        <v>29</v>
      </c>
      <c r="J15518" t="s">
        <v>30</v>
      </c>
      <c r="K15518" t="s">
        <v>397</v>
      </c>
      <c r="M15518" t="s">
        <v>17861</v>
      </c>
      <c r="N15518" t="str">
        <f>"7/1/2021 2:45:00 PM"</f>
        <v>7/1/2021 2:45:00 PM</v>
      </c>
      <c r="O15518" t="s">
        <v>47412</v>
      </c>
    </row>
    <row r="15519" spans="1:20" x14ac:dyDescent="0.25">
      <c r="A15519" t="str">
        <f>"3042840"</f>
        <v>3042840</v>
      </c>
      <c r="B15519" t="s">
        <v>47414</v>
      </c>
      <c r="C15519" t="str">
        <f>"8315949"</f>
        <v>8315949</v>
      </c>
      <c r="D15519" t="s">
        <v>47415</v>
      </c>
      <c r="F15519" t="s">
        <v>47416</v>
      </c>
      <c r="I15519" t="s">
        <v>17921</v>
      </c>
      <c r="J15519" t="s">
        <v>30</v>
      </c>
      <c r="K15519" t="str">
        <f>"27028"</f>
        <v>27028</v>
      </c>
      <c r="M15519" t="s">
        <v>17861</v>
      </c>
      <c r="N15519" t="str">
        <f>"7/1/2021 2:55:00 PM"</f>
        <v>7/1/2021 2:55:00 PM</v>
      </c>
      <c r="O15519" t="s">
        <v>47415</v>
      </c>
    </row>
    <row r="15520" spans="1:20" x14ac:dyDescent="0.25">
      <c r="A15520" t="str">
        <f>"3061247"</f>
        <v>3061247</v>
      </c>
      <c r="B15520" t="s">
        <v>47417</v>
      </c>
      <c r="C15520" t="str">
        <f>"8315952"</f>
        <v>8315952</v>
      </c>
      <c r="D15520" t="s">
        <v>47418</v>
      </c>
      <c r="E15520" t="s">
        <v>47419</v>
      </c>
      <c r="F15520" t="s">
        <v>47420</v>
      </c>
      <c r="I15520" t="s">
        <v>184</v>
      </c>
      <c r="J15520" t="s">
        <v>30</v>
      </c>
      <c r="K15520" t="s">
        <v>33423</v>
      </c>
      <c r="M15520" t="s">
        <v>17861</v>
      </c>
      <c r="N15520" t="str">
        <f>"7/1/2021 3:21:00 PM"</f>
        <v>7/1/2021 3:21:00 PM</v>
      </c>
      <c r="O15520" t="s">
        <v>47418</v>
      </c>
      <c r="T15520" t="s">
        <v>47419</v>
      </c>
    </row>
    <row r="15521" spans="1:20" x14ac:dyDescent="0.25">
      <c r="A15521" t="str">
        <f>"3059920"</f>
        <v>3059920</v>
      </c>
      <c r="B15521" t="s">
        <v>47421</v>
      </c>
      <c r="C15521" t="str">
        <f>"8315953"</f>
        <v>8315953</v>
      </c>
      <c r="D15521" t="s">
        <v>47422</v>
      </c>
      <c r="E15521" t="s">
        <v>47423</v>
      </c>
      <c r="F15521" t="s">
        <v>47424</v>
      </c>
      <c r="I15521" t="s">
        <v>29</v>
      </c>
      <c r="J15521" t="s">
        <v>30</v>
      </c>
      <c r="K15521" t="s">
        <v>47425</v>
      </c>
      <c r="M15521" t="s">
        <v>17861</v>
      </c>
      <c r="N15521" t="str">
        <f>"7/6/2021 10:23:00 AM"</f>
        <v>7/6/2021 10:23:00 AM</v>
      </c>
      <c r="O15521" t="s">
        <v>47422</v>
      </c>
      <c r="T15521" t="s">
        <v>47423</v>
      </c>
    </row>
    <row r="15522" spans="1:20" x14ac:dyDescent="0.25">
      <c r="A15522" t="str">
        <f>"3045321"</f>
        <v>3045321</v>
      </c>
      <c r="B15522" t="s">
        <v>47426</v>
      </c>
      <c r="C15522" t="str">
        <f>"8315955"</f>
        <v>8315955</v>
      </c>
      <c r="D15522" t="s">
        <v>47427</v>
      </c>
      <c r="E15522" t="s">
        <v>47428</v>
      </c>
      <c r="F15522" t="s">
        <v>47429</v>
      </c>
      <c r="I15522" t="s">
        <v>29</v>
      </c>
      <c r="J15522" t="s">
        <v>30</v>
      </c>
      <c r="K15522" t="s">
        <v>47430</v>
      </c>
      <c r="M15522" t="s">
        <v>17861</v>
      </c>
      <c r="N15522" t="str">
        <f>"7/6/2021 10:36:00 AM"</f>
        <v>7/6/2021 10:36:00 AM</v>
      </c>
      <c r="O15522" t="s">
        <v>47427</v>
      </c>
      <c r="T15522" t="s">
        <v>47428</v>
      </c>
    </row>
    <row r="15523" spans="1:20" x14ac:dyDescent="0.25">
      <c r="A15523" t="str">
        <f>"3075466"</f>
        <v>3075466</v>
      </c>
      <c r="B15523" t="s">
        <v>47431</v>
      </c>
      <c r="C15523" t="str">
        <f>"8316003"</f>
        <v>8316003</v>
      </c>
      <c r="D15523" t="s">
        <v>47432</v>
      </c>
      <c r="E15523" t="s">
        <v>47433</v>
      </c>
      <c r="F15523" t="s">
        <v>47434</v>
      </c>
      <c r="I15523" t="s">
        <v>29</v>
      </c>
      <c r="J15523" t="s">
        <v>30</v>
      </c>
      <c r="K15523" t="s">
        <v>47435</v>
      </c>
      <c r="M15523" t="s">
        <v>17861</v>
      </c>
      <c r="N15523" t="str">
        <f>"7/13/2021 11:08:00 AM"</f>
        <v>7/13/2021 11:08:00 AM</v>
      </c>
      <c r="O15523" t="s">
        <v>47432</v>
      </c>
      <c r="T15523" t="s">
        <v>47433</v>
      </c>
    </row>
    <row r="15524" spans="1:20" x14ac:dyDescent="0.25">
      <c r="A15524" t="str">
        <f>"3045077"</f>
        <v>3045077</v>
      </c>
      <c r="B15524" t="s">
        <v>47436</v>
      </c>
      <c r="C15524" t="str">
        <f>"8316006"</f>
        <v>8316006</v>
      </c>
      <c r="D15524" t="s">
        <v>17676</v>
      </c>
      <c r="E15524" t="s">
        <v>9362</v>
      </c>
      <c r="F15524" t="s">
        <v>47437</v>
      </c>
      <c r="I15524" t="s">
        <v>29</v>
      </c>
      <c r="J15524" t="s">
        <v>30</v>
      </c>
      <c r="K15524" t="s">
        <v>9364</v>
      </c>
      <c r="M15524" t="s">
        <v>17861</v>
      </c>
      <c r="N15524" t="str">
        <f>"7/13/2021 1:32:00 PM"</f>
        <v>7/13/2021 1:32:00 PM</v>
      </c>
      <c r="O15524" t="s">
        <v>17676</v>
      </c>
      <c r="T15524" t="s">
        <v>9362</v>
      </c>
    </row>
    <row r="15525" spans="1:20" x14ac:dyDescent="0.25">
      <c r="A15525" t="str">
        <f>"3051156"</f>
        <v>3051156</v>
      </c>
      <c r="B15525" t="s">
        <v>47438</v>
      </c>
      <c r="C15525" t="str">
        <f>"8314147"</f>
        <v>8314147</v>
      </c>
      <c r="D15525" t="s">
        <v>47439</v>
      </c>
      <c r="E15525" t="str">
        <f>"BOWLES ALAN M/ WILLIAM ANDREW"</f>
        <v>BOWLES ALAN M/ WILLIAM ANDREW</v>
      </c>
      <c r="F15525" t="s">
        <v>47440</v>
      </c>
      <c r="I15525" t="s">
        <v>29</v>
      </c>
      <c r="J15525" t="s">
        <v>30</v>
      </c>
      <c r="K15525" t="s">
        <v>14501</v>
      </c>
      <c r="M15525" t="s">
        <v>25625</v>
      </c>
      <c r="N15525" t="str">
        <f>"7/15/2021 8:42:00 AM"</f>
        <v>7/15/2021 8:42:00 AM</v>
      </c>
      <c r="O15525" t="s">
        <v>47439</v>
      </c>
      <c r="T15525" t="str">
        <f>"BOWLES ALAN M/ WILLIAM ANDREW"</f>
        <v>BOWLES ALAN M/ WILLIAM ANDREW</v>
      </c>
    </row>
    <row r="15526" spans="1:20" x14ac:dyDescent="0.25">
      <c r="A15526" t="str">
        <f>"3051173"</f>
        <v>3051173</v>
      </c>
      <c r="B15526" t="s">
        <v>47441</v>
      </c>
      <c r="C15526" t="str">
        <f>"17073370"</f>
        <v>17073370</v>
      </c>
      <c r="D15526" t="s">
        <v>43926</v>
      </c>
      <c r="F15526" t="s">
        <v>43928</v>
      </c>
      <c r="I15526" t="s">
        <v>1176</v>
      </c>
      <c r="J15526" t="s">
        <v>30</v>
      </c>
      <c r="K15526" t="s">
        <v>43929</v>
      </c>
      <c r="M15526" t="s">
        <v>36935</v>
      </c>
      <c r="N15526" t="str">
        <f>"7/15/2021 10:00:00 AM"</f>
        <v>7/15/2021 10:00:00 AM</v>
      </c>
      <c r="O15526" t="s">
        <v>43926</v>
      </c>
    </row>
    <row r="15527" spans="1:20" x14ac:dyDescent="0.25">
      <c r="A15527" t="str">
        <f>"3041208"</f>
        <v>3041208</v>
      </c>
      <c r="B15527" t="s">
        <v>47442</v>
      </c>
      <c r="C15527" t="str">
        <f>"8316012"</f>
        <v>8316012</v>
      </c>
      <c r="D15527" t="s">
        <v>47443</v>
      </c>
      <c r="F15527" t="s">
        <v>47444</v>
      </c>
      <c r="I15527" t="s">
        <v>184</v>
      </c>
      <c r="J15527" t="s">
        <v>30</v>
      </c>
      <c r="K15527" t="s">
        <v>2342</v>
      </c>
      <c r="M15527" t="s">
        <v>17861</v>
      </c>
      <c r="N15527" t="str">
        <f>"7/21/2021 11:27:00 AM"</f>
        <v>7/21/2021 11:27:00 AM</v>
      </c>
    </row>
    <row r="15528" spans="1:20" x14ac:dyDescent="0.25">
      <c r="A15528" t="str">
        <f>"3063715"</f>
        <v>3063715</v>
      </c>
      <c r="B15528" t="s">
        <v>47445</v>
      </c>
      <c r="C15528" t="str">
        <f>"8315981"</f>
        <v>8315981</v>
      </c>
      <c r="D15528" t="s">
        <v>47446</v>
      </c>
      <c r="E15528" t="s">
        <v>47447</v>
      </c>
      <c r="F15528" t="s">
        <v>47448</v>
      </c>
      <c r="I15528" t="s">
        <v>29</v>
      </c>
      <c r="J15528" t="s">
        <v>30</v>
      </c>
      <c r="K15528" t="s">
        <v>25587</v>
      </c>
      <c r="M15528" t="s">
        <v>17861</v>
      </c>
      <c r="N15528" t="str">
        <f>"7/12/2021 1:07:00 PM"</f>
        <v>7/12/2021 1:07:00 PM</v>
      </c>
      <c r="O15528" t="s">
        <v>47446</v>
      </c>
      <c r="T15528" t="s">
        <v>47447</v>
      </c>
    </row>
    <row r="15529" spans="1:20" x14ac:dyDescent="0.25">
      <c r="A15529" t="str">
        <f>"3043515"</f>
        <v>3043515</v>
      </c>
      <c r="B15529" t="s">
        <v>47449</v>
      </c>
      <c r="C15529" t="str">
        <f>"8315983"</f>
        <v>8315983</v>
      </c>
      <c r="D15529" t="s">
        <v>47450</v>
      </c>
      <c r="F15529" t="s">
        <v>47451</v>
      </c>
      <c r="I15529" t="s">
        <v>29</v>
      </c>
      <c r="J15529" t="s">
        <v>30</v>
      </c>
      <c r="K15529" t="s">
        <v>8119</v>
      </c>
      <c r="M15529" t="s">
        <v>17861</v>
      </c>
      <c r="N15529" t="str">
        <f>"7/12/2021 1:37:00 PM"</f>
        <v>7/12/2021 1:37:00 PM</v>
      </c>
      <c r="O15529" t="s">
        <v>47450</v>
      </c>
    </row>
    <row r="15530" spans="1:20" x14ac:dyDescent="0.25">
      <c r="A15530" t="str">
        <f>"3040213"</f>
        <v>3040213</v>
      </c>
      <c r="B15530" t="s">
        <v>47452</v>
      </c>
      <c r="C15530" t="str">
        <f>"8315984"</f>
        <v>8315984</v>
      </c>
      <c r="D15530" t="s">
        <v>47453</v>
      </c>
      <c r="E15530" t="s">
        <v>47454</v>
      </c>
      <c r="F15530" t="s">
        <v>47455</v>
      </c>
      <c r="I15530" t="s">
        <v>12628</v>
      </c>
      <c r="J15530" t="s">
        <v>30</v>
      </c>
      <c r="K15530" t="s">
        <v>47456</v>
      </c>
      <c r="M15530" t="s">
        <v>17861</v>
      </c>
      <c r="N15530" t="str">
        <f>"7/12/2021 1:46:00 PM"</f>
        <v>7/12/2021 1:46:00 PM</v>
      </c>
      <c r="O15530" t="s">
        <v>47453</v>
      </c>
      <c r="T15530" t="s">
        <v>47454</v>
      </c>
    </row>
    <row r="15531" spans="1:20" x14ac:dyDescent="0.25">
      <c r="A15531" t="str">
        <f>"3040214"</f>
        <v>3040214</v>
      </c>
      <c r="B15531" t="s">
        <v>47457</v>
      </c>
      <c r="C15531" t="str">
        <f>"8315984"</f>
        <v>8315984</v>
      </c>
      <c r="D15531" t="s">
        <v>47453</v>
      </c>
      <c r="E15531" t="s">
        <v>47454</v>
      </c>
      <c r="F15531" t="s">
        <v>47455</v>
      </c>
      <c r="I15531" t="s">
        <v>12628</v>
      </c>
      <c r="J15531" t="s">
        <v>30</v>
      </c>
      <c r="K15531" t="s">
        <v>47456</v>
      </c>
      <c r="M15531" t="s">
        <v>17861</v>
      </c>
      <c r="N15531" t="str">
        <f>"7/12/2021 1:46:00 PM"</f>
        <v>7/12/2021 1:46:00 PM</v>
      </c>
      <c r="O15531" t="s">
        <v>47453</v>
      </c>
      <c r="T15531" t="s">
        <v>47454</v>
      </c>
    </row>
    <row r="15532" spans="1:20" x14ac:dyDescent="0.25">
      <c r="A15532" t="str">
        <f>"3040530"</f>
        <v>3040530</v>
      </c>
      <c r="B15532" t="s">
        <v>47458</v>
      </c>
      <c r="C15532" t="str">
        <f>"82527735"</f>
        <v>82527735</v>
      </c>
      <c r="D15532" t="s">
        <v>47459</v>
      </c>
      <c r="F15532" t="s">
        <v>47460</v>
      </c>
      <c r="I15532" t="s">
        <v>184</v>
      </c>
      <c r="J15532" t="s">
        <v>30</v>
      </c>
      <c r="K15532" t="s">
        <v>185</v>
      </c>
      <c r="M15532" t="s">
        <v>25733</v>
      </c>
      <c r="N15532" t="str">
        <f>"7/12/2021 1:59:00 PM"</f>
        <v>7/12/2021 1:59:00 PM</v>
      </c>
      <c r="O15532" t="s">
        <v>47459</v>
      </c>
    </row>
    <row r="15533" spans="1:20" x14ac:dyDescent="0.25">
      <c r="A15533" t="str">
        <f>"3045834"</f>
        <v>3045834</v>
      </c>
      <c r="B15533" t="s">
        <v>47461</v>
      </c>
      <c r="C15533" t="str">
        <f>"8316016"</f>
        <v>8316016</v>
      </c>
      <c r="D15533" t="s">
        <v>47462</v>
      </c>
      <c r="F15533" t="s">
        <v>47463</v>
      </c>
      <c r="I15533" t="s">
        <v>29</v>
      </c>
      <c r="J15533" t="s">
        <v>30</v>
      </c>
      <c r="K15533" t="s">
        <v>44435</v>
      </c>
      <c r="M15533" t="s">
        <v>17861</v>
      </c>
      <c r="N15533" t="str">
        <f>"7/21/2021 12:41:00 PM"</f>
        <v>7/21/2021 12:41:00 PM</v>
      </c>
      <c r="O15533" t="s">
        <v>47462</v>
      </c>
    </row>
    <row r="15534" spans="1:20" x14ac:dyDescent="0.25">
      <c r="A15534" t="str">
        <f>"3046336"</f>
        <v>3046336</v>
      </c>
      <c r="B15534" t="s">
        <v>47464</v>
      </c>
      <c r="C15534" t="str">
        <f>"8316016"</f>
        <v>8316016</v>
      </c>
      <c r="D15534" t="s">
        <v>47462</v>
      </c>
      <c r="F15534" t="s">
        <v>47463</v>
      </c>
      <c r="I15534" t="s">
        <v>29</v>
      </c>
      <c r="J15534" t="s">
        <v>30</v>
      </c>
      <c r="K15534" t="s">
        <v>44435</v>
      </c>
      <c r="M15534" t="s">
        <v>17861</v>
      </c>
      <c r="N15534" t="str">
        <f>"7/21/2021 12:41:00 PM"</f>
        <v>7/21/2021 12:41:00 PM</v>
      </c>
      <c r="O15534" t="s">
        <v>47462</v>
      </c>
    </row>
    <row r="15535" spans="1:20" x14ac:dyDescent="0.25">
      <c r="A15535" t="str">
        <f>"3052521"</f>
        <v>3052521</v>
      </c>
      <c r="B15535" t="s">
        <v>47465</v>
      </c>
      <c r="C15535" t="str">
        <f>"8316017"</f>
        <v>8316017</v>
      </c>
      <c r="D15535" t="str">
        <f>"LAGOS ALFREDO E/LEILA S"</f>
        <v>LAGOS ALFREDO E/LEILA S</v>
      </c>
      <c r="E15535" t="s">
        <v>47466</v>
      </c>
      <c r="F15535" t="s">
        <v>47467</v>
      </c>
      <c r="I15535" t="s">
        <v>17921</v>
      </c>
      <c r="J15535" t="s">
        <v>30</v>
      </c>
      <c r="K15535" t="str">
        <f>"27028"</f>
        <v>27028</v>
      </c>
      <c r="M15535" t="s">
        <v>17861</v>
      </c>
      <c r="N15535" t="str">
        <f>"7/21/2021 12:45:00 PM"</f>
        <v>7/21/2021 12:45:00 PM</v>
      </c>
      <c r="O15535" t="str">
        <f>"LAGOS ALFREDO E/LEILA S"</f>
        <v>LAGOS ALFREDO E/LEILA S</v>
      </c>
      <c r="T15535" t="s">
        <v>47466</v>
      </c>
    </row>
    <row r="15536" spans="1:20" x14ac:dyDescent="0.25">
      <c r="A15536" t="str">
        <f>"3041317"</f>
        <v>3041317</v>
      </c>
      <c r="B15536" t="s">
        <v>47468</v>
      </c>
      <c r="C15536" t="str">
        <f>"8316028"</f>
        <v>8316028</v>
      </c>
      <c r="D15536" t="s">
        <v>47469</v>
      </c>
      <c r="F15536" t="s">
        <v>47470</v>
      </c>
      <c r="I15536" t="s">
        <v>184</v>
      </c>
      <c r="J15536" t="s">
        <v>30</v>
      </c>
      <c r="K15536" t="s">
        <v>33423</v>
      </c>
      <c r="M15536" t="s">
        <v>17861</v>
      </c>
      <c r="N15536" t="str">
        <f>"7/21/2021 3:37:00 PM"</f>
        <v>7/21/2021 3:37:00 PM</v>
      </c>
      <c r="O15536" t="s">
        <v>47469</v>
      </c>
    </row>
    <row r="15537" spans="1:20" x14ac:dyDescent="0.25">
      <c r="A15537" t="str">
        <f>"3046721"</f>
        <v>3046721</v>
      </c>
      <c r="B15537" t="s">
        <v>47471</v>
      </c>
      <c r="C15537" t="str">
        <f>"8316022"</f>
        <v>8316022</v>
      </c>
      <c r="D15537" t="s">
        <v>47472</v>
      </c>
      <c r="E15537" t="s">
        <v>47473</v>
      </c>
      <c r="F15537" t="s">
        <v>47474</v>
      </c>
      <c r="I15537" t="s">
        <v>184</v>
      </c>
      <c r="J15537" t="s">
        <v>30</v>
      </c>
      <c r="K15537" t="s">
        <v>7850</v>
      </c>
      <c r="M15537" t="s">
        <v>17861</v>
      </c>
      <c r="N15537" t="str">
        <f>"7/21/2021 4:06:00 PM"</f>
        <v>7/21/2021 4:06:00 PM</v>
      </c>
      <c r="O15537" t="s">
        <v>47472</v>
      </c>
      <c r="T15537" t="s">
        <v>47473</v>
      </c>
    </row>
    <row r="15538" spans="1:20" x14ac:dyDescent="0.25">
      <c r="A15538" t="str">
        <f>"3044900"</f>
        <v>3044900</v>
      </c>
      <c r="B15538" t="s">
        <v>47475</v>
      </c>
      <c r="C15538" t="str">
        <f>"8315985"</f>
        <v>8315985</v>
      </c>
      <c r="D15538" t="s">
        <v>47476</v>
      </c>
      <c r="E15538" t="s">
        <v>47477</v>
      </c>
      <c r="F15538" t="s">
        <v>47478</v>
      </c>
      <c r="I15538" t="s">
        <v>184</v>
      </c>
      <c r="J15538" t="s">
        <v>30</v>
      </c>
      <c r="K15538" t="s">
        <v>30957</v>
      </c>
      <c r="M15538" t="s">
        <v>17861</v>
      </c>
      <c r="N15538" t="str">
        <f>"7/12/2021 2:51:00 PM"</f>
        <v>7/12/2021 2:51:00 PM</v>
      </c>
      <c r="O15538" t="s">
        <v>47476</v>
      </c>
      <c r="T15538" t="s">
        <v>47477</v>
      </c>
    </row>
    <row r="15539" spans="1:20" x14ac:dyDescent="0.25">
      <c r="A15539" t="str">
        <f>"3060186"</f>
        <v>3060186</v>
      </c>
      <c r="B15539" t="s">
        <v>47479</v>
      </c>
      <c r="C15539" t="str">
        <f>"8315989"</f>
        <v>8315989</v>
      </c>
      <c r="D15539" t="s">
        <v>47480</v>
      </c>
      <c r="E15539" t="s">
        <v>47481</v>
      </c>
      <c r="F15539" t="s">
        <v>47482</v>
      </c>
      <c r="I15539" t="s">
        <v>29</v>
      </c>
      <c r="J15539" t="s">
        <v>30</v>
      </c>
      <c r="K15539" t="s">
        <v>43323</v>
      </c>
      <c r="M15539" t="s">
        <v>17861</v>
      </c>
      <c r="N15539" t="str">
        <f>"7/12/2021 3:11:00 PM"</f>
        <v>7/12/2021 3:11:00 PM</v>
      </c>
      <c r="O15539" t="s">
        <v>47480</v>
      </c>
      <c r="T15539" t="s">
        <v>47481</v>
      </c>
    </row>
    <row r="15540" spans="1:20" x14ac:dyDescent="0.25">
      <c r="A15540" t="str">
        <f>"3046699"</f>
        <v>3046699</v>
      </c>
      <c r="B15540" t="s">
        <v>47483</v>
      </c>
      <c r="C15540" t="str">
        <f>"8315994"</f>
        <v>8315994</v>
      </c>
      <c r="D15540" t="s">
        <v>47484</v>
      </c>
      <c r="E15540" t="s">
        <v>47485</v>
      </c>
      <c r="F15540" t="s">
        <v>31847</v>
      </c>
      <c r="I15540" t="s">
        <v>184</v>
      </c>
      <c r="J15540" t="s">
        <v>30</v>
      </c>
      <c r="K15540" t="s">
        <v>47486</v>
      </c>
      <c r="M15540" t="s">
        <v>17861</v>
      </c>
      <c r="N15540" t="str">
        <f>"7/12/2021 3:45:00 PM"</f>
        <v>7/12/2021 3:45:00 PM</v>
      </c>
      <c r="O15540" t="s">
        <v>47484</v>
      </c>
      <c r="T15540" t="s">
        <v>47485</v>
      </c>
    </row>
    <row r="15541" spans="1:20" x14ac:dyDescent="0.25">
      <c r="A15541" t="str">
        <f>"3046693"</f>
        <v>3046693</v>
      </c>
      <c r="B15541" t="s">
        <v>47487</v>
      </c>
      <c r="C15541" t="str">
        <f>"8315994"</f>
        <v>8315994</v>
      </c>
      <c r="D15541" t="s">
        <v>47484</v>
      </c>
      <c r="E15541" t="s">
        <v>47485</v>
      </c>
      <c r="F15541" t="s">
        <v>31847</v>
      </c>
      <c r="I15541" t="s">
        <v>184</v>
      </c>
      <c r="J15541" t="s">
        <v>30</v>
      </c>
      <c r="K15541" t="s">
        <v>47486</v>
      </c>
      <c r="M15541" t="s">
        <v>17861</v>
      </c>
      <c r="N15541" t="str">
        <f>"7/12/2021 3:45:00 PM"</f>
        <v>7/12/2021 3:45:00 PM</v>
      </c>
      <c r="O15541" t="s">
        <v>47484</v>
      </c>
      <c r="T15541" t="s">
        <v>47485</v>
      </c>
    </row>
    <row r="15542" spans="1:20" x14ac:dyDescent="0.25">
      <c r="A15542" t="str">
        <f>"3052010"</f>
        <v>3052010</v>
      </c>
      <c r="B15542" t="s">
        <v>47488</v>
      </c>
      <c r="C15542" t="str">
        <f>"8316045"</f>
        <v>8316045</v>
      </c>
      <c r="D15542" t="s">
        <v>47489</v>
      </c>
      <c r="F15542" t="s">
        <v>47490</v>
      </c>
      <c r="I15542" t="s">
        <v>29</v>
      </c>
      <c r="J15542" t="s">
        <v>30</v>
      </c>
      <c r="K15542" t="s">
        <v>47491</v>
      </c>
      <c r="M15542" t="s">
        <v>17861</v>
      </c>
      <c r="N15542" t="str">
        <f>"7/22/2021 11:15:00 AM"</f>
        <v>7/22/2021 11:15:00 AM</v>
      </c>
      <c r="O15542" t="s">
        <v>47489</v>
      </c>
    </row>
    <row r="15543" spans="1:20" x14ac:dyDescent="0.25">
      <c r="A15543" t="str">
        <f>"3046320"</f>
        <v>3046320</v>
      </c>
      <c r="B15543" t="s">
        <v>47492</v>
      </c>
      <c r="C15543" t="str">
        <f>"8316075"</f>
        <v>8316075</v>
      </c>
      <c r="D15543" t="s">
        <v>47493</v>
      </c>
      <c r="E15543" t="s">
        <v>47494</v>
      </c>
      <c r="F15543" t="s">
        <v>47495</v>
      </c>
      <c r="I15543" t="s">
        <v>29</v>
      </c>
      <c r="J15543" t="s">
        <v>30</v>
      </c>
      <c r="K15543" t="s">
        <v>27045</v>
      </c>
      <c r="M15543" t="s">
        <v>17861</v>
      </c>
      <c r="N15543" t="str">
        <f>"7/26/2021 2:12:00 PM"</f>
        <v>7/26/2021 2:12:00 PM</v>
      </c>
      <c r="O15543" t="s">
        <v>47493</v>
      </c>
      <c r="T15543" t="s">
        <v>47494</v>
      </c>
    </row>
    <row r="15544" spans="1:20" x14ac:dyDescent="0.25">
      <c r="A15544" t="str">
        <f>"3046023"</f>
        <v>3046023</v>
      </c>
      <c r="B15544" t="s">
        <v>47496</v>
      </c>
      <c r="C15544" t="str">
        <f>"8316075"</f>
        <v>8316075</v>
      </c>
      <c r="D15544" t="s">
        <v>47493</v>
      </c>
      <c r="E15544" t="s">
        <v>47494</v>
      </c>
      <c r="F15544" t="s">
        <v>47495</v>
      </c>
      <c r="I15544" t="s">
        <v>29</v>
      </c>
      <c r="J15544" t="s">
        <v>30</v>
      </c>
      <c r="K15544" t="s">
        <v>27045</v>
      </c>
      <c r="M15544" t="s">
        <v>17861</v>
      </c>
      <c r="N15544" t="str">
        <f>"7/26/2021 2:12:00 PM"</f>
        <v>7/26/2021 2:12:00 PM</v>
      </c>
      <c r="O15544" t="s">
        <v>47493</v>
      </c>
      <c r="T15544" t="s">
        <v>47494</v>
      </c>
    </row>
    <row r="15545" spans="1:20" x14ac:dyDescent="0.25">
      <c r="A15545" t="str">
        <f>"3045903"</f>
        <v>3045903</v>
      </c>
      <c r="B15545" t="s">
        <v>47497</v>
      </c>
      <c r="C15545" t="str">
        <f>"8316075"</f>
        <v>8316075</v>
      </c>
      <c r="D15545" t="s">
        <v>47493</v>
      </c>
      <c r="E15545" t="s">
        <v>47494</v>
      </c>
      <c r="F15545" t="s">
        <v>47495</v>
      </c>
      <c r="I15545" t="s">
        <v>29</v>
      </c>
      <c r="J15545" t="s">
        <v>30</v>
      </c>
      <c r="K15545" t="s">
        <v>27045</v>
      </c>
      <c r="M15545" t="s">
        <v>17861</v>
      </c>
      <c r="N15545" t="str">
        <f>"7/26/2021 2:12:00 PM"</f>
        <v>7/26/2021 2:12:00 PM</v>
      </c>
      <c r="O15545" t="s">
        <v>47493</v>
      </c>
      <c r="T15545" t="s">
        <v>47494</v>
      </c>
    </row>
    <row r="15546" spans="1:20" x14ac:dyDescent="0.25">
      <c r="A15546" t="str">
        <f>"3059415"</f>
        <v>3059415</v>
      </c>
      <c r="B15546" t="s">
        <v>47498</v>
      </c>
      <c r="C15546" t="str">
        <f>"8316078"</f>
        <v>8316078</v>
      </c>
      <c r="D15546" t="s">
        <v>47499</v>
      </c>
      <c r="F15546" t="s">
        <v>47500</v>
      </c>
      <c r="I15546" t="s">
        <v>29</v>
      </c>
      <c r="J15546" t="s">
        <v>30</v>
      </c>
      <c r="K15546" t="s">
        <v>47501</v>
      </c>
      <c r="M15546" t="s">
        <v>17861</v>
      </c>
      <c r="N15546" t="str">
        <f>"7/26/2021 2:56:00 PM"</f>
        <v>7/26/2021 2:56:00 PM</v>
      </c>
      <c r="O15546" t="s">
        <v>47499</v>
      </c>
    </row>
    <row r="15547" spans="1:20" x14ac:dyDescent="0.25">
      <c r="A15547" t="str">
        <f>"3061625"</f>
        <v>3061625</v>
      </c>
      <c r="B15547" t="s">
        <v>47502</v>
      </c>
      <c r="C15547" t="str">
        <f>"8316046"</f>
        <v>8316046</v>
      </c>
      <c r="D15547" t="s">
        <v>47503</v>
      </c>
      <c r="E15547" t="s">
        <v>47504</v>
      </c>
      <c r="F15547" t="s">
        <v>47505</v>
      </c>
      <c r="I15547" t="s">
        <v>29</v>
      </c>
      <c r="J15547" t="s">
        <v>30</v>
      </c>
      <c r="K15547" t="str">
        <f>"27028"</f>
        <v>27028</v>
      </c>
      <c r="M15547" t="s">
        <v>17861</v>
      </c>
      <c r="N15547" t="str">
        <f>"7/22/2021 11:19:00 AM"</f>
        <v>7/22/2021 11:19:00 AM</v>
      </c>
      <c r="O15547" t="s">
        <v>47503</v>
      </c>
      <c r="T15547" t="s">
        <v>47504</v>
      </c>
    </row>
    <row r="15548" spans="1:20" x14ac:dyDescent="0.25">
      <c r="A15548" t="str">
        <f>"3060891"</f>
        <v>3060891</v>
      </c>
      <c r="B15548" t="s">
        <v>47506</v>
      </c>
      <c r="C15548" t="str">
        <f>"8316086"</f>
        <v>8316086</v>
      </c>
      <c r="D15548" t="s">
        <v>47507</v>
      </c>
      <c r="E15548" t="s">
        <v>47508</v>
      </c>
      <c r="F15548" t="s">
        <v>47509</v>
      </c>
      <c r="I15548" t="s">
        <v>2071</v>
      </c>
      <c r="J15548" t="s">
        <v>30</v>
      </c>
      <c r="K15548" t="s">
        <v>23610</v>
      </c>
      <c r="M15548" t="s">
        <v>17861</v>
      </c>
      <c r="N15548" t="str">
        <f>"7/26/2021 4:23:00 PM"</f>
        <v>7/26/2021 4:23:00 PM</v>
      </c>
      <c r="O15548" t="s">
        <v>47507</v>
      </c>
      <c r="T15548" t="s">
        <v>47508</v>
      </c>
    </row>
    <row r="15549" spans="1:20" x14ac:dyDescent="0.25">
      <c r="A15549" t="str">
        <f>"3061089"</f>
        <v>3061089</v>
      </c>
      <c r="B15549" t="s">
        <v>47510</v>
      </c>
      <c r="C15549" t="str">
        <f>"8316048"</f>
        <v>8316048</v>
      </c>
      <c r="D15549" t="s">
        <v>47511</v>
      </c>
      <c r="E15549" t="s">
        <v>47512</v>
      </c>
      <c r="F15549" t="s">
        <v>47513</v>
      </c>
      <c r="I15549" t="s">
        <v>184</v>
      </c>
      <c r="J15549" t="s">
        <v>30</v>
      </c>
      <c r="K15549" t="s">
        <v>47514</v>
      </c>
      <c r="M15549" t="s">
        <v>17861</v>
      </c>
      <c r="N15549" t="str">
        <f>"7/22/2021 11:50:00 AM"</f>
        <v>7/22/2021 11:50:00 AM</v>
      </c>
      <c r="O15549" t="s">
        <v>47511</v>
      </c>
      <c r="T15549" t="s">
        <v>47512</v>
      </c>
    </row>
    <row r="15550" spans="1:20" x14ac:dyDescent="0.25">
      <c r="A15550" t="str">
        <f>"3039550"</f>
        <v>3039550</v>
      </c>
      <c r="B15550" t="s">
        <v>47515</v>
      </c>
      <c r="C15550" t="str">
        <f>"8316049"</f>
        <v>8316049</v>
      </c>
      <c r="D15550" t="s">
        <v>47516</v>
      </c>
      <c r="F15550" t="s">
        <v>47517</v>
      </c>
      <c r="I15550" t="s">
        <v>184</v>
      </c>
      <c r="J15550" t="s">
        <v>30</v>
      </c>
      <c r="K15550" t="s">
        <v>42300</v>
      </c>
      <c r="M15550" t="s">
        <v>17861</v>
      </c>
      <c r="N15550" t="str">
        <f>"7/22/2021 11:54:00 AM"</f>
        <v>7/22/2021 11:54:00 AM</v>
      </c>
      <c r="O15550" t="s">
        <v>47516</v>
      </c>
    </row>
    <row r="15551" spans="1:20" x14ac:dyDescent="0.25">
      <c r="A15551" t="str">
        <f>"3066641"</f>
        <v>3066641</v>
      </c>
      <c r="B15551" t="s">
        <v>47518</v>
      </c>
      <c r="C15551" t="str">
        <f>"8316035"</f>
        <v>8316035</v>
      </c>
      <c r="D15551" t="s">
        <v>47519</v>
      </c>
      <c r="E15551" t="s">
        <v>47520</v>
      </c>
      <c r="F15551" t="s">
        <v>47521</v>
      </c>
      <c r="I15551" t="s">
        <v>184</v>
      </c>
      <c r="J15551" t="s">
        <v>30</v>
      </c>
      <c r="K15551" t="s">
        <v>38147</v>
      </c>
      <c r="M15551" t="s">
        <v>17861</v>
      </c>
      <c r="N15551" t="str">
        <f>"7/22/2021 9:30:00 AM"</f>
        <v>7/22/2021 9:30:00 AM</v>
      </c>
      <c r="O15551" t="s">
        <v>47519</v>
      </c>
      <c r="T15551" t="s">
        <v>47520</v>
      </c>
    </row>
    <row r="15552" spans="1:20" x14ac:dyDescent="0.25">
      <c r="A15552" t="str">
        <f>"3055261"</f>
        <v>3055261</v>
      </c>
      <c r="B15552" t="s">
        <v>47522</v>
      </c>
      <c r="C15552" t="str">
        <f>"8316038"</f>
        <v>8316038</v>
      </c>
      <c r="D15552" t="s">
        <v>47523</v>
      </c>
      <c r="F15552" t="s">
        <v>47524</v>
      </c>
      <c r="I15552" t="s">
        <v>29</v>
      </c>
      <c r="J15552" t="s">
        <v>30</v>
      </c>
      <c r="K15552" t="s">
        <v>39156</v>
      </c>
      <c r="M15552" t="s">
        <v>17861</v>
      </c>
      <c r="N15552" t="str">
        <f>"7/22/2021 9:48:00 AM"</f>
        <v>7/22/2021 9:48:00 AM</v>
      </c>
      <c r="O15552" t="s">
        <v>47523</v>
      </c>
    </row>
    <row r="15553" spans="1:20" x14ac:dyDescent="0.25">
      <c r="A15553" t="str">
        <f>"3042382"</f>
        <v>3042382</v>
      </c>
      <c r="B15553" t="s">
        <v>47525</v>
      </c>
      <c r="C15553" t="str">
        <f>"8316039"</f>
        <v>8316039</v>
      </c>
      <c r="D15553" t="s">
        <v>47526</v>
      </c>
      <c r="E15553" t="s">
        <v>47527</v>
      </c>
      <c r="F15553" t="s">
        <v>47528</v>
      </c>
      <c r="I15553" t="s">
        <v>184</v>
      </c>
      <c r="J15553" t="s">
        <v>30</v>
      </c>
      <c r="K15553" t="s">
        <v>3433</v>
      </c>
      <c r="M15553" t="s">
        <v>17861</v>
      </c>
      <c r="N15553" t="str">
        <f>"7/22/2021 9:52:00 AM"</f>
        <v>7/22/2021 9:52:00 AM</v>
      </c>
      <c r="O15553" t="s">
        <v>47526</v>
      </c>
      <c r="T15553" t="s">
        <v>47527</v>
      </c>
    </row>
    <row r="15554" spans="1:20" x14ac:dyDescent="0.25">
      <c r="A15554" t="str">
        <f>"3062582"</f>
        <v>3062582</v>
      </c>
      <c r="B15554" t="s">
        <v>47529</v>
      </c>
      <c r="C15554" t="str">
        <f>"8316042"</f>
        <v>8316042</v>
      </c>
      <c r="D15554" t="s">
        <v>47530</v>
      </c>
      <c r="F15554" t="s">
        <v>47531</v>
      </c>
      <c r="I15554" t="s">
        <v>29</v>
      </c>
      <c r="J15554" t="s">
        <v>30</v>
      </c>
      <c r="K15554" t="s">
        <v>47532</v>
      </c>
      <c r="M15554" t="s">
        <v>17861</v>
      </c>
      <c r="N15554" t="str">
        <f>"7/22/2021 10:44:00 AM"</f>
        <v>7/22/2021 10:44:00 AM</v>
      </c>
      <c r="O15554" t="s">
        <v>47530</v>
      </c>
    </row>
    <row r="15555" spans="1:20" x14ac:dyDescent="0.25">
      <c r="A15555" t="str">
        <f>"3039472"</f>
        <v>3039472</v>
      </c>
      <c r="B15555" t="s">
        <v>47533</v>
      </c>
      <c r="C15555" t="str">
        <f>"8316043"</f>
        <v>8316043</v>
      </c>
      <c r="D15555" t="s">
        <v>47534</v>
      </c>
      <c r="E15555" t="s">
        <v>47535</v>
      </c>
      <c r="F15555" t="s">
        <v>47536</v>
      </c>
      <c r="I15555" t="s">
        <v>24359</v>
      </c>
      <c r="J15555" t="s">
        <v>30</v>
      </c>
      <c r="K15555" t="str">
        <f>"27006"</f>
        <v>27006</v>
      </c>
      <c r="M15555" t="s">
        <v>17861</v>
      </c>
      <c r="N15555" t="str">
        <f>"7/22/2021 10:58:00 AM"</f>
        <v>7/22/2021 10:58:00 AM</v>
      </c>
      <c r="O15555" t="s">
        <v>47534</v>
      </c>
      <c r="T15555" t="s">
        <v>47535</v>
      </c>
    </row>
    <row r="15556" spans="1:20" x14ac:dyDescent="0.25">
      <c r="A15556" t="str">
        <f>"3059382"</f>
        <v>3059382</v>
      </c>
      <c r="B15556" t="s">
        <v>47537</v>
      </c>
      <c r="C15556" t="str">
        <f>"8316044"</f>
        <v>8316044</v>
      </c>
      <c r="D15556" t="s">
        <v>47538</v>
      </c>
      <c r="F15556" t="s">
        <v>47539</v>
      </c>
      <c r="I15556" t="s">
        <v>29</v>
      </c>
      <c r="J15556" t="s">
        <v>30</v>
      </c>
      <c r="K15556" t="s">
        <v>47540</v>
      </c>
      <c r="M15556" t="s">
        <v>17861</v>
      </c>
      <c r="N15556" t="str">
        <f>"7/22/2021 11:13:00 AM"</f>
        <v>7/22/2021 11:13:00 AM</v>
      </c>
      <c r="O15556" t="s">
        <v>47538</v>
      </c>
    </row>
    <row r="15557" spans="1:20" x14ac:dyDescent="0.25">
      <c r="A15557" t="str">
        <f>"3078819"</f>
        <v>3078819</v>
      </c>
      <c r="B15557" t="s">
        <v>47541</v>
      </c>
      <c r="C15557" t="str">
        <f>"8309349"</f>
        <v>8309349</v>
      </c>
      <c r="D15557" t="s">
        <v>47542</v>
      </c>
      <c r="E15557" t="s">
        <v>47543</v>
      </c>
      <c r="F15557" t="s">
        <v>47544</v>
      </c>
      <c r="I15557" t="s">
        <v>29</v>
      </c>
      <c r="J15557" t="s">
        <v>30</v>
      </c>
      <c r="K15557" t="s">
        <v>47545</v>
      </c>
      <c r="M15557" t="s">
        <v>33845</v>
      </c>
      <c r="N15557" t="str">
        <f>"8/2/2021 3:21:00 PM"</f>
        <v>8/2/2021 3:21:00 PM</v>
      </c>
      <c r="O15557" t="s">
        <v>47542</v>
      </c>
      <c r="T15557" t="s">
        <v>47543</v>
      </c>
    </row>
    <row r="15558" spans="1:20" x14ac:dyDescent="0.25">
      <c r="A15558" t="str">
        <f>"3078814"</f>
        <v>3078814</v>
      </c>
      <c r="B15558" t="s">
        <v>47546</v>
      </c>
      <c r="C15558" t="str">
        <f>"32151000"</f>
        <v>32151000</v>
      </c>
      <c r="D15558" t="s">
        <v>47542</v>
      </c>
      <c r="F15558" t="s">
        <v>47547</v>
      </c>
      <c r="I15558" t="s">
        <v>29</v>
      </c>
      <c r="J15558" t="s">
        <v>30</v>
      </c>
      <c r="K15558" t="s">
        <v>31</v>
      </c>
      <c r="M15558" t="s">
        <v>33845</v>
      </c>
      <c r="N15558" t="str">
        <f>"8/2/2021 3:25:00 PM"</f>
        <v>8/2/2021 3:25:00 PM</v>
      </c>
      <c r="O15558" t="s">
        <v>47542</v>
      </c>
    </row>
    <row r="15559" spans="1:20" x14ac:dyDescent="0.25">
      <c r="A15559" t="str">
        <f>"3054323"</f>
        <v>3054323</v>
      </c>
      <c r="B15559" t="s">
        <v>47548</v>
      </c>
      <c r="C15559" t="str">
        <f>"32151000"</f>
        <v>32151000</v>
      </c>
      <c r="D15559" t="s">
        <v>47542</v>
      </c>
      <c r="F15559" t="s">
        <v>47547</v>
      </c>
      <c r="I15559" t="s">
        <v>29</v>
      </c>
      <c r="J15559" t="s">
        <v>30</v>
      </c>
      <c r="K15559" t="s">
        <v>31</v>
      </c>
      <c r="M15559" t="s">
        <v>33845</v>
      </c>
      <c r="N15559" t="str">
        <f>"8/2/2021 3:25:00 PM"</f>
        <v>8/2/2021 3:25:00 PM</v>
      </c>
      <c r="O15559" t="s">
        <v>47542</v>
      </c>
    </row>
    <row r="15560" spans="1:20" x14ac:dyDescent="0.25">
      <c r="A15560" t="str">
        <f>"3070151"</f>
        <v>3070151</v>
      </c>
      <c r="B15560" t="s">
        <v>47549</v>
      </c>
      <c r="C15560" t="str">
        <f>"81012370"</f>
        <v>81012370</v>
      </c>
      <c r="D15560" t="s">
        <v>34964</v>
      </c>
      <c r="F15560" t="s">
        <v>34965</v>
      </c>
      <c r="I15560" t="s">
        <v>21225</v>
      </c>
      <c r="J15560" t="s">
        <v>30</v>
      </c>
      <c r="K15560" t="s">
        <v>20248</v>
      </c>
      <c r="M15560" t="s">
        <v>33845</v>
      </c>
      <c r="N15560" t="str">
        <f>"8/2/2021 3:28:00 PM"</f>
        <v>8/2/2021 3:28:00 PM</v>
      </c>
      <c r="O15560" t="s">
        <v>34964</v>
      </c>
      <c r="T15560" t="s">
        <v>34964</v>
      </c>
    </row>
    <row r="15561" spans="1:20" x14ac:dyDescent="0.25">
      <c r="A15561" t="str">
        <f>"3059909"</f>
        <v>3059909</v>
      </c>
      <c r="B15561" t="s">
        <v>47550</v>
      </c>
      <c r="C15561" t="str">
        <f>"8316085"</f>
        <v>8316085</v>
      </c>
      <c r="D15561" t="s">
        <v>47551</v>
      </c>
      <c r="E15561" t="s">
        <v>47552</v>
      </c>
      <c r="F15561" t="s">
        <v>47553</v>
      </c>
      <c r="I15561" t="s">
        <v>29</v>
      </c>
      <c r="J15561" t="s">
        <v>30</v>
      </c>
      <c r="K15561" t="s">
        <v>16228</v>
      </c>
      <c r="M15561" t="s">
        <v>17861</v>
      </c>
      <c r="N15561" t="str">
        <f>"7/26/2021 4:21:00 PM"</f>
        <v>7/26/2021 4:21:00 PM</v>
      </c>
      <c r="O15561" t="s">
        <v>47551</v>
      </c>
      <c r="T15561" t="s">
        <v>47552</v>
      </c>
    </row>
    <row r="15562" spans="1:20" x14ac:dyDescent="0.25">
      <c r="A15562" t="str">
        <f>"3039130"</f>
        <v>3039130</v>
      </c>
      <c r="B15562" t="s">
        <v>47554</v>
      </c>
      <c r="C15562" t="str">
        <f>"8310738"</f>
        <v>8310738</v>
      </c>
      <c r="D15562" t="s">
        <v>47555</v>
      </c>
      <c r="F15562" t="s">
        <v>47556</v>
      </c>
      <c r="I15562" t="s">
        <v>17921</v>
      </c>
      <c r="J15562" t="s">
        <v>30</v>
      </c>
      <c r="K15562" t="str">
        <f>"27028"</f>
        <v>27028</v>
      </c>
      <c r="M15562" t="s">
        <v>40663</v>
      </c>
      <c r="N15562" t="str">
        <f>"7/28/2021 12:33:00 PM"</f>
        <v>7/28/2021 12:33:00 PM</v>
      </c>
      <c r="O15562" t="s">
        <v>47555</v>
      </c>
    </row>
    <row r="15563" spans="1:20" x14ac:dyDescent="0.25">
      <c r="A15563" t="str">
        <f>"3039076"</f>
        <v>3039076</v>
      </c>
      <c r="B15563" t="s">
        <v>47557</v>
      </c>
      <c r="C15563" t="str">
        <f>"8302047"</f>
        <v>8302047</v>
      </c>
      <c r="D15563" t="s">
        <v>47558</v>
      </c>
      <c r="F15563" t="s">
        <v>47559</v>
      </c>
      <c r="I15563" t="s">
        <v>29</v>
      </c>
      <c r="J15563" t="s">
        <v>30</v>
      </c>
      <c r="K15563" t="str">
        <f>"27028"</f>
        <v>27028</v>
      </c>
      <c r="M15563" t="s">
        <v>33845</v>
      </c>
      <c r="N15563" t="str">
        <f>"8/2/2021 3:44:00 PM"</f>
        <v>8/2/2021 3:44:00 PM</v>
      </c>
      <c r="O15563" t="s">
        <v>47558</v>
      </c>
    </row>
    <row r="15564" spans="1:20" x14ac:dyDescent="0.25">
      <c r="A15564" t="str">
        <f>"3037797"</f>
        <v>3037797</v>
      </c>
      <c r="B15564" t="s">
        <v>47560</v>
      </c>
      <c r="C15564" t="str">
        <f>"8302047"</f>
        <v>8302047</v>
      </c>
      <c r="D15564" t="s">
        <v>47558</v>
      </c>
      <c r="F15564" t="s">
        <v>47559</v>
      </c>
      <c r="I15564" t="s">
        <v>29</v>
      </c>
      <c r="J15564" t="s">
        <v>30</v>
      </c>
      <c r="K15564" t="str">
        <f>"27028"</f>
        <v>27028</v>
      </c>
      <c r="M15564" t="s">
        <v>33845</v>
      </c>
      <c r="N15564" t="str">
        <f>"8/2/2021 3:44:00 PM"</f>
        <v>8/2/2021 3:44:00 PM</v>
      </c>
      <c r="O15564" t="s">
        <v>47558</v>
      </c>
    </row>
    <row r="15565" spans="1:20" x14ac:dyDescent="0.25">
      <c r="A15565" t="str">
        <f>"3037798"</f>
        <v>3037798</v>
      </c>
      <c r="B15565" t="s">
        <v>47561</v>
      </c>
      <c r="C15565" t="str">
        <f>"8302047"</f>
        <v>8302047</v>
      </c>
      <c r="D15565" t="s">
        <v>47558</v>
      </c>
      <c r="F15565" t="s">
        <v>47559</v>
      </c>
      <c r="I15565" t="s">
        <v>29</v>
      </c>
      <c r="J15565" t="s">
        <v>30</v>
      </c>
      <c r="K15565" t="str">
        <f>"27028"</f>
        <v>27028</v>
      </c>
      <c r="M15565" t="s">
        <v>33845</v>
      </c>
      <c r="N15565" t="str">
        <f>"8/2/2021 3:44:00 PM"</f>
        <v>8/2/2021 3:44:00 PM</v>
      </c>
      <c r="O15565" t="s">
        <v>47558</v>
      </c>
    </row>
    <row r="15566" spans="1:20" x14ac:dyDescent="0.25">
      <c r="A15566" t="str">
        <f>"3049542"</f>
        <v>3049542</v>
      </c>
      <c r="B15566" t="s">
        <v>47562</v>
      </c>
      <c r="C15566" t="str">
        <f>"8301211"</f>
        <v>8301211</v>
      </c>
      <c r="D15566" t="s">
        <v>47563</v>
      </c>
      <c r="E15566" t="s">
        <v>47564</v>
      </c>
      <c r="F15566" t="s">
        <v>47565</v>
      </c>
      <c r="I15566" t="s">
        <v>47566</v>
      </c>
      <c r="J15566" t="s">
        <v>1046</v>
      </c>
      <c r="K15566" t="str">
        <f>"30115"</f>
        <v>30115</v>
      </c>
      <c r="M15566" t="s">
        <v>33845</v>
      </c>
      <c r="N15566" t="str">
        <f>"8/2/2021 3:53:00 PM"</f>
        <v>8/2/2021 3:53:00 PM</v>
      </c>
      <c r="O15566" t="s">
        <v>47563</v>
      </c>
      <c r="T15566" t="s">
        <v>47564</v>
      </c>
    </row>
    <row r="15567" spans="1:20" x14ac:dyDescent="0.25">
      <c r="A15567" t="str">
        <f>"3042861"</f>
        <v>3042861</v>
      </c>
      <c r="B15567" t="s">
        <v>47567</v>
      </c>
      <c r="C15567" t="str">
        <f>"82514425"</f>
        <v>82514425</v>
      </c>
      <c r="D15567" t="s">
        <v>47568</v>
      </c>
      <c r="E15567" t="s">
        <v>47569</v>
      </c>
      <c r="F15567" t="s">
        <v>47570</v>
      </c>
      <c r="I15567" t="s">
        <v>47571</v>
      </c>
      <c r="J15567" t="s">
        <v>3737</v>
      </c>
      <c r="K15567" t="s">
        <v>47572</v>
      </c>
      <c r="M15567" t="s">
        <v>33845</v>
      </c>
      <c r="N15567" t="str">
        <f>"8/2/2021 3:55:00 PM"</f>
        <v>8/2/2021 3:55:00 PM</v>
      </c>
      <c r="O15567" t="s">
        <v>47568</v>
      </c>
      <c r="T15567" t="s">
        <v>47569</v>
      </c>
    </row>
    <row r="15568" spans="1:20" x14ac:dyDescent="0.25">
      <c r="A15568" t="str">
        <f>"3056523"</f>
        <v>3056523</v>
      </c>
      <c r="B15568" t="s">
        <v>47573</v>
      </c>
      <c r="C15568" t="str">
        <f>"31342000"</f>
        <v>31342000</v>
      </c>
      <c r="D15568" t="s">
        <v>47574</v>
      </c>
      <c r="E15568" t="s">
        <v>47575</v>
      </c>
      <c r="F15568" t="s">
        <v>47576</v>
      </c>
      <c r="I15568" t="s">
        <v>29</v>
      </c>
      <c r="J15568" t="s">
        <v>30</v>
      </c>
      <c r="K15568" t="s">
        <v>16758</v>
      </c>
      <c r="M15568" t="s">
        <v>17861</v>
      </c>
      <c r="N15568" t="str">
        <f>"7/30/2021 11:04:00 AM"</f>
        <v>7/30/2021 11:04:00 AM</v>
      </c>
      <c r="O15568" t="s">
        <v>47574</v>
      </c>
      <c r="T15568" t="s">
        <v>47575</v>
      </c>
    </row>
    <row r="15569" spans="1:20" x14ac:dyDescent="0.25">
      <c r="A15569" t="str">
        <f>"3059868"</f>
        <v>3059868</v>
      </c>
      <c r="B15569" t="s">
        <v>47577</v>
      </c>
      <c r="C15569" t="str">
        <f>"8315057"</f>
        <v>8315057</v>
      </c>
      <c r="D15569" t="s">
        <v>47578</v>
      </c>
      <c r="E15569" t="s">
        <v>47579</v>
      </c>
      <c r="F15569" t="s">
        <v>47580</v>
      </c>
      <c r="I15569" t="s">
        <v>964</v>
      </c>
      <c r="J15569" t="s">
        <v>30</v>
      </c>
      <c r="K15569" t="str">
        <f>"28146"</f>
        <v>28146</v>
      </c>
      <c r="M15569" t="s">
        <v>17861</v>
      </c>
      <c r="N15569" t="str">
        <f>"8/3/2021 8:32:00 AM"</f>
        <v>8/3/2021 8:32:00 AM</v>
      </c>
      <c r="O15569" t="s">
        <v>47578</v>
      </c>
      <c r="T15569" t="s">
        <v>47579</v>
      </c>
    </row>
    <row r="15570" spans="1:20" x14ac:dyDescent="0.25">
      <c r="A15570" t="str">
        <f>"3049465"</f>
        <v>3049465</v>
      </c>
      <c r="B15570" t="s">
        <v>47581</v>
      </c>
      <c r="C15570" t="str">
        <f>"82522134"</f>
        <v>82522134</v>
      </c>
      <c r="D15570" t="s">
        <v>47582</v>
      </c>
      <c r="F15570" t="s">
        <v>47583</v>
      </c>
      <c r="I15570" t="s">
        <v>29</v>
      </c>
      <c r="J15570" t="s">
        <v>30</v>
      </c>
      <c r="K15570" t="s">
        <v>14501</v>
      </c>
      <c r="M15570" t="s">
        <v>33432</v>
      </c>
      <c r="N15570" t="str">
        <f>"8/3/2021 9:40:00 AM"</f>
        <v>8/3/2021 9:40:00 AM</v>
      </c>
      <c r="O15570" t="s">
        <v>47582</v>
      </c>
    </row>
    <row r="15571" spans="1:20" x14ac:dyDescent="0.25">
      <c r="A15571" t="str">
        <f>"3049216"</f>
        <v>3049216</v>
      </c>
      <c r="B15571" t="s">
        <v>47584</v>
      </c>
      <c r="C15571" t="str">
        <f>"82525623"</f>
        <v>82525623</v>
      </c>
      <c r="D15571" t="s">
        <v>47585</v>
      </c>
      <c r="E15571" t="s">
        <v>47586</v>
      </c>
      <c r="F15571" t="s">
        <v>47587</v>
      </c>
      <c r="I15571" t="s">
        <v>29</v>
      </c>
      <c r="J15571" t="s">
        <v>30</v>
      </c>
      <c r="K15571" t="s">
        <v>31</v>
      </c>
      <c r="M15571" t="s">
        <v>17861</v>
      </c>
      <c r="N15571" t="str">
        <f>"8/3/2021 11:34:00 AM"</f>
        <v>8/3/2021 11:34:00 AM</v>
      </c>
      <c r="O15571" t="s">
        <v>47585</v>
      </c>
      <c r="T15571" t="s">
        <v>47586</v>
      </c>
    </row>
    <row r="15572" spans="1:20" x14ac:dyDescent="0.25">
      <c r="A15572" t="str">
        <f>"3048384"</f>
        <v>3048384</v>
      </c>
      <c r="B15572" t="s">
        <v>47588</v>
      </c>
      <c r="C15572" t="str">
        <f>"82525623"</f>
        <v>82525623</v>
      </c>
      <c r="D15572" t="s">
        <v>47585</v>
      </c>
      <c r="E15572" t="s">
        <v>47586</v>
      </c>
      <c r="F15572" t="s">
        <v>47587</v>
      </c>
      <c r="I15572" t="s">
        <v>29</v>
      </c>
      <c r="J15572" t="s">
        <v>30</v>
      </c>
      <c r="K15572" t="s">
        <v>31</v>
      </c>
      <c r="M15572" t="s">
        <v>17861</v>
      </c>
      <c r="N15572" t="str">
        <f>"8/3/2021 11:34:00 AM"</f>
        <v>8/3/2021 11:34:00 AM</v>
      </c>
      <c r="O15572" t="s">
        <v>47585</v>
      </c>
      <c r="T15572" t="s">
        <v>47586</v>
      </c>
    </row>
    <row r="15573" spans="1:20" x14ac:dyDescent="0.25">
      <c r="A15573" t="str">
        <f>"3069332"</f>
        <v>3069332</v>
      </c>
      <c r="B15573" t="s">
        <v>47589</v>
      </c>
      <c r="C15573" t="str">
        <f>"82525623"</f>
        <v>82525623</v>
      </c>
      <c r="D15573" t="s">
        <v>47585</v>
      </c>
      <c r="E15573" t="s">
        <v>47586</v>
      </c>
      <c r="F15573" t="s">
        <v>47587</v>
      </c>
      <c r="I15573" t="s">
        <v>29</v>
      </c>
      <c r="J15573" t="s">
        <v>30</v>
      </c>
      <c r="K15573" t="s">
        <v>31</v>
      </c>
      <c r="M15573" t="s">
        <v>17861</v>
      </c>
      <c r="N15573" t="str">
        <f>"8/3/2021 11:34:00 AM"</f>
        <v>8/3/2021 11:34:00 AM</v>
      </c>
      <c r="O15573" t="s">
        <v>47585</v>
      </c>
      <c r="T15573" t="s">
        <v>47586</v>
      </c>
    </row>
    <row r="15574" spans="1:20" x14ac:dyDescent="0.25">
      <c r="A15574" t="str">
        <f>"3075551"</f>
        <v>3075551</v>
      </c>
      <c r="B15574" t="s">
        <v>47590</v>
      </c>
      <c r="C15574" t="str">
        <f>"82515535"</f>
        <v>82515535</v>
      </c>
      <c r="D15574" t="s">
        <v>47591</v>
      </c>
      <c r="F15574" t="s">
        <v>47592</v>
      </c>
      <c r="I15574" t="s">
        <v>2071</v>
      </c>
      <c r="J15574" t="s">
        <v>30</v>
      </c>
      <c r="K15574" t="s">
        <v>185</v>
      </c>
      <c r="M15574" t="s">
        <v>25733</v>
      </c>
      <c r="N15574" t="str">
        <f>"7/30/2021 12:51:00 PM"</f>
        <v>7/30/2021 12:51:00 PM</v>
      </c>
      <c r="O15574" t="s">
        <v>47591</v>
      </c>
    </row>
    <row r="15575" spans="1:20" x14ac:dyDescent="0.25">
      <c r="A15575" t="str">
        <f>"3044510"</f>
        <v>3044510</v>
      </c>
      <c r="B15575" t="s">
        <v>47593</v>
      </c>
      <c r="C15575" t="str">
        <f>"8316098"</f>
        <v>8316098</v>
      </c>
      <c r="D15575" t="s">
        <v>47594</v>
      </c>
      <c r="F15575" t="s">
        <v>47595</v>
      </c>
      <c r="I15575" t="s">
        <v>184</v>
      </c>
      <c r="J15575" t="s">
        <v>30</v>
      </c>
      <c r="K15575" t="s">
        <v>5682</v>
      </c>
      <c r="M15575" t="s">
        <v>17861</v>
      </c>
      <c r="N15575" t="str">
        <f>"8/3/2021 12:56:00 PM"</f>
        <v>8/3/2021 12:56:00 PM</v>
      </c>
      <c r="O15575" t="s">
        <v>47594</v>
      </c>
    </row>
    <row r="15576" spans="1:20" x14ac:dyDescent="0.25">
      <c r="A15576" t="str">
        <f>"3048299"</f>
        <v>3048299</v>
      </c>
      <c r="B15576" t="s">
        <v>47596</v>
      </c>
      <c r="C15576" t="str">
        <f>"8316101"</f>
        <v>8316101</v>
      </c>
      <c r="D15576" t="s">
        <v>47597</v>
      </c>
      <c r="F15576" t="s">
        <v>47598</v>
      </c>
      <c r="I15576" t="s">
        <v>29</v>
      </c>
      <c r="J15576" t="s">
        <v>30</v>
      </c>
      <c r="K15576" t="s">
        <v>43192</v>
      </c>
      <c r="M15576" t="s">
        <v>17861</v>
      </c>
      <c r="N15576" t="str">
        <f>"8/3/2021 1:28:00 PM"</f>
        <v>8/3/2021 1:28:00 PM</v>
      </c>
      <c r="O15576" t="s">
        <v>47597</v>
      </c>
    </row>
    <row r="15577" spans="1:20" x14ac:dyDescent="0.25">
      <c r="A15577" t="str">
        <f>"3040596"</f>
        <v>3040596</v>
      </c>
      <c r="B15577" t="s">
        <v>47599</v>
      </c>
      <c r="C15577" t="str">
        <f>"8316052"</f>
        <v>8316052</v>
      </c>
      <c r="D15577" t="s">
        <v>47600</v>
      </c>
      <c r="E15577" t="s">
        <v>47601</v>
      </c>
      <c r="F15577" t="s">
        <v>47602</v>
      </c>
      <c r="I15577" t="s">
        <v>184</v>
      </c>
      <c r="J15577" t="s">
        <v>30</v>
      </c>
      <c r="K15577" t="s">
        <v>37414</v>
      </c>
      <c r="M15577" t="s">
        <v>17861</v>
      </c>
      <c r="N15577" t="str">
        <f>"7/22/2021 12:40:00 PM"</f>
        <v>7/22/2021 12:40:00 PM</v>
      </c>
      <c r="O15577" t="s">
        <v>47600</v>
      </c>
      <c r="T15577" t="s">
        <v>47601</v>
      </c>
    </row>
    <row r="15578" spans="1:20" x14ac:dyDescent="0.25">
      <c r="A15578" t="str">
        <f>"3037542"</f>
        <v>3037542</v>
      </c>
      <c r="B15578" t="s">
        <v>47603</v>
      </c>
      <c r="C15578" t="str">
        <f>"8306861"</f>
        <v>8306861</v>
      </c>
      <c r="D15578" t="s">
        <v>47604</v>
      </c>
      <c r="E15578" t="s">
        <v>47605</v>
      </c>
      <c r="F15578" t="s">
        <v>47606</v>
      </c>
      <c r="I15578" t="s">
        <v>29</v>
      </c>
      <c r="J15578" t="s">
        <v>30</v>
      </c>
      <c r="K15578" t="str">
        <f>"27028"</f>
        <v>27028</v>
      </c>
      <c r="M15578" t="s">
        <v>25625</v>
      </c>
      <c r="N15578" t="str">
        <f>"8/3/2021 1:35:00 PM"</f>
        <v>8/3/2021 1:35:00 PM</v>
      </c>
      <c r="O15578" t="s">
        <v>47604</v>
      </c>
      <c r="T15578" t="s">
        <v>47605</v>
      </c>
    </row>
    <row r="15579" spans="1:20" x14ac:dyDescent="0.25">
      <c r="A15579" t="str">
        <f>"3037585"</f>
        <v>3037585</v>
      </c>
      <c r="B15579" t="s">
        <v>47607</v>
      </c>
      <c r="C15579" t="str">
        <f>"8306861"</f>
        <v>8306861</v>
      </c>
      <c r="D15579" t="s">
        <v>47604</v>
      </c>
      <c r="E15579" t="s">
        <v>47605</v>
      </c>
      <c r="F15579" t="s">
        <v>47606</v>
      </c>
      <c r="I15579" t="s">
        <v>29</v>
      </c>
      <c r="J15579" t="s">
        <v>30</v>
      </c>
      <c r="K15579" t="str">
        <f>"27028"</f>
        <v>27028</v>
      </c>
      <c r="M15579" t="s">
        <v>25625</v>
      </c>
      <c r="N15579" t="str">
        <f>"8/3/2021 1:35:00 PM"</f>
        <v>8/3/2021 1:35:00 PM</v>
      </c>
      <c r="O15579" t="s">
        <v>47604</v>
      </c>
      <c r="T15579" t="s">
        <v>47605</v>
      </c>
    </row>
    <row r="15580" spans="1:20" x14ac:dyDescent="0.25">
      <c r="A15580" t="str">
        <f>"3062981"</f>
        <v>3062981</v>
      </c>
      <c r="B15580" t="s">
        <v>47608</v>
      </c>
      <c r="C15580" t="str">
        <f>"8316102"</f>
        <v>8316102</v>
      </c>
      <c r="D15580" t="s">
        <v>47609</v>
      </c>
      <c r="F15580" t="s">
        <v>47610</v>
      </c>
      <c r="I15580" t="s">
        <v>184</v>
      </c>
      <c r="J15580" t="s">
        <v>30</v>
      </c>
      <c r="K15580" t="s">
        <v>8745</v>
      </c>
      <c r="M15580" t="s">
        <v>17861</v>
      </c>
      <c r="N15580" t="str">
        <f>"8/3/2021 2:07:00 PM"</f>
        <v>8/3/2021 2:07:00 PM</v>
      </c>
      <c r="O15580" t="s">
        <v>47609</v>
      </c>
    </row>
    <row r="15581" spans="1:20" x14ac:dyDescent="0.25">
      <c r="A15581" t="str">
        <f>"3047836"</f>
        <v>3047836</v>
      </c>
      <c r="B15581" t="s">
        <v>47611</v>
      </c>
      <c r="C15581" t="str">
        <f>"8316103"</f>
        <v>8316103</v>
      </c>
      <c r="D15581" t="s">
        <v>47612</v>
      </c>
      <c r="F15581" t="s">
        <v>47613</v>
      </c>
      <c r="I15581" t="s">
        <v>184</v>
      </c>
      <c r="J15581" t="s">
        <v>30</v>
      </c>
      <c r="K15581" t="s">
        <v>37145</v>
      </c>
      <c r="M15581" t="s">
        <v>17861</v>
      </c>
      <c r="N15581" t="str">
        <f>"8/3/2021 2:22:00 PM"</f>
        <v>8/3/2021 2:22:00 PM</v>
      </c>
      <c r="O15581" t="s">
        <v>47612</v>
      </c>
    </row>
    <row r="15582" spans="1:20" x14ac:dyDescent="0.25">
      <c r="A15582" t="str">
        <f>"3047708"</f>
        <v>3047708</v>
      </c>
      <c r="B15582" t="s">
        <v>47614</v>
      </c>
      <c r="C15582" t="str">
        <f>"8316104"</f>
        <v>8316104</v>
      </c>
      <c r="D15582" t="s">
        <v>47615</v>
      </c>
      <c r="F15582" t="s">
        <v>47616</v>
      </c>
      <c r="I15582" t="s">
        <v>184</v>
      </c>
      <c r="J15582" t="s">
        <v>30</v>
      </c>
      <c r="K15582" t="s">
        <v>36927</v>
      </c>
      <c r="M15582" t="s">
        <v>17861</v>
      </c>
      <c r="N15582" t="str">
        <f>"8/3/2021 2:38:00 PM"</f>
        <v>8/3/2021 2:38:00 PM</v>
      </c>
      <c r="O15582" t="s">
        <v>47615</v>
      </c>
    </row>
    <row r="15583" spans="1:20" x14ac:dyDescent="0.25">
      <c r="A15583" t="str">
        <f>"3046097"</f>
        <v>3046097</v>
      </c>
      <c r="B15583" t="s">
        <v>47617</v>
      </c>
      <c r="C15583" t="str">
        <f>"8316106"</f>
        <v>8316106</v>
      </c>
      <c r="D15583" t="s">
        <v>47618</v>
      </c>
      <c r="F15583" t="s">
        <v>47619</v>
      </c>
      <c r="I15583" t="s">
        <v>29</v>
      </c>
      <c r="J15583" t="s">
        <v>30</v>
      </c>
      <c r="K15583" t="s">
        <v>8317</v>
      </c>
      <c r="M15583" t="s">
        <v>17861</v>
      </c>
      <c r="N15583" t="str">
        <f>"8/3/2021 3:09:00 PM"</f>
        <v>8/3/2021 3:09:00 PM</v>
      </c>
      <c r="O15583" t="s">
        <v>47618</v>
      </c>
    </row>
    <row r="15584" spans="1:20" x14ac:dyDescent="0.25">
      <c r="A15584" t="str">
        <f>"3055298"</f>
        <v>3055298</v>
      </c>
      <c r="B15584" t="s">
        <v>47620</v>
      </c>
      <c r="C15584" t="str">
        <f>"28466000"</f>
        <v>28466000</v>
      </c>
      <c r="D15584" t="s">
        <v>47621</v>
      </c>
      <c r="E15584" t="s">
        <v>47622</v>
      </c>
      <c r="F15584" t="s">
        <v>47623</v>
      </c>
      <c r="I15584" t="s">
        <v>2291</v>
      </c>
      <c r="J15584" t="s">
        <v>30</v>
      </c>
      <c r="K15584" t="s">
        <v>2292</v>
      </c>
      <c r="M15584" t="s">
        <v>33845</v>
      </c>
      <c r="N15584" t="str">
        <f>"8/4/2021 10:22:00 AM"</f>
        <v>8/4/2021 10:22:00 AM</v>
      </c>
      <c r="O15584" t="s">
        <v>47621</v>
      </c>
      <c r="T15584" t="s">
        <v>47622</v>
      </c>
    </row>
    <row r="15585" spans="1:20" x14ac:dyDescent="0.25">
      <c r="A15585" t="str">
        <f>"3048134"</f>
        <v>3048134</v>
      </c>
      <c r="B15585" t="s">
        <v>47624</v>
      </c>
      <c r="C15585" t="str">
        <f>"8316054"</f>
        <v>8316054</v>
      </c>
      <c r="D15585" t="str">
        <f>"EVANS PHILLIP R/JOEL M"</f>
        <v>EVANS PHILLIP R/JOEL M</v>
      </c>
      <c r="E15585" t="s">
        <v>47625</v>
      </c>
      <c r="F15585" t="s">
        <v>47626</v>
      </c>
      <c r="I15585" t="s">
        <v>184</v>
      </c>
      <c r="J15585" t="s">
        <v>30</v>
      </c>
      <c r="K15585" t="s">
        <v>42485</v>
      </c>
      <c r="M15585" t="s">
        <v>17861</v>
      </c>
      <c r="N15585" t="str">
        <f>"7/22/2021 12:54:00 PM"</f>
        <v>7/22/2021 12:54:00 PM</v>
      </c>
      <c r="O15585" t="str">
        <f>"EVANS PHILLIP R/JOEL M"</f>
        <v>EVANS PHILLIP R/JOEL M</v>
      </c>
      <c r="T15585" t="s">
        <v>47625</v>
      </c>
    </row>
    <row r="15586" spans="1:20" x14ac:dyDescent="0.25">
      <c r="A15586" t="str">
        <f>"3041346"</f>
        <v>3041346</v>
      </c>
      <c r="B15586" t="s">
        <v>47627</v>
      </c>
      <c r="C15586" t="str">
        <f>"8316055"</f>
        <v>8316055</v>
      </c>
      <c r="D15586" t="s">
        <v>47628</v>
      </c>
      <c r="E15586" t="s">
        <v>47629</v>
      </c>
      <c r="F15586" t="s">
        <v>47630</v>
      </c>
      <c r="I15586" t="s">
        <v>184</v>
      </c>
      <c r="J15586" t="s">
        <v>30</v>
      </c>
      <c r="K15586" t="s">
        <v>32945</v>
      </c>
      <c r="M15586" t="s">
        <v>17861</v>
      </c>
      <c r="N15586" t="str">
        <f>"7/22/2021 12:56:00 PM"</f>
        <v>7/22/2021 12:56:00 PM</v>
      </c>
      <c r="O15586" t="s">
        <v>47628</v>
      </c>
      <c r="T15586" t="s">
        <v>47629</v>
      </c>
    </row>
    <row r="15587" spans="1:20" x14ac:dyDescent="0.25">
      <c r="A15587" t="str">
        <f>"3038332"</f>
        <v>3038332</v>
      </c>
      <c r="B15587" t="s">
        <v>47631</v>
      </c>
      <c r="C15587" t="str">
        <f>"8316115"</f>
        <v>8316115</v>
      </c>
      <c r="D15587" t="s">
        <v>47632</v>
      </c>
      <c r="F15587" t="s">
        <v>47633</v>
      </c>
      <c r="I15587" t="s">
        <v>29</v>
      </c>
      <c r="J15587" t="s">
        <v>30</v>
      </c>
      <c r="K15587" t="s">
        <v>47634</v>
      </c>
      <c r="M15587" t="s">
        <v>17861</v>
      </c>
      <c r="N15587" t="str">
        <f>"8/5/2021 9:06:00 AM"</f>
        <v>8/5/2021 9:06:00 AM</v>
      </c>
      <c r="O15587" t="s">
        <v>47632</v>
      </c>
    </row>
    <row r="15588" spans="1:20" x14ac:dyDescent="0.25">
      <c r="A15588" t="str">
        <f>"3061333"</f>
        <v>3061333</v>
      </c>
      <c r="B15588" t="s">
        <v>47635</v>
      </c>
      <c r="C15588" t="str">
        <f>"8316057"</f>
        <v>8316057</v>
      </c>
      <c r="D15588" t="s">
        <v>47636</v>
      </c>
      <c r="F15588" t="s">
        <v>47637</v>
      </c>
      <c r="I15588" t="s">
        <v>184</v>
      </c>
      <c r="J15588" t="s">
        <v>30</v>
      </c>
      <c r="K15588" t="s">
        <v>5214</v>
      </c>
      <c r="M15588" t="s">
        <v>17861</v>
      </c>
      <c r="N15588" t="str">
        <f>"7/22/2021 1:06:00 PM"</f>
        <v>7/22/2021 1:06:00 PM</v>
      </c>
      <c r="O15588" t="s">
        <v>47636</v>
      </c>
    </row>
    <row r="15589" spans="1:20" x14ac:dyDescent="0.25">
      <c r="A15589" t="str">
        <f>"3058372"</f>
        <v>3058372</v>
      </c>
      <c r="B15589" t="s">
        <v>47638</v>
      </c>
      <c r="C15589" t="str">
        <f>"8316060"</f>
        <v>8316060</v>
      </c>
      <c r="D15589" t="s">
        <v>47639</v>
      </c>
      <c r="F15589" t="s">
        <v>47640</v>
      </c>
      <c r="I15589" t="s">
        <v>2071</v>
      </c>
      <c r="J15589" t="s">
        <v>30</v>
      </c>
      <c r="K15589" t="s">
        <v>23610</v>
      </c>
      <c r="M15589" t="s">
        <v>17861</v>
      </c>
      <c r="N15589" t="str">
        <f>"7/22/2021 1:44:00 PM"</f>
        <v>7/22/2021 1:44:00 PM</v>
      </c>
      <c r="O15589" t="s">
        <v>47639</v>
      </c>
    </row>
    <row r="15590" spans="1:20" x14ac:dyDescent="0.25">
      <c r="A15590" t="str">
        <f>"3062543"</f>
        <v>3062543</v>
      </c>
      <c r="B15590" t="s">
        <v>47641</v>
      </c>
      <c r="C15590" t="str">
        <f>"8316062"</f>
        <v>8316062</v>
      </c>
      <c r="D15590" t="s">
        <v>47642</v>
      </c>
      <c r="E15590" t="s">
        <v>47643</v>
      </c>
      <c r="F15590" t="s">
        <v>47644</v>
      </c>
      <c r="I15590" t="s">
        <v>184</v>
      </c>
      <c r="J15590" t="s">
        <v>30</v>
      </c>
      <c r="K15590" t="s">
        <v>18878</v>
      </c>
      <c r="M15590" t="s">
        <v>17861</v>
      </c>
      <c r="N15590" t="str">
        <f>"7/22/2021 1:56:00 PM"</f>
        <v>7/22/2021 1:56:00 PM</v>
      </c>
      <c r="O15590" t="s">
        <v>47642</v>
      </c>
      <c r="T15590" t="s">
        <v>47643</v>
      </c>
    </row>
    <row r="15591" spans="1:20" x14ac:dyDescent="0.25">
      <c r="A15591" t="str">
        <f>"3058928"</f>
        <v>3058928</v>
      </c>
      <c r="B15591" t="s">
        <v>47645</v>
      </c>
      <c r="C15591" t="str">
        <f>"8316063"</f>
        <v>8316063</v>
      </c>
      <c r="D15591" t="s">
        <v>47646</v>
      </c>
      <c r="E15591" t="s">
        <v>47647</v>
      </c>
      <c r="F15591" t="s">
        <v>47648</v>
      </c>
      <c r="I15591" t="s">
        <v>29</v>
      </c>
      <c r="J15591" t="s">
        <v>30</v>
      </c>
      <c r="K15591" t="s">
        <v>32933</v>
      </c>
      <c r="M15591" t="s">
        <v>17861</v>
      </c>
      <c r="N15591" t="str">
        <f>"7/22/2021 2:38:00 PM"</f>
        <v>7/22/2021 2:38:00 PM</v>
      </c>
      <c r="O15591" t="s">
        <v>47646</v>
      </c>
      <c r="T15591" t="s">
        <v>47647</v>
      </c>
    </row>
    <row r="15592" spans="1:20" x14ac:dyDescent="0.25">
      <c r="A15592" t="str">
        <f>"3051897"</f>
        <v>3051897</v>
      </c>
      <c r="B15592" t="s">
        <v>47649</v>
      </c>
      <c r="C15592" t="str">
        <f>"8316064"</f>
        <v>8316064</v>
      </c>
      <c r="D15592" t="s">
        <v>47650</v>
      </c>
      <c r="E15592" t="s">
        <v>47651</v>
      </c>
      <c r="F15592" t="s">
        <v>47652</v>
      </c>
      <c r="I15592" t="s">
        <v>29</v>
      </c>
      <c r="J15592" t="s">
        <v>30</v>
      </c>
      <c r="K15592" t="s">
        <v>12612</v>
      </c>
      <c r="M15592" t="s">
        <v>17861</v>
      </c>
      <c r="N15592" t="str">
        <f>"7/22/2021 2:44:00 PM"</f>
        <v>7/22/2021 2:44:00 PM</v>
      </c>
      <c r="O15592" t="s">
        <v>47650</v>
      </c>
      <c r="T15592" t="s">
        <v>47651</v>
      </c>
    </row>
    <row r="15593" spans="1:20" x14ac:dyDescent="0.25">
      <c r="A15593" t="str">
        <f>"3044449"</f>
        <v>3044449</v>
      </c>
      <c r="B15593" t="s">
        <v>47653</v>
      </c>
      <c r="C15593" t="str">
        <f>"8316066"</f>
        <v>8316066</v>
      </c>
      <c r="D15593" t="s">
        <v>47654</v>
      </c>
      <c r="E15593" t="s">
        <v>47655</v>
      </c>
      <c r="F15593" t="s">
        <v>47656</v>
      </c>
      <c r="I15593" t="s">
        <v>184</v>
      </c>
      <c r="J15593" t="s">
        <v>30</v>
      </c>
      <c r="K15593" t="s">
        <v>30957</v>
      </c>
      <c r="M15593" t="s">
        <v>17861</v>
      </c>
      <c r="N15593" t="str">
        <f>"7/22/2021 2:51:00 PM"</f>
        <v>7/22/2021 2:51:00 PM</v>
      </c>
      <c r="O15593" t="s">
        <v>47654</v>
      </c>
      <c r="T15593" t="s">
        <v>47655</v>
      </c>
    </row>
    <row r="15594" spans="1:20" x14ac:dyDescent="0.25">
      <c r="A15594" t="str">
        <f>"3048868"</f>
        <v>3048868</v>
      </c>
      <c r="B15594" t="s">
        <v>47657</v>
      </c>
      <c r="C15594" t="str">
        <f>"8316139"</f>
        <v>8316139</v>
      </c>
      <c r="D15594" t="s">
        <v>47658</v>
      </c>
      <c r="E15594" t="s">
        <v>47659</v>
      </c>
      <c r="F15594" t="s">
        <v>47660</v>
      </c>
      <c r="I15594" t="s">
        <v>29</v>
      </c>
      <c r="J15594" t="s">
        <v>30</v>
      </c>
      <c r="K15594" t="s">
        <v>47257</v>
      </c>
      <c r="M15594" t="s">
        <v>17861</v>
      </c>
      <c r="N15594" t="str">
        <f>"8/5/2021 2:59:00 PM"</f>
        <v>8/5/2021 2:59:00 PM</v>
      </c>
      <c r="O15594" t="s">
        <v>47658</v>
      </c>
      <c r="T15594" t="s">
        <v>47659</v>
      </c>
    </row>
    <row r="15595" spans="1:20" x14ac:dyDescent="0.25">
      <c r="A15595" t="str">
        <f>"3076593"</f>
        <v>3076593</v>
      </c>
      <c r="B15595" t="s">
        <v>47661</v>
      </c>
      <c r="C15595" t="str">
        <f>"8316140"</f>
        <v>8316140</v>
      </c>
      <c r="D15595" t="s">
        <v>47662</v>
      </c>
      <c r="E15595" t="s">
        <v>47663</v>
      </c>
      <c r="F15595" t="s">
        <v>47664</v>
      </c>
      <c r="I15595" t="s">
        <v>29</v>
      </c>
      <c r="J15595" t="s">
        <v>30</v>
      </c>
      <c r="K15595" t="s">
        <v>26664</v>
      </c>
      <c r="M15595" t="s">
        <v>17861</v>
      </c>
      <c r="N15595" t="str">
        <f>"8/5/2021 3:19:00 PM"</f>
        <v>8/5/2021 3:19:00 PM</v>
      </c>
      <c r="O15595" t="s">
        <v>47662</v>
      </c>
      <c r="T15595" t="s">
        <v>47663</v>
      </c>
    </row>
    <row r="15596" spans="1:20" x14ac:dyDescent="0.25">
      <c r="A15596" t="str">
        <f>"3055993"</f>
        <v>3055993</v>
      </c>
      <c r="B15596" t="s">
        <v>47665</v>
      </c>
      <c r="C15596" t="str">
        <f>"8316067"</f>
        <v>8316067</v>
      </c>
      <c r="D15596" t="s">
        <v>47666</v>
      </c>
      <c r="E15596" t="s">
        <v>15212</v>
      </c>
      <c r="F15596" t="s">
        <v>47667</v>
      </c>
      <c r="I15596" t="s">
        <v>29</v>
      </c>
      <c r="J15596" t="s">
        <v>30</v>
      </c>
      <c r="K15596" t="s">
        <v>15764</v>
      </c>
      <c r="M15596" t="s">
        <v>17861</v>
      </c>
      <c r="N15596" t="str">
        <f>"7/22/2021 2:53:00 PM"</f>
        <v>7/22/2021 2:53:00 PM</v>
      </c>
      <c r="O15596" t="s">
        <v>47666</v>
      </c>
      <c r="T15596" t="s">
        <v>15212</v>
      </c>
    </row>
    <row r="15597" spans="1:20" x14ac:dyDescent="0.25">
      <c r="A15597" t="str">
        <f>"3062547"</f>
        <v>3062547</v>
      </c>
      <c r="B15597" t="s">
        <v>47668</v>
      </c>
      <c r="C15597" t="str">
        <f>"8316069"</f>
        <v>8316069</v>
      </c>
      <c r="D15597" t="s">
        <v>47669</v>
      </c>
      <c r="E15597" t="s">
        <v>47670</v>
      </c>
      <c r="F15597" t="s">
        <v>47671</v>
      </c>
      <c r="I15597" t="s">
        <v>184</v>
      </c>
      <c r="J15597" t="s">
        <v>30</v>
      </c>
      <c r="K15597" t="s">
        <v>43385</v>
      </c>
      <c r="M15597" t="s">
        <v>17861</v>
      </c>
      <c r="N15597" t="str">
        <f>"7/22/2021 2:59:00 PM"</f>
        <v>7/22/2021 2:59:00 PM</v>
      </c>
      <c r="O15597" t="s">
        <v>47669</v>
      </c>
      <c r="T15597" t="s">
        <v>47670</v>
      </c>
    </row>
    <row r="15598" spans="1:20" x14ac:dyDescent="0.25">
      <c r="A15598" t="str">
        <f>"3043538"</f>
        <v>3043538</v>
      </c>
      <c r="B15598" t="s">
        <v>47672</v>
      </c>
      <c r="C15598" t="str">
        <f>"8314046"</f>
        <v>8314046</v>
      </c>
      <c r="D15598" t="s">
        <v>47673</v>
      </c>
      <c r="E15598" t="s">
        <v>47674</v>
      </c>
      <c r="F15598" t="s">
        <v>47675</v>
      </c>
      <c r="I15598" t="s">
        <v>29</v>
      </c>
      <c r="J15598" t="s">
        <v>30</v>
      </c>
      <c r="K15598" t="s">
        <v>43444</v>
      </c>
      <c r="M15598" t="s">
        <v>25625</v>
      </c>
      <c r="N15598" t="str">
        <f>"8/2/2021 2:19:00 PM"</f>
        <v>8/2/2021 2:19:00 PM</v>
      </c>
      <c r="O15598" t="s">
        <v>47673</v>
      </c>
      <c r="T15598" t="s">
        <v>47674</v>
      </c>
    </row>
    <row r="15599" spans="1:20" x14ac:dyDescent="0.25">
      <c r="A15599" t="str">
        <f>"3052496"</f>
        <v>3052496</v>
      </c>
      <c r="B15599" t="s">
        <v>47676</v>
      </c>
      <c r="C15599" t="str">
        <f>"8316145"</f>
        <v>8316145</v>
      </c>
      <c r="D15599" t="s">
        <v>47677</v>
      </c>
      <c r="F15599" t="s">
        <v>36221</v>
      </c>
      <c r="I15599" t="s">
        <v>36222</v>
      </c>
      <c r="J15599" t="s">
        <v>3737</v>
      </c>
      <c r="K15599" t="s">
        <v>36223</v>
      </c>
      <c r="M15599" t="s">
        <v>17861</v>
      </c>
      <c r="N15599" t="str">
        <f>"8/5/2021 4:36:00 PM"</f>
        <v>8/5/2021 4:36:00 PM</v>
      </c>
      <c r="O15599" t="s">
        <v>47677</v>
      </c>
    </row>
    <row r="15600" spans="1:20" x14ac:dyDescent="0.25">
      <c r="A15600" t="str">
        <f>"3052560"</f>
        <v>3052560</v>
      </c>
      <c r="B15600" t="s">
        <v>47678</v>
      </c>
      <c r="C15600" t="str">
        <f>"8316148"</f>
        <v>8316148</v>
      </c>
      <c r="D15600" t="s">
        <v>47679</v>
      </c>
      <c r="F15600" t="s">
        <v>47680</v>
      </c>
      <c r="I15600" t="s">
        <v>36222</v>
      </c>
      <c r="J15600" t="s">
        <v>3737</v>
      </c>
      <c r="K15600" t="s">
        <v>47681</v>
      </c>
      <c r="M15600" t="s">
        <v>17861</v>
      </c>
      <c r="N15600" t="str">
        <f>"8/5/2021 4:43:00 PM"</f>
        <v>8/5/2021 4:43:00 PM</v>
      </c>
      <c r="O15600" t="s">
        <v>47679</v>
      </c>
    </row>
    <row r="15601" spans="1:20" x14ac:dyDescent="0.25">
      <c r="A15601" t="str">
        <f>"3059612"</f>
        <v>3059612</v>
      </c>
      <c r="B15601" t="s">
        <v>47682</v>
      </c>
      <c r="C15601" t="str">
        <f>"8316148"</f>
        <v>8316148</v>
      </c>
      <c r="D15601" t="s">
        <v>47679</v>
      </c>
      <c r="F15601" t="s">
        <v>47680</v>
      </c>
      <c r="I15601" t="s">
        <v>36222</v>
      </c>
      <c r="J15601" t="s">
        <v>3737</v>
      </c>
      <c r="K15601" t="s">
        <v>47681</v>
      </c>
      <c r="M15601" t="s">
        <v>17861</v>
      </c>
      <c r="N15601" t="str">
        <f>"8/5/2021 4:43:00 PM"</f>
        <v>8/5/2021 4:43:00 PM</v>
      </c>
      <c r="O15601" t="s">
        <v>47679</v>
      </c>
    </row>
    <row r="15602" spans="1:20" x14ac:dyDescent="0.25">
      <c r="A15602" t="str">
        <f>"3058858"</f>
        <v>3058858</v>
      </c>
      <c r="B15602" t="s">
        <v>47683</v>
      </c>
      <c r="C15602" t="str">
        <f>"8316148"</f>
        <v>8316148</v>
      </c>
      <c r="D15602" t="s">
        <v>47679</v>
      </c>
      <c r="F15602" t="s">
        <v>47680</v>
      </c>
      <c r="I15602" t="s">
        <v>36222</v>
      </c>
      <c r="J15602" t="s">
        <v>3737</v>
      </c>
      <c r="K15602" t="s">
        <v>47681</v>
      </c>
      <c r="M15602" t="s">
        <v>17861</v>
      </c>
      <c r="N15602" t="str">
        <f>"8/5/2021 4:43:00 PM"</f>
        <v>8/5/2021 4:43:00 PM</v>
      </c>
      <c r="O15602" t="s">
        <v>47679</v>
      </c>
    </row>
    <row r="15603" spans="1:20" x14ac:dyDescent="0.25">
      <c r="A15603" t="str">
        <f>"3038865"</f>
        <v>3038865</v>
      </c>
      <c r="B15603" t="s">
        <v>47684</v>
      </c>
      <c r="C15603" t="str">
        <f>"8316149"</f>
        <v>8316149</v>
      </c>
      <c r="D15603" t="s">
        <v>47685</v>
      </c>
      <c r="E15603" t="s">
        <v>47686</v>
      </c>
      <c r="F15603" t="s">
        <v>47687</v>
      </c>
      <c r="I15603" t="s">
        <v>29</v>
      </c>
      <c r="J15603" t="s">
        <v>30</v>
      </c>
      <c r="K15603" t="s">
        <v>33977</v>
      </c>
      <c r="M15603" t="s">
        <v>17861</v>
      </c>
      <c r="N15603" t="str">
        <f>"8/5/2021 4:45:00 PM"</f>
        <v>8/5/2021 4:45:00 PM</v>
      </c>
      <c r="O15603" t="s">
        <v>47685</v>
      </c>
      <c r="T15603" t="s">
        <v>47686</v>
      </c>
    </row>
    <row r="15604" spans="1:20" x14ac:dyDescent="0.25">
      <c r="A15604" t="str">
        <f>"3058793"</f>
        <v>3058793</v>
      </c>
      <c r="B15604" t="s">
        <v>47688</v>
      </c>
      <c r="C15604" t="str">
        <f>"8316150"</f>
        <v>8316150</v>
      </c>
      <c r="D15604" t="s">
        <v>47689</v>
      </c>
      <c r="F15604" t="s">
        <v>47690</v>
      </c>
      <c r="I15604" t="s">
        <v>29</v>
      </c>
      <c r="J15604" t="s">
        <v>30</v>
      </c>
      <c r="K15604" t="s">
        <v>40174</v>
      </c>
      <c r="M15604" t="s">
        <v>17861</v>
      </c>
      <c r="N15604" t="str">
        <f>"8/5/2021 4:47:00 PM"</f>
        <v>8/5/2021 4:47:00 PM</v>
      </c>
      <c r="O15604" t="s">
        <v>47689</v>
      </c>
    </row>
    <row r="15605" spans="1:20" x14ac:dyDescent="0.25">
      <c r="A15605" t="str">
        <f>"3058492"</f>
        <v>3058492</v>
      </c>
      <c r="B15605" t="s">
        <v>47691</v>
      </c>
      <c r="C15605" t="str">
        <f>"82528451"</f>
        <v>82528451</v>
      </c>
      <c r="D15605" t="s">
        <v>47692</v>
      </c>
      <c r="E15605" t="s">
        <v>47693</v>
      </c>
      <c r="F15605" t="s">
        <v>47694</v>
      </c>
      <c r="I15605" t="s">
        <v>2071</v>
      </c>
      <c r="J15605" t="s">
        <v>30</v>
      </c>
      <c r="K15605" t="s">
        <v>185</v>
      </c>
      <c r="M15605" t="s">
        <v>33845</v>
      </c>
      <c r="N15605" t="str">
        <f>"8/6/2021 1:53:00 PM"</f>
        <v>8/6/2021 1:53:00 PM</v>
      </c>
      <c r="O15605" t="s">
        <v>47692</v>
      </c>
      <c r="T15605" t="s">
        <v>47693</v>
      </c>
    </row>
    <row r="15606" spans="1:20" x14ac:dyDescent="0.25">
      <c r="A15606" t="str">
        <f>"3069290"</f>
        <v>3069290</v>
      </c>
      <c r="B15606" t="s">
        <v>47695</v>
      </c>
      <c r="C15606" t="str">
        <f>"82531729"</f>
        <v>82531729</v>
      </c>
      <c r="D15606" t="s">
        <v>47696</v>
      </c>
      <c r="F15606" t="s">
        <v>42764</v>
      </c>
      <c r="I15606" t="s">
        <v>29</v>
      </c>
      <c r="J15606" t="s">
        <v>30</v>
      </c>
      <c r="K15606" t="s">
        <v>31</v>
      </c>
      <c r="M15606" t="s">
        <v>36935</v>
      </c>
      <c r="N15606" t="str">
        <f>"8/6/2021 3:56:00 PM"</f>
        <v>8/6/2021 3:56:00 PM</v>
      </c>
      <c r="O15606" t="s">
        <v>47696</v>
      </c>
    </row>
    <row r="15607" spans="1:20" x14ac:dyDescent="0.25">
      <c r="A15607" t="str">
        <f>"3069214"</f>
        <v>3069214</v>
      </c>
      <c r="B15607" t="s">
        <v>47697</v>
      </c>
      <c r="C15607" t="str">
        <f>"82531729"</f>
        <v>82531729</v>
      </c>
      <c r="D15607" t="s">
        <v>47696</v>
      </c>
      <c r="F15607" t="s">
        <v>42764</v>
      </c>
      <c r="I15607" t="s">
        <v>29</v>
      </c>
      <c r="J15607" t="s">
        <v>30</v>
      </c>
      <c r="K15607" t="s">
        <v>31</v>
      </c>
      <c r="M15607" t="s">
        <v>36935</v>
      </c>
      <c r="N15607" t="str">
        <f>"8/6/2021 3:56:00 PM"</f>
        <v>8/6/2021 3:56:00 PM</v>
      </c>
      <c r="O15607" t="s">
        <v>47696</v>
      </c>
    </row>
    <row r="15608" spans="1:20" x14ac:dyDescent="0.25">
      <c r="A15608" t="str">
        <f>"3068086"</f>
        <v>3068086</v>
      </c>
      <c r="B15608" t="s">
        <v>47698</v>
      </c>
      <c r="C15608" t="str">
        <f>"8316152"</f>
        <v>8316152</v>
      </c>
      <c r="D15608" t="s">
        <v>45254</v>
      </c>
      <c r="E15608" t="s">
        <v>22194</v>
      </c>
      <c r="F15608" t="s">
        <v>45255</v>
      </c>
      <c r="I15608" t="s">
        <v>184</v>
      </c>
      <c r="J15608" t="s">
        <v>30</v>
      </c>
      <c r="K15608" t="s">
        <v>39121</v>
      </c>
      <c r="M15608" t="s">
        <v>17861</v>
      </c>
      <c r="N15608" t="str">
        <f>"8/9/2021 9:01:00 AM"</f>
        <v>8/9/2021 9:01:00 AM</v>
      </c>
      <c r="O15608" t="s">
        <v>45254</v>
      </c>
      <c r="T15608" t="s">
        <v>22194</v>
      </c>
    </row>
    <row r="15609" spans="1:20" x14ac:dyDescent="0.25">
      <c r="A15609" t="str">
        <f>"3052421"</f>
        <v>3052421</v>
      </c>
      <c r="B15609" t="s">
        <v>47699</v>
      </c>
      <c r="C15609" t="str">
        <f>"8314253"</f>
        <v>8314253</v>
      </c>
      <c r="D15609" t="s">
        <v>47700</v>
      </c>
      <c r="E15609" t="s">
        <v>47701</v>
      </c>
      <c r="F15609" t="s">
        <v>47702</v>
      </c>
      <c r="I15609" t="s">
        <v>32716</v>
      </c>
      <c r="J15609" t="s">
        <v>30</v>
      </c>
      <c r="K15609" t="s">
        <v>47703</v>
      </c>
      <c r="M15609" t="s">
        <v>18479</v>
      </c>
      <c r="N15609" t="str">
        <f>"8/2/2021 2:32:00 PM"</f>
        <v>8/2/2021 2:32:00 PM</v>
      </c>
      <c r="O15609" t="s">
        <v>47700</v>
      </c>
      <c r="T15609" t="s">
        <v>47701</v>
      </c>
    </row>
    <row r="15610" spans="1:20" x14ac:dyDescent="0.25">
      <c r="A15610" t="str">
        <f>"3050626"</f>
        <v>3050626</v>
      </c>
      <c r="B15610" t="s">
        <v>47704</v>
      </c>
      <c r="C15610" t="str">
        <f>"8305251"</f>
        <v>8305251</v>
      </c>
      <c r="D15610" t="s">
        <v>47705</v>
      </c>
      <c r="F15610" t="s">
        <v>47706</v>
      </c>
      <c r="I15610" t="s">
        <v>184</v>
      </c>
      <c r="J15610" t="s">
        <v>30</v>
      </c>
      <c r="K15610" t="str">
        <f>"27006"</f>
        <v>27006</v>
      </c>
      <c r="M15610" t="s">
        <v>32801</v>
      </c>
      <c r="N15610" t="str">
        <f>"8/2/2021 2:57:00 PM"</f>
        <v>8/2/2021 2:57:00 PM</v>
      </c>
      <c r="O15610" t="s">
        <v>47705</v>
      </c>
    </row>
    <row r="15611" spans="1:20" x14ac:dyDescent="0.25">
      <c r="A15611" t="str">
        <f>"3050618"</f>
        <v>3050618</v>
      </c>
      <c r="B15611" t="s">
        <v>47707</v>
      </c>
      <c r="C15611" t="str">
        <f>"8305251"</f>
        <v>8305251</v>
      </c>
      <c r="D15611" t="s">
        <v>47705</v>
      </c>
      <c r="F15611" t="s">
        <v>47706</v>
      </c>
      <c r="I15611" t="s">
        <v>184</v>
      </c>
      <c r="J15611" t="s">
        <v>30</v>
      </c>
      <c r="K15611" t="str">
        <f>"27006"</f>
        <v>27006</v>
      </c>
      <c r="M15611" t="s">
        <v>32801</v>
      </c>
      <c r="N15611" t="str">
        <f>"8/2/2021 2:57:00 PM"</f>
        <v>8/2/2021 2:57:00 PM</v>
      </c>
      <c r="O15611" t="s">
        <v>47705</v>
      </c>
    </row>
    <row r="15612" spans="1:20" x14ac:dyDescent="0.25">
      <c r="A15612" t="str">
        <f>"3078818"</f>
        <v>3078818</v>
      </c>
      <c r="B15612" t="s">
        <v>47708</v>
      </c>
      <c r="C15612" t="str">
        <f>"8309349"</f>
        <v>8309349</v>
      </c>
      <c r="D15612" t="s">
        <v>47542</v>
      </c>
      <c r="E15612" t="s">
        <v>47543</v>
      </c>
      <c r="F15612" t="s">
        <v>47544</v>
      </c>
      <c r="I15612" t="s">
        <v>29</v>
      </c>
      <c r="J15612" t="s">
        <v>30</v>
      </c>
      <c r="K15612" t="s">
        <v>47545</v>
      </c>
      <c r="M15612" t="s">
        <v>33845</v>
      </c>
      <c r="N15612" t="str">
        <f>"8/2/2021 3:21:00 PM"</f>
        <v>8/2/2021 3:21:00 PM</v>
      </c>
      <c r="O15612" t="s">
        <v>47542</v>
      </c>
      <c r="T15612" t="s">
        <v>47543</v>
      </c>
    </row>
    <row r="15613" spans="1:20" x14ac:dyDescent="0.25">
      <c r="A15613" t="str">
        <f>"3059005"</f>
        <v>3059005</v>
      </c>
      <c r="B15613" t="s">
        <v>47709</v>
      </c>
      <c r="C15613" t="str">
        <f>"8316071"</f>
        <v>8316071</v>
      </c>
      <c r="D15613" t="s">
        <v>47710</v>
      </c>
      <c r="E15613" t="s">
        <v>47711</v>
      </c>
      <c r="F15613" t="s">
        <v>47712</v>
      </c>
      <c r="I15613" t="s">
        <v>29</v>
      </c>
      <c r="J15613" t="s">
        <v>30</v>
      </c>
      <c r="K15613" t="s">
        <v>14765</v>
      </c>
      <c r="M15613" t="s">
        <v>17861</v>
      </c>
      <c r="N15613" t="str">
        <f>"7/22/2021 3:24:00 PM"</f>
        <v>7/22/2021 3:24:00 PM</v>
      </c>
      <c r="O15613" t="s">
        <v>47710</v>
      </c>
      <c r="T15613" t="s">
        <v>47711</v>
      </c>
    </row>
    <row r="15614" spans="1:20" x14ac:dyDescent="0.25">
      <c r="A15614" t="str">
        <f>"3061561"</f>
        <v>3061561</v>
      </c>
      <c r="B15614" t="s">
        <v>47713</v>
      </c>
      <c r="C15614" t="str">
        <f>"8316072"</f>
        <v>8316072</v>
      </c>
      <c r="D15614" t="str">
        <f>"HOWARD MELINDA KAY/SHON TUCKER"</f>
        <v>HOWARD MELINDA KAY/SHON TUCKER</v>
      </c>
      <c r="E15614" t="s">
        <v>47714</v>
      </c>
      <c r="F15614" t="s">
        <v>47715</v>
      </c>
      <c r="I15614" t="s">
        <v>184</v>
      </c>
      <c r="J15614" t="s">
        <v>30</v>
      </c>
      <c r="K15614" t="s">
        <v>25769</v>
      </c>
      <c r="M15614" t="s">
        <v>17861</v>
      </c>
      <c r="N15614" t="str">
        <f>"7/22/2021 3:28:00 PM"</f>
        <v>7/22/2021 3:28:00 PM</v>
      </c>
      <c r="O15614" t="str">
        <f>"HOWARD MELINDA KAY/SHON TUCKER"</f>
        <v>HOWARD MELINDA KAY/SHON TUCKER</v>
      </c>
      <c r="T15614" t="s">
        <v>47714</v>
      </c>
    </row>
    <row r="15615" spans="1:20" x14ac:dyDescent="0.25">
      <c r="A15615" t="str">
        <f>"3057117"</f>
        <v>3057117</v>
      </c>
      <c r="B15615" t="s">
        <v>47716</v>
      </c>
      <c r="C15615" t="str">
        <f>"8316073"</f>
        <v>8316073</v>
      </c>
      <c r="D15615" t="s">
        <v>47717</v>
      </c>
      <c r="E15615" t="str">
        <f>"BOECKER CHARLES W JR/LISA A"</f>
        <v>BOECKER CHARLES W JR/LISA A</v>
      </c>
      <c r="F15615" t="s">
        <v>47715</v>
      </c>
      <c r="I15615" t="s">
        <v>184</v>
      </c>
      <c r="J15615" t="s">
        <v>30</v>
      </c>
      <c r="K15615" t="s">
        <v>25769</v>
      </c>
      <c r="M15615" t="s">
        <v>17861</v>
      </c>
      <c r="N15615" t="str">
        <f>"7/22/2021 3:32:00 PM"</f>
        <v>7/22/2021 3:32:00 PM</v>
      </c>
      <c r="O15615" t="s">
        <v>47717</v>
      </c>
      <c r="T15615" t="str">
        <f>"BOECKER CHARLES W JR/LISA A"</f>
        <v>BOECKER CHARLES W JR/LISA A</v>
      </c>
    </row>
    <row r="15616" spans="1:20" x14ac:dyDescent="0.25">
      <c r="A15616" t="str">
        <f>"3045674"</f>
        <v>3045674</v>
      </c>
      <c r="B15616" t="s">
        <v>47718</v>
      </c>
      <c r="C15616" t="str">
        <f>"8316074"</f>
        <v>8316074</v>
      </c>
      <c r="D15616" t="s">
        <v>47719</v>
      </c>
      <c r="E15616" t="s">
        <v>47720</v>
      </c>
      <c r="F15616" t="s">
        <v>47721</v>
      </c>
      <c r="I15616" t="s">
        <v>29</v>
      </c>
      <c r="J15616" t="s">
        <v>30</v>
      </c>
      <c r="K15616" t="s">
        <v>43634</v>
      </c>
      <c r="M15616" t="s">
        <v>17861</v>
      </c>
      <c r="N15616" t="str">
        <f>"7/23/2021 3:55:00 PM"</f>
        <v>7/23/2021 3:55:00 PM</v>
      </c>
      <c r="O15616" t="s">
        <v>47719</v>
      </c>
      <c r="T15616" t="s">
        <v>47720</v>
      </c>
    </row>
    <row r="15617" spans="1:20" x14ac:dyDescent="0.25">
      <c r="A15617" t="str">
        <f>"3046139"</f>
        <v>3046139</v>
      </c>
      <c r="B15617" t="s">
        <v>47722</v>
      </c>
      <c r="C15617" t="str">
        <f>"8306295"</f>
        <v>8306295</v>
      </c>
      <c r="D15617" t="s">
        <v>40942</v>
      </c>
      <c r="F15617" t="s">
        <v>40943</v>
      </c>
      <c r="I15617" t="s">
        <v>29</v>
      </c>
      <c r="J15617" t="s">
        <v>30</v>
      </c>
      <c r="K15617" t="str">
        <f>"27028"</f>
        <v>27028</v>
      </c>
      <c r="M15617" t="s">
        <v>33845</v>
      </c>
      <c r="N15617" t="str">
        <f>"8/2/2021 3:40:00 PM"</f>
        <v>8/2/2021 3:40:00 PM</v>
      </c>
      <c r="O15617" t="s">
        <v>40942</v>
      </c>
    </row>
    <row r="15618" spans="1:20" x14ac:dyDescent="0.25">
      <c r="A15618" t="str">
        <f>"3042140"</f>
        <v>3042140</v>
      </c>
      <c r="B15618" t="s">
        <v>47723</v>
      </c>
      <c r="C15618" t="str">
        <f>"8313172"</f>
        <v>8313172</v>
      </c>
      <c r="D15618" t="s">
        <v>45373</v>
      </c>
      <c r="F15618" t="s">
        <v>39529</v>
      </c>
      <c r="I15618" t="s">
        <v>29</v>
      </c>
      <c r="J15618" t="s">
        <v>30</v>
      </c>
      <c r="K15618" t="s">
        <v>2665</v>
      </c>
      <c r="M15618" t="s">
        <v>18479</v>
      </c>
      <c r="N15618" t="str">
        <f>"8/2/2021 4:13:00 PM"</f>
        <v>8/2/2021 4:13:00 PM</v>
      </c>
      <c r="O15618" t="s">
        <v>45373</v>
      </c>
    </row>
    <row r="15619" spans="1:20" x14ac:dyDescent="0.25">
      <c r="A15619" t="str">
        <f>"3057872"</f>
        <v>3057872</v>
      </c>
      <c r="B15619" t="s">
        <v>47724</v>
      </c>
      <c r="C15619" t="str">
        <f>"8316095"</f>
        <v>8316095</v>
      </c>
      <c r="D15619" t="s">
        <v>47725</v>
      </c>
      <c r="F15619" t="s">
        <v>47726</v>
      </c>
      <c r="I15619" t="s">
        <v>184</v>
      </c>
      <c r="J15619" t="s">
        <v>30</v>
      </c>
      <c r="K15619" t="str">
        <f>"27006"</f>
        <v>27006</v>
      </c>
      <c r="M15619" t="s">
        <v>18470</v>
      </c>
      <c r="N15619" t="str">
        <f>"8/3/2021 12:24:00 PM"</f>
        <v>8/3/2021 12:24:00 PM</v>
      </c>
      <c r="O15619" t="s">
        <v>47725</v>
      </c>
    </row>
    <row r="15620" spans="1:20" x14ac:dyDescent="0.25">
      <c r="A15620" t="str">
        <f>"3060174"</f>
        <v>3060174</v>
      </c>
      <c r="B15620" t="s">
        <v>47727</v>
      </c>
      <c r="C15620" t="str">
        <f>"8314780"</f>
        <v>8314780</v>
      </c>
      <c r="D15620" t="s">
        <v>47728</v>
      </c>
      <c r="E15620" t="s">
        <v>47729</v>
      </c>
      <c r="F15620" t="s">
        <v>47730</v>
      </c>
      <c r="I15620" t="s">
        <v>24359</v>
      </c>
      <c r="J15620" t="s">
        <v>30</v>
      </c>
      <c r="K15620" t="str">
        <f>"27006"</f>
        <v>27006</v>
      </c>
      <c r="M15620" t="s">
        <v>40663</v>
      </c>
      <c r="N15620" t="str">
        <f>"8/3/2021 1:32:00 PM"</f>
        <v>8/3/2021 1:32:00 PM</v>
      </c>
      <c r="O15620" t="s">
        <v>47728</v>
      </c>
      <c r="T15620" t="s">
        <v>47729</v>
      </c>
    </row>
    <row r="15621" spans="1:20" x14ac:dyDescent="0.25">
      <c r="A15621" t="str">
        <f>"3050583"</f>
        <v>3050583</v>
      </c>
      <c r="B15621" t="s">
        <v>47731</v>
      </c>
      <c r="C15621" t="str">
        <f>"8311911"</f>
        <v>8311911</v>
      </c>
      <c r="D15621" t="s">
        <v>47732</v>
      </c>
      <c r="E15621" t="s">
        <v>47733</v>
      </c>
      <c r="F15621" t="s">
        <v>47734</v>
      </c>
      <c r="I15621" t="s">
        <v>184</v>
      </c>
      <c r="J15621" t="s">
        <v>30</v>
      </c>
      <c r="K15621" t="s">
        <v>29911</v>
      </c>
      <c r="M15621" t="s">
        <v>18479</v>
      </c>
      <c r="N15621" t="str">
        <f>"8/4/2021 2:42:00 PM"</f>
        <v>8/4/2021 2:42:00 PM</v>
      </c>
      <c r="O15621" t="s">
        <v>47732</v>
      </c>
      <c r="T15621" t="s">
        <v>47733</v>
      </c>
    </row>
    <row r="15622" spans="1:20" x14ac:dyDescent="0.25">
      <c r="A15622" t="str">
        <f>"3061520"</f>
        <v>3061520</v>
      </c>
      <c r="B15622" t="s">
        <v>47735</v>
      </c>
      <c r="C15622" t="str">
        <f>"8316180"</f>
        <v>8316180</v>
      </c>
      <c r="D15622" t="s">
        <v>47736</v>
      </c>
      <c r="E15622" t="s">
        <v>47737</v>
      </c>
      <c r="F15622" t="s">
        <v>47738</v>
      </c>
      <c r="I15622" t="s">
        <v>184</v>
      </c>
      <c r="J15622" t="s">
        <v>30</v>
      </c>
      <c r="K15622" t="s">
        <v>47739</v>
      </c>
      <c r="M15622" t="s">
        <v>17861</v>
      </c>
      <c r="N15622" t="str">
        <f>"8/10/2021 10:03:00 AM"</f>
        <v>8/10/2021 10:03:00 AM</v>
      </c>
      <c r="O15622" t="s">
        <v>47736</v>
      </c>
      <c r="T15622" t="s">
        <v>47737</v>
      </c>
    </row>
    <row r="15623" spans="1:20" x14ac:dyDescent="0.25">
      <c r="A15623" t="str">
        <f>"3050145"</f>
        <v>3050145</v>
      </c>
      <c r="B15623" t="s">
        <v>47740</v>
      </c>
      <c r="C15623" t="str">
        <f>"8316182"</f>
        <v>8316182</v>
      </c>
      <c r="D15623" t="s">
        <v>47741</v>
      </c>
      <c r="E15623" t="s">
        <v>47742</v>
      </c>
      <c r="F15623" t="s">
        <v>47743</v>
      </c>
      <c r="I15623" t="s">
        <v>29</v>
      </c>
      <c r="J15623" t="s">
        <v>30</v>
      </c>
      <c r="K15623" t="s">
        <v>47744</v>
      </c>
      <c r="M15623" t="s">
        <v>17861</v>
      </c>
      <c r="N15623" t="str">
        <f>"8/10/2021 10:08:00 AM"</f>
        <v>8/10/2021 10:08:00 AM</v>
      </c>
      <c r="O15623" t="s">
        <v>47741</v>
      </c>
      <c r="T15623" t="s">
        <v>47742</v>
      </c>
    </row>
    <row r="15624" spans="1:20" x14ac:dyDescent="0.25">
      <c r="A15624" t="str">
        <f>"3043695"</f>
        <v>3043695</v>
      </c>
      <c r="B15624" t="s">
        <v>47745</v>
      </c>
      <c r="C15624" t="str">
        <f>"8316183"</f>
        <v>8316183</v>
      </c>
      <c r="D15624" t="s">
        <v>47746</v>
      </c>
      <c r="F15624" t="s">
        <v>47747</v>
      </c>
      <c r="I15624" t="s">
        <v>471</v>
      </c>
      <c r="J15624" t="s">
        <v>30</v>
      </c>
      <c r="K15624" t="s">
        <v>47748</v>
      </c>
      <c r="M15624" t="s">
        <v>17861</v>
      </c>
      <c r="N15624" t="str">
        <f>"8/10/2021 10:17:00 AM"</f>
        <v>8/10/2021 10:17:00 AM</v>
      </c>
      <c r="O15624" t="s">
        <v>47746</v>
      </c>
    </row>
    <row r="15625" spans="1:20" x14ac:dyDescent="0.25">
      <c r="A15625" t="str">
        <f>"3050945"</f>
        <v>3050945</v>
      </c>
      <c r="B15625" t="s">
        <v>47749</v>
      </c>
      <c r="C15625" t="str">
        <f>"8311911"</f>
        <v>8311911</v>
      </c>
      <c r="D15625" t="s">
        <v>47732</v>
      </c>
      <c r="E15625" t="s">
        <v>47733</v>
      </c>
      <c r="F15625" t="s">
        <v>47734</v>
      </c>
      <c r="I15625" t="s">
        <v>184</v>
      </c>
      <c r="J15625" t="s">
        <v>30</v>
      </c>
      <c r="K15625" t="s">
        <v>29911</v>
      </c>
      <c r="M15625" t="s">
        <v>18479</v>
      </c>
      <c r="N15625" t="str">
        <f>"8/4/2021 2:42:00 PM"</f>
        <v>8/4/2021 2:42:00 PM</v>
      </c>
      <c r="O15625" t="s">
        <v>47732</v>
      </c>
      <c r="T15625" t="s">
        <v>47733</v>
      </c>
    </row>
    <row r="15626" spans="1:20" x14ac:dyDescent="0.25">
      <c r="A15626" t="str">
        <f>"3038155"</f>
        <v>3038155</v>
      </c>
      <c r="B15626" t="s">
        <v>47750</v>
      </c>
      <c r="C15626" t="str">
        <f>"8316128"</f>
        <v>8316128</v>
      </c>
      <c r="D15626" t="s">
        <v>47751</v>
      </c>
      <c r="F15626" t="s">
        <v>47752</v>
      </c>
      <c r="I15626" t="s">
        <v>1107</v>
      </c>
      <c r="J15626" t="s">
        <v>30</v>
      </c>
      <c r="K15626" t="s">
        <v>47753</v>
      </c>
      <c r="M15626" t="s">
        <v>17861</v>
      </c>
      <c r="N15626" t="str">
        <f>"8/5/2021 1:05:00 PM"</f>
        <v>8/5/2021 1:05:00 PM</v>
      </c>
      <c r="O15626" t="s">
        <v>47751</v>
      </c>
    </row>
    <row r="15627" spans="1:20" x14ac:dyDescent="0.25">
      <c r="A15627" t="str">
        <f>"3043631"</f>
        <v>3043631</v>
      </c>
      <c r="B15627" t="s">
        <v>47754</v>
      </c>
      <c r="C15627" t="str">
        <f>"8316192"</f>
        <v>8316192</v>
      </c>
      <c r="D15627" t="s">
        <v>47755</v>
      </c>
      <c r="F15627" t="s">
        <v>47756</v>
      </c>
      <c r="I15627" t="s">
        <v>29</v>
      </c>
      <c r="J15627" t="s">
        <v>30</v>
      </c>
      <c r="K15627" t="s">
        <v>47757</v>
      </c>
      <c r="M15627" t="s">
        <v>17861</v>
      </c>
      <c r="N15627" t="str">
        <f>"8/10/2021 4:29:00 PM"</f>
        <v>8/10/2021 4:29:00 PM</v>
      </c>
      <c r="O15627" t="s">
        <v>47755</v>
      </c>
    </row>
    <row r="15628" spans="1:20" x14ac:dyDescent="0.25">
      <c r="A15628" t="str">
        <f>"3046177"</f>
        <v>3046177</v>
      </c>
      <c r="B15628" t="s">
        <v>47758</v>
      </c>
      <c r="C15628" t="str">
        <f>"8316192"</f>
        <v>8316192</v>
      </c>
      <c r="D15628" t="s">
        <v>47755</v>
      </c>
      <c r="F15628" t="s">
        <v>47756</v>
      </c>
      <c r="I15628" t="s">
        <v>29</v>
      </c>
      <c r="J15628" t="s">
        <v>30</v>
      </c>
      <c r="K15628" t="s">
        <v>47757</v>
      </c>
      <c r="M15628" t="s">
        <v>17861</v>
      </c>
      <c r="N15628" t="str">
        <f>"8/10/2021 4:29:00 PM"</f>
        <v>8/10/2021 4:29:00 PM</v>
      </c>
      <c r="O15628" t="s">
        <v>47755</v>
      </c>
    </row>
    <row r="15629" spans="1:20" x14ac:dyDescent="0.25">
      <c r="A15629" t="str">
        <f>"3078166"</f>
        <v>3078166</v>
      </c>
      <c r="B15629" t="s">
        <v>47759</v>
      </c>
      <c r="C15629" t="str">
        <f>"8316192"</f>
        <v>8316192</v>
      </c>
      <c r="D15629" t="s">
        <v>47755</v>
      </c>
      <c r="F15629" t="s">
        <v>47756</v>
      </c>
      <c r="I15629" t="s">
        <v>29</v>
      </c>
      <c r="J15629" t="s">
        <v>30</v>
      </c>
      <c r="K15629" t="s">
        <v>47757</v>
      </c>
      <c r="M15629" t="s">
        <v>17861</v>
      </c>
      <c r="N15629" t="str">
        <f>"8/10/2021 4:29:00 PM"</f>
        <v>8/10/2021 4:29:00 PM</v>
      </c>
      <c r="O15629" t="s">
        <v>47755</v>
      </c>
    </row>
    <row r="15630" spans="1:20" x14ac:dyDescent="0.25">
      <c r="A15630" t="str">
        <f>"3077976"</f>
        <v>3077976</v>
      </c>
      <c r="B15630" t="s">
        <v>47760</v>
      </c>
      <c r="C15630" t="str">
        <f>"8316192"</f>
        <v>8316192</v>
      </c>
      <c r="D15630" t="s">
        <v>47755</v>
      </c>
      <c r="F15630" t="s">
        <v>47756</v>
      </c>
      <c r="I15630" t="s">
        <v>29</v>
      </c>
      <c r="J15630" t="s">
        <v>30</v>
      </c>
      <c r="K15630" t="s">
        <v>47757</v>
      </c>
      <c r="M15630" t="s">
        <v>17861</v>
      </c>
      <c r="N15630" t="str">
        <f>"8/10/2021 4:29:00 PM"</f>
        <v>8/10/2021 4:29:00 PM</v>
      </c>
      <c r="O15630" t="s">
        <v>47755</v>
      </c>
    </row>
    <row r="15631" spans="1:20" x14ac:dyDescent="0.25">
      <c r="A15631" t="str">
        <f>"3050592"</f>
        <v>3050592</v>
      </c>
      <c r="B15631" t="s">
        <v>47761</v>
      </c>
      <c r="C15631" t="str">
        <f>"8314413"</f>
        <v>8314413</v>
      </c>
      <c r="D15631" t="s">
        <v>47762</v>
      </c>
      <c r="E15631" t="s">
        <v>47763</v>
      </c>
      <c r="F15631" t="s">
        <v>47764</v>
      </c>
      <c r="I15631" t="s">
        <v>47765</v>
      </c>
      <c r="J15631" t="s">
        <v>11697</v>
      </c>
      <c r="K15631" t="s">
        <v>47766</v>
      </c>
      <c r="M15631" t="s">
        <v>25625</v>
      </c>
      <c r="N15631" t="str">
        <f>"8/11/2021 9:54:00 AM"</f>
        <v>8/11/2021 9:54:00 AM</v>
      </c>
      <c r="O15631" t="s">
        <v>47762</v>
      </c>
      <c r="T15631" t="s">
        <v>47763</v>
      </c>
    </row>
    <row r="15632" spans="1:20" x14ac:dyDescent="0.25">
      <c r="A15632" t="str">
        <f>"3050593"</f>
        <v>3050593</v>
      </c>
      <c r="B15632" t="s">
        <v>47767</v>
      </c>
      <c r="C15632" t="str">
        <f>"8314413"</f>
        <v>8314413</v>
      </c>
      <c r="D15632" t="s">
        <v>47762</v>
      </c>
      <c r="E15632" t="s">
        <v>47763</v>
      </c>
      <c r="F15632" t="s">
        <v>47764</v>
      </c>
      <c r="I15632" t="s">
        <v>47765</v>
      </c>
      <c r="J15632" t="s">
        <v>11697</v>
      </c>
      <c r="K15632" t="s">
        <v>47766</v>
      </c>
      <c r="M15632" t="s">
        <v>25625</v>
      </c>
      <c r="N15632" t="str">
        <f>"8/11/2021 9:54:00 AM"</f>
        <v>8/11/2021 9:54:00 AM</v>
      </c>
      <c r="O15632" t="s">
        <v>47762</v>
      </c>
      <c r="T15632" t="s">
        <v>47763</v>
      </c>
    </row>
    <row r="15633" spans="1:20" x14ac:dyDescent="0.25">
      <c r="A15633" t="str">
        <f>"3045124"</f>
        <v>3045124</v>
      </c>
      <c r="B15633" t="s">
        <v>47768</v>
      </c>
      <c r="C15633" t="str">
        <f>"8316130"</f>
        <v>8316130</v>
      </c>
      <c r="D15633" t="s">
        <v>47769</v>
      </c>
      <c r="F15633" t="s">
        <v>47770</v>
      </c>
      <c r="I15633" t="s">
        <v>1149</v>
      </c>
      <c r="J15633" t="s">
        <v>30</v>
      </c>
      <c r="K15633" t="s">
        <v>6577</v>
      </c>
      <c r="M15633" t="s">
        <v>17861</v>
      </c>
      <c r="N15633" t="str">
        <f>"8/5/2021 1:37:00 PM"</f>
        <v>8/5/2021 1:37:00 PM</v>
      </c>
      <c r="O15633" t="s">
        <v>47769</v>
      </c>
    </row>
    <row r="15634" spans="1:20" x14ac:dyDescent="0.25">
      <c r="A15634" t="str">
        <f>"3063943"</f>
        <v>3063943</v>
      </c>
      <c r="B15634" t="s">
        <v>47771</v>
      </c>
      <c r="C15634" t="str">
        <f>"82519961"</f>
        <v>82519961</v>
      </c>
      <c r="D15634" t="s">
        <v>47772</v>
      </c>
      <c r="F15634" t="s">
        <v>47773</v>
      </c>
      <c r="I15634" t="s">
        <v>184</v>
      </c>
      <c r="J15634" t="s">
        <v>30</v>
      </c>
      <c r="K15634" t="s">
        <v>47774</v>
      </c>
      <c r="M15634" t="s">
        <v>25733</v>
      </c>
      <c r="N15634" t="str">
        <f>"8/12/2021 1:48:00 PM"</f>
        <v>8/12/2021 1:48:00 PM</v>
      </c>
      <c r="O15634" t="s">
        <v>47772</v>
      </c>
    </row>
    <row r="15635" spans="1:20" x14ac:dyDescent="0.25">
      <c r="A15635" t="str">
        <f>"3050951"</f>
        <v>3050951</v>
      </c>
      <c r="B15635" t="s">
        <v>47775</v>
      </c>
      <c r="C15635" t="str">
        <f>"8310666"</f>
        <v>8310666</v>
      </c>
      <c r="D15635" t="s">
        <v>47776</v>
      </c>
      <c r="E15635" t="s">
        <v>47777</v>
      </c>
      <c r="F15635" t="s">
        <v>47778</v>
      </c>
      <c r="I15635" t="s">
        <v>184</v>
      </c>
      <c r="J15635" t="s">
        <v>30</v>
      </c>
      <c r="K15635" t="s">
        <v>47779</v>
      </c>
      <c r="M15635" t="s">
        <v>25733</v>
      </c>
      <c r="N15635" t="str">
        <f>"8/13/2021 9:04:00 AM"</f>
        <v>8/13/2021 9:04:00 AM</v>
      </c>
      <c r="O15635" t="s">
        <v>47776</v>
      </c>
      <c r="T15635" t="s">
        <v>47777</v>
      </c>
    </row>
    <row r="15636" spans="1:20" x14ac:dyDescent="0.25">
      <c r="A15636" t="str">
        <f>"3061686"</f>
        <v>3061686</v>
      </c>
      <c r="B15636" t="s">
        <v>47780</v>
      </c>
      <c r="C15636" t="str">
        <f>"8311460"</f>
        <v>8311460</v>
      </c>
      <c r="D15636" t="s">
        <v>47781</v>
      </c>
      <c r="E15636" t="s">
        <v>47782</v>
      </c>
      <c r="F15636" t="s">
        <v>46217</v>
      </c>
      <c r="I15636" t="s">
        <v>2071</v>
      </c>
      <c r="J15636" t="s">
        <v>30</v>
      </c>
      <c r="K15636" t="s">
        <v>6342</v>
      </c>
      <c r="M15636" t="s">
        <v>25733</v>
      </c>
      <c r="N15636" t="str">
        <f>"8/13/2021 11:05:00 AM"</f>
        <v>8/13/2021 11:05:00 AM</v>
      </c>
      <c r="O15636" t="s">
        <v>47781</v>
      </c>
      <c r="T15636" t="s">
        <v>47782</v>
      </c>
    </row>
    <row r="15637" spans="1:20" x14ac:dyDescent="0.25">
      <c r="A15637" t="str">
        <f>"3060571"</f>
        <v>3060571</v>
      </c>
      <c r="B15637" t="s">
        <v>47783</v>
      </c>
      <c r="C15637" t="str">
        <f>"8311460"</f>
        <v>8311460</v>
      </c>
      <c r="D15637" t="s">
        <v>47781</v>
      </c>
      <c r="E15637" t="s">
        <v>47782</v>
      </c>
      <c r="F15637" t="s">
        <v>46217</v>
      </c>
      <c r="I15637" t="s">
        <v>2071</v>
      </c>
      <c r="J15637" t="s">
        <v>30</v>
      </c>
      <c r="K15637" t="s">
        <v>6342</v>
      </c>
      <c r="M15637" t="s">
        <v>25733</v>
      </c>
      <c r="N15637" t="str">
        <f>"8/13/2021 11:05:00 AM"</f>
        <v>8/13/2021 11:05:00 AM</v>
      </c>
      <c r="O15637" t="s">
        <v>47781</v>
      </c>
      <c r="T15637" t="s">
        <v>47782</v>
      </c>
    </row>
    <row r="15638" spans="1:20" x14ac:dyDescent="0.25">
      <c r="A15638" t="str">
        <f>"3057884"</f>
        <v>3057884</v>
      </c>
      <c r="B15638" t="s">
        <v>47784</v>
      </c>
      <c r="C15638" t="str">
        <f>"8310688"</f>
        <v>8310688</v>
      </c>
      <c r="D15638" t="s">
        <v>47785</v>
      </c>
      <c r="E15638" t="s">
        <v>47786</v>
      </c>
      <c r="F15638" t="s">
        <v>47787</v>
      </c>
      <c r="I15638" t="s">
        <v>184</v>
      </c>
      <c r="J15638" t="s">
        <v>30</v>
      </c>
      <c r="K15638" t="s">
        <v>5724</v>
      </c>
      <c r="M15638" t="s">
        <v>33845</v>
      </c>
      <c r="N15638" t="str">
        <f>"8/5/2021 1:40:00 PM"</f>
        <v>8/5/2021 1:40:00 PM</v>
      </c>
      <c r="O15638" t="s">
        <v>47785</v>
      </c>
      <c r="T15638" t="s">
        <v>47786</v>
      </c>
    </row>
    <row r="15639" spans="1:20" x14ac:dyDescent="0.25">
      <c r="A15639" t="str">
        <f>"3062010"</f>
        <v>3062010</v>
      </c>
      <c r="B15639" t="s">
        <v>47788</v>
      </c>
      <c r="C15639" t="str">
        <f>"8316136"</f>
        <v>8316136</v>
      </c>
      <c r="D15639" t="s">
        <v>47789</v>
      </c>
      <c r="E15639" t="s">
        <v>47790</v>
      </c>
      <c r="F15639" t="s">
        <v>47791</v>
      </c>
      <c r="I15639" t="s">
        <v>184</v>
      </c>
      <c r="J15639" t="s">
        <v>30</v>
      </c>
      <c r="K15639" t="s">
        <v>37164</v>
      </c>
      <c r="M15639" t="s">
        <v>17861</v>
      </c>
      <c r="N15639" t="str">
        <f>"8/5/2021 2:24:00 PM"</f>
        <v>8/5/2021 2:24:00 PM</v>
      </c>
      <c r="O15639" t="s">
        <v>47789</v>
      </c>
      <c r="T15639" t="s">
        <v>47790</v>
      </c>
    </row>
    <row r="15640" spans="1:20" x14ac:dyDescent="0.25">
      <c r="A15640" t="str">
        <f>"3038895"</f>
        <v>3038895</v>
      </c>
      <c r="B15640" t="s">
        <v>47792</v>
      </c>
      <c r="C15640" t="str">
        <f>"8316138"</f>
        <v>8316138</v>
      </c>
      <c r="D15640" t="s">
        <v>47793</v>
      </c>
      <c r="E15640" t="s">
        <v>47794</v>
      </c>
      <c r="F15640" t="s">
        <v>47795</v>
      </c>
      <c r="I15640" t="s">
        <v>29</v>
      </c>
      <c r="J15640" t="s">
        <v>30</v>
      </c>
      <c r="K15640" t="s">
        <v>37477</v>
      </c>
      <c r="M15640" t="s">
        <v>17861</v>
      </c>
      <c r="N15640" t="str">
        <f>"8/5/2021 2:55:00 PM"</f>
        <v>8/5/2021 2:55:00 PM</v>
      </c>
      <c r="O15640" t="s">
        <v>47793</v>
      </c>
      <c r="T15640" t="s">
        <v>47794</v>
      </c>
    </row>
    <row r="15641" spans="1:20" x14ac:dyDescent="0.25">
      <c r="A15641" t="str">
        <f>"3057756"</f>
        <v>3057756</v>
      </c>
      <c r="B15641" t="s">
        <v>47796</v>
      </c>
      <c r="C15641" t="str">
        <f>"8316139"</f>
        <v>8316139</v>
      </c>
      <c r="D15641" t="s">
        <v>47658</v>
      </c>
      <c r="E15641" t="s">
        <v>47659</v>
      </c>
      <c r="F15641" t="s">
        <v>47660</v>
      </c>
      <c r="I15641" t="s">
        <v>29</v>
      </c>
      <c r="J15641" t="s">
        <v>30</v>
      </c>
      <c r="K15641" t="s">
        <v>47257</v>
      </c>
      <c r="M15641" t="s">
        <v>17861</v>
      </c>
      <c r="N15641" t="str">
        <f>"8/5/2021 2:59:00 PM"</f>
        <v>8/5/2021 2:59:00 PM</v>
      </c>
      <c r="O15641" t="s">
        <v>47658</v>
      </c>
      <c r="T15641" t="s">
        <v>47659</v>
      </c>
    </row>
    <row r="15642" spans="1:20" x14ac:dyDescent="0.25">
      <c r="A15642" t="str">
        <f>"3059800"</f>
        <v>3059800</v>
      </c>
      <c r="B15642" t="s">
        <v>47797</v>
      </c>
      <c r="C15642" t="str">
        <f>"8316142"</f>
        <v>8316142</v>
      </c>
      <c r="D15642" t="s">
        <v>47798</v>
      </c>
      <c r="F15642" t="s">
        <v>47799</v>
      </c>
      <c r="I15642" t="s">
        <v>29</v>
      </c>
      <c r="J15642" t="s">
        <v>30</v>
      </c>
      <c r="K15642" t="s">
        <v>33476</v>
      </c>
      <c r="M15642" t="s">
        <v>17861</v>
      </c>
      <c r="N15642" t="str">
        <f>"8/5/2021 4:07:00 PM"</f>
        <v>8/5/2021 4:07:00 PM</v>
      </c>
      <c r="O15642" t="s">
        <v>47798</v>
      </c>
    </row>
    <row r="15643" spans="1:20" x14ac:dyDescent="0.25">
      <c r="A15643" t="str">
        <f>"3059851"</f>
        <v>3059851</v>
      </c>
      <c r="B15643" t="s">
        <v>47800</v>
      </c>
      <c r="C15643" t="str">
        <f>"8316143"</f>
        <v>8316143</v>
      </c>
      <c r="D15643" t="s">
        <v>47801</v>
      </c>
      <c r="E15643" t="s">
        <v>47802</v>
      </c>
      <c r="F15643" t="s">
        <v>47803</v>
      </c>
      <c r="I15643" t="s">
        <v>29</v>
      </c>
      <c r="J15643" t="s">
        <v>30</v>
      </c>
      <c r="K15643" t="s">
        <v>41547</v>
      </c>
      <c r="M15643" t="s">
        <v>17861</v>
      </c>
      <c r="N15643" t="str">
        <f>"8/5/2021 4:26:00 PM"</f>
        <v>8/5/2021 4:26:00 PM</v>
      </c>
      <c r="O15643" t="s">
        <v>47801</v>
      </c>
      <c r="T15643" t="s">
        <v>47802</v>
      </c>
    </row>
    <row r="15644" spans="1:20" x14ac:dyDescent="0.25">
      <c r="A15644" t="str">
        <f>"3048108"</f>
        <v>3048108</v>
      </c>
      <c r="B15644" t="s">
        <v>47804</v>
      </c>
      <c r="C15644" t="str">
        <f>"8316144"</f>
        <v>8316144</v>
      </c>
      <c r="D15644" t="s">
        <v>47805</v>
      </c>
      <c r="E15644" t="s">
        <v>47806</v>
      </c>
      <c r="F15644" t="s">
        <v>47807</v>
      </c>
      <c r="I15644" t="s">
        <v>24359</v>
      </c>
      <c r="J15644" t="s">
        <v>30</v>
      </c>
      <c r="K15644" t="str">
        <f>"27006"</f>
        <v>27006</v>
      </c>
      <c r="M15644" t="s">
        <v>17861</v>
      </c>
      <c r="N15644" t="str">
        <f>"8/5/2021 4:29:00 PM"</f>
        <v>8/5/2021 4:29:00 PM</v>
      </c>
      <c r="O15644" t="s">
        <v>47805</v>
      </c>
      <c r="T15644" t="s">
        <v>47806</v>
      </c>
    </row>
    <row r="15645" spans="1:20" x14ac:dyDescent="0.25">
      <c r="A15645" t="str">
        <f>"3058013"</f>
        <v>3058013</v>
      </c>
      <c r="B15645" t="s">
        <v>47808</v>
      </c>
      <c r="C15645" t="str">
        <f>"48096000"</f>
        <v>48096000</v>
      </c>
      <c r="D15645" t="s">
        <v>47809</v>
      </c>
      <c r="F15645" t="s">
        <v>47810</v>
      </c>
      <c r="I15645" t="s">
        <v>29</v>
      </c>
      <c r="J15645" t="s">
        <v>30</v>
      </c>
      <c r="K15645" t="s">
        <v>19066</v>
      </c>
      <c r="M15645" t="s">
        <v>33845</v>
      </c>
      <c r="N15645" t="str">
        <f>"8/2/2021 3:36:00 PM"</f>
        <v>8/2/2021 3:36:00 PM</v>
      </c>
      <c r="O15645" t="s">
        <v>47809</v>
      </c>
    </row>
    <row r="15646" spans="1:20" x14ac:dyDescent="0.25">
      <c r="A15646" t="str">
        <f>"3050456"</f>
        <v>3050456</v>
      </c>
      <c r="B15646" t="s">
        <v>47811</v>
      </c>
      <c r="C15646" t="str">
        <f>"8316173"</f>
        <v>8316173</v>
      </c>
      <c r="D15646" t="s">
        <v>47812</v>
      </c>
      <c r="F15646" t="s">
        <v>47813</v>
      </c>
      <c r="I15646" t="s">
        <v>184</v>
      </c>
      <c r="J15646" t="s">
        <v>30</v>
      </c>
      <c r="K15646" t="s">
        <v>14028</v>
      </c>
      <c r="M15646" t="s">
        <v>17861</v>
      </c>
      <c r="N15646" t="str">
        <f>"8/9/2021 4:11:00 PM"</f>
        <v>8/9/2021 4:11:00 PM</v>
      </c>
      <c r="O15646" t="s">
        <v>47812</v>
      </c>
    </row>
    <row r="15647" spans="1:20" x14ac:dyDescent="0.25">
      <c r="A15647" t="str">
        <f>"3055052"</f>
        <v>3055052</v>
      </c>
      <c r="B15647" t="s">
        <v>47814</v>
      </c>
      <c r="C15647" t="str">
        <f>"82530630"</f>
        <v>82530630</v>
      </c>
      <c r="D15647" t="s">
        <v>47815</v>
      </c>
      <c r="F15647" t="s">
        <v>47816</v>
      </c>
      <c r="I15647" t="s">
        <v>29</v>
      </c>
      <c r="J15647" t="s">
        <v>30</v>
      </c>
      <c r="K15647" t="s">
        <v>47817</v>
      </c>
      <c r="M15647" t="s">
        <v>17861</v>
      </c>
      <c r="N15647" t="str">
        <f>"8/13/2021 4:16:00 PM"</f>
        <v>8/13/2021 4:16:00 PM</v>
      </c>
      <c r="O15647" t="s">
        <v>47815</v>
      </c>
    </row>
    <row r="15648" spans="1:20" x14ac:dyDescent="0.25">
      <c r="A15648" t="str">
        <f>"3056772"</f>
        <v>3056772</v>
      </c>
      <c r="B15648" t="s">
        <v>47818</v>
      </c>
      <c r="C15648" t="str">
        <f>"82530630"</f>
        <v>82530630</v>
      </c>
      <c r="D15648" t="s">
        <v>47815</v>
      </c>
      <c r="F15648" t="s">
        <v>47816</v>
      </c>
      <c r="I15648" t="s">
        <v>29</v>
      </c>
      <c r="J15648" t="s">
        <v>30</v>
      </c>
      <c r="K15648" t="s">
        <v>47817</v>
      </c>
      <c r="M15648" t="s">
        <v>17861</v>
      </c>
      <c r="N15648" t="str">
        <f>"8/13/2021 4:16:00 PM"</f>
        <v>8/13/2021 4:16:00 PM</v>
      </c>
      <c r="O15648" t="s">
        <v>47815</v>
      </c>
    </row>
    <row r="15649" spans="1:20" x14ac:dyDescent="0.25">
      <c r="A15649" t="str">
        <f>"3058803"</f>
        <v>3058803</v>
      </c>
      <c r="B15649" t="s">
        <v>47819</v>
      </c>
      <c r="C15649" t="str">
        <f>"8316177"</f>
        <v>8316177</v>
      </c>
      <c r="D15649" t="s">
        <v>47820</v>
      </c>
      <c r="F15649" t="s">
        <v>47821</v>
      </c>
      <c r="I15649" t="s">
        <v>29</v>
      </c>
      <c r="J15649" t="s">
        <v>30</v>
      </c>
      <c r="K15649" t="s">
        <v>34090</v>
      </c>
      <c r="M15649" t="s">
        <v>17861</v>
      </c>
      <c r="N15649" t="str">
        <f>"8/9/2021 4:57:00 PM"</f>
        <v>8/9/2021 4:57:00 PM</v>
      </c>
      <c r="O15649" t="s">
        <v>47820</v>
      </c>
    </row>
    <row r="15650" spans="1:20" x14ac:dyDescent="0.25">
      <c r="A15650" t="str">
        <f>"3047247"</f>
        <v>3047247</v>
      </c>
      <c r="B15650" t="s">
        <v>47822</v>
      </c>
      <c r="C15650" t="str">
        <f>"8316178"</f>
        <v>8316178</v>
      </c>
      <c r="D15650" t="s">
        <v>47823</v>
      </c>
      <c r="E15650" t="s">
        <v>47824</v>
      </c>
      <c r="F15650" t="s">
        <v>47825</v>
      </c>
      <c r="I15650" t="s">
        <v>29</v>
      </c>
      <c r="J15650" t="s">
        <v>30</v>
      </c>
      <c r="K15650" t="s">
        <v>34021</v>
      </c>
      <c r="M15650" t="s">
        <v>17861</v>
      </c>
      <c r="N15650" t="str">
        <f>"8/10/2021 9:41:00 AM"</f>
        <v>8/10/2021 9:41:00 AM</v>
      </c>
      <c r="O15650" t="s">
        <v>47823</v>
      </c>
      <c r="T15650" t="s">
        <v>47824</v>
      </c>
    </row>
    <row r="15651" spans="1:20" x14ac:dyDescent="0.25">
      <c r="A15651" t="str">
        <f>"3040230"</f>
        <v>3040230</v>
      </c>
      <c r="B15651" t="s">
        <v>47826</v>
      </c>
      <c r="C15651" t="str">
        <f>"8316179"</f>
        <v>8316179</v>
      </c>
      <c r="D15651" t="s">
        <v>47827</v>
      </c>
      <c r="F15651" t="s">
        <v>47828</v>
      </c>
      <c r="I15651" t="s">
        <v>29</v>
      </c>
      <c r="J15651" t="s">
        <v>30</v>
      </c>
      <c r="K15651" t="s">
        <v>47829</v>
      </c>
      <c r="M15651" t="s">
        <v>17861</v>
      </c>
      <c r="N15651" t="str">
        <f>"8/10/2021 9:58:00 AM"</f>
        <v>8/10/2021 9:58:00 AM</v>
      </c>
      <c r="O15651" t="s">
        <v>47827</v>
      </c>
    </row>
    <row r="15652" spans="1:20" x14ac:dyDescent="0.25">
      <c r="A15652" t="str">
        <f>"3038544"</f>
        <v>3038544</v>
      </c>
      <c r="B15652" t="s">
        <v>47830</v>
      </c>
      <c r="C15652" t="str">
        <f>"77434000"</f>
        <v>77434000</v>
      </c>
      <c r="D15652" t="s">
        <v>47831</v>
      </c>
      <c r="F15652" t="str">
        <f>"C/O LAWRENCE EUGENE WEST"</f>
        <v>C/O LAWRENCE EUGENE WEST</v>
      </c>
      <c r="G15652" t="s">
        <v>47832</v>
      </c>
      <c r="I15652" t="s">
        <v>45784</v>
      </c>
      <c r="J15652" t="s">
        <v>2109</v>
      </c>
      <c r="K15652" t="s">
        <v>47833</v>
      </c>
      <c r="M15652" t="s">
        <v>33845</v>
      </c>
      <c r="N15652" t="str">
        <f>"8/10/2021 1:36:00 PM"</f>
        <v>8/10/2021 1:36:00 PM</v>
      </c>
      <c r="O15652" t="s">
        <v>47831</v>
      </c>
    </row>
    <row r="15653" spans="1:20" x14ac:dyDescent="0.25">
      <c r="A15653" t="str">
        <f>"3041866"</f>
        <v>3041866</v>
      </c>
      <c r="B15653" t="s">
        <v>47834</v>
      </c>
      <c r="C15653" t="str">
        <f>"8316214"</f>
        <v>8316214</v>
      </c>
      <c r="D15653" t="s">
        <v>47835</v>
      </c>
      <c r="E15653" t="s">
        <v>27403</v>
      </c>
      <c r="F15653" t="s">
        <v>47836</v>
      </c>
      <c r="I15653" t="s">
        <v>184</v>
      </c>
      <c r="J15653" t="s">
        <v>30</v>
      </c>
      <c r="K15653" t="s">
        <v>36557</v>
      </c>
      <c r="M15653" t="s">
        <v>17861</v>
      </c>
      <c r="N15653" t="str">
        <f>"8/17/2021 2:07:00 PM"</f>
        <v>8/17/2021 2:07:00 PM</v>
      </c>
      <c r="O15653" t="s">
        <v>47835</v>
      </c>
      <c r="T15653" t="s">
        <v>27403</v>
      </c>
    </row>
    <row r="15654" spans="1:20" x14ac:dyDescent="0.25">
      <c r="A15654" t="str">
        <f>"3050128"</f>
        <v>3050128</v>
      </c>
      <c r="B15654" t="s">
        <v>47837</v>
      </c>
      <c r="C15654" t="str">
        <f>"8316218"</f>
        <v>8316218</v>
      </c>
      <c r="D15654" t="s">
        <v>47838</v>
      </c>
      <c r="F15654" t="s">
        <v>47839</v>
      </c>
      <c r="I15654" t="s">
        <v>29</v>
      </c>
      <c r="J15654" t="s">
        <v>30</v>
      </c>
      <c r="K15654" t="s">
        <v>22200</v>
      </c>
      <c r="M15654" t="s">
        <v>17861</v>
      </c>
      <c r="N15654" t="str">
        <f>"8/17/2021 2:38:00 PM"</f>
        <v>8/17/2021 2:38:00 PM</v>
      </c>
      <c r="O15654" t="s">
        <v>47838</v>
      </c>
    </row>
    <row r="15655" spans="1:20" x14ac:dyDescent="0.25">
      <c r="A15655" t="str">
        <f>"3044360"</f>
        <v>3044360</v>
      </c>
      <c r="B15655" t="s">
        <v>47840</v>
      </c>
      <c r="C15655" t="str">
        <f>"8316219"</f>
        <v>8316219</v>
      </c>
      <c r="D15655" t="s">
        <v>47841</v>
      </c>
      <c r="E15655" t="s">
        <v>47842</v>
      </c>
      <c r="F15655" t="s">
        <v>47843</v>
      </c>
      <c r="I15655" t="s">
        <v>184</v>
      </c>
      <c r="J15655" t="s">
        <v>30</v>
      </c>
      <c r="K15655" t="s">
        <v>47319</v>
      </c>
      <c r="M15655" t="s">
        <v>17861</v>
      </c>
      <c r="N15655" t="str">
        <f>"8/17/2021 2:42:00 PM"</f>
        <v>8/17/2021 2:42:00 PM</v>
      </c>
      <c r="O15655" t="s">
        <v>47841</v>
      </c>
      <c r="T15655" t="s">
        <v>47842</v>
      </c>
    </row>
    <row r="15656" spans="1:20" x14ac:dyDescent="0.25">
      <c r="A15656" t="str">
        <f>"3059209"</f>
        <v>3059209</v>
      </c>
      <c r="B15656" t="s">
        <v>47844</v>
      </c>
      <c r="C15656" t="str">
        <f>"8316221"</f>
        <v>8316221</v>
      </c>
      <c r="D15656" t="s">
        <v>47845</v>
      </c>
      <c r="E15656" t="s">
        <v>47846</v>
      </c>
      <c r="F15656" t="s">
        <v>47847</v>
      </c>
      <c r="I15656" t="s">
        <v>29</v>
      </c>
      <c r="J15656" t="s">
        <v>30</v>
      </c>
      <c r="K15656" t="s">
        <v>47848</v>
      </c>
      <c r="M15656" t="s">
        <v>17861</v>
      </c>
      <c r="N15656" t="str">
        <f>"8/17/2021 3:09:00 PM"</f>
        <v>8/17/2021 3:09:00 PM</v>
      </c>
      <c r="O15656" t="s">
        <v>47845</v>
      </c>
      <c r="T15656" t="s">
        <v>47846</v>
      </c>
    </row>
    <row r="15657" spans="1:20" x14ac:dyDescent="0.25">
      <c r="A15657" t="str">
        <f>"3052556"</f>
        <v>3052556</v>
      </c>
      <c r="B15657" t="s">
        <v>47849</v>
      </c>
      <c r="C15657" t="str">
        <f>"8316222"</f>
        <v>8316222</v>
      </c>
      <c r="D15657" t="s">
        <v>47850</v>
      </c>
      <c r="F15657" t="s">
        <v>47851</v>
      </c>
      <c r="I15657" t="s">
        <v>29</v>
      </c>
      <c r="J15657" t="s">
        <v>30</v>
      </c>
      <c r="K15657" t="s">
        <v>47852</v>
      </c>
      <c r="M15657" t="s">
        <v>17861</v>
      </c>
      <c r="N15657" t="str">
        <f>"8/17/2021 3:12:00 PM"</f>
        <v>8/17/2021 3:12:00 PM</v>
      </c>
      <c r="O15657" t="s">
        <v>47850</v>
      </c>
    </row>
    <row r="15658" spans="1:20" x14ac:dyDescent="0.25">
      <c r="A15658" t="str">
        <f>"3050860"</f>
        <v>3050860</v>
      </c>
      <c r="B15658" t="s">
        <v>47853</v>
      </c>
      <c r="C15658" t="str">
        <f>"8316087"</f>
        <v>8316087</v>
      </c>
      <c r="D15658" t="s">
        <v>47854</v>
      </c>
      <c r="E15658" t="s">
        <v>47855</v>
      </c>
      <c r="F15658" t="s">
        <v>47856</v>
      </c>
      <c r="I15658" t="s">
        <v>184</v>
      </c>
      <c r="J15658" t="s">
        <v>30</v>
      </c>
      <c r="K15658" t="s">
        <v>14178</v>
      </c>
      <c r="M15658" t="s">
        <v>17861</v>
      </c>
      <c r="N15658" t="str">
        <f>"8/10/2021 3:56:00 PM"</f>
        <v>8/10/2021 3:56:00 PM</v>
      </c>
      <c r="O15658" t="s">
        <v>47854</v>
      </c>
      <c r="T15658" t="s">
        <v>47855</v>
      </c>
    </row>
    <row r="15659" spans="1:20" x14ac:dyDescent="0.25">
      <c r="A15659" t="str">
        <f>"3042296"</f>
        <v>3042296</v>
      </c>
      <c r="B15659" t="s">
        <v>47857</v>
      </c>
      <c r="C15659" t="str">
        <f>"82519961"</f>
        <v>82519961</v>
      </c>
      <c r="D15659" t="s">
        <v>47772</v>
      </c>
      <c r="F15659" t="s">
        <v>47773</v>
      </c>
      <c r="I15659" t="s">
        <v>184</v>
      </c>
      <c r="J15659" t="s">
        <v>30</v>
      </c>
      <c r="K15659" t="s">
        <v>47774</v>
      </c>
      <c r="M15659" t="s">
        <v>25733</v>
      </c>
      <c r="N15659" t="str">
        <f>"8/12/2021 1:48:00 PM"</f>
        <v>8/12/2021 1:48:00 PM</v>
      </c>
      <c r="O15659" t="s">
        <v>47772</v>
      </c>
    </row>
    <row r="15660" spans="1:20" x14ac:dyDescent="0.25">
      <c r="A15660" t="str">
        <f>"3061904"</f>
        <v>3061904</v>
      </c>
      <c r="B15660" t="s">
        <v>47858</v>
      </c>
      <c r="C15660" t="str">
        <f>"8315692"</f>
        <v>8315692</v>
      </c>
      <c r="D15660" t="s">
        <v>47859</v>
      </c>
      <c r="E15660" t="s">
        <v>47860</v>
      </c>
      <c r="F15660" t="s">
        <v>47861</v>
      </c>
      <c r="I15660" t="s">
        <v>29</v>
      </c>
      <c r="J15660" t="s">
        <v>30</v>
      </c>
      <c r="K15660" t="str">
        <f>"27028"</f>
        <v>27028</v>
      </c>
      <c r="M15660" t="s">
        <v>33432</v>
      </c>
      <c r="N15660" t="str">
        <f>"8/9/2021 9:54:00 AM"</f>
        <v>8/9/2021 9:54:00 AM</v>
      </c>
      <c r="O15660" t="s">
        <v>47859</v>
      </c>
      <c r="T15660" t="s">
        <v>47860</v>
      </c>
    </row>
    <row r="15661" spans="1:20" x14ac:dyDescent="0.25">
      <c r="A15661" t="str">
        <f>"3044631"</f>
        <v>3044631</v>
      </c>
      <c r="B15661" t="s">
        <v>47862</v>
      </c>
      <c r="C15661" t="str">
        <f>"8316155"</f>
        <v>8316155</v>
      </c>
      <c r="D15661" t="s">
        <v>47863</v>
      </c>
      <c r="E15661" t="s">
        <v>47864</v>
      </c>
      <c r="F15661" t="s">
        <v>47865</v>
      </c>
      <c r="I15661" t="s">
        <v>24359</v>
      </c>
      <c r="J15661" t="s">
        <v>30</v>
      </c>
      <c r="K15661" t="str">
        <f>"27006"</f>
        <v>27006</v>
      </c>
      <c r="M15661" t="s">
        <v>17861</v>
      </c>
      <c r="N15661" t="str">
        <f>"8/9/2021 9:58:00 AM"</f>
        <v>8/9/2021 9:58:00 AM</v>
      </c>
      <c r="O15661" t="s">
        <v>47863</v>
      </c>
      <c r="T15661" t="s">
        <v>47864</v>
      </c>
    </row>
    <row r="15662" spans="1:20" x14ac:dyDescent="0.25">
      <c r="A15662" t="str">
        <f>"3086150"</f>
        <v>3086150</v>
      </c>
      <c r="B15662" t="s">
        <v>47866</v>
      </c>
      <c r="C15662" t="str">
        <f>"82532897"</f>
        <v>82532897</v>
      </c>
      <c r="D15662" t="s">
        <v>39598</v>
      </c>
      <c r="E15662" t="s">
        <v>47867</v>
      </c>
      <c r="F15662" t="s">
        <v>47868</v>
      </c>
      <c r="I15662" t="s">
        <v>29</v>
      </c>
      <c r="J15662" t="s">
        <v>30</v>
      </c>
      <c r="K15662" t="s">
        <v>25801</v>
      </c>
      <c r="M15662" t="s">
        <v>25733</v>
      </c>
      <c r="N15662" t="str">
        <f>"8/9/2021 10:27:00 AM"</f>
        <v>8/9/2021 10:27:00 AM</v>
      </c>
      <c r="O15662" t="s">
        <v>39598</v>
      </c>
      <c r="T15662" t="s">
        <v>47867</v>
      </c>
    </row>
    <row r="15663" spans="1:20" x14ac:dyDescent="0.25">
      <c r="A15663" t="str">
        <f>"3061444"</f>
        <v>3061444</v>
      </c>
      <c r="B15663" t="s">
        <v>47869</v>
      </c>
      <c r="C15663" t="str">
        <f>"8316229"</f>
        <v>8316229</v>
      </c>
      <c r="D15663" t="s">
        <v>47870</v>
      </c>
      <c r="E15663" t="s">
        <v>47871</v>
      </c>
      <c r="F15663" t="s">
        <v>47872</v>
      </c>
      <c r="I15663" t="s">
        <v>184</v>
      </c>
      <c r="J15663" t="s">
        <v>30</v>
      </c>
      <c r="K15663" t="s">
        <v>35010</v>
      </c>
      <c r="M15663" t="s">
        <v>17861</v>
      </c>
      <c r="N15663" t="str">
        <f>"8/17/2021 4:31:00 PM"</f>
        <v>8/17/2021 4:31:00 PM</v>
      </c>
      <c r="O15663" t="s">
        <v>47870</v>
      </c>
      <c r="T15663" t="s">
        <v>47871</v>
      </c>
    </row>
    <row r="15664" spans="1:20" x14ac:dyDescent="0.25">
      <c r="A15664" t="str">
        <f>"3060936"</f>
        <v>3060936</v>
      </c>
      <c r="B15664" t="s">
        <v>47873</v>
      </c>
      <c r="C15664" t="str">
        <f>"8316230"</f>
        <v>8316230</v>
      </c>
      <c r="D15664" t="s">
        <v>47874</v>
      </c>
      <c r="F15664" t="s">
        <v>47875</v>
      </c>
      <c r="I15664" t="s">
        <v>2071</v>
      </c>
      <c r="J15664" t="s">
        <v>30</v>
      </c>
      <c r="K15664" t="s">
        <v>42092</v>
      </c>
      <c r="M15664" t="s">
        <v>17861</v>
      </c>
      <c r="N15664" t="str">
        <f>"8/17/2021 4:34:00 PM"</f>
        <v>8/17/2021 4:34:00 PM</v>
      </c>
      <c r="O15664" t="s">
        <v>47874</v>
      </c>
    </row>
    <row r="15665" spans="1:20" x14ac:dyDescent="0.25">
      <c r="A15665" t="str">
        <f>"3061182"</f>
        <v>3061182</v>
      </c>
      <c r="B15665" t="s">
        <v>47876</v>
      </c>
      <c r="C15665" t="str">
        <f>"8316231"</f>
        <v>8316231</v>
      </c>
      <c r="D15665" t="s">
        <v>47877</v>
      </c>
      <c r="F15665" t="s">
        <v>47878</v>
      </c>
      <c r="I15665" t="s">
        <v>184</v>
      </c>
      <c r="J15665" t="s">
        <v>30</v>
      </c>
      <c r="K15665" t="s">
        <v>6631</v>
      </c>
      <c r="M15665" t="s">
        <v>17861</v>
      </c>
      <c r="N15665" t="str">
        <f>"8/17/2021 4:36:00 PM"</f>
        <v>8/17/2021 4:36:00 PM</v>
      </c>
      <c r="O15665" t="s">
        <v>47877</v>
      </c>
    </row>
    <row r="15666" spans="1:20" x14ac:dyDescent="0.25">
      <c r="A15666" t="str">
        <f>"3046103"</f>
        <v>3046103</v>
      </c>
      <c r="B15666" t="s">
        <v>47879</v>
      </c>
      <c r="C15666" t="str">
        <f>"8313242"</f>
        <v>8313242</v>
      </c>
      <c r="D15666" t="s">
        <v>47880</v>
      </c>
      <c r="E15666" t="s">
        <v>47881</v>
      </c>
      <c r="F15666" t="s">
        <v>47882</v>
      </c>
      <c r="I15666" t="s">
        <v>17921</v>
      </c>
      <c r="J15666" t="s">
        <v>30</v>
      </c>
      <c r="K15666" t="str">
        <f>"27028"</f>
        <v>27028</v>
      </c>
      <c r="M15666" t="s">
        <v>36935</v>
      </c>
      <c r="N15666" t="str">
        <f>"8/18/2021 8:11:00 AM"</f>
        <v>8/18/2021 8:11:00 AM</v>
      </c>
      <c r="O15666" t="s">
        <v>47880</v>
      </c>
      <c r="T15666" t="s">
        <v>47881</v>
      </c>
    </row>
    <row r="15667" spans="1:20" x14ac:dyDescent="0.25">
      <c r="A15667" t="str">
        <f>"3063034"</f>
        <v>3063034</v>
      </c>
      <c r="B15667" t="s">
        <v>47883</v>
      </c>
      <c r="C15667" t="str">
        <f>"8316232"</f>
        <v>8316232</v>
      </c>
      <c r="D15667" t="s">
        <v>47884</v>
      </c>
      <c r="E15667" t="s">
        <v>47885</v>
      </c>
      <c r="F15667" t="s">
        <v>47886</v>
      </c>
      <c r="I15667" t="s">
        <v>184</v>
      </c>
      <c r="J15667" t="s">
        <v>30</v>
      </c>
      <c r="K15667" t="s">
        <v>47887</v>
      </c>
      <c r="M15667" t="s">
        <v>17861</v>
      </c>
      <c r="N15667" t="str">
        <f>"8/18/2021 8:46:00 AM"</f>
        <v>8/18/2021 8:46:00 AM</v>
      </c>
      <c r="O15667" t="s">
        <v>47884</v>
      </c>
      <c r="T15667" t="s">
        <v>47885</v>
      </c>
    </row>
    <row r="15668" spans="1:20" x14ac:dyDescent="0.25">
      <c r="A15668" t="str">
        <f>"3077109"</f>
        <v>3077109</v>
      </c>
      <c r="B15668" t="s">
        <v>47888</v>
      </c>
      <c r="C15668" t="str">
        <f>"8316233"</f>
        <v>8316233</v>
      </c>
      <c r="D15668" t="s">
        <v>47889</v>
      </c>
      <c r="E15668" t="s">
        <v>47890</v>
      </c>
      <c r="F15668" t="s">
        <v>47891</v>
      </c>
      <c r="I15668" t="s">
        <v>184</v>
      </c>
      <c r="J15668" t="s">
        <v>30</v>
      </c>
      <c r="K15668" t="s">
        <v>4614</v>
      </c>
      <c r="M15668" t="s">
        <v>17861</v>
      </c>
      <c r="N15668" t="str">
        <f>"8/18/2021 8:50:00 AM"</f>
        <v>8/18/2021 8:50:00 AM</v>
      </c>
      <c r="O15668" t="s">
        <v>47889</v>
      </c>
      <c r="T15668" t="s">
        <v>47890</v>
      </c>
    </row>
    <row r="15669" spans="1:20" x14ac:dyDescent="0.25">
      <c r="A15669" t="str">
        <f>"3039870"</f>
        <v>3039870</v>
      </c>
      <c r="B15669" t="s">
        <v>47892</v>
      </c>
      <c r="C15669" t="str">
        <f>"8316233"</f>
        <v>8316233</v>
      </c>
      <c r="D15669" t="s">
        <v>47889</v>
      </c>
      <c r="E15669" t="s">
        <v>47890</v>
      </c>
      <c r="F15669" t="s">
        <v>47891</v>
      </c>
      <c r="I15669" t="s">
        <v>184</v>
      </c>
      <c r="J15669" t="s">
        <v>30</v>
      </c>
      <c r="K15669" t="s">
        <v>4614</v>
      </c>
      <c r="M15669" t="s">
        <v>17861</v>
      </c>
      <c r="N15669" t="str">
        <f>"8/18/2021 8:50:00 AM"</f>
        <v>8/18/2021 8:50:00 AM</v>
      </c>
      <c r="O15669" t="s">
        <v>47889</v>
      </c>
      <c r="T15669" t="s">
        <v>47890</v>
      </c>
    </row>
    <row r="15670" spans="1:20" x14ac:dyDescent="0.25">
      <c r="A15670" t="str">
        <f>"3051998"</f>
        <v>3051998</v>
      </c>
      <c r="B15670" t="s">
        <v>47893</v>
      </c>
      <c r="C15670" t="str">
        <f>"8316235"</f>
        <v>8316235</v>
      </c>
      <c r="D15670" t="s">
        <v>47894</v>
      </c>
      <c r="E15670" t="s">
        <v>47895</v>
      </c>
      <c r="F15670" t="s">
        <v>47896</v>
      </c>
      <c r="I15670" t="s">
        <v>29</v>
      </c>
      <c r="J15670" t="s">
        <v>30</v>
      </c>
      <c r="K15670" t="s">
        <v>47897</v>
      </c>
      <c r="M15670" t="s">
        <v>17861</v>
      </c>
      <c r="N15670" t="str">
        <f>"8/18/2021 9:56:00 AM"</f>
        <v>8/18/2021 9:56:00 AM</v>
      </c>
      <c r="O15670" t="s">
        <v>47894</v>
      </c>
      <c r="T15670" t="s">
        <v>47895</v>
      </c>
    </row>
    <row r="15671" spans="1:20" x14ac:dyDescent="0.25">
      <c r="A15671" t="str">
        <f>"3057876"</f>
        <v>3057876</v>
      </c>
      <c r="B15671" t="s">
        <v>47898</v>
      </c>
      <c r="C15671" t="str">
        <f>"8316236"</f>
        <v>8316236</v>
      </c>
      <c r="D15671" t="s">
        <v>47899</v>
      </c>
      <c r="E15671" t="s">
        <v>47900</v>
      </c>
      <c r="F15671" t="s">
        <v>47901</v>
      </c>
      <c r="I15671" t="s">
        <v>184</v>
      </c>
      <c r="J15671" t="s">
        <v>30</v>
      </c>
      <c r="K15671" t="str">
        <f>"27006"</f>
        <v>27006</v>
      </c>
      <c r="M15671" t="s">
        <v>17861</v>
      </c>
      <c r="N15671" t="str">
        <f>"8/18/2021 10:00:00 AM"</f>
        <v>8/18/2021 10:00:00 AM</v>
      </c>
      <c r="O15671" t="s">
        <v>47899</v>
      </c>
      <c r="T15671" t="s">
        <v>47900</v>
      </c>
    </row>
    <row r="15672" spans="1:20" x14ac:dyDescent="0.25">
      <c r="A15672" t="str">
        <f>"3037704"</f>
        <v>3037704</v>
      </c>
      <c r="B15672" t="s">
        <v>47902</v>
      </c>
      <c r="C15672" t="str">
        <f>"8316237"</f>
        <v>8316237</v>
      </c>
      <c r="D15672" t="s">
        <v>47903</v>
      </c>
      <c r="E15672" t="s">
        <v>47904</v>
      </c>
      <c r="F15672" t="s">
        <v>47905</v>
      </c>
      <c r="I15672" t="s">
        <v>29</v>
      </c>
      <c r="J15672" t="s">
        <v>30</v>
      </c>
      <c r="K15672" t="s">
        <v>20338</v>
      </c>
      <c r="M15672" t="s">
        <v>17861</v>
      </c>
      <c r="N15672" t="str">
        <f>"8/18/2021 10:10:00 AM"</f>
        <v>8/18/2021 10:10:00 AM</v>
      </c>
      <c r="O15672" t="s">
        <v>47903</v>
      </c>
      <c r="T15672" t="s">
        <v>47904</v>
      </c>
    </row>
    <row r="15673" spans="1:20" x14ac:dyDescent="0.25">
      <c r="A15673" t="str">
        <f>"3058276"</f>
        <v>3058276</v>
      </c>
      <c r="B15673" t="s">
        <v>47906</v>
      </c>
      <c r="C15673" t="str">
        <f>"8316237"</f>
        <v>8316237</v>
      </c>
      <c r="D15673" t="s">
        <v>47903</v>
      </c>
      <c r="E15673" t="s">
        <v>47904</v>
      </c>
      <c r="F15673" t="s">
        <v>47905</v>
      </c>
      <c r="I15673" t="s">
        <v>29</v>
      </c>
      <c r="J15673" t="s">
        <v>30</v>
      </c>
      <c r="K15673" t="s">
        <v>20338</v>
      </c>
      <c r="M15673" t="s">
        <v>17861</v>
      </c>
      <c r="N15673" t="str">
        <f>"8/18/2021 10:10:00 AM"</f>
        <v>8/18/2021 10:10:00 AM</v>
      </c>
      <c r="O15673" t="s">
        <v>47903</v>
      </c>
      <c r="T15673" t="s">
        <v>47904</v>
      </c>
    </row>
    <row r="15674" spans="1:20" x14ac:dyDescent="0.25">
      <c r="A15674" t="str">
        <f>"3045899"</f>
        <v>3045899</v>
      </c>
      <c r="B15674" t="s">
        <v>47907</v>
      </c>
      <c r="C15674" t="str">
        <f>"8316239"</f>
        <v>8316239</v>
      </c>
      <c r="D15674" t="s">
        <v>47908</v>
      </c>
      <c r="F15674" t="s">
        <v>47909</v>
      </c>
      <c r="I15674" t="s">
        <v>471</v>
      </c>
      <c r="J15674" t="s">
        <v>30</v>
      </c>
      <c r="K15674" t="s">
        <v>47910</v>
      </c>
      <c r="M15674" t="s">
        <v>17861</v>
      </c>
      <c r="N15674" t="str">
        <f>"8/18/2021 10:38:00 AM"</f>
        <v>8/18/2021 10:38:00 AM</v>
      </c>
      <c r="O15674" t="s">
        <v>47908</v>
      </c>
    </row>
    <row r="15675" spans="1:20" x14ac:dyDescent="0.25">
      <c r="A15675" t="str">
        <f>"3045905"</f>
        <v>3045905</v>
      </c>
      <c r="B15675" t="s">
        <v>47911</v>
      </c>
      <c r="C15675" t="str">
        <f>"8316239"</f>
        <v>8316239</v>
      </c>
      <c r="D15675" t="s">
        <v>47908</v>
      </c>
      <c r="F15675" t="s">
        <v>47909</v>
      </c>
      <c r="I15675" t="s">
        <v>471</v>
      </c>
      <c r="J15675" t="s">
        <v>30</v>
      </c>
      <c r="K15675" t="s">
        <v>47910</v>
      </c>
      <c r="M15675" t="s">
        <v>17861</v>
      </c>
      <c r="N15675" t="str">
        <f>"8/18/2021 10:38:00 AM"</f>
        <v>8/18/2021 10:38:00 AM</v>
      </c>
      <c r="O15675" t="s">
        <v>47908</v>
      </c>
    </row>
    <row r="15676" spans="1:20" x14ac:dyDescent="0.25">
      <c r="A15676" t="str">
        <f>"3045900"</f>
        <v>3045900</v>
      </c>
      <c r="B15676" t="s">
        <v>47912</v>
      </c>
      <c r="C15676" t="str">
        <f>"8316239"</f>
        <v>8316239</v>
      </c>
      <c r="D15676" t="s">
        <v>47908</v>
      </c>
      <c r="F15676" t="s">
        <v>47909</v>
      </c>
      <c r="I15676" t="s">
        <v>471</v>
      </c>
      <c r="J15676" t="s">
        <v>30</v>
      </c>
      <c r="K15676" t="s">
        <v>47910</v>
      </c>
      <c r="M15676" t="s">
        <v>17861</v>
      </c>
      <c r="N15676" t="str">
        <f>"8/18/2021 10:38:00 AM"</f>
        <v>8/18/2021 10:38:00 AM</v>
      </c>
      <c r="O15676" t="s">
        <v>47908</v>
      </c>
    </row>
    <row r="15677" spans="1:20" x14ac:dyDescent="0.25">
      <c r="A15677" t="str">
        <f>"3039882"</f>
        <v>3039882</v>
      </c>
      <c r="B15677" t="s">
        <v>47913</v>
      </c>
      <c r="C15677" t="str">
        <f>"8316163"</f>
        <v>8316163</v>
      </c>
      <c r="D15677" t="s">
        <v>47914</v>
      </c>
      <c r="E15677" t="s">
        <v>47915</v>
      </c>
      <c r="F15677" t="s">
        <v>47916</v>
      </c>
      <c r="I15677" t="s">
        <v>184</v>
      </c>
      <c r="J15677" t="s">
        <v>30</v>
      </c>
      <c r="K15677" t="s">
        <v>25103</v>
      </c>
      <c r="M15677" t="s">
        <v>17861</v>
      </c>
      <c r="N15677" t="str">
        <f>"8/9/2021 12:18:00 PM"</f>
        <v>8/9/2021 12:18:00 PM</v>
      </c>
      <c r="O15677" t="s">
        <v>47914</v>
      </c>
      <c r="T15677" t="s">
        <v>47915</v>
      </c>
    </row>
    <row r="15678" spans="1:20" x14ac:dyDescent="0.25">
      <c r="A15678" t="str">
        <f>"3068019"</f>
        <v>3068019</v>
      </c>
      <c r="B15678" t="s">
        <v>47917</v>
      </c>
      <c r="C15678" t="str">
        <f>"8316245"</f>
        <v>8316245</v>
      </c>
      <c r="D15678" t="s">
        <v>47918</v>
      </c>
      <c r="E15678" t="s">
        <v>47919</v>
      </c>
      <c r="F15678" t="s">
        <v>47920</v>
      </c>
      <c r="I15678" t="s">
        <v>29</v>
      </c>
      <c r="J15678" t="s">
        <v>30</v>
      </c>
      <c r="K15678" t="s">
        <v>47921</v>
      </c>
      <c r="M15678" t="s">
        <v>17861</v>
      </c>
      <c r="N15678" t="str">
        <f>"8/18/2021 11:24:00 AM"</f>
        <v>8/18/2021 11:24:00 AM</v>
      </c>
      <c r="O15678" t="s">
        <v>47918</v>
      </c>
      <c r="T15678" t="s">
        <v>47919</v>
      </c>
    </row>
    <row r="15679" spans="1:20" x14ac:dyDescent="0.25">
      <c r="A15679" t="str">
        <f>"3059892"</f>
        <v>3059892</v>
      </c>
      <c r="B15679" t="s">
        <v>47922</v>
      </c>
      <c r="C15679" t="str">
        <f>"8316247"</f>
        <v>8316247</v>
      </c>
      <c r="D15679" t="s">
        <v>47923</v>
      </c>
      <c r="E15679" t="s">
        <v>47924</v>
      </c>
      <c r="F15679" t="s">
        <v>47925</v>
      </c>
      <c r="I15679" t="s">
        <v>29</v>
      </c>
      <c r="J15679" t="s">
        <v>30</v>
      </c>
      <c r="K15679" t="s">
        <v>47926</v>
      </c>
      <c r="M15679" t="s">
        <v>17861</v>
      </c>
      <c r="N15679" t="str">
        <f>"8/18/2021 1:43:00 PM"</f>
        <v>8/18/2021 1:43:00 PM</v>
      </c>
      <c r="O15679" t="s">
        <v>47923</v>
      </c>
      <c r="T15679" t="s">
        <v>47924</v>
      </c>
    </row>
    <row r="15680" spans="1:20" x14ac:dyDescent="0.25">
      <c r="A15680" t="str">
        <f>"3059281"</f>
        <v>3059281</v>
      </c>
      <c r="B15680" t="s">
        <v>47927</v>
      </c>
      <c r="C15680" t="str">
        <f>"8316248"</f>
        <v>8316248</v>
      </c>
      <c r="D15680" t="str">
        <f>"HARRIS MARCUS D/PATRICIA T TRUSTEES"</f>
        <v>HARRIS MARCUS D/PATRICIA T TRUSTEES</v>
      </c>
      <c r="E15680" t="str">
        <f>"MARCUS D/PATRICIA T REV LIV TR"</f>
        <v>MARCUS D/PATRICIA T REV LIV TR</v>
      </c>
      <c r="F15680" t="s">
        <v>47928</v>
      </c>
      <c r="I15680" t="s">
        <v>29</v>
      </c>
      <c r="J15680" t="s">
        <v>30</v>
      </c>
      <c r="K15680" t="s">
        <v>35252</v>
      </c>
      <c r="M15680" t="s">
        <v>17861</v>
      </c>
      <c r="N15680" t="str">
        <f>"8/18/2021 1:48:00 PM"</f>
        <v>8/18/2021 1:48:00 PM</v>
      </c>
      <c r="O15680" t="str">
        <f>"HARRIS MARCUS D/PATRICIA T TRUSTEES"</f>
        <v>HARRIS MARCUS D/PATRICIA T TRUSTEES</v>
      </c>
      <c r="T15680" t="str">
        <f>"MARCUS D/PATRICIA T REV LIV TR"</f>
        <v>MARCUS D/PATRICIA T REV LIV TR</v>
      </c>
    </row>
    <row r="15681" spans="1:20" x14ac:dyDescent="0.25">
      <c r="A15681" t="str">
        <f>"3061840"</f>
        <v>3061840</v>
      </c>
      <c r="B15681" t="s">
        <v>47929</v>
      </c>
      <c r="C15681" t="str">
        <f>"8316250"</f>
        <v>8316250</v>
      </c>
      <c r="D15681" t="s">
        <v>47930</v>
      </c>
      <c r="E15681" t="s">
        <v>47931</v>
      </c>
      <c r="F15681" t="s">
        <v>47932</v>
      </c>
      <c r="I15681" t="s">
        <v>29</v>
      </c>
      <c r="J15681" t="s">
        <v>30</v>
      </c>
      <c r="K15681" t="str">
        <f>"27028"</f>
        <v>27028</v>
      </c>
      <c r="M15681" t="s">
        <v>17861</v>
      </c>
      <c r="N15681" t="str">
        <f>"8/18/2021 3:23:00 PM"</f>
        <v>8/18/2021 3:23:00 PM</v>
      </c>
      <c r="O15681" t="s">
        <v>47930</v>
      </c>
      <c r="T15681" t="s">
        <v>47931</v>
      </c>
    </row>
    <row r="15682" spans="1:20" x14ac:dyDescent="0.25">
      <c r="A15682" t="str">
        <f>"3041254"</f>
        <v>3041254</v>
      </c>
      <c r="B15682" t="s">
        <v>47933</v>
      </c>
      <c r="C15682" t="str">
        <f>"8316251"</f>
        <v>8316251</v>
      </c>
      <c r="D15682" t="s">
        <v>47934</v>
      </c>
      <c r="E15682" t="s">
        <v>47935</v>
      </c>
      <c r="F15682" t="s">
        <v>47936</v>
      </c>
      <c r="I15682" t="s">
        <v>184</v>
      </c>
      <c r="J15682" t="s">
        <v>30</v>
      </c>
      <c r="K15682" t="s">
        <v>33257</v>
      </c>
      <c r="M15682" t="s">
        <v>17861</v>
      </c>
      <c r="N15682" t="str">
        <f>"8/18/2021 3:30:00 PM"</f>
        <v>8/18/2021 3:30:00 PM</v>
      </c>
      <c r="O15682" t="s">
        <v>47934</v>
      </c>
      <c r="T15682" t="s">
        <v>47935</v>
      </c>
    </row>
    <row r="15683" spans="1:20" x14ac:dyDescent="0.25">
      <c r="A15683" t="str">
        <f>"3055013"</f>
        <v>3055013</v>
      </c>
      <c r="B15683" t="s">
        <v>47937</v>
      </c>
      <c r="C15683" t="str">
        <f>"8316252"</f>
        <v>8316252</v>
      </c>
      <c r="D15683" t="s">
        <v>47938</v>
      </c>
      <c r="F15683" t="s">
        <v>47939</v>
      </c>
      <c r="I15683" t="s">
        <v>29</v>
      </c>
      <c r="J15683" t="s">
        <v>30</v>
      </c>
      <c r="K15683" t="s">
        <v>47940</v>
      </c>
      <c r="M15683" t="s">
        <v>17861</v>
      </c>
      <c r="N15683" t="str">
        <f>"8/18/2021 3:41:00 PM"</f>
        <v>8/18/2021 3:41:00 PM</v>
      </c>
      <c r="O15683" t="s">
        <v>47938</v>
      </c>
    </row>
    <row r="15684" spans="1:20" x14ac:dyDescent="0.25">
      <c r="A15684" t="str">
        <f>"3061978"</f>
        <v>3061978</v>
      </c>
      <c r="B15684" t="s">
        <v>47941</v>
      </c>
      <c r="C15684" t="str">
        <f>"8316253"</f>
        <v>8316253</v>
      </c>
      <c r="D15684" t="s">
        <v>47942</v>
      </c>
      <c r="F15684" t="s">
        <v>47943</v>
      </c>
      <c r="I15684" t="s">
        <v>184</v>
      </c>
      <c r="J15684" t="s">
        <v>30</v>
      </c>
      <c r="K15684" t="s">
        <v>47944</v>
      </c>
      <c r="M15684" t="s">
        <v>17861</v>
      </c>
      <c r="N15684" t="str">
        <f>"8/18/2021 3:54:00 PM"</f>
        <v>8/18/2021 3:54:00 PM</v>
      </c>
      <c r="O15684" t="s">
        <v>47942</v>
      </c>
    </row>
    <row r="15685" spans="1:20" x14ac:dyDescent="0.25">
      <c r="A15685" t="str">
        <f>"3045323"</f>
        <v>3045323</v>
      </c>
      <c r="B15685" t="s">
        <v>47945</v>
      </c>
      <c r="C15685" t="str">
        <f>"45627060"</f>
        <v>45627060</v>
      </c>
      <c r="D15685" t="s">
        <v>33311</v>
      </c>
      <c r="F15685" t="s">
        <v>47946</v>
      </c>
      <c r="I15685" t="s">
        <v>29</v>
      </c>
      <c r="J15685" t="s">
        <v>30</v>
      </c>
      <c r="K15685" t="s">
        <v>31</v>
      </c>
      <c r="M15685" t="s">
        <v>32801</v>
      </c>
      <c r="N15685" t="str">
        <f>"8/19/2021 9:58:00 AM"</f>
        <v>8/19/2021 9:58:00 AM</v>
      </c>
      <c r="O15685" t="s">
        <v>33311</v>
      </c>
    </row>
    <row r="15686" spans="1:20" x14ac:dyDescent="0.25">
      <c r="A15686" t="str">
        <f>"3055253"</f>
        <v>3055253</v>
      </c>
      <c r="B15686" t="s">
        <v>47947</v>
      </c>
      <c r="C15686" t="str">
        <f>"8316165"</f>
        <v>8316165</v>
      </c>
      <c r="D15686" t="s">
        <v>47948</v>
      </c>
      <c r="E15686" t="s">
        <v>47949</v>
      </c>
      <c r="F15686" t="s">
        <v>47950</v>
      </c>
      <c r="I15686" t="s">
        <v>29</v>
      </c>
      <c r="J15686" t="s">
        <v>30</v>
      </c>
      <c r="K15686" t="s">
        <v>47951</v>
      </c>
      <c r="M15686" t="s">
        <v>17861</v>
      </c>
      <c r="N15686" t="str">
        <f>"8/9/2021 12:27:00 PM"</f>
        <v>8/9/2021 12:27:00 PM</v>
      </c>
      <c r="O15686" t="s">
        <v>47948</v>
      </c>
      <c r="T15686" t="s">
        <v>47949</v>
      </c>
    </row>
    <row r="15687" spans="1:20" x14ac:dyDescent="0.25">
      <c r="A15687" t="str">
        <f>"3054913"</f>
        <v>3054913</v>
      </c>
      <c r="B15687" t="s">
        <v>47952</v>
      </c>
      <c r="C15687" t="str">
        <f>"8316165"</f>
        <v>8316165</v>
      </c>
      <c r="D15687" t="s">
        <v>47948</v>
      </c>
      <c r="E15687" t="s">
        <v>47949</v>
      </c>
      <c r="F15687" t="s">
        <v>47950</v>
      </c>
      <c r="I15687" t="s">
        <v>29</v>
      </c>
      <c r="J15687" t="s">
        <v>30</v>
      </c>
      <c r="K15687" t="s">
        <v>47951</v>
      </c>
      <c r="M15687" t="s">
        <v>17861</v>
      </c>
      <c r="N15687" t="str">
        <f>"8/9/2021 12:27:00 PM"</f>
        <v>8/9/2021 12:27:00 PM</v>
      </c>
      <c r="O15687" t="s">
        <v>47948</v>
      </c>
      <c r="T15687" t="s">
        <v>47949</v>
      </c>
    </row>
    <row r="15688" spans="1:20" x14ac:dyDescent="0.25">
      <c r="A15688" t="str">
        <f>"3053414"</f>
        <v>3053414</v>
      </c>
      <c r="B15688" t="s">
        <v>47953</v>
      </c>
      <c r="C15688" t="str">
        <f>"8316166"</f>
        <v>8316166</v>
      </c>
      <c r="D15688" t="s">
        <v>47954</v>
      </c>
      <c r="F15688" t="s">
        <v>47955</v>
      </c>
      <c r="I15688" t="s">
        <v>29</v>
      </c>
      <c r="J15688" t="s">
        <v>30</v>
      </c>
      <c r="K15688" t="s">
        <v>47956</v>
      </c>
      <c r="M15688" t="s">
        <v>17861</v>
      </c>
      <c r="N15688" t="str">
        <f>"8/9/2021 12:30:00 PM"</f>
        <v>8/9/2021 12:30:00 PM</v>
      </c>
      <c r="O15688" t="s">
        <v>47954</v>
      </c>
    </row>
    <row r="15689" spans="1:20" x14ac:dyDescent="0.25">
      <c r="A15689" t="str">
        <f>"3065465"</f>
        <v>3065465</v>
      </c>
      <c r="B15689" t="s">
        <v>47957</v>
      </c>
      <c r="C15689" t="str">
        <f>"8316170"</f>
        <v>8316170</v>
      </c>
      <c r="D15689" t="s">
        <v>47958</v>
      </c>
      <c r="E15689" t="s">
        <v>47959</v>
      </c>
      <c r="F15689" t="s">
        <v>47960</v>
      </c>
      <c r="I15689" t="s">
        <v>184</v>
      </c>
      <c r="J15689" t="s">
        <v>30</v>
      </c>
      <c r="K15689" t="s">
        <v>4614</v>
      </c>
      <c r="M15689" t="s">
        <v>17861</v>
      </c>
      <c r="N15689" t="str">
        <f>"8/9/2021 3:19:00 PM"</f>
        <v>8/9/2021 3:19:00 PM</v>
      </c>
      <c r="O15689" t="s">
        <v>47958</v>
      </c>
      <c r="T15689" t="s">
        <v>47959</v>
      </c>
    </row>
    <row r="15690" spans="1:20" x14ac:dyDescent="0.25">
      <c r="A15690" t="str">
        <f>"3060180"</f>
        <v>3060180</v>
      </c>
      <c r="B15690" t="s">
        <v>47961</v>
      </c>
      <c r="C15690" t="str">
        <f>"8316172"</f>
        <v>8316172</v>
      </c>
      <c r="D15690" t="s">
        <v>47962</v>
      </c>
      <c r="E15690" t="s">
        <v>47963</v>
      </c>
      <c r="F15690" t="s">
        <v>47964</v>
      </c>
      <c r="I15690" t="s">
        <v>184</v>
      </c>
      <c r="J15690" t="s">
        <v>30</v>
      </c>
      <c r="K15690" t="s">
        <v>47887</v>
      </c>
      <c r="M15690" t="s">
        <v>17861</v>
      </c>
      <c r="N15690" t="str">
        <f>"8/9/2021 4:09:00 PM"</f>
        <v>8/9/2021 4:09:00 PM</v>
      </c>
      <c r="O15690" t="s">
        <v>47962</v>
      </c>
      <c r="T15690" t="s">
        <v>47963</v>
      </c>
    </row>
    <row r="15691" spans="1:20" x14ac:dyDescent="0.25">
      <c r="A15691" t="str">
        <f>"3057418"</f>
        <v>3057418</v>
      </c>
      <c r="B15691" t="s">
        <v>47965</v>
      </c>
      <c r="C15691" t="str">
        <f>"8304722"</f>
        <v>8304722</v>
      </c>
      <c r="D15691" t="s">
        <v>47966</v>
      </c>
      <c r="E15691" t="s">
        <v>47967</v>
      </c>
      <c r="F15691" t="s">
        <v>47968</v>
      </c>
      <c r="I15691" t="s">
        <v>7917</v>
      </c>
      <c r="J15691" t="s">
        <v>30</v>
      </c>
      <c r="K15691" t="str">
        <f>"28117"</f>
        <v>28117</v>
      </c>
      <c r="M15691" t="s">
        <v>33845</v>
      </c>
      <c r="N15691" t="str">
        <f>"8/17/2021 10:06:00 AM"</f>
        <v>8/17/2021 10:06:00 AM</v>
      </c>
      <c r="O15691" t="s">
        <v>47966</v>
      </c>
      <c r="T15691" t="s">
        <v>47967</v>
      </c>
    </row>
    <row r="15692" spans="1:20" x14ac:dyDescent="0.25">
      <c r="A15692" t="str">
        <f>"3047462"</f>
        <v>3047462</v>
      </c>
      <c r="B15692" t="s">
        <v>47969</v>
      </c>
      <c r="C15692" t="str">
        <f>"8304722"</f>
        <v>8304722</v>
      </c>
      <c r="D15692" t="s">
        <v>47966</v>
      </c>
      <c r="E15692" t="s">
        <v>47967</v>
      </c>
      <c r="F15692" t="s">
        <v>47968</v>
      </c>
      <c r="I15692" t="s">
        <v>7917</v>
      </c>
      <c r="J15692" t="s">
        <v>30</v>
      </c>
      <c r="K15692" t="str">
        <f>"28117"</f>
        <v>28117</v>
      </c>
      <c r="M15692" t="s">
        <v>33845</v>
      </c>
      <c r="N15692" t="str">
        <f>"8/17/2021 10:06:00 AM"</f>
        <v>8/17/2021 10:06:00 AM</v>
      </c>
      <c r="O15692" t="s">
        <v>47966</v>
      </c>
      <c r="T15692" t="s">
        <v>47967</v>
      </c>
    </row>
    <row r="15693" spans="1:20" x14ac:dyDescent="0.25">
      <c r="A15693" t="str">
        <f>"3048000"</f>
        <v>3048000</v>
      </c>
      <c r="B15693" t="s">
        <v>47970</v>
      </c>
      <c r="C15693" t="str">
        <f>"8304887"</f>
        <v>8304887</v>
      </c>
      <c r="D15693" t="s">
        <v>8782</v>
      </c>
      <c r="E15693" t="str">
        <f>"NICHOLS JULIA/GRAY LELIA"</f>
        <v>NICHOLS JULIA/GRAY LELIA</v>
      </c>
      <c r="F15693" t="s">
        <v>47968</v>
      </c>
      <c r="I15693" t="s">
        <v>7917</v>
      </c>
      <c r="J15693" t="s">
        <v>30</v>
      </c>
      <c r="K15693" t="str">
        <f>"28117"</f>
        <v>28117</v>
      </c>
      <c r="M15693" t="s">
        <v>33845</v>
      </c>
      <c r="N15693" t="str">
        <f>"8/17/2021 10:07:00 AM"</f>
        <v>8/17/2021 10:07:00 AM</v>
      </c>
      <c r="O15693" t="s">
        <v>8782</v>
      </c>
      <c r="T15693" t="str">
        <f>"NICHOLS JULIA/GRAY LELIA"</f>
        <v>NICHOLS JULIA/GRAY LELIA</v>
      </c>
    </row>
    <row r="15694" spans="1:20" x14ac:dyDescent="0.25">
      <c r="A15694" t="str">
        <f>"3048583"</f>
        <v>3048583</v>
      </c>
      <c r="B15694" t="s">
        <v>47971</v>
      </c>
      <c r="C15694" t="str">
        <f>"8316213"</f>
        <v>8316213</v>
      </c>
      <c r="D15694" t="s">
        <v>47972</v>
      </c>
      <c r="F15694" t="s">
        <v>47973</v>
      </c>
      <c r="I15694" t="s">
        <v>29</v>
      </c>
      <c r="J15694" t="s">
        <v>30</v>
      </c>
      <c r="K15694" t="s">
        <v>12392</v>
      </c>
      <c r="M15694" t="s">
        <v>17861</v>
      </c>
      <c r="N15694" t="str">
        <f>"8/17/2021 1:56:00 PM"</f>
        <v>8/17/2021 1:56:00 PM</v>
      </c>
      <c r="O15694" t="s">
        <v>47972</v>
      </c>
    </row>
    <row r="15695" spans="1:20" x14ac:dyDescent="0.25">
      <c r="A15695" t="str">
        <f>"3063728"</f>
        <v>3063728</v>
      </c>
      <c r="B15695" t="s">
        <v>47974</v>
      </c>
      <c r="C15695" t="str">
        <f>"8316224"</f>
        <v>8316224</v>
      </c>
      <c r="D15695" t="s">
        <v>47975</v>
      </c>
      <c r="E15695" t="s">
        <v>47976</v>
      </c>
      <c r="F15695" t="s">
        <v>47977</v>
      </c>
      <c r="I15695" t="s">
        <v>29</v>
      </c>
      <c r="J15695" t="s">
        <v>30</v>
      </c>
      <c r="K15695" t="s">
        <v>47978</v>
      </c>
      <c r="M15695" t="s">
        <v>17861</v>
      </c>
      <c r="N15695" t="str">
        <f>"8/17/2021 3:23:00 PM"</f>
        <v>8/17/2021 3:23:00 PM</v>
      </c>
      <c r="O15695" t="s">
        <v>47975</v>
      </c>
      <c r="T15695" t="s">
        <v>47976</v>
      </c>
    </row>
    <row r="15696" spans="1:20" x14ac:dyDescent="0.25">
      <c r="A15696" t="str">
        <f>"3049861"</f>
        <v>3049861</v>
      </c>
      <c r="B15696" t="s">
        <v>47979</v>
      </c>
      <c r="C15696" t="str">
        <f>"8316225"</f>
        <v>8316225</v>
      </c>
      <c r="D15696" t="s">
        <v>47980</v>
      </c>
      <c r="E15696" t="s">
        <v>47981</v>
      </c>
      <c r="F15696" t="s">
        <v>47982</v>
      </c>
      <c r="I15696" t="s">
        <v>3196</v>
      </c>
      <c r="J15696" t="s">
        <v>30</v>
      </c>
      <c r="K15696" t="s">
        <v>47983</v>
      </c>
      <c r="M15696" t="s">
        <v>17861</v>
      </c>
      <c r="N15696" t="str">
        <f>"8/17/2021 3:57:00 PM"</f>
        <v>8/17/2021 3:57:00 PM</v>
      </c>
      <c r="O15696" t="s">
        <v>47980</v>
      </c>
      <c r="T15696" t="s">
        <v>47981</v>
      </c>
    </row>
    <row r="15697" spans="1:20" x14ac:dyDescent="0.25">
      <c r="A15697" t="str">
        <f>"3062088"</f>
        <v>3062088</v>
      </c>
      <c r="B15697" t="s">
        <v>47984</v>
      </c>
      <c r="C15697" t="str">
        <f>"8316272"</f>
        <v>8316272</v>
      </c>
      <c r="D15697" t="s">
        <v>31486</v>
      </c>
      <c r="E15697" t="s">
        <v>47985</v>
      </c>
      <c r="F15697" t="s">
        <v>47986</v>
      </c>
      <c r="I15697" t="s">
        <v>29</v>
      </c>
      <c r="J15697" t="s">
        <v>30</v>
      </c>
      <c r="K15697" t="s">
        <v>1124</v>
      </c>
      <c r="M15697" t="s">
        <v>17861</v>
      </c>
      <c r="N15697" t="str">
        <f>"8/25/2021 2:47:00 PM"</f>
        <v>8/25/2021 2:47:00 PM</v>
      </c>
      <c r="O15697" t="s">
        <v>31486</v>
      </c>
      <c r="T15697" t="s">
        <v>47985</v>
      </c>
    </row>
    <row r="15698" spans="1:20" x14ac:dyDescent="0.25">
      <c r="A15698" t="str">
        <f>"3060876"</f>
        <v>3060876</v>
      </c>
      <c r="B15698" t="s">
        <v>47987</v>
      </c>
      <c r="C15698" t="str">
        <f>"8316273"</f>
        <v>8316273</v>
      </c>
      <c r="D15698" t="s">
        <v>47988</v>
      </c>
      <c r="E15698" t="s">
        <v>47989</v>
      </c>
      <c r="F15698" t="s">
        <v>47990</v>
      </c>
      <c r="I15698" t="s">
        <v>184</v>
      </c>
      <c r="J15698" t="s">
        <v>30</v>
      </c>
      <c r="K15698" t="s">
        <v>4789</v>
      </c>
      <c r="M15698" t="s">
        <v>17861</v>
      </c>
      <c r="N15698" t="str">
        <f>"8/25/2021 2:49:00 PM"</f>
        <v>8/25/2021 2:49:00 PM</v>
      </c>
      <c r="O15698" t="s">
        <v>47988</v>
      </c>
      <c r="T15698" t="s">
        <v>47989</v>
      </c>
    </row>
    <row r="15699" spans="1:20" x14ac:dyDescent="0.25">
      <c r="A15699" t="str">
        <f>"3041789"</f>
        <v>3041789</v>
      </c>
      <c r="B15699" t="s">
        <v>47991</v>
      </c>
      <c r="C15699" t="str">
        <f>"8316277"</f>
        <v>8316277</v>
      </c>
      <c r="D15699" t="s">
        <v>47992</v>
      </c>
      <c r="E15699" t="s">
        <v>47993</v>
      </c>
      <c r="F15699" t="s">
        <v>47994</v>
      </c>
      <c r="I15699" t="s">
        <v>2071</v>
      </c>
      <c r="J15699" t="s">
        <v>30</v>
      </c>
      <c r="K15699" t="s">
        <v>3641</v>
      </c>
      <c r="M15699" t="s">
        <v>17861</v>
      </c>
      <c r="N15699" t="str">
        <f>"8/25/2021 3:12:00 PM"</f>
        <v>8/25/2021 3:12:00 PM</v>
      </c>
      <c r="O15699" t="s">
        <v>47992</v>
      </c>
      <c r="T15699" t="s">
        <v>47993</v>
      </c>
    </row>
    <row r="15700" spans="1:20" x14ac:dyDescent="0.25">
      <c r="A15700" t="str">
        <f>"3047512"</f>
        <v>3047512</v>
      </c>
      <c r="B15700" t="s">
        <v>47995</v>
      </c>
      <c r="C15700" t="str">
        <f>"8316278"</f>
        <v>8316278</v>
      </c>
      <c r="D15700" t="s">
        <v>47996</v>
      </c>
      <c r="E15700" t="s">
        <v>47997</v>
      </c>
      <c r="F15700" t="s">
        <v>47998</v>
      </c>
      <c r="I15700" t="s">
        <v>1149</v>
      </c>
      <c r="J15700" t="s">
        <v>30</v>
      </c>
      <c r="K15700" t="s">
        <v>47999</v>
      </c>
      <c r="M15700" t="s">
        <v>17861</v>
      </c>
      <c r="N15700" t="str">
        <f>"8/25/2021 3:16:00 PM"</f>
        <v>8/25/2021 3:16:00 PM</v>
      </c>
      <c r="O15700" t="s">
        <v>47996</v>
      </c>
      <c r="T15700" t="s">
        <v>47997</v>
      </c>
    </row>
    <row r="15701" spans="1:20" x14ac:dyDescent="0.25">
      <c r="A15701" t="str">
        <f>"3058671"</f>
        <v>3058671</v>
      </c>
      <c r="B15701" t="s">
        <v>48000</v>
      </c>
      <c r="C15701" t="str">
        <f>"8316279"</f>
        <v>8316279</v>
      </c>
      <c r="D15701" t="s">
        <v>48001</v>
      </c>
      <c r="F15701" t="s">
        <v>48002</v>
      </c>
      <c r="I15701" t="s">
        <v>184</v>
      </c>
      <c r="J15701" t="s">
        <v>30</v>
      </c>
      <c r="K15701" t="s">
        <v>8944</v>
      </c>
      <c r="M15701" t="s">
        <v>17861</v>
      </c>
      <c r="N15701" t="str">
        <f>"8/25/2021 3:19:00 PM"</f>
        <v>8/25/2021 3:19:00 PM</v>
      </c>
      <c r="O15701" t="s">
        <v>48001</v>
      </c>
    </row>
    <row r="15702" spans="1:20" x14ac:dyDescent="0.25">
      <c r="A15702" t="str">
        <f>"3057321"</f>
        <v>3057321</v>
      </c>
      <c r="B15702" t="s">
        <v>48003</v>
      </c>
      <c r="C15702" t="str">
        <f>"8316280"</f>
        <v>8316280</v>
      </c>
      <c r="D15702" t="s">
        <v>33372</v>
      </c>
      <c r="F15702" t="s">
        <v>48004</v>
      </c>
      <c r="I15702" t="s">
        <v>29</v>
      </c>
      <c r="J15702" t="s">
        <v>30</v>
      </c>
      <c r="K15702" t="s">
        <v>48005</v>
      </c>
      <c r="M15702" t="s">
        <v>17861</v>
      </c>
      <c r="N15702" t="str">
        <f>"8/25/2021 3:33:00 PM"</f>
        <v>8/25/2021 3:33:00 PM</v>
      </c>
      <c r="O15702" t="s">
        <v>33372</v>
      </c>
    </row>
    <row r="15703" spans="1:20" x14ac:dyDescent="0.25">
      <c r="A15703" t="str">
        <f>"3057348"</f>
        <v>3057348</v>
      </c>
      <c r="B15703" t="s">
        <v>48006</v>
      </c>
      <c r="C15703" t="str">
        <f>"8316280"</f>
        <v>8316280</v>
      </c>
      <c r="D15703" t="s">
        <v>33372</v>
      </c>
      <c r="F15703" t="s">
        <v>48004</v>
      </c>
      <c r="I15703" t="s">
        <v>29</v>
      </c>
      <c r="J15703" t="s">
        <v>30</v>
      </c>
      <c r="K15703" t="s">
        <v>48005</v>
      </c>
      <c r="M15703" t="s">
        <v>17861</v>
      </c>
      <c r="N15703" t="str">
        <f>"8/25/2021 3:33:00 PM"</f>
        <v>8/25/2021 3:33:00 PM</v>
      </c>
      <c r="O15703" t="s">
        <v>33372</v>
      </c>
    </row>
    <row r="15704" spans="1:20" x14ac:dyDescent="0.25">
      <c r="A15704" t="str">
        <f>"3039212"</f>
        <v>3039212</v>
      </c>
      <c r="B15704" t="s">
        <v>48007</v>
      </c>
      <c r="C15704" t="str">
        <f>"8316281"</f>
        <v>8316281</v>
      </c>
      <c r="D15704" t="s">
        <v>48008</v>
      </c>
      <c r="E15704" t="s">
        <v>48009</v>
      </c>
      <c r="F15704" t="s">
        <v>48010</v>
      </c>
      <c r="I15704" t="s">
        <v>29</v>
      </c>
      <c r="J15704" t="s">
        <v>30</v>
      </c>
      <c r="K15704" t="s">
        <v>48011</v>
      </c>
      <c r="M15704" t="s">
        <v>17861</v>
      </c>
      <c r="N15704" t="str">
        <f>"8/25/2021 4:26:00 PM"</f>
        <v>8/25/2021 4:26:00 PM</v>
      </c>
      <c r="O15704" t="s">
        <v>48008</v>
      </c>
      <c r="T15704" t="s">
        <v>48009</v>
      </c>
    </row>
    <row r="15705" spans="1:20" x14ac:dyDescent="0.25">
      <c r="A15705" t="str">
        <f>"3039213"</f>
        <v>3039213</v>
      </c>
      <c r="B15705" t="s">
        <v>48012</v>
      </c>
      <c r="C15705" t="str">
        <f>"8316281"</f>
        <v>8316281</v>
      </c>
      <c r="D15705" t="s">
        <v>48008</v>
      </c>
      <c r="E15705" t="s">
        <v>48009</v>
      </c>
      <c r="F15705" t="s">
        <v>48010</v>
      </c>
      <c r="I15705" t="s">
        <v>29</v>
      </c>
      <c r="J15705" t="s">
        <v>30</v>
      </c>
      <c r="K15705" t="s">
        <v>48011</v>
      </c>
      <c r="M15705" t="s">
        <v>17861</v>
      </c>
      <c r="N15705" t="str">
        <f>"8/25/2021 4:26:00 PM"</f>
        <v>8/25/2021 4:26:00 PM</v>
      </c>
      <c r="O15705" t="s">
        <v>48008</v>
      </c>
      <c r="T15705" t="s">
        <v>48009</v>
      </c>
    </row>
    <row r="15706" spans="1:20" x14ac:dyDescent="0.25">
      <c r="A15706" t="str">
        <f>"3059997"</f>
        <v>3059997</v>
      </c>
      <c r="B15706" t="s">
        <v>48013</v>
      </c>
      <c r="C15706" t="str">
        <f>"8316282"</f>
        <v>8316282</v>
      </c>
      <c r="D15706" t="s">
        <v>48014</v>
      </c>
      <c r="F15706" t="s">
        <v>48015</v>
      </c>
      <c r="I15706" t="s">
        <v>184</v>
      </c>
      <c r="J15706" t="s">
        <v>30</v>
      </c>
      <c r="K15706" t="s">
        <v>42161</v>
      </c>
      <c r="M15706" t="s">
        <v>17861</v>
      </c>
      <c r="N15706" t="str">
        <f>"8/25/2021 4:33:00 PM"</f>
        <v>8/25/2021 4:33:00 PM</v>
      </c>
      <c r="O15706" t="s">
        <v>48014</v>
      </c>
    </row>
    <row r="15707" spans="1:20" x14ac:dyDescent="0.25">
      <c r="A15707" t="str">
        <f>"3056003"</f>
        <v>3056003</v>
      </c>
      <c r="B15707" t="s">
        <v>48016</v>
      </c>
      <c r="C15707" t="str">
        <f>"8316283"</f>
        <v>8316283</v>
      </c>
      <c r="D15707" t="s">
        <v>48017</v>
      </c>
      <c r="E15707" t="s">
        <v>48018</v>
      </c>
      <c r="F15707" t="s">
        <v>48019</v>
      </c>
      <c r="I15707" t="s">
        <v>25280</v>
      </c>
      <c r="J15707" t="s">
        <v>30</v>
      </c>
      <c r="K15707" t="str">
        <f>"27014"</f>
        <v>27014</v>
      </c>
      <c r="M15707" t="s">
        <v>17861</v>
      </c>
      <c r="N15707" t="str">
        <f>"8/26/2021 8:54:00 AM"</f>
        <v>8/26/2021 8:54:00 AM</v>
      </c>
      <c r="O15707" t="s">
        <v>48017</v>
      </c>
      <c r="T15707" t="s">
        <v>48018</v>
      </c>
    </row>
    <row r="15708" spans="1:20" x14ac:dyDescent="0.25">
      <c r="A15708" t="str">
        <f>"3054680"</f>
        <v>3054680</v>
      </c>
      <c r="B15708" t="s">
        <v>48020</v>
      </c>
      <c r="C15708" t="str">
        <f>"8316226"</f>
        <v>8316226</v>
      </c>
      <c r="D15708" t="s">
        <v>48021</v>
      </c>
      <c r="E15708" t="s">
        <v>48022</v>
      </c>
      <c r="F15708" t="s">
        <v>48023</v>
      </c>
      <c r="I15708" t="s">
        <v>29</v>
      </c>
      <c r="J15708" t="s">
        <v>30</v>
      </c>
      <c r="K15708" t="s">
        <v>22874</v>
      </c>
      <c r="M15708" t="s">
        <v>17861</v>
      </c>
      <c r="N15708" t="str">
        <f>"8/17/2021 4:22:00 PM"</f>
        <v>8/17/2021 4:22:00 PM</v>
      </c>
      <c r="O15708" t="s">
        <v>48021</v>
      </c>
      <c r="T15708" t="s">
        <v>48022</v>
      </c>
    </row>
    <row r="15709" spans="1:20" x14ac:dyDescent="0.25">
      <c r="A15709" t="str">
        <f>"3037609"</f>
        <v>3037609</v>
      </c>
      <c r="B15709" t="s">
        <v>48024</v>
      </c>
      <c r="C15709" t="str">
        <f>"8310795"</f>
        <v>8310795</v>
      </c>
      <c r="D15709" t="s">
        <v>48025</v>
      </c>
      <c r="F15709" t="s">
        <v>48026</v>
      </c>
      <c r="I15709" t="s">
        <v>49</v>
      </c>
      <c r="J15709" t="s">
        <v>30</v>
      </c>
      <c r="K15709" t="s">
        <v>48027</v>
      </c>
      <c r="M15709" t="s">
        <v>25733</v>
      </c>
      <c r="N15709" t="str">
        <f>"8/13/2021 1:54:00 PM"</f>
        <v>8/13/2021 1:54:00 PM</v>
      </c>
      <c r="O15709" t="s">
        <v>48025</v>
      </c>
    </row>
    <row r="15710" spans="1:20" x14ac:dyDescent="0.25">
      <c r="A15710" t="str">
        <f>"3037765"</f>
        <v>3037765</v>
      </c>
      <c r="B15710" t="s">
        <v>48028</v>
      </c>
      <c r="C15710" t="str">
        <f>"8310795"</f>
        <v>8310795</v>
      </c>
      <c r="D15710" t="s">
        <v>48025</v>
      </c>
      <c r="F15710" t="s">
        <v>48026</v>
      </c>
      <c r="I15710" t="s">
        <v>49</v>
      </c>
      <c r="J15710" t="s">
        <v>30</v>
      </c>
      <c r="K15710" t="s">
        <v>48027</v>
      </c>
      <c r="M15710" t="s">
        <v>25733</v>
      </c>
      <c r="N15710" t="str">
        <f>"8/13/2021 1:54:00 PM"</f>
        <v>8/13/2021 1:54:00 PM</v>
      </c>
      <c r="O15710" t="s">
        <v>48025</v>
      </c>
    </row>
    <row r="15711" spans="1:20" x14ac:dyDescent="0.25">
      <c r="A15711" t="str">
        <f>"3057523"</f>
        <v>3057523</v>
      </c>
      <c r="B15711" t="s">
        <v>48029</v>
      </c>
      <c r="C15711" t="str">
        <f>"8312353"</f>
        <v>8312353</v>
      </c>
      <c r="D15711" t="s">
        <v>48030</v>
      </c>
      <c r="F15711" t="s">
        <v>48031</v>
      </c>
      <c r="I15711" t="s">
        <v>184</v>
      </c>
      <c r="J15711" t="s">
        <v>30</v>
      </c>
      <c r="K15711" t="s">
        <v>46456</v>
      </c>
      <c r="M15711" t="s">
        <v>25733</v>
      </c>
      <c r="N15711" t="str">
        <f>"8/13/2021 1:57:00 PM"</f>
        <v>8/13/2021 1:57:00 PM</v>
      </c>
      <c r="O15711" t="s">
        <v>48030</v>
      </c>
    </row>
    <row r="15712" spans="1:20" x14ac:dyDescent="0.25">
      <c r="A15712" t="str">
        <f>"3056036"</f>
        <v>3056036</v>
      </c>
      <c r="B15712" t="s">
        <v>48032</v>
      </c>
      <c r="C15712" t="str">
        <f>"8313448"</f>
        <v>8313448</v>
      </c>
      <c r="D15712" t="s">
        <v>48033</v>
      </c>
      <c r="F15712" t="s">
        <v>18389</v>
      </c>
      <c r="I15712" t="s">
        <v>9580</v>
      </c>
      <c r="J15712" t="s">
        <v>30</v>
      </c>
      <c r="K15712" t="s">
        <v>42145</v>
      </c>
      <c r="M15712" t="s">
        <v>25733</v>
      </c>
      <c r="N15712" t="str">
        <f>"8/13/2021 2:00:00 PM"</f>
        <v>8/13/2021 2:00:00 PM</v>
      </c>
      <c r="O15712" t="s">
        <v>48033</v>
      </c>
    </row>
    <row r="15713" spans="1:20" x14ac:dyDescent="0.25">
      <c r="A15713" t="str">
        <f>"3043743"</f>
        <v>3043743</v>
      </c>
      <c r="B15713" t="s">
        <v>48034</v>
      </c>
      <c r="C15713" t="str">
        <f>"8313268"</f>
        <v>8313268</v>
      </c>
      <c r="D15713" t="s">
        <v>48035</v>
      </c>
      <c r="E15713" t="s">
        <v>48036</v>
      </c>
      <c r="F15713" t="s">
        <v>48037</v>
      </c>
      <c r="I15713" t="s">
        <v>29</v>
      </c>
      <c r="J15713" t="s">
        <v>30</v>
      </c>
      <c r="K15713" t="s">
        <v>7221</v>
      </c>
      <c r="M15713" t="s">
        <v>25733</v>
      </c>
      <c r="N15713" t="str">
        <f>"8/13/2021 2:10:00 PM"</f>
        <v>8/13/2021 2:10:00 PM</v>
      </c>
      <c r="O15713" t="s">
        <v>48035</v>
      </c>
      <c r="T15713" t="s">
        <v>48036</v>
      </c>
    </row>
    <row r="15714" spans="1:20" x14ac:dyDescent="0.25">
      <c r="A15714" t="str">
        <f>"3062366"</f>
        <v>3062366</v>
      </c>
      <c r="B15714" t="s">
        <v>48038</v>
      </c>
      <c r="C15714" t="str">
        <f>"8316293"</f>
        <v>8316293</v>
      </c>
      <c r="D15714" t="s">
        <v>48039</v>
      </c>
      <c r="E15714" t="s">
        <v>48040</v>
      </c>
      <c r="F15714" t="s">
        <v>48041</v>
      </c>
      <c r="I15714" t="s">
        <v>29</v>
      </c>
      <c r="J15714" t="s">
        <v>30</v>
      </c>
      <c r="K15714" t="str">
        <f>"27028"</f>
        <v>27028</v>
      </c>
      <c r="M15714" t="s">
        <v>17861</v>
      </c>
      <c r="N15714" t="str">
        <f>"8/27/2021 2:52:00 PM"</f>
        <v>8/27/2021 2:52:00 PM</v>
      </c>
      <c r="O15714" t="s">
        <v>48039</v>
      </c>
      <c r="T15714" t="s">
        <v>48040</v>
      </c>
    </row>
    <row r="15715" spans="1:20" x14ac:dyDescent="0.25">
      <c r="A15715" t="str">
        <f>"3049771"</f>
        <v>3049771</v>
      </c>
      <c r="B15715" t="s">
        <v>48042</v>
      </c>
      <c r="C15715" t="str">
        <f>"8316294"</f>
        <v>8316294</v>
      </c>
      <c r="D15715" t="s">
        <v>48043</v>
      </c>
      <c r="E15715" t="s">
        <v>48044</v>
      </c>
      <c r="F15715" t="s">
        <v>48045</v>
      </c>
      <c r="I15715" t="s">
        <v>29</v>
      </c>
      <c r="J15715" t="s">
        <v>30</v>
      </c>
      <c r="K15715" t="s">
        <v>9706</v>
      </c>
      <c r="M15715" t="s">
        <v>17861</v>
      </c>
      <c r="N15715" t="str">
        <f>"8/27/2021 2:55:00 PM"</f>
        <v>8/27/2021 2:55:00 PM</v>
      </c>
      <c r="O15715" t="s">
        <v>48043</v>
      </c>
      <c r="T15715" t="s">
        <v>48044</v>
      </c>
    </row>
    <row r="15716" spans="1:20" x14ac:dyDescent="0.25">
      <c r="A15716" t="str">
        <f>"3060977"</f>
        <v>3060977</v>
      </c>
      <c r="B15716" t="s">
        <v>48046</v>
      </c>
      <c r="C15716" t="str">
        <f>"8316295"</f>
        <v>8316295</v>
      </c>
      <c r="D15716" t="s">
        <v>48047</v>
      </c>
      <c r="F15716" t="s">
        <v>48048</v>
      </c>
      <c r="I15716" t="s">
        <v>2071</v>
      </c>
      <c r="J15716" t="s">
        <v>30</v>
      </c>
      <c r="K15716" t="s">
        <v>39090</v>
      </c>
      <c r="M15716" t="s">
        <v>17861</v>
      </c>
      <c r="N15716" t="str">
        <f>"8/27/2021 3:03:00 PM"</f>
        <v>8/27/2021 3:03:00 PM</v>
      </c>
      <c r="O15716" t="s">
        <v>48047</v>
      </c>
    </row>
    <row r="15717" spans="1:20" x14ac:dyDescent="0.25">
      <c r="A15717" t="str">
        <f>"3061011"</f>
        <v>3061011</v>
      </c>
      <c r="B15717" t="s">
        <v>48049</v>
      </c>
      <c r="C15717" t="str">
        <f>"8316296"</f>
        <v>8316296</v>
      </c>
      <c r="D15717" t="s">
        <v>48050</v>
      </c>
      <c r="E15717" t="s">
        <v>48051</v>
      </c>
      <c r="F15717" t="s">
        <v>48052</v>
      </c>
      <c r="I15717" t="s">
        <v>2071</v>
      </c>
      <c r="J15717" t="s">
        <v>30</v>
      </c>
      <c r="K15717" t="s">
        <v>34629</v>
      </c>
      <c r="M15717" t="s">
        <v>17861</v>
      </c>
      <c r="N15717" t="str">
        <f>"8/27/2021 3:05:00 PM"</f>
        <v>8/27/2021 3:05:00 PM</v>
      </c>
      <c r="O15717" t="s">
        <v>48050</v>
      </c>
      <c r="T15717" t="s">
        <v>48051</v>
      </c>
    </row>
    <row r="15718" spans="1:20" x14ac:dyDescent="0.25">
      <c r="A15718" t="str">
        <f>"3057524"</f>
        <v>3057524</v>
      </c>
      <c r="B15718" t="s">
        <v>48053</v>
      </c>
      <c r="C15718" t="str">
        <f>"8313914"</f>
        <v>8313914</v>
      </c>
      <c r="D15718" t="s">
        <v>48054</v>
      </c>
      <c r="E15718" t="s">
        <v>48055</v>
      </c>
      <c r="F15718" t="s">
        <v>48056</v>
      </c>
      <c r="I15718" t="s">
        <v>184</v>
      </c>
      <c r="J15718" t="s">
        <v>30</v>
      </c>
      <c r="K15718" t="s">
        <v>46456</v>
      </c>
      <c r="M15718" t="s">
        <v>25733</v>
      </c>
      <c r="N15718" t="str">
        <f>"8/13/2021 2:13:00 PM"</f>
        <v>8/13/2021 2:13:00 PM</v>
      </c>
      <c r="O15718" t="s">
        <v>48054</v>
      </c>
      <c r="T15718" t="s">
        <v>48055</v>
      </c>
    </row>
    <row r="15719" spans="1:20" x14ac:dyDescent="0.25">
      <c r="A15719" t="str">
        <f>"3047580"</f>
        <v>3047580</v>
      </c>
      <c r="B15719" t="s">
        <v>48057</v>
      </c>
      <c r="C15719" t="str">
        <f>"8310799"</f>
        <v>8310799</v>
      </c>
      <c r="D15719" t="s">
        <v>48058</v>
      </c>
      <c r="E15719" t="s">
        <v>48059</v>
      </c>
      <c r="F15719" t="s">
        <v>48060</v>
      </c>
      <c r="I15719" t="s">
        <v>29</v>
      </c>
      <c r="J15719" t="s">
        <v>30</v>
      </c>
      <c r="K15719" t="s">
        <v>48061</v>
      </c>
      <c r="M15719" t="s">
        <v>33845</v>
      </c>
      <c r="N15719" t="str">
        <f>"8/13/2021 2:23:00 PM"</f>
        <v>8/13/2021 2:23:00 PM</v>
      </c>
      <c r="O15719" t="s">
        <v>48058</v>
      </c>
      <c r="T15719" t="s">
        <v>48059</v>
      </c>
    </row>
    <row r="15720" spans="1:20" x14ac:dyDescent="0.25">
      <c r="A15720" t="str">
        <f>"3046202"</f>
        <v>3046202</v>
      </c>
      <c r="B15720" t="s">
        <v>48062</v>
      </c>
      <c r="C15720" t="str">
        <f>"8312926"</f>
        <v>8312926</v>
      </c>
      <c r="D15720" t="s">
        <v>48063</v>
      </c>
      <c r="E15720" t="s">
        <v>48064</v>
      </c>
      <c r="F15720" t="s">
        <v>48065</v>
      </c>
      <c r="I15720" t="s">
        <v>29</v>
      </c>
      <c r="J15720" t="s">
        <v>30</v>
      </c>
      <c r="K15720" t="s">
        <v>35850</v>
      </c>
      <c r="M15720" t="s">
        <v>25733</v>
      </c>
      <c r="N15720" t="str">
        <f>"8/13/2021 2:42:00 PM"</f>
        <v>8/13/2021 2:42:00 PM</v>
      </c>
      <c r="O15720" t="s">
        <v>48063</v>
      </c>
      <c r="T15720" t="s">
        <v>48064</v>
      </c>
    </row>
    <row r="15721" spans="1:20" x14ac:dyDescent="0.25">
      <c r="A15721" t="str">
        <f>"3059615"</f>
        <v>3059615</v>
      </c>
      <c r="B15721" t="s">
        <v>48066</v>
      </c>
      <c r="C15721" t="str">
        <f>"8316227"</f>
        <v>8316227</v>
      </c>
      <c r="D15721" t="s">
        <v>48067</v>
      </c>
      <c r="F15721" t="s">
        <v>48068</v>
      </c>
      <c r="I15721" t="s">
        <v>29</v>
      </c>
      <c r="J15721" t="s">
        <v>30</v>
      </c>
      <c r="K15721" t="s">
        <v>39498</v>
      </c>
      <c r="M15721" t="s">
        <v>17861</v>
      </c>
      <c r="N15721" t="str">
        <f>"8/17/2021 4:25:00 PM"</f>
        <v>8/17/2021 4:25:00 PM</v>
      </c>
      <c r="O15721" t="s">
        <v>48067</v>
      </c>
    </row>
    <row r="15722" spans="1:20" x14ac:dyDescent="0.25">
      <c r="A15722" t="str">
        <f>"3054193"</f>
        <v>3054193</v>
      </c>
      <c r="B15722" t="s">
        <v>48069</v>
      </c>
      <c r="C15722" t="str">
        <f>"8308056"</f>
        <v>8308056</v>
      </c>
      <c r="D15722" t="s">
        <v>48070</v>
      </c>
      <c r="F15722" t="s">
        <v>48071</v>
      </c>
      <c r="I15722" t="s">
        <v>29</v>
      </c>
      <c r="J15722" t="s">
        <v>30</v>
      </c>
      <c r="K15722" t="str">
        <f>"27028"</f>
        <v>27028</v>
      </c>
      <c r="M15722" t="s">
        <v>18470</v>
      </c>
      <c r="N15722" t="str">
        <f>"8/31/2021 11:41:00 AM"</f>
        <v>8/31/2021 11:41:00 AM</v>
      </c>
      <c r="O15722" t="s">
        <v>48070</v>
      </c>
    </row>
    <row r="15723" spans="1:20" x14ac:dyDescent="0.25">
      <c r="A15723" t="str">
        <f>"3054226"</f>
        <v>3054226</v>
      </c>
      <c r="B15723" t="s">
        <v>48072</v>
      </c>
      <c r="C15723" t="str">
        <f>"8308056"</f>
        <v>8308056</v>
      </c>
      <c r="D15723" t="s">
        <v>48070</v>
      </c>
      <c r="F15723" t="s">
        <v>48071</v>
      </c>
      <c r="I15723" t="s">
        <v>29</v>
      </c>
      <c r="J15723" t="s">
        <v>30</v>
      </c>
      <c r="K15723" t="str">
        <f>"27028"</f>
        <v>27028</v>
      </c>
      <c r="M15723" t="s">
        <v>18470</v>
      </c>
      <c r="N15723" t="str">
        <f>"8/31/2021 11:41:00 AM"</f>
        <v>8/31/2021 11:41:00 AM</v>
      </c>
      <c r="O15723" t="s">
        <v>48070</v>
      </c>
    </row>
    <row r="15724" spans="1:20" x14ac:dyDescent="0.25">
      <c r="A15724" t="str">
        <f>"3054227"</f>
        <v>3054227</v>
      </c>
      <c r="B15724" t="s">
        <v>48073</v>
      </c>
      <c r="C15724" t="str">
        <f>"8308056"</f>
        <v>8308056</v>
      </c>
      <c r="D15724" t="s">
        <v>48070</v>
      </c>
      <c r="F15724" t="s">
        <v>48071</v>
      </c>
      <c r="I15724" t="s">
        <v>29</v>
      </c>
      <c r="J15724" t="s">
        <v>30</v>
      </c>
      <c r="K15724" t="str">
        <f>"27028"</f>
        <v>27028</v>
      </c>
      <c r="M15724" t="s">
        <v>18470</v>
      </c>
      <c r="N15724" t="str">
        <f>"8/31/2021 11:41:00 AM"</f>
        <v>8/31/2021 11:41:00 AM</v>
      </c>
      <c r="O15724" t="s">
        <v>48070</v>
      </c>
    </row>
    <row r="15725" spans="1:20" x14ac:dyDescent="0.25">
      <c r="A15725" t="str">
        <f>"3053994"</f>
        <v>3053994</v>
      </c>
      <c r="B15725" t="s">
        <v>48074</v>
      </c>
      <c r="C15725" t="str">
        <f>"8308056"</f>
        <v>8308056</v>
      </c>
      <c r="D15725" t="s">
        <v>48070</v>
      </c>
      <c r="F15725" t="s">
        <v>48071</v>
      </c>
      <c r="I15725" t="s">
        <v>29</v>
      </c>
      <c r="J15725" t="s">
        <v>30</v>
      </c>
      <c r="K15725" t="str">
        <f>"27028"</f>
        <v>27028</v>
      </c>
      <c r="M15725" t="s">
        <v>18470</v>
      </c>
      <c r="N15725" t="str">
        <f>"8/31/2021 11:41:00 AM"</f>
        <v>8/31/2021 11:41:00 AM</v>
      </c>
      <c r="O15725" t="s">
        <v>48070</v>
      </c>
    </row>
    <row r="15726" spans="1:20" x14ac:dyDescent="0.25">
      <c r="A15726" t="str">
        <f>"3055816"</f>
        <v>3055816</v>
      </c>
      <c r="B15726" t="s">
        <v>48075</v>
      </c>
      <c r="C15726" t="str">
        <f>"8308056"</f>
        <v>8308056</v>
      </c>
      <c r="D15726" t="s">
        <v>48070</v>
      </c>
      <c r="F15726" t="s">
        <v>48071</v>
      </c>
      <c r="I15726" t="s">
        <v>29</v>
      </c>
      <c r="J15726" t="s">
        <v>30</v>
      </c>
      <c r="K15726" t="str">
        <f>"27028"</f>
        <v>27028</v>
      </c>
      <c r="M15726" t="s">
        <v>18470</v>
      </c>
      <c r="N15726" t="str">
        <f>"8/31/2021 11:41:00 AM"</f>
        <v>8/31/2021 11:41:00 AM</v>
      </c>
      <c r="O15726" t="s">
        <v>48070</v>
      </c>
    </row>
    <row r="15727" spans="1:20" x14ac:dyDescent="0.25">
      <c r="A15727" t="str">
        <f>"3056492"</f>
        <v>3056492</v>
      </c>
      <c r="B15727" t="s">
        <v>48076</v>
      </c>
      <c r="C15727" t="str">
        <f>"82519740"</f>
        <v>82519740</v>
      </c>
      <c r="D15727" t="s">
        <v>48077</v>
      </c>
      <c r="F15727" t="s">
        <v>48071</v>
      </c>
      <c r="I15727" t="s">
        <v>29</v>
      </c>
      <c r="J15727" t="s">
        <v>30</v>
      </c>
      <c r="K15727" t="s">
        <v>31</v>
      </c>
      <c r="M15727" t="s">
        <v>18470</v>
      </c>
      <c r="N15727" t="str">
        <f>"8/31/2021 11:43:00 AM"</f>
        <v>8/31/2021 11:43:00 AM</v>
      </c>
      <c r="O15727" t="s">
        <v>48077</v>
      </c>
    </row>
    <row r="15728" spans="1:20" x14ac:dyDescent="0.25">
      <c r="A15728" t="str">
        <f>"3054158"</f>
        <v>3054158</v>
      </c>
      <c r="B15728" t="s">
        <v>48078</v>
      </c>
      <c r="C15728" t="str">
        <f>"82519740"</f>
        <v>82519740</v>
      </c>
      <c r="D15728" t="s">
        <v>48077</v>
      </c>
      <c r="F15728" t="s">
        <v>48071</v>
      </c>
      <c r="I15728" t="s">
        <v>29</v>
      </c>
      <c r="J15728" t="s">
        <v>30</v>
      </c>
      <c r="K15728" t="s">
        <v>31</v>
      </c>
      <c r="M15728" t="s">
        <v>18470</v>
      </c>
      <c r="N15728" t="str">
        <f>"8/31/2021 11:43:00 AM"</f>
        <v>8/31/2021 11:43:00 AM</v>
      </c>
      <c r="O15728" t="s">
        <v>48077</v>
      </c>
    </row>
    <row r="15729" spans="1:20" x14ac:dyDescent="0.25">
      <c r="A15729" t="str">
        <f>"3054169"</f>
        <v>3054169</v>
      </c>
      <c r="B15729" t="s">
        <v>48079</v>
      </c>
      <c r="C15729" t="str">
        <f>"82519740"</f>
        <v>82519740</v>
      </c>
      <c r="D15729" t="s">
        <v>48077</v>
      </c>
      <c r="F15729" t="s">
        <v>48071</v>
      </c>
      <c r="I15729" t="s">
        <v>29</v>
      </c>
      <c r="J15729" t="s">
        <v>30</v>
      </c>
      <c r="K15729" t="s">
        <v>31</v>
      </c>
      <c r="M15729" t="s">
        <v>18470</v>
      </c>
      <c r="N15729" t="str">
        <f>"8/31/2021 11:43:00 AM"</f>
        <v>8/31/2021 11:43:00 AM</v>
      </c>
      <c r="O15729" t="s">
        <v>48077</v>
      </c>
    </row>
    <row r="15730" spans="1:20" x14ac:dyDescent="0.25">
      <c r="A15730" t="str">
        <f>"3054701"</f>
        <v>3054701</v>
      </c>
      <c r="B15730" t="s">
        <v>48080</v>
      </c>
      <c r="C15730" t="str">
        <f>"82519740"</f>
        <v>82519740</v>
      </c>
      <c r="D15730" t="s">
        <v>48077</v>
      </c>
      <c r="F15730" t="s">
        <v>48071</v>
      </c>
      <c r="I15730" t="s">
        <v>29</v>
      </c>
      <c r="J15730" t="s">
        <v>30</v>
      </c>
      <c r="K15730" t="s">
        <v>31</v>
      </c>
      <c r="M15730" t="s">
        <v>18470</v>
      </c>
      <c r="N15730" t="str">
        <f>"8/31/2021 11:43:00 AM"</f>
        <v>8/31/2021 11:43:00 AM</v>
      </c>
      <c r="O15730" t="s">
        <v>48077</v>
      </c>
    </row>
    <row r="15731" spans="1:20" x14ac:dyDescent="0.25">
      <c r="A15731" t="str">
        <f>"3060467"</f>
        <v>3060467</v>
      </c>
      <c r="B15731" t="s">
        <v>48081</v>
      </c>
      <c r="C15731" t="str">
        <f>"8316228"</f>
        <v>8316228</v>
      </c>
      <c r="D15731" t="s">
        <v>48082</v>
      </c>
      <c r="E15731" t="s">
        <v>48083</v>
      </c>
      <c r="F15731" t="s">
        <v>48084</v>
      </c>
      <c r="I15731" t="s">
        <v>184</v>
      </c>
      <c r="J15731" t="s">
        <v>30</v>
      </c>
      <c r="K15731" t="s">
        <v>9200</v>
      </c>
      <c r="M15731" t="s">
        <v>17861</v>
      </c>
      <c r="N15731" t="str">
        <f>"8/17/2021 4:28:00 PM"</f>
        <v>8/17/2021 4:28:00 PM</v>
      </c>
      <c r="O15731" t="s">
        <v>48082</v>
      </c>
      <c r="T15731" t="s">
        <v>48083</v>
      </c>
    </row>
    <row r="15732" spans="1:20" x14ac:dyDescent="0.25">
      <c r="A15732" t="str">
        <f>"3041310"</f>
        <v>3041310</v>
      </c>
      <c r="B15732" t="s">
        <v>48085</v>
      </c>
      <c r="C15732" t="str">
        <f>"8316240"</f>
        <v>8316240</v>
      </c>
      <c r="D15732" t="s">
        <v>48086</v>
      </c>
      <c r="E15732" t="s">
        <v>48087</v>
      </c>
      <c r="F15732" t="s">
        <v>48088</v>
      </c>
      <c r="I15732" t="s">
        <v>2071</v>
      </c>
      <c r="J15732" t="s">
        <v>30</v>
      </c>
      <c r="K15732" t="s">
        <v>2361</v>
      </c>
      <c r="M15732" t="s">
        <v>17861</v>
      </c>
      <c r="N15732" t="str">
        <f>"8/18/2021 10:46:00 AM"</f>
        <v>8/18/2021 10:46:00 AM</v>
      </c>
      <c r="O15732" t="s">
        <v>48086</v>
      </c>
      <c r="T15732" t="s">
        <v>48087</v>
      </c>
    </row>
    <row r="15733" spans="1:20" x14ac:dyDescent="0.25">
      <c r="A15733" t="str">
        <f>"3055511"</f>
        <v>3055511</v>
      </c>
      <c r="B15733" t="s">
        <v>48089</v>
      </c>
      <c r="C15733" t="str">
        <f>"8310474"</f>
        <v>8310474</v>
      </c>
      <c r="D15733" t="s">
        <v>48090</v>
      </c>
      <c r="F15733" t="s">
        <v>48091</v>
      </c>
      <c r="I15733" t="s">
        <v>29</v>
      </c>
      <c r="J15733" t="s">
        <v>30</v>
      </c>
      <c r="K15733" t="s">
        <v>43787</v>
      </c>
      <c r="M15733" t="s">
        <v>25733</v>
      </c>
      <c r="N15733" t="str">
        <f>"8/13/2021 2:51:00 PM"</f>
        <v>8/13/2021 2:51:00 PM</v>
      </c>
      <c r="O15733" t="s">
        <v>48090</v>
      </c>
    </row>
    <row r="15734" spans="1:20" x14ac:dyDescent="0.25">
      <c r="A15734" t="str">
        <f>"3052670"</f>
        <v>3052670</v>
      </c>
      <c r="B15734" t="s">
        <v>48092</v>
      </c>
      <c r="C15734" t="str">
        <f>"8316267"</f>
        <v>8316267</v>
      </c>
      <c r="D15734" t="s">
        <v>48093</v>
      </c>
      <c r="F15734" t="s">
        <v>48094</v>
      </c>
      <c r="I15734" t="s">
        <v>29</v>
      </c>
      <c r="J15734" t="s">
        <v>30</v>
      </c>
      <c r="K15734" t="s">
        <v>38361</v>
      </c>
      <c r="M15734" t="s">
        <v>17861</v>
      </c>
      <c r="N15734" t="str">
        <f>"8/20/2021 4:29:00 PM"</f>
        <v>8/20/2021 4:29:00 PM</v>
      </c>
      <c r="O15734" t="s">
        <v>48093</v>
      </c>
    </row>
    <row r="15735" spans="1:20" x14ac:dyDescent="0.25">
      <c r="A15735" t="str">
        <f>"3064394"</f>
        <v>3064394</v>
      </c>
      <c r="B15735" t="s">
        <v>48095</v>
      </c>
      <c r="C15735" t="str">
        <f>"8316311"</f>
        <v>8316311</v>
      </c>
      <c r="D15735" t="s">
        <v>48096</v>
      </c>
      <c r="F15735" t="s">
        <v>48097</v>
      </c>
      <c r="I15735" t="s">
        <v>29</v>
      </c>
      <c r="J15735" t="s">
        <v>30</v>
      </c>
      <c r="K15735" t="s">
        <v>48098</v>
      </c>
      <c r="M15735" t="s">
        <v>17861</v>
      </c>
      <c r="N15735" t="str">
        <f>"8/31/2021 2:01:00 PM"</f>
        <v>8/31/2021 2:01:00 PM</v>
      </c>
      <c r="O15735" t="s">
        <v>48096</v>
      </c>
    </row>
    <row r="15736" spans="1:20" x14ac:dyDescent="0.25">
      <c r="A15736" t="str">
        <f>"3048111"</f>
        <v>3048111</v>
      </c>
      <c r="B15736" t="s">
        <v>48099</v>
      </c>
      <c r="C15736" t="str">
        <f>"8316312"</f>
        <v>8316312</v>
      </c>
      <c r="D15736" t="s">
        <v>48100</v>
      </c>
      <c r="F15736" t="s">
        <v>48101</v>
      </c>
      <c r="I15736" t="s">
        <v>184</v>
      </c>
      <c r="J15736" t="s">
        <v>30</v>
      </c>
      <c r="K15736" t="s">
        <v>9132</v>
      </c>
      <c r="M15736" t="s">
        <v>17861</v>
      </c>
      <c r="N15736" t="str">
        <f>"8/31/2021 2:03:00 PM"</f>
        <v>8/31/2021 2:03:00 PM</v>
      </c>
      <c r="O15736" t="s">
        <v>48100</v>
      </c>
    </row>
    <row r="15737" spans="1:20" x14ac:dyDescent="0.25">
      <c r="A15737" t="str">
        <f>"3059481"</f>
        <v>3059481</v>
      </c>
      <c r="B15737" t="s">
        <v>48102</v>
      </c>
      <c r="C15737" t="str">
        <f>"8316313"</f>
        <v>8316313</v>
      </c>
      <c r="D15737" t="s">
        <v>48103</v>
      </c>
      <c r="F15737" t="s">
        <v>48104</v>
      </c>
      <c r="I15737" t="s">
        <v>29</v>
      </c>
      <c r="J15737" t="s">
        <v>30</v>
      </c>
      <c r="K15737" t="s">
        <v>46172</v>
      </c>
      <c r="M15737" t="s">
        <v>17861</v>
      </c>
      <c r="N15737" t="str">
        <f>"8/31/2021 2:27:00 PM"</f>
        <v>8/31/2021 2:27:00 PM</v>
      </c>
      <c r="O15737" t="s">
        <v>48103</v>
      </c>
    </row>
    <row r="15738" spans="1:20" x14ac:dyDescent="0.25">
      <c r="A15738" t="str">
        <f>"3043797"</f>
        <v>3043797</v>
      </c>
      <c r="B15738" t="s">
        <v>48105</v>
      </c>
      <c r="C15738" t="str">
        <f>"8316314"</f>
        <v>8316314</v>
      </c>
      <c r="D15738" t="s">
        <v>48106</v>
      </c>
      <c r="F15738" t="s">
        <v>48107</v>
      </c>
      <c r="I15738" t="s">
        <v>29</v>
      </c>
      <c r="J15738" t="s">
        <v>30</v>
      </c>
      <c r="K15738" t="s">
        <v>7114</v>
      </c>
      <c r="M15738" t="s">
        <v>17861</v>
      </c>
      <c r="N15738" t="str">
        <f>"8/31/2021 2:34:00 PM"</f>
        <v>8/31/2021 2:34:00 PM</v>
      </c>
      <c r="O15738" t="s">
        <v>48106</v>
      </c>
    </row>
    <row r="15739" spans="1:20" x14ac:dyDescent="0.25">
      <c r="A15739" t="str">
        <f>"3057481"</f>
        <v>3057481</v>
      </c>
      <c r="B15739" t="s">
        <v>48108</v>
      </c>
      <c r="C15739" t="str">
        <f>"8316315"</f>
        <v>8316315</v>
      </c>
      <c r="D15739" t="s">
        <v>48109</v>
      </c>
      <c r="F15739" t="s">
        <v>48110</v>
      </c>
      <c r="I15739" t="s">
        <v>29</v>
      </c>
      <c r="J15739" t="s">
        <v>30</v>
      </c>
      <c r="K15739" t="s">
        <v>23508</v>
      </c>
      <c r="M15739" t="s">
        <v>17861</v>
      </c>
      <c r="N15739" t="str">
        <f>"8/31/2021 2:39:00 PM"</f>
        <v>8/31/2021 2:39:00 PM</v>
      </c>
      <c r="O15739" t="s">
        <v>48109</v>
      </c>
    </row>
    <row r="15740" spans="1:20" x14ac:dyDescent="0.25">
      <c r="A15740" t="str">
        <f>"3058139"</f>
        <v>3058139</v>
      </c>
      <c r="B15740" t="s">
        <v>48111</v>
      </c>
      <c r="C15740" t="str">
        <f>"8316316"</f>
        <v>8316316</v>
      </c>
      <c r="D15740" t="s">
        <v>48112</v>
      </c>
      <c r="E15740" t="s">
        <v>48113</v>
      </c>
      <c r="F15740" t="s">
        <v>48114</v>
      </c>
      <c r="I15740" t="s">
        <v>184</v>
      </c>
      <c r="J15740" t="s">
        <v>30</v>
      </c>
      <c r="K15740" t="s">
        <v>35466</v>
      </c>
      <c r="M15740" t="s">
        <v>17861</v>
      </c>
      <c r="N15740" t="str">
        <f>"8/31/2021 2:43:00 PM"</f>
        <v>8/31/2021 2:43:00 PM</v>
      </c>
      <c r="O15740" t="s">
        <v>48112</v>
      </c>
      <c r="T15740" t="s">
        <v>48113</v>
      </c>
    </row>
    <row r="15741" spans="1:20" x14ac:dyDescent="0.25">
      <c r="A15741" t="str">
        <f>"3075352"</f>
        <v>3075352</v>
      </c>
      <c r="B15741" t="s">
        <v>48115</v>
      </c>
      <c r="C15741" t="str">
        <f>"8315018"</f>
        <v>8315018</v>
      </c>
      <c r="D15741" t="s">
        <v>48116</v>
      </c>
      <c r="E15741" t="s">
        <v>48117</v>
      </c>
      <c r="F15741" t="s">
        <v>30195</v>
      </c>
      <c r="I15741" t="s">
        <v>30196</v>
      </c>
      <c r="J15741" t="s">
        <v>30197</v>
      </c>
      <c r="K15741" t="s">
        <v>48118</v>
      </c>
      <c r="M15741" t="s">
        <v>17861</v>
      </c>
      <c r="N15741" t="str">
        <f>"8/31/2021 2:48:00 PM"</f>
        <v>8/31/2021 2:48:00 PM</v>
      </c>
      <c r="O15741" t="s">
        <v>48116</v>
      </c>
      <c r="T15741" t="s">
        <v>48117</v>
      </c>
    </row>
    <row r="15742" spans="1:20" x14ac:dyDescent="0.25">
      <c r="A15742" t="str">
        <f>"3061381"</f>
        <v>3061381</v>
      </c>
      <c r="B15742" t="s">
        <v>48119</v>
      </c>
      <c r="C15742" t="str">
        <f>"8316317"</f>
        <v>8316317</v>
      </c>
      <c r="D15742" t="s">
        <v>48120</v>
      </c>
      <c r="E15742" t="s">
        <v>48121</v>
      </c>
      <c r="F15742" t="s">
        <v>48122</v>
      </c>
      <c r="I15742" t="s">
        <v>184</v>
      </c>
      <c r="J15742" t="s">
        <v>30</v>
      </c>
      <c r="K15742" t="s">
        <v>5334</v>
      </c>
      <c r="M15742" t="s">
        <v>17861</v>
      </c>
      <c r="N15742" t="str">
        <f>"8/31/2021 4:24:00 PM"</f>
        <v>8/31/2021 4:24:00 PM</v>
      </c>
      <c r="O15742" t="s">
        <v>48120</v>
      </c>
      <c r="T15742" t="s">
        <v>48121</v>
      </c>
    </row>
    <row r="15743" spans="1:20" x14ac:dyDescent="0.25">
      <c r="A15743" t="str">
        <f>"3049549"</f>
        <v>3049549</v>
      </c>
      <c r="B15743" t="s">
        <v>48123</v>
      </c>
      <c r="C15743" t="str">
        <f>"8316318"</f>
        <v>8316318</v>
      </c>
      <c r="D15743" t="s">
        <v>32595</v>
      </c>
      <c r="E15743" t="s">
        <v>48124</v>
      </c>
      <c r="F15743" t="s">
        <v>48125</v>
      </c>
      <c r="I15743" t="s">
        <v>29</v>
      </c>
      <c r="J15743" t="s">
        <v>30</v>
      </c>
      <c r="K15743" t="s">
        <v>13030</v>
      </c>
      <c r="M15743" t="s">
        <v>17861</v>
      </c>
      <c r="N15743" t="str">
        <f>"9/1/2021 9:31:00 AM"</f>
        <v>9/1/2021 9:31:00 AM</v>
      </c>
      <c r="O15743" t="s">
        <v>32595</v>
      </c>
      <c r="T15743" t="s">
        <v>48124</v>
      </c>
    </row>
    <row r="15744" spans="1:20" x14ac:dyDescent="0.25">
      <c r="A15744" t="str">
        <f>"3049562"</f>
        <v>3049562</v>
      </c>
      <c r="B15744" t="s">
        <v>48126</v>
      </c>
      <c r="C15744" t="str">
        <f>"8316318"</f>
        <v>8316318</v>
      </c>
      <c r="D15744" t="s">
        <v>32595</v>
      </c>
      <c r="E15744" t="s">
        <v>48124</v>
      </c>
      <c r="F15744" t="s">
        <v>48125</v>
      </c>
      <c r="I15744" t="s">
        <v>29</v>
      </c>
      <c r="J15744" t="s">
        <v>30</v>
      </c>
      <c r="K15744" t="s">
        <v>13030</v>
      </c>
      <c r="M15744" t="s">
        <v>17861</v>
      </c>
      <c r="N15744" t="str">
        <f>"9/1/2021 9:31:00 AM"</f>
        <v>9/1/2021 9:31:00 AM</v>
      </c>
      <c r="O15744" t="s">
        <v>32595</v>
      </c>
      <c r="T15744" t="s">
        <v>48124</v>
      </c>
    </row>
    <row r="15745" spans="1:20" x14ac:dyDescent="0.25">
      <c r="A15745" t="str">
        <f>"3060019"</f>
        <v>3060019</v>
      </c>
      <c r="B15745" t="s">
        <v>48127</v>
      </c>
      <c r="C15745" t="str">
        <f>"8316319"</f>
        <v>8316319</v>
      </c>
      <c r="D15745" t="s">
        <v>48128</v>
      </c>
      <c r="E15745" t="s">
        <v>48129</v>
      </c>
      <c r="F15745" t="s">
        <v>48130</v>
      </c>
      <c r="I15745" t="s">
        <v>184</v>
      </c>
      <c r="J15745" t="s">
        <v>30</v>
      </c>
      <c r="K15745" t="s">
        <v>48131</v>
      </c>
      <c r="M15745" t="s">
        <v>17861</v>
      </c>
      <c r="N15745" t="str">
        <f>"9/1/2021 9:35:00 AM"</f>
        <v>9/1/2021 9:35:00 AM</v>
      </c>
      <c r="O15745" t="s">
        <v>48128</v>
      </c>
      <c r="T15745" t="s">
        <v>48129</v>
      </c>
    </row>
    <row r="15746" spans="1:20" x14ac:dyDescent="0.25">
      <c r="A15746" t="str">
        <f>"3051313"</f>
        <v>3051313</v>
      </c>
      <c r="B15746" t="s">
        <v>48132</v>
      </c>
      <c r="C15746" t="str">
        <f>"8316320"</f>
        <v>8316320</v>
      </c>
      <c r="D15746" t="s">
        <v>48133</v>
      </c>
      <c r="F15746" t="s">
        <v>48134</v>
      </c>
      <c r="I15746" t="s">
        <v>29</v>
      </c>
      <c r="J15746" t="s">
        <v>30</v>
      </c>
      <c r="K15746" t="s">
        <v>48135</v>
      </c>
      <c r="M15746" t="s">
        <v>17861</v>
      </c>
      <c r="N15746" t="str">
        <f>"9/1/2021 10:22:00 AM"</f>
        <v>9/1/2021 10:22:00 AM</v>
      </c>
      <c r="O15746" t="s">
        <v>48133</v>
      </c>
    </row>
    <row r="15747" spans="1:20" x14ac:dyDescent="0.25">
      <c r="A15747" t="str">
        <f>"3055467"</f>
        <v>3055467</v>
      </c>
      <c r="B15747" t="s">
        <v>48136</v>
      </c>
      <c r="C15747" t="str">
        <f>"8316321"</f>
        <v>8316321</v>
      </c>
      <c r="D15747" t="s">
        <v>48137</v>
      </c>
      <c r="F15747" t="s">
        <v>48138</v>
      </c>
      <c r="I15747" t="s">
        <v>29</v>
      </c>
      <c r="J15747" t="s">
        <v>30</v>
      </c>
      <c r="K15747" t="s">
        <v>48139</v>
      </c>
      <c r="M15747" t="s">
        <v>17861</v>
      </c>
      <c r="N15747" t="str">
        <f>"9/1/2021 10:34:00 AM"</f>
        <v>9/1/2021 10:34:00 AM</v>
      </c>
      <c r="O15747" t="s">
        <v>48137</v>
      </c>
    </row>
    <row r="15748" spans="1:20" x14ac:dyDescent="0.25">
      <c r="A15748" t="str">
        <f>"3050490"</f>
        <v>3050490</v>
      </c>
      <c r="B15748" t="s">
        <v>48140</v>
      </c>
      <c r="C15748" t="str">
        <f>"8316268"</f>
        <v>8316268</v>
      </c>
      <c r="D15748" t="s">
        <v>48141</v>
      </c>
      <c r="F15748" t="s">
        <v>48142</v>
      </c>
      <c r="I15748" t="s">
        <v>29</v>
      </c>
      <c r="J15748" t="s">
        <v>30</v>
      </c>
      <c r="K15748" t="s">
        <v>26799</v>
      </c>
      <c r="M15748" t="s">
        <v>17861</v>
      </c>
      <c r="N15748" t="str">
        <f>"8/23/2021 9:03:00 AM"</f>
        <v>8/23/2021 9:03:00 AM</v>
      </c>
      <c r="O15748" t="s">
        <v>48141</v>
      </c>
    </row>
    <row r="15749" spans="1:20" x14ac:dyDescent="0.25">
      <c r="A15749" t="str">
        <f>"3046756"</f>
        <v>3046756</v>
      </c>
      <c r="B15749" t="s">
        <v>48143</v>
      </c>
      <c r="C15749" t="str">
        <f>"8316270"</f>
        <v>8316270</v>
      </c>
      <c r="D15749" t="s">
        <v>48144</v>
      </c>
      <c r="E15749" t="s">
        <v>48145</v>
      </c>
      <c r="F15749" t="s">
        <v>48146</v>
      </c>
      <c r="I15749" t="s">
        <v>184</v>
      </c>
      <c r="J15749" t="s">
        <v>30</v>
      </c>
      <c r="K15749" t="s">
        <v>35056</v>
      </c>
      <c r="M15749" t="s">
        <v>17861</v>
      </c>
      <c r="N15749" t="str">
        <f>"8/23/2021 2:51:00 PM"</f>
        <v>8/23/2021 2:51:00 PM</v>
      </c>
      <c r="O15749" t="s">
        <v>48144</v>
      </c>
      <c r="T15749" t="s">
        <v>48145</v>
      </c>
    </row>
    <row r="15750" spans="1:20" x14ac:dyDescent="0.25">
      <c r="A15750" t="str">
        <f>"3039480"</f>
        <v>3039480</v>
      </c>
      <c r="B15750" t="s">
        <v>48147</v>
      </c>
      <c r="C15750" t="str">
        <f>"70044000"</f>
        <v>70044000</v>
      </c>
      <c r="D15750" t="s">
        <v>48148</v>
      </c>
      <c r="E15750" t="s">
        <v>48149</v>
      </c>
      <c r="F15750" t="str">
        <f>"C/O W W SPILLMAN JR"</f>
        <v>C/O W W SPILLMAN JR</v>
      </c>
      <c r="G15750" t="s">
        <v>593</v>
      </c>
      <c r="I15750" t="s">
        <v>29</v>
      </c>
      <c r="J15750" t="s">
        <v>30</v>
      </c>
      <c r="K15750" t="s">
        <v>31</v>
      </c>
      <c r="M15750" t="s">
        <v>33845</v>
      </c>
      <c r="N15750" t="str">
        <f>"8/25/2021 1:47:00 PM"</f>
        <v>8/25/2021 1:47:00 PM</v>
      </c>
      <c r="O15750" t="s">
        <v>48148</v>
      </c>
      <c r="T15750" t="s">
        <v>48149</v>
      </c>
    </row>
    <row r="15751" spans="1:20" x14ac:dyDescent="0.25">
      <c r="A15751" t="str">
        <f>"3051618"</f>
        <v>3051618</v>
      </c>
      <c r="B15751" t="s">
        <v>48150</v>
      </c>
      <c r="C15751" t="str">
        <f>"8315133"</f>
        <v>8315133</v>
      </c>
      <c r="D15751" t="s">
        <v>48151</v>
      </c>
      <c r="E15751" t="s">
        <v>48152</v>
      </c>
      <c r="F15751" t="s">
        <v>48153</v>
      </c>
      <c r="I15751" t="s">
        <v>1176</v>
      </c>
      <c r="J15751" t="s">
        <v>30</v>
      </c>
      <c r="K15751" t="str">
        <f>"27054"</f>
        <v>27054</v>
      </c>
      <c r="M15751" t="s">
        <v>25625</v>
      </c>
      <c r="N15751" t="str">
        <f>"9/3/2021 10:01:00 AM"</f>
        <v>9/3/2021 10:01:00 AM</v>
      </c>
      <c r="O15751" t="s">
        <v>48151</v>
      </c>
      <c r="T15751" t="s">
        <v>48152</v>
      </c>
    </row>
    <row r="15752" spans="1:20" x14ac:dyDescent="0.25">
      <c r="A15752" t="str">
        <f>"3049145"</f>
        <v>3049145</v>
      </c>
      <c r="B15752" t="s">
        <v>48154</v>
      </c>
      <c r="C15752" t="str">
        <f>"3961650"</f>
        <v>3961650</v>
      </c>
      <c r="D15752" t="s">
        <v>48155</v>
      </c>
      <c r="E15752" t="s">
        <v>48156</v>
      </c>
      <c r="F15752" t="s">
        <v>48157</v>
      </c>
      <c r="I15752" t="s">
        <v>48158</v>
      </c>
      <c r="J15752" t="s">
        <v>12215</v>
      </c>
      <c r="K15752" t="s">
        <v>48159</v>
      </c>
      <c r="M15752" t="s">
        <v>25625</v>
      </c>
      <c r="N15752" t="str">
        <f>"9/3/2021 12:07:00 PM"</f>
        <v>9/3/2021 12:07:00 PM</v>
      </c>
      <c r="O15752" t="s">
        <v>48155</v>
      </c>
      <c r="T15752" t="s">
        <v>48156</v>
      </c>
    </row>
    <row r="15753" spans="1:20" x14ac:dyDescent="0.25">
      <c r="A15753" t="str">
        <f>"3041873"</f>
        <v>3041873</v>
      </c>
      <c r="B15753" t="s">
        <v>48160</v>
      </c>
      <c r="C15753" t="str">
        <f>"3961650"</f>
        <v>3961650</v>
      </c>
      <c r="D15753" t="s">
        <v>48155</v>
      </c>
      <c r="E15753" t="s">
        <v>48156</v>
      </c>
      <c r="F15753" t="s">
        <v>48157</v>
      </c>
      <c r="I15753" t="s">
        <v>48158</v>
      </c>
      <c r="J15753" t="s">
        <v>12215</v>
      </c>
      <c r="K15753" t="s">
        <v>48159</v>
      </c>
      <c r="M15753" t="s">
        <v>25625</v>
      </c>
      <c r="N15753" t="str">
        <f>"9/3/2021 12:07:00 PM"</f>
        <v>9/3/2021 12:07:00 PM</v>
      </c>
      <c r="O15753" t="s">
        <v>48155</v>
      </c>
      <c r="T15753" t="s">
        <v>48156</v>
      </c>
    </row>
    <row r="15754" spans="1:20" x14ac:dyDescent="0.25">
      <c r="A15754" t="str">
        <f>"3039695"</f>
        <v>3039695</v>
      </c>
      <c r="B15754" t="s">
        <v>48161</v>
      </c>
      <c r="C15754" t="str">
        <f>"70044000"</f>
        <v>70044000</v>
      </c>
      <c r="D15754" t="s">
        <v>48148</v>
      </c>
      <c r="E15754" t="s">
        <v>48149</v>
      </c>
      <c r="F15754" t="str">
        <f>"C/O W W SPILLMAN JR"</f>
        <v>C/O W W SPILLMAN JR</v>
      </c>
      <c r="G15754" t="s">
        <v>593</v>
      </c>
      <c r="I15754" t="s">
        <v>29</v>
      </c>
      <c r="J15754" t="s">
        <v>30</v>
      </c>
      <c r="K15754" t="s">
        <v>31</v>
      </c>
      <c r="M15754" t="s">
        <v>33845</v>
      </c>
      <c r="N15754" t="str">
        <f>"8/25/2021 1:47:00 PM"</f>
        <v>8/25/2021 1:47:00 PM</v>
      </c>
      <c r="O15754" t="s">
        <v>48148</v>
      </c>
      <c r="T15754" t="s">
        <v>48149</v>
      </c>
    </row>
    <row r="15755" spans="1:20" x14ac:dyDescent="0.25">
      <c r="A15755" t="str">
        <f>"3049372"</f>
        <v>3049372</v>
      </c>
      <c r="B15755" t="s">
        <v>48162</v>
      </c>
      <c r="C15755" t="str">
        <f>"8316285"</f>
        <v>8316285</v>
      </c>
      <c r="D15755" t="s">
        <v>48163</v>
      </c>
      <c r="F15755" t="s">
        <v>48164</v>
      </c>
      <c r="I15755" t="s">
        <v>29</v>
      </c>
      <c r="J15755" t="s">
        <v>30</v>
      </c>
      <c r="K15755" t="s">
        <v>12043</v>
      </c>
      <c r="M15755" t="s">
        <v>17861</v>
      </c>
      <c r="N15755" t="str">
        <f>"8/26/2021 4:13:00 PM"</f>
        <v>8/26/2021 4:13:00 PM</v>
      </c>
      <c r="O15755" t="s">
        <v>48163</v>
      </c>
    </row>
    <row r="15756" spans="1:20" x14ac:dyDescent="0.25">
      <c r="A15756" t="str">
        <f>"3062186"</f>
        <v>3062186</v>
      </c>
      <c r="B15756" t="s">
        <v>48165</v>
      </c>
      <c r="C15756" t="str">
        <f>"8316286"</f>
        <v>8316286</v>
      </c>
      <c r="D15756" t="s">
        <v>48166</v>
      </c>
      <c r="E15756" t="s">
        <v>48070</v>
      </c>
      <c r="F15756" t="s">
        <v>48071</v>
      </c>
      <c r="I15756" t="s">
        <v>29</v>
      </c>
      <c r="J15756" t="s">
        <v>30</v>
      </c>
      <c r="K15756" t="s">
        <v>48167</v>
      </c>
      <c r="M15756" t="s">
        <v>17861</v>
      </c>
      <c r="N15756" t="str">
        <f>"8/26/2021 4:16:00 PM"</f>
        <v>8/26/2021 4:16:00 PM</v>
      </c>
      <c r="O15756" t="s">
        <v>48166</v>
      </c>
      <c r="T15756" t="s">
        <v>48070</v>
      </c>
    </row>
    <row r="15757" spans="1:20" x14ac:dyDescent="0.25">
      <c r="A15757" t="str">
        <f>"3050450"</f>
        <v>3050450</v>
      </c>
      <c r="B15757" t="s">
        <v>48168</v>
      </c>
      <c r="C15757" t="str">
        <f>"8316287"</f>
        <v>8316287</v>
      </c>
      <c r="D15757" t="s">
        <v>48169</v>
      </c>
      <c r="E15757" t="s">
        <v>48170</v>
      </c>
      <c r="F15757" t="s">
        <v>48171</v>
      </c>
      <c r="I15757" t="s">
        <v>184</v>
      </c>
      <c r="J15757" t="s">
        <v>30</v>
      </c>
      <c r="K15757" t="s">
        <v>48172</v>
      </c>
      <c r="M15757" t="s">
        <v>17861</v>
      </c>
      <c r="N15757" t="str">
        <f>"8/26/2021 4:18:00 PM"</f>
        <v>8/26/2021 4:18:00 PM</v>
      </c>
      <c r="O15757" t="s">
        <v>48169</v>
      </c>
      <c r="T15757" t="s">
        <v>48170</v>
      </c>
    </row>
    <row r="15758" spans="1:20" x14ac:dyDescent="0.25">
      <c r="A15758" t="str">
        <f>"3049937"</f>
        <v>3049937</v>
      </c>
      <c r="B15758" t="s">
        <v>48173</v>
      </c>
      <c r="C15758" t="str">
        <f>"8308391"</f>
        <v>8308391</v>
      </c>
      <c r="D15758" t="s">
        <v>48174</v>
      </c>
      <c r="F15758" t="s">
        <v>44442</v>
      </c>
      <c r="I15758" t="s">
        <v>29</v>
      </c>
      <c r="J15758" t="s">
        <v>30</v>
      </c>
      <c r="K15758" t="str">
        <f>"27028"</f>
        <v>27028</v>
      </c>
      <c r="M15758" t="s">
        <v>41454</v>
      </c>
      <c r="N15758" t="str">
        <f>"8/26/2021 4:47:00 PM"</f>
        <v>8/26/2021 4:47:00 PM</v>
      </c>
      <c r="O15758" t="s">
        <v>48174</v>
      </c>
    </row>
    <row r="15759" spans="1:20" x14ac:dyDescent="0.25">
      <c r="A15759" t="str">
        <f>"3048019"</f>
        <v>3048019</v>
      </c>
      <c r="B15759" t="s">
        <v>48175</v>
      </c>
      <c r="C15759" t="str">
        <f>"8316290"</f>
        <v>8316290</v>
      </c>
      <c r="D15759" t="s">
        <v>48176</v>
      </c>
      <c r="E15759" t="s">
        <v>48177</v>
      </c>
      <c r="F15759" t="s">
        <v>9241</v>
      </c>
      <c r="I15759" t="s">
        <v>184</v>
      </c>
      <c r="J15759" t="s">
        <v>30</v>
      </c>
      <c r="K15759" t="s">
        <v>48178</v>
      </c>
      <c r="M15759" t="s">
        <v>17861</v>
      </c>
      <c r="N15759" t="str">
        <f>"8/27/2021 2:38:00 PM"</f>
        <v>8/27/2021 2:38:00 PM</v>
      </c>
      <c r="O15759" t="s">
        <v>48176</v>
      </c>
      <c r="T15759" t="s">
        <v>48177</v>
      </c>
    </row>
    <row r="15760" spans="1:20" x14ac:dyDescent="0.25">
      <c r="A15760" t="str">
        <f>"3041285"</f>
        <v>3041285</v>
      </c>
      <c r="B15760" t="s">
        <v>48179</v>
      </c>
      <c r="C15760" t="str">
        <f>"8316291"</f>
        <v>8316291</v>
      </c>
      <c r="D15760" t="s">
        <v>48180</v>
      </c>
      <c r="F15760" t="s">
        <v>48181</v>
      </c>
      <c r="I15760" t="s">
        <v>184</v>
      </c>
      <c r="J15760" t="s">
        <v>30</v>
      </c>
      <c r="K15760" t="s">
        <v>22356</v>
      </c>
      <c r="M15760" t="s">
        <v>17861</v>
      </c>
      <c r="N15760" t="str">
        <f>"8/27/2021 2:48:00 PM"</f>
        <v>8/27/2021 2:48:00 PM</v>
      </c>
      <c r="O15760" t="s">
        <v>48180</v>
      </c>
    </row>
    <row r="15761" spans="1:20" x14ac:dyDescent="0.25">
      <c r="A15761" t="str">
        <f>"3053056"</f>
        <v>3053056</v>
      </c>
      <c r="B15761" t="s">
        <v>48182</v>
      </c>
      <c r="C15761" t="str">
        <f>"8316301"</f>
        <v>8316301</v>
      </c>
      <c r="D15761" t="s">
        <v>48183</v>
      </c>
      <c r="E15761" t="s">
        <v>48184</v>
      </c>
      <c r="F15761" t="s">
        <v>48185</v>
      </c>
      <c r="I15761" t="s">
        <v>29</v>
      </c>
      <c r="J15761" t="s">
        <v>30</v>
      </c>
      <c r="K15761" t="s">
        <v>42016</v>
      </c>
      <c r="M15761" t="s">
        <v>17861</v>
      </c>
      <c r="N15761" t="str">
        <f>"8/30/2021 9:24:00 AM"</f>
        <v>8/30/2021 9:24:00 AM</v>
      </c>
      <c r="O15761" t="s">
        <v>48183</v>
      </c>
      <c r="T15761" t="s">
        <v>48184</v>
      </c>
    </row>
    <row r="15762" spans="1:20" x14ac:dyDescent="0.25">
      <c r="A15762" t="str">
        <f>"3041673"</f>
        <v>3041673</v>
      </c>
      <c r="B15762" t="s">
        <v>48186</v>
      </c>
      <c r="C15762" t="str">
        <f>"8316304"</f>
        <v>8316304</v>
      </c>
      <c r="D15762" t="s">
        <v>48187</v>
      </c>
      <c r="F15762" t="s">
        <v>48188</v>
      </c>
      <c r="I15762" t="s">
        <v>2071</v>
      </c>
      <c r="J15762" t="s">
        <v>30</v>
      </c>
      <c r="K15762" t="str">
        <f>"27006"</f>
        <v>27006</v>
      </c>
      <c r="M15762" t="s">
        <v>17861</v>
      </c>
      <c r="N15762" t="str">
        <f>"8/30/2021 12:42:00 PM"</f>
        <v>8/30/2021 12:42:00 PM</v>
      </c>
      <c r="O15762" t="s">
        <v>48187</v>
      </c>
    </row>
    <row r="15763" spans="1:20" x14ac:dyDescent="0.25">
      <c r="A15763" t="str">
        <f>"3049904"</f>
        <v>3049904</v>
      </c>
      <c r="B15763" t="s">
        <v>48189</v>
      </c>
      <c r="C15763" t="str">
        <f>"8316305"</f>
        <v>8316305</v>
      </c>
      <c r="D15763" t="s">
        <v>48190</v>
      </c>
      <c r="F15763" t="s">
        <v>23960</v>
      </c>
      <c r="I15763" t="s">
        <v>23961</v>
      </c>
      <c r="J15763" t="s">
        <v>30</v>
      </c>
      <c r="K15763" t="str">
        <f>"28110"</f>
        <v>28110</v>
      </c>
      <c r="M15763" t="s">
        <v>17861</v>
      </c>
      <c r="N15763" t="str">
        <f>"8/30/2021 2:48:00 PM"</f>
        <v>8/30/2021 2:48:00 PM</v>
      </c>
      <c r="O15763" t="s">
        <v>48190</v>
      </c>
    </row>
    <row r="15764" spans="1:20" x14ac:dyDescent="0.25">
      <c r="A15764" t="str">
        <f>"3048416"</f>
        <v>3048416</v>
      </c>
      <c r="B15764" t="s">
        <v>48191</v>
      </c>
      <c r="C15764" t="str">
        <f>"46957000"</f>
        <v>46957000</v>
      </c>
      <c r="D15764" t="s">
        <v>48192</v>
      </c>
      <c r="F15764" t="s">
        <v>9336</v>
      </c>
      <c r="I15764" t="s">
        <v>184</v>
      </c>
      <c r="J15764" t="s">
        <v>30</v>
      </c>
      <c r="K15764" t="s">
        <v>9337</v>
      </c>
      <c r="M15764" t="s">
        <v>17861</v>
      </c>
      <c r="N15764" t="str">
        <f>"8/31/2021 10:40:00 AM"</f>
        <v>8/31/2021 10:40:00 AM</v>
      </c>
      <c r="O15764" t="s">
        <v>48192</v>
      </c>
    </row>
    <row r="15765" spans="1:20" x14ac:dyDescent="0.25">
      <c r="A15765" t="str">
        <f>"3076699"</f>
        <v>3076699</v>
      </c>
      <c r="B15765" t="s">
        <v>48193</v>
      </c>
      <c r="C15765" t="str">
        <f>"8316255"</f>
        <v>8316255</v>
      </c>
      <c r="D15765" t="s">
        <v>48194</v>
      </c>
      <c r="F15765" t="s">
        <v>48195</v>
      </c>
      <c r="I15765" t="s">
        <v>29</v>
      </c>
      <c r="J15765" t="s">
        <v>30</v>
      </c>
      <c r="K15765" t="s">
        <v>48196</v>
      </c>
      <c r="M15765" t="s">
        <v>17861</v>
      </c>
      <c r="N15765" t="str">
        <f>"8/19/2021 3:40:00 PM"</f>
        <v>8/19/2021 3:40:00 PM</v>
      </c>
      <c r="O15765" t="s">
        <v>48194</v>
      </c>
    </row>
    <row r="15766" spans="1:20" x14ac:dyDescent="0.25">
      <c r="A15766" t="str">
        <f>"3054190"</f>
        <v>3054190</v>
      </c>
      <c r="B15766" t="s">
        <v>48197</v>
      </c>
      <c r="C15766" t="str">
        <f>"8316256"</f>
        <v>8316256</v>
      </c>
      <c r="D15766" t="s">
        <v>48198</v>
      </c>
      <c r="E15766" t="s">
        <v>48199</v>
      </c>
      <c r="F15766" t="s">
        <v>48200</v>
      </c>
      <c r="I15766" t="s">
        <v>48201</v>
      </c>
      <c r="J15766" t="s">
        <v>11994</v>
      </c>
      <c r="K15766" t="s">
        <v>48202</v>
      </c>
      <c r="M15766" t="s">
        <v>17861</v>
      </c>
      <c r="N15766" t="str">
        <f>"8/19/2021 4:05:00 PM"</f>
        <v>8/19/2021 4:05:00 PM</v>
      </c>
      <c r="O15766" t="s">
        <v>48198</v>
      </c>
      <c r="T15766" t="s">
        <v>48199</v>
      </c>
    </row>
    <row r="15767" spans="1:20" x14ac:dyDescent="0.25">
      <c r="A15767" t="str">
        <f>"3059635"</f>
        <v>3059635</v>
      </c>
      <c r="B15767" t="s">
        <v>48203</v>
      </c>
      <c r="C15767" t="str">
        <f>"8316260"</f>
        <v>8316260</v>
      </c>
      <c r="D15767" t="s">
        <v>48204</v>
      </c>
      <c r="E15767" t="s">
        <v>48205</v>
      </c>
      <c r="F15767" t="s">
        <v>48206</v>
      </c>
      <c r="I15767" t="s">
        <v>184</v>
      </c>
      <c r="J15767" t="s">
        <v>30</v>
      </c>
      <c r="K15767" t="s">
        <v>4697</v>
      </c>
      <c r="M15767" t="s">
        <v>17861</v>
      </c>
      <c r="N15767" t="str">
        <f>"8/20/2021 11:05:00 AM"</f>
        <v>8/20/2021 11:05:00 AM</v>
      </c>
      <c r="O15767" t="s">
        <v>48204</v>
      </c>
      <c r="T15767" t="s">
        <v>48205</v>
      </c>
    </row>
    <row r="15768" spans="1:20" x14ac:dyDescent="0.25">
      <c r="A15768" t="str">
        <f>"3044463"</f>
        <v>3044463</v>
      </c>
      <c r="B15768" t="s">
        <v>48207</v>
      </c>
      <c r="C15768" t="str">
        <f>"8316261"</f>
        <v>8316261</v>
      </c>
      <c r="D15768" t="s">
        <v>48208</v>
      </c>
      <c r="E15768" t="s">
        <v>48209</v>
      </c>
      <c r="F15768" t="s">
        <v>48210</v>
      </c>
      <c r="I15768" t="s">
        <v>184</v>
      </c>
      <c r="J15768" t="s">
        <v>30</v>
      </c>
      <c r="K15768" t="s">
        <v>5608</v>
      </c>
      <c r="M15768" t="s">
        <v>17861</v>
      </c>
      <c r="N15768" t="str">
        <f>"8/20/2021 11:18:00 AM"</f>
        <v>8/20/2021 11:18:00 AM</v>
      </c>
      <c r="O15768" t="s">
        <v>48208</v>
      </c>
      <c r="T15768" t="s">
        <v>48209</v>
      </c>
    </row>
    <row r="15769" spans="1:20" x14ac:dyDescent="0.25">
      <c r="A15769" t="str">
        <f>"3051887"</f>
        <v>3051887</v>
      </c>
      <c r="B15769" t="s">
        <v>48211</v>
      </c>
      <c r="C15769" t="str">
        <f>"8316263"</f>
        <v>8316263</v>
      </c>
      <c r="D15769" t="s">
        <v>48212</v>
      </c>
      <c r="E15769" t="str">
        <f>"C/O THERESA ANN CARTER HARDIN"</f>
        <v>C/O THERESA ANN CARTER HARDIN</v>
      </c>
      <c r="F15769" t="s">
        <v>48213</v>
      </c>
      <c r="I15769" t="s">
        <v>29</v>
      </c>
      <c r="J15769" t="s">
        <v>30</v>
      </c>
      <c r="K15769" t="s">
        <v>48214</v>
      </c>
      <c r="M15769" t="s">
        <v>17861</v>
      </c>
      <c r="N15769" t="str">
        <f>"8/20/2021 1:27:00 PM"</f>
        <v>8/20/2021 1:27:00 PM</v>
      </c>
      <c r="O15769" t="s">
        <v>48212</v>
      </c>
      <c r="T15769" t="str">
        <f>"C/O THERESA ANN CARTER HARDIN"</f>
        <v>C/O THERESA ANN CARTER HARDIN</v>
      </c>
    </row>
    <row r="15770" spans="1:20" x14ac:dyDescent="0.25">
      <c r="A15770" t="str">
        <f>"3055423"</f>
        <v>3055423</v>
      </c>
      <c r="B15770" t="s">
        <v>48215</v>
      </c>
      <c r="C15770" t="str">
        <f>"8316264"</f>
        <v>8316264</v>
      </c>
      <c r="D15770" t="s">
        <v>48216</v>
      </c>
      <c r="E15770" t="s">
        <v>48217</v>
      </c>
      <c r="F15770" t="s">
        <v>48218</v>
      </c>
      <c r="I15770" t="s">
        <v>29</v>
      </c>
      <c r="J15770" t="s">
        <v>30</v>
      </c>
      <c r="K15770" t="s">
        <v>36663</v>
      </c>
      <c r="M15770" t="s">
        <v>17861</v>
      </c>
      <c r="N15770" t="str">
        <f>"8/20/2021 3:32:00 PM"</f>
        <v>8/20/2021 3:32:00 PM</v>
      </c>
      <c r="O15770" t="s">
        <v>48216</v>
      </c>
      <c r="T15770" t="s">
        <v>48217</v>
      </c>
    </row>
    <row r="15771" spans="1:20" x14ac:dyDescent="0.25">
      <c r="A15771" t="str">
        <f>"3044460"</f>
        <v>3044460</v>
      </c>
      <c r="B15771" t="s">
        <v>48219</v>
      </c>
      <c r="C15771" t="str">
        <f>"8316324"</f>
        <v>8316324</v>
      </c>
      <c r="D15771" t="s">
        <v>48220</v>
      </c>
      <c r="E15771" t="s">
        <v>48221</v>
      </c>
      <c r="F15771" t="s">
        <v>48222</v>
      </c>
      <c r="I15771" t="s">
        <v>184</v>
      </c>
      <c r="J15771" t="s">
        <v>30</v>
      </c>
      <c r="K15771" t="s">
        <v>6103</v>
      </c>
      <c r="M15771" t="s">
        <v>17861</v>
      </c>
      <c r="N15771" t="str">
        <f>"9/1/2021 10:57:00 AM"</f>
        <v>9/1/2021 10:57:00 AM</v>
      </c>
      <c r="O15771" t="s">
        <v>48220</v>
      </c>
      <c r="T15771" t="s">
        <v>48221</v>
      </c>
    </row>
    <row r="15772" spans="1:20" x14ac:dyDescent="0.25">
      <c r="A15772" t="str">
        <f>"3040068"</f>
        <v>3040068</v>
      </c>
      <c r="B15772" t="s">
        <v>48223</v>
      </c>
      <c r="C15772" t="str">
        <f>"8313785"</f>
        <v>8313785</v>
      </c>
      <c r="D15772" t="s">
        <v>48224</v>
      </c>
      <c r="F15772" t="s">
        <v>48225</v>
      </c>
      <c r="I15772" t="s">
        <v>29</v>
      </c>
      <c r="J15772" t="s">
        <v>30</v>
      </c>
      <c r="K15772" t="s">
        <v>48226</v>
      </c>
      <c r="M15772" t="s">
        <v>25733</v>
      </c>
      <c r="N15772" t="str">
        <f>"9/2/2021 9:28:00 AM"</f>
        <v>9/2/2021 9:28:00 AM</v>
      </c>
      <c r="O15772" t="s">
        <v>48224</v>
      </c>
    </row>
    <row r="15773" spans="1:20" x14ac:dyDescent="0.25">
      <c r="A15773" t="str">
        <f>"3051617"</f>
        <v>3051617</v>
      </c>
      <c r="B15773" t="s">
        <v>48227</v>
      </c>
      <c r="C15773" t="str">
        <f>"8315133"</f>
        <v>8315133</v>
      </c>
      <c r="D15773" t="s">
        <v>48151</v>
      </c>
      <c r="E15773" t="s">
        <v>48152</v>
      </c>
      <c r="F15773" t="s">
        <v>48153</v>
      </c>
      <c r="I15773" t="s">
        <v>1176</v>
      </c>
      <c r="J15773" t="s">
        <v>30</v>
      </c>
      <c r="K15773" t="str">
        <f>"27054"</f>
        <v>27054</v>
      </c>
      <c r="M15773" t="s">
        <v>25625</v>
      </c>
      <c r="N15773" t="str">
        <f>"9/3/2021 10:01:00 AM"</f>
        <v>9/3/2021 10:01:00 AM</v>
      </c>
      <c r="O15773" t="s">
        <v>48151</v>
      </c>
      <c r="T15773" t="s">
        <v>48152</v>
      </c>
    </row>
    <row r="15774" spans="1:20" x14ac:dyDescent="0.25">
      <c r="A15774" t="str">
        <f>"3078827"</f>
        <v>3078827</v>
      </c>
      <c r="B15774" t="s">
        <v>48228</v>
      </c>
      <c r="C15774" t="str">
        <f>"8301360"</f>
        <v>8301360</v>
      </c>
      <c r="D15774" t="s">
        <v>32630</v>
      </c>
      <c r="E15774" t="s">
        <v>48077</v>
      </c>
      <c r="F15774" t="s">
        <v>48229</v>
      </c>
      <c r="I15774" t="s">
        <v>29</v>
      </c>
      <c r="J15774" t="s">
        <v>30</v>
      </c>
      <c r="K15774" t="str">
        <f>"27028"</f>
        <v>27028</v>
      </c>
      <c r="M15774" t="s">
        <v>18470</v>
      </c>
      <c r="N15774" t="str">
        <f>"8/31/2021 12:00:00 PM"</f>
        <v>8/31/2021 12:00:00 PM</v>
      </c>
      <c r="O15774" t="s">
        <v>32630</v>
      </c>
      <c r="T15774" t="s">
        <v>48077</v>
      </c>
    </row>
    <row r="15775" spans="1:20" x14ac:dyDescent="0.25">
      <c r="A15775" t="str">
        <f>"3056067"</f>
        <v>3056067</v>
      </c>
      <c r="B15775" t="s">
        <v>48230</v>
      </c>
      <c r="C15775" t="str">
        <f>"8315688"</f>
        <v>8315688</v>
      </c>
      <c r="D15775" t="s">
        <v>48231</v>
      </c>
      <c r="E15775" t="s">
        <v>48232</v>
      </c>
      <c r="F15775" t="s">
        <v>48071</v>
      </c>
      <c r="I15775" t="s">
        <v>29</v>
      </c>
      <c r="J15775" t="s">
        <v>30</v>
      </c>
      <c r="K15775" t="str">
        <f>"27028"</f>
        <v>27028</v>
      </c>
      <c r="M15775" t="s">
        <v>18470</v>
      </c>
      <c r="N15775" t="str">
        <f>"8/31/2021 12:11:00 PM"</f>
        <v>8/31/2021 12:11:00 PM</v>
      </c>
      <c r="O15775" t="s">
        <v>48231</v>
      </c>
      <c r="T15775" t="s">
        <v>48232</v>
      </c>
    </row>
    <row r="15776" spans="1:20" x14ac:dyDescent="0.25">
      <c r="A15776" t="str">
        <f>"3038818"</f>
        <v>3038818</v>
      </c>
      <c r="B15776" t="s">
        <v>48233</v>
      </c>
      <c r="C15776" t="str">
        <f>"8316307"</f>
        <v>8316307</v>
      </c>
      <c r="D15776" t="s">
        <v>48234</v>
      </c>
      <c r="E15776" t="s">
        <v>48235</v>
      </c>
      <c r="F15776" t="s">
        <v>48236</v>
      </c>
      <c r="I15776" t="s">
        <v>29</v>
      </c>
      <c r="J15776" t="s">
        <v>30</v>
      </c>
      <c r="K15776" t="s">
        <v>48237</v>
      </c>
      <c r="M15776" t="s">
        <v>17861</v>
      </c>
      <c r="N15776" t="str">
        <f>"8/31/2021 1:38:00 PM"</f>
        <v>8/31/2021 1:38:00 PM</v>
      </c>
      <c r="O15776" t="s">
        <v>48234</v>
      </c>
      <c r="T15776" t="s">
        <v>48235</v>
      </c>
    </row>
    <row r="15777" spans="1:20" x14ac:dyDescent="0.25">
      <c r="A15777" t="str">
        <f>"3039179"</f>
        <v>3039179</v>
      </c>
      <c r="B15777" t="s">
        <v>48238</v>
      </c>
      <c r="C15777" t="str">
        <f>"8316309"</f>
        <v>8316309</v>
      </c>
      <c r="D15777" t="s">
        <v>48239</v>
      </c>
      <c r="E15777" t="s">
        <v>48240</v>
      </c>
      <c r="F15777" t="s">
        <v>48241</v>
      </c>
      <c r="I15777" t="s">
        <v>29</v>
      </c>
      <c r="J15777" t="s">
        <v>30</v>
      </c>
      <c r="K15777" t="s">
        <v>46712</v>
      </c>
      <c r="M15777" t="s">
        <v>17861</v>
      </c>
      <c r="N15777" t="str">
        <f>"8/31/2021 1:50:00 PM"</f>
        <v>8/31/2021 1:50:00 PM</v>
      </c>
      <c r="O15777" t="s">
        <v>48239</v>
      </c>
      <c r="T15777" t="s">
        <v>48240</v>
      </c>
    </row>
    <row r="15778" spans="1:20" x14ac:dyDescent="0.25">
      <c r="A15778" t="str">
        <f>"3048509"</f>
        <v>3048509</v>
      </c>
      <c r="B15778" t="s">
        <v>48242</v>
      </c>
      <c r="C15778" t="str">
        <f>"82530375"</f>
        <v>82530375</v>
      </c>
      <c r="D15778" t="s">
        <v>20936</v>
      </c>
      <c r="E15778" t="s">
        <v>48243</v>
      </c>
      <c r="F15778" t="s">
        <v>48244</v>
      </c>
      <c r="I15778" t="s">
        <v>184</v>
      </c>
      <c r="J15778" t="s">
        <v>30</v>
      </c>
      <c r="K15778" t="s">
        <v>48245</v>
      </c>
      <c r="M15778" t="s">
        <v>17861</v>
      </c>
      <c r="N15778" t="str">
        <f>"9/14/2021 8:45:00 AM"</f>
        <v>9/14/2021 8:45:00 AM</v>
      </c>
      <c r="O15778" t="s">
        <v>20936</v>
      </c>
      <c r="T15778" t="s">
        <v>48243</v>
      </c>
    </row>
    <row r="15779" spans="1:20" x14ac:dyDescent="0.25">
      <c r="A15779" t="str">
        <f>"3059344"</f>
        <v>3059344</v>
      </c>
      <c r="B15779" t="s">
        <v>48246</v>
      </c>
      <c r="C15779" t="str">
        <f>"8316366"</f>
        <v>8316366</v>
      </c>
      <c r="D15779" t="s">
        <v>48247</v>
      </c>
      <c r="E15779" t="s">
        <v>11485</v>
      </c>
      <c r="F15779" t="s">
        <v>48248</v>
      </c>
      <c r="I15779" t="s">
        <v>29</v>
      </c>
      <c r="J15779" t="s">
        <v>30</v>
      </c>
      <c r="K15779" t="s">
        <v>33201</v>
      </c>
      <c r="M15779" t="s">
        <v>17861</v>
      </c>
      <c r="N15779" t="str">
        <f>"9/14/2021 4:25:00 PM"</f>
        <v>9/14/2021 4:25:00 PM</v>
      </c>
      <c r="O15779" t="s">
        <v>48247</v>
      </c>
      <c r="T15779" t="s">
        <v>11485</v>
      </c>
    </row>
    <row r="15780" spans="1:20" x14ac:dyDescent="0.25">
      <c r="A15780" t="str">
        <f>"3044552"</f>
        <v>3044552</v>
      </c>
      <c r="B15780" t="s">
        <v>48249</v>
      </c>
      <c r="C15780" t="str">
        <f>"8316367"</f>
        <v>8316367</v>
      </c>
      <c r="D15780" t="s">
        <v>48250</v>
      </c>
      <c r="E15780" t="s">
        <v>48251</v>
      </c>
      <c r="F15780" t="s">
        <v>48252</v>
      </c>
      <c r="I15780" t="s">
        <v>184</v>
      </c>
      <c r="J15780" t="s">
        <v>30</v>
      </c>
      <c r="K15780" t="s">
        <v>48253</v>
      </c>
      <c r="M15780" t="s">
        <v>17861</v>
      </c>
      <c r="N15780" t="str">
        <f>"9/14/2021 4:34:00 PM"</f>
        <v>9/14/2021 4:34:00 PM</v>
      </c>
      <c r="O15780" t="s">
        <v>48250</v>
      </c>
      <c r="T15780" t="s">
        <v>48251</v>
      </c>
    </row>
    <row r="15781" spans="1:20" x14ac:dyDescent="0.25">
      <c r="A15781" t="str">
        <f>"3050459"</f>
        <v>3050459</v>
      </c>
      <c r="B15781" t="s">
        <v>48254</v>
      </c>
      <c r="C15781" t="str">
        <f>"8316368"</f>
        <v>8316368</v>
      </c>
      <c r="D15781" t="s">
        <v>48255</v>
      </c>
      <c r="E15781" t="s">
        <v>48256</v>
      </c>
      <c r="F15781" t="s">
        <v>48257</v>
      </c>
      <c r="I15781" t="s">
        <v>29</v>
      </c>
      <c r="J15781" t="s">
        <v>30</v>
      </c>
      <c r="K15781" t="s">
        <v>25305</v>
      </c>
      <c r="M15781" t="s">
        <v>17861</v>
      </c>
      <c r="N15781" t="str">
        <f>"9/14/2021 4:37:00 PM"</f>
        <v>9/14/2021 4:37:00 PM</v>
      </c>
      <c r="O15781" t="s">
        <v>48255</v>
      </c>
      <c r="T15781" t="s">
        <v>48256</v>
      </c>
    </row>
    <row r="15782" spans="1:20" x14ac:dyDescent="0.25">
      <c r="A15782" t="str">
        <f>"3043436"</f>
        <v>3043436</v>
      </c>
      <c r="B15782" t="s">
        <v>48258</v>
      </c>
      <c r="C15782" t="str">
        <f>"8316359"</f>
        <v>8316359</v>
      </c>
      <c r="D15782" t="s">
        <v>48259</v>
      </c>
      <c r="E15782" t="s">
        <v>48260</v>
      </c>
      <c r="F15782" t="s">
        <v>48261</v>
      </c>
      <c r="I15782" t="s">
        <v>29</v>
      </c>
      <c r="J15782" t="s">
        <v>30</v>
      </c>
      <c r="K15782" t="s">
        <v>8143</v>
      </c>
      <c r="M15782" t="s">
        <v>17861</v>
      </c>
      <c r="N15782" t="str">
        <f>"9/14/2021 2:35:00 PM"</f>
        <v>9/14/2021 2:35:00 PM</v>
      </c>
      <c r="O15782" t="s">
        <v>48259</v>
      </c>
      <c r="T15782" t="s">
        <v>48260</v>
      </c>
    </row>
    <row r="15783" spans="1:20" x14ac:dyDescent="0.25">
      <c r="A15783" t="str">
        <f>"3058953"</f>
        <v>3058953</v>
      </c>
      <c r="B15783" t="s">
        <v>48262</v>
      </c>
      <c r="C15783" t="str">
        <f>"8316361"</f>
        <v>8316361</v>
      </c>
      <c r="D15783" t="s">
        <v>48263</v>
      </c>
      <c r="F15783" t="s">
        <v>48264</v>
      </c>
      <c r="I15783" t="s">
        <v>29</v>
      </c>
      <c r="J15783" t="s">
        <v>30</v>
      </c>
      <c r="K15783" t="s">
        <v>41236</v>
      </c>
      <c r="M15783" t="s">
        <v>17861</v>
      </c>
      <c r="N15783" t="str">
        <f>"9/14/2021 3:55:00 PM"</f>
        <v>9/14/2021 3:55:00 PM</v>
      </c>
      <c r="O15783" t="s">
        <v>48263</v>
      </c>
    </row>
    <row r="15784" spans="1:20" x14ac:dyDescent="0.25">
      <c r="A15784" t="str">
        <f>"3048759"</f>
        <v>3048759</v>
      </c>
      <c r="B15784" t="s">
        <v>48265</v>
      </c>
      <c r="C15784" t="str">
        <f>"8316374"</f>
        <v>8316374</v>
      </c>
      <c r="D15784" t="s">
        <v>48266</v>
      </c>
      <c r="E15784" t="s">
        <v>48267</v>
      </c>
      <c r="F15784" t="s">
        <v>48268</v>
      </c>
      <c r="I15784" t="s">
        <v>29</v>
      </c>
      <c r="J15784" t="s">
        <v>30</v>
      </c>
      <c r="K15784" t="s">
        <v>46762</v>
      </c>
      <c r="M15784" t="s">
        <v>17861</v>
      </c>
      <c r="N15784" t="str">
        <f>"9/16/2021 9:14:00 AM"</f>
        <v>9/16/2021 9:14:00 AM</v>
      </c>
      <c r="O15784" t="s">
        <v>48266</v>
      </c>
      <c r="T15784" t="s">
        <v>48267</v>
      </c>
    </row>
    <row r="15785" spans="1:20" x14ac:dyDescent="0.25">
      <c r="A15785" t="str">
        <f>"3048762"</f>
        <v>3048762</v>
      </c>
      <c r="B15785" t="s">
        <v>48269</v>
      </c>
      <c r="C15785" t="str">
        <f>"8316374"</f>
        <v>8316374</v>
      </c>
      <c r="D15785" t="s">
        <v>48266</v>
      </c>
      <c r="E15785" t="s">
        <v>48267</v>
      </c>
      <c r="F15785" t="s">
        <v>48268</v>
      </c>
      <c r="I15785" t="s">
        <v>29</v>
      </c>
      <c r="J15785" t="s">
        <v>30</v>
      </c>
      <c r="K15785" t="s">
        <v>46762</v>
      </c>
      <c r="M15785" t="s">
        <v>17861</v>
      </c>
      <c r="N15785" t="str">
        <f>"9/16/2021 9:14:00 AM"</f>
        <v>9/16/2021 9:14:00 AM</v>
      </c>
      <c r="O15785" t="s">
        <v>48266</v>
      </c>
      <c r="T15785" t="s">
        <v>48267</v>
      </c>
    </row>
    <row r="15786" spans="1:20" x14ac:dyDescent="0.25">
      <c r="A15786" t="str">
        <f>"3075339"</f>
        <v>3075339</v>
      </c>
      <c r="B15786" t="s">
        <v>48270</v>
      </c>
      <c r="C15786" t="str">
        <f>"8316374"</f>
        <v>8316374</v>
      </c>
      <c r="D15786" t="s">
        <v>48266</v>
      </c>
      <c r="E15786" t="s">
        <v>48267</v>
      </c>
      <c r="F15786" t="s">
        <v>48268</v>
      </c>
      <c r="I15786" t="s">
        <v>29</v>
      </c>
      <c r="J15786" t="s">
        <v>30</v>
      </c>
      <c r="K15786" t="s">
        <v>46762</v>
      </c>
      <c r="M15786" t="s">
        <v>17861</v>
      </c>
      <c r="N15786" t="str">
        <f>"9/16/2021 9:14:00 AM"</f>
        <v>9/16/2021 9:14:00 AM</v>
      </c>
      <c r="O15786" t="s">
        <v>48266</v>
      </c>
      <c r="T15786" t="s">
        <v>48267</v>
      </c>
    </row>
    <row r="15787" spans="1:20" x14ac:dyDescent="0.25">
      <c r="A15787" t="str">
        <f>"3078213"</f>
        <v>3078213</v>
      </c>
      <c r="B15787" t="s">
        <v>48271</v>
      </c>
      <c r="C15787" t="str">
        <f>"8316375"</f>
        <v>8316375</v>
      </c>
      <c r="D15787" t="str">
        <f>"PEOPLES JERRY W/DIANES S"</f>
        <v>PEOPLES JERRY W/DIANES S</v>
      </c>
      <c r="E15787" t="s">
        <v>48272</v>
      </c>
      <c r="F15787" t="s">
        <v>48273</v>
      </c>
      <c r="I15787" t="s">
        <v>1149</v>
      </c>
      <c r="J15787" t="s">
        <v>30</v>
      </c>
      <c r="K15787" t="s">
        <v>48274</v>
      </c>
      <c r="M15787" t="s">
        <v>17861</v>
      </c>
      <c r="N15787" t="str">
        <f>"9/16/2021 9:31:00 AM"</f>
        <v>9/16/2021 9:31:00 AM</v>
      </c>
      <c r="O15787" t="str">
        <f>"PEOPLES JERRY W/DIANES S"</f>
        <v>PEOPLES JERRY W/DIANES S</v>
      </c>
      <c r="T15787" t="s">
        <v>48272</v>
      </c>
    </row>
    <row r="15788" spans="1:20" x14ac:dyDescent="0.25">
      <c r="A15788" t="str">
        <f>"3078214"</f>
        <v>3078214</v>
      </c>
      <c r="B15788" t="s">
        <v>48275</v>
      </c>
      <c r="C15788" t="str">
        <f>"8316375"</f>
        <v>8316375</v>
      </c>
      <c r="D15788" t="str">
        <f>"PEOPLES JERRY W/DIANES S"</f>
        <v>PEOPLES JERRY W/DIANES S</v>
      </c>
      <c r="E15788" t="s">
        <v>48272</v>
      </c>
      <c r="F15788" t="s">
        <v>48273</v>
      </c>
      <c r="I15788" t="s">
        <v>1149</v>
      </c>
      <c r="J15788" t="s">
        <v>30</v>
      </c>
      <c r="K15788" t="s">
        <v>48274</v>
      </c>
      <c r="M15788" t="s">
        <v>17861</v>
      </c>
      <c r="N15788" t="str">
        <f>"9/16/2021 9:31:00 AM"</f>
        <v>9/16/2021 9:31:00 AM</v>
      </c>
      <c r="O15788" t="str">
        <f>"PEOPLES JERRY W/DIANES S"</f>
        <v>PEOPLES JERRY W/DIANES S</v>
      </c>
      <c r="T15788" t="s">
        <v>48272</v>
      </c>
    </row>
    <row r="15789" spans="1:20" x14ac:dyDescent="0.25">
      <c r="A15789" t="str">
        <f>"3048255"</f>
        <v>3048255</v>
      </c>
      <c r="B15789" t="s">
        <v>48276</v>
      </c>
      <c r="C15789" t="str">
        <f>"8316375"</f>
        <v>8316375</v>
      </c>
      <c r="D15789" t="str">
        <f>"PEOPLES JERRY W/DIANES S"</f>
        <v>PEOPLES JERRY W/DIANES S</v>
      </c>
      <c r="E15789" t="s">
        <v>48272</v>
      </c>
      <c r="F15789" t="s">
        <v>48273</v>
      </c>
      <c r="I15789" t="s">
        <v>1149</v>
      </c>
      <c r="J15789" t="s">
        <v>30</v>
      </c>
      <c r="K15789" t="s">
        <v>48274</v>
      </c>
      <c r="M15789" t="s">
        <v>17861</v>
      </c>
      <c r="N15789" t="str">
        <f>"9/16/2021 9:31:00 AM"</f>
        <v>9/16/2021 9:31:00 AM</v>
      </c>
      <c r="O15789" t="str">
        <f>"PEOPLES JERRY W/DIANES S"</f>
        <v>PEOPLES JERRY W/DIANES S</v>
      </c>
      <c r="T15789" t="s">
        <v>48272</v>
      </c>
    </row>
    <row r="15790" spans="1:20" x14ac:dyDescent="0.25">
      <c r="A15790" t="str">
        <f>"3047575"</f>
        <v>3047575</v>
      </c>
      <c r="B15790" t="s">
        <v>48277</v>
      </c>
      <c r="C15790" t="str">
        <f>"8316375"</f>
        <v>8316375</v>
      </c>
      <c r="D15790" t="str">
        <f>"PEOPLES JERRY W/DIANES S"</f>
        <v>PEOPLES JERRY W/DIANES S</v>
      </c>
      <c r="E15790" t="s">
        <v>48272</v>
      </c>
      <c r="F15790" t="s">
        <v>48273</v>
      </c>
      <c r="I15790" t="s">
        <v>1149</v>
      </c>
      <c r="J15790" t="s">
        <v>30</v>
      </c>
      <c r="K15790" t="s">
        <v>48274</v>
      </c>
      <c r="M15790" t="s">
        <v>17861</v>
      </c>
      <c r="N15790" t="str">
        <f>"9/16/2021 9:31:00 AM"</f>
        <v>9/16/2021 9:31:00 AM</v>
      </c>
      <c r="O15790" t="str">
        <f>"PEOPLES JERRY W/DIANES S"</f>
        <v>PEOPLES JERRY W/DIANES S</v>
      </c>
      <c r="T15790" t="s">
        <v>48272</v>
      </c>
    </row>
    <row r="15791" spans="1:20" x14ac:dyDescent="0.25">
      <c r="A15791" t="str">
        <f>"3059578"</f>
        <v>3059578</v>
      </c>
      <c r="B15791" t="s">
        <v>48278</v>
      </c>
      <c r="C15791" t="str">
        <f>"8316376"</f>
        <v>8316376</v>
      </c>
      <c r="D15791" t="s">
        <v>48279</v>
      </c>
      <c r="E15791" t="s">
        <v>48280</v>
      </c>
      <c r="F15791" t="s">
        <v>48281</v>
      </c>
      <c r="I15791" t="s">
        <v>29</v>
      </c>
      <c r="J15791" t="s">
        <v>30</v>
      </c>
      <c r="K15791" t="s">
        <v>13405</v>
      </c>
      <c r="M15791" t="s">
        <v>17861</v>
      </c>
      <c r="N15791" t="str">
        <f>"9/16/2021 9:39:00 AM"</f>
        <v>9/16/2021 9:39:00 AM</v>
      </c>
      <c r="O15791" t="s">
        <v>48279</v>
      </c>
      <c r="T15791" t="s">
        <v>48280</v>
      </c>
    </row>
    <row r="15792" spans="1:20" x14ac:dyDescent="0.25">
      <c r="A15792" t="str">
        <f>"3053175"</f>
        <v>3053175</v>
      </c>
      <c r="B15792" t="s">
        <v>48282</v>
      </c>
      <c r="C15792" t="str">
        <f>"8316378"</f>
        <v>8316378</v>
      </c>
      <c r="D15792" t="s">
        <v>48283</v>
      </c>
      <c r="E15792" t="s">
        <v>48284</v>
      </c>
      <c r="F15792" t="s">
        <v>48285</v>
      </c>
      <c r="I15792" t="s">
        <v>29</v>
      </c>
      <c r="J15792" t="s">
        <v>30</v>
      </c>
      <c r="K15792" t="s">
        <v>48286</v>
      </c>
      <c r="M15792" t="s">
        <v>17861</v>
      </c>
      <c r="N15792" t="str">
        <f>"9/16/2021 10:10:00 AM"</f>
        <v>9/16/2021 10:10:00 AM</v>
      </c>
      <c r="O15792" t="s">
        <v>48283</v>
      </c>
      <c r="T15792" t="s">
        <v>48284</v>
      </c>
    </row>
    <row r="15793" spans="1:20" x14ac:dyDescent="0.25">
      <c r="A15793" t="str">
        <f>"3058293"</f>
        <v>3058293</v>
      </c>
      <c r="B15793" t="s">
        <v>48287</v>
      </c>
      <c r="C15793" t="str">
        <f>"8316381"</f>
        <v>8316381</v>
      </c>
      <c r="D15793" t="s">
        <v>48288</v>
      </c>
      <c r="E15793" t="s">
        <v>48289</v>
      </c>
      <c r="F15793" t="s">
        <v>48290</v>
      </c>
      <c r="I15793" t="s">
        <v>29</v>
      </c>
      <c r="J15793" t="s">
        <v>30</v>
      </c>
      <c r="K15793" t="s">
        <v>20338</v>
      </c>
      <c r="M15793" t="s">
        <v>17861</v>
      </c>
      <c r="N15793" t="str">
        <f>"9/16/2021 10:31:00 AM"</f>
        <v>9/16/2021 10:31:00 AM</v>
      </c>
      <c r="O15793" t="s">
        <v>48288</v>
      </c>
      <c r="T15793" t="s">
        <v>48289</v>
      </c>
    </row>
    <row r="15794" spans="1:20" x14ac:dyDescent="0.25">
      <c r="A15794" t="str">
        <f>"3071028"</f>
        <v>3071028</v>
      </c>
      <c r="B15794" t="s">
        <v>48291</v>
      </c>
      <c r="C15794" t="str">
        <f>"8316382"</f>
        <v>8316382</v>
      </c>
      <c r="D15794" t="s">
        <v>48292</v>
      </c>
      <c r="F15794" t="s">
        <v>48293</v>
      </c>
      <c r="I15794" t="s">
        <v>29</v>
      </c>
      <c r="J15794" t="s">
        <v>30</v>
      </c>
      <c r="K15794" t="s">
        <v>48294</v>
      </c>
      <c r="M15794" t="s">
        <v>17861</v>
      </c>
      <c r="N15794" t="str">
        <f>"9/16/2021 10:35:00 AM"</f>
        <v>9/16/2021 10:35:00 AM</v>
      </c>
      <c r="O15794" t="s">
        <v>48292</v>
      </c>
    </row>
    <row r="15795" spans="1:20" x14ac:dyDescent="0.25">
      <c r="A15795" t="str">
        <f>"3057969"</f>
        <v>3057969</v>
      </c>
      <c r="B15795" t="s">
        <v>48295</v>
      </c>
      <c r="C15795" t="str">
        <f>"8316383"</f>
        <v>8316383</v>
      </c>
      <c r="D15795" t="s">
        <v>48296</v>
      </c>
      <c r="E15795" t="s">
        <v>48297</v>
      </c>
      <c r="F15795" t="s">
        <v>48298</v>
      </c>
      <c r="I15795" t="s">
        <v>29</v>
      </c>
      <c r="J15795" t="s">
        <v>30</v>
      </c>
      <c r="K15795" t="s">
        <v>48299</v>
      </c>
      <c r="M15795" t="s">
        <v>17861</v>
      </c>
      <c r="N15795" t="str">
        <f>"9/16/2021 10:45:00 AM"</f>
        <v>9/16/2021 10:45:00 AM</v>
      </c>
      <c r="O15795" t="s">
        <v>48296</v>
      </c>
      <c r="T15795" t="s">
        <v>48297</v>
      </c>
    </row>
    <row r="15796" spans="1:20" x14ac:dyDescent="0.25">
      <c r="A15796" t="str">
        <f>"3051345"</f>
        <v>3051345</v>
      </c>
      <c r="B15796" t="s">
        <v>48300</v>
      </c>
      <c r="C15796" t="str">
        <f>"8316385"</f>
        <v>8316385</v>
      </c>
      <c r="D15796" t="s">
        <v>48301</v>
      </c>
      <c r="E15796" t="s">
        <v>48302</v>
      </c>
      <c r="F15796" t="s">
        <v>48303</v>
      </c>
      <c r="I15796" t="s">
        <v>37425</v>
      </c>
      <c r="J15796" t="s">
        <v>30</v>
      </c>
      <c r="K15796" t="s">
        <v>48304</v>
      </c>
      <c r="M15796" t="s">
        <v>17861</v>
      </c>
      <c r="N15796" t="str">
        <f>"9/16/2021 10:50:00 AM"</f>
        <v>9/16/2021 10:50:00 AM</v>
      </c>
      <c r="O15796" t="s">
        <v>48301</v>
      </c>
      <c r="T15796" t="s">
        <v>48302</v>
      </c>
    </row>
    <row r="15797" spans="1:20" x14ac:dyDescent="0.25">
      <c r="A15797" t="str">
        <f>"3051163"</f>
        <v>3051163</v>
      </c>
      <c r="B15797" t="s">
        <v>48305</v>
      </c>
      <c r="C15797" t="str">
        <f>"8316385"</f>
        <v>8316385</v>
      </c>
      <c r="D15797" t="s">
        <v>48301</v>
      </c>
      <c r="E15797" t="s">
        <v>48302</v>
      </c>
      <c r="F15797" t="s">
        <v>48303</v>
      </c>
      <c r="I15797" t="s">
        <v>37425</v>
      </c>
      <c r="J15797" t="s">
        <v>30</v>
      </c>
      <c r="K15797" t="s">
        <v>48304</v>
      </c>
      <c r="M15797" t="s">
        <v>17861</v>
      </c>
      <c r="N15797" t="str">
        <f>"9/16/2021 10:50:00 AM"</f>
        <v>9/16/2021 10:50:00 AM</v>
      </c>
      <c r="O15797" t="s">
        <v>48301</v>
      </c>
      <c r="T15797" t="s">
        <v>48302</v>
      </c>
    </row>
    <row r="15798" spans="1:20" x14ac:dyDescent="0.25">
      <c r="A15798" t="str">
        <f>"3051190"</f>
        <v>3051190</v>
      </c>
      <c r="B15798" t="s">
        <v>48306</v>
      </c>
      <c r="C15798" t="str">
        <f>"8316385"</f>
        <v>8316385</v>
      </c>
      <c r="D15798" t="s">
        <v>48301</v>
      </c>
      <c r="E15798" t="s">
        <v>48302</v>
      </c>
      <c r="F15798" t="s">
        <v>48303</v>
      </c>
      <c r="I15798" t="s">
        <v>37425</v>
      </c>
      <c r="J15798" t="s">
        <v>30</v>
      </c>
      <c r="K15798" t="s">
        <v>48304</v>
      </c>
      <c r="M15798" t="s">
        <v>17861</v>
      </c>
      <c r="N15798" t="str">
        <f>"9/16/2021 10:50:00 AM"</f>
        <v>9/16/2021 10:50:00 AM</v>
      </c>
      <c r="O15798" t="s">
        <v>48301</v>
      </c>
      <c r="T15798" t="s">
        <v>48302</v>
      </c>
    </row>
    <row r="15799" spans="1:20" x14ac:dyDescent="0.25">
      <c r="A15799" t="str">
        <f>"3051876"</f>
        <v>3051876</v>
      </c>
      <c r="B15799" t="s">
        <v>48307</v>
      </c>
      <c r="C15799" t="str">
        <f>"8314420"</f>
        <v>8314420</v>
      </c>
      <c r="D15799" t="s">
        <v>48308</v>
      </c>
      <c r="F15799" t="s">
        <v>48309</v>
      </c>
      <c r="I15799" t="s">
        <v>29</v>
      </c>
      <c r="J15799" t="s">
        <v>30</v>
      </c>
      <c r="K15799" t="s">
        <v>48310</v>
      </c>
      <c r="M15799" t="s">
        <v>25733</v>
      </c>
      <c r="N15799" t="str">
        <f>"9/13/2021 8:38:00 AM"</f>
        <v>9/13/2021 8:38:00 AM</v>
      </c>
      <c r="O15799" t="s">
        <v>48308</v>
      </c>
    </row>
    <row r="15800" spans="1:20" x14ac:dyDescent="0.25">
      <c r="A15800" t="str">
        <f>"3061511"</f>
        <v>3061511</v>
      </c>
      <c r="B15800" t="s">
        <v>48311</v>
      </c>
      <c r="C15800" t="str">
        <f>"8316389"</f>
        <v>8316389</v>
      </c>
      <c r="D15800" t="s">
        <v>48312</v>
      </c>
      <c r="F15800" t="s">
        <v>48313</v>
      </c>
      <c r="I15800" t="s">
        <v>184</v>
      </c>
      <c r="J15800" t="s">
        <v>30</v>
      </c>
      <c r="K15800" t="s">
        <v>2013</v>
      </c>
      <c r="M15800" t="s">
        <v>17861</v>
      </c>
      <c r="N15800" t="str">
        <f>"9/16/2021 12:24:00 PM"</f>
        <v>9/16/2021 12:24:00 PM</v>
      </c>
      <c r="O15800" t="s">
        <v>48312</v>
      </c>
    </row>
    <row r="15801" spans="1:20" x14ac:dyDescent="0.25">
      <c r="A15801" t="str">
        <f>"3059250"</f>
        <v>3059250</v>
      </c>
      <c r="B15801" t="s">
        <v>48314</v>
      </c>
      <c r="C15801" t="str">
        <f>"8316392"</f>
        <v>8316392</v>
      </c>
      <c r="D15801" t="s">
        <v>48315</v>
      </c>
      <c r="F15801" t="s">
        <v>48316</v>
      </c>
      <c r="I15801" t="s">
        <v>29</v>
      </c>
      <c r="J15801" t="s">
        <v>30</v>
      </c>
      <c r="K15801" t="s">
        <v>44948</v>
      </c>
      <c r="M15801" t="s">
        <v>17861</v>
      </c>
      <c r="N15801" t="str">
        <f>"9/16/2021 12:44:00 PM"</f>
        <v>9/16/2021 12:44:00 PM</v>
      </c>
      <c r="O15801" t="s">
        <v>48315</v>
      </c>
    </row>
    <row r="15802" spans="1:20" x14ac:dyDescent="0.25">
      <c r="A15802" t="str">
        <f>"3054259"</f>
        <v>3054259</v>
      </c>
      <c r="B15802" t="s">
        <v>48317</v>
      </c>
      <c r="C15802" t="str">
        <f>"8316393"</f>
        <v>8316393</v>
      </c>
      <c r="D15802" t="s">
        <v>48318</v>
      </c>
      <c r="F15802" t="s">
        <v>48319</v>
      </c>
      <c r="I15802" t="s">
        <v>29</v>
      </c>
      <c r="J15802" t="s">
        <v>30</v>
      </c>
      <c r="K15802" t="str">
        <f>"27028"</f>
        <v>27028</v>
      </c>
      <c r="M15802" t="s">
        <v>17861</v>
      </c>
      <c r="N15802" t="str">
        <f>"9/16/2021 12:48:00 PM"</f>
        <v>9/16/2021 12:48:00 PM</v>
      </c>
      <c r="O15802" t="s">
        <v>48318</v>
      </c>
    </row>
    <row r="15803" spans="1:20" x14ac:dyDescent="0.25">
      <c r="A15803" t="str">
        <f>"3052293"</f>
        <v>3052293</v>
      </c>
      <c r="B15803" t="s">
        <v>48320</v>
      </c>
      <c r="C15803" t="str">
        <f>"63614870"</f>
        <v>63614870</v>
      </c>
      <c r="D15803" t="s">
        <v>48321</v>
      </c>
      <c r="F15803" t="s">
        <v>48322</v>
      </c>
      <c r="I15803" t="s">
        <v>29</v>
      </c>
      <c r="J15803" t="s">
        <v>30</v>
      </c>
      <c r="K15803" t="s">
        <v>31</v>
      </c>
      <c r="M15803" t="s">
        <v>33845</v>
      </c>
      <c r="N15803" t="str">
        <f>"9/13/2021 10:36:00 AM"</f>
        <v>9/13/2021 10:36:00 AM</v>
      </c>
      <c r="O15803" t="s">
        <v>48321</v>
      </c>
    </row>
    <row r="15804" spans="1:20" x14ac:dyDescent="0.25">
      <c r="A15804" t="str">
        <f>"3057820"</f>
        <v>3057820</v>
      </c>
      <c r="B15804" t="s">
        <v>48323</v>
      </c>
      <c r="C15804" t="str">
        <f>"8316398"</f>
        <v>8316398</v>
      </c>
      <c r="D15804" t="s">
        <v>48324</v>
      </c>
      <c r="E15804" t="s">
        <v>48325</v>
      </c>
      <c r="F15804" t="s">
        <v>48326</v>
      </c>
      <c r="I15804" t="s">
        <v>184</v>
      </c>
      <c r="J15804" t="s">
        <v>30</v>
      </c>
      <c r="K15804" t="s">
        <v>34736</v>
      </c>
      <c r="M15804" t="s">
        <v>17861</v>
      </c>
      <c r="N15804" t="str">
        <f>"9/16/2021 2:26:00 PM"</f>
        <v>9/16/2021 2:26:00 PM</v>
      </c>
      <c r="O15804" t="s">
        <v>48324</v>
      </c>
      <c r="T15804" t="s">
        <v>48325</v>
      </c>
    </row>
    <row r="15805" spans="1:20" x14ac:dyDescent="0.25">
      <c r="A15805" t="str">
        <f>"3062455"</f>
        <v>3062455</v>
      </c>
      <c r="B15805" t="s">
        <v>48327</v>
      </c>
      <c r="C15805" t="str">
        <f>"8316399"</f>
        <v>8316399</v>
      </c>
      <c r="D15805" t="s">
        <v>48328</v>
      </c>
      <c r="E15805" t="s">
        <v>48329</v>
      </c>
      <c r="F15805" t="s">
        <v>48330</v>
      </c>
      <c r="I15805" t="s">
        <v>2071</v>
      </c>
      <c r="J15805" t="s">
        <v>30</v>
      </c>
      <c r="K15805" t="s">
        <v>35875</v>
      </c>
      <c r="M15805" t="s">
        <v>17861</v>
      </c>
      <c r="N15805" t="str">
        <f>"9/16/2021 2:30:00 PM"</f>
        <v>9/16/2021 2:30:00 PM</v>
      </c>
      <c r="O15805" t="s">
        <v>48328</v>
      </c>
      <c r="T15805" t="s">
        <v>48329</v>
      </c>
    </row>
    <row r="15806" spans="1:20" x14ac:dyDescent="0.25">
      <c r="A15806" t="str">
        <f>"3054106"</f>
        <v>3054106</v>
      </c>
      <c r="B15806" t="s">
        <v>48331</v>
      </c>
      <c r="C15806" t="str">
        <f>"8316400"</f>
        <v>8316400</v>
      </c>
      <c r="D15806" t="s">
        <v>48332</v>
      </c>
      <c r="E15806" t="s">
        <v>48333</v>
      </c>
      <c r="F15806" t="s">
        <v>48334</v>
      </c>
      <c r="I15806" t="s">
        <v>29</v>
      </c>
      <c r="J15806" t="s">
        <v>30</v>
      </c>
      <c r="K15806" t="s">
        <v>15199</v>
      </c>
      <c r="M15806" t="s">
        <v>17861</v>
      </c>
      <c r="N15806" t="str">
        <f>"9/16/2021 2:40:00 PM"</f>
        <v>9/16/2021 2:40:00 PM</v>
      </c>
      <c r="O15806" t="s">
        <v>48332</v>
      </c>
      <c r="T15806" t="s">
        <v>48333</v>
      </c>
    </row>
    <row r="15807" spans="1:20" x14ac:dyDescent="0.25">
      <c r="A15807" t="str">
        <f>"3041846"</f>
        <v>3041846</v>
      </c>
      <c r="B15807" t="s">
        <v>48335</v>
      </c>
      <c r="C15807" t="str">
        <f>"8316402"</f>
        <v>8316402</v>
      </c>
      <c r="D15807" t="s">
        <v>48336</v>
      </c>
      <c r="E15807" t="s">
        <v>48337</v>
      </c>
      <c r="F15807" t="s">
        <v>48338</v>
      </c>
      <c r="I15807" t="s">
        <v>2071</v>
      </c>
      <c r="J15807" t="s">
        <v>30</v>
      </c>
      <c r="K15807" t="s">
        <v>42173</v>
      </c>
      <c r="M15807" t="s">
        <v>17861</v>
      </c>
      <c r="N15807" t="str">
        <f>"9/16/2021 3:04:00 PM"</f>
        <v>9/16/2021 3:04:00 PM</v>
      </c>
      <c r="O15807" t="s">
        <v>48336</v>
      </c>
      <c r="T15807" t="s">
        <v>48337</v>
      </c>
    </row>
    <row r="15808" spans="1:20" x14ac:dyDescent="0.25">
      <c r="A15808" t="str">
        <f>"3049735"</f>
        <v>3049735</v>
      </c>
      <c r="B15808" t="s">
        <v>48339</v>
      </c>
      <c r="C15808" t="str">
        <f>"8316404"</f>
        <v>8316404</v>
      </c>
      <c r="D15808" t="s">
        <v>48340</v>
      </c>
      <c r="E15808" t="s">
        <v>48341</v>
      </c>
      <c r="F15808" t="s">
        <v>48342</v>
      </c>
      <c r="I15808" t="s">
        <v>29</v>
      </c>
      <c r="J15808" t="s">
        <v>30</v>
      </c>
      <c r="K15808" t="s">
        <v>34638</v>
      </c>
      <c r="M15808" t="s">
        <v>17861</v>
      </c>
      <c r="N15808" t="str">
        <f>"9/16/2021 3:27:00 PM"</f>
        <v>9/16/2021 3:27:00 PM</v>
      </c>
      <c r="O15808" t="s">
        <v>48340</v>
      </c>
      <c r="T15808" t="s">
        <v>48341</v>
      </c>
    </row>
    <row r="15809" spans="1:20" x14ac:dyDescent="0.25">
      <c r="A15809" t="str">
        <f>"3055531"</f>
        <v>3055531</v>
      </c>
      <c r="B15809" t="s">
        <v>48343</v>
      </c>
      <c r="C15809" t="str">
        <f>"8316405"</f>
        <v>8316405</v>
      </c>
      <c r="D15809" t="s">
        <v>48344</v>
      </c>
      <c r="E15809" t="s">
        <v>48345</v>
      </c>
      <c r="F15809" t="s">
        <v>48346</v>
      </c>
      <c r="I15809" t="s">
        <v>29</v>
      </c>
      <c r="J15809" t="s">
        <v>30</v>
      </c>
      <c r="K15809" t="s">
        <v>24616</v>
      </c>
      <c r="M15809" t="s">
        <v>17861</v>
      </c>
      <c r="N15809" t="str">
        <f>"9/16/2021 3:44:00 PM"</f>
        <v>9/16/2021 3:44:00 PM</v>
      </c>
      <c r="O15809" t="s">
        <v>48344</v>
      </c>
      <c r="T15809" t="s">
        <v>48345</v>
      </c>
    </row>
    <row r="15810" spans="1:20" x14ac:dyDescent="0.25">
      <c r="A15810" t="str">
        <f>"3041257"</f>
        <v>3041257</v>
      </c>
      <c r="B15810" t="s">
        <v>48347</v>
      </c>
      <c r="C15810" t="str">
        <f>"8316406"</f>
        <v>8316406</v>
      </c>
      <c r="D15810" t="s">
        <v>48348</v>
      </c>
      <c r="F15810" t="s">
        <v>48349</v>
      </c>
      <c r="I15810" t="s">
        <v>8536</v>
      </c>
      <c r="J15810" t="s">
        <v>30</v>
      </c>
      <c r="K15810" t="s">
        <v>48350</v>
      </c>
      <c r="M15810" t="s">
        <v>17861</v>
      </c>
      <c r="N15810" t="str">
        <f>"9/16/2021 3:50:00 PM"</f>
        <v>9/16/2021 3:50:00 PM</v>
      </c>
      <c r="O15810" t="s">
        <v>48348</v>
      </c>
    </row>
    <row r="15811" spans="1:20" x14ac:dyDescent="0.25">
      <c r="A15811" t="str">
        <f>"3059091"</f>
        <v>3059091</v>
      </c>
      <c r="B15811" t="s">
        <v>48351</v>
      </c>
      <c r="C15811" t="str">
        <f>"8316407"</f>
        <v>8316407</v>
      </c>
      <c r="D15811" t="s">
        <v>48352</v>
      </c>
      <c r="E15811" t="s">
        <v>48353</v>
      </c>
      <c r="F15811" t="s">
        <v>48354</v>
      </c>
      <c r="I15811" t="s">
        <v>48355</v>
      </c>
      <c r="J15811" t="s">
        <v>11697</v>
      </c>
      <c r="K15811" t="s">
        <v>48356</v>
      </c>
      <c r="M15811" t="s">
        <v>17861</v>
      </c>
      <c r="N15811" t="str">
        <f>"9/16/2021 3:53:00 PM"</f>
        <v>9/16/2021 3:53:00 PM</v>
      </c>
      <c r="O15811" t="s">
        <v>48352</v>
      </c>
      <c r="T15811" t="s">
        <v>48353</v>
      </c>
    </row>
    <row r="15812" spans="1:20" x14ac:dyDescent="0.25">
      <c r="A15812" t="str">
        <f>"3043390"</f>
        <v>3043390</v>
      </c>
      <c r="B15812" t="s">
        <v>48357</v>
      </c>
      <c r="C15812" t="str">
        <f>"8316409"</f>
        <v>8316409</v>
      </c>
      <c r="D15812" t="s">
        <v>48358</v>
      </c>
      <c r="E15812" t="s">
        <v>48359</v>
      </c>
      <c r="F15812" t="s">
        <v>48360</v>
      </c>
      <c r="I15812" t="s">
        <v>29</v>
      </c>
      <c r="J15812" t="s">
        <v>30</v>
      </c>
      <c r="K15812" t="s">
        <v>24269</v>
      </c>
      <c r="M15812" t="s">
        <v>17861</v>
      </c>
      <c r="N15812" t="str">
        <f>"9/16/2021 3:58:00 PM"</f>
        <v>9/16/2021 3:58:00 PM</v>
      </c>
      <c r="O15812" t="s">
        <v>48358</v>
      </c>
      <c r="T15812" t="s">
        <v>48359</v>
      </c>
    </row>
    <row r="15813" spans="1:20" x14ac:dyDescent="0.25">
      <c r="A15813" t="str">
        <f>"3043790"</f>
        <v>3043790</v>
      </c>
      <c r="B15813" t="s">
        <v>48361</v>
      </c>
      <c r="C15813" t="str">
        <f>"8316410"</f>
        <v>8316410</v>
      </c>
      <c r="D15813" t="s">
        <v>48362</v>
      </c>
      <c r="E15813" t="s">
        <v>48363</v>
      </c>
      <c r="F15813" t="s">
        <v>48364</v>
      </c>
      <c r="I15813" t="s">
        <v>29</v>
      </c>
      <c r="J15813" t="s">
        <v>30</v>
      </c>
      <c r="K15813" t="s">
        <v>48365</v>
      </c>
      <c r="M15813" t="s">
        <v>17861</v>
      </c>
      <c r="N15813" t="str">
        <f>"9/16/2021 4:00:00 PM"</f>
        <v>9/16/2021 4:00:00 PM</v>
      </c>
      <c r="O15813" t="s">
        <v>48362</v>
      </c>
      <c r="T15813" t="s">
        <v>48363</v>
      </c>
    </row>
    <row r="15814" spans="1:20" x14ac:dyDescent="0.25">
      <c r="A15814" t="str">
        <f>"3052927"</f>
        <v>3052927</v>
      </c>
      <c r="B15814" t="s">
        <v>48366</v>
      </c>
      <c r="C15814" t="str">
        <f>"63614870"</f>
        <v>63614870</v>
      </c>
      <c r="D15814" t="s">
        <v>48321</v>
      </c>
      <c r="F15814" t="s">
        <v>48322</v>
      </c>
      <c r="I15814" t="s">
        <v>29</v>
      </c>
      <c r="J15814" t="s">
        <v>30</v>
      </c>
      <c r="K15814" t="s">
        <v>31</v>
      </c>
      <c r="M15814" t="s">
        <v>33845</v>
      </c>
      <c r="N15814" t="str">
        <f>"9/13/2021 10:36:00 AM"</f>
        <v>9/13/2021 10:36:00 AM</v>
      </c>
      <c r="O15814" t="s">
        <v>48321</v>
      </c>
    </row>
    <row r="15815" spans="1:20" x14ac:dyDescent="0.25">
      <c r="A15815" t="str">
        <f>"3058137"</f>
        <v>3058137</v>
      </c>
      <c r="B15815" t="s">
        <v>48367</v>
      </c>
      <c r="C15815" t="str">
        <f>"8316346"</f>
        <v>8316346</v>
      </c>
      <c r="D15815" t="s">
        <v>48368</v>
      </c>
      <c r="F15815" t="s">
        <v>48369</v>
      </c>
      <c r="I15815" t="s">
        <v>184</v>
      </c>
      <c r="J15815" t="s">
        <v>30</v>
      </c>
      <c r="K15815" t="s">
        <v>35466</v>
      </c>
      <c r="M15815" t="s">
        <v>17861</v>
      </c>
      <c r="N15815" t="str">
        <f>"9/13/2021 12:07:00 PM"</f>
        <v>9/13/2021 12:07:00 PM</v>
      </c>
      <c r="O15815" t="s">
        <v>48368</v>
      </c>
    </row>
    <row r="15816" spans="1:20" x14ac:dyDescent="0.25">
      <c r="A15816" t="str">
        <f>"3038104"</f>
        <v>3038104</v>
      </c>
      <c r="B15816" t="s">
        <v>48370</v>
      </c>
      <c r="C15816" t="str">
        <f>"8316416"</f>
        <v>8316416</v>
      </c>
      <c r="D15816" t="s">
        <v>48371</v>
      </c>
      <c r="E15816" t="s">
        <v>48372</v>
      </c>
      <c r="F15816" t="s">
        <v>48373</v>
      </c>
      <c r="I15816" t="s">
        <v>29</v>
      </c>
      <c r="J15816" t="s">
        <v>30</v>
      </c>
      <c r="K15816" t="s">
        <v>28265</v>
      </c>
      <c r="M15816" t="s">
        <v>17861</v>
      </c>
      <c r="N15816" t="str">
        <f>"9/16/2021 4:23:00 PM"</f>
        <v>9/16/2021 4:23:00 PM</v>
      </c>
      <c r="O15816" t="s">
        <v>48371</v>
      </c>
      <c r="T15816" t="s">
        <v>48372</v>
      </c>
    </row>
    <row r="15817" spans="1:20" x14ac:dyDescent="0.25">
      <c r="A15817" t="str">
        <f>"3061620"</f>
        <v>3061620</v>
      </c>
      <c r="B15817" t="s">
        <v>48374</v>
      </c>
      <c r="C15817" t="str">
        <f>"8316417"</f>
        <v>8316417</v>
      </c>
      <c r="D15817" t="s">
        <v>48375</v>
      </c>
      <c r="F15817" t="s">
        <v>48376</v>
      </c>
      <c r="I15817" t="s">
        <v>29</v>
      </c>
      <c r="J15817" t="s">
        <v>30</v>
      </c>
      <c r="K15817" t="s">
        <v>37747</v>
      </c>
      <c r="M15817" t="s">
        <v>17861</v>
      </c>
      <c r="N15817" t="str">
        <f>"9/16/2021 4:27:00 PM"</f>
        <v>9/16/2021 4:27:00 PM</v>
      </c>
      <c r="O15817" t="s">
        <v>48375</v>
      </c>
    </row>
    <row r="15818" spans="1:20" x14ac:dyDescent="0.25">
      <c r="A15818" t="str">
        <f>"3059507"</f>
        <v>3059507</v>
      </c>
      <c r="B15818" t="s">
        <v>48377</v>
      </c>
      <c r="C15818" t="str">
        <f>"8316418"</f>
        <v>8316418</v>
      </c>
      <c r="D15818" t="s">
        <v>48378</v>
      </c>
      <c r="E15818" t="s">
        <v>48379</v>
      </c>
      <c r="F15818" t="s">
        <v>48380</v>
      </c>
      <c r="I15818" t="s">
        <v>29</v>
      </c>
      <c r="J15818" t="s">
        <v>30</v>
      </c>
      <c r="K15818" t="s">
        <v>16139</v>
      </c>
      <c r="M15818" t="s">
        <v>17861</v>
      </c>
      <c r="N15818" t="str">
        <f>"9/16/2021 4:30:00 PM"</f>
        <v>9/16/2021 4:30:00 PM</v>
      </c>
      <c r="O15818" t="s">
        <v>48378</v>
      </c>
      <c r="T15818" t="s">
        <v>48379</v>
      </c>
    </row>
    <row r="15819" spans="1:20" x14ac:dyDescent="0.25">
      <c r="A15819" t="str">
        <f>"3070239"</f>
        <v>3070239</v>
      </c>
      <c r="B15819" t="s">
        <v>48381</v>
      </c>
      <c r="C15819" t="str">
        <f>"8316419"</f>
        <v>8316419</v>
      </c>
      <c r="D15819" t="s">
        <v>48382</v>
      </c>
      <c r="E15819" t="s">
        <v>48383</v>
      </c>
      <c r="F15819" t="s">
        <v>48384</v>
      </c>
      <c r="I15819" t="s">
        <v>184</v>
      </c>
      <c r="J15819" t="s">
        <v>30</v>
      </c>
      <c r="K15819" t="s">
        <v>819</v>
      </c>
      <c r="M15819" t="s">
        <v>17861</v>
      </c>
      <c r="N15819" t="str">
        <f>"9/16/2021 4:32:00 PM"</f>
        <v>9/16/2021 4:32:00 PM</v>
      </c>
      <c r="O15819" t="s">
        <v>48382</v>
      </c>
      <c r="T15819" t="s">
        <v>48383</v>
      </c>
    </row>
    <row r="15820" spans="1:20" x14ac:dyDescent="0.25">
      <c r="A15820" t="str">
        <f>"3060458"</f>
        <v>3060458</v>
      </c>
      <c r="B15820" t="s">
        <v>48385</v>
      </c>
      <c r="C15820" t="str">
        <f>"8316347"</f>
        <v>8316347</v>
      </c>
      <c r="D15820" t="s">
        <v>48386</v>
      </c>
      <c r="F15820" t="s">
        <v>48387</v>
      </c>
      <c r="I15820" t="s">
        <v>29</v>
      </c>
      <c r="J15820" t="s">
        <v>30</v>
      </c>
      <c r="K15820" t="s">
        <v>20431</v>
      </c>
      <c r="M15820" t="s">
        <v>17861</v>
      </c>
      <c r="N15820" t="str">
        <f>"9/13/2021 12:24:00 PM"</f>
        <v>9/13/2021 12:24:00 PM</v>
      </c>
      <c r="O15820" t="s">
        <v>48386</v>
      </c>
    </row>
    <row r="15821" spans="1:20" x14ac:dyDescent="0.25">
      <c r="A15821" t="str">
        <f>"3045760"</f>
        <v>3045760</v>
      </c>
      <c r="B15821" t="s">
        <v>48388</v>
      </c>
      <c r="C15821" t="str">
        <f>"8311814"</f>
        <v>8311814</v>
      </c>
      <c r="D15821" t="str">
        <f>"SPRINDIS STEPHEN W/MARLANA J"</f>
        <v>SPRINDIS STEPHEN W/MARLANA J</v>
      </c>
      <c r="E15821" t="s">
        <v>48389</v>
      </c>
      <c r="F15821" t="s">
        <v>48390</v>
      </c>
      <c r="I15821" t="s">
        <v>17921</v>
      </c>
      <c r="J15821" t="s">
        <v>30</v>
      </c>
      <c r="K15821" t="str">
        <f>"27028"</f>
        <v>27028</v>
      </c>
      <c r="M15821" t="s">
        <v>25625</v>
      </c>
      <c r="N15821" t="str">
        <f>"9/17/2021 9:51:00 AM"</f>
        <v>9/17/2021 9:51:00 AM</v>
      </c>
      <c r="O15821" t="str">
        <f>"SPRINDIS STEPHEN W/MARLANA J"</f>
        <v>SPRINDIS STEPHEN W/MARLANA J</v>
      </c>
      <c r="T15821" t="s">
        <v>48389</v>
      </c>
    </row>
    <row r="15822" spans="1:20" x14ac:dyDescent="0.25">
      <c r="A15822" t="str">
        <f>"3056828"</f>
        <v>3056828</v>
      </c>
      <c r="B15822" t="s">
        <v>48391</v>
      </c>
      <c r="C15822" t="str">
        <f>"8316420"</f>
        <v>8316420</v>
      </c>
      <c r="D15822" t="s">
        <v>48392</v>
      </c>
      <c r="E15822" t="s">
        <v>48393</v>
      </c>
      <c r="F15822" t="s">
        <v>48394</v>
      </c>
      <c r="I15822" t="s">
        <v>402</v>
      </c>
      <c r="J15822" t="s">
        <v>30</v>
      </c>
      <c r="K15822" t="s">
        <v>48395</v>
      </c>
      <c r="M15822" t="s">
        <v>17861</v>
      </c>
      <c r="N15822" t="str">
        <f>"9/17/2021 11:01:00 AM"</f>
        <v>9/17/2021 11:01:00 AM</v>
      </c>
      <c r="O15822" t="s">
        <v>48392</v>
      </c>
      <c r="T15822" t="s">
        <v>48393</v>
      </c>
    </row>
    <row r="15823" spans="1:20" x14ac:dyDescent="0.25">
      <c r="A15823" t="str">
        <f>"3058856"</f>
        <v>3058856</v>
      </c>
      <c r="B15823" t="s">
        <v>48396</v>
      </c>
      <c r="C15823" t="str">
        <f>"8315942"</f>
        <v>8315942</v>
      </c>
      <c r="D15823" t="s">
        <v>48397</v>
      </c>
      <c r="E15823" t="s">
        <v>48398</v>
      </c>
      <c r="F15823" t="s">
        <v>48399</v>
      </c>
      <c r="I15823" t="s">
        <v>29</v>
      </c>
      <c r="J15823" t="s">
        <v>30</v>
      </c>
      <c r="K15823" t="s">
        <v>33654</v>
      </c>
      <c r="M15823" t="s">
        <v>17861</v>
      </c>
      <c r="N15823" t="str">
        <f>"9/17/2021 11:31:00 AM"</f>
        <v>9/17/2021 11:31:00 AM</v>
      </c>
      <c r="O15823" t="s">
        <v>48397</v>
      </c>
      <c r="T15823" t="s">
        <v>48398</v>
      </c>
    </row>
    <row r="15824" spans="1:20" x14ac:dyDescent="0.25">
      <c r="A15824" t="str">
        <f>"3046782"</f>
        <v>3046782</v>
      </c>
      <c r="B15824" t="s">
        <v>48400</v>
      </c>
      <c r="C15824" t="str">
        <f>"8316421"</f>
        <v>8316421</v>
      </c>
      <c r="D15824" t="s">
        <v>48401</v>
      </c>
      <c r="F15824" t="s">
        <v>48402</v>
      </c>
      <c r="I15824" t="s">
        <v>184</v>
      </c>
      <c r="J15824" t="s">
        <v>30</v>
      </c>
      <c r="K15824" t="s">
        <v>36819</v>
      </c>
      <c r="M15824" t="s">
        <v>17861</v>
      </c>
      <c r="N15824" t="str">
        <f>"9/20/2021 1:53:00 PM"</f>
        <v>9/20/2021 1:53:00 PM</v>
      </c>
      <c r="O15824" t="s">
        <v>48401</v>
      </c>
    </row>
    <row r="15825" spans="1:20" x14ac:dyDescent="0.25">
      <c r="A15825" t="str">
        <f>"3045882"</f>
        <v>3045882</v>
      </c>
      <c r="B15825" t="s">
        <v>48403</v>
      </c>
      <c r="C15825" t="str">
        <f>"8316422"</f>
        <v>8316422</v>
      </c>
      <c r="D15825" t="s">
        <v>48404</v>
      </c>
      <c r="E15825" t="s">
        <v>48405</v>
      </c>
      <c r="F15825" t="s">
        <v>27988</v>
      </c>
      <c r="I15825" t="s">
        <v>29</v>
      </c>
      <c r="J15825" t="s">
        <v>30</v>
      </c>
      <c r="K15825" t="s">
        <v>48406</v>
      </c>
      <c r="M15825" t="s">
        <v>17861</v>
      </c>
      <c r="N15825" t="str">
        <f>"9/20/2021 2:21:00 PM"</f>
        <v>9/20/2021 2:21:00 PM</v>
      </c>
      <c r="O15825" t="s">
        <v>48404</v>
      </c>
      <c r="T15825" t="s">
        <v>48405</v>
      </c>
    </row>
    <row r="15826" spans="1:20" x14ac:dyDescent="0.25">
      <c r="A15826" t="str">
        <f>"3056563"</f>
        <v>3056563</v>
      </c>
      <c r="B15826" t="s">
        <v>48407</v>
      </c>
      <c r="C15826" t="str">
        <f>"8316424"</f>
        <v>8316424</v>
      </c>
      <c r="D15826" t="s">
        <v>48408</v>
      </c>
      <c r="E15826" t="s">
        <v>48409</v>
      </c>
      <c r="F15826" t="s">
        <v>48410</v>
      </c>
      <c r="I15826" t="s">
        <v>25280</v>
      </c>
      <c r="J15826" t="s">
        <v>30</v>
      </c>
      <c r="K15826" t="str">
        <f>"27014"</f>
        <v>27014</v>
      </c>
      <c r="M15826" t="s">
        <v>17861</v>
      </c>
      <c r="N15826" t="str">
        <f>"9/21/2021 10:20:00 AM"</f>
        <v>9/21/2021 10:20:00 AM</v>
      </c>
      <c r="O15826" t="s">
        <v>48408</v>
      </c>
      <c r="T15826" t="s">
        <v>48409</v>
      </c>
    </row>
    <row r="15827" spans="1:20" x14ac:dyDescent="0.25">
      <c r="A15827" t="str">
        <f>"3055099"</f>
        <v>3055099</v>
      </c>
      <c r="B15827" t="s">
        <v>48411</v>
      </c>
      <c r="C15827" t="str">
        <f>"8306452"</f>
        <v>8306452</v>
      </c>
      <c r="D15827" t="s">
        <v>48412</v>
      </c>
      <c r="F15827" t="s">
        <v>23023</v>
      </c>
      <c r="I15827" t="s">
        <v>29</v>
      </c>
      <c r="J15827" t="s">
        <v>30</v>
      </c>
      <c r="K15827" t="str">
        <f>"27028"</f>
        <v>27028</v>
      </c>
      <c r="M15827" t="s">
        <v>25733</v>
      </c>
      <c r="N15827" t="str">
        <f>"9/21/2021 10:34:00 AM"</f>
        <v>9/21/2021 10:34:00 AM</v>
      </c>
      <c r="O15827" t="s">
        <v>48412</v>
      </c>
    </row>
    <row r="15828" spans="1:20" x14ac:dyDescent="0.25">
      <c r="A15828" t="str">
        <f>"3049659"</f>
        <v>3049659</v>
      </c>
      <c r="B15828" t="s">
        <v>48413</v>
      </c>
      <c r="C15828" t="str">
        <f>"8306452"</f>
        <v>8306452</v>
      </c>
      <c r="D15828" t="s">
        <v>48412</v>
      </c>
      <c r="F15828" t="s">
        <v>23023</v>
      </c>
      <c r="I15828" t="s">
        <v>29</v>
      </c>
      <c r="J15828" t="s">
        <v>30</v>
      </c>
      <c r="K15828" t="str">
        <f>"27028"</f>
        <v>27028</v>
      </c>
      <c r="M15828" t="s">
        <v>25733</v>
      </c>
      <c r="N15828" t="str">
        <f>"9/21/2021 10:34:00 AM"</f>
        <v>9/21/2021 10:34:00 AM</v>
      </c>
      <c r="O15828" t="s">
        <v>48412</v>
      </c>
    </row>
    <row r="15829" spans="1:20" x14ac:dyDescent="0.25">
      <c r="A15829" t="str">
        <f>"3049481"</f>
        <v>3049481</v>
      </c>
      <c r="B15829" t="s">
        <v>48414</v>
      </c>
      <c r="C15829" t="str">
        <f>"8306452"</f>
        <v>8306452</v>
      </c>
      <c r="D15829" t="s">
        <v>48412</v>
      </c>
      <c r="F15829" t="s">
        <v>23023</v>
      </c>
      <c r="I15829" t="s">
        <v>29</v>
      </c>
      <c r="J15829" t="s">
        <v>30</v>
      </c>
      <c r="K15829" t="str">
        <f>"27028"</f>
        <v>27028</v>
      </c>
      <c r="M15829" t="s">
        <v>25733</v>
      </c>
      <c r="N15829" t="str">
        <f>"9/21/2021 10:34:00 AM"</f>
        <v>9/21/2021 10:34:00 AM</v>
      </c>
      <c r="O15829" t="s">
        <v>48412</v>
      </c>
    </row>
    <row r="15830" spans="1:20" x14ac:dyDescent="0.25">
      <c r="A15830" t="str">
        <f>"3049899"</f>
        <v>3049899</v>
      </c>
      <c r="B15830" t="s">
        <v>48415</v>
      </c>
      <c r="C15830" t="str">
        <f>"8306452"</f>
        <v>8306452</v>
      </c>
      <c r="D15830" t="s">
        <v>48412</v>
      </c>
      <c r="F15830" t="s">
        <v>23023</v>
      </c>
      <c r="I15830" t="s">
        <v>29</v>
      </c>
      <c r="J15830" t="s">
        <v>30</v>
      </c>
      <c r="K15830" t="str">
        <f>"27028"</f>
        <v>27028</v>
      </c>
      <c r="M15830" t="s">
        <v>25733</v>
      </c>
      <c r="N15830" t="str">
        <f>"9/21/2021 10:34:00 AM"</f>
        <v>9/21/2021 10:34:00 AM</v>
      </c>
      <c r="O15830" t="s">
        <v>48412</v>
      </c>
    </row>
    <row r="15831" spans="1:20" x14ac:dyDescent="0.25">
      <c r="A15831" t="str">
        <f>"3037702"</f>
        <v>3037702</v>
      </c>
      <c r="B15831" t="s">
        <v>48416</v>
      </c>
      <c r="C15831" t="str">
        <f>"8316425"</f>
        <v>8316425</v>
      </c>
      <c r="D15831" t="s">
        <v>48417</v>
      </c>
      <c r="E15831" t="s">
        <v>48418</v>
      </c>
      <c r="F15831" t="s">
        <v>48419</v>
      </c>
      <c r="I15831" t="s">
        <v>49</v>
      </c>
      <c r="J15831" t="s">
        <v>30</v>
      </c>
      <c r="K15831" t="s">
        <v>77</v>
      </c>
      <c r="M15831" t="s">
        <v>17861</v>
      </c>
      <c r="N15831" t="str">
        <f>"9/21/2021 10:57:00 AM"</f>
        <v>9/21/2021 10:57:00 AM</v>
      </c>
      <c r="O15831" t="s">
        <v>48417</v>
      </c>
      <c r="T15831" t="s">
        <v>48418</v>
      </c>
    </row>
    <row r="15832" spans="1:20" x14ac:dyDescent="0.25">
      <c r="A15832" t="str">
        <f>"3057702"</f>
        <v>3057702</v>
      </c>
      <c r="B15832" t="s">
        <v>48420</v>
      </c>
      <c r="C15832" t="str">
        <f>"8316428"</f>
        <v>8316428</v>
      </c>
      <c r="D15832" t="s">
        <v>48421</v>
      </c>
      <c r="F15832" t="s">
        <v>48422</v>
      </c>
      <c r="I15832" t="s">
        <v>2071</v>
      </c>
      <c r="J15832" t="s">
        <v>30</v>
      </c>
      <c r="K15832" t="s">
        <v>48423</v>
      </c>
      <c r="M15832" t="s">
        <v>17861</v>
      </c>
      <c r="N15832" t="str">
        <f>"9/21/2021 1:32:00 PM"</f>
        <v>9/21/2021 1:32:00 PM</v>
      </c>
      <c r="O15832" t="s">
        <v>48421</v>
      </c>
    </row>
    <row r="15833" spans="1:20" x14ac:dyDescent="0.25">
      <c r="A15833" t="str">
        <f>"3057701"</f>
        <v>3057701</v>
      </c>
      <c r="B15833" t="s">
        <v>48424</v>
      </c>
      <c r="C15833" t="str">
        <f>"8316427"</f>
        <v>8316427</v>
      </c>
      <c r="D15833" t="s">
        <v>48425</v>
      </c>
      <c r="F15833" t="s">
        <v>48426</v>
      </c>
      <c r="I15833" t="s">
        <v>2071</v>
      </c>
      <c r="J15833" t="s">
        <v>30</v>
      </c>
      <c r="K15833" t="s">
        <v>48423</v>
      </c>
      <c r="M15833" t="s">
        <v>17861</v>
      </c>
      <c r="N15833" t="str">
        <f>"9/21/2021 1:33:00 PM"</f>
        <v>9/21/2021 1:33:00 PM</v>
      </c>
      <c r="O15833" t="s">
        <v>48425</v>
      </c>
    </row>
    <row r="15834" spans="1:20" x14ac:dyDescent="0.25">
      <c r="A15834" t="str">
        <f>"3062439"</f>
        <v>3062439</v>
      </c>
      <c r="B15834" t="s">
        <v>48427</v>
      </c>
      <c r="C15834" t="str">
        <f>"8304050"</f>
        <v>8304050</v>
      </c>
      <c r="D15834" t="s">
        <v>48428</v>
      </c>
      <c r="E15834" t="s">
        <v>48429</v>
      </c>
      <c r="F15834" t="s">
        <v>48430</v>
      </c>
      <c r="I15834" t="s">
        <v>402</v>
      </c>
      <c r="J15834" t="s">
        <v>30</v>
      </c>
      <c r="K15834" t="str">
        <f>"27012"</f>
        <v>27012</v>
      </c>
      <c r="M15834" t="s">
        <v>20405</v>
      </c>
      <c r="N15834" t="str">
        <f>"9/21/2021 3:20:00 PM"</f>
        <v>9/21/2021 3:20:00 PM</v>
      </c>
      <c r="O15834" t="s">
        <v>48428</v>
      </c>
      <c r="T15834" t="s">
        <v>48429</v>
      </c>
    </row>
    <row r="15835" spans="1:20" x14ac:dyDescent="0.25">
      <c r="A15835" t="str">
        <f>"3043906"</f>
        <v>3043906</v>
      </c>
      <c r="B15835" t="s">
        <v>48431</v>
      </c>
      <c r="C15835" t="str">
        <f>"8316351"</f>
        <v>8316351</v>
      </c>
      <c r="D15835" t="s">
        <v>48432</v>
      </c>
      <c r="F15835" t="s">
        <v>32896</v>
      </c>
      <c r="I15835" t="s">
        <v>184</v>
      </c>
      <c r="J15835" t="s">
        <v>30</v>
      </c>
      <c r="K15835" t="s">
        <v>32897</v>
      </c>
      <c r="M15835" t="s">
        <v>17861</v>
      </c>
      <c r="N15835" t="str">
        <f>"9/13/2021 1:59:00 PM"</f>
        <v>9/13/2021 1:59:00 PM</v>
      </c>
      <c r="O15835" t="s">
        <v>48432</v>
      </c>
    </row>
    <row r="15836" spans="1:20" x14ac:dyDescent="0.25">
      <c r="A15836" t="str">
        <f>"3053049"</f>
        <v>3053049</v>
      </c>
      <c r="B15836" t="s">
        <v>48433</v>
      </c>
      <c r="C15836" t="str">
        <f>"8316352"</f>
        <v>8316352</v>
      </c>
      <c r="D15836" t="s">
        <v>48434</v>
      </c>
      <c r="E15836" t="s">
        <v>48435</v>
      </c>
      <c r="F15836" t="s">
        <v>48436</v>
      </c>
      <c r="I15836" t="s">
        <v>29</v>
      </c>
      <c r="J15836" t="s">
        <v>30</v>
      </c>
      <c r="K15836" t="s">
        <v>13347</v>
      </c>
      <c r="M15836" t="s">
        <v>17861</v>
      </c>
      <c r="N15836" t="str">
        <f>"9/13/2021 2:01:00 PM"</f>
        <v>9/13/2021 2:01:00 PM</v>
      </c>
      <c r="O15836" t="s">
        <v>48434</v>
      </c>
      <c r="T15836" t="s">
        <v>48435</v>
      </c>
    </row>
    <row r="15837" spans="1:20" x14ac:dyDescent="0.25">
      <c r="A15837" t="str">
        <f>"3056561"</f>
        <v>3056561</v>
      </c>
      <c r="B15837" t="s">
        <v>48437</v>
      </c>
      <c r="C15837" t="str">
        <f>"8316434"</f>
        <v>8316434</v>
      </c>
      <c r="D15837" t="s">
        <v>48438</v>
      </c>
      <c r="E15837" t="s">
        <v>48439</v>
      </c>
      <c r="F15837" t="s">
        <v>48440</v>
      </c>
      <c r="I15837" t="s">
        <v>17921</v>
      </c>
      <c r="J15837" t="s">
        <v>30</v>
      </c>
      <c r="K15837" t="str">
        <f>"27028"</f>
        <v>27028</v>
      </c>
      <c r="M15837" t="s">
        <v>17861</v>
      </c>
      <c r="N15837" t="str">
        <f>"9/22/2021 1:10:00 PM"</f>
        <v>9/22/2021 1:10:00 PM</v>
      </c>
      <c r="O15837" t="s">
        <v>48438</v>
      </c>
      <c r="T15837" t="s">
        <v>48439</v>
      </c>
    </row>
    <row r="15838" spans="1:20" x14ac:dyDescent="0.25">
      <c r="A15838" t="str">
        <f>"3056829"</f>
        <v>3056829</v>
      </c>
      <c r="B15838" t="s">
        <v>48441</v>
      </c>
      <c r="C15838" t="str">
        <f>"82519461"</f>
        <v>82519461</v>
      </c>
      <c r="D15838" t="s">
        <v>48393</v>
      </c>
      <c r="F15838" t="s">
        <v>48442</v>
      </c>
      <c r="I15838" t="s">
        <v>402</v>
      </c>
      <c r="J15838" t="s">
        <v>30</v>
      </c>
      <c r="K15838" t="s">
        <v>48443</v>
      </c>
      <c r="M15838" t="s">
        <v>17861</v>
      </c>
      <c r="N15838" t="str">
        <f>"9/24/2021 12:51:00 PM"</f>
        <v>9/24/2021 12:51:00 PM</v>
      </c>
      <c r="O15838" t="s">
        <v>48393</v>
      </c>
    </row>
    <row r="15839" spans="1:20" x14ac:dyDescent="0.25">
      <c r="A15839" t="str">
        <f>"3053128"</f>
        <v>3053128</v>
      </c>
      <c r="B15839" t="s">
        <v>48444</v>
      </c>
      <c r="C15839" t="str">
        <f>"8316352"</f>
        <v>8316352</v>
      </c>
      <c r="D15839" t="s">
        <v>48434</v>
      </c>
      <c r="E15839" t="s">
        <v>48435</v>
      </c>
      <c r="F15839" t="s">
        <v>48436</v>
      </c>
      <c r="I15839" t="s">
        <v>29</v>
      </c>
      <c r="J15839" t="s">
        <v>30</v>
      </c>
      <c r="K15839" t="s">
        <v>13347</v>
      </c>
      <c r="M15839" t="s">
        <v>17861</v>
      </c>
      <c r="N15839" t="str">
        <f>"9/13/2021 2:01:00 PM"</f>
        <v>9/13/2021 2:01:00 PM</v>
      </c>
      <c r="O15839" t="s">
        <v>48434</v>
      </c>
      <c r="T15839" t="s">
        <v>48435</v>
      </c>
    </row>
    <row r="15840" spans="1:20" x14ac:dyDescent="0.25">
      <c r="A15840" t="str">
        <f>"3043905"</f>
        <v>3043905</v>
      </c>
      <c r="B15840" t="s">
        <v>48445</v>
      </c>
      <c r="C15840" t="str">
        <f>"8316353"</f>
        <v>8316353</v>
      </c>
      <c r="D15840" t="s">
        <v>48446</v>
      </c>
      <c r="F15840" t="s">
        <v>32896</v>
      </c>
      <c r="I15840" t="s">
        <v>184</v>
      </c>
      <c r="J15840" t="s">
        <v>30</v>
      </c>
      <c r="K15840" t="s">
        <v>32897</v>
      </c>
      <c r="M15840" t="s">
        <v>17861</v>
      </c>
      <c r="N15840" t="str">
        <f>"9/13/2021 2:04:00 PM"</f>
        <v>9/13/2021 2:04:00 PM</v>
      </c>
      <c r="O15840" t="s">
        <v>48446</v>
      </c>
    </row>
    <row r="15841" spans="1:20" x14ac:dyDescent="0.25">
      <c r="A15841" t="str">
        <f>"3062168"</f>
        <v>3062168</v>
      </c>
      <c r="B15841" t="s">
        <v>48447</v>
      </c>
      <c r="C15841" t="str">
        <f>"8316354"</f>
        <v>8316354</v>
      </c>
      <c r="D15841" t="s">
        <v>48448</v>
      </c>
      <c r="E15841" t="s">
        <v>48449</v>
      </c>
      <c r="F15841" t="s">
        <v>48450</v>
      </c>
      <c r="I15841" t="s">
        <v>29</v>
      </c>
      <c r="J15841" t="s">
        <v>30</v>
      </c>
      <c r="K15841" t="s">
        <v>34545</v>
      </c>
      <c r="M15841" t="s">
        <v>17861</v>
      </c>
      <c r="N15841" t="str">
        <f>"9/13/2021 2:22:00 PM"</f>
        <v>9/13/2021 2:22:00 PM</v>
      </c>
      <c r="O15841" t="s">
        <v>48448</v>
      </c>
      <c r="T15841" t="s">
        <v>48449</v>
      </c>
    </row>
    <row r="15842" spans="1:20" x14ac:dyDescent="0.25">
      <c r="A15842" t="str">
        <f>"3060321"</f>
        <v>3060321</v>
      </c>
      <c r="B15842" t="s">
        <v>48451</v>
      </c>
      <c r="C15842" t="str">
        <f>"8316355"</f>
        <v>8316355</v>
      </c>
      <c r="D15842" t="s">
        <v>48452</v>
      </c>
      <c r="E15842" t="str">
        <f>"DERIAN RICHARD/JANE TRUSTEES"</f>
        <v>DERIAN RICHARD/JANE TRUSTEES</v>
      </c>
      <c r="F15842" t="s">
        <v>48453</v>
      </c>
      <c r="I15842" t="s">
        <v>29</v>
      </c>
      <c r="J15842" t="s">
        <v>30</v>
      </c>
      <c r="K15842" t="s">
        <v>43161</v>
      </c>
      <c r="M15842" t="s">
        <v>17861</v>
      </c>
      <c r="N15842" t="str">
        <f>"9/13/2021 2:47:00 PM"</f>
        <v>9/13/2021 2:47:00 PM</v>
      </c>
      <c r="O15842" t="s">
        <v>48452</v>
      </c>
      <c r="T15842" t="str">
        <f>"DERIAN RICHARD/JANE TRUSTEES"</f>
        <v>DERIAN RICHARD/JANE TRUSTEES</v>
      </c>
    </row>
    <row r="15843" spans="1:20" x14ac:dyDescent="0.25">
      <c r="A15843" t="str">
        <f>"3058233"</f>
        <v>3058233</v>
      </c>
      <c r="B15843" t="s">
        <v>48454</v>
      </c>
      <c r="C15843" t="str">
        <f t="shared" ref="C15843:C15849" si="240">"82530375"</f>
        <v>82530375</v>
      </c>
      <c r="D15843" t="s">
        <v>20936</v>
      </c>
      <c r="E15843" t="s">
        <v>48243</v>
      </c>
      <c r="F15843" t="s">
        <v>48244</v>
      </c>
      <c r="I15843" t="s">
        <v>184</v>
      </c>
      <c r="J15843" t="s">
        <v>30</v>
      </c>
      <c r="K15843" t="s">
        <v>48245</v>
      </c>
      <c r="M15843" t="s">
        <v>17861</v>
      </c>
      <c r="N15843" t="str">
        <f t="shared" ref="N15843:N15849" si="241">"9/14/2021 8:45:00 AM"</f>
        <v>9/14/2021 8:45:00 AM</v>
      </c>
      <c r="O15843" t="s">
        <v>20936</v>
      </c>
      <c r="T15843" t="s">
        <v>48243</v>
      </c>
    </row>
    <row r="15844" spans="1:20" x14ac:dyDescent="0.25">
      <c r="A15844" t="str">
        <f>"3058209"</f>
        <v>3058209</v>
      </c>
      <c r="B15844" t="s">
        <v>48455</v>
      </c>
      <c r="C15844" t="str">
        <f t="shared" si="240"/>
        <v>82530375</v>
      </c>
      <c r="D15844" t="s">
        <v>20936</v>
      </c>
      <c r="E15844" t="s">
        <v>48243</v>
      </c>
      <c r="F15844" t="s">
        <v>48244</v>
      </c>
      <c r="I15844" t="s">
        <v>184</v>
      </c>
      <c r="J15844" t="s">
        <v>30</v>
      </c>
      <c r="K15844" t="s">
        <v>48245</v>
      </c>
      <c r="M15844" t="s">
        <v>17861</v>
      </c>
      <c r="N15844" t="str">
        <f t="shared" si="241"/>
        <v>9/14/2021 8:45:00 AM</v>
      </c>
      <c r="O15844" t="s">
        <v>20936</v>
      </c>
      <c r="T15844" t="s">
        <v>48243</v>
      </c>
    </row>
    <row r="15845" spans="1:20" x14ac:dyDescent="0.25">
      <c r="A15845" t="str">
        <f>"3058210"</f>
        <v>3058210</v>
      </c>
      <c r="B15845" t="s">
        <v>48456</v>
      </c>
      <c r="C15845" t="str">
        <f t="shared" si="240"/>
        <v>82530375</v>
      </c>
      <c r="D15845" t="s">
        <v>20936</v>
      </c>
      <c r="E15845" t="s">
        <v>48243</v>
      </c>
      <c r="F15845" t="s">
        <v>48244</v>
      </c>
      <c r="I15845" t="s">
        <v>184</v>
      </c>
      <c r="J15845" t="s">
        <v>30</v>
      </c>
      <c r="K15845" t="s">
        <v>48245</v>
      </c>
      <c r="M15845" t="s">
        <v>17861</v>
      </c>
      <c r="N15845" t="str">
        <f t="shared" si="241"/>
        <v>9/14/2021 8:45:00 AM</v>
      </c>
      <c r="O15845" t="s">
        <v>20936</v>
      </c>
      <c r="T15845" t="s">
        <v>48243</v>
      </c>
    </row>
    <row r="15846" spans="1:20" x14ac:dyDescent="0.25">
      <c r="A15846" t="str">
        <f>"3058234"</f>
        <v>3058234</v>
      </c>
      <c r="B15846" t="s">
        <v>48457</v>
      </c>
      <c r="C15846" t="str">
        <f t="shared" si="240"/>
        <v>82530375</v>
      </c>
      <c r="D15846" t="s">
        <v>20936</v>
      </c>
      <c r="E15846" t="s">
        <v>48243</v>
      </c>
      <c r="F15846" t="s">
        <v>48244</v>
      </c>
      <c r="I15846" t="s">
        <v>184</v>
      </c>
      <c r="J15846" t="s">
        <v>30</v>
      </c>
      <c r="K15846" t="s">
        <v>48245</v>
      </c>
      <c r="M15846" t="s">
        <v>17861</v>
      </c>
      <c r="N15846" t="str">
        <f t="shared" si="241"/>
        <v>9/14/2021 8:45:00 AM</v>
      </c>
      <c r="O15846" t="s">
        <v>20936</v>
      </c>
      <c r="T15846" t="s">
        <v>48243</v>
      </c>
    </row>
    <row r="15847" spans="1:20" x14ac:dyDescent="0.25">
      <c r="A15847" t="str">
        <f>"3056080"</f>
        <v>3056080</v>
      </c>
      <c r="B15847" t="s">
        <v>48458</v>
      </c>
      <c r="C15847" t="str">
        <f t="shared" si="240"/>
        <v>82530375</v>
      </c>
      <c r="D15847" t="s">
        <v>20936</v>
      </c>
      <c r="E15847" t="s">
        <v>48243</v>
      </c>
      <c r="F15847" t="s">
        <v>48244</v>
      </c>
      <c r="I15847" t="s">
        <v>184</v>
      </c>
      <c r="J15847" t="s">
        <v>30</v>
      </c>
      <c r="K15847" t="s">
        <v>48245</v>
      </c>
      <c r="M15847" t="s">
        <v>17861</v>
      </c>
      <c r="N15847" t="str">
        <f t="shared" si="241"/>
        <v>9/14/2021 8:45:00 AM</v>
      </c>
      <c r="O15847" t="s">
        <v>20936</v>
      </c>
      <c r="T15847" t="s">
        <v>48243</v>
      </c>
    </row>
    <row r="15848" spans="1:20" x14ac:dyDescent="0.25">
      <c r="A15848" t="str">
        <f>"3056140"</f>
        <v>3056140</v>
      </c>
      <c r="B15848" t="s">
        <v>48459</v>
      </c>
      <c r="C15848" t="str">
        <f t="shared" si="240"/>
        <v>82530375</v>
      </c>
      <c r="D15848" t="s">
        <v>20936</v>
      </c>
      <c r="E15848" t="s">
        <v>48243</v>
      </c>
      <c r="F15848" t="s">
        <v>48244</v>
      </c>
      <c r="I15848" t="s">
        <v>184</v>
      </c>
      <c r="J15848" t="s">
        <v>30</v>
      </c>
      <c r="K15848" t="s">
        <v>48245</v>
      </c>
      <c r="M15848" t="s">
        <v>17861</v>
      </c>
      <c r="N15848" t="str">
        <f t="shared" si="241"/>
        <v>9/14/2021 8:45:00 AM</v>
      </c>
      <c r="O15848" t="s">
        <v>20936</v>
      </c>
      <c r="T15848" t="s">
        <v>48243</v>
      </c>
    </row>
    <row r="15849" spans="1:20" x14ac:dyDescent="0.25">
      <c r="A15849" t="str">
        <f>"3056159"</f>
        <v>3056159</v>
      </c>
      <c r="B15849" t="s">
        <v>48460</v>
      </c>
      <c r="C15849" t="str">
        <f t="shared" si="240"/>
        <v>82530375</v>
      </c>
      <c r="D15849" t="s">
        <v>20936</v>
      </c>
      <c r="E15849" t="s">
        <v>48243</v>
      </c>
      <c r="F15849" t="s">
        <v>48244</v>
      </c>
      <c r="I15849" t="s">
        <v>184</v>
      </c>
      <c r="J15849" t="s">
        <v>30</v>
      </c>
      <c r="K15849" t="s">
        <v>48245</v>
      </c>
      <c r="M15849" t="s">
        <v>17861</v>
      </c>
      <c r="N15849" t="str">
        <f t="shared" si="241"/>
        <v>9/14/2021 8:45:00 AM</v>
      </c>
      <c r="O15849" t="s">
        <v>20936</v>
      </c>
      <c r="T15849" t="s">
        <v>48243</v>
      </c>
    </row>
    <row r="15850" spans="1:20" x14ac:dyDescent="0.25">
      <c r="A15850" t="str">
        <f>"3049390"</f>
        <v>3049390</v>
      </c>
      <c r="B15850" t="s">
        <v>48461</v>
      </c>
      <c r="C15850" t="str">
        <f>"8316372"</f>
        <v>8316372</v>
      </c>
      <c r="D15850" t="s">
        <v>48462</v>
      </c>
      <c r="F15850" t="s">
        <v>48463</v>
      </c>
      <c r="I15850" t="s">
        <v>29</v>
      </c>
      <c r="J15850" t="s">
        <v>30</v>
      </c>
      <c r="K15850" t="s">
        <v>12281</v>
      </c>
      <c r="M15850" t="s">
        <v>17861</v>
      </c>
      <c r="N15850" t="str">
        <f>"9/16/2021 9:07:00 AM"</f>
        <v>9/16/2021 9:07:00 AM</v>
      </c>
      <c r="O15850" t="s">
        <v>48462</v>
      </c>
    </row>
    <row r="15851" spans="1:20" x14ac:dyDescent="0.25">
      <c r="A15851" t="str">
        <f>"3046287"</f>
        <v>3046287</v>
      </c>
      <c r="B15851" t="s">
        <v>48464</v>
      </c>
      <c r="C15851" t="str">
        <f>"8316373"</f>
        <v>8316373</v>
      </c>
      <c r="D15851" t="s">
        <v>48465</v>
      </c>
      <c r="F15851" t="s">
        <v>48466</v>
      </c>
      <c r="I15851" t="s">
        <v>29</v>
      </c>
      <c r="J15851" t="s">
        <v>30</v>
      </c>
      <c r="K15851" t="s">
        <v>48467</v>
      </c>
      <c r="M15851" t="s">
        <v>17861</v>
      </c>
      <c r="N15851" t="str">
        <f>"9/16/2021 9:09:00 AM"</f>
        <v>9/16/2021 9:09:00 AM</v>
      </c>
      <c r="O15851" t="s">
        <v>48465</v>
      </c>
    </row>
    <row r="15852" spans="1:20" x14ac:dyDescent="0.25">
      <c r="A15852" t="str">
        <f>"3043021"</f>
        <v>3043021</v>
      </c>
      <c r="B15852" t="s">
        <v>48468</v>
      </c>
      <c r="C15852" t="str">
        <f>"8316387"</f>
        <v>8316387</v>
      </c>
      <c r="D15852" t="s">
        <v>48469</v>
      </c>
      <c r="F15852" t="s">
        <v>48470</v>
      </c>
      <c r="I15852" t="s">
        <v>29</v>
      </c>
      <c r="J15852" t="s">
        <v>30</v>
      </c>
      <c r="K15852" t="s">
        <v>48471</v>
      </c>
      <c r="M15852" t="s">
        <v>17861</v>
      </c>
      <c r="N15852" t="str">
        <f>"9/16/2021 11:21:00 AM"</f>
        <v>9/16/2021 11:21:00 AM</v>
      </c>
      <c r="O15852" t="s">
        <v>48469</v>
      </c>
    </row>
    <row r="15853" spans="1:20" x14ac:dyDescent="0.25">
      <c r="A15853" t="str">
        <f>"3041788"</f>
        <v>3041788</v>
      </c>
      <c r="B15853" t="s">
        <v>48472</v>
      </c>
      <c r="C15853" t="str">
        <f>"8316395"</f>
        <v>8316395</v>
      </c>
      <c r="D15853" t="s">
        <v>48473</v>
      </c>
      <c r="E15853" t="s">
        <v>48474</v>
      </c>
      <c r="F15853" t="s">
        <v>48475</v>
      </c>
      <c r="I15853" t="s">
        <v>184</v>
      </c>
      <c r="J15853" t="s">
        <v>30</v>
      </c>
      <c r="K15853" t="s">
        <v>40687</v>
      </c>
      <c r="M15853" t="s">
        <v>17861</v>
      </c>
      <c r="N15853" t="str">
        <f>"9/16/2021 1:21:00 PM"</f>
        <v>9/16/2021 1:21:00 PM</v>
      </c>
      <c r="O15853" t="s">
        <v>48473</v>
      </c>
      <c r="T15853" t="s">
        <v>48474</v>
      </c>
    </row>
    <row r="15854" spans="1:20" x14ac:dyDescent="0.25">
      <c r="A15854" t="str">
        <f>"3039192"</f>
        <v>3039192</v>
      </c>
      <c r="B15854" t="s">
        <v>48476</v>
      </c>
      <c r="C15854" t="str">
        <f>"8316464"</f>
        <v>8316464</v>
      </c>
      <c r="D15854" t="s">
        <v>48477</v>
      </c>
      <c r="F15854" t="s">
        <v>48478</v>
      </c>
      <c r="I15854" t="s">
        <v>29</v>
      </c>
      <c r="J15854" t="s">
        <v>30</v>
      </c>
      <c r="K15854" t="s">
        <v>44426</v>
      </c>
      <c r="M15854" t="s">
        <v>17861</v>
      </c>
      <c r="N15854" t="str">
        <f>"9/30/2021 11:14:00 AM"</f>
        <v>9/30/2021 11:14:00 AM</v>
      </c>
      <c r="O15854" t="s">
        <v>48477</v>
      </c>
    </row>
    <row r="15855" spans="1:20" x14ac:dyDescent="0.25">
      <c r="A15855" t="str">
        <f>"3072842"</f>
        <v>3072842</v>
      </c>
      <c r="B15855" t="s">
        <v>48479</v>
      </c>
      <c r="C15855" t="str">
        <f>"8316465"</f>
        <v>8316465</v>
      </c>
      <c r="D15855" t="s">
        <v>48480</v>
      </c>
      <c r="F15855" t="s">
        <v>48481</v>
      </c>
      <c r="I15855" t="s">
        <v>29</v>
      </c>
      <c r="J15855" t="s">
        <v>30</v>
      </c>
      <c r="K15855" t="s">
        <v>48482</v>
      </c>
      <c r="M15855" t="s">
        <v>17861</v>
      </c>
      <c r="N15855" t="str">
        <f>"9/30/2021 2:19:00 PM"</f>
        <v>9/30/2021 2:19:00 PM</v>
      </c>
      <c r="O15855" t="s">
        <v>48480</v>
      </c>
    </row>
    <row r="15856" spans="1:20" x14ac:dyDescent="0.25">
      <c r="A15856" t="str">
        <f>"3050034"</f>
        <v>3050034</v>
      </c>
      <c r="B15856" t="s">
        <v>48483</v>
      </c>
      <c r="C15856" t="str">
        <f>"8316466"</f>
        <v>8316466</v>
      </c>
      <c r="D15856" t="s">
        <v>48484</v>
      </c>
      <c r="F15856" t="s">
        <v>48485</v>
      </c>
      <c r="I15856" t="s">
        <v>29</v>
      </c>
      <c r="J15856" t="s">
        <v>30</v>
      </c>
      <c r="K15856" t="s">
        <v>19835</v>
      </c>
      <c r="M15856" t="s">
        <v>17861</v>
      </c>
      <c r="N15856" t="str">
        <f>"9/30/2021 2:21:00 PM"</f>
        <v>9/30/2021 2:21:00 PM</v>
      </c>
      <c r="O15856" t="s">
        <v>48484</v>
      </c>
    </row>
    <row r="15857" spans="1:20" x14ac:dyDescent="0.25">
      <c r="A15857" t="str">
        <f>"3060264"</f>
        <v>3060264</v>
      </c>
      <c r="B15857" t="s">
        <v>48486</v>
      </c>
      <c r="C15857" t="str">
        <f>"8316411"</f>
        <v>8316411</v>
      </c>
      <c r="D15857" t="s">
        <v>48487</v>
      </c>
      <c r="E15857" t="s">
        <v>48488</v>
      </c>
      <c r="F15857" t="s">
        <v>48489</v>
      </c>
      <c r="I15857" t="s">
        <v>184</v>
      </c>
      <c r="J15857" t="s">
        <v>30</v>
      </c>
      <c r="K15857" t="s">
        <v>38676</v>
      </c>
      <c r="M15857" t="s">
        <v>17861</v>
      </c>
      <c r="N15857" t="str">
        <f>"9/16/2021 4:02:00 PM"</f>
        <v>9/16/2021 4:02:00 PM</v>
      </c>
      <c r="O15857" t="s">
        <v>48487</v>
      </c>
      <c r="T15857" t="s">
        <v>48488</v>
      </c>
    </row>
    <row r="15858" spans="1:20" x14ac:dyDescent="0.25">
      <c r="A15858" t="str">
        <f>"3042848"</f>
        <v>3042848</v>
      </c>
      <c r="B15858" t="s">
        <v>48490</v>
      </c>
      <c r="C15858" t="str">
        <f>"8316412"</f>
        <v>8316412</v>
      </c>
      <c r="D15858" t="s">
        <v>48491</v>
      </c>
      <c r="E15858" t="s">
        <v>48492</v>
      </c>
      <c r="F15858" t="s">
        <v>41467</v>
      </c>
      <c r="I15858" t="s">
        <v>29</v>
      </c>
      <c r="J15858" t="s">
        <v>30</v>
      </c>
      <c r="K15858" t="s">
        <v>48493</v>
      </c>
      <c r="M15858" t="s">
        <v>17861</v>
      </c>
      <c r="N15858" t="str">
        <f>"9/16/2021 4:04:00 PM"</f>
        <v>9/16/2021 4:04:00 PM</v>
      </c>
      <c r="O15858" t="s">
        <v>48491</v>
      </c>
      <c r="T15858" t="s">
        <v>48492</v>
      </c>
    </row>
    <row r="15859" spans="1:20" x14ac:dyDescent="0.25">
      <c r="A15859" t="str">
        <f>"3045046"</f>
        <v>3045046</v>
      </c>
      <c r="B15859" t="s">
        <v>48494</v>
      </c>
      <c r="C15859" t="str">
        <f>"8311814"</f>
        <v>8311814</v>
      </c>
      <c r="D15859" t="str">
        <f>"SPRINDIS STEPHEN W/MARLANA J"</f>
        <v>SPRINDIS STEPHEN W/MARLANA J</v>
      </c>
      <c r="E15859" t="s">
        <v>48389</v>
      </c>
      <c r="F15859" t="s">
        <v>48390</v>
      </c>
      <c r="I15859" t="s">
        <v>17921</v>
      </c>
      <c r="J15859" t="s">
        <v>30</v>
      </c>
      <c r="K15859" t="str">
        <f>"27028"</f>
        <v>27028</v>
      </c>
      <c r="M15859" t="s">
        <v>25625</v>
      </c>
      <c r="N15859" t="str">
        <f>"9/17/2021 9:51:00 AM"</f>
        <v>9/17/2021 9:51:00 AM</v>
      </c>
      <c r="O15859" t="str">
        <f>"SPRINDIS STEPHEN W/MARLANA J"</f>
        <v>SPRINDIS STEPHEN W/MARLANA J</v>
      </c>
      <c r="T15859" t="s">
        <v>48389</v>
      </c>
    </row>
    <row r="15860" spans="1:20" x14ac:dyDescent="0.25">
      <c r="A15860" t="str">
        <f>"3038068"</f>
        <v>3038068</v>
      </c>
      <c r="B15860" t="s">
        <v>48495</v>
      </c>
      <c r="C15860" t="str">
        <f>"8316429"</f>
        <v>8316429</v>
      </c>
      <c r="D15860" t="s">
        <v>48496</v>
      </c>
      <c r="F15860" t="s">
        <v>48497</v>
      </c>
      <c r="I15860" t="s">
        <v>402</v>
      </c>
      <c r="J15860" t="s">
        <v>30</v>
      </c>
      <c r="K15860" t="s">
        <v>48498</v>
      </c>
      <c r="M15860" t="s">
        <v>17861</v>
      </c>
      <c r="N15860" t="str">
        <f>"9/21/2021 3:36:00 PM"</f>
        <v>9/21/2021 3:36:00 PM</v>
      </c>
      <c r="O15860" t="s">
        <v>48496</v>
      </c>
    </row>
    <row r="15861" spans="1:20" x14ac:dyDescent="0.25">
      <c r="A15861" t="str">
        <f>"3038705"</f>
        <v>3038705</v>
      </c>
      <c r="B15861" t="s">
        <v>48499</v>
      </c>
      <c r="C15861" t="str">
        <f>"8316430"</f>
        <v>8316430</v>
      </c>
      <c r="D15861" t="s">
        <v>48500</v>
      </c>
      <c r="F15861" t="s">
        <v>48501</v>
      </c>
      <c r="I15861" t="s">
        <v>48502</v>
      </c>
      <c r="J15861" t="s">
        <v>30</v>
      </c>
      <c r="K15861" t="str">
        <f>"28146"</f>
        <v>28146</v>
      </c>
      <c r="M15861" t="s">
        <v>17861</v>
      </c>
      <c r="N15861" t="str">
        <f>"9/21/2021 3:38:00 PM"</f>
        <v>9/21/2021 3:38:00 PM</v>
      </c>
      <c r="O15861" t="s">
        <v>48500</v>
      </c>
    </row>
    <row r="15862" spans="1:20" x14ac:dyDescent="0.25">
      <c r="A15862" t="str">
        <f>"3053693"</f>
        <v>3053693</v>
      </c>
      <c r="B15862" t="s">
        <v>48503</v>
      </c>
      <c r="C15862" t="str">
        <f>"8316363"</f>
        <v>8316363</v>
      </c>
      <c r="D15862" t="s">
        <v>48504</v>
      </c>
      <c r="E15862" t="s">
        <v>48505</v>
      </c>
      <c r="F15862" t="s">
        <v>48506</v>
      </c>
      <c r="I15862" t="s">
        <v>29</v>
      </c>
      <c r="J15862" t="s">
        <v>30</v>
      </c>
      <c r="K15862" t="s">
        <v>48507</v>
      </c>
      <c r="M15862" t="s">
        <v>17861</v>
      </c>
      <c r="N15862" t="str">
        <f>"9/14/2021 4:12:00 PM"</f>
        <v>9/14/2021 4:12:00 PM</v>
      </c>
      <c r="O15862" t="s">
        <v>48504</v>
      </c>
      <c r="T15862" t="s">
        <v>48505</v>
      </c>
    </row>
    <row r="15863" spans="1:20" x14ac:dyDescent="0.25">
      <c r="A15863" t="str">
        <f>"3068477"</f>
        <v>3068477</v>
      </c>
      <c r="B15863" t="s">
        <v>48508</v>
      </c>
      <c r="C15863" t="str">
        <f>"8316364"</f>
        <v>8316364</v>
      </c>
      <c r="D15863" t="s">
        <v>48509</v>
      </c>
      <c r="E15863" t="s">
        <v>48510</v>
      </c>
      <c r="F15863" t="s">
        <v>48511</v>
      </c>
      <c r="I15863" t="s">
        <v>29</v>
      </c>
      <c r="J15863" t="s">
        <v>30</v>
      </c>
      <c r="K15863" t="str">
        <f>"27028"</f>
        <v>27028</v>
      </c>
      <c r="M15863" t="s">
        <v>17861</v>
      </c>
      <c r="N15863" t="str">
        <f>"9/14/2021 4:20:00 PM"</f>
        <v>9/14/2021 4:20:00 PM</v>
      </c>
      <c r="O15863" t="s">
        <v>48509</v>
      </c>
      <c r="T15863" t="s">
        <v>48510</v>
      </c>
    </row>
    <row r="15864" spans="1:20" x14ac:dyDescent="0.25">
      <c r="A15864" t="str">
        <f>"3059406"</f>
        <v>3059406</v>
      </c>
      <c r="B15864" t="s">
        <v>48512</v>
      </c>
      <c r="C15864" t="str">
        <f>"8316365"</f>
        <v>8316365</v>
      </c>
      <c r="D15864" t="s">
        <v>48513</v>
      </c>
      <c r="F15864" t="s">
        <v>48514</v>
      </c>
      <c r="I15864" t="s">
        <v>29</v>
      </c>
      <c r="J15864" t="s">
        <v>30</v>
      </c>
      <c r="K15864" t="s">
        <v>35388</v>
      </c>
      <c r="M15864" t="s">
        <v>17861</v>
      </c>
      <c r="N15864" t="str">
        <f>"9/14/2021 4:23:00 PM"</f>
        <v>9/14/2021 4:23:00 PM</v>
      </c>
      <c r="O15864" t="s">
        <v>48513</v>
      </c>
    </row>
    <row r="15865" spans="1:20" x14ac:dyDescent="0.25">
      <c r="A15865" t="str">
        <f>"3059340"</f>
        <v>3059340</v>
      </c>
      <c r="B15865" t="s">
        <v>48515</v>
      </c>
      <c r="C15865" t="str">
        <f>"8316366"</f>
        <v>8316366</v>
      </c>
      <c r="D15865" t="s">
        <v>48247</v>
      </c>
      <c r="E15865" t="s">
        <v>11485</v>
      </c>
      <c r="F15865" t="s">
        <v>48248</v>
      </c>
      <c r="I15865" t="s">
        <v>29</v>
      </c>
      <c r="J15865" t="s">
        <v>30</v>
      </c>
      <c r="K15865" t="s">
        <v>33201</v>
      </c>
      <c r="M15865" t="s">
        <v>17861</v>
      </c>
      <c r="N15865" t="str">
        <f>"9/14/2021 4:25:00 PM"</f>
        <v>9/14/2021 4:25:00 PM</v>
      </c>
      <c r="O15865" t="s">
        <v>48247</v>
      </c>
      <c r="T15865" t="s">
        <v>11485</v>
      </c>
    </row>
    <row r="15866" spans="1:20" x14ac:dyDescent="0.25">
      <c r="A15866" t="str">
        <f>"3049015"</f>
        <v>3049015</v>
      </c>
      <c r="B15866" t="s">
        <v>48516</v>
      </c>
      <c r="C15866" t="str">
        <f>"67388000"</f>
        <v>67388000</v>
      </c>
      <c r="D15866" t="s">
        <v>48517</v>
      </c>
      <c r="F15866" t="s">
        <v>48518</v>
      </c>
      <c r="I15866" t="s">
        <v>29</v>
      </c>
      <c r="J15866" t="s">
        <v>30</v>
      </c>
      <c r="K15866" t="s">
        <v>13041</v>
      </c>
      <c r="M15866" t="s">
        <v>17861</v>
      </c>
      <c r="N15866" t="str">
        <f>"9/30/2021 9:44:00 AM"</f>
        <v>9/30/2021 9:44:00 AM</v>
      </c>
      <c r="O15866" t="s">
        <v>48517</v>
      </c>
    </row>
    <row r="15867" spans="1:20" x14ac:dyDescent="0.25">
      <c r="A15867" t="str">
        <f>"3047268"</f>
        <v>3047268</v>
      </c>
      <c r="B15867" t="s">
        <v>48519</v>
      </c>
      <c r="C15867" t="str">
        <f>"8316485"</f>
        <v>8316485</v>
      </c>
      <c r="D15867" t="s">
        <v>48520</v>
      </c>
      <c r="E15867" t="s">
        <v>48521</v>
      </c>
      <c r="F15867" t="s">
        <v>31847</v>
      </c>
      <c r="I15867" t="s">
        <v>184</v>
      </c>
      <c r="J15867" t="s">
        <v>30</v>
      </c>
      <c r="K15867" t="s">
        <v>47486</v>
      </c>
      <c r="M15867" t="s">
        <v>17861</v>
      </c>
      <c r="N15867" t="str">
        <f>"10/1/2021 2:59:00 PM"</f>
        <v>10/1/2021 2:59:00 PM</v>
      </c>
      <c r="O15867" t="s">
        <v>48520</v>
      </c>
      <c r="T15867" t="s">
        <v>48521</v>
      </c>
    </row>
    <row r="15868" spans="1:20" x14ac:dyDescent="0.25">
      <c r="A15868" t="str">
        <f>"3044746"</f>
        <v>3044746</v>
      </c>
      <c r="B15868" t="s">
        <v>48522</v>
      </c>
      <c r="C15868" t="str">
        <f>"8316486"</f>
        <v>8316486</v>
      </c>
      <c r="D15868" t="str">
        <f>"CARROLL RICK OWEN/GAYLE RENEE TRUSTEES"</f>
        <v>CARROLL RICK OWEN/GAYLE RENEE TRUSTEES</v>
      </c>
      <c r="E15868" t="s">
        <v>48523</v>
      </c>
      <c r="F15868" t="s">
        <v>48524</v>
      </c>
      <c r="I15868" t="s">
        <v>184</v>
      </c>
      <c r="J15868" t="s">
        <v>30</v>
      </c>
      <c r="K15868" t="s">
        <v>6036</v>
      </c>
      <c r="M15868" t="s">
        <v>17861</v>
      </c>
      <c r="N15868" t="str">
        <f>"10/1/2021 3:07:00 PM"</f>
        <v>10/1/2021 3:07:00 PM</v>
      </c>
      <c r="O15868" t="str">
        <f>"CARROLL RICK OWEN/GAYLE RENEE TRUSTEES"</f>
        <v>CARROLL RICK OWEN/GAYLE RENEE TRUSTEES</v>
      </c>
      <c r="T15868" t="s">
        <v>48523</v>
      </c>
    </row>
    <row r="15869" spans="1:20" x14ac:dyDescent="0.25">
      <c r="A15869" t="str">
        <f>"3057038"</f>
        <v>3057038</v>
      </c>
      <c r="B15869" t="s">
        <v>48525</v>
      </c>
      <c r="C15869" t="str">
        <f>"8316487"</f>
        <v>8316487</v>
      </c>
      <c r="D15869" t="s">
        <v>48526</v>
      </c>
      <c r="F15869" t="s">
        <v>48527</v>
      </c>
      <c r="I15869" t="s">
        <v>184</v>
      </c>
      <c r="J15869" t="s">
        <v>30</v>
      </c>
      <c r="K15869" t="s">
        <v>19348</v>
      </c>
      <c r="M15869" t="s">
        <v>17861</v>
      </c>
      <c r="N15869" t="str">
        <f>"10/1/2021 3:15:00 PM"</f>
        <v>10/1/2021 3:15:00 PM</v>
      </c>
      <c r="O15869" t="s">
        <v>48526</v>
      </c>
    </row>
    <row r="15870" spans="1:20" x14ac:dyDescent="0.25">
      <c r="A15870" t="str">
        <f>"3058757"</f>
        <v>3058757</v>
      </c>
      <c r="B15870" t="s">
        <v>48528</v>
      </c>
      <c r="C15870" t="str">
        <f>"8316487"</f>
        <v>8316487</v>
      </c>
      <c r="D15870" t="s">
        <v>48526</v>
      </c>
      <c r="F15870" t="s">
        <v>48527</v>
      </c>
      <c r="I15870" t="s">
        <v>184</v>
      </c>
      <c r="J15870" t="s">
        <v>30</v>
      </c>
      <c r="K15870" t="s">
        <v>19348</v>
      </c>
      <c r="M15870" t="s">
        <v>17861</v>
      </c>
      <c r="N15870" t="str">
        <f>"10/1/2021 3:15:00 PM"</f>
        <v>10/1/2021 3:15:00 PM</v>
      </c>
      <c r="O15870" t="s">
        <v>48526</v>
      </c>
    </row>
    <row r="15871" spans="1:20" x14ac:dyDescent="0.25">
      <c r="A15871" t="str">
        <f>"3062472"</f>
        <v>3062472</v>
      </c>
      <c r="B15871" t="s">
        <v>48529</v>
      </c>
      <c r="C15871" t="str">
        <f>"8316488"</f>
        <v>8316488</v>
      </c>
      <c r="D15871" t="s">
        <v>48530</v>
      </c>
      <c r="F15871" t="s">
        <v>48531</v>
      </c>
      <c r="I15871" t="s">
        <v>2071</v>
      </c>
      <c r="J15871" t="s">
        <v>30</v>
      </c>
      <c r="K15871" t="s">
        <v>35875</v>
      </c>
      <c r="M15871" t="s">
        <v>17861</v>
      </c>
      <c r="N15871" t="str">
        <f>"10/1/2021 3:18:00 PM"</f>
        <v>10/1/2021 3:18:00 PM</v>
      </c>
      <c r="O15871" t="s">
        <v>48530</v>
      </c>
    </row>
    <row r="15872" spans="1:20" x14ac:dyDescent="0.25">
      <c r="A15872" t="str">
        <f>"3054053"</f>
        <v>3054053</v>
      </c>
      <c r="B15872" t="s">
        <v>48532</v>
      </c>
      <c r="C15872" t="str">
        <f>"8316491"</f>
        <v>8316491</v>
      </c>
      <c r="D15872" t="s">
        <v>48533</v>
      </c>
      <c r="F15872" t="s">
        <v>15967</v>
      </c>
      <c r="I15872" t="s">
        <v>9580</v>
      </c>
      <c r="J15872" t="s">
        <v>30</v>
      </c>
      <c r="K15872" t="s">
        <v>26321</v>
      </c>
      <c r="M15872" t="s">
        <v>17861</v>
      </c>
      <c r="N15872" t="str">
        <f>"10/1/2021 3:27:00 PM"</f>
        <v>10/1/2021 3:27:00 PM</v>
      </c>
      <c r="O15872" t="s">
        <v>48533</v>
      </c>
    </row>
    <row r="15873" spans="1:20" x14ac:dyDescent="0.25">
      <c r="A15873" t="str">
        <f>"3041479"</f>
        <v>3041479</v>
      </c>
      <c r="B15873" t="s">
        <v>48534</v>
      </c>
      <c r="C15873" t="str">
        <f>"8316492"</f>
        <v>8316492</v>
      </c>
      <c r="D15873" t="s">
        <v>48535</v>
      </c>
      <c r="F15873" t="s">
        <v>48536</v>
      </c>
      <c r="I15873" t="s">
        <v>48537</v>
      </c>
      <c r="J15873" t="s">
        <v>12725</v>
      </c>
      <c r="K15873" t="s">
        <v>48538</v>
      </c>
      <c r="M15873" t="s">
        <v>17861</v>
      </c>
      <c r="N15873" t="str">
        <f>"10/1/2021 3:29:00 PM"</f>
        <v>10/1/2021 3:29:00 PM</v>
      </c>
      <c r="O15873" t="s">
        <v>48535</v>
      </c>
    </row>
    <row r="15874" spans="1:20" x14ac:dyDescent="0.25">
      <c r="A15874" t="str">
        <f>"3074518"</f>
        <v>3074518</v>
      </c>
      <c r="B15874" t="s">
        <v>48539</v>
      </c>
      <c r="C15874" t="str">
        <f>"8316492"</f>
        <v>8316492</v>
      </c>
      <c r="D15874" t="s">
        <v>48535</v>
      </c>
      <c r="F15874" t="s">
        <v>48536</v>
      </c>
      <c r="I15874" t="s">
        <v>48537</v>
      </c>
      <c r="J15874" t="s">
        <v>12725</v>
      </c>
      <c r="K15874" t="s">
        <v>48538</v>
      </c>
      <c r="M15874" t="s">
        <v>17861</v>
      </c>
      <c r="N15874" t="str">
        <f>"10/1/2021 3:29:00 PM"</f>
        <v>10/1/2021 3:29:00 PM</v>
      </c>
      <c r="O15874" t="s">
        <v>48535</v>
      </c>
    </row>
    <row r="15875" spans="1:20" x14ac:dyDescent="0.25">
      <c r="A15875" t="str">
        <f>"3044257"</f>
        <v>3044257</v>
      </c>
      <c r="B15875" t="s">
        <v>48540</v>
      </c>
      <c r="C15875" t="str">
        <f>"8316493"</f>
        <v>8316493</v>
      </c>
      <c r="D15875" t="s">
        <v>48541</v>
      </c>
      <c r="F15875" t="s">
        <v>48542</v>
      </c>
      <c r="I15875" t="s">
        <v>184</v>
      </c>
      <c r="J15875" t="s">
        <v>30</v>
      </c>
      <c r="K15875" t="s">
        <v>8773</v>
      </c>
      <c r="M15875" t="s">
        <v>17861</v>
      </c>
      <c r="N15875" t="str">
        <f>"10/1/2021 3:37:00 PM"</f>
        <v>10/1/2021 3:37:00 PM</v>
      </c>
      <c r="O15875" t="s">
        <v>48541</v>
      </c>
    </row>
    <row r="15876" spans="1:20" x14ac:dyDescent="0.25">
      <c r="A15876" t="str">
        <f>"3057649"</f>
        <v>3057649</v>
      </c>
      <c r="B15876" t="s">
        <v>48543</v>
      </c>
      <c r="C15876" t="str">
        <f>"8316460"</f>
        <v>8316460</v>
      </c>
      <c r="D15876" t="s">
        <v>48544</v>
      </c>
      <c r="E15876" t="s">
        <v>48545</v>
      </c>
      <c r="F15876" t="s">
        <v>48546</v>
      </c>
      <c r="I15876" t="s">
        <v>184</v>
      </c>
      <c r="J15876" t="s">
        <v>30</v>
      </c>
      <c r="K15876" t="s">
        <v>4918</v>
      </c>
      <c r="M15876" t="s">
        <v>17861</v>
      </c>
      <c r="N15876" t="str">
        <f>"9/30/2021 10:05:00 AM"</f>
        <v>9/30/2021 10:05:00 AM</v>
      </c>
      <c r="O15876" t="s">
        <v>48544</v>
      </c>
      <c r="T15876" t="s">
        <v>48545</v>
      </c>
    </row>
    <row r="15877" spans="1:20" x14ac:dyDescent="0.25">
      <c r="A15877" t="str">
        <f>"3062816"</f>
        <v>3062816</v>
      </c>
      <c r="B15877" t="s">
        <v>48547</v>
      </c>
      <c r="C15877" t="str">
        <f>"8316462"</f>
        <v>8316462</v>
      </c>
      <c r="D15877" t="s">
        <v>48548</v>
      </c>
      <c r="E15877" t="s">
        <v>48549</v>
      </c>
      <c r="F15877" t="s">
        <v>48550</v>
      </c>
      <c r="I15877" t="s">
        <v>29</v>
      </c>
      <c r="J15877" t="s">
        <v>30</v>
      </c>
      <c r="K15877" t="s">
        <v>13835</v>
      </c>
      <c r="M15877" t="s">
        <v>17861</v>
      </c>
      <c r="N15877" t="str">
        <f>"9/30/2021 10:52:00 AM"</f>
        <v>9/30/2021 10:52:00 AM</v>
      </c>
      <c r="O15877" t="s">
        <v>48548</v>
      </c>
      <c r="T15877" t="s">
        <v>48549</v>
      </c>
    </row>
    <row r="15878" spans="1:20" x14ac:dyDescent="0.25">
      <c r="A15878" t="str">
        <f>"3049662"</f>
        <v>3049662</v>
      </c>
      <c r="B15878" t="s">
        <v>48551</v>
      </c>
      <c r="C15878" t="str">
        <f>"8316469"</f>
        <v>8316469</v>
      </c>
      <c r="D15878" t="s">
        <v>48552</v>
      </c>
      <c r="E15878" t="s">
        <v>48553</v>
      </c>
      <c r="F15878" t="s">
        <v>48554</v>
      </c>
      <c r="I15878" t="s">
        <v>29</v>
      </c>
      <c r="J15878" t="s">
        <v>30</v>
      </c>
      <c r="K15878" t="s">
        <v>48555</v>
      </c>
      <c r="M15878" t="s">
        <v>17861</v>
      </c>
      <c r="N15878" t="str">
        <f>"9/30/2021 3:31:00 PM"</f>
        <v>9/30/2021 3:31:00 PM</v>
      </c>
      <c r="O15878" t="s">
        <v>48552</v>
      </c>
      <c r="T15878" t="s">
        <v>48553</v>
      </c>
    </row>
    <row r="15879" spans="1:20" x14ac:dyDescent="0.25">
      <c r="A15879" t="str">
        <f>"3072850"</f>
        <v>3072850</v>
      </c>
      <c r="B15879" t="s">
        <v>48556</v>
      </c>
      <c r="C15879" t="str">
        <f>"8316473"</f>
        <v>8316473</v>
      </c>
      <c r="D15879" t="s">
        <v>48557</v>
      </c>
      <c r="F15879" t="s">
        <v>48558</v>
      </c>
      <c r="G15879" t="s">
        <v>42722</v>
      </c>
      <c r="I15879" t="s">
        <v>1045</v>
      </c>
      <c r="J15879" t="s">
        <v>1046</v>
      </c>
      <c r="K15879" t="s">
        <v>48559</v>
      </c>
      <c r="M15879" t="s">
        <v>17861</v>
      </c>
      <c r="N15879" t="str">
        <f>"10/1/2021 1:25:00 PM"</f>
        <v>10/1/2021 1:25:00 PM</v>
      </c>
      <c r="O15879" t="s">
        <v>48557</v>
      </c>
    </row>
    <row r="15880" spans="1:20" x14ac:dyDescent="0.25">
      <c r="A15880" t="str">
        <f>"3041272"</f>
        <v>3041272</v>
      </c>
      <c r="B15880" t="s">
        <v>48560</v>
      </c>
      <c r="C15880" t="str">
        <f>"8316513"</f>
        <v>8316513</v>
      </c>
      <c r="D15880" t="s">
        <v>48561</v>
      </c>
      <c r="F15880" t="s">
        <v>48562</v>
      </c>
      <c r="I15880" t="s">
        <v>2071</v>
      </c>
      <c r="J15880" t="s">
        <v>30</v>
      </c>
      <c r="K15880" t="s">
        <v>32429</v>
      </c>
      <c r="M15880" t="s">
        <v>17861</v>
      </c>
      <c r="N15880" t="str">
        <f>"10/4/2021 1:10:00 PM"</f>
        <v>10/4/2021 1:10:00 PM</v>
      </c>
      <c r="O15880" t="s">
        <v>48561</v>
      </c>
    </row>
    <row r="15881" spans="1:20" x14ac:dyDescent="0.25">
      <c r="A15881" t="str">
        <f>"3042195"</f>
        <v>3042195</v>
      </c>
      <c r="B15881" t="s">
        <v>48563</v>
      </c>
      <c r="C15881" t="str">
        <f>"8316515"</f>
        <v>8316515</v>
      </c>
      <c r="D15881" t="s">
        <v>39598</v>
      </c>
      <c r="E15881" t="s">
        <v>48564</v>
      </c>
      <c r="F15881" t="s">
        <v>39599</v>
      </c>
      <c r="I15881" t="s">
        <v>29</v>
      </c>
      <c r="J15881" t="s">
        <v>30</v>
      </c>
      <c r="K15881" t="s">
        <v>5281</v>
      </c>
      <c r="M15881" t="s">
        <v>17861</v>
      </c>
      <c r="N15881" t="str">
        <f>"10/4/2021 1:15:00 PM"</f>
        <v>10/4/2021 1:15:00 PM</v>
      </c>
      <c r="O15881" t="s">
        <v>39598</v>
      </c>
      <c r="T15881" t="s">
        <v>48564</v>
      </c>
    </row>
    <row r="15882" spans="1:20" x14ac:dyDescent="0.25">
      <c r="A15882" t="str">
        <f>"3037935"</f>
        <v>3037935</v>
      </c>
      <c r="B15882" t="s">
        <v>48565</v>
      </c>
      <c r="C15882" t="str">
        <f>"8313531"</f>
        <v>8313531</v>
      </c>
      <c r="D15882" t="s">
        <v>48566</v>
      </c>
      <c r="E15882" t="s">
        <v>48567</v>
      </c>
      <c r="F15882" t="s">
        <v>48568</v>
      </c>
      <c r="G15882" t="s">
        <v>42722</v>
      </c>
      <c r="I15882" t="s">
        <v>3196</v>
      </c>
      <c r="J15882" t="s">
        <v>30</v>
      </c>
      <c r="K15882" t="str">
        <f>"28277"</f>
        <v>28277</v>
      </c>
      <c r="M15882" t="s">
        <v>33845</v>
      </c>
      <c r="N15882" t="str">
        <f>"10/4/2021 2:00:00 PM"</f>
        <v>10/4/2021 2:00:00 PM</v>
      </c>
      <c r="O15882" t="s">
        <v>48566</v>
      </c>
      <c r="T15882" t="s">
        <v>48567</v>
      </c>
    </row>
    <row r="15883" spans="1:20" x14ac:dyDescent="0.25">
      <c r="A15883" t="str">
        <f>"3060027"</f>
        <v>3060027</v>
      </c>
      <c r="B15883" t="s">
        <v>48569</v>
      </c>
      <c r="C15883" t="str">
        <f>"8316517"</f>
        <v>8316517</v>
      </c>
      <c r="D15883" t="s">
        <v>48570</v>
      </c>
      <c r="E15883" t="s">
        <v>48571</v>
      </c>
      <c r="F15883" t="s">
        <v>48572</v>
      </c>
      <c r="I15883" t="s">
        <v>184</v>
      </c>
      <c r="J15883" t="s">
        <v>30</v>
      </c>
      <c r="K15883" t="s">
        <v>48573</v>
      </c>
      <c r="M15883" t="s">
        <v>17861</v>
      </c>
      <c r="N15883" t="str">
        <f>"10/4/2021 3:24:00 PM"</f>
        <v>10/4/2021 3:24:00 PM</v>
      </c>
      <c r="O15883" t="s">
        <v>48570</v>
      </c>
      <c r="T15883" t="s">
        <v>48571</v>
      </c>
    </row>
    <row r="15884" spans="1:20" x14ac:dyDescent="0.25">
      <c r="A15884" t="str">
        <f>"3056821"</f>
        <v>3056821</v>
      </c>
      <c r="B15884" t="s">
        <v>48574</v>
      </c>
      <c r="C15884" t="str">
        <f>"8316474"</f>
        <v>8316474</v>
      </c>
      <c r="D15884" t="s">
        <v>48575</v>
      </c>
      <c r="E15884" t="s">
        <v>48576</v>
      </c>
      <c r="F15884" t="s">
        <v>48577</v>
      </c>
      <c r="I15884" t="s">
        <v>29</v>
      </c>
      <c r="J15884" t="s">
        <v>30</v>
      </c>
      <c r="K15884" t="s">
        <v>34834</v>
      </c>
      <c r="M15884" t="s">
        <v>17861</v>
      </c>
      <c r="N15884" t="str">
        <f>"10/1/2021 1:27:00 PM"</f>
        <v>10/1/2021 1:27:00 PM</v>
      </c>
      <c r="O15884" t="s">
        <v>48575</v>
      </c>
      <c r="T15884" t="s">
        <v>48576</v>
      </c>
    </row>
    <row r="15885" spans="1:20" x14ac:dyDescent="0.25">
      <c r="A15885" t="str">
        <f>"3048231"</f>
        <v>3048231</v>
      </c>
      <c r="B15885" t="s">
        <v>48578</v>
      </c>
      <c r="C15885" t="str">
        <f>"8316476"</f>
        <v>8316476</v>
      </c>
      <c r="D15885" t="s">
        <v>48579</v>
      </c>
      <c r="E15885" t="s">
        <v>48580</v>
      </c>
      <c r="F15885" t="s">
        <v>48581</v>
      </c>
      <c r="I15885" t="s">
        <v>29</v>
      </c>
      <c r="J15885" t="s">
        <v>30</v>
      </c>
      <c r="K15885" t="s">
        <v>48582</v>
      </c>
      <c r="M15885" t="s">
        <v>17861</v>
      </c>
      <c r="N15885" t="str">
        <f>"10/1/2021 2:03:00 PM"</f>
        <v>10/1/2021 2:03:00 PM</v>
      </c>
      <c r="O15885" t="s">
        <v>48579</v>
      </c>
      <c r="T15885" t="s">
        <v>48580</v>
      </c>
    </row>
    <row r="15886" spans="1:20" x14ac:dyDescent="0.25">
      <c r="A15886" t="str">
        <f>"3050522"</f>
        <v>3050522</v>
      </c>
      <c r="B15886" t="s">
        <v>48583</v>
      </c>
      <c r="C15886" t="str">
        <f>"8316524"</f>
        <v>8316524</v>
      </c>
      <c r="D15886" t="s">
        <v>48584</v>
      </c>
      <c r="F15886" t="s">
        <v>48585</v>
      </c>
      <c r="I15886" t="s">
        <v>184</v>
      </c>
      <c r="J15886" t="s">
        <v>30</v>
      </c>
      <c r="K15886" t="s">
        <v>12463</v>
      </c>
      <c r="M15886" t="s">
        <v>17861</v>
      </c>
      <c r="N15886" t="str">
        <f>"10/4/2021 3:50:00 PM"</f>
        <v>10/4/2021 3:50:00 PM</v>
      </c>
      <c r="O15886" t="s">
        <v>48584</v>
      </c>
    </row>
    <row r="15887" spans="1:20" x14ac:dyDescent="0.25">
      <c r="A15887" t="str">
        <f>"3052890"</f>
        <v>3052890</v>
      </c>
      <c r="B15887" t="s">
        <v>48586</v>
      </c>
      <c r="C15887" t="str">
        <f>"8316525"</f>
        <v>8316525</v>
      </c>
      <c r="D15887" t="s">
        <v>48587</v>
      </c>
      <c r="E15887" t="s">
        <v>48588</v>
      </c>
      <c r="F15887" t="s">
        <v>48589</v>
      </c>
      <c r="I15887" t="s">
        <v>29</v>
      </c>
      <c r="J15887" t="s">
        <v>30</v>
      </c>
      <c r="K15887" t="s">
        <v>47016</v>
      </c>
      <c r="M15887" t="s">
        <v>17861</v>
      </c>
      <c r="N15887" t="str">
        <f>"10/4/2021 3:55:00 PM"</f>
        <v>10/4/2021 3:55:00 PM</v>
      </c>
      <c r="O15887" t="s">
        <v>48587</v>
      </c>
      <c r="T15887" t="s">
        <v>48588</v>
      </c>
    </row>
    <row r="15888" spans="1:20" x14ac:dyDescent="0.25">
      <c r="A15888" t="str">
        <f>"3054353"</f>
        <v>3054353</v>
      </c>
      <c r="B15888" t="s">
        <v>48590</v>
      </c>
      <c r="C15888" t="str">
        <f>"8316477"</f>
        <v>8316477</v>
      </c>
      <c r="D15888" t="s">
        <v>48591</v>
      </c>
      <c r="E15888" t="s">
        <v>48592</v>
      </c>
      <c r="F15888" t="s">
        <v>48593</v>
      </c>
      <c r="I15888" t="s">
        <v>29</v>
      </c>
      <c r="J15888" t="s">
        <v>30</v>
      </c>
      <c r="K15888" t="s">
        <v>37236</v>
      </c>
      <c r="M15888" t="s">
        <v>17861</v>
      </c>
      <c r="N15888" t="str">
        <f>"10/1/2021 2:06:00 PM"</f>
        <v>10/1/2021 2:06:00 PM</v>
      </c>
      <c r="O15888" t="s">
        <v>48591</v>
      </c>
      <c r="T15888" t="s">
        <v>48592</v>
      </c>
    </row>
    <row r="15889" spans="1:20" x14ac:dyDescent="0.25">
      <c r="A15889" t="str">
        <f>"3056086"</f>
        <v>3056086</v>
      </c>
      <c r="B15889" t="s">
        <v>48594</v>
      </c>
      <c r="C15889" t="str">
        <f>"8316478"</f>
        <v>8316478</v>
      </c>
      <c r="D15889" t="s">
        <v>48595</v>
      </c>
      <c r="F15889" t="s">
        <v>48596</v>
      </c>
      <c r="I15889" t="s">
        <v>9580</v>
      </c>
      <c r="J15889" t="s">
        <v>30</v>
      </c>
      <c r="K15889" t="str">
        <f>"27014"</f>
        <v>27014</v>
      </c>
      <c r="M15889" t="s">
        <v>17861</v>
      </c>
      <c r="N15889" t="str">
        <f>"10/1/2021 2:07:00 PM"</f>
        <v>10/1/2021 2:07:00 PM</v>
      </c>
      <c r="O15889" t="s">
        <v>48595</v>
      </c>
    </row>
    <row r="15890" spans="1:20" x14ac:dyDescent="0.25">
      <c r="A15890" t="str">
        <f>"3051894"</f>
        <v>3051894</v>
      </c>
      <c r="B15890" t="s">
        <v>48597</v>
      </c>
      <c r="C15890" t="str">
        <f>"8316479"</f>
        <v>8316479</v>
      </c>
      <c r="D15890" t="s">
        <v>48598</v>
      </c>
      <c r="F15890" t="s">
        <v>48599</v>
      </c>
      <c r="I15890" t="s">
        <v>29</v>
      </c>
      <c r="J15890" t="s">
        <v>30</v>
      </c>
      <c r="K15890" t="s">
        <v>12083</v>
      </c>
      <c r="M15890" t="s">
        <v>17861</v>
      </c>
      <c r="N15890" t="str">
        <f>"10/1/2021 2:18:00 PM"</f>
        <v>10/1/2021 2:18:00 PM</v>
      </c>
      <c r="O15890" t="s">
        <v>48598</v>
      </c>
    </row>
    <row r="15891" spans="1:20" x14ac:dyDescent="0.25">
      <c r="A15891" t="str">
        <f>"3051903"</f>
        <v>3051903</v>
      </c>
      <c r="B15891" t="s">
        <v>48600</v>
      </c>
      <c r="C15891" t="str">
        <f>"8316479"</f>
        <v>8316479</v>
      </c>
      <c r="D15891" t="s">
        <v>48598</v>
      </c>
      <c r="F15891" t="s">
        <v>48599</v>
      </c>
      <c r="I15891" t="s">
        <v>29</v>
      </c>
      <c r="J15891" t="s">
        <v>30</v>
      </c>
      <c r="K15891" t="s">
        <v>12083</v>
      </c>
      <c r="M15891" t="s">
        <v>17861</v>
      </c>
      <c r="N15891" t="str">
        <f>"10/1/2021 2:18:00 PM"</f>
        <v>10/1/2021 2:18:00 PM</v>
      </c>
      <c r="O15891" t="s">
        <v>48598</v>
      </c>
    </row>
    <row r="15892" spans="1:20" x14ac:dyDescent="0.25">
      <c r="A15892" t="str">
        <f>"3051825"</f>
        <v>3051825</v>
      </c>
      <c r="B15892" t="s">
        <v>48601</v>
      </c>
      <c r="C15892" t="str">
        <f>"8316480"</f>
        <v>8316480</v>
      </c>
      <c r="D15892" t="s">
        <v>48602</v>
      </c>
      <c r="F15892" t="s">
        <v>48603</v>
      </c>
      <c r="I15892" t="s">
        <v>402</v>
      </c>
      <c r="J15892" t="s">
        <v>30</v>
      </c>
      <c r="K15892" t="s">
        <v>48604</v>
      </c>
      <c r="M15892" t="s">
        <v>17861</v>
      </c>
      <c r="N15892" t="str">
        <f>"10/1/2021 2:20:00 PM"</f>
        <v>10/1/2021 2:20:00 PM</v>
      </c>
      <c r="O15892" t="s">
        <v>48602</v>
      </c>
    </row>
    <row r="15893" spans="1:20" x14ac:dyDescent="0.25">
      <c r="A15893" t="str">
        <f>"3050873"</f>
        <v>3050873</v>
      </c>
      <c r="B15893" t="s">
        <v>48605</v>
      </c>
      <c r="C15893" t="str">
        <f>"8316482"</f>
        <v>8316482</v>
      </c>
      <c r="D15893" t="s">
        <v>48606</v>
      </c>
      <c r="F15893" t="s">
        <v>48607</v>
      </c>
      <c r="I15893" t="s">
        <v>184</v>
      </c>
      <c r="J15893" t="s">
        <v>30</v>
      </c>
      <c r="K15893" t="s">
        <v>48608</v>
      </c>
      <c r="M15893" t="s">
        <v>17861</v>
      </c>
      <c r="N15893" t="str">
        <f>"10/1/2021 2:49:00 PM"</f>
        <v>10/1/2021 2:49:00 PM</v>
      </c>
      <c r="O15893" t="s">
        <v>48606</v>
      </c>
    </row>
    <row r="15894" spans="1:20" x14ac:dyDescent="0.25">
      <c r="A15894" t="str">
        <f>"3057699"</f>
        <v>3057699</v>
      </c>
      <c r="B15894" t="s">
        <v>48609</v>
      </c>
      <c r="C15894" t="str">
        <f>"8316507"</f>
        <v>8316507</v>
      </c>
      <c r="D15894" t="s">
        <v>48610</v>
      </c>
      <c r="F15894" t="s">
        <v>48611</v>
      </c>
      <c r="I15894" t="s">
        <v>2071</v>
      </c>
      <c r="J15894" t="s">
        <v>30</v>
      </c>
      <c r="K15894" t="s">
        <v>48423</v>
      </c>
      <c r="M15894" t="s">
        <v>17861</v>
      </c>
      <c r="N15894" t="str">
        <f>"10/4/2021 11:02:00 AM"</f>
        <v>10/4/2021 11:02:00 AM</v>
      </c>
      <c r="O15894" t="s">
        <v>48610</v>
      </c>
    </row>
    <row r="15895" spans="1:20" x14ac:dyDescent="0.25">
      <c r="A15895" t="str">
        <f>"3062128"</f>
        <v>3062128</v>
      </c>
      <c r="B15895" t="s">
        <v>48612</v>
      </c>
      <c r="C15895" t="str">
        <f>"8316539"</f>
        <v>8316539</v>
      </c>
      <c r="D15895" t="s">
        <v>48613</v>
      </c>
      <c r="F15895" t="s">
        <v>48614</v>
      </c>
      <c r="I15895" t="s">
        <v>2681</v>
      </c>
      <c r="J15895" t="s">
        <v>1543</v>
      </c>
      <c r="K15895" t="str">
        <f>"17111"</f>
        <v>17111</v>
      </c>
      <c r="M15895" t="s">
        <v>17861</v>
      </c>
      <c r="N15895" t="str">
        <f>"10/7/2021 9:52:00 AM"</f>
        <v>10/7/2021 9:52:00 AM</v>
      </c>
      <c r="O15895" t="s">
        <v>48613</v>
      </c>
    </row>
    <row r="15896" spans="1:20" x14ac:dyDescent="0.25">
      <c r="A15896" t="str">
        <f>"3047540"</f>
        <v>3047540</v>
      </c>
      <c r="B15896" t="s">
        <v>48615</v>
      </c>
      <c r="C15896" t="str">
        <f>"8316541"</f>
        <v>8316541</v>
      </c>
      <c r="D15896" t="s">
        <v>48616</v>
      </c>
      <c r="E15896" t="s">
        <v>48617</v>
      </c>
      <c r="F15896" t="s">
        <v>48618</v>
      </c>
      <c r="I15896" t="s">
        <v>48619</v>
      </c>
      <c r="J15896" t="s">
        <v>2738</v>
      </c>
      <c r="K15896" t="s">
        <v>48620</v>
      </c>
      <c r="M15896" t="s">
        <v>17861</v>
      </c>
      <c r="N15896" t="str">
        <f>"10/7/2021 10:34:00 AM"</f>
        <v>10/7/2021 10:34:00 AM</v>
      </c>
      <c r="O15896" t="s">
        <v>48616</v>
      </c>
      <c r="T15896" t="s">
        <v>48617</v>
      </c>
    </row>
    <row r="15897" spans="1:20" x14ac:dyDescent="0.25">
      <c r="A15897" t="str">
        <f>"3050776"</f>
        <v>3050776</v>
      </c>
      <c r="B15897" t="s">
        <v>48621</v>
      </c>
      <c r="C15897" t="str">
        <f>"8316510"</f>
        <v>8316510</v>
      </c>
      <c r="D15897" t="s">
        <v>48622</v>
      </c>
      <c r="F15897" t="s">
        <v>48623</v>
      </c>
      <c r="I15897" t="s">
        <v>184</v>
      </c>
      <c r="J15897" t="s">
        <v>30</v>
      </c>
      <c r="K15897" t="s">
        <v>14028</v>
      </c>
      <c r="M15897" t="s">
        <v>17861</v>
      </c>
      <c r="N15897" t="str">
        <f>"10/4/2021 11:18:00 AM"</f>
        <v>10/4/2021 11:18:00 AM</v>
      </c>
      <c r="O15897" t="s">
        <v>48622</v>
      </c>
    </row>
    <row r="15898" spans="1:20" x14ac:dyDescent="0.25">
      <c r="A15898" t="str">
        <f>"3039230"</f>
        <v>3039230</v>
      </c>
      <c r="B15898" t="s">
        <v>48624</v>
      </c>
      <c r="C15898" t="str">
        <f>"8315613"</f>
        <v>8315613</v>
      </c>
      <c r="D15898" t="s">
        <v>48625</v>
      </c>
      <c r="E15898" t="s">
        <v>48626</v>
      </c>
      <c r="F15898" t="s">
        <v>48627</v>
      </c>
      <c r="I15898" t="s">
        <v>17921</v>
      </c>
      <c r="J15898" t="s">
        <v>30</v>
      </c>
      <c r="K15898" t="s">
        <v>48628</v>
      </c>
      <c r="M15898" t="s">
        <v>33845</v>
      </c>
      <c r="N15898" t="str">
        <f>"10/7/2021 11:24:00 AM"</f>
        <v>10/7/2021 11:24:00 AM</v>
      </c>
      <c r="O15898" t="s">
        <v>48625</v>
      </c>
      <c r="T15898" t="s">
        <v>48626</v>
      </c>
    </row>
    <row r="15899" spans="1:20" x14ac:dyDescent="0.25">
      <c r="A15899" t="str">
        <f>"3049529"</f>
        <v>3049529</v>
      </c>
      <c r="B15899" t="s">
        <v>48629</v>
      </c>
      <c r="C15899" t="str">
        <f>"8316543"</f>
        <v>8316543</v>
      </c>
      <c r="D15899" t="s">
        <v>48630</v>
      </c>
      <c r="F15899" t="s">
        <v>48631</v>
      </c>
      <c r="I15899" t="s">
        <v>29</v>
      </c>
      <c r="J15899" t="s">
        <v>30</v>
      </c>
      <c r="K15899" t="s">
        <v>39112</v>
      </c>
      <c r="M15899" t="s">
        <v>17861</v>
      </c>
      <c r="N15899" t="str">
        <f>"10/7/2021 12:38:00 PM"</f>
        <v>10/7/2021 12:38:00 PM</v>
      </c>
      <c r="O15899" t="s">
        <v>48630</v>
      </c>
    </row>
    <row r="15900" spans="1:20" x14ac:dyDescent="0.25">
      <c r="A15900" t="str">
        <f>"3050088"</f>
        <v>3050088</v>
      </c>
      <c r="B15900" t="s">
        <v>48632</v>
      </c>
      <c r="C15900" t="str">
        <f>"8316543"</f>
        <v>8316543</v>
      </c>
      <c r="D15900" t="s">
        <v>48630</v>
      </c>
      <c r="F15900" t="s">
        <v>48631</v>
      </c>
      <c r="I15900" t="s">
        <v>29</v>
      </c>
      <c r="J15900" t="s">
        <v>30</v>
      </c>
      <c r="K15900" t="s">
        <v>39112</v>
      </c>
      <c r="M15900" t="s">
        <v>17861</v>
      </c>
      <c r="N15900" t="str">
        <f>"10/7/2021 12:38:00 PM"</f>
        <v>10/7/2021 12:38:00 PM</v>
      </c>
      <c r="O15900" t="s">
        <v>48630</v>
      </c>
    </row>
    <row r="15901" spans="1:20" x14ac:dyDescent="0.25">
      <c r="A15901" t="str">
        <f>"3062895"</f>
        <v>3062895</v>
      </c>
      <c r="B15901" t="s">
        <v>48633</v>
      </c>
      <c r="C15901" t="str">
        <f>"8316545"</f>
        <v>8316545</v>
      </c>
      <c r="D15901" t="s">
        <v>48634</v>
      </c>
      <c r="F15901" t="s">
        <v>48635</v>
      </c>
      <c r="I15901" t="s">
        <v>29</v>
      </c>
      <c r="J15901" t="s">
        <v>30</v>
      </c>
      <c r="K15901" t="s">
        <v>11151</v>
      </c>
      <c r="M15901" t="s">
        <v>17861</v>
      </c>
      <c r="N15901" t="str">
        <f>"10/7/2021 12:57:00 PM"</f>
        <v>10/7/2021 12:57:00 PM</v>
      </c>
      <c r="O15901" t="s">
        <v>48634</v>
      </c>
    </row>
    <row r="15902" spans="1:20" x14ac:dyDescent="0.25">
      <c r="A15902" t="str">
        <f>"3059954"</f>
        <v>3059954</v>
      </c>
      <c r="B15902" t="s">
        <v>48636</v>
      </c>
      <c r="C15902" t="str">
        <f>"8316547"</f>
        <v>8316547</v>
      </c>
      <c r="D15902" t="s">
        <v>48637</v>
      </c>
      <c r="E15902" t="s">
        <v>48638</v>
      </c>
      <c r="F15902" t="s">
        <v>48639</v>
      </c>
      <c r="I15902" t="s">
        <v>184</v>
      </c>
      <c r="J15902" t="s">
        <v>30</v>
      </c>
      <c r="K15902" t="s">
        <v>48640</v>
      </c>
      <c r="M15902" t="s">
        <v>17861</v>
      </c>
      <c r="N15902" t="str">
        <f>"10/7/2021 1:07:00 PM"</f>
        <v>10/7/2021 1:07:00 PM</v>
      </c>
      <c r="O15902" t="s">
        <v>48637</v>
      </c>
      <c r="T15902" t="s">
        <v>48638</v>
      </c>
    </row>
    <row r="15903" spans="1:20" x14ac:dyDescent="0.25">
      <c r="A15903" t="str">
        <f>"3057374"</f>
        <v>3057374</v>
      </c>
      <c r="B15903" t="s">
        <v>48641</v>
      </c>
      <c r="C15903" t="str">
        <f>"8316547"</f>
        <v>8316547</v>
      </c>
      <c r="D15903" t="s">
        <v>48637</v>
      </c>
      <c r="E15903" t="s">
        <v>48638</v>
      </c>
      <c r="F15903" t="s">
        <v>48639</v>
      </c>
      <c r="I15903" t="s">
        <v>184</v>
      </c>
      <c r="J15903" t="s">
        <v>30</v>
      </c>
      <c r="K15903" t="s">
        <v>48640</v>
      </c>
      <c r="M15903" t="s">
        <v>17861</v>
      </c>
      <c r="N15903" t="str">
        <f>"10/7/2021 1:07:00 PM"</f>
        <v>10/7/2021 1:07:00 PM</v>
      </c>
      <c r="O15903" t="s">
        <v>48637</v>
      </c>
      <c r="T15903" t="s">
        <v>48638</v>
      </c>
    </row>
    <row r="15904" spans="1:20" x14ac:dyDescent="0.25">
      <c r="A15904" t="str">
        <f>"3067807"</f>
        <v>3067807</v>
      </c>
      <c r="B15904" t="s">
        <v>48642</v>
      </c>
      <c r="C15904" t="str">
        <f>"8316549"</f>
        <v>8316549</v>
      </c>
      <c r="D15904" t="s">
        <v>48643</v>
      </c>
      <c r="F15904" t="s">
        <v>48644</v>
      </c>
      <c r="I15904" t="s">
        <v>29</v>
      </c>
      <c r="J15904" t="s">
        <v>30</v>
      </c>
      <c r="K15904" t="s">
        <v>1461</v>
      </c>
      <c r="M15904" t="s">
        <v>17861</v>
      </c>
      <c r="N15904" t="str">
        <f>"10/7/2021 1:19:00 PM"</f>
        <v>10/7/2021 1:19:00 PM</v>
      </c>
      <c r="O15904" t="s">
        <v>48643</v>
      </c>
    </row>
    <row r="15905" spans="1:20" x14ac:dyDescent="0.25">
      <c r="A15905" t="str">
        <f>"3061241"</f>
        <v>3061241</v>
      </c>
      <c r="B15905" t="s">
        <v>48645</v>
      </c>
      <c r="C15905" t="str">
        <f>"8316551"</f>
        <v>8316551</v>
      </c>
      <c r="D15905" t="s">
        <v>48646</v>
      </c>
      <c r="F15905" t="s">
        <v>48647</v>
      </c>
      <c r="I15905" t="s">
        <v>2071</v>
      </c>
      <c r="J15905" t="s">
        <v>30</v>
      </c>
      <c r="K15905" t="s">
        <v>44294</v>
      </c>
      <c r="M15905" t="s">
        <v>17861</v>
      </c>
      <c r="N15905" t="str">
        <f>"10/7/2021 1:23:00 PM"</f>
        <v>10/7/2021 1:23:00 PM</v>
      </c>
      <c r="O15905" t="s">
        <v>48646</v>
      </c>
    </row>
    <row r="15906" spans="1:20" x14ac:dyDescent="0.25">
      <c r="A15906" t="str">
        <f>"3060165"</f>
        <v>3060165</v>
      </c>
      <c r="B15906" t="s">
        <v>48648</v>
      </c>
      <c r="C15906" t="str">
        <f>"8316511"</f>
        <v>8316511</v>
      </c>
      <c r="D15906" t="s">
        <v>48649</v>
      </c>
      <c r="F15906" t="s">
        <v>48650</v>
      </c>
      <c r="I15906" t="s">
        <v>184</v>
      </c>
      <c r="J15906" t="s">
        <v>30</v>
      </c>
      <c r="K15906" t="s">
        <v>48651</v>
      </c>
      <c r="M15906" t="s">
        <v>17861</v>
      </c>
      <c r="N15906" t="str">
        <f>"10/4/2021 11:29:00 AM"</f>
        <v>10/4/2021 11:29:00 AM</v>
      </c>
      <c r="O15906" t="s">
        <v>48649</v>
      </c>
    </row>
    <row r="15907" spans="1:20" x14ac:dyDescent="0.25">
      <c r="A15907" t="str">
        <f>"3060162"</f>
        <v>3060162</v>
      </c>
      <c r="B15907" t="s">
        <v>48652</v>
      </c>
      <c r="C15907" t="str">
        <f>"8316512"</f>
        <v>8316512</v>
      </c>
      <c r="D15907" t="s">
        <v>48653</v>
      </c>
      <c r="F15907" t="s">
        <v>48654</v>
      </c>
      <c r="I15907" t="s">
        <v>29</v>
      </c>
      <c r="J15907" t="s">
        <v>30</v>
      </c>
      <c r="K15907" t="s">
        <v>1461</v>
      </c>
      <c r="M15907" t="s">
        <v>17861</v>
      </c>
      <c r="N15907" t="str">
        <f>"10/4/2021 12:38:00 PM"</f>
        <v>10/4/2021 12:38:00 PM</v>
      </c>
      <c r="O15907" t="s">
        <v>48653</v>
      </c>
    </row>
    <row r="15908" spans="1:20" x14ac:dyDescent="0.25">
      <c r="A15908" t="str">
        <f>"3061415"</f>
        <v>3061415</v>
      </c>
      <c r="B15908" t="s">
        <v>48655</v>
      </c>
      <c r="C15908" t="str">
        <f>"8316519"</f>
        <v>8316519</v>
      </c>
      <c r="D15908" t="s">
        <v>48656</v>
      </c>
      <c r="E15908" t="s">
        <v>48657</v>
      </c>
      <c r="F15908" t="s">
        <v>48658</v>
      </c>
      <c r="I15908" t="s">
        <v>184</v>
      </c>
      <c r="J15908" t="s">
        <v>30</v>
      </c>
      <c r="K15908" t="s">
        <v>5664</v>
      </c>
      <c r="M15908" t="s">
        <v>17861</v>
      </c>
      <c r="N15908" t="str">
        <f>"10/4/2021 3:28:00 PM"</f>
        <v>10/4/2021 3:28:00 PM</v>
      </c>
      <c r="O15908" t="s">
        <v>48656</v>
      </c>
      <c r="T15908" t="s">
        <v>48657</v>
      </c>
    </row>
    <row r="15909" spans="1:20" x14ac:dyDescent="0.25">
      <c r="A15909" t="str">
        <f>"3061755"</f>
        <v>3061755</v>
      </c>
      <c r="B15909" t="s">
        <v>48659</v>
      </c>
      <c r="C15909" t="str">
        <f>"8316521"</f>
        <v>8316521</v>
      </c>
      <c r="D15909" t="s">
        <v>48660</v>
      </c>
      <c r="E15909" t="s">
        <v>48661</v>
      </c>
      <c r="F15909" t="s">
        <v>48662</v>
      </c>
      <c r="I15909" t="s">
        <v>2071</v>
      </c>
      <c r="J15909" t="s">
        <v>30</v>
      </c>
      <c r="K15909" t="s">
        <v>4010</v>
      </c>
      <c r="M15909" t="s">
        <v>17861</v>
      </c>
      <c r="N15909" t="str">
        <f>"10/4/2021 3:33:00 PM"</f>
        <v>10/4/2021 3:33:00 PM</v>
      </c>
      <c r="O15909" t="s">
        <v>48660</v>
      </c>
      <c r="T15909" t="s">
        <v>48661</v>
      </c>
    </row>
    <row r="15910" spans="1:20" x14ac:dyDescent="0.25">
      <c r="A15910" t="str">
        <f>"3039190"</f>
        <v>3039190</v>
      </c>
      <c r="B15910" t="s">
        <v>48663</v>
      </c>
      <c r="C15910" t="str">
        <f>"8315613"</f>
        <v>8315613</v>
      </c>
      <c r="D15910" t="s">
        <v>48625</v>
      </c>
      <c r="E15910" t="s">
        <v>48626</v>
      </c>
      <c r="F15910" t="s">
        <v>48627</v>
      </c>
      <c r="I15910" t="s">
        <v>17921</v>
      </c>
      <c r="J15910" t="s">
        <v>30</v>
      </c>
      <c r="K15910" t="s">
        <v>48628</v>
      </c>
      <c r="M15910" t="s">
        <v>33845</v>
      </c>
      <c r="N15910" t="str">
        <f>"10/7/2021 11:24:00 AM"</f>
        <v>10/7/2021 11:24:00 AM</v>
      </c>
      <c r="O15910" t="s">
        <v>48625</v>
      </c>
      <c r="T15910" t="s">
        <v>48626</v>
      </c>
    </row>
    <row r="15911" spans="1:20" x14ac:dyDescent="0.25">
      <c r="A15911" t="str">
        <f>"3039929"</f>
        <v>3039929</v>
      </c>
      <c r="B15911" t="s">
        <v>48664</v>
      </c>
      <c r="C15911" t="str">
        <f>"8316531"</f>
        <v>8316531</v>
      </c>
      <c r="D15911" t="s">
        <v>48665</v>
      </c>
      <c r="F15911" t="s">
        <v>48666</v>
      </c>
      <c r="I15911" t="s">
        <v>184</v>
      </c>
      <c r="J15911" t="s">
        <v>30</v>
      </c>
      <c r="K15911" t="s">
        <v>663</v>
      </c>
      <c r="M15911" t="s">
        <v>17861</v>
      </c>
      <c r="N15911" t="str">
        <f>"10/6/2021 4:17:00 PM"</f>
        <v>10/6/2021 4:17:00 PM</v>
      </c>
      <c r="O15911" t="s">
        <v>48665</v>
      </c>
    </row>
    <row r="15912" spans="1:20" x14ac:dyDescent="0.25">
      <c r="A15912" t="str">
        <f>"3061674"</f>
        <v>3061674</v>
      </c>
      <c r="B15912" t="s">
        <v>48667</v>
      </c>
      <c r="C15912" t="str">
        <f>"8316564"</f>
        <v>8316564</v>
      </c>
      <c r="D15912" t="s">
        <v>6820</v>
      </c>
      <c r="E15912" t="s">
        <v>48668</v>
      </c>
      <c r="F15912" t="s">
        <v>48669</v>
      </c>
      <c r="I15912" t="s">
        <v>184</v>
      </c>
      <c r="J15912" t="s">
        <v>30</v>
      </c>
      <c r="K15912" t="s">
        <v>8906</v>
      </c>
      <c r="M15912" t="s">
        <v>17861</v>
      </c>
      <c r="N15912" t="str">
        <f>"10/11/2021 1:44:00 PM"</f>
        <v>10/11/2021 1:44:00 PM</v>
      </c>
      <c r="O15912" t="s">
        <v>6820</v>
      </c>
      <c r="T15912" t="s">
        <v>48668</v>
      </c>
    </row>
    <row r="15913" spans="1:20" x14ac:dyDescent="0.25">
      <c r="A15913" t="str">
        <f>"3056468"</f>
        <v>3056468</v>
      </c>
      <c r="B15913" t="s">
        <v>48670</v>
      </c>
      <c r="C15913" t="str">
        <f>"8316566"</f>
        <v>8316566</v>
      </c>
      <c r="D15913" t="s">
        <v>48671</v>
      </c>
      <c r="F15913" t="s">
        <v>48672</v>
      </c>
      <c r="I15913" t="s">
        <v>29</v>
      </c>
      <c r="J15913" t="s">
        <v>30</v>
      </c>
      <c r="K15913" t="s">
        <v>16358</v>
      </c>
      <c r="M15913" t="s">
        <v>17861</v>
      </c>
      <c r="N15913" t="str">
        <f>"10/11/2021 1:49:00 PM"</f>
        <v>10/11/2021 1:49:00 PM</v>
      </c>
      <c r="O15913" t="s">
        <v>48671</v>
      </c>
    </row>
    <row r="15914" spans="1:20" x14ac:dyDescent="0.25">
      <c r="A15914" t="str">
        <f>"3051602"</f>
        <v>3051602</v>
      </c>
      <c r="B15914" t="s">
        <v>48673</v>
      </c>
      <c r="C15914" t="str">
        <f>"8316567"</f>
        <v>8316567</v>
      </c>
      <c r="D15914" t="s">
        <v>48674</v>
      </c>
      <c r="E15914" t="s">
        <v>48675</v>
      </c>
      <c r="F15914" t="s">
        <v>48676</v>
      </c>
      <c r="I15914" t="s">
        <v>29</v>
      </c>
      <c r="J15914" t="s">
        <v>30</v>
      </c>
      <c r="K15914" t="s">
        <v>48677</v>
      </c>
      <c r="M15914" t="s">
        <v>17861</v>
      </c>
      <c r="N15914" t="str">
        <f>"10/11/2021 1:53:00 PM"</f>
        <v>10/11/2021 1:53:00 PM</v>
      </c>
      <c r="O15914" t="s">
        <v>48674</v>
      </c>
      <c r="T15914" t="s">
        <v>48675</v>
      </c>
    </row>
    <row r="15915" spans="1:20" x14ac:dyDescent="0.25">
      <c r="A15915" t="str">
        <f>"3051614"</f>
        <v>3051614</v>
      </c>
      <c r="B15915" t="s">
        <v>48678</v>
      </c>
      <c r="C15915" t="str">
        <f>"8316567"</f>
        <v>8316567</v>
      </c>
      <c r="D15915" t="s">
        <v>48674</v>
      </c>
      <c r="E15915" t="s">
        <v>48675</v>
      </c>
      <c r="F15915" t="s">
        <v>48676</v>
      </c>
      <c r="I15915" t="s">
        <v>29</v>
      </c>
      <c r="J15915" t="s">
        <v>30</v>
      </c>
      <c r="K15915" t="s">
        <v>48677</v>
      </c>
      <c r="M15915" t="s">
        <v>17861</v>
      </c>
      <c r="N15915" t="str">
        <f>"10/11/2021 1:53:00 PM"</f>
        <v>10/11/2021 1:53:00 PM</v>
      </c>
      <c r="O15915" t="s">
        <v>48674</v>
      </c>
      <c r="T15915" t="s">
        <v>48675</v>
      </c>
    </row>
    <row r="15916" spans="1:20" x14ac:dyDescent="0.25">
      <c r="A15916" t="str">
        <f>"3049836"</f>
        <v>3049836</v>
      </c>
      <c r="B15916" t="s">
        <v>48679</v>
      </c>
      <c r="C15916" t="str">
        <f>"8316570"</f>
        <v>8316570</v>
      </c>
      <c r="D15916" t="s">
        <v>48680</v>
      </c>
      <c r="E15916" t="s">
        <v>48681</v>
      </c>
      <c r="F15916" t="s">
        <v>48682</v>
      </c>
      <c r="I15916" t="s">
        <v>29</v>
      </c>
      <c r="J15916" t="s">
        <v>30</v>
      </c>
      <c r="K15916" t="s">
        <v>48683</v>
      </c>
      <c r="M15916" t="s">
        <v>17861</v>
      </c>
      <c r="N15916" t="str">
        <f>"10/11/2021 2:04:00 PM"</f>
        <v>10/11/2021 2:04:00 PM</v>
      </c>
      <c r="O15916" t="s">
        <v>48680</v>
      </c>
      <c r="T15916" t="s">
        <v>48681</v>
      </c>
    </row>
    <row r="15917" spans="1:20" x14ac:dyDescent="0.25">
      <c r="A15917" t="str">
        <f>"3044239"</f>
        <v>3044239</v>
      </c>
      <c r="B15917" t="s">
        <v>48684</v>
      </c>
      <c r="C15917" t="str">
        <f>"8316571"</f>
        <v>8316571</v>
      </c>
      <c r="D15917" t="s">
        <v>48685</v>
      </c>
      <c r="E15917" t="s">
        <v>48686</v>
      </c>
      <c r="F15917" t="s">
        <v>48687</v>
      </c>
      <c r="I15917" t="s">
        <v>184</v>
      </c>
      <c r="J15917" t="s">
        <v>30</v>
      </c>
      <c r="K15917" t="s">
        <v>37923</v>
      </c>
      <c r="M15917" t="s">
        <v>17861</v>
      </c>
      <c r="N15917" t="str">
        <f>"10/11/2021 2:15:00 PM"</f>
        <v>10/11/2021 2:15:00 PM</v>
      </c>
      <c r="O15917" t="s">
        <v>48685</v>
      </c>
      <c r="T15917" t="s">
        <v>48686</v>
      </c>
    </row>
    <row r="15918" spans="1:20" x14ac:dyDescent="0.25">
      <c r="A15918" t="str">
        <f>"3042624"</f>
        <v>3042624</v>
      </c>
      <c r="B15918" t="s">
        <v>48688</v>
      </c>
      <c r="C15918" t="str">
        <f>"8316572"</f>
        <v>8316572</v>
      </c>
      <c r="D15918" t="s">
        <v>48689</v>
      </c>
      <c r="E15918" t="s">
        <v>48690</v>
      </c>
      <c r="F15918" t="s">
        <v>48691</v>
      </c>
      <c r="I15918" t="s">
        <v>29</v>
      </c>
      <c r="J15918" t="s">
        <v>30</v>
      </c>
      <c r="K15918" t="s">
        <v>48692</v>
      </c>
      <c r="M15918" t="s">
        <v>17861</v>
      </c>
      <c r="N15918" t="str">
        <f>"10/11/2021 2:18:00 PM"</f>
        <v>10/11/2021 2:18:00 PM</v>
      </c>
      <c r="O15918" t="s">
        <v>48689</v>
      </c>
      <c r="T15918" t="s">
        <v>48690</v>
      </c>
    </row>
    <row r="15919" spans="1:20" x14ac:dyDescent="0.25">
      <c r="A15919" t="str">
        <f>"3085701"</f>
        <v>3085701</v>
      </c>
      <c r="B15919" t="s">
        <v>48693</v>
      </c>
      <c r="C15919" t="str">
        <f>"8316573"</f>
        <v>8316573</v>
      </c>
      <c r="D15919" t="s">
        <v>48694</v>
      </c>
      <c r="E15919" t="s">
        <v>48695</v>
      </c>
      <c r="F15919" t="s">
        <v>48696</v>
      </c>
      <c r="I15919" t="s">
        <v>29</v>
      </c>
      <c r="J15919" t="s">
        <v>30</v>
      </c>
      <c r="K15919" t="s">
        <v>32872</v>
      </c>
      <c r="M15919" t="s">
        <v>17861</v>
      </c>
      <c r="N15919" t="str">
        <f>"10/11/2021 2:26:00 PM"</f>
        <v>10/11/2021 2:26:00 PM</v>
      </c>
      <c r="O15919" t="s">
        <v>48694</v>
      </c>
      <c r="T15919" t="s">
        <v>48695</v>
      </c>
    </row>
    <row r="15920" spans="1:20" x14ac:dyDescent="0.25">
      <c r="A15920" t="str">
        <f>"3049128"</f>
        <v>3049128</v>
      </c>
      <c r="B15920" t="s">
        <v>48697</v>
      </c>
      <c r="C15920" t="str">
        <f>"82515940"</f>
        <v>82515940</v>
      </c>
      <c r="D15920" t="s">
        <v>48698</v>
      </c>
      <c r="E15920" t="s">
        <v>48699</v>
      </c>
      <c r="F15920" t="s">
        <v>48700</v>
      </c>
      <c r="G15920" t="s">
        <v>48701</v>
      </c>
      <c r="I15920" t="s">
        <v>48702</v>
      </c>
      <c r="J15920" t="s">
        <v>28419</v>
      </c>
      <c r="K15920" t="str">
        <f>"65801"</f>
        <v>65801</v>
      </c>
      <c r="M15920" t="s">
        <v>48703</v>
      </c>
      <c r="N15920" t="str">
        <f>"10/6/2021 4:22:00 PM"</f>
        <v>10/6/2021 4:22:00 PM</v>
      </c>
      <c r="O15920" t="s">
        <v>48698</v>
      </c>
      <c r="T15920" t="s">
        <v>48699</v>
      </c>
    </row>
    <row r="15921" spans="1:20" x14ac:dyDescent="0.25">
      <c r="A15921" t="str">
        <f>"3044276"</f>
        <v>3044276</v>
      </c>
      <c r="B15921" t="s">
        <v>48704</v>
      </c>
      <c r="C15921" t="str">
        <f>"8316533"</f>
        <v>8316533</v>
      </c>
      <c r="D15921" t="s">
        <v>48705</v>
      </c>
      <c r="E15921" t="s">
        <v>48706</v>
      </c>
      <c r="F15921" t="s">
        <v>48707</v>
      </c>
      <c r="I15921" t="s">
        <v>184</v>
      </c>
      <c r="J15921" t="s">
        <v>30</v>
      </c>
      <c r="K15921" t="s">
        <v>48708</v>
      </c>
      <c r="M15921" t="s">
        <v>17861</v>
      </c>
      <c r="N15921" t="str">
        <f>"10/6/2021 4:22:00 PM"</f>
        <v>10/6/2021 4:22:00 PM</v>
      </c>
      <c r="O15921" t="s">
        <v>48705</v>
      </c>
      <c r="T15921" t="s">
        <v>48706</v>
      </c>
    </row>
    <row r="15922" spans="1:20" x14ac:dyDescent="0.25">
      <c r="A15922" t="str">
        <f>"3043900"</f>
        <v>3043900</v>
      </c>
      <c r="B15922" t="s">
        <v>48709</v>
      </c>
      <c r="C15922" t="str">
        <f>"8316533"</f>
        <v>8316533</v>
      </c>
      <c r="D15922" t="s">
        <v>48705</v>
      </c>
      <c r="E15922" t="s">
        <v>48706</v>
      </c>
      <c r="F15922" t="s">
        <v>48707</v>
      </c>
      <c r="I15922" t="s">
        <v>184</v>
      </c>
      <c r="J15922" t="s">
        <v>30</v>
      </c>
      <c r="K15922" t="s">
        <v>48708</v>
      </c>
      <c r="M15922" t="s">
        <v>17861</v>
      </c>
      <c r="N15922" t="str">
        <f>"10/6/2021 4:22:00 PM"</f>
        <v>10/6/2021 4:22:00 PM</v>
      </c>
      <c r="O15922" t="s">
        <v>48705</v>
      </c>
      <c r="T15922" t="s">
        <v>48706</v>
      </c>
    </row>
    <row r="15923" spans="1:20" x14ac:dyDescent="0.25">
      <c r="A15923" t="str">
        <f>"3049720"</f>
        <v>3049720</v>
      </c>
      <c r="B15923" t="s">
        <v>48710</v>
      </c>
      <c r="C15923" t="str">
        <f>"8316534"</f>
        <v>8316534</v>
      </c>
      <c r="D15923" t="s">
        <v>48711</v>
      </c>
      <c r="E15923" t="s">
        <v>48712</v>
      </c>
      <c r="F15923" t="s">
        <v>48713</v>
      </c>
      <c r="I15923" t="s">
        <v>29</v>
      </c>
      <c r="J15923" t="s">
        <v>30</v>
      </c>
      <c r="K15923" t="s">
        <v>15604</v>
      </c>
      <c r="M15923" t="s">
        <v>17861</v>
      </c>
      <c r="N15923" t="str">
        <f>"10/6/2021 4:27:00 PM"</f>
        <v>10/6/2021 4:27:00 PM</v>
      </c>
      <c r="O15923" t="s">
        <v>48711</v>
      </c>
      <c r="T15923" t="s">
        <v>48712</v>
      </c>
    </row>
    <row r="15924" spans="1:20" x14ac:dyDescent="0.25">
      <c r="A15924" t="str">
        <f>"3058242"</f>
        <v>3058242</v>
      </c>
      <c r="B15924" t="s">
        <v>48714</v>
      </c>
      <c r="C15924" t="str">
        <f>"8316538"</f>
        <v>8316538</v>
      </c>
      <c r="D15924" t="s">
        <v>48715</v>
      </c>
      <c r="E15924" t="s">
        <v>48716</v>
      </c>
      <c r="F15924" t="s">
        <v>48717</v>
      </c>
      <c r="I15924" t="s">
        <v>29</v>
      </c>
      <c r="J15924" t="s">
        <v>30</v>
      </c>
      <c r="K15924" t="s">
        <v>27281</v>
      </c>
      <c r="M15924" t="s">
        <v>17861</v>
      </c>
      <c r="N15924" t="str">
        <f>"10/7/2021 9:38:00 AM"</f>
        <v>10/7/2021 9:38:00 AM</v>
      </c>
      <c r="O15924" t="s">
        <v>48715</v>
      </c>
      <c r="T15924" t="s">
        <v>48716</v>
      </c>
    </row>
    <row r="15925" spans="1:20" x14ac:dyDescent="0.25">
      <c r="A15925" t="str">
        <f>"3062126"</f>
        <v>3062126</v>
      </c>
      <c r="B15925" t="s">
        <v>48718</v>
      </c>
      <c r="C15925" t="str">
        <f>"8316539"</f>
        <v>8316539</v>
      </c>
      <c r="D15925" t="s">
        <v>48613</v>
      </c>
      <c r="F15925" t="s">
        <v>48614</v>
      </c>
      <c r="I15925" t="s">
        <v>2681</v>
      </c>
      <c r="J15925" t="s">
        <v>1543</v>
      </c>
      <c r="K15925" t="str">
        <f>"17111"</f>
        <v>17111</v>
      </c>
      <c r="M15925" t="s">
        <v>17861</v>
      </c>
      <c r="N15925" t="str">
        <f>"10/7/2021 9:52:00 AM"</f>
        <v>10/7/2021 9:52:00 AM</v>
      </c>
      <c r="O15925" t="s">
        <v>48613</v>
      </c>
    </row>
    <row r="15926" spans="1:20" x14ac:dyDescent="0.25">
      <c r="A15926" t="str">
        <f>"3062569"</f>
        <v>3062569</v>
      </c>
      <c r="B15926" t="s">
        <v>48719</v>
      </c>
      <c r="C15926" t="str">
        <f>"8316563"</f>
        <v>8316563</v>
      </c>
      <c r="D15926" t="s">
        <v>48720</v>
      </c>
      <c r="F15926" t="s">
        <v>48721</v>
      </c>
      <c r="I15926" t="s">
        <v>184</v>
      </c>
      <c r="J15926" t="s">
        <v>30</v>
      </c>
      <c r="K15926" t="s">
        <v>43385</v>
      </c>
      <c r="M15926" t="s">
        <v>17861</v>
      </c>
      <c r="N15926" t="str">
        <f>"10/11/2021 9:30:00 AM"</f>
        <v>10/11/2021 9:30:00 AM</v>
      </c>
      <c r="O15926" t="s">
        <v>48720</v>
      </c>
    </row>
    <row r="15927" spans="1:20" x14ac:dyDescent="0.25">
      <c r="A15927" t="str">
        <f>"3061852"</f>
        <v>3061852</v>
      </c>
      <c r="B15927" t="s">
        <v>48722</v>
      </c>
      <c r="C15927" t="str">
        <f>"8316555"</f>
        <v>8316555</v>
      </c>
      <c r="D15927" t="s">
        <v>48723</v>
      </c>
      <c r="F15927" t="s">
        <v>48724</v>
      </c>
      <c r="I15927" t="s">
        <v>29</v>
      </c>
      <c r="J15927" t="s">
        <v>30</v>
      </c>
      <c r="K15927" t="str">
        <f>"27028"</f>
        <v>27028</v>
      </c>
      <c r="M15927" t="s">
        <v>17861</v>
      </c>
      <c r="N15927" t="str">
        <f>"10/7/2021 2:20:00 PM"</f>
        <v>10/7/2021 2:20:00 PM</v>
      </c>
      <c r="O15927" t="s">
        <v>48723</v>
      </c>
    </row>
    <row r="15928" spans="1:20" x14ac:dyDescent="0.25">
      <c r="A15928" t="str">
        <f>"3077072"</f>
        <v>3077072</v>
      </c>
      <c r="B15928" t="s">
        <v>48725</v>
      </c>
      <c r="C15928" t="str">
        <f>"8316555"</f>
        <v>8316555</v>
      </c>
      <c r="D15928" t="s">
        <v>48723</v>
      </c>
      <c r="F15928" t="s">
        <v>48724</v>
      </c>
      <c r="I15928" t="s">
        <v>29</v>
      </c>
      <c r="J15928" t="s">
        <v>30</v>
      </c>
      <c r="K15928" t="str">
        <f>"27028"</f>
        <v>27028</v>
      </c>
      <c r="M15928" t="s">
        <v>17861</v>
      </c>
      <c r="N15928" t="str">
        <f>"10/7/2021 2:20:00 PM"</f>
        <v>10/7/2021 2:20:00 PM</v>
      </c>
      <c r="O15928" t="s">
        <v>48723</v>
      </c>
    </row>
    <row r="15929" spans="1:20" x14ac:dyDescent="0.25">
      <c r="A15929" t="str">
        <f>"3040693"</f>
        <v>3040693</v>
      </c>
      <c r="B15929" t="s">
        <v>48726</v>
      </c>
      <c r="C15929" t="str">
        <f>"8316556"</f>
        <v>8316556</v>
      </c>
      <c r="D15929" t="s">
        <v>48727</v>
      </c>
      <c r="F15929" t="s">
        <v>48728</v>
      </c>
      <c r="I15929" t="s">
        <v>184</v>
      </c>
      <c r="J15929" t="s">
        <v>30</v>
      </c>
      <c r="K15929" t="s">
        <v>43497</v>
      </c>
      <c r="M15929" t="s">
        <v>17861</v>
      </c>
      <c r="N15929" t="str">
        <f>"10/7/2021 2:25:00 PM"</f>
        <v>10/7/2021 2:25:00 PM</v>
      </c>
      <c r="O15929" t="s">
        <v>48727</v>
      </c>
    </row>
    <row r="15930" spans="1:20" x14ac:dyDescent="0.25">
      <c r="A15930" t="str">
        <f>"3056859"</f>
        <v>3056859</v>
      </c>
      <c r="B15930" t="s">
        <v>48729</v>
      </c>
      <c r="C15930" t="str">
        <f>"8316557"</f>
        <v>8316557</v>
      </c>
      <c r="D15930" t="s">
        <v>48730</v>
      </c>
      <c r="F15930" t="s">
        <v>48731</v>
      </c>
      <c r="I15930" t="s">
        <v>9580</v>
      </c>
      <c r="J15930" t="s">
        <v>30</v>
      </c>
      <c r="K15930" t="s">
        <v>48732</v>
      </c>
      <c r="M15930" t="s">
        <v>17861</v>
      </c>
      <c r="N15930" t="str">
        <f>"10/7/2021 2:35:00 PM"</f>
        <v>10/7/2021 2:35:00 PM</v>
      </c>
      <c r="O15930" t="s">
        <v>48733</v>
      </c>
    </row>
    <row r="15931" spans="1:20" x14ac:dyDescent="0.25">
      <c r="A15931" t="str">
        <f>"3050931"</f>
        <v>3050931</v>
      </c>
      <c r="B15931" t="s">
        <v>48734</v>
      </c>
      <c r="C15931" t="str">
        <f>"8316558"</f>
        <v>8316558</v>
      </c>
      <c r="D15931" t="s">
        <v>48735</v>
      </c>
      <c r="E15931" t="s">
        <v>48736</v>
      </c>
      <c r="F15931" t="s">
        <v>48737</v>
      </c>
      <c r="I15931" t="s">
        <v>184</v>
      </c>
      <c r="J15931" t="s">
        <v>30</v>
      </c>
      <c r="K15931" t="s">
        <v>14028</v>
      </c>
      <c r="M15931" t="s">
        <v>17861</v>
      </c>
      <c r="N15931" t="str">
        <f>"10/7/2021 2:37:00 PM"</f>
        <v>10/7/2021 2:37:00 PM</v>
      </c>
      <c r="O15931" t="s">
        <v>48735</v>
      </c>
      <c r="T15931" t="s">
        <v>48736</v>
      </c>
    </row>
    <row r="15932" spans="1:20" x14ac:dyDescent="0.25">
      <c r="A15932" t="str">
        <f>"3076046"</f>
        <v>3076046</v>
      </c>
      <c r="B15932" t="s">
        <v>48738</v>
      </c>
      <c r="C15932" t="str">
        <f>"8315083"</f>
        <v>8315083</v>
      </c>
      <c r="D15932" t="s">
        <v>48739</v>
      </c>
      <c r="E15932" t="s">
        <v>48740</v>
      </c>
      <c r="F15932" t="s">
        <v>48741</v>
      </c>
      <c r="I15932" t="s">
        <v>29</v>
      </c>
      <c r="J15932" t="s">
        <v>30</v>
      </c>
      <c r="K15932" t="s">
        <v>48742</v>
      </c>
      <c r="M15932" t="s">
        <v>25733</v>
      </c>
      <c r="N15932" t="str">
        <f>"10/20/2021 9:16:00 AM"</f>
        <v>10/20/2021 9:16:00 AM</v>
      </c>
      <c r="O15932" t="s">
        <v>48739</v>
      </c>
      <c r="T15932" t="s">
        <v>48740</v>
      </c>
    </row>
    <row r="15933" spans="1:20" x14ac:dyDescent="0.25">
      <c r="A15933" t="str">
        <f>"3052752"</f>
        <v>3052752</v>
      </c>
      <c r="B15933" t="s">
        <v>48743</v>
      </c>
      <c r="C15933" t="str">
        <f>"8311964"</f>
        <v>8311964</v>
      </c>
      <c r="D15933" t="s">
        <v>48744</v>
      </c>
      <c r="F15933" t="s">
        <v>48745</v>
      </c>
      <c r="I15933" t="s">
        <v>29</v>
      </c>
      <c r="J15933" t="s">
        <v>30</v>
      </c>
      <c r="K15933" t="str">
        <f>"27028"</f>
        <v>27028</v>
      </c>
      <c r="M15933" t="s">
        <v>25625</v>
      </c>
      <c r="N15933" t="str">
        <f>"10/22/2021 1:50:00 PM"</f>
        <v>10/22/2021 1:50:00 PM</v>
      </c>
      <c r="O15933" t="s">
        <v>48744</v>
      </c>
    </row>
    <row r="15934" spans="1:20" x14ac:dyDescent="0.25">
      <c r="A15934" t="str">
        <f>"3045380"</f>
        <v>3045380</v>
      </c>
      <c r="B15934" t="s">
        <v>48746</v>
      </c>
      <c r="C15934" t="str">
        <f>"82522057"</f>
        <v>82522057</v>
      </c>
      <c r="D15934" t="s">
        <v>48747</v>
      </c>
      <c r="F15934" t="s">
        <v>48748</v>
      </c>
      <c r="I15934" t="s">
        <v>1149</v>
      </c>
      <c r="J15934" t="s">
        <v>30</v>
      </c>
      <c r="K15934" t="s">
        <v>7688</v>
      </c>
      <c r="M15934" t="s">
        <v>33845</v>
      </c>
      <c r="N15934" t="str">
        <f>"10/21/2021 11:07:00 AM"</f>
        <v>10/21/2021 11:07:00 AM</v>
      </c>
      <c r="O15934" t="s">
        <v>48747</v>
      </c>
    </row>
    <row r="15935" spans="1:20" x14ac:dyDescent="0.25">
      <c r="A15935" t="str">
        <f>"3037531"</f>
        <v>3037531</v>
      </c>
      <c r="B15935" t="s">
        <v>48749</v>
      </c>
      <c r="C15935" t="str">
        <f>"82515389"</f>
        <v>82515389</v>
      </c>
      <c r="D15935" t="s">
        <v>48750</v>
      </c>
      <c r="F15935" t="s">
        <v>48751</v>
      </c>
      <c r="I15935" t="s">
        <v>12340</v>
      </c>
      <c r="J15935" t="s">
        <v>30</v>
      </c>
      <c r="K15935" t="s">
        <v>12341</v>
      </c>
      <c r="M15935" t="s">
        <v>33845</v>
      </c>
      <c r="N15935" t="str">
        <f>"10/21/2021 2:57:00 PM"</f>
        <v>10/21/2021 2:57:00 PM</v>
      </c>
      <c r="O15935" t="s">
        <v>48750</v>
      </c>
    </row>
    <row r="15936" spans="1:20" x14ac:dyDescent="0.25">
      <c r="A15936" t="str">
        <f>"3058845"</f>
        <v>3058845</v>
      </c>
      <c r="B15936" t="s">
        <v>48752</v>
      </c>
      <c r="C15936" t="str">
        <f>"8316609"</f>
        <v>8316609</v>
      </c>
      <c r="D15936" t="s">
        <v>48753</v>
      </c>
      <c r="F15936" t="s">
        <v>48754</v>
      </c>
      <c r="I15936" t="s">
        <v>29</v>
      </c>
      <c r="J15936" t="s">
        <v>30</v>
      </c>
      <c r="K15936" t="s">
        <v>47532</v>
      </c>
      <c r="M15936" t="s">
        <v>17861</v>
      </c>
      <c r="N15936" t="str">
        <f>"10/28/2021 10:43:00 AM"</f>
        <v>10/28/2021 10:43:00 AM</v>
      </c>
      <c r="O15936" t="s">
        <v>48753</v>
      </c>
    </row>
    <row r="15937" spans="1:20" x14ac:dyDescent="0.25">
      <c r="A15937" t="str">
        <f>"3059099"</f>
        <v>3059099</v>
      </c>
      <c r="B15937" t="s">
        <v>48755</v>
      </c>
      <c r="C15937" t="str">
        <f>"8316610"</f>
        <v>8316610</v>
      </c>
      <c r="D15937" t="s">
        <v>48756</v>
      </c>
      <c r="E15937" t="s">
        <v>48757</v>
      </c>
      <c r="F15937" t="s">
        <v>48758</v>
      </c>
      <c r="I15937" t="s">
        <v>29</v>
      </c>
      <c r="J15937" t="s">
        <v>30</v>
      </c>
      <c r="K15937" t="s">
        <v>38830</v>
      </c>
      <c r="M15937" t="s">
        <v>17861</v>
      </c>
      <c r="N15937" t="str">
        <f>"10/28/2021 10:48:00 AM"</f>
        <v>10/28/2021 10:48:00 AM</v>
      </c>
      <c r="O15937" t="s">
        <v>48756</v>
      </c>
      <c r="T15937" t="s">
        <v>48757</v>
      </c>
    </row>
    <row r="15938" spans="1:20" x14ac:dyDescent="0.25">
      <c r="A15938" t="str">
        <f>"3059693"</f>
        <v>3059693</v>
      </c>
      <c r="B15938" t="s">
        <v>48759</v>
      </c>
      <c r="C15938" t="str">
        <f>"8316612"</f>
        <v>8316612</v>
      </c>
      <c r="D15938" t="s">
        <v>48760</v>
      </c>
      <c r="E15938" t="s">
        <v>48761</v>
      </c>
      <c r="F15938" t="s">
        <v>48762</v>
      </c>
      <c r="I15938" t="s">
        <v>29</v>
      </c>
      <c r="J15938" t="s">
        <v>30</v>
      </c>
      <c r="K15938" t="s">
        <v>35675</v>
      </c>
      <c r="M15938" t="s">
        <v>17861</v>
      </c>
      <c r="N15938" t="str">
        <f>"10/28/2021 10:56:00 AM"</f>
        <v>10/28/2021 10:56:00 AM</v>
      </c>
      <c r="O15938" t="s">
        <v>48760</v>
      </c>
      <c r="T15938" t="s">
        <v>48761</v>
      </c>
    </row>
    <row r="15939" spans="1:20" x14ac:dyDescent="0.25">
      <c r="A15939" t="str">
        <f>"3044550"</f>
        <v>3044550</v>
      </c>
      <c r="B15939" t="s">
        <v>48763</v>
      </c>
      <c r="C15939" t="str">
        <f>"8316615"</f>
        <v>8316615</v>
      </c>
      <c r="D15939" t="s">
        <v>48764</v>
      </c>
      <c r="E15939" t="s">
        <v>48765</v>
      </c>
      <c r="F15939" t="s">
        <v>48766</v>
      </c>
      <c r="I15939" t="s">
        <v>184</v>
      </c>
      <c r="J15939" t="s">
        <v>30</v>
      </c>
      <c r="K15939" t="s">
        <v>5682</v>
      </c>
      <c r="M15939" t="s">
        <v>17861</v>
      </c>
      <c r="N15939" t="str">
        <f>"10/28/2021 11:06:00 AM"</f>
        <v>10/28/2021 11:06:00 AM</v>
      </c>
      <c r="O15939" t="s">
        <v>48764</v>
      </c>
      <c r="T15939" t="s">
        <v>48765</v>
      </c>
    </row>
    <row r="15940" spans="1:20" x14ac:dyDescent="0.25">
      <c r="A15940" t="str">
        <f>"3044168"</f>
        <v>3044168</v>
      </c>
      <c r="B15940" t="s">
        <v>48767</v>
      </c>
      <c r="C15940" t="str">
        <f>"82528983"</f>
        <v>82528983</v>
      </c>
      <c r="D15940" t="s">
        <v>48768</v>
      </c>
      <c r="E15940" t="s">
        <v>48769</v>
      </c>
      <c r="F15940" t="s">
        <v>48770</v>
      </c>
      <c r="I15940" t="s">
        <v>402</v>
      </c>
      <c r="J15940" t="s">
        <v>30</v>
      </c>
      <c r="K15940" t="s">
        <v>48771</v>
      </c>
      <c r="M15940" t="s">
        <v>33845</v>
      </c>
      <c r="N15940" t="str">
        <f>"10/21/2021 3:18:00 PM"</f>
        <v>10/21/2021 3:18:00 PM</v>
      </c>
      <c r="O15940" t="s">
        <v>48768</v>
      </c>
      <c r="T15940" t="s">
        <v>48769</v>
      </c>
    </row>
    <row r="15941" spans="1:20" x14ac:dyDescent="0.25">
      <c r="A15941" t="str">
        <f>"3043928"</f>
        <v>3043928</v>
      </c>
      <c r="B15941" t="s">
        <v>48772</v>
      </c>
      <c r="C15941" t="str">
        <f>"82528983"</f>
        <v>82528983</v>
      </c>
      <c r="D15941" t="s">
        <v>48768</v>
      </c>
      <c r="E15941" t="s">
        <v>48769</v>
      </c>
      <c r="F15941" t="s">
        <v>48770</v>
      </c>
      <c r="I15941" t="s">
        <v>402</v>
      </c>
      <c r="J15941" t="s">
        <v>30</v>
      </c>
      <c r="K15941" t="s">
        <v>48771</v>
      </c>
      <c r="M15941" t="s">
        <v>33845</v>
      </c>
      <c r="N15941" t="str">
        <f>"10/21/2021 3:18:00 PM"</f>
        <v>10/21/2021 3:18:00 PM</v>
      </c>
      <c r="O15941" t="s">
        <v>48768</v>
      </c>
      <c r="T15941" t="s">
        <v>48769</v>
      </c>
    </row>
    <row r="15942" spans="1:20" x14ac:dyDescent="0.25">
      <c r="A15942" t="str">
        <f>"3046537"</f>
        <v>3046537</v>
      </c>
      <c r="B15942" t="s">
        <v>48773</v>
      </c>
      <c r="C15942" t="str">
        <f>"69280000"</f>
        <v>69280000</v>
      </c>
      <c r="D15942" t="s">
        <v>48774</v>
      </c>
      <c r="E15942" t="s">
        <v>48775</v>
      </c>
      <c r="F15942" t="s">
        <v>48776</v>
      </c>
      <c r="I15942" t="s">
        <v>1045</v>
      </c>
      <c r="J15942" t="s">
        <v>1046</v>
      </c>
      <c r="K15942" t="s">
        <v>48777</v>
      </c>
      <c r="M15942" t="s">
        <v>25733</v>
      </c>
      <c r="N15942" t="str">
        <f>"10/22/2021 11:05:00 AM"</f>
        <v>10/22/2021 11:05:00 AM</v>
      </c>
      <c r="O15942" t="s">
        <v>48774</v>
      </c>
      <c r="T15942" t="s">
        <v>48775</v>
      </c>
    </row>
    <row r="15943" spans="1:20" x14ac:dyDescent="0.25">
      <c r="A15943" t="str">
        <f>"3056171"</f>
        <v>3056171</v>
      </c>
      <c r="B15943" t="s">
        <v>48778</v>
      </c>
      <c r="C15943" t="str">
        <f>"82530774"</f>
        <v>82530774</v>
      </c>
      <c r="D15943" t="s">
        <v>48779</v>
      </c>
      <c r="F15943" t="s">
        <v>48780</v>
      </c>
      <c r="I15943" t="s">
        <v>29</v>
      </c>
      <c r="J15943" t="s">
        <v>30</v>
      </c>
      <c r="K15943" t="s">
        <v>15764</v>
      </c>
      <c r="M15943" t="s">
        <v>33432</v>
      </c>
      <c r="N15943" t="str">
        <f>"9/27/2021 1:00:00 PM"</f>
        <v>9/27/2021 1:00:00 PM</v>
      </c>
      <c r="O15943" t="s">
        <v>48779</v>
      </c>
    </row>
    <row r="15944" spans="1:20" x14ac:dyDescent="0.25">
      <c r="A15944" t="str">
        <f>"3041589"</f>
        <v>3041589</v>
      </c>
      <c r="B15944" t="s">
        <v>48781</v>
      </c>
      <c r="C15944" t="str">
        <f>"8316622"</f>
        <v>8316622</v>
      </c>
      <c r="D15944" t="s">
        <v>48782</v>
      </c>
      <c r="E15944" t="s">
        <v>48783</v>
      </c>
      <c r="F15944" t="s">
        <v>48784</v>
      </c>
      <c r="I15944" t="s">
        <v>2071</v>
      </c>
      <c r="J15944" t="s">
        <v>30</v>
      </c>
      <c r="K15944" t="s">
        <v>44834</v>
      </c>
      <c r="M15944" t="s">
        <v>17861</v>
      </c>
      <c r="N15944" t="str">
        <f>"10/28/2021 12:59:00 PM"</f>
        <v>10/28/2021 12:59:00 PM</v>
      </c>
      <c r="O15944" t="s">
        <v>48782</v>
      </c>
      <c r="T15944" t="s">
        <v>48783</v>
      </c>
    </row>
    <row r="15945" spans="1:20" x14ac:dyDescent="0.25">
      <c r="A15945" t="str">
        <f>"3059604"</f>
        <v>3059604</v>
      </c>
      <c r="B15945" t="s">
        <v>48785</v>
      </c>
      <c r="C15945" t="str">
        <f>"8316623"</f>
        <v>8316623</v>
      </c>
      <c r="D15945" t="s">
        <v>48786</v>
      </c>
      <c r="E15945" t="s">
        <v>48787</v>
      </c>
      <c r="F15945" t="s">
        <v>48788</v>
      </c>
      <c r="I15945" t="s">
        <v>29</v>
      </c>
      <c r="J15945" t="s">
        <v>30</v>
      </c>
      <c r="K15945" t="s">
        <v>29862</v>
      </c>
      <c r="M15945" t="s">
        <v>17861</v>
      </c>
      <c r="N15945" t="str">
        <f>"10/28/2021 1:03:00 PM"</f>
        <v>10/28/2021 1:03:00 PM</v>
      </c>
      <c r="O15945" t="s">
        <v>48786</v>
      </c>
      <c r="T15945" t="s">
        <v>48787</v>
      </c>
    </row>
    <row r="15946" spans="1:20" x14ac:dyDescent="0.25">
      <c r="A15946" t="str">
        <f>"3061293"</f>
        <v>3061293</v>
      </c>
      <c r="B15946" t="s">
        <v>48789</v>
      </c>
      <c r="C15946" t="str">
        <f>"8316624"</f>
        <v>8316624</v>
      </c>
      <c r="D15946" t="s">
        <v>48790</v>
      </c>
      <c r="E15946" t="s">
        <v>48791</v>
      </c>
      <c r="F15946" t="s">
        <v>48792</v>
      </c>
      <c r="I15946" t="s">
        <v>2071</v>
      </c>
      <c r="J15946" t="s">
        <v>30</v>
      </c>
      <c r="K15946" t="s">
        <v>33423</v>
      </c>
      <c r="M15946" t="s">
        <v>17861</v>
      </c>
      <c r="N15946" t="str">
        <f>"10/28/2021 1:05:00 PM"</f>
        <v>10/28/2021 1:05:00 PM</v>
      </c>
      <c r="O15946" t="s">
        <v>48790</v>
      </c>
      <c r="T15946" t="s">
        <v>48791</v>
      </c>
    </row>
    <row r="15947" spans="1:20" x14ac:dyDescent="0.25">
      <c r="A15947" t="str">
        <f>"3055753"</f>
        <v>3055753</v>
      </c>
      <c r="B15947" t="s">
        <v>48793</v>
      </c>
      <c r="C15947" t="str">
        <f>"82530774"</f>
        <v>82530774</v>
      </c>
      <c r="D15947" t="s">
        <v>48779</v>
      </c>
      <c r="F15947" t="s">
        <v>48780</v>
      </c>
      <c r="I15947" t="s">
        <v>29</v>
      </c>
      <c r="J15947" t="s">
        <v>30</v>
      </c>
      <c r="K15947" t="s">
        <v>15764</v>
      </c>
      <c r="M15947" t="s">
        <v>33432</v>
      </c>
      <c r="N15947" t="str">
        <f>"9/27/2021 1:00:00 PM"</f>
        <v>9/27/2021 1:00:00 PM</v>
      </c>
      <c r="O15947" t="s">
        <v>48779</v>
      </c>
    </row>
    <row r="15948" spans="1:20" x14ac:dyDescent="0.25">
      <c r="A15948" t="str">
        <f>"3054440"</f>
        <v>3054440</v>
      </c>
      <c r="B15948" t="s">
        <v>48794</v>
      </c>
      <c r="C15948" t="str">
        <f>"82530774"</f>
        <v>82530774</v>
      </c>
      <c r="D15948" t="s">
        <v>48779</v>
      </c>
      <c r="F15948" t="s">
        <v>48780</v>
      </c>
      <c r="I15948" t="s">
        <v>29</v>
      </c>
      <c r="J15948" t="s">
        <v>30</v>
      </c>
      <c r="K15948" t="s">
        <v>15764</v>
      </c>
      <c r="M15948" t="s">
        <v>33432</v>
      </c>
      <c r="N15948" t="str">
        <f>"9/27/2021 1:00:00 PM"</f>
        <v>9/27/2021 1:00:00 PM</v>
      </c>
      <c r="O15948" t="s">
        <v>48779</v>
      </c>
    </row>
    <row r="15949" spans="1:20" x14ac:dyDescent="0.25">
      <c r="A15949" t="str">
        <f>"3062374"</f>
        <v>3062374</v>
      </c>
      <c r="B15949" t="s">
        <v>48795</v>
      </c>
      <c r="C15949" t="str">
        <f>"8316448"</f>
        <v>8316448</v>
      </c>
      <c r="D15949" t="s">
        <v>48796</v>
      </c>
      <c r="F15949" t="s">
        <v>48797</v>
      </c>
      <c r="I15949" t="s">
        <v>29</v>
      </c>
      <c r="J15949" t="s">
        <v>30</v>
      </c>
      <c r="K15949" t="s">
        <v>14046</v>
      </c>
      <c r="M15949" t="s">
        <v>17861</v>
      </c>
      <c r="N15949" t="str">
        <f>"9/29/2021 11:17:00 AM"</f>
        <v>9/29/2021 11:17:00 AM</v>
      </c>
      <c r="O15949" t="s">
        <v>48796</v>
      </c>
    </row>
    <row r="15950" spans="1:20" x14ac:dyDescent="0.25">
      <c r="A15950" t="str">
        <f>"3062615"</f>
        <v>3062615</v>
      </c>
      <c r="B15950" t="s">
        <v>48798</v>
      </c>
      <c r="C15950" t="str">
        <f>"8316629"</f>
        <v>8316629</v>
      </c>
      <c r="D15950" t="s">
        <v>48799</v>
      </c>
      <c r="F15950" t="s">
        <v>48800</v>
      </c>
      <c r="I15950" t="s">
        <v>29</v>
      </c>
      <c r="J15950" t="s">
        <v>30</v>
      </c>
      <c r="K15950" t="s">
        <v>48801</v>
      </c>
      <c r="M15950" t="s">
        <v>17861</v>
      </c>
      <c r="N15950" t="str">
        <f>"10/29/2021 9:38:00 AM"</f>
        <v>10/29/2021 9:38:00 AM</v>
      </c>
      <c r="O15950" t="s">
        <v>48799</v>
      </c>
    </row>
    <row r="15951" spans="1:20" x14ac:dyDescent="0.25">
      <c r="A15951" t="str">
        <f>"3068644"</f>
        <v>3068644</v>
      </c>
      <c r="B15951" t="s">
        <v>48802</v>
      </c>
      <c r="C15951" t="str">
        <f>"8316629"</f>
        <v>8316629</v>
      </c>
      <c r="D15951" t="s">
        <v>48799</v>
      </c>
      <c r="F15951" t="s">
        <v>48800</v>
      </c>
      <c r="I15951" t="s">
        <v>29</v>
      </c>
      <c r="J15951" t="s">
        <v>30</v>
      </c>
      <c r="K15951" t="s">
        <v>48801</v>
      </c>
      <c r="M15951" t="s">
        <v>17861</v>
      </c>
      <c r="N15951" t="str">
        <f>"10/29/2021 9:38:00 AM"</f>
        <v>10/29/2021 9:38:00 AM</v>
      </c>
      <c r="O15951" t="s">
        <v>48799</v>
      </c>
    </row>
    <row r="15952" spans="1:20" x14ac:dyDescent="0.25">
      <c r="A15952" t="str">
        <f>"3061517"</f>
        <v>3061517</v>
      </c>
      <c r="B15952" t="s">
        <v>48803</v>
      </c>
      <c r="C15952" t="str">
        <f>"8316630"</f>
        <v>8316630</v>
      </c>
      <c r="D15952" t="s">
        <v>48804</v>
      </c>
      <c r="E15952" t="s">
        <v>48805</v>
      </c>
      <c r="F15952" t="s">
        <v>48806</v>
      </c>
      <c r="I15952" t="s">
        <v>184</v>
      </c>
      <c r="J15952" t="s">
        <v>30</v>
      </c>
      <c r="K15952" t="s">
        <v>38093</v>
      </c>
      <c r="M15952" t="s">
        <v>17861</v>
      </c>
      <c r="N15952" t="str">
        <f>"10/29/2021 9:46:00 AM"</f>
        <v>10/29/2021 9:46:00 AM</v>
      </c>
      <c r="O15952" t="s">
        <v>48804</v>
      </c>
      <c r="T15952" t="s">
        <v>48805</v>
      </c>
    </row>
    <row r="15953" spans="1:20" x14ac:dyDescent="0.25">
      <c r="A15953" t="str">
        <f>"3059394"</f>
        <v>3059394</v>
      </c>
      <c r="B15953" t="s">
        <v>48807</v>
      </c>
      <c r="C15953" t="str">
        <f>"8316631"</f>
        <v>8316631</v>
      </c>
      <c r="D15953" t="s">
        <v>48808</v>
      </c>
      <c r="E15953" t="s">
        <v>48809</v>
      </c>
      <c r="F15953" t="s">
        <v>48810</v>
      </c>
      <c r="I15953" t="s">
        <v>29</v>
      </c>
      <c r="J15953" t="s">
        <v>30</v>
      </c>
      <c r="K15953" t="s">
        <v>10086</v>
      </c>
      <c r="M15953" t="s">
        <v>17861</v>
      </c>
      <c r="N15953" t="str">
        <f>"10/29/2021 10:09:00 AM"</f>
        <v>10/29/2021 10:09:00 AM</v>
      </c>
      <c r="O15953" t="s">
        <v>48808</v>
      </c>
      <c r="T15953" t="s">
        <v>48809</v>
      </c>
    </row>
    <row r="15954" spans="1:20" x14ac:dyDescent="0.25">
      <c r="A15954" t="str">
        <f>"3059369"</f>
        <v>3059369</v>
      </c>
      <c r="B15954" t="s">
        <v>48811</v>
      </c>
      <c r="C15954" t="str">
        <f>"8316631"</f>
        <v>8316631</v>
      </c>
      <c r="D15954" t="s">
        <v>48808</v>
      </c>
      <c r="E15954" t="s">
        <v>48809</v>
      </c>
      <c r="F15954" t="s">
        <v>48810</v>
      </c>
      <c r="I15954" t="s">
        <v>29</v>
      </c>
      <c r="J15954" t="s">
        <v>30</v>
      </c>
      <c r="K15954" t="s">
        <v>10086</v>
      </c>
      <c r="M15954" t="s">
        <v>17861</v>
      </c>
      <c r="N15954" t="str">
        <f>"10/29/2021 10:09:00 AM"</f>
        <v>10/29/2021 10:09:00 AM</v>
      </c>
      <c r="O15954" t="s">
        <v>48808</v>
      </c>
      <c r="T15954" t="s">
        <v>48809</v>
      </c>
    </row>
    <row r="15955" spans="1:20" x14ac:dyDescent="0.25">
      <c r="A15955" t="str">
        <f>"3046278"</f>
        <v>3046278</v>
      </c>
      <c r="B15955" t="s">
        <v>48812</v>
      </c>
      <c r="C15955" t="str">
        <f>"8316631"</f>
        <v>8316631</v>
      </c>
      <c r="D15955" t="s">
        <v>48808</v>
      </c>
      <c r="E15955" t="s">
        <v>48809</v>
      </c>
      <c r="F15955" t="s">
        <v>48810</v>
      </c>
      <c r="I15955" t="s">
        <v>29</v>
      </c>
      <c r="J15955" t="s">
        <v>30</v>
      </c>
      <c r="K15955" t="s">
        <v>10086</v>
      </c>
      <c r="M15955" t="s">
        <v>17861</v>
      </c>
      <c r="N15955" t="str">
        <f>"10/29/2021 10:09:00 AM"</f>
        <v>10/29/2021 10:09:00 AM</v>
      </c>
      <c r="O15955" t="s">
        <v>48808</v>
      </c>
      <c r="T15955" t="s">
        <v>48809</v>
      </c>
    </row>
    <row r="15956" spans="1:20" x14ac:dyDescent="0.25">
      <c r="A15956" t="str">
        <f>"3046635"</f>
        <v>3046635</v>
      </c>
      <c r="B15956" t="s">
        <v>48813</v>
      </c>
      <c r="C15956" t="str">
        <f>"8316631"</f>
        <v>8316631</v>
      </c>
      <c r="D15956" t="s">
        <v>48808</v>
      </c>
      <c r="E15956" t="s">
        <v>48809</v>
      </c>
      <c r="F15956" t="s">
        <v>48810</v>
      </c>
      <c r="I15956" t="s">
        <v>29</v>
      </c>
      <c r="J15956" t="s">
        <v>30</v>
      </c>
      <c r="K15956" t="s">
        <v>10086</v>
      </c>
      <c r="M15956" t="s">
        <v>17861</v>
      </c>
      <c r="N15956" t="str">
        <f>"10/29/2021 10:09:00 AM"</f>
        <v>10/29/2021 10:09:00 AM</v>
      </c>
      <c r="O15956" t="s">
        <v>48808</v>
      </c>
      <c r="T15956" t="s">
        <v>48809</v>
      </c>
    </row>
    <row r="15957" spans="1:20" x14ac:dyDescent="0.25">
      <c r="A15957" t="str">
        <f>"3045625"</f>
        <v>3045625</v>
      </c>
      <c r="B15957" t="s">
        <v>48814</v>
      </c>
      <c r="C15957" t="str">
        <f>"8316633"</f>
        <v>8316633</v>
      </c>
      <c r="D15957" t="s">
        <v>48815</v>
      </c>
      <c r="F15957" t="s">
        <v>48816</v>
      </c>
      <c r="I15957" t="s">
        <v>29</v>
      </c>
      <c r="J15957" t="s">
        <v>30</v>
      </c>
      <c r="K15957" t="s">
        <v>48817</v>
      </c>
      <c r="M15957" t="s">
        <v>17861</v>
      </c>
      <c r="N15957" t="str">
        <f>"10/29/2021 10:59:00 AM"</f>
        <v>10/29/2021 10:59:00 AM</v>
      </c>
      <c r="O15957" t="s">
        <v>48815</v>
      </c>
    </row>
    <row r="15958" spans="1:20" x14ac:dyDescent="0.25">
      <c r="A15958" t="str">
        <f>"3061341"</f>
        <v>3061341</v>
      </c>
      <c r="B15958" t="s">
        <v>48818</v>
      </c>
      <c r="C15958" t="str">
        <f>"8316634"</f>
        <v>8316634</v>
      </c>
      <c r="D15958" t="s">
        <v>48819</v>
      </c>
      <c r="E15958" t="s">
        <v>48820</v>
      </c>
      <c r="F15958" t="s">
        <v>48821</v>
      </c>
      <c r="I15958" t="s">
        <v>184</v>
      </c>
      <c r="J15958" t="s">
        <v>30</v>
      </c>
      <c r="K15958" t="s">
        <v>5266</v>
      </c>
      <c r="M15958" t="s">
        <v>17861</v>
      </c>
      <c r="N15958" t="str">
        <f>"10/29/2021 11:01:00 AM"</f>
        <v>10/29/2021 11:01:00 AM</v>
      </c>
      <c r="O15958" t="s">
        <v>48819</v>
      </c>
      <c r="T15958" t="s">
        <v>48820</v>
      </c>
    </row>
    <row r="15959" spans="1:20" x14ac:dyDescent="0.25">
      <c r="A15959" t="str">
        <f>"3060769"</f>
        <v>3060769</v>
      </c>
      <c r="B15959" t="s">
        <v>48822</v>
      </c>
      <c r="C15959" t="str">
        <f>"8316637"</f>
        <v>8316637</v>
      </c>
      <c r="D15959" t="s">
        <v>48823</v>
      </c>
      <c r="E15959" t="s">
        <v>48824</v>
      </c>
      <c r="F15959" t="s">
        <v>48825</v>
      </c>
      <c r="I15959" t="s">
        <v>184</v>
      </c>
      <c r="J15959" t="s">
        <v>30</v>
      </c>
      <c r="K15959" t="s">
        <v>48826</v>
      </c>
      <c r="M15959" t="s">
        <v>17861</v>
      </c>
      <c r="N15959" t="str">
        <f>"10/29/2021 11:09:00 AM"</f>
        <v>10/29/2021 11:09:00 AM</v>
      </c>
      <c r="O15959" t="s">
        <v>48823</v>
      </c>
      <c r="T15959" t="s">
        <v>48824</v>
      </c>
    </row>
    <row r="15960" spans="1:20" x14ac:dyDescent="0.25">
      <c r="A15960" t="str">
        <f>"3040572"</f>
        <v>3040572</v>
      </c>
      <c r="B15960" t="s">
        <v>48827</v>
      </c>
      <c r="C15960" t="str">
        <f>"8316640"</f>
        <v>8316640</v>
      </c>
      <c r="D15960" t="s">
        <v>48828</v>
      </c>
      <c r="E15960" t="s">
        <v>48829</v>
      </c>
      <c r="F15960" t="s">
        <v>48830</v>
      </c>
      <c r="I15960" t="s">
        <v>184</v>
      </c>
      <c r="J15960" t="s">
        <v>30</v>
      </c>
      <c r="K15960" t="s">
        <v>41015</v>
      </c>
      <c r="M15960" t="s">
        <v>17861</v>
      </c>
      <c r="N15960" t="str">
        <f>"10/29/2021 11:28:00 AM"</f>
        <v>10/29/2021 11:28:00 AM</v>
      </c>
      <c r="O15960" t="s">
        <v>48828</v>
      </c>
      <c r="T15960" t="s">
        <v>48829</v>
      </c>
    </row>
    <row r="15961" spans="1:20" x14ac:dyDescent="0.25">
      <c r="A15961" t="str">
        <f>"3074718"</f>
        <v>3074718</v>
      </c>
      <c r="B15961" t="s">
        <v>48831</v>
      </c>
      <c r="C15961" t="str">
        <f>"8316641"</f>
        <v>8316641</v>
      </c>
      <c r="D15961" t="s">
        <v>48832</v>
      </c>
      <c r="E15961" t="s">
        <v>48833</v>
      </c>
      <c r="F15961" t="s">
        <v>48834</v>
      </c>
      <c r="I15961" t="s">
        <v>2071</v>
      </c>
      <c r="J15961" t="s">
        <v>30</v>
      </c>
      <c r="K15961" t="s">
        <v>2233</v>
      </c>
      <c r="M15961" t="s">
        <v>17861</v>
      </c>
      <c r="N15961" t="str">
        <f>"10/29/2021 11:32:00 AM"</f>
        <v>10/29/2021 11:32:00 AM</v>
      </c>
      <c r="O15961" t="s">
        <v>48832</v>
      </c>
      <c r="T15961" t="s">
        <v>48833</v>
      </c>
    </row>
    <row r="15962" spans="1:20" x14ac:dyDescent="0.25">
      <c r="A15962" t="str">
        <f>"3062426"</f>
        <v>3062426</v>
      </c>
      <c r="B15962" t="s">
        <v>48835</v>
      </c>
      <c r="C15962" t="str">
        <f>"8316450"</f>
        <v>8316450</v>
      </c>
      <c r="D15962" t="s">
        <v>48836</v>
      </c>
      <c r="F15962" t="s">
        <v>48837</v>
      </c>
      <c r="I15962" t="s">
        <v>2071</v>
      </c>
      <c r="J15962" t="s">
        <v>30</v>
      </c>
      <c r="K15962" t="s">
        <v>3872</v>
      </c>
      <c r="M15962" t="s">
        <v>17861</v>
      </c>
      <c r="N15962" t="str">
        <f>"9/29/2021 1:06:00 PM"</f>
        <v>9/29/2021 1:06:00 PM</v>
      </c>
      <c r="O15962" t="s">
        <v>48836</v>
      </c>
    </row>
    <row r="15963" spans="1:20" x14ac:dyDescent="0.25">
      <c r="A15963" t="str">
        <f>"3056075"</f>
        <v>3056075</v>
      </c>
      <c r="B15963" t="s">
        <v>48838</v>
      </c>
      <c r="C15963" t="str">
        <f>"8316643"</f>
        <v>8316643</v>
      </c>
      <c r="D15963" t="s">
        <v>48839</v>
      </c>
      <c r="E15963" t="s">
        <v>48840</v>
      </c>
      <c r="F15963" t="s">
        <v>48841</v>
      </c>
      <c r="I15963" t="s">
        <v>9580</v>
      </c>
      <c r="J15963" t="s">
        <v>30</v>
      </c>
      <c r="K15963" t="s">
        <v>48842</v>
      </c>
      <c r="M15963" t="s">
        <v>17861</v>
      </c>
      <c r="N15963" t="str">
        <f>"10/29/2021 12:25:00 PM"</f>
        <v>10/29/2021 12:25:00 PM</v>
      </c>
      <c r="O15963" t="s">
        <v>48839</v>
      </c>
      <c r="T15963" t="s">
        <v>48840</v>
      </c>
    </row>
    <row r="15964" spans="1:20" x14ac:dyDescent="0.25">
      <c r="A15964" t="str">
        <f>"3055350"</f>
        <v>3055350</v>
      </c>
      <c r="B15964" t="s">
        <v>48843</v>
      </c>
      <c r="C15964" t="str">
        <f>"8316644"</f>
        <v>8316644</v>
      </c>
      <c r="D15964" t="s">
        <v>48844</v>
      </c>
      <c r="F15964" t="s">
        <v>48845</v>
      </c>
      <c r="I15964" t="s">
        <v>29</v>
      </c>
      <c r="J15964" t="s">
        <v>30</v>
      </c>
      <c r="K15964" t="s">
        <v>48846</v>
      </c>
      <c r="M15964" t="s">
        <v>17861</v>
      </c>
      <c r="N15964" t="str">
        <f>"10/29/2021 12:34:00 PM"</f>
        <v>10/29/2021 12:34:00 PM</v>
      </c>
      <c r="O15964" t="s">
        <v>48844</v>
      </c>
    </row>
    <row r="15965" spans="1:20" x14ac:dyDescent="0.25">
      <c r="A15965" t="str">
        <f>"3042384"</f>
        <v>3042384</v>
      </c>
      <c r="B15965" t="s">
        <v>48847</v>
      </c>
      <c r="C15965" t="str">
        <f>"8316649"</f>
        <v>8316649</v>
      </c>
      <c r="D15965" t="s">
        <v>48848</v>
      </c>
      <c r="F15965" t="s">
        <v>48849</v>
      </c>
      <c r="I15965" t="s">
        <v>184</v>
      </c>
      <c r="J15965" t="s">
        <v>30</v>
      </c>
      <c r="K15965" t="s">
        <v>3445</v>
      </c>
      <c r="M15965" t="s">
        <v>17861</v>
      </c>
      <c r="N15965" t="str">
        <f>"10/29/2021 12:55:00 PM"</f>
        <v>10/29/2021 12:55:00 PM</v>
      </c>
      <c r="O15965" t="s">
        <v>48848</v>
      </c>
    </row>
    <row r="15966" spans="1:20" x14ac:dyDescent="0.25">
      <c r="A15966" t="str">
        <f>"3038012"</f>
        <v>3038012</v>
      </c>
      <c r="B15966" t="s">
        <v>48850</v>
      </c>
      <c r="C15966" t="str">
        <f>"8316650"</f>
        <v>8316650</v>
      </c>
      <c r="D15966" t="s">
        <v>48851</v>
      </c>
      <c r="F15966" t="s">
        <v>48852</v>
      </c>
      <c r="I15966" t="s">
        <v>29</v>
      </c>
      <c r="J15966" t="s">
        <v>30</v>
      </c>
      <c r="K15966" t="s">
        <v>1087</v>
      </c>
      <c r="M15966" t="s">
        <v>17861</v>
      </c>
      <c r="N15966" t="str">
        <f>"10/29/2021 1:11:00 PM"</f>
        <v>10/29/2021 1:11:00 PM</v>
      </c>
      <c r="O15966" t="s">
        <v>48851</v>
      </c>
    </row>
    <row r="15967" spans="1:20" x14ac:dyDescent="0.25">
      <c r="A15967" t="str">
        <f>"3038745"</f>
        <v>3038745</v>
      </c>
      <c r="B15967" t="s">
        <v>48853</v>
      </c>
      <c r="C15967" t="str">
        <f>"8316650"</f>
        <v>8316650</v>
      </c>
      <c r="D15967" t="s">
        <v>48851</v>
      </c>
      <c r="F15967" t="s">
        <v>48852</v>
      </c>
      <c r="I15967" t="s">
        <v>29</v>
      </c>
      <c r="J15967" t="s">
        <v>30</v>
      </c>
      <c r="K15967" t="s">
        <v>1087</v>
      </c>
      <c r="M15967" t="s">
        <v>17861</v>
      </c>
      <c r="N15967" t="str">
        <f>"10/29/2021 1:11:00 PM"</f>
        <v>10/29/2021 1:11:00 PM</v>
      </c>
      <c r="O15967" t="s">
        <v>48851</v>
      </c>
    </row>
    <row r="15968" spans="1:20" x14ac:dyDescent="0.25">
      <c r="A15968" t="str">
        <f>"3049742"</f>
        <v>3049742</v>
      </c>
      <c r="B15968" t="s">
        <v>48854</v>
      </c>
      <c r="C15968" t="str">
        <f>"8316651"</f>
        <v>8316651</v>
      </c>
      <c r="D15968" t="s">
        <v>48855</v>
      </c>
      <c r="F15968" t="s">
        <v>48856</v>
      </c>
      <c r="I15968" t="s">
        <v>29</v>
      </c>
      <c r="J15968" t="s">
        <v>30</v>
      </c>
      <c r="K15968" t="s">
        <v>17132</v>
      </c>
      <c r="M15968" t="s">
        <v>17861</v>
      </c>
      <c r="N15968" t="str">
        <f>"10/29/2021 1:22:00 PM"</f>
        <v>10/29/2021 1:22:00 PM</v>
      </c>
      <c r="O15968" t="s">
        <v>48855</v>
      </c>
    </row>
    <row r="15969" spans="1:20" x14ac:dyDescent="0.25">
      <c r="A15969" t="str">
        <f>"3043596"</f>
        <v>3043596</v>
      </c>
      <c r="B15969" t="s">
        <v>48857</v>
      </c>
      <c r="C15969" t="str">
        <f>"8316653"</f>
        <v>8316653</v>
      </c>
      <c r="D15969" t="s">
        <v>48858</v>
      </c>
      <c r="F15969" t="s">
        <v>48859</v>
      </c>
      <c r="I15969" t="s">
        <v>29</v>
      </c>
      <c r="J15969" t="s">
        <v>30</v>
      </c>
      <c r="K15969" t="s">
        <v>7349</v>
      </c>
      <c r="M15969" t="s">
        <v>17861</v>
      </c>
      <c r="N15969" t="str">
        <f>"10/29/2021 1:29:00 PM"</f>
        <v>10/29/2021 1:29:00 PM</v>
      </c>
      <c r="O15969" t="s">
        <v>48858</v>
      </c>
    </row>
    <row r="15970" spans="1:20" x14ac:dyDescent="0.25">
      <c r="A15970" t="str">
        <f>"3063202"</f>
        <v>3063202</v>
      </c>
      <c r="B15970" t="s">
        <v>48860</v>
      </c>
      <c r="C15970" t="str">
        <f>"8316654"</f>
        <v>8316654</v>
      </c>
      <c r="D15970" t="s">
        <v>48861</v>
      </c>
      <c r="F15970" t="s">
        <v>31807</v>
      </c>
      <c r="I15970" t="s">
        <v>29</v>
      </c>
      <c r="J15970" t="s">
        <v>30</v>
      </c>
      <c r="K15970" t="s">
        <v>48862</v>
      </c>
      <c r="M15970" t="s">
        <v>17861</v>
      </c>
      <c r="N15970" t="str">
        <f>"10/29/2021 1:32:00 PM"</f>
        <v>10/29/2021 1:32:00 PM</v>
      </c>
      <c r="O15970" t="s">
        <v>48861</v>
      </c>
    </row>
    <row r="15971" spans="1:20" x14ac:dyDescent="0.25">
      <c r="A15971" t="str">
        <f>"3052557"</f>
        <v>3052557</v>
      </c>
      <c r="B15971" t="s">
        <v>48863</v>
      </c>
      <c r="C15971" t="str">
        <f>"8316655"</f>
        <v>8316655</v>
      </c>
      <c r="D15971" t="s">
        <v>48864</v>
      </c>
      <c r="F15971" t="s">
        <v>48865</v>
      </c>
      <c r="I15971" t="s">
        <v>29</v>
      </c>
      <c r="J15971" t="s">
        <v>30</v>
      </c>
      <c r="K15971" t="s">
        <v>42637</v>
      </c>
      <c r="M15971" t="s">
        <v>17861</v>
      </c>
      <c r="N15971" t="str">
        <f>"10/29/2021 1:35:00 PM"</f>
        <v>10/29/2021 1:35:00 PM</v>
      </c>
      <c r="O15971" t="s">
        <v>48864</v>
      </c>
    </row>
    <row r="15972" spans="1:20" x14ac:dyDescent="0.25">
      <c r="A15972" t="str">
        <f>"3058551"</f>
        <v>3058551</v>
      </c>
      <c r="B15972" t="s">
        <v>48866</v>
      </c>
      <c r="C15972" t="str">
        <f>"8316656"</f>
        <v>8316656</v>
      </c>
      <c r="D15972" t="s">
        <v>48867</v>
      </c>
      <c r="F15972" t="s">
        <v>48868</v>
      </c>
      <c r="G15972" t="s">
        <v>48869</v>
      </c>
      <c r="I15972" t="s">
        <v>37425</v>
      </c>
      <c r="J15972" t="s">
        <v>30</v>
      </c>
      <c r="K15972" t="s">
        <v>48870</v>
      </c>
      <c r="M15972" t="s">
        <v>17861</v>
      </c>
      <c r="N15972" t="str">
        <f>"10/29/2021 1:44:00 PM"</f>
        <v>10/29/2021 1:44:00 PM</v>
      </c>
      <c r="O15972" t="s">
        <v>48867</v>
      </c>
    </row>
    <row r="15973" spans="1:20" x14ac:dyDescent="0.25">
      <c r="A15973" t="str">
        <f>"3054519"</f>
        <v>3054519</v>
      </c>
      <c r="B15973" t="s">
        <v>48871</v>
      </c>
      <c r="C15973" t="str">
        <f>"8316657"</f>
        <v>8316657</v>
      </c>
      <c r="D15973" t="s">
        <v>48872</v>
      </c>
      <c r="F15973" t="s">
        <v>48873</v>
      </c>
      <c r="I15973" t="s">
        <v>29</v>
      </c>
      <c r="J15973" t="s">
        <v>30</v>
      </c>
      <c r="K15973" t="s">
        <v>15838</v>
      </c>
      <c r="M15973" t="s">
        <v>17861</v>
      </c>
      <c r="N15973" t="str">
        <f>"10/29/2021 1:48:00 PM"</f>
        <v>10/29/2021 1:48:00 PM</v>
      </c>
      <c r="O15973" t="s">
        <v>48872</v>
      </c>
    </row>
    <row r="15974" spans="1:20" x14ac:dyDescent="0.25">
      <c r="A15974" t="str">
        <f>"3054165"</f>
        <v>3054165</v>
      </c>
      <c r="B15974" t="s">
        <v>48874</v>
      </c>
      <c r="C15974" t="str">
        <f>"8316657"</f>
        <v>8316657</v>
      </c>
      <c r="D15974" t="s">
        <v>48872</v>
      </c>
      <c r="F15974" t="s">
        <v>48873</v>
      </c>
      <c r="I15974" t="s">
        <v>29</v>
      </c>
      <c r="J15974" t="s">
        <v>30</v>
      </c>
      <c r="K15974" t="s">
        <v>15838</v>
      </c>
      <c r="M15974" t="s">
        <v>17861</v>
      </c>
      <c r="N15974" t="str">
        <f>"10/29/2021 1:48:00 PM"</f>
        <v>10/29/2021 1:48:00 PM</v>
      </c>
      <c r="O15974" t="s">
        <v>48872</v>
      </c>
    </row>
    <row r="15975" spans="1:20" x14ac:dyDescent="0.25">
      <c r="A15975" t="str">
        <f>"3049423"</f>
        <v>3049423</v>
      </c>
      <c r="B15975" t="s">
        <v>48875</v>
      </c>
      <c r="C15975" t="str">
        <f>"8316658"</f>
        <v>8316658</v>
      </c>
      <c r="D15975" t="s">
        <v>48876</v>
      </c>
      <c r="E15975" t="s">
        <v>48877</v>
      </c>
      <c r="F15975" t="s">
        <v>48878</v>
      </c>
      <c r="I15975" t="s">
        <v>48879</v>
      </c>
      <c r="J15975" t="s">
        <v>11994</v>
      </c>
      <c r="K15975" t="s">
        <v>48880</v>
      </c>
      <c r="M15975" t="s">
        <v>17861</v>
      </c>
      <c r="N15975" t="str">
        <f>"10/29/2021 1:54:00 PM"</f>
        <v>10/29/2021 1:54:00 PM</v>
      </c>
      <c r="O15975" t="s">
        <v>48876</v>
      </c>
      <c r="T15975" t="s">
        <v>48877</v>
      </c>
    </row>
    <row r="15976" spans="1:20" x14ac:dyDescent="0.25">
      <c r="A15976" t="str">
        <f>"3040611"</f>
        <v>3040611</v>
      </c>
      <c r="B15976" t="s">
        <v>48881</v>
      </c>
      <c r="C15976" t="str">
        <f>"8316659"</f>
        <v>8316659</v>
      </c>
      <c r="D15976" t="s">
        <v>48882</v>
      </c>
      <c r="F15976" t="s">
        <v>48883</v>
      </c>
      <c r="I15976" t="s">
        <v>184</v>
      </c>
      <c r="J15976" t="s">
        <v>30</v>
      </c>
      <c r="K15976" t="s">
        <v>20128</v>
      </c>
      <c r="M15976" t="s">
        <v>17861</v>
      </c>
      <c r="N15976" t="str">
        <f>"10/29/2021 2:02:00 PM"</f>
        <v>10/29/2021 2:02:00 PM</v>
      </c>
      <c r="O15976" t="s">
        <v>48882</v>
      </c>
    </row>
    <row r="15977" spans="1:20" x14ac:dyDescent="0.25">
      <c r="A15977" t="str">
        <f>"3061610"</f>
        <v>3061610</v>
      </c>
      <c r="B15977" t="s">
        <v>48884</v>
      </c>
      <c r="C15977" t="str">
        <f>"8316660"</f>
        <v>8316660</v>
      </c>
      <c r="D15977" t="s">
        <v>48885</v>
      </c>
      <c r="E15977" t="s">
        <v>48886</v>
      </c>
      <c r="F15977" t="s">
        <v>48887</v>
      </c>
      <c r="I15977" t="s">
        <v>184</v>
      </c>
      <c r="J15977" t="s">
        <v>30</v>
      </c>
      <c r="K15977" t="s">
        <v>15258</v>
      </c>
      <c r="M15977" t="s">
        <v>17861</v>
      </c>
      <c r="N15977" t="str">
        <f>"10/29/2021 2:04:00 PM"</f>
        <v>10/29/2021 2:04:00 PM</v>
      </c>
      <c r="O15977" t="s">
        <v>48885</v>
      </c>
      <c r="T15977" t="s">
        <v>48886</v>
      </c>
    </row>
    <row r="15978" spans="1:20" x14ac:dyDescent="0.25">
      <c r="A15978" t="str">
        <f>"3054314"</f>
        <v>3054314</v>
      </c>
      <c r="B15978" t="s">
        <v>48888</v>
      </c>
      <c r="C15978" t="str">
        <f>"8309121"</f>
        <v>8309121</v>
      </c>
      <c r="D15978" t="s">
        <v>48889</v>
      </c>
      <c r="F15978" t="s">
        <v>48890</v>
      </c>
      <c r="I15978" t="s">
        <v>29</v>
      </c>
      <c r="J15978" t="s">
        <v>30</v>
      </c>
      <c r="K15978" t="s">
        <v>48891</v>
      </c>
      <c r="M15978" t="s">
        <v>36935</v>
      </c>
      <c r="N15978" t="str">
        <f>"9/29/2021 1:07:00 PM"</f>
        <v>9/29/2021 1:07:00 PM</v>
      </c>
      <c r="O15978" t="s">
        <v>48889</v>
      </c>
    </row>
    <row r="15979" spans="1:20" x14ac:dyDescent="0.25">
      <c r="A15979" t="str">
        <f>"3053408"</f>
        <v>3053408</v>
      </c>
      <c r="B15979" t="s">
        <v>48892</v>
      </c>
      <c r="C15979" t="str">
        <f>"8316593"</f>
        <v>8316593</v>
      </c>
      <c r="D15979" t="s">
        <v>48893</v>
      </c>
      <c r="E15979" t="s">
        <v>48894</v>
      </c>
      <c r="F15979" t="s">
        <v>48895</v>
      </c>
      <c r="I15979" t="s">
        <v>29</v>
      </c>
      <c r="J15979" t="s">
        <v>30</v>
      </c>
      <c r="K15979" t="s">
        <v>48896</v>
      </c>
      <c r="M15979" t="s">
        <v>17861</v>
      </c>
      <c r="N15979" t="str">
        <f>"10/18/2021 3:50:00 PM"</f>
        <v>10/18/2021 3:50:00 PM</v>
      </c>
      <c r="O15979" t="s">
        <v>48893</v>
      </c>
      <c r="T15979" t="s">
        <v>48894</v>
      </c>
    </row>
    <row r="15980" spans="1:20" x14ac:dyDescent="0.25">
      <c r="A15980" t="str">
        <f>"3044026"</f>
        <v>3044026</v>
      </c>
      <c r="B15980" t="s">
        <v>48897</v>
      </c>
      <c r="C15980" t="str">
        <f>"82526364"</f>
        <v>82526364</v>
      </c>
      <c r="D15980" t="s">
        <v>48898</v>
      </c>
      <c r="E15980" t="s">
        <v>48899</v>
      </c>
      <c r="F15980" t="s">
        <v>48900</v>
      </c>
      <c r="I15980" t="s">
        <v>184</v>
      </c>
      <c r="J15980" t="s">
        <v>30</v>
      </c>
      <c r="K15980" t="s">
        <v>29855</v>
      </c>
      <c r="M15980" t="s">
        <v>25733</v>
      </c>
      <c r="N15980" t="str">
        <f>"10/18/2021 4:06:00 PM"</f>
        <v>10/18/2021 4:06:00 PM</v>
      </c>
      <c r="O15980" t="s">
        <v>48898</v>
      </c>
      <c r="T15980" t="s">
        <v>48899</v>
      </c>
    </row>
    <row r="15981" spans="1:20" x14ac:dyDescent="0.25">
      <c r="A15981" t="str">
        <f>"3060184"</f>
        <v>3060184</v>
      </c>
      <c r="B15981" t="s">
        <v>48901</v>
      </c>
      <c r="C15981" t="str">
        <f>"8316675"</f>
        <v>8316675</v>
      </c>
      <c r="D15981" t="s">
        <v>48902</v>
      </c>
      <c r="E15981" t="s">
        <v>48903</v>
      </c>
      <c r="F15981" t="s">
        <v>48904</v>
      </c>
      <c r="I15981" t="s">
        <v>184</v>
      </c>
      <c r="J15981" t="s">
        <v>30</v>
      </c>
      <c r="K15981" t="s">
        <v>47887</v>
      </c>
      <c r="M15981" t="s">
        <v>17861</v>
      </c>
      <c r="N15981" t="str">
        <f>"11/5/2021 2:49:00 PM"</f>
        <v>11/5/2021 2:49:00 PM</v>
      </c>
      <c r="O15981" t="s">
        <v>48902</v>
      </c>
      <c r="T15981" t="s">
        <v>48903</v>
      </c>
    </row>
    <row r="15982" spans="1:20" x14ac:dyDescent="0.25">
      <c r="A15982" t="str">
        <f>"3059869"</f>
        <v>3059869</v>
      </c>
      <c r="B15982" t="s">
        <v>48905</v>
      </c>
      <c r="C15982" t="str">
        <f>"33809400"</f>
        <v>33809400</v>
      </c>
      <c r="D15982" t="s">
        <v>48906</v>
      </c>
      <c r="E15982" t="str">
        <f>"C/O SHEILA KELLY"</f>
        <v>C/O SHEILA KELLY</v>
      </c>
      <c r="F15982" t="s">
        <v>48907</v>
      </c>
      <c r="I15982" t="s">
        <v>29</v>
      </c>
      <c r="J15982" t="s">
        <v>30</v>
      </c>
      <c r="K15982" t="s">
        <v>31</v>
      </c>
      <c r="M15982" t="s">
        <v>18470</v>
      </c>
      <c r="N15982" t="str">
        <f>"11/5/2021 4:23:00 PM"</f>
        <v>11/5/2021 4:23:00 PM</v>
      </c>
      <c r="O15982" t="s">
        <v>48906</v>
      </c>
      <c r="T15982" t="str">
        <f>"C/O SHEILA KELLY"</f>
        <v>C/O SHEILA KELLY</v>
      </c>
    </row>
    <row r="15983" spans="1:20" x14ac:dyDescent="0.25">
      <c r="A15983" t="str">
        <f>"3058502"</f>
        <v>3058502</v>
      </c>
      <c r="B15983" t="s">
        <v>48908</v>
      </c>
      <c r="C15983" t="str">
        <f>"8316682"</f>
        <v>8316682</v>
      </c>
      <c r="D15983" t="s">
        <v>48909</v>
      </c>
      <c r="F15983" t="s">
        <v>48910</v>
      </c>
      <c r="I15983" t="s">
        <v>29</v>
      </c>
      <c r="J15983" t="s">
        <v>30</v>
      </c>
      <c r="K15983" t="s">
        <v>11121</v>
      </c>
      <c r="M15983" t="s">
        <v>17861</v>
      </c>
      <c r="N15983" t="str">
        <f>"11/8/2021 11:52:00 AM"</f>
        <v>11/8/2021 11:52:00 AM</v>
      </c>
      <c r="O15983" t="s">
        <v>48909</v>
      </c>
    </row>
    <row r="15984" spans="1:20" x14ac:dyDescent="0.25">
      <c r="A15984" t="str">
        <f>"3061971"</f>
        <v>3061971</v>
      </c>
      <c r="B15984" t="s">
        <v>48911</v>
      </c>
      <c r="C15984" t="str">
        <f>"8316682"</f>
        <v>8316682</v>
      </c>
      <c r="D15984" t="s">
        <v>48909</v>
      </c>
      <c r="F15984" t="s">
        <v>48910</v>
      </c>
      <c r="I15984" t="s">
        <v>29</v>
      </c>
      <c r="J15984" t="s">
        <v>30</v>
      </c>
      <c r="K15984" t="s">
        <v>11121</v>
      </c>
      <c r="M15984" t="s">
        <v>17861</v>
      </c>
      <c r="N15984" t="str">
        <f>"11/8/2021 11:52:00 AM"</f>
        <v>11/8/2021 11:52:00 AM</v>
      </c>
      <c r="O15984" t="s">
        <v>48909</v>
      </c>
    </row>
    <row r="15985" spans="1:20" x14ac:dyDescent="0.25">
      <c r="A15985" t="str">
        <f>"3062025"</f>
        <v>3062025</v>
      </c>
      <c r="B15985" t="s">
        <v>48912</v>
      </c>
      <c r="C15985" t="str">
        <f>"8316682"</f>
        <v>8316682</v>
      </c>
      <c r="D15985" t="s">
        <v>48909</v>
      </c>
      <c r="F15985" t="s">
        <v>48910</v>
      </c>
      <c r="I15985" t="s">
        <v>29</v>
      </c>
      <c r="J15985" t="s">
        <v>30</v>
      </c>
      <c r="K15985" t="s">
        <v>11121</v>
      </c>
      <c r="M15985" t="s">
        <v>17861</v>
      </c>
      <c r="N15985" t="str">
        <f>"11/8/2021 11:52:00 AM"</f>
        <v>11/8/2021 11:52:00 AM</v>
      </c>
      <c r="O15985" t="s">
        <v>48909</v>
      </c>
    </row>
    <row r="15986" spans="1:20" x14ac:dyDescent="0.25">
      <c r="A15986" t="str">
        <f>"3062501"</f>
        <v>3062501</v>
      </c>
      <c r="B15986" t="s">
        <v>48913</v>
      </c>
      <c r="C15986" t="str">
        <f>"8316595"</f>
        <v>8316595</v>
      </c>
      <c r="D15986" t="s">
        <v>48914</v>
      </c>
      <c r="F15986" t="s">
        <v>48915</v>
      </c>
      <c r="I15986" t="s">
        <v>29</v>
      </c>
      <c r="J15986" t="s">
        <v>30</v>
      </c>
      <c r="K15986" t="s">
        <v>39800</v>
      </c>
      <c r="M15986" t="s">
        <v>17861</v>
      </c>
      <c r="N15986" t="str">
        <f>"10/18/2021 4:49:00 PM"</f>
        <v>10/18/2021 4:49:00 PM</v>
      </c>
      <c r="O15986" t="s">
        <v>48914</v>
      </c>
    </row>
    <row r="15987" spans="1:20" x14ac:dyDescent="0.25">
      <c r="A15987" t="str">
        <f>"3055383"</f>
        <v>3055383</v>
      </c>
      <c r="B15987" t="s">
        <v>48916</v>
      </c>
      <c r="C15987" t="str">
        <f>"8316451"</f>
        <v>8316451</v>
      </c>
      <c r="D15987" t="s">
        <v>48917</v>
      </c>
      <c r="E15987" t="s">
        <v>48918</v>
      </c>
      <c r="F15987" t="s">
        <v>48919</v>
      </c>
      <c r="I15987" t="s">
        <v>29</v>
      </c>
      <c r="J15987" t="s">
        <v>30</v>
      </c>
      <c r="K15987" t="s">
        <v>14700</v>
      </c>
      <c r="M15987" t="s">
        <v>17861</v>
      </c>
      <c r="N15987" t="str">
        <f>"9/29/2021 1:19:00 PM"</f>
        <v>9/29/2021 1:19:00 PM</v>
      </c>
      <c r="O15987" t="s">
        <v>48917</v>
      </c>
      <c r="T15987" t="s">
        <v>48918</v>
      </c>
    </row>
    <row r="15988" spans="1:20" x14ac:dyDescent="0.25">
      <c r="A15988" t="str">
        <f>"3039050"</f>
        <v>3039050</v>
      </c>
      <c r="B15988" t="s">
        <v>48920</v>
      </c>
      <c r="C15988" t="str">
        <f>"8316597"</f>
        <v>8316597</v>
      </c>
      <c r="D15988" t="s">
        <v>48921</v>
      </c>
      <c r="E15988" t="s">
        <v>48922</v>
      </c>
      <c r="F15988" t="s">
        <v>48923</v>
      </c>
      <c r="I15988" t="s">
        <v>29</v>
      </c>
      <c r="J15988" t="s">
        <v>30</v>
      </c>
      <c r="K15988" t="s">
        <v>572</v>
      </c>
      <c r="M15988" t="s">
        <v>17861</v>
      </c>
      <c r="N15988" t="str">
        <f>"10/18/2021 4:55:00 PM"</f>
        <v>10/18/2021 4:55:00 PM</v>
      </c>
      <c r="O15988" t="s">
        <v>48921</v>
      </c>
      <c r="T15988" t="s">
        <v>48922</v>
      </c>
    </row>
    <row r="15989" spans="1:20" x14ac:dyDescent="0.25">
      <c r="A15989" t="str">
        <f>"3055212"</f>
        <v>3055212</v>
      </c>
      <c r="B15989" t="s">
        <v>48924</v>
      </c>
      <c r="C15989" t="str">
        <f>"8316605"</f>
        <v>8316605</v>
      </c>
      <c r="D15989" t="s">
        <v>48925</v>
      </c>
      <c r="F15989" t="s">
        <v>48926</v>
      </c>
      <c r="I15989" t="s">
        <v>29</v>
      </c>
      <c r="J15989" t="s">
        <v>30</v>
      </c>
      <c r="K15989" t="s">
        <v>48927</v>
      </c>
      <c r="M15989" t="s">
        <v>17861</v>
      </c>
      <c r="N15989" t="str">
        <f>"10/28/2021 10:30:00 AM"</f>
        <v>10/28/2021 10:30:00 AM</v>
      </c>
      <c r="O15989" t="s">
        <v>48925</v>
      </c>
    </row>
    <row r="15990" spans="1:20" x14ac:dyDescent="0.25">
      <c r="A15990" t="str">
        <f>"3060477"</f>
        <v>3060477</v>
      </c>
      <c r="B15990" t="s">
        <v>48928</v>
      </c>
      <c r="C15990" t="str">
        <f>"8316607"</f>
        <v>8316607</v>
      </c>
      <c r="D15990" t="s">
        <v>48929</v>
      </c>
      <c r="E15990" t="s">
        <v>48930</v>
      </c>
      <c r="F15990" t="s">
        <v>48931</v>
      </c>
      <c r="I15990" t="s">
        <v>184</v>
      </c>
      <c r="J15990" t="s">
        <v>30</v>
      </c>
      <c r="K15990" t="str">
        <f>"27006"</f>
        <v>27006</v>
      </c>
      <c r="M15990" t="s">
        <v>17861</v>
      </c>
      <c r="N15990" t="str">
        <f>"10/28/2021 10:35:00 AM"</f>
        <v>10/28/2021 10:35:00 AM</v>
      </c>
      <c r="O15990" t="s">
        <v>48929</v>
      </c>
      <c r="T15990" t="s">
        <v>48930</v>
      </c>
    </row>
    <row r="15991" spans="1:20" x14ac:dyDescent="0.25">
      <c r="A15991" t="str">
        <f>"3045659"</f>
        <v>3045659</v>
      </c>
      <c r="B15991" t="s">
        <v>48932</v>
      </c>
      <c r="C15991" t="str">
        <f>"8316616"</f>
        <v>8316616</v>
      </c>
      <c r="D15991" t="s">
        <v>48933</v>
      </c>
      <c r="F15991" t="s">
        <v>48934</v>
      </c>
      <c r="I15991" t="s">
        <v>29</v>
      </c>
      <c r="J15991" t="s">
        <v>30</v>
      </c>
      <c r="K15991" t="s">
        <v>39256</v>
      </c>
      <c r="M15991" t="s">
        <v>17861</v>
      </c>
      <c r="N15991" t="str">
        <f>"10/28/2021 11:08:00 AM"</f>
        <v>10/28/2021 11:08:00 AM</v>
      </c>
      <c r="O15991" t="s">
        <v>48933</v>
      </c>
    </row>
    <row r="15992" spans="1:20" x14ac:dyDescent="0.25">
      <c r="A15992" t="str">
        <f>"3060954"</f>
        <v>3060954</v>
      </c>
      <c r="B15992" t="s">
        <v>48935</v>
      </c>
      <c r="C15992" t="str">
        <f>"8316617"</f>
        <v>8316617</v>
      </c>
      <c r="D15992" t="s">
        <v>48936</v>
      </c>
      <c r="F15992" t="s">
        <v>48937</v>
      </c>
      <c r="I15992" t="s">
        <v>2071</v>
      </c>
      <c r="J15992" t="s">
        <v>30</v>
      </c>
      <c r="K15992" t="s">
        <v>23610</v>
      </c>
      <c r="M15992" t="s">
        <v>17861</v>
      </c>
      <c r="N15992" t="str">
        <f>"10/28/2021 11:10:00 AM"</f>
        <v>10/28/2021 11:10:00 AM</v>
      </c>
      <c r="O15992" t="s">
        <v>48936</v>
      </c>
    </row>
    <row r="15993" spans="1:20" x14ac:dyDescent="0.25">
      <c r="A15993" t="str">
        <f>"3060834"</f>
        <v>3060834</v>
      </c>
      <c r="B15993" t="s">
        <v>48938</v>
      </c>
      <c r="C15993" t="str">
        <f>"8316619"</f>
        <v>8316619</v>
      </c>
      <c r="D15993" t="s">
        <v>48939</v>
      </c>
      <c r="F15993" t="s">
        <v>48940</v>
      </c>
      <c r="I15993" t="s">
        <v>184</v>
      </c>
      <c r="J15993" t="s">
        <v>30</v>
      </c>
      <c r="K15993" t="s">
        <v>48941</v>
      </c>
      <c r="M15993" t="s">
        <v>17861</v>
      </c>
      <c r="N15993" t="str">
        <f>"10/28/2021 12:50:00 PM"</f>
        <v>10/28/2021 12:50:00 PM</v>
      </c>
      <c r="O15993" t="s">
        <v>48939</v>
      </c>
    </row>
    <row r="15994" spans="1:20" x14ac:dyDescent="0.25">
      <c r="A15994" t="str">
        <f>"3053895"</f>
        <v>3053895</v>
      </c>
      <c r="B15994" t="s">
        <v>48942</v>
      </c>
      <c r="C15994" t="str">
        <f>"8316621"</f>
        <v>8316621</v>
      </c>
      <c r="D15994" t="s">
        <v>48943</v>
      </c>
      <c r="E15994" t="s">
        <v>48944</v>
      </c>
      <c r="F15994" t="s">
        <v>48945</v>
      </c>
      <c r="I15994" t="s">
        <v>29</v>
      </c>
      <c r="J15994" t="s">
        <v>30</v>
      </c>
      <c r="K15994" t="s">
        <v>13235</v>
      </c>
      <c r="M15994" t="s">
        <v>17861</v>
      </c>
      <c r="N15994" t="str">
        <f>"10/28/2021 12:56:00 PM"</f>
        <v>10/28/2021 12:56:00 PM</v>
      </c>
      <c r="O15994" t="s">
        <v>48943</v>
      </c>
      <c r="T15994" t="s">
        <v>48944</v>
      </c>
    </row>
    <row r="15995" spans="1:20" x14ac:dyDescent="0.25">
      <c r="A15995" t="str">
        <f>"3040571"</f>
        <v>3040571</v>
      </c>
      <c r="B15995" t="s">
        <v>48946</v>
      </c>
      <c r="C15995" t="str">
        <f>"8316581"</f>
        <v>8316581</v>
      </c>
      <c r="D15995" t="s">
        <v>48947</v>
      </c>
      <c r="F15995" t="s">
        <v>48948</v>
      </c>
      <c r="I15995" t="s">
        <v>184</v>
      </c>
      <c r="J15995" t="s">
        <v>30</v>
      </c>
      <c r="K15995" t="s">
        <v>38519</v>
      </c>
      <c r="M15995" t="s">
        <v>17861</v>
      </c>
      <c r="N15995" t="str">
        <f>"10/15/2021 9:33:00 AM"</f>
        <v>10/15/2021 9:33:00 AM</v>
      </c>
      <c r="O15995" t="s">
        <v>48947</v>
      </c>
    </row>
    <row r="15996" spans="1:20" x14ac:dyDescent="0.25">
      <c r="A15996" t="str">
        <f>"3047513"</f>
        <v>3047513</v>
      </c>
      <c r="B15996" t="s">
        <v>48949</v>
      </c>
      <c r="C15996" t="str">
        <f>"8316591"</f>
        <v>8316591</v>
      </c>
      <c r="D15996" t="s">
        <v>48950</v>
      </c>
      <c r="F15996" t="s">
        <v>48951</v>
      </c>
      <c r="I15996" t="s">
        <v>471</v>
      </c>
      <c r="J15996" t="s">
        <v>30</v>
      </c>
      <c r="K15996" t="s">
        <v>48952</v>
      </c>
      <c r="M15996" t="s">
        <v>17861</v>
      </c>
      <c r="N15996" t="str">
        <f>"10/18/2021 3:25:00 PM"</f>
        <v>10/18/2021 3:25:00 PM</v>
      </c>
      <c r="O15996" t="s">
        <v>48950</v>
      </c>
    </row>
    <row r="15997" spans="1:20" x14ac:dyDescent="0.25">
      <c r="A15997" t="str">
        <f>"3045686"</f>
        <v>3045686</v>
      </c>
      <c r="B15997" t="s">
        <v>48953</v>
      </c>
      <c r="C15997" t="str">
        <f>"8316592"</f>
        <v>8316592</v>
      </c>
      <c r="D15997" t="s">
        <v>48954</v>
      </c>
      <c r="E15997" t="s">
        <v>48955</v>
      </c>
      <c r="F15997" t="s">
        <v>48956</v>
      </c>
      <c r="I15997" t="s">
        <v>1107</v>
      </c>
      <c r="J15997" t="s">
        <v>30</v>
      </c>
      <c r="K15997" t="s">
        <v>48957</v>
      </c>
      <c r="M15997" t="s">
        <v>17861</v>
      </c>
      <c r="N15997" t="str">
        <f>"10/18/2021 3:42:00 PM"</f>
        <v>10/18/2021 3:42:00 PM</v>
      </c>
      <c r="O15997" t="s">
        <v>48954</v>
      </c>
      <c r="T15997" t="s">
        <v>48955</v>
      </c>
    </row>
    <row r="15998" spans="1:20" x14ac:dyDescent="0.25">
      <c r="A15998" t="str">
        <f>"3053596"</f>
        <v>3053596</v>
      </c>
      <c r="B15998" t="s">
        <v>48958</v>
      </c>
      <c r="C15998" t="str">
        <f>"8316625"</f>
        <v>8316625</v>
      </c>
      <c r="D15998" t="s">
        <v>48959</v>
      </c>
      <c r="E15998" t="s">
        <v>48960</v>
      </c>
      <c r="F15998" t="s">
        <v>48961</v>
      </c>
      <c r="I15998" t="s">
        <v>184</v>
      </c>
      <c r="J15998" t="s">
        <v>30</v>
      </c>
      <c r="K15998" t="s">
        <v>45462</v>
      </c>
      <c r="M15998" t="s">
        <v>17861</v>
      </c>
      <c r="N15998" t="str">
        <f>"10/28/2021 1:22:00 PM"</f>
        <v>10/28/2021 1:22:00 PM</v>
      </c>
      <c r="O15998" t="s">
        <v>48959</v>
      </c>
      <c r="T15998" t="s">
        <v>48960</v>
      </c>
    </row>
    <row r="15999" spans="1:20" x14ac:dyDescent="0.25">
      <c r="A15999" t="str">
        <f>"3054241"</f>
        <v>3054241</v>
      </c>
      <c r="B15999" t="s">
        <v>48962</v>
      </c>
      <c r="C15999" t="str">
        <f>"8316626"</f>
        <v>8316626</v>
      </c>
      <c r="D15999" t="s">
        <v>48963</v>
      </c>
      <c r="F15999" t="s">
        <v>48964</v>
      </c>
      <c r="I15999" t="s">
        <v>29</v>
      </c>
      <c r="J15999" t="s">
        <v>30</v>
      </c>
      <c r="K15999" t="s">
        <v>15246</v>
      </c>
      <c r="M15999" t="s">
        <v>17861</v>
      </c>
      <c r="N15999" t="str">
        <f>"10/28/2021 2:09:00 PM"</f>
        <v>10/28/2021 2:09:00 PM</v>
      </c>
      <c r="O15999" t="s">
        <v>48963</v>
      </c>
    </row>
    <row r="16000" spans="1:20" x14ac:dyDescent="0.25">
      <c r="A16000" t="str">
        <f>"3060772"</f>
        <v>3060772</v>
      </c>
      <c r="B16000" t="s">
        <v>48965</v>
      </c>
      <c r="C16000" t="str">
        <f>"8316628"</f>
        <v>8316628</v>
      </c>
      <c r="D16000" t="s">
        <v>48966</v>
      </c>
      <c r="E16000" t="s">
        <v>48967</v>
      </c>
      <c r="F16000" t="s">
        <v>48968</v>
      </c>
      <c r="I16000" t="s">
        <v>184</v>
      </c>
      <c r="J16000" t="s">
        <v>30</v>
      </c>
      <c r="K16000" t="s">
        <v>5026</v>
      </c>
      <c r="M16000" t="s">
        <v>17861</v>
      </c>
      <c r="N16000" t="str">
        <f>"10/29/2021 9:35:00 AM"</f>
        <v>10/29/2021 9:35:00 AM</v>
      </c>
      <c r="O16000" t="s">
        <v>48966</v>
      </c>
      <c r="T16000" t="s">
        <v>48967</v>
      </c>
    </row>
    <row r="16001" spans="1:20" x14ac:dyDescent="0.25">
      <c r="A16001" t="str">
        <f>"3057547"</f>
        <v>3057547</v>
      </c>
      <c r="B16001" t="s">
        <v>48969</v>
      </c>
      <c r="C16001" t="str">
        <f>"8316642"</f>
        <v>8316642</v>
      </c>
      <c r="D16001" t="s">
        <v>48970</v>
      </c>
      <c r="E16001" t="s">
        <v>48971</v>
      </c>
      <c r="F16001" t="s">
        <v>36463</v>
      </c>
      <c r="I16001" t="s">
        <v>29</v>
      </c>
      <c r="J16001" t="s">
        <v>30</v>
      </c>
      <c r="K16001" t="s">
        <v>36464</v>
      </c>
      <c r="M16001" t="s">
        <v>17861</v>
      </c>
      <c r="N16001" t="str">
        <f>"10/29/2021 12:22:00 PM"</f>
        <v>10/29/2021 12:22:00 PM</v>
      </c>
      <c r="O16001" t="s">
        <v>48970</v>
      </c>
      <c r="T16001" t="s">
        <v>48971</v>
      </c>
    </row>
    <row r="16002" spans="1:20" x14ac:dyDescent="0.25">
      <c r="A16002" t="str">
        <f>"3057988"</f>
        <v>3057988</v>
      </c>
      <c r="B16002" t="s">
        <v>48972</v>
      </c>
      <c r="C16002" t="str">
        <f>"8316662"</f>
        <v>8316662</v>
      </c>
      <c r="D16002" t="s">
        <v>48973</v>
      </c>
      <c r="F16002" t="s">
        <v>48974</v>
      </c>
      <c r="I16002" t="s">
        <v>184</v>
      </c>
      <c r="J16002" t="s">
        <v>30</v>
      </c>
      <c r="K16002" t="s">
        <v>44648</v>
      </c>
      <c r="M16002" t="s">
        <v>17861</v>
      </c>
      <c r="N16002" t="str">
        <f>"10/29/2021 2:20:00 PM"</f>
        <v>10/29/2021 2:20:00 PM</v>
      </c>
      <c r="O16002" t="s">
        <v>48973</v>
      </c>
    </row>
    <row r="16003" spans="1:20" x14ac:dyDescent="0.25">
      <c r="A16003" t="str">
        <f>"3051269"</f>
        <v>3051269</v>
      </c>
      <c r="B16003" t="s">
        <v>48975</v>
      </c>
      <c r="C16003" t="str">
        <f>"8313038"</f>
        <v>8313038</v>
      </c>
      <c r="D16003" t="s">
        <v>48976</v>
      </c>
      <c r="E16003" t="s">
        <v>48977</v>
      </c>
      <c r="F16003" t="s">
        <v>48978</v>
      </c>
      <c r="I16003" t="s">
        <v>29</v>
      </c>
      <c r="J16003" t="s">
        <v>30</v>
      </c>
      <c r="K16003" t="s">
        <v>48979</v>
      </c>
      <c r="M16003" t="s">
        <v>17861</v>
      </c>
      <c r="N16003" t="str">
        <f>"11/4/2021 8:42:00 AM"</f>
        <v>11/4/2021 8:42:00 AM</v>
      </c>
      <c r="O16003" t="s">
        <v>48976</v>
      </c>
      <c r="T16003" t="s">
        <v>48977</v>
      </c>
    </row>
    <row r="16004" spans="1:20" x14ac:dyDescent="0.25">
      <c r="A16004" t="str">
        <f>"3050040"</f>
        <v>3050040</v>
      </c>
      <c r="B16004" t="s">
        <v>48980</v>
      </c>
      <c r="C16004" t="str">
        <f>"8316674"</f>
        <v>8316674</v>
      </c>
      <c r="D16004" t="s">
        <v>48981</v>
      </c>
      <c r="E16004" t="s">
        <v>48982</v>
      </c>
      <c r="F16004" t="s">
        <v>48983</v>
      </c>
      <c r="I16004" t="s">
        <v>29</v>
      </c>
      <c r="J16004" t="s">
        <v>30</v>
      </c>
      <c r="K16004" t="s">
        <v>48984</v>
      </c>
      <c r="M16004" t="s">
        <v>17861</v>
      </c>
      <c r="N16004" t="str">
        <f>"11/5/2021 2:08:00 PM"</f>
        <v>11/5/2021 2:08:00 PM</v>
      </c>
      <c r="O16004" t="s">
        <v>48981</v>
      </c>
      <c r="T16004" t="s">
        <v>48982</v>
      </c>
    </row>
    <row r="16005" spans="1:20" x14ac:dyDescent="0.25">
      <c r="A16005" t="str">
        <f>"3060065"</f>
        <v>3060065</v>
      </c>
      <c r="B16005" t="s">
        <v>48985</v>
      </c>
      <c r="C16005" t="str">
        <f>"8316452"</f>
        <v>8316452</v>
      </c>
      <c r="D16005" t="s">
        <v>48986</v>
      </c>
      <c r="E16005" t="s">
        <v>48987</v>
      </c>
      <c r="F16005" t="s">
        <v>48988</v>
      </c>
      <c r="I16005" t="s">
        <v>184</v>
      </c>
      <c r="J16005" t="s">
        <v>30</v>
      </c>
      <c r="K16005" t="s">
        <v>33921</v>
      </c>
      <c r="M16005" t="s">
        <v>17861</v>
      </c>
      <c r="N16005" t="str">
        <f>"9/29/2021 1:35:00 PM"</f>
        <v>9/29/2021 1:35:00 PM</v>
      </c>
      <c r="O16005" t="s">
        <v>48986</v>
      </c>
      <c r="T16005" t="s">
        <v>48987</v>
      </c>
    </row>
    <row r="16006" spans="1:20" x14ac:dyDescent="0.25">
      <c r="A16006" t="str">
        <f>"3060941"</f>
        <v>3060941</v>
      </c>
      <c r="B16006" t="s">
        <v>48989</v>
      </c>
      <c r="C16006" t="str">
        <f>"8316454"</f>
        <v>8316454</v>
      </c>
      <c r="D16006" t="s">
        <v>48990</v>
      </c>
      <c r="F16006" t="s">
        <v>48991</v>
      </c>
      <c r="I16006" t="s">
        <v>2071</v>
      </c>
      <c r="J16006" t="s">
        <v>30</v>
      </c>
      <c r="K16006" t="s">
        <v>4308</v>
      </c>
      <c r="M16006" t="s">
        <v>17861</v>
      </c>
      <c r="N16006" t="str">
        <f>"9/29/2021 2:08:00 PM"</f>
        <v>9/29/2021 2:08:00 PM</v>
      </c>
      <c r="O16006" t="s">
        <v>48990</v>
      </c>
    </row>
    <row r="16007" spans="1:20" x14ac:dyDescent="0.25">
      <c r="A16007" t="str">
        <f>"3041049"</f>
        <v>3041049</v>
      </c>
      <c r="B16007" t="s">
        <v>48992</v>
      </c>
      <c r="C16007" t="str">
        <f>"8316455"</f>
        <v>8316455</v>
      </c>
      <c r="D16007" t="s">
        <v>48993</v>
      </c>
      <c r="F16007" t="s">
        <v>48994</v>
      </c>
      <c r="I16007" t="s">
        <v>2071</v>
      </c>
      <c r="J16007" t="s">
        <v>30</v>
      </c>
      <c r="K16007" t="s">
        <v>41795</v>
      </c>
      <c r="M16007" t="s">
        <v>17861</v>
      </c>
      <c r="N16007" t="str">
        <f>"9/29/2021 2:11:00 PM"</f>
        <v>9/29/2021 2:11:00 PM</v>
      </c>
      <c r="O16007" t="s">
        <v>48993</v>
      </c>
    </row>
    <row r="16008" spans="1:20" x14ac:dyDescent="0.25">
      <c r="A16008" t="str">
        <f>"3052121"</f>
        <v>3052121</v>
      </c>
      <c r="B16008" t="s">
        <v>48995</v>
      </c>
      <c r="C16008" t="str">
        <f>"8316456"</f>
        <v>8316456</v>
      </c>
      <c r="D16008" t="s">
        <v>48996</v>
      </c>
      <c r="E16008" t="s">
        <v>48997</v>
      </c>
      <c r="F16008" t="s">
        <v>48998</v>
      </c>
      <c r="I16008" t="s">
        <v>29</v>
      </c>
      <c r="J16008" t="s">
        <v>30</v>
      </c>
      <c r="K16008" t="s">
        <v>37364</v>
      </c>
      <c r="M16008" t="s">
        <v>17861</v>
      </c>
      <c r="N16008" t="str">
        <f>"9/29/2021 2:15:00 PM"</f>
        <v>9/29/2021 2:15:00 PM</v>
      </c>
      <c r="O16008" t="s">
        <v>48996</v>
      </c>
      <c r="T16008" t="s">
        <v>48997</v>
      </c>
    </row>
    <row r="16009" spans="1:20" x14ac:dyDescent="0.25">
      <c r="A16009" t="str">
        <f>"3058838"</f>
        <v>3058838</v>
      </c>
      <c r="B16009" t="s">
        <v>48999</v>
      </c>
      <c r="C16009" t="str">
        <f>"8316458"</f>
        <v>8316458</v>
      </c>
      <c r="D16009" t="s">
        <v>49000</v>
      </c>
      <c r="E16009" t="s">
        <v>49001</v>
      </c>
      <c r="F16009" t="s">
        <v>49002</v>
      </c>
      <c r="I16009" t="s">
        <v>29</v>
      </c>
      <c r="J16009" t="s">
        <v>30</v>
      </c>
      <c r="K16009" t="s">
        <v>34195</v>
      </c>
      <c r="M16009" t="s">
        <v>17861</v>
      </c>
      <c r="N16009" t="str">
        <f>"9/30/2021 9:27:00 AM"</f>
        <v>9/30/2021 9:27:00 AM</v>
      </c>
      <c r="O16009" t="s">
        <v>49000</v>
      </c>
      <c r="T16009" t="s">
        <v>49001</v>
      </c>
    </row>
    <row r="16010" spans="1:20" x14ac:dyDescent="0.25">
      <c r="A16010" t="str">
        <f>"3061808"</f>
        <v>3061808</v>
      </c>
      <c r="B16010" t="s">
        <v>49003</v>
      </c>
      <c r="C16010" t="str">
        <f>"8316692"</f>
        <v>8316692</v>
      </c>
      <c r="D16010" t="s">
        <v>49004</v>
      </c>
      <c r="F16010" t="s">
        <v>49005</v>
      </c>
      <c r="I16010" t="s">
        <v>2071</v>
      </c>
      <c r="J16010" t="s">
        <v>30</v>
      </c>
      <c r="K16010" t="s">
        <v>3960</v>
      </c>
      <c r="M16010" t="s">
        <v>17861</v>
      </c>
      <c r="N16010" t="str">
        <f>"11/8/2021 1:38:00 PM"</f>
        <v>11/8/2021 1:38:00 PM</v>
      </c>
      <c r="O16010" t="s">
        <v>49004</v>
      </c>
    </row>
    <row r="16011" spans="1:20" x14ac:dyDescent="0.25">
      <c r="A16011" t="str">
        <f>"3059908"</f>
        <v>3059908</v>
      </c>
      <c r="B16011" t="s">
        <v>49006</v>
      </c>
      <c r="C16011" t="str">
        <f>"8316731"</f>
        <v>8316731</v>
      </c>
      <c r="D16011" t="s">
        <v>49007</v>
      </c>
      <c r="F16011" t="s">
        <v>49008</v>
      </c>
      <c r="I16011" t="s">
        <v>29</v>
      </c>
      <c r="J16011" t="s">
        <v>30</v>
      </c>
      <c r="K16011" t="s">
        <v>43853</v>
      </c>
      <c r="M16011" t="s">
        <v>17861</v>
      </c>
      <c r="N16011" t="str">
        <f>"11/15/2021 1:51:00 PM"</f>
        <v>11/15/2021 1:51:00 PM</v>
      </c>
      <c r="O16011" t="s">
        <v>49007</v>
      </c>
    </row>
    <row r="16012" spans="1:20" x14ac:dyDescent="0.25">
      <c r="A16012" t="str">
        <f>"3048909"</f>
        <v>3048909</v>
      </c>
      <c r="B16012" t="s">
        <v>49009</v>
      </c>
      <c r="C16012" t="str">
        <f>"8316732"</f>
        <v>8316732</v>
      </c>
      <c r="D16012" t="s">
        <v>49010</v>
      </c>
      <c r="F16012" t="s">
        <v>49011</v>
      </c>
      <c r="I16012" t="s">
        <v>17892</v>
      </c>
      <c r="J16012" t="s">
        <v>30</v>
      </c>
      <c r="K16012" t="s">
        <v>49012</v>
      </c>
      <c r="M16012" t="s">
        <v>17861</v>
      </c>
      <c r="N16012" t="str">
        <f>"11/15/2021 1:54:00 PM"</f>
        <v>11/15/2021 1:54:00 PM</v>
      </c>
      <c r="O16012" t="s">
        <v>49010</v>
      </c>
    </row>
    <row r="16013" spans="1:20" x14ac:dyDescent="0.25">
      <c r="A16013" t="str">
        <f>"3052712"</f>
        <v>3052712</v>
      </c>
      <c r="B16013" t="s">
        <v>49013</v>
      </c>
      <c r="C16013" t="str">
        <f>"8316732"</f>
        <v>8316732</v>
      </c>
      <c r="D16013" t="s">
        <v>49010</v>
      </c>
      <c r="F16013" t="s">
        <v>49011</v>
      </c>
      <c r="I16013" t="s">
        <v>17892</v>
      </c>
      <c r="J16013" t="s">
        <v>30</v>
      </c>
      <c r="K16013" t="s">
        <v>49012</v>
      </c>
      <c r="M16013" t="s">
        <v>17861</v>
      </c>
      <c r="N16013" t="str">
        <f>"11/15/2021 1:54:00 PM"</f>
        <v>11/15/2021 1:54:00 PM</v>
      </c>
      <c r="O16013" t="s">
        <v>49010</v>
      </c>
    </row>
    <row r="16014" spans="1:20" x14ac:dyDescent="0.25">
      <c r="A16014" t="str">
        <f>"3038610"</f>
        <v>3038610</v>
      </c>
      <c r="B16014" t="s">
        <v>49014</v>
      </c>
      <c r="C16014" t="str">
        <f>"8316733"</f>
        <v>8316733</v>
      </c>
      <c r="D16014" t="s">
        <v>49015</v>
      </c>
      <c r="F16014" t="s">
        <v>49016</v>
      </c>
      <c r="I16014" t="s">
        <v>29</v>
      </c>
      <c r="J16014" t="s">
        <v>30</v>
      </c>
      <c r="K16014" t="s">
        <v>2779</v>
      </c>
      <c r="M16014" t="s">
        <v>17861</v>
      </c>
      <c r="N16014" t="str">
        <f>"11/15/2021 2:17:00 PM"</f>
        <v>11/15/2021 2:17:00 PM</v>
      </c>
      <c r="O16014" t="s">
        <v>49015</v>
      </c>
    </row>
    <row r="16015" spans="1:20" x14ac:dyDescent="0.25">
      <c r="A16015" t="str">
        <f>"3063021"</f>
        <v>3063021</v>
      </c>
      <c r="B16015" t="s">
        <v>49017</v>
      </c>
      <c r="C16015" t="str">
        <f>"8316734"</f>
        <v>8316734</v>
      </c>
      <c r="D16015" t="s">
        <v>49018</v>
      </c>
      <c r="F16015" t="s">
        <v>49019</v>
      </c>
      <c r="I16015" t="s">
        <v>184</v>
      </c>
      <c r="J16015" t="s">
        <v>30</v>
      </c>
      <c r="K16015" t="s">
        <v>35136</v>
      </c>
      <c r="M16015" t="s">
        <v>17861</v>
      </c>
      <c r="N16015" t="str">
        <f>"11/15/2021 2:18:00 PM"</f>
        <v>11/15/2021 2:18:00 PM</v>
      </c>
      <c r="O16015" t="s">
        <v>49018</v>
      </c>
    </row>
    <row r="16016" spans="1:20" x14ac:dyDescent="0.25">
      <c r="A16016" t="str">
        <f>"3040917"</f>
        <v>3040917</v>
      </c>
      <c r="B16016" t="s">
        <v>49020</v>
      </c>
      <c r="C16016" t="str">
        <f>"8316683"</f>
        <v>8316683</v>
      </c>
      <c r="D16016" t="s">
        <v>49021</v>
      </c>
      <c r="F16016" t="s">
        <v>37883</v>
      </c>
      <c r="I16016" t="s">
        <v>184</v>
      </c>
      <c r="J16016" t="s">
        <v>30</v>
      </c>
      <c r="K16016" t="s">
        <v>34175</v>
      </c>
      <c r="M16016" t="s">
        <v>17861</v>
      </c>
      <c r="N16016" t="str">
        <f>"11/8/2021 12:02:00 PM"</f>
        <v>11/8/2021 12:02:00 PM</v>
      </c>
      <c r="O16016" t="s">
        <v>49021</v>
      </c>
    </row>
    <row r="16017" spans="1:20" x14ac:dyDescent="0.25">
      <c r="A16017" t="str">
        <f>"3053129"</f>
        <v>3053129</v>
      </c>
      <c r="B16017" t="s">
        <v>49022</v>
      </c>
      <c r="C16017" t="str">
        <f>"8316686"</f>
        <v>8316686</v>
      </c>
      <c r="D16017" t="s">
        <v>49023</v>
      </c>
      <c r="E16017" t="s">
        <v>49024</v>
      </c>
      <c r="F16017" t="s">
        <v>49025</v>
      </c>
      <c r="I16017" t="s">
        <v>29</v>
      </c>
      <c r="J16017" t="s">
        <v>30</v>
      </c>
      <c r="K16017" t="s">
        <v>49026</v>
      </c>
      <c r="M16017" t="s">
        <v>17861</v>
      </c>
      <c r="N16017" t="str">
        <f>"11/8/2021 12:18:00 PM"</f>
        <v>11/8/2021 12:18:00 PM</v>
      </c>
      <c r="O16017" t="s">
        <v>49023</v>
      </c>
      <c r="T16017" t="s">
        <v>49024</v>
      </c>
    </row>
    <row r="16018" spans="1:20" x14ac:dyDescent="0.25">
      <c r="A16018" t="str">
        <f>"3041865"</f>
        <v>3041865</v>
      </c>
      <c r="B16018" t="s">
        <v>49027</v>
      </c>
      <c r="C16018" t="str">
        <f>"8316737"</f>
        <v>8316737</v>
      </c>
      <c r="D16018" t="s">
        <v>49028</v>
      </c>
      <c r="E16018" t="s">
        <v>49029</v>
      </c>
      <c r="F16018" t="s">
        <v>49030</v>
      </c>
      <c r="I16018" t="s">
        <v>2071</v>
      </c>
      <c r="J16018" t="s">
        <v>30</v>
      </c>
      <c r="K16018" t="s">
        <v>20267</v>
      </c>
      <c r="M16018" t="s">
        <v>17861</v>
      </c>
      <c r="N16018" t="str">
        <f>"11/15/2021 2:40:00 PM"</f>
        <v>11/15/2021 2:40:00 PM</v>
      </c>
      <c r="O16018" t="s">
        <v>49028</v>
      </c>
      <c r="T16018" t="s">
        <v>49029</v>
      </c>
    </row>
    <row r="16019" spans="1:20" x14ac:dyDescent="0.25">
      <c r="A16019" t="str">
        <f>"3044390"</f>
        <v>3044390</v>
      </c>
      <c r="B16019" t="s">
        <v>49031</v>
      </c>
      <c r="C16019" t="str">
        <f>"8316738"</f>
        <v>8316738</v>
      </c>
      <c r="D16019" t="s">
        <v>49032</v>
      </c>
      <c r="E16019" t="s">
        <v>49033</v>
      </c>
      <c r="F16019" t="s">
        <v>49034</v>
      </c>
      <c r="I16019" t="s">
        <v>2071</v>
      </c>
      <c r="J16019" t="s">
        <v>30</v>
      </c>
      <c r="K16019" t="s">
        <v>6136</v>
      </c>
      <c r="M16019" t="s">
        <v>17861</v>
      </c>
      <c r="N16019" t="str">
        <f>"11/15/2021 2:55:00 PM"</f>
        <v>11/15/2021 2:55:00 PM</v>
      </c>
      <c r="O16019" t="s">
        <v>49032</v>
      </c>
      <c r="T16019" t="s">
        <v>49033</v>
      </c>
    </row>
    <row r="16020" spans="1:20" x14ac:dyDescent="0.25">
      <c r="A16020" t="str">
        <f>"3042180"</f>
        <v>3042180</v>
      </c>
      <c r="B16020" t="s">
        <v>49035</v>
      </c>
      <c r="C16020" t="str">
        <f>"8316740"</f>
        <v>8316740</v>
      </c>
      <c r="D16020" t="s">
        <v>49036</v>
      </c>
      <c r="E16020" t="s">
        <v>49037</v>
      </c>
      <c r="F16020" t="s">
        <v>49038</v>
      </c>
      <c r="I16020" t="s">
        <v>29</v>
      </c>
      <c r="J16020" t="s">
        <v>30</v>
      </c>
      <c r="K16020" t="s">
        <v>25047</v>
      </c>
      <c r="M16020" t="s">
        <v>17861</v>
      </c>
      <c r="N16020" t="str">
        <f>"11/15/2021 3:10:00 PM"</f>
        <v>11/15/2021 3:10:00 PM</v>
      </c>
      <c r="O16020" t="s">
        <v>49036</v>
      </c>
      <c r="T16020" t="s">
        <v>49037</v>
      </c>
    </row>
    <row r="16021" spans="1:20" x14ac:dyDescent="0.25">
      <c r="A16021" t="str">
        <f>"3060729"</f>
        <v>3060729</v>
      </c>
      <c r="B16021" t="s">
        <v>49039</v>
      </c>
      <c r="C16021" t="str">
        <f>"8316744"</f>
        <v>8316744</v>
      </c>
      <c r="D16021" t="s">
        <v>49040</v>
      </c>
      <c r="E16021" t="s">
        <v>49041</v>
      </c>
      <c r="F16021" t="s">
        <v>49042</v>
      </c>
      <c r="I16021" t="s">
        <v>184</v>
      </c>
      <c r="J16021" t="s">
        <v>30</v>
      </c>
      <c r="K16021" t="s">
        <v>20078</v>
      </c>
      <c r="M16021" t="s">
        <v>17861</v>
      </c>
      <c r="N16021" t="str">
        <f>"11/15/2021 3:26:00 PM"</f>
        <v>11/15/2021 3:26:00 PM</v>
      </c>
      <c r="O16021" t="s">
        <v>49040</v>
      </c>
      <c r="T16021" t="s">
        <v>49041</v>
      </c>
    </row>
    <row r="16022" spans="1:20" x14ac:dyDescent="0.25">
      <c r="A16022" t="str">
        <f>"3045263"</f>
        <v>3045263</v>
      </c>
      <c r="B16022" t="s">
        <v>49043</v>
      </c>
      <c r="C16022" t="str">
        <f>"8316687"</f>
        <v>8316687</v>
      </c>
      <c r="D16022" t="s">
        <v>49044</v>
      </c>
      <c r="E16022" t="s">
        <v>49045</v>
      </c>
      <c r="F16022" t="s">
        <v>49046</v>
      </c>
      <c r="I16022" t="s">
        <v>1149</v>
      </c>
      <c r="J16022" t="s">
        <v>30</v>
      </c>
      <c r="K16022" t="s">
        <v>49047</v>
      </c>
      <c r="M16022" t="s">
        <v>17861</v>
      </c>
      <c r="N16022" t="str">
        <f>"11/8/2021 12:21:00 PM"</f>
        <v>11/8/2021 12:21:00 PM</v>
      </c>
      <c r="O16022" t="s">
        <v>49044</v>
      </c>
      <c r="T16022" t="s">
        <v>49045</v>
      </c>
    </row>
    <row r="16023" spans="1:20" x14ac:dyDescent="0.25">
      <c r="A16023" t="str">
        <f>"3043518"</f>
        <v>3043518</v>
      </c>
      <c r="B16023" t="s">
        <v>49048</v>
      </c>
      <c r="C16023" t="str">
        <f>"8316689"</f>
        <v>8316689</v>
      </c>
      <c r="D16023" t="s">
        <v>49049</v>
      </c>
      <c r="F16023" t="s">
        <v>49050</v>
      </c>
      <c r="I16023" t="s">
        <v>29</v>
      </c>
      <c r="J16023" t="s">
        <v>30</v>
      </c>
      <c r="K16023" t="s">
        <v>49051</v>
      </c>
      <c r="M16023" t="s">
        <v>17861</v>
      </c>
      <c r="N16023" t="str">
        <f>"11/8/2021 12:36:00 PM"</f>
        <v>11/8/2021 12:36:00 PM</v>
      </c>
      <c r="O16023" t="s">
        <v>49049</v>
      </c>
    </row>
    <row r="16024" spans="1:20" x14ac:dyDescent="0.25">
      <c r="A16024" t="str">
        <f>"3057435"</f>
        <v>3057435</v>
      </c>
      <c r="B16024" t="s">
        <v>49052</v>
      </c>
      <c r="C16024" t="str">
        <f>"8303451"</f>
        <v>8303451</v>
      </c>
      <c r="D16024" t="s">
        <v>49053</v>
      </c>
      <c r="F16024" t="s">
        <v>49054</v>
      </c>
      <c r="G16024" t="s">
        <v>49055</v>
      </c>
      <c r="I16024" t="s">
        <v>471</v>
      </c>
      <c r="J16024" t="s">
        <v>30</v>
      </c>
      <c r="K16024" t="str">
        <f>"27103"</f>
        <v>27103</v>
      </c>
      <c r="M16024" t="s">
        <v>25733</v>
      </c>
      <c r="N16024" t="str">
        <f>"11/15/2021 2:21:00 PM"</f>
        <v>11/15/2021 2:21:00 PM</v>
      </c>
      <c r="O16024" t="s">
        <v>49053</v>
      </c>
    </row>
    <row r="16025" spans="1:20" x14ac:dyDescent="0.25">
      <c r="A16025" t="str">
        <f>"3059441"</f>
        <v>3059441</v>
      </c>
      <c r="B16025" t="s">
        <v>49056</v>
      </c>
      <c r="C16025" t="str">
        <f>"8316695"</f>
        <v>8316695</v>
      </c>
      <c r="D16025" t="s">
        <v>49057</v>
      </c>
      <c r="E16025" t="s">
        <v>49058</v>
      </c>
      <c r="F16025" t="s">
        <v>49059</v>
      </c>
      <c r="I16025" t="s">
        <v>29</v>
      </c>
      <c r="J16025" t="s">
        <v>30</v>
      </c>
      <c r="K16025" t="s">
        <v>34007</v>
      </c>
      <c r="M16025" t="s">
        <v>17861</v>
      </c>
      <c r="N16025" t="str">
        <f>"11/8/2021 1:48:00 PM"</f>
        <v>11/8/2021 1:48:00 PM</v>
      </c>
      <c r="O16025" t="s">
        <v>49057</v>
      </c>
      <c r="T16025" t="s">
        <v>49058</v>
      </c>
    </row>
    <row r="16026" spans="1:20" x14ac:dyDescent="0.25">
      <c r="A16026" t="str">
        <f>"3059918"</f>
        <v>3059918</v>
      </c>
      <c r="B16026" t="s">
        <v>49060</v>
      </c>
      <c r="C16026" t="str">
        <f>"8316696"</f>
        <v>8316696</v>
      </c>
      <c r="D16026" t="s">
        <v>49061</v>
      </c>
      <c r="F16026" t="s">
        <v>49062</v>
      </c>
      <c r="I16026" t="s">
        <v>29</v>
      </c>
      <c r="J16026" t="s">
        <v>30</v>
      </c>
      <c r="K16026" t="s">
        <v>16228</v>
      </c>
      <c r="M16026" t="s">
        <v>17861</v>
      </c>
      <c r="N16026" t="str">
        <f>"11/8/2021 2:00:00 PM"</f>
        <v>11/8/2021 2:00:00 PM</v>
      </c>
      <c r="O16026" t="s">
        <v>49063</v>
      </c>
    </row>
    <row r="16027" spans="1:20" x14ac:dyDescent="0.25">
      <c r="A16027" t="str">
        <f>"3055775"</f>
        <v>3055775</v>
      </c>
      <c r="B16027" t="s">
        <v>49064</v>
      </c>
      <c r="C16027" t="str">
        <f>"8316698"</f>
        <v>8316698</v>
      </c>
      <c r="D16027" t="s">
        <v>49065</v>
      </c>
      <c r="F16027" t="s">
        <v>40798</v>
      </c>
      <c r="I16027" t="s">
        <v>29</v>
      </c>
      <c r="J16027" t="s">
        <v>30</v>
      </c>
      <c r="K16027" t="s">
        <v>40799</v>
      </c>
      <c r="M16027" t="s">
        <v>17861</v>
      </c>
      <c r="N16027" t="str">
        <f>"11/8/2021 2:29:00 PM"</f>
        <v>11/8/2021 2:29:00 PM</v>
      </c>
      <c r="O16027" t="s">
        <v>49065</v>
      </c>
    </row>
    <row r="16028" spans="1:20" x14ac:dyDescent="0.25">
      <c r="A16028" t="str">
        <f>"3057804"</f>
        <v>3057804</v>
      </c>
      <c r="B16028" t="s">
        <v>49066</v>
      </c>
      <c r="C16028" t="str">
        <f>"8316699"</f>
        <v>8316699</v>
      </c>
      <c r="D16028" t="s">
        <v>49067</v>
      </c>
      <c r="E16028" t="s">
        <v>49068</v>
      </c>
      <c r="F16028" t="s">
        <v>49069</v>
      </c>
      <c r="I16028" t="s">
        <v>29</v>
      </c>
      <c r="J16028" t="s">
        <v>30</v>
      </c>
      <c r="K16028" t="str">
        <f>"27028"</f>
        <v>27028</v>
      </c>
      <c r="M16028" t="s">
        <v>17861</v>
      </c>
      <c r="N16028" t="str">
        <f>"11/8/2021 2:36:00 PM"</f>
        <v>11/8/2021 2:36:00 PM</v>
      </c>
      <c r="O16028" t="s">
        <v>49067</v>
      </c>
      <c r="T16028" t="s">
        <v>49068</v>
      </c>
    </row>
    <row r="16029" spans="1:20" x14ac:dyDescent="0.25">
      <c r="A16029" t="str">
        <f>"3044738"</f>
        <v>3044738</v>
      </c>
      <c r="B16029" t="s">
        <v>49070</v>
      </c>
      <c r="C16029" t="str">
        <f>"8316704"</f>
        <v>8316704</v>
      </c>
      <c r="D16029" t="s">
        <v>49071</v>
      </c>
      <c r="E16029" t="s">
        <v>49072</v>
      </c>
      <c r="F16029" t="s">
        <v>49073</v>
      </c>
      <c r="I16029" t="s">
        <v>184</v>
      </c>
      <c r="J16029" t="s">
        <v>30</v>
      </c>
      <c r="K16029" t="s">
        <v>5976</v>
      </c>
      <c r="M16029" t="s">
        <v>17861</v>
      </c>
      <c r="N16029" t="str">
        <f>"11/8/2021 3:14:00 PM"</f>
        <v>11/8/2021 3:14:00 PM</v>
      </c>
      <c r="O16029" t="s">
        <v>49071</v>
      </c>
      <c r="T16029" t="s">
        <v>49072</v>
      </c>
    </row>
    <row r="16030" spans="1:20" x14ac:dyDescent="0.25">
      <c r="A16030" t="str">
        <f>"3047860"</f>
        <v>3047860</v>
      </c>
      <c r="B16030" t="s">
        <v>49074</v>
      </c>
      <c r="C16030" t="str">
        <f>"8316766"</f>
        <v>8316766</v>
      </c>
      <c r="D16030" t="s">
        <v>49075</v>
      </c>
      <c r="F16030" t="s">
        <v>49076</v>
      </c>
      <c r="I16030" t="s">
        <v>184</v>
      </c>
      <c r="J16030" t="s">
        <v>30</v>
      </c>
      <c r="K16030" t="s">
        <v>34813</v>
      </c>
      <c r="M16030" t="s">
        <v>17861</v>
      </c>
      <c r="N16030" t="str">
        <f>"11/17/2021 3:16:00 PM"</f>
        <v>11/17/2021 3:16:00 PM</v>
      </c>
      <c r="O16030" t="s">
        <v>49075</v>
      </c>
    </row>
    <row r="16031" spans="1:20" x14ac:dyDescent="0.25">
      <c r="A16031" t="str">
        <f>"3074001"</f>
        <v>3074001</v>
      </c>
      <c r="B16031" t="s">
        <v>49077</v>
      </c>
      <c r="C16031" t="str">
        <f>"8316770"</f>
        <v>8316770</v>
      </c>
      <c r="D16031" t="s">
        <v>49078</v>
      </c>
      <c r="E16031" t="s">
        <v>49079</v>
      </c>
      <c r="F16031" t="s">
        <v>49080</v>
      </c>
      <c r="I16031" t="s">
        <v>29</v>
      </c>
      <c r="J16031" t="s">
        <v>30</v>
      </c>
      <c r="K16031" t="s">
        <v>10124</v>
      </c>
      <c r="M16031" t="s">
        <v>17861</v>
      </c>
      <c r="N16031" t="str">
        <f>"11/17/2021 4:16:00 PM"</f>
        <v>11/17/2021 4:16:00 PM</v>
      </c>
      <c r="O16031" t="s">
        <v>49078</v>
      </c>
      <c r="T16031" t="s">
        <v>49079</v>
      </c>
    </row>
    <row r="16032" spans="1:20" x14ac:dyDescent="0.25">
      <c r="A16032" t="str">
        <f>"3059591"</f>
        <v>3059591</v>
      </c>
      <c r="B16032" t="s">
        <v>49081</v>
      </c>
      <c r="C16032" t="str">
        <f>"8316705"</f>
        <v>8316705</v>
      </c>
      <c r="D16032" t="s">
        <v>49082</v>
      </c>
      <c r="F16032" t="s">
        <v>49083</v>
      </c>
      <c r="I16032" t="s">
        <v>29</v>
      </c>
      <c r="J16032" t="s">
        <v>30</v>
      </c>
      <c r="K16032" t="s">
        <v>29862</v>
      </c>
      <c r="M16032" t="s">
        <v>17861</v>
      </c>
      <c r="N16032" t="str">
        <f>"11/8/2021 3:16:00 PM"</f>
        <v>11/8/2021 3:16:00 PM</v>
      </c>
      <c r="O16032" t="s">
        <v>49082</v>
      </c>
    </row>
    <row r="16033" spans="1:20" x14ac:dyDescent="0.25">
      <c r="A16033" t="str">
        <f>"3047590"</f>
        <v>3047590</v>
      </c>
      <c r="B16033" t="s">
        <v>49084</v>
      </c>
      <c r="C16033" t="str">
        <f>"8316708"</f>
        <v>8316708</v>
      </c>
      <c r="D16033" t="s">
        <v>49085</v>
      </c>
      <c r="E16033" t="s">
        <v>49086</v>
      </c>
      <c r="F16033" t="s">
        <v>48581</v>
      </c>
      <c r="I16033" t="s">
        <v>29</v>
      </c>
      <c r="J16033" t="s">
        <v>30</v>
      </c>
      <c r="K16033" t="s">
        <v>48582</v>
      </c>
      <c r="M16033" t="s">
        <v>17861</v>
      </c>
      <c r="N16033" t="str">
        <f>"11/9/2021 3:45:00 PM"</f>
        <v>11/9/2021 3:45:00 PM</v>
      </c>
      <c r="O16033" t="s">
        <v>49085</v>
      </c>
      <c r="T16033" t="s">
        <v>49086</v>
      </c>
    </row>
    <row r="16034" spans="1:20" x14ac:dyDescent="0.25">
      <c r="A16034" t="str">
        <f>"3053562"</f>
        <v>3053562</v>
      </c>
      <c r="B16034" t="s">
        <v>49087</v>
      </c>
      <c r="C16034" t="str">
        <f>"8316710"</f>
        <v>8316710</v>
      </c>
      <c r="D16034" t="s">
        <v>49088</v>
      </c>
      <c r="F16034" t="s">
        <v>49089</v>
      </c>
      <c r="I16034" t="s">
        <v>184</v>
      </c>
      <c r="J16034" t="s">
        <v>30</v>
      </c>
      <c r="K16034" t="s">
        <v>49090</v>
      </c>
      <c r="M16034" t="s">
        <v>17861</v>
      </c>
      <c r="N16034" t="str">
        <f>"11/10/2021 9:33:00 AM"</f>
        <v>11/10/2021 9:33:00 AM</v>
      </c>
      <c r="O16034" t="s">
        <v>49088</v>
      </c>
    </row>
    <row r="16035" spans="1:20" x14ac:dyDescent="0.25">
      <c r="A16035" t="str">
        <f>"3049530"</f>
        <v>3049530</v>
      </c>
      <c r="B16035" t="s">
        <v>49091</v>
      </c>
      <c r="C16035" t="str">
        <f>"8316710"</f>
        <v>8316710</v>
      </c>
      <c r="D16035" t="s">
        <v>49088</v>
      </c>
      <c r="F16035" t="s">
        <v>49089</v>
      </c>
      <c r="I16035" t="s">
        <v>184</v>
      </c>
      <c r="J16035" t="s">
        <v>30</v>
      </c>
      <c r="K16035" t="s">
        <v>49090</v>
      </c>
      <c r="M16035" t="s">
        <v>17861</v>
      </c>
      <c r="N16035" t="str">
        <f>"11/10/2021 9:33:00 AM"</f>
        <v>11/10/2021 9:33:00 AM</v>
      </c>
      <c r="O16035" t="s">
        <v>49088</v>
      </c>
    </row>
    <row r="16036" spans="1:20" x14ac:dyDescent="0.25">
      <c r="A16036" t="str">
        <f>"3037607"</f>
        <v>3037607</v>
      </c>
      <c r="B16036" t="s">
        <v>49092</v>
      </c>
      <c r="C16036" t="str">
        <f>"8316716"</f>
        <v>8316716</v>
      </c>
      <c r="D16036" t="s">
        <v>49093</v>
      </c>
      <c r="E16036" t="s">
        <v>49094</v>
      </c>
      <c r="F16036" t="s">
        <v>49095</v>
      </c>
      <c r="I16036" t="s">
        <v>29</v>
      </c>
      <c r="J16036" t="s">
        <v>30</v>
      </c>
      <c r="K16036" t="s">
        <v>44</v>
      </c>
      <c r="M16036" t="s">
        <v>17861</v>
      </c>
      <c r="N16036" t="str">
        <f>"11/10/2021 1:44:00 PM"</f>
        <v>11/10/2021 1:44:00 PM</v>
      </c>
      <c r="O16036" t="s">
        <v>49093</v>
      </c>
      <c r="T16036" t="s">
        <v>49094</v>
      </c>
    </row>
    <row r="16037" spans="1:20" x14ac:dyDescent="0.25">
      <c r="A16037" t="str">
        <f>"3054248"</f>
        <v>3054248</v>
      </c>
      <c r="B16037" t="s">
        <v>49096</v>
      </c>
      <c r="C16037" t="str">
        <f>"8316793"</f>
        <v>8316793</v>
      </c>
      <c r="D16037" t="s">
        <v>49097</v>
      </c>
      <c r="F16037" t="s">
        <v>9579</v>
      </c>
      <c r="I16037" t="s">
        <v>9580</v>
      </c>
      <c r="J16037" t="s">
        <v>30</v>
      </c>
      <c r="K16037" t="s">
        <v>16893</v>
      </c>
      <c r="M16037" t="s">
        <v>17861</v>
      </c>
      <c r="N16037" t="str">
        <f>"11/24/2021 9:15:00 AM"</f>
        <v>11/24/2021 9:15:00 AM</v>
      </c>
      <c r="O16037" t="s">
        <v>49097</v>
      </c>
    </row>
    <row r="16038" spans="1:20" x14ac:dyDescent="0.25">
      <c r="A16038" t="str">
        <f>"3055900"</f>
        <v>3055900</v>
      </c>
      <c r="B16038" t="s">
        <v>49098</v>
      </c>
      <c r="C16038" t="str">
        <f>"8316793"</f>
        <v>8316793</v>
      </c>
      <c r="D16038" t="s">
        <v>49097</v>
      </c>
      <c r="F16038" t="s">
        <v>9579</v>
      </c>
      <c r="I16038" t="s">
        <v>9580</v>
      </c>
      <c r="J16038" t="s">
        <v>30</v>
      </c>
      <c r="K16038" t="s">
        <v>16893</v>
      </c>
      <c r="M16038" t="s">
        <v>17861</v>
      </c>
      <c r="N16038" t="str">
        <f>"11/24/2021 9:15:00 AM"</f>
        <v>11/24/2021 9:15:00 AM</v>
      </c>
      <c r="O16038" t="s">
        <v>49097</v>
      </c>
    </row>
    <row r="16039" spans="1:20" x14ac:dyDescent="0.25">
      <c r="A16039" t="str">
        <f>"3055931"</f>
        <v>3055931</v>
      </c>
      <c r="B16039" t="s">
        <v>49099</v>
      </c>
      <c r="C16039" t="str">
        <f>"8316793"</f>
        <v>8316793</v>
      </c>
      <c r="D16039" t="s">
        <v>49097</v>
      </c>
      <c r="F16039" t="s">
        <v>9579</v>
      </c>
      <c r="I16039" t="s">
        <v>9580</v>
      </c>
      <c r="J16039" t="s">
        <v>30</v>
      </c>
      <c r="K16039" t="s">
        <v>16893</v>
      </c>
      <c r="M16039" t="s">
        <v>17861</v>
      </c>
      <c r="N16039" t="str">
        <f>"11/24/2021 9:15:00 AM"</f>
        <v>11/24/2021 9:15:00 AM</v>
      </c>
      <c r="O16039" t="s">
        <v>49097</v>
      </c>
    </row>
    <row r="16040" spans="1:20" x14ac:dyDescent="0.25">
      <c r="A16040" t="str">
        <f>"3059007"</f>
        <v>3059007</v>
      </c>
      <c r="B16040" t="s">
        <v>49100</v>
      </c>
      <c r="C16040" t="str">
        <f>"8316794"</f>
        <v>8316794</v>
      </c>
      <c r="D16040" t="s">
        <v>49101</v>
      </c>
      <c r="E16040" t="s">
        <v>49102</v>
      </c>
      <c r="F16040" t="s">
        <v>49103</v>
      </c>
      <c r="I16040" t="s">
        <v>29</v>
      </c>
      <c r="J16040" t="s">
        <v>30</v>
      </c>
      <c r="K16040" t="s">
        <v>34126</v>
      </c>
      <c r="M16040" t="s">
        <v>17861</v>
      </c>
      <c r="N16040" t="str">
        <f>"11/24/2021 9:24:00 AM"</f>
        <v>11/24/2021 9:24:00 AM</v>
      </c>
      <c r="O16040" t="s">
        <v>49101</v>
      </c>
      <c r="T16040" t="s">
        <v>49102</v>
      </c>
    </row>
    <row r="16041" spans="1:20" x14ac:dyDescent="0.25">
      <c r="A16041" t="str">
        <f>"3062999"</f>
        <v>3062999</v>
      </c>
      <c r="B16041" t="s">
        <v>49104</v>
      </c>
      <c r="C16041" t="str">
        <f>"8316795"</f>
        <v>8316795</v>
      </c>
      <c r="D16041" t="s">
        <v>49105</v>
      </c>
      <c r="F16041" t="s">
        <v>49106</v>
      </c>
      <c r="I16041" t="s">
        <v>29</v>
      </c>
      <c r="J16041" t="s">
        <v>30</v>
      </c>
      <c r="K16041" t="s">
        <v>39446</v>
      </c>
      <c r="M16041" t="s">
        <v>17861</v>
      </c>
      <c r="N16041" t="str">
        <f>"11/24/2021 9:29:00 AM"</f>
        <v>11/24/2021 9:29:00 AM</v>
      </c>
      <c r="O16041" t="s">
        <v>49105</v>
      </c>
    </row>
    <row r="16042" spans="1:20" x14ac:dyDescent="0.25">
      <c r="A16042" t="str">
        <f>"3061020"</f>
        <v>3061020</v>
      </c>
      <c r="B16042" t="s">
        <v>49107</v>
      </c>
      <c r="C16042" t="str">
        <f>"8316797"</f>
        <v>8316797</v>
      </c>
      <c r="D16042" t="s">
        <v>49108</v>
      </c>
      <c r="F16042" t="s">
        <v>49109</v>
      </c>
      <c r="I16042" t="s">
        <v>184</v>
      </c>
      <c r="J16042" t="s">
        <v>30</v>
      </c>
      <c r="K16042" t="s">
        <v>38843</v>
      </c>
      <c r="M16042" t="s">
        <v>17861</v>
      </c>
      <c r="N16042" t="str">
        <f>"11/24/2021 9:56:00 AM"</f>
        <v>11/24/2021 9:56:00 AM</v>
      </c>
      <c r="O16042" t="s">
        <v>49108</v>
      </c>
    </row>
    <row r="16043" spans="1:20" x14ac:dyDescent="0.25">
      <c r="A16043" t="str">
        <f>"3059866"</f>
        <v>3059866</v>
      </c>
      <c r="B16043" t="s">
        <v>49110</v>
      </c>
      <c r="C16043" t="str">
        <f>"8316798"</f>
        <v>8316798</v>
      </c>
      <c r="D16043" t="s">
        <v>49111</v>
      </c>
      <c r="E16043" t="s">
        <v>49112</v>
      </c>
      <c r="F16043" t="s">
        <v>49113</v>
      </c>
      <c r="I16043" t="s">
        <v>29</v>
      </c>
      <c r="J16043" t="s">
        <v>30</v>
      </c>
      <c r="K16043" t="s">
        <v>49114</v>
      </c>
      <c r="M16043" t="s">
        <v>17861</v>
      </c>
      <c r="N16043" t="str">
        <f>"11/24/2021 10:01:00 AM"</f>
        <v>11/24/2021 10:01:00 AM</v>
      </c>
      <c r="O16043" t="s">
        <v>49111</v>
      </c>
      <c r="T16043" t="s">
        <v>49112</v>
      </c>
    </row>
    <row r="16044" spans="1:20" x14ac:dyDescent="0.25">
      <c r="A16044" t="str">
        <f>"3056620"</f>
        <v>3056620</v>
      </c>
      <c r="B16044" t="s">
        <v>49115</v>
      </c>
      <c r="C16044" t="str">
        <f>"8316799"</f>
        <v>8316799</v>
      </c>
      <c r="D16044" t="s">
        <v>49116</v>
      </c>
      <c r="E16044" t="s">
        <v>49117</v>
      </c>
      <c r="F16044" t="s">
        <v>49118</v>
      </c>
      <c r="I16044" t="s">
        <v>29</v>
      </c>
      <c r="J16044" t="s">
        <v>30</v>
      </c>
      <c r="K16044" t="s">
        <v>49119</v>
      </c>
      <c r="M16044" t="s">
        <v>17861</v>
      </c>
      <c r="N16044" t="str">
        <f>"11/24/2021 10:04:00 AM"</f>
        <v>11/24/2021 10:04:00 AM</v>
      </c>
      <c r="O16044" t="s">
        <v>49116</v>
      </c>
      <c r="T16044" t="s">
        <v>49117</v>
      </c>
    </row>
    <row r="16045" spans="1:20" x14ac:dyDescent="0.25">
      <c r="A16045" t="str">
        <f>"3037656"</f>
        <v>3037656</v>
      </c>
      <c r="B16045" t="s">
        <v>49120</v>
      </c>
      <c r="C16045" t="str">
        <f>"8316716"</f>
        <v>8316716</v>
      </c>
      <c r="D16045" t="s">
        <v>49093</v>
      </c>
      <c r="E16045" t="s">
        <v>49094</v>
      </c>
      <c r="F16045" t="s">
        <v>49095</v>
      </c>
      <c r="I16045" t="s">
        <v>29</v>
      </c>
      <c r="J16045" t="s">
        <v>30</v>
      </c>
      <c r="K16045" t="s">
        <v>44</v>
      </c>
      <c r="M16045" t="s">
        <v>17861</v>
      </c>
      <c r="N16045" t="str">
        <f>"11/10/2021 1:44:00 PM"</f>
        <v>11/10/2021 1:44:00 PM</v>
      </c>
      <c r="O16045" t="s">
        <v>49093</v>
      </c>
      <c r="T16045" t="s">
        <v>49094</v>
      </c>
    </row>
    <row r="16046" spans="1:20" x14ac:dyDescent="0.25">
      <c r="A16046" t="str">
        <f>"3045227"</f>
        <v>3045227</v>
      </c>
      <c r="B16046" t="s">
        <v>49121</v>
      </c>
      <c r="C16046" t="str">
        <f>"8316717"</f>
        <v>8316717</v>
      </c>
      <c r="D16046" t="s">
        <v>49122</v>
      </c>
      <c r="E16046" t="s">
        <v>49123</v>
      </c>
      <c r="F16046" t="s">
        <v>49124</v>
      </c>
      <c r="I16046" t="s">
        <v>1149</v>
      </c>
      <c r="J16046" t="s">
        <v>30</v>
      </c>
      <c r="K16046" t="s">
        <v>24702</v>
      </c>
      <c r="M16046" t="s">
        <v>17861</v>
      </c>
      <c r="N16046" t="str">
        <f>"11/10/2021 2:31:00 PM"</f>
        <v>11/10/2021 2:31:00 PM</v>
      </c>
      <c r="O16046" t="s">
        <v>49122</v>
      </c>
      <c r="T16046" t="s">
        <v>49123</v>
      </c>
    </row>
    <row r="16047" spans="1:20" x14ac:dyDescent="0.25">
      <c r="A16047" t="str">
        <f>"3039757"</f>
        <v>3039757</v>
      </c>
      <c r="B16047" t="s">
        <v>49125</v>
      </c>
      <c r="C16047" t="str">
        <f>"8316719"</f>
        <v>8316719</v>
      </c>
      <c r="D16047" t="str">
        <f>"MOORE CLAUDE R/GAY M"</f>
        <v>MOORE CLAUDE R/GAY M</v>
      </c>
      <c r="E16047" t="str">
        <f>"SEAFORD KRIS M/SCOTTY A"</f>
        <v>SEAFORD KRIS M/SCOTTY A</v>
      </c>
      <c r="F16047" t="s">
        <v>49126</v>
      </c>
      <c r="I16047" t="s">
        <v>29</v>
      </c>
      <c r="J16047" t="s">
        <v>30</v>
      </c>
      <c r="K16047" t="s">
        <v>1479</v>
      </c>
      <c r="M16047" t="s">
        <v>17861</v>
      </c>
      <c r="N16047" t="str">
        <f>"11/12/2021 3:41:00 PM"</f>
        <v>11/12/2021 3:41:00 PM</v>
      </c>
      <c r="O16047" t="str">
        <f>"MOORE CLAUDE R/GAY M"</f>
        <v>MOORE CLAUDE R/GAY M</v>
      </c>
      <c r="T16047" t="str">
        <f>"SEAFORD KRIS M/SCOTTY A"</f>
        <v>SEAFORD KRIS M/SCOTTY A</v>
      </c>
    </row>
    <row r="16048" spans="1:20" x14ac:dyDescent="0.25">
      <c r="A16048" t="str">
        <f>"3062546"</f>
        <v>3062546</v>
      </c>
      <c r="B16048" t="s">
        <v>49127</v>
      </c>
      <c r="C16048" t="str">
        <f>"8316811"</f>
        <v>8316811</v>
      </c>
      <c r="D16048" t="s">
        <v>49128</v>
      </c>
      <c r="E16048" t="s">
        <v>49129</v>
      </c>
      <c r="F16048" t="s">
        <v>49130</v>
      </c>
      <c r="I16048" t="s">
        <v>184</v>
      </c>
      <c r="J16048" t="s">
        <v>30</v>
      </c>
      <c r="K16048" t="s">
        <v>5408</v>
      </c>
      <c r="M16048" t="s">
        <v>17861</v>
      </c>
      <c r="N16048" t="str">
        <f>"11/24/2021 12:32:00 PM"</f>
        <v>11/24/2021 12:32:00 PM</v>
      </c>
      <c r="O16048" t="s">
        <v>49128</v>
      </c>
      <c r="T16048" t="s">
        <v>49129</v>
      </c>
    </row>
    <row r="16049" spans="1:20" x14ac:dyDescent="0.25">
      <c r="A16049" t="str">
        <f>"3052058"</f>
        <v>3052058</v>
      </c>
      <c r="B16049" t="s">
        <v>49131</v>
      </c>
      <c r="C16049" t="str">
        <f>"8316813"</f>
        <v>8316813</v>
      </c>
      <c r="D16049" t="s">
        <v>49132</v>
      </c>
      <c r="E16049" t="s">
        <v>49133</v>
      </c>
      <c r="F16049" t="s">
        <v>49134</v>
      </c>
      <c r="I16049" t="s">
        <v>29</v>
      </c>
      <c r="J16049" t="s">
        <v>30</v>
      </c>
      <c r="K16049" t="s">
        <v>12071</v>
      </c>
      <c r="M16049" t="s">
        <v>17861</v>
      </c>
      <c r="N16049" t="str">
        <f>"11/24/2021 12:52:00 PM"</f>
        <v>11/24/2021 12:52:00 PM</v>
      </c>
      <c r="O16049" t="s">
        <v>49132</v>
      </c>
      <c r="T16049" t="s">
        <v>49133</v>
      </c>
    </row>
    <row r="16050" spans="1:20" x14ac:dyDescent="0.25">
      <c r="A16050" t="str">
        <f>"3055346"</f>
        <v>3055346</v>
      </c>
      <c r="B16050" t="s">
        <v>49135</v>
      </c>
      <c r="C16050" t="str">
        <f>"8316818"</f>
        <v>8316818</v>
      </c>
      <c r="D16050" t="s">
        <v>49136</v>
      </c>
      <c r="E16050" t="s">
        <v>49137</v>
      </c>
      <c r="F16050" t="s">
        <v>49138</v>
      </c>
      <c r="I16050" t="s">
        <v>29</v>
      </c>
      <c r="J16050" t="s">
        <v>30</v>
      </c>
      <c r="K16050" t="s">
        <v>14700</v>
      </c>
      <c r="M16050" t="s">
        <v>17861</v>
      </c>
      <c r="N16050" t="str">
        <f>"11/24/2021 1:17:00 PM"</f>
        <v>11/24/2021 1:17:00 PM</v>
      </c>
      <c r="O16050" t="s">
        <v>49136</v>
      </c>
      <c r="T16050" t="s">
        <v>49137</v>
      </c>
    </row>
    <row r="16051" spans="1:20" x14ac:dyDescent="0.25">
      <c r="A16051" t="str">
        <f>"3039823"</f>
        <v>3039823</v>
      </c>
      <c r="B16051" t="s">
        <v>49139</v>
      </c>
      <c r="C16051" t="str">
        <f>"8316719"</f>
        <v>8316719</v>
      </c>
      <c r="D16051" t="str">
        <f>"MOORE CLAUDE R/GAY M"</f>
        <v>MOORE CLAUDE R/GAY M</v>
      </c>
      <c r="E16051" t="str">
        <f>"SEAFORD KRIS M/SCOTTY A"</f>
        <v>SEAFORD KRIS M/SCOTTY A</v>
      </c>
      <c r="F16051" t="s">
        <v>49126</v>
      </c>
      <c r="I16051" t="s">
        <v>29</v>
      </c>
      <c r="J16051" t="s">
        <v>30</v>
      </c>
      <c r="K16051" t="s">
        <v>1479</v>
      </c>
      <c r="M16051" t="s">
        <v>17861</v>
      </c>
      <c r="N16051" t="str">
        <f>"11/12/2021 3:41:00 PM"</f>
        <v>11/12/2021 3:41:00 PM</v>
      </c>
      <c r="O16051" t="str">
        <f>"MOORE CLAUDE R/GAY M"</f>
        <v>MOORE CLAUDE R/GAY M</v>
      </c>
      <c r="T16051" t="str">
        <f>"SEAFORD KRIS M/SCOTTY A"</f>
        <v>SEAFORD KRIS M/SCOTTY A</v>
      </c>
    </row>
    <row r="16052" spans="1:20" x14ac:dyDescent="0.25">
      <c r="A16052" t="str">
        <f>"3039706"</f>
        <v>3039706</v>
      </c>
      <c r="B16052" t="s">
        <v>49140</v>
      </c>
      <c r="C16052" t="str">
        <f>"8316721"</f>
        <v>8316721</v>
      </c>
      <c r="D16052" t="s">
        <v>49141</v>
      </c>
      <c r="F16052" t="s">
        <v>49142</v>
      </c>
      <c r="I16052" t="s">
        <v>184</v>
      </c>
      <c r="J16052" t="s">
        <v>30</v>
      </c>
      <c r="K16052" t="s">
        <v>32790</v>
      </c>
      <c r="M16052" t="s">
        <v>17861</v>
      </c>
      <c r="N16052" t="str">
        <f>"11/15/2021 10:55:00 AM"</f>
        <v>11/15/2021 10:55:00 AM</v>
      </c>
      <c r="O16052" t="s">
        <v>49141</v>
      </c>
    </row>
    <row r="16053" spans="1:20" x14ac:dyDescent="0.25">
      <c r="A16053" t="str">
        <f>"3061519"</f>
        <v>3061519</v>
      </c>
      <c r="B16053" t="s">
        <v>49143</v>
      </c>
      <c r="C16053" t="str">
        <f>"8316735"</f>
        <v>8316735</v>
      </c>
      <c r="D16053" t="s">
        <v>49144</v>
      </c>
      <c r="F16053" t="s">
        <v>49145</v>
      </c>
      <c r="I16053" t="s">
        <v>184</v>
      </c>
      <c r="J16053" t="s">
        <v>30</v>
      </c>
      <c r="K16053" t="s">
        <v>1984</v>
      </c>
      <c r="M16053" t="s">
        <v>17861</v>
      </c>
      <c r="N16053" t="str">
        <f>"11/15/2021 2:26:00 PM"</f>
        <v>11/15/2021 2:26:00 PM</v>
      </c>
      <c r="O16053" t="s">
        <v>49144</v>
      </c>
    </row>
    <row r="16054" spans="1:20" x14ac:dyDescent="0.25">
      <c r="A16054" t="str">
        <f>"3039638"</f>
        <v>3039638</v>
      </c>
      <c r="B16054" t="s">
        <v>49146</v>
      </c>
      <c r="C16054" t="str">
        <f>"8316721"</f>
        <v>8316721</v>
      </c>
      <c r="D16054" t="s">
        <v>49141</v>
      </c>
      <c r="F16054" t="s">
        <v>49142</v>
      </c>
      <c r="I16054" t="s">
        <v>184</v>
      </c>
      <c r="J16054" t="s">
        <v>30</v>
      </c>
      <c r="K16054" t="s">
        <v>32790</v>
      </c>
      <c r="M16054" t="s">
        <v>17861</v>
      </c>
      <c r="N16054" t="str">
        <f>"11/15/2021 10:55:00 AM"</f>
        <v>11/15/2021 10:55:00 AM</v>
      </c>
      <c r="O16054" t="s">
        <v>49141</v>
      </c>
    </row>
    <row r="16055" spans="1:20" x14ac:dyDescent="0.25">
      <c r="A16055" t="str">
        <f>"3058002"</f>
        <v>3058002</v>
      </c>
      <c r="B16055" t="s">
        <v>49147</v>
      </c>
      <c r="C16055" t="str">
        <f>"8316722"</f>
        <v>8316722</v>
      </c>
      <c r="D16055" t="s">
        <v>49148</v>
      </c>
      <c r="F16055" t="s">
        <v>36687</v>
      </c>
      <c r="I16055" t="s">
        <v>2525</v>
      </c>
      <c r="J16055" t="s">
        <v>30</v>
      </c>
      <c r="K16055" t="s">
        <v>36688</v>
      </c>
      <c r="M16055" t="s">
        <v>17861</v>
      </c>
      <c r="N16055" t="str">
        <f>"11/15/2021 11:03:00 AM"</f>
        <v>11/15/2021 11:03:00 AM</v>
      </c>
      <c r="O16055" t="s">
        <v>49148</v>
      </c>
    </row>
    <row r="16056" spans="1:20" x14ac:dyDescent="0.25">
      <c r="A16056" t="str">
        <f>"3059526"</f>
        <v>3059526</v>
      </c>
      <c r="B16056" t="s">
        <v>49149</v>
      </c>
      <c r="C16056" t="str">
        <f>"8316722"</f>
        <v>8316722</v>
      </c>
      <c r="D16056" t="s">
        <v>49148</v>
      </c>
      <c r="F16056" t="s">
        <v>36687</v>
      </c>
      <c r="I16056" t="s">
        <v>2525</v>
      </c>
      <c r="J16056" t="s">
        <v>30</v>
      </c>
      <c r="K16056" t="s">
        <v>36688</v>
      </c>
      <c r="M16056" t="s">
        <v>17861</v>
      </c>
      <c r="N16056" t="str">
        <f>"11/15/2021 11:03:00 AM"</f>
        <v>11/15/2021 11:03:00 AM</v>
      </c>
      <c r="O16056" t="s">
        <v>49148</v>
      </c>
    </row>
    <row r="16057" spans="1:20" x14ac:dyDescent="0.25">
      <c r="A16057" t="str">
        <f>"3044519"</f>
        <v>3044519</v>
      </c>
      <c r="B16057" t="s">
        <v>49150</v>
      </c>
      <c r="C16057" t="str">
        <f>"8316725"</f>
        <v>8316725</v>
      </c>
      <c r="D16057" t="s">
        <v>49151</v>
      </c>
      <c r="F16057" t="s">
        <v>49152</v>
      </c>
      <c r="I16057" t="s">
        <v>44355</v>
      </c>
      <c r="J16057" t="s">
        <v>11697</v>
      </c>
      <c r="K16057" t="s">
        <v>49153</v>
      </c>
      <c r="M16057" t="s">
        <v>17861</v>
      </c>
      <c r="N16057" t="str">
        <f>"11/15/2021 12:54:00 PM"</f>
        <v>11/15/2021 12:54:00 PM</v>
      </c>
      <c r="O16057" t="s">
        <v>49151</v>
      </c>
    </row>
    <row r="16058" spans="1:20" x14ac:dyDescent="0.25">
      <c r="A16058" t="str">
        <f>"3061718"</f>
        <v>3061718</v>
      </c>
      <c r="B16058" t="s">
        <v>49154</v>
      </c>
      <c r="C16058" t="str">
        <f>"8316831"</f>
        <v>8316831</v>
      </c>
      <c r="D16058" t="s">
        <v>49155</v>
      </c>
      <c r="E16058" t="s">
        <v>49156</v>
      </c>
      <c r="F16058" t="s">
        <v>49157</v>
      </c>
      <c r="I16058" t="s">
        <v>2071</v>
      </c>
      <c r="J16058" t="s">
        <v>30</v>
      </c>
      <c r="K16058" t="str">
        <f>"27006"</f>
        <v>27006</v>
      </c>
      <c r="M16058" t="s">
        <v>17861</v>
      </c>
      <c r="N16058" t="str">
        <f>"11/24/2021 2:35:00 PM"</f>
        <v>11/24/2021 2:35:00 PM</v>
      </c>
      <c r="O16058" t="s">
        <v>49155</v>
      </c>
      <c r="T16058" t="s">
        <v>49156</v>
      </c>
    </row>
    <row r="16059" spans="1:20" x14ac:dyDescent="0.25">
      <c r="A16059" t="str">
        <f>"3048182"</f>
        <v>3048182</v>
      </c>
      <c r="B16059" t="s">
        <v>49158</v>
      </c>
      <c r="C16059" t="str">
        <f>"8316832"</f>
        <v>8316832</v>
      </c>
      <c r="D16059" t="s">
        <v>49159</v>
      </c>
      <c r="F16059" t="s">
        <v>37481</v>
      </c>
      <c r="I16059" t="s">
        <v>184</v>
      </c>
      <c r="J16059" t="s">
        <v>30</v>
      </c>
      <c r="K16059" t="s">
        <v>24417</v>
      </c>
      <c r="M16059" t="s">
        <v>17861</v>
      </c>
      <c r="N16059" t="str">
        <f>"11/29/2021 8:39:00 AM"</f>
        <v>11/29/2021 8:39:00 AM</v>
      </c>
      <c r="O16059" t="s">
        <v>49159</v>
      </c>
    </row>
    <row r="16060" spans="1:20" x14ac:dyDescent="0.25">
      <c r="A16060" t="str">
        <f>"3051390"</f>
        <v>3051390</v>
      </c>
      <c r="B16060" t="s">
        <v>49160</v>
      </c>
      <c r="C16060" t="str">
        <f>"82529779"</f>
        <v>82529779</v>
      </c>
      <c r="D16060" t="s">
        <v>49161</v>
      </c>
      <c r="E16060" t="s">
        <v>41271</v>
      </c>
      <c r="F16060" t="s">
        <v>49162</v>
      </c>
      <c r="I16060" t="s">
        <v>29</v>
      </c>
      <c r="J16060" t="s">
        <v>30</v>
      </c>
      <c r="K16060" t="s">
        <v>49163</v>
      </c>
      <c r="M16060" t="s">
        <v>25733</v>
      </c>
      <c r="N16060" t="str">
        <f>"11/29/2021 10:16:00 AM"</f>
        <v>11/29/2021 10:16:00 AM</v>
      </c>
      <c r="O16060" t="s">
        <v>49161</v>
      </c>
      <c r="T16060" t="s">
        <v>41271</v>
      </c>
    </row>
    <row r="16061" spans="1:20" x14ac:dyDescent="0.25">
      <c r="A16061" t="str">
        <f>"3070943"</f>
        <v>3070943</v>
      </c>
      <c r="B16061" t="s">
        <v>49164</v>
      </c>
      <c r="C16061" t="str">
        <f>"8315381"</f>
        <v>8315381</v>
      </c>
      <c r="D16061" t="s">
        <v>49165</v>
      </c>
      <c r="E16061" t="s">
        <v>49166</v>
      </c>
      <c r="F16061" t="s">
        <v>49167</v>
      </c>
      <c r="I16061" t="s">
        <v>2071</v>
      </c>
      <c r="J16061" t="s">
        <v>30</v>
      </c>
      <c r="K16061" t="s">
        <v>41320</v>
      </c>
      <c r="M16061" t="s">
        <v>17861</v>
      </c>
      <c r="N16061" t="str">
        <f>"11/29/2021 1:04:00 PM"</f>
        <v>11/29/2021 1:04:00 PM</v>
      </c>
      <c r="O16061" t="s">
        <v>49165</v>
      </c>
      <c r="T16061" t="s">
        <v>49166</v>
      </c>
    </row>
    <row r="16062" spans="1:20" x14ac:dyDescent="0.25">
      <c r="A16062" t="str">
        <f>"3070920"</f>
        <v>3070920</v>
      </c>
      <c r="B16062" t="s">
        <v>49168</v>
      </c>
      <c r="C16062" t="str">
        <f>"8316835"</f>
        <v>8316835</v>
      </c>
      <c r="D16062" t="s">
        <v>49169</v>
      </c>
      <c r="F16062" t="s">
        <v>49170</v>
      </c>
      <c r="I16062" t="s">
        <v>29</v>
      </c>
      <c r="J16062" t="s">
        <v>30</v>
      </c>
      <c r="K16062" t="s">
        <v>13041</v>
      </c>
      <c r="M16062" t="s">
        <v>17861</v>
      </c>
      <c r="N16062" t="str">
        <f>"11/29/2021 1:47:00 PM"</f>
        <v>11/29/2021 1:47:00 PM</v>
      </c>
      <c r="O16062" t="s">
        <v>49169</v>
      </c>
    </row>
    <row r="16063" spans="1:20" x14ac:dyDescent="0.25">
      <c r="A16063" t="str">
        <f>"3047854"</f>
        <v>3047854</v>
      </c>
      <c r="B16063" t="s">
        <v>49171</v>
      </c>
      <c r="C16063" t="str">
        <f t="shared" ref="C16063:C16069" si="242">"8309206"</f>
        <v>8309206</v>
      </c>
      <c r="D16063" t="s">
        <v>49172</v>
      </c>
      <c r="F16063" t="s">
        <v>30615</v>
      </c>
      <c r="I16063" t="s">
        <v>2071</v>
      </c>
      <c r="J16063" t="s">
        <v>30</v>
      </c>
      <c r="K16063" t="str">
        <f t="shared" ref="K16063:K16069" si="243">"27006"</f>
        <v>27006</v>
      </c>
      <c r="M16063" t="s">
        <v>17861</v>
      </c>
      <c r="N16063" t="str">
        <f t="shared" ref="N16063:N16069" si="244">"11/29/2021 3:39:00 PM"</f>
        <v>11/29/2021 3:39:00 PM</v>
      </c>
      <c r="O16063" t="s">
        <v>49172</v>
      </c>
    </row>
    <row r="16064" spans="1:20" x14ac:dyDescent="0.25">
      <c r="A16064" t="str">
        <f>"3047879"</f>
        <v>3047879</v>
      </c>
      <c r="B16064" t="s">
        <v>49173</v>
      </c>
      <c r="C16064" t="str">
        <f t="shared" si="242"/>
        <v>8309206</v>
      </c>
      <c r="D16064" t="s">
        <v>49172</v>
      </c>
      <c r="F16064" t="s">
        <v>30615</v>
      </c>
      <c r="I16064" t="s">
        <v>2071</v>
      </c>
      <c r="J16064" t="s">
        <v>30</v>
      </c>
      <c r="K16064" t="str">
        <f t="shared" si="243"/>
        <v>27006</v>
      </c>
      <c r="M16064" t="s">
        <v>17861</v>
      </c>
      <c r="N16064" t="str">
        <f t="shared" si="244"/>
        <v>11/29/2021 3:39:00 PM</v>
      </c>
      <c r="O16064" t="s">
        <v>49172</v>
      </c>
    </row>
    <row r="16065" spans="1:20" x14ac:dyDescent="0.25">
      <c r="A16065" t="str">
        <f>"3048884"</f>
        <v>3048884</v>
      </c>
      <c r="B16065" t="s">
        <v>49174</v>
      </c>
      <c r="C16065" t="str">
        <f t="shared" si="242"/>
        <v>8309206</v>
      </c>
      <c r="D16065" t="s">
        <v>49172</v>
      </c>
      <c r="F16065" t="s">
        <v>30615</v>
      </c>
      <c r="I16065" t="s">
        <v>2071</v>
      </c>
      <c r="J16065" t="s">
        <v>30</v>
      </c>
      <c r="K16065" t="str">
        <f t="shared" si="243"/>
        <v>27006</v>
      </c>
      <c r="M16065" t="s">
        <v>17861</v>
      </c>
      <c r="N16065" t="str">
        <f t="shared" si="244"/>
        <v>11/29/2021 3:39:00 PM</v>
      </c>
      <c r="O16065" t="s">
        <v>49172</v>
      </c>
    </row>
    <row r="16066" spans="1:20" x14ac:dyDescent="0.25">
      <c r="A16066" t="str">
        <f>"3049291"</f>
        <v>3049291</v>
      </c>
      <c r="B16066" t="s">
        <v>49175</v>
      </c>
      <c r="C16066" t="str">
        <f t="shared" si="242"/>
        <v>8309206</v>
      </c>
      <c r="D16066" t="s">
        <v>49172</v>
      </c>
      <c r="F16066" t="s">
        <v>30615</v>
      </c>
      <c r="I16066" t="s">
        <v>2071</v>
      </c>
      <c r="J16066" t="s">
        <v>30</v>
      </c>
      <c r="K16066" t="str">
        <f t="shared" si="243"/>
        <v>27006</v>
      </c>
      <c r="M16066" t="s">
        <v>17861</v>
      </c>
      <c r="N16066" t="str">
        <f t="shared" si="244"/>
        <v>11/29/2021 3:39:00 PM</v>
      </c>
      <c r="O16066" t="s">
        <v>49172</v>
      </c>
    </row>
    <row r="16067" spans="1:20" x14ac:dyDescent="0.25">
      <c r="A16067" t="str">
        <f>"3049374"</f>
        <v>3049374</v>
      </c>
      <c r="B16067" t="s">
        <v>49176</v>
      </c>
      <c r="C16067" t="str">
        <f t="shared" si="242"/>
        <v>8309206</v>
      </c>
      <c r="D16067" t="s">
        <v>49172</v>
      </c>
      <c r="F16067" t="s">
        <v>30615</v>
      </c>
      <c r="I16067" t="s">
        <v>2071</v>
      </c>
      <c r="J16067" t="s">
        <v>30</v>
      </c>
      <c r="K16067" t="str">
        <f t="shared" si="243"/>
        <v>27006</v>
      </c>
      <c r="M16067" t="s">
        <v>17861</v>
      </c>
      <c r="N16067" t="str">
        <f t="shared" si="244"/>
        <v>11/29/2021 3:39:00 PM</v>
      </c>
      <c r="O16067" t="s">
        <v>49172</v>
      </c>
    </row>
    <row r="16068" spans="1:20" x14ac:dyDescent="0.25">
      <c r="A16068" t="str">
        <f>"3049375"</f>
        <v>3049375</v>
      </c>
      <c r="B16068" t="s">
        <v>49177</v>
      </c>
      <c r="C16068" t="str">
        <f t="shared" si="242"/>
        <v>8309206</v>
      </c>
      <c r="D16068" t="s">
        <v>49172</v>
      </c>
      <c r="F16068" t="s">
        <v>30615</v>
      </c>
      <c r="I16068" t="s">
        <v>2071</v>
      </c>
      <c r="J16068" t="s">
        <v>30</v>
      </c>
      <c r="K16068" t="str">
        <f t="shared" si="243"/>
        <v>27006</v>
      </c>
      <c r="M16068" t="s">
        <v>17861</v>
      </c>
      <c r="N16068" t="str">
        <f t="shared" si="244"/>
        <v>11/29/2021 3:39:00 PM</v>
      </c>
      <c r="O16068" t="s">
        <v>49172</v>
      </c>
    </row>
    <row r="16069" spans="1:20" x14ac:dyDescent="0.25">
      <c r="A16069" t="str">
        <f>"3041124"</f>
        <v>3041124</v>
      </c>
      <c r="B16069" t="s">
        <v>49178</v>
      </c>
      <c r="C16069" t="str">
        <f t="shared" si="242"/>
        <v>8309206</v>
      </c>
      <c r="D16069" t="s">
        <v>49172</v>
      </c>
      <c r="F16069" t="s">
        <v>30615</v>
      </c>
      <c r="I16069" t="s">
        <v>2071</v>
      </c>
      <c r="J16069" t="s">
        <v>30</v>
      </c>
      <c r="K16069" t="str">
        <f t="shared" si="243"/>
        <v>27006</v>
      </c>
      <c r="M16069" t="s">
        <v>17861</v>
      </c>
      <c r="N16069" t="str">
        <f t="shared" si="244"/>
        <v>11/29/2021 3:39:00 PM</v>
      </c>
      <c r="O16069" t="s">
        <v>49172</v>
      </c>
    </row>
    <row r="16070" spans="1:20" x14ac:dyDescent="0.25">
      <c r="A16070" t="str">
        <f>"3058252"</f>
        <v>3058252</v>
      </c>
      <c r="B16070" t="s">
        <v>49179</v>
      </c>
      <c r="C16070" t="str">
        <f>"8315167"</f>
        <v>8315167</v>
      </c>
      <c r="D16070" t="str">
        <f>"SOBOTTA DAVID/GLENDA ETAL"</f>
        <v>SOBOTTA DAVID/GLENDA ETAL</v>
      </c>
      <c r="E16070" t="s">
        <v>49180</v>
      </c>
      <c r="F16070" t="s">
        <v>49181</v>
      </c>
      <c r="I16070" t="s">
        <v>29</v>
      </c>
      <c r="J16070" t="s">
        <v>30</v>
      </c>
      <c r="K16070" t="s">
        <v>20338</v>
      </c>
      <c r="M16070" t="s">
        <v>17861</v>
      </c>
      <c r="N16070" t="str">
        <f>"11/30/2021 10:23:00 AM"</f>
        <v>11/30/2021 10:23:00 AM</v>
      </c>
      <c r="O16070" t="str">
        <f>"SOBOTTA DAVID/GLENDA ETAL"</f>
        <v>SOBOTTA DAVID/GLENDA ETAL</v>
      </c>
      <c r="T16070" t="s">
        <v>49180</v>
      </c>
    </row>
    <row r="16071" spans="1:20" x14ac:dyDescent="0.25">
      <c r="A16071" t="str">
        <f>"3054561"</f>
        <v>3054561</v>
      </c>
      <c r="B16071" t="s">
        <v>49182</v>
      </c>
      <c r="C16071" t="str">
        <f>"82531186"</f>
        <v>82531186</v>
      </c>
      <c r="D16071" t="s">
        <v>49183</v>
      </c>
      <c r="E16071" t="s">
        <v>49184</v>
      </c>
      <c r="F16071" t="s">
        <v>49185</v>
      </c>
      <c r="I16071" t="s">
        <v>29</v>
      </c>
      <c r="J16071" t="s">
        <v>30</v>
      </c>
      <c r="K16071" t="s">
        <v>49186</v>
      </c>
      <c r="M16071" t="s">
        <v>18479</v>
      </c>
      <c r="N16071" t="str">
        <f>"11/30/2021 11:25:00 AM"</f>
        <v>11/30/2021 11:25:00 AM</v>
      </c>
      <c r="O16071" t="s">
        <v>49183</v>
      </c>
      <c r="T16071" t="s">
        <v>49184</v>
      </c>
    </row>
    <row r="16072" spans="1:20" x14ac:dyDescent="0.25">
      <c r="A16072" t="str">
        <f>"3040297"</f>
        <v>3040297</v>
      </c>
      <c r="B16072" t="s">
        <v>49187</v>
      </c>
      <c r="C16072" t="str">
        <f>"8316726"</f>
        <v>8316726</v>
      </c>
      <c r="D16072" t="s">
        <v>35914</v>
      </c>
      <c r="F16072" t="s">
        <v>44664</v>
      </c>
      <c r="I16072" t="s">
        <v>184</v>
      </c>
      <c r="J16072" t="s">
        <v>30</v>
      </c>
      <c r="K16072" t="s">
        <v>4269</v>
      </c>
      <c r="M16072" t="s">
        <v>17861</v>
      </c>
      <c r="N16072" t="str">
        <f>"11/15/2021 1:04:00 PM"</f>
        <v>11/15/2021 1:04:00 PM</v>
      </c>
      <c r="O16072" t="s">
        <v>35914</v>
      </c>
    </row>
    <row r="16073" spans="1:20" x14ac:dyDescent="0.25">
      <c r="A16073" t="str">
        <f>"3043817"</f>
        <v>3043817</v>
      </c>
      <c r="B16073" t="s">
        <v>49188</v>
      </c>
      <c r="C16073" t="str">
        <f>"8316751"</f>
        <v>8316751</v>
      </c>
      <c r="D16073" t="s">
        <v>49189</v>
      </c>
      <c r="F16073" t="s">
        <v>49190</v>
      </c>
      <c r="I16073" t="s">
        <v>29</v>
      </c>
      <c r="J16073" t="s">
        <v>30</v>
      </c>
      <c r="K16073" t="s">
        <v>49191</v>
      </c>
      <c r="M16073" t="s">
        <v>17861</v>
      </c>
      <c r="N16073" t="str">
        <f>"11/16/2021 2:32:00 PM"</f>
        <v>11/16/2021 2:32:00 PM</v>
      </c>
      <c r="O16073" t="s">
        <v>49189</v>
      </c>
    </row>
    <row r="16074" spans="1:20" x14ac:dyDescent="0.25">
      <c r="A16074" t="str">
        <f>"3062282"</f>
        <v>3062282</v>
      </c>
      <c r="B16074" t="s">
        <v>49192</v>
      </c>
      <c r="C16074" t="str">
        <f>"8316846"</f>
        <v>8316846</v>
      </c>
      <c r="D16074" t="s">
        <v>49193</v>
      </c>
      <c r="F16074" t="s">
        <v>49194</v>
      </c>
      <c r="I16074" t="s">
        <v>29</v>
      </c>
      <c r="J16074" t="s">
        <v>30</v>
      </c>
      <c r="K16074" t="s">
        <v>14444</v>
      </c>
      <c r="M16074" t="s">
        <v>17861</v>
      </c>
      <c r="N16074" t="str">
        <f>"12/1/2021 9:33:00 AM"</f>
        <v>12/1/2021 9:33:00 AM</v>
      </c>
      <c r="O16074" t="s">
        <v>49193</v>
      </c>
    </row>
    <row r="16075" spans="1:20" x14ac:dyDescent="0.25">
      <c r="A16075" t="str">
        <f>"3060023"</f>
        <v>3060023</v>
      </c>
      <c r="B16075" t="s">
        <v>49195</v>
      </c>
      <c r="C16075" t="str">
        <f>"8316850"</f>
        <v>8316850</v>
      </c>
      <c r="D16075" t="s">
        <v>49196</v>
      </c>
      <c r="E16075" t="s">
        <v>49197</v>
      </c>
      <c r="F16075" t="s">
        <v>49198</v>
      </c>
      <c r="I16075" t="s">
        <v>184</v>
      </c>
      <c r="J16075" t="s">
        <v>30</v>
      </c>
      <c r="K16075" t="s">
        <v>46059</v>
      </c>
      <c r="M16075" t="s">
        <v>17861</v>
      </c>
      <c r="N16075" t="str">
        <f>"12/1/2021 9:51:00 AM"</f>
        <v>12/1/2021 9:51:00 AM</v>
      </c>
      <c r="O16075" t="s">
        <v>49196</v>
      </c>
      <c r="T16075" t="s">
        <v>49197</v>
      </c>
    </row>
    <row r="16076" spans="1:20" x14ac:dyDescent="0.25">
      <c r="A16076" t="str">
        <f>"3038065"</f>
        <v>3038065</v>
      </c>
      <c r="B16076" t="s">
        <v>49199</v>
      </c>
      <c r="C16076" t="str">
        <f>"8316752"</f>
        <v>8316752</v>
      </c>
      <c r="D16076" t="s">
        <v>49200</v>
      </c>
      <c r="E16076" t="s">
        <v>49201</v>
      </c>
      <c r="F16076" t="s">
        <v>49202</v>
      </c>
      <c r="I16076" t="s">
        <v>402</v>
      </c>
      <c r="J16076" t="s">
        <v>30</v>
      </c>
      <c r="K16076" t="s">
        <v>49203</v>
      </c>
      <c r="M16076" t="s">
        <v>17861</v>
      </c>
      <c r="N16076" t="str">
        <f>"11/16/2021 2:47:00 PM"</f>
        <v>11/16/2021 2:47:00 PM</v>
      </c>
      <c r="O16076" t="s">
        <v>49200</v>
      </c>
      <c r="T16076" t="s">
        <v>49201</v>
      </c>
    </row>
    <row r="16077" spans="1:20" x14ac:dyDescent="0.25">
      <c r="A16077" t="str">
        <f>"3052912"</f>
        <v>3052912</v>
      </c>
      <c r="B16077" t="s">
        <v>49204</v>
      </c>
      <c r="C16077" t="str">
        <f>"45179000"</f>
        <v>45179000</v>
      </c>
      <c r="D16077" t="s">
        <v>49205</v>
      </c>
      <c r="F16077" t="s">
        <v>49206</v>
      </c>
      <c r="G16077" t="s">
        <v>49207</v>
      </c>
      <c r="I16077" t="s">
        <v>2525</v>
      </c>
      <c r="J16077" t="s">
        <v>30</v>
      </c>
      <c r="K16077" t="s">
        <v>49208</v>
      </c>
      <c r="M16077" t="s">
        <v>17861</v>
      </c>
      <c r="N16077" t="str">
        <f>"11/17/2021 10:26:00 AM"</f>
        <v>11/17/2021 10:26:00 AM</v>
      </c>
      <c r="O16077" t="s">
        <v>49205</v>
      </c>
    </row>
    <row r="16078" spans="1:20" x14ac:dyDescent="0.25">
      <c r="A16078" t="str">
        <f>"3048180"</f>
        <v>3048180</v>
      </c>
      <c r="B16078" t="s">
        <v>49209</v>
      </c>
      <c r="C16078" t="str">
        <f>"8316766"</f>
        <v>8316766</v>
      </c>
      <c r="D16078" t="s">
        <v>49075</v>
      </c>
      <c r="F16078" t="s">
        <v>49076</v>
      </c>
      <c r="I16078" t="s">
        <v>184</v>
      </c>
      <c r="J16078" t="s">
        <v>30</v>
      </c>
      <c r="K16078" t="s">
        <v>34813</v>
      </c>
      <c r="M16078" t="s">
        <v>17861</v>
      </c>
      <c r="N16078" t="str">
        <f>"11/17/2021 3:16:00 PM"</f>
        <v>11/17/2021 3:16:00 PM</v>
      </c>
      <c r="O16078" t="s">
        <v>49075</v>
      </c>
    </row>
    <row r="16079" spans="1:20" x14ac:dyDescent="0.25">
      <c r="A16079" t="str">
        <f>"3048181"</f>
        <v>3048181</v>
      </c>
      <c r="B16079" t="s">
        <v>49210</v>
      </c>
      <c r="C16079" t="str">
        <f>"8316766"</f>
        <v>8316766</v>
      </c>
      <c r="D16079" t="s">
        <v>49075</v>
      </c>
      <c r="F16079" t="s">
        <v>49076</v>
      </c>
      <c r="I16079" t="s">
        <v>184</v>
      </c>
      <c r="J16079" t="s">
        <v>30</v>
      </c>
      <c r="K16079" t="s">
        <v>34813</v>
      </c>
      <c r="M16079" t="s">
        <v>17861</v>
      </c>
      <c r="N16079" t="str">
        <f>"11/17/2021 3:16:00 PM"</f>
        <v>11/17/2021 3:16:00 PM</v>
      </c>
      <c r="O16079" t="s">
        <v>49075</v>
      </c>
    </row>
    <row r="16080" spans="1:20" x14ac:dyDescent="0.25">
      <c r="A16080" t="str">
        <f>"3043951"</f>
        <v>3043951</v>
      </c>
      <c r="B16080" t="s">
        <v>49211</v>
      </c>
      <c r="C16080" t="str">
        <f>"8316773"</f>
        <v>8316773</v>
      </c>
      <c r="D16080" t="s">
        <v>49212</v>
      </c>
      <c r="F16080" t="s">
        <v>49213</v>
      </c>
      <c r="I16080" t="s">
        <v>3196</v>
      </c>
      <c r="J16080" t="s">
        <v>30</v>
      </c>
      <c r="K16080" t="s">
        <v>49214</v>
      </c>
      <c r="M16080" t="s">
        <v>17861</v>
      </c>
      <c r="N16080" t="str">
        <f>"11/18/2021 11:11:00 AM"</f>
        <v>11/18/2021 11:11:00 AM</v>
      </c>
      <c r="O16080" t="s">
        <v>49212</v>
      </c>
    </row>
    <row r="16081" spans="1:20" x14ac:dyDescent="0.25">
      <c r="A16081" t="str">
        <f>"3038814"</f>
        <v>3038814</v>
      </c>
      <c r="B16081" t="s">
        <v>49215</v>
      </c>
      <c r="C16081" t="str">
        <f>"8316775"</f>
        <v>8316775</v>
      </c>
      <c r="D16081" t="s">
        <v>49216</v>
      </c>
      <c r="E16081" t="s">
        <v>49217</v>
      </c>
      <c r="F16081" t="s">
        <v>49218</v>
      </c>
      <c r="I16081" t="s">
        <v>29</v>
      </c>
      <c r="J16081" t="s">
        <v>30</v>
      </c>
      <c r="K16081" t="s">
        <v>45216</v>
      </c>
      <c r="M16081" t="s">
        <v>36935</v>
      </c>
      <c r="N16081" t="str">
        <f>"11/19/2021 3:07:00 PM"</f>
        <v>11/19/2021 3:07:00 PM</v>
      </c>
      <c r="O16081" t="s">
        <v>49216</v>
      </c>
      <c r="T16081" t="s">
        <v>49217</v>
      </c>
    </row>
    <row r="16082" spans="1:20" x14ac:dyDescent="0.25">
      <c r="A16082" t="str">
        <f>"3044073"</f>
        <v>3044073</v>
      </c>
      <c r="B16082" t="s">
        <v>49219</v>
      </c>
      <c r="C16082" t="str">
        <f>"8310604"</f>
        <v>8310604</v>
      </c>
      <c r="D16082" t="s">
        <v>49220</v>
      </c>
      <c r="F16082" t="s">
        <v>49221</v>
      </c>
      <c r="I16082" t="s">
        <v>49222</v>
      </c>
      <c r="J16082" t="s">
        <v>49223</v>
      </c>
      <c r="K16082" t="s">
        <v>49224</v>
      </c>
      <c r="M16082" t="s">
        <v>33845</v>
      </c>
      <c r="N16082" t="str">
        <f>"11/23/2021 8:49:00 AM"</f>
        <v>11/23/2021 8:49:00 AM</v>
      </c>
      <c r="O16082" t="s">
        <v>49220</v>
      </c>
    </row>
    <row r="16083" spans="1:20" x14ac:dyDescent="0.25">
      <c r="A16083" t="str">
        <f>"3053826"</f>
        <v>3053826</v>
      </c>
      <c r="B16083" t="s">
        <v>49225</v>
      </c>
      <c r="C16083" t="str">
        <f>"8316788"</f>
        <v>8316788</v>
      </c>
      <c r="D16083" t="s">
        <v>49226</v>
      </c>
      <c r="F16083" t="s">
        <v>49227</v>
      </c>
      <c r="I16083" t="s">
        <v>29</v>
      </c>
      <c r="J16083" t="s">
        <v>30</v>
      </c>
      <c r="K16083" t="s">
        <v>13567</v>
      </c>
      <c r="M16083" t="s">
        <v>17861</v>
      </c>
      <c r="N16083" t="str">
        <f>"11/24/2021 8:39:00 AM"</f>
        <v>11/24/2021 8:39:00 AM</v>
      </c>
      <c r="O16083" t="s">
        <v>49226</v>
      </c>
    </row>
    <row r="16084" spans="1:20" x14ac:dyDescent="0.25">
      <c r="A16084" t="str">
        <f>"3054101"</f>
        <v>3054101</v>
      </c>
      <c r="B16084" t="s">
        <v>49228</v>
      </c>
      <c r="C16084" t="str">
        <f>"8316793"</f>
        <v>8316793</v>
      </c>
      <c r="D16084" t="s">
        <v>49097</v>
      </c>
      <c r="F16084" t="s">
        <v>9579</v>
      </c>
      <c r="I16084" t="s">
        <v>9580</v>
      </c>
      <c r="J16084" t="s">
        <v>30</v>
      </c>
      <c r="K16084" t="s">
        <v>16893</v>
      </c>
      <c r="M16084" t="s">
        <v>17861</v>
      </c>
      <c r="N16084" t="str">
        <f>"11/24/2021 9:15:00 AM"</f>
        <v>11/24/2021 9:15:00 AM</v>
      </c>
      <c r="O16084" t="s">
        <v>49097</v>
      </c>
    </row>
    <row r="16085" spans="1:20" x14ac:dyDescent="0.25">
      <c r="A16085" t="str">
        <f>"3049234"</f>
        <v>3049234</v>
      </c>
      <c r="B16085" t="s">
        <v>49229</v>
      </c>
      <c r="C16085" t="str">
        <f>"82524710"</f>
        <v>82524710</v>
      </c>
      <c r="D16085" t="s">
        <v>49230</v>
      </c>
      <c r="F16085" t="s">
        <v>49231</v>
      </c>
      <c r="I16085" t="s">
        <v>29</v>
      </c>
      <c r="J16085" t="s">
        <v>30</v>
      </c>
      <c r="K16085" t="s">
        <v>31</v>
      </c>
      <c r="M16085" t="s">
        <v>33432</v>
      </c>
      <c r="N16085" t="str">
        <f>"11/24/2021 10:33:00 AM"</f>
        <v>11/24/2021 10:33:00 AM</v>
      </c>
      <c r="O16085" t="s">
        <v>49230</v>
      </c>
    </row>
    <row r="16086" spans="1:20" x14ac:dyDescent="0.25">
      <c r="A16086" t="str">
        <f>"3056621"</f>
        <v>3056621</v>
      </c>
      <c r="B16086" t="s">
        <v>49232</v>
      </c>
      <c r="C16086" t="str">
        <f>"8316802"</f>
        <v>8316802</v>
      </c>
      <c r="D16086" t="s">
        <v>49233</v>
      </c>
      <c r="F16086" t="s">
        <v>5548</v>
      </c>
      <c r="I16086" t="s">
        <v>184</v>
      </c>
      <c r="J16086" t="s">
        <v>30</v>
      </c>
      <c r="K16086" t="s">
        <v>49234</v>
      </c>
      <c r="M16086" t="s">
        <v>17861</v>
      </c>
      <c r="N16086" t="str">
        <f>"11/24/2021 10:49:00 AM"</f>
        <v>11/24/2021 10:49:00 AM</v>
      </c>
      <c r="O16086" t="s">
        <v>49233</v>
      </c>
    </row>
    <row r="16087" spans="1:20" x14ac:dyDescent="0.25">
      <c r="A16087" t="str">
        <f>"3050774"</f>
        <v>3050774</v>
      </c>
      <c r="B16087" t="s">
        <v>49235</v>
      </c>
      <c r="C16087" t="str">
        <f>"8316809"</f>
        <v>8316809</v>
      </c>
      <c r="D16087" t="s">
        <v>49236</v>
      </c>
      <c r="E16087" t="s">
        <v>49237</v>
      </c>
      <c r="F16087" t="s">
        <v>49238</v>
      </c>
      <c r="I16087" t="s">
        <v>184</v>
      </c>
      <c r="J16087" t="s">
        <v>30</v>
      </c>
      <c r="K16087" t="s">
        <v>49239</v>
      </c>
      <c r="M16087" t="s">
        <v>17861</v>
      </c>
      <c r="N16087" t="str">
        <f>"11/24/2021 11:32:00 AM"</f>
        <v>11/24/2021 11:32:00 AM</v>
      </c>
      <c r="O16087" t="s">
        <v>49236</v>
      </c>
      <c r="T16087" t="s">
        <v>49237</v>
      </c>
    </row>
    <row r="16088" spans="1:20" x14ac:dyDescent="0.25">
      <c r="A16088" t="str">
        <f>"3040797"</f>
        <v>3040797</v>
      </c>
      <c r="B16088" t="s">
        <v>49240</v>
      </c>
      <c r="C16088" t="str">
        <f>"8316819"</f>
        <v>8316819</v>
      </c>
      <c r="D16088" t="s">
        <v>49241</v>
      </c>
      <c r="E16088" t="s">
        <v>49242</v>
      </c>
      <c r="F16088" t="s">
        <v>49243</v>
      </c>
      <c r="I16088" t="s">
        <v>184</v>
      </c>
      <c r="J16088" t="s">
        <v>30</v>
      </c>
      <c r="K16088" t="str">
        <f>"27006"</f>
        <v>27006</v>
      </c>
      <c r="M16088" t="s">
        <v>17861</v>
      </c>
      <c r="N16088" t="str">
        <f>"11/24/2021 1:20:00 PM"</f>
        <v>11/24/2021 1:20:00 PM</v>
      </c>
      <c r="O16088" t="s">
        <v>49241</v>
      </c>
      <c r="T16088" t="s">
        <v>49242</v>
      </c>
    </row>
    <row r="16089" spans="1:20" x14ac:dyDescent="0.25">
      <c r="A16089" t="str">
        <f>"3053930"</f>
        <v>3053930</v>
      </c>
      <c r="B16089" t="s">
        <v>49244</v>
      </c>
      <c r="C16089" t="str">
        <f>"8316822"</f>
        <v>8316822</v>
      </c>
      <c r="D16089" t="s">
        <v>49245</v>
      </c>
      <c r="E16089" t="s">
        <v>49246</v>
      </c>
      <c r="F16089" t="s">
        <v>49247</v>
      </c>
      <c r="I16089" t="s">
        <v>29</v>
      </c>
      <c r="J16089" t="s">
        <v>30</v>
      </c>
      <c r="K16089" t="s">
        <v>41477</v>
      </c>
      <c r="M16089" t="s">
        <v>17861</v>
      </c>
      <c r="N16089" t="str">
        <f>"11/24/2021 1:28:00 PM"</f>
        <v>11/24/2021 1:28:00 PM</v>
      </c>
      <c r="O16089" t="s">
        <v>49245</v>
      </c>
      <c r="T16089" t="s">
        <v>49246</v>
      </c>
    </row>
    <row r="16090" spans="1:20" x14ac:dyDescent="0.25">
      <c r="A16090" t="str">
        <f>"3060989"</f>
        <v>3060989</v>
      </c>
      <c r="B16090" t="s">
        <v>49248</v>
      </c>
      <c r="C16090" t="str">
        <f>"8316825"</f>
        <v>8316825</v>
      </c>
      <c r="D16090" t="s">
        <v>49249</v>
      </c>
      <c r="F16090" t="s">
        <v>49250</v>
      </c>
      <c r="I16090" t="s">
        <v>2071</v>
      </c>
      <c r="J16090" t="s">
        <v>30</v>
      </c>
      <c r="K16090" t="str">
        <f>"27006"</f>
        <v>27006</v>
      </c>
      <c r="M16090" t="s">
        <v>17861</v>
      </c>
      <c r="N16090" t="str">
        <f>"11/24/2021 2:00:00 PM"</f>
        <v>11/24/2021 2:00:00 PM</v>
      </c>
      <c r="O16090" t="s">
        <v>49249</v>
      </c>
    </row>
    <row r="16091" spans="1:20" x14ac:dyDescent="0.25">
      <c r="A16091" t="str">
        <f>"3059646"</f>
        <v>3059646</v>
      </c>
      <c r="B16091" t="s">
        <v>49251</v>
      </c>
      <c r="C16091" t="str">
        <f>"8316826"</f>
        <v>8316826</v>
      </c>
      <c r="D16091" t="s">
        <v>49252</v>
      </c>
      <c r="E16091" t="s">
        <v>49253</v>
      </c>
      <c r="F16091" t="s">
        <v>49254</v>
      </c>
      <c r="I16091" t="s">
        <v>29</v>
      </c>
      <c r="J16091" t="s">
        <v>30</v>
      </c>
      <c r="K16091" t="s">
        <v>39498</v>
      </c>
      <c r="M16091" t="s">
        <v>17861</v>
      </c>
      <c r="N16091" t="str">
        <f>"11/24/2021 2:02:00 PM"</f>
        <v>11/24/2021 2:02:00 PM</v>
      </c>
      <c r="O16091" t="s">
        <v>49252</v>
      </c>
      <c r="T16091" t="s">
        <v>49253</v>
      </c>
    </row>
    <row r="16092" spans="1:20" x14ac:dyDescent="0.25">
      <c r="A16092" t="str">
        <f>"3060445"</f>
        <v>3060445</v>
      </c>
      <c r="B16092" t="s">
        <v>49255</v>
      </c>
      <c r="C16092" t="str">
        <f>"82530246"</f>
        <v>82530246</v>
      </c>
      <c r="D16092" t="s">
        <v>49256</v>
      </c>
      <c r="E16092" t="s">
        <v>49257</v>
      </c>
      <c r="F16092" t="s">
        <v>49258</v>
      </c>
      <c r="I16092" t="s">
        <v>184</v>
      </c>
      <c r="J16092" t="s">
        <v>30</v>
      </c>
      <c r="K16092" t="s">
        <v>33287</v>
      </c>
      <c r="M16092" t="s">
        <v>17861</v>
      </c>
      <c r="N16092" t="str">
        <f>"11/16/2021 10:16:00 AM"</f>
        <v>11/16/2021 10:16:00 AM</v>
      </c>
      <c r="O16092" t="s">
        <v>49256</v>
      </c>
      <c r="T16092" t="s">
        <v>49257</v>
      </c>
    </row>
    <row r="16093" spans="1:20" x14ac:dyDescent="0.25">
      <c r="A16093" t="str">
        <f>"3054821"</f>
        <v>3054821</v>
      </c>
      <c r="B16093" t="s">
        <v>49259</v>
      </c>
      <c r="C16093" t="str">
        <f>"8316747"</f>
        <v>8316747</v>
      </c>
      <c r="D16093" t="s">
        <v>49260</v>
      </c>
      <c r="E16093" t="s">
        <v>49261</v>
      </c>
      <c r="F16093" t="s">
        <v>49262</v>
      </c>
      <c r="I16093" t="s">
        <v>1107</v>
      </c>
      <c r="J16093" t="s">
        <v>30</v>
      </c>
      <c r="K16093" t="s">
        <v>49263</v>
      </c>
      <c r="M16093" t="s">
        <v>17861</v>
      </c>
      <c r="N16093" t="str">
        <f>"11/16/2021 11:16:00 AM"</f>
        <v>11/16/2021 11:16:00 AM</v>
      </c>
      <c r="O16093" t="s">
        <v>49260</v>
      </c>
      <c r="T16093" t="s">
        <v>49261</v>
      </c>
    </row>
    <row r="16094" spans="1:20" x14ac:dyDescent="0.25">
      <c r="A16094" t="str">
        <f>"3061799"</f>
        <v>3061799</v>
      </c>
      <c r="B16094" t="s">
        <v>49264</v>
      </c>
      <c r="C16094" t="str">
        <f>"8316827"</f>
        <v>8316827</v>
      </c>
      <c r="D16094" t="s">
        <v>49265</v>
      </c>
      <c r="E16094" t="s">
        <v>49266</v>
      </c>
      <c r="F16094" t="s">
        <v>49267</v>
      </c>
      <c r="I16094" t="s">
        <v>2071</v>
      </c>
      <c r="J16094" t="s">
        <v>30</v>
      </c>
      <c r="K16094" t="s">
        <v>45717</v>
      </c>
      <c r="M16094" t="s">
        <v>17861</v>
      </c>
      <c r="N16094" t="str">
        <f>"11/24/2021 2:07:00 PM"</f>
        <v>11/24/2021 2:07:00 PM</v>
      </c>
      <c r="O16094" t="s">
        <v>49265</v>
      </c>
      <c r="T16094" t="s">
        <v>49266</v>
      </c>
    </row>
    <row r="16095" spans="1:20" x14ac:dyDescent="0.25">
      <c r="A16095" t="str">
        <f>"3068120"</f>
        <v>3068120</v>
      </c>
      <c r="B16095" t="s">
        <v>49268</v>
      </c>
      <c r="C16095" t="str">
        <f>"8316828"</f>
        <v>8316828</v>
      </c>
      <c r="D16095" t="s">
        <v>49269</v>
      </c>
      <c r="F16095" t="s">
        <v>49270</v>
      </c>
      <c r="I16095" t="s">
        <v>29</v>
      </c>
      <c r="J16095" t="s">
        <v>30</v>
      </c>
      <c r="K16095" t="s">
        <v>1010</v>
      </c>
      <c r="M16095" t="s">
        <v>17861</v>
      </c>
      <c r="N16095" t="str">
        <f>"11/24/2021 2:10:00 PM"</f>
        <v>11/24/2021 2:10:00 PM</v>
      </c>
      <c r="O16095" t="s">
        <v>49269</v>
      </c>
    </row>
    <row r="16096" spans="1:20" x14ac:dyDescent="0.25">
      <c r="A16096" t="str">
        <f>"3059567"</f>
        <v>3059567</v>
      </c>
      <c r="B16096" t="s">
        <v>49271</v>
      </c>
      <c r="C16096" t="str">
        <f>"8316829"</f>
        <v>8316829</v>
      </c>
      <c r="D16096" t="s">
        <v>49272</v>
      </c>
      <c r="E16096" t="s">
        <v>49273</v>
      </c>
      <c r="F16096" t="s">
        <v>49274</v>
      </c>
      <c r="I16096" t="s">
        <v>29</v>
      </c>
      <c r="J16096" t="s">
        <v>30</v>
      </c>
      <c r="K16096" t="s">
        <v>33298</v>
      </c>
      <c r="M16096" t="s">
        <v>17861</v>
      </c>
      <c r="N16096" t="str">
        <f>"11/24/2021 2:12:00 PM"</f>
        <v>11/24/2021 2:12:00 PM</v>
      </c>
      <c r="O16096" t="s">
        <v>49272</v>
      </c>
      <c r="T16096" t="s">
        <v>49275</v>
      </c>
    </row>
    <row r="16097" spans="1:20" x14ac:dyDescent="0.25">
      <c r="A16097" t="str">
        <f>"3042832"</f>
        <v>3042832</v>
      </c>
      <c r="B16097" t="s">
        <v>49276</v>
      </c>
      <c r="C16097" t="str">
        <f>"8316750"</f>
        <v>8316750</v>
      </c>
      <c r="D16097" t="s">
        <v>49277</v>
      </c>
      <c r="F16097" t="s">
        <v>49278</v>
      </c>
      <c r="I16097" t="s">
        <v>29</v>
      </c>
      <c r="J16097" t="s">
        <v>30</v>
      </c>
      <c r="K16097" t="s">
        <v>40025</v>
      </c>
      <c r="M16097" t="s">
        <v>17861</v>
      </c>
      <c r="N16097" t="str">
        <f>"11/16/2021 2:19:00 PM"</f>
        <v>11/16/2021 2:19:00 PM</v>
      </c>
      <c r="O16097" t="s">
        <v>49277</v>
      </c>
    </row>
    <row r="16098" spans="1:20" x14ac:dyDescent="0.25">
      <c r="A16098" t="str">
        <f>"3045661"</f>
        <v>3045661</v>
      </c>
      <c r="B16098" t="s">
        <v>49279</v>
      </c>
      <c r="C16098" t="str">
        <f>"8316275"</f>
        <v>8316275</v>
      </c>
      <c r="D16098" t="s">
        <v>49280</v>
      </c>
      <c r="E16098" t="s">
        <v>49281</v>
      </c>
      <c r="F16098" t="s">
        <v>49282</v>
      </c>
      <c r="I16098" t="s">
        <v>29</v>
      </c>
      <c r="J16098" t="s">
        <v>30</v>
      </c>
      <c r="K16098" t="s">
        <v>8081</v>
      </c>
      <c r="M16098" t="s">
        <v>17861</v>
      </c>
      <c r="N16098" t="str">
        <f>"11/30/2021 4:11:00 PM"</f>
        <v>11/30/2021 4:11:00 PM</v>
      </c>
      <c r="O16098" t="s">
        <v>49280</v>
      </c>
      <c r="T16098" t="s">
        <v>49281</v>
      </c>
    </row>
    <row r="16099" spans="1:20" x14ac:dyDescent="0.25">
      <c r="A16099" t="str">
        <f>"3047043"</f>
        <v>3047043</v>
      </c>
      <c r="B16099" t="s">
        <v>49283</v>
      </c>
      <c r="C16099" t="str">
        <f>"8316844"</f>
        <v>8316844</v>
      </c>
      <c r="D16099" t="s">
        <v>49284</v>
      </c>
      <c r="E16099" t="s">
        <v>49285</v>
      </c>
      <c r="F16099" t="s">
        <v>49286</v>
      </c>
      <c r="I16099" t="s">
        <v>29</v>
      </c>
      <c r="J16099" t="s">
        <v>30</v>
      </c>
      <c r="K16099" t="s">
        <v>49287</v>
      </c>
      <c r="M16099" t="s">
        <v>17861</v>
      </c>
      <c r="N16099" t="str">
        <f>"12/1/2021 9:11:00 AM"</f>
        <v>12/1/2021 9:11:00 AM</v>
      </c>
      <c r="O16099" t="s">
        <v>49284</v>
      </c>
      <c r="T16099" t="s">
        <v>49285</v>
      </c>
    </row>
    <row r="16100" spans="1:20" x14ac:dyDescent="0.25">
      <c r="A16100" t="str">
        <f>"3053867"</f>
        <v>3053867</v>
      </c>
      <c r="B16100" t="s">
        <v>49288</v>
      </c>
      <c r="C16100" t="str">
        <f>"8316851"</f>
        <v>8316851</v>
      </c>
      <c r="D16100" t="s">
        <v>49289</v>
      </c>
      <c r="F16100" t="s">
        <v>49290</v>
      </c>
      <c r="I16100" t="s">
        <v>29</v>
      </c>
      <c r="J16100" t="s">
        <v>30</v>
      </c>
      <c r="K16100" t="s">
        <v>49291</v>
      </c>
      <c r="M16100" t="s">
        <v>17861</v>
      </c>
      <c r="N16100" t="str">
        <f>"12/1/2021 9:53:00 AM"</f>
        <v>12/1/2021 9:53:00 AM</v>
      </c>
      <c r="O16100" t="s">
        <v>49289</v>
      </c>
    </row>
    <row r="16101" spans="1:20" x14ac:dyDescent="0.25">
      <c r="A16101" t="str">
        <f>"3053819"</f>
        <v>3053819</v>
      </c>
      <c r="B16101" t="s">
        <v>49292</v>
      </c>
      <c r="C16101" t="str">
        <f>"8316852"</f>
        <v>8316852</v>
      </c>
      <c r="D16101" t="s">
        <v>49293</v>
      </c>
      <c r="E16101" t="s">
        <v>49294</v>
      </c>
      <c r="F16101" t="s">
        <v>49295</v>
      </c>
      <c r="I16101" t="s">
        <v>29</v>
      </c>
      <c r="J16101" t="s">
        <v>30</v>
      </c>
      <c r="K16101" t="s">
        <v>6729</v>
      </c>
      <c r="M16101" t="s">
        <v>17861</v>
      </c>
      <c r="N16101" t="str">
        <f>"12/1/2021 9:56:00 AM"</f>
        <v>12/1/2021 9:56:00 AM</v>
      </c>
      <c r="O16101" t="s">
        <v>49293</v>
      </c>
      <c r="T16101" t="s">
        <v>49294</v>
      </c>
    </row>
    <row r="16102" spans="1:20" x14ac:dyDescent="0.25">
      <c r="A16102" t="str">
        <f>"3055534"</f>
        <v>3055534</v>
      </c>
      <c r="B16102" t="s">
        <v>49296</v>
      </c>
      <c r="C16102" t="str">
        <f>"8316892"</f>
        <v>8316892</v>
      </c>
      <c r="D16102" t="s">
        <v>49297</v>
      </c>
      <c r="E16102" t="s">
        <v>20256</v>
      </c>
      <c r="F16102" t="s">
        <v>49298</v>
      </c>
      <c r="I16102" t="s">
        <v>29</v>
      </c>
      <c r="J16102" t="s">
        <v>30</v>
      </c>
      <c r="K16102" t="s">
        <v>49299</v>
      </c>
      <c r="M16102" t="s">
        <v>17861</v>
      </c>
      <c r="N16102" t="str">
        <f>"12/14/2021 2:35:00 PM"</f>
        <v>12/14/2021 2:35:00 PM</v>
      </c>
      <c r="O16102" t="s">
        <v>49297</v>
      </c>
      <c r="T16102" t="s">
        <v>20256</v>
      </c>
    </row>
    <row r="16103" spans="1:20" x14ac:dyDescent="0.25">
      <c r="A16103" t="str">
        <f>"3039939"</f>
        <v>3039939</v>
      </c>
      <c r="B16103" t="s">
        <v>49300</v>
      </c>
      <c r="C16103" t="str">
        <f>"8316893"</f>
        <v>8316893</v>
      </c>
      <c r="D16103" t="s">
        <v>49301</v>
      </c>
      <c r="E16103" t="s">
        <v>49302</v>
      </c>
      <c r="F16103" t="s">
        <v>49303</v>
      </c>
      <c r="I16103" t="s">
        <v>184</v>
      </c>
      <c r="J16103" t="s">
        <v>30</v>
      </c>
      <c r="K16103" t="s">
        <v>49304</v>
      </c>
      <c r="M16103" t="s">
        <v>17861</v>
      </c>
      <c r="N16103" t="str">
        <f>"12/14/2021 2:47:00 PM"</f>
        <v>12/14/2021 2:47:00 PM</v>
      </c>
      <c r="O16103" t="s">
        <v>49301</v>
      </c>
      <c r="T16103" t="s">
        <v>49302</v>
      </c>
    </row>
    <row r="16104" spans="1:20" x14ac:dyDescent="0.25">
      <c r="A16104" t="str">
        <f>"3066093"</f>
        <v>3066093</v>
      </c>
      <c r="B16104" t="s">
        <v>49305</v>
      </c>
      <c r="C16104" t="str">
        <f>"8316896"</f>
        <v>8316896</v>
      </c>
      <c r="D16104" t="s">
        <v>49306</v>
      </c>
      <c r="E16104" t="s">
        <v>49307</v>
      </c>
      <c r="F16104" t="s">
        <v>49308</v>
      </c>
      <c r="I16104" t="s">
        <v>29</v>
      </c>
      <c r="J16104" t="s">
        <v>30</v>
      </c>
      <c r="K16104" t="s">
        <v>13600</v>
      </c>
      <c r="M16104" t="s">
        <v>17861</v>
      </c>
      <c r="N16104" t="str">
        <f>"12/14/2021 2:57:00 PM"</f>
        <v>12/14/2021 2:57:00 PM</v>
      </c>
      <c r="O16104" t="s">
        <v>49306</v>
      </c>
      <c r="T16104" t="s">
        <v>49307</v>
      </c>
    </row>
    <row r="16105" spans="1:20" x14ac:dyDescent="0.25">
      <c r="A16105" t="str">
        <f>"3055694"</f>
        <v>3055694</v>
      </c>
      <c r="B16105" t="s">
        <v>49309</v>
      </c>
      <c r="C16105" t="str">
        <f>"70882000"</f>
        <v>70882000</v>
      </c>
      <c r="D16105" t="s">
        <v>49310</v>
      </c>
      <c r="F16105" t="s">
        <v>49311</v>
      </c>
      <c r="I16105" t="s">
        <v>9580</v>
      </c>
      <c r="J16105" t="s">
        <v>30</v>
      </c>
      <c r="K16105" t="s">
        <v>9581</v>
      </c>
      <c r="M16105" t="s">
        <v>17861</v>
      </c>
      <c r="N16105" t="str">
        <f>"12/2/2021 1:07:00 PM"</f>
        <v>12/2/2021 1:07:00 PM</v>
      </c>
      <c r="O16105" t="s">
        <v>49310</v>
      </c>
    </row>
    <row r="16106" spans="1:20" x14ac:dyDescent="0.25">
      <c r="A16106" t="str">
        <f>"3057971"</f>
        <v>3057971</v>
      </c>
      <c r="B16106" t="s">
        <v>49312</v>
      </c>
      <c r="C16106" t="str">
        <f>"8316901"</f>
        <v>8316901</v>
      </c>
      <c r="D16106" t="s">
        <v>49313</v>
      </c>
      <c r="E16106" t="s">
        <v>49314</v>
      </c>
      <c r="F16106" t="s">
        <v>49315</v>
      </c>
      <c r="I16106" t="s">
        <v>29</v>
      </c>
      <c r="J16106" t="s">
        <v>30</v>
      </c>
      <c r="K16106" t="s">
        <v>48299</v>
      </c>
      <c r="M16106" t="s">
        <v>17861</v>
      </c>
      <c r="N16106" t="str">
        <f>"12/14/2021 3:52:00 PM"</f>
        <v>12/14/2021 3:52:00 PM</v>
      </c>
      <c r="O16106" t="s">
        <v>49313</v>
      </c>
      <c r="T16106" t="s">
        <v>49314</v>
      </c>
    </row>
    <row r="16107" spans="1:20" x14ac:dyDescent="0.25">
      <c r="A16107" t="str">
        <f>"3058861"</f>
        <v>3058861</v>
      </c>
      <c r="B16107" t="s">
        <v>49316</v>
      </c>
      <c r="C16107" t="str">
        <f>"8316903"</f>
        <v>8316903</v>
      </c>
      <c r="D16107" t="s">
        <v>49317</v>
      </c>
      <c r="E16107" t="s">
        <v>49318</v>
      </c>
      <c r="F16107" t="s">
        <v>49319</v>
      </c>
      <c r="I16107" t="s">
        <v>29</v>
      </c>
      <c r="J16107" t="s">
        <v>30</v>
      </c>
      <c r="K16107" t="s">
        <v>41630</v>
      </c>
      <c r="M16107" t="s">
        <v>17861</v>
      </c>
      <c r="N16107" t="str">
        <f>"12/14/2021 4:03:00 PM"</f>
        <v>12/14/2021 4:03:00 PM</v>
      </c>
      <c r="O16107" t="s">
        <v>49317</v>
      </c>
      <c r="T16107" t="s">
        <v>49318</v>
      </c>
    </row>
    <row r="16108" spans="1:20" x14ac:dyDescent="0.25">
      <c r="A16108" t="str">
        <f>"3054888"</f>
        <v>3054888</v>
      </c>
      <c r="B16108" t="s">
        <v>49320</v>
      </c>
      <c r="C16108" t="str">
        <f>"8301377"</f>
        <v>8301377</v>
      </c>
      <c r="D16108" t="s">
        <v>49321</v>
      </c>
      <c r="F16108" t="s">
        <v>49322</v>
      </c>
      <c r="I16108" t="s">
        <v>49323</v>
      </c>
      <c r="J16108" t="s">
        <v>11346</v>
      </c>
      <c r="K16108" t="s">
        <v>49324</v>
      </c>
      <c r="M16108" t="s">
        <v>36935</v>
      </c>
      <c r="N16108" t="str">
        <f>"12/14/2021 4:04:00 PM"</f>
        <v>12/14/2021 4:04:00 PM</v>
      </c>
      <c r="O16108" t="s">
        <v>49321</v>
      </c>
    </row>
    <row r="16109" spans="1:20" x14ac:dyDescent="0.25">
      <c r="A16109" t="str">
        <f>"3050685"</f>
        <v>3050685</v>
      </c>
      <c r="B16109" t="s">
        <v>49325</v>
      </c>
      <c r="C16109" t="str">
        <f>"8316904"</f>
        <v>8316904</v>
      </c>
      <c r="D16109" t="s">
        <v>49326</v>
      </c>
      <c r="F16109" t="s">
        <v>49327</v>
      </c>
      <c r="I16109" t="s">
        <v>184</v>
      </c>
      <c r="J16109" t="s">
        <v>30</v>
      </c>
      <c r="K16109" t="s">
        <v>3201</v>
      </c>
      <c r="M16109" t="s">
        <v>17861</v>
      </c>
      <c r="N16109" t="str">
        <f>"12/14/2021 4:10:00 PM"</f>
        <v>12/14/2021 4:10:00 PM</v>
      </c>
      <c r="O16109" t="s">
        <v>49326</v>
      </c>
    </row>
    <row r="16110" spans="1:20" x14ac:dyDescent="0.25">
      <c r="A16110" t="str">
        <f>"3057727"</f>
        <v>3057727</v>
      </c>
      <c r="B16110" t="s">
        <v>49328</v>
      </c>
      <c r="C16110" t="str">
        <f>"8316905"</f>
        <v>8316905</v>
      </c>
      <c r="D16110" t="s">
        <v>49329</v>
      </c>
      <c r="E16110" t="s">
        <v>49330</v>
      </c>
      <c r="F16110" t="s">
        <v>49331</v>
      </c>
      <c r="I16110" t="s">
        <v>184</v>
      </c>
      <c r="J16110" t="s">
        <v>30</v>
      </c>
      <c r="K16110" t="s">
        <v>27273</v>
      </c>
      <c r="M16110" t="s">
        <v>17861</v>
      </c>
      <c r="N16110" t="str">
        <f>"12/15/2021 9:30:00 AM"</f>
        <v>12/15/2021 9:30:00 AM</v>
      </c>
      <c r="O16110" t="s">
        <v>49329</v>
      </c>
      <c r="T16110" t="s">
        <v>49330</v>
      </c>
    </row>
    <row r="16111" spans="1:20" x14ac:dyDescent="0.25">
      <c r="A16111" t="str">
        <f>"3056125"</f>
        <v>3056125</v>
      </c>
      <c r="B16111" t="s">
        <v>49332</v>
      </c>
      <c r="C16111" t="str">
        <f>"8316907"</f>
        <v>8316907</v>
      </c>
      <c r="D16111" t="s">
        <v>49333</v>
      </c>
      <c r="E16111" t="s">
        <v>49334</v>
      </c>
      <c r="F16111" t="s">
        <v>49335</v>
      </c>
      <c r="I16111" t="s">
        <v>29</v>
      </c>
      <c r="J16111" t="s">
        <v>30</v>
      </c>
      <c r="K16111" t="s">
        <v>47425</v>
      </c>
      <c r="M16111" t="s">
        <v>17861</v>
      </c>
      <c r="N16111" t="str">
        <f>"12/15/2021 9:44:00 AM"</f>
        <v>12/15/2021 9:44:00 AM</v>
      </c>
      <c r="O16111" t="s">
        <v>49333</v>
      </c>
      <c r="T16111" t="s">
        <v>49334</v>
      </c>
    </row>
    <row r="16112" spans="1:20" x14ac:dyDescent="0.25">
      <c r="A16112" t="str">
        <f>"3062924"</f>
        <v>3062924</v>
      </c>
      <c r="B16112" t="s">
        <v>49336</v>
      </c>
      <c r="C16112" t="str">
        <f>"8316908"</f>
        <v>8316908</v>
      </c>
      <c r="D16112" t="s">
        <v>49337</v>
      </c>
      <c r="F16112" t="s">
        <v>49338</v>
      </c>
      <c r="I16112" t="s">
        <v>29</v>
      </c>
      <c r="J16112" t="s">
        <v>30</v>
      </c>
      <c r="K16112" t="s">
        <v>12616</v>
      </c>
      <c r="M16112" t="s">
        <v>17861</v>
      </c>
      <c r="N16112" t="str">
        <f>"12/15/2021 9:47:00 AM"</f>
        <v>12/15/2021 9:47:00 AM</v>
      </c>
      <c r="O16112" t="s">
        <v>49337</v>
      </c>
    </row>
    <row r="16113" spans="1:20" x14ac:dyDescent="0.25">
      <c r="A16113" t="str">
        <f>"3061660"</f>
        <v>3061660</v>
      </c>
      <c r="B16113" t="s">
        <v>49339</v>
      </c>
      <c r="C16113" t="str">
        <f>"8316910"</f>
        <v>8316910</v>
      </c>
      <c r="D16113" t="s">
        <v>49340</v>
      </c>
      <c r="E16113" t="s">
        <v>49341</v>
      </c>
      <c r="F16113" t="s">
        <v>49342</v>
      </c>
      <c r="I16113" t="s">
        <v>184</v>
      </c>
      <c r="J16113" t="s">
        <v>30</v>
      </c>
      <c r="K16113" t="s">
        <v>49343</v>
      </c>
      <c r="M16113" t="s">
        <v>17861</v>
      </c>
      <c r="N16113" t="str">
        <f>"12/15/2021 10:29:00 AM"</f>
        <v>12/15/2021 10:29:00 AM</v>
      </c>
      <c r="O16113" t="s">
        <v>49340</v>
      </c>
      <c r="T16113" t="s">
        <v>49341</v>
      </c>
    </row>
    <row r="16114" spans="1:20" x14ac:dyDescent="0.25">
      <c r="A16114" t="str">
        <f>"3061242"</f>
        <v>3061242</v>
      </c>
      <c r="B16114" t="s">
        <v>49344</v>
      </c>
      <c r="C16114" t="str">
        <f>"8316911"</f>
        <v>8316911</v>
      </c>
      <c r="D16114" t="s">
        <v>49345</v>
      </c>
      <c r="F16114" t="s">
        <v>49346</v>
      </c>
      <c r="I16114" t="s">
        <v>2071</v>
      </c>
      <c r="J16114" t="s">
        <v>30</v>
      </c>
      <c r="K16114" t="s">
        <v>49347</v>
      </c>
      <c r="M16114" t="s">
        <v>17861</v>
      </c>
      <c r="N16114" t="str">
        <f>"12/15/2021 10:31:00 AM"</f>
        <v>12/15/2021 10:31:00 AM</v>
      </c>
      <c r="O16114" t="s">
        <v>49345</v>
      </c>
    </row>
    <row r="16115" spans="1:20" x14ac:dyDescent="0.25">
      <c r="A16115" t="str">
        <f>"3068652"</f>
        <v>3068652</v>
      </c>
      <c r="B16115" t="s">
        <v>49348</v>
      </c>
      <c r="C16115" t="str">
        <f>"8316912"</f>
        <v>8316912</v>
      </c>
      <c r="D16115" t="s">
        <v>49349</v>
      </c>
      <c r="F16115" t="s">
        <v>37089</v>
      </c>
      <c r="I16115" t="s">
        <v>29</v>
      </c>
      <c r="J16115" t="s">
        <v>30</v>
      </c>
      <c r="K16115" t="s">
        <v>37090</v>
      </c>
      <c r="M16115" t="s">
        <v>17861</v>
      </c>
      <c r="N16115" t="str">
        <f>"12/15/2021 10:53:00 AM"</f>
        <v>12/15/2021 10:53:00 AM</v>
      </c>
      <c r="O16115" t="s">
        <v>49349</v>
      </c>
    </row>
    <row r="16116" spans="1:20" x14ac:dyDescent="0.25">
      <c r="A16116" t="str">
        <f>"3068654"</f>
        <v>3068654</v>
      </c>
      <c r="B16116" t="s">
        <v>49350</v>
      </c>
      <c r="C16116" t="str">
        <f>"8316912"</f>
        <v>8316912</v>
      </c>
      <c r="D16116" t="s">
        <v>49349</v>
      </c>
      <c r="F16116" t="s">
        <v>37089</v>
      </c>
      <c r="I16116" t="s">
        <v>29</v>
      </c>
      <c r="J16116" t="s">
        <v>30</v>
      </c>
      <c r="K16116" t="s">
        <v>37090</v>
      </c>
      <c r="M16116" t="s">
        <v>17861</v>
      </c>
      <c r="N16116" t="str">
        <f>"12/15/2021 10:53:00 AM"</f>
        <v>12/15/2021 10:53:00 AM</v>
      </c>
      <c r="O16116" t="s">
        <v>49349</v>
      </c>
    </row>
    <row r="16117" spans="1:20" x14ac:dyDescent="0.25">
      <c r="A16117" t="str">
        <f>"3052353"</f>
        <v>3052353</v>
      </c>
      <c r="B16117" t="s">
        <v>49351</v>
      </c>
      <c r="C16117" t="str">
        <f>"8316912"</f>
        <v>8316912</v>
      </c>
      <c r="D16117" t="s">
        <v>49349</v>
      </c>
      <c r="F16117" t="s">
        <v>37089</v>
      </c>
      <c r="I16117" t="s">
        <v>29</v>
      </c>
      <c r="J16117" t="s">
        <v>30</v>
      </c>
      <c r="K16117" t="s">
        <v>37090</v>
      </c>
      <c r="M16117" t="s">
        <v>17861</v>
      </c>
      <c r="N16117" t="str">
        <f>"12/15/2021 10:53:00 AM"</f>
        <v>12/15/2021 10:53:00 AM</v>
      </c>
      <c r="O16117" t="s">
        <v>49349</v>
      </c>
    </row>
    <row r="16118" spans="1:20" x14ac:dyDescent="0.25">
      <c r="A16118" t="str">
        <f>"3052344"</f>
        <v>3052344</v>
      </c>
      <c r="B16118" t="s">
        <v>49352</v>
      </c>
      <c r="C16118" t="str">
        <f>"8316912"</f>
        <v>8316912</v>
      </c>
      <c r="D16118" t="s">
        <v>49349</v>
      </c>
      <c r="F16118" t="s">
        <v>37089</v>
      </c>
      <c r="I16118" t="s">
        <v>29</v>
      </c>
      <c r="J16118" t="s">
        <v>30</v>
      </c>
      <c r="K16118" t="s">
        <v>37090</v>
      </c>
      <c r="M16118" t="s">
        <v>17861</v>
      </c>
      <c r="N16118" t="str">
        <f>"12/15/2021 10:53:00 AM"</f>
        <v>12/15/2021 10:53:00 AM</v>
      </c>
      <c r="O16118" t="s">
        <v>49349</v>
      </c>
    </row>
    <row r="16119" spans="1:20" x14ac:dyDescent="0.25">
      <c r="A16119" t="str">
        <f>"3052235"</f>
        <v>3052235</v>
      </c>
      <c r="B16119" t="s">
        <v>49353</v>
      </c>
      <c r="C16119" t="str">
        <f>"8316912"</f>
        <v>8316912</v>
      </c>
      <c r="D16119" t="s">
        <v>49349</v>
      </c>
      <c r="F16119" t="s">
        <v>37089</v>
      </c>
      <c r="I16119" t="s">
        <v>29</v>
      </c>
      <c r="J16119" t="s">
        <v>30</v>
      </c>
      <c r="K16119" t="s">
        <v>37090</v>
      </c>
      <c r="M16119" t="s">
        <v>17861</v>
      </c>
      <c r="N16119" t="str">
        <f>"12/15/2021 10:53:00 AM"</f>
        <v>12/15/2021 10:53:00 AM</v>
      </c>
      <c r="O16119" t="s">
        <v>49349</v>
      </c>
    </row>
    <row r="16120" spans="1:20" x14ac:dyDescent="0.25">
      <c r="A16120" t="str">
        <f>"3062558"</f>
        <v>3062558</v>
      </c>
      <c r="B16120" t="s">
        <v>49354</v>
      </c>
      <c r="C16120" t="str">
        <f>"8316858"</f>
        <v>8316858</v>
      </c>
      <c r="D16120" t="s">
        <v>49355</v>
      </c>
      <c r="F16120" t="s">
        <v>49356</v>
      </c>
      <c r="I16120" t="s">
        <v>29</v>
      </c>
      <c r="J16120" t="s">
        <v>30</v>
      </c>
      <c r="K16120" t="s">
        <v>1124</v>
      </c>
      <c r="M16120" t="s">
        <v>17861</v>
      </c>
      <c r="N16120" t="str">
        <f>"12/2/2021 1:20:00 PM"</f>
        <v>12/2/2021 1:20:00 PM</v>
      </c>
      <c r="O16120" t="s">
        <v>49355</v>
      </c>
    </row>
    <row r="16121" spans="1:20" x14ac:dyDescent="0.25">
      <c r="A16121" t="str">
        <f>"3055312"</f>
        <v>3055312</v>
      </c>
      <c r="B16121" t="s">
        <v>49357</v>
      </c>
      <c r="C16121" t="str">
        <f>"8316916"</f>
        <v>8316916</v>
      </c>
      <c r="D16121" t="s">
        <v>49358</v>
      </c>
      <c r="E16121" t="s">
        <v>49359</v>
      </c>
      <c r="F16121" t="s">
        <v>49360</v>
      </c>
      <c r="I16121" t="s">
        <v>29</v>
      </c>
      <c r="J16121" t="s">
        <v>30</v>
      </c>
      <c r="K16121" t="s">
        <v>49361</v>
      </c>
      <c r="M16121" t="s">
        <v>17861</v>
      </c>
      <c r="N16121" t="str">
        <f>"12/15/2021 1:16:00 PM"</f>
        <v>12/15/2021 1:16:00 PM</v>
      </c>
      <c r="O16121" t="s">
        <v>49358</v>
      </c>
      <c r="T16121" t="s">
        <v>49359</v>
      </c>
    </row>
    <row r="16122" spans="1:20" x14ac:dyDescent="0.25">
      <c r="A16122" t="str">
        <f>"3037621"</f>
        <v>3037621</v>
      </c>
      <c r="B16122" t="s">
        <v>49362</v>
      </c>
      <c r="C16122" t="str">
        <f>"8316917"</f>
        <v>8316917</v>
      </c>
      <c r="D16122" t="str">
        <f>"MASENCUP MITCHELL/JOY"</f>
        <v>MASENCUP MITCHELL/JOY</v>
      </c>
      <c r="E16122" t="s">
        <v>49363</v>
      </c>
      <c r="F16122" t="s">
        <v>49364</v>
      </c>
      <c r="I16122" t="s">
        <v>29</v>
      </c>
      <c r="J16122" t="s">
        <v>30</v>
      </c>
      <c r="K16122" t="s">
        <v>44251</v>
      </c>
      <c r="M16122" t="s">
        <v>17861</v>
      </c>
      <c r="N16122" t="str">
        <f>"12/15/2021 1:25:00 PM"</f>
        <v>12/15/2021 1:25:00 PM</v>
      </c>
      <c r="O16122" t="str">
        <f>"MASENCUP MITCHELL/JOY"</f>
        <v>MASENCUP MITCHELL/JOY</v>
      </c>
      <c r="T16122" t="s">
        <v>49363</v>
      </c>
    </row>
    <row r="16123" spans="1:20" x14ac:dyDescent="0.25">
      <c r="A16123" t="str">
        <f>"3052526"</f>
        <v>3052526</v>
      </c>
      <c r="B16123" t="s">
        <v>49365</v>
      </c>
      <c r="C16123" t="str">
        <f>"8316919"</f>
        <v>8316919</v>
      </c>
      <c r="D16123" t="s">
        <v>49366</v>
      </c>
      <c r="F16123" t="s">
        <v>36221</v>
      </c>
      <c r="I16123" t="s">
        <v>36222</v>
      </c>
      <c r="J16123" t="s">
        <v>3737</v>
      </c>
      <c r="K16123" t="s">
        <v>36223</v>
      </c>
      <c r="M16123" t="s">
        <v>17861</v>
      </c>
      <c r="N16123" t="str">
        <f>"12/15/2021 1:33:00 PM"</f>
        <v>12/15/2021 1:33:00 PM</v>
      </c>
      <c r="O16123" t="s">
        <v>49366</v>
      </c>
    </row>
    <row r="16124" spans="1:20" x14ac:dyDescent="0.25">
      <c r="A16124" t="str">
        <f>"3049822"</f>
        <v>3049822</v>
      </c>
      <c r="B16124" t="s">
        <v>49367</v>
      </c>
      <c r="C16124" t="str">
        <f>"8316919"</f>
        <v>8316919</v>
      </c>
      <c r="D16124" t="s">
        <v>49366</v>
      </c>
      <c r="F16124" t="s">
        <v>36221</v>
      </c>
      <c r="I16124" t="s">
        <v>36222</v>
      </c>
      <c r="J16124" t="s">
        <v>3737</v>
      </c>
      <c r="K16124" t="s">
        <v>36223</v>
      </c>
      <c r="M16124" t="s">
        <v>17861</v>
      </c>
      <c r="N16124" t="str">
        <f>"12/15/2021 1:33:00 PM"</f>
        <v>12/15/2021 1:33:00 PM</v>
      </c>
      <c r="O16124" t="s">
        <v>49366</v>
      </c>
    </row>
    <row r="16125" spans="1:20" x14ac:dyDescent="0.25">
      <c r="A16125" t="str">
        <f>"3061750"</f>
        <v>3061750</v>
      </c>
      <c r="B16125" t="s">
        <v>49368</v>
      </c>
      <c r="C16125" t="str">
        <f>"8316920"</f>
        <v>8316920</v>
      </c>
      <c r="D16125" t="s">
        <v>49369</v>
      </c>
      <c r="E16125" t="s">
        <v>49370</v>
      </c>
      <c r="F16125" t="s">
        <v>49371</v>
      </c>
      <c r="I16125" t="s">
        <v>2071</v>
      </c>
      <c r="J16125" t="s">
        <v>30</v>
      </c>
      <c r="K16125" t="s">
        <v>4124</v>
      </c>
      <c r="M16125" t="s">
        <v>17861</v>
      </c>
      <c r="N16125" t="str">
        <f>"12/15/2021 1:40:00 PM"</f>
        <v>12/15/2021 1:40:00 PM</v>
      </c>
      <c r="O16125" t="s">
        <v>49369</v>
      </c>
      <c r="T16125" t="s">
        <v>49370</v>
      </c>
    </row>
    <row r="16126" spans="1:20" x14ac:dyDescent="0.25">
      <c r="A16126" t="str">
        <f>"3060276"</f>
        <v>3060276</v>
      </c>
      <c r="B16126" t="s">
        <v>49372</v>
      </c>
      <c r="C16126" t="str">
        <f>"8316921"</f>
        <v>8316921</v>
      </c>
      <c r="D16126" t="s">
        <v>49373</v>
      </c>
      <c r="E16126" t="s">
        <v>49374</v>
      </c>
      <c r="F16126" t="s">
        <v>49375</v>
      </c>
      <c r="I16126" t="s">
        <v>184</v>
      </c>
      <c r="J16126" t="s">
        <v>30</v>
      </c>
      <c r="K16126" t="s">
        <v>38676</v>
      </c>
      <c r="M16126" t="s">
        <v>17861</v>
      </c>
      <c r="N16126" t="str">
        <f>"12/15/2021 1:48:00 PM"</f>
        <v>12/15/2021 1:48:00 PM</v>
      </c>
      <c r="O16126" t="s">
        <v>49373</v>
      </c>
      <c r="T16126" t="s">
        <v>49374</v>
      </c>
    </row>
    <row r="16127" spans="1:20" x14ac:dyDescent="0.25">
      <c r="A16127" t="str">
        <f>"3053594"</f>
        <v>3053594</v>
      </c>
      <c r="B16127" t="s">
        <v>49376</v>
      </c>
      <c r="C16127" t="str">
        <f>"8316922"</f>
        <v>8316922</v>
      </c>
      <c r="D16127" t="s">
        <v>49377</v>
      </c>
      <c r="F16127" t="s">
        <v>49378</v>
      </c>
      <c r="I16127" t="s">
        <v>29</v>
      </c>
      <c r="J16127" t="s">
        <v>30</v>
      </c>
      <c r="K16127" t="s">
        <v>14112</v>
      </c>
      <c r="M16127" t="s">
        <v>17861</v>
      </c>
      <c r="N16127" t="str">
        <f>"12/17/2021 8:37:00 AM"</f>
        <v>12/17/2021 8:37:00 AM</v>
      </c>
      <c r="O16127" t="s">
        <v>49377</v>
      </c>
    </row>
    <row r="16128" spans="1:20" x14ac:dyDescent="0.25">
      <c r="A16128" t="str">
        <f>"3038929"</f>
        <v>3038929</v>
      </c>
      <c r="B16128" t="s">
        <v>49379</v>
      </c>
      <c r="C16128" t="str">
        <f>"8316925"</f>
        <v>8316925</v>
      </c>
      <c r="D16128" t="s">
        <v>49380</v>
      </c>
      <c r="E16128" t="s">
        <v>49381</v>
      </c>
      <c r="F16128" t="s">
        <v>49382</v>
      </c>
      <c r="I16128" t="s">
        <v>29</v>
      </c>
      <c r="J16128" t="s">
        <v>30</v>
      </c>
      <c r="K16128" t="s">
        <v>49383</v>
      </c>
      <c r="M16128" t="s">
        <v>17861</v>
      </c>
      <c r="N16128" t="str">
        <f>"12/17/2021 8:52:00 AM"</f>
        <v>12/17/2021 8:52:00 AM</v>
      </c>
      <c r="O16128" t="s">
        <v>49380</v>
      </c>
      <c r="T16128" t="s">
        <v>49381</v>
      </c>
    </row>
    <row r="16129" spans="1:20" x14ac:dyDescent="0.25">
      <c r="A16129" t="str">
        <f>"3060033"</f>
        <v>3060033</v>
      </c>
      <c r="B16129" t="s">
        <v>49384</v>
      </c>
      <c r="C16129" t="str">
        <f>"8316929"</f>
        <v>8316929</v>
      </c>
      <c r="D16129" t="s">
        <v>49385</v>
      </c>
      <c r="E16129" t="s">
        <v>49386</v>
      </c>
      <c r="F16129" t="s">
        <v>49387</v>
      </c>
      <c r="I16129" t="s">
        <v>184</v>
      </c>
      <c r="J16129" t="s">
        <v>30</v>
      </c>
      <c r="K16129" t="s">
        <v>34978</v>
      </c>
      <c r="M16129" t="s">
        <v>17861</v>
      </c>
      <c r="N16129" t="str">
        <f>"12/17/2021 9:06:00 AM"</f>
        <v>12/17/2021 9:06:00 AM</v>
      </c>
      <c r="O16129" t="s">
        <v>49385</v>
      </c>
      <c r="T16129" t="s">
        <v>49386</v>
      </c>
    </row>
    <row r="16130" spans="1:20" x14ac:dyDescent="0.25">
      <c r="A16130" t="str">
        <f>"3038608"</f>
        <v>3038608</v>
      </c>
      <c r="B16130" t="s">
        <v>49388</v>
      </c>
      <c r="C16130" t="str">
        <f>"8316930"</f>
        <v>8316930</v>
      </c>
      <c r="D16130" t="s">
        <v>49389</v>
      </c>
      <c r="E16130" t="s">
        <v>49390</v>
      </c>
      <c r="F16130" t="s">
        <v>49391</v>
      </c>
      <c r="I16130" t="s">
        <v>29</v>
      </c>
      <c r="J16130" t="s">
        <v>30</v>
      </c>
      <c r="K16130" t="s">
        <v>35430</v>
      </c>
      <c r="M16130" t="s">
        <v>17861</v>
      </c>
      <c r="N16130" t="str">
        <f>"12/17/2021 9:09:00 AM"</f>
        <v>12/17/2021 9:09:00 AM</v>
      </c>
      <c r="O16130" t="s">
        <v>49389</v>
      </c>
      <c r="T16130" t="s">
        <v>49390</v>
      </c>
    </row>
    <row r="16131" spans="1:20" x14ac:dyDescent="0.25">
      <c r="A16131" t="str">
        <f>"3040645"</f>
        <v>3040645</v>
      </c>
      <c r="B16131" t="s">
        <v>49392</v>
      </c>
      <c r="C16131" t="str">
        <f>"8316931"</f>
        <v>8316931</v>
      </c>
      <c r="D16131" t="s">
        <v>49393</v>
      </c>
      <c r="E16131" t="s">
        <v>49394</v>
      </c>
      <c r="F16131" t="s">
        <v>49395</v>
      </c>
      <c r="I16131" t="s">
        <v>184</v>
      </c>
      <c r="J16131" t="s">
        <v>30</v>
      </c>
      <c r="K16131" t="s">
        <v>33347</v>
      </c>
      <c r="M16131" t="s">
        <v>17861</v>
      </c>
      <c r="N16131" t="str">
        <f>"12/17/2021 9:17:00 AM"</f>
        <v>12/17/2021 9:17:00 AM</v>
      </c>
      <c r="O16131" t="s">
        <v>49393</v>
      </c>
      <c r="T16131" t="s">
        <v>49394</v>
      </c>
    </row>
    <row r="16132" spans="1:20" x14ac:dyDescent="0.25">
      <c r="A16132" t="str">
        <f>"3047589"</f>
        <v>3047589</v>
      </c>
      <c r="B16132" t="s">
        <v>49396</v>
      </c>
      <c r="C16132" t="str">
        <f>"8316891"</f>
        <v>8316891</v>
      </c>
      <c r="D16132" t="s">
        <v>49397</v>
      </c>
      <c r="E16132" t="s">
        <v>49398</v>
      </c>
      <c r="F16132" t="s">
        <v>49399</v>
      </c>
      <c r="I16132" t="s">
        <v>29</v>
      </c>
      <c r="J16132" t="s">
        <v>30</v>
      </c>
      <c r="K16132" t="s">
        <v>49400</v>
      </c>
      <c r="M16132" t="s">
        <v>17861</v>
      </c>
      <c r="N16132" t="str">
        <f>"12/14/2021 2:32:00 PM"</f>
        <v>12/14/2021 2:32:00 PM</v>
      </c>
      <c r="O16132" t="s">
        <v>49397</v>
      </c>
      <c r="T16132" t="s">
        <v>49398</v>
      </c>
    </row>
    <row r="16133" spans="1:20" x14ac:dyDescent="0.25">
      <c r="A16133" t="str">
        <f>"3050943"</f>
        <v>3050943</v>
      </c>
      <c r="B16133" t="s">
        <v>49401</v>
      </c>
      <c r="C16133" t="str">
        <f>"8316900"</f>
        <v>8316900</v>
      </c>
      <c r="D16133" t="s">
        <v>49402</v>
      </c>
      <c r="E16133" t="s">
        <v>49403</v>
      </c>
      <c r="F16133" t="s">
        <v>49404</v>
      </c>
      <c r="I16133" t="s">
        <v>184</v>
      </c>
      <c r="J16133" t="s">
        <v>30</v>
      </c>
      <c r="K16133" t="s">
        <v>45022</v>
      </c>
      <c r="M16133" t="s">
        <v>17861</v>
      </c>
      <c r="N16133" t="str">
        <f>"12/14/2021 3:19:00 PM"</f>
        <v>12/14/2021 3:19:00 PM</v>
      </c>
      <c r="O16133" t="s">
        <v>49402</v>
      </c>
      <c r="T16133" t="s">
        <v>49403</v>
      </c>
    </row>
    <row r="16134" spans="1:20" x14ac:dyDescent="0.25">
      <c r="A16134" t="str">
        <f>"3054202"</f>
        <v>3054202</v>
      </c>
      <c r="B16134" t="s">
        <v>49405</v>
      </c>
      <c r="C16134" t="str">
        <f>"8316915"</f>
        <v>8316915</v>
      </c>
      <c r="D16134" t="s">
        <v>49406</v>
      </c>
      <c r="F16134" t="s">
        <v>49407</v>
      </c>
      <c r="I16134" t="s">
        <v>29</v>
      </c>
      <c r="J16134" t="s">
        <v>30</v>
      </c>
      <c r="K16134" t="s">
        <v>15999</v>
      </c>
      <c r="M16134" t="s">
        <v>17861</v>
      </c>
      <c r="N16134" t="str">
        <f>"12/15/2021 12:55:00 PM"</f>
        <v>12/15/2021 12:55:00 PM</v>
      </c>
      <c r="O16134" t="s">
        <v>49406</v>
      </c>
    </row>
    <row r="16135" spans="1:20" x14ac:dyDescent="0.25">
      <c r="A16135" t="str">
        <f>"3055463"</f>
        <v>3055463</v>
      </c>
      <c r="B16135" t="s">
        <v>49408</v>
      </c>
      <c r="C16135" t="str">
        <f>"8316489"</f>
        <v>8316489</v>
      </c>
      <c r="D16135" t="s">
        <v>27936</v>
      </c>
      <c r="E16135" t="s">
        <v>49409</v>
      </c>
      <c r="F16135" t="s">
        <v>49410</v>
      </c>
      <c r="I16135" t="s">
        <v>29</v>
      </c>
      <c r="J16135" t="s">
        <v>30</v>
      </c>
      <c r="K16135" t="s">
        <v>49411</v>
      </c>
      <c r="M16135" t="s">
        <v>17861</v>
      </c>
      <c r="N16135" t="str">
        <f>"12/2/2021 1:45:00 PM"</f>
        <v>12/2/2021 1:45:00 PM</v>
      </c>
      <c r="O16135" t="s">
        <v>27936</v>
      </c>
      <c r="T16135" t="s">
        <v>49409</v>
      </c>
    </row>
    <row r="16136" spans="1:20" x14ac:dyDescent="0.25">
      <c r="A16136" t="str">
        <f>"3050274"</f>
        <v>3050274</v>
      </c>
      <c r="B16136" t="s">
        <v>49412</v>
      </c>
      <c r="C16136" t="str">
        <f>"8316859"</f>
        <v>8316859</v>
      </c>
      <c r="D16136" t="s">
        <v>49413</v>
      </c>
      <c r="F16136" t="s">
        <v>49414</v>
      </c>
      <c r="I16136" t="s">
        <v>29</v>
      </c>
      <c r="J16136" t="s">
        <v>30</v>
      </c>
      <c r="K16136" t="s">
        <v>14453</v>
      </c>
      <c r="M16136" t="s">
        <v>17861</v>
      </c>
      <c r="N16136" t="str">
        <f>"12/3/2021 9:24:00 AM"</f>
        <v>12/3/2021 9:24:00 AM</v>
      </c>
      <c r="O16136" t="s">
        <v>49413</v>
      </c>
    </row>
    <row r="16137" spans="1:20" x14ac:dyDescent="0.25">
      <c r="A16137" t="str">
        <f>"3046999"</f>
        <v>3046999</v>
      </c>
      <c r="B16137" t="s">
        <v>49415</v>
      </c>
      <c r="C16137" t="str">
        <f>"8316730"</f>
        <v>8316730</v>
      </c>
      <c r="D16137" t="s">
        <v>49416</v>
      </c>
      <c r="F16137" t="s">
        <v>49417</v>
      </c>
      <c r="I16137" t="s">
        <v>29</v>
      </c>
      <c r="J16137" t="s">
        <v>30</v>
      </c>
      <c r="K16137" t="s">
        <v>36684</v>
      </c>
      <c r="M16137" t="s">
        <v>17861</v>
      </c>
      <c r="N16137" t="str">
        <f>"12/3/2021 1:15:00 PM"</f>
        <v>12/3/2021 1:15:00 PM</v>
      </c>
      <c r="O16137" t="s">
        <v>49416</v>
      </c>
    </row>
    <row r="16138" spans="1:20" x14ac:dyDescent="0.25">
      <c r="A16138" t="str">
        <f>"3058501"</f>
        <v>3058501</v>
      </c>
      <c r="B16138" t="s">
        <v>49418</v>
      </c>
      <c r="C16138" t="str">
        <f>"8316946"</f>
        <v>8316946</v>
      </c>
      <c r="D16138" t="s">
        <v>49419</v>
      </c>
      <c r="F16138" t="s">
        <v>49420</v>
      </c>
      <c r="I16138" t="s">
        <v>29</v>
      </c>
      <c r="J16138" t="s">
        <v>30</v>
      </c>
      <c r="K16138" t="s">
        <v>39454</v>
      </c>
      <c r="M16138" t="s">
        <v>17861</v>
      </c>
      <c r="N16138" t="str">
        <f>"12/17/2021 1:43:00 PM"</f>
        <v>12/17/2021 1:43:00 PM</v>
      </c>
      <c r="O16138" t="s">
        <v>49419</v>
      </c>
    </row>
    <row r="16139" spans="1:20" x14ac:dyDescent="0.25">
      <c r="A16139" t="str">
        <f>"3061837"</f>
        <v>3061837</v>
      </c>
      <c r="B16139" t="s">
        <v>49421</v>
      </c>
      <c r="C16139" t="str">
        <f>"8316948"</f>
        <v>8316948</v>
      </c>
      <c r="D16139" t="s">
        <v>49422</v>
      </c>
      <c r="E16139" t="s">
        <v>49423</v>
      </c>
      <c r="F16139" t="s">
        <v>49424</v>
      </c>
      <c r="I16139" t="s">
        <v>29</v>
      </c>
      <c r="J16139" t="s">
        <v>30</v>
      </c>
      <c r="K16139" t="str">
        <f>"27028"</f>
        <v>27028</v>
      </c>
      <c r="M16139" t="s">
        <v>17861</v>
      </c>
      <c r="N16139" t="str">
        <f>"12/17/2021 1:55:00 PM"</f>
        <v>12/17/2021 1:55:00 PM</v>
      </c>
      <c r="O16139" t="s">
        <v>49422</v>
      </c>
      <c r="T16139" t="s">
        <v>49423</v>
      </c>
    </row>
    <row r="16140" spans="1:20" x14ac:dyDescent="0.25">
      <c r="A16140" t="str">
        <f>"3038841"</f>
        <v>3038841</v>
      </c>
      <c r="B16140" t="s">
        <v>49425</v>
      </c>
      <c r="C16140" t="str">
        <f>"8316949"</f>
        <v>8316949</v>
      </c>
      <c r="D16140" t="s">
        <v>49426</v>
      </c>
      <c r="F16140" t="s">
        <v>49427</v>
      </c>
      <c r="I16140" t="s">
        <v>29</v>
      </c>
      <c r="J16140" t="s">
        <v>30</v>
      </c>
      <c r="K16140" t="s">
        <v>49428</v>
      </c>
      <c r="M16140" t="s">
        <v>17861</v>
      </c>
      <c r="N16140" t="str">
        <f>"12/17/2021 1:58:00 PM"</f>
        <v>12/17/2021 1:58:00 PM</v>
      </c>
      <c r="O16140" t="s">
        <v>49426</v>
      </c>
    </row>
    <row r="16141" spans="1:20" x14ac:dyDescent="0.25">
      <c r="A16141" t="str">
        <f>"3039182"</f>
        <v>3039182</v>
      </c>
      <c r="B16141" t="s">
        <v>49429</v>
      </c>
      <c r="C16141" t="str">
        <f>"8316949"</f>
        <v>8316949</v>
      </c>
      <c r="D16141" t="s">
        <v>49426</v>
      </c>
      <c r="F16141" t="s">
        <v>49427</v>
      </c>
      <c r="I16141" t="s">
        <v>29</v>
      </c>
      <c r="J16141" t="s">
        <v>30</v>
      </c>
      <c r="K16141" t="s">
        <v>49428</v>
      </c>
      <c r="M16141" t="s">
        <v>17861</v>
      </c>
      <c r="N16141" t="str">
        <f>"12/17/2021 1:58:00 PM"</f>
        <v>12/17/2021 1:58:00 PM</v>
      </c>
      <c r="O16141" t="s">
        <v>49426</v>
      </c>
    </row>
    <row r="16142" spans="1:20" x14ac:dyDescent="0.25">
      <c r="A16142" t="str">
        <f>"3039171"</f>
        <v>3039171</v>
      </c>
      <c r="B16142" t="s">
        <v>49430</v>
      </c>
      <c r="C16142" t="str">
        <f>"8316949"</f>
        <v>8316949</v>
      </c>
      <c r="D16142" t="s">
        <v>49426</v>
      </c>
      <c r="F16142" t="s">
        <v>49427</v>
      </c>
      <c r="I16142" t="s">
        <v>29</v>
      </c>
      <c r="J16142" t="s">
        <v>30</v>
      </c>
      <c r="K16142" t="s">
        <v>49428</v>
      </c>
      <c r="M16142" t="s">
        <v>17861</v>
      </c>
      <c r="N16142" t="str">
        <f>"12/17/2021 1:58:00 PM"</f>
        <v>12/17/2021 1:58:00 PM</v>
      </c>
      <c r="O16142" t="s">
        <v>49426</v>
      </c>
    </row>
    <row r="16143" spans="1:20" x14ac:dyDescent="0.25">
      <c r="A16143" t="str">
        <f>"3037996"</f>
        <v>3037996</v>
      </c>
      <c r="B16143" t="s">
        <v>49431</v>
      </c>
      <c r="C16143" t="str">
        <f>"8316949"</f>
        <v>8316949</v>
      </c>
      <c r="D16143" t="s">
        <v>49426</v>
      </c>
      <c r="F16143" t="s">
        <v>49427</v>
      </c>
      <c r="I16143" t="s">
        <v>29</v>
      </c>
      <c r="J16143" t="s">
        <v>30</v>
      </c>
      <c r="K16143" t="s">
        <v>49428</v>
      </c>
      <c r="M16143" t="s">
        <v>17861</v>
      </c>
      <c r="N16143" t="str">
        <f>"12/17/2021 1:58:00 PM"</f>
        <v>12/17/2021 1:58:00 PM</v>
      </c>
      <c r="O16143" t="s">
        <v>49426</v>
      </c>
    </row>
    <row r="16144" spans="1:20" x14ac:dyDescent="0.25">
      <c r="A16144" t="str">
        <f>"3055620"</f>
        <v>3055620</v>
      </c>
      <c r="B16144" t="s">
        <v>49432</v>
      </c>
      <c r="C16144" t="str">
        <f>"8316950"</f>
        <v>8316950</v>
      </c>
      <c r="D16144" t="s">
        <v>49433</v>
      </c>
      <c r="F16144" t="s">
        <v>49434</v>
      </c>
      <c r="I16144" t="s">
        <v>7917</v>
      </c>
      <c r="J16144" t="s">
        <v>30</v>
      </c>
      <c r="K16144" t="s">
        <v>49435</v>
      </c>
      <c r="M16144" t="s">
        <v>17861</v>
      </c>
      <c r="N16144" t="str">
        <f>"12/17/2021 2:04:00 PM"</f>
        <v>12/17/2021 2:04:00 PM</v>
      </c>
      <c r="O16144" t="s">
        <v>49433</v>
      </c>
    </row>
    <row r="16145" spans="1:20" x14ac:dyDescent="0.25">
      <c r="A16145" t="str">
        <f>"3038067"</f>
        <v>3038067</v>
      </c>
      <c r="B16145" t="s">
        <v>49436</v>
      </c>
      <c r="C16145" t="str">
        <f>"8316860"</f>
        <v>8316860</v>
      </c>
      <c r="D16145" t="s">
        <v>38260</v>
      </c>
      <c r="E16145" t="s">
        <v>49437</v>
      </c>
      <c r="F16145" t="s">
        <v>38262</v>
      </c>
      <c r="I16145" t="s">
        <v>29</v>
      </c>
      <c r="J16145" t="s">
        <v>30</v>
      </c>
      <c r="K16145" t="s">
        <v>49438</v>
      </c>
      <c r="M16145" t="s">
        <v>17861</v>
      </c>
      <c r="N16145" t="str">
        <f>"12/6/2021 9:08:00 AM"</f>
        <v>12/6/2021 9:08:00 AM</v>
      </c>
      <c r="O16145" t="s">
        <v>38260</v>
      </c>
      <c r="T16145" t="s">
        <v>49437</v>
      </c>
    </row>
    <row r="16146" spans="1:20" x14ac:dyDescent="0.25">
      <c r="A16146" t="str">
        <f>"3056964"</f>
        <v>3056964</v>
      </c>
      <c r="B16146" t="s">
        <v>49439</v>
      </c>
      <c r="C16146" t="str">
        <f>"8305735"</f>
        <v>8305735</v>
      </c>
      <c r="D16146" t="s">
        <v>49440</v>
      </c>
      <c r="F16146" t="s">
        <v>49441</v>
      </c>
      <c r="I16146" t="s">
        <v>29</v>
      </c>
      <c r="J16146" t="s">
        <v>30</v>
      </c>
      <c r="K16146" t="str">
        <f>"27028"</f>
        <v>27028</v>
      </c>
      <c r="M16146" t="s">
        <v>33845</v>
      </c>
      <c r="N16146" t="str">
        <f>"12/7/2021 10:17:00 AM"</f>
        <v>12/7/2021 10:17:00 AM</v>
      </c>
      <c r="O16146" t="s">
        <v>49440</v>
      </c>
    </row>
    <row r="16147" spans="1:20" x14ac:dyDescent="0.25">
      <c r="A16147" t="str">
        <f>"3055126"</f>
        <v>3055126</v>
      </c>
      <c r="B16147" t="s">
        <v>49442</v>
      </c>
      <c r="C16147" t="str">
        <f>"8304383"</f>
        <v>8304383</v>
      </c>
      <c r="D16147" t="s">
        <v>49443</v>
      </c>
      <c r="E16147" t="s">
        <v>49444</v>
      </c>
      <c r="F16147" t="s">
        <v>49445</v>
      </c>
      <c r="I16147" t="s">
        <v>29</v>
      </c>
      <c r="J16147" t="s">
        <v>30</v>
      </c>
      <c r="K16147" t="str">
        <f>"27028"</f>
        <v>27028</v>
      </c>
      <c r="M16147" t="s">
        <v>25733</v>
      </c>
      <c r="N16147" t="str">
        <f>"12/20/2021 9:15:00 AM"</f>
        <v>12/20/2021 9:15:00 AM</v>
      </c>
      <c r="O16147" t="s">
        <v>49443</v>
      </c>
      <c r="T16147" t="s">
        <v>49444</v>
      </c>
    </row>
    <row r="16148" spans="1:20" x14ac:dyDescent="0.25">
      <c r="A16148" t="str">
        <f>"3054921"</f>
        <v>3054921</v>
      </c>
      <c r="B16148" t="s">
        <v>49446</v>
      </c>
      <c r="C16148" t="str">
        <f>"8304383"</f>
        <v>8304383</v>
      </c>
      <c r="D16148" t="s">
        <v>49443</v>
      </c>
      <c r="E16148" t="s">
        <v>49444</v>
      </c>
      <c r="F16148" t="s">
        <v>49445</v>
      </c>
      <c r="I16148" t="s">
        <v>29</v>
      </c>
      <c r="J16148" t="s">
        <v>30</v>
      </c>
      <c r="K16148" t="str">
        <f>"27028"</f>
        <v>27028</v>
      </c>
      <c r="M16148" t="s">
        <v>25733</v>
      </c>
      <c r="N16148" t="str">
        <f>"12/20/2021 9:15:00 AM"</f>
        <v>12/20/2021 9:15:00 AM</v>
      </c>
      <c r="O16148" t="s">
        <v>49443</v>
      </c>
      <c r="T16148" t="s">
        <v>49444</v>
      </c>
    </row>
    <row r="16149" spans="1:20" x14ac:dyDescent="0.25">
      <c r="A16149" t="str">
        <f>"3042741"</f>
        <v>3042741</v>
      </c>
      <c r="B16149" t="s">
        <v>49447</v>
      </c>
      <c r="C16149" t="str">
        <f>"8300335"</f>
        <v>8300335</v>
      </c>
      <c r="D16149" t="s">
        <v>49448</v>
      </c>
      <c r="F16149" t="s">
        <v>49449</v>
      </c>
      <c r="I16149" t="s">
        <v>29</v>
      </c>
      <c r="J16149" t="s">
        <v>30</v>
      </c>
      <c r="K16149" t="s">
        <v>49450</v>
      </c>
      <c r="M16149" t="s">
        <v>33432</v>
      </c>
      <c r="N16149" t="str">
        <f>"12/20/2021 12:55:00 PM"</f>
        <v>12/20/2021 12:55:00 PM</v>
      </c>
      <c r="O16149" t="s">
        <v>49448</v>
      </c>
    </row>
    <row r="16150" spans="1:20" x14ac:dyDescent="0.25">
      <c r="A16150" t="str">
        <f>"3050986"</f>
        <v>3050986</v>
      </c>
      <c r="B16150" t="s">
        <v>49451</v>
      </c>
      <c r="C16150" t="str">
        <f>"8316958"</f>
        <v>8316958</v>
      </c>
      <c r="D16150" t="s">
        <v>49452</v>
      </c>
      <c r="E16150" t="s">
        <v>49453</v>
      </c>
      <c r="F16150" t="s">
        <v>49454</v>
      </c>
      <c r="I16150" t="s">
        <v>29</v>
      </c>
      <c r="J16150" t="s">
        <v>30</v>
      </c>
      <c r="K16150" t="s">
        <v>11912</v>
      </c>
      <c r="M16150" t="s">
        <v>17861</v>
      </c>
      <c r="N16150" t="str">
        <f>"12/20/2021 3:38:00 PM"</f>
        <v>12/20/2021 3:38:00 PM</v>
      </c>
      <c r="O16150" t="s">
        <v>49452</v>
      </c>
      <c r="T16150" t="s">
        <v>49453</v>
      </c>
    </row>
    <row r="16151" spans="1:20" x14ac:dyDescent="0.25">
      <c r="A16151" t="str">
        <f>"3048064"</f>
        <v>3048064</v>
      </c>
      <c r="B16151" t="s">
        <v>49455</v>
      </c>
      <c r="C16151" t="str">
        <f>"8305956"</f>
        <v>8305956</v>
      </c>
      <c r="D16151" t="s">
        <v>49456</v>
      </c>
      <c r="E16151" t="s">
        <v>49457</v>
      </c>
      <c r="F16151" t="s">
        <v>49458</v>
      </c>
      <c r="I16151" t="s">
        <v>184</v>
      </c>
      <c r="J16151" t="s">
        <v>30</v>
      </c>
      <c r="K16151" t="s">
        <v>7905</v>
      </c>
      <c r="M16151" t="s">
        <v>25733</v>
      </c>
      <c r="N16151" t="str">
        <f>"12/21/2021 10:46:00 AM"</f>
        <v>12/21/2021 10:46:00 AM</v>
      </c>
      <c r="O16151" t="s">
        <v>49456</v>
      </c>
      <c r="T16151" t="s">
        <v>49457</v>
      </c>
    </row>
    <row r="16152" spans="1:20" x14ac:dyDescent="0.25">
      <c r="A16152" t="str">
        <f>"3048308"</f>
        <v>3048308</v>
      </c>
      <c r="B16152" t="s">
        <v>49459</v>
      </c>
      <c r="C16152" t="str">
        <f>"8305956"</f>
        <v>8305956</v>
      </c>
      <c r="D16152" t="s">
        <v>49456</v>
      </c>
      <c r="E16152" t="s">
        <v>49457</v>
      </c>
      <c r="F16152" t="s">
        <v>49458</v>
      </c>
      <c r="I16152" t="s">
        <v>184</v>
      </c>
      <c r="J16152" t="s">
        <v>30</v>
      </c>
      <c r="K16152" t="s">
        <v>7905</v>
      </c>
      <c r="M16152" t="s">
        <v>25733</v>
      </c>
      <c r="N16152" t="str">
        <f>"12/21/2021 10:46:00 AM"</f>
        <v>12/21/2021 10:46:00 AM</v>
      </c>
      <c r="O16152" t="s">
        <v>49456</v>
      </c>
      <c r="T16152" t="s">
        <v>49457</v>
      </c>
    </row>
    <row r="16153" spans="1:20" x14ac:dyDescent="0.25">
      <c r="A16153" t="str">
        <f>"3047637"</f>
        <v>3047637</v>
      </c>
      <c r="B16153" t="s">
        <v>49460</v>
      </c>
      <c r="C16153" t="str">
        <f>"8305956"</f>
        <v>8305956</v>
      </c>
      <c r="D16153" t="s">
        <v>49456</v>
      </c>
      <c r="E16153" t="s">
        <v>49457</v>
      </c>
      <c r="F16153" t="s">
        <v>49458</v>
      </c>
      <c r="I16153" t="s">
        <v>184</v>
      </c>
      <c r="J16153" t="s">
        <v>30</v>
      </c>
      <c r="K16153" t="s">
        <v>7905</v>
      </c>
      <c r="M16153" t="s">
        <v>25733</v>
      </c>
      <c r="N16153" t="str">
        <f>"12/21/2021 10:46:00 AM"</f>
        <v>12/21/2021 10:46:00 AM</v>
      </c>
      <c r="O16153" t="s">
        <v>49456</v>
      </c>
      <c r="T16153" t="s">
        <v>49457</v>
      </c>
    </row>
    <row r="16154" spans="1:20" x14ac:dyDescent="0.25">
      <c r="A16154" t="str">
        <f>"3047541"</f>
        <v>3047541</v>
      </c>
      <c r="B16154" t="s">
        <v>49461</v>
      </c>
      <c r="C16154" t="str">
        <f>"8305956"</f>
        <v>8305956</v>
      </c>
      <c r="D16154" t="s">
        <v>49456</v>
      </c>
      <c r="E16154" t="s">
        <v>49457</v>
      </c>
      <c r="F16154" t="s">
        <v>49458</v>
      </c>
      <c r="I16154" t="s">
        <v>184</v>
      </c>
      <c r="J16154" t="s">
        <v>30</v>
      </c>
      <c r="K16154" t="s">
        <v>7905</v>
      </c>
      <c r="M16154" t="s">
        <v>25733</v>
      </c>
      <c r="N16154" t="str">
        <f>"12/21/2021 10:46:00 AM"</f>
        <v>12/21/2021 10:46:00 AM</v>
      </c>
      <c r="O16154" t="s">
        <v>49456</v>
      </c>
      <c r="T16154" t="s">
        <v>49457</v>
      </c>
    </row>
    <row r="16155" spans="1:20" x14ac:dyDescent="0.25">
      <c r="A16155" t="str">
        <f>"3043775"</f>
        <v>3043775</v>
      </c>
      <c r="B16155" t="s">
        <v>49462</v>
      </c>
      <c r="C16155" t="str">
        <f>"82528744"</f>
        <v>82528744</v>
      </c>
      <c r="D16155" t="s">
        <v>49463</v>
      </c>
      <c r="E16155" t="s">
        <v>49464</v>
      </c>
      <c r="F16155" t="s">
        <v>49465</v>
      </c>
      <c r="I16155" t="s">
        <v>29</v>
      </c>
      <c r="J16155" t="s">
        <v>30</v>
      </c>
      <c r="K16155" t="s">
        <v>31</v>
      </c>
      <c r="M16155" t="s">
        <v>25733</v>
      </c>
      <c r="N16155" t="str">
        <f>"12/7/2021 10:51:00 AM"</f>
        <v>12/7/2021 10:51:00 AM</v>
      </c>
      <c r="O16155" t="s">
        <v>49463</v>
      </c>
      <c r="T16155" t="s">
        <v>49464</v>
      </c>
    </row>
    <row r="16156" spans="1:20" x14ac:dyDescent="0.25">
      <c r="A16156" t="str">
        <f>"3060750"</f>
        <v>3060750</v>
      </c>
      <c r="B16156" t="s">
        <v>49466</v>
      </c>
      <c r="C16156" t="str">
        <f>"82522784"</f>
        <v>82522784</v>
      </c>
      <c r="D16156" t="s">
        <v>49467</v>
      </c>
      <c r="E16156" t="s">
        <v>49468</v>
      </c>
      <c r="F16156" t="s">
        <v>49469</v>
      </c>
      <c r="I16156" t="s">
        <v>184</v>
      </c>
      <c r="J16156" t="s">
        <v>30</v>
      </c>
      <c r="K16156" t="s">
        <v>5041</v>
      </c>
      <c r="M16156" t="s">
        <v>25733</v>
      </c>
      <c r="N16156" t="str">
        <f>"12/8/2021 10:05:00 AM"</f>
        <v>12/8/2021 10:05:00 AM</v>
      </c>
      <c r="O16156" t="s">
        <v>49467</v>
      </c>
      <c r="T16156" t="s">
        <v>49468</v>
      </c>
    </row>
    <row r="16157" spans="1:20" x14ac:dyDescent="0.25">
      <c r="A16157" t="str">
        <f>"3053108"</f>
        <v>3053108</v>
      </c>
      <c r="B16157" t="s">
        <v>49470</v>
      </c>
      <c r="C16157" t="str">
        <f>"8316966"</f>
        <v>8316966</v>
      </c>
      <c r="D16157" t="s">
        <v>49471</v>
      </c>
      <c r="E16157" t="s">
        <v>49472</v>
      </c>
      <c r="F16157" t="s">
        <v>49473</v>
      </c>
      <c r="I16157" t="s">
        <v>29</v>
      </c>
      <c r="J16157" t="s">
        <v>30</v>
      </c>
      <c r="K16157" t="s">
        <v>12362</v>
      </c>
      <c r="M16157" t="s">
        <v>17861</v>
      </c>
      <c r="N16157" t="str">
        <f>"12/22/2021 2:24:00 PM"</f>
        <v>12/22/2021 2:24:00 PM</v>
      </c>
      <c r="O16157" t="s">
        <v>49471</v>
      </c>
      <c r="T16157" t="s">
        <v>49472</v>
      </c>
    </row>
    <row r="16158" spans="1:20" x14ac:dyDescent="0.25">
      <c r="A16158" t="str">
        <f>"3045716"</f>
        <v>3045716</v>
      </c>
      <c r="B16158" t="s">
        <v>49474</v>
      </c>
      <c r="C16158" t="str">
        <f>"8316968"</f>
        <v>8316968</v>
      </c>
      <c r="D16158" t="s">
        <v>49475</v>
      </c>
      <c r="F16158" t="s">
        <v>49476</v>
      </c>
      <c r="I16158" t="s">
        <v>1149</v>
      </c>
      <c r="J16158" t="s">
        <v>30</v>
      </c>
      <c r="K16158" t="s">
        <v>37912</v>
      </c>
      <c r="M16158" t="s">
        <v>17861</v>
      </c>
      <c r="N16158" t="str">
        <f>"12/22/2021 3:23:00 PM"</f>
        <v>12/22/2021 3:23:00 PM</v>
      </c>
      <c r="O16158" t="s">
        <v>49475</v>
      </c>
    </row>
    <row r="16159" spans="1:20" x14ac:dyDescent="0.25">
      <c r="A16159" t="str">
        <f>"3058212"</f>
        <v>3058212</v>
      </c>
      <c r="B16159" t="s">
        <v>49477</v>
      </c>
      <c r="C16159" t="str">
        <f>"8316969"</f>
        <v>8316969</v>
      </c>
      <c r="D16159" t="s">
        <v>49478</v>
      </c>
      <c r="F16159" t="s">
        <v>49479</v>
      </c>
      <c r="I16159" t="s">
        <v>29</v>
      </c>
      <c r="J16159" t="s">
        <v>30</v>
      </c>
      <c r="K16159" t="s">
        <v>14752</v>
      </c>
      <c r="M16159" t="s">
        <v>17861</v>
      </c>
      <c r="N16159" t="str">
        <f>"12/22/2021 3:27:00 PM"</f>
        <v>12/22/2021 3:27:00 PM</v>
      </c>
      <c r="O16159" t="s">
        <v>49478</v>
      </c>
    </row>
    <row r="16160" spans="1:20" x14ac:dyDescent="0.25">
      <c r="A16160" t="str">
        <f>"3048605"</f>
        <v>3048605</v>
      </c>
      <c r="B16160" t="s">
        <v>49480</v>
      </c>
      <c r="C16160" t="str">
        <f>"8316971"</f>
        <v>8316971</v>
      </c>
      <c r="D16160" t="s">
        <v>49481</v>
      </c>
      <c r="E16160" t="s">
        <v>49482</v>
      </c>
      <c r="F16160" t="s">
        <v>49483</v>
      </c>
      <c r="I16160" t="s">
        <v>184</v>
      </c>
      <c r="J16160" t="s">
        <v>30</v>
      </c>
      <c r="K16160" t="s">
        <v>9070</v>
      </c>
      <c r="M16160" t="s">
        <v>17861</v>
      </c>
      <c r="N16160" t="str">
        <f>"12/22/2021 3:31:00 PM"</f>
        <v>12/22/2021 3:31:00 PM</v>
      </c>
      <c r="O16160" t="s">
        <v>49481</v>
      </c>
      <c r="T16160" t="s">
        <v>49482</v>
      </c>
    </row>
    <row r="16161" spans="1:20" x14ac:dyDescent="0.25">
      <c r="A16161" t="str">
        <f>"3076700"</f>
        <v>3076700</v>
      </c>
      <c r="B16161" t="s">
        <v>49484</v>
      </c>
      <c r="C16161" t="str">
        <f>"8316972"</f>
        <v>8316972</v>
      </c>
      <c r="D16161" t="s">
        <v>49485</v>
      </c>
      <c r="F16161" t="s">
        <v>48110</v>
      </c>
      <c r="I16161" t="s">
        <v>29</v>
      </c>
      <c r="J16161" t="s">
        <v>30</v>
      </c>
      <c r="K16161" t="s">
        <v>23508</v>
      </c>
      <c r="M16161" t="s">
        <v>17861</v>
      </c>
      <c r="N16161" t="str">
        <f>"12/22/2021 3:33:00 PM"</f>
        <v>12/22/2021 3:33:00 PM</v>
      </c>
      <c r="O16161" t="s">
        <v>49485</v>
      </c>
    </row>
    <row r="16162" spans="1:20" x14ac:dyDescent="0.25">
      <c r="A16162" t="str">
        <f>"3062081"</f>
        <v>3062081</v>
      </c>
      <c r="B16162" t="s">
        <v>49486</v>
      </c>
      <c r="C16162" t="str">
        <f>"8316973"</f>
        <v>8316973</v>
      </c>
      <c r="D16162" t="s">
        <v>49487</v>
      </c>
      <c r="E16162" t="s">
        <v>49488</v>
      </c>
      <c r="F16162" t="s">
        <v>49489</v>
      </c>
      <c r="I16162" t="s">
        <v>29</v>
      </c>
      <c r="J16162" t="s">
        <v>30</v>
      </c>
      <c r="K16162" t="s">
        <v>1124</v>
      </c>
      <c r="M16162" t="s">
        <v>17861</v>
      </c>
      <c r="N16162" t="str">
        <f>"12/22/2021 3:36:00 PM"</f>
        <v>12/22/2021 3:36:00 PM</v>
      </c>
      <c r="O16162" t="s">
        <v>49487</v>
      </c>
      <c r="T16162" t="s">
        <v>49488</v>
      </c>
    </row>
    <row r="16163" spans="1:20" x14ac:dyDescent="0.25">
      <c r="A16163" t="str">
        <f>"3051693"</f>
        <v>3051693</v>
      </c>
      <c r="B16163" t="s">
        <v>49490</v>
      </c>
      <c r="C16163" t="str">
        <f>"8316975"</f>
        <v>8316975</v>
      </c>
      <c r="D16163" t="s">
        <v>49491</v>
      </c>
      <c r="F16163" t="s">
        <v>49492</v>
      </c>
      <c r="I16163" t="s">
        <v>8536</v>
      </c>
      <c r="J16163" t="s">
        <v>30</v>
      </c>
      <c r="K16163" t="s">
        <v>49493</v>
      </c>
      <c r="M16163" t="s">
        <v>17861</v>
      </c>
      <c r="N16163" t="str">
        <f>"12/22/2021 3:40:00 PM"</f>
        <v>12/22/2021 3:40:00 PM</v>
      </c>
      <c r="O16163" t="s">
        <v>49491</v>
      </c>
    </row>
    <row r="16164" spans="1:20" x14ac:dyDescent="0.25">
      <c r="A16164" t="str">
        <f>"3052062"</f>
        <v>3052062</v>
      </c>
      <c r="B16164" t="s">
        <v>49494</v>
      </c>
      <c r="C16164" t="str">
        <f>"8316977"</f>
        <v>8316977</v>
      </c>
      <c r="D16164" t="s">
        <v>49495</v>
      </c>
      <c r="F16164" t="s">
        <v>49496</v>
      </c>
      <c r="I16164" t="s">
        <v>29</v>
      </c>
      <c r="J16164" t="s">
        <v>30</v>
      </c>
      <c r="K16164" t="s">
        <v>49497</v>
      </c>
      <c r="M16164" t="s">
        <v>17861</v>
      </c>
      <c r="N16164" t="str">
        <f>"12/22/2021 3:53:00 PM"</f>
        <v>12/22/2021 3:53:00 PM</v>
      </c>
      <c r="O16164" t="s">
        <v>49495</v>
      </c>
    </row>
    <row r="16165" spans="1:20" x14ac:dyDescent="0.25">
      <c r="A16165" t="str">
        <f>"3042684"</f>
        <v>3042684</v>
      </c>
      <c r="B16165" t="s">
        <v>49498</v>
      </c>
      <c r="C16165" t="str">
        <f>"8316871"</f>
        <v>8316871</v>
      </c>
      <c r="D16165" t="s">
        <v>49499</v>
      </c>
      <c r="F16165" t="s">
        <v>49500</v>
      </c>
      <c r="I16165" t="s">
        <v>29</v>
      </c>
      <c r="J16165" t="s">
        <v>30</v>
      </c>
      <c r="K16165" t="s">
        <v>38854</v>
      </c>
      <c r="M16165" t="s">
        <v>17861</v>
      </c>
      <c r="N16165" t="str">
        <f>"12/8/2021 4:08:00 PM"</f>
        <v>12/8/2021 4:08:00 PM</v>
      </c>
      <c r="O16165" t="s">
        <v>49499</v>
      </c>
    </row>
    <row r="16166" spans="1:20" x14ac:dyDescent="0.25">
      <c r="A16166" t="str">
        <f>"3055400"</f>
        <v>3055400</v>
      </c>
      <c r="B16166" t="s">
        <v>49501</v>
      </c>
      <c r="C16166" t="str">
        <f>"8316872"</f>
        <v>8316872</v>
      </c>
      <c r="D16166" t="s">
        <v>49502</v>
      </c>
      <c r="F16166" t="s">
        <v>49503</v>
      </c>
      <c r="I16166" t="s">
        <v>29</v>
      </c>
      <c r="J16166" t="s">
        <v>30</v>
      </c>
      <c r="K16166" t="s">
        <v>36663</v>
      </c>
      <c r="M16166" t="s">
        <v>17861</v>
      </c>
      <c r="N16166" t="str">
        <f>"12/8/2021 4:12:00 PM"</f>
        <v>12/8/2021 4:12:00 PM</v>
      </c>
      <c r="O16166" t="s">
        <v>49502</v>
      </c>
    </row>
    <row r="16167" spans="1:20" x14ac:dyDescent="0.25">
      <c r="A16167" t="str">
        <f>"3050138"</f>
        <v>3050138</v>
      </c>
      <c r="B16167" t="s">
        <v>49504</v>
      </c>
      <c r="C16167" t="str">
        <f>"30504000"</f>
        <v>30504000</v>
      </c>
      <c r="D16167" t="s">
        <v>49505</v>
      </c>
      <c r="F16167" t="s">
        <v>49506</v>
      </c>
      <c r="I16167" t="s">
        <v>49507</v>
      </c>
      <c r="J16167" t="s">
        <v>4132</v>
      </c>
      <c r="K16167" t="s">
        <v>49508</v>
      </c>
      <c r="M16167" t="s">
        <v>25733</v>
      </c>
      <c r="N16167" t="str">
        <f>"12/9/2021 1:31:00 PM"</f>
        <v>12/9/2021 1:31:00 PM</v>
      </c>
      <c r="O16167" t="s">
        <v>49505</v>
      </c>
    </row>
    <row r="16168" spans="1:20" x14ac:dyDescent="0.25">
      <c r="A16168" t="str">
        <f>"3039778"</f>
        <v>3039778</v>
      </c>
      <c r="B16168" t="s">
        <v>49509</v>
      </c>
      <c r="C16168" t="str">
        <f>"8316984"</f>
        <v>8316984</v>
      </c>
      <c r="D16168" t="s">
        <v>49510</v>
      </c>
      <c r="F16168" t="s">
        <v>49511</v>
      </c>
      <c r="I16168" t="s">
        <v>29</v>
      </c>
      <c r="J16168" t="s">
        <v>30</v>
      </c>
      <c r="K16168" t="s">
        <v>24265</v>
      </c>
      <c r="M16168" t="s">
        <v>17861</v>
      </c>
      <c r="N16168" t="str">
        <f>"12/28/2021 1:33:00 PM"</f>
        <v>12/28/2021 1:33:00 PM</v>
      </c>
      <c r="O16168" t="s">
        <v>49510</v>
      </c>
    </row>
    <row r="16169" spans="1:20" x14ac:dyDescent="0.25">
      <c r="A16169" t="str">
        <f>"3060857"</f>
        <v>3060857</v>
      </c>
      <c r="B16169" t="s">
        <v>49512</v>
      </c>
      <c r="C16169" t="str">
        <f>"8316989"</f>
        <v>8316989</v>
      </c>
      <c r="D16169" t="s">
        <v>49513</v>
      </c>
      <c r="E16169" t="s">
        <v>49514</v>
      </c>
      <c r="F16169" t="s">
        <v>49515</v>
      </c>
      <c r="I16169" t="s">
        <v>184</v>
      </c>
      <c r="J16169" t="s">
        <v>30</v>
      </c>
      <c r="K16169" t="s">
        <v>4808</v>
      </c>
      <c r="M16169" t="s">
        <v>17861</v>
      </c>
      <c r="N16169" t="str">
        <f>"12/28/2021 2:33:00 PM"</f>
        <v>12/28/2021 2:33:00 PM</v>
      </c>
      <c r="O16169" t="s">
        <v>49513</v>
      </c>
      <c r="T16169" t="s">
        <v>49514</v>
      </c>
    </row>
    <row r="16170" spans="1:20" x14ac:dyDescent="0.25">
      <c r="A16170" t="str">
        <f>"3077653"</f>
        <v>3077653</v>
      </c>
      <c r="B16170" t="s">
        <v>49516</v>
      </c>
      <c r="C16170" t="str">
        <f>"82526552"</f>
        <v>82526552</v>
      </c>
      <c r="D16170" t="s">
        <v>49517</v>
      </c>
      <c r="F16170" t="s">
        <v>49518</v>
      </c>
      <c r="I16170" t="s">
        <v>29</v>
      </c>
      <c r="J16170" t="s">
        <v>30</v>
      </c>
      <c r="K16170" t="s">
        <v>14501</v>
      </c>
      <c r="M16170" t="s">
        <v>25733</v>
      </c>
      <c r="N16170" t="str">
        <f>"12/10/2021 10:02:00 AM"</f>
        <v>12/10/2021 10:02:00 AM</v>
      </c>
      <c r="O16170" t="s">
        <v>49517</v>
      </c>
    </row>
    <row r="16171" spans="1:20" x14ac:dyDescent="0.25">
      <c r="A16171" t="str">
        <f>"3048775"</f>
        <v>3048775</v>
      </c>
      <c r="B16171" t="s">
        <v>49519</v>
      </c>
      <c r="C16171" t="str">
        <f>"8314713"</f>
        <v>8314713</v>
      </c>
      <c r="D16171" t="s">
        <v>49520</v>
      </c>
      <c r="F16171" t="s">
        <v>11695</v>
      </c>
      <c r="I16171" t="s">
        <v>11696</v>
      </c>
      <c r="J16171" t="s">
        <v>11697</v>
      </c>
      <c r="K16171" t="str">
        <f>"93275"</f>
        <v>93275</v>
      </c>
      <c r="M16171" t="s">
        <v>18470</v>
      </c>
      <c r="N16171" t="str">
        <f>"12/14/2021 9:28:00 AM"</f>
        <v>12/14/2021 9:28:00 AM</v>
      </c>
      <c r="O16171" t="s">
        <v>49520</v>
      </c>
    </row>
    <row r="16172" spans="1:20" x14ac:dyDescent="0.25">
      <c r="A16172" t="str">
        <f>"3059557"</f>
        <v>3059557</v>
      </c>
      <c r="B16172" t="s">
        <v>49521</v>
      </c>
      <c r="C16172" t="str">
        <f>"8316993"</f>
        <v>8316993</v>
      </c>
      <c r="D16172" t="s">
        <v>49522</v>
      </c>
      <c r="F16172" t="s">
        <v>49523</v>
      </c>
      <c r="I16172" t="s">
        <v>29</v>
      </c>
      <c r="J16172" t="s">
        <v>30</v>
      </c>
      <c r="K16172" t="s">
        <v>29062</v>
      </c>
      <c r="M16172" t="s">
        <v>17861</v>
      </c>
      <c r="N16172" t="str">
        <f>"12/28/2021 4:17:00 PM"</f>
        <v>12/28/2021 4:17:00 PM</v>
      </c>
      <c r="O16172" t="s">
        <v>49522</v>
      </c>
    </row>
    <row r="16173" spans="1:20" x14ac:dyDescent="0.25">
      <c r="A16173" t="str">
        <f>"3044152"</f>
        <v>3044152</v>
      </c>
      <c r="B16173" t="s">
        <v>49524</v>
      </c>
      <c r="C16173" t="str">
        <f>"8316994"</f>
        <v>8316994</v>
      </c>
      <c r="D16173" t="s">
        <v>49525</v>
      </c>
      <c r="F16173" t="s">
        <v>49526</v>
      </c>
      <c r="I16173" t="s">
        <v>184</v>
      </c>
      <c r="J16173" t="s">
        <v>30</v>
      </c>
      <c r="K16173" t="s">
        <v>37923</v>
      </c>
      <c r="M16173" t="s">
        <v>17861</v>
      </c>
      <c r="N16173" t="str">
        <f>"12/28/2021 4:23:00 PM"</f>
        <v>12/28/2021 4:23:00 PM</v>
      </c>
      <c r="O16173" t="s">
        <v>49525</v>
      </c>
    </row>
    <row r="16174" spans="1:20" x14ac:dyDescent="0.25">
      <c r="A16174" t="str">
        <f>"3043954"</f>
        <v>3043954</v>
      </c>
      <c r="B16174" t="s">
        <v>49527</v>
      </c>
      <c r="C16174" t="str">
        <f>"8316994"</f>
        <v>8316994</v>
      </c>
      <c r="D16174" t="s">
        <v>49525</v>
      </c>
      <c r="F16174" t="s">
        <v>49526</v>
      </c>
      <c r="I16174" t="s">
        <v>184</v>
      </c>
      <c r="J16174" t="s">
        <v>30</v>
      </c>
      <c r="K16174" t="s">
        <v>37923</v>
      </c>
      <c r="M16174" t="s">
        <v>17861</v>
      </c>
      <c r="N16174" t="str">
        <f>"12/28/2021 4:23:00 PM"</f>
        <v>12/28/2021 4:23:00 PM</v>
      </c>
      <c r="O16174" t="s">
        <v>49525</v>
      </c>
    </row>
    <row r="16175" spans="1:20" x14ac:dyDescent="0.25">
      <c r="A16175" t="str">
        <f>"3043963"</f>
        <v>3043963</v>
      </c>
      <c r="B16175" t="s">
        <v>49528</v>
      </c>
      <c r="C16175" t="str">
        <f>"8316994"</f>
        <v>8316994</v>
      </c>
      <c r="D16175" t="s">
        <v>49525</v>
      </c>
      <c r="F16175" t="s">
        <v>49526</v>
      </c>
      <c r="I16175" t="s">
        <v>184</v>
      </c>
      <c r="J16175" t="s">
        <v>30</v>
      </c>
      <c r="K16175" t="s">
        <v>37923</v>
      </c>
      <c r="M16175" t="s">
        <v>17861</v>
      </c>
      <c r="N16175" t="str">
        <f>"12/28/2021 4:23:00 PM"</f>
        <v>12/28/2021 4:23:00 PM</v>
      </c>
      <c r="O16175" t="s">
        <v>49525</v>
      </c>
    </row>
    <row r="16176" spans="1:20" x14ac:dyDescent="0.25">
      <c r="A16176" t="str">
        <f>"3052815"</f>
        <v>3052815</v>
      </c>
      <c r="B16176" t="s">
        <v>49529</v>
      </c>
      <c r="C16176" t="str">
        <f>"8316995"</f>
        <v>8316995</v>
      </c>
      <c r="D16176" t="s">
        <v>49530</v>
      </c>
      <c r="F16176" t="s">
        <v>49531</v>
      </c>
      <c r="I16176" t="s">
        <v>29</v>
      </c>
      <c r="J16176" t="s">
        <v>30</v>
      </c>
      <c r="K16176" t="s">
        <v>39667</v>
      </c>
      <c r="M16176" t="s">
        <v>17861</v>
      </c>
      <c r="N16176" t="str">
        <f>"12/29/2021 8:17:00 AM"</f>
        <v>12/29/2021 8:17:00 AM</v>
      </c>
      <c r="O16176" t="s">
        <v>49530</v>
      </c>
    </row>
    <row r="16177" spans="1:20" x14ac:dyDescent="0.25">
      <c r="A16177" t="str">
        <f>"3061337"</f>
        <v>3061337</v>
      </c>
      <c r="B16177" t="s">
        <v>49532</v>
      </c>
      <c r="C16177" t="str">
        <f>"8316875"</f>
        <v>8316875</v>
      </c>
      <c r="D16177" t="s">
        <v>49533</v>
      </c>
      <c r="E16177" t="s">
        <v>49534</v>
      </c>
      <c r="F16177" t="s">
        <v>49535</v>
      </c>
      <c r="I16177" t="s">
        <v>184</v>
      </c>
      <c r="J16177" t="s">
        <v>30</v>
      </c>
      <c r="K16177" t="s">
        <v>43311</v>
      </c>
      <c r="M16177" t="s">
        <v>17861</v>
      </c>
      <c r="N16177" t="str">
        <f>"12/14/2021 10:27:00 AM"</f>
        <v>12/14/2021 10:27:00 AM</v>
      </c>
      <c r="O16177" t="s">
        <v>49533</v>
      </c>
      <c r="T16177" t="s">
        <v>49534</v>
      </c>
    </row>
    <row r="16178" spans="1:20" x14ac:dyDescent="0.25">
      <c r="A16178" t="str">
        <f>"3055117"</f>
        <v>3055117</v>
      </c>
      <c r="B16178" t="s">
        <v>49536</v>
      </c>
      <c r="C16178" t="str">
        <f>"77373100"</f>
        <v>77373100</v>
      </c>
      <c r="D16178" t="s">
        <v>49537</v>
      </c>
      <c r="E16178" t="s">
        <v>49538</v>
      </c>
      <c r="F16178" t="s">
        <v>49539</v>
      </c>
      <c r="I16178" t="s">
        <v>49540</v>
      </c>
      <c r="J16178" t="s">
        <v>1543</v>
      </c>
      <c r="K16178" t="s">
        <v>49541</v>
      </c>
      <c r="M16178" t="s">
        <v>36935</v>
      </c>
      <c r="N16178" t="str">
        <f>"12/29/2021 12:10:00 PM"</f>
        <v>12/29/2021 12:10:00 PM</v>
      </c>
      <c r="O16178" t="s">
        <v>49537</v>
      </c>
      <c r="T16178" t="s">
        <v>49538</v>
      </c>
    </row>
    <row r="16179" spans="1:20" x14ac:dyDescent="0.25">
      <c r="A16179" t="str">
        <f>"3042945"</f>
        <v>3042945</v>
      </c>
      <c r="B16179" t="s">
        <v>49542</v>
      </c>
      <c r="C16179" t="str">
        <f>"8316997"</f>
        <v>8316997</v>
      </c>
      <c r="D16179" t="s">
        <v>49543</v>
      </c>
      <c r="F16179" t="s">
        <v>49544</v>
      </c>
      <c r="I16179" t="s">
        <v>29</v>
      </c>
      <c r="J16179" t="s">
        <v>30</v>
      </c>
      <c r="K16179" t="s">
        <v>136</v>
      </c>
      <c r="M16179" t="s">
        <v>17861</v>
      </c>
      <c r="N16179" t="str">
        <f>"12/29/2021 12:56:00 PM"</f>
        <v>12/29/2021 12:56:00 PM</v>
      </c>
      <c r="O16179" t="s">
        <v>49543</v>
      </c>
    </row>
    <row r="16180" spans="1:20" x14ac:dyDescent="0.25">
      <c r="A16180" t="str">
        <f>"3042071"</f>
        <v>3042071</v>
      </c>
      <c r="B16180" t="s">
        <v>49545</v>
      </c>
      <c r="C16180" t="str">
        <f>"8316997"</f>
        <v>8316997</v>
      </c>
      <c r="D16180" t="s">
        <v>49543</v>
      </c>
      <c r="F16180" t="s">
        <v>49544</v>
      </c>
      <c r="I16180" t="s">
        <v>29</v>
      </c>
      <c r="J16180" t="s">
        <v>30</v>
      </c>
      <c r="K16180" t="s">
        <v>136</v>
      </c>
      <c r="M16180" t="s">
        <v>17861</v>
      </c>
      <c r="N16180" t="str">
        <f>"12/29/2021 12:56:00 PM"</f>
        <v>12/29/2021 12:56:00 PM</v>
      </c>
      <c r="O16180" t="s">
        <v>49543</v>
      </c>
    </row>
    <row r="16181" spans="1:20" x14ac:dyDescent="0.25">
      <c r="A16181" t="str">
        <f>"3038319"</f>
        <v>3038319</v>
      </c>
      <c r="B16181" t="s">
        <v>49546</v>
      </c>
      <c r="C16181" t="str">
        <f>"8314809"</f>
        <v>8314809</v>
      </c>
      <c r="D16181" t="s">
        <v>49547</v>
      </c>
      <c r="E16181" t="s">
        <v>49548</v>
      </c>
      <c r="F16181" t="s">
        <v>49549</v>
      </c>
      <c r="I16181" t="s">
        <v>17921</v>
      </c>
      <c r="J16181" t="s">
        <v>30</v>
      </c>
      <c r="K16181" t="s">
        <v>49550</v>
      </c>
      <c r="M16181" t="s">
        <v>33432</v>
      </c>
      <c r="N16181" t="str">
        <f>"12/29/2021 1:33:00 PM"</f>
        <v>12/29/2021 1:33:00 PM</v>
      </c>
      <c r="O16181" t="s">
        <v>49547</v>
      </c>
      <c r="T16181" t="s">
        <v>49548</v>
      </c>
    </row>
    <row r="16182" spans="1:20" x14ac:dyDescent="0.25">
      <c r="A16182" t="str">
        <f>"3043890"</f>
        <v>3043890</v>
      </c>
      <c r="B16182" t="s">
        <v>49551</v>
      </c>
      <c r="C16182" t="str">
        <f>"8316998"</f>
        <v>8316998</v>
      </c>
      <c r="D16182" t="s">
        <v>49552</v>
      </c>
      <c r="F16182" t="s">
        <v>49553</v>
      </c>
      <c r="I16182" t="s">
        <v>184</v>
      </c>
      <c r="J16182" t="s">
        <v>30</v>
      </c>
      <c r="K16182" t="s">
        <v>49554</v>
      </c>
      <c r="M16182" t="s">
        <v>17861</v>
      </c>
      <c r="N16182" t="str">
        <f>"12/29/2021 2:47:00 PM"</f>
        <v>12/29/2021 2:47:00 PM</v>
      </c>
      <c r="O16182" t="s">
        <v>49552</v>
      </c>
    </row>
    <row r="16183" spans="1:20" x14ac:dyDescent="0.25">
      <c r="A16183" t="str">
        <f>"3044066"</f>
        <v>3044066</v>
      </c>
      <c r="B16183" t="s">
        <v>49555</v>
      </c>
      <c r="C16183" t="str">
        <f>"8316998"</f>
        <v>8316998</v>
      </c>
      <c r="D16183" t="s">
        <v>49552</v>
      </c>
      <c r="F16183" t="s">
        <v>49553</v>
      </c>
      <c r="I16183" t="s">
        <v>184</v>
      </c>
      <c r="J16183" t="s">
        <v>30</v>
      </c>
      <c r="K16183" t="s">
        <v>49554</v>
      </c>
      <c r="M16183" t="s">
        <v>17861</v>
      </c>
      <c r="N16183" t="str">
        <f>"12/29/2021 2:47:00 PM"</f>
        <v>12/29/2021 2:47:00 PM</v>
      </c>
      <c r="O16183" t="s">
        <v>49552</v>
      </c>
    </row>
    <row r="16184" spans="1:20" x14ac:dyDescent="0.25">
      <c r="A16184" t="str">
        <f>"3076066"</f>
        <v>3076066</v>
      </c>
      <c r="B16184" t="s">
        <v>49556</v>
      </c>
      <c r="C16184" t="str">
        <f>"8315782"</f>
        <v>8315782</v>
      </c>
      <c r="D16184" t="s">
        <v>49557</v>
      </c>
      <c r="F16184" t="s">
        <v>49558</v>
      </c>
      <c r="I16184" t="s">
        <v>49</v>
      </c>
      <c r="J16184" t="s">
        <v>30</v>
      </c>
      <c r="K16184" t="s">
        <v>49559</v>
      </c>
      <c r="M16184" t="s">
        <v>17861</v>
      </c>
      <c r="N16184" t="str">
        <f>"12/29/2021 4:03:00 PM"</f>
        <v>12/29/2021 4:03:00 PM</v>
      </c>
      <c r="O16184" t="s">
        <v>49557</v>
      </c>
    </row>
    <row r="16185" spans="1:20" x14ac:dyDescent="0.25">
      <c r="A16185" t="str">
        <f>"3067168"</f>
        <v>3067168</v>
      </c>
      <c r="B16185" t="s">
        <v>49560</v>
      </c>
      <c r="C16185" t="str">
        <f>"8315268"</f>
        <v>8315268</v>
      </c>
      <c r="D16185" t="s">
        <v>49561</v>
      </c>
      <c r="E16185" t="s">
        <v>49562</v>
      </c>
      <c r="F16185" t="s">
        <v>49563</v>
      </c>
      <c r="I16185" t="s">
        <v>29</v>
      </c>
      <c r="J16185" t="s">
        <v>30</v>
      </c>
      <c r="K16185" t="str">
        <f>"27028"</f>
        <v>27028</v>
      </c>
      <c r="M16185" t="s">
        <v>17861</v>
      </c>
      <c r="N16185" t="str">
        <f>"12/30/2021 9:05:00 AM"</f>
        <v>12/30/2021 9:05:00 AM</v>
      </c>
      <c r="O16185" t="s">
        <v>49561</v>
      </c>
      <c r="T16185" t="s">
        <v>49562</v>
      </c>
    </row>
    <row r="16186" spans="1:20" x14ac:dyDescent="0.25">
      <c r="A16186" t="str">
        <f>"3052998"</f>
        <v>3052998</v>
      </c>
      <c r="B16186" t="s">
        <v>49564</v>
      </c>
      <c r="C16186" t="str">
        <f>"35774000"</f>
        <v>35774000</v>
      </c>
      <c r="D16186" t="s">
        <v>39376</v>
      </c>
      <c r="E16186" t="s">
        <v>49565</v>
      </c>
      <c r="F16186" t="s">
        <v>49566</v>
      </c>
      <c r="I16186" t="s">
        <v>17921</v>
      </c>
      <c r="J16186" t="s">
        <v>30</v>
      </c>
      <c r="K16186" t="s">
        <v>31</v>
      </c>
      <c r="M16186" t="s">
        <v>25733</v>
      </c>
      <c r="N16186" t="str">
        <f>"12/30/2021 11:06:00 AM"</f>
        <v>12/30/2021 11:06:00 AM</v>
      </c>
      <c r="O16186" t="s">
        <v>39376</v>
      </c>
      <c r="T16186" t="s">
        <v>49565</v>
      </c>
    </row>
    <row r="16187" spans="1:20" x14ac:dyDescent="0.25">
      <c r="A16187" t="str">
        <f>"3053022"</f>
        <v>3053022</v>
      </c>
      <c r="B16187" t="s">
        <v>49567</v>
      </c>
      <c r="C16187" t="str">
        <f>"35774000"</f>
        <v>35774000</v>
      </c>
      <c r="D16187" t="s">
        <v>39376</v>
      </c>
      <c r="E16187" t="s">
        <v>49565</v>
      </c>
      <c r="F16187" t="s">
        <v>49566</v>
      </c>
      <c r="I16187" t="s">
        <v>17921</v>
      </c>
      <c r="J16187" t="s">
        <v>30</v>
      </c>
      <c r="K16187" t="s">
        <v>31</v>
      </c>
      <c r="M16187" t="s">
        <v>25733</v>
      </c>
      <c r="N16187" t="str">
        <f>"12/30/2021 11:06:00 AM"</f>
        <v>12/30/2021 11:06:00 AM</v>
      </c>
      <c r="O16187" t="s">
        <v>39376</v>
      </c>
      <c r="T16187" t="s">
        <v>49565</v>
      </c>
    </row>
    <row r="16188" spans="1:20" x14ac:dyDescent="0.25">
      <c r="A16188" t="str">
        <f>"3039597"</f>
        <v>3039597</v>
      </c>
      <c r="B16188" t="s">
        <v>49568</v>
      </c>
      <c r="C16188" t="str">
        <f>"8316876"</f>
        <v>8316876</v>
      </c>
      <c r="D16188" t="s">
        <v>49569</v>
      </c>
      <c r="F16188" t="s">
        <v>49570</v>
      </c>
      <c r="I16188" t="s">
        <v>184</v>
      </c>
      <c r="J16188" t="s">
        <v>30</v>
      </c>
      <c r="K16188" t="s">
        <v>49571</v>
      </c>
      <c r="M16188" t="s">
        <v>17861</v>
      </c>
      <c r="N16188" t="str">
        <f>"12/14/2021 10:31:00 AM"</f>
        <v>12/14/2021 10:31:00 AM</v>
      </c>
      <c r="O16188" t="s">
        <v>49569</v>
      </c>
    </row>
    <row r="16189" spans="1:20" x14ac:dyDescent="0.25">
      <c r="A16189" t="str">
        <f>"3055323"</f>
        <v>3055323</v>
      </c>
      <c r="B16189" t="s">
        <v>49572</v>
      </c>
      <c r="C16189" t="str">
        <f>"8316878"</f>
        <v>8316878</v>
      </c>
      <c r="D16189" t="s">
        <v>49573</v>
      </c>
      <c r="E16189" t="s">
        <v>49574</v>
      </c>
      <c r="F16189" t="s">
        <v>49575</v>
      </c>
      <c r="I16189" t="s">
        <v>29</v>
      </c>
      <c r="J16189" t="s">
        <v>30</v>
      </c>
      <c r="K16189" t="s">
        <v>27276</v>
      </c>
      <c r="M16189" t="s">
        <v>17861</v>
      </c>
      <c r="N16189" t="str">
        <f>"12/14/2021 10:40:00 AM"</f>
        <v>12/14/2021 10:40:00 AM</v>
      </c>
      <c r="O16189" t="s">
        <v>49573</v>
      </c>
      <c r="T16189" t="s">
        <v>49574</v>
      </c>
    </row>
    <row r="16190" spans="1:20" x14ac:dyDescent="0.25">
      <c r="A16190" t="str">
        <f>"3048032"</f>
        <v>3048032</v>
      </c>
      <c r="B16190" t="s">
        <v>49576</v>
      </c>
      <c r="C16190" t="str">
        <f>"8316880"</f>
        <v>8316880</v>
      </c>
      <c r="D16190" t="s">
        <v>49577</v>
      </c>
      <c r="F16190" t="s">
        <v>49578</v>
      </c>
      <c r="I16190" t="s">
        <v>184</v>
      </c>
      <c r="J16190" t="s">
        <v>30</v>
      </c>
      <c r="K16190" t="s">
        <v>42485</v>
      </c>
      <c r="M16190" t="s">
        <v>17861</v>
      </c>
      <c r="N16190" t="str">
        <f>"12/14/2021 12:51:00 PM"</f>
        <v>12/14/2021 12:51:00 PM</v>
      </c>
      <c r="O16190" t="s">
        <v>49577</v>
      </c>
    </row>
    <row r="16191" spans="1:20" x14ac:dyDescent="0.25">
      <c r="A16191" t="str">
        <f>"3042824"</f>
        <v>3042824</v>
      </c>
      <c r="B16191" t="s">
        <v>49579</v>
      </c>
      <c r="C16191" t="str">
        <f>"8316882"</f>
        <v>8316882</v>
      </c>
      <c r="D16191" t="s">
        <v>49580</v>
      </c>
      <c r="F16191" t="s">
        <v>49295</v>
      </c>
      <c r="I16191" t="s">
        <v>29</v>
      </c>
      <c r="J16191" t="s">
        <v>30</v>
      </c>
      <c r="K16191" t="s">
        <v>6729</v>
      </c>
      <c r="M16191" t="s">
        <v>17861</v>
      </c>
      <c r="N16191" t="str">
        <f>"12/14/2021 1:31:00 PM"</f>
        <v>12/14/2021 1:31:00 PM</v>
      </c>
      <c r="O16191" t="s">
        <v>49580</v>
      </c>
    </row>
    <row r="16192" spans="1:20" x14ac:dyDescent="0.25">
      <c r="A16192" t="str">
        <f>"3052136"</f>
        <v>3052136</v>
      </c>
      <c r="B16192" t="s">
        <v>49581</v>
      </c>
      <c r="C16192" t="str">
        <f>"8317004"</f>
        <v>8317004</v>
      </c>
      <c r="D16192" t="s">
        <v>49582</v>
      </c>
      <c r="E16192" t="s">
        <v>49583</v>
      </c>
      <c r="F16192" t="s">
        <v>49584</v>
      </c>
      <c r="I16192" t="s">
        <v>29</v>
      </c>
      <c r="J16192" t="s">
        <v>30</v>
      </c>
      <c r="K16192" t="s">
        <v>49585</v>
      </c>
      <c r="M16192" t="s">
        <v>17861</v>
      </c>
      <c r="N16192" t="str">
        <f>"1/3/2022 10:44:00 AM"</f>
        <v>1/3/2022 10:44:00 AM</v>
      </c>
      <c r="O16192" t="s">
        <v>49582</v>
      </c>
      <c r="T16192" t="s">
        <v>49583</v>
      </c>
    </row>
    <row r="16193" spans="1:20" x14ac:dyDescent="0.25">
      <c r="A16193" t="str">
        <f>"3045095"</f>
        <v>3045095</v>
      </c>
      <c r="B16193" t="s">
        <v>49586</v>
      </c>
      <c r="C16193" t="str">
        <f>"8317005"</f>
        <v>8317005</v>
      </c>
      <c r="D16193" t="s">
        <v>49587</v>
      </c>
      <c r="F16193" t="s">
        <v>49588</v>
      </c>
      <c r="I16193" t="s">
        <v>29</v>
      </c>
      <c r="J16193" t="s">
        <v>30</v>
      </c>
      <c r="K16193" t="s">
        <v>7883</v>
      </c>
      <c r="M16193" t="s">
        <v>17861</v>
      </c>
      <c r="N16193" t="str">
        <f>"1/3/2022 10:46:00 AM"</f>
        <v>1/3/2022 10:46:00 AM</v>
      </c>
      <c r="O16193" t="s">
        <v>49587</v>
      </c>
    </row>
    <row r="16194" spans="1:20" x14ac:dyDescent="0.25">
      <c r="A16194" t="str">
        <f>"3078703"</f>
        <v>3078703</v>
      </c>
      <c r="B16194" t="s">
        <v>49589</v>
      </c>
      <c r="C16194" t="str">
        <f>"8314874"</f>
        <v>8314874</v>
      </c>
      <c r="D16194" t="s">
        <v>49590</v>
      </c>
      <c r="F16194" t="s">
        <v>49591</v>
      </c>
      <c r="I16194" t="s">
        <v>17921</v>
      </c>
      <c r="J16194" t="s">
        <v>30</v>
      </c>
      <c r="K16194" t="str">
        <f>"27028"</f>
        <v>27028</v>
      </c>
      <c r="M16194" t="s">
        <v>32801</v>
      </c>
      <c r="N16194" t="str">
        <f>"1/3/2022 11:31:00 AM"</f>
        <v>1/3/2022 11:31:00 AM</v>
      </c>
      <c r="O16194" t="s">
        <v>49590</v>
      </c>
    </row>
    <row r="16195" spans="1:20" x14ac:dyDescent="0.25">
      <c r="A16195" t="str">
        <f>"3046111"</f>
        <v>3046111</v>
      </c>
      <c r="B16195" t="s">
        <v>49592</v>
      </c>
      <c r="C16195" t="str">
        <f>"8316065"</f>
        <v>8316065</v>
      </c>
      <c r="D16195" t="s">
        <v>49593</v>
      </c>
      <c r="F16195" t="s">
        <v>49594</v>
      </c>
      <c r="I16195" t="s">
        <v>29</v>
      </c>
      <c r="J16195" t="s">
        <v>30</v>
      </c>
      <c r="K16195" t="s">
        <v>49595</v>
      </c>
      <c r="M16195" t="s">
        <v>18479</v>
      </c>
      <c r="N16195" t="str">
        <f>"1/3/2022 12:13:00 PM"</f>
        <v>1/3/2022 12:13:00 PM</v>
      </c>
      <c r="O16195" t="s">
        <v>49593</v>
      </c>
    </row>
    <row r="16196" spans="1:20" x14ac:dyDescent="0.25">
      <c r="A16196" t="str">
        <f>"3044624"</f>
        <v>3044624</v>
      </c>
      <c r="B16196" t="s">
        <v>49596</v>
      </c>
      <c r="C16196" t="str">
        <f>"8317009"</f>
        <v>8317009</v>
      </c>
      <c r="D16196" t="s">
        <v>49597</v>
      </c>
      <c r="E16196" t="s">
        <v>49598</v>
      </c>
      <c r="F16196" t="s">
        <v>49599</v>
      </c>
      <c r="I16196" t="s">
        <v>184</v>
      </c>
      <c r="J16196" t="s">
        <v>30</v>
      </c>
      <c r="K16196" t="s">
        <v>33412</v>
      </c>
      <c r="M16196" t="s">
        <v>17861</v>
      </c>
      <c r="N16196" t="str">
        <f>"1/3/2022 12:46:00 PM"</f>
        <v>1/3/2022 12:46:00 PM</v>
      </c>
      <c r="O16196" t="s">
        <v>49597</v>
      </c>
      <c r="T16196" t="s">
        <v>49598</v>
      </c>
    </row>
    <row r="16197" spans="1:20" x14ac:dyDescent="0.25">
      <c r="A16197" t="str">
        <f>"3061467"</f>
        <v>3061467</v>
      </c>
      <c r="B16197" t="s">
        <v>49600</v>
      </c>
      <c r="C16197" t="str">
        <f>"8317012"</f>
        <v>8317012</v>
      </c>
      <c r="D16197" t="s">
        <v>49601</v>
      </c>
      <c r="E16197" t="s">
        <v>49602</v>
      </c>
      <c r="F16197" t="s">
        <v>49603</v>
      </c>
      <c r="I16197" t="s">
        <v>184</v>
      </c>
      <c r="J16197" t="s">
        <v>30</v>
      </c>
      <c r="K16197" t="str">
        <f>"27006"</f>
        <v>27006</v>
      </c>
      <c r="M16197" t="s">
        <v>17861</v>
      </c>
      <c r="N16197" t="str">
        <f>"1/3/2022 1:30:00 PM"</f>
        <v>1/3/2022 1:30:00 PM</v>
      </c>
      <c r="O16197" t="s">
        <v>49601</v>
      </c>
      <c r="T16197" t="s">
        <v>49602</v>
      </c>
    </row>
    <row r="16198" spans="1:20" x14ac:dyDescent="0.25">
      <c r="A16198" t="str">
        <f>"3043044"</f>
        <v>3043044</v>
      </c>
      <c r="B16198" t="s">
        <v>49604</v>
      </c>
      <c r="C16198" t="str">
        <f>"8317013"</f>
        <v>8317013</v>
      </c>
      <c r="D16198" t="str">
        <f>"ROLLINS HAROLD/MARTHA REV LIV TRUST"</f>
        <v>ROLLINS HAROLD/MARTHA REV LIV TRUST</v>
      </c>
      <c r="F16198" t="s">
        <v>49605</v>
      </c>
      <c r="I16198" t="s">
        <v>29</v>
      </c>
      <c r="J16198" t="s">
        <v>30</v>
      </c>
      <c r="K16198" t="s">
        <v>49606</v>
      </c>
      <c r="M16198" t="s">
        <v>17861</v>
      </c>
      <c r="N16198" t="str">
        <f>"1/3/2022 1:32:00 PM"</f>
        <v>1/3/2022 1:32:00 PM</v>
      </c>
      <c r="O16198" t="str">
        <f>"ROLLINS HAROLD/MARTHA REV LIV TRUST"</f>
        <v>ROLLINS HAROLD/MARTHA REV LIV TRUST</v>
      </c>
    </row>
    <row r="16199" spans="1:20" x14ac:dyDescent="0.25">
      <c r="A16199" t="str">
        <f>"3042673"</f>
        <v>3042673</v>
      </c>
      <c r="B16199" t="s">
        <v>49607</v>
      </c>
      <c r="C16199" t="str">
        <f>"8317013"</f>
        <v>8317013</v>
      </c>
      <c r="D16199" t="str">
        <f>"ROLLINS HAROLD/MARTHA REV LIV TRUST"</f>
        <v>ROLLINS HAROLD/MARTHA REV LIV TRUST</v>
      </c>
      <c r="F16199" t="s">
        <v>49605</v>
      </c>
      <c r="I16199" t="s">
        <v>29</v>
      </c>
      <c r="J16199" t="s">
        <v>30</v>
      </c>
      <c r="K16199" t="s">
        <v>49606</v>
      </c>
      <c r="M16199" t="s">
        <v>17861</v>
      </c>
      <c r="N16199" t="str">
        <f>"1/3/2022 1:32:00 PM"</f>
        <v>1/3/2022 1:32:00 PM</v>
      </c>
      <c r="O16199" t="str">
        <f>"ROLLINS HAROLD/MARTHA REV LIV TRUST"</f>
        <v>ROLLINS HAROLD/MARTHA REV LIV TRUST</v>
      </c>
    </row>
    <row r="16200" spans="1:20" x14ac:dyDescent="0.25">
      <c r="A16200" t="str">
        <f>"3038264"</f>
        <v>3038264</v>
      </c>
      <c r="B16200" t="s">
        <v>49608</v>
      </c>
      <c r="C16200" t="str">
        <f>"8317014"</f>
        <v>8317014</v>
      </c>
      <c r="D16200" t="s">
        <v>49609</v>
      </c>
      <c r="F16200" t="s">
        <v>49610</v>
      </c>
      <c r="I16200" t="s">
        <v>29</v>
      </c>
      <c r="J16200" t="s">
        <v>30</v>
      </c>
      <c r="K16200" t="s">
        <v>4748</v>
      </c>
      <c r="M16200" t="s">
        <v>17861</v>
      </c>
      <c r="N16200" t="str">
        <f>"1/3/2022 1:39:00 PM"</f>
        <v>1/3/2022 1:39:00 PM</v>
      </c>
      <c r="O16200" t="s">
        <v>49609</v>
      </c>
    </row>
    <row r="16201" spans="1:20" x14ac:dyDescent="0.25">
      <c r="A16201" t="str">
        <f>"3078265"</f>
        <v>3078265</v>
      </c>
      <c r="B16201" t="s">
        <v>49611</v>
      </c>
      <c r="C16201" t="str">
        <f>"8317015"</f>
        <v>8317015</v>
      </c>
      <c r="D16201" t="s">
        <v>49612</v>
      </c>
      <c r="E16201" t="s">
        <v>49613</v>
      </c>
      <c r="F16201" t="s">
        <v>49614</v>
      </c>
      <c r="I16201" t="s">
        <v>29</v>
      </c>
      <c r="J16201" t="s">
        <v>30</v>
      </c>
      <c r="K16201" t="s">
        <v>49615</v>
      </c>
      <c r="M16201" t="s">
        <v>17861</v>
      </c>
      <c r="N16201" t="str">
        <f>"1/3/2022 1:42:00 PM"</f>
        <v>1/3/2022 1:42:00 PM</v>
      </c>
      <c r="O16201" t="s">
        <v>49612</v>
      </c>
      <c r="T16201" t="s">
        <v>49613</v>
      </c>
    </row>
    <row r="16202" spans="1:20" x14ac:dyDescent="0.25">
      <c r="A16202" t="str">
        <f>"3055364"</f>
        <v>3055364</v>
      </c>
      <c r="B16202" t="s">
        <v>49616</v>
      </c>
      <c r="C16202" t="str">
        <f>"8316884"</f>
        <v>8316884</v>
      </c>
      <c r="D16202" t="s">
        <v>49617</v>
      </c>
      <c r="F16202" t="s">
        <v>49618</v>
      </c>
      <c r="I16202" t="s">
        <v>29</v>
      </c>
      <c r="J16202" t="s">
        <v>30</v>
      </c>
      <c r="K16202" t="s">
        <v>14780</v>
      </c>
      <c r="M16202" t="s">
        <v>17861</v>
      </c>
      <c r="N16202" t="str">
        <f>"12/14/2021 1:41:00 PM"</f>
        <v>12/14/2021 1:41:00 PM</v>
      </c>
      <c r="O16202" t="s">
        <v>49617</v>
      </c>
    </row>
    <row r="16203" spans="1:20" x14ac:dyDescent="0.25">
      <c r="A16203" t="str">
        <f>"3059062"</f>
        <v>3059062</v>
      </c>
      <c r="B16203" t="s">
        <v>49619</v>
      </c>
      <c r="C16203" t="str">
        <f>"8316887"</f>
        <v>8316887</v>
      </c>
      <c r="D16203" t="s">
        <v>49620</v>
      </c>
      <c r="F16203" t="s">
        <v>49621</v>
      </c>
      <c r="I16203" t="s">
        <v>29</v>
      </c>
      <c r="J16203" t="s">
        <v>30</v>
      </c>
      <c r="K16203" t="s">
        <v>15135</v>
      </c>
      <c r="M16203" t="s">
        <v>17861</v>
      </c>
      <c r="N16203" t="str">
        <f>"12/14/2021 1:58:00 PM"</f>
        <v>12/14/2021 1:58:00 PM</v>
      </c>
      <c r="O16203" t="s">
        <v>49620</v>
      </c>
    </row>
    <row r="16204" spans="1:20" x14ac:dyDescent="0.25">
      <c r="A16204" t="str">
        <f>"3063068"</f>
        <v>3063068</v>
      </c>
      <c r="B16204" t="s">
        <v>49622</v>
      </c>
      <c r="C16204" t="str">
        <f>"8316889"</f>
        <v>8316889</v>
      </c>
      <c r="D16204" t="s">
        <v>49623</v>
      </c>
      <c r="E16204" t="s">
        <v>49624</v>
      </c>
      <c r="F16204" t="s">
        <v>49625</v>
      </c>
      <c r="I16204" t="s">
        <v>184</v>
      </c>
      <c r="J16204" t="s">
        <v>30</v>
      </c>
      <c r="K16204" t="s">
        <v>49626</v>
      </c>
      <c r="M16204" t="s">
        <v>17861</v>
      </c>
      <c r="N16204" t="str">
        <f>"12/14/2021 2:20:00 PM"</f>
        <v>12/14/2021 2:20:00 PM</v>
      </c>
      <c r="O16204" t="s">
        <v>49623</v>
      </c>
      <c r="T16204" t="s">
        <v>49624</v>
      </c>
    </row>
    <row r="16205" spans="1:20" x14ac:dyDescent="0.25">
      <c r="A16205" t="str">
        <f>"3044047"</f>
        <v>3044047</v>
      </c>
      <c r="B16205" t="s">
        <v>49627</v>
      </c>
      <c r="C16205" t="str">
        <f>"8316885"</f>
        <v>8316885</v>
      </c>
      <c r="D16205" t="s">
        <v>49628</v>
      </c>
      <c r="E16205" t="s">
        <v>49629</v>
      </c>
      <c r="F16205" t="s">
        <v>49630</v>
      </c>
      <c r="I16205" t="s">
        <v>184</v>
      </c>
      <c r="J16205" t="s">
        <v>30</v>
      </c>
      <c r="K16205" t="s">
        <v>49631</v>
      </c>
      <c r="M16205" t="s">
        <v>17861</v>
      </c>
      <c r="N16205" t="str">
        <f>"12/14/2021 1:53:00 PM"</f>
        <v>12/14/2021 1:53:00 PM</v>
      </c>
      <c r="O16205" t="s">
        <v>49628</v>
      </c>
      <c r="T16205" t="s">
        <v>49629</v>
      </c>
    </row>
    <row r="16206" spans="1:20" x14ac:dyDescent="0.25">
      <c r="A16206" t="str">
        <f>"3046005"</f>
        <v>3046005</v>
      </c>
      <c r="B16206" t="s">
        <v>49632</v>
      </c>
      <c r="C16206" t="str">
        <f>"8316935"</f>
        <v>8316935</v>
      </c>
      <c r="D16206" t="s">
        <v>49633</v>
      </c>
      <c r="E16206" t="s">
        <v>49634</v>
      </c>
      <c r="F16206" t="s">
        <v>40932</v>
      </c>
      <c r="I16206" t="s">
        <v>29</v>
      </c>
      <c r="J16206" t="s">
        <v>30</v>
      </c>
      <c r="K16206" t="s">
        <v>8342</v>
      </c>
      <c r="M16206" t="s">
        <v>17861</v>
      </c>
      <c r="N16206" t="str">
        <f>"12/17/2021 9:46:00 AM"</f>
        <v>12/17/2021 9:46:00 AM</v>
      </c>
      <c r="O16206" t="s">
        <v>49633</v>
      </c>
      <c r="T16206" t="s">
        <v>49634</v>
      </c>
    </row>
    <row r="16207" spans="1:20" x14ac:dyDescent="0.25">
      <c r="A16207" t="str">
        <f>"3045897"</f>
        <v>3045897</v>
      </c>
      <c r="B16207" t="s">
        <v>49635</v>
      </c>
      <c r="C16207" t="str">
        <f>"8316936"</f>
        <v>8316936</v>
      </c>
      <c r="D16207" t="str">
        <f>"HAMRICK WHITNEY/STEPHEN"</f>
        <v>HAMRICK WHITNEY/STEPHEN</v>
      </c>
      <c r="E16207" t="s">
        <v>40797</v>
      </c>
      <c r="F16207" t="s">
        <v>40932</v>
      </c>
      <c r="I16207" t="s">
        <v>29</v>
      </c>
      <c r="J16207" t="s">
        <v>30</v>
      </c>
      <c r="K16207" t="s">
        <v>8342</v>
      </c>
      <c r="M16207" t="s">
        <v>17861</v>
      </c>
      <c r="N16207" t="str">
        <f>"12/17/2021 9:49:00 AM"</f>
        <v>12/17/2021 9:49:00 AM</v>
      </c>
      <c r="O16207" t="str">
        <f>"HAMRICK WHITNEY/STEPHEN"</f>
        <v>HAMRICK WHITNEY/STEPHEN</v>
      </c>
      <c r="T16207" t="s">
        <v>40797</v>
      </c>
    </row>
    <row r="16208" spans="1:20" x14ac:dyDescent="0.25">
      <c r="A16208" t="str">
        <f>"3040800"</f>
        <v>3040800</v>
      </c>
      <c r="B16208" t="s">
        <v>49636</v>
      </c>
      <c r="C16208" t="str">
        <f>"8313935"</f>
        <v>8313935</v>
      </c>
      <c r="D16208" t="s">
        <v>49637</v>
      </c>
      <c r="F16208" t="s">
        <v>49638</v>
      </c>
      <c r="I16208" t="s">
        <v>184</v>
      </c>
      <c r="J16208" t="s">
        <v>30</v>
      </c>
      <c r="K16208" t="s">
        <v>5724</v>
      </c>
      <c r="M16208" t="s">
        <v>25625</v>
      </c>
      <c r="N16208" t="str">
        <f>"1/5/2022 9:21:00 AM"</f>
        <v>1/5/2022 9:21:00 AM</v>
      </c>
      <c r="O16208" t="s">
        <v>49637</v>
      </c>
    </row>
    <row r="16209" spans="1:20" x14ac:dyDescent="0.25">
      <c r="A16209" t="str">
        <f>"3041024"</f>
        <v>3041024</v>
      </c>
      <c r="B16209" t="s">
        <v>49639</v>
      </c>
      <c r="C16209" t="str">
        <f>"8313935"</f>
        <v>8313935</v>
      </c>
      <c r="D16209" t="s">
        <v>49637</v>
      </c>
      <c r="F16209" t="s">
        <v>49638</v>
      </c>
      <c r="I16209" t="s">
        <v>184</v>
      </c>
      <c r="J16209" t="s">
        <v>30</v>
      </c>
      <c r="K16209" t="s">
        <v>5724</v>
      </c>
      <c r="M16209" t="s">
        <v>25625</v>
      </c>
      <c r="N16209" t="str">
        <f>"1/5/2022 9:21:00 AM"</f>
        <v>1/5/2022 9:21:00 AM</v>
      </c>
      <c r="O16209" t="s">
        <v>49637</v>
      </c>
    </row>
    <row r="16210" spans="1:20" x14ac:dyDescent="0.25">
      <c r="A16210" t="str">
        <f>"3045466"</f>
        <v>3045466</v>
      </c>
      <c r="B16210" t="s">
        <v>49640</v>
      </c>
      <c r="C16210" t="str">
        <f>"8316938"</f>
        <v>8316938</v>
      </c>
      <c r="D16210" t="s">
        <v>49641</v>
      </c>
      <c r="E16210" t="s">
        <v>49642</v>
      </c>
      <c r="F16210" t="s">
        <v>49643</v>
      </c>
      <c r="I16210" t="s">
        <v>29</v>
      </c>
      <c r="J16210" t="s">
        <v>30</v>
      </c>
      <c r="K16210" t="str">
        <f>"27028"</f>
        <v>27028</v>
      </c>
      <c r="M16210" t="s">
        <v>17861</v>
      </c>
      <c r="N16210" t="str">
        <f>"12/17/2021 10:11:00 AM"</f>
        <v>12/17/2021 10:11:00 AM</v>
      </c>
      <c r="O16210" t="s">
        <v>49641</v>
      </c>
      <c r="T16210" t="s">
        <v>49642</v>
      </c>
    </row>
    <row r="16211" spans="1:20" x14ac:dyDescent="0.25">
      <c r="A16211" t="str">
        <f>"3056572"</f>
        <v>3056572</v>
      </c>
      <c r="B16211" t="s">
        <v>49644</v>
      </c>
      <c r="C16211" t="str">
        <f>"8316932"</f>
        <v>8316932</v>
      </c>
      <c r="D16211" t="s">
        <v>49645</v>
      </c>
      <c r="F16211" t="s">
        <v>49646</v>
      </c>
      <c r="I16211" t="s">
        <v>29</v>
      </c>
      <c r="J16211" t="s">
        <v>30</v>
      </c>
      <c r="K16211" t="s">
        <v>25129</v>
      </c>
      <c r="M16211" t="s">
        <v>17861</v>
      </c>
      <c r="N16211" t="str">
        <f>"12/17/2021 9:19:00 AM"</f>
        <v>12/17/2021 9:19:00 AM</v>
      </c>
      <c r="O16211" t="s">
        <v>49645</v>
      </c>
    </row>
    <row r="16212" spans="1:20" x14ac:dyDescent="0.25">
      <c r="A16212" t="str">
        <f>"3061690"</f>
        <v>3061690</v>
      </c>
      <c r="B16212" t="s">
        <v>49647</v>
      </c>
      <c r="C16212" t="str">
        <f>"8316939"</f>
        <v>8316939</v>
      </c>
      <c r="D16212" t="s">
        <v>49648</v>
      </c>
      <c r="F16212" t="s">
        <v>49649</v>
      </c>
      <c r="I16212" t="s">
        <v>2071</v>
      </c>
      <c r="J16212" t="s">
        <v>30</v>
      </c>
      <c r="K16212" t="s">
        <v>3960</v>
      </c>
      <c r="M16212" t="s">
        <v>17861</v>
      </c>
      <c r="N16212" t="str">
        <f>"12/17/2021 10:29:00 AM"</f>
        <v>12/17/2021 10:29:00 AM</v>
      </c>
      <c r="O16212" t="s">
        <v>49648</v>
      </c>
    </row>
    <row r="16213" spans="1:20" x14ac:dyDescent="0.25">
      <c r="A16213" t="str">
        <f>"3061306"</f>
        <v>3061306</v>
      </c>
      <c r="B16213" t="s">
        <v>49650</v>
      </c>
      <c r="C16213" t="str">
        <f>"8316943"</f>
        <v>8316943</v>
      </c>
      <c r="D16213" t="s">
        <v>49651</v>
      </c>
      <c r="F16213" t="s">
        <v>49652</v>
      </c>
      <c r="I16213" t="s">
        <v>2071</v>
      </c>
      <c r="J16213" t="s">
        <v>30</v>
      </c>
      <c r="K16213" t="s">
        <v>33423</v>
      </c>
      <c r="M16213" t="s">
        <v>17861</v>
      </c>
      <c r="N16213" t="str">
        <f>"12/17/2021 11:33:00 AM"</f>
        <v>12/17/2021 11:33:00 AM</v>
      </c>
      <c r="O16213" t="s">
        <v>49651</v>
      </c>
    </row>
    <row r="16214" spans="1:20" x14ac:dyDescent="0.25">
      <c r="A16214" t="str">
        <f>"3060512"</f>
        <v>3060512</v>
      </c>
      <c r="B16214" t="s">
        <v>49653</v>
      </c>
      <c r="C16214" t="str">
        <f>"8316952"</f>
        <v>8316952</v>
      </c>
      <c r="D16214" t="s">
        <v>49654</v>
      </c>
      <c r="E16214" t="s">
        <v>49655</v>
      </c>
      <c r="F16214" t="s">
        <v>49656</v>
      </c>
      <c r="I16214" t="s">
        <v>184</v>
      </c>
      <c r="J16214" t="s">
        <v>30</v>
      </c>
      <c r="K16214" t="s">
        <v>9171</v>
      </c>
      <c r="M16214" t="s">
        <v>17861</v>
      </c>
      <c r="N16214" t="str">
        <f>"12/17/2021 2:09:00 PM"</f>
        <v>12/17/2021 2:09:00 PM</v>
      </c>
      <c r="O16214" t="s">
        <v>49654</v>
      </c>
      <c r="T16214" t="s">
        <v>49655</v>
      </c>
    </row>
    <row r="16215" spans="1:20" x14ac:dyDescent="0.25">
      <c r="A16215" t="str">
        <f>"3063989"</f>
        <v>3063989</v>
      </c>
      <c r="B16215" t="s">
        <v>49657</v>
      </c>
      <c r="C16215" t="str">
        <f>"8316953"</f>
        <v>8316953</v>
      </c>
      <c r="D16215" t="s">
        <v>49658</v>
      </c>
      <c r="E16215" t="s">
        <v>49659</v>
      </c>
      <c r="F16215" t="s">
        <v>49660</v>
      </c>
      <c r="I16215" t="s">
        <v>184</v>
      </c>
      <c r="J16215" t="s">
        <v>30</v>
      </c>
      <c r="K16215" t="s">
        <v>34157</v>
      </c>
      <c r="M16215" t="s">
        <v>17861</v>
      </c>
      <c r="N16215" t="str">
        <f>"12/17/2021 2:26:00 PM"</f>
        <v>12/17/2021 2:26:00 PM</v>
      </c>
      <c r="O16215" t="s">
        <v>49658</v>
      </c>
      <c r="T16215" t="s">
        <v>49659</v>
      </c>
    </row>
    <row r="16216" spans="1:20" x14ac:dyDescent="0.25">
      <c r="A16216" t="str">
        <f>"3057386"</f>
        <v>3057386</v>
      </c>
      <c r="B16216" t="s">
        <v>49661</v>
      </c>
      <c r="C16216" t="str">
        <f>"8312927"</f>
        <v>8312927</v>
      </c>
      <c r="D16216" t="s">
        <v>49662</v>
      </c>
      <c r="F16216" t="s">
        <v>44481</v>
      </c>
      <c r="I16216" t="s">
        <v>14865</v>
      </c>
      <c r="J16216" t="s">
        <v>30</v>
      </c>
      <c r="K16216" t="s">
        <v>44482</v>
      </c>
      <c r="M16216" t="s">
        <v>18479</v>
      </c>
      <c r="N16216" t="str">
        <f>"12/22/2021 11:53:00 AM"</f>
        <v>12/22/2021 11:53:00 AM</v>
      </c>
      <c r="O16216" t="s">
        <v>49662</v>
      </c>
    </row>
    <row r="16217" spans="1:20" x14ac:dyDescent="0.25">
      <c r="A16217" t="str">
        <f>"3048316"</f>
        <v>3048316</v>
      </c>
      <c r="B16217" t="s">
        <v>49663</v>
      </c>
      <c r="C16217" t="str">
        <f>"8316964"</f>
        <v>8316964</v>
      </c>
      <c r="D16217" t="s">
        <v>49664</v>
      </c>
      <c r="F16217" t="s">
        <v>49665</v>
      </c>
      <c r="I16217" t="s">
        <v>471</v>
      </c>
      <c r="J16217" t="s">
        <v>30</v>
      </c>
      <c r="K16217" t="s">
        <v>49666</v>
      </c>
      <c r="M16217" t="s">
        <v>17861</v>
      </c>
      <c r="N16217" t="str">
        <f>"12/22/2021 2:01:00 PM"</f>
        <v>12/22/2021 2:01:00 PM</v>
      </c>
      <c r="O16217" t="s">
        <v>49664</v>
      </c>
    </row>
    <row r="16218" spans="1:20" x14ac:dyDescent="0.25">
      <c r="A16218" t="str">
        <f>"3049220"</f>
        <v>3049220</v>
      </c>
      <c r="B16218" t="s">
        <v>49667</v>
      </c>
      <c r="C16218" t="str">
        <f>"8316979"</f>
        <v>8316979</v>
      </c>
      <c r="D16218" t="s">
        <v>49668</v>
      </c>
      <c r="E16218" t="s">
        <v>49669</v>
      </c>
      <c r="F16218" t="s">
        <v>49670</v>
      </c>
      <c r="I16218" t="s">
        <v>29</v>
      </c>
      <c r="J16218" t="s">
        <v>30</v>
      </c>
      <c r="K16218" t="s">
        <v>10198</v>
      </c>
      <c r="M16218" t="s">
        <v>17861</v>
      </c>
      <c r="N16218" t="str">
        <f>"12/22/2021 3:59:00 PM"</f>
        <v>12/22/2021 3:59:00 PM</v>
      </c>
      <c r="O16218" t="s">
        <v>49668</v>
      </c>
      <c r="T16218" t="s">
        <v>49669</v>
      </c>
    </row>
    <row r="16219" spans="1:20" x14ac:dyDescent="0.25">
      <c r="A16219" t="str">
        <f>"3038046"</f>
        <v>3038046</v>
      </c>
      <c r="B16219" t="s">
        <v>49671</v>
      </c>
      <c r="C16219" t="str">
        <f>"8314239"</f>
        <v>8314239</v>
      </c>
      <c r="D16219" t="s">
        <v>49672</v>
      </c>
      <c r="E16219" t="s">
        <v>49673</v>
      </c>
      <c r="F16219" t="s">
        <v>49674</v>
      </c>
      <c r="I16219" t="s">
        <v>29</v>
      </c>
      <c r="J16219" t="s">
        <v>30</v>
      </c>
      <c r="K16219" t="s">
        <v>2747</v>
      </c>
      <c r="M16219" t="s">
        <v>18479</v>
      </c>
      <c r="N16219" t="str">
        <f>"1/5/2022 4:33:00 PM"</f>
        <v>1/5/2022 4:33:00 PM</v>
      </c>
      <c r="O16219" t="s">
        <v>49672</v>
      </c>
      <c r="T16219" t="s">
        <v>49673</v>
      </c>
    </row>
    <row r="16220" spans="1:20" x14ac:dyDescent="0.25">
      <c r="A16220" t="str">
        <f>"3038327"</f>
        <v>3038327</v>
      </c>
      <c r="B16220" t="s">
        <v>49675</v>
      </c>
      <c r="C16220" t="str">
        <f>"8314239"</f>
        <v>8314239</v>
      </c>
      <c r="D16220" t="s">
        <v>49672</v>
      </c>
      <c r="E16220" t="s">
        <v>49673</v>
      </c>
      <c r="F16220" t="s">
        <v>49674</v>
      </c>
      <c r="I16220" t="s">
        <v>29</v>
      </c>
      <c r="J16220" t="s">
        <v>30</v>
      </c>
      <c r="K16220" t="s">
        <v>2747</v>
      </c>
      <c r="M16220" t="s">
        <v>18479</v>
      </c>
      <c r="N16220" t="str">
        <f>"1/5/2022 4:33:00 PM"</f>
        <v>1/5/2022 4:33:00 PM</v>
      </c>
      <c r="O16220" t="s">
        <v>49672</v>
      </c>
      <c r="T16220" t="s">
        <v>49673</v>
      </c>
    </row>
    <row r="16221" spans="1:20" x14ac:dyDescent="0.25">
      <c r="A16221" t="str">
        <f>"3070518"</f>
        <v>3070518</v>
      </c>
      <c r="B16221" t="s">
        <v>49676</v>
      </c>
      <c r="C16221" t="str">
        <f>"8313872"</f>
        <v>8313872</v>
      </c>
      <c r="D16221" t="s">
        <v>49677</v>
      </c>
      <c r="E16221" t="s">
        <v>49678</v>
      </c>
      <c r="F16221" t="s">
        <v>49679</v>
      </c>
      <c r="I16221" t="s">
        <v>29</v>
      </c>
      <c r="J16221" t="s">
        <v>30</v>
      </c>
      <c r="K16221" t="s">
        <v>49680</v>
      </c>
      <c r="M16221" t="s">
        <v>18479</v>
      </c>
      <c r="N16221" t="str">
        <f>"1/5/2022 4:34:00 PM"</f>
        <v>1/5/2022 4:34:00 PM</v>
      </c>
      <c r="O16221" t="s">
        <v>49677</v>
      </c>
      <c r="T16221" t="s">
        <v>49678</v>
      </c>
    </row>
    <row r="16222" spans="1:20" x14ac:dyDescent="0.25">
      <c r="A16222" t="str">
        <f>"3041153"</f>
        <v>3041153</v>
      </c>
      <c r="B16222" t="s">
        <v>49681</v>
      </c>
      <c r="C16222" t="str">
        <f>"8300283"</f>
        <v>8300283</v>
      </c>
      <c r="D16222" t="s">
        <v>49682</v>
      </c>
      <c r="F16222" t="s">
        <v>49683</v>
      </c>
      <c r="I16222" t="s">
        <v>184</v>
      </c>
      <c r="J16222" t="s">
        <v>30</v>
      </c>
      <c r="K16222" t="s">
        <v>185</v>
      </c>
      <c r="M16222" t="s">
        <v>49684</v>
      </c>
      <c r="N16222" t="str">
        <f>"12/28/2021 12:38:00 PM"</f>
        <v>12/28/2021 12:38:00 PM</v>
      </c>
      <c r="O16222" t="s">
        <v>49682</v>
      </c>
    </row>
    <row r="16223" spans="1:20" x14ac:dyDescent="0.25">
      <c r="A16223" t="str">
        <f>"3049249"</f>
        <v>3049249</v>
      </c>
      <c r="B16223" t="s">
        <v>49685</v>
      </c>
      <c r="C16223" t="str">
        <f>"8316982"</f>
        <v>8316982</v>
      </c>
      <c r="D16223" t="s">
        <v>49686</v>
      </c>
      <c r="F16223" t="s">
        <v>49687</v>
      </c>
      <c r="I16223" t="s">
        <v>184</v>
      </c>
      <c r="J16223" t="s">
        <v>30</v>
      </c>
      <c r="K16223" t="s">
        <v>8668</v>
      </c>
      <c r="M16223" t="s">
        <v>17861</v>
      </c>
      <c r="N16223" t="str">
        <f>"12/28/2021 12:58:00 PM"</f>
        <v>12/28/2021 12:58:00 PM</v>
      </c>
      <c r="O16223" t="s">
        <v>49686</v>
      </c>
    </row>
    <row r="16224" spans="1:20" x14ac:dyDescent="0.25">
      <c r="A16224" t="str">
        <f>"3067525"</f>
        <v>3067525</v>
      </c>
      <c r="B16224" t="s">
        <v>49688</v>
      </c>
      <c r="C16224" t="str">
        <f>"8316991"</f>
        <v>8316991</v>
      </c>
      <c r="D16224" t="s">
        <v>49689</v>
      </c>
      <c r="F16224" t="s">
        <v>49690</v>
      </c>
      <c r="I16224" t="s">
        <v>29</v>
      </c>
      <c r="J16224" t="s">
        <v>30</v>
      </c>
      <c r="K16224" t="s">
        <v>7120</v>
      </c>
      <c r="M16224" t="s">
        <v>17861</v>
      </c>
      <c r="N16224" t="str">
        <f>"12/28/2021 4:01:00 PM"</f>
        <v>12/28/2021 4:01:00 PM</v>
      </c>
      <c r="O16224" t="s">
        <v>49689</v>
      </c>
    </row>
    <row r="16225" spans="1:20" x14ac:dyDescent="0.25">
      <c r="A16225" t="str">
        <f>"3051888"</f>
        <v>3051888</v>
      </c>
      <c r="B16225" t="s">
        <v>49691</v>
      </c>
      <c r="C16225" t="str">
        <f>"8316992"</f>
        <v>8316992</v>
      </c>
      <c r="D16225" t="s">
        <v>49692</v>
      </c>
      <c r="F16225" t="s">
        <v>49693</v>
      </c>
      <c r="I16225" t="s">
        <v>29</v>
      </c>
      <c r="J16225" t="s">
        <v>30</v>
      </c>
      <c r="K16225" t="s">
        <v>49694</v>
      </c>
      <c r="M16225" t="s">
        <v>17861</v>
      </c>
      <c r="N16225" t="str">
        <f>"12/28/2021 4:14:00 PM"</f>
        <v>12/28/2021 4:14:00 PM</v>
      </c>
      <c r="O16225" t="s">
        <v>49692</v>
      </c>
    </row>
    <row r="16226" spans="1:20" x14ac:dyDescent="0.25">
      <c r="A16226" t="str">
        <f>"3053969"</f>
        <v>3053969</v>
      </c>
      <c r="B16226" t="s">
        <v>49695</v>
      </c>
      <c r="C16226" t="str">
        <f>"8310046"</f>
        <v>8310046</v>
      </c>
      <c r="D16226" t="s">
        <v>49696</v>
      </c>
      <c r="E16226" t="s">
        <v>49697</v>
      </c>
      <c r="F16226" t="s">
        <v>49698</v>
      </c>
      <c r="I16226" t="s">
        <v>29</v>
      </c>
      <c r="J16226" t="s">
        <v>30</v>
      </c>
      <c r="K16226" t="s">
        <v>39498</v>
      </c>
      <c r="M16226" t="s">
        <v>49684</v>
      </c>
      <c r="N16226" t="str">
        <f>"12/29/2021 9:22:00 AM"</f>
        <v>12/29/2021 9:22:00 AM</v>
      </c>
      <c r="O16226" t="s">
        <v>49696</v>
      </c>
      <c r="T16226" t="s">
        <v>49697</v>
      </c>
    </row>
    <row r="16227" spans="1:20" x14ac:dyDescent="0.25">
      <c r="A16227" t="str">
        <f>"3038684"</f>
        <v>3038684</v>
      </c>
      <c r="B16227" t="s">
        <v>49699</v>
      </c>
      <c r="C16227" t="str">
        <f>"82527518"</f>
        <v>82527518</v>
      </c>
      <c r="D16227" t="s">
        <v>49700</v>
      </c>
      <c r="F16227" t="s">
        <v>1055</v>
      </c>
      <c r="I16227" t="s">
        <v>29</v>
      </c>
      <c r="J16227" t="s">
        <v>30</v>
      </c>
      <c r="K16227" t="s">
        <v>31</v>
      </c>
      <c r="M16227" t="s">
        <v>25733</v>
      </c>
      <c r="N16227" t="str">
        <f>"1/3/2022 9:33:00 AM"</f>
        <v>1/3/2022 9:33:00 AM</v>
      </c>
      <c r="O16227" t="s">
        <v>49700</v>
      </c>
    </row>
    <row r="16228" spans="1:20" x14ac:dyDescent="0.25">
      <c r="A16228" t="str">
        <f>"3064532"</f>
        <v>3064532</v>
      </c>
      <c r="B16228" t="s">
        <v>49701</v>
      </c>
      <c r="C16228" t="str">
        <f>"8316810"</f>
        <v>8316810</v>
      </c>
      <c r="D16228" t="str">
        <f>"SPILLMAN ROGER P/DEBORAH A"</f>
        <v>SPILLMAN ROGER P/DEBORAH A</v>
      </c>
      <c r="E16228" t="s">
        <v>49702</v>
      </c>
      <c r="F16228" t="s">
        <v>9579</v>
      </c>
      <c r="I16228" t="s">
        <v>9580</v>
      </c>
      <c r="J16228" t="s">
        <v>30</v>
      </c>
      <c r="K16228" t="s">
        <v>16893</v>
      </c>
      <c r="M16228" t="s">
        <v>18479</v>
      </c>
      <c r="N16228" t="str">
        <f>"1/10/2022 1:56:00 PM"</f>
        <v>1/10/2022 1:56:00 PM</v>
      </c>
      <c r="O16228" t="str">
        <f>"SPILLMAN ROGER P/DEBORAH A"</f>
        <v>SPILLMAN ROGER P/DEBORAH A</v>
      </c>
      <c r="T16228" t="s">
        <v>49702</v>
      </c>
    </row>
    <row r="16229" spans="1:20" x14ac:dyDescent="0.25">
      <c r="A16229" t="str">
        <f>"3045782"</f>
        <v>3045782</v>
      </c>
      <c r="B16229" t="s">
        <v>49703</v>
      </c>
      <c r="C16229" t="str">
        <f>"8317001"</f>
        <v>8317001</v>
      </c>
      <c r="D16229" t="s">
        <v>49704</v>
      </c>
      <c r="E16229" t="s">
        <v>49705</v>
      </c>
      <c r="F16229" t="s">
        <v>33247</v>
      </c>
      <c r="I16229" t="s">
        <v>29</v>
      </c>
      <c r="J16229" t="s">
        <v>30</v>
      </c>
      <c r="K16229" t="s">
        <v>19156</v>
      </c>
      <c r="M16229" t="s">
        <v>17861</v>
      </c>
      <c r="N16229" t="str">
        <f>"1/3/2022 10:21:00 AM"</f>
        <v>1/3/2022 10:21:00 AM</v>
      </c>
      <c r="O16229" t="s">
        <v>49704</v>
      </c>
      <c r="T16229" t="s">
        <v>49705</v>
      </c>
    </row>
    <row r="16230" spans="1:20" x14ac:dyDescent="0.25">
      <c r="A16230" t="str">
        <f>"3078146"</f>
        <v>3078146</v>
      </c>
      <c r="B16230" t="s">
        <v>49706</v>
      </c>
      <c r="C16230" t="str">
        <f>"8317001"</f>
        <v>8317001</v>
      </c>
      <c r="D16230" t="s">
        <v>49704</v>
      </c>
      <c r="E16230" t="s">
        <v>49705</v>
      </c>
      <c r="F16230" t="s">
        <v>33247</v>
      </c>
      <c r="I16230" t="s">
        <v>29</v>
      </c>
      <c r="J16230" t="s">
        <v>30</v>
      </c>
      <c r="K16230" t="s">
        <v>19156</v>
      </c>
      <c r="M16230" t="s">
        <v>17861</v>
      </c>
      <c r="N16230" t="str">
        <f>"1/3/2022 10:21:00 AM"</f>
        <v>1/3/2022 10:21:00 AM</v>
      </c>
      <c r="O16230" t="s">
        <v>49704</v>
      </c>
      <c r="T16230" t="s">
        <v>49705</v>
      </c>
    </row>
    <row r="16231" spans="1:20" x14ac:dyDescent="0.25">
      <c r="A16231" t="str">
        <f>"3060603"</f>
        <v>3060603</v>
      </c>
      <c r="B16231" t="s">
        <v>49707</v>
      </c>
      <c r="C16231" t="str">
        <f>"8317002"</f>
        <v>8317002</v>
      </c>
      <c r="D16231" t="s">
        <v>49708</v>
      </c>
      <c r="E16231" t="s">
        <v>49709</v>
      </c>
      <c r="F16231" t="s">
        <v>49710</v>
      </c>
      <c r="I16231" t="s">
        <v>2071</v>
      </c>
      <c r="J16231" t="s">
        <v>30</v>
      </c>
      <c r="K16231" t="s">
        <v>6390</v>
      </c>
      <c r="M16231" t="s">
        <v>17861</v>
      </c>
      <c r="N16231" t="str">
        <f>"1/3/2022 10:30:00 AM"</f>
        <v>1/3/2022 10:30:00 AM</v>
      </c>
      <c r="O16231" t="s">
        <v>49708</v>
      </c>
      <c r="T16231" t="s">
        <v>49709</v>
      </c>
    </row>
    <row r="16232" spans="1:20" x14ac:dyDescent="0.25">
      <c r="A16232" t="str">
        <f>"3040296"</f>
        <v>3040296</v>
      </c>
      <c r="B16232" t="s">
        <v>49711</v>
      </c>
      <c r="C16232" t="str">
        <f>"8313935"</f>
        <v>8313935</v>
      </c>
      <c r="D16232" t="s">
        <v>49637</v>
      </c>
      <c r="F16232" t="s">
        <v>49638</v>
      </c>
      <c r="I16232" t="s">
        <v>184</v>
      </c>
      <c r="J16232" t="s">
        <v>30</v>
      </c>
      <c r="K16232" t="s">
        <v>5724</v>
      </c>
      <c r="M16232" t="s">
        <v>25625</v>
      </c>
      <c r="N16232" t="str">
        <f>"1/5/2022 9:21:00 AM"</f>
        <v>1/5/2022 9:21:00 AM</v>
      </c>
      <c r="O16232" t="s">
        <v>49637</v>
      </c>
    </row>
    <row r="16233" spans="1:20" x14ac:dyDescent="0.25">
      <c r="A16233" t="str">
        <f>"3042186"</f>
        <v>3042186</v>
      </c>
      <c r="B16233" t="s">
        <v>49712</v>
      </c>
      <c r="C16233" t="str">
        <f>"29392000"</f>
        <v>29392000</v>
      </c>
      <c r="D16233" t="s">
        <v>21842</v>
      </c>
      <c r="F16233" t="s">
        <v>49713</v>
      </c>
      <c r="I16233" t="s">
        <v>29</v>
      </c>
      <c r="J16233" t="s">
        <v>30</v>
      </c>
      <c r="K16233" t="str">
        <f>"27028"</f>
        <v>27028</v>
      </c>
      <c r="M16233" t="s">
        <v>33432</v>
      </c>
      <c r="N16233" t="str">
        <f>"1/5/2022 10:24:00 AM"</f>
        <v>1/5/2022 10:24:00 AM</v>
      </c>
      <c r="O16233" t="s">
        <v>21842</v>
      </c>
    </row>
    <row r="16234" spans="1:20" x14ac:dyDescent="0.25">
      <c r="A16234" t="str">
        <f>"3057241"</f>
        <v>3057241</v>
      </c>
      <c r="B16234" t="s">
        <v>49714</v>
      </c>
      <c r="C16234" t="str">
        <f>"82530978"</f>
        <v>82530978</v>
      </c>
      <c r="D16234" t="s">
        <v>49715</v>
      </c>
      <c r="F16234" t="s">
        <v>49716</v>
      </c>
      <c r="I16234" t="s">
        <v>29</v>
      </c>
      <c r="J16234" t="s">
        <v>30</v>
      </c>
      <c r="K16234" t="s">
        <v>31</v>
      </c>
      <c r="M16234" t="s">
        <v>25625</v>
      </c>
      <c r="N16234" t="str">
        <f>"1/11/2022 12:24:00 PM"</f>
        <v>1/11/2022 12:24:00 PM</v>
      </c>
      <c r="O16234" t="s">
        <v>49715</v>
      </c>
    </row>
    <row r="16235" spans="1:20" x14ac:dyDescent="0.25">
      <c r="A16235" t="str">
        <f>"3052229"</f>
        <v>3052229</v>
      </c>
      <c r="B16235" t="s">
        <v>49717</v>
      </c>
      <c r="C16235" t="str">
        <f>"8308938"</f>
        <v>8308938</v>
      </c>
      <c r="D16235" t="s">
        <v>49718</v>
      </c>
      <c r="F16235" t="s">
        <v>49716</v>
      </c>
      <c r="I16235" t="s">
        <v>29</v>
      </c>
      <c r="J16235" t="s">
        <v>30</v>
      </c>
      <c r="K16235" t="s">
        <v>25848</v>
      </c>
      <c r="M16235" t="s">
        <v>25625</v>
      </c>
      <c r="N16235" t="str">
        <f>"1/11/2022 12:25:00 PM"</f>
        <v>1/11/2022 12:25:00 PM</v>
      </c>
      <c r="O16235" t="s">
        <v>49718</v>
      </c>
    </row>
    <row r="16236" spans="1:20" x14ac:dyDescent="0.25">
      <c r="A16236" t="str">
        <f>"3056275"</f>
        <v>3056275</v>
      </c>
      <c r="B16236" t="s">
        <v>49719</v>
      </c>
      <c r="C16236" t="str">
        <f>"8309079"</f>
        <v>8309079</v>
      </c>
      <c r="D16236" t="s">
        <v>49715</v>
      </c>
      <c r="E16236" t="s">
        <v>49720</v>
      </c>
      <c r="F16236" t="s">
        <v>49716</v>
      </c>
      <c r="I16236" t="s">
        <v>29</v>
      </c>
      <c r="J16236" t="s">
        <v>30</v>
      </c>
      <c r="K16236" t="s">
        <v>25848</v>
      </c>
      <c r="M16236" t="s">
        <v>25625</v>
      </c>
      <c r="N16236" t="str">
        <f>"1/11/2022 12:25:00 PM"</f>
        <v>1/11/2022 12:25:00 PM</v>
      </c>
      <c r="O16236" t="s">
        <v>49715</v>
      </c>
      <c r="T16236" t="s">
        <v>49720</v>
      </c>
    </row>
    <row r="16237" spans="1:20" x14ac:dyDescent="0.25">
      <c r="A16237" t="str">
        <f>"3056336"</f>
        <v>3056336</v>
      </c>
      <c r="B16237" t="s">
        <v>49721</v>
      </c>
      <c r="C16237" t="str">
        <f>"8309079"</f>
        <v>8309079</v>
      </c>
      <c r="D16237" t="s">
        <v>49715</v>
      </c>
      <c r="E16237" t="s">
        <v>49720</v>
      </c>
      <c r="F16237" t="s">
        <v>49716</v>
      </c>
      <c r="I16237" t="s">
        <v>29</v>
      </c>
      <c r="J16237" t="s">
        <v>30</v>
      </c>
      <c r="K16237" t="s">
        <v>25848</v>
      </c>
      <c r="M16237" t="s">
        <v>25625</v>
      </c>
      <c r="N16237" t="str">
        <f>"1/11/2022 12:25:00 PM"</f>
        <v>1/11/2022 12:25:00 PM</v>
      </c>
      <c r="O16237" t="s">
        <v>49715</v>
      </c>
      <c r="T16237" t="s">
        <v>49720</v>
      </c>
    </row>
    <row r="16238" spans="1:20" x14ac:dyDescent="0.25">
      <c r="A16238" t="str">
        <f>"3070957"</f>
        <v>3070957</v>
      </c>
      <c r="B16238" t="s">
        <v>49722</v>
      </c>
      <c r="C16238" t="str">
        <f>"8309079"</f>
        <v>8309079</v>
      </c>
      <c r="D16238" t="s">
        <v>49715</v>
      </c>
      <c r="E16238" t="s">
        <v>49720</v>
      </c>
      <c r="F16238" t="s">
        <v>49716</v>
      </c>
      <c r="I16238" t="s">
        <v>29</v>
      </c>
      <c r="J16238" t="s">
        <v>30</v>
      </c>
      <c r="K16238" t="s">
        <v>25848</v>
      </c>
      <c r="M16238" t="s">
        <v>25625</v>
      </c>
      <c r="N16238" t="str">
        <f>"1/11/2022 12:25:00 PM"</f>
        <v>1/11/2022 12:25:00 PM</v>
      </c>
      <c r="O16238" t="s">
        <v>49715</v>
      </c>
      <c r="T16238" t="s">
        <v>49720</v>
      </c>
    </row>
    <row r="16239" spans="1:20" x14ac:dyDescent="0.25">
      <c r="A16239" t="str">
        <f>"3077919"</f>
        <v>3077919</v>
      </c>
      <c r="B16239" t="s">
        <v>49723</v>
      </c>
      <c r="C16239" t="str">
        <f>"8311333"</f>
        <v>8311333</v>
      </c>
      <c r="D16239" t="s">
        <v>49724</v>
      </c>
      <c r="E16239" t="s">
        <v>49725</v>
      </c>
      <c r="F16239" t="s">
        <v>49726</v>
      </c>
      <c r="I16239" t="s">
        <v>29</v>
      </c>
      <c r="J16239" t="s">
        <v>30</v>
      </c>
      <c r="K16239" t="s">
        <v>49727</v>
      </c>
      <c r="M16239" t="s">
        <v>25733</v>
      </c>
      <c r="N16239" t="str">
        <f>"1/11/2022 3:09:00 PM"</f>
        <v>1/11/2022 3:09:00 PM</v>
      </c>
      <c r="O16239" t="s">
        <v>49724</v>
      </c>
      <c r="T16239" t="s">
        <v>49725</v>
      </c>
    </row>
    <row r="16240" spans="1:20" x14ac:dyDescent="0.25">
      <c r="A16240" t="str">
        <f>"3042188"</f>
        <v>3042188</v>
      </c>
      <c r="B16240" t="s">
        <v>49728</v>
      </c>
      <c r="C16240" t="str">
        <f>"29392000"</f>
        <v>29392000</v>
      </c>
      <c r="D16240" t="s">
        <v>21842</v>
      </c>
      <c r="F16240" t="s">
        <v>49713</v>
      </c>
      <c r="I16240" t="s">
        <v>29</v>
      </c>
      <c r="J16240" t="s">
        <v>30</v>
      </c>
      <c r="K16240" t="str">
        <f>"27028"</f>
        <v>27028</v>
      </c>
      <c r="M16240" t="s">
        <v>33432</v>
      </c>
      <c r="N16240" t="str">
        <f>"1/5/2022 10:24:00 AM"</f>
        <v>1/5/2022 10:24:00 AM</v>
      </c>
      <c r="O16240" t="s">
        <v>21842</v>
      </c>
    </row>
    <row r="16241" spans="1:20" x14ac:dyDescent="0.25">
      <c r="A16241" t="str">
        <f>"3058379"</f>
        <v>3058379</v>
      </c>
      <c r="B16241" t="s">
        <v>49729</v>
      </c>
      <c r="C16241" t="str">
        <f>"82524134"</f>
        <v>82524134</v>
      </c>
      <c r="D16241" t="s">
        <v>49730</v>
      </c>
      <c r="F16241" t="s">
        <v>49731</v>
      </c>
      <c r="G16241" t="s">
        <v>49732</v>
      </c>
      <c r="I16241" t="s">
        <v>49733</v>
      </c>
      <c r="J16241" t="s">
        <v>30</v>
      </c>
      <c r="K16241" t="s">
        <v>49734</v>
      </c>
      <c r="M16241" t="s">
        <v>33845</v>
      </c>
      <c r="N16241" t="str">
        <f>"1/5/2022 2:31:00 PM"</f>
        <v>1/5/2022 2:31:00 PM</v>
      </c>
      <c r="O16241" t="s">
        <v>49730</v>
      </c>
    </row>
    <row r="16242" spans="1:20" x14ac:dyDescent="0.25">
      <c r="A16242" t="str">
        <f>"3059175"</f>
        <v>3059175</v>
      </c>
      <c r="B16242" t="s">
        <v>49735</v>
      </c>
      <c r="C16242" t="str">
        <f>"8315750"</f>
        <v>8315750</v>
      </c>
      <c r="D16242" t="s">
        <v>49736</v>
      </c>
      <c r="F16242" t="s">
        <v>49737</v>
      </c>
      <c r="I16242" t="s">
        <v>29</v>
      </c>
      <c r="J16242" t="s">
        <v>30</v>
      </c>
      <c r="K16242" t="s">
        <v>49738</v>
      </c>
      <c r="M16242" t="s">
        <v>25733</v>
      </c>
      <c r="N16242" t="str">
        <f>"1/5/2022 4:18:00 PM"</f>
        <v>1/5/2022 4:18:00 PM</v>
      </c>
      <c r="O16242" t="s">
        <v>49736</v>
      </c>
    </row>
    <row r="16243" spans="1:20" x14ac:dyDescent="0.25">
      <c r="A16243" t="str">
        <f>"3062572"</f>
        <v>3062572</v>
      </c>
      <c r="B16243" t="s">
        <v>49739</v>
      </c>
      <c r="C16243" t="str">
        <f>"8314805"</f>
        <v>8314805</v>
      </c>
      <c r="D16243" t="s">
        <v>49740</v>
      </c>
      <c r="E16243" t="s">
        <v>49741</v>
      </c>
      <c r="F16243" t="s">
        <v>49742</v>
      </c>
      <c r="I16243" t="s">
        <v>184</v>
      </c>
      <c r="J16243" t="s">
        <v>30</v>
      </c>
      <c r="K16243" t="s">
        <v>48651</v>
      </c>
      <c r="M16243" t="s">
        <v>18479</v>
      </c>
      <c r="N16243" t="str">
        <f>"1/5/2022 4:31:00 PM"</f>
        <v>1/5/2022 4:31:00 PM</v>
      </c>
      <c r="O16243" t="s">
        <v>49740</v>
      </c>
      <c r="T16243" t="s">
        <v>49741</v>
      </c>
    </row>
    <row r="16244" spans="1:20" x14ac:dyDescent="0.25">
      <c r="A16244" t="str">
        <f>"3038378"</f>
        <v>3038378</v>
      </c>
      <c r="B16244" t="s">
        <v>49743</v>
      </c>
      <c r="C16244" t="str">
        <f>"8305587"</f>
        <v>8305587</v>
      </c>
      <c r="D16244" t="s">
        <v>49744</v>
      </c>
      <c r="E16244" t="s">
        <v>49745</v>
      </c>
      <c r="F16244" t="s">
        <v>49746</v>
      </c>
      <c r="I16244" t="s">
        <v>29</v>
      </c>
      <c r="J16244" t="s">
        <v>30</v>
      </c>
      <c r="K16244" t="s">
        <v>49747</v>
      </c>
      <c r="M16244" t="s">
        <v>18479</v>
      </c>
      <c r="N16244" t="str">
        <f>"1/5/2022 4:32:00 PM"</f>
        <v>1/5/2022 4:32:00 PM</v>
      </c>
      <c r="O16244" t="s">
        <v>49744</v>
      </c>
      <c r="T16244" t="s">
        <v>49745</v>
      </c>
    </row>
    <row r="16245" spans="1:20" x14ac:dyDescent="0.25">
      <c r="A16245" t="str">
        <f>"3037968"</f>
        <v>3037968</v>
      </c>
      <c r="B16245" t="s">
        <v>49748</v>
      </c>
      <c r="C16245" t="str">
        <f>"8305587"</f>
        <v>8305587</v>
      </c>
      <c r="D16245" t="s">
        <v>49744</v>
      </c>
      <c r="E16245" t="s">
        <v>49745</v>
      </c>
      <c r="F16245" t="s">
        <v>49746</v>
      </c>
      <c r="I16245" t="s">
        <v>29</v>
      </c>
      <c r="J16245" t="s">
        <v>30</v>
      </c>
      <c r="K16245" t="s">
        <v>49747</v>
      </c>
      <c r="M16245" t="s">
        <v>18479</v>
      </c>
      <c r="N16245" t="str">
        <f>"1/5/2022 4:32:00 PM"</f>
        <v>1/5/2022 4:32:00 PM</v>
      </c>
      <c r="O16245" t="s">
        <v>49744</v>
      </c>
      <c r="T16245" t="s">
        <v>49745</v>
      </c>
    </row>
    <row r="16246" spans="1:20" x14ac:dyDescent="0.25">
      <c r="A16246" t="str">
        <f>"3042160"</f>
        <v>3042160</v>
      </c>
      <c r="B16246" t="s">
        <v>49749</v>
      </c>
      <c r="C16246" t="str">
        <f>"82529753"</f>
        <v>82529753</v>
      </c>
      <c r="D16246" t="s">
        <v>49744</v>
      </c>
      <c r="F16246" t="s">
        <v>49746</v>
      </c>
      <c r="I16246" t="s">
        <v>29</v>
      </c>
      <c r="J16246" t="s">
        <v>30</v>
      </c>
      <c r="K16246" t="s">
        <v>49747</v>
      </c>
      <c r="M16246" t="s">
        <v>18479</v>
      </c>
      <c r="N16246" t="str">
        <f>"1/5/2022 4:32:00 PM"</f>
        <v>1/5/2022 4:32:00 PM</v>
      </c>
      <c r="O16246" t="s">
        <v>49744</v>
      </c>
    </row>
    <row r="16247" spans="1:20" x14ac:dyDescent="0.25">
      <c r="A16247" t="str">
        <f>"3049716"</f>
        <v>3049716</v>
      </c>
      <c r="B16247" t="s">
        <v>49750</v>
      </c>
      <c r="C16247" t="str">
        <f>"8313571"</f>
        <v>8313571</v>
      </c>
      <c r="D16247" t="s">
        <v>49751</v>
      </c>
      <c r="E16247" t="s">
        <v>49752</v>
      </c>
      <c r="F16247" t="s">
        <v>49753</v>
      </c>
      <c r="I16247" t="s">
        <v>24359</v>
      </c>
      <c r="J16247" t="s">
        <v>30</v>
      </c>
      <c r="K16247" t="str">
        <f>"27006"</f>
        <v>27006</v>
      </c>
      <c r="M16247" t="s">
        <v>18479</v>
      </c>
      <c r="N16247" t="str">
        <f>"1/5/2022 4:33:00 PM"</f>
        <v>1/5/2022 4:33:00 PM</v>
      </c>
      <c r="O16247" t="s">
        <v>49751</v>
      </c>
      <c r="T16247" t="s">
        <v>49752</v>
      </c>
    </row>
    <row r="16248" spans="1:20" x14ac:dyDescent="0.25">
      <c r="A16248" t="str">
        <f>"3038868"</f>
        <v>3038868</v>
      </c>
      <c r="B16248" t="s">
        <v>49754</v>
      </c>
      <c r="C16248" t="str">
        <f>"8317018"</f>
        <v>8317018</v>
      </c>
      <c r="D16248" t="s">
        <v>49755</v>
      </c>
      <c r="E16248" t="s">
        <v>49756</v>
      </c>
      <c r="F16248" t="s">
        <v>49757</v>
      </c>
      <c r="I16248" t="s">
        <v>29</v>
      </c>
      <c r="J16248" t="s">
        <v>30</v>
      </c>
      <c r="K16248" t="s">
        <v>49758</v>
      </c>
      <c r="M16248" t="s">
        <v>17861</v>
      </c>
      <c r="N16248" t="str">
        <f>"1/6/2022 9:36:00 AM"</f>
        <v>1/6/2022 9:36:00 AM</v>
      </c>
      <c r="O16248" t="s">
        <v>49755</v>
      </c>
      <c r="T16248" t="s">
        <v>49756</v>
      </c>
    </row>
    <row r="16249" spans="1:20" x14ac:dyDescent="0.25">
      <c r="A16249" t="str">
        <f>"3077960"</f>
        <v>3077960</v>
      </c>
      <c r="B16249" t="s">
        <v>49759</v>
      </c>
      <c r="C16249" t="str">
        <f>"74852500"</f>
        <v>74852500</v>
      </c>
      <c r="D16249" t="s">
        <v>49760</v>
      </c>
      <c r="F16249" t="s">
        <v>49761</v>
      </c>
      <c r="I16249" t="s">
        <v>29</v>
      </c>
      <c r="J16249" t="s">
        <v>30</v>
      </c>
      <c r="K16249" t="s">
        <v>31</v>
      </c>
      <c r="M16249" t="s">
        <v>25733</v>
      </c>
      <c r="N16249" t="str">
        <f>"1/20/2022 10:28:00 AM"</f>
        <v>1/20/2022 10:28:00 AM</v>
      </c>
      <c r="O16249" t="s">
        <v>49760</v>
      </c>
    </row>
    <row r="16250" spans="1:20" x14ac:dyDescent="0.25">
      <c r="A16250" t="str">
        <f>"3041552"</f>
        <v>3041552</v>
      </c>
      <c r="B16250" t="s">
        <v>49762</v>
      </c>
      <c r="C16250" t="str">
        <f>"82524753"</f>
        <v>82524753</v>
      </c>
      <c r="D16250" t="s">
        <v>49763</v>
      </c>
      <c r="F16250" t="s">
        <v>49764</v>
      </c>
      <c r="I16250" t="s">
        <v>2071</v>
      </c>
      <c r="J16250" t="s">
        <v>30</v>
      </c>
      <c r="K16250" t="s">
        <v>185</v>
      </c>
      <c r="M16250" t="s">
        <v>33845</v>
      </c>
      <c r="N16250" t="str">
        <f>"1/20/2022 11:05:00 AM"</f>
        <v>1/20/2022 11:05:00 AM</v>
      </c>
      <c r="O16250" t="s">
        <v>49763</v>
      </c>
    </row>
    <row r="16251" spans="1:20" x14ac:dyDescent="0.25">
      <c r="A16251" t="str">
        <f>"3064013"</f>
        <v>3064013</v>
      </c>
      <c r="B16251" t="s">
        <v>49765</v>
      </c>
      <c r="C16251" t="str">
        <f>"74804750"</f>
        <v>74804750</v>
      </c>
      <c r="D16251" t="s">
        <v>49766</v>
      </c>
      <c r="F16251" t="s">
        <v>49767</v>
      </c>
      <c r="I16251" t="s">
        <v>184</v>
      </c>
      <c r="J16251" t="s">
        <v>30</v>
      </c>
      <c r="K16251" t="s">
        <v>185</v>
      </c>
      <c r="M16251" t="s">
        <v>33845</v>
      </c>
      <c r="N16251" t="str">
        <f>"1/6/2022 9:51:00 AM"</f>
        <v>1/6/2022 9:51:00 AM</v>
      </c>
      <c r="O16251" t="s">
        <v>49766</v>
      </c>
    </row>
    <row r="16252" spans="1:20" x14ac:dyDescent="0.25">
      <c r="A16252" t="str">
        <f>"3053202"</f>
        <v>3053202</v>
      </c>
      <c r="B16252" t="s">
        <v>49768</v>
      </c>
      <c r="C16252" t="str">
        <f>"8301843"</f>
        <v>8301843</v>
      </c>
      <c r="D16252" t="s">
        <v>49769</v>
      </c>
      <c r="F16252" t="s">
        <v>49770</v>
      </c>
      <c r="I16252" t="s">
        <v>184</v>
      </c>
      <c r="J16252" t="s">
        <v>30</v>
      </c>
      <c r="K16252" t="str">
        <f>"27006"</f>
        <v>27006</v>
      </c>
      <c r="M16252" t="s">
        <v>33845</v>
      </c>
      <c r="N16252" t="str">
        <f>"1/6/2022 10:34:00 AM"</f>
        <v>1/6/2022 10:34:00 AM</v>
      </c>
      <c r="O16252" t="s">
        <v>49769</v>
      </c>
    </row>
    <row r="16253" spans="1:20" x14ac:dyDescent="0.25">
      <c r="A16253" t="str">
        <f>"3065918"</f>
        <v>3065918</v>
      </c>
      <c r="B16253" t="s">
        <v>49771</v>
      </c>
      <c r="C16253" t="str">
        <f>"8316168"</f>
        <v>8316168</v>
      </c>
      <c r="D16253" t="s">
        <v>49772</v>
      </c>
      <c r="E16253" t="s">
        <v>49773</v>
      </c>
      <c r="F16253" t="s">
        <v>49774</v>
      </c>
      <c r="I16253" t="s">
        <v>29</v>
      </c>
      <c r="J16253" t="s">
        <v>30</v>
      </c>
      <c r="K16253" t="s">
        <v>48167</v>
      </c>
      <c r="M16253" t="s">
        <v>18479</v>
      </c>
      <c r="N16253" t="str">
        <f>"1/7/2022 9:50:00 AM"</f>
        <v>1/7/2022 9:50:00 AM</v>
      </c>
      <c r="O16253" t="s">
        <v>49772</v>
      </c>
      <c r="T16253" t="s">
        <v>49773</v>
      </c>
    </row>
    <row r="16254" spans="1:20" x14ac:dyDescent="0.25">
      <c r="A16254" t="str">
        <f>"3052329"</f>
        <v>3052329</v>
      </c>
      <c r="B16254" t="s">
        <v>49775</v>
      </c>
      <c r="C16254" t="str">
        <f>"8317037"</f>
        <v>8317037</v>
      </c>
      <c r="D16254" t="s">
        <v>49776</v>
      </c>
      <c r="F16254" t="s">
        <v>48536</v>
      </c>
      <c r="I16254" t="s">
        <v>48537</v>
      </c>
      <c r="J16254" t="s">
        <v>12725</v>
      </c>
      <c r="K16254" t="s">
        <v>48538</v>
      </c>
      <c r="M16254" t="s">
        <v>17861</v>
      </c>
      <c r="N16254" t="str">
        <f>"1/20/2022 1:56:00 PM"</f>
        <v>1/20/2022 1:56:00 PM</v>
      </c>
      <c r="O16254" t="s">
        <v>49776</v>
      </c>
    </row>
    <row r="16255" spans="1:20" x14ac:dyDescent="0.25">
      <c r="A16255" t="str">
        <f>"3041328"</f>
        <v>3041328</v>
      </c>
      <c r="B16255" t="s">
        <v>49777</v>
      </c>
      <c r="C16255" t="str">
        <f>"8317037"</f>
        <v>8317037</v>
      </c>
      <c r="D16255" t="s">
        <v>49776</v>
      </c>
      <c r="F16255" t="s">
        <v>48536</v>
      </c>
      <c r="I16255" t="s">
        <v>48537</v>
      </c>
      <c r="J16255" t="s">
        <v>12725</v>
      </c>
      <c r="K16255" t="s">
        <v>48538</v>
      </c>
      <c r="M16255" t="s">
        <v>17861</v>
      </c>
      <c r="N16255" t="str">
        <f>"1/20/2022 1:56:00 PM"</f>
        <v>1/20/2022 1:56:00 PM</v>
      </c>
      <c r="O16255" t="s">
        <v>49776</v>
      </c>
    </row>
    <row r="16256" spans="1:20" x14ac:dyDescent="0.25">
      <c r="A16256" t="str">
        <f>"3046748"</f>
        <v>3046748</v>
      </c>
      <c r="B16256" t="s">
        <v>49778</v>
      </c>
      <c r="C16256" t="str">
        <f>"8317038"</f>
        <v>8317038</v>
      </c>
      <c r="D16256" t="s">
        <v>49779</v>
      </c>
      <c r="E16256" t="s">
        <v>49780</v>
      </c>
      <c r="F16256" t="s">
        <v>49781</v>
      </c>
      <c r="I16256" t="s">
        <v>184</v>
      </c>
      <c r="J16256" t="s">
        <v>30</v>
      </c>
      <c r="K16256" t="s">
        <v>35056</v>
      </c>
      <c r="M16256" t="s">
        <v>17861</v>
      </c>
      <c r="N16256" t="str">
        <f>"1/20/2022 2:09:00 PM"</f>
        <v>1/20/2022 2:09:00 PM</v>
      </c>
      <c r="O16256" t="s">
        <v>49779</v>
      </c>
      <c r="T16256" t="s">
        <v>49780</v>
      </c>
    </row>
    <row r="16257" spans="1:20" x14ac:dyDescent="0.25">
      <c r="A16257" t="str">
        <f>"3038554"</f>
        <v>3038554</v>
      </c>
      <c r="B16257" t="s">
        <v>49782</v>
      </c>
      <c r="C16257" t="str">
        <f>"8317039"</f>
        <v>8317039</v>
      </c>
      <c r="D16257" t="str">
        <f>"FLIPPIN MICHAEL D SR/JENNIFER W"</f>
        <v>FLIPPIN MICHAEL D SR/JENNIFER W</v>
      </c>
      <c r="E16257" t="s">
        <v>3882</v>
      </c>
      <c r="F16257" t="s">
        <v>49783</v>
      </c>
      <c r="I16257" t="s">
        <v>29</v>
      </c>
      <c r="J16257" t="s">
        <v>30</v>
      </c>
      <c r="K16257" t="s">
        <v>38456</v>
      </c>
      <c r="M16257" t="s">
        <v>17861</v>
      </c>
      <c r="N16257" t="str">
        <f>"1/20/2022 2:35:00 PM"</f>
        <v>1/20/2022 2:35:00 PM</v>
      </c>
      <c r="O16257" t="str">
        <f>"FLIPPIN MICHAEL D SR/JENNIFER W"</f>
        <v>FLIPPIN MICHAEL D SR/JENNIFER W</v>
      </c>
      <c r="T16257" t="s">
        <v>3882</v>
      </c>
    </row>
    <row r="16258" spans="1:20" x14ac:dyDescent="0.25">
      <c r="A16258" t="str">
        <f>"3061793"</f>
        <v>3061793</v>
      </c>
      <c r="B16258" t="s">
        <v>49784</v>
      </c>
      <c r="C16258" t="str">
        <f>"8317040"</f>
        <v>8317040</v>
      </c>
      <c r="D16258" t="s">
        <v>49785</v>
      </c>
      <c r="F16258" t="s">
        <v>49786</v>
      </c>
      <c r="I16258" t="s">
        <v>49787</v>
      </c>
      <c r="J16258" t="s">
        <v>28425</v>
      </c>
      <c r="K16258" t="s">
        <v>49788</v>
      </c>
      <c r="M16258" t="s">
        <v>17861</v>
      </c>
      <c r="N16258" t="str">
        <f>"1/20/2022 2:45:00 PM"</f>
        <v>1/20/2022 2:45:00 PM</v>
      </c>
      <c r="O16258" t="s">
        <v>49785</v>
      </c>
    </row>
    <row r="16259" spans="1:20" x14ac:dyDescent="0.25">
      <c r="A16259" t="str">
        <f>"3062188"</f>
        <v>3062188</v>
      </c>
      <c r="B16259" t="s">
        <v>49789</v>
      </c>
      <c r="C16259" t="str">
        <f>"8316168"</f>
        <v>8316168</v>
      </c>
      <c r="D16259" t="s">
        <v>49772</v>
      </c>
      <c r="E16259" t="s">
        <v>49773</v>
      </c>
      <c r="F16259" t="s">
        <v>49774</v>
      </c>
      <c r="I16259" t="s">
        <v>29</v>
      </c>
      <c r="J16259" t="s">
        <v>30</v>
      </c>
      <c r="K16259" t="s">
        <v>48167</v>
      </c>
      <c r="M16259" t="s">
        <v>18479</v>
      </c>
      <c r="N16259" t="str">
        <f>"1/7/2022 9:50:00 AM"</f>
        <v>1/7/2022 9:50:00 AM</v>
      </c>
      <c r="O16259" t="s">
        <v>49772</v>
      </c>
      <c r="T16259" t="s">
        <v>49773</v>
      </c>
    </row>
    <row r="16260" spans="1:20" x14ac:dyDescent="0.25">
      <c r="A16260" t="str">
        <f>"3047096"</f>
        <v>3047096</v>
      </c>
      <c r="B16260" t="s">
        <v>49790</v>
      </c>
      <c r="C16260" t="str">
        <f>"8317021"</f>
        <v>8317021</v>
      </c>
      <c r="D16260" t="s">
        <v>49791</v>
      </c>
      <c r="F16260" t="s">
        <v>49792</v>
      </c>
      <c r="I16260" t="s">
        <v>29</v>
      </c>
      <c r="J16260" t="s">
        <v>30</v>
      </c>
      <c r="K16260" t="s">
        <v>559</v>
      </c>
      <c r="M16260" t="s">
        <v>17861</v>
      </c>
      <c r="N16260" t="str">
        <f>"1/10/2022 11:07:00 AM"</f>
        <v>1/10/2022 11:07:00 AM</v>
      </c>
      <c r="O16260" t="s">
        <v>49791</v>
      </c>
    </row>
    <row r="16261" spans="1:20" x14ac:dyDescent="0.25">
      <c r="A16261" t="str">
        <f>"3070281"</f>
        <v>3070281</v>
      </c>
      <c r="B16261" t="s">
        <v>49793</v>
      </c>
      <c r="C16261" t="str">
        <f>"70713500"</f>
        <v>70713500</v>
      </c>
      <c r="D16261" t="s">
        <v>49794</v>
      </c>
      <c r="F16261" t="s">
        <v>49795</v>
      </c>
      <c r="I16261" t="s">
        <v>17921</v>
      </c>
      <c r="J16261" t="s">
        <v>30</v>
      </c>
      <c r="K16261" t="str">
        <f>"27028"</f>
        <v>27028</v>
      </c>
      <c r="M16261" t="s">
        <v>25625</v>
      </c>
      <c r="N16261" t="str">
        <f>"1/3/2022 2:29:00 PM"</f>
        <v>1/3/2022 2:29:00 PM</v>
      </c>
      <c r="O16261" t="s">
        <v>49794</v>
      </c>
    </row>
    <row r="16262" spans="1:20" x14ac:dyDescent="0.25">
      <c r="A16262" t="str">
        <f>"3043689"</f>
        <v>3043689</v>
      </c>
      <c r="B16262" t="s">
        <v>49796</v>
      </c>
      <c r="C16262" t="str">
        <f>"8311871"</f>
        <v>8311871</v>
      </c>
      <c r="D16262" t="s">
        <v>49797</v>
      </c>
      <c r="E16262" t="s">
        <v>49798</v>
      </c>
      <c r="F16262" t="s">
        <v>49799</v>
      </c>
      <c r="I16262" t="s">
        <v>29</v>
      </c>
      <c r="J16262" t="s">
        <v>30</v>
      </c>
      <c r="K16262" t="s">
        <v>7356</v>
      </c>
      <c r="M16262" t="s">
        <v>33432</v>
      </c>
      <c r="N16262" t="str">
        <f>"1/3/2022 3:44:00 PM"</f>
        <v>1/3/2022 3:44:00 PM</v>
      </c>
      <c r="O16262" t="s">
        <v>49797</v>
      </c>
      <c r="T16262" t="s">
        <v>49798</v>
      </c>
    </row>
    <row r="16263" spans="1:20" x14ac:dyDescent="0.25">
      <c r="A16263" t="str">
        <f>"3052262"</f>
        <v>3052262</v>
      </c>
      <c r="B16263" t="s">
        <v>49800</v>
      </c>
      <c r="C16263" t="str">
        <f>"46160000"</f>
        <v>46160000</v>
      </c>
      <c r="D16263" t="s">
        <v>49801</v>
      </c>
      <c r="F16263" t="s">
        <v>49802</v>
      </c>
      <c r="I16263" t="s">
        <v>29</v>
      </c>
      <c r="J16263" t="s">
        <v>30</v>
      </c>
      <c r="K16263" t="s">
        <v>38671</v>
      </c>
      <c r="M16263" t="s">
        <v>25733</v>
      </c>
      <c r="N16263" t="str">
        <f>"1/4/2022 1:45:00 PM"</f>
        <v>1/4/2022 1:45:00 PM</v>
      </c>
      <c r="O16263" t="s">
        <v>49801</v>
      </c>
    </row>
    <row r="16264" spans="1:20" x14ac:dyDescent="0.25">
      <c r="A16264" t="str">
        <f>"3072159"</f>
        <v>3072159</v>
      </c>
      <c r="B16264" t="s">
        <v>49803</v>
      </c>
      <c r="C16264" t="str">
        <f>"46160000"</f>
        <v>46160000</v>
      </c>
      <c r="D16264" t="s">
        <v>49801</v>
      </c>
      <c r="F16264" t="s">
        <v>49802</v>
      </c>
      <c r="I16264" t="s">
        <v>29</v>
      </c>
      <c r="J16264" t="s">
        <v>30</v>
      </c>
      <c r="K16264" t="s">
        <v>38671</v>
      </c>
      <c r="M16264" t="s">
        <v>25733</v>
      </c>
      <c r="N16264" t="str">
        <f>"1/4/2022 1:45:00 PM"</f>
        <v>1/4/2022 1:45:00 PM</v>
      </c>
      <c r="O16264" t="s">
        <v>49801</v>
      </c>
    </row>
    <row r="16265" spans="1:20" x14ac:dyDescent="0.25">
      <c r="A16265" t="str">
        <f>"3078225"</f>
        <v>3078225</v>
      </c>
      <c r="B16265" t="s">
        <v>49804</v>
      </c>
      <c r="C16265" t="str">
        <f>"35264000"</f>
        <v>35264000</v>
      </c>
      <c r="D16265" t="s">
        <v>49805</v>
      </c>
      <c r="E16265" t="s">
        <v>49806</v>
      </c>
      <c r="F16265" t="s">
        <v>34536</v>
      </c>
      <c r="I16265" t="s">
        <v>29</v>
      </c>
      <c r="J16265" t="s">
        <v>30</v>
      </c>
      <c r="K16265" t="s">
        <v>33498</v>
      </c>
      <c r="M16265" t="s">
        <v>25733</v>
      </c>
      <c r="N16265" t="str">
        <f>"1/4/2022 3:00:00 PM"</f>
        <v>1/4/2022 3:00:00 PM</v>
      </c>
      <c r="O16265" t="s">
        <v>49805</v>
      </c>
      <c r="T16265" t="s">
        <v>49806</v>
      </c>
    </row>
    <row r="16266" spans="1:20" x14ac:dyDescent="0.25">
      <c r="A16266" t="str">
        <f>"3049152"</f>
        <v>3049152</v>
      </c>
      <c r="B16266" t="s">
        <v>49807</v>
      </c>
      <c r="C16266" t="str">
        <f>"8312515"</f>
        <v>8312515</v>
      </c>
      <c r="D16266" t="s">
        <v>49808</v>
      </c>
      <c r="F16266" t="s">
        <v>49716</v>
      </c>
      <c r="I16266" t="s">
        <v>29</v>
      </c>
      <c r="J16266" t="s">
        <v>30</v>
      </c>
      <c r="K16266" t="str">
        <f>"27028"</f>
        <v>27028</v>
      </c>
      <c r="M16266" t="s">
        <v>25625</v>
      </c>
      <c r="N16266" t="str">
        <f>"1/11/2022 12:21:00 PM"</f>
        <v>1/11/2022 12:21:00 PM</v>
      </c>
      <c r="O16266" t="s">
        <v>49808</v>
      </c>
    </row>
    <row r="16267" spans="1:20" x14ac:dyDescent="0.25">
      <c r="A16267" t="str">
        <f>"3041878"</f>
        <v>3041878</v>
      </c>
      <c r="B16267" t="s">
        <v>49809</v>
      </c>
      <c r="C16267" t="str">
        <f>"8308898"</f>
        <v>8308898</v>
      </c>
      <c r="D16267" t="s">
        <v>49810</v>
      </c>
      <c r="F16267" t="s">
        <v>49811</v>
      </c>
      <c r="I16267" t="s">
        <v>471</v>
      </c>
      <c r="J16267" t="s">
        <v>30</v>
      </c>
      <c r="K16267" t="str">
        <f>"27103"</f>
        <v>27103</v>
      </c>
      <c r="M16267" t="s">
        <v>25733</v>
      </c>
      <c r="N16267" t="str">
        <f>"1/12/2022 10:11:00 AM"</f>
        <v>1/12/2022 10:11:00 AM</v>
      </c>
      <c r="O16267" t="s">
        <v>49810</v>
      </c>
    </row>
    <row r="16268" spans="1:20" x14ac:dyDescent="0.25">
      <c r="A16268" t="str">
        <f>"3056577"</f>
        <v>3056577</v>
      </c>
      <c r="B16268" t="s">
        <v>49812</v>
      </c>
      <c r="C16268" t="str">
        <f>"82520122"</f>
        <v>82520122</v>
      </c>
      <c r="D16268" t="s">
        <v>22203</v>
      </c>
      <c r="F16268" t="s">
        <v>22204</v>
      </c>
      <c r="I16268" t="s">
        <v>9580</v>
      </c>
      <c r="J16268" t="s">
        <v>30</v>
      </c>
      <c r="K16268" t="s">
        <v>22205</v>
      </c>
      <c r="M16268" t="s">
        <v>33845</v>
      </c>
      <c r="N16268" t="str">
        <f>"1/12/2022 11:52:00 AM"</f>
        <v>1/12/2022 11:52:00 AM</v>
      </c>
      <c r="O16268" t="s">
        <v>22203</v>
      </c>
    </row>
    <row r="16269" spans="1:20" x14ac:dyDescent="0.25">
      <c r="A16269" t="str">
        <f>"3056029"</f>
        <v>3056029</v>
      </c>
      <c r="B16269" t="s">
        <v>49813</v>
      </c>
      <c r="C16269" t="str">
        <f>"82520122"</f>
        <v>82520122</v>
      </c>
      <c r="D16269" t="s">
        <v>22203</v>
      </c>
      <c r="F16269" t="s">
        <v>22204</v>
      </c>
      <c r="I16269" t="s">
        <v>9580</v>
      </c>
      <c r="J16269" t="s">
        <v>30</v>
      </c>
      <c r="K16269" t="s">
        <v>22205</v>
      </c>
      <c r="M16269" t="s">
        <v>33845</v>
      </c>
      <c r="N16269" t="str">
        <f>"1/12/2022 11:52:00 AM"</f>
        <v>1/12/2022 11:52:00 AM</v>
      </c>
      <c r="O16269" t="s">
        <v>22203</v>
      </c>
    </row>
    <row r="16270" spans="1:20" x14ac:dyDescent="0.25">
      <c r="A16270" t="str">
        <f>"3055945"</f>
        <v>3055945</v>
      </c>
      <c r="B16270" t="s">
        <v>49814</v>
      </c>
      <c r="C16270" t="str">
        <f>"82520122"</f>
        <v>82520122</v>
      </c>
      <c r="D16270" t="s">
        <v>22203</v>
      </c>
      <c r="F16270" t="s">
        <v>22204</v>
      </c>
      <c r="I16270" t="s">
        <v>9580</v>
      </c>
      <c r="J16270" t="s">
        <v>30</v>
      </c>
      <c r="K16270" t="s">
        <v>22205</v>
      </c>
      <c r="M16270" t="s">
        <v>33845</v>
      </c>
      <c r="N16270" t="str">
        <f>"1/12/2022 11:52:00 AM"</f>
        <v>1/12/2022 11:52:00 AM</v>
      </c>
      <c r="O16270" t="s">
        <v>22203</v>
      </c>
    </row>
    <row r="16271" spans="1:20" x14ac:dyDescent="0.25">
      <c r="A16271" t="str">
        <f>"3055852"</f>
        <v>3055852</v>
      </c>
      <c r="B16271" t="s">
        <v>49815</v>
      </c>
      <c r="C16271" t="str">
        <f>"82520122"</f>
        <v>82520122</v>
      </c>
      <c r="D16271" t="s">
        <v>22203</v>
      </c>
      <c r="F16271" t="s">
        <v>22204</v>
      </c>
      <c r="I16271" t="s">
        <v>9580</v>
      </c>
      <c r="J16271" t="s">
        <v>30</v>
      </c>
      <c r="K16271" t="s">
        <v>22205</v>
      </c>
      <c r="M16271" t="s">
        <v>33845</v>
      </c>
      <c r="N16271" t="str">
        <f>"1/12/2022 11:52:00 AM"</f>
        <v>1/12/2022 11:52:00 AM</v>
      </c>
      <c r="O16271" t="s">
        <v>22203</v>
      </c>
    </row>
    <row r="16272" spans="1:20" x14ac:dyDescent="0.25">
      <c r="A16272" t="str">
        <f>"3054275"</f>
        <v>3054275</v>
      </c>
      <c r="B16272" t="s">
        <v>49816</v>
      </c>
      <c r="C16272" t="str">
        <f>"82520122"</f>
        <v>82520122</v>
      </c>
      <c r="D16272" t="s">
        <v>22203</v>
      </c>
      <c r="F16272" t="s">
        <v>22204</v>
      </c>
      <c r="I16272" t="s">
        <v>9580</v>
      </c>
      <c r="J16272" t="s">
        <v>30</v>
      </c>
      <c r="K16272" t="s">
        <v>22205</v>
      </c>
      <c r="M16272" t="s">
        <v>33845</v>
      </c>
      <c r="N16272" t="str">
        <f>"1/12/2022 11:52:00 AM"</f>
        <v>1/12/2022 11:52:00 AM</v>
      </c>
      <c r="O16272" t="s">
        <v>22203</v>
      </c>
    </row>
    <row r="16273" spans="1:20" x14ac:dyDescent="0.25">
      <c r="A16273" t="str">
        <f>"3053059"</f>
        <v>3053059</v>
      </c>
      <c r="B16273" t="s">
        <v>49817</v>
      </c>
      <c r="C16273" t="str">
        <f>"8317025"</f>
        <v>8317025</v>
      </c>
      <c r="D16273" t="s">
        <v>49818</v>
      </c>
      <c r="F16273" t="s">
        <v>49819</v>
      </c>
      <c r="I16273" t="s">
        <v>29</v>
      </c>
      <c r="J16273" t="s">
        <v>30</v>
      </c>
      <c r="K16273" t="s">
        <v>37958</v>
      </c>
      <c r="M16273" t="s">
        <v>17861</v>
      </c>
      <c r="N16273" t="str">
        <f>"1/12/2022 1:23:00 PM"</f>
        <v>1/12/2022 1:23:00 PM</v>
      </c>
      <c r="O16273" t="s">
        <v>49818</v>
      </c>
    </row>
    <row r="16274" spans="1:20" x14ac:dyDescent="0.25">
      <c r="A16274" t="str">
        <f>"3053016"</f>
        <v>3053016</v>
      </c>
      <c r="B16274" t="s">
        <v>49820</v>
      </c>
      <c r="C16274" t="str">
        <f>"8317025"</f>
        <v>8317025</v>
      </c>
      <c r="D16274" t="s">
        <v>49818</v>
      </c>
      <c r="F16274" t="s">
        <v>49819</v>
      </c>
      <c r="I16274" t="s">
        <v>29</v>
      </c>
      <c r="J16274" t="s">
        <v>30</v>
      </c>
      <c r="K16274" t="s">
        <v>37958</v>
      </c>
      <c r="M16274" t="s">
        <v>17861</v>
      </c>
      <c r="N16274" t="str">
        <f>"1/12/2022 1:23:00 PM"</f>
        <v>1/12/2022 1:23:00 PM</v>
      </c>
      <c r="O16274" t="s">
        <v>49818</v>
      </c>
    </row>
    <row r="16275" spans="1:20" x14ac:dyDescent="0.25">
      <c r="A16275" t="str">
        <f>"3055955"</f>
        <v>3055955</v>
      </c>
      <c r="B16275" t="s">
        <v>49821</v>
      </c>
      <c r="C16275" t="str">
        <f>"8306836"</f>
        <v>8306836</v>
      </c>
      <c r="D16275" t="s">
        <v>49822</v>
      </c>
      <c r="E16275" t="s">
        <v>49823</v>
      </c>
      <c r="F16275" t="s">
        <v>49824</v>
      </c>
      <c r="I16275" t="s">
        <v>9580</v>
      </c>
      <c r="J16275" t="s">
        <v>30</v>
      </c>
      <c r="K16275" t="str">
        <f>"27014"</f>
        <v>27014</v>
      </c>
      <c r="M16275" t="s">
        <v>33432</v>
      </c>
      <c r="N16275" t="str">
        <f>"1/19/2022 12:14:00 PM"</f>
        <v>1/19/2022 12:14:00 PM</v>
      </c>
      <c r="O16275" t="s">
        <v>49822</v>
      </c>
      <c r="T16275" t="s">
        <v>49823</v>
      </c>
    </row>
    <row r="16276" spans="1:20" x14ac:dyDescent="0.25">
      <c r="A16276" t="str">
        <f>"3051498"</f>
        <v>3051498</v>
      </c>
      <c r="B16276" t="s">
        <v>49825</v>
      </c>
      <c r="C16276" t="str">
        <f>"8317034"</f>
        <v>8317034</v>
      </c>
      <c r="D16276" t="s">
        <v>49826</v>
      </c>
      <c r="F16276" t="s">
        <v>49827</v>
      </c>
      <c r="I16276" t="s">
        <v>29</v>
      </c>
      <c r="J16276" t="s">
        <v>30</v>
      </c>
      <c r="K16276" t="s">
        <v>49828</v>
      </c>
      <c r="M16276" t="s">
        <v>17861</v>
      </c>
      <c r="N16276" t="str">
        <f>"1/20/2022 1:28:00 PM"</f>
        <v>1/20/2022 1:28:00 PM</v>
      </c>
      <c r="O16276" t="s">
        <v>49826</v>
      </c>
    </row>
    <row r="16277" spans="1:20" x14ac:dyDescent="0.25">
      <c r="A16277" t="str">
        <f>"3061204"</f>
        <v>3061204</v>
      </c>
      <c r="B16277" t="s">
        <v>49829</v>
      </c>
      <c r="C16277" t="str">
        <f>"8317036"</f>
        <v>8317036</v>
      </c>
      <c r="D16277" t="s">
        <v>49830</v>
      </c>
      <c r="F16277" t="s">
        <v>49831</v>
      </c>
      <c r="I16277" t="s">
        <v>2071</v>
      </c>
      <c r="J16277" t="s">
        <v>30</v>
      </c>
      <c r="K16277" t="s">
        <v>43010</v>
      </c>
      <c r="M16277" t="s">
        <v>17861</v>
      </c>
      <c r="N16277" t="str">
        <f>"1/20/2022 1:52:00 PM"</f>
        <v>1/20/2022 1:52:00 PM</v>
      </c>
      <c r="O16277" t="s">
        <v>49830</v>
      </c>
    </row>
    <row r="16278" spans="1:20" x14ac:dyDescent="0.25">
      <c r="A16278" t="str">
        <f>"3059539"</f>
        <v>3059539</v>
      </c>
      <c r="B16278" t="s">
        <v>49832</v>
      </c>
      <c r="C16278" t="str">
        <f>"8317037"</f>
        <v>8317037</v>
      </c>
      <c r="D16278" t="s">
        <v>49776</v>
      </c>
      <c r="F16278" t="s">
        <v>48536</v>
      </c>
      <c r="I16278" t="s">
        <v>48537</v>
      </c>
      <c r="J16278" t="s">
        <v>12725</v>
      </c>
      <c r="K16278" t="s">
        <v>48538</v>
      </c>
      <c r="M16278" t="s">
        <v>17861</v>
      </c>
      <c r="N16278" t="str">
        <f>"1/20/2022 1:56:00 PM"</f>
        <v>1/20/2022 1:56:00 PM</v>
      </c>
      <c r="O16278" t="s">
        <v>49776</v>
      </c>
    </row>
    <row r="16279" spans="1:20" x14ac:dyDescent="0.25">
      <c r="A16279" t="str">
        <f>"3039060"</f>
        <v>3039060</v>
      </c>
      <c r="B16279" t="s">
        <v>49833</v>
      </c>
      <c r="C16279" t="str">
        <f>"8307203"</f>
        <v>8307203</v>
      </c>
      <c r="D16279" t="s">
        <v>49834</v>
      </c>
      <c r="F16279" t="s">
        <v>49835</v>
      </c>
      <c r="I16279" t="s">
        <v>471</v>
      </c>
      <c r="J16279" t="s">
        <v>30</v>
      </c>
      <c r="K16279" t="str">
        <f>"27114"</f>
        <v>27114</v>
      </c>
      <c r="M16279" t="s">
        <v>33845</v>
      </c>
      <c r="N16279" t="str">
        <f>"1/11/2022 10:38:00 AM"</f>
        <v>1/11/2022 10:38:00 AM</v>
      </c>
      <c r="O16279" t="s">
        <v>49834</v>
      </c>
    </row>
    <row r="16280" spans="1:20" x14ac:dyDescent="0.25">
      <c r="A16280" t="str">
        <f>"3044886"</f>
        <v>3044886</v>
      </c>
      <c r="B16280" t="s">
        <v>49836</v>
      </c>
      <c r="C16280" t="str">
        <f>"8307482"</f>
        <v>8307482</v>
      </c>
      <c r="D16280" t="s">
        <v>49837</v>
      </c>
      <c r="E16280" t="s">
        <v>49838</v>
      </c>
      <c r="F16280" t="s">
        <v>49839</v>
      </c>
      <c r="I16280" t="s">
        <v>184</v>
      </c>
      <c r="J16280" t="s">
        <v>30</v>
      </c>
      <c r="K16280" t="str">
        <f>"27006"</f>
        <v>27006</v>
      </c>
      <c r="M16280" t="s">
        <v>33845</v>
      </c>
      <c r="N16280" t="str">
        <f>"1/11/2022 10:50:00 AM"</f>
        <v>1/11/2022 10:50:00 AM</v>
      </c>
      <c r="O16280" t="s">
        <v>49837</v>
      </c>
      <c r="T16280" t="s">
        <v>49838</v>
      </c>
    </row>
    <row r="16281" spans="1:20" x14ac:dyDescent="0.25">
      <c r="A16281" t="str">
        <f>"3043941"</f>
        <v>3043941</v>
      </c>
      <c r="B16281" t="s">
        <v>49840</v>
      </c>
      <c r="C16281" t="str">
        <f>"8307482"</f>
        <v>8307482</v>
      </c>
      <c r="D16281" t="s">
        <v>49837</v>
      </c>
      <c r="E16281" t="s">
        <v>49838</v>
      </c>
      <c r="F16281" t="s">
        <v>49839</v>
      </c>
      <c r="I16281" t="s">
        <v>184</v>
      </c>
      <c r="J16281" t="s">
        <v>30</v>
      </c>
      <c r="K16281" t="str">
        <f>"27006"</f>
        <v>27006</v>
      </c>
      <c r="M16281" t="s">
        <v>33845</v>
      </c>
      <c r="N16281" t="str">
        <f>"1/11/2022 10:50:00 AM"</f>
        <v>1/11/2022 10:50:00 AM</v>
      </c>
      <c r="O16281" t="s">
        <v>49837</v>
      </c>
      <c r="T16281" t="s">
        <v>49838</v>
      </c>
    </row>
    <row r="16282" spans="1:20" x14ac:dyDescent="0.25">
      <c r="A16282" t="str">
        <f>"3056065"</f>
        <v>3056065</v>
      </c>
      <c r="B16282" t="s">
        <v>49841</v>
      </c>
      <c r="C16282" t="str">
        <f>"8312515"</f>
        <v>8312515</v>
      </c>
      <c r="D16282" t="s">
        <v>49808</v>
      </c>
      <c r="F16282" t="s">
        <v>49716</v>
      </c>
      <c r="I16282" t="s">
        <v>29</v>
      </c>
      <c r="J16282" t="s">
        <v>30</v>
      </c>
      <c r="K16282" t="str">
        <f>"27028"</f>
        <v>27028</v>
      </c>
      <c r="M16282" t="s">
        <v>25625</v>
      </c>
      <c r="N16282" t="str">
        <f>"1/11/2022 12:21:00 PM"</f>
        <v>1/11/2022 12:21:00 PM</v>
      </c>
      <c r="O16282" t="s">
        <v>49808</v>
      </c>
    </row>
    <row r="16283" spans="1:20" x14ac:dyDescent="0.25">
      <c r="A16283" t="str">
        <f>"3057977"</f>
        <v>3057977</v>
      </c>
      <c r="B16283" t="s">
        <v>49842</v>
      </c>
      <c r="C16283" t="str">
        <f>"8317053"</f>
        <v>8317053</v>
      </c>
      <c r="D16283" t="s">
        <v>49843</v>
      </c>
      <c r="E16283" t="s">
        <v>49844</v>
      </c>
      <c r="F16283" t="s">
        <v>49845</v>
      </c>
      <c r="I16283" t="s">
        <v>29</v>
      </c>
      <c r="J16283" t="s">
        <v>30</v>
      </c>
      <c r="K16283" t="s">
        <v>36909</v>
      </c>
      <c r="M16283" t="s">
        <v>17861</v>
      </c>
      <c r="N16283" t="str">
        <f>"1/25/2022 2:38:00 PM"</f>
        <v>1/25/2022 2:38:00 PM</v>
      </c>
      <c r="O16283" t="s">
        <v>49843</v>
      </c>
      <c r="T16283" t="s">
        <v>49844</v>
      </c>
    </row>
    <row r="16284" spans="1:20" x14ac:dyDescent="0.25">
      <c r="A16284" t="str">
        <f>"3061387"</f>
        <v>3061387</v>
      </c>
      <c r="B16284" t="s">
        <v>49846</v>
      </c>
      <c r="C16284" t="str">
        <f>"8317054"</f>
        <v>8317054</v>
      </c>
      <c r="D16284" t="s">
        <v>49847</v>
      </c>
      <c r="F16284" t="s">
        <v>49848</v>
      </c>
      <c r="I16284" t="s">
        <v>184</v>
      </c>
      <c r="J16284" t="s">
        <v>30</v>
      </c>
      <c r="K16284" t="s">
        <v>5515</v>
      </c>
      <c r="M16284" t="s">
        <v>17861</v>
      </c>
      <c r="N16284" t="str">
        <f>"1/25/2022 3:36:00 PM"</f>
        <v>1/25/2022 3:36:00 PM</v>
      </c>
      <c r="O16284" t="s">
        <v>49847</v>
      </c>
    </row>
    <row r="16285" spans="1:20" x14ac:dyDescent="0.25">
      <c r="A16285" t="str">
        <f>"3038356"</f>
        <v>3038356</v>
      </c>
      <c r="B16285" t="s">
        <v>49849</v>
      </c>
      <c r="C16285" t="str">
        <f>"8317055"</f>
        <v>8317055</v>
      </c>
      <c r="D16285" t="s">
        <v>49850</v>
      </c>
      <c r="F16285" t="s">
        <v>49851</v>
      </c>
      <c r="I16285" t="s">
        <v>29</v>
      </c>
      <c r="J16285" t="s">
        <v>30</v>
      </c>
      <c r="K16285" t="s">
        <v>436</v>
      </c>
      <c r="M16285" t="s">
        <v>17861</v>
      </c>
      <c r="N16285" t="str">
        <f>"1/25/2022 3:41:00 PM"</f>
        <v>1/25/2022 3:41:00 PM</v>
      </c>
      <c r="O16285" t="s">
        <v>49850</v>
      </c>
    </row>
    <row r="16286" spans="1:20" x14ac:dyDescent="0.25">
      <c r="A16286" t="str">
        <f>"3039765"</f>
        <v>3039765</v>
      </c>
      <c r="B16286" t="s">
        <v>49852</v>
      </c>
      <c r="C16286" t="str">
        <f>"8317056"</f>
        <v>8317056</v>
      </c>
      <c r="D16286" t="s">
        <v>49853</v>
      </c>
      <c r="E16286" t="s">
        <v>49854</v>
      </c>
      <c r="F16286" t="s">
        <v>49855</v>
      </c>
      <c r="I16286" t="s">
        <v>184</v>
      </c>
      <c r="J16286" t="s">
        <v>30</v>
      </c>
      <c r="K16286" t="s">
        <v>49856</v>
      </c>
      <c r="M16286" t="s">
        <v>17861</v>
      </c>
      <c r="N16286" t="str">
        <f>"1/25/2022 3:44:00 PM"</f>
        <v>1/25/2022 3:44:00 PM</v>
      </c>
      <c r="O16286" t="s">
        <v>49853</v>
      </c>
      <c r="T16286" t="s">
        <v>49854</v>
      </c>
    </row>
    <row r="16287" spans="1:20" x14ac:dyDescent="0.25">
      <c r="A16287" t="str">
        <f>"3058724"</f>
        <v>3058724</v>
      </c>
      <c r="B16287" t="s">
        <v>49857</v>
      </c>
      <c r="C16287" t="str">
        <f>"8313723"</f>
        <v>8313723</v>
      </c>
      <c r="D16287" t="s">
        <v>49858</v>
      </c>
      <c r="E16287" t="s">
        <v>49859</v>
      </c>
      <c r="F16287" t="s">
        <v>49860</v>
      </c>
      <c r="I16287" t="s">
        <v>17921</v>
      </c>
      <c r="J16287" t="s">
        <v>30</v>
      </c>
      <c r="K16287" t="str">
        <f>"27028"</f>
        <v>27028</v>
      </c>
      <c r="M16287" t="s">
        <v>33432</v>
      </c>
      <c r="N16287" t="str">
        <f>"1/21/2022 4:20:00 PM"</f>
        <v>1/21/2022 4:20:00 PM</v>
      </c>
      <c r="O16287" t="s">
        <v>49858</v>
      </c>
      <c r="T16287" t="s">
        <v>49859</v>
      </c>
    </row>
    <row r="16288" spans="1:20" x14ac:dyDescent="0.25">
      <c r="A16288" t="str">
        <f>"3052719"</f>
        <v>3052719</v>
      </c>
      <c r="B16288" t="s">
        <v>49861</v>
      </c>
      <c r="C16288" t="str">
        <f>"8317045"</f>
        <v>8317045</v>
      </c>
      <c r="D16288" t="s">
        <v>49862</v>
      </c>
      <c r="F16288" t="s">
        <v>49863</v>
      </c>
      <c r="I16288" t="s">
        <v>29</v>
      </c>
      <c r="J16288" t="s">
        <v>30</v>
      </c>
      <c r="K16288" t="s">
        <v>47757</v>
      </c>
      <c r="M16288" t="s">
        <v>17861</v>
      </c>
      <c r="N16288" t="str">
        <f>"1/24/2022 1:48:00 PM"</f>
        <v>1/24/2022 1:48:00 PM</v>
      </c>
      <c r="O16288" t="s">
        <v>49862</v>
      </c>
    </row>
    <row r="16289" spans="1:20" x14ac:dyDescent="0.25">
      <c r="A16289" t="str">
        <f>"3041895"</f>
        <v>3041895</v>
      </c>
      <c r="B16289" t="s">
        <v>49864</v>
      </c>
      <c r="C16289" t="str">
        <f>"8317048"</f>
        <v>8317048</v>
      </c>
      <c r="D16289" t="s">
        <v>49865</v>
      </c>
      <c r="F16289" t="s">
        <v>49866</v>
      </c>
      <c r="I16289" t="s">
        <v>1045</v>
      </c>
      <c r="J16289" t="s">
        <v>1046</v>
      </c>
      <c r="K16289" t="s">
        <v>49867</v>
      </c>
      <c r="M16289" t="s">
        <v>17861</v>
      </c>
      <c r="N16289" t="str">
        <f>"1/25/2022 1:50:00 PM"</f>
        <v>1/25/2022 1:50:00 PM</v>
      </c>
      <c r="O16289" t="s">
        <v>49865</v>
      </c>
    </row>
    <row r="16290" spans="1:20" x14ac:dyDescent="0.25">
      <c r="A16290" t="str">
        <f>"3076941"</f>
        <v>3076941</v>
      </c>
      <c r="B16290" t="s">
        <v>49868</v>
      </c>
      <c r="C16290" t="str">
        <f>"8317048"</f>
        <v>8317048</v>
      </c>
      <c r="D16290" t="s">
        <v>49865</v>
      </c>
      <c r="F16290" t="s">
        <v>49866</v>
      </c>
      <c r="I16290" t="s">
        <v>1045</v>
      </c>
      <c r="J16290" t="s">
        <v>1046</v>
      </c>
      <c r="K16290" t="s">
        <v>49867</v>
      </c>
      <c r="M16290" t="s">
        <v>17861</v>
      </c>
      <c r="N16290" t="str">
        <f>"1/25/2022 1:50:00 PM"</f>
        <v>1/25/2022 1:50:00 PM</v>
      </c>
      <c r="O16290" t="s">
        <v>49865</v>
      </c>
    </row>
    <row r="16291" spans="1:20" x14ac:dyDescent="0.25">
      <c r="A16291" t="str">
        <f>"3038513"</f>
        <v>3038513</v>
      </c>
      <c r="B16291" t="s">
        <v>49869</v>
      </c>
      <c r="C16291" t="str">
        <f>"8317050"</f>
        <v>8317050</v>
      </c>
      <c r="D16291" t="s">
        <v>49870</v>
      </c>
      <c r="E16291" t="s">
        <v>49871</v>
      </c>
      <c r="F16291" t="s">
        <v>49872</v>
      </c>
      <c r="I16291" t="s">
        <v>29</v>
      </c>
      <c r="J16291" t="s">
        <v>30</v>
      </c>
      <c r="K16291" t="s">
        <v>21204</v>
      </c>
      <c r="M16291" t="s">
        <v>17861</v>
      </c>
      <c r="N16291" t="str">
        <f>"1/25/2022 2:17:00 PM"</f>
        <v>1/25/2022 2:17:00 PM</v>
      </c>
      <c r="O16291" t="s">
        <v>49870</v>
      </c>
      <c r="T16291" t="s">
        <v>49871</v>
      </c>
    </row>
    <row r="16292" spans="1:20" x14ac:dyDescent="0.25">
      <c r="A16292" t="str">
        <f>"3038062"</f>
        <v>3038062</v>
      </c>
      <c r="B16292" t="s">
        <v>49873</v>
      </c>
      <c r="C16292" t="str">
        <f>"8317050"</f>
        <v>8317050</v>
      </c>
      <c r="D16292" t="s">
        <v>49870</v>
      </c>
      <c r="E16292" t="s">
        <v>49871</v>
      </c>
      <c r="F16292" t="s">
        <v>49872</v>
      </c>
      <c r="I16292" t="s">
        <v>29</v>
      </c>
      <c r="J16292" t="s">
        <v>30</v>
      </c>
      <c r="K16292" t="s">
        <v>21204</v>
      </c>
      <c r="M16292" t="s">
        <v>17861</v>
      </c>
      <c r="N16292" t="str">
        <f>"1/25/2022 2:17:00 PM"</f>
        <v>1/25/2022 2:17:00 PM</v>
      </c>
      <c r="O16292" t="s">
        <v>49870</v>
      </c>
      <c r="T16292" t="s">
        <v>49871</v>
      </c>
    </row>
    <row r="16293" spans="1:20" x14ac:dyDescent="0.25">
      <c r="A16293" t="str">
        <f>"3038007"</f>
        <v>3038007</v>
      </c>
      <c r="B16293" t="s">
        <v>49874</v>
      </c>
      <c r="C16293" t="str">
        <f>"8317050"</f>
        <v>8317050</v>
      </c>
      <c r="D16293" t="s">
        <v>49870</v>
      </c>
      <c r="E16293" t="s">
        <v>49871</v>
      </c>
      <c r="F16293" t="s">
        <v>49872</v>
      </c>
      <c r="I16293" t="s">
        <v>29</v>
      </c>
      <c r="J16293" t="s">
        <v>30</v>
      </c>
      <c r="K16293" t="s">
        <v>21204</v>
      </c>
      <c r="M16293" t="s">
        <v>17861</v>
      </c>
      <c r="N16293" t="str">
        <f>"1/25/2022 2:17:00 PM"</f>
        <v>1/25/2022 2:17:00 PM</v>
      </c>
      <c r="O16293" t="s">
        <v>49870</v>
      </c>
      <c r="T16293" t="s">
        <v>49871</v>
      </c>
    </row>
    <row r="16294" spans="1:20" x14ac:dyDescent="0.25">
      <c r="A16294" t="str">
        <f>"3041278"</f>
        <v>3041278</v>
      </c>
      <c r="B16294" t="s">
        <v>49875</v>
      </c>
      <c r="C16294" t="str">
        <f>"8317052"</f>
        <v>8317052</v>
      </c>
      <c r="D16294" t="s">
        <v>49876</v>
      </c>
      <c r="F16294" t="s">
        <v>49877</v>
      </c>
      <c r="I16294" t="s">
        <v>184</v>
      </c>
      <c r="J16294" t="s">
        <v>30</v>
      </c>
      <c r="K16294" t="s">
        <v>22356</v>
      </c>
      <c r="M16294" t="s">
        <v>17861</v>
      </c>
      <c r="N16294" t="str">
        <f>"1/25/2022 2:33:00 PM"</f>
        <v>1/25/2022 2:33:00 PM</v>
      </c>
      <c r="O16294" t="s">
        <v>49876</v>
      </c>
    </row>
    <row r="16295" spans="1:20" x14ac:dyDescent="0.25">
      <c r="A16295" t="str">
        <f>"3052916"</f>
        <v>3052916</v>
      </c>
      <c r="B16295" t="s">
        <v>49878</v>
      </c>
      <c r="C16295" t="str">
        <f>"8317059"</f>
        <v>8317059</v>
      </c>
      <c r="D16295" t="s">
        <v>49879</v>
      </c>
      <c r="E16295" t="s">
        <v>49880</v>
      </c>
      <c r="F16295" t="s">
        <v>49881</v>
      </c>
      <c r="I16295" t="s">
        <v>29</v>
      </c>
      <c r="J16295" t="s">
        <v>30</v>
      </c>
      <c r="K16295" t="s">
        <v>38879</v>
      </c>
      <c r="M16295" t="s">
        <v>17861</v>
      </c>
      <c r="N16295" t="str">
        <f>"1/25/2022 4:11:00 PM"</f>
        <v>1/25/2022 4:11:00 PM</v>
      </c>
      <c r="O16295" t="s">
        <v>49879</v>
      </c>
      <c r="T16295" t="s">
        <v>49880</v>
      </c>
    </row>
    <row r="16296" spans="1:20" x14ac:dyDescent="0.25">
      <c r="A16296" t="str">
        <f>"3043417"</f>
        <v>3043417</v>
      </c>
      <c r="B16296" t="s">
        <v>49882</v>
      </c>
      <c r="C16296" t="str">
        <f>"8317060"</f>
        <v>8317060</v>
      </c>
      <c r="D16296" t="s">
        <v>49883</v>
      </c>
      <c r="E16296" t="s">
        <v>49884</v>
      </c>
      <c r="F16296" t="s">
        <v>49885</v>
      </c>
      <c r="I16296" t="s">
        <v>29</v>
      </c>
      <c r="J16296" t="s">
        <v>30</v>
      </c>
      <c r="K16296" t="s">
        <v>37706</v>
      </c>
      <c r="M16296" t="s">
        <v>17861</v>
      </c>
      <c r="N16296" t="str">
        <f>"1/25/2022 4:15:00 PM"</f>
        <v>1/25/2022 4:15:00 PM</v>
      </c>
      <c r="O16296" t="s">
        <v>49883</v>
      </c>
      <c r="T16296" t="s">
        <v>49884</v>
      </c>
    </row>
    <row r="16297" spans="1:20" x14ac:dyDescent="0.25">
      <c r="A16297" t="str">
        <f>"3044067"</f>
        <v>3044067</v>
      </c>
      <c r="B16297" t="s">
        <v>49886</v>
      </c>
      <c r="C16297" t="str">
        <f>"8317061"</f>
        <v>8317061</v>
      </c>
      <c r="D16297" t="s">
        <v>49887</v>
      </c>
      <c r="E16297" t="s">
        <v>49888</v>
      </c>
      <c r="F16297" t="s">
        <v>49889</v>
      </c>
      <c r="I16297" t="s">
        <v>184</v>
      </c>
      <c r="J16297" t="s">
        <v>30</v>
      </c>
      <c r="K16297" t="s">
        <v>46654</v>
      </c>
      <c r="M16297" t="s">
        <v>17861</v>
      </c>
      <c r="N16297" t="str">
        <f>"1/25/2022 4:17:00 PM"</f>
        <v>1/25/2022 4:17:00 PM</v>
      </c>
      <c r="O16297" t="s">
        <v>49887</v>
      </c>
      <c r="T16297" t="s">
        <v>49888</v>
      </c>
    </row>
    <row r="16298" spans="1:20" x14ac:dyDescent="0.25">
      <c r="A16298" t="str">
        <f>"3061019"</f>
        <v>3061019</v>
      </c>
      <c r="B16298" t="s">
        <v>49890</v>
      </c>
      <c r="C16298" t="str">
        <f>"8317063"</f>
        <v>8317063</v>
      </c>
      <c r="D16298" t="s">
        <v>49891</v>
      </c>
      <c r="E16298" t="s">
        <v>49892</v>
      </c>
      <c r="F16298" t="s">
        <v>49893</v>
      </c>
      <c r="I16298" t="s">
        <v>2071</v>
      </c>
      <c r="J16298" t="s">
        <v>30</v>
      </c>
      <c r="K16298" t="s">
        <v>38843</v>
      </c>
      <c r="M16298" t="s">
        <v>17861</v>
      </c>
      <c r="N16298" t="str">
        <f>"1/26/2022 9:13:00 AM"</f>
        <v>1/26/2022 9:13:00 AM</v>
      </c>
      <c r="O16298" t="s">
        <v>49891</v>
      </c>
      <c r="T16298" t="s">
        <v>49892</v>
      </c>
    </row>
    <row r="16299" spans="1:20" x14ac:dyDescent="0.25">
      <c r="A16299" t="str">
        <f>"3060210"</f>
        <v>3060210</v>
      </c>
      <c r="B16299" t="s">
        <v>49894</v>
      </c>
      <c r="C16299" t="str">
        <f>"8317064"</f>
        <v>8317064</v>
      </c>
      <c r="D16299" t="s">
        <v>49895</v>
      </c>
      <c r="E16299" t="s">
        <v>49896</v>
      </c>
      <c r="F16299" t="s">
        <v>49897</v>
      </c>
      <c r="I16299" t="s">
        <v>184</v>
      </c>
      <c r="J16299" t="s">
        <v>30</v>
      </c>
      <c r="K16299" t="s">
        <v>33177</v>
      </c>
      <c r="M16299" t="s">
        <v>17861</v>
      </c>
      <c r="N16299" t="str">
        <f>"1/26/2022 9:31:00 AM"</f>
        <v>1/26/2022 9:31:00 AM</v>
      </c>
      <c r="O16299" t="s">
        <v>49895</v>
      </c>
      <c r="T16299" t="s">
        <v>49896</v>
      </c>
    </row>
    <row r="16300" spans="1:20" x14ac:dyDescent="0.25">
      <c r="A16300" t="str">
        <f>"3043551"</f>
        <v>3043551</v>
      </c>
      <c r="B16300" t="s">
        <v>49898</v>
      </c>
      <c r="C16300" t="str">
        <f>"8317073"</f>
        <v>8317073</v>
      </c>
      <c r="D16300" t="s">
        <v>49899</v>
      </c>
      <c r="F16300" t="s">
        <v>41687</v>
      </c>
      <c r="I16300" t="s">
        <v>29</v>
      </c>
      <c r="J16300" t="s">
        <v>30</v>
      </c>
      <c r="K16300" t="s">
        <v>19651</v>
      </c>
      <c r="M16300" t="s">
        <v>17861</v>
      </c>
      <c r="N16300" t="str">
        <f>"1/26/2022 2:12:00 PM"</f>
        <v>1/26/2022 2:12:00 PM</v>
      </c>
      <c r="O16300" t="s">
        <v>49899</v>
      </c>
    </row>
    <row r="16301" spans="1:20" x14ac:dyDescent="0.25">
      <c r="A16301" t="str">
        <f>"3060292"</f>
        <v>3060292</v>
      </c>
      <c r="B16301" t="s">
        <v>49900</v>
      </c>
      <c r="C16301" t="str">
        <f>"8317093"</f>
        <v>8317093</v>
      </c>
      <c r="D16301" t="s">
        <v>49901</v>
      </c>
      <c r="E16301" t="s">
        <v>49902</v>
      </c>
      <c r="F16301" t="s">
        <v>49903</v>
      </c>
      <c r="I16301" t="s">
        <v>29</v>
      </c>
      <c r="J16301" t="s">
        <v>30</v>
      </c>
      <c r="K16301" t="s">
        <v>49904</v>
      </c>
      <c r="M16301" t="s">
        <v>17861</v>
      </c>
      <c r="N16301" t="str">
        <f>"1/27/2022 8:56:00 AM"</f>
        <v>1/27/2022 8:56:00 AM</v>
      </c>
      <c r="O16301" t="s">
        <v>49901</v>
      </c>
      <c r="T16301" t="s">
        <v>49902</v>
      </c>
    </row>
    <row r="16302" spans="1:20" x14ac:dyDescent="0.25">
      <c r="A16302" t="str">
        <f>"3057502"</f>
        <v>3057502</v>
      </c>
      <c r="B16302" t="s">
        <v>49905</v>
      </c>
      <c r="C16302" t="str">
        <f>"8317093"</f>
        <v>8317093</v>
      </c>
      <c r="D16302" t="s">
        <v>49901</v>
      </c>
      <c r="E16302" t="s">
        <v>49902</v>
      </c>
      <c r="F16302" t="s">
        <v>49903</v>
      </c>
      <c r="I16302" t="s">
        <v>29</v>
      </c>
      <c r="J16302" t="s">
        <v>30</v>
      </c>
      <c r="K16302" t="s">
        <v>49904</v>
      </c>
      <c r="M16302" t="s">
        <v>17861</v>
      </c>
      <c r="N16302" t="str">
        <f>"1/27/2022 8:56:00 AM"</f>
        <v>1/27/2022 8:56:00 AM</v>
      </c>
      <c r="O16302" t="s">
        <v>49901</v>
      </c>
      <c r="T16302" t="s">
        <v>49902</v>
      </c>
    </row>
    <row r="16303" spans="1:20" x14ac:dyDescent="0.25">
      <c r="A16303" t="str">
        <f>"3061041"</f>
        <v>3061041</v>
      </c>
      <c r="B16303" t="s">
        <v>49906</v>
      </c>
      <c r="C16303" t="str">
        <f>"8317094"</f>
        <v>8317094</v>
      </c>
      <c r="D16303" t="s">
        <v>49907</v>
      </c>
      <c r="E16303" t="s">
        <v>49908</v>
      </c>
      <c r="F16303" t="s">
        <v>49909</v>
      </c>
      <c r="I16303" t="s">
        <v>2071</v>
      </c>
      <c r="J16303" t="s">
        <v>30</v>
      </c>
      <c r="K16303" t="s">
        <v>39090</v>
      </c>
      <c r="M16303" t="s">
        <v>17861</v>
      </c>
      <c r="N16303" t="str">
        <f>"1/27/2022 9:01:00 AM"</f>
        <v>1/27/2022 9:01:00 AM</v>
      </c>
      <c r="O16303" t="s">
        <v>49907</v>
      </c>
      <c r="T16303" t="s">
        <v>49908</v>
      </c>
    </row>
    <row r="16304" spans="1:20" x14ac:dyDescent="0.25">
      <c r="A16304" t="str">
        <f>"3055042"</f>
        <v>3055042</v>
      </c>
      <c r="B16304" t="s">
        <v>49910</v>
      </c>
      <c r="C16304" t="str">
        <f>"8317095"</f>
        <v>8317095</v>
      </c>
      <c r="D16304" t="s">
        <v>49911</v>
      </c>
      <c r="E16304" t="s">
        <v>49912</v>
      </c>
      <c r="F16304" t="s">
        <v>49913</v>
      </c>
      <c r="I16304" t="s">
        <v>29</v>
      </c>
      <c r="J16304" t="s">
        <v>30</v>
      </c>
      <c r="K16304" t="s">
        <v>49914</v>
      </c>
      <c r="M16304" t="s">
        <v>17861</v>
      </c>
      <c r="N16304" t="str">
        <f>"1/27/2022 9:33:00 AM"</f>
        <v>1/27/2022 9:33:00 AM</v>
      </c>
      <c r="O16304" t="s">
        <v>49911</v>
      </c>
      <c r="T16304" t="s">
        <v>49912</v>
      </c>
    </row>
    <row r="16305" spans="1:20" x14ac:dyDescent="0.25">
      <c r="A16305" t="str">
        <f>"3053550"</f>
        <v>3053550</v>
      </c>
      <c r="B16305" t="s">
        <v>49915</v>
      </c>
      <c r="C16305" t="str">
        <f>"8317097"</f>
        <v>8317097</v>
      </c>
      <c r="D16305" t="s">
        <v>49916</v>
      </c>
      <c r="E16305" t="s">
        <v>49917</v>
      </c>
      <c r="F16305" t="s">
        <v>49918</v>
      </c>
      <c r="I16305" t="s">
        <v>29</v>
      </c>
      <c r="J16305" t="s">
        <v>30</v>
      </c>
      <c r="K16305" t="s">
        <v>14976</v>
      </c>
      <c r="M16305" t="s">
        <v>17861</v>
      </c>
      <c r="N16305" t="str">
        <f>"1/27/2022 10:01:00 AM"</f>
        <v>1/27/2022 10:01:00 AM</v>
      </c>
      <c r="O16305" t="s">
        <v>49916</v>
      </c>
      <c r="T16305" t="s">
        <v>49917</v>
      </c>
    </row>
    <row r="16306" spans="1:20" x14ac:dyDescent="0.25">
      <c r="A16306" t="str">
        <f>"3045374"</f>
        <v>3045374</v>
      </c>
      <c r="B16306" t="s">
        <v>49919</v>
      </c>
      <c r="C16306" t="str">
        <f>"8317101"</f>
        <v>8317101</v>
      </c>
      <c r="D16306" t="s">
        <v>49920</v>
      </c>
      <c r="F16306" t="s">
        <v>49921</v>
      </c>
      <c r="I16306" t="s">
        <v>29</v>
      </c>
      <c r="J16306" t="s">
        <v>30</v>
      </c>
      <c r="K16306" t="s">
        <v>44999</v>
      </c>
      <c r="M16306" t="s">
        <v>17861</v>
      </c>
      <c r="N16306" t="str">
        <f>"1/27/2022 10:59:00 AM"</f>
        <v>1/27/2022 10:59:00 AM</v>
      </c>
      <c r="O16306" t="s">
        <v>49920</v>
      </c>
    </row>
    <row r="16307" spans="1:20" x14ac:dyDescent="0.25">
      <c r="A16307" t="str">
        <f>"3058801"</f>
        <v>3058801</v>
      </c>
      <c r="B16307" t="s">
        <v>49922</v>
      </c>
      <c r="C16307" t="str">
        <f>"8317102"</f>
        <v>8317102</v>
      </c>
      <c r="D16307" t="s">
        <v>49923</v>
      </c>
      <c r="F16307" t="s">
        <v>49924</v>
      </c>
      <c r="I16307" t="s">
        <v>29</v>
      </c>
      <c r="J16307" t="s">
        <v>30</v>
      </c>
      <c r="K16307" t="s">
        <v>39454</v>
      </c>
      <c r="M16307" t="s">
        <v>17861</v>
      </c>
      <c r="N16307" t="str">
        <f>"1/27/2022 11:02:00 AM"</f>
        <v>1/27/2022 11:02:00 AM</v>
      </c>
      <c r="O16307" t="s">
        <v>49923</v>
      </c>
    </row>
    <row r="16308" spans="1:20" x14ac:dyDescent="0.25">
      <c r="A16308" t="str">
        <f>"3062276"</f>
        <v>3062276</v>
      </c>
      <c r="B16308" t="s">
        <v>49925</v>
      </c>
      <c r="C16308" t="str">
        <f>"8317103"</f>
        <v>8317103</v>
      </c>
      <c r="D16308" t="s">
        <v>49926</v>
      </c>
      <c r="E16308" t="s">
        <v>49927</v>
      </c>
      <c r="F16308" t="s">
        <v>49928</v>
      </c>
      <c r="I16308" t="s">
        <v>29</v>
      </c>
      <c r="J16308" t="s">
        <v>30</v>
      </c>
      <c r="K16308" t="s">
        <v>14444</v>
      </c>
      <c r="M16308" t="s">
        <v>17861</v>
      </c>
      <c r="N16308" t="str">
        <f>"1/27/2022 11:05:00 AM"</f>
        <v>1/27/2022 11:05:00 AM</v>
      </c>
      <c r="O16308" t="s">
        <v>49926</v>
      </c>
      <c r="T16308" t="s">
        <v>49927</v>
      </c>
    </row>
    <row r="16309" spans="1:20" x14ac:dyDescent="0.25">
      <c r="A16309" t="str">
        <f>"3041129"</f>
        <v>3041129</v>
      </c>
      <c r="B16309" t="s">
        <v>49929</v>
      </c>
      <c r="C16309" t="str">
        <f>"8306867"</f>
        <v>8306867</v>
      </c>
      <c r="D16309" t="s">
        <v>49930</v>
      </c>
      <c r="E16309" t="s">
        <v>49931</v>
      </c>
      <c r="F16309" t="s">
        <v>49932</v>
      </c>
      <c r="I16309" t="s">
        <v>49933</v>
      </c>
      <c r="J16309" t="s">
        <v>11346</v>
      </c>
      <c r="K16309" t="str">
        <f>"37877"</f>
        <v>37877</v>
      </c>
      <c r="M16309" t="s">
        <v>33845</v>
      </c>
      <c r="N16309" t="str">
        <f>"1/27/2022 11:28:00 AM"</f>
        <v>1/27/2022 11:28:00 AM</v>
      </c>
      <c r="O16309" t="s">
        <v>49930</v>
      </c>
      <c r="T16309" t="s">
        <v>49931</v>
      </c>
    </row>
    <row r="16310" spans="1:20" x14ac:dyDescent="0.25">
      <c r="A16310" t="str">
        <f>"3056371"</f>
        <v>3056371</v>
      </c>
      <c r="B16310" t="s">
        <v>49934</v>
      </c>
      <c r="C16310" t="str">
        <f>"55380000"</f>
        <v>55380000</v>
      </c>
      <c r="D16310" t="s">
        <v>49935</v>
      </c>
      <c r="E16310" t="s">
        <v>49936</v>
      </c>
      <c r="F16310" t="s">
        <v>49937</v>
      </c>
      <c r="G16310" t="s">
        <v>49938</v>
      </c>
      <c r="I16310" t="s">
        <v>184</v>
      </c>
      <c r="J16310" t="s">
        <v>30</v>
      </c>
      <c r="K16310" t="s">
        <v>40298</v>
      </c>
      <c r="M16310" t="s">
        <v>17861</v>
      </c>
      <c r="N16310" t="str">
        <f>"1/27/2022 2:04:00 PM"</f>
        <v>1/27/2022 2:04:00 PM</v>
      </c>
      <c r="O16310" t="s">
        <v>49935</v>
      </c>
      <c r="T16310" t="s">
        <v>49936</v>
      </c>
    </row>
    <row r="16311" spans="1:20" x14ac:dyDescent="0.25">
      <c r="A16311" t="str">
        <f>"3056311"</f>
        <v>3056311</v>
      </c>
      <c r="B16311" t="s">
        <v>49939</v>
      </c>
      <c r="C16311" t="str">
        <f>"55380000"</f>
        <v>55380000</v>
      </c>
      <c r="D16311" t="s">
        <v>49935</v>
      </c>
      <c r="E16311" t="s">
        <v>49936</v>
      </c>
      <c r="F16311" t="s">
        <v>49937</v>
      </c>
      <c r="G16311" t="s">
        <v>49938</v>
      </c>
      <c r="I16311" t="s">
        <v>184</v>
      </c>
      <c r="J16311" t="s">
        <v>30</v>
      </c>
      <c r="K16311" t="s">
        <v>40298</v>
      </c>
      <c r="M16311" t="s">
        <v>17861</v>
      </c>
      <c r="N16311" t="str">
        <f>"1/27/2022 2:04:00 PM"</f>
        <v>1/27/2022 2:04:00 PM</v>
      </c>
      <c r="O16311" t="s">
        <v>49935</v>
      </c>
      <c r="T16311" t="s">
        <v>49936</v>
      </c>
    </row>
    <row r="16312" spans="1:20" x14ac:dyDescent="0.25">
      <c r="A16312" t="str">
        <f>"3064092"</f>
        <v>3064092</v>
      </c>
      <c r="B16312" t="s">
        <v>49940</v>
      </c>
      <c r="C16312" t="str">
        <f>"8317104"</f>
        <v>8317104</v>
      </c>
      <c r="D16312" t="s">
        <v>49941</v>
      </c>
      <c r="E16312" t="s">
        <v>49942</v>
      </c>
      <c r="F16312" t="s">
        <v>49943</v>
      </c>
      <c r="I16312" t="s">
        <v>184</v>
      </c>
      <c r="J16312" t="s">
        <v>30</v>
      </c>
      <c r="K16312" t="s">
        <v>49944</v>
      </c>
      <c r="M16312" t="s">
        <v>17861</v>
      </c>
      <c r="N16312" t="str">
        <f>"1/27/2022 2:27:00 PM"</f>
        <v>1/27/2022 2:27:00 PM</v>
      </c>
      <c r="O16312" t="s">
        <v>49941</v>
      </c>
      <c r="T16312" t="s">
        <v>49942</v>
      </c>
    </row>
    <row r="16313" spans="1:20" x14ac:dyDescent="0.25">
      <c r="A16313" t="str">
        <f>"3055542"</f>
        <v>3055542</v>
      </c>
      <c r="B16313" t="s">
        <v>49945</v>
      </c>
      <c r="C16313" t="str">
        <f>"8317105"</f>
        <v>8317105</v>
      </c>
      <c r="D16313" t="str">
        <f>"ROMBACH BRANDON/MINDY S"</f>
        <v>ROMBACH BRANDON/MINDY S</v>
      </c>
      <c r="E16313" t="str">
        <f>"ROMBACH WILLIAM/DEBRA"</f>
        <v>ROMBACH WILLIAM/DEBRA</v>
      </c>
      <c r="F16313" t="s">
        <v>49946</v>
      </c>
      <c r="I16313" t="s">
        <v>29</v>
      </c>
      <c r="J16313" t="s">
        <v>30</v>
      </c>
      <c r="K16313" t="s">
        <v>24616</v>
      </c>
      <c r="M16313" t="s">
        <v>17861</v>
      </c>
      <c r="N16313" t="str">
        <f>"1/27/2022 2:31:00 PM"</f>
        <v>1/27/2022 2:31:00 PM</v>
      </c>
      <c r="O16313" t="str">
        <f>"ROMBACH BRANDON/MINDY S"</f>
        <v>ROMBACH BRANDON/MINDY S</v>
      </c>
      <c r="T16313" t="str">
        <f>"ROMBACH WILLIAM/DEBRA"</f>
        <v>ROMBACH WILLIAM/DEBRA</v>
      </c>
    </row>
    <row r="16314" spans="1:20" x14ac:dyDescent="0.25">
      <c r="A16314" t="str">
        <f>"3063014"</f>
        <v>3063014</v>
      </c>
      <c r="B16314" t="s">
        <v>49947</v>
      </c>
      <c r="C16314" t="str">
        <f>"8317076"</f>
        <v>8317076</v>
      </c>
      <c r="D16314" t="s">
        <v>49948</v>
      </c>
      <c r="E16314" t="str">
        <f>"KENNEY DANIEL C/ESTHER E"</f>
        <v>KENNEY DANIEL C/ESTHER E</v>
      </c>
      <c r="F16314" t="s">
        <v>49949</v>
      </c>
      <c r="I16314" t="s">
        <v>184</v>
      </c>
      <c r="J16314" t="s">
        <v>30</v>
      </c>
      <c r="K16314" t="s">
        <v>7477</v>
      </c>
      <c r="M16314" t="s">
        <v>17861</v>
      </c>
      <c r="N16314" t="str">
        <f>"1/26/2022 2:44:00 PM"</f>
        <v>1/26/2022 2:44:00 PM</v>
      </c>
      <c r="O16314" t="s">
        <v>49948</v>
      </c>
      <c r="T16314" t="str">
        <f>"KENNEY DANIEL C/ESTHER E"</f>
        <v>KENNEY DANIEL C/ESTHER E</v>
      </c>
    </row>
    <row r="16315" spans="1:20" x14ac:dyDescent="0.25">
      <c r="A16315" t="str">
        <f>"3061146"</f>
        <v>3061146</v>
      </c>
      <c r="B16315" t="s">
        <v>49950</v>
      </c>
      <c r="C16315" t="str">
        <f>"8317107"</f>
        <v>8317107</v>
      </c>
      <c r="D16315" t="s">
        <v>49951</v>
      </c>
      <c r="E16315" t="s">
        <v>49952</v>
      </c>
      <c r="F16315" t="s">
        <v>49953</v>
      </c>
      <c r="I16315" t="s">
        <v>2071</v>
      </c>
      <c r="J16315" t="s">
        <v>30</v>
      </c>
      <c r="K16315" t="s">
        <v>38104</v>
      </c>
      <c r="M16315" t="s">
        <v>17861</v>
      </c>
      <c r="N16315" t="str">
        <f>"1/27/2022 2:57:00 PM"</f>
        <v>1/27/2022 2:57:00 PM</v>
      </c>
      <c r="O16315" t="s">
        <v>49951</v>
      </c>
      <c r="T16315" t="s">
        <v>49952</v>
      </c>
    </row>
    <row r="16316" spans="1:20" x14ac:dyDescent="0.25">
      <c r="A16316" t="str">
        <f>"3051852"</f>
        <v>3051852</v>
      </c>
      <c r="B16316" t="s">
        <v>49954</v>
      </c>
      <c r="C16316" t="str">
        <f>"8317108"</f>
        <v>8317108</v>
      </c>
      <c r="D16316" t="s">
        <v>49955</v>
      </c>
      <c r="F16316" t="s">
        <v>49956</v>
      </c>
      <c r="I16316" t="s">
        <v>29</v>
      </c>
      <c r="J16316" t="s">
        <v>30</v>
      </c>
      <c r="K16316" t="s">
        <v>36328</v>
      </c>
      <c r="M16316" t="s">
        <v>17861</v>
      </c>
      <c r="N16316" t="str">
        <f>"1/27/2022 3:04:00 PM"</f>
        <v>1/27/2022 3:04:00 PM</v>
      </c>
      <c r="O16316" t="s">
        <v>49955</v>
      </c>
    </row>
    <row r="16317" spans="1:20" x14ac:dyDescent="0.25">
      <c r="A16317" t="str">
        <f>"3053891"</f>
        <v>3053891</v>
      </c>
      <c r="B16317" t="s">
        <v>49957</v>
      </c>
      <c r="C16317" t="str">
        <f>"8317109"</f>
        <v>8317109</v>
      </c>
      <c r="D16317" t="s">
        <v>31823</v>
      </c>
      <c r="E16317" t="s">
        <v>49958</v>
      </c>
      <c r="F16317" t="s">
        <v>49959</v>
      </c>
      <c r="I16317" t="s">
        <v>29</v>
      </c>
      <c r="J16317" t="s">
        <v>30</v>
      </c>
      <c r="K16317" t="s">
        <v>49960</v>
      </c>
      <c r="M16317" t="s">
        <v>17861</v>
      </c>
      <c r="N16317" t="str">
        <f>"1/27/2022 3:13:00 PM"</f>
        <v>1/27/2022 3:13:00 PM</v>
      </c>
      <c r="O16317" t="s">
        <v>31823</v>
      </c>
      <c r="T16317" t="s">
        <v>49958</v>
      </c>
    </row>
    <row r="16318" spans="1:20" x14ac:dyDescent="0.25">
      <c r="A16318" t="str">
        <f>"3053905"</f>
        <v>3053905</v>
      </c>
      <c r="B16318" t="s">
        <v>49961</v>
      </c>
      <c r="C16318" t="str">
        <f>"8317109"</f>
        <v>8317109</v>
      </c>
      <c r="D16318" t="s">
        <v>31823</v>
      </c>
      <c r="E16318" t="s">
        <v>49958</v>
      </c>
      <c r="F16318" t="s">
        <v>49959</v>
      </c>
      <c r="I16318" t="s">
        <v>29</v>
      </c>
      <c r="J16318" t="s">
        <v>30</v>
      </c>
      <c r="K16318" t="s">
        <v>49960</v>
      </c>
      <c r="M16318" t="s">
        <v>17861</v>
      </c>
      <c r="N16318" t="str">
        <f>"1/27/2022 3:13:00 PM"</f>
        <v>1/27/2022 3:13:00 PM</v>
      </c>
      <c r="O16318" t="s">
        <v>31823</v>
      </c>
      <c r="T16318" t="s">
        <v>49958</v>
      </c>
    </row>
    <row r="16319" spans="1:20" x14ac:dyDescent="0.25">
      <c r="A16319" t="str">
        <f>"3060924"</f>
        <v>3060924</v>
      </c>
      <c r="B16319" t="s">
        <v>49962</v>
      </c>
      <c r="C16319" t="str">
        <f>"8317112"</f>
        <v>8317112</v>
      </c>
      <c r="D16319" t="s">
        <v>49963</v>
      </c>
      <c r="E16319" t="s">
        <v>49964</v>
      </c>
      <c r="F16319" t="s">
        <v>49965</v>
      </c>
      <c r="I16319" t="s">
        <v>2071</v>
      </c>
      <c r="J16319" t="s">
        <v>30</v>
      </c>
      <c r="K16319" t="s">
        <v>37104</v>
      </c>
      <c r="M16319" t="s">
        <v>17861</v>
      </c>
      <c r="N16319" t="str">
        <f>"1/27/2022 3:32:00 PM"</f>
        <v>1/27/2022 3:32:00 PM</v>
      </c>
      <c r="O16319" t="s">
        <v>49963</v>
      </c>
      <c r="T16319" t="s">
        <v>49964</v>
      </c>
    </row>
    <row r="16320" spans="1:20" x14ac:dyDescent="0.25">
      <c r="A16320" t="str">
        <f>"3048824"</f>
        <v>3048824</v>
      </c>
      <c r="B16320" t="s">
        <v>49966</v>
      </c>
      <c r="C16320" t="str">
        <f>"8317113"</f>
        <v>8317113</v>
      </c>
      <c r="D16320" t="s">
        <v>49967</v>
      </c>
      <c r="F16320" t="s">
        <v>49968</v>
      </c>
      <c r="I16320" t="s">
        <v>29</v>
      </c>
      <c r="J16320" t="s">
        <v>30</v>
      </c>
      <c r="K16320" t="s">
        <v>45940</v>
      </c>
      <c r="M16320" t="s">
        <v>17861</v>
      </c>
      <c r="N16320" t="str">
        <f>"1/27/2022 3:34:00 PM"</f>
        <v>1/27/2022 3:34:00 PM</v>
      </c>
      <c r="O16320" t="s">
        <v>49967</v>
      </c>
    </row>
    <row r="16321" spans="1:20" x14ac:dyDescent="0.25">
      <c r="A16321" t="str">
        <f>"3049434"</f>
        <v>3049434</v>
      </c>
      <c r="B16321" t="s">
        <v>49969</v>
      </c>
      <c r="C16321" t="str">
        <f>"8317115"</f>
        <v>8317115</v>
      </c>
      <c r="D16321" t="s">
        <v>49970</v>
      </c>
      <c r="F16321" t="s">
        <v>49971</v>
      </c>
      <c r="I16321" t="s">
        <v>49972</v>
      </c>
      <c r="J16321" t="s">
        <v>11346</v>
      </c>
      <c r="K16321" t="str">
        <f>"37206"</f>
        <v>37206</v>
      </c>
      <c r="M16321" t="s">
        <v>17861</v>
      </c>
      <c r="N16321" t="str">
        <f>"1/27/2022 3:39:00 PM"</f>
        <v>1/27/2022 3:39:00 PM</v>
      </c>
      <c r="O16321" t="s">
        <v>49970</v>
      </c>
    </row>
    <row r="16322" spans="1:20" x14ac:dyDescent="0.25">
      <c r="A16322" t="str">
        <f>"3056345"</f>
        <v>3056345</v>
      </c>
      <c r="B16322" t="s">
        <v>49973</v>
      </c>
      <c r="C16322" t="str">
        <f>"8317116"</f>
        <v>8317116</v>
      </c>
      <c r="D16322" t="str">
        <f>"LANCASTER SUSAN/MARSHALL"</f>
        <v>LANCASTER SUSAN/MARSHALL</v>
      </c>
      <c r="E16322" t="s">
        <v>49974</v>
      </c>
      <c r="F16322" t="s">
        <v>49975</v>
      </c>
      <c r="I16322" t="s">
        <v>9580</v>
      </c>
      <c r="J16322" t="s">
        <v>30</v>
      </c>
      <c r="K16322" t="s">
        <v>49976</v>
      </c>
      <c r="M16322" t="s">
        <v>17861</v>
      </c>
      <c r="N16322" t="str">
        <f>"1/27/2022 3:48:00 PM"</f>
        <v>1/27/2022 3:48:00 PM</v>
      </c>
      <c r="O16322" t="str">
        <f>"LANCASTER SUSAN/MARSHALL"</f>
        <v>LANCASTER SUSAN/MARSHALL</v>
      </c>
      <c r="T16322" t="s">
        <v>49974</v>
      </c>
    </row>
    <row r="16323" spans="1:20" x14ac:dyDescent="0.25">
      <c r="A16323" t="str">
        <f>"3056329"</f>
        <v>3056329</v>
      </c>
      <c r="B16323" t="s">
        <v>49977</v>
      </c>
      <c r="C16323" t="str">
        <f>"8317116"</f>
        <v>8317116</v>
      </c>
      <c r="D16323" t="str">
        <f>"LANCASTER SUSAN/MARSHALL"</f>
        <v>LANCASTER SUSAN/MARSHALL</v>
      </c>
      <c r="E16323" t="s">
        <v>49974</v>
      </c>
      <c r="F16323" t="s">
        <v>49975</v>
      </c>
      <c r="I16323" t="s">
        <v>9580</v>
      </c>
      <c r="J16323" t="s">
        <v>30</v>
      </c>
      <c r="K16323" t="s">
        <v>49976</v>
      </c>
      <c r="M16323" t="s">
        <v>17861</v>
      </c>
      <c r="N16323" t="str">
        <f>"1/27/2022 3:48:00 PM"</f>
        <v>1/27/2022 3:48:00 PM</v>
      </c>
      <c r="O16323" t="str">
        <f>"LANCASTER SUSAN/MARSHALL"</f>
        <v>LANCASTER SUSAN/MARSHALL</v>
      </c>
      <c r="T16323" t="s">
        <v>49974</v>
      </c>
    </row>
    <row r="16324" spans="1:20" x14ac:dyDescent="0.25">
      <c r="A16324" t="str">
        <f>"3056330"</f>
        <v>3056330</v>
      </c>
      <c r="B16324" t="s">
        <v>49978</v>
      </c>
      <c r="C16324" t="str">
        <f>"8317116"</f>
        <v>8317116</v>
      </c>
      <c r="D16324" t="str">
        <f>"LANCASTER SUSAN/MARSHALL"</f>
        <v>LANCASTER SUSAN/MARSHALL</v>
      </c>
      <c r="E16324" t="s">
        <v>49974</v>
      </c>
      <c r="F16324" t="s">
        <v>49975</v>
      </c>
      <c r="I16324" t="s">
        <v>9580</v>
      </c>
      <c r="J16324" t="s">
        <v>30</v>
      </c>
      <c r="K16324" t="s">
        <v>49976</v>
      </c>
      <c r="M16324" t="s">
        <v>17861</v>
      </c>
      <c r="N16324" t="str">
        <f>"1/27/2022 3:48:00 PM"</f>
        <v>1/27/2022 3:48:00 PM</v>
      </c>
      <c r="O16324" t="str">
        <f>"LANCASTER SUSAN/MARSHALL"</f>
        <v>LANCASTER SUSAN/MARSHALL</v>
      </c>
      <c r="T16324" t="s">
        <v>49974</v>
      </c>
    </row>
    <row r="16325" spans="1:20" x14ac:dyDescent="0.25">
      <c r="A16325" t="str">
        <f>"3056322"</f>
        <v>3056322</v>
      </c>
      <c r="B16325" t="s">
        <v>49979</v>
      </c>
      <c r="C16325" t="str">
        <f>"8317116"</f>
        <v>8317116</v>
      </c>
      <c r="D16325" t="str">
        <f>"LANCASTER SUSAN/MARSHALL"</f>
        <v>LANCASTER SUSAN/MARSHALL</v>
      </c>
      <c r="E16325" t="s">
        <v>49974</v>
      </c>
      <c r="F16325" t="s">
        <v>49975</v>
      </c>
      <c r="I16325" t="s">
        <v>9580</v>
      </c>
      <c r="J16325" t="s">
        <v>30</v>
      </c>
      <c r="K16325" t="s">
        <v>49976</v>
      </c>
      <c r="M16325" t="s">
        <v>17861</v>
      </c>
      <c r="N16325" t="str">
        <f>"1/27/2022 3:48:00 PM"</f>
        <v>1/27/2022 3:48:00 PM</v>
      </c>
      <c r="O16325" t="str">
        <f>"LANCASTER SUSAN/MARSHALL"</f>
        <v>LANCASTER SUSAN/MARSHALL</v>
      </c>
      <c r="T16325" t="s">
        <v>49974</v>
      </c>
    </row>
    <row r="16326" spans="1:20" x14ac:dyDescent="0.25">
      <c r="A16326" t="str">
        <f>"3056728"</f>
        <v>3056728</v>
      </c>
      <c r="B16326" t="s">
        <v>49980</v>
      </c>
      <c r="C16326" t="str">
        <f>"8317116"</f>
        <v>8317116</v>
      </c>
      <c r="D16326" t="str">
        <f>"LANCASTER SUSAN/MARSHALL"</f>
        <v>LANCASTER SUSAN/MARSHALL</v>
      </c>
      <c r="E16326" t="s">
        <v>49974</v>
      </c>
      <c r="F16326" t="s">
        <v>49975</v>
      </c>
      <c r="I16326" t="s">
        <v>9580</v>
      </c>
      <c r="J16326" t="s">
        <v>30</v>
      </c>
      <c r="K16326" t="s">
        <v>49976</v>
      </c>
      <c r="M16326" t="s">
        <v>17861</v>
      </c>
      <c r="N16326" t="str">
        <f>"1/27/2022 3:48:00 PM"</f>
        <v>1/27/2022 3:48:00 PM</v>
      </c>
      <c r="O16326" t="str">
        <f>"LANCASTER SUSAN/MARSHALL"</f>
        <v>LANCASTER SUSAN/MARSHALL</v>
      </c>
      <c r="T16326" t="s">
        <v>49974</v>
      </c>
    </row>
    <row r="16327" spans="1:20" x14ac:dyDescent="0.25">
      <c r="A16327" t="str">
        <f>"3042909"</f>
        <v>3042909</v>
      </c>
      <c r="B16327" t="s">
        <v>49981</v>
      </c>
      <c r="C16327" t="str">
        <f>"8317119"</f>
        <v>8317119</v>
      </c>
      <c r="D16327" t="s">
        <v>49982</v>
      </c>
      <c r="F16327" t="s">
        <v>49983</v>
      </c>
      <c r="I16327" t="s">
        <v>29</v>
      </c>
      <c r="J16327" t="s">
        <v>30</v>
      </c>
      <c r="K16327" t="s">
        <v>2374</v>
      </c>
      <c r="M16327" t="s">
        <v>17861</v>
      </c>
      <c r="N16327" t="str">
        <f>"1/27/2022 4:17:00 PM"</f>
        <v>1/27/2022 4:17:00 PM</v>
      </c>
      <c r="O16327" t="s">
        <v>49982</v>
      </c>
    </row>
    <row r="16328" spans="1:20" x14ac:dyDescent="0.25">
      <c r="A16328" t="str">
        <f>"3059521"</f>
        <v>3059521</v>
      </c>
      <c r="B16328" t="s">
        <v>49984</v>
      </c>
      <c r="C16328" t="str">
        <f>"8317121"</f>
        <v>8317121</v>
      </c>
      <c r="D16328" t="s">
        <v>49985</v>
      </c>
      <c r="F16328" t="s">
        <v>49986</v>
      </c>
      <c r="I16328" t="s">
        <v>29</v>
      </c>
      <c r="J16328" t="s">
        <v>30</v>
      </c>
      <c r="K16328" t="s">
        <v>29062</v>
      </c>
      <c r="M16328" t="s">
        <v>17861</v>
      </c>
      <c r="N16328" t="str">
        <f>"1/28/2022 10:12:00 AM"</f>
        <v>1/28/2022 10:12:00 AM</v>
      </c>
      <c r="O16328" t="s">
        <v>49985</v>
      </c>
    </row>
    <row r="16329" spans="1:20" x14ac:dyDescent="0.25">
      <c r="A16329" t="str">
        <f>"3051566"</f>
        <v>3051566</v>
      </c>
      <c r="B16329" t="s">
        <v>49987</v>
      </c>
      <c r="C16329" t="str">
        <f>"8317122"</f>
        <v>8317122</v>
      </c>
      <c r="D16329" t="s">
        <v>49988</v>
      </c>
      <c r="F16329" t="s">
        <v>49989</v>
      </c>
      <c r="I16329" t="s">
        <v>29</v>
      </c>
      <c r="J16329" t="s">
        <v>30</v>
      </c>
      <c r="K16329" t="s">
        <v>12864</v>
      </c>
      <c r="M16329" t="s">
        <v>17861</v>
      </c>
      <c r="N16329" t="str">
        <f>"1/28/2022 10:17:00 AM"</f>
        <v>1/28/2022 10:17:00 AM</v>
      </c>
      <c r="O16329" t="s">
        <v>49988</v>
      </c>
    </row>
    <row r="16330" spans="1:20" x14ac:dyDescent="0.25">
      <c r="A16330" t="str">
        <f>"3040623"</f>
        <v>3040623</v>
      </c>
      <c r="B16330" t="s">
        <v>49990</v>
      </c>
      <c r="C16330" t="str">
        <f>"8317077"</f>
        <v>8317077</v>
      </c>
      <c r="D16330" t="s">
        <v>49991</v>
      </c>
      <c r="E16330" t="s">
        <v>49992</v>
      </c>
      <c r="F16330" t="s">
        <v>49993</v>
      </c>
      <c r="I16330" t="s">
        <v>184</v>
      </c>
      <c r="J16330" t="s">
        <v>30</v>
      </c>
      <c r="K16330" t="s">
        <v>3019</v>
      </c>
      <c r="M16330" t="s">
        <v>17861</v>
      </c>
      <c r="N16330" t="str">
        <f>"1/26/2022 2:46:00 PM"</f>
        <v>1/26/2022 2:46:00 PM</v>
      </c>
      <c r="O16330" t="s">
        <v>49991</v>
      </c>
      <c r="T16330" t="s">
        <v>49992</v>
      </c>
    </row>
    <row r="16331" spans="1:20" x14ac:dyDescent="0.25">
      <c r="A16331" t="str">
        <f>"3060164"</f>
        <v>3060164</v>
      </c>
      <c r="B16331" t="s">
        <v>49994</v>
      </c>
      <c r="C16331" t="str">
        <f>"8317078"</f>
        <v>8317078</v>
      </c>
      <c r="D16331" t="s">
        <v>49995</v>
      </c>
      <c r="E16331" t="s">
        <v>49996</v>
      </c>
      <c r="F16331" t="s">
        <v>49997</v>
      </c>
      <c r="I16331" t="s">
        <v>184</v>
      </c>
      <c r="J16331" t="s">
        <v>30</v>
      </c>
      <c r="K16331" t="str">
        <f>"27006"</f>
        <v>27006</v>
      </c>
      <c r="M16331" t="s">
        <v>17861</v>
      </c>
      <c r="N16331" t="str">
        <f>"1/26/2022 2:50:00 PM"</f>
        <v>1/26/2022 2:50:00 PM</v>
      </c>
      <c r="O16331" t="s">
        <v>49995</v>
      </c>
      <c r="T16331" t="s">
        <v>49996</v>
      </c>
    </row>
    <row r="16332" spans="1:20" x14ac:dyDescent="0.25">
      <c r="A16332" t="str">
        <f>"3049389"</f>
        <v>3049389</v>
      </c>
      <c r="B16332" t="s">
        <v>49998</v>
      </c>
      <c r="C16332" t="str">
        <f>"8317088"</f>
        <v>8317088</v>
      </c>
      <c r="D16332" t="s">
        <v>49999</v>
      </c>
      <c r="F16332" t="s">
        <v>50000</v>
      </c>
      <c r="I16332" t="s">
        <v>2589</v>
      </c>
      <c r="J16332" t="s">
        <v>30</v>
      </c>
      <c r="K16332" t="s">
        <v>50001</v>
      </c>
      <c r="M16332" t="s">
        <v>17861</v>
      </c>
      <c r="N16332" t="str">
        <f>"1/27/2022 8:09:00 AM"</f>
        <v>1/27/2022 8:09:00 AM</v>
      </c>
      <c r="O16332" t="s">
        <v>49999</v>
      </c>
    </row>
    <row r="16333" spans="1:20" x14ac:dyDescent="0.25">
      <c r="A16333" t="str">
        <f>"3039967"</f>
        <v>3039967</v>
      </c>
      <c r="B16333" t="s">
        <v>50002</v>
      </c>
      <c r="C16333" t="str">
        <f>"8314899"</f>
        <v>8314899</v>
      </c>
      <c r="D16333" t="s">
        <v>50003</v>
      </c>
      <c r="E16333" t="s">
        <v>50004</v>
      </c>
      <c r="F16333" t="s">
        <v>50005</v>
      </c>
      <c r="I16333" t="s">
        <v>29</v>
      </c>
      <c r="J16333" t="s">
        <v>30</v>
      </c>
      <c r="K16333" t="s">
        <v>7135</v>
      </c>
      <c r="M16333" t="s">
        <v>17861</v>
      </c>
      <c r="N16333" t="str">
        <f>"1/27/2022 8:13:00 AM"</f>
        <v>1/27/2022 8:13:00 AM</v>
      </c>
      <c r="O16333" t="s">
        <v>50003</v>
      </c>
      <c r="T16333" t="s">
        <v>50004</v>
      </c>
    </row>
    <row r="16334" spans="1:20" x14ac:dyDescent="0.25">
      <c r="A16334" t="str">
        <f>"3060626"</f>
        <v>3060626</v>
      </c>
      <c r="B16334" t="s">
        <v>50006</v>
      </c>
      <c r="C16334" t="str">
        <f>"8317079"</f>
        <v>8317079</v>
      </c>
      <c r="D16334" t="s">
        <v>50007</v>
      </c>
      <c r="E16334" t="s">
        <v>50008</v>
      </c>
      <c r="F16334" t="s">
        <v>50009</v>
      </c>
      <c r="I16334" t="s">
        <v>184</v>
      </c>
      <c r="J16334" t="s">
        <v>30</v>
      </c>
      <c r="K16334" t="s">
        <v>6459</v>
      </c>
      <c r="M16334" t="s">
        <v>17861</v>
      </c>
      <c r="N16334" t="str">
        <f>"1/26/2022 2:54:00 PM"</f>
        <v>1/26/2022 2:54:00 PM</v>
      </c>
      <c r="O16334" t="s">
        <v>50007</v>
      </c>
      <c r="T16334" t="s">
        <v>50008</v>
      </c>
    </row>
    <row r="16335" spans="1:20" x14ac:dyDescent="0.25">
      <c r="A16335" t="str">
        <f>"3043697"</f>
        <v>3043697</v>
      </c>
      <c r="B16335" t="s">
        <v>50010</v>
      </c>
      <c r="C16335" t="str">
        <f>"8317080"</f>
        <v>8317080</v>
      </c>
      <c r="D16335" t="s">
        <v>50011</v>
      </c>
      <c r="E16335" t="s">
        <v>50012</v>
      </c>
      <c r="F16335" t="s">
        <v>50013</v>
      </c>
      <c r="I16335" t="s">
        <v>29</v>
      </c>
      <c r="J16335" t="s">
        <v>30</v>
      </c>
      <c r="K16335" t="s">
        <v>34949</v>
      </c>
      <c r="M16335" t="s">
        <v>17861</v>
      </c>
      <c r="N16335" t="str">
        <f>"1/26/2022 3:01:00 PM"</f>
        <v>1/26/2022 3:01:00 PM</v>
      </c>
      <c r="O16335" t="s">
        <v>50011</v>
      </c>
      <c r="T16335" t="s">
        <v>50012</v>
      </c>
    </row>
    <row r="16336" spans="1:20" x14ac:dyDescent="0.25">
      <c r="A16336" t="str">
        <f>"3060916"</f>
        <v>3060916</v>
      </c>
      <c r="B16336" t="s">
        <v>50014</v>
      </c>
      <c r="C16336" t="str">
        <f>"8317134"</f>
        <v>8317134</v>
      </c>
      <c r="D16336" t="s">
        <v>50015</v>
      </c>
      <c r="E16336" t="s">
        <v>50016</v>
      </c>
      <c r="F16336" t="s">
        <v>50017</v>
      </c>
      <c r="I16336" t="s">
        <v>2071</v>
      </c>
      <c r="J16336" t="s">
        <v>30</v>
      </c>
      <c r="K16336" t="s">
        <v>37104</v>
      </c>
      <c r="M16336" t="s">
        <v>17861</v>
      </c>
      <c r="N16336" t="str">
        <f>"1/28/2022 3:28:00 PM"</f>
        <v>1/28/2022 3:28:00 PM</v>
      </c>
      <c r="O16336" t="s">
        <v>50015</v>
      </c>
      <c r="T16336" t="s">
        <v>50016</v>
      </c>
    </row>
    <row r="16337" spans="1:20" x14ac:dyDescent="0.25">
      <c r="A16337" t="str">
        <f>"3061526"</f>
        <v>3061526</v>
      </c>
      <c r="B16337" t="s">
        <v>50018</v>
      </c>
      <c r="C16337" t="str">
        <f>"8317135"</f>
        <v>8317135</v>
      </c>
      <c r="D16337" t="s">
        <v>50019</v>
      </c>
      <c r="F16337" t="s">
        <v>50020</v>
      </c>
      <c r="I16337" t="s">
        <v>184</v>
      </c>
      <c r="J16337" t="s">
        <v>30</v>
      </c>
      <c r="K16337" t="str">
        <f>"27006"</f>
        <v>27006</v>
      </c>
      <c r="M16337" t="s">
        <v>17861</v>
      </c>
      <c r="N16337" t="str">
        <f>"1/28/2022 3:44:00 PM"</f>
        <v>1/28/2022 3:44:00 PM</v>
      </c>
      <c r="O16337" t="s">
        <v>50019</v>
      </c>
    </row>
    <row r="16338" spans="1:20" x14ac:dyDescent="0.25">
      <c r="A16338" t="str">
        <f>"3061716"</f>
        <v>3061716</v>
      </c>
      <c r="B16338" t="s">
        <v>50021</v>
      </c>
      <c r="C16338" t="str">
        <f>"8317138"</f>
        <v>8317138</v>
      </c>
      <c r="D16338" t="s">
        <v>50022</v>
      </c>
      <c r="F16338" t="s">
        <v>50023</v>
      </c>
      <c r="I16338" t="s">
        <v>2071</v>
      </c>
      <c r="J16338" t="s">
        <v>30</v>
      </c>
      <c r="K16338" t="s">
        <v>30968</v>
      </c>
      <c r="M16338" t="s">
        <v>17861</v>
      </c>
      <c r="N16338" t="str">
        <f>"1/28/2022 3:51:00 PM"</f>
        <v>1/28/2022 3:51:00 PM</v>
      </c>
      <c r="O16338" t="s">
        <v>50022</v>
      </c>
    </row>
    <row r="16339" spans="1:20" x14ac:dyDescent="0.25">
      <c r="A16339" t="str">
        <f>"3042573"</f>
        <v>3042573</v>
      </c>
      <c r="B16339" t="s">
        <v>50024</v>
      </c>
      <c r="C16339" t="str">
        <f>"8317140"</f>
        <v>8317140</v>
      </c>
      <c r="D16339" t="s">
        <v>50025</v>
      </c>
      <c r="E16339" t="s">
        <v>50026</v>
      </c>
      <c r="F16339" t="s">
        <v>50027</v>
      </c>
      <c r="I16339" t="s">
        <v>184</v>
      </c>
      <c r="J16339" t="s">
        <v>30</v>
      </c>
      <c r="K16339" t="s">
        <v>50028</v>
      </c>
      <c r="M16339" t="s">
        <v>17861</v>
      </c>
      <c r="N16339" t="str">
        <f>"1/28/2022 3:56:00 PM"</f>
        <v>1/28/2022 3:56:00 PM</v>
      </c>
      <c r="O16339" t="s">
        <v>50025</v>
      </c>
      <c r="T16339" t="s">
        <v>50026</v>
      </c>
    </row>
    <row r="16340" spans="1:20" x14ac:dyDescent="0.25">
      <c r="A16340" t="str">
        <f>"3049725"</f>
        <v>3049725</v>
      </c>
      <c r="B16340" t="s">
        <v>50029</v>
      </c>
      <c r="C16340" t="str">
        <f>"8317141"</f>
        <v>8317141</v>
      </c>
      <c r="D16340" t="s">
        <v>50030</v>
      </c>
      <c r="E16340" t="str">
        <f>"C/O RENU PROPERTY MGT LLC"</f>
        <v>C/O RENU PROPERTY MGT LLC</v>
      </c>
      <c r="F16340" t="s">
        <v>50031</v>
      </c>
      <c r="I16340" t="s">
        <v>50032</v>
      </c>
      <c r="J16340" t="s">
        <v>3150</v>
      </c>
      <c r="K16340" t="str">
        <f>"46032"</f>
        <v>46032</v>
      </c>
      <c r="M16340" t="s">
        <v>17861</v>
      </c>
      <c r="N16340" t="str">
        <f>"1/28/2022 4:00:00 PM"</f>
        <v>1/28/2022 4:00:00 PM</v>
      </c>
      <c r="O16340" t="s">
        <v>50030</v>
      </c>
      <c r="T16340" t="str">
        <f>"C/O RENU PROPERTY MGT LLC"</f>
        <v>C/O RENU PROPERTY MGT LLC</v>
      </c>
    </row>
    <row r="16341" spans="1:20" x14ac:dyDescent="0.25">
      <c r="A16341" t="str">
        <f>"3039708"</f>
        <v>3039708</v>
      </c>
      <c r="B16341" t="s">
        <v>50033</v>
      </c>
      <c r="C16341" t="str">
        <f>"8317000"</f>
        <v>8317000</v>
      </c>
      <c r="D16341" t="s">
        <v>50034</v>
      </c>
      <c r="F16341" t="s">
        <v>50035</v>
      </c>
      <c r="I16341" t="s">
        <v>29</v>
      </c>
      <c r="J16341" t="s">
        <v>30</v>
      </c>
      <c r="K16341" t="s">
        <v>18909</v>
      </c>
      <c r="M16341" t="s">
        <v>17861</v>
      </c>
      <c r="N16341" t="str">
        <f>"1/31/2022 9:42:00 AM"</f>
        <v>1/31/2022 9:42:00 AM</v>
      </c>
      <c r="O16341" t="s">
        <v>50034</v>
      </c>
    </row>
    <row r="16342" spans="1:20" x14ac:dyDescent="0.25">
      <c r="A16342" t="str">
        <f>"3048013"</f>
        <v>3048013</v>
      </c>
      <c r="B16342" t="s">
        <v>50036</v>
      </c>
      <c r="C16342" t="str">
        <f>"8317081"</f>
        <v>8317081</v>
      </c>
      <c r="D16342" t="s">
        <v>50037</v>
      </c>
      <c r="F16342" t="s">
        <v>50038</v>
      </c>
      <c r="I16342" t="s">
        <v>184</v>
      </c>
      <c r="J16342" t="s">
        <v>30</v>
      </c>
      <c r="K16342" t="s">
        <v>42156</v>
      </c>
      <c r="M16342" t="s">
        <v>17861</v>
      </c>
      <c r="N16342" t="str">
        <f>"1/26/2022 3:04:00 PM"</f>
        <v>1/26/2022 3:04:00 PM</v>
      </c>
      <c r="O16342" t="s">
        <v>50037</v>
      </c>
    </row>
    <row r="16343" spans="1:20" x14ac:dyDescent="0.25">
      <c r="A16343" t="str">
        <f>"3051472"</f>
        <v>3051472</v>
      </c>
      <c r="B16343" t="s">
        <v>50039</v>
      </c>
      <c r="C16343" t="str">
        <f>"8317072"</f>
        <v>8317072</v>
      </c>
      <c r="D16343" t="s">
        <v>50040</v>
      </c>
      <c r="F16343" t="s">
        <v>50041</v>
      </c>
      <c r="I16343" t="s">
        <v>2280</v>
      </c>
      <c r="J16343" t="s">
        <v>30</v>
      </c>
      <c r="K16343" t="s">
        <v>50042</v>
      </c>
      <c r="M16343" t="s">
        <v>17861</v>
      </c>
      <c r="N16343" t="str">
        <f>"1/26/2022 2:01:00 PM"</f>
        <v>1/26/2022 2:01:00 PM</v>
      </c>
      <c r="O16343" t="s">
        <v>50040</v>
      </c>
    </row>
    <row r="16344" spans="1:20" x14ac:dyDescent="0.25">
      <c r="A16344" t="str">
        <f>"3040574"</f>
        <v>3040574</v>
      </c>
      <c r="B16344" t="s">
        <v>50043</v>
      </c>
      <c r="C16344" t="str">
        <f>"8317150"</f>
        <v>8317150</v>
      </c>
      <c r="D16344" t="s">
        <v>50044</v>
      </c>
      <c r="E16344" t="s">
        <v>50045</v>
      </c>
      <c r="F16344" t="s">
        <v>50046</v>
      </c>
      <c r="I16344" t="s">
        <v>184</v>
      </c>
      <c r="J16344" t="s">
        <v>30</v>
      </c>
      <c r="K16344" t="s">
        <v>50047</v>
      </c>
      <c r="M16344" t="s">
        <v>17861</v>
      </c>
      <c r="N16344" t="str">
        <f>"2/1/2022 10:18:00 AM"</f>
        <v>2/1/2022 10:18:00 AM</v>
      </c>
      <c r="O16344" t="s">
        <v>50044</v>
      </c>
      <c r="T16344" t="s">
        <v>50045</v>
      </c>
    </row>
    <row r="16345" spans="1:20" x14ac:dyDescent="0.25">
      <c r="A16345" t="str">
        <f>"3042338"</f>
        <v>3042338</v>
      </c>
      <c r="B16345" t="s">
        <v>50048</v>
      </c>
      <c r="C16345" t="str">
        <f>"8317151"</f>
        <v>8317151</v>
      </c>
      <c r="D16345" t="s">
        <v>50049</v>
      </c>
      <c r="F16345" t="s">
        <v>50050</v>
      </c>
      <c r="I16345" t="s">
        <v>184</v>
      </c>
      <c r="J16345" t="s">
        <v>30</v>
      </c>
      <c r="K16345" t="s">
        <v>3323</v>
      </c>
      <c r="M16345" t="s">
        <v>17861</v>
      </c>
      <c r="N16345" t="str">
        <f>"2/1/2022 10:22:00 AM"</f>
        <v>2/1/2022 10:22:00 AM</v>
      </c>
      <c r="O16345" t="s">
        <v>50049</v>
      </c>
    </row>
    <row r="16346" spans="1:20" x14ac:dyDescent="0.25">
      <c r="A16346" t="str">
        <f>"3043832"</f>
        <v>3043832</v>
      </c>
      <c r="B16346" t="s">
        <v>50051</v>
      </c>
      <c r="C16346" t="str">
        <f>"8317073"</f>
        <v>8317073</v>
      </c>
      <c r="D16346" t="s">
        <v>49899</v>
      </c>
      <c r="F16346" t="s">
        <v>41687</v>
      </c>
      <c r="I16346" t="s">
        <v>29</v>
      </c>
      <c r="J16346" t="s">
        <v>30</v>
      </c>
      <c r="K16346" t="s">
        <v>19651</v>
      </c>
      <c r="M16346" t="s">
        <v>17861</v>
      </c>
      <c r="N16346" t="str">
        <f>"1/26/2022 2:12:00 PM"</f>
        <v>1/26/2022 2:12:00 PM</v>
      </c>
      <c r="O16346" t="s">
        <v>49899</v>
      </c>
    </row>
    <row r="16347" spans="1:20" x14ac:dyDescent="0.25">
      <c r="A16347" t="str">
        <f>"3050703"</f>
        <v>3050703</v>
      </c>
      <c r="B16347" t="s">
        <v>50052</v>
      </c>
      <c r="C16347" t="str">
        <f>"8317082"</f>
        <v>8317082</v>
      </c>
      <c r="D16347" t="s">
        <v>50053</v>
      </c>
      <c r="E16347" t="s">
        <v>50054</v>
      </c>
      <c r="F16347" t="s">
        <v>50055</v>
      </c>
      <c r="I16347" t="s">
        <v>184</v>
      </c>
      <c r="J16347" t="s">
        <v>30</v>
      </c>
      <c r="K16347" t="s">
        <v>10584</v>
      </c>
      <c r="M16347" t="s">
        <v>17861</v>
      </c>
      <c r="N16347" t="str">
        <f>"1/26/2022 3:07:00 PM"</f>
        <v>1/26/2022 3:07:00 PM</v>
      </c>
      <c r="O16347" t="s">
        <v>50053</v>
      </c>
      <c r="T16347" t="s">
        <v>50054</v>
      </c>
    </row>
    <row r="16348" spans="1:20" x14ac:dyDescent="0.25">
      <c r="A16348" t="str">
        <f>"3054507"</f>
        <v>3054507</v>
      </c>
      <c r="B16348" t="s">
        <v>50056</v>
      </c>
      <c r="C16348" t="str">
        <f>"8317083"</f>
        <v>8317083</v>
      </c>
      <c r="D16348" t="s">
        <v>50057</v>
      </c>
      <c r="E16348" t="s">
        <v>50058</v>
      </c>
      <c r="F16348" t="s">
        <v>50059</v>
      </c>
      <c r="I16348" t="s">
        <v>29</v>
      </c>
      <c r="J16348" t="s">
        <v>30</v>
      </c>
      <c r="K16348" t="str">
        <f>"27028"</f>
        <v>27028</v>
      </c>
      <c r="M16348" t="s">
        <v>17861</v>
      </c>
      <c r="N16348" t="str">
        <f>"1/26/2022 3:10:00 PM"</f>
        <v>1/26/2022 3:10:00 PM</v>
      </c>
      <c r="O16348" t="s">
        <v>50057</v>
      </c>
      <c r="T16348" t="s">
        <v>50058</v>
      </c>
    </row>
    <row r="16349" spans="1:20" x14ac:dyDescent="0.25">
      <c r="A16349" t="str">
        <f>"3052510"</f>
        <v>3052510</v>
      </c>
      <c r="B16349" t="s">
        <v>50060</v>
      </c>
      <c r="C16349" t="str">
        <f>"8317084"</f>
        <v>8317084</v>
      </c>
      <c r="D16349" t="s">
        <v>50061</v>
      </c>
      <c r="F16349" t="s">
        <v>50062</v>
      </c>
      <c r="I16349" t="s">
        <v>29</v>
      </c>
      <c r="J16349" t="s">
        <v>30</v>
      </c>
      <c r="K16349" t="s">
        <v>50063</v>
      </c>
      <c r="M16349" t="s">
        <v>17861</v>
      </c>
      <c r="N16349" t="str">
        <f>"1/26/2022 3:13:00 PM"</f>
        <v>1/26/2022 3:13:00 PM</v>
      </c>
      <c r="O16349" t="s">
        <v>50061</v>
      </c>
    </row>
    <row r="16350" spans="1:20" x14ac:dyDescent="0.25">
      <c r="A16350" t="str">
        <f>"3040899"</f>
        <v>3040899</v>
      </c>
      <c r="B16350" t="s">
        <v>50064</v>
      </c>
      <c r="C16350" t="str">
        <f>"8317159"</f>
        <v>8317159</v>
      </c>
      <c r="D16350" t="s">
        <v>50065</v>
      </c>
      <c r="F16350" t="s">
        <v>50066</v>
      </c>
      <c r="I16350" t="s">
        <v>184</v>
      </c>
      <c r="J16350" t="s">
        <v>30</v>
      </c>
      <c r="K16350" t="s">
        <v>3092</v>
      </c>
      <c r="M16350" t="s">
        <v>17861</v>
      </c>
      <c r="N16350" t="str">
        <f>"2/2/2022 9:32:00 AM"</f>
        <v>2/2/2022 9:32:00 AM</v>
      </c>
      <c r="O16350" t="s">
        <v>50065</v>
      </c>
    </row>
    <row r="16351" spans="1:20" x14ac:dyDescent="0.25">
      <c r="A16351" t="str">
        <f>"3049307"</f>
        <v>3049307</v>
      </c>
      <c r="B16351" t="s">
        <v>50067</v>
      </c>
      <c r="C16351" t="str">
        <f>"8317085"</f>
        <v>8317085</v>
      </c>
      <c r="D16351" t="s">
        <v>50068</v>
      </c>
      <c r="F16351" t="s">
        <v>50069</v>
      </c>
      <c r="I16351" t="s">
        <v>29</v>
      </c>
      <c r="J16351" t="s">
        <v>30</v>
      </c>
      <c r="K16351" t="s">
        <v>50070</v>
      </c>
      <c r="M16351" t="s">
        <v>17861</v>
      </c>
      <c r="N16351" t="str">
        <f>"1/26/2022 3:15:00 PM"</f>
        <v>1/26/2022 3:15:00 PM</v>
      </c>
      <c r="O16351" t="s">
        <v>50068</v>
      </c>
    </row>
    <row r="16352" spans="1:20" x14ac:dyDescent="0.25">
      <c r="A16352" t="str">
        <f>"3042982"</f>
        <v>3042982</v>
      </c>
      <c r="B16352" t="s">
        <v>50071</v>
      </c>
      <c r="C16352" t="str">
        <f>"8317087"</f>
        <v>8317087</v>
      </c>
      <c r="D16352" t="s">
        <v>50072</v>
      </c>
      <c r="F16352" t="s">
        <v>50073</v>
      </c>
      <c r="I16352" t="s">
        <v>184</v>
      </c>
      <c r="J16352" t="s">
        <v>30</v>
      </c>
      <c r="K16352" t="s">
        <v>4843</v>
      </c>
      <c r="M16352" t="s">
        <v>17861</v>
      </c>
      <c r="N16352" t="str">
        <f>"1/27/2022 8:05:00 AM"</f>
        <v>1/27/2022 8:05:00 AM</v>
      </c>
      <c r="O16352" t="s">
        <v>50072</v>
      </c>
    </row>
    <row r="16353" spans="1:20" x14ac:dyDescent="0.25">
      <c r="A16353" t="str">
        <f>"3050393"</f>
        <v>3050393</v>
      </c>
      <c r="B16353" t="s">
        <v>50074</v>
      </c>
      <c r="C16353" t="str">
        <f>"8317106"</f>
        <v>8317106</v>
      </c>
      <c r="D16353" t="s">
        <v>50075</v>
      </c>
      <c r="E16353" t="s">
        <v>50076</v>
      </c>
      <c r="F16353" t="s">
        <v>50077</v>
      </c>
      <c r="I16353" t="s">
        <v>184</v>
      </c>
      <c r="J16353" t="s">
        <v>30</v>
      </c>
      <c r="K16353" t="s">
        <v>48172</v>
      </c>
      <c r="M16353" t="s">
        <v>17861</v>
      </c>
      <c r="N16353" t="str">
        <f>"1/27/2022 2:34:00 PM"</f>
        <v>1/27/2022 2:34:00 PM</v>
      </c>
      <c r="O16353" t="s">
        <v>50075</v>
      </c>
      <c r="T16353" t="s">
        <v>50076</v>
      </c>
    </row>
    <row r="16354" spans="1:20" x14ac:dyDescent="0.25">
      <c r="A16354" t="str">
        <f>"3052692"</f>
        <v>3052692</v>
      </c>
      <c r="B16354" t="s">
        <v>50078</v>
      </c>
      <c r="C16354" t="str">
        <f>"8317126"</f>
        <v>8317126</v>
      </c>
      <c r="D16354" t="s">
        <v>50079</v>
      </c>
      <c r="F16354" t="s">
        <v>50080</v>
      </c>
      <c r="I16354" t="s">
        <v>29</v>
      </c>
      <c r="J16354" t="s">
        <v>30</v>
      </c>
      <c r="K16354" t="s">
        <v>50081</v>
      </c>
      <c r="M16354" t="s">
        <v>17861</v>
      </c>
      <c r="N16354" t="str">
        <f>"1/28/2022 10:47:00 AM"</f>
        <v>1/28/2022 10:47:00 AM</v>
      </c>
      <c r="O16354" t="s">
        <v>50079</v>
      </c>
    </row>
    <row r="16355" spans="1:20" x14ac:dyDescent="0.25">
      <c r="A16355" t="str">
        <f>"3044917"</f>
        <v>3044917</v>
      </c>
      <c r="B16355" t="s">
        <v>50082</v>
      </c>
      <c r="C16355" t="str">
        <f>"8317127"</f>
        <v>8317127</v>
      </c>
      <c r="D16355" t="s">
        <v>50083</v>
      </c>
      <c r="E16355" t="s">
        <v>50084</v>
      </c>
      <c r="F16355" t="s">
        <v>50085</v>
      </c>
      <c r="I16355" t="s">
        <v>184</v>
      </c>
      <c r="J16355" t="s">
        <v>30</v>
      </c>
      <c r="K16355" t="s">
        <v>33908</v>
      </c>
      <c r="M16355" t="s">
        <v>17861</v>
      </c>
      <c r="N16355" t="str">
        <f>"1/28/2022 10:50:00 AM"</f>
        <v>1/28/2022 10:50:00 AM</v>
      </c>
      <c r="O16355" t="s">
        <v>50083</v>
      </c>
      <c r="T16355" t="s">
        <v>50084</v>
      </c>
    </row>
    <row r="16356" spans="1:20" x14ac:dyDescent="0.25">
      <c r="A16356" t="str">
        <f>"3044707"</f>
        <v>3044707</v>
      </c>
      <c r="B16356" t="s">
        <v>50086</v>
      </c>
      <c r="C16356" t="str">
        <f>"8317128"</f>
        <v>8317128</v>
      </c>
      <c r="D16356" t="s">
        <v>50087</v>
      </c>
      <c r="E16356" t="s">
        <v>50088</v>
      </c>
      <c r="F16356" t="s">
        <v>50089</v>
      </c>
      <c r="I16356" t="s">
        <v>184</v>
      </c>
      <c r="J16356" t="s">
        <v>30</v>
      </c>
      <c r="K16356" t="s">
        <v>5724</v>
      </c>
      <c r="M16356" t="s">
        <v>17861</v>
      </c>
      <c r="N16356" t="str">
        <f>"1/28/2022 10:55:00 AM"</f>
        <v>1/28/2022 10:55:00 AM</v>
      </c>
      <c r="O16356" t="s">
        <v>50087</v>
      </c>
      <c r="T16356" t="s">
        <v>50088</v>
      </c>
    </row>
    <row r="16357" spans="1:20" x14ac:dyDescent="0.25">
      <c r="A16357" t="str">
        <f>"3078975"</f>
        <v>3078975</v>
      </c>
      <c r="B16357" t="s">
        <v>50090</v>
      </c>
      <c r="C16357" t="str">
        <f>"8317129"</f>
        <v>8317129</v>
      </c>
      <c r="D16357" t="str">
        <f>"STEELE CARL A/VALENTINE A"</f>
        <v>STEELE CARL A/VALENTINE A</v>
      </c>
      <c r="E16357" t="s">
        <v>50091</v>
      </c>
      <c r="F16357" t="s">
        <v>50092</v>
      </c>
      <c r="I16357" t="s">
        <v>50093</v>
      </c>
      <c r="J16357" t="s">
        <v>11994</v>
      </c>
      <c r="K16357" t="s">
        <v>50094</v>
      </c>
      <c r="M16357" t="s">
        <v>17861</v>
      </c>
      <c r="N16357" t="str">
        <f>"1/28/2022 11:17:00 AM"</f>
        <v>1/28/2022 11:17:00 AM</v>
      </c>
      <c r="O16357" t="str">
        <f>"STEELE CARL A/VALENTINE A"</f>
        <v>STEELE CARL A/VALENTINE A</v>
      </c>
      <c r="T16357" t="s">
        <v>50091</v>
      </c>
    </row>
    <row r="16358" spans="1:20" x14ac:dyDescent="0.25">
      <c r="A16358" t="str">
        <f>"3054509"</f>
        <v>3054509</v>
      </c>
      <c r="B16358" t="s">
        <v>50095</v>
      </c>
      <c r="C16358" t="str">
        <f>"8317131"</f>
        <v>8317131</v>
      </c>
      <c r="D16358" t="s">
        <v>50096</v>
      </c>
      <c r="E16358" t="s">
        <v>50097</v>
      </c>
      <c r="F16358" t="s">
        <v>50098</v>
      </c>
      <c r="I16358" t="s">
        <v>29</v>
      </c>
      <c r="J16358" t="s">
        <v>30</v>
      </c>
      <c r="K16358" t="s">
        <v>15727</v>
      </c>
      <c r="M16358" t="s">
        <v>17861</v>
      </c>
      <c r="N16358" t="str">
        <f>"1/28/2022 3:09:00 PM"</f>
        <v>1/28/2022 3:09:00 PM</v>
      </c>
      <c r="O16358" t="s">
        <v>50096</v>
      </c>
      <c r="T16358" t="s">
        <v>50097</v>
      </c>
    </row>
    <row r="16359" spans="1:20" x14ac:dyDescent="0.25">
      <c r="A16359" t="str">
        <f>"3060858"</f>
        <v>3060858</v>
      </c>
      <c r="B16359" t="s">
        <v>50099</v>
      </c>
      <c r="C16359" t="str">
        <f>"8317090"</f>
        <v>8317090</v>
      </c>
      <c r="D16359" t="s">
        <v>50100</v>
      </c>
      <c r="E16359" t="s">
        <v>50101</v>
      </c>
      <c r="F16359" t="s">
        <v>50102</v>
      </c>
      <c r="I16359" t="s">
        <v>2071</v>
      </c>
      <c r="J16359" t="s">
        <v>30</v>
      </c>
      <c r="K16359" t="str">
        <f>"27006"</f>
        <v>27006</v>
      </c>
      <c r="M16359" t="s">
        <v>17861</v>
      </c>
      <c r="N16359" t="str">
        <f>"1/27/2022 8:23:00 AM"</f>
        <v>1/27/2022 8:23:00 AM</v>
      </c>
      <c r="O16359" t="s">
        <v>50100</v>
      </c>
      <c r="T16359" t="s">
        <v>50101</v>
      </c>
    </row>
    <row r="16360" spans="1:20" x14ac:dyDescent="0.25">
      <c r="A16360" t="str">
        <f>"3061157"</f>
        <v>3061157</v>
      </c>
      <c r="B16360" t="s">
        <v>50103</v>
      </c>
      <c r="C16360" t="str">
        <f>"8317091"</f>
        <v>8317091</v>
      </c>
      <c r="D16360" t="s">
        <v>50104</v>
      </c>
      <c r="E16360" t="s">
        <v>50105</v>
      </c>
      <c r="F16360" t="s">
        <v>50106</v>
      </c>
      <c r="I16360" t="s">
        <v>2071</v>
      </c>
      <c r="J16360" t="s">
        <v>30</v>
      </c>
      <c r="K16360" t="s">
        <v>38104</v>
      </c>
      <c r="M16360" t="s">
        <v>17861</v>
      </c>
      <c r="N16360" t="str">
        <f>"1/27/2022 8:27:00 AM"</f>
        <v>1/27/2022 8:27:00 AM</v>
      </c>
      <c r="O16360" t="s">
        <v>50104</v>
      </c>
      <c r="T16360" t="s">
        <v>50105</v>
      </c>
    </row>
    <row r="16361" spans="1:20" x14ac:dyDescent="0.25">
      <c r="A16361" t="str">
        <f>"3071371"</f>
        <v>3071371</v>
      </c>
      <c r="B16361" t="s">
        <v>50107</v>
      </c>
      <c r="C16361" t="str">
        <f>"8317092"</f>
        <v>8317092</v>
      </c>
      <c r="D16361" t="s">
        <v>50108</v>
      </c>
      <c r="E16361" t="s">
        <v>50109</v>
      </c>
      <c r="F16361" t="s">
        <v>50110</v>
      </c>
      <c r="I16361" t="s">
        <v>184</v>
      </c>
      <c r="J16361" t="s">
        <v>30</v>
      </c>
      <c r="K16361" t="s">
        <v>6285</v>
      </c>
      <c r="M16361" t="s">
        <v>17861</v>
      </c>
      <c r="N16361" t="str">
        <f>"1/27/2022 8:48:00 AM"</f>
        <v>1/27/2022 8:48:00 AM</v>
      </c>
      <c r="O16361" t="s">
        <v>50108</v>
      </c>
      <c r="T16361" t="s">
        <v>50109</v>
      </c>
    </row>
    <row r="16362" spans="1:20" x14ac:dyDescent="0.25">
      <c r="A16362" t="str">
        <f>"3055056"</f>
        <v>3055056</v>
      </c>
      <c r="B16362" t="s">
        <v>50111</v>
      </c>
      <c r="C16362" t="str">
        <f>"8317065"</f>
        <v>8317065</v>
      </c>
      <c r="D16362" t="s">
        <v>50112</v>
      </c>
      <c r="F16362" t="s">
        <v>50113</v>
      </c>
      <c r="I16362" t="s">
        <v>29</v>
      </c>
      <c r="J16362" t="s">
        <v>30</v>
      </c>
      <c r="K16362" t="s">
        <v>29603</v>
      </c>
      <c r="M16362" t="s">
        <v>17861</v>
      </c>
      <c r="N16362" t="str">
        <f>"1/26/2022 9:59:00 AM"</f>
        <v>1/26/2022 9:59:00 AM</v>
      </c>
      <c r="O16362" t="s">
        <v>50112</v>
      </c>
    </row>
    <row r="16363" spans="1:20" x14ac:dyDescent="0.25">
      <c r="A16363" t="str">
        <f>"3056622"</f>
        <v>3056622</v>
      </c>
      <c r="B16363" t="s">
        <v>50114</v>
      </c>
      <c r="C16363" t="str">
        <f>"13020000"</f>
        <v>13020000</v>
      </c>
      <c r="D16363" t="s">
        <v>50115</v>
      </c>
      <c r="E16363" t="s">
        <v>50116</v>
      </c>
      <c r="F16363" t="s">
        <v>50117</v>
      </c>
      <c r="I16363" t="s">
        <v>29</v>
      </c>
      <c r="J16363" t="s">
        <v>30</v>
      </c>
      <c r="K16363" t="s">
        <v>50118</v>
      </c>
      <c r="M16363" t="s">
        <v>33845</v>
      </c>
      <c r="N16363" t="str">
        <f>"1/26/2022 10:05:00 AM"</f>
        <v>1/26/2022 10:05:00 AM</v>
      </c>
      <c r="O16363" t="s">
        <v>50115</v>
      </c>
      <c r="T16363" t="s">
        <v>50116</v>
      </c>
    </row>
    <row r="16364" spans="1:20" x14ac:dyDescent="0.25">
      <c r="A16364" t="str">
        <f>"3044878"</f>
        <v>3044878</v>
      </c>
      <c r="B16364" t="s">
        <v>50119</v>
      </c>
      <c r="C16364" t="str">
        <f>"8317172"</f>
        <v>8317172</v>
      </c>
      <c r="D16364" t="s">
        <v>50120</v>
      </c>
      <c r="E16364" t="s">
        <v>50121</v>
      </c>
      <c r="F16364" t="s">
        <v>50122</v>
      </c>
      <c r="I16364" t="s">
        <v>184</v>
      </c>
      <c r="J16364" t="s">
        <v>30</v>
      </c>
      <c r="K16364" t="s">
        <v>5707</v>
      </c>
      <c r="M16364" t="s">
        <v>17861</v>
      </c>
      <c r="N16364" t="str">
        <f>"2/8/2022 3:27:00 PM"</f>
        <v>2/8/2022 3:27:00 PM</v>
      </c>
      <c r="O16364" t="s">
        <v>50120</v>
      </c>
      <c r="T16364" t="s">
        <v>50121</v>
      </c>
    </row>
    <row r="16365" spans="1:20" x14ac:dyDescent="0.25">
      <c r="A16365" t="str">
        <f>"3057716"</f>
        <v>3057716</v>
      </c>
      <c r="B16365" t="s">
        <v>50123</v>
      </c>
      <c r="C16365" t="str">
        <f>"8317174"</f>
        <v>8317174</v>
      </c>
      <c r="D16365" t="s">
        <v>50124</v>
      </c>
      <c r="E16365" t="s">
        <v>50125</v>
      </c>
      <c r="F16365" t="s">
        <v>50126</v>
      </c>
      <c r="I16365" t="s">
        <v>184</v>
      </c>
      <c r="J16365" t="s">
        <v>30</v>
      </c>
      <c r="K16365" t="s">
        <v>19873</v>
      </c>
      <c r="M16365" t="s">
        <v>17861</v>
      </c>
      <c r="N16365" t="str">
        <f>"2/8/2022 3:53:00 PM"</f>
        <v>2/8/2022 3:53:00 PM</v>
      </c>
      <c r="O16365" t="s">
        <v>50124</v>
      </c>
      <c r="T16365" t="s">
        <v>50125</v>
      </c>
    </row>
    <row r="16366" spans="1:20" x14ac:dyDescent="0.25">
      <c r="A16366" t="str">
        <f>"3077756"</f>
        <v>3077756</v>
      </c>
      <c r="B16366" t="s">
        <v>50127</v>
      </c>
      <c r="C16366" t="str">
        <f>"8317175"</f>
        <v>8317175</v>
      </c>
      <c r="D16366" t="s">
        <v>50128</v>
      </c>
      <c r="E16366" t="s">
        <v>50129</v>
      </c>
      <c r="F16366" t="s">
        <v>50130</v>
      </c>
      <c r="I16366" t="s">
        <v>184</v>
      </c>
      <c r="J16366" t="s">
        <v>30</v>
      </c>
      <c r="K16366" t="s">
        <v>50131</v>
      </c>
      <c r="M16366" t="s">
        <v>17861</v>
      </c>
      <c r="N16366" t="str">
        <f>"2/8/2022 3:55:00 PM"</f>
        <v>2/8/2022 3:55:00 PM</v>
      </c>
      <c r="O16366" t="s">
        <v>50128</v>
      </c>
      <c r="T16366" t="s">
        <v>50129</v>
      </c>
    </row>
    <row r="16367" spans="1:20" x14ac:dyDescent="0.25">
      <c r="A16367" t="str">
        <f>"3073995"</f>
        <v>3073995</v>
      </c>
      <c r="B16367" t="s">
        <v>50132</v>
      </c>
      <c r="C16367" t="str">
        <f>"8317176"</f>
        <v>8317176</v>
      </c>
      <c r="D16367" t="s">
        <v>50133</v>
      </c>
      <c r="E16367" t="s">
        <v>50134</v>
      </c>
      <c r="F16367" t="s">
        <v>50135</v>
      </c>
      <c r="I16367" t="s">
        <v>184</v>
      </c>
      <c r="J16367" t="s">
        <v>30</v>
      </c>
      <c r="K16367" t="s">
        <v>25712</v>
      </c>
      <c r="M16367" t="s">
        <v>17861</v>
      </c>
      <c r="N16367" t="str">
        <f>"2/8/2022 4:03:00 PM"</f>
        <v>2/8/2022 4:03:00 PM</v>
      </c>
      <c r="O16367" t="s">
        <v>50133</v>
      </c>
      <c r="T16367" t="s">
        <v>50134</v>
      </c>
    </row>
    <row r="16368" spans="1:20" x14ac:dyDescent="0.25">
      <c r="A16368" t="str">
        <f>"3044008"</f>
        <v>3044008</v>
      </c>
      <c r="B16368" t="s">
        <v>50136</v>
      </c>
      <c r="C16368" t="str">
        <f>"8317177"</f>
        <v>8317177</v>
      </c>
      <c r="D16368" t="s">
        <v>50137</v>
      </c>
      <c r="F16368" t="s">
        <v>50138</v>
      </c>
      <c r="I16368" t="s">
        <v>184</v>
      </c>
      <c r="J16368" t="s">
        <v>30</v>
      </c>
      <c r="K16368" t="s">
        <v>25712</v>
      </c>
      <c r="M16368" t="s">
        <v>17861</v>
      </c>
      <c r="N16368" t="str">
        <f>"2/8/2022 4:12:00 PM"</f>
        <v>2/8/2022 4:12:00 PM</v>
      </c>
      <c r="O16368" t="s">
        <v>50137</v>
      </c>
    </row>
    <row r="16369" spans="1:20" x14ac:dyDescent="0.25">
      <c r="A16369" t="str">
        <f>"3044293"</f>
        <v>3044293</v>
      </c>
      <c r="B16369" t="s">
        <v>50139</v>
      </c>
      <c r="C16369" t="str">
        <f>"8317177"</f>
        <v>8317177</v>
      </c>
      <c r="D16369" t="s">
        <v>50137</v>
      </c>
      <c r="F16369" t="s">
        <v>50138</v>
      </c>
      <c r="I16369" t="s">
        <v>184</v>
      </c>
      <c r="J16369" t="s">
        <v>30</v>
      </c>
      <c r="K16369" t="s">
        <v>25712</v>
      </c>
      <c r="M16369" t="s">
        <v>17861</v>
      </c>
      <c r="N16369" t="str">
        <f>"2/8/2022 4:12:00 PM"</f>
        <v>2/8/2022 4:12:00 PM</v>
      </c>
      <c r="O16369" t="s">
        <v>50137</v>
      </c>
    </row>
    <row r="16370" spans="1:20" x14ac:dyDescent="0.25">
      <c r="A16370" t="str">
        <f>"3059100"</f>
        <v>3059100</v>
      </c>
      <c r="B16370" t="s">
        <v>50140</v>
      </c>
      <c r="C16370" t="str">
        <f>"8317179"</f>
        <v>8317179</v>
      </c>
      <c r="D16370" t="s">
        <v>50141</v>
      </c>
      <c r="F16370" t="s">
        <v>50142</v>
      </c>
      <c r="I16370" t="s">
        <v>29</v>
      </c>
      <c r="J16370" t="s">
        <v>30</v>
      </c>
      <c r="K16370" t="s">
        <v>15135</v>
      </c>
      <c r="M16370" t="s">
        <v>17861</v>
      </c>
      <c r="N16370" t="str">
        <f>"2/8/2022 4:22:00 PM"</f>
        <v>2/8/2022 4:22:00 PM</v>
      </c>
      <c r="O16370" t="s">
        <v>50141</v>
      </c>
    </row>
    <row r="16371" spans="1:20" x14ac:dyDescent="0.25">
      <c r="A16371" t="str">
        <f>"3039062"</f>
        <v>3039062</v>
      </c>
      <c r="B16371" t="s">
        <v>50143</v>
      </c>
      <c r="C16371" t="str">
        <f>"8317181"</f>
        <v>8317181</v>
      </c>
      <c r="D16371" t="s">
        <v>50144</v>
      </c>
      <c r="E16371" t="s">
        <v>50145</v>
      </c>
      <c r="F16371" t="s">
        <v>50146</v>
      </c>
      <c r="I16371" t="s">
        <v>29</v>
      </c>
      <c r="J16371" t="s">
        <v>30</v>
      </c>
      <c r="K16371" t="s">
        <v>50147</v>
      </c>
      <c r="M16371" t="s">
        <v>17861</v>
      </c>
      <c r="N16371" t="str">
        <f>"2/9/2022 8:57:00 AM"</f>
        <v>2/9/2022 8:57:00 AM</v>
      </c>
      <c r="O16371" t="s">
        <v>50144</v>
      </c>
      <c r="T16371" t="s">
        <v>50145</v>
      </c>
    </row>
    <row r="16372" spans="1:20" x14ac:dyDescent="0.25">
      <c r="A16372" t="str">
        <f>"3056667"</f>
        <v>3056667</v>
      </c>
      <c r="B16372" t="s">
        <v>50148</v>
      </c>
      <c r="C16372" t="str">
        <f>"8317183"</f>
        <v>8317183</v>
      </c>
      <c r="D16372" t="s">
        <v>50149</v>
      </c>
      <c r="E16372" t="s">
        <v>50150</v>
      </c>
      <c r="F16372" t="s">
        <v>50151</v>
      </c>
      <c r="I16372" t="s">
        <v>29</v>
      </c>
      <c r="J16372" t="s">
        <v>30</v>
      </c>
      <c r="K16372" t="s">
        <v>16753</v>
      </c>
      <c r="M16372" t="s">
        <v>17861</v>
      </c>
      <c r="N16372" t="str">
        <f>"2/9/2022 9:05:00 AM"</f>
        <v>2/9/2022 9:05:00 AM</v>
      </c>
      <c r="O16372" t="s">
        <v>50149</v>
      </c>
      <c r="T16372" t="s">
        <v>50150</v>
      </c>
    </row>
    <row r="16373" spans="1:20" x14ac:dyDescent="0.25">
      <c r="A16373" t="str">
        <f>"3056476"</f>
        <v>3056476</v>
      </c>
      <c r="B16373" t="s">
        <v>50152</v>
      </c>
      <c r="C16373" t="str">
        <f>"13020000"</f>
        <v>13020000</v>
      </c>
      <c r="D16373" t="s">
        <v>50115</v>
      </c>
      <c r="E16373" t="s">
        <v>50116</v>
      </c>
      <c r="F16373" t="s">
        <v>50117</v>
      </c>
      <c r="I16373" t="s">
        <v>29</v>
      </c>
      <c r="J16373" t="s">
        <v>30</v>
      </c>
      <c r="K16373" t="s">
        <v>50118</v>
      </c>
      <c r="M16373" t="s">
        <v>33845</v>
      </c>
      <c r="N16373" t="str">
        <f>"1/26/2022 10:05:00 AM"</f>
        <v>1/26/2022 10:05:00 AM</v>
      </c>
      <c r="O16373" t="s">
        <v>50115</v>
      </c>
      <c r="T16373" t="s">
        <v>50116</v>
      </c>
    </row>
    <row r="16374" spans="1:20" x14ac:dyDescent="0.25">
      <c r="A16374" t="str">
        <f>"3054510"</f>
        <v>3054510</v>
      </c>
      <c r="B16374" t="s">
        <v>50153</v>
      </c>
      <c r="C16374" t="str">
        <f>"8317067"</f>
        <v>8317067</v>
      </c>
      <c r="D16374" t="s">
        <v>50154</v>
      </c>
      <c r="E16374" t="s">
        <v>50155</v>
      </c>
      <c r="F16374" t="s">
        <v>50156</v>
      </c>
      <c r="I16374" t="s">
        <v>29</v>
      </c>
      <c r="J16374" t="s">
        <v>30</v>
      </c>
      <c r="K16374" t="s">
        <v>42839</v>
      </c>
      <c r="M16374" t="s">
        <v>17861</v>
      </c>
      <c r="N16374" t="str">
        <f>"1/26/2022 10:12:00 AM"</f>
        <v>1/26/2022 10:12:00 AM</v>
      </c>
      <c r="O16374" t="s">
        <v>50154</v>
      </c>
      <c r="T16374" t="s">
        <v>50155</v>
      </c>
    </row>
    <row r="16375" spans="1:20" x14ac:dyDescent="0.25">
      <c r="A16375" t="str">
        <f>"3052400"</f>
        <v>3052400</v>
      </c>
      <c r="B16375" t="s">
        <v>50157</v>
      </c>
      <c r="C16375" t="str">
        <f>"8317188"</f>
        <v>8317188</v>
      </c>
      <c r="D16375" t="s">
        <v>50158</v>
      </c>
      <c r="F16375" t="s">
        <v>50159</v>
      </c>
      <c r="I16375" t="s">
        <v>29</v>
      </c>
      <c r="J16375" t="s">
        <v>30</v>
      </c>
      <c r="K16375" t="s">
        <v>43829</v>
      </c>
      <c r="M16375" t="s">
        <v>17861</v>
      </c>
      <c r="N16375" t="str">
        <f>"2/9/2022 9:54:00 AM"</f>
        <v>2/9/2022 9:54:00 AM</v>
      </c>
      <c r="O16375" t="s">
        <v>50158</v>
      </c>
    </row>
    <row r="16376" spans="1:20" x14ac:dyDescent="0.25">
      <c r="A16376" t="str">
        <f>"3051759"</f>
        <v>3051759</v>
      </c>
      <c r="B16376" t="s">
        <v>50160</v>
      </c>
      <c r="C16376" t="str">
        <f t="shared" ref="C16376:C16387" si="245">"8317189"</f>
        <v>8317189</v>
      </c>
      <c r="D16376" t="s">
        <v>33246</v>
      </c>
      <c r="F16376" t="s">
        <v>33247</v>
      </c>
      <c r="I16376" t="s">
        <v>29</v>
      </c>
      <c r="J16376" t="s">
        <v>30</v>
      </c>
      <c r="K16376" t="s">
        <v>19156</v>
      </c>
      <c r="M16376" t="s">
        <v>17861</v>
      </c>
      <c r="N16376" t="str">
        <f t="shared" ref="N16376:N16387" si="246">"2/9/2022 9:56:00 AM"</f>
        <v>2/9/2022 9:56:00 AM</v>
      </c>
      <c r="O16376" t="s">
        <v>33246</v>
      </c>
    </row>
    <row r="16377" spans="1:20" x14ac:dyDescent="0.25">
      <c r="A16377" t="str">
        <f>"3051784"</f>
        <v>3051784</v>
      </c>
      <c r="B16377" t="s">
        <v>50161</v>
      </c>
      <c r="C16377" t="str">
        <f t="shared" si="245"/>
        <v>8317189</v>
      </c>
      <c r="D16377" t="s">
        <v>33246</v>
      </c>
      <c r="F16377" t="s">
        <v>33247</v>
      </c>
      <c r="I16377" t="s">
        <v>29</v>
      </c>
      <c r="J16377" t="s">
        <v>30</v>
      </c>
      <c r="K16377" t="s">
        <v>19156</v>
      </c>
      <c r="M16377" t="s">
        <v>17861</v>
      </c>
      <c r="N16377" t="str">
        <f t="shared" si="246"/>
        <v>2/9/2022 9:56:00 AM</v>
      </c>
      <c r="O16377" t="s">
        <v>33246</v>
      </c>
    </row>
    <row r="16378" spans="1:20" x14ac:dyDescent="0.25">
      <c r="A16378" t="str">
        <f>"3048883"</f>
        <v>3048883</v>
      </c>
      <c r="B16378" t="s">
        <v>50162</v>
      </c>
      <c r="C16378" t="str">
        <f t="shared" si="245"/>
        <v>8317189</v>
      </c>
      <c r="D16378" t="s">
        <v>33246</v>
      </c>
      <c r="F16378" t="s">
        <v>33247</v>
      </c>
      <c r="I16378" t="s">
        <v>29</v>
      </c>
      <c r="J16378" t="s">
        <v>30</v>
      </c>
      <c r="K16378" t="s">
        <v>19156</v>
      </c>
      <c r="M16378" t="s">
        <v>17861</v>
      </c>
      <c r="N16378" t="str">
        <f t="shared" si="246"/>
        <v>2/9/2022 9:56:00 AM</v>
      </c>
      <c r="O16378" t="s">
        <v>33246</v>
      </c>
    </row>
    <row r="16379" spans="1:20" x14ac:dyDescent="0.25">
      <c r="A16379" t="str">
        <f>"3043082"</f>
        <v>3043082</v>
      </c>
      <c r="B16379" t="s">
        <v>50163</v>
      </c>
      <c r="C16379" t="str">
        <f t="shared" si="245"/>
        <v>8317189</v>
      </c>
      <c r="D16379" t="s">
        <v>33246</v>
      </c>
      <c r="F16379" t="s">
        <v>33247</v>
      </c>
      <c r="I16379" t="s">
        <v>29</v>
      </c>
      <c r="J16379" t="s">
        <v>30</v>
      </c>
      <c r="K16379" t="s">
        <v>19156</v>
      </c>
      <c r="M16379" t="s">
        <v>17861</v>
      </c>
      <c r="N16379" t="str">
        <f t="shared" si="246"/>
        <v>2/9/2022 9:56:00 AM</v>
      </c>
      <c r="O16379" t="s">
        <v>33246</v>
      </c>
    </row>
    <row r="16380" spans="1:20" x14ac:dyDescent="0.25">
      <c r="A16380" t="str">
        <f>"3074553"</f>
        <v>3074553</v>
      </c>
      <c r="B16380" t="s">
        <v>50164</v>
      </c>
      <c r="C16380" t="str">
        <f t="shared" si="245"/>
        <v>8317189</v>
      </c>
      <c r="D16380" t="s">
        <v>33246</v>
      </c>
      <c r="F16380" t="s">
        <v>33247</v>
      </c>
      <c r="I16380" t="s">
        <v>29</v>
      </c>
      <c r="J16380" t="s">
        <v>30</v>
      </c>
      <c r="K16380" t="s">
        <v>19156</v>
      </c>
      <c r="M16380" t="s">
        <v>17861</v>
      </c>
      <c r="N16380" t="str">
        <f t="shared" si="246"/>
        <v>2/9/2022 9:56:00 AM</v>
      </c>
      <c r="O16380" t="s">
        <v>33246</v>
      </c>
    </row>
    <row r="16381" spans="1:20" x14ac:dyDescent="0.25">
      <c r="A16381" t="str">
        <f>"3074555"</f>
        <v>3074555</v>
      </c>
      <c r="B16381" t="s">
        <v>50165</v>
      </c>
      <c r="C16381" t="str">
        <f t="shared" si="245"/>
        <v>8317189</v>
      </c>
      <c r="D16381" t="s">
        <v>33246</v>
      </c>
      <c r="F16381" t="s">
        <v>33247</v>
      </c>
      <c r="I16381" t="s">
        <v>29</v>
      </c>
      <c r="J16381" t="s">
        <v>30</v>
      </c>
      <c r="K16381" t="s">
        <v>19156</v>
      </c>
      <c r="M16381" t="s">
        <v>17861</v>
      </c>
      <c r="N16381" t="str">
        <f t="shared" si="246"/>
        <v>2/9/2022 9:56:00 AM</v>
      </c>
      <c r="O16381" t="s">
        <v>33246</v>
      </c>
    </row>
    <row r="16382" spans="1:20" x14ac:dyDescent="0.25">
      <c r="A16382" t="str">
        <f>"3074556"</f>
        <v>3074556</v>
      </c>
      <c r="B16382" t="s">
        <v>50166</v>
      </c>
      <c r="C16382" t="str">
        <f t="shared" si="245"/>
        <v>8317189</v>
      </c>
      <c r="D16382" t="s">
        <v>33246</v>
      </c>
      <c r="F16382" t="s">
        <v>33247</v>
      </c>
      <c r="I16382" t="s">
        <v>29</v>
      </c>
      <c r="J16382" t="s">
        <v>30</v>
      </c>
      <c r="K16382" t="s">
        <v>19156</v>
      </c>
      <c r="M16382" t="s">
        <v>17861</v>
      </c>
      <c r="N16382" t="str">
        <f t="shared" si="246"/>
        <v>2/9/2022 9:56:00 AM</v>
      </c>
      <c r="O16382" t="s">
        <v>33246</v>
      </c>
    </row>
    <row r="16383" spans="1:20" x14ac:dyDescent="0.25">
      <c r="A16383" t="str">
        <f>"3074564"</f>
        <v>3074564</v>
      </c>
      <c r="B16383" t="s">
        <v>50167</v>
      </c>
      <c r="C16383" t="str">
        <f t="shared" si="245"/>
        <v>8317189</v>
      </c>
      <c r="D16383" t="s">
        <v>33246</v>
      </c>
      <c r="F16383" t="s">
        <v>33247</v>
      </c>
      <c r="I16383" t="s">
        <v>29</v>
      </c>
      <c r="J16383" t="s">
        <v>30</v>
      </c>
      <c r="K16383" t="s">
        <v>19156</v>
      </c>
      <c r="M16383" t="s">
        <v>17861</v>
      </c>
      <c r="N16383" t="str">
        <f t="shared" si="246"/>
        <v>2/9/2022 9:56:00 AM</v>
      </c>
      <c r="O16383" t="s">
        <v>33246</v>
      </c>
    </row>
    <row r="16384" spans="1:20" x14ac:dyDescent="0.25">
      <c r="A16384" t="str">
        <f>"3074558"</f>
        <v>3074558</v>
      </c>
      <c r="B16384" t="s">
        <v>50168</v>
      </c>
      <c r="C16384" t="str">
        <f t="shared" si="245"/>
        <v>8317189</v>
      </c>
      <c r="D16384" t="s">
        <v>33246</v>
      </c>
      <c r="F16384" t="s">
        <v>33247</v>
      </c>
      <c r="I16384" t="s">
        <v>29</v>
      </c>
      <c r="J16384" t="s">
        <v>30</v>
      </c>
      <c r="K16384" t="s">
        <v>19156</v>
      </c>
      <c r="M16384" t="s">
        <v>17861</v>
      </c>
      <c r="N16384" t="str">
        <f t="shared" si="246"/>
        <v>2/9/2022 9:56:00 AM</v>
      </c>
      <c r="O16384" t="s">
        <v>33246</v>
      </c>
    </row>
    <row r="16385" spans="1:20" x14ac:dyDescent="0.25">
      <c r="A16385" t="str">
        <f>"3074559"</f>
        <v>3074559</v>
      </c>
      <c r="B16385" t="s">
        <v>50169</v>
      </c>
      <c r="C16385" t="str">
        <f t="shared" si="245"/>
        <v>8317189</v>
      </c>
      <c r="D16385" t="s">
        <v>33246</v>
      </c>
      <c r="F16385" t="s">
        <v>33247</v>
      </c>
      <c r="I16385" t="s">
        <v>29</v>
      </c>
      <c r="J16385" t="s">
        <v>30</v>
      </c>
      <c r="K16385" t="s">
        <v>19156</v>
      </c>
      <c r="M16385" t="s">
        <v>17861</v>
      </c>
      <c r="N16385" t="str">
        <f t="shared" si="246"/>
        <v>2/9/2022 9:56:00 AM</v>
      </c>
      <c r="O16385" t="s">
        <v>33246</v>
      </c>
    </row>
    <row r="16386" spans="1:20" x14ac:dyDescent="0.25">
      <c r="A16386" t="str">
        <f>"3074560"</f>
        <v>3074560</v>
      </c>
      <c r="B16386" t="s">
        <v>50170</v>
      </c>
      <c r="C16386" t="str">
        <f t="shared" si="245"/>
        <v>8317189</v>
      </c>
      <c r="D16386" t="s">
        <v>33246</v>
      </c>
      <c r="F16386" t="s">
        <v>33247</v>
      </c>
      <c r="I16386" t="s">
        <v>29</v>
      </c>
      <c r="J16386" t="s">
        <v>30</v>
      </c>
      <c r="K16386" t="s">
        <v>19156</v>
      </c>
      <c r="M16386" t="s">
        <v>17861</v>
      </c>
      <c r="N16386" t="str">
        <f t="shared" si="246"/>
        <v>2/9/2022 9:56:00 AM</v>
      </c>
      <c r="O16386" t="s">
        <v>33246</v>
      </c>
    </row>
    <row r="16387" spans="1:20" x14ac:dyDescent="0.25">
      <c r="A16387" t="str">
        <f>"3067614"</f>
        <v>3067614</v>
      </c>
      <c r="B16387" t="s">
        <v>50171</v>
      </c>
      <c r="C16387" t="str">
        <f t="shared" si="245"/>
        <v>8317189</v>
      </c>
      <c r="D16387" t="s">
        <v>33246</v>
      </c>
      <c r="F16387" t="s">
        <v>33247</v>
      </c>
      <c r="I16387" t="s">
        <v>29</v>
      </c>
      <c r="J16387" t="s">
        <v>30</v>
      </c>
      <c r="K16387" t="s">
        <v>19156</v>
      </c>
      <c r="M16387" t="s">
        <v>17861</v>
      </c>
      <c r="N16387" t="str">
        <f t="shared" si="246"/>
        <v>2/9/2022 9:56:00 AM</v>
      </c>
      <c r="O16387" t="s">
        <v>33246</v>
      </c>
    </row>
    <row r="16388" spans="1:20" x14ac:dyDescent="0.25">
      <c r="A16388" t="str">
        <f>"3058678"</f>
        <v>3058678</v>
      </c>
      <c r="B16388" t="s">
        <v>50172</v>
      </c>
      <c r="C16388" t="str">
        <f>"82526622"</f>
        <v>82526622</v>
      </c>
      <c r="D16388" t="s">
        <v>50173</v>
      </c>
      <c r="E16388" t="s">
        <v>50174</v>
      </c>
      <c r="F16388" t="s">
        <v>33467</v>
      </c>
      <c r="I16388" t="s">
        <v>29</v>
      </c>
      <c r="J16388" t="s">
        <v>30</v>
      </c>
      <c r="K16388" t="s">
        <v>33468</v>
      </c>
      <c r="M16388" t="s">
        <v>17861</v>
      </c>
      <c r="N16388" t="str">
        <f>"2/9/2022 1:33:00 PM"</f>
        <v>2/9/2022 1:33:00 PM</v>
      </c>
      <c r="O16388" t="s">
        <v>50173</v>
      </c>
      <c r="T16388" t="s">
        <v>50174</v>
      </c>
    </row>
    <row r="16389" spans="1:20" x14ac:dyDescent="0.25">
      <c r="A16389" t="str">
        <f>"3050796"</f>
        <v>3050796</v>
      </c>
      <c r="B16389" t="s">
        <v>50175</v>
      </c>
      <c r="C16389" t="str">
        <f>"8310891"</f>
        <v>8310891</v>
      </c>
      <c r="D16389" t="s">
        <v>50176</v>
      </c>
      <c r="F16389" t="s">
        <v>50177</v>
      </c>
      <c r="I16389" t="s">
        <v>184</v>
      </c>
      <c r="J16389" t="s">
        <v>30</v>
      </c>
      <c r="K16389" t="s">
        <v>50178</v>
      </c>
      <c r="M16389" t="s">
        <v>25625</v>
      </c>
      <c r="N16389" t="str">
        <f>"2/9/2022 1:42:00 PM"</f>
        <v>2/9/2022 1:42:00 PM</v>
      </c>
      <c r="O16389" t="s">
        <v>50176</v>
      </c>
    </row>
    <row r="16390" spans="1:20" x14ac:dyDescent="0.25">
      <c r="A16390" t="str">
        <f>"3041517"</f>
        <v>3041517</v>
      </c>
      <c r="B16390" t="s">
        <v>50179</v>
      </c>
      <c r="C16390" t="str">
        <f>"8317133"</f>
        <v>8317133</v>
      </c>
      <c r="D16390" t="str">
        <f>"ALF CONSTANCE J/STEVEN W"</f>
        <v>ALF CONSTANCE J/STEVEN W</v>
      </c>
      <c r="E16390" t="s">
        <v>50180</v>
      </c>
      <c r="F16390" t="s">
        <v>50181</v>
      </c>
      <c r="I16390" t="s">
        <v>2071</v>
      </c>
      <c r="J16390" t="s">
        <v>30</v>
      </c>
      <c r="K16390" t="s">
        <v>2076</v>
      </c>
      <c r="M16390" t="s">
        <v>17861</v>
      </c>
      <c r="N16390" t="str">
        <f>"1/28/2022 3:17:00 PM"</f>
        <v>1/28/2022 3:17:00 PM</v>
      </c>
      <c r="O16390" t="str">
        <f>"ALF CONSTANCE J/STEVEN W"</f>
        <v>ALF CONSTANCE J/STEVEN W</v>
      </c>
      <c r="T16390" t="s">
        <v>50180</v>
      </c>
    </row>
    <row r="16391" spans="1:20" x14ac:dyDescent="0.25">
      <c r="A16391" t="str">
        <f>"3038867"</f>
        <v>3038867</v>
      </c>
      <c r="B16391" t="s">
        <v>50182</v>
      </c>
      <c r="C16391" t="str">
        <f>"8317148"</f>
        <v>8317148</v>
      </c>
      <c r="D16391" t="s">
        <v>50183</v>
      </c>
      <c r="F16391" t="s">
        <v>50184</v>
      </c>
      <c r="I16391" t="s">
        <v>19211</v>
      </c>
      <c r="J16391" t="s">
        <v>30</v>
      </c>
      <c r="K16391" t="s">
        <v>50185</v>
      </c>
      <c r="M16391" t="s">
        <v>17861</v>
      </c>
      <c r="N16391" t="str">
        <f>"2/1/2022 8:49:00 AM"</f>
        <v>2/1/2022 8:49:00 AM</v>
      </c>
      <c r="O16391" t="s">
        <v>50183</v>
      </c>
    </row>
    <row r="16392" spans="1:20" x14ac:dyDescent="0.25">
      <c r="A16392" t="str">
        <f>"3059847"</f>
        <v>3059847</v>
      </c>
      <c r="B16392" t="s">
        <v>50186</v>
      </c>
      <c r="C16392" t="str">
        <f>"8317149"</f>
        <v>8317149</v>
      </c>
      <c r="D16392" t="s">
        <v>50187</v>
      </c>
      <c r="E16392" t="s">
        <v>50188</v>
      </c>
      <c r="F16392" t="s">
        <v>50189</v>
      </c>
      <c r="I16392" t="s">
        <v>29</v>
      </c>
      <c r="J16392" t="s">
        <v>30</v>
      </c>
      <c r="K16392" t="s">
        <v>38800</v>
      </c>
      <c r="M16392" t="s">
        <v>17861</v>
      </c>
      <c r="N16392" t="str">
        <f>"2/1/2022 10:14:00 AM"</f>
        <v>2/1/2022 10:14:00 AM</v>
      </c>
      <c r="O16392" t="s">
        <v>50187</v>
      </c>
      <c r="T16392" t="s">
        <v>50188</v>
      </c>
    </row>
    <row r="16393" spans="1:20" x14ac:dyDescent="0.25">
      <c r="A16393" t="str">
        <f>"3049789"</f>
        <v>3049789</v>
      </c>
      <c r="B16393" t="s">
        <v>50190</v>
      </c>
      <c r="C16393" t="str">
        <f>"8317068"</f>
        <v>8317068</v>
      </c>
      <c r="D16393" t="s">
        <v>50191</v>
      </c>
      <c r="F16393" t="s">
        <v>50192</v>
      </c>
      <c r="I16393" t="s">
        <v>29</v>
      </c>
      <c r="J16393" t="s">
        <v>30</v>
      </c>
      <c r="K16393" t="s">
        <v>9678</v>
      </c>
      <c r="M16393" t="s">
        <v>17861</v>
      </c>
      <c r="N16393" t="str">
        <f>"1/26/2022 10:15:00 AM"</f>
        <v>1/26/2022 10:15:00 AM</v>
      </c>
      <c r="O16393" t="s">
        <v>50191</v>
      </c>
    </row>
    <row r="16394" spans="1:20" x14ac:dyDescent="0.25">
      <c r="A16394" t="str">
        <f>"3061704"</f>
        <v>3061704</v>
      </c>
      <c r="B16394" t="s">
        <v>50193</v>
      </c>
      <c r="C16394" t="str">
        <f>"8317071"</f>
        <v>8317071</v>
      </c>
      <c r="D16394" t="s">
        <v>50194</v>
      </c>
      <c r="E16394" t="s">
        <v>50195</v>
      </c>
      <c r="F16394" t="s">
        <v>50196</v>
      </c>
      <c r="I16394" t="s">
        <v>184</v>
      </c>
      <c r="J16394" t="s">
        <v>30</v>
      </c>
      <c r="K16394" t="s">
        <v>30968</v>
      </c>
      <c r="M16394" t="s">
        <v>17861</v>
      </c>
      <c r="N16394" t="str">
        <f>"1/26/2022 10:35:00 AM"</f>
        <v>1/26/2022 10:35:00 AM</v>
      </c>
      <c r="O16394" t="s">
        <v>50194</v>
      </c>
      <c r="T16394" t="s">
        <v>50195</v>
      </c>
    </row>
    <row r="16395" spans="1:20" x14ac:dyDescent="0.25">
      <c r="A16395" t="str">
        <f>"3051411"</f>
        <v>3051411</v>
      </c>
      <c r="B16395" t="s">
        <v>50197</v>
      </c>
      <c r="C16395" t="str">
        <f>"8317156"</f>
        <v>8317156</v>
      </c>
      <c r="D16395" t="s">
        <v>50198</v>
      </c>
      <c r="E16395" t="s">
        <v>50199</v>
      </c>
      <c r="F16395" t="s">
        <v>50200</v>
      </c>
      <c r="I16395" t="s">
        <v>29</v>
      </c>
      <c r="J16395" t="s">
        <v>30</v>
      </c>
      <c r="K16395" t="s">
        <v>14668</v>
      </c>
      <c r="M16395" t="s">
        <v>17861</v>
      </c>
      <c r="N16395" t="str">
        <f>"2/1/2022 11:17:00 AM"</f>
        <v>2/1/2022 11:17:00 AM</v>
      </c>
      <c r="O16395" t="s">
        <v>50198</v>
      </c>
      <c r="T16395" t="s">
        <v>50199</v>
      </c>
    </row>
    <row r="16396" spans="1:20" x14ac:dyDescent="0.25">
      <c r="A16396" t="str">
        <f>"3051118"</f>
        <v>3051118</v>
      </c>
      <c r="B16396" t="s">
        <v>50201</v>
      </c>
      <c r="C16396" t="str">
        <f>"8317156"</f>
        <v>8317156</v>
      </c>
      <c r="D16396" t="s">
        <v>50198</v>
      </c>
      <c r="E16396" t="s">
        <v>50199</v>
      </c>
      <c r="F16396" t="s">
        <v>50200</v>
      </c>
      <c r="I16396" t="s">
        <v>29</v>
      </c>
      <c r="J16396" t="s">
        <v>30</v>
      </c>
      <c r="K16396" t="s">
        <v>14668</v>
      </c>
      <c r="M16396" t="s">
        <v>17861</v>
      </c>
      <c r="N16396" t="str">
        <f>"2/1/2022 11:17:00 AM"</f>
        <v>2/1/2022 11:17:00 AM</v>
      </c>
      <c r="O16396" t="s">
        <v>50198</v>
      </c>
      <c r="T16396" t="s">
        <v>50199</v>
      </c>
    </row>
    <row r="16397" spans="1:20" x14ac:dyDescent="0.25">
      <c r="A16397" t="str">
        <f>"3062763"</f>
        <v>3062763</v>
      </c>
      <c r="B16397" t="s">
        <v>50202</v>
      </c>
      <c r="C16397" t="str">
        <f>"8317158"</f>
        <v>8317158</v>
      </c>
      <c r="D16397" t="s">
        <v>50203</v>
      </c>
      <c r="E16397" t="s">
        <v>50204</v>
      </c>
      <c r="F16397" t="s">
        <v>50205</v>
      </c>
      <c r="I16397" t="s">
        <v>184</v>
      </c>
      <c r="J16397" t="s">
        <v>30</v>
      </c>
      <c r="K16397" t="s">
        <v>24896</v>
      </c>
      <c r="M16397" t="s">
        <v>17861</v>
      </c>
      <c r="N16397" t="str">
        <f>"2/1/2022 11:27:00 AM"</f>
        <v>2/1/2022 11:27:00 AM</v>
      </c>
      <c r="O16397" t="s">
        <v>50203</v>
      </c>
      <c r="T16397" t="s">
        <v>50204</v>
      </c>
    </row>
    <row r="16398" spans="1:20" x14ac:dyDescent="0.25">
      <c r="A16398" t="str">
        <f>"3042385"</f>
        <v>3042385</v>
      </c>
      <c r="B16398" t="s">
        <v>50206</v>
      </c>
      <c r="C16398" t="str">
        <f>"8315630"</f>
        <v>8315630</v>
      </c>
      <c r="D16398" t="s">
        <v>50207</v>
      </c>
      <c r="E16398" t="s">
        <v>50208</v>
      </c>
      <c r="F16398" t="s">
        <v>50209</v>
      </c>
      <c r="I16398" t="s">
        <v>184</v>
      </c>
      <c r="J16398" t="s">
        <v>30</v>
      </c>
      <c r="K16398" t="s">
        <v>3445</v>
      </c>
      <c r="M16398" t="s">
        <v>17861</v>
      </c>
      <c r="N16398" t="str">
        <f>"2/1/2022 2:43:00 PM"</f>
        <v>2/1/2022 2:43:00 PM</v>
      </c>
      <c r="O16398" t="s">
        <v>50207</v>
      </c>
      <c r="T16398" t="s">
        <v>50208</v>
      </c>
    </row>
    <row r="16399" spans="1:20" x14ac:dyDescent="0.25">
      <c r="A16399" t="str">
        <f>"3051172"</f>
        <v>3051172</v>
      </c>
      <c r="B16399" t="s">
        <v>50210</v>
      </c>
      <c r="C16399" t="str">
        <f>"8317161"</f>
        <v>8317161</v>
      </c>
      <c r="D16399" t="s">
        <v>14273</v>
      </c>
      <c r="F16399" t="s">
        <v>50211</v>
      </c>
      <c r="I16399" t="s">
        <v>29</v>
      </c>
      <c r="J16399" t="s">
        <v>30</v>
      </c>
      <c r="K16399" t="s">
        <v>14487</v>
      </c>
      <c r="M16399" t="s">
        <v>17861</v>
      </c>
      <c r="N16399" t="str">
        <f>"2/2/2022 2:00:00 PM"</f>
        <v>2/2/2022 2:00:00 PM</v>
      </c>
      <c r="O16399" t="s">
        <v>14273</v>
      </c>
    </row>
    <row r="16400" spans="1:20" x14ac:dyDescent="0.25">
      <c r="A16400" t="str">
        <f>"3078215"</f>
        <v>3078215</v>
      </c>
      <c r="B16400" t="s">
        <v>50212</v>
      </c>
      <c r="C16400" t="str">
        <f>"8317163"</f>
        <v>8317163</v>
      </c>
      <c r="D16400" t="s">
        <v>50213</v>
      </c>
      <c r="F16400" t="s">
        <v>50214</v>
      </c>
      <c r="I16400" t="s">
        <v>50215</v>
      </c>
      <c r="J16400" t="s">
        <v>3737</v>
      </c>
      <c r="K16400" t="s">
        <v>50216</v>
      </c>
      <c r="M16400" t="s">
        <v>17861</v>
      </c>
      <c r="N16400" t="str">
        <f>"2/7/2022 10:41:00 AM"</f>
        <v>2/7/2022 10:41:00 AM</v>
      </c>
      <c r="O16400" t="s">
        <v>50213</v>
      </c>
    </row>
    <row r="16401" spans="1:20" x14ac:dyDescent="0.25">
      <c r="A16401" t="str">
        <f>"3078210"</f>
        <v>3078210</v>
      </c>
      <c r="B16401" t="s">
        <v>50217</v>
      </c>
      <c r="C16401" t="str">
        <f>"8317163"</f>
        <v>8317163</v>
      </c>
      <c r="D16401" t="s">
        <v>50213</v>
      </c>
      <c r="F16401" t="s">
        <v>50214</v>
      </c>
      <c r="I16401" t="s">
        <v>50215</v>
      </c>
      <c r="J16401" t="s">
        <v>3737</v>
      </c>
      <c r="K16401" t="s">
        <v>50216</v>
      </c>
      <c r="M16401" t="s">
        <v>17861</v>
      </c>
      <c r="N16401" t="str">
        <f>"2/7/2022 10:41:00 AM"</f>
        <v>2/7/2022 10:41:00 AM</v>
      </c>
      <c r="O16401" t="s">
        <v>50213</v>
      </c>
    </row>
    <row r="16402" spans="1:20" x14ac:dyDescent="0.25">
      <c r="A16402" t="str">
        <f>"3048259"</f>
        <v>3048259</v>
      </c>
      <c r="B16402" t="s">
        <v>50218</v>
      </c>
      <c r="C16402" t="str">
        <f>"72720000"</f>
        <v>72720000</v>
      </c>
      <c r="D16402" t="s">
        <v>50219</v>
      </c>
      <c r="E16402" t="s">
        <v>50220</v>
      </c>
      <c r="F16402" t="s">
        <v>50221</v>
      </c>
      <c r="I16402" t="s">
        <v>29</v>
      </c>
      <c r="J16402" t="s">
        <v>30</v>
      </c>
      <c r="K16402" t="s">
        <v>31</v>
      </c>
      <c r="M16402" t="s">
        <v>25733</v>
      </c>
      <c r="N16402" t="str">
        <f>"2/7/2022 1:47:00 PM"</f>
        <v>2/7/2022 1:47:00 PM</v>
      </c>
      <c r="O16402" t="s">
        <v>50219</v>
      </c>
      <c r="T16402" t="s">
        <v>50220</v>
      </c>
    </row>
    <row r="16403" spans="1:20" x14ac:dyDescent="0.25">
      <c r="A16403" t="str">
        <f>"3041189"</f>
        <v>3041189</v>
      </c>
      <c r="B16403" t="s">
        <v>50222</v>
      </c>
      <c r="C16403" t="str">
        <f>"8311650"</f>
        <v>8311650</v>
      </c>
      <c r="D16403" t="s">
        <v>50223</v>
      </c>
      <c r="F16403" t="s">
        <v>50224</v>
      </c>
      <c r="I16403" t="s">
        <v>184</v>
      </c>
      <c r="J16403" t="s">
        <v>30</v>
      </c>
      <c r="K16403" t="s">
        <v>30968</v>
      </c>
      <c r="M16403" t="s">
        <v>33845</v>
      </c>
      <c r="N16403" t="str">
        <f>"2/7/2022 2:54:00 PM"</f>
        <v>2/7/2022 2:54:00 PM</v>
      </c>
      <c r="O16403" t="s">
        <v>50223</v>
      </c>
    </row>
    <row r="16404" spans="1:20" x14ac:dyDescent="0.25">
      <c r="A16404" t="str">
        <f>"3061601"</f>
        <v>3061601</v>
      </c>
      <c r="B16404" t="s">
        <v>50225</v>
      </c>
      <c r="C16404" t="str">
        <f>"8317166"</f>
        <v>8317166</v>
      </c>
      <c r="D16404" t="s">
        <v>50226</v>
      </c>
      <c r="E16404" t="s">
        <v>50227</v>
      </c>
      <c r="F16404" t="s">
        <v>50228</v>
      </c>
      <c r="I16404" t="s">
        <v>29</v>
      </c>
      <c r="J16404" t="s">
        <v>30</v>
      </c>
      <c r="K16404" t="str">
        <f>"27028"</f>
        <v>27028</v>
      </c>
      <c r="M16404" t="s">
        <v>17861</v>
      </c>
      <c r="N16404" t="str">
        <f>"2/8/2022 8:14:00 AM"</f>
        <v>2/8/2022 8:14:00 AM</v>
      </c>
      <c r="O16404" t="s">
        <v>50226</v>
      </c>
      <c r="T16404" t="s">
        <v>50227</v>
      </c>
    </row>
    <row r="16405" spans="1:20" x14ac:dyDescent="0.25">
      <c r="A16405" t="str">
        <f>"3050067"</f>
        <v>3050067</v>
      </c>
      <c r="B16405" t="s">
        <v>50229</v>
      </c>
      <c r="C16405" t="str">
        <f>"8317194"</f>
        <v>8317194</v>
      </c>
      <c r="D16405" t="s">
        <v>50230</v>
      </c>
      <c r="E16405" t="s">
        <v>50231</v>
      </c>
      <c r="F16405" t="s">
        <v>50232</v>
      </c>
      <c r="I16405" t="s">
        <v>50233</v>
      </c>
      <c r="J16405" t="s">
        <v>2109</v>
      </c>
      <c r="K16405" t="s">
        <v>50234</v>
      </c>
      <c r="M16405" t="s">
        <v>17861</v>
      </c>
      <c r="N16405" t="str">
        <f>"2/18/2022 3:38:00 PM"</f>
        <v>2/18/2022 3:38:00 PM</v>
      </c>
      <c r="O16405" t="s">
        <v>50230</v>
      </c>
      <c r="T16405" t="s">
        <v>50231</v>
      </c>
    </row>
    <row r="16406" spans="1:20" x14ac:dyDescent="0.25">
      <c r="A16406" t="str">
        <f>"3046375"</f>
        <v>3046375</v>
      </c>
      <c r="B16406" t="s">
        <v>50235</v>
      </c>
      <c r="C16406" t="str">
        <f>"8316985"</f>
        <v>8316985</v>
      </c>
      <c r="D16406" t="s">
        <v>50236</v>
      </c>
      <c r="E16406" t="s">
        <v>50237</v>
      </c>
      <c r="F16406" t="s">
        <v>50238</v>
      </c>
      <c r="I16406" t="s">
        <v>17921</v>
      </c>
      <c r="J16406" t="s">
        <v>30</v>
      </c>
      <c r="K16406" t="str">
        <f>"27028"</f>
        <v>27028</v>
      </c>
      <c r="M16406" t="s">
        <v>22270</v>
      </c>
      <c r="N16406" t="str">
        <f>"2/21/2022 9:04:00 AM"</f>
        <v>2/21/2022 9:04:00 AM</v>
      </c>
      <c r="O16406" t="s">
        <v>50236</v>
      </c>
      <c r="T16406" t="s">
        <v>50237</v>
      </c>
    </row>
    <row r="16407" spans="1:20" x14ac:dyDescent="0.25">
      <c r="A16407" t="str">
        <f>"3064059"</f>
        <v>3064059</v>
      </c>
      <c r="B16407" t="s">
        <v>50239</v>
      </c>
      <c r="C16407" t="str">
        <f>"8317168"</f>
        <v>8317168</v>
      </c>
      <c r="D16407" t="s">
        <v>50240</v>
      </c>
      <c r="F16407" t="s">
        <v>50241</v>
      </c>
      <c r="I16407" t="s">
        <v>29</v>
      </c>
      <c r="J16407" t="s">
        <v>30</v>
      </c>
      <c r="K16407" t="s">
        <v>50242</v>
      </c>
      <c r="M16407" t="s">
        <v>17861</v>
      </c>
      <c r="N16407" t="str">
        <f>"2/8/2022 8:28:00 AM"</f>
        <v>2/8/2022 8:28:00 AM</v>
      </c>
      <c r="O16407" t="s">
        <v>50240</v>
      </c>
    </row>
    <row r="16408" spans="1:20" x14ac:dyDescent="0.25">
      <c r="A16408" t="str">
        <f>"3053622"</f>
        <v>3053622</v>
      </c>
      <c r="B16408" t="s">
        <v>50243</v>
      </c>
      <c r="C16408" t="str">
        <f>"8317169"</f>
        <v>8317169</v>
      </c>
      <c r="D16408" t="s">
        <v>50244</v>
      </c>
      <c r="F16408" t="s">
        <v>50245</v>
      </c>
      <c r="I16408" t="s">
        <v>184</v>
      </c>
      <c r="J16408" t="s">
        <v>30</v>
      </c>
      <c r="K16408" t="s">
        <v>14194</v>
      </c>
      <c r="M16408" t="s">
        <v>17861</v>
      </c>
      <c r="N16408" t="str">
        <f>"2/8/2022 10:23:00 AM"</f>
        <v>2/8/2022 10:23:00 AM</v>
      </c>
      <c r="O16408" t="s">
        <v>50244</v>
      </c>
    </row>
    <row r="16409" spans="1:20" x14ac:dyDescent="0.25">
      <c r="A16409" t="str">
        <f>"3057126"</f>
        <v>3057126</v>
      </c>
      <c r="B16409" t="s">
        <v>50246</v>
      </c>
      <c r="C16409" t="str">
        <f>"8312638"</f>
        <v>8312638</v>
      </c>
      <c r="D16409" t="s">
        <v>50247</v>
      </c>
      <c r="F16409" t="s">
        <v>50248</v>
      </c>
      <c r="I16409" t="s">
        <v>50249</v>
      </c>
      <c r="J16409" t="s">
        <v>30</v>
      </c>
      <c r="K16409" t="s">
        <v>50250</v>
      </c>
      <c r="M16409" t="s">
        <v>22270</v>
      </c>
      <c r="N16409" t="str">
        <f>"2/8/2022 11:55:00 AM"</f>
        <v>2/8/2022 11:55:00 AM</v>
      </c>
      <c r="O16409" t="s">
        <v>50247</v>
      </c>
    </row>
    <row r="16410" spans="1:20" x14ac:dyDescent="0.25">
      <c r="A16410" t="str">
        <f>"3056579"</f>
        <v>3056579</v>
      </c>
      <c r="B16410" t="s">
        <v>50251</v>
      </c>
      <c r="C16410" t="str">
        <f>"8317202"</f>
        <v>8317202</v>
      </c>
      <c r="D16410" t="s">
        <v>50252</v>
      </c>
      <c r="F16410" t="s">
        <v>50253</v>
      </c>
      <c r="I16410" t="s">
        <v>29</v>
      </c>
      <c r="J16410" t="s">
        <v>30</v>
      </c>
      <c r="K16410" t="s">
        <v>50254</v>
      </c>
      <c r="M16410" t="s">
        <v>17861</v>
      </c>
      <c r="N16410" t="str">
        <f>"2/21/2022 3:03:00 PM"</f>
        <v>2/21/2022 3:03:00 PM</v>
      </c>
      <c r="O16410" t="s">
        <v>50252</v>
      </c>
    </row>
    <row r="16411" spans="1:20" x14ac:dyDescent="0.25">
      <c r="A16411" t="str">
        <f>"3055246"</f>
        <v>3055246</v>
      </c>
      <c r="B16411" t="s">
        <v>50255</v>
      </c>
      <c r="C16411" t="str">
        <f>"8317203"</f>
        <v>8317203</v>
      </c>
      <c r="D16411" t="s">
        <v>50256</v>
      </c>
      <c r="E16411" t="s">
        <v>50257</v>
      </c>
      <c r="F16411" t="s">
        <v>50258</v>
      </c>
      <c r="I16411" t="s">
        <v>29</v>
      </c>
      <c r="J16411" t="s">
        <v>30</v>
      </c>
      <c r="K16411" t="s">
        <v>38490</v>
      </c>
      <c r="M16411" t="s">
        <v>17861</v>
      </c>
      <c r="N16411" t="str">
        <f>"2/21/2022 3:07:00 PM"</f>
        <v>2/21/2022 3:07:00 PM</v>
      </c>
      <c r="O16411" t="s">
        <v>50256</v>
      </c>
      <c r="T16411" t="s">
        <v>50257</v>
      </c>
    </row>
    <row r="16412" spans="1:20" x14ac:dyDescent="0.25">
      <c r="A16412" t="str">
        <f>"3062964"</f>
        <v>3062964</v>
      </c>
      <c r="B16412" t="s">
        <v>50259</v>
      </c>
      <c r="C16412" t="str">
        <f>"8317205"</f>
        <v>8317205</v>
      </c>
      <c r="D16412" t="s">
        <v>50260</v>
      </c>
      <c r="E16412" t="s">
        <v>50261</v>
      </c>
      <c r="F16412" t="s">
        <v>50262</v>
      </c>
      <c r="I16412" t="s">
        <v>184</v>
      </c>
      <c r="J16412" t="s">
        <v>30</v>
      </c>
      <c r="K16412" t="s">
        <v>50263</v>
      </c>
      <c r="M16412" t="s">
        <v>17861</v>
      </c>
      <c r="N16412" t="str">
        <f>"2/21/2022 3:47:00 PM"</f>
        <v>2/21/2022 3:47:00 PM</v>
      </c>
      <c r="O16412" t="s">
        <v>50260</v>
      </c>
      <c r="T16412" t="s">
        <v>50264</v>
      </c>
    </row>
    <row r="16413" spans="1:20" x14ac:dyDescent="0.25">
      <c r="A16413" t="str">
        <f>"3064267"</f>
        <v>3064267</v>
      </c>
      <c r="B16413" t="s">
        <v>50265</v>
      </c>
      <c r="C16413" t="str">
        <f>"8317206"</f>
        <v>8317206</v>
      </c>
      <c r="D16413" t="s">
        <v>50266</v>
      </c>
      <c r="F16413" t="s">
        <v>50267</v>
      </c>
      <c r="I16413" t="s">
        <v>471</v>
      </c>
      <c r="J16413" t="s">
        <v>30</v>
      </c>
      <c r="K16413" t="s">
        <v>50268</v>
      </c>
      <c r="M16413" t="s">
        <v>17861</v>
      </c>
      <c r="N16413" t="str">
        <f>"2/21/2022 4:21:00 PM"</f>
        <v>2/21/2022 4:21:00 PM</v>
      </c>
      <c r="O16413" t="s">
        <v>50266</v>
      </c>
    </row>
    <row r="16414" spans="1:20" x14ac:dyDescent="0.25">
      <c r="A16414" t="str">
        <f>"3064268"</f>
        <v>3064268</v>
      </c>
      <c r="B16414" t="s">
        <v>50269</v>
      </c>
      <c r="C16414" t="str">
        <f>"8317206"</f>
        <v>8317206</v>
      </c>
      <c r="D16414" t="s">
        <v>50266</v>
      </c>
      <c r="F16414" t="s">
        <v>50267</v>
      </c>
      <c r="I16414" t="s">
        <v>471</v>
      </c>
      <c r="J16414" t="s">
        <v>30</v>
      </c>
      <c r="K16414" t="s">
        <v>50268</v>
      </c>
      <c r="M16414" t="s">
        <v>17861</v>
      </c>
      <c r="N16414" t="str">
        <f>"2/21/2022 4:21:00 PM"</f>
        <v>2/21/2022 4:21:00 PM</v>
      </c>
      <c r="O16414" t="s">
        <v>50266</v>
      </c>
    </row>
    <row r="16415" spans="1:20" x14ac:dyDescent="0.25">
      <c r="A16415" t="str">
        <f>"3064269"</f>
        <v>3064269</v>
      </c>
      <c r="B16415" t="s">
        <v>50270</v>
      </c>
      <c r="C16415" t="str">
        <f>"8317206"</f>
        <v>8317206</v>
      </c>
      <c r="D16415" t="s">
        <v>50266</v>
      </c>
      <c r="F16415" t="s">
        <v>50267</v>
      </c>
      <c r="I16415" t="s">
        <v>471</v>
      </c>
      <c r="J16415" t="s">
        <v>30</v>
      </c>
      <c r="K16415" t="s">
        <v>50268</v>
      </c>
      <c r="M16415" t="s">
        <v>17861</v>
      </c>
      <c r="N16415" t="str">
        <f>"2/21/2022 4:21:00 PM"</f>
        <v>2/21/2022 4:21:00 PM</v>
      </c>
      <c r="O16415" t="s">
        <v>50266</v>
      </c>
    </row>
    <row r="16416" spans="1:20" x14ac:dyDescent="0.25">
      <c r="A16416" t="str">
        <f>"3041268"</f>
        <v>3041268</v>
      </c>
      <c r="B16416" t="s">
        <v>50271</v>
      </c>
      <c r="C16416" t="str">
        <f>"8317207"</f>
        <v>8317207</v>
      </c>
      <c r="D16416" t="s">
        <v>50272</v>
      </c>
      <c r="E16416" t="s">
        <v>50273</v>
      </c>
      <c r="F16416" t="s">
        <v>50274</v>
      </c>
      <c r="I16416" t="s">
        <v>2071</v>
      </c>
      <c r="J16416" t="s">
        <v>30</v>
      </c>
      <c r="K16416" t="s">
        <v>32429</v>
      </c>
      <c r="M16416" t="s">
        <v>17861</v>
      </c>
      <c r="N16416" t="str">
        <f>"2/22/2022 8:56:00 AM"</f>
        <v>2/22/2022 8:56:00 AM</v>
      </c>
      <c r="O16416" t="s">
        <v>50272</v>
      </c>
      <c r="T16416" t="s">
        <v>50273</v>
      </c>
    </row>
    <row r="16417" spans="1:20" x14ac:dyDescent="0.25">
      <c r="A16417" t="str">
        <f>"3063730"</f>
        <v>3063730</v>
      </c>
      <c r="B16417" t="s">
        <v>50275</v>
      </c>
      <c r="C16417" t="str">
        <f>"8317210"</f>
        <v>8317210</v>
      </c>
      <c r="D16417" t="s">
        <v>50276</v>
      </c>
      <c r="F16417" t="s">
        <v>50277</v>
      </c>
      <c r="I16417" t="s">
        <v>29</v>
      </c>
      <c r="J16417" t="s">
        <v>30</v>
      </c>
      <c r="K16417" t="s">
        <v>47978</v>
      </c>
      <c r="M16417" t="s">
        <v>17861</v>
      </c>
      <c r="N16417" t="str">
        <f>"2/22/2022 9:25:00 AM"</f>
        <v>2/22/2022 9:25:00 AM</v>
      </c>
      <c r="O16417" t="s">
        <v>50276</v>
      </c>
    </row>
    <row r="16418" spans="1:20" x14ac:dyDescent="0.25">
      <c r="A16418" t="str">
        <f>"3041728"</f>
        <v>3041728</v>
      </c>
      <c r="B16418" t="s">
        <v>50278</v>
      </c>
      <c r="C16418" t="str">
        <f>"8317170"</f>
        <v>8317170</v>
      </c>
      <c r="D16418" t="s">
        <v>50279</v>
      </c>
      <c r="E16418" t="s">
        <v>50280</v>
      </c>
      <c r="F16418" t="s">
        <v>50281</v>
      </c>
      <c r="I16418" t="s">
        <v>2071</v>
      </c>
      <c r="J16418" t="s">
        <v>30</v>
      </c>
      <c r="K16418" t="s">
        <v>39652</v>
      </c>
      <c r="M16418" t="s">
        <v>17861</v>
      </c>
      <c r="N16418" t="str">
        <f>"2/8/2022 3:22:00 PM"</f>
        <v>2/8/2022 3:22:00 PM</v>
      </c>
      <c r="O16418" t="s">
        <v>50279</v>
      </c>
      <c r="T16418" t="s">
        <v>50280</v>
      </c>
    </row>
    <row r="16419" spans="1:20" x14ac:dyDescent="0.25">
      <c r="A16419" t="str">
        <f>"3044288"</f>
        <v>3044288</v>
      </c>
      <c r="B16419" t="s">
        <v>50282</v>
      </c>
      <c r="C16419" t="str">
        <f>"8317186"</f>
        <v>8317186</v>
      </c>
      <c r="D16419" t="s">
        <v>50283</v>
      </c>
      <c r="F16419" t="s">
        <v>50284</v>
      </c>
      <c r="I16419" t="s">
        <v>184</v>
      </c>
      <c r="J16419" t="s">
        <v>30</v>
      </c>
      <c r="K16419" t="s">
        <v>19297</v>
      </c>
      <c r="M16419" t="s">
        <v>17861</v>
      </c>
      <c r="N16419" t="str">
        <f>"2/9/2022 9:32:00 AM"</f>
        <v>2/9/2022 9:32:00 AM</v>
      </c>
      <c r="O16419" t="s">
        <v>50283</v>
      </c>
    </row>
    <row r="16420" spans="1:20" x14ac:dyDescent="0.25">
      <c r="A16420" t="str">
        <f>"3038389"</f>
        <v>3038389</v>
      </c>
      <c r="B16420" t="s">
        <v>50285</v>
      </c>
      <c r="C16420" t="str">
        <f>"8317187"</f>
        <v>8317187</v>
      </c>
      <c r="D16420" t="s">
        <v>50286</v>
      </c>
      <c r="E16420" t="s">
        <v>50287</v>
      </c>
      <c r="F16420" t="s">
        <v>50288</v>
      </c>
      <c r="I16420" t="s">
        <v>29</v>
      </c>
      <c r="J16420" t="s">
        <v>30</v>
      </c>
      <c r="K16420" t="s">
        <v>2747</v>
      </c>
      <c r="M16420" t="s">
        <v>17861</v>
      </c>
      <c r="N16420" t="str">
        <f>"2/9/2022 9:36:00 AM"</f>
        <v>2/9/2022 9:36:00 AM</v>
      </c>
      <c r="O16420" t="s">
        <v>50286</v>
      </c>
      <c r="T16420" t="s">
        <v>50287</v>
      </c>
    </row>
    <row r="16421" spans="1:20" x14ac:dyDescent="0.25">
      <c r="A16421" t="str">
        <f>"3039363"</f>
        <v>3039363</v>
      </c>
      <c r="B16421" t="s">
        <v>50289</v>
      </c>
      <c r="C16421" t="str">
        <f>"8317160"</f>
        <v>8317160</v>
      </c>
      <c r="D16421" t="s">
        <v>50065</v>
      </c>
      <c r="E16421" t="s">
        <v>3087</v>
      </c>
      <c r="F16421" t="s">
        <v>50066</v>
      </c>
      <c r="I16421" t="s">
        <v>184</v>
      </c>
      <c r="J16421" t="s">
        <v>30</v>
      </c>
      <c r="K16421" t="s">
        <v>3092</v>
      </c>
      <c r="M16421" t="s">
        <v>17861</v>
      </c>
      <c r="N16421" t="str">
        <f>"2/2/2022 9:35:00 AM"</f>
        <v>2/2/2022 9:35:00 AM</v>
      </c>
      <c r="O16421" t="s">
        <v>50065</v>
      </c>
      <c r="T16421" t="s">
        <v>3087</v>
      </c>
    </row>
    <row r="16422" spans="1:20" x14ac:dyDescent="0.25">
      <c r="A16422" t="str">
        <f>"3042363"</f>
        <v>3042363</v>
      </c>
      <c r="B16422" t="s">
        <v>50290</v>
      </c>
      <c r="C16422" t="str">
        <f>"82524950"</f>
        <v>82524950</v>
      </c>
      <c r="D16422" t="s">
        <v>50291</v>
      </c>
      <c r="E16422" t="s">
        <v>50292</v>
      </c>
      <c r="F16422" t="s">
        <v>50293</v>
      </c>
      <c r="I16422" t="s">
        <v>184</v>
      </c>
      <c r="J16422" t="s">
        <v>30</v>
      </c>
      <c r="K16422" t="s">
        <v>3445</v>
      </c>
      <c r="M16422" t="s">
        <v>25733</v>
      </c>
      <c r="N16422" t="str">
        <f>"2/2/2022 9:45:00 AM"</f>
        <v>2/2/2022 9:45:00 AM</v>
      </c>
      <c r="O16422" t="s">
        <v>50291</v>
      </c>
      <c r="T16422" t="s">
        <v>50292</v>
      </c>
    </row>
    <row r="16423" spans="1:20" x14ac:dyDescent="0.25">
      <c r="A16423" t="str">
        <f>"3051130"</f>
        <v>3051130</v>
      </c>
      <c r="B16423" t="s">
        <v>50294</v>
      </c>
      <c r="C16423" t="str">
        <f>"8317161"</f>
        <v>8317161</v>
      </c>
      <c r="D16423" t="s">
        <v>14273</v>
      </c>
      <c r="F16423" t="s">
        <v>50211</v>
      </c>
      <c r="I16423" t="s">
        <v>29</v>
      </c>
      <c r="J16423" t="s">
        <v>30</v>
      </c>
      <c r="K16423" t="s">
        <v>14487</v>
      </c>
      <c r="M16423" t="s">
        <v>17861</v>
      </c>
      <c r="N16423" t="str">
        <f>"2/2/2022 2:00:00 PM"</f>
        <v>2/2/2022 2:00:00 PM</v>
      </c>
      <c r="O16423" t="s">
        <v>14273</v>
      </c>
    </row>
    <row r="16424" spans="1:20" x14ac:dyDescent="0.25">
      <c r="A16424" t="str">
        <f>"3047726"</f>
        <v>3047726</v>
      </c>
      <c r="B16424" t="s">
        <v>50295</v>
      </c>
      <c r="C16424" t="str">
        <f>"82522253"</f>
        <v>82522253</v>
      </c>
      <c r="D16424" t="s">
        <v>50296</v>
      </c>
      <c r="E16424" t="s">
        <v>50297</v>
      </c>
      <c r="F16424" t="s">
        <v>42155</v>
      </c>
      <c r="I16424" t="s">
        <v>184</v>
      </c>
      <c r="J16424" t="s">
        <v>30</v>
      </c>
      <c r="K16424" t="s">
        <v>42156</v>
      </c>
      <c r="M16424" t="s">
        <v>17861</v>
      </c>
      <c r="N16424" t="str">
        <f>"2/16/2022 8:07:00 AM"</f>
        <v>2/16/2022 8:07:00 AM</v>
      </c>
      <c r="O16424" t="s">
        <v>50296</v>
      </c>
      <c r="T16424" t="s">
        <v>50297</v>
      </c>
    </row>
    <row r="16425" spans="1:20" x14ac:dyDescent="0.25">
      <c r="A16425" t="str">
        <f>"3042236"</f>
        <v>3042236</v>
      </c>
      <c r="B16425" t="s">
        <v>50298</v>
      </c>
      <c r="C16425" t="str">
        <f>"22933500"</f>
        <v>22933500</v>
      </c>
      <c r="D16425" t="s">
        <v>50299</v>
      </c>
      <c r="E16425" t="s">
        <v>50300</v>
      </c>
      <c r="F16425" t="s">
        <v>18993</v>
      </c>
      <c r="I16425" t="s">
        <v>29</v>
      </c>
      <c r="J16425" t="s">
        <v>30</v>
      </c>
      <c r="K16425" t="s">
        <v>31</v>
      </c>
      <c r="M16425" t="s">
        <v>36935</v>
      </c>
      <c r="N16425" t="str">
        <f>"2/17/2022 4:07:00 PM"</f>
        <v>2/17/2022 4:07:00 PM</v>
      </c>
      <c r="O16425" t="s">
        <v>50299</v>
      </c>
      <c r="T16425" t="s">
        <v>50300</v>
      </c>
    </row>
    <row r="16426" spans="1:20" x14ac:dyDescent="0.25">
      <c r="A16426" t="str">
        <f>"3042146"</f>
        <v>3042146</v>
      </c>
      <c r="B16426" t="s">
        <v>50301</v>
      </c>
      <c r="C16426" t="str">
        <f>"22933500"</f>
        <v>22933500</v>
      </c>
      <c r="D16426" t="s">
        <v>50299</v>
      </c>
      <c r="E16426" t="s">
        <v>50300</v>
      </c>
      <c r="F16426" t="s">
        <v>18993</v>
      </c>
      <c r="I16426" t="s">
        <v>29</v>
      </c>
      <c r="J16426" t="s">
        <v>30</v>
      </c>
      <c r="K16426" t="s">
        <v>31</v>
      </c>
      <c r="M16426" t="s">
        <v>36935</v>
      </c>
      <c r="N16426" t="str">
        <f>"2/17/2022 4:07:00 PM"</f>
        <v>2/17/2022 4:07:00 PM</v>
      </c>
      <c r="O16426" t="s">
        <v>50299</v>
      </c>
      <c r="T16426" t="s">
        <v>50300</v>
      </c>
    </row>
    <row r="16427" spans="1:20" x14ac:dyDescent="0.25">
      <c r="A16427" t="str">
        <f>"3057943"</f>
        <v>3057943</v>
      </c>
      <c r="B16427" t="s">
        <v>50302</v>
      </c>
      <c r="C16427" t="str">
        <f>"8317193"</f>
        <v>8317193</v>
      </c>
      <c r="D16427" t="s">
        <v>50303</v>
      </c>
      <c r="F16427" t="s">
        <v>50304</v>
      </c>
      <c r="I16427" t="s">
        <v>184</v>
      </c>
      <c r="J16427" t="s">
        <v>30</v>
      </c>
      <c r="K16427" t="s">
        <v>5909</v>
      </c>
      <c r="M16427" t="s">
        <v>17861</v>
      </c>
      <c r="N16427" t="str">
        <f>"2/18/2022 1:36:00 PM"</f>
        <v>2/18/2022 1:36:00 PM</v>
      </c>
      <c r="O16427" t="s">
        <v>50303</v>
      </c>
    </row>
    <row r="16428" spans="1:20" x14ac:dyDescent="0.25">
      <c r="A16428" t="str">
        <f>"3042085"</f>
        <v>3042085</v>
      </c>
      <c r="B16428" t="s">
        <v>50305</v>
      </c>
      <c r="C16428" t="str">
        <f>"8316211"</f>
        <v>8316211</v>
      </c>
      <c r="D16428" t="s">
        <v>50306</v>
      </c>
      <c r="F16428" t="s">
        <v>50307</v>
      </c>
      <c r="I16428" t="s">
        <v>1107</v>
      </c>
      <c r="J16428" t="s">
        <v>30</v>
      </c>
      <c r="K16428" t="s">
        <v>50308</v>
      </c>
      <c r="M16428" t="s">
        <v>17861</v>
      </c>
      <c r="N16428" t="str">
        <f>"2/18/2022 2:24:00 PM"</f>
        <v>2/18/2022 2:24:00 PM</v>
      </c>
      <c r="O16428" t="s">
        <v>50306</v>
      </c>
    </row>
    <row r="16429" spans="1:20" x14ac:dyDescent="0.25">
      <c r="A16429" t="str">
        <f>"3057892"</f>
        <v>3057892</v>
      </c>
      <c r="B16429" t="s">
        <v>50309</v>
      </c>
      <c r="C16429" t="str">
        <f>"8317195"</f>
        <v>8317195</v>
      </c>
      <c r="D16429" t="s">
        <v>50310</v>
      </c>
      <c r="E16429" t="s">
        <v>50311</v>
      </c>
      <c r="F16429" t="s">
        <v>50312</v>
      </c>
      <c r="I16429" t="s">
        <v>184</v>
      </c>
      <c r="J16429" t="s">
        <v>30</v>
      </c>
      <c r="K16429" t="str">
        <f>"27006"</f>
        <v>27006</v>
      </c>
      <c r="M16429" t="s">
        <v>17861</v>
      </c>
      <c r="N16429" t="str">
        <f>"2/21/2022 1:38:00 PM"</f>
        <v>2/21/2022 1:38:00 PM</v>
      </c>
      <c r="O16429" t="s">
        <v>50310</v>
      </c>
      <c r="T16429" t="s">
        <v>50311</v>
      </c>
    </row>
    <row r="16430" spans="1:20" x14ac:dyDescent="0.25">
      <c r="A16430" t="str">
        <f>"3039762"</f>
        <v>3039762</v>
      </c>
      <c r="B16430" t="s">
        <v>50313</v>
      </c>
      <c r="C16430" t="str">
        <f>"8317200"</f>
        <v>8317200</v>
      </c>
      <c r="D16430" t="s">
        <v>50314</v>
      </c>
      <c r="E16430" t="s">
        <v>50315</v>
      </c>
      <c r="F16430" t="s">
        <v>50316</v>
      </c>
      <c r="I16430" t="s">
        <v>184</v>
      </c>
      <c r="J16430" t="s">
        <v>30</v>
      </c>
      <c r="K16430" t="s">
        <v>50317</v>
      </c>
      <c r="M16430" t="s">
        <v>17861</v>
      </c>
      <c r="N16430" t="str">
        <f>"2/21/2022 2:24:00 PM"</f>
        <v>2/21/2022 2:24:00 PM</v>
      </c>
      <c r="O16430" t="s">
        <v>50314</v>
      </c>
      <c r="T16430" t="s">
        <v>50315</v>
      </c>
    </row>
    <row r="16431" spans="1:20" x14ac:dyDescent="0.25">
      <c r="A16431" t="str">
        <f>"3049201"</f>
        <v>3049201</v>
      </c>
      <c r="B16431" t="s">
        <v>50318</v>
      </c>
      <c r="C16431" t="str">
        <f>"8317234"</f>
        <v>8317234</v>
      </c>
      <c r="D16431" t="s">
        <v>18116</v>
      </c>
      <c r="F16431" t="s">
        <v>18118</v>
      </c>
      <c r="I16431" t="s">
        <v>29</v>
      </c>
      <c r="J16431" t="s">
        <v>30</v>
      </c>
      <c r="K16431" t="s">
        <v>24040</v>
      </c>
      <c r="M16431" t="s">
        <v>17861</v>
      </c>
      <c r="N16431" t="str">
        <f>"2/23/2022 2:27:00 PM"</f>
        <v>2/23/2022 2:27:00 PM</v>
      </c>
      <c r="O16431" t="s">
        <v>18116</v>
      </c>
    </row>
    <row r="16432" spans="1:20" x14ac:dyDescent="0.25">
      <c r="A16432" t="str">
        <f>"3051890"</f>
        <v>3051890</v>
      </c>
      <c r="B16432" t="s">
        <v>50319</v>
      </c>
      <c r="C16432" t="str">
        <f>"8317235"</f>
        <v>8317235</v>
      </c>
      <c r="D16432" t="s">
        <v>50320</v>
      </c>
      <c r="F16432" t="s">
        <v>50321</v>
      </c>
      <c r="I16432" t="s">
        <v>29</v>
      </c>
      <c r="J16432" t="s">
        <v>30</v>
      </c>
      <c r="K16432" t="s">
        <v>34617</v>
      </c>
      <c r="M16432" t="s">
        <v>17861</v>
      </c>
      <c r="N16432" t="str">
        <f>"2/23/2022 2:36:00 PM"</f>
        <v>2/23/2022 2:36:00 PM</v>
      </c>
      <c r="O16432" t="s">
        <v>50320</v>
      </c>
    </row>
    <row r="16433" spans="1:20" x14ac:dyDescent="0.25">
      <c r="A16433" t="str">
        <f>"3046109"</f>
        <v>3046109</v>
      </c>
      <c r="B16433" t="s">
        <v>50322</v>
      </c>
      <c r="C16433" t="str">
        <f>"8317236"</f>
        <v>8317236</v>
      </c>
      <c r="D16433" t="s">
        <v>50323</v>
      </c>
      <c r="F16433" t="s">
        <v>50324</v>
      </c>
      <c r="I16433" t="s">
        <v>29</v>
      </c>
      <c r="J16433" t="s">
        <v>30</v>
      </c>
      <c r="K16433" t="s">
        <v>18768</v>
      </c>
      <c r="M16433" t="s">
        <v>17861</v>
      </c>
      <c r="N16433" t="str">
        <f>"2/23/2022 2:48:00 PM"</f>
        <v>2/23/2022 2:48:00 PM</v>
      </c>
      <c r="O16433" t="s">
        <v>50323</v>
      </c>
    </row>
    <row r="16434" spans="1:20" x14ac:dyDescent="0.25">
      <c r="A16434" t="str">
        <f>"3046039"</f>
        <v>3046039</v>
      </c>
      <c r="B16434" t="s">
        <v>50325</v>
      </c>
      <c r="C16434" t="str">
        <f>"8317236"</f>
        <v>8317236</v>
      </c>
      <c r="D16434" t="s">
        <v>50323</v>
      </c>
      <c r="F16434" t="s">
        <v>50324</v>
      </c>
      <c r="I16434" t="s">
        <v>29</v>
      </c>
      <c r="J16434" t="s">
        <v>30</v>
      </c>
      <c r="K16434" t="s">
        <v>18768</v>
      </c>
      <c r="M16434" t="s">
        <v>17861</v>
      </c>
      <c r="N16434" t="str">
        <f>"2/23/2022 2:48:00 PM"</f>
        <v>2/23/2022 2:48:00 PM</v>
      </c>
      <c r="O16434" t="s">
        <v>50323</v>
      </c>
    </row>
    <row r="16435" spans="1:20" x14ac:dyDescent="0.25">
      <c r="A16435" t="str">
        <f>"3041242"</f>
        <v>3041242</v>
      </c>
      <c r="B16435" t="s">
        <v>50326</v>
      </c>
      <c r="C16435" t="str">
        <f>"8317237"</f>
        <v>8317237</v>
      </c>
      <c r="D16435" t="s">
        <v>50327</v>
      </c>
      <c r="E16435" t="s">
        <v>50328</v>
      </c>
      <c r="F16435" t="s">
        <v>50329</v>
      </c>
      <c r="I16435" t="s">
        <v>2071</v>
      </c>
      <c r="J16435" t="s">
        <v>30</v>
      </c>
      <c r="K16435" t="s">
        <v>39936</v>
      </c>
      <c r="M16435" t="s">
        <v>17861</v>
      </c>
      <c r="N16435" t="str">
        <f>"2/23/2022 3:01:00 PM"</f>
        <v>2/23/2022 3:01:00 PM</v>
      </c>
      <c r="O16435" t="s">
        <v>50327</v>
      </c>
      <c r="T16435" t="s">
        <v>50328</v>
      </c>
    </row>
    <row r="16436" spans="1:20" x14ac:dyDescent="0.25">
      <c r="A16436" t="str">
        <f>"3048146"</f>
        <v>3048146</v>
      </c>
      <c r="B16436" t="s">
        <v>50330</v>
      </c>
      <c r="C16436" t="str">
        <f>"8317238"</f>
        <v>8317238</v>
      </c>
      <c r="D16436" t="s">
        <v>50331</v>
      </c>
      <c r="F16436" t="s">
        <v>50332</v>
      </c>
      <c r="I16436" t="s">
        <v>184</v>
      </c>
      <c r="J16436" t="s">
        <v>30</v>
      </c>
      <c r="K16436" t="s">
        <v>26967</v>
      </c>
      <c r="M16436" t="s">
        <v>17861</v>
      </c>
      <c r="N16436" t="str">
        <f>"2/23/2022 3:19:00 PM"</f>
        <v>2/23/2022 3:19:00 PM</v>
      </c>
      <c r="O16436" t="s">
        <v>50331</v>
      </c>
    </row>
    <row r="16437" spans="1:20" x14ac:dyDescent="0.25">
      <c r="A16437" t="str">
        <f>"3048179"</f>
        <v>3048179</v>
      </c>
      <c r="B16437" t="s">
        <v>50333</v>
      </c>
      <c r="C16437" t="str">
        <f>"8317239"</f>
        <v>8317239</v>
      </c>
      <c r="D16437" t="s">
        <v>50223</v>
      </c>
      <c r="E16437" t="s">
        <v>50334</v>
      </c>
      <c r="F16437" t="s">
        <v>50224</v>
      </c>
      <c r="I16437" t="s">
        <v>2071</v>
      </c>
      <c r="J16437" t="s">
        <v>30</v>
      </c>
      <c r="K16437" t="s">
        <v>30968</v>
      </c>
      <c r="M16437" t="s">
        <v>17861</v>
      </c>
      <c r="N16437" t="str">
        <f>"2/23/2022 3:24:00 PM"</f>
        <v>2/23/2022 3:24:00 PM</v>
      </c>
      <c r="O16437" t="s">
        <v>50223</v>
      </c>
      <c r="T16437" t="s">
        <v>50334</v>
      </c>
    </row>
    <row r="16438" spans="1:20" x14ac:dyDescent="0.25">
      <c r="A16438" t="str">
        <f>"3047720"</f>
        <v>3047720</v>
      </c>
      <c r="B16438" t="s">
        <v>50335</v>
      </c>
      <c r="C16438" t="str">
        <f>"8314353"</f>
        <v>8314353</v>
      </c>
      <c r="D16438" t="str">
        <f>"KYE LEE EDWARD JR/PENNY C"</f>
        <v>KYE LEE EDWARD JR/PENNY C</v>
      </c>
      <c r="E16438" t="s">
        <v>50336</v>
      </c>
      <c r="F16438" t="s">
        <v>50337</v>
      </c>
      <c r="I16438" t="s">
        <v>184</v>
      </c>
      <c r="J16438" t="s">
        <v>30</v>
      </c>
      <c r="K16438" t="str">
        <f>"27006"</f>
        <v>27006</v>
      </c>
      <c r="M16438" t="s">
        <v>17861</v>
      </c>
      <c r="N16438" t="str">
        <f>"2/21/2022 2:29:00 PM"</f>
        <v>2/21/2022 2:29:00 PM</v>
      </c>
      <c r="O16438" t="str">
        <f>"KYE LEE EDWARD JR/PENNY C"</f>
        <v>KYE LEE EDWARD JR/PENNY C</v>
      </c>
      <c r="T16438" t="s">
        <v>50336</v>
      </c>
    </row>
    <row r="16439" spans="1:20" x14ac:dyDescent="0.25">
      <c r="A16439" t="str">
        <f>"3048124"</f>
        <v>3048124</v>
      </c>
      <c r="B16439" t="s">
        <v>50338</v>
      </c>
      <c r="C16439" t="str">
        <f>"8311706"</f>
        <v>8311706</v>
      </c>
      <c r="D16439" t="s">
        <v>50339</v>
      </c>
      <c r="F16439" t="s">
        <v>50340</v>
      </c>
      <c r="I16439" t="s">
        <v>184</v>
      </c>
      <c r="J16439" t="s">
        <v>30</v>
      </c>
      <c r="K16439" t="str">
        <f>"27006"</f>
        <v>27006</v>
      </c>
      <c r="M16439" t="s">
        <v>25733</v>
      </c>
      <c r="N16439" t="str">
        <f>"2/11/2022 2:06:00 PM"</f>
        <v>2/11/2022 2:06:00 PM</v>
      </c>
      <c r="O16439" t="s">
        <v>50339</v>
      </c>
    </row>
    <row r="16440" spans="1:20" x14ac:dyDescent="0.25">
      <c r="A16440" t="str">
        <f>"3053848"</f>
        <v>3053848</v>
      </c>
      <c r="B16440" t="s">
        <v>50341</v>
      </c>
      <c r="C16440" t="str">
        <f>"8317241"</f>
        <v>8317241</v>
      </c>
      <c r="D16440" t="s">
        <v>50342</v>
      </c>
      <c r="E16440" t="s">
        <v>50343</v>
      </c>
      <c r="F16440" t="s">
        <v>50344</v>
      </c>
      <c r="I16440" t="s">
        <v>29</v>
      </c>
      <c r="J16440" t="s">
        <v>30</v>
      </c>
      <c r="K16440" t="s">
        <v>14976</v>
      </c>
      <c r="M16440" t="s">
        <v>17861</v>
      </c>
      <c r="N16440" t="str">
        <f>"2/23/2022 3:46:00 PM"</f>
        <v>2/23/2022 3:46:00 PM</v>
      </c>
      <c r="O16440" t="s">
        <v>50342</v>
      </c>
      <c r="T16440" t="s">
        <v>50343</v>
      </c>
    </row>
    <row r="16441" spans="1:20" x14ac:dyDescent="0.25">
      <c r="A16441" t="str">
        <f>"3057601"</f>
        <v>3057601</v>
      </c>
      <c r="B16441" t="s">
        <v>50345</v>
      </c>
      <c r="C16441" t="str">
        <f>"8317242"</f>
        <v>8317242</v>
      </c>
      <c r="D16441" t="s">
        <v>50346</v>
      </c>
      <c r="E16441" t="s">
        <v>50347</v>
      </c>
      <c r="F16441" t="s">
        <v>50348</v>
      </c>
      <c r="I16441" t="s">
        <v>29</v>
      </c>
      <c r="J16441" t="s">
        <v>30</v>
      </c>
      <c r="K16441" t="str">
        <f>"27028"</f>
        <v>27028</v>
      </c>
      <c r="M16441" t="s">
        <v>17861</v>
      </c>
      <c r="N16441" t="str">
        <f>"2/23/2022 4:20:00 PM"</f>
        <v>2/23/2022 4:20:00 PM</v>
      </c>
      <c r="O16441" t="s">
        <v>50346</v>
      </c>
      <c r="T16441" t="s">
        <v>50347</v>
      </c>
    </row>
    <row r="16442" spans="1:20" x14ac:dyDescent="0.25">
      <c r="A16442" t="str">
        <f>"3057319"</f>
        <v>3057319</v>
      </c>
      <c r="B16442" t="s">
        <v>50349</v>
      </c>
      <c r="C16442" t="str">
        <f>"8317243"</f>
        <v>8317243</v>
      </c>
      <c r="D16442" t="s">
        <v>50350</v>
      </c>
      <c r="F16442" t="s">
        <v>50351</v>
      </c>
      <c r="I16442" t="s">
        <v>50352</v>
      </c>
      <c r="J16442" t="s">
        <v>30</v>
      </c>
      <c r="K16442" t="s">
        <v>50353</v>
      </c>
      <c r="M16442" t="s">
        <v>17861</v>
      </c>
      <c r="N16442" t="str">
        <f>"2/24/2022 8:42:00 AM"</f>
        <v>2/24/2022 8:42:00 AM</v>
      </c>
      <c r="O16442" t="s">
        <v>50350</v>
      </c>
    </row>
    <row r="16443" spans="1:20" x14ac:dyDescent="0.25">
      <c r="A16443" t="str">
        <f>"3053568"</f>
        <v>3053568</v>
      </c>
      <c r="B16443" t="s">
        <v>50354</v>
      </c>
      <c r="C16443" t="str">
        <f>"8317246"</f>
        <v>8317246</v>
      </c>
      <c r="D16443" t="s">
        <v>50355</v>
      </c>
      <c r="F16443" t="s">
        <v>50356</v>
      </c>
      <c r="I16443" t="s">
        <v>29</v>
      </c>
      <c r="J16443" t="s">
        <v>30</v>
      </c>
      <c r="K16443" t="s">
        <v>13772</v>
      </c>
      <c r="M16443" t="s">
        <v>17861</v>
      </c>
      <c r="N16443" t="str">
        <f>"2/24/2022 9:12:00 AM"</f>
        <v>2/24/2022 9:12:00 AM</v>
      </c>
      <c r="O16443" t="s">
        <v>50355</v>
      </c>
    </row>
    <row r="16444" spans="1:20" x14ac:dyDescent="0.25">
      <c r="A16444" t="str">
        <f>"3046688"</f>
        <v>3046688</v>
      </c>
      <c r="B16444" t="s">
        <v>50357</v>
      </c>
      <c r="C16444" t="str">
        <f>"8317247"</f>
        <v>8317247</v>
      </c>
      <c r="D16444" t="s">
        <v>50358</v>
      </c>
      <c r="E16444" t="s">
        <v>50359</v>
      </c>
      <c r="F16444" t="s">
        <v>50360</v>
      </c>
      <c r="I16444" t="s">
        <v>29</v>
      </c>
      <c r="J16444" t="s">
        <v>30</v>
      </c>
      <c r="K16444" t="s">
        <v>50361</v>
      </c>
      <c r="M16444" t="s">
        <v>17861</v>
      </c>
      <c r="N16444" t="str">
        <f>"2/24/2022 9:18:00 AM"</f>
        <v>2/24/2022 9:18:00 AM</v>
      </c>
      <c r="O16444" t="s">
        <v>50358</v>
      </c>
      <c r="T16444" t="s">
        <v>50359</v>
      </c>
    </row>
    <row r="16445" spans="1:20" x14ac:dyDescent="0.25">
      <c r="A16445" t="str">
        <f>"3070594"</f>
        <v>3070594</v>
      </c>
      <c r="B16445" t="s">
        <v>50362</v>
      </c>
      <c r="C16445" t="str">
        <f>"8317249"</f>
        <v>8317249</v>
      </c>
      <c r="D16445" t="s">
        <v>2987</v>
      </c>
      <c r="E16445" t="s">
        <v>50363</v>
      </c>
      <c r="F16445" t="s">
        <v>50364</v>
      </c>
      <c r="I16445" t="s">
        <v>29</v>
      </c>
      <c r="J16445" t="s">
        <v>30</v>
      </c>
      <c r="K16445" t="s">
        <v>50365</v>
      </c>
      <c r="M16445" t="s">
        <v>17861</v>
      </c>
      <c r="N16445" t="str">
        <f>"2/24/2022 9:37:00 AM"</f>
        <v>2/24/2022 9:37:00 AM</v>
      </c>
      <c r="O16445" t="s">
        <v>2987</v>
      </c>
      <c r="T16445" t="s">
        <v>50363</v>
      </c>
    </row>
    <row r="16446" spans="1:20" x14ac:dyDescent="0.25">
      <c r="A16446" t="str">
        <f>"3039348"</f>
        <v>3039348</v>
      </c>
      <c r="B16446" t="s">
        <v>50366</v>
      </c>
      <c r="C16446" t="str">
        <f>"8317251"</f>
        <v>8317251</v>
      </c>
      <c r="D16446" t="s">
        <v>50367</v>
      </c>
      <c r="E16446" t="s">
        <v>50368</v>
      </c>
      <c r="F16446" t="s">
        <v>42332</v>
      </c>
      <c r="I16446" t="s">
        <v>29</v>
      </c>
      <c r="J16446" t="s">
        <v>30</v>
      </c>
      <c r="K16446" t="s">
        <v>42333</v>
      </c>
      <c r="M16446" t="s">
        <v>17861</v>
      </c>
      <c r="N16446" t="str">
        <f>"2/24/2022 10:04:00 AM"</f>
        <v>2/24/2022 10:04:00 AM</v>
      </c>
      <c r="O16446" t="s">
        <v>50367</v>
      </c>
      <c r="T16446" t="s">
        <v>50368</v>
      </c>
    </row>
    <row r="16447" spans="1:20" x14ac:dyDescent="0.25">
      <c r="A16447" t="str">
        <f>"3040225"</f>
        <v>3040225</v>
      </c>
      <c r="B16447" t="s">
        <v>50369</v>
      </c>
      <c r="C16447" t="str">
        <f>"8317251"</f>
        <v>8317251</v>
      </c>
      <c r="D16447" t="s">
        <v>50367</v>
      </c>
      <c r="E16447" t="s">
        <v>50368</v>
      </c>
      <c r="F16447" t="s">
        <v>42332</v>
      </c>
      <c r="I16447" t="s">
        <v>29</v>
      </c>
      <c r="J16447" t="s">
        <v>30</v>
      </c>
      <c r="K16447" t="s">
        <v>42333</v>
      </c>
      <c r="M16447" t="s">
        <v>17861</v>
      </c>
      <c r="N16447" t="str">
        <f>"2/24/2022 10:04:00 AM"</f>
        <v>2/24/2022 10:04:00 AM</v>
      </c>
      <c r="O16447" t="s">
        <v>50367</v>
      </c>
      <c r="T16447" t="s">
        <v>50368</v>
      </c>
    </row>
    <row r="16448" spans="1:20" x14ac:dyDescent="0.25">
      <c r="A16448" t="str">
        <f>"3062798"</f>
        <v>3062798</v>
      </c>
      <c r="B16448" t="s">
        <v>50370</v>
      </c>
      <c r="C16448" t="str">
        <f>"8317252"</f>
        <v>8317252</v>
      </c>
      <c r="D16448" t="s">
        <v>50371</v>
      </c>
      <c r="E16448" t="s">
        <v>50372</v>
      </c>
      <c r="F16448" t="s">
        <v>50373</v>
      </c>
      <c r="I16448" t="s">
        <v>29</v>
      </c>
      <c r="J16448" t="s">
        <v>30</v>
      </c>
      <c r="K16448" t="s">
        <v>47926</v>
      </c>
      <c r="M16448" t="s">
        <v>17861</v>
      </c>
      <c r="N16448" t="str">
        <f>"2/24/2022 10:08:00 AM"</f>
        <v>2/24/2022 10:08:00 AM</v>
      </c>
      <c r="O16448" t="s">
        <v>50371</v>
      </c>
      <c r="T16448" t="s">
        <v>50372</v>
      </c>
    </row>
    <row r="16449" spans="1:20" x14ac:dyDescent="0.25">
      <c r="A16449" t="str">
        <f>"3054604"</f>
        <v>3054604</v>
      </c>
      <c r="B16449" t="s">
        <v>50374</v>
      </c>
      <c r="C16449" t="str">
        <f>"8317253"</f>
        <v>8317253</v>
      </c>
      <c r="D16449" t="s">
        <v>50375</v>
      </c>
      <c r="F16449" t="s">
        <v>50376</v>
      </c>
      <c r="I16449" t="s">
        <v>29</v>
      </c>
      <c r="J16449" t="s">
        <v>30</v>
      </c>
      <c r="K16449" t="s">
        <v>15217</v>
      </c>
      <c r="M16449" t="s">
        <v>17861</v>
      </c>
      <c r="N16449" t="str">
        <f>"2/24/2022 10:10:00 AM"</f>
        <v>2/24/2022 10:10:00 AM</v>
      </c>
      <c r="O16449" t="s">
        <v>50375</v>
      </c>
    </row>
    <row r="16450" spans="1:20" x14ac:dyDescent="0.25">
      <c r="A16450" t="str">
        <f>"3060754"</f>
        <v>3060754</v>
      </c>
      <c r="B16450" t="s">
        <v>50377</v>
      </c>
      <c r="C16450" t="str">
        <f>"8317254"</f>
        <v>8317254</v>
      </c>
      <c r="D16450" t="s">
        <v>50378</v>
      </c>
      <c r="E16450" t="s">
        <v>50379</v>
      </c>
      <c r="F16450" t="s">
        <v>50380</v>
      </c>
      <c r="I16450" t="s">
        <v>184</v>
      </c>
      <c r="J16450" t="s">
        <v>30</v>
      </c>
      <c r="K16450" t="s">
        <v>4183</v>
      </c>
      <c r="M16450" t="s">
        <v>17861</v>
      </c>
      <c r="N16450" t="str">
        <f>"2/24/2022 10:12:00 AM"</f>
        <v>2/24/2022 10:12:00 AM</v>
      </c>
      <c r="O16450" t="s">
        <v>50378</v>
      </c>
      <c r="T16450" t="s">
        <v>50379</v>
      </c>
    </row>
    <row r="16451" spans="1:20" x14ac:dyDescent="0.25">
      <c r="A16451" t="str">
        <f>"3047869"</f>
        <v>3047869</v>
      </c>
      <c r="B16451" t="s">
        <v>50381</v>
      </c>
      <c r="C16451" t="str">
        <f>"8311706"</f>
        <v>8311706</v>
      </c>
      <c r="D16451" t="s">
        <v>50339</v>
      </c>
      <c r="F16451" t="s">
        <v>50340</v>
      </c>
      <c r="I16451" t="s">
        <v>184</v>
      </c>
      <c r="J16451" t="s">
        <v>30</v>
      </c>
      <c r="K16451" t="str">
        <f>"27006"</f>
        <v>27006</v>
      </c>
      <c r="M16451" t="s">
        <v>25733</v>
      </c>
      <c r="N16451" t="str">
        <f>"2/11/2022 2:06:00 PM"</f>
        <v>2/11/2022 2:06:00 PM</v>
      </c>
      <c r="O16451" t="s">
        <v>50339</v>
      </c>
    </row>
    <row r="16452" spans="1:20" x14ac:dyDescent="0.25">
      <c r="A16452" t="str">
        <f>"3042903"</f>
        <v>3042903</v>
      </c>
      <c r="B16452" t="s">
        <v>50382</v>
      </c>
      <c r="C16452" t="str">
        <f>"8313035"</f>
        <v>8313035</v>
      </c>
      <c r="D16452" t="s">
        <v>50383</v>
      </c>
      <c r="F16452" t="s">
        <v>50384</v>
      </c>
      <c r="I16452" t="s">
        <v>29</v>
      </c>
      <c r="J16452" t="s">
        <v>30</v>
      </c>
      <c r="K16452" t="s">
        <v>50385</v>
      </c>
      <c r="M16452" t="s">
        <v>25733</v>
      </c>
      <c r="N16452" t="str">
        <f>"2/11/2022 4:05:00 PM"</f>
        <v>2/11/2022 4:05:00 PM</v>
      </c>
      <c r="O16452" t="s">
        <v>50383</v>
      </c>
    </row>
    <row r="16453" spans="1:20" x14ac:dyDescent="0.25">
      <c r="A16453" t="str">
        <f>"3038399"</f>
        <v>3038399</v>
      </c>
      <c r="B16453" t="s">
        <v>50386</v>
      </c>
      <c r="C16453" t="str">
        <f>"8316926"</f>
        <v>8316926</v>
      </c>
      <c r="D16453" t="s">
        <v>17184</v>
      </c>
      <c r="E16453" t="s">
        <v>50387</v>
      </c>
      <c r="F16453" t="s">
        <v>50388</v>
      </c>
      <c r="I16453" t="s">
        <v>29</v>
      </c>
      <c r="J16453" t="s">
        <v>30</v>
      </c>
      <c r="K16453" t="s">
        <v>50389</v>
      </c>
      <c r="M16453" t="s">
        <v>25625</v>
      </c>
      <c r="N16453" t="str">
        <f>"2/14/2022 10:32:00 AM"</f>
        <v>2/14/2022 10:32:00 AM</v>
      </c>
      <c r="O16453" t="s">
        <v>17184</v>
      </c>
      <c r="T16453" t="s">
        <v>50387</v>
      </c>
    </row>
    <row r="16454" spans="1:20" x14ac:dyDescent="0.25">
      <c r="A16454" t="str">
        <f>"3037589"</f>
        <v>3037589</v>
      </c>
      <c r="B16454" t="s">
        <v>50390</v>
      </c>
      <c r="C16454" t="str">
        <f>"77127000"</f>
        <v>77127000</v>
      </c>
      <c r="D16454" t="s">
        <v>50391</v>
      </c>
      <c r="E16454" t="s">
        <v>50392</v>
      </c>
      <c r="F16454" t="s">
        <v>50393</v>
      </c>
      <c r="I16454" t="s">
        <v>29</v>
      </c>
      <c r="K16454" t="s">
        <v>70</v>
      </c>
      <c r="M16454" t="s">
        <v>33845</v>
      </c>
      <c r="N16454" t="str">
        <f>"2/24/2022 11:37:00 AM"</f>
        <v>2/24/2022 11:37:00 AM</v>
      </c>
      <c r="O16454" t="s">
        <v>50391</v>
      </c>
      <c r="T16454" t="s">
        <v>50392</v>
      </c>
    </row>
    <row r="16455" spans="1:20" x14ac:dyDescent="0.25">
      <c r="A16455" t="str">
        <f>"3037564"</f>
        <v>3037564</v>
      </c>
      <c r="B16455" t="s">
        <v>50394</v>
      </c>
      <c r="C16455" t="str">
        <f>"77127000"</f>
        <v>77127000</v>
      </c>
      <c r="D16455" t="s">
        <v>50391</v>
      </c>
      <c r="E16455" t="s">
        <v>50392</v>
      </c>
      <c r="F16455" t="s">
        <v>50393</v>
      </c>
      <c r="I16455" t="s">
        <v>29</v>
      </c>
      <c r="K16455" t="s">
        <v>70</v>
      </c>
      <c r="M16455" t="s">
        <v>33845</v>
      </c>
      <c r="N16455" t="str">
        <f>"2/24/2022 11:37:00 AM"</f>
        <v>2/24/2022 11:37:00 AM</v>
      </c>
      <c r="O16455" t="s">
        <v>50391</v>
      </c>
      <c r="T16455" t="s">
        <v>50392</v>
      </c>
    </row>
    <row r="16456" spans="1:20" x14ac:dyDescent="0.25">
      <c r="A16456" t="str">
        <f>"3037494"</f>
        <v>3037494</v>
      </c>
      <c r="B16456" t="s">
        <v>50395</v>
      </c>
      <c r="C16456" t="str">
        <f>"77127000"</f>
        <v>77127000</v>
      </c>
      <c r="D16456" t="s">
        <v>50391</v>
      </c>
      <c r="E16456" t="s">
        <v>50392</v>
      </c>
      <c r="F16456" t="s">
        <v>50393</v>
      </c>
      <c r="I16456" t="s">
        <v>29</v>
      </c>
      <c r="K16456" t="s">
        <v>70</v>
      </c>
      <c r="M16456" t="s">
        <v>33845</v>
      </c>
      <c r="N16456" t="str">
        <f>"2/24/2022 11:37:00 AM"</f>
        <v>2/24/2022 11:37:00 AM</v>
      </c>
      <c r="O16456" t="s">
        <v>50391</v>
      </c>
      <c r="T16456" t="s">
        <v>50392</v>
      </c>
    </row>
    <row r="16457" spans="1:20" x14ac:dyDescent="0.25">
      <c r="A16457" t="str">
        <f>"3037779"</f>
        <v>3037779</v>
      </c>
      <c r="B16457" t="s">
        <v>50396</v>
      </c>
      <c r="C16457" t="str">
        <f>"77127000"</f>
        <v>77127000</v>
      </c>
      <c r="D16457" t="s">
        <v>50391</v>
      </c>
      <c r="E16457" t="s">
        <v>50392</v>
      </c>
      <c r="F16457" t="s">
        <v>50393</v>
      </c>
      <c r="I16457" t="s">
        <v>29</v>
      </c>
      <c r="K16457" t="s">
        <v>70</v>
      </c>
      <c r="M16457" t="s">
        <v>33845</v>
      </c>
      <c r="N16457" t="str">
        <f>"2/24/2022 11:37:00 AM"</f>
        <v>2/24/2022 11:37:00 AM</v>
      </c>
      <c r="O16457" t="s">
        <v>50391</v>
      </c>
      <c r="T16457" t="s">
        <v>50392</v>
      </c>
    </row>
    <row r="16458" spans="1:20" x14ac:dyDescent="0.25">
      <c r="A16458" t="str">
        <f>"3060931"</f>
        <v>3060931</v>
      </c>
      <c r="B16458" t="s">
        <v>50397</v>
      </c>
      <c r="C16458" t="str">
        <f>"8317260"</f>
        <v>8317260</v>
      </c>
      <c r="D16458" t="s">
        <v>50398</v>
      </c>
      <c r="F16458" t="s">
        <v>50399</v>
      </c>
      <c r="I16458" t="s">
        <v>2071</v>
      </c>
      <c r="J16458" t="s">
        <v>30</v>
      </c>
      <c r="K16458" t="s">
        <v>23610</v>
      </c>
      <c r="M16458" t="s">
        <v>17861</v>
      </c>
      <c r="N16458" t="str">
        <f>"2/24/2022 12:51:00 PM"</f>
        <v>2/24/2022 12:51:00 PM</v>
      </c>
      <c r="O16458" t="s">
        <v>50398</v>
      </c>
    </row>
    <row r="16459" spans="1:20" x14ac:dyDescent="0.25">
      <c r="A16459" t="str">
        <f>"3044581"</f>
        <v>3044581</v>
      </c>
      <c r="B16459" t="s">
        <v>50400</v>
      </c>
      <c r="C16459" t="str">
        <f>"8317261"</f>
        <v>8317261</v>
      </c>
      <c r="D16459" t="s">
        <v>50401</v>
      </c>
      <c r="F16459" t="s">
        <v>50402</v>
      </c>
      <c r="I16459" t="s">
        <v>184</v>
      </c>
      <c r="J16459" t="s">
        <v>30</v>
      </c>
      <c r="K16459" t="s">
        <v>33412</v>
      </c>
      <c r="M16459" t="s">
        <v>17861</v>
      </c>
      <c r="N16459" t="str">
        <f>"2/24/2022 12:55:00 PM"</f>
        <v>2/24/2022 12:55:00 PM</v>
      </c>
      <c r="O16459" t="s">
        <v>50401</v>
      </c>
    </row>
    <row r="16460" spans="1:20" x14ac:dyDescent="0.25">
      <c r="A16460" t="str">
        <f>"3043753"</f>
        <v>3043753</v>
      </c>
      <c r="B16460" t="s">
        <v>50403</v>
      </c>
      <c r="C16460" t="str">
        <f>"8317262"</f>
        <v>8317262</v>
      </c>
      <c r="D16460" t="s">
        <v>50404</v>
      </c>
      <c r="E16460" t="s">
        <v>50405</v>
      </c>
      <c r="F16460" t="s">
        <v>50406</v>
      </c>
      <c r="I16460" t="s">
        <v>29</v>
      </c>
      <c r="J16460" t="s">
        <v>30</v>
      </c>
      <c r="K16460" t="s">
        <v>37781</v>
      </c>
      <c r="M16460" t="s">
        <v>17861</v>
      </c>
      <c r="N16460" t="str">
        <f>"2/24/2022 1:01:00 PM"</f>
        <v>2/24/2022 1:01:00 PM</v>
      </c>
      <c r="O16460" t="s">
        <v>50404</v>
      </c>
      <c r="T16460" t="s">
        <v>50405</v>
      </c>
    </row>
    <row r="16461" spans="1:20" x14ac:dyDescent="0.25">
      <c r="A16461" t="str">
        <f>"3042088"</f>
        <v>3042088</v>
      </c>
      <c r="B16461" t="s">
        <v>50407</v>
      </c>
      <c r="C16461" t="str">
        <f>"8317263"</f>
        <v>8317263</v>
      </c>
      <c r="D16461" t="s">
        <v>50408</v>
      </c>
      <c r="F16461" t="s">
        <v>50409</v>
      </c>
      <c r="I16461" t="s">
        <v>29</v>
      </c>
      <c r="J16461" t="s">
        <v>30</v>
      </c>
      <c r="K16461" t="s">
        <v>11227</v>
      </c>
      <c r="M16461" t="s">
        <v>17861</v>
      </c>
      <c r="N16461" t="str">
        <f>"2/24/2022 1:06:00 PM"</f>
        <v>2/24/2022 1:06:00 PM</v>
      </c>
      <c r="O16461" t="s">
        <v>50408</v>
      </c>
    </row>
    <row r="16462" spans="1:20" x14ac:dyDescent="0.25">
      <c r="A16462" t="str">
        <f>"3074552"</f>
        <v>3074552</v>
      </c>
      <c r="B16462" t="s">
        <v>50410</v>
      </c>
      <c r="C16462" t="str">
        <f>"8317263"</f>
        <v>8317263</v>
      </c>
      <c r="D16462" t="s">
        <v>50408</v>
      </c>
      <c r="F16462" t="s">
        <v>50409</v>
      </c>
      <c r="I16462" t="s">
        <v>29</v>
      </c>
      <c r="J16462" t="s">
        <v>30</v>
      </c>
      <c r="K16462" t="s">
        <v>11227</v>
      </c>
      <c r="M16462" t="s">
        <v>17861</v>
      </c>
      <c r="N16462" t="str">
        <f>"2/24/2022 1:06:00 PM"</f>
        <v>2/24/2022 1:06:00 PM</v>
      </c>
      <c r="O16462" t="s">
        <v>50408</v>
      </c>
    </row>
    <row r="16463" spans="1:20" x14ac:dyDescent="0.25">
      <c r="A16463" t="str">
        <f>"3053800"</f>
        <v>3053800</v>
      </c>
      <c r="B16463" t="s">
        <v>50411</v>
      </c>
      <c r="C16463" t="str">
        <f>"8317264"</f>
        <v>8317264</v>
      </c>
      <c r="D16463" t="s">
        <v>50412</v>
      </c>
      <c r="E16463" t="s">
        <v>50413</v>
      </c>
      <c r="F16463" t="s">
        <v>50414</v>
      </c>
      <c r="I16463" t="s">
        <v>29</v>
      </c>
      <c r="J16463" t="s">
        <v>30</v>
      </c>
      <c r="K16463" t="str">
        <f>"27028"</f>
        <v>27028</v>
      </c>
      <c r="M16463" t="s">
        <v>17861</v>
      </c>
      <c r="N16463" t="str">
        <f>"2/24/2022 1:10:00 PM"</f>
        <v>2/24/2022 1:10:00 PM</v>
      </c>
      <c r="O16463" t="s">
        <v>50412</v>
      </c>
      <c r="T16463" t="s">
        <v>50413</v>
      </c>
    </row>
    <row r="16464" spans="1:20" x14ac:dyDescent="0.25">
      <c r="A16464" t="str">
        <f>"3037997"</f>
        <v>3037997</v>
      </c>
      <c r="B16464" t="s">
        <v>50415</v>
      </c>
      <c r="C16464" t="str">
        <f>"8316926"</f>
        <v>8316926</v>
      </c>
      <c r="D16464" t="s">
        <v>17184</v>
      </c>
      <c r="E16464" t="s">
        <v>50387</v>
      </c>
      <c r="F16464" t="s">
        <v>50388</v>
      </c>
      <c r="I16464" t="s">
        <v>29</v>
      </c>
      <c r="J16464" t="s">
        <v>30</v>
      </c>
      <c r="K16464" t="s">
        <v>50389</v>
      </c>
      <c r="M16464" t="s">
        <v>25625</v>
      </c>
      <c r="N16464" t="str">
        <f>"2/14/2022 10:32:00 AM"</f>
        <v>2/14/2022 10:32:00 AM</v>
      </c>
      <c r="O16464" t="s">
        <v>17184</v>
      </c>
      <c r="T16464" t="s">
        <v>50387</v>
      </c>
    </row>
    <row r="16465" spans="1:20" x14ac:dyDescent="0.25">
      <c r="A16465" t="str">
        <f>"3039159"</f>
        <v>3039159</v>
      </c>
      <c r="B16465" t="s">
        <v>50416</v>
      </c>
      <c r="C16465" t="str">
        <f>"8309237"</f>
        <v>8309237</v>
      </c>
      <c r="D16465" t="s">
        <v>50417</v>
      </c>
      <c r="F16465" t="s">
        <v>50418</v>
      </c>
      <c r="I16465" t="s">
        <v>29</v>
      </c>
      <c r="J16465" t="s">
        <v>30</v>
      </c>
      <c r="K16465" t="s">
        <v>208</v>
      </c>
      <c r="M16465" t="s">
        <v>25733</v>
      </c>
      <c r="N16465" t="str">
        <f>"2/15/2022 9:44:00 AM"</f>
        <v>2/15/2022 9:44:00 AM</v>
      </c>
      <c r="O16465" t="s">
        <v>50417</v>
      </c>
    </row>
    <row r="16466" spans="1:20" x14ac:dyDescent="0.25">
      <c r="A16466" t="str">
        <f>"3062231"</f>
        <v>3062231</v>
      </c>
      <c r="B16466" t="s">
        <v>50419</v>
      </c>
      <c r="C16466" t="str">
        <f>"8317267"</f>
        <v>8317267</v>
      </c>
      <c r="D16466" t="s">
        <v>50420</v>
      </c>
      <c r="E16466" t="s">
        <v>50421</v>
      </c>
      <c r="F16466" t="s">
        <v>50422</v>
      </c>
      <c r="I16466" t="s">
        <v>29</v>
      </c>
      <c r="J16466" t="s">
        <v>30</v>
      </c>
      <c r="K16466" t="s">
        <v>50423</v>
      </c>
      <c r="M16466" t="s">
        <v>17861</v>
      </c>
      <c r="N16466" t="str">
        <f>"2/24/2022 1:17:00 PM"</f>
        <v>2/24/2022 1:17:00 PM</v>
      </c>
      <c r="O16466" t="s">
        <v>50420</v>
      </c>
      <c r="T16466" t="s">
        <v>50421</v>
      </c>
    </row>
    <row r="16467" spans="1:20" x14ac:dyDescent="0.25">
      <c r="A16467" t="str">
        <f>"3051969"</f>
        <v>3051969</v>
      </c>
      <c r="B16467" t="s">
        <v>50424</v>
      </c>
      <c r="C16467" t="str">
        <f>"8317268"</f>
        <v>8317268</v>
      </c>
      <c r="D16467" t="s">
        <v>10240</v>
      </c>
      <c r="F16467" t="s">
        <v>50425</v>
      </c>
      <c r="I16467" t="s">
        <v>29</v>
      </c>
      <c r="J16467" t="s">
        <v>30</v>
      </c>
      <c r="K16467" t="s">
        <v>50426</v>
      </c>
      <c r="M16467" t="s">
        <v>17861</v>
      </c>
      <c r="N16467" t="str">
        <f>"2/24/2022 1:19:00 PM"</f>
        <v>2/24/2022 1:19:00 PM</v>
      </c>
      <c r="O16467" t="s">
        <v>10240</v>
      </c>
    </row>
    <row r="16468" spans="1:20" x14ac:dyDescent="0.25">
      <c r="A16468" t="str">
        <f>"3063828"</f>
        <v>3063828</v>
      </c>
      <c r="B16468" t="s">
        <v>50427</v>
      </c>
      <c r="C16468" t="str">
        <f>"8317269"</f>
        <v>8317269</v>
      </c>
      <c r="D16468" t="s">
        <v>50428</v>
      </c>
      <c r="E16468" t="s">
        <v>50429</v>
      </c>
      <c r="F16468" t="s">
        <v>50430</v>
      </c>
      <c r="I16468" t="s">
        <v>184</v>
      </c>
      <c r="J16468" t="s">
        <v>30</v>
      </c>
      <c r="K16468" t="s">
        <v>39923</v>
      </c>
      <c r="M16468" t="s">
        <v>17861</v>
      </c>
      <c r="N16468" t="str">
        <f>"2/24/2022 1:24:00 PM"</f>
        <v>2/24/2022 1:24:00 PM</v>
      </c>
      <c r="O16468" t="s">
        <v>50428</v>
      </c>
      <c r="T16468" t="s">
        <v>50429</v>
      </c>
    </row>
    <row r="16469" spans="1:20" x14ac:dyDescent="0.25">
      <c r="A16469" t="str">
        <f>"3059079"</f>
        <v>3059079</v>
      </c>
      <c r="B16469" t="s">
        <v>50431</v>
      </c>
      <c r="C16469" t="str">
        <f>"34804000"</f>
        <v>34804000</v>
      </c>
      <c r="D16469" t="s">
        <v>21192</v>
      </c>
      <c r="E16469" t="s">
        <v>50432</v>
      </c>
      <c r="F16469" t="s">
        <v>21193</v>
      </c>
      <c r="I16469" t="s">
        <v>29</v>
      </c>
      <c r="J16469" t="s">
        <v>30</v>
      </c>
      <c r="K16469" t="s">
        <v>31</v>
      </c>
      <c r="M16469" t="s">
        <v>25733</v>
      </c>
      <c r="N16469" t="str">
        <f>"2/15/2022 9:55:00 AM"</f>
        <v>2/15/2022 9:55:00 AM</v>
      </c>
      <c r="O16469" t="s">
        <v>21192</v>
      </c>
      <c r="T16469" t="s">
        <v>50432</v>
      </c>
    </row>
    <row r="16470" spans="1:20" x14ac:dyDescent="0.25">
      <c r="A16470" t="str">
        <f>"3073762"</f>
        <v>3073762</v>
      </c>
      <c r="B16470" t="s">
        <v>50433</v>
      </c>
      <c r="C16470" t="str">
        <f>"77600000"</f>
        <v>77600000</v>
      </c>
      <c r="D16470" t="s">
        <v>50434</v>
      </c>
      <c r="F16470" t="s">
        <v>50435</v>
      </c>
      <c r="I16470" t="s">
        <v>29</v>
      </c>
      <c r="J16470" t="s">
        <v>30</v>
      </c>
      <c r="K16470" t="s">
        <v>6979</v>
      </c>
      <c r="M16470" t="s">
        <v>36935</v>
      </c>
      <c r="N16470" t="str">
        <f>"2/25/2022 11:43:00 AM"</f>
        <v>2/25/2022 11:43:00 AM</v>
      </c>
      <c r="O16470" t="s">
        <v>50434</v>
      </c>
    </row>
    <row r="16471" spans="1:20" x14ac:dyDescent="0.25">
      <c r="A16471" t="str">
        <f>"3077090"</f>
        <v>3077090</v>
      </c>
      <c r="B16471" t="s">
        <v>50436</v>
      </c>
      <c r="C16471" t="str">
        <f>"77600000"</f>
        <v>77600000</v>
      </c>
      <c r="D16471" t="s">
        <v>50434</v>
      </c>
      <c r="F16471" t="s">
        <v>50435</v>
      </c>
      <c r="I16471" t="s">
        <v>29</v>
      </c>
      <c r="J16471" t="s">
        <v>30</v>
      </c>
      <c r="K16471" t="s">
        <v>6979</v>
      </c>
      <c r="M16471" t="s">
        <v>36935</v>
      </c>
      <c r="N16471" t="str">
        <f>"2/25/2022 11:43:00 AM"</f>
        <v>2/25/2022 11:43:00 AM</v>
      </c>
      <c r="O16471" t="s">
        <v>50434</v>
      </c>
    </row>
    <row r="16472" spans="1:20" x14ac:dyDescent="0.25">
      <c r="A16472" t="str">
        <f>"3046348"</f>
        <v>3046348</v>
      </c>
      <c r="B16472" t="s">
        <v>50437</v>
      </c>
      <c r="C16472" t="str">
        <f>"82522111"</f>
        <v>82522111</v>
      </c>
      <c r="D16472" t="s">
        <v>50438</v>
      </c>
      <c r="E16472" t="s">
        <v>50439</v>
      </c>
      <c r="F16472" t="s">
        <v>50440</v>
      </c>
      <c r="I16472" t="s">
        <v>29</v>
      </c>
      <c r="J16472" t="s">
        <v>30</v>
      </c>
      <c r="K16472" t="s">
        <v>8377</v>
      </c>
      <c r="M16472" t="s">
        <v>25733</v>
      </c>
      <c r="N16472" t="str">
        <f>"2/28/2022 9:35:00 AM"</f>
        <v>2/28/2022 9:35:00 AM</v>
      </c>
      <c r="O16472" t="s">
        <v>50438</v>
      </c>
      <c r="T16472" t="s">
        <v>50439</v>
      </c>
    </row>
    <row r="16473" spans="1:20" x14ac:dyDescent="0.25">
      <c r="A16473" t="str">
        <f>"3045176"</f>
        <v>3045176</v>
      </c>
      <c r="B16473" t="s">
        <v>50441</v>
      </c>
      <c r="C16473" t="str">
        <f>"8317272"</f>
        <v>8317272</v>
      </c>
      <c r="D16473" t="s">
        <v>50442</v>
      </c>
      <c r="E16473" t="s">
        <v>50443</v>
      </c>
      <c r="F16473" t="s">
        <v>50444</v>
      </c>
      <c r="I16473" t="s">
        <v>29</v>
      </c>
      <c r="J16473" t="s">
        <v>30</v>
      </c>
      <c r="K16473" t="s">
        <v>8081</v>
      </c>
      <c r="M16473" t="s">
        <v>17861</v>
      </c>
      <c r="N16473" t="str">
        <f>"2/28/2022 10:35:00 AM"</f>
        <v>2/28/2022 10:35:00 AM</v>
      </c>
      <c r="O16473" t="s">
        <v>50442</v>
      </c>
      <c r="T16473" t="s">
        <v>50443</v>
      </c>
    </row>
    <row r="16474" spans="1:20" x14ac:dyDescent="0.25">
      <c r="A16474" t="str">
        <f>"3045134"</f>
        <v>3045134</v>
      </c>
      <c r="B16474" t="s">
        <v>50445</v>
      </c>
      <c r="C16474" t="str">
        <f>"8317272"</f>
        <v>8317272</v>
      </c>
      <c r="D16474" t="s">
        <v>50442</v>
      </c>
      <c r="E16474" t="s">
        <v>50443</v>
      </c>
      <c r="F16474" t="s">
        <v>50444</v>
      </c>
      <c r="I16474" t="s">
        <v>29</v>
      </c>
      <c r="J16474" t="s">
        <v>30</v>
      </c>
      <c r="K16474" t="s">
        <v>8081</v>
      </c>
      <c r="M16474" t="s">
        <v>17861</v>
      </c>
      <c r="N16474" t="str">
        <f>"2/28/2022 10:35:00 AM"</f>
        <v>2/28/2022 10:35:00 AM</v>
      </c>
      <c r="O16474" t="s">
        <v>50442</v>
      </c>
      <c r="T16474" t="s">
        <v>50443</v>
      </c>
    </row>
    <row r="16475" spans="1:20" x14ac:dyDescent="0.25">
      <c r="A16475" t="str">
        <f>"3077859"</f>
        <v>3077859</v>
      </c>
      <c r="B16475" t="s">
        <v>50446</v>
      </c>
      <c r="C16475" t="str">
        <f>"8317272"</f>
        <v>8317272</v>
      </c>
      <c r="D16475" t="s">
        <v>50442</v>
      </c>
      <c r="E16475" t="s">
        <v>50443</v>
      </c>
      <c r="F16475" t="s">
        <v>50444</v>
      </c>
      <c r="I16475" t="s">
        <v>29</v>
      </c>
      <c r="J16475" t="s">
        <v>30</v>
      </c>
      <c r="K16475" t="s">
        <v>8081</v>
      </c>
      <c r="M16475" t="s">
        <v>17861</v>
      </c>
      <c r="N16475" t="str">
        <f>"2/28/2022 10:35:00 AM"</f>
        <v>2/28/2022 10:35:00 AM</v>
      </c>
      <c r="O16475" t="s">
        <v>50442</v>
      </c>
      <c r="T16475" t="s">
        <v>50443</v>
      </c>
    </row>
    <row r="16476" spans="1:20" x14ac:dyDescent="0.25">
      <c r="A16476" t="str">
        <f>"3077892"</f>
        <v>3077892</v>
      </c>
      <c r="B16476" t="s">
        <v>50447</v>
      </c>
      <c r="C16476" t="str">
        <f>"8317272"</f>
        <v>8317272</v>
      </c>
      <c r="D16476" t="s">
        <v>50442</v>
      </c>
      <c r="E16476" t="s">
        <v>50443</v>
      </c>
      <c r="F16476" t="s">
        <v>50444</v>
      </c>
      <c r="I16476" t="s">
        <v>29</v>
      </c>
      <c r="J16476" t="s">
        <v>30</v>
      </c>
      <c r="K16476" t="s">
        <v>8081</v>
      </c>
      <c r="M16476" t="s">
        <v>17861</v>
      </c>
      <c r="N16476" t="str">
        <f>"2/28/2022 10:35:00 AM"</f>
        <v>2/28/2022 10:35:00 AM</v>
      </c>
      <c r="O16476" t="s">
        <v>50442</v>
      </c>
      <c r="T16476" t="s">
        <v>50443</v>
      </c>
    </row>
    <row r="16477" spans="1:20" x14ac:dyDescent="0.25">
      <c r="A16477" t="str">
        <f>"3068212"</f>
        <v>3068212</v>
      </c>
      <c r="B16477" t="s">
        <v>50448</v>
      </c>
      <c r="C16477" t="str">
        <f>"8317272"</f>
        <v>8317272</v>
      </c>
      <c r="D16477" t="s">
        <v>50442</v>
      </c>
      <c r="E16477" t="s">
        <v>50443</v>
      </c>
      <c r="F16477" t="s">
        <v>50444</v>
      </c>
      <c r="I16477" t="s">
        <v>29</v>
      </c>
      <c r="J16477" t="s">
        <v>30</v>
      </c>
      <c r="K16477" t="s">
        <v>8081</v>
      </c>
      <c r="M16477" t="s">
        <v>17861</v>
      </c>
      <c r="N16477" t="str">
        <f>"2/28/2022 10:35:00 AM"</f>
        <v>2/28/2022 10:35:00 AM</v>
      </c>
      <c r="O16477" t="s">
        <v>50442</v>
      </c>
      <c r="T16477" t="s">
        <v>50443</v>
      </c>
    </row>
    <row r="16478" spans="1:20" x14ac:dyDescent="0.25">
      <c r="A16478" t="str">
        <f>"3048362"</f>
        <v>3048362</v>
      </c>
      <c r="B16478" t="s">
        <v>50449</v>
      </c>
      <c r="C16478" t="str">
        <f>"8317273"</f>
        <v>8317273</v>
      </c>
      <c r="D16478" t="s">
        <v>50450</v>
      </c>
      <c r="F16478" t="s">
        <v>50451</v>
      </c>
      <c r="I16478" t="s">
        <v>29</v>
      </c>
      <c r="J16478" t="s">
        <v>30</v>
      </c>
      <c r="K16478" t="s">
        <v>12976</v>
      </c>
      <c r="M16478" t="s">
        <v>17861</v>
      </c>
      <c r="N16478" t="str">
        <f>"2/28/2022 10:46:00 AM"</f>
        <v>2/28/2022 10:46:00 AM</v>
      </c>
      <c r="O16478" t="s">
        <v>50450</v>
      </c>
    </row>
    <row r="16479" spans="1:20" x14ac:dyDescent="0.25">
      <c r="A16479" t="str">
        <f>"3053468"</f>
        <v>3053468</v>
      </c>
      <c r="B16479" t="s">
        <v>50452</v>
      </c>
      <c r="C16479" t="str">
        <f>"14551000"</f>
        <v>14551000</v>
      </c>
      <c r="D16479" t="s">
        <v>50453</v>
      </c>
      <c r="F16479" t="s">
        <v>50454</v>
      </c>
      <c r="I16479" t="s">
        <v>29</v>
      </c>
      <c r="J16479" t="s">
        <v>30</v>
      </c>
      <c r="K16479" t="s">
        <v>31</v>
      </c>
      <c r="M16479" t="s">
        <v>25625</v>
      </c>
      <c r="N16479" t="str">
        <f>"2/28/2022 12:07:00 PM"</f>
        <v>2/28/2022 12:07:00 PM</v>
      </c>
      <c r="O16479" t="s">
        <v>50453</v>
      </c>
    </row>
    <row r="16480" spans="1:20" x14ac:dyDescent="0.25">
      <c r="A16480" t="str">
        <f>"3053236"</f>
        <v>3053236</v>
      </c>
      <c r="B16480" t="s">
        <v>50455</v>
      </c>
      <c r="C16480" t="str">
        <f>"14551000"</f>
        <v>14551000</v>
      </c>
      <c r="D16480" t="s">
        <v>50453</v>
      </c>
      <c r="F16480" t="s">
        <v>50454</v>
      </c>
      <c r="I16480" t="s">
        <v>29</v>
      </c>
      <c r="J16480" t="s">
        <v>30</v>
      </c>
      <c r="K16480" t="s">
        <v>31</v>
      </c>
      <c r="M16480" t="s">
        <v>25625</v>
      </c>
      <c r="N16480" t="str">
        <f>"2/28/2022 12:07:00 PM"</f>
        <v>2/28/2022 12:07:00 PM</v>
      </c>
      <c r="O16480" t="s">
        <v>50453</v>
      </c>
    </row>
    <row r="16481" spans="1:20" x14ac:dyDescent="0.25">
      <c r="A16481" t="str">
        <f>"3043003"</f>
        <v>3043003</v>
      </c>
      <c r="B16481" t="s">
        <v>50456</v>
      </c>
      <c r="C16481" t="str">
        <f>"8316899"</f>
        <v>8316899</v>
      </c>
      <c r="D16481" t="s">
        <v>50457</v>
      </c>
      <c r="E16481" t="s">
        <v>50458</v>
      </c>
      <c r="F16481" t="s">
        <v>50459</v>
      </c>
      <c r="I16481" t="s">
        <v>29</v>
      </c>
      <c r="J16481" t="s">
        <v>30</v>
      </c>
      <c r="K16481" t="str">
        <f>"27028"</f>
        <v>27028</v>
      </c>
      <c r="M16481" t="s">
        <v>18470</v>
      </c>
      <c r="N16481" t="str">
        <f>"2/28/2022 4:17:00 PM"</f>
        <v>2/28/2022 4:17:00 PM</v>
      </c>
      <c r="O16481" t="s">
        <v>50457</v>
      </c>
      <c r="T16481" t="s">
        <v>50458</v>
      </c>
    </row>
    <row r="16482" spans="1:20" x14ac:dyDescent="0.25">
      <c r="A16482" t="str">
        <f>"3043012"</f>
        <v>3043012</v>
      </c>
      <c r="B16482" t="s">
        <v>50460</v>
      </c>
      <c r="C16482" t="str">
        <f>"8316899"</f>
        <v>8316899</v>
      </c>
      <c r="D16482" t="s">
        <v>50457</v>
      </c>
      <c r="E16482" t="s">
        <v>50458</v>
      </c>
      <c r="F16482" t="s">
        <v>50459</v>
      </c>
      <c r="I16482" t="s">
        <v>29</v>
      </c>
      <c r="J16482" t="s">
        <v>30</v>
      </c>
      <c r="K16482" t="str">
        <f>"27028"</f>
        <v>27028</v>
      </c>
      <c r="M16482" t="s">
        <v>18470</v>
      </c>
      <c r="N16482" t="str">
        <f>"2/28/2022 4:17:00 PM"</f>
        <v>2/28/2022 4:17:00 PM</v>
      </c>
      <c r="O16482" t="s">
        <v>50457</v>
      </c>
      <c r="T16482" t="s">
        <v>50458</v>
      </c>
    </row>
    <row r="16483" spans="1:20" x14ac:dyDescent="0.25">
      <c r="A16483" t="str">
        <f>"3042415"</f>
        <v>3042415</v>
      </c>
      <c r="B16483" t="s">
        <v>50461</v>
      </c>
      <c r="C16483" t="str">
        <f>"8315150"</f>
        <v>8315150</v>
      </c>
      <c r="D16483" t="s">
        <v>50462</v>
      </c>
      <c r="E16483" t="s">
        <v>50463</v>
      </c>
      <c r="F16483" t="s">
        <v>50464</v>
      </c>
      <c r="I16483" t="s">
        <v>29</v>
      </c>
      <c r="J16483" t="s">
        <v>30</v>
      </c>
      <c r="K16483" t="s">
        <v>7442</v>
      </c>
      <c r="M16483" t="s">
        <v>17861</v>
      </c>
      <c r="N16483" t="str">
        <f>"3/1/2022 11:08:00 AM"</f>
        <v>3/1/2022 11:08:00 AM</v>
      </c>
      <c r="O16483" t="s">
        <v>50462</v>
      </c>
      <c r="T16483" t="s">
        <v>50463</v>
      </c>
    </row>
    <row r="16484" spans="1:20" x14ac:dyDescent="0.25">
      <c r="A16484" t="str">
        <f>"3047909"</f>
        <v>3047909</v>
      </c>
      <c r="B16484" t="s">
        <v>50465</v>
      </c>
      <c r="C16484" t="str">
        <f>"82521996"</f>
        <v>82521996</v>
      </c>
      <c r="D16484" t="s">
        <v>50296</v>
      </c>
      <c r="F16484" t="s">
        <v>42155</v>
      </c>
      <c r="I16484" t="s">
        <v>184</v>
      </c>
      <c r="J16484" t="s">
        <v>30</v>
      </c>
      <c r="K16484" t="s">
        <v>42156</v>
      </c>
      <c r="M16484" t="s">
        <v>17861</v>
      </c>
      <c r="N16484" t="str">
        <f>"2/16/2022 8:07:00 AM"</f>
        <v>2/16/2022 8:07:00 AM</v>
      </c>
      <c r="O16484" t="s">
        <v>50296</v>
      </c>
    </row>
    <row r="16485" spans="1:20" x14ac:dyDescent="0.25">
      <c r="A16485" t="str">
        <f>"3048083"</f>
        <v>3048083</v>
      </c>
      <c r="B16485" t="s">
        <v>50466</v>
      </c>
      <c r="C16485" t="str">
        <f>"82522253"</f>
        <v>82522253</v>
      </c>
      <c r="D16485" t="s">
        <v>50296</v>
      </c>
      <c r="E16485" t="s">
        <v>50297</v>
      </c>
      <c r="F16485" t="s">
        <v>42155</v>
      </c>
      <c r="I16485" t="s">
        <v>184</v>
      </c>
      <c r="J16485" t="s">
        <v>30</v>
      </c>
      <c r="K16485" t="s">
        <v>42156</v>
      </c>
      <c r="M16485" t="s">
        <v>17861</v>
      </c>
      <c r="N16485" t="str">
        <f>"2/16/2022 8:07:00 AM"</f>
        <v>2/16/2022 8:07:00 AM</v>
      </c>
      <c r="O16485" t="s">
        <v>50296</v>
      </c>
      <c r="T16485" t="s">
        <v>50297</v>
      </c>
    </row>
    <row r="16486" spans="1:20" x14ac:dyDescent="0.25">
      <c r="A16486" t="str">
        <f>"3047527"</f>
        <v>3047527</v>
      </c>
      <c r="B16486" t="s">
        <v>50467</v>
      </c>
      <c r="C16486" t="str">
        <f>"82522253"</f>
        <v>82522253</v>
      </c>
      <c r="D16486" t="s">
        <v>50296</v>
      </c>
      <c r="E16486" t="s">
        <v>50297</v>
      </c>
      <c r="F16486" t="s">
        <v>42155</v>
      </c>
      <c r="I16486" t="s">
        <v>184</v>
      </c>
      <c r="J16486" t="s">
        <v>30</v>
      </c>
      <c r="K16486" t="s">
        <v>42156</v>
      </c>
      <c r="M16486" t="s">
        <v>17861</v>
      </c>
      <c r="N16486" t="str">
        <f>"2/16/2022 8:07:00 AM"</f>
        <v>2/16/2022 8:07:00 AM</v>
      </c>
      <c r="O16486" t="s">
        <v>50296</v>
      </c>
      <c r="T16486" t="s">
        <v>50297</v>
      </c>
    </row>
    <row r="16487" spans="1:20" x14ac:dyDescent="0.25">
      <c r="A16487" t="str">
        <f>"3071504"</f>
        <v>3071504</v>
      </c>
      <c r="B16487" t="s">
        <v>50468</v>
      </c>
      <c r="C16487" t="str">
        <f>"8317221"</f>
        <v>8317221</v>
      </c>
      <c r="D16487" t="s">
        <v>50469</v>
      </c>
      <c r="E16487" t="s">
        <v>50470</v>
      </c>
      <c r="F16487" t="s">
        <v>50471</v>
      </c>
      <c r="I16487" t="s">
        <v>184</v>
      </c>
      <c r="J16487" t="s">
        <v>30</v>
      </c>
      <c r="K16487" t="s">
        <v>43497</v>
      </c>
      <c r="M16487" t="s">
        <v>17861</v>
      </c>
      <c r="N16487" t="str">
        <f>"2/22/2022 3:30:00 PM"</f>
        <v>2/22/2022 3:30:00 PM</v>
      </c>
      <c r="O16487" t="s">
        <v>50469</v>
      </c>
      <c r="T16487" t="s">
        <v>50470</v>
      </c>
    </row>
    <row r="16488" spans="1:20" x14ac:dyDescent="0.25">
      <c r="A16488" t="str">
        <f>"3061479"</f>
        <v>3061479</v>
      </c>
      <c r="B16488" t="s">
        <v>50472</v>
      </c>
      <c r="C16488" t="str">
        <f>"8317222"</f>
        <v>8317222</v>
      </c>
      <c r="D16488" t="s">
        <v>50473</v>
      </c>
      <c r="F16488" t="s">
        <v>50474</v>
      </c>
      <c r="I16488" t="s">
        <v>184</v>
      </c>
      <c r="J16488" t="s">
        <v>30</v>
      </c>
      <c r="K16488" t="s">
        <v>1984</v>
      </c>
      <c r="M16488" t="s">
        <v>17861</v>
      </c>
      <c r="N16488" t="str">
        <f>"2/22/2022 3:48:00 PM"</f>
        <v>2/22/2022 3:48:00 PM</v>
      </c>
      <c r="O16488" t="s">
        <v>50473</v>
      </c>
    </row>
    <row r="16489" spans="1:20" x14ac:dyDescent="0.25">
      <c r="A16489" t="str">
        <f>"3060897"</f>
        <v>3060897</v>
      </c>
      <c r="B16489" t="s">
        <v>50475</v>
      </c>
      <c r="C16489" t="str">
        <f>"8317225"</f>
        <v>8317225</v>
      </c>
      <c r="D16489" t="s">
        <v>50476</v>
      </c>
      <c r="E16489" t="s">
        <v>50477</v>
      </c>
      <c r="F16489" t="s">
        <v>50478</v>
      </c>
      <c r="I16489" t="s">
        <v>2071</v>
      </c>
      <c r="J16489" t="s">
        <v>30</v>
      </c>
      <c r="K16489" t="s">
        <v>34675</v>
      </c>
      <c r="M16489" t="s">
        <v>17861</v>
      </c>
      <c r="N16489" t="str">
        <f>"2/23/2022 10:27:00 AM"</f>
        <v>2/23/2022 10:27:00 AM</v>
      </c>
      <c r="O16489" t="s">
        <v>50476</v>
      </c>
      <c r="T16489" t="s">
        <v>50477</v>
      </c>
    </row>
    <row r="16490" spans="1:20" x14ac:dyDescent="0.25">
      <c r="A16490" t="str">
        <f>"3060175"</f>
        <v>3060175</v>
      </c>
      <c r="B16490" t="s">
        <v>50479</v>
      </c>
      <c r="C16490" t="str">
        <f>"8317287"</f>
        <v>8317287</v>
      </c>
      <c r="D16490" t="s">
        <v>50480</v>
      </c>
      <c r="E16490" t="s">
        <v>50481</v>
      </c>
      <c r="F16490" t="s">
        <v>50482</v>
      </c>
      <c r="I16490" t="s">
        <v>184</v>
      </c>
      <c r="J16490" t="s">
        <v>30</v>
      </c>
      <c r="K16490" t="str">
        <f>"27006"</f>
        <v>27006</v>
      </c>
      <c r="M16490" t="s">
        <v>17861</v>
      </c>
      <c r="N16490" t="str">
        <f>"3/1/2022 4:24:00 PM"</f>
        <v>3/1/2022 4:24:00 PM</v>
      </c>
      <c r="O16490" t="s">
        <v>50480</v>
      </c>
      <c r="T16490" t="s">
        <v>50481</v>
      </c>
    </row>
    <row r="16491" spans="1:20" x14ac:dyDescent="0.25">
      <c r="A16491" t="str">
        <f>"3060910"</f>
        <v>3060910</v>
      </c>
      <c r="B16491" t="s">
        <v>50483</v>
      </c>
      <c r="C16491" t="str">
        <f>"8317289"</f>
        <v>8317289</v>
      </c>
      <c r="D16491" t="s">
        <v>50484</v>
      </c>
      <c r="E16491" t="str">
        <f>"ROBLIN JOHN MACKAY/VIVIAN C TR"</f>
        <v>ROBLIN JOHN MACKAY/VIVIAN C TR</v>
      </c>
      <c r="F16491" t="s">
        <v>50485</v>
      </c>
      <c r="I16491" t="s">
        <v>2071</v>
      </c>
      <c r="J16491" t="s">
        <v>30</v>
      </c>
      <c r="K16491" t="s">
        <v>41683</v>
      </c>
      <c r="M16491" t="s">
        <v>17861</v>
      </c>
      <c r="N16491" t="str">
        <f>"3/2/2022 8:06:00 AM"</f>
        <v>3/2/2022 8:06:00 AM</v>
      </c>
      <c r="O16491" t="s">
        <v>50484</v>
      </c>
      <c r="T16491" t="str">
        <f>"ROBLIN JOHN MACKAY/VIVIAN C TR"</f>
        <v>ROBLIN JOHN MACKAY/VIVIAN C TR</v>
      </c>
    </row>
    <row r="16492" spans="1:20" x14ac:dyDescent="0.25">
      <c r="A16492" t="str">
        <f>"3050976"</f>
        <v>3050976</v>
      </c>
      <c r="B16492" t="s">
        <v>50486</v>
      </c>
      <c r="C16492" t="str">
        <f>"8317290"</f>
        <v>8317290</v>
      </c>
      <c r="D16492" t="s">
        <v>50487</v>
      </c>
      <c r="F16492" t="s">
        <v>50488</v>
      </c>
      <c r="I16492" t="s">
        <v>184</v>
      </c>
      <c r="J16492" t="s">
        <v>30</v>
      </c>
      <c r="K16492" t="s">
        <v>50489</v>
      </c>
      <c r="M16492" t="s">
        <v>17861</v>
      </c>
      <c r="N16492" t="str">
        <f>"3/2/2022 8:49:00 AM"</f>
        <v>3/2/2022 8:49:00 AM</v>
      </c>
      <c r="O16492" t="s">
        <v>50487</v>
      </c>
    </row>
    <row r="16493" spans="1:20" x14ac:dyDescent="0.25">
      <c r="A16493" t="str">
        <f>"3056123"</f>
        <v>3056123</v>
      </c>
      <c r="B16493" t="s">
        <v>50490</v>
      </c>
      <c r="C16493" t="str">
        <f>"8317291"</f>
        <v>8317291</v>
      </c>
      <c r="D16493" t="s">
        <v>50491</v>
      </c>
      <c r="F16493" t="s">
        <v>50492</v>
      </c>
      <c r="I16493" t="s">
        <v>29</v>
      </c>
      <c r="J16493" t="s">
        <v>30</v>
      </c>
      <c r="K16493" t="s">
        <v>41962</v>
      </c>
      <c r="M16493" t="s">
        <v>32801</v>
      </c>
      <c r="N16493" t="str">
        <f>"3/2/2022 9:16:00 AM"</f>
        <v>3/2/2022 9:16:00 AM</v>
      </c>
      <c r="O16493" t="s">
        <v>50491</v>
      </c>
    </row>
    <row r="16494" spans="1:20" x14ac:dyDescent="0.25">
      <c r="A16494" t="str">
        <f>"3059983"</f>
        <v>3059983</v>
      </c>
      <c r="B16494" t="s">
        <v>50493</v>
      </c>
      <c r="C16494" t="str">
        <f>"8317292"</f>
        <v>8317292</v>
      </c>
      <c r="D16494" t="s">
        <v>50494</v>
      </c>
      <c r="E16494" t="s">
        <v>50495</v>
      </c>
      <c r="F16494" t="s">
        <v>50496</v>
      </c>
      <c r="I16494" t="s">
        <v>24359</v>
      </c>
      <c r="J16494" t="s">
        <v>30</v>
      </c>
      <c r="K16494" t="str">
        <f>"27006"</f>
        <v>27006</v>
      </c>
      <c r="M16494" t="s">
        <v>32801</v>
      </c>
      <c r="N16494" t="str">
        <f>"3/2/2022 9:31:00 AM"</f>
        <v>3/2/2022 9:31:00 AM</v>
      </c>
      <c r="O16494" t="s">
        <v>50494</v>
      </c>
      <c r="T16494" t="s">
        <v>50495</v>
      </c>
    </row>
    <row r="16495" spans="1:20" x14ac:dyDescent="0.25">
      <c r="A16495" t="str">
        <f>"3062570"</f>
        <v>3062570</v>
      </c>
      <c r="B16495" t="s">
        <v>50497</v>
      </c>
      <c r="C16495" t="str">
        <f>"8317293"</f>
        <v>8317293</v>
      </c>
      <c r="D16495" t="s">
        <v>50498</v>
      </c>
      <c r="F16495" t="s">
        <v>50499</v>
      </c>
      <c r="I16495" t="s">
        <v>184</v>
      </c>
      <c r="J16495" t="s">
        <v>30</v>
      </c>
      <c r="K16495" t="s">
        <v>39885</v>
      </c>
      <c r="M16495" t="s">
        <v>50500</v>
      </c>
      <c r="N16495" t="str">
        <f>"3/2/2022 10:16:00 AM"</f>
        <v>3/2/2022 10:16:00 AM</v>
      </c>
      <c r="O16495" t="s">
        <v>50498</v>
      </c>
    </row>
    <row r="16496" spans="1:20" x14ac:dyDescent="0.25">
      <c r="A16496" t="str">
        <f>"3061360"</f>
        <v>3061360</v>
      </c>
      <c r="B16496" t="s">
        <v>50501</v>
      </c>
      <c r="C16496" t="str">
        <f>"8317294"</f>
        <v>8317294</v>
      </c>
      <c r="D16496" t="s">
        <v>50502</v>
      </c>
      <c r="E16496" t="s">
        <v>50503</v>
      </c>
      <c r="F16496" t="s">
        <v>50504</v>
      </c>
      <c r="I16496" t="s">
        <v>184</v>
      </c>
      <c r="J16496" t="s">
        <v>30</v>
      </c>
      <c r="K16496" t="s">
        <v>39148</v>
      </c>
      <c r="M16496" t="s">
        <v>50500</v>
      </c>
      <c r="N16496" t="str">
        <f>"3/2/2022 10:34:00 AM"</f>
        <v>3/2/2022 10:34:00 AM</v>
      </c>
      <c r="O16496" t="s">
        <v>50502</v>
      </c>
      <c r="T16496" t="s">
        <v>50503</v>
      </c>
    </row>
    <row r="16497" spans="1:20" x14ac:dyDescent="0.25">
      <c r="A16497" t="str">
        <f>"3045949"</f>
        <v>3045949</v>
      </c>
      <c r="B16497" t="s">
        <v>50505</v>
      </c>
      <c r="C16497" t="str">
        <f>"8317229"</f>
        <v>8317229</v>
      </c>
      <c r="D16497" t="s">
        <v>50506</v>
      </c>
      <c r="E16497" t="s">
        <v>50507</v>
      </c>
      <c r="F16497" t="s">
        <v>50508</v>
      </c>
      <c r="I16497" t="s">
        <v>29</v>
      </c>
      <c r="J16497" t="s">
        <v>30</v>
      </c>
      <c r="K16497" t="s">
        <v>50509</v>
      </c>
      <c r="M16497" t="s">
        <v>17861</v>
      </c>
      <c r="N16497" t="str">
        <f>"2/23/2022 11:04:00 AM"</f>
        <v>2/23/2022 11:04:00 AM</v>
      </c>
      <c r="O16497" t="s">
        <v>50506</v>
      </c>
      <c r="T16497" t="s">
        <v>50507</v>
      </c>
    </row>
    <row r="16498" spans="1:20" x14ac:dyDescent="0.25">
      <c r="A16498" t="str">
        <f>"3055308"</f>
        <v>3055308</v>
      </c>
      <c r="B16498" t="s">
        <v>50510</v>
      </c>
      <c r="C16498" t="str">
        <f>"8317300"</f>
        <v>8317300</v>
      </c>
      <c r="D16498" t="s">
        <v>50511</v>
      </c>
      <c r="E16498" t="s">
        <v>50512</v>
      </c>
      <c r="F16498" t="s">
        <v>50513</v>
      </c>
      <c r="I16498" t="s">
        <v>29</v>
      </c>
      <c r="J16498" t="s">
        <v>30</v>
      </c>
      <c r="K16498" t="s">
        <v>16839</v>
      </c>
      <c r="M16498" t="s">
        <v>50500</v>
      </c>
      <c r="N16498" t="str">
        <f>"3/2/2022 2:43:00 PM"</f>
        <v>3/2/2022 2:43:00 PM</v>
      </c>
      <c r="O16498" t="s">
        <v>50511</v>
      </c>
      <c r="T16498" t="s">
        <v>50512</v>
      </c>
    </row>
    <row r="16499" spans="1:20" x14ac:dyDescent="0.25">
      <c r="A16499" t="str">
        <f>"3049313"</f>
        <v>3049313</v>
      </c>
      <c r="B16499" t="s">
        <v>50514</v>
      </c>
      <c r="C16499" t="str">
        <f>"8317301"</f>
        <v>8317301</v>
      </c>
      <c r="D16499" t="s">
        <v>50515</v>
      </c>
      <c r="E16499" t="s">
        <v>50516</v>
      </c>
      <c r="F16499" t="s">
        <v>50517</v>
      </c>
      <c r="I16499" t="s">
        <v>184</v>
      </c>
      <c r="J16499" t="s">
        <v>30</v>
      </c>
      <c r="K16499" t="s">
        <v>50518</v>
      </c>
      <c r="M16499" t="s">
        <v>17861</v>
      </c>
      <c r="N16499" t="str">
        <f>"3/2/2022 4:07:00 PM"</f>
        <v>3/2/2022 4:07:00 PM</v>
      </c>
      <c r="O16499" t="s">
        <v>50515</v>
      </c>
      <c r="T16499" t="s">
        <v>50516</v>
      </c>
    </row>
    <row r="16500" spans="1:20" x14ac:dyDescent="0.25">
      <c r="A16500" t="str">
        <f>"3045237"</f>
        <v>3045237</v>
      </c>
      <c r="B16500" t="s">
        <v>50519</v>
      </c>
      <c r="C16500" t="str">
        <f>"8317302"</f>
        <v>8317302</v>
      </c>
      <c r="D16500" t="s">
        <v>50520</v>
      </c>
      <c r="F16500" t="s">
        <v>50521</v>
      </c>
      <c r="I16500" t="s">
        <v>1149</v>
      </c>
      <c r="J16500" t="s">
        <v>30</v>
      </c>
      <c r="K16500" t="s">
        <v>6555</v>
      </c>
      <c r="M16500" t="s">
        <v>17861</v>
      </c>
      <c r="N16500" t="str">
        <f>"3/3/2022 9:15:00 AM"</f>
        <v>3/3/2022 9:15:00 AM</v>
      </c>
      <c r="O16500" t="s">
        <v>50520</v>
      </c>
    </row>
    <row r="16501" spans="1:20" x14ac:dyDescent="0.25">
      <c r="A16501" t="str">
        <f>"3037592"</f>
        <v>3037592</v>
      </c>
      <c r="B16501" t="s">
        <v>50522</v>
      </c>
      <c r="C16501" t="str">
        <f>"8317232"</f>
        <v>8317232</v>
      </c>
      <c r="D16501" t="s">
        <v>50523</v>
      </c>
      <c r="E16501" t="s">
        <v>50524</v>
      </c>
      <c r="F16501" t="s">
        <v>50525</v>
      </c>
      <c r="I16501" t="s">
        <v>29</v>
      </c>
      <c r="J16501" t="s">
        <v>30</v>
      </c>
      <c r="K16501" t="s">
        <v>50526</v>
      </c>
      <c r="M16501" t="s">
        <v>17861</v>
      </c>
      <c r="N16501" t="str">
        <f>"2/23/2022 2:18:00 PM"</f>
        <v>2/23/2022 2:18:00 PM</v>
      </c>
      <c r="O16501" t="s">
        <v>50523</v>
      </c>
      <c r="T16501" t="s">
        <v>50524</v>
      </c>
    </row>
    <row r="16502" spans="1:20" x14ac:dyDescent="0.25">
      <c r="A16502" t="str">
        <f>"3045879"</f>
        <v>3045879</v>
      </c>
      <c r="B16502" t="s">
        <v>50527</v>
      </c>
      <c r="C16502" t="str">
        <f>"8317234"</f>
        <v>8317234</v>
      </c>
      <c r="D16502" t="s">
        <v>18116</v>
      </c>
      <c r="F16502" t="s">
        <v>18118</v>
      </c>
      <c r="I16502" t="s">
        <v>29</v>
      </c>
      <c r="J16502" t="s">
        <v>30</v>
      </c>
      <c r="K16502" t="s">
        <v>24040</v>
      </c>
      <c r="M16502" t="s">
        <v>17861</v>
      </c>
      <c r="N16502" t="str">
        <f>"2/23/2022 2:27:00 PM"</f>
        <v>2/23/2022 2:27:00 PM</v>
      </c>
      <c r="O16502" t="s">
        <v>18116</v>
      </c>
    </row>
    <row r="16503" spans="1:20" x14ac:dyDescent="0.25">
      <c r="A16503" t="str">
        <f>"3038491"</f>
        <v>3038491</v>
      </c>
      <c r="B16503" t="s">
        <v>50528</v>
      </c>
      <c r="C16503" t="str">
        <f>"8317240"</f>
        <v>8317240</v>
      </c>
      <c r="D16503" t="s">
        <v>50529</v>
      </c>
      <c r="E16503" t="s">
        <v>50530</v>
      </c>
      <c r="F16503" t="s">
        <v>50531</v>
      </c>
      <c r="I16503" t="s">
        <v>29</v>
      </c>
      <c r="J16503" t="s">
        <v>30</v>
      </c>
      <c r="K16503" t="s">
        <v>38456</v>
      </c>
      <c r="M16503" t="s">
        <v>17861</v>
      </c>
      <c r="N16503" t="str">
        <f>"2/23/2022 3:40:00 PM"</f>
        <v>2/23/2022 3:40:00 PM</v>
      </c>
      <c r="O16503" t="s">
        <v>50529</v>
      </c>
      <c r="T16503" t="s">
        <v>50530</v>
      </c>
    </row>
    <row r="16504" spans="1:20" x14ac:dyDescent="0.25">
      <c r="A16504" t="str">
        <f>"3053384"</f>
        <v>3053384</v>
      </c>
      <c r="B16504" t="s">
        <v>50532</v>
      </c>
      <c r="C16504" t="str">
        <f>"8317241"</f>
        <v>8317241</v>
      </c>
      <c r="D16504" t="s">
        <v>50342</v>
      </c>
      <c r="E16504" t="s">
        <v>50343</v>
      </c>
      <c r="F16504" t="s">
        <v>50344</v>
      </c>
      <c r="I16504" t="s">
        <v>29</v>
      </c>
      <c r="J16504" t="s">
        <v>30</v>
      </c>
      <c r="K16504" t="s">
        <v>14976</v>
      </c>
      <c r="M16504" t="s">
        <v>17861</v>
      </c>
      <c r="N16504" t="str">
        <f>"2/23/2022 3:46:00 PM"</f>
        <v>2/23/2022 3:46:00 PM</v>
      </c>
      <c r="O16504" t="s">
        <v>50342</v>
      </c>
      <c r="T16504" t="s">
        <v>50343</v>
      </c>
    </row>
    <row r="16505" spans="1:20" x14ac:dyDescent="0.25">
      <c r="A16505" t="str">
        <f>"3059204"</f>
        <v>3059204</v>
      </c>
      <c r="B16505" t="s">
        <v>50533</v>
      </c>
      <c r="C16505" t="str">
        <f>"8317212"</f>
        <v>8317212</v>
      </c>
      <c r="D16505" t="s">
        <v>50534</v>
      </c>
      <c r="F16505" t="s">
        <v>855</v>
      </c>
      <c r="I16505" t="s">
        <v>29</v>
      </c>
      <c r="J16505" t="s">
        <v>30</v>
      </c>
      <c r="K16505" t="s">
        <v>856</v>
      </c>
      <c r="M16505" t="s">
        <v>17861</v>
      </c>
      <c r="N16505" t="str">
        <f>"2/22/2022 9:47:00 AM"</f>
        <v>2/22/2022 9:47:00 AM</v>
      </c>
      <c r="O16505" t="s">
        <v>50534</v>
      </c>
    </row>
    <row r="16506" spans="1:20" x14ac:dyDescent="0.25">
      <c r="A16506" t="str">
        <f>"3062492"</f>
        <v>3062492</v>
      </c>
      <c r="B16506" t="s">
        <v>50535</v>
      </c>
      <c r="C16506" t="str">
        <f>"8317213"</f>
        <v>8317213</v>
      </c>
      <c r="D16506" t="s">
        <v>50536</v>
      </c>
      <c r="F16506" t="s">
        <v>50537</v>
      </c>
      <c r="I16506" t="s">
        <v>184</v>
      </c>
      <c r="J16506" t="s">
        <v>30</v>
      </c>
      <c r="K16506" t="s">
        <v>40298</v>
      </c>
      <c r="M16506" t="s">
        <v>17861</v>
      </c>
      <c r="N16506" t="str">
        <f>"2/22/2022 9:56:00 AM"</f>
        <v>2/22/2022 9:56:00 AM</v>
      </c>
      <c r="O16506" t="s">
        <v>50536</v>
      </c>
    </row>
    <row r="16507" spans="1:20" x14ac:dyDescent="0.25">
      <c r="A16507" t="str">
        <f>"3056031"</f>
        <v>3056031</v>
      </c>
      <c r="B16507" t="s">
        <v>50538</v>
      </c>
      <c r="C16507" t="str">
        <f>"8317214"</f>
        <v>8317214</v>
      </c>
      <c r="D16507" t="s">
        <v>50539</v>
      </c>
      <c r="F16507" t="s">
        <v>31585</v>
      </c>
      <c r="I16507" t="s">
        <v>9580</v>
      </c>
      <c r="J16507" t="s">
        <v>30</v>
      </c>
      <c r="K16507" t="s">
        <v>50540</v>
      </c>
      <c r="M16507" t="s">
        <v>17861</v>
      </c>
      <c r="N16507" t="str">
        <f>"2/22/2022 9:58:00 AM"</f>
        <v>2/22/2022 9:58:00 AM</v>
      </c>
      <c r="O16507" t="s">
        <v>50539</v>
      </c>
    </row>
    <row r="16508" spans="1:20" x14ac:dyDescent="0.25">
      <c r="A16508" t="str">
        <f>"3043502"</f>
        <v>3043502</v>
      </c>
      <c r="B16508" t="s">
        <v>50541</v>
      </c>
      <c r="C16508" t="str">
        <f>"8317215"</f>
        <v>8317215</v>
      </c>
      <c r="D16508" t="s">
        <v>50542</v>
      </c>
      <c r="F16508" t="s">
        <v>50543</v>
      </c>
      <c r="I16508" t="s">
        <v>29</v>
      </c>
      <c r="J16508" t="s">
        <v>30</v>
      </c>
      <c r="K16508" t="s">
        <v>46147</v>
      </c>
      <c r="M16508" t="s">
        <v>17861</v>
      </c>
      <c r="N16508" t="str">
        <f>"2/22/2022 10:41:00 AM"</f>
        <v>2/22/2022 10:41:00 AM</v>
      </c>
      <c r="O16508" t="s">
        <v>50542</v>
      </c>
    </row>
    <row r="16509" spans="1:20" x14ac:dyDescent="0.25">
      <c r="A16509" t="str">
        <f>"3047890"</f>
        <v>3047890</v>
      </c>
      <c r="B16509" t="s">
        <v>50544</v>
      </c>
      <c r="C16509" t="str">
        <f>"8317256"</f>
        <v>8317256</v>
      </c>
      <c r="D16509" t="s">
        <v>50545</v>
      </c>
      <c r="F16509" t="s">
        <v>34129</v>
      </c>
      <c r="I16509" t="s">
        <v>184</v>
      </c>
      <c r="J16509" t="s">
        <v>30</v>
      </c>
      <c r="K16509" t="s">
        <v>50546</v>
      </c>
      <c r="M16509" t="s">
        <v>17861</v>
      </c>
      <c r="N16509" t="str">
        <f>"2/24/2022 10:48:00 AM"</f>
        <v>2/24/2022 10:48:00 AM</v>
      </c>
      <c r="O16509" t="s">
        <v>50545</v>
      </c>
    </row>
    <row r="16510" spans="1:20" x14ac:dyDescent="0.25">
      <c r="A16510" t="str">
        <f>"3054931"</f>
        <v>3054931</v>
      </c>
      <c r="B16510" t="s">
        <v>50547</v>
      </c>
      <c r="C16510" t="str">
        <f>"8317258"</f>
        <v>8317258</v>
      </c>
      <c r="D16510" t="s">
        <v>50548</v>
      </c>
      <c r="E16510" t="s">
        <v>22528</v>
      </c>
      <c r="F16510" t="s">
        <v>50549</v>
      </c>
      <c r="I16510" t="s">
        <v>29</v>
      </c>
      <c r="J16510" t="s">
        <v>30</v>
      </c>
      <c r="K16510" t="s">
        <v>50550</v>
      </c>
      <c r="M16510" t="s">
        <v>17861</v>
      </c>
      <c r="N16510" t="str">
        <f>"2/24/2022 11:04:00 AM"</f>
        <v>2/24/2022 11:04:00 AM</v>
      </c>
      <c r="O16510" t="s">
        <v>50548</v>
      </c>
      <c r="T16510" t="s">
        <v>22528</v>
      </c>
    </row>
    <row r="16511" spans="1:20" x14ac:dyDescent="0.25">
      <c r="A16511" t="str">
        <f>"3054945"</f>
        <v>3054945</v>
      </c>
      <c r="B16511" t="s">
        <v>50551</v>
      </c>
      <c r="C16511" t="str">
        <f>"8317258"</f>
        <v>8317258</v>
      </c>
      <c r="D16511" t="s">
        <v>50548</v>
      </c>
      <c r="E16511" t="s">
        <v>22528</v>
      </c>
      <c r="F16511" t="s">
        <v>50549</v>
      </c>
      <c r="I16511" t="s">
        <v>29</v>
      </c>
      <c r="J16511" t="s">
        <v>30</v>
      </c>
      <c r="K16511" t="s">
        <v>50550</v>
      </c>
      <c r="M16511" t="s">
        <v>17861</v>
      </c>
      <c r="N16511" t="str">
        <f>"2/24/2022 11:04:00 AM"</f>
        <v>2/24/2022 11:04:00 AM</v>
      </c>
      <c r="O16511" t="s">
        <v>50548</v>
      </c>
      <c r="T16511" t="s">
        <v>22528</v>
      </c>
    </row>
    <row r="16512" spans="1:20" x14ac:dyDescent="0.25">
      <c r="A16512" t="str">
        <f>"3041852"</f>
        <v>3041852</v>
      </c>
      <c r="B16512" t="s">
        <v>50552</v>
      </c>
      <c r="C16512" t="str">
        <f>"8317265"</f>
        <v>8317265</v>
      </c>
      <c r="D16512" t="s">
        <v>50553</v>
      </c>
      <c r="E16512" t="s">
        <v>50554</v>
      </c>
      <c r="F16512" t="s">
        <v>50555</v>
      </c>
      <c r="I16512" t="s">
        <v>184</v>
      </c>
      <c r="J16512" t="s">
        <v>30</v>
      </c>
      <c r="K16512" t="s">
        <v>34817</v>
      </c>
      <c r="M16512" t="s">
        <v>17861</v>
      </c>
      <c r="N16512" t="str">
        <f>"2/24/2022 1:12:00 PM"</f>
        <v>2/24/2022 1:12:00 PM</v>
      </c>
      <c r="O16512" t="s">
        <v>50553</v>
      </c>
      <c r="T16512" t="s">
        <v>50554</v>
      </c>
    </row>
    <row r="16513" spans="1:20" x14ac:dyDescent="0.25">
      <c r="A16513" t="str">
        <f>"3052709"</f>
        <v>3052709</v>
      </c>
      <c r="B16513" t="s">
        <v>50556</v>
      </c>
      <c r="C16513" t="str">
        <f>"8317266"</f>
        <v>8317266</v>
      </c>
      <c r="D16513" t="s">
        <v>50557</v>
      </c>
      <c r="F16513" t="s">
        <v>50558</v>
      </c>
      <c r="I16513" t="s">
        <v>29</v>
      </c>
      <c r="J16513" t="s">
        <v>30</v>
      </c>
      <c r="K16513" t="s">
        <v>48005</v>
      </c>
      <c r="M16513" t="s">
        <v>17861</v>
      </c>
      <c r="N16513" t="str">
        <f>"2/24/2022 1:15:00 PM"</f>
        <v>2/24/2022 1:15:00 PM</v>
      </c>
      <c r="O16513" t="s">
        <v>50557</v>
      </c>
    </row>
    <row r="16514" spans="1:20" x14ac:dyDescent="0.25">
      <c r="A16514" t="str">
        <f>"3070440"</f>
        <v>3070440</v>
      </c>
      <c r="B16514" t="s">
        <v>50559</v>
      </c>
      <c r="C16514" t="str">
        <f>"77600000"</f>
        <v>77600000</v>
      </c>
      <c r="D16514" t="s">
        <v>50434</v>
      </c>
      <c r="F16514" t="s">
        <v>50435</v>
      </c>
      <c r="I16514" t="s">
        <v>29</v>
      </c>
      <c r="J16514" t="s">
        <v>30</v>
      </c>
      <c r="K16514" t="s">
        <v>6979</v>
      </c>
      <c r="M16514" t="s">
        <v>36935</v>
      </c>
      <c r="N16514" t="str">
        <f>"2/25/2022 11:43:00 AM"</f>
        <v>2/25/2022 11:43:00 AM</v>
      </c>
      <c r="O16514" t="s">
        <v>50434</v>
      </c>
    </row>
    <row r="16515" spans="1:20" x14ac:dyDescent="0.25">
      <c r="A16515" t="str">
        <f>"3053209"</f>
        <v>3053209</v>
      </c>
      <c r="B16515" t="s">
        <v>50560</v>
      </c>
      <c r="C16515" t="str">
        <f>"35324000"</f>
        <v>35324000</v>
      </c>
      <c r="D16515" t="s">
        <v>50561</v>
      </c>
      <c r="F16515" t="str">
        <f>"C/O BETTY CORNATZER"</f>
        <v>C/O BETTY CORNATZER</v>
      </c>
      <c r="G16515" t="s">
        <v>50562</v>
      </c>
      <c r="I16515" t="s">
        <v>184</v>
      </c>
      <c r="J16515" t="s">
        <v>30</v>
      </c>
      <c r="K16515" t="str">
        <f>"27006"</f>
        <v>27006</v>
      </c>
      <c r="M16515" t="s">
        <v>17861</v>
      </c>
      <c r="N16515" t="str">
        <f>"2/22/2022 11:02:00 AM"</f>
        <v>2/22/2022 11:02:00 AM</v>
      </c>
      <c r="O16515" t="s">
        <v>50561</v>
      </c>
    </row>
    <row r="16516" spans="1:20" x14ac:dyDescent="0.25">
      <c r="A16516" t="str">
        <f>"3056548"</f>
        <v>3056548</v>
      </c>
      <c r="B16516" t="s">
        <v>50563</v>
      </c>
      <c r="C16516" t="str">
        <f>"8317217"</f>
        <v>8317217</v>
      </c>
      <c r="D16516" t="s">
        <v>50564</v>
      </c>
      <c r="E16516" t="s">
        <v>50565</v>
      </c>
      <c r="F16516" t="s">
        <v>50566</v>
      </c>
      <c r="I16516" t="s">
        <v>29</v>
      </c>
      <c r="J16516" t="s">
        <v>30</v>
      </c>
      <c r="K16516" t="s">
        <v>19844</v>
      </c>
      <c r="M16516" t="s">
        <v>17861</v>
      </c>
      <c r="N16516" t="str">
        <f>"2/22/2022 11:14:00 AM"</f>
        <v>2/22/2022 11:14:00 AM</v>
      </c>
      <c r="O16516" t="s">
        <v>50564</v>
      </c>
      <c r="T16516" t="s">
        <v>50565</v>
      </c>
    </row>
    <row r="16517" spans="1:20" x14ac:dyDescent="0.25">
      <c r="A16517" t="str">
        <f>"3060272"</f>
        <v>3060272</v>
      </c>
      <c r="B16517" t="s">
        <v>50567</v>
      </c>
      <c r="C16517" t="str">
        <f>"8314095"</f>
        <v>8314095</v>
      </c>
      <c r="D16517" t="s">
        <v>50568</v>
      </c>
      <c r="F16517" t="s">
        <v>50569</v>
      </c>
      <c r="I16517" t="s">
        <v>29</v>
      </c>
      <c r="J16517" t="s">
        <v>30</v>
      </c>
      <c r="K16517" t="s">
        <v>42005</v>
      </c>
      <c r="M16517" t="s">
        <v>17861</v>
      </c>
      <c r="N16517" t="str">
        <f>"2/22/2022 3:27:00 PM"</f>
        <v>2/22/2022 3:27:00 PM</v>
      </c>
      <c r="O16517" t="s">
        <v>50568</v>
      </c>
    </row>
    <row r="16518" spans="1:20" x14ac:dyDescent="0.25">
      <c r="A16518" t="str">
        <f>"3066117"</f>
        <v>3066117</v>
      </c>
      <c r="B16518" t="s">
        <v>50570</v>
      </c>
      <c r="C16518" t="str">
        <f>"8317285"</f>
        <v>8317285</v>
      </c>
      <c r="D16518" t="s">
        <v>50571</v>
      </c>
      <c r="E16518" t="s">
        <v>50572</v>
      </c>
      <c r="F16518" t="s">
        <v>50573</v>
      </c>
      <c r="I16518" t="s">
        <v>29</v>
      </c>
      <c r="J16518" t="s">
        <v>30</v>
      </c>
      <c r="K16518" t="s">
        <v>50574</v>
      </c>
      <c r="M16518" t="s">
        <v>17861</v>
      </c>
      <c r="N16518" t="str">
        <f>"3/1/2022 4:00:00 PM"</f>
        <v>3/1/2022 4:00:00 PM</v>
      </c>
      <c r="O16518" t="s">
        <v>50571</v>
      </c>
      <c r="T16518" t="s">
        <v>50572</v>
      </c>
    </row>
    <row r="16519" spans="1:20" x14ac:dyDescent="0.25">
      <c r="A16519" t="str">
        <f>"3038671"</f>
        <v>3038671</v>
      </c>
      <c r="B16519" t="s">
        <v>50575</v>
      </c>
      <c r="C16519" t="str">
        <f>"8317286"</f>
        <v>8317286</v>
      </c>
      <c r="D16519" t="s">
        <v>50576</v>
      </c>
      <c r="F16519" t="s">
        <v>50577</v>
      </c>
      <c r="I16519" t="s">
        <v>49</v>
      </c>
      <c r="J16519" t="s">
        <v>30</v>
      </c>
      <c r="K16519" t="s">
        <v>50578</v>
      </c>
      <c r="M16519" t="s">
        <v>17861</v>
      </c>
      <c r="N16519" t="str">
        <f>"3/1/2022 4:19:00 PM"</f>
        <v>3/1/2022 4:19:00 PM</v>
      </c>
      <c r="O16519" t="s">
        <v>50576</v>
      </c>
    </row>
    <row r="16520" spans="1:20" x14ac:dyDescent="0.25">
      <c r="A16520" t="str">
        <f>"3060964"</f>
        <v>3060964</v>
      </c>
      <c r="B16520" t="s">
        <v>50579</v>
      </c>
      <c r="C16520" t="str">
        <f>"8317309"</f>
        <v>8317309</v>
      </c>
      <c r="D16520" t="s">
        <v>50580</v>
      </c>
      <c r="F16520" t="s">
        <v>50581</v>
      </c>
      <c r="I16520" t="s">
        <v>2071</v>
      </c>
      <c r="J16520" t="s">
        <v>30</v>
      </c>
      <c r="K16520" t="s">
        <v>37473</v>
      </c>
      <c r="M16520" t="s">
        <v>17861</v>
      </c>
      <c r="N16520" t="str">
        <f>"3/9/2022 11:08:00 AM"</f>
        <v>3/9/2022 11:08:00 AM</v>
      </c>
      <c r="O16520" t="s">
        <v>50580</v>
      </c>
    </row>
    <row r="16521" spans="1:20" x14ac:dyDescent="0.25">
      <c r="A16521" t="str">
        <f>"3060303"</f>
        <v>3060303</v>
      </c>
      <c r="B16521" t="s">
        <v>50582</v>
      </c>
      <c r="C16521" t="str">
        <f>"8317296"</f>
        <v>8317296</v>
      </c>
      <c r="D16521" t="s">
        <v>50583</v>
      </c>
      <c r="E16521" t="s">
        <v>50584</v>
      </c>
      <c r="F16521" t="s">
        <v>50585</v>
      </c>
      <c r="I16521" t="s">
        <v>29</v>
      </c>
      <c r="J16521" t="s">
        <v>30</v>
      </c>
      <c r="K16521" t="s">
        <v>42005</v>
      </c>
      <c r="M16521" t="s">
        <v>50500</v>
      </c>
      <c r="N16521" t="str">
        <f>"3/2/2022 11:01:00 AM"</f>
        <v>3/2/2022 11:01:00 AM</v>
      </c>
      <c r="O16521" t="s">
        <v>50583</v>
      </c>
      <c r="T16521" t="s">
        <v>50584</v>
      </c>
    </row>
    <row r="16522" spans="1:20" x14ac:dyDescent="0.25">
      <c r="A16522" t="str">
        <f>"3049258"</f>
        <v>3049258</v>
      </c>
      <c r="B16522" t="s">
        <v>50586</v>
      </c>
      <c r="C16522" t="str">
        <f>"8315255"</f>
        <v>8315255</v>
      </c>
      <c r="D16522" t="s">
        <v>50587</v>
      </c>
      <c r="F16522" t="s">
        <v>50588</v>
      </c>
      <c r="I16522" t="s">
        <v>184</v>
      </c>
      <c r="J16522" t="s">
        <v>30</v>
      </c>
      <c r="K16522" t="s">
        <v>8906</v>
      </c>
      <c r="M16522" t="s">
        <v>17861</v>
      </c>
      <c r="N16522" t="str">
        <f>"3/3/2022 12:19:00 PM"</f>
        <v>3/3/2022 12:19:00 PM</v>
      </c>
      <c r="O16522" t="s">
        <v>50587</v>
      </c>
    </row>
    <row r="16523" spans="1:20" x14ac:dyDescent="0.25">
      <c r="A16523" t="str">
        <f>"3056469"</f>
        <v>3056469</v>
      </c>
      <c r="B16523" t="s">
        <v>50589</v>
      </c>
      <c r="C16523" t="str">
        <f>"8317305"</f>
        <v>8317305</v>
      </c>
      <c r="D16523" t="s">
        <v>50590</v>
      </c>
      <c r="E16523" t="s">
        <v>50591</v>
      </c>
      <c r="F16523" t="s">
        <v>50592</v>
      </c>
      <c r="I16523" t="s">
        <v>29</v>
      </c>
      <c r="J16523" t="s">
        <v>30</v>
      </c>
      <c r="K16523" t="s">
        <v>39735</v>
      </c>
      <c r="M16523" t="s">
        <v>17861</v>
      </c>
      <c r="N16523" t="str">
        <f>"3/3/2022 3:05:00 PM"</f>
        <v>3/3/2022 3:05:00 PM</v>
      </c>
      <c r="O16523" t="s">
        <v>50590</v>
      </c>
      <c r="T16523" t="s">
        <v>50591</v>
      </c>
    </row>
    <row r="16524" spans="1:20" x14ac:dyDescent="0.25">
      <c r="A16524" t="str">
        <f>"3046107"</f>
        <v>3046107</v>
      </c>
      <c r="B16524" t="s">
        <v>50593</v>
      </c>
      <c r="C16524" t="str">
        <f>"8312866"</f>
        <v>8312866</v>
      </c>
      <c r="D16524" t="s">
        <v>50594</v>
      </c>
      <c r="F16524" t="s">
        <v>50595</v>
      </c>
      <c r="I16524" t="s">
        <v>29</v>
      </c>
      <c r="J16524" t="s">
        <v>30</v>
      </c>
      <c r="K16524" t="s">
        <v>50596</v>
      </c>
      <c r="M16524" t="s">
        <v>33845</v>
      </c>
      <c r="N16524" t="str">
        <f>"3/9/2022 12:01:00 PM"</f>
        <v>3/9/2022 12:01:00 PM</v>
      </c>
      <c r="O16524" t="s">
        <v>50594</v>
      </c>
    </row>
    <row r="16525" spans="1:20" x14ac:dyDescent="0.25">
      <c r="A16525" t="str">
        <f>"3046390"</f>
        <v>3046390</v>
      </c>
      <c r="B16525" t="s">
        <v>50597</v>
      </c>
      <c r="C16525" t="str">
        <f>"212100"</f>
        <v>212100</v>
      </c>
      <c r="D16525" t="s">
        <v>50598</v>
      </c>
      <c r="F16525" t="s">
        <v>8264</v>
      </c>
      <c r="I16525" t="s">
        <v>29</v>
      </c>
      <c r="J16525" t="s">
        <v>30</v>
      </c>
      <c r="K16525" t="s">
        <v>8265</v>
      </c>
      <c r="M16525" t="s">
        <v>33845</v>
      </c>
      <c r="N16525" t="str">
        <f>"3/9/2022 12:02:00 PM"</f>
        <v>3/9/2022 12:02:00 PM</v>
      </c>
      <c r="O16525" t="s">
        <v>50598</v>
      </c>
      <c r="T16525" t="s">
        <v>50598</v>
      </c>
    </row>
    <row r="16526" spans="1:20" x14ac:dyDescent="0.25">
      <c r="A16526" t="str">
        <f>"3068832"</f>
        <v>3068832</v>
      </c>
      <c r="B16526" t="s">
        <v>50599</v>
      </c>
      <c r="C16526" t="str">
        <f>"8317311"</f>
        <v>8317311</v>
      </c>
      <c r="D16526" t="s">
        <v>32407</v>
      </c>
      <c r="F16526" t="s">
        <v>50600</v>
      </c>
      <c r="I16526" t="s">
        <v>1149</v>
      </c>
      <c r="J16526" t="s">
        <v>30</v>
      </c>
      <c r="K16526" t="s">
        <v>6851</v>
      </c>
      <c r="M16526" t="s">
        <v>17861</v>
      </c>
      <c r="N16526" t="str">
        <f>"3/9/2022 12:56:00 PM"</f>
        <v>3/9/2022 12:56:00 PM</v>
      </c>
      <c r="O16526" t="s">
        <v>32407</v>
      </c>
    </row>
    <row r="16527" spans="1:20" x14ac:dyDescent="0.25">
      <c r="A16527" t="str">
        <f>"3044331"</f>
        <v>3044331</v>
      </c>
      <c r="B16527" t="s">
        <v>50601</v>
      </c>
      <c r="C16527" t="str">
        <f>"82525983"</f>
        <v>82525983</v>
      </c>
      <c r="D16527" t="s">
        <v>50602</v>
      </c>
      <c r="E16527" t="s">
        <v>50603</v>
      </c>
      <c r="F16527" t="s">
        <v>50604</v>
      </c>
      <c r="I16527" t="s">
        <v>184</v>
      </c>
      <c r="J16527" t="s">
        <v>30</v>
      </c>
      <c r="K16527" t="s">
        <v>185</v>
      </c>
      <c r="M16527" t="s">
        <v>33845</v>
      </c>
      <c r="N16527" t="str">
        <f>"3/9/2022 4:34:00 PM"</f>
        <v>3/9/2022 4:34:00 PM</v>
      </c>
      <c r="O16527" t="s">
        <v>50602</v>
      </c>
      <c r="T16527" t="s">
        <v>50603</v>
      </c>
    </row>
    <row r="16528" spans="1:20" x14ac:dyDescent="0.25">
      <c r="A16528" t="str">
        <f>"3045571"</f>
        <v>3045571</v>
      </c>
      <c r="B16528" t="s">
        <v>50605</v>
      </c>
      <c r="C16528" t="str">
        <f>"8317313"</f>
        <v>8317313</v>
      </c>
      <c r="D16528" t="s">
        <v>50606</v>
      </c>
      <c r="F16528" t="s">
        <v>50607</v>
      </c>
      <c r="I16528" t="s">
        <v>29</v>
      </c>
      <c r="J16528" t="s">
        <v>30</v>
      </c>
      <c r="K16528" t="s">
        <v>11163</v>
      </c>
      <c r="M16528" t="s">
        <v>17861</v>
      </c>
      <c r="N16528" t="str">
        <f>"3/9/2022 1:13:00 PM"</f>
        <v>3/9/2022 1:13:00 PM</v>
      </c>
      <c r="O16528" t="s">
        <v>50606</v>
      </c>
    </row>
    <row r="16529" spans="1:20" x14ac:dyDescent="0.25">
      <c r="A16529" t="str">
        <f>"3038956"</f>
        <v>3038956</v>
      </c>
      <c r="B16529" t="s">
        <v>50608</v>
      </c>
      <c r="C16529" t="str">
        <f>"8317315"</f>
        <v>8317315</v>
      </c>
      <c r="D16529" t="s">
        <v>50609</v>
      </c>
      <c r="E16529" t="s">
        <v>50610</v>
      </c>
      <c r="F16529" t="s">
        <v>50611</v>
      </c>
      <c r="I16529" t="s">
        <v>29</v>
      </c>
      <c r="J16529" t="s">
        <v>30</v>
      </c>
      <c r="K16529" t="s">
        <v>3064</v>
      </c>
      <c r="M16529" t="s">
        <v>17861</v>
      </c>
      <c r="N16529" t="str">
        <f>"3/9/2022 1:18:00 PM"</f>
        <v>3/9/2022 1:18:00 PM</v>
      </c>
      <c r="O16529" t="s">
        <v>50609</v>
      </c>
      <c r="T16529" t="s">
        <v>50610</v>
      </c>
    </row>
    <row r="16530" spans="1:20" x14ac:dyDescent="0.25">
      <c r="A16530" t="str">
        <f>"3057395"</f>
        <v>3057395</v>
      </c>
      <c r="B16530" t="s">
        <v>50612</v>
      </c>
      <c r="C16530" t="str">
        <f>"8310832"</f>
        <v>8310832</v>
      </c>
      <c r="D16530" t="s">
        <v>50613</v>
      </c>
      <c r="E16530" t="s">
        <v>50614</v>
      </c>
      <c r="F16530" t="s">
        <v>50615</v>
      </c>
      <c r="I16530" t="s">
        <v>184</v>
      </c>
      <c r="J16530" t="s">
        <v>30</v>
      </c>
      <c r="K16530" t="s">
        <v>38216</v>
      </c>
      <c r="M16530" t="s">
        <v>33845</v>
      </c>
      <c r="N16530" t="str">
        <f>"3/9/2022 1:54:00 PM"</f>
        <v>3/9/2022 1:54:00 PM</v>
      </c>
      <c r="O16530" t="s">
        <v>50613</v>
      </c>
      <c r="T16530" t="s">
        <v>50614</v>
      </c>
    </row>
    <row r="16531" spans="1:20" x14ac:dyDescent="0.25">
      <c r="A16531" t="str">
        <f>"3060038"</f>
        <v>3060038</v>
      </c>
      <c r="B16531" t="s">
        <v>50616</v>
      </c>
      <c r="C16531" t="str">
        <f>"8310832"</f>
        <v>8310832</v>
      </c>
      <c r="D16531" t="s">
        <v>50613</v>
      </c>
      <c r="E16531" t="s">
        <v>50614</v>
      </c>
      <c r="F16531" t="s">
        <v>50615</v>
      </c>
      <c r="I16531" t="s">
        <v>184</v>
      </c>
      <c r="J16531" t="s">
        <v>30</v>
      </c>
      <c r="K16531" t="s">
        <v>38216</v>
      </c>
      <c r="M16531" t="s">
        <v>33845</v>
      </c>
      <c r="N16531" t="str">
        <f>"3/9/2022 1:54:00 PM"</f>
        <v>3/9/2022 1:54:00 PM</v>
      </c>
      <c r="O16531" t="s">
        <v>50613</v>
      </c>
      <c r="T16531" t="s">
        <v>50614</v>
      </c>
    </row>
    <row r="16532" spans="1:20" x14ac:dyDescent="0.25">
      <c r="A16532" t="str">
        <f>"3053632"</f>
        <v>3053632</v>
      </c>
      <c r="B16532" t="s">
        <v>50617</v>
      </c>
      <c r="C16532" t="str">
        <f>"82514388"</f>
        <v>82514388</v>
      </c>
      <c r="D16532" t="s">
        <v>50618</v>
      </c>
      <c r="E16532" t="s">
        <v>50619</v>
      </c>
      <c r="F16532" t="s">
        <v>50620</v>
      </c>
      <c r="I16532" t="s">
        <v>29</v>
      </c>
      <c r="J16532" t="s">
        <v>30</v>
      </c>
      <c r="K16532" t="s">
        <v>13772</v>
      </c>
      <c r="M16532" t="s">
        <v>50621</v>
      </c>
      <c r="N16532" t="str">
        <f>"3/4/2022 3:58:00 PM"</f>
        <v>3/4/2022 3:58:00 PM</v>
      </c>
      <c r="O16532" t="s">
        <v>50618</v>
      </c>
      <c r="T16532" t="s">
        <v>50619</v>
      </c>
    </row>
    <row r="16533" spans="1:20" x14ac:dyDescent="0.25">
      <c r="A16533" t="str">
        <f>"3041912"</f>
        <v>3041912</v>
      </c>
      <c r="B16533" t="s">
        <v>50622</v>
      </c>
      <c r="C16533" t="str">
        <f>"8317316"</f>
        <v>8317316</v>
      </c>
      <c r="D16533" t="s">
        <v>50623</v>
      </c>
      <c r="F16533" t="s">
        <v>39282</v>
      </c>
      <c r="G16533" t="s">
        <v>3782</v>
      </c>
      <c r="I16533" t="s">
        <v>2071</v>
      </c>
      <c r="J16533" t="s">
        <v>30</v>
      </c>
      <c r="K16533" t="s">
        <v>39283</v>
      </c>
      <c r="M16533" t="s">
        <v>17861</v>
      </c>
      <c r="N16533" t="str">
        <f>"3/9/2022 2:19:00 PM"</f>
        <v>3/9/2022 2:19:00 PM</v>
      </c>
      <c r="O16533" t="s">
        <v>50623</v>
      </c>
    </row>
    <row r="16534" spans="1:20" x14ac:dyDescent="0.25">
      <c r="A16534" t="str">
        <f>"3062346"</f>
        <v>3062346</v>
      </c>
      <c r="B16534" t="s">
        <v>50624</v>
      </c>
      <c r="C16534" t="str">
        <f>"8317318"</f>
        <v>8317318</v>
      </c>
      <c r="D16534" t="s">
        <v>50625</v>
      </c>
      <c r="E16534" t="s">
        <v>50626</v>
      </c>
      <c r="F16534" t="s">
        <v>50627</v>
      </c>
      <c r="I16534" t="s">
        <v>19211</v>
      </c>
      <c r="J16534" t="s">
        <v>30</v>
      </c>
      <c r="K16534" t="s">
        <v>50628</v>
      </c>
      <c r="M16534" t="s">
        <v>17861</v>
      </c>
      <c r="N16534" t="str">
        <f>"3/9/2022 2:22:00 PM"</f>
        <v>3/9/2022 2:22:00 PM</v>
      </c>
      <c r="O16534" t="s">
        <v>50625</v>
      </c>
      <c r="T16534" t="s">
        <v>50626</v>
      </c>
    </row>
    <row r="16535" spans="1:20" x14ac:dyDescent="0.25">
      <c r="A16535" t="str">
        <f>"3050935"</f>
        <v>3050935</v>
      </c>
      <c r="B16535" t="s">
        <v>50629</v>
      </c>
      <c r="C16535" t="str">
        <f>"8317319"</f>
        <v>8317319</v>
      </c>
      <c r="D16535" t="s">
        <v>50630</v>
      </c>
      <c r="E16535" t="s">
        <v>50631</v>
      </c>
      <c r="F16535" t="s">
        <v>50632</v>
      </c>
      <c r="I16535" t="s">
        <v>184</v>
      </c>
      <c r="J16535" t="s">
        <v>30</v>
      </c>
      <c r="K16535" t="s">
        <v>14028</v>
      </c>
      <c r="M16535" t="s">
        <v>17861</v>
      </c>
      <c r="N16535" t="str">
        <f>"3/9/2022 2:41:00 PM"</f>
        <v>3/9/2022 2:41:00 PM</v>
      </c>
      <c r="O16535" t="s">
        <v>50630</v>
      </c>
      <c r="T16535" t="s">
        <v>50631</v>
      </c>
    </row>
    <row r="16536" spans="1:20" x14ac:dyDescent="0.25">
      <c r="A16536" t="str">
        <f>"3056071"</f>
        <v>3056071</v>
      </c>
      <c r="B16536" t="s">
        <v>50633</v>
      </c>
      <c r="C16536" t="str">
        <f>"8317320"</f>
        <v>8317320</v>
      </c>
      <c r="D16536" t="s">
        <v>50634</v>
      </c>
      <c r="F16536" t="s">
        <v>50635</v>
      </c>
      <c r="I16536" t="s">
        <v>3196</v>
      </c>
      <c r="J16536" t="s">
        <v>30</v>
      </c>
      <c r="K16536" t="s">
        <v>50636</v>
      </c>
      <c r="M16536" t="s">
        <v>17861</v>
      </c>
      <c r="N16536" t="str">
        <f>"3/9/2022 3:01:00 PM"</f>
        <v>3/9/2022 3:01:00 PM</v>
      </c>
      <c r="O16536" t="s">
        <v>50634</v>
      </c>
    </row>
    <row r="16537" spans="1:20" x14ac:dyDescent="0.25">
      <c r="A16537" t="str">
        <f>"3043523"</f>
        <v>3043523</v>
      </c>
      <c r="B16537" t="s">
        <v>50637</v>
      </c>
      <c r="C16537" t="str">
        <f>"8317321"</f>
        <v>8317321</v>
      </c>
      <c r="D16537" t="s">
        <v>50638</v>
      </c>
      <c r="E16537" t="s">
        <v>50639</v>
      </c>
      <c r="F16537" t="s">
        <v>50640</v>
      </c>
      <c r="I16537" t="s">
        <v>29</v>
      </c>
      <c r="J16537" t="s">
        <v>30</v>
      </c>
      <c r="K16537" t="s">
        <v>49051</v>
      </c>
      <c r="M16537" t="s">
        <v>17861</v>
      </c>
      <c r="N16537" t="str">
        <f>"3/9/2022 3:08:00 PM"</f>
        <v>3/9/2022 3:08:00 PM</v>
      </c>
      <c r="O16537" t="s">
        <v>50638</v>
      </c>
      <c r="T16537" t="s">
        <v>50639</v>
      </c>
    </row>
    <row r="16538" spans="1:20" x14ac:dyDescent="0.25">
      <c r="A16538" t="str">
        <f>"3059368"</f>
        <v>3059368</v>
      </c>
      <c r="B16538" t="s">
        <v>50641</v>
      </c>
      <c r="C16538" t="str">
        <f>"8317322"</f>
        <v>8317322</v>
      </c>
      <c r="D16538" t="s">
        <v>11625</v>
      </c>
      <c r="F16538" t="s">
        <v>50642</v>
      </c>
      <c r="I16538" t="s">
        <v>29</v>
      </c>
      <c r="J16538" t="s">
        <v>30</v>
      </c>
      <c r="K16538" t="s">
        <v>11627</v>
      </c>
      <c r="M16538" t="s">
        <v>17861</v>
      </c>
      <c r="N16538" t="str">
        <f>"3/9/2022 3:11:00 PM"</f>
        <v>3/9/2022 3:11:00 PM</v>
      </c>
      <c r="O16538" t="s">
        <v>11625</v>
      </c>
    </row>
    <row r="16539" spans="1:20" x14ac:dyDescent="0.25">
      <c r="A16539" t="str">
        <f>"3059425"</f>
        <v>3059425</v>
      </c>
      <c r="B16539" t="s">
        <v>50643</v>
      </c>
      <c r="C16539" t="str">
        <f>"8317323"</f>
        <v>8317323</v>
      </c>
      <c r="D16539" t="s">
        <v>50644</v>
      </c>
      <c r="F16539" t="s">
        <v>50645</v>
      </c>
      <c r="I16539" t="s">
        <v>29</v>
      </c>
      <c r="J16539" t="s">
        <v>30</v>
      </c>
      <c r="K16539" t="s">
        <v>41371</v>
      </c>
      <c r="M16539" t="s">
        <v>17861</v>
      </c>
      <c r="N16539" t="str">
        <f>"3/9/2022 3:13:00 PM"</f>
        <v>3/9/2022 3:13:00 PM</v>
      </c>
      <c r="O16539" t="s">
        <v>50644</v>
      </c>
    </row>
    <row r="16540" spans="1:20" x14ac:dyDescent="0.25">
      <c r="A16540" t="str">
        <f>"3062248"</f>
        <v>3062248</v>
      </c>
      <c r="B16540" t="s">
        <v>50646</v>
      </c>
      <c r="C16540" t="str">
        <f>"8317323"</f>
        <v>8317323</v>
      </c>
      <c r="D16540" t="s">
        <v>50644</v>
      </c>
      <c r="F16540" t="s">
        <v>50645</v>
      </c>
      <c r="I16540" t="s">
        <v>29</v>
      </c>
      <c r="J16540" t="s">
        <v>30</v>
      </c>
      <c r="K16540" t="s">
        <v>41371</v>
      </c>
      <c r="M16540" t="s">
        <v>17861</v>
      </c>
      <c r="N16540" t="str">
        <f>"3/9/2022 3:13:00 PM"</f>
        <v>3/9/2022 3:13:00 PM</v>
      </c>
      <c r="O16540" t="s">
        <v>50644</v>
      </c>
    </row>
    <row r="16541" spans="1:20" x14ac:dyDescent="0.25">
      <c r="A16541" t="str">
        <f>"3052514"</f>
        <v>3052514</v>
      </c>
      <c r="B16541" t="s">
        <v>50647</v>
      </c>
      <c r="C16541" t="str">
        <f>"8317324"</f>
        <v>8317324</v>
      </c>
      <c r="D16541" t="s">
        <v>50648</v>
      </c>
      <c r="F16541" t="s">
        <v>50649</v>
      </c>
      <c r="I16541" t="s">
        <v>29</v>
      </c>
      <c r="J16541" t="s">
        <v>30</v>
      </c>
      <c r="K16541" t="s">
        <v>50650</v>
      </c>
      <c r="M16541" t="s">
        <v>17861</v>
      </c>
      <c r="N16541" t="str">
        <f>"3/9/2022 3:15:00 PM"</f>
        <v>3/9/2022 3:15:00 PM</v>
      </c>
      <c r="O16541" t="s">
        <v>50648</v>
      </c>
    </row>
    <row r="16542" spans="1:20" x14ac:dyDescent="0.25">
      <c r="A16542" t="str">
        <f>"3044528"</f>
        <v>3044528</v>
      </c>
      <c r="B16542" t="s">
        <v>50651</v>
      </c>
      <c r="C16542" t="str">
        <f>"8317326"</f>
        <v>8317326</v>
      </c>
      <c r="D16542" t="str">
        <f>"MARSELLA STEFANO/JOANNA B CO-T"</f>
        <v>MARSELLA STEFANO/JOANNA B CO-T</v>
      </c>
      <c r="E16542" t="str">
        <f>"MARSELLA STEFANO/JOANN B REV L"</f>
        <v>MARSELLA STEFANO/JOANN B REV L</v>
      </c>
      <c r="F16542" t="s">
        <v>50652</v>
      </c>
      <c r="I16542" t="s">
        <v>184</v>
      </c>
      <c r="J16542" t="s">
        <v>30</v>
      </c>
      <c r="K16542" t="s">
        <v>5724</v>
      </c>
      <c r="M16542" t="s">
        <v>17861</v>
      </c>
      <c r="N16542" t="str">
        <f>"3/9/2022 3:27:00 PM"</f>
        <v>3/9/2022 3:27:00 PM</v>
      </c>
      <c r="O16542" t="str">
        <f>"MARSELLA STEFANO/JOANNA B CO-T"</f>
        <v>MARSELLA STEFANO/JOANNA B CO-T</v>
      </c>
      <c r="T16542" t="str">
        <f>"MARSELLA STEFANO/JOANN B REV L"</f>
        <v>MARSELLA STEFANO/JOANN B REV L</v>
      </c>
    </row>
    <row r="16543" spans="1:20" x14ac:dyDescent="0.25">
      <c r="A16543" t="str">
        <f>"3058790"</f>
        <v>3058790</v>
      </c>
      <c r="B16543" t="s">
        <v>50653</v>
      </c>
      <c r="C16543" t="str">
        <f>"8317326"</f>
        <v>8317326</v>
      </c>
      <c r="D16543" t="str">
        <f>"MARSELLA STEFANO/JOANNA B CO-T"</f>
        <v>MARSELLA STEFANO/JOANNA B CO-T</v>
      </c>
      <c r="E16543" t="str">
        <f>"MARSELLA STEFANO/JOANN B REV L"</f>
        <v>MARSELLA STEFANO/JOANN B REV L</v>
      </c>
      <c r="F16543" t="s">
        <v>50652</v>
      </c>
      <c r="I16543" t="s">
        <v>184</v>
      </c>
      <c r="J16543" t="s">
        <v>30</v>
      </c>
      <c r="K16543" t="s">
        <v>5724</v>
      </c>
      <c r="M16543" t="s">
        <v>17861</v>
      </c>
      <c r="N16543" t="str">
        <f>"3/9/2022 3:27:00 PM"</f>
        <v>3/9/2022 3:27:00 PM</v>
      </c>
      <c r="O16543" t="str">
        <f>"MARSELLA STEFANO/JOANNA B CO-T"</f>
        <v>MARSELLA STEFANO/JOANNA B CO-T</v>
      </c>
      <c r="T16543" t="str">
        <f>"MARSELLA STEFANO/JOANN B REV L"</f>
        <v>MARSELLA STEFANO/JOANN B REV L</v>
      </c>
    </row>
    <row r="16544" spans="1:20" x14ac:dyDescent="0.25">
      <c r="A16544" t="str">
        <f>"3050455"</f>
        <v>3050455</v>
      </c>
      <c r="B16544" t="s">
        <v>50654</v>
      </c>
      <c r="C16544" t="str">
        <f>"8317327"</f>
        <v>8317327</v>
      </c>
      <c r="D16544" t="s">
        <v>50655</v>
      </c>
      <c r="E16544" t="s">
        <v>50656</v>
      </c>
      <c r="F16544" t="s">
        <v>50657</v>
      </c>
      <c r="I16544" t="s">
        <v>184</v>
      </c>
      <c r="J16544" t="s">
        <v>30</v>
      </c>
      <c r="K16544" t="s">
        <v>40481</v>
      </c>
      <c r="M16544" t="s">
        <v>17861</v>
      </c>
      <c r="N16544" t="str">
        <f>"3/9/2022 3:29:00 PM"</f>
        <v>3/9/2022 3:29:00 PM</v>
      </c>
      <c r="O16544" t="s">
        <v>50655</v>
      </c>
      <c r="T16544" t="s">
        <v>50656</v>
      </c>
    </row>
    <row r="16545" spans="1:20" x14ac:dyDescent="0.25">
      <c r="A16545" t="str">
        <f>"3054700"</f>
        <v>3054700</v>
      </c>
      <c r="B16545" t="s">
        <v>50658</v>
      </c>
      <c r="C16545" t="str">
        <f>"8317328"</f>
        <v>8317328</v>
      </c>
      <c r="D16545" t="s">
        <v>50659</v>
      </c>
      <c r="E16545" t="s">
        <v>50660</v>
      </c>
      <c r="F16545" t="s">
        <v>50661</v>
      </c>
      <c r="I16545" t="s">
        <v>50662</v>
      </c>
      <c r="J16545" t="s">
        <v>30</v>
      </c>
      <c r="K16545" t="s">
        <v>50663</v>
      </c>
      <c r="M16545" t="s">
        <v>17861</v>
      </c>
      <c r="N16545" t="str">
        <f>"3/9/2022 3:36:00 PM"</f>
        <v>3/9/2022 3:36:00 PM</v>
      </c>
      <c r="O16545" t="s">
        <v>50659</v>
      </c>
      <c r="T16545" t="s">
        <v>50660</v>
      </c>
    </row>
    <row r="16546" spans="1:20" x14ac:dyDescent="0.25">
      <c r="A16546" t="str">
        <f>"3052440"</f>
        <v>3052440</v>
      </c>
      <c r="B16546" t="s">
        <v>50664</v>
      </c>
      <c r="C16546" t="str">
        <f>"8317329"</f>
        <v>8317329</v>
      </c>
      <c r="D16546" t="s">
        <v>50665</v>
      </c>
      <c r="F16546" t="s">
        <v>50666</v>
      </c>
      <c r="I16546" t="s">
        <v>29</v>
      </c>
      <c r="J16546" t="s">
        <v>30</v>
      </c>
      <c r="K16546" t="s">
        <v>39953</v>
      </c>
      <c r="M16546" t="s">
        <v>17861</v>
      </c>
      <c r="N16546" t="str">
        <f>"3/9/2022 3:39:00 PM"</f>
        <v>3/9/2022 3:39:00 PM</v>
      </c>
      <c r="O16546" t="s">
        <v>50665</v>
      </c>
    </row>
    <row r="16547" spans="1:20" x14ac:dyDescent="0.25">
      <c r="A16547" t="str">
        <f>"3037486"</f>
        <v>3037486</v>
      </c>
      <c r="B16547" t="s">
        <v>50667</v>
      </c>
      <c r="C16547" t="str">
        <f>"8317330"</f>
        <v>8317330</v>
      </c>
      <c r="D16547" t="s">
        <v>50668</v>
      </c>
      <c r="F16547" t="s">
        <v>50669</v>
      </c>
      <c r="I16547" t="s">
        <v>50670</v>
      </c>
      <c r="J16547" t="s">
        <v>20397</v>
      </c>
      <c r="K16547" t="s">
        <v>50671</v>
      </c>
      <c r="M16547" t="s">
        <v>17861</v>
      </c>
      <c r="N16547" t="str">
        <f>"3/9/2022 3:41:00 PM"</f>
        <v>3/9/2022 3:41:00 PM</v>
      </c>
      <c r="O16547" t="s">
        <v>50668</v>
      </c>
    </row>
    <row r="16548" spans="1:20" x14ac:dyDescent="0.25">
      <c r="A16548" t="str">
        <f>"3041313"</f>
        <v>3041313</v>
      </c>
      <c r="B16548" t="s">
        <v>50672</v>
      </c>
      <c r="C16548" t="str">
        <f>"8317331"</f>
        <v>8317331</v>
      </c>
      <c r="D16548" t="s">
        <v>50673</v>
      </c>
      <c r="F16548" t="s">
        <v>50674</v>
      </c>
      <c r="I16548" t="s">
        <v>2071</v>
      </c>
      <c r="J16548" t="s">
        <v>30</v>
      </c>
      <c r="K16548" t="s">
        <v>22460</v>
      </c>
      <c r="M16548" t="s">
        <v>17861</v>
      </c>
      <c r="N16548" t="str">
        <f>"3/9/2022 3:43:00 PM"</f>
        <v>3/9/2022 3:43:00 PM</v>
      </c>
      <c r="O16548" t="s">
        <v>50673</v>
      </c>
    </row>
    <row r="16549" spans="1:20" x14ac:dyDescent="0.25">
      <c r="A16549" t="str">
        <f>"3058008"</f>
        <v>3058008</v>
      </c>
      <c r="B16549" t="s">
        <v>50675</v>
      </c>
      <c r="C16549" t="str">
        <f>"82526752"</f>
        <v>82526752</v>
      </c>
      <c r="D16549" t="s">
        <v>50676</v>
      </c>
      <c r="F16549" t="s">
        <v>50677</v>
      </c>
      <c r="I16549" t="s">
        <v>184</v>
      </c>
      <c r="J16549" t="s">
        <v>30</v>
      </c>
      <c r="K16549" t="s">
        <v>185</v>
      </c>
      <c r="M16549" t="s">
        <v>33845</v>
      </c>
      <c r="N16549" t="str">
        <f>"3/8/2022 1:43:00 PM"</f>
        <v>3/8/2022 1:43:00 PM</v>
      </c>
      <c r="O16549" t="s">
        <v>50676</v>
      </c>
      <c r="T16549" t="s">
        <v>50676</v>
      </c>
    </row>
    <row r="16550" spans="1:20" x14ac:dyDescent="0.25">
      <c r="A16550" t="str">
        <f>"3059072"</f>
        <v>3059072</v>
      </c>
      <c r="B16550" t="s">
        <v>50678</v>
      </c>
      <c r="C16550" t="str">
        <f>"8317333"</f>
        <v>8317333</v>
      </c>
      <c r="D16550" t="s">
        <v>50679</v>
      </c>
      <c r="F16550" t="s">
        <v>50680</v>
      </c>
      <c r="I16550" t="s">
        <v>29</v>
      </c>
      <c r="J16550" t="s">
        <v>30</v>
      </c>
      <c r="K16550" t="str">
        <f>"27028"</f>
        <v>27028</v>
      </c>
      <c r="M16550" t="s">
        <v>17861</v>
      </c>
      <c r="N16550" t="str">
        <f>"3/9/2022 3:54:00 PM"</f>
        <v>3/9/2022 3:54:00 PM</v>
      </c>
      <c r="O16550" t="s">
        <v>50679</v>
      </c>
    </row>
    <row r="16551" spans="1:20" x14ac:dyDescent="0.25">
      <c r="A16551" t="str">
        <f>"3052077"</f>
        <v>3052077</v>
      </c>
      <c r="B16551" t="s">
        <v>50681</v>
      </c>
      <c r="C16551" t="str">
        <f>"8317334"</f>
        <v>8317334</v>
      </c>
      <c r="D16551" t="s">
        <v>50682</v>
      </c>
      <c r="F16551" t="s">
        <v>50683</v>
      </c>
      <c r="I16551" t="s">
        <v>29</v>
      </c>
      <c r="J16551" t="s">
        <v>30</v>
      </c>
      <c r="K16551" t="s">
        <v>50684</v>
      </c>
      <c r="M16551" t="s">
        <v>17861</v>
      </c>
      <c r="N16551" t="str">
        <f>"3/9/2022 3:56:00 PM"</f>
        <v>3/9/2022 3:56:00 PM</v>
      </c>
      <c r="O16551" t="s">
        <v>50682</v>
      </c>
    </row>
    <row r="16552" spans="1:20" x14ac:dyDescent="0.25">
      <c r="A16552" t="str">
        <f>"3061543"</f>
        <v>3061543</v>
      </c>
      <c r="B16552" t="s">
        <v>50685</v>
      </c>
      <c r="C16552" t="str">
        <f>"8317336"</f>
        <v>8317336</v>
      </c>
      <c r="D16552" t="s">
        <v>50686</v>
      </c>
      <c r="E16552" t="str">
        <f>"MOCK DEWEY C/INGRID R TRUSTEES"</f>
        <v>MOCK DEWEY C/INGRID R TRUSTEES</v>
      </c>
      <c r="F16552" t="s">
        <v>50687</v>
      </c>
      <c r="I16552" t="s">
        <v>184</v>
      </c>
      <c r="J16552" t="s">
        <v>30</v>
      </c>
      <c r="K16552" t="s">
        <v>25769</v>
      </c>
      <c r="M16552" t="s">
        <v>17861</v>
      </c>
      <c r="N16552" t="str">
        <f>"3/9/2022 4:14:00 PM"</f>
        <v>3/9/2022 4:14:00 PM</v>
      </c>
      <c r="O16552" t="s">
        <v>50686</v>
      </c>
      <c r="T16552" t="str">
        <f>"MOCK DEWEY C/INGRID R TRUSTEES"</f>
        <v>MOCK DEWEY C/INGRID R TRUSTEES</v>
      </c>
    </row>
    <row r="16553" spans="1:20" x14ac:dyDescent="0.25">
      <c r="A16553" t="str">
        <f>"3059314"</f>
        <v>3059314</v>
      </c>
      <c r="B16553" t="s">
        <v>50688</v>
      </c>
      <c r="C16553" t="str">
        <f>"82528965"</f>
        <v>82528965</v>
      </c>
      <c r="D16553" t="s">
        <v>50689</v>
      </c>
      <c r="F16553" t="s">
        <v>50690</v>
      </c>
      <c r="I16553" t="s">
        <v>29</v>
      </c>
      <c r="J16553" t="s">
        <v>30</v>
      </c>
      <c r="K16553" t="s">
        <v>31</v>
      </c>
      <c r="M16553" t="s">
        <v>50621</v>
      </c>
      <c r="N16553" t="str">
        <f>"3/9/2022 4:31:00 PM"</f>
        <v>3/9/2022 4:31:00 PM</v>
      </c>
      <c r="O16553" t="s">
        <v>50689</v>
      </c>
    </row>
    <row r="16554" spans="1:20" x14ac:dyDescent="0.25">
      <c r="A16554" t="str">
        <f>"3078980"</f>
        <v>3078980</v>
      </c>
      <c r="B16554" t="s">
        <v>50691</v>
      </c>
      <c r="C16554" t="str">
        <f>"8317337"</f>
        <v>8317337</v>
      </c>
      <c r="D16554" t="s">
        <v>50692</v>
      </c>
      <c r="F16554" t="s">
        <v>50693</v>
      </c>
      <c r="I16554" t="s">
        <v>29</v>
      </c>
      <c r="J16554" t="s">
        <v>30</v>
      </c>
      <c r="K16554" t="s">
        <v>15516</v>
      </c>
      <c r="M16554" t="s">
        <v>17861</v>
      </c>
      <c r="N16554" t="str">
        <f>"3/10/2022 9:40:00 AM"</f>
        <v>3/10/2022 9:40:00 AM</v>
      </c>
      <c r="O16554" t="s">
        <v>50692</v>
      </c>
    </row>
    <row r="16555" spans="1:20" x14ac:dyDescent="0.25">
      <c r="A16555" t="str">
        <f>"3054441"</f>
        <v>3054441</v>
      </c>
      <c r="B16555" t="s">
        <v>50694</v>
      </c>
      <c r="C16555" t="str">
        <f>"8317337"</f>
        <v>8317337</v>
      </c>
      <c r="D16555" t="s">
        <v>50692</v>
      </c>
      <c r="F16555" t="s">
        <v>50693</v>
      </c>
      <c r="I16555" t="s">
        <v>29</v>
      </c>
      <c r="J16555" t="s">
        <v>30</v>
      </c>
      <c r="K16555" t="s">
        <v>15516</v>
      </c>
      <c r="M16555" t="s">
        <v>17861</v>
      </c>
      <c r="N16555" t="str">
        <f>"3/10/2022 9:40:00 AM"</f>
        <v>3/10/2022 9:40:00 AM</v>
      </c>
      <c r="O16555" t="s">
        <v>50692</v>
      </c>
    </row>
    <row r="16556" spans="1:20" x14ac:dyDescent="0.25">
      <c r="A16556" t="str">
        <f>"3046994"</f>
        <v>3046994</v>
      </c>
      <c r="B16556" t="s">
        <v>50695</v>
      </c>
      <c r="C16556" t="str">
        <f>"8317339"</f>
        <v>8317339</v>
      </c>
      <c r="D16556" t="s">
        <v>50696</v>
      </c>
      <c r="F16556" t="s">
        <v>50697</v>
      </c>
      <c r="I16556" t="s">
        <v>29</v>
      </c>
      <c r="J16556" t="s">
        <v>30</v>
      </c>
      <c r="K16556" t="s">
        <v>50698</v>
      </c>
      <c r="M16556" t="s">
        <v>17861</v>
      </c>
      <c r="N16556" t="str">
        <f>"3/10/2022 9:46:00 AM"</f>
        <v>3/10/2022 9:46:00 AM</v>
      </c>
      <c r="O16556" t="s">
        <v>50696</v>
      </c>
    </row>
    <row r="16557" spans="1:20" x14ac:dyDescent="0.25">
      <c r="A16557" t="str">
        <f>"3051443"</f>
        <v>3051443</v>
      </c>
      <c r="B16557" t="s">
        <v>50699</v>
      </c>
      <c r="C16557" t="str">
        <f>"82521962"</f>
        <v>82521962</v>
      </c>
      <c r="D16557" t="s">
        <v>50700</v>
      </c>
      <c r="E16557" t="s">
        <v>50701</v>
      </c>
      <c r="F16557" t="s">
        <v>50702</v>
      </c>
      <c r="I16557" t="s">
        <v>29</v>
      </c>
      <c r="J16557" t="s">
        <v>30</v>
      </c>
      <c r="K16557" t="s">
        <v>28391</v>
      </c>
      <c r="M16557" t="s">
        <v>36935</v>
      </c>
      <c r="N16557" t="str">
        <f>"3/10/2022 1:41:00 PM"</f>
        <v>3/10/2022 1:41:00 PM</v>
      </c>
      <c r="O16557" t="s">
        <v>50700</v>
      </c>
      <c r="T16557" t="s">
        <v>50701</v>
      </c>
    </row>
    <row r="16558" spans="1:20" x14ac:dyDescent="0.25">
      <c r="A16558" t="str">
        <f>"3047442"</f>
        <v>3047442</v>
      </c>
      <c r="B16558" t="s">
        <v>50703</v>
      </c>
      <c r="C16558" t="str">
        <f>"33340000"</f>
        <v>33340000</v>
      </c>
      <c r="D16558" t="s">
        <v>50704</v>
      </c>
      <c r="E16558" t="s">
        <v>50705</v>
      </c>
      <c r="F16558" t="s">
        <v>50706</v>
      </c>
      <c r="I16558" t="s">
        <v>184</v>
      </c>
      <c r="J16558" t="s">
        <v>30</v>
      </c>
      <c r="K16558" t="s">
        <v>185</v>
      </c>
      <c r="M16558" t="s">
        <v>33845</v>
      </c>
      <c r="N16558" t="str">
        <f>"3/8/2022 3:49:00 PM"</f>
        <v>3/8/2022 3:49:00 PM</v>
      </c>
      <c r="O16558" t="s">
        <v>50704</v>
      </c>
      <c r="T16558" t="s">
        <v>50705</v>
      </c>
    </row>
    <row r="16559" spans="1:20" x14ac:dyDescent="0.25">
      <c r="A16559" t="str">
        <f>"3042118"</f>
        <v>3042118</v>
      </c>
      <c r="B16559" t="s">
        <v>50707</v>
      </c>
      <c r="C16559" t="str">
        <f>"33340000"</f>
        <v>33340000</v>
      </c>
      <c r="D16559" t="s">
        <v>50704</v>
      </c>
      <c r="E16559" t="s">
        <v>50705</v>
      </c>
      <c r="F16559" t="s">
        <v>50706</v>
      </c>
      <c r="I16559" t="s">
        <v>184</v>
      </c>
      <c r="J16559" t="s">
        <v>30</v>
      </c>
      <c r="K16559" t="s">
        <v>185</v>
      </c>
      <c r="M16559" t="s">
        <v>33845</v>
      </c>
      <c r="N16559" t="str">
        <f>"3/8/2022 3:49:00 PM"</f>
        <v>3/8/2022 3:49:00 PM</v>
      </c>
      <c r="O16559" t="s">
        <v>50704</v>
      </c>
      <c r="T16559" t="s">
        <v>50705</v>
      </c>
    </row>
    <row r="16560" spans="1:20" x14ac:dyDescent="0.25">
      <c r="A16560" t="str">
        <f>"3063907"</f>
        <v>3063907</v>
      </c>
      <c r="B16560" t="s">
        <v>50708</v>
      </c>
      <c r="C16560" t="str">
        <f>"33340000"</f>
        <v>33340000</v>
      </c>
      <c r="D16560" t="s">
        <v>50704</v>
      </c>
      <c r="E16560" t="s">
        <v>50705</v>
      </c>
      <c r="F16560" t="s">
        <v>50706</v>
      </c>
      <c r="I16560" t="s">
        <v>184</v>
      </c>
      <c r="J16560" t="s">
        <v>30</v>
      </c>
      <c r="K16560" t="s">
        <v>185</v>
      </c>
      <c r="M16560" t="s">
        <v>33845</v>
      </c>
      <c r="N16560" t="str">
        <f>"3/8/2022 3:49:00 PM"</f>
        <v>3/8/2022 3:49:00 PM</v>
      </c>
      <c r="O16560" t="s">
        <v>50704</v>
      </c>
      <c r="T16560" t="s">
        <v>50705</v>
      </c>
    </row>
    <row r="16561" spans="1:20" x14ac:dyDescent="0.25">
      <c r="A16561" t="str">
        <f>"3066336"</f>
        <v>3066336</v>
      </c>
      <c r="B16561" t="s">
        <v>50709</v>
      </c>
      <c r="C16561" t="str">
        <f>"8310650"</f>
        <v>8310650</v>
      </c>
      <c r="D16561" t="s">
        <v>50710</v>
      </c>
      <c r="E16561" t="s">
        <v>50711</v>
      </c>
      <c r="F16561" t="s">
        <v>50712</v>
      </c>
      <c r="I16561" t="s">
        <v>184</v>
      </c>
      <c r="J16561" t="s">
        <v>30</v>
      </c>
      <c r="K16561" t="s">
        <v>5057</v>
      </c>
      <c r="M16561" t="s">
        <v>33845</v>
      </c>
      <c r="N16561" t="str">
        <f>"3/8/2022 4:02:00 PM"</f>
        <v>3/8/2022 4:02:00 PM</v>
      </c>
      <c r="O16561" t="s">
        <v>50710</v>
      </c>
      <c r="T16561" t="s">
        <v>50711</v>
      </c>
    </row>
    <row r="16562" spans="1:20" x14ac:dyDescent="0.25">
      <c r="A16562" t="str">
        <f>"3044432"</f>
        <v>3044432</v>
      </c>
      <c r="B16562" t="s">
        <v>50713</v>
      </c>
      <c r="C16562" t="str">
        <f>"8317277"</f>
        <v>8317277</v>
      </c>
      <c r="D16562" t="s">
        <v>50714</v>
      </c>
      <c r="F16562" t="s">
        <v>50715</v>
      </c>
      <c r="I16562" t="s">
        <v>184</v>
      </c>
      <c r="J16562" t="s">
        <v>30</v>
      </c>
      <c r="K16562" t="s">
        <v>37974</v>
      </c>
      <c r="M16562" t="s">
        <v>17861</v>
      </c>
      <c r="N16562" t="str">
        <f>"3/1/2022 3:20:00 PM"</f>
        <v>3/1/2022 3:20:00 PM</v>
      </c>
      <c r="O16562" t="s">
        <v>50714</v>
      </c>
    </row>
    <row r="16563" spans="1:20" x14ac:dyDescent="0.25">
      <c r="A16563" t="str">
        <f>"3063709"</f>
        <v>3063709</v>
      </c>
      <c r="B16563" t="s">
        <v>50716</v>
      </c>
      <c r="C16563" t="str">
        <f>"8317279"</f>
        <v>8317279</v>
      </c>
      <c r="D16563" t="s">
        <v>50717</v>
      </c>
      <c r="E16563" t="s">
        <v>50718</v>
      </c>
      <c r="F16563" t="s">
        <v>50719</v>
      </c>
      <c r="I16563" t="s">
        <v>29</v>
      </c>
      <c r="J16563" t="s">
        <v>30</v>
      </c>
      <c r="K16563" t="s">
        <v>47978</v>
      </c>
      <c r="M16563" t="s">
        <v>17861</v>
      </c>
      <c r="N16563" t="str">
        <f>"3/1/2022 3:36:00 PM"</f>
        <v>3/1/2022 3:36:00 PM</v>
      </c>
      <c r="O16563" t="s">
        <v>50717</v>
      </c>
      <c r="T16563" t="s">
        <v>50718</v>
      </c>
    </row>
    <row r="16564" spans="1:20" x14ac:dyDescent="0.25">
      <c r="A16564" t="str">
        <f>"3041749"</f>
        <v>3041749</v>
      </c>
      <c r="B16564" t="s">
        <v>50720</v>
      </c>
      <c r="C16564" t="str">
        <f>"8317281"</f>
        <v>8317281</v>
      </c>
      <c r="D16564" t="s">
        <v>50721</v>
      </c>
      <c r="F16564" t="s">
        <v>50722</v>
      </c>
      <c r="I16564" t="s">
        <v>2071</v>
      </c>
      <c r="J16564" t="s">
        <v>30</v>
      </c>
      <c r="K16564" t="s">
        <v>36605</v>
      </c>
      <c r="M16564" t="s">
        <v>17861</v>
      </c>
      <c r="N16564" t="str">
        <f>"3/1/2022 3:44:00 PM"</f>
        <v>3/1/2022 3:44:00 PM</v>
      </c>
      <c r="O16564" t="s">
        <v>50721</v>
      </c>
    </row>
    <row r="16565" spans="1:20" x14ac:dyDescent="0.25">
      <c r="A16565" t="str">
        <f>"3068539"</f>
        <v>3068539</v>
      </c>
      <c r="B16565" t="s">
        <v>50723</v>
      </c>
      <c r="C16565" t="str">
        <f>"8317282"</f>
        <v>8317282</v>
      </c>
      <c r="D16565" t="s">
        <v>50724</v>
      </c>
      <c r="E16565" t="s">
        <v>50725</v>
      </c>
      <c r="F16565" t="s">
        <v>50726</v>
      </c>
      <c r="I16565" t="s">
        <v>29</v>
      </c>
      <c r="J16565" t="s">
        <v>30</v>
      </c>
      <c r="K16565" t="s">
        <v>50727</v>
      </c>
      <c r="M16565" t="s">
        <v>17861</v>
      </c>
      <c r="N16565" t="str">
        <f>"3/1/2022 3:51:00 PM"</f>
        <v>3/1/2022 3:51:00 PM</v>
      </c>
      <c r="O16565" t="s">
        <v>50724</v>
      </c>
      <c r="T16565" t="s">
        <v>50725</v>
      </c>
    </row>
    <row r="16566" spans="1:20" x14ac:dyDescent="0.25">
      <c r="A16566" t="str">
        <f>"3038201"</f>
        <v>3038201</v>
      </c>
      <c r="B16566" t="s">
        <v>50728</v>
      </c>
      <c r="C16566" t="str">
        <f>"8317308"</f>
        <v>8317308</v>
      </c>
      <c r="D16566" t="s">
        <v>50729</v>
      </c>
      <c r="E16566" t="s">
        <v>50730</v>
      </c>
      <c r="F16566" t="s">
        <v>50731</v>
      </c>
      <c r="I16566" t="s">
        <v>10172</v>
      </c>
      <c r="J16566" t="s">
        <v>30</v>
      </c>
      <c r="K16566" t="s">
        <v>50732</v>
      </c>
      <c r="M16566" t="s">
        <v>17861</v>
      </c>
      <c r="N16566" t="str">
        <f>"3/9/2022 11:00:00 AM"</f>
        <v>3/9/2022 11:00:00 AM</v>
      </c>
      <c r="O16566" t="s">
        <v>50729</v>
      </c>
      <c r="T16566" t="s">
        <v>50730</v>
      </c>
    </row>
    <row r="16567" spans="1:20" x14ac:dyDescent="0.25">
      <c r="A16567" t="str">
        <f>"3072259"</f>
        <v>3072259</v>
      </c>
      <c r="B16567" t="s">
        <v>50733</v>
      </c>
      <c r="C16567" t="str">
        <f>"8317310"</f>
        <v>8317310</v>
      </c>
      <c r="D16567" t="s">
        <v>50734</v>
      </c>
      <c r="E16567" t="s">
        <v>50735</v>
      </c>
      <c r="F16567" t="s">
        <v>50736</v>
      </c>
      <c r="G16567" t="s">
        <v>50737</v>
      </c>
      <c r="I16567" t="s">
        <v>50738</v>
      </c>
      <c r="J16567" t="s">
        <v>12725</v>
      </c>
      <c r="K16567" t="s">
        <v>50739</v>
      </c>
      <c r="M16567" t="s">
        <v>17861</v>
      </c>
      <c r="N16567" t="str">
        <f>"3/9/2022 11:23:00 AM"</f>
        <v>3/9/2022 11:23:00 AM</v>
      </c>
      <c r="O16567" t="s">
        <v>50734</v>
      </c>
      <c r="T16567" t="s">
        <v>50735</v>
      </c>
    </row>
    <row r="16568" spans="1:20" x14ac:dyDescent="0.25">
      <c r="A16568" t="str">
        <f>"3055178"</f>
        <v>3055178</v>
      </c>
      <c r="B16568" t="s">
        <v>50740</v>
      </c>
      <c r="C16568" t="str">
        <f>"8317276"</f>
        <v>8317276</v>
      </c>
      <c r="D16568" t="s">
        <v>50741</v>
      </c>
      <c r="F16568" t="s">
        <v>50742</v>
      </c>
      <c r="I16568" t="s">
        <v>29</v>
      </c>
      <c r="J16568" t="s">
        <v>30</v>
      </c>
      <c r="K16568" t="s">
        <v>20248</v>
      </c>
      <c r="M16568" t="s">
        <v>18479</v>
      </c>
      <c r="N16568" t="str">
        <f>"3/9/2022 11:24:00 AM"</f>
        <v>3/9/2022 11:24:00 AM</v>
      </c>
      <c r="O16568" t="s">
        <v>50741</v>
      </c>
    </row>
    <row r="16569" spans="1:20" x14ac:dyDescent="0.25">
      <c r="A16569" t="str">
        <f>"3057788"</f>
        <v>3057788</v>
      </c>
      <c r="B16569" t="s">
        <v>50743</v>
      </c>
      <c r="C16569" t="str">
        <f>"82514653"</f>
        <v>82514653</v>
      </c>
      <c r="D16569" t="s">
        <v>50744</v>
      </c>
      <c r="E16569" t="s">
        <v>50745</v>
      </c>
      <c r="F16569" t="s">
        <v>50746</v>
      </c>
      <c r="I16569" t="s">
        <v>29</v>
      </c>
      <c r="J16569" t="s">
        <v>30</v>
      </c>
      <c r="K16569" t="s">
        <v>31</v>
      </c>
      <c r="M16569" t="s">
        <v>50621</v>
      </c>
      <c r="N16569" t="str">
        <f>"3/9/2022 11:50:00 AM"</f>
        <v>3/9/2022 11:50:00 AM</v>
      </c>
      <c r="O16569" t="s">
        <v>50744</v>
      </c>
      <c r="T16569" t="s">
        <v>50745</v>
      </c>
    </row>
    <row r="16570" spans="1:20" x14ac:dyDescent="0.25">
      <c r="A16570" t="str">
        <f>"3049700"</f>
        <v>3049700</v>
      </c>
      <c r="B16570" t="s">
        <v>50747</v>
      </c>
      <c r="C16570" t="str">
        <f>"8317316"</f>
        <v>8317316</v>
      </c>
      <c r="D16570" t="s">
        <v>50623</v>
      </c>
      <c r="F16570" t="s">
        <v>39282</v>
      </c>
      <c r="G16570" t="s">
        <v>3782</v>
      </c>
      <c r="I16570" t="s">
        <v>2071</v>
      </c>
      <c r="J16570" t="s">
        <v>30</v>
      </c>
      <c r="K16570" t="s">
        <v>39283</v>
      </c>
      <c r="M16570" t="s">
        <v>17861</v>
      </c>
      <c r="N16570" t="str">
        <f>"3/9/2022 2:19:00 PM"</f>
        <v>3/9/2022 2:19:00 PM</v>
      </c>
      <c r="O16570" t="s">
        <v>50623</v>
      </c>
    </row>
    <row r="16571" spans="1:20" x14ac:dyDescent="0.25">
      <c r="A16571" t="str">
        <f>"3046657"</f>
        <v>3046657</v>
      </c>
      <c r="B16571" t="s">
        <v>50748</v>
      </c>
      <c r="C16571" t="str">
        <f>"8317332"</f>
        <v>8317332</v>
      </c>
      <c r="D16571" t="s">
        <v>50749</v>
      </c>
      <c r="E16571" t="s">
        <v>50750</v>
      </c>
      <c r="F16571" t="s">
        <v>50751</v>
      </c>
      <c r="I16571" t="s">
        <v>29</v>
      </c>
      <c r="J16571" t="s">
        <v>30</v>
      </c>
      <c r="K16571" t="s">
        <v>36256</v>
      </c>
      <c r="M16571" t="s">
        <v>17861</v>
      </c>
      <c r="N16571" t="str">
        <f>"3/9/2022 3:52:00 PM"</f>
        <v>3/9/2022 3:52:00 PM</v>
      </c>
      <c r="O16571" t="s">
        <v>50749</v>
      </c>
      <c r="T16571" t="s">
        <v>50750</v>
      </c>
    </row>
    <row r="16572" spans="1:20" x14ac:dyDescent="0.25">
      <c r="A16572" t="str">
        <f>"3055297"</f>
        <v>3055297</v>
      </c>
      <c r="B16572" t="s">
        <v>50752</v>
      </c>
      <c r="C16572" t="str">
        <f>"8316432"</f>
        <v>8316432</v>
      </c>
      <c r="D16572" t="s">
        <v>32862</v>
      </c>
      <c r="E16572" t="s">
        <v>32863</v>
      </c>
      <c r="F16572" t="s">
        <v>32864</v>
      </c>
      <c r="I16572" t="s">
        <v>29</v>
      </c>
      <c r="J16572" t="s">
        <v>30</v>
      </c>
      <c r="K16572" t="str">
        <f>"27028"</f>
        <v>27028</v>
      </c>
      <c r="M16572" t="s">
        <v>18470</v>
      </c>
      <c r="N16572" t="str">
        <f>"3/7/2022 12:13:00 PM"</f>
        <v>3/7/2022 12:13:00 PM</v>
      </c>
      <c r="O16572" t="s">
        <v>32862</v>
      </c>
      <c r="T16572" t="s">
        <v>32863</v>
      </c>
    </row>
    <row r="16573" spans="1:20" x14ac:dyDescent="0.25">
      <c r="A16573" t="str">
        <f>"3042663"</f>
        <v>3042663</v>
      </c>
      <c r="B16573" t="s">
        <v>50753</v>
      </c>
      <c r="C16573" t="str">
        <f>"52612000"</f>
        <v>52612000</v>
      </c>
      <c r="D16573" t="s">
        <v>50754</v>
      </c>
      <c r="E16573" t="s">
        <v>50755</v>
      </c>
      <c r="F16573" t="s">
        <v>50756</v>
      </c>
      <c r="I16573" t="s">
        <v>1149</v>
      </c>
      <c r="J16573" t="s">
        <v>30</v>
      </c>
      <c r="K16573" t="s">
        <v>50757</v>
      </c>
      <c r="M16573" t="s">
        <v>50621</v>
      </c>
      <c r="N16573" t="str">
        <f>"3/14/2022 9:37:00 AM"</f>
        <v>3/14/2022 9:37:00 AM</v>
      </c>
      <c r="O16573" t="s">
        <v>50754</v>
      </c>
      <c r="T16573" t="s">
        <v>50755</v>
      </c>
    </row>
    <row r="16574" spans="1:20" x14ac:dyDescent="0.25">
      <c r="A16574" t="str">
        <f>"3067412"</f>
        <v>3067412</v>
      </c>
      <c r="B16574" t="s">
        <v>50758</v>
      </c>
      <c r="C16574" t="str">
        <f>"52612000"</f>
        <v>52612000</v>
      </c>
      <c r="D16574" t="s">
        <v>50754</v>
      </c>
      <c r="E16574" t="s">
        <v>50755</v>
      </c>
      <c r="F16574" t="s">
        <v>50756</v>
      </c>
      <c r="I16574" t="s">
        <v>1149</v>
      </c>
      <c r="J16574" t="s">
        <v>30</v>
      </c>
      <c r="K16574" t="s">
        <v>50757</v>
      </c>
      <c r="M16574" t="s">
        <v>50621</v>
      </c>
      <c r="N16574" t="str">
        <f>"3/14/2022 9:37:00 AM"</f>
        <v>3/14/2022 9:37:00 AM</v>
      </c>
      <c r="O16574" t="s">
        <v>50754</v>
      </c>
      <c r="T16574" t="s">
        <v>50755</v>
      </c>
    </row>
    <row r="16575" spans="1:20" x14ac:dyDescent="0.25">
      <c r="A16575" t="str">
        <f>"3050980"</f>
        <v>3050980</v>
      </c>
      <c r="B16575" t="s">
        <v>50759</v>
      </c>
      <c r="C16575" t="str">
        <f>"8313851"</f>
        <v>8313851</v>
      </c>
      <c r="D16575" t="s">
        <v>50760</v>
      </c>
      <c r="F16575" t="s">
        <v>50761</v>
      </c>
      <c r="I16575" t="s">
        <v>184</v>
      </c>
      <c r="J16575" t="s">
        <v>30</v>
      </c>
      <c r="K16575" t="str">
        <f>"27006"</f>
        <v>27006</v>
      </c>
      <c r="M16575" t="s">
        <v>18470</v>
      </c>
      <c r="N16575" t="str">
        <f>"3/7/2022 1:46:00 PM"</f>
        <v>3/7/2022 1:46:00 PM</v>
      </c>
      <c r="O16575" t="s">
        <v>50760</v>
      </c>
    </row>
    <row r="16576" spans="1:20" x14ac:dyDescent="0.25">
      <c r="A16576" t="str">
        <f>"3054060"</f>
        <v>3054060</v>
      </c>
      <c r="B16576" t="s">
        <v>50762</v>
      </c>
      <c r="C16576" t="str">
        <f>"8317307"</f>
        <v>8317307</v>
      </c>
      <c r="D16576" t="s">
        <v>50763</v>
      </c>
      <c r="F16576" t="s">
        <v>50764</v>
      </c>
      <c r="I16576" t="s">
        <v>29</v>
      </c>
      <c r="J16576" t="s">
        <v>30</v>
      </c>
      <c r="K16576" t="s">
        <v>15867</v>
      </c>
      <c r="M16576" t="s">
        <v>17861</v>
      </c>
      <c r="N16576" t="str">
        <f>"3/7/2022 3:04:00 PM"</f>
        <v>3/7/2022 3:04:00 PM</v>
      </c>
      <c r="O16576" t="s">
        <v>50763</v>
      </c>
    </row>
    <row r="16577" spans="1:20" x14ac:dyDescent="0.25">
      <c r="A16577" t="str">
        <f>"3059325"</f>
        <v>3059325</v>
      </c>
      <c r="B16577" t="s">
        <v>50765</v>
      </c>
      <c r="C16577" t="str">
        <f>"8317003"</f>
        <v>8317003</v>
      </c>
      <c r="D16577" t="s">
        <v>44650</v>
      </c>
      <c r="E16577" t="s">
        <v>50766</v>
      </c>
      <c r="F16577" t="s">
        <v>44652</v>
      </c>
      <c r="I16577" t="s">
        <v>29</v>
      </c>
      <c r="J16577" t="s">
        <v>30</v>
      </c>
      <c r="K16577" t="str">
        <f>"27028"</f>
        <v>27028</v>
      </c>
      <c r="M16577" t="s">
        <v>18470</v>
      </c>
      <c r="N16577" t="str">
        <f>"3/8/2022 11:43:00 AM"</f>
        <v>3/8/2022 11:43:00 AM</v>
      </c>
      <c r="O16577" t="s">
        <v>44650</v>
      </c>
      <c r="T16577" t="s">
        <v>50766</v>
      </c>
    </row>
    <row r="16578" spans="1:20" x14ac:dyDescent="0.25">
      <c r="A16578" t="str">
        <f>"3052970"</f>
        <v>3052970</v>
      </c>
      <c r="B16578" t="s">
        <v>50767</v>
      </c>
      <c r="C16578" t="str">
        <f>"82524723"</f>
        <v>82524723</v>
      </c>
      <c r="D16578" t="s">
        <v>50768</v>
      </c>
      <c r="F16578" t="s">
        <v>50769</v>
      </c>
      <c r="I16578" t="s">
        <v>7917</v>
      </c>
      <c r="J16578" t="s">
        <v>30</v>
      </c>
      <c r="K16578" t="s">
        <v>50770</v>
      </c>
      <c r="M16578" t="s">
        <v>17861</v>
      </c>
      <c r="N16578" t="str">
        <f>"3/14/2022 1:09:00 PM"</f>
        <v>3/14/2022 1:09:00 PM</v>
      </c>
      <c r="O16578" t="s">
        <v>50768</v>
      </c>
    </row>
    <row r="16579" spans="1:20" x14ac:dyDescent="0.25">
      <c r="A16579" t="str">
        <f>"3052706"</f>
        <v>3052706</v>
      </c>
      <c r="B16579" t="s">
        <v>50771</v>
      </c>
      <c r="C16579" t="str">
        <f>"82524723"</f>
        <v>82524723</v>
      </c>
      <c r="D16579" t="s">
        <v>50768</v>
      </c>
      <c r="F16579" t="s">
        <v>50769</v>
      </c>
      <c r="I16579" t="s">
        <v>7917</v>
      </c>
      <c r="J16579" t="s">
        <v>30</v>
      </c>
      <c r="K16579" t="s">
        <v>50770</v>
      </c>
      <c r="M16579" t="s">
        <v>17861</v>
      </c>
      <c r="N16579" t="str">
        <f>"3/14/2022 1:09:00 PM"</f>
        <v>3/14/2022 1:09:00 PM</v>
      </c>
      <c r="O16579" t="s">
        <v>50768</v>
      </c>
    </row>
    <row r="16580" spans="1:20" x14ac:dyDescent="0.25">
      <c r="A16580" t="str">
        <f>"3052399"</f>
        <v>3052399</v>
      </c>
      <c r="B16580" t="s">
        <v>50772</v>
      </c>
      <c r="C16580" t="str">
        <f>"82524723"</f>
        <v>82524723</v>
      </c>
      <c r="D16580" t="s">
        <v>50768</v>
      </c>
      <c r="F16580" t="s">
        <v>50769</v>
      </c>
      <c r="I16580" t="s">
        <v>7917</v>
      </c>
      <c r="J16580" t="s">
        <v>30</v>
      </c>
      <c r="K16580" t="s">
        <v>50770</v>
      </c>
      <c r="M16580" t="s">
        <v>17861</v>
      </c>
      <c r="N16580" t="str">
        <f>"3/14/2022 1:09:00 PM"</f>
        <v>3/14/2022 1:09:00 PM</v>
      </c>
      <c r="O16580" t="s">
        <v>50768</v>
      </c>
    </row>
    <row r="16581" spans="1:20" x14ac:dyDescent="0.25">
      <c r="A16581" t="str">
        <f>"3046352"</f>
        <v>3046352</v>
      </c>
      <c r="B16581" t="s">
        <v>50773</v>
      </c>
      <c r="C16581" t="str">
        <f>"8317362"</f>
        <v>8317362</v>
      </c>
      <c r="D16581" t="s">
        <v>50774</v>
      </c>
      <c r="E16581" t="s">
        <v>50775</v>
      </c>
      <c r="F16581" t="s">
        <v>50776</v>
      </c>
      <c r="I16581" t="s">
        <v>29</v>
      </c>
      <c r="J16581" t="s">
        <v>30</v>
      </c>
      <c r="K16581" t="s">
        <v>8224</v>
      </c>
      <c r="M16581" t="s">
        <v>17861</v>
      </c>
      <c r="N16581" t="str">
        <f>"3/14/2022 3:19:00 PM"</f>
        <v>3/14/2022 3:19:00 PM</v>
      </c>
      <c r="O16581" t="s">
        <v>50774</v>
      </c>
      <c r="T16581" t="s">
        <v>50775</v>
      </c>
    </row>
    <row r="16582" spans="1:20" x14ac:dyDescent="0.25">
      <c r="A16582" t="str">
        <f>"3058648"</f>
        <v>3058648</v>
      </c>
      <c r="B16582" t="s">
        <v>50777</v>
      </c>
      <c r="C16582" t="str">
        <f>"8307426"</f>
        <v>8307426</v>
      </c>
      <c r="D16582" t="s">
        <v>50778</v>
      </c>
      <c r="F16582" t="s">
        <v>50779</v>
      </c>
      <c r="I16582" t="s">
        <v>50780</v>
      </c>
      <c r="J16582" t="s">
        <v>30</v>
      </c>
      <c r="K16582" t="str">
        <f>"28125"</f>
        <v>28125</v>
      </c>
      <c r="M16582" t="s">
        <v>50621</v>
      </c>
      <c r="N16582" t="str">
        <f>"3/11/2022 9:50:00 AM"</f>
        <v>3/11/2022 9:50:00 AM</v>
      </c>
      <c r="O16582" t="s">
        <v>50778</v>
      </c>
    </row>
    <row r="16583" spans="1:20" x14ac:dyDescent="0.25">
      <c r="A16583" t="str">
        <f>"3057574"</f>
        <v>3057574</v>
      </c>
      <c r="B16583" t="s">
        <v>50781</v>
      </c>
      <c r="C16583" t="str">
        <f>"8317366"</f>
        <v>8317366</v>
      </c>
      <c r="D16583" t="s">
        <v>50782</v>
      </c>
      <c r="E16583" t="s">
        <v>50783</v>
      </c>
      <c r="F16583" t="s">
        <v>50784</v>
      </c>
      <c r="I16583" t="s">
        <v>29</v>
      </c>
      <c r="J16583" t="s">
        <v>30</v>
      </c>
      <c r="K16583" t="s">
        <v>10042</v>
      </c>
      <c r="M16583" t="s">
        <v>17861</v>
      </c>
      <c r="N16583" t="str">
        <f>"3/14/2022 4:19:00 PM"</f>
        <v>3/14/2022 4:19:00 PM</v>
      </c>
      <c r="O16583" t="s">
        <v>50782</v>
      </c>
      <c r="T16583" t="s">
        <v>50783</v>
      </c>
    </row>
    <row r="16584" spans="1:20" x14ac:dyDescent="0.25">
      <c r="A16584" t="str">
        <f>"3056116"</f>
        <v>3056116</v>
      </c>
      <c r="B16584" t="s">
        <v>50785</v>
      </c>
      <c r="C16584" t="str">
        <f>"8317367"</f>
        <v>8317367</v>
      </c>
      <c r="D16584" t="s">
        <v>50786</v>
      </c>
      <c r="F16584" t="s">
        <v>50787</v>
      </c>
      <c r="I16584" t="s">
        <v>964</v>
      </c>
      <c r="J16584" t="s">
        <v>30</v>
      </c>
      <c r="K16584" t="s">
        <v>50788</v>
      </c>
      <c r="M16584" t="s">
        <v>17861</v>
      </c>
      <c r="N16584" t="str">
        <f>"3/14/2022 4:24:00 PM"</f>
        <v>3/14/2022 4:24:00 PM</v>
      </c>
      <c r="O16584" t="s">
        <v>50786</v>
      </c>
    </row>
    <row r="16585" spans="1:20" x14ac:dyDescent="0.25">
      <c r="A16585" t="str">
        <f>"3076898"</f>
        <v>3076898</v>
      </c>
      <c r="B16585" t="s">
        <v>50789</v>
      </c>
      <c r="C16585" t="str">
        <f>"8309173"</f>
        <v>8309173</v>
      </c>
      <c r="D16585" t="s">
        <v>50790</v>
      </c>
      <c r="F16585" t="s">
        <v>50791</v>
      </c>
      <c r="I16585" t="s">
        <v>184</v>
      </c>
      <c r="J16585" t="s">
        <v>30</v>
      </c>
      <c r="K16585" t="s">
        <v>50792</v>
      </c>
      <c r="M16585" t="s">
        <v>50793</v>
      </c>
      <c r="N16585" t="str">
        <f>"3/15/2022 8:18:00 AM"</f>
        <v>3/15/2022 8:18:00 AM</v>
      </c>
      <c r="O16585" t="s">
        <v>50790</v>
      </c>
    </row>
    <row r="16586" spans="1:20" x14ac:dyDescent="0.25">
      <c r="A16586" t="str">
        <f>"3076899"</f>
        <v>3076899</v>
      </c>
      <c r="B16586" t="s">
        <v>50794</v>
      </c>
      <c r="C16586" t="str">
        <f>"8309173"</f>
        <v>8309173</v>
      </c>
      <c r="D16586" t="s">
        <v>50790</v>
      </c>
      <c r="F16586" t="s">
        <v>50791</v>
      </c>
      <c r="I16586" t="s">
        <v>184</v>
      </c>
      <c r="J16586" t="s">
        <v>30</v>
      </c>
      <c r="K16586" t="s">
        <v>50792</v>
      </c>
      <c r="M16586" t="s">
        <v>50793</v>
      </c>
      <c r="N16586" t="str">
        <f>"3/15/2022 8:18:00 AM"</f>
        <v>3/15/2022 8:18:00 AM</v>
      </c>
      <c r="O16586" t="s">
        <v>50790</v>
      </c>
    </row>
    <row r="16587" spans="1:20" x14ac:dyDescent="0.25">
      <c r="A16587" t="str">
        <f>"3041752"</f>
        <v>3041752</v>
      </c>
      <c r="B16587" t="s">
        <v>50795</v>
      </c>
      <c r="C16587" t="str">
        <f>"8317369"</f>
        <v>8317369</v>
      </c>
      <c r="D16587" t="str">
        <f>"BRUTON JAMES M/JENNIFER J"</f>
        <v>BRUTON JAMES M/JENNIFER J</v>
      </c>
      <c r="E16587" t="s">
        <v>50796</v>
      </c>
      <c r="F16587" t="s">
        <v>50797</v>
      </c>
      <c r="I16587" t="s">
        <v>184</v>
      </c>
      <c r="J16587" t="s">
        <v>30</v>
      </c>
      <c r="K16587" t="s">
        <v>3973</v>
      </c>
      <c r="M16587" t="s">
        <v>17861</v>
      </c>
      <c r="N16587" t="str">
        <f>"3/15/2022 8:54:00 AM"</f>
        <v>3/15/2022 8:54:00 AM</v>
      </c>
      <c r="O16587" t="str">
        <f>"BRUTON JAMES M/JENNIFER J"</f>
        <v>BRUTON JAMES M/JENNIFER J</v>
      </c>
      <c r="T16587" t="s">
        <v>50796</v>
      </c>
    </row>
    <row r="16588" spans="1:20" x14ac:dyDescent="0.25">
      <c r="A16588" t="str">
        <f>"3043727"</f>
        <v>3043727</v>
      </c>
      <c r="B16588" t="s">
        <v>50798</v>
      </c>
      <c r="C16588" t="str">
        <f>"82528472"</f>
        <v>82528472</v>
      </c>
      <c r="D16588" t="s">
        <v>50799</v>
      </c>
      <c r="E16588" t="s">
        <v>50800</v>
      </c>
      <c r="F16588" t="s">
        <v>50801</v>
      </c>
      <c r="I16588" t="s">
        <v>29</v>
      </c>
      <c r="J16588" t="s">
        <v>30</v>
      </c>
      <c r="K16588" t="s">
        <v>50802</v>
      </c>
      <c r="M16588" t="s">
        <v>50621</v>
      </c>
      <c r="N16588" t="str">
        <f>"3/11/2022 12:06:00 PM"</f>
        <v>3/11/2022 12:06:00 PM</v>
      </c>
      <c r="O16588" t="s">
        <v>50799</v>
      </c>
      <c r="T16588" t="s">
        <v>50800</v>
      </c>
    </row>
    <row r="16589" spans="1:20" x14ac:dyDescent="0.25">
      <c r="A16589" t="str">
        <f>"3060439"</f>
        <v>3060439</v>
      </c>
      <c r="B16589" t="s">
        <v>50803</v>
      </c>
      <c r="C16589" t="str">
        <f>"8317372"</f>
        <v>8317372</v>
      </c>
      <c r="D16589" t="s">
        <v>50804</v>
      </c>
      <c r="F16589" t="s">
        <v>50805</v>
      </c>
      <c r="I16589" t="s">
        <v>402</v>
      </c>
      <c r="J16589" t="s">
        <v>30</v>
      </c>
      <c r="K16589" t="str">
        <f>"27012"</f>
        <v>27012</v>
      </c>
      <c r="M16589" t="s">
        <v>17861</v>
      </c>
      <c r="N16589" t="str">
        <f>"3/15/2022 9:00:00 AM"</f>
        <v>3/15/2022 9:00:00 AM</v>
      </c>
      <c r="O16589" t="s">
        <v>50804</v>
      </c>
    </row>
    <row r="16590" spans="1:20" x14ac:dyDescent="0.25">
      <c r="A16590" t="str">
        <f>"3051402"</f>
        <v>3051402</v>
      </c>
      <c r="B16590" t="s">
        <v>50806</v>
      </c>
      <c r="C16590" t="str">
        <f>"8314810"</f>
        <v>8314810</v>
      </c>
      <c r="D16590" t="s">
        <v>50807</v>
      </c>
      <c r="E16590" t="s">
        <v>50808</v>
      </c>
      <c r="F16590" t="s">
        <v>50809</v>
      </c>
      <c r="I16590" t="s">
        <v>29</v>
      </c>
      <c r="J16590" t="s">
        <v>30</v>
      </c>
      <c r="K16590" t="s">
        <v>14361</v>
      </c>
      <c r="M16590" t="s">
        <v>50621</v>
      </c>
      <c r="N16590" t="str">
        <f>"3/11/2022 12:11:00 PM"</f>
        <v>3/11/2022 12:11:00 PM</v>
      </c>
      <c r="O16590" t="s">
        <v>50807</v>
      </c>
      <c r="T16590" t="s">
        <v>50808</v>
      </c>
    </row>
    <row r="16591" spans="1:20" x14ac:dyDescent="0.25">
      <c r="A16591" t="str">
        <f>"3077725"</f>
        <v>3077725</v>
      </c>
      <c r="B16591" t="s">
        <v>50810</v>
      </c>
      <c r="C16591" t="str">
        <f>"54530000"</f>
        <v>54530000</v>
      </c>
      <c r="D16591" t="s">
        <v>50811</v>
      </c>
      <c r="F16591" t="s">
        <v>50812</v>
      </c>
      <c r="I16591" t="s">
        <v>184</v>
      </c>
      <c r="J16591" t="s">
        <v>30</v>
      </c>
      <c r="K16591" t="s">
        <v>24978</v>
      </c>
      <c r="M16591" t="s">
        <v>50621</v>
      </c>
      <c r="N16591" t="str">
        <f>"3/8/2022 2:49:00 PM"</f>
        <v>3/8/2022 2:49:00 PM</v>
      </c>
      <c r="O16591" t="s">
        <v>50811</v>
      </c>
    </row>
    <row r="16592" spans="1:20" x14ac:dyDescent="0.25">
      <c r="A16592" t="str">
        <f>"3044086"</f>
        <v>3044086</v>
      </c>
      <c r="B16592" t="s">
        <v>50813</v>
      </c>
      <c r="C16592" t="str">
        <f>"54530000"</f>
        <v>54530000</v>
      </c>
      <c r="D16592" t="s">
        <v>50811</v>
      </c>
      <c r="F16592" t="s">
        <v>50812</v>
      </c>
      <c r="I16592" t="s">
        <v>184</v>
      </c>
      <c r="J16592" t="s">
        <v>30</v>
      </c>
      <c r="K16592" t="s">
        <v>24978</v>
      </c>
      <c r="M16592" t="s">
        <v>50621</v>
      </c>
      <c r="N16592" t="str">
        <f>"3/8/2022 2:49:00 PM"</f>
        <v>3/8/2022 2:49:00 PM</v>
      </c>
      <c r="O16592" t="s">
        <v>50811</v>
      </c>
    </row>
    <row r="16593" spans="1:20" x14ac:dyDescent="0.25">
      <c r="A16593" t="str">
        <f>"3044126"</f>
        <v>3044126</v>
      </c>
      <c r="B16593" t="s">
        <v>50814</v>
      </c>
      <c r="C16593" t="str">
        <f>"74355500"</f>
        <v>74355500</v>
      </c>
      <c r="D16593" t="s">
        <v>50815</v>
      </c>
      <c r="E16593" t="s">
        <v>50816</v>
      </c>
      <c r="F16593" t="s">
        <v>50817</v>
      </c>
      <c r="I16593" t="s">
        <v>184</v>
      </c>
      <c r="J16593" t="s">
        <v>30</v>
      </c>
      <c r="K16593" t="s">
        <v>185</v>
      </c>
      <c r="M16593" t="s">
        <v>50621</v>
      </c>
      <c r="N16593" t="str">
        <f>"3/8/2022 3:16:00 PM"</f>
        <v>3/8/2022 3:16:00 PM</v>
      </c>
      <c r="O16593" t="s">
        <v>50815</v>
      </c>
      <c r="T16593" t="s">
        <v>50816</v>
      </c>
    </row>
    <row r="16594" spans="1:20" x14ac:dyDescent="0.25">
      <c r="A16594" t="str">
        <f>"3060788"</f>
        <v>3060788</v>
      </c>
      <c r="B16594" t="s">
        <v>50818</v>
      </c>
      <c r="C16594" t="str">
        <f>"8308449"</f>
        <v>8308449</v>
      </c>
      <c r="D16594" t="s">
        <v>50819</v>
      </c>
      <c r="F16594" t="s">
        <v>50820</v>
      </c>
      <c r="I16594" t="s">
        <v>184</v>
      </c>
      <c r="J16594" t="s">
        <v>30</v>
      </c>
      <c r="K16594" t="str">
        <f>"27006"</f>
        <v>27006</v>
      </c>
      <c r="M16594" t="s">
        <v>50621</v>
      </c>
      <c r="N16594" t="str">
        <f>"3/8/2022 3:33:00 PM"</f>
        <v>3/8/2022 3:33:00 PM</v>
      </c>
      <c r="O16594" t="s">
        <v>50819</v>
      </c>
    </row>
    <row r="16595" spans="1:20" x14ac:dyDescent="0.25">
      <c r="A16595" t="str">
        <f>"3042817"</f>
        <v>3042817</v>
      </c>
      <c r="B16595" t="s">
        <v>50821</v>
      </c>
      <c r="C16595" t="str">
        <f>"38855290"</f>
        <v>38855290</v>
      </c>
      <c r="D16595" t="s">
        <v>50822</v>
      </c>
      <c r="E16595" t="s">
        <v>50823</v>
      </c>
      <c r="F16595" t="s">
        <v>50824</v>
      </c>
      <c r="I16595" t="s">
        <v>29</v>
      </c>
      <c r="J16595" t="s">
        <v>30</v>
      </c>
      <c r="K16595" t="s">
        <v>31</v>
      </c>
      <c r="M16595" t="s">
        <v>33845</v>
      </c>
      <c r="N16595" t="str">
        <f>"3/9/2022 9:58:00 AM"</f>
        <v>3/9/2022 9:58:00 AM</v>
      </c>
      <c r="O16595" t="s">
        <v>50822</v>
      </c>
      <c r="T16595" t="s">
        <v>50823</v>
      </c>
    </row>
    <row r="16596" spans="1:20" x14ac:dyDescent="0.25">
      <c r="A16596" t="str">
        <f>"3042843"</f>
        <v>3042843</v>
      </c>
      <c r="B16596" t="s">
        <v>50825</v>
      </c>
      <c r="C16596" t="str">
        <f>"38855290"</f>
        <v>38855290</v>
      </c>
      <c r="D16596" t="s">
        <v>50822</v>
      </c>
      <c r="E16596" t="s">
        <v>50823</v>
      </c>
      <c r="F16596" t="s">
        <v>50824</v>
      </c>
      <c r="I16596" t="s">
        <v>29</v>
      </c>
      <c r="J16596" t="s">
        <v>30</v>
      </c>
      <c r="K16596" t="s">
        <v>31</v>
      </c>
      <c r="M16596" t="s">
        <v>33845</v>
      </c>
      <c r="N16596" t="str">
        <f>"3/9/2022 9:58:00 AM"</f>
        <v>3/9/2022 9:58:00 AM</v>
      </c>
      <c r="O16596" t="s">
        <v>50822</v>
      </c>
      <c r="T16596" t="s">
        <v>50823</v>
      </c>
    </row>
    <row r="16597" spans="1:20" x14ac:dyDescent="0.25">
      <c r="A16597" t="str">
        <f>"3051248"</f>
        <v>3051248</v>
      </c>
      <c r="B16597" t="s">
        <v>50826</v>
      </c>
      <c r="C16597" t="str">
        <f>"82531142"</f>
        <v>82531142</v>
      </c>
      <c r="D16597" t="s">
        <v>50827</v>
      </c>
      <c r="E16597" t="s">
        <v>50828</v>
      </c>
      <c r="F16597" t="s">
        <v>50829</v>
      </c>
      <c r="I16597" t="s">
        <v>50830</v>
      </c>
      <c r="J16597" t="s">
        <v>30</v>
      </c>
      <c r="K16597" t="s">
        <v>50831</v>
      </c>
      <c r="M16597" t="s">
        <v>50621</v>
      </c>
      <c r="N16597" t="str">
        <f>"3/14/2022 8:55:00 AM"</f>
        <v>3/14/2022 8:55:00 AM</v>
      </c>
      <c r="O16597" t="s">
        <v>50827</v>
      </c>
      <c r="T16597" t="s">
        <v>50828</v>
      </c>
    </row>
    <row r="16598" spans="1:20" x14ac:dyDescent="0.25">
      <c r="A16598" t="str">
        <f>"3042870"</f>
        <v>3042870</v>
      </c>
      <c r="B16598" t="s">
        <v>50832</v>
      </c>
      <c r="C16598" t="str">
        <f>"52782000"</f>
        <v>52782000</v>
      </c>
      <c r="D16598" t="s">
        <v>50833</v>
      </c>
      <c r="F16598" t="s">
        <v>50834</v>
      </c>
      <c r="I16598" t="s">
        <v>29</v>
      </c>
      <c r="J16598" t="s">
        <v>30</v>
      </c>
      <c r="K16598" t="s">
        <v>31</v>
      </c>
      <c r="M16598" t="s">
        <v>50621</v>
      </c>
      <c r="N16598" t="str">
        <f>"3/16/2022 11:49:00 AM"</f>
        <v>3/16/2022 11:49:00 AM</v>
      </c>
      <c r="O16598" t="s">
        <v>50833</v>
      </c>
    </row>
    <row r="16599" spans="1:20" x14ac:dyDescent="0.25">
      <c r="A16599" t="str">
        <f>"3052806"</f>
        <v>3052806</v>
      </c>
      <c r="B16599" t="s">
        <v>50835</v>
      </c>
      <c r="C16599" t="str">
        <f>"56357000"</f>
        <v>56357000</v>
      </c>
      <c r="D16599" t="s">
        <v>50836</v>
      </c>
      <c r="E16599" t="s">
        <v>50837</v>
      </c>
      <c r="F16599" t="s">
        <v>50838</v>
      </c>
      <c r="I16599" t="s">
        <v>29</v>
      </c>
      <c r="J16599" t="s">
        <v>30</v>
      </c>
      <c r="K16599" t="s">
        <v>50839</v>
      </c>
      <c r="M16599" t="s">
        <v>50621</v>
      </c>
      <c r="N16599" t="str">
        <f>"3/14/2022 9:00:00 AM"</f>
        <v>3/14/2022 9:00:00 AM</v>
      </c>
      <c r="O16599" t="s">
        <v>50836</v>
      </c>
      <c r="T16599" t="s">
        <v>50837</v>
      </c>
    </row>
    <row r="16600" spans="1:20" x14ac:dyDescent="0.25">
      <c r="A16600" t="str">
        <f>"3041407"</f>
        <v>3041407</v>
      </c>
      <c r="B16600" t="s">
        <v>50840</v>
      </c>
      <c r="C16600" t="str">
        <f>"8304003"</f>
        <v>8304003</v>
      </c>
      <c r="D16600" t="s">
        <v>41006</v>
      </c>
      <c r="F16600" t="s">
        <v>50841</v>
      </c>
      <c r="I16600" t="s">
        <v>2071</v>
      </c>
      <c r="J16600" t="s">
        <v>30</v>
      </c>
      <c r="K16600" t="str">
        <f>"27006"</f>
        <v>27006</v>
      </c>
      <c r="M16600" t="s">
        <v>50621</v>
      </c>
      <c r="N16600" t="str">
        <f>"3/14/2022 9:12:00 AM"</f>
        <v>3/14/2022 9:12:00 AM</v>
      </c>
      <c r="O16600" t="s">
        <v>41006</v>
      </c>
    </row>
    <row r="16601" spans="1:20" x14ac:dyDescent="0.25">
      <c r="A16601" t="str">
        <f>"3037382"</f>
        <v>3037382</v>
      </c>
      <c r="B16601" t="s">
        <v>50842</v>
      </c>
      <c r="C16601" t="str">
        <f>"8317360"</f>
        <v>8317360</v>
      </c>
      <c r="D16601" t="s">
        <v>50843</v>
      </c>
      <c r="E16601" t="s">
        <v>50844</v>
      </c>
      <c r="F16601" t="s">
        <v>50845</v>
      </c>
      <c r="I16601" t="s">
        <v>184</v>
      </c>
      <c r="J16601" t="s">
        <v>30</v>
      </c>
      <c r="K16601" t="s">
        <v>50846</v>
      </c>
      <c r="M16601" t="s">
        <v>17861</v>
      </c>
      <c r="N16601" t="str">
        <f>"3/14/2022 10:20:00 AM"</f>
        <v>3/14/2022 10:20:00 AM</v>
      </c>
      <c r="O16601" t="s">
        <v>50843</v>
      </c>
      <c r="T16601" t="s">
        <v>50844</v>
      </c>
    </row>
    <row r="16602" spans="1:20" x14ac:dyDescent="0.25">
      <c r="A16602" t="str">
        <f>"3056766"</f>
        <v>3056766</v>
      </c>
      <c r="B16602" t="s">
        <v>50847</v>
      </c>
      <c r="C16602" t="str">
        <f>"69250000"</f>
        <v>69250000</v>
      </c>
      <c r="D16602" t="s">
        <v>50848</v>
      </c>
      <c r="E16602" t="s">
        <v>50849</v>
      </c>
      <c r="F16602" t="s">
        <v>50850</v>
      </c>
      <c r="I16602" t="s">
        <v>29</v>
      </c>
      <c r="J16602" t="s">
        <v>30</v>
      </c>
      <c r="K16602" t="s">
        <v>50851</v>
      </c>
      <c r="M16602" t="s">
        <v>50621</v>
      </c>
      <c r="N16602" t="str">
        <f>"3/14/2022 12:38:00 PM"</f>
        <v>3/14/2022 12:38:00 PM</v>
      </c>
      <c r="O16602" t="s">
        <v>50848</v>
      </c>
      <c r="T16602" t="s">
        <v>50849</v>
      </c>
    </row>
    <row r="16603" spans="1:20" x14ac:dyDescent="0.25">
      <c r="A16603" t="str">
        <f>"3052922"</f>
        <v>3052922</v>
      </c>
      <c r="B16603" t="s">
        <v>50852</v>
      </c>
      <c r="C16603" t="str">
        <f>"82524723"</f>
        <v>82524723</v>
      </c>
      <c r="D16603" t="s">
        <v>50768</v>
      </c>
      <c r="F16603" t="s">
        <v>50769</v>
      </c>
      <c r="I16603" t="s">
        <v>7917</v>
      </c>
      <c r="J16603" t="s">
        <v>30</v>
      </c>
      <c r="K16603" t="s">
        <v>50770</v>
      </c>
      <c r="M16603" t="s">
        <v>17861</v>
      </c>
      <c r="N16603" t="str">
        <f>"3/14/2022 1:09:00 PM"</f>
        <v>3/14/2022 1:09:00 PM</v>
      </c>
      <c r="O16603" t="s">
        <v>50768</v>
      </c>
    </row>
    <row r="16604" spans="1:20" x14ac:dyDescent="0.25">
      <c r="A16604" t="str">
        <f>"3052731"</f>
        <v>3052731</v>
      </c>
      <c r="B16604" t="s">
        <v>50853</v>
      </c>
      <c r="C16604" t="str">
        <f>"8317365"</f>
        <v>8317365</v>
      </c>
      <c r="D16604" t="s">
        <v>50854</v>
      </c>
      <c r="F16604" t="s">
        <v>50855</v>
      </c>
      <c r="I16604" t="s">
        <v>50856</v>
      </c>
      <c r="J16604" t="s">
        <v>30</v>
      </c>
      <c r="K16604" t="s">
        <v>50857</v>
      </c>
      <c r="M16604" t="s">
        <v>17861</v>
      </c>
      <c r="N16604" t="str">
        <f>"3/14/2022 4:16:00 PM"</f>
        <v>3/14/2022 4:16:00 PM</v>
      </c>
      <c r="O16604" t="s">
        <v>50854</v>
      </c>
    </row>
    <row r="16605" spans="1:20" x14ac:dyDescent="0.25">
      <c r="A16605" t="str">
        <f>"3059641"</f>
        <v>3059641</v>
      </c>
      <c r="B16605" t="s">
        <v>50858</v>
      </c>
      <c r="C16605" t="str">
        <f>"8317372"</f>
        <v>8317372</v>
      </c>
      <c r="D16605" t="s">
        <v>50804</v>
      </c>
      <c r="F16605" t="s">
        <v>50805</v>
      </c>
      <c r="I16605" t="s">
        <v>402</v>
      </c>
      <c r="J16605" t="s">
        <v>30</v>
      </c>
      <c r="K16605" t="str">
        <f>"27012"</f>
        <v>27012</v>
      </c>
      <c r="M16605" t="s">
        <v>17861</v>
      </c>
      <c r="N16605" t="str">
        <f>"3/15/2022 9:00:00 AM"</f>
        <v>3/15/2022 9:00:00 AM</v>
      </c>
      <c r="O16605" t="s">
        <v>50804</v>
      </c>
    </row>
    <row r="16606" spans="1:20" x14ac:dyDescent="0.25">
      <c r="A16606" t="str">
        <f>"3040374"</f>
        <v>3040374</v>
      </c>
      <c r="B16606" t="s">
        <v>50859</v>
      </c>
      <c r="C16606" t="str">
        <f>"82519664"</f>
        <v>82519664</v>
      </c>
      <c r="D16606" t="s">
        <v>3047</v>
      </c>
      <c r="E16606" t="s">
        <v>50860</v>
      </c>
      <c r="F16606" t="s">
        <v>3048</v>
      </c>
      <c r="I16606" t="s">
        <v>184</v>
      </c>
      <c r="J16606" t="s">
        <v>30</v>
      </c>
      <c r="K16606" t="s">
        <v>185</v>
      </c>
      <c r="M16606" t="s">
        <v>50621</v>
      </c>
      <c r="N16606" t="str">
        <f>"3/15/2022 2:24:00 PM"</f>
        <v>3/15/2022 2:24:00 PM</v>
      </c>
      <c r="O16606" t="s">
        <v>3047</v>
      </c>
      <c r="T16606" t="s">
        <v>50860</v>
      </c>
    </row>
    <row r="16607" spans="1:20" x14ac:dyDescent="0.25">
      <c r="A16607" t="str">
        <f>"3058794"</f>
        <v>3058794</v>
      </c>
      <c r="B16607" t="s">
        <v>50861</v>
      </c>
      <c r="C16607" t="str">
        <f>"8317377"</f>
        <v>8317377</v>
      </c>
      <c r="D16607" t="s">
        <v>50862</v>
      </c>
      <c r="F16607" t="s">
        <v>50863</v>
      </c>
      <c r="I16607" t="s">
        <v>29</v>
      </c>
      <c r="J16607" t="s">
        <v>30</v>
      </c>
      <c r="K16607" t="s">
        <v>11912</v>
      </c>
      <c r="M16607" t="s">
        <v>17861</v>
      </c>
      <c r="N16607" t="str">
        <f>"3/15/2022 3:08:00 PM"</f>
        <v>3/15/2022 3:08:00 PM</v>
      </c>
      <c r="O16607" t="s">
        <v>50862</v>
      </c>
    </row>
    <row r="16608" spans="1:20" x14ac:dyDescent="0.25">
      <c r="A16608" t="str">
        <f>"3050818"</f>
        <v>3050818</v>
      </c>
      <c r="B16608" t="s">
        <v>50864</v>
      </c>
      <c r="C16608" t="str">
        <f>"56296000"</f>
        <v>56296000</v>
      </c>
      <c r="D16608" t="s">
        <v>50865</v>
      </c>
      <c r="E16608" t="s">
        <v>50866</v>
      </c>
      <c r="F16608" t="s">
        <v>2195</v>
      </c>
      <c r="I16608" t="s">
        <v>184</v>
      </c>
      <c r="J16608" t="s">
        <v>30</v>
      </c>
      <c r="K16608" t="s">
        <v>185</v>
      </c>
      <c r="M16608" t="s">
        <v>50621</v>
      </c>
      <c r="N16608" t="str">
        <f>"3/16/2022 2:31:00 PM"</f>
        <v>3/16/2022 2:31:00 PM</v>
      </c>
      <c r="O16608" t="s">
        <v>50865</v>
      </c>
      <c r="T16608" t="s">
        <v>50866</v>
      </c>
    </row>
    <row r="16609" spans="1:20" x14ac:dyDescent="0.25">
      <c r="A16609" t="str">
        <f>"3062341"</f>
        <v>3062341</v>
      </c>
      <c r="B16609" t="s">
        <v>50867</v>
      </c>
      <c r="C16609" t="str">
        <f>"56296000"</f>
        <v>56296000</v>
      </c>
      <c r="D16609" t="s">
        <v>50865</v>
      </c>
      <c r="E16609" t="s">
        <v>50866</v>
      </c>
      <c r="F16609" t="s">
        <v>2195</v>
      </c>
      <c r="I16609" t="s">
        <v>184</v>
      </c>
      <c r="J16609" t="s">
        <v>30</v>
      </c>
      <c r="K16609" t="s">
        <v>185</v>
      </c>
      <c r="M16609" t="s">
        <v>50621</v>
      </c>
      <c r="N16609" t="str">
        <f>"3/16/2022 2:31:00 PM"</f>
        <v>3/16/2022 2:31:00 PM</v>
      </c>
      <c r="O16609" t="s">
        <v>50865</v>
      </c>
      <c r="T16609" t="s">
        <v>50866</v>
      </c>
    </row>
    <row r="16610" spans="1:20" x14ac:dyDescent="0.25">
      <c r="A16610" t="str">
        <f>"3043534"</f>
        <v>3043534</v>
      </c>
      <c r="B16610" t="s">
        <v>50868</v>
      </c>
      <c r="C16610" t="str">
        <f>"8305512"</f>
        <v>8305512</v>
      </c>
      <c r="D16610" t="s">
        <v>50869</v>
      </c>
      <c r="E16610" t="s">
        <v>50870</v>
      </c>
      <c r="F16610" t="s">
        <v>50871</v>
      </c>
      <c r="I16610" t="s">
        <v>29</v>
      </c>
      <c r="J16610" t="s">
        <v>30</v>
      </c>
      <c r="K16610" t="str">
        <f>"27028"</f>
        <v>27028</v>
      </c>
      <c r="M16610" t="s">
        <v>33845</v>
      </c>
      <c r="N16610" t="str">
        <f>"3/18/2022 9:03:00 AM"</f>
        <v>3/18/2022 9:03:00 AM</v>
      </c>
      <c r="O16610" t="s">
        <v>50869</v>
      </c>
      <c r="T16610" t="s">
        <v>50870</v>
      </c>
    </row>
    <row r="16611" spans="1:20" x14ac:dyDescent="0.25">
      <c r="A16611" t="str">
        <f>"3064379"</f>
        <v>3064379</v>
      </c>
      <c r="B16611" t="s">
        <v>50872</v>
      </c>
      <c r="C16611" t="str">
        <f>"8315670"</f>
        <v>8315670</v>
      </c>
      <c r="D16611" t="s">
        <v>50873</v>
      </c>
      <c r="E16611" t="s">
        <v>50874</v>
      </c>
      <c r="F16611" t="s">
        <v>50875</v>
      </c>
      <c r="I16611" t="s">
        <v>184</v>
      </c>
      <c r="J16611" t="s">
        <v>30</v>
      </c>
      <c r="K16611" t="s">
        <v>19603</v>
      </c>
      <c r="M16611" t="s">
        <v>18479</v>
      </c>
      <c r="N16611" t="str">
        <f>"3/18/2022 9:24:00 AM"</f>
        <v>3/18/2022 9:24:00 AM</v>
      </c>
      <c r="O16611" t="s">
        <v>50873</v>
      </c>
      <c r="T16611" t="s">
        <v>50874</v>
      </c>
    </row>
    <row r="16612" spans="1:20" x14ac:dyDescent="0.25">
      <c r="A16612" t="str">
        <f>"3055894"</f>
        <v>3055894</v>
      </c>
      <c r="B16612" t="s">
        <v>50876</v>
      </c>
      <c r="C16612" t="str">
        <f>"82516121"</f>
        <v>82516121</v>
      </c>
      <c r="D16612" t="s">
        <v>50877</v>
      </c>
      <c r="F16612" t="s">
        <v>50878</v>
      </c>
      <c r="I16612" t="s">
        <v>9580</v>
      </c>
      <c r="J16612" t="s">
        <v>30</v>
      </c>
      <c r="K16612" t="s">
        <v>9581</v>
      </c>
      <c r="M16612" t="s">
        <v>50621</v>
      </c>
      <c r="N16612" t="str">
        <f>"3/18/2022 3:32:00 PM"</f>
        <v>3/18/2022 3:32:00 PM</v>
      </c>
      <c r="O16612" t="s">
        <v>50877</v>
      </c>
    </row>
    <row r="16613" spans="1:20" x14ac:dyDescent="0.25">
      <c r="A16613" t="str">
        <f>"3037615"</f>
        <v>3037615</v>
      </c>
      <c r="B16613" t="s">
        <v>50879</v>
      </c>
      <c r="C16613" t="str">
        <f>"8317407"</f>
        <v>8317407</v>
      </c>
      <c r="D16613" t="s">
        <v>50880</v>
      </c>
      <c r="E16613" t="s">
        <v>50881</v>
      </c>
      <c r="F16613" t="s">
        <v>50882</v>
      </c>
      <c r="I16613" t="s">
        <v>49</v>
      </c>
      <c r="J16613" t="s">
        <v>30</v>
      </c>
      <c r="K16613" t="s">
        <v>50883</v>
      </c>
      <c r="M16613" t="s">
        <v>17861</v>
      </c>
      <c r="N16613" t="str">
        <f>"3/21/2022 3:29:00 PM"</f>
        <v>3/21/2022 3:29:00 PM</v>
      </c>
      <c r="O16613" t="s">
        <v>50880</v>
      </c>
      <c r="T16613" t="s">
        <v>50881</v>
      </c>
    </row>
    <row r="16614" spans="1:20" x14ac:dyDescent="0.25">
      <c r="A16614" t="str">
        <f>"3039958"</f>
        <v>3039958</v>
      </c>
      <c r="B16614" t="s">
        <v>50884</v>
      </c>
      <c r="C16614" t="str">
        <f>"8314233"</f>
        <v>8314233</v>
      </c>
      <c r="D16614" t="s">
        <v>50885</v>
      </c>
      <c r="E16614" t="s">
        <v>50886</v>
      </c>
      <c r="F16614" t="s">
        <v>50887</v>
      </c>
      <c r="I16614" t="s">
        <v>29</v>
      </c>
      <c r="J16614" t="s">
        <v>30</v>
      </c>
      <c r="K16614" t="s">
        <v>35687</v>
      </c>
      <c r="M16614" t="s">
        <v>18479</v>
      </c>
      <c r="N16614" t="str">
        <f>"3/22/2022 8:58:00 AM"</f>
        <v>3/22/2022 8:58:00 AM</v>
      </c>
      <c r="O16614" t="s">
        <v>50885</v>
      </c>
      <c r="T16614" t="s">
        <v>50886</v>
      </c>
    </row>
    <row r="16615" spans="1:20" x14ac:dyDescent="0.25">
      <c r="A16615" t="str">
        <f>"3049347"</f>
        <v>3049347</v>
      </c>
      <c r="B16615" t="s">
        <v>50888</v>
      </c>
      <c r="C16615" t="str">
        <f>"8317388"</f>
        <v>8317388</v>
      </c>
      <c r="D16615" t="s">
        <v>50889</v>
      </c>
      <c r="F16615" t="s">
        <v>50890</v>
      </c>
      <c r="I16615" t="s">
        <v>50891</v>
      </c>
      <c r="J16615" t="s">
        <v>11346</v>
      </c>
      <c r="K16615" t="s">
        <v>50892</v>
      </c>
      <c r="M16615" t="s">
        <v>17861</v>
      </c>
      <c r="N16615" t="str">
        <f>"3/21/2022 8:38:00 AM"</f>
        <v>3/21/2022 8:38:00 AM</v>
      </c>
      <c r="O16615" t="s">
        <v>50889</v>
      </c>
    </row>
    <row r="16616" spans="1:20" x14ac:dyDescent="0.25">
      <c r="A16616" t="str">
        <f>"3065023"</f>
        <v>3065023</v>
      </c>
      <c r="B16616" t="s">
        <v>50893</v>
      </c>
      <c r="C16616" t="str">
        <f>"8317389"</f>
        <v>8317389</v>
      </c>
      <c r="D16616" t="s">
        <v>50894</v>
      </c>
      <c r="F16616" t="s">
        <v>50895</v>
      </c>
      <c r="I16616" t="s">
        <v>184</v>
      </c>
      <c r="J16616" t="s">
        <v>30</v>
      </c>
      <c r="K16616" t="s">
        <v>5292</v>
      </c>
      <c r="M16616" t="s">
        <v>17861</v>
      </c>
      <c r="N16616" t="str">
        <f>"3/21/2022 8:41:00 AM"</f>
        <v>3/21/2022 8:41:00 AM</v>
      </c>
      <c r="O16616" t="s">
        <v>50894</v>
      </c>
    </row>
    <row r="16617" spans="1:20" x14ac:dyDescent="0.25">
      <c r="A16617" t="str">
        <f>"3043636"</f>
        <v>3043636</v>
      </c>
      <c r="B16617" t="s">
        <v>50896</v>
      </c>
      <c r="C16617" t="str">
        <f>"8317378"</f>
        <v>8317378</v>
      </c>
      <c r="D16617" t="s">
        <v>50897</v>
      </c>
      <c r="E16617" t="s">
        <v>50898</v>
      </c>
      <c r="F16617" t="s">
        <v>50899</v>
      </c>
      <c r="I16617" t="s">
        <v>29</v>
      </c>
      <c r="J16617" t="s">
        <v>30</v>
      </c>
      <c r="K16617" t="s">
        <v>7124</v>
      </c>
      <c r="M16617" t="s">
        <v>17861</v>
      </c>
      <c r="N16617" t="str">
        <f>"3/15/2022 3:35:00 PM"</f>
        <v>3/15/2022 3:35:00 PM</v>
      </c>
      <c r="O16617" t="s">
        <v>50897</v>
      </c>
      <c r="T16617" t="s">
        <v>50898</v>
      </c>
    </row>
    <row r="16618" spans="1:20" x14ac:dyDescent="0.25">
      <c r="A16618" t="str">
        <f>"3053928"</f>
        <v>3053928</v>
      </c>
      <c r="B16618" t="s">
        <v>50900</v>
      </c>
      <c r="C16618" t="str">
        <f>"8317413"</f>
        <v>8317413</v>
      </c>
      <c r="D16618" t="s">
        <v>50901</v>
      </c>
      <c r="E16618" t="s">
        <v>50902</v>
      </c>
      <c r="F16618" t="s">
        <v>50903</v>
      </c>
      <c r="I16618" t="s">
        <v>29</v>
      </c>
      <c r="J16618" t="s">
        <v>30</v>
      </c>
      <c r="K16618" t="s">
        <v>41785</v>
      </c>
      <c r="M16618" t="s">
        <v>17861</v>
      </c>
      <c r="N16618" t="str">
        <f>"3/23/2022 10:12:00 AM"</f>
        <v>3/23/2022 10:12:00 AM</v>
      </c>
      <c r="O16618" t="s">
        <v>50901</v>
      </c>
      <c r="T16618" t="s">
        <v>50902</v>
      </c>
    </row>
    <row r="16619" spans="1:20" x14ac:dyDescent="0.25">
      <c r="A16619" t="str">
        <f>"3048381"</f>
        <v>3048381</v>
      </c>
      <c r="B16619" t="s">
        <v>50904</v>
      </c>
      <c r="C16619" t="str">
        <f>"77014500"</f>
        <v>77014500</v>
      </c>
      <c r="D16619" t="s">
        <v>50905</v>
      </c>
      <c r="E16619" t="s">
        <v>50906</v>
      </c>
      <c r="F16619" t="s">
        <v>50907</v>
      </c>
      <c r="I16619" t="s">
        <v>184</v>
      </c>
      <c r="J16619" t="s">
        <v>30</v>
      </c>
      <c r="K16619" t="s">
        <v>185</v>
      </c>
      <c r="M16619" t="s">
        <v>18470</v>
      </c>
      <c r="N16619" t="str">
        <f>"3/23/2022 12:38:00 PM"</f>
        <v>3/23/2022 12:38:00 PM</v>
      </c>
      <c r="O16619" t="s">
        <v>50905</v>
      </c>
      <c r="T16619" t="s">
        <v>50906</v>
      </c>
    </row>
    <row r="16620" spans="1:20" x14ac:dyDescent="0.25">
      <c r="A16620" t="str">
        <f>"3048572"</f>
        <v>3048572</v>
      </c>
      <c r="B16620" t="s">
        <v>50908</v>
      </c>
      <c r="C16620" t="str">
        <f>"77014500"</f>
        <v>77014500</v>
      </c>
      <c r="D16620" t="s">
        <v>50905</v>
      </c>
      <c r="E16620" t="s">
        <v>50906</v>
      </c>
      <c r="F16620" t="s">
        <v>50907</v>
      </c>
      <c r="I16620" t="s">
        <v>184</v>
      </c>
      <c r="J16620" t="s">
        <v>30</v>
      </c>
      <c r="K16620" t="s">
        <v>185</v>
      </c>
      <c r="M16620" t="s">
        <v>18470</v>
      </c>
      <c r="N16620" t="str">
        <f>"3/23/2022 12:38:00 PM"</f>
        <v>3/23/2022 12:38:00 PM</v>
      </c>
      <c r="O16620" t="s">
        <v>50905</v>
      </c>
      <c r="T16620" t="s">
        <v>50906</v>
      </c>
    </row>
    <row r="16621" spans="1:20" x14ac:dyDescent="0.25">
      <c r="A16621" t="str">
        <f>"3043205"</f>
        <v>3043205</v>
      </c>
      <c r="B16621" t="s">
        <v>50909</v>
      </c>
      <c r="C16621" t="str">
        <f>"8317378"</f>
        <v>8317378</v>
      </c>
      <c r="D16621" t="s">
        <v>50897</v>
      </c>
      <c r="E16621" t="s">
        <v>50898</v>
      </c>
      <c r="F16621" t="s">
        <v>50899</v>
      </c>
      <c r="I16621" t="s">
        <v>29</v>
      </c>
      <c r="J16621" t="s">
        <v>30</v>
      </c>
      <c r="K16621" t="s">
        <v>7124</v>
      </c>
      <c r="M16621" t="s">
        <v>17861</v>
      </c>
      <c r="N16621" t="str">
        <f>"3/15/2022 3:35:00 PM"</f>
        <v>3/15/2022 3:35:00 PM</v>
      </c>
      <c r="O16621" t="s">
        <v>50897</v>
      </c>
      <c r="T16621" t="s">
        <v>50898</v>
      </c>
    </row>
    <row r="16622" spans="1:20" x14ac:dyDescent="0.25">
      <c r="A16622" t="str">
        <f>"3059295"</f>
        <v>3059295</v>
      </c>
      <c r="B16622" t="s">
        <v>50910</v>
      </c>
      <c r="C16622" t="str">
        <f>"8308084"</f>
        <v>8308084</v>
      </c>
      <c r="D16622" t="s">
        <v>50911</v>
      </c>
      <c r="E16622" t="s">
        <v>50912</v>
      </c>
      <c r="F16622" t="s">
        <v>50913</v>
      </c>
      <c r="I16622" t="s">
        <v>29</v>
      </c>
      <c r="J16622" t="s">
        <v>30</v>
      </c>
      <c r="K16622" t="str">
        <f>"27028"</f>
        <v>27028</v>
      </c>
      <c r="M16622" t="s">
        <v>50621</v>
      </c>
      <c r="N16622" t="str">
        <f>"3/15/2022 3:36:00 PM"</f>
        <v>3/15/2022 3:36:00 PM</v>
      </c>
      <c r="O16622" t="s">
        <v>50911</v>
      </c>
      <c r="T16622" t="s">
        <v>50912</v>
      </c>
    </row>
    <row r="16623" spans="1:20" x14ac:dyDescent="0.25">
      <c r="A16623" t="str">
        <f>"3043407"</f>
        <v>3043407</v>
      </c>
      <c r="B16623" t="s">
        <v>50914</v>
      </c>
      <c r="C16623" t="str">
        <f>"78911310"</f>
        <v>78911310</v>
      </c>
      <c r="D16623" t="s">
        <v>50915</v>
      </c>
      <c r="E16623" t="s">
        <v>50916</v>
      </c>
      <c r="F16623" t="s">
        <v>50917</v>
      </c>
      <c r="I16623" t="s">
        <v>29</v>
      </c>
      <c r="J16623" t="s">
        <v>30</v>
      </c>
      <c r="K16623" t="s">
        <v>31</v>
      </c>
      <c r="M16623" t="s">
        <v>50621</v>
      </c>
      <c r="N16623" t="str">
        <f>"3/15/2022 3:44:00 PM"</f>
        <v>3/15/2022 3:44:00 PM</v>
      </c>
      <c r="O16623" t="s">
        <v>50915</v>
      </c>
      <c r="T16623" t="s">
        <v>50916</v>
      </c>
    </row>
    <row r="16624" spans="1:20" x14ac:dyDescent="0.25">
      <c r="A16624" t="str">
        <f>"3040854"</f>
        <v>3040854</v>
      </c>
      <c r="B16624" t="s">
        <v>50918</v>
      </c>
      <c r="C16624" t="str">
        <f>"8310144"</f>
        <v>8310144</v>
      </c>
      <c r="D16624" t="s">
        <v>50919</v>
      </c>
      <c r="E16624" t="s">
        <v>50920</v>
      </c>
      <c r="F16624" t="s">
        <v>50921</v>
      </c>
      <c r="I16624" t="s">
        <v>184</v>
      </c>
      <c r="J16624" t="s">
        <v>30</v>
      </c>
      <c r="K16624" t="s">
        <v>3003</v>
      </c>
      <c r="M16624" t="s">
        <v>50793</v>
      </c>
      <c r="N16624" t="str">
        <f>"3/15/2022 4:00:00 PM"</f>
        <v>3/15/2022 4:00:00 PM</v>
      </c>
      <c r="O16624" t="s">
        <v>50919</v>
      </c>
      <c r="T16624" t="s">
        <v>50920</v>
      </c>
    </row>
    <row r="16625" spans="1:20" x14ac:dyDescent="0.25">
      <c r="A16625" t="str">
        <f>"3053609"</f>
        <v>3053609</v>
      </c>
      <c r="B16625" t="s">
        <v>50922</v>
      </c>
      <c r="C16625" t="str">
        <f>"8317380"</f>
        <v>8317380</v>
      </c>
      <c r="D16625" t="s">
        <v>50923</v>
      </c>
      <c r="F16625" t="s">
        <v>50924</v>
      </c>
      <c r="I16625" t="s">
        <v>964</v>
      </c>
      <c r="J16625" t="s">
        <v>30</v>
      </c>
      <c r="K16625" t="s">
        <v>50925</v>
      </c>
      <c r="M16625" t="s">
        <v>17861</v>
      </c>
      <c r="N16625" t="str">
        <f>"3/16/2022 9:37:00 AM"</f>
        <v>3/16/2022 9:37:00 AM</v>
      </c>
      <c r="O16625" t="s">
        <v>50923</v>
      </c>
    </row>
    <row r="16626" spans="1:20" x14ac:dyDescent="0.25">
      <c r="A16626" t="str">
        <f>"3059882"</f>
        <v>3059882</v>
      </c>
      <c r="B16626" t="s">
        <v>50926</v>
      </c>
      <c r="C16626" t="str">
        <f>"8317350"</f>
        <v>8317350</v>
      </c>
      <c r="D16626" t="s">
        <v>50927</v>
      </c>
      <c r="F16626" t="s">
        <v>50928</v>
      </c>
      <c r="I16626" t="s">
        <v>29</v>
      </c>
      <c r="J16626" t="s">
        <v>30</v>
      </c>
      <c r="K16626" t="s">
        <v>46624</v>
      </c>
      <c r="M16626" t="s">
        <v>17861</v>
      </c>
      <c r="N16626" t="str">
        <f>"3/11/2022 3:48:00 PM"</f>
        <v>3/11/2022 3:48:00 PM</v>
      </c>
      <c r="O16626" t="s">
        <v>50927</v>
      </c>
    </row>
    <row r="16627" spans="1:20" x14ac:dyDescent="0.25">
      <c r="A16627" t="str">
        <f>"3052282"</f>
        <v>3052282</v>
      </c>
      <c r="B16627" t="s">
        <v>50929</v>
      </c>
      <c r="C16627" t="str">
        <f t="shared" ref="C16627:C16634" si="247">"8316453"</f>
        <v>8316453</v>
      </c>
      <c r="D16627" t="s">
        <v>50930</v>
      </c>
      <c r="E16627" t="s">
        <v>50931</v>
      </c>
      <c r="F16627" t="s">
        <v>50932</v>
      </c>
      <c r="I16627" t="s">
        <v>29</v>
      </c>
      <c r="J16627" t="s">
        <v>30</v>
      </c>
      <c r="K16627" t="s">
        <v>40518</v>
      </c>
      <c r="M16627" t="s">
        <v>18479</v>
      </c>
      <c r="N16627" t="str">
        <f t="shared" ref="N16627:N16634" si="248">"3/24/2022 4:05:00 PM"</f>
        <v>3/24/2022 4:05:00 PM</v>
      </c>
      <c r="O16627" t="s">
        <v>50930</v>
      </c>
      <c r="T16627" t="s">
        <v>50931</v>
      </c>
    </row>
    <row r="16628" spans="1:20" x14ac:dyDescent="0.25">
      <c r="A16628" t="str">
        <f>"3052287"</f>
        <v>3052287</v>
      </c>
      <c r="B16628" t="s">
        <v>50933</v>
      </c>
      <c r="C16628" t="str">
        <f t="shared" si="247"/>
        <v>8316453</v>
      </c>
      <c r="D16628" t="s">
        <v>50930</v>
      </c>
      <c r="E16628" t="s">
        <v>50931</v>
      </c>
      <c r="F16628" t="s">
        <v>50932</v>
      </c>
      <c r="I16628" t="s">
        <v>29</v>
      </c>
      <c r="J16628" t="s">
        <v>30</v>
      </c>
      <c r="K16628" t="s">
        <v>40518</v>
      </c>
      <c r="M16628" t="s">
        <v>18479</v>
      </c>
      <c r="N16628" t="str">
        <f t="shared" si="248"/>
        <v>3/24/2022 4:05:00 PM</v>
      </c>
      <c r="O16628" t="s">
        <v>50930</v>
      </c>
      <c r="T16628" t="s">
        <v>50931</v>
      </c>
    </row>
    <row r="16629" spans="1:20" x14ac:dyDescent="0.25">
      <c r="A16629" t="str">
        <f>"3052288"</f>
        <v>3052288</v>
      </c>
      <c r="B16629" t="s">
        <v>50934</v>
      </c>
      <c r="C16629" t="str">
        <f t="shared" si="247"/>
        <v>8316453</v>
      </c>
      <c r="D16629" t="s">
        <v>50930</v>
      </c>
      <c r="E16629" t="s">
        <v>50931</v>
      </c>
      <c r="F16629" t="s">
        <v>50932</v>
      </c>
      <c r="I16629" t="s">
        <v>29</v>
      </c>
      <c r="J16629" t="s">
        <v>30</v>
      </c>
      <c r="K16629" t="s">
        <v>40518</v>
      </c>
      <c r="M16629" t="s">
        <v>18479</v>
      </c>
      <c r="N16629" t="str">
        <f t="shared" si="248"/>
        <v>3/24/2022 4:05:00 PM</v>
      </c>
      <c r="O16629" t="s">
        <v>50930</v>
      </c>
      <c r="T16629" t="s">
        <v>50931</v>
      </c>
    </row>
    <row r="16630" spans="1:20" x14ac:dyDescent="0.25">
      <c r="A16630" t="str">
        <f>"3052289"</f>
        <v>3052289</v>
      </c>
      <c r="B16630" t="s">
        <v>50935</v>
      </c>
      <c r="C16630" t="str">
        <f t="shared" si="247"/>
        <v>8316453</v>
      </c>
      <c r="D16630" t="s">
        <v>50930</v>
      </c>
      <c r="E16630" t="s">
        <v>50931</v>
      </c>
      <c r="F16630" t="s">
        <v>50932</v>
      </c>
      <c r="I16630" t="s">
        <v>29</v>
      </c>
      <c r="J16630" t="s">
        <v>30</v>
      </c>
      <c r="K16630" t="s">
        <v>40518</v>
      </c>
      <c r="M16630" t="s">
        <v>18479</v>
      </c>
      <c r="N16630" t="str">
        <f t="shared" si="248"/>
        <v>3/24/2022 4:05:00 PM</v>
      </c>
      <c r="O16630" t="s">
        <v>50930</v>
      </c>
      <c r="T16630" t="s">
        <v>50931</v>
      </c>
    </row>
    <row r="16631" spans="1:20" x14ac:dyDescent="0.25">
      <c r="A16631" t="str">
        <f>"3052269"</f>
        <v>3052269</v>
      </c>
      <c r="B16631" t="s">
        <v>50936</v>
      </c>
      <c r="C16631" t="str">
        <f t="shared" si="247"/>
        <v>8316453</v>
      </c>
      <c r="D16631" t="s">
        <v>50930</v>
      </c>
      <c r="E16631" t="s">
        <v>50931</v>
      </c>
      <c r="F16631" t="s">
        <v>50932</v>
      </c>
      <c r="I16631" t="s">
        <v>29</v>
      </c>
      <c r="J16631" t="s">
        <v>30</v>
      </c>
      <c r="K16631" t="s">
        <v>40518</v>
      </c>
      <c r="M16631" t="s">
        <v>18479</v>
      </c>
      <c r="N16631" t="str">
        <f t="shared" si="248"/>
        <v>3/24/2022 4:05:00 PM</v>
      </c>
      <c r="O16631" t="s">
        <v>50930</v>
      </c>
      <c r="T16631" t="s">
        <v>50931</v>
      </c>
    </row>
    <row r="16632" spans="1:20" x14ac:dyDescent="0.25">
      <c r="A16632" t="str">
        <f>"3052270"</f>
        <v>3052270</v>
      </c>
      <c r="B16632" t="s">
        <v>50937</v>
      </c>
      <c r="C16632" t="str">
        <f t="shared" si="247"/>
        <v>8316453</v>
      </c>
      <c r="D16632" t="s">
        <v>50930</v>
      </c>
      <c r="E16632" t="s">
        <v>50931</v>
      </c>
      <c r="F16632" t="s">
        <v>50932</v>
      </c>
      <c r="I16632" t="s">
        <v>29</v>
      </c>
      <c r="J16632" t="s">
        <v>30</v>
      </c>
      <c r="K16632" t="s">
        <v>40518</v>
      </c>
      <c r="M16632" t="s">
        <v>18479</v>
      </c>
      <c r="N16632" t="str">
        <f t="shared" si="248"/>
        <v>3/24/2022 4:05:00 PM</v>
      </c>
      <c r="O16632" t="s">
        <v>50930</v>
      </c>
      <c r="T16632" t="s">
        <v>50931</v>
      </c>
    </row>
    <row r="16633" spans="1:20" x14ac:dyDescent="0.25">
      <c r="A16633" t="str">
        <f>"3057287"</f>
        <v>3057287</v>
      </c>
      <c r="B16633" t="s">
        <v>50938</v>
      </c>
      <c r="C16633" t="str">
        <f t="shared" si="247"/>
        <v>8316453</v>
      </c>
      <c r="D16633" t="s">
        <v>50930</v>
      </c>
      <c r="E16633" t="s">
        <v>50931</v>
      </c>
      <c r="F16633" t="s">
        <v>50932</v>
      </c>
      <c r="I16633" t="s">
        <v>29</v>
      </c>
      <c r="J16633" t="s">
        <v>30</v>
      </c>
      <c r="K16633" t="s">
        <v>40518</v>
      </c>
      <c r="M16633" t="s">
        <v>18479</v>
      </c>
      <c r="N16633" t="str">
        <f t="shared" si="248"/>
        <v>3/24/2022 4:05:00 PM</v>
      </c>
      <c r="O16633" t="s">
        <v>50930</v>
      </c>
      <c r="T16633" t="s">
        <v>50931</v>
      </c>
    </row>
    <row r="16634" spans="1:20" x14ac:dyDescent="0.25">
      <c r="A16634" t="str">
        <f>"3057283"</f>
        <v>3057283</v>
      </c>
      <c r="B16634" t="s">
        <v>50939</v>
      </c>
      <c r="C16634" t="str">
        <f t="shared" si="247"/>
        <v>8316453</v>
      </c>
      <c r="D16634" t="s">
        <v>50930</v>
      </c>
      <c r="E16634" t="s">
        <v>50931</v>
      </c>
      <c r="F16634" t="s">
        <v>50932</v>
      </c>
      <c r="I16634" t="s">
        <v>29</v>
      </c>
      <c r="J16634" t="s">
        <v>30</v>
      </c>
      <c r="K16634" t="s">
        <v>40518</v>
      </c>
      <c r="M16634" t="s">
        <v>18479</v>
      </c>
      <c r="N16634" t="str">
        <f t="shared" si="248"/>
        <v>3/24/2022 4:05:00 PM</v>
      </c>
      <c r="O16634" t="s">
        <v>50930</v>
      </c>
      <c r="T16634" t="s">
        <v>50931</v>
      </c>
    </row>
    <row r="16635" spans="1:20" x14ac:dyDescent="0.25">
      <c r="A16635" t="str">
        <f>"3047057"</f>
        <v>3047057</v>
      </c>
      <c r="B16635" t="s">
        <v>50940</v>
      </c>
      <c r="C16635" t="str">
        <f>"8308850"</f>
        <v>8308850</v>
      </c>
      <c r="D16635" t="s">
        <v>50941</v>
      </c>
      <c r="E16635" t="s">
        <v>50942</v>
      </c>
      <c r="F16635" t="s">
        <v>50943</v>
      </c>
      <c r="I16635" t="s">
        <v>184</v>
      </c>
      <c r="J16635" t="s">
        <v>30</v>
      </c>
      <c r="K16635" t="s">
        <v>34389</v>
      </c>
      <c r="M16635" t="s">
        <v>18479</v>
      </c>
      <c r="N16635" t="str">
        <f>"3/24/2022 4:07:00 PM"</f>
        <v>3/24/2022 4:07:00 PM</v>
      </c>
      <c r="O16635" t="s">
        <v>50941</v>
      </c>
      <c r="T16635" t="s">
        <v>50942</v>
      </c>
    </row>
    <row r="16636" spans="1:20" x14ac:dyDescent="0.25">
      <c r="A16636" t="str">
        <f>"3061850"</f>
        <v>3061850</v>
      </c>
      <c r="B16636" t="s">
        <v>50944</v>
      </c>
      <c r="C16636" t="str">
        <f>"8317418"</f>
        <v>8317418</v>
      </c>
      <c r="D16636" t="s">
        <v>50945</v>
      </c>
      <c r="E16636" t="s">
        <v>50946</v>
      </c>
      <c r="F16636" t="s">
        <v>50947</v>
      </c>
      <c r="I16636" t="s">
        <v>29</v>
      </c>
      <c r="J16636" t="s">
        <v>30</v>
      </c>
      <c r="K16636" t="str">
        <f>"27028"</f>
        <v>27028</v>
      </c>
      <c r="M16636" t="s">
        <v>17861</v>
      </c>
      <c r="N16636" t="str">
        <f>"3/25/2022 10:44:00 AM"</f>
        <v>3/25/2022 10:44:00 AM</v>
      </c>
      <c r="O16636" t="s">
        <v>50945</v>
      </c>
      <c r="T16636" t="s">
        <v>50946</v>
      </c>
    </row>
    <row r="16637" spans="1:20" x14ac:dyDescent="0.25">
      <c r="A16637" t="str">
        <f>"3057603"</f>
        <v>3057603</v>
      </c>
      <c r="B16637" t="s">
        <v>50948</v>
      </c>
      <c r="C16637" t="str">
        <f>"8317419"</f>
        <v>8317419</v>
      </c>
      <c r="D16637" t="s">
        <v>50949</v>
      </c>
      <c r="E16637" t="s">
        <v>50950</v>
      </c>
      <c r="F16637" t="s">
        <v>50951</v>
      </c>
      <c r="I16637" t="s">
        <v>24359</v>
      </c>
      <c r="J16637" t="s">
        <v>30</v>
      </c>
      <c r="K16637" t="str">
        <f>"27006"</f>
        <v>27006</v>
      </c>
      <c r="M16637" t="s">
        <v>17861</v>
      </c>
      <c r="N16637" t="str">
        <f>"3/25/2022 10:50:00 AM"</f>
        <v>3/25/2022 10:50:00 AM</v>
      </c>
      <c r="O16637" t="s">
        <v>50949</v>
      </c>
      <c r="T16637" t="s">
        <v>50950</v>
      </c>
    </row>
    <row r="16638" spans="1:20" x14ac:dyDescent="0.25">
      <c r="A16638" t="str">
        <f>"3057966"</f>
        <v>3057966</v>
      </c>
      <c r="B16638" t="s">
        <v>50952</v>
      </c>
      <c r="C16638" t="str">
        <f>"8317352"</f>
        <v>8317352</v>
      </c>
      <c r="D16638" t="s">
        <v>50953</v>
      </c>
      <c r="E16638" t="s">
        <v>50954</v>
      </c>
      <c r="F16638" t="s">
        <v>50955</v>
      </c>
      <c r="I16638" t="s">
        <v>29</v>
      </c>
      <c r="J16638" t="s">
        <v>30</v>
      </c>
      <c r="K16638" t="s">
        <v>33586</v>
      </c>
      <c r="M16638" t="s">
        <v>17861</v>
      </c>
      <c r="N16638" t="str">
        <f>"3/11/2022 4:00:00 PM"</f>
        <v>3/11/2022 4:00:00 PM</v>
      </c>
      <c r="O16638" t="s">
        <v>50953</v>
      </c>
      <c r="T16638" t="s">
        <v>50954</v>
      </c>
    </row>
    <row r="16639" spans="1:20" x14ac:dyDescent="0.25">
      <c r="A16639" t="str">
        <f>"3056352"</f>
        <v>3056352</v>
      </c>
      <c r="B16639" t="s">
        <v>50956</v>
      </c>
      <c r="C16639" t="str">
        <f>"8313691"</f>
        <v>8313691</v>
      </c>
      <c r="D16639" t="s">
        <v>50957</v>
      </c>
      <c r="E16639" t="s">
        <v>50958</v>
      </c>
      <c r="F16639" t="s">
        <v>50959</v>
      </c>
      <c r="I16639" t="s">
        <v>29</v>
      </c>
      <c r="J16639" t="s">
        <v>30</v>
      </c>
      <c r="K16639" t="s">
        <v>50960</v>
      </c>
      <c r="M16639" t="s">
        <v>50621</v>
      </c>
      <c r="N16639" t="str">
        <f>"3/25/2022 11:57:00 AM"</f>
        <v>3/25/2022 11:57:00 AM</v>
      </c>
      <c r="O16639" t="s">
        <v>50957</v>
      </c>
      <c r="T16639" t="s">
        <v>50958</v>
      </c>
    </row>
    <row r="16640" spans="1:20" x14ac:dyDescent="0.25">
      <c r="A16640" t="str">
        <f>"3059438"</f>
        <v>3059438</v>
      </c>
      <c r="B16640" t="s">
        <v>50961</v>
      </c>
      <c r="C16640" t="str">
        <f>"8317353"</f>
        <v>8317353</v>
      </c>
      <c r="D16640" t="s">
        <v>50962</v>
      </c>
      <c r="F16640" t="s">
        <v>50963</v>
      </c>
      <c r="I16640" t="s">
        <v>17921</v>
      </c>
      <c r="J16640" t="s">
        <v>30</v>
      </c>
      <c r="K16640" t="str">
        <f>"27028"</f>
        <v>27028</v>
      </c>
      <c r="M16640" t="s">
        <v>17861</v>
      </c>
      <c r="N16640" t="str">
        <f>"3/11/2022 4:06:00 PM"</f>
        <v>3/11/2022 4:06:00 PM</v>
      </c>
      <c r="O16640" t="s">
        <v>50962</v>
      </c>
    </row>
    <row r="16641" spans="1:20" x14ac:dyDescent="0.25">
      <c r="A16641" t="str">
        <f>"3061005"</f>
        <v>3061005</v>
      </c>
      <c r="B16641" t="s">
        <v>50964</v>
      </c>
      <c r="C16641" t="str">
        <f>"8317404"</f>
        <v>8317404</v>
      </c>
      <c r="D16641" t="s">
        <v>50965</v>
      </c>
      <c r="F16641" t="s">
        <v>50966</v>
      </c>
      <c r="I16641" t="s">
        <v>2071</v>
      </c>
      <c r="J16641" t="s">
        <v>30</v>
      </c>
      <c r="K16641" t="s">
        <v>38104</v>
      </c>
      <c r="M16641" t="s">
        <v>17861</v>
      </c>
      <c r="N16641" t="str">
        <f>"3/21/2022 1:45:00 PM"</f>
        <v>3/21/2022 1:45:00 PM</v>
      </c>
      <c r="O16641" t="s">
        <v>50965</v>
      </c>
    </row>
    <row r="16642" spans="1:20" x14ac:dyDescent="0.25">
      <c r="A16642" t="str">
        <f>"3053024"</f>
        <v>3053024</v>
      </c>
      <c r="B16642" t="s">
        <v>50967</v>
      </c>
      <c r="C16642" t="str">
        <f>"8317425"</f>
        <v>8317425</v>
      </c>
      <c r="D16642" t="s">
        <v>50968</v>
      </c>
      <c r="E16642" t="s">
        <v>50969</v>
      </c>
      <c r="F16642" t="s">
        <v>50970</v>
      </c>
      <c r="I16642" t="s">
        <v>50971</v>
      </c>
      <c r="J16642" t="s">
        <v>30</v>
      </c>
      <c r="K16642" t="s">
        <v>50972</v>
      </c>
      <c r="M16642" t="s">
        <v>17861</v>
      </c>
      <c r="N16642" t="str">
        <f>"3/25/2022 12:59:00 PM"</f>
        <v>3/25/2022 12:59:00 PM</v>
      </c>
      <c r="O16642" t="s">
        <v>50968</v>
      </c>
      <c r="T16642" t="s">
        <v>50969</v>
      </c>
    </row>
    <row r="16643" spans="1:20" x14ac:dyDescent="0.25">
      <c r="A16643" t="str">
        <f>"3053028"</f>
        <v>3053028</v>
      </c>
      <c r="B16643" t="s">
        <v>50973</v>
      </c>
      <c r="C16643" t="str">
        <f>"8317425"</f>
        <v>8317425</v>
      </c>
      <c r="D16643" t="s">
        <v>50968</v>
      </c>
      <c r="E16643" t="s">
        <v>50969</v>
      </c>
      <c r="F16643" t="s">
        <v>50970</v>
      </c>
      <c r="I16643" t="s">
        <v>50971</v>
      </c>
      <c r="J16643" t="s">
        <v>30</v>
      </c>
      <c r="K16643" t="s">
        <v>50972</v>
      </c>
      <c r="M16643" t="s">
        <v>17861</v>
      </c>
      <c r="N16643" t="str">
        <f>"3/25/2022 12:59:00 PM"</f>
        <v>3/25/2022 12:59:00 PM</v>
      </c>
      <c r="O16643" t="s">
        <v>50968</v>
      </c>
      <c r="T16643" t="s">
        <v>50969</v>
      </c>
    </row>
    <row r="16644" spans="1:20" x14ac:dyDescent="0.25">
      <c r="A16644" t="str">
        <f>"3039937"</f>
        <v>3039937</v>
      </c>
      <c r="B16644" t="s">
        <v>50974</v>
      </c>
      <c r="C16644" t="str">
        <f>"8317426"</f>
        <v>8317426</v>
      </c>
      <c r="D16644" t="s">
        <v>50975</v>
      </c>
      <c r="F16644" t="s">
        <v>50976</v>
      </c>
      <c r="I16644" t="s">
        <v>29</v>
      </c>
      <c r="J16644" t="s">
        <v>30</v>
      </c>
      <c r="K16644" t="s">
        <v>3215</v>
      </c>
      <c r="M16644" t="s">
        <v>17861</v>
      </c>
      <c r="N16644" t="str">
        <f>"3/25/2022 1:05:00 PM"</f>
        <v>3/25/2022 1:05:00 PM</v>
      </c>
      <c r="O16644" t="s">
        <v>50975</v>
      </c>
    </row>
    <row r="16645" spans="1:20" x14ac:dyDescent="0.25">
      <c r="A16645" t="str">
        <f>"3060336"</f>
        <v>3060336</v>
      </c>
      <c r="B16645" t="s">
        <v>50977</v>
      </c>
      <c r="C16645" t="str">
        <f>"8317427"</f>
        <v>8317427</v>
      </c>
      <c r="D16645" t="s">
        <v>50978</v>
      </c>
      <c r="E16645" t="s">
        <v>50979</v>
      </c>
      <c r="F16645" t="s">
        <v>50980</v>
      </c>
      <c r="I16645" t="s">
        <v>29</v>
      </c>
      <c r="J16645" t="s">
        <v>30</v>
      </c>
      <c r="K16645" t="s">
        <v>20431</v>
      </c>
      <c r="M16645" t="s">
        <v>17861</v>
      </c>
      <c r="N16645" t="str">
        <f>"3/25/2022 1:11:00 PM"</f>
        <v>3/25/2022 1:11:00 PM</v>
      </c>
      <c r="O16645" t="s">
        <v>50978</v>
      </c>
      <c r="T16645" t="s">
        <v>50979</v>
      </c>
    </row>
    <row r="16646" spans="1:20" x14ac:dyDescent="0.25">
      <c r="A16646" t="str">
        <f>"3042617"</f>
        <v>3042617</v>
      </c>
      <c r="B16646" t="s">
        <v>50981</v>
      </c>
      <c r="C16646" t="str">
        <f>"8317405"</f>
        <v>8317405</v>
      </c>
      <c r="D16646" t="s">
        <v>50982</v>
      </c>
      <c r="E16646" t="s">
        <v>50983</v>
      </c>
      <c r="F16646" t="s">
        <v>50984</v>
      </c>
      <c r="I16646" t="s">
        <v>29</v>
      </c>
      <c r="J16646" t="s">
        <v>30</v>
      </c>
      <c r="K16646" t="s">
        <v>50985</v>
      </c>
      <c r="M16646" t="s">
        <v>17861</v>
      </c>
      <c r="N16646" t="str">
        <f>"3/21/2022 2:16:00 PM"</f>
        <v>3/21/2022 2:16:00 PM</v>
      </c>
      <c r="O16646" t="s">
        <v>50982</v>
      </c>
      <c r="T16646" t="s">
        <v>50983</v>
      </c>
    </row>
    <row r="16647" spans="1:20" x14ac:dyDescent="0.25">
      <c r="A16647" t="str">
        <f>"3052929"</f>
        <v>3052929</v>
      </c>
      <c r="B16647" t="s">
        <v>50986</v>
      </c>
      <c r="C16647" t="str">
        <f>"8317406"</f>
        <v>8317406</v>
      </c>
      <c r="D16647" t="s">
        <v>50987</v>
      </c>
      <c r="E16647" t="s">
        <v>50988</v>
      </c>
      <c r="F16647" t="s">
        <v>50989</v>
      </c>
      <c r="I16647" t="s">
        <v>14378</v>
      </c>
      <c r="J16647" t="s">
        <v>30</v>
      </c>
      <c r="K16647" t="s">
        <v>50990</v>
      </c>
      <c r="M16647" t="s">
        <v>17861</v>
      </c>
      <c r="N16647" t="str">
        <f>"3/21/2022 2:32:00 PM"</f>
        <v>3/21/2022 2:32:00 PM</v>
      </c>
      <c r="O16647" t="s">
        <v>50987</v>
      </c>
      <c r="T16647" t="s">
        <v>50988</v>
      </c>
    </row>
    <row r="16648" spans="1:20" x14ac:dyDescent="0.25">
      <c r="A16648" t="str">
        <f>"3059226"</f>
        <v>3059226</v>
      </c>
      <c r="B16648" t="s">
        <v>50991</v>
      </c>
      <c r="C16648" t="str">
        <f>"8317434"</f>
        <v>8317434</v>
      </c>
      <c r="D16648" t="s">
        <v>50992</v>
      </c>
      <c r="F16648" t="s">
        <v>50993</v>
      </c>
      <c r="I16648" t="s">
        <v>184</v>
      </c>
      <c r="J16648" t="s">
        <v>30</v>
      </c>
      <c r="K16648" t="s">
        <v>36136</v>
      </c>
      <c r="M16648" t="s">
        <v>17861</v>
      </c>
      <c r="N16648" t="str">
        <f>"3/28/2022 11:00:00 AM"</f>
        <v>3/28/2022 11:00:00 AM</v>
      </c>
      <c r="O16648" t="s">
        <v>50992</v>
      </c>
    </row>
    <row r="16649" spans="1:20" x14ac:dyDescent="0.25">
      <c r="A16649" t="str">
        <f>"3051741"</f>
        <v>3051741</v>
      </c>
      <c r="B16649" t="s">
        <v>50994</v>
      </c>
      <c r="C16649" t="str">
        <f>"8317435"</f>
        <v>8317435</v>
      </c>
      <c r="D16649" t="s">
        <v>50995</v>
      </c>
      <c r="F16649" t="s">
        <v>50996</v>
      </c>
      <c r="I16649" t="s">
        <v>29</v>
      </c>
      <c r="J16649" t="s">
        <v>30</v>
      </c>
      <c r="K16649" t="str">
        <f>"27028"</f>
        <v>27028</v>
      </c>
      <c r="M16649" t="s">
        <v>17861</v>
      </c>
      <c r="N16649" t="str">
        <f>"3/28/2022 11:24:00 AM"</f>
        <v>3/28/2022 11:24:00 AM</v>
      </c>
      <c r="O16649" t="s">
        <v>50995</v>
      </c>
    </row>
    <row r="16650" spans="1:20" x14ac:dyDescent="0.25">
      <c r="A16650" t="str">
        <f>"3050895"</f>
        <v>3050895</v>
      </c>
      <c r="B16650" t="s">
        <v>50997</v>
      </c>
      <c r="C16650" t="str">
        <f>"82520535"</f>
        <v>82520535</v>
      </c>
      <c r="D16650" t="s">
        <v>50998</v>
      </c>
      <c r="E16650" t="s">
        <v>50999</v>
      </c>
      <c r="F16650" t="s">
        <v>51000</v>
      </c>
      <c r="I16650" t="s">
        <v>184</v>
      </c>
      <c r="J16650" t="s">
        <v>30</v>
      </c>
      <c r="K16650" t="s">
        <v>185</v>
      </c>
      <c r="M16650" t="s">
        <v>50793</v>
      </c>
      <c r="N16650" t="str">
        <f>"3/21/2022 3:24:00 PM"</f>
        <v>3/21/2022 3:24:00 PM</v>
      </c>
      <c r="O16650" t="s">
        <v>50998</v>
      </c>
      <c r="T16650" t="s">
        <v>50999</v>
      </c>
    </row>
    <row r="16651" spans="1:20" x14ac:dyDescent="0.25">
      <c r="A16651" t="str">
        <f>"3047827"</f>
        <v>3047827</v>
      </c>
      <c r="B16651" t="s">
        <v>51001</v>
      </c>
      <c r="C16651" t="str">
        <f>"8310176"</f>
        <v>8310176</v>
      </c>
      <c r="D16651" t="s">
        <v>51002</v>
      </c>
      <c r="F16651" t="s">
        <v>51003</v>
      </c>
      <c r="I16651" t="s">
        <v>184</v>
      </c>
      <c r="J16651" t="s">
        <v>30</v>
      </c>
      <c r="K16651" t="s">
        <v>10425</v>
      </c>
      <c r="M16651" t="s">
        <v>50793</v>
      </c>
      <c r="N16651" t="str">
        <f>"3/18/2022 1:50:00 PM"</f>
        <v>3/18/2022 1:50:00 PM</v>
      </c>
      <c r="O16651" t="s">
        <v>51002</v>
      </c>
    </row>
    <row r="16652" spans="1:20" x14ac:dyDescent="0.25">
      <c r="A16652" t="str">
        <f>"3046255"</f>
        <v>3046255</v>
      </c>
      <c r="B16652" t="s">
        <v>51004</v>
      </c>
      <c r="C16652" t="str">
        <f>"8317441"</f>
        <v>8317441</v>
      </c>
      <c r="D16652" t="s">
        <v>51005</v>
      </c>
      <c r="F16652" t="s">
        <v>51006</v>
      </c>
      <c r="I16652" t="s">
        <v>51007</v>
      </c>
      <c r="J16652" t="s">
        <v>51008</v>
      </c>
      <c r="K16652" t="s">
        <v>51009</v>
      </c>
      <c r="M16652" t="s">
        <v>17861</v>
      </c>
      <c r="N16652" t="str">
        <f>"3/29/2022 8:36:00 AM"</f>
        <v>3/29/2022 8:36:00 AM</v>
      </c>
      <c r="O16652" t="s">
        <v>51005</v>
      </c>
    </row>
    <row r="16653" spans="1:20" x14ac:dyDescent="0.25">
      <c r="A16653" t="str">
        <f>"3043330"</f>
        <v>3043330</v>
      </c>
      <c r="B16653" t="s">
        <v>51010</v>
      </c>
      <c r="C16653" t="str">
        <f>"8303300"</f>
        <v>8303300</v>
      </c>
      <c r="D16653" t="s">
        <v>51011</v>
      </c>
      <c r="E16653" t="s">
        <v>51012</v>
      </c>
      <c r="F16653" t="s">
        <v>47687</v>
      </c>
      <c r="I16653" t="s">
        <v>29</v>
      </c>
      <c r="J16653" t="s">
        <v>30</v>
      </c>
      <c r="K16653" t="str">
        <f>"27028"</f>
        <v>27028</v>
      </c>
      <c r="M16653" t="s">
        <v>50621</v>
      </c>
      <c r="N16653" t="str">
        <f>"3/29/2022 10:48:00 AM"</f>
        <v>3/29/2022 10:48:00 AM</v>
      </c>
      <c r="O16653" t="s">
        <v>51011</v>
      </c>
      <c r="T16653" t="s">
        <v>51012</v>
      </c>
    </row>
    <row r="16654" spans="1:20" x14ac:dyDescent="0.25">
      <c r="A16654" t="str">
        <f>"3043169"</f>
        <v>3043169</v>
      </c>
      <c r="B16654" t="s">
        <v>51013</v>
      </c>
      <c r="C16654" t="str">
        <f>"8303300"</f>
        <v>8303300</v>
      </c>
      <c r="D16654" t="s">
        <v>51011</v>
      </c>
      <c r="E16654" t="s">
        <v>51012</v>
      </c>
      <c r="F16654" t="s">
        <v>47687</v>
      </c>
      <c r="I16654" t="s">
        <v>29</v>
      </c>
      <c r="J16654" t="s">
        <v>30</v>
      </c>
      <c r="K16654" t="str">
        <f>"27028"</f>
        <v>27028</v>
      </c>
      <c r="M16654" t="s">
        <v>50621</v>
      </c>
      <c r="N16654" t="str">
        <f>"3/29/2022 10:48:00 AM"</f>
        <v>3/29/2022 10:48:00 AM</v>
      </c>
      <c r="O16654" t="s">
        <v>51011</v>
      </c>
      <c r="T16654" t="s">
        <v>51012</v>
      </c>
    </row>
    <row r="16655" spans="1:20" x14ac:dyDescent="0.25">
      <c r="A16655" t="str">
        <f>"3060064"</f>
        <v>3060064</v>
      </c>
      <c r="B16655" t="s">
        <v>51014</v>
      </c>
      <c r="C16655" t="str">
        <f>"8316328"</f>
        <v>8316328</v>
      </c>
      <c r="D16655" t="s">
        <v>51015</v>
      </c>
      <c r="E16655" t="s">
        <v>51016</v>
      </c>
      <c r="F16655" t="s">
        <v>51017</v>
      </c>
      <c r="I16655" t="s">
        <v>402</v>
      </c>
      <c r="J16655" t="s">
        <v>30</v>
      </c>
      <c r="K16655" t="s">
        <v>51018</v>
      </c>
      <c r="M16655" t="s">
        <v>50793</v>
      </c>
      <c r="N16655" t="str">
        <f>"3/22/2022 2:12:00 PM"</f>
        <v>3/22/2022 2:12:00 PM</v>
      </c>
      <c r="O16655" t="s">
        <v>51015</v>
      </c>
      <c r="T16655" t="s">
        <v>51016</v>
      </c>
    </row>
    <row r="16656" spans="1:20" x14ac:dyDescent="0.25">
      <c r="A16656" t="str">
        <f>"3045601"</f>
        <v>3045601</v>
      </c>
      <c r="B16656" t="s">
        <v>51019</v>
      </c>
      <c r="C16656" t="str">
        <f>"8313072"</f>
        <v>8313072</v>
      </c>
      <c r="D16656" t="s">
        <v>51020</v>
      </c>
      <c r="F16656" t="s">
        <v>51021</v>
      </c>
      <c r="I16656" t="s">
        <v>29</v>
      </c>
      <c r="J16656" t="s">
        <v>30</v>
      </c>
      <c r="K16656" t="s">
        <v>7858</v>
      </c>
      <c r="M16656" t="s">
        <v>18479</v>
      </c>
      <c r="N16656" t="str">
        <f>"3/22/2022 4:49:00 PM"</f>
        <v>3/22/2022 4:49:00 PM</v>
      </c>
      <c r="O16656" t="s">
        <v>51020</v>
      </c>
    </row>
    <row r="16657" spans="1:20" x14ac:dyDescent="0.25">
      <c r="A16657" t="str">
        <f>"3050149"</f>
        <v>3050149</v>
      </c>
      <c r="B16657" t="s">
        <v>51022</v>
      </c>
      <c r="C16657" t="str">
        <f>"8317412"</f>
        <v>8317412</v>
      </c>
      <c r="D16657" t="s">
        <v>51023</v>
      </c>
      <c r="F16657" t="s">
        <v>51024</v>
      </c>
      <c r="I16657" t="s">
        <v>29</v>
      </c>
      <c r="J16657" t="s">
        <v>30</v>
      </c>
      <c r="K16657" t="s">
        <v>13099</v>
      </c>
      <c r="M16657" t="s">
        <v>17861</v>
      </c>
      <c r="N16657" t="str">
        <f>"3/23/2022 10:09:00 AM"</f>
        <v>3/23/2022 10:09:00 AM</v>
      </c>
      <c r="O16657" t="s">
        <v>51023</v>
      </c>
    </row>
    <row r="16658" spans="1:20" x14ac:dyDescent="0.25">
      <c r="A16658" t="str">
        <f>"3060166"</f>
        <v>3060166</v>
      </c>
      <c r="B16658" t="s">
        <v>51025</v>
      </c>
      <c r="C16658" t="str">
        <f>"8317393"</f>
        <v>8317393</v>
      </c>
      <c r="D16658" t="s">
        <v>51026</v>
      </c>
      <c r="E16658" t="s">
        <v>51027</v>
      </c>
      <c r="F16658" t="s">
        <v>51028</v>
      </c>
      <c r="I16658" t="s">
        <v>184</v>
      </c>
      <c r="J16658" t="s">
        <v>30</v>
      </c>
      <c r="K16658" t="s">
        <v>48651</v>
      </c>
      <c r="M16658" t="s">
        <v>17861</v>
      </c>
      <c r="N16658" t="str">
        <f>"3/21/2022 9:05:00 AM"</f>
        <v>3/21/2022 9:05:00 AM</v>
      </c>
      <c r="O16658" t="s">
        <v>51026</v>
      </c>
      <c r="T16658" t="s">
        <v>51027</v>
      </c>
    </row>
    <row r="16659" spans="1:20" x14ac:dyDescent="0.25">
      <c r="A16659" t="str">
        <f>"3048112"</f>
        <v>3048112</v>
      </c>
      <c r="B16659" t="s">
        <v>51029</v>
      </c>
      <c r="C16659" t="str">
        <f>"8317395"</f>
        <v>8317395</v>
      </c>
      <c r="D16659" t="s">
        <v>51030</v>
      </c>
      <c r="E16659" t="s">
        <v>51031</v>
      </c>
      <c r="F16659" t="s">
        <v>51032</v>
      </c>
      <c r="I16659" t="s">
        <v>184</v>
      </c>
      <c r="J16659" t="s">
        <v>30</v>
      </c>
      <c r="K16659" t="s">
        <v>7665</v>
      </c>
      <c r="M16659" t="s">
        <v>17861</v>
      </c>
      <c r="N16659" t="str">
        <f>"3/21/2022 9:11:00 AM"</f>
        <v>3/21/2022 9:11:00 AM</v>
      </c>
      <c r="O16659" t="s">
        <v>51030</v>
      </c>
      <c r="T16659" t="s">
        <v>51031</v>
      </c>
    </row>
    <row r="16660" spans="1:20" x14ac:dyDescent="0.25">
      <c r="A16660" t="str">
        <f>"3047848"</f>
        <v>3047848</v>
      </c>
      <c r="B16660" t="s">
        <v>51033</v>
      </c>
      <c r="C16660" t="str">
        <f>"8314724"</f>
        <v>8314724</v>
      </c>
      <c r="D16660" t="s">
        <v>51034</v>
      </c>
      <c r="E16660" t="s">
        <v>51035</v>
      </c>
      <c r="F16660" t="s">
        <v>51036</v>
      </c>
      <c r="I16660" t="s">
        <v>184</v>
      </c>
      <c r="J16660" t="s">
        <v>30</v>
      </c>
      <c r="K16660" t="s">
        <v>45882</v>
      </c>
      <c r="M16660" t="s">
        <v>50621</v>
      </c>
      <c r="N16660" t="str">
        <f>"3/11/2022 2:20:00 PM"</f>
        <v>3/11/2022 2:20:00 PM</v>
      </c>
      <c r="O16660" t="s">
        <v>51034</v>
      </c>
      <c r="T16660" t="s">
        <v>51035</v>
      </c>
    </row>
    <row r="16661" spans="1:20" x14ac:dyDescent="0.25">
      <c r="A16661" t="str">
        <f>"3078355"</f>
        <v>3078355</v>
      </c>
      <c r="B16661" t="s">
        <v>51037</v>
      </c>
      <c r="C16661" t="str">
        <f>"8314724"</f>
        <v>8314724</v>
      </c>
      <c r="D16661" t="s">
        <v>51034</v>
      </c>
      <c r="E16661" t="s">
        <v>51035</v>
      </c>
      <c r="F16661" t="s">
        <v>51036</v>
      </c>
      <c r="I16661" t="s">
        <v>184</v>
      </c>
      <c r="J16661" t="s">
        <v>30</v>
      </c>
      <c r="K16661" t="s">
        <v>45882</v>
      </c>
      <c r="M16661" t="s">
        <v>50621</v>
      </c>
      <c r="N16661" t="str">
        <f>"3/11/2022 2:20:00 PM"</f>
        <v>3/11/2022 2:20:00 PM</v>
      </c>
      <c r="O16661" t="s">
        <v>51034</v>
      </c>
      <c r="T16661" t="s">
        <v>51035</v>
      </c>
    </row>
    <row r="16662" spans="1:20" x14ac:dyDescent="0.25">
      <c r="A16662" t="str">
        <f>"3055805"</f>
        <v>3055805</v>
      </c>
      <c r="B16662" t="s">
        <v>51038</v>
      </c>
      <c r="C16662" t="str">
        <f>"8317414"</f>
        <v>8317414</v>
      </c>
      <c r="D16662" t="s">
        <v>51039</v>
      </c>
      <c r="F16662" t="s">
        <v>51040</v>
      </c>
      <c r="I16662" t="s">
        <v>9580</v>
      </c>
      <c r="J16662" t="s">
        <v>30</v>
      </c>
      <c r="K16662" t="s">
        <v>51041</v>
      </c>
      <c r="M16662" t="s">
        <v>17861</v>
      </c>
      <c r="N16662" t="str">
        <f>"3/24/2022 11:10:00 AM"</f>
        <v>3/24/2022 11:10:00 AM</v>
      </c>
      <c r="O16662" t="s">
        <v>51039</v>
      </c>
    </row>
    <row r="16663" spans="1:20" x14ac:dyDescent="0.25">
      <c r="A16663" t="str">
        <f>"3052623"</f>
        <v>3052623</v>
      </c>
      <c r="B16663" t="s">
        <v>51042</v>
      </c>
      <c r="C16663" t="str">
        <f>"82523449"</f>
        <v>82523449</v>
      </c>
      <c r="D16663" t="s">
        <v>51043</v>
      </c>
      <c r="E16663" t="s">
        <v>51044</v>
      </c>
      <c r="F16663" t="s">
        <v>51045</v>
      </c>
      <c r="I16663" t="s">
        <v>29</v>
      </c>
      <c r="J16663" t="s">
        <v>30</v>
      </c>
      <c r="K16663" t="s">
        <v>12144</v>
      </c>
      <c r="M16663" t="s">
        <v>50793</v>
      </c>
      <c r="N16663" t="str">
        <f>"3/24/2022 1:41:00 PM"</f>
        <v>3/24/2022 1:41:00 PM</v>
      </c>
      <c r="O16663" t="s">
        <v>51043</v>
      </c>
      <c r="T16663" t="s">
        <v>51044</v>
      </c>
    </row>
    <row r="16664" spans="1:20" x14ac:dyDescent="0.25">
      <c r="A16664" t="str">
        <f>"3060212"</f>
        <v>3060212</v>
      </c>
      <c r="B16664" t="s">
        <v>51046</v>
      </c>
      <c r="C16664" t="str">
        <f>"8317447"</f>
        <v>8317447</v>
      </c>
      <c r="D16664" t="s">
        <v>48263</v>
      </c>
      <c r="E16664" t="s">
        <v>51047</v>
      </c>
      <c r="F16664" t="s">
        <v>51048</v>
      </c>
      <c r="I16664" t="s">
        <v>184</v>
      </c>
      <c r="J16664" t="s">
        <v>30</v>
      </c>
      <c r="K16664" t="s">
        <v>33014</v>
      </c>
      <c r="M16664" t="s">
        <v>17861</v>
      </c>
      <c r="N16664" t="str">
        <f>"4/4/2022 9:26:00 AM"</f>
        <v>4/4/2022 9:26:00 AM</v>
      </c>
      <c r="O16664" t="s">
        <v>48263</v>
      </c>
      <c r="T16664" t="s">
        <v>51047</v>
      </c>
    </row>
    <row r="16665" spans="1:20" x14ac:dyDescent="0.25">
      <c r="A16665" t="str">
        <f>"3043607"</f>
        <v>3043607</v>
      </c>
      <c r="B16665" t="s">
        <v>51049</v>
      </c>
      <c r="C16665" t="str">
        <f>"8317448"</f>
        <v>8317448</v>
      </c>
      <c r="D16665" t="s">
        <v>51050</v>
      </c>
      <c r="F16665" t="s">
        <v>51051</v>
      </c>
      <c r="I16665" t="s">
        <v>29</v>
      </c>
      <c r="J16665" t="s">
        <v>30</v>
      </c>
      <c r="K16665" t="s">
        <v>7114</v>
      </c>
      <c r="M16665" t="s">
        <v>17861</v>
      </c>
      <c r="N16665" t="str">
        <f>"4/4/2022 9:55:00 AM"</f>
        <v>4/4/2022 9:55:00 AM</v>
      </c>
      <c r="O16665" t="s">
        <v>51050</v>
      </c>
    </row>
    <row r="16666" spans="1:20" x14ac:dyDescent="0.25">
      <c r="A16666" t="str">
        <f>"3051782"</f>
        <v>3051782</v>
      </c>
      <c r="B16666" t="s">
        <v>51052</v>
      </c>
      <c r="C16666" t="str">
        <f>"8317452"</f>
        <v>8317452</v>
      </c>
      <c r="D16666" t="s">
        <v>51053</v>
      </c>
      <c r="E16666" t="s">
        <v>51054</v>
      </c>
      <c r="F16666" t="s">
        <v>36426</v>
      </c>
      <c r="I16666" t="s">
        <v>29</v>
      </c>
      <c r="J16666" t="s">
        <v>30</v>
      </c>
      <c r="K16666" t="s">
        <v>36427</v>
      </c>
      <c r="M16666" t="s">
        <v>17861</v>
      </c>
      <c r="N16666" t="str">
        <f>"4/4/2022 11:00:00 AM"</f>
        <v>4/4/2022 11:00:00 AM</v>
      </c>
      <c r="O16666" t="s">
        <v>51053</v>
      </c>
      <c r="T16666" t="s">
        <v>51054</v>
      </c>
    </row>
    <row r="16667" spans="1:20" x14ac:dyDescent="0.25">
      <c r="A16667" t="str">
        <f>"3051830"</f>
        <v>3051830</v>
      </c>
      <c r="B16667" t="s">
        <v>51055</v>
      </c>
      <c r="C16667" t="str">
        <f>"8317453"</f>
        <v>8317453</v>
      </c>
      <c r="D16667" t="s">
        <v>51053</v>
      </c>
      <c r="F16667" t="s">
        <v>36426</v>
      </c>
      <c r="I16667" t="s">
        <v>29</v>
      </c>
      <c r="J16667" t="s">
        <v>30</v>
      </c>
      <c r="K16667" t="s">
        <v>36427</v>
      </c>
      <c r="M16667" t="s">
        <v>17861</v>
      </c>
      <c r="N16667" t="str">
        <f>"4/4/2022 11:03:00 AM"</f>
        <v>4/4/2022 11:03:00 AM</v>
      </c>
      <c r="O16667" t="s">
        <v>51053</v>
      </c>
    </row>
    <row r="16668" spans="1:20" x14ac:dyDescent="0.25">
      <c r="A16668" t="str">
        <f>"3049210"</f>
        <v>3049210</v>
      </c>
      <c r="B16668" t="s">
        <v>51056</v>
      </c>
      <c r="C16668" t="str">
        <f>"8317453"</f>
        <v>8317453</v>
      </c>
      <c r="D16668" t="s">
        <v>51053</v>
      </c>
      <c r="F16668" t="s">
        <v>36426</v>
      </c>
      <c r="I16668" t="s">
        <v>29</v>
      </c>
      <c r="J16668" t="s">
        <v>30</v>
      </c>
      <c r="K16668" t="s">
        <v>36427</v>
      </c>
      <c r="M16668" t="s">
        <v>17861</v>
      </c>
      <c r="N16668" t="str">
        <f>"4/4/2022 11:03:00 AM"</f>
        <v>4/4/2022 11:03:00 AM</v>
      </c>
      <c r="O16668" t="s">
        <v>51053</v>
      </c>
    </row>
    <row r="16669" spans="1:20" x14ac:dyDescent="0.25">
      <c r="A16669" t="str">
        <f>"3041981"</f>
        <v>3041981</v>
      </c>
      <c r="B16669" t="s">
        <v>51057</v>
      </c>
      <c r="C16669" t="str">
        <f>"8317454"</f>
        <v>8317454</v>
      </c>
      <c r="D16669" t="s">
        <v>51058</v>
      </c>
      <c r="F16669" t="s">
        <v>51059</v>
      </c>
      <c r="I16669" t="s">
        <v>184</v>
      </c>
      <c r="J16669" t="s">
        <v>30</v>
      </c>
      <c r="K16669" t="s">
        <v>44834</v>
      </c>
      <c r="M16669" t="s">
        <v>17861</v>
      </c>
      <c r="N16669" t="str">
        <f>"4/4/2022 11:17:00 AM"</f>
        <v>4/4/2022 11:17:00 AM</v>
      </c>
      <c r="O16669" t="s">
        <v>51058</v>
      </c>
    </row>
    <row r="16670" spans="1:20" x14ac:dyDescent="0.25">
      <c r="A16670" t="str">
        <f>"3042068"</f>
        <v>3042068</v>
      </c>
      <c r="B16670" t="s">
        <v>51060</v>
      </c>
      <c r="C16670" t="str">
        <f>"8317454"</f>
        <v>8317454</v>
      </c>
      <c r="D16670" t="s">
        <v>51058</v>
      </c>
      <c r="F16670" t="s">
        <v>51059</v>
      </c>
      <c r="I16670" t="s">
        <v>184</v>
      </c>
      <c r="J16670" t="s">
        <v>30</v>
      </c>
      <c r="K16670" t="s">
        <v>44834</v>
      </c>
      <c r="M16670" t="s">
        <v>17861</v>
      </c>
      <c r="N16670" t="str">
        <f>"4/4/2022 11:17:00 AM"</f>
        <v>4/4/2022 11:17:00 AM</v>
      </c>
      <c r="O16670" t="s">
        <v>51058</v>
      </c>
    </row>
    <row r="16671" spans="1:20" x14ac:dyDescent="0.25">
      <c r="A16671" t="str">
        <f>"3045341"</f>
        <v>3045341</v>
      </c>
      <c r="B16671" t="s">
        <v>51061</v>
      </c>
      <c r="C16671" t="str">
        <f>"8317417"</f>
        <v>8317417</v>
      </c>
      <c r="D16671" t="s">
        <v>51062</v>
      </c>
      <c r="F16671" t="s">
        <v>51063</v>
      </c>
      <c r="I16671" t="s">
        <v>1149</v>
      </c>
      <c r="J16671" t="s">
        <v>30</v>
      </c>
      <c r="K16671" t="s">
        <v>37558</v>
      </c>
      <c r="M16671" t="s">
        <v>17861</v>
      </c>
      <c r="N16671" t="str">
        <f>"3/24/2022 3:04:00 PM"</f>
        <v>3/24/2022 3:04:00 PM</v>
      </c>
      <c r="O16671" t="s">
        <v>51062</v>
      </c>
    </row>
    <row r="16672" spans="1:20" x14ac:dyDescent="0.25">
      <c r="A16672" t="str">
        <f>"3059464"</f>
        <v>3059464</v>
      </c>
      <c r="B16672" t="s">
        <v>51064</v>
      </c>
      <c r="C16672" t="str">
        <f>"8317343"</f>
        <v>8317343</v>
      </c>
      <c r="D16672" t="s">
        <v>51065</v>
      </c>
      <c r="E16672" t="s">
        <v>51066</v>
      </c>
      <c r="F16672" t="s">
        <v>51067</v>
      </c>
      <c r="I16672" t="s">
        <v>17921</v>
      </c>
      <c r="J16672" t="s">
        <v>30</v>
      </c>
      <c r="K16672" t="str">
        <f>"27028"</f>
        <v>27028</v>
      </c>
      <c r="M16672" t="s">
        <v>17861</v>
      </c>
      <c r="N16672" t="str">
        <f>"3/11/2022 3:11:00 PM"</f>
        <v>3/11/2022 3:11:00 PM</v>
      </c>
      <c r="O16672" t="s">
        <v>51065</v>
      </c>
      <c r="T16672" t="s">
        <v>51066</v>
      </c>
    </row>
    <row r="16673" spans="1:20" x14ac:dyDescent="0.25">
      <c r="A16673" t="str">
        <f>"3044841"</f>
        <v>3044841</v>
      </c>
      <c r="B16673" t="s">
        <v>51068</v>
      </c>
      <c r="C16673" t="str">
        <f>"8317344"</f>
        <v>8317344</v>
      </c>
      <c r="D16673" t="s">
        <v>51069</v>
      </c>
      <c r="E16673" t="s">
        <v>51070</v>
      </c>
      <c r="F16673" t="s">
        <v>51071</v>
      </c>
      <c r="I16673" t="s">
        <v>184</v>
      </c>
      <c r="J16673" t="s">
        <v>30</v>
      </c>
      <c r="K16673" t="s">
        <v>6136</v>
      </c>
      <c r="M16673" t="s">
        <v>17861</v>
      </c>
      <c r="N16673" t="str">
        <f>"3/11/2022 3:14:00 PM"</f>
        <v>3/11/2022 3:14:00 PM</v>
      </c>
      <c r="O16673" t="s">
        <v>51069</v>
      </c>
      <c r="T16673" t="s">
        <v>51070</v>
      </c>
    </row>
    <row r="16674" spans="1:20" x14ac:dyDescent="0.25">
      <c r="A16674" t="str">
        <f>"3050320"</f>
        <v>3050320</v>
      </c>
      <c r="B16674" t="s">
        <v>51072</v>
      </c>
      <c r="C16674" t="str">
        <f>"8317457"</f>
        <v>8317457</v>
      </c>
      <c r="D16674" t="s">
        <v>51073</v>
      </c>
      <c r="E16674" t="s">
        <v>51074</v>
      </c>
      <c r="F16674" t="s">
        <v>51075</v>
      </c>
      <c r="I16674" t="s">
        <v>184</v>
      </c>
      <c r="J16674" t="s">
        <v>30</v>
      </c>
      <c r="K16674" t="s">
        <v>12471</v>
      </c>
      <c r="M16674" t="s">
        <v>17861</v>
      </c>
      <c r="N16674" t="str">
        <f>"4/4/2022 1:26:00 PM"</f>
        <v>4/4/2022 1:26:00 PM</v>
      </c>
      <c r="O16674" t="s">
        <v>51073</v>
      </c>
      <c r="T16674" t="s">
        <v>51074</v>
      </c>
    </row>
    <row r="16675" spans="1:20" x14ac:dyDescent="0.25">
      <c r="A16675" t="str">
        <f>"3054479"</f>
        <v>3054479</v>
      </c>
      <c r="B16675" t="s">
        <v>51076</v>
      </c>
      <c r="C16675" t="str">
        <f>"8317458"</f>
        <v>8317458</v>
      </c>
      <c r="D16675" t="s">
        <v>51077</v>
      </c>
      <c r="F16675" t="s">
        <v>51078</v>
      </c>
      <c r="I16675" t="s">
        <v>29</v>
      </c>
      <c r="J16675" t="s">
        <v>30</v>
      </c>
      <c r="K16675" t="s">
        <v>15516</v>
      </c>
      <c r="M16675" t="s">
        <v>17861</v>
      </c>
      <c r="N16675" t="str">
        <f>"4/4/2022 1:28:00 PM"</f>
        <v>4/4/2022 1:28:00 PM</v>
      </c>
      <c r="O16675" t="s">
        <v>51077</v>
      </c>
    </row>
    <row r="16676" spans="1:20" x14ac:dyDescent="0.25">
      <c r="A16676" t="str">
        <f>"3039946"</f>
        <v>3039946</v>
      </c>
      <c r="B16676" t="s">
        <v>51079</v>
      </c>
      <c r="C16676" t="str">
        <f>"8317459"</f>
        <v>8317459</v>
      </c>
      <c r="D16676" t="s">
        <v>51080</v>
      </c>
      <c r="E16676" t="s">
        <v>51081</v>
      </c>
      <c r="F16676" t="s">
        <v>51082</v>
      </c>
      <c r="I16676" t="s">
        <v>29</v>
      </c>
      <c r="J16676" t="s">
        <v>30</v>
      </c>
      <c r="K16676" t="s">
        <v>51083</v>
      </c>
      <c r="M16676" t="s">
        <v>17861</v>
      </c>
      <c r="N16676" t="str">
        <f>"4/4/2022 1:31:00 PM"</f>
        <v>4/4/2022 1:31:00 PM</v>
      </c>
      <c r="O16676" t="s">
        <v>51080</v>
      </c>
      <c r="T16676" t="s">
        <v>51081</v>
      </c>
    </row>
    <row r="16677" spans="1:20" x14ac:dyDescent="0.25">
      <c r="A16677" t="str">
        <f>"3047914"</f>
        <v>3047914</v>
      </c>
      <c r="B16677" t="s">
        <v>51084</v>
      </c>
      <c r="C16677" t="str">
        <f>"8317460"</f>
        <v>8317460</v>
      </c>
      <c r="D16677" t="s">
        <v>51085</v>
      </c>
      <c r="E16677" t="s">
        <v>51086</v>
      </c>
      <c r="F16677" t="s">
        <v>51087</v>
      </c>
      <c r="I16677" t="s">
        <v>29</v>
      </c>
      <c r="J16677" t="s">
        <v>30</v>
      </c>
      <c r="K16677" t="s">
        <v>39803</v>
      </c>
      <c r="M16677" t="s">
        <v>17861</v>
      </c>
      <c r="N16677" t="str">
        <f>"4/4/2022 1:34:00 PM"</f>
        <v>4/4/2022 1:34:00 PM</v>
      </c>
      <c r="O16677" t="s">
        <v>51085</v>
      </c>
      <c r="T16677" t="s">
        <v>51086</v>
      </c>
    </row>
    <row r="16678" spans="1:20" x14ac:dyDescent="0.25">
      <c r="A16678" t="str">
        <f>"3058795"</f>
        <v>3058795</v>
      </c>
      <c r="B16678" t="s">
        <v>51088</v>
      </c>
      <c r="C16678" t="str">
        <f>"8317461"</f>
        <v>8317461</v>
      </c>
      <c r="D16678" t="s">
        <v>51089</v>
      </c>
      <c r="F16678" t="s">
        <v>51090</v>
      </c>
      <c r="I16678" t="s">
        <v>29</v>
      </c>
      <c r="J16678" t="s">
        <v>30</v>
      </c>
      <c r="K16678" t="s">
        <v>11912</v>
      </c>
      <c r="M16678" t="s">
        <v>17861</v>
      </c>
      <c r="N16678" t="str">
        <f>"4/4/2022 1:38:00 PM"</f>
        <v>4/4/2022 1:38:00 PM</v>
      </c>
      <c r="O16678" t="s">
        <v>51089</v>
      </c>
    </row>
    <row r="16679" spans="1:20" x14ac:dyDescent="0.25">
      <c r="A16679" t="str">
        <f>"3042677"</f>
        <v>3042677</v>
      </c>
      <c r="B16679" t="s">
        <v>51091</v>
      </c>
      <c r="C16679" t="str">
        <f>"8317462"</f>
        <v>8317462</v>
      </c>
      <c r="D16679" t="s">
        <v>7966</v>
      </c>
      <c r="E16679" t="s">
        <v>51092</v>
      </c>
      <c r="F16679" t="s">
        <v>51093</v>
      </c>
      <c r="I16679" t="s">
        <v>29</v>
      </c>
      <c r="J16679" t="s">
        <v>30</v>
      </c>
      <c r="K16679" t="s">
        <v>48471</v>
      </c>
      <c r="M16679" t="s">
        <v>17861</v>
      </c>
      <c r="N16679" t="str">
        <f>"4/4/2022 1:40:00 PM"</f>
        <v>4/4/2022 1:40:00 PM</v>
      </c>
      <c r="O16679" t="s">
        <v>7966</v>
      </c>
      <c r="T16679" t="s">
        <v>51092</v>
      </c>
    </row>
    <row r="16680" spans="1:20" x14ac:dyDescent="0.25">
      <c r="A16680" t="str">
        <f>"3041652"</f>
        <v>3041652</v>
      </c>
      <c r="B16680" t="s">
        <v>51094</v>
      </c>
      <c r="C16680" t="str">
        <f>"8317464"</f>
        <v>8317464</v>
      </c>
      <c r="D16680" t="s">
        <v>51095</v>
      </c>
      <c r="E16680" t="s">
        <v>51096</v>
      </c>
      <c r="F16680" t="s">
        <v>51097</v>
      </c>
      <c r="I16680" t="s">
        <v>2071</v>
      </c>
      <c r="J16680" t="s">
        <v>30</v>
      </c>
      <c r="K16680" t="s">
        <v>3597</v>
      </c>
      <c r="M16680" t="s">
        <v>17861</v>
      </c>
      <c r="N16680" t="str">
        <f>"4/4/2022 1:45:00 PM"</f>
        <v>4/4/2022 1:45:00 PM</v>
      </c>
      <c r="O16680" t="s">
        <v>51095</v>
      </c>
      <c r="T16680" t="s">
        <v>51096</v>
      </c>
    </row>
    <row r="16681" spans="1:20" x14ac:dyDescent="0.25">
      <c r="A16681" t="str">
        <f>"3051504"</f>
        <v>3051504</v>
      </c>
      <c r="B16681" t="s">
        <v>51098</v>
      </c>
      <c r="C16681" t="str">
        <f>"8317347"</f>
        <v>8317347</v>
      </c>
      <c r="D16681" t="s">
        <v>51099</v>
      </c>
      <c r="F16681" t="s">
        <v>51100</v>
      </c>
      <c r="I16681" t="s">
        <v>29</v>
      </c>
      <c r="J16681" t="s">
        <v>30</v>
      </c>
      <c r="K16681" t="s">
        <v>41477</v>
      </c>
      <c r="M16681" t="s">
        <v>17861</v>
      </c>
      <c r="N16681" t="str">
        <f>"3/11/2022 3:30:00 PM"</f>
        <v>3/11/2022 3:30:00 PM</v>
      </c>
      <c r="O16681" t="s">
        <v>51099</v>
      </c>
    </row>
    <row r="16682" spans="1:20" x14ac:dyDescent="0.25">
      <c r="A16682" t="str">
        <f>"3061286"</f>
        <v>3061286</v>
      </c>
      <c r="B16682" t="s">
        <v>51101</v>
      </c>
      <c r="C16682" t="str">
        <f>"8317348"</f>
        <v>8317348</v>
      </c>
      <c r="D16682" t="s">
        <v>51102</v>
      </c>
      <c r="E16682" t="s">
        <v>51103</v>
      </c>
      <c r="F16682" t="s">
        <v>51104</v>
      </c>
      <c r="I16682" t="s">
        <v>2071</v>
      </c>
      <c r="J16682" t="s">
        <v>30</v>
      </c>
      <c r="K16682" t="s">
        <v>36586</v>
      </c>
      <c r="M16682" t="s">
        <v>17861</v>
      </c>
      <c r="N16682" t="str">
        <f>"3/11/2022 3:39:00 PM"</f>
        <v>3/11/2022 3:39:00 PM</v>
      </c>
      <c r="O16682" t="s">
        <v>51102</v>
      </c>
      <c r="T16682" t="s">
        <v>51103</v>
      </c>
    </row>
    <row r="16683" spans="1:20" x14ac:dyDescent="0.25">
      <c r="A16683" t="str">
        <f>"3056456"</f>
        <v>3056456</v>
      </c>
      <c r="B16683" t="s">
        <v>51105</v>
      </c>
      <c r="C16683" t="str">
        <f>"8313691"</f>
        <v>8313691</v>
      </c>
      <c r="D16683" t="s">
        <v>50957</v>
      </c>
      <c r="E16683" t="s">
        <v>50958</v>
      </c>
      <c r="F16683" t="s">
        <v>50959</v>
      </c>
      <c r="I16683" t="s">
        <v>29</v>
      </c>
      <c r="J16683" t="s">
        <v>30</v>
      </c>
      <c r="K16683" t="s">
        <v>50960</v>
      </c>
      <c r="M16683" t="s">
        <v>50621</v>
      </c>
      <c r="N16683" t="str">
        <f>"3/25/2022 11:57:00 AM"</f>
        <v>3/25/2022 11:57:00 AM</v>
      </c>
      <c r="O16683" t="s">
        <v>50957</v>
      </c>
      <c r="T16683" t="s">
        <v>50958</v>
      </c>
    </row>
    <row r="16684" spans="1:20" x14ac:dyDescent="0.25">
      <c r="A16684" t="str">
        <f>"3053034"</f>
        <v>3053034</v>
      </c>
      <c r="B16684" t="s">
        <v>51106</v>
      </c>
      <c r="C16684" t="str">
        <f>"8317424"</f>
        <v>8317424</v>
      </c>
      <c r="D16684" t="s">
        <v>51107</v>
      </c>
      <c r="E16684" t="s">
        <v>51108</v>
      </c>
      <c r="F16684" t="s">
        <v>51109</v>
      </c>
      <c r="I16684" t="s">
        <v>51110</v>
      </c>
      <c r="J16684" t="s">
        <v>30</v>
      </c>
      <c r="K16684" t="s">
        <v>51111</v>
      </c>
      <c r="M16684" t="s">
        <v>17861</v>
      </c>
      <c r="N16684" t="str">
        <f>"3/25/2022 12:56:00 PM"</f>
        <v>3/25/2022 12:56:00 PM</v>
      </c>
      <c r="O16684" t="s">
        <v>51107</v>
      </c>
      <c r="T16684" t="s">
        <v>51108</v>
      </c>
    </row>
    <row r="16685" spans="1:20" x14ac:dyDescent="0.25">
      <c r="A16685" t="str">
        <f>"3053031"</f>
        <v>3053031</v>
      </c>
      <c r="B16685" t="s">
        <v>51112</v>
      </c>
      <c r="C16685" t="str">
        <f>"8317424"</f>
        <v>8317424</v>
      </c>
      <c r="D16685" t="s">
        <v>51107</v>
      </c>
      <c r="E16685" t="s">
        <v>51108</v>
      </c>
      <c r="F16685" t="s">
        <v>51109</v>
      </c>
      <c r="I16685" t="s">
        <v>51110</v>
      </c>
      <c r="J16685" t="s">
        <v>30</v>
      </c>
      <c r="K16685" t="s">
        <v>51111</v>
      </c>
      <c r="M16685" t="s">
        <v>17861</v>
      </c>
      <c r="N16685" t="str">
        <f>"3/25/2022 12:56:00 PM"</f>
        <v>3/25/2022 12:56:00 PM</v>
      </c>
      <c r="O16685" t="s">
        <v>51107</v>
      </c>
      <c r="T16685" t="s">
        <v>51108</v>
      </c>
    </row>
    <row r="16686" spans="1:20" x14ac:dyDescent="0.25">
      <c r="A16686" t="str">
        <f>"3040649"</f>
        <v>3040649</v>
      </c>
      <c r="B16686" t="s">
        <v>51113</v>
      </c>
      <c r="C16686" t="str">
        <f>"8317432"</f>
        <v>8317432</v>
      </c>
      <c r="D16686" t="s">
        <v>51114</v>
      </c>
      <c r="E16686" t="s">
        <v>51115</v>
      </c>
      <c r="F16686" t="s">
        <v>51116</v>
      </c>
      <c r="I16686" t="s">
        <v>184</v>
      </c>
      <c r="J16686" t="s">
        <v>30</v>
      </c>
      <c r="K16686" t="s">
        <v>37863</v>
      </c>
      <c r="M16686" t="s">
        <v>17861</v>
      </c>
      <c r="N16686" t="str">
        <f>"3/28/2022 10:47:00 AM"</f>
        <v>3/28/2022 10:47:00 AM</v>
      </c>
      <c r="O16686" t="s">
        <v>51114</v>
      </c>
      <c r="T16686" t="s">
        <v>51115</v>
      </c>
    </row>
    <row r="16687" spans="1:20" x14ac:dyDescent="0.25">
      <c r="A16687" t="str">
        <f>"3041642"</f>
        <v>3041642</v>
      </c>
      <c r="B16687" t="s">
        <v>51117</v>
      </c>
      <c r="C16687" t="str">
        <f>"8317478"</f>
        <v>8317478</v>
      </c>
      <c r="D16687" t="s">
        <v>51118</v>
      </c>
      <c r="E16687" t="s">
        <v>51119</v>
      </c>
      <c r="F16687" t="s">
        <v>51120</v>
      </c>
      <c r="I16687" t="s">
        <v>2071</v>
      </c>
      <c r="J16687" t="s">
        <v>30</v>
      </c>
      <c r="K16687" t="s">
        <v>3605</v>
      </c>
      <c r="M16687" t="s">
        <v>17861</v>
      </c>
      <c r="N16687" t="str">
        <f>"4/4/2022 3:07:00 PM"</f>
        <v>4/4/2022 3:07:00 PM</v>
      </c>
      <c r="O16687" t="s">
        <v>51118</v>
      </c>
      <c r="T16687" t="s">
        <v>51119</v>
      </c>
    </row>
    <row r="16688" spans="1:20" x14ac:dyDescent="0.25">
      <c r="A16688" t="str">
        <f>"3047082"</f>
        <v>3047082</v>
      </c>
      <c r="B16688" t="s">
        <v>51121</v>
      </c>
      <c r="C16688" t="str">
        <f>"8317433"</f>
        <v>8317433</v>
      </c>
      <c r="D16688" t="s">
        <v>51122</v>
      </c>
      <c r="E16688" t="s">
        <v>51123</v>
      </c>
      <c r="F16688" t="s">
        <v>51124</v>
      </c>
      <c r="I16688" t="s">
        <v>29</v>
      </c>
      <c r="J16688" t="s">
        <v>30</v>
      </c>
      <c r="K16688" t="s">
        <v>559</v>
      </c>
      <c r="M16688" t="s">
        <v>17861</v>
      </c>
      <c r="N16688" t="str">
        <f>"3/28/2022 10:52:00 AM"</f>
        <v>3/28/2022 10:52:00 AM</v>
      </c>
      <c r="O16688" t="s">
        <v>51122</v>
      </c>
      <c r="T16688" t="s">
        <v>51123</v>
      </c>
    </row>
    <row r="16689" spans="1:20" x14ac:dyDescent="0.25">
      <c r="A16689" t="str">
        <f>"3043919"</f>
        <v>3043919</v>
      </c>
      <c r="B16689" t="s">
        <v>51125</v>
      </c>
      <c r="C16689" t="str">
        <f>"82532150"</f>
        <v>82532150</v>
      </c>
      <c r="D16689" t="s">
        <v>51126</v>
      </c>
      <c r="F16689" t="s">
        <v>51127</v>
      </c>
      <c r="I16689" t="s">
        <v>51128</v>
      </c>
      <c r="J16689" t="s">
        <v>2109</v>
      </c>
      <c r="K16689" t="s">
        <v>51129</v>
      </c>
      <c r="M16689" t="s">
        <v>50621</v>
      </c>
      <c r="N16689" t="str">
        <f>"3/28/2022 2:56:00 PM"</f>
        <v>3/28/2022 2:56:00 PM</v>
      </c>
      <c r="O16689" t="s">
        <v>51126</v>
      </c>
    </row>
    <row r="16690" spans="1:20" x14ac:dyDescent="0.25">
      <c r="A16690" t="str">
        <f>"3041816"</f>
        <v>3041816</v>
      </c>
      <c r="B16690" t="s">
        <v>51130</v>
      </c>
      <c r="C16690" t="str">
        <f>"8317483"</f>
        <v>8317483</v>
      </c>
      <c r="D16690" t="s">
        <v>51131</v>
      </c>
      <c r="E16690" t="s">
        <v>51132</v>
      </c>
      <c r="F16690" t="s">
        <v>51133</v>
      </c>
      <c r="I16690" t="s">
        <v>184</v>
      </c>
      <c r="J16690" t="s">
        <v>30</v>
      </c>
      <c r="K16690" t="s">
        <v>3789</v>
      </c>
      <c r="M16690" t="s">
        <v>17861</v>
      </c>
      <c r="N16690" t="str">
        <f>"4/4/2022 3:27:00 PM"</f>
        <v>4/4/2022 3:27:00 PM</v>
      </c>
      <c r="O16690" t="s">
        <v>51131</v>
      </c>
      <c r="T16690" t="s">
        <v>51132</v>
      </c>
    </row>
    <row r="16691" spans="1:20" x14ac:dyDescent="0.25">
      <c r="A16691" t="str">
        <f>"3067022"</f>
        <v>3067022</v>
      </c>
      <c r="B16691" t="s">
        <v>51134</v>
      </c>
      <c r="C16691" t="str">
        <f>"8317484"</f>
        <v>8317484</v>
      </c>
      <c r="D16691" t="s">
        <v>51135</v>
      </c>
      <c r="F16691" t="s">
        <v>51136</v>
      </c>
      <c r="I16691" t="s">
        <v>29</v>
      </c>
      <c r="J16691" t="s">
        <v>30</v>
      </c>
      <c r="K16691" t="s">
        <v>33399</v>
      </c>
      <c r="M16691" t="s">
        <v>17861</v>
      </c>
      <c r="N16691" t="str">
        <f>"4/4/2022 3:31:00 PM"</f>
        <v>4/4/2022 3:31:00 PM</v>
      </c>
      <c r="O16691" t="s">
        <v>51135</v>
      </c>
    </row>
    <row r="16692" spans="1:20" x14ac:dyDescent="0.25">
      <c r="A16692" t="str">
        <f>"3060486"</f>
        <v>3060486</v>
      </c>
      <c r="B16692" t="s">
        <v>51137</v>
      </c>
      <c r="C16692" t="str">
        <f>"8317485"</f>
        <v>8317485</v>
      </c>
      <c r="D16692" t="s">
        <v>51138</v>
      </c>
      <c r="E16692" t="s">
        <v>51139</v>
      </c>
      <c r="F16692" t="s">
        <v>51140</v>
      </c>
      <c r="I16692" t="s">
        <v>184</v>
      </c>
      <c r="J16692" t="s">
        <v>30</v>
      </c>
      <c r="K16692" t="s">
        <v>9123</v>
      </c>
      <c r="M16692" t="s">
        <v>17861</v>
      </c>
      <c r="N16692" t="str">
        <f>"4/4/2022 3:35:00 PM"</f>
        <v>4/4/2022 3:35:00 PM</v>
      </c>
      <c r="O16692" t="s">
        <v>51138</v>
      </c>
      <c r="T16692" t="s">
        <v>51139</v>
      </c>
    </row>
    <row r="16693" spans="1:20" x14ac:dyDescent="0.25">
      <c r="A16693" t="str">
        <f>"3043468"</f>
        <v>3043468</v>
      </c>
      <c r="B16693" t="s">
        <v>51141</v>
      </c>
      <c r="C16693" t="str">
        <f>"8317441"</f>
        <v>8317441</v>
      </c>
      <c r="D16693" t="s">
        <v>51005</v>
      </c>
      <c r="F16693" t="s">
        <v>51006</v>
      </c>
      <c r="I16693" t="s">
        <v>51007</v>
      </c>
      <c r="J16693" t="s">
        <v>51008</v>
      </c>
      <c r="K16693" t="s">
        <v>51009</v>
      </c>
      <c r="M16693" t="s">
        <v>17861</v>
      </c>
      <c r="N16693" t="str">
        <f>"3/29/2022 8:36:00 AM"</f>
        <v>3/29/2022 8:36:00 AM</v>
      </c>
      <c r="O16693" t="s">
        <v>51005</v>
      </c>
    </row>
    <row r="16694" spans="1:20" x14ac:dyDescent="0.25">
      <c r="A16694" t="str">
        <f>"3060317"</f>
        <v>3060317</v>
      </c>
      <c r="B16694" t="s">
        <v>51142</v>
      </c>
      <c r="C16694" t="str">
        <f>"8313649"</f>
        <v>8313649</v>
      </c>
      <c r="D16694" t="s">
        <v>51143</v>
      </c>
      <c r="F16694" t="s">
        <v>51144</v>
      </c>
      <c r="I16694" t="s">
        <v>29</v>
      </c>
      <c r="J16694" t="s">
        <v>30</v>
      </c>
      <c r="K16694" t="s">
        <v>23508</v>
      </c>
      <c r="M16694" t="s">
        <v>17861</v>
      </c>
      <c r="N16694" t="str">
        <f>"3/29/2022 2:47:00 PM"</f>
        <v>3/29/2022 2:47:00 PM</v>
      </c>
      <c r="O16694" t="s">
        <v>51143</v>
      </c>
    </row>
    <row r="16695" spans="1:20" x14ac:dyDescent="0.25">
      <c r="A16695" t="str">
        <f>"3060542"</f>
        <v>3060542</v>
      </c>
      <c r="B16695" t="s">
        <v>51145</v>
      </c>
      <c r="C16695" t="str">
        <f>"82517093"</f>
        <v>82517093</v>
      </c>
      <c r="D16695" t="s">
        <v>51146</v>
      </c>
      <c r="E16695" t="s">
        <v>51147</v>
      </c>
      <c r="F16695" t="s">
        <v>51148</v>
      </c>
      <c r="I16695" t="s">
        <v>184</v>
      </c>
      <c r="J16695" t="s">
        <v>30</v>
      </c>
      <c r="K16695" t="s">
        <v>185</v>
      </c>
      <c r="M16695" t="s">
        <v>50621</v>
      </c>
      <c r="N16695" t="str">
        <f>"3/30/2022 9:37:00 AM"</f>
        <v>3/30/2022 9:37:00 AM</v>
      </c>
      <c r="O16695" t="s">
        <v>51146</v>
      </c>
      <c r="T16695" t="s">
        <v>51147</v>
      </c>
    </row>
    <row r="16696" spans="1:20" x14ac:dyDescent="0.25">
      <c r="A16696" t="str">
        <f>"3045648"</f>
        <v>3045648</v>
      </c>
      <c r="B16696" t="s">
        <v>51149</v>
      </c>
      <c r="C16696" t="str">
        <f>"8317492"</f>
        <v>8317492</v>
      </c>
      <c r="D16696" t="s">
        <v>51150</v>
      </c>
      <c r="E16696" t="s">
        <v>51151</v>
      </c>
      <c r="F16696" t="s">
        <v>49588</v>
      </c>
      <c r="I16696" t="s">
        <v>29</v>
      </c>
      <c r="J16696" t="s">
        <v>30</v>
      </c>
      <c r="K16696" t="s">
        <v>7883</v>
      </c>
      <c r="M16696" t="s">
        <v>17861</v>
      </c>
      <c r="N16696" t="str">
        <f>"4/6/2022 8:36:00 AM"</f>
        <v>4/6/2022 8:36:00 AM</v>
      </c>
      <c r="O16696" t="s">
        <v>51150</v>
      </c>
      <c r="T16696" t="s">
        <v>51151</v>
      </c>
    </row>
    <row r="16697" spans="1:20" x14ac:dyDescent="0.25">
      <c r="A16697" t="str">
        <f>"3045575"</f>
        <v>3045575</v>
      </c>
      <c r="B16697" t="s">
        <v>51152</v>
      </c>
      <c r="C16697" t="str">
        <f>"8317493"</f>
        <v>8317493</v>
      </c>
      <c r="D16697" t="s">
        <v>51153</v>
      </c>
      <c r="F16697" t="s">
        <v>51154</v>
      </c>
      <c r="I16697" t="s">
        <v>29</v>
      </c>
      <c r="J16697" t="s">
        <v>30</v>
      </c>
      <c r="K16697" t="s">
        <v>31015</v>
      </c>
      <c r="M16697" t="s">
        <v>17861</v>
      </c>
      <c r="N16697" t="str">
        <f>"4/6/2022 8:38:00 AM"</f>
        <v>4/6/2022 8:38:00 AM</v>
      </c>
      <c r="O16697" t="s">
        <v>51153</v>
      </c>
    </row>
    <row r="16698" spans="1:20" x14ac:dyDescent="0.25">
      <c r="A16698" t="str">
        <f>"3040883"</f>
        <v>3040883</v>
      </c>
      <c r="B16698" t="s">
        <v>51155</v>
      </c>
      <c r="C16698" t="str">
        <f>"82517093"</f>
        <v>82517093</v>
      </c>
      <c r="D16698" t="s">
        <v>51146</v>
      </c>
      <c r="E16698" t="s">
        <v>51147</v>
      </c>
      <c r="F16698" t="s">
        <v>51148</v>
      </c>
      <c r="I16698" t="s">
        <v>184</v>
      </c>
      <c r="J16698" t="s">
        <v>30</v>
      </c>
      <c r="K16698" t="s">
        <v>185</v>
      </c>
      <c r="M16698" t="s">
        <v>50621</v>
      </c>
      <c r="N16698" t="str">
        <f>"3/30/2022 9:37:00 AM"</f>
        <v>3/30/2022 9:37:00 AM</v>
      </c>
      <c r="O16698" t="s">
        <v>51146</v>
      </c>
      <c r="T16698" t="s">
        <v>51147</v>
      </c>
    </row>
    <row r="16699" spans="1:20" x14ac:dyDescent="0.25">
      <c r="A16699" t="str">
        <f>"3039642"</f>
        <v>3039642</v>
      </c>
      <c r="B16699" t="s">
        <v>51156</v>
      </c>
      <c r="C16699" t="str">
        <f>"82533099"</f>
        <v>82533099</v>
      </c>
      <c r="D16699" t="s">
        <v>51157</v>
      </c>
      <c r="E16699" t="s">
        <v>51158</v>
      </c>
      <c r="F16699" t="s">
        <v>1593</v>
      </c>
      <c r="I16699" t="s">
        <v>184</v>
      </c>
      <c r="J16699" t="s">
        <v>30</v>
      </c>
      <c r="K16699" t="s">
        <v>51159</v>
      </c>
      <c r="M16699" t="s">
        <v>50793</v>
      </c>
      <c r="N16699" t="str">
        <f>"3/30/2022 4:08:00 PM"</f>
        <v>3/30/2022 4:08:00 PM</v>
      </c>
      <c r="O16699" t="s">
        <v>51157</v>
      </c>
      <c r="T16699" t="s">
        <v>51158</v>
      </c>
    </row>
    <row r="16700" spans="1:20" x14ac:dyDescent="0.25">
      <c r="A16700" t="str">
        <f>"3054772"</f>
        <v>3054772</v>
      </c>
      <c r="B16700" t="s">
        <v>51160</v>
      </c>
      <c r="C16700" t="str">
        <f>"8312945"</f>
        <v>8312945</v>
      </c>
      <c r="D16700" t="s">
        <v>51161</v>
      </c>
      <c r="E16700" t="s">
        <v>51162</v>
      </c>
      <c r="F16700" t="s">
        <v>51163</v>
      </c>
      <c r="I16700" t="s">
        <v>29</v>
      </c>
      <c r="J16700" t="s">
        <v>30</v>
      </c>
      <c r="K16700" t="s">
        <v>51164</v>
      </c>
      <c r="M16700" t="s">
        <v>50621</v>
      </c>
      <c r="N16700" t="str">
        <f>"3/31/2022 11:09:00 AM"</f>
        <v>3/31/2022 11:09:00 AM</v>
      </c>
      <c r="O16700" t="s">
        <v>51161</v>
      </c>
      <c r="T16700" t="s">
        <v>51162</v>
      </c>
    </row>
    <row r="16701" spans="1:20" x14ac:dyDescent="0.25">
      <c r="A16701" t="str">
        <f>"3068683"</f>
        <v>3068683</v>
      </c>
      <c r="B16701" t="s">
        <v>51165</v>
      </c>
      <c r="C16701" t="str">
        <f>"82532275"</f>
        <v>82532275</v>
      </c>
      <c r="D16701" t="s">
        <v>51166</v>
      </c>
      <c r="E16701" t="str">
        <f>"C/O SCOTT T HORN"</f>
        <v>C/O SCOTT T HORN</v>
      </c>
      <c r="F16701" t="s">
        <v>51167</v>
      </c>
      <c r="I16701" t="s">
        <v>4502</v>
      </c>
      <c r="J16701" t="s">
        <v>30</v>
      </c>
      <c r="K16701" t="s">
        <v>4503</v>
      </c>
      <c r="M16701" t="s">
        <v>50621</v>
      </c>
      <c r="N16701" t="str">
        <f>"3/31/2022 11:32:00 AM"</f>
        <v>3/31/2022 11:32:00 AM</v>
      </c>
      <c r="O16701" t="s">
        <v>51166</v>
      </c>
      <c r="T16701" t="str">
        <f>"C/O SCOTT T HORN"</f>
        <v>C/O SCOTT T HORN</v>
      </c>
    </row>
    <row r="16702" spans="1:20" x14ac:dyDescent="0.25">
      <c r="A16702" t="str">
        <f>"3042604"</f>
        <v>3042604</v>
      </c>
      <c r="B16702" t="s">
        <v>51168</v>
      </c>
      <c r="C16702" t="str">
        <f>"67094130"</f>
        <v>67094130</v>
      </c>
      <c r="D16702" t="s">
        <v>51169</v>
      </c>
      <c r="F16702" t="s">
        <v>51170</v>
      </c>
      <c r="I16702" t="s">
        <v>184</v>
      </c>
      <c r="J16702" t="s">
        <v>30</v>
      </c>
      <c r="K16702" t="s">
        <v>185</v>
      </c>
      <c r="M16702" t="s">
        <v>50793</v>
      </c>
      <c r="N16702" t="str">
        <f>"4/1/2022 9:49:00 AM"</f>
        <v>4/1/2022 9:49:00 AM</v>
      </c>
      <c r="O16702" t="s">
        <v>51169</v>
      </c>
    </row>
    <row r="16703" spans="1:20" x14ac:dyDescent="0.25">
      <c r="A16703" t="str">
        <f>"3048958"</f>
        <v>3048958</v>
      </c>
      <c r="B16703" t="s">
        <v>51171</v>
      </c>
      <c r="C16703" t="str">
        <f>"55237850"</f>
        <v>55237850</v>
      </c>
      <c r="D16703" t="s">
        <v>51172</v>
      </c>
      <c r="F16703" t="s">
        <v>51173</v>
      </c>
      <c r="I16703" t="s">
        <v>471</v>
      </c>
      <c r="J16703" t="s">
        <v>30</v>
      </c>
      <c r="K16703" t="s">
        <v>51174</v>
      </c>
      <c r="M16703" t="s">
        <v>50793</v>
      </c>
      <c r="N16703" t="str">
        <f>"4/1/2022 10:02:00 AM"</f>
        <v>4/1/2022 10:02:00 AM</v>
      </c>
      <c r="O16703" t="s">
        <v>51172</v>
      </c>
    </row>
    <row r="16704" spans="1:20" x14ac:dyDescent="0.25">
      <c r="A16704" t="str">
        <f>"3047904"</f>
        <v>3047904</v>
      </c>
      <c r="B16704" t="s">
        <v>51175</v>
      </c>
      <c r="C16704" t="str">
        <f>"8317446"</f>
        <v>8317446</v>
      </c>
      <c r="D16704" t="s">
        <v>51176</v>
      </c>
      <c r="E16704" t="s">
        <v>51177</v>
      </c>
      <c r="F16704" t="s">
        <v>51178</v>
      </c>
      <c r="I16704" t="s">
        <v>29</v>
      </c>
      <c r="J16704" t="s">
        <v>30</v>
      </c>
      <c r="K16704" t="s">
        <v>33437</v>
      </c>
      <c r="M16704" t="s">
        <v>17861</v>
      </c>
      <c r="N16704" t="str">
        <f>"4/4/2022 9:24:00 AM"</f>
        <v>4/4/2022 9:24:00 AM</v>
      </c>
      <c r="O16704" t="s">
        <v>51176</v>
      </c>
      <c r="T16704" t="s">
        <v>51177</v>
      </c>
    </row>
    <row r="16705" spans="1:20" x14ac:dyDescent="0.25">
      <c r="A16705" t="str">
        <f>"3056126"</f>
        <v>3056126</v>
      </c>
      <c r="B16705" t="s">
        <v>51179</v>
      </c>
      <c r="C16705" t="str">
        <f>"8317455"</f>
        <v>8317455</v>
      </c>
      <c r="D16705" t="s">
        <v>51180</v>
      </c>
      <c r="F16705" t="s">
        <v>51181</v>
      </c>
      <c r="I16705" t="s">
        <v>9580</v>
      </c>
      <c r="J16705" t="s">
        <v>30</v>
      </c>
      <c r="K16705" t="s">
        <v>51182</v>
      </c>
      <c r="M16705" t="s">
        <v>17861</v>
      </c>
      <c r="N16705" t="str">
        <f>"4/4/2022 11:20:00 AM"</f>
        <v>4/4/2022 11:20:00 AM</v>
      </c>
      <c r="O16705" t="s">
        <v>51180</v>
      </c>
    </row>
    <row r="16706" spans="1:20" x14ac:dyDescent="0.25">
      <c r="A16706" t="str">
        <f>"3037265"</f>
        <v>3037265</v>
      </c>
      <c r="B16706" t="s">
        <v>51183</v>
      </c>
      <c r="C16706" t="str">
        <f>"8314548"</f>
        <v>8314548</v>
      </c>
      <c r="D16706" t="s">
        <v>51184</v>
      </c>
      <c r="E16706" t="s">
        <v>51185</v>
      </c>
      <c r="F16706" t="s">
        <v>51186</v>
      </c>
      <c r="I16706" t="s">
        <v>184</v>
      </c>
      <c r="J16706" t="s">
        <v>30</v>
      </c>
      <c r="K16706" t="s">
        <v>1927</v>
      </c>
      <c r="M16706" t="s">
        <v>50621</v>
      </c>
      <c r="N16706" t="str">
        <f>"4/4/2022 11:24:00 AM"</f>
        <v>4/4/2022 11:24:00 AM</v>
      </c>
      <c r="O16706" t="s">
        <v>51184</v>
      </c>
      <c r="T16706" t="s">
        <v>51185</v>
      </c>
    </row>
    <row r="16707" spans="1:20" x14ac:dyDescent="0.25">
      <c r="A16707" t="str">
        <f>"3048997"</f>
        <v>3048997</v>
      </c>
      <c r="B16707" t="s">
        <v>51187</v>
      </c>
      <c r="C16707" t="str">
        <f>"8317456"</f>
        <v>8317456</v>
      </c>
      <c r="D16707" t="s">
        <v>51188</v>
      </c>
      <c r="F16707" t="s">
        <v>51189</v>
      </c>
      <c r="I16707" t="s">
        <v>2280</v>
      </c>
      <c r="J16707" t="s">
        <v>30</v>
      </c>
      <c r="K16707" t="s">
        <v>51190</v>
      </c>
      <c r="M16707" t="s">
        <v>17861</v>
      </c>
      <c r="N16707" t="str">
        <f>"4/4/2022 11:24:00 AM"</f>
        <v>4/4/2022 11:24:00 AM</v>
      </c>
      <c r="O16707" t="s">
        <v>51188</v>
      </c>
    </row>
    <row r="16708" spans="1:20" x14ac:dyDescent="0.25">
      <c r="A16708" t="str">
        <f>"3052444"</f>
        <v>3052444</v>
      </c>
      <c r="B16708" t="s">
        <v>51191</v>
      </c>
      <c r="C16708" t="str">
        <f>"8316453"</f>
        <v>8316453</v>
      </c>
      <c r="D16708" t="s">
        <v>50930</v>
      </c>
      <c r="E16708" t="s">
        <v>50931</v>
      </c>
      <c r="F16708" t="s">
        <v>50932</v>
      </c>
      <c r="I16708" t="s">
        <v>29</v>
      </c>
      <c r="J16708" t="s">
        <v>30</v>
      </c>
      <c r="K16708" t="s">
        <v>40518</v>
      </c>
      <c r="M16708" t="s">
        <v>18479</v>
      </c>
      <c r="N16708" t="str">
        <f>"3/24/2022 4:05:00 PM"</f>
        <v>3/24/2022 4:05:00 PM</v>
      </c>
      <c r="O16708" t="s">
        <v>50930</v>
      </c>
      <c r="T16708" t="s">
        <v>50931</v>
      </c>
    </row>
    <row r="16709" spans="1:20" x14ac:dyDescent="0.25">
      <c r="A16709" t="str">
        <f>"3052445"</f>
        <v>3052445</v>
      </c>
      <c r="B16709" t="s">
        <v>51192</v>
      </c>
      <c r="C16709" t="str">
        <f>"8316453"</f>
        <v>8316453</v>
      </c>
      <c r="D16709" t="s">
        <v>50930</v>
      </c>
      <c r="E16709" t="s">
        <v>50931</v>
      </c>
      <c r="F16709" t="s">
        <v>50932</v>
      </c>
      <c r="I16709" t="s">
        <v>29</v>
      </c>
      <c r="J16709" t="s">
        <v>30</v>
      </c>
      <c r="K16709" t="s">
        <v>40518</v>
      </c>
      <c r="M16709" t="s">
        <v>18479</v>
      </c>
      <c r="N16709" t="str">
        <f>"3/24/2022 4:05:00 PM"</f>
        <v>3/24/2022 4:05:00 PM</v>
      </c>
      <c r="O16709" t="s">
        <v>50930</v>
      </c>
      <c r="T16709" t="s">
        <v>50931</v>
      </c>
    </row>
    <row r="16710" spans="1:20" x14ac:dyDescent="0.25">
      <c r="A16710" t="str">
        <f>"3052281"</f>
        <v>3052281</v>
      </c>
      <c r="B16710" t="s">
        <v>51193</v>
      </c>
      <c r="C16710" t="str">
        <f>"8316453"</f>
        <v>8316453</v>
      </c>
      <c r="D16710" t="s">
        <v>50930</v>
      </c>
      <c r="E16710" t="s">
        <v>50931</v>
      </c>
      <c r="F16710" t="s">
        <v>50932</v>
      </c>
      <c r="I16710" t="s">
        <v>29</v>
      </c>
      <c r="J16710" t="s">
        <v>30</v>
      </c>
      <c r="K16710" t="s">
        <v>40518</v>
      </c>
      <c r="M16710" t="s">
        <v>18479</v>
      </c>
      <c r="N16710" t="str">
        <f>"3/24/2022 4:05:00 PM"</f>
        <v>3/24/2022 4:05:00 PM</v>
      </c>
      <c r="O16710" t="s">
        <v>50930</v>
      </c>
      <c r="T16710" t="s">
        <v>50931</v>
      </c>
    </row>
    <row r="16711" spans="1:20" x14ac:dyDescent="0.25">
      <c r="A16711" t="str">
        <f>"3053779"</f>
        <v>3053779</v>
      </c>
      <c r="B16711" t="s">
        <v>51194</v>
      </c>
      <c r="C16711" t="str">
        <f>"8317470"</f>
        <v>8317470</v>
      </c>
      <c r="D16711" t="s">
        <v>51195</v>
      </c>
      <c r="F16711" t="s">
        <v>51196</v>
      </c>
      <c r="I16711" t="s">
        <v>29</v>
      </c>
      <c r="J16711" t="s">
        <v>30</v>
      </c>
      <c r="K16711" t="s">
        <v>29314</v>
      </c>
      <c r="M16711" t="s">
        <v>17861</v>
      </c>
      <c r="N16711" t="str">
        <f>"4/4/2022 2:13:00 PM"</f>
        <v>4/4/2022 2:13:00 PM</v>
      </c>
      <c r="O16711" t="s">
        <v>51195</v>
      </c>
    </row>
    <row r="16712" spans="1:20" x14ac:dyDescent="0.25">
      <c r="A16712" t="str">
        <f>"3047111"</f>
        <v>3047111</v>
      </c>
      <c r="B16712" t="s">
        <v>51197</v>
      </c>
      <c r="C16712" t="str">
        <f t="shared" ref="C16712:C16717" si="249">"8317559"</f>
        <v>8317559</v>
      </c>
      <c r="D16712" t="s">
        <v>51198</v>
      </c>
      <c r="F16712" t="s">
        <v>51199</v>
      </c>
      <c r="I16712" t="s">
        <v>29</v>
      </c>
      <c r="J16712" t="s">
        <v>30</v>
      </c>
      <c r="K16712" t="s">
        <v>8445</v>
      </c>
      <c r="M16712" t="s">
        <v>17861</v>
      </c>
      <c r="N16712" t="str">
        <f t="shared" ref="N16712:N16717" si="250">"4/12/2022 3:24:00 PM"</f>
        <v>4/12/2022 3:24:00 PM</v>
      </c>
      <c r="O16712" t="s">
        <v>51198</v>
      </c>
    </row>
    <row r="16713" spans="1:20" x14ac:dyDescent="0.25">
      <c r="A16713" t="str">
        <f>"3046535"</f>
        <v>3046535</v>
      </c>
      <c r="B16713" t="s">
        <v>51200</v>
      </c>
      <c r="C16713" t="str">
        <f t="shared" si="249"/>
        <v>8317559</v>
      </c>
      <c r="D16713" t="s">
        <v>51198</v>
      </c>
      <c r="F16713" t="s">
        <v>51199</v>
      </c>
      <c r="I16713" t="s">
        <v>29</v>
      </c>
      <c r="J16713" t="s">
        <v>30</v>
      </c>
      <c r="K16713" t="s">
        <v>8445</v>
      </c>
      <c r="M16713" t="s">
        <v>17861</v>
      </c>
      <c r="N16713" t="str">
        <f t="shared" si="250"/>
        <v>4/12/2022 3:24:00 PM</v>
      </c>
      <c r="O16713" t="s">
        <v>51198</v>
      </c>
    </row>
    <row r="16714" spans="1:20" x14ac:dyDescent="0.25">
      <c r="A16714" t="str">
        <f>"3046507"</f>
        <v>3046507</v>
      </c>
      <c r="B16714" t="s">
        <v>51201</v>
      </c>
      <c r="C16714" t="str">
        <f t="shared" si="249"/>
        <v>8317559</v>
      </c>
      <c r="D16714" t="s">
        <v>51198</v>
      </c>
      <c r="F16714" t="s">
        <v>51199</v>
      </c>
      <c r="I16714" t="s">
        <v>29</v>
      </c>
      <c r="J16714" t="s">
        <v>30</v>
      </c>
      <c r="K16714" t="s">
        <v>8445</v>
      </c>
      <c r="M16714" t="s">
        <v>17861</v>
      </c>
      <c r="N16714" t="str">
        <f t="shared" si="250"/>
        <v>4/12/2022 3:24:00 PM</v>
      </c>
      <c r="O16714" t="s">
        <v>51198</v>
      </c>
    </row>
    <row r="16715" spans="1:20" x14ac:dyDescent="0.25">
      <c r="A16715" t="str">
        <f>"3046546"</f>
        <v>3046546</v>
      </c>
      <c r="B16715" t="s">
        <v>51202</v>
      </c>
      <c r="C16715" t="str">
        <f t="shared" si="249"/>
        <v>8317559</v>
      </c>
      <c r="D16715" t="s">
        <v>51198</v>
      </c>
      <c r="F16715" t="s">
        <v>51199</v>
      </c>
      <c r="I16715" t="s">
        <v>29</v>
      </c>
      <c r="J16715" t="s">
        <v>30</v>
      </c>
      <c r="K16715" t="s">
        <v>8445</v>
      </c>
      <c r="M16715" t="s">
        <v>17861</v>
      </c>
      <c r="N16715" t="str">
        <f t="shared" si="250"/>
        <v>4/12/2022 3:24:00 PM</v>
      </c>
      <c r="O16715" t="s">
        <v>51198</v>
      </c>
    </row>
    <row r="16716" spans="1:20" x14ac:dyDescent="0.25">
      <c r="A16716" t="str">
        <f>"3046553"</f>
        <v>3046553</v>
      </c>
      <c r="B16716" t="s">
        <v>51203</v>
      </c>
      <c r="C16716" t="str">
        <f t="shared" si="249"/>
        <v>8317559</v>
      </c>
      <c r="D16716" t="s">
        <v>51198</v>
      </c>
      <c r="F16716" t="s">
        <v>51199</v>
      </c>
      <c r="I16716" t="s">
        <v>29</v>
      </c>
      <c r="J16716" t="s">
        <v>30</v>
      </c>
      <c r="K16716" t="s">
        <v>8445</v>
      </c>
      <c r="M16716" t="s">
        <v>17861</v>
      </c>
      <c r="N16716" t="str">
        <f t="shared" si="250"/>
        <v>4/12/2022 3:24:00 PM</v>
      </c>
      <c r="O16716" t="s">
        <v>51198</v>
      </c>
    </row>
    <row r="16717" spans="1:20" x14ac:dyDescent="0.25">
      <c r="A16717" t="str">
        <f>"3077977"</f>
        <v>3077977</v>
      </c>
      <c r="B16717" t="s">
        <v>51204</v>
      </c>
      <c r="C16717" t="str">
        <f t="shared" si="249"/>
        <v>8317559</v>
      </c>
      <c r="D16717" t="s">
        <v>51198</v>
      </c>
      <c r="F16717" t="s">
        <v>51199</v>
      </c>
      <c r="I16717" t="s">
        <v>29</v>
      </c>
      <c r="J16717" t="s">
        <v>30</v>
      </c>
      <c r="K16717" t="s">
        <v>8445</v>
      </c>
      <c r="M16717" t="s">
        <v>17861</v>
      </c>
      <c r="N16717" t="str">
        <f t="shared" si="250"/>
        <v>4/12/2022 3:24:00 PM</v>
      </c>
      <c r="O16717" t="s">
        <v>51198</v>
      </c>
    </row>
    <row r="16718" spans="1:20" x14ac:dyDescent="0.25">
      <c r="A16718" t="str">
        <f>"3066973"</f>
        <v>3066973</v>
      </c>
      <c r="B16718" t="s">
        <v>51205</v>
      </c>
      <c r="C16718" t="str">
        <f>"8317560"</f>
        <v>8317560</v>
      </c>
      <c r="D16718" t="s">
        <v>51206</v>
      </c>
      <c r="E16718" t="s">
        <v>51207</v>
      </c>
      <c r="F16718" t="s">
        <v>51208</v>
      </c>
      <c r="I16718" t="s">
        <v>184</v>
      </c>
      <c r="J16718" t="s">
        <v>30</v>
      </c>
      <c r="K16718" t="s">
        <v>20272</v>
      </c>
      <c r="M16718" t="s">
        <v>17861</v>
      </c>
      <c r="N16718" t="str">
        <f>"4/12/2022 3:36:00 PM"</f>
        <v>4/12/2022 3:36:00 PM</v>
      </c>
      <c r="O16718" t="s">
        <v>51206</v>
      </c>
      <c r="T16718" t="s">
        <v>51207</v>
      </c>
    </row>
    <row r="16719" spans="1:20" x14ac:dyDescent="0.25">
      <c r="A16719" t="str">
        <f>"3076813"</f>
        <v>3076813</v>
      </c>
      <c r="B16719" t="s">
        <v>51209</v>
      </c>
      <c r="C16719" t="str">
        <f>"8317475"</f>
        <v>8317475</v>
      </c>
      <c r="D16719" t="s">
        <v>51210</v>
      </c>
      <c r="E16719" t="s">
        <v>51211</v>
      </c>
      <c r="F16719" t="s">
        <v>51212</v>
      </c>
      <c r="I16719" t="s">
        <v>29</v>
      </c>
      <c r="J16719" t="s">
        <v>30</v>
      </c>
      <c r="K16719" t="s">
        <v>18680</v>
      </c>
      <c r="M16719" t="s">
        <v>17861</v>
      </c>
      <c r="N16719" t="str">
        <f>"4/4/2022 2:40:00 PM"</f>
        <v>4/4/2022 2:40:00 PM</v>
      </c>
      <c r="O16719" t="s">
        <v>51210</v>
      </c>
      <c r="T16719" t="s">
        <v>51211</v>
      </c>
    </row>
    <row r="16720" spans="1:20" x14ac:dyDescent="0.25">
      <c r="A16720" t="str">
        <f>"3062171"</f>
        <v>3062171</v>
      </c>
      <c r="B16720" t="s">
        <v>51213</v>
      </c>
      <c r="C16720" t="str">
        <f>"8317477"</f>
        <v>8317477</v>
      </c>
      <c r="D16720" t="s">
        <v>51214</v>
      </c>
      <c r="E16720" t="s">
        <v>51215</v>
      </c>
      <c r="F16720" t="s">
        <v>51216</v>
      </c>
      <c r="I16720" t="s">
        <v>29</v>
      </c>
      <c r="J16720" t="s">
        <v>30</v>
      </c>
      <c r="K16720" t="s">
        <v>39975</v>
      </c>
      <c r="M16720" t="s">
        <v>17861</v>
      </c>
      <c r="N16720" t="str">
        <f>"4/4/2022 3:01:00 PM"</f>
        <v>4/4/2022 3:01:00 PM</v>
      </c>
      <c r="O16720" t="s">
        <v>51214</v>
      </c>
      <c r="T16720" t="s">
        <v>51215</v>
      </c>
    </row>
    <row r="16721" spans="1:20" x14ac:dyDescent="0.25">
      <c r="A16721" t="str">
        <f>"3053176"</f>
        <v>3053176</v>
      </c>
      <c r="B16721" t="s">
        <v>51217</v>
      </c>
      <c r="C16721" t="str">
        <f>"8317480"</f>
        <v>8317480</v>
      </c>
      <c r="D16721" t="s">
        <v>51218</v>
      </c>
      <c r="F16721" t="s">
        <v>51219</v>
      </c>
      <c r="I16721" t="s">
        <v>29</v>
      </c>
      <c r="J16721" t="s">
        <v>30</v>
      </c>
      <c r="K16721" t="s">
        <v>42439</v>
      </c>
      <c r="M16721" t="s">
        <v>17861</v>
      </c>
      <c r="N16721" t="str">
        <f>"4/4/2022 3:19:00 PM"</f>
        <v>4/4/2022 3:19:00 PM</v>
      </c>
      <c r="O16721" t="s">
        <v>51218</v>
      </c>
    </row>
    <row r="16722" spans="1:20" x14ac:dyDescent="0.25">
      <c r="A16722" t="str">
        <f>"3052382"</f>
        <v>3052382</v>
      </c>
      <c r="B16722" t="s">
        <v>51220</v>
      </c>
      <c r="C16722" t="str">
        <f>"8317481"</f>
        <v>8317481</v>
      </c>
      <c r="D16722" t="s">
        <v>51221</v>
      </c>
      <c r="F16722" t="s">
        <v>48558</v>
      </c>
      <c r="G16722" t="s">
        <v>42722</v>
      </c>
      <c r="I16722" t="s">
        <v>1045</v>
      </c>
      <c r="J16722" t="s">
        <v>1046</v>
      </c>
      <c r="K16722" t="s">
        <v>48559</v>
      </c>
      <c r="M16722" t="s">
        <v>17861</v>
      </c>
      <c r="N16722" t="str">
        <f>"4/4/2022 3:21:00 PM"</f>
        <v>4/4/2022 3:21:00 PM</v>
      </c>
      <c r="O16722" t="s">
        <v>51221</v>
      </c>
    </row>
    <row r="16723" spans="1:20" x14ac:dyDescent="0.25">
      <c r="A16723" t="str">
        <f>"3042053"</f>
        <v>3042053</v>
      </c>
      <c r="B16723" t="s">
        <v>51222</v>
      </c>
      <c r="C16723" t="str">
        <f>"82517552"</f>
        <v>82517552</v>
      </c>
      <c r="D16723" t="s">
        <v>51223</v>
      </c>
      <c r="F16723" t="s">
        <v>51224</v>
      </c>
      <c r="I16723" t="s">
        <v>29</v>
      </c>
      <c r="J16723" t="s">
        <v>30</v>
      </c>
      <c r="K16723" t="s">
        <v>43409</v>
      </c>
      <c r="M16723" t="s">
        <v>50793</v>
      </c>
      <c r="N16723" t="str">
        <f>"4/5/2022 2:31:00 PM"</f>
        <v>4/5/2022 2:31:00 PM</v>
      </c>
      <c r="O16723" t="s">
        <v>51223</v>
      </c>
      <c r="T16723" t="s">
        <v>51223</v>
      </c>
    </row>
    <row r="16724" spans="1:20" x14ac:dyDescent="0.25">
      <c r="A16724" t="str">
        <f>"3061603"</f>
        <v>3061603</v>
      </c>
      <c r="B16724" t="s">
        <v>51225</v>
      </c>
      <c r="C16724" t="str">
        <f>"8317571"</f>
        <v>8317571</v>
      </c>
      <c r="D16724" t="s">
        <v>51226</v>
      </c>
      <c r="E16724" t="s">
        <v>51227</v>
      </c>
      <c r="F16724" t="s">
        <v>51228</v>
      </c>
      <c r="I16724" t="s">
        <v>184</v>
      </c>
      <c r="J16724" t="s">
        <v>30</v>
      </c>
      <c r="K16724" t="s">
        <v>15258</v>
      </c>
      <c r="M16724" t="s">
        <v>17861</v>
      </c>
      <c r="N16724" t="str">
        <f>"4/13/2022 8:29:00 AM"</f>
        <v>4/13/2022 8:29:00 AM</v>
      </c>
      <c r="O16724" t="s">
        <v>51226</v>
      </c>
      <c r="T16724" t="s">
        <v>51227</v>
      </c>
    </row>
    <row r="16725" spans="1:20" x14ac:dyDescent="0.25">
      <c r="A16725" t="str">
        <f>"3061574"</f>
        <v>3061574</v>
      </c>
      <c r="B16725" t="s">
        <v>51229</v>
      </c>
      <c r="C16725" t="str">
        <f>"8317573"</f>
        <v>8317573</v>
      </c>
      <c r="D16725" t="s">
        <v>51230</v>
      </c>
      <c r="F16725" t="s">
        <v>51231</v>
      </c>
      <c r="I16725" t="s">
        <v>184</v>
      </c>
      <c r="J16725" t="s">
        <v>30</v>
      </c>
      <c r="K16725" t="s">
        <v>51232</v>
      </c>
      <c r="M16725" t="s">
        <v>17861</v>
      </c>
      <c r="N16725" t="str">
        <f>"4/13/2022 8:45:00 AM"</f>
        <v>4/13/2022 8:45:00 AM</v>
      </c>
      <c r="O16725" t="s">
        <v>51230</v>
      </c>
    </row>
    <row r="16726" spans="1:20" x14ac:dyDescent="0.25">
      <c r="A16726" t="str">
        <f>"3050845"</f>
        <v>3050845</v>
      </c>
      <c r="B16726" t="s">
        <v>51233</v>
      </c>
      <c r="C16726" t="str">
        <f>"8317490"</f>
        <v>8317490</v>
      </c>
      <c r="D16726" t="s">
        <v>51234</v>
      </c>
      <c r="F16726" t="s">
        <v>51235</v>
      </c>
      <c r="I16726" t="s">
        <v>1107</v>
      </c>
      <c r="J16726" t="s">
        <v>30</v>
      </c>
      <c r="K16726" t="s">
        <v>51236</v>
      </c>
      <c r="M16726" t="s">
        <v>17861</v>
      </c>
      <c r="N16726" t="str">
        <f>"4/5/2022 4:17:00 PM"</f>
        <v>4/5/2022 4:17:00 PM</v>
      </c>
      <c r="O16726" t="s">
        <v>51234</v>
      </c>
    </row>
    <row r="16727" spans="1:20" x14ac:dyDescent="0.25">
      <c r="A16727" t="str">
        <f>"3050817"</f>
        <v>3050817</v>
      </c>
      <c r="B16727" t="s">
        <v>51237</v>
      </c>
      <c r="C16727" t="str">
        <f>"8317490"</f>
        <v>8317490</v>
      </c>
      <c r="D16727" t="s">
        <v>51234</v>
      </c>
      <c r="F16727" t="s">
        <v>51235</v>
      </c>
      <c r="I16727" t="s">
        <v>1107</v>
      </c>
      <c r="J16727" t="s">
        <v>30</v>
      </c>
      <c r="K16727" t="s">
        <v>51236</v>
      </c>
      <c r="M16727" t="s">
        <v>17861</v>
      </c>
      <c r="N16727" t="str">
        <f>"4/5/2022 4:17:00 PM"</f>
        <v>4/5/2022 4:17:00 PM</v>
      </c>
      <c r="O16727" t="s">
        <v>51234</v>
      </c>
    </row>
    <row r="16728" spans="1:20" x14ac:dyDescent="0.25">
      <c r="A16728" t="str">
        <f>"3058406"</f>
        <v>3058406</v>
      </c>
      <c r="B16728" t="s">
        <v>51238</v>
      </c>
      <c r="C16728" t="str">
        <f>"8317535"</f>
        <v>8317535</v>
      </c>
      <c r="D16728" t="s">
        <v>51239</v>
      </c>
      <c r="E16728" t="s">
        <v>51240</v>
      </c>
      <c r="F16728" t="s">
        <v>51241</v>
      </c>
      <c r="I16728" t="s">
        <v>2071</v>
      </c>
      <c r="J16728" t="s">
        <v>30</v>
      </c>
      <c r="K16728" t="s">
        <v>34629</v>
      </c>
      <c r="M16728" t="s">
        <v>17861</v>
      </c>
      <c r="N16728" t="str">
        <f>"4/11/2022 8:51:00 AM"</f>
        <v>4/11/2022 8:51:00 AM</v>
      </c>
      <c r="O16728" t="s">
        <v>51239</v>
      </c>
      <c r="T16728" t="s">
        <v>51240</v>
      </c>
    </row>
    <row r="16729" spans="1:20" x14ac:dyDescent="0.25">
      <c r="A16729" t="str">
        <f>"3042636"</f>
        <v>3042636</v>
      </c>
      <c r="B16729" t="s">
        <v>51242</v>
      </c>
      <c r="C16729" t="str">
        <f>"8317467"</f>
        <v>8317467</v>
      </c>
      <c r="D16729" t="s">
        <v>51243</v>
      </c>
      <c r="E16729" t="s">
        <v>51244</v>
      </c>
      <c r="F16729" t="s">
        <v>51245</v>
      </c>
      <c r="I16729" t="s">
        <v>29</v>
      </c>
      <c r="J16729" t="s">
        <v>30</v>
      </c>
      <c r="K16729" t="s">
        <v>34883</v>
      </c>
      <c r="M16729" t="s">
        <v>17861</v>
      </c>
      <c r="N16729" t="str">
        <f>"4/4/2022 1:58:00 PM"</f>
        <v>4/4/2022 1:58:00 PM</v>
      </c>
      <c r="O16729" t="s">
        <v>51243</v>
      </c>
      <c r="T16729" t="s">
        <v>51244</v>
      </c>
    </row>
    <row r="16730" spans="1:20" x14ac:dyDescent="0.25">
      <c r="A16730" t="str">
        <f>"3044412"</f>
        <v>3044412</v>
      </c>
      <c r="B16730" t="s">
        <v>51246</v>
      </c>
      <c r="C16730" t="str">
        <f>"8317578"</f>
        <v>8317578</v>
      </c>
      <c r="D16730" t="s">
        <v>51247</v>
      </c>
      <c r="E16730" t="s">
        <v>51248</v>
      </c>
      <c r="F16730" t="s">
        <v>51249</v>
      </c>
      <c r="I16730" t="s">
        <v>184</v>
      </c>
      <c r="J16730" t="s">
        <v>30</v>
      </c>
      <c r="K16730" t="s">
        <v>5707</v>
      </c>
      <c r="M16730" t="s">
        <v>17861</v>
      </c>
      <c r="N16730" t="str">
        <f>"4/13/2022 2:50:00 PM"</f>
        <v>4/13/2022 2:50:00 PM</v>
      </c>
      <c r="O16730" t="s">
        <v>51247</v>
      </c>
      <c r="T16730" t="s">
        <v>51248</v>
      </c>
    </row>
    <row r="16731" spans="1:20" x14ac:dyDescent="0.25">
      <c r="A16731" t="str">
        <f>"3053662"</f>
        <v>3053662</v>
      </c>
      <c r="B16731" t="s">
        <v>51250</v>
      </c>
      <c r="C16731" t="str">
        <f>"8317468"</f>
        <v>8317468</v>
      </c>
      <c r="D16731" t="s">
        <v>51251</v>
      </c>
      <c r="F16731" t="s">
        <v>51252</v>
      </c>
      <c r="I16731" t="s">
        <v>29</v>
      </c>
      <c r="J16731" t="s">
        <v>30</v>
      </c>
      <c r="K16731" t="s">
        <v>33089</v>
      </c>
      <c r="M16731" t="s">
        <v>17861</v>
      </c>
      <c r="N16731" t="str">
        <f>"4/4/2022 2:07:00 PM"</f>
        <v>4/4/2022 2:07:00 PM</v>
      </c>
      <c r="O16731" t="s">
        <v>51251</v>
      </c>
    </row>
    <row r="16732" spans="1:20" x14ac:dyDescent="0.25">
      <c r="A16732" t="str">
        <f>"3040014"</f>
        <v>3040014</v>
      </c>
      <c r="B16732" t="s">
        <v>51253</v>
      </c>
      <c r="C16732" t="str">
        <f>"8314284"</f>
        <v>8314284</v>
      </c>
      <c r="D16732" t="s">
        <v>51254</v>
      </c>
      <c r="E16732" t="s">
        <v>51255</v>
      </c>
      <c r="F16732" t="s">
        <v>51256</v>
      </c>
      <c r="I16732" t="s">
        <v>29</v>
      </c>
      <c r="J16732" t="s">
        <v>30</v>
      </c>
      <c r="K16732" t="s">
        <v>9780</v>
      </c>
      <c r="M16732" t="s">
        <v>50793</v>
      </c>
      <c r="N16732" t="str">
        <f>"4/4/2022 2:12:00 PM"</f>
        <v>4/4/2022 2:12:00 PM</v>
      </c>
      <c r="O16732" t="s">
        <v>51254</v>
      </c>
      <c r="T16732" t="s">
        <v>51255</v>
      </c>
    </row>
    <row r="16733" spans="1:20" x14ac:dyDescent="0.25">
      <c r="A16733" t="str">
        <f>"3052825"</f>
        <v>3052825</v>
      </c>
      <c r="B16733" t="s">
        <v>51257</v>
      </c>
      <c r="C16733" t="str">
        <f>"8317562"</f>
        <v>8317562</v>
      </c>
      <c r="D16733" t="s">
        <v>51258</v>
      </c>
      <c r="E16733" t="s">
        <v>51259</v>
      </c>
      <c r="F16733" t="s">
        <v>51260</v>
      </c>
      <c r="I16733" t="s">
        <v>29</v>
      </c>
      <c r="J16733" t="s">
        <v>30</v>
      </c>
      <c r="K16733" t="s">
        <v>45871</v>
      </c>
      <c r="M16733" t="s">
        <v>17861</v>
      </c>
      <c r="N16733" t="str">
        <f>"4/12/2022 4:07:00 PM"</f>
        <v>4/12/2022 4:07:00 PM</v>
      </c>
      <c r="O16733" t="s">
        <v>51258</v>
      </c>
      <c r="T16733" t="s">
        <v>51259</v>
      </c>
    </row>
    <row r="16734" spans="1:20" x14ac:dyDescent="0.25">
      <c r="A16734" t="str">
        <f>"3060092"</f>
        <v>3060092</v>
      </c>
      <c r="B16734" t="s">
        <v>51261</v>
      </c>
      <c r="C16734" t="str">
        <f>"8317581"</f>
        <v>8317581</v>
      </c>
      <c r="D16734" t="s">
        <v>5472</v>
      </c>
      <c r="E16734" t="s">
        <v>30671</v>
      </c>
      <c r="F16734" t="s">
        <v>51262</v>
      </c>
      <c r="I16734" t="s">
        <v>29</v>
      </c>
      <c r="J16734" t="s">
        <v>30</v>
      </c>
      <c r="K16734" t="s">
        <v>51263</v>
      </c>
      <c r="M16734" t="s">
        <v>17861</v>
      </c>
      <c r="N16734" t="str">
        <f>"4/14/2022 11:23:00 AM"</f>
        <v>4/14/2022 11:23:00 AM</v>
      </c>
      <c r="O16734" t="s">
        <v>5472</v>
      </c>
      <c r="T16734" t="s">
        <v>30671</v>
      </c>
    </row>
    <row r="16735" spans="1:20" x14ac:dyDescent="0.25">
      <c r="A16735" t="str">
        <f>"3054528"</f>
        <v>3054528</v>
      </c>
      <c r="B16735" t="s">
        <v>51264</v>
      </c>
      <c r="C16735" t="str">
        <f>"8317568"</f>
        <v>8317568</v>
      </c>
      <c r="D16735" t="s">
        <v>51265</v>
      </c>
      <c r="F16735" t="s">
        <v>51266</v>
      </c>
      <c r="I16735" t="s">
        <v>29</v>
      </c>
      <c r="J16735" t="s">
        <v>30</v>
      </c>
      <c r="K16735" t="str">
        <f>"27028"</f>
        <v>27028</v>
      </c>
      <c r="M16735" t="s">
        <v>17861</v>
      </c>
      <c r="N16735" t="str">
        <f>"4/12/2022 4:19:00 PM"</f>
        <v>4/12/2022 4:19:00 PM</v>
      </c>
      <c r="O16735" t="s">
        <v>51265</v>
      </c>
    </row>
    <row r="16736" spans="1:20" x14ac:dyDescent="0.25">
      <c r="A16736" t="str">
        <f>"3053311"</f>
        <v>3053311</v>
      </c>
      <c r="B16736" t="s">
        <v>51267</v>
      </c>
      <c r="C16736" t="str">
        <f>"8317569"</f>
        <v>8317569</v>
      </c>
      <c r="D16736" t="s">
        <v>51268</v>
      </c>
      <c r="E16736" t="s">
        <v>51269</v>
      </c>
      <c r="F16736" t="s">
        <v>51270</v>
      </c>
      <c r="I16736" t="s">
        <v>29</v>
      </c>
      <c r="J16736" t="s">
        <v>30</v>
      </c>
      <c r="K16736" t="s">
        <v>6094</v>
      </c>
      <c r="M16736" t="s">
        <v>17861</v>
      </c>
      <c r="N16736" t="str">
        <f>"4/13/2022 8:16:00 AM"</f>
        <v>4/13/2022 8:16:00 AM</v>
      </c>
      <c r="O16736" t="s">
        <v>51268</v>
      </c>
      <c r="T16736" t="s">
        <v>51269</v>
      </c>
    </row>
    <row r="16737" spans="1:20" x14ac:dyDescent="0.25">
      <c r="A16737" t="str">
        <f>"3053670"</f>
        <v>3053670</v>
      </c>
      <c r="B16737" t="s">
        <v>51271</v>
      </c>
      <c r="C16737" t="str">
        <f>"8317569"</f>
        <v>8317569</v>
      </c>
      <c r="D16737" t="s">
        <v>51268</v>
      </c>
      <c r="E16737" t="s">
        <v>51269</v>
      </c>
      <c r="F16737" t="s">
        <v>51270</v>
      </c>
      <c r="I16737" t="s">
        <v>29</v>
      </c>
      <c r="J16737" t="s">
        <v>30</v>
      </c>
      <c r="K16737" t="s">
        <v>6094</v>
      </c>
      <c r="M16737" t="s">
        <v>17861</v>
      </c>
      <c r="N16737" t="str">
        <f>"4/13/2022 8:16:00 AM"</f>
        <v>4/13/2022 8:16:00 AM</v>
      </c>
      <c r="O16737" t="s">
        <v>51268</v>
      </c>
      <c r="T16737" t="s">
        <v>51269</v>
      </c>
    </row>
    <row r="16738" spans="1:20" x14ac:dyDescent="0.25">
      <c r="A16738" t="str">
        <f>"3051508"</f>
        <v>3051508</v>
      </c>
      <c r="B16738" t="s">
        <v>51272</v>
      </c>
      <c r="C16738" t="str">
        <f>"8317570"</f>
        <v>8317570</v>
      </c>
      <c r="D16738" t="s">
        <v>51273</v>
      </c>
      <c r="F16738" t="s">
        <v>51274</v>
      </c>
      <c r="I16738" t="s">
        <v>29</v>
      </c>
      <c r="J16738" t="s">
        <v>30</v>
      </c>
      <c r="K16738" t="s">
        <v>35640</v>
      </c>
      <c r="M16738" t="s">
        <v>17861</v>
      </c>
      <c r="N16738" t="str">
        <f>"4/13/2022 8:18:00 AM"</f>
        <v>4/13/2022 8:18:00 AM</v>
      </c>
      <c r="O16738" t="s">
        <v>51273</v>
      </c>
    </row>
    <row r="16739" spans="1:20" x14ac:dyDescent="0.25">
      <c r="A16739" t="str">
        <f>"3050407"</f>
        <v>3050407</v>
      </c>
      <c r="B16739" t="s">
        <v>51275</v>
      </c>
      <c r="C16739" t="str">
        <f>"8317574"</f>
        <v>8317574</v>
      </c>
      <c r="D16739" t="s">
        <v>51276</v>
      </c>
      <c r="F16739" t="s">
        <v>51277</v>
      </c>
      <c r="I16739" t="s">
        <v>184</v>
      </c>
      <c r="J16739" t="s">
        <v>30</v>
      </c>
      <c r="K16739" t="s">
        <v>12476</v>
      </c>
      <c r="M16739" t="s">
        <v>17861</v>
      </c>
      <c r="N16739" t="str">
        <f>"4/13/2022 8:51:00 AM"</f>
        <v>4/13/2022 8:51:00 AM</v>
      </c>
      <c r="O16739" t="s">
        <v>51276</v>
      </c>
    </row>
    <row r="16740" spans="1:20" x14ac:dyDescent="0.25">
      <c r="A16740" t="str">
        <f>"3056781"</f>
        <v>3056781</v>
      </c>
      <c r="B16740" t="s">
        <v>51278</v>
      </c>
      <c r="C16740" t="str">
        <f>"8316284"</f>
        <v>8316284</v>
      </c>
      <c r="D16740" t="s">
        <v>51279</v>
      </c>
      <c r="F16740" t="s">
        <v>51280</v>
      </c>
      <c r="I16740" t="s">
        <v>29</v>
      </c>
      <c r="J16740" t="s">
        <v>30</v>
      </c>
      <c r="K16740" t="s">
        <v>49119</v>
      </c>
      <c r="M16740" t="s">
        <v>32801</v>
      </c>
      <c r="N16740" t="str">
        <f>"4/13/2022 9:24:00 AM"</f>
        <v>4/13/2022 9:24:00 AM</v>
      </c>
      <c r="O16740" t="s">
        <v>51279</v>
      </c>
    </row>
    <row r="16741" spans="1:20" x14ac:dyDescent="0.25">
      <c r="A16741" t="str">
        <f>"3059810"</f>
        <v>3059810</v>
      </c>
      <c r="B16741" t="s">
        <v>51281</v>
      </c>
      <c r="C16741" t="str">
        <f>"8317575"</f>
        <v>8317575</v>
      </c>
      <c r="D16741" t="s">
        <v>51282</v>
      </c>
      <c r="E16741" t="s">
        <v>51283</v>
      </c>
      <c r="F16741" t="s">
        <v>51284</v>
      </c>
      <c r="I16741" t="s">
        <v>29</v>
      </c>
      <c r="J16741" t="s">
        <v>30</v>
      </c>
      <c r="K16741" t="s">
        <v>35039</v>
      </c>
      <c r="M16741" t="s">
        <v>17861</v>
      </c>
      <c r="N16741" t="str">
        <f>"4/13/2022 10:40:00 AM"</f>
        <v>4/13/2022 10:40:00 AM</v>
      </c>
      <c r="O16741" t="s">
        <v>51282</v>
      </c>
      <c r="T16741" t="s">
        <v>51283</v>
      </c>
    </row>
    <row r="16742" spans="1:20" x14ac:dyDescent="0.25">
      <c r="A16742" t="str">
        <f>"3051895"</f>
        <v>3051895</v>
      </c>
      <c r="B16742" t="s">
        <v>51285</v>
      </c>
      <c r="C16742" t="str">
        <f>"8317576"</f>
        <v>8317576</v>
      </c>
      <c r="D16742" t="s">
        <v>51286</v>
      </c>
      <c r="F16742" t="s">
        <v>51287</v>
      </c>
      <c r="I16742" t="s">
        <v>29</v>
      </c>
      <c r="J16742" t="s">
        <v>30</v>
      </c>
      <c r="K16742" t="s">
        <v>51288</v>
      </c>
      <c r="M16742" t="s">
        <v>17861</v>
      </c>
      <c r="N16742" t="str">
        <f>"4/13/2022 11:14:00 AM"</f>
        <v>4/13/2022 11:14:00 AM</v>
      </c>
      <c r="O16742" t="s">
        <v>51286</v>
      </c>
    </row>
    <row r="16743" spans="1:20" x14ac:dyDescent="0.25">
      <c r="A16743" t="str">
        <f>"3052663"</f>
        <v>3052663</v>
      </c>
      <c r="B16743" t="s">
        <v>51289</v>
      </c>
      <c r="C16743" t="str">
        <f>"8317536"</f>
        <v>8317536</v>
      </c>
      <c r="D16743" t="s">
        <v>51290</v>
      </c>
      <c r="F16743" t="s">
        <v>51291</v>
      </c>
      <c r="I16743" t="s">
        <v>29</v>
      </c>
      <c r="J16743" t="s">
        <v>30</v>
      </c>
      <c r="K16743" t="s">
        <v>43829</v>
      </c>
      <c r="M16743" t="s">
        <v>17861</v>
      </c>
      <c r="N16743" t="str">
        <f>"4/11/2022 12:41:00 PM"</f>
        <v>4/11/2022 12:41:00 PM</v>
      </c>
      <c r="O16743" t="s">
        <v>51290</v>
      </c>
    </row>
    <row r="16744" spans="1:20" x14ac:dyDescent="0.25">
      <c r="A16744" t="str">
        <f>"3060010"</f>
        <v>3060010</v>
      </c>
      <c r="B16744" t="s">
        <v>51292</v>
      </c>
      <c r="C16744" t="str">
        <f>"8317539"</f>
        <v>8317539</v>
      </c>
      <c r="D16744" t="s">
        <v>51293</v>
      </c>
      <c r="E16744" t="s">
        <v>51294</v>
      </c>
      <c r="F16744" t="s">
        <v>51295</v>
      </c>
      <c r="I16744" t="s">
        <v>184</v>
      </c>
      <c r="J16744" t="s">
        <v>30</v>
      </c>
      <c r="K16744" t="s">
        <v>51296</v>
      </c>
      <c r="M16744" t="s">
        <v>17861</v>
      </c>
      <c r="N16744" t="str">
        <f>"4/11/2022 1:40:00 PM"</f>
        <v>4/11/2022 1:40:00 PM</v>
      </c>
      <c r="O16744" t="s">
        <v>51293</v>
      </c>
      <c r="T16744" t="s">
        <v>51294</v>
      </c>
    </row>
    <row r="16745" spans="1:20" x14ac:dyDescent="0.25">
      <c r="A16745" t="str">
        <f>"3059914"</f>
        <v>3059914</v>
      </c>
      <c r="B16745" t="s">
        <v>51297</v>
      </c>
      <c r="C16745" t="str">
        <f>"8305726"</f>
        <v>8305726</v>
      </c>
      <c r="D16745" t="s">
        <v>51298</v>
      </c>
      <c r="F16745" t="s">
        <v>51299</v>
      </c>
      <c r="G16745" t="s">
        <v>51300</v>
      </c>
      <c r="I16745" t="s">
        <v>30550</v>
      </c>
      <c r="J16745" t="s">
        <v>30</v>
      </c>
      <c r="K16745" t="str">
        <f>"28801"</f>
        <v>28801</v>
      </c>
      <c r="M16745" t="s">
        <v>50621</v>
      </c>
      <c r="N16745" t="str">
        <f>"4/11/2022 3:00:00 PM"</f>
        <v>4/11/2022 3:00:00 PM</v>
      </c>
      <c r="O16745" t="s">
        <v>51298</v>
      </c>
    </row>
    <row r="16746" spans="1:20" x14ac:dyDescent="0.25">
      <c r="A16746" t="str">
        <f>"3053379"</f>
        <v>3053379</v>
      </c>
      <c r="B16746" t="s">
        <v>51301</v>
      </c>
      <c r="C16746" t="str">
        <f>"8305726"</f>
        <v>8305726</v>
      </c>
      <c r="D16746" t="s">
        <v>51298</v>
      </c>
      <c r="F16746" t="s">
        <v>51299</v>
      </c>
      <c r="G16746" t="s">
        <v>51300</v>
      </c>
      <c r="I16746" t="s">
        <v>30550</v>
      </c>
      <c r="J16746" t="s">
        <v>30</v>
      </c>
      <c r="K16746" t="str">
        <f>"28801"</f>
        <v>28801</v>
      </c>
      <c r="M16746" t="s">
        <v>50621</v>
      </c>
      <c r="N16746" t="str">
        <f>"4/11/2022 3:00:00 PM"</f>
        <v>4/11/2022 3:00:00 PM</v>
      </c>
      <c r="O16746" t="s">
        <v>51298</v>
      </c>
    </row>
    <row r="16747" spans="1:20" x14ac:dyDescent="0.25">
      <c r="A16747" t="str">
        <f>"3056630"</f>
        <v>3056630</v>
      </c>
      <c r="B16747" t="s">
        <v>51302</v>
      </c>
      <c r="C16747" t="str">
        <f>"8305726"</f>
        <v>8305726</v>
      </c>
      <c r="D16747" t="s">
        <v>51298</v>
      </c>
      <c r="F16747" t="s">
        <v>51299</v>
      </c>
      <c r="G16747" t="s">
        <v>51300</v>
      </c>
      <c r="I16747" t="s">
        <v>30550</v>
      </c>
      <c r="J16747" t="s">
        <v>30</v>
      </c>
      <c r="K16747" t="str">
        <f>"28801"</f>
        <v>28801</v>
      </c>
      <c r="M16747" t="s">
        <v>50621</v>
      </c>
      <c r="N16747" t="str">
        <f>"4/11/2022 3:00:00 PM"</f>
        <v>4/11/2022 3:00:00 PM</v>
      </c>
      <c r="O16747" t="s">
        <v>51298</v>
      </c>
    </row>
    <row r="16748" spans="1:20" x14ac:dyDescent="0.25">
      <c r="A16748" t="str">
        <f>"3046476"</f>
        <v>3046476</v>
      </c>
      <c r="B16748" t="s">
        <v>51303</v>
      </c>
      <c r="C16748" t="str">
        <f>"8317543"</f>
        <v>8317543</v>
      </c>
      <c r="D16748" t="s">
        <v>51304</v>
      </c>
      <c r="F16748" t="s">
        <v>51305</v>
      </c>
      <c r="I16748" t="s">
        <v>17921</v>
      </c>
      <c r="J16748" t="s">
        <v>30</v>
      </c>
      <c r="K16748" t="str">
        <f>"27028"</f>
        <v>27028</v>
      </c>
      <c r="M16748" t="s">
        <v>17861</v>
      </c>
      <c r="N16748" t="str">
        <f>"4/11/2022 3:42:00 PM"</f>
        <v>4/11/2022 3:42:00 PM</v>
      </c>
      <c r="O16748" t="s">
        <v>51304</v>
      </c>
    </row>
    <row r="16749" spans="1:20" x14ac:dyDescent="0.25">
      <c r="A16749" t="str">
        <f>"3058740"</f>
        <v>3058740</v>
      </c>
      <c r="B16749" t="s">
        <v>51306</v>
      </c>
      <c r="C16749" t="str">
        <f>"8317546"</f>
        <v>8317546</v>
      </c>
      <c r="D16749" t="s">
        <v>51307</v>
      </c>
      <c r="F16749" t="s">
        <v>51308</v>
      </c>
      <c r="I16749" t="s">
        <v>29</v>
      </c>
      <c r="J16749" t="s">
        <v>30</v>
      </c>
      <c r="K16749" t="s">
        <v>11644</v>
      </c>
      <c r="M16749" t="s">
        <v>17861</v>
      </c>
      <c r="N16749" t="str">
        <f>"4/11/2022 4:15:00 PM"</f>
        <v>4/11/2022 4:15:00 PM</v>
      </c>
      <c r="O16749" t="s">
        <v>51307</v>
      </c>
    </row>
    <row r="16750" spans="1:20" x14ac:dyDescent="0.25">
      <c r="A16750" t="str">
        <f>"3055053"</f>
        <v>3055053</v>
      </c>
      <c r="B16750" t="s">
        <v>51309</v>
      </c>
      <c r="C16750" t="str">
        <f>"8317549"</f>
        <v>8317549</v>
      </c>
      <c r="D16750" t="s">
        <v>51310</v>
      </c>
      <c r="E16750" t="s">
        <v>21337</v>
      </c>
      <c r="F16750" t="s">
        <v>51311</v>
      </c>
      <c r="I16750" t="s">
        <v>17921</v>
      </c>
      <c r="J16750" t="s">
        <v>30</v>
      </c>
      <c r="K16750" t="str">
        <f>"27028"</f>
        <v>27028</v>
      </c>
      <c r="M16750" t="s">
        <v>17861</v>
      </c>
      <c r="N16750" t="str">
        <f>"4/12/2022 1:28:00 PM"</f>
        <v>4/12/2022 1:28:00 PM</v>
      </c>
      <c r="O16750" t="s">
        <v>51310</v>
      </c>
      <c r="T16750" t="s">
        <v>21337</v>
      </c>
    </row>
    <row r="16751" spans="1:20" x14ac:dyDescent="0.25">
      <c r="A16751" t="str">
        <f>"3042616"</f>
        <v>3042616</v>
      </c>
      <c r="B16751" t="s">
        <v>51312</v>
      </c>
      <c r="C16751" t="str">
        <f>"8317550"</f>
        <v>8317550</v>
      </c>
      <c r="D16751" t="s">
        <v>51313</v>
      </c>
      <c r="E16751" t="s">
        <v>51314</v>
      </c>
      <c r="F16751" t="s">
        <v>51315</v>
      </c>
      <c r="I16751" t="s">
        <v>29</v>
      </c>
      <c r="J16751" t="s">
        <v>30</v>
      </c>
      <c r="K16751" t="s">
        <v>51316</v>
      </c>
      <c r="M16751" t="s">
        <v>17861</v>
      </c>
      <c r="N16751" t="str">
        <f>"4/12/2022 1:31:00 PM"</f>
        <v>4/12/2022 1:31:00 PM</v>
      </c>
      <c r="O16751" t="s">
        <v>51313</v>
      </c>
      <c r="T16751" t="s">
        <v>51314</v>
      </c>
    </row>
    <row r="16752" spans="1:20" x14ac:dyDescent="0.25">
      <c r="A16752" t="str">
        <f>"3038878"</f>
        <v>3038878</v>
      </c>
      <c r="B16752" t="s">
        <v>51317</v>
      </c>
      <c r="C16752" t="str">
        <f>"8317551"</f>
        <v>8317551</v>
      </c>
      <c r="D16752" t="s">
        <v>51318</v>
      </c>
      <c r="E16752" t="s">
        <v>51319</v>
      </c>
      <c r="F16752" t="s">
        <v>51320</v>
      </c>
      <c r="I16752" t="s">
        <v>29</v>
      </c>
      <c r="J16752" t="s">
        <v>30</v>
      </c>
      <c r="K16752" t="s">
        <v>33977</v>
      </c>
      <c r="M16752" t="s">
        <v>17861</v>
      </c>
      <c r="N16752" t="str">
        <f>"4/12/2022 1:35:00 PM"</f>
        <v>4/12/2022 1:35:00 PM</v>
      </c>
      <c r="O16752" t="s">
        <v>51318</v>
      </c>
      <c r="T16752" t="s">
        <v>51319</v>
      </c>
    </row>
    <row r="16753" spans="1:20" x14ac:dyDescent="0.25">
      <c r="A16753" t="str">
        <f>"3055864"</f>
        <v>3055864</v>
      </c>
      <c r="B16753" t="s">
        <v>51321</v>
      </c>
      <c r="C16753" t="str">
        <f>"8317552"</f>
        <v>8317552</v>
      </c>
      <c r="D16753" t="s">
        <v>51322</v>
      </c>
      <c r="F16753" t="s">
        <v>51323</v>
      </c>
      <c r="I16753" t="s">
        <v>29</v>
      </c>
      <c r="J16753" t="s">
        <v>30</v>
      </c>
      <c r="K16753" t="s">
        <v>51324</v>
      </c>
      <c r="M16753" t="s">
        <v>17861</v>
      </c>
      <c r="N16753" t="str">
        <f>"4/12/2022 1:39:00 PM"</f>
        <v>4/12/2022 1:39:00 PM</v>
      </c>
      <c r="O16753" t="s">
        <v>51322</v>
      </c>
    </row>
    <row r="16754" spans="1:20" x14ac:dyDescent="0.25">
      <c r="A16754" t="str">
        <f>"3050616"</f>
        <v>3050616</v>
      </c>
      <c r="B16754" t="s">
        <v>51325</v>
      </c>
      <c r="C16754" t="str">
        <f>"8317555"</f>
        <v>8317555</v>
      </c>
      <c r="D16754" t="s">
        <v>51326</v>
      </c>
      <c r="E16754" t="s">
        <v>51327</v>
      </c>
      <c r="F16754" t="s">
        <v>51328</v>
      </c>
      <c r="I16754" t="s">
        <v>33546</v>
      </c>
      <c r="J16754" t="s">
        <v>30</v>
      </c>
      <c r="K16754" t="s">
        <v>51329</v>
      </c>
      <c r="M16754" t="s">
        <v>17861</v>
      </c>
      <c r="N16754" t="str">
        <f>"4/12/2022 2:39:00 PM"</f>
        <v>4/12/2022 2:39:00 PM</v>
      </c>
      <c r="O16754" t="s">
        <v>51326</v>
      </c>
      <c r="T16754" t="s">
        <v>51327</v>
      </c>
    </row>
    <row r="16755" spans="1:20" x14ac:dyDescent="0.25">
      <c r="A16755" t="str">
        <f>"3076564"</f>
        <v>3076564</v>
      </c>
      <c r="B16755" t="s">
        <v>51330</v>
      </c>
      <c r="C16755" t="str">
        <f>"8317603"</f>
        <v>8317603</v>
      </c>
      <c r="D16755" t="s">
        <v>51331</v>
      </c>
      <c r="F16755" t="s">
        <v>51332</v>
      </c>
      <c r="I16755" t="s">
        <v>29</v>
      </c>
      <c r="J16755" t="s">
        <v>30</v>
      </c>
      <c r="K16755" t="s">
        <v>92</v>
      </c>
      <c r="M16755" t="s">
        <v>17861</v>
      </c>
      <c r="N16755" t="str">
        <f>"4/21/2022 9:48:00 AM"</f>
        <v>4/21/2022 9:48:00 AM</v>
      </c>
      <c r="O16755" t="s">
        <v>51331</v>
      </c>
    </row>
    <row r="16756" spans="1:20" x14ac:dyDescent="0.25">
      <c r="A16756" t="str">
        <f>"3037474"</f>
        <v>3037474</v>
      </c>
      <c r="B16756" t="s">
        <v>51333</v>
      </c>
      <c r="C16756" t="str">
        <f>"8317604"</f>
        <v>8317604</v>
      </c>
      <c r="D16756" t="s">
        <v>51334</v>
      </c>
      <c r="F16756" t="s">
        <v>51335</v>
      </c>
      <c r="I16756" t="s">
        <v>29</v>
      </c>
      <c r="J16756" t="s">
        <v>30</v>
      </c>
      <c r="K16756" t="s">
        <v>51336</v>
      </c>
      <c r="M16756" t="s">
        <v>17861</v>
      </c>
      <c r="N16756" t="str">
        <f>"4/21/2022 9:59:00 AM"</f>
        <v>4/21/2022 9:59:00 AM</v>
      </c>
      <c r="O16756" t="s">
        <v>51334</v>
      </c>
    </row>
    <row r="16757" spans="1:20" x14ac:dyDescent="0.25">
      <c r="A16757" t="str">
        <f>"3046513"</f>
        <v>3046513</v>
      </c>
      <c r="B16757" t="s">
        <v>51337</v>
      </c>
      <c r="C16757" t="str">
        <f>"8317559"</f>
        <v>8317559</v>
      </c>
      <c r="D16757" t="s">
        <v>51198</v>
      </c>
      <c r="F16757" t="s">
        <v>51199</v>
      </c>
      <c r="I16757" t="s">
        <v>29</v>
      </c>
      <c r="J16757" t="s">
        <v>30</v>
      </c>
      <c r="K16757" t="s">
        <v>8445</v>
      </c>
      <c r="M16757" t="s">
        <v>17861</v>
      </c>
      <c r="N16757" t="str">
        <f>"4/12/2022 3:24:00 PM"</f>
        <v>4/12/2022 3:24:00 PM</v>
      </c>
      <c r="O16757" t="s">
        <v>51198</v>
      </c>
    </row>
    <row r="16758" spans="1:20" x14ac:dyDescent="0.25">
      <c r="A16758" t="str">
        <f>"3044868"</f>
        <v>3044868</v>
      </c>
      <c r="B16758" t="s">
        <v>51338</v>
      </c>
      <c r="C16758" t="str">
        <f>"8317586"</f>
        <v>8317586</v>
      </c>
      <c r="D16758" t="s">
        <v>51339</v>
      </c>
      <c r="E16758" t="s">
        <v>51340</v>
      </c>
      <c r="F16758" t="s">
        <v>51341</v>
      </c>
      <c r="I16758" t="s">
        <v>184</v>
      </c>
      <c r="J16758" t="s">
        <v>30</v>
      </c>
      <c r="K16758" t="s">
        <v>42435</v>
      </c>
      <c r="M16758" t="s">
        <v>17861</v>
      </c>
      <c r="N16758" t="str">
        <f>"4/14/2022 1:23:00 PM"</f>
        <v>4/14/2022 1:23:00 PM</v>
      </c>
      <c r="O16758" t="s">
        <v>51339</v>
      </c>
      <c r="T16758" t="s">
        <v>51340</v>
      </c>
    </row>
    <row r="16759" spans="1:20" x14ac:dyDescent="0.25">
      <c r="A16759" t="str">
        <f>"3054232"</f>
        <v>3054232</v>
      </c>
      <c r="B16759" t="s">
        <v>51342</v>
      </c>
      <c r="C16759" t="str">
        <f>"8316483"</f>
        <v>8316483</v>
      </c>
      <c r="D16759" t="s">
        <v>51343</v>
      </c>
      <c r="F16759" t="s">
        <v>51344</v>
      </c>
      <c r="I16759" t="s">
        <v>29</v>
      </c>
      <c r="J16759" t="s">
        <v>30</v>
      </c>
      <c r="K16759" t="s">
        <v>26329</v>
      </c>
      <c r="M16759" t="s">
        <v>17861</v>
      </c>
      <c r="N16759" t="str">
        <f>"4/14/2022 1:34:00 PM"</f>
        <v>4/14/2022 1:34:00 PM</v>
      </c>
      <c r="O16759" t="s">
        <v>51343</v>
      </c>
    </row>
    <row r="16760" spans="1:20" x14ac:dyDescent="0.25">
      <c r="A16760" t="str">
        <f>"3041777"</f>
        <v>3041777</v>
      </c>
      <c r="B16760" t="s">
        <v>51345</v>
      </c>
      <c r="C16760" t="str">
        <f>"8317587"</f>
        <v>8317587</v>
      </c>
      <c r="D16760" t="s">
        <v>51346</v>
      </c>
      <c r="F16760" t="s">
        <v>51347</v>
      </c>
      <c r="I16760" t="s">
        <v>2071</v>
      </c>
      <c r="J16760" t="s">
        <v>30</v>
      </c>
      <c r="K16760" t="s">
        <v>40687</v>
      </c>
      <c r="M16760" t="s">
        <v>17861</v>
      </c>
      <c r="N16760" t="str">
        <f>"4/14/2022 1:46:00 PM"</f>
        <v>4/14/2022 1:46:00 PM</v>
      </c>
      <c r="O16760" t="s">
        <v>51346</v>
      </c>
    </row>
    <row r="16761" spans="1:20" x14ac:dyDescent="0.25">
      <c r="A16761" t="str">
        <f>"3052162"</f>
        <v>3052162</v>
      </c>
      <c r="B16761" t="s">
        <v>51348</v>
      </c>
      <c r="C16761" t="str">
        <f>"8312198"</f>
        <v>8312198</v>
      </c>
      <c r="D16761" t="s">
        <v>39276</v>
      </c>
      <c r="E16761" t="s">
        <v>51349</v>
      </c>
      <c r="F16761" t="s">
        <v>39262</v>
      </c>
      <c r="I16761" t="s">
        <v>29</v>
      </c>
      <c r="J16761" t="s">
        <v>30</v>
      </c>
      <c r="K16761" t="s">
        <v>51350</v>
      </c>
      <c r="M16761" t="s">
        <v>51351</v>
      </c>
      <c r="N16761" t="str">
        <f>"4/14/2022 2:05:00 PM"</f>
        <v>4/14/2022 2:05:00 PM</v>
      </c>
      <c r="O16761" t="s">
        <v>39276</v>
      </c>
      <c r="T16761" t="s">
        <v>51349</v>
      </c>
    </row>
    <row r="16762" spans="1:20" x14ac:dyDescent="0.25">
      <c r="A16762" t="str">
        <f>"3060430"</f>
        <v>3060430</v>
      </c>
      <c r="B16762" t="s">
        <v>51352</v>
      </c>
      <c r="C16762" t="str">
        <f>"8315623"</f>
        <v>8315623</v>
      </c>
      <c r="D16762" t="s">
        <v>51353</v>
      </c>
      <c r="E16762" t="s">
        <v>51354</v>
      </c>
      <c r="F16762" t="s">
        <v>51355</v>
      </c>
      <c r="I16762" t="s">
        <v>51356</v>
      </c>
      <c r="J16762" t="s">
        <v>12725</v>
      </c>
      <c r="K16762" t="s">
        <v>51357</v>
      </c>
      <c r="M16762" t="s">
        <v>18479</v>
      </c>
      <c r="N16762" t="str">
        <f>"4/18/2022 4:51:00 PM"</f>
        <v>4/18/2022 4:51:00 PM</v>
      </c>
      <c r="O16762" t="s">
        <v>51353</v>
      </c>
      <c r="T16762" t="s">
        <v>51354</v>
      </c>
    </row>
    <row r="16763" spans="1:20" x14ac:dyDescent="0.25">
      <c r="A16763" t="str">
        <f>"3061564"</f>
        <v>3061564</v>
      </c>
      <c r="B16763" t="s">
        <v>51358</v>
      </c>
      <c r="C16763" t="str">
        <f>"8317592"</f>
        <v>8317592</v>
      </c>
      <c r="D16763" t="s">
        <v>51359</v>
      </c>
      <c r="F16763" t="s">
        <v>51360</v>
      </c>
      <c r="I16763" t="s">
        <v>184</v>
      </c>
      <c r="J16763" t="s">
        <v>30</v>
      </c>
      <c r="K16763" t="s">
        <v>34784</v>
      </c>
      <c r="M16763" t="s">
        <v>17861</v>
      </c>
      <c r="N16763" t="str">
        <f>"4/19/2022 9:06:00 AM"</f>
        <v>4/19/2022 9:06:00 AM</v>
      </c>
      <c r="O16763" t="s">
        <v>51359</v>
      </c>
    </row>
    <row r="16764" spans="1:20" x14ac:dyDescent="0.25">
      <c r="A16764" t="str">
        <f>"3043278"</f>
        <v>3043278</v>
      </c>
      <c r="B16764" t="s">
        <v>51361</v>
      </c>
      <c r="C16764" t="str">
        <f>"8308054"</f>
        <v>8308054</v>
      </c>
      <c r="D16764" t="s">
        <v>51362</v>
      </c>
      <c r="E16764" t="s">
        <v>51363</v>
      </c>
      <c r="F16764" t="s">
        <v>51364</v>
      </c>
      <c r="I16764" t="s">
        <v>29</v>
      </c>
      <c r="J16764" t="s">
        <v>30</v>
      </c>
      <c r="K16764" t="str">
        <f>"27028"</f>
        <v>27028</v>
      </c>
      <c r="M16764" t="s">
        <v>50793</v>
      </c>
      <c r="N16764" t="str">
        <f>"4/19/2022 11:21:00 AM"</f>
        <v>4/19/2022 11:21:00 AM</v>
      </c>
      <c r="O16764" t="s">
        <v>51362</v>
      </c>
      <c r="T16764" t="s">
        <v>51363</v>
      </c>
    </row>
    <row r="16765" spans="1:20" x14ac:dyDescent="0.25">
      <c r="A16765" t="str">
        <f>"3040796"</f>
        <v>3040796</v>
      </c>
      <c r="B16765" t="s">
        <v>51365</v>
      </c>
      <c r="C16765" t="str">
        <f>"8317597"</f>
        <v>8317597</v>
      </c>
      <c r="D16765" t="s">
        <v>51366</v>
      </c>
      <c r="E16765" t="s">
        <v>51367</v>
      </c>
      <c r="F16765" t="s">
        <v>51368</v>
      </c>
      <c r="I16765" t="s">
        <v>184</v>
      </c>
      <c r="J16765" t="s">
        <v>30</v>
      </c>
      <c r="K16765" t="s">
        <v>18915</v>
      </c>
      <c r="M16765" t="s">
        <v>17861</v>
      </c>
      <c r="N16765" t="str">
        <f>"4/19/2022 11:27:00 AM"</f>
        <v>4/19/2022 11:27:00 AM</v>
      </c>
      <c r="O16765" t="s">
        <v>51366</v>
      </c>
      <c r="T16765" t="s">
        <v>51367</v>
      </c>
    </row>
    <row r="16766" spans="1:20" x14ac:dyDescent="0.25">
      <c r="A16766" t="str">
        <f>"3061710"</f>
        <v>3061710</v>
      </c>
      <c r="B16766" t="s">
        <v>51369</v>
      </c>
      <c r="C16766" t="str">
        <f>"8317598"</f>
        <v>8317598</v>
      </c>
      <c r="D16766" t="s">
        <v>51370</v>
      </c>
      <c r="F16766" t="s">
        <v>51371</v>
      </c>
      <c r="I16766" t="s">
        <v>2071</v>
      </c>
      <c r="J16766" t="s">
        <v>30</v>
      </c>
      <c r="K16766" t="s">
        <v>30968</v>
      </c>
      <c r="M16766" t="s">
        <v>17861</v>
      </c>
      <c r="N16766" t="str">
        <f>"4/19/2022 12:55:00 PM"</f>
        <v>4/19/2022 12:55:00 PM</v>
      </c>
      <c r="O16766" t="s">
        <v>51370</v>
      </c>
    </row>
    <row r="16767" spans="1:20" x14ac:dyDescent="0.25">
      <c r="A16767" t="str">
        <f>"3048051"</f>
        <v>3048051</v>
      </c>
      <c r="B16767" t="s">
        <v>51372</v>
      </c>
      <c r="C16767" t="str">
        <f>"72751750"</f>
        <v>72751750</v>
      </c>
      <c r="D16767" t="s">
        <v>51373</v>
      </c>
      <c r="E16767" t="s">
        <v>51374</v>
      </c>
      <c r="F16767" t="s">
        <v>51375</v>
      </c>
      <c r="I16767" t="s">
        <v>184</v>
      </c>
      <c r="J16767" t="s">
        <v>30</v>
      </c>
      <c r="K16767" t="s">
        <v>185</v>
      </c>
      <c r="M16767" t="s">
        <v>50621</v>
      </c>
      <c r="N16767" t="str">
        <f>"4/19/2022 1:01:00 PM"</f>
        <v>4/19/2022 1:01:00 PM</v>
      </c>
      <c r="O16767" t="s">
        <v>51373</v>
      </c>
      <c r="T16767" t="s">
        <v>51374</v>
      </c>
    </row>
    <row r="16768" spans="1:20" x14ac:dyDescent="0.25">
      <c r="A16768" t="str">
        <f>"3056835"</f>
        <v>3056835</v>
      </c>
      <c r="B16768" t="s">
        <v>51376</v>
      </c>
      <c r="C16768" t="str">
        <f>"8317600"</f>
        <v>8317600</v>
      </c>
      <c r="D16768" t="s">
        <v>51377</v>
      </c>
      <c r="E16768" t="s">
        <v>51378</v>
      </c>
      <c r="F16768" t="s">
        <v>51379</v>
      </c>
      <c r="I16768" t="s">
        <v>29</v>
      </c>
      <c r="J16768" t="s">
        <v>30</v>
      </c>
      <c r="K16768" t="s">
        <v>1505</v>
      </c>
      <c r="M16768" t="s">
        <v>17861</v>
      </c>
      <c r="N16768" t="str">
        <f>"4/19/2022 2:31:00 PM"</f>
        <v>4/19/2022 2:31:00 PM</v>
      </c>
      <c r="O16768" t="s">
        <v>51377</v>
      </c>
      <c r="T16768" t="s">
        <v>51378</v>
      </c>
    </row>
    <row r="16769" spans="1:20" x14ac:dyDescent="0.25">
      <c r="A16769" t="str">
        <f>"3060200"</f>
        <v>3060200</v>
      </c>
      <c r="B16769" t="s">
        <v>51380</v>
      </c>
      <c r="C16769" t="str">
        <f>"8317600"</f>
        <v>8317600</v>
      </c>
      <c r="D16769" t="s">
        <v>51377</v>
      </c>
      <c r="E16769" t="s">
        <v>51378</v>
      </c>
      <c r="F16769" t="s">
        <v>51379</v>
      </c>
      <c r="I16769" t="s">
        <v>29</v>
      </c>
      <c r="J16769" t="s">
        <v>30</v>
      </c>
      <c r="K16769" t="s">
        <v>1505</v>
      </c>
      <c r="M16769" t="s">
        <v>17861</v>
      </c>
      <c r="N16769" t="str">
        <f>"4/19/2022 2:31:00 PM"</f>
        <v>4/19/2022 2:31:00 PM</v>
      </c>
      <c r="O16769" t="s">
        <v>51377</v>
      </c>
      <c r="T16769" t="s">
        <v>51378</v>
      </c>
    </row>
    <row r="16770" spans="1:20" x14ac:dyDescent="0.25">
      <c r="A16770" t="str">
        <f>"3051715"</f>
        <v>3051715</v>
      </c>
      <c r="B16770" t="s">
        <v>51381</v>
      </c>
      <c r="C16770" t="str">
        <f>"8317601"</f>
        <v>8317601</v>
      </c>
      <c r="D16770" t="s">
        <v>51382</v>
      </c>
      <c r="F16770" t="s">
        <v>51383</v>
      </c>
      <c r="I16770" t="s">
        <v>29</v>
      </c>
      <c r="J16770" t="s">
        <v>30</v>
      </c>
      <c r="K16770" t="s">
        <v>51384</v>
      </c>
      <c r="M16770" t="s">
        <v>17861</v>
      </c>
      <c r="N16770" t="str">
        <f>"4/19/2022 3:38:00 PM"</f>
        <v>4/19/2022 3:38:00 PM</v>
      </c>
      <c r="O16770" t="s">
        <v>51382</v>
      </c>
    </row>
    <row r="16771" spans="1:20" x14ac:dyDescent="0.25">
      <c r="A16771" t="str">
        <f>"3045139"</f>
        <v>3045139</v>
      </c>
      <c r="B16771" t="s">
        <v>51385</v>
      </c>
      <c r="C16771" t="str">
        <f>"8308416"</f>
        <v>8308416</v>
      </c>
      <c r="D16771" t="s">
        <v>51386</v>
      </c>
      <c r="F16771" t="s">
        <v>51387</v>
      </c>
      <c r="I16771" t="s">
        <v>1149</v>
      </c>
      <c r="J16771" t="s">
        <v>30</v>
      </c>
      <c r="K16771" t="str">
        <f>"28634"</f>
        <v>28634</v>
      </c>
      <c r="M16771" t="s">
        <v>50621</v>
      </c>
      <c r="N16771" t="str">
        <f>"4/19/2022 4:09:00 PM"</f>
        <v>4/19/2022 4:09:00 PM</v>
      </c>
      <c r="O16771" t="s">
        <v>51386</v>
      </c>
    </row>
    <row r="16772" spans="1:20" x14ac:dyDescent="0.25">
      <c r="A16772" t="str">
        <f>"3045445"</f>
        <v>3045445</v>
      </c>
      <c r="B16772" t="s">
        <v>51388</v>
      </c>
      <c r="C16772" t="str">
        <f>"8308416"</f>
        <v>8308416</v>
      </c>
      <c r="D16772" t="s">
        <v>51386</v>
      </c>
      <c r="F16772" t="s">
        <v>51387</v>
      </c>
      <c r="I16772" t="s">
        <v>1149</v>
      </c>
      <c r="J16772" t="s">
        <v>30</v>
      </c>
      <c r="K16772" t="str">
        <f>"28634"</f>
        <v>28634</v>
      </c>
      <c r="M16772" t="s">
        <v>50621</v>
      </c>
      <c r="N16772" t="str">
        <f>"4/19/2022 4:09:00 PM"</f>
        <v>4/19/2022 4:09:00 PM</v>
      </c>
      <c r="O16772" t="s">
        <v>51386</v>
      </c>
    </row>
    <row r="16773" spans="1:20" x14ac:dyDescent="0.25">
      <c r="A16773" t="str">
        <f>"3060172"</f>
        <v>3060172</v>
      </c>
      <c r="B16773" t="s">
        <v>51389</v>
      </c>
      <c r="C16773" t="str">
        <f>"8317120"</f>
        <v>8317120</v>
      </c>
      <c r="D16773" t="s">
        <v>51390</v>
      </c>
      <c r="E16773" t="s">
        <v>51391</v>
      </c>
      <c r="F16773" t="s">
        <v>51392</v>
      </c>
      <c r="I16773" t="s">
        <v>184</v>
      </c>
      <c r="J16773" t="s">
        <v>30</v>
      </c>
      <c r="K16773" t="s">
        <v>48651</v>
      </c>
      <c r="M16773" t="s">
        <v>17861</v>
      </c>
      <c r="N16773" t="str">
        <f>"4/19/2022 4:16:00 PM"</f>
        <v>4/19/2022 4:16:00 PM</v>
      </c>
      <c r="O16773" t="s">
        <v>51390</v>
      </c>
      <c r="T16773" t="s">
        <v>51391</v>
      </c>
    </row>
    <row r="16774" spans="1:20" x14ac:dyDescent="0.25">
      <c r="A16774" t="str">
        <f>"3045931"</f>
        <v>3045931</v>
      </c>
      <c r="B16774" t="s">
        <v>51393</v>
      </c>
      <c r="C16774" t="str">
        <f>"14300000"</f>
        <v>14300000</v>
      </c>
      <c r="D16774" t="s">
        <v>51394</v>
      </c>
      <c r="F16774" t="s">
        <v>51395</v>
      </c>
      <c r="I16774" t="s">
        <v>34070</v>
      </c>
      <c r="J16774" t="s">
        <v>30</v>
      </c>
      <c r="K16774" t="s">
        <v>39327</v>
      </c>
      <c r="M16774" t="s">
        <v>50621</v>
      </c>
      <c r="N16774" t="str">
        <f>"4/20/2022 9:24:00 AM"</f>
        <v>4/20/2022 9:24:00 AM</v>
      </c>
      <c r="O16774" t="s">
        <v>51394</v>
      </c>
    </row>
    <row r="16775" spans="1:20" x14ac:dyDescent="0.25">
      <c r="A16775" t="str">
        <f>"3039008"</f>
        <v>3039008</v>
      </c>
      <c r="B16775" t="s">
        <v>51396</v>
      </c>
      <c r="C16775" t="str">
        <f>"82524153"</f>
        <v>82524153</v>
      </c>
      <c r="D16775" t="s">
        <v>51397</v>
      </c>
      <c r="E16775" t="s">
        <v>51398</v>
      </c>
      <c r="F16775" t="s">
        <v>18511</v>
      </c>
      <c r="I16775" t="s">
        <v>29</v>
      </c>
      <c r="J16775" t="s">
        <v>30</v>
      </c>
      <c r="K16775" t="s">
        <v>51399</v>
      </c>
      <c r="M16775" t="s">
        <v>17861</v>
      </c>
      <c r="N16775" t="str">
        <f>"4/20/2022 12:22:00 PM"</f>
        <v>4/20/2022 12:22:00 PM</v>
      </c>
      <c r="O16775" t="s">
        <v>51397</v>
      </c>
      <c r="T16775" t="s">
        <v>51398</v>
      </c>
    </row>
    <row r="16776" spans="1:20" x14ac:dyDescent="0.25">
      <c r="A16776" t="str">
        <f>"3039413"</f>
        <v>3039413</v>
      </c>
      <c r="B16776" t="s">
        <v>51400</v>
      </c>
      <c r="C16776" t="str">
        <f>"8317603"</f>
        <v>8317603</v>
      </c>
      <c r="D16776" t="s">
        <v>51331</v>
      </c>
      <c r="F16776" t="s">
        <v>51332</v>
      </c>
      <c r="I16776" t="s">
        <v>29</v>
      </c>
      <c r="J16776" t="s">
        <v>30</v>
      </c>
      <c r="K16776" t="s">
        <v>92</v>
      </c>
      <c r="M16776" t="s">
        <v>17861</v>
      </c>
      <c r="N16776" t="str">
        <f>"4/21/2022 9:48:00 AM"</f>
        <v>4/21/2022 9:48:00 AM</v>
      </c>
      <c r="O16776" t="s">
        <v>51331</v>
      </c>
    </row>
    <row r="16777" spans="1:20" x14ac:dyDescent="0.25">
      <c r="A16777" t="str">
        <f>"3053125"</f>
        <v>3053125</v>
      </c>
      <c r="B16777" t="s">
        <v>51401</v>
      </c>
      <c r="C16777" t="str">
        <f>"8317580"</f>
        <v>8317580</v>
      </c>
      <c r="D16777" t="s">
        <v>51402</v>
      </c>
      <c r="E16777" t="s">
        <v>51403</v>
      </c>
      <c r="F16777" t="s">
        <v>51404</v>
      </c>
      <c r="I16777" t="s">
        <v>29</v>
      </c>
      <c r="J16777" t="s">
        <v>30</v>
      </c>
      <c r="K16777" t="s">
        <v>13341</v>
      </c>
      <c r="M16777" t="s">
        <v>17861</v>
      </c>
      <c r="N16777" t="str">
        <f>"4/13/2022 4:12:00 PM"</f>
        <v>4/13/2022 4:12:00 PM</v>
      </c>
      <c r="O16777" t="s">
        <v>51402</v>
      </c>
      <c r="T16777" t="s">
        <v>51403</v>
      </c>
    </row>
    <row r="16778" spans="1:20" x14ac:dyDescent="0.25">
      <c r="A16778" t="str">
        <f>"3053037"</f>
        <v>3053037</v>
      </c>
      <c r="B16778" t="s">
        <v>51405</v>
      </c>
      <c r="C16778" t="str">
        <f>"8317581"</f>
        <v>8317581</v>
      </c>
      <c r="D16778" t="s">
        <v>5472</v>
      </c>
      <c r="E16778" t="s">
        <v>30671</v>
      </c>
      <c r="F16778" t="s">
        <v>51262</v>
      </c>
      <c r="I16778" t="s">
        <v>29</v>
      </c>
      <c r="J16778" t="s">
        <v>30</v>
      </c>
      <c r="K16778" t="s">
        <v>51263</v>
      </c>
      <c r="M16778" t="s">
        <v>17861</v>
      </c>
      <c r="N16778" t="str">
        <f>"4/14/2022 11:23:00 AM"</f>
        <v>4/14/2022 11:23:00 AM</v>
      </c>
      <c r="O16778" t="s">
        <v>5472</v>
      </c>
      <c r="T16778" t="s">
        <v>30671</v>
      </c>
    </row>
    <row r="16779" spans="1:20" x14ac:dyDescent="0.25">
      <c r="A16779" t="str">
        <f>"3059764"</f>
        <v>3059764</v>
      </c>
      <c r="B16779" t="s">
        <v>51406</v>
      </c>
      <c r="C16779" t="str">
        <f>"8317581"</f>
        <v>8317581</v>
      </c>
      <c r="D16779" t="s">
        <v>5472</v>
      </c>
      <c r="E16779" t="s">
        <v>30671</v>
      </c>
      <c r="F16779" t="s">
        <v>51262</v>
      </c>
      <c r="I16779" t="s">
        <v>29</v>
      </c>
      <c r="J16779" t="s">
        <v>30</v>
      </c>
      <c r="K16779" t="s">
        <v>51263</v>
      </c>
      <c r="M16779" t="s">
        <v>17861</v>
      </c>
      <c r="N16779" t="str">
        <f>"4/14/2022 11:23:00 AM"</f>
        <v>4/14/2022 11:23:00 AM</v>
      </c>
      <c r="O16779" t="s">
        <v>5472</v>
      </c>
      <c r="T16779" t="s">
        <v>30671</v>
      </c>
    </row>
    <row r="16780" spans="1:20" x14ac:dyDescent="0.25">
      <c r="A16780" t="str">
        <f>"3037942"</f>
        <v>3037942</v>
      </c>
      <c r="B16780" t="s">
        <v>51407</v>
      </c>
      <c r="C16780" t="str">
        <f>"8317603"</f>
        <v>8317603</v>
      </c>
      <c r="D16780" t="s">
        <v>51331</v>
      </c>
      <c r="F16780" t="s">
        <v>51332</v>
      </c>
      <c r="I16780" t="s">
        <v>29</v>
      </c>
      <c r="J16780" t="s">
        <v>30</v>
      </c>
      <c r="K16780" t="s">
        <v>92</v>
      </c>
      <c r="M16780" t="s">
        <v>17861</v>
      </c>
      <c r="N16780" t="str">
        <f>"4/21/2022 9:48:00 AM"</f>
        <v>4/21/2022 9:48:00 AM</v>
      </c>
      <c r="O16780" t="s">
        <v>51331</v>
      </c>
    </row>
    <row r="16781" spans="1:20" x14ac:dyDescent="0.25">
      <c r="A16781" t="str">
        <f>"3043843"</f>
        <v>3043843</v>
      </c>
      <c r="B16781" t="s">
        <v>51408</v>
      </c>
      <c r="C16781" t="str">
        <f>"4688000"</f>
        <v>4688000</v>
      </c>
      <c r="D16781" t="s">
        <v>51409</v>
      </c>
      <c r="F16781" t="s">
        <v>51410</v>
      </c>
      <c r="I16781" t="s">
        <v>184</v>
      </c>
      <c r="J16781" t="s">
        <v>30</v>
      </c>
      <c r="K16781" t="s">
        <v>185</v>
      </c>
      <c r="M16781" t="s">
        <v>36935</v>
      </c>
      <c r="N16781" t="str">
        <f>"4/22/2022 3:46:00 PM"</f>
        <v>4/22/2022 3:46:00 PM</v>
      </c>
      <c r="O16781" t="s">
        <v>51409</v>
      </c>
    </row>
    <row r="16782" spans="1:20" x14ac:dyDescent="0.25">
      <c r="A16782" t="str">
        <f>"3065691"</f>
        <v>3065691</v>
      </c>
      <c r="B16782" t="s">
        <v>51411</v>
      </c>
      <c r="C16782" t="str">
        <f>"82532159"</f>
        <v>82532159</v>
      </c>
      <c r="D16782" t="s">
        <v>51412</v>
      </c>
      <c r="E16782" t="s">
        <v>51413</v>
      </c>
      <c r="F16782" t="s">
        <v>51414</v>
      </c>
      <c r="I16782" t="s">
        <v>29</v>
      </c>
      <c r="J16782" t="s">
        <v>30</v>
      </c>
      <c r="K16782" t="s">
        <v>31</v>
      </c>
      <c r="M16782" t="s">
        <v>50621</v>
      </c>
      <c r="N16782" t="str">
        <f>"4/28/2022 9:25:00 AM"</f>
        <v>4/28/2022 9:25:00 AM</v>
      </c>
      <c r="O16782" t="s">
        <v>51412</v>
      </c>
      <c r="T16782" t="s">
        <v>51413</v>
      </c>
    </row>
    <row r="16783" spans="1:20" x14ac:dyDescent="0.25">
      <c r="A16783" t="str">
        <f>"3048486"</f>
        <v>3048486</v>
      </c>
      <c r="B16783" t="s">
        <v>51415</v>
      </c>
      <c r="C16783" t="str">
        <f>"82532159"</f>
        <v>82532159</v>
      </c>
      <c r="D16783" t="s">
        <v>51412</v>
      </c>
      <c r="E16783" t="s">
        <v>51413</v>
      </c>
      <c r="F16783" t="s">
        <v>51414</v>
      </c>
      <c r="I16783" t="s">
        <v>29</v>
      </c>
      <c r="J16783" t="s">
        <v>30</v>
      </c>
      <c r="K16783" t="s">
        <v>31</v>
      </c>
      <c r="M16783" t="s">
        <v>50621</v>
      </c>
      <c r="N16783" t="str">
        <f>"4/28/2022 9:25:00 AM"</f>
        <v>4/28/2022 9:25:00 AM</v>
      </c>
      <c r="O16783" t="s">
        <v>51412</v>
      </c>
      <c r="T16783" t="s">
        <v>51413</v>
      </c>
    </row>
    <row r="16784" spans="1:20" x14ac:dyDescent="0.25">
      <c r="A16784" t="str">
        <f>"3038736"</f>
        <v>3038736</v>
      </c>
      <c r="B16784" t="s">
        <v>51416</v>
      </c>
      <c r="C16784" t="str">
        <f>"8317626"</f>
        <v>8317626</v>
      </c>
      <c r="D16784" t="s">
        <v>25307</v>
      </c>
      <c r="E16784" t="s">
        <v>51417</v>
      </c>
      <c r="F16784" t="s">
        <v>51418</v>
      </c>
      <c r="I16784" t="s">
        <v>51419</v>
      </c>
      <c r="J16784" t="s">
        <v>1046</v>
      </c>
      <c r="K16784" t="s">
        <v>51420</v>
      </c>
      <c r="M16784" t="s">
        <v>17861</v>
      </c>
      <c r="N16784" t="str">
        <f>"4/28/2022 10:08:00 AM"</f>
        <v>4/28/2022 10:08:00 AM</v>
      </c>
      <c r="O16784" t="s">
        <v>25307</v>
      </c>
      <c r="T16784" t="s">
        <v>51417</v>
      </c>
    </row>
    <row r="16785" spans="1:20" x14ac:dyDescent="0.25">
      <c r="A16785" t="str">
        <f>"3050599"</f>
        <v>3050599</v>
      </c>
      <c r="B16785" t="s">
        <v>51421</v>
      </c>
      <c r="C16785" t="str">
        <f>"4688000"</f>
        <v>4688000</v>
      </c>
      <c r="D16785" t="s">
        <v>51409</v>
      </c>
      <c r="F16785" t="s">
        <v>51410</v>
      </c>
      <c r="I16785" t="s">
        <v>184</v>
      </c>
      <c r="J16785" t="s">
        <v>30</v>
      </c>
      <c r="K16785" t="s">
        <v>185</v>
      </c>
      <c r="M16785" t="s">
        <v>36935</v>
      </c>
      <c r="N16785" t="str">
        <f>"4/22/2022 3:46:00 PM"</f>
        <v>4/22/2022 3:46:00 PM</v>
      </c>
      <c r="O16785" t="s">
        <v>51409</v>
      </c>
    </row>
    <row r="16786" spans="1:20" x14ac:dyDescent="0.25">
      <c r="A16786" t="str">
        <f>"3047792"</f>
        <v>3047792</v>
      </c>
      <c r="B16786" t="s">
        <v>51422</v>
      </c>
      <c r="C16786" t="str">
        <f>"4690000"</f>
        <v>4690000</v>
      </c>
      <c r="D16786" t="s">
        <v>51409</v>
      </c>
      <c r="E16786" t="s">
        <v>51423</v>
      </c>
      <c r="F16786" t="s">
        <v>51410</v>
      </c>
      <c r="I16786" t="s">
        <v>184</v>
      </c>
      <c r="J16786" t="s">
        <v>30</v>
      </c>
      <c r="K16786" t="s">
        <v>51424</v>
      </c>
      <c r="M16786" t="s">
        <v>36935</v>
      </c>
      <c r="N16786" t="str">
        <f>"4/22/2022 3:46:00 PM"</f>
        <v>4/22/2022 3:46:00 PM</v>
      </c>
      <c r="O16786" t="s">
        <v>51409</v>
      </c>
      <c r="T16786" t="s">
        <v>51423</v>
      </c>
    </row>
    <row r="16787" spans="1:20" x14ac:dyDescent="0.25">
      <c r="A16787" t="str">
        <f>"3047453"</f>
        <v>3047453</v>
      </c>
      <c r="B16787" t="s">
        <v>51425</v>
      </c>
      <c r="C16787" t="str">
        <f>"4688000"</f>
        <v>4688000</v>
      </c>
      <c r="D16787" t="s">
        <v>51409</v>
      </c>
      <c r="F16787" t="s">
        <v>51410</v>
      </c>
      <c r="I16787" t="s">
        <v>184</v>
      </c>
      <c r="J16787" t="s">
        <v>30</v>
      </c>
      <c r="K16787" t="s">
        <v>185</v>
      </c>
      <c r="M16787" t="s">
        <v>36935</v>
      </c>
      <c r="N16787" t="str">
        <f>"4/22/2022 3:46:00 PM"</f>
        <v>4/22/2022 3:46:00 PM</v>
      </c>
      <c r="O16787" t="s">
        <v>51409</v>
      </c>
    </row>
    <row r="16788" spans="1:20" x14ac:dyDescent="0.25">
      <c r="A16788" t="str">
        <f>"3047627"</f>
        <v>3047627</v>
      </c>
      <c r="B16788" t="s">
        <v>51426</v>
      </c>
      <c r="C16788" t="str">
        <f>"4688000"</f>
        <v>4688000</v>
      </c>
      <c r="D16788" t="s">
        <v>51409</v>
      </c>
      <c r="F16788" t="s">
        <v>51410</v>
      </c>
      <c r="I16788" t="s">
        <v>184</v>
      </c>
      <c r="J16788" t="s">
        <v>30</v>
      </c>
      <c r="K16788" t="s">
        <v>185</v>
      </c>
      <c r="M16788" t="s">
        <v>36935</v>
      </c>
      <c r="N16788" t="str">
        <f>"4/22/2022 3:46:00 PM"</f>
        <v>4/22/2022 3:46:00 PM</v>
      </c>
      <c r="O16788" t="s">
        <v>51409</v>
      </c>
    </row>
    <row r="16789" spans="1:20" x14ac:dyDescent="0.25">
      <c r="A16789" t="str">
        <f>"3059311"</f>
        <v>3059311</v>
      </c>
      <c r="B16789" t="s">
        <v>51427</v>
      </c>
      <c r="C16789" t="str">
        <f>"8317608"</f>
        <v>8317608</v>
      </c>
      <c r="D16789" t="s">
        <v>51428</v>
      </c>
      <c r="F16789" t="s">
        <v>51429</v>
      </c>
      <c r="I16789" t="s">
        <v>29</v>
      </c>
      <c r="J16789" t="s">
        <v>30</v>
      </c>
      <c r="K16789" t="s">
        <v>51430</v>
      </c>
      <c r="M16789" t="s">
        <v>17861</v>
      </c>
      <c r="N16789" t="str">
        <f>"4/25/2022 10:07:00 AM"</f>
        <v>4/25/2022 10:07:00 AM</v>
      </c>
      <c r="O16789" t="s">
        <v>51428</v>
      </c>
    </row>
    <row r="16790" spans="1:20" x14ac:dyDescent="0.25">
      <c r="A16790" t="str">
        <f>"3044332"</f>
        <v>3044332</v>
      </c>
      <c r="B16790" t="s">
        <v>51431</v>
      </c>
      <c r="C16790" t="str">
        <f t="shared" ref="C16790:C16795" si="251">"8317645"</f>
        <v>8317645</v>
      </c>
      <c r="D16790" t="s">
        <v>51432</v>
      </c>
      <c r="F16790" t="s">
        <v>51433</v>
      </c>
      <c r="I16790" t="s">
        <v>2525</v>
      </c>
      <c r="J16790" t="s">
        <v>30</v>
      </c>
      <c r="K16790" t="s">
        <v>51434</v>
      </c>
      <c r="M16790" t="s">
        <v>17861</v>
      </c>
      <c r="N16790" t="str">
        <f t="shared" ref="N16790:N16795" si="252">"4/29/2022 10:50:00 AM"</f>
        <v>4/29/2022 10:50:00 AM</v>
      </c>
      <c r="O16790" t="s">
        <v>51432</v>
      </c>
    </row>
    <row r="16791" spans="1:20" x14ac:dyDescent="0.25">
      <c r="A16791" t="str">
        <f>"3044357"</f>
        <v>3044357</v>
      </c>
      <c r="B16791" t="s">
        <v>51435</v>
      </c>
      <c r="C16791" t="str">
        <f t="shared" si="251"/>
        <v>8317645</v>
      </c>
      <c r="D16791" t="s">
        <v>51432</v>
      </c>
      <c r="F16791" t="s">
        <v>51433</v>
      </c>
      <c r="I16791" t="s">
        <v>2525</v>
      </c>
      <c r="J16791" t="s">
        <v>30</v>
      </c>
      <c r="K16791" t="s">
        <v>51434</v>
      </c>
      <c r="M16791" t="s">
        <v>17861</v>
      </c>
      <c r="N16791" t="str">
        <f t="shared" si="252"/>
        <v>4/29/2022 10:50:00 AM</v>
      </c>
      <c r="O16791" t="s">
        <v>51432</v>
      </c>
    </row>
    <row r="16792" spans="1:20" x14ac:dyDescent="0.25">
      <c r="A16792" t="str">
        <f>"3044349"</f>
        <v>3044349</v>
      </c>
      <c r="B16792" t="s">
        <v>51436</v>
      </c>
      <c r="C16792" t="str">
        <f t="shared" si="251"/>
        <v>8317645</v>
      </c>
      <c r="D16792" t="s">
        <v>51432</v>
      </c>
      <c r="F16792" t="s">
        <v>51433</v>
      </c>
      <c r="I16792" t="s">
        <v>2525</v>
      </c>
      <c r="J16792" t="s">
        <v>30</v>
      </c>
      <c r="K16792" t="s">
        <v>51434</v>
      </c>
      <c r="M16792" t="s">
        <v>17861</v>
      </c>
      <c r="N16792" t="str">
        <f t="shared" si="252"/>
        <v>4/29/2022 10:50:00 AM</v>
      </c>
      <c r="O16792" t="s">
        <v>51432</v>
      </c>
    </row>
    <row r="16793" spans="1:20" x14ac:dyDescent="0.25">
      <c r="A16793" t="str">
        <f>"3043866"</f>
        <v>3043866</v>
      </c>
      <c r="B16793" t="s">
        <v>51437</v>
      </c>
      <c r="C16793" t="str">
        <f t="shared" si="251"/>
        <v>8317645</v>
      </c>
      <c r="D16793" t="s">
        <v>51432</v>
      </c>
      <c r="F16793" t="s">
        <v>51433</v>
      </c>
      <c r="I16793" t="s">
        <v>2525</v>
      </c>
      <c r="J16793" t="s">
        <v>30</v>
      </c>
      <c r="K16793" t="s">
        <v>51434</v>
      </c>
      <c r="M16793" t="s">
        <v>17861</v>
      </c>
      <c r="N16793" t="str">
        <f t="shared" si="252"/>
        <v>4/29/2022 10:50:00 AM</v>
      </c>
      <c r="O16793" t="s">
        <v>51432</v>
      </c>
    </row>
    <row r="16794" spans="1:20" x14ac:dyDescent="0.25">
      <c r="A16794" t="str">
        <f>"3043848"</f>
        <v>3043848</v>
      </c>
      <c r="B16794" t="s">
        <v>51438</v>
      </c>
      <c r="C16794" t="str">
        <f t="shared" si="251"/>
        <v>8317645</v>
      </c>
      <c r="D16794" t="s">
        <v>51432</v>
      </c>
      <c r="F16794" t="s">
        <v>51433</v>
      </c>
      <c r="I16794" t="s">
        <v>2525</v>
      </c>
      <c r="J16794" t="s">
        <v>30</v>
      </c>
      <c r="K16794" t="s">
        <v>51434</v>
      </c>
      <c r="M16794" t="s">
        <v>17861</v>
      </c>
      <c r="N16794" t="str">
        <f t="shared" si="252"/>
        <v>4/29/2022 10:50:00 AM</v>
      </c>
      <c r="O16794" t="s">
        <v>51432</v>
      </c>
    </row>
    <row r="16795" spans="1:20" x14ac:dyDescent="0.25">
      <c r="A16795" t="str">
        <f>"3043850"</f>
        <v>3043850</v>
      </c>
      <c r="B16795" t="s">
        <v>51439</v>
      </c>
      <c r="C16795" t="str">
        <f t="shared" si="251"/>
        <v>8317645</v>
      </c>
      <c r="D16795" t="s">
        <v>51432</v>
      </c>
      <c r="F16795" t="s">
        <v>51433</v>
      </c>
      <c r="I16795" t="s">
        <v>2525</v>
      </c>
      <c r="J16795" t="s">
        <v>30</v>
      </c>
      <c r="K16795" t="s">
        <v>51434</v>
      </c>
      <c r="M16795" t="s">
        <v>17861</v>
      </c>
      <c r="N16795" t="str">
        <f t="shared" si="252"/>
        <v>4/29/2022 10:50:00 AM</v>
      </c>
      <c r="O16795" t="s">
        <v>51432</v>
      </c>
    </row>
    <row r="16796" spans="1:20" x14ac:dyDescent="0.25">
      <c r="A16796" t="str">
        <f>"3051994"</f>
        <v>3051994</v>
      </c>
      <c r="B16796" t="s">
        <v>51440</v>
      </c>
      <c r="C16796" t="str">
        <f>"8317646"</f>
        <v>8317646</v>
      </c>
      <c r="D16796" t="s">
        <v>51441</v>
      </c>
      <c r="F16796" t="s">
        <v>51442</v>
      </c>
      <c r="I16796" t="s">
        <v>29</v>
      </c>
      <c r="J16796" t="s">
        <v>30</v>
      </c>
      <c r="K16796" t="s">
        <v>51443</v>
      </c>
      <c r="M16796" t="s">
        <v>17861</v>
      </c>
      <c r="N16796" t="str">
        <f>"4/29/2022 11:00:00 AM"</f>
        <v>4/29/2022 11:00:00 AM</v>
      </c>
      <c r="O16796" t="s">
        <v>51441</v>
      </c>
    </row>
    <row r="16797" spans="1:20" x14ac:dyDescent="0.25">
      <c r="A16797" t="str">
        <f>"3076035"</f>
        <v>3076035</v>
      </c>
      <c r="B16797" t="s">
        <v>51444</v>
      </c>
      <c r="C16797" t="str">
        <f>"8317609"</f>
        <v>8317609</v>
      </c>
      <c r="D16797" t="s">
        <v>18027</v>
      </c>
      <c r="F16797" t="s">
        <v>51445</v>
      </c>
      <c r="I16797" t="s">
        <v>29</v>
      </c>
      <c r="J16797" t="s">
        <v>30</v>
      </c>
      <c r="K16797" t="s">
        <v>51446</v>
      </c>
      <c r="M16797" t="s">
        <v>17861</v>
      </c>
      <c r="N16797" t="str">
        <f>"4/25/2022 10:22:00 AM"</f>
        <v>4/25/2022 10:22:00 AM</v>
      </c>
      <c r="O16797" t="s">
        <v>18027</v>
      </c>
    </row>
    <row r="16798" spans="1:20" x14ac:dyDescent="0.25">
      <c r="A16798" t="str">
        <f>"3076033"</f>
        <v>3076033</v>
      </c>
      <c r="B16798" t="s">
        <v>51447</v>
      </c>
      <c r="C16798" t="str">
        <f>"8317609"</f>
        <v>8317609</v>
      </c>
      <c r="D16798" t="s">
        <v>18027</v>
      </c>
      <c r="F16798" t="s">
        <v>51445</v>
      </c>
      <c r="I16798" t="s">
        <v>29</v>
      </c>
      <c r="J16798" t="s">
        <v>30</v>
      </c>
      <c r="K16798" t="s">
        <v>51446</v>
      </c>
      <c r="M16798" t="s">
        <v>17861</v>
      </c>
      <c r="N16798" t="str">
        <f>"4/25/2022 10:22:00 AM"</f>
        <v>4/25/2022 10:22:00 AM</v>
      </c>
      <c r="O16798" t="s">
        <v>18027</v>
      </c>
    </row>
    <row r="16799" spans="1:20" x14ac:dyDescent="0.25">
      <c r="A16799" t="str">
        <f>"3076034"</f>
        <v>3076034</v>
      </c>
      <c r="B16799" t="s">
        <v>51448</v>
      </c>
      <c r="C16799" t="str">
        <f>"8317609"</f>
        <v>8317609</v>
      </c>
      <c r="D16799" t="s">
        <v>18027</v>
      </c>
      <c r="F16799" t="s">
        <v>51445</v>
      </c>
      <c r="I16799" t="s">
        <v>29</v>
      </c>
      <c r="J16799" t="s">
        <v>30</v>
      </c>
      <c r="K16799" t="s">
        <v>51446</v>
      </c>
      <c r="M16799" t="s">
        <v>17861</v>
      </c>
      <c r="N16799" t="str">
        <f>"4/25/2022 10:22:00 AM"</f>
        <v>4/25/2022 10:22:00 AM</v>
      </c>
      <c r="O16799" t="s">
        <v>18027</v>
      </c>
    </row>
    <row r="16800" spans="1:20" x14ac:dyDescent="0.25">
      <c r="A16800" t="str">
        <f>"3039146"</f>
        <v>3039146</v>
      </c>
      <c r="B16800" t="s">
        <v>51449</v>
      </c>
      <c r="C16800" t="str">
        <f>"8317609"</f>
        <v>8317609</v>
      </c>
      <c r="D16800" t="s">
        <v>18027</v>
      </c>
      <c r="F16800" t="s">
        <v>51445</v>
      </c>
      <c r="I16800" t="s">
        <v>29</v>
      </c>
      <c r="J16800" t="s">
        <v>30</v>
      </c>
      <c r="K16800" t="s">
        <v>51446</v>
      </c>
      <c r="M16800" t="s">
        <v>17861</v>
      </c>
      <c r="N16800" t="str">
        <f>"4/25/2022 10:22:00 AM"</f>
        <v>4/25/2022 10:22:00 AM</v>
      </c>
      <c r="O16800" t="s">
        <v>18027</v>
      </c>
    </row>
    <row r="16801" spans="1:20" x14ac:dyDescent="0.25">
      <c r="A16801" t="str">
        <f>"3039121"</f>
        <v>3039121</v>
      </c>
      <c r="B16801" t="s">
        <v>51450</v>
      </c>
      <c r="C16801" t="str">
        <f>"8310898"</f>
        <v>8310898</v>
      </c>
      <c r="D16801" t="s">
        <v>51451</v>
      </c>
      <c r="F16801" t="s">
        <v>51452</v>
      </c>
      <c r="I16801" t="s">
        <v>29</v>
      </c>
      <c r="J16801" t="s">
        <v>30</v>
      </c>
      <c r="K16801" t="s">
        <v>1051</v>
      </c>
      <c r="M16801" t="s">
        <v>17861</v>
      </c>
      <c r="N16801" t="str">
        <f>"4/25/2022 10:47:00 AM"</f>
        <v>4/25/2022 10:47:00 AM</v>
      </c>
      <c r="O16801" t="s">
        <v>51451</v>
      </c>
    </row>
    <row r="16802" spans="1:20" x14ac:dyDescent="0.25">
      <c r="A16802" t="str">
        <f>"3048314"</f>
        <v>3048314</v>
      </c>
      <c r="B16802" t="s">
        <v>51453</v>
      </c>
      <c r="C16802" t="str">
        <f>"8317653"</f>
        <v>8317653</v>
      </c>
      <c r="D16802" t="s">
        <v>51454</v>
      </c>
      <c r="F16802" t="s">
        <v>32770</v>
      </c>
      <c r="I16802" t="s">
        <v>184</v>
      </c>
      <c r="J16802" t="s">
        <v>30</v>
      </c>
      <c r="K16802" t="s">
        <v>43343</v>
      </c>
      <c r="M16802" t="s">
        <v>17861</v>
      </c>
      <c r="N16802" t="str">
        <f>"4/29/2022 11:41:00 AM"</f>
        <v>4/29/2022 11:41:00 AM</v>
      </c>
      <c r="O16802" t="s">
        <v>51454</v>
      </c>
    </row>
    <row r="16803" spans="1:20" x14ac:dyDescent="0.25">
      <c r="A16803" t="str">
        <f>"3058136"</f>
        <v>3058136</v>
      </c>
      <c r="B16803" t="s">
        <v>51455</v>
      </c>
      <c r="C16803" t="str">
        <f>"8317654"</f>
        <v>8317654</v>
      </c>
      <c r="D16803" t="s">
        <v>51456</v>
      </c>
      <c r="F16803" t="s">
        <v>51457</v>
      </c>
      <c r="I16803" t="s">
        <v>184</v>
      </c>
      <c r="J16803" t="s">
        <v>30</v>
      </c>
      <c r="K16803" t="s">
        <v>6513</v>
      </c>
      <c r="M16803" t="s">
        <v>17861</v>
      </c>
      <c r="N16803" t="str">
        <f>"4/29/2022 11:48:00 AM"</f>
        <v>4/29/2022 11:48:00 AM</v>
      </c>
      <c r="O16803" t="s">
        <v>51456</v>
      </c>
    </row>
    <row r="16804" spans="1:20" x14ac:dyDescent="0.25">
      <c r="A16804" t="str">
        <f>"3045427"</f>
        <v>3045427</v>
      </c>
      <c r="B16804" t="s">
        <v>51458</v>
      </c>
      <c r="C16804" t="str">
        <f>"8317613"</f>
        <v>8317613</v>
      </c>
      <c r="D16804" t="s">
        <v>51459</v>
      </c>
      <c r="F16804" t="s">
        <v>51460</v>
      </c>
      <c r="I16804" t="s">
        <v>29</v>
      </c>
      <c r="J16804" t="s">
        <v>30</v>
      </c>
      <c r="K16804" t="s">
        <v>9310</v>
      </c>
      <c r="M16804" t="s">
        <v>17861</v>
      </c>
      <c r="N16804" t="str">
        <f>"4/25/2022 12:43:00 PM"</f>
        <v>4/25/2022 12:43:00 PM</v>
      </c>
      <c r="O16804" t="s">
        <v>51459</v>
      </c>
    </row>
    <row r="16805" spans="1:20" x14ac:dyDescent="0.25">
      <c r="A16805" t="str">
        <f>"3044930"</f>
        <v>3044930</v>
      </c>
      <c r="B16805" t="s">
        <v>51461</v>
      </c>
      <c r="C16805" t="str">
        <f>"8317656"</f>
        <v>8317656</v>
      </c>
      <c r="D16805" t="s">
        <v>51462</v>
      </c>
      <c r="E16805" t="s">
        <v>7751</v>
      </c>
      <c r="F16805" t="s">
        <v>51463</v>
      </c>
      <c r="I16805" t="s">
        <v>29</v>
      </c>
      <c r="J16805" t="s">
        <v>30</v>
      </c>
      <c r="K16805" t="s">
        <v>7753</v>
      </c>
      <c r="M16805" t="s">
        <v>17861</v>
      </c>
      <c r="N16805" t="str">
        <f>"5/2/2022 8:45:00 AM"</f>
        <v>5/2/2022 8:45:00 AM</v>
      </c>
      <c r="O16805" t="s">
        <v>51462</v>
      </c>
      <c r="T16805" t="s">
        <v>7751</v>
      </c>
    </row>
    <row r="16806" spans="1:20" x14ac:dyDescent="0.25">
      <c r="A16806" t="str">
        <f>"3053783"</f>
        <v>3053783</v>
      </c>
      <c r="B16806" t="s">
        <v>51464</v>
      </c>
      <c r="C16806" t="str">
        <f>"8317658"</f>
        <v>8317658</v>
      </c>
      <c r="D16806" t="s">
        <v>51465</v>
      </c>
      <c r="E16806" t="s">
        <v>51466</v>
      </c>
      <c r="F16806" t="s">
        <v>51467</v>
      </c>
      <c r="I16806" t="s">
        <v>29</v>
      </c>
      <c r="J16806" t="s">
        <v>30</v>
      </c>
      <c r="K16806" t="s">
        <v>51468</v>
      </c>
      <c r="M16806" t="s">
        <v>17861</v>
      </c>
      <c r="N16806" t="str">
        <f>"5/2/2022 8:58:00 AM"</f>
        <v>5/2/2022 8:58:00 AM</v>
      </c>
      <c r="O16806" t="s">
        <v>51465</v>
      </c>
      <c r="T16806" t="s">
        <v>51466</v>
      </c>
    </row>
    <row r="16807" spans="1:20" x14ac:dyDescent="0.25">
      <c r="A16807" t="str">
        <f>"3060069"</f>
        <v>3060069</v>
      </c>
      <c r="B16807" t="s">
        <v>51469</v>
      </c>
      <c r="C16807" t="str">
        <f>"8317661"</f>
        <v>8317661</v>
      </c>
      <c r="D16807" t="s">
        <v>51470</v>
      </c>
      <c r="F16807" t="s">
        <v>51471</v>
      </c>
      <c r="I16807" t="s">
        <v>184</v>
      </c>
      <c r="J16807" t="s">
        <v>30</v>
      </c>
      <c r="K16807" t="s">
        <v>42161</v>
      </c>
      <c r="M16807" t="s">
        <v>17861</v>
      </c>
      <c r="N16807" t="str">
        <f>"5/2/2022 9:08:00 AM"</f>
        <v>5/2/2022 9:08:00 AM</v>
      </c>
      <c r="O16807" t="s">
        <v>51470</v>
      </c>
    </row>
    <row r="16808" spans="1:20" x14ac:dyDescent="0.25">
      <c r="A16808" t="str">
        <f>"3047951"</f>
        <v>3047951</v>
      </c>
      <c r="B16808" t="s">
        <v>51472</v>
      </c>
      <c r="C16808" t="str">
        <f>"8317662"</f>
        <v>8317662</v>
      </c>
      <c r="D16808" t="s">
        <v>51473</v>
      </c>
      <c r="E16808" t="s">
        <v>51474</v>
      </c>
      <c r="F16808" t="s">
        <v>51475</v>
      </c>
      <c r="I16808" t="s">
        <v>184</v>
      </c>
      <c r="J16808" t="s">
        <v>30</v>
      </c>
      <c r="K16808" t="s">
        <v>10608</v>
      </c>
      <c r="M16808" t="s">
        <v>17861</v>
      </c>
      <c r="N16808" t="str">
        <f>"5/2/2022 9:12:00 AM"</f>
        <v>5/2/2022 9:12:00 AM</v>
      </c>
      <c r="O16808" t="s">
        <v>51473</v>
      </c>
      <c r="T16808" t="s">
        <v>51474</v>
      </c>
    </row>
    <row r="16809" spans="1:20" x14ac:dyDescent="0.25">
      <c r="A16809" t="str">
        <f>"3043439"</f>
        <v>3043439</v>
      </c>
      <c r="B16809" t="s">
        <v>51476</v>
      </c>
      <c r="C16809" t="str">
        <f>"8317663"</f>
        <v>8317663</v>
      </c>
      <c r="D16809" t="s">
        <v>51477</v>
      </c>
      <c r="E16809" t="s">
        <v>51478</v>
      </c>
      <c r="F16809" t="s">
        <v>51479</v>
      </c>
      <c r="I16809" t="s">
        <v>29</v>
      </c>
      <c r="J16809" t="s">
        <v>30</v>
      </c>
      <c r="K16809" t="s">
        <v>51480</v>
      </c>
      <c r="M16809" t="s">
        <v>17861</v>
      </c>
      <c r="N16809" t="str">
        <f>"5/2/2022 9:14:00 AM"</f>
        <v>5/2/2022 9:14:00 AM</v>
      </c>
      <c r="O16809" t="s">
        <v>51477</v>
      </c>
      <c r="T16809" t="s">
        <v>51478</v>
      </c>
    </row>
    <row r="16810" spans="1:20" x14ac:dyDescent="0.25">
      <c r="A16810" t="str">
        <f>"3043153"</f>
        <v>3043153</v>
      </c>
      <c r="B16810" t="s">
        <v>51481</v>
      </c>
      <c r="C16810" t="str">
        <f>"8317663"</f>
        <v>8317663</v>
      </c>
      <c r="D16810" t="s">
        <v>51477</v>
      </c>
      <c r="E16810" t="s">
        <v>51478</v>
      </c>
      <c r="F16810" t="s">
        <v>51479</v>
      </c>
      <c r="I16810" t="s">
        <v>29</v>
      </c>
      <c r="J16810" t="s">
        <v>30</v>
      </c>
      <c r="K16810" t="s">
        <v>51480</v>
      </c>
      <c r="M16810" t="s">
        <v>17861</v>
      </c>
      <c r="N16810" t="str">
        <f>"5/2/2022 9:14:00 AM"</f>
        <v>5/2/2022 9:14:00 AM</v>
      </c>
      <c r="O16810" t="s">
        <v>51477</v>
      </c>
      <c r="T16810" t="s">
        <v>51478</v>
      </c>
    </row>
    <row r="16811" spans="1:20" x14ac:dyDescent="0.25">
      <c r="A16811" t="str">
        <f>"3054272"</f>
        <v>3054272</v>
      </c>
      <c r="B16811" t="s">
        <v>51482</v>
      </c>
      <c r="C16811" t="str">
        <f>"8317664"</f>
        <v>8317664</v>
      </c>
      <c r="D16811" t="s">
        <v>51483</v>
      </c>
      <c r="F16811" t="s">
        <v>51484</v>
      </c>
      <c r="I16811" t="s">
        <v>29</v>
      </c>
      <c r="J16811" t="s">
        <v>30</v>
      </c>
      <c r="K16811" t="s">
        <v>15449</v>
      </c>
      <c r="M16811" t="s">
        <v>17861</v>
      </c>
      <c r="N16811" t="str">
        <f>"5/2/2022 9:17:00 AM"</f>
        <v>5/2/2022 9:17:00 AM</v>
      </c>
      <c r="O16811" t="s">
        <v>51483</v>
      </c>
    </row>
    <row r="16812" spans="1:20" x14ac:dyDescent="0.25">
      <c r="A16812" t="str">
        <f>"3068053"</f>
        <v>3068053</v>
      </c>
      <c r="B16812" t="s">
        <v>51485</v>
      </c>
      <c r="C16812" t="str">
        <f>"8314953"</f>
        <v>8314953</v>
      </c>
      <c r="D16812" t="s">
        <v>51486</v>
      </c>
      <c r="F16812" t="s">
        <v>51487</v>
      </c>
      <c r="I16812" t="s">
        <v>29</v>
      </c>
      <c r="J16812" t="s">
        <v>30</v>
      </c>
      <c r="K16812" t="str">
        <f>"27028"</f>
        <v>27028</v>
      </c>
      <c r="M16812" t="s">
        <v>17861</v>
      </c>
      <c r="N16812" t="str">
        <f>"4/25/2022 12:50:00 PM"</f>
        <v>4/25/2022 12:50:00 PM</v>
      </c>
      <c r="O16812" t="s">
        <v>51486</v>
      </c>
    </row>
    <row r="16813" spans="1:20" x14ac:dyDescent="0.25">
      <c r="A16813" t="str">
        <f>"3055248"</f>
        <v>3055248</v>
      </c>
      <c r="B16813" t="s">
        <v>51488</v>
      </c>
      <c r="C16813" t="str">
        <f>"8317618"</f>
        <v>8317618</v>
      </c>
      <c r="D16813" t="s">
        <v>51489</v>
      </c>
      <c r="E16813" t="s">
        <v>51490</v>
      </c>
      <c r="F16813" t="s">
        <v>51491</v>
      </c>
      <c r="I16813" t="s">
        <v>29</v>
      </c>
      <c r="J16813" t="s">
        <v>30</v>
      </c>
      <c r="K16813" t="s">
        <v>51492</v>
      </c>
      <c r="M16813" t="s">
        <v>17861</v>
      </c>
      <c r="N16813" t="str">
        <f>"4/25/2022 3:52:00 PM"</f>
        <v>4/25/2022 3:52:00 PM</v>
      </c>
      <c r="O16813" t="s">
        <v>51489</v>
      </c>
      <c r="T16813" t="s">
        <v>51490</v>
      </c>
    </row>
    <row r="16814" spans="1:20" x14ac:dyDescent="0.25">
      <c r="A16814" t="str">
        <f>"3056122"</f>
        <v>3056122</v>
      </c>
      <c r="B16814" t="s">
        <v>51493</v>
      </c>
      <c r="C16814" t="str">
        <f>"8317669"</f>
        <v>8317669</v>
      </c>
      <c r="D16814" t="s">
        <v>51494</v>
      </c>
      <c r="F16814" t="s">
        <v>51495</v>
      </c>
      <c r="I16814" t="s">
        <v>17337</v>
      </c>
      <c r="J16814" t="s">
        <v>2738</v>
      </c>
      <c r="K16814" t="s">
        <v>51496</v>
      </c>
      <c r="M16814" t="s">
        <v>17861</v>
      </c>
      <c r="N16814" t="str">
        <f>"5/2/2022 9:27:00 AM"</f>
        <v>5/2/2022 9:27:00 AM</v>
      </c>
      <c r="O16814" t="s">
        <v>51494</v>
      </c>
    </row>
    <row r="16815" spans="1:20" x14ac:dyDescent="0.25">
      <c r="A16815" t="str">
        <f>"3055445"</f>
        <v>3055445</v>
      </c>
      <c r="B16815" t="s">
        <v>51497</v>
      </c>
      <c r="C16815" t="str">
        <f>"8317670"</f>
        <v>8317670</v>
      </c>
      <c r="D16815" t="s">
        <v>51498</v>
      </c>
      <c r="E16815" t="s">
        <v>51499</v>
      </c>
      <c r="F16815" t="s">
        <v>51500</v>
      </c>
      <c r="I16815" t="s">
        <v>29</v>
      </c>
      <c r="J16815" t="s">
        <v>30</v>
      </c>
      <c r="K16815" t="s">
        <v>20028</v>
      </c>
      <c r="M16815" t="s">
        <v>17861</v>
      </c>
      <c r="N16815" t="str">
        <f>"5/2/2022 9:48:00 AM"</f>
        <v>5/2/2022 9:48:00 AM</v>
      </c>
      <c r="O16815" t="s">
        <v>51498</v>
      </c>
      <c r="T16815" t="s">
        <v>51499</v>
      </c>
    </row>
    <row r="16816" spans="1:20" x14ac:dyDescent="0.25">
      <c r="A16816" t="str">
        <f>"3064090"</f>
        <v>3064090</v>
      </c>
      <c r="B16816" t="s">
        <v>51501</v>
      </c>
      <c r="C16816" t="str">
        <f>"8317673"</f>
        <v>8317673</v>
      </c>
      <c r="D16816" t="s">
        <v>51502</v>
      </c>
      <c r="E16816" t="s">
        <v>51503</v>
      </c>
      <c r="F16816" t="s">
        <v>51504</v>
      </c>
      <c r="I16816" t="s">
        <v>184</v>
      </c>
      <c r="J16816" t="s">
        <v>30</v>
      </c>
      <c r="K16816" t="s">
        <v>34164</v>
      </c>
      <c r="M16816" t="s">
        <v>17861</v>
      </c>
      <c r="N16816" t="str">
        <f>"5/2/2022 10:00:00 AM"</f>
        <v>5/2/2022 10:00:00 AM</v>
      </c>
      <c r="O16816" t="s">
        <v>51502</v>
      </c>
      <c r="T16816" t="s">
        <v>51503</v>
      </c>
    </row>
    <row r="16817" spans="1:20" x14ac:dyDescent="0.25">
      <c r="A16817" t="str">
        <f>"3044862"</f>
        <v>3044862</v>
      </c>
      <c r="B16817" t="s">
        <v>51505</v>
      </c>
      <c r="C16817" t="str">
        <f>"8317675"</f>
        <v>8317675</v>
      </c>
      <c r="D16817" t="s">
        <v>51506</v>
      </c>
      <c r="E16817" t="s">
        <v>51507</v>
      </c>
      <c r="F16817" t="s">
        <v>51508</v>
      </c>
      <c r="I16817" t="s">
        <v>184</v>
      </c>
      <c r="J16817" t="s">
        <v>30</v>
      </c>
      <c r="K16817" t="s">
        <v>6149</v>
      </c>
      <c r="M16817" t="s">
        <v>17861</v>
      </c>
      <c r="N16817" t="str">
        <f>"5/2/2022 10:07:00 AM"</f>
        <v>5/2/2022 10:07:00 AM</v>
      </c>
      <c r="O16817" t="s">
        <v>51506</v>
      </c>
      <c r="T16817" t="s">
        <v>51507</v>
      </c>
    </row>
    <row r="16818" spans="1:20" x14ac:dyDescent="0.25">
      <c r="A16818" t="str">
        <f>"3061815"</f>
        <v>3061815</v>
      </c>
      <c r="B16818" t="s">
        <v>51509</v>
      </c>
      <c r="C16818" t="str">
        <f>"8317676"</f>
        <v>8317676</v>
      </c>
      <c r="D16818" t="s">
        <v>51510</v>
      </c>
      <c r="E16818" t="s">
        <v>51511</v>
      </c>
      <c r="F16818" t="s">
        <v>51512</v>
      </c>
      <c r="I16818" t="s">
        <v>2071</v>
      </c>
      <c r="J16818" t="s">
        <v>30</v>
      </c>
      <c r="K16818" t="s">
        <v>45717</v>
      </c>
      <c r="M16818" t="s">
        <v>17861</v>
      </c>
      <c r="N16818" t="str">
        <f>"5/2/2022 10:15:00 AM"</f>
        <v>5/2/2022 10:15:00 AM</v>
      </c>
      <c r="O16818" t="s">
        <v>51510</v>
      </c>
      <c r="T16818" t="s">
        <v>51511</v>
      </c>
    </row>
    <row r="16819" spans="1:20" x14ac:dyDescent="0.25">
      <c r="A16819" t="str">
        <f>"3056618"</f>
        <v>3056618</v>
      </c>
      <c r="B16819" t="s">
        <v>51513</v>
      </c>
      <c r="C16819" t="str">
        <f>"8317677"</f>
        <v>8317677</v>
      </c>
      <c r="D16819" t="s">
        <v>51514</v>
      </c>
      <c r="F16819" t="s">
        <v>51515</v>
      </c>
      <c r="I16819" t="s">
        <v>29</v>
      </c>
      <c r="J16819" t="s">
        <v>30</v>
      </c>
      <c r="K16819" t="s">
        <v>51516</v>
      </c>
      <c r="M16819" t="s">
        <v>17861</v>
      </c>
      <c r="N16819" t="str">
        <f>"5/2/2022 10:16:00 AM"</f>
        <v>5/2/2022 10:16:00 AM</v>
      </c>
      <c r="O16819" t="s">
        <v>51514</v>
      </c>
    </row>
    <row r="16820" spans="1:20" x14ac:dyDescent="0.25">
      <c r="A16820" t="str">
        <f>"3056628"</f>
        <v>3056628</v>
      </c>
      <c r="B16820" t="s">
        <v>51517</v>
      </c>
      <c r="C16820" t="str">
        <f>"8317680"</f>
        <v>8317680</v>
      </c>
      <c r="D16820" t="s">
        <v>51518</v>
      </c>
      <c r="F16820" t="s">
        <v>51519</v>
      </c>
      <c r="I16820" t="s">
        <v>29</v>
      </c>
      <c r="J16820" t="s">
        <v>30</v>
      </c>
      <c r="K16820" t="s">
        <v>51520</v>
      </c>
      <c r="M16820" t="s">
        <v>17861</v>
      </c>
      <c r="N16820" t="str">
        <f>"5/2/2022 10:24:00 AM"</f>
        <v>5/2/2022 10:24:00 AM</v>
      </c>
      <c r="O16820" t="s">
        <v>51518</v>
      </c>
    </row>
    <row r="16821" spans="1:20" x14ac:dyDescent="0.25">
      <c r="A16821" t="str">
        <f>"3045360"</f>
        <v>3045360</v>
      </c>
      <c r="B16821" t="s">
        <v>51521</v>
      </c>
      <c r="C16821" t="str">
        <f>"8317619"</f>
        <v>8317619</v>
      </c>
      <c r="D16821" t="s">
        <v>51522</v>
      </c>
      <c r="F16821" t="s">
        <v>51523</v>
      </c>
      <c r="I16821" t="s">
        <v>29</v>
      </c>
      <c r="J16821" t="s">
        <v>30</v>
      </c>
      <c r="K16821" t="s">
        <v>39256</v>
      </c>
      <c r="M16821" t="s">
        <v>17861</v>
      </c>
      <c r="N16821" t="str">
        <f>"4/25/2022 3:53:00 PM"</f>
        <v>4/25/2022 3:53:00 PM</v>
      </c>
      <c r="O16821" t="s">
        <v>51522</v>
      </c>
    </row>
    <row r="16822" spans="1:20" x14ac:dyDescent="0.25">
      <c r="A16822" t="str">
        <f>"3064619"</f>
        <v>3064619</v>
      </c>
      <c r="B16822" t="s">
        <v>51524</v>
      </c>
      <c r="C16822" t="str">
        <f>"8317621"</f>
        <v>8317621</v>
      </c>
      <c r="D16822" t="s">
        <v>51525</v>
      </c>
      <c r="F16822" t="s">
        <v>50737</v>
      </c>
      <c r="I16822" t="s">
        <v>50738</v>
      </c>
      <c r="J16822" t="s">
        <v>12725</v>
      </c>
      <c r="K16822" t="s">
        <v>50739</v>
      </c>
      <c r="M16822" t="s">
        <v>17861</v>
      </c>
      <c r="N16822" t="str">
        <f>"4/26/2022 10:42:00 AM"</f>
        <v>4/26/2022 10:42:00 AM</v>
      </c>
      <c r="O16822" t="s">
        <v>51525</v>
      </c>
    </row>
    <row r="16823" spans="1:20" x14ac:dyDescent="0.25">
      <c r="A16823" t="str">
        <f>"3047336"</f>
        <v>3047336</v>
      </c>
      <c r="B16823" t="s">
        <v>51526</v>
      </c>
      <c r="C16823" t="str">
        <f>"8317685"</f>
        <v>8317685</v>
      </c>
      <c r="D16823" t="s">
        <v>51527</v>
      </c>
      <c r="F16823" t="s">
        <v>51528</v>
      </c>
      <c r="I16823" t="s">
        <v>184</v>
      </c>
      <c r="J16823" t="s">
        <v>30</v>
      </c>
      <c r="K16823" t="s">
        <v>51529</v>
      </c>
      <c r="M16823" t="s">
        <v>17861</v>
      </c>
      <c r="N16823" t="str">
        <f>"5/2/2022 1:08:00 PM"</f>
        <v>5/2/2022 1:08:00 PM</v>
      </c>
      <c r="O16823" t="s">
        <v>51527</v>
      </c>
    </row>
    <row r="16824" spans="1:20" x14ac:dyDescent="0.25">
      <c r="A16824" t="str">
        <f>"3042858"</f>
        <v>3042858</v>
      </c>
      <c r="B16824" t="s">
        <v>51530</v>
      </c>
      <c r="C16824" t="str">
        <f>"8317686"</f>
        <v>8317686</v>
      </c>
      <c r="D16824" t="s">
        <v>51531</v>
      </c>
      <c r="F16824" t="s">
        <v>51532</v>
      </c>
      <c r="I16824" t="s">
        <v>964</v>
      </c>
      <c r="J16824" t="s">
        <v>30</v>
      </c>
      <c r="K16824" t="s">
        <v>51533</v>
      </c>
      <c r="M16824" t="s">
        <v>17861</v>
      </c>
      <c r="N16824" t="str">
        <f>"5/2/2022 1:21:00 PM"</f>
        <v>5/2/2022 1:21:00 PM</v>
      </c>
      <c r="O16824" t="s">
        <v>51531</v>
      </c>
    </row>
    <row r="16825" spans="1:20" x14ac:dyDescent="0.25">
      <c r="A16825" t="str">
        <f>"3061075"</f>
        <v>3061075</v>
      </c>
      <c r="B16825" t="s">
        <v>51534</v>
      </c>
      <c r="C16825" t="str">
        <f>"8317687"</f>
        <v>8317687</v>
      </c>
      <c r="D16825" t="s">
        <v>51535</v>
      </c>
      <c r="E16825" t="s">
        <v>51536</v>
      </c>
      <c r="F16825" t="s">
        <v>51537</v>
      </c>
      <c r="I16825" t="s">
        <v>2071</v>
      </c>
      <c r="J16825" t="s">
        <v>30</v>
      </c>
      <c r="K16825" t="s">
        <v>39090</v>
      </c>
      <c r="M16825" t="s">
        <v>17861</v>
      </c>
      <c r="N16825" t="str">
        <f>"5/2/2022 1:26:00 PM"</f>
        <v>5/2/2022 1:26:00 PM</v>
      </c>
      <c r="O16825" t="s">
        <v>51535</v>
      </c>
      <c r="T16825" t="s">
        <v>51536</v>
      </c>
    </row>
    <row r="16826" spans="1:20" x14ac:dyDescent="0.25">
      <c r="A16826" t="str">
        <f>"3061113"</f>
        <v>3061113</v>
      </c>
      <c r="B16826" t="s">
        <v>51538</v>
      </c>
      <c r="C16826" t="str">
        <f>"8317688"</f>
        <v>8317688</v>
      </c>
      <c r="D16826" t="s">
        <v>51539</v>
      </c>
      <c r="F16826" t="s">
        <v>51540</v>
      </c>
      <c r="I16826" t="s">
        <v>2071</v>
      </c>
      <c r="J16826" t="s">
        <v>30</v>
      </c>
      <c r="K16826" t="s">
        <v>37473</v>
      </c>
      <c r="M16826" t="s">
        <v>17861</v>
      </c>
      <c r="N16826" t="str">
        <f>"5/2/2022 1:28:00 PM"</f>
        <v>5/2/2022 1:28:00 PM</v>
      </c>
      <c r="O16826" t="s">
        <v>51539</v>
      </c>
    </row>
    <row r="16827" spans="1:20" x14ac:dyDescent="0.25">
      <c r="A16827" t="str">
        <f>"3062838"</f>
        <v>3062838</v>
      </c>
      <c r="B16827" t="s">
        <v>51541</v>
      </c>
      <c r="C16827" t="str">
        <f>"8317622"</f>
        <v>8317622</v>
      </c>
      <c r="D16827" t="s">
        <v>51542</v>
      </c>
      <c r="F16827" t="s">
        <v>51543</v>
      </c>
      <c r="I16827" t="s">
        <v>29</v>
      </c>
      <c r="J16827" t="s">
        <v>30</v>
      </c>
      <c r="K16827" t="s">
        <v>35947</v>
      </c>
      <c r="M16827" t="s">
        <v>17861</v>
      </c>
      <c r="N16827" t="str">
        <f>"4/26/2022 3:35:00 PM"</f>
        <v>4/26/2022 3:35:00 PM</v>
      </c>
      <c r="O16827" t="s">
        <v>51542</v>
      </c>
    </row>
    <row r="16828" spans="1:20" x14ac:dyDescent="0.25">
      <c r="A16828" t="str">
        <f>"3046958"</f>
        <v>3046958</v>
      </c>
      <c r="B16828" t="s">
        <v>51544</v>
      </c>
      <c r="C16828" t="str">
        <f>"8317690"</f>
        <v>8317690</v>
      </c>
      <c r="D16828" t="s">
        <v>51545</v>
      </c>
      <c r="F16828" t="s">
        <v>51546</v>
      </c>
      <c r="I16828" t="s">
        <v>29</v>
      </c>
      <c r="J16828" t="s">
        <v>30</v>
      </c>
      <c r="K16828" t="s">
        <v>51547</v>
      </c>
      <c r="M16828" t="s">
        <v>17861</v>
      </c>
      <c r="N16828" t="str">
        <f>"5/2/2022 2:06:00 PM"</f>
        <v>5/2/2022 2:06:00 PM</v>
      </c>
      <c r="O16828" t="s">
        <v>51545</v>
      </c>
    </row>
    <row r="16829" spans="1:20" x14ac:dyDescent="0.25">
      <c r="A16829" t="str">
        <f>"3049559"</f>
        <v>3049559</v>
      </c>
      <c r="B16829" t="s">
        <v>51548</v>
      </c>
      <c r="C16829" t="str">
        <f>"8317691"</f>
        <v>8317691</v>
      </c>
      <c r="D16829" t="s">
        <v>51549</v>
      </c>
      <c r="E16829" t="s">
        <v>51550</v>
      </c>
      <c r="F16829" t="s">
        <v>51551</v>
      </c>
      <c r="I16829" t="s">
        <v>184</v>
      </c>
      <c r="J16829" t="s">
        <v>30</v>
      </c>
      <c r="K16829" t="s">
        <v>37351</v>
      </c>
      <c r="M16829" t="s">
        <v>17861</v>
      </c>
      <c r="N16829" t="str">
        <f>"5/2/2022 2:11:00 PM"</f>
        <v>5/2/2022 2:11:00 PM</v>
      </c>
      <c r="O16829" t="s">
        <v>51549</v>
      </c>
      <c r="T16829" t="s">
        <v>51550</v>
      </c>
    </row>
    <row r="16830" spans="1:20" x14ac:dyDescent="0.25">
      <c r="A16830" t="str">
        <f>"3059225"</f>
        <v>3059225</v>
      </c>
      <c r="B16830" t="s">
        <v>51552</v>
      </c>
      <c r="C16830" t="str">
        <f>"8317693"</f>
        <v>8317693</v>
      </c>
      <c r="D16830" t="s">
        <v>51553</v>
      </c>
      <c r="F16830" t="s">
        <v>51554</v>
      </c>
      <c r="I16830" t="s">
        <v>184</v>
      </c>
      <c r="J16830" t="s">
        <v>30</v>
      </c>
      <c r="K16830" t="s">
        <v>36136</v>
      </c>
      <c r="M16830" t="s">
        <v>17861</v>
      </c>
      <c r="N16830" t="str">
        <f>"5/3/2022 8:23:00 AM"</f>
        <v>5/3/2022 8:23:00 AM</v>
      </c>
      <c r="O16830" t="s">
        <v>51553</v>
      </c>
    </row>
    <row r="16831" spans="1:20" x14ac:dyDescent="0.25">
      <c r="A16831" t="str">
        <f>"3047698"</f>
        <v>3047698</v>
      </c>
      <c r="B16831" t="s">
        <v>51555</v>
      </c>
      <c r="C16831" t="str">
        <f>"82517241"</f>
        <v>82517241</v>
      </c>
      <c r="D16831" t="s">
        <v>51556</v>
      </c>
      <c r="E16831" t="s">
        <v>51557</v>
      </c>
      <c r="F16831" t="s">
        <v>51558</v>
      </c>
      <c r="I16831" t="s">
        <v>51559</v>
      </c>
      <c r="J16831" t="s">
        <v>51560</v>
      </c>
      <c r="K16831" t="str">
        <f>"04625"</f>
        <v>04625</v>
      </c>
      <c r="M16831" t="s">
        <v>50621</v>
      </c>
      <c r="N16831" t="str">
        <f>"5/3/2022 3:09:00 PM"</f>
        <v>5/3/2022 3:09:00 PM</v>
      </c>
      <c r="O16831" t="s">
        <v>51556</v>
      </c>
      <c r="T16831" t="s">
        <v>51557</v>
      </c>
    </row>
    <row r="16832" spans="1:20" x14ac:dyDescent="0.25">
      <c r="A16832" t="str">
        <f>"3065078"</f>
        <v>3065078</v>
      </c>
      <c r="B16832" t="s">
        <v>51561</v>
      </c>
      <c r="C16832" t="str">
        <f>"8301162"</f>
        <v>8301162</v>
      </c>
      <c r="D16832" t="s">
        <v>51562</v>
      </c>
      <c r="F16832" t="s">
        <v>51563</v>
      </c>
      <c r="I16832" t="s">
        <v>51564</v>
      </c>
      <c r="J16832" t="s">
        <v>35925</v>
      </c>
      <c r="K16832" t="s">
        <v>51565</v>
      </c>
      <c r="M16832" t="s">
        <v>17861</v>
      </c>
      <c r="N16832" t="str">
        <f>"4/27/2022 10:41:00 AM"</f>
        <v>4/27/2022 10:41:00 AM</v>
      </c>
      <c r="O16832" t="s">
        <v>51562</v>
      </c>
    </row>
    <row r="16833" spans="1:20" x14ac:dyDescent="0.25">
      <c r="A16833" t="str">
        <f>"3059823"</f>
        <v>3059823</v>
      </c>
      <c r="B16833" t="s">
        <v>51566</v>
      </c>
      <c r="C16833" t="str">
        <f>"82523071"</f>
        <v>82523071</v>
      </c>
      <c r="D16833" t="s">
        <v>51567</v>
      </c>
      <c r="F16833" t="s">
        <v>51568</v>
      </c>
      <c r="I16833" t="s">
        <v>29</v>
      </c>
      <c r="J16833" t="s">
        <v>30</v>
      </c>
      <c r="K16833" t="str">
        <f>"27028"</f>
        <v>27028</v>
      </c>
      <c r="M16833" t="s">
        <v>36935</v>
      </c>
      <c r="N16833" t="str">
        <f>"5/5/2022 8:47:00 AM"</f>
        <v>5/5/2022 8:47:00 AM</v>
      </c>
      <c r="O16833" t="s">
        <v>51567</v>
      </c>
    </row>
    <row r="16834" spans="1:20" x14ac:dyDescent="0.25">
      <c r="A16834" t="str">
        <f>"3045168"</f>
        <v>3045168</v>
      </c>
      <c r="B16834" t="s">
        <v>51569</v>
      </c>
      <c r="C16834" t="str">
        <f>"8306484"</f>
        <v>8306484</v>
      </c>
      <c r="D16834" t="s">
        <v>51570</v>
      </c>
      <c r="F16834" t="s">
        <v>51571</v>
      </c>
      <c r="I16834" t="s">
        <v>29</v>
      </c>
      <c r="J16834" t="s">
        <v>30</v>
      </c>
      <c r="K16834" t="str">
        <f>"27028"</f>
        <v>27028</v>
      </c>
      <c r="M16834" t="s">
        <v>50621</v>
      </c>
      <c r="N16834" t="str">
        <f>"5/6/2022 11:11:00 AM"</f>
        <v>5/6/2022 11:11:00 AM</v>
      </c>
      <c r="O16834" t="s">
        <v>51570</v>
      </c>
    </row>
    <row r="16835" spans="1:20" x14ac:dyDescent="0.25">
      <c r="A16835" t="str">
        <f>"3065080"</f>
        <v>3065080</v>
      </c>
      <c r="B16835" t="s">
        <v>51572</v>
      </c>
      <c r="C16835" t="str">
        <f>"8301162"</f>
        <v>8301162</v>
      </c>
      <c r="D16835" t="s">
        <v>51562</v>
      </c>
      <c r="F16835" t="s">
        <v>51563</v>
      </c>
      <c r="I16835" t="s">
        <v>51564</v>
      </c>
      <c r="J16835" t="s">
        <v>35925</v>
      </c>
      <c r="K16835" t="s">
        <v>51565</v>
      </c>
      <c r="M16835" t="s">
        <v>17861</v>
      </c>
      <c r="N16835" t="str">
        <f>"4/27/2022 10:41:00 AM"</f>
        <v>4/27/2022 10:41:00 AM</v>
      </c>
      <c r="O16835" t="s">
        <v>51562</v>
      </c>
    </row>
    <row r="16836" spans="1:20" x14ac:dyDescent="0.25">
      <c r="A16836" t="str">
        <f>"3066691"</f>
        <v>3066691</v>
      </c>
      <c r="B16836" t="s">
        <v>51573</v>
      </c>
      <c r="C16836" t="str">
        <f>"8301162"</f>
        <v>8301162</v>
      </c>
      <c r="D16836" t="s">
        <v>51562</v>
      </c>
      <c r="F16836" t="s">
        <v>51563</v>
      </c>
      <c r="I16836" t="s">
        <v>51564</v>
      </c>
      <c r="J16836" t="s">
        <v>35925</v>
      </c>
      <c r="K16836" t="s">
        <v>51565</v>
      </c>
      <c r="M16836" t="s">
        <v>17861</v>
      </c>
      <c r="N16836" t="str">
        <f>"4/27/2022 10:41:00 AM"</f>
        <v>4/27/2022 10:41:00 AM</v>
      </c>
      <c r="O16836" t="s">
        <v>51562</v>
      </c>
    </row>
    <row r="16837" spans="1:20" x14ac:dyDescent="0.25">
      <c r="A16837" t="str">
        <f>"3044892"</f>
        <v>3044892</v>
      </c>
      <c r="B16837" t="s">
        <v>51574</v>
      </c>
      <c r="C16837" t="str">
        <f>"8317624"</f>
        <v>8317624</v>
      </c>
      <c r="D16837" t="s">
        <v>51575</v>
      </c>
      <c r="F16837" t="s">
        <v>51576</v>
      </c>
      <c r="I16837" t="s">
        <v>184</v>
      </c>
      <c r="J16837" t="s">
        <v>30</v>
      </c>
      <c r="K16837" t="s">
        <v>7434</v>
      </c>
      <c r="M16837" t="s">
        <v>17861</v>
      </c>
      <c r="N16837" t="str">
        <f>"4/27/2022 4:27:00 PM"</f>
        <v>4/27/2022 4:27:00 PM</v>
      </c>
      <c r="O16837" t="s">
        <v>51575</v>
      </c>
    </row>
    <row r="16838" spans="1:20" x14ac:dyDescent="0.25">
      <c r="A16838" t="str">
        <f>"3055561"</f>
        <v>3055561</v>
      </c>
      <c r="B16838" t="s">
        <v>51577</v>
      </c>
      <c r="C16838" t="str">
        <f>"8311004"</f>
        <v>8311004</v>
      </c>
      <c r="D16838" t="s">
        <v>51578</v>
      </c>
      <c r="E16838" t="s">
        <v>51579</v>
      </c>
      <c r="F16838" t="s">
        <v>51580</v>
      </c>
      <c r="I16838" t="s">
        <v>51581</v>
      </c>
      <c r="J16838" t="s">
        <v>30</v>
      </c>
      <c r="K16838" t="s">
        <v>51582</v>
      </c>
      <c r="M16838" t="s">
        <v>50793</v>
      </c>
      <c r="N16838" t="str">
        <f>"4/28/2022 9:15:00 AM"</f>
        <v>4/28/2022 9:15:00 AM</v>
      </c>
      <c r="O16838" t="s">
        <v>51578</v>
      </c>
      <c r="T16838" t="s">
        <v>51579</v>
      </c>
    </row>
    <row r="16839" spans="1:20" x14ac:dyDescent="0.25">
      <c r="A16839" t="str">
        <f>"3078898"</f>
        <v>3078898</v>
      </c>
      <c r="B16839" t="s">
        <v>51583</v>
      </c>
      <c r="C16839" t="str">
        <f>"8311004"</f>
        <v>8311004</v>
      </c>
      <c r="D16839" t="s">
        <v>51578</v>
      </c>
      <c r="E16839" t="s">
        <v>51579</v>
      </c>
      <c r="F16839" t="s">
        <v>51580</v>
      </c>
      <c r="I16839" t="s">
        <v>51581</v>
      </c>
      <c r="J16839" t="s">
        <v>30</v>
      </c>
      <c r="K16839" t="s">
        <v>51582</v>
      </c>
      <c r="M16839" t="s">
        <v>50793</v>
      </c>
      <c r="N16839" t="str">
        <f>"4/28/2022 9:15:00 AM"</f>
        <v>4/28/2022 9:15:00 AM</v>
      </c>
      <c r="O16839" t="s">
        <v>51578</v>
      </c>
      <c r="T16839" t="s">
        <v>51579</v>
      </c>
    </row>
    <row r="16840" spans="1:20" x14ac:dyDescent="0.25">
      <c r="A16840" t="str">
        <f>"3078258"</f>
        <v>3078258</v>
      </c>
      <c r="B16840" t="s">
        <v>51584</v>
      </c>
      <c r="C16840" t="str">
        <f>"82532159"</f>
        <v>82532159</v>
      </c>
      <c r="D16840" t="s">
        <v>51412</v>
      </c>
      <c r="E16840" t="s">
        <v>51413</v>
      </c>
      <c r="F16840" t="s">
        <v>51414</v>
      </c>
      <c r="I16840" t="s">
        <v>29</v>
      </c>
      <c r="J16840" t="s">
        <v>30</v>
      </c>
      <c r="K16840" t="s">
        <v>31</v>
      </c>
      <c r="M16840" t="s">
        <v>50621</v>
      </c>
      <c r="N16840" t="str">
        <f>"4/28/2022 9:25:00 AM"</f>
        <v>4/28/2022 9:25:00 AM</v>
      </c>
      <c r="O16840" t="s">
        <v>51412</v>
      </c>
      <c r="T16840" t="s">
        <v>51413</v>
      </c>
    </row>
    <row r="16841" spans="1:20" x14ac:dyDescent="0.25">
      <c r="A16841" t="str">
        <f>"3078259"</f>
        <v>3078259</v>
      </c>
      <c r="B16841" t="s">
        <v>51585</v>
      </c>
      <c r="C16841" t="str">
        <f>"82532159"</f>
        <v>82532159</v>
      </c>
      <c r="D16841" t="s">
        <v>51412</v>
      </c>
      <c r="E16841" t="s">
        <v>51413</v>
      </c>
      <c r="F16841" t="s">
        <v>51414</v>
      </c>
      <c r="I16841" t="s">
        <v>29</v>
      </c>
      <c r="J16841" t="s">
        <v>30</v>
      </c>
      <c r="K16841" t="s">
        <v>31</v>
      </c>
      <c r="M16841" t="s">
        <v>50621</v>
      </c>
      <c r="N16841" t="str">
        <f>"4/28/2022 9:25:00 AM"</f>
        <v>4/28/2022 9:25:00 AM</v>
      </c>
      <c r="O16841" t="s">
        <v>51412</v>
      </c>
      <c r="T16841" t="s">
        <v>51413</v>
      </c>
    </row>
    <row r="16842" spans="1:20" x14ac:dyDescent="0.25">
      <c r="A16842" t="str">
        <f>"3041871"</f>
        <v>3041871</v>
      </c>
      <c r="B16842" t="s">
        <v>51586</v>
      </c>
      <c r="C16842" t="str">
        <f>"8317631"</f>
        <v>8317631</v>
      </c>
      <c r="D16842" t="s">
        <v>51587</v>
      </c>
      <c r="F16842" t="s">
        <v>51588</v>
      </c>
      <c r="I16842" t="s">
        <v>184</v>
      </c>
      <c r="J16842" t="s">
        <v>30</v>
      </c>
      <c r="K16842" t="s">
        <v>3789</v>
      </c>
      <c r="M16842" t="s">
        <v>17861</v>
      </c>
      <c r="N16842" t="str">
        <f>"4/28/2022 3:17:00 PM"</f>
        <v>4/28/2022 3:17:00 PM</v>
      </c>
      <c r="O16842" t="s">
        <v>51587</v>
      </c>
    </row>
    <row r="16843" spans="1:20" x14ac:dyDescent="0.25">
      <c r="A16843" t="str">
        <f>"3056968"</f>
        <v>3056968</v>
      </c>
      <c r="B16843" t="s">
        <v>51589</v>
      </c>
      <c r="C16843" t="str">
        <f>"8317632"</f>
        <v>8317632</v>
      </c>
      <c r="D16843" t="s">
        <v>51590</v>
      </c>
      <c r="F16843" t="s">
        <v>51591</v>
      </c>
      <c r="I16843" t="s">
        <v>29</v>
      </c>
      <c r="J16843" t="s">
        <v>30</v>
      </c>
      <c r="K16843" t="s">
        <v>11032</v>
      </c>
      <c r="M16843" t="s">
        <v>17861</v>
      </c>
      <c r="N16843" t="str">
        <f>"4/28/2022 3:19:00 PM"</f>
        <v>4/28/2022 3:19:00 PM</v>
      </c>
      <c r="O16843" t="s">
        <v>51590</v>
      </c>
    </row>
    <row r="16844" spans="1:20" x14ac:dyDescent="0.25">
      <c r="A16844" t="str">
        <f>"3061906"</f>
        <v>3061906</v>
      </c>
      <c r="B16844" t="s">
        <v>51592</v>
      </c>
      <c r="C16844" t="str">
        <f>"8317639"</f>
        <v>8317639</v>
      </c>
      <c r="D16844" t="s">
        <v>51593</v>
      </c>
      <c r="F16844" t="s">
        <v>51594</v>
      </c>
      <c r="I16844" t="s">
        <v>1107</v>
      </c>
      <c r="J16844" t="s">
        <v>30</v>
      </c>
      <c r="K16844" t="s">
        <v>51595</v>
      </c>
      <c r="M16844" t="s">
        <v>17861</v>
      </c>
      <c r="N16844" t="str">
        <f>"4/28/2022 3:58:00 PM"</f>
        <v>4/28/2022 3:58:00 PM</v>
      </c>
      <c r="O16844" t="s">
        <v>51593</v>
      </c>
    </row>
    <row r="16845" spans="1:20" x14ac:dyDescent="0.25">
      <c r="A16845" t="str">
        <f>"3061570"</f>
        <v>3061570</v>
      </c>
      <c r="B16845" t="s">
        <v>51596</v>
      </c>
      <c r="C16845" t="str">
        <f>"8317648"</f>
        <v>8317648</v>
      </c>
      <c r="D16845" t="s">
        <v>51597</v>
      </c>
      <c r="F16845" t="s">
        <v>51598</v>
      </c>
      <c r="I16845" t="s">
        <v>29</v>
      </c>
      <c r="J16845" t="s">
        <v>30</v>
      </c>
      <c r="K16845" t="s">
        <v>19108</v>
      </c>
      <c r="M16845" t="s">
        <v>17861</v>
      </c>
      <c r="N16845" t="str">
        <f>"4/29/2022 11:11:00 AM"</f>
        <v>4/29/2022 11:11:00 AM</v>
      </c>
      <c r="O16845" t="s">
        <v>51597</v>
      </c>
    </row>
    <row r="16846" spans="1:20" x14ac:dyDescent="0.25">
      <c r="A16846" t="str">
        <f>"3044266"</f>
        <v>3044266</v>
      </c>
      <c r="B16846" t="s">
        <v>51599</v>
      </c>
      <c r="C16846" t="str">
        <f>"8317767"</f>
        <v>8317767</v>
      </c>
      <c r="D16846" t="s">
        <v>51600</v>
      </c>
      <c r="E16846" t="s">
        <v>51601</v>
      </c>
      <c r="F16846" t="s">
        <v>51602</v>
      </c>
      <c r="I16846" t="s">
        <v>184</v>
      </c>
      <c r="J16846" t="s">
        <v>30</v>
      </c>
      <c r="K16846" t="s">
        <v>51603</v>
      </c>
      <c r="M16846" t="s">
        <v>17861</v>
      </c>
      <c r="N16846" t="str">
        <f>"5/9/2022 10:30:00 AM"</f>
        <v>5/9/2022 10:30:00 AM</v>
      </c>
      <c r="O16846" t="s">
        <v>51600</v>
      </c>
      <c r="T16846" t="s">
        <v>51601</v>
      </c>
    </row>
    <row r="16847" spans="1:20" x14ac:dyDescent="0.25">
      <c r="A16847" t="str">
        <f>"3054860"</f>
        <v>3054860</v>
      </c>
      <c r="B16847" t="s">
        <v>51604</v>
      </c>
      <c r="C16847" t="str">
        <f>"8317769"</f>
        <v>8317769</v>
      </c>
      <c r="D16847" t="s">
        <v>51605</v>
      </c>
      <c r="F16847" t="s">
        <v>51606</v>
      </c>
      <c r="I16847" t="s">
        <v>29</v>
      </c>
      <c r="J16847" t="s">
        <v>30</v>
      </c>
      <c r="K16847" t="s">
        <v>51607</v>
      </c>
      <c r="M16847" t="s">
        <v>17861</v>
      </c>
      <c r="N16847" t="str">
        <f>"5/9/2022 10:40:00 AM"</f>
        <v>5/9/2022 10:40:00 AM</v>
      </c>
      <c r="O16847" t="s">
        <v>51605</v>
      </c>
    </row>
    <row r="16848" spans="1:20" x14ac:dyDescent="0.25">
      <c r="A16848" t="str">
        <f>"3043722"</f>
        <v>3043722</v>
      </c>
      <c r="B16848" t="s">
        <v>51608</v>
      </c>
      <c r="C16848" t="str">
        <f>"8317650"</f>
        <v>8317650</v>
      </c>
      <c r="D16848" t="s">
        <v>51609</v>
      </c>
      <c r="E16848" t="s">
        <v>51610</v>
      </c>
      <c r="F16848" t="s">
        <v>51611</v>
      </c>
      <c r="I16848" t="s">
        <v>29</v>
      </c>
      <c r="J16848" t="s">
        <v>30</v>
      </c>
      <c r="K16848" t="s">
        <v>7114</v>
      </c>
      <c r="M16848" t="s">
        <v>17861</v>
      </c>
      <c r="N16848" t="str">
        <f>"4/29/2022 11:24:00 AM"</f>
        <v>4/29/2022 11:24:00 AM</v>
      </c>
      <c r="O16848" t="s">
        <v>51609</v>
      </c>
      <c r="T16848" t="s">
        <v>51610</v>
      </c>
    </row>
    <row r="16849" spans="1:20" x14ac:dyDescent="0.25">
      <c r="A16849" t="str">
        <f>"3054707"</f>
        <v>3054707</v>
      </c>
      <c r="B16849" t="s">
        <v>51612</v>
      </c>
      <c r="C16849" t="str">
        <f>"8317651"</f>
        <v>8317651</v>
      </c>
      <c r="D16849" t="s">
        <v>51613</v>
      </c>
      <c r="E16849" t="s">
        <v>51614</v>
      </c>
      <c r="F16849" t="s">
        <v>51615</v>
      </c>
      <c r="I16849" t="s">
        <v>29</v>
      </c>
      <c r="J16849" t="s">
        <v>30</v>
      </c>
      <c r="K16849" t="s">
        <v>47921</v>
      </c>
      <c r="M16849" t="s">
        <v>17861</v>
      </c>
      <c r="N16849" t="str">
        <f>"4/29/2022 11:28:00 AM"</f>
        <v>4/29/2022 11:28:00 AM</v>
      </c>
      <c r="O16849" t="s">
        <v>51613</v>
      </c>
      <c r="T16849" t="s">
        <v>51614</v>
      </c>
    </row>
    <row r="16850" spans="1:20" x14ac:dyDescent="0.25">
      <c r="A16850" t="str">
        <f>"3061701"</f>
        <v>3061701</v>
      </c>
      <c r="B16850" t="s">
        <v>51616</v>
      </c>
      <c r="C16850" t="str">
        <f>"8317652"</f>
        <v>8317652</v>
      </c>
      <c r="D16850" t="s">
        <v>51617</v>
      </c>
      <c r="F16850" t="s">
        <v>51618</v>
      </c>
      <c r="I16850" t="s">
        <v>2071</v>
      </c>
      <c r="J16850" t="s">
        <v>30</v>
      </c>
      <c r="K16850" t="s">
        <v>51619</v>
      </c>
      <c r="M16850" t="s">
        <v>17861</v>
      </c>
      <c r="N16850" t="str">
        <f>"4/29/2022 11:38:00 AM"</f>
        <v>4/29/2022 11:38:00 AM</v>
      </c>
      <c r="O16850" t="s">
        <v>51617</v>
      </c>
    </row>
    <row r="16851" spans="1:20" x14ac:dyDescent="0.25">
      <c r="A16851" t="str">
        <f>"3048366"</f>
        <v>3048366</v>
      </c>
      <c r="B16851" t="s">
        <v>51620</v>
      </c>
      <c r="C16851" t="str">
        <f>"8317653"</f>
        <v>8317653</v>
      </c>
      <c r="D16851" t="s">
        <v>51454</v>
      </c>
      <c r="F16851" t="s">
        <v>32770</v>
      </c>
      <c r="I16851" t="s">
        <v>184</v>
      </c>
      <c r="J16851" t="s">
        <v>30</v>
      </c>
      <c r="K16851" t="s">
        <v>43343</v>
      </c>
      <c r="M16851" t="s">
        <v>17861</v>
      </c>
      <c r="N16851" t="str">
        <f>"4/29/2022 11:41:00 AM"</f>
        <v>4/29/2022 11:41:00 AM</v>
      </c>
      <c r="O16851" t="s">
        <v>51454</v>
      </c>
    </row>
    <row r="16852" spans="1:20" x14ac:dyDescent="0.25">
      <c r="A16852" t="str">
        <f>"3037620"</f>
        <v>3037620</v>
      </c>
      <c r="B16852" t="s">
        <v>51621</v>
      </c>
      <c r="C16852" t="str">
        <f>"8317655"</f>
        <v>8317655</v>
      </c>
      <c r="D16852" t="s">
        <v>51622</v>
      </c>
      <c r="E16852" t="s">
        <v>51623</v>
      </c>
      <c r="F16852" t="s">
        <v>51624</v>
      </c>
      <c r="I16852" t="s">
        <v>49</v>
      </c>
      <c r="J16852" t="s">
        <v>30</v>
      </c>
      <c r="K16852" t="s">
        <v>51625</v>
      </c>
      <c r="M16852" t="s">
        <v>17861</v>
      </c>
      <c r="N16852" t="str">
        <f>"5/2/2022 8:42:00 AM"</f>
        <v>5/2/2022 8:42:00 AM</v>
      </c>
      <c r="O16852" t="s">
        <v>51622</v>
      </c>
      <c r="T16852" t="s">
        <v>51623</v>
      </c>
    </row>
    <row r="16853" spans="1:20" x14ac:dyDescent="0.25">
      <c r="A16853" t="str">
        <f>"3057768"</f>
        <v>3057768</v>
      </c>
      <c r="B16853" t="s">
        <v>51626</v>
      </c>
      <c r="C16853" t="str">
        <f>"8317667"</f>
        <v>8317667</v>
      </c>
      <c r="D16853" t="s">
        <v>51627</v>
      </c>
      <c r="E16853" t="s">
        <v>51628</v>
      </c>
      <c r="F16853" t="s">
        <v>51629</v>
      </c>
      <c r="I16853" t="s">
        <v>184</v>
      </c>
      <c r="J16853" t="s">
        <v>30</v>
      </c>
      <c r="K16853" t="s">
        <v>9271</v>
      </c>
      <c r="M16853" t="s">
        <v>17861</v>
      </c>
      <c r="N16853" t="str">
        <f>"5/2/2022 9:23:00 AM"</f>
        <v>5/2/2022 9:23:00 AM</v>
      </c>
      <c r="O16853" t="s">
        <v>51627</v>
      </c>
      <c r="T16853" t="s">
        <v>51628</v>
      </c>
    </row>
    <row r="16854" spans="1:20" x14ac:dyDescent="0.25">
      <c r="A16854" t="str">
        <f>"3057975"</f>
        <v>3057975</v>
      </c>
      <c r="B16854" t="s">
        <v>51630</v>
      </c>
      <c r="C16854" t="str">
        <f>"8317668"</f>
        <v>8317668</v>
      </c>
      <c r="D16854" t="s">
        <v>51631</v>
      </c>
      <c r="E16854" t="s">
        <v>51632</v>
      </c>
      <c r="F16854" t="s">
        <v>51633</v>
      </c>
      <c r="I16854" t="s">
        <v>29</v>
      </c>
      <c r="J16854" t="s">
        <v>30</v>
      </c>
      <c r="K16854" t="s">
        <v>33586</v>
      </c>
      <c r="M16854" t="s">
        <v>17861</v>
      </c>
      <c r="N16854" t="str">
        <f>"5/2/2022 9:25:00 AM"</f>
        <v>5/2/2022 9:25:00 AM</v>
      </c>
      <c r="O16854" t="s">
        <v>51631</v>
      </c>
      <c r="T16854" t="s">
        <v>51632</v>
      </c>
    </row>
    <row r="16855" spans="1:20" x14ac:dyDescent="0.25">
      <c r="A16855" t="str">
        <f>"3051276"</f>
        <v>3051276</v>
      </c>
      <c r="B16855" t="s">
        <v>51634</v>
      </c>
      <c r="C16855" t="str">
        <f>"8317683"</f>
        <v>8317683</v>
      </c>
      <c r="D16855" t="s">
        <v>51635</v>
      </c>
      <c r="E16855" t="s">
        <v>51636</v>
      </c>
      <c r="F16855" t="s">
        <v>51637</v>
      </c>
      <c r="I16855" t="s">
        <v>29</v>
      </c>
      <c r="J16855" t="s">
        <v>30</v>
      </c>
      <c r="K16855" t="s">
        <v>9401</v>
      </c>
      <c r="M16855" t="s">
        <v>17861</v>
      </c>
      <c r="N16855" t="str">
        <f>"5/2/2022 10:42:00 AM"</f>
        <v>5/2/2022 10:42:00 AM</v>
      </c>
      <c r="O16855" t="s">
        <v>51635</v>
      </c>
      <c r="T16855" t="s">
        <v>51636</v>
      </c>
    </row>
    <row r="16856" spans="1:20" x14ac:dyDescent="0.25">
      <c r="A16856" t="str">
        <f>"3043746"</f>
        <v>3043746</v>
      </c>
      <c r="B16856" t="s">
        <v>51638</v>
      </c>
      <c r="C16856" t="str">
        <f>"8317684"</f>
        <v>8317684</v>
      </c>
      <c r="D16856" t="s">
        <v>51639</v>
      </c>
      <c r="E16856" t="s">
        <v>51640</v>
      </c>
      <c r="F16856" t="s">
        <v>51641</v>
      </c>
      <c r="I16856" t="s">
        <v>29</v>
      </c>
      <c r="J16856" t="s">
        <v>30</v>
      </c>
      <c r="K16856" t="s">
        <v>7349</v>
      </c>
      <c r="M16856" t="s">
        <v>17861</v>
      </c>
      <c r="N16856" t="str">
        <f>"5/2/2022 10:55:00 AM"</f>
        <v>5/2/2022 10:55:00 AM</v>
      </c>
      <c r="O16856" t="s">
        <v>51639</v>
      </c>
      <c r="T16856" t="s">
        <v>51640</v>
      </c>
    </row>
    <row r="16857" spans="1:20" x14ac:dyDescent="0.25">
      <c r="A16857" t="str">
        <f>"3046561"</f>
        <v>3046561</v>
      </c>
      <c r="B16857" t="s">
        <v>51642</v>
      </c>
      <c r="C16857" t="str">
        <f>"8317690"</f>
        <v>8317690</v>
      </c>
      <c r="D16857" t="s">
        <v>51545</v>
      </c>
      <c r="F16857" t="s">
        <v>51546</v>
      </c>
      <c r="I16857" t="s">
        <v>29</v>
      </c>
      <c r="J16857" t="s">
        <v>30</v>
      </c>
      <c r="K16857" t="s">
        <v>51547</v>
      </c>
      <c r="M16857" t="s">
        <v>17861</v>
      </c>
      <c r="N16857" t="str">
        <f>"5/2/2022 2:06:00 PM"</f>
        <v>5/2/2022 2:06:00 PM</v>
      </c>
      <c r="O16857" t="s">
        <v>51545</v>
      </c>
    </row>
    <row r="16858" spans="1:20" x14ac:dyDescent="0.25">
      <c r="A16858" t="str">
        <f>"3054610"</f>
        <v>3054610</v>
      </c>
      <c r="B16858" t="s">
        <v>51643</v>
      </c>
      <c r="C16858" t="str">
        <f>"82523071"</f>
        <v>82523071</v>
      </c>
      <c r="D16858" t="s">
        <v>51567</v>
      </c>
      <c r="F16858" t="s">
        <v>51568</v>
      </c>
      <c r="I16858" t="s">
        <v>29</v>
      </c>
      <c r="J16858" t="s">
        <v>30</v>
      </c>
      <c r="K16858" t="str">
        <f>"27028"</f>
        <v>27028</v>
      </c>
      <c r="M16858" t="s">
        <v>36935</v>
      </c>
      <c r="N16858" t="str">
        <f>"5/5/2022 8:47:00 AM"</f>
        <v>5/5/2022 8:47:00 AM</v>
      </c>
      <c r="O16858" t="s">
        <v>51567</v>
      </c>
    </row>
    <row r="16859" spans="1:20" x14ac:dyDescent="0.25">
      <c r="A16859" t="str">
        <f>"3058281"</f>
        <v>3058281</v>
      </c>
      <c r="B16859" t="s">
        <v>51644</v>
      </c>
      <c r="C16859" t="str">
        <f>"8317641"</f>
        <v>8317641</v>
      </c>
      <c r="D16859" t="s">
        <v>51645</v>
      </c>
      <c r="E16859" t="s">
        <v>51646</v>
      </c>
      <c r="F16859" t="s">
        <v>51647</v>
      </c>
      <c r="I16859" t="s">
        <v>29</v>
      </c>
      <c r="J16859" t="s">
        <v>30</v>
      </c>
      <c r="K16859" t="str">
        <f>"27028"</f>
        <v>27028</v>
      </c>
      <c r="M16859" t="s">
        <v>17861</v>
      </c>
      <c r="N16859" t="str">
        <f>"4/28/2022 4:02:00 PM"</f>
        <v>4/28/2022 4:02:00 PM</v>
      </c>
      <c r="O16859" t="s">
        <v>51645</v>
      </c>
      <c r="T16859" t="s">
        <v>51646</v>
      </c>
    </row>
    <row r="16860" spans="1:20" x14ac:dyDescent="0.25">
      <c r="A16860" t="str">
        <f>"3050462"</f>
        <v>3050462</v>
      </c>
      <c r="B16860" t="s">
        <v>51648</v>
      </c>
      <c r="C16860" t="str">
        <f>"8317644"</f>
        <v>8317644</v>
      </c>
      <c r="D16860" t="s">
        <v>51649</v>
      </c>
      <c r="E16860" t="s">
        <v>51650</v>
      </c>
      <c r="F16860" t="s">
        <v>51651</v>
      </c>
      <c r="I16860" t="s">
        <v>29</v>
      </c>
      <c r="J16860" t="s">
        <v>30</v>
      </c>
      <c r="K16860" t="s">
        <v>47162</v>
      </c>
      <c r="M16860" t="s">
        <v>17861</v>
      </c>
      <c r="N16860" t="str">
        <f>"4/28/2022 4:14:00 PM"</f>
        <v>4/28/2022 4:14:00 PM</v>
      </c>
      <c r="O16860" t="s">
        <v>51649</v>
      </c>
      <c r="T16860" t="s">
        <v>51650</v>
      </c>
    </row>
    <row r="16861" spans="1:20" x14ac:dyDescent="0.25">
      <c r="A16861" t="str">
        <f>"3051388"</f>
        <v>3051388</v>
      </c>
      <c r="B16861" t="s">
        <v>51652</v>
      </c>
      <c r="C16861" t="str">
        <f>"8317762"</f>
        <v>8317762</v>
      </c>
      <c r="D16861" t="s">
        <v>51653</v>
      </c>
      <c r="F16861" t="s">
        <v>51654</v>
      </c>
      <c r="I16861" t="s">
        <v>29</v>
      </c>
      <c r="J16861" t="s">
        <v>30</v>
      </c>
      <c r="K16861" t="s">
        <v>51655</v>
      </c>
      <c r="M16861" t="s">
        <v>17861</v>
      </c>
      <c r="N16861" t="str">
        <f>"5/9/2022 9:51:00 AM"</f>
        <v>5/9/2022 9:51:00 AM</v>
      </c>
      <c r="O16861" t="s">
        <v>51653</v>
      </c>
    </row>
    <row r="16862" spans="1:20" x14ac:dyDescent="0.25">
      <c r="A16862" t="str">
        <f>"3049628"</f>
        <v>3049628</v>
      </c>
      <c r="B16862" t="s">
        <v>51656</v>
      </c>
      <c r="C16862" t="str">
        <f>"8317807"</f>
        <v>8317807</v>
      </c>
      <c r="D16862" t="s">
        <v>51657</v>
      </c>
      <c r="F16862" t="s">
        <v>51658</v>
      </c>
      <c r="I16862" t="s">
        <v>29</v>
      </c>
      <c r="J16862" t="s">
        <v>30</v>
      </c>
      <c r="K16862" t="s">
        <v>48294</v>
      </c>
      <c r="M16862" t="s">
        <v>17861</v>
      </c>
      <c r="N16862" t="str">
        <f>"5/13/2022 8:44:00 AM"</f>
        <v>5/13/2022 8:44:00 AM</v>
      </c>
      <c r="O16862" t="s">
        <v>51657</v>
      </c>
    </row>
    <row r="16863" spans="1:20" x14ac:dyDescent="0.25">
      <c r="A16863" t="str">
        <f>"3049722"</f>
        <v>3049722</v>
      </c>
      <c r="B16863" t="s">
        <v>51659</v>
      </c>
      <c r="C16863" t="str">
        <f>"8317807"</f>
        <v>8317807</v>
      </c>
      <c r="D16863" t="s">
        <v>51657</v>
      </c>
      <c r="F16863" t="s">
        <v>51658</v>
      </c>
      <c r="I16863" t="s">
        <v>29</v>
      </c>
      <c r="J16863" t="s">
        <v>30</v>
      </c>
      <c r="K16863" t="s">
        <v>48294</v>
      </c>
      <c r="M16863" t="s">
        <v>17861</v>
      </c>
      <c r="N16863" t="str">
        <f>"5/13/2022 8:44:00 AM"</f>
        <v>5/13/2022 8:44:00 AM</v>
      </c>
      <c r="O16863" t="s">
        <v>51657</v>
      </c>
    </row>
    <row r="16864" spans="1:20" x14ac:dyDescent="0.25">
      <c r="A16864" t="str">
        <f>"3061741"</f>
        <v>3061741</v>
      </c>
      <c r="B16864" t="s">
        <v>51660</v>
      </c>
      <c r="C16864" t="str">
        <f>"8317808"</f>
        <v>8317808</v>
      </c>
      <c r="D16864" t="s">
        <v>51661</v>
      </c>
      <c r="E16864" t="s">
        <v>51662</v>
      </c>
      <c r="F16864" t="s">
        <v>51663</v>
      </c>
      <c r="I16864" t="s">
        <v>2071</v>
      </c>
      <c r="J16864" t="s">
        <v>30</v>
      </c>
      <c r="K16864" t="s">
        <v>45717</v>
      </c>
      <c r="M16864" t="s">
        <v>17861</v>
      </c>
      <c r="N16864" t="str">
        <f>"5/13/2022 9:10:00 AM"</f>
        <v>5/13/2022 9:10:00 AM</v>
      </c>
      <c r="O16864" t="s">
        <v>51661</v>
      </c>
      <c r="T16864" t="s">
        <v>51662</v>
      </c>
    </row>
    <row r="16865" spans="1:20" x14ac:dyDescent="0.25">
      <c r="A16865" t="str">
        <f>"3053674"</f>
        <v>3053674</v>
      </c>
      <c r="B16865" t="s">
        <v>51664</v>
      </c>
      <c r="C16865" t="str">
        <f>"8317809"</f>
        <v>8317809</v>
      </c>
      <c r="D16865" t="s">
        <v>51665</v>
      </c>
      <c r="E16865" t="s">
        <v>51666</v>
      </c>
      <c r="F16865" t="s">
        <v>51667</v>
      </c>
      <c r="I16865" t="s">
        <v>184</v>
      </c>
      <c r="J16865" t="s">
        <v>30</v>
      </c>
      <c r="K16865" t="s">
        <v>51668</v>
      </c>
      <c r="M16865" t="s">
        <v>17861</v>
      </c>
      <c r="N16865" t="str">
        <f>"5/13/2022 9:14:00 AM"</f>
        <v>5/13/2022 9:14:00 AM</v>
      </c>
      <c r="O16865" t="s">
        <v>51665</v>
      </c>
      <c r="T16865" t="s">
        <v>51666</v>
      </c>
    </row>
    <row r="16866" spans="1:20" x14ac:dyDescent="0.25">
      <c r="A16866" t="str">
        <f>"3041796"</f>
        <v>3041796</v>
      </c>
      <c r="B16866" t="s">
        <v>51669</v>
      </c>
      <c r="C16866" t="str">
        <f>"8317810"</f>
        <v>8317810</v>
      </c>
      <c r="D16866" t="s">
        <v>51670</v>
      </c>
      <c r="E16866" t="s">
        <v>51671</v>
      </c>
      <c r="F16866" t="s">
        <v>51672</v>
      </c>
      <c r="I16866" t="s">
        <v>2071</v>
      </c>
      <c r="J16866" t="s">
        <v>30</v>
      </c>
      <c r="K16866" t="s">
        <v>4142</v>
      </c>
      <c r="M16866" t="s">
        <v>17861</v>
      </c>
      <c r="N16866" t="str">
        <f>"5/13/2022 9:16:00 AM"</f>
        <v>5/13/2022 9:16:00 AM</v>
      </c>
      <c r="O16866" t="s">
        <v>51670</v>
      </c>
      <c r="T16866" t="s">
        <v>51671</v>
      </c>
    </row>
    <row r="16867" spans="1:20" x14ac:dyDescent="0.25">
      <c r="A16867" t="str">
        <f>"3046284"</f>
        <v>3046284</v>
      </c>
      <c r="B16867" t="s">
        <v>51673</v>
      </c>
      <c r="C16867" t="str">
        <f>"8317763"</f>
        <v>8317763</v>
      </c>
      <c r="D16867" t="s">
        <v>51674</v>
      </c>
      <c r="F16867" t="s">
        <v>51675</v>
      </c>
      <c r="I16867" t="s">
        <v>29</v>
      </c>
      <c r="J16867" t="s">
        <v>30</v>
      </c>
      <c r="K16867" t="s">
        <v>51676</v>
      </c>
      <c r="M16867" t="s">
        <v>17861</v>
      </c>
      <c r="N16867" t="str">
        <f>"5/9/2022 10:02:00 AM"</f>
        <v>5/9/2022 10:02:00 AM</v>
      </c>
      <c r="O16867" t="s">
        <v>51674</v>
      </c>
    </row>
    <row r="16868" spans="1:20" x14ac:dyDescent="0.25">
      <c r="A16868" t="str">
        <f>"3073779"</f>
        <v>3073779</v>
      </c>
      <c r="B16868" t="s">
        <v>51677</v>
      </c>
      <c r="C16868" t="str">
        <f>"8317764"</f>
        <v>8317764</v>
      </c>
      <c r="D16868" t="s">
        <v>51678</v>
      </c>
      <c r="F16868" t="s">
        <v>51679</v>
      </c>
      <c r="I16868" t="s">
        <v>29</v>
      </c>
      <c r="J16868" t="s">
        <v>30</v>
      </c>
      <c r="K16868" t="s">
        <v>44600</v>
      </c>
      <c r="M16868" t="s">
        <v>17861</v>
      </c>
      <c r="N16868" t="str">
        <f>"5/9/2022 10:16:00 AM"</f>
        <v>5/9/2022 10:16:00 AM</v>
      </c>
      <c r="O16868" t="s">
        <v>51678</v>
      </c>
    </row>
    <row r="16869" spans="1:20" x14ac:dyDescent="0.25">
      <c r="A16869" t="str">
        <f>"3037190"</f>
        <v>3037190</v>
      </c>
      <c r="B16869" t="s">
        <v>51680</v>
      </c>
      <c r="C16869" t="str">
        <f>"8317775"</f>
        <v>8317775</v>
      </c>
      <c r="D16869" t="s">
        <v>51681</v>
      </c>
      <c r="F16869" t="s">
        <v>51682</v>
      </c>
      <c r="I16869" t="s">
        <v>184</v>
      </c>
      <c r="J16869" t="s">
        <v>30</v>
      </c>
      <c r="K16869" t="s">
        <v>51683</v>
      </c>
      <c r="M16869" t="s">
        <v>17861</v>
      </c>
      <c r="N16869" t="str">
        <f>"5/11/2022 8:48:00 AM"</f>
        <v>5/11/2022 8:48:00 AM</v>
      </c>
      <c r="O16869" t="s">
        <v>51681</v>
      </c>
    </row>
    <row r="16870" spans="1:20" x14ac:dyDescent="0.25">
      <c r="A16870" t="str">
        <f>"3050949"</f>
        <v>3050949</v>
      </c>
      <c r="B16870" t="s">
        <v>51684</v>
      </c>
      <c r="C16870" t="str">
        <f>"8317821"</f>
        <v>8317821</v>
      </c>
      <c r="D16870" t="s">
        <v>51685</v>
      </c>
      <c r="E16870" t="s">
        <v>51686</v>
      </c>
      <c r="F16870" t="s">
        <v>51687</v>
      </c>
      <c r="I16870" t="s">
        <v>184</v>
      </c>
      <c r="J16870" t="s">
        <v>30</v>
      </c>
      <c r="K16870" t="str">
        <f>"27006"</f>
        <v>27006</v>
      </c>
      <c r="M16870" t="s">
        <v>17861</v>
      </c>
      <c r="N16870" t="str">
        <f>"5/17/2022 10:01:00 AM"</f>
        <v>5/17/2022 10:01:00 AM</v>
      </c>
      <c r="O16870" t="s">
        <v>51685</v>
      </c>
      <c r="T16870" t="s">
        <v>51686</v>
      </c>
    </row>
    <row r="16871" spans="1:20" x14ac:dyDescent="0.25">
      <c r="A16871" t="str">
        <f>"3043157"</f>
        <v>3043157</v>
      </c>
      <c r="B16871" t="s">
        <v>51688</v>
      </c>
      <c r="C16871" t="str">
        <f>"8317825"</f>
        <v>8317825</v>
      </c>
      <c r="D16871" t="s">
        <v>51689</v>
      </c>
      <c r="F16871" t="s">
        <v>51690</v>
      </c>
      <c r="I16871" t="s">
        <v>29</v>
      </c>
      <c r="J16871" t="s">
        <v>30</v>
      </c>
      <c r="K16871" t="s">
        <v>51691</v>
      </c>
      <c r="M16871" t="s">
        <v>17861</v>
      </c>
      <c r="N16871" t="str">
        <f>"5/17/2022 12:47:00 PM"</f>
        <v>5/17/2022 12:47:00 PM</v>
      </c>
      <c r="O16871" t="s">
        <v>51689</v>
      </c>
    </row>
    <row r="16872" spans="1:20" x14ac:dyDescent="0.25">
      <c r="A16872" t="str">
        <f>"3055284"</f>
        <v>3055284</v>
      </c>
      <c r="B16872" t="s">
        <v>51692</v>
      </c>
      <c r="C16872" t="str">
        <f>"8317776"</f>
        <v>8317776</v>
      </c>
      <c r="D16872" t="s">
        <v>51693</v>
      </c>
      <c r="F16872" t="s">
        <v>51694</v>
      </c>
      <c r="I16872" t="s">
        <v>29</v>
      </c>
      <c r="J16872" t="s">
        <v>30</v>
      </c>
      <c r="K16872" t="s">
        <v>36846</v>
      </c>
      <c r="M16872" t="s">
        <v>17861</v>
      </c>
      <c r="N16872" t="str">
        <f>"5/11/2022 8:58:00 AM"</f>
        <v>5/11/2022 8:58:00 AM</v>
      </c>
      <c r="O16872" t="s">
        <v>51693</v>
      </c>
    </row>
    <row r="16873" spans="1:20" x14ac:dyDescent="0.25">
      <c r="A16873" t="str">
        <f>"3045664"</f>
        <v>3045664</v>
      </c>
      <c r="B16873" t="s">
        <v>51695</v>
      </c>
      <c r="C16873" t="str">
        <f>"8317778"</f>
        <v>8317778</v>
      </c>
      <c r="D16873" t="s">
        <v>51696</v>
      </c>
      <c r="E16873" t="s">
        <v>51697</v>
      </c>
      <c r="F16873" t="s">
        <v>51698</v>
      </c>
      <c r="I16873" t="s">
        <v>29</v>
      </c>
      <c r="J16873" t="s">
        <v>30</v>
      </c>
      <c r="K16873" t="s">
        <v>51699</v>
      </c>
      <c r="M16873" t="s">
        <v>17861</v>
      </c>
      <c r="N16873" t="str">
        <f>"5/11/2022 9:41:00 AM"</f>
        <v>5/11/2022 9:41:00 AM</v>
      </c>
      <c r="O16873" t="s">
        <v>51696</v>
      </c>
      <c r="T16873" t="s">
        <v>51697</v>
      </c>
    </row>
    <row r="16874" spans="1:20" x14ac:dyDescent="0.25">
      <c r="A16874" t="str">
        <f>"3058287"</f>
        <v>3058287</v>
      </c>
      <c r="B16874" t="s">
        <v>51700</v>
      </c>
      <c r="C16874" t="str">
        <f>"8317779"</f>
        <v>8317779</v>
      </c>
      <c r="D16874" t="s">
        <v>51701</v>
      </c>
      <c r="E16874" t="s">
        <v>51702</v>
      </c>
      <c r="F16874" t="s">
        <v>51703</v>
      </c>
      <c r="I16874" t="s">
        <v>29</v>
      </c>
      <c r="J16874" t="s">
        <v>30</v>
      </c>
      <c r="K16874" t="s">
        <v>40996</v>
      </c>
      <c r="M16874" t="s">
        <v>17861</v>
      </c>
      <c r="N16874" t="str">
        <f>"5/11/2022 9:43:00 AM"</f>
        <v>5/11/2022 9:43:00 AM</v>
      </c>
      <c r="O16874" t="s">
        <v>51701</v>
      </c>
      <c r="T16874" t="s">
        <v>51702</v>
      </c>
    </row>
    <row r="16875" spans="1:20" x14ac:dyDescent="0.25">
      <c r="A16875" t="str">
        <f>"3052974"</f>
        <v>3052974</v>
      </c>
      <c r="B16875" t="s">
        <v>51704</v>
      </c>
      <c r="C16875" t="str">
        <f>"8317780"</f>
        <v>8317780</v>
      </c>
      <c r="D16875" t="s">
        <v>51705</v>
      </c>
      <c r="E16875" t="s">
        <v>51706</v>
      </c>
      <c r="F16875" t="s">
        <v>51707</v>
      </c>
      <c r="I16875" t="s">
        <v>29</v>
      </c>
      <c r="J16875" t="s">
        <v>30</v>
      </c>
      <c r="K16875" t="s">
        <v>51708</v>
      </c>
      <c r="M16875" t="s">
        <v>17861</v>
      </c>
      <c r="N16875" t="str">
        <f>"5/11/2022 9:47:00 AM"</f>
        <v>5/11/2022 9:47:00 AM</v>
      </c>
      <c r="O16875" t="s">
        <v>51705</v>
      </c>
      <c r="T16875" t="s">
        <v>51706</v>
      </c>
    </row>
    <row r="16876" spans="1:20" x14ac:dyDescent="0.25">
      <c r="A16876" t="str">
        <f>"3061205"</f>
        <v>3061205</v>
      </c>
      <c r="B16876" t="s">
        <v>51709</v>
      </c>
      <c r="C16876" t="str">
        <f>"8317783"</f>
        <v>8317783</v>
      </c>
      <c r="D16876" t="s">
        <v>51710</v>
      </c>
      <c r="F16876" t="s">
        <v>51711</v>
      </c>
      <c r="I16876" t="s">
        <v>2071</v>
      </c>
      <c r="J16876" t="s">
        <v>30</v>
      </c>
      <c r="K16876" t="s">
        <v>51712</v>
      </c>
      <c r="M16876" t="s">
        <v>17861</v>
      </c>
      <c r="N16876" t="str">
        <f>"5/11/2022 9:58:00 AM"</f>
        <v>5/11/2022 9:58:00 AM</v>
      </c>
      <c r="O16876" t="s">
        <v>51710</v>
      </c>
    </row>
    <row r="16877" spans="1:20" x14ac:dyDescent="0.25">
      <c r="A16877" t="str">
        <f>"3060937"</f>
        <v>3060937</v>
      </c>
      <c r="B16877" t="s">
        <v>51713</v>
      </c>
      <c r="C16877" t="str">
        <f>"8317784"</f>
        <v>8317784</v>
      </c>
      <c r="D16877" t="s">
        <v>51714</v>
      </c>
      <c r="F16877" t="s">
        <v>51715</v>
      </c>
      <c r="I16877" t="s">
        <v>2071</v>
      </c>
      <c r="J16877" t="s">
        <v>30</v>
      </c>
      <c r="K16877" t="s">
        <v>4308</v>
      </c>
      <c r="M16877" t="s">
        <v>17861</v>
      </c>
      <c r="N16877" t="str">
        <f>"5/11/2022 10:02:00 AM"</f>
        <v>5/11/2022 10:02:00 AM</v>
      </c>
      <c r="O16877" t="s">
        <v>51714</v>
      </c>
    </row>
    <row r="16878" spans="1:20" x14ac:dyDescent="0.25">
      <c r="A16878" t="str">
        <f>"3049306"</f>
        <v>3049306</v>
      </c>
      <c r="B16878" t="s">
        <v>51716</v>
      </c>
      <c r="C16878" t="str">
        <f>"8317787"</f>
        <v>8317787</v>
      </c>
      <c r="D16878" t="s">
        <v>51717</v>
      </c>
      <c r="F16878" t="s">
        <v>51718</v>
      </c>
      <c r="I16878" t="s">
        <v>29</v>
      </c>
      <c r="J16878" t="s">
        <v>30</v>
      </c>
      <c r="K16878" t="s">
        <v>50070</v>
      </c>
      <c r="M16878" t="s">
        <v>17861</v>
      </c>
      <c r="N16878" t="str">
        <f>"5/11/2022 10:38:00 AM"</f>
        <v>5/11/2022 10:38:00 AM</v>
      </c>
      <c r="O16878" t="s">
        <v>51717</v>
      </c>
    </row>
    <row r="16879" spans="1:20" x14ac:dyDescent="0.25">
      <c r="A16879" t="str">
        <f>"3041378"</f>
        <v>3041378</v>
      </c>
      <c r="B16879" t="s">
        <v>51719</v>
      </c>
      <c r="C16879" t="str">
        <f>"8317836"</f>
        <v>8317836</v>
      </c>
      <c r="D16879" t="s">
        <v>51720</v>
      </c>
      <c r="F16879" t="s">
        <v>48536</v>
      </c>
      <c r="I16879" t="s">
        <v>48537</v>
      </c>
      <c r="J16879" t="s">
        <v>12725</v>
      </c>
      <c r="K16879" t="s">
        <v>48538</v>
      </c>
      <c r="M16879" t="s">
        <v>17861</v>
      </c>
      <c r="N16879" t="str">
        <f>"5/18/2022 2:34:00 PM"</f>
        <v>5/18/2022 2:34:00 PM</v>
      </c>
      <c r="O16879" t="s">
        <v>51720</v>
      </c>
    </row>
    <row r="16880" spans="1:20" x14ac:dyDescent="0.25">
      <c r="A16880" t="str">
        <f>"3060181"</f>
        <v>3060181</v>
      </c>
      <c r="B16880" t="s">
        <v>51721</v>
      </c>
      <c r="C16880" t="str">
        <f>"8317837"</f>
        <v>8317837</v>
      </c>
      <c r="D16880" t="s">
        <v>51722</v>
      </c>
      <c r="E16880" t="s">
        <v>51723</v>
      </c>
      <c r="F16880" t="s">
        <v>51724</v>
      </c>
      <c r="I16880" t="s">
        <v>184</v>
      </c>
      <c r="J16880" t="s">
        <v>30</v>
      </c>
      <c r="K16880" t="s">
        <v>47887</v>
      </c>
      <c r="M16880" t="s">
        <v>17861</v>
      </c>
      <c r="N16880" t="str">
        <f>"5/18/2022 2:42:00 PM"</f>
        <v>5/18/2022 2:42:00 PM</v>
      </c>
      <c r="O16880" t="s">
        <v>51722</v>
      </c>
      <c r="T16880" t="s">
        <v>51723</v>
      </c>
    </row>
    <row r="16881" spans="1:20" x14ac:dyDescent="0.25">
      <c r="A16881" t="str">
        <f>"3053805"</f>
        <v>3053805</v>
      </c>
      <c r="B16881" t="s">
        <v>51725</v>
      </c>
      <c r="C16881" t="str">
        <f>"8317841"</f>
        <v>8317841</v>
      </c>
      <c r="D16881" t="s">
        <v>51726</v>
      </c>
      <c r="E16881" t="s">
        <v>51727</v>
      </c>
      <c r="F16881" t="s">
        <v>51728</v>
      </c>
      <c r="I16881" t="s">
        <v>29</v>
      </c>
      <c r="J16881" t="s">
        <v>30</v>
      </c>
      <c r="K16881" t="s">
        <v>15020</v>
      </c>
      <c r="M16881" t="s">
        <v>17861</v>
      </c>
      <c r="N16881" t="str">
        <f>"5/18/2022 3:10:00 PM"</f>
        <v>5/18/2022 3:10:00 PM</v>
      </c>
      <c r="O16881" t="s">
        <v>51726</v>
      </c>
      <c r="T16881" t="s">
        <v>51727</v>
      </c>
    </row>
    <row r="16882" spans="1:20" x14ac:dyDescent="0.25">
      <c r="A16882" t="str">
        <f>"3046944"</f>
        <v>3046944</v>
      </c>
      <c r="B16882" t="s">
        <v>51729</v>
      </c>
      <c r="C16882" t="str">
        <f>"8310038"</f>
        <v>8310038</v>
      </c>
      <c r="D16882" t="s">
        <v>51730</v>
      </c>
      <c r="F16882" t="s">
        <v>51731</v>
      </c>
      <c r="I16882" t="s">
        <v>17921</v>
      </c>
      <c r="J16882" t="s">
        <v>30</v>
      </c>
      <c r="K16882" t="str">
        <f>"27028"</f>
        <v>27028</v>
      </c>
      <c r="M16882" t="s">
        <v>25625</v>
      </c>
      <c r="N16882" t="str">
        <f>"5/11/2022 11:12:00 AM"</f>
        <v>5/11/2022 11:12:00 AM</v>
      </c>
      <c r="O16882" t="s">
        <v>51730</v>
      </c>
    </row>
    <row r="16883" spans="1:20" x14ac:dyDescent="0.25">
      <c r="A16883" t="str">
        <f>"3060097"</f>
        <v>3060097</v>
      </c>
      <c r="B16883" t="s">
        <v>51732</v>
      </c>
      <c r="C16883" t="str">
        <f>"8317746"</f>
        <v>8317746</v>
      </c>
      <c r="D16883" t="s">
        <v>51733</v>
      </c>
      <c r="F16883" t="s">
        <v>51734</v>
      </c>
      <c r="I16883" t="s">
        <v>184</v>
      </c>
      <c r="J16883" t="s">
        <v>30</v>
      </c>
      <c r="K16883" t="s">
        <v>10737</v>
      </c>
      <c r="M16883" t="s">
        <v>17861</v>
      </c>
      <c r="N16883" t="str">
        <f>"5/9/2022 8:39:00 AM"</f>
        <v>5/9/2022 8:39:00 AM</v>
      </c>
      <c r="O16883" t="s">
        <v>51733</v>
      </c>
    </row>
    <row r="16884" spans="1:20" x14ac:dyDescent="0.25">
      <c r="A16884" t="str">
        <f>"3062814"</f>
        <v>3062814</v>
      </c>
      <c r="B16884" t="s">
        <v>51735</v>
      </c>
      <c r="C16884" t="str">
        <f>"8317846"</f>
        <v>8317846</v>
      </c>
      <c r="D16884" t="s">
        <v>51736</v>
      </c>
      <c r="E16884" t="s">
        <v>51737</v>
      </c>
      <c r="F16884" t="s">
        <v>51738</v>
      </c>
      <c r="I16884" t="s">
        <v>29</v>
      </c>
      <c r="J16884" t="s">
        <v>30</v>
      </c>
      <c r="K16884" t="str">
        <f>"27028"</f>
        <v>27028</v>
      </c>
      <c r="M16884" t="s">
        <v>17861</v>
      </c>
      <c r="N16884" t="str">
        <f>"5/18/2022 3:42:00 PM"</f>
        <v>5/18/2022 3:42:00 PM</v>
      </c>
      <c r="O16884" t="s">
        <v>51736</v>
      </c>
      <c r="T16884" t="s">
        <v>51737</v>
      </c>
    </row>
    <row r="16885" spans="1:20" x14ac:dyDescent="0.25">
      <c r="A16885" t="str">
        <f>"3054211"</f>
        <v>3054211</v>
      </c>
      <c r="B16885" t="s">
        <v>51739</v>
      </c>
      <c r="C16885" t="str">
        <f t="shared" ref="C16885:C16894" si="253">"29868000"</f>
        <v>29868000</v>
      </c>
      <c r="D16885" t="s">
        <v>51740</v>
      </c>
      <c r="F16885" t="str">
        <f t="shared" ref="F16885:F16894" si="254">"C/O EVELYN B DANIEL"</f>
        <v>C/O EVELYN B DANIEL</v>
      </c>
      <c r="G16885" t="s">
        <v>15220</v>
      </c>
      <c r="I16885" t="s">
        <v>29</v>
      </c>
      <c r="J16885" t="s">
        <v>30</v>
      </c>
      <c r="K16885" t="s">
        <v>31</v>
      </c>
      <c r="M16885" t="s">
        <v>36935</v>
      </c>
      <c r="N16885" t="str">
        <f t="shared" ref="N16885:N16894" si="255">"5/18/2022 4:15:00 PM"</f>
        <v>5/18/2022 4:15:00 PM</v>
      </c>
      <c r="O16885" t="s">
        <v>51740</v>
      </c>
    </row>
    <row r="16886" spans="1:20" x14ac:dyDescent="0.25">
      <c r="A16886" t="str">
        <f>"3054198"</f>
        <v>3054198</v>
      </c>
      <c r="B16886" t="s">
        <v>51741</v>
      </c>
      <c r="C16886" t="str">
        <f t="shared" si="253"/>
        <v>29868000</v>
      </c>
      <c r="D16886" t="s">
        <v>51740</v>
      </c>
      <c r="F16886" t="str">
        <f t="shared" si="254"/>
        <v>C/O EVELYN B DANIEL</v>
      </c>
      <c r="G16886" t="s">
        <v>15220</v>
      </c>
      <c r="I16886" t="s">
        <v>29</v>
      </c>
      <c r="J16886" t="s">
        <v>30</v>
      </c>
      <c r="K16886" t="s">
        <v>31</v>
      </c>
      <c r="M16886" t="s">
        <v>36935</v>
      </c>
      <c r="N16886" t="str">
        <f t="shared" si="255"/>
        <v>5/18/2022 4:15:00 PM</v>
      </c>
      <c r="O16886" t="s">
        <v>51740</v>
      </c>
    </row>
    <row r="16887" spans="1:20" x14ac:dyDescent="0.25">
      <c r="A16887" t="str">
        <f>"3054073"</f>
        <v>3054073</v>
      </c>
      <c r="B16887" t="s">
        <v>51742</v>
      </c>
      <c r="C16887" t="str">
        <f t="shared" si="253"/>
        <v>29868000</v>
      </c>
      <c r="D16887" t="s">
        <v>51740</v>
      </c>
      <c r="F16887" t="str">
        <f t="shared" si="254"/>
        <v>C/O EVELYN B DANIEL</v>
      </c>
      <c r="G16887" t="s">
        <v>15220</v>
      </c>
      <c r="I16887" t="s">
        <v>29</v>
      </c>
      <c r="J16887" t="s">
        <v>30</v>
      </c>
      <c r="K16887" t="s">
        <v>31</v>
      </c>
      <c r="M16887" t="s">
        <v>36935</v>
      </c>
      <c r="N16887" t="str">
        <f t="shared" si="255"/>
        <v>5/18/2022 4:15:00 PM</v>
      </c>
      <c r="O16887" t="s">
        <v>51740</v>
      </c>
    </row>
    <row r="16888" spans="1:20" x14ac:dyDescent="0.25">
      <c r="A16888" t="str">
        <f>"3054024"</f>
        <v>3054024</v>
      </c>
      <c r="B16888" t="s">
        <v>51743</v>
      </c>
      <c r="C16888" t="str">
        <f t="shared" si="253"/>
        <v>29868000</v>
      </c>
      <c r="D16888" t="s">
        <v>51740</v>
      </c>
      <c r="F16888" t="str">
        <f t="shared" si="254"/>
        <v>C/O EVELYN B DANIEL</v>
      </c>
      <c r="G16888" t="s">
        <v>15220</v>
      </c>
      <c r="I16888" t="s">
        <v>29</v>
      </c>
      <c r="J16888" t="s">
        <v>30</v>
      </c>
      <c r="K16888" t="s">
        <v>31</v>
      </c>
      <c r="M16888" t="s">
        <v>36935</v>
      </c>
      <c r="N16888" t="str">
        <f t="shared" si="255"/>
        <v>5/18/2022 4:15:00 PM</v>
      </c>
      <c r="O16888" t="s">
        <v>51740</v>
      </c>
    </row>
    <row r="16889" spans="1:20" x14ac:dyDescent="0.25">
      <c r="A16889" t="str">
        <f>"3054025"</f>
        <v>3054025</v>
      </c>
      <c r="B16889" t="s">
        <v>51744</v>
      </c>
      <c r="C16889" t="str">
        <f t="shared" si="253"/>
        <v>29868000</v>
      </c>
      <c r="D16889" t="s">
        <v>51740</v>
      </c>
      <c r="F16889" t="str">
        <f t="shared" si="254"/>
        <v>C/O EVELYN B DANIEL</v>
      </c>
      <c r="G16889" t="s">
        <v>15220</v>
      </c>
      <c r="I16889" t="s">
        <v>29</v>
      </c>
      <c r="J16889" t="s">
        <v>30</v>
      </c>
      <c r="K16889" t="s">
        <v>31</v>
      </c>
      <c r="M16889" t="s">
        <v>36935</v>
      </c>
      <c r="N16889" t="str">
        <f t="shared" si="255"/>
        <v>5/18/2022 4:15:00 PM</v>
      </c>
      <c r="O16889" t="s">
        <v>51740</v>
      </c>
    </row>
    <row r="16890" spans="1:20" x14ac:dyDescent="0.25">
      <c r="A16890" t="str">
        <f>"3054013"</f>
        <v>3054013</v>
      </c>
      <c r="B16890" t="s">
        <v>51745</v>
      </c>
      <c r="C16890" t="str">
        <f t="shared" si="253"/>
        <v>29868000</v>
      </c>
      <c r="D16890" t="s">
        <v>51740</v>
      </c>
      <c r="F16890" t="str">
        <f t="shared" si="254"/>
        <v>C/O EVELYN B DANIEL</v>
      </c>
      <c r="G16890" t="s">
        <v>15220</v>
      </c>
      <c r="I16890" t="s">
        <v>29</v>
      </c>
      <c r="J16890" t="s">
        <v>30</v>
      </c>
      <c r="K16890" t="s">
        <v>31</v>
      </c>
      <c r="M16890" t="s">
        <v>36935</v>
      </c>
      <c r="N16890" t="str">
        <f t="shared" si="255"/>
        <v>5/18/2022 4:15:00 PM</v>
      </c>
      <c r="O16890" t="s">
        <v>51740</v>
      </c>
    </row>
    <row r="16891" spans="1:20" x14ac:dyDescent="0.25">
      <c r="A16891" t="str">
        <f>"3054014"</f>
        <v>3054014</v>
      </c>
      <c r="B16891" t="s">
        <v>51746</v>
      </c>
      <c r="C16891" t="str">
        <f t="shared" si="253"/>
        <v>29868000</v>
      </c>
      <c r="D16891" t="s">
        <v>51740</v>
      </c>
      <c r="F16891" t="str">
        <f t="shared" si="254"/>
        <v>C/O EVELYN B DANIEL</v>
      </c>
      <c r="G16891" t="s">
        <v>15220</v>
      </c>
      <c r="I16891" t="s">
        <v>29</v>
      </c>
      <c r="J16891" t="s">
        <v>30</v>
      </c>
      <c r="K16891" t="s">
        <v>31</v>
      </c>
      <c r="M16891" t="s">
        <v>36935</v>
      </c>
      <c r="N16891" t="str">
        <f t="shared" si="255"/>
        <v>5/18/2022 4:15:00 PM</v>
      </c>
      <c r="O16891" t="s">
        <v>51740</v>
      </c>
    </row>
    <row r="16892" spans="1:20" x14ac:dyDescent="0.25">
      <c r="A16892" t="str">
        <f>"3054110"</f>
        <v>3054110</v>
      </c>
      <c r="B16892" t="s">
        <v>51747</v>
      </c>
      <c r="C16892" t="str">
        <f t="shared" si="253"/>
        <v>29868000</v>
      </c>
      <c r="D16892" t="s">
        <v>51740</v>
      </c>
      <c r="F16892" t="str">
        <f t="shared" si="254"/>
        <v>C/O EVELYN B DANIEL</v>
      </c>
      <c r="G16892" t="s">
        <v>15220</v>
      </c>
      <c r="I16892" t="s">
        <v>29</v>
      </c>
      <c r="J16892" t="s">
        <v>30</v>
      </c>
      <c r="K16892" t="s">
        <v>31</v>
      </c>
      <c r="M16892" t="s">
        <v>36935</v>
      </c>
      <c r="N16892" t="str">
        <f t="shared" si="255"/>
        <v>5/18/2022 4:15:00 PM</v>
      </c>
      <c r="O16892" t="s">
        <v>51740</v>
      </c>
    </row>
    <row r="16893" spans="1:20" x14ac:dyDescent="0.25">
      <c r="A16893" t="str">
        <f>"3054134"</f>
        <v>3054134</v>
      </c>
      <c r="B16893" t="s">
        <v>51748</v>
      </c>
      <c r="C16893" t="str">
        <f t="shared" si="253"/>
        <v>29868000</v>
      </c>
      <c r="D16893" t="s">
        <v>51740</v>
      </c>
      <c r="F16893" t="str">
        <f t="shared" si="254"/>
        <v>C/O EVELYN B DANIEL</v>
      </c>
      <c r="G16893" t="s">
        <v>15220</v>
      </c>
      <c r="I16893" t="s">
        <v>29</v>
      </c>
      <c r="J16893" t="s">
        <v>30</v>
      </c>
      <c r="K16893" t="s">
        <v>31</v>
      </c>
      <c r="M16893" t="s">
        <v>36935</v>
      </c>
      <c r="N16893" t="str">
        <f t="shared" si="255"/>
        <v>5/18/2022 4:15:00 PM</v>
      </c>
      <c r="O16893" t="s">
        <v>51740</v>
      </c>
    </row>
    <row r="16894" spans="1:20" x14ac:dyDescent="0.25">
      <c r="A16894" t="str">
        <f>"3054130"</f>
        <v>3054130</v>
      </c>
      <c r="B16894" t="s">
        <v>51749</v>
      </c>
      <c r="C16894" t="str">
        <f t="shared" si="253"/>
        <v>29868000</v>
      </c>
      <c r="D16894" t="s">
        <v>51740</v>
      </c>
      <c r="F16894" t="str">
        <f t="shared" si="254"/>
        <v>C/O EVELYN B DANIEL</v>
      </c>
      <c r="G16894" t="s">
        <v>15220</v>
      </c>
      <c r="I16894" t="s">
        <v>29</v>
      </c>
      <c r="J16894" t="s">
        <v>30</v>
      </c>
      <c r="K16894" t="s">
        <v>31</v>
      </c>
      <c r="M16894" t="s">
        <v>36935</v>
      </c>
      <c r="N16894" t="str">
        <f t="shared" si="255"/>
        <v>5/18/2022 4:15:00 PM</v>
      </c>
      <c r="O16894" t="s">
        <v>51740</v>
      </c>
    </row>
    <row r="16895" spans="1:20" x14ac:dyDescent="0.25">
      <c r="A16895" t="str">
        <f>"3042141"</f>
        <v>3042141</v>
      </c>
      <c r="B16895" t="s">
        <v>51750</v>
      </c>
      <c r="C16895" t="str">
        <f>"8317749"</f>
        <v>8317749</v>
      </c>
      <c r="D16895" t="s">
        <v>51751</v>
      </c>
      <c r="F16895" t="s">
        <v>51752</v>
      </c>
      <c r="I16895" t="s">
        <v>29</v>
      </c>
      <c r="J16895" t="s">
        <v>30</v>
      </c>
      <c r="K16895" t="s">
        <v>51753</v>
      </c>
      <c r="M16895" t="s">
        <v>17861</v>
      </c>
      <c r="N16895" t="str">
        <f>"5/9/2022 8:55:00 AM"</f>
        <v>5/9/2022 8:55:00 AM</v>
      </c>
      <c r="O16895" t="s">
        <v>51751</v>
      </c>
    </row>
    <row r="16896" spans="1:20" x14ac:dyDescent="0.25">
      <c r="A16896" t="str">
        <f>"3039809"</f>
        <v>3039809</v>
      </c>
      <c r="B16896" t="s">
        <v>51754</v>
      </c>
      <c r="C16896" t="str">
        <f>"8317849"</f>
        <v>8317849</v>
      </c>
      <c r="D16896" t="s">
        <v>51755</v>
      </c>
      <c r="E16896" t="s">
        <v>51756</v>
      </c>
      <c r="F16896" t="s">
        <v>51757</v>
      </c>
      <c r="I16896" t="s">
        <v>184</v>
      </c>
      <c r="J16896" t="s">
        <v>30</v>
      </c>
      <c r="K16896" t="s">
        <v>32978</v>
      </c>
      <c r="M16896" t="s">
        <v>17861</v>
      </c>
      <c r="N16896" t="str">
        <f>"5/19/2022 10:56:00 AM"</f>
        <v>5/19/2022 10:56:00 AM</v>
      </c>
      <c r="O16896" t="s">
        <v>51755</v>
      </c>
      <c r="T16896" t="s">
        <v>51756</v>
      </c>
    </row>
    <row r="16897" spans="1:20" x14ac:dyDescent="0.25">
      <c r="A16897" t="str">
        <f>"3044809"</f>
        <v>3044809</v>
      </c>
      <c r="B16897" t="s">
        <v>51758</v>
      </c>
      <c r="C16897" t="str">
        <f>"8317850"</f>
        <v>8317850</v>
      </c>
      <c r="D16897" t="s">
        <v>51759</v>
      </c>
      <c r="F16897" t="s">
        <v>51760</v>
      </c>
      <c r="I16897" t="s">
        <v>184</v>
      </c>
      <c r="J16897" t="s">
        <v>30</v>
      </c>
      <c r="K16897" t="s">
        <v>6149</v>
      </c>
      <c r="M16897" t="s">
        <v>17861</v>
      </c>
      <c r="N16897" t="str">
        <f>"5/19/2022 10:58:00 AM"</f>
        <v>5/19/2022 10:58:00 AM</v>
      </c>
      <c r="O16897" t="s">
        <v>51759</v>
      </c>
    </row>
    <row r="16898" spans="1:20" x14ac:dyDescent="0.25">
      <c r="A16898" t="str">
        <f>"3045107"</f>
        <v>3045107</v>
      </c>
      <c r="B16898" t="s">
        <v>51761</v>
      </c>
      <c r="C16898" t="str">
        <f>"8304359"</f>
        <v>8304359</v>
      </c>
      <c r="D16898" t="s">
        <v>51762</v>
      </c>
      <c r="F16898" t="s">
        <v>51763</v>
      </c>
      <c r="I16898" t="s">
        <v>29</v>
      </c>
      <c r="J16898" t="s">
        <v>30</v>
      </c>
      <c r="K16898" t="str">
        <f>"27028"</f>
        <v>27028</v>
      </c>
      <c r="M16898" t="s">
        <v>50793</v>
      </c>
      <c r="N16898" t="str">
        <f>"5/19/2022 11:05:00 AM"</f>
        <v>5/19/2022 11:05:00 AM</v>
      </c>
      <c r="O16898" t="s">
        <v>51762</v>
      </c>
    </row>
    <row r="16899" spans="1:20" x14ac:dyDescent="0.25">
      <c r="A16899" t="str">
        <f>"3041747"</f>
        <v>3041747</v>
      </c>
      <c r="B16899" t="s">
        <v>51764</v>
      </c>
      <c r="C16899" t="str">
        <f>"8317750"</f>
        <v>8317750</v>
      </c>
      <c r="D16899" t="s">
        <v>51765</v>
      </c>
      <c r="E16899" t="s">
        <v>51766</v>
      </c>
      <c r="F16899" t="s">
        <v>51767</v>
      </c>
      <c r="I16899" t="s">
        <v>2071</v>
      </c>
      <c r="J16899" t="s">
        <v>30</v>
      </c>
      <c r="K16899" t="s">
        <v>36605</v>
      </c>
      <c r="M16899" t="s">
        <v>17861</v>
      </c>
      <c r="N16899" t="str">
        <f>"5/9/2022 8:58:00 AM"</f>
        <v>5/9/2022 8:58:00 AM</v>
      </c>
      <c r="O16899" t="s">
        <v>51765</v>
      </c>
      <c r="T16899" t="s">
        <v>51766</v>
      </c>
    </row>
    <row r="16900" spans="1:20" x14ac:dyDescent="0.25">
      <c r="A16900" t="str">
        <f>"3049885"</f>
        <v>3049885</v>
      </c>
      <c r="B16900" t="s">
        <v>51768</v>
      </c>
      <c r="C16900" t="str">
        <f>"8317751"</f>
        <v>8317751</v>
      </c>
      <c r="D16900" t="s">
        <v>51769</v>
      </c>
      <c r="F16900" t="s">
        <v>51770</v>
      </c>
      <c r="I16900" t="s">
        <v>51771</v>
      </c>
      <c r="J16900" t="s">
        <v>12725</v>
      </c>
      <c r="K16900" t="s">
        <v>51772</v>
      </c>
      <c r="M16900" t="s">
        <v>17861</v>
      </c>
      <c r="N16900" t="str">
        <f>"5/9/2022 9:01:00 AM"</f>
        <v>5/9/2022 9:01:00 AM</v>
      </c>
      <c r="O16900" t="s">
        <v>51769</v>
      </c>
    </row>
    <row r="16901" spans="1:20" x14ac:dyDescent="0.25">
      <c r="A16901" t="str">
        <f>"3054576"</f>
        <v>3054576</v>
      </c>
      <c r="B16901" t="s">
        <v>51773</v>
      </c>
      <c r="C16901" t="str">
        <f>"8317753"</f>
        <v>8317753</v>
      </c>
      <c r="D16901" t="s">
        <v>26819</v>
      </c>
      <c r="F16901" t="s">
        <v>51774</v>
      </c>
      <c r="I16901" t="s">
        <v>29</v>
      </c>
      <c r="J16901" t="s">
        <v>30</v>
      </c>
      <c r="K16901" t="s">
        <v>15199</v>
      </c>
      <c r="M16901" t="s">
        <v>17861</v>
      </c>
      <c r="N16901" t="str">
        <f>"5/9/2022 9:08:00 AM"</f>
        <v>5/9/2022 9:08:00 AM</v>
      </c>
      <c r="O16901" t="s">
        <v>26819</v>
      </c>
    </row>
    <row r="16902" spans="1:20" x14ac:dyDescent="0.25">
      <c r="A16902" t="str">
        <f>"3049825"</f>
        <v>3049825</v>
      </c>
      <c r="B16902" t="s">
        <v>51775</v>
      </c>
      <c r="C16902" t="str">
        <f>"8317755"</f>
        <v>8317755</v>
      </c>
      <c r="D16902" t="s">
        <v>51776</v>
      </c>
      <c r="E16902" t="s">
        <v>51777</v>
      </c>
      <c r="F16902" t="s">
        <v>51778</v>
      </c>
      <c r="I16902" t="s">
        <v>29</v>
      </c>
      <c r="J16902" t="s">
        <v>30</v>
      </c>
      <c r="K16902" t="s">
        <v>24345</v>
      </c>
      <c r="M16902" t="s">
        <v>17861</v>
      </c>
      <c r="N16902" t="str">
        <f>"5/9/2022 9:21:00 AM"</f>
        <v>5/9/2022 9:21:00 AM</v>
      </c>
      <c r="O16902" t="s">
        <v>51776</v>
      </c>
      <c r="T16902" t="s">
        <v>51777</v>
      </c>
    </row>
    <row r="16903" spans="1:20" x14ac:dyDescent="0.25">
      <c r="A16903" t="str">
        <f>"3059197"</f>
        <v>3059197</v>
      </c>
      <c r="B16903" t="s">
        <v>51779</v>
      </c>
      <c r="C16903" t="str">
        <f>"8317758"</f>
        <v>8317758</v>
      </c>
      <c r="D16903" t="s">
        <v>51780</v>
      </c>
      <c r="F16903" t="s">
        <v>51781</v>
      </c>
      <c r="I16903" t="s">
        <v>29</v>
      </c>
      <c r="J16903" t="s">
        <v>30</v>
      </c>
      <c r="K16903" t="s">
        <v>51782</v>
      </c>
      <c r="M16903" t="s">
        <v>17861</v>
      </c>
      <c r="N16903" t="str">
        <f>"5/9/2022 9:35:00 AM"</f>
        <v>5/9/2022 9:35:00 AM</v>
      </c>
      <c r="O16903" t="s">
        <v>51780</v>
      </c>
    </row>
    <row r="16904" spans="1:20" x14ac:dyDescent="0.25">
      <c r="A16904" t="str">
        <f>"3048189"</f>
        <v>3048189</v>
      </c>
      <c r="B16904" t="s">
        <v>51783</v>
      </c>
      <c r="C16904" t="str">
        <f>"8317760"</f>
        <v>8317760</v>
      </c>
      <c r="D16904" t="s">
        <v>51784</v>
      </c>
      <c r="F16904" t="s">
        <v>51785</v>
      </c>
      <c r="I16904" t="s">
        <v>29</v>
      </c>
      <c r="J16904" t="s">
        <v>30</v>
      </c>
      <c r="K16904" t="s">
        <v>42224</v>
      </c>
      <c r="M16904" t="s">
        <v>17861</v>
      </c>
      <c r="N16904" t="str">
        <f>"5/9/2022 9:42:00 AM"</f>
        <v>5/9/2022 9:42:00 AM</v>
      </c>
      <c r="O16904" t="s">
        <v>51784</v>
      </c>
    </row>
    <row r="16905" spans="1:20" x14ac:dyDescent="0.25">
      <c r="A16905" t="str">
        <f>"3057812"</f>
        <v>3057812</v>
      </c>
      <c r="B16905" t="s">
        <v>51786</v>
      </c>
      <c r="C16905" t="str">
        <f>"81560000"</f>
        <v>81560000</v>
      </c>
      <c r="D16905" t="s">
        <v>51787</v>
      </c>
      <c r="E16905" t="s">
        <v>51788</v>
      </c>
      <c r="F16905" t="s">
        <v>51789</v>
      </c>
      <c r="I16905" t="s">
        <v>29</v>
      </c>
      <c r="J16905" t="s">
        <v>30</v>
      </c>
      <c r="K16905" t="s">
        <v>31</v>
      </c>
      <c r="M16905" t="s">
        <v>50621</v>
      </c>
      <c r="N16905" t="str">
        <f>"5/13/2022 9:54:00 AM"</f>
        <v>5/13/2022 9:54:00 AM</v>
      </c>
      <c r="O16905" t="s">
        <v>51787</v>
      </c>
      <c r="T16905" t="s">
        <v>51788</v>
      </c>
    </row>
    <row r="16906" spans="1:20" x14ac:dyDescent="0.25">
      <c r="A16906" t="str">
        <f>"3039798"</f>
        <v>3039798</v>
      </c>
      <c r="B16906" t="s">
        <v>51790</v>
      </c>
      <c r="C16906" t="str">
        <f>"8317816"</f>
        <v>8317816</v>
      </c>
      <c r="D16906" t="s">
        <v>51791</v>
      </c>
      <c r="E16906" t="s">
        <v>51792</v>
      </c>
      <c r="F16906" t="s">
        <v>51793</v>
      </c>
      <c r="I16906" t="s">
        <v>29</v>
      </c>
      <c r="J16906" t="s">
        <v>30</v>
      </c>
      <c r="K16906" t="s">
        <v>51794</v>
      </c>
      <c r="M16906" t="s">
        <v>17861</v>
      </c>
      <c r="N16906" t="str">
        <f>"5/16/2022 1:39:00 PM"</f>
        <v>5/16/2022 1:39:00 PM</v>
      </c>
      <c r="O16906" t="s">
        <v>51791</v>
      </c>
      <c r="T16906" t="s">
        <v>51792</v>
      </c>
    </row>
    <row r="16907" spans="1:20" x14ac:dyDescent="0.25">
      <c r="A16907" t="str">
        <f>"3041738"</f>
        <v>3041738</v>
      </c>
      <c r="B16907" t="s">
        <v>51795</v>
      </c>
      <c r="C16907" t="str">
        <f>"8317859"</f>
        <v>8317859</v>
      </c>
      <c r="D16907" t="s">
        <v>51796</v>
      </c>
      <c r="F16907" t="s">
        <v>51797</v>
      </c>
      <c r="I16907" t="s">
        <v>2071</v>
      </c>
      <c r="J16907" t="s">
        <v>30</v>
      </c>
      <c r="K16907" t="s">
        <v>3917</v>
      </c>
      <c r="M16907" t="s">
        <v>17861</v>
      </c>
      <c r="N16907" t="str">
        <f>"5/20/2022 11:18:00 AM"</f>
        <v>5/20/2022 11:18:00 AM</v>
      </c>
      <c r="O16907" t="s">
        <v>51796</v>
      </c>
    </row>
    <row r="16908" spans="1:20" x14ac:dyDescent="0.25">
      <c r="A16908" t="str">
        <f>"3037195"</f>
        <v>3037195</v>
      </c>
      <c r="B16908" t="s">
        <v>51798</v>
      </c>
      <c r="C16908" t="str">
        <f>"8317820"</f>
        <v>8317820</v>
      </c>
      <c r="D16908" t="s">
        <v>50843</v>
      </c>
      <c r="E16908" t="s">
        <v>50844</v>
      </c>
      <c r="F16908" t="s">
        <v>50845</v>
      </c>
      <c r="I16908" t="s">
        <v>184</v>
      </c>
      <c r="J16908" t="s">
        <v>30</v>
      </c>
      <c r="K16908" t="s">
        <v>50846</v>
      </c>
      <c r="M16908" t="s">
        <v>17861</v>
      </c>
      <c r="N16908" t="str">
        <f>"5/16/2022 3:11:00 PM"</f>
        <v>5/16/2022 3:11:00 PM</v>
      </c>
      <c r="O16908" t="s">
        <v>50843</v>
      </c>
      <c r="T16908" t="s">
        <v>50844</v>
      </c>
    </row>
    <row r="16909" spans="1:20" x14ac:dyDescent="0.25">
      <c r="A16909" t="str">
        <f>"3043881"</f>
        <v>3043881</v>
      </c>
      <c r="B16909" t="s">
        <v>51799</v>
      </c>
      <c r="C16909" t="str">
        <f>"8317826"</f>
        <v>8317826</v>
      </c>
      <c r="D16909" t="s">
        <v>49212</v>
      </c>
      <c r="E16909" t="s">
        <v>51800</v>
      </c>
      <c r="F16909" t="s">
        <v>49213</v>
      </c>
      <c r="I16909" t="s">
        <v>3196</v>
      </c>
      <c r="J16909" t="s">
        <v>30</v>
      </c>
      <c r="K16909" t="s">
        <v>49214</v>
      </c>
      <c r="M16909" t="s">
        <v>17861</v>
      </c>
      <c r="N16909" t="str">
        <f>"5/17/2022 12:52:00 PM"</f>
        <v>5/17/2022 12:52:00 PM</v>
      </c>
      <c r="O16909" t="s">
        <v>49212</v>
      </c>
      <c r="T16909" t="s">
        <v>51800</v>
      </c>
    </row>
    <row r="16910" spans="1:20" x14ac:dyDescent="0.25">
      <c r="A16910" t="str">
        <f>"3054329"</f>
        <v>3054329</v>
      </c>
      <c r="B16910" t="s">
        <v>51801</v>
      </c>
      <c r="C16910" t="str">
        <f>"8317828"</f>
        <v>8317828</v>
      </c>
      <c r="D16910" t="s">
        <v>51802</v>
      </c>
      <c r="F16910" t="s">
        <v>51803</v>
      </c>
      <c r="I16910" t="s">
        <v>471</v>
      </c>
      <c r="J16910" t="s">
        <v>30</v>
      </c>
      <c r="K16910" t="s">
        <v>51804</v>
      </c>
      <c r="M16910" t="s">
        <v>17861</v>
      </c>
      <c r="N16910" t="str">
        <f>"5/17/2022 12:59:00 PM"</f>
        <v>5/17/2022 12:59:00 PM</v>
      </c>
      <c r="O16910" t="s">
        <v>51802</v>
      </c>
    </row>
    <row r="16911" spans="1:20" x14ac:dyDescent="0.25">
      <c r="A16911" t="str">
        <f>"3061087"</f>
        <v>3061087</v>
      </c>
      <c r="B16911" t="s">
        <v>51805</v>
      </c>
      <c r="C16911" t="str">
        <f>"8317829"</f>
        <v>8317829</v>
      </c>
      <c r="D16911" t="s">
        <v>51806</v>
      </c>
      <c r="E16911" t="s">
        <v>51807</v>
      </c>
      <c r="F16911" t="s">
        <v>51808</v>
      </c>
      <c r="I16911" t="s">
        <v>184</v>
      </c>
      <c r="J16911" t="s">
        <v>30</v>
      </c>
      <c r="K16911" t="s">
        <v>39172</v>
      </c>
      <c r="M16911" t="s">
        <v>17861</v>
      </c>
      <c r="N16911" t="str">
        <f>"5/17/2022 1:27:00 PM"</f>
        <v>5/17/2022 1:27:00 PM</v>
      </c>
      <c r="O16911" t="s">
        <v>51806</v>
      </c>
      <c r="T16911" t="s">
        <v>51807</v>
      </c>
    </row>
    <row r="16912" spans="1:20" x14ac:dyDescent="0.25">
      <c r="A16912" t="str">
        <f>"3043981"</f>
        <v>3043981</v>
      </c>
      <c r="B16912" t="s">
        <v>51809</v>
      </c>
      <c r="C16912" t="str">
        <f>"8303103"</f>
        <v>8303103</v>
      </c>
      <c r="D16912" t="s">
        <v>51810</v>
      </c>
      <c r="F16912" t="s">
        <v>51811</v>
      </c>
      <c r="I16912" t="s">
        <v>184</v>
      </c>
      <c r="J16912" t="s">
        <v>30</v>
      </c>
      <c r="K16912" t="s">
        <v>51812</v>
      </c>
      <c r="M16912" t="s">
        <v>18479</v>
      </c>
      <c r="N16912" t="str">
        <f>"5/23/2022 9:42:00 AM"</f>
        <v>5/23/2022 9:42:00 AM</v>
      </c>
      <c r="O16912" t="s">
        <v>51810</v>
      </c>
    </row>
    <row r="16913" spans="1:20" x14ac:dyDescent="0.25">
      <c r="A16913" t="str">
        <f>"3044305"</f>
        <v>3044305</v>
      </c>
      <c r="B16913" t="s">
        <v>51813</v>
      </c>
      <c r="C16913" t="str">
        <f>"8303103"</f>
        <v>8303103</v>
      </c>
      <c r="D16913" t="s">
        <v>51810</v>
      </c>
      <c r="F16913" t="s">
        <v>51811</v>
      </c>
      <c r="I16913" t="s">
        <v>184</v>
      </c>
      <c r="J16913" t="s">
        <v>30</v>
      </c>
      <c r="K16913" t="s">
        <v>51812</v>
      </c>
      <c r="M16913" t="s">
        <v>18479</v>
      </c>
      <c r="N16913" t="str">
        <f>"5/23/2022 9:42:00 AM"</f>
        <v>5/23/2022 9:42:00 AM</v>
      </c>
      <c r="O16913" t="s">
        <v>51810</v>
      </c>
    </row>
    <row r="16914" spans="1:20" x14ac:dyDescent="0.25">
      <c r="A16914" t="str">
        <f>"3054967"</f>
        <v>3054967</v>
      </c>
      <c r="B16914" t="s">
        <v>51814</v>
      </c>
      <c r="C16914" t="str">
        <f>"8317866"</f>
        <v>8317866</v>
      </c>
      <c r="D16914" t="s">
        <v>51815</v>
      </c>
      <c r="E16914" t="s">
        <v>51816</v>
      </c>
      <c r="F16914" t="s">
        <v>51817</v>
      </c>
      <c r="I16914" t="s">
        <v>29</v>
      </c>
      <c r="J16914" t="s">
        <v>30</v>
      </c>
      <c r="K16914" t="s">
        <v>15987</v>
      </c>
      <c r="M16914" t="s">
        <v>17861</v>
      </c>
      <c r="N16914" t="str">
        <f>"5/23/2022 10:04:00 AM"</f>
        <v>5/23/2022 10:04:00 AM</v>
      </c>
      <c r="O16914" t="s">
        <v>51815</v>
      </c>
      <c r="T16914" t="s">
        <v>51816</v>
      </c>
    </row>
    <row r="16915" spans="1:20" x14ac:dyDescent="0.25">
      <c r="A16915" t="str">
        <f>"3078894"</f>
        <v>3078894</v>
      </c>
      <c r="B16915" t="s">
        <v>51818</v>
      </c>
      <c r="C16915" t="str">
        <f>"8317866"</f>
        <v>8317866</v>
      </c>
      <c r="D16915" t="s">
        <v>51815</v>
      </c>
      <c r="E16915" t="s">
        <v>51816</v>
      </c>
      <c r="F16915" t="s">
        <v>51817</v>
      </c>
      <c r="I16915" t="s">
        <v>29</v>
      </c>
      <c r="J16915" t="s">
        <v>30</v>
      </c>
      <c r="K16915" t="s">
        <v>15987</v>
      </c>
      <c r="M16915" t="s">
        <v>17861</v>
      </c>
      <c r="N16915" t="str">
        <f>"5/23/2022 10:04:00 AM"</f>
        <v>5/23/2022 10:04:00 AM</v>
      </c>
      <c r="O16915" t="s">
        <v>51815</v>
      </c>
      <c r="T16915" t="s">
        <v>51816</v>
      </c>
    </row>
    <row r="16916" spans="1:20" x14ac:dyDescent="0.25">
      <c r="A16916" t="str">
        <f>"3059949"</f>
        <v>3059949</v>
      </c>
      <c r="B16916" t="s">
        <v>51819</v>
      </c>
      <c r="C16916" t="str">
        <f>"8317866"</f>
        <v>8317866</v>
      </c>
      <c r="D16916" t="s">
        <v>51815</v>
      </c>
      <c r="E16916" t="s">
        <v>51816</v>
      </c>
      <c r="F16916" t="s">
        <v>51817</v>
      </c>
      <c r="I16916" t="s">
        <v>29</v>
      </c>
      <c r="J16916" t="s">
        <v>30</v>
      </c>
      <c r="K16916" t="s">
        <v>15987</v>
      </c>
      <c r="M16916" t="s">
        <v>17861</v>
      </c>
      <c r="N16916" t="str">
        <f>"5/23/2022 10:04:00 AM"</f>
        <v>5/23/2022 10:04:00 AM</v>
      </c>
      <c r="O16916" t="s">
        <v>51815</v>
      </c>
      <c r="T16916" t="s">
        <v>51816</v>
      </c>
    </row>
    <row r="16917" spans="1:20" x14ac:dyDescent="0.25">
      <c r="A16917" t="str">
        <f>"3050753"</f>
        <v>3050753</v>
      </c>
      <c r="B16917" t="s">
        <v>51820</v>
      </c>
      <c r="C16917" t="str">
        <f>"8317843"</f>
        <v>8317843</v>
      </c>
      <c r="D16917" t="s">
        <v>51821</v>
      </c>
      <c r="E16917" t="s">
        <v>51822</v>
      </c>
      <c r="F16917" t="s">
        <v>51823</v>
      </c>
      <c r="I16917" t="s">
        <v>184</v>
      </c>
      <c r="J16917" t="s">
        <v>30</v>
      </c>
      <c r="K16917" t="s">
        <v>3201</v>
      </c>
      <c r="M16917" t="s">
        <v>17861</v>
      </c>
      <c r="N16917" t="str">
        <f>"5/23/2022 1:05:00 PM"</f>
        <v>5/23/2022 1:05:00 PM</v>
      </c>
      <c r="O16917" t="s">
        <v>51821</v>
      </c>
      <c r="T16917" t="s">
        <v>51822</v>
      </c>
    </row>
    <row r="16918" spans="1:20" x14ac:dyDescent="0.25">
      <c r="A16918" t="str">
        <f>"3104781"</f>
        <v>3104781</v>
      </c>
      <c r="B16918" t="s">
        <v>51824</v>
      </c>
      <c r="C16918" t="str">
        <f>"8317867"</f>
        <v>8317867</v>
      </c>
      <c r="D16918" t="s">
        <v>51825</v>
      </c>
      <c r="E16918" t="s">
        <v>50958</v>
      </c>
      <c r="F16918" t="s">
        <v>51826</v>
      </c>
      <c r="I16918" t="s">
        <v>17921</v>
      </c>
      <c r="J16918" t="s">
        <v>30</v>
      </c>
      <c r="K16918" t="str">
        <f>"27028"</f>
        <v>27028</v>
      </c>
      <c r="M16918" t="s">
        <v>17861</v>
      </c>
      <c r="N16918" t="str">
        <f>"5/23/2022 1:41:00 PM"</f>
        <v>5/23/2022 1:41:00 PM</v>
      </c>
      <c r="O16918" t="s">
        <v>51825</v>
      </c>
      <c r="T16918" t="s">
        <v>50958</v>
      </c>
    </row>
    <row r="16919" spans="1:20" x14ac:dyDescent="0.25">
      <c r="A16919" t="str">
        <f>"3039577"</f>
        <v>3039577</v>
      </c>
      <c r="B16919" t="s">
        <v>51827</v>
      </c>
      <c r="C16919" t="str">
        <f>"8316426"</f>
        <v>8316426</v>
      </c>
      <c r="D16919" t="s">
        <v>51828</v>
      </c>
      <c r="E16919" t="s">
        <v>14744</v>
      </c>
      <c r="F16919" t="s">
        <v>51829</v>
      </c>
      <c r="I16919" t="s">
        <v>29</v>
      </c>
      <c r="J16919" t="s">
        <v>30</v>
      </c>
      <c r="K16919" t="s">
        <v>1567</v>
      </c>
      <c r="M16919" t="s">
        <v>18479</v>
      </c>
      <c r="N16919" t="str">
        <f>"5/23/2022 3:08:00 PM"</f>
        <v>5/23/2022 3:08:00 PM</v>
      </c>
      <c r="O16919" t="s">
        <v>51828</v>
      </c>
      <c r="T16919" t="s">
        <v>14744</v>
      </c>
    </row>
    <row r="16920" spans="1:20" x14ac:dyDescent="0.25">
      <c r="A16920" t="str">
        <f>"3039578"</f>
        <v>3039578</v>
      </c>
      <c r="B16920" t="s">
        <v>51830</v>
      </c>
      <c r="C16920" t="str">
        <f>"8316426"</f>
        <v>8316426</v>
      </c>
      <c r="D16920" t="s">
        <v>51828</v>
      </c>
      <c r="E16920" t="s">
        <v>14744</v>
      </c>
      <c r="F16920" t="s">
        <v>51829</v>
      </c>
      <c r="I16920" t="s">
        <v>29</v>
      </c>
      <c r="J16920" t="s">
        <v>30</v>
      </c>
      <c r="K16920" t="s">
        <v>1567</v>
      </c>
      <c r="M16920" t="s">
        <v>18479</v>
      </c>
      <c r="N16920" t="str">
        <f>"5/23/2022 3:08:00 PM"</f>
        <v>5/23/2022 3:08:00 PM</v>
      </c>
      <c r="O16920" t="s">
        <v>51828</v>
      </c>
      <c r="T16920" t="s">
        <v>14744</v>
      </c>
    </row>
    <row r="16921" spans="1:20" x14ac:dyDescent="0.25">
      <c r="A16921" t="str">
        <f>"3059202"</f>
        <v>3059202</v>
      </c>
      <c r="B16921" t="s">
        <v>51831</v>
      </c>
      <c r="C16921" t="str">
        <f>"8317872"</f>
        <v>8317872</v>
      </c>
      <c r="D16921" t="s">
        <v>51832</v>
      </c>
      <c r="E16921" t="s">
        <v>51833</v>
      </c>
      <c r="F16921" t="s">
        <v>51834</v>
      </c>
      <c r="I16921" t="s">
        <v>29</v>
      </c>
      <c r="J16921" t="s">
        <v>30</v>
      </c>
      <c r="K16921" t="s">
        <v>51835</v>
      </c>
      <c r="M16921" t="s">
        <v>17861</v>
      </c>
      <c r="N16921" t="str">
        <f>"5/24/2022 9:17:00 AM"</f>
        <v>5/24/2022 9:17:00 AM</v>
      </c>
      <c r="O16921" t="s">
        <v>51832</v>
      </c>
      <c r="T16921" t="s">
        <v>51833</v>
      </c>
    </row>
    <row r="16922" spans="1:20" x14ac:dyDescent="0.25">
      <c r="A16922" t="str">
        <f>"3054505"</f>
        <v>3054505</v>
      </c>
      <c r="B16922" t="s">
        <v>51836</v>
      </c>
      <c r="C16922" t="str">
        <f>"8317830"</f>
        <v>8317830</v>
      </c>
      <c r="D16922" t="s">
        <v>51837</v>
      </c>
      <c r="E16922" t="s">
        <v>51838</v>
      </c>
      <c r="F16922" t="s">
        <v>51839</v>
      </c>
      <c r="I16922" t="s">
        <v>29</v>
      </c>
      <c r="J16922" t="s">
        <v>30</v>
      </c>
      <c r="K16922" t="s">
        <v>42839</v>
      </c>
      <c r="M16922" t="s">
        <v>17861</v>
      </c>
      <c r="N16922" t="str">
        <f>"5/17/2022 1:47:00 PM"</f>
        <v>5/17/2022 1:47:00 PM</v>
      </c>
      <c r="O16922" t="s">
        <v>51837</v>
      </c>
      <c r="T16922" t="s">
        <v>51838</v>
      </c>
    </row>
    <row r="16923" spans="1:20" x14ac:dyDescent="0.25">
      <c r="A16923" t="str">
        <f>"3044245"</f>
        <v>3044245</v>
      </c>
      <c r="B16923" t="s">
        <v>51840</v>
      </c>
      <c r="C16923" t="str">
        <f>"8317827"</f>
        <v>8317827</v>
      </c>
      <c r="D16923" t="s">
        <v>51841</v>
      </c>
      <c r="F16923" t="s">
        <v>49553</v>
      </c>
      <c r="I16923" t="s">
        <v>184</v>
      </c>
      <c r="J16923" t="s">
        <v>30</v>
      </c>
      <c r="K16923" t="s">
        <v>49554</v>
      </c>
      <c r="M16923" t="s">
        <v>17861</v>
      </c>
      <c r="N16923" t="str">
        <f>"5/17/2022 1:49:00 PM"</f>
        <v>5/17/2022 1:49:00 PM</v>
      </c>
      <c r="O16923" t="s">
        <v>51841</v>
      </c>
    </row>
    <row r="16924" spans="1:20" x14ac:dyDescent="0.25">
      <c r="A16924" t="str">
        <f>"3055822"</f>
        <v>3055822</v>
      </c>
      <c r="B16924" t="s">
        <v>51842</v>
      </c>
      <c r="C16924" t="str">
        <f>"8317831"</f>
        <v>8317831</v>
      </c>
      <c r="D16924" t="s">
        <v>51843</v>
      </c>
      <c r="E16924" t="s">
        <v>51844</v>
      </c>
      <c r="F16924" t="s">
        <v>51845</v>
      </c>
      <c r="I16924" t="s">
        <v>184</v>
      </c>
      <c r="J16924" t="s">
        <v>30</v>
      </c>
      <c r="K16924" t="s">
        <v>48131</v>
      </c>
      <c r="M16924" t="s">
        <v>17861</v>
      </c>
      <c r="N16924" t="str">
        <f>"5/17/2022 1:52:00 PM"</f>
        <v>5/17/2022 1:52:00 PM</v>
      </c>
      <c r="O16924" t="s">
        <v>51843</v>
      </c>
      <c r="T16924" t="s">
        <v>51844</v>
      </c>
    </row>
    <row r="16925" spans="1:20" x14ac:dyDescent="0.25">
      <c r="A16925" t="str">
        <f>"3052533"</f>
        <v>3052533</v>
      </c>
      <c r="B16925" t="s">
        <v>51846</v>
      </c>
      <c r="C16925" t="str">
        <f>"8317835"</f>
        <v>8317835</v>
      </c>
      <c r="D16925" t="s">
        <v>51847</v>
      </c>
      <c r="E16925" t="s">
        <v>51848</v>
      </c>
      <c r="F16925" t="s">
        <v>51849</v>
      </c>
      <c r="I16925" t="s">
        <v>29</v>
      </c>
      <c r="J16925" t="s">
        <v>30</v>
      </c>
      <c r="K16925" t="s">
        <v>51850</v>
      </c>
      <c r="M16925" t="s">
        <v>17861</v>
      </c>
      <c r="N16925" t="str">
        <f>"5/18/2022 2:31:00 PM"</f>
        <v>5/18/2022 2:31:00 PM</v>
      </c>
      <c r="O16925" t="s">
        <v>51847</v>
      </c>
      <c r="T16925" t="s">
        <v>51848</v>
      </c>
    </row>
    <row r="16926" spans="1:20" x14ac:dyDescent="0.25">
      <c r="A16926" t="str">
        <f>"3048165"</f>
        <v>3048165</v>
      </c>
      <c r="B16926" t="s">
        <v>51851</v>
      </c>
      <c r="C16926" t="str">
        <f>"8317842"</f>
        <v>8317842</v>
      </c>
      <c r="D16926" t="s">
        <v>51852</v>
      </c>
      <c r="F16926" t="s">
        <v>51853</v>
      </c>
      <c r="I16926" t="s">
        <v>184</v>
      </c>
      <c r="J16926" t="s">
        <v>30</v>
      </c>
      <c r="K16926" t="s">
        <v>24196</v>
      </c>
      <c r="M16926" t="s">
        <v>17861</v>
      </c>
      <c r="N16926" t="str">
        <f>"5/18/2022 3:12:00 PM"</f>
        <v>5/18/2022 3:12:00 PM</v>
      </c>
      <c r="O16926" t="s">
        <v>51852</v>
      </c>
    </row>
    <row r="16927" spans="1:20" x14ac:dyDescent="0.25">
      <c r="A16927" t="str">
        <f>"3044586"</f>
        <v>3044586</v>
      </c>
      <c r="B16927" t="s">
        <v>51854</v>
      </c>
      <c r="C16927" t="str">
        <f>"8317844"</f>
        <v>8317844</v>
      </c>
      <c r="D16927" t="s">
        <v>51855</v>
      </c>
      <c r="E16927" t="s">
        <v>51856</v>
      </c>
      <c r="F16927" t="s">
        <v>51857</v>
      </c>
      <c r="I16927" t="s">
        <v>184</v>
      </c>
      <c r="J16927" t="s">
        <v>30</v>
      </c>
      <c r="K16927" t="s">
        <v>51858</v>
      </c>
      <c r="M16927" t="s">
        <v>17861</v>
      </c>
      <c r="N16927" t="str">
        <f>"5/18/2022 3:27:00 PM"</f>
        <v>5/18/2022 3:27:00 PM</v>
      </c>
      <c r="O16927" t="s">
        <v>51855</v>
      </c>
      <c r="T16927" t="s">
        <v>51856</v>
      </c>
    </row>
    <row r="16928" spans="1:20" x14ac:dyDescent="0.25">
      <c r="A16928" t="str">
        <f>"3041991"</f>
        <v>3041991</v>
      </c>
      <c r="B16928" t="s">
        <v>51859</v>
      </c>
      <c r="C16928" t="str">
        <f>"59267050"</f>
        <v>59267050</v>
      </c>
      <c r="D16928" t="s">
        <v>51860</v>
      </c>
      <c r="E16928" t="s">
        <v>51861</v>
      </c>
      <c r="F16928" t="s">
        <v>51862</v>
      </c>
      <c r="G16928" t="s">
        <v>51863</v>
      </c>
      <c r="I16928" t="s">
        <v>51864</v>
      </c>
      <c r="J16928" t="s">
        <v>17511</v>
      </c>
      <c r="K16928" t="s">
        <v>51865</v>
      </c>
      <c r="M16928" t="s">
        <v>36935</v>
      </c>
      <c r="N16928" t="str">
        <f>"5/12/2022 3:58:00 PM"</f>
        <v>5/12/2022 3:58:00 PM</v>
      </c>
      <c r="O16928" t="s">
        <v>51860</v>
      </c>
      <c r="T16928" t="s">
        <v>51861</v>
      </c>
    </row>
    <row r="16929" spans="1:20" x14ac:dyDescent="0.25">
      <c r="A16929" t="str">
        <f>"3051068"</f>
        <v>3051068</v>
      </c>
      <c r="B16929" t="s">
        <v>51866</v>
      </c>
      <c r="C16929" t="str">
        <f>"8317878"</f>
        <v>8317878</v>
      </c>
      <c r="D16929" t="s">
        <v>51867</v>
      </c>
      <c r="F16929" t="s">
        <v>51868</v>
      </c>
      <c r="I16929" t="s">
        <v>29</v>
      </c>
      <c r="J16929" t="s">
        <v>30</v>
      </c>
      <c r="K16929" t="s">
        <v>51869</v>
      </c>
      <c r="M16929" t="s">
        <v>17861</v>
      </c>
      <c r="N16929" t="str">
        <f>"5/25/2022 1:53:00 PM"</f>
        <v>5/25/2022 1:53:00 PM</v>
      </c>
      <c r="O16929" t="s">
        <v>51867</v>
      </c>
    </row>
    <row r="16930" spans="1:20" x14ac:dyDescent="0.25">
      <c r="A16930" t="str">
        <f>"3058977"</f>
        <v>3058977</v>
      </c>
      <c r="B16930" t="s">
        <v>51870</v>
      </c>
      <c r="C16930" t="str">
        <f>"8317879"</f>
        <v>8317879</v>
      </c>
      <c r="D16930" t="s">
        <v>51871</v>
      </c>
      <c r="E16930" t="s">
        <v>51872</v>
      </c>
      <c r="F16930" t="s">
        <v>51873</v>
      </c>
      <c r="I16930" t="s">
        <v>17921</v>
      </c>
      <c r="J16930" t="s">
        <v>30</v>
      </c>
      <c r="K16930" t="str">
        <f>"27028"</f>
        <v>27028</v>
      </c>
      <c r="M16930" t="s">
        <v>17861</v>
      </c>
      <c r="N16930" t="str">
        <f>"5/25/2022 1:57:00 PM"</f>
        <v>5/25/2022 1:57:00 PM</v>
      </c>
      <c r="O16930" t="s">
        <v>51871</v>
      </c>
      <c r="T16930" t="s">
        <v>51872</v>
      </c>
    </row>
    <row r="16931" spans="1:20" x14ac:dyDescent="0.25">
      <c r="A16931" t="str">
        <f>"3041972"</f>
        <v>3041972</v>
      </c>
      <c r="B16931" t="s">
        <v>51874</v>
      </c>
      <c r="C16931" t="str">
        <f>"59267050"</f>
        <v>59267050</v>
      </c>
      <c r="D16931" t="s">
        <v>51860</v>
      </c>
      <c r="E16931" t="s">
        <v>51861</v>
      </c>
      <c r="F16931" t="s">
        <v>51862</v>
      </c>
      <c r="G16931" t="s">
        <v>51863</v>
      </c>
      <c r="I16931" t="s">
        <v>51864</v>
      </c>
      <c r="J16931" t="s">
        <v>17511</v>
      </c>
      <c r="K16931" t="s">
        <v>51865</v>
      </c>
      <c r="M16931" t="s">
        <v>36935</v>
      </c>
      <c r="N16931" t="str">
        <f>"5/12/2022 3:58:00 PM"</f>
        <v>5/12/2022 3:58:00 PM</v>
      </c>
      <c r="O16931" t="s">
        <v>51860</v>
      </c>
      <c r="T16931" t="s">
        <v>51861</v>
      </c>
    </row>
    <row r="16932" spans="1:20" x14ac:dyDescent="0.25">
      <c r="A16932" t="str">
        <f>"3042191"</f>
        <v>3042191</v>
      </c>
      <c r="B16932" t="s">
        <v>51875</v>
      </c>
      <c r="C16932" t="str">
        <f>"59267050"</f>
        <v>59267050</v>
      </c>
      <c r="D16932" t="s">
        <v>51860</v>
      </c>
      <c r="E16932" t="s">
        <v>51861</v>
      </c>
      <c r="F16932" t="s">
        <v>51862</v>
      </c>
      <c r="G16932" t="s">
        <v>51863</v>
      </c>
      <c r="I16932" t="s">
        <v>51864</v>
      </c>
      <c r="J16932" t="s">
        <v>17511</v>
      </c>
      <c r="K16932" t="s">
        <v>51865</v>
      </c>
      <c r="M16932" t="s">
        <v>36935</v>
      </c>
      <c r="N16932" t="str">
        <f>"5/12/2022 3:58:00 PM"</f>
        <v>5/12/2022 3:58:00 PM</v>
      </c>
      <c r="O16932" t="s">
        <v>51860</v>
      </c>
      <c r="T16932" t="s">
        <v>51861</v>
      </c>
    </row>
    <row r="16933" spans="1:20" x14ac:dyDescent="0.25">
      <c r="A16933" t="str">
        <f>"3040620"</f>
        <v>3040620</v>
      </c>
      <c r="B16933" t="s">
        <v>51876</v>
      </c>
      <c r="C16933" t="str">
        <f>"8305897"</f>
        <v>8305897</v>
      </c>
      <c r="D16933" t="s">
        <v>51877</v>
      </c>
      <c r="F16933" t="s">
        <v>51878</v>
      </c>
      <c r="I16933" t="s">
        <v>184</v>
      </c>
      <c r="J16933" t="s">
        <v>30</v>
      </c>
      <c r="K16933" t="str">
        <f>"27006"</f>
        <v>27006</v>
      </c>
      <c r="M16933" t="s">
        <v>36935</v>
      </c>
      <c r="N16933" t="str">
        <f>"5/19/2022 10:01:00 AM"</f>
        <v>5/19/2022 10:01:00 AM</v>
      </c>
      <c r="O16933" t="s">
        <v>51877</v>
      </c>
    </row>
    <row r="16934" spans="1:20" x14ac:dyDescent="0.25">
      <c r="A16934" t="str">
        <f>"3059985"</f>
        <v>3059985</v>
      </c>
      <c r="B16934" t="s">
        <v>51879</v>
      </c>
      <c r="C16934" t="str">
        <f>"8317805"</f>
        <v>8317805</v>
      </c>
      <c r="D16934" t="s">
        <v>51880</v>
      </c>
      <c r="E16934" t="s">
        <v>51881</v>
      </c>
      <c r="F16934" t="s">
        <v>51882</v>
      </c>
      <c r="I16934" t="s">
        <v>184</v>
      </c>
      <c r="J16934" t="s">
        <v>30</v>
      </c>
      <c r="K16934" t="s">
        <v>20253</v>
      </c>
      <c r="M16934" t="s">
        <v>17861</v>
      </c>
      <c r="N16934" t="str">
        <f>"5/13/2022 8:25:00 AM"</f>
        <v>5/13/2022 8:25:00 AM</v>
      </c>
      <c r="O16934" t="s">
        <v>51880</v>
      </c>
      <c r="T16934" t="s">
        <v>51881</v>
      </c>
    </row>
    <row r="16935" spans="1:20" x14ac:dyDescent="0.25">
      <c r="A16935" t="str">
        <f>"3038894"</f>
        <v>3038894</v>
      </c>
      <c r="B16935" t="s">
        <v>51883</v>
      </c>
      <c r="C16935" t="str">
        <f>"8317806"</f>
        <v>8317806</v>
      </c>
      <c r="D16935" t="s">
        <v>51884</v>
      </c>
      <c r="F16935" t="s">
        <v>51885</v>
      </c>
      <c r="I16935" t="s">
        <v>29</v>
      </c>
      <c r="J16935" t="s">
        <v>30</v>
      </c>
      <c r="K16935" t="s">
        <v>31886</v>
      </c>
      <c r="M16935" t="s">
        <v>17861</v>
      </c>
      <c r="N16935" t="str">
        <f>"5/13/2022 8:33:00 AM"</f>
        <v>5/13/2022 8:33:00 AM</v>
      </c>
      <c r="O16935" t="s">
        <v>51884</v>
      </c>
    </row>
    <row r="16936" spans="1:20" x14ac:dyDescent="0.25">
      <c r="A16936" t="str">
        <f>"3039066"</f>
        <v>3039066</v>
      </c>
      <c r="B16936" t="s">
        <v>51886</v>
      </c>
      <c r="C16936" t="str">
        <f>"8317858"</f>
        <v>8317858</v>
      </c>
      <c r="D16936" t="s">
        <v>51887</v>
      </c>
      <c r="E16936" t="s">
        <v>51888</v>
      </c>
      <c r="F16936" t="s">
        <v>51889</v>
      </c>
      <c r="I16936" t="s">
        <v>29</v>
      </c>
      <c r="J16936" t="s">
        <v>30</v>
      </c>
      <c r="K16936" t="s">
        <v>48196</v>
      </c>
      <c r="M16936" t="s">
        <v>17861</v>
      </c>
      <c r="N16936" t="str">
        <f>"5/20/2022 11:13:00 AM"</f>
        <v>5/20/2022 11:13:00 AM</v>
      </c>
      <c r="O16936" t="s">
        <v>51887</v>
      </c>
      <c r="T16936" t="s">
        <v>51888</v>
      </c>
    </row>
    <row r="16937" spans="1:20" x14ac:dyDescent="0.25">
      <c r="A16937" t="str">
        <f>"3045684"</f>
        <v>3045684</v>
      </c>
      <c r="B16937" t="s">
        <v>51890</v>
      </c>
      <c r="C16937" t="str">
        <f>"8317861"</f>
        <v>8317861</v>
      </c>
      <c r="D16937" t="s">
        <v>51891</v>
      </c>
      <c r="E16937" t="str">
        <f>"HONEYCUTT JOYCE H/ROGER D"</f>
        <v>HONEYCUTT JOYCE H/ROGER D</v>
      </c>
      <c r="F16937" t="s">
        <v>51892</v>
      </c>
      <c r="I16937" t="s">
        <v>29</v>
      </c>
      <c r="J16937" t="s">
        <v>30</v>
      </c>
      <c r="K16937" t="s">
        <v>47435</v>
      </c>
      <c r="M16937" t="s">
        <v>17861</v>
      </c>
      <c r="N16937" t="str">
        <f>"5/20/2022 1:17:00 PM"</f>
        <v>5/20/2022 1:17:00 PM</v>
      </c>
      <c r="O16937" t="s">
        <v>51891</v>
      </c>
      <c r="T16937" t="str">
        <f>"HONEYCUTT JOYCE H/ROGER D"</f>
        <v>HONEYCUTT JOYCE H/ROGER D</v>
      </c>
    </row>
    <row r="16938" spans="1:20" x14ac:dyDescent="0.25">
      <c r="A16938" t="str">
        <f>"3040982"</f>
        <v>3040982</v>
      </c>
      <c r="B16938" t="s">
        <v>51893</v>
      </c>
      <c r="C16938" t="str">
        <f>"8317862"</f>
        <v>8317862</v>
      </c>
      <c r="D16938" t="s">
        <v>51894</v>
      </c>
      <c r="E16938" t="s">
        <v>51895</v>
      </c>
      <c r="F16938" t="s">
        <v>51896</v>
      </c>
      <c r="I16938" t="s">
        <v>184</v>
      </c>
      <c r="J16938" t="s">
        <v>30</v>
      </c>
      <c r="K16938" t="s">
        <v>45773</v>
      </c>
      <c r="M16938" t="s">
        <v>17861</v>
      </c>
      <c r="N16938" t="str">
        <f>"5/20/2022 1:22:00 PM"</f>
        <v>5/20/2022 1:22:00 PM</v>
      </c>
      <c r="O16938" t="s">
        <v>51894</v>
      </c>
      <c r="T16938" t="s">
        <v>51895</v>
      </c>
    </row>
    <row r="16939" spans="1:20" x14ac:dyDescent="0.25">
      <c r="A16939" t="str">
        <f>"3054596"</f>
        <v>3054596</v>
      </c>
      <c r="B16939" t="s">
        <v>51897</v>
      </c>
      <c r="C16939" t="str">
        <f>"8317895"</f>
        <v>8317895</v>
      </c>
      <c r="D16939" t="s">
        <v>51898</v>
      </c>
      <c r="E16939" t="s">
        <v>51899</v>
      </c>
      <c r="F16939" t="s">
        <v>51900</v>
      </c>
      <c r="I16939" t="s">
        <v>29</v>
      </c>
      <c r="J16939" t="s">
        <v>30</v>
      </c>
      <c r="K16939" t="s">
        <v>37236</v>
      </c>
      <c r="M16939" t="s">
        <v>17861</v>
      </c>
      <c r="N16939" t="str">
        <f>"5/27/2022 10:08:00 AM"</f>
        <v>5/27/2022 10:08:00 AM</v>
      </c>
      <c r="O16939" t="s">
        <v>51898</v>
      </c>
      <c r="T16939" t="s">
        <v>51899</v>
      </c>
    </row>
    <row r="16940" spans="1:20" x14ac:dyDescent="0.25">
      <c r="A16940" t="str">
        <f>"3054597"</f>
        <v>3054597</v>
      </c>
      <c r="B16940" t="s">
        <v>51901</v>
      </c>
      <c r="C16940" t="str">
        <f>"8317895"</f>
        <v>8317895</v>
      </c>
      <c r="D16940" t="s">
        <v>51898</v>
      </c>
      <c r="E16940" t="s">
        <v>51899</v>
      </c>
      <c r="F16940" t="s">
        <v>51900</v>
      </c>
      <c r="I16940" t="s">
        <v>29</v>
      </c>
      <c r="J16940" t="s">
        <v>30</v>
      </c>
      <c r="K16940" t="s">
        <v>37236</v>
      </c>
      <c r="M16940" t="s">
        <v>17861</v>
      </c>
      <c r="N16940" t="str">
        <f>"5/27/2022 10:08:00 AM"</f>
        <v>5/27/2022 10:08:00 AM</v>
      </c>
      <c r="O16940" t="s">
        <v>51898</v>
      </c>
      <c r="T16940" t="s">
        <v>51899</v>
      </c>
    </row>
    <row r="16941" spans="1:20" x14ac:dyDescent="0.25">
      <c r="A16941" t="str">
        <f>"3040648"</f>
        <v>3040648</v>
      </c>
      <c r="B16941" t="s">
        <v>51902</v>
      </c>
      <c r="C16941" t="str">
        <f>"8317898"</f>
        <v>8317898</v>
      </c>
      <c r="D16941" t="s">
        <v>51903</v>
      </c>
      <c r="E16941" t="s">
        <v>51904</v>
      </c>
      <c r="F16941" t="s">
        <v>51905</v>
      </c>
      <c r="I16941" t="s">
        <v>184</v>
      </c>
      <c r="J16941" t="s">
        <v>30</v>
      </c>
      <c r="K16941" t="s">
        <v>3550</v>
      </c>
      <c r="M16941" t="s">
        <v>17861</v>
      </c>
      <c r="N16941" t="str">
        <f>"5/27/2022 10:21:00 AM"</f>
        <v>5/27/2022 10:21:00 AM</v>
      </c>
      <c r="O16941" t="s">
        <v>51903</v>
      </c>
      <c r="T16941" t="s">
        <v>51904</v>
      </c>
    </row>
    <row r="16942" spans="1:20" x14ac:dyDescent="0.25">
      <c r="A16942" t="str">
        <f>"3047428"</f>
        <v>3047428</v>
      </c>
      <c r="B16942" t="s">
        <v>51906</v>
      </c>
      <c r="C16942" t="str">
        <f>"8317899"</f>
        <v>8317899</v>
      </c>
      <c r="D16942" t="s">
        <v>51907</v>
      </c>
      <c r="E16942" t="s">
        <v>51908</v>
      </c>
      <c r="F16942" t="s">
        <v>51909</v>
      </c>
      <c r="I16942" t="s">
        <v>184</v>
      </c>
      <c r="J16942" t="s">
        <v>30</v>
      </c>
      <c r="K16942" t="s">
        <v>7438</v>
      </c>
      <c r="M16942" t="s">
        <v>17861</v>
      </c>
      <c r="N16942" t="str">
        <f>"5/27/2022 10:25:00 AM"</f>
        <v>5/27/2022 10:25:00 AM</v>
      </c>
      <c r="O16942" t="s">
        <v>51907</v>
      </c>
      <c r="T16942" t="s">
        <v>51908</v>
      </c>
    </row>
    <row r="16943" spans="1:20" x14ac:dyDescent="0.25">
      <c r="A16943" t="str">
        <f>"3044217"</f>
        <v>3044217</v>
      </c>
      <c r="B16943" t="s">
        <v>51910</v>
      </c>
      <c r="C16943" t="str">
        <f>"8317900"</f>
        <v>8317900</v>
      </c>
      <c r="D16943" t="s">
        <v>51911</v>
      </c>
      <c r="F16943" t="s">
        <v>51909</v>
      </c>
      <c r="I16943" t="s">
        <v>184</v>
      </c>
      <c r="J16943" t="s">
        <v>30</v>
      </c>
      <c r="K16943" t="s">
        <v>7438</v>
      </c>
      <c r="M16943" t="s">
        <v>17861</v>
      </c>
      <c r="N16943" t="str">
        <f>"5/27/2022 10:28:00 AM"</f>
        <v>5/27/2022 10:28:00 AM</v>
      </c>
      <c r="O16943" t="s">
        <v>51911</v>
      </c>
    </row>
    <row r="16944" spans="1:20" x14ac:dyDescent="0.25">
      <c r="A16944" t="str">
        <f>"3040919"</f>
        <v>3040919</v>
      </c>
      <c r="B16944" t="s">
        <v>51912</v>
      </c>
      <c r="C16944" t="str">
        <f>"8317901"</f>
        <v>8317901</v>
      </c>
      <c r="D16944" t="s">
        <v>51913</v>
      </c>
      <c r="E16944" t="s">
        <v>51908</v>
      </c>
      <c r="F16944" t="s">
        <v>51909</v>
      </c>
      <c r="I16944" t="s">
        <v>184</v>
      </c>
      <c r="J16944" t="s">
        <v>30</v>
      </c>
      <c r="K16944" t="s">
        <v>7438</v>
      </c>
      <c r="M16944" t="s">
        <v>17861</v>
      </c>
      <c r="N16944" t="str">
        <f>"5/27/2022 10:31:00 AM"</f>
        <v>5/27/2022 10:31:00 AM</v>
      </c>
      <c r="O16944" t="s">
        <v>51913</v>
      </c>
      <c r="T16944" t="s">
        <v>51908</v>
      </c>
    </row>
    <row r="16945" spans="1:20" x14ac:dyDescent="0.25">
      <c r="A16945" t="str">
        <f>"3058975"</f>
        <v>3058975</v>
      </c>
      <c r="B16945" t="s">
        <v>51914</v>
      </c>
      <c r="C16945" t="str">
        <f>"8317902"</f>
        <v>8317902</v>
      </c>
      <c r="D16945" t="s">
        <v>51915</v>
      </c>
      <c r="F16945" t="s">
        <v>51916</v>
      </c>
      <c r="I16945" t="s">
        <v>17921</v>
      </c>
      <c r="J16945" t="s">
        <v>30</v>
      </c>
      <c r="K16945" t="str">
        <f>"27028"</f>
        <v>27028</v>
      </c>
      <c r="M16945" t="s">
        <v>17861</v>
      </c>
      <c r="N16945" t="str">
        <f>"5/27/2022 1:10:00 PM"</f>
        <v>5/27/2022 1:10:00 PM</v>
      </c>
      <c r="O16945" t="s">
        <v>51915</v>
      </c>
    </row>
    <row r="16946" spans="1:20" x14ac:dyDescent="0.25">
      <c r="A16946" t="str">
        <f>"3068830"</f>
        <v>3068830</v>
      </c>
      <c r="B16946" t="s">
        <v>51917</v>
      </c>
      <c r="C16946" t="str">
        <f>"8317865"</f>
        <v>8317865</v>
      </c>
      <c r="D16946" t="s">
        <v>51918</v>
      </c>
      <c r="F16946" t="s">
        <v>51919</v>
      </c>
      <c r="I16946" t="s">
        <v>2071</v>
      </c>
      <c r="J16946" t="s">
        <v>30</v>
      </c>
      <c r="K16946" t="s">
        <v>3728</v>
      </c>
      <c r="M16946" t="s">
        <v>17861</v>
      </c>
      <c r="N16946" t="str">
        <f>"5/23/2022 9:08:00 AM"</f>
        <v>5/23/2022 9:08:00 AM</v>
      </c>
      <c r="O16946" t="s">
        <v>51918</v>
      </c>
    </row>
    <row r="16947" spans="1:20" x14ac:dyDescent="0.25">
      <c r="A16947" t="str">
        <f>"3044032"</f>
        <v>3044032</v>
      </c>
      <c r="B16947" t="s">
        <v>51920</v>
      </c>
      <c r="C16947" t="str">
        <f>"8303103"</f>
        <v>8303103</v>
      </c>
      <c r="D16947" t="s">
        <v>51810</v>
      </c>
      <c r="F16947" t="s">
        <v>51811</v>
      </c>
      <c r="I16947" t="s">
        <v>184</v>
      </c>
      <c r="J16947" t="s">
        <v>30</v>
      </c>
      <c r="K16947" t="s">
        <v>51812</v>
      </c>
      <c r="M16947" t="s">
        <v>18479</v>
      </c>
      <c r="N16947" t="str">
        <f>"5/23/2022 9:42:00 AM"</f>
        <v>5/23/2022 9:42:00 AM</v>
      </c>
      <c r="O16947" t="s">
        <v>51810</v>
      </c>
    </row>
    <row r="16948" spans="1:20" x14ac:dyDescent="0.25">
      <c r="A16948" t="str">
        <f>"3044381"</f>
        <v>3044381</v>
      </c>
      <c r="B16948" t="s">
        <v>51921</v>
      </c>
      <c r="C16948" t="str">
        <f>"8317873"</f>
        <v>8317873</v>
      </c>
      <c r="D16948" t="s">
        <v>51922</v>
      </c>
      <c r="E16948" t="s">
        <v>51923</v>
      </c>
      <c r="F16948" t="s">
        <v>51924</v>
      </c>
      <c r="I16948" t="s">
        <v>184</v>
      </c>
      <c r="J16948" t="s">
        <v>30</v>
      </c>
      <c r="K16948" t="s">
        <v>17962</v>
      </c>
      <c r="M16948" t="s">
        <v>17861</v>
      </c>
      <c r="N16948" t="str">
        <f>"5/24/2022 10:19:00 AM"</f>
        <v>5/24/2022 10:19:00 AM</v>
      </c>
      <c r="O16948" t="s">
        <v>51922</v>
      </c>
      <c r="T16948" t="s">
        <v>51923</v>
      </c>
    </row>
    <row r="16949" spans="1:20" x14ac:dyDescent="0.25">
      <c r="A16949" t="str">
        <f>"3050119"</f>
        <v>3050119</v>
      </c>
      <c r="B16949" t="s">
        <v>51925</v>
      </c>
      <c r="C16949" t="str">
        <f>"8317874"</f>
        <v>8317874</v>
      </c>
      <c r="D16949" t="s">
        <v>51926</v>
      </c>
      <c r="E16949" t="s">
        <v>40822</v>
      </c>
      <c r="F16949" t="s">
        <v>51927</v>
      </c>
      <c r="I16949" t="s">
        <v>29</v>
      </c>
      <c r="J16949" t="s">
        <v>30</v>
      </c>
      <c r="K16949" t="s">
        <v>39386</v>
      </c>
      <c r="M16949" t="s">
        <v>17861</v>
      </c>
      <c r="N16949" t="str">
        <f>"5/24/2022 1:00:00 PM"</f>
        <v>5/24/2022 1:00:00 PM</v>
      </c>
      <c r="O16949" t="s">
        <v>51926</v>
      </c>
      <c r="T16949" t="s">
        <v>40822</v>
      </c>
    </row>
    <row r="16950" spans="1:20" x14ac:dyDescent="0.25">
      <c r="A16950" t="str">
        <f>"3070842"</f>
        <v>3070842</v>
      </c>
      <c r="B16950" t="s">
        <v>51928</v>
      </c>
      <c r="C16950" t="str">
        <f>"8317875"</f>
        <v>8317875</v>
      </c>
      <c r="D16950" t="s">
        <v>51929</v>
      </c>
      <c r="E16950" t="s">
        <v>51930</v>
      </c>
      <c r="F16950" t="s">
        <v>51931</v>
      </c>
      <c r="I16950" t="s">
        <v>184</v>
      </c>
      <c r="J16950" t="s">
        <v>30</v>
      </c>
      <c r="K16950" t="s">
        <v>9200</v>
      </c>
      <c r="M16950" t="s">
        <v>17861</v>
      </c>
      <c r="N16950" t="str">
        <f>"5/24/2022 3:07:00 PM"</f>
        <v>5/24/2022 3:07:00 PM</v>
      </c>
      <c r="O16950" t="s">
        <v>51929</v>
      </c>
      <c r="T16950" t="s">
        <v>51930</v>
      </c>
    </row>
    <row r="16951" spans="1:20" x14ac:dyDescent="0.25">
      <c r="A16951" t="str">
        <f>"3053069"</f>
        <v>3053069</v>
      </c>
      <c r="B16951" t="s">
        <v>51932</v>
      </c>
      <c r="C16951" t="str">
        <f>"82530655"</f>
        <v>82530655</v>
      </c>
      <c r="D16951" t="s">
        <v>51933</v>
      </c>
      <c r="F16951" t="s">
        <v>51934</v>
      </c>
      <c r="I16951" t="s">
        <v>29</v>
      </c>
      <c r="J16951" t="s">
        <v>30</v>
      </c>
      <c r="K16951" t="s">
        <v>34021</v>
      </c>
      <c r="M16951" t="s">
        <v>25733</v>
      </c>
      <c r="N16951" t="str">
        <f>"5/25/2022 1:19:00 PM"</f>
        <v>5/25/2022 1:19:00 PM</v>
      </c>
      <c r="O16951" t="s">
        <v>51935</v>
      </c>
      <c r="T16951" t="s">
        <v>51933</v>
      </c>
    </row>
    <row r="16952" spans="1:20" x14ac:dyDescent="0.25">
      <c r="A16952" t="str">
        <f>"3058394"</f>
        <v>3058394</v>
      </c>
      <c r="B16952" t="s">
        <v>51936</v>
      </c>
      <c r="C16952" t="str">
        <f>"8317915"</f>
        <v>8317915</v>
      </c>
      <c r="D16952" t="s">
        <v>51937</v>
      </c>
      <c r="E16952" t="s">
        <v>51938</v>
      </c>
      <c r="F16952" t="s">
        <v>51939</v>
      </c>
      <c r="I16952" t="s">
        <v>184</v>
      </c>
      <c r="J16952" t="s">
        <v>30</v>
      </c>
      <c r="K16952" t="s">
        <v>34675</v>
      </c>
      <c r="M16952" t="s">
        <v>17861</v>
      </c>
      <c r="N16952" t="str">
        <f>"6/1/2022 9:15:00 AM"</f>
        <v>6/1/2022 9:15:00 AM</v>
      </c>
      <c r="O16952" t="s">
        <v>51937</v>
      </c>
      <c r="T16952" t="s">
        <v>51938</v>
      </c>
    </row>
    <row r="16953" spans="1:20" x14ac:dyDescent="0.25">
      <c r="A16953" t="str">
        <f>"3061478"</f>
        <v>3061478</v>
      </c>
      <c r="B16953" t="s">
        <v>51940</v>
      </c>
      <c r="C16953" t="str">
        <f>"8317876"</f>
        <v>8317876</v>
      </c>
      <c r="D16953" t="s">
        <v>51941</v>
      </c>
      <c r="F16953" t="s">
        <v>51942</v>
      </c>
      <c r="I16953" t="s">
        <v>184</v>
      </c>
      <c r="J16953" t="s">
        <v>30</v>
      </c>
      <c r="K16953" t="str">
        <f>"27006"</f>
        <v>27006</v>
      </c>
      <c r="M16953" t="s">
        <v>17861</v>
      </c>
      <c r="N16953" t="str">
        <f>"5/25/2022 1:46:00 PM"</f>
        <v>5/25/2022 1:46:00 PM</v>
      </c>
      <c r="O16953" t="s">
        <v>51941</v>
      </c>
    </row>
    <row r="16954" spans="1:20" x14ac:dyDescent="0.25">
      <c r="A16954" t="str">
        <f>"3078136"</f>
        <v>3078136</v>
      </c>
      <c r="B16954" t="s">
        <v>51943</v>
      </c>
      <c r="C16954" t="str">
        <f>"8317877"</f>
        <v>8317877</v>
      </c>
      <c r="D16954" t="s">
        <v>51944</v>
      </c>
      <c r="F16954" t="s">
        <v>51945</v>
      </c>
      <c r="I16954" t="s">
        <v>29</v>
      </c>
      <c r="J16954" t="s">
        <v>30</v>
      </c>
      <c r="K16954" t="s">
        <v>11159</v>
      </c>
      <c r="M16954" t="s">
        <v>17861</v>
      </c>
      <c r="N16954" t="str">
        <f>"5/25/2022 1:48:00 PM"</f>
        <v>5/25/2022 1:48:00 PM</v>
      </c>
      <c r="O16954" t="s">
        <v>51944</v>
      </c>
    </row>
    <row r="16955" spans="1:20" x14ac:dyDescent="0.25">
      <c r="A16955" t="str">
        <f>"3078391"</f>
        <v>3078391</v>
      </c>
      <c r="B16955" t="s">
        <v>51946</v>
      </c>
      <c r="C16955" t="str">
        <f>"8317878"</f>
        <v>8317878</v>
      </c>
      <c r="D16955" t="s">
        <v>51867</v>
      </c>
      <c r="F16955" t="s">
        <v>51868</v>
      </c>
      <c r="I16955" t="s">
        <v>29</v>
      </c>
      <c r="J16955" t="s">
        <v>30</v>
      </c>
      <c r="K16955" t="s">
        <v>51869</v>
      </c>
      <c r="M16955" t="s">
        <v>17861</v>
      </c>
      <c r="N16955" t="str">
        <f>"5/25/2022 1:53:00 PM"</f>
        <v>5/25/2022 1:53:00 PM</v>
      </c>
      <c r="O16955" t="s">
        <v>51867</v>
      </c>
    </row>
    <row r="16956" spans="1:20" x14ac:dyDescent="0.25">
      <c r="A16956" t="str">
        <f>"3059171"</f>
        <v>3059171</v>
      </c>
      <c r="B16956" t="s">
        <v>51947</v>
      </c>
      <c r="C16956" t="str">
        <f>"8310654"</f>
        <v>8310654</v>
      </c>
      <c r="D16956" t="s">
        <v>51948</v>
      </c>
      <c r="E16956" t="s">
        <v>51949</v>
      </c>
      <c r="F16956" t="s">
        <v>51950</v>
      </c>
      <c r="I16956" t="s">
        <v>29</v>
      </c>
      <c r="J16956" t="s">
        <v>30</v>
      </c>
      <c r="K16956" t="s">
        <v>51951</v>
      </c>
      <c r="M16956" t="s">
        <v>36935</v>
      </c>
      <c r="N16956" t="str">
        <f>"5/19/2022 11:54:00 AM"</f>
        <v>5/19/2022 11:54:00 AM</v>
      </c>
      <c r="O16956" t="s">
        <v>51948</v>
      </c>
      <c r="T16956" t="s">
        <v>51949</v>
      </c>
    </row>
    <row r="16957" spans="1:20" x14ac:dyDescent="0.25">
      <c r="A16957" t="str">
        <f>"3060432"</f>
        <v>3060432</v>
      </c>
      <c r="B16957" t="s">
        <v>51952</v>
      </c>
      <c r="C16957" t="str">
        <f>"8317851"</f>
        <v>8317851</v>
      </c>
      <c r="D16957" t="s">
        <v>51953</v>
      </c>
      <c r="F16957" t="s">
        <v>51954</v>
      </c>
      <c r="I16957" t="s">
        <v>2071</v>
      </c>
      <c r="J16957" t="s">
        <v>30</v>
      </c>
      <c r="K16957" t="s">
        <v>3728</v>
      </c>
      <c r="M16957" t="s">
        <v>17861</v>
      </c>
      <c r="N16957" t="str">
        <f>"5/19/2022 12:41:00 PM"</f>
        <v>5/19/2022 12:41:00 PM</v>
      </c>
      <c r="O16957" t="s">
        <v>51953</v>
      </c>
    </row>
    <row r="16958" spans="1:20" x14ac:dyDescent="0.25">
      <c r="A16958" t="str">
        <f>"3053960"</f>
        <v>3053960</v>
      </c>
      <c r="B16958" t="s">
        <v>51955</v>
      </c>
      <c r="C16958" t="str">
        <f>"8317853"</f>
        <v>8317853</v>
      </c>
      <c r="D16958" t="s">
        <v>51956</v>
      </c>
      <c r="F16958" t="s">
        <v>51957</v>
      </c>
      <c r="I16958" t="s">
        <v>29</v>
      </c>
      <c r="J16958" t="s">
        <v>30</v>
      </c>
      <c r="K16958" t="s">
        <v>13235</v>
      </c>
      <c r="M16958" t="s">
        <v>17861</v>
      </c>
      <c r="N16958" t="str">
        <f>"5/19/2022 3:02:00 PM"</f>
        <v>5/19/2022 3:02:00 PM</v>
      </c>
      <c r="O16958" t="s">
        <v>51956</v>
      </c>
    </row>
    <row r="16959" spans="1:20" x14ac:dyDescent="0.25">
      <c r="A16959" t="str">
        <f>"3059676"</f>
        <v>3059676</v>
      </c>
      <c r="B16959" t="s">
        <v>51958</v>
      </c>
      <c r="C16959" t="str">
        <f>"8317854"</f>
        <v>8317854</v>
      </c>
      <c r="D16959" t="s">
        <v>51959</v>
      </c>
      <c r="E16959" t="s">
        <v>51960</v>
      </c>
      <c r="F16959" t="s">
        <v>51961</v>
      </c>
      <c r="I16959" t="s">
        <v>29</v>
      </c>
      <c r="J16959" t="s">
        <v>30</v>
      </c>
      <c r="K16959" t="s">
        <v>35675</v>
      </c>
      <c r="M16959" t="s">
        <v>17861</v>
      </c>
      <c r="N16959" t="str">
        <f>"5/19/2022 3:15:00 PM"</f>
        <v>5/19/2022 3:15:00 PM</v>
      </c>
      <c r="O16959" t="s">
        <v>51959</v>
      </c>
      <c r="T16959" t="s">
        <v>51960</v>
      </c>
    </row>
    <row r="16960" spans="1:20" x14ac:dyDescent="0.25">
      <c r="A16960" t="str">
        <f>"3043878"</f>
        <v>3043878</v>
      </c>
      <c r="B16960" t="s">
        <v>51962</v>
      </c>
      <c r="C16960" t="str">
        <f>"12480000"</f>
        <v>12480000</v>
      </c>
      <c r="D16960" t="s">
        <v>51963</v>
      </c>
      <c r="F16960" t="s">
        <v>51964</v>
      </c>
      <c r="I16960" t="s">
        <v>184</v>
      </c>
      <c r="J16960" t="s">
        <v>30</v>
      </c>
      <c r="K16960" t="s">
        <v>8687</v>
      </c>
      <c r="M16960" t="s">
        <v>36935</v>
      </c>
      <c r="N16960" t="str">
        <f>"5/20/2022 9:00:00 AM"</f>
        <v>5/20/2022 9:00:00 AM</v>
      </c>
      <c r="O16960" t="s">
        <v>51963</v>
      </c>
    </row>
    <row r="16961" spans="1:20" x14ac:dyDescent="0.25">
      <c r="A16961" t="str">
        <f>"3043996"</f>
        <v>3043996</v>
      </c>
      <c r="B16961" t="s">
        <v>51965</v>
      </c>
      <c r="C16961" t="str">
        <f>"12480000"</f>
        <v>12480000</v>
      </c>
      <c r="D16961" t="s">
        <v>51963</v>
      </c>
      <c r="F16961" t="s">
        <v>51964</v>
      </c>
      <c r="I16961" t="s">
        <v>184</v>
      </c>
      <c r="J16961" t="s">
        <v>30</v>
      </c>
      <c r="K16961" t="s">
        <v>8687</v>
      </c>
      <c r="M16961" t="s">
        <v>36935</v>
      </c>
      <c r="N16961" t="str">
        <f>"5/20/2022 9:00:00 AM"</f>
        <v>5/20/2022 9:00:00 AM</v>
      </c>
      <c r="O16961" t="s">
        <v>51963</v>
      </c>
    </row>
    <row r="16962" spans="1:20" x14ac:dyDescent="0.25">
      <c r="A16962" t="str">
        <f>"3044099"</f>
        <v>3044099</v>
      </c>
      <c r="B16962" t="s">
        <v>51966</v>
      </c>
      <c r="C16962" t="str">
        <f>"12480000"</f>
        <v>12480000</v>
      </c>
      <c r="D16962" t="s">
        <v>51963</v>
      </c>
      <c r="F16962" t="s">
        <v>51964</v>
      </c>
      <c r="I16962" t="s">
        <v>184</v>
      </c>
      <c r="J16962" t="s">
        <v>30</v>
      </c>
      <c r="K16962" t="s">
        <v>8687</v>
      </c>
      <c r="M16962" t="s">
        <v>36935</v>
      </c>
      <c r="N16962" t="str">
        <f>"5/20/2022 9:00:00 AM"</f>
        <v>5/20/2022 9:00:00 AM</v>
      </c>
      <c r="O16962" t="s">
        <v>51963</v>
      </c>
    </row>
    <row r="16963" spans="1:20" x14ac:dyDescent="0.25">
      <c r="A16963" t="str">
        <f>"3060158"</f>
        <v>3060158</v>
      </c>
      <c r="B16963" t="s">
        <v>51967</v>
      </c>
      <c r="C16963" t="str">
        <f>"8317891"</f>
        <v>8317891</v>
      </c>
      <c r="D16963" t="s">
        <v>51968</v>
      </c>
      <c r="E16963" t="s">
        <v>51969</v>
      </c>
      <c r="F16963" t="s">
        <v>51970</v>
      </c>
      <c r="I16963" t="s">
        <v>184</v>
      </c>
      <c r="J16963" t="s">
        <v>30</v>
      </c>
      <c r="K16963" t="s">
        <v>47887</v>
      </c>
      <c r="M16963" t="s">
        <v>17861</v>
      </c>
      <c r="N16963" t="str">
        <f>"5/27/2022 8:45:00 AM"</f>
        <v>5/27/2022 8:45:00 AM</v>
      </c>
      <c r="O16963" t="s">
        <v>51968</v>
      </c>
      <c r="T16963" t="s">
        <v>51969</v>
      </c>
    </row>
    <row r="16964" spans="1:20" x14ac:dyDescent="0.25">
      <c r="A16964" t="str">
        <f>"3043761"</f>
        <v>3043761</v>
      </c>
      <c r="B16964" t="s">
        <v>51971</v>
      </c>
      <c r="C16964" t="str">
        <f>"8317929"</f>
        <v>8317929</v>
      </c>
      <c r="D16964" t="s">
        <v>51972</v>
      </c>
      <c r="F16964" t="s">
        <v>51973</v>
      </c>
      <c r="I16964" t="s">
        <v>29</v>
      </c>
      <c r="J16964" t="s">
        <v>30</v>
      </c>
      <c r="K16964" t="s">
        <v>51974</v>
      </c>
      <c r="M16964" t="s">
        <v>17861</v>
      </c>
      <c r="N16964" t="str">
        <f>"6/2/2022 3:40:00 PM"</f>
        <v>6/2/2022 3:40:00 PM</v>
      </c>
      <c r="O16964" t="s">
        <v>51972</v>
      </c>
    </row>
    <row r="16965" spans="1:20" x14ac:dyDescent="0.25">
      <c r="A16965" t="str">
        <f>"3044888"</f>
        <v>3044888</v>
      </c>
      <c r="B16965" t="s">
        <v>51975</v>
      </c>
      <c r="C16965" t="str">
        <f>"8317932"</f>
        <v>8317932</v>
      </c>
      <c r="D16965" t="s">
        <v>51976</v>
      </c>
      <c r="E16965" t="s">
        <v>51977</v>
      </c>
      <c r="F16965" t="s">
        <v>51978</v>
      </c>
      <c r="I16965" t="s">
        <v>2071</v>
      </c>
      <c r="J16965" t="s">
        <v>30</v>
      </c>
      <c r="K16965" t="s">
        <v>5724</v>
      </c>
      <c r="M16965" t="s">
        <v>17861</v>
      </c>
      <c r="N16965" t="str">
        <f>"6/2/2022 4:24:00 PM"</f>
        <v>6/2/2022 4:24:00 PM</v>
      </c>
      <c r="O16965" t="s">
        <v>51976</v>
      </c>
      <c r="T16965" t="s">
        <v>51977</v>
      </c>
    </row>
    <row r="16966" spans="1:20" x14ac:dyDescent="0.25">
      <c r="A16966" t="str">
        <f>"3052040"</f>
        <v>3052040</v>
      </c>
      <c r="B16966" t="s">
        <v>51979</v>
      </c>
      <c r="C16966" t="str">
        <f>"8317933"</f>
        <v>8317933</v>
      </c>
      <c r="D16966" t="s">
        <v>51980</v>
      </c>
      <c r="F16966" t="s">
        <v>51981</v>
      </c>
      <c r="I16966" t="s">
        <v>29</v>
      </c>
      <c r="J16966" t="s">
        <v>30</v>
      </c>
      <c r="K16966" t="s">
        <v>11257</v>
      </c>
      <c r="M16966" t="s">
        <v>17861</v>
      </c>
      <c r="N16966" t="str">
        <f>"6/3/2022 9:53:00 AM"</f>
        <v>6/3/2022 9:53:00 AM</v>
      </c>
      <c r="O16966" t="s">
        <v>51980</v>
      </c>
    </row>
    <row r="16967" spans="1:20" x14ac:dyDescent="0.25">
      <c r="A16967" t="str">
        <f>"3051868"</f>
        <v>3051868</v>
      </c>
      <c r="B16967" t="s">
        <v>51982</v>
      </c>
      <c r="C16967" t="str">
        <f>"8317934"</f>
        <v>8317934</v>
      </c>
      <c r="D16967" t="s">
        <v>51983</v>
      </c>
      <c r="F16967" t="s">
        <v>51981</v>
      </c>
      <c r="I16967" t="s">
        <v>29</v>
      </c>
      <c r="J16967" t="s">
        <v>30</v>
      </c>
      <c r="K16967" t="s">
        <v>11257</v>
      </c>
      <c r="M16967" t="s">
        <v>17861</v>
      </c>
      <c r="N16967" t="str">
        <f>"6/3/2022 9:56:00 AM"</f>
        <v>6/3/2022 9:56:00 AM</v>
      </c>
      <c r="O16967" t="s">
        <v>51983</v>
      </c>
    </row>
    <row r="16968" spans="1:20" x14ac:dyDescent="0.25">
      <c r="A16968" t="str">
        <f>"3051946"</f>
        <v>3051946</v>
      </c>
      <c r="B16968" t="s">
        <v>51984</v>
      </c>
      <c r="C16968" t="str">
        <f>"8317892"</f>
        <v>8317892</v>
      </c>
      <c r="D16968" t="s">
        <v>51985</v>
      </c>
      <c r="F16968" t="s">
        <v>51986</v>
      </c>
      <c r="I16968" t="s">
        <v>29</v>
      </c>
      <c r="J16968" t="s">
        <v>30</v>
      </c>
      <c r="K16968" t="s">
        <v>51987</v>
      </c>
      <c r="M16968" t="s">
        <v>17861</v>
      </c>
      <c r="N16968" t="str">
        <f>"5/27/2022 8:48:00 AM"</f>
        <v>5/27/2022 8:48:00 AM</v>
      </c>
      <c r="O16968" t="s">
        <v>51985</v>
      </c>
    </row>
    <row r="16969" spans="1:20" x14ac:dyDescent="0.25">
      <c r="A16969" t="str">
        <f>"3046244"</f>
        <v>3046244</v>
      </c>
      <c r="B16969" t="s">
        <v>51988</v>
      </c>
      <c r="C16969" t="str">
        <f>"8308087"</f>
        <v>8308087</v>
      </c>
      <c r="D16969" t="s">
        <v>51989</v>
      </c>
      <c r="E16969" t="s">
        <v>51990</v>
      </c>
      <c r="F16969" t="s">
        <v>51991</v>
      </c>
      <c r="I16969" t="s">
        <v>29</v>
      </c>
      <c r="J16969" t="s">
        <v>30</v>
      </c>
      <c r="K16969" t="s">
        <v>51992</v>
      </c>
      <c r="M16969" t="s">
        <v>18479</v>
      </c>
      <c r="N16969" t="str">
        <f>"5/27/2022 4:05:00 PM"</f>
        <v>5/27/2022 4:05:00 PM</v>
      </c>
      <c r="O16969" t="s">
        <v>51989</v>
      </c>
      <c r="T16969" t="s">
        <v>51990</v>
      </c>
    </row>
    <row r="16970" spans="1:20" x14ac:dyDescent="0.25">
      <c r="A16970" t="str">
        <f>"3045863"</f>
        <v>3045863</v>
      </c>
      <c r="B16970" t="s">
        <v>51993</v>
      </c>
      <c r="C16970" t="str">
        <f>"8308640"</f>
        <v>8308640</v>
      </c>
      <c r="D16970" t="s">
        <v>51994</v>
      </c>
      <c r="F16970" t="s">
        <v>51991</v>
      </c>
      <c r="I16970" t="s">
        <v>29</v>
      </c>
      <c r="J16970" t="s">
        <v>30</v>
      </c>
      <c r="K16970" t="s">
        <v>51992</v>
      </c>
      <c r="M16970" t="s">
        <v>18479</v>
      </c>
      <c r="N16970" t="str">
        <f>"5/27/2022 4:05:00 PM"</f>
        <v>5/27/2022 4:05:00 PM</v>
      </c>
      <c r="O16970" t="s">
        <v>51994</v>
      </c>
    </row>
    <row r="16971" spans="1:20" x14ac:dyDescent="0.25">
      <c r="A16971" t="str">
        <f>"3040587"</f>
        <v>3040587</v>
      </c>
      <c r="B16971" t="s">
        <v>51995</v>
      </c>
      <c r="C16971" t="str">
        <f>"8317906"</f>
        <v>8317906</v>
      </c>
      <c r="D16971" t="s">
        <v>51996</v>
      </c>
      <c r="E16971" t="s">
        <v>51997</v>
      </c>
      <c r="F16971" t="s">
        <v>51998</v>
      </c>
      <c r="I16971" t="s">
        <v>184</v>
      </c>
      <c r="J16971" t="s">
        <v>30</v>
      </c>
      <c r="K16971" t="s">
        <v>20128</v>
      </c>
      <c r="M16971" t="s">
        <v>17861</v>
      </c>
      <c r="N16971" t="str">
        <f>"5/31/2022 8:41:00 AM"</f>
        <v>5/31/2022 8:41:00 AM</v>
      </c>
      <c r="O16971" t="s">
        <v>51996</v>
      </c>
      <c r="T16971" t="s">
        <v>51997</v>
      </c>
    </row>
    <row r="16972" spans="1:20" x14ac:dyDescent="0.25">
      <c r="A16972" t="str">
        <f>"3040420"</f>
        <v>3040420</v>
      </c>
      <c r="B16972" t="s">
        <v>51999</v>
      </c>
      <c r="C16972" t="str">
        <f>"8317906"</f>
        <v>8317906</v>
      </c>
      <c r="D16972" t="s">
        <v>51996</v>
      </c>
      <c r="E16972" t="s">
        <v>51997</v>
      </c>
      <c r="F16972" t="s">
        <v>51998</v>
      </c>
      <c r="I16972" t="s">
        <v>184</v>
      </c>
      <c r="J16972" t="s">
        <v>30</v>
      </c>
      <c r="K16972" t="s">
        <v>20128</v>
      </c>
      <c r="M16972" t="s">
        <v>17861</v>
      </c>
      <c r="N16972" t="str">
        <f>"5/31/2022 8:41:00 AM"</f>
        <v>5/31/2022 8:41:00 AM</v>
      </c>
      <c r="O16972" t="s">
        <v>51996</v>
      </c>
      <c r="T16972" t="s">
        <v>51997</v>
      </c>
    </row>
    <row r="16973" spans="1:20" x14ac:dyDescent="0.25">
      <c r="A16973" t="str">
        <f>"3060959"</f>
        <v>3060959</v>
      </c>
      <c r="B16973" t="s">
        <v>52000</v>
      </c>
      <c r="C16973" t="str">
        <f>"8317911"</f>
        <v>8317911</v>
      </c>
      <c r="D16973" t="s">
        <v>52001</v>
      </c>
      <c r="E16973" t="s">
        <v>52002</v>
      </c>
      <c r="F16973" t="s">
        <v>52003</v>
      </c>
      <c r="I16973" t="s">
        <v>2071</v>
      </c>
      <c r="J16973" t="s">
        <v>30</v>
      </c>
      <c r="K16973" t="s">
        <v>32689</v>
      </c>
      <c r="M16973" t="s">
        <v>17861</v>
      </c>
      <c r="N16973" t="str">
        <f>"6/1/2022 8:34:00 AM"</f>
        <v>6/1/2022 8:34:00 AM</v>
      </c>
      <c r="O16973" t="s">
        <v>52001</v>
      </c>
      <c r="T16973" t="s">
        <v>52002</v>
      </c>
    </row>
    <row r="16974" spans="1:20" x14ac:dyDescent="0.25">
      <c r="A16974" t="str">
        <f>"3056127"</f>
        <v>3056127</v>
      </c>
      <c r="B16974" t="s">
        <v>52004</v>
      </c>
      <c r="C16974" t="str">
        <f>"8317913"</f>
        <v>8317913</v>
      </c>
      <c r="D16974" t="s">
        <v>52005</v>
      </c>
      <c r="E16974" t="s">
        <v>52006</v>
      </c>
      <c r="F16974" t="s">
        <v>52007</v>
      </c>
      <c r="I16974" t="s">
        <v>52008</v>
      </c>
      <c r="J16974" t="s">
        <v>17511</v>
      </c>
      <c r="K16974" t="str">
        <f>"86004"</f>
        <v>86004</v>
      </c>
      <c r="M16974" t="s">
        <v>17861</v>
      </c>
      <c r="N16974" t="str">
        <f>"6/1/2022 8:50:00 AM"</f>
        <v>6/1/2022 8:50:00 AM</v>
      </c>
      <c r="O16974" t="s">
        <v>52005</v>
      </c>
      <c r="T16974" t="s">
        <v>52006</v>
      </c>
    </row>
    <row r="16975" spans="1:20" x14ac:dyDescent="0.25">
      <c r="A16975" t="str">
        <f>"3045425"</f>
        <v>3045425</v>
      </c>
      <c r="B16975" t="s">
        <v>52009</v>
      </c>
      <c r="C16975" t="str">
        <f>"80537785"</f>
        <v>80537785</v>
      </c>
      <c r="D16975" t="s">
        <v>52010</v>
      </c>
      <c r="E16975" t="s">
        <v>52011</v>
      </c>
      <c r="F16975" t="s">
        <v>52012</v>
      </c>
      <c r="I16975" t="s">
        <v>29</v>
      </c>
      <c r="J16975" t="s">
        <v>30</v>
      </c>
      <c r="K16975" t="s">
        <v>31</v>
      </c>
      <c r="M16975" t="s">
        <v>50793</v>
      </c>
      <c r="N16975" t="str">
        <f>"6/2/2022 9:48:00 AM"</f>
        <v>6/2/2022 9:48:00 AM</v>
      </c>
      <c r="O16975" t="s">
        <v>52010</v>
      </c>
      <c r="T16975" t="s">
        <v>52011</v>
      </c>
    </row>
    <row r="16976" spans="1:20" x14ac:dyDescent="0.25">
      <c r="A16976" t="str">
        <f>"3062815"</f>
        <v>3062815</v>
      </c>
      <c r="B16976" t="s">
        <v>52013</v>
      </c>
      <c r="C16976" t="str">
        <f>"8317995"</f>
        <v>8317995</v>
      </c>
      <c r="D16976" t="s">
        <v>52014</v>
      </c>
      <c r="E16976" t="s">
        <v>52015</v>
      </c>
      <c r="F16976" t="s">
        <v>52016</v>
      </c>
      <c r="I16976" t="s">
        <v>29</v>
      </c>
      <c r="J16976" t="s">
        <v>30</v>
      </c>
      <c r="K16976" t="s">
        <v>13437</v>
      </c>
      <c r="M16976" t="s">
        <v>17861</v>
      </c>
      <c r="N16976" t="str">
        <f>"6/7/2022 10:44:00 AM"</f>
        <v>6/7/2022 10:44:00 AM</v>
      </c>
      <c r="O16976" t="s">
        <v>52014</v>
      </c>
      <c r="T16976" t="s">
        <v>52015</v>
      </c>
    </row>
    <row r="16977" spans="1:20" x14ac:dyDescent="0.25">
      <c r="A16977" t="str">
        <f>"3041856"</f>
        <v>3041856</v>
      </c>
      <c r="B16977" t="s">
        <v>52017</v>
      </c>
      <c r="C16977" t="str">
        <f>"8317881"</f>
        <v>8317881</v>
      </c>
      <c r="D16977" t="s">
        <v>52018</v>
      </c>
      <c r="E16977" t="s">
        <v>52019</v>
      </c>
      <c r="F16977" t="s">
        <v>52020</v>
      </c>
      <c r="I16977" t="s">
        <v>2071</v>
      </c>
      <c r="J16977" t="s">
        <v>30</v>
      </c>
      <c r="K16977" t="s">
        <v>52021</v>
      </c>
      <c r="M16977" t="s">
        <v>17861</v>
      </c>
      <c r="N16977" t="str">
        <f>"5/26/2022 9:43:00 AM"</f>
        <v>5/26/2022 9:43:00 AM</v>
      </c>
      <c r="O16977" t="s">
        <v>52018</v>
      </c>
      <c r="T16977" t="s">
        <v>52019</v>
      </c>
    </row>
    <row r="16978" spans="1:20" x14ac:dyDescent="0.25">
      <c r="A16978" t="str">
        <f>"3057893"</f>
        <v>3057893</v>
      </c>
      <c r="B16978" t="s">
        <v>52022</v>
      </c>
      <c r="C16978" t="str">
        <f>"8317999"</f>
        <v>8317999</v>
      </c>
      <c r="D16978" t="s">
        <v>52023</v>
      </c>
      <c r="E16978" t="s">
        <v>52024</v>
      </c>
      <c r="F16978" t="s">
        <v>52025</v>
      </c>
      <c r="I16978" t="s">
        <v>184</v>
      </c>
      <c r="J16978" t="s">
        <v>30</v>
      </c>
      <c r="K16978" t="s">
        <v>44648</v>
      </c>
      <c r="M16978" t="s">
        <v>17861</v>
      </c>
      <c r="N16978" t="str">
        <f>"6/7/2022 10:56:00 AM"</f>
        <v>6/7/2022 10:56:00 AM</v>
      </c>
      <c r="O16978" t="s">
        <v>52023</v>
      </c>
      <c r="T16978" t="s">
        <v>52024</v>
      </c>
    </row>
    <row r="16979" spans="1:20" x14ac:dyDescent="0.25">
      <c r="A16979" t="str">
        <f>"3061589"</f>
        <v>3061589</v>
      </c>
      <c r="B16979" t="s">
        <v>52026</v>
      </c>
      <c r="C16979" t="str">
        <f>"8318001"</f>
        <v>8318001</v>
      </c>
      <c r="D16979" t="s">
        <v>52027</v>
      </c>
      <c r="E16979" t="s">
        <v>52028</v>
      </c>
      <c r="F16979" t="s">
        <v>52029</v>
      </c>
      <c r="I16979" t="s">
        <v>29</v>
      </c>
      <c r="J16979" t="s">
        <v>30</v>
      </c>
      <c r="K16979" t="s">
        <v>19108</v>
      </c>
      <c r="M16979" t="s">
        <v>17861</v>
      </c>
      <c r="N16979" t="str">
        <f>"6/7/2022 11:17:00 AM"</f>
        <v>6/7/2022 11:17:00 AM</v>
      </c>
      <c r="O16979" t="s">
        <v>52027</v>
      </c>
      <c r="T16979" t="s">
        <v>52028</v>
      </c>
    </row>
    <row r="16980" spans="1:20" x14ac:dyDescent="0.25">
      <c r="A16980" t="str">
        <f>"3062567"</f>
        <v>3062567</v>
      </c>
      <c r="B16980" t="s">
        <v>52030</v>
      </c>
      <c r="C16980" t="str">
        <f>"8318003"</f>
        <v>8318003</v>
      </c>
      <c r="D16980" t="s">
        <v>52031</v>
      </c>
      <c r="E16980" t="s">
        <v>52032</v>
      </c>
      <c r="F16980" t="s">
        <v>52033</v>
      </c>
      <c r="I16980" t="s">
        <v>184</v>
      </c>
      <c r="J16980" t="s">
        <v>30</v>
      </c>
      <c r="K16980" t="s">
        <v>5349</v>
      </c>
      <c r="M16980" t="s">
        <v>17861</v>
      </c>
      <c r="N16980" t="str">
        <f>"6/7/2022 4:07:00 PM"</f>
        <v>6/7/2022 4:07:00 PM</v>
      </c>
      <c r="O16980" t="s">
        <v>52031</v>
      </c>
      <c r="T16980" t="s">
        <v>52032</v>
      </c>
    </row>
    <row r="16981" spans="1:20" x14ac:dyDescent="0.25">
      <c r="A16981" t="str">
        <f>"3049802"</f>
        <v>3049802</v>
      </c>
      <c r="B16981" t="s">
        <v>52034</v>
      </c>
      <c r="C16981" t="str">
        <f>"8318004"</f>
        <v>8318004</v>
      </c>
      <c r="D16981" t="s">
        <v>52035</v>
      </c>
      <c r="F16981" t="s">
        <v>52036</v>
      </c>
      <c r="I16981" t="s">
        <v>3196</v>
      </c>
      <c r="J16981" t="s">
        <v>30</v>
      </c>
      <c r="K16981" t="s">
        <v>52037</v>
      </c>
      <c r="M16981" t="s">
        <v>17861</v>
      </c>
      <c r="N16981" t="str">
        <f>"6/8/2022 10:03:00 AM"</f>
        <v>6/8/2022 10:03:00 AM</v>
      </c>
      <c r="O16981" t="s">
        <v>52035</v>
      </c>
    </row>
    <row r="16982" spans="1:20" x14ac:dyDescent="0.25">
      <c r="A16982" t="str">
        <f>"3058181"</f>
        <v>3058181</v>
      </c>
      <c r="B16982" t="s">
        <v>52038</v>
      </c>
      <c r="C16982" t="str">
        <f>"8317884"</f>
        <v>8317884</v>
      </c>
      <c r="D16982" t="s">
        <v>52039</v>
      </c>
      <c r="E16982" t="s">
        <v>52040</v>
      </c>
      <c r="F16982" t="s">
        <v>52041</v>
      </c>
      <c r="I16982" t="s">
        <v>29</v>
      </c>
      <c r="J16982" t="s">
        <v>30</v>
      </c>
      <c r="K16982" t="s">
        <v>52042</v>
      </c>
      <c r="M16982" t="s">
        <v>17861</v>
      </c>
      <c r="N16982" t="str">
        <f>"5/26/2022 10:55:00 AM"</f>
        <v>5/26/2022 10:55:00 AM</v>
      </c>
      <c r="O16982" t="s">
        <v>52039</v>
      </c>
      <c r="T16982" t="s">
        <v>52040</v>
      </c>
    </row>
    <row r="16983" spans="1:20" x14ac:dyDescent="0.25">
      <c r="A16983" t="str">
        <f>"3042837"</f>
        <v>3042837</v>
      </c>
      <c r="B16983" t="s">
        <v>52043</v>
      </c>
      <c r="C16983" t="str">
        <f>"8318006"</f>
        <v>8318006</v>
      </c>
      <c r="D16983" t="s">
        <v>52044</v>
      </c>
      <c r="F16983" t="s">
        <v>52045</v>
      </c>
      <c r="I16983" t="s">
        <v>29</v>
      </c>
      <c r="J16983" t="s">
        <v>30</v>
      </c>
      <c r="K16983" t="s">
        <v>41568</v>
      </c>
      <c r="M16983" t="s">
        <v>17861</v>
      </c>
      <c r="N16983" t="str">
        <f>"6/8/2022 10:11:00 AM"</f>
        <v>6/8/2022 10:11:00 AM</v>
      </c>
      <c r="O16983" t="s">
        <v>52044</v>
      </c>
    </row>
    <row r="16984" spans="1:20" x14ac:dyDescent="0.25">
      <c r="A16984" t="str">
        <f>"3061021"</f>
        <v>3061021</v>
      </c>
      <c r="B16984" t="s">
        <v>52046</v>
      </c>
      <c r="C16984" t="str">
        <f>"8318008"</f>
        <v>8318008</v>
      </c>
      <c r="D16984" t="str">
        <f>"JOHNSON NEAL E/JOYCE M TRUSTEES"</f>
        <v>JOHNSON NEAL E/JOYCE M TRUSTEES</v>
      </c>
      <c r="E16984" t="s">
        <v>52047</v>
      </c>
      <c r="F16984" t="s">
        <v>52048</v>
      </c>
      <c r="I16984" t="s">
        <v>2071</v>
      </c>
      <c r="J16984" t="s">
        <v>30</v>
      </c>
      <c r="K16984" t="s">
        <v>38843</v>
      </c>
      <c r="M16984" t="s">
        <v>17861</v>
      </c>
      <c r="N16984" t="str">
        <f>"6/8/2022 10:23:00 AM"</f>
        <v>6/8/2022 10:23:00 AM</v>
      </c>
      <c r="O16984" t="str">
        <f>"JOHNSON NEAL E/JOYCE M TRUSTEES"</f>
        <v>JOHNSON NEAL E/JOYCE M TRUSTEES</v>
      </c>
      <c r="T16984" t="s">
        <v>52047</v>
      </c>
    </row>
    <row r="16985" spans="1:20" x14ac:dyDescent="0.25">
      <c r="A16985" t="str">
        <f>"3059807"</f>
        <v>3059807</v>
      </c>
      <c r="B16985" t="s">
        <v>52049</v>
      </c>
      <c r="C16985" t="str">
        <f>"8317756"</f>
        <v>8317756</v>
      </c>
      <c r="D16985" t="s">
        <v>52050</v>
      </c>
      <c r="E16985" t="s">
        <v>50763</v>
      </c>
      <c r="F16985" t="s">
        <v>52051</v>
      </c>
      <c r="I16985" t="s">
        <v>29</v>
      </c>
      <c r="J16985" t="s">
        <v>30</v>
      </c>
      <c r="K16985" t="s">
        <v>15867</v>
      </c>
      <c r="M16985" t="s">
        <v>17861</v>
      </c>
      <c r="N16985" t="str">
        <f>"6/9/2022 11:11:00 AM"</f>
        <v>6/9/2022 11:11:00 AM</v>
      </c>
      <c r="O16985" t="s">
        <v>52050</v>
      </c>
      <c r="T16985" t="s">
        <v>50763</v>
      </c>
    </row>
    <row r="16986" spans="1:20" x14ac:dyDescent="0.25">
      <c r="A16986" t="str">
        <f>"3044986"</f>
        <v>3044986</v>
      </c>
      <c r="B16986" t="s">
        <v>52052</v>
      </c>
      <c r="C16986" t="str">
        <f>"8301796"</f>
        <v>8301796</v>
      </c>
      <c r="D16986" t="s">
        <v>52053</v>
      </c>
      <c r="E16986" t="s">
        <v>52054</v>
      </c>
      <c r="F16986" t="s">
        <v>52055</v>
      </c>
      <c r="I16986" t="s">
        <v>29</v>
      </c>
      <c r="J16986" t="s">
        <v>30</v>
      </c>
      <c r="K16986" t="str">
        <f>"27028"</f>
        <v>27028</v>
      </c>
      <c r="M16986" t="s">
        <v>50621</v>
      </c>
      <c r="N16986" t="str">
        <f>"6/9/2022 3:05:00 PM"</f>
        <v>6/9/2022 3:05:00 PM</v>
      </c>
      <c r="O16986" t="s">
        <v>52053</v>
      </c>
      <c r="T16986" t="s">
        <v>52054</v>
      </c>
    </row>
    <row r="16987" spans="1:20" x14ac:dyDescent="0.25">
      <c r="A16987" t="str">
        <f>"3078157"</f>
        <v>3078157</v>
      </c>
      <c r="B16987" t="s">
        <v>52056</v>
      </c>
      <c r="C16987" t="str">
        <f>"8317884"</f>
        <v>8317884</v>
      </c>
      <c r="D16987" t="s">
        <v>52039</v>
      </c>
      <c r="E16987" t="s">
        <v>52040</v>
      </c>
      <c r="F16987" t="s">
        <v>52041</v>
      </c>
      <c r="I16987" t="s">
        <v>29</v>
      </c>
      <c r="J16987" t="s">
        <v>30</v>
      </c>
      <c r="K16987" t="s">
        <v>52042</v>
      </c>
      <c r="M16987" t="s">
        <v>17861</v>
      </c>
      <c r="N16987" t="str">
        <f>"5/26/2022 10:55:00 AM"</f>
        <v>5/26/2022 10:55:00 AM</v>
      </c>
      <c r="O16987" t="s">
        <v>52039</v>
      </c>
      <c r="T16987" t="s">
        <v>52040</v>
      </c>
    </row>
    <row r="16988" spans="1:20" x14ac:dyDescent="0.25">
      <c r="A16988" t="str">
        <f>"3068825"</f>
        <v>3068825</v>
      </c>
      <c r="B16988" t="s">
        <v>52057</v>
      </c>
      <c r="C16988" t="str">
        <f>"8317884"</f>
        <v>8317884</v>
      </c>
      <c r="D16988" t="s">
        <v>52039</v>
      </c>
      <c r="E16988" t="s">
        <v>52040</v>
      </c>
      <c r="F16988" t="s">
        <v>52041</v>
      </c>
      <c r="I16988" t="s">
        <v>29</v>
      </c>
      <c r="J16988" t="s">
        <v>30</v>
      </c>
      <c r="K16988" t="s">
        <v>52042</v>
      </c>
      <c r="M16988" t="s">
        <v>17861</v>
      </c>
      <c r="N16988" t="str">
        <f>"5/26/2022 10:55:00 AM"</f>
        <v>5/26/2022 10:55:00 AM</v>
      </c>
      <c r="O16988" t="s">
        <v>52039</v>
      </c>
      <c r="T16988" t="s">
        <v>52040</v>
      </c>
    </row>
    <row r="16989" spans="1:20" x14ac:dyDescent="0.25">
      <c r="A16989" t="str">
        <f>"3041516"</f>
        <v>3041516</v>
      </c>
      <c r="B16989" t="s">
        <v>52058</v>
      </c>
      <c r="C16989" t="str">
        <f>"8317887"</f>
        <v>8317887</v>
      </c>
      <c r="D16989" t="s">
        <v>52059</v>
      </c>
      <c r="E16989" t="s">
        <v>52060</v>
      </c>
      <c r="F16989" t="s">
        <v>52061</v>
      </c>
      <c r="I16989" t="s">
        <v>2071</v>
      </c>
      <c r="J16989" t="s">
        <v>30</v>
      </c>
      <c r="K16989" t="s">
        <v>39936</v>
      </c>
      <c r="M16989" t="s">
        <v>17861</v>
      </c>
      <c r="N16989" t="str">
        <f>"5/26/2022 12:42:00 PM"</f>
        <v>5/26/2022 12:42:00 PM</v>
      </c>
      <c r="O16989" t="s">
        <v>52059</v>
      </c>
      <c r="T16989" t="s">
        <v>52060</v>
      </c>
    </row>
    <row r="16990" spans="1:20" x14ac:dyDescent="0.25">
      <c r="A16990" t="str">
        <f>"3058299"</f>
        <v>3058299</v>
      </c>
      <c r="B16990" t="s">
        <v>52062</v>
      </c>
      <c r="C16990" t="str">
        <f>"8317888"</f>
        <v>8317888</v>
      </c>
      <c r="D16990" t="s">
        <v>52063</v>
      </c>
      <c r="F16990" t="s">
        <v>52064</v>
      </c>
      <c r="I16990" t="s">
        <v>29</v>
      </c>
      <c r="J16990" t="s">
        <v>30</v>
      </c>
      <c r="K16990" t="str">
        <f>"27028"</f>
        <v>27028</v>
      </c>
      <c r="M16990" t="s">
        <v>17861</v>
      </c>
      <c r="N16990" t="str">
        <f>"5/26/2022 12:45:00 PM"</f>
        <v>5/26/2022 12:45:00 PM</v>
      </c>
      <c r="O16990" t="s">
        <v>52063</v>
      </c>
    </row>
    <row r="16991" spans="1:20" x14ac:dyDescent="0.25">
      <c r="A16991" t="str">
        <f>"3045924"</f>
        <v>3045924</v>
      </c>
      <c r="B16991" t="s">
        <v>52065</v>
      </c>
      <c r="C16991" t="str">
        <f>"8317936"</f>
        <v>8317936</v>
      </c>
      <c r="D16991" t="s">
        <v>52066</v>
      </c>
      <c r="F16991" t="s">
        <v>52067</v>
      </c>
      <c r="I16991" t="s">
        <v>52068</v>
      </c>
      <c r="J16991" t="s">
        <v>40530</v>
      </c>
      <c r="K16991" t="s">
        <v>52069</v>
      </c>
      <c r="M16991" t="s">
        <v>17861</v>
      </c>
      <c r="N16991" t="str">
        <f>"6/3/2022 11:00:00 AM"</f>
        <v>6/3/2022 11:00:00 AM</v>
      </c>
      <c r="O16991" t="s">
        <v>52066</v>
      </c>
    </row>
    <row r="16992" spans="1:20" x14ac:dyDescent="0.25">
      <c r="A16992" t="str">
        <f>"3047508"</f>
        <v>3047508</v>
      </c>
      <c r="B16992" t="s">
        <v>52070</v>
      </c>
      <c r="C16992" t="str">
        <f>"8317937"</f>
        <v>8317937</v>
      </c>
      <c r="D16992" t="s">
        <v>52071</v>
      </c>
      <c r="E16992" t="s">
        <v>52072</v>
      </c>
      <c r="F16992" t="s">
        <v>44093</v>
      </c>
      <c r="I16992" t="s">
        <v>184</v>
      </c>
      <c r="J16992" t="s">
        <v>30</v>
      </c>
      <c r="K16992" t="s">
        <v>34978</v>
      </c>
      <c r="M16992" t="s">
        <v>17861</v>
      </c>
      <c r="N16992" t="str">
        <f>"6/3/2022 1:12:00 PM"</f>
        <v>6/3/2022 1:12:00 PM</v>
      </c>
      <c r="O16992" t="s">
        <v>52071</v>
      </c>
      <c r="T16992" t="s">
        <v>52072</v>
      </c>
    </row>
    <row r="16993" spans="1:20" x14ac:dyDescent="0.25">
      <c r="A16993" t="str">
        <f>"3059249"</f>
        <v>3059249</v>
      </c>
      <c r="B16993" t="s">
        <v>52073</v>
      </c>
      <c r="C16993" t="str">
        <f>"8317965"</f>
        <v>8317965</v>
      </c>
      <c r="D16993" t="s">
        <v>52074</v>
      </c>
      <c r="E16993" t="s">
        <v>52075</v>
      </c>
      <c r="F16993" t="s">
        <v>52076</v>
      </c>
      <c r="I16993" t="s">
        <v>29</v>
      </c>
      <c r="J16993" t="s">
        <v>30</v>
      </c>
      <c r="K16993" t="s">
        <v>39075</v>
      </c>
      <c r="M16993" t="s">
        <v>17861</v>
      </c>
      <c r="N16993" t="str">
        <f>"6/6/2022 8:58:00 AM"</f>
        <v>6/6/2022 8:58:00 AM</v>
      </c>
      <c r="O16993" t="s">
        <v>52074</v>
      </c>
      <c r="T16993" t="s">
        <v>52075</v>
      </c>
    </row>
    <row r="16994" spans="1:20" x14ac:dyDescent="0.25">
      <c r="A16994" t="str">
        <f>"3061361"</f>
        <v>3061361</v>
      </c>
      <c r="B16994" t="s">
        <v>52077</v>
      </c>
      <c r="C16994" t="str">
        <f>"8317967"</f>
        <v>8317967</v>
      </c>
      <c r="D16994" t="s">
        <v>52078</v>
      </c>
      <c r="F16994" t="s">
        <v>52079</v>
      </c>
      <c r="I16994" t="s">
        <v>471</v>
      </c>
      <c r="J16994" t="s">
        <v>30</v>
      </c>
      <c r="K16994" t="s">
        <v>52080</v>
      </c>
      <c r="M16994" t="s">
        <v>17861</v>
      </c>
      <c r="N16994" t="str">
        <f>"6/6/2022 9:02:00 AM"</f>
        <v>6/6/2022 9:02:00 AM</v>
      </c>
      <c r="O16994" t="s">
        <v>52078</v>
      </c>
    </row>
    <row r="16995" spans="1:20" x14ac:dyDescent="0.25">
      <c r="A16995" t="str">
        <f>"3059692"</f>
        <v>3059692</v>
      </c>
      <c r="B16995" t="s">
        <v>52081</v>
      </c>
      <c r="C16995" t="str">
        <f>"8317989"</f>
        <v>8317989</v>
      </c>
      <c r="D16995" t="s">
        <v>52082</v>
      </c>
      <c r="F16995" t="s">
        <v>52083</v>
      </c>
      <c r="I16995" t="s">
        <v>29</v>
      </c>
      <c r="J16995" t="s">
        <v>30</v>
      </c>
      <c r="K16995" t="s">
        <v>52084</v>
      </c>
      <c r="M16995" t="s">
        <v>17861</v>
      </c>
      <c r="N16995" t="str">
        <f>"6/7/2022 9:30:00 AM"</f>
        <v>6/7/2022 9:30:00 AM</v>
      </c>
      <c r="O16995" t="s">
        <v>52082</v>
      </c>
    </row>
    <row r="16996" spans="1:20" x14ac:dyDescent="0.25">
      <c r="A16996" t="str">
        <f>"3047002"</f>
        <v>3047002</v>
      </c>
      <c r="B16996" t="s">
        <v>52085</v>
      </c>
      <c r="C16996" t="str">
        <f>"34932000"</f>
        <v>34932000</v>
      </c>
      <c r="D16996" t="s">
        <v>52086</v>
      </c>
      <c r="E16996" t="s">
        <v>52087</v>
      </c>
      <c r="F16996" t="s">
        <v>52088</v>
      </c>
      <c r="G16996" t="s">
        <v>52089</v>
      </c>
      <c r="I16996" t="s">
        <v>8536</v>
      </c>
      <c r="J16996" t="s">
        <v>30</v>
      </c>
      <c r="K16996" t="str">
        <f>"27262"</f>
        <v>27262</v>
      </c>
      <c r="M16996" t="s">
        <v>36935</v>
      </c>
      <c r="N16996" t="str">
        <f>"6/14/2022 11:08:00 AM"</f>
        <v>6/14/2022 11:08:00 AM</v>
      </c>
      <c r="O16996" t="s">
        <v>52086</v>
      </c>
      <c r="T16996" t="s">
        <v>52087</v>
      </c>
    </row>
    <row r="16997" spans="1:20" x14ac:dyDescent="0.25">
      <c r="A16997" t="str">
        <f>"3051353"</f>
        <v>3051353</v>
      </c>
      <c r="B16997" t="s">
        <v>52090</v>
      </c>
      <c r="C16997" t="str">
        <f>"8308068"</f>
        <v>8308068</v>
      </c>
      <c r="D16997" t="s">
        <v>52091</v>
      </c>
      <c r="E16997" t="s">
        <v>52092</v>
      </c>
      <c r="F16997" t="s">
        <v>52093</v>
      </c>
      <c r="I16997" t="s">
        <v>29</v>
      </c>
      <c r="J16997" t="s">
        <v>30</v>
      </c>
      <c r="K16997" t="str">
        <f>"27028"</f>
        <v>27028</v>
      </c>
      <c r="M16997" t="s">
        <v>36935</v>
      </c>
      <c r="N16997" t="str">
        <f>"6/14/2022 11:14:00 AM"</f>
        <v>6/14/2022 11:14:00 AM</v>
      </c>
      <c r="O16997" t="s">
        <v>52091</v>
      </c>
      <c r="T16997" t="s">
        <v>52092</v>
      </c>
    </row>
    <row r="16998" spans="1:20" x14ac:dyDescent="0.25">
      <c r="A16998" t="str">
        <f>"3059986"</f>
        <v>3059986</v>
      </c>
      <c r="B16998" t="s">
        <v>52094</v>
      </c>
      <c r="C16998" t="str">
        <f>"57294000"</f>
        <v>57294000</v>
      </c>
      <c r="D16998" t="s">
        <v>52095</v>
      </c>
      <c r="F16998" t="s">
        <v>52096</v>
      </c>
      <c r="I16998" t="s">
        <v>184</v>
      </c>
      <c r="J16998" t="s">
        <v>30</v>
      </c>
      <c r="K16998" t="s">
        <v>185</v>
      </c>
      <c r="M16998" t="s">
        <v>36935</v>
      </c>
      <c r="N16998" t="str">
        <f>"6/14/2022 11:16:00 AM"</f>
        <v>6/14/2022 11:16:00 AM</v>
      </c>
      <c r="O16998" t="s">
        <v>52095</v>
      </c>
    </row>
    <row r="16999" spans="1:20" x14ac:dyDescent="0.25">
      <c r="A16999" t="str">
        <f>"3042689"</f>
        <v>3042689</v>
      </c>
      <c r="B16999" t="s">
        <v>52097</v>
      </c>
      <c r="C16999" t="str">
        <f>"8306099"</f>
        <v>8306099</v>
      </c>
      <c r="D16999" t="s">
        <v>52098</v>
      </c>
      <c r="F16999" t="s">
        <v>52099</v>
      </c>
      <c r="I16999" t="s">
        <v>29</v>
      </c>
      <c r="J16999" t="s">
        <v>30</v>
      </c>
      <c r="K16999" t="str">
        <f>"27028"</f>
        <v>27028</v>
      </c>
      <c r="M16999" t="s">
        <v>36935</v>
      </c>
      <c r="N16999" t="str">
        <f>"6/14/2022 11:17:00 AM"</f>
        <v>6/14/2022 11:17:00 AM</v>
      </c>
      <c r="O16999" t="s">
        <v>52098</v>
      </c>
    </row>
    <row r="17000" spans="1:20" x14ac:dyDescent="0.25">
      <c r="A17000" t="str">
        <f>"3059529"</f>
        <v>3059529</v>
      </c>
      <c r="B17000" t="s">
        <v>52100</v>
      </c>
      <c r="C17000" t="str">
        <f>"8308598"</f>
        <v>8308598</v>
      </c>
      <c r="D17000" t="s">
        <v>52101</v>
      </c>
      <c r="F17000" t="s">
        <v>52102</v>
      </c>
      <c r="I17000" t="s">
        <v>29</v>
      </c>
      <c r="J17000" t="s">
        <v>30</v>
      </c>
      <c r="K17000" t="s">
        <v>29062</v>
      </c>
      <c r="M17000" t="s">
        <v>36935</v>
      </c>
      <c r="N17000" t="str">
        <f>"6/14/2022 11:19:00 AM"</f>
        <v>6/14/2022 11:19:00 AM</v>
      </c>
      <c r="O17000" t="s">
        <v>52101</v>
      </c>
    </row>
    <row r="17001" spans="1:20" x14ac:dyDescent="0.25">
      <c r="A17001" t="str">
        <f>"3060202"</f>
        <v>3060202</v>
      </c>
      <c r="B17001" t="s">
        <v>52103</v>
      </c>
      <c r="C17001" t="str">
        <f>"80069100"</f>
        <v>80069100</v>
      </c>
      <c r="D17001" t="s">
        <v>52104</v>
      </c>
      <c r="E17001" t="s">
        <v>52105</v>
      </c>
      <c r="F17001" t="s">
        <v>52106</v>
      </c>
      <c r="I17001" t="s">
        <v>29</v>
      </c>
      <c r="J17001" t="s">
        <v>30</v>
      </c>
      <c r="K17001" t="s">
        <v>31</v>
      </c>
      <c r="M17001" t="s">
        <v>36935</v>
      </c>
      <c r="N17001" t="str">
        <f>"6/14/2022 11:21:00 AM"</f>
        <v>6/14/2022 11:21:00 AM</v>
      </c>
      <c r="O17001" t="s">
        <v>52104</v>
      </c>
      <c r="T17001" t="s">
        <v>52105</v>
      </c>
    </row>
    <row r="17002" spans="1:20" x14ac:dyDescent="0.25">
      <c r="A17002" t="str">
        <f>"3048524"</f>
        <v>3048524</v>
      </c>
      <c r="B17002" t="s">
        <v>52107</v>
      </c>
      <c r="C17002" t="str">
        <f>"82520065"</f>
        <v>82520065</v>
      </c>
      <c r="D17002" t="s">
        <v>52108</v>
      </c>
      <c r="E17002" t="str">
        <f>"C/O BOOE CARLTON SR"</f>
        <v>C/O BOOE CARLTON SR</v>
      </c>
      <c r="F17002" t="s">
        <v>52109</v>
      </c>
      <c r="I17002" t="s">
        <v>29</v>
      </c>
      <c r="J17002" t="s">
        <v>30</v>
      </c>
      <c r="K17002" t="s">
        <v>52110</v>
      </c>
      <c r="M17002" t="s">
        <v>52111</v>
      </c>
      <c r="N17002" t="str">
        <f>"6/15/2022 9:40:00 AM"</f>
        <v>6/15/2022 9:40:00 AM</v>
      </c>
      <c r="O17002" t="s">
        <v>52108</v>
      </c>
      <c r="T17002" t="str">
        <f>"C/O BOOE CARLTON SR"</f>
        <v>C/O BOOE CARLTON SR</v>
      </c>
    </row>
    <row r="17003" spans="1:20" x14ac:dyDescent="0.25">
      <c r="A17003" t="str">
        <f>"3055055"</f>
        <v>3055055</v>
      </c>
      <c r="B17003" t="s">
        <v>52112</v>
      </c>
      <c r="C17003" t="str">
        <f>"8317990"</f>
        <v>8317990</v>
      </c>
      <c r="D17003" t="str">
        <f>"BOGER MICHAEL S/CHERYL BEASLEY"</f>
        <v>BOGER MICHAEL S/CHERYL BEASLEY</v>
      </c>
      <c r="E17003" t="s">
        <v>52113</v>
      </c>
      <c r="F17003" t="s">
        <v>52114</v>
      </c>
      <c r="I17003" t="s">
        <v>29</v>
      </c>
      <c r="J17003" t="s">
        <v>30</v>
      </c>
      <c r="K17003" t="s">
        <v>48891</v>
      </c>
      <c r="M17003" t="s">
        <v>17861</v>
      </c>
      <c r="N17003" t="str">
        <f>"6/7/2022 9:47:00 AM"</f>
        <v>6/7/2022 9:47:00 AM</v>
      </c>
      <c r="O17003" t="str">
        <f>"BOGER MICHAEL S/CHERYL BEASLEY"</f>
        <v>BOGER MICHAEL S/CHERYL BEASLEY</v>
      </c>
      <c r="T17003" t="s">
        <v>52113</v>
      </c>
    </row>
    <row r="17004" spans="1:20" x14ac:dyDescent="0.25">
      <c r="A17004" t="str">
        <f>"3045704"</f>
        <v>3045704</v>
      </c>
      <c r="B17004" t="s">
        <v>52115</v>
      </c>
      <c r="C17004" t="str">
        <f>"8317991"</f>
        <v>8317991</v>
      </c>
      <c r="D17004" t="s">
        <v>52116</v>
      </c>
      <c r="E17004" t="s">
        <v>52117</v>
      </c>
      <c r="F17004" t="s">
        <v>52118</v>
      </c>
      <c r="I17004" t="s">
        <v>52119</v>
      </c>
      <c r="J17004" t="s">
        <v>7057</v>
      </c>
      <c r="K17004" t="s">
        <v>52120</v>
      </c>
      <c r="M17004" t="s">
        <v>17861</v>
      </c>
      <c r="N17004" t="str">
        <f>"6/7/2022 9:51:00 AM"</f>
        <v>6/7/2022 9:51:00 AM</v>
      </c>
      <c r="O17004" t="s">
        <v>52116</v>
      </c>
      <c r="T17004" t="s">
        <v>52117</v>
      </c>
    </row>
    <row r="17005" spans="1:20" x14ac:dyDescent="0.25">
      <c r="A17005" t="str">
        <f>"3061367"</f>
        <v>3061367</v>
      </c>
      <c r="B17005" t="s">
        <v>52121</v>
      </c>
      <c r="C17005" t="str">
        <f>"8317993"</f>
        <v>8317993</v>
      </c>
      <c r="D17005" t="s">
        <v>52122</v>
      </c>
      <c r="E17005" t="s">
        <v>52123</v>
      </c>
      <c r="F17005" t="s">
        <v>52124</v>
      </c>
      <c r="I17005" t="s">
        <v>184</v>
      </c>
      <c r="J17005" t="s">
        <v>30</v>
      </c>
      <c r="K17005" t="s">
        <v>5321</v>
      </c>
      <c r="M17005" t="s">
        <v>17861</v>
      </c>
      <c r="N17005" t="str">
        <f>"6/7/2022 10:34:00 AM"</f>
        <v>6/7/2022 10:34:00 AM</v>
      </c>
      <c r="O17005" t="s">
        <v>52122</v>
      </c>
      <c r="T17005" t="s">
        <v>52123</v>
      </c>
    </row>
    <row r="17006" spans="1:20" x14ac:dyDescent="0.25">
      <c r="A17006" t="str">
        <f>"3049072"</f>
        <v>3049072</v>
      </c>
      <c r="B17006" t="s">
        <v>52125</v>
      </c>
      <c r="C17006" t="str">
        <f>"8317916"</f>
        <v>8317916</v>
      </c>
      <c r="D17006" t="s">
        <v>52126</v>
      </c>
      <c r="F17006" t="s">
        <v>52127</v>
      </c>
      <c r="I17006" t="s">
        <v>29</v>
      </c>
      <c r="J17006" t="s">
        <v>30</v>
      </c>
      <c r="K17006" t="s">
        <v>52128</v>
      </c>
      <c r="M17006" t="s">
        <v>17861</v>
      </c>
      <c r="N17006" t="str">
        <f>"6/1/2022 1:23:00 PM"</f>
        <v>6/1/2022 1:23:00 PM</v>
      </c>
      <c r="O17006" t="s">
        <v>52126</v>
      </c>
    </row>
    <row r="17007" spans="1:20" x14ac:dyDescent="0.25">
      <c r="A17007" t="str">
        <f>"3061644"</f>
        <v>3061644</v>
      </c>
      <c r="B17007" t="s">
        <v>52129</v>
      </c>
      <c r="C17007" t="str">
        <f>"8317918"</f>
        <v>8317918</v>
      </c>
      <c r="D17007" t="s">
        <v>52130</v>
      </c>
      <c r="E17007" t="s">
        <v>52131</v>
      </c>
      <c r="F17007" t="s">
        <v>52132</v>
      </c>
      <c r="I17007" t="s">
        <v>29</v>
      </c>
      <c r="J17007" t="s">
        <v>30</v>
      </c>
      <c r="K17007" t="s">
        <v>38638</v>
      </c>
      <c r="M17007" t="s">
        <v>17861</v>
      </c>
      <c r="N17007" t="str">
        <f>"6/1/2022 3:42:00 PM"</f>
        <v>6/1/2022 3:42:00 PM</v>
      </c>
      <c r="O17007" t="s">
        <v>52130</v>
      </c>
      <c r="T17007" t="s">
        <v>52131</v>
      </c>
    </row>
    <row r="17008" spans="1:20" x14ac:dyDescent="0.25">
      <c r="A17008" t="str">
        <f>"3044910"</f>
        <v>3044910</v>
      </c>
      <c r="B17008" t="s">
        <v>52133</v>
      </c>
      <c r="C17008" t="str">
        <f>"8317998"</f>
        <v>8317998</v>
      </c>
      <c r="D17008" t="s">
        <v>52134</v>
      </c>
      <c r="F17008" t="s">
        <v>52135</v>
      </c>
      <c r="I17008" t="s">
        <v>2071</v>
      </c>
      <c r="J17008" t="s">
        <v>30</v>
      </c>
      <c r="K17008" t="s">
        <v>39615</v>
      </c>
      <c r="M17008" t="s">
        <v>17861</v>
      </c>
      <c r="N17008" t="str">
        <f>"6/7/2022 10:53:00 AM"</f>
        <v>6/7/2022 10:53:00 AM</v>
      </c>
      <c r="O17008" t="s">
        <v>52134</v>
      </c>
    </row>
    <row r="17009" spans="1:20" x14ac:dyDescent="0.25">
      <c r="A17009" t="str">
        <f>"3054637"</f>
        <v>3054637</v>
      </c>
      <c r="B17009" t="s">
        <v>52136</v>
      </c>
      <c r="C17009" t="str">
        <f>"8317923"</f>
        <v>8317923</v>
      </c>
      <c r="D17009" t="s">
        <v>52137</v>
      </c>
      <c r="F17009" t="s">
        <v>52138</v>
      </c>
      <c r="I17009" t="s">
        <v>29</v>
      </c>
      <c r="J17009" t="s">
        <v>30</v>
      </c>
      <c r="K17009" t="s">
        <v>42839</v>
      </c>
      <c r="M17009" t="s">
        <v>17861</v>
      </c>
      <c r="N17009" t="str">
        <f>"6/2/2022 2:46:00 PM"</f>
        <v>6/2/2022 2:46:00 PM</v>
      </c>
      <c r="O17009" t="s">
        <v>52137</v>
      </c>
    </row>
    <row r="17010" spans="1:20" x14ac:dyDescent="0.25">
      <c r="A17010" t="str">
        <f>"3061563"</f>
        <v>3061563</v>
      </c>
      <c r="B17010" t="s">
        <v>52139</v>
      </c>
      <c r="C17010" t="str">
        <f>"8318039"</f>
        <v>8318039</v>
      </c>
      <c r="D17010" t="s">
        <v>52140</v>
      </c>
      <c r="E17010" t="s">
        <v>52141</v>
      </c>
      <c r="F17010" t="s">
        <v>52142</v>
      </c>
      <c r="I17010" t="s">
        <v>184</v>
      </c>
      <c r="J17010" t="s">
        <v>30</v>
      </c>
      <c r="K17010" t="s">
        <v>3360</v>
      </c>
      <c r="M17010" t="s">
        <v>17861</v>
      </c>
      <c r="N17010" t="str">
        <f>"6/21/2022 3:59:00 PM"</f>
        <v>6/21/2022 3:59:00 PM</v>
      </c>
      <c r="O17010" t="s">
        <v>52140</v>
      </c>
      <c r="T17010" t="s">
        <v>52141</v>
      </c>
    </row>
    <row r="17011" spans="1:20" x14ac:dyDescent="0.25">
      <c r="A17011" t="str">
        <f>"3045267"</f>
        <v>3045267</v>
      </c>
      <c r="B17011" t="s">
        <v>52143</v>
      </c>
      <c r="C17011" t="str">
        <f>"8318040"</f>
        <v>8318040</v>
      </c>
      <c r="D17011" t="s">
        <v>52144</v>
      </c>
      <c r="F17011" t="s">
        <v>40795</v>
      </c>
      <c r="I17011" t="s">
        <v>29</v>
      </c>
      <c r="J17011" t="s">
        <v>30</v>
      </c>
      <c r="K17011" t="s">
        <v>36600</v>
      </c>
      <c r="M17011" t="s">
        <v>17861</v>
      </c>
      <c r="N17011" t="str">
        <f>"6/21/2022 4:03:00 PM"</f>
        <v>6/21/2022 4:03:00 PM</v>
      </c>
      <c r="O17011" t="s">
        <v>52144</v>
      </c>
    </row>
    <row r="17012" spans="1:20" x14ac:dyDescent="0.25">
      <c r="A17012" t="str">
        <f>"3060446"</f>
        <v>3060446</v>
      </c>
      <c r="B17012" t="s">
        <v>52145</v>
      </c>
      <c r="C17012" t="str">
        <f>"8318005"</f>
        <v>8318005</v>
      </c>
      <c r="D17012" t="s">
        <v>52146</v>
      </c>
      <c r="E17012" t="s">
        <v>52147</v>
      </c>
      <c r="F17012" t="s">
        <v>52148</v>
      </c>
      <c r="I17012" t="s">
        <v>184</v>
      </c>
      <c r="J17012" t="s">
        <v>30</v>
      </c>
      <c r="K17012" t="s">
        <v>33287</v>
      </c>
      <c r="M17012" t="s">
        <v>17861</v>
      </c>
      <c r="N17012" t="str">
        <f>"6/8/2022 10:08:00 AM"</f>
        <v>6/8/2022 10:08:00 AM</v>
      </c>
      <c r="O17012" t="s">
        <v>52146</v>
      </c>
      <c r="T17012" t="s">
        <v>52147</v>
      </c>
    </row>
    <row r="17013" spans="1:20" x14ac:dyDescent="0.25">
      <c r="A17013" t="str">
        <f>"3055258"</f>
        <v>3055258</v>
      </c>
      <c r="B17013" t="s">
        <v>52149</v>
      </c>
      <c r="C17013" t="str">
        <f>"8317924"</f>
        <v>8317924</v>
      </c>
      <c r="D17013" t="s">
        <v>52150</v>
      </c>
      <c r="E17013" t="s">
        <v>52151</v>
      </c>
      <c r="F17013" t="s">
        <v>52152</v>
      </c>
      <c r="I17013" t="s">
        <v>29</v>
      </c>
      <c r="J17013" t="s">
        <v>30</v>
      </c>
      <c r="K17013" t="s">
        <v>52153</v>
      </c>
      <c r="M17013" t="s">
        <v>17861</v>
      </c>
      <c r="N17013" t="str">
        <f>"6/2/2022 3:18:00 PM"</f>
        <v>6/2/2022 3:18:00 PM</v>
      </c>
      <c r="O17013" t="s">
        <v>52150</v>
      </c>
      <c r="T17013" t="s">
        <v>52151</v>
      </c>
    </row>
    <row r="17014" spans="1:20" x14ac:dyDescent="0.25">
      <c r="A17014" t="str">
        <f>"3058454"</f>
        <v>3058454</v>
      </c>
      <c r="B17014" t="s">
        <v>52154</v>
      </c>
      <c r="C17014" t="str">
        <f>"8318045"</f>
        <v>8318045</v>
      </c>
      <c r="D17014" t="s">
        <v>52155</v>
      </c>
      <c r="E17014" t="s">
        <v>52156</v>
      </c>
      <c r="F17014" t="s">
        <v>52157</v>
      </c>
      <c r="I17014" t="s">
        <v>17921</v>
      </c>
      <c r="J17014" t="s">
        <v>30</v>
      </c>
      <c r="K17014" t="str">
        <f>"27028"</f>
        <v>27028</v>
      </c>
      <c r="M17014" t="s">
        <v>17861</v>
      </c>
      <c r="N17014" t="str">
        <f>"6/22/2022 8:04:00 AM"</f>
        <v>6/22/2022 8:04:00 AM</v>
      </c>
      <c r="O17014" t="s">
        <v>52155</v>
      </c>
      <c r="T17014" t="s">
        <v>52156</v>
      </c>
    </row>
    <row r="17015" spans="1:20" x14ac:dyDescent="0.25">
      <c r="A17015" t="str">
        <f>"3048031"</f>
        <v>3048031</v>
      </c>
      <c r="B17015" t="s">
        <v>52158</v>
      </c>
      <c r="C17015" t="str">
        <f>"8318046"</f>
        <v>8318046</v>
      </c>
      <c r="D17015" t="s">
        <v>52159</v>
      </c>
      <c r="F17015" t="s">
        <v>52160</v>
      </c>
      <c r="I17015" t="s">
        <v>184</v>
      </c>
      <c r="J17015" t="s">
        <v>30</v>
      </c>
      <c r="K17015" t="s">
        <v>52161</v>
      </c>
      <c r="M17015" t="s">
        <v>17861</v>
      </c>
      <c r="N17015" t="str">
        <f>"6/22/2022 8:07:00 AM"</f>
        <v>6/22/2022 8:07:00 AM</v>
      </c>
      <c r="O17015" t="s">
        <v>52159</v>
      </c>
    </row>
    <row r="17016" spans="1:20" x14ac:dyDescent="0.25">
      <c r="A17016" t="str">
        <f>"3056748"</f>
        <v>3056748</v>
      </c>
      <c r="B17016" t="s">
        <v>52162</v>
      </c>
      <c r="C17016" t="str">
        <f>"8318047"</f>
        <v>8318047</v>
      </c>
      <c r="D17016" t="s">
        <v>52163</v>
      </c>
      <c r="F17016" t="s">
        <v>52164</v>
      </c>
      <c r="I17016" t="s">
        <v>29</v>
      </c>
      <c r="J17016" t="s">
        <v>30</v>
      </c>
      <c r="K17016" t="s">
        <v>52165</v>
      </c>
      <c r="M17016" t="s">
        <v>17861</v>
      </c>
      <c r="N17016" t="str">
        <f>"6/22/2022 8:10:00 AM"</f>
        <v>6/22/2022 8:10:00 AM</v>
      </c>
      <c r="O17016" t="s">
        <v>52163</v>
      </c>
    </row>
    <row r="17017" spans="1:20" x14ac:dyDescent="0.25">
      <c r="A17017" t="str">
        <f>"3043499"</f>
        <v>3043499</v>
      </c>
      <c r="B17017" t="s">
        <v>52166</v>
      </c>
      <c r="C17017" t="str">
        <f>"8317925"</f>
        <v>8317925</v>
      </c>
      <c r="D17017" t="s">
        <v>52167</v>
      </c>
      <c r="F17017" t="s">
        <v>37524</v>
      </c>
      <c r="I17017" t="s">
        <v>29</v>
      </c>
      <c r="J17017" t="s">
        <v>30</v>
      </c>
      <c r="K17017" t="s">
        <v>19632</v>
      </c>
      <c r="M17017" t="s">
        <v>17861</v>
      </c>
      <c r="N17017" t="str">
        <f>"6/2/2022 3:20:00 PM"</f>
        <v>6/2/2022 3:20:00 PM</v>
      </c>
      <c r="O17017" t="s">
        <v>52167</v>
      </c>
    </row>
    <row r="17018" spans="1:20" x14ac:dyDescent="0.25">
      <c r="A17018" t="str">
        <f>"3060535"</f>
        <v>3060535</v>
      </c>
      <c r="B17018" t="s">
        <v>52168</v>
      </c>
      <c r="C17018" t="str">
        <f>"8317926"</f>
        <v>8317926</v>
      </c>
      <c r="D17018" t="s">
        <v>52169</v>
      </c>
      <c r="E17018" t="s">
        <v>52170</v>
      </c>
      <c r="F17018" t="s">
        <v>52171</v>
      </c>
      <c r="I17018" t="s">
        <v>184</v>
      </c>
      <c r="J17018" t="s">
        <v>30</v>
      </c>
      <c r="K17018" t="s">
        <v>19018</v>
      </c>
      <c r="M17018" t="s">
        <v>17861</v>
      </c>
      <c r="N17018" t="str">
        <f>"6/2/2022 3:23:00 PM"</f>
        <v>6/2/2022 3:23:00 PM</v>
      </c>
      <c r="O17018" t="s">
        <v>52169</v>
      </c>
      <c r="T17018" t="s">
        <v>52170</v>
      </c>
    </row>
    <row r="17019" spans="1:20" x14ac:dyDescent="0.25">
      <c r="A17019" t="str">
        <f>"3057927"</f>
        <v>3057927</v>
      </c>
      <c r="B17019" t="s">
        <v>52172</v>
      </c>
      <c r="C17019" t="str">
        <f>"8317927"</f>
        <v>8317927</v>
      </c>
      <c r="D17019" t="str">
        <f>"BENDER WAYNE R/KAREN J TRUSTEES"</f>
        <v>BENDER WAYNE R/KAREN J TRUSTEES</v>
      </c>
      <c r="E17019" t="s">
        <v>52173</v>
      </c>
      <c r="F17019" t="s">
        <v>52174</v>
      </c>
      <c r="I17019" t="s">
        <v>184</v>
      </c>
      <c r="J17019" t="s">
        <v>30</v>
      </c>
      <c r="K17019" t="s">
        <v>5491</v>
      </c>
      <c r="M17019" t="s">
        <v>17861</v>
      </c>
      <c r="N17019" t="str">
        <f>"6/2/2022 3:27:00 PM"</f>
        <v>6/2/2022 3:27:00 PM</v>
      </c>
      <c r="O17019" t="str">
        <f>"BENDER WAYNE R/KAREN J TRUSTEES"</f>
        <v>BENDER WAYNE R/KAREN J TRUSTEES</v>
      </c>
      <c r="T17019" t="s">
        <v>52173</v>
      </c>
    </row>
    <row r="17020" spans="1:20" x14ac:dyDescent="0.25">
      <c r="A17020" t="str">
        <f>"3053054"</f>
        <v>3053054</v>
      </c>
      <c r="B17020" t="s">
        <v>52175</v>
      </c>
      <c r="C17020" t="str">
        <f>"8317928"</f>
        <v>8317928</v>
      </c>
      <c r="D17020" t="s">
        <v>52176</v>
      </c>
      <c r="E17020" t="s">
        <v>52177</v>
      </c>
      <c r="F17020" t="s">
        <v>52178</v>
      </c>
      <c r="I17020" t="s">
        <v>29</v>
      </c>
      <c r="J17020" t="s">
        <v>30</v>
      </c>
      <c r="K17020" t="s">
        <v>13341</v>
      </c>
      <c r="M17020" t="s">
        <v>17861</v>
      </c>
      <c r="N17020" t="str">
        <f>"6/2/2022 3:37:00 PM"</f>
        <v>6/2/2022 3:37:00 PM</v>
      </c>
      <c r="O17020" t="s">
        <v>52176</v>
      </c>
      <c r="T17020" t="s">
        <v>52177</v>
      </c>
    </row>
    <row r="17021" spans="1:20" x14ac:dyDescent="0.25">
      <c r="A17021" t="str">
        <f>"3053092"</f>
        <v>3053092</v>
      </c>
      <c r="B17021" t="s">
        <v>52179</v>
      </c>
      <c r="C17021" t="str">
        <f>"8317928"</f>
        <v>8317928</v>
      </c>
      <c r="D17021" t="s">
        <v>52176</v>
      </c>
      <c r="E17021" t="s">
        <v>52177</v>
      </c>
      <c r="F17021" t="s">
        <v>52178</v>
      </c>
      <c r="I17021" t="s">
        <v>29</v>
      </c>
      <c r="J17021" t="s">
        <v>30</v>
      </c>
      <c r="K17021" t="s">
        <v>13341</v>
      </c>
      <c r="M17021" t="s">
        <v>17861</v>
      </c>
      <c r="N17021" t="str">
        <f>"6/2/2022 3:37:00 PM"</f>
        <v>6/2/2022 3:37:00 PM</v>
      </c>
      <c r="O17021" t="s">
        <v>52176</v>
      </c>
      <c r="T17021" t="s">
        <v>52177</v>
      </c>
    </row>
    <row r="17022" spans="1:20" x14ac:dyDescent="0.25">
      <c r="A17022" t="str">
        <f>"3053045"</f>
        <v>3053045</v>
      </c>
      <c r="B17022" t="s">
        <v>52180</v>
      </c>
      <c r="C17022" t="str">
        <f>"8317928"</f>
        <v>8317928</v>
      </c>
      <c r="D17022" t="s">
        <v>52176</v>
      </c>
      <c r="E17022" t="s">
        <v>52177</v>
      </c>
      <c r="F17022" t="s">
        <v>52178</v>
      </c>
      <c r="I17022" t="s">
        <v>29</v>
      </c>
      <c r="J17022" t="s">
        <v>30</v>
      </c>
      <c r="K17022" t="s">
        <v>13341</v>
      </c>
      <c r="M17022" t="s">
        <v>17861</v>
      </c>
      <c r="N17022" t="str">
        <f>"6/2/2022 3:37:00 PM"</f>
        <v>6/2/2022 3:37:00 PM</v>
      </c>
      <c r="O17022" t="s">
        <v>52176</v>
      </c>
      <c r="T17022" t="s">
        <v>52177</v>
      </c>
    </row>
    <row r="17023" spans="1:20" x14ac:dyDescent="0.25">
      <c r="A17023" t="str">
        <f>"3055218"</f>
        <v>3055218</v>
      </c>
      <c r="B17023" t="s">
        <v>52181</v>
      </c>
      <c r="C17023" t="str">
        <f>"8318028"</f>
        <v>8318028</v>
      </c>
      <c r="D17023" t="s">
        <v>16060</v>
      </c>
      <c r="E17023" t="s">
        <v>15564</v>
      </c>
      <c r="F17023" t="s">
        <v>52182</v>
      </c>
      <c r="I17023" t="s">
        <v>29</v>
      </c>
      <c r="J17023" t="s">
        <v>30</v>
      </c>
      <c r="K17023" t="s">
        <v>15612</v>
      </c>
      <c r="M17023" t="s">
        <v>17861</v>
      </c>
      <c r="N17023" t="str">
        <f>"6/10/2022 11:14:00 AM"</f>
        <v>6/10/2022 11:14:00 AM</v>
      </c>
      <c r="O17023" t="s">
        <v>16060</v>
      </c>
      <c r="T17023" t="s">
        <v>15564</v>
      </c>
    </row>
    <row r="17024" spans="1:20" x14ac:dyDescent="0.25">
      <c r="A17024" t="str">
        <f>"3047588"</f>
        <v>3047588</v>
      </c>
      <c r="B17024" t="s">
        <v>52183</v>
      </c>
      <c r="C17024" t="str">
        <f>"8318056"</f>
        <v>8318056</v>
      </c>
      <c r="D17024" t="s">
        <v>52184</v>
      </c>
      <c r="F17024" t="s">
        <v>52185</v>
      </c>
      <c r="I17024" t="s">
        <v>29</v>
      </c>
      <c r="J17024" t="s">
        <v>30</v>
      </c>
      <c r="K17024" t="s">
        <v>52186</v>
      </c>
      <c r="M17024" t="s">
        <v>17861</v>
      </c>
      <c r="N17024" t="str">
        <f>"6/22/2022 9:43:00 AM"</f>
        <v>6/22/2022 9:43:00 AM</v>
      </c>
      <c r="O17024" t="s">
        <v>52184</v>
      </c>
    </row>
    <row r="17025" spans="1:20" x14ac:dyDescent="0.25">
      <c r="A17025" t="str">
        <f>"3041669"</f>
        <v>3041669</v>
      </c>
      <c r="B17025" t="s">
        <v>52187</v>
      </c>
      <c r="C17025" t="str">
        <f>"8318058"</f>
        <v>8318058</v>
      </c>
      <c r="D17025" t="s">
        <v>52188</v>
      </c>
      <c r="E17025" t="s">
        <v>52189</v>
      </c>
      <c r="F17025" t="s">
        <v>52190</v>
      </c>
      <c r="I17025" t="s">
        <v>2071</v>
      </c>
      <c r="J17025" t="s">
        <v>30</v>
      </c>
      <c r="K17025" t="s">
        <v>44834</v>
      </c>
      <c r="M17025" t="s">
        <v>17861</v>
      </c>
      <c r="N17025" t="str">
        <f>"6/22/2022 9:54:00 AM"</f>
        <v>6/22/2022 9:54:00 AM</v>
      </c>
      <c r="O17025" t="s">
        <v>52188</v>
      </c>
      <c r="T17025" t="s">
        <v>52189</v>
      </c>
    </row>
    <row r="17026" spans="1:20" x14ac:dyDescent="0.25">
      <c r="A17026" t="str">
        <f>"3054728"</f>
        <v>3054728</v>
      </c>
      <c r="B17026" t="s">
        <v>52191</v>
      </c>
      <c r="C17026" t="str">
        <f>"8313574"</f>
        <v>8313574</v>
      </c>
      <c r="D17026" t="s">
        <v>52192</v>
      </c>
      <c r="E17026" t="s">
        <v>52193</v>
      </c>
      <c r="F17026" t="s">
        <v>52194</v>
      </c>
      <c r="G17026" t="s">
        <v>52195</v>
      </c>
      <c r="I17026" t="s">
        <v>29</v>
      </c>
      <c r="J17026" t="s">
        <v>30</v>
      </c>
      <c r="K17026" t="s">
        <v>40857</v>
      </c>
      <c r="M17026" t="s">
        <v>50621</v>
      </c>
      <c r="N17026" t="str">
        <f>"6/10/2022 12:14:00 PM"</f>
        <v>6/10/2022 12:14:00 PM</v>
      </c>
      <c r="O17026" t="s">
        <v>52192</v>
      </c>
      <c r="T17026" t="s">
        <v>52193</v>
      </c>
    </row>
    <row r="17027" spans="1:20" x14ac:dyDescent="0.25">
      <c r="A17027" t="str">
        <f>"3052102"</f>
        <v>3052102</v>
      </c>
      <c r="B17027" t="s">
        <v>52196</v>
      </c>
      <c r="C17027" t="str">
        <f>"8318060"</f>
        <v>8318060</v>
      </c>
      <c r="D17027" t="s">
        <v>52197</v>
      </c>
      <c r="F17027" t="s">
        <v>8522</v>
      </c>
      <c r="I17027" t="s">
        <v>29</v>
      </c>
      <c r="J17027" t="s">
        <v>30</v>
      </c>
      <c r="K17027" t="s">
        <v>8523</v>
      </c>
      <c r="M17027" t="s">
        <v>17861</v>
      </c>
      <c r="N17027" t="str">
        <f>"6/22/2022 10:07:00 AM"</f>
        <v>6/22/2022 10:07:00 AM</v>
      </c>
      <c r="O17027" t="s">
        <v>52197</v>
      </c>
    </row>
    <row r="17028" spans="1:20" x14ac:dyDescent="0.25">
      <c r="A17028" t="str">
        <f>"3049287"</f>
        <v>3049287</v>
      </c>
      <c r="B17028" t="s">
        <v>52198</v>
      </c>
      <c r="C17028" t="str">
        <f>"8318061"</f>
        <v>8318061</v>
      </c>
      <c r="D17028" t="s">
        <v>52199</v>
      </c>
      <c r="E17028" t="s">
        <v>52200</v>
      </c>
      <c r="F17028" t="s">
        <v>52201</v>
      </c>
      <c r="I17028" t="s">
        <v>184</v>
      </c>
      <c r="J17028" t="s">
        <v>30</v>
      </c>
      <c r="K17028" t="s">
        <v>9070</v>
      </c>
      <c r="M17028" t="s">
        <v>17861</v>
      </c>
      <c r="N17028" t="str">
        <f>"6/22/2022 10:09:00 AM"</f>
        <v>6/22/2022 10:09:00 AM</v>
      </c>
      <c r="O17028" t="s">
        <v>52199</v>
      </c>
      <c r="T17028" t="s">
        <v>52200</v>
      </c>
    </row>
    <row r="17029" spans="1:20" x14ac:dyDescent="0.25">
      <c r="A17029" t="str">
        <f>"3060337"</f>
        <v>3060337</v>
      </c>
      <c r="B17029" t="s">
        <v>52202</v>
      </c>
      <c r="C17029" t="str">
        <f>"8318062"</f>
        <v>8318062</v>
      </c>
      <c r="D17029" t="s">
        <v>52203</v>
      </c>
      <c r="E17029" t="s">
        <v>52204</v>
      </c>
      <c r="F17029" t="s">
        <v>52205</v>
      </c>
      <c r="I17029" t="s">
        <v>29</v>
      </c>
      <c r="J17029" t="s">
        <v>30</v>
      </c>
      <c r="K17029" t="s">
        <v>20431</v>
      </c>
      <c r="M17029" t="s">
        <v>17861</v>
      </c>
      <c r="N17029" t="str">
        <f>"6/22/2022 10:13:00 AM"</f>
        <v>6/22/2022 10:13:00 AM</v>
      </c>
      <c r="O17029" t="s">
        <v>52203</v>
      </c>
      <c r="T17029" t="s">
        <v>52204</v>
      </c>
    </row>
    <row r="17030" spans="1:20" x14ac:dyDescent="0.25">
      <c r="A17030" t="str">
        <f>"3044400"</f>
        <v>3044400</v>
      </c>
      <c r="B17030" t="s">
        <v>52206</v>
      </c>
      <c r="C17030" t="str">
        <f>"8318063"</f>
        <v>8318063</v>
      </c>
      <c r="D17030" t="s">
        <v>52207</v>
      </c>
      <c r="E17030" t="s">
        <v>52208</v>
      </c>
      <c r="F17030" t="s">
        <v>52209</v>
      </c>
      <c r="I17030" t="s">
        <v>184</v>
      </c>
      <c r="J17030" t="s">
        <v>30</v>
      </c>
      <c r="K17030" t="s">
        <v>17962</v>
      </c>
      <c r="M17030" t="s">
        <v>17861</v>
      </c>
      <c r="N17030" t="str">
        <f>"6/22/2022 10:21:00 AM"</f>
        <v>6/22/2022 10:21:00 AM</v>
      </c>
      <c r="O17030" t="s">
        <v>52207</v>
      </c>
      <c r="T17030" t="s">
        <v>52208</v>
      </c>
    </row>
    <row r="17031" spans="1:20" x14ac:dyDescent="0.25">
      <c r="A17031" t="str">
        <f>"3041721"</f>
        <v>3041721</v>
      </c>
      <c r="B17031" t="s">
        <v>52210</v>
      </c>
      <c r="C17031" t="str">
        <f>"8318030"</f>
        <v>8318030</v>
      </c>
      <c r="D17031" t="s">
        <v>52211</v>
      </c>
      <c r="E17031" t="s">
        <v>52212</v>
      </c>
      <c r="F17031" t="s">
        <v>52213</v>
      </c>
      <c r="I17031" t="s">
        <v>2071</v>
      </c>
      <c r="J17031" t="s">
        <v>30</v>
      </c>
      <c r="K17031" t="s">
        <v>41795</v>
      </c>
      <c r="M17031" t="s">
        <v>17861</v>
      </c>
      <c r="N17031" t="str">
        <f>"6/10/2022 1:01:00 PM"</f>
        <v>6/10/2022 1:01:00 PM</v>
      </c>
      <c r="O17031" t="s">
        <v>52211</v>
      </c>
      <c r="T17031" t="s">
        <v>52212</v>
      </c>
    </row>
    <row r="17032" spans="1:20" x14ac:dyDescent="0.25">
      <c r="A17032" t="str">
        <f>"3050369"</f>
        <v>3050369</v>
      </c>
      <c r="B17032" t="s">
        <v>52214</v>
      </c>
      <c r="C17032" t="str">
        <f>"8310825"</f>
        <v>8310825</v>
      </c>
      <c r="D17032" t="s">
        <v>52215</v>
      </c>
      <c r="E17032" t="s">
        <v>52216</v>
      </c>
      <c r="F17032" t="s">
        <v>52217</v>
      </c>
      <c r="I17032" t="s">
        <v>184</v>
      </c>
      <c r="J17032" t="s">
        <v>30</v>
      </c>
      <c r="K17032" t="str">
        <f>"27006"</f>
        <v>27006</v>
      </c>
      <c r="M17032" t="s">
        <v>36935</v>
      </c>
      <c r="N17032" t="str">
        <f>"6/14/2022 11:07:00 AM"</f>
        <v>6/14/2022 11:07:00 AM</v>
      </c>
      <c r="O17032" t="s">
        <v>52215</v>
      </c>
      <c r="T17032" t="s">
        <v>52216</v>
      </c>
    </row>
    <row r="17033" spans="1:20" x14ac:dyDescent="0.25">
      <c r="A17033" t="str">
        <f>"3040445"</f>
        <v>3040445</v>
      </c>
      <c r="B17033" t="s">
        <v>52218</v>
      </c>
      <c r="C17033" t="str">
        <f>"8312996"</f>
        <v>8312996</v>
      </c>
      <c r="D17033" t="s">
        <v>52219</v>
      </c>
      <c r="E17033" t="s">
        <v>52220</v>
      </c>
      <c r="F17033" t="s">
        <v>52221</v>
      </c>
      <c r="I17033" t="s">
        <v>29</v>
      </c>
      <c r="J17033" t="s">
        <v>30</v>
      </c>
      <c r="K17033" t="s">
        <v>42822</v>
      </c>
      <c r="M17033" t="s">
        <v>18479</v>
      </c>
      <c r="N17033" t="str">
        <f>"6/16/2022 4:29:00 PM"</f>
        <v>6/16/2022 4:29:00 PM</v>
      </c>
      <c r="O17033" t="s">
        <v>52219</v>
      </c>
      <c r="T17033" t="s">
        <v>52220</v>
      </c>
    </row>
    <row r="17034" spans="1:20" x14ac:dyDescent="0.25">
      <c r="A17034" t="str">
        <f>"3059996"</f>
        <v>3059996</v>
      </c>
      <c r="B17034" t="s">
        <v>52222</v>
      </c>
      <c r="C17034" t="str">
        <f>"8318067"</f>
        <v>8318067</v>
      </c>
      <c r="D17034" t="s">
        <v>52223</v>
      </c>
      <c r="E17034" t="s">
        <v>52224</v>
      </c>
      <c r="F17034" t="s">
        <v>52225</v>
      </c>
      <c r="I17034" t="s">
        <v>184</v>
      </c>
      <c r="J17034" t="s">
        <v>30</v>
      </c>
      <c r="K17034" t="s">
        <v>20253</v>
      </c>
      <c r="M17034" t="s">
        <v>17861</v>
      </c>
      <c r="N17034" t="str">
        <f>"6/22/2022 10:33:00 AM"</f>
        <v>6/22/2022 10:33:00 AM</v>
      </c>
      <c r="O17034" t="s">
        <v>52223</v>
      </c>
      <c r="T17034" t="s">
        <v>52224</v>
      </c>
    </row>
    <row r="17035" spans="1:20" x14ac:dyDescent="0.25">
      <c r="A17035" t="str">
        <f>"3052076"</f>
        <v>3052076</v>
      </c>
      <c r="B17035" t="s">
        <v>52226</v>
      </c>
      <c r="C17035" t="str">
        <f>"8318068"</f>
        <v>8318068</v>
      </c>
      <c r="D17035" t="s">
        <v>52227</v>
      </c>
      <c r="E17035" t="s">
        <v>52228</v>
      </c>
      <c r="F17035" t="s">
        <v>52229</v>
      </c>
      <c r="I17035" t="s">
        <v>29</v>
      </c>
      <c r="J17035" t="s">
        <v>30</v>
      </c>
      <c r="K17035" t="s">
        <v>52230</v>
      </c>
      <c r="M17035" t="s">
        <v>17861</v>
      </c>
      <c r="N17035" t="str">
        <f>"6/22/2022 10:38:00 AM"</f>
        <v>6/22/2022 10:38:00 AM</v>
      </c>
      <c r="O17035" t="s">
        <v>52227</v>
      </c>
      <c r="T17035" t="s">
        <v>52228</v>
      </c>
    </row>
    <row r="17036" spans="1:20" x14ac:dyDescent="0.25">
      <c r="A17036" t="str">
        <f>"3060945"</f>
        <v>3060945</v>
      </c>
      <c r="B17036" t="s">
        <v>52231</v>
      </c>
      <c r="C17036" t="str">
        <f>"8318069"</f>
        <v>8318069</v>
      </c>
      <c r="D17036" t="s">
        <v>52232</v>
      </c>
      <c r="E17036" t="s">
        <v>52233</v>
      </c>
      <c r="F17036" t="s">
        <v>52234</v>
      </c>
      <c r="I17036" t="s">
        <v>2071</v>
      </c>
      <c r="J17036" t="s">
        <v>30</v>
      </c>
      <c r="K17036" t="s">
        <v>34675</v>
      </c>
      <c r="M17036" t="s">
        <v>17861</v>
      </c>
      <c r="N17036" t="str">
        <f>"6/22/2022 10:53:00 AM"</f>
        <v>6/22/2022 10:53:00 AM</v>
      </c>
      <c r="O17036" t="s">
        <v>52232</v>
      </c>
      <c r="T17036" t="s">
        <v>52233</v>
      </c>
    </row>
    <row r="17037" spans="1:20" x14ac:dyDescent="0.25">
      <c r="A17037" t="str">
        <f>"3043360"</f>
        <v>3043360</v>
      </c>
      <c r="B17037" t="s">
        <v>52235</v>
      </c>
      <c r="C17037" t="str">
        <f>"8314173"</f>
        <v>8314173</v>
      </c>
      <c r="D17037" t="s">
        <v>52236</v>
      </c>
      <c r="E17037" t="s">
        <v>52237</v>
      </c>
      <c r="F17037" t="s">
        <v>52238</v>
      </c>
      <c r="I17037" t="s">
        <v>29</v>
      </c>
      <c r="J17037" t="s">
        <v>30</v>
      </c>
      <c r="K17037" t="s">
        <v>52239</v>
      </c>
      <c r="M17037" t="s">
        <v>18479</v>
      </c>
      <c r="N17037" t="str">
        <f>"6/17/2022 4:29:00 PM"</f>
        <v>6/17/2022 4:29:00 PM</v>
      </c>
      <c r="O17037" t="s">
        <v>52236</v>
      </c>
      <c r="T17037" t="s">
        <v>52237</v>
      </c>
    </row>
    <row r="17038" spans="1:20" x14ac:dyDescent="0.25">
      <c r="A17038" t="str">
        <f>"3054819"</f>
        <v>3054819</v>
      </c>
      <c r="B17038" t="s">
        <v>52240</v>
      </c>
      <c r="C17038" t="str">
        <f>"8318036"</f>
        <v>8318036</v>
      </c>
      <c r="D17038" t="s">
        <v>52241</v>
      </c>
      <c r="E17038" t="s">
        <v>52242</v>
      </c>
      <c r="F17038" t="s">
        <v>52243</v>
      </c>
      <c r="I17038" t="s">
        <v>29</v>
      </c>
      <c r="J17038" t="s">
        <v>30</v>
      </c>
      <c r="K17038" t="s">
        <v>10082</v>
      </c>
      <c r="M17038" t="s">
        <v>17861</v>
      </c>
      <c r="N17038" t="str">
        <f>"6/21/2022 10:59:00 AM"</f>
        <v>6/21/2022 10:59:00 AM</v>
      </c>
      <c r="O17038" t="s">
        <v>52241</v>
      </c>
      <c r="T17038" t="s">
        <v>52242</v>
      </c>
    </row>
    <row r="17039" spans="1:20" x14ac:dyDescent="0.25">
      <c r="A17039" t="str">
        <f>"3043350"</f>
        <v>3043350</v>
      </c>
      <c r="B17039" t="s">
        <v>52244</v>
      </c>
      <c r="C17039" t="str">
        <f>"8318073"</f>
        <v>8318073</v>
      </c>
      <c r="D17039" t="s">
        <v>49797</v>
      </c>
      <c r="E17039" t="s">
        <v>52245</v>
      </c>
      <c r="F17039" t="s">
        <v>49799</v>
      </c>
      <c r="I17039" t="s">
        <v>29</v>
      </c>
      <c r="J17039" t="s">
        <v>30</v>
      </c>
      <c r="K17039" t="s">
        <v>37781</v>
      </c>
      <c r="M17039" t="s">
        <v>17861</v>
      </c>
      <c r="N17039" t="str">
        <f>"6/22/2022 11:11:00 AM"</f>
        <v>6/22/2022 11:11:00 AM</v>
      </c>
      <c r="O17039" t="s">
        <v>49797</v>
      </c>
      <c r="T17039" t="s">
        <v>52245</v>
      </c>
    </row>
    <row r="17040" spans="1:20" x14ac:dyDescent="0.25">
      <c r="A17040" t="str">
        <f>"3058455"</f>
        <v>3058455</v>
      </c>
      <c r="B17040" t="s">
        <v>52246</v>
      </c>
      <c r="C17040" t="str">
        <f>"8318074"</f>
        <v>8318074</v>
      </c>
      <c r="D17040" t="s">
        <v>52247</v>
      </c>
      <c r="E17040" t="s">
        <v>52248</v>
      </c>
      <c r="F17040" t="s">
        <v>52249</v>
      </c>
      <c r="I17040" t="s">
        <v>17921</v>
      </c>
      <c r="J17040" t="s">
        <v>30</v>
      </c>
      <c r="K17040" t="str">
        <f>"27028"</f>
        <v>27028</v>
      </c>
      <c r="M17040" t="s">
        <v>17861</v>
      </c>
      <c r="N17040" t="str">
        <f>"6/22/2022 11:17:00 AM"</f>
        <v>6/22/2022 11:17:00 AM</v>
      </c>
      <c r="O17040" t="s">
        <v>52247</v>
      </c>
      <c r="T17040" t="s">
        <v>52248</v>
      </c>
    </row>
    <row r="17041" spans="1:20" x14ac:dyDescent="0.25">
      <c r="A17041" t="str">
        <f>"3058453"</f>
        <v>3058453</v>
      </c>
      <c r="B17041" t="s">
        <v>52250</v>
      </c>
      <c r="C17041" t="str">
        <f>"8318075"</f>
        <v>8318075</v>
      </c>
      <c r="D17041" t="s">
        <v>52251</v>
      </c>
      <c r="E17041" t="s">
        <v>52252</v>
      </c>
      <c r="F17041" t="s">
        <v>52253</v>
      </c>
      <c r="I17041" t="s">
        <v>17921</v>
      </c>
      <c r="J17041" t="s">
        <v>30</v>
      </c>
      <c r="K17041" t="str">
        <f>"27028"</f>
        <v>27028</v>
      </c>
      <c r="M17041" t="s">
        <v>17861</v>
      </c>
      <c r="N17041" t="str">
        <f>"6/22/2022 11:19:00 AM"</f>
        <v>6/22/2022 11:19:00 AM</v>
      </c>
      <c r="O17041" t="s">
        <v>52251</v>
      </c>
      <c r="T17041" t="s">
        <v>52252</v>
      </c>
    </row>
    <row r="17042" spans="1:20" x14ac:dyDescent="0.25">
      <c r="A17042" t="str">
        <f>"3072897"</f>
        <v>3072897</v>
      </c>
      <c r="B17042" t="s">
        <v>52254</v>
      </c>
      <c r="C17042" t="str">
        <f>"8316666"</f>
        <v>8316666</v>
      </c>
      <c r="D17042" t="s">
        <v>52255</v>
      </c>
      <c r="E17042" t="s">
        <v>52256</v>
      </c>
      <c r="F17042" t="s">
        <v>52257</v>
      </c>
      <c r="I17042" t="s">
        <v>29</v>
      </c>
      <c r="J17042" t="s">
        <v>30</v>
      </c>
      <c r="K17042" t="str">
        <f>"27028"</f>
        <v>27028</v>
      </c>
      <c r="M17042" t="s">
        <v>18470</v>
      </c>
      <c r="N17042" t="str">
        <f>"6/21/2022 12:24:00 PM"</f>
        <v>6/21/2022 12:24:00 PM</v>
      </c>
      <c r="O17042" t="s">
        <v>52255</v>
      </c>
      <c r="T17042" t="s">
        <v>52256</v>
      </c>
    </row>
    <row r="17043" spans="1:20" x14ac:dyDescent="0.25">
      <c r="A17043" t="str">
        <f>"3039819"</f>
        <v>3039819</v>
      </c>
      <c r="B17043" t="s">
        <v>52258</v>
      </c>
      <c r="C17043" t="str">
        <f>"8318037"</f>
        <v>8318037</v>
      </c>
      <c r="D17043" t="s">
        <v>52259</v>
      </c>
      <c r="F17043" t="s">
        <v>52260</v>
      </c>
      <c r="I17043" t="s">
        <v>29</v>
      </c>
      <c r="J17043" t="s">
        <v>30</v>
      </c>
      <c r="K17043" t="s">
        <v>1479</v>
      </c>
      <c r="M17043" t="s">
        <v>17861</v>
      </c>
      <c r="N17043" t="str">
        <f>"6/21/2022 2:32:00 PM"</f>
        <v>6/21/2022 2:32:00 PM</v>
      </c>
      <c r="O17043" t="s">
        <v>52259</v>
      </c>
    </row>
    <row r="17044" spans="1:20" x14ac:dyDescent="0.25">
      <c r="A17044" t="str">
        <f>"3054529"</f>
        <v>3054529</v>
      </c>
      <c r="B17044" t="s">
        <v>52261</v>
      </c>
      <c r="C17044" t="str">
        <f>"8318084"</f>
        <v>8318084</v>
      </c>
      <c r="D17044" t="s">
        <v>52262</v>
      </c>
      <c r="E17044" t="s">
        <v>52263</v>
      </c>
      <c r="F17044" t="s">
        <v>52264</v>
      </c>
      <c r="I17044" t="s">
        <v>29</v>
      </c>
      <c r="J17044" t="s">
        <v>30</v>
      </c>
      <c r="K17044" t="s">
        <v>37236</v>
      </c>
      <c r="M17044" t="s">
        <v>17861</v>
      </c>
      <c r="N17044" t="str">
        <f>"6/22/2022 1:21:00 PM"</f>
        <v>6/22/2022 1:21:00 PM</v>
      </c>
      <c r="O17044" t="s">
        <v>52262</v>
      </c>
      <c r="T17044" t="s">
        <v>52263</v>
      </c>
    </row>
    <row r="17045" spans="1:20" x14ac:dyDescent="0.25">
      <c r="A17045" t="str">
        <f>"3056089"</f>
        <v>3056089</v>
      </c>
      <c r="B17045" t="s">
        <v>52265</v>
      </c>
      <c r="C17045" t="str">
        <f>"8318085"</f>
        <v>8318085</v>
      </c>
      <c r="D17045" t="s">
        <v>52266</v>
      </c>
      <c r="F17045" t="s">
        <v>52267</v>
      </c>
      <c r="I17045" t="s">
        <v>3196</v>
      </c>
      <c r="J17045" t="s">
        <v>30</v>
      </c>
      <c r="K17045" t="s">
        <v>52268</v>
      </c>
      <c r="M17045" t="s">
        <v>17861</v>
      </c>
      <c r="N17045" t="str">
        <f>"6/22/2022 1:26:00 PM"</f>
        <v>6/22/2022 1:26:00 PM</v>
      </c>
      <c r="O17045" t="s">
        <v>52266</v>
      </c>
    </row>
    <row r="17046" spans="1:20" x14ac:dyDescent="0.25">
      <c r="A17046" t="str">
        <f>"3038854"</f>
        <v>3038854</v>
      </c>
      <c r="B17046" t="s">
        <v>52269</v>
      </c>
      <c r="C17046" t="str">
        <f>"8318086"</f>
        <v>8318086</v>
      </c>
      <c r="D17046" t="s">
        <v>52270</v>
      </c>
      <c r="E17046" t="s">
        <v>52271</v>
      </c>
      <c r="F17046" t="s">
        <v>52272</v>
      </c>
      <c r="I17046" t="s">
        <v>29</v>
      </c>
      <c r="J17046" t="s">
        <v>30</v>
      </c>
      <c r="K17046" t="s">
        <v>39100</v>
      </c>
      <c r="M17046" t="s">
        <v>17861</v>
      </c>
      <c r="N17046" t="str">
        <f>"6/22/2022 1:28:00 PM"</f>
        <v>6/22/2022 1:28:00 PM</v>
      </c>
      <c r="O17046" t="s">
        <v>52270</v>
      </c>
      <c r="T17046" t="s">
        <v>52271</v>
      </c>
    </row>
    <row r="17047" spans="1:20" x14ac:dyDescent="0.25">
      <c r="A17047" t="str">
        <f>"3058189"</f>
        <v>3058189</v>
      </c>
      <c r="B17047" t="s">
        <v>52273</v>
      </c>
      <c r="C17047" t="str">
        <f>"8318086"</f>
        <v>8318086</v>
      </c>
      <c r="D17047" t="s">
        <v>52270</v>
      </c>
      <c r="E17047" t="s">
        <v>52271</v>
      </c>
      <c r="F17047" t="s">
        <v>52272</v>
      </c>
      <c r="I17047" t="s">
        <v>29</v>
      </c>
      <c r="J17047" t="s">
        <v>30</v>
      </c>
      <c r="K17047" t="s">
        <v>39100</v>
      </c>
      <c r="M17047" t="s">
        <v>17861</v>
      </c>
      <c r="N17047" t="str">
        <f>"6/22/2022 1:28:00 PM"</f>
        <v>6/22/2022 1:28:00 PM</v>
      </c>
      <c r="O17047" t="s">
        <v>52270</v>
      </c>
      <c r="T17047" t="s">
        <v>52271</v>
      </c>
    </row>
    <row r="17048" spans="1:20" x14ac:dyDescent="0.25">
      <c r="A17048" t="str">
        <f>"3057451"</f>
        <v>3057451</v>
      </c>
      <c r="B17048" t="s">
        <v>52274</v>
      </c>
      <c r="C17048" t="str">
        <f>"8318088"</f>
        <v>8318088</v>
      </c>
      <c r="D17048" t="s">
        <v>576</v>
      </c>
      <c r="E17048" t="s">
        <v>52275</v>
      </c>
      <c r="F17048" t="s">
        <v>52276</v>
      </c>
      <c r="I17048" t="s">
        <v>29</v>
      </c>
      <c r="J17048" t="s">
        <v>30</v>
      </c>
      <c r="K17048" t="s">
        <v>50147</v>
      </c>
      <c r="M17048" t="s">
        <v>17861</v>
      </c>
      <c r="N17048" t="str">
        <f>"6/22/2022 1:38:00 PM"</f>
        <v>6/22/2022 1:38:00 PM</v>
      </c>
      <c r="O17048" t="s">
        <v>576</v>
      </c>
      <c r="T17048" t="s">
        <v>52275</v>
      </c>
    </row>
    <row r="17049" spans="1:20" x14ac:dyDescent="0.25">
      <c r="A17049" t="str">
        <f>"3057719"</f>
        <v>3057719</v>
      </c>
      <c r="B17049" t="s">
        <v>52277</v>
      </c>
      <c r="C17049" t="str">
        <f>"8318091"</f>
        <v>8318091</v>
      </c>
      <c r="D17049" t="s">
        <v>52278</v>
      </c>
      <c r="F17049" t="s">
        <v>52279</v>
      </c>
      <c r="I17049" t="s">
        <v>471</v>
      </c>
      <c r="J17049" t="s">
        <v>30</v>
      </c>
      <c r="K17049" t="s">
        <v>52280</v>
      </c>
      <c r="M17049" t="s">
        <v>17861</v>
      </c>
      <c r="N17049" t="str">
        <f>"6/22/2022 1:59:00 PM"</f>
        <v>6/22/2022 1:59:00 PM</v>
      </c>
      <c r="O17049" t="s">
        <v>52278</v>
      </c>
    </row>
    <row r="17050" spans="1:20" x14ac:dyDescent="0.25">
      <c r="A17050" t="str">
        <f>"3052698"</f>
        <v>3052698</v>
      </c>
      <c r="B17050" t="s">
        <v>52281</v>
      </c>
      <c r="C17050" t="str">
        <f>"8318038"</f>
        <v>8318038</v>
      </c>
      <c r="D17050" t="s">
        <v>46726</v>
      </c>
      <c r="F17050" t="s">
        <v>46728</v>
      </c>
      <c r="I17050" t="s">
        <v>29</v>
      </c>
      <c r="J17050" t="s">
        <v>30</v>
      </c>
      <c r="K17050" t="s">
        <v>20232</v>
      </c>
      <c r="M17050" t="s">
        <v>17861</v>
      </c>
      <c r="N17050" t="str">
        <f>"6/21/2022 2:36:00 PM"</f>
        <v>6/21/2022 2:36:00 PM</v>
      </c>
      <c r="O17050" t="s">
        <v>46726</v>
      </c>
    </row>
    <row r="17051" spans="1:20" x14ac:dyDescent="0.25">
      <c r="A17051" t="str">
        <f>"3043576"</f>
        <v>3043576</v>
      </c>
      <c r="B17051" t="s">
        <v>52282</v>
      </c>
      <c r="C17051" t="str">
        <f>"8340000"</f>
        <v>8340000</v>
      </c>
      <c r="D17051" t="s">
        <v>52283</v>
      </c>
      <c r="F17051" t="str">
        <f>"C/O RONALD BOGER"</f>
        <v>C/O RONALD BOGER</v>
      </c>
      <c r="G17051" t="s">
        <v>52284</v>
      </c>
      <c r="I17051" t="s">
        <v>29</v>
      </c>
      <c r="J17051" t="s">
        <v>30</v>
      </c>
      <c r="K17051" t="s">
        <v>31</v>
      </c>
      <c r="L17051" t="s">
        <v>2497</v>
      </c>
      <c r="M17051" t="s">
        <v>22859</v>
      </c>
      <c r="N17051" t="str">
        <f>"2/13/2015 2:37:00 PM"</f>
        <v>2/13/2015 2:37:00 PM</v>
      </c>
      <c r="O17051" t="s">
        <v>52283</v>
      </c>
    </row>
    <row r="17052" spans="1:20" x14ac:dyDescent="0.25">
      <c r="A17052" t="str">
        <f>"3042927"</f>
        <v>3042927</v>
      </c>
      <c r="B17052" t="s">
        <v>52285</v>
      </c>
      <c r="C17052" t="str">
        <f>"8318042"</f>
        <v>8318042</v>
      </c>
      <c r="D17052" t="s">
        <v>52286</v>
      </c>
      <c r="F17052" t="s">
        <v>52287</v>
      </c>
      <c r="I17052" t="s">
        <v>14378</v>
      </c>
      <c r="J17052" t="s">
        <v>30</v>
      </c>
      <c r="K17052" t="s">
        <v>52288</v>
      </c>
      <c r="M17052" t="s">
        <v>17861</v>
      </c>
      <c r="N17052" t="str">
        <f>"6/21/2022 4:08:00 PM"</f>
        <v>6/21/2022 4:08:00 PM</v>
      </c>
      <c r="O17052" t="s">
        <v>52286</v>
      </c>
    </row>
    <row r="17053" spans="1:20" x14ac:dyDescent="0.25">
      <c r="A17053" t="str">
        <f>"3053663"</f>
        <v>3053663</v>
      </c>
      <c r="B17053" t="s">
        <v>52289</v>
      </c>
      <c r="C17053" t="str">
        <f>"8318043"</f>
        <v>8318043</v>
      </c>
      <c r="D17053" t="s">
        <v>52290</v>
      </c>
      <c r="E17053" t="s">
        <v>52291</v>
      </c>
      <c r="F17053" t="s">
        <v>52292</v>
      </c>
      <c r="I17053" t="s">
        <v>184</v>
      </c>
      <c r="J17053" t="s">
        <v>30</v>
      </c>
      <c r="K17053" t="s">
        <v>15063</v>
      </c>
      <c r="M17053" t="s">
        <v>17861</v>
      </c>
      <c r="N17053" t="str">
        <f>"6/21/2022 4:20:00 PM"</f>
        <v>6/21/2022 4:20:00 PM</v>
      </c>
      <c r="O17053" t="s">
        <v>52290</v>
      </c>
      <c r="T17053" t="s">
        <v>52291</v>
      </c>
    </row>
    <row r="17054" spans="1:20" x14ac:dyDescent="0.25">
      <c r="A17054" t="str">
        <f>"3058949"</f>
        <v>3058949</v>
      </c>
      <c r="B17054" t="s">
        <v>52293</v>
      </c>
      <c r="C17054" t="str">
        <f>"8318010"</f>
        <v>8318010</v>
      </c>
      <c r="D17054" t="s">
        <v>52294</v>
      </c>
      <c r="F17054" t="s">
        <v>52295</v>
      </c>
      <c r="I17054" t="s">
        <v>29</v>
      </c>
      <c r="J17054" t="s">
        <v>30</v>
      </c>
      <c r="K17054" t="s">
        <v>52296</v>
      </c>
      <c r="M17054" t="s">
        <v>17861</v>
      </c>
      <c r="N17054" t="str">
        <f>"6/9/2022 3:54:00 PM"</f>
        <v>6/9/2022 3:54:00 PM</v>
      </c>
      <c r="O17054" t="s">
        <v>52294</v>
      </c>
    </row>
    <row r="17055" spans="1:20" x14ac:dyDescent="0.25">
      <c r="A17055" t="str">
        <f>"3052978"</f>
        <v>3052978</v>
      </c>
      <c r="B17055" t="s">
        <v>52297</v>
      </c>
      <c r="C17055" t="str">
        <f>"8318017"</f>
        <v>8318017</v>
      </c>
      <c r="D17055" t="s">
        <v>52298</v>
      </c>
      <c r="E17055" t="s">
        <v>52299</v>
      </c>
      <c r="F17055" t="s">
        <v>52300</v>
      </c>
      <c r="I17055" t="s">
        <v>29</v>
      </c>
      <c r="J17055" t="s">
        <v>30</v>
      </c>
      <c r="K17055" t="s">
        <v>52301</v>
      </c>
      <c r="M17055" t="s">
        <v>17861</v>
      </c>
      <c r="N17055" t="str">
        <f>"6/10/2022 10:36:00 AM"</f>
        <v>6/10/2022 10:36:00 AM</v>
      </c>
      <c r="O17055" t="s">
        <v>52298</v>
      </c>
      <c r="T17055" t="s">
        <v>52299</v>
      </c>
    </row>
    <row r="17056" spans="1:20" x14ac:dyDescent="0.25">
      <c r="A17056" t="str">
        <f>"3062245"</f>
        <v>3062245</v>
      </c>
      <c r="B17056" t="s">
        <v>52302</v>
      </c>
      <c r="C17056" t="str">
        <f>"8318102"</f>
        <v>8318102</v>
      </c>
      <c r="D17056" t="s">
        <v>52303</v>
      </c>
      <c r="E17056" t="s">
        <v>52304</v>
      </c>
      <c r="F17056" t="s">
        <v>52305</v>
      </c>
      <c r="I17056" t="s">
        <v>29</v>
      </c>
      <c r="J17056" t="s">
        <v>30</v>
      </c>
      <c r="K17056" t="s">
        <v>39997</v>
      </c>
      <c r="M17056" t="s">
        <v>17861</v>
      </c>
      <c r="N17056" t="str">
        <f>"6/24/2022 9:24:00 AM"</f>
        <v>6/24/2022 9:24:00 AM</v>
      </c>
      <c r="O17056" t="s">
        <v>52303</v>
      </c>
      <c r="T17056" t="s">
        <v>52304</v>
      </c>
    </row>
    <row r="17057" spans="1:20" x14ac:dyDescent="0.25">
      <c r="A17057" t="str">
        <f>"3041337"</f>
        <v>3041337</v>
      </c>
      <c r="B17057" t="s">
        <v>52306</v>
      </c>
      <c r="C17057" t="str">
        <f>"8318020"</f>
        <v>8318020</v>
      </c>
      <c r="D17057" t="s">
        <v>52307</v>
      </c>
      <c r="E17057" t="s">
        <v>52308</v>
      </c>
      <c r="F17057" t="s">
        <v>52309</v>
      </c>
      <c r="I17057" t="s">
        <v>2071</v>
      </c>
      <c r="J17057" t="s">
        <v>30</v>
      </c>
      <c r="K17057" t="s">
        <v>32945</v>
      </c>
      <c r="M17057" t="s">
        <v>17861</v>
      </c>
      <c r="N17057" t="str">
        <f>"6/10/2022 10:39:00 AM"</f>
        <v>6/10/2022 10:39:00 AM</v>
      </c>
      <c r="O17057" t="s">
        <v>52307</v>
      </c>
      <c r="T17057" t="s">
        <v>52308</v>
      </c>
    </row>
    <row r="17058" spans="1:20" x14ac:dyDescent="0.25">
      <c r="A17058" t="str">
        <f>"3058001"</f>
        <v>3058001</v>
      </c>
      <c r="B17058" t="s">
        <v>52310</v>
      </c>
      <c r="C17058" t="str">
        <f>"8318022"</f>
        <v>8318022</v>
      </c>
      <c r="D17058" t="s">
        <v>52311</v>
      </c>
      <c r="E17058" t="s">
        <v>52312</v>
      </c>
      <c r="F17058" t="s">
        <v>52313</v>
      </c>
      <c r="I17058" t="s">
        <v>29</v>
      </c>
      <c r="J17058" t="s">
        <v>30</v>
      </c>
      <c r="K17058" t="s">
        <v>36909</v>
      </c>
      <c r="M17058" t="s">
        <v>17861</v>
      </c>
      <c r="N17058" t="str">
        <f>"6/10/2022 10:44:00 AM"</f>
        <v>6/10/2022 10:44:00 AM</v>
      </c>
      <c r="O17058" t="s">
        <v>52311</v>
      </c>
      <c r="T17058" t="s">
        <v>52312</v>
      </c>
    </row>
    <row r="17059" spans="1:20" x14ac:dyDescent="0.25">
      <c r="A17059" t="str">
        <f>"3069815"</f>
        <v>3069815</v>
      </c>
      <c r="B17059" t="s">
        <v>52314</v>
      </c>
      <c r="C17059" t="str">
        <f>"8318024"</f>
        <v>8318024</v>
      </c>
      <c r="D17059" t="s">
        <v>52315</v>
      </c>
      <c r="F17059" t="s">
        <v>52316</v>
      </c>
      <c r="I17059" t="s">
        <v>184</v>
      </c>
      <c r="J17059" t="s">
        <v>30</v>
      </c>
      <c r="K17059" t="s">
        <v>42485</v>
      </c>
      <c r="M17059" t="s">
        <v>17861</v>
      </c>
      <c r="N17059" t="str">
        <f>"6/10/2022 10:56:00 AM"</f>
        <v>6/10/2022 10:56:00 AM</v>
      </c>
      <c r="O17059" t="s">
        <v>52315</v>
      </c>
    </row>
    <row r="17060" spans="1:20" x14ac:dyDescent="0.25">
      <c r="A17060" t="str">
        <f>"3050316"</f>
        <v>3050316</v>
      </c>
      <c r="B17060" t="s">
        <v>52317</v>
      </c>
      <c r="C17060" t="str">
        <f>"8318059"</f>
        <v>8318059</v>
      </c>
      <c r="D17060" t="s">
        <v>52318</v>
      </c>
      <c r="F17060" t="s">
        <v>52319</v>
      </c>
      <c r="I17060" t="s">
        <v>184</v>
      </c>
      <c r="J17060" t="s">
        <v>30</v>
      </c>
      <c r="K17060" t="s">
        <v>52320</v>
      </c>
      <c r="M17060" t="s">
        <v>17861</v>
      </c>
      <c r="N17060" t="str">
        <f>"6/22/2022 9:59:00 AM"</f>
        <v>6/22/2022 9:59:00 AM</v>
      </c>
      <c r="O17060" t="s">
        <v>52318</v>
      </c>
    </row>
    <row r="17061" spans="1:20" x14ac:dyDescent="0.25">
      <c r="A17061" t="str">
        <f>"3058134"</f>
        <v>3058134</v>
      </c>
      <c r="B17061" t="s">
        <v>52321</v>
      </c>
      <c r="C17061" t="str">
        <f>"8318064"</f>
        <v>8318064</v>
      </c>
      <c r="D17061" t="s">
        <v>52322</v>
      </c>
      <c r="E17061" t="s">
        <v>52323</v>
      </c>
      <c r="F17061" t="s">
        <v>52324</v>
      </c>
      <c r="I17061" t="s">
        <v>184</v>
      </c>
      <c r="J17061" t="s">
        <v>30</v>
      </c>
      <c r="K17061" t="s">
        <v>5160</v>
      </c>
      <c r="M17061" t="s">
        <v>17861</v>
      </c>
      <c r="N17061" t="str">
        <f>"6/22/2022 10:26:00 AM"</f>
        <v>6/22/2022 10:26:00 AM</v>
      </c>
      <c r="O17061" t="s">
        <v>52322</v>
      </c>
      <c r="T17061" t="s">
        <v>52323</v>
      </c>
    </row>
    <row r="17062" spans="1:20" x14ac:dyDescent="0.25">
      <c r="A17062" t="str">
        <f>"3044285"</f>
        <v>3044285</v>
      </c>
      <c r="B17062" t="s">
        <v>52325</v>
      </c>
      <c r="C17062" t="str">
        <f>"8318065"</f>
        <v>8318065</v>
      </c>
      <c r="D17062" t="s">
        <v>52326</v>
      </c>
      <c r="E17062" t="s">
        <v>52327</v>
      </c>
      <c r="F17062" t="s">
        <v>52328</v>
      </c>
      <c r="I17062" t="s">
        <v>184</v>
      </c>
      <c r="J17062" t="s">
        <v>30</v>
      </c>
      <c r="K17062" t="s">
        <v>52329</v>
      </c>
      <c r="M17062" t="s">
        <v>17861</v>
      </c>
      <c r="N17062" t="str">
        <f>"6/22/2022 10:28:00 AM"</f>
        <v>6/22/2022 10:28:00 AM</v>
      </c>
      <c r="O17062" t="s">
        <v>52326</v>
      </c>
      <c r="T17062" t="s">
        <v>52327</v>
      </c>
    </row>
    <row r="17063" spans="1:20" x14ac:dyDescent="0.25">
      <c r="A17063" t="str">
        <f>"3067476"</f>
        <v>3067476</v>
      </c>
      <c r="B17063" t="s">
        <v>52330</v>
      </c>
      <c r="C17063" t="str">
        <f>"8318066"</f>
        <v>8318066</v>
      </c>
      <c r="D17063" t="s">
        <v>52331</v>
      </c>
      <c r="F17063" t="s">
        <v>52332</v>
      </c>
      <c r="I17063" t="s">
        <v>29</v>
      </c>
      <c r="J17063" t="s">
        <v>30</v>
      </c>
      <c r="K17063" t="s">
        <v>52333</v>
      </c>
      <c r="M17063" t="s">
        <v>17861</v>
      </c>
      <c r="N17063" t="str">
        <f>"6/22/2022 10:31:00 AM"</f>
        <v>6/22/2022 10:31:00 AM</v>
      </c>
      <c r="O17063" t="s">
        <v>52331</v>
      </c>
    </row>
    <row r="17064" spans="1:20" x14ac:dyDescent="0.25">
      <c r="A17064" t="str">
        <f>"3044365"</f>
        <v>3044365</v>
      </c>
      <c r="B17064" t="s">
        <v>52334</v>
      </c>
      <c r="C17064" t="str">
        <f>"8318071"</f>
        <v>8318071</v>
      </c>
      <c r="D17064" t="s">
        <v>52335</v>
      </c>
      <c r="E17064" t="s">
        <v>52336</v>
      </c>
      <c r="F17064" t="s">
        <v>52337</v>
      </c>
      <c r="I17064" t="s">
        <v>184</v>
      </c>
      <c r="J17064" t="s">
        <v>30</v>
      </c>
      <c r="K17064" t="s">
        <v>6274</v>
      </c>
      <c r="M17064" t="s">
        <v>17861</v>
      </c>
      <c r="N17064" t="str">
        <f>"6/22/2022 10:57:00 AM"</f>
        <v>6/22/2022 10:57:00 AM</v>
      </c>
      <c r="O17064" t="s">
        <v>52335</v>
      </c>
      <c r="T17064" t="s">
        <v>52336</v>
      </c>
    </row>
    <row r="17065" spans="1:20" x14ac:dyDescent="0.25">
      <c r="A17065" t="str">
        <f>"3052690"</f>
        <v>3052690</v>
      </c>
      <c r="B17065" t="s">
        <v>52338</v>
      </c>
      <c r="C17065" t="str">
        <f>"8318072"</f>
        <v>8318072</v>
      </c>
      <c r="D17065" t="s">
        <v>52339</v>
      </c>
      <c r="E17065" t="s">
        <v>52340</v>
      </c>
      <c r="F17065" t="s">
        <v>52341</v>
      </c>
      <c r="I17065" t="s">
        <v>29</v>
      </c>
      <c r="J17065" t="s">
        <v>30</v>
      </c>
      <c r="K17065" t="s">
        <v>20756</v>
      </c>
      <c r="M17065" t="s">
        <v>17861</v>
      </c>
      <c r="N17065" t="str">
        <f>"6/22/2022 11:00:00 AM"</f>
        <v>6/22/2022 11:00:00 AM</v>
      </c>
      <c r="O17065" t="s">
        <v>52339</v>
      </c>
      <c r="T17065" t="s">
        <v>52340</v>
      </c>
    </row>
    <row r="17066" spans="1:20" x14ac:dyDescent="0.25">
      <c r="A17066" t="str">
        <f>"3037411"</f>
        <v>3037411</v>
      </c>
      <c r="B17066" t="s">
        <v>52342</v>
      </c>
      <c r="C17066" t="str">
        <f>"8318078"</f>
        <v>8318078</v>
      </c>
      <c r="D17066" t="s">
        <v>52343</v>
      </c>
      <c r="F17066" t="s">
        <v>52344</v>
      </c>
      <c r="I17066" t="s">
        <v>184</v>
      </c>
      <c r="J17066" t="s">
        <v>30</v>
      </c>
      <c r="K17066" t="s">
        <v>51683</v>
      </c>
      <c r="M17066" t="s">
        <v>17861</v>
      </c>
      <c r="N17066" t="str">
        <f>"6/22/2022 12:50:00 PM"</f>
        <v>6/22/2022 12:50:00 PM</v>
      </c>
      <c r="O17066" t="s">
        <v>52343</v>
      </c>
    </row>
    <row r="17067" spans="1:20" x14ac:dyDescent="0.25">
      <c r="A17067" t="str">
        <f>"3062482"</f>
        <v>3062482</v>
      </c>
      <c r="B17067" t="s">
        <v>52345</v>
      </c>
      <c r="C17067" t="str">
        <f>"8316495"</f>
        <v>8316495</v>
      </c>
      <c r="D17067" t="s">
        <v>52346</v>
      </c>
      <c r="E17067" t="s">
        <v>35537</v>
      </c>
      <c r="F17067" t="s">
        <v>52347</v>
      </c>
      <c r="I17067" t="s">
        <v>2071</v>
      </c>
      <c r="J17067" t="s">
        <v>30</v>
      </c>
      <c r="K17067" t="s">
        <v>3641</v>
      </c>
      <c r="M17067" t="s">
        <v>18479</v>
      </c>
      <c r="N17067" t="str">
        <f>"6/29/2022 12:22:00 PM"</f>
        <v>6/29/2022 12:22:00 PM</v>
      </c>
      <c r="O17067" t="s">
        <v>52346</v>
      </c>
      <c r="T17067" t="s">
        <v>35537</v>
      </c>
    </row>
    <row r="17068" spans="1:20" x14ac:dyDescent="0.25">
      <c r="A17068" t="str">
        <f>"3044708"</f>
        <v>3044708</v>
      </c>
      <c r="B17068" t="s">
        <v>52348</v>
      </c>
      <c r="C17068" t="str">
        <f>"8318083"</f>
        <v>8318083</v>
      </c>
      <c r="D17068" t="s">
        <v>52349</v>
      </c>
      <c r="F17068" t="s">
        <v>52350</v>
      </c>
      <c r="I17068" t="s">
        <v>184</v>
      </c>
      <c r="J17068" t="s">
        <v>30</v>
      </c>
      <c r="K17068" t="s">
        <v>34692</v>
      </c>
      <c r="M17068" t="s">
        <v>17861</v>
      </c>
      <c r="N17068" t="str">
        <f>"6/22/2022 1:18:00 PM"</f>
        <v>6/22/2022 1:18:00 PM</v>
      </c>
      <c r="O17068" t="s">
        <v>52349</v>
      </c>
    </row>
    <row r="17069" spans="1:20" x14ac:dyDescent="0.25">
      <c r="A17069" t="str">
        <f>"3065018"</f>
        <v>3065018</v>
      </c>
      <c r="B17069" t="s">
        <v>52351</v>
      </c>
      <c r="C17069" t="str">
        <f>"8316300"</f>
        <v>8316300</v>
      </c>
      <c r="D17069" t="s">
        <v>52352</v>
      </c>
      <c r="E17069" t="s">
        <v>52353</v>
      </c>
      <c r="F17069" t="s">
        <v>52354</v>
      </c>
      <c r="I17069" t="s">
        <v>184</v>
      </c>
      <c r="J17069" t="s">
        <v>30</v>
      </c>
      <c r="K17069" t="str">
        <f>"27006"</f>
        <v>27006</v>
      </c>
      <c r="M17069" t="s">
        <v>18470</v>
      </c>
      <c r="N17069" t="str">
        <f>"6/23/2022 1:14:00 PM"</f>
        <v>6/23/2022 1:14:00 PM</v>
      </c>
      <c r="O17069" t="s">
        <v>52352</v>
      </c>
      <c r="T17069" t="s">
        <v>52353</v>
      </c>
    </row>
    <row r="17070" spans="1:20" x14ac:dyDescent="0.25">
      <c r="A17070" t="str">
        <f>"3062465"</f>
        <v>3062465</v>
      </c>
      <c r="B17070" t="s">
        <v>52355</v>
      </c>
      <c r="C17070" t="str">
        <f>"8315394"</f>
        <v>8315394</v>
      </c>
      <c r="D17070" t="s">
        <v>52356</v>
      </c>
      <c r="F17070" t="s">
        <v>52357</v>
      </c>
      <c r="I17070" t="s">
        <v>402</v>
      </c>
      <c r="J17070" t="s">
        <v>30</v>
      </c>
      <c r="K17070" t="s">
        <v>52358</v>
      </c>
      <c r="M17070" t="s">
        <v>18479</v>
      </c>
      <c r="N17070" t="str">
        <f>"6/29/2022 4:53:00 PM"</f>
        <v>6/29/2022 4:53:00 PM</v>
      </c>
      <c r="O17070" t="s">
        <v>52356</v>
      </c>
    </row>
    <row r="17071" spans="1:20" x14ac:dyDescent="0.25">
      <c r="A17071" t="str">
        <f>"3051120"</f>
        <v>3051120</v>
      </c>
      <c r="B17071" t="s">
        <v>52359</v>
      </c>
      <c r="C17071" t="str">
        <f>"23108000"</f>
        <v>23108000</v>
      </c>
      <c r="D17071" t="s">
        <v>52360</v>
      </c>
      <c r="E17071" t="s">
        <v>52361</v>
      </c>
      <c r="F17071" t="s">
        <v>52362</v>
      </c>
      <c r="G17071" t="s">
        <v>52363</v>
      </c>
      <c r="I17071" t="s">
        <v>3196</v>
      </c>
      <c r="J17071" t="s">
        <v>30</v>
      </c>
      <c r="K17071" t="s">
        <v>52364</v>
      </c>
      <c r="M17071" t="s">
        <v>18470</v>
      </c>
      <c r="N17071" t="str">
        <f>"6/23/2022 4:00:00 PM"</f>
        <v>6/23/2022 4:00:00 PM</v>
      </c>
      <c r="O17071" t="s">
        <v>52360</v>
      </c>
      <c r="T17071" t="s">
        <v>52361</v>
      </c>
    </row>
    <row r="17072" spans="1:20" x14ac:dyDescent="0.25">
      <c r="A17072" t="str">
        <f>"3055211"</f>
        <v>3055211</v>
      </c>
      <c r="B17072" t="s">
        <v>52365</v>
      </c>
      <c r="C17072" t="str">
        <f>"19124000"</f>
        <v>19124000</v>
      </c>
      <c r="D17072" t="s">
        <v>14918</v>
      </c>
      <c r="E17072" t="s">
        <v>52366</v>
      </c>
      <c r="F17072" t="s">
        <v>14919</v>
      </c>
      <c r="I17072" t="s">
        <v>29</v>
      </c>
      <c r="J17072" t="s">
        <v>30</v>
      </c>
      <c r="K17072" t="s">
        <v>52367</v>
      </c>
      <c r="M17072" t="s">
        <v>50793</v>
      </c>
      <c r="N17072" t="str">
        <f>"6/30/2022 9:23:00 AM"</f>
        <v>6/30/2022 9:23:00 AM</v>
      </c>
      <c r="O17072" t="s">
        <v>14918</v>
      </c>
      <c r="T17072" t="s">
        <v>52366</v>
      </c>
    </row>
    <row r="17073" spans="1:20" x14ac:dyDescent="0.25">
      <c r="A17073" t="str">
        <f>"3055335"</f>
        <v>3055335</v>
      </c>
      <c r="B17073" t="s">
        <v>52368</v>
      </c>
      <c r="C17073" t="str">
        <f>"19124000"</f>
        <v>19124000</v>
      </c>
      <c r="D17073" t="s">
        <v>14918</v>
      </c>
      <c r="E17073" t="s">
        <v>52366</v>
      </c>
      <c r="F17073" t="s">
        <v>14919</v>
      </c>
      <c r="I17073" t="s">
        <v>29</v>
      </c>
      <c r="J17073" t="s">
        <v>30</v>
      </c>
      <c r="K17073" t="s">
        <v>52367</v>
      </c>
      <c r="M17073" t="s">
        <v>50793</v>
      </c>
      <c r="N17073" t="str">
        <f>"6/30/2022 9:23:00 AM"</f>
        <v>6/30/2022 9:23:00 AM</v>
      </c>
      <c r="O17073" t="s">
        <v>14918</v>
      </c>
      <c r="T17073" t="s">
        <v>52366</v>
      </c>
    </row>
    <row r="17074" spans="1:20" x14ac:dyDescent="0.25">
      <c r="A17074" t="str">
        <f>"3042643"</f>
        <v>3042643</v>
      </c>
      <c r="B17074" t="s">
        <v>52369</v>
      </c>
      <c r="C17074" t="str">
        <f>"8313877"</f>
        <v>8313877</v>
      </c>
      <c r="D17074" t="s">
        <v>52370</v>
      </c>
      <c r="E17074" t="s">
        <v>52371</v>
      </c>
      <c r="F17074" t="s">
        <v>52372</v>
      </c>
      <c r="I17074" t="s">
        <v>29</v>
      </c>
      <c r="J17074" t="s">
        <v>30</v>
      </c>
      <c r="K17074" t="s">
        <v>50985</v>
      </c>
      <c r="M17074" t="s">
        <v>18479</v>
      </c>
      <c r="N17074" t="str">
        <f>"6/30/2022 12:39:00 PM"</f>
        <v>6/30/2022 12:39:00 PM</v>
      </c>
      <c r="O17074" t="s">
        <v>52370</v>
      </c>
      <c r="T17074" t="s">
        <v>52371</v>
      </c>
    </row>
    <row r="17075" spans="1:20" x14ac:dyDescent="0.25">
      <c r="A17075" t="str">
        <f>"3049166"</f>
        <v>3049166</v>
      </c>
      <c r="B17075" t="s">
        <v>52373</v>
      </c>
      <c r="C17075" t="str">
        <f>"8318098"</f>
        <v>8318098</v>
      </c>
      <c r="D17075" t="s">
        <v>52374</v>
      </c>
      <c r="F17075" t="s">
        <v>44185</v>
      </c>
      <c r="I17075" t="s">
        <v>29</v>
      </c>
      <c r="J17075" t="s">
        <v>30</v>
      </c>
      <c r="K17075" t="s">
        <v>44186</v>
      </c>
      <c r="M17075" t="s">
        <v>17861</v>
      </c>
      <c r="N17075" t="str">
        <f>"6/23/2022 4:06:00 PM"</f>
        <v>6/23/2022 4:06:00 PM</v>
      </c>
      <c r="O17075" t="s">
        <v>52374</v>
      </c>
    </row>
    <row r="17076" spans="1:20" x14ac:dyDescent="0.25">
      <c r="A17076" t="str">
        <f>"3049170"</f>
        <v>3049170</v>
      </c>
      <c r="B17076" t="s">
        <v>52375</v>
      </c>
      <c r="C17076" t="str">
        <f>"8318098"</f>
        <v>8318098</v>
      </c>
      <c r="D17076" t="s">
        <v>52374</v>
      </c>
      <c r="F17076" t="s">
        <v>44185</v>
      </c>
      <c r="I17076" t="s">
        <v>29</v>
      </c>
      <c r="J17076" t="s">
        <v>30</v>
      </c>
      <c r="K17076" t="s">
        <v>44186</v>
      </c>
      <c r="M17076" t="s">
        <v>17861</v>
      </c>
      <c r="N17076" t="str">
        <f>"6/23/2022 4:06:00 PM"</f>
        <v>6/23/2022 4:06:00 PM</v>
      </c>
      <c r="O17076" t="s">
        <v>52374</v>
      </c>
    </row>
    <row r="17077" spans="1:20" x14ac:dyDescent="0.25">
      <c r="A17077" t="str">
        <f>"3054068"</f>
        <v>3054068</v>
      </c>
      <c r="B17077" t="s">
        <v>52376</v>
      </c>
      <c r="C17077" t="str">
        <f>"8318099"</f>
        <v>8318099</v>
      </c>
      <c r="D17077" t="s">
        <v>52377</v>
      </c>
      <c r="E17077" t="s">
        <v>45539</v>
      </c>
      <c r="F17077" t="s">
        <v>45540</v>
      </c>
      <c r="I17077" t="s">
        <v>29</v>
      </c>
      <c r="J17077" t="s">
        <v>30</v>
      </c>
      <c r="K17077" t="s">
        <v>45541</v>
      </c>
      <c r="M17077" t="s">
        <v>17861</v>
      </c>
      <c r="N17077" t="str">
        <f>"6/23/2022 4:08:00 PM"</f>
        <v>6/23/2022 4:08:00 PM</v>
      </c>
      <c r="O17077" t="s">
        <v>52377</v>
      </c>
      <c r="T17077" t="s">
        <v>45539</v>
      </c>
    </row>
    <row r="17078" spans="1:20" x14ac:dyDescent="0.25">
      <c r="A17078" t="str">
        <f>"3039094"</f>
        <v>3039094</v>
      </c>
      <c r="B17078" t="s">
        <v>52378</v>
      </c>
      <c r="C17078" t="str">
        <f>"8318100"</f>
        <v>8318100</v>
      </c>
      <c r="D17078" t="s">
        <v>52379</v>
      </c>
      <c r="E17078" t="s">
        <v>52380</v>
      </c>
      <c r="F17078" t="s">
        <v>52381</v>
      </c>
      <c r="I17078" t="s">
        <v>29</v>
      </c>
      <c r="J17078" t="s">
        <v>30</v>
      </c>
      <c r="K17078" t="s">
        <v>52382</v>
      </c>
      <c r="M17078" t="s">
        <v>17861</v>
      </c>
      <c r="N17078" t="str">
        <f>"6/23/2022 4:19:00 PM"</f>
        <v>6/23/2022 4:19:00 PM</v>
      </c>
      <c r="O17078" t="s">
        <v>52379</v>
      </c>
      <c r="T17078" t="s">
        <v>52380</v>
      </c>
    </row>
    <row r="17079" spans="1:20" x14ac:dyDescent="0.25">
      <c r="A17079" t="str">
        <f>"3048167"</f>
        <v>3048167</v>
      </c>
      <c r="B17079" t="s">
        <v>52383</v>
      </c>
      <c r="C17079" t="str">
        <f>"8318048"</f>
        <v>8318048</v>
      </c>
      <c r="D17079" t="s">
        <v>52384</v>
      </c>
      <c r="E17079" t="s">
        <v>52385</v>
      </c>
      <c r="F17079" t="s">
        <v>52386</v>
      </c>
      <c r="I17079" t="s">
        <v>1149</v>
      </c>
      <c r="J17079" t="s">
        <v>30</v>
      </c>
      <c r="K17079" t="s">
        <v>45742</v>
      </c>
      <c r="M17079" t="s">
        <v>17861</v>
      </c>
      <c r="N17079" t="str">
        <f>"6/22/2022 8:16:00 AM"</f>
        <v>6/22/2022 8:16:00 AM</v>
      </c>
      <c r="O17079" t="s">
        <v>52384</v>
      </c>
      <c r="T17079" t="s">
        <v>52385</v>
      </c>
    </row>
    <row r="17080" spans="1:20" x14ac:dyDescent="0.25">
      <c r="A17080" t="str">
        <f>"3053664"</f>
        <v>3053664</v>
      </c>
      <c r="B17080" t="s">
        <v>52387</v>
      </c>
      <c r="C17080" t="str">
        <f>"8318050"</f>
        <v>8318050</v>
      </c>
      <c r="D17080" t="s">
        <v>52388</v>
      </c>
      <c r="E17080" t="s">
        <v>52389</v>
      </c>
      <c r="F17080" t="s">
        <v>52390</v>
      </c>
      <c r="I17080" t="s">
        <v>29</v>
      </c>
      <c r="J17080" t="s">
        <v>30</v>
      </c>
      <c r="K17080" t="s">
        <v>14958</v>
      </c>
      <c r="M17080" t="s">
        <v>17861</v>
      </c>
      <c r="N17080" t="str">
        <f>"6/22/2022 8:24:00 AM"</f>
        <v>6/22/2022 8:24:00 AM</v>
      </c>
      <c r="O17080" t="s">
        <v>52388</v>
      </c>
      <c r="T17080" t="s">
        <v>52389</v>
      </c>
    </row>
    <row r="17081" spans="1:20" x14ac:dyDescent="0.25">
      <c r="A17081" t="str">
        <f>"3053278"</f>
        <v>3053278</v>
      </c>
      <c r="B17081" t="s">
        <v>52391</v>
      </c>
      <c r="C17081" t="str">
        <f>"8318050"</f>
        <v>8318050</v>
      </c>
      <c r="D17081" t="s">
        <v>52388</v>
      </c>
      <c r="E17081" t="s">
        <v>52389</v>
      </c>
      <c r="F17081" t="s">
        <v>52390</v>
      </c>
      <c r="I17081" t="s">
        <v>29</v>
      </c>
      <c r="J17081" t="s">
        <v>30</v>
      </c>
      <c r="K17081" t="s">
        <v>14958</v>
      </c>
      <c r="M17081" t="s">
        <v>17861</v>
      </c>
      <c r="N17081" t="str">
        <f>"6/22/2022 8:24:00 AM"</f>
        <v>6/22/2022 8:24:00 AM</v>
      </c>
      <c r="O17081" t="s">
        <v>52388</v>
      </c>
      <c r="T17081" t="s">
        <v>52389</v>
      </c>
    </row>
    <row r="17082" spans="1:20" x14ac:dyDescent="0.25">
      <c r="A17082" t="str">
        <f>"3062286"</f>
        <v>3062286</v>
      </c>
      <c r="B17082" t="s">
        <v>52392</v>
      </c>
      <c r="C17082" t="str">
        <f>"8318051"</f>
        <v>8318051</v>
      </c>
      <c r="D17082" t="s">
        <v>52393</v>
      </c>
      <c r="E17082" t="s">
        <v>52394</v>
      </c>
      <c r="F17082" t="s">
        <v>52395</v>
      </c>
      <c r="I17082" t="s">
        <v>29</v>
      </c>
      <c r="J17082" t="s">
        <v>30</v>
      </c>
      <c r="K17082" t="s">
        <v>14444</v>
      </c>
      <c r="M17082" t="s">
        <v>17861</v>
      </c>
      <c r="N17082" t="str">
        <f>"6/22/2022 9:20:00 AM"</f>
        <v>6/22/2022 9:20:00 AM</v>
      </c>
      <c r="O17082" t="s">
        <v>52393</v>
      </c>
      <c r="T17082" t="s">
        <v>52394</v>
      </c>
    </row>
    <row r="17083" spans="1:20" x14ac:dyDescent="0.25">
      <c r="A17083" t="str">
        <f>"3060521"</f>
        <v>3060521</v>
      </c>
      <c r="B17083" t="s">
        <v>52396</v>
      </c>
      <c r="C17083" t="str">
        <f>"8318052"</f>
        <v>8318052</v>
      </c>
      <c r="D17083" t="s">
        <v>52397</v>
      </c>
      <c r="E17083" t="s">
        <v>52398</v>
      </c>
      <c r="F17083" t="s">
        <v>52399</v>
      </c>
      <c r="I17083" t="s">
        <v>184</v>
      </c>
      <c r="J17083" t="s">
        <v>30</v>
      </c>
      <c r="K17083" t="s">
        <v>33287</v>
      </c>
      <c r="M17083" t="s">
        <v>17861</v>
      </c>
      <c r="N17083" t="str">
        <f>"6/22/2022 9:23:00 AM"</f>
        <v>6/22/2022 9:23:00 AM</v>
      </c>
      <c r="O17083" t="s">
        <v>52397</v>
      </c>
      <c r="T17083" t="s">
        <v>52398</v>
      </c>
    </row>
    <row r="17084" spans="1:20" x14ac:dyDescent="0.25">
      <c r="A17084" t="str">
        <f>"3040755"</f>
        <v>3040755</v>
      </c>
      <c r="B17084" t="s">
        <v>52400</v>
      </c>
      <c r="C17084" t="str">
        <f>"8318053"</f>
        <v>8318053</v>
      </c>
      <c r="D17084" t="str">
        <f>"BURNS THOMAS L SR/PAMELA J"</f>
        <v>BURNS THOMAS L SR/PAMELA J</v>
      </c>
      <c r="E17084" t="s">
        <v>52401</v>
      </c>
      <c r="F17084" t="s">
        <v>52402</v>
      </c>
      <c r="I17084" t="s">
        <v>184</v>
      </c>
      <c r="J17084" t="s">
        <v>30</v>
      </c>
      <c r="K17084" t="s">
        <v>2969</v>
      </c>
      <c r="M17084" t="s">
        <v>17861</v>
      </c>
      <c r="N17084" t="str">
        <f>"6/22/2022 9:27:00 AM"</f>
        <v>6/22/2022 9:27:00 AM</v>
      </c>
      <c r="O17084" t="str">
        <f>"BURNS THOMAS L SR/PAMELA J"</f>
        <v>BURNS THOMAS L SR/PAMELA J</v>
      </c>
      <c r="T17084" t="s">
        <v>52401</v>
      </c>
    </row>
    <row r="17085" spans="1:20" x14ac:dyDescent="0.25">
      <c r="A17085" t="str">
        <f>"3061738"</f>
        <v>3061738</v>
      </c>
      <c r="B17085" t="s">
        <v>52403</v>
      </c>
      <c r="C17085" t="str">
        <f>"8318054"</f>
        <v>8318054</v>
      </c>
      <c r="D17085" t="s">
        <v>52404</v>
      </c>
      <c r="E17085" t="s">
        <v>52405</v>
      </c>
      <c r="F17085" t="s">
        <v>52406</v>
      </c>
      <c r="I17085" t="s">
        <v>2071</v>
      </c>
      <c r="J17085" t="s">
        <v>30</v>
      </c>
      <c r="K17085" t="s">
        <v>30968</v>
      </c>
      <c r="M17085" t="s">
        <v>17861</v>
      </c>
      <c r="N17085" t="str">
        <f>"6/22/2022 9:29:00 AM"</f>
        <v>6/22/2022 9:29:00 AM</v>
      </c>
      <c r="O17085" t="s">
        <v>52404</v>
      </c>
      <c r="T17085" t="s">
        <v>52405</v>
      </c>
    </row>
    <row r="17086" spans="1:20" x14ac:dyDescent="0.25">
      <c r="A17086" t="str">
        <f>"3059620"</f>
        <v>3059620</v>
      </c>
      <c r="B17086" t="s">
        <v>52407</v>
      </c>
      <c r="C17086" t="str">
        <f>"8316350"</f>
        <v>8316350</v>
      </c>
      <c r="D17086" t="s">
        <v>52408</v>
      </c>
      <c r="F17086" t="s">
        <v>52409</v>
      </c>
      <c r="I17086" t="s">
        <v>29</v>
      </c>
      <c r="J17086" t="s">
        <v>30</v>
      </c>
      <c r="K17086" t="str">
        <f>"27028"</f>
        <v>27028</v>
      </c>
      <c r="M17086" t="s">
        <v>18470</v>
      </c>
      <c r="N17086" t="str">
        <f>"6/24/2022 4:52:00 PM"</f>
        <v>6/24/2022 4:52:00 PM</v>
      </c>
      <c r="O17086" t="s">
        <v>52408</v>
      </c>
    </row>
    <row r="17087" spans="1:20" x14ac:dyDescent="0.25">
      <c r="A17087" t="str">
        <f>"3052331"</f>
        <v>3052331</v>
      </c>
      <c r="B17087" t="s">
        <v>52410</v>
      </c>
      <c r="C17087" t="str">
        <f>"8315604"</f>
        <v>8315604</v>
      </c>
      <c r="D17087" t="s">
        <v>52411</v>
      </c>
      <c r="F17087" t="s">
        <v>52412</v>
      </c>
      <c r="I17087" t="s">
        <v>29</v>
      </c>
      <c r="J17087" t="s">
        <v>30</v>
      </c>
      <c r="K17087" t="s">
        <v>11824</v>
      </c>
      <c r="M17087" t="s">
        <v>18470</v>
      </c>
      <c r="N17087" t="str">
        <f>"6/27/2022 11:13:00 AM"</f>
        <v>6/27/2022 11:13:00 AM</v>
      </c>
      <c r="O17087" t="s">
        <v>52411</v>
      </c>
    </row>
    <row r="17088" spans="1:20" x14ac:dyDescent="0.25">
      <c r="A17088" t="str">
        <f>"3076728"</f>
        <v>3076728</v>
      </c>
      <c r="B17088" t="s">
        <v>52413</v>
      </c>
      <c r="C17088" t="str">
        <f>"8315789"</f>
        <v>8315789</v>
      </c>
      <c r="D17088" t="s">
        <v>52414</v>
      </c>
      <c r="F17088" t="s">
        <v>50845</v>
      </c>
      <c r="I17088" t="s">
        <v>184</v>
      </c>
      <c r="J17088" t="s">
        <v>30</v>
      </c>
      <c r="K17088" t="s">
        <v>50846</v>
      </c>
      <c r="M17088" t="s">
        <v>18479</v>
      </c>
      <c r="N17088" t="str">
        <f>"6/28/2022 3:44:00 PM"</f>
        <v>6/28/2022 3:44:00 PM</v>
      </c>
      <c r="O17088" t="s">
        <v>52414</v>
      </c>
    </row>
    <row r="17089" spans="1:20" x14ac:dyDescent="0.25">
      <c r="A17089" t="str">
        <f>"3039276"</f>
        <v>3039276</v>
      </c>
      <c r="B17089" t="s">
        <v>52415</v>
      </c>
      <c r="C17089" t="str">
        <f>"8315035"</f>
        <v>8315035</v>
      </c>
      <c r="D17089" t="s">
        <v>52416</v>
      </c>
      <c r="E17089" t="s">
        <v>52417</v>
      </c>
      <c r="F17089" t="s">
        <v>42705</v>
      </c>
      <c r="I17089" t="s">
        <v>29</v>
      </c>
      <c r="J17089" t="s">
        <v>30</v>
      </c>
      <c r="K17089" t="s">
        <v>21211</v>
      </c>
      <c r="M17089" t="s">
        <v>18479</v>
      </c>
      <c r="N17089" t="str">
        <f>"6/28/2022 4:32:00 PM"</f>
        <v>6/28/2022 4:32:00 PM</v>
      </c>
      <c r="O17089" t="s">
        <v>52416</v>
      </c>
      <c r="T17089" t="s">
        <v>52417</v>
      </c>
    </row>
    <row r="17090" spans="1:20" x14ac:dyDescent="0.25">
      <c r="A17090" t="str">
        <f>"3038808"</f>
        <v>3038808</v>
      </c>
      <c r="B17090" t="s">
        <v>52418</v>
      </c>
      <c r="C17090" t="str">
        <f>"8301901"</f>
        <v>8301901</v>
      </c>
      <c r="D17090" t="s">
        <v>52419</v>
      </c>
      <c r="E17090" t="s">
        <v>52420</v>
      </c>
      <c r="F17090" t="s">
        <v>52421</v>
      </c>
      <c r="I17090" t="s">
        <v>29</v>
      </c>
      <c r="J17090" t="s">
        <v>30</v>
      </c>
      <c r="K17090" t="str">
        <f>"27028"</f>
        <v>27028</v>
      </c>
      <c r="M17090" t="s">
        <v>18479</v>
      </c>
      <c r="N17090" t="str">
        <f>"6/28/2022 4:57:00 PM"</f>
        <v>6/28/2022 4:57:00 PM</v>
      </c>
      <c r="O17090" t="s">
        <v>52419</v>
      </c>
      <c r="T17090" t="s">
        <v>52420</v>
      </c>
    </row>
    <row r="17091" spans="1:20" x14ac:dyDescent="0.25">
      <c r="A17091" t="str">
        <f>"3060411"</f>
        <v>3060411</v>
      </c>
      <c r="B17091" t="s">
        <v>52422</v>
      </c>
      <c r="C17091" t="str">
        <f>"8316495"</f>
        <v>8316495</v>
      </c>
      <c r="D17091" t="s">
        <v>52346</v>
      </c>
      <c r="E17091" t="s">
        <v>35537</v>
      </c>
      <c r="F17091" t="s">
        <v>52347</v>
      </c>
      <c r="I17091" t="s">
        <v>2071</v>
      </c>
      <c r="J17091" t="s">
        <v>30</v>
      </c>
      <c r="K17091" t="s">
        <v>3641</v>
      </c>
      <c r="M17091" t="s">
        <v>18479</v>
      </c>
      <c r="N17091" t="str">
        <f>"6/29/2022 12:22:00 PM"</f>
        <v>6/29/2022 12:22:00 PM</v>
      </c>
      <c r="O17091" t="s">
        <v>52346</v>
      </c>
      <c r="T17091" t="s">
        <v>35537</v>
      </c>
    </row>
    <row r="17092" spans="1:20" x14ac:dyDescent="0.25">
      <c r="A17092" t="str">
        <f>"3040881"</f>
        <v>3040881</v>
      </c>
      <c r="B17092" t="s">
        <v>52423</v>
      </c>
      <c r="C17092" t="str">
        <f>"82530642"</f>
        <v>82530642</v>
      </c>
      <c r="D17092" t="s">
        <v>52424</v>
      </c>
      <c r="F17092" t="s">
        <v>52425</v>
      </c>
      <c r="I17092" t="s">
        <v>471</v>
      </c>
      <c r="J17092" t="s">
        <v>30</v>
      </c>
      <c r="K17092" t="s">
        <v>52426</v>
      </c>
      <c r="M17092" t="s">
        <v>18479</v>
      </c>
      <c r="N17092" t="str">
        <f>"6/29/2022 2:39:00 PM"</f>
        <v>6/29/2022 2:39:00 PM</v>
      </c>
      <c r="O17092" t="s">
        <v>52424</v>
      </c>
    </row>
    <row r="17093" spans="1:20" x14ac:dyDescent="0.25">
      <c r="A17093" t="str">
        <f>"3058973"</f>
        <v>3058973</v>
      </c>
      <c r="B17093" t="s">
        <v>52427</v>
      </c>
      <c r="C17093" t="str">
        <f>"8318145"</f>
        <v>8318145</v>
      </c>
      <c r="D17093" t="s">
        <v>52428</v>
      </c>
      <c r="E17093" t="s">
        <v>52429</v>
      </c>
      <c r="F17093" t="s">
        <v>52430</v>
      </c>
      <c r="I17093" t="s">
        <v>29</v>
      </c>
      <c r="J17093" t="s">
        <v>30</v>
      </c>
      <c r="K17093" t="s">
        <v>52431</v>
      </c>
      <c r="M17093" t="s">
        <v>17861</v>
      </c>
      <c r="N17093" t="str">
        <f>"7/5/2022 11:10:00 AM"</f>
        <v>7/5/2022 11:10:00 AM</v>
      </c>
      <c r="O17093" t="s">
        <v>52428</v>
      </c>
      <c r="T17093" t="s">
        <v>52429</v>
      </c>
    </row>
    <row r="17094" spans="1:20" x14ac:dyDescent="0.25">
      <c r="A17094" t="str">
        <f>"3040517"</f>
        <v>3040517</v>
      </c>
      <c r="B17094" t="s">
        <v>52432</v>
      </c>
      <c r="C17094" t="str">
        <f>"8318146"</f>
        <v>8318146</v>
      </c>
      <c r="D17094" t="s">
        <v>52433</v>
      </c>
      <c r="E17094" t="s">
        <v>52434</v>
      </c>
      <c r="F17094" t="s">
        <v>52435</v>
      </c>
      <c r="I17094" t="s">
        <v>184</v>
      </c>
      <c r="J17094" t="s">
        <v>30</v>
      </c>
      <c r="K17094" t="s">
        <v>2088</v>
      </c>
      <c r="M17094" t="s">
        <v>17861</v>
      </c>
      <c r="N17094" t="str">
        <f>"7/5/2022 11:17:00 AM"</f>
        <v>7/5/2022 11:17:00 AM</v>
      </c>
      <c r="O17094" t="s">
        <v>52433</v>
      </c>
      <c r="T17094" t="s">
        <v>52434</v>
      </c>
    </row>
    <row r="17095" spans="1:20" x14ac:dyDescent="0.25">
      <c r="A17095" t="str">
        <f>"3051879"</f>
        <v>3051879</v>
      </c>
      <c r="B17095" t="s">
        <v>52436</v>
      </c>
      <c r="C17095" t="str">
        <f>"8318148"</f>
        <v>8318148</v>
      </c>
      <c r="D17095" t="s">
        <v>52437</v>
      </c>
      <c r="F17095" t="s">
        <v>52438</v>
      </c>
      <c r="I17095" t="s">
        <v>29</v>
      </c>
      <c r="J17095" t="s">
        <v>30</v>
      </c>
      <c r="K17095" t="s">
        <v>9595</v>
      </c>
      <c r="M17095" t="s">
        <v>17861</v>
      </c>
      <c r="N17095" t="str">
        <f>"7/5/2022 11:22:00 AM"</f>
        <v>7/5/2022 11:22:00 AM</v>
      </c>
      <c r="O17095" t="s">
        <v>52437</v>
      </c>
    </row>
    <row r="17096" spans="1:20" x14ac:dyDescent="0.25">
      <c r="A17096" t="str">
        <f>"3072453"</f>
        <v>3072453</v>
      </c>
      <c r="B17096" t="s">
        <v>52439</v>
      </c>
      <c r="C17096" t="str">
        <f>"8318149"</f>
        <v>8318149</v>
      </c>
      <c r="D17096" t="s">
        <v>52440</v>
      </c>
      <c r="F17096" t="s">
        <v>52441</v>
      </c>
      <c r="I17096" t="s">
        <v>52442</v>
      </c>
      <c r="J17096" t="s">
        <v>23322</v>
      </c>
      <c r="K17096" t="s">
        <v>52443</v>
      </c>
      <c r="M17096" t="s">
        <v>17861</v>
      </c>
      <c r="N17096" t="str">
        <f>"7/5/2022 11:29:00 AM"</f>
        <v>7/5/2022 11:29:00 AM</v>
      </c>
      <c r="O17096" t="s">
        <v>52440</v>
      </c>
    </row>
    <row r="17097" spans="1:20" x14ac:dyDescent="0.25">
      <c r="A17097" t="str">
        <f>"3056717"</f>
        <v>3056717</v>
      </c>
      <c r="B17097" t="s">
        <v>52444</v>
      </c>
      <c r="C17097" t="str">
        <f>"8315602"</f>
        <v>8315602</v>
      </c>
      <c r="D17097" t="s">
        <v>52445</v>
      </c>
      <c r="F17097" t="s">
        <v>52446</v>
      </c>
      <c r="I17097" t="s">
        <v>29</v>
      </c>
      <c r="J17097" t="s">
        <v>30</v>
      </c>
      <c r="K17097" t="s">
        <v>52447</v>
      </c>
      <c r="M17097" t="s">
        <v>18479</v>
      </c>
      <c r="N17097" t="str">
        <f>"6/29/2022 4:49:00 PM"</f>
        <v>6/29/2022 4:49:00 PM</v>
      </c>
      <c r="O17097" t="s">
        <v>52445</v>
      </c>
    </row>
    <row r="17098" spans="1:20" x14ac:dyDescent="0.25">
      <c r="A17098" t="str">
        <f>"3048911"</f>
        <v>3048911</v>
      </c>
      <c r="B17098" t="s">
        <v>52448</v>
      </c>
      <c r="C17098" t="str">
        <f>"8315108"</f>
        <v>8315108</v>
      </c>
      <c r="D17098" t="s">
        <v>52449</v>
      </c>
      <c r="E17098" t="s">
        <v>40043</v>
      </c>
      <c r="F17098" t="s">
        <v>40044</v>
      </c>
      <c r="I17098" t="s">
        <v>29</v>
      </c>
      <c r="J17098" t="s">
        <v>30</v>
      </c>
      <c r="K17098" t="s">
        <v>40045</v>
      </c>
      <c r="M17098" t="s">
        <v>18479</v>
      </c>
      <c r="N17098" t="str">
        <f>"6/29/2022 4:55:00 PM"</f>
        <v>6/29/2022 4:55:00 PM</v>
      </c>
      <c r="O17098" t="s">
        <v>52449</v>
      </c>
      <c r="T17098" t="s">
        <v>40043</v>
      </c>
    </row>
    <row r="17099" spans="1:20" x14ac:dyDescent="0.25">
      <c r="A17099" t="str">
        <f>"3044887"</f>
        <v>3044887</v>
      </c>
      <c r="B17099" t="s">
        <v>52450</v>
      </c>
      <c r="C17099" t="str">
        <f>"8318105"</f>
        <v>8318105</v>
      </c>
      <c r="D17099" t="s">
        <v>52451</v>
      </c>
      <c r="F17099" t="s">
        <v>52452</v>
      </c>
      <c r="I17099" t="s">
        <v>471</v>
      </c>
      <c r="J17099" t="s">
        <v>30</v>
      </c>
      <c r="K17099" t="s">
        <v>52453</v>
      </c>
      <c r="M17099" t="s">
        <v>17861</v>
      </c>
      <c r="N17099" t="str">
        <f>"6/24/2022 3:44:00 PM"</f>
        <v>6/24/2022 3:44:00 PM</v>
      </c>
      <c r="O17099" t="s">
        <v>52451</v>
      </c>
    </row>
    <row r="17100" spans="1:20" x14ac:dyDescent="0.25">
      <c r="A17100" t="str">
        <f>"3058410"</f>
        <v>3058410</v>
      </c>
      <c r="B17100" t="s">
        <v>52454</v>
      </c>
      <c r="C17100" t="str">
        <f>"8315415"</f>
        <v>8315415</v>
      </c>
      <c r="D17100" t="s">
        <v>52455</v>
      </c>
      <c r="E17100" t="s">
        <v>52456</v>
      </c>
      <c r="F17100" t="s">
        <v>52457</v>
      </c>
      <c r="I17100" t="s">
        <v>184</v>
      </c>
      <c r="J17100" t="s">
        <v>30</v>
      </c>
      <c r="K17100" t="s">
        <v>34675</v>
      </c>
      <c r="M17100" t="s">
        <v>18470</v>
      </c>
      <c r="N17100" t="str">
        <f>"6/24/2022 3:44:00 PM"</f>
        <v>6/24/2022 3:44:00 PM</v>
      </c>
      <c r="O17100" t="s">
        <v>52455</v>
      </c>
      <c r="T17100" t="s">
        <v>52456</v>
      </c>
    </row>
    <row r="17101" spans="1:20" x14ac:dyDescent="0.25">
      <c r="A17101" t="str">
        <f>"3059984"</f>
        <v>3059984</v>
      </c>
      <c r="B17101" t="s">
        <v>52458</v>
      </c>
      <c r="C17101" t="str">
        <f>"8318106"</f>
        <v>8318106</v>
      </c>
      <c r="D17101" t="s">
        <v>52459</v>
      </c>
      <c r="E17101" t="s">
        <v>52460</v>
      </c>
      <c r="F17101" t="s">
        <v>52461</v>
      </c>
      <c r="I17101" t="s">
        <v>184</v>
      </c>
      <c r="J17101" t="s">
        <v>30</v>
      </c>
      <c r="K17101" t="str">
        <f>"27006"</f>
        <v>27006</v>
      </c>
      <c r="M17101" t="s">
        <v>17861</v>
      </c>
      <c r="N17101" t="str">
        <f>"6/24/2022 3:46:00 PM"</f>
        <v>6/24/2022 3:46:00 PM</v>
      </c>
      <c r="O17101" t="s">
        <v>52459</v>
      </c>
      <c r="T17101" t="s">
        <v>52460</v>
      </c>
    </row>
    <row r="17102" spans="1:20" x14ac:dyDescent="0.25">
      <c r="A17102" t="str">
        <f>"3058952"</f>
        <v>3058952</v>
      </c>
      <c r="B17102" t="s">
        <v>52462</v>
      </c>
      <c r="C17102" t="str">
        <f>"8318108"</f>
        <v>8318108</v>
      </c>
      <c r="D17102" t="s">
        <v>52463</v>
      </c>
      <c r="E17102" t="s">
        <v>52464</v>
      </c>
      <c r="F17102" t="s">
        <v>52465</v>
      </c>
      <c r="I17102" t="s">
        <v>29</v>
      </c>
      <c r="J17102" t="s">
        <v>30</v>
      </c>
      <c r="K17102" t="s">
        <v>52296</v>
      </c>
      <c r="M17102" t="s">
        <v>17861</v>
      </c>
      <c r="N17102" t="str">
        <f>"6/24/2022 4:00:00 PM"</f>
        <v>6/24/2022 4:00:00 PM</v>
      </c>
      <c r="O17102" t="s">
        <v>52463</v>
      </c>
      <c r="T17102" t="s">
        <v>52464</v>
      </c>
    </row>
    <row r="17103" spans="1:20" x14ac:dyDescent="0.25">
      <c r="A17103" t="str">
        <f>"3041824"</f>
        <v>3041824</v>
      </c>
      <c r="B17103" t="s">
        <v>52466</v>
      </c>
      <c r="C17103" t="str">
        <f>"8318133"</f>
        <v>8318133</v>
      </c>
      <c r="D17103" t="s">
        <v>29452</v>
      </c>
      <c r="E17103" t="s">
        <v>29453</v>
      </c>
      <c r="F17103" t="s">
        <v>52467</v>
      </c>
      <c r="I17103" t="s">
        <v>2071</v>
      </c>
      <c r="J17103" t="s">
        <v>30</v>
      </c>
      <c r="K17103" t="s">
        <v>34817</v>
      </c>
      <c r="M17103" t="s">
        <v>17861</v>
      </c>
      <c r="N17103" t="str">
        <f>"7/5/2022 10:17:00 AM"</f>
        <v>7/5/2022 10:17:00 AM</v>
      </c>
      <c r="O17103" t="s">
        <v>29452</v>
      </c>
      <c r="T17103" t="s">
        <v>29453</v>
      </c>
    </row>
    <row r="17104" spans="1:20" x14ac:dyDescent="0.25">
      <c r="A17104" t="str">
        <f>"3062842"</f>
        <v>3062842</v>
      </c>
      <c r="B17104" t="s">
        <v>52468</v>
      </c>
      <c r="C17104" t="str">
        <f>"8318134"</f>
        <v>8318134</v>
      </c>
      <c r="D17104" t="s">
        <v>52469</v>
      </c>
      <c r="F17104" t="s">
        <v>52470</v>
      </c>
      <c r="I17104" t="s">
        <v>29</v>
      </c>
      <c r="J17104" t="s">
        <v>30</v>
      </c>
      <c r="K17104" t="s">
        <v>36218</v>
      </c>
      <c r="M17104" t="s">
        <v>17861</v>
      </c>
      <c r="N17104" t="str">
        <f>"7/5/2022 10:19:00 AM"</f>
        <v>7/5/2022 10:19:00 AM</v>
      </c>
      <c r="O17104" t="s">
        <v>52469</v>
      </c>
    </row>
    <row r="17105" spans="1:20" x14ac:dyDescent="0.25">
      <c r="A17105" t="str">
        <f>"3047310"</f>
        <v>3047310</v>
      </c>
      <c r="B17105" t="s">
        <v>52471</v>
      </c>
      <c r="C17105" t="str">
        <f>"8318137"</f>
        <v>8318137</v>
      </c>
      <c r="D17105" t="s">
        <v>52472</v>
      </c>
      <c r="E17105" t="s">
        <v>52473</v>
      </c>
      <c r="F17105" t="s">
        <v>52474</v>
      </c>
      <c r="I17105" t="s">
        <v>184</v>
      </c>
      <c r="J17105" t="s">
        <v>30</v>
      </c>
      <c r="K17105" t="str">
        <f>"27006"</f>
        <v>27006</v>
      </c>
      <c r="M17105" t="s">
        <v>17861</v>
      </c>
      <c r="N17105" t="str">
        <f>"7/5/2022 10:30:00 AM"</f>
        <v>7/5/2022 10:30:00 AM</v>
      </c>
      <c r="O17105" t="s">
        <v>52472</v>
      </c>
      <c r="T17105" t="s">
        <v>52473</v>
      </c>
    </row>
    <row r="17106" spans="1:20" x14ac:dyDescent="0.25">
      <c r="A17106" t="str">
        <f>"3070975"</f>
        <v>3070975</v>
      </c>
      <c r="B17106" t="s">
        <v>52475</v>
      </c>
      <c r="C17106" t="str">
        <f>"8318166"</f>
        <v>8318166</v>
      </c>
      <c r="D17106" t="s">
        <v>52476</v>
      </c>
      <c r="E17106" t="s">
        <v>52477</v>
      </c>
      <c r="F17106" t="s">
        <v>52478</v>
      </c>
      <c r="I17106" t="s">
        <v>163</v>
      </c>
      <c r="J17106" t="s">
        <v>30</v>
      </c>
      <c r="K17106" t="str">
        <f>"27284"</f>
        <v>27284</v>
      </c>
      <c r="M17106" t="s">
        <v>17861</v>
      </c>
      <c r="N17106" t="str">
        <f>"7/7/2022 9:59:00 AM"</f>
        <v>7/7/2022 9:59:00 AM</v>
      </c>
      <c r="O17106" t="s">
        <v>52476</v>
      </c>
      <c r="T17106" t="s">
        <v>52477</v>
      </c>
    </row>
    <row r="17107" spans="1:20" x14ac:dyDescent="0.25">
      <c r="A17107" t="str">
        <f>"3038970"</f>
        <v>3038970</v>
      </c>
      <c r="B17107" t="s">
        <v>52479</v>
      </c>
      <c r="C17107" t="str">
        <f>"8318166"</f>
        <v>8318166</v>
      </c>
      <c r="D17107" t="s">
        <v>52476</v>
      </c>
      <c r="E17107" t="s">
        <v>52477</v>
      </c>
      <c r="F17107" t="s">
        <v>52478</v>
      </c>
      <c r="I17107" t="s">
        <v>163</v>
      </c>
      <c r="J17107" t="s">
        <v>30</v>
      </c>
      <c r="K17107" t="str">
        <f>"27284"</f>
        <v>27284</v>
      </c>
      <c r="M17107" t="s">
        <v>17861</v>
      </c>
      <c r="N17107" t="str">
        <f>"7/7/2022 9:59:00 AM"</f>
        <v>7/7/2022 9:59:00 AM</v>
      </c>
      <c r="O17107" t="s">
        <v>52476</v>
      </c>
      <c r="T17107" t="s">
        <v>52477</v>
      </c>
    </row>
    <row r="17108" spans="1:20" x14ac:dyDescent="0.25">
      <c r="A17108" t="str">
        <f>"3037185"</f>
        <v>3037185</v>
      </c>
      <c r="B17108" t="s">
        <v>52480</v>
      </c>
      <c r="C17108" t="str">
        <f>"8318138"</f>
        <v>8318138</v>
      </c>
      <c r="D17108" t="s">
        <v>52481</v>
      </c>
      <c r="F17108" t="s">
        <v>45385</v>
      </c>
      <c r="I17108" t="s">
        <v>184</v>
      </c>
      <c r="J17108" t="s">
        <v>30</v>
      </c>
      <c r="K17108" t="s">
        <v>840</v>
      </c>
      <c r="M17108" t="s">
        <v>17861</v>
      </c>
      <c r="N17108" t="str">
        <f>"7/5/2022 10:32:00 AM"</f>
        <v>7/5/2022 10:32:00 AM</v>
      </c>
      <c r="O17108" t="s">
        <v>52481</v>
      </c>
    </row>
    <row r="17109" spans="1:20" x14ac:dyDescent="0.25">
      <c r="A17109" t="str">
        <f>"3057683"</f>
        <v>3057683</v>
      </c>
      <c r="B17109" t="s">
        <v>52482</v>
      </c>
      <c r="C17109" t="str">
        <f>"8318138"</f>
        <v>8318138</v>
      </c>
      <c r="D17109" t="s">
        <v>52481</v>
      </c>
      <c r="F17109" t="s">
        <v>45385</v>
      </c>
      <c r="I17109" t="s">
        <v>184</v>
      </c>
      <c r="J17109" t="s">
        <v>30</v>
      </c>
      <c r="K17109" t="s">
        <v>840</v>
      </c>
      <c r="M17109" t="s">
        <v>17861</v>
      </c>
      <c r="N17109" t="str">
        <f>"7/5/2022 10:32:00 AM"</f>
        <v>7/5/2022 10:32:00 AM</v>
      </c>
      <c r="O17109" t="s">
        <v>52481</v>
      </c>
    </row>
    <row r="17110" spans="1:20" x14ac:dyDescent="0.25">
      <c r="A17110" t="str">
        <f>"3056688"</f>
        <v>3056688</v>
      </c>
      <c r="B17110" t="s">
        <v>52483</v>
      </c>
      <c r="C17110" t="str">
        <f>"8318144"</f>
        <v>8318144</v>
      </c>
      <c r="D17110" t="s">
        <v>52484</v>
      </c>
      <c r="F17110" t="s">
        <v>52485</v>
      </c>
      <c r="I17110" t="s">
        <v>29</v>
      </c>
      <c r="J17110" t="s">
        <v>30</v>
      </c>
      <c r="K17110" t="s">
        <v>16753</v>
      </c>
      <c r="M17110" t="s">
        <v>17861</v>
      </c>
      <c r="N17110" t="str">
        <f>"7/5/2022 11:04:00 AM"</f>
        <v>7/5/2022 11:04:00 AM</v>
      </c>
      <c r="O17110" t="s">
        <v>52484</v>
      </c>
    </row>
    <row r="17111" spans="1:20" x14ac:dyDescent="0.25">
      <c r="A17111" t="str">
        <f>"3042790"</f>
        <v>3042790</v>
      </c>
      <c r="B17111" t="s">
        <v>52486</v>
      </c>
      <c r="C17111" t="str">
        <f>"8318150"</f>
        <v>8318150</v>
      </c>
      <c r="D17111" t="s">
        <v>52487</v>
      </c>
      <c r="E17111" t="s">
        <v>52488</v>
      </c>
      <c r="F17111" t="s">
        <v>52489</v>
      </c>
      <c r="I17111" t="s">
        <v>7917</v>
      </c>
      <c r="J17111" t="s">
        <v>30</v>
      </c>
      <c r="K17111" t="s">
        <v>52490</v>
      </c>
      <c r="M17111" t="s">
        <v>17861</v>
      </c>
      <c r="N17111" t="str">
        <f>"7/5/2022 12:54:00 PM"</f>
        <v>7/5/2022 12:54:00 PM</v>
      </c>
      <c r="O17111" t="s">
        <v>52487</v>
      </c>
      <c r="T17111" t="s">
        <v>52488</v>
      </c>
    </row>
    <row r="17112" spans="1:20" x14ac:dyDescent="0.25">
      <c r="A17112" t="str">
        <f>"3057604"</f>
        <v>3057604</v>
      </c>
      <c r="B17112" t="s">
        <v>52491</v>
      </c>
      <c r="C17112" t="str">
        <f>"8318176"</f>
        <v>8318176</v>
      </c>
      <c r="D17112" t="s">
        <v>52492</v>
      </c>
      <c r="E17112" t="s">
        <v>52493</v>
      </c>
      <c r="F17112" t="s">
        <v>52494</v>
      </c>
      <c r="I17112" t="s">
        <v>29</v>
      </c>
      <c r="J17112" t="s">
        <v>30</v>
      </c>
      <c r="K17112" t="s">
        <v>52495</v>
      </c>
      <c r="M17112" t="s">
        <v>17861</v>
      </c>
      <c r="N17112" t="str">
        <f>"7/7/2022 1:10:00 PM"</f>
        <v>7/7/2022 1:10:00 PM</v>
      </c>
      <c r="O17112" t="s">
        <v>52492</v>
      </c>
      <c r="T17112" t="s">
        <v>52493</v>
      </c>
    </row>
    <row r="17113" spans="1:20" x14ac:dyDescent="0.25">
      <c r="A17113" t="str">
        <f>"3051582"</f>
        <v>3051582</v>
      </c>
      <c r="B17113" t="s">
        <v>52496</v>
      </c>
      <c r="C17113" t="str">
        <f>"8318151"</f>
        <v>8318151</v>
      </c>
      <c r="D17113" t="s">
        <v>52497</v>
      </c>
      <c r="F17113" t="s">
        <v>52498</v>
      </c>
      <c r="I17113" t="s">
        <v>29</v>
      </c>
      <c r="J17113" t="s">
        <v>30</v>
      </c>
      <c r="K17113" t="s">
        <v>52499</v>
      </c>
      <c r="M17113" t="s">
        <v>17861</v>
      </c>
      <c r="N17113" t="str">
        <f>"7/5/2022 12:57:00 PM"</f>
        <v>7/5/2022 12:57:00 PM</v>
      </c>
      <c r="O17113" t="s">
        <v>52497</v>
      </c>
    </row>
    <row r="17114" spans="1:20" x14ac:dyDescent="0.25">
      <c r="A17114" t="str">
        <f>"3042257"</f>
        <v>3042257</v>
      </c>
      <c r="B17114" t="s">
        <v>52500</v>
      </c>
      <c r="C17114" t="str">
        <f>"8318152"</f>
        <v>8318152</v>
      </c>
      <c r="D17114" t="s">
        <v>52501</v>
      </c>
      <c r="F17114" t="s">
        <v>52502</v>
      </c>
      <c r="I17114" t="s">
        <v>29</v>
      </c>
      <c r="J17114" t="s">
        <v>30</v>
      </c>
      <c r="K17114" t="s">
        <v>2648</v>
      </c>
      <c r="M17114" t="s">
        <v>17861</v>
      </c>
      <c r="N17114" t="str">
        <f>"7/5/2022 1:01:00 PM"</f>
        <v>7/5/2022 1:01:00 PM</v>
      </c>
      <c r="O17114" t="s">
        <v>52501</v>
      </c>
    </row>
    <row r="17115" spans="1:20" x14ac:dyDescent="0.25">
      <c r="A17115" t="str">
        <f>"3046249"</f>
        <v>3046249</v>
      </c>
      <c r="B17115" t="s">
        <v>52503</v>
      </c>
      <c r="C17115" t="str">
        <f>"8318178"</f>
        <v>8318178</v>
      </c>
      <c r="D17115" t="s">
        <v>52504</v>
      </c>
      <c r="F17115" t="s">
        <v>51140</v>
      </c>
      <c r="I17115" t="s">
        <v>184</v>
      </c>
      <c r="J17115" t="s">
        <v>30</v>
      </c>
      <c r="K17115" t="s">
        <v>9123</v>
      </c>
      <c r="M17115" t="s">
        <v>17861</v>
      </c>
      <c r="N17115" t="str">
        <f>"7/7/2022 2:37:00 PM"</f>
        <v>7/7/2022 2:37:00 PM</v>
      </c>
      <c r="O17115" t="s">
        <v>52504</v>
      </c>
    </row>
    <row r="17116" spans="1:20" x14ac:dyDescent="0.25">
      <c r="A17116" t="str">
        <f>"3046004"</f>
        <v>3046004</v>
      </c>
      <c r="B17116" t="s">
        <v>52505</v>
      </c>
      <c r="C17116" t="str">
        <f>"8318178"</f>
        <v>8318178</v>
      </c>
      <c r="D17116" t="s">
        <v>52504</v>
      </c>
      <c r="F17116" t="s">
        <v>51140</v>
      </c>
      <c r="I17116" t="s">
        <v>184</v>
      </c>
      <c r="J17116" t="s">
        <v>30</v>
      </c>
      <c r="K17116" t="s">
        <v>9123</v>
      </c>
      <c r="M17116" t="s">
        <v>17861</v>
      </c>
      <c r="N17116" t="str">
        <f>"7/7/2022 2:37:00 PM"</f>
        <v>7/7/2022 2:37:00 PM</v>
      </c>
      <c r="O17116" t="s">
        <v>52504</v>
      </c>
    </row>
    <row r="17117" spans="1:20" x14ac:dyDescent="0.25">
      <c r="A17117" t="str">
        <f>"3058828"</f>
        <v>3058828</v>
      </c>
      <c r="B17117" t="s">
        <v>52506</v>
      </c>
      <c r="C17117" t="str">
        <f>"8317678"</f>
        <v>8317678</v>
      </c>
      <c r="D17117" t="s">
        <v>52507</v>
      </c>
      <c r="F17117" t="s">
        <v>52508</v>
      </c>
      <c r="I17117" t="s">
        <v>29</v>
      </c>
      <c r="J17117" t="s">
        <v>30</v>
      </c>
      <c r="K17117" t="s">
        <v>40174</v>
      </c>
      <c r="M17117" t="s">
        <v>17861</v>
      </c>
      <c r="N17117" t="str">
        <f>"7/5/2022 8:16:00 AM"</f>
        <v>7/5/2022 8:16:00 AM</v>
      </c>
      <c r="O17117" t="s">
        <v>52507</v>
      </c>
    </row>
    <row r="17118" spans="1:20" x14ac:dyDescent="0.25">
      <c r="A17118" t="str">
        <f>"3061524"</f>
        <v>3061524</v>
      </c>
      <c r="B17118" t="s">
        <v>52509</v>
      </c>
      <c r="C17118" t="str">
        <f>"8318120"</f>
        <v>8318120</v>
      </c>
      <c r="D17118" t="s">
        <v>52510</v>
      </c>
      <c r="E17118" t="s">
        <v>52511</v>
      </c>
      <c r="F17118" t="s">
        <v>52512</v>
      </c>
      <c r="I17118" t="s">
        <v>184</v>
      </c>
      <c r="J17118" t="s">
        <v>30</v>
      </c>
      <c r="K17118" t="s">
        <v>19749</v>
      </c>
      <c r="M17118" t="s">
        <v>17861</v>
      </c>
      <c r="N17118" t="str">
        <f>"7/5/2022 8:40:00 AM"</f>
        <v>7/5/2022 8:40:00 AM</v>
      </c>
      <c r="O17118" t="s">
        <v>52510</v>
      </c>
      <c r="T17118" t="s">
        <v>52511</v>
      </c>
    </row>
    <row r="17119" spans="1:20" x14ac:dyDescent="0.25">
      <c r="A17119" t="str">
        <f>"3039547"</f>
        <v>3039547</v>
      </c>
      <c r="B17119" t="s">
        <v>52513</v>
      </c>
      <c r="C17119" t="str">
        <f>"8318120"</f>
        <v>8318120</v>
      </c>
      <c r="D17119" t="s">
        <v>52510</v>
      </c>
      <c r="E17119" t="s">
        <v>52511</v>
      </c>
      <c r="F17119" t="s">
        <v>52512</v>
      </c>
      <c r="I17119" t="s">
        <v>184</v>
      </c>
      <c r="J17119" t="s">
        <v>30</v>
      </c>
      <c r="K17119" t="s">
        <v>19749</v>
      </c>
      <c r="M17119" t="s">
        <v>17861</v>
      </c>
      <c r="N17119" t="str">
        <f>"7/5/2022 8:40:00 AM"</f>
        <v>7/5/2022 8:40:00 AM</v>
      </c>
      <c r="O17119" t="s">
        <v>52510</v>
      </c>
      <c r="T17119" t="s">
        <v>52511</v>
      </c>
    </row>
    <row r="17120" spans="1:20" x14ac:dyDescent="0.25">
      <c r="A17120" t="str">
        <f>"3061629"</f>
        <v>3061629</v>
      </c>
      <c r="B17120" t="s">
        <v>52514</v>
      </c>
      <c r="C17120" t="str">
        <f>"8318121"</f>
        <v>8318121</v>
      </c>
      <c r="D17120" t="s">
        <v>52515</v>
      </c>
      <c r="E17120" t="s">
        <v>52516</v>
      </c>
      <c r="F17120" t="s">
        <v>52517</v>
      </c>
      <c r="I17120" t="s">
        <v>29</v>
      </c>
      <c r="J17120" t="s">
        <v>30</v>
      </c>
      <c r="K17120" t="s">
        <v>13727</v>
      </c>
      <c r="M17120" t="s">
        <v>17861</v>
      </c>
      <c r="N17120" t="str">
        <f>"7/5/2022 8:44:00 AM"</f>
        <v>7/5/2022 8:44:00 AM</v>
      </c>
      <c r="O17120" t="s">
        <v>52515</v>
      </c>
      <c r="T17120" t="s">
        <v>52516</v>
      </c>
    </row>
    <row r="17121" spans="1:20" x14ac:dyDescent="0.25">
      <c r="A17121" t="str">
        <f>"3055807"</f>
        <v>3055807</v>
      </c>
      <c r="B17121" t="s">
        <v>52518</v>
      </c>
      <c r="C17121" t="str">
        <f>"8318122"</f>
        <v>8318122</v>
      </c>
      <c r="D17121" t="s">
        <v>52519</v>
      </c>
      <c r="F17121" t="s">
        <v>52267</v>
      </c>
      <c r="I17121" t="s">
        <v>3196</v>
      </c>
      <c r="J17121" t="s">
        <v>30</v>
      </c>
      <c r="K17121" t="s">
        <v>52268</v>
      </c>
      <c r="M17121" t="s">
        <v>17861</v>
      </c>
      <c r="N17121" t="str">
        <f>"7/5/2022 8:49:00 AM"</f>
        <v>7/5/2022 8:49:00 AM</v>
      </c>
      <c r="O17121" t="s">
        <v>52519</v>
      </c>
    </row>
    <row r="17122" spans="1:20" x14ac:dyDescent="0.25">
      <c r="A17122" t="str">
        <f>"3068352"</f>
        <v>3068352</v>
      </c>
      <c r="B17122" t="s">
        <v>52520</v>
      </c>
      <c r="C17122" t="str">
        <f>"8318154"</f>
        <v>8318154</v>
      </c>
      <c r="D17122" t="s">
        <v>52521</v>
      </c>
      <c r="E17122" t="s">
        <v>52522</v>
      </c>
      <c r="F17122" t="s">
        <v>52523</v>
      </c>
      <c r="I17122" t="s">
        <v>2071</v>
      </c>
      <c r="J17122" t="s">
        <v>30</v>
      </c>
      <c r="K17122" t="s">
        <v>40386</v>
      </c>
      <c r="M17122" t="s">
        <v>17861</v>
      </c>
      <c r="N17122" t="str">
        <f>"7/5/2022 1:12:00 PM"</f>
        <v>7/5/2022 1:12:00 PM</v>
      </c>
      <c r="O17122" t="s">
        <v>52521</v>
      </c>
      <c r="T17122" t="s">
        <v>52522</v>
      </c>
    </row>
    <row r="17123" spans="1:20" x14ac:dyDescent="0.25">
      <c r="A17123" t="str">
        <f>"3058457"</f>
        <v>3058457</v>
      </c>
      <c r="B17123" t="s">
        <v>52524</v>
      </c>
      <c r="C17123" t="str">
        <f>"8318155"</f>
        <v>8318155</v>
      </c>
      <c r="D17123" t="s">
        <v>52525</v>
      </c>
      <c r="E17123" t="s">
        <v>52526</v>
      </c>
      <c r="F17123" t="s">
        <v>52527</v>
      </c>
      <c r="I17123" t="s">
        <v>17921</v>
      </c>
      <c r="J17123" t="s">
        <v>30</v>
      </c>
      <c r="K17123" t="str">
        <f>"27028"</f>
        <v>27028</v>
      </c>
      <c r="M17123" t="s">
        <v>17861</v>
      </c>
      <c r="N17123" t="str">
        <f>"7/5/2022 2:16:00 PM"</f>
        <v>7/5/2022 2:16:00 PM</v>
      </c>
      <c r="O17123" t="s">
        <v>52525</v>
      </c>
      <c r="T17123" t="s">
        <v>52526</v>
      </c>
    </row>
    <row r="17124" spans="1:20" x14ac:dyDescent="0.25">
      <c r="A17124" t="str">
        <f>"3060242"</f>
        <v>3060242</v>
      </c>
      <c r="B17124" t="s">
        <v>52528</v>
      </c>
      <c r="C17124" t="str">
        <f>"8318123"</f>
        <v>8318123</v>
      </c>
      <c r="D17124" t="s">
        <v>52529</v>
      </c>
      <c r="E17124" t="s">
        <v>52530</v>
      </c>
      <c r="F17124" t="s">
        <v>52531</v>
      </c>
      <c r="I17124" t="s">
        <v>184</v>
      </c>
      <c r="J17124" t="s">
        <v>30</v>
      </c>
      <c r="K17124" t="s">
        <v>38676</v>
      </c>
      <c r="M17124" t="s">
        <v>17861</v>
      </c>
      <c r="N17124" t="str">
        <f>"7/5/2022 8:53:00 AM"</f>
        <v>7/5/2022 8:53:00 AM</v>
      </c>
      <c r="O17124" t="s">
        <v>52529</v>
      </c>
      <c r="T17124" t="s">
        <v>52530</v>
      </c>
    </row>
    <row r="17125" spans="1:20" x14ac:dyDescent="0.25">
      <c r="A17125" t="str">
        <f>"3056698"</f>
        <v>3056698</v>
      </c>
      <c r="B17125" t="s">
        <v>52532</v>
      </c>
      <c r="C17125" t="str">
        <f>"8318125"</f>
        <v>8318125</v>
      </c>
      <c r="D17125" t="s">
        <v>52533</v>
      </c>
      <c r="E17125" t="s">
        <v>52534</v>
      </c>
      <c r="F17125" t="s">
        <v>52535</v>
      </c>
      <c r="I17125" t="s">
        <v>29</v>
      </c>
      <c r="J17125" t="s">
        <v>30</v>
      </c>
      <c r="K17125" t="s">
        <v>14021</v>
      </c>
      <c r="M17125" t="s">
        <v>17861</v>
      </c>
      <c r="N17125" t="str">
        <f>"7/5/2022 9:12:00 AM"</f>
        <v>7/5/2022 9:12:00 AM</v>
      </c>
      <c r="O17125" t="s">
        <v>52533</v>
      </c>
      <c r="T17125" t="s">
        <v>52534</v>
      </c>
    </row>
    <row r="17126" spans="1:20" x14ac:dyDescent="0.25">
      <c r="A17126" t="str">
        <f>"3058456"</f>
        <v>3058456</v>
      </c>
      <c r="B17126" t="s">
        <v>52536</v>
      </c>
      <c r="C17126" t="str">
        <f>"8318126"</f>
        <v>8318126</v>
      </c>
      <c r="D17126" t="s">
        <v>52537</v>
      </c>
      <c r="E17126" t="s">
        <v>52538</v>
      </c>
      <c r="F17126" t="s">
        <v>52539</v>
      </c>
      <c r="I17126" t="s">
        <v>17921</v>
      </c>
      <c r="J17126" t="s">
        <v>30</v>
      </c>
      <c r="K17126" t="str">
        <f>"27028"</f>
        <v>27028</v>
      </c>
      <c r="M17126" t="s">
        <v>17861</v>
      </c>
      <c r="N17126" t="str">
        <f>"7/5/2022 9:15:00 AM"</f>
        <v>7/5/2022 9:15:00 AM</v>
      </c>
      <c r="O17126" t="s">
        <v>52537</v>
      </c>
      <c r="T17126" t="s">
        <v>52538</v>
      </c>
    </row>
    <row r="17127" spans="1:20" x14ac:dyDescent="0.25">
      <c r="A17127" t="str">
        <f>"3068536"</f>
        <v>3068536</v>
      </c>
      <c r="B17127" t="s">
        <v>52540</v>
      </c>
      <c r="C17127" t="str">
        <f>"8318127"</f>
        <v>8318127</v>
      </c>
      <c r="D17127" t="s">
        <v>52541</v>
      </c>
      <c r="F17127" t="s">
        <v>52542</v>
      </c>
      <c r="I17127" t="s">
        <v>184</v>
      </c>
      <c r="J17127" t="s">
        <v>30</v>
      </c>
      <c r="K17127" t="s">
        <v>1664</v>
      </c>
      <c r="M17127" t="s">
        <v>17861</v>
      </c>
      <c r="N17127" t="str">
        <f>"7/5/2022 9:20:00 AM"</f>
        <v>7/5/2022 9:20:00 AM</v>
      </c>
      <c r="O17127" t="s">
        <v>52541</v>
      </c>
    </row>
    <row r="17128" spans="1:20" x14ac:dyDescent="0.25">
      <c r="A17128" t="str">
        <f>"3060811"</f>
        <v>3060811</v>
      </c>
      <c r="B17128" t="s">
        <v>52543</v>
      </c>
      <c r="C17128" t="str">
        <f>"8318128"</f>
        <v>8318128</v>
      </c>
      <c r="D17128" t="s">
        <v>52544</v>
      </c>
      <c r="F17128" t="s">
        <v>52545</v>
      </c>
      <c r="I17128" t="s">
        <v>184</v>
      </c>
      <c r="J17128" t="s">
        <v>30</v>
      </c>
      <c r="K17128" t="s">
        <v>5026</v>
      </c>
      <c r="M17128" t="s">
        <v>17861</v>
      </c>
      <c r="N17128" t="str">
        <f>"7/5/2022 9:32:00 AM"</f>
        <v>7/5/2022 9:32:00 AM</v>
      </c>
      <c r="O17128" t="s">
        <v>52544</v>
      </c>
    </row>
    <row r="17129" spans="1:20" x14ac:dyDescent="0.25">
      <c r="A17129" t="str">
        <f>"3040450"</f>
        <v>3040450</v>
      </c>
      <c r="B17129" t="s">
        <v>52546</v>
      </c>
      <c r="C17129" t="str">
        <f>"8318129"</f>
        <v>8318129</v>
      </c>
      <c r="D17129" t="s">
        <v>52547</v>
      </c>
      <c r="E17129" t="s">
        <v>52548</v>
      </c>
      <c r="F17129" t="s">
        <v>52549</v>
      </c>
      <c r="I17129" t="s">
        <v>29</v>
      </c>
      <c r="J17129" t="s">
        <v>30</v>
      </c>
      <c r="K17129" t="s">
        <v>42822</v>
      </c>
      <c r="M17129" t="s">
        <v>17861</v>
      </c>
      <c r="N17129" t="str">
        <f>"7/5/2022 9:43:00 AM"</f>
        <v>7/5/2022 9:43:00 AM</v>
      </c>
      <c r="O17129" t="s">
        <v>52547</v>
      </c>
      <c r="T17129" t="s">
        <v>52548</v>
      </c>
    </row>
    <row r="17130" spans="1:20" x14ac:dyDescent="0.25">
      <c r="A17130" t="str">
        <f>"3040355"</f>
        <v>3040355</v>
      </c>
      <c r="B17130" t="s">
        <v>52550</v>
      </c>
      <c r="C17130" t="str">
        <f>"8318129"</f>
        <v>8318129</v>
      </c>
      <c r="D17130" t="s">
        <v>52547</v>
      </c>
      <c r="E17130" t="s">
        <v>52548</v>
      </c>
      <c r="F17130" t="s">
        <v>52549</v>
      </c>
      <c r="I17130" t="s">
        <v>29</v>
      </c>
      <c r="J17130" t="s">
        <v>30</v>
      </c>
      <c r="K17130" t="s">
        <v>42822</v>
      </c>
      <c r="M17130" t="s">
        <v>17861</v>
      </c>
      <c r="N17130" t="str">
        <f>"7/5/2022 9:43:00 AM"</f>
        <v>7/5/2022 9:43:00 AM</v>
      </c>
      <c r="O17130" t="s">
        <v>52547</v>
      </c>
      <c r="T17130" t="s">
        <v>52548</v>
      </c>
    </row>
    <row r="17131" spans="1:20" x14ac:dyDescent="0.25">
      <c r="A17131" t="str">
        <f>"3050184"</f>
        <v>3050184</v>
      </c>
      <c r="B17131" t="s">
        <v>52551</v>
      </c>
      <c r="C17131" t="str">
        <f>"8318156"</f>
        <v>8318156</v>
      </c>
      <c r="D17131" t="s">
        <v>52552</v>
      </c>
      <c r="E17131" t="s">
        <v>52553</v>
      </c>
      <c r="F17131" t="s">
        <v>39111</v>
      </c>
      <c r="I17131" t="s">
        <v>29</v>
      </c>
      <c r="J17131" t="s">
        <v>30</v>
      </c>
      <c r="K17131" t="s">
        <v>39112</v>
      </c>
      <c r="M17131" t="s">
        <v>17861</v>
      </c>
      <c r="N17131" t="str">
        <f>"7/5/2022 2:18:00 PM"</f>
        <v>7/5/2022 2:18:00 PM</v>
      </c>
      <c r="O17131" t="s">
        <v>52552</v>
      </c>
      <c r="T17131" t="s">
        <v>52553</v>
      </c>
    </row>
    <row r="17132" spans="1:20" x14ac:dyDescent="0.25">
      <c r="A17132" t="str">
        <f>"3050874"</f>
        <v>3050874</v>
      </c>
      <c r="B17132" t="s">
        <v>52554</v>
      </c>
      <c r="C17132" t="str">
        <f>"8318160"</f>
        <v>8318160</v>
      </c>
      <c r="D17132" t="s">
        <v>52555</v>
      </c>
      <c r="E17132" t="s">
        <v>52556</v>
      </c>
      <c r="F17132" t="s">
        <v>52557</v>
      </c>
      <c r="I17132" t="s">
        <v>184</v>
      </c>
      <c r="J17132" t="s">
        <v>30</v>
      </c>
      <c r="K17132" t="s">
        <v>26962</v>
      </c>
      <c r="M17132" t="s">
        <v>17861</v>
      </c>
      <c r="N17132" t="str">
        <f>"7/7/2022 9:28:00 AM"</f>
        <v>7/7/2022 9:28:00 AM</v>
      </c>
      <c r="O17132" t="s">
        <v>52555</v>
      </c>
      <c r="T17132" t="s">
        <v>52556</v>
      </c>
    </row>
    <row r="17133" spans="1:20" x14ac:dyDescent="0.25">
      <c r="A17133" t="str">
        <f>"3061562"</f>
        <v>3061562</v>
      </c>
      <c r="B17133" t="s">
        <v>52558</v>
      </c>
      <c r="C17133" t="str">
        <f>"8318163"</f>
        <v>8318163</v>
      </c>
      <c r="D17133" t="s">
        <v>52559</v>
      </c>
      <c r="E17133" t="s">
        <v>52560</v>
      </c>
      <c r="F17133" t="s">
        <v>52561</v>
      </c>
      <c r="I17133" t="s">
        <v>184</v>
      </c>
      <c r="J17133" t="s">
        <v>30</v>
      </c>
      <c r="K17133" t="s">
        <v>34784</v>
      </c>
      <c r="M17133" t="s">
        <v>17861</v>
      </c>
      <c r="N17133" t="str">
        <f>"7/7/2022 9:50:00 AM"</f>
        <v>7/7/2022 9:50:00 AM</v>
      </c>
      <c r="O17133" t="s">
        <v>52559</v>
      </c>
      <c r="T17133" t="s">
        <v>52560</v>
      </c>
    </row>
    <row r="17134" spans="1:20" x14ac:dyDescent="0.25">
      <c r="A17134" t="str">
        <f>"3052699"</f>
        <v>3052699</v>
      </c>
      <c r="B17134" t="s">
        <v>52562</v>
      </c>
      <c r="C17134" t="str">
        <f>"8318170"</f>
        <v>8318170</v>
      </c>
      <c r="D17134" t="s">
        <v>52563</v>
      </c>
      <c r="F17134" t="s">
        <v>52564</v>
      </c>
      <c r="I17134" t="s">
        <v>964</v>
      </c>
      <c r="J17134" t="s">
        <v>30</v>
      </c>
      <c r="K17134" t="str">
        <f>"28147"</f>
        <v>28147</v>
      </c>
      <c r="M17134" t="s">
        <v>17861</v>
      </c>
      <c r="N17134" t="str">
        <f>"7/7/2022 10:53:00 AM"</f>
        <v>7/7/2022 10:53:00 AM</v>
      </c>
      <c r="O17134" t="s">
        <v>52563</v>
      </c>
    </row>
    <row r="17135" spans="1:20" x14ac:dyDescent="0.25">
      <c r="A17135" t="str">
        <f>"3058853"</f>
        <v>3058853</v>
      </c>
      <c r="B17135" t="s">
        <v>52565</v>
      </c>
      <c r="C17135" t="str">
        <f>"8318228"</f>
        <v>8318228</v>
      </c>
      <c r="D17135" t="s">
        <v>52566</v>
      </c>
      <c r="E17135" t="s">
        <v>52567</v>
      </c>
      <c r="F17135" t="s">
        <v>52568</v>
      </c>
      <c r="I17135" t="s">
        <v>29</v>
      </c>
      <c r="J17135" t="s">
        <v>30</v>
      </c>
      <c r="K17135" t="s">
        <v>52569</v>
      </c>
      <c r="M17135" t="s">
        <v>17861</v>
      </c>
      <c r="N17135" t="str">
        <f>"7/13/2022 12:06:00 PM"</f>
        <v>7/13/2022 12:06:00 PM</v>
      </c>
      <c r="O17135" t="s">
        <v>52566</v>
      </c>
      <c r="T17135" t="s">
        <v>52567</v>
      </c>
    </row>
    <row r="17136" spans="1:20" x14ac:dyDescent="0.25">
      <c r="A17136" t="str">
        <f>"3056152"</f>
        <v>3056152</v>
      </c>
      <c r="B17136" t="s">
        <v>52570</v>
      </c>
      <c r="C17136" t="str">
        <f>"8318172"</f>
        <v>8318172</v>
      </c>
      <c r="D17136" t="s">
        <v>52571</v>
      </c>
      <c r="E17136" t="s">
        <v>52572</v>
      </c>
      <c r="F17136" t="s">
        <v>52573</v>
      </c>
      <c r="I17136" t="s">
        <v>9580</v>
      </c>
      <c r="J17136" t="s">
        <v>30</v>
      </c>
      <c r="K17136" t="s">
        <v>52574</v>
      </c>
      <c r="M17136" t="s">
        <v>17861</v>
      </c>
      <c r="N17136" t="str">
        <f>"7/7/2022 12:52:00 PM"</f>
        <v>7/7/2022 12:52:00 PM</v>
      </c>
      <c r="O17136" t="s">
        <v>52571</v>
      </c>
      <c r="T17136" t="s">
        <v>52572</v>
      </c>
    </row>
    <row r="17137" spans="1:20" x14ac:dyDescent="0.25">
      <c r="A17137" t="str">
        <f>"3050829"</f>
        <v>3050829</v>
      </c>
      <c r="B17137" t="s">
        <v>52575</v>
      </c>
      <c r="C17137" t="str">
        <f>"8318173"</f>
        <v>8318173</v>
      </c>
      <c r="D17137" t="s">
        <v>52576</v>
      </c>
      <c r="E17137" t="s">
        <v>52577</v>
      </c>
      <c r="F17137" t="s">
        <v>52578</v>
      </c>
      <c r="I17137" t="s">
        <v>184</v>
      </c>
      <c r="J17137" t="s">
        <v>30</v>
      </c>
      <c r="K17137" t="s">
        <v>12785</v>
      </c>
      <c r="M17137" t="s">
        <v>17861</v>
      </c>
      <c r="N17137" t="str">
        <f>"7/7/2022 12:54:00 PM"</f>
        <v>7/7/2022 12:54:00 PM</v>
      </c>
      <c r="O17137" t="s">
        <v>52576</v>
      </c>
      <c r="T17137" t="s">
        <v>52577</v>
      </c>
    </row>
    <row r="17138" spans="1:20" x14ac:dyDescent="0.25">
      <c r="A17138" t="str">
        <f>"3049701"</f>
        <v>3049701</v>
      </c>
      <c r="B17138" t="s">
        <v>52579</v>
      </c>
      <c r="C17138" t="str">
        <f>"8318174"</f>
        <v>8318174</v>
      </c>
      <c r="D17138" t="s">
        <v>52580</v>
      </c>
      <c r="F17138" t="s">
        <v>52581</v>
      </c>
      <c r="I17138" t="s">
        <v>29</v>
      </c>
      <c r="J17138" t="s">
        <v>30</v>
      </c>
      <c r="K17138" t="s">
        <v>14112</v>
      </c>
      <c r="M17138" t="s">
        <v>17861</v>
      </c>
      <c r="N17138" t="str">
        <f>"7/7/2022 12:58:00 PM"</f>
        <v>7/7/2022 12:58:00 PM</v>
      </c>
      <c r="O17138" t="s">
        <v>52580</v>
      </c>
    </row>
    <row r="17139" spans="1:20" x14ac:dyDescent="0.25">
      <c r="A17139" t="str">
        <f>"3045901"</f>
        <v>3045901</v>
      </c>
      <c r="B17139" t="s">
        <v>52582</v>
      </c>
      <c r="C17139" t="str">
        <f>"8318177"</f>
        <v>8318177</v>
      </c>
      <c r="D17139" t="s">
        <v>52583</v>
      </c>
      <c r="F17139" t="s">
        <v>52584</v>
      </c>
      <c r="I17139" t="s">
        <v>29</v>
      </c>
      <c r="J17139" t="s">
        <v>30</v>
      </c>
      <c r="K17139" t="s">
        <v>52585</v>
      </c>
      <c r="M17139" t="s">
        <v>17861</v>
      </c>
      <c r="N17139" t="str">
        <f>"7/7/2022 2:34:00 PM"</f>
        <v>7/7/2022 2:34:00 PM</v>
      </c>
      <c r="O17139" t="s">
        <v>52583</v>
      </c>
    </row>
    <row r="17140" spans="1:20" x14ac:dyDescent="0.25">
      <c r="A17140" t="str">
        <f>"3046327"</f>
        <v>3046327</v>
      </c>
      <c r="B17140" t="s">
        <v>52586</v>
      </c>
      <c r="C17140" t="str">
        <f>"8318177"</f>
        <v>8318177</v>
      </c>
      <c r="D17140" t="s">
        <v>52583</v>
      </c>
      <c r="F17140" t="s">
        <v>52584</v>
      </c>
      <c r="I17140" t="s">
        <v>29</v>
      </c>
      <c r="J17140" t="s">
        <v>30</v>
      </c>
      <c r="K17140" t="s">
        <v>52585</v>
      </c>
      <c r="M17140" t="s">
        <v>17861</v>
      </c>
      <c r="N17140" t="str">
        <f>"7/7/2022 2:34:00 PM"</f>
        <v>7/7/2022 2:34:00 PM</v>
      </c>
      <c r="O17140" t="s">
        <v>52583</v>
      </c>
    </row>
    <row r="17141" spans="1:20" x14ac:dyDescent="0.25">
      <c r="A17141" t="str">
        <f>"3050106"</f>
        <v>3050106</v>
      </c>
      <c r="B17141" t="s">
        <v>52587</v>
      </c>
      <c r="C17141" t="str">
        <f>"44630000"</f>
        <v>44630000</v>
      </c>
      <c r="D17141" t="s">
        <v>52588</v>
      </c>
      <c r="F17141" t="s">
        <v>52589</v>
      </c>
      <c r="I17141" t="s">
        <v>29</v>
      </c>
      <c r="J17141" t="s">
        <v>30</v>
      </c>
      <c r="K17141" t="s">
        <v>38905</v>
      </c>
      <c r="M17141" t="s">
        <v>51351</v>
      </c>
      <c r="N17141" t="str">
        <f>"7/7/2022 3:38:00 PM"</f>
        <v>7/7/2022 3:38:00 PM</v>
      </c>
      <c r="O17141" t="s">
        <v>52588</v>
      </c>
    </row>
    <row r="17142" spans="1:20" x14ac:dyDescent="0.25">
      <c r="A17142" t="str">
        <f>"3058229"</f>
        <v>3058229</v>
      </c>
      <c r="B17142" t="s">
        <v>52590</v>
      </c>
      <c r="C17142" t="str">
        <f>"8318247"</f>
        <v>8318247</v>
      </c>
      <c r="D17142" t="s">
        <v>52591</v>
      </c>
      <c r="F17142" t="s">
        <v>52592</v>
      </c>
      <c r="I17142" t="s">
        <v>29</v>
      </c>
      <c r="J17142" t="s">
        <v>30</v>
      </c>
      <c r="K17142" t="s">
        <v>52593</v>
      </c>
      <c r="M17142" t="s">
        <v>17861</v>
      </c>
      <c r="N17142" t="str">
        <f>"7/18/2022 9:29:00 AM"</f>
        <v>7/18/2022 9:29:00 AM</v>
      </c>
      <c r="O17142" t="s">
        <v>52591</v>
      </c>
    </row>
    <row r="17143" spans="1:20" x14ac:dyDescent="0.25">
      <c r="A17143" t="str">
        <f>"3061384"</f>
        <v>3061384</v>
      </c>
      <c r="B17143" t="s">
        <v>52594</v>
      </c>
      <c r="C17143" t="str">
        <f>"8318159"</f>
        <v>8318159</v>
      </c>
      <c r="D17143" t="s">
        <v>17746</v>
      </c>
      <c r="F17143" t="s">
        <v>44228</v>
      </c>
      <c r="I17143" t="s">
        <v>184</v>
      </c>
      <c r="J17143" t="s">
        <v>30</v>
      </c>
      <c r="K17143" t="s">
        <v>5349</v>
      </c>
      <c r="M17143" t="s">
        <v>17861</v>
      </c>
      <c r="N17143" t="str">
        <f>"7/7/2022 9:12:00 AM"</f>
        <v>7/7/2022 9:12:00 AM</v>
      </c>
      <c r="O17143" t="s">
        <v>17746</v>
      </c>
    </row>
    <row r="17144" spans="1:20" x14ac:dyDescent="0.25">
      <c r="A17144" t="str">
        <f>"3037475"</f>
        <v>3037475</v>
      </c>
      <c r="B17144" t="s">
        <v>52595</v>
      </c>
      <c r="C17144" t="str">
        <f>"8318251"</f>
        <v>8318251</v>
      </c>
      <c r="D17144" t="s">
        <v>52596</v>
      </c>
      <c r="E17144" t="s">
        <v>52597</v>
      </c>
      <c r="F17144" t="s">
        <v>52598</v>
      </c>
      <c r="I17144" t="s">
        <v>471</v>
      </c>
      <c r="J17144" t="s">
        <v>30</v>
      </c>
      <c r="K17144" t="s">
        <v>52599</v>
      </c>
      <c r="M17144" t="s">
        <v>17861</v>
      </c>
      <c r="N17144" t="str">
        <f>"7/18/2022 10:44:00 AM"</f>
        <v>7/18/2022 10:44:00 AM</v>
      </c>
      <c r="O17144" t="s">
        <v>52596</v>
      </c>
      <c r="T17144" t="s">
        <v>52597</v>
      </c>
    </row>
    <row r="17145" spans="1:20" x14ac:dyDescent="0.25">
      <c r="A17145" t="str">
        <f>"3058408"</f>
        <v>3058408</v>
      </c>
      <c r="B17145" t="s">
        <v>52600</v>
      </c>
      <c r="C17145" t="str">
        <f>"8318254"</f>
        <v>8318254</v>
      </c>
      <c r="D17145" t="s">
        <v>52601</v>
      </c>
      <c r="E17145" t="s">
        <v>52602</v>
      </c>
      <c r="F17145" t="s">
        <v>52603</v>
      </c>
      <c r="I17145" t="s">
        <v>2071</v>
      </c>
      <c r="J17145" t="s">
        <v>30</v>
      </c>
      <c r="K17145" t="s">
        <v>38843</v>
      </c>
      <c r="M17145" t="s">
        <v>17861</v>
      </c>
      <c r="N17145" t="str">
        <f>"7/18/2022 12:44:00 PM"</f>
        <v>7/18/2022 12:44:00 PM</v>
      </c>
      <c r="O17145" t="s">
        <v>52601</v>
      </c>
      <c r="T17145" t="s">
        <v>52602</v>
      </c>
    </row>
    <row r="17146" spans="1:20" x14ac:dyDescent="0.25">
      <c r="A17146" t="str">
        <f>"3053851"</f>
        <v>3053851</v>
      </c>
      <c r="B17146" t="s">
        <v>52604</v>
      </c>
      <c r="C17146" t="str">
        <f>"8318255"</f>
        <v>8318255</v>
      </c>
      <c r="D17146" t="s">
        <v>52605</v>
      </c>
      <c r="F17146" t="s">
        <v>51291</v>
      </c>
      <c r="I17146" t="s">
        <v>29</v>
      </c>
      <c r="J17146" t="s">
        <v>30</v>
      </c>
      <c r="K17146" t="s">
        <v>43829</v>
      </c>
      <c r="M17146" t="s">
        <v>17861</v>
      </c>
      <c r="N17146" t="str">
        <f>"7/18/2022 12:47:00 PM"</f>
        <v>7/18/2022 12:47:00 PM</v>
      </c>
      <c r="O17146" t="s">
        <v>52605</v>
      </c>
    </row>
    <row r="17147" spans="1:20" x14ac:dyDescent="0.25">
      <c r="A17147" t="str">
        <f>"3057839"</f>
        <v>3057839</v>
      </c>
      <c r="B17147" t="s">
        <v>52606</v>
      </c>
      <c r="C17147" t="str">
        <f>"8318256"</f>
        <v>8318256</v>
      </c>
      <c r="D17147" t="s">
        <v>52607</v>
      </c>
      <c r="E17147" t="s">
        <v>52608</v>
      </c>
      <c r="F17147" t="s">
        <v>52609</v>
      </c>
      <c r="I17147" t="s">
        <v>184</v>
      </c>
      <c r="J17147" t="s">
        <v>30</v>
      </c>
      <c r="K17147" t="s">
        <v>44648</v>
      </c>
      <c r="M17147" t="s">
        <v>17861</v>
      </c>
      <c r="N17147" t="str">
        <f>"7/18/2022 12:51:00 PM"</f>
        <v>7/18/2022 12:51:00 PM</v>
      </c>
      <c r="O17147" t="s">
        <v>52607</v>
      </c>
      <c r="T17147" t="s">
        <v>52608</v>
      </c>
    </row>
    <row r="17148" spans="1:20" x14ac:dyDescent="0.25">
      <c r="A17148" t="str">
        <f>"3046855"</f>
        <v>3046855</v>
      </c>
      <c r="B17148" t="s">
        <v>52610</v>
      </c>
      <c r="C17148" t="str">
        <f>"8318257"</f>
        <v>8318257</v>
      </c>
      <c r="D17148" t="s">
        <v>52611</v>
      </c>
      <c r="F17148" t="s">
        <v>52612</v>
      </c>
      <c r="I17148" t="s">
        <v>29</v>
      </c>
      <c r="J17148" t="s">
        <v>30</v>
      </c>
      <c r="K17148" t="s">
        <v>52613</v>
      </c>
      <c r="M17148" t="s">
        <v>17861</v>
      </c>
      <c r="N17148" t="str">
        <f>"7/18/2022 1:07:00 PM"</f>
        <v>7/18/2022 1:07:00 PM</v>
      </c>
      <c r="O17148" t="s">
        <v>52611</v>
      </c>
    </row>
    <row r="17149" spans="1:20" x14ac:dyDescent="0.25">
      <c r="A17149" t="str">
        <f>"3046466"</f>
        <v>3046466</v>
      </c>
      <c r="B17149" t="s">
        <v>52614</v>
      </c>
      <c r="C17149" t="str">
        <f>"8318257"</f>
        <v>8318257</v>
      </c>
      <c r="D17149" t="s">
        <v>52611</v>
      </c>
      <c r="F17149" t="s">
        <v>52612</v>
      </c>
      <c r="I17149" t="s">
        <v>29</v>
      </c>
      <c r="J17149" t="s">
        <v>30</v>
      </c>
      <c r="K17149" t="s">
        <v>52613</v>
      </c>
      <c r="M17149" t="s">
        <v>17861</v>
      </c>
      <c r="N17149" t="str">
        <f>"7/18/2022 1:07:00 PM"</f>
        <v>7/18/2022 1:07:00 PM</v>
      </c>
      <c r="O17149" t="s">
        <v>52611</v>
      </c>
    </row>
    <row r="17150" spans="1:20" x14ac:dyDescent="0.25">
      <c r="A17150" t="str">
        <f>"3047893"</f>
        <v>3047893</v>
      </c>
      <c r="B17150" t="s">
        <v>52615</v>
      </c>
      <c r="C17150" t="str">
        <f>"8318258"</f>
        <v>8318258</v>
      </c>
      <c r="D17150" t="s">
        <v>52616</v>
      </c>
      <c r="F17150" t="s">
        <v>52617</v>
      </c>
      <c r="I17150" t="s">
        <v>29</v>
      </c>
      <c r="J17150" t="s">
        <v>30</v>
      </c>
      <c r="K17150" t="s">
        <v>18640</v>
      </c>
      <c r="M17150" t="s">
        <v>17861</v>
      </c>
      <c r="N17150" t="str">
        <f>"7/18/2022 1:10:00 PM"</f>
        <v>7/18/2022 1:10:00 PM</v>
      </c>
      <c r="O17150" t="s">
        <v>52616</v>
      </c>
    </row>
    <row r="17151" spans="1:20" x14ac:dyDescent="0.25">
      <c r="A17151" t="str">
        <f>"3058458"</f>
        <v>3058458</v>
      </c>
      <c r="B17151" t="s">
        <v>52618</v>
      </c>
      <c r="C17151" t="str">
        <f>"8318259"</f>
        <v>8318259</v>
      </c>
      <c r="D17151" t="s">
        <v>52619</v>
      </c>
      <c r="E17151" t="s">
        <v>52620</v>
      </c>
      <c r="F17151" t="s">
        <v>52621</v>
      </c>
      <c r="I17151" t="s">
        <v>29</v>
      </c>
      <c r="J17151" t="s">
        <v>30</v>
      </c>
      <c r="K17151" t="s">
        <v>52622</v>
      </c>
      <c r="M17151" t="s">
        <v>17861</v>
      </c>
      <c r="N17151" t="str">
        <f>"7/18/2022 1:17:00 PM"</f>
        <v>7/18/2022 1:17:00 PM</v>
      </c>
      <c r="O17151" t="s">
        <v>52619</v>
      </c>
      <c r="T17151" t="s">
        <v>52620</v>
      </c>
    </row>
    <row r="17152" spans="1:20" x14ac:dyDescent="0.25">
      <c r="A17152" t="str">
        <f>"3057886"</f>
        <v>3057886</v>
      </c>
      <c r="B17152" t="s">
        <v>52623</v>
      </c>
      <c r="C17152" t="str">
        <f>"8318261"</f>
        <v>8318261</v>
      </c>
      <c r="D17152" t="s">
        <v>52624</v>
      </c>
      <c r="E17152" t="s">
        <v>52625</v>
      </c>
      <c r="F17152" t="s">
        <v>52626</v>
      </c>
      <c r="I17152" t="s">
        <v>184</v>
      </c>
      <c r="J17152" t="s">
        <v>30</v>
      </c>
      <c r="K17152" t="str">
        <f>"27006"</f>
        <v>27006</v>
      </c>
      <c r="M17152" t="s">
        <v>17861</v>
      </c>
      <c r="N17152" t="str">
        <f>"7/18/2022 1:27:00 PM"</f>
        <v>7/18/2022 1:27:00 PM</v>
      </c>
      <c r="O17152" t="s">
        <v>52624</v>
      </c>
      <c r="T17152" t="s">
        <v>52625</v>
      </c>
    </row>
    <row r="17153" spans="1:20" x14ac:dyDescent="0.25">
      <c r="A17153" t="str">
        <f>"3062535"</f>
        <v>3062535</v>
      </c>
      <c r="B17153" t="s">
        <v>52627</v>
      </c>
      <c r="C17153" t="str">
        <f>"8318225"</f>
        <v>8318225</v>
      </c>
      <c r="D17153" t="s">
        <v>52628</v>
      </c>
      <c r="F17153" t="s">
        <v>52629</v>
      </c>
      <c r="I17153" t="s">
        <v>184</v>
      </c>
      <c r="J17153" t="s">
        <v>30</v>
      </c>
      <c r="K17153" t="s">
        <v>5408</v>
      </c>
      <c r="M17153" t="s">
        <v>17861</v>
      </c>
      <c r="N17153" t="str">
        <f>"7/13/2022 9:01:00 AM"</f>
        <v>7/13/2022 9:01:00 AM</v>
      </c>
      <c r="O17153" t="s">
        <v>52628</v>
      </c>
    </row>
    <row r="17154" spans="1:20" x14ac:dyDescent="0.25">
      <c r="A17154" t="str">
        <f>"3037625"</f>
        <v>3037625</v>
      </c>
      <c r="B17154" t="s">
        <v>52630</v>
      </c>
      <c r="C17154" t="str">
        <f t="shared" ref="C17154:C17159" si="256">"8310956"</f>
        <v>8310956</v>
      </c>
      <c r="D17154" t="s">
        <v>52631</v>
      </c>
      <c r="E17154" t="s">
        <v>52632</v>
      </c>
      <c r="F17154" t="s">
        <v>51335</v>
      </c>
      <c r="I17154" t="s">
        <v>29</v>
      </c>
      <c r="J17154" t="s">
        <v>30</v>
      </c>
      <c r="K17154" t="s">
        <v>51336</v>
      </c>
      <c r="M17154" t="s">
        <v>50621</v>
      </c>
      <c r="N17154" t="str">
        <f t="shared" ref="N17154:N17159" si="257">"7/18/2022 3:08:00 PM"</f>
        <v>7/18/2022 3:08:00 PM</v>
      </c>
      <c r="O17154" t="s">
        <v>52631</v>
      </c>
      <c r="T17154" t="s">
        <v>52632</v>
      </c>
    </row>
    <row r="17155" spans="1:20" x14ac:dyDescent="0.25">
      <c r="A17155" t="str">
        <f>"3037602"</f>
        <v>3037602</v>
      </c>
      <c r="B17155" t="s">
        <v>52633</v>
      </c>
      <c r="C17155" t="str">
        <f t="shared" si="256"/>
        <v>8310956</v>
      </c>
      <c r="D17155" t="s">
        <v>52631</v>
      </c>
      <c r="E17155" t="s">
        <v>52632</v>
      </c>
      <c r="F17155" t="s">
        <v>51335</v>
      </c>
      <c r="I17155" t="s">
        <v>29</v>
      </c>
      <c r="J17155" t="s">
        <v>30</v>
      </c>
      <c r="K17155" t="s">
        <v>51336</v>
      </c>
      <c r="M17155" t="s">
        <v>50621</v>
      </c>
      <c r="N17155" t="str">
        <f t="shared" si="257"/>
        <v>7/18/2022 3:08:00 PM</v>
      </c>
      <c r="O17155" t="s">
        <v>52631</v>
      </c>
      <c r="T17155" t="s">
        <v>52632</v>
      </c>
    </row>
    <row r="17156" spans="1:20" x14ac:dyDescent="0.25">
      <c r="A17156" t="str">
        <f>"3037605"</f>
        <v>3037605</v>
      </c>
      <c r="B17156" t="s">
        <v>52634</v>
      </c>
      <c r="C17156" t="str">
        <f t="shared" si="256"/>
        <v>8310956</v>
      </c>
      <c r="D17156" t="s">
        <v>52631</v>
      </c>
      <c r="E17156" t="s">
        <v>52632</v>
      </c>
      <c r="F17156" t="s">
        <v>51335</v>
      </c>
      <c r="I17156" t="s">
        <v>29</v>
      </c>
      <c r="J17156" t="s">
        <v>30</v>
      </c>
      <c r="K17156" t="s">
        <v>51336</v>
      </c>
      <c r="M17156" t="s">
        <v>50621</v>
      </c>
      <c r="N17156" t="str">
        <f t="shared" si="257"/>
        <v>7/18/2022 3:08:00 PM</v>
      </c>
      <c r="O17156" t="s">
        <v>52631</v>
      </c>
      <c r="T17156" t="s">
        <v>52632</v>
      </c>
    </row>
    <row r="17157" spans="1:20" x14ac:dyDescent="0.25">
      <c r="A17157" t="str">
        <f>"3037764"</f>
        <v>3037764</v>
      </c>
      <c r="B17157" t="s">
        <v>52635</v>
      </c>
      <c r="C17157" t="str">
        <f t="shared" si="256"/>
        <v>8310956</v>
      </c>
      <c r="D17157" t="s">
        <v>52631</v>
      </c>
      <c r="E17157" t="s">
        <v>52632</v>
      </c>
      <c r="F17157" t="s">
        <v>51335</v>
      </c>
      <c r="I17157" t="s">
        <v>29</v>
      </c>
      <c r="J17157" t="s">
        <v>30</v>
      </c>
      <c r="K17157" t="s">
        <v>51336</v>
      </c>
      <c r="M17157" t="s">
        <v>50621</v>
      </c>
      <c r="N17157" t="str">
        <f t="shared" si="257"/>
        <v>7/18/2022 3:08:00 PM</v>
      </c>
      <c r="O17157" t="s">
        <v>52631</v>
      </c>
      <c r="T17157" t="s">
        <v>52632</v>
      </c>
    </row>
    <row r="17158" spans="1:20" x14ac:dyDescent="0.25">
      <c r="A17158" t="str">
        <f>"3037666"</f>
        <v>3037666</v>
      </c>
      <c r="B17158" t="s">
        <v>52636</v>
      </c>
      <c r="C17158" t="str">
        <f t="shared" si="256"/>
        <v>8310956</v>
      </c>
      <c r="D17158" t="s">
        <v>52631</v>
      </c>
      <c r="E17158" t="s">
        <v>52632</v>
      </c>
      <c r="F17158" t="s">
        <v>51335</v>
      </c>
      <c r="I17158" t="s">
        <v>29</v>
      </c>
      <c r="J17158" t="s">
        <v>30</v>
      </c>
      <c r="K17158" t="s">
        <v>51336</v>
      </c>
      <c r="M17158" t="s">
        <v>50621</v>
      </c>
      <c r="N17158" t="str">
        <f t="shared" si="257"/>
        <v>7/18/2022 3:08:00 PM</v>
      </c>
      <c r="O17158" t="s">
        <v>52631</v>
      </c>
      <c r="T17158" t="s">
        <v>52632</v>
      </c>
    </row>
    <row r="17159" spans="1:20" x14ac:dyDescent="0.25">
      <c r="A17159" t="str">
        <f>"3039275"</f>
        <v>3039275</v>
      </c>
      <c r="B17159" t="s">
        <v>52637</v>
      </c>
      <c r="C17159" t="str">
        <f t="shared" si="256"/>
        <v>8310956</v>
      </c>
      <c r="D17159" t="s">
        <v>52631</v>
      </c>
      <c r="E17159" t="s">
        <v>52632</v>
      </c>
      <c r="F17159" t="s">
        <v>51335</v>
      </c>
      <c r="I17159" t="s">
        <v>29</v>
      </c>
      <c r="J17159" t="s">
        <v>30</v>
      </c>
      <c r="K17159" t="s">
        <v>51336</v>
      </c>
      <c r="M17159" t="s">
        <v>50621</v>
      </c>
      <c r="N17159" t="str">
        <f t="shared" si="257"/>
        <v>7/18/2022 3:08:00 PM</v>
      </c>
      <c r="O17159" t="s">
        <v>52631</v>
      </c>
      <c r="T17159" t="s">
        <v>52632</v>
      </c>
    </row>
    <row r="17160" spans="1:20" x14ac:dyDescent="0.25">
      <c r="A17160" t="str">
        <f>"3049251"</f>
        <v>3049251</v>
      </c>
      <c r="B17160" t="s">
        <v>52638</v>
      </c>
      <c r="C17160" t="str">
        <f>"8318263"</f>
        <v>8318263</v>
      </c>
      <c r="D17160" t="s">
        <v>52639</v>
      </c>
      <c r="E17160" t="s">
        <v>52640</v>
      </c>
      <c r="F17160" t="s">
        <v>52641</v>
      </c>
      <c r="I17160" t="s">
        <v>184</v>
      </c>
      <c r="J17160" t="s">
        <v>30</v>
      </c>
      <c r="K17160" t="s">
        <v>36132</v>
      </c>
      <c r="M17160" t="s">
        <v>17861</v>
      </c>
      <c r="N17160" t="str">
        <f>"7/18/2022 3:58:00 PM"</f>
        <v>7/18/2022 3:58:00 PM</v>
      </c>
      <c r="O17160" t="s">
        <v>52639</v>
      </c>
      <c r="T17160" t="s">
        <v>52640</v>
      </c>
    </row>
    <row r="17161" spans="1:20" x14ac:dyDescent="0.25">
      <c r="A17161" t="str">
        <f>"3060035"</f>
        <v>3060035</v>
      </c>
      <c r="B17161" t="s">
        <v>52642</v>
      </c>
      <c r="C17161" t="str">
        <f>"8318263"</f>
        <v>8318263</v>
      </c>
      <c r="D17161" t="s">
        <v>52639</v>
      </c>
      <c r="E17161" t="s">
        <v>52640</v>
      </c>
      <c r="F17161" t="s">
        <v>52641</v>
      </c>
      <c r="I17161" t="s">
        <v>184</v>
      </c>
      <c r="J17161" t="s">
        <v>30</v>
      </c>
      <c r="K17161" t="s">
        <v>36132</v>
      </c>
      <c r="M17161" t="s">
        <v>17861</v>
      </c>
      <c r="N17161" t="str">
        <f>"7/18/2022 3:58:00 PM"</f>
        <v>7/18/2022 3:58:00 PM</v>
      </c>
      <c r="O17161" t="s">
        <v>52639</v>
      </c>
      <c r="T17161" t="s">
        <v>52640</v>
      </c>
    </row>
    <row r="17162" spans="1:20" x14ac:dyDescent="0.25">
      <c r="A17162" t="str">
        <f>"3044921"</f>
        <v>3044921</v>
      </c>
      <c r="B17162" t="s">
        <v>52643</v>
      </c>
      <c r="C17162" t="str">
        <f>"8318227"</f>
        <v>8318227</v>
      </c>
      <c r="D17162" t="s">
        <v>52644</v>
      </c>
      <c r="E17162" t="s">
        <v>52645</v>
      </c>
      <c r="F17162" t="s">
        <v>52646</v>
      </c>
      <c r="I17162" t="s">
        <v>184</v>
      </c>
      <c r="J17162" t="s">
        <v>30</v>
      </c>
      <c r="K17162" t="s">
        <v>5724</v>
      </c>
      <c r="M17162" t="s">
        <v>17861</v>
      </c>
      <c r="N17162" t="str">
        <f>"7/13/2022 12:03:00 PM"</f>
        <v>7/13/2022 12:03:00 PM</v>
      </c>
      <c r="O17162" t="s">
        <v>52644</v>
      </c>
      <c r="T17162" t="s">
        <v>52645</v>
      </c>
    </row>
    <row r="17163" spans="1:20" x14ac:dyDescent="0.25">
      <c r="A17163" t="str">
        <f>"3053096"</f>
        <v>3053096</v>
      </c>
      <c r="B17163" t="s">
        <v>52647</v>
      </c>
      <c r="C17163" t="str">
        <f>"8318265"</f>
        <v>8318265</v>
      </c>
      <c r="D17163" t="s">
        <v>52648</v>
      </c>
      <c r="E17163" t="s">
        <v>52649</v>
      </c>
      <c r="F17163" t="s">
        <v>52650</v>
      </c>
      <c r="I17163" t="s">
        <v>29</v>
      </c>
      <c r="J17163" t="s">
        <v>30</v>
      </c>
      <c r="K17163" t="s">
        <v>13860</v>
      </c>
      <c r="M17163" t="s">
        <v>17861</v>
      </c>
      <c r="N17163" t="str">
        <f>"7/18/2022 4:07:00 PM"</f>
        <v>7/18/2022 4:07:00 PM</v>
      </c>
      <c r="O17163" t="s">
        <v>52648</v>
      </c>
      <c r="T17163" t="s">
        <v>52649</v>
      </c>
    </row>
    <row r="17164" spans="1:20" x14ac:dyDescent="0.25">
      <c r="A17164" t="str">
        <f>"3051974"</f>
        <v>3051974</v>
      </c>
      <c r="B17164" t="s">
        <v>52651</v>
      </c>
      <c r="C17164" t="str">
        <f>"8318269"</f>
        <v>8318269</v>
      </c>
      <c r="D17164" t="s">
        <v>52652</v>
      </c>
      <c r="F17164" t="s">
        <v>52653</v>
      </c>
      <c r="I17164" t="s">
        <v>29</v>
      </c>
      <c r="J17164" t="s">
        <v>30</v>
      </c>
      <c r="K17164" t="s">
        <v>26850</v>
      </c>
      <c r="M17164" t="s">
        <v>17861</v>
      </c>
      <c r="N17164" t="str">
        <f>"7/19/2022 10:10:00 AM"</f>
        <v>7/19/2022 10:10:00 AM</v>
      </c>
      <c r="O17164" t="s">
        <v>52652</v>
      </c>
    </row>
    <row r="17165" spans="1:20" x14ac:dyDescent="0.25">
      <c r="A17165" t="str">
        <f>"3066152"</f>
        <v>3066152</v>
      </c>
      <c r="B17165" t="s">
        <v>52654</v>
      </c>
      <c r="C17165" t="str">
        <f>"8318273"</f>
        <v>8318273</v>
      </c>
      <c r="D17165" t="s">
        <v>52655</v>
      </c>
      <c r="F17165" t="s">
        <v>52656</v>
      </c>
      <c r="I17165" t="s">
        <v>19211</v>
      </c>
      <c r="J17165" t="s">
        <v>30</v>
      </c>
      <c r="K17165" t="s">
        <v>52657</v>
      </c>
      <c r="M17165" t="s">
        <v>17861</v>
      </c>
      <c r="N17165" t="str">
        <f>"7/19/2022 11:49:00 AM"</f>
        <v>7/19/2022 11:49:00 AM</v>
      </c>
      <c r="O17165" t="s">
        <v>52655</v>
      </c>
    </row>
    <row r="17166" spans="1:20" x14ac:dyDescent="0.25">
      <c r="A17166" t="str">
        <f>"3042823"</f>
        <v>3042823</v>
      </c>
      <c r="B17166" t="s">
        <v>52658</v>
      </c>
      <c r="C17166" t="str">
        <f>"8318232"</f>
        <v>8318232</v>
      </c>
      <c r="D17166" t="s">
        <v>52659</v>
      </c>
      <c r="E17166" t="s">
        <v>52660</v>
      </c>
      <c r="F17166" t="s">
        <v>52661</v>
      </c>
      <c r="I17166" t="s">
        <v>29</v>
      </c>
      <c r="J17166" t="s">
        <v>30</v>
      </c>
      <c r="K17166" t="s">
        <v>4354</v>
      </c>
      <c r="M17166" t="s">
        <v>17861</v>
      </c>
      <c r="N17166" t="str">
        <f>"7/14/2022 2:00:00 PM"</f>
        <v>7/14/2022 2:00:00 PM</v>
      </c>
      <c r="O17166" t="s">
        <v>52659</v>
      </c>
      <c r="T17166" t="s">
        <v>52660</v>
      </c>
    </row>
    <row r="17167" spans="1:20" x14ac:dyDescent="0.25">
      <c r="A17167" t="str">
        <f>"3047571"</f>
        <v>3047571</v>
      </c>
      <c r="B17167" t="s">
        <v>52662</v>
      </c>
      <c r="C17167" t="str">
        <f>"8318234"</f>
        <v>8318234</v>
      </c>
      <c r="D17167" t="s">
        <v>52663</v>
      </c>
      <c r="E17167" t="s">
        <v>52664</v>
      </c>
      <c r="F17167" t="s">
        <v>52665</v>
      </c>
      <c r="I17167" t="s">
        <v>29</v>
      </c>
      <c r="J17167" t="s">
        <v>30</v>
      </c>
      <c r="K17167" t="s">
        <v>43192</v>
      </c>
      <c r="M17167" t="s">
        <v>17861</v>
      </c>
      <c r="N17167" t="str">
        <f>"7/14/2022 3:09:00 PM"</f>
        <v>7/14/2022 3:09:00 PM</v>
      </c>
      <c r="O17167" t="s">
        <v>52663</v>
      </c>
      <c r="T17167" t="s">
        <v>52664</v>
      </c>
    </row>
    <row r="17168" spans="1:20" x14ac:dyDescent="0.25">
      <c r="A17168" t="str">
        <f>"3043288"</f>
        <v>3043288</v>
      </c>
      <c r="B17168" t="s">
        <v>52666</v>
      </c>
      <c r="C17168" t="str">
        <f>"8318235"</f>
        <v>8318235</v>
      </c>
      <c r="D17168" t="s">
        <v>22766</v>
      </c>
      <c r="F17168" t="s">
        <v>52667</v>
      </c>
      <c r="I17168" t="s">
        <v>184</v>
      </c>
      <c r="J17168" t="s">
        <v>30</v>
      </c>
      <c r="K17168" t="s">
        <v>27109</v>
      </c>
      <c r="M17168" t="s">
        <v>17861</v>
      </c>
      <c r="N17168" t="str">
        <f>"7/14/2022 3:44:00 PM"</f>
        <v>7/14/2022 3:44:00 PM</v>
      </c>
      <c r="O17168" t="s">
        <v>22766</v>
      </c>
    </row>
    <row r="17169" spans="1:20" x14ac:dyDescent="0.25">
      <c r="A17169" t="str">
        <f>"3056482"</f>
        <v>3056482</v>
      </c>
      <c r="B17169" t="s">
        <v>52668</v>
      </c>
      <c r="C17169" t="str">
        <f>"8318244"</f>
        <v>8318244</v>
      </c>
      <c r="D17169" t="s">
        <v>52669</v>
      </c>
      <c r="F17169" t="s">
        <v>32208</v>
      </c>
      <c r="I17169" t="s">
        <v>52670</v>
      </c>
      <c r="J17169" t="s">
        <v>30</v>
      </c>
      <c r="K17169" t="s">
        <v>52671</v>
      </c>
      <c r="M17169" t="s">
        <v>17861</v>
      </c>
      <c r="N17169" t="str">
        <f>"7/18/2022 9:17:00 AM"</f>
        <v>7/18/2022 9:17:00 AM</v>
      </c>
      <c r="O17169" t="s">
        <v>52669</v>
      </c>
    </row>
    <row r="17170" spans="1:20" x14ac:dyDescent="0.25">
      <c r="A17170" t="str">
        <f>"3057338"</f>
        <v>3057338</v>
      </c>
      <c r="B17170" t="s">
        <v>52672</v>
      </c>
      <c r="C17170" t="str">
        <f>"8318245"</f>
        <v>8318245</v>
      </c>
      <c r="D17170" t="s">
        <v>52673</v>
      </c>
      <c r="F17170" t="s">
        <v>52674</v>
      </c>
      <c r="I17170" t="s">
        <v>184</v>
      </c>
      <c r="J17170" t="s">
        <v>30</v>
      </c>
      <c r="K17170" t="s">
        <v>52675</v>
      </c>
      <c r="M17170" t="s">
        <v>17861</v>
      </c>
      <c r="N17170" t="str">
        <f>"7/18/2022 9:20:00 AM"</f>
        <v>7/18/2022 9:20:00 AM</v>
      </c>
      <c r="O17170" t="s">
        <v>52673</v>
      </c>
    </row>
    <row r="17171" spans="1:20" x14ac:dyDescent="0.25">
      <c r="A17171" t="str">
        <f>"3057890"</f>
        <v>3057890</v>
      </c>
      <c r="B17171" t="s">
        <v>52676</v>
      </c>
      <c r="C17171" t="str">
        <f>"8318246"</f>
        <v>8318246</v>
      </c>
      <c r="D17171" t="s">
        <v>52677</v>
      </c>
      <c r="E17171" t="s">
        <v>52678</v>
      </c>
      <c r="F17171" t="s">
        <v>52679</v>
      </c>
      <c r="I17171" t="s">
        <v>184</v>
      </c>
      <c r="J17171" t="s">
        <v>30</v>
      </c>
      <c r="K17171" t="str">
        <f>"27006"</f>
        <v>27006</v>
      </c>
      <c r="M17171" t="s">
        <v>17861</v>
      </c>
      <c r="N17171" t="str">
        <f>"7/18/2022 9:24:00 AM"</f>
        <v>7/18/2022 9:24:00 AM</v>
      </c>
      <c r="O17171" t="s">
        <v>52677</v>
      </c>
      <c r="T17171" t="s">
        <v>52678</v>
      </c>
    </row>
    <row r="17172" spans="1:20" x14ac:dyDescent="0.25">
      <c r="A17172" t="str">
        <f>"3057507"</f>
        <v>3057507</v>
      </c>
      <c r="B17172" t="s">
        <v>52680</v>
      </c>
      <c r="C17172" t="str">
        <f>"8318249"</f>
        <v>8318249</v>
      </c>
      <c r="D17172" t="s">
        <v>52681</v>
      </c>
      <c r="E17172" t="s">
        <v>52682</v>
      </c>
      <c r="F17172" t="s">
        <v>52683</v>
      </c>
      <c r="I17172" t="s">
        <v>184</v>
      </c>
      <c r="J17172" t="s">
        <v>30</v>
      </c>
      <c r="K17172" t="s">
        <v>52675</v>
      </c>
      <c r="M17172" t="s">
        <v>17861</v>
      </c>
      <c r="N17172" t="str">
        <f>"7/18/2022 10:39:00 AM"</f>
        <v>7/18/2022 10:39:00 AM</v>
      </c>
      <c r="O17172" t="s">
        <v>52681</v>
      </c>
      <c r="T17172" t="s">
        <v>52682</v>
      </c>
    </row>
    <row r="17173" spans="1:20" x14ac:dyDescent="0.25">
      <c r="A17173" t="str">
        <f>"3037422"</f>
        <v>3037422</v>
      </c>
      <c r="B17173" t="s">
        <v>52684</v>
      </c>
      <c r="C17173" t="str">
        <f>"8318183"</f>
        <v>8318183</v>
      </c>
      <c r="D17173" t="s">
        <v>52685</v>
      </c>
      <c r="F17173" t="s">
        <v>35088</v>
      </c>
      <c r="I17173" t="s">
        <v>29</v>
      </c>
      <c r="J17173" t="s">
        <v>30</v>
      </c>
      <c r="K17173" t="s">
        <v>52686</v>
      </c>
      <c r="M17173" t="s">
        <v>17861</v>
      </c>
      <c r="N17173" t="str">
        <f>"7/12/2022 8:07:00 AM"</f>
        <v>7/12/2022 8:07:00 AM</v>
      </c>
      <c r="O17173" t="s">
        <v>52685</v>
      </c>
    </row>
    <row r="17174" spans="1:20" x14ac:dyDescent="0.25">
      <c r="A17174" t="str">
        <f>"3062500"</f>
        <v>3062500</v>
      </c>
      <c r="B17174" t="s">
        <v>52687</v>
      </c>
      <c r="C17174" t="str">
        <f>"8318307"</f>
        <v>8318307</v>
      </c>
      <c r="D17174" t="s">
        <v>52688</v>
      </c>
      <c r="E17174" t="s">
        <v>52689</v>
      </c>
      <c r="F17174" t="s">
        <v>52690</v>
      </c>
      <c r="I17174" t="s">
        <v>184</v>
      </c>
      <c r="J17174" t="s">
        <v>30</v>
      </c>
      <c r="K17174" t="s">
        <v>52691</v>
      </c>
      <c r="M17174" t="s">
        <v>17861</v>
      </c>
      <c r="N17174" t="str">
        <f>"7/20/2022 3:41:00 PM"</f>
        <v>7/20/2022 3:41:00 PM</v>
      </c>
      <c r="O17174" t="s">
        <v>52688</v>
      </c>
      <c r="T17174" t="s">
        <v>52689</v>
      </c>
    </row>
    <row r="17175" spans="1:20" x14ac:dyDescent="0.25">
      <c r="A17175" t="str">
        <f>"3040861"</f>
        <v>3040861</v>
      </c>
      <c r="B17175" t="s">
        <v>52692</v>
      </c>
      <c r="C17175" t="str">
        <f>"8318308"</f>
        <v>8318308</v>
      </c>
      <c r="D17175" t="s">
        <v>52693</v>
      </c>
      <c r="F17175" t="s">
        <v>52694</v>
      </c>
      <c r="I17175" t="s">
        <v>49</v>
      </c>
      <c r="J17175" t="s">
        <v>30</v>
      </c>
      <c r="K17175" t="s">
        <v>52695</v>
      </c>
      <c r="M17175" t="s">
        <v>17861</v>
      </c>
      <c r="N17175" t="str">
        <f>"7/20/2022 3:48:00 PM"</f>
        <v>7/20/2022 3:48:00 PM</v>
      </c>
      <c r="O17175" t="s">
        <v>52693</v>
      </c>
    </row>
    <row r="17176" spans="1:20" x14ac:dyDescent="0.25">
      <c r="A17176" t="str">
        <f>"3037591"</f>
        <v>3037591</v>
      </c>
      <c r="B17176" t="s">
        <v>52696</v>
      </c>
      <c r="C17176" t="str">
        <f>"8318183"</f>
        <v>8318183</v>
      </c>
      <c r="D17176" t="s">
        <v>52685</v>
      </c>
      <c r="F17176" t="s">
        <v>35088</v>
      </c>
      <c r="I17176" t="s">
        <v>29</v>
      </c>
      <c r="J17176" t="s">
        <v>30</v>
      </c>
      <c r="K17176" t="s">
        <v>52686</v>
      </c>
      <c r="M17176" t="s">
        <v>17861</v>
      </c>
      <c r="N17176" t="str">
        <f>"7/12/2022 8:07:00 AM"</f>
        <v>7/12/2022 8:07:00 AM</v>
      </c>
      <c r="O17176" t="s">
        <v>52685</v>
      </c>
    </row>
    <row r="17177" spans="1:20" x14ac:dyDescent="0.25">
      <c r="A17177" t="str">
        <f>"3049495"</f>
        <v>3049495</v>
      </c>
      <c r="B17177" t="s">
        <v>52697</v>
      </c>
      <c r="C17177" t="str">
        <f>"82532909"</f>
        <v>82532909</v>
      </c>
      <c r="D17177" t="s">
        <v>52698</v>
      </c>
      <c r="E17177" t="s">
        <v>52699</v>
      </c>
      <c r="F17177" t="s">
        <v>52700</v>
      </c>
      <c r="I17177" t="s">
        <v>24359</v>
      </c>
      <c r="J17177" t="s">
        <v>30</v>
      </c>
      <c r="K17177" t="str">
        <f>"27006"</f>
        <v>27006</v>
      </c>
      <c r="M17177" t="s">
        <v>50621</v>
      </c>
      <c r="N17177" t="str">
        <f>"7/12/2022 12:42:00 PM"</f>
        <v>7/12/2022 12:42:00 PM</v>
      </c>
      <c r="O17177" t="s">
        <v>52698</v>
      </c>
      <c r="T17177" t="s">
        <v>52699</v>
      </c>
    </row>
    <row r="17178" spans="1:20" x14ac:dyDescent="0.25">
      <c r="A17178" t="str">
        <f>"3057031"</f>
        <v>3057031</v>
      </c>
      <c r="B17178" t="s">
        <v>52701</v>
      </c>
      <c r="C17178" t="str">
        <f>"8318185"</f>
        <v>8318185</v>
      </c>
      <c r="D17178" t="s">
        <v>52702</v>
      </c>
      <c r="E17178" t="s">
        <v>52703</v>
      </c>
      <c r="F17178" t="s">
        <v>52704</v>
      </c>
      <c r="I17178" t="s">
        <v>2275</v>
      </c>
      <c r="J17178" t="s">
        <v>30</v>
      </c>
      <c r="K17178" t="s">
        <v>52705</v>
      </c>
      <c r="M17178" t="s">
        <v>17861</v>
      </c>
      <c r="N17178" t="str">
        <f>"7/12/2022 1:17:00 PM"</f>
        <v>7/12/2022 1:17:00 PM</v>
      </c>
      <c r="O17178" t="s">
        <v>52702</v>
      </c>
      <c r="T17178" t="s">
        <v>52703</v>
      </c>
    </row>
    <row r="17179" spans="1:20" x14ac:dyDescent="0.25">
      <c r="A17179" t="str">
        <f>"3050105"</f>
        <v>3050105</v>
      </c>
      <c r="B17179" t="s">
        <v>52706</v>
      </c>
      <c r="C17179" t="str">
        <f>"8318339"</f>
        <v>8318339</v>
      </c>
      <c r="D17179" t="s">
        <v>52707</v>
      </c>
      <c r="E17179" t="s">
        <v>52708</v>
      </c>
      <c r="F17179" t="s">
        <v>52709</v>
      </c>
      <c r="I17179" t="s">
        <v>29</v>
      </c>
      <c r="J17179" t="s">
        <v>30</v>
      </c>
      <c r="K17179" t="s">
        <v>18928</v>
      </c>
      <c r="M17179" t="s">
        <v>17861</v>
      </c>
      <c r="N17179" t="str">
        <f>"7/22/2022 10:16:00 AM"</f>
        <v>7/22/2022 10:16:00 AM</v>
      </c>
      <c r="O17179" t="s">
        <v>52707</v>
      </c>
      <c r="T17179" t="s">
        <v>52708</v>
      </c>
    </row>
    <row r="17180" spans="1:20" x14ac:dyDescent="0.25">
      <c r="A17180" t="str">
        <f>"3058762"</f>
        <v>3058762</v>
      </c>
      <c r="B17180" t="s">
        <v>52710</v>
      </c>
      <c r="C17180" t="str">
        <f>"8318348"</f>
        <v>8318348</v>
      </c>
      <c r="D17180" t="s">
        <v>52711</v>
      </c>
      <c r="F17180" t="s">
        <v>52712</v>
      </c>
      <c r="I17180" t="s">
        <v>29</v>
      </c>
      <c r="J17180" t="s">
        <v>30</v>
      </c>
      <c r="K17180" t="s">
        <v>11637</v>
      </c>
      <c r="M17180" t="s">
        <v>17861</v>
      </c>
      <c r="N17180" t="str">
        <f>"7/22/2022 1:10:00 PM"</f>
        <v>7/22/2022 1:10:00 PM</v>
      </c>
      <c r="O17180" t="s">
        <v>52711</v>
      </c>
    </row>
    <row r="17181" spans="1:20" x14ac:dyDescent="0.25">
      <c r="A17181" t="str">
        <f>"3044855"</f>
        <v>3044855</v>
      </c>
      <c r="B17181" t="s">
        <v>52713</v>
      </c>
      <c r="C17181" t="str">
        <f>"8318349"</f>
        <v>8318349</v>
      </c>
      <c r="D17181" t="s">
        <v>52714</v>
      </c>
      <c r="F17181" t="s">
        <v>52715</v>
      </c>
      <c r="I17181" t="s">
        <v>184</v>
      </c>
      <c r="J17181" t="s">
        <v>30</v>
      </c>
      <c r="K17181" t="s">
        <v>6241</v>
      </c>
      <c r="M17181" t="s">
        <v>17861</v>
      </c>
      <c r="N17181" t="str">
        <f>"7/22/2022 1:12:00 PM"</f>
        <v>7/22/2022 1:12:00 PM</v>
      </c>
      <c r="O17181" t="s">
        <v>52714</v>
      </c>
    </row>
    <row r="17182" spans="1:20" x14ac:dyDescent="0.25">
      <c r="A17182" t="str">
        <f>"3059846"</f>
        <v>3059846</v>
      </c>
      <c r="B17182" t="s">
        <v>52716</v>
      </c>
      <c r="C17182" t="str">
        <f>"8318351"</f>
        <v>8318351</v>
      </c>
      <c r="D17182" t="s">
        <v>52717</v>
      </c>
      <c r="E17182" t="s">
        <v>52718</v>
      </c>
      <c r="F17182" t="s">
        <v>52719</v>
      </c>
      <c r="I17182" t="s">
        <v>29</v>
      </c>
      <c r="J17182" t="s">
        <v>30</v>
      </c>
      <c r="K17182" t="s">
        <v>52720</v>
      </c>
      <c r="M17182" t="s">
        <v>17861</v>
      </c>
      <c r="N17182" t="str">
        <f>"7/25/2022 8:41:00 AM"</f>
        <v>7/25/2022 8:41:00 AM</v>
      </c>
      <c r="O17182" t="s">
        <v>52717</v>
      </c>
      <c r="T17182" t="s">
        <v>52718</v>
      </c>
    </row>
    <row r="17183" spans="1:20" x14ac:dyDescent="0.25">
      <c r="A17183" t="str">
        <f>"3040782"</f>
        <v>3040782</v>
      </c>
      <c r="B17183" t="s">
        <v>52721</v>
      </c>
      <c r="C17183" t="str">
        <f>"8318185"</f>
        <v>8318185</v>
      </c>
      <c r="D17183" t="s">
        <v>52702</v>
      </c>
      <c r="E17183" t="s">
        <v>52703</v>
      </c>
      <c r="F17183" t="s">
        <v>52704</v>
      </c>
      <c r="I17183" t="s">
        <v>2275</v>
      </c>
      <c r="J17183" t="s">
        <v>30</v>
      </c>
      <c r="K17183" t="s">
        <v>52705</v>
      </c>
      <c r="M17183" t="s">
        <v>17861</v>
      </c>
      <c r="N17183" t="str">
        <f>"7/12/2022 1:17:00 PM"</f>
        <v>7/12/2022 1:17:00 PM</v>
      </c>
      <c r="O17183" t="s">
        <v>52702</v>
      </c>
      <c r="T17183" t="s">
        <v>52703</v>
      </c>
    </row>
    <row r="17184" spans="1:20" x14ac:dyDescent="0.25">
      <c r="A17184" t="str">
        <f>"3044803"</f>
        <v>3044803</v>
      </c>
      <c r="B17184" t="s">
        <v>52722</v>
      </c>
      <c r="C17184" t="str">
        <f>"8318187"</f>
        <v>8318187</v>
      </c>
      <c r="D17184" t="s">
        <v>52723</v>
      </c>
      <c r="E17184" t="s">
        <v>52724</v>
      </c>
      <c r="F17184" t="s">
        <v>52725</v>
      </c>
      <c r="I17184" t="s">
        <v>184</v>
      </c>
      <c r="J17184" t="s">
        <v>30</v>
      </c>
      <c r="K17184" t="s">
        <v>6241</v>
      </c>
      <c r="M17184" t="s">
        <v>17861</v>
      </c>
      <c r="N17184" t="str">
        <f>"7/12/2022 1:20:00 PM"</f>
        <v>7/12/2022 1:20:00 PM</v>
      </c>
      <c r="O17184" t="s">
        <v>52723</v>
      </c>
      <c r="T17184" t="s">
        <v>52724</v>
      </c>
    </row>
    <row r="17185" spans="1:20" x14ac:dyDescent="0.25">
      <c r="A17185" t="str">
        <f>"3056582"</f>
        <v>3056582</v>
      </c>
      <c r="B17185" t="s">
        <v>52726</v>
      </c>
      <c r="C17185" t="str">
        <f>"8318189"</f>
        <v>8318189</v>
      </c>
      <c r="D17185" t="s">
        <v>52727</v>
      </c>
      <c r="E17185" t="s">
        <v>52728</v>
      </c>
      <c r="F17185" t="s">
        <v>52729</v>
      </c>
      <c r="I17185" t="s">
        <v>29</v>
      </c>
      <c r="J17185" t="s">
        <v>30</v>
      </c>
      <c r="K17185" t="s">
        <v>52447</v>
      </c>
      <c r="M17185" t="s">
        <v>17861</v>
      </c>
      <c r="N17185" t="str">
        <f>"7/12/2022 2:04:00 PM"</f>
        <v>7/12/2022 2:04:00 PM</v>
      </c>
      <c r="O17185" t="s">
        <v>52727</v>
      </c>
      <c r="T17185" t="s">
        <v>52728</v>
      </c>
    </row>
    <row r="17186" spans="1:20" x14ac:dyDescent="0.25">
      <c r="A17186" t="str">
        <f>"3037834"</f>
        <v>3037834</v>
      </c>
      <c r="B17186" t="s">
        <v>52730</v>
      </c>
      <c r="C17186" t="str">
        <f>"8318194"</f>
        <v>8318194</v>
      </c>
      <c r="D17186" t="str">
        <f>"MYERS J K/EUGENIA P TRUSTEES"</f>
        <v>MYERS J K/EUGENIA P TRUSTEES</v>
      </c>
      <c r="E17186" t="s">
        <v>52731</v>
      </c>
      <c r="F17186" t="s">
        <v>52732</v>
      </c>
      <c r="I17186" t="s">
        <v>29</v>
      </c>
      <c r="J17186" t="s">
        <v>30</v>
      </c>
      <c r="K17186" t="s">
        <v>52733</v>
      </c>
      <c r="M17186" t="s">
        <v>17861</v>
      </c>
      <c r="N17186" t="str">
        <f>"7/12/2022 2:42:00 PM"</f>
        <v>7/12/2022 2:42:00 PM</v>
      </c>
      <c r="O17186" t="str">
        <f>"MYERS J K/EUGENIA P TRUSTEES"</f>
        <v>MYERS J K/EUGENIA P TRUSTEES</v>
      </c>
      <c r="T17186" t="s">
        <v>52731</v>
      </c>
    </row>
    <row r="17187" spans="1:20" x14ac:dyDescent="0.25">
      <c r="A17187" t="str">
        <f>"3046316"</f>
        <v>3046316</v>
      </c>
      <c r="B17187" t="s">
        <v>52734</v>
      </c>
      <c r="C17187" t="str">
        <f>"8318359"</f>
        <v>8318359</v>
      </c>
      <c r="D17187" t="s">
        <v>52735</v>
      </c>
      <c r="F17187" t="s">
        <v>52736</v>
      </c>
      <c r="I17187" t="s">
        <v>29</v>
      </c>
      <c r="J17187" t="s">
        <v>30</v>
      </c>
      <c r="K17187" t="s">
        <v>52737</v>
      </c>
      <c r="M17187" t="s">
        <v>17861</v>
      </c>
      <c r="N17187" t="str">
        <f>"7/26/2022 10:47:00 AM"</f>
        <v>7/26/2022 10:47:00 AM</v>
      </c>
      <c r="O17187" t="s">
        <v>52735</v>
      </c>
    </row>
    <row r="17188" spans="1:20" x14ac:dyDescent="0.25">
      <c r="A17188" t="str">
        <f>"3038096"</f>
        <v>3038096</v>
      </c>
      <c r="B17188" t="s">
        <v>52738</v>
      </c>
      <c r="C17188" t="str">
        <f>"8318194"</f>
        <v>8318194</v>
      </c>
      <c r="D17188" t="str">
        <f>"MYERS J K/EUGENIA P TRUSTEES"</f>
        <v>MYERS J K/EUGENIA P TRUSTEES</v>
      </c>
      <c r="E17188" t="s">
        <v>52731</v>
      </c>
      <c r="F17188" t="s">
        <v>52732</v>
      </c>
      <c r="I17188" t="s">
        <v>29</v>
      </c>
      <c r="J17188" t="s">
        <v>30</v>
      </c>
      <c r="K17188" t="s">
        <v>52733</v>
      </c>
      <c r="M17188" t="s">
        <v>17861</v>
      </c>
      <c r="N17188" t="str">
        <f>"7/12/2022 2:42:00 PM"</f>
        <v>7/12/2022 2:42:00 PM</v>
      </c>
      <c r="O17188" t="str">
        <f>"MYERS J K/EUGENIA P TRUSTEES"</f>
        <v>MYERS J K/EUGENIA P TRUSTEES</v>
      </c>
      <c r="T17188" t="s">
        <v>52731</v>
      </c>
    </row>
    <row r="17189" spans="1:20" x14ac:dyDescent="0.25">
      <c r="A17189" t="str">
        <f>"3038931"</f>
        <v>3038931</v>
      </c>
      <c r="B17189" t="s">
        <v>52739</v>
      </c>
      <c r="C17189" t="str">
        <f>"8318194"</f>
        <v>8318194</v>
      </c>
      <c r="D17189" t="str">
        <f>"MYERS J K/EUGENIA P TRUSTEES"</f>
        <v>MYERS J K/EUGENIA P TRUSTEES</v>
      </c>
      <c r="E17189" t="s">
        <v>52731</v>
      </c>
      <c r="F17189" t="s">
        <v>52732</v>
      </c>
      <c r="I17189" t="s">
        <v>29</v>
      </c>
      <c r="J17189" t="s">
        <v>30</v>
      </c>
      <c r="K17189" t="s">
        <v>52733</v>
      </c>
      <c r="M17189" t="s">
        <v>17861</v>
      </c>
      <c r="N17189" t="str">
        <f>"7/12/2022 2:42:00 PM"</f>
        <v>7/12/2022 2:42:00 PM</v>
      </c>
      <c r="O17189" t="str">
        <f>"MYERS J K/EUGENIA P TRUSTEES"</f>
        <v>MYERS J K/EUGENIA P TRUSTEES</v>
      </c>
      <c r="T17189" t="s">
        <v>52731</v>
      </c>
    </row>
    <row r="17190" spans="1:20" x14ac:dyDescent="0.25">
      <c r="A17190" t="str">
        <f>"3052872"</f>
        <v>3052872</v>
      </c>
      <c r="B17190" t="s">
        <v>52740</v>
      </c>
      <c r="C17190" t="str">
        <f>"8318196"</f>
        <v>8318196</v>
      </c>
      <c r="D17190" t="s">
        <v>52741</v>
      </c>
      <c r="F17190" t="s">
        <v>52742</v>
      </c>
      <c r="I17190" t="s">
        <v>29</v>
      </c>
      <c r="J17190" t="s">
        <v>30</v>
      </c>
      <c r="K17190" t="s">
        <v>33383</v>
      </c>
      <c r="M17190" t="s">
        <v>17861</v>
      </c>
      <c r="N17190" t="str">
        <f>"7/12/2022 2:50:00 PM"</f>
        <v>7/12/2022 2:50:00 PM</v>
      </c>
      <c r="O17190" t="s">
        <v>52741</v>
      </c>
    </row>
    <row r="17191" spans="1:20" x14ac:dyDescent="0.25">
      <c r="A17191" t="str">
        <f>"3052417"</f>
        <v>3052417</v>
      </c>
      <c r="B17191" t="s">
        <v>52743</v>
      </c>
      <c r="C17191" t="str">
        <f>"8318196"</f>
        <v>8318196</v>
      </c>
      <c r="D17191" t="s">
        <v>52741</v>
      </c>
      <c r="F17191" t="s">
        <v>52742</v>
      </c>
      <c r="I17191" t="s">
        <v>29</v>
      </c>
      <c r="J17191" t="s">
        <v>30</v>
      </c>
      <c r="K17191" t="s">
        <v>33383</v>
      </c>
      <c r="M17191" t="s">
        <v>17861</v>
      </c>
      <c r="N17191" t="str">
        <f>"7/12/2022 2:50:00 PM"</f>
        <v>7/12/2022 2:50:00 PM</v>
      </c>
      <c r="O17191" t="s">
        <v>52741</v>
      </c>
    </row>
    <row r="17192" spans="1:20" x14ac:dyDescent="0.25">
      <c r="A17192" t="str">
        <f>"3052394"</f>
        <v>3052394</v>
      </c>
      <c r="B17192" t="s">
        <v>52744</v>
      </c>
      <c r="C17192" t="str">
        <f>"8318196"</f>
        <v>8318196</v>
      </c>
      <c r="D17192" t="s">
        <v>52741</v>
      </c>
      <c r="F17192" t="s">
        <v>52742</v>
      </c>
      <c r="I17192" t="s">
        <v>29</v>
      </c>
      <c r="J17192" t="s">
        <v>30</v>
      </c>
      <c r="K17192" t="s">
        <v>33383</v>
      </c>
      <c r="M17192" t="s">
        <v>17861</v>
      </c>
      <c r="N17192" t="str">
        <f>"7/12/2022 2:50:00 PM"</f>
        <v>7/12/2022 2:50:00 PM</v>
      </c>
      <c r="O17192" t="s">
        <v>52741</v>
      </c>
    </row>
    <row r="17193" spans="1:20" x14ac:dyDescent="0.25">
      <c r="A17193" t="str">
        <f>"3059560"</f>
        <v>3059560</v>
      </c>
      <c r="B17193" t="s">
        <v>52745</v>
      </c>
      <c r="C17193" t="str">
        <f>"8318201"</f>
        <v>8318201</v>
      </c>
      <c r="D17193" t="s">
        <v>52746</v>
      </c>
      <c r="F17193" t="s">
        <v>52747</v>
      </c>
      <c r="I17193" t="s">
        <v>29</v>
      </c>
      <c r="J17193" t="s">
        <v>30</v>
      </c>
      <c r="K17193" t="s">
        <v>13405</v>
      </c>
      <c r="M17193" t="s">
        <v>17861</v>
      </c>
      <c r="N17193" t="str">
        <f>"7/12/2022 2:59:00 PM"</f>
        <v>7/12/2022 2:59:00 PM</v>
      </c>
      <c r="O17193" t="s">
        <v>52746</v>
      </c>
    </row>
    <row r="17194" spans="1:20" x14ac:dyDescent="0.25">
      <c r="A17194" t="str">
        <f>"3060894"</f>
        <v>3060894</v>
      </c>
      <c r="B17194" t="s">
        <v>52748</v>
      </c>
      <c r="C17194" t="str">
        <f>"8318369"</f>
        <v>8318369</v>
      </c>
      <c r="D17194" t="s">
        <v>52749</v>
      </c>
      <c r="F17194" t="s">
        <v>52750</v>
      </c>
      <c r="I17194" t="s">
        <v>2071</v>
      </c>
      <c r="J17194" t="s">
        <v>30</v>
      </c>
      <c r="K17194" t="s">
        <v>34675</v>
      </c>
      <c r="M17194" t="s">
        <v>17861</v>
      </c>
      <c r="N17194" t="str">
        <f>"7/27/2022 1:41:00 PM"</f>
        <v>7/27/2022 1:41:00 PM</v>
      </c>
      <c r="O17194" t="s">
        <v>52749</v>
      </c>
    </row>
    <row r="17195" spans="1:20" x14ac:dyDescent="0.25">
      <c r="A17195" t="str">
        <f>"3057385"</f>
        <v>3057385</v>
      </c>
      <c r="B17195" t="s">
        <v>52751</v>
      </c>
      <c r="C17195" t="str">
        <f>"8313087"</f>
        <v>8313087</v>
      </c>
      <c r="D17195" t="s">
        <v>52752</v>
      </c>
      <c r="F17195" t="s">
        <v>44481</v>
      </c>
      <c r="I17195" t="s">
        <v>14865</v>
      </c>
      <c r="J17195" t="s">
        <v>30</v>
      </c>
      <c r="K17195" t="s">
        <v>44482</v>
      </c>
      <c r="M17195" t="s">
        <v>25733</v>
      </c>
      <c r="N17195" t="str">
        <f>"7/27/2022 1:51:00 PM"</f>
        <v>7/27/2022 1:51:00 PM</v>
      </c>
      <c r="O17195" t="s">
        <v>52752</v>
      </c>
    </row>
    <row r="17196" spans="1:20" x14ac:dyDescent="0.25">
      <c r="A17196" t="str">
        <f>"3050714"</f>
        <v>3050714</v>
      </c>
      <c r="B17196" t="s">
        <v>52753</v>
      </c>
      <c r="C17196" t="str">
        <f>"8318203"</f>
        <v>8318203</v>
      </c>
      <c r="D17196" t="s">
        <v>52754</v>
      </c>
      <c r="F17196" t="s">
        <v>52755</v>
      </c>
      <c r="I17196" t="s">
        <v>184</v>
      </c>
      <c r="J17196" t="s">
        <v>30</v>
      </c>
      <c r="K17196" t="s">
        <v>10555</v>
      </c>
      <c r="M17196" t="s">
        <v>17861</v>
      </c>
      <c r="N17196" t="str">
        <f>"7/12/2022 3:01:00 PM"</f>
        <v>7/12/2022 3:01:00 PM</v>
      </c>
      <c r="O17196" t="s">
        <v>52754</v>
      </c>
    </row>
    <row r="17197" spans="1:20" x14ac:dyDescent="0.25">
      <c r="A17197" t="str">
        <f>"3100844"</f>
        <v>3100844</v>
      </c>
      <c r="B17197" t="s">
        <v>52756</v>
      </c>
      <c r="C17197" t="str">
        <f>"8318371"</f>
        <v>8318371</v>
      </c>
      <c r="D17197" t="s">
        <v>52757</v>
      </c>
      <c r="F17197" t="s">
        <v>52758</v>
      </c>
      <c r="I17197" t="s">
        <v>14378</v>
      </c>
      <c r="J17197" t="s">
        <v>30</v>
      </c>
      <c r="K17197" t="s">
        <v>52759</v>
      </c>
      <c r="M17197" t="s">
        <v>17861</v>
      </c>
      <c r="N17197" t="str">
        <f>"7/27/2022 4:02:00 PM"</f>
        <v>7/27/2022 4:02:00 PM</v>
      </c>
      <c r="O17197" t="s">
        <v>52757</v>
      </c>
    </row>
    <row r="17198" spans="1:20" x14ac:dyDescent="0.25">
      <c r="A17198" t="str">
        <f>"3041439"</f>
        <v>3041439</v>
      </c>
      <c r="B17198" t="s">
        <v>52760</v>
      </c>
      <c r="C17198" t="str">
        <f>"8318375"</f>
        <v>8318375</v>
      </c>
      <c r="D17198" t="s">
        <v>52761</v>
      </c>
      <c r="E17198" t="s">
        <v>52762</v>
      </c>
      <c r="F17198" t="s">
        <v>52763</v>
      </c>
      <c r="I17198" t="s">
        <v>184</v>
      </c>
      <c r="J17198" t="s">
        <v>30</v>
      </c>
      <c r="K17198" t="s">
        <v>32842</v>
      </c>
      <c r="M17198" t="s">
        <v>17861</v>
      </c>
      <c r="N17198" t="str">
        <f>"7/28/2022 10:52:00 AM"</f>
        <v>7/28/2022 10:52:00 AM</v>
      </c>
      <c r="O17198" t="s">
        <v>52761</v>
      </c>
      <c r="T17198" t="s">
        <v>52762</v>
      </c>
    </row>
    <row r="17199" spans="1:20" x14ac:dyDescent="0.25">
      <c r="A17199" t="str">
        <f>"3052889"</f>
        <v>3052889</v>
      </c>
      <c r="B17199" t="s">
        <v>52764</v>
      </c>
      <c r="C17199" t="str">
        <f>"8318264"</f>
        <v>8318264</v>
      </c>
      <c r="D17199" t="s">
        <v>52765</v>
      </c>
      <c r="F17199" t="s">
        <v>52766</v>
      </c>
      <c r="I17199" t="s">
        <v>29</v>
      </c>
      <c r="J17199" t="s">
        <v>30</v>
      </c>
      <c r="K17199" t="str">
        <f>"27028"</f>
        <v>27028</v>
      </c>
      <c r="M17199" t="s">
        <v>17861</v>
      </c>
      <c r="N17199" t="str">
        <f>"7/18/2022 4:04:00 PM"</f>
        <v>7/18/2022 4:04:00 PM</v>
      </c>
      <c r="O17199" t="s">
        <v>52765</v>
      </c>
    </row>
    <row r="17200" spans="1:20" x14ac:dyDescent="0.25">
      <c r="A17200" t="str">
        <f>"3056534"</f>
        <v>3056534</v>
      </c>
      <c r="B17200" t="s">
        <v>52767</v>
      </c>
      <c r="C17200" t="str">
        <f>"8318280"</f>
        <v>8318280</v>
      </c>
      <c r="D17200" t="s">
        <v>52768</v>
      </c>
      <c r="E17200" t="s">
        <v>52769</v>
      </c>
      <c r="F17200" t="s">
        <v>52770</v>
      </c>
      <c r="I17200" t="s">
        <v>29</v>
      </c>
      <c r="J17200" t="s">
        <v>30</v>
      </c>
      <c r="K17200" t="s">
        <v>34834</v>
      </c>
      <c r="M17200" t="s">
        <v>17861</v>
      </c>
      <c r="N17200" t="str">
        <f>"7/19/2022 3:28:00 PM"</f>
        <v>7/19/2022 3:28:00 PM</v>
      </c>
      <c r="O17200" t="s">
        <v>52768</v>
      </c>
      <c r="T17200" t="s">
        <v>52769</v>
      </c>
    </row>
    <row r="17201" spans="1:20" x14ac:dyDescent="0.25">
      <c r="A17201" t="str">
        <f>"3056309"</f>
        <v>3056309</v>
      </c>
      <c r="B17201" t="s">
        <v>52771</v>
      </c>
      <c r="C17201" t="str">
        <f>"8318280"</f>
        <v>8318280</v>
      </c>
      <c r="D17201" t="s">
        <v>52768</v>
      </c>
      <c r="E17201" t="s">
        <v>52769</v>
      </c>
      <c r="F17201" t="s">
        <v>52770</v>
      </c>
      <c r="I17201" t="s">
        <v>29</v>
      </c>
      <c r="J17201" t="s">
        <v>30</v>
      </c>
      <c r="K17201" t="s">
        <v>34834</v>
      </c>
      <c r="M17201" t="s">
        <v>17861</v>
      </c>
      <c r="N17201" t="str">
        <f>"7/19/2022 3:28:00 PM"</f>
        <v>7/19/2022 3:28:00 PM</v>
      </c>
      <c r="O17201" t="s">
        <v>52768</v>
      </c>
      <c r="T17201" t="s">
        <v>52769</v>
      </c>
    </row>
    <row r="17202" spans="1:20" x14ac:dyDescent="0.25">
      <c r="A17202" t="str">
        <f>"3056711"</f>
        <v>3056711</v>
      </c>
      <c r="B17202" t="s">
        <v>52772</v>
      </c>
      <c r="C17202" t="str">
        <f>"8318284"</f>
        <v>8318284</v>
      </c>
      <c r="D17202" t="s">
        <v>52773</v>
      </c>
      <c r="F17202" t="s">
        <v>52774</v>
      </c>
      <c r="I17202" t="s">
        <v>29</v>
      </c>
      <c r="J17202" t="s">
        <v>30</v>
      </c>
      <c r="K17202" t="s">
        <v>52775</v>
      </c>
      <c r="M17202" t="s">
        <v>17861</v>
      </c>
      <c r="N17202" t="str">
        <f>"7/19/2022 3:47:00 PM"</f>
        <v>7/19/2022 3:47:00 PM</v>
      </c>
      <c r="O17202" t="s">
        <v>52773</v>
      </c>
    </row>
    <row r="17203" spans="1:20" x14ac:dyDescent="0.25">
      <c r="A17203" t="str">
        <f>"3057368"</f>
        <v>3057368</v>
      </c>
      <c r="B17203" t="s">
        <v>52776</v>
      </c>
      <c r="C17203" t="str">
        <f>"8318288"</f>
        <v>8318288</v>
      </c>
      <c r="D17203" t="s">
        <v>52777</v>
      </c>
      <c r="E17203" t="s">
        <v>52778</v>
      </c>
      <c r="F17203" t="s">
        <v>52779</v>
      </c>
      <c r="I17203" t="s">
        <v>184</v>
      </c>
      <c r="J17203" t="s">
        <v>30</v>
      </c>
      <c r="K17203" t="s">
        <v>52675</v>
      </c>
      <c r="M17203" t="s">
        <v>17861</v>
      </c>
      <c r="N17203" t="str">
        <f>"7/20/2022 9:16:00 AM"</f>
        <v>7/20/2022 9:16:00 AM</v>
      </c>
      <c r="O17203" t="s">
        <v>52777</v>
      </c>
      <c r="T17203" t="s">
        <v>52778</v>
      </c>
    </row>
    <row r="17204" spans="1:20" x14ac:dyDescent="0.25">
      <c r="A17204" t="str">
        <f>"3053577"</f>
        <v>3053577</v>
      </c>
      <c r="B17204" t="s">
        <v>52780</v>
      </c>
      <c r="C17204" t="str">
        <f>"71124000"</f>
        <v>71124000</v>
      </c>
      <c r="D17204" t="s">
        <v>52781</v>
      </c>
      <c r="F17204" t="s">
        <v>52782</v>
      </c>
      <c r="G17204" t="s">
        <v>52783</v>
      </c>
      <c r="I17204" t="s">
        <v>29</v>
      </c>
      <c r="J17204" t="s">
        <v>30</v>
      </c>
      <c r="K17204" t="s">
        <v>31</v>
      </c>
      <c r="M17204" t="s">
        <v>36935</v>
      </c>
      <c r="N17204" t="str">
        <f>"8/1/2022 8:20:00 AM"</f>
        <v>8/1/2022 8:20:00 AM</v>
      </c>
      <c r="O17204" t="s">
        <v>52781</v>
      </c>
    </row>
    <row r="17205" spans="1:20" x14ac:dyDescent="0.25">
      <c r="A17205" t="str">
        <f>"3058985"</f>
        <v>3058985</v>
      </c>
      <c r="B17205" t="s">
        <v>52784</v>
      </c>
      <c r="C17205" t="str">
        <f>"8318383"</f>
        <v>8318383</v>
      </c>
      <c r="D17205" t="s">
        <v>52785</v>
      </c>
      <c r="E17205" t="s">
        <v>52786</v>
      </c>
      <c r="F17205" t="s">
        <v>52787</v>
      </c>
      <c r="I17205" t="s">
        <v>17921</v>
      </c>
      <c r="J17205" t="s">
        <v>30</v>
      </c>
      <c r="K17205" t="str">
        <f>"27028"</f>
        <v>27028</v>
      </c>
      <c r="M17205" t="s">
        <v>17861</v>
      </c>
      <c r="N17205" t="str">
        <f>"8/1/2022 8:54:00 AM"</f>
        <v>8/1/2022 8:54:00 AM</v>
      </c>
      <c r="O17205" t="s">
        <v>52785</v>
      </c>
      <c r="T17205" t="s">
        <v>52786</v>
      </c>
    </row>
    <row r="17206" spans="1:20" x14ac:dyDescent="0.25">
      <c r="A17206" t="str">
        <f>"3049371"</f>
        <v>3049371</v>
      </c>
      <c r="B17206" t="s">
        <v>52788</v>
      </c>
      <c r="C17206" t="str">
        <f>"8318290"</f>
        <v>8318290</v>
      </c>
      <c r="D17206" t="s">
        <v>52789</v>
      </c>
      <c r="F17206" t="s">
        <v>52790</v>
      </c>
      <c r="I17206" t="s">
        <v>29</v>
      </c>
      <c r="J17206" t="s">
        <v>30</v>
      </c>
      <c r="K17206" t="s">
        <v>39644</v>
      </c>
      <c r="M17206" t="s">
        <v>17861</v>
      </c>
      <c r="N17206" t="str">
        <f>"7/20/2022 9:24:00 AM"</f>
        <v>7/20/2022 9:24:00 AM</v>
      </c>
      <c r="O17206" t="s">
        <v>52789</v>
      </c>
    </row>
    <row r="17207" spans="1:20" x14ac:dyDescent="0.25">
      <c r="A17207" t="str">
        <f>"3041041"</f>
        <v>3041041</v>
      </c>
      <c r="B17207" t="s">
        <v>52791</v>
      </c>
      <c r="C17207" t="str">
        <f>"2214500"</f>
        <v>2214500</v>
      </c>
      <c r="D17207" t="s">
        <v>52792</v>
      </c>
      <c r="F17207" t="s">
        <v>52793</v>
      </c>
      <c r="I17207" t="s">
        <v>471</v>
      </c>
      <c r="J17207" t="s">
        <v>30</v>
      </c>
      <c r="K17207" t="str">
        <f>"27104"</f>
        <v>27104</v>
      </c>
      <c r="M17207" t="s">
        <v>50621</v>
      </c>
      <c r="N17207" t="str">
        <f>"7/20/2022 9:29:00 AM"</f>
        <v>7/20/2022 9:29:00 AM</v>
      </c>
      <c r="O17207" t="s">
        <v>52792</v>
      </c>
    </row>
    <row r="17208" spans="1:20" x14ac:dyDescent="0.25">
      <c r="A17208" t="str">
        <f>"3055256"</f>
        <v>3055256</v>
      </c>
      <c r="B17208" t="s">
        <v>52794</v>
      </c>
      <c r="C17208" t="str">
        <f>"8318303"</f>
        <v>8318303</v>
      </c>
      <c r="D17208" t="s">
        <v>52795</v>
      </c>
      <c r="F17208" t="s">
        <v>52796</v>
      </c>
      <c r="I17208" t="s">
        <v>29</v>
      </c>
      <c r="J17208" t="s">
        <v>30</v>
      </c>
      <c r="K17208" t="s">
        <v>42324</v>
      </c>
      <c r="M17208" t="s">
        <v>17861</v>
      </c>
      <c r="N17208" t="str">
        <f>"7/20/2022 3:26:00 PM"</f>
        <v>7/20/2022 3:26:00 PM</v>
      </c>
      <c r="O17208" t="s">
        <v>52795</v>
      </c>
    </row>
    <row r="17209" spans="1:20" x14ac:dyDescent="0.25">
      <c r="A17209" t="str">
        <f>"3051537"</f>
        <v>3051537</v>
      </c>
      <c r="B17209" t="s">
        <v>52797</v>
      </c>
      <c r="C17209" t="str">
        <f>"8318305"</f>
        <v>8318305</v>
      </c>
      <c r="D17209" t="s">
        <v>52798</v>
      </c>
      <c r="E17209" t="s">
        <v>52799</v>
      </c>
      <c r="F17209" t="s">
        <v>52800</v>
      </c>
      <c r="I17209" t="s">
        <v>29</v>
      </c>
      <c r="J17209" t="s">
        <v>30</v>
      </c>
      <c r="K17209" t="s">
        <v>27062</v>
      </c>
      <c r="M17209" t="s">
        <v>17861</v>
      </c>
      <c r="N17209" t="str">
        <f>"7/20/2022 3:38:00 PM"</f>
        <v>7/20/2022 3:38:00 PM</v>
      </c>
      <c r="O17209" t="s">
        <v>52798</v>
      </c>
      <c r="T17209" t="s">
        <v>52799</v>
      </c>
    </row>
    <row r="17210" spans="1:20" x14ac:dyDescent="0.25">
      <c r="A17210" t="str">
        <f>"3059585"</f>
        <v>3059585</v>
      </c>
      <c r="B17210" t="s">
        <v>52801</v>
      </c>
      <c r="C17210" t="str">
        <f>"8318322"</f>
        <v>8318322</v>
      </c>
      <c r="D17210" t="s">
        <v>52802</v>
      </c>
      <c r="E17210" t="s">
        <v>52803</v>
      </c>
      <c r="F17210" t="s">
        <v>52804</v>
      </c>
      <c r="I17210" t="s">
        <v>29</v>
      </c>
      <c r="J17210" t="s">
        <v>30</v>
      </c>
      <c r="K17210" t="s">
        <v>37854</v>
      </c>
      <c r="M17210" t="s">
        <v>17861</v>
      </c>
      <c r="N17210" t="str">
        <f>"7/21/2022 11:10:00 AM"</f>
        <v>7/21/2022 11:10:00 AM</v>
      </c>
      <c r="O17210" t="s">
        <v>52802</v>
      </c>
      <c r="T17210" t="s">
        <v>52803</v>
      </c>
    </row>
    <row r="17211" spans="1:20" x14ac:dyDescent="0.25">
      <c r="A17211" t="str">
        <f>"3049308"</f>
        <v>3049308</v>
      </c>
      <c r="B17211" t="s">
        <v>52805</v>
      </c>
      <c r="C17211" t="str">
        <f>"8318396"</f>
        <v>8318396</v>
      </c>
      <c r="D17211" t="s">
        <v>52806</v>
      </c>
      <c r="E17211" t="s">
        <v>52807</v>
      </c>
      <c r="F17211" t="s">
        <v>52808</v>
      </c>
      <c r="I17211" t="s">
        <v>29</v>
      </c>
      <c r="J17211" t="s">
        <v>30</v>
      </c>
      <c r="K17211" t="s">
        <v>52809</v>
      </c>
      <c r="M17211" t="s">
        <v>17861</v>
      </c>
      <c r="N17211" t="str">
        <f>"8/1/2022 3:06:00 PM"</f>
        <v>8/1/2022 3:06:00 PM</v>
      </c>
      <c r="O17211" t="s">
        <v>52806</v>
      </c>
      <c r="T17211" t="s">
        <v>52807</v>
      </c>
    </row>
    <row r="17212" spans="1:20" x14ac:dyDescent="0.25">
      <c r="A17212" t="str">
        <f>"3046136"</f>
        <v>3046136</v>
      </c>
      <c r="B17212" t="s">
        <v>52810</v>
      </c>
      <c r="C17212" t="str">
        <f>"8318397"</f>
        <v>8318397</v>
      </c>
      <c r="D17212" t="s">
        <v>52811</v>
      </c>
      <c r="E17212" t="s">
        <v>52812</v>
      </c>
      <c r="F17212" t="s">
        <v>52813</v>
      </c>
      <c r="I17212" t="s">
        <v>29</v>
      </c>
      <c r="J17212" t="s">
        <v>30</v>
      </c>
      <c r="K17212" t="s">
        <v>52814</v>
      </c>
      <c r="M17212" t="s">
        <v>17861</v>
      </c>
      <c r="N17212" t="str">
        <f>"8/1/2022 3:54:00 PM"</f>
        <v>8/1/2022 3:54:00 PM</v>
      </c>
      <c r="O17212" t="s">
        <v>52811</v>
      </c>
      <c r="T17212" t="s">
        <v>52812</v>
      </c>
    </row>
    <row r="17213" spans="1:20" x14ac:dyDescent="0.25">
      <c r="A17213" t="str">
        <f>"3041561"</f>
        <v>3041561</v>
      </c>
      <c r="B17213" t="s">
        <v>52815</v>
      </c>
      <c r="C17213" t="str">
        <f>"8304412"</f>
        <v>8304412</v>
      </c>
      <c r="D17213" t="s">
        <v>52816</v>
      </c>
      <c r="E17213" t="s">
        <v>52817</v>
      </c>
      <c r="F17213" t="s">
        <v>52818</v>
      </c>
      <c r="I17213" t="s">
        <v>2071</v>
      </c>
      <c r="J17213" t="s">
        <v>30</v>
      </c>
      <c r="K17213" t="s">
        <v>3605</v>
      </c>
      <c r="M17213" t="s">
        <v>52111</v>
      </c>
      <c r="N17213" t="str">
        <f>"8/2/2022 8:22:00 AM"</f>
        <v>8/2/2022 8:22:00 AM</v>
      </c>
      <c r="O17213" t="s">
        <v>52816</v>
      </c>
      <c r="T17213" t="s">
        <v>52817</v>
      </c>
    </row>
    <row r="17214" spans="1:20" x14ac:dyDescent="0.25">
      <c r="A17214" t="str">
        <f>"3037985"</f>
        <v>3037985</v>
      </c>
      <c r="B17214" t="s">
        <v>52819</v>
      </c>
      <c r="C17214" t="str">
        <f>"8318398"</f>
        <v>8318398</v>
      </c>
      <c r="D17214" t="s">
        <v>588</v>
      </c>
      <c r="E17214" t="s">
        <v>52820</v>
      </c>
      <c r="F17214" t="s">
        <v>52821</v>
      </c>
      <c r="I17214" t="s">
        <v>29</v>
      </c>
      <c r="J17214" t="s">
        <v>30</v>
      </c>
      <c r="K17214" t="s">
        <v>52822</v>
      </c>
      <c r="M17214" t="s">
        <v>17861</v>
      </c>
      <c r="N17214" t="str">
        <f>"8/2/2022 8:45:00 AM"</f>
        <v>8/2/2022 8:45:00 AM</v>
      </c>
      <c r="O17214" t="s">
        <v>588</v>
      </c>
      <c r="T17214" t="s">
        <v>52820</v>
      </c>
    </row>
    <row r="17215" spans="1:20" x14ac:dyDescent="0.25">
      <c r="A17215" t="str">
        <f>"3038198"</f>
        <v>3038198</v>
      </c>
      <c r="B17215" t="s">
        <v>52823</v>
      </c>
      <c r="C17215" t="str">
        <f>"8318398"</f>
        <v>8318398</v>
      </c>
      <c r="D17215" t="s">
        <v>588</v>
      </c>
      <c r="E17215" t="s">
        <v>52820</v>
      </c>
      <c r="F17215" t="s">
        <v>52821</v>
      </c>
      <c r="I17215" t="s">
        <v>29</v>
      </c>
      <c r="J17215" t="s">
        <v>30</v>
      </c>
      <c r="K17215" t="s">
        <v>52822</v>
      </c>
      <c r="M17215" t="s">
        <v>17861</v>
      </c>
      <c r="N17215" t="str">
        <f>"8/2/2022 8:45:00 AM"</f>
        <v>8/2/2022 8:45:00 AM</v>
      </c>
      <c r="O17215" t="s">
        <v>588</v>
      </c>
      <c r="T17215" t="s">
        <v>52820</v>
      </c>
    </row>
    <row r="17216" spans="1:20" x14ac:dyDescent="0.25">
      <c r="A17216" t="str">
        <f>"3050530"</f>
        <v>3050530</v>
      </c>
      <c r="B17216" t="s">
        <v>52824</v>
      </c>
      <c r="C17216" t="str">
        <f>"8318399"</f>
        <v>8318399</v>
      </c>
      <c r="D17216" t="s">
        <v>52825</v>
      </c>
      <c r="E17216" t="s">
        <v>52826</v>
      </c>
      <c r="F17216" t="s">
        <v>52827</v>
      </c>
      <c r="I17216" t="s">
        <v>29</v>
      </c>
      <c r="J17216" t="s">
        <v>30</v>
      </c>
      <c r="K17216" t="s">
        <v>12392</v>
      </c>
      <c r="M17216" t="s">
        <v>17861</v>
      </c>
      <c r="N17216" t="str">
        <f>"8/2/2022 8:55:00 AM"</f>
        <v>8/2/2022 8:55:00 AM</v>
      </c>
      <c r="O17216" t="s">
        <v>52825</v>
      </c>
      <c r="T17216" t="s">
        <v>52826</v>
      </c>
    </row>
    <row r="17217" spans="1:20" x14ac:dyDescent="0.25">
      <c r="A17217" t="str">
        <f>"3048902"</f>
        <v>3048902</v>
      </c>
      <c r="B17217" t="s">
        <v>52828</v>
      </c>
      <c r="C17217" t="str">
        <f>"8318323"</f>
        <v>8318323</v>
      </c>
      <c r="D17217" t="s">
        <v>52829</v>
      </c>
      <c r="E17217" t="s">
        <v>52830</v>
      </c>
      <c r="F17217" t="s">
        <v>52831</v>
      </c>
      <c r="I17217" t="s">
        <v>29</v>
      </c>
      <c r="J17217" t="s">
        <v>30</v>
      </c>
      <c r="K17217" t="s">
        <v>52832</v>
      </c>
      <c r="M17217" t="s">
        <v>17861</v>
      </c>
      <c r="N17217" t="str">
        <f>"7/21/2022 11:12:00 AM"</f>
        <v>7/21/2022 11:12:00 AM</v>
      </c>
      <c r="O17217" t="s">
        <v>52829</v>
      </c>
      <c r="T17217" t="s">
        <v>52830</v>
      </c>
    </row>
    <row r="17218" spans="1:20" x14ac:dyDescent="0.25">
      <c r="A17218" t="str">
        <f>"3049766"</f>
        <v>3049766</v>
      </c>
      <c r="B17218" t="s">
        <v>52833</v>
      </c>
      <c r="C17218" t="str">
        <f>"8318338"</f>
        <v>8318338</v>
      </c>
      <c r="D17218" t="s">
        <v>52834</v>
      </c>
      <c r="F17218" t="s">
        <v>52835</v>
      </c>
      <c r="I17218" t="s">
        <v>29</v>
      </c>
      <c r="J17218" t="s">
        <v>30</v>
      </c>
      <c r="K17218" t="s">
        <v>34638</v>
      </c>
      <c r="M17218" t="s">
        <v>17861</v>
      </c>
      <c r="N17218" t="str">
        <f>"7/22/2022 10:14:00 AM"</f>
        <v>7/22/2022 10:14:00 AM</v>
      </c>
      <c r="O17218" t="s">
        <v>52834</v>
      </c>
    </row>
    <row r="17219" spans="1:20" x14ac:dyDescent="0.25">
      <c r="A17219" t="str">
        <f>"3045101"</f>
        <v>3045101</v>
      </c>
      <c r="B17219" t="s">
        <v>52836</v>
      </c>
      <c r="C17219" t="str">
        <f>"33002000"</f>
        <v>33002000</v>
      </c>
      <c r="D17219" t="s">
        <v>52837</v>
      </c>
      <c r="F17219" t="str">
        <f>"C/O HELEN F SAMPSON"</f>
        <v>C/O HELEN F SAMPSON</v>
      </c>
      <c r="G17219" t="s">
        <v>52838</v>
      </c>
      <c r="I17219" t="s">
        <v>1107</v>
      </c>
      <c r="J17219" t="s">
        <v>30</v>
      </c>
      <c r="K17219" t="str">
        <f>"28677"</f>
        <v>28677</v>
      </c>
      <c r="M17219" t="s">
        <v>50621</v>
      </c>
      <c r="N17219" t="str">
        <f>"7/25/2022 9:01:00 AM"</f>
        <v>7/25/2022 9:01:00 AM</v>
      </c>
      <c r="O17219" t="s">
        <v>52837</v>
      </c>
    </row>
    <row r="17220" spans="1:20" x14ac:dyDescent="0.25">
      <c r="A17220" t="str">
        <f>"3049767"</f>
        <v>3049767</v>
      </c>
      <c r="B17220" t="s">
        <v>52839</v>
      </c>
      <c r="C17220" t="str">
        <f>"8318353"</f>
        <v>8318353</v>
      </c>
      <c r="D17220" t="s">
        <v>52840</v>
      </c>
      <c r="E17220" t="s">
        <v>52841</v>
      </c>
      <c r="F17220" t="s">
        <v>52842</v>
      </c>
      <c r="I17220" t="s">
        <v>29</v>
      </c>
      <c r="J17220" t="s">
        <v>30</v>
      </c>
      <c r="K17220" t="s">
        <v>38113</v>
      </c>
      <c r="M17220" t="s">
        <v>17861</v>
      </c>
      <c r="N17220" t="str">
        <f>"7/25/2022 9:04:00 AM"</f>
        <v>7/25/2022 9:04:00 AM</v>
      </c>
      <c r="O17220" t="s">
        <v>52840</v>
      </c>
      <c r="T17220" t="s">
        <v>52841</v>
      </c>
    </row>
    <row r="17221" spans="1:20" x14ac:dyDescent="0.25">
      <c r="A17221" t="str">
        <f>"3061465"</f>
        <v>3061465</v>
      </c>
      <c r="B17221" t="s">
        <v>52843</v>
      </c>
      <c r="C17221" t="str">
        <f>"8318354"</f>
        <v>8318354</v>
      </c>
      <c r="D17221" t="s">
        <v>52844</v>
      </c>
      <c r="E17221" t="s">
        <v>52845</v>
      </c>
      <c r="F17221" t="s">
        <v>52846</v>
      </c>
      <c r="I17221" t="s">
        <v>184</v>
      </c>
      <c r="J17221" t="s">
        <v>30</v>
      </c>
      <c r="K17221" t="s">
        <v>5432</v>
      </c>
      <c r="M17221" t="s">
        <v>17861</v>
      </c>
      <c r="N17221" t="str">
        <f>"7/25/2022 9:12:00 AM"</f>
        <v>7/25/2022 9:12:00 AM</v>
      </c>
      <c r="O17221" t="s">
        <v>52844</v>
      </c>
      <c r="T17221" t="s">
        <v>52845</v>
      </c>
    </row>
    <row r="17222" spans="1:20" x14ac:dyDescent="0.25">
      <c r="A17222" t="str">
        <f>"3058460"</f>
        <v>3058460</v>
      </c>
      <c r="B17222" t="s">
        <v>52847</v>
      </c>
      <c r="C17222" t="str">
        <f>"8318357"</f>
        <v>8318357</v>
      </c>
      <c r="D17222" t="s">
        <v>23845</v>
      </c>
      <c r="E17222" t="s">
        <v>23846</v>
      </c>
      <c r="F17222" t="s">
        <v>52848</v>
      </c>
      <c r="I17222" t="s">
        <v>29</v>
      </c>
      <c r="J17222" t="s">
        <v>30</v>
      </c>
      <c r="K17222" t="s">
        <v>52622</v>
      </c>
      <c r="M17222" t="s">
        <v>17861</v>
      </c>
      <c r="N17222" t="str">
        <f>"7/25/2022 3:03:00 PM"</f>
        <v>7/25/2022 3:03:00 PM</v>
      </c>
      <c r="O17222" t="s">
        <v>23845</v>
      </c>
      <c r="T17222" t="s">
        <v>23846</v>
      </c>
    </row>
    <row r="17223" spans="1:20" x14ac:dyDescent="0.25">
      <c r="A17223" t="str">
        <f>"3062537"</f>
        <v>3062537</v>
      </c>
      <c r="B17223" t="s">
        <v>52849</v>
      </c>
      <c r="C17223" t="str">
        <f>"8318358"</f>
        <v>8318358</v>
      </c>
      <c r="D17223" t="s">
        <v>52850</v>
      </c>
      <c r="E17223" t="s">
        <v>52851</v>
      </c>
      <c r="F17223" t="s">
        <v>52852</v>
      </c>
      <c r="I17223" t="s">
        <v>184</v>
      </c>
      <c r="J17223" t="s">
        <v>30</v>
      </c>
      <c r="K17223" t="s">
        <v>5408</v>
      </c>
      <c r="M17223" t="s">
        <v>17861</v>
      </c>
      <c r="N17223" t="str">
        <f>"7/26/2022 12:50:00 PM"</f>
        <v>7/26/2022 12:50:00 PM</v>
      </c>
      <c r="O17223" t="s">
        <v>52850</v>
      </c>
      <c r="T17223" t="s">
        <v>52851</v>
      </c>
    </row>
    <row r="17224" spans="1:20" x14ac:dyDescent="0.25">
      <c r="A17224" t="str">
        <f>"3061394"</f>
        <v>3061394</v>
      </c>
      <c r="B17224" t="s">
        <v>52853</v>
      </c>
      <c r="C17224" t="str">
        <f>"8318363"</f>
        <v>8318363</v>
      </c>
      <c r="D17224" t="s">
        <v>52854</v>
      </c>
      <c r="F17224" t="s">
        <v>52855</v>
      </c>
      <c r="I17224" t="s">
        <v>184</v>
      </c>
      <c r="J17224" t="s">
        <v>30</v>
      </c>
      <c r="K17224" t="s">
        <v>5312</v>
      </c>
      <c r="M17224" t="s">
        <v>17861</v>
      </c>
      <c r="N17224" t="str">
        <f>"7/26/2022 3:43:00 PM"</f>
        <v>7/26/2022 3:43:00 PM</v>
      </c>
      <c r="O17224" t="s">
        <v>52854</v>
      </c>
    </row>
    <row r="17225" spans="1:20" x14ac:dyDescent="0.25">
      <c r="A17225" t="str">
        <f>"3061546"</f>
        <v>3061546</v>
      </c>
      <c r="B17225" t="s">
        <v>52856</v>
      </c>
      <c r="C17225" t="str">
        <f>"8318363"</f>
        <v>8318363</v>
      </c>
      <c r="D17225" t="s">
        <v>52854</v>
      </c>
      <c r="F17225" t="s">
        <v>52855</v>
      </c>
      <c r="I17225" t="s">
        <v>184</v>
      </c>
      <c r="J17225" t="s">
        <v>30</v>
      </c>
      <c r="K17225" t="s">
        <v>5312</v>
      </c>
      <c r="M17225" t="s">
        <v>17861</v>
      </c>
      <c r="N17225" t="str">
        <f>"7/26/2022 3:43:00 PM"</f>
        <v>7/26/2022 3:43:00 PM</v>
      </c>
      <c r="O17225" t="s">
        <v>52854</v>
      </c>
    </row>
    <row r="17226" spans="1:20" x14ac:dyDescent="0.25">
      <c r="A17226" t="str">
        <f>"3040835"</f>
        <v>3040835</v>
      </c>
      <c r="B17226" t="s">
        <v>52857</v>
      </c>
      <c r="C17226" t="str">
        <f>"8318363"</f>
        <v>8318363</v>
      </c>
      <c r="D17226" t="s">
        <v>52854</v>
      </c>
      <c r="F17226" t="s">
        <v>52855</v>
      </c>
      <c r="I17226" t="s">
        <v>184</v>
      </c>
      <c r="J17226" t="s">
        <v>30</v>
      </c>
      <c r="K17226" t="s">
        <v>5312</v>
      </c>
      <c r="M17226" t="s">
        <v>17861</v>
      </c>
      <c r="N17226" t="str">
        <f>"7/26/2022 3:43:00 PM"</f>
        <v>7/26/2022 3:43:00 PM</v>
      </c>
      <c r="O17226" t="s">
        <v>52854</v>
      </c>
    </row>
    <row r="17227" spans="1:20" x14ac:dyDescent="0.25">
      <c r="A17227" t="str">
        <f>"3055958"</f>
        <v>3055958</v>
      </c>
      <c r="B17227" t="s">
        <v>52858</v>
      </c>
      <c r="C17227" t="str">
        <f>"82513064"</f>
        <v>82513064</v>
      </c>
      <c r="D17227" t="s">
        <v>52859</v>
      </c>
      <c r="F17227" t="s">
        <v>21693</v>
      </c>
      <c r="I17227" t="s">
        <v>21694</v>
      </c>
      <c r="J17227" t="s">
        <v>30</v>
      </c>
      <c r="K17227" t="s">
        <v>52860</v>
      </c>
      <c r="M17227" t="s">
        <v>25733</v>
      </c>
      <c r="N17227" t="str">
        <f>"7/26/2022 3:58:00 PM"</f>
        <v>7/26/2022 3:58:00 PM</v>
      </c>
      <c r="O17227" t="s">
        <v>52859</v>
      </c>
    </row>
    <row r="17228" spans="1:20" x14ac:dyDescent="0.25">
      <c r="A17228" t="str">
        <f>"3052371"</f>
        <v>3052371</v>
      </c>
      <c r="B17228" t="s">
        <v>52861</v>
      </c>
      <c r="C17228" t="str">
        <f>"8318368"</f>
        <v>8318368</v>
      </c>
      <c r="D17228" t="s">
        <v>52862</v>
      </c>
      <c r="F17228" t="s">
        <v>52863</v>
      </c>
      <c r="I17228" t="s">
        <v>29</v>
      </c>
      <c r="J17228" t="s">
        <v>30</v>
      </c>
      <c r="K17228" t="s">
        <v>39953</v>
      </c>
      <c r="M17228" t="s">
        <v>17861</v>
      </c>
      <c r="N17228" t="str">
        <f>"7/27/2022 1:39:00 PM"</f>
        <v>7/27/2022 1:39:00 PM</v>
      </c>
      <c r="O17228" t="s">
        <v>52862</v>
      </c>
    </row>
    <row r="17229" spans="1:20" x14ac:dyDescent="0.25">
      <c r="A17229" t="str">
        <f>"3042818"</f>
        <v>3042818</v>
      </c>
      <c r="B17229" t="s">
        <v>52864</v>
      </c>
      <c r="C17229" t="str">
        <f>"8301754"</f>
        <v>8301754</v>
      </c>
      <c r="D17229" t="s">
        <v>52865</v>
      </c>
      <c r="F17229" t="s">
        <v>52866</v>
      </c>
      <c r="I17229" t="s">
        <v>29</v>
      </c>
      <c r="J17229" t="s">
        <v>30</v>
      </c>
      <c r="K17229" t="str">
        <f>"27028"</f>
        <v>27028</v>
      </c>
      <c r="M17229" t="s">
        <v>25733</v>
      </c>
      <c r="N17229" t="str">
        <f>"7/27/2022 2:35:00 PM"</f>
        <v>7/27/2022 2:35:00 PM</v>
      </c>
      <c r="O17229" t="s">
        <v>52865</v>
      </c>
    </row>
    <row r="17230" spans="1:20" x14ac:dyDescent="0.25">
      <c r="A17230" t="str">
        <f>"3037481"</f>
        <v>3037481</v>
      </c>
      <c r="B17230" t="s">
        <v>52867</v>
      </c>
      <c r="C17230" t="str">
        <f>"8310956"</f>
        <v>8310956</v>
      </c>
      <c r="D17230" t="s">
        <v>52631</v>
      </c>
      <c r="E17230" t="s">
        <v>52632</v>
      </c>
      <c r="F17230" t="s">
        <v>51335</v>
      </c>
      <c r="I17230" t="s">
        <v>29</v>
      </c>
      <c r="J17230" t="s">
        <v>30</v>
      </c>
      <c r="K17230" t="s">
        <v>51336</v>
      </c>
      <c r="M17230" t="s">
        <v>50621</v>
      </c>
      <c r="N17230" t="str">
        <f>"7/18/2022 3:08:00 PM"</f>
        <v>7/18/2022 3:08:00 PM</v>
      </c>
      <c r="O17230" t="s">
        <v>52631</v>
      </c>
      <c r="T17230" t="s">
        <v>52632</v>
      </c>
    </row>
    <row r="17231" spans="1:20" x14ac:dyDescent="0.25">
      <c r="A17231" t="str">
        <f>"3044490"</f>
        <v>3044490</v>
      </c>
      <c r="B17231" t="s">
        <v>52868</v>
      </c>
      <c r="C17231" t="str">
        <f>"8318380"</f>
        <v>8318380</v>
      </c>
      <c r="D17231" t="s">
        <v>52869</v>
      </c>
      <c r="F17231" t="s">
        <v>52870</v>
      </c>
      <c r="I17231" t="s">
        <v>184</v>
      </c>
      <c r="J17231" t="s">
        <v>30</v>
      </c>
      <c r="K17231" t="s">
        <v>5707</v>
      </c>
      <c r="M17231" t="s">
        <v>17861</v>
      </c>
      <c r="N17231" t="str">
        <f>"7/28/2022 3:21:00 PM"</f>
        <v>7/28/2022 3:21:00 PM</v>
      </c>
      <c r="O17231" t="s">
        <v>52869</v>
      </c>
    </row>
    <row r="17232" spans="1:20" x14ac:dyDescent="0.25">
      <c r="A17232" t="str">
        <f>"3045304"</f>
        <v>3045304</v>
      </c>
      <c r="B17232" t="s">
        <v>52871</v>
      </c>
      <c r="C17232" t="str">
        <f>"8318469"</f>
        <v>8318469</v>
      </c>
      <c r="D17232" t="s">
        <v>52872</v>
      </c>
      <c r="F17232" t="s">
        <v>52873</v>
      </c>
      <c r="I17232" t="s">
        <v>29</v>
      </c>
      <c r="J17232" t="s">
        <v>30</v>
      </c>
      <c r="K17232" t="s">
        <v>9518</v>
      </c>
      <c r="M17232" t="s">
        <v>17861</v>
      </c>
      <c r="N17232" t="str">
        <f>"8/8/2022 1:32:00 PM"</f>
        <v>8/8/2022 1:32:00 PM</v>
      </c>
      <c r="O17232" t="s">
        <v>52872</v>
      </c>
    </row>
    <row r="17233" spans="1:20" x14ac:dyDescent="0.25">
      <c r="A17233" t="str">
        <f>"3055923"</f>
        <v>3055923</v>
      </c>
      <c r="B17233" t="s">
        <v>52874</v>
      </c>
      <c r="C17233" t="str">
        <f>"8318470"</f>
        <v>8318470</v>
      </c>
      <c r="D17233" t="s">
        <v>52875</v>
      </c>
      <c r="F17233" t="s">
        <v>33135</v>
      </c>
      <c r="I17233" t="s">
        <v>9580</v>
      </c>
      <c r="J17233" t="s">
        <v>30</v>
      </c>
      <c r="K17233" t="s">
        <v>52876</v>
      </c>
      <c r="M17233" t="s">
        <v>17861</v>
      </c>
      <c r="N17233" t="str">
        <f>"8/8/2022 1:53:00 PM"</f>
        <v>8/8/2022 1:53:00 PM</v>
      </c>
      <c r="O17233" t="s">
        <v>52875</v>
      </c>
    </row>
    <row r="17234" spans="1:20" x14ac:dyDescent="0.25">
      <c r="A17234" t="str">
        <f>"3061240"</f>
        <v>3061240</v>
      </c>
      <c r="B17234" t="s">
        <v>52877</v>
      </c>
      <c r="C17234" t="str">
        <f>"8318472"</f>
        <v>8318472</v>
      </c>
      <c r="D17234" t="s">
        <v>52878</v>
      </c>
      <c r="E17234" t="s">
        <v>52879</v>
      </c>
      <c r="F17234" t="s">
        <v>52880</v>
      </c>
      <c r="I17234" t="s">
        <v>2071</v>
      </c>
      <c r="J17234" t="s">
        <v>30</v>
      </c>
      <c r="K17234" t="s">
        <v>49347</v>
      </c>
      <c r="M17234" t="s">
        <v>17861</v>
      </c>
      <c r="N17234" t="str">
        <f>"8/8/2022 2:43:00 PM"</f>
        <v>8/8/2022 2:43:00 PM</v>
      </c>
      <c r="O17234" t="s">
        <v>52878</v>
      </c>
      <c r="T17234" t="s">
        <v>52879</v>
      </c>
    </row>
    <row r="17235" spans="1:20" x14ac:dyDescent="0.25">
      <c r="A17235" t="str">
        <f>"3062095"</f>
        <v>3062095</v>
      </c>
      <c r="B17235" t="s">
        <v>52881</v>
      </c>
      <c r="C17235" t="str">
        <f>"8318473"</f>
        <v>8318473</v>
      </c>
      <c r="D17235" t="s">
        <v>52882</v>
      </c>
      <c r="F17235" t="s">
        <v>52883</v>
      </c>
      <c r="I17235" t="s">
        <v>29</v>
      </c>
      <c r="J17235" t="s">
        <v>30</v>
      </c>
      <c r="K17235" t="s">
        <v>1075</v>
      </c>
      <c r="M17235" t="s">
        <v>17861</v>
      </c>
      <c r="N17235" t="str">
        <f>"8/8/2022 2:46:00 PM"</f>
        <v>8/8/2022 2:46:00 PM</v>
      </c>
      <c r="O17235" t="s">
        <v>52882</v>
      </c>
    </row>
    <row r="17236" spans="1:20" x14ac:dyDescent="0.25">
      <c r="A17236" t="str">
        <f>"3039235"</f>
        <v>3039235</v>
      </c>
      <c r="B17236" t="s">
        <v>52884</v>
      </c>
      <c r="C17236" t="str">
        <f>"8300147"</f>
        <v>8300147</v>
      </c>
      <c r="D17236" t="s">
        <v>52885</v>
      </c>
      <c r="E17236" t="s">
        <v>52886</v>
      </c>
      <c r="F17236" t="s">
        <v>52887</v>
      </c>
      <c r="I17236" t="s">
        <v>49</v>
      </c>
      <c r="J17236" t="s">
        <v>30</v>
      </c>
      <c r="K17236" t="s">
        <v>50</v>
      </c>
      <c r="M17236" t="s">
        <v>51351</v>
      </c>
      <c r="N17236" t="str">
        <f>"8/8/2022 2:56:00 PM"</f>
        <v>8/8/2022 2:56:00 PM</v>
      </c>
      <c r="O17236" t="s">
        <v>52885</v>
      </c>
      <c r="T17236" t="s">
        <v>52886</v>
      </c>
    </row>
    <row r="17237" spans="1:20" x14ac:dyDescent="0.25">
      <c r="A17237" t="str">
        <f>"3046197"</f>
        <v>3046197</v>
      </c>
      <c r="B17237" t="s">
        <v>52888</v>
      </c>
      <c r="C17237" t="str">
        <f>"8318475"</f>
        <v>8318475</v>
      </c>
      <c r="D17237" t="s">
        <v>52889</v>
      </c>
      <c r="E17237" t="s">
        <v>52890</v>
      </c>
      <c r="F17237" t="s">
        <v>52891</v>
      </c>
      <c r="I17237" t="s">
        <v>29</v>
      </c>
      <c r="J17237" t="s">
        <v>30</v>
      </c>
      <c r="K17237" t="s">
        <v>52892</v>
      </c>
      <c r="M17237" t="s">
        <v>17861</v>
      </c>
      <c r="N17237" t="str">
        <f>"8/9/2022 8:30:00 AM"</f>
        <v>8/9/2022 8:30:00 AM</v>
      </c>
      <c r="O17237" t="s">
        <v>52889</v>
      </c>
      <c r="T17237" t="s">
        <v>52890</v>
      </c>
    </row>
    <row r="17238" spans="1:20" x14ac:dyDescent="0.25">
      <c r="A17238" t="str">
        <f>"3063787"</f>
        <v>3063787</v>
      </c>
      <c r="B17238" t="s">
        <v>52893</v>
      </c>
      <c r="C17238" t="str">
        <f>"8318381"</f>
        <v>8318381</v>
      </c>
      <c r="D17238" t="s">
        <v>52894</v>
      </c>
      <c r="F17238" t="s">
        <v>52895</v>
      </c>
      <c r="I17238" t="s">
        <v>29</v>
      </c>
      <c r="J17238" t="s">
        <v>30</v>
      </c>
      <c r="K17238" t="s">
        <v>6883</v>
      </c>
      <c r="M17238" t="s">
        <v>17861</v>
      </c>
      <c r="N17238" t="str">
        <f>"7/28/2022 3:30:00 PM"</f>
        <v>7/28/2022 3:30:00 PM</v>
      </c>
      <c r="O17238" t="s">
        <v>52894</v>
      </c>
    </row>
    <row r="17239" spans="1:20" x14ac:dyDescent="0.25">
      <c r="A17239" t="str">
        <f>"3058463"</f>
        <v>3058463</v>
      </c>
      <c r="B17239" t="s">
        <v>52896</v>
      </c>
      <c r="C17239" t="str">
        <f>"8318382"</f>
        <v>8318382</v>
      </c>
      <c r="D17239" t="s">
        <v>52897</v>
      </c>
      <c r="F17239" t="s">
        <v>52898</v>
      </c>
      <c r="I17239" t="s">
        <v>29</v>
      </c>
      <c r="J17239" t="s">
        <v>30</v>
      </c>
      <c r="K17239" t="s">
        <v>52622</v>
      </c>
      <c r="M17239" t="s">
        <v>17861</v>
      </c>
      <c r="N17239" t="str">
        <f>"7/28/2022 3:50:00 PM"</f>
        <v>7/28/2022 3:50:00 PM</v>
      </c>
      <c r="O17239" t="s">
        <v>52897</v>
      </c>
    </row>
    <row r="17240" spans="1:20" x14ac:dyDescent="0.25">
      <c r="A17240" t="str">
        <f>"3053287"</f>
        <v>3053287</v>
      </c>
      <c r="B17240" t="s">
        <v>52899</v>
      </c>
      <c r="C17240" t="str">
        <f>"71124000"</f>
        <v>71124000</v>
      </c>
      <c r="D17240" t="s">
        <v>52781</v>
      </c>
      <c r="F17240" t="s">
        <v>52782</v>
      </c>
      <c r="G17240" t="s">
        <v>52783</v>
      </c>
      <c r="I17240" t="s">
        <v>29</v>
      </c>
      <c r="J17240" t="s">
        <v>30</v>
      </c>
      <c r="K17240" t="s">
        <v>31</v>
      </c>
      <c r="M17240" t="s">
        <v>36935</v>
      </c>
      <c r="N17240" t="str">
        <f>"8/1/2022 8:20:00 AM"</f>
        <v>8/1/2022 8:20:00 AM</v>
      </c>
      <c r="O17240" t="s">
        <v>52781</v>
      </c>
    </row>
    <row r="17241" spans="1:20" x14ac:dyDescent="0.25">
      <c r="A17241" t="str">
        <f>"3052618"</f>
        <v>3052618</v>
      </c>
      <c r="B17241" t="s">
        <v>52900</v>
      </c>
      <c r="C17241" t="str">
        <f>"8318385"</f>
        <v>8318385</v>
      </c>
      <c r="D17241" t="s">
        <v>52901</v>
      </c>
      <c r="F17241" t="s">
        <v>52902</v>
      </c>
      <c r="I17241" t="s">
        <v>29</v>
      </c>
      <c r="J17241" t="s">
        <v>30</v>
      </c>
      <c r="K17241" t="s">
        <v>39656</v>
      </c>
      <c r="M17241" t="s">
        <v>17861</v>
      </c>
      <c r="N17241" t="str">
        <f>"8/1/2022 9:45:00 AM"</f>
        <v>8/1/2022 9:45:00 AM</v>
      </c>
      <c r="O17241" t="s">
        <v>52901</v>
      </c>
    </row>
    <row r="17242" spans="1:20" x14ac:dyDescent="0.25">
      <c r="A17242" t="str">
        <f>"3055808"</f>
        <v>3055808</v>
      </c>
      <c r="B17242" t="s">
        <v>52903</v>
      </c>
      <c r="C17242" t="str">
        <f>"8318386"</f>
        <v>8318386</v>
      </c>
      <c r="D17242" t="s">
        <v>52904</v>
      </c>
      <c r="F17242" t="s">
        <v>52905</v>
      </c>
      <c r="I17242" t="s">
        <v>9580</v>
      </c>
      <c r="J17242" t="s">
        <v>30</v>
      </c>
      <c r="K17242" t="s">
        <v>52906</v>
      </c>
      <c r="M17242" t="s">
        <v>17861</v>
      </c>
      <c r="N17242" t="str">
        <f>"8/1/2022 9:57:00 AM"</f>
        <v>8/1/2022 9:57:00 AM</v>
      </c>
      <c r="O17242" t="s">
        <v>52904</v>
      </c>
    </row>
    <row r="17243" spans="1:20" x14ac:dyDescent="0.25">
      <c r="A17243" t="str">
        <f>"3061076"</f>
        <v>3061076</v>
      </c>
      <c r="B17243" t="s">
        <v>52907</v>
      </c>
      <c r="C17243" t="str">
        <f>"8318492"</f>
        <v>8318492</v>
      </c>
      <c r="D17243" t="s">
        <v>52908</v>
      </c>
      <c r="F17243" t="s">
        <v>52909</v>
      </c>
      <c r="I17243" t="s">
        <v>2071</v>
      </c>
      <c r="J17243" t="s">
        <v>30</v>
      </c>
      <c r="K17243" t="s">
        <v>38843</v>
      </c>
      <c r="M17243" t="s">
        <v>17861</v>
      </c>
      <c r="N17243" t="str">
        <f>"8/10/2022 1:55:00 PM"</f>
        <v>8/10/2022 1:55:00 PM</v>
      </c>
      <c r="O17243" t="s">
        <v>52908</v>
      </c>
    </row>
    <row r="17244" spans="1:20" x14ac:dyDescent="0.25">
      <c r="A17244" t="str">
        <f>"3061034"</f>
        <v>3061034</v>
      </c>
      <c r="B17244" t="s">
        <v>52910</v>
      </c>
      <c r="C17244" t="str">
        <f>"8318493"</f>
        <v>8318493</v>
      </c>
      <c r="D17244" t="s">
        <v>52911</v>
      </c>
      <c r="F17244" t="s">
        <v>52912</v>
      </c>
      <c r="I17244" t="s">
        <v>471</v>
      </c>
      <c r="J17244" t="s">
        <v>30</v>
      </c>
      <c r="K17244" t="s">
        <v>52913</v>
      </c>
      <c r="M17244" t="s">
        <v>17861</v>
      </c>
      <c r="N17244" t="str">
        <f>"8/10/2022 2:06:00 PM"</f>
        <v>8/10/2022 2:06:00 PM</v>
      </c>
      <c r="O17244" t="s">
        <v>52911</v>
      </c>
    </row>
    <row r="17245" spans="1:20" x14ac:dyDescent="0.25">
      <c r="A17245" t="str">
        <f>"3041184"</f>
        <v>3041184</v>
      </c>
      <c r="B17245" t="s">
        <v>52914</v>
      </c>
      <c r="C17245" t="str">
        <f>"8318493"</f>
        <v>8318493</v>
      </c>
      <c r="D17245" t="s">
        <v>52911</v>
      </c>
      <c r="F17245" t="s">
        <v>52912</v>
      </c>
      <c r="I17245" t="s">
        <v>471</v>
      </c>
      <c r="J17245" t="s">
        <v>30</v>
      </c>
      <c r="K17245" t="s">
        <v>52913</v>
      </c>
      <c r="M17245" t="s">
        <v>17861</v>
      </c>
      <c r="N17245" t="str">
        <f>"8/10/2022 2:06:00 PM"</f>
        <v>8/10/2022 2:06:00 PM</v>
      </c>
      <c r="O17245" t="s">
        <v>52911</v>
      </c>
    </row>
    <row r="17246" spans="1:20" x14ac:dyDescent="0.25">
      <c r="A17246" t="str">
        <f>"3038669"</f>
        <v>3038669</v>
      </c>
      <c r="B17246" t="s">
        <v>52915</v>
      </c>
      <c r="C17246" t="str">
        <f>"8318494"</f>
        <v>8318494</v>
      </c>
      <c r="D17246" t="s">
        <v>52916</v>
      </c>
      <c r="F17246" t="s">
        <v>52917</v>
      </c>
      <c r="I17246" t="s">
        <v>29</v>
      </c>
      <c r="J17246" t="s">
        <v>30</v>
      </c>
      <c r="K17246" t="s">
        <v>41444</v>
      </c>
      <c r="M17246" t="s">
        <v>17861</v>
      </c>
      <c r="N17246" t="str">
        <f>"8/10/2022 2:09:00 PM"</f>
        <v>8/10/2022 2:09:00 PM</v>
      </c>
      <c r="O17246" t="s">
        <v>52916</v>
      </c>
    </row>
    <row r="17247" spans="1:20" x14ac:dyDescent="0.25">
      <c r="A17247" t="str">
        <f>"3061088"</f>
        <v>3061088</v>
      </c>
      <c r="B17247" t="s">
        <v>52918</v>
      </c>
      <c r="C17247" t="str">
        <f>"8318387"</f>
        <v>8318387</v>
      </c>
      <c r="D17247" t="s">
        <v>52919</v>
      </c>
      <c r="E17247" t="s">
        <v>52920</v>
      </c>
      <c r="F17247" t="s">
        <v>52921</v>
      </c>
      <c r="I17247" t="s">
        <v>184</v>
      </c>
      <c r="J17247" t="s">
        <v>30</v>
      </c>
      <c r="K17247" t="s">
        <v>35543</v>
      </c>
      <c r="M17247" t="s">
        <v>17861</v>
      </c>
      <c r="N17247" t="str">
        <f>"8/1/2022 10:01:00 AM"</f>
        <v>8/1/2022 10:01:00 AM</v>
      </c>
      <c r="O17247" t="s">
        <v>52919</v>
      </c>
      <c r="T17247" t="s">
        <v>52920</v>
      </c>
    </row>
    <row r="17248" spans="1:20" x14ac:dyDescent="0.25">
      <c r="A17248" t="str">
        <f>"3048116"</f>
        <v>3048116</v>
      </c>
      <c r="B17248" t="s">
        <v>52922</v>
      </c>
      <c r="C17248" t="str">
        <f>"8318389"</f>
        <v>8318389</v>
      </c>
      <c r="D17248" t="s">
        <v>52923</v>
      </c>
      <c r="E17248" t="s">
        <v>52924</v>
      </c>
      <c r="F17248" t="s">
        <v>52925</v>
      </c>
      <c r="I17248" t="s">
        <v>184</v>
      </c>
      <c r="J17248" t="s">
        <v>30</v>
      </c>
      <c r="K17248" t="s">
        <v>52926</v>
      </c>
      <c r="M17248" t="s">
        <v>17861</v>
      </c>
      <c r="N17248" t="str">
        <f>"8/1/2022 10:22:00 AM"</f>
        <v>8/1/2022 10:22:00 AM</v>
      </c>
      <c r="O17248" t="s">
        <v>52923</v>
      </c>
      <c r="T17248" t="s">
        <v>52924</v>
      </c>
    </row>
    <row r="17249" spans="1:20" x14ac:dyDescent="0.25">
      <c r="A17249" t="str">
        <f>"3055924"</f>
        <v>3055924</v>
      </c>
      <c r="B17249" t="s">
        <v>52927</v>
      </c>
      <c r="C17249" t="str">
        <f>"8318392"</f>
        <v>8318392</v>
      </c>
      <c r="D17249" t="str">
        <f>"MADEMANN BARRY E/SUSAN C CO-TRUSTEES"</f>
        <v>MADEMANN BARRY E/SUSAN C CO-TRUSTEES</v>
      </c>
      <c r="E17249" t="str">
        <f>"MADEMANN BARRY E/SUSAN C REV L"</f>
        <v>MADEMANN BARRY E/SUSAN C REV L</v>
      </c>
      <c r="F17249" t="s">
        <v>52928</v>
      </c>
      <c r="I17249" t="s">
        <v>1107</v>
      </c>
      <c r="J17249" t="s">
        <v>30</v>
      </c>
      <c r="K17249" t="s">
        <v>52929</v>
      </c>
      <c r="M17249" t="s">
        <v>17861</v>
      </c>
      <c r="N17249" t="str">
        <f>"8/1/2022 1:26:00 PM"</f>
        <v>8/1/2022 1:26:00 PM</v>
      </c>
      <c r="O17249" t="str">
        <f>"MADEMANN BARRY E/SUSAN C CO-TRUSTEES"</f>
        <v>MADEMANN BARRY E/SUSAN C CO-TRUSTEES</v>
      </c>
      <c r="T17249" t="str">
        <f>"MADEMANN BARRY E/SUSAN C REV L"</f>
        <v>MADEMANN BARRY E/SUSAN C REV L</v>
      </c>
    </row>
    <row r="17250" spans="1:20" x14ac:dyDescent="0.25">
      <c r="A17250" t="str">
        <f>"3062566"</f>
        <v>3062566</v>
      </c>
      <c r="B17250" t="s">
        <v>52930</v>
      </c>
      <c r="C17250" t="str">
        <f>"8318501"</f>
        <v>8318501</v>
      </c>
      <c r="D17250" t="s">
        <v>52931</v>
      </c>
      <c r="E17250" t="s">
        <v>52932</v>
      </c>
      <c r="F17250" t="s">
        <v>52933</v>
      </c>
      <c r="I17250" t="s">
        <v>184</v>
      </c>
      <c r="J17250" t="s">
        <v>30</v>
      </c>
      <c r="K17250" t="s">
        <v>5200</v>
      </c>
      <c r="M17250" t="s">
        <v>17861</v>
      </c>
      <c r="N17250" t="str">
        <f>"8/11/2022 3:50:00 PM"</f>
        <v>8/11/2022 3:50:00 PM</v>
      </c>
      <c r="O17250" t="s">
        <v>52931</v>
      </c>
      <c r="T17250" t="s">
        <v>52932</v>
      </c>
    </row>
    <row r="17251" spans="1:20" x14ac:dyDescent="0.25">
      <c r="A17251" t="str">
        <f>"3057337"</f>
        <v>3057337</v>
      </c>
      <c r="B17251" t="s">
        <v>52934</v>
      </c>
      <c r="C17251" t="str">
        <f>"8318502"</f>
        <v>8318502</v>
      </c>
      <c r="D17251" t="s">
        <v>52935</v>
      </c>
      <c r="F17251" t="s">
        <v>52936</v>
      </c>
      <c r="I17251" t="s">
        <v>184</v>
      </c>
      <c r="J17251" t="s">
        <v>30</v>
      </c>
      <c r="K17251" t="s">
        <v>52675</v>
      </c>
      <c r="M17251" t="s">
        <v>17861</v>
      </c>
      <c r="N17251" t="str">
        <f>"8/12/2022 11:00:00 AM"</f>
        <v>8/12/2022 11:00:00 AM</v>
      </c>
      <c r="O17251" t="s">
        <v>52935</v>
      </c>
    </row>
    <row r="17252" spans="1:20" x14ac:dyDescent="0.25">
      <c r="A17252" t="str">
        <f>"3060511"</f>
        <v>3060511</v>
      </c>
      <c r="B17252" t="s">
        <v>52937</v>
      </c>
      <c r="C17252" t="str">
        <f>"8318503"</f>
        <v>8318503</v>
      </c>
      <c r="D17252" t="s">
        <v>52938</v>
      </c>
      <c r="E17252" t="s">
        <v>52939</v>
      </c>
      <c r="F17252" t="s">
        <v>52940</v>
      </c>
      <c r="I17252" t="s">
        <v>184</v>
      </c>
      <c r="J17252" t="s">
        <v>30</v>
      </c>
      <c r="K17252" t="s">
        <v>9158</v>
      </c>
      <c r="M17252" t="s">
        <v>17861</v>
      </c>
      <c r="N17252" t="str">
        <f>"8/12/2022 11:08:00 AM"</f>
        <v>8/12/2022 11:08:00 AM</v>
      </c>
      <c r="O17252" t="s">
        <v>52938</v>
      </c>
      <c r="T17252" t="s">
        <v>52939</v>
      </c>
    </row>
    <row r="17253" spans="1:20" x14ac:dyDescent="0.25">
      <c r="A17253" t="str">
        <f>"3078471"</f>
        <v>3078471</v>
      </c>
      <c r="B17253" t="s">
        <v>52941</v>
      </c>
      <c r="C17253" t="str">
        <f>"8318505"</f>
        <v>8318505</v>
      </c>
      <c r="D17253" t="s">
        <v>52942</v>
      </c>
      <c r="E17253" t="s">
        <v>52943</v>
      </c>
      <c r="F17253" t="s">
        <v>52944</v>
      </c>
      <c r="I17253" t="s">
        <v>29</v>
      </c>
      <c r="J17253" t="s">
        <v>30</v>
      </c>
      <c r="K17253" t="s">
        <v>14112</v>
      </c>
      <c r="M17253" t="s">
        <v>17861</v>
      </c>
      <c r="N17253" t="str">
        <f>"8/12/2022 11:12:00 AM"</f>
        <v>8/12/2022 11:12:00 AM</v>
      </c>
      <c r="O17253" t="s">
        <v>52942</v>
      </c>
      <c r="T17253" t="s">
        <v>52943</v>
      </c>
    </row>
    <row r="17254" spans="1:20" x14ac:dyDescent="0.25">
      <c r="A17254" t="str">
        <f>"3056114"</f>
        <v>3056114</v>
      </c>
      <c r="B17254" t="s">
        <v>52945</v>
      </c>
      <c r="C17254" t="str">
        <f>"8318506"</f>
        <v>8318506</v>
      </c>
      <c r="D17254" t="s">
        <v>52946</v>
      </c>
      <c r="F17254" t="s">
        <v>52947</v>
      </c>
      <c r="I17254" t="s">
        <v>9580</v>
      </c>
      <c r="J17254" t="s">
        <v>30</v>
      </c>
      <c r="K17254" t="s">
        <v>52948</v>
      </c>
      <c r="M17254" t="s">
        <v>17861</v>
      </c>
      <c r="N17254" t="str">
        <f>"8/12/2022 11:15:00 AM"</f>
        <v>8/12/2022 11:15:00 AM</v>
      </c>
      <c r="O17254" t="s">
        <v>52946</v>
      </c>
    </row>
    <row r="17255" spans="1:20" x14ac:dyDescent="0.25">
      <c r="A17255" t="str">
        <f>"3056753"</f>
        <v>3056753</v>
      </c>
      <c r="B17255" t="s">
        <v>52949</v>
      </c>
      <c r="C17255" t="str">
        <f>"8318507"</f>
        <v>8318507</v>
      </c>
      <c r="D17255" t="s">
        <v>52950</v>
      </c>
      <c r="E17255" t="s">
        <v>52951</v>
      </c>
      <c r="F17255" t="s">
        <v>52952</v>
      </c>
      <c r="I17255" t="s">
        <v>29</v>
      </c>
      <c r="J17255" t="s">
        <v>30</v>
      </c>
      <c r="K17255" t="str">
        <f>"27028"</f>
        <v>27028</v>
      </c>
      <c r="M17255" t="s">
        <v>17861</v>
      </c>
      <c r="N17255" t="str">
        <f>"8/12/2022 3:39:00 PM"</f>
        <v>8/12/2022 3:39:00 PM</v>
      </c>
      <c r="O17255" t="s">
        <v>52950</v>
      </c>
      <c r="T17255" t="s">
        <v>52951</v>
      </c>
    </row>
    <row r="17256" spans="1:20" x14ac:dyDescent="0.25">
      <c r="A17256" t="str">
        <f>"3052688"</f>
        <v>3052688</v>
      </c>
      <c r="B17256" t="s">
        <v>52953</v>
      </c>
      <c r="C17256" t="str">
        <f>"8318404"</f>
        <v>8318404</v>
      </c>
      <c r="D17256" t="s">
        <v>52954</v>
      </c>
      <c r="E17256" t="s">
        <v>52955</v>
      </c>
      <c r="F17256" t="s">
        <v>52956</v>
      </c>
      <c r="I17256" t="s">
        <v>29</v>
      </c>
      <c r="J17256" t="s">
        <v>30</v>
      </c>
      <c r="K17256" t="s">
        <v>43180</v>
      </c>
      <c r="M17256" t="s">
        <v>17861</v>
      </c>
      <c r="N17256" t="str">
        <f>"8/2/2022 2:17:00 PM"</f>
        <v>8/2/2022 2:17:00 PM</v>
      </c>
      <c r="O17256" t="s">
        <v>52954</v>
      </c>
      <c r="T17256" t="s">
        <v>52955</v>
      </c>
    </row>
    <row r="17257" spans="1:20" x14ac:dyDescent="0.25">
      <c r="A17257" t="str">
        <f>"3059995"</f>
        <v>3059995</v>
      </c>
      <c r="B17257" t="s">
        <v>52957</v>
      </c>
      <c r="C17257" t="str">
        <f>"8318405"</f>
        <v>8318405</v>
      </c>
      <c r="D17257" t="s">
        <v>52958</v>
      </c>
      <c r="E17257" t="s">
        <v>52959</v>
      </c>
      <c r="F17257" t="s">
        <v>52960</v>
      </c>
      <c r="I17257" t="s">
        <v>24359</v>
      </c>
      <c r="J17257" t="s">
        <v>30</v>
      </c>
      <c r="K17257" t="str">
        <f>"27006"</f>
        <v>27006</v>
      </c>
      <c r="M17257" t="s">
        <v>17861</v>
      </c>
      <c r="N17257" t="str">
        <f>"8/2/2022 2:20:00 PM"</f>
        <v>8/2/2022 2:20:00 PM</v>
      </c>
      <c r="O17257" t="s">
        <v>52958</v>
      </c>
      <c r="T17257" t="s">
        <v>52959</v>
      </c>
    </row>
    <row r="17258" spans="1:20" x14ac:dyDescent="0.25">
      <c r="A17258" t="str">
        <f>"3054984"</f>
        <v>3054984</v>
      </c>
      <c r="B17258" t="s">
        <v>52961</v>
      </c>
      <c r="C17258" t="str">
        <f>"8318367"</f>
        <v>8318367</v>
      </c>
      <c r="D17258" t="s">
        <v>52962</v>
      </c>
      <c r="E17258" t="s">
        <v>52963</v>
      </c>
      <c r="F17258" t="s">
        <v>52964</v>
      </c>
      <c r="I17258" t="s">
        <v>29</v>
      </c>
      <c r="J17258" t="s">
        <v>30</v>
      </c>
      <c r="K17258" t="s">
        <v>13701</v>
      </c>
      <c r="M17258" t="s">
        <v>17861</v>
      </c>
      <c r="N17258" t="str">
        <f>"7/28/2022 3:17:00 PM"</f>
        <v>7/28/2022 3:17:00 PM</v>
      </c>
      <c r="O17258" t="s">
        <v>52962</v>
      </c>
      <c r="T17258" t="s">
        <v>52963</v>
      </c>
    </row>
    <row r="17259" spans="1:20" x14ac:dyDescent="0.25">
      <c r="A17259" t="str">
        <f>"3064097"</f>
        <v>3064097</v>
      </c>
      <c r="B17259" t="s">
        <v>52965</v>
      </c>
      <c r="C17259" t="str">
        <f>"8318482"</f>
        <v>8318482</v>
      </c>
      <c r="D17259" t="s">
        <v>52966</v>
      </c>
      <c r="F17259" t="s">
        <v>52967</v>
      </c>
      <c r="I17259" t="s">
        <v>184</v>
      </c>
      <c r="J17259" t="s">
        <v>30</v>
      </c>
      <c r="K17259" t="s">
        <v>20350</v>
      </c>
      <c r="M17259" t="s">
        <v>17861</v>
      </c>
      <c r="N17259" t="str">
        <f>"8/10/2022 8:49:00 AM"</f>
        <v>8/10/2022 8:49:00 AM</v>
      </c>
      <c r="O17259" t="s">
        <v>52966</v>
      </c>
    </row>
    <row r="17260" spans="1:20" x14ac:dyDescent="0.25">
      <c r="A17260" t="str">
        <f>"3059504"</f>
        <v>3059504</v>
      </c>
      <c r="B17260" t="s">
        <v>52968</v>
      </c>
      <c r="C17260" t="str">
        <f>"8318483"</f>
        <v>8318483</v>
      </c>
      <c r="D17260" t="s">
        <v>52969</v>
      </c>
      <c r="E17260" t="s">
        <v>52970</v>
      </c>
      <c r="F17260" t="s">
        <v>52971</v>
      </c>
      <c r="I17260" t="s">
        <v>29</v>
      </c>
      <c r="J17260" t="s">
        <v>30</v>
      </c>
      <c r="K17260" t="s">
        <v>13170</v>
      </c>
      <c r="M17260" t="s">
        <v>17861</v>
      </c>
      <c r="N17260" t="str">
        <f>"8/10/2022 8:53:00 AM"</f>
        <v>8/10/2022 8:53:00 AM</v>
      </c>
      <c r="O17260" t="s">
        <v>52969</v>
      </c>
      <c r="T17260" t="s">
        <v>52970</v>
      </c>
    </row>
    <row r="17261" spans="1:20" x14ac:dyDescent="0.25">
      <c r="A17261" t="str">
        <f>"3059576"</f>
        <v>3059576</v>
      </c>
      <c r="B17261" t="s">
        <v>52972</v>
      </c>
      <c r="C17261" t="str">
        <f>"8318486"</f>
        <v>8318486</v>
      </c>
      <c r="D17261" t="s">
        <v>52973</v>
      </c>
      <c r="E17261" t="s">
        <v>52974</v>
      </c>
      <c r="F17261" t="s">
        <v>52975</v>
      </c>
      <c r="I17261" t="s">
        <v>29</v>
      </c>
      <c r="J17261" t="s">
        <v>30</v>
      </c>
      <c r="K17261" t="s">
        <v>33298</v>
      </c>
      <c r="M17261" t="s">
        <v>17861</v>
      </c>
      <c r="N17261" t="str">
        <f>"8/10/2022 1:21:00 PM"</f>
        <v>8/10/2022 1:21:00 PM</v>
      </c>
      <c r="O17261" t="s">
        <v>52973</v>
      </c>
      <c r="T17261" t="s">
        <v>52974</v>
      </c>
    </row>
    <row r="17262" spans="1:20" x14ac:dyDescent="0.25">
      <c r="A17262" t="str">
        <f>"3040813"</f>
        <v>3040813</v>
      </c>
      <c r="B17262" t="s">
        <v>52976</v>
      </c>
      <c r="C17262" t="str">
        <f>"8318489"</f>
        <v>8318489</v>
      </c>
      <c r="D17262" t="s">
        <v>52977</v>
      </c>
      <c r="E17262" t="s">
        <v>52978</v>
      </c>
      <c r="F17262" t="s">
        <v>52979</v>
      </c>
      <c r="I17262" t="s">
        <v>49</v>
      </c>
      <c r="J17262" t="s">
        <v>30</v>
      </c>
      <c r="K17262" t="s">
        <v>52980</v>
      </c>
      <c r="M17262" t="s">
        <v>17861</v>
      </c>
      <c r="N17262" t="str">
        <f>"8/10/2022 1:41:00 PM"</f>
        <v>8/10/2022 1:41:00 PM</v>
      </c>
      <c r="O17262" t="s">
        <v>52977</v>
      </c>
      <c r="T17262" t="s">
        <v>52978</v>
      </c>
    </row>
    <row r="17263" spans="1:20" x14ac:dyDescent="0.25">
      <c r="A17263" t="str">
        <f>"3058126"</f>
        <v>3058126</v>
      </c>
      <c r="B17263" t="s">
        <v>52981</v>
      </c>
      <c r="C17263" t="str">
        <f>"8318490"</f>
        <v>8318490</v>
      </c>
      <c r="D17263" t="s">
        <v>52982</v>
      </c>
      <c r="E17263" t="s">
        <v>52983</v>
      </c>
      <c r="F17263" t="s">
        <v>52984</v>
      </c>
      <c r="I17263" t="s">
        <v>24359</v>
      </c>
      <c r="J17263" t="s">
        <v>30</v>
      </c>
      <c r="K17263" t="str">
        <f>"27006"</f>
        <v>27006</v>
      </c>
      <c r="M17263" t="s">
        <v>17861</v>
      </c>
      <c r="N17263" t="str">
        <f>"8/10/2022 1:50:00 PM"</f>
        <v>8/10/2022 1:50:00 PM</v>
      </c>
      <c r="O17263" t="s">
        <v>52982</v>
      </c>
      <c r="T17263" t="s">
        <v>52983</v>
      </c>
    </row>
    <row r="17264" spans="1:20" x14ac:dyDescent="0.25">
      <c r="A17264" t="str">
        <f>"3039271"</f>
        <v>3039271</v>
      </c>
      <c r="B17264" t="s">
        <v>52985</v>
      </c>
      <c r="C17264" t="str">
        <f>"8318496"</f>
        <v>8318496</v>
      </c>
      <c r="D17264" t="s">
        <v>52986</v>
      </c>
      <c r="E17264" t="s">
        <v>52987</v>
      </c>
      <c r="F17264" t="s">
        <v>37264</v>
      </c>
      <c r="I17264" t="s">
        <v>29</v>
      </c>
      <c r="J17264" t="s">
        <v>30</v>
      </c>
      <c r="K17264" t="s">
        <v>37265</v>
      </c>
      <c r="M17264" t="s">
        <v>17861</v>
      </c>
      <c r="N17264" t="str">
        <f>"8/11/2022 9:02:00 AM"</f>
        <v>8/11/2022 9:02:00 AM</v>
      </c>
      <c r="O17264" t="s">
        <v>52986</v>
      </c>
      <c r="T17264" t="s">
        <v>52987</v>
      </c>
    </row>
    <row r="17265" spans="1:20" x14ac:dyDescent="0.25">
      <c r="A17265" t="str">
        <f>"3047986"</f>
        <v>3047986</v>
      </c>
      <c r="B17265" t="s">
        <v>52988</v>
      </c>
      <c r="C17265" t="str">
        <f>"8318517"</f>
        <v>8318517</v>
      </c>
      <c r="D17265" t="s">
        <v>52989</v>
      </c>
      <c r="F17265" t="s">
        <v>52990</v>
      </c>
      <c r="I17265" t="s">
        <v>184</v>
      </c>
      <c r="J17265" t="s">
        <v>30</v>
      </c>
      <c r="K17265" t="s">
        <v>52991</v>
      </c>
      <c r="M17265" t="s">
        <v>17861</v>
      </c>
      <c r="N17265" t="str">
        <f>"8/16/2022 8:36:00 AM"</f>
        <v>8/16/2022 8:36:00 AM</v>
      </c>
      <c r="O17265" t="s">
        <v>52989</v>
      </c>
    </row>
    <row r="17266" spans="1:20" x14ac:dyDescent="0.25">
      <c r="A17266" t="str">
        <f>"3058879"</f>
        <v>3058879</v>
      </c>
      <c r="B17266" t="s">
        <v>52992</v>
      </c>
      <c r="C17266" t="str">
        <f>"8318518"</f>
        <v>8318518</v>
      </c>
      <c r="D17266" t="s">
        <v>52993</v>
      </c>
      <c r="F17266" t="s">
        <v>52994</v>
      </c>
      <c r="I17266" t="s">
        <v>29</v>
      </c>
      <c r="J17266" t="s">
        <v>30</v>
      </c>
      <c r="K17266" t="s">
        <v>41630</v>
      </c>
      <c r="M17266" t="s">
        <v>17861</v>
      </c>
      <c r="N17266" t="str">
        <f>"8/16/2022 8:38:00 AM"</f>
        <v>8/16/2022 8:38:00 AM</v>
      </c>
      <c r="O17266" t="s">
        <v>52993</v>
      </c>
    </row>
    <row r="17267" spans="1:20" x14ac:dyDescent="0.25">
      <c r="A17267" t="str">
        <f>"3057325"</f>
        <v>3057325</v>
      </c>
      <c r="B17267" t="s">
        <v>52995</v>
      </c>
      <c r="C17267" t="str">
        <f>"8318497"</f>
        <v>8318497</v>
      </c>
      <c r="D17267" t="s">
        <v>52996</v>
      </c>
      <c r="E17267" t="s">
        <v>52997</v>
      </c>
      <c r="F17267" t="s">
        <v>52998</v>
      </c>
      <c r="I17267" t="s">
        <v>184</v>
      </c>
      <c r="J17267" t="s">
        <v>30</v>
      </c>
      <c r="K17267" t="s">
        <v>52675</v>
      </c>
      <c r="M17267" t="s">
        <v>17861</v>
      </c>
      <c r="N17267" t="str">
        <f>"8/11/2022 9:05:00 AM"</f>
        <v>8/11/2022 9:05:00 AM</v>
      </c>
      <c r="O17267" t="s">
        <v>52996</v>
      </c>
      <c r="T17267" t="s">
        <v>52997</v>
      </c>
    </row>
    <row r="17268" spans="1:20" x14ac:dyDescent="0.25">
      <c r="A17268" t="str">
        <f>"3048020"</f>
        <v>3048020</v>
      </c>
      <c r="B17268" t="s">
        <v>52999</v>
      </c>
      <c r="C17268" t="str">
        <f>"8318499"</f>
        <v>8318499</v>
      </c>
      <c r="D17268" t="s">
        <v>53000</v>
      </c>
      <c r="E17268" t="s">
        <v>53001</v>
      </c>
      <c r="F17268" t="s">
        <v>53002</v>
      </c>
      <c r="I17268" t="s">
        <v>53003</v>
      </c>
      <c r="J17268" t="s">
        <v>11346</v>
      </c>
      <c r="K17268" t="s">
        <v>53004</v>
      </c>
      <c r="M17268" t="s">
        <v>17861</v>
      </c>
      <c r="N17268" t="str">
        <f>"8/11/2022 3:36:00 PM"</f>
        <v>8/11/2022 3:36:00 PM</v>
      </c>
      <c r="O17268" t="s">
        <v>53000</v>
      </c>
      <c r="T17268" t="s">
        <v>53001</v>
      </c>
    </row>
    <row r="17269" spans="1:20" x14ac:dyDescent="0.25">
      <c r="A17269" t="str">
        <f>"3078746"</f>
        <v>3078746</v>
      </c>
      <c r="B17269" t="s">
        <v>53005</v>
      </c>
      <c r="C17269" t="str">
        <f>"6159500"</f>
        <v>6159500</v>
      </c>
      <c r="D17269" t="s">
        <v>53006</v>
      </c>
      <c r="F17269" t="s">
        <v>53007</v>
      </c>
      <c r="I17269" t="s">
        <v>184</v>
      </c>
      <c r="J17269" t="s">
        <v>30</v>
      </c>
      <c r="K17269" t="s">
        <v>19297</v>
      </c>
      <c r="M17269" t="s">
        <v>52111</v>
      </c>
      <c r="N17269" t="str">
        <f>"8/4/2022 8:48:00 AM"</f>
        <v>8/4/2022 8:48:00 AM</v>
      </c>
      <c r="O17269" t="s">
        <v>53006</v>
      </c>
    </row>
    <row r="17270" spans="1:20" x14ac:dyDescent="0.25">
      <c r="A17270" t="str">
        <f>"3046442"</f>
        <v>3046442</v>
      </c>
      <c r="B17270" t="s">
        <v>53008</v>
      </c>
      <c r="C17270" t="str">
        <f>"8318524"</f>
        <v>8318524</v>
      </c>
      <c r="D17270" t="s">
        <v>53009</v>
      </c>
      <c r="F17270" t="s">
        <v>53010</v>
      </c>
      <c r="I17270" t="s">
        <v>29</v>
      </c>
      <c r="J17270" t="s">
        <v>30</v>
      </c>
      <c r="K17270" t="s">
        <v>28536</v>
      </c>
      <c r="M17270" t="s">
        <v>17861</v>
      </c>
      <c r="N17270" t="str">
        <f>"8/17/2022 2:58:00 PM"</f>
        <v>8/17/2022 2:58:00 PM</v>
      </c>
      <c r="O17270" t="s">
        <v>53009</v>
      </c>
    </row>
    <row r="17271" spans="1:20" x14ac:dyDescent="0.25">
      <c r="A17271" t="str">
        <f>"3057712"</f>
        <v>3057712</v>
      </c>
      <c r="B17271" t="s">
        <v>53011</v>
      </c>
      <c r="C17271" t="str">
        <f>"8318525"</f>
        <v>8318525</v>
      </c>
      <c r="D17271" t="s">
        <v>53012</v>
      </c>
      <c r="F17271" t="s">
        <v>53013</v>
      </c>
      <c r="I17271" t="s">
        <v>2071</v>
      </c>
      <c r="J17271" t="s">
        <v>30</v>
      </c>
      <c r="K17271" t="s">
        <v>48423</v>
      </c>
      <c r="M17271" t="s">
        <v>17861</v>
      </c>
      <c r="N17271" t="str">
        <f>"8/17/2022 3:08:00 PM"</f>
        <v>8/17/2022 3:08:00 PM</v>
      </c>
      <c r="O17271" t="s">
        <v>53012</v>
      </c>
    </row>
    <row r="17272" spans="1:20" x14ac:dyDescent="0.25">
      <c r="A17272" t="str">
        <f>"3044466"</f>
        <v>3044466</v>
      </c>
      <c r="B17272" t="s">
        <v>53014</v>
      </c>
      <c r="C17272" t="str">
        <f>"8318526"</f>
        <v>8318526</v>
      </c>
      <c r="D17272" t="str">
        <f>"DAVIS ROGER/LISA LIVING TRUST"</f>
        <v>DAVIS ROGER/LISA LIVING TRUST</v>
      </c>
      <c r="E17272" t="str">
        <f>"DAVIS ROGER/LISA TRUSTEES"</f>
        <v>DAVIS ROGER/LISA TRUSTEES</v>
      </c>
      <c r="F17272" t="s">
        <v>53015</v>
      </c>
      <c r="I17272" t="s">
        <v>184</v>
      </c>
      <c r="J17272" t="s">
        <v>30</v>
      </c>
      <c r="K17272" t="s">
        <v>6103</v>
      </c>
      <c r="M17272" t="s">
        <v>17861</v>
      </c>
      <c r="N17272" t="str">
        <f>"8/17/2022 3:14:00 PM"</f>
        <v>8/17/2022 3:14:00 PM</v>
      </c>
      <c r="O17272" t="str">
        <f>"DAVIS ROGER/LISA LIVING TRUST"</f>
        <v>DAVIS ROGER/LISA LIVING TRUST</v>
      </c>
      <c r="T17272" t="str">
        <f>"DAVIS ROGER/LISA TRUSTEES"</f>
        <v>DAVIS ROGER/LISA TRUSTEES</v>
      </c>
    </row>
    <row r="17273" spans="1:20" x14ac:dyDescent="0.25">
      <c r="A17273" t="str">
        <f>"3056150"</f>
        <v>3056150</v>
      </c>
      <c r="B17273" t="s">
        <v>53016</v>
      </c>
      <c r="C17273" t="str">
        <f>"8318528"</f>
        <v>8318528</v>
      </c>
      <c r="D17273" t="s">
        <v>53017</v>
      </c>
      <c r="F17273" t="s">
        <v>53018</v>
      </c>
      <c r="I17273" t="s">
        <v>53019</v>
      </c>
      <c r="J17273" t="s">
        <v>30</v>
      </c>
      <c r="K17273" t="s">
        <v>53020</v>
      </c>
      <c r="M17273" t="s">
        <v>17861</v>
      </c>
      <c r="N17273" t="str">
        <f>"8/17/2022 3:33:00 PM"</f>
        <v>8/17/2022 3:33:00 PM</v>
      </c>
      <c r="O17273" t="s">
        <v>53017</v>
      </c>
    </row>
    <row r="17274" spans="1:20" x14ac:dyDescent="0.25">
      <c r="A17274" t="str">
        <f>"3057887"</f>
        <v>3057887</v>
      </c>
      <c r="B17274" t="s">
        <v>53021</v>
      </c>
      <c r="C17274" t="str">
        <f t="shared" ref="C17274:C17280" si="258">"8318529"</f>
        <v>8318529</v>
      </c>
      <c r="D17274" t="s">
        <v>53022</v>
      </c>
      <c r="F17274" t="s">
        <v>36526</v>
      </c>
      <c r="I17274" t="s">
        <v>29</v>
      </c>
      <c r="J17274" t="s">
        <v>30</v>
      </c>
      <c r="K17274" t="s">
        <v>51782</v>
      </c>
      <c r="M17274" t="s">
        <v>17861</v>
      </c>
      <c r="N17274" t="str">
        <f t="shared" ref="N17274:N17280" si="259">"8/17/2022 3:36:00 PM"</f>
        <v>8/17/2022 3:36:00 PM</v>
      </c>
      <c r="O17274" t="s">
        <v>53022</v>
      </c>
    </row>
    <row r="17275" spans="1:20" x14ac:dyDescent="0.25">
      <c r="A17275" t="str">
        <f>"3055578"</f>
        <v>3055578</v>
      </c>
      <c r="B17275" t="s">
        <v>53023</v>
      </c>
      <c r="C17275" t="str">
        <f t="shared" si="258"/>
        <v>8318529</v>
      </c>
      <c r="D17275" t="s">
        <v>53022</v>
      </c>
      <c r="F17275" t="s">
        <v>36526</v>
      </c>
      <c r="I17275" t="s">
        <v>29</v>
      </c>
      <c r="J17275" t="s">
        <v>30</v>
      </c>
      <c r="K17275" t="s">
        <v>51782</v>
      </c>
      <c r="M17275" t="s">
        <v>17861</v>
      </c>
      <c r="N17275" t="str">
        <f t="shared" si="259"/>
        <v>8/17/2022 3:36:00 PM</v>
      </c>
      <c r="O17275" t="s">
        <v>53022</v>
      </c>
    </row>
    <row r="17276" spans="1:20" x14ac:dyDescent="0.25">
      <c r="A17276" t="str">
        <f>"3053636"</f>
        <v>3053636</v>
      </c>
      <c r="B17276" t="s">
        <v>53024</v>
      </c>
      <c r="C17276" t="str">
        <f t="shared" si="258"/>
        <v>8318529</v>
      </c>
      <c r="D17276" t="s">
        <v>53022</v>
      </c>
      <c r="F17276" t="s">
        <v>36526</v>
      </c>
      <c r="I17276" t="s">
        <v>29</v>
      </c>
      <c r="J17276" t="s">
        <v>30</v>
      </c>
      <c r="K17276" t="s">
        <v>51782</v>
      </c>
      <c r="M17276" t="s">
        <v>17861</v>
      </c>
      <c r="N17276" t="str">
        <f t="shared" si="259"/>
        <v>8/17/2022 3:36:00 PM</v>
      </c>
      <c r="O17276" t="s">
        <v>53022</v>
      </c>
    </row>
    <row r="17277" spans="1:20" x14ac:dyDescent="0.25">
      <c r="A17277" t="str">
        <f>"3040992"</f>
        <v>3040992</v>
      </c>
      <c r="B17277" t="s">
        <v>53025</v>
      </c>
      <c r="C17277" t="str">
        <f t="shared" si="258"/>
        <v>8318529</v>
      </c>
      <c r="D17277" t="s">
        <v>53022</v>
      </c>
      <c r="F17277" t="s">
        <v>36526</v>
      </c>
      <c r="I17277" t="s">
        <v>29</v>
      </c>
      <c r="J17277" t="s">
        <v>30</v>
      </c>
      <c r="K17277" t="s">
        <v>51782</v>
      </c>
      <c r="M17277" t="s">
        <v>17861</v>
      </c>
      <c r="N17277" t="str">
        <f t="shared" si="259"/>
        <v>8/17/2022 3:36:00 PM</v>
      </c>
      <c r="O17277" t="s">
        <v>53022</v>
      </c>
    </row>
    <row r="17278" spans="1:20" x14ac:dyDescent="0.25">
      <c r="A17278" t="str">
        <f>"3059194"</f>
        <v>3059194</v>
      </c>
      <c r="B17278" t="s">
        <v>53026</v>
      </c>
      <c r="C17278" t="str">
        <f t="shared" si="258"/>
        <v>8318529</v>
      </c>
      <c r="D17278" t="s">
        <v>53022</v>
      </c>
      <c r="F17278" t="s">
        <v>36526</v>
      </c>
      <c r="I17278" t="s">
        <v>29</v>
      </c>
      <c r="J17278" t="s">
        <v>30</v>
      </c>
      <c r="K17278" t="s">
        <v>51782</v>
      </c>
      <c r="M17278" t="s">
        <v>17861</v>
      </c>
      <c r="N17278" t="str">
        <f t="shared" si="259"/>
        <v>8/17/2022 3:36:00 PM</v>
      </c>
      <c r="O17278" t="s">
        <v>53022</v>
      </c>
    </row>
    <row r="17279" spans="1:20" x14ac:dyDescent="0.25">
      <c r="A17279" t="str">
        <f>"3062832"</f>
        <v>3062832</v>
      </c>
      <c r="B17279" t="s">
        <v>53027</v>
      </c>
      <c r="C17279" t="str">
        <f t="shared" si="258"/>
        <v>8318529</v>
      </c>
      <c r="D17279" t="s">
        <v>53022</v>
      </c>
      <c r="F17279" t="s">
        <v>36526</v>
      </c>
      <c r="I17279" t="s">
        <v>29</v>
      </c>
      <c r="J17279" t="s">
        <v>30</v>
      </c>
      <c r="K17279" t="s">
        <v>51782</v>
      </c>
      <c r="M17279" t="s">
        <v>17861</v>
      </c>
      <c r="N17279" t="str">
        <f t="shared" si="259"/>
        <v>8/17/2022 3:36:00 PM</v>
      </c>
      <c r="O17279" t="s">
        <v>53022</v>
      </c>
    </row>
    <row r="17280" spans="1:20" x14ac:dyDescent="0.25">
      <c r="A17280" t="str">
        <f>"3078134"</f>
        <v>3078134</v>
      </c>
      <c r="B17280" t="s">
        <v>53028</v>
      </c>
      <c r="C17280" t="str">
        <f t="shared" si="258"/>
        <v>8318529</v>
      </c>
      <c r="D17280" t="s">
        <v>53022</v>
      </c>
      <c r="F17280" t="s">
        <v>36526</v>
      </c>
      <c r="I17280" t="s">
        <v>29</v>
      </c>
      <c r="J17280" t="s">
        <v>30</v>
      </c>
      <c r="K17280" t="s">
        <v>51782</v>
      </c>
      <c r="M17280" t="s">
        <v>17861</v>
      </c>
      <c r="N17280" t="str">
        <f t="shared" si="259"/>
        <v>8/17/2022 3:36:00 PM</v>
      </c>
      <c r="O17280" t="s">
        <v>53022</v>
      </c>
    </row>
    <row r="17281" spans="1:20" x14ac:dyDescent="0.25">
      <c r="A17281" t="str">
        <f>"3057955"</f>
        <v>3057955</v>
      </c>
      <c r="B17281" t="s">
        <v>53029</v>
      </c>
      <c r="C17281" t="str">
        <f>"8318531"</f>
        <v>8318531</v>
      </c>
      <c r="D17281" t="s">
        <v>53030</v>
      </c>
      <c r="F17281" t="s">
        <v>53031</v>
      </c>
      <c r="I17281" t="s">
        <v>184</v>
      </c>
      <c r="J17281" t="s">
        <v>30</v>
      </c>
      <c r="K17281" t="s">
        <v>15031</v>
      </c>
      <c r="M17281" t="s">
        <v>17861</v>
      </c>
      <c r="N17281" t="str">
        <f>"8/18/2022 8:22:00 AM"</f>
        <v>8/18/2022 8:22:00 AM</v>
      </c>
      <c r="O17281" t="s">
        <v>53030</v>
      </c>
    </row>
    <row r="17282" spans="1:20" x14ac:dyDescent="0.25">
      <c r="A17282" t="str">
        <f>"3046804"</f>
        <v>3046804</v>
      </c>
      <c r="B17282" t="s">
        <v>53032</v>
      </c>
      <c r="C17282" t="str">
        <f>"8318523"</f>
        <v>8318523</v>
      </c>
      <c r="D17282" t="s">
        <v>53033</v>
      </c>
      <c r="E17282" t="s">
        <v>53034</v>
      </c>
      <c r="F17282" t="s">
        <v>53035</v>
      </c>
      <c r="I17282" t="s">
        <v>184</v>
      </c>
      <c r="J17282" t="s">
        <v>30</v>
      </c>
      <c r="K17282" t="s">
        <v>53036</v>
      </c>
      <c r="M17282" t="s">
        <v>36935</v>
      </c>
      <c r="N17282" t="str">
        <f>"8/18/2022 8:27:00 AM"</f>
        <v>8/18/2022 8:27:00 AM</v>
      </c>
      <c r="O17282" t="s">
        <v>53033</v>
      </c>
      <c r="T17282" t="s">
        <v>53034</v>
      </c>
    </row>
    <row r="17283" spans="1:20" x14ac:dyDescent="0.25">
      <c r="A17283" t="str">
        <f>"3037215"</f>
        <v>3037215</v>
      </c>
      <c r="B17283" t="s">
        <v>53037</v>
      </c>
      <c r="C17283" t="str">
        <f>"8300620"</f>
        <v>8300620</v>
      </c>
      <c r="D17283" t="s">
        <v>53038</v>
      </c>
      <c r="F17283" t="s">
        <v>53039</v>
      </c>
      <c r="I17283" t="s">
        <v>2280</v>
      </c>
      <c r="J17283" t="s">
        <v>30</v>
      </c>
      <c r="K17283" t="s">
        <v>53040</v>
      </c>
      <c r="M17283" t="s">
        <v>50621</v>
      </c>
      <c r="N17283" t="str">
        <f>"8/4/2022 10:13:00 AM"</f>
        <v>8/4/2022 10:13:00 AM</v>
      </c>
      <c r="O17283" t="s">
        <v>53038</v>
      </c>
    </row>
    <row r="17284" spans="1:20" x14ac:dyDescent="0.25">
      <c r="A17284" t="str">
        <f>"3063044"</f>
        <v>3063044</v>
      </c>
      <c r="B17284" t="s">
        <v>53041</v>
      </c>
      <c r="C17284" t="str">
        <f>"8318550"</f>
        <v>8318550</v>
      </c>
      <c r="D17284" t="s">
        <v>53042</v>
      </c>
      <c r="E17284" t="s">
        <v>53043</v>
      </c>
      <c r="F17284" t="s">
        <v>53044</v>
      </c>
      <c r="I17284" t="s">
        <v>184</v>
      </c>
      <c r="J17284" t="s">
        <v>30</v>
      </c>
      <c r="K17284" t="s">
        <v>53045</v>
      </c>
      <c r="M17284" t="s">
        <v>17861</v>
      </c>
      <c r="N17284" t="str">
        <f>"8/19/2022 10:38:00 AM"</f>
        <v>8/19/2022 10:38:00 AM</v>
      </c>
      <c r="O17284" t="s">
        <v>53042</v>
      </c>
      <c r="T17284" t="s">
        <v>53043</v>
      </c>
    </row>
    <row r="17285" spans="1:20" x14ac:dyDescent="0.25">
      <c r="A17285" t="str">
        <f>"3058464"</f>
        <v>3058464</v>
      </c>
      <c r="B17285" t="s">
        <v>53046</v>
      </c>
      <c r="C17285" t="str">
        <f>"8318551"</f>
        <v>8318551</v>
      </c>
      <c r="D17285" t="s">
        <v>53047</v>
      </c>
      <c r="E17285" t="s">
        <v>53048</v>
      </c>
      <c r="F17285" t="s">
        <v>53049</v>
      </c>
      <c r="I17285" t="s">
        <v>29</v>
      </c>
      <c r="J17285" t="s">
        <v>30</v>
      </c>
      <c r="K17285" t="s">
        <v>52622</v>
      </c>
      <c r="M17285" t="s">
        <v>17861</v>
      </c>
      <c r="N17285" t="str">
        <f>"8/19/2022 12:55:00 PM"</f>
        <v>8/19/2022 12:55:00 PM</v>
      </c>
      <c r="O17285" t="s">
        <v>53047</v>
      </c>
      <c r="T17285" t="s">
        <v>53048</v>
      </c>
    </row>
    <row r="17286" spans="1:20" x14ac:dyDescent="0.25">
      <c r="A17286" t="str">
        <f>"3070526"</f>
        <v>3070526</v>
      </c>
      <c r="B17286" t="s">
        <v>53050</v>
      </c>
      <c r="C17286" t="str">
        <f>"8318451"</f>
        <v>8318451</v>
      </c>
      <c r="D17286" t="s">
        <v>53051</v>
      </c>
      <c r="F17286" t="s">
        <v>47773</v>
      </c>
      <c r="I17286" t="s">
        <v>184</v>
      </c>
      <c r="J17286" t="s">
        <v>30</v>
      </c>
      <c r="K17286" t="s">
        <v>47774</v>
      </c>
      <c r="M17286" t="s">
        <v>17861</v>
      </c>
      <c r="N17286" t="str">
        <f>"8/4/2022 10:40:00 AM"</f>
        <v>8/4/2022 10:40:00 AM</v>
      </c>
      <c r="O17286" t="s">
        <v>53051</v>
      </c>
    </row>
    <row r="17287" spans="1:20" x14ac:dyDescent="0.25">
      <c r="A17287" t="str">
        <f>"3037492"</f>
        <v>3037492</v>
      </c>
      <c r="B17287" t="s">
        <v>53052</v>
      </c>
      <c r="C17287" t="str">
        <f>"8318558"</f>
        <v>8318558</v>
      </c>
      <c r="D17287" t="s">
        <v>53053</v>
      </c>
      <c r="E17287" t="s">
        <v>53054</v>
      </c>
      <c r="F17287" t="s">
        <v>53055</v>
      </c>
      <c r="I17287" t="s">
        <v>29</v>
      </c>
      <c r="J17287" t="s">
        <v>30</v>
      </c>
      <c r="K17287" t="s">
        <v>4152</v>
      </c>
      <c r="M17287" t="s">
        <v>17861</v>
      </c>
      <c r="N17287" t="str">
        <f>"8/22/2022 8:35:00 AM"</f>
        <v>8/22/2022 8:35:00 AM</v>
      </c>
      <c r="O17287" t="s">
        <v>53053</v>
      </c>
      <c r="T17287" t="s">
        <v>53054</v>
      </c>
    </row>
    <row r="17288" spans="1:20" x14ac:dyDescent="0.25">
      <c r="A17288" t="str">
        <f>"3053328"</f>
        <v>3053328</v>
      </c>
      <c r="B17288" t="s">
        <v>53056</v>
      </c>
      <c r="C17288" t="str">
        <f>"8318455"</f>
        <v>8318455</v>
      </c>
      <c r="D17288" t="s">
        <v>53057</v>
      </c>
      <c r="E17288" t="s">
        <v>53058</v>
      </c>
      <c r="F17288" t="s">
        <v>53059</v>
      </c>
      <c r="I17288" t="s">
        <v>29</v>
      </c>
      <c r="J17288" t="s">
        <v>30</v>
      </c>
      <c r="K17288" t="s">
        <v>15020</v>
      </c>
      <c r="M17288" t="s">
        <v>17861</v>
      </c>
      <c r="N17288" t="str">
        <f>"8/4/2022 2:30:00 PM"</f>
        <v>8/4/2022 2:30:00 PM</v>
      </c>
      <c r="O17288" t="s">
        <v>53057</v>
      </c>
      <c r="T17288" t="s">
        <v>53058</v>
      </c>
    </row>
    <row r="17289" spans="1:20" x14ac:dyDescent="0.25">
      <c r="A17289" t="str">
        <f>"3046520"</f>
        <v>3046520</v>
      </c>
      <c r="B17289" t="s">
        <v>53060</v>
      </c>
      <c r="C17289" t="str">
        <f>"8318561"</f>
        <v>8318561</v>
      </c>
      <c r="D17289" t="s">
        <v>53061</v>
      </c>
      <c r="F17289" t="s">
        <v>53062</v>
      </c>
      <c r="I17289" t="s">
        <v>29</v>
      </c>
      <c r="J17289" t="s">
        <v>30</v>
      </c>
      <c r="K17289" t="s">
        <v>18015</v>
      </c>
      <c r="M17289" t="s">
        <v>17861</v>
      </c>
      <c r="N17289" t="str">
        <f>"8/22/2022 9:53:00 AM"</f>
        <v>8/22/2022 9:53:00 AM</v>
      </c>
      <c r="O17289" t="s">
        <v>53061</v>
      </c>
    </row>
    <row r="17290" spans="1:20" x14ac:dyDescent="0.25">
      <c r="A17290" t="str">
        <f>"3056284"</f>
        <v>3056284</v>
      </c>
      <c r="B17290" t="s">
        <v>53063</v>
      </c>
      <c r="C17290" t="str">
        <f>"8318562"</f>
        <v>8318562</v>
      </c>
      <c r="D17290" t="s">
        <v>53064</v>
      </c>
      <c r="F17290" t="s">
        <v>53065</v>
      </c>
      <c r="I17290" t="s">
        <v>9580</v>
      </c>
      <c r="J17290" t="s">
        <v>30</v>
      </c>
      <c r="K17290" t="s">
        <v>53066</v>
      </c>
      <c r="M17290" t="s">
        <v>17861</v>
      </c>
      <c r="N17290" t="str">
        <f>"8/22/2022 10:29:00 AM"</f>
        <v>8/22/2022 10:29:00 AM</v>
      </c>
      <c r="O17290" t="s">
        <v>53064</v>
      </c>
    </row>
    <row r="17291" spans="1:20" x14ac:dyDescent="0.25">
      <c r="A17291" t="str">
        <f>"3065933"</f>
        <v>3065933</v>
      </c>
      <c r="B17291" t="s">
        <v>53067</v>
      </c>
      <c r="C17291" t="str">
        <f>"8318562"</f>
        <v>8318562</v>
      </c>
      <c r="D17291" t="s">
        <v>53064</v>
      </c>
      <c r="F17291" t="s">
        <v>53065</v>
      </c>
      <c r="I17291" t="s">
        <v>9580</v>
      </c>
      <c r="J17291" t="s">
        <v>30</v>
      </c>
      <c r="K17291" t="s">
        <v>53066</v>
      </c>
      <c r="M17291" t="s">
        <v>17861</v>
      </c>
      <c r="N17291" t="str">
        <f>"8/22/2022 10:29:00 AM"</f>
        <v>8/22/2022 10:29:00 AM</v>
      </c>
      <c r="O17291" t="s">
        <v>53064</v>
      </c>
    </row>
    <row r="17292" spans="1:20" x14ac:dyDescent="0.25">
      <c r="A17292" t="str">
        <f>"3040970"</f>
        <v>3040970</v>
      </c>
      <c r="B17292" t="s">
        <v>53068</v>
      </c>
      <c r="C17292" t="str">
        <f>"8318567"</f>
        <v>8318567</v>
      </c>
      <c r="D17292" t="str">
        <f>"SIPKAY SANDOR/CRYSTAL ANN"</f>
        <v>SIPKAY SANDOR/CRYSTAL ANN</v>
      </c>
      <c r="E17292" t="s">
        <v>53069</v>
      </c>
      <c r="F17292" t="s">
        <v>53070</v>
      </c>
      <c r="I17292" t="s">
        <v>184</v>
      </c>
      <c r="J17292" t="s">
        <v>30</v>
      </c>
      <c r="K17292" t="s">
        <v>53071</v>
      </c>
      <c r="M17292" t="s">
        <v>17861</v>
      </c>
      <c r="N17292" t="str">
        <f>"8/22/2022 1:30:00 PM"</f>
        <v>8/22/2022 1:30:00 PM</v>
      </c>
      <c r="O17292" t="str">
        <f>"SIPKAY SANDOR/CRYSTAL ANN"</f>
        <v>SIPKAY SANDOR/CRYSTAL ANN</v>
      </c>
      <c r="T17292" t="s">
        <v>53069</v>
      </c>
    </row>
    <row r="17293" spans="1:20" x14ac:dyDescent="0.25">
      <c r="A17293" t="str">
        <f>"3041311"</f>
        <v>3041311</v>
      </c>
      <c r="B17293" t="s">
        <v>53072</v>
      </c>
      <c r="C17293" t="str">
        <f>"8318569"</f>
        <v>8318569</v>
      </c>
      <c r="D17293" t="s">
        <v>53073</v>
      </c>
      <c r="F17293" t="s">
        <v>53074</v>
      </c>
      <c r="I17293" t="s">
        <v>184</v>
      </c>
      <c r="J17293" t="s">
        <v>30</v>
      </c>
      <c r="K17293" t="s">
        <v>22460</v>
      </c>
      <c r="M17293" t="s">
        <v>17861</v>
      </c>
      <c r="N17293" t="str">
        <f>"8/22/2022 2:15:00 PM"</f>
        <v>8/22/2022 2:15:00 PM</v>
      </c>
      <c r="O17293" t="s">
        <v>53073</v>
      </c>
    </row>
    <row r="17294" spans="1:20" x14ac:dyDescent="0.25">
      <c r="A17294" t="str">
        <f>"3052107"</f>
        <v>3052107</v>
      </c>
      <c r="B17294" t="s">
        <v>53075</v>
      </c>
      <c r="C17294" t="str">
        <f>"8300128"</f>
        <v>8300128</v>
      </c>
      <c r="D17294" t="s">
        <v>53076</v>
      </c>
      <c r="F17294" t="s">
        <v>53077</v>
      </c>
      <c r="I17294" t="s">
        <v>53078</v>
      </c>
      <c r="J17294" t="s">
        <v>1543</v>
      </c>
      <c r="K17294" t="str">
        <f>"18015"</f>
        <v>18015</v>
      </c>
      <c r="M17294" t="s">
        <v>50621</v>
      </c>
      <c r="N17294" t="str">
        <f>"8/23/2022 9:41:00 AM"</f>
        <v>8/23/2022 9:41:00 AM</v>
      </c>
      <c r="O17294" t="s">
        <v>53076</v>
      </c>
    </row>
    <row r="17295" spans="1:20" x14ac:dyDescent="0.25">
      <c r="A17295" t="str">
        <f>"3053786"</f>
        <v>3053786</v>
      </c>
      <c r="B17295" t="s">
        <v>53079</v>
      </c>
      <c r="C17295" t="str">
        <f>"8318455"</f>
        <v>8318455</v>
      </c>
      <c r="D17295" t="s">
        <v>53057</v>
      </c>
      <c r="E17295" t="s">
        <v>53058</v>
      </c>
      <c r="F17295" t="s">
        <v>53059</v>
      </c>
      <c r="I17295" t="s">
        <v>29</v>
      </c>
      <c r="J17295" t="s">
        <v>30</v>
      </c>
      <c r="K17295" t="s">
        <v>15020</v>
      </c>
      <c r="M17295" t="s">
        <v>17861</v>
      </c>
      <c r="N17295" t="str">
        <f>"8/4/2022 2:30:00 PM"</f>
        <v>8/4/2022 2:30:00 PM</v>
      </c>
      <c r="O17295" t="s">
        <v>53057</v>
      </c>
      <c r="T17295" t="s">
        <v>53058</v>
      </c>
    </row>
    <row r="17296" spans="1:20" x14ac:dyDescent="0.25">
      <c r="A17296" t="str">
        <f>"3053165"</f>
        <v>3053165</v>
      </c>
      <c r="B17296" t="s">
        <v>53080</v>
      </c>
      <c r="C17296" t="str">
        <f>"8318456"</f>
        <v>8318456</v>
      </c>
      <c r="D17296" t="s">
        <v>53081</v>
      </c>
      <c r="F17296" t="s">
        <v>53082</v>
      </c>
      <c r="I17296" t="s">
        <v>29</v>
      </c>
      <c r="J17296" t="s">
        <v>30</v>
      </c>
      <c r="K17296" t="s">
        <v>37958</v>
      </c>
      <c r="M17296" t="s">
        <v>17861</v>
      </c>
      <c r="N17296" t="str">
        <f>"8/4/2022 2:37:00 PM"</f>
        <v>8/4/2022 2:37:00 PM</v>
      </c>
      <c r="O17296" t="s">
        <v>53081</v>
      </c>
    </row>
    <row r="17297" spans="1:20" x14ac:dyDescent="0.25">
      <c r="A17297" t="str">
        <f>"3050146"</f>
        <v>3050146</v>
      </c>
      <c r="B17297" t="s">
        <v>53083</v>
      </c>
      <c r="C17297" t="str">
        <f>"8318457"</f>
        <v>8318457</v>
      </c>
      <c r="D17297" t="s">
        <v>53084</v>
      </c>
      <c r="E17297" t="s">
        <v>53085</v>
      </c>
      <c r="F17297" t="s">
        <v>53086</v>
      </c>
      <c r="I17297" t="s">
        <v>29</v>
      </c>
      <c r="J17297" t="s">
        <v>30</v>
      </c>
      <c r="K17297" t="s">
        <v>13030</v>
      </c>
      <c r="M17297" t="s">
        <v>17861</v>
      </c>
      <c r="N17297" t="str">
        <f>"8/5/2022 11:27:00 AM"</f>
        <v>8/5/2022 11:27:00 AM</v>
      </c>
      <c r="O17297" t="s">
        <v>53084</v>
      </c>
      <c r="T17297" t="s">
        <v>53085</v>
      </c>
    </row>
    <row r="17298" spans="1:20" x14ac:dyDescent="0.25">
      <c r="A17298" t="str">
        <f>"3054421"</f>
        <v>3054421</v>
      </c>
      <c r="B17298" t="s">
        <v>53087</v>
      </c>
      <c r="C17298" t="str">
        <f>"8318572"</f>
        <v>8318572</v>
      </c>
      <c r="D17298" t="s">
        <v>53088</v>
      </c>
      <c r="E17298" t="s">
        <v>53089</v>
      </c>
      <c r="F17298" t="s">
        <v>53090</v>
      </c>
      <c r="I17298" t="s">
        <v>29</v>
      </c>
      <c r="J17298" t="s">
        <v>30</v>
      </c>
      <c r="K17298" t="s">
        <v>51324</v>
      </c>
      <c r="M17298" t="s">
        <v>17861</v>
      </c>
      <c r="N17298" t="str">
        <f>"8/23/2022 1:21:00 PM"</f>
        <v>8/23/2022 1:21:00 PM</v>
      </c>
      <c r="O17298" t="s">
        <v>53088</v>
      </c>
      <c r="T17298" t="s">
        <v>53089</v>
      </c>
    </row>
    <row r="17299" spans="1:20" x14ac:dyDescent="0.25">
      <c r="A17299" t="str">
        <f>"3060163"</f>
        <v>3060163</v>
      </c>
      <c r="B17299" t="s">
        <v>53091</v>
      </c>
      <c r="C17299" t="str">
        <f>"8318376"</f>
        <v>8318376</v>
      </c>
      <c r="D17299" t="s">
        <v>53092</v>
      </c>
      <c r="E17299" t="s">
        <v>53093</v>
      </c>
      <c r="F17299" t="s">
        <v>53094</v>
      </c>
      <c r="I17299" t="s">
        <v>184</v>
      </c>
      <c r="J17299" t="s">
        <v>30</v>
      </c>
      <c r="K17299" t="s">
        <v>48651</v>
      </c>
      <c r="M17299" t="s">
        <v>17861</v>
      </c>
      <c r="N17299" t="str">
        <f>"8/24/2022 10:41:00 AM"</f>
        <v>8/24/2022 10:41:00 AM</v>
      </c>
      <c r="O17299" t="s">
        <v>53092</v>
      </c>
      <c r="T17299" t="s">
        <v>53093</v>
      </c>
    </row>
    <row r="17300" spans="1:20" x14ac:dyDescent="0.25">
      <c r="A17300" t="str">
        <f>"3041100"</f>
        <v>3041100</v>
      </c>
      <c r="B17300" t="s">
        <v>53095</v>
      </c>
      <c r="C17300" t="str">
        <f>"82529360"</f>
        <v>82529360</v>
      </c>
      <c r="D17300" t="s">
        <v>53096</v>
      </c>
      <c r="F17300" t="s">
        <v>53097</v>
      </c>
      <c r="G17300" t="s">
        <v>53098</v>
      </c>
      <c r="I17300" t="s">
        <v>37599</v>
      </c>
      <c r="J17300" t="s">
        <v>30</v>
      </c>
      <c r="K17300" t="str">
        <f>"27517"</f>
        <v>27517</v>
      </c>
      <c r="M17300" t="s">
        <v>50621</v>
      </c>
      <c r="N17300" t="str">
        <f>"8/24/2022 11:47:00 AM"</f>
        <v>8/24/2022 11:47:00 AM</v>
      </c>
      <c r="O17300" t="s">
        <v>53096</v>
      </c>
    </row>
    <row r="17301" spans="1:20" x14ac:dyDescent="0.25">
      <c r="A17301" t="str">
        <f>"3041137"</f>
        <v>3041137</v>
      </c>
      <c r="B17301" t="s">
        <v>53099</v>
      </c>
      <c r="C17301" t="str">
        <f>"82529360"</f>
        <v>82529360</v>
      </c>
      <c r="D17301" t="s">
        <v>53096</v>
      </c>
      <c r="F17301" t="s">
        <v>53097</v>
      </c>
      <c r="G17301" t="s">
        <v>53098</v>
      </c>
      <c r="I17301" t="s">
        <v>37599</v>
      </c>
      <c r="J17301" t="s">
        <v>30</v>
      </c>
      <c r="K17301" t="str">
        <f>"27517"</f>
        <v>27517</v>
      </c>
      <c r="M17301" t="s">
        <v>50621</v>
      </c>
      <c r="N17301" t="str">
        <f>"8/24/2022 11:47:00 AM"</f>
        <v>8/24/2022 11:47:00 AM</v>
      </c>
      <c r="O17301" t="s">
        <v>53096</v>
      </c>
    </row>
    <row r="17302" spans="1:20" x14ac:dyDescent="0.25">
      <c r="A17302" t="str">
        <f>"3053929"</f>
        <v>3053929</v>
      </c>
      <c r="B17302" t="s">
        <v>53100</v>
      </c>
      <c r="C17302" t="str">
        <f>"8318459"</f>
        <v>8318459</v>
      </c>
      <c r="D17302" t="s">
        <v>53101</v>
      </c>
      <c r="F17302" t="s">
        <v>53102</v>
      </c>
      <c r="I17302" t="s">
        <v>29</v>
      </c>
      <c r="J17302" t="s">
        <v>30</v>
      </c>
      <c r="K17302" t="s">
        <v>53103</v>
      </c>
      <c r="M17302" t="s">
        <v>17861</v>
      </c>
      <c r="N17302" t="str">
        <f>"8/5/2022 11:33:00 AM"</f>
        <v>8/5/2022 11:33:00 AM</v>
      </c>
      <c r="O17302" t="s">
        <v>53101</v>
      </c>
    </row>
    <row r="17303" spans="1:20" x14ac:dyDescent="0.25">
      <c r="A17303" t="str">
        <f>"3050953"</f>
        <v>3050953</v>
      </c>
      <c r="B17303" t="s">
        <v>53104</v>
      </c>
      <c r="C17303" t="str">
        <f>"8318461"</f>
        <v>8318461</v>
      </c>
      <c r="D17303" t="s">
        <v>53105</v>
      </c>
      <c r="E17303" t="s">
        <v>53106</v>
      </c>
      <c r="F17303" t="s">
        <v>53107</v>
      </c>
      <c r="I17303" t="s">
        <v>184</v>
      </c>
      <c r="J17303" t="s">
        <v>30</v>
      </c>
      <c r="K17303" t="s">
        <v>26962</v>
      </c>
      <c r="M17303" t="s">
        <v>17861</v>
      </c>
      <c r="N17303" t="str">
        <f>"8/5/2022 12:48:00 PM"</f>
        <v>8/5/2022 12:48:00 PM</v>
      </c>
      <c r="O17303" t="s">
        <v>53105</v>
      </c>
      <c r="T17303" t="s">
        <v>53106</v>
      </c>
    </row>
    <row r="17304" spans="1:20" x14ac:dyDescent="0.25">
      <c r="A17304" t="str">
        <f>"3056072"</f>
        <v>3056072</v>
      </c>
      <c r="B17304" t="s">
        <v>53108</v>
      </c>
      <c r="C17304" t="str">
        <f>"8318462"</f>
        <v>8318462</v>
      </c>
      <c r="D17304" t="s">
        <v>53109</v>
      </c>
      <c r="E17304" t="s">
        <v>53110</v>
      </c>
      <c r="F17304" t="s">
        <v>53111</v>
      </c>
      <c r="I17304" t="s">
        <v>9580</v>
      </c>
      <c r="J17304" t="s">
        <v>30</v>
      </c>
      <c r="K17304" t="s">
        <v>53112</v>
      </c>
      <c r="M17304" t="s">
        <v>17861</v>
      </c>
      <c r="N17304" t="str">
        <f>"8/5/2022 12:50:00 PM"</f>
        <v>8/5/2022 12:50:00 PM</v>
      </c>
      <c r="O17304" t="s">
        <v>53109</v>
      </c>
      <c r="T17304" t="s">
        <v>53110</v>
      </c>
    </row>
    <row r="17305" spans="1:20" x14ac:dyDescent="0.25">
      <c r="A17305" t="str">
        <f>"3046303"</f>
        <v>3046303</v>
      </c>
      <c r="B17305" t="s">
        <v>53113</v>
      </c>
      <c r="C17305" t="str">
        <f>"8318464"</f>
        <v>8318464</v>
      </c>
      <c r="D17305" t="str">
        <f>"DIDONNA JACK/JOHN J TRUSTEES"</f>
        <v>DIDONNA JACK/JOHN J TRUSTEES</v>
      </c>
      <c r="E17305" t="s">
        <v>53114</v>
      </c>
      <c r="F17305" t="s">
        <v>53115</v>
      </c>
      <c r="I17305" t="s">
        <v>2275</v>
      </c>
      <c r="J17305" t="s">
        <v>30</v>
      </c>
      <c r="K17305" t="s">
        <v>53116</v>
      </c>
      <c r="M17305" t="s">
        <v>17861</v>
      </c>
      <c r="N17305" t="str">
        <f>"8/5/2022 2:28:00 PM"</f>
        <v>8/5/2022 2:28:00 PM</v>
      </c>
      <c r="O17305" t="str">
        <f>"DIDONNA JACK/JOHN J TRUSTEES"</f>
        <v>DIDONNA JACK/JOHN J TRUSTEES</v>
      </c>
      <c r="T17305" t="s">
        <v>53114</v>
      </c>
    </row>
    <row r="17306" spans="1:20" x14ac:dyDescent="0.25">
      <c r="A17306" t="str">
        <f>"3048352"</f>
        <v>3048352</v>
      </c>
      <c r="B17306" t="s">
        <v>53117</v>
      </c>
      <c r="C17306" t="str">
        <f>"8318466"</f>
        <v>8318466</v>
      </c>
      <c r="D17306" t="s">
        <v>53118</v>
      </c>
      <c r="E17306" t="s">
        <v>37182</v>
      </c>
      <c r="F17306" t="s">
        <v>53119</v>
      </c>
      <c r="I17306" t="s">
        <v>29</v>
      </c>
      <c r="J17306" t="s">
        <v>30</v>
      </c>
      <c r="K17306" t="s">
        <v>10826</v>
      </c>
      <c r="M17306" t="s">
        <v>17861</v>
      </c>
      <c r="N17306" t="str">
        <f>"8/8/2022 1:08:00 PM"</f>
        <v>8/8/2022 1:08:00 PM</v>
      </c>
      <c r="O17306" t="s">
        <v>53118</v>
      </c>
      <c r="T17306" t="s">
        <v>37182</v>
      </c>
    </row>
    <row r="17307" spans="1:20" x14ac:dyDescent="0.25">
      <c r="A17307" t="str">
        <f>"3044530"</f>
        <v>3044530</v>
      </c>
      <c r="B17307" t="s">
        <v>53120</v>
      </c>
      <c r="C17307" t="str">
        <f>"8318582"</f>
        <v>8318582</v>
      </c>
      <c r="D17307" t="s">
        <v>53121</v>
      </c>
      <c r="F17307" t="s">
        <v>53122</v>
      </c>
      <c r="I17307" t="s">
        <v>184</v>
      </c>
      <c r="J17307" t="s">
        <v>30</v>
      </c>
      <c r="K17307" t="s">
        <v>5724</v>
      </c>
      <c r="M17307" t="s">
        <v>17861</v>
      </c>
      <c r="N17307" t="str">
        <f>"8/25/2022 4:04:00 PM"</f>
        <v>8/25/2022 4:04:00 PM</v>
      </c>
      <c r="O17307" t="s">
        <v>53121</v>
      </c>
    </row>
    <row r="17308" spans="1:20" x14ac:dyDescent="0.25">
      <c r="A17308" t="str">
        <f>"3039593"</f>
        <v>3039593</v>
      </c>
      <c r="B17308" t="s">
        <v>53123</v>
      </c>
      <c r="C17308" t="str">
        <f>"82523015"</f>
        <v>82523015</v>
      </c>
      <c r="D17308" t="s">
        <v>53124</v>
      </c>
      <c r="F17308" t="s">
        <v>50899</v>
      </c>
      <c r="I17308" t="s">
        <v>17921</v>
      </c>
      <c r="J17308" t="s">
        <v>30</v>
      </c>
      <c r="K17308" t="s">
        <v>31</v>
      </c>
      <c r="M17308" t="s">
        <v>51351</v>
      </c>
      <c r="N17308" t="str">
        <f>"8/25/2022 4:23:00 PM"</f>
        <v>8/25/2022 4:23:00 PM</v>
      </c>
      <c r="O17308" t="s">
        <v>53124</v>
      </c>
    </row>
    <row r="17309" spans="1:20" x14ac:dyDescent="0.25">
      <c r="A17309" t="str">
        <f>"3060062"</f>
        <v>3060062</v>
      </c>
      <c r="B17309" t="s">
        <v>53125</v>
      </c>
      <c r="C17309" t="str">
        <f>"8318467"</f>
        <v>8318467</v>
      </c>
      <c r="D17309" t="s">
        <v>53126</v>
      </c>
      <c r="F17309" t="s">
        <v>53127</v>
      </c>
      <c r="I17309" t="s">
        <v>184</v>
      </c>
      <c r="J17309" t="s">
        <v>30</v>
      </c>
      <c r="K17309" t="s">
        <v>42161</v>
      </c>
      <c r="M17309" t="s">
        <v>17861</v>
      </c>
      <c r="N17309" t="str">
        <f>"8/8/2022 1:15:00 PM"</f>
        <v>8/8/2022 1:15:00 PM</v>
      </c>
      <c r="O17309" t="s">
        <v>53126</v>
      </c>
    </row>
    <row r="17310" spans="1:20" x14ac:dyDescent="0.25">
      <c r="A17310" t="str">
        <f>"3052898"</f>
        <v>3052898</v>
      </c>
      <c r="B17310" t="s">
        <v>53128</v>
      </c>
      <c r="C17310" t="str">
        <f>"8318510"</f>
        <v>8318510</v>
      </c>
      <c r="D17310" t="s">
        <v>53129</v>
      </c>
      <c r="E17310" t="s">
        <v>53130</v>
      </c>
      <c r="F17310" t="s">
        <v>53131</v>
      </c>
      <c r="I17310" t="s">
        <v>29</v>
      </c>
      <c r="J17310" t="s">
        <v>30</v>
      </c>
      <c r="K17310" t="s">
        <v>25848</v>
      </c>
      <c r="M17310" t="s">
        <v>17861</v>
      </c>
      <c r="N17310" t="str">
        <f>"8/15/2022 2:36:00 PM"</f>
        <v>8/15/2022 2:36:00 PM</v>
      </c>
      <c r="O17310" t="s">
        <v>53129</v>
      </c>
      <c r="T17310" t="s">
        <v>53130</v>
      </c>
    </row>
    <row r="17311" spans="1:20" x14ac:dyDescent="0.25">
      <c r="A17311" t="str">
        <f>"3039698"</f>
        <v>3039698</v>
      </c>
      <c r="B17311" t="s">
        <v>53132</v>
      </c>
      <c r="C17311" t="str">
        <f>"8318588"</f>
        <v>8318588</v>
      </c>
      <c r="D17311" t="s">
        <v>53133</v>
      </c>
      <c r="E17311" t="s">
        <v>53134</v>
      </c>
      <c r="F17311" t="s">
        <v>53135</v>
      </c>
      <c r="I17311" t="s">
        <v>29</v>
      </c>
      <c r="J17311" t="s">
        <v>30</v>
      </c>
      <c r="K17311" t="s">
        <v>24265</v>
      </c>
      <c r="M17311" t="s">
        <v>17861</v>
      </c>
      <c r="N17311" t="str">
        <f>"8/26/2022 3:27:00 PM"</f>
        <v>8/26/2022 3:27:00 PM</v>
      </c>
      <c r="O17311" t="s">
        <v>53133</v>
      </c>
      <c r="T17311" t="s">
        <v>53134</v>
      </c>
    </row>
    <row r="17312" spans="1:20" x14ac:dyDescent="0.25">
      <c r="A17312" t="str">
        <f>"3048716"</f>
        <v>3048716</v>
      </c>
      <c r="B17312" t="s">
        <v>53136</v>
      </c>
      <c r="C17312" t="str">
        <f>"8318588"</f>
        <v>8318588</v>
      </c>
      <c r="D17312" t="s">
        <v>53133</v>
      </c>
      <c r="E17312" t="s">
        <v>53134</v>
      </c>
      <c r="F17312" t="s">
        <v>53135</v>
      </c>
      <c r="I17312" t="s">
        <v>29</v>
      </c>
      <c r="J17312" t="s">
        <v>30</v>
      </c>
      <c r="K17312" t="s">
        <v>24265</v>
      </c>
      <c r="M17312" t="s">
        <v>17861</v>
      </c>
      <c r="N17312" t="str">
        <f>"8/26/2022 3:27:00 PM"</f>
        <v>8/26/2022 3:27:00 PM</v>
      </c>
      <c r="O17312" t="s">
        <v>53133</v>
      </c>
      <c r="T17312" t="s">
        <v>53134</v>
      </c>
    </row>
    <row r="17313" spans="1:20" x14ac:dyDescent="0.25">
      <c r="A17313" t="str">
        <f>"3054059"</f>
        <v>3054059</v>
      </c>
      <c r="B17313" t="s">
        <v>53137</v>
      </c>
      <c r="C17313" t="str">
        <f>"8318590"</f>
        <v>8318590</v>
      </c>
      <c r="D17313" t="s">
        <v>53138</v>
      </c>
      <c r="E17313" t="s">
        <v>53139</v>
      </c>
      <c r="F17313" t="s">
        <v>53140</v>
      </c>
      <c r="I17313" t="s">
        <v>964</v>
      </c>
      <c r="J17313" t="s">
        <v>30</v>
      </c>
      <c r="K17313" t="s">
        <v>53141</v>
      </c>
      <c r="M17313" t="s">
        <v>17861</v>
      </c>
      <c r="N17313" t="str">
        <f>"8/26/2022 3:35:00 PM"</f>
        <v>8/26/2022 3:35:00 PM</v>
      </c>
      <c r="O17313" t="s">
        <v>53138</v>
      </c>
      <c r="T17313" t="s">
        <v>53139</v>
      </c>
    </row>
    <row r="17314" spans="1:20" x14ac:dyDescent="0.25">
      <c r="A17314" t="str">
        <f>"3056616"</f>
        <v>3056616</v>
      </c>
      <c r="B17314" t="s">
        <v>53142</v>
      </c>
      <c r="C17314" t="str">
        <f>"8318591"</f>
        <v>8318591</v>
      </c>
      <c r="D17314" t="s">
        <v>53143</v>
      </c>
      <c r="E17314" t="s">
        <v>53144</v>
      </c>
      <c r="F17314" t="s">
        <v>53145</v>
      </c>
      <c r="I17314" t="s">
        <v>29</v>
      </c>
      <c r="J17314" t="s">
        <v>30</v>
      </c>
      <c r="K17314" t="s">
        <v>11749</v>
      </c>
      <c r="M17314" t="s">
        <v>17861</v>
      </c>
      <c r="N17314" t="str">
        <f>"8/26/2022 3:37:00 PM"</f>
        <v>8/26/2022 3:37:00 PM</v>
      </c>
      <c r="O17314" t="s">
        <v>53143</v>
      </c>
      <c r="T17314" t="s">
        <v>53144</v>
      </c>
    </row>
    <row r="17315" spans="1:20" x14ac:dyDescent="0.25">
      <c r="A17315" t="str">
        <f>"3062766"</f>
        <v>3062766</v>
      </c>
      <c r="B17315" t="s">
        <v>53146</v>
      </c>
      <c r="C17315" t="str">
        <f>"8318511"</f>
        <v>8318511</v>
      </c>
      <c r="D17315" t="s">
        <v>53147</v>
      </c>
      <c r="E17315" t="s">
        <v>53148</v>
      </c>
      <c r="F17315" t="s">
        <v>53149</v>
      </c>
      <c r="I17315" t="s">
        <v>29</v>
      </c>
      <c r="J17315" t="s">
        <v>30</v>
      </c>
      <c r="K17315" t="s">
        <v>5078</v>
      </c>
      <c r="M17315" t="s">
        <v>17861</v>
      </c>
      <c r="N17315" t="str">
        <f>"8/15/2022 2:38:00 PM"</f>
        <v>8/15/2022 2:38:00 PM</v>
      </c>
      <c r="O17315" t="s">
        <v>53147</v>
      </c>
      <c r="T17315" t="s">
        <v>53148</v>
      </c>
    </row>
    <row r="17316" spans="1:20" x14ac:dyDescent="0.25">
      <c r="A17316" t="str">
        <f>"3058123"</f>
        <v>3058123</v>
      </c>
      <c r="B17316" t="s">
        <v>53150</v>
      </c>
      <c r="C17316" t="str">
        <f>"8318512"</f>
        <v>8318512</v>
      </c>
      <c r="D17316" t="s">
        <v>53151</v>
      </c>
      <c r="E17316" t="s">
        <v>53152</v>
      </c>
      <c r="F17316" t="s">
        <v>53153</v>
      </c>
      <c r="I17316" t="s">
        <v>29</v>
      </c>
      <c r="J17316" t="s">
        <v>30</v>
      </c>
      <c r="K17316" t="s">
        <v>13727</v>
      </c>
      <c r="M17316" t="s">
        <v>17861</v>
      </c>
      <c r="N17316" t="str">
        <f>"8/15/2022 2:40:00 PM"</f>
        <v>8/15/2022 2:40:00 PM</v>
      </c>
      <c r="O17316" t="s">
        <v>53151</v>
      </c>
      <c r="T17316" t="s">
        <v>53152</v>
      </c>
    </row>
    <row r="17317" spans="1:20" x14ac:dyDescent="0.25">
      <c r="A17317" t="str">
        <f>"3046394"</f>
        <v>3046394</v>
      </c>
      <c r="B17317" t="s">
        <v>53154</v>
      </c>
      <c r="C17317" t="str">
        <f>"8302289"</f>
        <v>8302289</v>
      </c>
      <c r="D17317" t="s">
        <v>53155</v>
      </c>
      <c r="F17317" t="s">
        <v>53156</v>
      </c>
      <c r="I17317" t="s">
        <v>29</v>
      </c>
      <c r="J17317" t="s">
        <v>30</v>
      </c>
      <c r="K17317" t="str">
        <f>"27028"</f>
        <v>27028</v>
      </c>
      <c r="M17317" t="s">
        <v>51351</v>
      </c>
      <c r="N17317" t="str">
        <f>"8/15/2022 3:24:00 PM"</f>
        <v>8/15/2022 3:24:00 PM</v>
      </c>
      <c r="O17317" t="s">
        <v>53155</v>
      </c>
    </row>
    <row r="17318" spans="1:20" x14ac:dyDescent="0.25">
      <c r="A17318" t="str">
        <f>"3060747"</f>
        <v>3060747</v>
      </c>
      <c r="B17318" t="s">
        <v>53157</v>
      </c>
      <c r="C17318" t="str">
        <f>"8318515"</f>
        <v>8318515</v>
      </c>
      <c r="D17318" t="s">
        <v>53158</v>
      </c>
      <c r="E17318" t="s">
        <v>53159</v>
      </c>
      <c r="F17318" t="s">
        <v>53160</v>
      </c>
      <c r="I17318" t="s">
        <v>184</v>
      </c>
      <c r="J17318" t="s">
        <v>30</v>
      </c>
      <c r="K17318" t="s">
        <v>5041</v>
      </c>
      <c r="M17318" t="s">
        <v>17861</v>
      </c>
      <c r="N17318" t="str">
        <f>"8/15/2022 3:48:00 PM"</f>
        <v>8/15/2022 3:48:00 PM</v>
      </c>
      <c r="O17318" t="s">
        <v>53158</v>
      </c>
      <c r="T17318" t="s">
        <v>53159</v>
      </c>
    </row>
    <row r="17319" spans="1:20" x14ac:dyDescent="0.25">
      <c r="A17319" t="str">
        <f>"3070973"</f>
        <v>3070973</v>
      </c>
      <c r="B17319" t="s">
        <v>53161</v>
      </c>
      <c r="C17319" t="str">
        <f>"8318521"</f>
        <v>8318521</v>
      </c>
      <c r="D17319" t="s">
        <v>53162</v>
      </c>
      <c r="E17319" t="s">
        <v>53163</v>
      </c>
      <c r="F17319" t="s">
        <v>53164</v>
      </c>
      <c r="I17319" t="s">
        <v>29</v>
      </c>
      <c r="J17319" t="s">
        <v>30</v>
      </c>
      <c r="K17319" t="s">
        <v>16946</v>
      </c>
      <c r="M17319" t="s">
        <v>17861</v>
      </c>
      <c r="N17319" t="str">
        <f>"8/17/2022 1:51:00 PM"</f>
        <v>8/17/2022 1:51:00 PM</v>
      </c>
      <c r="O17319" t="s">
        <v>53162</v>
      </c>
      <c r="T17319" t="s">
        <v>53163</v>
      </c>
    </row>
    <row r="17320" spans="1:20" x14ac:dyDescent="0.25">
      <c r="A17320" t="str">
        <f>"3044728"</f>
        <v>3044728</v>
      </c>
      <c r="B17320" t="s">
        <v>53165</v>
      </c>
      <c r="C17320" t="str">
        <f>"8318602"</f>
        <v>8318602</v>
      </c>
      <c r="D17320" t="s">
        <v>53166</v>
      </c>
      <c r="E17320" t="s">
        <v>53167</v>
      </c>
      <c r="F17320" t="s">
        <v>53168</v>
      </c>
      <c r="I17320" t="s">
        <v>184</v>
      </c>
      <c r="J17320" t="s">
        <v>30</v>
      </c>
      <c r="K17320" t="s">
        <v>5929</v>
      </c>
      <c r="M17320" t="s">
        <v>17861</v>
      </c>
      <c r="N17320" t="str">
        <f>"8/30/2022 10:12:00 AM"</f>
        <v>8/30/2022 10:12:00 AM</v>
      </c>
      <c r="O17320" t="s">
        <v>53166</v>
      </c>
      <c r="T17320" t="s">
        <v>53167</v>
      </c>
    </row>
    <row r="17321" spans="1:20" x14ac:dyDescent="0.25">
      <c r="A17321" t="str">
        <f>"3055045"</f>
        <v>3055045</v>
      </c>
      <c r="B17321" t="s">
        <v>53169</v>
      </c>
      <c r="C17321" t="str">
        <f>"8318603"</f>
        <v>8318603</v>
      </c>
      <c r="D17321" t="s">
        <v>53170</v>
      </c>
      <c r="E17321" t="s">
        <v>53171</v>
      </c>
      <c r="F17321" t="s">
        <v>53172</v>
      </c>
      <c r="I17321" t="s">
        <v>29</v>
      </c>
      <c r="J17321" t="s">
        <v>30</v>
      </c>
      <c r="K17321" t="s">
        <v>14700</v>
      </c>
      <c r="M17321" t="s">
        <v>17861</v>
      </c>
      <c r="N17321" t="str">
        <f>"8/30/2022 10:14:00 AM"</f>
        <v>8/30/2022 10:14:00 AM</v>
      </c>
      <c r="O17321" t="s">
        <v>53170</v>
      </c>
      <c r="T17321" t="s">
        <v>53171</v>
      </c>
    </row>
    <row r="17322" spans="1:20" x14ac:dyDescent="0.25">
      <c r="A17322" t="str">
        <f>"3042248"</f>
        <v>3042248</v>
      </c>
      <c r="B17322" t="s">
        <v>53173</v>
      </c>
      <c r="C17322" t="str">
        <f>"8318604"</f>
        <v>8318604</v>
      </c>
      <c r="D17322" t="s">
        <v>53174</v>
      </c>
      <c r="E17322" t="s">
        <v>53175</v>
      </c>
      <c r="F17322" t="s">
        <v>53176</v>
      </c>
      <c r="I17322" t="s">
        <v>29</v>
      </c>
      <c r="J17322" t="s">
        <v>30</v>
      </c>
      <c r="K17322" t="s">
        <v>14524</v>
      </c>
      <c r="M17322" t="s">
        <v>17861</v>
      </c>
      <c r="N17322" t="str">
        <f>"8/30/2022 10:18:00 AM"</f>
        <v>8/30/2022 10:18:00 AM</v>
      </c>
      <c r="O17322" t="s">
        <v>53174</v>
      </c>
      <c r="T17322" t="s">
        <v>53175</v>
      </c>
    </row>
    <row r="17323" spans="1:20" x14ac:dyDescent="0.25">
      <c r="A17323" t="str">
        <f>"3045732"</f>
        <v>3045732</v>
      </c>
      <c r="B17323" t="s">
        <v>53177</v>
      </c>
      <c r="C17323" t="str">
        <f>"8318605"</f>
        <v>8318605</v>
      </c>
      <c r="D17323" t="s">
        <v>53178</v>
      </c>
      <c r="F17323" t="s">
        <v>53179</v>
      </c>
      <c r="I17323" t="s">
        <v>23961</v>
      </c>
      <c r="J17323" t="s">
        <v>30</v>
      </c>
      <c r="K17323" t="s">
        <v>53180</v>
      </c>
      <c r="M17323" t="s">
        <v>17861</v>
      </c>
      <c r="N17323" t="str">
        <f>"8/30/2022 10:21:00 AM"</f>
        <v>8/30/2022 10:21:00 AM</v>
      </c>
      <c r="O17323" t="s">
        <v>53178</v>
      </c>
    </row>
    <row r="17324" spans="1:20" x14ac:dyDescent="0.25">
      <c r="A17324" t="str">
        <f>"3070184"</f>
        <v>3070184</v>
      </c>
      <c r="B17324" t="s">
        <v>53181</v>
      </c>
      <c r="C17324" t="str">
        <f>"8318606"</f>
        <v>8318606</v>
      </c>
      <c r="D17324" t="s">
        <v>53182</v>
      </c>
      <c r="E17324" t="s">
        <v>53183</v>
      </c>
      <c r="F17324" t="s">
        <v>53184</v>
      </c>
      <c r="I17324" t="s">
        <v>184</v>
      </c>
      <c r="J17324" t="s">
        <v>30</v>
      </c>
      <c r="K17324" t="s">
        <v>35200</v>
      </c>
      <c r="M17324" t="s">
        <v>17861</v>
      </c>
      <c r="N17324" t="str">
        <f>"8/30/2022 12:54:00 PM"</f>
        <v>8/30/2022 12:54:00 PM</v>
      </c>
      <c r="O17324" t="s">
        <v>53182</v>
      </c>
      <c r="T17324" t="s">
        <v>53183</v>
      </c>
    </row>
    <row r="17325" spans="1:20" x14ac:dyDescent="0.25">
      <c r="A17325" t="str">
        <f>"3038076"</f>
        <v>3038076</v>
      </c>
      <c r="B17325" t="s">
        <v>53185</v>
      </c>
      <c r="C17325" t="str">
        <f>"8318609"</f>
        <v>8318609</v>
      </c>
      <c r="D17325" t="s">
        <v>53186</v>
      </c>
      <c r="F17325" t="s">
        <v>53187</v>
      </c>
      <c r="I17325" t="s">
        <v>402</v>
      </c>
      <c r="J17325" t="s">
        <v>30</v>
      </c>
      <c r="K17325" t="s">
        <v>53188</v>
      </c>
      <c r="M17325" t="s">
        <v>17861</v>
      </c>
      <c r="N17325" t="str">
        <f>"8/30/2022 2:06:00 PM"</f>
        <v>8/30/2022 2:06:00 PM</v>
      </c>
      <c r="O17325" t="s">
        <v>53186</v>
      </c>
    </row>
    <row r="17326" spans="1:20" x14ac:dyDescent="0.25">
      <c r="A17326" t="str">
        <f>"3053673"</f>
        <v>3053673</v>
      </c>
      <c r="B17326" t="s">
        <v>53189</v>
      </c>
      <c r="C17326" t="str">
        <f>"8318610"</f>
        <v>8318610</v>
      </c>
      <c r="D17326" t="s">
        <v>53190</v>
      </c>
      <c r="F17326" t="s">
        <v>53191</v>
      </c>
      <c r="I17326" t="s">
        <v>29</v>
      </c>
      <c r="J17326" t="s">
        <v>30</v>
      </c>
      <c r="K17326" t="s">
        <v>53192</v>
      </c>
      <c r="M17326" t="s">
        <v>17861</v>
      </c>
      <c r="N17326" t="str">
        <f>"8/30/2022 4:10:00 PM"</f>
        <v>8/30/2022 4:10:00 PM</v>
      </c>
      <c r="O17326" t="s">
        <v>53190</v>
      </c>
    </row>
    <row r="17327" spans="1:20" x14ac:dyDescent="0.25">
      <c r="A17327" t="str">
        <f>"3054450"</f>
        <v>3054450</v>
      </c>
      <c r="B17327" t="s">
        <v>53193</v>
      </c>
      <c r="C17327" t="str">
        <f>"8318611"</f>
        <v>8318611</v>
      </c>
      <c r="D17327" t="s">
        <v>53194</v>
      </c>
      <c r="F17327" t="s">
        <v>53195</v>
      </c>
      <c r="I17327" t="s">
        <v>29</v>
      </c>
      <c r="J17327" t="s">
        <v>30</v>
      </c>
      <c r="K17327" t="s">
        <v>21292</v>
      </c>
      <c r="M17327" t="s">
        <v>17861</v>
      </c>
      <c r="N17327" t="str">
        <f>"8/30/2022 4:12:00 PM"</f>
        <v>8/30/2022 4:12:00 PM</v>
      </c>
      <c r="O17327" t="s">
        <v>53194</v>
      </c>
    </row>
    <row r="17328" spans="1:20" x14ac:dyDescent="0.25">
      <c r="A17328" t="str">
        <f>"3041904"</f>
        <v>3041904</v>
      </c>
      <c r="B17328" t="s">
        <v>53196</v>
      </c>
      <c r="C17328" t="str">
        <f>"8318612"</f>
        <v>8318612</v>
      </c>
      <c r="D17328" t="s">
        <v>53197</v>
      </c>
      <c r="F17328" t="s">
        <v>53198</v>
      </c>
      <c r="I17328" t="s">
        <v>2280</v>
      </c>
      <c r="J17328" t="s">
        <v>14649</v>
      </c>
      <c r="K17328" t="str">
        <f>"40508"</f>
        <v>40508</v>
      </c>
      <c r="M17328" t="s">
        <v>17861</v>
      </c>
      <c r="N17328" t="str">
        <f>"8/31/2022 9:56:00 AM"</f>
        <v>8/31/2022 9:56:00 AM</v>
      </c>
      <c r="O17328" t="s">
        <v>53197</v>
      </c>
    </row>
    <row r="17329" spans="1:20" x14ac:dyDescent="0.25">
      <c r="A17329" t="str">
        <f>"3041931"</f>
        <v>3041931</v>
      </c>
      <c r="B17329" t="s">
        <v>53199</v>
      </c>
      <c r="C17329" t="str">
        <f>"8318612"</f>
        <v>8318612</v>
      </c>
      <c r="D17329" t="s">
        <v>53197</v>
      </c>
      <c r="F17329" t="s">
        <v>53198</v>
      </c>
      <c r="I17329" t="s">
        <v>2280</v>
      </c>
      <c r="J17329" t="s">
        <v>14649</v>
      </c>
      <c r="K17329" t="str">
        <f>"40508"</f>
        <v>40508</v>
      </c>
      <c r="M17329" t="s">
        <v>17861</v>
      </c>
      <c r="N17329" t="str">
        <f>"8/31/2022 9:56:00 AM"</f>
        <v>8/31/2022 9:56:00 AM</v>
      </c>
      <c r="O17329" t="s">
        <v>53197</v>
      </c>
    </row>
    <row r="17330" spans="1:20" x14ac:dyDescent="0.25">
      <c r="A17330" t="str">
        <f>"3054897"</f>
        <v>3054897</v>
      </c>
      <c r="B17330" t="s">
        <v>53200</v>
      </c>
      <c r="C17330" t="str">
        <f>"8318613"</f>
        <v>8318613</v>
      </c>
      <c r="D17330" t="s">
        <v>53201</v>
      </c>
      <c r="E17330" t="s">
        <v>53202</v>
      </c>
      <c r="F17330" t="s">
        <v>53203</v>
      </c>
      <c r="I17330" t="s">
        <v>17921</v>
      </c>
      <c r="J17330" t="s">
        <v>30</v>
      </c>
      <c r="K17330" t="str">
        <f>"27028"</f>
        <v>27028</v>
      </c>
      <c r="M17330" t="s">
        <v>17861</v>
      </c>
      <c r="N17330" t="str">
        <f>"8/31/2022 10:18:00 AM"</f>
        <v>8/31/2022 10:18:00 AM</v>
      </c>
      <c r="O17330" t="s">
        <v>53201</v>
      </c>
      <c r="T17330" t="s">
        <v>53202</v>
      </c>
    </row>
    <row r="17331" spans="1:20" x14ac:dyDescent="0.25">
      <c r="A17331" t="str">
        <f>"3055366"</f>
        <v>3055366</v>
      </c>
      <c r="B17331" t="s">
        <v>53204</v>
      </c>
      <c r="C17331" t="str">
        <f>"8318613"</f>
        <v>8318613</v>
      </c>
      <c r="D17331" t="s">
        <v>53201</v>
      </c>
      <c r="E17331" t="s">
        <v>53202</v>
      </c>
      <c r="F17331" t="s">
        <v>53203</v>
      </c>
      <c r="I17331" t="s">
        <v>17921</v>
      </c>
      <c r="J17331" t="s">
        <v>30</v>
      </c>
      <c r="K17331" t="str">
        <f>"27028"</f>
        <v>27028</v>
      </c>
      <c r="M17331" t="s">
        <v>17861</v>
      </c>
      <c r="N17331" t="str">
        <f>"8/31/2022 10:18:00 AM"</f>
        <v>8/31/2022 10:18:00 AM</v>
      </c>
      <c r="O17331" t="s">
        <v>53201</v>
      </c>
      <c r="T17331" t="s">
        <v>53202</v>
      </c>
    </row>
    <row r="17332" spans="1:20" x14ac:dyDescent="0.25">
      <c r="A17332" t="str">
        <f>"3038416"</f>
        <v>3038416</v>
      </c>
      <c r="B17332" t="s">
        <v>53205</v>
      </c>
      <c r="C17332" t="str">
        <f>"8318521"</f>
        <v>8318521</v>
      </c>
      <c r="D17332" t="s">
        <v>53162</v>
      </c>
      <c r="E17332" t="s">
        <v>53163</v>
      </c>
      <c r="F17332" t="s">
        <v>53164</v>
      </c>
      <c r="I17332" t="s">
        <v>29</v>
      </c>
      <c r="J17332" t="s">
        <v>30</v>
      </c>
      <c r="K17332" t="s">
        <v>16946</v>
      </c>
      <c r="M17332" t="s">
        <v>17861</v>
      </c>
      <c r="N17332" t="str">
        <f>"8/17/2022 1:51:00 PM"</f>
        <v>8/17/2022 1:51:00 PM</v>
      </c>
      <c r="O17332" t="s">
        <v>53162</v>
      </c>
      <c r="T17332" t="s">
        <v>53163</v>
      </c>
    </row>
    <row r="17333" spans="1:20" x14ac:dyDescent="0.25">
      <c r="A17333" t="str">
        <f>"3058462"</f>
        <v>3058462</v>
      </c>
      <c r="B17333" t="s">
        <v>53206</v>
      </c>
      <c r="C17333" t="str">
        <f>"8318522"</f>
        <v>8318522</v>
      </c>
      <c r="D17333" t="s">
        <v>53207</v>
      </c>
      <c r="F17333" t="s">
        <v>53208</v>
      </c>
      <c r="I17333" t="s">
        <v>29</v>
      </c>
      <c r="J17333" t="s">
        <v>30</v>
      </c>
      <c r="K17333" t="s">
        <v>52622</v>
      </c>
      <c r="M17333" t="s">
        <v>17861</v>
      </c>
      <c r="N17333" t="str">
        <f>"8/17/2022 2:01:00 PM"</f>
        <v>8/17/2022 2:01:00 PM</v>
      </c>
      <c r="O17333" t="s">
        <v>53207</v>
      </c>
    </row>
    <row r="17334" spans="1:20" x14ac:dyDescent="0.25">
      <c r="A17334" t="str">
        <f>"3047635"</f>
        <v>3047635</v>
      </c>
      <c r="B17334" t="s">
        <v>53209</v>
      </c>
      <c r="C17334" t="str">
        <f>"82529117"</f>
        <v>82529117</v>
      </c>
      <c r="D17334" t="s">
        <v>53210</v>
      </c>
      <c r="F17334" t="s">
        <v>26260</v>
      </c>
      <c r="I17334" t="s">
        <v>29</v>
      </c>
      <c r="J17334" t="s">
        <v>30</v>
      </c>
      <c r="K17334" t="s">
        <v>31</v>
      </c>
      <c r="M17334" t="s">
        <v>36935</v>
      </c>
      <c r="N17334" t="str">
        <f>"8/15/2022 11:06:00 AM"</f>
        <v>8/15/2022 11:06:00 AM</v>
      </c>
      <c r="O17334" t="s">
        <v>53210</v>
      </c>
    </row>
    <row r="17335" spans="1:20" x14ac:dyDescent="0.25">
      <c r="A17335" t="str">
        <f>"3047812"</f>
        <v>3047812</v>
      </c>
      <c r="B17335" t="s">
        <v>53211</v>
      </c>
      <c r="C17335" t="str">
        <f>"82529117"</f>
        <v>82529117</v>
      </c>
      <c r="D17335" t="s">
        <v>53210</v>
      </c>
      <c r="F17335" t="s">
        <v>26260</v>
      </c>
      <c r="I17335" t="s">
        <v>29</v>
      </c>
      <c r="J17335" t="s">
        <v>30</v>
      </c>
      <c r="K17335" t="s">
        <v>31</v>
      </c>
      <c r="M17335" t="s">
        <v>36935</v>
      </c>
      <c r="N17335" t="str">
        <f>"8/15/2022 11:06:00 AM"</f>
        <v>8/15/2022 11:06:00 AM</v>
      </c>
      <c r="O17335" t="s">
        <v>53210</v>
      </c>
    </row>
    <row r="17336" spans="1:20" x14ac:dyDescent="0.25">
      <c r="A17336" t="str">
        <f>"3055604"</f>
        <v>3055604</v>
      </c>
      <c r="B17336" t="s">
        <v>53212</v>
      </c>
      <c r="C17336" t="str">
        <f>"8318508"</f>
        <v>8318508</v>
      </c>
      <c r="D17336" t="s">
        <v>53213</v>
      </c>
      <c r="E17336" t="s">
        <v>53214</v>
      </c>
      <c r="F17336" t="s">
        <v>53215</v>
      </c>
      <c r="I17336" t="s">
        <v>29</v>
      </c>
      <c r="J17336" t="s">
        <v>30</v>
      </c>
      <c r="K17336" t="s">
        <v>13701</v>
      </c>
      <c r="M17336" t="s">
        <v>17861</v>
      </c>
      <c r="N17336" t="str">
        <f>"8/15/2022 12:47:00 PM"</f>
        <v>8/15/2022 12:47:00 PM</v>
      </c>
      <c r="O17336" t="s">
        <v>53213</v>
      </c>
      <c r="T17336" t="s">
        <v>53214</v>
      </c>
    </row>
    <row r="17337" spans="1:20" x14ac:dyDescent="0.25">
      <c r="A17337" t="str">
        <f>"3048439"</f>
        <v>3048439</v>
      </c>
      <c r="B17337" t="s">
        <v>53216</v>
      </c>
      <c r="C17337" t="str">
        <f>"8318550"</f>
        <v>8318550</v>
      </c>
      <c r="D17337" t="s">
        <v>53042</v>
      </c>
      <c r="E17337" t="s">
        <v>53043</v>
      </c>
      <c r="F17337" t="s">
        <v>53044</v>
      </c>
      <c r="I17337" t="s">
        <v>184</v>
      </c>
      <c r="J17337" t="s">
        <v>30</v>
      </c>
      <c r="K17337" t="s">
        <v>53045</v>
      </c>
      <c r="M17337" t="s">
        <v>17861</v>
      </c>
      <c r="N17337" t="str">
        <f>"8/19/2022 10:38:00 AM"</f>
        <v>8/19/2022 10:38:00 AM</v>
      </c>
      <c r="O17337" t="s">
        <v>53042</v>
      </c>
      <c r="T17337" t="s">
        <v>53043</v>
      </c>
    </row>
    <row r="17338" spans="1:20" x14ac:dyDescent="0.25">
      <c r="A17338" t="str">
        <f>"3043487"</f>
        <v>3043487</v>
      </c>
      <c r="B17338" t="s">
        <v>53217</v>
      </c>
      <c r="C17338" t="str">
        <f>"8318553"</f>
        <v>8318553</v>
      </c>
      <c r="D17338" t="s">
        <v>53218</v>
      </c>
      <c r="E17338" t="s">
        <v>53219</v>
      </c>
      <c r="F17338" t="s">
        <v>53220</v>
      </c>
      <c r="I17338" t="s">
        <v>29</v>
      </c>
      <c r="J17338" t="s">
        <v>30</v>
      </c>
      <c r="K17338" t="s">
        <v>53221</v>
      </c>
      <c r="M17338" t="s">
        <v>17861</v>
      </c>
      <c r="N17338" t="str">
        <f>"8/19/2022 3:56:00 PM"</f>
        <v>8/19/2022 3:56:00 PM</v>
      </c>
      <c r="O17338" t="s">
        <v>53218</v>
      </c>
      <c r="T17338" t="s">
        <v>53219</v>
      </c>
    </row>
    <row r="17339" spans="1:20" x14ac:dyDescent="0.25">
      <c r="A17339" t="str">
        <f>"3060914"</f>
        <v>3060914</v>
      </c>
      <c r="B17339" t="s">
        <v>53222</v>
      </c>
      <c r="C17339" t="str">
        <f>"8318625"</f>
        <v>8318625</v>
      </c>
      <c r="D17339" t="s">
        <v>53223</v>
      </c>
      <c r="E17339" t="s">
        <v>53224</v>
      </c>
      <c r="F17339" t="s">
        <v>53225</v>
      </c>
      <c r="I17339" t="s">
        <v>2071</v>
      </c>
      <c r="J17339" t="s">
        <v>30</v>
      </c>
      <c r="K17339" t="s">
        <v>41683</v>
      </c>
      <c r="M17339" t="s">
        <v>17861</v>
      </c>
      <c r="N17339" t="str">
        <f>"9/1/2022 9:38:00 AM"</f>
        <v>9/1/2022 9:38:00 AM</v>
      </c>
      <c r="O17339" t="s">
        <v>53223</v>
      </c>
      <c r="T17339" t="s">
        <v>53224</v>
      </c>
    </row>
    <row r="17340" spans="1:20" x14ac:dyDescent="0.25">
      <c r="A17340" t="str">
        <f>"3046817"</f>
        <v>3046817</v>
      </c>
      <c r="B17340" t="s">
        <v>53226</v>
      </c>
      <c r="C17340" t="str">
        <f>"8318560"</f>
        <v>8318560</v>
      </c>
      <c r="D17340" t="s">
        <v>53061</v>
      </c>
      <c r="E17340" t="s">
        <v>53227</v>
      </c>
      <c r="F17340" t="s">
        <v>53062</v>
      </c>
      <c r="I17340" t="s">
        <v>29</v>
      </c>
      <c r="J17340" t="s">
        <v>30</v>
      </c>
      <c r="K17340" t="s">
        <v>18015</v>
      </c>
      <c r="M17340" t="s">
        <v>17861</v>
      </c>
      <c r="N17340" t="str">
        <f>"8/22/2022 9:50:00 AM"</f>
        <v>8/22/2022 9:50:00 AM</v>
      </c>
      <c r="O17340" t="s">
        <v>53061</v>
      </c>
      <c r="T17340" t="s">
        <v>53227</v>
      </c>
    </row>
    <row r="17341" spans="1:20" x14ac:dyDescent="0.25">
      <c r="A17341" t="str">
        <f>"3046652"</f>
        <v>3046652</v>
      </c>
      <c r="B17341" t="s">
        <v>53228</v>
      </c>
      <c r="C17341" t="str">
        <f>"82527484"</f>
        <v>82527484</v>
      </c>
      <c r="D17341" t="s">
        <v>53229</v>
      </c>
      <c r="F17341" t="s">
        <v>53230</v>
      </c>
      <c r="I17341" t="s">
        <v>2291</v>
      </c>
      <c r="J17341" t="s">
        <v>30</v>
      </c>
      <c r="K17341" t="str">
        <f>"27051"</f>
        <v>27051</v>
      </c>
      <c r="M17341" t="s">
        <v>50621</v>
      </c>
      <c r="N17341" t="str">
        <f>"8/23/2022 10:12:00 AM"</f>
        <v>8/23/2022 10:12:00 AM</v>
      </c>
      <c r="O17341" t="s">
        <v>53229</v>
      </c>
    </row>
    <row r="17342" spans="1:20" x14ac:dyDescent="0.25">
      <c r="A17342" t="str">
        <f>"3041897"</f>
        <v>3041897</v>
      </c>
      <c r="B17342" t="s">
        <v>53231</v>
      </c>
      <c r="C17342" t="str">
        <f>"8318628"</f>
        <v>8318628</v>
      </c>
      <c r="D17342" t="s">
        <v>53232</v>
      </c>
      <c r="F17342" t="s">
        <v>53233</v>
      </c>
      <c r="I17342" t="s">
        <v>163</v>
      </c>
      <c r="J17342" t="s">
        <v>30</v>
      </c>
      <c r="K17342" t="s">
        <v>53234</v>
      </c>
      <c r="M17342" t="s">
        <v>17861</v>
      </c>
      <c r="N17342" t="str">
        <f>"9/1/2022 10:41:00 AM"</f>
        <v>9/1/2022 10:41:00 AM</v>
      </c>
      <c r="O17342" t="s">
        <v>53232</v>
      </c>
    </row>
    <row r="17343" spans="1:20" x14ac:dyDescent="0.25">
      <c r="A17343" t="str">
        <f>"3060318"</f>
        <v>3060318</v>
      </c>
      <c r="B17343" t="s">
        <v>53235</v>
      </c>
      <c r="C17343" t="str">
        <f>"8313873"</f>
        <v>8313873</v>
      </c>
      <c r="D17343" t="s">
        <v>53236</v>
      </c>
      <c r="F17343" t="s">
        <v>53237</v>
      </c>
      <c r="I17343" t="s">
        <v>29</v>
      </c>
      <c r="J17343" t="s">
        <v>30</v>
      </c>
      <c r="K17343" t="str">
        <f>"27028"</f>
        <v>27028</v>
      </c>
      <c r="M17343" t="s">
        <v>18470</v>
      </c>
      <c r="N17343" t="str">
        <f>"9/1/2022 1:09:00 PM"</f>
        <v>9/1/2022 1:09:00 PM</v>
      </c>
      <c r="O17343" t="s">
        <v>53236</v>
      </c>
    </row>
    <row r="17344" spans="1:20" x14ac:dyDescent="0.25">
      <c r="A17344" t="str">
        <f>"3040624"</f>
        <v>3040624</v>
      </c>
      <c r="B17344" t="s">
        <v>53238</v>
      </c>
      <c r="C17344" t="str">
        <f>"8318629"</f>
        <v>8318629</v>
      </c>
      <c r="D17344" t="s">
        <v>53239</v>
      </c>
      <c r="E17344" t="s">
        <v>53240</v>
      </c>
      <c r="F17344" t="s">
        <v>53241</v>
      </c>
      <c r="I17344" t="s">
        <v>184</v>
      </c>
      <c r="J17344" t="s">
        <v>30</v>
      </c>
      <c r="K17344" t="s">
        <v>3019</v>
      </c>
      <c r="M17344" t="s">
        <v>17861</v>
      </c>
      <c r="N17344" t="str">
        <f>"9/1/2022 1:42:00 PM"</f>
        <v>9/1/2022 1:42:00 PM</v>
      </c>
      <c r="O17344" t="s">
        <v>53239</v>
      </c>
      <c r="T17344" t="s">
        <v>53240</v>
      </c>
    </row>
    <row r="17345" spans="1:20" x14ac:dyDescent="0.25">
      <c r="A17345" t="str">
        <f>"3053840"</f>
        <v>3053840</v>
      </c>
      <c r="B17345" t="s">
        <v>53242</v>
      </c>
      <c r="C17345" t="str">
        <f>"8318630"</f>
        <v>8318630</v>
      </c>
      <c r="D17345" t="s">
        <v>53243</v>
      </c>
      <c r="F17345" t="s">
        <v>53244</v>
      </c>
      <c r="I17345" t="s">
        <v>184</v>
      </c>
      <c r="J17345" t="s">
        <v>30</v>
      </c>
      <c r="K17345" t="s">
        <v>53245</v>
      </c>
      <c r="M17345" t="s">
        <v>17861</v>
      </c>
      <c r="N17345" t="str">
        <f>"9/1/2022 1:45:00 PM"</f>
        <v>9/1/2022 1:45:00 PM</v>
      </c>
      <c r="O17345" t="s">
        <v>53243</v>
      </c>
    </row>
    <row r="17346" spans="1:20" x14ac:dyDescent="0.25">
      <c r="A17346" t="str">
        <f>"3054828"</f>
        <v>3054828</v>
      </c>
      <c r="B17346" t="s">
        <v>53246</v>
      </c>
      <c r="C17346" t="str">
        <f>"8318631"</f>
        <v>8318631</v>
      </c>
      <c r="D17346" t="s">
        <v>53247</v>
      </c>
      <c r="E17346" t="str">
        <f>"FLOWERS MARCUS/MEGAN"</f>
        <v>FLOWERS MARCUS/MEGAN</v>
      </c>
      <c r="F17346" t="s">
        <v>53248</v>
      </c>
      <c r="I17346" t="s">
        <v>184</v>
      </c>
      <c r="J17346" t="s">
        <v>30</v>
      </c>
      <c r="K17346" t="s">
        <v>5909</v>
      </c>
      <c r="M17346" t="s">
        <v>17861</v>
      </c>
      <c r="N17346" t="str">
        <f>"9/1/2022 1:53:00 PM"</f>
        <v>9/1/2022 1:53:00 PM</v>
      </c>
      <c r="O17346" t="s">
        <v>53247</v>
      </c>
      <c r="T17346" t="str">
        <f>"FLOWERS MARCUS/MEGAN"</f>
        <v>FLOWERS MARCUS/MEGAN</v>
      </c>
    </row>
    <row r="17347" spans="1:20" x14ac:dyDescent="0.25">
      <c r="A17347" t="str">
        <f>"3054732"</f>
        <v>3054732</v>
      </c>
      <c r="B17347" t="s">
        <v>53249</v>
      </c>
      <c r="C17347" t="str">
        <f>"8318631"</f>
        <v>8318631</v>
      </c>
      <c r="D17347" t="s">
        <v>53247</v>
      </c>
      <c r="E17347" t="str">
        <f>"FLOWERS MARCUS/MEGAN"</f>
        <v>FLOWERS MARCUS/MEGAN</v>
      </c>
      <c r="F17347" t="s">
        <v>53248</v>
      </c>
      <c r="I17347" t="s">
        <v>184</v>
      </c>
      <c r="J17347" t="s">
        <v>30</v>
      </c>
      <c r="K17347" t="s">
        <v>5909</v>
      </c>
      <c r="M17347" t="s">
        <v>17861</v>
      </c>
      <c r="N17347" t="str">
        <f>"9/1/2022 1:53:00 PM"</f>
        <v>9/1/2022 1:53:00 PM</v>
      </c>
      <c r="O17347" t="s">
        <v>53247</v>
      </c>
      <c r="T17347" t="str">
        <f>"FLOWERS MARCUS/MEGAN"</f>
        <v>FLOWERS MARCUS/MEGAN</v>
      </c>
    </row>
    <row r="17348" spans="1:20" x14ac:dyDescent="0.25">
      <c r="A17348" t="str">
        <f>"3059703"</f>
        <v>3059703</v>
      </c>
      <c r="B17348" t="s">
        <v>53250</v>
      </c>
      <c r="C17348" t="str">
        <f>"8318635"</f>
        <v>8318635</v>
      </c>
      <c r="D17348" t="s">
        <v>53251</v>
      </c>
      <c r="F17348" t="s">
        <v>53252</v>
      </c>
      <c r="I17348" t="s">
        <v>29</v>
      </c>
      <c r="J17348" t="s">
        <v>30</v>
      </c>
      <c r="K17348" t="s">
        <v>53253</v>
      </c>
      <c r="M17348" t="s">
        <v>17861</v>
      </c>
      <c r="N17348" t="str">
        <f>"9/1/2022 3:29:00 PM"</f>
        <v>9/1/2022 3:29:00 PM</v>
      </c>
      <c r="O17348" t="s">
        <v>53251</v>
      </c>
    </row>
    <row r="17349" spans="1:20" x14ac:dyDescent="0.25">
      <c r="A17349" t="str">
        <f>"3059737"</f>
        <v>3059737</v>
      </c>
      <c r="B17349" t="s">
        <v>53254</v>
      </c>
      <c r="C17349" t="str">
        <f>"8318635"</f>
        <v>8318635</v>
      </c>
      <c r="D17349" t="s">
        <v>53251</v>
      </c>
      <c r="F17349" t="s">
        <v>53252</v>
      </c>
      <c r="I17349" t="s">
        <v>29</v>
      </c>
      <c r="J17349" t="s">
        <v>30</v>
      </c>
      <c r="K17349" t="s">
        <v>53253</v>
      </c>
      <c r="M17349" t="s">
        <v>17861</v>
      </c>
      <c r="N17349" t="str">
        <f>"9/1/2022 3:29:00 PM"</f>
        <v>9/1/2022 3:29:00 PM</v>
      </c>
      <c r="O17349" t="s">
        <v>53251</v>
      </c>
    </row>
    <row r="17350" spans="1:20" x14ac:dyDescent="0.25">
      <c r="A17350" t="str">
        <f>"3046526"</f>
        <v>3046526</v>
      </c>
      <c r="B17350" t="s">
        <v>53255</v>
      </c>
      <c r="C17350" t="str">
        <f>"82527484"</f>
        <v>82527484</v>
      </c>
      <c r="D17350" t="s">
        <v>53229</v>
      </c>
      <c r="F17350" t="s">
        <v>53230</v>
      </c>
      <c r="I17350" t="s">
        <v>2291</v>
      </c>
      <c r="J17350" t="s">
        <v>30</v>
      </c>
      <c r="K17350" t="str">
        <f>"27051"</f>
        <v>27051</v>
      </c>
      <c r="M17350" t="s">
        <v>50621</v>
      </c>
      <c r="N17350" t="str">
        <f>"8/23/2022 10:12:00 AM"</f>
        <v>8/23/2022 10:12:00 AM</v>
      </c>
      <c r="O17350" t="s">
        <v>53229</v>
      </c>
    </row>
    <row r="17351" spans="1:20" x14ac:dyDescent="0.25">
      <c r="A17351" t="str">
        <f>"3056038"</f>
        <v>3056038</v>
      </c>
      <c r="B17351" t="s">
        <v>53256</v>
      </c>
      <c r="C17351" t="str">
        <f>"8318571"</f>
        <v>8318571</v>
      </c>
      <c r="D17351" t="s">
        <v>53257</v>
      </c>
      <c r="F17351" t="s">
        <v>53258</v>
      </c>
      <c r="I17351" t="s">
        <v>29</v>
      </c>
      <c r="J17351" t="s">
        <v>30</v>
      </c>
      <c r="K17351" t="s">
        <v>53259</v>
      </c>
      <c r="M17351" t="s">
        <v>17861</v>
      </c>
      <c r="N17351" t="str">
        <f>"8/23/2022 12:55:00 PM"</f>
        <v>8/23/2022 12:55:00 PM</v>
      </c>
      <c r="O17351" t="s">
        <v>53257</v>
      </c>
    </row>
    <row r="17352" spans="1:20" x14ac:dyDescent="0.25">
      <c r="A17352" t="str">
        <f>"3043408"</f>
        <v>3043408</v>
      </c>
      <c r="B17352" t="s">
        <v>53260</v>
      </c>
      <c r="C17352" t="str">
        <f>"8318575"</f>
        <v>8318575</v>
      </c>
      <c r="D17352" t="s">
        <v>53261</v>
      </c>
      <c r="E17352" t="s">
        <v>53262</v>
      </c>
      <c r="F17352" t="s">
        <v>53263</v>
      </c>
      <c r="I17352" t="s">
        <v>29</v>
      </c>
      <c r="J17352" t="s">
        <v>30</v>
      </c>
      <c r="K17352" t="s">
        <v>4538</v>
      </c>
      <c r="M17352" t="s">
        <v>17861</v>
      </c>
      <c r="N17352" t="str">
        <f>"8/25/2022 12:21:00 PM"</f>
        <v>8/25/2022 12:21:00 PM</v>
      </c>
      <c r="O17352" t="s">
        <v>53261</v>
      </c>
      <c r="T17352" t="s">
        <v>53262</v>
      </c>
    </row>
    <row r="17353" spans="1:20" x14ac:dyDescent="0.25">
      <c r="A17353" t="str">
        <f>"3057691"</f>
        <v>3057691</v>
      </c>
      <c r="B17353" t="s">
        <v>53264</v>
      </c>
      <c r="C17353" t="str">
        <f>"8301145"</f>
        <v>8301145</v>
      </c>
      <c r="D17353" t="s">
        <v>53265</v>
      </c>
      <c r="E17353" t="s">
        <v>53266</v>
      </c>
      <c r="F17353" t="s">
        <v>53267</v>
      </c>
      <c r="I17353" t="s">
        <v>184</v>
      </c>
      <c r="J17353" t="s">
        <v>30</v>
      </c>
      <c r="K17353" t="str">
        <f>"27006"</f>
        <v>27006</v>
      </c>
      <c r="M17353" t="s">
        <v>36935</v>
      </c>
      <c r="N17353" t="str">
        <f>"9/2/2022 12:19:00 PM"</f>
        <v>9/2/2022 12:19:00 PM</v>
      </c>
      <c r="O17353" t="s">
        <v>53265</v>
      </c>
      <c r="T17353" t="s">
        <v>53266</v>
      </c>
    </row>
    <row r="17354" spans="1:20" x14ac:dyDescent="0.25">
      <c r="A17354" t="str">
        <f>"3058796"</f>
        <v>3058796</v>
      </c>
      <c r="B17354" t="s">
        <v>53268</v>
      </c>
      <c r="C17354" t="str">
        <f>"8317657"</f>
        <v>8317657</v>
      </c>
      <c r="D17354" t="s">
        <v>53269</v>
      </c>
      <c r="E17354" t="s">
        <v>53270</v>
      </c>
      <c r="F17354" t="s">
        <v>53271</v>
      </c>
      <c r="I17354" t="s">
        <v>29</v>
      </c>
      <c r="J17354" t="s">
        <v>30</v>
      </c>
      <c r="K17354" t="s">
        <v>34195</v>
      </c>
      <c r="M17354" t="s">
        <v>51351</v>
      </c>
      <c r="N17354" t="str">
        <f>"9/2/2022 1:03:00 PM"</f>
        <v>9/2/2022 1:03:00 PM</v>
      </c>
      <c r="O17354" t="s">
        <v>53269</v>
      </c>
      <c r="T17354" t="s">
        <v>53270</v>
      </c>
    </row>
    <row r="17355" spans="1:20" x14ac:dyDescent="0.25">
      <c r="A17355" t="str">
        <f>"3069734"</f>
        <v>3069734</v>
      </c>
      <c r="B17355" t="s">
        <v>53272</v>
      </c>
      <c r="C17355" t="str">
        <f>"8307684"</f>
        <v>8307684</v>
      </c>
      <c r="D17355" t="s">
        <v>48698</v>
      </c>
      <c r="F17355" t="s">
        <v>46432</v>
      </c>
      <c r="I17355" t="s">
        <v>29</v>
      </c>
      <c r="J17355" t="s">
        <v>30</v>
      </c>
      <c r="K17355" t="str">
        <f>"27028"</f>
        <v>27028</v>
      </c>
      <c r="M17355" t="s">
        <v>50621</v>
      </c>
      <c r="N17355" t="str">
        <f>"9/2/2022 1:50:00 PM"</f>
        <v>9/2/2022 1:50:00 PM</v>
      </c>
      <c r="O17355" t="s">
        <v>48698</v>
      </c>
    </row>
    <row r="17356" spans="1:20" x14ac:dyDescent="0.25">
      <c r="A17356" t="str">
        <f>"3058409"</f>
        <v>3058409</v>
      </c>
      <c r="B17356" t="s">
        <v>53273</v>
      </c>
      <c r="C17356" t="str">
        <f>"82527476"</f>
        <v>82527476</v>
      </c>
      <c r="D17356" t="s">
        <v>53274</v>
      </c>
      <c r="F17356" t="s">
        <v>53275</v>
      </c>
      <c r="I17356" t="s">
        <v>471</v>
      </c>
      <c r="J17356" t="s">
        <v>30</v>
      </c>
      <c r="K17356" t="str">
        <f>"27104"</f>
        <v>27104</v>
      </c>
      <c r="M17356" t="s">
        <v>50621</v>
      </c>
      <c r="N17356" t="str">
        <f>"9/2/2022 1:58:00 PM"</f>
        <v>9/2/2022 1:58:00 PM</v>
      </c>
      <c r="O17356" t="s">
        <v>53274</v>
      </c>
    </row>
    <row r="17357" spans="1:20" x14ac:dyDescent="0.25">
      <c r="A17357" t="str">
        <f>"3041774"</f>
        <v>3041774</v>
      </c>
      <c r="B17357" t="s">
        <v>53276</v>
      </c>
      <c r="C17357" t="str">
        <f>"8318576"</f>
        <v>8318576</v>
      </c>
      <c r="D17357" t="str">
        <f>"GEYER ROBERT R/LAURA CATH CO-T"</f>
        <v>GEYER ROBERT R/LAURA CATH CO-T</v>
      </c>
      <c r="E17357" t="str">
        <f>"GEYER ROBERT/LAURA REV LIV TRS"</f>
        <v>GEYER ROBERT/LAURA REV LIV TRS</v>
      </c>
      <c r="F17357" t="s">
        <v>53277</v>
      </c>
      <c r="I17357" t="s">
        <v>2071</v>
      </c>
      <c r="J17357" t="s">
        <v>30</v>
      </c>
      <c r="K17357" t="s">
        <v>4142</v>
      </c>
      <c r="M17357" t="s">
        <v>17861</v>
      </c>
      <c r="N17357" t="str">
        <f>"8/25/2022 12:28:00 PM"</f>
        <v>8/25/2022 12:28:00 PM</v>
      </c>
      <c r="O17357" t="str">
        <f>"GEYER ROBERT R/LAURA CATH CO-T"</f>
        <v>GEYER ROBERT R/LAURA CATH CO-T</v>
      </c>
      <c r="T17357" t="str">
        <f>"GEYER ROBERT/LAURA REV LIV TRS"</f>
        <v>GEYER ROBERT/LAURA REV LIV TRS</v>
      </c>
    </row>
    <row r="17358" spans="1:20" x14ac:dyDescent="0.25">
      <c r="A17358" t="str">
        <f>"3061376"</f>
        <v>3061376</v>
      </c>
      <c r="B17358" t="s">
        <v>53278</v>
      </c>
      <c r="C17358" t="str">
        <f>"8318578"</f>
        <v>8318578</v>
      </c>
      <c r="D17358" t="s">
        <v>24922</v>
      </c>
      <c r="F17358" t="s">
        <v>53279</v>
      </c>
      <c r="I17358" t="s">
        <v>29</v>
      </c>
      <c r="J17358" t="s">
        <v>30</v>
      </c>
      <c r="K17358" t="s">
        <v>3144</v>
      </c>
      <c r="M17358" t="s">
        <v>17861</v>
      </c>
      <c r="N17358" t="str">
        <f>"8/25/2022 1:02:00 PM"</f>
        <v>8/25/2022 1:02:00 PM</v>
      </c>
      <c r="O17358" t="s">
        <v>24922</v>
      </c>
    </row>
    <row r="17359" spans="1:20" x14ac:dyDescent="0.25">
      <c r="A17359" t="str">
        <f>"3048471"</f>
        <v>3048471</v>
      </c>
      <c r="B17359" t="s">
        <v>53280</v>
      </c>
      <c r="C17359" t="str">
        <f>"8301156"</f>
        <v>8301156</v>
      </c>
      <c r="D17359" t="s">
        <v>53281</v>
      </c>
      <c r="F17359" t="s">
        <v>53282</v>
      </c>
      <c r="I17359" t="s">
        <v>29</v>
      </c>
      <c r="J17359" t="s">
        <v>30</v>
      </c>
      <c r="K17359" t="str">
        <f>"27028"</f>
        <v>27028</v>
      </c>
      <c r="M17359" t="s">
        <v>25733</v>
      </c>
      <c r="N17359" t="str">
        <f>"8/25/2022 2:14:00 PM"</f>
        <v>8/25/2022 2:14:00 PM</v>
      </c>
      <c r="O17359" t="s">
        <v>53281</v>
      </c>
    </row>
    <row r="17360" spans="1:20" x14ac:dyDescent="0.25">
      <c r="A17360" t="str">
        <f>"3053869"</f>
        <v>3053869</v>
      </c>
      <c r="B17360" t="s">
        <v>53283</v>
      </c>
      <c r="C17360" t="str">
        <f>"8318579"</f>
        <v>8318579</v>
      </c>
      <c r="D17360" t="s">
        <v>53284</v>
      </c>
      <c r="F17360" t="s">
        <v>53285</v>
      </c>
      <c r="I17360" t="s">
        <v>29</v>
      </c>
      <c r="J17360" t="s">
        <v>30</v>
      </c>
      <c r="K17360" t="s">
        <v>11602</v>
      </c>
      <c r="M17360" t="s">
        <v>17861</v>
      </c>
      <c r="N17360" t="str">
        <f>"8/25/2022 2:45:00 PM"</f>
        <v>8/25/2022 2:45:00 PM</v>
      </c>
      <c r="O17360" t="s">
        <v>53284</v>
      </c>
    </row>
    <row r="17361" spans="1:20" x14ac:dyDescent="0.25">
      <c r="A17361" t="str">
        <f>"3058483"</f>
        <v>3058483</v>
      </c>
      <c r="B17361" t="s">
        <v>53286</v>
      </c>
      <c r="C17361" t="str">
        <f>"8318509"</f>
        <v>8318509</v>
      </c>
      <c r="D17361" t="s">
        <v>53287</v>
      </c>
      <c r="F17361" t="s">
        <v>53288</v>
      </c>
      <c r="I17361" t="s">
        <v>29</v>
      </c>
      <c r="J17361" t="s">
        <v>30</v>
      </c>
      <c r="K17361" t="s">
        <v>37218</v>
      </c>
      <c r="M17361" t="s">
        <v>17861</v>
      </c>
      <c r="N17361" t="str">
        <f>"8/15/2022 1:02:00 PM"</f>
        <v>8/15/2022 1:02:00 PM</v>
      </c>
      <c r="O17361" t="s">
        <v>53287</v>
      </c>
    </row>
    <row r="17362" spans="1:20" x14ac:dyDescent="0.25">
      <c r="A17362" t="str">
        <f>"3038075"</f>
        <v>3038075</v>
      </c>
      <c r="B17362" t="s">
        <v>53289</v>
      </c>
      <c r="C17362" t="str">
        <f>"8318594"</f>
        <v>8318594</v>
      </c>
      <c r="D17362" t="s">
        <v>53290</v>
      </c>
      <c r="E17362" t="s">
        <v>53291</v>
      </c>
      <c r="F17362" t="s">
        <v>53292</v>
      </c>
      <c r="I17362" t="s">
        <v>29</v>
      </c>
      <c r="J17362" t="s">
        <v>30</v>
      </c>
      <c r="K17362" t="s">
        <v>53293</v>
      </c>
      <c r="M17362" t="s">
        <v>17861</v>
      </c>
      <c r="N17362" t="str">
        <f>"8/29/2022 2:20:00 PM"</f>
        <v>8/29/2022 2:20:00 PM</v>
      </c>
      <c r="O17362" t="s">
        <v>53290</v>
      </c>
      <c r="T17362" t="s">
        <v>53291</v>
      </c>
    </row>
    <row r="17363" spans="1:20" x14ac:dyDescent="0.25">
      <c r="A17363" t="str">
        <f>"3060459"</f>
        <v>3060459</v>
      </c>
      <c r="B17363" t="s">
        <v>53294</v>
      </c>
      <c r="C17363" t="str">
        <f>"8318644"</f>
        <v>8318644</v>
      </c>
      <c r="D17363" t="s">
        <v>53295</v>
      </c>
      <c r="E17363" t="s">
        <v>53296</v>
      </c>
      <c r="F17363" t="s">
        <v>53297</v>
      </c>
      <c r="I17363" t="s">
        <v>29</v>
      </c>
      <c r="J17363" t="s">
        <v>30</v>
      </c>
      <c r="K17363" t="s">
        <v>53298</v>
      </c>
      <c r="M17363" t="s">
        <v>17861</v>
      </c>
      <c r="N17363" t="str">
        <f>"9/6/2022 2:25:00 PM"</f>
        <v>9/6/2022 2:25:00 PM</v>
      </c>
      <c r="O17363" t="s">
        <v>53295</v>
      </c>
      <c r="T17363" t="s">
        <v>53296</v>
      </c>
    </row>
    <row r="17364" spans="1:20" x14ac:dyDescent="0.25">
      <c r="A17364" t="str">
        <f>"3037760"</f>
        <v>3037760</v>
      </c>
      <c r="B17364" t="s">
        <v>53299</v>
      </c>
      <c r="C17364" t="str">
        <f>"8318645"</f>
        <v>8318645</v>
      </c>
      <c r="D17364" t="s">
        <v>53300</v>
      </c>
      <c r="F17364" t="s">
        <v>53301</v>
      </c>
      <c r="I17364" t="s">
        <v>49733</v>
      </c>
      <c r="J17364" t="s">
        <v>30</v>
      </c>
      <c r="K17364" t="s">
        <v>53302</v>
      </c>
      <c r="M17364" t="s">
        <v>17861</v>
      </c>
      <c r="N17364" t="str">
        <f>"9/6/2022 2:42:00 PM"</f>
        <v>9/6/2022 2:42:00 PM</v>
      </c>
      <c r="O17364" t="s">
        <v>53300</v>
      </c>
    </row>
    <row r="17365" spans="1:20" x14ac:dyDescent="0.25">
      <c r="A17365" t="str">
        <f>"3037500"</f>
        <v>3037500</v>
      </c>
      <c r="B17365" t="s">
        <v>53303</v>
      </c>
      <c r="C17365" t="str">
        <f>"8318647"</f>
        <v>8318647</v>
      </c>
      <c r="D17365" t="s">
        <v>53304</v>
      </c>
      <c r="E17365" t="s">
        <v>53305</v>
      </c>
      <c r="F17365" t="s">
        <v>53306</v>
      </c>
      <c r="I17365" t="s">
        <v>1149</v>
      </c>
      <c r="J17365" t="s">
        <v>30</v>
      </c>
      <c r="K17365" t="s">
        <v>53307</v>
      </c>
      <c r="M17365" t="s">
        <v>17861</v>
      </c>
      <c r="N17365" t="str">
        <f>"9/7/2022 9:31:00 AM"</f>
        <v>9/7/2022 9:31:00 AM</v>
      </c>
      <c r="O17365" t="s">
        <v>53304</v>
      </c>
      <c r="T17365" t="s">
        <v>53305</v>
      </c>
    </row>
    <row r="17366" spans="1:20" x14ac:dyDescent="0.25">
      <c r="A17366" t="str">
        <f>"3071335"</f>
        <v>3071335</v>
      </c>
      <c r="B17366" t="s">
        <v>53308</v>
      </c>
      <c r="C17366" t="str">
        <f>"8318595"</f>
        <v>8318595</v>
      </c>
      <c r="D17366" t="s">
        <v>53309</v>
      </c>
      <c r="E17366" t="s">
        <v>53310</v>
      </c>
      <c r="F17366" t="s">
        <v>53311</v>
      </c>
      <c r="I17366" t="s">
        <v>29</v>
      </c>
      <c r="J17366" t="s">
        <v>30</v>
      </c>
      <c r="K17366" t="s">
        <v>13464</v>
      </c>
      <c r="M17366" t="s">
        <v>17861</v>
      </c>
      <c r="N17366" t="str">
        <f>"8/29/2022 2:22:00 PM"</f>
        <v>8/29/2022 2:22:00 PM</v>
      </c>
      <c r="O17366" t="s">
        <v>53309</v>
      </c>
      <c r="T17366" t="s">
        <v>53310</v>
      </c>
    </row>
    <row r="17367" spans="1:20" x14ac:dyDescent="0.25">
      <c r="A17367" t="str">
        <f>"3059772"</f>
        <v>3059772</v>
      </c>
      <c r="B17367" t="s">
        <v>53312</v>
      </c>
      <c r="C17367" t="str">
        <f>"8318598"</f>
        <v>8318598</v>
      </c>
      <c r="D17367" t="s">
        <v>53313</v>
      </c>
      <c r="E17367" t="s">
        <v>53314</v>
      </c>
      <c r="F17367" t="s">
        <v>53315</v>
      </c>
      <c r="I17367" t="s">
        <v>29</v>
      </c>
      <c r="J17367" t="s">
        <v>30</v>
      </c>
      <c r="K17367" t="s">
        <v>9871</v>
      </c>
      <c r="M17367" t="s">
        <v>17861</v>
      </c>
      <c r="N17367" t="str">
        <f>"8/29/2022 3:17:00 PM"</f>
        <v>8/29/2022 3:17:00 PM</v>
      </c>
      <c r="O17367" t="s">
        <v>53313</v>
      </c>
      <c r="T17367" t="s">
        <v>53314</v>
      </c>
    </row>
    <row r="17368" spans="1:20" x14ac:dyDescent="0.25">
      <c r="A17368" t="str">
        <f>"3058984"</f>
        <v>3058984</v>
      </c>
      <c r="B17368" t="s">
        <v>53316</v>
      </c>
      <c r="C17368" t="str">
        <f>"8318599"</f>
        <v>8318599</v>
      </c>
      <c r="D17368" t="s">
        <v>53317</v>
      </c>
      <c r="F17368" t="s">
        <v>53318</v>
      </c>
      <c r="I17368" t="s">
        <v>29</v>
      </c>
      <c r="J17368" t="s">
        <v>30</v>
      </c>
      <c r="K17368" t="str">
        <f>"27028"</f>
        <v>27028</v>
      </c>
      <c r="M17368" t="s">
        <v>17861</v>
      </c>
      <c r="N17368" t="str">
        <f>"8/29/2022 3:18:00 PM"</f>
        <v>8/29/2022 3:18:00 PM</v>
      </c>
      <c r="O17368" t="s">
        <v>53317</v>
      </c>
    </row>
    <row r="17369" spans="1:20" x14ac:dyDescent="0.25">
      <c r="A17369" t="str">
        <f>"3055260"</f>
        <v>3055260</v>
      </c>
      <c r="B17369" t="s">
        <v>53319</v>
      </c>
      <c r="C17369" t="str">
        <f>"8318600"</f>
        <v>8318600</v>
      </c>
      <c r="D17369" t="s">
        <v>53320</v>
      </c>
      <c r="E17369" t="s">
        <v>53321</v>
      </c>
      <c r="F17369" t="s">
        <v>53322</v>
      </c>
      <c r="I17369" t="s">
        <v>29</v>
      </c>
      <c r="J17369" t="s">
        <v>30</v>
      </c>
      <c r="K17369" t="s">
        <v>42324</v>
      </c>
      <c r="M17369" t="s">
        <v>17861</v>
      </c>
      <c r="N17369" t="str">
        <f>"8/29/2022 3:20:00 PM"</f>
        <v>8/29/2022 3:20:00 PM</v>
      </c>
      <c r="O17369" t="s">
        <v>53320</v>
      </c>
      <c r="T17369" t="s">
        <v>53321</v>
      </c>
    </row>
    <row r="17370" spans="1:20" x14ac:dyDescent="0.25">
      <c r="A17370" t="str">
        <f>"3061201"</f>
        <v>3061201</v>
      </c>
      <c r="B17370" t="s">
        <v>53323</v>
      </c>
      <c r="C17370" t="str">
        <f>"8318615"</f>
        <v>8318615</v>
      </c>
      <c r="D17370" t="s">
        <v>53324</v>
      </c>
      <c r="E17370" t="s">
        <v>53325</v>
      </c>
      <c r="F17370" t="s">
        <v>53326</v>
      </c>
      <c r="I17370" t="s">
        <v>2071</v>
      </c>
      <c r="J17370" t="s">
        <v>30</v>
      </c>
      <c r="K17370" t="s">
        <v>53327</v>
      </c>
      <c r="M17370" t="s">
        <v>17861</v>
      </c>
      <c r="N17370" t="str">
        <f>"8/31/2022 11:22:00 AM"</f>
        <v>8/31/2022 11:22:00 AM</v>
      </c>
      <c r="O17370" t="s">
        <v>53324</v>
      </c>
      <c r="T17370" t="s">
        <v>53325</v>
      </c>
    </row>
    <row r="17371" spans="1:20" x14ac:dyDescent="0.25">
      <c r="A17371" t="str">
        <f>"3044070"</f>
        <v>3044070</v>
      </c>
      <c r="B17371" t="s">
        <v>53328</v>
      </c>
      <c r="C17371" t="str">
        <f>"8318648"</f>
        <v>8318648</v>
      </c>
      <c r="D17371" t="s">
        <v>53329</v>
      </c>
      <c r="E17371" t="s">
        <v>53330</v>
      </c>
      <c r="F17371" t="s">
        <v>53331</v>
      </c>
      <c r="I17371" t="s">
        <v>184</v>
      </c>
      <c r="J17371" t="s">
        <v>30</v>
      </c>
      <c r="K17371" t="s">
        <v>43072</v>
      </c>
      <c r="M17371" t="s">
        <v>17861</v>
      </c>
      <c r="N17371" t="str">
        <f>"9/7/2022 1:23:00 PM"</f>
        <v>9/7/2022 1:23:00 PM</v>
      </c>
      <c r="O17371" t="s">
        <v>53329</v>
      </c>
      <c r="T17371" t="s">
        <v>53330</v>
      </c>
    </row>
    <row r="17372" spans="1:20" x14ac:dyDescent="0.25">
      <c r="A17372" t="str">
        <f>"3047977"</f>
        <v>3047977</v>
      </c>
      <c r="B17372" t="s">
        <v>53332</v>
      </c>
      <c r="C17372" t="str">
        <f>"8318651"</f>
        <v>8318651</v>
      </c>
      <c r="D17372" t="s">
        <v>53333</v>
      </c>
      <c r="E17372" t="s">
        <v>53334</v>
      </c>
      <c r="F17372" t="s">
        <v>53335</v>
      </c>
      <c r="I17372" t="s">
        <v>29</v>
      </c>
      <c r="J17372" t="s">
        <v>30</v>
      </c>
      <c r="K17372" t="s">
        <v>33383</v>
      </c>
      <c r="M17372" t="s">
        <v>17861</v>
      </c>
      <c r="N17372" t="str">
        <f>"9/7/2022 3:20:00 PM"</f>
        <v>9/7/2022 3:20:00 PM</v>
      </c>
      <c r="O17372" t="s">
        <v>53333</v>
      </c>
      <c r="T17372" t="s">
        <v>53334</v>
      </c>
    </row>
    <row r="17373" spans="1:20" x14ac:dyDescent="0.25">
      <c r="A17373" t="str">
        <f>"3044644"</f>
        <v>3044644</v>
      </c>
      <c r="B17373" t="s">
        <v>53336</v>
      </c>
      <c r="C17373" t="str">
        <f>"8318616"</f>
        <v>8318616</v>
      </c>
      <c r="D17373" t="s">
        <v>53337</v>
      </c>
      <c r="F17373" t="s">
        <v>53338</v>
      </c>
      <c r="I17373" t="s">
        <v>184</v>
      </c>
      <c r="J17373" t="s">
        <v>30</v>
      </c>
      <c r="K17373" t="s">
        <v>33412</v>
      </c>
      <c r="M17373" t="s">
        <v>17861</v>
      </c>
      <c r="N17373" t="str">
        <f>"8/31/2022 1:27:00 PM"</f>
        <v>8/31/2022 1:27:00 PM</v>
      </c>
      <c r="O17373" t="s">
        <v>53337</v>
      </c>
    </row>
    <row r="17374" spans="1:20" x14ac:dyDescent="0.25">
      <c r="A17374" t="str">
        <f>"3059616"</f>
        <v>3059616</v>
      </c>
      <c r="B17374" t="s">
        <v>53339</v>
      </c>
      <c r="C17374" t="str">
        <f>"8318617"</f>
        <v>8318617</v>
      </c>
      <c r="D17374" t="s">
        <v>53340</v>
      </c>
      <c r="F17374" t="s">
        <v>53341</v>
      </c>
      <c r="I17374" t="s">
        <v>184</v>
      </c>
      <c r="J17374" t="s">
        <v>30</v>
      </c>
      <c r="K17374" t="s">
        <v>4673</v>
      </c>
      <c r="M17374" t="s">
        <v>17861</v>
      </c>
      <c r="N17374" t="str">
        <f>"8/31/2022 1:40:00 PM"</f>
        <v>8/31/2022 1:40:00 PM</v>
      </c>
      <c r="O17374" t="s">
        <v>53340</v>
      </c>
    </row>
    <row r="17375" spans="1:20" x14ac:dyDescent="0.25">
      <c r="A17375" t="str">
        <f>"3064093"</f>
        <v>3064093</v>
      </c>
      <c r="B17375" t="s">
        <v>53342</v>
      </c>
      <c r="C17375" t="str">
        <f>"8318619"</f>
        <v>8318619</v>
      </c>
      <c r="D17375" t="s">
        <v>53343</v>
      </c>
      <c r="E17375" t="s">
        <v>53344</v>
      </c>
      <c r="F17375" t="s">
        <v>53345</v>
      </c>
      <c r="I17375" t="s">
        <v>184</v>
      </c>
      <c r="J17375" t="s">
        <v>30</v>
      </c>
      <c r="K17375" t="s">
        <v>4843</v>
      </c>
      <c r="M17375" t="s">
        <v>17861</v>
      </c>
      <c r="N17375" t="str">
        <f>"8/31/2022 3:36:00 PM"</f>
        <v>8/31/2022 3:36:00 PM</v>
      </c>
      <c r="O17375" t="s">
        <v>53343</v>
      </c>
      <c r="T17375" t="s">
        <v>53344</v>
      </c>
    </row>
    <row r="17376" spans="1:20" x14ac:dyDescent="0.25">
      <c r="A17376" t="str">
        <f>"3043016"</f>
        <v>3043016</v>
      </c>
      <c r="B17376" t="s">
        <v>53346</v>
      </c>
      <c r="C17376" t="str">
        <f>"8318656"</f>
        <v>8318656</v>
      </c>
      <c r="D17376" t="s">
        <v>53347</v>
      </c>
      <c r="F17376" t="s">
        <v>53348</v>
      </c>
      <c r="I17376" t="s">
        <v>29</v>
      </c>
      <c r="J17376" t="s">
        <v>30</v>
      </c>
      <c r="K17376" t="s">
        <v>14258</v>
      </c>
      <c r="M17376" t="s">
        <v>17861</v>
      </c>
      <c r="N17376" t="str">
        <f>"9/8/2022 9:54:00 AM"</f>
        <v>9/8/2022 9:54:00 AM</v>
      </c>
      <c r="O17376" t="s">
        <v>53347</v>
      </c>
    </row>
    <row r="17377" spans="1:20" x14ac:dyDescent="0.25">
      <c r="A17377" t="str">
        <f>"3050089"</f>
        <v>3050089</v>
      </c>
      <c r="B17377" t="s">
        <v>53349</v>
      </c>
      <c r="C17377" t="str">
        <f>"3856000"</f>
        <v>3856000</v>
      </c>
      <c r="D17377" t="s">
        <v>53350</v>
      </c>
      <c r="E17377" t="s">
        <v>53351</v>
      </c>
      <c r="F17377" t="s">
        <v>53352</v>
      </c>
      <c r="I17377" t="s">
        <v>53353</v>
      </c>
      <c r="J17377" t="s">
        <v>2109</v>
      </c>
      <c r="K17377" t="s">
        <v>53354</v>
      </c>
      <c r="M17377" t="s">
        <v>18479</v>
      </c>
      <c r="N17377" t="str">
        <f>"9/8/2022 10:01:00 AM"</f>
        <v>9/8/2022 10:01:00 AM</v>
      </c>
      <c r="O17377" t="s">
        <v>53350</v>
      </c>
      <c r="T17377" t="s">
        <v>53351</v>
      </c>
    </row>
    <row r="17378" spans="1:20" x14ac:dyDescent="0.25">
      <c r="A17378" t="str">
        <f>"3055867"</f>
        <v>3055867</v>
      </c>
      <c r="B17378" t="s">
        <v>53355</v>
      </c>
      <c r="C17378" t="str">
        <f>"3856000"</f>
        <v>3856000</v>
      </c>
      <c r="D17378" t="s">
        <v>53350</v>
      </c>
      <c r="E17378" t="s">
        <v>53351</v>
      </c>
      <c r="F17378" t="s">
        <v>53352</v>
      </c>
      <c r="I17378" t="s">
        <v>53353</v>
      </c>
      <c r="J17378" t="s">
        <v>2109</v>
      </c>
      <c r="K17378" t="s">
        <v>53354</v>
      </c>
      <c r="M17378" t="s">
        <v>18479</v>
      </c>
      <c r="N17378" t="str">
        <f>"9/8/2022 10:01:00 AM"</f>
        <v>9/8/2022 10:01:00 AM</v>
      </c>
      <c r="O17378" t="s">
        <v>53350</v>
      </c>
      <c r="T17378" t="s">
        <v>53351</v>
      </c>
    </row>
    <row r="17379" spans="1:20" x14ac:dyDescent="0.25">
      <c r="A17379" t="str">
        <f>"3055349"</f>
        <v>3055349</v>
      </c>
      <c r="B17379" t="s">
        <v>53356</v>
      </c>
      <c r="C17379" t="str">
        <f>"82518552"</f>
        <v>82518552</v>
      </c>
      <c r="D17379" t="s">
        <v>53357</v>
      </c>
      <c r="F17379" t="s">
        <v>53358</v>
      </c>
      <c r="I17379" t="s">
        <v>29</v>
      </c>
      <c r="J17379" t="s">
        <v>30</v>
      </c>
      <c r="K17379" t="s">
        <v>31</v>
      </c>
      <c r="M17379" t="s">
        <v>18470</v>
      </c>
      <c r="N17379" t="str">
        <f>"8/31/2022 4:07:00 PM"</f>
        <v>8/31/2022 4:07:00 PM</v>
      </c>
      <c r="O17379" t="s">
        <v>53357</v>
      </c>
    </row>
    <row r="17380" spans="1:20" x14ac:dyDescent="0.25">
      <c r="A17380" t="str">
        <f>"3064089"</f>
        <v>3064089</v>
      </c>
      <c r="B17380" t="s">
        <v>53359</v>
      </c>
      <c r="C17380" t="str">
        <f>"8318621"</f>
        <v>8318621</v>
      </c>
      <c r="D17380" t="s">
        <v>53360</v>
      </c>
      <c r="E17380" t="s">
        <v>53361</v>
      </c>
      <c r="F17380" t="s">
        <v>53362</v>
      </c>
      <c r="I17380" t="s">
        <v>29</v>
      </c>
      <c r="J17380" t="s">
        <v>30</v>
      </c>
      <c r="K17380" t="s">
        <v>7442</v>
      </c>
      <c r="M17380" t="s">
        <v>17861</v>
      </c>
      <c r="N17380" t="str">
        <f>"9/1/2022 8:14:00 AM"</f>
        <v>9/1/2022 8:14:00 AM</v>
      </c>
      <c r="O17380" t="s">
        <v>53360</v>
      </c>
      <c r="T17380" t="s">
        <v>53361</v>
      </c>
    </row>
    <row r="17381" spans="1:20" x14ac:dyDescent="0.25">
      <c r="A17381" t="str">
        <f>"3058148"</f>
        <v>3058148</v>
      </c>
      <c r="B17381" t="s">
        <v>53363</v>
      </c>
      <c r="C17381" t="str">
        <f>"8318624"</f>
        <v>8318624</v>
      </c>
      <c r="D17381" t="s">
        <v>53364</v>
      </c>
      <c r="E17381" t="s">
        <v>53365</v>
      </c>
      <c r="F17381" t="s">
        <v>53366</v>
      </c>
      <c r="I17381" t="s">
        <v>29</v>
      </c>
      <c r="J17381" t="s">
        <v>30</v>
      </c>
      <c r="K17381" t="s">
        <v>13727</v>
      </c>
      <c r="M17381" t="s">
        <v>17861</v>
      </c>
      <c r="N17381" t="str">
        <f>"9/1/2022 9:34:00 AM"</f>
        <v>9/1/2022 9:34:00 AM</v>
      </c>
      <c r="O17381" t="s">
        <v>53364</v>
      </c>
      <c r="T17381" t="s">
        <v>53365</v>
      </c>
    </row>
    <row r="17382" spans="1:20" x14ac:dyDescent="0.25">
      <c r="A17382" t="str">
        <f>"3046786"</f>
        <v>3046786</v>
      </c>
      <c r="B17382" t="s">
        <v>53367</v>
      </c>
      <c r="C17382" t="str">
        <f>"8308623"</f>
        <v>8308623</v>
      </c>
      <c r="D17382" t="s">
        <v>53368</v>
      </c>
      <c r="F17382" t="s">
        <v>53369</v>
      </c>
      <c r="I17382" t="s">
        <v>2525</v>
      </c>
      <c r="J17382" t="s">
        <v>30</v>
      </c>
      <c r="K17382" t="s">
        <v>53370</v>
      </c>
      <c r="M17382" t="s">
        <v>50621</v>
      </c>
      <c r="N17382" t="str">
        <f>"9/1/2022 10:01:00 AM"</f>
        <v>9/1/2022 10:01:00 AM</v>
      </c>
      <c r="O17382" t="s">
        <v>53368</v>
      </c>
    </row>
    <row r="17383" spans="1:20" x14ac:dyDescent="0.25">
      <c r="A17383" t="str">
        <f>"3042679"</f>
        <v>3042679</v>
      </c>
      <c r="B17383" t="s">
        <v>53371</v>
      </c>
      <c r="C17383" t="str">
        <f>"8318626"</f>
        <v>8318626</v>
      </c>
      <c r="D17383" t="s">
        <v>53372</v>
      </c>
      <c r="F17383" t="s">
        <v>53373</v>
      </c>
      <c r="I17383" t="s">
        <v>29</v>
      </c>
      <c r="J17383" t="s">
        <v>30</v>
      </c>
      <c r="K17383" t="s">
        <v>18680</v>
      </c>
      <c r="M17383" t="s">
        <v>17861</v>
      </c>
      <c r="N17383" t="str">
        <f>"9/1/2022 10:13:00 AM"</f>
        <v>9/1/2022 10:13:00 AM</v>
      </c>
      <c r="O17383" t="s">
        <v>53372</v>
      </c>
    </row>
    <row r="17384" spans="1:20" x14ac:dyDescent="0.25">
      <c r="A17384" t="str">
        <f>"3047203"</f>
        <v>3047203</v>
      </c>
      <c r="B17384" t="s">
        <v>53374</v>
      </c>
      <c r="C17384" t="str">
        <f>"8318636"</f>
        <v>8318636</v>
      </c>
      <c r="D17384" t="s">
        <v>53375</v>
      </c>
      <c r="E17384" t="s">
        <v>53376</v>
      </c>
      <c r="F17384" t="s">
        <v>53377</v>
      </c>
      <c r="I17384" t="s">
        <v>29</v>
      </c>
      <c r="J17384" t="s">
        <v>30</v>
      </c>
      <c r="K17384" t="s">
        <v>7356</v>
      </c>
      <c r="M17384" t="s">
        <v>17861</v>
      </c>
      <c r="N17384" t="str">
        <f>"9/2/2022 10:23:00 AM"</f>
        <v>9/2/2022 10:23:00 AM</v>
      </c>
      <c r="O17384" t="s">
        <v>53375</v>
      </c>
      <c r="T17384" t="s">
        <v>53376</v>
      </c>
    </row>
    <row r="17385" spans="1:20" x14ac:dyDescent="0.25">
      <c r="A17385" t="str">
        <f>"3055213"</f>
        <v>3055213</v>
      </c>
      <c r="B17385" t="s">
        <v>53378</v>
      </c>
      <c r="C17385" t="str">
        <f>"82529407"</f>
        <v>82529407</v>
      </c>
      <c r="D17385" t="s">
        <v>53379</v>
      </c>
      <c r="F17385" t="s">
        <v>45839</v>
      </c>
      <c r="I17385" t="s">
        <v>29</v>
      </c>
      <c r="J17385" t="s">
        <v>30</v>
      </c>
      <c r="K17385" t="s">
        <v>31</v>
      </c>
      <c r="M17385" t="s">
        <v>50621</v>
      </c>
      <c r="N17385" t="str">
        <f>"9/12/2022 9:07:00 AM"</f>
        <v>9/12/2022 9:07:00 AM</v>
      </c>
      <c r="O17385" t="s">
        <v>53379</v>
      </c>
    </row>
    <row r="17386" spans="1:20" x14ac:dyDescent="0.25">
      <c r="A17386" t="str">
        <f>"3078368"</f>
        <v>3078368</v>
      </c>
      <c r="B17386" t="s">
        <v>53380</v>
      </c>
      <c r="C17386" t="str">
        <f>"82524433"</f>
        <v>82524433</v>
      </c>
      <c r="D17386" t="s">
        <v>53381</v>
      </c>
      <c r="E17386" t="s">
        <v>53382</v>
      </c>
      <c r="F17386" t="s">
        <v>53383</v>
      </c>
      <c r="I17386" t="s">
        <v>402</v>
      </c>
      <c r="J17386" t="s">
        <v>30</v>
      </c>
      <c r="K17386" t="s">
        <v>53384</v>
      </c>
      <c r="M17386" t="s">
        <v>18479</v>
      </c>
      <c r="N17386" t="str">
        <f>"9/2/2022 12:07:00 PM"</f>
        <v>9/2/2022 12:07:00 PM</v>
      </c>
      <c r="O17386" t="s">
        <v>53381</v>
      </c>
      <c r="T17386" t="s">
        <v>53382</v>
      </c>
    </row>
    <row r="17387" spans="1:20" x14ac:dyDescent="0.25">
      <c r="A17387" t="str">
        <f>"3037188"</f>
        <v>3037188</v>
      </c>
      <c r="B17387" t="s">
        <v>53385</v>
      </c>
      <c r="C17387" t="str">
        <f>"8301145"</f>
        <v>8301145</v>
      </c>
      <c r="D17387" t="s">
        <v>53265</v>
      </c>
      <c r="E17387" t="s">
        <v>53266</v>
      </c>
      <c r="F17387" t="s">
        <v>53267</v>
      </c>
      <c r="I17387" t="s">
        <v>184</v>
      </c>
      <c r="J17387" t="s">
        <v>30</v>
      </c>
      <c r="K17387" t="str">
        <f>"27006"</f>
        <v>27006</v>
      </c>
      <c r="M17387" t="s">
        <v>36935</v>
      </c>
      <c r="N17387" t="str">
        <f>"9/2/2022 12:19:00 PM"</f>
        <v>9/2/2022 12:19:00 PM</v>
      </c>
      <c r="O17387" t="s">
        <v>53265</v>
      </c>
      <c r="T17387" t="s">
        <v>53266</v>
      </c>
    </row>
    <row r="17388" spans="1:20" x14ac:dyDescent="0.25">
      <c r="A17388" t="str">
        <f>"3039933"</f>
        <v>3039933</v>
      </c>
      <c r="B17388" t="s">
        <v>53386</v>
      </c>
      <c r="C17388" t="str">
        <f>"8318586"</f>
        <v>8318586</v>
      </c>
      <c r="D17388" t="s">
        <v>53387</v>
      </c>
      <c r="F17388" t="s">
        <v>53388</v>
      </c>
      <c r="I17388" t="s">
        <v>184</v>
      </c>
      <c r="J17388" t="s">
        <v>30</v>
      </c>
      <c r="K17388" t="s">
        <v>53389</v>
      </c>
      <c r="M17388" t="s">
        <v>17861</v>
      </c>
      <c r="N17388" t="str">
        <f>"8/26/2022 3:11:00 PM"</f>
        <v>8/26/2022 3:11:00 PM</v>
      </c>
      <c r="O17388" t="s">
        <v>53387</v>
      </c>
    </row>
    <row r="17389" spans="1:20" x14ac:dyDescent="0.25">
      <c r="A17389" t="str">
        <f>"3044189"</f>
        <v>3044189</v>
      </c>
      <c r="B17389" t="s">
        <v>53390</v>
      </c>
      <c r="C17389" t="str">
        <f>"8318587"</f>
        <v>8318587</v>
      </c>
      <c r="D17389" t="s">
        <v>53391</v>
      </c>
      <c r="F17389" t="s">
        <v>53392</v>
      </c>
      <c r="I17389" t="s">
        <v>184</v>
      </c>
      <c r="J17389" t="s">
        <v>30</v>
      </c>
      <c r="K17389" t="s">
        <v>4124</v>
      </c>
      <c r="M17389" t="s">
        <v>17861</v>
      </c>
      <c r="N17389" t="str">
        <f>"8/26/2022 3:20:00 PM"</f>
        <v>8/26/2022 3:20:00 PM</v>
      </c>
      <c r="O17389" t="s">
        <v>53391</v>
      </c>
    </row>
    <row r="17390" spans="1:20" x14ac:dyDescent="0.25">
      <c r="A17390" t="str">
        <f>"3078921"</f>
        <v>3078921</v>
      </c>
      <c r="B17390" t="s">
        <v>53393</v>
      </c>
      <c r="C17390" t="str">
        <f>"8307796"</f>
        <v>8307796</v>
      </c>
      <c r="D17390" t="s">
        <v>20287</v>
      </c>
      <c r="E17390" t="s">
        <v>53394</v>
      </c>
      <c r="F17390" t="s">
        <v>20289</v>
      </c>
      <c r="I17390" t="s">
        <v>184</v>
      </c>
      <c r="J17390" t="s">
        <v>30</v>
      </c>
      <c r="K17390" t="str">
        <f>"27006"</f>
        <v>27006</v>
      </c>
      <c r="M17390" t="s">
        <v>17861</v>
      </c>
      <c r="N17390" t="str">
        <f>"9/7/2022 10:13:00 AM"</f>
        <v>9/7/2022 10:13:00 AM</v>
      </c>
      <c r="O17390" t="s">
        <v>20287</v>
      </c>
      <c r="T17390" t="s">
        <v>53394</v>
      </c>
    </row>
    <row r="17391" spans="1:20" x14ac:dyDescent="0.25">
      <c r="A17391" t="str">
        <f>"3046399"</f>
        <v>3046399</v>
      </c>
      <c r="B17391" t="s">
        <v>53395</v>
      </c>
      <c r="C17391" t="str">
        <f>"8318708"</f>
        <v>8318708</v>
      </c>
      <c r="D17391" t="s">
        <v>53396</v>
      </c>
      <c r="F17391" t="s">
        <v>53397</v>
      </c>
      <c r="I17391" t="s">
        <v>29</v>
      </c>
      <c r="J17391" t="s">
        <v>30</v>
      </c>
      <c r="K17391" t="str">
        <f>"27028"</f>
        <v>27028</v>
      </c>
      <c r="M17391" t="s">
        <v>17861</v>
      </c>
      <c r="N17391" t="str">
        <f>"9/13/2022 9:42:00 AM"</f>
        <v>9/13/2022 9:42:00 AM</v>
      </c>
      <c r="O17391" t="s">
        <v>53396</v>
      </c>
    </row>
    <row r="17392" spans="1:20" x14ac:dyDescent="0.25">
      <c r="A17392" t="str">
        <f>"3039964"</f>
        <v>3039964</v>
      </c>
      <c r="B17392" t="s">
        <v>53398</v>
      </c>
      <c r="C17392" t="str">
        <f>"8318709"</f>
        <v>8318709</v>
      </c>
      <c r="D17392" t="str">
        <f>"HEPLER ROBERT L/BARBARA A"</f>
        <v>HEPLER ROBERT L/BARBARA A</v>
      </c>
      <c r="E17392" t="str">
        <f>"HEPLER DAVID M/JOHN P"</f>
        <v>HEPLER DAVID M/JOHN P</v>
      </c>
      <c r="F17392" t="s">
        <v>53399</v>
      </c>
      <c r="I17392" t="s">
        <v>184</v>
      </c>
      <c r="J17392" t="s">
        <v>30</v>
      </c>
      <c r="K17392" t="s">
        <v>1676</v>
      </c>
      <c r="M17392" t="s">
        <v>17861</v>
      </c>
      <c r="N17392" t="str">
        <f>"9/13/2022 9:45:00 AM"</f>
        <v>9/13/2022 9:45:00 AM</v>
      </c>
      <c r="O17392" t="str">
        <f>"HEPLER ROBERT L/BARBARA A"</f>
        <v>HEPLER ROBERT L/BARBARA A</v>
      </c>
      <c r="T17392" t="str">
        <f>"HEPLER DAVID M/JOHN P"</f>
        <v>HEPLER DAVID M/JOHN P</v>
      </c>
    </row>
    <row r="17393" spans="1:20" x14ac:dyDescent="0.25">
      <c r="A17393" t="str">
        <f>"3059373"</f>
        <v>3059373</v>
      </c>
      <c r="B17393" t="s">
        <v>53400</v>
      </c>
      <c r="C17393" t="str">
        <f>"8318710"</f>
        <v>8318710</v>
      </c>
      <c r="D17393" t="s">
        <v>53401</v>
      </c>
      <c r="F17393" t="s">
        <v>53402</v>
      </c>
      <c r="I17393" t="s">
        <v>29</v>
      </c>
      <c r="J17393" t="s">
        <v>30</v>
      </c>
      <c r="K17393" t="s">
        <v>51430</v>
      </c>
      <c r="M17393" t="s">
        <v>17861</v>
      </c>
      <c r="N17393" t="str">
        <f>"9/13/2022 9:46:00 AM"</f>
        <v>9/13/2022 9:46:00 AM</v>
      </c>
      <c r="O17393" t="s">
        <v>53401</v>
      </c>
    </row>
    <row r="17394" spans="1:20" x14ac:dyDescent="0.25">
      <c r="A17394" t="str">
        <f>"3067704"</f>
        <v>3067704</v>
      </c>
      <c r="B17394" t="s">
        <v>53403</v>
      </c>
      <c r="C17394" t="str">
        <f>"33855000"</f>
        <v>33855000</v>
      </c>
      <c r="D17394" t="s">
        <v>53404</v>
      </c>
      <c r="E17394" t="s">
        <v>53405</v>
      </c>
      <c r="F17394" t="s">
        <v>53406</v>
      </c>
      <c r="G17394" t="s">
        <v>53407</v>
      </c>
      <c r="I17394" t="s">
        <v>17337</v>
      </c>
      <c r="J17394" t="s">
        <v>2738</v>
      </c>
      <c r="K17394" t="s">
        <v>53408</v>
      </c>
      <c r="M17394" t="s">
        <v>50621</v>
      </c>
      <c r="N17394" t="str">
        <f>"9/13/2022 10:07:00 AM"</f>
        <v>9/13/2022 10:07:00 AM</v>
      </c>
      <c r="O17394" t="s">
        <v>53404</v>
      </c>
      <c r="T17394" t="s">
        <v>53405</v>
      </c>
    </row>
    <row r="17395" spans="1:20" x14ac:dyDescent="0.25">
      <c r="A17395" t="str">
        <f>"3048723"</f>
        <v>3048723</v>
      </c>
      <c r="B17395" t="s">
        <v>53409</v>
      </c>
      <c r="C17395" t="str">
        <f>"82521874"</f>
        <v>82521874</v>
      </c>
      <c r="D17395" t="s">
        <v>53410</v>
      </c>
      <c r="F17395" t="s">
        <v>53411</v>
      </c>
      <c r="I17395" t="s">
        <v>17673</v>
      </c>
      <c r="J17395" t="s">
        <v>40530</v>
      </c>
      <c r="K17395" t="str">
        <f>"24901"</f>
        <v>24901</v>
      </c>
      <c r="M17395" t="s">
        <v>50621</v>
      </c>
      <c r="N17395" t="str">
        <f>"9/13/2022 10:12:00 AM"</f>
        <v>9/13/2022 10:12:00 AM</v>
      </c>
      <c r="O17395" t="s">
        <v>53410</v>
      </c>
    </row>
    <row r="17396" spans="1:20" x14ac:dyDescent="0.25">
      <c r="A17396" t="str">
        <f>"3051991"</f>
        <v>3051991</v>
      </c>
      <c r="B17396" t="s">
        <v>53412</v>
      </c>
      <c r="C17396" t="str">
        <f>"82522407"</f>
        <v>82522407</v>
      </c>
      <c r="D17396" t="s">
        <v>53413</v>
      </c>
      <c r="F17396" t="s">
        <v>53414</v>
      </c>
      <c r="I17396" t="s">
        <v>17921</v>
      </c>
      <c r="J17396" t="s">
        <v>30</v>
      </c>
      <c r="K17396" t="str">
        <f>"27028"</f>
        <v>27028</v>
      </c>
      <c r="M17396" t="s">
        <v>50621</v>
      </c>
      <c r="N17396" t="str">
        <f>"9/13/2022 10:24:00 AM"</f>
        <v>9/13/2022 10:24:00 AM</v>
      </c>
      <c r="O17396" t="s">
        <v>53413</v>
      </c>
    </row>
    <row r="17397" spans="1:20" x14ac:dyDescent="0.25">
      <c r="A17397" t="str">
        <f>"3040161"</f>
        <v>3040161</v>
      </c>
      <c r="B17397" t="s">
        <v>53415</v>
      </c>
      <c r="C17397" t="str">
        <f>"74848000"</f>
        <v>74848000</v>
      </c>
      <c r="D17397" t="s">
        <v>53416</v>
      </c>
      <c r="F17397" t="s">
        <v>53417</v>
      </c>
      <c r="I17397" t="s">
        <v>17921</v>
      </c>
      <c r="J17397" t="s">
        <v>30</v>
      </c>
      <c r="K17397" t="str">
        <f>"27028"</f>
        <v>27028</v>
      </c>
      <c r="M17397" t="s">
        <v>50621</v>
      </c>
      <c r="N17397" t="str">
        <f>"9/13/2022 10:35:00 AM"</f>
        <v>9/13/2022 10:35:00 AM</v>
      </c>
      <c r="O17397" t="s">
        <v>53416</v>
      </c>
    </row>
    <row r="17398" spans="1:20" x14ac:dyDescent="0.25">
      <c r="A17398" t="str">
        <f>"3037507"</f>
        <v>3037507</v>
      </c>
      <c r="B17398" t="s">
        <v>53418</v>
      </c>
      <c r="C17398" t="str">
        <f>"74848000"</f>
        <v>74848000</v>
      </c>
      <c r="D17398" t="s">
        <v>53416</v>
      </c>
      <c r="F17398" t="s">
        <v>53417</v>
      </c>
      <c r="I17398" t="s">
        <v>17921</v>
      </c>
      <c r="J17398" t="s">
        <v>30</v>
      </c>
      <c r="K17398" t="str">
        <f>"27028"</f>
        <v>27028</v>
      </c>
      <c r="M17398" t="s">
        <v>50621</v>
      </c>
      <c r="N17398" t="str">
        <f>"9/13/2022 10:35:00 AM"</f>
        <v>9/13/2022 10:35:00 AM</v>
      </c>
      <c r="O17398" t="s">
        <v>53416</v>
      </c>
    </row>
    <row r="17399" spans="1:20" x14ac:dyDescent="0.25">
      <c r="A17399" t="str">
        <f>"3037432"</f>
        <v>3037432</v>
      </c>
      <c r="B17399" t="s">
        <v>53419</v>
      </c>
      <c r="C17399" t="str">
        <f>"74848000"</f>
        <v>74848000</v>
      </c>
      <c r="D17399" t="s">
        <v>53416</v>
      </c>
      <c r="F17399" t="s">
        <v>53417</v>
      </c>
      <c r="I17399" t="s">
        <v>17921</v>
      </c>
      <c r="J17399" t="s">
        <v>30</v>
      </c>
      <c r="K17399" t="str">
        <f>"27028"</f>
        <v>27028</v>
      </c>
      <c r="M17399" t="s">
        <v>50621</v>
      </c>
      <c r="N17399" t="str">
        <f>"9/13/2022 10:35:00 AM"</f>
        <v>9/13/2022 10:35:00 AM</v>
      </c>
      <c r="O17399" t="s">
        <v>53416</v>
      </c>
    </row>
    <row r="17400" spans="1:20" x14ac:dyDescent="0.25">
      <c r="A17400" t="str">
        <f>"3041366"</f>
        <v>3041366</v>
      </c>
      <c r="B17400" t="s">
        <v>53420</v>
      </c>
      <c r="C17400" t="str">
        <f>"82521945"</f>
        <v>82521945</v>
      </c>
      <c r="D17400" t="s">
        <v>53421</v>
      </c>
      <c r="F17400" t="s">
        <v>53422</v>
      </c>
      <c r="I17400" t="s">
        <v>24359</v>
      </c>
      <c r="J17400" t="s">
        <v>30</v>
      </c>
      <c r="K17400" t="str">
        <f>"27006"</f>
        <v>27006</v>
      </c>
      <c r="M17400" t="s">
        <v>50621</v>
      </c>
      <c r="N17400" t="str">
        <f>"9/7/2022 10:54:00 AM"</f>
        <v>9/7/2022 10:54:00 AM</v>
      </c>
      <c r="O17400" t="s">
        <v>53421</v>
      </c>
    </row>
    <row r="17401" spans="1:20" x14ac:dyDescent="0.25">
      <c r="A17401" t="str">
        <f>"3060771"</f>
        <v>3060771</v>
      </c>
      <c r="B17401" t="s">
        <v>53423</v>
      </c>
      <c r="C17401" t="str">
        <f>"82526698"</f>
        <v>82526698</v>
      </c>
      <c r="D17401" t="s">
        <v>53424</v>
      </c>
      <c r="E17401" t="s">
        <v>53425</v>
      </c>
      <c r="F17401" t="s">
        <v>53426</v>
      </c>
      <c r="I17401" t="s">
        <v>24359</v>
      </c>
      <c r="J17401" t="s">
        <v>30</v>
      </c>
      <c r="K17401" t="str">
        <f>"27006"</f>
        <v>27006</v>
      </c>
      <c r="M17401" t="s">
        <v>50621</v>
      </c>
      <c r="N17401" t="str">
        <f>"9/7/2022 10:55:00 AM"</f>
        <v>9/7/2022 10:55:00 AM</v>
      </c>
      <c r="O17401" t="s">
        <v>53424</v>
      </c>
      <c r="T17401" t="s">
        <v>53425</v>
      </c>
    </row>
    <row r="17402" spans="1:20" x14ac:dyDescent="0.25">
      <c r="A17402" t="str">
        <f>"3052718"</f>
        <v>3052718</v>
      </c>
      <c r="B17402" t="s">
        <v>53427</v>
      </c>
      <c r="C17402" t="str">
        <f>"30075000"</f>
        <v>30075000</v>
      </c>
      <c r="D17402" t="s">
        <v>53428</v>
      </c>
      <c r="E17402" t="s">
        <v>53429</v>
      </c>
      <c r="F17402" t="s">
        <v>52300</v>
      </c>
      <c r="I17402" t="s">
        <v>29</v>
      </c>
      <c r="J17402" t="s">
        <v>30</v>
      </c>
      <c r="K17402" t="s">
        <v>31</v>
      </c>
      <c r="M17402" t="s">
        <v>25625</v>
      </c>
      <c r="N17402" t="str">
        <f>"9/7/2022 11:09:00 AM"</f>
        <v>9/7/2022 11:09:00 AM</v>
      </c>
      <c r="O17402" t="s">
        <v>53428</v>
      </c>
      <c r="T17402" t="s">
        <v>53429</v>
      </c>
    </row>
    <row r="17403" spans="1:20" x14ac:dyDescent="0.25">
      <c r="A17403" t="str">
        <f>"3053036"</f>
        <v>3053036</v>
      </c>
      <c r="B17403" t="s">
        <v>53430</v>
      </c>
      <c r="C17403" t="str">
        <f>"8315447"</f>
        <v>8315447</v>
      </c>
      <c r="D17403" t="s">
        <v>53431</v>
      </c>
      <c r="E17403" t="s">
        <v>53432</v>
      </c>
      <c r="F17403" t="s">
        <v>53433</v>
      </c>
      <c r="I17403" t="s">
        <v>402</v>
      </c>
      <c r="J17403" t="s">
        <v>30</v>
      </c>
      <c r="K17403" t="str">
        <f>"27012"</f>
        <v>27012</v>
      </c>
      <c r="M17403" t="s">
        <v>50621</v>
      </c>
      <c r="N17403" t="str">
        <f>"9/7/2022 11:16:00 AM"</f>
        <v>9/7/2022 11:16:00 AM</v>
      </c>
      <c r="O17403" t="s">
        <v>53431</v>
      </c>
      <c r="T17403" t="s">
        <v>53432</v>
      </c>
    </row>
    <row r="17404" spans="1:20" x14ac:dyDescent="0.25">
      <c r="A17404" t="str">
        <f>"3062436"</f>
        <v>3062436</v>
      </c>
      <c r="B17404" t="s">
        <v>53434</v>
      </c>
      <c r="C17404" t="str">
        <f>"8318652"</f>
        <v>8318652</v>
      </c>
      <c r="D17404" t="s">
        <v>53435</v>
      </c>
      <c r="F17404" t="s">
        <v>53436</v>
      </c>
      <c r="I17404" t="s">
        <v>402</v>
      </c>
      <c r="J17404" t="s">
        <v>30</v>
      </c>
      <c r="K17404" t="s">
        <v>53437</v>
      </c>
      <c r="M17404" t="s">
        <v>17861</v>
      </c>
      <c r="N17404" t="str">
        <f>"9/7/2022 3:24:00 PM"</f>
        <v>9/7/2022 3:24:00 PM</v>
      </c>
      <c r="O17404" t="s">
        <v>53435</v>
      </c>
    </row>
    <row r="17405" spans="1:20" x14ac:dyDescent="0.25">
      <c r="A17405" t="str">
        <f>"3062232"</f>
        <v>3062232</v>
      </c>
      <c r="B17405" t="s">
        <v>53438</v>
      </c>
      <c r="C17405" t="str">
        <f>"8318653"</f>
        <v>8318653</v>
      </c>
      <c r="D17405" t="s">
        <v>53439</v>
      </c>
      <c r="E17405" t="s">
        <v>53440</v>
      </c>
      <c r="F17405" t="s">
        <v>53441</v>
      </c>
      <c r="I17405" t="s">
        <v>29</v>
      </c>
      <c r="J17405" t="s">
        <v>30</v>
      </c>
      <c r="K17405" t="s">
        <v>41552</v>
      </c>
      <c r="M17405" t="s">
        <v>17861</v>
      </c>
      <c r="N17405" t="str">
        <f>"9/7/2022 3:27:00 PM"</f>
        <v>9/7/2022 3:27:00 PM</v>
      </c>
      <c r="O17405" t="s">
        <v>53439</v>
      </c>
      <c r="T17405" t="s">
        <v>53440</v>
      </c>
    </row>
    <row r="17406" spans="1:20" x14ac:dyDescent="0.25">
      <c r="A17406" t="str">
        <f>"3040443"</f>
        <v>3040443</v>
      </c>
      <c r="B17406" t="s">
        <v>53442</v>
      </c>
      <c r="C17406" t="str">
        <f>"8312345"</f>
        <v>8312345</v>
      </c>
      <c r="D17406" t="s">
        <v>53443</v>
      </c>
      <c r="E17406" t="s">
        <v>53444</v>
      </c>
      <c r="F17406" t="s">
        <v>53445</v>
      </c>
      <c r="I17406" t="s">
        <v>17921</v>
      </c>
      <c r="J17406" t="s">
        <v>30</v>
      </c>
      <c r="K17406" t="str">
        <f>"27028"</f>
        <v>27028</v>
      </c>
      <c r="M17406" t="s">
        <v>50621</v>
      </c>
      <c r="N17406" t="str">
        <f>"9/8/2022 9:30:00 AM"</f>
        <v>9/8/2022 9:30:00 AM</v>
      </c>
      <c r="O17406" t="s">
        <v>53443</v>
      </c>
      <c r="T17406" t="s">
        <v>53444</v>
      </c>
    </row>
    <row r="17407" spans="1:20" x14ac:dyDescent="0.25">
      <c r="A17407" t="str">
        <f>"3041840"</f>
        <v>3041840</v>
      </c>
      <c r="B17407" t="s">
        <v>53446</v>
      </c>
      <c r="C17407" t="str">
        <f>"8318692"</f>
        <v>8318692</v>
      </c>
      <c r="D17407" t="s">
        <v>53447</v>
      </c>
      <c r="F17407" t="s">
        <v>53448</v>
      </c>
      <c r="I17407" t="s">
        <v>2071</v>
      </c>
      <c r="J17407" t="s">
        <v>30</v>
      </c>
      <c r="K17407" t="s">
        <v>40061</v>
      </c>
      <c r="M17407" t="s">
        <v>17861</v>
      </c>
      <c r="N17407" t="str">
        <f>"9/8/2022 1:20:00 PM"</f>
        <v>9/8/2022 1:20:00 PM</v>
      </c>
      <c r="O17407" t="s">
        <v>53447</v>
      </c>
    </row>
    <row r="17408" spans="1:20" x14ac:dyDescent="0.25">
      <c r="A17408" t="str">
        <f>"3040013"</f>
        <v>3040013</v>
      </c>
      <c r="B17408" t="s">
        <v>53449</v>
      </c>
      <c r="C17408" t="str">
        <f>"8318713"</f>
        <v>8318713</v>
      </c>
      <c r="D17408" t="s">
        <v>53450</v>
      </c>
      <c r="E17408" t="s">
        <v>53451</v>
      </c>
      <c r="F17408" t="s">
        <v>53452</v>
      </c>
      <c r="I17408" t="s">
        <v>29</v>
      </c>
      <c r="J17408" t="s">
        <v>30</v>
      </c>
      <c r="K17408" t="s">
        <v>53453</v>
      </c>
      <c r="M17408" t="s">
        <v>17861</v>
      </c>
      <c r="N17408" t="str">
        <f>"9/13/2022 2:09:00 PM"</f>
        <v>9/13/2022 2:09:00 PM</v>
      </c>
      <c r="O17408" t="s">
        <v>53450</v>
      </c>
      <c r="T17408" t="s">
        <v>53451</v>
      </c>
    </row>
    <row r="17409" spans="1:20" x14ac:dyDescent="0.25">
      <c r="A17409" t="str">
        <f>"3047083"</f>
        <v>3047083</v>
      </c>
      <c r="B17409" t="s">
        <v>53454</v>
      </c>
      <c r="C17409" t="str">
        <f>"8318714"</f>
        <v>8318714</v>
      </c>
      <c r="D17409" t="s">
        <v>53455</v>
      </c>
      <c r="F17409" t="s">
        <v>53456</v>
      </c>
      <c r="I17409" t="s">
        <v>29</v>
      </c>
      <c r="J17409" t="s">
        <v>30</v>
      </c>
      <c r="K17409" t="s">
        <v>13989</v>
      </c>
      <c r="M17409" t="s">
        <v>17861</v>
      </c>
      <c r="N17409" t="str">
        <f>"9/13/2022 2:11:00 PM"</f>
        <v>9/13/2022 2:11:00 PM</v>
      </c>
      <c r="O17409" t="s">
        <v>53455</v>
      </c>
    </row>
    <row r="17410" spans="1:20" x14ac:dyDescent="0.25">
      <c r="A17410" t="str">
        <f>"3049711"</f>
        <v>3049711</v>
      </c>
      <c r="B17410" t="s">
        <v>53457</v>
      </c>
      <c r="C17410" t="str">
        <f>"8304716"</f>
        <v>8304716</v>
      </c>
      <c r="D17410" t="s">
        <v>53458</v>
      </c>
      <c r="F17410" t="s">
        <v>53459</v>
      </c>
      <c r="I17410" t="s">
        <v>17921</v>
      </c>
      <c r="J17410" t="s">
        <v>30</v>
      </c>
      <c r="K17410" t="str">
        <f>"27028"</f>
        <v>27028</v>
      </c>
      <c r="M17410" t="s">
        <v>50621</v>
      </c>
      <c r="N17410" t="str">
        <f>"9/13/2022 2:33:00 PM"</f>
        <v>9/13/2022 2:33:00 PM</v>
      </c>
      <c r="O17410" t="s">
        <v>53458</v>
      </c>
    </row>
    <row r="17411" spans="1:20" x14ac:dyDescent="0.25">
      <c r="A17411" t="str">
        <f>"3059116"</f>
        <v>3059116</v>
      </c>
      <c r="B17411" t="s">
        <v>53460</v>
      </c>
      <c r="C17411" t="str">
        <f>"8304716"</f>
        <v>8304716</v>
      </c>
      <c r="D17411" t="s">
        <v>53458</v>
      </c>
      <c r="F17411" t="s">
        <v>53459</v>
      </c>
      <c r="I17411" t="s">
        <v>17921</v>
      </c>
      <c r="J17411" t="s">
        <v>30</v>
      </c>
      <c r="K17411" t="str">
        <f>"27028"</f>
        <v>27028</v>
      </c>
      <c r="M17411" t="s">
        <v>50621</v>
      </c>
      <c r="N17411" t="str">
        <f>"9/13/2022 2:33:00 PM"</f>
        <v>9/13/2022 2:33:00 PM</v>
      </c>
      <c r="O17411" t="s">
        <v>53458</v>
      </c>
    </row>
    <row r="17412" spans="1:20" x14ac:dyDescent="0.25">
      <c r="A17412" t="str">
        <f>"3046166"</f>
        <v>3046166</v>
      </c>
      <c r="B17412" t="s">
        <v>53461</v>
      </c>
      <c r="C17412" t="str">
        <f>"8318695"</f>
        <v>8318695</v>
      </c>
      <c r="D17412" t="s">
        <v>53462</v>
      </c>
      <c r="F17412" t="s">
        <v>53463</v>
      </c>
      <c r="I17412" t="s">
        <v>29</v>
      </c>
      <c r="J17412" t="s">
        <v>30</v>
      </c>
      <c r="K17412" t="s">
        <v>53464</v>
      </c>
      <c r="M17412" t="s">
        <v>17861</v>
      </c>
      <c r="N17412" t="str">
        <f>"9/8/2022 3:37:00 PM"</f>
        <v>9/8/2022 3:37:00 PM</v>
      </c>
      <c r="O17412" t="s">
        <v>53462</v>
      </c>
    </row>
    <row r="17413" spans="1:20" x14ac:dyDescent="0.25">
      <c r="A17413" t="str">
        <f>"3042574"</f>
        <v>3042574</v>
      </c>
      <c r="B17413" t="s">
        <v>53465</v>
      </c>
      <c r="C17413" t="str">
        <f>"8302563"</f>
        <v>8302563</v>
      </c>
      <c r="D17413" t="s">
        <v>7411</v>
      </c>
      <c r="E17413" t="s">
        <v>53466</v>
      </c>
      <c r="F17413" t="s">
        <v>53467</v>
      </c>
      <c r="I17413" t="s">
        <v>184</v>
      </c>
      <c r="J17413" t="s">
        <v>30</v>
      </c>
      <c r="K17413" t="str">
        <f>"27006"</f>
        <v>27006</v>
      </c>
      <c r="M17413" t="s">
        <v>50621</v>
      </c>
      <c r="N17413" t="str">
        <f>"9/9/2022 12:04:00 PM"</f>
        <v>9/9/2022 12:04:00 PM</v>
      </c>
      <c r="O17413" t="s">
        <v>7411</v>
      </c>
      <c r="T17413" t="s">
        <v>53466</v>
      </c>
    </row>
    <row r="17414" spans="1:20" x14ac:dyDescent="0.25">
      <c r="A17414" t="str">
        <f>"3039109"</f>
        <v>3039109</v>
      </c>
      <c r="B17414" t="s">
        <v>53468</v>
      </c>
      <c r="C17414" t="str">
        <f>"8318696"</f>
        <v>8318696</v>
      </c>
      <c r="D17414" t="s">
        <v>53469</v>
      </c>
      <c r="F17414" t="s">
        <v>53470</v>
      </c>
      <c r="I17414" t="s">
        <v>49</v>
      </c>
      <c r="J17414" t="s">
        <v>30</v>
      </c>
      <c r="K17414" t="s">
        <v>53471</v>
      </c>
      <c r="M17414" t="s">
        <v>17861</v>
      </c>
      <c r="N17414" t="str">
        <f>"9/12/2022 8:34:00 AM"</f>
        <v>9/12/2022 8:34:00 AM</v>
      </c>
      <c r="O17414" t="s">
        <v>53469</v>
      </c>
    </row>
    <row r="17415" spans="1:20" x14ac:dyDescent="0.25">
      <c r="A17415" t="str">
        <f>"3056290"</f>
        <v>3056290</v>
      </c>
      <c r="B17415" t="s">
        <v>53472</v>
      </c>
      <c r="C17415" t="str">
        <f>"82531769"</f>
        <v>82531769</v>
      </c>
      <c r="D17415" t="s">
        <v>53473</v>
      </c>
      <c r="F17415" t="s">
        <v>53474</v>
      </c>
      <c r="I17415" t="s">
        <v>17921</v>
      </c>
      <c r="J17415" t="s">
        <v>30</v>
      </c>
      <c r="K17415" t="str">
        <f>"27028"</f>
        <v>27028</v>
      </c>
      <c r="M17415" t="s">
        <v>50621</v>
      </c>
      <c r="N17415" t="str">
        <f>"9/13/2022 2:56:00 PM"</f>
        <v>9/13/2022 2:56:00 PM</v>
      </c>
      <c r="O17415" t="s">
        <v>53473</v>
      </c>
    </row>
    <row r="17416" spans="1:20" x14ac:dyDescent="0.25">
      <c r="A17416" t="str">
        <f>"3056507"</f>
        <v>3056507</v>
      </c>
      <c r="B17416" t="s">
        <v>53475</v>
      </c>
      <c r="C17416" t="str">
        <f>"82531769"</f>
        <v>82531769</v>
      </c>
      <c r="D17416" t="s">
        <v>53473</v>
      </c>
      <c r="F17416" t="s">
        <v>53474</v>
      </c>
      <c r="I17416" t="s">
        <v>17921</v>
      </c>
      <c r="J17416" t="s">
        <v>30</v>
      </c>
      <c r="K17416" t="str">
        <f>"27028"</f>
        <v>27028</v>
      </c>
      <c r="M17416" t="s">
        <v>50621</v>
      </c>
      <c r="N17416" t="str">
        <f>"9/13/2022 2:56:00 PM"</f>
        <v>9/13/2022 2:56:00 PM</v>
      </c>
      <c r="O17416" t="s">
        <v>53473</v>
      </c>
    </row>
    <row r="17417" spans="1:20" x14ac:dyDescent="0.25">
      <c r="A17417" t="str">
        <f>"3069819"</f>
        <v>3069819</v>
      </c>
      <c r="B17417" t="s">
        <v>53476</v>
      </c>
      <c r="C17417" t="str">
        <f>"82529862"</f>
        <v>82529862</v>
      </c>
      <c r="D17417" t="s">
        <v>53477</v>
      </c>
      <c r="F17417" t="s">
        <v>53478</v>
      </c>
      <c r="I17417" t="s">
        <v>17921</v>
      </c>
      <c r="J17417" t="s">
        <v>30</v>
      </c>
      <c r="K17417" t="str">
        <f>"27028"</f>
        <v>27028</v>
      </c>
      <c r="M17417" t="s">
        <v>50621</v>
      </c>
      <c r="N17417" t="str">
        <f>"9/13/2022 2:58:00 PM"</f>
        <v>9/13/2022 2:58:00 PM</v>
      </c>
      <c r="O17417" t="s">
        <v>53477</v>
      </c>
    </row>
    <row r="17418" spans="1:20" x14ac:dyDescent="0.25">
      <c r="A17418" t="str">
        <f>"3056157"</f>
        <v>3056157</v>
      </c>
      <c r="B17418" t="s">
        <v>53479</v>
      </c>
      <c r="C17418" t="str">
        <f>"8316848"</f>
        <v>8316848</v>
      </c>
      <c r="D17418" t="s">
        <v>53480</v>
      </c>
      <c r="F17418" t="s">
        <v>53481</v>
      </c>
      <c r="I17418" t="s">
        <v>53482</v>
      </c>
      <c r="J17418" t="s">
        <v>30</v>
      </c>
      <c r="K17418" t="str">
        <f>"28636"</f>
        <v>28636</v>
      </c>
      <c r="M17418" t="s">
        <v>50621</v>
      </c>
      <c r="N17418" t="str">
        <f>"9/13/2022 3:04:00 PM"</f>
        <v>9/13/2022 3:04:00 PM</v>
      </c>
      <c r="O17418" t="s">
        <v>53480</v>
      </c>
    </row>
    <row r="17419" spans="1:20" x14ac:dyDescent="0.25">
      <c r="A17419" t="str">
        <f>"3056074"</f>
        <v>3056074</v>
      </c>
      <c r="B17419" t="s">
        <v>53483</v>
      </c>
      <c r="C17419" t="str">
        <f>"8316505"</f>
        <v>8316505</v>
      </c>
      <c r="D17419" t="s">
        <v>53484</v>
      </c>
      <c r="E17419" t="s">
        <v>53485</v>
      </c>
      <c r="F17419" t="s">
        <v>53486</v>
      </c>
      <c r="I17419" t="s">
        <v>9580</v>
      </c>
      <c r="J17419" t="s">
        <v>30</v>
      </c>
      <c r="K17419" t="str">
        <f>"27014"</f>
        <v>27014</v>
      </c>
      <c r="M17419" t="s">
        <v>50621</v>
      </c>
      <c r="N17419" t="str">
        <f>"9/13/2022 3:06:00 PM"</f>
        <v>9/13/2022 3:06:00 PM</v>
      </c>
      <c r="O17419" t="s">
        <v>53484</v>
      </c>
      <c r="T17419" t="s">
        <v>53485</v>
      </c>
    </row>
    <row r="17420" spans="1:20" x14ac:dyDescent="0.25">
      <c r="A17420" t="str">
        <f>"3056101"</f>
        <v>3056101</v>
      </c>
      <c r="B17420" t="s">
        <v>53487</v>
      </c>
      <c r="C17420" t="str">
        <f>"8316681"</f>
        <v>8316681</v>
      </c>
      <c r="D17420" t="s">
        <v>53488</v>
      </c>
      <c r="F17420" t="s">
        <v>10439</v>
      </c>
      <c r="I17420" t="s">
        <v>9580</v>
      </c>
      <c r="J17420" t="s">
        <v>30</v>
      </c>
      <c r="K17420" t="str">
        <f>"27014"</f>
        <v>27014</v>
      </c>
      <c r="M17420" t="s">
        <v>50621</v>
      </c>
      <c r="N17420" t="str">
        <f>"9/13/2022 3:13:00 PM"</f>
        <v>9/13/2022 3:13:00 PM</v>
      </c>
      <c r="O17420" t="s">
        <v>53488</v>
      </c>
    </row>
    <row r="17421" spans="1:20" x14ac:dyDescent="0.25">
      <c r="A17421" t="str">
        <f>"3058093"</f>
        <v>3058093</v>
      </c>
      <c r="B17421" t="s">
        <v>53489</v>
      </c>
      <c r="C17421" t="str">
        <f>"82521906"</f>
        <v>82521906</v>
      </c>
      <c r="D17421" t="s">
        <v>53490</v>
      </c>
      <c r="E17421" t="s">
        <v>53491</v>
      </c>
      <c r="F17421" t="s">
        <v>53492</v>
      </c>
      <c r="I17421" t="s">
        <v>184</v>
      </c>
      <c r="J17421" t="s">
        <v>30</v>
      </c>
      <c r="K17421" t="s">
        <v>185</v>
      </c>
      <c r="M17421" t="s">
        <v>50621</v>
      </c>
      <c r="N17421" t="str">
        <f>"9/14/2022 8:39:00 AM"</f>
        <v>9/14/2022 8:39:00 AM</v>
      </c>
      <c r="O17421" t="s">
        <v>53490</v>
      </c>
      <c r="T17421" t="s">
        <v>53491</v>
      </c>
    </row>
    <row r="17422" spans="1:20" x14ac:dyDescent="0.25">
      <c r="A17422" t="str">
        <f>"3076707"</f>
        <v>3076707</v>
      </c>
      <c r="B17422" t="s">
        <v>53493</v>
      </c>
      <c r="C17422" t="str">
        <f>"33736000"</f>
        <v>33736000</v>
      </c>
      <c r="D17422" t="s">
        <v>53494</v>
      </c>
      <c r="E17422" t="s">
        <v>53495</v>
      </c>
      <c r="F17422" t="s">
        <v>53496</v>
      </c>
      <c r="G17422" t="s">
        <v>53497</v>
      </c>
      <c r="I17422" t="s">
        <v>471</v>
      </c>
      <c r="J17422" t="s">
        <v>30</v>
      </c>
      <c r="K17422" t="str">
        <f>"27101"</f>
        <v>27101</v>
      </c>
      <c r="M17422" t="s">
        <v>50621</v>
      </c>
      <c r="N17422" t="str">
        <f>"9/14/2022 10:22:00 AM"</f>
        <v>9/14/2022 10:22:00 AM</v>
      </c>
      <c r="O17422" t="s">
        <v>53494</v>
      </c>
      <c r="T17422" t="s">
        <v>53495</v>
      </c>
    </row>
    <row r="17423" spans="1:20" x14ac:dyDescent="0.25">
      <c r="A17423" t="str">
        <f>"3059363"</f>
        <v>3059363</v>
      </c>
      <c r="B17423" t="s">
        <v>53498</v>
      </c>
      <c r="C17423" t="str">
        <f>"82517149"</f>
        <v>82517149</v>
      </c>
      <c r="D17423" t="s">
        <v>53499</v>
      </c>
      <c r="F17423" t="s">
        <v>53500</v>
      </c>
      <c r="I17423" t="s">
        <v>17921</v>
      </c>
      <c r="J17423" t="s">
        <v>30</v>
      </c>
      <c r="K17423" t="str">
        <f>"27028"</f>
        <v>27028</v>
      </c>
      <c r="M17423" t="s">
        <v>50621</v>
      </c>
      <c r="N17423" t="str">
        <f>"9/14/2022 11:53:00 AM"</f>
        <v>9/14/2022 11:53:00 AM</v>
      </c>
      <c r="O17423" t="s">
        <v>53499</v>
      </c>
    </row>
    <row r="17424" spans="1:20" x14ac:dyDescent="0.25">
      <c r="A17424" t="str">
        <f>"3040820"</f>
        <v>3040820</v>
      </c>
      <c r="B17424" t="s">
        <v>53501</v>
      </c>
      <c r="C17424" t="str">
        <f>"8307012"</f>
        <v>8307012</v>
      </c>
      <c r="D17424" t="s">
        <v>53502</v>
      </c>
      <c r="E17424" t="s">
        <v>53503</v>
      </c>
      <c r="F17424" t="s">
        <v>53504</v>
      </c>
      <c r="I17424" t="s">
        <v>184</v>
      </c>
      <c r="J17424" t="s">
        <v>30</v>
      </c>
      <c r="K17424" t="str">
        <f>"27006"</f>
        <v>27006</v>
      </c>
      <c r="M17424" t="s">
        <v>50621</v>
      </c>
      <c r="N17424" t="str">
        <f>"9/14/2022 12:01:00 PM"</f>
        <v>9/14/2022 12:01:00 PM</v>
      </c>
      <c r="O17424" t="s">
        <v>53502</v>
      </c>
      <c r="T17424" t="s">
        <v>53503</v>
      </c>
    </row>
    <row r="17425" spans="1:20" x14ac:dyDescent="0.25">
      <c r="A17425" t="str">
        <f>"3052577"</f>
        <v>3052577</v>
      </c>
      <c r="B17425" t="s">
        <v>53505</v>
      </c>
      <c r="C17425" t="str">
        <f>"8318697"</f>
        <v>8318697</v>
      </c>
      <c r="D17425" t="s">
        <v>53506</v>
      </c>
      <c r="E17425" t="s">
        <v>53507</v>
      </c>
      <c r="F17425" t="s">
        <v>53508</v>
      </c>
      <c r="I17425" t="s">
        <v>29</v>
      </c>
      <c r="J17425" t="s">
        <v>30</v>
      </c>
      <c r="K17425" t="s">
        <v>24839</v>
      </c>
      <c r="M17425" t="s">
        <v>17861</v>
      </c>
      <c r="N17425" t="str">
        <f>"9/12/2022 8:37:00 AM"</f>
        <v>9/12/2022 8:37:00 AM</v>
      </c>
      <c r="O17425" t="s">
        <v>53506</v>
      </c>
      <c r="T17425" t="s">
        <v>53507</v>
      </c>
    </row>
    <row r="17426" spans="1:20" x14ac:dyDescent="0.25">
      <c r="A17426" t="str">
        <f>"3058213"</f>
        <v>3058213</v>
      </c>
      <c r="B17426" t="s">
        <v>53509</v>
      </c>
      <c r="C17426" t="str">
        <f>"8318698"</f>
        <v>8318698</v>
      </c>
      <c r="D17426" t="s">
        <v>53510</v>
      </c>
      <c r="F17426" t="s">
        <v>53511</v>
      </c>
      <c r="I17426" t="s">
        <v>29</v>
      </c>
      <c r="J17426" t="s">
        <v>30</v>
      </c>
      <c r="K17426" t="s">
        <v>53512</v>
      </c>
      <c r="M17426" t="s">
        <v>17861</v>
      </c>
      <c r="N17426" t="str">
        <f>"9/12/2022 9:04:00 AM"</f>
        <v>9/12/2022 9:04:00 AM</v>
      </c>
      <c r="O17426" t="s">
        <v>53510</v>
      </c>
    </row>
    <row r="17427" spans="1:20" x14ac:dyDescent="0.25">
      <c r="A17427" t="str">
        <f>"3041868"</f>
        <v>3041868</v>
      </c>
      <c r="B17427" t="s">
        <v>53513</v>
      </c>
      <c r="C17427" t="str">
        <f>"8318639"</f>
        <v>8318639</v>
      </c>
      <c r="D17427" t="s">
        <v>53514</v>
      </c>
      <c r="F17427" t="s">
        <v>53515</v>
      </c>
      <c r="I17427" t="s">
        <v>2071</v>
      </c>
      <c r="J17427" t="s">
        <v>30</v>
      </c>
      <c r="K17427" t="str">
        <f>"27006"</f>
        <v>27006</v>
      </c>
      <c r="M17427" t="s">
        <v>17861</v>
      </c>
      <c r="N17427" t="str">
        <f>"9/6/2022 10:07:00 AM"</f>
        <v>9/6/2022 10:07:00 AM</v>
      </c>
      <c r="O17427" t="s">
        <v>53514</v>
      </c>
    </row>
    <row r="17428" spans="1:20" x14ac:dyDescent="0.25">
      <c r="A17428" t="str">
        <f>"3047818"</f>
        <v>3047818</v>
      </c>
      <c r="B17428" t="s">
        <v>53516</v>
      </c>
      <c r="C17428" t="str">
        <f>"57679410"</f>
        <v>57679410</v>
      </c>
      <c r="D17428" t="s">
        <v>53517</v>
      </c>
      <c r="E17428" t="s">
        <v>53518</v>
      </c>
      <c r="F17428" t="s">
        <v>53519</v>
      </c>
      <c r="I17428" t="s">
        <v>184</v>
      </c>
      <c r="J17428" t="s">
        <v>30</v>
      </c>
      <c r="K17428" t="str">
        <f>"27006"</f>
        <v>27006</v>
      </c>
      <c r="M17428" t="s">
        <v>50621</v>
      </c>
      <c r="N17428" t="str">
        <f>"9/14/2022 12:22:00 PM"</f>
        <v>9/14/2022 12:22:00 PM</v>
      </c>
      <c r="O17428" t="s">
        <v>53517</v>
      </c>
      <c r="T17428" t="s">
        <v>53518</v>
      </c>
    </row>
    <row r="17429" spans="1:20" x14ac:dyDescent="0.25">
      <c r="A17429" t="str">
        <f>"3049769"</f>
        <v>3049769</v>
      </c>
      <c r="B17429" t="s">
        <v>53520</v>
      </c>
      <c r="C17429" t="str">
        <f>"82513111"</f>
        <v>82513111</v>
      </c>
      <c r="D17429" t="s">
        <v>53521</v>
      </c>
      <c r="F17429" t="s">
        <v>53522</v>
      </c>
      <c r="G17429" t="s">
        <v>53523</v>
      </c>
      <c r="I17429" t="s">
        <v>402</v>
      </c>
      <c r="J17429" t="s">
        <v>30</v>
      </c>
      <c r="K17429" t="str">
        <f>"27012"</f>
        <v>27012</v>
      </c>
      <c r="M17429" t="s">
        <v>50621</v>
      </c>
      <c r="N17429" t="str">
        <f>"9/14/2022 12:24:00 PM"</f>
        <v>9/14/2022 12:24:00 PM</v>
      </c>
      <c r="O17429" t="s">
        <v>53521</v>
      </c>
    </row>
    <row r="17430" spans="1:20" x14ac:dyDescent="0.25">
      <c r="A17430" t="str">
        <f>"3059751"</f>
        <v>3059751</v>
      </c>
      <c r="B17430" t="s">
        <v>53524</v>
      </c>
      <c r="C17430" t="str">
        <f>"8307058"</f>
        <v>8307058</v>
      </c>
      <c r="D17430" t="s">
        <v>53525</v>
      </c>
      <c r="F17430" t="s">
        <v>53526</v>
      </c>
      <c r="I17430" t="s">
        <v>53527</v>
      </c>
      <c r="J17430" t="s">
        <v>30</v>
      </c>
      <c r="K17430" t="str">
        <f>"28390"</f>
        <v>28390</v>
      </c>
      <c r="M17430" t="s">
        <v>50621</v>
      </c>
      <c r="N17430" t="str">
        <f>"9/14/2022 12:26:00 PM"</f>
        <v>9/14/2022 12:26:00 PM</v>
      </c>
      <c r="O17430" t="s">
        <v>53525</v>
      </c>
    </row>
    <row r="17431" spans="1:20" x14ac:dyDescent="0.25">
      <c r="A17431" t="str">
        <f>"3037970"</f>
        <v>3037970</v>
      </c>
      <c r="B17431" t="s">
        <v>53528</v>
      </c>
      <c r="C17431" t="str">
        <f>"8311678"</f>
        <v>8311678</v>
      </c>
      <c r="D17431" t="s">
        <v>53529</v>
      </c>
      <c r="E17431" t="s">
        <v>53530</v>
      </c>
      <c r="F17431" t="s">
        <v>53531</v>
      </c>
      <c r="I17431" t="s">
        <v>1149</v>
      </c>
      <c r="J17431" t="s">
        <v>30</v>
      </c>
      <c r="K17431" t="str">
        <f>"28634"</f>
        <v>28634</v>
      </c>
      <c r="M17431" t="s">
        <v>50621</v>
      </c>
      <c r="N17431" t="str">
        <f>"9/14/2022 12:29:00 PM"</f>
        <v>9/14/2022 12:29:00 PM</v>
      </c>
      <c r="O17431" t="s">
        <v>53529</v>
      </c>
      <c r="T17431" t="s">
        <v>53530</v>
      </c>
    </row>
    <row r="17432" spans="1:20" x14ac:dyDescent="0.25">
      <c r="A17432" t="str">
        <f>"3042198"</f>
        <v>3042198</v>
      </c>
      <c r="B17432" t="s">
        <v>53532</v>
      </c>
      <c r="C17432" t="str">
        <f>"8309778"</f>
        <v>8309778</v>
      </c>
      <c r="D17432" t="s">
        <v>53533</v>
      </c>
      <c r="F17432" t="s">
        <v>53534</v>
      </c>
      <c r="I17432" t="s">
        <v>53535</v>
      </c>
      <c r="J17432" t="s">
        <v>2738</v>
      </c>
      <c r="K17432" t="s">
        <v>53536</v>
      </c>
      <c r="M17432" t="s">
        <v>50621</v>
      </c>
      <c r="N17432" t="str">
        <f>"9/14/2022 12:31:00 PM"</f>
        <v>9/14/2022 12:31:00 PM</v>
      </c>
      <c r="O17432" t="s">
        <v>53533</v>
      </c>
    </row>
    <row r="17433" spans="1:20" x14ac:dyDescent="0.25">
      <c r="A17433" t="str">
        <f>"3042060"</f>
        <v>3042060</v>
      </c>
      <c r="B17433" t="s">
        <v>53537</v>
      </c>
      <c r="C17433" t="str">
        <f>"8309778"</f>
        <v>8309778</v>
      </c>
      <c r="D17433" t="s">
        <v>53533</v>
      </c>
      <c r="F17433" t="s">
        <v>53534</v>
      </c>
      <c r="I17433" t="s">
        <v>53535</v>
      </c>
      <c r="J17433" t="s">
        <v>2738</v>
      </c>
      <c r="K17433" t="s">
        <v>53536</v>
      </c>
      <c r="M17433" t="s">
        <v>50621</v>
      </c>
      <c r="N17433" t="str">
        <f>"9/14/2022 12:31:00 PM"</f>
        <v>9/14/2022 12:31:00 PM</v>
      </c>
      <c r="O17433" t="s">
        <v>53533</v>
      </c>
    </row>
    <row r="17434" spans="1:20" x14ac:dyDescent="0.25">
      <c r="A17434" t="str">
        <f>"3061961"</f>
        <v>3061961</v>
      </c>
      <c r="B17434" t="s">
        <v>53538</v>
      </c>
      <c r="C17434" t="str">
        <f>"8318716"</f>
        <v>8318716</v>
      </c>
      <c r="D17434" t="s">
        <v>53539</v>
      </c>
      <c r="E17434" t="s">
        <v>53540</v>
      </c>
      <c r="F17434" t="s">
        <v>53541</v>
      </c>
      <c r="I17434" t="s">
        <v>184</v>
      </c>
      <c r="J17434" t="s">
        <v>30</v>
      </c>
      <c r="K17434" t="s">
        <v>1984</v>
      </c>
      <c r="M17434" t="s">
        <v>17861</v>
      </c>
      <c r="N17434" t="str">
        <f>"9/14/2022 12:47:00 PM"</f>
        <v>9/14/2022 12:47:00 PM</v>
      </c>
      <c r="O17434" t="s">
        <v>53539</v>
      </c>
      <c r="T17434" t="s">
        <v>53540</v>
      </c>
    </row>
    <row r="17435" spans="1:20" x14ac:dyDescent="0.25">
      <c r="A17435" t="str">
        <f>"3061956"</f>
        <v>3061956</v>
      </c>
      <c r="B17435" t="s">
        <v>53542</v>
      </c>
      <c r="C17435" t="str">
        <f>"8318717"</f>
        <v>8318717</v>
      </c>
      <c r="D17435" t="s">
        <v>53543</v>
      </c>
      <c r="E17435" t="s">
        <v>53544</v>
      </c>
      <c r="F17435" t="s">
        <v>53545</v>
      </c>
      <c r="I17435" t="s">
        <v>184</v>
      </c>
      <c r="J17435" t="s">
        <v>30</v>
      </c>
      <c r="K17435" t="s">
        <v>53546</v>
      </c>
      <c r="M17435" t="s">
        <v>17861</v>
      </c>
      <c r="N17435" t="str">
        <f>"9/14/2022 12:49:00 PM"</f>
        <v>9/14/2022 12:49:00 PM</v>
      </c>
      <c r="O17435" t="s">
        <v>53543</v>
      </c>
      <c r="T17435" t="s">
        <v>53544</v>
      </c>
    </row>
    <row r="17436" spans="1:20" x14ac:dyDescent="0.25">
      <c r="A17436" t="str">
        <f>"3048954"</f>
        <v>3048954</v>
      </c>
      <c r="B17436" t="s">
        <v>53547</v>
      </c>
      <c r="C17436" t="str">
        <f>"8318248"</f>
        <v>8318248</v>
      </c>
      <c r="D17436" t="s">
        <v>53548</v>
      </c>
      <c r="F17436" t="s">
        <v>53549</v>
      </c>
      <c r="I17436" t="s">
        <v>29</v>
      </c>
      <c r="J17436" t="s">
        <v>30</v>
      </c>
      <c r="K17436" t="s">
        <v>39263</v>
      </c>
      <c r="M17436" t="s">
        <v>52111</v>
      </c>
      <c r="N17436" t="str">
        <f>"9/14/2022 1:28:00 PM"</f>
        <v>9/14/2022 1:28:00 PM</v>
      </c>
      <c r="O17436" t="s">
        <v>53548</v>
      </c>
    </row>
    <row r="17437" spans="1:20" x14ac:dyDescent="0.25">
      <c r="A17437" t="str">
        <f>"3048955"</f>
        <v>3048955</v>
      </c>
      <c r="B17437" t="s">
        <v>53550</v>
      </c>
      <c r="C17437" t="str">
        <f>"8318248"</f>
        <v>8318248</v>
      </c>
      <c r="D17437" t="s">
        <v>53548</v>
      </c>
      <c r="F17437" t="s">
        <v>53549</v>
      </c>
      <c r="I17437" t="s">
        <v>29</v>
      </c>
      <c r="J17437" t="s">
        <v>30</v>
      </c>
      <c r="K17437" t="s">
        <v>39263</v>
      </c>
      <c r="M17437" t="s">
        <v>52111</v>
      </c>
      <c r="N17437" t="str">
        <f>"9/14/2022 1:28:00 PM"</f>
        <v>9/14/2022 1:28:00 PM</v>
      </c>
      <c r="O17437" t="s">
        <v>53548</v>
      </c>
    </row>
    <row r="17438" spans="1:20" x14ac:dyDescent="0.25">
      <c r="A17438" t="str">
        <f>"3048915"</f>
        <v>3048915</v>
      </c>
      <c r="B17438" t="s">
        <v>53551</v>
      </c>
      <c r="C17438" t="str">
        <f>"8311419"</f>
        <v>8311419</v>
      </c>
      <c r="D17438" t="s">
        <v>53548</v>
      </c>
      <c r="F17438" t="s">
        <v>53549</v>
      </c>
      <c r="I17438" t="s">
        <v>29</v>
      </c>
      <c r="J17438" t="s">
        <v>30</v>
      </c>
      <c r="K17438" t="s">
        <v>39263</v>
      </c>
      <c r="M17438" t="s">
        <v>52111</v>
      </c>
      <c r="N17438" t="str">
        <f>"9/14/2022 1:34:00 PM"</f>
        <v>9/14/2022 1:34:00 PM</v>
      </c>
      <c r="O17438" t="s">
        <v>53548</v>
      </c>
    </row>
    <row r="17439" spans="1:20" x14ac:dyDescent="0.25">
      <c r="A17439" t="str">
        <f>"3040243"</f>
        <v>3040243</v>
      </c>
      <c r="B17439" t="s">
        <v>53552</v>
      </c>
      <c r="C17439" t="str">
        <f>"8311419"</f>
        <v>8311419</v>
      </c>
      <c r="D17439" t="s">
        <v>53548</v>
      </c>
      <c r="F17439" t="s">
        <v>53549</v>
      </c>
      <c r="I17439" t="s">
        <v>29</v>
      </c>
      <c r="J17439" t="s">
        <v>30</v>
      </c>
      <c r="K17439" t="s">
        <v>39263</v>
      </c>
      <c r="M17439" t="s">
        <v>52111</v>
      </c>
      <c r="N17439" t="str">
        <f>"9/14/2022 1:34:00 PM"</f>
        <v>9/14/2022 1:34:00 PM</v>
      </c>
      <c r="O17439" t="s">
        <v>53548</v>
      </c>
    </row>
    <row r="17440" spans="1:20" x14ac:dyDescent="0.25">
      <c r="A17440" t="str">
        <f>"3040242"</f>
        <v>3040242</v>
      </c>
      <c r="B17440" t="s">
        <v>53553</v>
      </c>
      <c r="C17440" t="str">
        <f>"8311419"</f>
        <v>8311419</v>
      </c>
      <c r="D17440" t="s">
        <v>53548</v>
      </c>
      <c r="F17440" t="s">
        <v>53549</v>
      </c>
      <c r="I17440" t="s">
        <v>29</v>
      </c>
      <c r="J17440" t="s">
        <v>30</v>
      </c>
      <c r="K17440" t="s">
        <v>39263</v>
      </c>
      <c r="M17440" t="s">
        <v>52111</v>
      </c>
      <c r="N17440" t="str">
        <f>"9/14/2022 1:34:00 PM"</f>
        <v>9/14/2022 1:34:00 PM</v>
      </c>
      <c r="O17440" t="s">
        <v>53548</v>
      </c>
    </row>
    <row r="17441" spans="1:20" x14ac:dyDescent="0.25">
      <c r="A17441" t="str">
        <f>"3040241"</f>
        <v>3040241</v>
      </c>
      <c r="B17441" t="s">
        <v>53554</v>
      </c>
      <c r="C17441" t="str">
        <f>"8311419"</f>
        <v>8311419</v>
      </c>
      <c r="D17441" t="s">
        <v>53548</v>
      </c>
      <c r="F17441" t="s">
        <v>53549</v>
      </c>
      <c r="I17441" t="s">
        <v>29</v>
      </c>
      <c r="J17441" t="s">
        <v>30</v>
      </c>
      <c r="K17441" t="s">
        <v>39263</v>
      </c>
      <c r="M17441" t="s">
        <v>52111</v>
      </c>
      <c r="N17441" t="str">
        <f>"9/14/2022 1:34:00 PM"</f>
        <v>9/14/2022 1:34:00 PM</v>
      </c>
      <c r="O17441" t="s">
        <v>53548</v>
      </c>
    </row>
    <row r="17442" spans="1:20" x14ac:dyDescent="0.25">
      <c r="A17442" t="str">
        <f>"3042916"</f>
        <v>3042916</v>
      </c>
      <c r="B17442" t="s">
        <v>53555</v>
      </c>
      <c r="C17442" t="str">
        <f>"8311419"</f>
        <v>8311419</v>
      </c>
      <c r="D17442" t="s">
        <v>53548</v>
      </c>
      <c r="F17442" t="s">
        <v>53549</v>
      </c>
      <c r="I17442" t="s">
        <v>29</v>
      </c>
      <c r="J17442" t="s">
        <v>30</v>
      </c>
      <c r="K17442" t="s">
        <v>39263</v>
      </c>
      <c r="M17442" t="s">
        <v>52111</v>
      </c>
      <c r="N17442" t="str">
        <f>"9/14/2022 1:34:00 PM"</f>
        <v>9/14/2022 1:34:00 PM</v>
      </c>
      <c r="O17442" t="s">
        <v>53548</v>
      </c>
    </row>
    <row r="17443" spans="1:20" x14ac:dyDescent="0.25">
      <c r="A17443" t="str">
        <f>"3045339"</f>
        <v>3045339</v>
      </c>
      <c r="B17443" t="s">
        <v>53556</v>
      </c>
      <c r="C17443" t="str">
        <f>"82524313"</f>
        <v>82524313</v>
      </c>
      <c r="D17443" t="s">
        <v>53557</v>
      </c>
      <c r="E17443" t="s">
        <v>53558</v>
      </c>
      <c r="F17443" t="s">
        <v>53559</v>
      </c>
      <c r="I17443" t="s">
        <v>29</v>
      </c>
      <c r="J17443" t="s">
        <v>30</v>
      </c>
      <c r="K17443" t="str">
        <f>"27028"</f>
        <v>27028</v>
      </c>
      <c r="M17443" t="s">
        <v>50621</v>
      </c>
      <c r="N17443" t="str">
        <f>"9/14/2022 2:00:00 PM"</f>
        <v>9/14/2022 2:00:00 PM</v>
      </c>
      <c r="O17443" t="s">
        <v>53557</v>
      </c>
      <c r="T17443" t="s">
        <v>53558</v>
      </c>
    </row>
    <row r="17444" spans="1:20" x14ac:dyDescent="0.25">
      <c r="A17444" t="str">
        <f>"3058819"</f>
        <v>3058819</v>
      </c>
      <c r="B17444" t="s">
        <v>53560</v>
      </c>
      <c r="C17444" t="str">
        <f>"8311601"</f>
        <v>8311601</v>
      </c>
      <c r="D17444" t="s">
        <v>53561</v>
      </c>
      <c r="F17444" t="s">
        <v>53562</v>
      </c>
      <c r="I17444" t="s">
        <v>29</v>
      </c>
      <c r="J17444" t="s">
        <v>30</v>
      </c>
      <c r="K17444" t="str">
        <f>"27028"</f>
        <v>27028</v>
      </c>
      <c r="M17444" t="s">
        <v>50621</v>
      </c>
      <c r="N17444" t="str">
        <f>"9/14/2022 2:02:00 PM"</f>
        <v>9/14/2022 2:02:00 PM</v>
      </c>
      <c r="O17444" t="s">
        <v>53561</v>
      </c>
    </row>
    <row r="17445" spans="1:20" x14ac:dyDescent="0.25">
      <c r="A17445" t="str">
        <f>"3060170"</f>
        <v>3060170</v>
      </c>
      <c r="B17445" t="s">
        <v>53563</v>
      </c>
      <c r="C17445" t="str">
        <f>"8316443"</f>
        <v>8316443</v>
      </c>
      <c r="D17445" t="s">
        <v>53564</v>
      </c>
      <c r="E17445" t="s">
        <v>53565</v>
      </c>
      <c r="F17445" t="s">
        <v>53566</v>
      </c>
      <c r="I17445" t="s">
        <v>24359</v>
      </c>
      <c r="J17445" t="s">
        <v>30</v>
      </c>
      <c r="K17445" t="str">
        <f>"27006"</f>
        <v>27006</v>
      </c>
      <c r="M17445" t="s">
        <v>51351</v>
      </c>
      <c r="N17445" t="str">
        <f>"9/6/2022 10:08:00 AM"</f>
        <v>9/6/2022 10:08:00 AM</v>
      </c>
      <c r="O17445" t="s">
        <v>53564</v>
      </c>
      <c r="T17445" t="s">
        <v>53565</v>
      </c>
    </row>
    <row r="17446" spans="1:20" x14ac:dyDescent="0.25">
      <c r="A17446" t="str">
        <f>"3056470"</f>
        <v>3056470</v>
      </c>
      <c r="B17446" t="s">
        <v>53567</v>
      </c>
      <c r="C17446" t="str">
        <f>"82518050"</f>
        <v>82518050</v>
      </c>
      <c r="D17446" t="s">
        <v>53568</v>
      </c>
      <c r="F17446" t="s">
        <v>53569</v>
      </c>
      <c r="I17446" t="s">
        <v>29</v>
      </c>
      <c r="J17446" t="s">
        <v>30</v>
      </c>
      <c r="K17446" t="s">
        <v>42498</v>
      </c>
      <c r="M17446" t="s">
        <v>52111</v>
      </c>
      <c r="N17446" t="str">
        <f>"9/6/2022 10:37:00 AM"</f>
        <v>9/6/2022 10:37:00 AM</v>
      </c>
      <c r="O17446" t="s">
        <v>53568</v>
      </c>
    </row>
    <row r="17447" spans="1:20" x14ac:dyDescent="0.25">
      <c r="A17447" t="str">
        <f>"3056249"</f>
        <v>3056249</v>
      </c>
      <c r="B17447" t="s">
        <v>53570</v>
      </c>
      <c r="C17447" t="str">
        <f>"82518050"</f>
        <v>82518050</v>
      </c>
      <c r="D17447" t="s">
        <v>53568</v>
      </c>
      <c r="F17447" t="s">
        <v>53569</v>
      </c>
      <c r="I17447" t="s">
        <v>29</v>
      </c>
      <c r="J17447" t="s">
        <v>30</v>
      </c>
      <c r="K17447" t="s">
        <v>42498</v>
      </c>
      <c r="M17447" t="s">
        <v>52111</v>
      </c>
      <c r="N17447" t="str">
        <f>"9/6/2022 10:37:00 AM"</f>
        <v>9/6/2022 10:37:00 AM</v>
      </c>
      <c r="O17447" t="s">
        <v>53568</v>
      </c>
    </row>
    <row r="17448" spans="1:20" x14ac:dyDescent="0.25">
      <c r="A17448" t="str">
        <f>"3055580"</f>
        <v>3055580</v>
      </c>
      <c r="B17448" t="s">
        <v>53571</v>
      </c>
      <c r="C17448" t="str">
        <f>"8318641"</f>
        <v>8318641</v>
      </c>
      <c r="D17448" t="s">
        <v>53572</v>
      </c>
      <c r="F17448" t="s">
        <v>53573</v>
      </c>
      <c r="I17448" t="s">
        <v>29</v>
      </c>
      <c r="J17448" t="s">
        <v>30</v>
      </c>
      <c r="K17448" t="s">
        <v>53574</v>
      </c>
      <c r="M17448" t="s">
        <v>17861</v>
      </c>
      <c r="N17448" t="str">
        <f>"9/6/2022 11:05:00 AM"</f>
        <v>9/6/2022 11:05:00 AM</v>
      </c>
      <c r="O17448" t="s">
        <v>53572</v>
      </c>
    </row>
    <row r="17449" spans="1:20" x14ac:dyDescent="0.25">
      <c r="A17449" t="str">
        <f>"3061203"</f>
        <v>3061203</v>
      </c>
      <c r="B17449" t="s">
        <v>53575</v>
      </c>
      <c r="C17449" t="str">
        <f>"8318643"</f>
        <v>8318643</v>
      </c>
      <c r="D17449" t="s">
        <v>53576</v>
      </c>
      <c r="F17449" t="s">
        <v>53577</v>
      </c>
      <c r="I17449" t="s">
        <v>2071</v>
      </c>
      <c r="J17449" t="s">
        <v>30</v>
      </c>
      <c r="K17449" t="s">
        <v>40353</v>
      </c>
      <c r="M17449" t="s">
        <v>17861</v>
      </c>
      <c r="N17449" t="str">
        <f>"9/6/2022 2:21:00 PM"</f>
        <v>9/6/2022 2:21:00 PM</v>
      </c>
      <c r="O17449" t="s">
        <v>53576</v>
      </c>
    </row>
    <row r="17450" spans="1:20" x14ac:dyDescent="0.25">
      <c r="A17450" t="str">
        <f>"3047966"</f>
        <v>3047966</v>
      </c>
      <c r="B17450" t="s">
        <v>53578</v>
      </c>
      <c r="C17450" t="str">
        <f>"8301334"</f>
        <v>8301334</v>
      </c>
      <c r="D17450" t="s">
        <v>53579</v>
      </c>
      <c r="F17450" t="s">
        <v>53580</v>
      </c>
      <c r="I17450" t="s">
        <v>53581</v>
      </c>
      <c r="J17450" t="s">
        <v>40852</v>
      </c>
      <c r="K17450" t="s">
        <v>53582</v>
      </c>
      <c r="M17450" t="s">
        <v>50621</v>
      </c>
      <c r="N17450" t="str">
        <f>"9/13/2022 10:49:00 AM"</f>
        <v>9/13/2022 10:49:00 AM</v>
      </c>
      <c r="O17450" t="s">
        <v>53579</v>
      </c>
    </row>
    <row r="17451" spans="1:20" x14ac:dyDescent="0.25">
      <c r="A17451" t="str">
        <f>"3051314"</f>
        <v>3051314</v>
      </c>
      <c r="B17451" t="s">
        <v>53583</v>
      </c>
      <c r="C17451" t="str">
        <f>"8307137"</f>
        <v>8307137</v>
      </c>
      <c r="D17451" t="s">
        <v>53584</v>
      </c>
      <c r="E17451" t="s">
        <v>53585</v>
      </c>
      <c r="F17451" t="s">
        <v>53586</v>
      </c>
      <c r="I17451" t="s">
        <v>29</v>
      </c>
      <c r="J17451" t="s">
        <v>30</v>
      </c>
      <c r="K17451" t="str">
        <f>"27028"</f>
        <v>27028</v>
      </c>
      <c r="M17451" t="s">
        <v>50621</v>
      </c>
      <c r="N17451" t="str">
        <f>"9/13/2022 11:24:00 AM"</f>
        <v>9/13/2022 11:24:00 AM</v>
      </c>
      <c r="O17451" t="s">
        <v>53584</v>
      </c>
      <c r="T17451" t="s">
        <v>53585</v>
      </c>
    </row>
    <row r="17452" spans="1:20" x14ac:dyDescent="0.25">
      <c r="A17452" t="str">
        <f>"3057578"</f>
        <v>3057578</v>
      </c>
      <c r="B17452" t="s">
        <v>53587</v>
      </c>
      <c r="C17452" t="str">
        <f>"8312805"</f>
        <v>8312805</v>
      </c>
      <c r="D17452" t="s">
        <v>53588</v>
      </c>
      <c r="E17452" t="s">
        <v>53589</v>
      </c>
      <c r="F17452" t="s">
        <v>53590</v>
      </c>
      <c r="I17452" t="s">
        <v>29</v>
      </c>
      <c r="J17452" t="s">
        <v>30</v>
      </c>
      <c r="K17452" t="str">
        <f>"27028"</f>
        <v>27028</v>
      </c>
      <c r="M17452" t="s">
        <v>50621</v>
      </c>
      <c r="N17452" t="str">
        <f>"9/13/2022 11:31:00 AM"</f>
        <v>9/13/2022 11:31:00 AM</v>
      </c>
      <c r="O17452" t="s">
        <v>53588</v>
      </c>
      <c r="T17452" t="s">
        <v>53589</v>
      </c>
    </row>
    <row r="17453" spans="1:20" x14ac:dyDescent="0.25">
      <c r="A17453" t="str">
        <f>"3058277"</f>
        <v>3058277</v>
      </c>
      <c r="B17453" t="s">
        <v>53591</v>
      </c>
      <c r="C17453" t="str">
        <f>"72364410"</f>
        <v>72364410</v>
      </c>
      <c r="D17453" t="s">
        <v>53592</v>
      </c>
      <c r="E17453" t="s">
        <v>53593</v>
      </c>
      <c r="F17453" t="s">
        <v>53594</v>
      </c>
      <c r="I17453" t="s">
        <v>29</v>
      </c>
      <c r="J17453" t="s">
        <v>30</v>
      </c>
      <c r="K17453" t="str">
        <f>"27028"</f>
        <v>27028</v>
      </c>
      <c r="M17453" t="s">
        <v>50621</v>
      </c>
      <c r="N17453" t="str">
        <f>"9/13/2022 11:36:00 AM"</f>
        <v>9/13/2022 11:36:00 AM</v>
      </c>
      <c r="O17453" t="s">
        <v>53592</v>
      </c>
      <c r="T17453" t="s">
        <v>53593</v>
      </c>
    </row>
    <row r="17454" spans="1:20" x14ac:dyDescent="0.25">
      <c r="A17454" t="str">
        <f>"3072241"</f>
        <v>3072241</v>
      </c>
      <c r="B17454" t="s">
        <v>53595</v>
      </c>
      <c r="C17454" t="str">
        <f>"82513355"</f>
        <v>82513355</v>
      </c>
      <c r="D17454" t="s">
        <v>53596</v>
      </c>
      <c r="E17454" t="s">
        <v>53597</v>
      </c>
      <c r="F17454" t="s">
        <v>53598</v>
      </c>
      <c r="I17454" t="s">
        <v>17921</v>
      </c>
      <c r="J17454" t="s">
        <v>30</v>
      </c>
      <c r="K17454" t="str">
        <f>"27028"</f>
        <v>27028</v>
      </c>
      <c r="M17454" t="s">
        <v>50621</v>
      </c>
      <c r="N17454" t="str">
        <f>"9/13/2022 11:38:00 AM"</f>
        <v>9/13/2022 11:38:00 AM</v>
      </c>
      <c r="O17454" t="s">
        <v>53596</v>
      </c>
      <c r="T17454" t="s">
        <v>53597</v>
      </c>
    </row>
    <row r="17455" spans="1:20" x14ac:dyDescent="0.25">
      <c r="A17455" t="str">
        <f>"3057802"</f>
        <v>3057802</v>
      </c>
      <c r="B17455" t="s">
        <v>53599</v>
      </c>
      <c r="C17455" t="str">
        <f>"82514194"</f>
        <v>82514194</v>
      </c>
      <c r="D17455" t="s">
        <v>53600</v>
      </c>
      <c r="F17455" t="str">
        <f>"C/O RAYMOND CELLEMME"</f>
        <v>C/O RAYMOND CELLEMME</v>
      </c>
      <c r="G17455" t="s">
        <v>38964</v>
      </c>
      <c r="I17455" t="s">
        <v>29</v>
      </c>
      <c r="J17455" t="s">
        <v>30</v>
      </c>
      <c r="K17455" t="s">
        <v>15135</v>
      </c>
      <c r="M17455" t="s">
        <v>18479</v>
      </c>
      <c r="N17455" t="str">
        <f>"9/13/2022 11:40:00 AM"</f>
        <v>9/13/2022 11:40:00 AM</v>
      </c>
      <c r="O17455" t="s">
        <v>53600</v>
      </c>
    </row>
    <row r="17456" spans="1:20" x14ac:dyDescent="0.25">
      <c r="A17456" t="str">
        <f>"3045085"</f>
        <v>3045085</v>
      </c>
      <c r="B17456" t="s">
        <v>53601</v>
      </c>
      <c r="C17456" t="str">
        <f>"8318711"</f>
        <v>8318711</v>
      </c>
      <c r="D17456" t="s">
        <v>52053</v>
      </c>
      <c r="F17456" t="s">
        <v>52055</v>
      </c>
      <c r="I17456" t="s">
        <v>29</v>
      </c>
      <c r="J17456" t="s">
        <v>30</v>
      </c>
      <c r="K17456" t="s">
        <v>53602</v>
      </c>
      <c r="M17456" t="s">
        <v>17861</v>
      </c>
      <c r="N17456" t="str">
        <f>"9/13/2022 1:41:00 PM"</f>
        <v>9/13/2022 1:41:00 PM</v>
      </c>
      <c r="O17456" t="s">
        <v>52053</v>
      </c>
    </row>
    <row r="17457" spans="1:20" x14ac:dyDescent="0.25">
      <c r="A17457" t="str">
        <f>"3045086"</f>
        <v>3045086</v>
      </c>
      <c r="B17457" t="s">
        <v>53603</v>
      </c>
      <c r="C17457" t="str">
        <f>"8318711"</f>
        <v>8318711</v>
      </c>
      <c r="D17457" t="s">
        <v>52053</v>
      </c>
      <c r="F17457" t="s">
        <v>52055</v>
      </c>
      <c r="I17457" t="s">
        <v>29</v>
      </c>
      <c r="J17457" t="s">
        <v>30</v>
      </c>
      <c r="K17457" t="s">
        <v>53602</v>
      </c>
      <c r="M17457" t="s">
        <v>17861</v>
      </c>
      <c r="N17457" t="str">
        <f>"9/13/2022 1:41:00 PM"</f>
        <v>9/13/2022 1:41:00 PM</v>
      </c>
      <c r="O17457" t="s">
        <v>52053</v>
      </c>
    </row>
    <row r="17458" spans="1:20" x14ac:dyDescent="0.25">
      <c r="A17458" t="str">
        <f>"3068306"</f>
        <v>3068306</v>
      </c>
      <c r="B17458" t="s">
        <v>53604</v>
      </c>
      <c r="C17458" t="str">
        <f>"8313366"</f>
        <v>8313366</v>
      </c>
      <c r="D17458" t="s">
        <v>53605</v>
      </c>
      <c r="E17458" t="s">
        <v>53606</v>
      </c>
      <c r="F17458" t="s">
        <v>53607</v>
      </c>
      <c r="I17458" t="s">
        <v>184</v>
      </c>
      <c r="J17458" t="s">
        <v>30</v>
      </c>
      <c r="K17458" t="s">
        <v>53608</v>
      </c>
      <c r="M17458" t="s">
        <v>50793</v>
      </c>
      <c r="N17458" t="str">
        <f>"9/13/2022 2:40:00 PM"</f>
        <v>9/13/2022 2:40:00 PM</v>
      </c>
      <c r="O17458" t="s">
        <v>53605</v>
      </c>
      <c r="T17458" t="s">
        <v>53606</v>
      </c>
    </row>
    <row r="17459" spans="1:20" x14ac:dyDescent="0.25">
      <c r="A17459" t="str">
        <f>"3055975"</f>
        <v>3055975</v>
      </c>
      <c r="B17459" t="s">
        <v>53609</v>
      </c>
      <c r="C17459" t="str">
        <f>"82523575"</f>
        <v>82523575</v>
      </c>
      <c r="D17459" t="s">
        <v>53610</v>
      </c>
      <c r="E17459" t="s">
        <v>53611</v>
      </c>
      <c r="F17459" t="s">
        <v>53612</v>
      </c>
      <c r="I17459" t="s">
        <v>1176</v>
      </c>
      <c r="J17459" t="s">
        <v>30</v>
      </c>
      <c r="K17459" t="str">
        <f>"27054"</f>
        <v>27054</v>
      </c>
      <c r="M17459" t="s">
        <v>50621</v>
      </c>
      <c r="N17459" t="str">
        <f>"9/13/2022 2:47:00 PM"</f>
        <v>9/13/2022 2:47:00 PM</v>
      </c>
      <c r="O17459" t="s">
        <v>53610</v>
      </c>
      <c r="T17459" t="s">
        <v>53611</v>
      </c>
    </row>
    <row r="17460" spans="1:20" x14ac:dyDescent="0.25">
      <c r="A17460" t="str">
        <f>"3055786"</f>
        <v>3055786</v>
      </c>
      <c r="B17460" t="s">
        <v>53613</v>
      </c>
      <c r="C17460" t="str">
        <f>"82523575"</f>
        <v>82523575</v>
      </c>
      <c r="D17460" t="s">
        <v>53610</v>
      </c>
      <c r="E17460" t="s">
        <v>53611</v>
      </c>
      <c r="F17460" t="s">
        <v>53612</v>
      </c>
      <c r="I17460" t="s">
        <v>1176</v>
      </c>
      <c r="J17460" t="s">
        <v>30</v>
      </c>
      <c r="K17460" t="str">
        <f>"27054"</f>
        <v>27054</v>
      </c>
      <c r="M17460" t="s">
        <v>50621</v>
      </c>
      <c r="N17460" t="str">
        <f>"9/13/2022 2:47:00 PM"</f>
        <v>9/13/2022 2:47:00 PM</v>
      </c>
      <c r="O17460" t="s">
        <v>53610</v>
      </c>
      <c r="T17460" t="s">
        <v>53611</v>
      </c>
    </row>
    <row r="17461" spans="1:20" x14ac:dyDescent="0.25">
      <c r="A17461" t="str">
        <f>"3049800"</f>
        <v>3049800</v>
      </c>
      <c r="B17461" t="s">
        <v>53614</v>
      </c>
      <c r="C17461" t="str">
        <f>"8308875"</f>
        <v>8308875</v>
      </c>
      <c r="D17461" t="s">
        <v>53615</v>
      </c>
      <c r="F17461" t="s">
        <v>53616</v>
      </c>
      <c r="I17461" t="s">
        <v>29</v>
      </c>
      <c r="J17461" t="s">
        <v>30</v>
      </c>
      <c r="K17461" t="str">
        <f>"27028"</f>
        <v>27028</v>
      </c>
      <c r="M17461" t="s">
        <v>50621</v>
      </c>
      <c r="N17461" t="str">
        <f>"9/14/2022 12:12:00 PM"</f>
        <v>9/14/2022 12:12:00 PM</v>
      </c>
      <c r="O17461" t="s">
        <v>53615</v>
      </c>
    </row>
    <row r="17462" spans="1:20" x14ac:dyDescent="0.25">
      <c r="A17462" t="str">
        <f>"3055182"</f>
        <v>3055182</v>
      </c>
      <c r="B17462" t="s">
        <v>53617</v>
      </c>
      <c r="C17462" t="str">
        <f>"82514275"</f>
        <v>82514275</v>
      </c>
      <c r="D17462" t="s">
        <v>53618</v>
      </c>
      <c r="F17462" t="s">
        <v>53619</v>
      </c>
      <c r="I17462" t="s">
        <v>17921</v>
      </c>
      <c r="J17462" t="s">
        <v>30</v>
      </c>
      <c r="K17462" t="str">
        <f>"27028"</f>
        <v>27028</v>
      </c>
      <c r="M17462" t="s">
        <v>50621</v>
      </c>
      <c r="N17462" t="str">
        <f>"9/14/2022 12:14:00 PM"</f>
        <v>9/14/2022 12:14:00 PM</v>
      </c>
      <c r="O17462" t="s">
        <v>53618</v>
      </c>
    </row>
    <row r="17463" spans="1:20" x14ac:dyDescent="0.25">
      <c r="A17463" t="str">
        <f>"3046085"</f>
        <v>3046085</v>
      </c>
      <c r="B17463" t="s">
        <v>53620</v>
      </c>
      <c r="C17463" t="str">
        <f>"8311272"</f>
        <v>8311272</v>
      </c>
      <c r="D17463" t="s">
        <v>53621</v>
      </c>
      <c r="E17463" t="s">
        <v>53622</v>
      </c>
      <c r="F17463" t="s">
        <v>53623</v>
      </c>
      <c r="G17463" t="s">
        <v>53624</v>
      </c>
      <c r="I17463" t="s">
        <v>17921</v>
      </c>
      <c r="J17463" t="s">
        <v>30</v>
      </c>
      <c r="K17463" t="str">
        <f>"27028"</f>
        <v>27028</v>
      </c>
      <c r="M17463" t="s">
        <v>50621</v>
      </c>
      <c r="N17463" t="str">
        <f>"9/14/2022 12:18:00 PM"</f>
        <v>9/14/2022 12:18:00 PM</v>
      </c>
      <c r="O17463" t="s">
        <v>53621</v>
      </c>
      <c r="T17463" t="s">
        <v>53622</v>
      </c>
    </row>
    <row r="17464" spans="1:20" x14ac:dyDescent="0.25">
      <c r="A17464" t="str">
        <f>"3057932"</f>
        <v>3057932</v>
      </c>
      <c r="B17464" t="s">
        <v>53625</v>
      </c>
      <c r="C17464" t="str">
        <f>"8318701"</f>
        <v>8318701</v>
      </c>
      <c r="D17464" t="s">
        <v>53626</v>
      </c>
      <c r="E17464" t="s">
        <v>53627</v>
      </c>
      <c r="F17464" t="s">
        <v>53628</v>
      </c>
      <c r="I17464" t="s">
        <v>184</v>
      </c>
      <c r="J17464" t="s">
        <v>30</v>
      </c>
      <c r="K17464" t="s">
        <v>5491</v>
      </c>
      <c r="M17464" t="s">
        <v>17861</v>
      </c>
      <c r="N17464" t="str">
        <f>"9/12/2022 9:49:00 AM"</f>
        <v>9/12/2022 9:49:00 AM</v>
      </c>
      <c r="O17464" t="s">
        <v>53626</v>
      </c>
      <c r="T17464" t="s">
        <v>53627</v>
      </c>
    </row>
    <row r="17465" spans="1:20" x14ac:dyDescent="0.25">
      <c r="A17465" t="str">
        <f>"3054662"</f>
        <v>3054662</v>
      </c>
      <c r="B17465" t="s">
        <v>53629</v>
      </c>
      <c r="C17465" t="str">
        <f>"8318702"</f>
        <v>8318702</v>
      </c>
      <c r="D17465" t="s">
        <v>53630</v>
      </c>
      <c r="E17465" t="s">
        <v>53631</v>
      </c>
      <c r="F17465" t="s">
        <v>53632</v>
      </c>
      <c r="I17465" t="s">
        <v>29</v>
      </c>
      <c r="J17465" t="s">
        <v>30</v>
      </c>
      <c r="K17465" t="s">
        <v>15237</v>
      </c>
      <c r="M17465" t="s">
        <v>17861</v>
      </c>
      <c r="N17465" t="str">
        <f>"9/12/2022 9:53:00 AM"</f>
        <v>9/12/2022 9:53:00 AM</v>
      </c>
      <c r="O17465" t="s">
        <v>53630</v>
      </c>
      <c r="T17465" t="s">
        <v>53631</v>
      </c>
    </row>
    <row r="17466" spans="1:20" x14ac:dyDescent="0.25">
      <c r="A17466" t="str">
        <f>"3058420"</f>
        <v>3058420</v>
      </c>
      <c r="B17466" t="s">
        <v>53633</v>
      </c>
      <c r="C17466" t="str">
        <f>"8318703"</f>
        <v>8318703</v>
      </c>
      <c r="D17466" t="s">
        <v>53634</v>
      </c>
      <c r="E17466" t="s">
        <v>53635</v>
      </c>
      <c r="F17466" t="s">
        <v>53636</v>
      </c>
      <c r="I17466" t="s">
        <v>29</v>
      </c>
      <c r="J17466" t="s">
        <v>30</v>
      </c>
      <c r="K17466" t="s">
        <v>53637</v>
      </c>
      <c r="M17466" t="s">
        <v>17861</v>
      </c>
      <c r="N17466" t="str">
        <f>"9/12/2022 9:59:00 AM"</f>
        <v>9/12/2022 9:59:00 AM</v>
      </c>
      <c r="O17466" t="s">
        <v>53634</v>
      </c>
      <c r="T17466" t="s">
        <v>53635</v>
      </c>
    </row>
    <row r="17467" spans="1:20" x14ac:dyDescent="0.25">
      <c r="A17467" t="str">
        <f>"3059424"</f>
        <v>3059424</v>
      </c>
      <c r="B17467" t="s">
        <v>53638</v>
      </c>
      <c r="C17467" t="str">
        <f>"8318706"</f>
        <v>8318706</v>
      </c>
      <c r="D17467" t="s">
        <v>53639</v>
      </c>
      <c r="F17467" t="s">
        <v>53640</v>
      </c>
      <c r="I17467" t="s">
        <v>29</v>
      </c>
      <c r="J17467" t="s">
        <v>30</v>
      </c>
      <c r="K17467" t="s">
        <v>11584</v>
      </c>
      <c r="M17467" t="s">
        <v>17861</v>
      </c>
      <c r="N17467" t="str">
        <f>"9/13/2022 9:14:00 AM"</f>
        <v>9/13/2022 9:14:00 AM</v>
      </c>
      <c r="O17467" t="s">
        <v>53639</v>
      </c>
    </row>
    <row r="17468" spans="1:20" x14ac:dyDescent="0.25">
      <c r="A17468" t="str">
        <f>"3072680"</f>
        <v>3072680</v>
      </c>
      <c r="B17468" t="s">
        <v>53641</v>
      </c>
      <c r="C17468" t="str">
        <f>"8318707"</f>
        <v>8318707</v>
      </c>
      <c r="D17468" t="s">
        <v>53642</v>
      </c>
      <c r="E17468" t="s">
        <v>53643</v>
      </c>
      <c r="F17468" t="s">
        <v>53644</v>
      </c>
      <c r="I17468" t="s">
        <v>184</v>
      </c>
      <c r="J17468" t="s">
        <v>30</v>
      </c>
      <c r="K17468" t="s">
        <v>15063</v>
      </c>
      <c r="M17468" t="s">
        <v>17861</v>
      </c>
      <c r="N17468" t="str">
        <f>"9/13/2022 9:39:00 AM"</f>
        <v>9/13/2022 9:39:00 AM</v>
      </c>
      <c r="O17468" t="s">
        <v>53642</v>
      </c>
      <c r="T17468" t="s">
        <v>53643</v>
      </c>
    </row>
    <row r="17469" spans="1:20" x14ac:dyDescent="0.25">
      <c r="A17469" t="str">
        <f>"3039237"</f>
        <v>3039237</v>
      </c>
      <c r="B17469" t="s">
        <v>53645</v>
      </c>
      <c r="C17469" t="str">
        <f>"39084000"</f>
        <v>39084000</v>
      </c>
      <c r="D17469" t="s">
        <v>53646</v>
      </c>
      <c r="F17469" t="s">
        <v>53647</v>
      </c>
      <c r="I17469" t="s">
        <v>29</v>
      </c>
      <c r="J17469" t="s">
        <v>30</v>
      </c>
      <c r="K17469" t="str">
        <f>"27028"</f>
        <v>27028</v>
      </c>
      <c r="M17469" t="s">
        <v>50621</v>
      </c>
      <c r="N17469" t="str">
        <f>"9/14/2022 2:10:00 PM"</f>
        <v>9/14/2022 2:10:00 PM</v>
      </c>
      <c r="O17469" t="s">
        <v>53646</v>
      </c>
    </row>
    <row r="17470" spans="1:20" x14ac:dyDescent="0.25">
      <c r="A17470" t="str">
        <f>"3044074"</f>
        <v>3044074</v>
      </c>
      <c r="B17470" t="s">
        <v>53648</v>
      </c>
      <c r="C17470" t="str">
        <f>"8304409"</f>
        <v>8304409</v>
      </c>
      <c r="D17470" t="s">
        <v>53649</v>
      </c>
      <c r="E17470" t="s">
        <v>53650</v>
      </c>
      <c r="F17470" t="s">
        <v>53651</v>
      </c>
      <c r="I17470" t="s">
        <v>24359</v>
      </c>
      <c r="J17470" t="s">
        <v>30</v>
      </c>
      <c r="K17470" t="str">
        <f>"27006"</f>
        <v>27006</v>
      </c>
      <c r="M17470" t="s">
        <v>50621</v>
      </c>
      <c r="N17470" t="str">
        <f>"9/14/2022 2:16:00 PM"</f>
        <v>9/14/2022 2:16:00 PM</v>
      </c>
      <c r="O17470" t="s">
        <v>53649</v>
      </c>
      <c r="T17470" t="s">
        <v>53650</v>
      </c>
    </row>
    <row r="17471" spans="1:20" x14ac:dyDescent="0.25">
      <c r="A17471" t="str">
        <f>"3038779"</f>
        <v>3038779</v>
      </c>
      <c r="B17471" t="s">
        <v>53652</v>
      </c>
      <c r="C17471" t="str">
        <f>"53536690"</f>
        <v>53536690</v>
      </c>
      <c r="D17471" t="s">
        <v>53653</v>
      </c>
      <c r="F17471" t="s">
        <v>53654</v>
      </c>
      <c r="I17471" t="s">
        <v>29</v>
      </c>
      <c r="J17471" t="s">
        <v>30</v>
      </c>
      <c r="K17471" t="s">
        <v>31</v>
      </c>
      <c r="M17471" t="s">
        <v>50621</v>
      </c>
      <c r="N17471" t="str">
        <f>"9/14/2022 2:22:00 PM"</f>
        <v>9/14/2022 2:22:00 PM</v>
      </c>
      <c r="O17471" t="s">
        <v>53653</v>
      </c>
    </row>
    <row r="17472" spans="1:20" x14ac:dyDescent="0.25">
      <c r="A17472" t="str">
        <f>"3059999"</f>
        <v>3059999</v>
      </c>
      <c r="B17472" t="s">
        <v>53655</v>
      </c>
      <c r="C17472" t="str">
        <f>"8315118"</f>
        <v>8315118</v>
      </c>
      <c r="D17472" t="s">
        <v>53656</v>
      </c>
      <c r="F17472" t="s">
        <v>53657</v>
      </c>
      <c r="I17472" t="s">
        <v>24359</v>
      </c>
      <c r="J17472" t="s">
        <v>30</v>
      </c>
      <c r="K17472" t="str">
        <f>"27006"</f>
        <v>27006</v>
      </c>
      <c r="M17472" t="s">
        <v>50621</v>
      </c>
      <c r="N17472" t="str">
        <f>"9/14/2022 2:47:00 PM"</f>
        <v>9/14/2022 2:47:00 PM</v>
      </c>
      <c r="O17472" t="s">
        <v>53656</v>
      </c>
    </row>
    <row r="17473" spans="1:20" x14ac:dyDescent="0.25">
      <c r="A17473" t="str">
        <f>"3044011"</f>
        <v>3044011</v>
      </c>
      <c r="B17473" t="s">
        <v>53658</v>
      </c>
      <c r="C17473" t="str">
        <f>"8315401"</f>
        <v>8315401</v>
      </c>
      <c r="D17473" t="s">
        <v>53659</v>
      </c>
      <c r="F17473" t="s">
        <v>25897</v>
      </c>
      <c r="I17473" t="s">
        <v>184</v>
      </c>
      <c r="J17473" t="s">
        <v>30</v>
      </c>
      <c r="K17473" t="s">
        <v>5707</v>
      </c>
      <c r="M17473" t="s">
        <v>17861</v>
      </c>
      <c r="N17473" t="str">
        <f>"9/14/2022 2:49:00 PM"</f>
        <v>9/14/2022 2:49:00 PM</v>
      </c>
      <c r="O17473" t="s">
        <v>53659</v>
      </c>
    </row>
    <row r="17474" spans="1:20" x14ac:dyDescent="0.25">
      <c r="A17474" t="str">
        <f>"3046385"</f>
        <v>3046385</v>
      </c>
      <c r="B17474" t="s">
        <v>53660</v>
      </c>
      <c r="C17474" t="str">
        <f>"8306010"</f>
        <v>8306010</v>
      </c>
      <c r="D17474" t="s">
        <v>53661</v>
      </c>
      <c r="E17474" t="s">
        <v>53662</v>
      </c>
      <c r="F17474" t="s">
        <v>53663</v>
      </c>
      <c r="I17474" t="s">
        <v>29</v>
      </c>
      <c r="J17474" t="s">
        <v>30</v>
      </c>
      <c r="K17474" t="str">
        <f>"27028"</f>
        <v>27028</v>
      </c>
      <c r="M17474" t="s">
        <v>50621</v>
      </c>
      <c r="N17474" t="str">
        <f>"9/14/2022 2:52:00 PM"</f>
        <v>9/14/2022 2:52:00 PM</v>
      </c>
      <c r="O17474" t="s">
        <v>53661</v>
      </c>
      <c r="T17474" t="s">
        <v>53662</v>
      </c>
    </row>
    <row r="17475" spans="1:20" x14ac:dyDescent="0.25">
      <c r="A17475" t="str">
        <f>"3052652"</f>
        <v>3052652</v>
      </c>
      <c r="B17475" t="s">
        <v>53664</v>
      </c>
      <c r="C17475" t="str">
        <f>"82521630"</f>
        <v>82521630</v>
      </c>
      <c r="D17475" t="s">
        <v>53665</v>
      </c>
      <c r="E17475" t="s">
        <v>53666</v>
      </c>
      <c r="F17475" t="s">
        <v>53667</v>
      </c>
      <c r="I17475" t="s">
        <v>53668</v>
      </c>
      <c r="J17475" t="s">
        <v>2109</v>
      </c>
      <c r="K17475" t="str">
        <f>"23314"</f>
        <v>23314</v>
      </c>
      <c r="M17475" t="s">
        <v>50621</v>
      </c>
      <c r="N17475" t="str">
        <f>"9/14/2022 2:58:00 PM"</f>
        <v>9/14/2022 2:58:00 PM</v>
      </c>
      <c r="O17475" t="s">
        <v>53665</v>
      </c>
      <c r="T17475" t="s">
        <v>53666</v>
      </c>
    </row>
    <row r="17476" spans="1:20" x14ac:dyDescent="0.25">
      <c r="A17476" t="str">
        <f>"3057421"</f>
        <v>3057421</v>
      </c>
      <c r="B17476" t="s">
        <v>53669</v>
      </c>
      <c r="C17476" t="str">
        <f>"36911000"</f>
        <v>36911000</v>
      </c>
      <c r="D17476" t="s">
        <v>53670</v>
      </c>
      <c r="F17476" t="s">
        <v>53671</v>
      </c>
      <c r="G17476" t="s">
        <v>25897</v>
      </c>
      <c r="I17476" t="s">
        <v>184</v>
      </c>
      <c r="J17476" t="s">
        <v>30</v>
      </c>
      <c r="K17476" t="s">
        <v>5707</v>
      </c>
      <c r="M17476" t="s">
        <v>17861</v>
      </c>
      <c r="N17476" t="str">
        <f>"9/14/2022 3:00:00 PM"</f>
        <v>9/14/2022 3:00:00 PM</v>
      </c>
      <c r="O17476" t="s">
        <v>53670</v>
      </c>
    </row>
    <row r="17477" spans="1:20" x14ac:dyDescent="0.25">
      <c r="A17477" t="str">
        <f>"3053080"</f>
        <v>3053080</v>
      </c>
      <c r="B17477" t="s">
        <v>53672</v>
      </c>
      <c r="C17477" t="str">
        <f>"8317623"</f>
        <v>8317623</v>
      </c>
      <c r="D17477" t="s">
        <v>53673</v>
      </c>
      <c r="F17477" t="s">
        <v>53674</v>
      </c>
      <c r="I17477" t="s">
        <v>53675</v>
      </c>
      <c r="J17477" t="s">
        <v>30</v>
      </c>
      <c r="K17477" t="str">
        <f>"27249"</f>
        <v>27249</v>
      </c>
      <c r="M17477" t="s">
        <v>50621</v>
      </c>
      <c r="N17477" t="str">
        <f>"9/14/2022 3:01:00 PM"</f>
        <v>9/14/2022 3:01:00 PM</v>
      </c>
      <c r="O17477" t="s">
        <v>53673</v>
      </c>
    </row>
    <row r="17478" spans="1:20" x14ac:dyDescent="0.25">
      <c r="A17478" t="str">
        <f>"3060431"</f>
        <v>3060431</v>
      </c>
      <c r="B17478" t="s">
        <v>53676</v>
      </c>
      <c r="C17478" t="str">
        <f>"8305195"</f>
        <v>8305195</v>
      </c>
      <c r="D17478" t="s">
        <v>53677</v>
      </c>
      <c r="E17478" t="s">
        <v>53678</v>
      </c>
      <c r="F17478" t="s">
        <v>53679</v>
      </c>
      <c r="I17478" t="s">
        <v>53680</v>
      </c>
      <c r="J17478" t="s">
        <v>11697</v>
      </c>
      <c r="K17478" t="s">
        <v>53681</v>
      </c>
      <c r="M17478" t="s">
        <v>50621</v>
      </c>
      <c r="N17478" t="str">
        <f>"9/15/2022 3:31:00 PM"</f>
        <v>9/15/2022 3:31:00 PM</v>
      </c>
      <c r="O17478" t="s">
        <v>53677</v>
      </c>
      <c r="T17478" t="s">
        <v>53678</v>
      </c>
    </row>
    <row r="17479" spans="1:20" x14ac:dyDescent="0.25">
      <c r="A17479" t="str">
        <f>"3041928"</f>
        <v>3041928</v>
      </c>
      <c r="B17479" t="s">
        <v>53682</v>
      </c>
      <c r="C17479" t="str">
        <f>"35530000"</f>
        <v>35530000</v>
      </c>
      <c r="D17479" t="s">
        <v>53683</v>
      </c>
      <c r="E17479" t="s">
        <v>53684</v>
      </c>
      <c r="F17479" t="s">
        <v>53685</v>
      </c>
      <c r="I17479" t="s">
        <v>184</v>
      </c>
      <c r="J17479" t="s">
        <v>30</v>
      </c>
      <c r="K17479" t="s">
        <v>185</v>
      </c>
      <c r="M17479" t="s">
        <v>50621</v>
      </c>
      <c r="N17479" t="str">
        <f>"9/15/2022 3:34:00 PM"</f>
        <v>9/15/2022 3:34:00 PM</v>
      </c>
      <c r="O17479" t="s">
        <v>53683</v>
      </c>
      <c r="T17479" t="s">
        <v>53684</v>
      </c>
    </row>
    <row r="17480" spans="1:20" x14ac:dyDescent="0.25">
      <c r="A17480" t="str">
        <f>"3061673"</f>
        <v>3061673</v>
      </c>
      <c r="B17480" t="s">
        <v>53686</v>
      </c>
      <c r="C17480" t="str">
        <f>"8303456"</f>
        <v>8303456</v>
      </c>
      <c r="D17480" t="s">
        <v>53687</v>
      </c>
      <c r="F17480" t="s">
        <v>53688</v>
      </c>
      <c r="I17480" t="s">
        <v>53689</v>
      </c>
      <c r="J17480" t="s">
        <v>3737</v>
      </c>
      <c r="K17480" t="s">
        <v>53690</v>
      </c>
      <c r="M17480" t="s">
        <v>50621</v>
      </c>
      <c r="N17480" t="str">
        <f>"9/15/2022 3:37:00 PM"</f>
        <v>9/15/2022 3:37:00 PM</v>
      </c>
      <c r="O17480" t="s">
        <v>53687</v>
      </c>
    </row>
    <row r="17481" spans="1:20" x14ac:dyDescent="0.25">
      <c r="A17481" t="str">
        <f>"3041828"</f>
        <v>3041828</v>
      </c>
      <c r="B17481" t="s">
        <v>53691</v>
      </c>
      <c r="C17481" t="str">
        <f>"8301526"</f>
        <v>8301526</v>
      </c>
      <c r="D17481" t="s">
        <v>53692</v>
      </c>
      <c r="F17481" t="s">
        <v>35807</v>
      </c>
      <c r="I17481" t="s">
        <v>184</v>
      </c>
      <c r="J17481" t="s">
        <v>30</v>
      </c>
      <c r="K17481" t="str">
        <f>"27006"</f>
        <v>27006</v>
      </c>
      <c r="M17481" t="s">
        <v>50621</v>
      </c>
      <c r="N17481" t="str">
        <f>"9/15/2022 3:39:00 PM"</f>
        <v>9/15/2022 3:39:00 PM</v>
      </c>
      <c r="O17481" t="s">
        <v>53692</v>
      </c>
    </row>
    <row r="17482" spans="1:20" x14ac:dyDescent="0.25">
      <c r="A17482" t="str">
        <f>"3061773"</f>
        <v>3061773</v>
      </c>
      <c r="B17482" t="s">
        <v>53693</v>
      </c>
      <c r="C17482" t="str">
        <f>"82522189"</f>
        <v>82522189</v>
      </c>
      <c r="D17482" t="s">
        <v>53694</v>
      </c>
      <c r="F17482" t="s">
        <v>53695</v>
      </c>
      <c r="I17482" t="s">
        <v>184</v>
      </c>
      <c r="J17482" t="s">
        <v>30</v>
      </c>
      <c r="K17482" t="str">
        <f>"27006"</f>
        <v>27006</v>
      </c>
      <c r="M17482" t="s">
        <v>50621</v>
      </c>
      <c r="N17482" t="str">
        <f>"9/15/2022 3:42:00 PM"</f>
        <v>9/15/2022 3:42:00 PM</v>
      </c>
      <c r="O17482" t="s">
        <v>53694</v>
      </c>
    </row>
    <row r="17483" spans="1:20" x14ac:dyDescent="0.25">
      <c r="A17483" t="str">
        <f>"3045589"</f>
        <v>3045589</v>
      </c>
      <c r="B17483" t="s">
        <v>53696</v>
      </c>
      <c r="C17483" t="str">
        <f>"82528304"</f>
        <v>82528304</v>
      </c>
      <c r="D17483" t="s">
        <v>53697</v>
      </c>
      <c r="F17483" t="s">
        <v>53698</v>
      </c>
      <c r="I17483" t="s">
        <v>36675</v>
      </c>
      <c r="J17483" t="s">
        <v>30</v>
      </c>
      <c r="K17483" t="str">
        <f>"28166"</f>
        <v>28166</v>
      </c>
      <c r="M17483" t="s">
        <v>50621</v>
      </c>
      <c r="N17483" t="str">
        <f>"9/15/2022 3:44:00 PM"</f>
        <v>9/15/2022 3:44:00 PM</v>
      </c>
      <c r="O17483" t="s">
        <v>53697</v>
      </c>
    </row>
    <row r="17484" spans="1:20" x14ac:dyDescent="0.25">
      <c r="A17484" t="str">
        <f>"3059701"</f>
        <v>3059701</v>
      </c>
      <c r="B17484" t="s">
        <v>53699</v>
      </c>
      <c r="C17484" t="str">
        <f>"1077000"</f>
        <v>1077000</v>
      </c>
      <c r="D17484" t="s">
        <v>53700</v>
      </c>
      <c r="E17484" t="s">
        <v>53701</v>
      </c>
      <c r="F17484" t="s">
        <v>53702</v>
      </c>
      <c r="I17484" t="s">
        <v>29</v>
      </c>
      <c r="J17484" t="s">
        <v>30</v>
      </c>
      <c r="K17484" t="s">
        <v>31</v>
      </c>
      <c r="M17484" t="s">
        <v>50621</v>
      </c>
      <c r="N17484" t="str">
        <f>"9/15/2022 3:52:00 PM"</f>
        <v>9/15/2022 3:52:00 PM</v>
      </c>
      <c r="O17484" t="s">
        <v>53700</v>
      </c>
      <c r="T17484" t="s">
        <v>53701</v>
      </c>
    </row>
    <row r="17485" spans="1:20" x14ac:dyDescent="0.25">
      <c r="A17485" t="str">
        <f>"3061237"</f>
        <v>3061237</v>
      </c>
      <c r="B17485" t="s">
        <v>53703</v>
      </c>
      <c r="C17485" t="str">
        <f>"8313903"</f>
        <v>8313903</v>
      </c>
      <c r="D17485" t="s">
        <v>53704</v>
      </c>
      <c r="F17485" t="s">
        <v>53705</v>
      </c>
      <c r="G17485" t="s">
        <v>53706</v>
      </c>
      <c r="I17485" t="s">
        <v>2071</v>
      </c>
      <c r="J17485" t="s">
        <v>30</v>
      </c>
      <c r="K17485" t="s">
        <v>53707</v>
      </c>
      <c r="M17485" t="s">
        <v>50621</v>
      </c>
      <c r="N17485" t="str">
        <f>"9/15/2022 3:58:00 PM"</f>
        <v>9/15/2022 3:58:00 PM</v>
      </c>
      <c r="O17485" t="s">
        <v>53704</v>
      </c>
    </row>
    <row r="17486" spans="1:20" x14ac:dyDescent="0.25">
      <c r="A17486" t="str">
        <f>"3039035"</f>
        <v>3039035</v>
      </c>
      <c r="B17486" t="s">
        <v>53708</v>
      </c>
      <c r="C17486" t="str">
        <f>"8311956"</f>
        <v>8311956</v>
      </c>
      <c r="D17486" t="s">
        <v>53709</v>
      </c>
      <c r="F17486" t="s">
        <v>53710</v>
      </c>
      <c r="I17486" t="s">
        <v>29</v>
      </c>
      <c r="J17486" t="s">
        <v>30</v>
      </c>
      <c r="K17486" t="str">
        <f>"27028"</f>
        <v>27028</v>
      </c>
      <c r="M17486" t="s">
        <v>18470</v>
      </c>
      <c r="N17486" t="str">
        <f>"9/14/2022 3:30:00 PM"</f>
        <v>9/14/2022 3:30:00 PM</v>
      </c>
      <c r="O17486" t="s">
        <v>53709</v>
      </c>
    </row>
    <row r="17487" spans="1:20" x14ac:dyDescent="0.25">
      <c r="A17487" t="str">
        <f>"3052073"</f>
        <v>3052073</v>
      </c>
      <c r="B17487" t="s">
        <v>53711</v>
      </c>
      <c r="C17487" t="str">
        <f>"8318718"</f>
        <v>8318718</v>
      </c>
      <c r="D17487" t="s">
        <v>53712</v>
      </c>
      <c r="F17487" t="s">
        <v>53713</v>
      </c>
      <c r="I17487" t="s">
        <v>29</v>
      </c>
      <c r="J17487" t="s">
        <v>30</v>
      </c>
      <c r="K17487" t="s">
        <v>53714</v>
      </c>
      <c r="M17487" t="s">
        <v>17861</v>
      </c>
      <c r="N17487" t="str">
        <f>"9/16/2022 8:37:00 AM"</f>
        <v>9/16/2022 8:37:00 AM</v>
      </c>
      <c r="O17487" t="s">
        <v>53712</v>
      </c>
    </row>
    <row r="17488" spans="1:20" x14ac:dyDescent="0.25">
      <c r="A17488" t="str">
        <f>"3057278"</f>
        <v>3057278</v>
      </c>
      <c r="B17488" t="s">
        <v>53715</v>
      </c>
      <c r="C17488" t="str">
        <f>"8318719"</f>
        <v>8318719</v>
      </c>
      <c r="D17488" t="s">
        <v>51043</v>
      </c>
      <c r="E17488" t="s">
        <v>53716</v>
      </c>
      <c r="F17488" t="s">
        <v>53717</v>
      </c>
      <c r="I17488" t="s">
        <v>29</v>
      </c>
      <c r="J17488" t="s">
        <v>30</v>
      </c>
      <c r="K17488" t="s">
        <v>12144</v>
      </c>
      <c r="M17488" t="s">
        <v>17861</v>
      </c>
      <c r="N17488" t="str">
        <f>"9/16/2022 9:02:00 AM"</f>
        <v>9/16/2022 9:02:00 AM</v>
      </c>
      <c r="O17488" t="s">
        <v>51043</v>
      </c>
      <c r="T17488" t="s">
        <v>53716</v>
      </c>
    </row>
    <row r="17489" spans="1:20" x14ac:dyDescent="0.25">
      <c r="A17489" t="str">
        <f>"3062279"</f>
        <v>3062279</v>
      </c>
      <c r="B17489" t="s">
        <v>53718</v>
      </c>
      <c r="C17489" t="str">
        <f>"8318719"</f>
        <v>8318719</v>
      </c>
      <c r="D17489" t="s">
        <v>51043</v>
      </c>
      <c r="E17489" t="s">
        <v>53716</v>
      </c>
      <c r="F17489" t="s">
        <v>53717</v>
      </c>
      <c r="I17489" t="s">
        <v>29</v>
      </c>
      <c r="J17489" t="s">
        <v>30</v>
      </c>
      <c r="K17489" t="s">
        <v>12144</v>
      </c>
      <c r="M17489" t="s">
        <v>17861</v>
      </c>
      <c r="N17489" t="str">
        <f>"9/16/2022 9:02:00 AM"</f>
        <v>9/16/2022 9:02:00 AM</v>
      </c>
      <c r="O17489" t="s">
        <v>51043</v>
      </c>
      <c r="T17489" t="s">
        <v>53716</v>
      </c>
    </row>
    <row r="17490" spans="1:20" x14ac:dyDescent="0.25">
      <c r="A17490" t="str">
        <f>"3038253"</f>
        <v>3038253</v>
      </c>
      <c r="B17490" t="s">
        <v>53719</v>
      </c>
      <c r="C17490" t="str">
        <f>"8311956"</f>
        <v>8311956</v>
      </c>
      <c r="D17490" t="s">
        <v>53709</v>
      </c>
      <c r="F17490" t="s">
        <v>53710</v>
      </c>
      <c r="I17490" t="s">
        <v>29</v>
      </c>
      <c r="J17490" t="s">
        <v>30</v>
      </c>
      <c r="K17490" t="str">
        <f>"27028"</f>
        <v>27028</v>
      </c>
      <c r="M17490" t="s">
        <v>18470</v>
      </c>
      <c r="N17490" t="str">
        <f>"9/14/2022 3:30:00 PM"</f>
        <v>9/14/2022 3:30:00 PM</v>
      </c>
      <c r="O17490" t="s">
        <v>53709</v>
      </c>
    </row>
    <row r="17491" spans="1:20" x14ac:dyDescent="0.25">
      <c r="A17491" t="str">
        <f>"3060730"</f>
        <v>3060730</v>
      </c>
      <c r="B17491" t="s">
        <v>53720</v>
      </c>
      <c r="C17491" t="str">
        <f>"8306070"</f>
        <v>8306070</v>
      </c>
      <c r="D17491" t="s">
        <v>53721</v>
      </c>
      <c r="F17491" t="s">
        <v>53722</v>
      </c>
      <c r="I17491" t="s">
        <v>24359</v>
      </c>
      <c r="J17491" t="s">
        <v>30</v>
      </c>
      <c r="K17491" t="str">
        <f>"27006"</f>
        <v>27006</v>
      </c>
      <c r="M17491" t="s">
        <v>50621</v>
      </c>
      <c r="N17491" t="str">
        <f>"9/14/2022 3:08:00 PM"</f>
        <v>9/14/2022 3:08:00 PM</v>
      </c>
      <c r="O17491" t="s">
        <v>53721</v>
      </c>
    </row>
    <row r="17492" spans="1:20" x14ac:dyDescent="0.25">
      <c r="A17492" t="str">
        <f>"3060660"</f>
        <v>3060660</v>
      </c>
      <c r="B17492" t="s">
        <v>53723</v>
      </c>
      <c r="C17492" t="str">
        <f>"8318723"</f>
        <v>8318723</v>
      </c>
      <c r="D17492" t="s">
        <v>53724</v>
      </c>
      <c r="E17492" t="s">
        <v>53725</v>
      </c>
      <c r="F17492" t="s">
        <v>53726</v>
      </c>
      <c r="I17492" t="s">
        <v>2071</v>
      </c>
      <c r="J17492" t="s">
        <v>30</v>
      </c>
      <c r="K17492" t="s">
        <v>6489</v>
      </c>
      <c r="M17492" t="s">
        <v>17861</v>
      </c>
      <c r="N17492" t="str">
        <f>"9/16/2022 9:21:00 AM"</f>
        <v>9/16/2022 9:21:00 AM</v>
      </c>
      <c r="O17492" t="s">
        <v>53724</v>
      </c>
      <c r="T17492" t="s">
        <v>53725</v>
      </c>
    </row>
    <row r="17493" spans="1:20" x14ac:dyDescent="0.25">
      <c r="A17493" t="str">
        <f>"3058993"</f>
        <v>3058993</v>
      </c>
      <c r="B17493" t="s">
        <v>53727</v>
      </c>
      <c r="C17493" t="str">
        <f>"8318725"</f>
        <v>8318725</v>
      </c>
      <c r="D17493" t="s">
        <v>53728</v>
      </c>
      <c r="F17493" t="s">
        <v>53729</v>
      </c>
      <c r="I17493" t="s">
        <v>29</v>
      </c>
      <c r="J17493" t="s">
        <v>30</v>
      </c>
      <c r="K17493" t="s">
        <v>24290</v>
      </c>
      <c r="M17493" t="s">
        <v>17861</v>
      </c>
      <c r="N17493" t="str">
        <f>"9/16/2022 12:18:00 PM"</f>
        <v>9/16/2022 12:18:00 PM</v>
      </c>
      <c r="O17493" t="s">
        <v>53728</v>
      </c>
    </row>
    <row r="17494" spans="1:20" x14ac:dyDescent="0.25">
      <c r="A17494" t="str">
        <f>"3055169"</f>
        <v>3055169</v>
      </c>
      <c r="B17494" t="s">
        <v>53730</v>
      </c>
      <c r="C17494" t="str">
        <f>"25025000"</f>
        <v>25025000</v>
      </c>
      <c r="D17494" t="s">
        <v>53731</v>
      </c>
      <c r="F17494" t="s">
        <v>53732</v>
      </c>
      <c r="I17494" t="s">
        <v>29</v>
      </c>
      <c r="J17494" t="s">
        <v>30</v>
      </c>
      <c r="K17494" t="s">
        <v>31</v>
      </c>
      <c r="M17494" t="s">
        <v>33845</v>
      </c>
      <c r="N17494" t="str">
        <f>"9/16/2022 2:08:00 PM"</f>
        <v>9/16/2022 2:08:00 PM</v>
      </c>
      <c r="O17494" t="s">
        <v>53731</v>
      </c>
    </row>
    <row r="17495" spans="1:20" x14ac:dyDescent="0.25">
      <c r="A17495" t="str">
        <f>"3054745"</f>
        <v>3054745</v>
      </c>
      <c r="B17495" t="s">
        <v>53733</v>
      </c>
      <c r="C17495" t="str">
        <f>"25025000"</f>
        <v>25025000</v>
      </c>
      <c r="D17495" t="s">
        <v>53731</v>
      </c>
      <c r="F17495" t="s">
        <v>53732</v>
      </c>
      <c r="I17495" t="s">
        <v>29</v>
      </c>
      <c r="J17495" t="s">
        <v>30</v>
      </c>
      <c r="K17495" t="s">
        <v>31</v>
      </c>
      <c r="M17495" t="s">
        <v>33845</v>
      </c>
      <c r="N17495" t="str">
        <f>"9/16/2022 2:08:00 PM"</f>
        <v>9/16/2022 2:08:00 PM</v>
      </c>
      <c r="O17495" t="s">
        <v>53731</v>
      </c>
    </row>
    <row r="17496" spans="1:20" x14ac:dyDescent="0.25">
      <c r="A17496" t="str">
        <f>"3054858"</f>
        <v>3054858</v>
      </c>
      <c r="B17496" t="s">
        <v>53734</v>
      </c>
      <c r="C17496" t="str">
        <f>"25025000"</f>
        <v>25025000</v>
      </c>
      <c r="D17496" t="s">
        <v>53731</v>
      </c>
      <c r="F17496" t="s">
        <v>53732</v>
      </c>
      <c r="I17496" t="s">
        <v>29</v>
      </c>
      <c r="J17496" t="s">
        <v>30</v>
      </c>
      <c r="K17496" t="s">
        <v>31</v>
      </c>
      <c r="M17496" t="s">
        <v>33845</v>
      </c>
      <c r="N17496" t="str">
        <f>"9/16/2022 2:08:00 PM"</f>
        <v>9/16/2022 2:08:00 PM</v>
      </c>
      <c r="O17496" t="s">
        <v>53731</v>
      </c>
    </row>
    <row r="17497" spans="1:20" x14ac:dyDescent="0.25">
      <c r="A17497" t="str">
        <f>"3057629"</f>
        <v>3057629</v>
      </c>
      <c r="B17497" t="s">
        <v>53735</v>
      </c>
      <c r="C17497" t="str">
        <f>"8318727"</f>
        <v>8318727</v>
      </c>
      <c r="D17497" t="s">
        <v>53736</v>
      </c>
      <c r="E17497" t="s">
        <v>53737</v>
      </c>
      <c r="F17497" t="s">
        <v>53738</v>
      </c>
      <c r="I17497" t="s">
        <v>29</v>
      </c>
      <c r="J17497" t="s">
        <v>30</v>
      </c>
      <c r="K17497" t="s">
        <v>46628</v>
      </c>
      <c r="M17497" t="s">
        <v>17861</v>
      </c>
      <c r="N17497" t="str">
        <f>"9/19/2022 8:12:00 AM"</f>
        <v>9/19/2022 8:12:00 AM</v>
      </c>
      <c r="O17497" t="s">
        <v>53736</v>
      </c>
      <c r="T17497" t="s">
        <v>53737</v>
      </c>
    </row>
    <row r="17498" spans="1:20" x14ac:dyDescent="0.25">
      <c r="A17498" t="str">
        <f>"3057365"</f>
        <v>3057365</v>
      </c>
      <c r="B17498" t="s">
        <v>53739</v>
      </c>
      <c r="C17498" t="str">
        <f>"8318728"</f>
        <v>8318728</v>
      </c>
      <c r="D17498" t="s">
        <v>53740</v>
      </c>
      <c r="E17498" t="s">
        <v>53741</v>
      </c>
      <c r="F17498" t="s">
        <v>53742</v>
      </c>
      <c r="I17498" t="s">
        <v>184</v>
      </c>
      <c r="J17498" t="s">
        <v>30</v>
      </c>
      <c r="K17498" t="s">
        <v>52675</v>
      </c>
      <c r="M17498" t="s">
        <v>17861</v>
      </c>
      <c r="N17498" t="str">
        <f>"9/19/2022 8:16:00 AM"</f>
        <v>9/19/2022 8:16:00 AM</v>
      </c>
      <c r="O17498" t="s">
        <v>53740</v>
      </c>
      <c r="T17498" t="s">
        <v>53741</v>
      </c>
    </row>
    <row r="17499" spans="1:20" x14ac:dyDescent="0.25">
      <c r="A17499" t="str">
        <f>"3039129"</f>
        <v>3039129</v>
      </c>
      <c r="B17499" t="s">
        <v>53743</v>
      </c>
      <c r="C17499" t="str">
        <f>"51555100"</f>
        <v>51555100</v>
      </c>
      <c r="D17499" t="s">
        <v>53744</v>
      </c>
      <c r="E17499" t="s">
        <v>53745</v>
      </c>
      <c r="F17499" t="s">
        <v>53746</v>
      </c>
      <c r="I17499" t="s">
        <v>29</v>
      </c>
      <c r="J17499" t="s">
        <v>30</v>
      </c>
      <c r="K17499" t="s">
        <v>31</v>
      </c>
      <c r="M17499" t="s">
        <v>50621</v>
      </c>
      <c r="N17499" t="str">
        <f>"9/14/2022 3:10:00 PM"</f>
        <v>9/14/2022 3:10:00 PM</v>
      </c>
      <c r="O17499" t="s">
        <v>53744</v>
      </c>
      <c r="T17499" t="s">
        <v>53745</v>
      </c>
    </row>
    <row r="17500" spans="1:20" x14ac:dyDescent="0.25">
      <c r="A17500" t="str">
        <f>"3053109"</f>
        <v>3053109</v>
      </c>
      <c r="B17500" t="s">
        <v>53747</v>
      </c>
      <c r="C17500" t="str">
        <f>"8301275"</f>
        <v>8301275</v>
      </c>
      <c r="D17500" t="s">
        <v>53748</v>
      </c>
      <c r="E17500" t="s">
        <v>14496</v>
      </c>
      <c r="F17500" t="s">
        <v>53749</v>
      </c>
      <c r="I17500" t="s">
        <v>29</v>
      </c>
      <c r="J17500" t="s">
        <v>30</v>
      </c>
      <c r="K17500" t="str">
        <f>"27028"</f>
        <v>27028</v>
      </c>
      <c r="M17500" t="s">
        <v>50621</v>
      </c>
      <c r="N17500" t="str">
        <f>"9/14/2022 3:13:00 PM"</f>
        <v>9/14/2022 3:13:00 PM</v>
      </c>
      <c r="O17500" t="s">
        <v>53748</v>
      </c>
      <c r="T17500" t="s">
        <v>14496</v>
      </c>
    </row>
    <row r="17501" spans="1:20" x14ac:dyDescent="0.25">
      <c r="A17501" t="str">
        <f>"3045412"</f>
        <v>3045412</v>
      </c>
      <c r="B17501" t="s">
        <v>53750</v>
      </c>
      <c r="C17501" t="str">
        <f>"82519181"</f>
        <v>82519181</v>
      </c>
      <c r="D17501" t="s">
        <v>53751</v>
      </c>
      <c r="E17501" t="s">
        <v>53752</v>
      </c>
      <c r="F17501" t="s">
        <v>53753</v>
      </c>
      <c r="I17501" t="s">
        <v>29</v>
      </c>
      <c r="J17501" t="s">
        <v>30</v>
      </c>
      <c r="K17501" t="str">
        <f>"27028"</f>
        <v>27028</v>
      </c>
      <c r="M17501" t="s">
        <v>50621</v>
      </c>
      <c r="N17501" t="str">
        <f>"9/14/2022 3:16:00 PM"</f>
        <v>9/14/2022 3:16:00 PM</v>
      </c>
      <c r="O17501" t="s">
        <v>53751</v>
      </c>
      <c r="T17501" t="s">
        <v>53752</v>
      </c>
    </row>
    <row r="17502" spans="1:20" x14ac:dyDescent="0.25">
      <c r="A17502" t="str">
        <f>"3059379"</f>
        <v>3059379</v>
      </c>
      <c r="B17502" t="s">
        <v>53754</v>
      </c>
      <c r="C17502" t="str">
        <f>"82519181"</f>
        <v>82519181</v>
      </c>
      <c r="D17502" t="s">
        <v>53751</v>
      </c>
      <c r="E17502" t="s">
        <v>53752</v>
      </c>
      <c r="F17502" t="s">
        <v>53753</v>
      </c>
      <c r="I17502" t="s">
        <v>29</v>
      </c>
      <c r="J17502" t="s">
        <v>30</v>
      </c>
      <c r="K17502" t="str">
        <f>"27028"</f>
        <v>27028</v>
      </c>
      <c r="M17502" t="s">
        <v>50621</v>
      </c>
      <c r="N17502" t="str">
        <f>"9/14/2022 3:16:00 PM"</f>
        <v>9/14/2022 3:16:00 PM</v>
      </c>
      <c r="O17502" t="s">
        <v>53751</v>
      </c>
      <c r="T17502" t="s">
        <v>53752</v>
      </c>
    </row>
    <row r="17503" spans="1:20" x14ac:dyDescent="0.25">
      <c r="A17503" t="str">
        <f>"3053476"</f>
        <v>3053476</v>
      </c>
      <c r="B17503" t="s">
        <v>53755</v>
      </c>
      <c r="C17503" t="str">
        <f>"82519616"</f>
        <v>82519616</v>
      </c>
      <c r="D17503" t="s">
        <v>53756</v>
      </c>
      <c r="E17503" t="s">
        <v>53757</v>
      </c>
      <c r="F17503" t="s">
        <v>53758</v>
      </c>
      <c r="I17503" t="s">
        <v>3736</v>
      </c>
      <c r="J17503" t="s">
        <v>3737</v>
      </c>
      <c r="K17503" t="s">
        <v>53759</v>
      </c>
      <c r="M17503" t="s">
        <v>50621</v>
      </c>
      <c r="N17503" t="str">
        <f>"9/14/2022 3:21:00 PM"</f>
        <v>9/14/2022 3:21:00 PM</v>
      </c>
      <c r="O17503" t="s">
        <v>53756</v>
      </c>
      <c r="T17503" t="s">
        <v>53757</v>
      </c>
    </row>
    <row r="17504" spans="1:20" x14ac:dyDescent="0.25">
      <c r="A17504" t="str">
        <f>"3047760"</f>
        <v>3047760</v>
      </c>
      <c r="B17504" t="s">
        <v>53760</v>
      </c>
      <c r="C17504" t="str">
        <f>"8315466"</f>
        <v>8315466</v>
      </c>
      <c r="D17504" t="s">
        <v>53761</v>
      </c>
      <c r="E17504" t="s">
        <v>53762</v>
      </c>
      <c r="F17504" t="s">
        <v>53763</v>
      </c>
      <c r="I17504" t="s">
        <v>184</v>
      </c>
      <c r="J17504" t="s">
        <v>30</v>
      </c>
      <c r="K17504" t="str">
        <f>"27006"</f>
        <v>27006</v>
      </c>
      <c r="M17504" t="s">
        <v>50621</v>
      </c>
      <c r="N17504" t="str">
        <f>"9/15/2022 2:01:00 PM"</f>
        <v>9/15/2022 2:01:00 PM</v>
      </c>
      <c r="O17504" t="s">
        <v>53761</v>
      </c>
      <c r="T17504" t="s">
        <v>53762</v>
      </c>
    </row>
    <row r="17505" spans="1:20" x14ac:dyDescent="0.25">
      <c r="A17505" t="str">
        <f>"3052851"</f>
        <v>3052851</v>
      </c>
      <c r="B17505" t="s">
        <v>53764</v>
      </c>
      <c r="C17505" t="str">
        <f>"8318742"</f>
        <v>8318742</v>
      </c>
      <c r="D17505" t="s">
        <v>53765</v>
      </c>
      <c r="F17505" t="s">
        <v>53766</v>
      </c>
      <c r="I17505" t="s">
        <v>29</v>
      </c>
      <c r="J17505" t="s">
        <v>30</v>
      </c>
      <c r="K17505" t="s">
        <v>15044</v>
      </c>
      <c r="M17505" t="s">
        <v>17861</v>
      </c>
      <c r="N17505" t="str">
        <f>"9/20/2022 3:40:00 PM"</f>
        <v>9/20/2022 3:40:00 PM</v>
      </c>
      <c r="O17505" t="s">
        <v>53765</v>
      </c>
    </row>
    <row r="17506" spans="1:20" x14ac:dyDescent="0.25">
      <c r="A17506" t="str">
        <f>"3060393"</f>
        <v>3060393</v>
      </c>
      <c r="B17506" t="s">
        <v>53767</v>
      </c>
      <c r="C17506" t="str">
        <f>"8318744"</f>
        <v>8318744</v>
      </c>
      <c r="D17506" t="s">
        <v>53768</v>
      </c>
      <c r="E17506" t="s">
        <v>53769</v>
      </c>
      <c r="F17506" t="s">
        <v>53770</v>
      </c>
      <c r="I17506" t="s">
        <v>29</v>
      </c>
      <c r="J17506" t="s">
        <v>30</v>
      </c>
      <c r="K17506" t="s">
        <v>53771</v>
      </c>
      <c r="M17506" t="s">
        <v>17861</v>
      </c>
      <c r="N17506" t="str">
        <f>"9/21/2022 9:29:00 AM"</f>
        <v>9/21/2022 9:29:00 AM</v>
      </c>
      <c r="O17506" t="s">
        <v>53768</v>
      </c>
      <c r="T17506" t="s">
        <v>53769</v>
      </c>
    </row>
    <row r="17507" spans="1:20" x14ac:dyDescent="0.25">
      <c r="A17507" t="str">
        <f>"3047515"</f>
        <v>3047515</v>
      </c>
      <c r="B17507" t="s">
        <v>53772</v>
      </c>
      <c r="C17507" t="str">
        <f>"8315466"</f>
        <v>8315466</v>
      </c>
      <c r="D17507" t="s">
        <v>53761</v>
      </c>
      <c r="E17507" t="s">
        <v>53762</v>
      </c>
      <c r="F17507" t="s">
        <v>53763</v>
      </c>
      <c r="I17507" t="s">
        <v>184</v>
      </c>
      <c r="J17507" t="s">
        <v>30</v>
      </c>
      <c r="K17507" t="str">
        <f>"27006"</f>
        <v>27006</v>
      </c>
      <c r="M17507" t="s">
        <v>50621</v>
      </c>
      <c r="N17507" t="str">
        <f>"9/15/2022 2:01:00 PM"</f>
        <v>9/15/2022 2:01:00 PM</v>
      </c>
      <c r="O17507" t="s">
        <v>53761</v>
      </c>
      <c r="T17507" t="s">
        <v>53762</v>
      </c>
    </row>
    <row r="17508" spans="1:20" x14ac:dyDescent="0.25">
      <c r="A17508" t="str">
        <f>"3061224"</f>
        <v>3061224</v>
      </c>
      <c r="B17508" t="s">
        <v>53773</v>
      </c>
      <c r="C17508" t="str">
        <f>"82524918"</f>
        <v>82524918</v>
      </c>
      <c r="D17508" t="s">
        <v>53774</v>
      </c>
      <c r="E17508" t="s">
        <v>53775</v>
      </c>
      <c r="F17508" t="s">
        <v>53776</v>
      </c>
      <c r="I17508" t="s">
        <v>7917</v>
      </c>
      <c r="J17508" t="s">
        <v>30</v>
      </c>
      <c r="K17508" t="s">
        <v>21574</v>
      </c>
      <c r="M17508" t="s">
        <v>50621</v>
      </c>
      <c r="N17508" t="str">
        <f>"9/15/2022 2:08:00 PM"</f>
        <v>9/15/2022 2:08:00 PM</v>
      </c>
      <c r="O17508" t="s">
        <v>53774</v>
      </c>
      <c r="T17508" t="s">
        <v>53775</v>
      </c>
    </row>
    <row r="17509" spans="1:20" x14ac:dyDescent="0.25">
      <c r="A17509" t="str">
        <f>"3042658"</f>
        <v>3042658</v>
      </c>
      <c r="B17509" t="s">
        <v>53777</v>
      </c>
      <c r="C17509" t="str">
        <f>"8308824"</f>
        <v>8308824</v>
      </c>
      <c r="D17509" t="s">
        <v>53778</v>
      </c>
      <c r="F17509" t="s">
        <v>53779</v>
      </c>
      <c r="I17509" t="s">
        <v>29</v>
      </c>
      <c r="J17509" t="s">
        <v>30</v>
      </c>
      <c r="K17509" t="str">
        <f>"27028"</f>
        <v>27028</v>
      </c>
      <c r="M17509" t="s">
        <v>50621</v>
      </c>
      <c r="N17509" t="str">
        <f>"9/15/2022 2:11:00 PM"</f>
        <v>9/15/2022 2:11:00 PM</v>
      </c>
      <c r="O17509" t="s">
        <v>53778</v>
      </c>
    </row>
    <row r="17510" spans="1:20" x14ac:dyDescent="0.25">
      <c r="A17510" t="str">
        <f>"3042163"</f>
        <v>3042163</v>
      </c>
      <c r="B17510" t="s">
        <v>53780</v>
      </c>
      <c r="C17510" t="str">
        <f>"8308824"</f>
        <v>8308824</v>
      </c>
      <c r="D17510" t="s">
        <v>53778</v>
      </c>
      <c r="F17510" t="s">
        <v>53779</v>
      </c>
      <c r="I17510" t="s">
        <v>29</v>
      </c>
      <c r="J17510" t="s">
        <v>30</v>
      </c>
      <c r="K17510" t="str">
        <f>"27028"</f>
        <v>27028</v>
      </c>
      <c r="M17510" t="s">
        <v>50621</v>
      </c>
      <c r="N17510" t="str">
        <f>"9/15/2022 2:11:00 PM"</f>
        <v>9/15/2022 2:11:00 PM</v>
      </c>
      <c r="O17510" t="s">
        <v>53778</v>
      </c>
    </row>
    <row r="17511" spans="1:20" x14ac:dyDescent="0.25">
      <c r="A17511" t="str">
        <f>"3054087"</f>
        <v>3054087</v>
      </c>
      <c r="B17511" t="s">
        <v>53781</v>
      </c>
      <c r="C17511" t="str">
        <f>"8315993"</f>
        <v>8315993</v>
      </c>
      <c r="D17511" t="s">
        <v>53782</v>
      </c>
      <c r="F17511" t="s">
        <v>53783</v>
      </c>
      <c r="I17511" t="s">
        <v>29</v>
      </c>
      <c r="J17511" t="s">
        <v>30</v>
      </c>
      <c r="K17511" t="str">
        <f>"27028"</f>
        <v>27028</v>
      </c>
      <c r="M17511" t="s">
        <v>50621</v>
      </c>
      <c r="N17511" t="str">
        <f>"9/15/2022 2:12:00 PM"</f>
        <v>9/15/2022 2:12:00 PM</v>
      </c>
      <c r="O17511" t="s">
        <v>53782</v>
      </c>
    </row>
    <row r="17512" spans="1:20" x14ac:dyDescent="0.25">
      <c r="A17512" t="str">
        <f>"3054376"</f>
        <v>3054376</v>
      </c>
      <c r="B17512" t="s">
        <v>53784</v>
      </c>
      <c r="C17512" t="str">
        <f>"8315993"</f>
        <v>8315993</v>
      </c>
      <c r="D17512" t="s">
        <v>53782</v>
      </c>
      <c r="F17512" t="s">
        <v>53783</v>
      </c>
      <c r="I17512" t="s">
        <v>29</v>
      </c>
      <c r="J17512" t="s">
        <v>30</v>
      </c>
      <c r="K17512" t="str">
        <f>"27028"</f>
        <v>27028</v>
      </c>
      <c r="M17512" t="s">
        <v>50621</v>
      </c>
      <c r="N17512" t="str">
        <f>"9/15/2022 2:12:00 PM"</f>
        <v>9/15/2022 2:12:00 PM</v>
      </c>
      <c r="O17512" t="s">
        <v>53782</v>
      </c>
    </row>
    <row r="17513" spans="1:20" x14ac:dyDescent="0.25">
      <c r="A17513" t="str">
        <f>"3040690"</f>
        <v>3040690</v>
      </c>
      <c r="B17513" t="s">
        <v>53785</v>
      </c>
      <c r="C17513" t="str">
        <f>"8313735"</f>
        <v>8313735</v>
      </c>
      <c r="D17513" t="s">
        <v>53786</v>
      </c>
      <c r="E17513" t="s">
        <v>53787</v>
      </c>
      <c r="F17513" t="s">
        <v>53788</v>
      </c>
      <c r="I17513" t="s">
        <v>24359</v>
      </c>
      <c r="J17513" t="s">
        <v>30</v>
      </c>
      <c r="K17513" t="str">
        <f>"27006"</f>
        <v>27006</v>
      </c>
      <c r="M17513" t="s">
        <v>50621</v>
      </c>
      <c r="N17513" t="str">
        <f>"9/15/2022 2:57:00 PM"</f>
        <v>9/15/2022 2:57:00 PM</v>
      </c>
      <c r="O17513" t="s">
        <v>53786</v>
      </c>
      <c r="T17513" t="s">
        <v>53787</v>
      </c>
    </row>
    <row r="17514" spans="1:20" x14ac:dyDescent="0.25">
      <c r="A17514" t="str">
        <f>"3038706"</f>
        <v>3038706</v>
      </c>
      <c r="B17514" t="s">
        <v>53789</v>
      </c>
      <c r="C17514" t="str">
        <f>"8318754"</f>
        <v>8318754</v>
      </c>
      <c r="D17514" t="s">
        <v>53790</v>
      </c>
      <c r="E17514" t="str">
        <f>"WALL TIMOTHY R/MARIBEL Q CO-TR"</f>
        <v>WALL TIMOTHY R/MARIBEL Q CO-TR</v>
      </c>
      <c r="F17514" t="s">
        <v>53791</v>
      </c>
      <c r="I17514" t="s">
        <v>29</v>
      </c>
      <c r="J17514" t="s">
        <v>30</v>
      </c>
      <c r="K17514" t="s">
        <v>41590</v>
      </c>
      <c r="M17514" t="s">
        <v>17861</v>
      </c>
      <c r="N17514" t="str">
        <f>"9/22/2022 4:10:00 PM"</f>
        <v>9/22/2022 4:10:00 PM</v>
      </c>
      <c r="O17514" t="s">
        <v>53790</v>
      </c>
      <c r="T17514" t="str">
        <f>"WALL TIMOTHY R/MARIBEL Q CO-TR"</f>
        <v>WALL TIMOTHY R/MARIBEL Q CO-TR</v>
      </c>
    </row>
    <row r="17515" spans="1:20" x14ac:dyDescent="0.25">
      <c r="A17515" t="str">
        <f>"3046784"</f>
        <v>3046784</v>
      </c>
      <c r="B17515" t="s">
        <v>53792</v>
      </c>
      <c r="C17515" t="str">
        <f>"53140000"</f>
        <v>53140000</v>
      </c>
      <c r="D17515" t="s">
        <v>53793</v>
      </c>
      <c r="E17515" t="s">
        <v>53794</v>
      </c>
      <c r="F17515" t="s">
        <v>38473</v>
      </c>
      <c r="I17515" t="s">
        <v>184</v>
      </c>
      <c r="J17515" t="s">
        <v>30</v>
      </c>
      <c r="K17515" t="s">
        <v>38474</v>
      </c>
      <c r="M17515" t="s">
        <v>51351</v>
      </c>
      <c r="N17515" t="str">
        <f>"9/23/2022 9:13:00 AM"</f>
        <v>9/23/2022 9:13:00 AM</v>
      </c>
      <c r="O17515" t="s">
        <v>53793</v>
      </c>
      <c r="T17515" t="s">
        <v>53794</v>
      </c>
    </row>
    <row r="17516" spans="1:20" x14ac:dyDescent="0.25">
      <c r="A17516" t="str">
        <f>"3046631"</f>
        <v>3046631</v>
      </c>
      <c r="B17516" t="s">
        <v>53795</v>
      </c>
      <c r="C17516" t="str">
        <f>"53140000"</f>
        <v>53140000</v>
      </c>
      <c r="D17516" t="s">
        <v>53793</v>
      </c>
      <c r="E17516" t="s">
        <v>53794</v>
      </c>
      <c r="F17516" t="s">
        <v>38473</v>
      </c>
      <c r="I17516" t="s">
        <v>184</v>
      </c>
      <c r="J17516" t="s">
        <v>30</v>
      </c>
      <c r="K17516" t="s">
        <v>38474</v>
      </c>
      <c r="M17516" t="s">
        <v>51351</v>
      </c>
      <c r="N17516" t="str">
        <f>"9/23/2022 9:13:00 AM"</f>
        <v>9/23/2022 9:13:00 AM</v>
      </c>
      <c r="O17516" t="s">
        <v>53793</v>
      </c>
      <c r="T17516" t="s">
        <v>53794</v>
      </c>
    </row>
    <row r="17517" spans="1:20" x14ac:dyDescent="0.25">
      <c r="A17517" t="str">
        <f>"3046617"</f>
        <v>3046617</v>
      </c>
      <c r="B17517" t="s">
        <v>53796</v>
      </c>
      <c r="C17517" t="str">
        <f>"53140000"</f>
        <v>53140000</v>
      </c>
      <c r="D17517" t="s">
        <v>53793</v>
      </c>
      <c r="E17517" t="s">
        <v>53794</v>
      </c>
      <c r="F17517" t="s">
        <v>38473</v>
      </c>
      <c r="I17517" t="s">
        <v>184</v>
      </c>
      <c r="J17517" t="s">
        <v>30</v>
      </c>
      <c r="K17517" t="s">
        <v>38474</v>
      </c>
      <c r="M17517" t="s">
        <v>51351</v>
      </c>
      <c r="N17517" t="str">
        <f>"9/23/2022 9:13:00 AM"</f>
        <v>9/23/2022 9:13:00 AM</v>
      </c>
      <c r="O17517" t="s">
        <v>53793</v>
      </c>
      <c r="T17517" t="s">
        <v>53794</v>
      </c>
    </row>
    <row r="17518" spans="1:20" x14ac:dyDescent="0.25">
      <c r="A17518" t="str">
        <f>"3055379"</f>
        <v>3055379</v>
      </c>
      <c r="B17518" t="s">
        <v>53797</v>
      </c>
      <c r="C17518" t="str">
        <f>"8301388"</f>
        <v>8301388</v>
      </c>
      <c r="D17518" t="s">
        <v>53798</v>
      </c>
      <c r="E17518" t="s">
        <v>53799</v>
      </c>
      <c r="F17518" t="s">
        <v>15663</v>
      </c>
      <c r="I17518" t="s">
        <v>471</v>
      </c>
      <c r="J17518" t="s">
        <v>30</v>
      </c>
      <c r="K17518" t="str">
        <f>"27127"</f>
        <v>27127</v>
      </c>
      <c r="M17518" t="s">
        <v>50621</v>
      </c>
      <c r="N17518" t="str">
        <f>"9/15/2022 3:18:00 PM"</f>
        <v>9/15/2022 3:18:00 PM</v>
      </c>
      <c r="O17518" t="s">
        <v>53798</v>
      </c>
      <c r="T17518" t="s">
        <v>53799</v>
      </c>
    </row>
    <row r="17519" spans="1:20" x14ac:dyDescent="0.25">
      <c r="A17519" t="str">
        <f>"3045491"</f>
        <v>3045491</v>
      </c>
      <c r="B17519" t="s">
        <v>53800</v>
      </c>
      <c r="C17519" t="str">
        <f>"8318756"</f>
        <v>8318756</v>
      </c>
      <c r="D17519" t="s">
        <v>53801</v>
      </c>
      <c r="E17519" t="s">
        <v>53802</v>
      </c>
      <c r="F17519" t="s">
        <v>53803</v>
      </c>
      <c r="I17519" t="s">
        <v>29</v>
      </c>
      <c r="J17519" t="s">
        <v>30</v>
      </c>
      <c r="K17519" t="s">
        <v>40382</v>
      </c>
      <c r="M17519" t="s">
        <v>17861</v>
      </c>
      <c r="N17519" t="str">
        <f>"9/23/2022 9:56:00 AM"</f>
        <v>9/23/2022 9:56:00 AM</v>
      </c>
      <c r="O17519" t="s">
        <v>53801</v>
      </c>
      <c r="T17519" t="s">
        <v>53802</v>
      </c>
    </row>
    <row r="17520" spans="1:20" x14ac:dyDescent="0.25">
      <c r="A17520" t="str">
        <f>"3062353"</f>
        <v>3062353</v>
      </c>
      <c r="B17520" t="s">
        <v>53804</v>
      </c>
      <c r="C17520" t="str">
        <f>"8318757"</f>
        <v>8318757</v>
      </c>
      <c r="D17520" t="s">
        <v>53805</v>
      </c>
      <c r="F17520" t="s">
        <v>53806</v>
      </c>
      <c r="I17520" t="s">
        <v>29</v>
      </c>
      <c r="J17520" t="s">
        <v>30</v>
      </c>
      <c r="K17520" t="s">
        <v>14046</v>
      </c>
      <c r="M17520" t="s">
        <v>17861</v>
      </c>
      <c r="N17520" t="str">
        <f>"9/23/2022 10:07:00 AM"</f>
        <v>9/23/2022 10:07:00 AM</v>
      </c>
      <c r="O17520" t="s">
        <v>53805</v>
      </c>
    </row>
    <row r="17521" spans="1:20" x14ac:dyDescent="0.25">
      <c r="A17521" t="str">
        <f>"3044915"</f>
        <v>3044915</v>
      </c>
      <c r="B17521" t="s">
        <v>53807</v>
      </c>
      <c r="C17521" t="str">
        <f>"8318758"</f>
        <v>8318758</v>
      </c>
      <c r="D17521" t="s">
        <v>53808</v>
      </c>
      <c r="E17521" t="s">
        <v>53809</v>
      </c>
      <c r="F17521" t="s">
        <v>53810</v>
      </c>
      <c r="I17521" t="s">
        <v>184</v>
      </c>
      <c r="J17521" t="s">
        <v>30</v>
      </c>
      <c r="K17521" t="s">
        <v>5608</v>
      </c>
      <c r="M17521" t="s">
        <v>17861</v>
      </c>
      <c r="N17521" t="str">
        <f>"9/23/2022 10:32:00 AM"</f>
        <v>9/23/2022 10:32:00 AM</v>
      </c>
      <c r="O17521" t="s">
        <v>53808</v>
      </c>
      <c r="T17521" t="s">
        <v>53809</v>
      </c>
    </row>
    <row r="17522" spans="1:20" x14ac:dyDescent="0.25">
      <c r="A17522" t="str">
        <f>"3057984"</f>
        <v>3057984</v>
      </c>
      <c r="B17522" t="s">
        <v>53811</v>
      </c>
      <c r="C17522" t="str">
        <f>"8318759"</f>
        <v>8318759</v>
      </c>
      <c r="D17522" t="s">
        <v>53812</v>
      </c>
      <c r="E17522" t="s">
        <v>53813</v>
      </c>
      <c r="F17522" t="s">
        <v>53814</v>
      </c>
      <c r="I17522" t="s">
        <v>29</v>
      </c>
      <c r="J17522" t="s">
        <v>30</v>
      </c>
      <c r="K17522" t="s">
        <v>39820</v>
      </c>
      <c r="M17522" t="s">
        <v>17861</v>
      </c>
      <c r="N17522" t="str">
        <f>"9/23/2022 10:37:00 AM"</f>
        <v>9/23/2022 10:37:00 AM</v>
      </c>
      <c r="O17522" t="s">
        <v>53812</v>
      </c>
      <c r="T17522" t="s">
        <v>53813</v>
      </c>
    </row>
    <row r="17523" spans="1:20" x14ac:dyDescent="0.25">
      <c r="A17523" t="str">
        <f>"3040484"</f>
        <v>3040484</v>
      </c>
      <c r="B17523" t="s">
        <v>53815</v>
      </c>
      <c r="C17523" t="str">
        <f>"8318760"</f>
        <v>8318760</v>
      </c>
      <c r="D17523" t="s">
        <v>53816</v>
      </c>
      <c r="F17523" t="s">
        <v>53817</v>
      </c>
      <c r="I17523" t="s">
        <v>184</v>
      </c>
      <c r="J17523" t="s">
        <v>30</v>
      </c>
      <c r="K17523" t="s">
        <v>3313</v>
      </c>
      <c r="M17523" t="s">
        <v>17861</v>
      </c>
      <c r="N17523" t="str">
        <f>"9/23/2022 10:39:00 AM"</f>
        <v>9/23/2022 10:39:00 AM</v>
      </c>
      <c r="O17523" t="s">
        <v>53816</v>
      </c>
    </row>
    <row r="17524" spans="1:20" x14ac:dyDescent="0.25">
      <c r="A17524" t="str">
        <f>"3041357"</f>
        <v>3041357</v>
      </c>
      <c r="B17524" t="s">
        <v>53818</v>
      </c>
      <c r="C17524" t="str">
        <f>"8318761"</f>
        <v>8318761</v>
      </c>
      <c r="D17524" t="s">
        <v>53819</v>
      </c>
      <c r="F17524" t="s">
        <v>53820</v>
      </c>
      <c r="I17524" t="s">
        <v>184</v>
      </c>
      <c r="J17524" t="s">
        <v>30</v>
      </c>
      <c r="K17524" t="s">
        <v>36396</v>
      </c>
      <c r="M17524" t="s">
        <v>17861</v>
      </c>
      <c r="N17524" t="str">
        <f>"9/23/2022 10:41:00 AM"</f>
        <v>9/23/2022 10:41:00 AM</v>
      </c>
      <c r="O17524" t="s">
        <v>53819</v>
      </c>
    </row>
    <row r="17525" spans="1:20" x14ac:dyDescent="0.25">
      <c r="A17525" t="str">
        <f>"3060055"</f>
        <v>3060055</v>
      </c>
      <c r="B17525" t="s">
        <v>53821</v>
      </c>
      <c r="C17525" t="str">
        <f>"8318762"</f>
        <v>8318762</v>
      </c>
      <c r="D17525" t="s">
        <v>53822</v>
      </c>
      <c r="E17525" t="s">
        <v>53823</v>
      </c>
      <c r="F17525" t="s">
        <v>53824</v>
      </c>
      <c r="I17525" t="s">
        <v>184</v>
      </c>
      <c r="J17525" t="s">
        <v>30</v>
      </c>
      <c r="K17525" t="s">
        <v>34978</v>
      </c>
      <c r="M17525" t="s">
        <v>17861</v>
      </c>
      <c r="N17525" t="str">
        <f>"9/23/2022 10:44:00 AM"</f>
        <v>9/23/2022 10:44:00 AM</v>
      </c>
      <c r="O17525" t="s">
        <v>53822</v>
      </c>
      <c r="T17525" t="s">
        <v>53823</v>
      </c>
    </row>
    <row r="17526" spans="1:20" x14ac:dyDescent="0.25">
      <c r="A17526" t="str">
        <f>"3076624"</f>
        <v>3076624</v>
      </c>
      <c r="B17526" t="s">
        <v>53825</v>
      </c>
      <c r="C17526" t="str">
        <f>"8318763"</f>
        <v>8318763</v>
      </c>
      <c r="D17526" t="s">
        <v>53826</v>
      </c>
      <c r="F17526" t="s">
        <v>53827</v>
      </c>
      <c r="I17526" t="s">
        <v>29</v>
      </c>
      <c r="J17526" t="s">
        <v>30</v>
      </c>
      <c r="K17526" t="s">
        <v>53828</v>
      </c>
      <c r="M17526" t="s">
        <v>17861</v>
      </c>
      <c r="N17526" t="str">
        <f>"9/23/2022 12:32:00 PM"</f>
        <v>9/23/2022 12:32:00 PM</v>
      </c>
      <c r="O17526" t="s">
        <v>53826</v>
      </c>
    </row>
    <row r="17527" spans="1:20" x14ac:dyDescent="0.25">
      <c r="A17527" t="str">
        <f>"3037761"</f>
        <v>3037761</v>
      </c>
      <c r="B17527" t="s">
        <v>53829</v>
      </c>
      <c r="C17527" t="str">
        <f>"8318763"</f>
        <v>8318763</v>
      </c>
      <c r="D17527" t="s">
        <v>53826</v>
      </c>
      <c r="F17527" t="s">
        <v>53827</v>
      </c>
      <c r="I17527" t="s">
        <v>29</v>
      </c>
      <c r="J17527" t="s">
        <v>30</v>
      </c>
      <c r="K17527" t="s">
        <v>53828</v>
      </c>
      <c r="M17527" t="s">
        <v>17861</v>
      </c>
      <c r="N17527" t="str">
        <f>"9/23/2022 12:32:00 PM"</f>
        <v>9/23/2022 12:32:00 PM</v>
      </c>
      <c r="O17527" t="s">
        <v>53826</v>
      </c>
    </row>
    <row r="17528" spans="1:20" x14ac:dyDescent="0.25">
      <c r="A17528" t="str">
        <f>"3058929"</f>
        <v>3058929</v>
      </c>
      <c r="B17528" t="s">
        <v>53830</v>
      </c>
      <c r="C17528" t="str">
        <f>"8318764"</f>
        <v>8318764</v>
      </c>
      <c r="D17528" t="s">
        <v>53831</v>
      </c>
      <c r="E17528" t="s">
        <v>53832</v>
      </c>
      <c r="F17528" t="s">
        <v>53833</v>
      </c>
      <c r="I17528" t="s">
        <v>29</v>
      </c>
      <c r="J17528" t="s">
        <v>30</v>
      </c>
      <c r="K17528" t="s">
        <v>32933</v>
      </c>
      <c r="M17528" t="s">
        <v>17861</v>
      </c>
      <c r="N17528" t="str">
        <f>"9/23/2022 1:02:00 PM"</f>
        <v>9/23/2022 1:02:00 PM</v>
      </c>
      <c r="O17528" t="s">
        <v>53831</v>
      </c>
      <c r="T17528" t="s">
        <v>53832</v>
      </c>
    </row>
    <row r="17529" spans="1:20" x14ac:dyDescent="0.25">
      <c r="A17529" t="str">
        <f>"3046952"</f>
        <v>3046952</v>
      </c>
      <c r="B17529" t="s">
        <v>53834</v>
      </c>
      <c r="C17529" t="str">
        <f>"8318765"</f>
        <v>8318765</v>
      </c>
      <c r="D17529" t="s">
        <v>53835</v>
      </c>
      <c r="E17529" t="s">
        <v>53836</v>
      </c>
      <c r="F17529" t="s">
        <v>53837</v>
      </c>
      <c r="I17529" t="s">
        <v>29</v>
      </c>
      <c r="J17529" t="s">
        <v>30</v>
      </c>
      <c r="K17529" t="s">
        <v>10347</v>
      </c>
      <c r="M17529" t="s">
        <v>17861</v>
      </c>
      <c r="N17529" t="str">
        <f>"9/23/2022 1:12:00 PM"</f>
        <v>9/23/2022 1:12:00 PM</v>
      </c>
      <c r="O17529" t="s">
        <v>53835</v>
      </c>
      <c r="T17529" t="s">
        <v>53836</v>
      </c>
    </row>
    <row r="17530" spans="1:20" x14ac:dyDescent="0.25">
      <c r="A17530" t="str">
        <f>"3073999"</f>
        <v>3073999</v>
      </c>
      <c r="B17530" t="s">
        <v>53838</v>
      </c>
      <c r="C17530" t="str">
        <f>"8318766"</f>
        <v>8318766</v>
      </c>
      <c r="D17530" t="s">
        <v>19916</v>
      </c>
      <c r="E17530" t="s">
        <v>53839</v>
      </c>
      <c r="F17530" t="s">
        <v>53840</v>
      </c>
      <c r="I17530" t="s">
        <v>184</v>
      </c>
      <c r="J17530" t="s">
        <v>30</v>
      </c>
      <c r="K17530" t="s">
        <v>1984</v>
      </c>
      <c r="M17530" t="s">
        <v>17861</v>
      </c>
      <c r="N17530" t="str">
        <f>"9/23/2022 1:21:00 PM"</f>
        <v>9/23/2022 1:21:00 PM</v>
      </c>
      <c r="O17530" t="s">
        <v>19916</v>
      </c>
      <c r="T17530" t="s">
        <v>53839</v>
      </c>
    </row>
    <row r="17531" spans="1:20" x14ac:dyDescent="0.25">
      <c r="A17531" t="str">
        <f>"3060557"</f>
        <v>3060557</v>
      </c>
      <c r="B17531" t="s">
        <v>53841</v>
      </c>
      <c r="C17531" t="str">
        <f>"8318767"</f>
        <v>8318767</v>
      </c>
      <c r="D17531" t="s">
        <v>53842</v>
      </c>
      <c r="F17531" t="s">
        <v>53843</v>
      </c>
      <c r="I17531" t="s">
        <v>51110</v>
      </c>
      <c r="J17531" t="s">
        <v>30</v>
      </c>
      <c r="K17531" t="s">
        <v>53844</v>
      </c>
      <c r="M17531" t="s">
        <v>17861</v>
      </c>
      <c r="N17531" t="str">
        <f>"9/23/2022 1:31:00 PM"</f>
        <v>9/23/2022 1:31:00 PM</v>
      </c>
      <c r="O17531" t="s">
        <v>53842</v>
      </c>
    </row>
    <row r="17532" spans="1:20" x14ac:dyDescent="0.25">
      <c r="A17532" t="str">
        <f>"3060017"</f>
        <v>3060017</v>
      </c>
      <c r="B17532" t="s">
        <v>53845</v>
      </c>
      <c r="C17532" t="str">
        <f>"82518196"</f>
        <v>82518196</v>
      </c>
      <c r="D17532" t="s">
        <v>53846</v>
      </c>
      <c r="E17532" t="s">
        <v>53847</v>
      </c>
      <c r="F17532" t="s">
        <v>53848</v>
      </c>
      <c r="I17532" t="s">
        <v>184</v>
      </c>
      <c r="J17532" t="s">
        <v>30</v>
      </c>
      <c r="K17532" t="str">
        <f>"27006"</f>
        <v>27006</v>
      </c>
      <c r="M17532" t="s">
        <v>50621</v>
      </c>
      <c r="N17532" t="str">
        <f>"9/15/2022 4:11:00 PM"</f>
        <v>9/15/2022 4:11:00 PM</v>
      </c>
      <c r="O17532" t="s">
        <v>53846</v>
      </c>
      <c r="T17532" t="s">
        <v>53847</v>
      </c>
    </row>
    <row r="17533" spans="1:20" x14ac:dyDescent="0.25">
      <c r="A17533" t="str">
        <f>"3058133"</f>
        <v>3058133</v>
      </c>
      <c r="B17533" t="s">
        <v>53849</v>
      </c>
      <c r="C17533" t="str">
        <f>"8318721"</f>
        <v>8318721</v>
      </c>
      <c r="D17533" t="s">
        <v>53850</v>
      </c>
      <c r="E17533" t="s">
        <v>53851</v>
      </c>
      <c r="F17533" t="s">
        <v>53852</v>
      </c>
      <c r="I17533" t="s">
        <v>184</v>
      </c>
      <c r="J17533" t="s">
        <v>30</v>
      </c>
      <c r="K17533" t="s">
        <v>39885</v>
      </c>
      <c r="M17533" t="s">
        <v>17861</v>
      </c>
      <c r="N17533" t="str">
        <f>"9/16/2022 9:16:00 AM"</f>
        <v>9/16/2022 9:16:00 AM</v>
      </c>
      <c r="O17533" t="s">
        <v>53850</v>
      </c>
      <c r="T17533" t="s">
        <v>53851</v>
      </c>
    </row>
    <row r="17534" spans="1:20" x14ac:dyDescent="0.25">
      <c r="A17534" t="str">
        <f>"3038961"</f>
        <v>3038961</v>
      </c>
      <c r="B17534" t="s">
        <v>53853</v>
      </c>
      <c r="C17534" t="str">
        <f>"8318722"</f>
        <v>8318722</v>
      </c>
      <c r="D17534" t="s">
        <v>53854</v>
      </c>
      <c r="E17534" t="s">
        <v>53855</v>
      </c>
      <c r="F17534" t="s">
        <v>53856</v>
      </c>
      <c r="I17534" t="s">
        <v>29</v>
      </c>
      <c r="J17534" t="s">
        <v>30</v>
      </c>
      <c r="K17534" t="s">
        <v>37477</v>
      </c>
      <c r="M17534" t="s">
        <v>17861</v>
      </c>
      <c r="N17534" t="str">
        <f>"9/16/2022 9:18:00 AM"</f>
        <v>9/16/2022 9:18:00 AM</v>
      </c>
      <c r="O17534" t="s">
        <v>53854</v>
      </c>
      <c r="T17534" t="s">
        <v>53855</v>
      </c>
    </row>
    <row r="17535" spans="1:20" x14ac:dyDescent="0.25">
      <c r="A17535" t="str">
        <f>"3062456"</f>
        <v>3062456</v>
      </c>
      <c r="B17535" t="s">
        <v>53857</v>
      </c>
      <c r="C17535" t="str">
        <f>"35715000"</f>
        <v>35715000</v>
      </c>
      <c r="D17535" t="s">
        <v>53858</v>
      </c>
      <c r="E17535" t="s">
        <v>53859</v>
      </c>
      <c r="F17535" t="s">
        <v>53860</v>
      </c>
      <c r="I17535" t="s">
        <v>2071</v>
      </c>
      <c r="J17535" t="s">
        <v>30</v>
      </c>
      <c r="K17535" t="s">
        <v>35875</v>
      </c>
      <c r="M17535" t="s">
        <v>17861</v>
      </c>
      <c r="N17535" t="str">
        <f>"9/19/2022 12:34:00 PM"</f>
        <v>9/19/2022 12:34:00 PM</v>
      </c>
      <c r="O17535" t="s">
        <v>53858</v>
      </c>
      <c r="T17535" t="s">
        <v>53859</v>
      </c>
    </row>
    <row r="17536" spans="1:20" x14ac:dyDescent="0.25">
      <c r="A17536" t="str">
        <f>"3059179"</f>
        <v>3059179</v>
      </c>
      <c r="B17536" t="s">
        <v>53861</v>
      </c>
      <c r="C17536" t="str">
        <f>"8318770"</f>
        <v>8318770</v>
      </c>
      <c r="D17536" t="s">
        <v>53862</v>
      </c>
      <c r="E17536" t="s">
        <v>53863</v>
      </c>
      <c r="F17536" t="s">
        <v>53864</v>
      </c>
      <c r="I17536" t="s">
        <v>29</v>
      </c>
      <c r="J17536" t="s">
        <v>30</v>
      </c>
      <c r="K17536" t="s">
        <v>53865</v>
      </c>
      <c r="M17536" t="s">
        <v>17861</v>
      </c>
      <c r="N17536" t="str">
        <f>"9/26/2022 1:43:00 PM"</f>
        <v>9/26/2022 1:43:00 PM</v>
      </c>
      <c r="O17536" t="s">
        <v>53862</v>
      </c>
      <c r="T17536" t="s">
        <v>53863</v>
      </c>
    </row>
    <row r="17537" spans="1:20" x14ac:dyDescent="0.25">
      <c r="A17537" t="str">
        <f>"3040647"</f>
        <v>3040647</v>
      </c>
      <c r="B17537" t="s">
        <v>53866</v>
      </c>
      <c r="C17537" t="str">
        <f>"8318771"</f>
        <v>8318771</v>
      </c>
      <c r="D17537" t="s">
        <v>53867</v>
      </c>
      <c r="E17537" t="s">
        <v>53868</v>
      </c>
      <c r="F17537" t="s">
        <v>53869</v>
      </c>
      <c r="I17537" t="s">
        <v>184</v>
      </c>
      <c r="J17537" t="s">
        <v>30</v>
      </c>
      <c r="K17537" t="s">
        <v>53870</v>
      </c>
      <c r="M17537" t="s">
        <v>17861</v>
      </c>
      <c r="N17537" t="str">
        <f>"9/26/2022 3:15:00 PM"</f>
        <v>9/26/2022 3:15:00 PM</v>
      </c>
      <c r="O17537" t="s">
        <v>53867</v>
      </c>
      <c r="T17537" t="s">
        <v>53868</v>
      </c>
    </row>
    <row r="17538" spans="1:20" x14ac:dyDescent="0.25">
      <c r="A17538" t="str">
        <f>"3039017"</f>
        <v>3039017</v>
      </c>
      <c r="B17538" t="s">
        <v>53871</v>
      </c>
      <c r="C17538" t="str">
        <f>"8315795"</f>
        <v>8315795</v>
      </c>
      <c r="D17538" t="s">
        <v>53872</v>
      </c>
      <c r="E17538" t="s">
        <v>53873</v>
      </c>
      <c r="F17538" t="s">
        <v>53874</v>
      </c>
      <c r="I17538" t="s">
        <v>29</v>
      </c>
      <c r="J17538" t="s">
        <v>30</v>
      </c>
      <c r="K17538" t="str">
        <f>"27028"</f>
        <v>27028</v>
      </c>
      <c r="M17538" t="s">
        <v>18470</v>
      </c>
      <c r="N17538" t="str">
        <f>"9/26/2022 3:36:00 PM"</f>
        <v>9/26/2022 3:36:00 PM</v>
      </c>
      <c r="O17538" t="s">
        <v>53872</v>
      </c>
      <c r="T17538" t="s">
        <v>53873</v>
      </c>
    </row>
    <row r="17539" spans="1:20" x14ac:dyDescent="0.25">
      <c r="A17539" t="str">
        <f>"3046338"</f>
        <v>3046338</v>
      </c>
      <c r="B17539" t="s">
        <v>53875</v>
      </c>
      <c r="C17539" t="str">
        <f>"8318774"</f>
        <v>8318774</v>
      </c>
      <c r="D17539" t="s">
        <v>53876</v>
      </c>
      <c r="E17539" t="s">
        <v>53877</v>
      </c>
      <c r="F17539" t="s">
        <v>53878</v>
      </c>
      <c r="I17539" t="s">
        <v>29</v>
      </c>
      <c r="J17539" t="s">
        <v>30</v>
      </c>
      <c r="K17539" t="s">
        <v>10213</v>
      </c>
      <c r="M17539" t="s">
        <v>17861</v>
      </c>
      <c r="N17539" t="str">
        <f>"9/27/2022 11:26:00 AM"</f>
        <v>9/27/2022 11:26:00 AM</v>
      </c>
      <c r="O17539" t="s">
        <v>53876</v>
      </c>
      <c r="T17539" t="s">
        <v>53877</v>
      </c>
    </row>
    <row r="17540" spans="1:20" x14ac:dyDescent="0.25">
      <c r="A17540" t="str">
        <f>"3062468"</f>
        <v>3062468</v>
      </c>
      <c r="B17540" t="s">
        <v>53879</v>
      </c>
      <c r="C17540" t="str">
        <f>"8318775"</f>
        <v>8318775</v>
      </c>
      <c r="D17540" t="s">
        <v>53880</v>
      </c>
      <c r="F17540" t="s">
        <v>53881</v>
      </c>
      <c r="I17540" t="s">
        <v>2071</v>
      </c>
      <c r="J17540" t="s">
        <v>30</v>
      </c>
      <c r="K17540" t="s">
        <v>35875</v>
      </c>
      <c r="M17540" t="s">
        <v>17861</v>
      </c>
      <c r="N17540" t="str">
        <f>"9/27/2022 11:29:00 AM"</f>
        <v>9/27/2022 11:29:00 AM</v>
      </c>
      <c r="O17540" t="s">
        <v>53880</v>
      </c>
    </row>
    <row r="17541" spans="1:20" x14ac:dyDescent="0.25">
      <c r="A17541" t="str">
        <f>"3046369"</f>
        <v>3046369</v>
      </c>
      <c r="B17541" t="s">
        <v>53882</v>
      </c>
      <c r="C17541" t="str">
        <f>"8318777"</f>
        <v>8318777</v>
      </c>
      <c r="D17541" t="s">
        <v>53883</v>
      </c>
      <c r="E17541" t="s">
        <v>53884</v>
      </c>
      <c r="F17541" t="s">
        <v>53885</v>
      </c>
      <c r="I17541" t="s">
        <v>29</v>
      </c>
      <c r="J17541" t="s">
        <v>30</v>
      </c>
      <c r="K17541" t="s">
        <v>49595</v>
      </c>
      <c r="M17541" t="s">
        <v>17861</v>
      </c>
      <c r="N17541" t="str">
        <f>"9/27/2022 1:54:00 PM"</f>
        <v>9/27/2022 1:54:00 PM</v>
      </c>
      <c r="O17541" t="s">
        <v>53883</v>
      </c>
      <c r="T17541" t="s">
        <v>53884</v>
      </c>
    </row>
    <row r="17542" spans="1:20" x14ac:dyDescent="0.25">
      <c r="A17542" t="str">
        <f>"3044262"</f>
        <v>3044262</v>
      </c>
      <c r="B17542" t="s">
        <v>53886</v>
      </c>
      <c r="C17542" t="str">
        <f>"75372000"</f>
        <v>75372000</v>
      </c>
      <c r="D17542" t="s">
        <v>53887</v>
      </c>
      <c r="F17542" t="s">
        <v>53888</v>
      </c>
      <c r="I17542" t="s">
        <v>184</v>
      </c>
      <c r="J17542" t="s">
        <v>30</v>
      </c>
      <c r="K17542" t="s">
        <v>53889</v>
      </c>
      <c r="M17542" t="s">
        <v>33845</v>
      </c>
      <c r="N17542" t="str">
        <f>"9/19/2022 2:19:00 PM"</f>
        <v>9/19/2022 2:19:00 PM</v>
      </c>
      <c r="O17542" t="s">
        <v>53887</v>
      </c>
    </row>
    <row r="17543" spans="1:20" x14ac:dyDescent="0.25">
      <c r="A17543" t="str">
        <f>"3051239"</f>
        <v>3051239</v>
      </c>
      <c r="B17543" t="s">
        <v>53890</v>
      </c>
      <c r="C17543" t="str">
        <f>"8314552"</f>
        <v>8314552</v>
      </c>
      <c r="D17543" t="s">
        <v>53891</v>
      </c>
      <c r="E17543" t="s">
        <v>53892</v>
      </c>
      <c r="F17543" t="s">
        <v>53893</v>
      </c>
      <c r="I17543" t="s">
        <v>29</v>
      </c>
      <c r="J17543" t="s">
        <v>30</v>
      </c>
      <c r="K17543" t="str">
        <f>"27028"</f>
        <v>27028</v>
      </c>
      <c r="M17543" t="s">
        <v>50621</v>
      </c>
      <c r="N17543" t="str">
        <f>"9/19/2022 4:07:00 PM"</f>
        <v>9/19/2022 4:07:00 PM</v>
      </c>
      <c r="O17543" t="s">
        <v>53891</v>
      </c>
      <c r="T17543" t="s">
        <v>53892</v>
      </c>
    </row>
    <row r="17544" spans="1:20" x14ac:dyDescent="0.25">
      <c r="A17544" t="str">
        <f>"3059819"</f>
        <v>3059819</v>
      </c>
      <c r="B17544" t="s">
        <v>53894</v>
      </c>
      <c r="C17544" t="str">
        <f>"8314673"</f>
        <v>8314673</v>
      </c>
      <c r="D17544" t="s">
        <v>53895</v>
      </c>
      <c r="E17544" t="s">
        <v>53896</v>
      </c>
      <c r="F17544" t="s">
        <v>53897</v>
      </c>
      <c r="I17544" t="s">
        <v>17921</v>
      </c>
      <c r="J17544" t="s">
        <v>30</v>
      </c>
      <c r="K17544" t="str">
        <f>"27028"</f>
        <v>27028</v>
      </c>
      <c r="M17544" t="s">
        <v>50621</v>
      </c>
      <c r="N17544" t="str">
        <f>"9/20/2022 3:20:00 PM"</f>
        <v>9/20/2022 3:20:00 PM</v>
      </c>
      <c r="O17544" t="s">
        <v>53895</v>
      </c>
      <c r="T17544" t="s">
        <v>53896</v>
      </c>
    </row>
    <row r="17545" spans="1:20" x14ac:dyDescent="0.25">
      <c r="A17545" t="str">
        <f>"3045153"</f>
        <v>3045153</v>
      </c>
      <c r="B17545" t="s">
        <v>53898</v>
      </c>
      <c r="C17545" t="str">
        <f>"1365000"</f>
        <v>1365000</v>
      </c>
      <c r="D17545" t="s">
        <v>53899</v>
      </c>
      <c r="F17545" t="s">
        <v>53900</v>
      </c>
      <c r="I17545" t="s">
        <v>29</v>
      </c>
      <c r="J17545" t="s">
        <v>30</v>
      </c>
      <c r="K17545" t="s">
        <v>9437</v>
      </c>
      <c r="M17545" t="s">
        <v>22270</v>
      </c>
      <c r="N17545" t="str">
        <f>"9/29/2022 8:51:00 AM"</f>
        <v>9/29/2022 8:51:00 AM</v>
      </c>
      <c r="O17545" t="s">
        <v>53899</v>
      </c>
    </row>
    <row r="17546" spans="1:20" x14ac:dyDescent="0.25">
      <c r="A17546" t="str">
        <f>"3047756"</f>
        <v>3047756</v>
      </c>
      <c r="B17546" t="s">
        <v>53901</v>
      </c>
      <c r="C17546" t="str">
        <f>"8318784"</f>
        <v>8318784</v>
      </c>
      <c r="D17546" t="s">
        <v>53902</v>
      </c>
      <c r="E17546" t="s">
        <v>53903</v>
      </c>
      <c r="F17546" t="s">
        <v>53904</v>
      </c>
      <c r="I17546" t="s">
        <v>184</v>
      </c>
      <c r="J17546" t="s">
        <v>30</v>
      </c>
      <c r="K17546" t="s">
        <v>53905</v>
      </c>
      <c r="M17546" t="s">
        <v>17861</v>
      </c>
      <c r="N17546" t="str">
        <f>"9/29/2022 10:41:00 AM"</f>
        <v>9/29/2022 10:41:00 AM</v>
      </c>
      <c r="O17546" t="s">
        <v>53902</v>
      </c>
      <c r="T17546" t="s">
        <v>53903</v>
      </c>
    </row>
    <row r="17547" spans="1:20" x14ac:dyDescent="0.25">
      <c r="A17547" t="str">
        <f>"3055290"</f>
        <v>3055290</v>
      </c>
      <c r="B17547" t="s">
        <v>53906</v>
      </c>
      <c r="C17547" t="str">
        <f>"8318790"</f>
        <v>8318790</v>
      </c>
      <c r="D17547" t="s">
        <v>53907</v>
      </c>
      <c r="E17547" t="s">
        <v>53908</v>
      </c>
      <c r="F17547" t="s">
        <v>53909</v>
      </c>
      <c r="I17547" t="s">
        <v>29</v>
      </c>
      <c r="J17547" t="s">
        <v>30</v>
      </c>
      <c r="K17547" t="s">
        <v>43660</v>
      </c>
      <c r="M17547" t="s">
        <v>17861</v>
      </c>
      <c r="N17547" t="str">
        <f>"9/29/2022 1:54:00 PM"</f>
        <v>9/29/2022 1:54:00 PM</v>
      </c>
      <c r="O17547" t="s">
        <v>53907</v>
      </c>
      <c r="T17547" t="s">
        <v>53908</v>
      </c>
    </row>
    <row r="17548" spans="1:20" x14ac:dyDescent="0.25">
      <c r="A17548" t="str">
        <f>"3077635"</f>
        <v>3077635</v>
      </c>
      <c r="B17548" t="s">
        <v>53910</v>
      </c>
      <c r="C17548" t="str">
        <f>"27660000"</f>
        <v>27660000</v>
      </c>
      <c r="D17548" t="s">
        <v>53911</v>
      </c>
      <c r="E17548" t="str">
        <f>"C/O STERLIN FREEMAN"</f>
        <v>C/O STERLIN FREEMAN</v>
      </c>
      <c r="F17548" t="s">
        <v>53912</v>
      </c>
      <c r="I17548" t="s">
        <v>2275</v>
      </c>
      <c r="J17548" t="s">
        <v>30</v>
      </c>
      <c r="K17548" t="str">
        <f>"27023"</f>
        <v>27023</v>
      </c>
      <c r="M17548" t="s">
        <v>25733</v>
      </c>
      <c r="N17548" t="str">
        <f>"9/29/2022 4:24:00 PM"</f>
        <v>9/29/2022 4:24:00 PM</v>
      </c>
      <c r="O17548" t="s">
        <v>53911</v>
      </c>
      <c r="T17548" t="str">
        <f>"C/O STERLIN FREEMAN"</f>
        <v>C/O STERLIN FREEMAN</v>
      </c>
    </row>
    <row r="17549" spans="1:20" x14ac:dyDescent="0.25">
      <c r="A17549" t="str">
        <f>"3039010"</f>
        <v>3039010</v>
      </c>
      <c r="B17549" t="s">
        <v>53913</v>
      </c>
      <c r="C17549" t="str">
        <f>"8318794"</f>
        <v>8318794</v>
      </c>
      <c r="D17549" t="s">
        <v>53914</v>
      </c>
      <c r="F17549" t="s">
        <v>36695</v>
      </c>
      <c r="I17549" t="s">
        <v>29</v>
      </c>
      <c r="J17549" t="s">
        <v>30</v>
      </c>
      <c r="K17549" t="s">
        <v>36696</v>
      </c>
      <c r="M17549" t="s">
        <v>17861</v>
      </c>
      <c r="N17549" t="str">
        <f>"9/30/2022 9:21:00 AM"</f>
        <v>9/30/2022 9:21:00 AM</v>
      </c>
      <c r="O17549" t="s">
        <v>53914</v>
      </c>
    </row>
    <row r="17550" spans="1:20" x14ac:dyDescent="0.25">
      <c r="A17550" t="str">
        <f>"3037819"</f>
        <v>3037819</v>
      </c>
      <c r="B17550" t="s">
        <v>53915</v>
      </c>
      <c r="C17550" t="str">
        <f>"8318795"</f>
        <v>8318795</v>
      </c>
      <c r="D17550" t="s">
        <v>53916</v>
      </c>
      <c r="E17550" t="s">
        <v>53917</v>
      </c>
      <c r="F17550" t="s">
        <v>36695</v>
      </c>
      <c r="I17550" t="s">
        <v>29</v>
      </c>
      <c r="J17550" t="s">
        <v>30</v>
      </c>
      <c r="K17550" t="s">
        <v>36696</v>
      </c>
      <c r="M17550" t="s">
        <v>17861</v>
      </c>
      <c r="N17550" t="str">
        <f>"9/30/2022 9:30:00 AM"</f>
        <v>9/30/2022 9:30:00 AM</v>
      </c>
      <c r="O17550" t="s">
        <v>53916</v>
      </c>
      <c r="T17550" t="s">
        <v>53917</v>
      </c>
    </row>
    <row r="17551" spans="1:20" x14ac:dyDescent="0.25">
      <c r="A17551" t="str">
        <f>"3037802"</f>
        <v>3037802</v>
      </c>
      <c r="B17551" t="s">
        <v>53918</v>
      </c>
      <c r="C17551" t="str">
        <f>"8318795"</f>
        <v>8318795</v>
      </c>
      <c r="D17551" t="s">
        <v>53916</v>
      </c>
      <c r="E17551" t="s">
        <v>53917</v>
      </c>
      <c r="F17551" t="s">
        <v>36695</v>
      </c>
      <c r="I17551" t="s">
        <v>29</v>
      </c>
      <c r="J17551" t="s">
        <v>30</v>
      </c>
      <c r="K17551" t="s">
        <v>36696</v>
      </c>
      <c r="M17551" t="s">
        <v>17861</v>
      </c>
      <c r="N17551" t="str">
        <f>"9/30/2022 9:30:00 AM"</f>
        <v>9/30/2022 9:30:00 AM</v>
      </c>
      <c r="O17551" t="s">
        <v>53916</v>
      </c>
      <c r="T17551" t="s">
        <v>53917</v>
      </c>
    </row>
    <row r="17552" spans="1:20" x14ac:dyDescent="0.25">
      <c r="A17552" t="str">
        <f>"3058127"</f>
        <v>3058127</v>
      </c>
      <c r="B17552" t="s">
        <v>53919</v>
      </c>
      <c r="C17552" t="str">
        <f>"8318739"</f>
        <v>8318739</v>
      </c>
      <c r="D17552" t="s">
        <v>53920</v>
      </c>
      <c r="E17552" t="s">
        <v>53921</v>
      </c>
      <c r="F17552" t="s">
        <v>53922</v>
      </c>
      <c r="I17552" t="s">
        <v>184</v>
      </c>
      <c r="J17552" t="s">
        <v>30</v>
      </c>
      <c r="K17552" t="s">
        <v>39885</v>
      </c>
      <c r="M17552" t="s">
        <v>17861</v>
      </c>
      <c r="N17552" t="str">
        <f>"9/20/2022 3:30:00 PM"</f>
        <v>9/20/2022 3:30:00 PM</v>
      </c>
      <c r="O17552" t="s">
        <v>53920</v>
      </c>
      <c r="T17552" t="s">
        <v>53921</v>
      </c>
    </row>
    <row r="17553" spans="1:20" x14ac:dyDescent="0.25">
      <c r="A17553" t="str">
        <f>"3063706"</f>
        <v>3063706</v>
      </c>
      <c r="B17553" t="s">
        <v>53923</v>
      </c>
      <c r="C17553" t="str">
        <f>"8318740"</f>
        <v>8318740</v>
      </c>
      <c r="D17553" t="s">
        <v>53924</v>
      </c>
      <c r="F17553" t="s">
        <v>53925</v>
      </c>
      <c r="I17553" t="s">
        <v>29</v>
      </c>
      <c r="J17553" t="s">
        <v>30</v>
      </c>
      <c r="K17553" t="s">
        <v>397</v>
      </c>
      <c r="M17553" t="s">
        <v>17861</v>
      </c>
      <c r="N17553" t="str">
        <f>"9/20/2022 3:32:00 PM"</f>
        <v>9/20/2022 3:32:00 PM</v>
      </c>
      <c r="O17553" t="s">
        <v>53924</v>
      </c>
    </row>
    <row r="17554" spans="1:20" x14ac:dyDescent="0.25">
      <c r="A17554" t="str">
        <f>"3039016"</f>
        <v>3039016</v>
      </c>
      <c r="B17554" t="s">
        <v>53926</v>
      </c>
      <c r="C17554" t="str">
        <f>"8313902"</f>
        <v>8313902</v>
      </c>
      <c r="D17554" t="str">
        <f>"THOMAS LINDA/ROBERT"</f>
        <v>THOMAS LINDA/ROBERT</v>
      </c>
      <c r="E17554" t="str">
        <f>"HOWARD ROBIN/ADAM"</f>
        <v>HOWARD ROBIN/ADAM</v>
      </c>
      <c r="F17554" t="s">
        <v>53927</v>
      </c>
      <c r="I17554" t="s">
        <v>29</v>
      </c>
      <c r="J17554" t="s">
        <v>30</v>
      </c>
      <c r="K17554" t="str">
        <f>"27028"</f>
        <v>27028</v>
      </c>
      <c r="M17554" t="s">
        <v>50621</v>
      </c>
      <c r="N17554" t="str">
        <f>"9/15/2022 2:27:00 PM"</f>
        <v>9/15/2022 2:27:00 PM</v>
      </c>
      <c r="O17554" t="str">
        <f>"THOMAS LINDA/ROBERT"</f>
        <v>THOMAS LINDA/ROBERT</v>
      </c>
      <c r="T17554" t="str">
        <f>"HOWARD ROBIN/ADAM"</f>
        <v>HOWARD ROBIN/ADAM</v>
      </c>
    </row>
    <row r="17555" spans="1:20" x14ac:dyDescent="0.25">
      <c r="A17555" t="str">
        <f>"3072853"</f>
        <v>3072853</v>
      </c>
      <c r="B17555" t="s">
        <v>53928</v>
      </c>
      <c r="C17555" t="str">
        <f>"71934720"</f>
        <v>71934720</v>
      </c>
      <c r="D17555" t="s">
        <v>53929</v>
      </c>
      <c r="F17555" t="s">
        <v>53930</v>
      </c>
      <c r="I17555" t="s">
        <v>53931</v>
      </c>
      <c r="J17555" t="s">
        <v>30</v>
      </c>
      <c r="K17555" t="s">
        <v>185</v>
      </c>
      <c r="M17555" t="s">
        <v>50621</v>
      </c>
      <c r="N17555" t="str">
        <f>"9/30/2022 11:06:00 AM"</f>
        <v>9/30/2022 11:06:00 AM</v>
      </c>
      <c r="O17555" t="s">
        <v>53929</v>
      </c>
    </row>
    <row r="17556" spans="1:20" x14ac:dyDescent="0.25">
      <c r="A17556" t="str">
        <f>"3057841"</f>
        <v>3057841</v>
      </c>
      <c r="B17556" t="s">
        <v>53932</v>
      </c>
      <c r="C17556" t="str">
        <f>"8318802"</f>
        <v>8318802</v>
      </c>
      <c r="D17556" t="s">
        <v>53933</v>
      </c>
      <c r="E17556" t="s">
        <v>53934</v>
      </c>
      <c r="F17556" t="s">
        <v>53935</v>
      </c>
      <c r="I17556" t="s">
        <v>184</v>
      </c>
      <c r="J17556" t="s">
        <v>30</v>
      </c>
      <c r="K17556" t="str">
        <f>"27006"</f>
        <v>27006</v>
      </c>
      <c r="M17556" t="s">
        <v>17861</v>
      </c>
      <c r="N17556" t="str">
        <f>"9/30/2022 11:18:00 AM"</f>
        <v>9/30/2022 11:18:00 AM</v>
      </c>
      <c r="O17556" t="s">
        <v>53933</v>
      </c>
      <c r="T17556" t="s">
        <v>53934</v>
      </c>
    </row>
    <row r="17557" spans="1:20" x14ac:dyDescent="0.25">
      <c r="A17557" t="str">
        <f>"3053810"</f>
        <v>3053810</v>
      </c>
      <c r="B17557" t="s">
        <v>53936</v>
      </c>
      <c r="C17557" t="str">
        <f>"8318805"</f>
        <v>8318805</v>
      </c>
      <c r="D17557" t="s">
        <v>53937</v>
      </c>
      <c r="F17557" t="s">
        <v>53938</v>
      </c>
      <c r="I17557" t="s">
        <v>29</v>
      </c>
      <c r="J17557" t="s">
        <v>30</v>
      </c>
      <c r="K17557" t="s">
        <v>10082</v>
      </c>
      <c r="M17557" t="s">
        <v>17861</v>
      </c>
      <c r="N17557" t="str">
        <f>"9/30/2022 12:27:00 PM"</f>
        <v>9/30/2022 12:27:00 PM</v>
      </c>
      <c r="O17557" t="s">
        <v>53937</v>
      </c>
    </row>
    <row r="17558" spans="1:20" x14ac:dyDescent="0.25">
      <c r="A17558" t="str">
        <f>"3057396"</f>
        <v>3057396</v>
      </c>
      <c r="B17558" t="s">
        <v>53939</v>
      </c>
      <c r="C17558" t="str">
        <f>"8318806"</f>
        <v>8318806</v>
      </c>
      <c r="D17558" t="s">
        <v>53940</v>
      </c>
      <c r="E17558" t="s">
        <v>53941</v>
      </c>
      <c r="F17558" t="s">
        <v>53942</v>
      </c>
      <c r="I17558" t="s">
        <v>184</v>
      </c>
      <c r="J17558" t="s">
        <v>30</v>
      </c>
      <c r="K17558" t="s">
        <v>33177</v>
      </c>
      <c r="M17558" t="s">
        <v>17861</v>
      </c>
      <c r="N17558" t="str">
        <f>"9/30/2022 12:30:00 PM"</f>
        <v>9/30/2022 12:30:00 PM</v>
      </c>
      <c r="O17558" t="s">
        <v>53940</v>
      </c>
      <c r="T17558" t="s">
        <v>53941</v>
      </c>
    </row>
    <row r="17559" spans="1:20" x14ac:dyDescent="0.25">
      <c r="A17559" t="str">
        <f>"3060161"</f>
        <v>3060161</v>
      </c>
      <c r="B17559" t="s">
        <v>53943</v>
      </c>
      <c r="C17559" t="str">
        <f>"8318806"</f>
        <v>8318806</v>
      </c>
      <c r="D17559" t="s">
        <v>53940</v>
      </c>
      <c r="E17559" t="s">
        <v>53941</v>
      </c>
      <c r="F17559" t="s">
        <v>53942</v>
      </c>
      <c r="I17559" t="s">
        <v>184</v>
      </c>
      <c r="J17559" t="s">
        <v>30</v>
      </c>
      <c r="K17559" t="s">
        <v>33177</v>
      </c>
      <c r="M17559" t="s">
        <v>17861</v>
      </c>
      <c r="N17559" t="str">
        <f>"9/30/2022 12:30:00 PM"</f>
        <v>9/30/2022 12:30:00 PM</v>
      </c>
      <c r="O17559" t="s">
        <v>53940</v>
      </c>
      <c r="T17559" t="s">
        <v>53941</v>
      </c>
    </row>
    <row r="17560" spans="1:20" x14ac:dyDescent="0.25">
      <c r="A17560" t="str">
        <f>"3058964"</f>
        <v>3058964</v>
      </c>
      <c r="B17560" t="s">
        <v>53944</v>
      </c>
      <c r="C17560" t="str">
        <f>"8318808"</f>
        <v>8318808</v>
      </c>
      <c r="D17560" t="s">
        <v>53945</v>
      </c>
      <c r="E17560" t="s">
        <v>53946</v>
      </c>
      <c r="F17560" t="s">
        <v>53947</v>
      </c>
      <c r="I17560" t="s">
        <v>29</v>
      </c>
      <c r="J17560" t="s">
        <v>30</v>
      </c>
      <c r="K17560" t="s">
        <v>52296</v>
      </c>
      <c r="M17560" t="s">
        <v>17861</v>
      </c>
      <c r="N17560" t="str">
        <f>"9/30/2022 2:42:00 PM"</f>
        <v>9/30/2022 2:42:00 PM</v>
      </c>
      <c r="O17560" t="s">
        <v>53945</v>
      </c>
      <c r="T17560" t="s">
        <v>53946</v>
      </c>
    </row>
    <row r="17561" spans="1:20" x14ac:dyDescent="0.25">
      <c r="A17561" t="str">
        <f>"3051595"</f>
        <v>3051595</v>
      </c>
      <c r="B17561" t="s">
        <v>53948</v>
      </c>
      <c r="C17561" t="str">
        <f>"8318809"</f>
        <v>8318809</v>
      </c>
      <c r="D17561" t="s">
        <v>53949</v>
      </c>
      <c r="E17561" t="s">
        <v>53950</v>
      </c>
      <c r="F17561" t="s">
        <v>53951</v>
      </c>
      <c r="I17561" t="s">
        <v>29</v>
      </c>
      <c r="J17561" t="s">
        <v>30</v>
      </c>
      <c r="K17561" t="s">
        <v>12793</v>
      </c>
      <c r="M17561" t="s">
        <v>17861</v>
      </c>
      <c r="N17561" t="str">
        <f>"9/30/2022 2:44:00 PM"</f>
        <v>9/30/2022 2:44:00 PM</v>
      </c>
      <c r="O17561" t="s">
        <v>53949</v>
      </c>
      <c r="T17561" t="s">
        <v>53950</v>
      </c>
    </row>
    <row r="17562" spans="1:20" x14ac:dyDescent="0.25">
      <c r="A17562" t="str">
        <f>"3058976"</f>
        <v>3058976</v>
      </c>
      <c r="B17562" t="s">
        <v>53952</v>
      </c>
      <c r="C17562" t="str">
        <f>"8318811"</f>
        <v>8318811</v>
      </c>
      <c r="D17562" t="s">
        <v>53953</v>
      </c>
      <c r="F17562" t="s">
        <v>53954</v>
      </c>
      <c r="I17562" t="s">
        <v>29</v>
      </c>
      <c r="J17562" t="s">
        <v>30</v>
      </c>
      <c r="K17562" t="s">
        <v>52431</v>
      </c>
      <c r="M17562" t="s">
        <v>17861</v>
      </c>
      <c r="N17562" t="str">
        <f>"10/3/2022 9:16:00 AM"</f>
        <v>10/3/2022 9:16:00 AM</v>
      </c>
      <c r="O17562" t="s">
        <v>53953</v>
      </c>
    </row>
    <row r="17563" spans="1:20" x14ac:dyDescent="0.25">
      <c r="A17563" t="str">
        <f>"3058960"</f>
        <v>3058960</v>
      </c>
      <c r="B17563" t="s">
        <v>53955</v>
      </c>
      <c r="C17563" t="str">
        <f>"8318812"</f>
        <v>8318812</v>
      </c>
      <c r="D17563" t="s">
        <v>53956</v>
      </c>
      <c r="E17563" t="s">
        <v>53957</v>
      </c>
      <c r="F17563" t="s">
        <v>53958</v>
      </c>
      <c r="I17563" t="s">
        <v>29</v>
      </c>
      <c r="J17563" t="s">
        <v>30</v>
      </c>
      <c r="K17563" t="s">
        <v>52296</v>
      </c>
      <c r="M17563" t="s">
        <v>17861</v>
      </c>
      <c r="N17563" t="str">
        <f>"10/3/2022 9:19:00 AM"</f>
        <v>10/3/2022 9:19:00 AM</v>
      </c>
      <c r="O17563" t="s">
        <v>53956</v>
      </c>
      <c r="T17563" t="s">
        <v>53957</v>
      </c>
    </row>
    <row r="17564" spans="1:20" x14ac:dyDescent="0.25">
      <c r="A17564" t="str">
        <f>"3044337"</f>
        <v>3044337</v>
      </c>
      <c r="B17564" t="s">
        <v>53959</v>
      </c>
      <c r="C17564" t="str">
        <f>"8316796"</f>
        <v>8316796</v>
      </c>
      <c r="D17564" t="s">
        <v>53960</v>
      </c>
      <c r="E17564" t="s">
        <v>53961</v>
      </c>
      <c r="F17564" t="s">
        <v>53962</v>
      </c>
      <c r="I17564" t="s">
        <v>24359</v>
      </c>
      <c r="J17564" t="s">
        <v>30</v>
      </c>
      <c r="K17564" t="str">
        <f>"27006"</f>
        <v>27006</v>
      </c>
      <c r="M17564" t="s">
        <v>50621</v>
      </c>
      <c r="N17564" t="str">
        <f>"9/15/2022 2:29:00 PM"</f>
        <v>9/15/2022 2:29:00 PM</v>
      </c>
      <c r="O17564" t="s">
        <v>53960</v>
      </c>
      <c r="T17564" t="s">
        <v>53961</v>
      </c>
    </row>
    <row r="17565" spans="1:20" x14ac:dyDescent="0.25">
      <c r="A17565" t="str">
        <f>"3044700"</f>
        <v>3044700</v>
      </c>
      <c r="B17565" t="s">
        <v>53963</v>
      </c>
      <c r="C17565" t="str">
        <f>"8318814"</f>
        <v>8318814</v>
      </c>
      <c r="D17565" t="s">
        <v>53964</v>
      </c>
      <c r="E17565" t="s">
        <v>53965</v>
      </c>
      <c r="F17565" t="s">
        <v>53966</v>
      </c>
      <c r="I17565" t="s">
        <v>184</v>
      </c>
      <c r="J17565" t="s">
        <v>30</v>
      </c>
      <c r="K17565" t="s">
        <v>5531</v>
      </c>
      <c r="M17565" t="s">
        <v>17861</v>
      </c>
      <c r="N17565" t="str">
        <f>"10/3/2022 10:16:00 AM"</f>
        <v>10/3/2022 10:16:00 AM</v>
      </c>
      <c r="O17565" t="s">
        <v>53964</v>
      </c>
      <c r="T17565" t="s">
        <v>53965</v>
      </c>
    </row>
    <row r="17566" spans="1:20" x14ac:dyDescent="0.25">
      <c r="A17566" t="str">
        <f>"3048484"</f>
        <v>3048484</v>
      </c>
      <c r="B17566" t="s">
        <v>53967</v>
      </c>
      <c r="C17566" t="str">
        <f>"8306031"</f>
        <v>8306031</v>
      </c>
      <c r="D17566" t="s">
        <v>53968</v>
      </c>
      <c r="F17566" t="s">
        <v>53969</v>
      </c>
      <c r="I17566" t="s">
        <v>29</v>
      </c>
      <c r="J17566" t="s">
        <v>30</v>
      </c>
      <c r="K17566" t="str">
        <f>"27028"</f>
        <v>27028</v>
      </c>
      <c r="M17566" t="s">
        <v>50621</v>
      </c>
      <c r="N17566" t="str">
        <f>"10/3/2022 11:43:00 AM"</f>
        <v>10/3/2022 11:43:00 AM</v>
      </c>
      <c r="O17566" t="s">
        <v>53968</v>
      </c>
    </row>
    <row r="17567" spans="1:20" x14ac:dyDescent="0.25">
      <c r="A17567" t="str">
        <f>"3053599"</f>
        <v>3053599</v>
      </c>
      <c r="B17567" t="s">
        <v>53970</v>
      </c>
      <c r="C17567" t="str">
        <f>"8314626"</f>
        <v>8314626</v>
      </c>
      <c r="D17567" t="s">
        <v>53971</v>
      </c>
      <c r="F17567" t="s">
        <v>53972</v>
      </c>
      <c r="I17567" t="s">
        <v>24359</v>
      </c>
      <c r="J17567" t="s">
        <v>30</v>
      </c>
      <c r="K17567" t="str">
        <f>"27006"</f>
        <v>27006</v>
      </c>
      <c r="M17567" t="s">
        <v>50621</v>
      </c>
      <c r="N17567" t="str">
        <f>"9/15/2022 2:32:00 PM"</f>
        <v>9/15/2022 2:32:00 PM</v>
      </c>
      <c r="O17567" t="s">
        <v>53971</v>
      </c>
    </row>
    <row r="17568" spans="1:20" x14ac:dyDescent="0.25">
      <c r="A17568" t="str">
        <f>"3059416"</f>
        <v>3059416</v>
      </c>
      <c r="B17568" t="s">
        <v>53973</v>
      </c>
      <c r="C17568" t="str">
        <f>"8311726"</f>
        <v>8311726</v>
      </c>
      <c r="D17568" t="s">
        <v>53974</v>
      </c>
      <c r="F17568" t="s">
        <v>53975</v>
      </c>
      <c r="I17568" t="s">
        <v>29</v>
      </c>
      <c r="J17568" t="s">
        <v>30</v>
      </c>
      <c r="K17568" t="str">
        <f>"27028"</f>
        <v>27028</v>
      </c>
      <c r="M17568" t="s">
        <v>50621</v>
      </c>
      <c r="N17568" t="str">
        <f>"9/15/2022 2:34:00 PM"</f>
        <v>9/15/2022 2:34:00 PM</v>
      </c>
      <c r="O17568" t="s">
        <v>53974</v>
      </c>
    </row>
    <row r="17569" spans="1:20" x14ac:dyDescent="0.25">
      <c r="A17569" t="str">
        <f>"3052447"</f>
        <v>3052447</v>
      </c>
      <c r="B17569" t="s">
        <v>53976</v>
      </c>
      <c r="C17569" t="str">
        <f>"55462500"</f>
        <v>55462500</v>
      </c>
      <c r="D17569" t="s">
        <v>53977</v>
      </c>
      <c r="E17569" t="s">
        <v>53978</v>
      </c>
      <c r="F17569" t="s">
        <v>53979</v>
      </c>
      <c r="I17569" t="s">
        <v>17921</v>
      </c>
      <c r="J17569" t="s">
        <v>30</v>
      </c>
      <c r="K17569" t="str">
        <f>"27028"</f>
        <v>27028</v>
      </c>
      <c r="M17569" t="s">
        <v>50621</v>
      </c>
      <c r="N17569" t="str">
        <f>"9/15/2022 2:46:00 PM"</f>
        <v>9/15/2022 2:46:00 PM</v>
      </c>
      <c r="O17569" t="s">
        <v>53977</v>
      </c>
      <c r="T17569" t="s">
        <v>53978</v>
      </c>
    </row>
    <row r="17570" spans="1:20" x14ac:dyDescent="0.25">
      <c r="A17570" t="str">
        <f>"3040140"</f>
        <v>3040140</v>
      </c>
      <c r="B17570" t="s">
        <v>53980</v>
      </c>
      <c r="C17570" t="str">
        <f>"30429000"</f>
        <v>30429000</v>
      </c>
      <c r="D17570" t="s">
        <v>53981</v>
      </c>
      <c r="F17570" t="s">
        <v>53982</v>
      </c>
      <c r="I17570" t="s">
        <v>17921</v>
      </c>
      <c r="J17570" t="s">
        <v>30</v>
      </c>
      <c r="K17570" t="str">
        <f>"27028"</f>
        <v>27028</v>
      </c>
      <c r="M17570" t="s">
        <v>50621</v>
      </c>
      <c r="N17570" t="str">
        <f>"9/15/2022 2:51:00 PM"</f>
        <v>9/15/2022 2:51:00 PM</v>
      </c>
      <c r="O17570" t="s">
        <v>53981</v>
      </c>
    </row>
    <row r="17571" spans="1:20" x14ac:dyDescent="0.25">
      <c r="A17571" t="str">
        <f>"3055969"</f>
        <v>3055969</v>
      </c>
      <c r="B17571" t="s">
        <v>53983</v>
      </c>
      <c r="C17571" t="str">
        <f>"8304371"</f>
        <v>8304371</v>
      </c>
      <c r="D17571" t="s">
        <v>53984</v>
      </c>
      <c r="F17571" t="s">
        <v>53985</v>
      </c>
      <c r="I17571" t="s">
        <v>25280</v>
      </c>
      <c r="J17571" t="s">
        <v>30</v>
      </c>
      <c r="K17571" t="str">
        <f>"27014"</f>
        <v>27014</v>
      </c>
      <c r="M17571" t="s">
        <v>50621</v>
      </c>
      <c r="N17571" t="str">
        <f>"9/15/2022 2:23:00 PM"</f>
        <v>9/15/2022 2:23:00 PM</v>
      </c>
      <c r="O17571" t="s">
        <v>53984</v>
      </c>
    </row>
    <row r="17572" spans="1:20" x14ac:dyDescent="0.25">
      <c r="A17572" t="str">
        <f>"3047098"</f>
        <v>3047098</v>
      </c>
      <c r="B17572" t="s">
        <v>53986</v>
      </c>
      <c r="C17572" t="str">
        <f>"25492000"</f>
        <v>25492000</v>
      </c>
      <c r="D17572" t="s">
        <v>53987</v>
      </c>
      <c r="E17572" t="s">
        <v>53988</v>
      </c>
      <c r="F17572" t="s">
        <v>53989</v>
      </c>
      <c r="I17572" t="s">
        <v>29</v>
      </c>
      <c r="J17572" t="s">
        <v>30</v>
      </c>
      <c r="K17572" t="s">
        <v>28120</v>
      </c>
      <c r="M17572" t="s">
        <v>50621</v>
      </c>
      <c r="N17572" t="str">
        <f>"9/23/2022 9:01:00 AM"</f>
        <v>9/23/2022 9:01:00 AM</v>
      </c>
      <c r="O17572" t="s">
        <v>53987</v>
      </c>
      <c r="T17572" t="s">
        <v>53988</v>
      </c>
    </row>
    <row r="17573" spans="1:20" x14ac:dyDescent="0.25">
      <c r="A17573" t="str">
        <f>"3044007"</f>
        <v>3044007</v>
      </c>
      <c r="B17573" t="s">
        <v>53990</v>
      </c>
      <c r="C17573" t="str">
        <f>"8314811"</f>
        <v>8314811</v>
      </c>
      <c r="D17573" t="s">
        <v>53991</v>
      </c>
      <c r="E17573" t="s">
        <v>53992</v>
      </c>
      <c r="F17573" t="s">
        <v>53993</v>
      </c>
      <c r="I17573" t="s">
        <v>184</v>
      </c>
      <c r="J17573" t="s">
        <v>30</v>
      </c>
      <c r="K17573" t="s">
        <v>53994</v>
      </c>
      <c r="M17573" t="s">
        <v>51351</v>
      </c>
      <c r="N17573" t="str">
        <f>"9/26/2022 12:35:00 PM"</f>
        <v>9/26/2022 12:35:00 PM</v>
      </c>
      <c r="O17573" t="s">
        <v>53991</v>
      </c>
      <c r="T17573" t="s">
        <v>53992</v>
      </c>
    </row>
    <row r="17574" spans="1:20" x14ac:dyDescent="0.25">
      <c r="A17574" t="str">
        <f>"3041513"</f>
        <v>3041513</v>
      </c>
      <c r="B17574" t="s">
        <v>53995</v>
      </c>
      <c r="C17574" t="str">
        <f>"8318824"</f>
        <v>8318824</v>
      </c>
      <c r="D17574" t="str">
        <f>"BOOTH KEITH/SANDRA FISHEL LIV TRUST"</f>
        <v>BOOTH KEITH/SANDRA FISHEL LIV TRUST</v>
      </c>
      <c r="E17574" t="str">
        <f>"BOOTH KEITH/SANDRA FISHEL TRUS"</f>
        <v>BOOTH KEITH/SANDRA FISHEL TRUS</v>
      </c>
      <c r="F17574" t="s">
        <v>53996</v>
      </c>
      <c r="I17574" t="s">
        <v>184</v>
      </c>
      <c r="J17574" t="s">
        <v>30</v>
      </c>
      <c r="K17574" t="s">
        <v>32429</v>
      </c>
      <c r="M17574" t="s">
        <v>17861</v>
      </c>
      <c r="N17574" t="str">
        <f>"10/5/2022 10:00:00 AM"</f>
        <v>10/5/2022 10:00:00 AM</v>
      </c>
      <c r="O17574" t="str">
        <f>"BOOTH KEITH/SANDRA FISHEL LIV TRUST"</f>
        <v>BOOTH KEITH/SANDRA FISHEL LIV TRUST</v>
      </c>
      <c r="T17574" t="str">
        <f>"BOOTH KEITH/SANDRA FISHEL TRUS"</f>
        <v>BOOTH KEITH/SANDRA FISHEL TRUS</v>
      </c>
    </row>
    <row r="17575" spans="1:20" x14ac:dyDescent="0.25">
      <c r="A17575" t="str">
        <f>"3044118"</f>
        <v>3044118</v>
      </c>
      <c r="B17575" t="s">
        <v>53997</v>
      </c>
      <c r="C17575" t="str">
        <f>"8300300"</f>
        <v>8300300</v>
      </c>
      <c r="D17575" t="s">
        <v>53991</v>
      </c>
      <c r="E17575" t="s">
        <v>53998</v>
      </c>
      <c r="F17575" t="s">
        <v>53993</v>
      </c>
      <c r="I17575" t="s">
        <v>184</v>
      </c>
      <c r="J17575" t="s">
        <v>30</v>
      </c>
      <c r="K17575" t="s">
        <v>53994</v>
      </c>
      <c r="M17575" t="s">
        <v>51351</v>
      </c>
      <c r="N17575" t="str">
        <f>"9/26/2022 12:35:00 PM"</f>
        <v>9/26/2022 12:35:00 PM</v>
      </c>
      <c r="O17575" t="s">
        <v>53991</v>
      </c>
      <c r="T17575" t="s">
        <v>53998</v>
      </c>
    </row>
    <row r="17576" spans="1:20" x14ac:dyDescent="0.25">
      <c r="A17576" t="str">
        <f>"3044095"</f>
        <v>3044095</v>
      </c>
      <c r="B17576" t="s">
        <v>53999</v>
      </c>
      <c r="C17576" t="str">
        <f>"9616000"</f>
        <v>9616000</v>
      </c>
      <c r="D17576" t="s">
        <v>54000</v>
      </c>
      <c r="E17576" t="s">
        <v>53992</v>
      </c>
      <c r="F17576" t="s">
        <v>53993</v>
      </c>
      <c r="I17576" t="s">
        <v>184</v>
      </c>
      <c r="J17576" t="s">
        <v>30</v>
      </c>
      <c r="K17576" t="s">
        <v>53994</v>
      </c>
      <c r="M17576" t="s">
        <v>51351</v>
      </c>
      <c r="N17576" t="str">
        <f>"9/26/2022 12:37:00 PM"</f>
        <v>9/26/2022 12:37:00 PM</v>
      </c>
      <c r="O17576" t="s">
        <v>54000</v>
      </c>
      <c r="T17576" t="s">
        <v>53992</v>
      </c>
    </row>
    <row r="17577" spans="1:20" x14ac:dyDescent="0.25">
      <c r="A17577" t="str">
        <f>"3040470"</f>
        <v>3040470</v>
      </c>
      <c r="B17577" t="s">
        <v>54001</v>
      </c>
      <c r="C17577" t="str">
        <f>"8318770"</f>
        <v>8318770</v>
      </c>
      <c r="D17577" t="s">
        <v>53862</v>
      </c>
      <c r="E17577" t="s">
        <v>53863</v>
      </c>
      <c r="F17577" t="s">
        <v>53864</v>
      </c>
      <c r="I17577" t="s">
        <v>29</v>
      </c>
      <c r="J17577" t="s">
        <v>30</v>
      </c>
      <c r="K17577" t="s">
        <v>53865</v>
      </c>
      <c r="M17577" t="s">
        <v>17861</v>
      </c>
      <c r="N17577" t="str">
        <f>"9/26/2022 1:43:00 PM"</f>
        <v>9/26/2022 1:43:00 PM</v>
      </c>
      <c r="O17577" t="s">
        <v>53862</v>
      </c>
      <c r="T17577" t="s">
        <v>53863</v>
      </c>
    </row>
    <row r="17578" spans="1:20" x14ac:dyDescent="0.25">
      <c r="A17578" t="str">
        <f>"3052728"</f>
        <v>3052728</v>
      </c>
      <c r="B17578" t="s">
        <v>54002</v>
      </c>
      <c r="C17578" t="str">
        <f>"8318782"</f>
        <v>8318782</v>
      </c>
      <c r="D17578" t="s">
        <v>54003</v>
      </c>
      <c r="F17578" t="s">
        <v>54004</v>
      </c>
      <c r="I17578" t="s">
        <v>29</v>
      </c>
      <c r="J17578" t="s">
        <v>30</v>
      </c>
      <c r="K17578" t="s">
        <v>54005</v>
      </c>
      <c r="M17578" t="s">
        <v>17861</v>
      </c>
      <c r="N17578" t="str">
        <f>"9/28/2022 3:30:00 PM"</f>
        <v>9/28/2022 3:30:00 PM</v>
      </c>
      <c r="O17578" t="s">
        <v>54003</v>
      </c>
    </row>
    <row r="17579" spans="1:20" x14ac:dyDescent="0.25">
      <c r="A17579" t="str">
        <f>"3057622"</f>
        <v>3057622</v>
      </c>
      <c r="B17579" t="s">
        <v>54006</v>
      </c>
      <c r="C17579" t="str">
        <f>"8318783"</f>
        <v>8318783</v>
      </c>
      <c r="D17579" t="s">
        <v>54007</v>
      </c>
      <c r="E17579" t="s">
        <v>54008</v>
      </c>
      <c r="F17579" t="s">
        <v>54009</v>
      </c>
      <c r="I17579" t="s">
        <v>184</v>
      </c>
      <c r="J17579" t="s">
        <v>30</v>
      </c>
      <c r="K17579" t="s">
        <v>54010</v>
      </c>
      <c r="M17579" t="s">
        <v>17861</v>
      </c>
      <c r="N17579" t="str">
        <f>"9/28/2022 4:15:00 PM"</f>
        <v>9/28/2022 4:15:00 PM</v>
      </c>
      <c r="O17579" t="s">
        <v>54007</v>
      </c>
      <c r="T17579" t="s">
        <v>54008</v>
      </c>
    </row>
    <row r="17580" spans="1:20" x14ac:dyDescent="0.25">
      <c r="A17580" t="str">
        <f>"3045779"</f>
        <v>3045779</v>
      </c>
      <c r="B17580" t="s">
        <v>54011</v>
      </c>
      <c r="C17580" t="str">
        <f>"1365000"</f>
        <v>1365000</v>
      </c>
      <c r="D17580" t="s">
        <v>53899</v>
      </c>
      <c r="F17580" t="s">
        <v>53900</v>
      </c>
      <c r="I17580" t="s">
        <v>29</v>
      </c>
      <c r="J17580" t="s">
        <v>30</v>
      </c>
      <c r="K17580" t="s">
        <v>9437</v>
      </c>
      <c r="M17580" t="s">
        <v>22270</v>
      </c>
      <c r="N17580" t="str">
        <f>"9/29/2022 8:51:00 AM"</f>
        <v>9/29/2022 8:51:00 AM</v>
      </c>
      <c r="O17580" t="s">
        <v>53899</v>
      </c>
    </row>
    <row r="17581" spans="1:20" x14ac:dyDescent="0.25">
      <c r="A17581" t="str">
        <f>"3050733"</f>
        <v>3050733</v>
      </c>
      <c r="B17581" t="s">
        <v>54012</v>
      </c>
      <c r="C17581" t="str">
        <f>"74052720"</f>
        <v>74052720</v>
      </c>
      <c r="D17581" t="s">
        <v>54013</v>
      </c>
      <c r="E17581" t="s">
        <v>54014</v>
      </c>
      <c r="F17581" t="s">
        <v>54015</v>
      </c>
      <c r="I17581" t="s">
        <v>184</v>
      </c>
      <c r="J17581" t="s">
        <v>30</v>
      </c>
      <c r="K17581" t="s">
        <v>37663</v>
      </c>
      <c r="M17581" t="s">
        <v>25733</v>
      </c>
      <c r="N17581" t="str">
        <f>"9/30/2022 10:24:00 AM"</f>
        <v>9/30/2022 10:24:00 AM</v>
      </c>
      <c r="O17581" t="s">
        <v>54013</v>
      </c>
      <c r="T17581" t="s">
        <v>54014</v>
      </c>
    </row>
    <row r="17582" spans="1:20" x14ac:dyDescent="0.25">
      <c r="A17582" t="str">
        <f>"3056037"</f>
        <v>3056037</v>
      </c>
      <c r="B17582" t="s">
        <v>54016</v>
      </c>
      <c r="C17582" t="str">
        <f>"8318801"</f>
        <v>8318801</v>
      </c>
      <c r="D17582" t="s">
        <v>54017</v>
      </c>
      <c r="E17582" t="s">
        <v>54018</v>
      </c>
      <c r="F17582" t="s">
        <v>54019</v>
      </c>
      <c r="I17582" t="s">
        <v>9580</v>
      </c>
      <c r="J17582" t="s">
        <v>30</v>
      </c>
      <c r="K17582" t="s">
        <v>54020</v>
      </c>
      <c r="M17582" t="s">
        <v>17861</v>
      </c>
      <c r="N17582" t="str">
        <f>"9/30/2022 10:43:00 AM"</f>
        <v>9/30/2022 10:43:00 AM</v>
      </c>
      <c r="O17582" t="s">
        <v>54017</v>
      </c>
      <c r="T17582" t="s">
        <v>54018</v>
      </c>
    </row>
    <row r="17583" spans="1:20" x14ac:dyDescent="0.25">
      <c r="A17583" t="str">
        <f>"3039564"</f>
        <v>3039564</v>
      </c>
      <c r="B17583" t="s">
        <v>54021</v>
      </c>
      <c r="C17583" t="str">
        <f>"8310116"</f>
        <v>8310116</v>
      </c>
      <c r="D17583" t="s">
        <v>54022</v>
      </c>
      <c r="F17583" t="s">
        <v>54023</v>
      </c>
      <c r="I17583" t="s">
        <v>184</v>
      </c>
      <c r="J17583" t="s">
        <v>30</v>
      </c>
      <c r="K17583" t="s">
        <v>728</v>
      </c>
      <c r="M17583" t="s">
        <v>50621</v>
      </c>
      <c r="N17583" t="str">
        <f>"9/30/2022 11:06:00 AM"</f>
        <v>9/30/2022 11:06:00 AM</v>
      </c>
      <c r="O17583" t="s">
        <v>54022</v>
      </c>
    </row>
    <row r="17584" spans="1:20" x14ac:dyDescent="0.25">
      <c r="A17584" t="str">
        <f>"3055377"</f>
        <v>3055377</v>
      </c>
      <c r="B17584" t="s">
        <v>54024</v>
      </c>
      <c r="C17584" t="str">
        <f>"8318746"</f>
        <v>8318746</v>
      </c>
      <c r="D17584" t="s">
        <v>54025</v>
      </c>
      <c r="F17584" t="s">
        <v>54026</v>
      </c>
      <c r="I17584" t="s">
        <v>54027</v>
      </c>
      <c r="J17584" t="s">
        <v>30</v>
      </c>
      <c r="K17584" t="s">
        <v>54028</v>
      </c>
      <c r="M17584" t="s">
        <v>17861</v>
      </c>
      <c r="N17584" t="str">
        <f>"9/21/2022 10:59:00 AM"</f>
        <v>9/21/2022 10:59:00 AM</v>
      </c>
      <c r="O17584" t="s">
        <v>54025</v>
      </c>
    </row>
    <row r="17585" spans="1:20" x14ac:dyDescent="0.25">
      <c r="A17585" t="str">
        <f>"3050464"</f>
        <v>3050464</v>
      </c>
      <c r="B17585" t="s">
        <v>54029</v>
      </c>
      <c r="C17585" t="str">
        <f>"8318749"</f>
        <v>8318749</v>
      </c>
      <c r="D17585" t="s">
        <v>54030</v>
      </c>
      <c r="F17585" t="s">
        <v>54031</v>
      </c>
      <c r="I17585" t="s">
        <v>29</v>
      </c>
      <c r="J17585" t="s">
        <v>30</v>
      </c>
      <c r="K17585" t="s">
        <v>13959</v>
      </c>
      <c r="M17585" t="s">
        <v>17861</v>
      </c>
      <c r="N17585" t="str">
        <f>"9/22/2022 9:18:00 AM"</f>
        <v>9/22/2022 9:18:00 AM</v>
      </c>
      <c r="O17585" t="s">
        <v>54030</v>
      </c>
    </row>
    <row r="17586" spans="1:20" x14ac:dyDescent="0.25">
      <c r="A17586" t="str">
        <f>"3044116"</f>
        <v>3044116</v>
      </c>
      <c r="B17586" t="s">
        <v>54032</v>
      </c>
      <c r="C17586" t="str">
        <f>"54531000"</f>
        <v>54531000</v>
      </c>
      <c r="D17586" t="s">
        <v>51841</v>
      </c>
      <c r="F17586" t="s">
        <v>49553</v>
      </c>
      <c r="I17586" t="s">
        <v>184</v>
      </c>
      <c r="J17586" t="s">
        <v>30</v>
      </c>
      <c r="K17586" t="s">
        <v>185</v>
      </c>
      <c r="M17586" t="s">
        <v>51351</v>
      </c>
      <c r="N17586" t="str">
        <f>"9/22/2022 9:55:00 AM"</f>
        <v>9/22/2022 9:55:00 AM</v>
      </c>
      <c r="O17586" t="s">
        <v>51841</v>
      </c>
    </row>
    <row r="17587" spans="1:20" x14ac:dyDescent="0.25">
      <c r="A17587" t="str">
        <f>"3060901"</f>
        <v>3060901</v>
      </c>
      <c r="B17587" t="s">
        <v>54033</v>
      </c>
      <c r="C17587" t="str">
        <f>"8318750"</f>
        <v>8318750</v>
      </c>
      <c r="D17587" t="s">
        <v>54034</v>
      </c>
      <c r="E17587" t="s">
        <v>54035</v>
      </c>
      <c r="F17587" t="s">
        <v>54036</v>
      </c>
      <c r="I17587" t="s">
        <v>2071</v>
      </c>
      <c r="J17587" t="s">
        <v>30</v>
      </c>
      <c r="K17587" t="s">
        <v>33837</v>
      </c>
      <c r="M17587" t="s">
        <v>17861</v>
      </c>
      <c r="N17587" t="str">
        <f>"9/22/2022 10:02:00 AM"</f>
        <v>9/22/2022 10:02:00 AM</v>
      </c>
      <c r="O17587" t="s">
        <v>54034</v>
      </c>
      <c r="T17587" t="s">
        <v>54035</v>
      </c>
    </row>
    <row r="17588" spans="1:20" x14ac:dyDescent="0.25">
      <c r="A17588" t="str">
        <f>"3075916"</f>
        <v>3075916</v>
      </c>
      <c r="B17588" t="s">
        <v>54037</v>
      </c>
      <c r="C17588" t="str">
        <f>"8318752"</f>
        <v>8318752</v>
      </c>
      <c r="D17588" t="s">
        <v>54038</v>
      </c>
      <c r="F17588" t="s">
        <v>54039</v>
      </c>
      <c r="I17588" t="s">
        <v>29</v>
      </c>
      <c r="J17588" t="s">
        <v>30</v>
      </c>
      <c r="K17588" t="s">
        <v>44519</v>
      </c>
      <c r="M17588" t="s">
        <v>17861</v>
      </c>
      <c r="N17588" t="str">
        <f>"9/22/2022 3:49:00 PM"</f>
        <v>9/22/2022 3:49:00 PM</v>
      </c>
      <c r="O17588" t="s">
        <v>54038</v>
      </c>
    </row>
    <row r="17589" spans="1:20" x14ac:dyDescent="0.25">
      <c r="A17589" t="str">
        <f>"3048882"</f>
        <v>3048882</v>
      </c>
      <c r="B17589" t="s">
        <v>54040</v>
      </c>
      <c r="C17589" t="str">
        <f>"8318753"</f>
        <v>8318753</v>
      </c>
      <c r="D17589" t="s">
        <v>54041</v>
      </c>
      <c r="F17589" t="s">
        <v>53791</v>
      </c>
      <c r="I17589" t="s">
        <v>29</v>
      </c>
      <c r="J17589" t="s">
        <v>30</v>
      </c>
      <c r="K17589" t="s">
        <v>41590</v>
      </c>
      <c r="M17589" t="s">
        <v>17861</v>
      </c>
      <c r="N17589" t="str">
        <f>"9/22/2022 4:08:00 PM"</f>
        <v>9/22/2022 4:08:00 PM</v>
      </c>
      <c r="O17589" t="s">
        <v>54041</v>
      </c>
    </row>
    <row r="17590" spans="1:20" x14ac:dyDescent="0.25">
      <c r="A17590" t="str">
        <f>"3049388"</f>
        <v>3049388</v>
      </c>
      <c r="B17590" t="s">
        <v>54042</v>
      </c>
      <c r="C17590" t="str">
        <f>"8318813"</f>
        <v>8318813</v>
      </c>
      <c r="D17590" t="s">
        <v>54043</v>
      </c>
      <c r="F17590" t="s">
        <v>54044</v>
      </c>
      <c r="I17590" t="s">
        <v>29</v>
      </c>
      <c r="J17590" t="s">
        <v>30</v>
      </c>
      <c r="K17590" t="s">
        <v>50070</v>
      </c>
      <c r="M17590" t="s">
        <v>17861</v>
      </c>
      <c r="N17590" t="str">
        <f>"10/3/2022 9:53:00 AM"</f>
        <v>10/3/2022 9:53:00 AM</v>
      </c>
      <c r="O17590" t="s">
        <v>54043</v>
      </c>
    </row>
    <row r="17591" spans="1:20" x14ac:dyDescent="0.25">
      <c r="A17591" t="str">
        <f>"3048880"</f>
        <v>3048880</v>
      </c>
      <c r="B17591" t="s">
        <v>54045</v>
      </c>
      <c r="C17591" t="str">
        <f>"8318753"</f>
        <v>8318753</v>
      </c>
      <c r="D17591" t="s">
        <v>54041</v>
      </c>
      <c r="F17591" t="s">
        <v>53791</v>
      </c>
      <c r="I17591" t="s">
        <v>29</v>
      </c>
      <c r="J17591" t="s">
        <v>30</v>
      </c>
      <c r="K17591" t="s">
        <v>41590</v>
      </c>
      <c r="M17591" t="s">
        <v>17861</v>
      </c>
      <c r="N17591" t="str">
        <f>"9/22/2022 4:08:00 PM"</f>
        <v>9/22/2022 4:08:00 PM</v>
      </c>
      <c r="O17591" t="s">
        <v>54041</v>
      </c>
    </row>
    <row r="17592" spans="1:20" x14ac:dyDescent="0.25">
      <c r="A17592" t="str">
        <f>"3060340"</f>
        <v>3060340</v>
      </c>
      <c r="B17592" t="s">
        <v>54046</v>
      </c>
      <c r="C17592" t="str">
        <f>"8318823"</f>
        <v>8318823</v>
      </c>
      <c r="D17592" t="s">
        <v>54047</v>
      </c>
      <c r="F17592" t="s">
        <v>54048</v>
      </c>
      <c r="I17592" t="s">
        <v>29</v>
      </c>
      <c r="J17592" t="s">
        <v>30</v>
      </c>
      <c r="K17592" t="s">
        <v>23508</v>
      </c>
      <c r="M17592" t="s">
        <v>17861</v>
      </c>
      <c r="N17592" t="str">
        <f>"10/4/2022 3:04:00 PM"</f>
        <v>10/4/2022 3:04:00 PM</v>
      </c>
      <c r="O17592" t="s">
        <v>54047</v>
      </c>
    </row>
    <row r="17593" spans="1:20" x14ac:dyDescent="0.25">
      <c r="A17593" t="str">
        <f>"3051713"</f>
        <v>3051713</v>
      </c>
      <c r="B17593" t="s">
        <v>54049</v>
      </c>
      <c r="C17593" t="str">
        <f>"82518520"</f>
        <v>82518520</v>
      </c>
      <c r="D17593" t="s">
        <v>54050</v>
      </c>
      <c r="E17593" t="str">
        <f>"C/O QST INDUSTRIES INC"</f>
        <v>C/O QST INDUSTRIES INC</v>
      </c>
      <c r="F17593" t="s">
        <v>54051</v>
      </c>
      <c r="I17593" t="s">
        <v>54052</v>
      </c>
      <c r="J17593" t="s">
        <v>30197</v>
      </c>
      <c r="K17593" t="s">
        <v>54053</v>
      </c>
      <c r="M17593" t="s">
        <v>25733</v>
      </c>
      <c r="N17593" t="str">
        <f>"10/5/2022 1:56:00 PM"</f>
        <v>10/5/2022 1:56:00 PM</v>
      </c>
      <c r="O17593" t="s">
        <v>54050</v>
      </c>
      <c r="T17593" t="str">
        <f>"C/O QST INDUSTRIES INC"</f>
        <v>C/O QST INDUSTRIES INC</v>
      </c>
    </row>
    <row r="17594" spans="1:20" x14ac:dyDescent="0.25">
      <c r="A17594" t="str">
        <f>"3054388"</f>
        <v>3054388</v>
      </c>
      <c r="B17594" t="s">
        <v>54054</v>
      </c>
      <c r="C17594" t="str">
        <f>"8318878"</f>
        <v>8318878</v>
      </c>
      <c r="D17594" t="s">
        <v>54055</v>
      </c>
      <c r="E17594" t="str">
        <f>"BENNES ADAM/BLANTON LESLEY TRU"</f>
        <v>BENNES ADAM/BLANTON LESLEY TRU</v>
      </c>
      <c r="F17594" t="s">
        <v>54056</v>
      </c>
      <c r="I17594" t="s">
        <v>54057</v>
      </c>
      <c r="J17594" t="s">
        <v>11697</v>
      </c>
      <c r="K17594" t="s">
        <v>54058</v>
      </c>
      <c r="M17594" t="s">
        <v>17861</v>
      </c>
      <c r="N17594" t="str">
        <f>"10/7/2022 8:40:00 AM"</f>
        <v>10/7/2022 8:40:00 AM</v>
      </c>
      <c r="O17594" t="s">
        <v>54055</v>
      </c>
      <c r="T17594" t="str">
        <f>"BENNES ADAM/BLANTON LESLEY TRU"</f>
        <v>BENNES ADAM/BLANTON LESLEY TRU</v>
      </c>
    </row>
    <row r="17595" spans="1:20" x14ac:dyDescent="0.25">
      <c r="A17595" t="str">
        <f>"3054448"</f>
        <v>3054448</v>
      </c>
      <c r="B17595" t="s">
        <v>54059</v>
      </c>
      <c r="C17595" t="str">
        <f>"8318878"</f>
        <v>8318878</v>
      </c>
      <c r="D17595" t="s">
        <v>54055</v>
      </c>
      <c r="E17595" t="str">
        <f>"BENNES ADAM/BLANTON LESLEY TRU"</f>
        <v>BENNES ADAM/BLANTON LESLEY TRU</v>
      </c>
      <c r="F17595" t="s">
        <v>54056</v>
      </c>
      <c r="I17595" t="s">
        <v>54057</v>
      </c>
      <c r="J17595" t="s">
        <v>11697</v>
      </c>
      <c r="K17595" t="s">
        <v>54058</v>
      </c>
      <c r="M17595" t="s">
        <v>17861</v>
      </c>
      <c r="N17595" t="str">
        <f>"10/7/2022 8:40:00 AM"</f>
        <v>10/7/2022 8:40:00 AM</v>
      </c>
      <c r="O17595" t="s">
        <v>54055</v>
      </c>
      <c r="T17595" t="str">
        <f>"BENNES ADAM/BLANTON LESLEY TRU"</f>
        <v>BENNES ADAM/BLANTON LESLEY TRU</v>
      </c>
    </row>
    <row r="17596" spans="1:20" x14ac:dyDescent="0.25">
      <c r="A17596" t="str">
        <f>"3044037"</f>
        <v>3044037</v>
      </c>
      <c r="B17596" t="s">
        <v>54060</v>
      </c>
      <c r="C17596" t="str">
        <f>"8316830"</f>
        <v>8316830</v>
      </c>
      <c r="D17596" t="s">
        <v>54061</v>
      </c>
      <c r="E17596" t="s">
        <v>54062</v>
      </c>
      <c r="F17596" t="s">
        <v>54063</v>
      </c>
      <c r="I17596" t="s">
        <v>184</v>
      </c>
      <c r="J17596" t="s">
        <v>30</v>
      </c>
      <c r="K17596" t="s">
        <v>54064</v>
      </c>
      <c r="M17596" t="s">
        <v>25733</v>
      </c>
      <c r="N17596" t="str">
        <f>"10/7/2022 11:00:00 AM"</f>
        <v>10/7/2022 11:00:00 AM</v>
      </c>
      <c r="O17596" t="s">
        <v>54061</v>
      </c>
      <c r="T17596" t="s">
        <v>54062</v>
      </c>
    </row>
    <row r="17597" spans="1:20" x14ac:dyDescent="0.25">
      <c r="A17597" t="str">
        <f>"3060892"</f>
        <v>3060892</v>
      </c>
      <c r="B17597" t="s">
        <v>54065</v>
      </c>
      <c r="C17597" t="str">
        <f>"8318879"</f>
        <v>8318879</v>
      </c>
      <c r="D17597" t="s">
        <v>54066</v>
      </c>
      <c r="F17597" t="s">
        <v>54067</v>
      </c>
      <c r="I17597" t="s">
        <v>2071</v>
      </c>
      <c r="J17597" t="s">
        <v>30</v>
      </c>
      <c r="K17597" t="s">
        <v>23610</v>
      </c>
      <c r="M17597" t="s">
        <v>17861</v>
      </c>
      <c r="N17597" t="str">
        <f>"10/7/2022 1:38:00 PM"</f>
        <v>10/7/2022 1:38:00 PM</v>
      </c>
      <c r="O17597" t="s">
        <v>54066</v>
      </c>
    </row>
    <row r="17598" spans="1:20" x14ac:dyDescent="0.25">
      <c r="A17598" t="str">
        <f>"3047937"</f>
        <v>3047937</v>
      </c>
      <c r="B17598" t="s">
        <v>54068</v>
      </c>
      <c r="C17598" t="str">
        <f>"8318881"</f>
        <v>8318881</v>
      </c>
      <c r="D17598" t="s">
        <v>54069</v>
      </c>
      <c r="E17598" t="s">
        <v>54070</v>
      </c>
      <c r="F17598" t="s">
        <v>54071</v>
      </c>
      <c r="I17598" t="s">
        <v>184</v>
      </c>
      <c r="J17598" t="s">
        <v>30</v>
      </c>
      <c r="K17598" t="s">
        <v>22460</v>
      </c>
      <c r="M17598" t="s">
        <v>17861</v>
      </c>
      <c r="N17598" t="str">
        <f>"10/7/2022 1:46:00 PM"</f>
        <v>10/7/2022 1:46:00 PM</v>
      </c>
      <c r="O17598" t="s">
        <v>54069</v>
      </c>
      <c r="T17598" t="s">
        <v>54070</v>
      </c>
    </row>
    <row r="17599" spans="1:20" x14ac:dyDescent="0.25">
      <c r="A17599" t="str">
        <f>"3044902"</f>
        <v>3044902</v>
      </c>
      <c r="B17599" t="s">
        <v>54072</v>
      </c>
      <c r="C17599" t="str">
        <f>"8318882"</f>
        <v>8318882</v>
      </c>
      <c r="D17599" t="s">
        <v>54073</v>
      </c>
      <c r="E17599" t="s">
        <v>54074</v>
      </c>
      <c r="F17599" t="s">
        <v>54075</v>
      </c>
      <c r="I17599" t="s">
        <v>184</v>
      </c>
      <c r="J17599" t="s">
        <v>30</v>
      </c>
      <c r="K17599" t="s">
        <v>5929</v>
      </c>
      <c r="M17599" t="s">
        <v>17861</v>
      </c>
      <c r="N17599" t="str">
        <f>"10/7/2022 1:48:00 PM"</f>
        <v>10/7/2022 1:48:00 PM</v>
      </c>
      <c r="O17599" t="s">
        <v>54073</v>
      </c>
      <c r="T17599" t="s">
        <v>54074</v>
      </c>
    </row>
    <row r="17600" spans="1:20" x14ac:dyDescent="0.25">
      <c r="A17600" t="str">
        <f>"3053075"</f>
        <v>3053075</v>
      </c>
      <c r="B17600" t="s">
        <v>54076</v>
      </c>
      <c r="C17600" t="str">
        <f>"8318768"</f>
        <v>8318768</v>
      </c>
      <c r="D17600" t="s">
        <v>22667</v>
      </c>
      <c r="E17600" t="s">
        <v>22668</v>
      </c>
      <c r="F17600" t="s">
        <v>54077</v>
      </c>
      <c r="I17600" t="s">
        <v>29</v>
      </c>
      <c r="J17600" t="s">
        <v>30</v>
      </c>
      <c r="K17600" t="s">
        <v>13347</v>
      </c>
      <c r="M17600" t="s">
        <v>17861</v>
      </c>
      <c r="N17600" t="str">
        <f>"10/7/2022 2:11:00 PM"</f>
        <v>10/7/2022 2:11:00 PM</v>
      </c>
      <c r="O17600" t="s">
        <v>22667</v>
      </c>
      <c r="T17600" t="s">
        <v>22668</v>
      </c>
    </row>
    <row r="17601" spans="1:20" x14ac:dyDescent="0.25">
      <c r="A17601" t="str">
        <f>"3061960"</f>
        <v>3061960</v>
      </c>
      <c r="B17601" t="s">
        <v>54078</v>
      </c>
      <c r="C17601" t="str">
        <f>"8318884"</f>
        <v>8318884</v>
      </c>
      <c r="D17601" t="s">
        <v>54079</v>
      </c>
      <c r="E17601" t="s">
        <v>54080</v>
      </c>
      <c r="F17601" t="s">
        <v>54081</v>
      </c>
      <c r="I17601" t="s">
        <v>184</v>
      </c>
      <c r="J17601" t="s">
        <v>30</v>
      </c>
      <c r="K17601" t="s">
        <v>1984</v>
      </c>
      <c r="M17601" t="s">
        <v>17861</v>
      </c>
      <c r="N17601" t="str">
        <f>"10/7/2022 2:14:00 PM"</f>
        <v>10/7/2022 2:14:00 PM</v>
      </c>
      <c r="O17601" t="s">
        <v>54079</v>
      </c>
      <c r="T17601" t="s">
        <v>54080</v>
      </c>
    </row>
    <row r="17602" spans="1:20" x14ac:dyDescent="0.25">
      <c r="A17602" t="str">
        <f>"3039499"</f>
        <v>3039499</v>
      </c>
      <c r="B17602" t="s">
        <v>54082</v>
      </c>
      <c r="C17602" t="str">
        <f>"82521120"</f>
        <v>82521120</v>
      </c>
      <c r="D17602" t="s">
        <v>54083</v>
      </c>
      <c r="E17602" t="s">
        <v>54084</v>
      </c>
      <c r="F17602" t="s">
        <v>54085</v>
      </c>
      <c r="I17602" t="s">
        <v>184</v>
      </c>
      <c r="J17602" t="s">
        <v>30</v>
      </c>
      <c r="K17602" t="s">
        <v>185</v>
      </c>
      <c r="M17602" t="s">
        <v>50793</v>
      </c>
      <c r="N17602" t="str">
        <f>"10/7/2022 3:24:00 PM"</f>
        <v>10/7/2022 3:24:00 PM</v>
      </c>
      <c r="O17602" t="s">
        <v>54083</v>
      </c>
      <c r="T17602" t="s">
        <v>54084</v>
      </c>
    </row>
    <row r="17603" spans="1:20" x14ac:dyDescent="0.25">
      <c r="A17603" t="str">
        <f>"3049712"</f>
        <v>3049712</v>
      </c>
      <c r="B17603" t="s">
        <v>54086</v>
      </c>
      <c r="C17603" t="str">
        <f>"8318862"</f>
        <v>8318862</v>
      </c>
      <c r="D17603" t="str">
        <f>"DURHAM MARTIN T/ROBIN A"</f>
        <v>DURHAM MARTIN T/ROBIN A</v>
      </c>
      <c r="E17603" t="str">
        <f>"DURHAM JENNA R/BRANDON A"</f>
        <v>DURHAM JENNA R/BRANDON A</v>
      </c>
      <c r="F17603" t="s">
        <v>54087</v>
      </c>
      <c r="I17603" t="s">
        <v>29</v>
      </c>
      <c r="J17603" t="s">
        <v>30</v>
      </c>
      <c r="K17603" t="s">
        <v>54088</v>
      </c>
      <c r="M17603" t="s">
        <v>17861</v>
      </c>
      <c r="N17603" t="str">
        <f>"10/5/2022 2:16:00 PM"</f>
        <v>10/5/2022 2:16:00 PM</v>
      </c>
      <c r="O17603" t="str">
        <f>"DURHAM MARTIN T/ROBIN A"</f>
        <v>DURHAM MARTIN T/ROBIN A</v>
      </c>
      <c r="T17603" t="str">
        <f>"DURHAM JENNA R/BRANDON A"</f>
        <v>DURHAM JENNA R/BRANDON A</v>
      </c>
    </row>
    <row r="17604" spans="1:20" x14ac:dyDescent="0.25">
      <c r="A17604" t="str">
        <f>"3049901"</f>
        <v>3049901</v>
      </c>
      <c r="B17604" t="s">
        <v>54089</v>
      </c>
      <c r="C17604" t="str">
        <f>"8318862"</f>
        <v>8318862</v>
      </c>
      <c r="D17604" t="str">
        <f>"DURHAM MARTIN T/ROBIN A"</f>
        <v>DURHAM MARTIN T/ROBIN A</v>
      </c>
      <c r="E17604" t="str">
        <f>"DURHAM JENNA R/BRANDON A"</f>
        <v>DURHAM JENNA R/BRANDON A</v>
      </c>
      <c r="F17604" t="s">
        <v>54087</v>
      </c>
      <c r="I17604" t="s">
        <v>29</v>
      </c>
      <c r="J17604" t="s">
        <v>30</v>
      </c>
      <c r="K17604" t="s">
        <v>54088</v>
      </c>
      <c r="M17604" t="s">
        <v>17861</v>
      </c>
      <c r="N17604" t="str">
        <f>"10/5/2022 2:16:00 PM"</f>
        <v>10/5/2022 2:16:00 PM</v>
      </c>
      <c r="O17604" t="str">
        <f>"DURHAM MARTIN T/ROBIN A"</f>
        <v>DURHAM MARTIN T/ROBIN A</v>
      </c>
      <c r="T17604" t="str">
        <f>"DURHAM JENNA R/BRANDON A"</f>
        <v>DURHAM JENNA R/BRANDON A</v>
      </c>
    </row>
    <row r="17605" spans="1:20" x14ac:dyDescent="0.25">
      <c r="A17605" t="str">
        <f>"3050176"</f>
        <v>3050176</v>
      </c>
      <c r="B17605" t="s">
        <v>54090</v>
      </c>
      <c r="C17605" t="str">
        <f>"8318862"</f>
        <v>8318862</v>
      </c>
      <c r="D17605" t="str">
        <f>"DURHAM MARTIN T/ROBIN A"</f>
        <v>DURHAM MARTIN T/ROBIN A</v>
      </c>
      <c r="E17605" t="str">
        <f>"DURHAM JENNA R/BRANDON A"</f>
        <v>DURHAM JENNA R/BRANDON A</v>
      </c>
      <c r="F17605" t="s">
        <v>54087</v>
      </c>
      <c r="I17605" t="s">
        <v>29</v>
      </c>
      <c r="J17605" t="s">
        <v>30</v>
      </c>
      <c r="K17605" t="s">
        <v>54088</v>
      </c>
      <c r="M17605" t="s">
        <v>17861</v>
      </c>
      <c r="N17605" t="str">
        <f>"10/5/2022 2:16:00 PM"</f>
        <v>10/5/2022 2:16:00 PM</v>
      </c>
      <c r="O17605" t="str">
        <f>"DURHAM MARTIN T/ROBIN A"</f>
        <v>DURHAM MARTIN T/ROBIN A</v>
      </c>
      <c r="T17605" t="str">
        <f>"DURHAM JENNA R/BRANDON A"</f>
        <v>DURHAM JENNA R/BRANDON A</v>
      </c>
    </row>
    <row r="17606" spans="1:20" x14ac:dyDescent="0.25">
      <c r="A17606" t="str">
        <f>"3078671"</f>
        <v>3078671</v>
      </c>
      <c r="B17606" t="s">
        <v>54091</v>
      </c>
      <c r="C17606" t="str">
        <f>"8318862"</f>
        <v>8318862</v>
      </c>
      <c r="D17606" t="str">
        <f>"DURHAM MARTIN T/ROBIN A"</f>
        <v>DURHAM MARTIN T/ROBIN A</v>
      </c>
      <c r="E17606" t="str">
        <f>"DURHAM JENNA R/BRANDON A"</f>
        <v>DURHAM JENNA R/BRANDON A</v>
      </c>
      <c r="F17606" t="s">
        <v>54087</v>
      </c>
      <c r="I17606" t="s">
        <v>29</v>
      </c>
      <c r="J17606" t="s">
        <v>30</v>
      </c>
      <c r="K17606" t="s">
        <v>54088</v>
      </c>
      <c r="M17606" t="s">
        <v>17861</v>
      </c>
      <c r="N17606" t="str">
        <f>"10/5/2022 2:16:00 PM"</f>
        <v>10/5/2022 2:16:00 PM</v>
      </c>
      <c r="O17606" t="str">
        <f>"DURHAM MARTIN T/ROBIN A"</f>
        <v>DURHAM MARTIN T/ROBIN A</v>
      </c>
      <c r="T17606" t="str">
        <f>"DURHAM JENNA R/BRANDON A"</f>
        <v>DURHAM JENNA R/BRANDON A</v>
      </c>
    </row>
    <row r="17607" spans="1:20" x14ac:dyDescent="0.25">
      <c r="A17607" t="str">
        <f>"3042857"</f>
        <v>3042857</v>
      </c>
      <c r="B17607" t="s">
        <v>54092</v>
      </c>
      <c r="C17607" t="str">
        <f>"8318863"</f>
        <v>8318863</v>
      </c>
      <c r="D17607" t="s">
        <v>32598</v>
      </c>
      <c r="F17607" t="s">
        <v>32600</v>
      </c>
      <c r="I17607" t="s">
        <v>29</v>
      </c>
      <c r="J17607" t="s">
        <v>30</v>
      </c>
      <c r="K17607" t="s">
        <v>37538</v>
      </c>
      <c r="M17607" t="s">
        <v>17861</v>
      </c>
      <c r="N17607" t="str">
        <f>"10/5/2022 2:22:00 PM"</f>
        <v>10/5/2022 2:22:00 PM</v>
      </c>
      <c r="O17607" t="s">
        <v>32598</v>
      </c>
    </row>
    <row r="17608" spans="1:20" x14ac:dyDescent="0.25">
      <c r="A17608" t="str">
        <f>"3054526"</f>
        <v>3054526</v>
      </c>
      <c r="B17608" t="s">
        <v>54093</v>
      </c>
      <c r="C17608" t="str">
        <f>"8318865"</f>
        <v>8318865</v>
      </c>
      <c r="D17608" t="s">
        <v>54094</v>
      </c>
      <c r="F17608" t="s">
        <v>54095</v>
      </c>
      <c r="I17608" t="s">
        <v>29</v>
      </c>
      <c r="J17608" t="s">
        <v>30</v>
      </c>
      <c r="K17608" t="s">
        <v>42839</v>
      </c>
      <c r="M17608" t="s">
        <v>17861</v>
      </c>
      <c r="N17608" t="str">
        <f>"10/5/2022 3:16:00 PM"</f>
        <v>10/5/2022 3:16:00 PM</v>
      </c>
      <c r="O17608" t="s">
        <v>54094</v>
      </c>
    </row>
    <row r="17609" spans="1:20" x14ac:dyDescent="0.25">
      <c r="A17609" t="str">
        <f>"3056092"</f>
        <v>3056092</v>
      </c>
      <c r="B17609" t="s">
        <v>54096</v>
      </c>
      <c r="C17609" t="str">
        <f>"8318866"</f>
        <v>8318866</v>
      </c>
      <c r="D17609" t="str">
        <f>"BURGESS ASHLEY D/DRAUGHN JOSHUA P"</f>
        <v>BURGESS ASHLEY D/DRAUGHN JOSHUA P</v>
      </c>
      <c r="E17609" t="str">
        <f>"IJAMES JOSHUA BILL/LELA RAE"</f>
        <v>IJAMES JOSHUA BILL/LELA RAE</v>
      </c>
      <c r="F17609" t="s">
        <v>54097</v>
      </c>
      <c r="I17609" t="s">
        <v>29</v>
      </c>
      <c r="J17609" t="s">
        <v>30</v>
      </c>
      <c r="K17609" t="s">
        <v>19844</v>
      </c>
      <c r="M17609" t="s">
        <v>17861</v>
      </c>
      <c r="N17609" t="str">
        <f>"10/6/2022 9:40:00 AM"</f>
        <v>10/6/2022 9:40:00 AM</v>
      </c>
      <c r="O17609" t="str">
        <f>"BURGESS ASHLEY D/DRAUGHN JOSHUA P"</f>
        <v>BURGESS ASHLEY D/DRAUGHN JOSHUA P</v>
      </c>
      <c r="T17609" t="str">
        <f>"IJAMES JOSHUA BILL/LELA RAE"</f>
        <v>IJAMES JOSHUA BILL/LELA RAE</v>
      </c>
    </row>
    <row r="17610" spans="1:20" x14ac:dyDescent="0.25">
      <c r="A17610" t="str">
        <f>"3048280"</f>
        <v>3048280</v>
      </c>
      <c r="B17610" t="s">
        <v>54098</v>
      </c>
      <c r="C17610" t="str">
        <f>"8305446"</f>
        <v>8305446</v>
      </c>
      <c r="D17610" t="s">
        <v>54099</v>
      </c>
      <c r="F17610" t="s">
        <v>54100</v>
      </c>
      <c r="I17610" t="s">
        <v>1149</v>
      </c>
      <c r="J17610" t="s">
        <v>30</v>
      </c>
      <c r="K17610" t="str">
        <f>"28634"</f>
        <v>28634</v>
      </c>
      <c r="M17610" t="s">
        <v>50621</v>
      </c>
      <c r="N17610" t="str">
        <f>"10/6/2022 10:57:00 AM"</f>
        <v>10/6/2022 10:57:00 AM</v>
      </c>
      <c r="O17610" t="s">
        <v>54099</v>
      </c>
    </row>
    <row r="17611" spans="1:20" x14ac:dyDescent="0.25">
      <c r="A17611" t="str">
        <f>"3047624"</f>
        <v>3047624</v>
      </c>
      <c r="B17611" t="s">
        <v>54101</v>
      </c>
      <c r="C17611" t="str">
        <f>"8305446"</f>
        <v>8305446</v>
      </c>
      <c r="D17611" t="s">
        <v>54099</v>
      </c>
      <c r="F17611" t="s">
        <v>54100</v>
      </c>
      <c r="I17611" t="s">
        <v>1149</v>
      </c>
      <c r="J17611" t="s">
        <v>30</v>
      </c>
      <c r="K17611" t="str">
        <f>"28634"</f>
        <v>28634</v>
      </c>
      <c r="M17611" t="s">
        <v>50621</v>
      </c>
      <c r="N17611" t="str">
        <f>"10/6/2022 10:57:00 AM"</f>
        <v>10/6/2022 10:57:00 AM</v>
      </c>
      <c r="O17611" t="s">
        <v>54099</v>
      </c>
    </row>
    <row r="17612" spans="1:20" x14ac:dyDescent="0.25">
      <c r="A17612" t="str">
        <f>"3044645"</f>
        <v>3044645</v>
      </c>
      <c r="B17612" t="s">
        <v>54102</v>
      </c>
      <c r="C17612" t="str">
        <f>"8318815"</f>
        <v>8318815</v>
      </c>
      <c r="D17612" t="str">
        <f>"AVANT JOSEPH/GLORIA REV TRUST AGREE"</f>
        <v>AVANT JOSEPH/GLORIA REV TRUST AGREE</v>
      </c>
      <c r="E17612" t="str">
        <f>"AVANT JOSEPH/GLORIA TRUSTEES"</f>
        <v>AVANT JOSEPH/GLORIA TRUSTEES</v>
      </c>
      <c r="F17612" t="s">
        <v>54103</v>
      </c>
      <c r="I17612" t="s">
        <v>184</v>
      </c>
      <c r="J17612" t="s">
        <v>30</v>
      </c>
      <c r="K17612" t="s">
        <v>33412</v>
      </c>
      <c r="M17612" t="s">
        <v>17861</v>
      </c>
      <c r="N17612" t="str">
        <f>"10/4/2022 8:54:00 AM"</f>
        <v>10/4/2022 8:54:00 AM</v>
      </c>
      <c r="O17612" t="str">
        <f>"AVANT JOSEPH/GLORIA REV TRUST AGREE"</f>
        <v>AVANT JOSEPH/GLORIA REV TRUST AGREE</v>
      </c>
      <c r="T17612" t="str">
        <f>"AVANT JOSEPH/GLORIA TRUSTEES"</f>
        <v>AVANT JOSEPH/GLORIA TRUSTEES</v>
      </c>
    </row>
    <row r="17613" spans="1:20" x14ac:dyDescent="0.25">
      <c r="A17613" t="str">
        <f>"3057553"</f>
        <v>3057553</v>
      </c>
      <c r="B17613" t="s">
        <v>54104</v>
      </c>
      <c r="C17613" t="str">
        <f>"66415100"</f>
        <v>66415100</v>
      </c>
      <c r="D17613" t="s">
        <v>54105</v>
      </c>
      <c r="E17613" t="s">
        <v>54106</v>
      </c>
      <c r="F17613" t="s">
        <v>54107</v>
      </c>
      <c r="I17613" t="s">
        <v>29</v>
      </c>
      <c r="J17613" t="s">
        <v>30</v>
      </c>
      <c r="K17613" t="s">
        <v>11873</v>
      </c>
      <c r="M17613" t="s">
        <v>50621</v>
      </c>
      <c r="N17613" t="str">
        <f>"10/11/2022 9:06:00 AM"</f>
        <v>10/11/2022 9:06:00 AM</v>
      </c>
      <c r="O17613" t="s">
        <v>54105</v>
      </c>
      <c r="T17613" t="s">
        <v>54106</v>
      </c>
    </row>
    <row r="17614" spans="1:20" x14ac:dyDescent="0.25">
      <c r="A17614" t="str">
        <f>"3044719"</f>
        <v>3044719</v>
      </c>
      <c r="B17614" t="s">
        <v>54108</v>
      </c>
      <c r="C17614" t="str">
        <f>"8318816"</f>
        <v>8318816</v>
      </c>
      <c r="D17614" t="s">
        <v>54109</v>
      </c>
      <c r="E17614" t="s">
        <v>54110</v>
      </c>
      <c r="F17614" t="s">
        <v>54111</v>
      </c>
      <c r="I17614" t="s">
        <v>184</v>
      </c>
      <c r="J17614" t="s">
        <v>30</v>
      </c>
      <c r="K17614" t="s">
        <v>5976</v>
      </c>
      <c r="M17614" t="s">
        <v>17861</v>
      </c>
      <c r="N17614" t="str">
        <f>"10/4/2022 10:08:00 AM"</f>
        <v>10/4/2022 10:08:00 AM</v>
      </c>
      <c r="O17614" t="s">
        <v>54109</v>
      </c>
      <c r="T17614" t="s">
        <v>54110</v>
      </c>
    </row>
    <row r="17615" spans="1:20" x14ac:dyDescent="0.25">
      <c r="A17615" t="str">
        <f>"3062407"</f>
        <v>3062407</v>
      </c>
      <c r="B17615" t="s">
        <v>54112</v>
      </c>
      <c r="C17615" t="str">
        <f>"8312787"</f>
        <v>8312787</v>
      </c>
      <c r="D17615" t="s">
        <v>54113</v>
      </c>
      <c r="E17615" t="s">
        <v>54114</v>
      </c>
      <c r="F17615" t="s">
        <v>54115</v>
      </c>
      <c r="I17615" t="s">
        <v>29</v>
      </c>
      <c r="J17615" t="s">
        <v>30</v>
      </c>
      <c r="K17615" t="s">
        <v>14046</v>
      </c>
      <c r="M17615" t="s">
        <v>50621</v>
      </c>
      <c r="N17615" t="str">
        <f>"10/11/2022 9:55:00 AM"</f>
        <v>10/11/2022 9:55:00 AM</v>
      </c>
      <c r="O17615" t="s">
        <v>54113</v>
      </c>
      <c r="T17615" t="s">
        <v>54114</v>
      </c>
    </row>
    <row r="17616" spans="1:20" x14ac:dyDescent="0.25">
      <c r="A17616" t="str">
        <f>"3057749"</f>
        <v>3057749</v>
      </c>
      <c r="B17616" t="s">
        <v>54116</v>
      </c>
      <c r="C17616" t="str">
        <f>"8318817"</f>
        <v>8318817</v>
      </c>
      <c r="D17616" t="s">
        <v>54117</v>
      </c>
      <c r="E17616" t="s">
        <v>54118</v>
      </c>
      <c r="F17616" t="s">
        <v>54119</v>
      </c>
      <c r="I17616" t="s">
        <v>29</v>
      </c>
      <c r="J17616" t="s">
        <v>30</v>
      </c>
      <c r="K17616" t="s">
        <v>38025</v>
      </c>
      <c r="M17616" t="s">
        <v>17861</v>
      </c>
      <c r="N17616" t="str">
        <f>"10/4/2022 10:13:00 AM"</f>
        <v>10/4/2022 10:13:00 AM</v>
      </c>
      <c r="O17616" t="s">
        <v>54117</v>
      </c>
      <c r="T17616" t="s">
        <v>54118</v>
      </c>
    </row>
    <row r="17617" spans="1:20" x14ac:dyDescent="0.25">
      <c r="A17617" t="str">
        <f>"3057827"</f>
        <v>3057827</v>
      </c>
      <c r="B17617" t="s">
        <v>54120</v>
      </c>
      <c r="C17617" t="str">
        <f>"8318819"</f>
        <v>8318819</v>
      </c>
      <c r="D17617" t="s">
        <v>54121</v>
      </c>
      <c r="E17617" t="s">
        <v>54122</v>
      </c>
      <c r="F17617" t="s">
        <v>54123</v>
      </c>
      <c r="I17617" t="s">
        <v>184</v>
      </c>
      <c r="J17617" t="s">
        <v>30</v>
      </c>
      <c r="K17617" t="s">
        <v>39012</v>
      </c>
      <c r="M17617" t="s">
        <v>17861</v>
      </c>
      <c r="N17617" t="str">
        <f>"10/4/2022 10:17:00 AM"</f>
        <v>10/4/2022 10:17:00 AM</v>
      </c>
      <c r="O17617" t="s">
        <v>54121</v>
      </c>
      <c r="T17617" t="s">
        <v>54122</v>
      </c>
    </row>
    <row r="17618" spans="1:20" x14ac:dyDescent="0.25">
      <c r="A17618" t="str">
        <f>"3048444"</f>
        <v>3048444</v>
      </c>
      <c r="B17618" t="s">
        <v>54124</v>
      </c>
      <c r="C17618" t="str">
        <f>"82529564"</f>
        <v>82529564</v>
      </c>
      <c r="D17618" t="s">
        <v>54125</v>
      </c>
      <c r="E17618" t="s">
        <v>54126</v>
      </c>
      <c r="F17618" t="s">
        <v>54127</v>
      </c>
      <c r="I17618" t="s">
        <v>14865</v>
      </c>
      <c r="J17618" t="s">
        <v>30</v>
      </c>
      <c r="K17618" t="s">
        <v>54128</v>
      </c>
      <c r="M17618" t="s">
        <v>50793</v>
      </c>
      <c r="N17618" t="str">
        <f>"10/4/2022 11:47:00 AM"</f>
        <v>10/4/2022 11:47:00 AM</v>
      </c>
      <c r="O17618" t="s">
        <v>54125</v>
      </c>
      <c r="T17618" t="s">
        <v>54126</v>
      </c>
    </row>
    <row r="17619" spans="1:20" x14ac:dyDescent="0.25">
      <c r="A17619" t="str">
        <f>"3059931"</f>
        <v>3059931</v>
      </c>
      <c r="B17619" t="s">
        <v>54129</v>
      </c>
      <c r="C17619" t="str">
        <f>"8318821"</f>
        <v>8318821</v>
      </c>
      <c r="D17619" t="s">
        <v>54130</v>
      </c>
      <c r="F17619" t="s">
        <v>54131</v>
      </c>
      <c r="I17619" t="s">
        <v>29</v>
      </c>
      <c r="J17619" t="s">
        <v>30</v>
      </c>
      <c r="K17619" t="s">
        <v>39800</v>
      </c>
      <c r="M17619" t="s">
        <v>17861</v>
      </c>
      <c r="N17619" t="str">
        <f>"10/4/2022 1:04:00 PM"</f>
        <v>10/4/2022 1:04:00 PM</v>
      </c>
      <c r="O17619" t="s">
        <v>54130</v>
      </c>
    </row>
    <row r="17620" spans="1:20" x14ac:dyDescent="0.25">
      <c r="A17620" t="str">
        <f>"3045656"</f>
        <v>3045656</v>
      </c>
      <c r="B17620" t="s">
        <v>54132</v>
      </c>
      <c r="C17620" t="str">
        <f>"8318877"</f>
        <v>8318877</v>
      </c>
      <c r="D17620" t="s">
        <v>54133</v>
      </c>
      <c r="F17620" t="s">
        <v>54134</v>
      </c>
      <c r="I17620" t="s">
        <v>29</v>
      </c>
      <c r="J17620" t="s">
        <v>30</v>
      </c>
      <c r="K17620" t="s">
        <v>54135</v>
      </c>
      <c r="M17620" t="s">
        <v>17861</v>
      </c>
      <c r="N17620" t="str">
        <f>"10/6/2022 4:12:00 PM"</f>
        <v>10/6/2022 4:12:00 PM</v>
      </c>
      <c r="O17620" t="s">
        <v>54133</v>
      </c>
    </row>
    <row r="17621" spans="1:20" x14ac:dyDescent="0.25">
      <c r="A17621" t="str">
        <f>"3048692"</f>
        <v>3048692</v>
      </c>
      <c r="B17621" t="s">
        <v>54136</v>
      </c>
      <c r="C17621" t="str">
        <f>"28676000"</f>
        <v>28676000</v>
      </c>
      <c r="D17621" t="s">
        <v>54137</v>
      </c>
      <c r="F17621" t="s">
        <v>54138</v>
      </c>
      <c r="I17621" t="s">
        <v>29</v>
      </c>
      <c r="J17621" t="s">
        <v>30</v>
      </c>
      <c r="K17621" t="s">
        <v>31</v>
      </c>
      <c r="M17621" t="s">
        <v>50621</v>
      </c>
      <c r="N17621" t="str">
        <f>"10/10/2022 11:35:00 AM"</f>
        <v>10/10/2022 11:35:00 AM</v>
      </c>
      <c r="O17621" t="s">
        <v>54137</v>
      </c>
    </row>
    <row r="17622" spans="1:20" x14ac:dyDescent="0.25">
      <c r="A17622" t="str">
        <f>"3078807"</f>
        <v>3078807</v>
      </c>
      <c r="B17622" t="s">
        <v>54139</v>
      </c>
      <c r="C17622" t="str">
        <f>"8304425"</f>
        <v>8304425</v>
      </c>
      <c r="D17622" t="s">
        <v>54140</v>
      </c>
      <c r="E17622" t="s">
        <v>54141</v>
      </c>
      <c r="F17622" t="s">
        <v>54142</v>
      </c>
      <c r="I17622" t="s">
        <v>29</v>
      </c>
      <c r="J17622" t="s">
        <v>30</v>
      </c>
      <c r="K17622" t="s">
        <v>16296</v>
      </c>
      <c r="M17622" t="s">
        <v>50793</v>
      </c>
      <c r="N17622" t="str">
        <f>"10/10/2022 11:50:00 AM"</f>
        <v>10/10/2022 11:50:00 AM</v>
      </c>
      <c r="O17622" t="s">
        <v>54140</v>
      </c>
      <c r="T17622" t="s">
        <v>54141</v>
      </c>
    </row>
    <row r="17623" spans="1:20" x14ac:dyDescent="0.25">
      <c r="A17623" t="str">
        <f>"3042901"</f>
        <v>3042901</v>
      </c>
      <c r="B17623" t="s">
        <v>54143</v>
      </c>
      <c r="C17623" t="str">
        <f>"8318891"</f>
        <v>8318891</v>
      </c>
      <c r="D17623" t="s">
        <v>40960</v>
      </c>
      <c r="E17623" t="s">
        <v>54144</v>
      </c>
      <c r="F17623" t="s">
        <v>40961</v>
      </c>
      <c r="I17623" t="s">
        <v>1107</v>
      </c>
      <c r="J17623" t="s">
        <v>30</v>
      </c>
      <c r="K17623" t="s">
        <v>40962</v>
      </c>
      <c r="M17623" t="s">
        <v>17861</v>
      </c>
      <c r="N17623" t="str">
        <f>"10/14/2022 2:18:00 PM"</f>
        <v>10/14/2022 2:18:00 PM</v>
      </c>
      <c r="O17623" t="s">
        <v>40960</v>
      </c>
      <c r="T17623" t="s">
        <v>54144</v>
      </c>
    </row>
    <row r="17624" spans="1:20" x14ac:dyDescent="0.25">
      <c r="A17624" t="str">
        <f>"3046079"</f>
        <v>3046079</v>
      </c>
      <c r="B17624" t="s">
        <v>54145</v>
      </c>
      <c r="C17624" t="str">
        <f>"8318892"</f>
        <v>8318892</v>
      </c>
      <c r="D17624" t="s">
        <v>54146</v>
      </c>
      <c r="E17624" t="s">
        <v>54147</v>
      </c>
      <c r="F17624" t="s">
        <v>54148</v>
      </c>
      <c r="I17624" t="s">
        <v>29</v>
      </c>
      <c r="J17624" t="s">
        <v>30</v>
      </c>
      <c r="K17624" t="s">
        <v>35846</v>
      </c>
      <c r="M17624" t="s">
        <v>17861</v>
      </c>
      <c r="N17624" t="str">
        <f>"10/14/2022 2:22:00 PM"</f>
        <v>10/14/2022 2:22:00 PM</v>
      </c>
      <c r="O17624" t="s">
        <v>54146</v>
      </c>
      <c r="T17624" t="s">
        <v>54147</v>
      </c>
    </row>
    <row r="17625" spans="1:20" x14ac:dyDescent="0.25">
      <c r="A17625" t="str">
        <f>"3041255"</f>
        <v>3041255</v>
      </c>
      <c r="B17625" t="s">
        <v>54149</v>
      </c>
      <c r="C17625" t="str">
        <f>"8318893"</f>
        <v>8318893</v>
      </c>
      <c r="D17625" t="s">
        <v>54150</v>
      </c>
      <c r="F17625" t="s">
        <v>48536</v>
      </c>
      <c r="I17625" t="s">
        <v>48537</v>
      </c>
      <c r="J17625" t="s">
        <v>12725</v>
      </c>
      <c r="K17625" t="s">
        <v>48538</v>
      </c>
      <c r="M17625" t="s">
        <v>17861</v>
      </c>
      <c r="N17625" t="str">
        <f>"10/14/2022 2:24:00 PM"</f>
        <v>10/14/2022 2:24:00 PM</v>
      </c>
      <c r="O17625" t="s">
        <v>54150</v>
      </c>
    </row>
    <row r="17626" spans="1:20" x14ac:dyDescent="0.25">
      <c r="A17626" t="str">
        <f>"3046396"</f>
        <v>3046396</v>
      </c>
      <c r="B17626" t="s">
        <v>54151</v>
      </c>
      <c r="C17626" t="str">
        <f>"8318894"</f>
        <v>8318894</v>
      </c>
      <c r="D17626" t="s">
        <v>54152</v>
      </c>
      <c r="F17626" t="s">
        <v>54153</v>
      </c>
      <c r="I17626" t="s">
        <v>29</v>
      </c>
      <c r="J17626" t="s">
        <v>30</v>
      </c>
      <c r="K17626" t="s">
        <v>37109</v>
      </c>
      <c r="M17626" t="s">
        <v>17861</v>
      </c>
      <c r="N17626" t="str">
        <f>"10/14/2022 2:26:00 PM"</f>
        <v>10/14/2022 2:26:00 PM</v>
      </c>
      <c r="O17626" t="s">
        <v>54152</v>
      </c>
    </row>
    <row r="17627" spans="1:20" x14ac:dyDescent="0.25">
      <c r="A17627" t="str">
        <f>"3056354"</f>
        <v>3056354</v>
      </c>
      <c r="B17627" t="s">
        <v>54154</v>
      </c>
      <c r="C17627" t="str">
        <f>"65794000"</f>
        <v>65794000</v>
      </c>
      <c r="D17627" t="s">
        <v>54155</v>
      </c>
      <c r="E17627" t="s">
        <v>54156</v>
      </c>
      <c r="F17627" t="s">
        <v>54157</v>
      </c>
      <c r="G17627" t="s">
        <v>16132</v>
      </c>
      <c r="I17627" t="s">
        <v>29</v>
      </c>
      <c r="J17627" t="s">
        <v>30</v>
      </c>
      <c r="K17627" t="s">
        <v>31</v>
      </c>
      <c r="M17627" t="s">
        <v>50621</v>
      </c>
      <c r="N17627" t="str">
        <f>"10/17/2022 9:25:00 AM"</f>
        <v>10/17/2022 9:25:00 AM</v>
      </c>
      <c r="O17627" t="s">
        <v>54155</v>
      </c>
      <c r="T17627" t="s">
        <v>54156</v>
      </c>
    </row>
    <row r="17628" spans="1:20" x14ac:dyDescent="0.25">
      <c r="A17628" t="str">
        <f>"3056358"</f>
        <v>3056358</v>
      </c>
      <c r="B17628" t="s">
        <v>54158</v>
      </c>
      <c r="C17628" t="str">
        <f>"65794000"</f>
        <v>65794000</v>
      </c>
      <c r="D17628" t="s">
        <v>54155</v>
      </c>
      <c r="E17628" t="s">
        <v>54156</v>
      </c>
      <c r="F17628" t="s">
        <v>54157</v>
      </c>
      <c r="G17628" t="s">
        <v>16132</v>
      </c>
      <c r="I17628" t="s">
        <v>29</v>
      </c>
      <c r="J17628" t="s">
        <v>30</v>
      </c>
      <c r="K17628" t="s">
        <v>31</v>
      </c>
      <c r="M17628" t="s">
        <v>50621</v>
      </c>
      <c r="N17628" t="str">
        <f>"10/17/2022 9:25:00 AM"</f>
        <v>10/17/2022 9:25:00 AM</v>
      </c>
      <c r="O17628" t="s">
        <v>54155</v>
      </c>
      <c r="T17628" t="s">
        <v>54156</v>
      </c>
    </row>
    <row r="17629" spans="1:20" x14ac:dyDescent="0.25">
      <c r="A17629" t="str">
        <f>"3040753"</f>
        <v>3040753</v>
      </c>
      <c r="B17629" t="s">
        <v>54159</v>
      </c>
      <c r="C17629" t="str">
        <f>"14815000"</f>
        <v>14815000</v>
      </c>
      <c r="D17629" t="s">
        <v>54160</v>
      </c>
      <c r="F17629" t="s">
        <v>54161</v>
      </c>
      <c r="I17629" t="s">
        <v>184</v>
      </c>
      <c r="J17629" t="s">
        <v>30</v>
      </c>
      <c r="K17629" t="s">
        <v>185</v>
      </c>
      <c r="M17629" t="s">
        <v>50621</v>
      </c>
      <c r="N17629" t="str">
        <f>"10/10/2022 12:52:00 PM"</f>
        <v>10/10/2022 12:52:00 PM</v>
      </c>
      <c r="O17629" t="s">
        <v>54160</v>
      </c>
      <c r="T17629" t="s">
        <v>54160</v>
      </c>
    </row>
    <row r="17630" spans="1:20" x14ac:dyDescent="0.25">
      <c r="A17630" t="str">
        <f>"3057339"</f>
        <v>3057339</v>
      </c>
      <c r="B17630" t="s">
        <v>54162</v>
      </c>
      <c r="C17630" t="str">
        <f>"8318896"</f>
        <v>8318896</v>
      </c>
      <c r="D17630" t="s">
        <v>54163</v>
      </c>
      <c r="F17630" t="s">
        <v>54164</v>
      </c>
      <c r="I17630" t="s">
        <v>184</v>
      </c>
      <c r="J17630" t="s">
        <v>30</v>
      </c>
      <c r="K17630" t="s">
        <v>52675</v>
      </c>
      <c r="M17630" t="s">
        <v>17861</v>
      </c>
      <c r="N17630" t="str">
        <f>"10/17/2022 11:09:00 AM"</f>
        <v>10/17/2022 11:09:00 AM</v>
      </c>
      <c r="O17630" t="s">
        <v>54163</v>
      </c>
    </row>
    <row r="17631" spans="1:20" x14ac:dyDescent="0.25">
      <c r="A17631" t="str">
        <f>"3061873"</f>
        <v>3061873</v>
      </c>
      <c r="B17631" t="s">
        <v>54165</v>
      </c>
      <c r="C17631" t="str">
        <f>"8318898"</f>
        <v>8318898</v>
      </c>
      <c r="D17631" t="s">
        <v>54166</v>
      </c>
      <c r="F17631" t="s">
        <v>54167</v>
      </c>
      <c r="I17631" t="s">
        <v>29</v>
      </c>
      <c r="J17631" t="s">
        <v>30</v>
      </c>
      <c r="K17631" t="s">
        <v>10910</v>
      </c>
      <c r="M17631" t="s">
        <v>17861</v>
      </c>
      <c r="N17631" t="str">
        <f>"10/17/2022 11:17:00 AM"</f>
        <v>10/17/2022 11:17:00 AM</v>
      </c>
      <c r="O17631" t="s">
        <v>54166</v>
      </c>
    </row>
    <row r="17632" spans="1:20" x14ac:dyDescent="0.25">
      <c r="A17632" t="str">
        <f>"3059248"</f>
        <v>3059248</v>
      </c>
      <c r="B17632" t="s">
        <v>54168</v>
      </c>
      <c r="C17632" t="str">
        <f>"8318899"</f>
        <v>8318899</v>
      </c>
      <c r="D17632" t="s">
        <v>54169</v>
      </c>
      <c r="F17632" t="s">
        <v>54170</v>
      </c>
      <c r="I17632" t="s">
        <v>29</v>
      </c>
      <c r="J17632" t="s">
        <v>30</v>
      </c>
      <c r="K17632" t="s">
        <v>11151</v>
      </c>
      <c r="M17632" t="s">
        <v>17861</v>
      </c>
      <c r="N17632" t="str">
        <f>"10/17/2022 11:27:00 AM"</f>
        <v>10/17/2022 11:27:00 AM</v>
      </c>
      <c r="O17632" t="s">
        <v>54169</v>
      </c>
    </row>
    <row r="17633" spans="1:20" x14ac:dyDescent="0.25">
      <c r="A17633" t="str">
        <f>"3058994"</f>
        <v>3058994</v>
      </c>
      <c r="B17633" t="s">
        <v>54171</v>
      </c>
      <c r="C17633" t="str">
        <f>"82518145"</f>
        <v>82518145</v>
      </c>
      <c r="D17633" t="s">
        <v>54172</v>
      </c>
      <c r="E17633" t="s">
        <v>54173</v>
      </c>
      <c r="F17633" t="s">
        <v>54174</v>
      </c>
      <c r="I17633" t="s">
        <v>29</v>
      </c>
      <c r="J17633" t="s">
        <v>30</v>
      </c>
      <c r="K17633" t="s">
        <v>31</v>
      </c>
      <c r="M17633" t="s">
        <v>50621</v>
      </c>
      <c r="N17633" t="str">
        <f>"10/10/2022 3:04:00 PM"</f>
        <v>10/10/2022 3:04:00 PM</v>
      </c>
      <c r="O17633" t="s">
        <v>54172</v>
      </c>
      <c r="T17633" t="s">
        <v>54173</v>
      </c>
    </row>
    <row r="17634" spans="1:20" x14ac:dyDescent="0.25">
      <c r="A17634" t="str">
        <f>"3059270"</f>
        <v>3059270</v>
      </c>
      <c r="B17634" t="s">
        <v>54175</v>
      </c>
      <c r="C17634" t="str">
        <f>"8318903"</f>
        <v>8318903</v>
      </c>
      <c r="D17634" t="s">
        <v>54176</v>
      </c>
      <c r="F17634" t="s">
        <v>54177</v>
      </c>
      <c r="I17634" t="s">
        <v>29</v>
      </c>
      <c r="J17634" t="s">
        <v>30</v>
      </c>
      <c r="K17634" t="s">
        <v>44948</v>
      </c>
      <c r="M17634" t="s">
        <v>17861</v>
      </c>
      <c r="N17634" t="str">
        <f>"10/17/2022 12:55:00 PM"</f>
        <v>10/17/2022 12:55:00 PM</v>
      </c>
      <c r="O17634" t="s">
        <v>54176</v>
      </c>
    </row>
    <row r="17635" spans="1:20" x14ac:dyDescent="0.25">
      <c r="A17635" t="str">
        <f>"3058448"</f>
        <v>3058448</v>
      </c>
      <c r="B17635" t="s">
        <v>54178</v>
      </c>
      <c r="C17635" t="str">
        <f>"8318904"</f>
        <v>8318904</v>
      </c>
      <c r="D17635" t="s">
        <v>54179</v>
      </c>
      <c r="E17635" t="s">
        <v>54180</v>
      </c>
      <c r="F17635" t="s">
        <v>54181</v>
      </c>
      <c r="I17635" t="s">
        <v>29</v>
      </c>
      <c r="J17635" t="s">
        <v>30</v>
      </c>
      <c r="K17635" t="s">
        <v>53637</v>
      </c>
      <c r="M17635" t="s">
        <v>17861</v>
      </c>
      <c r="N17635" t="str">
        <f>"10/17/2022 1:04:00 PM"</f>
        <v>10/17/2022 1:04:00 PM</v>
      </c>
      <c r="O17635" t="s">
        <v>54179</v>
      </c>
      <c r="T17635" t="s">
        <v>54180</v>
      </c>
    </row>
    <row r="17636" spans="1:20" x14ac:dyDescent="0.25">
      <c r="A17636" t="str">
        <f>"3060765"</f>
        <v>3060765</v>
      </c>
      <c r="B17636" t="s">
        <v>54182</v>
      </c>
      <c r="C17636" t="str">
        <f>"8318906"</f>
        <v>8318906</v>
      </c>
      <c r="D17636" t="s">
        <v>54183</v>
      </c>
      <c r="E17636" t="s">
        <v>54184</v>
      </c>
      <c r="F17636" t="s">
        <v>54185</v>
      </c>
      <c r="I17636" t="s">
        <v>2071</v>
      </c>
      <c r="J17636" t="s">
        <v>30</v>
      </c>
      <c r="K17636" t="s">
        <v>4183</v>
      </c>
      <c r="M17636" t="s">
        <v>17861</v>
      </c>
      <c r="N17636" t="str">
        <f>"10/17/2022 1:12:00 PM"</f>
        <v>10/17/2022 1:12:00 PM</v>
      </c>
      <c r="O17636" t="s">
        <v>54183</v>
      </c>
      <c r="T17636" t="s">
        <v>54184</v>
      </c>
    </row>
    <row r="17637" spans="1:20" x14ac:dyDescent="0.25">
      <c r="A17637" t="str">
        <f>"3060433"</f>
        <v>3060433</v>
      </c>
      <c r="B17637" t="s">
        <v>54186</v>
      </c>
      <c r="C17637" t="str">
        <f>"8318908"</f>
        <v>8318908</v>
      </c>
      <c r="D17637" t="s">
        <v>54187</v>
      </c>
      <c r="F17637" t="s">
        <v>54188</v>
      </c>
      <c r="I17637" t="s">
        <v>2071</v>
      </c>
      <c r="J17637" t="s">
        <v>30</v>
      </c>
      <c r="K17637" t="s">
        <v>3728</v>
      </c>
      <c r="M17637" t="s">
        <v>17861</v>
      </c>
      <c r="N17637" t="str">
        <f>"10/17/2022 1:14:00 PM"</f>
        <v>10/17/2022 1:14:00 PM</v>
      </c>
      <c r="O17637" t="s">
        <v>54187</v>
      </c>
    </row>
    <row r="17638" spans="1:20" x14ac:dyDescent="0.25">
      <c r="A17638" t="str">
        <f>"3077019"</f>
        <v>3077019</v>
      </c>
      <c r="B17638" t="s">
        <v>54189</v>
      </c>
      <c r="C17638" t="str">
        <f>"8318909"</f>
        <v>8318909</v>
      </c>
      <c r="D17638" t="s">
        <v>54190</v>
      </c>
      <c r="F17638" t="s">
        <v>54191</v>
      </c>
      <c r="I17638" t="s">
        <v>29</v>
      </c>
      <c r="J17638" t="s">
        <v>30</v>
      </c>
      <c r="K17638" t="s">
        <v>54192</v>
      </c>
      <c r="M17638" t="s">
        <v>17861</v>
      </c>
      <c r="N17638" t="str">
        <f>"10/17/2022 1:26:00 PM"</f>
        <v>10/17/2022 1:26:00 PM</v>
      </c>
      <c r="O17638" t="s">
        <v>54190</v>
      </c>
    </row>
    <row r="17639" spans="1:20" x14ac:dyDescent="0.25">
      <c r="A17639" t="str">
        <f>"3077661"</f>
        <v>3077661</v>
      </c>
      <c r="B17639" t="s">
        <v>54193</v>
      </c>
      <c r="C17639" t="str">
        <f t="shared" ref="C17639:C17644" si="260">"8318910"</f>
        <v>8318910</v>
      </c>
      <c r="D17639" t="s">
        <v>54194</v>
      </c>
      <c r="F17639" t="s">
        <v>54195</v>
      </c>
      <c r="I17639" t="s">
        <v>29</v>
      </c>
      <c r="J17639" t="s">
        <v>30</v>
      </c>
      <c r="K17639" t="s">
        <v>40618</v>
      </c>
      <c r="M17639" t="s">
        <v>17861</v>
      </c>
      <c r="N17639" t="str">
        <f t="shared" ref="N17639:N17644" si="261">"10/17/2022 1:28:00 PM"</f>
        <v>10/17/2022 1:28:00 PM</v>
      </c>
      <c r="O17639" t="s">
        <v>54194</v>
      </c>
    </row>
    <row r="17640" spans="1:20" x14ac:dyDescent="0.25">
      <c r="A17640" t="str">
        <f>"3077662"</f>
        <v>3077662</v>
      </c>
      <c r="B17640" t="s">
        <v>54196</v>
      </c>
      <c r="C17640" t="str">
        <f t="shared" si="260"/>
        <v>8318910</v>
      </c>
      <c r="D17640" t="s">
        <v>54194</v>
      </c>
      <c r="F17640" t="s">
        <v>54195</v>
      </c>
      <c r="I17640" t="s">
        <v>29</v>
      </c>
      <c r="J17640" t="s">
        <v>30</v>
      </c>
      <c r="K17640" t="s">
        <v>40618</v>
      </c>
      <c r="M17640" t="s">
        <v>17861</v>
      </c>
      <c r="N17640" t="str">
        <f t="shared" si="261"/>
        <v>10/17/2022 1:28:00 PM</v>
      </c>
      <c r="O17640" t="s">
        <v>54194</v>
      </c>
    </row>
    <row r="17641" spans="1:20" x14ac:dyDescent="0.25">
      <c r="A17641" t="str">
        <f>"3077664"</f>
        <v>3077664</v>
      </c>
      <c r="B17641" t="s">
        <v>54197</v>
      </c>
      <c r="C17641" t="str">
        <f t="shared" si="260"/>
        <v>8318910</v>
      </c>
      <c r="D17641" t="s">
        <v>54194</v>
      </c>
      <c r="F17641" t="s">
        <v>54195</v>
      </c>
      <c r="I17641" t="s">
        <v>29</v>
      </c>
      <c r="J17641" t="s">
        <v>30</v>
      </c>
      <c r="K17641" t="s">
        <v>40618</v>
      </c>
      <c r="M17641" t="s">
        <v>17861</v>
      </c>
      <c r="N17641" t="str">
        <f t="shared" si="261"/>
        <v>10/17/2022 1:28:00 PM</v>
      </c>
      <c r="O17641" t="s">
        <v>54194</v>
      </c>
    </row>
    <row r="17642" spans="1:20" x14ac:dyDescent="0.25">
      <c r="A17642" t="str">
        <f>"3077665"</f>
        <v>3077665</v>
      </c>
      <c r="B17642" t="s">
        <v>54198</v>
      </c>
      <c r="C17642" t="str">
        <f t="shared" si="260"/>
        <v>8318910</v>
      </c>
      <c r="D17642" t="s">
        <v>54194</v>
      </c>
      <c r="F17642" t="s">
        <v>54195</v>
      </c>
      <c r="I17642" t="s">
        <v>29</v>
      </c>
      <c r="J17642" t="s">
        <v>30</v>
      </c>
      <c r="K17642" t="s">
        <v>40618</v>
      </c>
      <c r="M17642" t="s">
        <v>17861</v>
      </c>
      <c r="N17642" t="str">
        <f t="shared" si="261"/>
        <v>10/17/2022 1:28:00 PM</v>
      </c>
      <c r="O17642" t="s">
        <v>54194</v>
      </c>
    </row>
    <row r="17643" spans="1:20" x14ac:dyDescent="0.25">
      <c r="A17643" t="str">
        <f>"3038651"</f>
        <v>3038651</v>
      </c>
      <c r="B17643" t="s">
        <v>54199</v>
      </c>
      <c r="C17643" t="str">
        <f t="shared" si="260"/>
        <v>8318910</v>
      </c>
      <c r="D17643" t="s">
        <v>54194</v>
      </c>
      <c r="F17643" t="s">
        <v>54195</v>
      </c>
      <c r="I17643" t="s">
        <v>29</v>
      </c>
      <c r="J17643" t="s">
        <v>30</v>
      </c>
      <c r="K17643" t="s">
        <v>40618</v>
      </c>
      <c r="M17643" t="s">
        <v>17861</v>
      </c>
      <c r="N17643" t="str">
        <f t="shared" si="261"/>
        <v>10/17/2022 1:28:00 PM</v>
      </c>
      <c r="O17643" t="s">
        <v>54194</v>
      </c>
    </row>
    <row r="17644" spans="1:20" x14ac:dyDescent="0.25">
      <c r="A17644" t="str">
        <f>"3038648"</f>
        <v>3038648</v>
      </c>
      <c r="B17644" t="s">
        <v>54200</v>
      </c>
      <c r="C17644" t="str">
        <f t="shared" si="260"/>
        <v>8318910</v>
      </c>
      <c r="D17644" t="s">
        <v>54194</v>
      </c>
      <c r="F17644" t="s">
        <v>54195</v>
      </c>
      <c r="I17644" t="s">
        <v>29</v>
      </c>
      <c r="J17644" t="s">
        <v>30</v>
      </c>
      <c r="K17644" t="s">
        <v>40618</v>
      </c>
      <c r="M17644" t="s">
        <v>17861</v>
      </c>
      <c r="N17644" t="str">
        <f t="shared" si="261"/>
        <v>10/17/2022 1:28:00 PM</v>
      </c>
      <c r="O17644" t="s">
        <v>54194</v>
      </c>
    </row>
    <row r="17645" spans="1:20" x14ac:dyDescent="0.25">
      <c r="A17645" t="str">
        <f>"3064454"</f>
        <v>3064454</v>
      </c>
      <c r="B17645" t="s">
        <v>54201</v>
      </c>
      <c r="C17645" t="str">
        <f>"8318912"</f>
        <v>8318912</v>
      </c>
      <c r="D17645" t="s">
        <v>54202</v>
      </c>
      <c r="E17645" t="s">
        <v>54203</v>
      </c>
      <c r="F17645" t="s">
        <v>54204</v>
      </c>
      <c r="I17645" t="s">
        <v>29</v>
      </c>
      <c r="J17645" t="s">
        <v>30</v>
      </c>
      <c r="K17645" t="s">
        <v>50254</v>
      </c>
      <c r="M17645" t="s">
        <v>17861</v>
      </c>
      <c r="N17645" t="str">
        <f>"10/19/2022 8:49:00 AM"</f>
        <v>10/19/2022 8:49:00 AM</v>
      </c>
      <c r="O17645" t="s">
        <v>54202</v>
      </c>
      <c r="T17645" t="s">
        <v>54203</v>
      </c>
    </row>
    <row r="17646" spans="1:20" x14ac:dyDescent="0.25">
      <c r="A17646" t="str">
        <f>"3056848"</f>
        <v>3056848</v>
      </c>
      <c r="B17646" t="s">
        <v>54205</v>
      </c>
      <c r="C17646" t="str">
        <f>"8318913"</f>
        <v>8318913</v>
      </c>
      <c r="D17646" t="s">
        <v>54206</v>
      </c>
      <c r="F17646" t="s">
        <v>54207</v>
      </c>
      <c r="I17646" t="s">
        <v>29</v>
      </c>
      <c r="J17646" t="s">
        <v>30</v>
      </c>
      <c r="K17646" t="s">
        <v>54208</v>
      </c>
      <c r="M17646" t="s">
        <v>17861</v>
      </c>
      <c r="N17646" t="str">
        <f>"10/19/2022 8:52:00 AM"</f>
        <v>10/19/2022 8:52:00 AM</v>
      </c>
      <c r="O17646" t="s">
        <v>54206</v>
      </c>
    </row>
    <row r="17647" spans="1:20" x14ac:dyDescent="0.25">
      <c r="A17647" t="str">
        <f>"3056849"</f>
        <v>3056849</v>
      </c>
      <c r="B17647" t="s">
        <v>54209</v>
      </c>
      <c r="C17647" t="str">
        <f>"8318913"</f>
        <v>8318913</v>
      </c>
      <c r="D17647" t="s">
        <v>54206</v>
      </c>
      <c r="F17647" t="s">
        <v>54207</v>
      </c>
      <c r="I17647" t="s">
        <v>29</v>
      </c>
      <c r="J17647" t="s">
        <v>30</v>
      </c>
      <c r="K17647" t="s">
        <v>54208</v>
      </c>
      <c r="M17647" t="s">
        <v>17861</v>
      </c>
      <c r="N17647" t="str">
        <f>"10/19/2022 8:52:00 AM"</f>
        <v>10/19/2022 8:52:00 AM</v>
      </c>
      <c r="O17647" t="s">
        <v>54206</v>
      </c>
    </row>
    <row r="17648" spans="1:20" x14ac:dyDescent="0.25">
      <c r="A17648" t="str">
        <f>"3056856"</f>
        <v>3056856</v>
      </c>
      <c r="B17648" t="s">
        <v>54210</v>
      </c>
      <c r="C17648" t="str">
        <f>"8318913"</f>
        <v>8318913</v>
      </c>
      <c r="D17648" t="s">
        <v>54206</v>
      </c>
      <c r="F17648" t="s">
        <v>54207</v>
      </c>
      <c r="I17648" t="s">
        <v>29</v>
      </c>
      <c r="J17648" t="s">
        <v>30</v>
      </c>
      <c r="K17648" t="s">
        <v>54208</v>
      </c>
      <c r="M17648" t="s">
        <v>17861</v>
      </c>
      <c r="N17648" t="str">
        <f>"10/19/2022 8:52:00 AM"</f>
        <v>10/19/2022 8:52:00 AM</v>
      </c>
      <c r="O17648" t="s">
        <v>54206</v>
      </c>
    </row>
    <row r="17649" spans="1:20" x14ac:dyDescent="0.25">
      <c r="A17649" t="str">
        <f>"3042970"</f>
        <v>3042970</v>
      </c>
      <c r="B17649" t="s">
        <v>54211</v>
      </c>
      <c r="C17649" t="str">
        <f>"82517516"</f>
        <v>82517516</v>
      </c>
      <c r="D17649" t="s">
        <v>54212</v>
      </c>
      <c r="E17649" t="s">
        <v>54213</v>
      </c>
      <c r="F17649" t="s">
        <v>54214</v>
      </c>
      <c r="I17649" t="s">
        <v>29</v>
      </c>
      <c r="J17649" t="s">
        <v>30</v>
      </c>
      <c r="K17649" t="str">
        <f>"27028"</f>
        <v>27028</v>
      </c>
      <c r="M17649" t="s">
        <v>50621</v>
      </c>
      <c r="N17649" t="str">
        <f>"10/10/2022 3:27:00 PM"</f>
        <v>10/10/2022 3:27:00 PM</v>
      </c>
      <c r="O17649" t="s">
        <v>54212</v>
      </c>
      <c r="T17649" t="s">
        <v>54213</v>
      </c>
    </row>
    <row r="17650" spans="1:20" x14ac:dyDescent="0.25">
      <c r="A17650" t="str">
        <f>"3046582"</f>
        <v>3046582</v>
      </c>
      <c r="B17650" t="s">
        <v>54215</v>
      </c>
      <c r="C17650" t="str">
        <f>"8318915"</f>
        <v>8318915</v>
      </c>
      <c r="D17650" t="s">
        <v>54216</v>
      </c>
      <c r="E17650" t="s">
        <v>54217</v>
      </c>
      <c r="F17650" t="s">
        <v>54218</v>
      </c>
      <c r="I17650" t="s">
        <v>22708</v>
      </c>
      <c r="J17650" t="s">
        <v>1046</v>
      </c>
      <c r="K17650" t="s">
        <v>54219</v>
      </c>
      <c r="M17650" t="s">
        <v>17861</v>
      </c>
      <c r="N17650" t="str">
        <f>"10/19/2022 10:24:00 AM"</f>
        <v>10/19/2022 10:24:00 AM</v>
      </c>
      <c r="O17650" t="s">
        <v>54216</v>
      </c>
      <c r="T17650" t="s">
        <v>54217</v>
      </c>
    </row>
    <row r="17651" spans="1:20" x14ac:dyDescent="0.25">
      <c r="A17651" t="str">
        <f>"3057364"</f>
        <v>3057364</v>
      </c>
      <c r="B17651" t="s">
        <v>54220</v>
      </c>
      <c r="C17651" t="str">
        <f>"8318916"</f>
        <v>8318916</v>
      </c>
      <c r="D17651" t="s">
        <v>54221</v>
      </c>
      <c r="E17651" t="s">
        <v>54222</v>
      </c>
      <c r="F17651" t="s">
        <v>54223</v>
      </c>
      <c r="I17651" t="s">
        <v>184</v>
      </c>
      <c r="J17651" t="s">
        <v>30</v>
      </c>
      <c r="K17651" t="str">
        <f>"27006"</f>
        <v>27006</v>
      </c>
      <c r="M17651" t="s">
        <v>17861</v>
      </c>
      <c r="N17651" t="str">
        <f>"10/19/2022 10:43:00 AM"</f>
        <v>10/19/2022 10:43:00 AM</v>
      </c>
      <c r="O17651" t="s">
        <v>54221</v>
      </c>
      <c r="T17651" t="s">
        <v>54222</v>
      </c>
    </row>
    <row r="17652" spans="1:20" x14ac:dyDescent="0.25">
      <c r="A17652" t="str">
        <f>"3057490"</f>
        <v>3057490</v>
      </c>
      <c r="B17652" t="s">
        <v>54224</v>
      </c>
      <c r="C17652" t="str">
        <f>"8318918"</f>
        <v>8318918</v>
      </c>
      <c r="D17652" t="s">
        <v>54225</v>
      </c>
      <c r="F17652" t="s">
        <v>54226</v>
      </c>
      <c r="I17652" t="s">
        <v>29</v>
      </c>
      <c r="J17652" t="s">
        <v>30</v>
      </c>
      <c r="K17652" t="s">
        <v>453</v>
      </c>
      <c r="M17652" t="s">
        <v>17861</v>
      </c>
      <c r="N17652" t="str">
        <f>"10/19/2022 11:03:00 AM"</f>
        <v>10/19/2022 11:03:00 AM</v>
      </c>
      <c r="O17652" t="s">
        <v>54225</v>
      </c>
    </row>
    <row r="17653" spans="1:20" x14ac:dyDescent="0.25">
      <c r="A17653" t="str">
        <f>"3037846"</f>
        <v>3037846</v>
      </c>
      <c r="B17653" t="s">
        <v>54227</v>
      </c>
      <c r="C17653" t="str">
        <f>"8318918"</f>
        <v>8318918</v>
      </c>
      <c r="D17653" t="s">
        <v>54225</v>
      </c>
      <c r="F17653" t="s">
        <v>54226</v>
      </c>
      <c r="I17653" t="s">
        <v>29</v>
      </c>
      <c r="J17653" t="s">
        <v>30</v>
      </c>
      <c r="K17653" t="s">
        <v>453</v>
      </c>
      <c r="M17653" t="s">
        <v>17861</v>
      </c>
      <c r="N17653" t="str">
        <f>"10/19/2022 11:03:00 AM"</f>
        <v>10/19/2022 11:03:00 AM</v>
      </c>
      <c r="O17653" t="s">
        <v>54225</v>
      </c>
    </row>
    <row r="17654" spans="1:20" x14ac:dyDescent="0.25">
      <c r="A17654" t="str">
        <f>"3063491"</f>
        <v>3063491</v>
      </c>
      <c r="B17654" t="s">
        <v>54228</v>
      </c>
      <c r="C17654" t="str">
        <f>"8318918"</f>
        <v>8318918</v>
      </c>
      <c r="D17654" t="s">
        <v>54225</v>
      </c>
      <c r="F17654" t="s">
        <v>54226</v>
      </c>
      <c r="I17654" t="s">
        <v>29</v>
      </c>
      <c r="J17654" t="s">
        <v>30</v>
      </c>
      <c r="K17654" t="s">
        <v>453</v>
      </c>
      <c r="M17654" t="s">
        <v>17861</v>
      </c>
      <c r="N17654" t="str">
        <f>"10/19/2022 11:03:00 AM"</f>
        <v>10/19/2022 11:03:00 AM</v>
      </c>
      <c r="O17654" t="s">
        <v>54225</v>
      </c>
    </row>
    <row r="17655" spans="1:20" x14ac:dyDescent="0.25">
      <c r="A17655" t="str">
        <f>"3060401"</f>
        <v>3060401</v>
      </c>
      <c r="B17655" t="s">
        <v>54229</v>
      </c>
      <c r="C17655" t="str">
        <f>"8318918"</f>
        <v>8318918</v>
      </c>
      <c r="D17655" t="s">
        <v>54225</v>
      </c>
      <c r="F17655" t="s">
        <v>54226</v>
      </c>
      <c r="I17655" t="s">
        <v>29</v>
      </c>
      <c r="J17655" t="s">
        <v>30</v>
      </c>
      <c r="K17655" t="s">
        <v>453</v>
      </c>
      <c r="M17655" t="s">
        <v>17861</v>
      </c>
      <c r="N17655" t="str">
        <f>"10/19/2022 11:03:00 AM"</f>
        <v>10/19/2022 11:03:00 AM</v>
      </c>
      <c r="O17655" t="s">
        <v>54225</v>
      </c>
    </row>
    <row r="17656" spans="1:20" x14ac:dyDescent="0.25">
      <c r="A17656" t="str">
        <f>"3057137"</f>
        <v>3057137</v>
      </c>
      <c r="B17656" t="s">
        <v>54230</v>
      </c>
      <c r="C17656" t="str">
        <f>"8318919"</f>
        <v>8318919</v>
      </c>
      <c r="D17656" t="s">
        <v>54231</v>
      </c>
      <c r="E17656" t="s">
        <v>54232</v>
      </c>
      <c r="F17656" t="s">
        <v>54233</v>
      </c>
      <c r="I17656" t="s">
        <v>29</v>
      </c>
      <c r="J17656" t="s">
        <v>30</v>
      </c>
      <c r="K17656" t="str">
        <f>"27028"</f>
        <v>27028</v>
      </c>
      <c r="M17656" t="s">
        <v>17861</v>
      </c>
      <c r="N17656" t="str">
        <f>"10/19/2022 11:08:00 AM"</f>
        <v>10/19/2022 11:08:00 AM</v>
      </c>
      <c r="O17656" t="s">
        <v>54231</v>
      </c>
      <c r="T17656" t="s">
        <v>54232</v>
      </c>
    </row>
    <row r="17657" spans="1:20" x14ac:dyDescent="0.25">
      <c r="A17657" t="str">
        <f>"3056535"</f>
        <v>3056535</v>
      </c>
      <c r="B17657" t="s">
        <v>54234</v>
      </c>
      <c r="C17657" t="str">
        <f>"8318919"</f>
        <v>8318919</v>
      </c>
      <c r="D17657" t="s">
        <v>54231</v>
      </c>
      <c r="E17657" t="s">
        <v>54232</v>
      </c>
      <c r="F17657" t="s">
        <v>54233</v>
      </c>
      <c r="I17657" t="s">
        <v>29</v>
      </c>
      <c r="J17657" t="s">
        <v>30</v>
      </c>
      <c r="K17657" t="str">
        <f>"27028"</f>
        <v>27028</v>
      </c>
      <c r="M17657" t="s">
        <v>17861</v>
      </c>
      <c r="N17657" t="str">
        <f>"10/19/2022 11:08:00 AM"</f>
        <v>10/19/2022 11:08:00 AM</v>
      </c>
      <c r="O17657" t="s">
        <v>54231</v>
      </c>
      <c r="T17657" t="s">
        <v>54232</v>
      </c>
    </row>
    <row r="17658" spans="1:20" x14ac:dyDescent="0.25">
      <c r="A17658" t="str">
        <f>"3057715"</f>
        <v>3057715</v>
      </c>
      <c r="B17658" t="s">
        <v>54235</v>
      </c>
      <c r="C17658" t="str">
        <f>"8318920"</f>
        <v>8318920</v>
      </c>
      <c r="D17658" t="s">
        <v>54236</v>
      </c>
      <c r="E17658" t="s">
        <v>54237</v>
      </c>
      <c r="F17658" t="s">
        <v>54238</v>
      </c>
      <c r="I17658" t="s">
        <v>184</v>
      </c>
      <c r="J17658" t="s">
        <v>30</v>
      </c>
      <c r="K17658" t="s">
        <v>19873</v>
      </c>
      <c r="M17658" t="s">
        <v>17861</v>
      </c>
      <c r="N17658" t="str">
        <f>"10/19/2022 11:21:00 AM"</f>
        <v>10/19/2022 11:21:00 AM</v>
      </c>
      <c r="O17658" t="s">
        <v>54236</v>
      </c>
      <c r="T17658" t="s">
        <v>54237</v>
      </c>
    </row>
    <row r="17659" spans="1:20" x14ac:dyDescent="0.25">
      <c r="A17659" t="str">
        <f>"3047955"</f>
        <v>3047955</v>
      </c>
      <c r="B17659" t="s">
        <v>54239</v>
      </c>
      <c r="C17659" t="str">
        <f>"8318921"</f>
        <v>8318921</v>
      </c>
      <c r="D17659" t="s">
        <v>54240</v>
      </c>
      <c r="F17659" t="s">
        <v>54241</v>
      </c>
      <c r="I17659" t="s">
        <v>184</v>
      </c>
      <c r="J17659" t="s">
        <v>30</v>
      </c>
      <c r="K17659" t="s">
        <v>52926</v>
      </c>
      <c r="M17659" t="s">
        <v>17861</v>
      </c>
      <c r="N17659" t="str">
        <f>"10/19/2022 11:23:00 AM"</f>
        <v>10/19/2022 11:23:00 AM</v>
      </c>
      <c r="O17659" t="s">
        <v>54240</v>
      </c>
    </row>
    <row r="17660" spans="1:20" x14ac:dyDescent="0.25">
      <c r="A17660" t="str">
        <f>"3055656"</f>
        <v>3055656</v>
      </c>
      <c r="B17660" t="s">
        <v>54242</v>
      </c>
      <c r="C17660" t="str">
        <f>"8318924"</f>
        <v>8318924</v>
      </c>
      <c r="D17660" t="s">
        <v>54243</v>
      </c>
      <c r="E17660" t="s">
        <v>54244</v>
      </c>
      <c r="F17660" t="s">
        <v>54245</v>
      </c>
      <c r="I17660" t="s">
        <v>29</v>
      </c>
      <c r="J17660" t="s">
        <v>30</v>
      </c>
      <c r="K17660" t="s">
        <v>16621</v>
      </c>
      <c r="M17660" t="s">
        <v>17861</v>
      </c>
      <c r="N17660" t="str">
        <f>"10/19/2022 1:22:00 PM"</f>
        <v>10/19/2022 1:22:00 PM</v>
      </c>
      <c r="O17660" t="s">
        <v>54243</v>
      </c>
      <c r="T17660" t="s">
        <v>54244</v>
      </c>
    </row>
    <row r="17661" spans="1:20" x14ac:dyDescent="0.25">
      <c r="A17661" t="str">
        <f>"3052562"</f>
        <v>3052562</v>
      </c>
      <c r="B17661" t="s">
        <v>54246</v>
      </c>
      <c r="C17661" t="str">
        <f>"8318925"</f>
        <v>8318925</v>
      </c>
      <c r="D17661" t="s">
        <v>54247</v>
      </c>
      <c r="F17661" t="s">
        <v>54248</v>
      </c>
      <c r="I17661" t="s">
        <v>29</v>
      </c>
      <c r="J17661" t="s">
        <v>30</v>
      </c>
      <c r="K17661" t="s">
        <v>33878</v>
      </c>
      <c r="M17661" t="s">
        <v>17861</v>
      </c>
      <c r="N17661" t="str">
        <f>"10/19/2022 1:24:00 PM"</f>
        <v>10/19/2022 1:24:00 PM</v>
      </c>
      <c r="O17661" t="s">
        <v>54247</v>
      </c>
    </row>
    <row r="17662" spans="1:20" x14ac:dyDescent="0.25">
      <c r="A17662" t="str">
        <f>"3058292"</f>
        <v>3058292</v>
      </c>
      <c r="B17662" t="s">
        <v>54249</v>
      </c>
      <c r="C17662" t="str">
        <f>"8318927"</f>
        <v>8318927</v>
      </c>
      <c r="D17662" t="s">
        <v>54250</v>
      </c>
      <c r="E17662" t="s">
        <v>54251</v>
      </c>
      <c r="F17662" t="s">
        <v>54252</v>
      </c>
      <c r="I17662" t="s">
        <v>29</v>
      </c>
      <c r="J17662" t="s">
        <v>30</v>
      </c>
      <c r="K17662" t="s">
        <v>9871</v>
      </c>
      <c r="M17662" t="s">
        <v>17861</v>
      </c>
      <c r="N17662" t="str">
        <f>"10/19/2022 1:34:00 PM"</f>
        <v>10/19/2022 1:34:00 PM</v>
      </c>
      <c r="O17662" t="s">
        <v>54250</v>
      </c>
      <c r="T17662" t="s">
        <v>54251</v>
      </c>
    </row>
    <row r="17663" spans="1:20" x14ac:dyDescent="0.25">
      <c r="A17663" t="str">
        <f>"3047665"</f>
        <v>3047665</v>
      </c>
      <c r="B17663" t="s">
        <v>54253</v>
      </c>
      <c r="C17663" t="str">
        <f>"82515435"</f>
        <v>82515435</v>
      </c>
      <c r="D17663" t="s">
        <v>54254</v>
      </c>
      <c r="F17663" t="str">
        <f>"C/O SHIRLEY DRAKE"</f>
        <v>C/O SHIRLEY DRAKE</v>
      </c>
      <c r="G17663" t="s">
        <v>54255</v>
      </c>
      <c r="I17663" t="s">
        <v>2280</v>
      </c>
      <c r="J17663" t="s">
        <v>30</v>
      </c>
      <c r="K17663" t="str">
        <f>"27295"</f>
        <v>27295</v>
      </c>
      <c r="M17663" t="s">
        <v>50793</v>
      </c>
      <c r="N17663" t="str">
        <f>"10/10/2022 3:29:00 PM"</f>
        <v>10/10/2022 3:29:00 PM</v>
      </c>
      <c r="O17663" t="s">
        <v>54254</v>
      </c>
    </row>
    <row r="17664" spans="1:20" x14ac:dyDescent="0.25">
      <c r="A17664" t="str">
        <f>"3062380"</f>
        <v>3062380</v>
      </c>
      <c r="B17664" t="s">
        <v>54256</v>
      </c>
      <c r="C17664" t="str">
        <f>"23562000"</f>
        <v>23562000</v>
      </c>
      <c r="D17664" t="s">
        <v>54257</v>
      </c>
      <c r="E17664" t="s">
        <v>54258</v>
      </c>
      <c r="F17664" t="s">
        <v>54259</v>
      </c>
      <c r="I17664" t="s">
        <v>29</v>
      </c>
      <c r="J17664" t="s">
        <v>30</v>
      </c>
      <c r="K17664" t="s">
        <v>31</v>
      </c>
      <c r="M17664" t="s">
        <v>50621</v>
      </c>
      <c r="N17664" t="str">
        <f>"10/10/2022 3:40:00 PM"</f>
        <v>10/10/2022 3:40:00 PM</v>
      </c>
      <c r="O17664" t="s">
        <v>54257</v>
      </c>
      <c r="T17664" t="s">
        <v>54258</v>
      </c>
    </row>
    <row r="17665" spans="1:20" x14ac:dyDescent="0.25">
      <c r="A17665" t="str">
        <f>"3043465"</f>
        <v>3043465</v>
      </c>
      <c r="B17665" t="s">
        <v>54260</v>
      </c>
      <c r="C17665" t="str">
        <f>"8304010"</f>
        <v>8304010</v>
      </c>
      <c r="D17665" t="s">
        <v>54261</v>
      </c>
      <c r="E17665" t="s">
        <v>54262</v>
      </c>
      <c r="F17665" t="s">
        <v>54263</v>
      </c>
      <c r="I17665" t="s">
        <v>29</v>
      </c>
      <c r="J17665" t="s">
        <v>30</v>
      </c>
      <c r="K17665" t="str">
        <f>"27028"</f>
        <v>27028</v>
      </c>
      <c r="M17665" t="s">
        <v>50621</v>
      </c>
      <c r="N17665" t="str">
        <f>"10/10/2022 4:03:00 PM"</f>
        <v>10/10/2022 4:03:00 PM</v>
      </c>
      <c r="O17665" t="s">
        <v>54261</v>
      </c>
      <c r="T17665" t="s">
        <v>54262</v>
      </c>
    </row>
    <row r="17666" spans="1:20" x14ac:dyDescent="0.25">
      <c r="A17666" t="str">
        <f>"3063974"</f>
        <v>3063974</v>
      </c>
      <c r="B17666" t="s">
        <v>54264</v>
      </c>
      <c r="C17666" t="str">
        <f>"82524699"</f>
        <v>82524699</v>
      </c>
      <c r="D17666" t="s">
        <v>54265</v>
      </c>
      <c r="E17666" t="s">
        <v>54266</v>
      </c>
      <c r="F17666" t="s">
        <v>54267</v>
      </c>
      <c r="I17666" t="s">
        <v>184</v>
      </c>
      <c r="J17666" t="s">
        <v>30</v>
      </c>
      <c r="K17666" t="s">
        <v>185</v>
      </c>
      <c r="M17666" t="s">
        <v>50621</v>
      </c>
      <c r="N17666" t="str">
        <f>"10/11/2022 8:43:00 AM"</f>
        <v>10/11/2022 8:43:00 AM</v>
      </c>
      <c r="O17666" t="s">
        <v>54265</v>
      </c>
      <c r="T17666" t="s">
        <v>54266</v>
      </c>
    </row>
    <row r="17667" spans="1:20" x14ac:dyDescent="0.25">
      <c r="A17667" t="str">
        <f>"3044500"</f>
        <v>3044500</v>
      </c>
      <c r="B17667" t="s">
        <v>54268</v>
      </c>
      <c r="C17667" t="str">
        <f>"8318945"</f>
        <v>8318945</v>
      </c>
      <c r="D17667" t="str">
        <f>"BROWN KERRY/LORRIE REV LIV TRUST"</f>
        <v>BROWN KERRY/LORRIE REV LIV TRUST</v>
      </c>
      <c r="E17667" t="str">
        <f>"BROWN KERRY/LORRIE TRUSTEES"</f>
        <v>BROWN KERRY/LORRIE TRUSTEES</v>
      </c>
      <c r="F17667" t="s">
        <v>54269</v>
      </c>
      <c r="I17667" t="s">
        <v>184</v>
      </c>
      <c r="J17667" t="s">
        <v>30</v>
      </c>
      <c r="K17667" t="s">
        <v>5682</v>
      </c>
      <c r="M17667" t="s">
        <v>17861</v>
      </c>
      <c r="N17667" t="str">
        <f>"10/20/2022 2:27:00 PM"</f>
        <v>10/20/2022 2:27:00 PM</v>
      </c>
      <c r="O17667" t="str">
        <f>"BROWN KERRY/LORRIE REV LIV TRUST"</f>
        <v>BROWN KERRY/LORRIE REV LIV TRUST</v>
      </c>
      <c r="T17667" t="str">
        <f>"BROWN KERRY/LORRIE TRUSTEES"</f>
        <v>BROWN KERRY/LORRIE TRUSTEES</v>
      </c>
    </row>
    <row r="17668" spans="1:20" x14ac:dyDescent="0.25">
      <c r="A17668" t="str">
        <f>"3050429"</f>
        <v>3050429</v>
      </c>
      <c r="B17668" t="s">
        <v>54270</v>
      </c>
      <c r="C17668" t="str">
        <f>"8318946"</f>
        <v>8318946</v>
      </c>
      <c r="D17668" t="str">
        <f>"CALDWELL RAYMOND/CHRISTY REV LIV TRUST"</f>
        <v>CALDWELL RAYMOND/CHRISTY REV LIV TRUST</v>
      </c>
      <c r="E17668" t="str">
        <f>"CALDWELL RAYMOND/CHRISTY CO-TR"</f>
        <v>CALDWELL RAYMOND/CHRISTY CO-TR</v>
      </c>
      <c r="F17668" t="s">
        <v>54271</v>
      </c>
      <c r="I17668" t="s">
        <v>29</v>
      </c>
      <c r="J17668" t="s">
        <v>30</v>
      </c>
      <c r="K17668" t="s">
        <v>13959</v>
      </c>
      <c r="M17668" t="s">
        <v>17861</v>
      </c>
      <c r="N17668" t="str">
        <f>"10/20/2022 2:30:00 PM"</f>
        <v>10/20/2022 2:30:00 PM</v>
      </c>
      <c r="O17668" t="str">
        <f>"CALDWELL RAYMOND/CHRISTY REV LIV TRUST"</f>
        <v>CALDWELL RAYMOND/CHRISTY REV LIV TRUST</v>
      </c>
      <c r="T17668" t="str">
        <f>"CALDWELL RAYMOND/CHRISTY CO-TR"</f>
        <v>CALDWELL RAYMOND/CHRISTY CO-TR</v>
      </c>
    </row>
    <row r="17669" spans="1:20" x14ac:dyDescent="0.25">
      <c r="A17669" t="str">
        <f>"3078155"</f>
        <v>3078155</v>
      </c>
      <c r="B17669" t="s">
        <v>54272</v>
      </c>
      <c r="C17669" t="str">
        <f>"8318947"</f>
        <v>8318947</v>
      </c>
      <c r="D17669" t="str">
        <f>"FOSTER CHARLIE/KATHY REV LIV T"</f>
        <v>FOSTER CHARLIE/KATHY REV LIV T</v>
      </c>
      <c r="E17669" t="str">
        <f>"FOSTER CHARLIE/KATHY CO-TRUSTE"</f>
        <v>FOSTER CHARLIE/KATHY CO-TRUSTE</v>
      </c>
      <c r="F17669" t="s">
        <v>54273</v>
      </c>
      <c r="I17669" t="s">
        <v>29</v>
      </c>
      <c r="J17669" t="s">
        <v>30</v>
      </c>
      <c r="K17669" t="s">
        <v>47062</v>
      </c>
      <c r="M17669" t="s">
        <v>17861</v>
      </c>
      <c r="N17669" t="str">
        <f>"10/20/2022 3:07:00 PM"</f>
        <v>10/20/2022 3:07:00 PM</v>
      </c>
      <c r="O17669" t="str">
        <f>"FOSTER CHARLIE/KATHY REV LIV T"</f>
        <v>FOSTER CHARLIE/KATHY REV LIV T</v>
      </c>
      <c r="T17669" t="str">
        <f>"FOSTER CHARLIE/KATHY CO-TRUSTE"</f>
        <v>FOSTER CHARLIE/KATHY CO-TRUSTE</v>
      </c>
    </row>
    <row r="17670" spans="1:20" x14ac:dyDescent="0.25">
      <c r="A17670" t="str">
        <f>"3070878"</f>
        <v>3070878</v>
      </c>
      <c r="B17670" t="s">
        <v>54274</v>
      </c>
      <c r="C17670" t="str">
        <f>"8318947"</f>
        <v>8318947</v>
      </c>
      <c r="D17670" t="str">
        <f>"FOSTER CHARLIE/KATHY REV LIV T"</f>
        <v>FOSTER CHARLIE/KATHY REV LIV T</v>
      </c>
      <c r="E17670" t="str">
        <f>"FOSTER CHARLIE/KATHY CO-TRUSTE"</f>
        <v>FOSTER CHARLIE/KATHY CO-TRUSTE</v>
      </c>
      <c r="F17670" t="s">
        <v>54273</v>
      </c>
      <c r="I17670" t="s">
        <v>29</v>
      </c>
      <c r="J17670" t="s">
        <v>30</v>
      </c>
      <c r="K17670" t="s">
        <v>47062</v>
      </c>
      <c r="M17670" t="s">
        <v>17861</v>
      </c>
      <c r="N17670" t="str">
        <f>"10/20/2022 3:07:00 PM"</f>
        <v>10/20/2022 3:07:00 PM</v>
      </c>
      <c r="O17670" t="str">
        <f>"FOSTER CHARLIE/KATHY REV LIV T"</f>
        <v>FOSTER CHARLIE/KATHY REV LIV T</v>
      </c>
      <c r="T17670" t="str">
        <f>"FOSTER CHARLIE/KATHY CO-TRUSTE"</f>
        <v>FOSTER CHARLIE/KATHY CO-TRUSTE</v>
      </c>
    </row>
    <row r="17671" spans="1:20" x14ac:dyDescent="0.25">
      <c r="A17671" t="str">
        <f>"3041790"</f>
        <v>3041790</v>
      </c>
      <c r="B17671" t="s">
        <v>54275</v>
      </c>
      <c r="C17671" t="str">
        <f>"8318949"</f>
        <v>8318949</v>
      </c>
      <c r="D17671" t="s">
        <v>54276</v>
      </c>
      <c r="E17671" t="s">
        <v>54277</v>
      </c>
      <c r="F17671" t="s">
        <v>54278</v>
      </c>
      <c r="I17671" t="s">
        <v>2071</v>
      </c>
      <c r="J17671" t="s">
        <v>30</v>
      </c>
      <c r="K17671" t="s">
        <v>3837</v>
      </c>
      <c r="M17671" t="s">
        <v>17861</v>
      </c>
      <c r="N17671" t="str">
        <f>"10/20/2022 3:18:00 PM"</f>
        <v>10/20/2022 3:18:00 PM</v>
      </c>
      <c r="O17671" t="s">
        <v>54276</v>
      </c>
      <c r="T17671" t="s">
        <v>54277</v>
      </c>
    </row>
    <row r="17672" spans="1:20" x14ac:dyDescent="0.25">
      <c r="A17672" t="str">
        <f>"3060576"</f>
        <v>3060576</v>
      </c>
      <c r="B17672" t="s">
        <v>54279</v>
      </c>
      <c r="C17672" t="str">
        <f>"8318951"</f>
        <v>8318951</v>
      </c>
      <c r="D17672" t="s">
        <v>54280</v>
      </c>
      <c r="E17672" t="s">
        <v>54281</v>
      </c>
      <c r="F17672" t="s">
        <v>54282</v>
      </c>
      <c r="I17672" t="s">
        <v>2071</v>
      </c>
      <c r="J17672" t="s">
        <v>30</v>
      </c>
      <c r="K17672" t="s">
        <v>6374</v>
      </c>
      <c r="M17672" t="s">
        <v>17861</v>
      </c>
      <c r="N17672" t="str">
        <f>"10/20/2022 3:35:00 PM"</f>
        <v>10/20/2022 3:35:00 PM</v>
      </c>
      <c r="O17672" t="s">
        <v>54280</v>
      </c>
      <c r="T17672" t="s">
        <v>54281</v>
      </c>
    </row>
    <row r="17673" spans="1:20" x14ac:dyDescent="0.25">
      <c r="A17673" t="str">
        <f>"3037498"</f>
        <v>3037498</v>
      </c>
      <c r="B17673" t="s">
        <v>54283</v>
      </c>
      <c r="C17673" t="str">
        <f>"8316344"</f>
        <v>8316344</v>
      </c>
      <c r="D17673" t="s">
        <v>54284</v>
      </c>
      <c r="E17673" t="s">
        <v>54285</v>
      </c>
      <c r="F17673" t="s">
        <v>54286</v>
      </c>
      <c r="I17673" t="s">
        <v>29</v>
      </c>
      <c r="J17673" t="s">
        <v>30</v>
      </c>
      <c r="K17673" t="s">
        <v>4343</v>
      </c>
      <c r="M17673" t="s">
        <v>50793</v>
      </c>
      <c r="N17673" t="str">
        <f>"10/21/2022 9:41:00 AM"</f>
        <v>10/21/2022 9:41:00 AM</v>
      </c>
      <c r="O17673" t="s">
        <v>54284</v>
      </c>
      <c r="T17673" t="s">
        <v>54285</v>
      </c>
    </row>
    <row r="17674" spans="1:20" x14ac:dyDescent="0.25">
      <c r="A17674" t="str">
        <f>"3049394"</f>
        <v>3049394</v>
      </c>
      <c r="B17674" t="s">
        <v>54287</v>
      </c>
      <c r="C17674" t="str">
        <f>"8318954"</f>
        <v>8318954</v>
      </c>
      <c r="D17674" t="s">
        <v>54288</v>
      </c>
      <c r="E17674" t="s">
        <v>54289</v>
      </c>
      <c r="F17674" t="s">
        <v>54290</v>
      </c>
      <c r="I17674" t="s">
        <v>29</v>
      </c>
      <c r="J17674" t="s">
        <v>30</v>
      </c>
      <c r="K17674" t="str">
        <f>"27028"</f>
        <v>27028</v>
      </c>
      <c r="M17674" t="s">
        <v>17861</v>
      </c>
      <c r="N17674" t="str">
        <f>"10/21/2022 9:56:00 AM"</f>
        <v>10/21/2022 9:56:00 AM</v>
      </c>
      <c r="O17674" t="s">
        <v>54288</v>
      </c>
      <c r="T17674" t="s">
        <v>54289</v>
      </c>
    </row>
    <row r="17675" spans="1:20" x14ac:dyDescent="0.25">
      <c r="A17675" t="str">
        <f>"3059268"</f>
        <v>3059268</v>
      </c>
      <c r="B17675" t="s">
        <v>54291</v>
      </c>
      <c r="C17675" t="str">
        <f>"82521360"</f>
        <v>82521360</v>
      </c>
      <c r="D17675" t="s">
        <v>54292</v>
      </c>
      <c r="E17675" t="s">
        <v>54293</v>
      </c>
      <c r="F17675" t="s">
        <v>54294</v>
      </c>
      <c r="I17675" t="s">
        <v>29</v>
      </c>
      <c r="J17675" t="s">
        <v>30</v>
      </c>
      <c r="K17675" t="s">
        <v>39075</v>
      </c>
      <c r="M17675" t="s">
        <v>50621</v>
      </c>
      <c r="N17675" t="str">
        <f>"10/11/2022 9:03:00 AM"</f>
        <v>10/11/2022 9:03:00 AM</v>
      </c>
      <c r="O17675" t="s">
        <v>54292</v>
      </c>
      <c r="T17675" t="s">
        <v>54293</v>
      </c>
    </row>
    <row r="17676" spans="1:20" x14ac:dyDescent="0.25">
      <c r="A17676" t="str">
        <f>"3044526"</f>
        <v>3044526</v>
      </c>
      <c r="B17676" t="s">
        <v>54295</v>
      </c>
      <c r="C17676" t="str">
        <f>"8318869"</f>
        <v>8318869</v>
      </c>
      <c r="D17676" t="s">
        <v>54296</v>
      </c>
      <c r="E17676" t="s">
        <v>54297</v>
      </c>
      <c r="F17676" t="s">
        <v>54298</v>
      </c>
      <c r="I17676" t="s">
        <v>184</v>
      </c>
      <c r="J17676" t="s">
        <v>30</v>
      </c>
      <c r="K17676" t="s">
        <v>5707</v>
      </c>
      <c r="M17676" t="s">
        <v>17861</v>
      </c>
      <c r="N17676" t="str">
        <f>"10/6/2022 12:56:00 PM"</f>
        <v>10/6/2022 12:56:00 PM</v>
      </c>
      <c r="O17676" t="s">
        <v>54296</v>
      </c>
      <c r="T17676" t="s">
        <v>54297</v>
      </c>
    </row>
    <row r="17677" spans="1:20" x14ac:dyDescent="0.25">
      <c r="A17677" t="str">
        <f>"3057877"</f>
        <v>3057877</v>
      </c>
      <c r="B17677" t="s">
        <v>54299</v>
      </c>
      <c r="C17677" t="str">
        <f>"8318962"</f>
        <v>8318962</v>
      </c>
      <c r="D17677" t="s">
        <v>54300</v>
      </c>
      <c r="E17677" t="s">
        <v>54301</v>
      </c>
      <c r="F17677" t="s">
        <v>54302</v>
      </c>
      <c r="I17677" t="s">
        <v>184</v>
      </c>
      <c r="J17677" t="s">
        <v>30</v>
      </c>
      <c r="K17677" t="str">
        <f>"27006"</f>
        <v>27006</v>
      </c>
      <c r="M17677" t="s">
        <v>17861</v>
      </c>
      <c r="N17677" t="str">
        <f>"10/25/2022 10:54:00 AM"</f>
        <v>10/25/2022 10:54:00 AM</v>
      </c>
      <c r="O17677" t="s">
        <v>54300</v>
      </c>
      <c r="T17677" t="s">
        <v>54301</v>
      </c>
    </row>
    <row r="17678" spans="1:20" x14ac:dyDescent="0.25">
      <c r="A17678" t="str">
        <f>"3043036"</f>
        <v>3043036</v>
      </c>
      <c r="B17678" t="s">
        <v>54303</v>
      </c>
      <c r="C17678" t="str">
        <f>"8318963"</f>
        <v>8318963</v>
      </c>
      <c r="D17678" t="s">
        <v>54304</v>
      </c>
      <c r="E17678" t="s">
        <v>54305</v>
      </c>
      <c r="F17678" t="s">
        <v>54306</v>
      </c>
      <c r="I17678" t="s">
        <v>29</v>
      </c>
      <c r="J17678" t="s">
        <v>30</v>
      </c>
      <c r="K17678" t="s">
        <v>34638</v>
      </c>
      <c r="M17678" t="s">
        <v>17861</v>
      </c>
      <c r="N17678" t="str">
        <f>"10/25/2022 10:57:00 AM"</f>
        <v>10/25/2022 10:57:00 AM</v>
      </c>
      <c r="O17678" t="s">
        <v>54304</v>
      </c>
      <c r="T17678" t="s">
        <v>54305</v>
      </c>
    </row>
    <row r="17679" spans="1:20" x14ac:dyDescent="0.25">
      <c r="A17679" t="str">
        <f>"3043364"</f>
        <v>3043364</v>
      </c>
      <c r="B17679" t="s">
        <v>54307</v>
      </c>
      <c r="C17679" t="str">
        <f>"8318964"</f>
        <v>8318964</v>
      </c>
      <c r="D17679" t="s">
        <v>54308</v>
      </c>
      <c r="F17679" t="s">
        <v>54309</v>
      </c>
      <c r="I17679" t="s">
        <v>471</v>
      </c>
      <c r="J17679" t="s">
        <v>30</v>
      </c>
      <c r="K17679" t="s">
        <v>54310</v>
      </c>
      <c r="M17679" t="s">
        <v>17861</v>
      </c>
      <c r="N17679" t="str">
        <f>"10/25/2022 11:14:00 AM"</f>
        <v>10/25/2022 11:14:00 AM</v>
      </c>
      <c r="O17679" t="s">
        <v>54308</v>
      </c>
    </row>
    <row r="17680" spans="1:20" x14ac:dyDescent="0.25">
      <c r="A17680" t="str">
        <f>"3049270"</f>
        <v>3049270</v>
      </c>
      <c r="B17680" t="s">
        <v>54311</v>
      </c>
      <c r="C17680" t="str">
        <f>"8318965"</f>
        <v>8318965</v>
      </c>
      <c r="D17680" t="s">
        <v>54312</v>
      </c>
      <c r="E17680" t="str">
        <f>"POOLE RICHARD/PAMELA CO-TRUSTE"</f>
        <v>POOLE RICHARD/PAMELA CO-TRUSTE</v>
      </c>
      <c r="F17680" t="s">
        <v>54313</v>
      </c>
      <c r="I17680" t="s">
        <v>184</v>
      </c>
      <c r="J17680" t="s">
        <v>30</v>
      </c>
      <c r="K17680" t="s">
        <v>35200</v>
      </c>
      <c r="M17680" t="s">
        <v>17861</v>
      </c>
      <c r="N17680" t="str">
        <f>"10/25/2022 11:19:00 AM"</f>
        <v>10/25/2022 11:19:00 AM</v>
      </c>
      <c r="O17680" t="s">
        <v>54312</v>
      </c>
      <c r="T17680" t="str">
        <f>"POOLE RICHARD/PAMELA CO-TRUSTE"</f>
        <v>POOLE RICHARD/PAMELA CO-TRUSTE</v>
      </c>
    </row>
    <row r="17681" spans="1:20" x14ac:dyDescent="0.25">
      <c r="A17681" t="str">
        <f>"3054985"</f>
        <v>3054985</v>
      </c>
      <c r="B17681" t="s">
        <v>54314</v>
      </c>
      <c r="C17681" t="str">
        <f>"8318966"</f>
        <v>8318966</v>
      </c>
      <c r="D17681" t="s">
        <v>54315</v>
      </c>
      <c r="E17681" t="s">
        <v>54316</v>
      </c>
      <c r="F17681" t="s">
        <v>54317</v>
      </c>
      <c r="I17681" t="s">
        <v>29</v>
      </c>
      <c r="J17681" t="s">
        <v>30</v>
      </c>
      <c r="K17681" t="s">
        <v>13701</v>
      </c>
      <c r="M17681" t="s">
        <v>17861</v>
      </c>
      <c r="N17681" t="str">
        <f>"10/25/2022 11:23:00 AM"</f>
        <v>10/25/2022 11:23:00 AM</v>
      </c>
      <c r="O17681" t="s">
        <v>54315</v>
      </c>
      <c r="T17681" t="s">
        <v>54316</v>
      </c>
    </row>
    <row r="17682" spans="1:20" x14ac:dyDescent="0.25">
      <c r="A17682" t="str">
        <f>"3057626"</f>
        <v>3057626</v>
      </c>
      <c r="B17682" t="s">
        <v>54318</v>
      </c>
      <c r="C17682" t="str">
        <f>"8318870"</f>
        <v>8318870</v>
      </c>
      <c r="D17682" t="s">
        <v>54319</v>
      </c>
      <c r="E17682" t="s">
        <v>54320</v>
      </c>
      <c r="F17682" t="s">
        <v>54321</v>
      </c>
      <c r="I17682" t="s">
        <v>184</v>
      </c>
      <c r="J17682" t="s">
        <v>30</v>
      </c>
      <c r="K17682" t="s">
        <v>52691</v>
      </c>
      <c r="M17682" t="s">
        <v>17861</v>
      </c>
      <c r="N17682" t="str">
        <f>"10/6/2022 12:59:00 PM"</f>
        <v>10/6/2022 12:59:00 PM</v>
      </c>
      <c r="O17682" t="s">
        <v>54319</v>
      </c>
      <c r="T17682" t="s">
        <v>54320</v>
      </c>
    </row>
    <row r="17683" spans="1:20" x14ac:dyDescent="0.25">
      <c r="A17683" t="str">
        <f>"3061967"</f>
        <v>3061967</v>
      </c>
      <c r="B17683" t="s">
        <v>54322</v>
      </c>
      <c r="C17683" t="str">
        <f>"8318871"</f>
        <v>8318871</v>
      </c>
      <c r="D17683" t="s">
        <v>54323</v>
      </c>
      <c r="F17683" t="s">
        <v>54324</v>
      </c>
      <c r="I17683" t="s">
        <v>184</v>
      </c>
      <c r="J17683" t="s">
        <v>30</v>
      </c>
      <c r="K17683" t="s">
        <v>1984</v>
      </c>
      <c r="M17683" t="s">
        <v>17861</v>
      </c>
      <c r="N17683" t="str">
        <f>"10/6/2022 1:02:00 PM"</f>
        <v>10/6/2022 1:02:00 PM</v>
      </c>
      <c r="O17683" t="s">
        <v>54323</v>
      </c>
    </row>
    <row r="17684" spans="1:20" x14ac:dyDescent="0.25">
      <c r="A17684" t="str">
        <f>"3056093"</f>
        <v>3056093</v>
      </c>
      <c r="B17684" t="s">
        <v>54325</v>
      </c>
      <c r="C17684" t="str">
        <f>"8304226"</f>
        <v>8304226</v>
      </c>
      <c r="D17684" t="s">
        <v>54326</v>
      </c>
      <c r="E17684" t="s">
        <v>54327</v>
      </c>
      <c r="F17684" t="s">
        <v>10428</v>
      </c>
      <c r="I17684" t="s">
        <v>9580</v>
      </c>
      <c r="J17684" t="s">
        <v>30</v>
      </c>
      <c r="K17684" t="s">
        <v>54328</v>
      </c>
      <c r="M17684" t="s">
        <v>50621</v>
      </c>
      <c r="N17684" t="str">
        <f>"10/6/2022 1:11:00 PM"</f>
        <v>10/6/2022 1:11:00 PM</v>
      </c>
      <c r="O17684" t="s">
        <v>54326</v>
      </c>
      <c r="T17684" t="s">
        <v>54327</v>
      </c>
    </row>
    <row r="17685" spans="1:20" x14ac:dyDescent="0.25">
      <c r="A17685" t="str">
        <f>"3067350"</f>
        <v>3067350</v>
      </c>
      <c r="B17685" t="s">
        <v>54329</v>
      </c>
      <c r="C17685" t="str">
        <f>"82522088"</f>
        <v>82522088</v>
      </c>
      <c r="D17685" t="s">
        <v>54330</v>
      </c>
      <c r="E17685" t="s">
        <v>54331</v>
      </c>
      <c r="F17685" t="s">
        <v>54332</v>
      </c>
      <c r="I17685" t="s">
        <v>1107</v>
      </c>
      <c r="J17685" t="s">
        <v>30</v>
      </c>
      <c r="K17685" t="s">
        <v>54333</v>
      </c>
      <c r="M17685" t="s">
        <v>50793</v>
      </c>
      <c r="N17685" t="str">
        <f>"10/26/2022 2:32:00 PM"</f>
        <v>10/26/2022 2:32:00 PM</v>
      </c>
      <c r="O17685" t="s">
        <v>54330</v>
      </c>
      <c r="T17685" t="s">
        <v>54331</v>
      </c>
    </row>
    <row r="17686" spans="1:20" x14ac:dyDescent="0.25">
      <c r="A17686" t="str">
        <f>"3039932"</f>
        <v>3039932</v>
      </c>
      <c r="B17686" t="s">
        <v>54334</v>
      </c>
      <c r="C17686" t="str">
        <f>"8318872"</f>
        <v>8318872</v>
      </c>
      <c r="D17686" t="s">
        <v>54335</v>
      </c>
      <c r="E17686" t="s">
        <v>54336</v>
      </c>
      <c r="F17686" t="s">
        <v>54337</v>
      </c>
      <c r="I17686" t="s">
        <v>184</v>
      </c>
      <c r="J17686" t="s">
        <v>30</v>
      </c>
      <c r="K17686" t="s">
        <v>32978</v>
      </c>
      <c r="M17686" t="s">
        <v>17861</v>
      </c>
      <c r="N17686" t="str">
        <f>"10/6/2022 1:22:00 PM"</f>
        <v>10/6/2022 1:22:00 PM</v>
      </c>
      <c r="O17686" t="s">
        <v>54335</v>
      </c>
      <c r="T17686" t="s">
        <v>54336</v>
      </c>
    </row>
    <row r="17687" spans="1:20" x14ac:dyDescent="0.25">
      <c r="A17687" t="str">
        <f>"3051871"</f>
        <v>3051871</v>
      </c>
      <c r="B17687" t="s">
        <v>54338</v>
      </c>
      <c r="C17687" t="str">
        <f>"8318986"</f>
        <v>8318986</v>
      </c>
      <c r="D17687" t="s">
        <v>54339</v>
      </c>
      <c r="E17687" t="s">
        <v>54340</v>
      </c>
      <c r="F17687" t="s">
        <v>54341</v>
      </c>
      <c r="I17687" t="s">
        <v>29</v>
      </c>
      <c r="J17687" t="s">
        <v>30</v>
      </c>
      <c r="K17687" t="s">
        <v>12071</v>
      </c>
      <c r="M17687" t="s">
        <v>17861</v>
      </c>
      <c r="N17687" t="str">
        <f>"10/28/2022 10:43:00 AM"</f>
        <v>10/28/2022 10:43:00 AM</v>
      </c>
      <c r="O17687" t="s">
        <v>54339</v>
      </c>
      <c r="T17687" t="s">
        <v>54340</v>
      </c>
    </row>
    <row r="17688" spans="1:20" x14ac:dyDescent="0.25">
      <c r="A17688" t="str">
        <f>"3051510"</f>
        <v>3051510</v>
      </c>
      <c r="B17688" t="s">
        <v>54342</v>
      </c>
      <c r="C17688" t="str">
        <f>"8318988"</f>
        <v>8318988</v>
      </c>
      <c r="D17688" t="s">
        <v>54343</v>
      </c>
      <c r="E17688" t="s">
        <v>54344</v>
      </c>
      <c r="F17688" t="s">
        <v>54345</v>
      </c>
      <c r="I17688" t="s">
        <v>29</v>
      </c>
      <c r="J17688" t="s">
        <v>30</v>
      </c>
      <c r="K17688" t="s">
        <v>27190</v>
      </c>
      <c r="M17688" t="s">
        <v>17861</v>
      </c>
      <c r="N17688" t="str">
        <f>"10/28/2022 11:20:00 AM"</f>
        <v>10/28/2022 11:20:00 AM</v>
      </c>
      <c r="O17688" t="s">
        <v>54343</v>
      </c>
      <c r="T17688" t="s">
        <v>54344</v>
      </c>
    </row>
    <row r="17689" spans="1:20" x14ac:dyDescent="0.25">
      <c r="A17689" t="str">
        <f>"3059223"</f>
        <v>3059223</v>
      </c>
      <c r="B17689" t="s">
        <v>54346</v>
      </c>
      <c r="C17689" t="str">
        <f>"8318989"</f>
        <v>8318989</v>
      </c>
      <c r="D17689" t="s">
        <v>54347</v>
      </c>
      <c r="E17689" t="s">
        <v>54348</v>
      </c>
      <c r="F17689" t="s">
        <v>54349</v>
      </c>
      <c r="I17689" t="s">
        <v>184</v>
      </c>
      <c r="J17689" t="s">
        <v>30</v>
      </c>
      <c r="K17689" t="s">
        <v>36136</v>
      </c>
      <c r="M17689" t="s">
        <v>17861</v>
      </c>
      <c r="N17689" t="str">
        <f>"10/28/2022 11:27:00 AM"</f>
        <v>10/28/2022 11:27:00 AM</v>
      </c>
      <c r="O17689" t="s">
        <v>54347</v>
      </c>
      <c r="T17689" t="s">
        <v>54348</v>
      </c>
    </row>
    <row r="17690" spans="1:20" x14ac:dyDescent="0.25">
      <c r="A17690" t="str">
        <f>"3053903"</f>
        <v>3053903</v>
      </c>
      <c r="B17690" t="s">
        <v>54350</v>
      </c>
      <c r="C17690" t="str">
        <f>"8318990"</f>
        <v>8318990</v>
      </c>
      <c r="D17690" t="s">
        <v>54351</v>
      </c>
      <c r="E17690" t="s">
        <v>54352</v>
      </c>
      <c r="F17690" t="s">
        <v>54353</v>
      </c>
      <c r="I17690" t="s">
        <v>29</v>
      </c>
      <c r="J17690" t="s">
        <v>30</v>
      </c>
      <c r="K17690" t="s">
        <v>42575</v>
      </c>
      <c r="M17690" t="s">
        <v>17861</v>
      </c>
      <c r="N17690" t="str">
        <f>"10/28/2022 1:07:00 PM"</f>
        <v>10/28/2022 1:07:00 PM</v>
      </c>
      <c r="O17690" t="s">
        <v>54351</v>
      </c>
      <c r="T17690" t="s">
        <v>54352</v>
      </c>
    </row>
    <row r="17691" spans="1:20" x14ac:dyDescent="0.25">
      <c r="A17691" t="str">
        <f>"3038101"</f>
        <v>3038101</v>
      </c>
      <c r="B17691" t="s">
        <v>54354</v>
      </c>
      <c r="C17691" t="str">
        <f>"68428000"</f>
        <v>68428000</v>
      </c>
      <c r="D17691" t="s">
        <v>54355</v>
      </c>
      <c r="E17691" t="s">
        <v>54356</v>
      </c>
      <c r="F17691" t="s">
        <v>54357</v>
      </c>
      <c r="I17691" t="s">
        <v>29</v>
      </c>
      <c r="J17691" t="s">
        <v>30</v>
      </c>
      <c r="K17691" t="s">
        <v>36038</v>
      </c>
      <c r="M17691" t="s">
        <v>51351</v>
      </c>
      <c r="N17691" t="str">
        <f>"10/28/2022 2:57:00 PM"</f>
        <v>10/28/2022 2:57:00 PM</v>
      </c>
      <c r="O17691" t="s">
        <v>54355</v>
      </c>
      <c r="T17691" t="s">
        <v>54356</v>
      </c>
    </row>
    <row r="17692" spans="1:20" x14ac:dyDescent="0.25">
      <c r="A17692" t="str">
        <f>"3038260"</f>
        <v>3038260</v>
      </c>
      <c r="B17692" t="s">
        <v>54358</v>
      </c>
      <c r="C17692" t="str">
        <f>"68428000"</f>
        <v>68428000</v>
      </c>
      <c r="D17692" t="s">
        <v>54355</v>
      </c>
      <c r="E17692" t="s">
        <v>54356</v>
      </c>
      <c r="F17692" t="s">
        <v>54357</v>
      </c>
      <c r="I17692" t="s">
        <v>29</v>
      </c>
      <c r="J17692" t="s">
        <v>30</v>
      </c>
      <c r="K17692" t="s">
        <v>36038</v>
      </c>
      <c r="M17692" t="s">
        <v>51351</v>
      </c>
      <c r="N17692" t="str">
        <f>"10/28/2022 2:57:00 PM"</f>
        <v>10/28/2022 2:57:00 PM</v>
      </c>
      <c r="O17692" t="s">
        <v>54355</v>
      </c>
      <c r="T17692" t="s">
        <v>54356</v>
      </c>
    </row>
    <row r="17693" spans="1:20" x14ac:dyDescent="0.25">
      <c r="A17693" t="str">
        <f>"3039141"</f>
        <v>3039141</v>
      </c>
      <c r="B17693" t="s">
        <v>54359</v>
      </c>
      <c r="C17693" t="str">
        <f>"68428000"</f>
        <v>68428000</v>
      </c>
      <c r="D17693" t="s">
        <v>54355</v>
      </c>
      <c r="E17693" t="s">
        <v>54356</v>
      </c>
      <c r="F17693" t="s">
        <v>54357</v>
      </c>
      <c r="I17693" t="s">
        <v>29</v>
      </c>
      <c r="J17693" t="s">
        <v>30</v>
      </c>
      <c r="K17693" t="s">
        <v>36038</v>
      </c>
      <c r="M17693" t="s">
        <v>51351</v>
      </c>
      <c r="N17693" t="str">
        <f>"10/28/2022 2:57:00 PM"</f>
        <v>10/28/2022 2:57:00 PM</v>
      </c>
      <c r="O17693" t="s">
        <v>54355</v>
      </c>
      <c r="T17693" t="s">
        <v>54356</v>
      </c>
    </row>
    <row r="17694" spans="1:20" x14ac:dyDescent="0.25">
      <c r="A17694" t="str">
        <f>"3061073"</f>
        <v>3061073</v>
      </c>
      <c r="B17694" t="s">
        <v>54360</v>
      </c>
      <c r="C17694" t="str">
        <f>"8318991"</f>
        <v>8318991</v>
      </c>
      <c r="D17694" t="s">
        <v>54361</v>
      </c>
      <c r="E17694" t="s">
        <v>54362</v>
      </c>
      <c r="F17694" t="s">
        <v>54363</v>
      </c>
      <c r="I17694" t="s">
        <v>2071</v>
      </c>
      <c r="J17694" t="s">
        <v>30</v>
      </c>
      <c r="K17694" t="s">
        <v>38843</v>
      </c>
      <c r="M17694" t="s">
        <v>17861</v>
      </c>
      <c r="N17694" t="str">
        <f>"10/28/2022 3:14:00 PM"</f>
        <v>10/28/2022 3:14:00 PM</v>
      </c>
      <c r="O17694" t="s">
        <v>54361</v>
      </c>
      <c r="T17694" t="s">
        <v>54362</v>
      </c>
    </row>
    <row r="17695" spans="1:20" x14ac:dyDescent="0.25">
      <c r="A17695" t="str">
        <f>"3047267"</f>
        <v>3047267</v>
      </c>
      <c r="B17695" t="s">
        <v>54364</v>
      </c>
      <c r="C17695" t="str">
        <f>"8318992"</f>
        <v>8318992</v>
      </c>
      <c r="D17695" t="s">
        <v>54365</v>
      </c>
      <c r="F17695" t="s">
        <v>54366</v>
      </c>
      <c r="I17695" t="s">
        <v>29</v>
      </c>
      <c r="J17695" t="s">
        <v>30</v>
      </c>
      <c r="K17695" t="s">
        <v>54367</v>
      </c>
      <c r="M17695" t="s">
        <v>17861</v>
      </c>
      <c r="N17695" t="str">
        <f>"10/28/2022 3:25:00 PM"</f>
        <v>10/28/2022 3:25:00 PM</v>
      </c>
      <c r="O17695" t="s">
        <v>54365</v>
      </c>
    </row>
    <row r="17696" spans="1:20" x14ac:dyDescent="0.25">
      <c r="A17696" t="str">
        <f>"3059285"</f>
        <v>3059285</v>
      </c>
      <c r="B17696" t="s">
        <v>54368</v>
      </c>
      <c r="C17696" t="str">
        <f>"8318993"</f>
        <v>8318993</v>
      </c>
      <c r="D17696" t="s">
        <v>54369</v>
      </c>
      <c r="E17696" t="s">
        <v>54370</v>
      </c>
      <c r="F17696" t="s">
        <v>54371</v>
      </c>
      <c r="I17696" t="s">
        <v>29</v>
      </c>
      <c r="J17696" t="s">
        <v>30</v>
      </c>
      <c r="K17696" t="s">
        <v>54372</v>
      </c>
      <c r="M17696" t="s">
        <v>17861</v>
      </c>
      <c r="N17696" t="str">
        <f>"10/28/2022 3:27:00 PM"</f>
        <v>10/28/2022 3:27:00 PM</v>
      </c>
      <c r="O17696" t="s">
        <v>54369</v>
      </c>
      <c r="T17696" t="s">
        <v>54370</v>
      </c>
    </row>
    <row r="17697" spans="1:20" x14ac:dyDescent="0.25">
      <c r="A17697" t="str">
        <f>"3056088"</f>
        <v>3056088</v>
      </c>
      <c r="B17697" t="s">
        <v>54373</v>
      </c>
      <c r="C17697" t="str">
        <f>"8318994"</f>
        <v>8318994</v>
      </c>
      <c r="D17697" t="s">
        <v>54374</v>
      </c>
      <c r="E17697" t="s">
        <v>54375</v>
      </c>
      <c r="F17697" t="s">
        <v>54376</v>
      </c>
      <c r="I17697" t="s">
        <v>471</v>
      </c>
      <c r="J17697" t="s">
        <v>30</v>
      </c>
      <c r="K17697" t="s">
        <v>54377</v>
      </c>
      <c r="M17697" t="s">
        <v>17861</v>
      </c>
      <c r="N17697" t="str">
        <f>"10/28/2022 3:29:00 PM"</f>
        <v>10/28/2022 3:29:00 PM</v>
      </c>
      <c r="O17697" t="s">
        <v>54374</v>
      </c>
      <c r="T17697" t="s">
        <v>54375</v>
      </c>
    </row>
    <row r="17698" spans="1:20" x14ac:dyDescent="0.25">
      <c r="A17698" t="str">
        <f>"3044732"</f>
        <v>3044732</v>
      </c>
      <c r="B17698" t="s">
        <v>54378</v>
      </c>
      <c r="C17698" t="str">
        <f>"8318873"</f>
        <v>8318873</v>
      </c>
      <c r="D17698" t="str">
        <f>"LANE DAVID G/KATHY R REV LIV TRUST"</f>
        <v>LANE DAVID G/KATHY R REV LIV TRUST</v>
      </c>
      <c r="F17698" t="s">
        <v>54379</v>
      </c>
      <c r="I17698" t="s">
        <v>184</v>
      </c>
      <c r="J17698" t="s">
        <v>30</v>
      </c>
      <c r="K17698" t="s">
        <v>34692</v>
      </c>
      <c r="M17698" t="s">
        <v>17861</v>
      </c>
      <c r="N17698" t="str">
        <f>"10/6/2022 1:24:00 PM"</f>
        <v>10/6/2022 1:24:00 PM</v>
      </c>
      <c r="O17698" t="str">
        <f>"LANE DAVID G/KATHY R REV LIV TRUST"</f>
        <v>LANE DAVID G/KATHY R REV LIV TRUST</v>
      </c>
    </row>
    <row r="17699" spans="1:20" x14ac:dyDescent="0.25">
      <c r="A17699" t="str">
        <f>"3054578"</f>
        <v>3054578</v>
      </c>
      <c r="B17699" t="s">
        <v>54380</v>
      </c>
      <c r="C17699" t="str">
        <f>"82532383"</f>
        <v>82532383</v>
      </c>
      <c r="D17699" t="s">
        <v>54381</v>
      </c>
      <c r="E17699" t="s">
        <v>54382</v>
      </c>
      <c r="F17699" t="s">
        <v>54383</v>
      </c>
      <c r="G17699" t="s">
        <v>54384</v>
      </c>
      <c r="I17699" t="s">
        <v>29</v>
      </c>
      <c r="J17699" t="s">
        <v>30</v>
      </c>
      <c r="K17699" t="s">
        <v>31</v>
      </c>
      <c r="M17699" t="s">
        <v>50793</v>
      </c>
      <c r="N17699" t="str">
        <f>"10/6/2022 3:48:00 PM"</f>
        <v>10/6/2022 3:48:00 PM</v>
      </c>
      <c r="O17699" t="s">
        <v>54381</v>
      </c>
      <c r="T17699" t="s">
        <v>54382</v>
      </c>
    </row>
    <row r="17700" spans="1:20" x14ac:dyDescent="0.25">
      <c r="A17700" t="str">
        <f>"3060040"</f>
        <v>3060040</v>
      </c>
      <c r="B17700" t="s">
        <v>54385</v>
      </c>
      <c r="C17700" t="str">
        <f>"8318999"</f>
        <v>8318999</v>
      </c>
      <c r="D17700" t="s">
        <v>54386</v>
      </c>
      <c r="E17700" t="s">
        <v>54387</v>
      </c>
      <c r="F17700" t="s">
        <v>54388</v>
      </c>
      <c r="I17700" t="s">
        <v>184</v>
      </c>
      <c r="J17700" t="s">
        <v>30</v>
      </c>
      <c r="K17700" t="s">
        <v>37983</v>
      </c>
      <c r="M17700" t="s">
        <v>17861</v>
      </c>
      <c r="N17700" t="str">
        <f>"10/28/2022 3:42:00 PM"</f>
        <v>10/28/2022 3:42:00 PM</v>
      </c>
      <c r="O17700" t="s">
        <v>54386</v>
      </c>
      <c r="T17700" t="s">
        <v>54387</v>
      </c>
    </row>
    <row r="17701" spans="1:20" x14ac:dyDescent="0.25">
      <c r="A17701" t="str">
        <f>"3063020"</f>
        <v>3063020</v>
      </c>
      <c r="B17701" t="s">
        <v>54389</v>
      </c>
      <c r="C17701" t="str">
        <f>"8319000"</f>
        <v>8319000</v>
      </c>
      <c r="D17701" t="s">
        <v>54390</v>
      </c>
      <c r="E17701" t="s">
        <v>54391</v>
      </c>
      <c r="F17701" t="s">
        <v>54392</v>
      </c>
      <c r="I17701" t="s">
        <v>184</v>
      </c>
      <c r="J17701" t="s">
        <v>30</v>
      </c>
      <c r="K17701" t="s">
        <v>7477</v>
      </c>
      <c r="M17701" t="s">
        <v>17861</v>
      </c>
      <c r="N17701" t="str">
        <f>"10/28/2022 3:45:00 PM"</f>
        <v>10/28/2022 3:45:00 PM</v>
      </c>
      <c r="O17701" t="s">
        <v>54390</v>
      </c>
      <c r="T17701" t="s">
        <v>54391</v>
      </c>
    </row>
    <row r="17702" spans="1:20" x14ac:dyDescent="0.25">
      <c r="A17702" t="str">
        <f>"3045640"</f>
        <v>3045640</v>
      </c>
      <c r="B17702" t="s">
        <v>54393</v>
      </c>
      <c r="C17702" t="str">
        <f>"8319002"</f>
        <v>8319002</v>
      </c>
      <c r="D17702" t="s">
        <v>54394</v>
      </c>
      <c r="E17702" t="s">
        <v>54395</v>
      </c>
      <c r="F17702" t="s">
        <v>54396</v>
      </c>
      <c r="I17702" t="s">
        <v>29</v>
      </c>
      <c r="J17702" t="s">
        <v>30</v>
      </c>
      <c r="K17702" t="s">
        <v>37735</v>
      </c>
      <c r="M17702" t="s">
        <v>17861</v>
      </c>
      <c r="N17702" t="str">
        <f>"10/28/2022 3:50:00 PM"</f>
        <v>10/28/2022 3:50:00 PM</v>
      </c>
      <c r="O17702" t="s">
        <v>54394</v>
      </c>
      <c r="T17702" t="s">
        <v>54395</v>
      </c>
    </row>
    <row r="17703" spans="1:20" x14ac:dyDescent="0.25">
      <c r="A17703" t="str">
        <f>"3042714"</f>
        <v>3042714</v>
      </c>
      <c r="B17703" t="s">
        <v>54397</v>
      </c>
      <c r="C17703" t="str">
        <f>"8312052"</f>
        <v>8312052</v>
      </c>
      <c r="D17703" t="s">
        <v>54398</v>
      </c>
      <c r="E17703" t="s">
        <v>54399</v>
      </c>
      <c r="F17703" t="s">
        <v>54400</v>
      </c>
      <c r="I17703" t="s">
        <v>29</v>
      </c>
      <c r="J17703" t="s">
        <v>30</v>
      </c>
      <c r="K17703" t="s">
        <v>4169</v>
      </c>
      <c r="M17703" t="s">
        <v>50621</v>
      </c>
      <c r="N17703" t="str">
        <f>"10/11/2022 9:54:00 AM"</f>
        <v>10/11/2022 9:54:00 AM</v>
      </c>
      <c r="O17703" t="s">
        <v>54398</v>
      </c>
      <c r="T17703" t="s">
        <v>54399</v>
      </c>
    </row>
    <row r="17704" spans="1:20" x14ac:dyDescent="0.25">
      <c r="A17704" t="str">
        <f>"3045334"</f>
        <v>3045334</v>
      </c>
      <c r="B17704" t="s">
        <v>54401</v>
      </c>
      <c r="C17704" t="str">
        <f>"8318755"</f>
        <v>8318755</v>
      </c>
      <c r="D17704" t="s">
        <v>54402</v>
      </c>
      <c r="F17704" t="s">
        <v>54403</v>
      </c>
      <c r="I17704" t="s">
        <v>1149</v>
      </c>
      <c r="J17704" t="s">
        <v>30</v>
      </c>
      <c r="K17704" t="str">
        <f>"28634"</f>
        <v>28634</v>
      </c>
      <c r="M17704" t="s">
        <v>33845</v>
      </c>
      <c r="N17704" t="str">
        <f>"10/31/2022 10:16:00 AM"</f>
        <v>10/31/2022 10:16:00 AM</v>
      </c>
      <c r="O17704" t="s">
        <v>54402</v>
      </c>
    </row>
    <row r="17705" spans="1:20" x14ac:dyDescent="0.25">
      <c r="A17705" t="str">
        <f>"3045070"</f>
        <v>3045070</v>
      </c>
      <c r="B17705" t="s">
        <v>54404</v>
      </c>
      <c r="C17705" t="str">
        <f>"8318755"</f>
        <v>8318755</v>
      </c>
      <c r="D17705" t="s">
        <v>54402</v>
      </c>
      <c r="F17705" t="s">
        <v>54403</v>
      </c>
      <c r="I17705" t="s">
        <v>1149</v>
      </c>
      <c r="J17705" t="s">
        <v>30</v>
      </c>
      <c r="K17705" t="str">
        <f>"28634"</f>
        <v>28634</v>
      </c>
      <c r="M17705" t="s">
        <v>33845</v>
      </c>
      <c r="N17705" t="str">
        <f>"10/31/2022 10:16:00 AM"</f>
        <v>10/31/2022 10:16:00 AM</v>
      </c>
      <c r="O17705" t="s">
        <v>54402</v>
      </c>
    </row>
    <row r="17706" spans="1:20" x14ac:dyDescent="0.25">
      <c r="A17706" t="str">
        <f>"3044988"</f>
        <v>3044988</v>
      </c>
      <c r="B17706" t="s">
        <v>54405</v>
      </c>
      <c r="C17706" t="str">
        <f>"8318755"</f>
        <v>8318755</v>
      </c>
      <c r="D17706" t="s">
        <v>54402</v>
      </c>
      <c r="F17706" t="s">
        <v>54403</v>
      </c>
      <c r="I17706" t="s">
        <v>1149</v>
      </c>
      <c r="J17706" t="s">
        <v>30</v>
      </c>
      <c r="K17706" t="str">
        <f>"28634"</f>
        <v>28634</v>
      </c>
      <c r="M17706" t="s">
        <v>33845</v>
      </c>
      <c r="N17706" t="str">
        <f>"10/31/2022 10:16:00 AM"</f>
        <v>10/31/2022 10:16:00 AM</v>
      </c>
      <c r="O17706" t="s">
        <v>54402</v>
      </c>
    </row>
    <row r="17707" spans="1:20" x14ac:dyDescent="0.25">
      <c r="A17707" t="str">
        <f>"3064091"</f>
        <v>3064091</v>
      </c>
      <c r="B17707" t="s">
        <v>54406</v>
      </c>
      <c r="C17707" t="str">
        <f>"8319006"</f>
        <v>8319006</v>
      </c>
      <c r="D17707" t="s">
        <v>54407</v>
      </c>
      <c r="E17707" t="s">
        <v>54408</v>
      </c>
      <c r="F17707" t="s">
        <v>54409</v>
      </c>
      <c r="I17707" t="s">
        <v>29</v>
      </c>
      <c r="J17707" t="s">
        <v>30</v>
      </c>
      <c r="K17707" t="s">
        <v>7409</v>
      </c>
      <c r="M17707" t="s">
        <v>17861</v>
      </c>
      <c r="N17707" t="str">
        <f>"10/31/2022 12:58:00 PM"</f>
        <v>10/31/2022 12:58:00 PM</v>
      </c>
      <c r="O17707" t="s">
        <v>54407</v>
      </c>
      <c r="T17707" t="s">
        <v>54408</v>
      </c>
    </row>
    <row r="17708" spans="1:20" x14ac:dyDescent="0.25">
      <c r="A17708" t="str">
        <f>"3041627"</f>
        <v>3041627</v>
      </c>
      <c r="B17708" t="s">
        <v>54410</v>
      </c>
      <c r="C17708" t="str">
        <f>"8319007"</f>
        <v>8319007</v>
      </c>
      <c r="D17708" t="s">
        <v>54411</v>
      </c>
      <c r="E17708" t="s">
        <v>54412</v>
      </c>
      <c r="F17708" t="s">
        <v>54413</v>
      </c>
      <c r="I17708" t="s">
        <v>2071</v>
      </c>
      <c r="J17708" t="s">
        <v>30</v>
      </c>
      <c r="K17708" t="str">
        <f>"27006"</f>
        <v>27006</v>
      </c>
      <c r="M17708" t="s">
        <v>17861</v>
      </c>
      <c r="N17708" t="str">
        <f>"10/31/2022 1:10:00 PM"</f>
        <v>10/31/2022 1:10:00 PM</v>
      </c>
      <c r="O17708" t="s">
        <v>54411</v>
      </c>
      <c r="T17708" t="s">
        <v>54412</v>
      </c>
    </row>
    <row r="17709" spans="1:20" x14ac:dyDescent="0.25">
      <c r="A17709" t="str">
        <f>"3041055"</f>
        <v>3041055</v>
      </c>
      <c r="B17709" t="s">
        <v>54414</v>
      </c>
      <c r="C17709" t="str">
        <f>"8319007"</f>
        <v>8319007</v>
      </c>
      <c r="D17709" t="s">
        <v>54411</v>
      </c>
      <c r="E17709" t="s">
        <v>54412</v>
      </c>
      <c r="F17709" t="s">
        <v>54413</v>
      </c>
      <c r="I17709" t="s">
        <v>2071</v>
      </c>
      <c r="J17709" t="s">
        <v>30</v>
      </c>
      <c r="K17709" t="str">
        <f>"27006"</f>
        <v>27006</v>
      </c>
      <c r="M17709" t="s">
        <v>17861</v>
      </c>
      <c r="N17709" t="str">
        <f>"10/31/2022 1:10:00 PM"</f>
        <v>10/31/2022 1:10:00 PM</v>
      </c>
      <c r="O17709" t="s">
        <v>54411</v>
      </c>
      <c r="T17709" t="s">
        <v>54412</v>
      </c>
    </row>
    <row r="17710" spans="1:20" x14ac:dyDescent="0.25">
      <c r="A17710" t="str">
        <f>"3060243"</f>
        <v>3060243</v>
      </c>
      <c r="B17710" t="s">
        <v>54415</v>
      </c>
      <c r="C17710" t="str">
        <f>"8314124"</f>
        <v>8314124</v>
      </c>
      <c r="D17710" t="s">
        <v>54416</v>
      </c>
      <c r="E17710" t="s">
        <v>54417</v>
      </c>
      <c r="F17710" t="s">
        <v>54418</v>
      </c>
      <c r="I17710" t="s">
        <v>184</v>
      </c>
      <c r="J17710" t="s">
        <v>30</v>
      </c>
      <c r="K17710" t="s">
        <v>38676</v>
      </c>
      <c r="M17710" t="s">
        <v>50621</v>
      </c>
      <c r="N17710" t="str">
        <f>"10/11/2022 2:16:00 PM"</f>
        <v>10/11/2022 2:16:00 PM</v>
      </c>
      <c r="O17710" t="s">
        <v>54416</v>
      </c>
      <c r="T17710" t="s">
        <v>54417</v>
      </c>
    </row>
    <row r="17711" spans="1:20" x14ac:dyDescent="0.25">
      <c r="A17711" t="str">
        <f>"3057240"</f>
        <v>3057240</v>
      </c>
      <c r="B17711" t="s">
        <v>54419</v>
      </c>
      <c r="C17711" t="str">
        <f>"8319008"</f>
        <v>8319008</v>
      </c>
      <c r="D17711" t="s">
        <v>54420</v>
      </c>
      <c r="F17711" t="s">
        <v>54421</v>
      </c>
      <c r="I17711" t="s">
        <v>471</v>
      </c>
      <c r="J17711" t="s">
        <v>30</v>
      </c>
      <c r="K17711" t="s">
        <v>54422</v>
      </c>
      <c r="M17711" t="s">
        <v>17861</v>
      </c>
      <c r="N17711" t="str">
        <f>"10/31/2022 1:17:00 PM"</f>
        <v>10/31/2022 1:17:00 PM</v>
      </c>
      <c r="O17711" t="s">
        <v>54420</v>
      </c>
    </row>
    <row r="17712" spans="1:20" x14ac:dyDescent="0.25">
      <c r="A17712" t="str">
        <f>"3049422"</f>
        <v>3049422</v>
      </c>
      <c r="B17712" t="s">
        <v>54423</v>
      </c>
      <c r="C17712" t="str">
        <f>"8319008"</f>
        <v>8319008</v>
      </c>
      <c r="D17712" t="s">
        <v>54420</v>
      </c>
      <c r="F17712" t="s">
        <v>54421</v>
      </c>
      <c r="I17712" t="s">
        <v>471</v>
      </c>
      <c r="J17712" t="s">
        <v>30</v>
      </c>
      <c r="K17712" t="s">
        <v>54422</v>
      </c>
      <c r="M17712" t="s">
        <v>17861</v>
      </c>
      <c r="N17712" t="str">
        <f>"10/31/2022 1:17:00 PM"</f>
        <v>10/31/2022 1:17:00 PM</v>
      </c>
      <c r="O17712" t="s">
        <v>54420</v>
      </c>
    </row>
    <row r="17713" spans="1:20" x14ac:dyDescent="0.25">
      <c r="A17713" t="str">
        <f>"3066790"</f>
        <v>3066790</v>
      </c>
      <c r="B17713" t="s">
        <v>54424</v>
      </c>
      <c r="C17713" t="str">
        <f>"8319009"</f>
        <v>8319009</v>
      </c>
      <c r="D17713" t="s">
        <v>54425</v>
      </c>
      <c r="E17713" t="s">
        <v>54426</v>
      </c>
      <c r="F17713" t="s">
        <v>54427</v>
      </c>
      <c r="I17713" t="s">
        <v>29</v>
      </c>
      <c r="J17713" t="s">
        <v>30</v>
      </c>
      <c r="K17713" t="s">
        <v>11082</v>
      </c>
      <c r="M17713" t="s">
        <v>17861</v>
      </c>
      <c r="N17713" t="str">
        <f>"10/31/2022 1:48:00 PM"</f>
        <v>10/31/2022 1:48:00 PM</v>
      </c>
      <c r="O17713" t="s">
        <v>54425</v>
      </c>
      <c r="T17713" t="s">
        <v>54426</v>
      </c>
    </row>
    <row r="17714" spans="1:20" x14ac:dyDescent="0.25">
      <c r="A17714" t="str">
        <f>"3044340"</f>
        <v>3044340</v>
      </c>
      <c r="B17714" t="s">
        <v>54428</v>
      </c>
      <c r="C17714" t="str">
        <f>"8319011"</f>
        <v>8319011</v>
      </c>
      <c r="D17714" t="s">
        <v>54429</v>
      </c>
      <c r="E17714" t="s">
        <v>54430</v>
      </c>
      <c r="F17714" t="s">
        <v>54431</v>
      </c>
      <c r="I17714" t="s">
        <v>184</v>
      </c>
      <c r="J17714" t="s">
        <v>30</v>
      </c>
      <c r="K17714" t="s">
        <v>5608</v>
      </c>
      <c r="M17714" t="s">
        <v>17861</v>
      </c>
      <c r="N17714" t="str">
        <f>"10/31/2022 3:13:00 PM"</f>
        <v>10/31/2022 3:13:00 PM</v>
      </c>
      <c r="O17714" t="s">
        <v>54429</v>
      </c>
      <c r="T17714" t="s">
        <v>54430</v>
      </c>
    </row>
    <row r="17715" spans="1:20" x14ac:dyDescent="0.25">
      <c r="A17715" t="str">
        <f>"3047723"</f>
        <v>3047723</v>
      </c>
      <c r="B17715" t="s">
        <v>54432</v>
      </c>
      <c r="C17715" t="str">
        <f>"8306701"</f>
        <v>8306701</v>
      </c>
      <c r="D17715" t="s">
        <v>54433</v>
      </c>
      <c r="E17715" t="s">
        <v>54434</v>
      </c>
      <c r="F17715" t="s">
        <v>54435</v>
      </c>
      <c r="I17715" t="s">
        <v>184</v>
      </c>
      <c r="J17715" t="s">
        <v>30</v>
      </c>
      <c r="K17715" t="s">
        <v>54436</v>
      </c>
      <c r="M17715" t="s">
        <v>25733</v>
      </c>
      <c r="N17715" t="str">
        <f>"11/1/2022 10:20:00 AM"</f>
        <v>11/1/2022 10:20:00 AM</v>
      </c>
      <c r="O17715" t="s">
        <v>54433</v>
      </c>
      <c r="T17715" t="s">
        <v>54434</v>
      </c>
    </row>
    <row r="17716" spans="1:20" x14ac:dyDescent="0.25">
      <c r="A17716" t="str">
        <f>"3048104"</f>
        <v>3048104</v>
      </c>
      <c r="B17716" t="s">
        <v>54437</v>
      </c>
      <c r="C17716" t="str">
        <f>"8306701"</f>
        <v>8306701</v>
      </c>
      <c r="D17716" t="s">
        <v>54433</v>
      </c>
      <c r="E17716" t="s">
        <v>54434</v>
      </c>
      <c r="F17716" t="s">
        <v>54435</v>
      </c>
      <c r="I17716" t="s">
        <v>184</v>
      </c>
      <c r="J17716" t="s">
        <v>30</v>
      </c>
      <c r="K17716" t="s">
        <v>54436</v>
      </c>
      <c r="M17716" t="s">
        <v>25733</v>
      </c>
      <c r="N17716" t="str">
        <f>"11/1/2022 10:20:00 AM"</f>
        <v>11/1/2022 10:20:00 AM</v>
      </c>
      <c r="O17716" t="s">
        <v>54433</v>
      </c>
      <c r="T17716" t="s">
        <v>54434</v>
      </c>
    </row>
    <row r="17717" spans="1:20" x14ac:dyDescent="0.25">
      <c r="A17717" t="str">
        <f>"3078359"</f>
        <v>3078359</v>
      </c>
      <c r="B17717" t="s">
        <v>54438</v>
      </c>
      <c r="C17717" t="str">
        <f>"8306701"</f>
        <v>8306701</v>
      </c>
      <c r="D17717" t="s">
        <v>54433</v>
      </c>
      <c r="E17717" t="s">
        <v>54434</v>
      </c>
      <c r="F17717" t="s">
        <v>54435</v>
      </c>
      <c r="I17717" t="s">
        <v>184</v>
      </c>
      <c r="J17717" t="s">
        <v>30</v>
      </c>
      <c r="K17717" t="s">
        <v>54436</v>
      </c>
      <c r="M17717" t="s">
        <v>25733</v>
      </c>
      <c r="N17717" t="str">
        <f>"11/1/2022 10:20:00 AM"</f>
        <v>11/1/2022 10:20:00 AM</v>
      </c>
      <c r="O17717" t="s">
        <v>54433</v>
      </c>
      <c r="T17717" t="s">
        <v>54434</v>
      </c>
    </row>
    <row r="17718" spans="1:20" x14ac:dyDescent="0.25">
      <c r="A17718" t="str">
        <f>"3057387"</f>
        <v>3057387</v>
      </c>
      <c r="B17718" t="s">
        <v>54439</v>
      </c>
      <c r="C17718" t="str">
        <f>"8314124"</f>
        <v>8314124</v>
      </c>
      <c r="D17718" t="s">
        <v>54416</v>
      </c>
      <c r="E17718" t="s">
        <v>54417</v>
      </c>
      <c r="F17718" t="s">
        <v>54418</v>
      </c>
      <c r="I17718" t="s">
        <v>184</v>
      </c>
      <c r="J17718" t="s">
        <v>30</v>
      </c>
      <c r="K17718" t="s">
        <v>38676</v>
      </c>
      <c r="M17718" t="s">
        <v>50621</v>
      </c>
      <c r="N17718" t="str">
        <f>"10/11/2022 2:16:00 PM"</f>
        <v>10/11/2022 2:16:00 PM</v>
      </c>
      <c r="O17718" t="s">
        <v>54416</v>
      </c>
      <c r="T17718" t="s">
        <v>54417</v>
      </c>
    </row>
    <row r="17719" spans="1:20" x14ac:dyDescent="0.25">
      <c r="A17719" t="str">
        <f>"3048899"</f>
        <v>3048899</v>
      </c>
      <c r="B17719" t="s">
        <v>54440</v>
      </c>
      <c r="C17719" t="str">
        <f>"82527094"</f>
        <v>82527094</v>
      </c>
      <c r="D17719" t="s">
        <v>31960</v>
      </c>
      <c r="E17719" t="s">
        <v>54441</v>
      </c>
      <c r="F17719" t="s">
        <v>54442</v>
      </c>
      <c r="I17719" t="s">
        <v>29</v>
      </c>
      <c r="J17719" t="s">
        <v>30</v>
      </c>
      <c r="K17719" t="s">
        <v>31</v>
      </c>
      <c r="M17719" t="s">
        <v>50621</v>
      </c>
      <c r="N17719" t="str">
        <f>"10/12/2022 1:39:00 PM"</f>
        <v>10/12/2022 1:39:00 PM</v>
      </c>
      <c r="O17719" t="s">
        <v>31960</v>
      </c>
      <c r="T17719" t="s">
        <v>54441</v>
      </c>
    </row>
    <row r="17720" spans="1:20" x14ac:dyDescent="0.25">
      <c r="A17720" t="str">
        <f>"3070121"</f>
        <v>3070121</v>
      </c>
      <c r="B17720" t="s">
        <v>54443</v>
      </c>
      <c r="C17720" t="str">
        <f>"82517663"</f>
        <v>82517663</v>
      </c>
      <c r="D17720" t="s">
        <v>54444</v>
      </c>
      <c r="E17720" t="s">
        <v>54445</v>
      </c>
      <c r="F17720" t="s">
        <v>34764</v>
      </c>
      <c r="I17720" t="s">
        <v>29</v>
      </c>
      <c r="J17720" t="s">
        <v>30</v>
      </c>
      <c r="K17720" t="s">
        <v>26737</v>
      </c>
      <c r="M17720" t="s">
        <v>50793</v>
      </c>
      <c r="N17720" t="str">
        <f>"11/3/2022 10:24:00 AM"</f>
        <v>11/3/2022 10:24:00 AM</v>
      </c>
      <c r="O17720" t="s">
        <v>54444</v>
      </c>
      <c r="T17720" t="s">
        <v>54445</v>
      </c>
    </row>
    <row r="17721" spans="1:20" x14ac:dyDescent="0.25">
      <c r="A17721" t="str">
        <f>"3041096"</f>
        <v>3041096</v>
      </c>
      <c r="B17721" t="s">
        <v>54446</v>
      </c>
      <c r="C17721" t="str">
        <f>"8303283"</f>
        <v>8303283</v>
      </c>
      <c r="D17721" t="s">
        <v>38068</v>
      </c>
      <c r="E17721" t="s">
        <v>54447</v>
      </c>
      <c r="F17721" t="str">
        <f>"C/O BURT B BAHNSON"</f>
        <v>C/O BURT B BAHNSON</v>
      </c>
      <c r="G17721" t="s">
        <v>54448</v>
      </c>
      <c r="I17721" t="s">
        <v>30550</v>
      </c>
      <c r="J17721" t="s">
        <v>30</v>
      </c>
      <c r="K17721" t="s">
        <v>54449</v>
      </c>
      <c r="M17721" t="s">
        <v>50793</v>
      </c>
      <c r="N17721" t="str">
        <f>"11/3/2022 12:48:00 PM"</f>
        <v>11/3/2022 12:48:00 PM</v>
      </c>
      <c r="O17721" t="s">
        <v>38068</v>
      </c>
      <c r="T17721" t="s">
        <v>54447</v>
      </c>
    </row>
    <row r="17722" spans="1:20" x14ac:dyDescent="0.25">
      <c r="A17722" t="str">
        <f>"3041493"</f>
        <v>3041493</v>
      </c>
      <c r="B17722" t="s">
        <v>54450</v>
      </c>
      <c r="C17722" t="str">
        <f>"8303964"</f>
        <v>8303964</v>
      </c>
      <c r="D17722" t="s">
        <v>54451</v>
      </c>
      <c r="E17722" t="s">
        <v>54452</v>
      </c>
      <c r="F17722" t="s">
        <v>54453</v>
      </c>
      <c r="I17722" t="s">
        <v>184</v>
      </c>
      <c r="J17722" t="s">
        <v>30</v>
      </c>
      <c r="K17722" t="s">
        <v>38176</v>
      </c>
      <c r="M17722" t="s">
        <v>18479</v>
      </c>
      <c r="N17722" t="str">
        <f>"11/3/2022 2:17:00 PM"</f>
        <v>11/3/2022 2:17:00 PM</v>
      </c>
      <c r="O17722" t="s">
        <v>54451</v>
      </c>
      <c r="T17722" t="s">
        <v>54452</v>
      </c>
    </row>
    <row r="17723" spans="1:20" x14ac:dyDescent="0.25">
      <c r="A17723" t="str">
        <f>"3039853"</f>
        <v>3039853</v>
      </c>
      <c r="B17723" t="s">
        <v>54454</v>
      </c>
      <c r="C17723" t="str">
        <f>"52922000"</f>
        <v>52922000</v>
      </c>
      <c r="D17723" t="s">
        <v>54455</v>
      </c>
      <c r="F17723" t="s">
        <v>54456</v>
      </c>
      <c r="I17723" t="s">
        <v>184</v>
      </c>
      <c r="J17723" t="s">
        <v>30</v>
      </c>
      <c r="K17723" t="s">
        <v>54457</v>
      </c>
      <c r="M17723" t="s">
        <v>50793</v>
      </c>
      <c r="N17723" t="str">
        <f>"11/4/2022 8:50:00 AM"</f>
        <v>11/4/2022 8:50:00 AM</v>
      </c>
      <c r="O17723" t="s">
        <v>54455</v>
      </c>
    </row>
    <row r="17724" spans="1:20" x14ac:dyDescent="0.25">
      <c r="A17724" t="str">
        <f>"3039864"</f>
        <v>3039864</v>
      </c>
      <c r="B17724" t="s">
        <v>54458</v>
      </c>
      <c r="C17724" t="str">
        <f>"52922000"</f>
        <v>52922000</v>
      </c>
      <c r="D17724" t="s">
        <v>54455</v>
      </c>
      <c r="F17724" t="s">
        <v>54456</v>
      </c>
      <c r="I17724" t="s">
        <v>184</v>
      </c>
      <c r="J17724" t="s">
        <v>30</v>
      </c>
      <c r="K17724" t="s">
        <v>54457</v>
      </c>
      <c r="M17724" t="s">
        <v>50793</v>
      </c>
      <c r="N17724" t="str">
        <f>"11/4/2022 8:50:00 AM"</f>
        <v>11/4/2022 8:50:00 AM</v>
      </c>
      <c r="O17724" t="s">
        <v>54455</v>
      </c>
    </row>
    <row r="17725" spans="1:20" x14ac:dyDescent="0.25">
      <c r="A17725" t="str">
        <f>"3048928"</f>
        <v>3048928</v>
      </c>
      <c r="B17725" t="s">
        <v>54459</v>
      </c>
      <c r="C17725" t="str">
        <f>"8305786"</f>
        <v>8305786</v>
      </c>
      <c r="D17725" t="s">
        <v>54460</v>
      </c>
      <c r="F17725" t="s">
        <v>44453</v>
      </c>
      <c r="I17725" t="s">
        <v>44454</v>
      </c>
      <c r="J17725" t="s">
        <v>30</v>
      </c>
      <c r="K17725" t="s">
        <v>44455</v>
      </c>
      <c r="M17725" t="s">
        <v>25733</v>
      </c>
      <c r="N17725" t="str">
        <f>"11/4/2022 8:55:00 AM"</f>
        <v>11/4/2022 8:55:00 AM</v>
      </c>
      <c r="O17725" t="s">
        <v>54460</v>
      </c>
    </row>
    <row r="17726" spans="1:20" x14ac:dyDescent="0.25">
      <c r="A17726" t="str">
        <f>"3058972"</f>
        <v>3058972</v>
      </c>
      <c r="B17726" t="s">
        <v>54461</v>
      </c>
      <c r="C17726" t="str">
        <f>"8318875"</f>
        <v>8318875</v>
      </c>
      <c r="D17726" t="s">
        <v>54462</v>
      </c>
      <c r="E17726" t="s">
        <v>54463</v>
      </c>
      <c r="F17726" t="s">
        <v>54464</v>
      </c>
      <c r="I17726" t="s">
        <v>29</v>
      </c>
      <c r="J17726" t="s">
        <v>30</v>
      </c>
      <c r="K17726" t="s">
        <v>52431</v>
      </c>
      <c r="M17726" t="s">
        <v>17861</v>
      </c>
      <c r="N17726" t="str">
        <f>"10/6/2022 4:00:00 PM"</f>
        <v>10/6/2022 4:00:00 PM</v>
      </c>
      <c r="O17726" t="s">
        <v>54462</v>
      </c>
      <c r="T17726" t="s">
        <v>54463</v>
      </c>
    </row>
    <row r="17727" spans="1:20" x14ac:dyDescent="0.25">
      <c r="A17727" t="str">
        <f>"3046440"</f>
        <v>3046440</v>
      </c>
      <c r="B17727" t="s">
        <v>54465</v>
      </c>
      <c r="C17727" t="str">
        <f>"82529165"</f>
        <v>82529165</v>
      </c>
      <c r="D17727" t="s">
        <v>54466</v>
      </c>
      <c r="F17727" t="s">
        <v>54467</v>
      </c>
      <c r="I17727" t="s">
        <v>29</v>
      </c>
      <c r="J17727" t="s">
        <v>30</v>
      </c>
      <c r="K17727" t="s">
        <v>31</v>
      </c>
      <c r="M17727" t="s">
        <v>17861</v>
      </c>
      <c r="N17727" t="str">
        <f>"11/7/2022 9:30:00 AM"</f>
        <v>11/7/2022 9:30:00 AM</v>
      </c>
      <c r="O17727" t="s">
        <v>54466</v>
      </c>
    </row>
    <row r="17728" spans="1:20" x14ac:dyDescent="0.25">
      <c r="A17728" t="str">
        <f>"3052160"</f>
        <v>3052160</v>
      </c>
      <c r="B17728" t="s">
        <v>54468</v>
      </c>
      <c r="C17728" t="str">
        <f>"82529966"</f>
        <v>82529966</v>
      </c>
      <c r="D17728" t="s">
        <v>54469</v>
      </c>
      <c r="F17728" t="s">
        <v>54470</v>
      </c>
      <c r="I17728" t="s">
        <v>29</v>
      </c>
      <c r="J17728" t="s">
        <v>30</v>
      </c>
      <c r="K17728" t="s">
        <v>31</v>
      </c>
      <c r="M17728" t="s">
        <v>50621</v>
      </c>
      <c r="N17728" t="str">
        <f>"11/7/2022 9:35:00 AM"</f>
        <v>11/7/2022 9:35:00 AM</v>
      </c>
      <c r="O17728" t="s">
        <v>54469</v>
      </c>
    </row>
    <row r="17729" spans="1:20" x14ac:dyDescent="0.25">
      <c r="A17729" t="str">
        <f>"3054989"</f>
        <v>3054989</v>
      </c>
      <c r="B17729" t="s">
        <v>54471</v>
      </c>
      <c r="C17729" t="str">
        <f>"64118400"</f>
        <v>64118400</v>
      </c>
      <c r="D17729" t="s">
        <v>54472</v>
      </c>
      <c r="F17729" t="s">
        <v>54473</v>
      </c>
      <c r="I17729" t="s">
        <v>29</v>
      </c>
      <c r="J17729" t="s">
        <v>30</v>
      </c>
      <c r="K17729" t="s">
        <v>31</v>
      </c>
      <c r="M17729" t="s">
        <v>36935</v>
      </c>
      <c r="N17729" t="str">
        <f>"10/13/2022 3:24:00 PM"</f>
        <v>10/13/2022 3:24:00 PM</v>
      </c>
      <c r="O17729" t="s">
        <v>54472</v>
      </c>
    </row>
    <row r="17730" spans="1:20" x14ac:dyDescent="0.25">
      <c r="A17730" t="str">
        <f>"3044299"</f>
        <v>3044299</v>
      </c>
      <c r="B17730" t="s">
        <v>54474</v>
      </c>
      <c r="C17730" t="str">
        <f>"8302800"</f>
        <v>8302800</v>
      </c>
      <c r="D17730" t="s">
        <v>54475</v>
      </c>
      <c r="F17730" t="s">
        <v>54476</v>
      </c>
      <c r="I17730" t="s">
        <v>184</v>
      </c>
      <c r="J17730" t="s">
        <v>30</v>
      </c>
      <c r="K17730" t="str">
        <f>"27006"</f>
        <v>27006</v>
      </c>
      <c r="M17730" t="s">
        <v>50793</v>
      </c>
      <c r="N17730" t="str">
        <f>"11/7/2022 11:21:00 AM"</f>
        <v>11/7/2022 11:21:00 AM</v>
      </c>
      <c r="O17730" t="s">
        <v>54475</v>
      </c>
    </row>
    <row r="17731" spans="1:20" x14ac:dyDescent="0.25">
      <c r="A17731" t="str">
        <f>"3053856"</f>
        <v>3053856</v>
      </c>
      <c r="B17731" t="s">
        <v>54477</v>
      </c>
      <c r="C17731" t="str">
        <f>"8318890"</f>
        <v>8318890</v>
      </c>
      <c r="D17731" t="str">
        <f>"WARD CRAIG S/TERESA S CO-TRUSTEES"</f>
        <v>WARD CRAIG S/TERESA S CO-TRUSTEES</v>
      </c>
      <c r="E17731" t="str">
        <f>"WARD CRAIG/TERESA REV LIV TRUS"</f>
        <v>WARD CRAIG/TERESA REV LIV TRUS</v>
      </c>
      <c r="F17731" t="s">
        <v>54478</v>
      </c>
      <c r="I17731" t="s">
        <v>29</v>
      </c>
      <c r="J17731" t="s">
        <v>30</v>
      </c>
      <c r="K17731" t="s">
        <v>42575</v>
      </c>
      <c r="M17731" t="s">
        <v>17861</v>
      </c>
      <c r="N17731" t="str">
        <f>"10/14/2022 1:59:00 PM"</f>
        <v>10/14/2022 1:59:00 PM</v>
      </c>
      <c r="O17731" t="str">
        <f>"WARD CRAIG S/TERESA S CO-TRUSTEES"</f>
        <v>WARD CRAIG S/TERESA S CO-TRUSTEES</v>
      </c>
      <c r="T17731" t="str">
        <f>"WARD CRAIG/TERESA REV LIV TRUS"</f>
        <v>WARD CRAIG/TERESA REV LIV TRUS</v>
      </c>
    </row>
    <row r="17732" spans="1:20" x14ac:dyDescent="0.25">
      <c r="A17732" t="str">
        <f>"3040421"</f>
        <v>3040421</v>
      </c>
      <c r="B17732" t="s">
        <v>54479</v>
      </c>
      <c r="C17732" t="str">
        <f>"82530755"</f>
        <v>82530755</v>
      </c>
      <c r="D17732" t="s">
        <v>54480</v>
      </c>
      <c r="F17732" t="s">
        <v>54481</v>
      </c>
      <c r="G17732" t="s">
        <v>54482</v>
      </c>
      <c r="I17732" t="s">
        <v>2071</v>
      </c>
      <c r="J17732" t="s">
        <v>30</v>
      </c>
      <c r="K17732" t="str">
        <f>"27006"</f>
        <v>27006</v>
      </c>
      <c r="M17732" t="s">
        <v>50621</v>
      </c>
      <c r="N17732" t="str">
        <f>"10/17/2022 10:29:00 AM"</f>
        <v>10/17/2022 10:29:00 AM</v>
      </c>
      <c r="O17732" t="s">
        <v>54480</v>
      </c>
    </row>
    <row r="17733" spans="1:20" x14ac:dyDescent="0.25">
      <c r="A17733" t="str">
        <f>"3044864"</f>
        <v>3044864</v>
      </c>
      <c r="B17733" t="s">
        <v>54483</v>
      </c>
      <c r="C17733" t="str">
        <f>"8318901"</f>
        <v>8318901</v>
      </c>
      <c r="D17733" t="s">
        <v>54484</v>
      </c>
      <c r="E17733" t="s">
        <v>54485</v>
      </c>
      <c r="F17733" t="s">
        <v>54486</v>
      </c>
      <c r="I17733" t="s">
        <v>184</v>
      </c>
      <c r="J17733" t="s">
        <v>30</v>
      </c>
      <c r="K17733" t="s">
        <v>6077</v>
      </c>
      <c r="M17733" t="s">
        <v>17861</v>
      </c>
      <c r="N17733" t="str">
        <f>"10/17/2022 11:48:00 AM"</f>
        <v>10/17/2022 11:48:00 AM</v>
      </c>
      <c r="O17733" t="s">
        <v>54484</v>
      </c>
      <c r="T17733" t="s">
        <v>54485</v>
      </c>
    </row>
    <row r="17734" spans="1:20" x14ac:dyDescent="0.25">
      <c r="A17734" t="str">
        <f>"3077980"</f>
        <v>3077980</v>
      </c>
      <c r="B17734" t="s">
        <v>54487</v>
      </c>
      <c r="C17734" t="str">
        <f>"82523372"</f>
        <v>82523372</v>
      </c>
      <c r="D17734" t="s">
        <v>54488</v>
      </c>
      <c r="E17734" t="s">
        <v>24744</v>
      </c>
      <c r="F17734" t="s">
        <v>24740</v>
      </c>
      <c r="I17734" t="s">
        <v>29</v>
      </c>
      <c r="J17734" t="s">
        <v>30</v>
      </c>
      <c r="K17734" t="s">
        <v>31</v>
      </c>
      <c r="M17734" t="s">
        <v>17861</v>
      </c>
      <c r="N17734" t="str">
        <f>"10/19/2022 10:19:00 AM"</f>
        <v>10/19/2022 10:19:00 AM</v>
      </c>
      <c r="O17734" t="s">
        <v>54488</v>
      </c>
      <c r="T17734" t="s">
        <v>24744</v>
      </c>
    </row>
    <row r="17735" spans="1:20" x14ac:dyDescent="0.25">
      <c r="A17735" t="str">
        <f>"3037271"</f>
        <v>3037271</v>
      </c>
      <c r="B17735" t="s">
        <v>54489</v>
      </c>
      <c r="C17735" t="str">
        <f>"82523314"</f>
        <v>82523314</v>
      </c>
      <c r="D17735" t="s">
        <v>54490</v>
      </c>
      <c r="E17735" t="s">
        <v>54491</v>
      </c>
      <c r="F17735" t="s">
        <v>54492</v>
      </c>
      <c r="I17735" t="s">
        <v>184</v>
      </c>
      <c r="J17735" t="s">
        <v>30</v>
      </c>
      <c r="K17735" t="s">
        <v>734</v>
      </c>
      <c r="M17735" t="s">
        <v>25733</v>
      </c>
      <c r="N17735" t="str">
        <f>"11/8/2022 8:24:00 AM"</f>
        <v>11/8/2022 8:24:00 AM</v>
      </c>
      <c r="O17735" t="s">
        <v>54490</v>
      </c>
      <c r="T17735" t="s">
        <v>54491</v>
      </c>
    </row>
    <row r="17736" spans="1:20" x14ac:dyDescent="0.25">
      <c r="A17736" t="str">
        <f>"3044543"</f>
        <v>3044543</v>
      </c>
      <c r="B17736" t="s">
        <v>54493</v>
      </c>
      <c r="C17736" t="str">
        <f>"8319073"</f>
        <v>8319073</v>
      </c>
      <c r="D17736" t="s">
        <v>54494</v>
      </c>
      <c r="F17736" t="s">
        <v>54495</v>
      </c>
      <c r="I17736" t="s">
        <v>2280</v>
      </c>
      <c r="J17736" t="s">
        <v>30</v>
      </c>
      <c r="K17736" t="s">
        <v>54496</v>
      </c>
      <c r="M17736" t="s">
        <v>17861</v>
      </c>
      <c r="N17736" t="str">
        <f>"11/8/2022 9:06:00 AM"</f>
        <v>11/8/2022 9:06:00 AM</v>
      </c>
      <c r="O17736" t="s">
        <v>54494</v>
      </c>
    </row>
    <row r="17737" spans="1:20" x14ac:dyDescent="0.25">
      <c r="A17737" t="str">
        <f>"3053386"</f>
        <v>3053386</v>
      </c>
      <c r="B17737" t="s">
        <v>54497</v>
      </c>
      <c r="C17737" t="str">
        <f>"8318935"</f>
        <v>8318935</v>
      </c>
      <c r="D17737" t="s">
        <v>54498</v>
      </c>
      <c r="E17737" t="s">
        <v>54499</v>
      </c>
      <c r="F17737" t="s">
        <v>54500</v>
      </c>
      <c r="I17737" t="s">
        <v>29</v>
      </c>
      <c r="J17737" t="s">
        <v>30</v>
      </c>
      <c r="K17737" t="s">
        <v>13624</v>
      </c>
      <c r="M17737" t="s">
        <v>17861</v>
      </c>
      <c r="N17737" t="str">
        <f>"10/20/2022 11:31:00 AM"</f>
        <v>10/20/2022 11:31:00 AM</v>
      </c>
      <c r="O17737" t="s">
        <v>54498</v>
      </c>
      <c r="T17737" t="s">
        <v>54499</v>
      </c>
    </row>
    <row r="17738" spans="1:20" x14ac:dyDescent="0.25">
      <c r="A17738" t="str">
        <f>"3044112"</f>
        <v>3044112</v>
      </c>
      <c r="B17738" t="s">
        <v>54501</v>
      </c>
      <c r="C17738" t="str">
        <f>"8300342"</f>
        <v>8300342</v>
      </c>
      <c r="D17738" t="s">
        <v>54502</v>
      </c>
      <c r="E17738" t="s">
        <v>54503</v>
      </c>
      <c r="F17738" t="s">
        <v>54504</v>
      </c>
      <c r="I17738" t="s">
        <v>184</v>
      </c>
      <c r="J17738" t="s">
        <v>30</v>
      </c>
      <c r="K17738" t="s">
        <v>2834</v>
      </c>
      <c r="M17738" t="s">
        <v>18479</v>
      </c>
      <c r="N17738" t="str">
        <f>"11/8/2022 9:48:00 AM"</f>
        <v>11/8/2022 9:48:00 AM</v>
      </c>
      <c r="O17738" t="s">
        <v>54502</v>
      </c>
      <c r="T17738" t="s">
        <v>54503</v>
      </c>
    </row>
    <row r="17739" spans="1:20" x14ac:dyDescent="0.25">
      <c r="A17739" t="str">
        <f>"3040946"</f>
        <v>3040946</v>
      </c>
      <c r="B17739" t="s">
        <v>54505</v>
      </c>
      <c r="C17739" t="str">
        <f>"8300342"</f>
        <v>8300342</v>
      </c>
      <c r="D17739" t="s">
        <v>54502</v>
      </c>
      <c r="E17739" t="s">
        <v>54503</v>
      </c>
      <c r="F17739" t="s">
        <v>54504</v>
      </c>
      <c r="I17739" t="s">
        <v>184</v>
      </c>
      <c r="J17739" t="s">
        <v>30</v>
      </c>
      <c r="K17739" t="s">
        <v>2834</v>
      </c>
      <c r="M17739" t="s">
        <v>18479</v>
      </c>
      <c r="N17739" t="str">
        <f>"11/8/2022 9:48:00 AM"</f>
        <v>11/8/2022 9:48:00 AM</v>
      </c>
      <c r="O17739" t="s">
        <v>54502</v>
      </c>
      <c r="T17739" t="s">
        <v>54503</v>
      </c>
    </row>
    <row r="17740" spans="1:20" x14ac:dyDescent="0.25">
      <c r="A17740" t="str">
        <f>"3063994"</f>
        <v>3063994</v>
      </c>
      <c r="B17740" t="s">
        <v>54506</v>
      </c>
      <c r="C17740" t="str">
        <f>"8319075"</f>
        <v>8319075</v>
      </c>
      <c r="D17740" t="s">
        <v>54507</v>
      </c>
      <c r="F17740" t="s">
        <v>54504</v>
      </c>
      <c r="I17740" t="s">
        <v>184</v>
      </c>
      <c r="J17740" t="s">
        <v>30</v>
      </c>
      <c r="K17740" t="s">
        <v>2834</v>
      </c>
      <c r="M17740" t="s">
        <v>17861</v>
      </c>
      <c r="N17740" t="str">
        <f>"11/8/2022 9:52:00 AM"</f>
        <v>11/8/2022 9:52:00 AM</v>
      </c>
      <c r="O17740" t="s">
        <v>54507</v>
      </c>
    </row>
    <row r="17741" spans="1:20" x14ac:dyDescent="0.25">
      <c r="A17741" t="str">
        <f>"3077121"</f>
        <v>3077121</v>
      </c>
      <c r="B17741" t="s">
        <v>54508</v>
      </c>
      <c r="C17741" t="str">
        <f>"8319075"</f>
        <v>8319075</v>
      </c>
      <c r="D17741" t="s">
        <v>54507</v>
      </c>
      <c r="F17741" t="s">
        <v>54504</v>
      </c>
      <c r="I17741" t="s">
        <v>184</v>
      </c>
      <c r="J17741" t="s">
        <v>30</v>
      </c>
      <c r="K17741" t="s">
        <v>2834</v>
      </c>
      <c r="M17741" t="s">
        <v>17861</v>
      </c>
      <c r="N17741" t="str">
        <f>"11/8/2022 9:52:00 AM"</f>
        <v>11/8/2022 9:52:00 AM</v>
      </c>
      <c r="O17741" t="s">
        <v>54507</v>
      </c>
    </row>
    <row r="17742" spans="1:20" x14ac:dyDescent="0.25">
      <c r="A17742" t="str">
        <f>"3049415"</f>
        <v>3049415</v>
      </c>
      <c r="B17742" t="s">
        <v>54509</v>
      </c>
      <c r="C17742" t="str">
        <f>"8318940"</f>
        <v>8318940</v>
      </c>
      <c r="D17742" t="s">
        <v>54510</v>
      </c>
      <c r="F17742" t="s">
        <v>54511</v>
      </c>
      <c r="I17742" t="s">
        <v>471</v>
      </c>
      <c r="J17742" t="s">
        <v>30</v>
      </c>
      <c r="K17742" t="s">
        <v>54512</v>
      </c>
      <c r="M17742" t="s">
        <v>17861</v>
      </c>
      <c r="N17742" t="str">
        <f>"10/20/2022 1:08:00 PM"</f>
        <v>10/20/2022 1:08:00 PM</v>
      </c>
      <c r="O17742" t="s">
        <v>54510</v>
      </c>
    </row>
    <row r="17743" spans="1:20" x14ac:dyDescent="0.25">
      <c r="A17743" t="str">
        <f>"3047887"</f>
        <v>3047887</v>
      </c>
      <c r="B17743" t="s">
        <v>54513</v>
      </c>
      <c r="C17743" t="str">
        <f>"8318943"</f>
        <v>8318943</v>
      </c>
      <c r="D17743" t="s">
        <v>54514</v>
      </c>
      <c r="E17743" t="s">
        <v>54515</v>
      </c>
      <c r="F17743" t="s">
        <v>54516</v>
      </c>
      <c r="I17743" t="s">
        <v>24359</v>
      </c>
      <c r="J17743" t="s">
        <v>30</v>
      </c>
      <c r="K17743" t="str">
        <f>"27006"</f>
        <v>27006</v>
      </c>
      <c r="M17743" t="s">
        <v>17861</v>
      </c>
      <c r="N17743" t="str">
        <f>"10/20/2022 1:30:00 PM"</f>
        <v>10/20/2022 1:30:00 PM</v>
      </c>
      <c r="O17743" t="s">
        <v>54514</v>
      </c>
      <c r="T17743" t="s">
        <v>54515</v>
      </c>
    </row>
    <row r="17744" spans="1:20" x14ac:dyDescent="0.25">
      <c r="A17744" t="str">
        <f>"3048109"</f>
        <v>3048109</v>
      </c>
      <c r="B17744" t="s">
        <v>54517</v>
      </c>
      <c r="C17744" t="str">
        <f>"8318944"</f>
        <v>8318944</v>
      </c>
      <c r="D17744" t="s">
        <v>54518</v>
      </c>
      <c r="E17744" t="s">
        <v>54519</v>
      </c>
      <c r="F17744" t="s">
        <v>54520</v>
      </c>
      <c r="I17744" t="s">
        <v>184</v>
      </c>
      <c r="J17744" t="s">
        <v>30</v>
      </c>
      <c r="K17744" t="s">
        <v>9034</v>
      </c>
      <c r="M17744" t="s">
        <v>17861</v>
      </c>
      <c r="N17744" t="str">
        <f>"10/20/2022 1:34:00 PM"</f>
        <v>10/20/2022 1:34:00 PM</v>
      </c>
      <c r="O17744" t="s">
        <v>54518</v>
      </c>
      <c r="T17744" t="s">
        <v>54519</v>
      </c>
    </row>
    <row r="17745" spans="1:20" x14ac:dyDescent="0.25">
      <c r="A17745" t="str">
        <f>"3043801"</f>
        <v>3043801</v>
      </c>
      <c r="B17745" t="s">
        <v>54521</v>
      </c>
      <c r="C17745" t="str">
        <f>"8318956"</f>
        <v>8318956</v>
      </c>
      <c r="D17745" t="s">
        <v>54522</v>
      </c>
      <c r="F17745" t="s">
        <v>54523</v>
      </c>
      <c r="I17745" t="s">
        <v>29</v>
      </c>
      <c r="J17745" t="s">
        <v>30</v>
      </c>
      <c r="K17745" t="s">
        <v>7303</v>
      </c>
      <c r="M17745" t="s">
        <v>17861</v>
      </c>
      <c r="N17745" t="str">
        <f>"10/21/2022 10:40:00 AM"</f>
        <v>10/21/2022 10:40:00 AM</v>
      </c>
      <c r="O17745" t="s">
        <v>54522</v>
      </c>
    </row>
    <row r="17746" spans="1:20" x14ac:dyDescent="0.25">
      <c r="A17746" t="str">
        <f>"3046490"</f>
        <v>3046490</v>
      </c>
      <c r="B17746" t="s">
        <v>54524</v>
      </c>
      <c r="C17746" t="str">
        <f>"8319083"</f>
        <v>8319083</v>
      </c>
      <c r="D17746" t="s">
        <v>54525</v>
      </c>
      <c r="F17746" t="s">
        <v>54526</v>
      </c>
      <c r="I17746" t="s">
        <v>29</v>
      </c>
      <c r="J17746" t="s">
        <v>30</v>
      </c>
      <c r="K17746" t="s">
        <v>54527</v>
      </c>
      <c r="M17746" t="s">
        <v>17861</v>
      </c>
      <c r="N17746" t="str">
        <f>"11/8/2022 11:31:00 AM"</f>
        <v>11/8/2022 11:31:00 AM</v>
      </c>
      <c r="O17746" t="s">
        <v>54525</v>
      </c>
    </row>
    <row r="17747" spans="1:20" x14ac:dyDescent="0.25">
      <c r="A17747" t="str">
        <f>"3046922"</f>
        <v>3046922</v>
      </c>
      <c r="B17747" t="s">
        <v>54528</v>
      </c>
      <c r="C17747" t="str">
        <f>"8319083"</f>
        <v>8319083</v>
      </c>
      <c r="D17747" t="s">
        <v>54525</v>
      </c>
      <c r="F17747" t="s">
        <v>54526</v>
      </c>
      <c r="I17747" t="s">
        <v>29</v>
      </c>
      <c r="J17747" t="s">
        <v>30</v>
      </c>
      <c r="K17747" t="s">
        <v>54527</v>
      </c>
      <c r="M17747" t="s">
        <v>17861</v>
      </c>
      <c r="N17747" t="str">
        <f>"11/8/2022 11:31:00 AM"</f>
        <v>11/8/2022 11:31:00 AM</v>
      </c>
      <c r="O17747" t="s">
        <v>54525</v>
      </c>
    </row>
    <row r="17748" spans="1:20" x14ac:dyDescent="0.25">
      <c r="A17748" t="str">
        <f>"3058741"</f>
        <v>3058741</v>
      </c>
      <c r="B17748" t="s">
        <v>54529</v>
      </c>
      <c r="C17748" t="str">
        <f>"75067000"</f>
        <v>75067000</v>
      </c>
      <c r="D17748" t="s">
        <v>54530</v>
      </c>
      <c r="E17748" t="s">
        <v>54531</v>
      </c>
      <c r="F17748" t="s">
        <v>54532</v>
      </c>
      <c r="I17748" t="s">
        <v>29</v>
      </c>
      <c r="J17748" t="s">
        <v>30</v>
      </c>
      <c r="K17748" t="s">
        <v>11644</v>
      </c>
      <c r="M17748" t="s">
        <v>51351</v>
      </c>
      <c r="N17748" t="str">
        <f>"11/8/2022 11:48:00 AM"</f>
        <v>11/8/2022 11:48:00 AM</v>
      </c>
      <c r="O17748" t="s">
        <v>54530</v>
      </c>
      <c r="T17748" t="s">
        <v>54531</v>
      </c>
    </row>
    <row r="17749" spans="1:20" x14ac:dyDescent="0.25">
      <c r="A17749" t="str">
        <f>"3052474"</f>
        <v>3052474</v>
      </c>
      <c r="B17749" t="s">
        <v>54533</v>
      </c>
      <c r="C17749" t="str">
        <f>"8318960"</f>
        <v>8318960</v>
      </c>
      <c r="D17749" t="s">
        <v>54534</v>
      </c>
      <c r="F17749" t="s">
        <v>54535</v>
      </c>
      <c r="I17749" t="s">
        <v>402</v>
      </c>
      <c r="J17749" t="s">
        <v>30</v>
      </c>
      <c r="K17749" t="s">
        <v>54536</v>
      </c>
      <c r="M17749" t="s">
        <v>17861</v>
      </c>
      <c r="N17749" t="str">
        <f>"10/25/2022 10:37:00 AM"</f>
        <v>10/25/2022 10:37:00 AM</v>
      </c>
      <c r="O17749" t="s">
        <v>54534</v>
      </c>
    </row>
    <row r="17750" spans="1:20" x14ac:dyDescent="0.25">
      <c r="A17750" t="str">
        <f>"3060885"</f>
        <v>3060885</v>
      </c>
      <c r="B17750" t="s">
        <v>54537</v>
      </c>
      <c r="C17750" t="str">
        <f>"8318971"</f>
        <v>8318971</v>
      </c>
      <c r="D17750" t="s">
        <v>54538</v>
      </c>
      <c r="E17750" t="s">
        <v>54539</v>
      </c>
      <c r="F17750" t="s">
        <v>54540</v>
      </c>
      <c r="I17750" t="s">
        <v>2071</v>
      </c>
      <c r="J17750" t="s">
        <v>30</v>
      </c>
      <c r="K17750" t="s">
        <v>41683</v>
      </c>
      <c r="M17750" t="s">
        <v>17861</v>
      </c>
      <c r="N17750" t="str">
        <f>"10/25/2022 12:39:00 PM"</f>
        <v>10/25/2022 12:39:00 PM</v>
      </c>
      <c r="O17750" t="s">
        <v>54538</v>
      </c>
      <c r="T17750" t="s">
        <v>54539</v>
      </c>
    </row>
    <row r="17751" spans="1:20" x14ac:dyDescent="0.25">
      <c r="A17751" t="str">
        <f>"3057045"</f>
        <v>3057045</v>
      </c>
      <c r="B17751" t="s">
        <v>54541</v>
      </c>
      <c r="C17751" t="str">
        <f>"8319092"</f>
        <v>8319092</v>
      </c>
      <c r="D17751" t="s">
        <v>54542</v>
      </c>
      <c r="F17751" t="s">
        <v>54543</v>
      </c>
      <c r="I17751" t="s">
        <v>402</v>
      </c>
      <c r="J17751" t="s">
        <v>30</v>
      </c>
      <c r="K17751" t="s">
        <v>54544</v>
      </c>
      <c r="M17751" t="s">
        <v>17861</v>
      </c>
      <c r="N17751" t="str">
        <f>"11/8/2022 1:38:00 PM"</f>
        <v>11/8/2022 1:38:00 PM</v>
      </c>
      <c r="O17751" t="s">
        <v>54542</v>
      </c>
    </row>
    <row r="17752" spans="1:20" x14ac:dyDescent="0.25">
      <c r="A17752" t="str">
        <f>"3057046"</f>
        <v>3057046</v>
      </c>
      <c r="B17752" t="s">
        <v>54545</v>
      </c>
      <c r="C17752" t="str">
        <f>"8319092"</f>
        <v>8319092</v>
      </c>
      <c r="D17752" t="s">
        <v>54542</v>
      </c>
      <c r="F17752" t="s">
        <v>54543</v>
      </c>
      <c r="I17752" t="s">
        <v>402</v>
      </c>
      <c r="J17752" t="s">
        <v>30</v>
      </c>
      <c r="K17752" t="s">
        <v>54544</v>
      </c>
      <c r="M17752" t="s">
        <v>17861</v>
      </c>
      <c r="N17752" t="str">
        <f>"11/8/2022 1:38:00 PM"</f>
        <v>11/8/2022 1:38:00 PM</v>
      </c>
      <c r="O17752" t="s">
        <v>54542</v>
      </c>
    </row>
    <row r="17753" spans="1:20" x14ac:dyDescent="0.25">
      <c r="A17753" t="str">
        <f>"3052230"</f>
        <v>3052230</v>
      </c>
      <c r="B17753" t="s">
        <v>54546</v>
      </c>
      <c r="C17753" t="str">
        <f>"8319094"</f>
        <v>8319094</v>
      </c>
      <c r="D17753" t="s">
        <v>54547</v>
      </c>
      <c r="F17753" t="s">
        <v>54548</v>
      </c>
      <c r="I17753" t="s">
        <v>54549</v>
      </c>
      <c r="J17753" t="s">
        <v>3737</v>
      </c>
      <c r="K17753" t="s">
        <v>54550</v>
      </c>
      <c r="M17753" t="s">
        <v>17861</v>
      </c>
      <c r="N17753" t="str">
        <f>"11/8/2022 1:45:00 PM"</f>
        <v>11/8/2022 1:45:00 PM</v>
      </c>
      <c r="O17753" t="s">
        <v>54547</v>
      </c>
    </row>
    <row r="17754" spans="1:20" x14ac:dyDescent="0.25">
      <c r="A17754" t="str">
        <f>"3058761"</f>
        <v>3058761</v>
      </c>
      <c r="B17754" t="s">
        <v>54551</v>
      </c>
      <c r="C17754" t="str">
        <f>"8319095"</f>
        <v>8319095</v>
      </c>
      <c r="D17754" t="s">
        <v>54552</v>
      </c>
      <c r="F17754" t="s">
        <v>49454</v>
      </c>
      <c r="I17754" t="s">
        <v>29</v>
      </c>
      <c r="J17754" t="s">
        <v>30</v>
      </c>
      <c r="K17754" t="s">
        <v>11912</v>
      </c>
      <c r="M17754" t="s">
        <v>17861</v>
      </c>
      <c r="N17754" t="str">
        <f>"11/8/2022 1:48:00 PM"</f>
        <v>11/8/2022 1:48:00 PM</v>
      </c>
      <c r="O17754" t="s">
        <v>54552</v>
      </c>
    </row>
    <row r="17755" spans="1:20" x14ac:dyDescent="0.25">
      <c r="A17755" t="str">
        <f>"3041016"</f>
        <v>3041016</v>
      </c>
      <c r="B17755" t="s">
        <v>54553</v>
      </c>
      <c r="C17755" t="str">
        <f>"8319096"</f>
        <v>8319096</v>
      </c>
      <c r="D17755" t="s">
        <v>54554</v>
      </c>
      <c r="F17755" t="s">
        <v>54555</v>
      </c>
      <c r="I17755" t="s">
        <v>184</v>
      </c>
      <c r="J17755" t="s">
        <v>30</v>
      </c>
      <c r="K17755" t="s">
        <v>54556</v>
      </c>
      <c r="M17755" t="s">
        <v>17861</v>
      </c>
      <c r="N17755" t="str">
        <f>"11/8/2022 1:54:00 PM"</f>
        <v>11/8/2022 1:54:00 PM</v>
      </c>
      <c r="O17755" t="s">
        <v>54554</v>
      </c>
    </row>
    <row r="17756" spans="1:20" x14ac:dyDescent="0.25">
      <c r="A17756" t="str">
        <f>"3046285"</f>
        <v>3046285</v>
      </c>
      <c r="B17756" t="s">
        <v>54557</v>
      </c>
      <c r="C17756" t="str">
        <f>"8319097"</f>
        <v>8319097</v>
      </c>
      <c r="D17756" t="s">
        <v>54558</v>
      </c>
      <c r="E17756" t="s">
        <v>54559</v>
      </c>
      <c r="F17756" t="s">
        <v>54560</v>
      </c>
      <c r="I17756" t="s">
        <v>29</v>
      </c>
      <c r="J17756" t="s">
        <v>30</v>
      </c>
      <c r="K17756" t="s">
        <v>20201</v>
      </c>
      <c r="M17756" t="s">
        <v>17861</v>
      </c>
      <c r="N17756" t="str">
        <f>"11/8/2022 1:56:00 PM"</f>
        <v>11/8/2022 1:56:00 PM</v>
      </c>
      <c r="O17756" t="s">
        <v>54558</v>
      </c>
      <c r="T17756" t="s">
        <v>54559</v>
      </c>
    </row>
    <row r="17757" spans="1:20" x14ac:dyDescent="0.25">
      <c r="A17757" t="str">
        <f>"3061419"</f>
        <v>3061419</v>
      </c>
      <c r="B17757" t="s">
        <v>54561</v>
      </c>
      <c r="C17757" t="str">
        <f>"8319098"</f>
        <v>8319098</v>
      </c>
      <c r="D17757" t="s">
        <v>54562</v>
      </c>
      <c r="F17757" t="s">
        <v>54563</v>
      </c>
      <c r="I17757" t="s">
        <v>184</v>
      </c>
      <c r="J17757" t="s">
        <v>30</v>
      </c>
      <c r="K17757" t="s">
        <v>5664</v>
      </c>
      <c r="M17757" t="s">
        <v>17861</v>
      </c>
      <c r="N17757" t="str">
        <f>"11/8/2022 2:06:00 PM"</f>
        <v>11/8/2022 2:06:00 PM</v>
      </c>
      <c r="O17757" t="s">
        <v>54562</v>
      </c>
    </row>
    <row r="17758" spans="1:20" x14ac:dyDescent="0.25">
      <c r="A17758" t="str">
        <f>"3071074"</f>
        <v>3071074</v>
      </c>
      <c r="B17758" t="s">
        <v>54564</v>
      </c>
      <c r="C17758" t="str">
        <f>"8319100"</f>
        <v>8319100</v>
      </c>
      <c r="D17758" t="s">
        <v>19990</v>
      </c>
      <c r="E17758" t="s">
        <v>54565</v>
      </c>
      <c r="F17758" t="s">
        <v>54566</v>
      </c>
      <c r="I17758" t="s">
        <v>19992</v>
      </c>
      <c r="J17758" t="s">
        <v>12725</v>
      </c>
      <c r="K17758" t="s">
        <v>54567</v>
      </c>
      <c r="M17758" t="s">
        <v>17861</v>
      </c>
      <c r="N17758" t="str">
        <f>"11/8/2022 2:14:00 PM"</f>
        <v>11/8/2022 2:14:00 PM</v>
      </c>
      <c r="O17758" t="s">
        <v>19990</v>
      </c>
      <c r="T17758" t="s">
        <v>54565</v>
      </c>
    </row>
    <row r="17759" spans="1:20" x14ac:dyDescent="0.25">
      <c r="A17759" t="str">
        <f>"3064895"</f>
        <v>3064895</v>
      </c>
      <c r="B17759" t="s">
        <v>54568</v>
      </c>
      <c r="C17759" t="str">
        <f>"8319101"</f>
        <v>8319101</v>
      </c>
      <c r="D17759" t="s">
        <v>54569</v>
      </c>
      <c r="E17759" t="s">
        <v>54570</v>
      </c>
      <c r="F17759" t="s">
        <v>54571</v>
      </c>
      <c r="I17759" t="s">
        <v>2071</v>
      </c>
      <c r="J17759" t="s">
        <v>30</v>
      </c>
      <c r="K17759" t="s">
        <v>41320</v>
      </c>
      <c r="M17759" t="s">
        <v>17861</v>
      </c>
      <c r="N17759" t="str">
        <f>"11/8/2022 2:18:00 PM"</f>
        <v>11/8/2022 2:18:00 PM</v>
      </c>
      <c r="O17759" t="s">
        <v>54569</v>
      </c>
      <c r="T17759" t="s">
        <v>54570</v>
      </c>
    </row>
    <row r="17760" spans="1:20" x14ac:dyDescent="0.25">
      <c r="A17760" t="str">
        <f>"3063002"</f>
        <v>3063002</v>
      </c>
      <c r="B17760" t="s">
        <v>54572</v>
      </c>
      <c r="C17760" t="str">
        <f>"8319102"</f>
        <v>8319102</v>
      </c>
      <c r="D17760" t="str">
        <f>"MCBRIDE RAWLEY R III /BAILEY E"</f>
        <v>MCBRIDE RAWLEY R III /BAILEY E</v>
      </c>
      <c r="E17760" t="str">
        <f>"MCBRIDE CYNTHIA/RAWLEY JR"</f>
        <v>MCBRIDE CYNTHIA/RAWLEY JR</v>
      </c>
      <c r="F17760" t="s">
        <v>54573</v>
      </c>
      <c r="I17760" t="s">
        <v>29</v>
      </c>
      <c r="J17760" t="s">
        <v>30</v>
      </c>
      <c r="K17760" t="s">
        <v>36011</v>
      </c>
      <c r="M17760" t="s">
        <v>17861</v>
      </c>
      <c r="N17760" t="str">
        <f>"11/8/2022 2:21:00 PM"</f>
        <v>11/8/2022 2:21:00 PM</v>
      </c>
      <c r="O17760" t="str">
        <f>"MCBRIDE RAWLEY R III /BAILEY E"</f>
        <v>MCBRIDE RAWLEY R III /BAILEY E</v>
      </c>
      <c r="T17760" t="str">
        <f>"MCBRIDE CYNTHIA/RAWLEY JR"</f>
        <v>MCBRIDE CYNTHIA/RAWLEY JR</v>
      </c>
    </row>
    <row r="17761" spans="1:20" x14ac:dyDescent="0.25">
      <c r="A17761" t="str">
        <f>"3055920"</f>
        <v>3055920</v>
      </c>
      <c r="B17761" t="s">
        <v>54574</v>
      </c>
      <c r="C17761" t="str">
        <f>"8319105"</f>
        <v>8319105</v>
      </c>
      <c r="D17761" t="s">
        <v>54575</v>
      </c>
      <c r="F17761" t="s">
        <v>54576</v>
      </c>
      <c r="I17761" t="s">
        <v>54577</v>
      </c>
      <c r="J17761" t="s">
        <v>11697</v>
      </c>
      <c r="K17761" t="s">
        <v>54578</v>
      </c>
      <c r="M17761" t="s">
        <v>17861</v>
      </c>
      <c r="N17761" t="str">
        <f>"11/8/2022 2:32:00 PM"</f>
        <v>11/8/2022 2:32:00 PM</v>
      </c>
      <c r="O17761" t="s">
        <v>54575</v>
      </c>
    </row>
    <row r="17762" spans="1:20" x14ac:dyDescent="0.25">
      <c r="A17762" t="str">
        <f>"3059184"</f>
        <v>3059184</v>
      </c>
      <c r="B17762" t="s">
        <v>54579</v>
      </c>
      <c r="C17762" t="str">
        <f>"8318972"</f>
        <v>8318972</v>
      </c>
      <c r="D17762" t="s">
        <v>54580</v>
      </c>
      <c r="F17762" t="s">
        <v>239</v>
      </c>
      <c r="I17762" t="s">
        <v>9580</v>
      </c>
      <c r="J17762" t="s">
        <v>30</v>
      </c>
      <c r="K17762" t="s">
        <v>54581</v>
      </c>
      <c r="M17762" t="s">
        <v>17861</v>
      </c>
      <c r="N17762" t="str">
        <f>"10/25/2022 12:43:00 PM"</f>
        <v>10/25/2022 12:43:00 PM</v>
      </c>
      <c r="O17762" t="s">
        <v>54580</v>
      </c>
    </row>
    <row r="17763" spans="1:20" x14ac:dyDescent="0.25">
      <c r="A17763" t="str">
        <f>"3047980"</f>
        <v>3047980</v>
      </c>
      <c r="B17763" t="s">
        <v>54582</v>
      </c>
      <c r="C17763" t="str">
        <f>"8318973"</f>
        <v>8318973</v>
      </c>
      <c r="D17763" t="s">
        <v>7658</v>
      </c>
      <c r="F17763" t="s">
        <v>54583</v>
      </c>
      <c r="I17763" t="s">
        <v>184</v>
      </c>
      <c r="J17763" t="s">
        <v>30</v>
      </c>
      <c r="K17763" t="s">
        <v>43381</v>
      </c>
      <c r="M17763" t="s">
        <v>17861</v>
      </c>
      <c r="N17763" t="str">
        <f>"10/25/2022 12:49:00 PM"</f>
        <v>10/25/2022 12:49:00 PM</v>
      </c>
      <c r="O17763" t="s">
        <v>7658</v>
      </c>
    </row>
    <row r="17764" spans="1:20" x14ac:dyDescent="0.25">
      <c r="A17764" t="str">
        <f>"3056545"</f>
        <v>3056545</v>
      </c>
      <c r="B17764" t="s">
        <v>54584</v>
      </c>
      <c r="C17764" t="str">
        <f>"37237130"</f>
        <v>37237130</v>
      </c>
      <c r="D17764" t="s">
        <v>54585</v>
      </c>
      <c r="F17764" t="s">
        <v>54586</v>
      </c>
      <c r="I17764" t="s">
        <v>17921</v>
      </c>
      <c r="J17764" t="s">
        <v>30</v>
      </c>
      <c r="K17764" t="str">
        <f>"27028"</f>
        <v>27028</v>
      </c>
      <c r="M17764" t="s">
        <v>51351</v>
      </c>
      <c r="N17764" t="str">
        <f>"10/28/2022 10:38:00 AM"</f>
        <v>10/28/2022 10:38:00 AM</v>
      </c>
      <c r="O17764" t="s">
        <v>54585</v>
      </c>
    </row>
    <row r="17765" spans="1:20" x14ac:dyDescent="0.25">
      <c r="A17765" t="str">
        <f>"3050147"</f>
        <v>3050147</v>
      </c>
      <c r="B17765" t="s">
        <v>54587</v>
      </c>
      <c r="C17765" t="str">
        <f>"8319110"</f>
        <v>8319110</v>
      </c>
      <c r="D17765" t="s">
        <v>54588</v>
      </c>
      <c r="F17765" t="s">
        <v>54589</v>
      </c>
      <c r="I17765" t="s">
        <v>29</v>
      </c>
      <c r="J17765" t="s">
        <v>30</v>
      </c>
      <c r="K17765" t="s">
        <v>13030</v>
      </c>
      <c r="M17765" t="s">
        <v>17861</v>
      </c>
      <c r="N17765" t="str">
        <f>"11/9/2022 9:33:00 AM"</f>
        <v>11/9/2022 9:33:00 AM</v>
      </c>
      <c r="O17765" t="s">
        <v>54588</v>
      </c>
    </row>
    <row r="17766" spans="1:20" x14ac:dyDescent="0.25">
      <c r="A17766" t="str">
        <f>"3046731"</f>
        <v>3046731</v>
      </c>
      <c r="B17766" t="s">
        <v>54590</v>
      </c>
      <c r="C17766" t="str">
        <f>"8319111"</f>
        <v>8319111</v>
      </c>
      <c r="D17766" t="s">
        <v>54591</v>
      </c>
      <c r="E17766" t="s">
        <v>54592</v>
      </c>
      <c r="F17766" t="s">
        <v>54593</v>
      </c>
      <c r="I17766" t="s">
        <v>184</v>
      </c>
      <c r="J17766" t="s">
        <v>30</v>
      </c>
      <c r="K17766" t="s">
        <v>37486</v>
      </c>
      <c r="M17766" t="s">
        <v>17861</v>
      </c>
      <c r="N17766" t="str">
        <f>"11/9/2022 9:36:00 AM"</f>
        <v>11/9/2022 9:36:00 AM</v>
      </c>
      <c r="O17766" t="s">
        <v>54591</v>
      </c>
      <c r="T17766" t="s">
        <v>54592</v>
      </c>
    </row>
    <row r="17767" spans="1:20" x14ac:dyDescent="0.25">
      <c r="A17767" t="str">
        <f>"3055811"</f>
        <v>3055811</v>
      </c>
      <c r="B17767" t="s">
        <v>54594</v>
      </c>
      <c r="C17767" t="str">
        <f>"8314835"</f>
        <v>8314835</v>
      </c>
      <c r="D17767" t="s">
        <v>54595</v>
      </c>
      <c r="E17767" t="s">
        <v>54596</v>
      </c>
      <c r="F17767" t="s">
        <v>54597</v>
      </c>
      <c r="I17767" t="s">
        <v>9580</v>
      </c>
      <c r="J17767" t="s">
        <v>30</v>
      </c>
      <c r="K17767" t="s">
        <v>54598</v>
      </c>
      <c r="M17767" t="s">
        <v>17861</v>
      </c>
      <c r="N17767" t="str">
        <f>"11/9/2022 10:11:00 AM"</f>
        <v>11/9/2022 10:11:00 AM</v>
      </c>
      <c r="O17767" t="s">
        <v>54595</v>
      </c>
      <c r="T17767" t="s">
        <v>54596</v>
      </c>
    </row>
    <row r="17768" spans="1:20" x14ac:dyDescent="0.25">
      <c r="A17768" t="str">
        <f>"3061234"</f>
        <v>3061234</v>
      </c>
      <c r="B17768" t="s">
        <v>54599</v>
      </c>
      <c r="C17768" t="str">
        <f>"8319112"</f>
        <v>8319112</v>
      </c>
      <c r="D17768" t="s">
        <v>54600</v>
      </c>
      <c r="F17768" t="s">
        <v>54601</v>
      </c>
      <c r="I17768" t="s">
        <v>2071</v>
      </c>
      <c r="J17768" t="s">
        <v>30</v>
      </c>
      <c r="K17768" t="s">
        <v>46366</v>
      </c>
      <c r="M17768" t="s">
        <v>17861</v>
      </c>
      <c r="N17768" t="str">
        <f>"11/9/2022 10:14:00 AM"</f>
        <v>11/9/2022 10:14:00 AM</v>
      </c>
      <c r="O17768" t="s">
        <v>54600</v>
      </c>
    </row>
    <row r="17769" spans="1:20" x14ac:dyDescent="0.25">
      <c r="A17769" t="str">
        <f>"3059771"</f>
        <v>3059771</v>
      </c>
      <c r="B17769" t="s">
        <v>54602</v>
      </c>
      <c r="C17769" t="str">
        <f>"8319114"</f>
        <v>8319114</v>
      </c>
      <c r="D17769" t="s">
        <v>54603</v>
      </c>
      <c r="E17769" t="s">
        <v>54604</v>
      </c>
      <c r="F17769" t="s">
        <v>54605</v>
      </c>
      <c r="I17769" t="s">
        <v>29</v>
      </c>
      <c r="J17769" t="s">
        <v>30</v>
      </c>
      <c r="K17769" t="s">
        <v>9871</v>
      </c>
      <c r="M17769" t="s">
        <v>17861</v>
      </c>
      <c r="N17769" t="str">
        <f>"11/9/2022 10:29:00 AM"</f>
        <v>11/9/2022 10:29:00 AM</v>
      </c>
      <c r="O17769" t="s">
        <v>54603</v>
      </c>
      <c r="T17769" t="s">
        <v>54604</v>
      </c>
    </row>
    <row r="17770" spans="1:20" x14ac:dyDescent="0.25">
      <c r="A17770" t="str">
        <f>"3043922"</f>
        <v>3043922</v>
      </c>
      <c r="B17770" t="s">
        <v>54606</v>
      </c>
      <c r="C17770" t="str">
        <f>"8319117"</f>
        <v>8319117</v>
      </c>
      <c r="D17770" t="s">
        <v>40842</v>
      </c>
      <c r="E17770" t="s">
        <v>54607</v>
      </c>
      <c r="F17770" t="s">
        <v>54608</v>
      </c>
      <c r="I17770" t="s">
        <v>184</v>
      </c>
      <c r="J17770" t="s">
        <v>30</v>
      </c>
      <c r="K17770" t="s">
        <v>25712</v>
      </c>
      <c r="M17770" t="s">
        <v>17861</v>
      </c>
      <c r="N17770" t="str">
        <f>"11/9/2022 11:03:00 AM"</f>
        <v>11/9/2022 11:03:00 AM</v>
      </c>
      <c r="O17770" t="s">
        <v>40842</v>
      </c>
      <c r="T17770" t="s">
        <v>54607</v>
      </c>
    </row>
    <row r="17771" spans="1:20" x14ac:dyDescent="0.25">
      <c r="A17771" t="str">
        <f>"3058423"</f>
        <v>3058423</v>
      </c>
      <c r="B17771" t="s">
        <v>54609</v>
      </c>
      <c r="C17771" t="str">
        <f>"8319118"</f>
        <v>8319118</v>
      </c>
      <c r="D17771" t="s">
        <v>54610</v>
      </c>
      <c r="F17771" t="s">
        <v>54611</v>
      </c>
      <c r="I17771" t="s">
        <v>29</v>
      </c>
      <c r="J17771" t="s">
        <v>30</v>
      </c>
      <c r="K17771" t="s">
        <v>53637</v>
      </c>
      <c r="M17771" t="s">
        <v>17861</v>
      </c>
      <c r="N17771" t="str">
        <f>"11/9/2022 11:10:00 AM"</f>
        <v>11/9/2022 11:10:00 AM</v>
      </c>
      <c r="O17771" t="s">
        <v>54610</v>
      </c>
    </row>
    <row r="17772" spans="1:20" x14ac:dyDescent="0.25">
      <c r="A17772" t="str">
        <f>"3060699"</f>
        <v>3060699</v>
      </c>
      <c r="B17772" t="s">
        <v>54612</v>
      </c>
      <c r="C17772" t="str">
        <f>"8318996"</f>
        <v>8318996</v>
      </c>
      <c r="D17772" t="s">
        <v>54613</v>
      </c>
      <c r="E17772" t="s">
        <v>54614</v>
      </c>
      <c r="F17772" t="s">
        <v>54615</v>
      </c>
      <c r="I17772" t="s">
        <v>2071</v>
      </c>
      <c r="J17772" t="s">
        <v>30</v>
      </c>
      <c r="K17772" t="s">
        <v>6342</v>
      </c>
      <c r="M17772" t="s">
        <v>17861</v>
      </c>
      <c r="N17772" t="str">
        <f>"10/28/2022 3:35:00 PM"</f>
        <v>10/28/2022 3:35:00 PM</v>
      </c>
      <c r="O17772" t="s">
        <v>54613</v>
      </c>
      <c r="T17772" t="s">
        <v>54614</v>
      </c>
    </row>
    <row r="17773" spans="1:20" x14ac:dyDescent="0.25">
      <c r="A17773" t="str">
        <f>"3064088"</f>
        <v>3064088</v>
      </c>
      <c r="B17773" t="s">
        <v>54616</v>
      </c>
      <c r="C17773" t="str">
        <f>"8318997"</f>
        <v>8318997</v>
      </c>
      <c r="D17773" t="s">
        <v>54617</v>
      </c>
      <c r="E17773" t="s">
        <v>54618</v>
      </c>
      <c r="F17773" t="s">
        <v>54619</v>
      </c>
      <c r="I17773" t="s">
        <v>184</v>
      </c>
      <c r="J17773" t="s">
        <v>30</v>
      </c>
      <c r="K17773" t="s">
        <v>39923</v>
      </c>
      <c r="M17773" t="s">
        <v>17861</v>
      </c>
      <c r="N17773" t="str">
        <f>"10/28/2022 3:38:00 PM"</f>
        <v>10/28/2022 3:38:00 PM</v>
      </c>
      <c r="O17773" t="s">
        <v>54617</v>
      </c>
      <c r="T17773" t="s">
        <v>54618</v>
      </c>
    </row>
    <row r="17774" spans="1:20" x14ac:dyDescent="0.25">
      <c r="A17774" t="str">
        <f>"3045440"</f>
        <v>3045440</v>
      </c>
      <c r="B17774" t="s">
        <v>54620</v>
      </c>
      <c r="C17774" t="str">
        <f>"8318755"</f>
        <v>8318755</v>
      </c>
      <c r="D17774" t="s">
        <v>54402</v>
      </c>
      <c r="F17774" t="s">
        <v>54403</v>
      </c>
      <c r="I17774" t="s">
        <v>1149</v>
      </c>
      <c r="J17774" t="s">
        <v>30</v>
      </c>
      <c r="K17774" t="str">
        <f>"28634"</f>
        <v>28634</v>
      </c>
      <c r="M17774" t="s">
        <v>33845</v>
      </c>
      <c r="N17774" t="str">
        <f>"10/31/2022 10:16:00 AM"</f>
        <v>10/31/2022 10:16:00 AM</v>
      </c>
      <c r="O17774" t="s">
        <v>54402</v>
      </c>
    </row>
    <row r="17775" spans="1:20" x14ac:dyDescent="0.25">
      <c r="A17775" t="str">
        <f>"3057246"</f>
        <v>3057246</v>
      </c>
      <c r="B17775" t="s">
        <v>54621</v>
      </c>
      <c r="C17775" t="str">
        <f>"8319008"</f>
        <v>8319008</v>
      </c>
      <c r="D17775" t="s">
        <v>54420</v>
      </c>
      <c r="F17775" t="s">
        <v>54421</v>
      </c>
      <c r="I17775" t="s">
        <v>471</v>
      </c>
      <c r="J17775" t="s">
        <v>30</v>
      </c>
      <c r="K17775" t="s">
        <v>54422</v>
      </c>
      <c r="M17775" t="s">
        <v>17861</v>
      </c>
      <c r="N17775" t="str">
        <f>"10/31/2022 1:17:00 PM"</f>
        <v>10/31/2022 1:17:00 PM</v>
      </c>
      <c r="O17775" t="s">
        <v>54420</v>
      </c>
    </row>
    <row r="17776" spans="1:20" x14ac:dyDescent="0.25">
      <c r="A17776" t="str">
        <f>"3053715"</f>
        <v>3053715</v>
      </c>
      <c r="B17776" t="s">
        <v>54622</v>
      </c>
      <c r="C17776" t="str">
        <f>"82516378"</f>
        <v>82516378</v>
      </c>
      <c r="D17776" t="s">
        <v>54623</v>
      </c>
      <c r="E17776" t="s">
        <v>54624</v>
      </c>
      <c r="F17776" t="s">
        <v>54625</v>
      </c>
      <c r="I17776" t="s">
        <v>184</v>
      </c>
      <c r="J17776" t="s">
        <v>30</v>
      </c>
      <c r="K17776" t="s">
        <v>54626</v>
      </c>
      <c r="M17776" t="s">
        <v>52111</v>
      </c>
      <c r="N17776" t="str">
        <f>"11/2/2022 4:37:00 PM"</f>
        <v>11/2/2022 4:37:00 PM</v>
      </c>
      <c r="O17776" t="s">
        <v>54623</v>
      </c>
      <c r="T17776" t="s">
        <v>54624</v>
      </c>
    </row>
    <row r="17777" spans="1:20" x14ac:dyDescent="0.25">
      <c r="A17777" t="str">
        <f>"3069402"</f>
        <v>3069402</v>
      </c>
      <c r="B17777" t="s">
        <v>54627</v>
      </c>
      <c r="C17777" t="str">
        <f>"14974650"</f>
        <v>14974650</v>
      </c>
      <c r="D17777" t="s">
        <v>54628</v>
      </c>
      <c r="F17777" t="s">
        <v>34764</v>
      </c>
      <c r="I17777" t="s">
        <v>29</v>
      </c>
      <c r="J17777" t="s">
        <v>30</v>
      </c>
      <c r="K17777" t="s">
        <v>26737</v>
      </c>
      <c r="M17777" t="s">
        <v>50793</v>
      </c>
      <c r="N17777" t="str">
        <f>"11/3/2022 10:23:00 AM"</f>
        <v>11/3/2022 10:23:00 AM</v>
      </c>
      <c r="O17777" t="s">
        <v>54628</v>
      </c>
    </row>
    <row r="17778" spans="1:20" x14ac:dyDescent="0.25">
      <c r="A17778" t="str">
        <f>"3051428"</f>
        <v>3051428</v>
      </c>
      <c r="B17778" t="s">
        <v>54629</v>
      </c>
      <c r="C17778" t="str">
        <f>"79572000"</f>
        <v>79572000</v>
      </c>
      <c r="D17778" t="s">
        <v>54630</v>
      </c>
      <c r="F17778" t="s">
        <v>54631</v>
      </c>
      <c r="I17778" t="s">
        <v>29</v>
      </c>
      <c r="J17778" t="s">
        <v>30</v>
      </c>
      <c r="K17778" t="s">
        <v>14234</v>
      </c>
      <c r="M17778" t="s">
        <v>52111</v>
      </c>
      <c r="N17778" t="str">
        <f>"11/4/2022 3:18:00 PM"</f>
        <v>11/4/2022 3:18:00 PM</v>
      </c>
      <c r="O17778" t="s">
        <v>54630</v>
      </c>
    </row>
    <row r="17779" spans="1:20" x14ac:dyDescent="0.25">
      <c r="A17779" t="str">
        <f>"3039185"</f>
        <v>3039185</v>
      </c>
      <c r="B17779" t="s">
        <v>54632</v>
      </c>
      <c r="C17779" t="str">
        <f>"8318888"</f>
        <v>8318888</v>
      </c>
      <c r="D17779" t="s">
        <v>54633</v>
      </c>
      <c r="F17779" t="s">
        <v>54634</v>
      </c>
      <c r="I17779" t="s">
        <v>29</v>
      </c>
      <c r="J17779" t="s">
        <v>30</v>
      </c>
      <c r="K17779" t="s">
        <v>2569</v>
      </c>
      <c r="M17779" t="s">
        <v>17861</v>
      </c>
      <c r="N17779" t="str">
        <f>"10/13/2022 1:47:00 PM"</f>
        <v>10/13/2022 1:47:00 PM</v>
      </c>
      <c r="O17779" t="s">
        <v>54633</v>
      </c>
    </row>
    <row r="17780" spans="1:20" x14ac:dyDescent="0.25">
      <c r="A17780" t="str">
        <f>"3058791"</f>
        <v>3058791</v>
      </c>
      <c r="B17780" t="s">
        <v>54635</v>
      </c>
      <c r="C17780" t="str">
        <f>"8319134"</f>
        <v>8319134</v>
      </c>
      <c r="D17780" t="s">
        <v>54636</v>
      </c>
      <c r="F17780" t="s">
        <v>54637</v>
      </c>
      <c r="I17780" t="s">
        <v>29</v>
      </c>
      <c r="J17780" t="s">
        <v>30</v>
      </c>
      <c r="K17780" t="s">
        <v>40174</v>
      </c>
      <c r="M17780" t="s">
        <v>17861</v>
      </c>
      <c r="N17780" t="str">
        <f>"11/14/2022 9:14:00 AM"</f>
        <v>11/14/2022 9:14:00 AM</v>
      </c>
      <c r="O17780" t="s">
        <v>54636</v>
      </c>
    </row>
    <row r="17781" spans="1:20" x14ac:dyDescent="0.25">
      <c r="A17781" t="str">
        <f>"3054853"</f>
        <v>3054853</v>
      </c>
      <c r="B17781" t="s">
        <v>54638</v>
      </c>
      <c r="C17781" t="str">
        <f>"64118400"</f>
        <v>64118400</v>
      </c>
      <c r="D17781" t="s">
        <v>54472</v>
      </c>
      <c r="F17781" t="s">
        <v>54473</v>
      </c>
      <c r="I17781" t="s">
        <v>29</v>
      </c>
      <c r="J17781" t="s">
        <v>30</v>
      </c>
      <c r="K17781" t="s">
        <v>31</v>
      </c>
      <c r="M17781" t="s">
        <v>36935</v>
      </c>
      <c r="N17781" t="str">
        <f>"10/13/2022 3:24:00 PM"</f>
        <v>10/13/2022 3:24:00 PM</v>
      </c>
      <c r="O17781" t="s">
        <v>54472</v>
      </c>
    </row>
    <row r="17782" spans="1:20" x14ac:dyDescent="0.25">
      <c r="A17782" t="str">
        <f>"3049040"</f>
        <v>3049040</v>
      </c>
      <c r="B17782" t="s">
        <v>54639</v>
      </c>
      <c r="C17782" t="str">
        <f>"40358600"</f>
        <v>40358600</v>
      </c>
      <c r="D17782" t="s">
        <v>54640</v>
      </c>
      <c r="E17782" t="s">
        <v>54641</v>
      </c>
      <c r="F17782" t="s">
        <v>54642</v>
      </c>
      <c r="I17782" t="s">
        <v>29</v>
      </c>
      <c r="J17782" t="s">
        <v>30</v>
      </c>
      <c r="K17782" t="s">
        <v>10301</v>
      </c>
      <c r="M17782" t="s">
        <v>25733</v>
      </c>
      <c r="N17782" t="str">
        <f>"11/7/2022 1:58:00 PM"</f>
        <v>11/7/2022 1:58:00 PM</v>
      </c>
      <c r="O17782" t="s">
        <v>54640</v>
      </c>
      <c r="T17782" t="s">
        <v>54641</v>
      </c>
    </row>
    <row r="17783" spans="1:20" x14ac:dyDescent="0.25">
      <c r="A17783" t="str">
        <f>"3063001"</f>
        <v>3063001</v>
      </c>
      <c r="B17783" t="s">
        <v>54643</v>
      </c>
      <c r="C17783" t="str">
        <f>"8319139"</f>
        <v>8319139</v>
      </c>
      <c r="D17783" t="s">
        <v>54644</v>
      </c>
      <c r="F17783" t="s">
        <v>54645</v>
      </c>
      <c r="I17783" t="s">
        <v>29</v>
      </c>
      <c r="J17783" t="s">
        <v>30</v>
      </c>
      <c r="K17783" t="s">
        <v>54646</v>
      </c>
      <c r="M17783" t="s">
        <v>17861</v>
      </c>
      <c r="N17783" t="str">
        <f>"11/14/2022 9:53:00 AM"</f>
        <v>11/14/2022 9:53:00 AM</v>
      </c>
      <c r="O17783" t="s">
        <v>54644</v>
      </c>
    </row>
    <row r="17784" spans="1:20" x14ac:dyDescent="0.25">
      <c r="A17784" t="str">
        <f>"3052122"</f>
        <v>3052122</v>
      </c>
      <c r="B17784" t="s">
        <v>54647</v>
      </c>
      <c r="C17784" t="str">
        <f>"8319141"</f>
        <v>8319141</v>
      </c>
      <c r="D17784" t="s">
        <v>54648</v>
      </c>
      <c r="E17784" t="s">
        <v>54649</v>
      </c>
      <c r="F17784" t="s">
        <v>54650</v>
      </c>
      <c r="I17784" t="s">
        <v>29</v>
      </c>
      <c r="J17784" t="s">
        <v>30</v>
      </c>
      <c r="K17784" t="s">
        <v>54651</v>
      </c>
      <c r="M17784" t="s">
        <v>17861</v>
      </c>
      <c r="N17784" t="str">
        <f>"11/14/2022 10:05:00 AM"</f>
        <v>11/14/2022 10:05:00 AM</v>
      </c>
      <c r="O17784" t="s">
        <v>54648</v>
      </c>
      <c r="T17784" t="s">
        <v>54649</v>
      </c>
    </row>
    <row r="17785" spans="1:20" x14ac:dyDescent="0.25">
      <c r="A17785" t="str">
        <f>"3077083"</f>
        <v>3077083</v>
      </c>
      <c r="B17785" t="s">
        <v>54652</v>
      </c>
      <c r="C17785" t="str">
        <f>"8319143"</f>
        <v>8319143</v>
      </c>
      <c r="D17785" t="s">
        <v>54653</v>
      </c>
      <c r="F17785" t="s">
        <v>54654</v>
      </c>
      <c r="I17785" t="s">
        <v>184</v>
      </c>
      <c r="J17785" t="s">
        <v>30</v>
      </c>
      <c r="K17785" t="s">
        <v>54655</v>
      </c>
      <c r="M17785" t="s">
        <v>17861</v>
      </c>
      <c r="N17785" t="str">
        <f>"11/14/2022 10:13:00 AM"</f>
        <v>11/14/2022 10:13:00 AM</v>
      </c>
      <c r="O17785" t="s">
        <v>54653</v>
      </c>
    </row>
    <row r="17786" spans="1:20" x14ac:dyDescent="0.25">
      <c r="A17786" t="str">
        <f>"3062435"</f>
        <v>3062435</v>
      </c>
      <c r="B17786" t="s">
        <v>54656</v>
      </c>
      <c r="C17786" t="str">
        <f>"8319144"</f>
        <v>8319144</v>
      </c>
      <c r="D17786" t="s">
        <v>54657</v>
      </c>
      <c r="F17786" t="s">
        <v>54658</v>
      </c>
      <c r="I17786" t="s">
        <v>2071</v>
      </c>
      <c r="J17786" t="s">
        <v>30</v>
      </c>
      <c r="K17786" t="s">
        <v>52021</v>
      </c>
      <c r="M17786" t="s">
        <v>17861</v>
      </c>
      <c r="N17786" t="str">
        <f>"11/14/2022 10:26:00 AM"</f>
        <v>11/14/2022 10:26:00 AM</v>
      </c>
      <c r="O17786" t="s">
        <v>54657</v>
      </c>
    </row>
    <row r="17787" spans="1:20" x14ac:dyDescent="0.25">
      <c r="A17787" t="str">
        <f>"3052899"</f>
        <v>3052899</v>
      </c>
      <c r="B17787" t="s">
        <v>54659</v>
      </c>
      <c r="C17787" t="str">
        <f>"8319145"</f>
        <v>8319145</v>
      </c>
      <c r="D17787" t="s">
        <v>54660</v>
      </c>
      <c r="F17787" t="s">
        <v>54661</v>
      </c>
      <c r="I17787" t="s">
        <v>29</v>
      </c>
      <c r="J17787" t="s">
        <v>30</v>
      </c>
      <c r="K17787" t="s">
        <v>23689</v>
      </c>
      <c r="M17787" t="s">
        <v>17861</v>
      </c>
      <c r="N17787" t="str">
        <f>"11/14/2022 10:32:00 AM"</f>
        <v>11/14/2022 10:32:00 AM</v>
      </c>
      <c r="O17787" t="s">
        <v>54660</v>
      </c>
    </row>
    <row r="17788" spans="1:20" x14ac:dyDescent="0.25">
      <c r="A17788" t="str">
        <f>"3046890"</f>
        <v>3046890</v>
      </c>
      <c r="B17788" t="s">
        <v>54662</v>
      </c>
      <c r="C17788" t="str">
        <f>"8319146"</f>
        <v>8319146</v>
      </c>
      <c r="D17788" t="s">
        <v>54663</v>
      </c>
      <c r="F17788" t="s">
        <v>54664</v>
      </c>
      <c r="I17788" t="s">
        <v>184</v>
      </c>
      <c r="J17788" t="s">
        <v>30</v>
      </c>
      <c r="K17788" t="s">
        <v>54665</v>
      </c>
      <c r="M17788" t="s">
        <v>17861</v>
      </c>
      <c r="N17788" t="str">
        <f>"11/14/2022 12:11:00 PM"</f>
        <v>11/14/2022 12:11:00 PM</v>
      </c>
      <c r="O17788" t="s">
        <v>54663</v>
      </c>
    </row>
    <row r="17789" spans="1:20" x14ac:dyDescent="0.25">
      <c r="A17789" t="str">
        <f>"3058202"</f>
        <v>3058202</v>
      </c>
      <c r="B17789" t="s">
        <v>54666</v>
      </c>
      <c r="C17789" t="str">
        <f>"8319146"</f>
        <v>8319146</v>
      </c>
      <c r="D17789" t="s">
        <v>54663</v>
      </c>
      <c r="F17789" t="s">
        <v>54664</v>
      </c>
      <c r="I17789" t="s">
        <v>184</v>
      </c>
      <c r="J17789" t="s">
        <v>30</v>
      </c>
      <c r="K17789" t="s">
        <v>54665</v>
      </c>
      <c r="M17789" t="s">
        <v>17861</v>
      </c>
      <c r="N17789" t="str">
        <f>"11/14/2022 12:11:00 PM"</f>
        <v>11/14/2022 12:11:00 PM</v>
      </c>
      <c r="O17789" t="s">
        <v>54663</v>
      </c>
    </row>
    <row r="17790" spans="1:20" x14ac:dyDescent="0.25">
      <c r="A17790" t="str">
        <f>"3059982"</f>
        <v>3059982</v>
      </c>
      <c r="B17790" t="s">
        <v>54667</v>
      </c>
      <c r="C17790" t="str">
        <f>"8319146"</f>
        <v>8319146</v>
      </c>
      <c r="D17790" t="s">
        <v>54663</v>
      </c>
      <c r="F17790" t="s">
        <v>54664</v>
      </c>
      <c r="I17790" t="s">
        <v>184</v>
      </c>
      <c r="J17790" t="s">
        <v>30</v>
      </c>
      <c r="K17790" t="s">
        <v>54665</v>
      </c>
      <c r="M17790" t="s">
        <v>17861</v>
      </c>
      <c r="N17790" t="str">
        <f>"11/14/2022 12:11:00 PM"</f>
        <v>11/14/2022 12:11:00 PM</v>
      </c>
      <c r="O17790" t="s">
        <v>54663</v>
      </c>
    </row>
    <row r="17791" spans="1:20" x14ac:dyDescent="0.25">
      <c r="A17791" t="str">
        <f>"3060183"</f>
        <v>3060183</v>
      </c>
      <c r="B17791" t="s">
        <v>54668</v>
      </c>
      <c r="C17791" t="str">
        <f>"8319147"</f>
        <v>8319147</v>
      </c>
      <c r="D17791" t="s">
        <v>54669</v>
      </c>
      <c r="E17791" t="s">
        <v>54670</v>
      </c>
      <c r="F17791" t="s">
        <v>54671</v>
      </c>
      <c r="I17791" t="s">
        <v>184</v>
      </c>
      <c r="J17791" t="s">
        <v>30</v>
      </c>
      <c r="K17791" t="s">
        <v>47887</v>
      </c>
      <c r="M17791" t="s">
        <v>17861</v>
      </c>
      <c r="N17791" t="str">
        <f>"11/15/2022 9:48:00 AM"</f>
        <v>11/15/2022 9:48:00 AM</v>
      </c>
      <c r="O17791" t="s">
        <v>54669</v>
      </c>
      <c r="T17791" t="s">
        <v>54670</v>
      </c>
    </row>
    <row r="17792" spans="1:20" x14ac:dyDescent="0.25">
      <c r="A17792" t="str">
        <f>"3045022"</f>
        <v>3045022</v>
      </c>
      <c r="B17792" t="s">
        <v>54672</v>
      </c>
      <c r="C17792" t="str">
        <f>"82523314"</f>
        <v>82523314</v>
      </c>
      <c r="D17792" t="s">
        <v>54490</v>
      </c>
      <c r="E17792" t="s">
        <v>54491</v>
      </c>
      <c r="F17792" t="s">
        <v>54492</v>
      </c>
      <c r="I17792" t="s">
        <v>184</v>
      </c>
      <c r="J17792" t="s">
        <v>30</v>
      </c>
      <c r="K17792" t="s">
        <v>734</v>
      </c>
      <c r="M17792" t="s">
        <v>25733</v>
      </c>
      <c r="N17792" t="str">
        <f>"11/8/2022 8:24:00 AM"</f>
        <v>11/8/2022 8:24:00 AM</v>
      </c>
      <c r="O17792" t="s">
        <v>54490</v>
      </c>
      <c r="T17792" t="s">
        <v>54491</v>
      </c>
    </row>
    <row r="17793" spans="1:20" x14ac:dyDescent="0.25">
      <c r="A17793" t="str">
        <f>"3045420"</f>
        <v>3045420</v>
      </c>
      <c r="B17793" t="s">
        <v>54673</v>
      </c>
      <c r="C17793" t="str">
        <f>"82523314"</f>
        <v>82523314</v>
      </c>
      <c r="D17793" t="s">
        <v>54490</v>
      </c>
      <c r="E17793" t="s">
        <v>54491</v>
      </c>
      <c r="F17793" t="s">
        <v>54492</v>
      </c>
      <c r="I17793" t="s">
        <v>184</v>
      </c>
      <c r="J17793" t="s">
        <v>30</v>
      </c>
      <c r="K17793" t="s">
        <v>734</v>
      </c>
      <c r="M17793" t="s">
        <v>25733</v>
      </c>
      <c r="N17793" t="str">
        <f>"11/8/2022 8:24:00 AM"</f>
        <v>11/8/2022 8:24:00 AM</v>
      </c>
      <c r="O17793" t="s">
        <v>54490</v>
      </c>
      <c r="T17793" t="s">
        <v>54491</v>
      </c>
    </row>
    <row r="17794" spans="1:20" x14ac:dyDescent="0.25">
      <c r="A17794" t="str">
        <f>"3037336"</f>
        <v>3037336</v>
      </c>
      <c r="B17794" t="s">
        <v>54674</v>
      </c>
      <c r="C17794" t="str">
        <f>"82523314"</f>
        <v>82523314</v>
      </c>
      <c r="D17794" t="s">
        <v>54490</v>
      </c>
      <c r="E17794" t="s">
        <v>54491</v>
      </c>
      <c r="F17794" t="s">
        <v>54492</v>
      </c>
      <c r="I17794" t="s">
        <v>184</v>
      </c>
      <c r="J17794" t="s">
        <v>30</v>
      </c>
      <c r="K17794" t="s">
        <v>734</v>
      </c>
      <c r="M17794" t="s">
        <v>25733</v>
      </c>
      <c r="N17794" t="str">
        <f>"11/8/2022 8:24:00 AM"</f>
        <v>11/8/2022 8:24:00 AM</v>
      </c>
      <c r="O17794" t="s">
        <v>54490</v>
      </c>
      <c r="T17794" t="s">
        <v>54491</v>
      </c>
    </row>
    <row r="17795" spans="1:20" x14ac:dyDescent="0.25">
      <c r="A17795" t="str">
        <f>"3053083"</f>
        <v>3053083</v>
      </c>
      <c r="B17795" t="s">
        <v>54675</v>
      </c>
      <c r="C17795" t="str">
        <f>"8319074"</f>
        <v>8319074</v>
      </c>
      <c r="D17795" t="s">
        <v>54676</v>
      </c>
      <c r="E17795" t="s">
        <v>54677</v>
      </c>
      <c r="F17795" t="s">
        <v>54678</v>
      </c>
      <c r="I17795" t="s">
        <v>29</v>
      </c>
      <c r="J17795" t="s">
        <v>30</v>
      </c>
      <c r="K17795" t="s">
        <v>54679</v>
      </c>
      <c r="M17795" t="s">
        <v>17861</v>
      </c>
      <c r="N17795" t="str">
        <f>"11/8/2022 9:45:00 AM"</f>
        <v>11/8/2022 9:45:00 AM</v>
      </c>
      <c r="O17795" t="s">
        <v>54676</v>
      </c>
      <c r="T17795" t="s">
        <v>54677</v>
      </c>
    </row>
    <row r="17796" spans="1:20" x14ac:dyDescent="0.25">
      <c r="A17796" t="str">
        <f>"3037180"</f>
        <v>3037180</v>
      </c>
      <c r="B17796" t="s">
        <v>54680</v>
      </c>
      <c r="C17796" t="str">
        <f>"8319078"</f>
        <v>8319078</v>
      </c>
      <c r="D17796" t="s">
        <v>54681</v>
      </c>
      <c r="E17796" t="s">
        <v>38521</v>
      </c>
      <c r="F17796" t="s">
        <v>38523</v>
      </c>
      <c r="I17796" t="s">
        <v>184</v>
      </c>
      <c r="J17796" t="s">
        <v>30</v>
      </c>
      <c r="K17796" t="s">
        <v>25370</v>
      </c>
      <c r="M17796" t="s">
        <v>17861</v>
      </c>
      <c r="N17796" t="str">
        <f>"11/8/2022 10:36:00 AM"</f>
        <v>11/8/2022 10:36:00 AM</v>
      </c>
      <c r="O17796" t="s">
        <v>54681</v>
      </c>
      <c r="T17796" t="s">
        <v>38521</v>
      </c>
    </row>
    <row r="17797" spans="1:20" x14ac:dyDescent="0.25">
      <c r="A17797" t="str">
        <f>"3057822"</f>
        <v>3057822</v>
      </c>
      <c r="B17797" t="s">
        <v>54682</v>
      </c>
      <c r="C17797" t="str">
        <f>"8319079"</f>
        <v>8319079</v>
      </c>
      <c r="D17797" t="s">
        <v>54683</v>
      </c>
      <c r="E17797" t="s">
        <v>54684</v>
      </c>
      <c r="F17797" t="s">
        <v>54685</v>
      </c>
      <c r="I17797" t="s">
        <v>184</v>
      </c>
      <c r="J17797" t="s">
        <v>30</v>
      </c>
      <c r="K17797" t="s">
        <v>39012</v>
      </c>
      <c r="M17797" t="s">
        <v>17861</v>
      </c>
      <c r="N17797" t="str">
        <f>"11/8/2022 11:02:00 AM"</f>
        <v>11/8/2022 11:02:00 AM</v>
      </c>
      <c r="O17797" t="s">
        <v>54683</v>
      </c>
      <c r="T17797" t="s">
        <v>54684</v>
      </c>
    </row>
    <row r="17798" spans="1:20" x14ac:dyDescent="0.25">
      <c r="A17798" t="str">
        <f>"3038058"</f>
        <v>3038058</v>
      </c>
      <c r="B17798" t="s">
        <v>54686</v>
      </c>
      <c r="C17798" t="str">
        <f>"8319080"</f>
        <v>8319080</v>
      </c>
      <c r="D17798" t="s">
        <v>54687</v>
      </c>
      <c r="F17798" t="s">
        <v>54688</v>
      </c>
      <c r="I17798" t="s">
        <v>29</v>
      </c>
      <c r="J17798" t="s">
        <v>30</v>
      </c>
      <c r="K17798" t="s">
        <v>44426</v>
      </c>
      <c r="M17798" t="s">
        <v>17861</v>
      </c>
      <c r="N17798" t="str">
        <f>"11/8/2022 11:25:00 AM"</f>
        <v>11/8/2022 11:25:00 AM</v>
      </c>
      <c r="O17798" t="s">
        <v>54687</v>
      </c>
    </row>
    <row r="17799" spans="1:20" x14ac:dyDescent="0.25">
      <c r="A17799" t="str">
        <f>"3039205"</f>
        <v>3039205</v>
      </c>
      <c r="B17799" t="s">
        <v>54689</v>
      </c>
      <c r="C17799" t="str">
        <f>"8319080"</f>
        <v>8319080</v>
      </c>
      <c r="D17799" t="s">
        <v>54687</v>
      </c>
      <c r="F17799" t="s">
        <v>54688</v>
      </c>
      <c r="I17799" t="s">
        <v>29</v>
      </c>
      <c r="J17799" t="s">
        <v>30</v>
      </c>
      <c r="K17799" t="s">
        <v>44426</v>
      </c>
      <c r="M17799" t="s">
        <v>17861</v>
      </c>
      <c r="N17799" t="str">
        <f>"11/8/2022 11:25:00 AM"</f>
        <v>11/8/2022 11:25:00 AM</v>
      </c>
      <c r="O17799" t="s">
        <v>54687</v>
      </c>
    </row>
    <row r="17800" spans="1:20" x14ac:dyDescent="0.25">
      <c r="A17800" t="str">
        <f>"3061838"</f>
        <v>3061838</v>
      </c>
      <c r="B17800" t="s">
        <v>54690</v>
      </c>
      <c r="C17800" t="str">
        <f>"8319092"</f>
        <v>8319092</v>
      </c>
      <c r="D17800" t="s">
        <v>54542</v>
      </c>
      <c r="F17800" t="s">
        <v>54543</v>
      </c>
      <c r="I17800" t="s">
        <v>402</v>
      </c>
      <c r="J17800" t="s">
        <v>30</v>
      </c>
      <c r="K17800" t="s">
        <v>54544</v>
      </c>
      <c r="M17800" t="s">
        <v>17861</v>
      </c>
      <c r="N17800" t="str">
        <f>"11/8/2022 1:38:00 PM"</f>
        <v>11/8/2022 1:38:00 PM</v>
      </c>
      <c r="O17800" t="s">
        <v>54542</v>
      </c>
    </row>
    <row r="17801" spans="1:20" x14ac:dyDescent="0.25">
      <c r="A17801" t="str">
        <f>"3062135"</f>
        <v>3062135</v>
      </c>
      <c r="B17801" t="s">
        <v>54691</v>
      </c>
      <c r="C17801" t="str">
        <f>"8319092"</f>
        <v>8319092</v>
      </c>
      <c r="D17801" t="s">
        <v>54542</v>
      </c>
      <c r="F17801" t="s">
        <v>54543</v>
      </c>
      <c r="I17801" t="s">
        <v>402</v>
      </c>
      <c r="J17801" t="s">
        <v>30</v>
      </c>
      <c r="K17801" t="s">
        <v>54544</v>
      </c>
      <c r="M17801" t="s">
        <v>17861</v>
      </c>
      <c r="N17801" t="str">
        <f>"11/8/2022 1:38:00 PM"</f>
        <v>11/8/2022 1:38:00 PM</v>
      </c>
      <c r="O17801" t="s">
        <v>54542</v>
      </c>
    </row>
    <row r="17802" spans="1:20" x14ac:dyDescent="0.25">
      <c r="A17802" t="str">
        <f>"3052087"</f>
        <v>3052087</v>
      </c>
      <c r="B17802" t="s">
        <v>54692</v>
      </c>
      <c r="C17802" t="str">
        <f>"8319107"</f>
        <v>8319107</v>
      </c>
      <c r="D17802" t="s">
        <v>54693</v>
      </c>
      <c r="E17802" t="s">
        <v>54694</v>
      </c>
      <c r="F17802" t="s">
        <v>54695</v>
      </c>
      <c r="I17802" t="s">
        <v>29</v>
      </c>
      <c r="J17802" t="s">
        <v>30</v>
      </c>
      <c r="K17802" t="s">
        <v>9595</v>
      </c>
      <c r="M17802" t="s">
        <v>17861</v>
      </c>
      <c r="N17802" t="str">
        <f>"11/8/2022 4:06:00 PM"</f>
        <v>11/8/2022 4:06:00 PM</v>
      </c>
      <c r="O17802" t="s">
        <v>54693</v>
      </c>
      <c r="T17802" t="s">
        <v>54694</v>
      </c>
    </row>
    <row r="17803" spans="1:20" x14ac:dyDescent="0.25">
      <c r="A17803" t="str">
        <f>"3039477"</f>
        <v>3039477</v>
      </c>
      <c r="B17803" t="s">
        <v>54696</v>
      </c>
      <c r="C17803" t="str">
        <f>"8319108"</f>
        <v>8319108</v>
      </c>
      <c r="D17803" t="s">
        <v>54697</v>
      </c>
      <c r="E17803" t="s">
        <v>54698</v>
      </c>
      <c r="F17803" t="s">
        <v>54699</v>
      </c>
      <c r="I17803" t="s">
        <v>184</v>
      </c>
      <c r="J17803" t="s">
        <v>30</v>
      </c>
      <c r="K17803" t="s">
        <v>32978</v>
      </c>
      <c r="M17803" t="s">
        <v>17861</v>
      </c>
      <c r="N17803" t="str">
        <f>"11/9/2022 9:04:00 AM"</f>
        <v>11/9/2022 9:04:00 AM</v>
      </c>
      <c r="O17803" t="s">
        <v>54697</v>
      </c>
      <c r="T17803" t="s">
        <v>54698</v>
      </c>
    </row>
    <row r="17804" spans="1:20" x14ac:dyDescent="0.25">
      <c r="A17804" t="str">
        <f>"3039721"</f>
        <v>3039721</v>
      </c>
      <c r="B17804" t="s">
        <v>54700</v>
      </c>
      <c r="C17804" t="str">
        <f>"8319108"</f>
        <v>8319108</v>
      </c>
      <c r="D17804" t="s">
        <v>54697</v>
      </c>
      <c r="E17804" t="s">
        <v>54698</v>
      </c>
      <c r="F17804" t="s">
        <v>54699</v>
      </c>
      <c r="I17804" t="s">
        <v>184</v>
      </c>
      <c r="J17804" t="s">
        <v>30</v>
      </c>
      <c r="K17804" t="s">
        <v>32978</v>
      </c>
      <c r="M17804" t="s">
        <v>17861</v>
      </c>
      <c r="N17804" t="str">
        <f>"11/9/2022 9:04:00 AM"</f>
        <v>11/9/2022 9:04:00 AM</v>
      </c>
      <c r="O17804" t="s">
        <v>54697</v>
      </c>
      <c r="T17804" t="s">
        <v>54698</v>
      </c>
    </row>
    <row r="17805" spans="1:20" x14ac:dyDescent="0.25">
      <c r="A17805" t="str">
        <f>"3063497"</f>
        <v>3063497</v>
      </c>
      <c r="B17805" t="s">
        <v>54701</v>
      </c>
      <c r="C17805" t="str">
        <f>"8319120"</f>
        <v>8319120</v>
      </c>
      <c r="D17805" t="s">
        <v>54702</v>
      </c>
      <c r="F17805" t="s">
        <v>54703</v>
      </c>
      <c r="I17805" t="s">
        <v>29</v>
      </c>
      <c r="J17805" t="s">
        <v>30</v>
      </c>
      <c r="K17805" t="s">
        <v>53637</v>
      </c>
      <c r="M17805" t="s">
        <v>17861</v>
      </c>
      <c r="N17805" t="str">
        <f>"11/9/2022 11:14:00 AM"</f>
        <v>11/9/2022 11:14:00 AM</v>
      </c>
      <c r="O17805" t="s">
        <v>54702</v>
      </c>
    </row>
    <row r="17806" spans="1:20" x14ac:dyDescent="0.25">
      <c r="A17806" t="str">
        <f>"3059992"</f>
        <v>3059992</v>
      </c>
      <c r="B17806" t="s">
        <v>54704</v>
      </c>
      <c r="C17806" t="str">
        <f>"8319121"</f>
        <v>8319121</v>
      </c>
      <c r="D17806" t="s">
        <v>54705</v>
      </c>
      <c r="F17806" t="s">
        <v>54706</v>
      </c>
      <c r="I17806" t="s">
        <v>402</v>
      </c>
      <c r="J17806" t="s">
        <v>30</v>
      </c>
      <c r="K17806" t="str">
        <f>"27012"</f>
        <v>27012</v>
      </c>
      <c r="M17806" t="s">
        <v>17861</v>
      </c>
      <c r="N17806" t="str">
        <f>"11/9/2022 11:16:00 AM"</f>
        <v>11/9/2022 11:16:00 AM</v>
      </c>
      <c r="O17806" t="s">
        <v>54705</v>
      </c>
    </row>
    <row r="17807" spans="1:20" x14ac:dyDescent="0.25">
      <c r="A17807" t="str">
        <f>"3038842"</f>
        <v>3038842</v>
      </c>
      <c r="B17807" t="s">
        <v>54707</v>
      </c>
      <c r="C17807" t="str">
        <f>"8317011"</f>
        <v>8317011</v>
      </c>
      <c r="D17807" t="s">
        <v>54708</v>
      </c>
      <c r="E17807" t="s">
        <v>54709</v>
      </c>
      <c r="F17807" t="s">
        <v>54710</v>
      </c>
      <c r="I17807" t="s">
        <v>29</v>
      </c>
      <c r="J17807" t="s">
        <v>30</v>
      </c>
      <c r="K17807" t="s">
        <v>232</v>
      </c>
      <c r="M17807" t="s">
        <v>25733</v>
      </c>
      <c r="N17807" t="str">
        <f>"11/9/2022 3:49:00 PM"</f>
        <v>11/9/2022 3:49:00 PM</v>
      </c>
      <c r="O17807" t="s">
        <v>54708</v>
      </c>
      <c r="T17807" t="s">
        <v>54709</v>
      </c>
    </row>
    <row r="17808" spans="1:20" x14ac:dyDescent="0.25">
      <c r="A17808" t="str">
        <f>"3047740"</f>
        <v>3047740</v>
      </c>
      <c r="B17808" t="s">
        <v>54711</v>
      </c>
      <c r="C17808" t="str">
        <f>"8307428"</f>
        <v>8307428</v>
      </c>
      <c r="D17808" t="s">
        <v>54712</v>
      </c>
      <c r="F17808" t="s">
        <v>54713</v>
      </c>
      <c r="I17808" t="s">
        <v>24359</v>
      </c>
      <c r="J17808" t="s">
        <v>30</v>
      </c>
      <c r="K17808" t="str">
        <f>"27006"</f>
        <v>27006</v>
      </c>
      <c r="M17808" t="s">
        <v>51351</v>
      </c>
      <c r="N17808" t="str">
        <f>"11/10/2022 10:16:00 AM"</f>
        <v>11/10/2022 10:16:00 AM</v>
      </c>
      <c r="O17808" t="s">
        <v>54712</v>
      </c>
    </row>
    <row r="17809" spans="1:20" x14ac:dyDescent="0.25">
      <c r="A17809" t="str">
        <f>"3038536"</f>
        <v>3038536</v>
      </c>
      <c r="B17809" t="s">
        <v>54714</v>
      </c>
      <c r="C17809" t="str">
        <f>"23476000"</f>
        <v>23476000</v>
      </c>
      <c r="D17809" t="s">
        <v>54715</v>
      </c>
      <c r="F17809" t="str">
        <f>"C/O LESTER P MARTIN III"</f>
        <v>C/O LESTER P MARTIN III</v>
      </c>
      <c r="G17809" t="s">
        <v>54716</v>
      </c>
      <c r="I17809" t="s">
        <v>29</v>
      </c>
      <c r="J17809" t="s">
        <v>30</v>
      </c>
      <c r="K17809" t="s">
        <v>1479</v>
      </c>
      <c r="M17809" t="s">
        <v>51351</v>
      </c>
      <c r="N17809" t="str">
        <f>"11/10/2022 3:19:00 PM"</f>
        <v>11/10/2022 3:19:00 PM</v>
      </c>
      <c r="O17809" t="s">
        <v>54715</v>
      </c>
    </row>
    <row r="17810" spans="1:20" x14ac:dyDescent="0.25">
      <c r="A17810" t="str">
        <f>"3046662"</f>
        <v>3046662</v>
      </c>
      <c r="B17810" t="s">
        <v>54717</v>
      </c>
      <c r="C17810" t="str">
        <f>"8319133"</f>
        <v>8319133</v>
      </c>
      <c r="D17810" t="s">
        <v>54718</v>
      </c>
      <c r="F17810" t="s">
        <v>52319</v>
      </c>
      <c r="I17810" t="s">
        <v>184</v>
      </c>
      <c r="J17810" t="s">
        <v>30</v>
      </c>
      <c r="K17810" t="s">
        <v>52320</v>
      </c>
      <c r="M17810" t="s">
        <v>17861</v>
      </c>
      <c r="N17810" t="str">
        <f>"11/14/2022 8:21:00 AM"</f>
        <v>11/14/2022 8:21:00 AM</v>
      </c>
      <c r="O17810" t="s">
        <v>54718</v>
      </c>
    </row>
    <row r="17811" spans="1:20" x14ac:dyDescent="0.25">
      <c r="A17811" t="str">
        <f>"3047050"</f>
        <v>3047050</v>
      </c>
      <c r="B17811" t="s">
        <v>54719</v>
      </c>
      <c r="C17811" t="str">
        <f>"8319133"</f>
        <v>8319133</v>
      </c>
      <c r="D17811" t="s">
        <v>54718</v>
      </c>
      <c r="F17811" t="s">
        <v>52319</v>
      </c>
      <c r="I17811" t="s">
        <v>184</v>
      </c>
      <c r="J17811" t="s">
        <v>30</v>
      </c>
      <c r="K17811" t="s">
        <v>52320</v>
      </c>
      <c r="M17811" t="s">
        <v>17861</v>
      </c>
      <c r="N17811" t="str">
        <f>"11/14/2022 8:21:00 AM"</f>
        <v>11/14/2022 8:21:00 AM</v>
      </c>
      <c r="O17811" t="s">
        <v>54718</v>
      </c>
    </row>
    <row r="17812" spans="1:20" x14ac:dyDescent="0.25">
      <c r="A17812" t="str">
        <f>"3044324"</f>
        <v>3044324</v>
      </c>
      <c r="B17812" t="s">
        <v>54720</v>
      </c>
      <c r="C17812" t="str">
        <f>"8319133"</f>
        <v>8319133</v>
      </c>
      <c r="D17812" t="s">
        <v>54718</v>
      </c>
      <c r="F17812" t="s">
        <v>52319</v>
      </c>
      <c r="I17812" t="s">
        <v>184</v>
      </c>
      <c r="J17812" t="s">
        <v>30</v>
      </c>
      <c r="K17812" t="s">
        <v>52320</v>
      </c>
      <c r="M17812" t="s">
        <v>17861</v>
      </c>
      <c r="N17812" t="str">
        <f>"11/14/2022 8:21:00 AM"</f>
        <v>11/14/2022 8:21:00 AM</v>
      </c>
      <c r="O17812" t="s">
        <v>54718</v>
      </c>
    </row>
    <row r="17813" spans="1:20" x14ac:dyDescent="0.25">
      <c r="A17813" t="str">
        <f>"3058044"</f>
        <v>3058044</v>
      </c>
      <c r="B17813" t="s">
        <v>54721</v>
      </c>
      <c r="C17813" t="str">
        <f>"8319064"</f>
        <v>8319064</v>
      </c>
      <c r="D17813" t="s">
        <v>54722</v>
      </c>
      <c r="F17813" t="s">
        <v>54723</v>
      </c>
      <c r="I17813" t="s">
        <v>2071</v>
      </c>
      <c r="J17813" t="s">
        <v>30</v>
      </c>
      <c r="K17813" t="s">
        <v>39885</v>
      </c>
      <c r="M17813" t="s">
        <v>17861</v>
      </c>
      <c r="N17813" t="str">
        <f>"11/7/2022 9:59:00 AM"</f>
        <v>11/7/2022 9:59:00 AM</v>
      </c>
      <c r="O17813" t="s">
        <v>54722</v>
      </c>
    </row>
    <row r="17814" spans="1:20" x14ac:dyDescent="0.25">
      <c r="A17814" t="str">
        <f>"3058447"</f>
        <v>3058447</v>
      </c>
      <c r="B17814" t="s">
        <v>54724</v>
      </c>
      <c r="C17814" t="str">
        <f>"8319137"</f>
        <v>8319137</v>
      </c>
      <c r="D17814" t="s">
        <v>54725</v>
      </c>
      <c r="E17814" t="s">
        <v>54726</v>
      </c>
      <c r="F17814" t="s">
        <v>54727</v>
      </c>
      <c r="I17814" t="s">
        <v>29</v>
      </c>
      <c r="J17814" t="s">
        <v>30</v>
      </c>
      <c r="K17814" t="s">
        <v>53637</v>
      </c>
      <c r="M17814" t="s">
        <v>17861</v>
      </c>
      <c r="N17814" t="str">
        <f>"11/14/2022 9:28:00 AM"</f>
        <v>11/14/2022 9:28:00 AM</v>
      </c>
      <c r="O17814" t="s">
        <v>54725</v>
      </c>
      <c r="T17814" t="s">
        <v>54726</v>
      </c>
    </row>
    <row r="17815" spans="1:20" x14ac:dyDescent="0.25">
      <c r="A17815" t="str">
        <f>"3047444"</f>
        <v>3047444</v>
      </c>
      <c r="B17815" t="s">
        <v>54728</v>
      </c>
      <c r="C17815" t="str">
        <f>"8319138"</f>
        <v>8319138</v>
      </c>
      <c r="D17815" t="s">
        <v>54729</v>
      </c>
      <c r="F17815" t="s">
        <v>31585</v>
      </c>
      <c r="I17815" t="s">
        <v>29</v>
      </c>
      <c r="J17815" t="s">
        <v>30</v>
      </c>
      <c r="K17815" t="s">
        <v>54730</v>
      </c>
      <c r="M17815" t="s">
        <v>17861</v>
      </c>
      <c r="N17815" t="str">
        <f>"11/14/2022 9:44:00 AM"</f>
        <v>11/14/2022 9:44:00 AM</v>
      </c>
      <c r="O17815" t="s">
        <v>54729</v>
      </c>
    </row>
    <row r="17816" spans="1:20" x14ac:dyDescent="0.25">
      <c r="A17816" t="str">
        <f>"3042193"</f>
        <v>3042193</v>
      </c>
      <c r="B17816" t="s">
        <v>54731</v>
      </c>
      <c r="C17816" t="str">
        <f>"8319148"</f>
        <v>8319148</v>
      </c>
      <c r="D17816" t="s">
        <v>54732</v>
      </c>
      <c r="E17816" t="s">
        <v>54733</v>
      </c>
      <c r="F17816" t="s">
        <v>54734</v>
      </c>
      <c r="I17816" t="s">
        <v>1107</v>
      </c>
      <c r="J17816" t="s">
        <v>30</v>
      </c>
      <c r="K17816" t="s">
        <v>54735</v>
      </c>
      <c r="M17816" t="s">
        <v>17861</v>
      </c>
      <c r="N17816" t="str">
        <f>"11/15/2022 9:58:00 AM"</f>
        <v>11/15/2022 9:58:00 AM</v>
      </c>
      <c r="O17816" t="s">
        <v>54732</v>
      </c>
      <c r="T17816" t="s">
        <v>54733</v>
      </c>
    </row>
    <row r="17817" spans="1:20" x14ac:dyDescent="0.25">
      <c r="A17817" t="str">
        <f>"3048874"</f>
        <v>3048874</v>
      </c>
      <c r="B17817" t="s">
        <v>54736</v>
      </c>
      <c r="C17817" t="str">
        <f t="shared" ref="C17817:C17832" si="262">"69980000"</f>
        <v>69980000</v>
      </c>
      <c r="D17817" t="s">
        <v>49702</v>
      </c>
      <c r="E17817" t="s">
        <v>24185</v>
      </c>
      <c r="F17817" t="s">
        <v>9579</v>
      </c>
      <c r="I17817" t="s">
        <v>9580</v>
      </c>
      <c r="J17817" t="s">
        <v>30</v>
      </c>
      <c r="K17817" t="s">
        <v>16893</v>
      </c>
      <c r="M17817" t="s">
        <v>50621</v>
      </c>
      <c r="N17817" t="str">
        <f t="shared" ref="N17817:N17832" si="263">"11/16/2022 3:10:00 PM"</f>
        <v>11/16/2022 3:10:00 PM</v>
      </c>
      <c r="O17817" t="s">
        <v>49702</v>
      </c>
      <c r="T17817" t="s">
        <v>24185</v>
      </c>
    </row>
    <row r="17818" spans="1:20" x14ac:dyDescent="0.25">
      <c r="A17818" t="str">
        <f>"3045676"</f>
        <v>3045676</v>
      </c>
      <c r="B17818" t="s">
        <v>54737</v>
      </c>
      <c r="C17818" t="str">
        <f t="shared" si="262"/>
        <v>69980000</v>
      </c>
      <c r="D17818" t="s">
        <v>49702</v>
      </c>
      <c r="E17818" t="s">
        <v>24185</v>
      </c>
      <c r="F17818" t="s">
        <v>9579</v>
      </c>
      <c r="I17818" t="s">
        <v>9580</v>
      </c>
      <c r="J17818" t="s">
        <v>30</v>
      </c>
      <c r="K17818" t="s">
        <v>16893</v>
      </c>
      <c r="M17818" t="s">
        <v>50621</v>
      </c>
      <c r="N17818" t="str">
        <f t="shared" si="263"/>
        <v>11/16/2022 3:10:00 PM</v>
      </c>
      <c r="O17818" t="s">
        <v>49702</v>
      </c>
      <c r="T17818" t="s">
        <v>24185</v>
      </c>
    </row>
    <row r="17819" spans="1:20" x14ac:dyDescent="0.25">
      <c r="A17819" t="str">
        <f>"3074617"</f>
        <v>3074617</v>
      </c>
      <c r="B17819" t="s">
        <v>54738</v>
      </c>
      <c r="C17819" t="str">
        <f t="shared" si="262"/>
        <v>69980000</v>
      </c>
      <c r="D17819" t="s">
        <v>49702</v>
      </c>
      <c r="E17819" t="s">
        <v>24185</v>
      </c>
      <c r="F17819" t="s">
        <v>9579</v>
      </c>
      <c r="I17819" t="s">
        <v>9580</v>
      </c>
      <c r="J17819" t="s">
        <v>30</v>
      </c>
      <c r="K17819" t="s">
        <v>16893</v>
      </c>
      <c r="M17819" t="s">
        <v>50621</v>
      </c>
      <c r="N17819" t="str">
        <f t="shared" si="263"/>
        <v>11/16/2022 3:10:00 PM</v>
      </c>
      <c r="O17819" t="s">
        <v>49702</v>
      </c>
      <c r="T17819" t="s">
        <v>24185</v>
      </c>
    </row>
    <row r="17820" spans="1:20" x14ac:dyDescent="0.25">
      <c r="A17820" t="str">
        <f>"3078840"</f>
        <v>3078840</v>
      </c>
      <c r="B17820" t="s">
        <v>54739</v>
      </c>
      <c r="C17820" t="str">
        <f t="shared" si="262"/>
        <v>69980000</v>
      </c>
      <c r="D17820" t="s">
        <v>49702</v>
      </c>
      <c r="E17820" t="s">
        <v>24185</v>
      </c>
      <c r="F17820" t="s">
        <v>9579</v>
      </c>
      <c r="I17820" t="s">
        <v>9580</v>
      </c>
      <c r="J17820" t="s">
        <v>30</v>
      </c>
      <c r="K17820" t="s">
        <v>16893</v>
      </c>
      <c r="M17820" t="s">
        <v>50621</v>
      </c>
      <c r="N17820" t="str">
        <f t="shared" si="263"/>
        <v>11/16/2022 3:10:00 PM</v>
      </c>
      <c r="O17820" t="s">
        <v>49702</v>
      </c>
      <c r="T17820" t="s">
        <v>24185</v>
      </c>
    </row>
    <row r="17821" spans="1:20" x14ac:dyDescent="0.25">
      <c r="A17821" t="str">
        <f>"3078847"</f>
        <v>3078847</v>
      </c>
      <c r="B17821" t="s">
        <v>54740</v>
      </c>
      <c r="C17821" t="str">
        <f t="shared" si="262"/>
        <v>69980000</v>
      </c>
      <c r="D17821" t="s">
        <v>49702</v>
      </c>
      <c r="E17821" t="s">
        <v>24185</v>
      </c>
      <c r="F17821" t="s">
        <v>9579</v>
      </c>
      <c r="I17821" t="s">
        <v>9580</v>
      </c>
      <c r="J17821" t="s">
        <v>30</v>
      </c>
      <c r="K17821" t="s">
        <v>16893</v>
      </c>
      <c r="M17821" t="s">
        <v>50621</v>
      </c>
      <c r="N17821" t="str">
        <f t="shared" si="263"/>
        <v>11/16/2022 3:10:00 PM</v>
      </c>
      <c r="O17821" t="s">
        <v>49702</v>
      </c>
      <c r="T17821" t="s">
        <v>24185</v>
      </c>
    </row>
    <row r="17822" spans="1:20" x14ac:dyDescent="0.25">
      <c r="A17822" t="str">
        <f>"3078844"</f>
        <v>3078844</v>
      </c>
      <c r="B17822" t="s">
        <v>54741</v>
      </c>
      <c r="C17822" t="str">
        <f t="shared" si="262"/>
        <v>69980000</v>
      </c>
      <c r="D17822" t="s">
        <v>49702</v>
      </c>
      <c r="E17822" t="s">
        <v>24185</v>
      </c>
      <c r="F17822" t="s">
        <v>9579</v>
      </c>
      <c r="I17822" t="s">
        <v>9580</v>
      </c>
      <c r="J17822" t="s">
        <v>30</v>
      </c>
      <c r="K17822" t="s">
        <v>16893</v>
      </c>
      <c r="M17822" t="s">
        <v>50621</v>
      </c>
      <c r="N17822" t="str">
        <f t="shared" si="263"/>
        <v>11/16/2022 3:10:00 PM</v>
      </c>
      <c r="O17822" t="s">
        <v>49702</v>
      </c>
      <c r="T17822" t="s">
        <v>24185</v>
      </c>
    </row>
    <row r="17823" spans="1:20" x14ac:dyDescent="0.25">
      <c r="A17823" t="str">
        <f>"3078845"</f>
        <v>3078845</v>
      </c>
      <c r="B17823" t="s">
        <v>54742</v>
      </c>
      <c r="C17823" t="str">
        <f t="shared" si="262"/>
        <v>69980000</v>
      </c>
      <c r="D17823" t="s">
        <v>49702</v>
      </c>
      <c r="E17823" t="s">
        <v>24185</v>
      </c>
      <c r="F17823" t="s">
        <v>9579</v>
      </c>
      <c r="I17823" t="s">
        <v>9580</v>
      </c>
      <c r="J17823" t="s">
        <v>30</v>
      </c>
      <c r="K17823" t="s">
        <v>16893</v>
      </c>
      <c r="M17823" t="s">
        <v>50621</v>
      </c>
      <c r="N17823" t="str">
        <f t="shared" si="263"/>
        <v>11/16/2022 3:10:00 PM</v>
      </c>
      <c r="O17823" t="s">
        <v>49702</v>
      </c>
      <c r="T17823" t="s">
        <v>24185</v>
      </c>
    </row>
    <row r="17824" spans="1:20" x14ac:dyDescent="0.25">
      <c r="A17824" t="str">
        <f>"3078842"</f>
        <v>3078842</v>
      </c>
      <c r="B17824" t="s">
        <v>54743</v>
      </c>
      <c r="C17824" t="str">
        <f t="shared" si="262"/>
        <v>69980000</v>
      </c>
      <c r="D17824" t="s">
        <v>49702</v>
      </c>
      <c r="E17824" t="s">
        <v>24185</v>
      </c>
      <c r="F17824" t="s">
        <v>9579</v>
      </c>
      <c r="I17824" t="s">
        <v>9580</v>
      </c>
      <c r="J17824" t="s">
        <v>30</v>
      </c>
      <c r="K17824" t="s">
        <v>16893</v>
      </c>
      <c r="M17824" t="s">
        <v>50621</v>
      </c>
      <c r="N17824" t="str">
        <f t="shared" si="263"/>
        <v>11/16/2022 3:10:00 PM</v>
      </c>
      <c r="O17824" t="s">
        <v>49702</v>
      </c>
      <c r="T17824" t="s">
        <v>24185</v>
      </c>
    </row>
    <row r="17825" spans="1:20" x14ac:dyDescent="0.25">
      <c r="A17825" t="str">
        <f>"3078862"</f>
        <v>3078862</v>
      </c>
      <c r="B17825" t="s">
        <v>54744</v>
      </c>
      <c r="C17825" t="str">
        <f t="shared" si="262"/>
        <v>69980000</v>
      </c>
      <c r="D17825" t="s">
        <v>49702</v>
      </c>
      <c r="E17825" t="s">
        <v>24185</v>
      </c>
      <c r="F17825" t="s">
        <v>9579</v>
      </c>
      <c r="I17825" t="s">
        <v>9580</v>
      </c>
      <c r="J17825" t="s">
        <v>30</v>
      </c>
      <c r="K17825" t="s">
        <v>16893</v>
      </c>
      <c r="M17825" t="s">
        <v>50621</v>
      </c>
      <c r="N17825" t="str">
        <f t="shared" si="263"/>
        <v>11/16/2022 3:10:00 PM</v>
      </c>
      <c r="O17825" t="s">
        <v>49702</v>
      </c>
      <c r="T17825" t="s">
        <v>24185</v>
      </c>
    </row>
    <row r="17826" spans="1:20" x14ac:dyDescent="0.25">
      <c r="A17826" t="str">
        <f>"3078865"</f>
        <v>3078865</v>
      </c>
      <c r="B17826" t="s">
        <v>54745</v>
      </c>
      <c r="C17826" t="str">
        <f t="shared" si="262"/>
        <v>69980000</v>
      </c>
      <c r="D17826" t="s">
        <v>49702</v>
      </c>
      <c r="E17826" t="s">
        <v>24185</v>
      </c>
      <c r="F17826" t="s">
        <v>9579</v>
      </c>
      <c r="I17826" t="s">
        <v>9580</v>
      </c>
      <c r="J17826" t="s">
        <v>30</v>
      </c>
      <c r="K17826" t="s">
        <v>16893</v>
      </c>
      <c r="M17826" t="s">
        <v>50621</v>
      </c>
      <c r="N17826" t="str">
        <f t="shared" si="263"/>
        <v>11/16/2022 3:10:00 PM</v>
      </c>
      <c r="O17826" t="s">
        <v>49702</v>
      </c>
      <c r="T17826" t="s">
        <v>24185</v>
      </c>
    </row>
    <row r="17827" spans="1:20" x14ac:dyDescent="0.25">
      <c r="A17827" t="str">
        <f>"3078858"</f>
        <v>3078858</v>
      </c>
      <c r="B17827" t="s">
        <v>54746</v>
      </c>
      <c r="C17827" t="str">
        <f t="shared" si="262"/>
        <v>69980000</v>
      </c>
      <c r="D17827" t="s">
        <v>49702</v>
      </c>
      <c r="E17827" t="s">
        <v>24185</v>
      </c>
      <c r="F17827" t="s">
        <v>9579</v>
      </c>
      <c r="I17827" t="s">
        <v>9580</v>
      </c>
      <c r="J17827" t="s">
        <v>30</v>
      </c>
      <c r="K17827" t="s">
        <v>16893</v>
      </c>
      <c r="M17827" t="s">
        <v>50621</v>
      </c>
      <c r="N17827" t="str">
        <f t="shared" si="263"/>
        <v>11/16/2022 3:10:00 PM</v>
      </c>
      <c r="O17827" t="s">
        <v>49702</v>
      </c>
      <c r="T17827" t="s">
        <v>24185</v>
      </c>
    </row>
    <row r="17828" spans="1:20" x14ac:dyDescent="0.25">
      <c r="A17828" t="str">
        <f>"3078854"</f>
        <v>3078854</v>
      </c>
      <c r="B17828" t="s">
        <v>54747</v>
      </c>
      <c r="C17828" t="str">
        <f t="shared" si="262"/>
        <v>69980000</v>
      </c>
      <c r="D17828" t="s">
        <v>49702</v>
      </c>
      <c r="E17828" t="s">
        <v>24185</v>
      </c>
      <c r="F17828" t="s">
        <v>9579</v>
      </c>
      <c r="I17828" t="s">
        <v>9580</v>
      </c>
      <c r="J17828" t="s">
        <v>30</v>
      </c>
      <c r="K17828" t="s">
        <v>16893</v>
      </c>
      <c r="M17828" t="s">
        <v>50621</v>
      </c>
      <c r="N17828" t="str">
        <f t="shared" si="263"/>
        <v>11/16/2022 3:10:00 PM</v>
      </c>
      <c r="O17828" t="s">
        <v>49702</v>
      </c>
      <c r="T17828" t="s">
        <v>24185</v>
      </c>
    </row>
    <row r="17829" spans="1:20" x14ac:dyDescent="0.25">
      <c r="A17829" t="str">
        <f>"3078851"</f>
        <v>3078851</v>
      </c>
      <c r="B17829" t="s">
        <v>54748</v>
      </c>
      <c r="C17829" t="str">
        <f t="shared" si="262"/>
        <v>69980000</v>
      </c>
      <c r="D17829" t="s">
        <v>49702</v>
      </c>
      <c r="E17829" t="s">
        <v>24185</v>
      </c>
      <c r="F17829" t="s">
        <v>9579</v>
      </c>
      <c r="I17829" t="s">
        <v>9580</v>
      </c>
      <c r="J17829" t="s">
        <v>30</v>
      </c>
      <c r="K17829" t="s">
        <v>16893</v>
      </c>
      <c r="M17829" t="s">
        <v>50621</v>
      </c>
      <c r="N17829" t="str">
        <f t="shared" si="263"/>
        <v>11/16/2022 3:10:00 PM</v>
      </c>
      <c r="O17829" t="s">
        <v>49702</v>
      </c>
      <c r="T17829" t="s">
        <v>24185</v>
      </c>
    </row>
    <row r="17830" spans="1:20" x14ac:dyDescent="0.25">
      <c r="A17830" t="str">
        <f>"3078849"</f>
        <v>3078849</v>
      </c>
      <c r="B17830" t="s">
        <v>54749</v>
      </c>
      <c r="C17830" t="str">
        <f t="shared" si="262"/>
        <v>69980000</v>
      </c>
      <c r="D17830" t="s">
        <v>49702</v>
      </c>
      <c r="E17830" t="s">
        <v>24185</v>
      </c>
      <c r="F17830" t="s">
        <v>9579</v>
      </c>
      <c r="I17830" t="s">
        <v>9580</v>
      </c>
      <c r="J17830" t="s">
        <v>30</v>
      </c>
      <c r="K17830" t="s">
        <v>16893</v>
      </c>
      <c r="M17830" t="s">
        <v>50621</v>
      </c>
      <c r="N17830" t="str">
        <f t="shared" si="263"/>
        <v>11/16/2022 3:10:00 PM</v>
      </c>
      <c r="O17830" t="s">
        <v>49702</v>
      </c>
      <c r="T17830" t="s">
        <v>24185</v>
      </c>
    </row>
    <row r="17831" spans="1:20" x14ac:dyDescent="0.25">
      <c r="A17831" t="str">
        <f>"3059785"</f>
        <v>3059785</v>
      </c>
      <c r="B17831" t="s">
        <v>54750</v>
      </c>
      <c r="C17831" t="str">
        <f t="shared" si="262"/>
        <v>69980000</v>
      </c>
      <c r="D17831" t="s">
        <v>49702</v>
      </c>
      <c r="E17831" t="s">
        <v>24185</v>
      </c>
      <c r="F17831" t="s">
        <v>9579</v>
      </c>
      <c r="I17831" t="s">
        <v>9580</v>
      </c>
      <c r="J17831" t="s">
        <v>30</v>
      </c>
      <c r="K17831" t="s">
        <v>16893</v>
      </c>
      <c r="M17831" t="s">
        <v>50621</v>
      </c>
      <c r="N17831" t="str">
        <f t="shared" si="263"/>
        <v>11/16/2022 3:10:00 PM</v>
      </c>
      <c r="O17831" t="s">
        <v>49702</v>
      </c>
      <c r="T17831" t="s">
        <v>24185</v>
      </c>
    </row>
    <row r="17832" spans="1:20" x14ac:dyDescent="0.25">
      <c r="A17832" t="str">
        <f>"3062184"</f>
        <v>3062184</v>
      </c>
      <c r="B17832" t="s">
        <v>54751</v>
      </c>
      <c r="C17832" t="str">
        <f t="shared" si="262"/>
        <v>69980000</v>
      </c>
      <c r="D17832" t="s">
        <v>49702</v>
      </c>
      <c r="E17832" t="s">
        <v>24185</v>
      </c>
      <c r="F17832" t="s">
        <v>9579</v>
      </c>
      <c r="I17832" t="s">
        <v>9580</v>
      </c>
      <c r="J17832" t="s">
        <v>30</v>
      </c>
      <c r="K17832" t="s">
        <v>16893</v>
      </c>
      <c r="M17832" t="s">
        <v>50621</v>
      </c>
      <c r="N17832" t="str">
        <f t="shared" si="263"/>
        <v>11/16/2022 3:10:00 PM</v>
      </c>
      <c r="O17832" t="s">
        <v>49702</v>
      </c>
      <c r="T17832" t="s">
        <v>24185</v>
      </c>
    </row>
    <row r="17833" spans="1:20" x14ac:dyDescent="0.25">
      <c r="A17833" t="str">
        <f>"3058135"</f>
        <v>3058135</v>
      </c>
      <c r="B17833" t="s">
        <v>54752</v>
      </c>
      <c r="C17833" t="str">
        <f>"8319160"</f>
        <v>8319160</v>
      </c>
      <c r="D17833" t="s">
        <v>54753</v>
      </c>
      <c r="E17833" t="s">
        <v>54754</v>
      </c>
      <c r="F17833" t="s">
        <v>54755</v>
      </c>
      <c r="I17833" t="s">
        <v>184</v>
      </c>
      <c r="J17833" t="s">
        <v>30</v>
      </c>
      <c r="K17833" t="s">
        <v>22814</v>
      </c>
      <c r="M17833" t="s">
        <v>17861</v>
      </c>
      <c r="N17833" t="str">
        <f>"11/17/2022 10:53:00 AM"</f>
        <v>11/17/2022 10:53:00 AM</v>
      </c>
      <c r="O17833" t="s">
        <v>54753</v>
      </c>
      <c r="T17833" t="s">
        <v>54754</v>
      </c>
    </row>
    <row r="17834" spans="1:20" x14ac:dyDescent="0.25">
      <c r="A17834" t="str">
        <f>"3050207"</f>
        <v>3050207</v>
      </c>
      <c r="B17834" t="s">
        <v>54756</v>
      </c>
      <c r="C17834" t="str">
        <f>"8319161"</f>
        <v>8319161</v>
      </c>
      <c r="D17834" t="str">
        <f>"BARR CHARLES/MARY SUE"</f>
        <v>BARR CHARLES/MARY SUE</v>
      </c>
      <c r="E17834" t="s">
        <v>54757</v>
      </c>
      <c r="F17834" t="s">
        <v>54758</v>
      </c>
      <c r="I17834" t="s">
        <v>29</v>
      </c>
      <c r="J17834" t="s">
        <v>30</v>
      </c>
      <c r="K17834" t="s">
        <v>9905</v>
      </c>
      <c r="M17834" t="s">
        <v>17861</v>
      </c>
      <c r="N17834" t="str">
        <f>"11/17/2022 11:00:00 AM"</f>
        <v>11/17/2022 11:00:00 AM</v>
      </c>
      <c r="O17834" t="str">
        <f>"BARR CHARLES/MARY SUE"</f>
        <v>BARR CHARLES/MARY SUE</v>
      </c>
      <c r="T17834" t="s">
        <v>54757</v>
      </c>
    </row>
    <row r="17835" spans="1:20" x14ac:dyDescent="0.25">
      <c r="A17835" t="str">
        <f>"3052885"</f>
        <v>3052885</v>
      </c>
      <c r="B17835" t="s">
        <v>54759</v>
      </c>
      <c r="C17835" t="str">
        <f>"8319149"</f>
        <v>8319149</v>
      </c>
      <c r="D17835" t="s">
        <v>54760</v>
      </c>
      <c r="E17835" t="s">
        <v>54761</v>
      </c>
      <c r="F17835" t="s">
        <v>54762</v>
      </c>
      <c r="I17835" t="s">
        <v>29</v>
      </c>
      <c r="J17835" t="s">
        <v>30</v>
      </c>
      <c r="K17835" t="s">
        <v>54763</v>
      </c>
      <c r="M17835" t="s">
        <v>17861</v>
      </c>
      <c r="N17835" t="str">
        <f>"11/15/2022 10:03:00 AM"</f>
        <v>11/15/2022 10:03:00 AM</v>
      </c>
      <c r="O17835" t="s">
        <v>54760</v>
      </c>
      <c r="T17835" t="s">
        <v>54761</v>
      </c>
    </row>
    <row r="17836" spans="1:20" x14ac:dyDescent="0.25">
      <c r="A17836" t="str">
        <f>"3055527"</f>
        <v>3055527</v>
      </c>
      <c r="B17836" t="s">
        <v>54764</v>
      </c>
      <c r="C17836" t="str">
        <f t="shared" ref="C17836:C17841" si="264">"82514642"</f>
        <v>82514642</v>
      </c>
      <c r="D17836" t="s">
        <v>54765</v>
      </c>
      <c r="E17836" t="s">
        <v>54766</v>
      </c>
      <c r="F17836" t="s">
        <v>54767</v>
      </c>
      <c r="I17836" t="s">
        <v>29</v>
      </c>
      <c r="J17836" t="s">
        <v>30</v>
      </c>
      <c r="K17836" t="s">
        <v>16526</v>
      </c>
      <c r="M17836" t="s">
        <v>50793</v>
      </c>
      <c r="N17836" t="str">
        <f t="shared" ref="N17836:N17841" si="265">"11/15/2022 2:34:00 PM"</f>
        <v>11/15/2022 2:34:00 PM</v>
      </c>
      <c r="O17836" t="s">
        <v>54765</v>
      </c>
      <c r="T17836" t="s">
        <v>54766</v>
      </c>
    </row>
    <row r="17837" spans="1:20" x14ac:dyDescent="0.25">
      <c r="A17837" t="str">
        <f>"3055440"</f>
        <v>3055440</v>
      </c>
      <c r="B17837" t="s">
        <v>54768</v>
      </c>
      <c r="C17837" t="str">
        <f t="shared" si="264"/>
        <v>82514642</v>
      </c>
      <c r="D17837" t="s">
        <v>54765</v>
      </c>
      <c r="E17837" t="s">
        <v>54766</v>
      </c>
      <c r="F17837" t="s">
        <v>54767</v>
      </c>
      <c r="I17837" t="s">
        <v>29</v>
      </c>
      <c r="J17837" t="s">
        <v>30</v>
      </c>
      <c r="K17837" t="s">
        <v>16526</v>
      </c>
      <c r="M17837" t="s">
        <v>50793</v>
      </c>
      <c r="N17837" t="str">
        <f t="shared" si="265"/>
        <v>11/15/2022 2:34:00 PM</v>
      </c>
      <c r="O17837" t="s">
        <v>54765</v>
      </c>
      <c r="T17837" t="s">
        <v>54766</v>
      </c>
    </row>
    <row r="17838" spans="1:20" x14ac:dyDescent="0.25">
      <c r="A17838" t="str">
        <f>"3067277"</f>
        <v>3067277</v>
      </c>
      <c r="B17838" t="s">
        <v>54769</v>
      </c>
      <c r="C17838" t="str">
        <f t="shared" si="264"/>
        <v>82514642</v>
      </c>
      <c r="D17838" t="s">
        <v>54765</v>
      </c>
      <c r="E17838" t="s">
        <v>54766</v>
      </c>
      <c r="F17838" t="s">
        <v>54767</v>
      </c>
      <c r="I17838" t="s">
        <v>29</v>
      </c>
      <c r="J17838" t="s">
        <v>30</v>
      </c>
      <c r="K17838" t="s">
        <v>16526</v>
      </c>
      <c r="M17838" t="s">
        <v>50793</v>
      </c>
      <c r="N17838" t="str">
        <f t="shared" si="265"/>
        <v>11/15/2022 2:34:00 PM</v>
      </c>
      <c r="O17838" t="s">
        <v>54765</v>
      </c>
      <c r="T17838" t="s">
        <v>54766</v>
      </c>
    </row>
    <row r="17839" spans="1:20" x14ac:dyDescent="0.25">
      <c r="A17839" t="str">
        <f>"3067279"</f>
        <v>3067279</v>
      </c>
      <c r="B17839" t="s">
        <v>54770</v>
      </c>
      <c r="C17839" t="str">
        <f t="shared" si="264"/>
        <v>82514642</v>
      </c>
      <c r="D17839" t="s">
        <v>54765</v>
      </c>
      <c r="E17839" t="s">
        <v>54766</v>
      </c>
      <c r="F17839" t="s">
        <v>54767</v>
      </c>
      <c r="I17839" t="s">
        <v>29</v>
      </c>
      <c r="J17839" t="s">
        <v>30</v>
      </c>
      <c r="K17839" t="s">
        <v>16526</v>
      </c>
      <c r="M17839" t="s">
        <v>50793</v>
      </c>
      <c r="N17839" t="str">
        <f t="shared" si="265"/>
        <v>11/15/2022 2:34:00 PM</v>
      </c>
      <c r="O17839" t="s">
        <v>54765</v>
      </c>
      <c r="T17839" t="s">
        <v>54766</v>
      </c>
    </row>
    <row r="17840" spans="1:20" x14ac:dyDescent="0.25">
      <c r="A17840" t="str">
        <f>"3067251"</f>
        <v>3067251</v>
      </c>
      <c r="B17840" t="s">
        <v>54771</v>
      </c>
      <c r="C17840" t="str">
        <f t="shared" si="264"/>
        <v>82514642</v>
      </c>
      <c r="D17840" t="s">
        <v>54765</v>
      </c>
      <c r="E17840" t="s">
        <v>54766</v>
      </c>
      <c r="F17840" t="s">
        <v>54767</v>
      </c>
      <c r="I17840" t="s">
        <v>29</v>
      </c>
      <c r="J17840" t="s">
        <v>30</v>
      </c>
      <c r="K17840" t="s">
        <v>16526</v>
      </c>
      <c r="M17840" t="s">
        <v>50793</v>
      </c>
      <c r="N17840" t="str">
        <f t="shared" si="265"/>
        <v>11/15/2022 2:34:00 PM</v>
      </c>
      <c r="O17840" t="s">
        <v>54765</v>
      </c>
      <c r="T17840" t="s">
        <v>54766</v>
      </c>
    </row>
    <row r="17841" spans="1:20" x14ac:dyDescent="0.25">
      <c r="A17841" t="str">
        <f>"3078882"</f>
        <v>3078882</v>
      </c>
      <c r="B17841" t="s">
        <v>54772</v>
      </c>
      <c r="C17841" t="str">
        <f t="shared" si="264"/>
        <v>82514642</v>
      </c>
      <c r="D17841" t="s">
        <v>54765</v>
      </c>
      <c r="E17841" t="s">
        <v>54766</v>
      </c>
      <c r="F17841" t="s">
        <v>54767</v>
      </c>
      <c r="I17841" t="s">
        <v>29</v>
      </c>
      <c r="J17841" t="s">
        <v>30</v>
      </c>
      <c r="K17841" t="s">
        <v>16526</v>
      </c>
      <c r="M17841" t="s">
        <v>50793</v>
      </c>
      <c r="N17841" t="str">
        <f t="shared" si="265"/>
        <v>11/15/2022 2:34:00 PM</v>
      </c>
      <c r="O17841" t="s">
        <v>54765</v>
      </c>
      <c r="T17841" t="s">
        <v>54766</v>
      </c>
    </row>
    <row r="17842" spans="1:20" x14ac:dyDescent="0.25">
      <c r="A17842" t="str">
        <f>"3054292"</f>
        <v>3054292</v>
      </c>
      <c r="B17842" t="s">
        <v>54773</v>
      </c>
      <c r="C17842" t="str">
        <f>"8319157"</f>
        <v>8319157</v>
      </c>
      <c r="D17842" t="s">
        <v>30061</v>
      </c>
      <c r="F17842" t="s">
        <v>54774</v>
      </c>
      <c r="I17842" t="s">
        <v>29</v>
      </c>
      <c r="J17842" t="s">
        <v>30</v>
      </c>
      <c r="K17842" t="str">
        <f>"27028"</f>
        <v>27028</v>
      </c>
      <c r="M17842" t="s">
        <v>17861</v>
      </c>
      <c r="N17842" t="str">
        <f>"11/16/2022 10:37:00 AM"</f>
        <v>11/16/2022 10:37:00 AM</v>
      </c>
      <c r="O17842" t="s">
        <v>30061</v>
      </c>
    </row>
    <row r="17843" spans="1:20" x14ac:dyDescent="0.25">
      <c r="A17843" t="str">
        <f>"3038137"</f>
        <v>3038137</v>
      </c>
      <c r="B17843" t="s">
        <v>54775</v>
      </c>
      <c r="C17843" t="str">
        <f>"8319158"</f>
        <v>8319158</v>
      </c>
      <c r="D17843" t="s">
        <v>54776</v>
      </c>
      <c r="F17843" t="s">
        <v>54777</v>
      </c>
      <c r="I17843" t="s">
        <v>29</v>
      </c>
      <c r="J17843" t="s">
        <v>30</v>
      </c>
      <c r="K17843" t="s">
        <v>28608</v>
      </c>
      <c r="M17843" t="s">
        <v>17861</v>
      </c>
      <c r="N17843" t="str">
        <f>"11/16/2022 10:46:00 AM"</f>
        <v>11/16/2022 10:46:00 AM</v>
      </c>
      <c r="O17843" t="s">
        <v>54776</v>
      </c>
    </row>
    <row r="17844" spans="1:20" x14ac:dyDescent="0.25">
      <c r="A17844" t="str">
        <f>"3069358"</f>
        <v>3069358</v>
      </c>
      <c r="B17844" t="s">
        <v>54778</v>
      </c>
      <c r="C17844" t="str">
        <f>"8319158"</f>
        <v>8319158</v>
      </c>
      <c r="D17844" t="s">
        <v>54776</v>
      </c>
      <c r="F17844" t="s">
        <v>54777</v>
      </c>
      <c r="I17844" t="s">
        <v>29</v>
      </c>
      <c r="J17844" t="s">
        <v>30</v>
      </c>
      <c r="K17844" t="s">
        <v>28608</v>
      </c>
      <c r="M17844" t="s">
        <v>17861</v>
      </c>
      <c r="N17844" t="str">
        <f>"11/16/2022 10:46:00 AM"</f>
        <v>11/16/2022 10:46:00 AM</v>
      </c>
      <c r="O17844" t="s">
        <v>54776</v>
      </c>
    </row>
    <row r="17845" spans="1:20" x14ac:dyDescent="0.25">
      <c r="A17845" t="str">
        <f>"3055255"</f>
        <v>3055255</v>
      </c>
      <c r="B17845" t="s">
        <v>54779</v>
      </c>
      <c r="C17845" t="str">
        <f>"8319159"</f>
        <v>8319159</v>
      </c>
      <c r="D17845" t="s">
        <v>54780</v>
      </c>
      <c r="E17845" t="s">
        <v>54781</v>
      </c>
      <c r="F17845" t="s">
        <v>54782</v>
      </c>
      <c r="I17845" t="s">
        <v>29</v>
      </c>
      <c r="J17845" t="s">
        <v>30</v>
      </c>
      <c r="K17845" t="s">
        <v>45847</v>
      </c>
      <c r="M17845" t="s">
        <v>17861</v>
      </c>
      <c r="N17845" t="str">
        <f>"11/16/2022 10:54:00 AM"</f>
        <v>11/16/2022 10:54:00 AM</v>
      </c>
      <c r="O17845" t="s">
        <v>54780</v>
      </c>
      <c r="T17845" t="s">
        <v>54781</v>
      </c>
    </row>
    <row r="17846" spans="1:20" x14ac:dyDescent="0.25">
      <c r="A17846" t="str">
        <f>"3055069"</f>
        <v>3055069</v>
      </c>
      <c r="B17846" t="s">
        <v>54783</v>
      </c>
      <c r="C17846" t="str">
        <f t="shared" ref="C17846:C17858" si="266">"69980000"</f>
        <v>69980000</v>
      </c>
      <c r="D17846" t="s">
        <v>49702</v>
      </c>
      <c r="E17846" t="s">
        <v>24185</v>
      </c>
      <c r="F17846" t="s">
        <v>9579</v>
      </c>
      <c r="I17846" t="s">
        <v>9580</v>
      </c>
      <c r="J17846" t="s">
        <v>30</v>
      </c>
      <c r="K17846" t="s">
        <v>16893</v>
      </c>
      <c r="M17846" t="s">
        <v>50621</v>
      </c>
      <c r="N17846" t="str">
        <f t="shared" ref="N17846:N17858" si="267">"11/16/2022 3:10:00 PM"</f>
        <v>11/16/2022 3:10:00 PM</v>
      </c>
      <c r="O17846" t="s">
        <v>49702</v>
      </c>
      <c r="T17846" t="s">
        <v>24185</v>
      </c>
    </row>
    <row r="17847" spans="1:20" x14ac:dyDescent="0.25">
      <c r="A17847" t="str">
        <f>"3054689"</f>
        <v>3054689</v>
      </c>
      <c r="B17847" t="s">
        <v>54784</v>
      </c>
      <c r="C17847" t="str">
        <f t="shared" si="266"/>
        <v>69980000</v>
      </c>
      <c r="D17847" t="s">
        <v>49702</v>
      </c>
      <c r="E17847" t="s">
        <v>24185</v>
      </c>
      <c r="F17847" t="s">
        <v>9579</v>
      </c>
      <c r="I17847" t="s">
        <v>9580</v>
      </c>
      <c r="J17847" t="s">
        <v>30</v>
      </c>
      <c r="K17847" t="s">
        <v>16893</v>
      </c>
      <c r="M17847" t="s">
        <v>50621</v>
      </c>
      <c r="N17847" t="str">
        <f t="shared" si="267"/>
        <v>11/16/2022 3:10:00 PM</v>
      </c>
      <c r="O17847" t="s">
        <v>49702</v>
      </c>
      <c r="T17847" t="s">
        <v>24185</v>
      </c>
    </row>
    <row r="17848" spans="1:20" x14ac:dyDescent="0.25">
      <c r="A17848" t="str">
        <f>"3054478"</f>
        <v>3054478</v>
      </c>
      <c r="B17848" t="s">
        <v>54785</v>
      </c>
      <c r="C17848" t="str">
        <f t="shared" si="266"/>
        <v>69980000</v>
      </c>
      <c r="D17848" t="s">
        <v>49702</v>
      </c>
      <c r="E17848" t="s">
        <v>24185</v>
      </c>
      <c r="F17848" t="s">
        <v>9579</v>
      </c>
      <c r="I17848" t="s">
        <v>9580</v>
      </c>
      <c r="J17848" t="s">
        <v>30</v>
      </c>
      <c r="K17848" t="s">
        <v>16893</v>
      </c>
      <c r="M17848" t="s">
        <v>50621</v>
      </c>
      <c r="N17848" t="str">
        <f t="shared" si="267"/>
        <v>11/16/2022 3:10:00 PM</v>
      </c>
      <c r="O17848" t="s">
        <v>49702</v>
      </c>
      <c r="T17848" t="s">
        <v>24185</v>
      </c>
    </row>
    <row r="17849" spans="1:20" x14ac:dyDescent="0.25">
      <c r="A17849" t="str">
        <f>"3054196"</f>
        <v>3054196</v>
      </c>
      <c r="B17849" t="s">
        <v>54786</v>
      </c>
      <c r="C17849" t="str">
        <f t="shared" si="266"/>
        <v>69980000</v>
      </c>
      <c r="D17849" t="s">
        <v>49702</v>
      </c>
      <c r="E17849" t="s">
        <v>24185</v>
      </c>
      <c r="F17849" t="s">
        <v>9579</v>
      </c>
      <c r="I17849" t="s">
        <v>9580</v>
      </c>
      <c r="J17849" t="s">
        <v>30</v>
      </c>
      <c r="K17849" t="s">
        <v>16893</v>
      </c>
      <c r="M17849" t="s">
        <v>50621</v>
      </c>
      <c r="N17849" t="str">
        <f t="shared" si="267"/>
        <v>11/16/2022 3:10:00 PM</v>
      </c>
      <c r="O17849" t="s">
        <v>49702</v>
      </c>
      <c r="T17849" t="s">
        <v>24185</v>
      </c>
    </row>
    <row r="17850" spans="1:20" x14ac:dyDescent="0.25">
      <c r="A17850" t="str">
        <f>"3054197"</f>
        <v>3054197</v>
      </c>
      <c r="B17850" t="s">
        <v>54787</v>
      </c>
      <c r="C17850" t="str">
        <f t="shared" si="266"/>
        <v>69980000</v>
      </c>
      <c r="D17850" t="s">
        <v>49702</v>
      </c>
      <c r="E17850" t="s">
        <v>24185</v>
      </c>
      <c r="F17850" t="s">
        <v>9579</v>
      </c>
      <c r="I17850" t="s">
        <v>9580</v>
      </c>
      <c r="J17850" t="s">
        <v>30</v>
      </c>
      <c r="K17850" t="s">
        <v>16893</v>
      </c>
      <c r="M17850" t="s">
        <v>50621</v>
      </c>
      <c r="N17850" t="str">
        <f t="shared" si="267"/>
        <v>11/16/2022 3:10:00 PM</v>
      </c>
      <c r="O17850" t="s">
        <v>49702</v>
      </c>
      <c r="T17850" t="s">
        <v>24185</v>
      </c>
    </row>
    <row r="17851" spans="1:20" x14ac:dyDescent="0.25">
      <c r="A17851" t="str">
        <f>"3054184"</f>
        <v>3054184</v>
      </c>
      <c r="B17851" t="s">
        <v>54788</v>
      </c>
      <c r="C17851" t="str">
        <f t="shared" si="266"/>
        <v>69980000</v>
      </c>
      <c r="D17851" t="s">
        <v>49702</v>
      </c>
      <c r="E17851" t="s">
        <v>24185</v>
      </c>
      <c r="F17851" t="s">
        <v>9579</v>
      </c>
      <c r="I17851" t="s">
        <v>9580</v>
      </c>
      <c r="J17851" t="s">
        <v>30</v>
      </c>
      <c r="K17851" t="s">
        <v>16893</v>
      </c>
      <c r="M17851" t="s">
        <v>50621</v>
      </c>
      <c r="N17851" t="str">
        <f t="shared" si="267"/>
        <v>11/16/2022 3:10:00 PM</v>
      </c>
      <c r="O17851" t="s">
        <v>49702</v>
      </c>
      <c r="T17851" t="s">
        <v>24185</v>
      </c>
    </row>
    <row r="17852" spans="1:20" x14ac:dyDescent="0.25">
      <c r="A17852" t="str">
        <f>"3054179"</f>
        <v>3054179</v>
      </c>
      <c r="B17852" t="s">
        <v>54789</v>
      </c>
      <c r="C17852" t="str">
        <f t="shared" si="266"/>
        <v>69980000</v>
      </c>
      <c r="D17852" t="s">
        <v>49702</v>
      </c>
      <c r="E17852" t="s">
        <v>24185</v>
      </c>
      <c r="F17852" t="s">
        <v>9579</v>
      </c>
      <c r="I17852" t="s">
        <v>9580</v>
      </c>
      <c r="J17852" t="s">
        <v>30</v>
      </c>
      <c r="K17852" t="s">
        <v>16893</v>
      </c>
      <c r="M17852" t="s">
        <v>50621</v>
      </c>
      <c r="N17852" t="str">
        <f t="shared" si="267"/>
        <v>11/16/2022 3:10:00 PM</v>
      </c>
      <c r="O17852" t="s">
        <v>49702</v>
      </c>
      <c r="T17852" t="s">
        <v>24185</v>
      </c>
    </row>
    <row r="17853" spans="1:20" x14ac:dyDescent="0.25">
      <c r="A17853" t="str">
        <f>"3054195"</f>
        <v>3054195</v>
      </c>
      <c r="B17853" t="s">
        <v>54790</v>
      </c>
      <c r="C17853" t="str">
        <f t="shared" si="266"/>
        <v>69980000</v>
      </c>
      <c r="D17853" t="s">
        <v>49702</v>
      </c>
      <c r="E17853" t="s">
        <v>24185</v>
      </c>
      <c r="F17853" t="s">
        <v>9579</v>
      </c>
      <c r="I17853" t="s">
        <v>9580</v>
      </c>
      <c r="J17853" t="s">
        <v>30</v>
      </c>
      <c r="K17853" t="s">
        <v>16893</v>
      </c>
      <c r="M17853" t="s">
        <v>50621</v>
      </c>
      <c r="N17853" t="str">
        <f t="shared" si="267"/>
        <v>11/16/2022 3:10:00 PM</v>
      </c>
      <c r="O17853" t="s">
        <v>49702</v>
      </c>
      <c r="T17853" t="s">
        <v>24185</v>
      </c>
    </row>
    <row r="17854" spans="1:20" x14ac:dyDescent="0.25">
      <c r="A17854" t="str">
        <f>"3054191"</f>
        <v>3054191</v>
      </c>
      <c r="B17854" t="s">
        <v>54791</v>
      </c>
      <c r="C17854" t="str">
        <f t="shared" si="266"/>
        <v>69980000</v>
      </c>
      <c r="D17854" t="s">
        <v>49702</v>
      </c>
      <c r="E17854" t="s">
        <v>24185</v>
      </c>
      <c r="F17854" t="s">
        <v>9579</v>
      </c>
      <c r="I17854" t="s">
        <v>9580</v>
      </c>
      <c r="J17854" t="s">
        <v>30</v>
      </c>
      <c r="K17854" t="s">
        <v>16893</v>
      </c>
      <c r="M17854" t="s">
        <v>50621</v>
      </c>
      <c r="N17854" t="str">
        <f t="shared" si="267"/>
        <v>11/16/2022 3:10:00 PM</v>
      </c>
      <c r="O17854" t="s">
        <v>49702</v>
      </c>
      <c r="T17854" t="s">
        <v>24185</v>
      </c>
    </row>
    <row r="17855" spans="1:20" x14ac:dyDescent="0.25">
      <c r="A17855" t="str">
        <f>"3055693"</f>
        <v>3055693</v>
      </c>
      <c r="B17855" t="s">
        <v>54792</v>
      </c>
      <c r="C17855" t="str">
        <f t="shared" si="266"/>
        <v>69980000</v>
      </c>
      <c r="D17855" t="s">
        <v>49702</v>
      </c>
      <c r="E17855" t="s">
        <v>24185</v>
      </c>
      <c r="F17855" t="s">
        <v>9579</v>
      </c>
      <c r="I17855" t="s">
        <v>9580</v>
      </c>
      <c r="J17855" t="s">
        <v>30</v>
      </c>
      <c r="K17855" t="s">
        <v>16893</v>
      </c>
      <c r="M17855" t="s">
        <v>50621</v>
      </c>
      <c r="N17855" t="str">
        <f t="shared" si="267"/>
        <v>11/16/2022 3:10:00 PM</v>
      </c>
      <c r="O17855" t="s">
        <v>49702</v>
      </c>
      <c r="T17855" t="s">
        <v>24185</v>
      </c>
    </row>
    <row r="17856" spans="1:20" x14ac:dyDescent="0.25">
      <c r="A17856" t="str">
        <f>"3055680"</f>
        <v>3055680</v>
      </c>
      <c r="B17856" t="s">
        <v>54793</v>
      </c>
      <c r="C17856" t="str">
        <f t="shared" si="266"/>
        <v>69980000</v>
      </c>
      <c r="D17856" t="s">
        <v>49702</v>
      </c>
      <c r="E17856" t="s">
        <v>24185</v>
      </c>
      <c r="F17856" t="s">
        <v>9579</v>
      </c>
      <c r="I17856" t="s">
        <v>9580</v>
      </c>
      <c r="J17856" t="s">
        <v>30</v>
      </c>
      <c r="K17856" t="s">
        <v>16893</v>
      </c>
      <c r="M17856" t="s">
        <v>50621</v>
      </c>
      <c r="N17856" t="str">
        <f t="shared" si="267"/>
        <v>11/16/2022 3:10:00 PM</v>
      </c>
      <c r="O17856" t="s">
        <v>49702</v>
      </c>
      <c r="T17856" t="s">
        <v>24185</v>
      </c>
    </row>
    <row r="17857" spans="1:20" x14ac:dyDescent="0.25">
      <c r="A17857" t="str">
        <f>"3056083"</f>
        <v>3056083</v>
      </c>
      <c r="B17857" t="s">
        <v>54794</v>
      </c>
      <c r="C17857" t="str">
        <f t="shared" si="266"/>
        <v>69980000</v>
      </c>
      <c r="D17857" t="s">
        <v>49702</v>
      </c>
      <c r="E17857" t="s">
        <v>24185</v>
      </c>
      <c r="F17857" t="s">
        <v>9579</v>
      </c>
      <c r="I17857" t="s">
        <v>9580</v>
      </c>
      <c r="J17857" t="s">
        <v>30</v>
      </c>
      <c r="K17857" t="s">
        <v>16893</v>
      </c>
      <c r="M17857" t="s">
        <v>50621</v>
      </c>
      <c r="N17857" t="str">
        <f t="shared" si="267"/>
        <v>11/16/2022 3:10:00 PM</v>
      </c>
      <c r="O17857" t="s">
        <v>49702</v>
      </c>
      <c r="T17857" t="s">
        <v>24185</v>
      </c>
    </row>
    <row r="17858" spans="1:20" x14ac:dyDescent="0.25">
      <c r="A17858" t="str">
        <f>"3052969"</f>
        <v>3052969</v>
      </c>
      <c r="B17858" t="s">
        <v>54795</v>
      </c>
      <c r="C17858" t="str">
        <f t="shared" si="266"/>
        <v>69980000</v>
      </c>
      <c r="D17858" t="s">
        <v>49702</v>
      </c>
      <c r="E17858" t="s">
        <v>24185</v>
      </c>
      <c r="F17858" t="s">
        <v>9579</v>
      </c>
      <c r="I17858" t="s">
        <v>9580</v>
      </c>
      <c r="J17858" t="s">
        <v>30</v>
      </c>
      <c r="K17858" t="s">
        <v>16893</v>
      </c>
      <c r="M17858" t="s">
        <v>50621</v>
      </c>
      <c r="N17858" t="str">
        <f t="shared" si="267"/>
        <v>11/16/2022 3:10:00 PM</v>
      </c>
      <c r="O17858" t="s">
        <v>49702</v>
      </c>
      <c r="T17858" t="s">
        <v>24185</v>
      </c>
    </row>
    <row r="17859" spans="1:20" x14ac:dyDescent="0.25">
      <c r="A17859" t="str">
        <f>"3067656"</f>
        <v>3067656</v>
      </c>
      <c r="B17859" t="s">
        <v>54796</v>
      </c>
      <c r="C17859" t="str">
        <f>"8319162"</f>
        <v>8319162</v>
      </c>
      <c r="D17859" t="s">
        <v>54797</v>
      </c>
      <c r="E17859" t="s">
        <v>54798</v>
      </c>
      <c r="F17859" t="s">
        <v>38081</v>
      </c>
      <c r="I17859" t="s">
        <v>29</v>
      </c>
      <c r="J17859" t="s">
        <v>30</v>
      </c>
      <c r="K17859" t="s">
        <v>35098</v>
      </c>
      <c r="M17859" t="s">
        <v>17861</v>
      </c>
      <c r="N17859" t="str">
        <f>"11/17/2022 11:05:00 AM"</f>
        <v>11/17/2022 11:05:00 AM</v>
      </c>
      <c r="O17859" t="s">
        <v>54797</v>
      </c>
      <c r="T17859" t="s">
        <v>54798</v>
      </c>
    </row>
    <row r="17860" spans="1:20" x14ac:dyDescent="0.25">
      <c r="A17860" t="str">
        <f>"3060921"</f>
        <v>3060921</v>
      </c>
      <c r="B17860" t="s">
        <v>54799</v>
      </c>
      <c r="C17860" t="str">
        <f>"8319169"</f>
        <v>8319169</v>
      </c>
      <c r="D17860" t="s">
        <v>54800</v>
      </c>
      <c r="E17860" t="s">
        <v>54801</v>
      </c>
      <c r="F17860" t="s">
        <v>54802</v>
      </c>
      <c r="I17860" t="s">
        <v>2071</v>
      </c>
      <c r="J17860" t="s">
        <v>30</v>
      </c>
      <c r="K17860" t="s">
        <v>33837</v>
      </c>
      <c r="M17860" t="s">
        <v>17861</v>
      </c>
      <c r="N17860" t="str">
        <f>"11/17/2022 1:39:00 PM"</f>
        <v>11/17/2022 1:39:00 PM</v>
      </c>
      <c r="O17860" t="s">
        <v>54800</v>
      </c>
      <c r="T17860" t="s">
        <v>54801</v>
      </c>
    </row>
    <row r="17861" spans="1:20" x14ac:dyDescent="0.25">
      <c r="A17861" t="str">
        <f>"3078311"</f>
        <v>3078311</v>
      </c>
      <c r="B17861" t="s">
        <v>54803</v>
      </c>
      <c r="C17861" t="str">
        <f>"8317811"</f>
        <v>8317811</v>
      </c>
      <c r="D17861" t="s">
        <v>54804</v>
      </c>
      <c r="F17861" t="s">
        <v>49665</v>
      </c>
      <c r="I17861" t="s">
        <v>471</v>
      </c>
      <c r="J17861" t="s">
        <v>30</v>
      </c>
      <c r="K17861" t="str">
        <f>"27113"</f>
        <v>27113</v>
      </c>
      <c r="M17861" t="s">
        <v>50621</v>
      </c>
      <c r="N17861" t="str">
        <f>"11/22/2022 4:00:00 PM"</f>
        <v>11/22/2022 4:00:00 PM</v>
      </c>
      <c r="O17861" t="s">
        <v>54804</v>
      </c>
    </row>
    <row r="17862" spans="1:20" x14ac:dyDescent="0.25">
      <c r="A17862" t="str">
        <f>"3055543"</f>
        <v>3055543</v>
      </c>
      <c r="B17862" t="s">
        <v>54805</v>
      </c>
      <c r="C17862" t="str">
        <f>"8319187"</f>
        <v>8319187</v>
      </c>
      <c r="D17862" t="s">
        <v>54806</v>
      </c>
      <c r="E17862" t="s">
        <v>54807</v>
      </c>
      <c r="F17862" t="s">
        <v>54808</v>
      </c>
      <c r="I17862" t="s">
        <v>29</v>
      </c>
      <c r="J17862" t="s">
        <v>30</v>
      </c>
      <c r="K17862" t="s">
        <v>16305</v>
      </c>
      <c r="M17862" t="s">
        <v>17861</v>
      </c>
      <c r="N17862" t="str">
        <f>"11/22/2022 4:01:00 PM"</f>
        <v>11/22/2022 4:01:00 PM</v>
      </c>
      <c r="O17862" t="s">
        <v>54806</v>
      </c>
      <c r="T17862" t="s">
        <v>54807</v>
      </c>
    </row>
    <row r="17863" spans="1:20" x14ac:dyDescent="0.25">
      <c r="A17863" t="str">
        <f>"3059427"</f>
        <v>3059427</v>
      </c>
      <c r="B17863" t="s">
        <v>54809</v>
      </c>
      <c r="C17863" t="str">
        <f>"8319189"</f>
        <v>8319189</v>
      </c>
      <c r="D17863" t="s">
        <v>54810</v>
      </c>
      <c r="F17863" t="s">
        <v>54811</v>
      </c>
      <c r="I17863" t="s">
        <v>29</v>
      </c>
      <c r="J17863" t="s">
        <v>30</v>
      </c>
      <c r="K17863" t="s">
        <v>54812</v>
      </c>
      <c r="M17863" t="s">
        <v>17861</v>
      </c>
      <c r="N17863" t="str">
        <f>"11/22/2022 4:11:00 PM"</f>
        <v>11/22/2022 4:11:00 PM</v>
      </c>
      <c r="O17863" t="s">
        <v>54810</v>
      </c>
    </row>
    <row r="17864" spans="1:20" x14ac:dyDescent="0.25">
      <c r="A17864" t="str">
        <f>"3069844"</f>
        <v>3069844</v>
      </c>
      <c r="B17864" t="s">
        <v>54813</v>
      </c>
      <c r="C17864" t="str">
        <f>"8319190"</f>
        <v>8319190</v>
      </c>
      <c r="D17864" t="s">
        <v>54814</v>
      </c>
      <c r="F17864" t="s">
        <v>54815</v>
      </c>
      <c r="I17864" t="s">
        <v>2071</v>
      </c>
      <c r="J17864" t="s">
        <v>30</v>
      </c>
      <c r="K17864" t="s">
        <v>3728</v>
      </c>
      <c r="M17864" t="s">
        <v>17861</v>
      </c>
      <c r="N17864" t="str">
        <f>"11/22/2022 4:13:00 PM"</f>
        <v>11/22/2022 4:13:00 PM</v>
      </c>
      <c r="O17864" t="s">
        <v>54814</v>
      </c>
    </row>
    <row r="17865" spans="1:20" x14ac:dyDescent="0.25">
      <c r="A17865" t="str">
        <f>"3044546"</f>
        <v>3044546</v>
      </c>
      <c r="B17865" t="s">
        <v>54816</v>
      </c>
      <c r="C17865" t="str">
        <f>"8319191"</f>
        <v>8319191</v>
      </c>
      <c r="D17865" t="s">
        <v>54817</v>
      </c>
      <c r="E17865" t="s">
        <v>54818</v>
      </c>
      <c r="F17865" t="s">
        <v>54819</v>
      </c>
      <c r="I17865" t="s">
        <v>184</v>
      </c>
      <c r="J17865" t="s">
        <v>30</v>
      </c>
      <c r="K17865" t="s">
        <v>5682</v>
      </c>
      <c r="M17865" t="s">
        <v>17861</v>
      </c>
      <c r="N17865" t="str">
        <f>"11/23/2022 8:18:00 AM"</f>
        <v>11/23/2022 8:18:00 AM</v>
      </c>
      <c r="O17865" t="s">
        <v>54817</v>
      </c>
      <c r="T17865" t="s">
        <v>54818</v>
      </c>
    </row>
    <row r="17866" spans="1:20" x14ac:dyDescent="0.25">
      <c r="A17866" t="str">
        <f>"3052769"</f>
        <v>3052769</v>
      </c>
      <c r="B17866" t="s">
        <v>54820</v>
      </c>
      <c r="C17866" t="str">
        <f>"8319173"</f>
        <v>8319173</v>
      </c>
      <c r="D17866" t="s">
        <v>54821</v>
      </c>
      <c r="E17866" t="s">
        <v>54822</v>
      </c>
      <c r="F17866" t="s">
        <v>54823</v>
      </c>
      <c r="I17866" t="s">
        <v>29</v>
      </c>
      <c r="J17866" t="s">
        <v>30</v>
      </c>
      <c r="K17866" t="s">
        <v>14834</v>
      </c>
      <c r="M17866" t="s">
        <v>17861</v>
      </c>
      <c r="N17866" t="str">
        <f>"11/18/2022 8:49:00 AM"</f>
        <v>11/18/2022 8:49:00 AM</v>
      </c>
      <c r="O17866" t="s">
        <v>54821</v>
      </c>
      <c r="T17866" t="s">
        <v>54822</v>
      </c>
    </row>
    <row r="17867" spans="1:20" x14ac:dyDescent="0.25">
      <c r="A17867" t="str">
        <f>"3052763"</f>
        <v>3052763</v>
      </c>
      <c r="B17867" t="s">
        <v>54824</v>
      </c>
      <c r="C17867" t="str">
        <f>"8319173"</f>
        <v>8319173</v>
      </c>
      <c r="D17867" t="s">
        <v>54821</v>
      </c>
      <c r="E17867" t="s">
        <v>54822</v>
      </c>
      <c r="F17867" t="s">
        <v>54823</v>
      </c>
      <c r="I17867" t="s">
        <v>29</v>
      </c>
      <c r="J17867" t="s">
        <v>30</v>
      </c>
      <c r="K17867" t="s">
        <v>14834</v>
      </c>
      <c r="M17867" t="s">
        <v>17861</v>
      </c>
      <c r="N17867" t="str">
        <f>"11/18/2022 8:49:00 AM"</f>
        <v>11/18/2022 8:49:00 AM</v>
      </c>
      <c r="O17867" t="s">
        <v>54821</v>
      </c>
      <c r="T17867" t="s">
        <v>54822</v>
      </c>
    </row>
    <row r="17868" spans="1:20" x14ac:dyDescent="0.25">
      <c r="A17868" t="str">
        <f>"3039580"</f>
        <v>3039580</v>
      </c>
      <c r="B17868" t="s">
        <v>54825</v>
      </c>
      <c r="C17868" t="str">
        <f>"8314785"</f>
        <v>8314785</v>
      </c>
      <c r="D17868" t="s">
        <v>54826</v>
      </c>
      <c r="E17868" t="s">
        <v>54827</v>
      </c>
      <c r="F17868" t="s">
        <v>54828</v>
      </c>
      <c r="I17868" t="s">
        <v>184</v>
      </c>
      <c r="J17868" t="s">
        <v>30</v>
      </c>
      <c r="K17868" t="str">
        <f>"27006"</f>
        <v>27006</v>
      </c>
      <c r="M17868" t="s">
        <v>50621</v>
      </c>
      <c r="N17868" t="str">
        <f>"11/18/2022 10:13:00 AM"</f>
        <v>11/18/2022 10:13:00 AM</v>
      </c>
      <c r="O17868" t="s">
        <v>54826</v>
      </c>
      <c r="T17868" t="s">
        <v>54827</v>
      </c>
    </row>
    <row r="17869" spans="1:20" x14ac:dyDescent="0.25">
      <c r="A17869" t="str">
        <f>"3045277"</f>
        <v>3045277</v>
      </c>
      <c r="B17869" t="s">
        <v>54829</v>
      </c>
      <c r="C17869" t="str">
        <f>"8317421"</f>
        <v>8317421</v>
      </c>
      <c r="D17869" t="str">
        <f>"DRAUGHN RONALD E/SYLVIA C"</f>
        <v>DRAUGHN RONALD E/SYLVIA C</v>
      </c>
      <c r="E17869" t="s">
        <v>54830</v>
      </c>
      <c r="F17869" t="s">
        <v>54831</v>
      </c>
      <c r="I17869" t="s">
        <v>29</v>
      </c>
      <c r="J17869" t="s">
        <v>30</v>
      </c>
      <c r="K17869" t="s">
        <v>27137</v>
      </c>
      <c r="M17869" t="s">
        <v>25733</v>
      </c>
      <c r="N17869" t="str">
        <f>"11/23/2022 2:52:00 PM"</f>
        <v>11/23/2022 2:52:00 PM</v>
      </c>
      <c r="O17869" t="str">
        <f>"DRAUGHN RONALD E/SYLVIA C"</f>
        <v>DRAUGHN RONALD E/SYLVIA C</v>
      </c>
      <c r="T17869" t="s">
        <v>54830</v>
      </c>
    </row>
    <row r="17870" spans="1:20" x14ac:dyDescent="0.25">
      <c r="A17870" t="str">
        <f>"3052083"</f>
        <v>3052083</v>
      </c>
      <c r="B17870" t="s">
        <v>54832</v>
      </c>
      <c r="C17870" t="str">
        <f>"8319179"</f>
        <v>8319179</v>
      </c>
      <c r="D17870" t="s">
        <v>54833</v>
      </c>
      <c r="F17870" t="s">
        <v>54834</v>
      </c>
      <c r="I17870" t="s">
        <v>29</v>
      </c>
      <c r="J17870" t="s">
        <v>30</v>
      </c>
      <c r="K17870" t="s">
        <v>54835</v>
      </c>
      <c r="M17870" t="s">
        <v>17861</v>
      </c>
      <c r="N17870" t="str">
        <f>"11/21/2022 9:08:00 AM"</f>
        <v>11/21/2022 9:08:00 AM</v>
      </c>
      <c r="O17870" t="s">
        <v>54833</v>
      </c>
    </row>
    <row r="17871" spans="1:20" x14ac:dyDescent="0.25">
      <c r="A17871" t="str">
        <f>"3041300"</f>
        <v>3041300</v>
      </c>
      <c r="B17871" t="s">
        <v>54836</v>
      </c>
      <c r="C17871" t="str">
        <f>"8319180"</f>
        <v>8319180</v>
      </c>
      <c r="D17871" t="s">
        <v>54837</v>
      </c>
      <c r="E17871" t="s">
        <v>54838</v>
      </c>
      <c r="F17871" t="s">
        <v>54839</v>
      </c>
      <c r="I17871" t="s">
        <v>184</v>
      </c>
      <c r="J17871" t="s">
        <v>30</v>
      </c>
      <c r="K17871" t="s">
        <v>2076</v>
      </c>
      <c r="M17871" t="s">
        <v>17861</v>
      </c>
      <c r="N17871" t="str">
        <f>"11/21/2022 9:19:00 AM"</f>
        <v>11/21/2022 9:19:00 AM</v>
      </c>
      <c r="O17871" t="s">
        <v>54837</v>
      </c>
      <c r="T17871" t="s">
        <v>54838</v>
      </c>
    </row>
    <row r="17872" spans="1:20" x14ac:dyDescent="0.25">
      <c r="A17872" t="str">
        <f>"3046787"</f>
        <v>3046787</v>
      </c>
      <c r="B17872" t="s">
        <v>54840</v>
      </c>
      <c r="C17872" t="str">
        <f>"50233500"</f>
        <v>50233500</v>
      </c>
      <c r="D17872" t="s">
        <v>54841</v>
      </c>
      <c r="E17872" t="s">
        <v>54842</v>
      </c>
      <c r="F17872" t="s">
        <v>54843</v>
      </c>
      <c r="I17872" t="s">
        <v>184</v>
      </c>
      <c r="J17872" t="s">
        <v>30</v>
      </c>
      <c r="K17872" t="s">
        <v>185</v>
      </c>
      <c r="M17872" t="s">
        <v>50621</v>
      </c>
      <c r="N17872" t="str">
        <f>"11/21/2022 9:38:00 AM"</f>
        <v>11/21/2022 9:38:00 AM</v>
      </c>
      <c r="O17872" t="s">
        <v>54841</v>
      </c>
      <c r="T17872" t="s">
        <v>54842</v>
      </c>
    </row>
    <row r="17873" spans="1:20" x14ac:dyDescent="0.25">
      <c r="A17873" t="str">
        <f>"3037467"</f>
        <v>3037467</v>
      </c>
      <c r="B17873" t="s">
        <v>54844</v>
      </c>
      <c r="C17873" t="str">
        <f>"8317142"</f>
        <v>8317142</v>
      </c>
      <c r="D17873" t="s">
        <v>54845</v>
      </c>
      <c r="F17873" t="s">
        <v>54846</v>
      </c>
      <c r="I17873" t="s">
        <v>8536</v>
      </c>
      <c r="J17873" t="s">
        <v>30</v>
      </c>
      <c r="K17873" t="s">
        <v>54847</v>
      </c>
      <c r="M17873" t="s">
        <v>17861</v>
      </c>
      <c r="N17873" t="str">
        <f>"11/21/2022 9:42:00 AM"</f>
        <v>11/21/2022 9:42:00 AM</v>
      </c>
      <c r="O17873" t="s">
        <v>54845</v>
      </c>
    </row>
    <row r="17874" spans="1:20" x14ac:dyDescent="0.25">
      <c r="A17874" t="str">
        <f>"3040784"</f>
        <v>3040784</v>
      </c>
      <c r="B17874" t="s">
        <v>54848</v>
      </c>
      <c r="C17874" t="str">
        <f>"8314560"</f>
        <v>8314560</v>
      </c>
      <c r="D17874" t="s">
        <v>54849</v>
      </c>
      <c r="E17874" t="s">
        <v>54850</v>
      </c>
      <c r="F17874" t="s">
        <v>54851</v>
      </c>
      <c r="I17874" t="s">
        <v>24359</v>
      </c>
      <c r="J17874" t="s">
        <v>30</v>
      </c>
      <c r="K17874" t="str">
        <f>"27006"</f>
        <v>27006</v>
      </c>
      <c r="M17874" t="s">
        <v>50621</v>
      </c>
      <c r="N17874" t="str">
        <f>"11/21/2022 11:16:00 AM"</f>
        <v>11/21/2022 11:16:00 AM</v>
      </c>
      <c r="O17874" t="s">
        <v>54849</v>
      </c>
      <c r="T17874" t="s">
        <v>54850</v>
      </c>
    </row>
    <row r="17875" spans="1:20" x14ac:dyDescent="0.25">
      <c r="A17875" t="str">
        <f>"3040304"</f>
        <v>3040304</v>
      </c>
      <c r="B17875" t="s">
        <v>54852</v>
      </c>
      <c r="C17875" t="str">
        <f>"8314560"</f>
        <v>8314560</v>
      </c>
      <c r="D17875" t="s">
        <v>54849</v>
      </c>
      <c r="E17875" t="s">
        <v>54850</v>
      </c>
      <c r="F17875" t="s">
        <v>54851</v>
      </c>
      <c r="I17875" t="s">
        <v>24359</v>
      </c>
      <c r="J17875" t="s">
        <v>30</v>
      </c>
      <c r="K17875" t="str">
        <f>"27006"</f>
        <v>27006</v>
      </c>
      <c r="M17875" t="s">
        <v>50621</v>
      </c>
      <c r="N17875" t="str">
        <f>"11/21/2022 11:16:00 AM"</f>
        <v>11/21/2022 11:16:00 AM</v>
      </c>
      <c r="O17875" t="s">
        <v>54849</v>
      </c>
      <c r="T17875" t="s">
        <v>54850</v>
      </c>
    </row>
    <row r="17876" spans="1:20" x14ac:dyDescent="0.25">
      <c r="A17876" t="str">
        <f>"3055396"</f>
        <v>3055396</v>
      </c>
      <c r="B17876" t="s">
        <v>54853</v>
      </c>
      <c r="C17876" t="str">
        <f>"8319182"</f>
        <v>8319182</v>
      </c>
      <c r="D17876" t="s">
        <v>54854</v>
      </c>
      <c r="E17876" t="s">
        <v>54855</v>
      </c>
      <c r="F17876" t="s">
        <v>54856</v>
      </c>
      <c r="I17876" t="s">
        <v>29</v>
      </c>
      <c r="J17876" t="s">
        <v>30</v>
      </c>
      <c r="K17876" t="s">
        <v>54857</v>
      </c>
      <c r="M17876" t="s">
        <v>17861</v>
      </c>
      <c r="N17876" t="str">
        <f>"11/21/2022 1:15:00 PM"</f>
        <v>11/21/2022 1:15:00 PM</v>
      </c>
      <c r="O17876" t="s">
        <v>54854</v>
      </c>
      <c r="T17876" t="s">
        <v>54855</v>
      </c>
    </row>
    <row r="17877" spans="1:20" x14ac:dyDescent="0.25">
      <c r="A17877" t="str">
        <f>"3060315"</f>
        <v>3060315</v>
      </c>
      <c r="B17877" t="s">
        <v>54858</v>
      </c>
      <c r="C17877" t="str">
        <f>"8314237"</f>
        <v>8314237</v>
      </c>
      <c r="D17877" t="s">
        <v>54859</v>
      </c>
      <c r="E17877" t="s">
        <v>54860</v>
      </c>
      <c r="F17877" t="s">
        <v>54861</v>
      </c>
      <c r="I17877" t="s">
        <v>29</v>
      </c>
      <c r="J17877" t="s">
        <v>30</v>
      </c>
      <c r="K17877" t="s">
        <v>44519</v>
      </c>
      <c r="M17877" t="s">
        <v>50793</v>
      </c>
      <c r="N17877" t="str">
        <f>"11/21/2022 1:17:00 PM"</f>
        <v>11/21/2022 1:17:00 PM</v>
      </c>
      <c r="O17877" t="s">
        <v>54859</v>
      </c>
      <c r="T17877" t="s">
        <v>54860</v>
      </c>
    </row>
    <row r="17878" spans="1:20" x14ac:dyDescent="0.25">
      <c r="A17878" t="str">
        <f>"3056313"</f>
        <v>3056313</v>
      </c>
      <c r="B17878" t="s">
        <v>54862</v>
      </c>
      <c r="C17878" t="str">
        <f>"82516232"</f>
        <v>82516232</v>
      </c>
      <c r="D17878" t="s">
        <v>54863</v>
      </c>
      <c r="E17878" t="s">
        <v>54864</v>
      </c>
      <c r="F17878" t="s">
        <v>54865</v>
      </c>
      <c r="I17878" t="s">
        <v>29</v>
      </c>
      <c r="J17878" t="s">
        <v>30</v>
      </c>
      <c r="K17878" t="s">
        <v>49119</v>
      </c>
      <c r="M17878" t="s">
        <v>50793</v>
      </c>
      <c r="N17878" t="str">
        <f>"11/21/2022 1:18:00 PM"</f>
        <v>11/21/2022 1:18:00 PM</v>
      </c>
      <c r="O17878" t="s">
        <v>54863</v>
      </c>
      <c r="T17878" t="s">
        <v>54864</v>
      </c>
    </row>
    <row r="17879" spans="1:20" x14ac:dyDescent="0.25">
      <c r="A17879" t="str">
        <f>"3056368"</f>
        <v>3056368</v>
      </c>
      <c r="B17879" t="s">
        <v>54866</v>
      </c>
      <c r="C17879" t="str">
        <f>"82516232"</f>
        <v>82516232</v>
      </c>
      <c r="D17879" t="s">
        <v>54863</v>
      </c>
      <c r="E17879" t="s">
        <v>54864</v>
      </c>
      <c r="F17879" t="s">
        <v>54865</v>
      </c>
      <c r="I17879" t="s">
        <v>29</v>
      </c>
      <c r="J17879" t="s">
        <v>30</v>
      </c>
      <c r="K17879" t="s">
        <v>49119</v>
      </c>
      <c r="M17879" t="s">
        <v>50793</v>
      </c>
      <c r="N17879" t="str">
        <f>"11/21/2022 1:18:00 PM"</f>
        <v>11/21/2022 1:18:00 PM</v>
      </c>
      <c r="O17879" t="s">
        <v>54863</v>
      </c>
      <c r="T17879" t="s">
        <v>54864</v>
      </c>
    </row>
    <row r="17880" spans="1:20" x14ac:dyDescent="0.25">
      <c r="A17880" t="str">
        <f>"3056791"</f>
        <v>3056791</v>
      </c>
      <c r="B17880" t="s">
        <v>54867</v>
      </c>
      <c r="C17880" t="str">
        <f>"82516232"</f>
        <v>82516232</v>
      </c>
      <c r="D17880" t="s">
        <v>54863</v>
      </c>
      <c r="E17880" t="s">
        <v>54864</v>
      </c>
      <c r="F17880" t="s">
        <v>54865</v>
      </c>
      <c r="I17880" t="s">
        <v>29</v>
      </c>
      <c r="J17880" t="s">
        <v>30</v>
      </c>
      <c r="K17880" t="s">
        <v>49119</v>
      </c>
      <c r="M17880" t="s">
        <v>50793</v>
      </c>
      <c r="N17880" t="str">
        <f>"11/21/2022 1:18:00 PM"</f>
        <v>11/21/2022 1:18:00 PM</v>
      </c>
      <c r="O17880" t="s">
        <v>54863</v>
      </c>
      <c r="T17880" t="s">
        <v>54864</v>
      </c>
    </row>
    <row r="17881" spans="1:20" x14ac:dyDescent="0.25">
      <c r="A17881" t="str">
        <f>"3039139"</f>
        <v>3039139</v>
      </c>
      <c r="B17881" t="s">
        <v>54868</v>
      </c>
      <c r="C17881" t="str">
        <f>"9110000"</f>
        <v>9110000</v>
      </c>
      <c r="D17881" t="s">
        <v>54869</v>
      </c>
      <c r="F17881" t="s">
        <v>54870</v>
      </c>
      <c r="I17881" t="s">
        <v>29</v>
      </c>
      <c r="J17881" t="s">
        <v>30</v>
      </c>
      <c r="K17881" t="s">
        <v>1215</v>
      </c>
      <c r="M17881" t="s">
        <v>50793</v>
      </c>
      <c r="N17881" t="str">
        <f>"11/21/2022 1:18:00 PM"</f>
        <v>11/21/2022 1:18:00 PM</v>
      </c>
      <c r="O17881" t="s">
        <v>54869</v>
      </c>
    </row>
    <row r="17882" spans="1:20" x14ac:dyDescent="0.25">
      <c r="A17882" t="str">
        <f>"3078303"</f>
        <v>3078303</v>
      </c>
      <c r="B17882" t="s">
        <v>54871</v>
      </c>
      <c r="C17882" t="str">
        <f>"8317811"</f>
        <v>8317811</v>
      </c>
      <c r="D17882" t="s">
        <v>54804</v>
      </c>
      <c r="F17882" t="s">
        <v>49665</v>
      </c>
      <c r="I17882" t="s">
        <v>471</v>
      </c>
      <c r="J17882" t="s">
        <v>30</v>
      </c>
      <c r="K17882" t="str">
        <f>"27113"</f>
        <v>27113</v>
      </c>
      <c r="M17882" t="s">
        <v>50621</v>
      </c>
      <c r="N17882" t="str">
        <f>"11/22/2022 4:00:00 PM"</f>
        <v>11/22/2022 4:00:00 PM</v>
      </c>
      <c r="O17882" t="s">
        <v>54804</v>
      </c>
    </row>
    <row r="17883" spans="1:20" x14ac:dyDescent="0.25">
      <c r="A17883" t="str">
        <f>"3058893"</f>
        <v>3058893</v>
      </c>
      <c r="B17883" t="s">
        <v>54872</v>
      </c>
      <c r="C17883" t="str">
        <f>"8319192"</f>
        <v>8319192</v>
      </c>
      <c r="D17883" t="s">
        <v>54873</v>
      </c>
      <c r="F17883" t="s">
        <v>54874</v>
      </c>
      <c r="I17883" t="s">
        <v>29</v>
      </c>
      <c r="J17883" t="s">
        <v>30</v>
      </c>
      <c r="K17883" t="s">
        <v>34090</v>
      </c>
      <c r="M17883" t="s">
        <v>17861</v>
      </c>
      <c r="N17883" t="str">
        <f>"11/23/2022 10:08:00 AM"</f>
        <v>11/23/2022 10:08:00 AM</v>
      </c>
      <c r="O17883" t="s">
        <v>54873</v>
      </c>
    </row>
    <row r="17884" spans="1:20" x14ac:dyDescent="0.25">
      <c r="A17884" t="str">
        <f>"3056332"</f>
        <v>3056332</v>
      </c>
      <c r="B17884" t="s">
        <v>54875</v>
      </c>
      <c r="C17884" t="str">
        <f>"8319195"</f>
        <v>8319195</v>
      </c>
      <c r="D17884" t="s">
        <v>54876</v>
      </c>
      <c r="F17884" t="s">
        <v>54877</v>
      </c>
      <c r="I17884" t="s">
        <v>9580</v>
      </c>
      <c r="J17884" t="s">
        <v>30</v>
      </c>
      <c r="K17884" t="s">
        <v>54878</v>
      </c>
      <c r="M17884" t="s">
        <v>17861</v>
      </c>
      <c r="N17884" t="str">
        <f>"11/23/2022 12:37:00 PM"</f>
        <v>11/23/2022 12:37:00 PM</v>
      </c>
      <c r="O17884" t="s">
        <v>54876</v>
      </c>
    </row>
    <row r="17885" spans="1:20" x14ac:dyDescent="0.25">
      <c r="A17885" t="str">
        <f>"3062765"</f>
        <v>3062765</v>
      </c>
      <c r="B17885" t="s">
        <v>54879</v>
      </c>
      <c r="C17885" t="str">
        <f>"8319196"</f>
        <v>8319196</v>
      </c>
      <c r="D17885" t="s">
        <v>54880</v>
      </c>
      <c r="E17885" t="s">
        <v>54881</v>
      </c>
      <c r="F17885" t="s">
        <v>54882</v>
      </c>
      <c r="I17885" t="s">
        <v>184</v>
      </c>
      <c r="J17885" t="s">
        <v>30</v>
      </c>
      <c r="K17885" t="s">
        <v>44648</v>
      </c>
      <c r="M17885" t="s">
        <v>17861</v>
      </c>
      <c r="N17885" t="str">
        <f>"11/23/2022 12:40:00 PM"</f>
        <v>11/23/2022 12:40:00 PM</v>
      </c>
      <c r="O17885" t="s">
        <v>54880</v>
      </c>
      <c r="T17885" t="s">
        <v>54881</v>
      </c>
    </row>
    <row r="17886" spans="1:20" x14ac:dyDescent="0.25">
      <c r="A17886" t="str">
        <f>"3041909"</f>
        <v>3041909</v>
      </c>
      <c r="B17886" t="s">
        <v>54883</v>
      </c>
      <c r="C17886" t="str">
        <f>"8319184"</f>
        <v>8319184</v>
      </c>
      <c r="D17886" t="s">
        <v>54884</v>
      </c>
      <c r="F17886" t="s">
        <v>54885</v>
      </c>
      <c r="I17886" t="s">
        <v>6707</v>
      </c>
      <c r="J17886" t="s">
        <v>30</v>
      </c>
      <c r="K17886" t="s">
        <v>54886</v>
      </c>
      <c r="M17886" t="s">
        <v>17861</v>
      </c>
      <c r="N17886" t="str">
        <f>"11/21/2022 3:45:00 PM"</f>
        <v>11/21/2022 3:45:00 PM</v>
      </c>
      <c r="O17886" t="s">
        <v>54884</v>
      </c>
    </row>
    <row r="17887" spans="1:20" x14ac:dyDescent="0.25">
      <c r="A17887" t="str">
        <f>"3041922"</f>
        <v>3041922</v>
      </c>
      <c r="B17887" t="s">
        <v>54887</v>
      </c>
      <c r="C17887" t="str">
        <f>"8319184"</f>
        <v>8319184</v>
      </c>
      <c r="D17887" t="s">
        <v>54884</v>
      </c>
      <c r="F17887" t="s">
        <v>54885</v>
      </c>
      <c r="I17887" t="s">
        <v>6707</v>
      </c>
      <c r="J17887" t="s">
        <v>30</v>
      </c>
      <c r="K17887" t="s">
        <v>54886</v>
      </c>
      <c r="M17887" t="s">
        <v>17861</v>
      </c>
      <c r="N17887" t="str">
        <f>"11/21/2022 3:45:00 PM"</f>
        <v>11/21/2022 3:45:00 PM</v>
      </c>
      <c r="O17887" t="s">
        <v>54884</v>
      </c>
    </row>
    <row r="17888" spans="1:20" x14ac:dyDescent="0.25">
      <c r="A17888" t="str">
        <f>"3056244"</f>
        <v>3056244</v>
      </c>
      <c r="B17888" t="s">
        <v>54888</v>
      </c>
      <c r="C17888" t="str">
        <f>"82525822"</f>
        <v>82525822</v>
      </c>
      <c r="D17888" t="s">
        <v>54889</v>
      </c>
      <c r="F17888" t="s">
        <v>19044</v>
      </c>
      <c r="I17888" t="s">
        <v>29</v>
      </c>
      <c r="J17888" t="s">
        <v>30</v>
      </c>
      <c r="K17888" t="s">
        <v>31</v>
      </c>
      <c r="M17888" t="s">
        <v>17861</v>
      </c>
      <c r="N17888" t="str">
        <f>"11/22/2022 9:57:00 AM"</f>
        <v>11/22/2022 9:57:00 AM</v>
      </c>
      <c r="O17888" t="s">
        <v>54889</v>
      </c>
      <c r="T17888" t="s">
        <v>54889</v>
      </c>
    </row>
    <row r="17889" spans="1:20" x14ac:dyDescent="0.25">
      <c r="A17889" t="str">
        <f>"3044727"</f>
        <v>3044727</v>
      </c>
      <c r="B17889" t="s">
        <v>54890</v>
      </c>
      <c r="C17889" t="str">
        <f>"82523354"</f>
        <v>82523354</v>
      </c>
      <c r="D17889" t="s">
        <v>28510</v>
      </c>
      <c r="E17889" t="s">
        <v>28511</v>
      </c>
      <c r="F17889" t="s">
        <v>54891</v>
      </c>
      <c r="I17889" t="s">
        <v>184</v>
      </c>
      <c r="J17889" t="s">
        <v>30</v>
      </c>
      <c r="K17889" t="s">
        <v>5929</v>
      </c>
      <c r="M17889" t="s">
        <v>50621</v>
      </c>
      <c r="N17889" t="str">
        <f>"11/22/2022 11:39:00 AM"</f>
        <v>11/22/2022 11:39:00 AM</v>
      </c>
      <c r="O17889" t="s">
        <v>28510</v>
      </c>
      <c r="T17889" t="s">
        <v>28511</v>
      </c>
    </row>
    <row r="17890" spans="1:20" x14ac:dyDescent="0.25">
      <c r="A17890" t="str">
        <f>"3057107"</f>
        <v>3057107</v>
      </c>
      <c r="B17890" t="s">
        <v>54892</v>
      </c>
      <c r="C17890" t="str">
        <f>"8319186"</f>
        <v>8319186</v>
      </c>
      <c r="D17890" t="s">
        <v>54893</v>
      </c>
      <c r="E17890" t="s">
        <v>54894</v>
      </c>
      <c r="F17890" t="s">
        <v>54895</v>
      </c>
      <c r="I17890" t="s">
        <v>9580</v>
      </c>
      <c r="J17890" t="s">
        <v>30</v>
      </c>
      <c r="K17890" t="s">
        <v>54896</v>
      </c>
      <c r="M17890" t="s">
        <v>17861</v>
      </c>
      <c r="N17890" t="str">
        <f>"11/22/2022 3:36:00 PM"</f>
        <v>11/22/2022 3:36:00 PM</v>
      </c>
      <c r="O17890" t="s">
        <v>54893</v>
      </c>
      <c r="T17890" t="s">
        <v>54894</v>
      </c>
    </row>
    <row r="17891" spans="1:20" x14ac:dyDescent="0.25">
      <c r="A17891" t="str">
        <f>"3058524"</f>
        <v>3058524</v>
      </c>
      <c r="B17891" t="s">
        <v>54897</v>
      </c>
      <c r="C17891" t="str">
        <f>"8319186"</f>
        <v>8319186</v>
      </c>
      <c r="D17891" t="s">
        <v>54893</v>
      </c>
      <c r="E17891" t="s">
        <v>54894</v>
      </c>
      <c r="F17891" t="s">
        <v>54895</v>
      </c>
      <c r="I17891" t="s">
        <v>9580</v>
      </c>
      <c r="J17891" t="s">
        <v>30</v>
      </c>
      <c r="K17891" t="s">
        <v>54896</v>
      </c>
      <c r="M17891" t="s">
        <v>17861</v>
      </c>
      <c r="N17891" t="str">
        <f>"11/22/2022 3:36:00 PM"</f>
        <v>11/22/2022 3:36:00 PM</v>
      </c>
      <c r="O17891" t="s">
        <v>54893</v>
      </c>
      <c r="T17891" t="s">
        <v>54894</v>
      </c>
    </row>
    <row r="17892" spans="1:20" x14ac:dyDescent="0.25">
      <c r="A17892" t="str">
        <f>"3062617"</f>
        <v>3062617</v>
      </c>
      <c r="B17892" t="s">
        <v>54898</v>
      </c>
      <c r="C17892" t="str">
        <f>"8319186"</f>
        <v>8319186</v>
      </c>
      <c r="D17892" t="s">
        <v>54893</v>
      </c>
      <c r="E17892" t="s">
        <v>54894</v>
      </c>
      <c r="F17892" t="s">
        <v>54895</v>
      </c>
      <c r="I17892" t="s">
        <v>9580</v>
      </c>
      <c r="J17892" t="s">
        <v>30</v>
      </c>
      <c r="K17892" t="s">
        <v>54896</v>
      </c>
      <c r="M17892" t="s">
        <v>17861</v>
      </c>
      <c r="N17892" t="str">
        <f>"11/22/2022 3:36:00 PM"</f>
        <v>11/22/2022 3:36:00 PM</v>
      </c>
      <c r="O17892" t="s">
        <v>54893</v>
      </c>
      <c r="T17892" t="s">
        <v>54894</v>
      </c>
    </row>
    <row r="17893" spans="1:20" x14ac:dyDescent="0.25">
      <c r="A17893" t="str">
        <f>"3062144"</f>
        <v>3062144</v>
      </c>
      <c r="B17893" t="s">
        <v>54899</v>
      </c>
      <c r="C17893" t="str">
        <f>"8317811"</f>
        <v>8317811</v>
      </c>
      <c r="D17893" t="s">
        <v>54804</v>
      </c>
      <c r="F17893" t="s">
        <v>49665</v>
      </c>
      <c r="I17893" t="s">
        <v>471</v>
      </c>
      <c r="J17893" t="s">
        <v>30</v>
      </c>
      <c r="K17893" t="str">
        <f>"27113"</f>
        <v>27113</v>
      </c>
      <c r="M17893" t="s">
        <v>50621</v>
      </c>
      <c r="N17893" t="str">
        <f>"11/22/2022 4:00:00 PM"</f>
        <v>11/22/2022 4:00:00 PM</v>
      </c>
      <c r="O17893" t="s">
        <v>54804</v>
      </c>
    </row>
    <row r="17894" spans="1:20" x14ac:dyDescent="0.25">
      <c r="A17894" t="str">
        <f>"3049599"</f>
        <v>3049599</v>
      </c>
      <c r="B17894" t="s">
        <v>54900</v>
      </c>
      <c r="C17894" t="str">
        <f>"8319204"</f>
        <v>8319204</v>
      </c>
      <c r="D17894" t="s">
        <v>54901</v>
      </c>
      <c r="E17894" t="s">
        <v>54902</v>
      </c>
      <c r="F17894" t="s">
        <v>54903</v>
      </c>
      <c r="I17894" t="s">
        <v>184</v>
      </c>
      <c r="J17894" t="s">
        <v>30</v>
      </c>
      <c r="K17894" t="s">
        <v>54904</v>
      </c>
      <c r="M17894" t="s">
        <v>17861</v>
      </c>
      <c r="N17894" t="str">
        <f>"11/30/2022 10:05:00 AM"</f>
        <v>11/30/2022 10:05:00 AM</v>
      </c>
      <c r="O17894" t="s">
        <v>54901</v>
      </c>
      <c r="T17894" t="s">
        <v>54902</v>
      </c>
    </row>
    <row r="17895" spans="1:20" x14ac:dyDescent="0.25">
      <c r="A17895" t="str">
        <f>"3045285"</f>
        <v>3045285</v>
      </c>
      <c r="B17895" t="s">
        <v>54905</v>
      </c>
      <c r="C17895" t="str">
        <f>"15644000"</f>
        <v>15644000</v>
      </c>
      <c r="D17895" t="s">
        <v>54906</v>
      </c>
      <c r="E17895" t="s">
        <v>54907</v>
      </c>
      <c r="F17895" t="s">
        <v>54908</v>
      </c>
      <c r="I17895" t="s">
        <v>29</v>
      </c>
      <c r="J17895" t="s">
        <v>30</v>
      </c>
      <c r="K17895" t="s">
        <v>54909</v>
      </c>
      <c r="M17895" t="s">
        <v>51351</v>
      </c>
      <c r="N17895" t="str">
        <f>"12/2/2022 9:12:00 AM"</f>
        <v>12/2/2022 9:12:00 AM</v>
      </c>
      <c r="O17895" t="s">
        <v>54906</v>
      </c>
      <c r="T17895" t="s">
        <v>54907</v>
      </c>
    </row>
    <row r="17896" spans="1:20" x14ac:dyDescent="0.25">
      <c r="A17896" t="str">
        <f>"3054336"</f>
        <v>3054336</v>
      </c>
      <c r="B17896" t="s">
        <v>54910</v>
      </c>
      <c r="C17896" t="str">
        <f>"8319243"</f>
        <v>8319243</v>
      </c>
      <c r="D17896" t="s">
        <v>54911</v>
      </c>
      <c r="E17896" t="s">
        <v>54912</v>
      </c>
      <c r="F17896" t="s">
        <v>54913</v>
      </c>
      <c r="I17896" t="s">
        <v>9580</v>
      </c>
      <c r="J17896" t="s">
        <v>30</v>
      </c>
      <c r="K17896" t="s">
        <v>54914</v>
      </c>
      <c r="M17896" t="s">
        <v>17861</v>
      </c>
      <c r="N17896" t="str">
        <f>"12/2/2022 3:26:00 PM"</f>
        <v>12/2/2022 3:26:00 PM</v>
      </c>
      <c r="O17896" t="s">
        <v>54911</v>
      </c>
      <c r="T17896" t="s">
        <v>54912</v>
      </c>
    </row>
    <row r="17897" spans="1:20" x14ac:dyDescent="0.25">
      <c r="A17897" t="str">
        <f>"3060440"</f>
        <v>3060440</v>
      </c>
      <c r="B17897" t="s">
        <v>54915</v>
      </c>
      <c r="C17897" t="str">
        <f>"8319205"</f>
        <v>8319205</v>
      </c>
      <c r="D17897" t="s">
        <v>54916</v>
      </c>
      <c r="E17897" t="s">
        <v>54917</v>
      </c>
      <c r="F17897" t="s">
        <v>54918</v>
      </c>
      <c r="I17897" t="s">
        <v>29</v>
      </c>
      <c r="J17897" t="s">
        <v>30</v>
      </c>
      <c r="K17897" t="s">
        <v>42005</v>
      </c>
      <c r="M17897" t="s">
        <v>17861</v>
      </c>
      <c r="N17897" t="str">
        <f>"11/30/2022 10:09:00 AM"</f>
        <v>11/30/2022 10:09:00 AM</v>
      </c>
      <c r="O17897" t="s">
        <v>54916</v>
      </c>
      <c r="T17897" t="s">
        <v>54917</v>
      </c>
    </row>
    <row r="17898" spans="1:20" x14ac:dyDescent="0.25">
      <c r="A17898" t="str">
        <f>"3055697"</f>
        <v>3055697</v>
      </c>
      <c r="B17898" t="s">
        <v>54919</v>
      </c>
      <c r="C17898" t="str">
        <f>"8319207"</f>
        <v>8319207</v>
      </c>
      <c r="D17898" t="s">
        <v>54920</v>
      </c>
      <c r="F17898" t="s">
        <v>54921</v>
      </c>
      <c r="I17898" t="s">
        <v>9580</v>
      </c>
      <c r="J17898" t="s">
        <v>30</v>
      </c>
      <c r="K17898" t="s">
        <v>54922</v>
      </c>
      <c r="M17898" t="s">
        <v>17861</v>
      </c>
      <c r="N17898" t="str">
        <f>"11/30/2022 10:14:00 AM"</f>
        <v>11/30/2022 10:14:00 AM</v>
      </c>
      <c r="O17898" t="s">
        <v>54920</v>
      </c>
    </row>
    <row r="17899" spans="1:20" x14ac:dyDescent="0.25">
      <c r="A17899" t="str">
        <f>"3052051"</f>
        <v>3052051</v>
      </c>
      <c r="B17899" t="s">
        <v>54923</v>
      </c>
      <c r="C17899" t="str">
        <f>"8316941"</f>
        <v>8316941</v>
      </c>
      <c r="D17899" t="s">
        <v>54924</v>
      </c>
      <c r="E17899" t="s">
        <v>54925</v>
      </c>
      <c r="F17899" t="s">
        <v>41690</v>
      </c>
      <c r="I17899" t="s">
        <v>14378</v>
      </c>
      <c r="J17899" t="s">
        <v>30</v>
      </c>
      <c r="K17899" t="s">
        <v>41691</v>
      </c>
      <c r="M17899" t="s">
        <v>50793</v>
      </c>
      <c r="N17899" t="str">
        <f>"11/30/2022 2:38:00 PM"</f>
        <v>11/30/2022 2:38:00 PM</v>
      </c>
      <c r="O17899" t="s">
        <v>54924</v>
      </c>
      <c r="T17899" t="s">
        <v>54925</v>
      </c>
    </row>
    <row r="17900" spans="1:20" x14ac:dyDescent="0.25">
      <c r="A17900" t="str">
        <f>"3046954"</f>
        <v>3046954</v>
      </c>
      <c r="B17900" t="s">
        <v>54926</v>
      </c>
      <c r="C17900" t="str">
        <f>"82518464"</f>
        <v>82518464</v>
      </c>
      <c r="D17900" t="s">
        <v>54927</v>
      </c>
      <c r="F17900" t="str">
        <f>"C/O MICHAEL ALLEN"</f>
        <v>C/O MICHAEL ALLEN</v>
      </c>
      <c r="G17900" t="s">
        <v>54928</v>
      </c>
      <c r="I17900" t="s">
        <v>29</v>
      </c>
      <c r="J17900" t="s">
        <v>30</v>
      </c>
      <c r="K17900" t="s">
        <v>31</v>
      </c>
      <c r="M17900" t="s">
        <v>50621</v>
      </c>
      <c r="N17900" t="str">
        <f>"11/28/2022 10:44:00 AM"</f>
        <v>11/28/2022 10:44:00 AM</v>
      </c>
      <c r="O17900" t="s">
        <v>54927</v>
      </c>
    </row>
    <row r="17901" spans="1:20" x14ac:dyDescent="0.25">
      <c r="A17901" t="str">
        <f>"3048438"</f>
        <v>3048438</v>
      </c>
      <c r="B17901" t="s">
        <v>54929</v>
      </c>
      <c r="C17901" t="str">
        <f>"8317840"</f>
        <v>8317840</v>
      </c>
      <c r="D17901" t="s">
        <v>54930</v>
      </c>
      <c r="E17901" t="s">
        <v>54931</v>
      </c>
      <c r="F17901" t="s">
        <v>27912</v>
      </c>
      <c r="I17901" t="s">
        <v>163</v>
      </c>
      <c r="J17901" t="s">
        <v>30</v>
      </c>
      <c r="K17901" t="s">
        <v>54932</v>
      </c>
      <c r="M17901" t="s">
        <v>25625</v>
      </c>
      <c r="N17901" t="str">
        <f>"11/28/2022 1:55:00 PM"</f>
        <v>11/28/2022 1:55:00 PM</v>
      </c>
      <c r="O17901" t="s">
        <v>54930</v>
      </c>
      <c r="T17901" t="s">
        <v>54931</v>
      </c>
    </row>
    <row r="17902" spans="1:20" x14ac:dyDescent="0.25">
      <c r="A17902" t="str">
        <f>"3056098"</f>
        <v>3056098</v>
      </c>
      <c r="B17902" t="s">
        <v>54933</v>
      </c>
      <c r="C17902" t="str">
        <f>"8316362"</f>
        <v>8316362</v>
      </c>
      <c r="D17902" t="s">
        <v>54934</v>
      </c>
      <c r="E17902" t="s">
        <v>54935</v>
      </c>
      <c r="F17902" t="s">
        <v>54936</v>
      </c>
      <c r="I17902" t="s">
        <v>9580</v>
      </c>
      <c r="J17902" t="s">
        <v>30</v>
      </c>
      <c r="K17902" t="str">
        <f>"27014"</f>
        <v>27014</v>
      </c>
      <c r="M17902" t="s">
        <v>25625</v>
      </c>
      <c r="N17902" t="str">
        <f>"11/28/2022 2:37:00 PM"</f>
        <v>11/28/2022 2:37:00 PM</v>
      </c>
      <c r="O17902" t="s">
        <v>54934</v>
      </c>
      <c r="T17902" t="s">
        <v>54935</v>
      </c>
    </row>
    <row r="17903" spans="1:20" x14ac:dyDescent="0.25">
      <c r="A17903" t="str">
        <f>"3037559"</f>
        <v>3037559</v>
      </c>
      <c r="B17903" t="s">
        <v>54937</v>
      </c>
      <c r="C17903" t="str">
        <f>"56325120"</f>
        <v>56325120</v>
      </c>
      <c r="D17903" t="s">
        <v>54938</v>
      </c>
      <c r="E17903" t="s">
        <v>54939</v>
      </c>
      <c r="F17903" t="s">
        <v>54940</v>
      </c>
      <c r="I17903" t="s">
        <v>49</v>
      </c>
      <c r="J17903" t="s">
        <v>30</v>
      </c>
      <c r="K17903" t="str">
        <f>"27055"</f>
        <v>27055</v>
      </c>
      <c r="M17903" t="s">
        <v>50621</v>
      </c>
      <c r="N17903" t="str">
        <f>"11/28/2022 4:20:00 PM"</f>
        <v>11/28/2022 4:20:00 PM</v>
      </c>
      <c r="O17903" t="s">
        <v>54938</v>
      </c>
      <c r="T17903" t="s">
        <v>54939</v>
      </c>
    </row>
    <row r="17904" spans="1:20" x14ac:dyDescent="0.25">
      <c r="A17904" t="str">
        <f>"3054629"</f>
        <v>3054629</v>
      </c>
      <c r="B17904" t="s">
        <v>54941</v>
      </c>
      <c r="C17904" t="str">
        <f>"8315667"</f>
        <v>8315667</v>
      </c>
      <c r="D17904" t="s">
        <v>14620</v>
      </c>
      <c r="E17904" t="s">
        <v>14621</v>
      </c>
      <c r="F17904" t="s">
        <v>54942</v>
      </c>
      <c r="I17904" t="s">
        <v>29</v>
      </c>
      <c r="J17904" t="s">
        <v>30</v>
      </c>
      <c r="K17904" t="s">
        <v>25210</v>
      </c>
      <c r="M17904" t="s">
        <v>52111</v>
      </c>
      <c r="N17904" t="str">
        <f>"11/29/2022 9:55:00 AM"</f>
        <v>11/29/2022 9:55:00 AM</v>
      </c>
      <c r="O17904" t="s">
        <v>14620</v>
      </c>
      <c r="T17904" t="s">
        <v>14621</v>
      </c>
    </row>
    <row r="17905" spans="1:20" x14ac:dyDescent="0.25">
      <c r="A17905" t="str">
        <f>"3054051"</f>
        <v>3054051</v>
      </c>
      <c r="B17905" t="s">
        <v>54943</v>
      </c>
      <c r="C17905" t="str">
        <f>"8315667"</f>
        <v>8315667</v>
      </c>
      <c r="D17905" t="s">
        <v>14620</v>
      </c>
      <c r="E17905" t="s">
        <v>14621</v>
      </c>
      <c r="F17905" t="s">
        <v>54942</v>
      </c>
      <c r="I17905" t="s">
        <v>29</v>
      </c>
      <c r="J17905" t="s">
        <v>30</v>
      </c>
      <c r="K17905" t="s">
        <v>25210</v>
      </c>
      <c r="M17905" t="s">
        <v>52111</v>
      </c>
      <c r="N17905" t="str">
        <f>"11/29/2022 9:55:00 AM"</f>
        <v>11/29/2022 9:55:00 AM</v>
      </c>
      <c r="O17905" t="s">
        <v>14620</v>
      </c>
      <c r="T17905" t="s">
        <v>14621</v>
      </c>
    </row>
    <row r="17906" spans="1:20" x14ac:dyDescent="0.25">
      <c r="A17906" t="str">
        <f>"3054031"</f>
        <v>3054031</v>
      </c>
      <c r="B17906" t="s">
        <v>54944</v>
      </c>
      <c r="C17906" t="str">
        <f>"8315667"</f>
        <v>8315667</v>
      </c>
      <c r="D17906" t="s">
        <v>14620</v>
      </c>
      <c r="E17906" t="s">
        <v>14621</v>
      </c>
      <c r="F17906" t="s">
        <v>54942</v>
      </c>
      <c r="I17906" t="s">
        <v>29</v>
      </c>
      <c r="J17906" t="s">
        <v>30</v>
      </c>
      <c r="K17906" t="s">
        <v>25210</v>
      </c>
      <c r="M17906" t="s">
        <v>52111</v>
      </c>
      <c r="N17906" t="str">
        <f>"11/29/2022 9:55:00 AM"</f>
        <v>11/29/2022 9:55:00 AM</v>
      </c>
      <c r="O17906" t="s">
        <v>14620</v>
      </c>
      <c r="T17906" t="s">
        <v>14621</v>
      </c>
    </row>
    <row r="17907" spans="1:20" x14ac:dyDescent="0.25">
      <c r="A17907" t="str">
        <f>"3041741"</f>
        <v>3041741</v>
      </c>
      <c r="B17907" t="s">
        <v>54945</v>
      </c>
      <c r="C17907" t="str">
        <f>"8311827"</f>
        <v>8311827</v>
      </c>
      <c r="D17907" t="s">
        <v>54946</v>
      </c>
      <c r="E17907" t="s">
        <v>54947</v>
      </c>
      <c r="F17907" t="s">
        <v>54948</v>
      </c>
      <c r="I17907" t="s">
        <v>2071</v>
      </c>
      <c r="J17907" t="s">
        <v>30</v>
      </c>
      <c r="K17907" t="s">
        <v>3973</v>
      </c>
      <c r="M17907" t="s">
        <v>25733</v>
      </c>
      <c r="N17907" t="str">
        <f>"11/29/2022 10:19:00 AM"</f>
        <v>11/29/2022 10:19:00 AM</v>
      </c>
      <c r="O17907" t="s">
        <v>54946</v>
      </c>
      <c r="T17907" t="s">
        <v>54947</v>
      </c>
    </row>
    <row r="17908" spans="1:20" x14ac:dyDescent="0.25">
      <c r="A17908" t="str">
        <f>"3101399"</f>
        <v>3101399</v>
      </c>
      <c r="B17908" t="s">
        <v>54949</v>
      </c>
      <c r="C17908" t="str">
        <f>"8319197"</f>
        <v>8319197</v>
      </c>
      <c r="D17908" t="str">
        <f>"BOSTICK RICHARD L/VALERIE E"</f>
        <v>BOSTICK RICHARD L/VALERIE E</v>
      </c>
      <c r="E17908" t="str">
        <f>"BOSTICK DUSTIN L/AMBER B"</f>
        <v>BOSTICK DUSTIN L/AMBER B</v>
      </c>
      <c r="F17908" t="s">
        <v>54950</v>
      </c>
      <c r="I17908" t="s">
        <v>29</v>
      </c>
      <c r="J17908" t="s">
        <v>30</v>
      </c>
      <c r="K17908" t="s">
        <v>21250</v>
      </c>
      <c r="M17908" t="s">
        <v>17861</v>
      </c>
      <c r="N17908" t="str">
        <f>"11/30/2022 8:54:00 AM"</f>
        <v>11/30/2022 8:54:00 AM</v>
      </c>
      <c r="O17908" t="str">
        <f>"BOSTICK RICHARD L/VALERIE E"</f>
        <v>BOSTICK RICHARD L/VALERIE E</v>
      </c>
      <c r="T17908" t="str">
        <f>"BOSTICK DUSTIN L/AMBER B"</f>
        <v>BOSTICK DUSTIN L/AMBER B</v>
      </c>
    </row>
    <row r="17909" spans="1:20" x14ac:dyDescent="0.25">
      <c r="A17909" t="str">
        <f>"3059306"</f>
        <v>3059306</v>
      </c>
      <c r="B17909" t="s">
        <v>54951</v>
      </c>
      <c r="C17909" t="str">
        <f>"8319199"</f>
        <v>8319199</v>
      </c>
      <c r="D17909" t="s">
        <v>54952</v>
      </c>
      <c r="F17909" t="s">
        <v>54953</v>
      </c>
      <c r="I17909" t="s">
        <v>29</v>
      </c>
      <c r="J17909" t="s">
        <v>30</v>
      </c>
      <c r="K17909" t="s">
        <v>54954</v>
      </c>
      <c r="M17909" t="s">
        <v>17861</v>
      </c>
      <c r="N17909" t="str">
        <f>"11/30/2022 9:23:00 AM"</f>
        <v>11/30/2022 9:23:00 AM</v>
      </c>
      <c r="O17909" t="s">
        <v>54952</v>
      </c>
    </row>
    <row r="17910" spans="1:20" x14ac:dyDescent="0.25">
      <c r="A17910" t="str">
        <f>"3045828"</f>
        <v>3045828</v>
      </c>
      <c r="B17910" t="s">
        <v>54955</v>
      </c>
      <c r="C17910" t="str">
        <f>"8319200"</f>
        <v>8319200</v>
      </c>
      <c r="D17910" t="s">
        <v>54956</v>
      </c>
      <c r="E17910" t="s">
        <v>54957</v>
      </c>
      <c r="F17910" t="s">
        <v>54958</v>
      </c>
      <c r="I17910" t="s">
        <v>29</v>
      </c>
      <c r="J17910" t="s">
        <v>30</v>
      </c>
      <c r="K17910" t="s">
        <v>7120</v>
      </c>
      <c r="M17910" t="s">
        <v>17861</v>
      </c>
      <c r="N17910" t="str">
        <f>"11/30/2022 9:26:00 AM"</f>
        <v>11/30/2022 9:26:00 AM</v>
      </c>
      <c r="O17910" t="s">
        <v>54956</v>
      </c>
      <c r="T17910" t="s">
        <v>54957</v>
      </c>
    </row>
    <row r="17911" spans="1:20" x14ac:dyDescent="0.25">
      <c r="A17911" t="str">
        <f>"3076666"</f>
        <v>3076666</v>
      </c>
      <c r="B17911" t="s">
        <v>54959</v>
      </c>
      <c r="C17911" t="str">
        <f>"8319202"</f>
        <v>8319202</v>
      </c>
      <c r="D17911" t="s">
        <v>54960</v>
      </c>
      <c r="F17911" t="s">
        <v>54961</v>
      </c>
      <c r="I17911" t="s">
        <v>18348</v>
      </c>
      <c r="J17911" t="s">
        <v>4132</v>
      </c>
      <c r="K17911" t="s">
        <v>54962</v>
      </c>
      <c r="M17911" t="s">
        <v>17861</v>
      </c>
      <c r="N17911" t="str">
        <f>"11/30/2022 9:56:00 AM"</f>
        <v>11/30/2022 9:56:00 AM</v>
      </c>
      <c r="O17911" t="s">
        <v>54960</v>
      </c>
    </row>
    <row r="17912" spans="1:20" x14ac:dyDescent="0.25">
      <c r="A17912" t="str">
        <f>"3058416"</f>
        <v>3058416</v>
      </c>
      <c r="B17912" t="s">
        <v>54963</v>
      </c>
      <c r="C17912" t="str">
        <f>"8319203"</f>
        <v>8319203</v>
      </c>
      <c r="D17912" t="s">
        <v>54964</v>
      </c>
      <c r="F17912" t="s">
        <v>54965</v>
      </c>
      <c r="I17912" t="s">
        <v>29</v>
      </c>
      <c r="J17912" t="s">
        <v>30</v>
      </c>
      <c r="K17912" t="s">
        <v>52622</v>
      </c>
      <c r="M17912" t="s">
        <v>17861</v>
      </c>
      <c r="N17912" t="str">
        <f>"11/30/2022 9:59:00 AM"</f>
        <v>11/30/2022 9:59:00 AM</v>
      </c>
      <c r="O17912" t="s">
        <v>54964</v>
      </c>
    </row>
    <row r="17913" spans="1:20" x14ac:dyDescent="0.25">
      <c r="A17913" t="str">
        <f>"3047826"</f>
        <v>3047826</v>
      </c>
      <c r="B17913" t="s">
        <v>54966</v>
      </c>
      <c r="C17913" t="str">
        <f>"8314934"</f>
        <v>8314934</v>
      </c>
      <c r="D17913" t="s">
        <v>54967</v>
      </c>
      <c r="F17913" t="s">
        <v>52796</v>
      </c>
      <c r="I17913" t="s">
        <v>17921</v>
      </c>
      <c r="J17913" t="s">
        <v>30</v>
      </c>
      <c r="K17913" t="str">
        <f>"27028"</f>
        <v>27028</v>
      </c>
      <c r="M17913" t="s">
        <v>51351</v>
      </c>
      <c r="N17913" t="str">
        <f>"11/30/2022 3:34:00 PM"</f>
        <v>11/30/2022 3:34:00 PM</v>
      </c>
      <c r="O17913" t="s">
        <v>54967</v>
      </c>
    </row>
    <row r="17914" spans="1:20" x14ac:dyDescent="0.25">
      <c r="A17914" t="str">
        <f>"3062812"</f>
        <v>3062812</v>
      </c>
      <c r="B17914" t="s">
        <v>54968</v>
      </c>
      <c r="C17914" t="str">
        <f>"8315908"</f>
        <v>8315908</v>
      </c>
      <c r="D17914" t="s">
        <v>54969</v>
      </c>
      <c r="F17914" t="s">
        <v>54970</v>
      </c>
      <c r="I17914" t="s">
        <v>29</v>
      </c>
      <c r="J17914" t="s">
        <v>30</v>
      </c>
      <c r="K17914" t="s">
        <v>38426</v>
      </c>
      <c r="M17914" t="s">
        <v>50793</v>
      </c>
      <c r="N17914" t="str">
        <f>"12/1/2022 1:51:00 PM"</f>
        <v>12/1/2022 1:51:00 PM</v>
      </c>
      <c r="O17914" t="s">
        <v>54969</v>
      </c>
    </row>
    <row r="17915" spans="1:20" x14ac:dyDescent="0.25">
      <c r="A17915" t="str">
        <f>"3044689"</f>
        <v>3044689</v>
      </c>
      <c r="B17915" t="s">
        <v>54971</v>
      </c>
      <c r="C17915" t="str">
        <f>"8319227"</f>
        <v>8319227</v>
      </c>
      <c r="D17915" t="s">
        <v>54972</v>
      </c>
      <c r="E17915" t="s">
        <v>54973</v>
      </c>
      <c r="F17915" t="s">
        <v>54974</v>
      </c>
      <c r="I17915" t="s">
        <v>184</v>
      </c>
      <c r="J17915" t="s">
        <v>30</v>
      </c>
      <c r="K17915" t="s">
        <v>33412</v>
      </c>
      <c r="M17915" t="s">
        <v>17861</v>
      </c>
      <c r="N17915" t="str">
        <f>"12/1/2022 2:49:00 PM"</f>
        <v>12/1/2022 2:49:00 PM</v>
      </c>
      <c r="O17915" t="s">
        <v>54972</v>
      </c>
      <c r="T17915" t="s">
        <v>54973</v>
      </c>
    </row>
    <row r="17916" spans="1:20" x14ac:dyDescent="0.25">
      <c r="A17916" t="str">
        <f>"3047042"</f>
        <v>3047042</v>
      </c>
      <c r="B17916" t="s">
        <v>54975</v>
      </c>
      <c r="C17916" t="str">
        <f>"8319228"</f>
        <v>8319228</v>
      </c>
      <c r="D17916" t="s">
        <v>54976</v>
      </c>
      <c r="F17916" t="s">
        <v>54977</v>
      </c>
      <c r="I17916" t="s">
        <v>29</v>
      </c>
      <c r="J17916" t="s">
        <v>30</v>
      </c>
      <c r="K17916" t="s">
        <v>52613</v>
      </c>
      <c r="M17916" t="s">
        <v>17861</v>
      </c>
      <c r="N17916" t="str">
        <f>"12/1/2022 2:52:00 PM"</f>
        <v>12/1/2022 2:52:00 PM</v>
      </c>
      <c r="O17916" t="s">
        <v>54976</v>
      </c>
    </row>
    <row r="17917" spans="1:20" x14ac:dyDescent="0.25">
      <c r="A17917" t="str">
        <f>"3058138"</f>
        <v>3058138</v>
      </c>
      <c r="B17917" t="s">
        <v>54978</v>
      </c>
      <c r="C17917" t="str">
        <f>"8319229"</f>
        <v>8319229</v>
      </c>
      <c r="D17917" t="s">
        <v>54979</v>
      </c>
      <c r="E17917" t="s">
        <v>54980</v>
      </c>
      <c r="F17917" t="s">
        <v>54981</v>
      </c>
      <c r="I17917" t="s">
        <v>184</v>
      </c>
      <c r="J17917" t="s">
        <v>30</v>
      </c>
      <c r="K17917" t="s">
        <v>22814</v>
      </c>
      <c r="M17917" t="s">
        <v>17861</v>
      </c>
      <c r="N17917" t="str">
        <f>"12/1/2022 2:58:00 PM"</f>
        <v>12/1/2022 2:58:00 PM</v>
      </c>
      <c r="O17917" t="s">
        <v>54979</v>
      </c>
      <c r="T17917" t="s">
        <v>54980</v>
      </c>
    </row>
    <row r="17918" spans="1:20" x14ac:dyDescent="0.25">
      <c r="A17918" t="str">
        <f>"3061723"</f>
        <v>3061723</v>
      </c>
      <c r="B17918" t="s">
        <v>54982</v>
      </c>
      <c r="C17918" t="str">
        <f>"8319232"</f>
        <v>8319232</v>
      </c>
      <c r="D17918" t="s">
        <v>54983</v>
      </c>
      <c r="E17918" t="s">
        <v>54984</v>
      </c>
      <c r="F17918" t="s">
        <v>54985</v>
      </c>
      <c r="I17918" t="s">
        <v>184</v>
      </c>
      <c r="J17918" t="s">
        <v>30</v>
      </c>
      <c r="K17918" t="s">
        <v>30968</v>
      </c>
      <c r="M17918" t="s">
        <v>17861</v>
      </c>
      <c r="N17918" t="str">
        <f>"12/1/2022 3:17:00 PM"</f>
        <v>12/1/2022 3:17:00 PM</v>
      </c>
      <c r="O17918" t="s">
        <v>54983</v>
      </c>
      <c r="T17918" t="s">
        <v>54984</v>
      </c>
    </row>
    <row r="17919" spans="1:20" x14ac:dyDescent="0.25">
      <c r="A17919" t="str">
        <f>"3058446"</f>
        <v>3058446</v>
      </c>
      <c r="B17919" t="s">
        <v>54986</v>
      </c>
      <c r="C17919" t="str">
        <f>"8319233"</f>
        <v>8319233</v>
      </c>
      <c r="D17919" t="s">
        <v>54987</v>
      </c>
      <c r="E17919" t="s">
        <v>54988</v>
      </c>
      <c r="F17919" t="s">
        <v>54989</v>
      </c>
      <c r="I17919" t="s">
        <v>29</v>
      </c>
      <c r="J17919" t="s">
        <v>30</v>
      </c>
      <c r="K17919" t="s">
        <v>53637</v>
      </c>
      <c r="M17919" t="s">
        <v>17861</v>
      </c>
      <c r="N17919" t="str">
        <f>"12/1/2022 3:19:00 PM"</f>
        <v>12/1/2022 3:19:00 PM</v>
      </c>
      <c r="O17919" t="s">
        <v>54987</v>
      </c>
      <c r="T17919" t="s">
        <v>54988</v>
      </c>
    </row>
    <row r="17920" spans="1:20" x14ac:dyDescent="0.25">
      <c r="A17920" t="str">
        <f>"3045333"</f>
        <v>3045333</v>
      </c>
      <c r="B17920" t="s">
        <v>54990</v>
      </c>
      <c r="C17920" t="str">
        <f>"8315783"</f>
        <v>8315783</v>
      </c>
      <c r="D17920" t="s">
        <v>54907</v>
      </c>
      <c r="E17920" t="s">
        <v>54906</v>
      </c>
      <c r="F17920" t="s">
        <v>54908</v>
      </c>
      <c r="I17920" t="s">
        <v>29</v>
      </c>
      <c r="J17920" t="s">
        <v>30</v>
      </c>
      <c r="K17920" t="s">
        <v>54909</v>
      </c>
      <c r="M17920" t="s">
        <v>51351</v>
      </c>
      <c r="N17920" t="str">
        <f>"12/2/2022 9:09:00 AM"</f>
        <v>12/2/2022 9:09:00 AM</v>
      </c>
      <c r="O17920" t="s">
        <v>54907</v>
      </c>
      <c r="T17920" t="s">
        <v>54906</v>
      </c>
    </row>
    <row r="17921" spans="1:20" x14ac:dyDescent="0.25">
      <c r="A17921" t="str">
        <f>"3045817"</f>
        <v>3045817</v>
      </c>
      <c r="B17921" t="s">
        <v>54991</v>
      </c>
      <c r="C17921" t="str">
        <f>"8319250"</f>
        <v>8319250</v>
      </c>
      <c r="D17921" t="s">
        <v>54992</v>
      </c>
      <c r="E17921" t="s">
        <v>54993</v>
      </c>
      <c r="F17921" t="s">
        <v>54994</v>
      </c>
      <c r="I17921" t="s">
        <v>29</v>
      </c>
      <c r="J17921" t="s">
        <v>30</v>
      </c>
      <c r="K17921" t="s">
        <v>19575</v>
      </c>
      <c r="M17921" t="s">
        <v>17861</v>
      </c>
      <c r="N17921" t="str">
        <f>"12/5/2022 12:45:00 PM"</f>
        <v>12/5/2022 12:45:00 PM</v>
      </c>
      <c r="O17921" t="s">
        <v>54992</v>
      </c>
      <c r="T17921" t="s">
        <v>54993</v>
      </c>
    </row>
    <row r="17922" spans="1:20" x14ac:dyDescent="0.25">
      <c r="A17922" t="str">
        <f>"3038346"</f>
        <v>3038346</v>
      </c>
      <c r="B17922" t="s">
        <v>54995</v>
      </c>
      <c r="C17922" t="str">
        <f>"8319327"</f>
        <v>8319327</v>
      </c>
      <c r="D17922" t="s">
        <v>39536</v>
      </c>
      <c r="F17922" t="s">
        <v>39537</v>
      </c>
      <c r="I17922" t="s">
        <v>29</v>
      </c>
      <c r="J17922" t="s">
        <v>30</v>
      </c>
      <c r="K17922" t="s">
        <v>572</v>
      </c>
      <c r="M17922" t="s">
        <v>17861</v>
      </c>
      <c r="N17922" t="str">
        <f>"12/8/2022 11:34:00 AM"</f>
        <v>12/8/2022 11:34:00 AM</v>
      </c>
      <c r="O17922" t="s">
        <v>39536</v>
      </c>
    </row>
    <row r="17923" spans="1:20" x14ac:dyDescent="0.25">
      <c r="A17923" t="str">
        <f>"3078493"</f>
        <v>3078493</v>
      </c>
      <c r="B17923" t="s">
        <v>54996</v>
      </c>
      <c r="C17923" t="str">
        <f>"8319328"</f>
        <v>8319328</v>
      </c>
      <c r="D17923" t="s">
        <v>54997</v>
      </c>
      <c r="E17923" t="s">
        <v>54998</v>
      </c>
      <c r="F17923" t="s">
        <v>54999</v>
      </c>
      <c r="I17923" t="s">
        <v>29</v>
      </c>
      <c r="J17923" t="s">
        <v>30</v>
      </c>
      <c r="K17923" t="s">
        <v>25129</v>
      </c>
      <c r="M17923" t="s">
        <v>17861</v>
      </c>
      <c r="N17923" t="str">
        <f>"12/8/2022 11:36:00 AM"</f>
        <v>12/8/2022 11:36:00 AM</v>
      </c>
      <c r="O17923" t="s">
        <v>54997</v>
      </c>
      <c r="T17923" t="s">
        <v>54998</v>
      </c>
    </row>
    <row r="17924" spans="1:20" x14ac:dyDescent="0.25">
      <c r="A17924" t="str">
        <f>"3055769"</f>
        <v>3055769</v>
      </c>
      <c r="B17924" t="s">
        <v>55000</v>
      </c>
      <c r="C17924" t="str">
        <f>"8319329"</f>
        <v>8319329</v>
      </c>
      <c r="D17924" t="s">
        <v>55001</v>
      </c>
      <c r="F17924" t="s">
        <v>55002</v>
      </c>
      <c r="I17924" t="s">
        <v>55003</v>
      </c>
      <c r="J17924" t="s">
        <v>11697</v>
      </c>
      <c r="K17924" t="s">
        <v>55004</v>
      </c>
      <c r="M17924" t="s">
        <v>17861</v>
      </c>
      <c r="N17924" t="str">
        <f>"12/8/2022 11:46:00 AM"</f>
        <v>12/8/2022 11:46:00 AM</v>
      </c>
      <c r="O17924" t="s">
        <v>55001</v>
      </c>
    </row>
    <row r="17925" spans="1:20" x14ac:dyDescent="0.25">
      <c r="A17925" t="str">
        <f>"3058537"</f>
        <v>3058537</v>
      </c>
      <c r="B17925" t="s">
        <v>55005</v>
      </c>
      <c r="C17925" t="str">
        <f>"8319252"</f>
        <v>8319252</v>
      </c>
      <c r="D17925" t="s">
        <v>55006</v>
      </c>
      <c r="F17925" t="s">
        <v>55007</v>
      </c>
      <c r="I17925" t="s">
        <v>20610</v>
      </c>
      <c r="J17925" t="s">
        <v>30</v>
      </c>
      <c r="K17925" t="s">
        <v>55008</v>
      </c>
      <c r="M17925" t="s">
        <v>17861</v>
      </c>
      <c r="N17925" t="str">
        <f>"12/5/2022 12:52:00 PM"</f>
        <v>12/5/2022 12:52:00 PM</v>
      </c>
      <c r="O17925" t="s">
        <v>55006</v>
      </c>
    </row>
    <row r="17926" spans="1:20" x14ac:dyDescent="0.25">
      <c r="A17926" t="str">
        <f>"3043375"</f>
        <v>3043375</v>
      </c>
      <c r="B17926" t="s">
        <v>55009</v>
      </c>
      <c r="C17926" t="str">
        <f>"8319339"</f>
        <v>8319339</v>
      </c>
      <c r="D17926" t="s">
        <v>55010</v>
      </c>
      <c r="E17926" t="s">
        <v>55011</v>
      </c>
      <c r="F17926" t="s">
        <v>55012</v>
      </c>
      <c r="I17926" t="s">
        <v>29</v>
      </c>
      <c r="J17926" t="s">
        <v>30</v>
      </c>
      <c r="K17926" t="s">
        <v>4538</v>
      </c>
      <c r="M17926" t="s">
        <v>17861</v>
      </c>
      <c r="N17926" t="str">
        <f>"12/8/2022 3:22:00 PM"</f>
        <v>12/8/2022 3:22:00 PM</v>
      </c>
      <c r="O17926" t="s">
        <v>55010</v>
      </c>
      <c r="T17926" t="s">
        <v>55011</v>
      </c>
    </row>
    <row r="17927" spans="1:20" x14ac:dyDescent="0.25">
      <c r="A17927" t="str">
        <f>"3043254"</f>
        <v>3043254</v>
      </c>
      <c r="B17927" t="s">
        <v>55013</v>
      </c>
      <c r="C17927" t="str">
        <f>"8319339"</f>
        <v>8319339</v>
      </c>
      <c r="D17927" t="s">
        <v>55010</v>
      </c>
      <c r="E17927" t="s">
        <v>55011</v>
      </c>
      <c r="F17927" t="s">
        <v>55012</v>
      </c>
      <c r="I17927" t="s">
        <v>29</v>
      </c>
      <c r="J17927" t="s">
        <v>30</v>
      </c>
      <c r="K17927" t="s">
        <v>4538</v>
      </c>
      <c r="M17927" t="s">
        <v>17861</v>
      </c>
      <c r="N17927" t="str">
        <f>"12/8/2022 3:22:00 PM"</f>
        <v>12/8/2022 3:22:00 PM</v>
      </c>
      <c r="O17927" t="s">
        <v>55010</v>
      </c>
      <c r="T17927" t="s">
        <v>55011</v>
      </c>
    </row>
    <row r="17928" spans="1:20" x14ac:dyDescent="0.25">
      <c r="A17928" t="str">
        <f>"3051877"</f>
        <v>3051877</v>
      </c>
      <c r="B17928" t="s">
        <v>55014</v>
      </c>
      <c r="C17928" t="str">
        <f>"8319340"</f>
        <v>8319340</v>
      </c>
      <c r="D17928" t="s">
        <v>55015</v>
      </c>
      <c r="E17928" t="s">
        <v>55016</v>
      </c>
      <c r="F17928" t="s">
        <v>55017</v>
      </c>
      <c r="I17928" t="s">
        <v>29</v>
      </c>
      <c r="J17928" t="s">
        <v>30</v>
      </c>
      <c r="K17928" t="s">
        <v>12083</v>
      </c>
      <c r="M17928" t="s">
        <v>17861</v>
      </c>
      <c r="N17928" t="str">
        <f>"12/8/2022 3:27:00 PM"</f>
        <v>12/8/2022 3:27:00 PM</v>
      </c>
      <c r="O17928" t="s">
        <v>55015</v>
      </c>
      <c r="T17928" t="s">
        <v>55016</v>
      </c>
    </row>
    <row r="17929" spans="1:20" x14ac:dyDescent="0.25">
      <c r="A17929" t="str">
        <f>"3063047"</f>
        <v>3063047</v>
      </c>
      <c r="B17929" t="s">
        <v>55018</v>
      </c>
      <c r="C17929" t="str">
        <f>"8319343"</f>
        <v>8319343</v>
      </c>
      <c r="D17929" t="s">
        <v>55019</v>
      </c>
      <c r="E17929" t="s">
        <v>55020</v>
      </c>
      <c r="F17929" t="s">
        <v>55021</v>
      </c>
      <c r="I17929" t="s">
        <v>471</v>
      </c>
      <c r="J17929" t="s">
        <v>30</v>
      </c>
      <c r="K17929" t="s">
        <v>55022</v>
      </c>
      <c r="M17929" t="s">
        <v>17861</v>
      </c>
      <c r="N17929" t="str">
        <f>"12/9/2022 9:26:00 AM"</f>
        <v>12/9/2022 9:26:00 AM</v>
      </c>
      <c r="O17929" t="s">
        <v>55019</v>
      </c>
      <c r="T17929" t="s">
        <v>55020</v>
      </c>
    </row>
    <row r="17930" spans="1:20" x14ac:dyDescent="0.25">
      <c r="A17930" t="str">
        <f>"3057260"</f>
        <v>3057260</v>
      </c>
      <c r="B17930" t="s">
        <v>55023</v>
      </c>
      <c r="C17930" t="str">
        <f>"8315238"</f>
        <v>8315238</v>
      </c>
      <c r="D17930" t="s">
        <v>55024</v>
      </c>
      <c r="F17930" t="s">
        <v>39568</v>
      </c>
      <c r="I17930" t="s">
        <v>29</v>
      </c>
      <c r="J17930" t="s">
        <v>30</v>
      </c>
      <c r="K17930" t="s">
        <v>9780</v>
      </c>
      <c r="M17930" t="s">
        <v>50621</v>
      </c>
      <c r="N17930" t="str">
        <f>"12/9/2022 10:09:00 AM"</f>
        <v>12/9/2022 10:09:00 AM</v>
      </c>
      <c r="O17930" t="s">
        <v>55024</v>
      </c>
    </row>
    <row r="17931" spans="1:20" x14ac:dyDescent="0.25">
      <c r="A17931" t="str">
        <f>"3060047"</f>
        <v>3060047</v>
      </c>
      <c r="B17931" t="s">
        <v>55025</v>
      </c>
      <c r="C17931" t="str">
        <f>"8319344"</f>
        <v>8319344</v>
      </c>
      <c r="D17931" t="str">
        <f>"POPPANTE/YOUNT REV LIVING TRUST"</f>
        <v>POPPANTE/YOUNT REV LIVING TRUST</v>
      </c>
      <c r="F17931" t="s">
        <v>55026</v>
      </c>
      <c r="I17931" t="s">
        <v>184</v>
      </c>
      <c r="J17931" t="s">
        <v>30</v>
      </c>
      <c r="K17931" t="s">
        <v>34978</v>
      </c>
      <c r="M17931" t="s">
        <v>17861</v>
      </c>
      <c r="N17931" t="str">
        <f>"12/9/2022 10:10:00 AM"</f>
        <v>12/9/2022 10:10:00 AM</v>
      </c>
      <c r="O17931" t="str">
        <f>"POPPANTE/YOUNT REV LIVING TRUST"</f>
        <v>POPPANTE/YOUNT REV LIVING TRUST</v>
      </c>
    </row>
    <row r="17932" spans="1:20" x14ac:dyDescent="0.25">
      <c r="A17932" t="str">
        <f>"3041070"</f>
        <v>3041070</v>
      </c>
      <c r="B17932" t="s">
        <v>55027</v>
      </c>
      <c r="C17932" t="str">
        <f>"6198250"</f>
        <v>6198250</v>
      </c>
      <c r="D17932" t="s">
        <v>55028</v>
      </c>
      <c r="E17932" t="s">
        <v>55029</v>
      </c>
      <c r="F17932" t="s">
        <v>55030</v>
      </c>
      <c r="I17932" t="s">
        <v>2071</v>
      </c>
      <c r="J17932" t="s">
        <v>30</v>
      </c>
      <c r="K17932" t="s">
        <v>185</v>
      </c>
      <c r="M17932" t="s">
        <v>50793</v>
      </c>
      <c r="N17932" t="str">
        <f>"12/9/2022 12:23:00 PM"</f>
        <v>12/9/2022 12:23:00 PM</v>
      </c>
      <c r="O17932" t="s">
        <v>55028</v>
      </c>
      <c r="T17932" t="s">
        <v>55029</v>
      </c>
    </row>
    <row r="17933" spans="1:20" x14ac:dyDescent="0.25">
      <c r="A17933" t="str">
        <f>"3037414"</f>
        <v>3037414</v>
      </c>
      <c r="B17933" t="s">
        <v>55031</v>
      </c>
      <c r="C17933" t="str">
        <f>"6198250"</f>
        <v>6198250</v>
      </c>
      <c r="D17933" t="s">
        <v>55028</v>
      </c>
      <c r="E17933" t="s">
        <v>55029</v>
      </c>
      <c r="F17933" t="s">
        <v>55030</v>
      </c>
      <c r="I17933" t="s">
        <v>2071</v>
      </c>
      <c r="J17933" t="s">
        <v>30</v>
      </c>
      <c r="K17933" t="s">
        <v>185</v>
      </c>
      <c r="M17933" t="s">
        <v>50793</v>
      </c>
      <c r="N17933" t="str">
        <f>"12/9/2022 12:23:00 PM"</f>
        <v>12/9/2022 12:23:00 PM</v>
      </c>
      <c r="O17933" t="s">
        <v>55028</v>
      </c>
      <c r="T17933" t="s">
        <v>55029</v>
      </c>
    </row>
    <row r="17934" spans="1:20" x14ac:dyDescent="0.25">
      <c r="A17934" t="str">
        <f>"3053383"</f>
        <v>3053383</v>
      </c>
      <c r="B17934" t="s">
        <v>55032</v>
      </c>
      <c r="C17934" t="str">
        <f>"8319346"</f>
        <v>8319346</v>
      </c>
      <c r="D17934" t="s">
        <v>55033</v>
      </c>
      <c r="E17934" t="s">
        <v>55034</v>
      </c>
      <c r="F17934" t="s">
        <v>55035</v>
      </c>
      <c r="I17934" t="s">
        <v>29</v>
      </c>
      <c r="J17934" t="s">
        <v>30</v>
      </c>
      <c r="K17934" t="s">
        <v>13787</v>
      </c>
      <c r="M17934" t="s">
        <v>17861</v>
      </c>
      <c r="N17934" t="str">
        <f>"12/9/2022 12:40:00 PM"</f>
        <v>12/9/2022 12:40:00 PM</v>
      </c>
      <c r="O17934" t="s">
        <v>55033</v>
      </c>
      <c r="T17934" t="s">
        <v>55034</v>
      </c>
    </row>
    <row r="17935" spans="1:20" x14ac:dyDescent="0.25">
      <c r="A17935" t="str">
        <f>"3061926"</f>
        <v>3061926</v>
      </c>
      <c r="B17935" t="s">
        <v>55036</v>
      </c>
      <c r="C17935" t="str">
        <f>"8319347"</f>
        <v>8319347</v>
      </c>
      <c r="D17935" t="s">
        <v>55037</v>
      </c>
      <c r="E17935" t="s">
        <v>55038</v>
      </c>
      <c r="F17935" t="s">
        <v>55039</v>
      </c>
      <c r="I17935" t="s">
        <v>184</v>
      </c>
      <c r="J17935" t="s">
        <v>30</v>
      </c>
      <c r="K17935" t="s">
        <v>28687</v>
      </c>
      <c r="M17935" t="s">
        <v>17861</v>
      </c>
      <c r="N17935" t="str">
        <f>"12/9/2022 1:08:00 PM"</f>
        <v>12/9/2022 1:08:00 PM</v>
      </c>
      <c r="O17935" t="s">
        <v>55037</v>
      </c>
      <c r="T17935" t="s">
        <v>55038</v>
      </c>
    </row>
    <row r="17936" spans="1:20" x14ac:dyDescent="0.25">
      <c r="A17936" t="str">
        <f>"3063902"</f>
        <v>3063902</v>
      </c>
      <c r="B17936" t="s">
        <v>55040</v>
      </c>
      <c r="C17936" t="str">
        <f>"8319253"</f>
        <v>8319253</v>
      </c>
      <c r="D17936" t="s">
        <v>55041</v>
      </c>
      <c r="F17936" t="s">
        <v>55042</v>
      </c>
      <c r="I17936" t="s">
        <v>55043</v>
      </c>
      <c r="J17936" t="s">
        <v>11994</v>
      </c>
      <c r="K17936" t="s">
        <v>55044</v>
      </c>
      <c r="M17936" t="s">
        <v>17861</v>
      </c>
      <c r="N17936" t="str">
        <f>"12/5/2022 12:55:00 PM"</f>
        <v>12/5/2022 12:55:00 PM</v>
      </c>
      <c r="O17936" t="s">
        <v>55041</v>
      </c>
    </row>
    <row r="17937" spans="1:20" x14ac:dyDescent="0.25">
      <c r="A17937" t="str">
        <f>"3040740"</f>
        <v>3040740</v>
      </c>
      <c r="B17937" t="s">
        <v>55045</v>
      </c>
      <c r="C17937" t="str">
        <f>"8319253"</f>
        <v>8319253</v>
      </c>
      <c r="D17937" t="s">
        <v>55041</v>
      </c>
      <c r="F17937" t="s">
        <v>55042</v>
      </c>
      <c r="I17937" t="s">
        <v>55043</v>
      </c>
      <c r="J17937" t="s">
        <v>11994</v>
      </c>
      <c r="K17937" t="s">
        <v>55044</v>
      </c>
      <c r="M17937" t="s">
        <v>17861</v>
      </c>
      <c r="N17937" t="str">
        <f>"12/5/2022 12:55:00 PM"</f>
        <v>12/5/2022 12:55:00 PM</v>
      </c>
      <c r="O17937" t="s">
        <v>55041</v>
      </c>
    </row>
    <row r="17938" spans="1:20" x14ac:dyDescent="0.25">
      <c r="A17938" t="str">
        <f>"3040866"</f>
        <v>3040866</v>
      </c>
      <c r="B17938" t="s">
        <v>55046</v>
      </c>
      <c r="C17938" t="str">
        <f>"8319253"</f>
        <v>8319253</v>
      </c>
      <c r="D17938" t="s">
        <v>55041</v>
      </c>
      <c r="F17938" t="s">
        <v>55042</v>
      </c>
      <c r="I17938" t="s">
        <v>55043</v>
      </c>
      <c r="J17938" t="s">
        <v>11994</v>
      </c>
      <c r="K17938" t="s">
        <v>55044</v>
      </c>
      <c r="M17938" t="s">
        <v>17861</v>
      </c>
      <c r="N17938" t="str">
        <f>"12/5/2022 12:55:00 PM"</f>
        <v>12/5/2022 12:55:00 PM</v>
      </c>
      <c r="O17938" t="s">
        <v>55041</v>
      </c>
    </row>
    <row r="17939" spans="1:20" x14ac:dyDescent="0.25">
      <c r="A17939" t="str">
        <f>"3054756"</f>
        <v>3054756</v>
      </c>
      <c r="B17939" t="s">
        <v>55047</v>
      </c>
      <c r="C17939" t="str">
        <f>"8319254"</f>
        <v>8319254</v>
      </c>
      <c r="D17939" t="s">
        <v>55048</v>
      </c>
      <c r="F17939" t="s">
        <v>55049</v>
      </c>
      <c r="I17939" t="s">
        <v>29</v>
      </c>
      <c r="J17939" t="s">
        <v>30</v>
      </c>
      <c r="K17939" t="s">
        <v>31045</v>
      </c>
      <c r="M17939" t="s">
        <v>17861</v>
      </c>
      <c r="N17939" t="str">
        <f>"12/5/2022 12:57:00 PM"</f>
        <v>12/5/2022 12:57:00 PM</v>
      </c>
      <c r="O17939" t="s">
        <v>55048</v>
      </c>
    </row>
    <row r="17940" spans="1:20" x14ac:dyDescent="0.25">
      <c r="A17940" t="str">
        <f>"3055597"</f>
        <v>3055597</v>
      </c>
      <c r="B17940" t="s">
        <v>55050</v>
      </c>
      <c r="C17940" t="str">
        <f>"8319255"</f>
        <v>8319255</v>
      </c>
      <c r="D17940" t="s">
        <v>55051</v>
      </c>
      <c r="E17940" t="s">
        <v>15323</v>
      </c>
      <c r="F17940" t="s">
        <v>55052</v>
      </c>
      <c r="I17940" t="s">
        <v>29</v>
      </c>
      <c r="J17940" t="s">
        <v>30</v>
      </c>
      <c r="K17940" t="s">
        <v>55053</v>
      </c>
      <c r="M17940" t="s">
        <v>17861</v>
      </c>
      <c r="N17940" t="str">
        <f>"12/5/2022 12:59:00 PM"</f>
        <v>12/5/2022 12:59:00 PM</v>
      </c>
      <c r="O17940" t="s">
        <v>55051</v>
      </c>
      <c r="T17940" t="s">
        <v>15323</v>
      </c>
    </row>
    <row r="17941" spans="1:20" x14ac:dyDescent="0.25">
      <c r="A17941" t="str">
        <f>"3053310"</f>
        <v>3053310</v>
      </c>
      <c r="B17941" t="s">
        <v>55054</v>
      </c>
      <c r="C17941" t="str">
        <f>"8319256"</f>
        <v>8319256</v>
      </c>
      <c r="D17941" t="s">
        <v>55055</v>
      </c>
      <c r="E17941" t="s">
        <v>55056</v>
      </c>
      <c r="F17941" t="s">
        <v>48506</v>
      </c>
      <c r="I17941" t="s">
        <v>29</v>
      </c>
      <c r="J17941" t="s">
        <v>30</v>
      </c>
      <c r="K17941" t="s">
        <v>48507</v>
      </c>
      <c r="M17941" t="s">
        <v>17861</v>
      </c>
      <c r="N17941" t="str">
        <f>"12/5/2022 1:05:00 PM"</f>
        <v>12/5/2022 1:05:00 PM</v>
      </c>
      <c r="O17941" t="s">
        <v>55055</v>
      </c>
      <c r="T17941" t="s">
        <v>55056</v>
      </c>
    </row>
    <row r="17942" spans="1:20" x14ac:dyDescent="0.25">
      <c r="A17942" t="str">
        <f>"3060733"</f>
        <v>3060733</v>
      </c>
      <c r="B17942" t="s">
        <v>55057</v>
      </c>
      <c r="C17942" t="str">
        <f>"8319259"</f>
        <v>8319259</v>
      </c>
      <c r="D17942" t="s">
        <v>55058</v>
      </c>
      <c r="E17942" t="s">
        <v>55059</v>
      </c>
      <c r="F17942" t="s">
        <v>55060</v>
      </c>
      <c r="I17942" t="s">
        <v>2071</v>
      </c>
      <c r="J17942" t="s">
        <v>30</v>
      </c>
      <c r="K17942" t="s">
        <v>4269</v>
      </c>
      <c r="M17942" t="s">
        <v>17861</v>
      </c>
      <c r="N17942" t="str">
        <f>"12/5/2022 1:53:00 PM"</f>
        <v>12/5/2022 1:53:00 PM</v>
      </c>
      <c r="O17942" t="s">
        <v>55058</v>
      </c>
      <c r="T17942" t="s">
        <v>55059</v>
      </c>
    </row>
    <row r="17943" spans="1:20" x14ac:dyDescent="0.25">
      <c r="A17943" t="str">
        <f>"3052761"</f>
        <v>3052761</v>
      </c>
      <c r="B17943" t="s">
        <v>55061</v>
      </c>
      <c r="C17943" t="str">
        <f>"82521200"</f>
        <v>82521200</v>
      </c>
      <c r="D17943" t="s">
        <v>55062</v>
      </c>
      <c r="E17943" t="s">
        <v>55063</v>
      </c>
      <c r="F17943" t="s">
        <v>55064</v>
      </c>
      <c r="I17943" t="s">
        <v>55065</v>
      </c>
      <c r="J17943" t="s">
        <v>3737</v>
      </c>
      <c r="K17943" t="str">
        <f>"75001"</f>
        <v>75001</v>
      </c>
      <c r="M17943" t="s">
        <v>50621</v>
      </c>
      <c r="N17943" t="str">
        <f>"12/12/2022 3:50:00 PM"</f>
        <v>12/12/2022 3:50:00 PM</v>
      </c>
      <c r="O17943" t="s">
        <v>55062</v>
      </c>
      <c r="T17943" t="s">
        <v>55063</v>
      </c>
    </row>
    <row r="17944" spans="1:20" x14ac:dyDescent="0.25">
      <c r="A17944" t="str">
        <f>"3059500"</f>
        <v>3059500</v>
      </c>
      <c r="B17944" t="s">
        <v>55066</v>
      </c>
      <c r="C17944" t="str">
        <f>"8319357"</f>
        <v>8319357</v>
      </c>
      <c r="D17944" t="s">
        <v>55067</v>
      </c>
      <c r="E17944" t="s">
        <v>55068</v>
      </c>
      <c r="F17944" t="s">
        <v>55069</v>
      </c>
      <c r="I17944" t="s">
        <v>29</v>
      </c>
      <c r="J17944" t="s">
        <v>30</v>
      </c>
      <c r="K17944" t="s">
        <v>55070</v>
      </c>
      <c r="M17944" t="s">
        <v>17861</v>
      </c>
      <c r="N17944" t="str">
        <f>"12/13/2022 8:51:00 AM"</f>
        <v>12/13/2022 8:51:00 AM</v>
      </c>
      <c r="O17944" t="s">
        <v>55067</v>
      </c>
      <c r="T17944" t="s">
        <v>55068</v>
      </c>
    </row>
    <row r="17945" spans="1:20" x14ac:dyDescent="0.25">
      <c r="A17945" t="str">
        <f>"3057335"</f>
        <v>3057335</v>
      </c>
      <c r="B17945" t="s">
        <v>55071</v>
      </c>
      <c r="C17945" t="str">
        <f>"8307556"</f>
        <v>8307556</v>
      </c>
      <c r="D17945" t="s">
        <v>55072</v>
      </c>
      <c r="E17945" t="s">
        <v>55073</v>
      </c>
      <c r="F17945" t="s">
        <v>55074</v>
      </c>
      <c r="G17945" t="s">
        <v>48776</v>
      </c>
      <c r="I17945" t="s">
        <v>1045</v>
      </c>
      <c r="J17945" t="s">
        <v>1046</v>
      </c>
      <c r="K17945" t="s">
        <v>48777</v>
      </c>
      <c r="M17945" t="s">
        <v>17861</v>
      </c>
      <c r="N17945" t="str">
        <f>"12/13/2022 10:01:00 AM"</f>
        <v>12/13/2022 10:01:00 AM</v>
      </c>
      <c r="O17945" t="s">
        <v>55072</v>
      </c>
      <c r="T17945" t="s">
        <v>55073</v>
      </c>
    </row>
    <row r="17946" spans="1:20" x14ac:dyDescent="0.25">
      <c r="A17946" t="str">
        <f>"3039906"</f>
        <v>3039906</v>
      </c>
      <c r="B17946" t="s">
        <v>55075</v>
      </c>
      <c r="C17946" t="str">
        <f>"8316327"</f>
        <v>8316327</v>
      </c>
      <c r="D17946" t="s">
        <v>55076</v>
      </c>
      <c r="E17946" t="s">
        <v>55077</v>
      </c>
      <c r="F17946" t="s">
        <v>55078</v>
      </c>
      <c r="I17946" t="s">
        <v>184</v>
      </c>
      <c r="J17946" t="s">
        <v>30</v>
      </c>
      <c r="K17946" t="s">
        <v>53389</v>
      </c>
      <c r="M17946" t="s">
        <v>50793</v>
      </c>
      <c r="N17946" t="str">
        <f>"12/5/2022 2:24:00 PM"</f>
        <v>12/5/2022 2:24:00 PM</v>
      </c>
      <c r="O17946" t="s">
        <v>55076</v>
      </c>
      <c r="T17946" t="s">
        <v>55077</v>
      </c>
    </row>
    <row r="17947" spans="1:20" x14ac:dyDescent="0.25">
      <c r="A17947" t="str">
        <f>"3040609"</f>
        <v>3040609</v>
      </c>
      <c r="B17947" t="s">
        <v>55079</v>
      </c>
      <c r="C17947" t="str">
        <f>"8319338"</f>
        <v>8319338</v>
      </c>
      <c r="D17947" t="s">
        <v>55080</v>
      </c>
      <c r="E17947" t="s">
        <v>55081</v>
      </c>
      <c r="F17947" t="s">
        <v>55082</v>
      </c>
      <c r="I17947" t="s">
        <v>184</v>
      </c>
      <c r="J17947" t="s">
        <v>30</v>
      </c>
      <c r="K17947" t="s">
        <v>20128</v>
      </c>
      <c r="M17947" t="s">
        <v>17861</v>
      </c>
      <c r="N17947" t="str">
        <f>"12/8/2022 3:19:00 PM"</f>
        <v>12/8/2022 3:19:00 PM</v>
      </c>
      <c r="O17947" t="s">
        <v>55080</v>
      </c>
      <c r="T17947" t="s">
        <v>55081</v>
      </c>
    </row>
    <row r="17948" spans="1:20" x14ac:dyDescent="0.25">
      <c r="A17948" t="str">
        <f>"3041860"</f>
        <v>3041860</v>
      </c>
      <c r="B17948" t="s">
        <v>55083</v>
      </c>
      <c r="C17948" t="str">
        <f>"8307718"</f>
        <v>8307718</v>
      </c>
      <c r="D17948" t="s">
        <v>55084</v>
      </c>
      <c r="E17948" t="s">
        <v>55085</v>
      </c>
      <c r="F17948" t="s">
        <v>55086</v>
      </c>
      <c r="I17948" t="s">
        <v>2071</v>
      </c>
      <c r="J17948" t="s">
        <v>30</v>
      </c>
      <c r="K17948" t="s">
        <v>3872</v>
      </c>
      <c r="M17948" t="s">
        <v>51351</v>
      </c>
      <c r="N17948" t="str">
        <f>"12/13/2022 12:45:00 PM"</f>
        <v>12/13/2022 12:45:00 PM</v>
      </c>
      <c r="O17948" t="s">
        <v>55084</v>
      </c>
      <c r="T17948" t="s">
        <v>55085</v>
      </c>
    </row>
    <row r="17949" spans="1:20" x14ac:dyDescent="0.25">
      <c r="A17949" t="str">
        <f>"3050177"</f>
        <v>3050177</v>
      </c>
      <c r="B17949" t="s">
        <v>55087</v>
      </c>
      <c r="C17949" t="str">
        <f>"8319361"</f>
        <v>8319361</v>
      </c>
      <c r="D17949" t="s">
        <v>55088</v>
      </c>
      <c r="F17949" t="s">
        <v>55089</v>
      </c>
      <c r="I17949" t="s">
        <v>29</v>
      </c>
      <c r="J17949" t="s">
        <v>30</v>
      </c>
      <c r="K17949" t="s">
        <v>18710</v>
      </c>
      <c r="M17949" t="s">
        <v>17861</v>
      </c>
      <c r="N17949" t="str">
        <f>"12/13/2022 1:53:00 PM"</f>
        <v>12/13/2022 1:53:00 PM</v>
      </c>
      <c r="O17949" t="s">
        <v>55088</v>
      </c>
    </row>
    <row r="17950" spans="1:20" x14ac:dyDescent="0.25">
      <c r="A17950" t="str">
        <f>"3043297"</f>
        <v>3043297</v>
      </c>
      <c r="B17950" t="s">
        <v>55090</v>
      </c>
      <c r="C17950" t="str">
        <f>"8317171"</f>
        <v>8317171</v>
      </c>
      <c r="D17950" t="s">
        <v>55091</v>
      </c>
      <c r="F17950" t="s">
        <v>55092</v>
      </c>
      <c r="I17950" t="s">
        <v>3196</v>
      </c>
      <c r="J17950" t="s">
        <v>30</v>
      </c>
      <c r="K17950" t="s">
        <v>55093</v>
      </c>
      <c r="M17950" t="s">
        <v>50793</v>
      </c>
      <c r="N17950" t="str">
        <f>"12/14/2022 8:25:00 AM"</f>
        <v>12/14/2022 8:25:00 AM</v>
      </c>
      <c r="O17950" t="s">
        <v>55091</v>
      </c>
    </row>
    <row r="17951" spans="1:20" x14ac:dyDescent="0.25">
      <c r="A17951" t="str">
        <f>"3043295"</f>
        <v>3043295</v>
      </c>
      <c r="B17951" t="s">
        <v>55094</v>
      </c>
      <c r="C17951" t="str">
        <f>"8319362"</f>
        <v>8319362</v>
      </c>
      <c r="D17951" t="s">
        <v>55095</v>
      </c>
      <c r="E17951" t="s">
        <v>55096</v>
      </c>
      <c r="F17951" t="s">
        <v>55097</v>
      </c>
      <c r="I17951" t="s">
        <v>10172</v>
      </c>
      <c r="J17951" t="s">
        <v>30</v>
      </c>
      <c r="K17951" t="s">
        <v>55098</v>
      </c>
      <c r="M17951" t="s">
        <v>17861</v>
      </c>
      <c r="N17951" t="str">
        <f>"12/14/2022 9:58:00 AM"</f>
        <v>12/14/2022 9:58:00 AM</v>
      </c>
      <c r="O17951" t="s">
        <v>55095</v>
      </c>
      <c r="T17951" t="s">
        <v>55096</v>
      </c>
    </row>
    <row r="17952" spans="1:20" x14ac:dyDescent="0.25">
      <c r="A17952" t="str">
        <f>"3043834"</f>
        <v>3043834</v>
      </c>
      <c r="B17952" t="s">
        <v>55099</v>
      </c>
      <c r="C17952" t="str">
        <f>"8319362"</f>
        <v>8319362</v>
      </c>
      <c r="D17952" t="s">
        <v>55095</v>
      </c>
      <c r="E17952" t="s">
        <v>55096</v>
      </c>
      <c r="F17952" t="s">
        <v>55097</v>
      </c>
      <c r="I17952" t="s">
        <v>10172</v>
      </c>
      <c r="J17952" t="s">
        <v>30</v>
      </c>
      <c r="K17952" t="s">
        <v>55098</v>
      </c>
      <c r="M17952" t="s">
        <v>17861</v>
      </c>
      <c r="N17952" t="str">
        <f>"12/14/2022 9:58:00 AM"</f>
        <v>12/14/2022 9:58:00 AM</v>
      </c>
      <c r="O17952" t="s">
        <v>55095</v>
      </c>
      <c r="T17952" t="s">
        <v>55096</v>
      </c>
    </row>
    <row r="17953" spans="1:20" x14ac:dyDescent="0.25">
      <c r="A17953" t="str">
        <f>"3046195"</f>
        <v>3046195</v>
      </c>
      <c r="B17953" t="s">
        <v>55100</v>
      </c>
      <c r="C17953" t="str">
        <f>"8319363"</f>
        <v>8319363</v>
      </c>
      <c r="D17953" t="s">
        <v>55101</v>
      </c>
      <c r="F17953" t="s">
        <v>55102</v>
      </c>
      <c r="I17953" t="s">
        <v>29</v>
      </c>
      <c r="J17953" t="s">
        <v>30</v>
      </c>
      <c r="K17953" t="s">
        <v>55103</v>
      </c>
      <c r="M17953" t="s">
        <v>17861</v>
      </c>
      <c r="N17953" t="str">
        <f>"12/14/2022 11:25:00 AM"</f>
        <v>12/14/2022 11:25:00 AM</v>
      </c>
      <c r="O17953" t="s">
        <v>55101</v>
      </c>
    </row>
    <row r="17954" spans="1:20" x14ac:dyDescent="0.25">
      <c r="A17954" t="str">
        <f>"3045908"</f>
        <v>3045908</v>
      </c>
      <c r="B17954" t="s">
        <v>55104</v>
      </c>
      <c r="C17954" t="str">
        <f>"8319363"</f>
        <v>8319363</v>
      </c>
      <c r="D17954" t="s">
        <v>55101</v>
      </c>
      <c r="F17954" t="s">
        <v>55102</v>
      </c>
      <c r="I17954" t="s">
        <v>29</v>
      </c>
      <c r="J17954" t="s">
        <v>30</v>
      </c>
      <c r="K17954" t="s">
        <v>55103</v>
      </c>
      <c r="M17954" t="s">
        <v>17861</v>
      </c>
      <c r="N17954" t="str">
        <f>"12/14/2022 11:25:00 AM"</f>
        <v>12/14/2022 11:25:00 AM</v>
      </c>
      <c r="O17954" t="s">
        <v>55101</v>
      </c>
    </row>
    <row r="17955" spans="1:20" x14ac:dyDescent="0.25">
      <c r="A17955" t="str">
        <f>"3045989"</f>
        <v>3045989</v>
      </c>
      <c r="B17955" t="s">
        <v>55105</v>
      </c>
      <c r="C17955" t="str">
        <f>"8319363"</f>
        <v>8319363</v>
      </c>
      <c r="D17955" t="s">
        <v>55101</v>
      </c>
      <c r="F17955" t="s">
        <v>55102</v>
      </c>
      <c r="I17955" t="s">
        <v>29</v>
      </c>
      <c r="J17955" t="s">
        <v>30</v>
      </c>
      <c r="K17955" t="s">
        <v>55103</v>
      </c>
      <c r="M17955" t="s">
        <v>17861</v>
      </c>
      <c r="N17955" t="str">
        <f>"12/14/2022 11:25:00 AM"</f>
        <v>12/14/2022 11:25:00 AM</v>
      </c>
      <c r="O17955" t="s">
        <v>55101</v>
      </c>
    </row>
    <row r="17956" spans="1:20" x14ac:dyDescent="0.25">
      <c r="A17956" t="str">
        <f>"3045972"</f>
        <v>3045972</v>
      </c>
      <c r="B17956" t="s">
        <v>55106</v>
      </c>
      <c r="C17956" t="str">
        <f>"8319363"</f>
        <v>8319363</v>
      </c>
      <c r="D17956" t="s">
        <v>55101</v>
      </c>
      <c r="F17956" t="s">
        <v>55102</v>
      </c>
      <c r="I17956" t="s">
        <v>29</v>
      </c>
      <c r="J17956" t="s">
        <v>30</v>
      </c>
      <c r="K17956" t="s">
        <v>55103</v>
      </c>
      <c r="M17956" t="s">
        <v>17861</v>
      </c>
      <c r="N17956" t="str">
        <f>"12/14/2022 11:25:00 AM"</f>
        <v>12/14/2022 11:25:00 AM</v>
      </c>
      <c r="O17956" t="s">
        <v>55101</v>
      </c>
    </row>
    <row r="17957" spans="1:20" x14ac:dyDescent="0.25">
      <c r="A17957" t="str">
        <f>"3049418"</f>
        <v>3049418</v>
      </c>
      <c r="B17957" t="s">
        <v>55107</v>
      </c>
      <c r="C17957" t="str">
        <f>"82522603"</f>
        <v>82522603</v>
      </c>
      <c r="D17957" t="s">
        <v>55108</v>
      </c>
      <c r="F17957" t="s">
        <v>17891</v>
      </c>
      <c r="I17957" t="s">
        <v>17892</v>
      </c>
      <c r="J17957" t="s">
        <v>11346</v>
      </c>
      <c r="K17957" t="s">
        <v>17893</v>
      </c>
      <c r="M17957" t="s">
        <v>50793</v>
      </c>
      <c r="N17957" t="str">
        <f>"12/14/2022 1:48:00 PM"</f>
        <v>12/14/2022 1:48:00 PM</v>
      </c>
      <c r="O17957" t="s">
        <v>55108</v>
      </c>
    </row>
    <row r="17958" spans="1:20" x14ac:dyDescent="0.25">
      <c r="A17958" t="str">
        <f>"3048682"</f>
        <v>3048682</v>
      </c>
      <c r="B17958" t="s">
        <v>55109</v>
      </c>
      <c r="C17958" t="str">
        <f>"82522603"</f>
        <v>82522603</v>
      </c>
      <c r="D17958" t="s">
        <v>55108</v>
      </c>
      <c r="F17958" t="s">
        <v>17891</v>
      </c>
      <c r="I17958" t="s">
        <v>17892</v>
      </c>
      <c r="J17958" t="s">
        <v>11346</v>
      </c>
      <c r="K17958" t="s">
        <v>17893</v>
      </c>
      <c r="M17958" t="s">
        <v>50793</v>
      </c>
      <c r="N17958" t="str">
        <f>"12/14/2022 1:48:00 PM"</f>
        <v>12/14/2022 1:48:00 PM</v>
      </c>
      <c r="O17958" t="s">
        <v>55108</v>
      </c>
    </row>
    <row r="17959" spans="1:20" x14ac:dyDescent="0.25">
      <c r="A17959" t="str">
        <f>"3048630"</f>
        <v>3048630</v>
      </c>
      <c r="B17959" t="s">
        <v>55110</v>
      </c>
      <c r="C17959" t="str">
        <f>"82522603"</f>
        <v>82522603</v>
      </c>
      <c r="D17959" t="s">
        <v>55108</v>
      </c>
      <c r="F17959" t="s">
        <v>17891</v>
      </c>
      <c r="I17959" t="s">
        <v>17892</v>
      </c>
      <c r="J17959" t="s">
        <v>11346</v>
      </c>
      <c r="K17959" t="s">
        <v>17893</v>
      </c>
      <c r="M17959" t="s">
        <v>50793</v>
      </c>
      <c r="N17959" t="str">
        <f>"12/14/2022 1:48:00 PM"</f>
        <v>12/14/2022 1:48:00 PM</v>
      </c>
      <c r="O17959" t="s">
        <v>55108</v>
      </c>
    </row>
    <row r="17960" spans="1:20" x14ac:dyDescent="0.25">
      <c r="A17960" t="str">
        <f>"3042813"</f>
        <v>3042813</v>
      </c>
      <c r="B17960" t="s">
        <v>55111</v>
      </c>
      <c r="C17960" t="str">
        <f>"8308354"</f>
        <v>8308354</v>
      </c>
      <c r="D17960" t="s">
        <v>55112</v>
      </c>
      <c r="E17960" t="s">
        <v>55113</v>
      </c>
      <c r="F17960" t="s">
        <v>55114</v>
      </c>
      <c r="I17960" t="s">
        <v>29</v>
      </c>
      <c r="J17960" t="s">
        <v>30</v>
      </c>
      <c r="K17960" t="s">
        <v>55115</v>
      </c>
      <c r="M17960" t="s">
        <v>50793</v>
      </c>
      <c r="N17960" t="str">
        <f>"12/14/2022 2:49:00 PM"</f>
        <v>12/14/2022 2:49:00 PM</v>
      </c>
      <c r="O17960" t="s">
        <v>55112</v>
      </c>
      <c r="T17960" t="s">
        <v>55113</v>
      </c>
    </row>
    <row r="17961" spans="1:20" x14ac:dyDescent="0.25">
      <c r="A17961" t="str">
        <f>"3058268"</f>
        <v>3058268</v>
      </c>
      <c r="B17961" t="s">
        <v>55116</v>
      </c>
      <c r="C17961" t="str">
        <f>"8306211"</f>
        <v>8306211</v>
      </c>
      <c r="D17961" t="s">
        <v>55117</v>
      </c>
      <c r="E17961" t="s">
        <v>55118</v>
      </c>
      <c r="F17961" t="s">
        <v>55119</v>
      </c>
      <c r="I17961" t="s">
        <v>17921</v>
      </c>
      <c r="J17961" t="s">
        <v>30</v>
      </c>
      <c r="K17961" t="str">
        <f>"27028"</f>
        <v>27028</v>
      </c>
      <c r="M17961" t="s">
        <v>51351</v>
      </c>
      <c r="N17961" t="str">
        <f>"12/12/2022 8:51:00 AM"</f>
        <v>12/12/2022 8:51:00 AM</v>
      </c>
      <c r="O17961" t="s">
        <v>55117</v>
      </c>
      <c r="T17961" t="s">
        <v>55118</v>
      </c>
    </row>
    <row r="17962" spans="1:20" x14ac:dyDescent="0.25">
      <c r="A17962" t="str">
        <f>"3062381"</f>
        <v>3062381</v>
      </c>
      <c r="B17962" t="s">
        <v>55120</v>
      </c>
      <c r="C17962" t="str">
        <f>"8319353"</f>
        <v>8319353</v>
      </c>
      <c r="D17962" t="s">
        <v>55121</v>
      </c>
      <c r="F17962" t="s">
        <v>55122</v>
      </c>
      <c r="I17962" t="s">
        <v>29</v>
      </c>
      <c r="J17962" t="s">
        <v>30</v>
      </c>
      <c r="K17962" t="s">
        <v>39024</v>
      </c>
      <c r="M17962" t="s">
        <v>17861</v>
      </c>
      <c r="N17962" t="str">
        <f>"12/12/2022 2:11:00 PM"</f>
        <v>12/12/2022 2:11:00 PM</v>
      </c>
      <c r="O17962" t="s">
        <v>55121</v>
      </c>
    </row>
    <row r="17963" spans="1:20" x14ac:dyDescent="0.25">
      <c r="A17963" t="str">
        <f>"3038760"</f>
        <v>3038760</v>
      </c>
      <c r="B17963" t="s">
        <v>55123</v>
      </c>
      <c r="C17963" t="str">
        <f>"8319367"</f>
        <v>8319367</v>
      </c>
      <c r="D17963" t="s">
        <v>41762</v>
      </c>
      <c r="E17963" t="s">
        <v>41763</v>
      </c>
      <c r="F17963" t="s">
        <v>37515</v>
      </c>
      <c r="I17963" t="s">
        <v>29</v>
      </c>
      <c r="J17963" t="s">
        <v>30</v>
      </c>
      <c r="K17963" t="s">
        <v>3064</v>
      </c>
      <c r="M17963" t="s">
        <v>17861</v>
      </c>
      <c r="N17963" t="str">
        <f>"12/16/2022 8:25:00 AM"</f>
        <v>12/16/2022 8:25:00 AM</v>
      </c>
      <c r="O17963" t="s">
        <v>41762</v>
      </c>
      <c r="T17963" t="s">
        <v>41763</v>
      </c>
    </row>
    <row r="17964" spans="1:20" x14ac:dyDescent="0.25">
      <c r="A17964" t="str">
        <f>"3051165"</f>
        <v>3051165</v>
      </c>
      <c r="B17964" t="s">
        <v>55124</v>
      </c>
      <c r="C17964" t="str">
        <f>"8319368"</f>
        <v>8319368</v>
      </c>
      <c r="D17964" t="s">
        <v>55125</v>
      </c>
      <c r="E17964" t="s">
        <v>55126</v>
      </c>
      <c r="F17964" t="s">
        <v>55127</v>
      </c>
      <c r="I17964" t="s">
        <v>29</v>
      </c>
      <c r="J17964" t="s">
        <v>30</v>
      </c>
      <c r="K17964" t="s">
        <v>55128</v>
      </c>
      <c r="M17964" t="s">
        <v>17861</v>
      </c>
      <c r="N17964" t="str">
        <f>"12/16/2022 9:33:00 AM"</f>
        <v>12/16/2022 9:33:00 AM</v>
      </c>
      <c r="O17964" t="s">
        <v>55125</v>
      </c>
      <c r="T17964" t="s">
        <v>55126</v>
      </c>
    </row>
    <row r="17965" spans="1:20" x14ac:dyDescent="0.25">
      <c r="A17965" t="str">
        <f>"3069459"</f>
        <v>3069459</v>
      </c>
      <c r="B17965" t="s">
        <v>55129</v>
      </c>
      <c r="C17965" t="str">
        <f>"8319368"</f>
        <v>8319368</v>
      </c>
      <c r="D17965" t="s">
        <v>55125</v>
      </c>
      <c r="E17965" t="s">
        <v>55126</v>
      </c>
      <c r="F17965" t="s">
        <v>55127</v>
      </c>
      <c r="I17965" t="s">
        <v>29</v>
      </c>
      <c r="J17965" t="s">
        <v>30</v>
      </c>
      <c r="K17965" t="s">
        <v>55128</v>
      </c>
      <c r="M17965" t="s">
        <v>17861</v>
      </c>
      <c r="N17965" t="str">
        <f>"12/16/2022 9:33:00 AM"</f>
        <v>12/16/2022 9:33:00 AM</v>
      </c>
      <c r="O17965" t="s">
        <v>55125</v>
      </c>
      <c r="T17965" t="s">
        <v>55126</v>
      </c>
    </row>
    <row r="17966" spans="1:20" x14ac:dyDescent="0.25">
      <c r="A17966" t="str">
        <f>"3044216"</f>
        <v>3044216</v>
      </c>
      <c r="B17966" t="s">
        <v>55130</v>
      </c>
      <c r="C17966" t="str">
        <f>"56456000"</f>
        <v>56456000</v>
      </c>
      <c r="D17966" t="s">
        <v>55131</v>
      </c>
      <c r="F17966" t="str">
        <f>"C/O CINDY PHELPS HICKS"</f>
        <v>C/O CINDY PHELPS HICKS</v>
      </c>
      <c r="G17966" t="s">
        <v>55132</v>
      </c>
      <c r="I17966" t="s">
        <v>184</v>
      </c>
      <c r="J17966" t="s">
        <v>30</v>
      </c>
      <c r="K17966" t="s">
        <v>43072</v>
      </c>
      <c r="M17966" t="s">
        <v>50793</v>
      </c>
      <c r="N17966" t="str">
        <f>"12/16/2022 10:42:00 AM"</f>
        <v>12/16/2022 10:42:00 AM</v>
      </c>
      <c r="O17966" t="s">
        <v>55131</v>
      </c>
    </row>
    <row r="17967" spans="1:20" x14ac:dyDescent="0.25">
      <c r="A17967" t="str">
        <f>"3054829"</f>
        <v>3054829</v>
      </c>
      <c r="B17967" t="s">
        <v>55133</v>
      </c>
      <c r="C17967" t="str">
        <f t="shared" ref="C17967:C17973" si="268">"8319371"</f>
        <v>8319371</v>
      </c>
      <c r="D17967" t="s">
        <v>55134</v>
      </c>
      <c r="F17967" t="s">
        <v>55135</v>
      </c>
      <c r="I17967" t="s">
        <v>29</v>
      </c>
      <c r="J17967" t="s">
        <v>30</v>
      </c>
      <c r="K17967" t="s">
        <v>52153</v>
      </c>
      <c r="M17967" t="s">
        <v>17861</v>
      </c>
      <c r="N17967" t="str">
        <f t="shared" ref="N17967:N17973" si="269">"12/16/2022 2:38:00 PM"</f>
        <v>12/16/2022 2:38:00 PM</v>
      </c>
      <c r="O17967" t="s">
        <v>55134</v>
      </c>
    </row>
    <row r="17968" spans="1:20" x14ac:dyDescent="0.25">
      <c r="A17968" t="str">
        <f>"3054998"</f>
        <v>3054998</v>
      </c>
      <c r="B17968" t="s">
        <v>55136</v>
      </c>
      <c r="C17968" t="str">
        <f t="shared" si="268"/>
        <v>8319371</v>
      </c>
      <c r="D17968" t="s">
        <v>55134</v>
      </c>
      <c r="F17968" t="s">
        <v>55135</v>
      </c>
      <c r="I17968" t="s">
        <v>29</v>
      </c>
      <c r="J17968" t="s">
        <v>30</v>
      </c>
      <c r="K17968" t="s">
        <v>52153</v>
      </c>
      <c r="M17968" t="s">
        <v>17861</v>
      </c>
      <c r="N17968" t="str">
        <f t="shared" si="269"/>
        <v>12/16/2022 2:38:00 PM</v>
      </c>
      <c r="O17968" t="s">
        <v>55134</v>
      </c>
    </row>
    <row r="17969" spans="1:20" x14ac:dyDescent="0.25">
      <c r="A17969" t="str">
        <f>"3055216"</f>
        <v>3055216</v>
      </c>
      <c r="B17969" t="s">
        <v>55137</v>
      </c>
      <c r="C17969" t="str">
        <f t="shared" si="268"/>
        <v>8319371</v>
      </c>
      <c r="D17969" t="s">
        <v>55134</v>
      </c>
      <c r="F17969" t="s">
        <v>55135</v>
      </c>
      <c r="I17969" t="s">
        <v>29</v>
      </c>
      <c r="J17969" t="s">
        <v>30</v>
      </c>
      <c r="K17969" t="s">
        <v>52153</v>
      </c>
      <c r="M17969" t="s">
        <v>17861</v>
      </c>
      <c r="N17969" t="str">
        <f t="shared" si="269"/>
        <v>12/16/2022 2:38:00 PM</v>
      </c>
      <c r="O17969" t="s">
        <v>55134</v>
      </c>
    </row>
    <row r="17970" spans="1:20" x14ac:dyDescent="0.25">
      <c r="A17970" t="str">
        <f>"3072307"</f>
        <v>3072307</v>
      </c>
      <c r="B17970" t="s">
        <v>55138</v>
      </c>
      <c r="C17970" t="str">
        <f t="shared" si="268"/>
        <v>8319371</v>
      </c>
      <c r="D17970" t="s">
        <v>55134</v>
      </c>
      <c r="F17970" t="s">
        <v>55135</v>
      </c>
      <c r="I17970" t="s">
        <v>29</v>
      </c>
      <c r="J17970" t="s">
        <v>30</v>
      </c>
      <c r="K17970" t="s">
        <v>52153</v>
      </c>
      <c r="M17970" t="s">
        <v>17861</v>
      </c>
      <c r="N17970" t="str">
        <f t="shared" si="269"/>
        <v>12/16/2022 2:38:00 PM</v>
      </c>
      <c r="O17970" t="s">
        <v>55134</v>
      </c>
    </row>
    <row r="17971" spans="1:20" x14ac:dyDescent="0.25">
      <c r="A17971" t="str">
        <f>"3072311"</f>
        <v>3072311</v>
      </c>
      <c r="B17971" t="s">
        <v>55139</v>
      </c>
      <c r="C17971" t="str">
        <f t="shared" si="268"/>
        <v>8319371</v>
      </c>
      <c r="D17971" t="s">
        <v>55134</v>
      </c>
      <c r="F17971" t="s">
        <v>55135</v>
      </c>
      <c r="I17971" t="s">
        <v>29</v>
      </c>
      <c r="J17971" t="s">
        <v>30</v>
      </c>
      <c r="K17971" t="s">
        <v>52153</v>
      </c>
      <c r="M17971" t="s">
        <v>17861</v>
      </c>
      <c r="N17971" t="str">
        <f t="shared" si="269"/>
        <v>12/16/2022 2:38:00 PM</v>
      </c>
      <c r="O17971" t="s">
        <v>55134</v>
      </c>
    </row>
    <row r="17972" spans="1:20" x14ac:dyDescent="0.25">
      <c r="A17972" t="str">
        <f>"3072312"</f>
        <v>3072312</v>
      </c>
      <c r="B17972" t="s">
        <v>55140</v>
      </c>
      <c r="C17972" t="str">
        <f t="shared" si="268"/>
        <v>8319371</v>
      </c>
      <c r="D17972" t="s">
        <v>55134</v>
      </c>
      <c r="F17972" t="s">
        <v>55135</v>
      </c>
      <c r="I17972" t="s">
        <v>29</v>
      </c>
      <c r="J17972" t="s">
        <v>30</v>
      </c>
      <c r="K17972" t="s">
        <v>52153</v>
      </c>
      <c r="M17972" t="s">
        <v>17861</v>
      </c>
      <c r="N17972" t="str">
        <f t="shared" si="269"/>
        <v>12/16/2022 2:38:00 PM</v>
      </c>
      <c r="O17972" t="s">
        <v>55134</v>
      </c>
    </row>
    <row r="17973" spans="1:20" x14ac:dyDescent="0.25">
      <c r="A17973" t="str">
        <f>"3103401"</f>
        <v>3103401</v>
      </c>
      <c r="B17973" t="s">
        <v>55141</v>
      </c>
      <c r="C17973" t="str">
        <f t="shared" si="268"/>
        <v>8319371</v>
      </c>
      <c r="D17973" t="s">
        <v>55134</v>
      </c>
      <c r="F17973" t="s">
        <v>55135</v>
      </c>
      <c r="I17973" t="s">
        <v>29</v>
      </c>
      <c r="J17973" t="s">
        <v>30</v>
      </c>
      <c r="K17973" t="s">
        <v>52153</v>
      </c>
      <c r="M17973" t="s">
        <v>17861</v>
      </c>
      <c r="N17973" t="str">
        <f t="shared" si="269"/>
        <v>12/16/2022 2:38:00 PM</v>
      </c>
      <c r="O17973" t="s">
        <v>55134</v>
      </c>
    </row>
    <row r="17974" spans="1:20" x14ac:dyDescent="0.25">
      <c r="A17974" t="str">
        <f>"3061821"</f>
        <v>3061821</v>
      </c>
      <c r="B17974" t="s">
        <v>55142</v>
      </c>
      <c r="C17974" t="str">
        <f>"8319372"</f>
        <v>8319372</v>
      </c>
      <c r="D17974" t="s">
        <v>55143</v>
      </c>
      <c r="E17974" t="s">
        <v>55144</v>
      </c>
      <c r="F17974" t="s">
        <v>55145</v>
      </c>
      <c r="I17974" t="s">
        <v>24359</v>
      </c>
      <c r="J17974" t="s">
        <v>30</v>
      </c>
      <c r="K17974" t="str">
        <f>"27006"</f>
        <v>27006</v>
      </c>
      <c r="M17974" t="s">
        <v>17861</v>
      </c>
      <c r="N17974" t="str">
        <f>"12/16/2022 3:29:00 PM"</f>
        <v>12/16/2022 3:29:00 PM</v>
      </c>
      <c r="O17974" t="s">
        <v>55143</v>
      </c>
      <c r="T17974" t="s">
        <v>55144</v>
      </c>
    </row>
    <row r="17975" spans="1:20" x14ac:dyDescent="0.25">
      <c r="A17975" t="str">
        <f>"3043405"</f>
        <v>3043405</v>
      </c>
      <c r="B17975" t="s">
        <v>55146</v>
      </c>
      <c r="C17975" t="str">
        <f>"8319373"</f>
        <v>8319373</v>
      </c>
      <c r="D17975" t="s">
        <v>55147</v>
      </c>
      <c r="E17975" t="s">
        <v>55148</v>
      </c>
      <c r="F17975" t="s">
        <v>55149</v>
      </c>
      <c r="I17975" t="s">
        <v>29</v>
      </c>
      <c r="J17975" t="s">
        <v>30</v>
      </c>
      <c r="K17975" t="str">
        <f>"27028"</f>
        <v>27028</v>
      </c>
      <c r="M17975" t="s">
        <v>17861</v>
      </c>
      <c r="N17975" t="str">
        <f>"12/16/2022 3:35:00 PM"</f>
        <v>12/16/2022 3:35:00 PM</v>
      </c>
      <c r="O17975" t="s">
        <v>55147</v>
      </c>
      <c r="T17975" t="s">
        <v>55148</v>
      </c>
    </row>
    <row r="17976" spans="1:20" x14ac:dyDescent="0.25">
      <c r="A17976" t="str">
        <f>"3062340"</f>
        <v>3062340</v>
      </c>
      <c r="B17976" t="s">
        <v>55150</v>
      </c>
      <c r="C17976" t="str">
        <f>"8319374"</f>
        <v>8319374</v>
      </c>
      <c r="D17976" t="s">
        <v>55151</v>
      </c>
      <c r="E17976" t="s">
        <v>55152</v>
      </c>
      <c r="F17976" t="s">
        <v>55153</v>
      </c>
      <c r="I17976" t="s">
        <v>2280</v>
      </c>
      <c r="J17976" t="s">
        <v>30</v>
      </c>
      <c r="K17976" t="s">
        <v>55154</v>
      </c>
      <c r="M17976" t="s">
        <v>17861</v>
      </c>
      <c r="N17976" t="str">
        <f>"12/16/2022 3:37:00 PM"</f>
        <v>12/16/2022 3:37:00 PM</v>
      </c>
      <c r="O17976" t="s">
        <v>55151</v>
      </c>
      <c r="T17976" t="s">
        <v>55152</v>
      </c>
    </row>
    <row r="17977" spans="1:20" x14ac:dyDescent="0.25">
      <c r="A17977" t="str">
        <f>"3062318"</f>
        <v>3062318</v>
      </c>
      <c r="B17977" t="s">
        <v>55155</v>
      </c>
      <c r="C17977" t="str">
        <f>"8319374"</f>
        <v>8319374</v>
      </c>
      <c r="D17977" t="s">
        <v>55151</v>
      </c>
      <c r="E17977" t="s">
        <v>55152</v>
      </c>
      <c r="F17977" t="s">
        <v>55153</v>
      </c>
      <c r="I17977" t="s">
        <v>2280</v>
      </c>
      <c r="J17977" t="s">
        <v>30</v>
      </c>
      <c r="K17977" t="s">
        <v>55154</v>
      </c>
      <c r="M17977" t="s">
        <v>17861</v>
      </c>
      <c r="N17977" t="str">
        <f>"12/16/2022 3:37:00 PM"</f>
        <v>12/16/2022 3:37:00 PM</v>
      </c>
      <c r="O17977" t="s">
        <v>55151</v>
      </c>
      <c r="T17977" t="s">
        <v>55152</v>
      </c>
    </row>
    <row r="17978" spans="1:20" x14ac:dyDescent="0.25">
      <c r="A17978" t="str">
        <f>"3062626"</f>
        <v>3062626</v>
      </c>
      <c r="B17978" t="s">
        <v>55156</v>
      </c>
      <c r="C17978" t="str">
        <f>"8319375"</f>
        <v>8319375</v>
      </c>
      <c r="D17978" t="s">
        <v>55157</v>
      </c>
      <c r="F17978" t="s">
        <v>55158</v>
      </c>
      <c r="I17978" t="s">
        <v>29</v>
      </c>
      <c r="J17978" t="s">
        <v>30</v>
      </c>
      <c r="K17978" t="s">
        <v>39975</v>
      </c>
      <c r="M17978" t="s">
        <v>17861</v>
      </c>
      <c r="N17978" t="str">
        <f>"12/16/2022 3:48:00 PM"</f>
        <v>12/16/2022 3:48:00 PM</v>
      </c>
      <c r="O17978" t="s">
        <v>55157</v>
      </c>
    </row>
    <row r="17979" spans="1:20" x14ac:dyDescent="0.25">
      <c r="A17979" t="str">
        <f>"3062396"</f>
        <v>3062396</v>
      </c>
      <c r="B17979" t="s">
        <v>55159</v>
      </c>
      <c r="C17979" t="str">
        <f>"8319353"</f>
        <v>8319353</v>
      </c>
      <c r="D17979" t="s">
        <v>55121</v>
      </c>
      <c r="F17979" t="s">
        <v>55122</v>
      </c>
      <c r="I17979" t="s">
        <v>29</v>
      </c>
      <c r="J17979" t="s">
        <v>30</v>
      </c>
      <c r="K17979" t="s">
        <v>39024</v>
      </c>
      <c r="M17979" t="s">
        <v>17861</v>
      </c>
      <c r="N17979" t="str">
        <f>"12/12/2022 2:11:00 PM"</f>
        <v>12/12/2022 2:11:00 PM</v>
      </c>
      <c r="O17979" t="s">
        <v>55121</v>
      </c>
    </row>
    <row r="17980" spans="1:20" x14ac:dyDescent="0.25">
      <c r="A17980" t="str">
        <f>"3054753"</f>
        <v>3054753</v>
      </c>
      <c r="B17980" t="s">
        <v>55160</v>
      </c>
      <c r="C17980" t="str">
        <f>"8319354"</f>
        <v>8319354</v>
      </c>
      <c r="D17980" t="s">
        <v>16837</v>
      </c>
      <c r="F17980" t="s">
        <v>55161</v>
      </c>
      <c r="I17980" t="s">
        <v>29</v>
      </c>
      <c r="J17980" t="s">
        <v>30</v>
      </c>
      <c r="K17980" t="s">
        <v>16839</v>
      </c>
      <c r="M17980" t="s">
        <v>17861</v>
      </c>
      <c r="N17980" t="str">
        <f>"12/12/2022 2:25:00 PM"</f>
        <v>12/12/2022 2:25:00 PM</v>
      </c>
      <c r="O17980" t="s">
        <v>16837</v>
      </c>
    </row>
    <row r="17981" spans="1:20" x14ac:dyDescent="0.25">
      <c r="A17981" t="str">
        <f>"3039758"</f>
        <v>3039758</v>
      </c>
      <c r="B17981" t="s">
        <v>55162</v>
      </c>
      <c r="C17981" t="str">
        <f>"8319355"</f>
        <v>8319355</v>
      </c>
      <c r="D17981" t="s">
        <v>55163</v>
      </c>
      <c r="E17981" t="s">
        <v>55164</v>
      </c>
      <c r="F17981" t="s">
        <v>55165</v>
      </c>
      <c r="I17981" t="s">
        <v>184</v>
      </c>
      <c r="J17981" t="s">
        <v>30</v>
      </c>
      <c r="K17981" t="s">
        <v>25103</v>
      </c>
      <c r="M17981" t="s">
        <v>17861</v>
      </c>
      <c r="N17981" t="str">
        <f>"12/12/2022 2:29:00 PM"</f>
        <v>12/12/2022 2:29:00 PM</v>
      </c>
      <c r="O17981" t="s">
        <v>55163</v>
      </c>
      <c r="T17981" t="s">
        <v>55164</v>
      </c>
    </row>
    <row r="17982" spans="1:20" x14ac:dyDescent="0.25">
      <c r="A17982" t="str">
        <f>"3039904"</f>
        <v>3039904</v>
      </c>
      <c r="B17982" t="s">
        <v>55166</v>
      </c>
      <c r="C17982" t="str">
        <f>"8319355"</f>
        <v>8319355</v>
      </c>
      <c r="D17982" t="s">
        <v>55163</v>
      </c>
      <c r="E17982" t="s">
        <v>55164</v>
      </c>
      <c r="F17982" t="s">
        <v>55165</v>
      </c>
      <c r="I17982" t="s">
        <v>184</v>
      </c>
      <c r="J17982" t="s">
        <v>30</v>
      </c>
      <c r="K17982" t="s">
        <v>25103</v>
      </c>
      <c r="M17982" t="s">
        <v>17861</v>
      </c>
      <c r="N17982" t="str">
        <f>"12/12/2022 2:29:00 PM"</f>
        <v>12/12/2022 2:29:00 PM</v>
      </c>
      <c r="O17982" t="s">
        <v>55163</v>
      </c>
      <c r="T17982" t="s">
        <v>55164</v>
      </c>
    </row>
    <row r="17983" spans="1:20" x14ac:dyDescent="0.25">
      <c r="A17983" t="str">
        <f>"3048944"</f>
        <v>3048944</v>
      </c>
      <c r="B17983" t="s">
        <v>55167</v>
      </c>
      <c r="C17983" t="str">
        <f>"8317007"</f>
        <v>8317007</v>
      </c>
      <c r="D17983" t="s">
        <v>55168</v>
      </c>
      <c r="F17983" t="s">
        <v>43335</v>
      </c>
      <c r="G17983" t="s">
        <v>43336</v>
      </c>
      <c r="I17983" t="s">
        <v>471</v>
      </c>
      <c r="J17983" t="s">
        <v>30</v>
      </c>
      <c r="K17983" t="s">
        <v>55169</v>
      </c>
      <c r="M17983" t="s">
        <v>17861</v>
      </c>
      <c r="N17983" t="str">
        <f>"12/12/2022 3:31:00 PM"</f>
        <v>12/12/2022 3:31:00 PM</v>
      </c>
      <c r="O17983" t="s">
        <v>55168</v>
      </c>
    </row>
    <row r="17984" spans="1:20" x14ac:dyDescent="0.25">
      <c r="A17984" t="str">
        <f>"3056600"</f>
        <v>3056600</v>
      </c>
      <c r="B17984" t="s">
        <v>55170</v>
      </c>
      <c r="C17984" t="str">
        <f>"8315021"</f>
        <v>8315021</v>
      </c>
      <c r="D17984" t="s">
        <v>55171</v>
      </c>
      <c r="E17984" t="s">
        <v>55172</v>
      </c>
      <c r="F17984" t="s">
        <v>55173</v>
      </c>
      <c r="I17984" t="s">
        <v>2589</v>
      </c>
      <c r="J17984" t="s">
        <v>30</v>
      </c>
      <c r="K17984" t="s">
        <v>55174</v>
      </c>
      <c r="M17984" t="s">
        <v>50793</v>
      </c>
      <c r="N17984" t="str">
        <f>"12/6/2022 11:24:00 AM"</f>
        <v>12/6/2022 11:24:00 AM</v>
      </c>
      <c r="O17984" t="s">
        <v>55171</v>
      </c>
      <c r="T17984" t="s">
        <v>55172</v>
      </c>
    </row>
    <row r="17985" spans="1:20" x14ac:dyDescent="0.25">
      <c r="A17985" t="str">
        <f>"3055487"</f>
        <v>3055487</v>
      </c>
      <c r="B17985" t="s">
        <v>55175</v>
      </c>
      <c r="C17985" t="str">
        <f>"8319382"</f>
        <v>8319382</v>
      </c>
      <c r="D17985" t="str">
        <f>"BELL CHARLES A/KATHY E TRUSTEES"</f>
        <v>BELL CHARLES A/KATHY E TRUSTEES</v>
      </c>
      <c r="E17985" t="str">
        <f>"BELL CHARLES A/KATHY E REV LIV"</f>
        <v>BELL CHARLES A/KATHY E REV LIV</v>
      </c>
      <c r="F17985" t="s">
        <v>55176</v>
      </c>
      <c r="I17985" t="s">
        <v>29</v>
      </c>
      <c r="J17985" t="s">
        <v>30</v>
      </c>
      <c r="K17985" t="s">
        <v>55177</v>
      </c>
      <c r="M17985" t="s">
        <v>17861</v>
      </c>
      <c r="N17985" t="str">
        <f>"12/16/2022 4:15:00 PM"</f>
        <v>12/16/2022 4:15:00 PM</v>
      </c>
      <c r="O17985" t="str">
        <f>"BELL CHARLES A/KATHY E TRUSTEES"</f>
        <v>BELL CHARLES A/KATHY E TRUSTEES</v>
      </c>
      <c r="T17985" t="str">
        <f>"BELL CHARLES A/KATHY E REV LIV"</f>
        <v>BELL CHARLES A/KATHY E REV LIV</v>
      </c>
    </row>
    <row r="17986" spans="1:20" x14ac:dyDescent="0.25">
      <c r="A17986" t="str">
        <f>"3061604"</f>
        <v>3061604</v>
      </c>
      <c r="B17986" t="s">
        <v>55178</v>
      </c>
      <c r="C17986" t="str">
        <f>"8319384"</f>
        <v>8319384</v>
      </c>
      <c r="D17986" t="s">
        <v>55179</v>
      </c>
      <c r="E17986" t="s">
        <v>55180</v>
      </c>
      <c r="F17986" t="s">
        <v>55181</v>
      </c>
      <c r="I17986" t="s">
        <v>184</v>
      </c>
      <c r="J17986" t="s">
        <v>30</v>
      </c>
      <c r="K17986" t="s">
        <v>55182</v>
      </c>
      <c r="M17986" t="s">
        <v>17861</v>
      </c>
      <c r="N17986" t="str">
        <f>"12/16/2022 4:18:00 PM"</f>
        <v>12/16/2022 4:18:00 PM</v>
      </c>
      <c r="O17986" t="s">
        <v>55179</v>
      </c>
      <c r="T17986" t="s">
        <v>55180</v>
      </c>
    </row>
    <row r="17987" spans="1:20" x14ac:dyDescent="0.25">
      <c r="A17987" t="str">
        <f>"3044269"</f>
        <v>3044269</v>
      </c>
      <c r="B17987" t="s">
        <v>55183</v>
      </c>
      <c r="C17987" t="str">
        <f>"8319284"</f>
        <v>8319284</v>
      </c>
      <c r="D17987" t="s">
        <v>49416</v>
      </c>
      <c r="E17987" t="s">
        <v>55184</v>
      </c>
      <c r="F17987" t="s">
        <v>49417</v>
      </c>
      <c r="I17987" t="s">
        <v>29</v>
      </c>
      <c r="J17987" t="s">
        <v>30</v>
      </c>
      <c r="K17987" t="s">
        <v>36684</v>
      </c>
      <c r="M17987" t="s">
        <v>17861</v>
      </c>
      <c r="N17987" t="str">
        <f>"12/6/2022 11:51:00 AM"</f>
        <v>12/6/2022 11:51:00 AM</v>
      </c>
      <c r="O17987" t="s">
        <v>49416</v>
      </c>
      <c r="T17987" t="s">
        <v>55184</v>
      </c>
    </row>
    <row r="17988" spans="1:20" x14ac:dyDescent="0.25">
      <c r="A17988" t="str">
        <f>"3054650"</f>
        <v>3054650</v>
      </c>
      <c r="B17988" t="s">
        <v>55185</v>
      </c>
      <c r="C17988" t="str">
        <f>"8319389"</f>
        <v>8319389</v>
      </c>
      <c r="D17988" t="s">
        <v>55186</v>
      </c>
      <c r="E17988" t="s">
        <v>55187</v>
      </c>
      <c r="F17988" t="s">
        <v>55188</v>
      </c>
      <c r="I17988" t="s">
        <v>29</v>
      </c>
      <c r="J17988" t="s">
        <v>30</v>
      </c>
      <c r="K17988" t="s">
        <v>33407</v>
      </c>
      <c r="M17988" t="s">
        <v>17861</v>
      </c>
      <c r="N17988" t="str">
        <f>"12/19/2022 9:02:00 AM"</f>
        <v>12/19/2022 9:02:00 AM</v>
      </c>
      <c r="O17988" t="s">
        <v>55186</v>
      </c>
      <c r="T17988" t="s">
        <v>55187</v>
      </c>
    </row>
    <row r="17989" spans="1:20" x14ac:dyDescent="0.25">
      <c r="A17989" t="str">
        <f>"3041444"</f>
        <v>3041444</v>
      </c>
      <c r="B17989" t="s">
        <v>55189</v>
      </c>
      <c r="C17989" t="str">
        <f>"8319285"</f>
        <v>8319285</v>
      </c>
      <c r="D17989" t="s">
        <v>55190</v>
      </c>
      <c r="F17989" t="s">
        <v>55191</v>
      </c>
      <c r="I17989" t="s">
        <v>2071</v>
      </c>
      <c r="J17989" t="s">
        <v>30</v>
      </c>
      <c r="K17989" t="s">
        <v>32429</v>
      </c>
      <c r="M17989" t="s">
        <v>17861</v>
      </c>
      <c r="N17989" t="str">
        <f>"12/6/2022 11:53:00 AM"</f>
        <v>12/6/2022 11:53:00 AM</v>
      </c>
      <c r="O17989" t="s">
        <v>55190</v>
      </c>
    </row>
    <row r="17990" spans="1:20" x14ac:dyDescent="0.25">
      <c r="A17990" t="str">
        <f>"3058498"</f>
        <v>3058498</v>
      </c>
      <c r="B17990" t="s">
        <v>55192</v>
      </c>
      <c r="C17990" t="str">
        <f>"8316053"</f>
        <v>8316053</v>
      </c>
      <c r="D17990" t="s">
        <v>55193</v>
      </c>
      <c r="F17990" t="s">
        <v>55194</v>
      </c>
      <c r="I17990" t="s">
        <v>29</v>
      </c>
      <c r="J17990" t="s">
        <v>30</v>
      </c>
      <c r="K17990" t="s">
        <v>39454</v>
      </c>
      <c r="M17990" t="s">
        <v>17861</v>
      </c>
      <c r="N17990" t="str">
        <f>"12/6/2022 11:55:00 AM"</f>
        <v>12/6/2022 11:55:00 AM</v>
      </c>
      <c r="O17990" t="s">
        <v>55193</v>
      </c>
    </row>
    <row r="17991" spans="1:20" x14ac:dyDescent="0.25">
      <c r="A17991" t="str">
        <f>"3046568"</f>
        <v>3046568</v>
      </c>
      <c r="B17991" t="s">
        <v>55195</v>
      </c>
      <c r="C17991" t="str">
        <f>"8319287"</f>
        <v>8319287</v>
      </c>
      <c r="D17991" t="s">
        <v>55196</v>
      </c>
      <c r="E17991" t="s">
        <v>52611</v>
      </c>
      <c r="F17991" t="s">
        <v>52612</v>
      </c>
      <c r="I17991" t="s">
        <v>29</v>
      </c>
      <c r="J17991" t="s">
        <v>30</v>
      </c>
      <c r="K17991" t="s">
        <v>52613</v>
      </c>
      <c r="M17991" t="s">
        <v>17861</v>
      </c>
      <c r="N17991" t="str">
        <f>"12/6/2022 12:02:00 PM"</f>
        <v>12/6/2022 12:02:00 PM</v>
      </c>
      <c r="O17991" t="s">
        <v>55196</v>
      </c>
      <c r="T17991" t="s">
        <v>52611</v>
      </c>
    </row>
    <row r="17992" spans="1:20" x14ac:dyDescent="0.25">
      <c r="A17992" t="str">
        <f>"3058422"</f>
        <v>3058422</v>
      </c>
      <c r="B17992" t="s">
        <v>55197</v>
      </c>
      <c r="C17992" t="str">
        <f>"8319290"</f>
        <v>8319290</v>
      </c>
      <c r="D17992" t="s">
        <v>55198</v>
      </c>
      <c r="F17992" t="s">
        <v>55199</v>
      </c>
      <c r="I17992" t="s">
        <v>29</v>
      </c>
      <c r="J17992" t="s">
        <v>30</v>
      </c>
      <c r="K17992" t="s">
        <v>53637</v>
      </c>
      <c r="M17992" t="s">
        <v>17861</v>
      </c>
      <c r="N17992" t="str">
        <f>"12/6/2022 12:05:00 PM"</f>
        <v>12/6/2022 12:05:00 PM</v>
      </c>
      <c r="O17992" t="s">
        <v>55198</v>
      </c>
    </row>
    <row r="17993" spans="1:20" x14ac:dyDescent="0.25">
      <c r="A17993" t="str">
        <f>"3058818"</f>
        <v>3058818</v>
      </c>
      <c r="B17993" t="s">
        <v>55200</v>
      </c>
      <c r="C17993" t="str">
        <f>"8319307"</f>
        <v>8319307</v>
      </c>
      <c r="D17993" t="s">
        <v>55201</v>
      </c>
      <c r="E17993" t="s">
        <v>55202</v>
      </c>
      <c r="F17993" t="s">
        <v>55203</v>
      </c>
      <c r="I17993" t="s">
        <v>29</v>
      </c>
      <c r="J17993" t="s">
        <v>30</v>
      </c>
      <c r="K17993" t="s">
        <v>34090</v>
      </c>
      <c r="M17993" t="s">
        <v>17861</v>
      </c>
      <c r="N17993" t="str">
        <f>"12/6/2022 2:57:00 PM"</f>
        <v>12/6/2022 2:57:00 PM</v>
      </c>
      <c r="O17993" t="s">
        <v>55201</v>
      </c>
      <c r="T17993" t="s">
        <v>55202</v>
      </c>
    </row>
    <row r="17994" spans="1:20" x14ac:dyDescent="0.25">
      <c r="A17994" t="str">
        <f>"3050959"</f>
        <v>3050959</v>
      </c>
      <c r="B17994" t="s">
        <v>55204</v>
      </c>
      <c r="C17994" t="str">
        <f>"82529359"</f>
        <v>82529359</v>
      </c>
      <c r="D17994" t="s">
        <v>55205</v>
      </c>
      <c r="F17994" t="s">
        <v>55206</v>
      </c>
      <c r="I17994" t="s">
        <v>184</v>
      </c>
      <c r="J17994" t="s">
        <v>30</v>
      </c>
      <c r="K17994" t="s">
        <v>55207</v>
      </c>
      <c r="M17994" t="s">
        <v>50793</v>
      </c>
      <c r="N17994" t="str">
        <f>"12/19/2022 2:56:00 PM"</f>
        <v>12/19/2022 2:56:00 PM</v>
      </c>
      <c r="O17994" t="s">
        <v>55205</v>
      </c>
    </row>
    <row r="17995" spans="1:20" x14ac:dyDescent="0.25">
      <c r="A17995" t="str">
        <f>"3059298"</f>
        <v>3059298</v>
      </c>
      <c r="B17995" t="s">
        <v>55208</v>
      </c>
      <c r="C17995" t="str">
        <f>"8319396"</f>
        <v>8319396</v>
      </c>
      <c r="D17995" t="s">
        <v>55209</v>
      </c>
      <c r="F17995" t="s">
        <v>55210</v>
      </c>
      <c r="I17995" t="s">
        <v>29</v>
      </c>
      <c r="J17995" t="s">
        <v>30</v>
      </c>
      <c r="K17995" t="str">
        <f>"27028"</f>
        <v>27028</v>
      </c>
      <c r="M17995" t="s">
        <v>17861</v>
      </c>
      <c r="N17995" t="str">
        <f>"12/19/2022 4:06:00 PM"</f>
        <v>12/19/2022 4:06:00 PM</v>
      </c>
      <c r="O17995" t="s">
        <v>55209</v>
      </c>
    </row>
    <row r="17996" spans="1:20" x14ac:dyDescent="0.25">
      <c r="A17996" t="str">
        <f>"3061728"</f>
        <v>3061728</v>
      </c>
      <c r="B17996" t="s">
        <v>55211</v>
      </c>
      <c r="C17996" t="str">
        <f>"8319397"</f>
        <v>8319397</v>
      </c>
      <c r="D17996" t="s">
        <v>55212</v>
      </c>
      <c r="F17996" t="s">
        <v>55213</v>
      </c>
      <c r="I17996" t="s">
        <v>2071</v>
      </c>
      <c r="J17996" t="s">
        <v>30</v>
      </c>
      <c r="K17996" t="s">
        <v>4124</v>
      </c>
      <c r="M17996" t="s">
        <v>17861</v>
      </c>
      <c r="N17996" t="str">
        <f>"12/20/2022 12:33:00 PM"</f>
        <v>12/20/2022 12:33:00 PM</v>
      </c>
      <c r="O17996" t="s">
        <v>55212</v>
      </c>
    </row>
    <row r="17997" spans="1:20" x14ac:dyDescent="0.25">
      <c r="A17997" t="str">
        <f>"3054287"</f>
        <v>3054287</v>
      </c>
      <c r="B17997" t="s">
        <v>55214</v>
      </c>
      <c r="C17997" t="str">
        <f>"8319398"</f>
        <v>8319398</v>
      </c>
      <c r="D17997" t="s">
        <v>55215</v>
      </c>
      <c r="F17997" t="s">
        <v>55216</v>
      </c>
      <c r="I17997" t="s">
        <v>29</v>
      </c>
      <c r="J17997" t="s">
        <v>30</v>
      </c>
      <c r="K17997" t="s">
        <v>22874</v>
      </c>
      <c r="M17997" t="s">
        <v>17861</v>
      </c>
      <c r="N17997" t="str">
        <f>"12/20/2022 12:37:00 PM"</f>
        <v>12/20/2022 12:37:00 PM</v>
      </c>
      <c r="O17997" t="s">
        <v>55215</v>
      </c>
    </row>
    <row r="17998" spans="1:20" x14ac:dyDescent="0.25">
      <c r="A17998" t="str">
        <f>"3066646"</f>
        <v>3066646</v>
      </c>
      <c r="B17998" t="s">
        <v>55217</v>
      </c>
      <c r="C17998" t="str">
        <f>"8319399"</f>
        <v>8319399</v>
      </c>
      <c r="D17998" t="s">
        <v>55218</v>
      </c>
      <c r="F17998" t="s">
        <v>21313</v>
      </c>
      <c r="I17998" t="s">
        <v>402</v>
      </c>
      <c r="J17998" t="s">
        <v>30</v>
      </c>
      <c r="K17998" t="s">
        <v>55219</v>
      </c>
      <c r="M17998" t="s">
        <v>17861</v>
      </c>
      <c r="N17998" t="str">
        <f>"12/20/2022 12:40:00 PM"</f>
        <v>12/20/2022 12:40:00 PM</v>
      </c>
      <c r="O17998" t="s">
        <v>55218</v>
      </c>
    </row>
    <row r="17999" spans="1:20" x14ac:dyDescent="0.25">
      <c r="A17999" t="str">
        <f>"3043844"</f>
        <v>3043844</v>
      </c>
      <c r="B17999" t="s">
        <v>55220</v>
      </c>
      <c r="C17999" t="str">
        <f>"8319400"</f>
        <v>8319400</v>
      </c>
      <c r="D17999" t="s">
        <v>55221</v>
      </c>
      <c r="F17999" t="s">
        <v>36405</v>
      </c>
      <c r="I17999" t="s">
        <v>29</v>
      </c>
      <c r="J17999" t="s">
        <v>30</v>
      </c>
      <c r="K17999" t="s">
        <v>36406</v>
      </c>
      <c r="M17999" t="s">
        <v>17861</v>
      </c>
      <c r="N17999" t="str">
        <f>"12/20/2022 1:32:00 PM"</f>
        <v>12/20/2022 1:32:00 PM</v>
      </c>
      <c r="O17999" t="s">
        <v>55221</v>
      </c>
    </row>
    <row r="18000" spans="1:20" x14ac:dyDescent="0.25">
      <c r="A18000" t="str">
        <f>"3044062"</f>
        <v>3044062</v>
      </c>
      <c r="B18000" t="s">
        <v>55222</v>
      </c>
      <c r="C18000" t="str">
        <f>"8319400"</f>
        <v>8319400</v>
      </c>
      <c r="D18000" t="s">
        <v>55221</v>
      </c>
      <c r="F18000" t="s">
        <v>36405</v>
      </c>
      <c r="I18000" t="s">
        <v>29</v>
      </c>
      <c r="J18000" t="s">
        <v>30</v>
      </c>
      <c r="K18000" t="s">
        <v>36406</v>
      </c>
      <c r="M18000" t="s">
        <v>17861</v>
      </c>
      <c r="N18000" t="str">
        <f>"12/20/2022 1:32:00 PM"</f>
        <v>12/20/2022 1:32:00 PM</v>
      </c>
      <c r="O18000" t="s">
        <v>55221</v>
      </c>
    </row>
    <row r="18001" spans="1:20" x14ac:dyDescent="0.25">
      <c r="A18001" t="str">
        <f>"3047060"</f>
        <v>3047060</v>
      </c>
      <c r="B18001" t="s">
        <v>55223</v>
      </c>
      <c r="C18001" t="str">
        <f>"8319401"</f>
        <v>8319401</v>
      </c>
      <c r="D18001" t="s">
        <v>55224</v>
      </c>
      <c r="E18001" t="s">
        <v>55225</v>
      </c>
      <c r="F18001" t="s">
        <v>55226</v>
      </c>
      <c r="I18001" t="s">
        <v>29</v>
      </c>
      <c r="J18001" t="s">
        <v>30</v>
      </c>
      <c r="K18001" t="s">
        <v>18883</v>
      </c>
      <c r="M18001" t="s">
        <v>17861</v>
      </c>
      <c r="N18001" t="str">
        <f>"12/20/2022 3:39:00 PM"</f>
        <v>12/20/2022 3:39:00 PM</v>
      </c>
      <c r="O18001" t="s">
        <v>55224</v>
      </c>
      <c r="T18001" t="s">
        <v>55225</v>
      </c>
    </row>
    <row r="18002" spans="1:20" x14ac:dyDescent="0.25">
      <c r="A18002" t="str">
        <f>"3046560"</f>
        <v>3046560</v>
      </c>
      <c r="B18002" t="s">
        <v>55227</v>
      </c>
      <c r="C18002" t="str">
        <f>"8319402"</f>
        <v>8319402</v>
      </c>
      <c r="D18002" t="s">
        <v>55224</v>
      </c>
      <c r="F18002" t="s">
        <v>55226</v>
      </c>
      <c r="I18002" t="s">
        <v>29</v>
      </c>
      <c r="J18002" t="s">
        <v>30</v>
      </c>
      <c r="K18002" t="s">
        <v>18883</v>
      </c>
      <c r="M18002" t="s">
        <v>17861</v>
      </c>
      <c r="N18002" t="str">
        <f>"12/20/2022 3:42:00 PM"</f>
        <v>12/20/2022 3:42:00 PM</v>
      </c>
      <c r="O18002" t="s">
        <v>55224</v>
      </c>
    </row>
    <row r="18003" spans="1:20" x14ac:dyDescent="0.25">
      <c r="A18003" t="str">
        <f>"3044049"</f>
        <v>3044049</v>
      </c>
      <c r="B18003" t="s">
        <v>55228</v>
      </c>
      <c r="C18003" t="str">
        <f>"82526702"</f>
        <v>82526702</v>
      </c>
      <c r="D18003" t="s">
        <v>55229</v>
      </c>
      <c r="E18003" t="s">
        <v>55230</v>
      </c>
      <c r="F18003" t="s">
        <v>55231</v>
      </c>
      <c r="I18003" t="s">
        <v>184</v>
      </c>
      <c r="J18003" t="s">
        <v>30</v>
      </c>
      <c r="K18003" t="s">
        <v>55232</v>
      </c>
      <c r="M18003" t="s">
        <v>50793</v>
      </c>
      <c r="N18003" t="str">
        <f>"12/21/2022 9:42:00 AM"</f>
        <v>12/21/2022 9:42:00 AM</v>
      </c>
      <c r="O18003" t="s">
        <v>55229</v>
      </c>
      <c r="T18003" t="s">
        <v>55230</v>
      </c>
    </row>
    <row r="18004" spans="1:20" x14ac:dyDescent="0.25">
      <c r="A18004" t="str">
        <f>"3043898"</f>
        <v>3043898</v>
      </c>
      <c r="B18004" t="s">
        <v>55233</v>
      </c>
      <c r="C18004" t="str">
        <f>"82526702"</f>
        <v>82526702</v>
      </c>
      <c r="D18004" t="s">
        <v>55229</v>
      </c>
      <c r="E18004" t="s">
        <v>55230</v>
      </c>
      <c r="F18004" t="s">
        <v>55231</v>
      </c>
      <c r="I18004" t="s">
        <v>184</v>
      </c>
      <c r="J18004" t="s">
        <v>30</v>
      </c>
      <c r="K18004" t="s">
        <v>55232</v>
      </c>
      <c r="M18004" t="s">
        <v>50793</v>
      </c>
      <c r="N18004" t="str">
        <f>"12/21/2022 9:42:00 AM"</f>
        <v>12/21/2022 9:42:00 AM</v>
      </c>
      <c r="O18004" t="s">
        <v>55229</v>
      </c>
      <c r="T18004" t="s">
        <v>55230</v>
      </c>
    </row>
    <row r="18005" spans="1:20" x14ac:dyDescent="0.25">
      <c r="A18005" t="str">
        <f>"3043883"</f>
        <v>3043883</v>
      </c>
      <c r="B18005" t="s">
        <v>55234</v>
      </c>
      <c r="C18005" t="str">
        <f>"82526702"</f>
        <v>82526702</v>
      </c>
      <c r="D18005" t="s">
        <v>55229</v>
      </c>
      <c r="E18005" t="s">
        <v>55230</v>
      </c>
      <c r="F18005" t="s">
        <v>55231</v>
      </c>
      <c r="I18005" t="s">
        <v>184</v>
      </c>
      <c r="J18005" t="s">
        <v>30</v>
      </c>
      <c r="K18005" t="s">
        <v>55232</v>
      </c>
      <c r="M18005" t="s">
        <v>50793</v>
      </c>
      <c r="N18005" t="str">
        <f>"12/21/2022 9:42:00 AM"</f>
        <v>12/21/2022 9:42:00 AM</v>
      </c>
      <c r="O18005" t="s">
        <v>55229</v>
      </c>
      <c r="T18005" t="s">
        <v>55230</v>
      </c>
    </row>
    <row r="18006" spans="1:20" x14ac:dyDescent="0.25">
      <c r="A18006" t="str">
        <f>"3049370"</f>
        <v>3049370</v>
      </c>
      <c r="B18006" t="s">
        <v>55235</v>
      </c>
      <c r="C18006" t="str">
        <f>"8319403"</f>
        <v>8319403</v>
      </c>
      <c r="D18006" t="s">
        <v>55236</v>
      </c>
      <c r="E18006" t="s">
        <v>55237</v>
      </c>
      <c r="F18006" t="s">
        <v>55238</v>
      </c>
      <c r="I18006" t="s">
        <v>29</v>
      </c>
      <c r="J18006" t="s">
        <v>30</v>
      </c>
      <c r="K18006" t="s">
        <v>55239</v>
      </c>
      <c r="M18006" t="s">
        <v>17861</v>
      </c>
      <c r="N18006" t="str">
        <f>"12/21/2022 9:49:00 AM"</f>
        <v>12/21/2022 9:49:00 AM</v>
      </c>
      <c r="O18006" t="s">
        <v>55236</v>
      </c>
      <c r="T18006" t="s">
        <v>55237</v>
      </c>
    </row>
    <row r="18007" spans="1:20" x14ac:dyDescent="0.25">
      <c r="A18007" t="str">
        <f>"3059863"</f>
        <v>3059863</v>
      </c>
      <c r="B18007" t="s">
        <v>55240</v>
      </c>
      <c r="C18007" t="str">
        <f>"8319404"</f>
        <v>8319404</v>
      </c>
      <c r="D18007" t="s">
        <v>55241</v>
      </c>
      <c r="E18007" t="s">
        <v>55242</v>
      </c>
      <c r="F18007" t="s">
        <v>55243</v>
      </c>
      <c r="I18007" t="s">
        <v>9580</v>
      </c>
      <c r="J18007" t="s">
        <v>30</v>
      </c>
      <c r="K18007" t="s">
        <v>55244</v>
      </c>
      <c r="M18007" t="s">
        <v>17861</v>
      </c>
      <c r="N18007" t="str">
        <f>"12/21/2022 10:34:00 AM"</f>
        <v>12/21/2022 10:34:00 AM</v>
      </c>
      <c r="O18007" t="s">
        <v>55241</v>
      </c>
      <c r="T18007" t="s">
        <v>55242</v>
      </c>
    </row>
    <row r="18008" spans="1:20" x14ac:dyDescent="0.25">
      <c r="A18008" t="str">
        <f>"3043752"</f>
        <v>3043752</v>
      </c>
      <c r="B18008" t="s">
        <v>55245</v>
      </c>
      <c r="C18008" t="str">
        <f>"8319405"</f>
        <v>8319405</v>
      </c>
      <c r="D18008" t="s">
        <v>55246</v>
      </c>
      <c r="E18008" t="s">
        <v>55247</v>
      </c>
      <c r="F18008" t="s">
        <v>55248</v>
      </c>
      <c r="I18008" t="s">
        <v>29</v>
      </c>
      <c r="J18008" t="s">
        <v>30</v>
      </c>
      <c r="K18008" t="s">
        <v>55249</v>
      </c>
      <c r="M18008" t="s">
        <v>17861</v>
      </c>
      <c r="N18008" t="str">
        <f>"12/21/2022 10:58:00 AM"</f>
        <v>12/21/2022 10:58:00 AM</v>
      </c>
      <c r="O18008" t="s">
        <v>55246</v>
      </c>
      <c r="T18008" t="s">
        <v>55247</v>
      </c>
    </row>
    <row r="18009" spans="1:20" x14ac:dyDescent="0.25">
      <c r="A18009" t="str">
        <f>"3053998"</f>
        <v>3053998</v>
      </c>
      <c r="B18009" t="s">
        <v>55250</v>
      </c>
      <c r="C18009" t="str">
        <f>"8305821"</f>
        <v>8305821</v>
      </c>
      <c r="D18009" t="s">
        <v>55251</v>
      </c>
      <c r="F18009" t="s">
        <v>55252</v>
      </c>
      <c r="I18009" t="s">
        <v>471</v>
      </c>
      <c r="J18009" t="s">
        <v>30</v>
      </c>
      <c r="K18009" t="s">
        <v>55253</v>
      </c>
      <c r="M18009" t="s">
        <v>17861</v>
      </c>
      <c r="N18009" t="str">
        <f>"12/7/2022 8:07:00 AM"</f>
        <v>12/7/2022 8:07:00 AM</v>
      </c>
      <c r="O18009" t="s">
        <v>55251</v>
      </c>
    </row>
    <row r="18010" spans="1:20" x14ac:dyDescent="0.25">
      <c r="A18010" t="str">
        <f>"3037678"</f>
        <v>3037678</v>
      </c>
      <c r="B18010" t="s">
        <v>55254</v>
      </c>
      <c r="C18010" t="str">
        <f>"8319310"</f>
        <v>8319310</v>
      </c>
      <c r="D18010" t="s">
        <v>55255</v>
      </c>
      <c r="E18010" t="s">
        <v>55256</v>
      </c>
      <c r="F18010" t="s">
        <v>55257</v>
      </c>
      <c r="I18010" t="s">
        <v>29</v>
      </c>
      <c r="J18010" t="s">
        <v>30</v>
      </c>
      <c r="K18010" t="s">
        <v>397</v>
      </c>
      <c r="M18010" t="s">
        <v>17861</v>
      </c>
      <c r="N18010" t="str">
        <f>"12/7/2022 1:28:00 PM"</f>
        <v>12/7/2022 1:28:00 PM</v>
      </c>
      <c r="O18010" t="s">
        <v>55255</v>
      </c>
      <c r="T18010" t="s">
        <v>55256</v>
      </c>
    </row>
    <row r="18011" spans="1:20" x14ac:dyDescent="0.25">
      <c r="A18011" t="str">
        <f>"3057336"</f>
        <v>3057336</v>
      </c>
      <c r="B18011" t="s">
        <v>55258</v>
      </c>
      <c r="C18011" t="str">
        <f>"8319311"</f>
        <v>8319311</v>
      </c>
      <c r="D18011" t="s">
        <v>55259</v>
      </c>
      <c r="F18011" t="s">
        <v>55260</v>
      </c>
      <c r="I18011" t="s">
        <v>471</v>
      </c>
      <c r="J18011" t="s">
        <v>30</v>
      </c>
      <c r="K18011" t="s">
        <v>55261</v>
      </c>
      <c r="M18011" t="s">
        <v>17861</v>
      </c>
      <c r="N18011" t="str">
        <f>"12/7/2022 1:33:00 PM"</f>
        <v>12/7/2022 1:33:00 PM</v>
      </c>
      <c r="O18011" t="s">
        <v>55259</v>
      </c>
    </row>
    <row r="18012" spans="1:20" x14ac:dyDescent="0.25">
      <c r="A18012" t="str">
        <f>"3046920"</f>
        <v>3046920</v>
      </c>
      <c r="B18012" t="s">
        <v>55262</v>
      </c>
      <c r="C18012" t="str">
        <f>"8319313"</f>
        <v>8319313</v>
      </c>
      <c r="D18012" t="s">
        <v>55263</v>
      </c>
      <c r="E18012" t="s">
        <v>55264</v>
      </c>
      <c r="F18012" t="s">
        <v>55265</v>
      </c>
      <c r="I18012" t="s">
        <v>2280</v>
      </c>
      <c r="J18012" t="s">
        <v>30</v>
      </c>
      <c r="K18012" t="s">
        <v>55266</v>
      </c>
      <c r="M18012" t="s">
        <v>17861</v>
      </c>
      <c r="N18012" t="str">
        <f>"12/7/2022 1:40:00 PM"</f>
        <v>12/7/2022 1:40:00 PM</v>
      </c>
      <c r="O18012" t="s">
        <v>55263</v>
      </c>
      <c r="T18012" t="s">
        <v>55264</v>
      </c>
    </row>
    <row r="18013" spans="1:20" x14ac:dyDescent="0.25">
      <c r="A18013" t="str">
        <f>"3052193"</f>
        <v>3052193</v>
      </c>
      <c r="B18013" t="s">
        <v>55267</v>
      </c>
      <c r="C18013" t="str">
        <f>"8319318"</f>
        <v>8319318</v>
      </c>
      <c r="D18013" t="s">
        <v>13353</v>
      </c>
      <c r="F18013" t="s">
        <v>13355</v>
      </c>
      <c r="I18013" t="s">
        <v>29</v>
      </c>
      <c r="J18013" t="s">
        <v>30</v>
      </c>
      <c r="K18013" t="s">
        <v>13356</v>
      </c>
      <c r="M18013" t="s">
        <v>17861</v>
      </c>
      <c r="N18013" t="str">
        <f>"12/8/2022 8:56:00 AM"</f>
        <v>12/8/2022 8:56:00 AM</v>
      </c>
      <c r="O18013" t="s">
        <v>13353</v>
      </c>
    </row>
    <row r="18014" spans="1:20" x14ac:dyDescent="0.25">
      <c r="A18014" t="str">
        <f>"3052833"</f>
        <v>3052833</v>
      </c>
      <c r="B18014" t="s">
        <v>55268</v>
      </c>
      <c r="C18014" t="str">
        <f>"8319318"</f>
        <v>8319318</v>
      </c>
      <c r="D18014" t="s">
        <v>13353</v>
      </c>
      <c r="F18014" t="s">
        <v>13355</v>
      </c>
      <c r="I18014" t="s">
        <v>29</v>
      </c>
      <c r="J18014" t="s">
        <v>30</v>
      </c>
      <c r="K18014" t="s">
        <v>13356</v>
      </c>
      <c r="M18014" t="s">
        <v>17861</v>
      </c>
      <c r="N18014" t="str">
        <f>"12/8/2022 8:56:00 AM"</f>
        <v>12/8/2022 8:56:00 AM</v>
      </c>
      <c r="O18014" t="s">
        <v>13353</v>
      </c>
    </row>
    <row r="18015" spans="1:20" x14ac:dyDescent="0.25">
      <c r="A18015" t="str">
        <f>"3041581"</f>
        <v>3041581</v>
      </c>
      <c r="B18015" t="s">
        <v>55269</v>
      </c>
      <c r="C18015" t="str">
        <f>"8319323"</f>
        <v>8319323</v>
      </c>
      <c r="D18015" t="s">
        <v>55270</v>
      </c>
      <c r="E18015" t="s">
        <v>55271</v>
      </c>
      <c r="F18015" t="s">
        <v>55272</v>
      </c>
      <c r="I18015" t="s">
        <v>2071</v>
      </c>
      <c r="J18015" t="s">
        <v>30</v>
      </c>
      <c r="K18015" t="s">
        <v>30968</v>
      </c>
      <c r="M18015" t="s">
        <v>17861</v>
      </c>
      <c r="N18015" t="str">
        <f>"12/8/2022 11:17:00 AM"</f>
        <v>12/8/2022 11:17:00 AM</v>
      </c>
      <c r="O18015" t="s">
        <v>55270</v>
      </c>
      <c r="T18015" t="s">
        <v>55271</v>
      </c>
    </row>
    <row r="18016" spans="1:20" x14ac:dyDescent="0.25">
      <c r="A18016" t="str">
        <f>"3055271"</f>
        <v>3055271</v>
      </c>
      <c r="B18016" t="s">
        <v>55273</v>
      </c>
      <c r="C18016" t="str">
        <f>"8319324"</f>
        <v>8319324</v>
      </c>
      <c r="D18016" t="s">
        <v>55274</v>
      </c>
      <c r="E18016" t="s">
        <v>55275</v>
      </c>
      <c r="F18016" t="s">
        <v>55276</v>
      </c>
      <c r="I18016" t="s">
        <v>29</v>
      </c>
      <c r="J18016" t="s">
        <v>30</v>
      </c>
      <c r="K18016" t="s">
        <v>39156</v>
      </c>
      <c r="M18016" t="s">
        <v>17861</v>
      </c>
      <c r="N18016" t="str">
        <f>"12/8/2022 11:22:00 AM"</f>
        <v>12/8/2022 11:22:00 AM</v>
      </c>
      <c r="O18016" t="s">
        <v>55274</v>
      </c>
      <c r="T18016" t="s">
        <v>55275</v>
      </c>
    </row>
    <row r="18017" spans="1:20" x14ac:dyDescent="0.25">
      <c r="A18017" t="str">
        <f>"3070356"</f>
        <v>3070356</v>
      </c>
      <c r="B18017" t="s">
        <v>55277</v>
      </c>
      <c r="C18017" t="str">
        <f>"8319364"</f>
        <v>8319364</v>
      </c>
      <c r="D18017" t="s">
        <v>55278</v>
      </c>
      <c r="E18017" t="s">
        <v>55279</v>
      </c>
      <c r="F18017" t="s">
        <v>55280</v>
      </c>
      <c r="I18017" t="s">
        <v>8729</v>
      </c>
      <c r="J18017" t="s">
        <v>30</v>
      </c>
      <c r="K18017" t="s">
        <v>55281</v>
      </c>
      <c r="M18017" t="s">
        <v>17861</v>
      </c>
      <c r="N18017" t="str">
        <f>"12/15/2022 12:29:00 PM"</f>
        <v>12/15/2022 12:29:00 PM</v>
      </c>
      <c r="O18017" t="s">
        <v>55278</v>
      </c>
      <c r="T18017" t="s">
        <v>55279</v>
      </c>
    </row>
    <row r="18018" spans="1:20" x14ac:dyDescent="0.25">
      <c r="A18018" t="str">
        <f>"3060179"</f>
        <v>3060179</v>
      </c>
      <c r="B18018" t="s">
        <v>55282</v>
      </c>
      <c r="C18018" t="str">
        <f>"8315824"</f>
        <v>8315824</v>
      </c>
      <c r="D18018" t="s">
        <v>55283</v>
      </c>
      <c r="E18018" t="s">
        <v>55284</v>
      </c>
      <c r="F18018" t="s">
        <v>55285</v>
      </c>
      <c r="I18018" t="s">
        <v>184</v>
      </c>
      <c r="J18018" t="s">
        <v>30</v>
      </c>
      <c r="K18018" t="s">
        <v>48651</v>
      </c>
      <c r="M18018" t="s">
        <v>51351</v>
      </c>
      <c r="N18018" t="str">
        <f>"12/15/2022 4:09:00 PM"</f>
        <v>12/15/2022 4:09:00 PM</v>
      </c>
      <c r="O18018" t="s">
        <v>55283</v>
      </c>
      <c r="T18018" t="s">
        <v>55284</v>
      </c>
    </row>
    <row r="18019" spans="1:20" x14ac:dyDescent="0.25">
      <c r="A18019" t="str">
        <f>"3050303"</f>
        <v>3050303</v>
      </c>
      <c r="B18019" t="s">
        <v>55286</v>
      </c>
      <c r="C18019" t="str">
        <f>"8319377"</f>
        <v>8319377</v>
      </c>
      <c r="D18019" t="s">
        <v>55287</v>
      </c>
      <c r="F18019" t="s">
        <v>55288</v>
      </c>
      <c r="I18019" t="s">
        <v>29</v>
      </c>
      <c r="J18019" t="s">
        <v>30</v>
      </c>
      <c r="K18019" t="s">
        <v>55289</v>
      </c>
      <c r="M18019" t="s">
        <v>17861</v>
      </c>
      <c r="N18019" t="str">
        <f>"12/16/2022 3:54:00 PM"</f>
        <v>12/16/2022 3:54:00 PM</v>
      </c>
      <c r="O18019" t="s">
        <v>55287</v>
      </c>
    </row>
    <row r="18020" spans="1:20" x14ac:dyDescent="0.25">
      <c r="A18020" t="str">
        <f>"3048845"</f>
        <v>3048845</v>
      </c>
      <c r="B18020" t="s">
        <v>55290</v>
      </c>
      <c r="C18020" t="str">
        <f>"8319378"</f>
        <v>8319378</v>
      </c>
      <c r="D18020" t="s">
        <v>55291</v>
      </c>
      <c r="F18020" t="s">
        <v>55292</v>
      </c>
      <c r="I18020" t="s">
        <v>29</v>
      </c>
      <c r="J18020" t="s">
        <v>30</v>
      </c>
      <c r="K18020" t="s">
        <v>45940</v>
      </c>
      <c r="M18020" t="s">
        <v>17861</v>
      </c>
      <c r="N18020" t="str">
        <f>"12/16/2022 3:56:00 PM"</f>
        <v>12/16/2022 3:56:00 PM</v>
      </c>
      <c r="O18020" t="s">
        <v>55291</v>
      </c>
    </row>
    <row r="18021" spans="1:20" x14ac:dyDescent="0.25">
      <c r="A18021" t="str">
        <f>"3049648"</f>
        <v>3049648</v>
      </c>
      <c r="B18021" t="s">
        <v>55293</v>
      </c>
      <c r="C18021" t="str">
        <f>"8319379"</f>
        <v>8319379</v>
      </c>
      <c r="D18021" t="s">
        <v>55294</v>
      </c>
      <c r="E18021" t="s">
        <v>55295</v>
      </c>
      <c r="F18021" t="s">
        <v>55296</v>
      </c>
      <c r="I18021" t="s">
        <v>55297</v>
      </c>
      <c r="J18021" t="s">
        <v>12725</v>
      </c>
      <c r="K18021" t="s">
        <v>55298</v>
      </c>
      <c r="M18021" t="s">
        <v>17861</v>
      </c>
      <c r="N18021" t="str">
        <f>"12/16/2022 4:04:00 PM"</f>
        <v>12/16/2022 4:04:00 PM</v>
      </c>
      <c r="O18021" t="s">
        <v>55294</v>
      </c>
      <c r="T18021" t="s">
        <v>55295</v>
      </c>
    </row>
    <row r="18022" spans="1:20" x14ac:dyDescent="0.25">
      <c r="A18022" t="str">
        <f>"3050516"</f>
        <v>3050516</v>
      </c>
      <c r="B18022" t="s">
        <v>55299</v>
      </c>
      <c r="C18022" t="str">
        <f>"8319379"</f>
        <v>8319379</v>
      </c>
      <c r="D18022" t="s">
        <v>55294</v>
      </c>
      <c r="E18022" t="s">
        <v>55295</v>
      </c>
      <c r="F18022" t="s">
        <v>55296</v>
      </c>
      <c r="I18022" t="s">
        <v>55297</v>
      </c>
      <c r="J18022" t="s">
        <v>12725</v>
      </c>
      <c r="K18022" t="s">
        <v>55298</v>
      </c>
      <c r="M18022" t="s">
        <v>17861</v>
      </c>
      <c r="N18022" t="str">
        <f>"12/16/2022 4:04:00 PM"</f>
        <v>12/16/2022 4:04:00 PM</v>
      </c>
      <c r="O18022" t="s">
        <v>55294</v>
      </c>
      <c r="T18022" t="s">
        <v>55295</v>
      </c>
    </row>
    <row r="18023" spans="1:20" x14ac:dyDescent="0.25">
      <c r="A18023" t="str">
        <f>"3045789"</f>
        <v>3045789</v>
      </c>
      <c r="B18023" t="s">
        <v>55300</v>
      </c>
      <c r="C18023" t="str">
        <f>"8319380"</f>
        <v>8319380</v>
      </c>
      <c r="D18023" t="s">
        <v>55301</v>
      </c>
      <c r="F18023" t="s">
        <v>55302</v>
      </c>
      <c r="I18023" t="s">
        <v>29</v>
      </c>
      <c r="J18023" t="s">
        <v>30</v>
      </c>
      <c r="K18023" t="s">
        <v>7120</v>
      </c>
      <c r="M18023" t="s">
        <v>17861</v>
      </c>
      <c r="N18023" t="str">
        <f>"12/16/2022 4:10:00 PM"</f>
        <v>12/16/2022 4:10:00 PM</v>
      </c>
      <c r="O18023" t="s">
        <v>55301</v>
      </c>
    </row>
    <row r="18024" spans="1:20" x14ac:dyDescent="0.25">
      <c r="A18024" t="str">
        <f>"3052543"</f>
        <v>3052543</v>
      </c>
      <c r="B18024" t="s">
        <v>55303</v>
      </c>
      <c r="C18024" t="str">
        <f>"8319381"</f>
        <v>8319381</v>
      </c>
      <c r="D18024" t="s">
        <v>55304</v>
      </c>
      <c r="F18024" t="s">
        <v>55305</v>
      </c>
      <c r="I18024" t="s">
        <v>29</v>
      </c>
      <c r="J18024" t="s">
        <v>30</v>
      </c>
      <c r="K18024" t="s">
        <v>37418</v>
      </c>
      <c r="M18024" t="s">
        <v>17861</v>
      </c>
      <c r="N18024" t="str">
        <f>"12/16/2022 4:13:00 PM"</f>
        <v>12/16/2022 4:13:00 PM</v>
      </c>
      <c r="O18024" t="s">
        <v>55304</v>
      </c>
    </row>
    <row r="18025" spans="1:20" x14ac:dyDescent="0.25">
      <c r="A18025" t="str">
        <f>"3052559"</f>
        <v>3052559</v>
      </c>
      <c r="B18025" t="s">
        <v>55306</v>
      </c>
      <c r="C18025" t="str">
        <f>"8319359"</f>
        <v>8319359</v>
      </c>
      <c r="D18025" t="s">
        <v>55307</v>
      </c>
      <c r="E18025" t="s">
        <v>55308</v>
      </c>
      <c r="F18025" t="s">
        <v>55309</v>
      </c>
      <c r="I18025" t="s">
        <v>29</v>
      </c>
      <c r="J18025" t="s">
        <v>30</v>
      </c>
      <c r="K18025" t="s">
        <v>55310</v>
      </c>
      <c r="M18025" t="s">
        <v>17861</v>
      </c>
      <c r="N18025" t="str">
        <f>"12/13/2022 10:30:00 AM"</f>
        <v>12/13/2022 10:30:00 AM</v>
      </c>
      <c r="O18025" t="s">
        <v>55307</v>
      </c>
      <c r="T18025" t="s">
        <v>55308</v>
      </c>
    </row>
    <row r="18026" spans="1:20" x14ac:dyDescent="0.25">
      <c r="A18026" t="str">
        <f>"3056570"</f>
        <v>3056570</v>
      </c>
      <c r="B18026" t="s">
        <v>55311</v>
      </c>
      <c r="C18026" t="str">
        <f>"49380000"</f>
        <v>49380000</v>
      </c>
      <c r="D18026" t="s">
        <v>55312</v>
      </c>
      <c r="F18026" t="str">
        <f>"C/O CATHY BOWERS"</f>
        <v>C/O CATHY BOWERS</v>
      </c>
      <c r="G18026" t="s">
        <v>55313</v>
      </c>
      <c r="I18026" t="s">
        <v>5235</v>
      </c>
      <c r="J18026" t="s">
        <v>30</v>
      </c>
      <c r="K18026" t="s">
        <v>55314</v>
      </c>
      <c r="M18026" t="s">
        <v>52111</v>
      </c>
      <c r="N18026" t="str">
        <f>"12/13/2022 11:54:00 AM"</f>
        <v>12/13/2022 11:54:00 AM</v>
      </c>
      <c r="O18026" t="s">
        <v>55312</v>
      </c>
    </row>
    <row r="18027" spans="1:20" x14ac:dyDescent="0.25">
      <c r="A18027" t="str">
        <f>"3074629"</f>
        <v>3074629</v>
      </c>
      <c r="B18027" t="s">
        <v>55315</v>
      </c>
      <c r="C18027" t="str">
        <f>"8319388"</f>
        <v>8319388</v>
      </c>
      <c r="D18027" t="s">
        <v>55316</v>
      </c>
      <c r="E18027" t="s">
        <v>55317</v>
      </c>
      <c r="F18027" t="s">
        <v>55318</v>
      </c>
      <c r="I18027" t="s">
        <v>29</v>
      </c>
      <c r="J18027" t="s">
        <v>30</v>
      </c>
      <c r="K18027" t="s">
        <v>34638</v>
      </c>
      <c r="M18027" t="s">
        <v>17861</v>
      </c>
      <c r="N18027" t="str">
        <f>"12/16/2022 4:26:00 PM"</f>
        <v>12/16/2022 4:26:00 PM</v>
      </c>
      <c r="O18027" t="s">
        <v>55316</v>
      </c>
      <c r="T18027" t="s">
        <v>55317</v>
      </c>
    </row>
    <row r="18028" spans="1:20" x14ac:dyDescent="0.25">
      <c r="A18028" t="str">
        <f>"3061834"</f>
        <v>3061834</v>
      </c>
      <c r="B18028" t="s">
        <v>55319</v>
      </c>
      <c r="C18028" t="str">
        <f>"8319394"</f>
        <v>8319394</v>
      </c>
      <c r="D18028" t="s">
        <v>55320</v>
      </c>
      <c r="E18028" t="s">
        <v>55321</v>
      </c>
      <c r="F18028" t="s">
        <v>55322</v>
      </c>
      <c r="I18028" t="s">
        <v>24359</v>
      </c>
      <c r="J18028" t="s">
        <v>30</v>
      </c>
      <c r="K18028" t="str">
        <f>"27006"</f>
        <v>27006</v>
      </c>
      <c r="M18028" t="s">
        <v>17861</v>
      </c>
      <c r="N18028" t="str">
        <f>"12/19/2022 11:09:00 AM"</f>
        <v>12/19/2022 11:09:00 AM</v>
      </c>
      <c r="O18028" t="s">
        <v>55320</v>
      </c>
      <c r="T18028" t="s">
        <v>55321</v>
      </c>
    </row>
    <row r="18029" spans="1:20" x14ac:dyDescent="0.25">
      <c r="A18029" t="str">
        <f>"3064640"</f>
        <v>3064640</v>
      </c>
      <c r="B18029" t="s">
        <v>55323</v>
      </c>
      <c r="C18029" t="str">
        <f>"8307879"</f>
        <v>8307879</v>
      </c>
      <c r="D18029" t="s">
        <v>55324</v>
      </c>
      <c r="F18029" t="s">
        <v>17891</v>
      </c>
      <c r="I18029" t="s">
        <v>17892</v>
      </c>
      <c r="J18029" t="s">
        <v>11346</v>
      </c>
      <c r="K18029" t="str">
        <f>"37716"</f>
        <v>37716</v>
      </c>
      <c r="M18029" t="s">
        <v>50621</v>
      </c>
      <c r="N18029" t="str">
        <f>"12/19/2022 11:33:00 AM"</f>
        <v>12/19/2022 11:33:00 AM</v>
      </c>
      <c r="O18029" t="s">
        <v>55324</v>
      </c>
    </row>
    <row r="18030" spans="1:20" x14ac:dyDescent="0.25">
      <c r="A18030" t="str">
        <f>"3060960"</f>
        <v>3060960</v>
      </c>
      <c r="B18030" t="s">
        <v>55325</v>
      </c>
      <c r="C18030" t="str">
        <f>"8319395"</f>
        <v>8319395</v>
      </c>
      <c r="D18030" t="s">
        <v>55326</v>
      </c>
      <c r="E18030" t="s">
        <v>55327</v>
      </c>
      <c r="F18030" t="s">
        <v>55328</v>
      </c>
      <c r="I18030" t="s">
        <v>2071</v>
      </c>
      <c r="J18030" t="s">
        <v>30</v>
      </c>
      <c r="K18030" t="s">
        <v>42092</v>
      </c>
      <c r="M18030" t="s">
        <v>17861</v>
      </c>
      <c r="N18030" t="str">
        <f>"12/19/2022 1:11:00 PM"</f>
        <v>12/19/2022 1:11:00 PM</v>
      </c>
      <c r="O18030" t="s">
        <v>55326</v>
      </c>
      <c r="T18030" t="s">
        <v>55327</v>
      </c>
    </row>
    <row r="18031" spans="1:20" x14ac:dyDescent="0.25">
      <c r="A18031" t="str">
        <f>"3068717"</f>
        <v>3068717</v>
      </c>
      <c r="B18031" t="s">
        <v>55329</v>
      </c>
      <c r="C18031" t="str">
        <f>"8309065"</f>
        <v>8309065</v>
      </c>
      <c r="D18031" t="s">
        <v>55330</v>
      </c>
      <c r="E18031" t="s">
        <v>55331</v>
      </c>
      <c r="F18031" t="s">
        <v>55332</v>
      </c>
      <c r="I18031" t="s">
        <v>184</v>
      </c>
      <c r="J18031" t="s">
        <v>30</v>
      </c>
      <c r="K18031" t="s">
        <v>55333</v>
      </c>
      <c r="M18031" t="s">
        <v>50621</v>
      </c>
      <c r="N18031" t="str">
        <f>"12/19/2022 2:14:00 PM"</f>
        <v>12/19/2022 2:14:00 PM</v>
      </c>
      <c r="O18031" t="s">
        <v>55330</v>
      </c>
      <c r="T18031" t="s">
        <v>55331</v>
      </c>
    </row>
    <row r="18032" spans="1:20" x14ac:dyDescent="0.25">
      <c r="A18032" t="str">
        <f>"3041759"</f>
        <v>3041759</v>
      </c>
      <c r="B18032" t="s">
        <v>55334</v>
      </c>
      <c r="C18032" t="str">
        <f>"8311572"</f>
        <v>8311572</v>
      </c>
      <c r="D18032" t="s">
        <v>55335</v>
      </c>
      <c r="E18032" t="s">
        <v>55336</v>
      </c>
      <c r="F18032" t="s">
        <v>55337</v>
      </c>
      <c r="I18032" t="s">
        <v>2071</v>
      </c>
      <c r="J18032" t="s">
        <v>30</v>
      </c>
      <c r="K18032" t="s">
        <v>4010</v>
      </c>
      <c r="M18032" t="s">
        <v>36935</v>
      </c>
      <c r="N18032" t="str">
        <f>"12/19/2022 2:23:00 PM"</f>
        <v>12/19/2022 2:23:00 PM</v>
      </c>
      <c r="O18032" t="s">
        <v>55335</v>
      </c>
      <c r="T18032" t="s">
        <v>55336</v>
      </c>
    </row>
    <row r="18033" spans="1:20" x14ac:dyDescent="0.25">
      <c r="A18033" t="str">
        <f>"3051022"</f>
        <v>3051022</v>
      </c>
      <c r="B18033" t="s">
        <v>55338</v>
      </c>
      <c r="C18033" t="str">
        <f>"8319416"</f>
        <v>8319416</v>
      </c>
      <c r="D18033" t="s">
        <v>55339</v>
      </c>
      <c r="E18033" t="s">
        <v>55340</v>
      </c>
      <c r="F18033" t="s">
        <v>55341</v>
      </c>
      <c r="I18033" t="s">
        <v>29</v>
      </c>
      <c r="J18033" t="s">
        <v>30</v>
      </c>
      <c r="K18033" t="s">
        <v>42224</v>
      </c>
      <c r="M18033" t="s">
        <v>17861</v>
      </c>
      <c r="N18033" t="str">
        <f>"12/28/2022 10:16:00 AM"</f>
        <v>12/28/2022 10:16:00 AM</v>
      </c>
      <c r="O18033" t="s">
        <v>55339</v>
      </c>
      <c r="T18033" t="s">
        <v>55340</v>
      </c>
    </row>
    <row r="18034" spans="1:20" x14ac:dyDescent="0.25">
      <c r="A18034" t="str">
        <f>"3038014"</f>
        <v>3038014</v>
      </c>
      <c r="B18034" t="s">
        <v>55342</v>
      </c>
      <c r="C18034" t="str">
        <f>"8319431"</f>
        <v>8319431</v>
      </c>
      <c r="D18034" t="s">
        <v>55343</v>
      </c>
      <c r="F18034" t="s">
        <v>55344</v>
      </c>
      <c r="I18034" t="s">
        <v>49</v>
      </c>
      <c r="J18034" t="s">
        <v>30</v>
      </c>
      <c r="K18034" t="s">
        <v>356</v>
      </c>
      <c r="M18034" t="s">
        <v>17861</v>
      </c>
      <c r="N18034" t="str">
        <f>"12/29/2022 3:25:00 PM"</f>
        <v>12/29/2022 3:25:00 PM</v>
      </c>
      <c r="O18034" t="s">
        <v>55343</v>
      </c>
    </row>
    <row r="18035" spans="1:20" x14ac:dyDescent="0.25">
      <c r="A18035" t="str">
        <f>"3038154"</f>
        <v>3038154</v>
      </c>
      <c r="B18035" t="s">
        <v>55345</v>
      </c>
      <c r="C18035" t="str">
        <f>"8319433"</f>
        <v>8319433</v>
      </c>
      <c r="D18035" t="s">
        <v>55346</v>
      </c>
      <c r="F18035" t="s">
        <v>55347</v>
      </c>
      <c r="I18035" t="s">
        <v>49</v>
      </c>
      <c r="J18035" t="s">
        <v>30</v>
      </c>
      <c r="K18035" t="s">
        <v>55348</v>
      </c>
      <c r="M18035" t="s">
        <v>17861</v>
      </c>
      <c r="N18035" t="str">
        <f>"12/29/2022 3:28:00 PM"</f>
        <v>12/29/2022 3:28:00 PM</v>
      </c>
      <c r="O18035" t="s">
        <v>55346</v>
      </c>
    </row>
    <row r="18036" spans="1:20" x14ac:dyDescent="0.25">
      <c r="A18036" t="str">
        <f>"3038016"</f>
        <v>3038016</v>
      </c>
      <c r="B18036" t="s">
        <v>55349</v>
      </c>
      <c r="C18036" t="str">
        <f>"8319437"</f>
        <v>8319437</v>
      </c>
      <c r="D18036" t="s">
        <v>55350</v>
      </c>
      <c r="E18036" t="s">
        <v>55351</v>
      </c>
      <c r="F18036" t="s">
        <v>55352</v>
      </c>
      <c r="I18036" t="s">
        <v>49</v>
      </c>
      <c r="J18036" t="s">
        <v>30</v>
      </c>
      <c r="K18036" t="s">
        <v>55353</v>
      </c>
      <c r="M18036" t="s">
        <v>17861</v>
      </c>
      <c r="N18036" t="str">
        <f>"12/29/2022 3:37:00 PM"</f>
        <v>12/29/2022 3:37:00 PM</v>
      </c>
      <c r="O18036" t="s">
        <v>55350</v>
      </c>
      <c r="T18036" t="s">
        <v>55351</v>
      </c>
    </row>
    <row r="18037" spans="1:20" x14ac:dyDescent="0.25">
      <c r="A18037" t="str">
        <f>"3038240"</f>
        <v>3038240</v>
      </c>
      <c r="B18037" t="s">
        <v>55354</v>
      </c>
      <c r="C18037" t="str">
        <f>"8319438"</f>
        <v>8319438</v>
      </c>
      <c r="D18037" t="s">
        <v>55355</v>
      </c>
      <c r="F18037" t="s">
        <v>55356</v>
      </c>
      <c r="I18037" t="s">
        <v>49</v>
      </c>
      <c r="J18037" t="s">
        <v>30</v>
      </c>
      <c r="K18037" t="s">
        <v>55357</v>
      </c>
      <c r="M18037" t="s">
        <v>17861</v>
      </c>
      <c r="N18037" t="str">
        <f>"12/29/2022 3:38:00 PM"</f>
        <v>12/29/2022 3:38:00 PM</v>
      </c>
      <c r="O18037" t="s">
        <v>55355</v>
      </c>
    </row>
    <row r="18038" spans="1:20" x14ac:dyDescent="0.25">
      <c r="A18038" t="str">
        <f>"3038034"</f>
        <v>3038034</v>
      </c>
      <c r="B18038" t="s">
        <v>55358</v>
      </c>
      <c r="C18038" t="str">
        <f>"8319439"</f>
        <v>8319439</v>
      </c>
      <c r="D18038" t="s">
        <v>55359</v>
      </c>
      <c r="F18038" t="s">
        <v>55360</v>
      </c>
      <c r="I18038" t="s">
        <v>49</v>
      </c>
      <c r="J18038" t="s">
        <v>30</v>
      </c>
      <c r="K18038" t="s">
        <v>55357</v>
      </c>
      <c r="M18038" t="s">
        <v>17861</v>
      </c>
      <c r="N18038" t="str">
        <f>"12/29/2022 3:39:00 PM"</f>
        <v>12/29/2022 3:39:00 PM</v>
      </c>
      <c r="O18038" t="s">
        <v>55359</v>
      </c>
    </row>
    <row r="18039" spans="1:20" x14ac:dyDescent="0.25">
      <c r="A18039" t="str">
        <f>"3037442"</f>
        <v>3037442</v>
      </c>
      <c r="B18039" t="s">
        <v>55361</v>
      </c>
      <c r="C18039" t="str">
        <f>"8304681"</f>
        <v>8304681</v>
      </c>
      <c r="D18039" t="s">
        <v>55362</v>
      </c>
      <c r="F18039" t="s">
        <v>55363</v>
      </c>
      <c r="I18039" t="s">
        <v>49</v>
      </c>
      <c r="J18039" t="s">
        <v>30</v>
      </c>
      <c r="K18039" t="str">
        <f>"27055"</f>
        <v>27055</v>
      </c>
      <c r="M18039" t="s">
        <v>17861</v>
      </c>
      <c r="N18039" t="str">
        <f>"12/28/2022 10:49:00 AM"</f>
        <v>12/28/2022 10:49:00 AM</v>
      </c>
      <c r="O18039" t="s">
        <v>55362</v>
      </c>
    </row>
    <row r="18040" spans="1:20" x14ac:dyDescent="0.25">
      <c r="A18040" t="str">
        <f>"3057370"</f>
        <v>3057370</v>
      </c>
      <c r="B18040" t="s">
        <v>55364</v>
      </c>
      <c r="C18040" t="str">
        <f>"8319407"</f>
        <v>8319407</v>
      </c>
      <c r="D18040" t="s">
        <v>55365</v>
      </c>
      <c r="E18040" t="s">
        <v>55366</v>
      </c>
      <c r="F18040" t="s">
        <v>55367</v>
      </c>
      <c r="I18040" t="s">
        <v>184</v>
      </c>
      <c r="J18040" t="s">
        <v>30</v>
      </c>
      <c r="K18040" t="s">
        <v>52675</v>
      </c>
      <c r="M18040" t="s">
        <v>17861</v>
      </c>
      <c r="N18040" t="str">
        <f>"12/21/2022 3:06:00 PM"</f>
        <v>12/21/2022 3:06:00 PM</v>
      </c>
      <c r="O18040" t="s">
        <v>55365</v>
      </c>
      <c r="T18040" t="s">
        <v>55366</v>
      </c>
    </row>
    <row r="18041" spans="1:20" x14ac:dyDescent="0.25">
      <c r="A18041" t="str">
        <f>"3057414"</f>
        <v>3057414</v>
      </c>
      <c r="B18041" t="s">
        <v>55368</v>
      </c>
      <c r="C18041" t="str">
        <f>"8319443"</f>
        <v>8319443</v>
      </c>
      <c r="D18041" t="s">
        <v>55369</v>
      </c>
      <c r="F18041" t="s">
        <v>55370</v>
      </c>
      <c r="I18041" t="s">
        <v>49</v>
      </c>
      <c r="J18041" t="s">
        <v>30</v>
      </c>
      <c r="K18041" t="s">
        <v>55371</v>
      </c>
      <c r="M18041" t="s">
        <v>17861</v>
      </c>
      <c r="N18041" t="str">
        <f>"12/29/2022 3:53:00 PM"</f>
        <v>12/29/2022 3:53:00 PM</v>
      </c>
      <c r="O18041" t="s">
        <v>55369</v>
      </c>
    </row>
    <row r="18042" spans="1:20" x14ac:dyDescent="0.25">
      <c r="A18042" t="str">
        <f>"3057416"</f>
        <v>3057416</v>
      </c>
      <c r="B18042" t="s">
        <v>55372</v>
      </c>
      <c r="C18042" t="str">
        <f>"8319444"</f>
        <v>8319444</v>
      </c>
      <c r="D18042" t="s">
        <v>55373</v>
      </c>
      <c r="F18042" t="s">
        <v>55374</v>
      </c>
      <c r="I18042" t="s">
        <v>49</v>
      </c>
      <c r="J18042" t="s">
        <v>30</v>
      </c>
      <c r="K18042" t="s">
        <v>55375</v>
      </c>
      <c r="M18042" t="s">
        <v>17861</v>
      </c>
      <c r="N18042" t="str">
        <f>"12/29/2022 3:54:00 PM"</f>
        <v>12/29/2022 3:54:00 PM</v>
      </c>
      <c r="O18042" t="s">
        <v>55373</v>
      </c>
    </row>
    <row r="18043" spans="1:20" x14ac:dyDescent="0.25">
      <c r="A18043" t="str">
        <f>"3039231"</f>
        <v>3039231</v>
      </c>
      <c r="B18043" t="s">
        <v>55376</v>
      </c>
      <c r="C18043" t="str">
        <f>"8306839"</f>
        <v>8306839</v>
      </c>
      <c r="D18043" t="s">
        <v>55377</v>
      </c>
      <c r="E18043" t="s">
        <v>55378</v>
      </c>
      <c r="F18043" t="s">
        <v>55379</v>
      </c>
      <c r="I18043" t="s">
        <v>49</v>
      </c>
      <c r="J18043" t="s">
        <v>30</v>
      </c>
      <c r="K18043" t="str">
        <f>"27055"</f>
        <v>27055</v>
      </c>
      <c r="M18043" t="s">
        <v>25625</v>
      </c>
      <c r="N18043" t="str">
        <f>"12/22/2022 10:06:00 AM"</f>
        <v>12/22/2022 10:06:00 AM</v>
      </c>
      <c r="O18043" t="s">
        <v>55377</v>
      </c>
      <c r="T18043" t="s">
        <v>55378</v>
      </c>
    </row>
    <row r="18044" spans="1:20" x14ac:dyDescent="0.25">
      <c r="A18044" t="str">
        <f>"3039112"</f>
        <v>3039112</v>
      </c>
      <c r="B18044" t="s">
        <v>55380</v>
      </c>
      <c r="C18044" t="str">
        <f>"69872000"</f>
        <v>69872000</v>
      </c>
      <c r="D18044" t="s">
        <v>55381</v>
      </c>
      <c r="E18044" t="s">
        <v>55382</v>
      </c>
      <c r="F18044" t="s">
        <v>55379</v>
      </c>
      <c r="I18044" t="s">
        <v>49</v>
      </c>
      <c r="J18044" t="s">
        <v>30</v>
      </c>
      <c r="K18044" t="s">
        <v>50</v>
      </c>
      <c r="M18044" t="s">
        <v>25625</v>
      </c>
      <c r="N18044" t="str">
        <f>"12/22/2022 10:07:00 AM"</f>
        <v>12/22/2022 10:07:00 AM</v>
      </c>
      <c r="O18044" t="s">
        <v>55381</v>
      </c>
      <c r="T18044" t="s">
        <v>55382</v>
      </c>
    </row>
    <row r="18045" spans="1:20" x14ac:dyDescent="0.25">
      <c r="A18045" t="str">
        <f>"3041167"</f>
        <v>3041167</v>
      </c>
      <c r="B18045" t="s">
        <v>55383</v>
      </c>
      <c r="C18045" t="str">
        <f>"8317100"</f>
        <v>8317100</v>
      </c>
      <c r="D18045" t="s">
        <v>55384</v>
      </c>
      <c r="F18045" t="str">
        <f>"C/O STRIKLAND ENTERPRISES LLC"</f>
        <v>C/O STRIKLAND ENTERPRISES LLC</v>
      </c>
      <c r="G18045" t="s">
        <v>55385</v>
      </c>
      <c r="I18045" t="s">
        <v>471</v>
      </c>
      <c r="J18045" t="s">
        <v>30</v>
      </c>
      <c r="K18045" t="s">
        <v>55386</v>
      </c>
      <c r="M18045" t="s">
        <v>17861</v>
      </c>
      <c r="N18045" t="str">
        <f>"12/28/2022 8:03:00 AM"</f>
        <v>12/28/2022 8:03:00 AM</v>
      </c>
      <c r="O18045" t="s">
        <v>55384</v>
      </c>
    </row>
    <row r="18046" spans="1:20" x14ac:dyDescent="0.25">
      <c r="A18046" t="str">
        <f>"3059907"</f>
        <v>3059907</v>
      </c>
      <c r="B18046" t="s">
        <v>55387</v>
      </c>
      <c r="C18046" t="str">
        <f>"8319409"</f>
        <v>8319409</v>
      </c>
      <c r="D18046" t="s">
        <v>55388</v>
      </c>
      <c r="E18046" t="s">
        <v>55389</v>
      </c>
      <c r="F18046" t="s">
        <v>55390</v>
      </c>
      <c r="I18046" t="s">
        <v>29</v>
      </c>
      <c r="J18046" t="s">
        <v>30</v>
      </c>
      <c r="K18046" t="s">
        <v>52809</v>
      </c>
      <c r="M18046" t="s">
        <v>17861</v>
      </c>
      <c r="N18046" t="str">
        <f>"12/28/2022 9:13:00 AM"</f>
        <v>12/28/2022 9:13:00 AM</v>
      </c>
      <c r="O18046" t="s">
        <v>55388</v>
      </c>
      <c r="T18046" t="s">
        <v>55389</v>
      </c>
    </row>
    <row r="18047" spans="1:20" x14ac:dyDescent="0.25">
      <c r="A18047" t="str">
        <f>"3057371"</f>
        <v>3057371</v>
      </c>
      <c r="B18047" t="s">
        <v>55391</v>
      </c>
      <c r="C18047" t="str">
        <f>"8319410"</f>
        <v>8319410</v>
      </c>
      <c r="D18047" t="s">
        <v>55392</v>
      </c>
      <c r="E18047" t="s">
        <v>55393</v>
      </c>
      <c r="F18047" t="s">
        <v>55394</v>
      </c>
      <c r="I18047" t="s">
        <v>184</v>
      </c>
      <c r="J18047" t="s">
        <v>30</v>
      </c>
      <c r="K18047" t="s">
        <v>52675</v>
      </c>
      <c r="M18047" t="s">
        <v>17861</v>
      </c>
      <c r="N18047" t="str">
        <f>"12/28/2022 9:16:00 AM"</f>
        <v>12/28/2022 9:16:00 AM</v>
      </c>
      <c r="O18047" t="s">
        <v>55392</v>
      </c>
      <c r="T18047" t="s">
        <v>55393</v>
      </c>
    </row>
    <row r="18048" spans="1:20" x14ac:dyDescent="0.25">
      <c r="A18048" t="str">
        <f>"3055287"</f>
        <v>3055287</v>
      </c>
      <c r="B18048" t="s">
        <v>55395</v>
      </c>
      <c r="C18048" t="str">
        <f>"8319411"</f>
        <v>8319411</v>
      </c>
      <c r="D18048" t="s">
        <v>55396</v>
      </c>
      <c r="F18048" t="s">
        <v>55397</v>
      </c>
      <c r="I18048" t="s">
        <v>29</v>
      </c>
      <c r="J18048" t="s">
        <v>30</v>
      </c>
      <c r="K18048" t="s">
        <v>14780</v>
      </c>
      <c r="M18048" t="s">
        <v>17861</v>
      </c>
      <c r="N18048" t="str">
        <f>"12/28/2022 9:18:00 AM"</f>
        <v>12/28/2022 9:18:00 AM</v>
      </c>
      <c r="O18048" t="s">
        <v>55396</v>
      </c>
    </row>
    <row r="18049" spans="1:20" x14ac:dyDescent="0.25">
      <c r="A18049" t="str">
        <f>"3060105"</f>
        <v>3060105</v>
      </c>
      <c r="B18049" t="s">
        <v>55398</v>
      </c>
      <c r="C18049" t="str">
        <f>"8319414"</f>
        <v>8319414</v>
      </c>
      <c r="D18049" t="s">
        <v>55399</v>
      </c>
      <c r="E18049" t="s">
        <v>55400</v>
      </c>
      <c r="F18049" t="s">
        <v>55401</v>
      </c>
      <c r="I18049" t="s">
        <v>184</v>
      </c>
      <c r="J18049" t="s">
        <v>30</v>
      </c>
      <c r="K18049" t="s">
        <v>10737</v>
      </c>
      <c r="M18049" t="s">
        <v>17861</v>
      </c>
      <c r="N18049" t="str">
        <f>"12/28/2022 9:45:00 AM"</f>
        <v>12/28/2022 9:45:00 AM</v>
      </c>
      <c r="O18049" t="s">
        <v>55399</v>
      </c>
      <c r="T18049" t="s">
        <v>55400</v>
      </c>
    </row>
    <row r="18050" spans="1:20" x14ac:dyDescent="0.25">
      <c r="A18050" t="str">
        <f>"3038430"</f>
        <v>3038430</v>
      </c>
      <c r="B18050" t="s">
        <v>55402</v>
      </c>
      <c r="C18050" t="str">
        <f>"8319415"</f>
        <v>8319415</v>
      </c>
      <c r="D18050" t="s">
        <v>55403</v>
      </c>
      <c r="E18050" t="s">
        <v>55404</v>
      </c>
      <c r="F18050" t="s">
        <v>55405</v>
      </c>
      <c r="I18050" t="s">
        <v>29</v>
      </c>
      <c r="J18050" t="s">
        <v>30</v>
      </c>
      <c r="K18050" t="s">
        <v>55406</v>
      </c>
      <c r="M18050" t="s">
        <v>17861</v>
      </c>
      <c r="N18050" t="str">
        <f>"12/28/2022 10:08:00 AM"</f>
        <v>12/28/2022 10:08:00 AM</v>
      </c>
      <c r="O18050" t="s">
        <v>55403</v>
      </c>
      <c r="T18050" t="s">
        <v>55404</v>
      </c>
    </row>
    <row r="18051" spans="1:20" x14ac:dyDescent="0.25">
      <c r="A18051" t="str">
        <f>"3038164"</f>
        <v>3038164</v>
      </c>
      <c r="B18051" t="s">
        <v>55407</v>
      </c>
      <c r="C18051" t="str">
        <f>"8319440"</f>
        <v>8319440</v>
      </c>
      <c r="D18051" t="s">
        <v>55408</v>
      </c>
      <c r="F18051" t="s">
        <v>55409</v>
      </c>
      <c r="I18051" t="s">
        <v>49</v>
      </c>
      <c r="J18051" t="s">
        <v>30</v>
      </c>
      <c r="K18051" t="s">
        <v>55357</v>
      </c>
      <c r="M18051" t="s">
        <v>17861</v>
      </c>
      <c r="N18051" t="str">
        <f>"12/29/2022 3:49:00 PM"</f>
        <v>12/29/2022 3:49:00 PM</v>
      </c>
      <c r="O18051" t="s">
        <v>55408</v>
      </c>
    </row>
    <row r="18052" spans="1:20" x14ac:dyDescent="0.25">
      <c r="A18052" t="str">
        <f>"3060281"</f>
        <v>3060281</v>
      </c>
      <c r="B18052" t="s">
        <v>55410</v>
      </c>
      <c r="C18052" t="str">
        <f>"8319442"</f>
        <v>8319442</v>
      </c>
      <c r="D18052" t="s">
        <v>55411</v>
      </c>
      <c r="E18052" t="s">
        <v>55412</v>
      </c>
      <c r="F18052" t="s">
        <v>55413</v>
      </c>
      <c r="I18052" t="s">
        <v>49</v>
      </c>
      <c r="J18052" t="s">
        <v>30</v>
      </c>
      <c r="K18052" t="s">
        <v>55414</v>
      </c>
      <c r="M18052" t="s">
        <v>17861</v>
      </c>
      <c r="N18052" t="str">
        <f>"12/29/2022 3:51:00 PM"</f>
        <v>12/29/2022 3:51:00 PM</v>
      </c>
      <c r="O18052" t="s">
        <v>55411</v>
      </c>
      <c r="T18052" t="s">
        <v>55412</v>
      </c>
    </row>
    <row r="18053" spans="1:20" x14ac:dyDescent="0.25">
      <c r="A18053" t="str">
        <f>"3040185"</f>
        <v>3040185</v>
      </c>
      <c r="B18053" t="s">
        <v>55415</v>
      </c>
      <c r="C18053" t="str">
        <f>"64612000"</f>
        <v>64612000</v>
      </c>
      <c r="D18053" t="s">
        <v>55416</v>
      </c>
      <c r="F18053" t="s">
        <v>55417</v>
      </c>
      <c r="I18053" t="s">
        <v>29</v>
      </c>
      <c r="J18053" t="s">
        <v>30</v>
      </c>
      <c r="K18053" t="s">
        <v>55418</v>
      </c>
      <c r="M18053" t="s">
        <v>50793</v>
      </c>
      <c r="N18053" t="str">
        <f>"12/28/2022 1:16:00 PM"</f>
        <v>12/28/2022 1:16:00 PM</v>
      </c>
      <c r="O18053" t="s">
        <v>55416</v>
      </c>
    </row>
    <row r="18054" spans="1:20" x14ac:dyDescent="0.25">
      <c r="A18054" t="str">
        <f>"3060247"</f>
        <v>3060247</v>
      </c>
      <c r="B18054" t="s">
        <v>55419</v>
      </c>
      <c r="C18054" t="str">
        <f>"8319454"</f>
        <v>8319454</v>
      </c>
      <c r="D18054" t="s">
        <v>55420</v>
      </c>
      <c r="E18054" t="s">
        <v>55421</v>
      </c>
      <c r="F18054" t="s">
        <v>55422</v>
      </c>
      <c r="I18054" t="s">
        <v>184</v>
      </c>
      <c r="J18054" t="s">
        <v>30</v>
      </c>
      <c r="K18054" t="s">
        <v>33177</v>
      </c>
      <c r="M18054" t="s">
        <v>17861</v>
      </c>
      <c r="N18054" t="str">
        <f>"12/30/2022 4:26:00 PM"</f>
        <v>12/30/2022 4:26:00 PM</v>
      </c>
      <c r="O18054" t="s">
        <v>55420</v>
      </c>
      <c r="T18054" t="s">
        <v>55421</v>
      </c>
    </row>
    <row r="18055" spans="1:20" x14ac:dyDescent="0.25">
      <c r="A18055" t="str">
        <f>"3041609"</f>
        <v>3041609</v>
      </c>
      <c r="B18055" t="s">
        <v>55423</v>
      </c>
      <c r="C18055" t="str">
        <f>"8312839"</f>
        <v>8312839</v>
      </c>
      <c r="D18055" t="s">
        <v>55424</v>
      </c>
      <c r="F18055" t="s">
        <v>55425</v>
      </c>
      <c r="I18055" t="s">
        <v>402</v>
      </c>
      <c r="J18055" t="s">
        <v>30</v>
      </c>
      <c r="K18055" t="s">
        <v>55426</v>
      </c>
      <c r="M18055" t="s">
        <v>22270</v>
      </c>
      <c r="N18055" t="str">
        <f>"1/3/2023 8:45:00 AM"</f>
        <v>1/3/2023 8:45:00 AM</v>
      </c>
      <c r="O18055" t="s">
        <v>55424</v>
      </c>
    </row>
    <row r="18056" spans="1:20" x14ac:dyDescent="0.25">
      <c r="A18056" t="str">
        <f>"3049847"</f>
        <v>3049847</v>
      </c>
      <c r="B18056" t="s">
        <v>55427</v>
      </c>
      <c r="C18056" t="str">
        <f>"8319142"</f>
        <v>8319142</v>
      </c>
      <c r="D18056" t="s">
        <v>55428</v>
      </c>
      <c r="F18056" t="s">
        <v>36221</v>
      </c>
      <c r="I18056" t="s">
        <v>36222</v>
      </c>
      <c r="J18056" t="s">
        <v>3737</v>
      </c>
      <c r="K18056" t="s">
        <v>36223</v>
      </c>
      <c r="M18056" t="s">
        <v>17861</v>
      </c>
      <c r="N18056" t="str">
        <f>"1/3/2023 9:34:00 AM"</f>
        <v>1/3/2023 9:34:00 AM</v>
      </c>
      <c r="O18056" t="s">
        <v>55428</v>
      </c>
    </row>
    <row r="18057" spans="1:20" x14ac:dyDescent="0.25">
      <c r="A18057" t="str">
        <f>"3040661"</f>
        <v>3040661</v>
      </c>
      <c r="B18057" t="s">
        <v>55429</v>
      </c>
      <c r="C18057" t="str">
        <f>"8319458"</f>
        <v>8319458</v>
      </c>
      <c r="D18057" t="s">
        <v>55430</v>
      </c>
      <c r="F18057" t="s">
        <v>35246</v>
      </c>
      <c r="I18057" t="s">
        <v>184</v>
      </c>
      <c r="J18057" t="s">
        <v>30</v>
      </c>
      <c r="K18057" t="s">
        <v>35247</v>
      </c>
      <c r="M18057" t="s">
        <v>17861</v>
      </c>
      <c r="N18057" t="str">
        <f>"1/3/2023 9:46:00 AM"</f>
        <v>1/3/2023 9:46:00 AM</v>
      </c>
      <c r="O18057" t="s">
        <v>55430</v>
      </c>
    </row>
    <row r="18058" spans="1:20" x14ac:dyDescent="0.25">
      <c r="A18058" t="str">
        <f>"3040186"</f>
        <v>3040186</v>
      </c>
      <c r="B18058" t="s">
        <v>55431</v>
      </c>
      <c r="C18058" t="str">
        <f>"64612000"</f>
        <v>64612000</v>
      </c>
      <c r="D18058" t="s">
        <v>55416</v>
      </c>
      <c r="F18058" t="s">
        <v>55417</v>
      </c>
      <c r="I18058" t="s">
        <v>29</v>
      </c>
      <c r="J18058" t="s">
        <v>30</v>
      </c>
      <c r="K18058" t="s">
        <v>55418</v>
      </c>
      <c r="M18058" t="s">
        <v>50793</v>
      </c>
      <c r="N18058" t="str">
        <f>"12/28/2022 1:16:00 PM"</f>
        <v>12/28/2022 1:16:00 PM</v>
      </c>
      <c r="O18058" t="s">
        <v>55416</v>
      </c>
    </row>
    <row r="18059" spans="1:20" x14ac:dyDescent="0.25">
      <c r="A18059" t="str">
        <f>"3082743"</f>
        <v>3082743</v>
      </c>
      <c r="B18059" t="s">
        <v>55432</v>
      </c>
      <c r="C18059" t="str">
        <f>"64612000"</f>
        <v>64612000</v>
      </c>
      <c r="D18059" t="s">
        <v>55416</v>
      </c>
      <c r="F18059" t="s">
        <v>55417</v>
      </c>
      <c r="I18059" t="s">
        <v>29</v>
      </c>
      <c r="J18059" t="s">
        <v>30</v>
      </c>
      <c r="K18059" t="s">
        <v>55418</v>
      </c>
      <c r="M18059" t="s">
        <v>50793</v>
      </c>
      <c r="N18059" t="str">
        <f>"12/28/2022 1:16:00 PM"</f>
        <v>12/28/2022 1:16:00 PM</v>
      </c>
      <c r="O18059" t="s">
        <v>55416</v>
      </c>
    </row>
    <row r="18060" spans="1:20" x14ac:dyDescent="0.25">
      <c r="A18060" t="str">
        <f>"3051710"</f>
        <v>3051710</v>
      </c>
      <c r="B18060" t="s">
        <v>55433</v>
      </c>
      <c r="C18060" t="str">
        <f>"8314381"</f>
        <v>8314381</v>
      </c>
      <c r="D18060" t="s">
        <v>55434</v>
      </c>
      <c r="E18060" t="s">
        <v>46431</v>
      </c>
      <c r="F18060" t="s">
        <v>46432</v>
      </c>
      <c r="I18060" t="s">
        <v>29</v>
      </c>
      <c r="J18060" t="s">
        <v>30</v>
      </c>
      <c r="K18060" t="s">
        <v>13347</v>
      </c>
      <c r="M18060" t="s">
        <v>17861</v>
      </c>
      <c r="N18060" t="str">
        <f>"12/28/2022 3:37:00 PM"</f>
        <v>12/28/2022 3:37:00 PM</v>
      </c>
      <c r="O18060" t="s">
        <v>55434</v>
      </c>
      <c r="T18060" t="s">
        <v>46431</v>
      </c>
    </row>
    <row r="18061" spans="1:20" x14ac:dyDescent="0.25">
      <c r="A18061" t="str">
        <f>"3058565"</f>
        <v>3058565</v>
      </c>
      <c r="B18061" t="s">
        <v>55435</v>
      </c>
      <c r="C18061" t="str">
        <f>"8303105"</f>
        <v>8303105</v>
      </c>
      <c r="D18061" t="s">
        <v>55436</v>
      </c>
      <c r="E18061" t="s">
        <v>55437</v>
      </c>
      <c r="F18061" t="str">
        <f>"BOB M FOSTSER FAM TRST 7/30/01"</f>
        <v>BOB M FOSTSER FAM TRST 7/30/01</v>
      </c>
      <c r="G18061" t="s">
        <v>55438</v>
      </c>
      <c r="I18061" t="s">
        <v>55439</v>
      </c>
      <c r="J18061" t="s">
        <v>30</v>
      </c>
      <c r="K18061" t="s">
        <v>55440</v>
      </c>
      <c r="M18061" t="s">
        <v>17861</v>
      </c>
      <c r="N18061" t="str">
        <f>"12/28/2022 3:50:00 PM"</f>
        <v>12/28/2022 3:50:00 PM</v>
      </c>
      <c r="O18061" t="s">
        <v>55436</v>
      </c>
      <c r="T18061" t="s">
        <v>55437</v>
      </c>
    </row>
    <row r="18062" spans="1:20" x14ac:dyDescent="0.25">
      <c r="A18062" t="str">
        <f>"3037483"</f>
        <v>3037483</v>
      </c>
      <c r="B18062" t="s">
        <v>55441</v>
      </c>
      <c r="C18062" t="str">
        <f>"8319420"</f>
        <v>8319420</v>
      </c>
      <c r="D18062" t="str">
        <f>"CHILDRESS LARRY M/DEBRA"</f>
        <v>CHILDRESS LARRY M/DEBRA</v>
      </c>
      <c r="E18062" t="str">
        <f>"WESLEY/JEREMY"</f>
        <v>WESLEY/JEREMY</v>
      </c>
      <c r="F18062" t="s">
        <v>55442</v>
      </c>
      <c r="I18062" t="s">
        <v>49</v>
      </c>
      <c r="J18062" t="s">
        <v>30</v>
      </c>
      <c r="K18062" t="s">
        <v>55443</v>
      </c>
      <c r="M18062" t="s">
        <v>17861</v>
      </c>
      <c r="N18062" t="str">
        <f>"12/29/2022 2:11:00 PM"</f>
        <v>12/29/2022 2:11:00 PM</v>
      </c>
      <c r="O18062" t="str">
        <f>"CHILDRESS LARRY M/DEBRA"</f>
        <v>CHILDRESS LARRY M/DEBRA</v>
      </c>
      <c r="T18062" t="str">
        <f>"WESLEY/JEREMY"</f>
        <v>WESLEY/JEREMY</v>
      </c>
    </row>
    <row r="18063" spans="1:20" x14ac:dyDescent="0.25">
      <c r="A18063" t="str">
        <f>"3037484"</f>
        <v>3037484</v>
      </c>
      <c r="B18063" t="s">
        <v>55444</v>
      </c>
      <c r="C18063" t="str">
        <f>"8319421"</f>
        <v>8319421</v>
      </c>
      <c r="D18063" t="s">
        <v>55445</v>
      </c>
      <c r="F18063" t="s">
        <v>55446</v>
      </c>
      <c r="I18063" t="s">
        <v>1107</v>
      </c>
      <c r="J18063" t="s">
        <v>30</v>
      </c>
      <c r="K18063" t="s">
        <v>55447</v>
      </c>
      <c r="M18063" t="s">
        <v>17861</v>
      </c>
      <c r="N18063" t="str">
        <f>"12/29/2022 2:12:00 PM"</f>
        <v>12/29/2022 2:12:00 PM</v>
      </c>
      <c r="O18063" t="s">
        <v>55445</v>
      </c>
    </row>
    <row r="18064" spans="1:20" x14ac:dyDescent="0.25">
      <c r="A18064" t="str">
        <f>"3037482"</f>
        <v>3037482</v>
      </c>
      <c r="B18064" t="s">
        <v>55448</v>
      </c>
      <c r="C18064" t="str">
        <f>"8319424"</f>
        <v>8319424</v>
      </c>
      <c r="D18064" t="s">
        <v>55449</v>
      </c>
      <c r="F18064" t="s">
        <v>55450</v>
      </c>
      <c r="I18064" t="s">
        <v>2280</v>
      </c>
      <c r="J18064" t="s">
        <v>4132</v>
      </c>
      <c r="K18064" t="s">
        <v>55451</v>
      </c>
      <c r="M18064" t="s">
        <v>17861</v>
      </c>
      <c r="N18064" t="str">
        <f>"12/29/2022 2:19:00 PM"</f>
        <v>12/29/2022 2:19:00 PM</v>
      </c>
      <c r="O18064" t="s">
        <v>55449</v>
      </c>
    </row>
    <row r="18065" spans="1:20" x14ac:dyDescent="0.25">
      <c r="A18065" t="str">
        <f>"3038031"</f>
        <v>3038031</v>
      </c>
      <c r="B18065" t="s">
        <v>55452</v>
      </c>
      <c r="C18065" t="str">
        <f>"8319427"</f>
        <v>8319427</v>
      </c>
      <c r="D18065" t="s">
        <v>55453</v>
      </c>
      <c r="E18065" t="s">
        <v>55454</v>
      </c>
      <c r="F18065" t="s">
        <v>55455</v>
      </c>
      <c r="I18065" t="s">
        <v>49</v>
      </c>
      <c r="J18065" t="s">
        <v>30</v>
      </c>
      <c r="K18065" t="s">
        <v>55456</v>
      </c>
      <c r="M18065" t="s">
        <v>17861</v>
      </c>
      <c r="N18065" t="str">
        <f>"12/29/2022 3:13:00 PM"</f>
        <v>12/29/2022 3:13:00 PM</v>
      </c>
      <c r="O18065" t="s">
        <v>55453</v>
      </c>
      <c r="T18065" t="s">
        <v>55454</v>
      </c>
    </row>
    <row r="18066" spans="1:20" x14ac:dyDescent="0.25">
      <c r="A18066" t="str">
        <f>"3038030"</f>
        <v>3038030</v>
      </c>
      <c r="B18066" t="s">
        <v>55457</v>
      </c>
      <c r="C18066" t="str">
        <f>"8319427"</f>
        <v>8319427</v>
      </c>
      <c r="D18066" t="s">
        <v>55453</v>
      </c>
      <c r="E18066" t="s">
        <v>55454</v>
      </c>
      <c r="F18066" t="s">
        <v>55455</v>
      </c>
      <c r="I18066" t="s">
        <v>49</v>
      </c>
      <c r="J18066" t="s">
        <v>30</v>
      </c>
      <c r="K18066" t="s">
        <v>55456</v>
      </c>
      <c r="M18066" t="s">
        <v>17861</v>
      </c>
      <c r="N18066" t="str">
        <f>"12/29/2022 3:13:00 PM"</f>
        <v>12/29/2022 3:13:00 PM</v>
      </c>
      <c r="O18066" t="s">
        <v>55453</v>
      </c>
      <c r="T18066" t="s">
        <v>55454</v>
      </c>
    </row>
    <row r="18067" spans="1:20" x14ac:dyDescent="0.25">
      <c r="A18067" t="str">
        <f>"3051323"</f>
        <v>3051323</v>
      </c>
      <c r="B18067" t="s">
        <v>55458</v>
      </c>
      <c r="C18067" t="str">
        <f>"8317822"</f>
        <v>8317822</v>
      </c>
      <c r="D18067" t="s">
        <v>55459</v>
      </c>
      <c r="F18067" t="s">
        <v>55460</v>
      </c>
      <c r="I18067" t="s">
        <v>29</v>
      </c>
      <c r="J18067" t="s">
        <v>30</v>
      </c>
      <c r="K18067" t="s">
        <v>55461</v>
      </c>
      <c r="M18067" t="s">
        <v>17861</v>
      </c>
      <c r="N18067" t="str">
        <f>"12/29/2022 3:19:00 PM"</f>
        <v>12/29/2022 3:19:00 PM</v>
      </c>
      <c r="O18067" t="s">
        <v>55459</v>
      </c>
    </row>
    <row r="18068" spans="1:20" x14ac:dyDescent="0.25">
      <c r="A18068" t="str">
        <f>"3038032"</f>
        <v>3038032</v>
      </c>
      <c r="B18068" t="s">
        <v>55462</v>
      </c>
      <c r="C18068" t="str">
        <f>"8319428"</f>
        <v>8319428</v>
      </c>
      <c r="D18068" t="s">
        <v>55463</v>
      </c>
      <c r="E18068" t="s">
        <v>55464</v>
      </c>
      <c r="F18068" t="s">
        <v>55465</v>
      </c>
      <c r="I18068" t="s">
        <v>184</v>
      </c>
      <c r="J18068" t="s">
        <v>30</v>
      </c>
      <c r="K18068" t="s">
        <v>819</v>
      </c>
      <c r="M18068" t="s">
        <v>17861</v>
      </c>
      <c r="N18068" t="str">
        <f>"12/29/2022 3:21:00 PM"</f>
        <v>12/29/2022 3:21:00 PM</v>
      </c>
      <c r="O18068" t="s">
        <v>55463</v>
      </c>
      <c r="T18068" t="s">
        <v>55464</v>
      </c>
    </row>
    <row r="18069" spans="1:20" x14ac:dyDescent="0.25">
      <c r="A18069" t="str">
        <f>"3038033"</f>
        <v>3038033</v>
      </c>
      <c r="B18069" t="s">
        <v>55466</v>
      </c>
      <c r="C18069" t="str">
        <f>"8319429"</f>
        <v>8319429</v>
      </c>
      <c r="D18069" t="s">
        <v>343</v>
      </c>
      <c r="E18069" t="s">
        <v>55467</v>
      </c>
      <c r="F18069" t="s">
        <v>55468</v>
      </c>
      <c r="I18069" t="s">
        <v>49</v>
      </c>
      <c r="J18069" t="s">
        <v>30</v>
      </c>
      <c r="K18069" t="s">
        <v>55469</v>
      </c>
      <c r="M18069" t="s">
        <v>17861</v>
      </c>
      <c r="N18069" t="str">
        <f>"12/29/2022 3:22:00 PM"</f>
        <v>12/29/2022 3:22:00 PM</v>
      </c>
      <c r="O18069" t="s">
        <v>343</v>
      </c>
      <c r="T18069" t="s">
        <v>55467</v>
      </c>
    </row>
    <row r="18070" spans="1:20" x14ac:dyDescent="0.25">
      <c r="A18070" t="str">
        <f>"3038013"</f>
        <v>3038013</v>
      </c>
      <c r="B18070" t="s">
        <v>55470</v>
      </c>
      <c r="C18070" t="str">
        <f>"8319430"</f>
        <v>8319430</v>
      </c>
      <c r="D18070" t="s">
        <v>55471</v>
      </c>
      <c r="F18070" t="s">
        <v>55472</v>
      </c>
      <c r="I18070" t="s">
        <v>49</v>
      </c>
      <c r="J18070" t="s">
        <v>30</v>
      </c>
      <c r="K18070" t="s">
        <v>55473</v>
      </c>
      <c r="M18070" t="s">
        <v>17861</v>
      </c>
      <c r="N18070" t="str">
        <f>"12/29/2022 3:24:00 PM"</f>
        <v>12/29/2022 3:24:00 PM</v>
      </c>
      <c r="O18070" t="s">
        <v>55471</v>
      </c>
    </row>
    <row r="18071" spans="1:20" x14ac:dyDescent="0.25">
      <c r="A18071" t="str">
        <f>"3059517"</f>
        <v>3059517</v>
      </c>
      <c r="B18071" t="s">
        <v>55474</v>
      </c>
      <c r="C18071" t="str">
        <f>"8319446"</f>
        <v>8319446</v>
      </c>
      <c r="D18071" t="s">
        <v>55475</v>
      </c>
      <c r="F18071" t="s">
        <v>55476</v>
      </c>
      <c r="I18071" t="s">
        <v>17921</v>
      </c>
      <c r="J18071" t="s">
        <v>30</v>
      </c>
      <c r="K18071" t="str">
        <f>"27028"</f>
        <v>27028</v>
      </c>
      <c r="M18071" t="s">
        <v>17861</v>
      </c>
      <c r="N18071" t="str">
        <f>"12/30/2022 8:20:00 AM"</f>
        <v>12/30/2022 8:20:00 AM</v>
      </c>
      <c r="O18071" t="s">
        <v>55475</v>
      </c>
    </row>
    <row r="18072" spans="1:20" x14ac:dyDescent="0.25">
      <c r="A18072" t="str">
        <f>"3046304"</f>
        <v>3046304</v>
      </c>
      <c r="B18072" t="s">
        <v>55477</v>
      </c>
      <c r="C18072" t="str">
        <f>"36976000"</f>
        <v>36976000</v>
      </c>
      <c r="D18072" t="s">
        <v>55478</v>
      </c>
      <c r="E18072" t="s">
        <v>55479</v>
      </c>
      <c r="F18072" t="s">
        <v>55480</v>
      </c>
      <c r="I18072" t="s">
        <v>29</v>
      </c>
      <c r="J18072" t="s">
        <v>30</v>
      </c>
      <c r="K18072" t="s">
        <v>55481</v>
      </c>
      <c r="M18072" t="s">
        <v>17861</v>
      </c>
      <c r="N18072" t="str">
        <f>"12/30/2022 8:47:00 AM"</f>
        <v>12/30/2022 8:47:00 AM</v>
      </c>
      <c r="O18072" t="s">
        <v>55478</v>
      </c>
      <c r="T18072" t="s">
        <v>55479</v>
      </c>
    </row>
    <row r="18073" spans="1:20" x14ac:dyDescent="0.25">
      <c r="A18073" t="str">
        <f>"3046414"</f>
        <v>3046414</v>
      </c>
      <c r="B18073" t="s">
        <v>55482</v>
      </c>
      <c r="C18073" t="str">
        <f>"36976000"</f>
        <v>36976000</v>
      </c>
      <c r="D18073" t="s">
        <v>55478</v>
      </c>
      <c r="E18073" t="s">
        <v>55479</v>
      </c>
      <c r="F18073" t="s">
        <v>55480</v>
      </c>
      <c r="I18073" t="s">
        <v>29</v>
      </c>
      <c r="J18073" t="s">
        <v>30</v>
      </c>
      <c r="K18073" t="s">
        <v>55481</v>
      </c>
      <c r="M18073" t="s">
        <v>17861</v>
      </c>
      <c r="N18073" t="str">
        <f>"12/30/2022 8:47:00 AM"</f>
        <v>12/30/2022 8:47:00 AM</v>
      </c>
      <c r="O18073" t="s">
        <v>55478</v>
      </c>
      <c r="T18073" t="s">
        <v>55479</v>
      </c>
    </row>
    <row r="18074" spans="1:20" x14ac:dyDescent="0.25">
      <c r="A18074" t="str">
        <f>"3040863"</f>
        <v>3040863</v>
      </c>
      <c r="B18074" t="s">
        <v>55483</v>
      </c>
      <c r="C18074" t="str">
        <f>"8319452"</f>
        <v>8319452</v>
      </c>
      <c r="D18074" t="s">
        <v>55484</v>
      </c>
      <c r="E18074" t="s">
        <v>55485</v>
      </c>
      <c r="F18074" t="s">
        <v>55486</v>
      </c>
      <c r="I18074" t="s">
        <v>184</v>
      </c>
      <c r="J18074" t="s">
        <v>30</v>
      </c>
      <c r="K18074" t="s">
        <v>43497</v>
      </c>
      <c r="M18074" t="s">
        <v>17861</v>
      </c>
      <c r="N18074" t="str">
        <f>"12/30/2022 4:09:00 PM"</f>
        <v>12/30/2022 4:09:00 PM</v>
      </c>
      <c r="O18074" t="s">
        <v>55484</v>
      </c>
      <c r="T18074" t="s">
        <v>55485</v>
      </c>
    </row>
    <row r="18075" spans="1:20" x14ac:dyDescent="0.25">
      <c r="A18075" t="str">
        <f>"3052106"</f>
        <v>3052106</v>
      </c>
      <c r="B18075" t="s">
        <v>55487</v>
      </c>
      <c r="C18075" t="str">
        <f>"8319453"</f>
        <v>8319453</v>
      </c>
      <c r="D18075" t="s">
        <v>55488</v>
      </c>
      <c r="F18075" t="s">
        <v>55489</v>
      </c>
      <c r="I18075" t="s">
        <v>55490</v>
      </c>
      <c r="J18075" t="s">
        <v>4132</v>
      </c>
      <c r="K18075" t="str">
        <f>"29492"</f>
        <v>29492</v>
      </c>
      <c r="M18075" t="s">
        <v>17861</v>
      </c>
      <c r="N18075" t="str">
        <f>"12/30/2022 4:17:00 PM"</f>
        <v>12/30/2022 4:17:00 PM</v>
      </c>
      <c r="O18075" t="s">
        <v>55488</v>
      </c>
    </row>
    <row r="18076" spans="1:20" x14ac:dyDescent="0.25">
      <c r="A18076" t="str">
        <f>"3051399"</f>
        <v>3051399</v>
      </c>
      <c r="B18076" t="s">
        <v>55491</v>
      </c>
      <c r="C18076" t="str">
        <f>"8314908"</f>
        <v>8314908</v>
      </c>
      <c r="D18076" t="str">
        <f>"GARNETT STEVEN L/JANE KYLE TRUSTEES"</f>
        <v>GARNETT STEVEN L/JANE KYLE TRUSTEES</v>
      </c>
      <c r="E18076" t="s">
        <v>55492</v>
      </c>
      <c r="F18076" t="s">
        <v>55493</v>
      </c>
      <c r="I18076" t="s">
        <v>55494</v>
      </c>
      <c r="J18076" t="s">
        <v>35925</v>
      </c>
      <c r="K18076" t="s">
        <v>55495</v>
      </c>
      <c r="M18076" t="s">
        <v>52111</v>
      </c>
      <c r="N18076" t="str">
        <f>"12/30/2022 1:56:00 PM"</f>
        <v>12/30/2022 1:56:00 PM</v>
      </c>
      <c r="O18076" t="str">
        <f>"GARNETT STEVEN L/JANE KYLE TRUSTEES"</f>
        <v>GARNETT STEVEN L/JANE KYLE TRUSTEES</v>
      </c>
      <c r="T18076" t="s">
        <v>55492</v>
      </c>
    </row>
    <row r="18077" spans="1:20" x14ac:dyDescent="0.25">
      <c r="A18077" t="str">
        <f>"3059636"</f>
        <v>3059636</v>
      </c>
      <c r="B18077" t="s">
        <v>55496</v>
      </c>
      <c r="C18077" t="str">
        <f>"8314911"</f>
        <v>8314911</v>
      </c>
      <c r="D18077" t="s">
        <v>55497</v>
      </c>
      <c r="E18077" t="s">
        <v>55498</v>
      </c>
      <c r="F18077" t="s">
        <v>55493</v>
      </c>
      <c r="I18077" t="s">
        <v>55494</v>
      </c>
      <c r="J18077" t="s">
        <v>35925</v>
      </c>
      <c r="K18077" t="s">
        <v>55495</v>
      </c>
      <c r="M18077" t="s">
        <v>52111</v>
      </c>
      <c r="N18077" t="str">
        <f>"12/30/2022 1:58:00 PM"</f>
        <v>12/30/2022 1:58:00 PM</v>
      </c>
      <c r="O18077" t="s">
        <v>55497</v>
      </c>
      <c r="T18077" t="s">
        <v>55498</v>
      </c>
    </row>
    <row r="18078" spans="1:20" x14ac:dyDescent="0.25">
      <c r="A18078" t="str">
        <f>"3052812"</f>
        <v>3052812</v>
      </c>
      <c r="B18078" t="s">
        <v>55499</v>
      </c>
      <c r="C18078" t="str">
        <f>"8319448"</f>
        <v>8319448</v>
      </c>
      <c r="D18078" t="s">
        <v>55500</v>
      </c>
      <c r="E18078" t="s">
        <v>55501</v>
      </c>
      <c r="F18078" t="s">
        <v>55502</v>
      </c>
      <c r="I18078" t="s">
        <v>29</v>
      </c>
      <c r="J18078" t="s">
        <v>30</v>
      </c>
      <c r="K18078" t="s">
        <v>51350</v>
      </c>
      <c r="M18078" t="s">
        <v>17861</v>
      </c>
      <c r="N18078" t="str">
        <f>"12/30/2022 3:37:00 PM"</f>
        <v>12/30/2022 3:37:00 PM</v>
      </c>
      <c r="O18078" t="s">
        <v>55500</v>
      </c>
      <c r="T18078" t="s">
        <v>55501</v>
      </c>
    </row>
    <row r="18079" spans="1:20" x14ac:dyDescent="0.25">
      <c r="A18079" t="str">
        <f>"3052315"</f>
        <v>3052315</v>
      </c>
      <c r="B18079" t="s">
        <v>55503</v>
      </c>
      <c r="C18079" t="str">
        <f>"8319448"</f>
        <v>8319448</v>
      </c>
      <c r="D18079" t="s">
        <v>55500</v>
      </c>
      <c r="E18079" t="s">
        <v>55501</v>
      </c>
      <c r="F18079" t="s">
        <v>55502</v>
      </c>
      <c r="I18079" t="s">
        <v>29</v>
      </c>
      <c r="J18079" t="s">
        <v>30</v>
      </c>
      <c r="K18079" t="s">
        <v>51350</v>
      </c>
      <c r="M18079" t="s">
        <v>17861</v>
      </c>
      <c r="N18079" t="str">
        <f>"12/30/2022 3:37:00 PM"</f>
        <v>12/30/2022 3:37:00 PM</v>
      </c>
      <c r="O18079" t="s">
        <v>55500</v>
      </c>
      <c r="T18079" t="s">
        <v>55501</v>
      </c>
    </row>
    <row r="18080" spans="1:20" x14ac:dyDescent="0.25">
      <c r="A18080" t="str">
        <f>"3052283"</f>
        <v>3052283</v>
      </c>
      <c r="B18080" t="s">
        <v>55504</v>
      </c>
      <c r="C18080" t="str">
        <f>"8319448"</f>
        <v>8319448</v>
      </c>
      <c r="D18080" t="s">
        <v>55500</v>
      </c>
      <c r="E18080" t="s">
        <v>55501</v>
      </c>
      <c r="F18080" t="s">
        <v>55502</v>
      </c>
      <c r="I18080" t="s">
        <v>29</v>
      </c>
      <c r="J18080" t="s">
        <v>30</v>
      </c>
      <c r="K18080" t="s">
        <v>51350</v>
      </c>
      <c r="M18080" t="s">
        <v>17861</v>
      </c>
      <c r="N18080" t="str">
        <f>"12/30/2022 3:37:00 PM"</f>
        <v>12/30/2022 3:37:00 PM</v>
      </c>
      <c r="O18080" t="s">
        <v>55500</v>
      </c>
      <c r="T18080" t="s">
        <v>55501</v>
      </c>
    </row>
    <row r="18081" spans="1:20" x14ac:dyDescent="0.25">
      <c r="A18081" t="str">
        <f>"3046806"</f>
        <v>3046806</v>
      </c>
      <c r="B18081" t="s">
        <v>55505</v>
      </c>
      <c r="C18081" t="str">
        <f>"8319449"</f>
        <v>8319449</v>
      </c>
      <c r="D18081" t="s">
        <v>37200</v>
      </c>
      <c r="F18081" t="s">
        <v>55506</v>
      </c>
      <c r="I18081" t="s">
        <v>184</v>
      </c>
      <c r="J18081" t="s">
        <v>30</v>
      </c>
      <c r="K18081" t="s">
        <v>37202</v>
      </c>
      <c r="M18081" t="s">
        <v>17861</v>
      </c>
      <c r="N18081" t="str">
        <f>"12/30/2022 3:46:00 PM"</f>
        <v>12/30/2022 3:46:00 PM</v>
      </c>
      <c r="O18081" t="s">
        <v>37200</v>
      </c>
    </row>
    <row r="18082" spans="1:20" x14ac:dyDescent="0.25">
      <c r="A18082" t="str">
        <f>"3051440"</f>
        <v>3051440</v>
      </c>
      <c r="B18082" t="s">
        <v>55507</v>
      </c>
      <c r="C18082" t="str">
        <f>"8304859"</f>
        <v>8304859</v>
      </c>
      <c r="D18082" t="s">
        <v>55508</v>
      </c>
      <c r="F18082" t="s">
        <v>28590</v>
      </c>
      <c r="I18082" t="s">
        <v>17921</v>
      </c>
      <c r="J18082" t="s">
        <v>30</v>
      </c>
      <c r="K18082" t="str">
        <f>"27028"</f>
        <v>27028</v>
      </c>
      <c r="M18082" t="s">
        <v>51351</v>
      </c>
      <c r="N18082" t="str">
        <f>"1/6/2023 4:07:00 PM"</f>
        <v>1/6/2023 4:07:00 PM</v>
      </c>
      <c r="O18082" t="s">
        <v>55508</v>
      </c>
    </row>
    <row r="18083" spans="1:20" x14ac:dyDescent="0.25">
      <c r="A18083" t="str">
        <f>"3050125"</f>
        <v>3050125</v>
      </c>
      <c r="B18083" t="s">
        <v>55509</v>
      </c>
      <c r="C18083" t="str">
        <f>"8304859"</f>
        <v>8304859</v>
      </c>
      <c r="D18083" t="s">
        <v>55508</v>
      </c>
      <c r="F18083" t="s">
        <v>28590</v>
      </c>
      <c r="I18083" t="s">
        <v>17921</v>
      </c>
      <c r="J18083" t="s">
        <v>30</v>
      </c>
      <c r="K18083" t="str">
        <f>"27028"</f>
        <v>27028</v>
      </c>
      <c r="M18083" t="s">
        <v>51351</v>
      </c>
      <c r="N18083" t="str">
        <f>"1/6/2023 4:07:00 PM"</f>
        <v>1/6/2023 4:07:00 PM</v>
      </c>
      <c r="O18083" t="s">
        <v>55508</v>
      </c>
    </row>
    <row r="18084" spans="1:20" x14ac:dyDescent="0.25">
      <c r="A18084" t="str">
        <f>"3058822"</f>
        <v>3058822</v>
      </c>
      <c r="B18084" t="s">
        <v>55510</v>
      </c>
      <c r="C18084" t="str">
        <f>"8306531"</f>
        <v>8306531</v>
      </c>
      <c r="D18084" t="s">
        <v>55511</v>
      </c>
      <c r="E18084" t="s">
        <v>55512</v>
      </c>
      <c r="F18084" t="s">
        <v>55513</v>
      </c>
      <c r="I18084" t="s">
        <v>29</v>
      </c>
      <c r="J18084" t="s">
        <v>30</v>
      </c>
      <c r="K18084" t="str">
        <f>"27028"</f>
        <v>27028</v>
      </c>
      <c r="M18084" t="s">
        <v>36935</v>
      </c>
      <c r="N18084" t="str">
        <f>"1/5/2023 11:40:00 AM"</f>
        <v>1/5/2023 11:40:00 AM</v>
      </c>
      <c r="O18084" t="s">
        <v>55511</v>
      </c>
      <c r="T18084" t="s">
        <v>55512</v>
      </c>
    </row>
    <row r="18085" spans="1:20" x14ac:dyDescent="0.25">
      <c r="A18085" t="str">
        <f>"3041367"</f>
        <v>3041367</v>
      </c>
      <c r="B18085" t="s">
        <v>55514</v>
      </c>
      <c r="C18085" t="str">
        <f>"8319465"</f>
        <v>8319465</v>
      </c>
      <c r="D18085" t="s">
        <v>55515</v>
      </c>
      <c r="F18085" t="s">
        <v>43713</v>
      </c>
      <c r="I18085" t="s">
        <v>184</v>
      </c>
      <c r="J18085" t="s">
        <v>30</v>
      </c>
      <c r="K18085" t="s">
        <v>3837</v>
      </c>
      <c r="M18085" t="s">
        <v>17861</v>
      </c>
      <c r="N18085" t="str">
        <f>"1/9/2023 3:39:00 PM"</f>
        <v>1/9/2023 3:39:00 PM</v>
      </c>
      <c r="O18085" t="s">
        <v>55515</v>
      </c>
    </row>
    <row r="18086" spans="1:20" x14ac:dyDescent="0.25">
      <c r="A18086" t="str">
        <f>"3055040"</f>
        <v>3055040</v>
      </c>
      <c r="B18086" t="s">
        <v>55516</v>
      </c>
      <c r="C18086" t="str">
        <f>"8319466"</f>
        <v>8319466</v>
      </c>
      <c r="D18086" t="s">
        <v>55517</v>
      </c>
      <c r="F18086" t="s">
        <v>55518</v>
      </c>
      <c r="I18086" t="s">
        <v>29</v>
      </c>
      <c r="J18086" t="s">
        <v>30</v>
      </c>
      <c r="K18086" t="s">
        <v>14700</v>
      </c>
      <c r="M18086" t="s">
        <v>17861</v>
      </c>
      <c r="N18086" t="str">
        <f>"1/9/2023 3:54:00 PM"</f>
        <v>1/9/2023 3:54:00 PM</v>
      </c>
      <c r="O18086" t="s">
        <v>55517</v>
      </c>
    </row>
    <row r="18087" spans="1:20" x14ac:dyDescent="0.25">
      <c r="A18087" t="str">
        <f>"3067411"</f>
        <v>3067411</v>
      </c>
      <c r="B18087" t="s">
        <v>55519</v>
      </c>
      <c r="C18087" t="str">
        <f>"8319470"</f>
        <v>8319470</v>
      </c>
      <c r="D18087" t="s">
        <v>55520</v>
      </c>
      <c r="F18087" t="s">
        <v>55521</v>
      </c>
      <c r="I18087" t="s">
        <v>29</v>
      </c>
      <c r="J18087" t="s">
        <v>30</v>
      </c>
      <c r="K18087" t="s">
        <v>7114</v>
      </c>
      <c r="M18087" t="s">
        <v>17861</v>
      </c>
      <c r="N18087" t="str">
        <f>"1/9/2023 4:08:00 PM"</f>
        <v>1/9/2023 4:08:00 PM</v>
      </c>
      <c r="O18087" t="s">
        <v>55520</v>
      </c>
    </row>
    <row r="18088" spans="1:20" x14ac:dyDescent="0.25">
      <c r="A18088" t="str">
        <f>"3046431"</f>
        <v>3046431</v>
      </c>
      <c r="B18088" t="s">
        <v>55522</v>
      </c>
      <c r="C18088" t="str">
        <f>"8319471"</f>
        <v>8319471</v>
      </c>
      <c r="D18088" t="s">
        <v>55523</v>
      </c>
      <c r="E18088" t="s">
        <v>55524</v>
      </c>
      <c r="F18088" t="s">
        <v>55525</v>
      </c>
      <c r="I18088" t="s">
        <v>29</v>
      </c>
      <c r="J18088" t="s">
        <v>30</v>
      </c>
      <c r="K18088" t="s">
        <v>37829</v>
      </c>
      <c r="M18088" t="s">
        <v>17861</v>
      </c>
      <c r="N18088" t="str">
        <f>"1/9/2023 4:12:00 PM"</f>
        <v>1/9/2023 4:12:00 PM</v>
      </c>
      <c r="O18088" t="s">
        <v>55523</v>
      </c>
      <c r="T18088" t="s">
        <v>55524</v>
      </c>
    </row>
    <row r="18089" spans="1:20" x14ac:dyDescent="0.25">
      <c r="A18089" t="str">
        <f>"3059480"</f>
        <v>3059480</v>
      </c>
      <c r="B18089" t="s">
        <v>55526</v>
      </c>
      <c r="C18089" t="str">
        <f>"8319472"</f>
        <v>8319472</v>
      </c>
      <c r="D18089" t="s">
        <v>55527</v>
      </c>
      <c r="F18089" t="s">
        <v>55528</v>
      </c>
      <c r="I18089" t="s">
        <v>29</v>
      </c>
      <c r="J18089" t="s">
        <v>30</v>
      </c>
      <c r="K18089" t="s">
        <v>46172</v>
      </c>
      <c r="M18089" t="s">
        <v>17861</v>
      </c>
      <c r="N18089" t="str">
        <f>"1/9/2023 4:15:00 PM"</f>
        <v>1/9/2023 4:15:00 PM</v>
      </c>
      <c r="O18089" t="s">
        <v>55527</v>
      </c>
    </row>
    <row r="18090" spans="1:20" x14ac:dyDescent="0.25">
      <c r="A18090" t="str">
        <f>"3063037"</f>
        <v>3063037</v>
      </c>
      <c r="B18090" t="s">
        <v>55529</v>
      </c>
      <c r="C18090" t="str">
        <f>"8319473"</f>
        <v>8319473</v>
      </c>
      <c r="D18090" t="s">
        <v>55530</v>
      </c>
      <c r="E18090" t="s">
        <v>55531</v>
      </c>
      <c r="F18090" t="s">
        <v>55532</v>
      </c>
      <c r="I18090" t="s">
        <v>184</v>
      </c>
      <c r="J18090" t="s">
        <v>30</v>
      </c>
      <c r="K18090" t="s">
        <v>7326</v>
      </c>
      <c r="M18090" t="s">
        <v>17861</v>
      </c>
      <c r="N18090" t="str">
        <f>"1/9/2023 4:17:00 PM"</f>
        <v>1/9/2023 4:17:00 PM</v>
      </c>
      <c r="O18090" t="s">
        <v>55530</v>
      </c>
      <c r="T18090" t="s">
        <v>55531</v>
      </c>
    </row>
    <row r="18091" spans="1:20" x14ac:dyDescent="0.25">
      <c r="A18091" t="str">
        <f>"3052561"</f>
        <v>3052561</v>
      </c>
      <c r="B18091" t="s">
        <v>55533</v>
      </c>
      <c r="C18091" t="str">
        <f>"8319474"</f>
        <v>8319474</v>
      </c>
      <c r="D18091" t="s">
        <v>55534</v>
      </c>
      <c r="E18091" t="s">
        <v>55535</v>
      </c>
      <c r="F18091" t="s">
        <v>55536</v>
      </c>
      <c r="I18091" t="s">
        <v>29</v>
      </c>
      <c r="J18091" t="s">
        <v>30</v>
      </c>
      <c r="K18091" t="s">
        <v>55310</v>
      </c>
      <c r="M18091" t="s">
        <v>17861</v>
      </c>
      <c r="N18091" t="str">
        <f>"1/9/2023 4:21:00 PM"</f>
        <v>1/9/2023 4:21:00 PM</v>
      </c>
      <c r="O18091" t="s">
        <v>55534</v>
      </c>
      <c r="T18091" t="s">
        <v>55535</v>
      </c>
    </row>
    <row r="18092" spans="1:20" x14ac:dyDescent="0.25">
      <c r="A18092" t="str">
        <f>"3041560"</f>
        <v>3041560</v>
      </c>
      <c r="B18092" t="s">
        <v>55537</v>
      </c>
      <c r="C18092" t="str">
        <f>"8311937"</f>
        <v>8311937</v>
      </c>
      <c r="D18092" t="s">
        <v>55538</v>
      </c>
      <c r="E18092" t="s">
        <v>55539</v>
      </c>
      <c r="F18092" t="s">
        <v>55540</v>
      </c>
      <c r="I18092" t="s">
        <v>2071</v>
      </c>
      <c r="J18092" t="s">
        <v>30</v>
      </c>
      <c r="K18092" t="s">
        <v>3837</v>
      </c>
      <c r="M18092" t="s">
        <v>36935</v>
      </c>
      <c r="N18092" t="str">
        <f>"1/5/2023 11:54:00 AM"</f>
        <v>1/5/2023 11:54:00 AM</v>
      </c>
      <c r="O18092" t="s">
        <v>55538</v>
      </c>
      <c r="T18092" t="s">
        <v>55539</v>
      </c>
    </row>
    <row r="18093" spans="1:20" x14ac:dyDescent="0.25">
      <c r="A18093" t="str">
        <f>"3050831"</f>
        <v>3050831</v>
      </c>
      <c r="B18093" t="s">
        <v>55541</v>
      </c>
      <c r="C18093" t="str">
        <f>"11788000"</f>
        <v>11788000</v>
      </c>
      <c r="D18093" t="s">
        <v>55542</v>
      </c>
      <c r="F18093" t="s">
        <v>55543</v>
      </c>
      <c r="I18093" t="s">
        <v>184</v>
      </c>
      <c r="J18093" t="s">
        <v>30</v>
      </c>
      <c r="K18093" t="s">
        <v>39438</v>
      </c>
      <c r="M18093" t="s">
        <v>51351</v>
      </c>
      <c r="N18093" t="str">
        <f>"1/5/2023 1:08:00 PM"</f>
        <v>1/5/2023 1:08:00 PM</v>
      </c>
      <c r="O18093" t="s">
        <v>55542</v>
      </c>
    </row>
    <row r="18094" spans="1:20" x14ac:dyDescent="0.25">
      <c r="A18094" t="str">
        <f>"3076054"</f>
        <v>3076054</v>
      </c>
      <c r="B18094" t="s">
        <v>55544</v>
      </c>
      <c r="C18094" t="str">
        <f>"8314065"</f>
        <v>8314065</v>
      </c>
      <c r="D18094" t="s">
        <v>55545</v>
      </c>
      <c r="F18094" t="s">
        <v>55546</v>
      </c>
      <c r="I18094" t="s">
        <v>29</v>
      </c>
      <c r="J18094" t="s">
        <v>30</v>
      </c>
      <c r="K18094" t="s">
        <v>13235</v>
      </c>
      <c r="M18094" t="s">
        <v>17861</v>
      </c>
      <c r="N18094" t="str">
        <f>"1/6/2023 9:31:00 AM"</f>
        <v>1/6/2023 9:31:00 AM</v>
      </c>
      <c r="O18094" t="s">
        <v>55545</v>
      </c>
    </row>
    <row r="18095" spans="1:20" x14ac:dyDescent="0.25">
      <c r="A18095" t="str">
        <f>"3039764"</f>
        <v>3039764</v>
      </c>
      <c r="B18095" t="s">
        <v>55547</v>
      </c>
      <c r="C18095" t="str">
        <f>"8316514"</f>
        <v>8316514</v>
      </c>
      <c r="D18095" t="s">
        <v>55548</v>
      </c>
      <c r="E18095" t="s">
        <v>55549</v>
      </c>
      <c r="F18095" t="s">
        <v>55550</v>
      </c>
      <c r="I18095" t="s">
        <v>17921</v>
      </c>
      <c r="J18095" t="s">
        <v>30</v>
      </c>
      <c r="K18095" t="str">
        <f t="shared" ref="K18095:K18101" si="270">"27028"</f>
        <v>27028</v>
      </c>
      <c r="M18095" t="s">
        <v>18470</v>
      </c>
      <c r="N18095" t="str">
        <f>"1/6/2023 11:05:00 AM"</f>
        <v>1/6/2023 11:05:00 AM</v>
      </c>
      <c r="O18095" t="s">
        <v>55548</v>
      </c>
      <c r="T18095" t="s">
        <v>55549</v>
      </c>
    </row>
    <row r="18096" spans="1:20" x14ac:dyDescent="0.25">
      <c r="A18096" t="str">
        <f>"3039042"</f>
        <v>3039042</v>
      </c>
      <c r="B18096" t="s">
        <v>55551</v>
      </c>
      <c r="C18096" t="str">
        <f t="shared" ref="C18096:C18101" si="271">"8304859"</f>
        <v>8304859</v>
      </c>
      <c r="D18096" t="s">
        <v>55508</v>
      </c>
      <c r="F18096" t="s">
        <v>28590</v>
      </c>
      <c r="I18096" t="s">
        <v>17921</v>
      </c>
      <c r="J18096" t="s">
        <v>30</v>
      </c>
      <c r="K18096" t="str">
        <f t="shared" si="270"/>
        <v>27028</v>
      </c>
      <c r="M18096" t="s">
        <v>51351</v>
      </c>
      <c r="N18096" t="str">
        <f t="shared" ref="N18096:N18101" si="272">"1/6/2023 4:07:00 PM"</f>
        <v>1/6/2023 4:07:00 PM</v>
      </c>
      <c r="O18096" t="s">
        <v>55508</v>
      </c>
    </row>
    <row r="18097" spans="1:20" x14ac:dyDescent="0.25">
      <c r="A18097" t="str">
        <f>"3046217"</f>
        <v>3046217</v>
      </c>
      <c r="B18097" t="s">
        <v>55552</v>
      </c>
      <c r="C18097" t="str">
        <f t="shared" si="271"/>
        <v>8304859</v>
      </c>
      <c r="D18097" t="s">
        <v>55508</v>
      </c>
      <c r="F18097" t="s">
        <v>28590</v>
      </c>
      <c r="I18097" t="s">
        <v>17921</v>
      </c>
      <c r="J18097" t="s">
        <v>30</v>
      </c>
      <c r="K18097" t="str">
        <f t="shared" si="270"/>
        <v>27028</v>
      </c>
      <c r="M18097" t="s">
        <v>51351</v>
      </c>
      <c r="N18097" t="str">
        <f t="shared" si="272"/>
        <v>1/6/2023 4:07:00 PM</v>
      </c>
      <c r="O18097" t="s">
        <v>55508</v>
      </c>
    </row>
    <row r="18098" spans="1:20" x14ac:dyDescent="0.25">
      <c r="A18098" t="str">
        <f>"3051488"</f>
        <v>3051488</v>
      </c>
      <c r="B18098" t="s">
        <v>55553</v>
      </c>
      <c r="C18098" t="str">
        <f t="shared" si="271"/>
        <v>8304859</v>
      </c>
      <c r="D18098" t="s">
        <v>55508</v>
      </c>
      <c r="F18098" t="s">
        <v>28590</v>
      </c>
      <c r="I18098" t="s">
        <v>17921</v>
      </c>
      <c r="J18098" t="s">
        <v>30</v>
      </c>
      <c r="K18098" t="str">
        <f t="shared" si="270"/>
        <v>27028</v>
      </c>
      <c r="M18098" t="s">
        <v>51351</v>
      </c>
      <c r="N18098" t="str">
        <f t="shared" si="272"/>
        <v>1/6/2023 4:07:00 PM</v>
      </c>
      <c r="O18098" t="s">
        <v>55508</v>
      </c>
    </row>
    <row r="18099" spans="1:20" x14ac:dyDescent="0.25">
      <c r="A18099" t="str">
        <f>"3050112"</f>
        <v>3050112</v>
      </c>
      <c r="B18099" t="s">
        <v>55554</v>
      </c>
      <c r="C18099" t="str">
        <f t="shared" si="271"/>
        <v>8304859</v>
      </c>
      <c r="D18099" t="s">
        <v>55508</v>
      </c>
      <c r="F18099" t="s">
        <v>28590</v>
      </c>
      <c r="I18099" t="s">
        <v>17921</v>
      </c>
      <c r="J18099" t="s">
        <v>30</v>
      </c>
      <c r="K18099" t="str">
        <f t="shared" si="270"/>
        <v>27028</v>
      </c>
      <c r="M18099" t="s">
        <v>51351</v>
      </c>
      <c r="N18099" t="str">
        <f t="shared" si="272"/>
        <v>1/6/2023 4:07:00 PM</v>
      </c>
      <c r="O18099" t="s">
        <v>55508</v>
      </c>
    </row>
    <row r="18100" spans="1:20" x14ac:dyDescent="0.25">
      <c r="A18100" t="str">
        <f>"3048810"</f>
        <v>3048810</v>
      </c>
      <c r="B18100" t="s">
        <v>55555</v>
      </c>
      <c r="C18100" t="str">
        <f t="shared" si="271"/>
        <v>8304859</v>
      </c>
      <c r="D18100" t="s">
        <v>55508</v>
      </c>
      <c r="F18100" t="s">
        <v>28590</v>
      </c>
      <c r="I18100" t="s">
        <v>17921</v>
      </c>
      <c r="J18100" t="s">
        <v>30</v>
      </c>
      <c r="K18100" t="str">
        <f t="shared" si="270"/>
        <v>27028</v>
      </c>
      <c r="M18100" t="s">
        <v>51351</v>
      </c>
      <c r="N18100" t="str">
        <f t="shared" si="272"/>
        <v>1/6/2023 4:07:00 PM</v>
      </c>
      <c r="O18100" t="s">
        <v>55508</v>
      </c>
    </row>
    <row r="18101" spans="1:20" x14ac:dyDescent="0.25">
      <c r="A18101" t="str">
        <f>"3058207"</f>
        <v>3058207</v>
      </c>
      <c r="B18101" t="s">
        <v>55556</v>
      </c>
      <c r="C18101" t="str">
        <f t="shared" si="271"/>
        <v>8304859</v>
      </c>
      <c r="D18101" t="s">
        <v>55508</v>
      </c>
      <c r="F18101" t="s">
        <v>28590</v>
      </c>
      <c r="I18101" t="s">
        <v>17921</v>
      </c>
      <c r="J18101" t="s">
        <v>30</v>
      </c>
      <c r="K18101" t="str">
        <f t="shared" si="270"/>
        <v>27028</v>
      </c>
      <c r="M18101" t="s">
        <v>51351</v>
      </c>
      <c r="N18101" t="str">
        <f t="shared" si="272"/>
        <v>1/6/2023 4:07:00 PM</v>
      </c>
      <c r="O18101" t="s">
        <v>55508</v>
      </c>
    </row>
    <row r="18102" spans="1:20" x14ac:dyDescent="0.25">
      <c r="A18102" t="str">
        <f>"3050384"</f>
        <v>3050384</v>
      </c>
      <c r="B18102" t="s">
        <v>55557</v>
      </c>
      <c r="C18102" t="str">
        <f>"11852000"</f>
        <v>11852000</v>
      </c>
      <c r="D18102" t="s">
        <v>31880</v>
      </c>
      <c r="E18102" t="s">
        <v>55558</v>
      </c>
      <c r="F18102" t="s">
        <v>31881</v>
      </c>
      <c r="I18102" t="s">
        <v>184</v>
      </c>
      <c r="J18102" t="s">
        <v>30</v>
      </c>
      <c r="K18102" t="s">
        <v>31882</v>
      </c>
      <c r="M18102" t="s">
        <v>50621</v>
      </c>
      <c r="N18102" t="str">
        <f>"1/9/2023 10:05:00 AM"</f>
        <v>1/9/2023 10:05:00 AM</v>
      </c>
      <c r="O18102" t="s">
        <v>31880</v>
      </c>
      <c r="T18102" t="s">
        <v>55558</v>
      </c>
    </row>
    <row r="18103" spans="1:20" x14ac:dyDescent="0.25">
      <c r="A18103" t="str">
        <f>"3049575"</f>
        <v>3049575</v>
      </c>
      <c r="B18103" t="s">
        <v>55559</v>
      </c>
      <c r="C18103" t="str">
        <f>"11852000"</f>
        <v>11852000</v>
      </c>
      <c r="D18103" t="s">
        <v>31880</v>
      </c>
      <c r="E18103" t="s">
        <v>55558</v>
      </c>
      <c r="F18103" t="s">
        <v>31881</v>
      </c>
      <c r="I18103" t="s">
        <v>184</v>
      </c>
      <c r="J18103" t="s">
        <v>30</v>
      </c>
      <c r="K18103" t="s">
        <v>31882</v>
      </c>
      <c r="M18103" t="s">
        <v>50621</v>
      </c>
      <c r="N18103" t="str">
        <f>"1/9/2023 10:05:00 AM"</f>
        <v>1/9/2023 10:05:00 AM</v>
      </c>
      <c r="O18103" t="s">
        <v>31880</v>
      </c>
      <c r="T18103" t="s">
        <v>55558</v>
      </c>
    </row>
    <row r="18104" spans="1:20" x14ac:dyDescent="0.25">
      <c r="A18104" t="str">
        <f>"3052583"</f>
        <v>3052583</v>
      </c>
      <c r="B18104" t="s">
        <v>55560</v>
      </c>
      <c r="C18104" t="str">
        <f>"82516711"</f>
        <v>82516711</v>
      </c>
      <c r="D18104" t="s">
        <v>55561</v>
      </c>
      <c r="E18104" t="s">
        <v>55562</v>
      </c>
      <c r="F18104" t="s">
        <v>55563</v>
      </c>
      <c r="I18104" t="s">
        <v>29</v>
      </c>
      <c r="J18104" t="s">
        <v>30</v>
      </c>
      <c r="K18104" t="s">
        <v>31</v>
      </c>
      <c r="M18104" t="s">
        <v>50621</v>
      </c>
      <c r="N18104" t="str">
        <f>"1/9/2023 2:20:00 PM"</f>
        <v>1/9/2023 2:20:00 PM</v>
      </c>
      <c r="O18104" t="s">
        <v>55561</v>
      </c>
      <c r="T18104" t="s">
        <v>55562</v>
      </c>
    </row>
    <row r="18105" spans="1:20" x14ac:dyDescent="0.25">
      <c r="A18105" t="str">
        <f>"3058345"</f>
        <v>3058345</v>
      </c>
      <c r="B18105" t="s">
        <v>55564</v>
      </c>
      <c r="C18105" t="str">
        <f>"8319464"</f>
        <v>8319464</v>
      </c>
      <c r="D18105" t="s">
        <v>55565</v>
      </c>
      <c r="F18105" t="s">
        <v>55566</v>
      </c>
      <c r="I18105" t="s">
        <v>17921</v>
      </c>
      <c r="J18105" t="s">
        <v>30</v>
      </c>
      <c r="K18105" t="str">
        <f>"27028"</f>
        <v>27028</v>
      </c>
      <c r="M18105" t="s">
        <v>17861</v>
      </c>
      <c r="N18105" t="str">
        <f>"1/9/2023 3:36:00 PM"</f>
        <v>1/9/2023 3:36:00 PM</v>
      </c>
      <c r="O18105" t="s">
        <v>55565</v>
      </c>
    </row>
    <row r="18106" spans="1:20" x14ac:dyDescent="0.25">
      <c r="A18106" t="str">
        <f>"3041482"</f>
        <v>3041482</v>
      </c>
      <c r="B18106" t="s">
        <v>55567</v>
      </c>
      <c r="C18106" t="str">
        <f>"8319465"</f>
        <v>8319465</v>
      </c>
      <c r="D18106" t="s">
        <v>55515</v>
      </c>
      <c r="F18106" t="s">
        <v>43713</v>
      </c>
      <c r="I18106" t="s">
        <v>184</v>
      </c>
      <c r="J18106" t="s">
        <v>30</v>
      </c>
      <c r="K18106" t="s">
        <v>3837</v>
      </c>
      <c r="M18106" t="s">
        <v>17861</v>
      </c>
      <c r="N18106" t="str">
        <f>"1/9/2023 3:39:00 PM"</f>
        <v>1/9/2023 3:39:00 PM</v>
      </c>
      <c r="O18106" t="s">
        <v>55515</v>
      </c>
    </row>
    <row r="18107" spans="1:20" x14ac:dyDescent="0.25">
      <c r="A18107" t="str">
        <f>"3048520"</f>
        <v>3048520</v>
      </c>
      <c r="B18107" t="s">
        <v>55568</v>
      </c>
      <c r="C18107" t="str">
        <f>"61668000"</f>
        <v>61668000</v>
      </c>
      <c r="D18107" t="s">
        <v>55569</v>
      </c>
      <c r="E18107" t="s">
        <v>55570</v>
      </c>
      <c r="F18107" t="s">
        <v>55571</v>
      </c>
      <c r="I18107" t="s">
        <v>29</v>
      </c>
      <c r="J18107" t="s">
        <v>30</v>
      </c>
      <c r="K18107" t="s">
        <v>52110</v>
      </c>
      <c r="M18107" t="s">
        <v>50621</v>
      </c>
      <c r="N18107" t="str">
        <f>"1/3/2023 10:19:00 AM"</f>
        <v>1/3/2023 10:19:00 AM</v>
      </c>
      <c r="O18107" t="s">
        <v>55569</v>
      </c>
      <c r="T18107" t="s">
        <v>55570</v>
      </c>
    </row>
    <row r="18108" spans="1:20" x14ac:dyDescent="0.25">
      <c r="A18108" t="str">
        <f>"3047231"</f>
        <v>3047231</v>
      </c>
      <c r="B18108" t="s">
        <v>55572</v>
      </c>
      <c r="C18108" t="str">
        <f>"82518705"</f>
        <v>82518705</v>
      </c>
      <c r="D18108" t="s">
        <v>55573</v>
      </c>
      <c r="F18108" t="s">
        <v>55574</v>
      </c>
      <c r="G18108" t="s">
        <v>55575</v>
      </c>
      <c r="I18108" t="s">
        <v>4389</v>
      </c>
      <c r="J18108" t="s">
        <v>30</v>
      </c>
      <c r="K18108" t="s">
        <v>4390</v>
      </c>
      <c r="M18108" t="s">
        <v>18470</v>
      </c>
      <c r="N18108" t="str">
        <f>"1/12/2023 11:48:00 AM"</f>
        <v>1/12/2023 11:48:00 AM</v>
      </c>
      <c r="O18108" t="s">
        <v>55573</v>
      </c>
    </row>
    <row r="18109" spans="1:20" x14ac:dyDescent="0.25">
      <c r="A18109" t="str">
        <f>"3047232"</f>
        <v>3047232</v>
      </c>
      <c r="B18109" t="s">
        <v>55576</v>
      </c>
      <c r="C18109" t="str">
        <f>"82518705"</f>
        <v>82518705</v>
      </c>
      <c r="D18109" t="s">
        <v>55573</v>
      </c>
      <c r="F18109" t="s">
        <v>55574</v>
      </c>
      <c r="G18109" t="s">
        <v>55575</v>
      </c>
      <c r="I18109" t="s">
        <v>4389</v>
      </c>
      <c r="J18109" t="s">
        <v>30</v>
      </c>
      <c r="K18109" t="s">
        <v>4390</v>
      </c>
      <c r="M18109" t="s">
        <v>18470</v>
      </c>
      <c r="N18109" t="str">
        <f>"1/12/2023 11:48:00 AM"</f>
        <v>1/12/2023 11:48:00 AM</v>
      </c>
      <c r="O18109" t="s">
        <v>55573</v>
      </c>
    </row>
    <row r="18110" spans="1:20" x14ac:dyDescent="0.25">
      <c r="A18110" t="str">
        <f>"3049396"</f>
        <v>3049396</v>
      </c>
      <c r="B18110" t="s">
        <v>55577</v>
      </c>
      <c r="C18110" t="str">
        <f>"8319496"</f>
        <v>8319496</v>
      </c>
      <c r="D18110" t="s">
        <v>55578</v>
      </c>
      <c r="E18110" t="s">
        <v>55579</v>
      </c>
      <c r="F18110" t="s">
        <v>55580</v>
      </c>
      <c r="I18110" t="s">
        <v>17337</v>
      </c>
      <c r="J18110" t="s">
        <v>2738</v>
      </c>
      <c r="K18110" t="s">
        <v>55581</v>
      </c>
      <c r="M18110" t="s">
        <v>17861</v>
      </c>
      <c r="N18110" t="str">
        <f>"1/12/2023 12:41:00 PM"</f>
        <v>1/12/2023 12:41:00 PM</v>
      </c>
      <c r="O18110" t="s">
        <v>55578</v>
      </c>
      <c r="T18110" t="s">
        <v>55579</v>
      </c>
    </row>
    <row r="18111" spans="1:20" x14ac:dyDescent="0.25">
      <c r="A18111" t="str">
        <f>"3049893"</f>
        <v>3049893</v>
      </c>
      <c r="B18111" t="s">
        <v>55582</v>
      </c>
      <c r="C18111" t="str">
        <f>"8313334"</f>
        <v>8313334</v>
      </c>
      <c r="D18111" t="s">
        <v>55583</v>
      </c>
      <c r="E18111" t="s">
        <v>55584</v>
      </c>
      <c r="F18111" t="s">
        <v>55585</v>
      </c>
      <c r="I18111" t="s">
        <v>29</v>
      </c>
      <c r="J18111" t="s">
        <v>30</v>
      </c>
      <c r="K18111" t="s">
        <v>45004</v>
      </c>
      <c r="M18111" t="s">
        <v>18479</v>
      </c>
      <c r="N18111" t="str">
        <f>"1/12/2023 3:13:00 PM"</f>
        <v>1/12/2023 3:13:00 PM</v>
      </c>
      <c r="O18111" t="s">
        <v>55583</v>
      </c>
      <c r="T18111" t="s">
        <v>55584</v>
      </c>
    </row>
    <row r="18112" spans="1:20" x14ac:dyDescent="0.25">
      <c r="A18112" t="str">
        <f>"3047834"</f>
        <v>3047834</v>
      </c>
      <c r="B18112" t="s">
        <v>55586</v>
      </c>
      <c r="C18112" t="str">
        <f>"82519946"</f>
        <v>82519946</v>
      </c>
      <c r="D18112" t="s">
        <v>55587</v>
      </c>
      <c r="F18112" t="s">
        <v>55588</v>
      </c>
      <c r="I18112" t="s">
        <v>55589</v>
      </c>
      <c r="J18112" t="s">
        <v>51560</v>
      </c>
      <c r="K18112" t="s">
        <v>55590</v>
      </c>
      <c r="M18112" t="s">
        <v>51351</v>
      </c>
      <c r="N18112" t="str">
        <f>"1/13/2023 10:11:00 AM"</f>
        <v>1/13/2023 10:11:00 AM</v>
      </c>
      <c r="O18112" t="s">
        <v>55587</v>
      </c>
    </row>
    <row r="18113" spans="1:20" x14ac:dyDescent="0.25">
      <c r="A18113" t="str">
        <f>"3050737"</f>
        <v>3050737</v>
      </c>
      <c r="B18113" t="s">
        <v>55591</v>
      </c>
      <c r="C18113" t="str">
        <f>"8319499"</f>
        <v>8319499</v>
      </c>
      <c r="D18113" t="s">
        <v>55592</v>
      </c>
      <c r="E18113" t="s">
        <v>55593</v>
      </c>
      <c r="F18113" t="s">
        <v>55594</v>
      </c>
      <c r="I18113" t="s">
        <v>184</v>
      </c>
      <c r="J18113" t="s">
        <v>30</v>
      </c>
      <c r="K18113" t="s">
        <v>10568</v>
      </c>
      <c r="M18113" t="s">
        <v>17861</v>
      </c>
      <c r="N18113" t="str">
        <f>"1/13/2023 10:40:00 AM"</f>
        <v>1/13/2023 10:40:00 AM</v>
      </c>
      <c r="O18113" t="s">
        <v>55592</v>
      </c>
      <c r="T18113" t="s">
        <v>55593</v>
      </c>
    </row>
    <row r="18114" spans="1:20" x14ac:dyDescent="0.25">
      <c r="A18114" t="str">
        <f>"3045610"</f>
        <v>3045610</v>
      </c>
      <c r="B18114" t="s">
        <v>55595</v>
      </c>
      <c r="C18114" t="str">
        <f>"8319500"</f>
        <v>8319500</v>
      </c>
      <c r="D18114" t="s">
        <v>55596</v>
      </c>
      <c r="F18114" t="s">
        <v>55597</v>
      </c>
      <c r="I18114" t="s">
        <v>29</v>
      </c>
      <c r="J18114" t="s">
        <v>30</v>
      </c>
      <c r="K18114" t="s">
        <v>46532</v>
      </c>
      <c r="M18114" t="s">
        <v>17861</v>
      </c>
      <c r="N18114" t="str">
        <f>"1/13/2023 10:45:00 AM"</f>
        <v>1/13/2023 10:45:00 AM</v>
      </c>
      <c r="O18114" t="s">
        <v>55596</v>
      </c>
    </row>
    <row r="18115" spans="1:20" x14ac:dyDescent="0.25">
      <c r="A18115" t="str">
        <f>"3070786"</f>
        <v>3070786</v>
      </c>
      <c r="B18115" t="s">
        <v>55598</v>
      </c>
      <c r="C18115" t="str">
        <f>"8319502"</f>
        <v>8319502</v>
      </c>
      <c r="D18115" t="s">
        <v>55599</v>
      </c>
      <c r="E18115" t="s">
        <v>55600</v>
      </c>
      <c r="F18115" t="s">
        <v>55601</v>
      </c>
      <c r="I18115" t="s">
        <v>29</v>
      </c>
      <c r="J18115" t="s">
        <v>30</v>
      </c>
      <c r="K18115" t="s">
        <v>51782</v>
      </c>
      <c r="M18115" t="s">
        <v>17861</v>
      </c>
      <c r="N18115" t="str">
        <f>"1/13/2023 10:52:00 AM"</f>
        <v>1/13/2023 10:52:00 AM</v>
      </c>
      <c r="O18115" t="s">
        <v>55599</v>
      </c>
      <c r="T18115" t="s">
        <v>55600</v>
      </c>
    </row>
    <row r="18116" spans="1:20" x14ac:dyDescent="0.25">
      <c r="A18116" t="str">
        <f>"3046971"</f>
        <v>3046971</v>
      </c>
      <c r="B18116" t="s">
        <v>55602</v>
      </c>
      <c r="C18116" t="str">
        <f>"8319503"</f>
        <v>8319503</v>
      </c>
      <c r="D18116" t="s">
        <v>55603</v>
      </c>
      <c r="F18116" t="s">
        <v>55604</v>
      </c>
      <c r="I18116" t="s">
        <v>964</v>
      </c>
      <c r="J18116" t="s">
        <v>30</v>
      </c>
      <c r="K18116" t="s">
        <v>55605</v>
      </c>
      <c r="M18116" t="s">
        <v>17861</v>
      </c>
      <c r="N18116" t="str">
        <f>"1/13/2023 11:03:00 AM"</f>
        <v>1/13/2023 11:03:00 AM</v>
      </c>
      <c r="O18116" t="s">
        <v>55603</v>
      </c>
    </row>
    <row r="18117" spans="1:20" x14ac:dyDescent="0.25">
      <c r="A18117" t="str">
        <f>"3048115"</f>
        <v>3048115</v>
      </c>
      <c r="B18117" t="s">
        <v>55606</v>
      </c>
      <c r="C18117" t="str">
        <f>"8319504"</f>
        <v>8319504</v>
      </c>
      <c r="D18117" t="s">
        <v>55607</v>
      </c>
      <c r="E18117" t="s">
        <v>55608</v>
      </c>
      <c r="F18117" t="s">
        <v>55609</v>
      </c>
      <c r="I18117" t="s">
        <v>184</v>
      </c>
      <c r="J18117" t="s">
        <v>30</v>
      </c>
      <c r="K18117" t="s">
        <v>12894</v>
      </c>
      <c r="M18117" t="s">
        <v>17861</v>
      </c>
      <c r="N18117" t="str">
        <f>"1/13/2023 11:06:00 AM"</f>
        <v>1/13/2023 11:06:00 AM</v>
      </c>
      <c r="O18117" t="s">
        <v>55607</v>
      </c>
      <c r="T18117" t="s">
        <v>55608</v>
      </c>
    </row>
    <row r="18118" spans="1:20" x14ac:dyDescent="0.25">
      <c r="A18118" t="str">
        <f>"3051581"</f>
        <v>3051581</v>
      </c>
      <c r="B18118" t="s">
        <v>55610</v>
      </c>
      <c r="C18118" t="str">
        <f>"79380000"</f>
        <v>79380000</v>
      </c>
      <c r="D18118" t="s">
        <v>55611</v>
      </c>
      <c r="E18118" t="s">
        <v>55612</v>
      </c>
      <c r="F18118" t="s">
        <v>55613</v>
      </c>
      <c r="I18118" t="s">
        <v>29</v>
      </c>
      <c r="J18118" t="s">
        <v>30</v>
      </c>
      <c r="K18118" t="s">
        <v>26326</v>
      </c>
      <c r="M18118" t="s">
        <v>50621</v>
      </c>
      <c r="N18118" t="str">
        <f>"1/3/2023 10:28:00 AM"</f>
        <v>1/3/2023 10:28:00 AM</v>
      </c>
      <c r="O18118" t="s">
        <v>55611</v>
      </c>
      <c r="T18118" t="s">
        <v>55612</v>
      </c>
    </row>
    <row r="18119" spans="1:20" x14ac:dyDescent="0.25">
      <c r="A18119" t="str">
        <f>"3051072"</f>
        <v>3051072</v>
      </c>
      <c r="B18119" t="s">
        <v>55614</v>
      </c>
      <c r="C18119" t="str">
        <f>"79380000"</f>
        <v>79380000</v>
      </c>
      <c r="D18119" t="s">
        <v>55611</v>
      </c>
      <c r="E18119" t="s">
        <v>55612</v>
      </c>
      <c r="F18119" t="s">
        <v>55613</v>
      </c>
      <c r="I18119" t="s">
        <v>29</v>
      </c>
      <c r="J18119" t="s">
        <v>30</v>
      </c>
      <c r="K18119" t="s">
        <v>26326</v>
      </c>
      <c r="M18119" t="s">
        <v>50621</v>
      </c>
      <c r="N18119" t="str">
        <f>"1/3/2023 10:28:00 AM"</f>
        <v>1/3/2023 10:28:00 AM</v>
      </c>
      <c r="O18119" t="s">
        <v>55611</v>
      </c>
      <c r="T18119" t="s">
        <v>55612</v>
      </c>
    </row>
    <row r="18120" spans="1:20" x14ac:dyDescent="0.25">
      <c r="A18120" t="str">
        <f>"3050365"</f>
        <v>3050365</v>
      </c>
      <c r="B18120" t="s">
        <v>55615</v>
      </c>
      <c r="C18120" t="str">
        <f>"8317379"</f>
        <v>8317379</v>
      </c>
      <c r="D18120" t="s">
        <v>50923</v>
      </c>
      <c r="E18120" t="s">
        <v>18472</v>
      </c>
      <c r="F18120" t="s">
        <v>55616</v>
      </c>
      <c r="I18120" t="s">
        <v>29</v>
      </c>
      <c r="J18120" t="s">
        <v>30</v>
      </c>
      <c r="K18120" t="s">
        <v>26799</v>
      </c>
      <c r="M18120" t="s">
        <v>52111</v>
      </c>
      <c r="N18120" t="str">
        <f>"1/3/2023 12:59:00 PM"</f>
        <v>1/3/2023 12:59:00 PM</v>
      </c>
      <c r="O18120" t="s">
        <v>50923</v>
      </c>
      <c r="T18120" t="s">
        <v>18472</v>
      </c>
    </row>
    <row r="18121" spans="1:20" x14ac:dyDescent="0.25">
      <c r="A18121" t="str">
        <f>"3059589"</f>
        <v>3059589</v>
      </c>
      <c r="B18121" t="s">
        <v>55617</v>
      </c>
      <c r="C18121" t="str">
        <f>"8319509"</f>
        <v>8319509</v>
      </c>
      <c r="D18121" t="s">
        <v>55618</v>
      </c>
      <c r="E18121" t="s">
        <v>55619</v>
      </c>
      <c r="F18121" t="s">
        <v>55620</v>
      </c>
      <c r="I18121" t="s">
        <v>29</v>
      </c>
      <c r="J18121" t="s">
        <v>30</v>
      </c>
      <c r="K18121" t="s">
        <v>13835</v>
      </c>
      <c r="M18121" t="s">
        <v>17861</v>
      </c>
      <c r="N18121" t="str">
        <f>"1/13/2023 1:08:00 PM"</f>
        <v>1/13/2023 1:08:00 PM</v>
      </c>
      <c r="O18121" t="s">
        <v>55618</v>
      </c>
      <c r="T18121" t="s">
        <v>55619</v>
      </c>
    </row>
    <row r="18122" spans="1:20" x14ac:dyDescent="0.25">
      <c r="A18122" t="str">
        <f>"3047500"</f>
        <v>3047500</v>
      </c>
      <c r="B18122" t="s">
        <v>55621</v>
      </c>
      <c r="C18122" t="str">
        <f>"8319510"</f>
        <v>8319510</v>
      </c>
      <c r="D18122" t="s">
        <v>22222</v>
      </c>
      <c r="F18122" t="s">
        <v>22224</v>
      </c>
      <c r="I18122" t="s">
        <v>29</v>
      </c>
      <c r="J18122" t="s">
        <v>30</v>
      </c>
      <c r="K18122" t="s">
        <v>52084</v>
      </c>
      <c r="M18122" t="s">
        <v>17861</v>
      </c>
      <c r="N18122" t="str">
        <f>"1/13/2023 1:25:00 PM"</f>
        <v>1/13/2023 1:25:00 PM</v>
      </c>
      <c r="O18122" t="s">
        <v>22222</v>
      </c>
    </row>
    <row r="18123" spans="1:20" x14ac:dyDescent="0.25">
      <c r="A18123" t="str">
        <f>"3058880"</f>
        <v>3058880</v>
      </c>
      <c r="B18123" t="s">
        <v>55622</v>
      </c>
      <c r="C18123" t="str">
        <f>"8319512"</f>
        <v>8319512</v>
      </c>
      <c r="D18123" t="s">
        <v>55623</v>
      </c>
      <c r="E18123" t="s">
        <v>55624</v>
      </c>
      <c r="F18123" t="s">
        <v>55625</v>
      </c>
      <c r="I18123" t="s">
        <v>29</v>
      </c>
      <c r="J18123" t="s">
        <v>30</v>
      </c>
      <c r="K18123" t="s">
        <v>41630</v>
      </c>
      <c r="M18123" t="s">
        <v>17861</v>
      </c>
      <c r="N18123" t="str">
        <f>"1/13/2023 1:38:00 PM"</f>
        <v>1/13/2023 1:38:00 PM</v>
      </c>
      <c r="O18123" t="s">
        <v>55623</v>
      </c>
      <c r="T18123" t="s">
        <v>55624</v>
      </c>
    </row>
    <row r="18124" spans="1:20" x14ac:dyDescent="0.25">
      <c r="A18124" t="str">
        <f>"3054917"</f>
        <v>3054917</v>
      </c>
      <c r="B18124" t="s">
        <v>55626</v>
      </c>
      <c r="C18124" t="str">
        <f>"8319513"</f>
        <v>8319513</v>
      </c>
      <c r="D18124" t="s">
        <v>55627</v>
      </c>
      <c r="F18124" t="s">
        <v>39234</v>
      </c>
      <c r="I18124" t="s">
        <v>1176</v>
      </c>
      <c r="J18124" t="s">
        <v>30</v>
      </c>
      <c r="K18124" t="s">
        <v>39235</v>
      </c>
      <c r="M18124" t="s">
        <v>17861</v>
      </c>
      <c r="N18124" t="str">
        <f>"1/13/2023 1:42:00 PM"</f>
        <v>1/13/2023 1:42:00 PM</v>
      </c>
      <c r="O18124" t="s">
        <v>55627</v>
      </c>
    </row>
    <row r="18125" spans="1:20" x14ac:dyDescent="0.25">
      <c r="A18125" t="str">
        <f>"3049616"</f>
        <v>3049616</v>
      </c>
      <c r="B18125" t="s">
        <v>55628</v>
      </c>
      <c r="C18125" t="str">
        <f>"8317379"</f>
        <v>8317379</v>
      </c>
      <c r="D18125" t="s">
        <v>50923</v>
      </c>
      <c r="E18125" t="s">
        <v>18472</v>
      </c>
      <c r="F18125" t="s">
        <v>55616</v>
      </c>
      <c r="I18125" t="s">
        <v>29</v>
      </c>
      <c r="J18125" t="s">
        <v>30</v>
      </c>
      <c r="K18125" t="s">
        <v>26799</v>
      </c>
      <c r="M18125" t="s">
        <v>52111</v>
      </c>
      <c r="N18125" t="str">
        <f>"1/3/2023 12:59:00 PM"</f>
        <v>1/3/2023 12:59:00 PM</v>
      </c>
      <c r="O18125" t="s">
        <v>50923</v>
      </c>
      <c r="T18125" t="s">
        <v>18472</v>
      </c>
    </row>
    <row r="18126" spans="1:20" x14ac:dyDescent="0.25">
      <c r="A18126" t="str">
        <f>"3037777"</f>
        <v>3037777</v>
      </c>
      <c r="B18126" t="s">
        <v>55629</v>
      </c>
      <c r="C18126" t="str">
        <f>"8319459"</f>
        <v>8319459</v>
      </c>
      <c r="D18126" t="s">
        <v>55630</v>
      </c>
      <c r="F18126" t="s">
        <v>55631</v>
      </c>
      <c r="I18126" t="s">
        <v>29</v>
      </c>
      <c r="J18126" t="s">
        <v>30</v>
      </c>
      <c r="K18126" t="s">
        <v>55632</v>
      </c>
      <c r="M18126" t="s">
        <v>17861</v>
      </c>
      <c r="N18126" t="str">
        <f>"1/3/2023 1:09:00 PM"</f>
        <v>1/3/2023 1:09:00 PM</v>
      </c>
      <c r="O18126" t="s">
        <v>55630</v>
      </c>
    </row>
    <row r="18127" spans="1:20" x14ac:dyDescent="0.25">
      <c r="A18127" t="str">
        <f>"3052402"</f>
        <v>3052402</v>
      </c>
      <c r="B18127" t="s">
        <v>55633</v>
      </c>
      <c r="C18127" t="str">
        <f>"82527566"</f>
        <v>82527566</v>
      </c>
      <c r="D18127" t="s">
        <v>55634</v>
      </c>
      <c r="F18127" t="s">
        <v>55635</v>
      </c>
      <c r="I18127" t="s">
        <v>29</v>
      </c>
      <c r="J18127" t="s">
        <v>30</v>
      </c>
      <c r="K18127" t="s">
        <v>31</v>
      </c>
      <c r="M18127" t="s">
        <v>50621</v>
      </c>
      <c r="N18127" t="str">
        <f>"1/3/2023 1:14:00 PM"</f>
        <v>1/3/2023 1:14:00 PM</v>
      </c>
      <c r="O18127" t="s">
        <v>55634</v>
      </c>
    </row>
    <row r="18128" spans="1:20" x14ac:dyDescent="0.25">
      <c r="A18128" t="str">
        <f>"3061459"</f>
        <v>3061459</v>
      </c>
      <c r="B18128" t="s">
        <v>55636</v>
      </c>
      <c r="C18128" t="str">
        <f>"8319460"</f>
        <v>8319460</v>
      </c>
      <c r="D18128" t="s">
        <v>55637</v>
      </c>
      <c r="F18128" t="s">
        <v>55638</v>
      </c>
      <c r="I18128" t="s">
        <v>184</v>
      </c>
      <c r="J18128" t="s">
        <v>30</v>
      </c>
      <c r="K18128" t="s">
        <v>1994</v>
      </c>
      <c r="M18128" t="s">
        <v>17861</v>
      </c>
      <c r="N18128" t="str">
        <f>"1/4/2023 2:33:00 PM"</f>
        <v>1/4/2023 2:33:00 PM</v>
      </c>
      <c r="O18128" t="s">
        <v>55637</v>
      </c>
    </row>
    <row r="18129" spans="1:20" x14ac:dyDescent="0.25">
      <c r="A18129" t="str">
        <f>"3058288"</f>
        <v>3058288</v>
      </c>
      <c r="B18129" t="s">
        <v>55639</v>
      </c>
      <c r="C18129" t="str">
        <f>"82525447"</f>
        <v>82525447</v>
      </c>
      <c r="D18129" t="s">
        <v>55640</v>
      </c>
      <c r="E18129" t="s">
        <v>55641</v>
      </c>
      <c r="F18129" t="s">
        <v>55642</v>
      </c>
      <c r="I18129" t="s">
        <v>29</v>
      </c>
      <c r="J18129" t="s">
        <v>30</v>
      </c>
      <c r="K18129" t="s">
        <v>31</v>
      </c>
      <c r="M18129" t="s">
        <v>50621</v>
      </c>
      <c r="N18129" t="str">
        <f>"1/5/2023 11:10:00 AM"</f>
        <v>1/5/2023 11:10:00 AM</v>
      </c>
      <c r="O18129" t="s">
        <v>55640</v>
      </c>
      <c r="T18129" t="s">
        <v>55641</v>
      </c>
    </row>
    <row r="18130" spans="1:20" x14ac:dyDescent="0.25">
      <c r="A18130" t="str">
        <f>"3078609"</f>
        <v>3078609</v>
      </c>
      <c r="B18130" t="s">
        <v>55643</v>
      </c>
      <c r="C18130" t="str">
        <f>"8319484"</f>
        <v>8319484</v>
      </c>
      <c r="D18130" t="s">
        <v>55644</v>
      </c>
      <c r="F18130" t="s">
        <v>55645</v>
      </c>
      <c r="I18130" t="s">
        <v>1107</v>
      </c>
      <c r="J18130" t="s">
        <v>30</v>
      </c>
      <c r="K18130" t="s">
        <v>55646</v>
      </c>
      <c r="M18130" t="s">
        <v>17861</v>
      </c>
      <c r="N18130" t="str">
        <f>"1/10/2023 1:23:00 PM"</f>
        <v>1/10/2023 1:23:00 PM</v>
      </c>
      <c r="O18130" t="s">
        <v>55644</v>
      </c>
    </row>
    <row r="18131" spans="1:20" x14ac:dyDescent="0.25">
      <c r="A18131" t="str">
        <f>"3058545"</f>
        <v>3058545</v>
      </c>
      <c r="B18131" t="s">
        <v>55647</v>
      </c>
      <c r="C18131" t="str">
        <f>"8318488"</f>
        <v>8318488</v>
      </c>
      <c r="D18131" t="s">
        <v>55648</v>
      </c>
      <c r="F18131" t="s">
        <v>55649</v>
      </c>
      <c r="I18131" t="s">
        <v>471</v>
      </c>
      <c r="J18131" t="s">
        <v>30</v>
      </c>
      <c r="K18131" t="s">
        <v>55650</v>
      </c>
      <c r="M18131" t="s">
        <v>18479</v>
      </c>
      <c r="N18131" t="str">
        <f>"1/18/2023 12:56:00 PM"</f>
        <v>1/18/2023 12:56:00 PM</v>
      </c>
      <c r="O18131" t="s">
        <v>55648</v>
      </c>
    </row>
    <row r="18132" spans="1:20" x14ac:dyDescent="0.25">
      <c r="A18132" t="str">
        <f>"3058538"</f>
        <v>3058538</v>
      </c>
      <c r="B18132" t="s">
        <v>55651</v>
      </c>
      <c r="C18132" t="str">
        <f>"8318488"</f>
        <v>8318488</v>
      </c>
      <c r="D18132" t="s">
        <v>55648</v>
      </c>
      <c r="F18132" t="s">
        <v>55649</v>
      </c>
      <c r="I18132" t="s">
        <v>471</v>
      </c>
      <c r="J18132" t="s">
        <v>30</v>
      </c>
      <c r="K18132" t="s">
        <v>55650</v>
      </c>
      <c r="M18132" t="s">
        <v>18479</v>
      </c>
      <c r="N18132" t="str">
        <f>"1/18/2023 12:56:00 PM"</f>
        <v>1/18/2023 12:56:00 PM</v>
      </c>
      <c r="O18132" t="s">
        <v>55648</v>
      </c>
    </row>
    <row r="18133" spans="1:20" x14ac:dyDescent="0.25">
      <c r="A18133" t="str">
        <f>"3059525"</f>
        <v>3059525</v>
      </c>
      <c r="B18133" t="s">
        <v>55652</v>
      </c>
      <c r="C18133" t="str">
        <f>"8319517"</f>
        <v>8319517</v>
      </c>
      <c r="D18133" t="s">
        <v>55653</v>
      </c>
      <c r="F18133" t="s">
        <v>55654</v>
      </c>
      <c r="I18133" t="s">
        <v>29</v>
      </c>
      <c r="J18133" t="s">
        <v>30</v>
      </c>
      <c r="K18133" t="s">
        <v>55655</v>
      </c>
      <c r="M18133" t="s">
        <v>17861</v>
      </c>
      <c r="N18133" t="str">
        <f>"1/18/2023 1:05:00 PM"</f>
        <v>1/18/2023 1:05:00 PM</v>
      </c>
      <c r="O18133" t="s">
        <v>55653</v>
      </c>
    </row>
    <row r="18134" spans="1:20" x14ac:dyDescent="0.25">
      <c r="A18134" t="str">
        <f>"3052958"</f>
        <v>3052958</v>
      </c>
      <c r="B18134" t="s">
        <v>55656</v>
      </c>
      <c r="C18134" t="str">
        <f>"8319485"</f>
        <v>8319485</v>
      </c>
      <c r="D18134" t="s">
        <v>55657</v>
      </c>
      <c r="F18134" t="s">
        <v>55658</v>
      </c>
      <c r="I18134" t="s">
        <v>2280</v>
      </c>
      <c r="J18134" t="s">
        <v>30</v>
      </c>
      <c r="K18134" t="s">
        <v>55659</v>
      </c>
      <c r="M18134" t="s">
        <v>17861</v>
      </c>
      <c r="N18134" t="str">
        <f>"1/10/2023 1:27:00 PM"</f>
        <v>1/10/2023 1:27:00 PM</v>
      </c>
      <c r="O18134" t="s">
        <v>55657</v>
      </c>
    </row>
    <row r="18135" spans="1:20" x14ac:dyDescent="0.25">
      <c r="A18135" t="str">
        <f>"3038850"</f>
        <v>3038850</v>
      </c>
      <c r="B18135" t="s">
        <v>55660</v>
      </c>
      <c r="C18135" t="str">
        <f>"8319434"</f>
        <v>8319434</v>
      </c>
      <c r="D18135" t="s">
        <v>55661</v>
      </c>
      <c r="E18135" t="s">
        <v>55662</v>
      </c>
      <c r="F18135" t="s">
        <v>55663</v>
      </c>
      <c r="I18135" t="s">
        <v>49</v>
      </c>
      <c r="J18135" t="s">
        <v>30</v>
      </c>
      <c r="K18135" t="str">
        <f>"27055"</f>
        <v>27055</v>
      </c>
      <c r="M18135" t="s">
        <v>32801</v>
      </c>
      <c r="N18135" t="str">
        <f>"1/10/2023 1:51:00 PM"</f>
        <v>1/10/2023 1:51:00 PM</v>
      </c>
      <c r="O18135" t="s">
        <v>55661</v>
      </c>
      <c r="T18135" t="s">
        <v>55662</v>
      </c>
    </row>
    <row r="18136" spans="1:20" x14ac:dyDescent="0.25">
      <c r="A18136" t="str">
        <f>"3044514"</f>
        <v>3044514</v>
      </c>
      <c r="B18136" t="s">
        <v>55664</v>
      </c>
      <c r="C18136" t="str">
        <f>"8319486"</f>
        <v>8319486</v>
      </c>
      <c r="D18136" t="s">
        <v>55665</v>
      </c>
      <c r="F18136" t="s">
        <v>55666</v>
      </c>
      <c r="I18136" t="s">
        <v>184</v>
      </c>
      <c r="J18136" t="s">
        <v>30</v>
      </c>
      <c r="K18136" t="s">
        <v>5715</v>
      </c>
      <c r="M18136" t="s">
        <v>17861</v>
      </c>
      <c r="N18136" t="str">
        <f>"1/10/2023 2:50:00 PM"</f>
        <v>1/10/2023 2:50:00 PM</v>
      </c>
      <c r="O18136" t="s">
        <v>55665</v>
      </c>
    </row>
    <row r="18137" spans="1:20" x14ac:dyDescent="0.25">
      <c r="A18137" t="str">
        <f>"3051253"</f>
        <v>3051253</v>
      </c>
      <c r="B18137" t="s">
        <v>55667</v>
      </c>
      <c r="C18137" t="str">
        <f>"8315385"</f>
        <v>8315385</v>
      </c>
      <c r="D18137" t="s">
        <v>55668</v>
      </c>
      <c r="F18137" t="s">
        <v>55669</v>
      </c>
      <c r="I18137" t="s">
        <v>29</v>
      </c>
      <c r="J18137" t="s">
        <v>30</v>
      </c>
      <c r="K18137" t="s">
        <v>55670</v>
      </c>
      <c r="M18137" t="s">
        <v>18479</v>
      </c>
      <c r="N18137" t="str">
        <f>"1/11/2023 10:42:00 AM"</f>
        <v>1/11/2023 10:42:00 AM</v>
      </c>
      <c r="O18137" t="s">
        <v>55668</v>
      </c>
    </row>
    <row r="18138" spans="1:20" x14ac:dyDescent="0.25">
      <c r="A18138" t="str">
        <f>"3059299"</f>
        <v>3059299</v>
      </c>
      <c r="B18138" t="s">
        <v>55671</v>
      </c>
      <c r="C18138" t="str">
        <f>"8319494"</f>
        <v>8319494</v>
      </c>
      <c r="D18138" t="s">
        <v>55672</v>
      </c>
      <c r="F18138" t="s">
        <v>55673</v>
      </c>
      <c r="I18138" t="s">
        <v>17921</v>
      </c>
      <c r="J18138" t="s">
        <v>30</v>
      </c>
      <c r="K18138" t="str">
        <f>"27028"</f>
        <v>27028</v>
      </c>
      <c r="M18138" t="s">
        <v>17861</v>
      </c>
      <c r="N18138" t="str">
        <f>"1/11/2023 3:52:00 PM"</f>
        <v>1/11/2023 3:52:00 PM</v>
      </c>
      <c r="O18138" t="s">
        <v>55672</v>
      </c>
    </row>
    <row r="18139" spans="1:20" x14ac:dyDescent="0.25">
      <c r="A18139" t="str">
        <f>"3047407"</f>
        <v>3047407</v>
      </c>
      <c r="B18139" t="s">
        <v>55674</v>
      </c>
      <c r="C18139" t="str">
        <f>"8319524"</f>
        <v>8319524</v>
      </c>
      <c r="D18139" t="s">
        <v>55675</v>
      </c>
      <c r="F18139" t="s">
        <v>55676</v>
      </c>
      <c r="I18139" t="s">
        <v>29</v>
      </c>
      <c r="J18139" t="s">
        <v>30</v>
      </c>
      <c r="K18139" t="s">
        <v>14976</v>
      </c>
      <c r="M18139" t="s">
        <v>17861</v>
      </c>
      <c r="N18139" t="str">
        <f>"1/18/2023 4:13:00 PM"</f>
        <v>1/18/2023 4:13:00 PM</v>
      </c>
      <c r="O18139" t="s">
        <v>55675</v>
      </c>
    </row>
    <row r="18140" spans="1:20" x14ac:dyDescent="0.25">
      <c r="A18140" t="str">
        <f>"3047816"</f>
        <v>3047816</v>
      </c>
      <c r="B18140" t="s">
        <v>55677</v>
      </c>
      <c r="C18140" t="str">
        <f>"8319524"</f>
        <v>8319524</v>
      </c>
      <c r="D18140" t="s">
        <v>55675</v>
      </c>
      <c r="F18140" t="s">
        <v>55676</v>
      </c>
      <c r="I18140" t="s">
        <v>29</v>
      </c>
      <c r="J18140" t="s">
        <v>30</v>
      </c>
      <c r="K18140" t="s">
        <v>14976</v>
      </c>
      <c r="M18140" t="s">
        <v>17861</v>
      </c>
      <c r="N18140" t="str">
        <f>"1/18/2023 4:13:00 PM"</f>
        <v>1/18/2023 4:13:00 PM</v>
      </c>
      <c r="O18140" t="s">
        <v>55675</v>
      </c>
    </row>
    <row r="18141" spans="1:20" x14ac:dyDescent="0.25">
      <c r="A18141" t="str">
        <f>"3038875"</f>
        <v>3038875</v>
      </c>
      <c r="B18141" t="s">
        <v>55678</v>
      </c>
      <c r="C18141" t="str">
        <f>"8319526"</f>
        <v>8319526</v>
      </c>
      <c r="D18141" t="s">
        <v>55679</v>
      </c>
      <c r="F18141" t="s">
        <v>55680</v>
      </c>
      <c r="I18141" t="s">
        <v>29</v>
      </c>
      <c r="J18141" t="s">
        <v>30</v>
      </c>
      <c r="K18141" t="s">
        <v>6927</v>
      </c>
      <c r="M18141" t="s">
        <v>17861</v>
      </c>
      <c r="N18141" t="str">
        <f>"1/18/2023 4:25:00 PM"</f>
        <v>1/18/2023 4:25:00 PM</v>
      </c>
      <c r="O18141" t="s">
        <v>55679</v>
      </c>
    </row>
    <row r="18142" spans="1:20" x14ac:dyDescent="0.25">
      <c r="A18142" t="str">
        <f>"3049914"</f>
        <v>3049914</v>
      </c>
      <c r="B18142" t="s">
        <v>55681</v>
      </c>
      <c r="C18142" t="str">
        <f>"8319526"</f>
        <v>8319526</v>
      </c>
      <c r="D18142" t="s">
        <v>55679</v>
      </c>
      <c r="F18142" t="s">
        <v>55680</v>
      </c>
      <c r="I18142" t="s">
        <v>29</v>
      </c>
      <c r="J18142" t="s">
        <v>30</v>
      </c>
      <c r="K18142" t="s">
        <v>6927</v>
      </c>
      <c r="M18142" t="s">
        <v>17861</v>
      </c>
      <c r="N18142" t="str">
        <f>"1/18/2023 4:25:00 PM"</f>
        <v>1/18/2023 4:25:00 PM</v>
      </c>
      <c r="O18142" t="s">
        <v>55679</v>
      </c>
    </row>
    <row r="18143" spans="1:20" x14ac:dyDescent="0.25">
      <c r="A18143" t="str">
        <f>"3060875"</f>
        <v>3060875</v>
      </c>
      <c r="B18143" t="s">
        <v>55682</v>
      </c>
      <c r="C18143" t="str">
        <f>"8319527"</f>
        <v>8319527</v>
      </c>
      <c r="D18143" t="s">
        <v>55683</v>
      </c>
      <c r="E18143" t="s">
        <v>55684</v>
      </c>
      <c r="F18143" t="s">
        <v>55685</v>
      </c>
      <c r="I18143" t="s">
        <v>184</v>
      </c>
      <c r="J18143" t="s">
        <v>30</v>
      </c>
      <c r="K18143" t="s">
        <v>4808</v>
      </c>
      <c r="M18143" t="s">
        <v>17861</v>
      </c>
      <c r="N18143" t="str">
        <f>"1/19/2023 8:40:00 AM"</f>
        <v>1/19/2023 8:40:00 AM</v>
      </c>
      <c r="O18143" t="s">
        <v>55683</v>
      </c>
      <c r="T18143" t="s">
        <v>55684</v>
      </c>
    </row>
    <row r="18144" spans="1:20" x14ac:dyDescent="0.25">
      <c r="A18144" t="str">
        <f>"3059075"</f>
        <v>3059075</v>
      </c>
      <c r="B18144" t="s">
        <v>55686</v>
      </c>
      <c r="C18144" t="str">
        <f>"8319528"</f>
        <v>8319528</v>
      </c>
      <c r="D18144" t="str">
        <f>"HENDRIX KEVIN/PAIGE L"</f>
        <v>HENDRIX KEVIN/PAIGE L</v>
      </c>
      <c r="E18144" t="s">
        <v>55687</v>
      </c>
      <c r="F18144" t="s">
        <v>55688</v>
      </c>
      <c r="I18144" t="s">
        <v>29</v>
      </c>
      <c r="J18144" t="s">
        <v>30</v>
      </c>
      <c r="K18144" t="s">
        <v>55689</v>
      </c>
      <c r="M18144" t="s">
        <v>17861</v>
      </c>
      <c r="N18144" t="str">
        <f>"1/19/2023 8:46:00 AM"</f>
        <v>1/19/2023 8:46:00 AM</v>
      </c>
      <c r="O18144" t="str">
        <f>"HENDRIX KEVIN/PAIGE L"</f>
        <v>HENDRIX KEVIN/PAIGE L</v>
      </c>
      <c r="T18144" t="s">
        <v>55687</v>
      </c>
    </row>
    <row r="18145" spans="1:20" x14ac:dyDescent="0.25">
      <c r="A18145" t="str">
        <f>"3057247"</f>
        <v>3057247</v>
      </c>
      <c r="B18145" t="s">
        <v>55690</v>
      </c>
      <c r="C18145" t="str">
        <f>"8319528"</f>
        <v>8319528</v>
      </c>
      <c r="D18145" t="str">
        <f>"HENDRIX KEVIN/PAIGE L"</f>
        <v>HENDRIX KEVIN/PAIGE L</v>
      </c>
      <c r="E18145" t="s">
        <v>55687</v>
      </c>
      <c r="F18145" t="s">
        <v>55688</v>
      </c>
      <c r="I18145" t="s">
        <v>29</v>
      </c>
      <c r="J18145" t="s">
        <v>30</v>
      </c>
      <c r="K18145" t="s">
        <v>55689</v>
      </c>
      <c r="M18145" t="s">
        <v>17861</v>
      </c>
      <c r="N18145" t="str">
        <f>"1/19/2023 8:46:00 AM"</f>
        <v>1/19/2023 8:46:00 AM</v>
      </c>
      <c r="O18145" t="str">
        <f>"HENDRIX KEVIN/PAIGE L"</f>
        <v>HENDRIX KEVIN/PAIGE L</v>
      </c>
      <c r="T18145" t="s">
        <v>55687</v>
      </c>
    </row>
    <row r="18146" spans="1:20" x14ac:dyDescent="0.25">
      <c r="A18146" t="str">
        <f>"3057447"</f>
        <v>3057447</v>
      </c>
      <c r="B18146" t="s">
        <v>55691</v>
      </c>
      <c r="C18146" t="str">
        <f>"8319529"</f>
        <v>8319529</v>
      </c>
      <c r="D18146" t="s">
        <v>55692</v>
      </c>
      <c r="E18146" t="s">
        <v>55693</v>
      </c>
      <c r="F18146" t="s">
        <v>55694</v>
      </c>
      <c r="I18146" t="s">
        <v>49</v>
      </c>
      <c r="J18146" t="s">
        <v>30</v>
      </c>
      <c r="K18146" t="s">
        <v>4243</v>
      </c>
      <c r="M18146" t="s">
        <v>17861</v>
      </c>
      <c r="N18146" t="str">
        <f>"1/19/2023 9:21:00 AM"</f>
        <v>1/19/2023 9:21:00 AM</v>
      </c>
      <c r="O18146" t="s">
        <v>55692</v>
      </c>
      <c r="T18146" t="s">
        <v>55693</v>
      </c>
    </row>
    <row r="18147" spans="1:20" x14ac:dyDescent="0.25">
      <c r="A18147" t="str">
        <f>"3042965"</f>
        <v>3042965</v>
      </c>
      <c r="B18147" t="s">
        <v>55695</v>
      </c>
      <c r="C18147" t="str">
        <f>"8319530"</f>
        <v>8319530</v>
      </c>
      <c r="D18147" t="s">
        <v>55696</v>
      </c>
      <c r="F18147" t="s">
        <v>55697</v>
      </c>
      <c r="I18147" t="s">
        <v>29</v>
      </c>
      <c r="J18147" t="s">
        <v>30</v>
      </c>
      <c r="K18147" t="s">
        <v>37036</v>
      </c>
      <c r="M18147" t="s">
        <v>17861</v>
      </c>
      <c r="N18147" t="str">
        <f>"1/19/2023 9:46:00 AM"</f>
        <v>1/19/2023 9:46:00 AM</v>
      </c>
      <c r="O18147" t="s">
        <v>55696</v>
      </c>
    </row>
    <row r="18148" spans="1:20" x14ac:dyDescent="0.25">
      <c r="A18148" t="str">
        <f>"3045471"</f>
        <v>3045471</v>
      </c>
      <c r="B18148" t="s">
        <v>55698</v>
      </c>
      <c r="C18148" t="str">
        <f>"8319531"</f>
        <v>8319531</v>
      </c>
      <c r="D18148" t="s">
        <v>55699</v>
      </c>
      <c r="F18148" t="s">
        <v>55700</v>
      </c>
      <c r="I18148" t="s">
        <v>29</v>
      </c>
      <c r="J18148" t="s">
        <v>30</v>
      </c>
      <c r="K18148" t="s">
        <v>26771</v>
      </c>
      <c r="M18148" t="s">
        <v>17861</v>
      </c>
      <c r="N18148" t="str">
        <f>"1/19/2023 9:58:00 AM"</f>
        <v>1/19/2023 9:58:00 AM</v>
      </c>
      <c r="O18148" t="s">
        <v>55699</v>
      </c>
    </row>
    <row r="18149" spans="1:20" x14ac:dyDescent="0.25">
      <c r="A18149" t="str">
        <f>"3042001"</f>
        <v>3042001</v>
      </c>
      <c r="B18149" t="s">
        <v>55701</v>
      </c>
      <c r="C18149" t="str">
        <f>"8319531"</f>
        <v>8319531</v>
      </c>
      <c r="D18149" t="s">
        <v>55699</v>
      </c>
      <c r="F18149" t="s">
        <v>55700</v>
      </c>
      <c r="I18149" t="s">
        <v>29</v>
      </c>
      <c r="J18149" t="s">
        <v>30</v>
      </c>
      <c r="K18149" t="s">
        <v>26771</v>
      </c>
      <c r="M18149" t="s">
        <v>17861</v>
      </c>
      <c r="N18149" t="str">
        <f>"1/19/2023 9:58:00 AM"</f>
        <v>1/19/2023 9:58:00 AM</v>
      </c>
      <c r="O18149" t="s">
        <v>55699</v>
      </c>
    </row>
    <row r="18150" spans="1:20" x14ac:dyDescent="0.25">
      <c r="A18150" t="str">
        <f>"3077630"</f>
        <v>3077630</v>
      </c>
      <c r="B18150" t="s">
        <v>55702</v>
      </c>
      <c r="C18150" t="str">
        <f>"8319531"</f>
        <v>8319531</v>
      </c>
      <c r="D18150" t="s">
        <v>55699</v>
      </c>
      <c r="F18150" t="s">
        <v>55700</v>
      </c>
      <c r="I18150" t="s">
        <v>29</v>
      </c>
      <c r="J18150" t="s">
        <v>30</v>
      </c>
      <c r="K18150" t="s">
        <v>26771</v>
      </c>
      <c r="M18150" t="s">
        <v>17861</v>
      </c>
      <c r="N18150" t="str">
        <f>"1/19/2023 9:58:00 AM"</f>
        <v>1/19/2023 9:58:00 AM</v>
      </c>
      <c r="O18150" t="s">
        <v>55699</v>
      </c>
    </row>
    <row r="18151" spans="1:20" x14ac:dyDescent="0.25">
      <c r="A18151" t="str">
        <f>"3077631"</f>
        <v>3077631</v>
      </c>
      <c r="B18151" t="s">
        <v>55703</v>
      </c>
      <c r="C18151" t="str">
        <f>"8319531"</f>
        <v>8319531</v>
      </c>
      <c r="D18151" t="s">
        <v>55699</v>
      </c>
      <c r="F18151" t="s">
        <v>55700</v>
      </c>
      <c r="I18151" t="s">
        <v>29</v>
      </c>
      <c r="J18151" t="s">
        <v>30</v>
      </c>
      <c r="K18151" t="s">
        <v>26771</v>
      </c>
      <c r="M18151" t="s">
        <v>17861</v>
      </c>
      <c r="N18151" t="str">
        <f>"1/19/2023 9:58:00 AM"</f>
        <v>1/19/2023 9:58:00 AM</v>
      </c>
      <c r="O18151" t="s">
        <v>55699</v>
      </c>
    </row>
    <row r="18152" spans="1:20" x14ac:dyDescent="0.25">
      <c r="A18152" t="str">
        <f>"3047223"</f>
        <v>3047223</v>
      </c>
      <c r="B18152" t="s">
        <v>55704</v>
      </c>
      <c r="C18152" t="str">
        <f>"82518705"</f>
        <v>82518705</v>
      </c>
      <c r="D18152" t="s">
        <v>55573</v>
      </c>
      <c r="F18152" t="s">
        <v>55574</v>
      </c>
      <c r="G18152" t="s">
        <v>55575</v>
      </c>
      <c r="I18152" t="s">
        <v>4389</v>
      </c>
      <c r="J18152" t="s">
        <v>30</v>
      </c>
      <c r="K18152" t="s">
        <v>4390</v>
      </c>
      <c r="M18152" t="s">
        <v>18470</v>
      </c>
      <c r="N18152" t="str">
        <f>"1/12/2023 11:48:00 AM"</f>
        <v>1/12/2023 11:48:00 AM</v>
      </c>
      <c r="O18152" t="s">
        <v>55573</v>
      </c>
    </row>
    <row r="18153" spans="1:20" x14ac:dyDescent="0.25">
      <c r="A18153" t="str">
        <f>"3059759"</f>
        <v>3059759</v>
      </c>
      <c r="B18153" t="s">
        <v>55705</v>
      </c>
      <c r="C18153" t="str">
        <f>"8319505"</f>
        <v>8319505</v>
      </c>
      <c r="D18153" t="s">
        <v>55706</v>
      </c>
      <c r="F18153" t="s">
        <v>55707</v>
      </c>
      <c r="I18153" t="s">
        <v>29</v>
      </c>
      <c r="J18153" t="s">
        <v>30</v>
      </c>
      <c r="K18153" t="s">
        <v>55708</v>
      </c>
      <c r="M18153" t="s">
        <v>17861</v>
      </c>
      <c r="N18153" t="str">
        <f>"1/13/2023 11:09:00 AM"</f>
        <v>1/13/2023 11:09:00 AM</v>
      </c>
      <c r="O18153" t="s">
        <v>55706</v>
      </c>
    </row>
    <row r="18154" spans="1:20" x14ac:dyDescent="0.25">
      <c r="A18154" t="str">
        <f>"3052152"</f>
        <v>3052152</v>
      </c>
      <c r="B18154" t="s">
        <v>55709</v>
      </c>
      <c r="C18154" t="str">
        <f>"8319507"</f>
        <v>8319507</v>
      </c>
      <c r="D18154" t="s">
        <v>55710</v>
      </c>
      <c r="F18154" t="s">
        <v>55711</v>
      </c>
      <c r="I18154" t="s">
        <v>471</v>
      </c>
      <c r="J18154" t="s">
        <v>30</v>
      </c>
      <c r="K18154" t="s">
        <v>55712</v>
      </c>
      <c r="M18154" t="s">
        <v>17861</v>
      </c>
      <c r="N18154" t="str">
        <f>"1/13/2023 11:17:00 AM"</f>
        <v>1/13/2023 11:17:00 AM</v>
      </c>
      <c r="O18154" t="s">
        <v>55710</v>
      </c>
    </row>
    <row r="18155" spans="1:20" x14ac:dyDescent="0.25">
      <c r="A18155" t="str">
        <f>"3050403"</f>
        <v>3050403</v>
      </c>
      <c r="B18155" t="s">
        <v>55713</v>
      </c>
      <c r="C18155" t="str">
        <f>"8319508"</f>
        <v>8319508</v>
      </c>
      <c r="D18155" t="s">
        <v>55714</v>
      </c>
      <c r="F18155" t="s">
        <v>55715</v>
      </c>
      <c r="I18155" t="s">
        <v>184</v>
      </c>
      <c r="J18155" t="s">
        <v>30</v>
      </c>
      <c r="K18155" t="str">
        <f>"27006"</f>
        <v>27006</v>
      </c>
      <c r="M18155" t="s">
        <v>17861</v>
      </c>
      <c r="N18155" t="str">
        <f>"1/13/2023 12:56:00 PM"</f>
        <v>1/13/2023 12:56:00 PM</v>
      </c>
      <c r="O18155" t="s">
        <v>55714</v>
      </c>
    </row>
    <row r="18156" spans="1:20" x14ac:dyDescent="0.25">
      <c r="A18156" t="str">
        <f>"3041449"</f>
        <v>3041449</v>
      </c>
      <c r="B18156" t="s">
        <v>55716</v>
      </c>
      <c r="C18156" t="str">
        <f>"82525880"</f>
        <v>82525880</v>
      </c>
      <c r="D18156" t="s">
        <v>55717</v>
      </c>
      <c r="F18156" t="s">
        <v>55718</v>
      </c>
      <c r="I18156" t="s">
        <v>2071</v>
      </c>
      <c r="J18156" t="s">
        <v>30</v>
      </c>
      <c r="K18156" t="s">
        <v>185</v>
      </c>
      <c r="M18156" t="s">
        <v>50793</v>
      </c>
      <c r="N18156" t="str">
        <f>"1/17/2023 11:21:00 AM"</f>
        <v>1/17/2023 11:21:00 AM</v>
      </c>
      <c r="O18156" t="s">
        <v>55717</v>
      </c>
    </row>
    <row r="18157" spans="1:20" x14ac:dyDescent="0.25">
      <c r="A18157" t="str">
        <f>"3071912"</f>
        <v>3071912</v>
      </c>
      <c r="B18157" t="s">
        <v>55719</v>
      </c>
      <c r="C18157" t="str">
        <f>"8319538"</f>
        <v>8319538</v>
      </c>
      <c r="D18157" t="s">
        <v>55720</v>
      </c>
      <c r="F18157" t="s">
        <v>54421</v>
      </c>
      <c r="I18157" t="s">
        <v>471</v>
      </c>
      <c r="J18157" t="s">
        <v>30</v>
      </c>
      <c r="K18157" t="s">
        <v>54422</v>
      </c>
      <c r="M18157" t="s">
        <v>17861</v>
      </c>
      <c r="N18157" t="str">
        <f>"1/20/2023 11:00:00 AM"</f>
        <v>1/20/2023 11:00:00 AM</v>
      </c>
      <c r="O18157" t="s">
        <v>55720</v>
      </c>
    </row>
    <row r="18158" spans="1:20" x14ac:dyDescent="0.25">
      <c r="A18158" t="str">
        <f>"3076512"</f>
        <v>3076512</v>
      </c>
      <c r="B18158" t="s">
        <v>55721</v>
      </c>
      <c r="C18158" t="str">
        <f>"8319538"</f>
        <v>8319538</v>
      </c>
      <c r="D18158" t="s">
        <v>55720</v>
      </c>
      <c r="F18158" t="s">
        <v>54421</v>
      </c>
      <c r="I18158" t="s">
        <v>471</v>
      </c>
      <c r="J18158" t="s">
        <v>30</v>
      </c>
      <c r="K18158" t="s">
        <v>54422</v>
      </c>
      <c r="M18158" t="s">
        <v>17861</v>
      </c>
      <c r="N18158" t="str">
        <f>"1/20/2023 11:00:00 AM"</f>
        <v>1/20/2023 11:00:00 AM</v>
      </c>
      <c r="O18158" t="s">
        <v>55720</v>
      </c>
    </row>
    <row r="18159" spans="1:20" x14ac:dyDescent="0.25">
      <c r="A18159" t="str">
        <f>"3048891"</f>
        <v>3048891</v>
      </c>
      <c r="B18159" t="s">
        <v>55722</v>
      </c>
      <c r="C18159" t="str">
        <f>"8319538"</f>
        <v>8319538</v>
      </c>
      <c r="D18159" t="s">
        <v>55720</v>
      </c>
      <c r="F18159" t="s">
        <v>54421</v>
      </c>
      <c r="I18159" t="s">
        <v>471</v>
      </c>
      <c r="J18159" t="s">
        <v>30</v>
      </c>
      <c r="K18159" t="s">
        <v>54422</v>
      </c>
      <c r="M18159" t="s">
        <v>17861</v>
      </c>
      <c r="N18159" t="str">
        <f>"1/20/2023 11:00:00 AM"</f>
        <v>1/20/2023 11:00:00 AM</v>
      </c>
      <c r="O18159" t="s">
        <v>55720</v>
      </c>
    </row>
    <row r="18160" spans="1:20" x14ac:dyDescent="0.25">
      <c r="A18160" t="str">
        <f>"3038232"</f>
        <v>3038232</v>
      </c>
      <c r="B18160" t="s">
        <v>55723</v>
      </c>
      <c r="C18160" t="str">
        <f>"8307236"</f>
        <v>8307236</v>
      </c>
      <c r="D18160" t="s">
        <v>55724</v>
      </c>
      <c r="E18160" t="s">
        <v>55725</v>
      </c>
      <c r="F18160" t="s">
        <v>55726</v>
      </c>
      <c r="I18160" t="s">
        <v>29</v>
      </c>
      <c r="J18160" t="s">
        <v>30</v>
      </c>
      <c r="K18160" t="s">
        <v>55727</v>
      </c>
      <c r="M18160" t="s">
        <v>18479</v>
      </c>
      <c r="N18160" t="str">
        <f>"1/18/2023 9:26:00 AM"</f>
        <v>1/18/2023 9:26:00 AM</v>
      </c>
      <c r="O18160" t="s">
        <v>55724</v>
      </c>
      <c r="T18160" t="s">
        <v>55725</v>
      </c>
    </row>
    <row r="18161" spans="1:20" x14ac:dyDescent="0.25">
      <c r="A18161" t="str">
        <f>"3060975"</f>
        <v>3060975</v>
      </c>
      <c r="B18161" t="s">
        <v>55728</v>
      </c>
      <c r="C18161" t="str">
        <f>"8310143"</f>
        <v>8310143</v>
      </c>
      <c r="D18161" t="s">
        <v>55729</v>
      </c>
      <c r="E18161" t="s">
        <v>55730</v>
      </c>
      <c r="F18161" t="s">
        <v>55731</v>
      </c>
      <c r="I18161" t="s">
        <v>55732</v>
      </c>
      <c r="J18161" t="s">
        <v>11697</v>
      </c>
      <c r="K18161" t="str">
        <f>"92054"</f>
        <v>92054</v>
      </c>
      <c r="M18161" t="s">
        <v>36935</v>
      </c>
      <c r="N18161" t="str">
        <f>"1/23/2023 12:18:00 PM"</f>
        <v>1/23/2023 12:18:00 PM</v>
      </c>
      <c r="O18161" t="s">
        <v>55729</v>
      </c>
      <c r="T18161" t="s">
        <v>55730</v>
      </c>
    </row>
    <row r="18162" spans="1:20" x14ac:dyDescent="0.25">
      <c r="A18162" t="str">
        <f>"3054426"</f>
        <v>3054426</v>
      </c>
      <c r="B18162" t="s">
        <v>55733</v>
      </c>
      <c r="C18162" t="str">
        <f>"41343000"</f>
        <v>41343000</v>
      </c>
      <c r="D18162" t="s">
        <v>42671</v>
      </c>
      <c r="E18162" t="s">
        <v>55734</v>
      </c>
      <c r="F18162" t="str">
        <f>"C/O MELANIE CLARK"</f>
        <v>C/O MELANIE CLARK</v>
      </c>
      <c r="G18162" t="s">
        <v>55735</v>
      </c>
      <c r="I18162" t="s">
        <v>29</v>
      </c>
      <c r="J18162" t="s">
        <v>30</v>
      </c>
      <c r="K18162" t="s">
        <v>55736</v>
      </c>
      <c r="M18162" t="s">
        <v>52111</v>
      </c>
      <c r="N18162" t="str">
        <f>"1/23/2023 12:29:00 PM"</f>
        <v>1/23/2023 12:29:00 PM</v>
      </c>
      <c r="O18162" t="s">
        <v>42671</v>
      </c>
      <c r="T18162" t="s">
        <v>55734</v>
      </c>
    </row>
    <row r="18163" spans="1:20" x14ac:dyDescent="0.25">
      <c r="A18163" t="str">
        <f>"3043018"</f>
        <v>3043018</v>
      </c>
      <c r="B18163" t="s">
        <v>55737</v>
      </c>
      <c r="C18163" t="str">
        <f>"8319541"</f>
        <v>8319541</v>
      </c>
      <c r="D18163" t="s">
        <v>55738</v>
      </c>
      <c r="E18163" t="s">
        <v>55739</v>
      </c>
      <c r="F18163" t="s">
        <v>55740</v>
      </c>
      <c r="I18163" t="s">
        <v>471</v>
      </c>
      <c r="J18163" t="s">
        <v>30</v>
      </c>
      <c r="K18163" t="s">
        <v>55741</v>
      </c>
      <c r="M18163" t="s">
        <v>17861</v>
      </c>
      <c r="N18163" t="str">
        <f>"1/23/2023 1:26:00 PM"</f>
        <v>1/23/2023 1:26:00 PM</v>
      </c>
      <c r="O18163" t="s">
        <v>55738</v>
      </c>
      <c r="T18163" t="s">
        <v>55739</v>
      </c>
    </row>
    <row r="18164" spans="1:20" x14ac:dyDescent="0.25">
      <c r="A18164" t="str">
        <f>"3075847"</f>
        <v>3075847</v>
      </c>
      <c r="B18164" t="s">
        <v>55742</v>
      </c>
      <c r="C18164" t="str">
        <f>"8319541"</f>
        <v>8319541</v>
      </c>
      <c r="D18164" t="s">
        <v>55738</v>
      </c>
      <c r="E18164" t="s">
        <v>55739</v>
      </c>
      <c r="F18164" t="s">
        <v>55740</v>
      </c>
      <c r="I18164" t="s">
        <v>471</v>
      </c>
      <c r="J18164" t="s">
        <v>30</v>
      </c>
      <c r="K18164" t="s">
        <v>55741</v>
      </c>
      <c r="M18164" t="s">
        <v>17861</v>
      </c>
      <c r="N18164" t="str">
        <f>"1/23/2023 1:26:00 PM"</f>
        <v>1/23/2023 1:26:00 PM</v>
      </c>
      <c r="O18164" t="s">
        <v>55738</v>
      </c>
      <c r="T18164" t="s">
        <v>55739</v>
      </c>
    </row>
    <row r="18165" spans="1:20" x14ac:dyDescent="0.25">
      <c r="A18165" t="str">
        <f>"3075107"</f>
        <v>3075107</v>
      </c>
      <c r="B18165" t="s">
        <v>55743</v>
      </c>
      <c r="C18165" t="str">
        <f>"8319541"</f>
        <v>8319541</v>
      </c>
      <c r="D18165" t="s">
        <v>55738</v>
      </c>
      <c r="E18165" t="s">
        <v>55739</v>
      </c>
      <c r="F18165" t="s">
        <v>55740</v>
      </c>
      <c r="I18165" t="s">
        <v>471</v>
      </c>
      <c r="J18165" t="s">
        <v>30</v>
      </c>
      <c r="K18165" t="s">
        <v>55741</v>
      </c>
      <c r="M18165" t="s">
        <v>17861</v>
      </c>
      <c r="N18165" t="str">
        <f>"1/23/2023 1:26:00 PM"</f>
        <v>1/23/2023 1:26:00 PM</v>
      </c>
      <c r="O18165" t="s">
        <v>55738</v>
      </c>
      <c r="T18165" t="s">
        <v>55739</v>
      </c>
    </row>
    <row r="18166" spans="1:20" x14ac:dyDescent="0.25">
      <c r="A18166" t="str">
        <f>"3041294"</f>
        <v>3041294</v>
      </c>
      <c r="B18166" t="s">
        <v>55744</v>
      </c>
      <c r="C18166" t="str">
        <f>"8319542"</f>
        <v>8319542</v>
      </c>
      <c r="D18166" t="s">
        <v>55745</v>
      </c>
      <c r="F18166" t="s">
        <v>55746</v>
      </c>
      <c r="I18166" t="s">
        <v>2071</v>
      </c>
      <c r="J18166" t="s">
        <v>30</v>
      </c>
      <c r="K18166" t="s">
        <v>2361</v>
      </c>
      <c r="M18166" t="s">
        <v>17861</v>
      </c>
      <c r="N18166" t="str">
        <f>"1/23/2023 1:30:00 PM"</f>
        <v>1/23/2023 1:30:00 PM</v>
      </c>
      <c r="O18166" t="s">
        <v>55745</v>
      </c>
    </row>
    <row r="18167" spans="1:20" x14ac:dyDescent="0.25">
      <c r="A18167" t="str">
        <f>"3038184"</f>
        <v>3038184</v>
      </c>
      <c r="B18167" t="s">
        <v>55747</v>
      </c>
      <c r="C18167" t="str">
        <f>"8307236"</f>
        <v>8307236</v>
      </c>
      <c r="D18167" t="s">
        <v>55724</v>
      </c>
      <c r="E18167" t="s">
        <v>55725</v>
      </c>
      <c r="F18167" t="s">
        <v>55726</v>
      </c>
      <c r="I18167" t="s">
        <v>29</v>
      </c>
      <c r="J18167" t="s">
        <v>30</v>
      </c>
      <c r="K18167" t="s">
        <v>55727</v>
      </c>
      <c r="M18167" t="s">
        <v>18479</v>
      </c>
      <c r="N18167" t="str">
        <f>"1/18/2023 9:26:00 AM"</f>
        <v>1/18/2023 9:26:00 AM</v>
      </c>
      <c r="O18167" t="s">
        <v>55724</v>
      </c>
      <c r="T18167" t="s">
        <v>55725</v>
      </c>
    </row>
    <row r="18168" spans="1:20" x14ac:dyDescent="0.25">
      <c r="A18168" t="str">
        <f>"3038387"</f>
        <v>3038387</v>
      </c>
      <c r="B18168" t="s">
        <v>55748</v>
      </c>
      <c r="C18168" t="str">
        <f>"8307236"</f>
        <v>8307236</v>
      </c>
      <c r="D18168" t="s">
        <v>55724</v>
      </c>
      <c r="E18168" t="s">
        <v>55725</v>
      </c>
      <c r="F18168" t="s">
        <v>55726</v>
      </c>
      <c r="I18168" t="s">
        <v>29</v>
      </c>
      <c r="J18168" t="s">
        <v>30</v>
      </c>
      <c r="K18168" t="s">
        <v>55727</v>
      </c>
      <c r="M18168" t="s">
        <v>18479</v>
      </c>
      <c r="N18168" t="str">
        <f>"1/18/2023 9:26:00 AM"</f>
        <v>1/18/2023 9:26:00 AM</v>
      </c>
      <c r="O18168" t="s">
        <v>55724</v>
      </c>
      <c r="T18168" t="s">
        <v>55725</v>
      </c>
    </row>
    <row r="18169" spans="1:20" x14ac:dyDescent="0.25">
      <c r="A18169" t="str">
        <f>"3043242"</f>
        <v>3043242</v>
      </c>
      <c r="B18169" t="s">
        <v>55749</v>
      </c>
      <c r="C18169" t="str">
        <f>"35668000"</f>
        <v>35668000</v>
      </c>
      <c r="D18169" t="s">
        <v>55750</v>
      </c>
      <c r="E18169" t="s">
        <v>55751</v>
      </c>
      <c r="F18169" t="s">
        <v>55752</v>
      </c>
      <c r="I18169" t="s">
        <v>29</v>
      </c>
      <c r="J18169" t="s">
        <v>30</v>
      </c>
      <c r="K18169" t="str">
        <f>"27028"</f>
        <v>27028</v>
      </c>
      <c r="M18169" t="s">
        <v>18470</v>
      </c>
      <c r="N18169" t="str">
        <f>"1/18/2023 12:37:00 PM"</f>
        <v>1/18/2023 12:37:00 PM</v>
      </c>
      <c r="O18169" t="s">
        <v>55750</v>
      </c>
      <c r="T18169" t="s">
        <v>55751</v>
      </c>
    </row>
    <row r="18170" spans="1:20" x14ac:dyDescent="0.25">
      <c r="A18170" t="str">
        <f>"3058499"</f>
        <v>3058499</v>
      </c>
      <c r="B18170" t="s">
        <v>55753</v>
      </c>
      <c r="C18170" t="str">
        <f>"8313781"</f>
        <v>8313781</v>
      </c>
      <c r="D18170" t="s">
        <v>55754</v>
      </c>
      <c r="E18170" t="str">
        <f>"WAGNER GINNA T/ENGLAND ELIZ W"</f>
        <v>WAGNER GINNA T/ENGLAND ELIZ W</v>
      </c>
      <c r="F18170" t="s">
        <v>55755</v>
      </c>
      <c r="I18170" t="s">
        <v>55756</v>
      </c>
      <c r="J18170" t="s">
        <v>3990</v>
      </c>
      <c r="K18170" t="str">
        <f>"80301"</f>
        <v>80301</v>
      </c>
      <c r="M18170" t="s">
        <v>55757</v>
      </c>
      <c r="N18170" t="str">
        <f>"1/24/2023 11:33:00 AM"</f>
        <v>1/24/2023 11:33:00 AM</v>
      </c>
      <c r="O18170" t="s">
        <v>55754</v>
      </c>
      <c r="T18170" t="str">
        <f>"WAGNER GINNA T/ENGLAND ELIZ W"</f>
        <v>WAGNER GINNA T/ENGLAND ELIZ W</v>
      </c>
    </row>
    <row r="18171" spans="1:20" x14ac:dyDescent="0.25">
      <c r="A18171" t="str">
        <f>"3051611"</f>
        <v>3051611</v>
      </c>
      <c r="B18171" t="s">
        <v>55758</v>
      </c>
      <c r="C18171" t="str">
        <f>"8319545"</f>
        <v>8319545</v>
      </c>
      <c r="D18171" t="s">
        <v>55759</v>
      </c>
      <c r="E18171" t="s">
        <v>55760</v>
      </c>
      <c r="F18171" t="s">
        <v>55761</v>
      </c>
      <c r="I18171" t="s">
        <v>29</v>
      </c>
      <c r="J18171" t="s">
        <v>30</v>
      </c>
      <c r="K18171" t="s">
        <v>38481</v>
      </c>
      <c r="M18171" t="s">
        <v>17861</v>
      </c>
      <c r="N18171" t="str">
        <f>"1/24/2023 2:07:00 PM"</f>
        <v>1/24/2023 2:07:00 PM</v>
      </c>
      <c r="O18171" t="s">
        <v>55759</v>
      </c>
      <c r="T18171" t="s">
        <v>55760</v>
      </c>
    </row>
    <row r="18172" spans="1:20" x14ac:dyDescent="0.25">
      <c r="A18172" t="str">
        <f>"3042938"</f>
        <v>3042938</v>
      </c>
      <c r="B18172" t="s">
        <v>55762</v>
      </c>
      <c r="C18172" t="str">
        <f>"8319546"</f>
        <v>8319546</v>
      </c>
      <c r="D18172" t="s">
        <v>55763</v>
      </c>
      <c r="F18172" t="s">
        <v>55764</v>
      </c>
      <c r="I18172" t="s">
        <v>29</v>
      </c>
      <c r="J18172" t="s">
        <v>30</v>
      </c>
      <c r="K18172" t="s">
        <v>32938</v>
      </c>
      <c r="M18172" t="s">
        <v>17861</v>
      </c>
      <c r="N18172" t="str">
        <f>"1/24/2023 2:16:00 PM"</f>
        <v>1/24/2023 2:16:00 PM</v>
      </c>
      <c r="O18172" t="s">
        <v>55763</v>
      </c>
    </row>
    <row r="18173" spans="1:20" x14ac:dyDescent="0.25">
      <c r="A18173" t="str">
        <f>"3040309"</f>
        <v>3040309</v>
      </c>
      <c r="B18173" t="s">
        <v>55765</v>
      </c>
      <c r="C18173" t="str">
        <f>"8319548"</f>
        <v>8319548</v>
      </c>
      <c r="D18173" t="s">
        <v>2974</v>
      </c>
      <c r="E18173" t="s">
        <v>55766</v>
      </c>
      <c r="F18173" t="s">
        <v>55767</v>
      </c>
      <c r="I18173" t="s">
        <v>184</v>
      </c>
      <c r="J18173" t="s">
        <v>30</v>
      </c>
      <c r="K18173" t="s">
        <v>2977</v>
      </c>
      <c r="M18173" t="s">
        <v>17861</v>
      </c>
      <c r="N18173" t="str">
        <f>"1/24/2023 3:20:00 PM"</f>
        <v>1/24/2023 3:20:00 PM</v>
      </c>
      <c r="O18173" t="s">
        <v>2974</v>
      </c>
      <c r="T18173" t="s">
        <v>55766</v>
      </c>
    </row>
    <row r="18174" spans="1:20" x14ac:dyDescent="0.25">
      <c r="A18174" t="str">
        <f>"3040976"</f>
        <v>3040976</v>
      </c>
      <c r="B18174" t="s">
        <v>55768</v>
      </c>
      <c r="C18174" t="str">
        <f>"8319548"</f>
        <v>8319548</v>
      </c>
      <c r="D18174" t="s">
        <v>2974</v>
      </c>
      <c r="E18174" t="s">
        <v>55766</v>
      </c>
      <c r="F18174" t="s">
        <v>55767</v>
      </c>
      <c r="I18174" t="s">
        <v>184</v>
      </c>
      <c r="J18174" t="s">
        <v>30</v>
      </c>
      <c r="K18174" t="s">
        <v>2977</v>
      </c>
      <c r="M18174" t="s">
        <v>17861</v>
      </c>
      <c r="N18174" t="str">
        <f>"1/24/2023 3:20:00 PM"</f>
        <v>1/24/2023 3:20:00 PM</v>
      </c>
      <c r="O18174" t="s">
        <v>2974</v>
      </c>
      <c r="T18174" t="s">
        <v>55766</v>
      </c>
    </row>
    <row r="18175" spans="1:20" x14ac:dyDescent="0.25">
      <c r="A18175" t="str">
        <f>"3076919"</f>
        <v>3076919</v>
      </c>
      <c r="B18175" t="s">
        <v>55769</v>
      </c>
      <c r="C18175" t="str">
        <f>"8319548"</f>
        <v>8319548</v>
      </c>
      <c r="D18175" t="s">
        <v>2974</v>
      </c>
      <c r="E18175" t="s">
        <v>55766</v>
      </c>
      <c r="F18175" t="s">
        <v>55767</v>
      </c>
      <c r="I18175" t="s">
        <v>184</v>
      </c>
      <c r="J18175" t="s">
        <v>30</v>
      </c>
      <c r="K18175" t="s">
        <v>2977</v>
      </c>
      <c r="M18175" t="s">
        <v>17861</v>
      </c>
      <c r="N18175" t="str">
        <f>"1/24/2023 3:20:00 PM"</f>
        <v>1/24/2023 3:20:00 PM</v>
      </c>
      <c r="O18175" t="s">
        <v>2974</v>
      </c>
      <c r="T18175" t="s">
        <v>55766</v>
      </c>
    </row>
    <row r="18176" spans="1:20" x14ac:dyDescent="0.25">
      <c r="A18176" t="str">
        <f>"3076917"</f>
        <v>3076917</v>
      </c>
      <c r="B18176" t="s">
        <v>55770</v>
      </c>
      <c r="C18176" t="str">
        <f>"8319548"</f>
        <v>8319548</v>
      </c>
      <c r="D18176" t="s">
        <v>2974</v>
      </c>
      <c r="E18176" t="s">
        <v>55766</v>
      </c>
      <c r="F18176" t="s">
        <v>55767</v>
      </c>
      <c r="I18176" t="s">
        <v>184</v>
      </c>
      <c r="J18176" t="s">
        <v>30</v>
      </c>
      <c r="K18176" t="s">
        <v>2977</v>
      </c>
      <c r="M18176" t="s">
        <v>17861</v>
      </c>
      <c r="N18176" t="str">
        <f>"1/24/2023 3:20:00 PM"</f>
        <v>1/24/2023 3:20:00 PM</v>
      </c>
      <c r="O18176" t="s">
        <v>2974</v>
      </c>
      <c r="T18176" t="s">
        <v>55766</v>
      </c>
    </row>
    <row r="18177" spans="1:20" x14ac:dyDescent="0.25">
      <c r="A18177" t="str">
        <f>"3050308"</f>
        <v>3050308</v>
      </c>
      <c r="B18177" t="s">
        <v>55771</v>
      </c>
      <c r="C18177" t="str">
        <f>"8319549"</f>
        <v>8319549</v>
      </c>
      <c r="D18177" t="s">
        <v>55772</v>
      </c>
      <c r="F18177" t="s">
        <v>55773</v>
      </c>
      <c r="I18177" t="s">
        <v>29</v>
      </c>
      <c r="J18177" t="s">
        <v>30</v>
      </c>
      <c r="K18177" t="s">
        <v>25014</v>
      </c>
      <c r="M18177" t="s">
        <v>17861</v>
      </c>
      <c r="N18177" t="str">
        <f>"1/25/2023 9:18:00 AM"</f>
        <v>1/25/2023 9:18:00 AM</v>
      </c>
      <c r="O18177" t="s">
        <v>55772</v>
      </c>
    </row>
    <row r="18178" spans="1:20" x14ac:dyDescent="0.25">
      <c r="A18178" t="str">
        <f>"3045113"</f>
        <v>3045113</v>
      </c>
      <c r="B18178" t="s">
        <v>55774</v>
      </c>
      <c r="C18178" t="str">
        <f>"8313616"</f>
        <v>8313616</v>
      </c>
      <c r="D18178" t="s">
        <v>55775</v>
      </c>
      <c r="E18178" t="s">
        <v>55776</v>
      </c>
      <c r="F18178" t="s">
        <v>55777</v>
      </c>
      <c r="I18178" t="s">
        <v>29</v>
      </c>
      <c r="J18178" t="s">
        <v>30</v>
      </c>
      <c r="K18178" t="s">
        <v>28832</v>
      </c>
      <c r="M18178" t="s">
        <v>50621</v>
      </c>
      <c r="N18178" t="str">
        <f>"1/25/2023 10:03:00 AM"</f>
        <v>1/25/2023 10:03:00 AM</v>
      </c>
      <c r="O18178" t="s">
        <v>55775</v>
      </c>
      <c r="T18178" t="s">
        <v>55776</v>
      </c>
    </row>
    <row r="18179" spans="1:20" x14ac:dyDescent="0.25">
      <c r="A18179" t="str">
        <f>"3043243"</f>
        <v>3043243</v>
      </c>
      <c r="B18179" t="s">
        <v>55778</v>
      </c>
      <c r="C18179" t="str">
        <f>"35668000"</f>
        <v>35668000</v>
      </c>
      <c r="D18179" t="s">
        <v>55750</v>
      </c>
      <c r="E18179" t="s">
        <v>55751</v>
      </c>
      <c r="F18179" t="s">
        <v>55752</v>
      </c>
      <c r="I18179" t="s">
        <v>29</v>
      </c>
      <c r="J18179" t="s">
        <v>30</v>
      </c>
      <c r="K18179" t="str">
        <f>"27028"</f>
        <v>27028</v>
      </c>
      <c r="M18179" t="s">
        <v>18470</v>
      </c>
      <c r="N18179" t="str">
        <f>"1/18/2023 12:37:00 PM"</f>
        <v>1/18/2023 12:37:00 PM</v>
      </c>
      <c r="O18179" t="s">
        <v>55750</v>
      </c>
      <c r="T18179" t="s">
        <v>55751</v>
      </c>
    </row>
    <row r="18180" spans="1:20" x14ac:dyDescent="0.25">
      <c r="A18180" t="str">
        <f>"3046281"</f>
        <v>3046281</v>
      </c>
      <c r="B18180" t="s">
        <v>55779</v>
      </c>
      <c r="C18180" t="str">
        <f>"8319477"</f>
        <v>8319477</v>
      </c>
      <c r="D18180" t="s">
        <v>55780</v>
      </c>
      <c r="F18180" t="s">
        <v>55781</v>
      </c>
      <c r="I18180" t="s">
        <v>29</v>
      </c>
      <c r="J18180" t="s">
        <v>30</v>
      </c>
      <c r="K18180" t="s">
        <v>55782</v>
      </c>
      <c r="M18180" t="s">
        <v>17861</v>
      </c>
      <c r="N18180" t="str">
        <f>"1/10/2023 8:53:00 AM"</f>
        <v>1/10/2023 8:53:00 AM</v>
      </c>
      <c r="O18180" t="s">
        <v>55780</v>
      </c>
    </row>
    <row r="18181" spans="1:20" x14ac:dyDescent="0.25">
      <c r="A18181" t="str">
        <f>"3063901"</f>
        <v>3063901</v>
      </c>
      <c r="B18181" t="s">
        <v>55783</v>
      </c>
      <c r="C18181" t="str">
        <f>"60060000"</f>
        <v>60060000</v>
      </c>
      <c r="D18181" t="s">
        <v>55784</v>
      </c>
      <c r="F18181" t="str">
        <f>"C/O ODELL L RHYNEHARDT"</f>
        <v>C/O ODELL L RHYNEHARDT</v>
      </c>
      <c r="G18181" t="s">
        <v>55785</v>
      </c>
      <c r="I18181" t="s">
        <v>184</v>
      </c>
      <c r="J18181" t="s">
        <v>30</v>
      </c>
      <c r="K18181" t="s">
        <v>185</v>
      </c>
      <c r="M18181" t="s">
        <v>50793</v>
      </c>
      <c r="N18181" t="str">
        <f>"1/25/2023 10:18:00 AM"</f>
        <v>1/25/2023 10:18:00 AM</v>
      </c>
      <c r="O18181" t="s">
        <v>55784</v>
      </c>
    </row>
    <row r="18182" spans="1:20" x14ac:dyDescent="0.25">
      <c r="A18182" t="str">
        <f>"3062234"</f>
        <v>3062234</v>
      </c>
      <c r="B18182" t="s">
        <v>55786</v>
      </c>
      <c r="C18182" t="str">
        <f>"8319552"</f>
        <v>8319552</v>
      </c>
      <c r="D18182" t="s">
        <v>55787</v>
      </c>
      <c r="F18182" t="s">
        <v>55788</v>
      </c>
      <c r="I18182" t="s">
        <v>29</v>
      </c>
      <c r="J18182" t="s">
        <v>30</v>
      </c>
      <c r="K18182" t="s">
        <v>55789</v>
      </c>
      <c r="M18182" t="s">
        <v>17861</v>
      </c>
      <c r="N18182" t="str">
        <f>"1/25/2023 12:46:00 PM"</f>
        <v>1/25/2023 12:46:00 PM</v>
      </c>
      <c r="O18182" t="s">
        <v>55787</v>
      </c>
    </row>
    <row r="18183" spans="1:20" x14ac:dyDescent="0.25">
      <c r="A18183" t="str">
        <f>"3046001"</f>
        <v>3046001</v>
      </c>
      <c r="B18183" t="s">
        <v>55790</v>
      </c>
      <c r="C18183" t="str">
        <f>"8319552"</f>
        <v>8319552</v>
      </c>
      <c r="D18183" t="s">
        <v>55787</v>
      </c>
      <c r="F18183" t="s">
        <v>55788</v>
      </c>
      <c r="I18183" t="s">
        <v>29</v>
      </c>
      <c r="J18183" t="s">
        <v>30</v>
      </c>
      <c r="K18183" t="s">
        <v>55789</v>
      </c>
      <c r="M18183" t="s">
        <v>17861</v>
      </c>
      <c r="N18183" t="str">
        <f>"1/25/2023 12:46:00 PM"</f>
        <v>1/25/2023 12:46:00 PM</v>
      </c>
      <c r="O18183" t="s">
        <v>55787</v>
      </c>
    </row>
    <row r="18184" spans="1:20" x14ac:dyDescent="0.25">
      <c r="A18184" t="str">
        <f>"3056115"</f>
        <v>3056115</v>
      </c>
      <c r="B18184" t="s">
        <v>55791</v>
      </c>
      <c r="C18184" t="str">
        <f>"8319553"</f>
        <v>8319553</v>
      </c>
      <c r="D18184" t="s">
        <v>55792</v>
      </c>
      <c r="E18184" t="s">
        <v>55793</v>
      </c>
      <c r="F18184" t="s">
        <v>55794</v>
      </c>
      <c r="I18184" t="s">
        <v>9580</v>
      </c>
      <c r="J18184" t="s">
        <v>30</v>
      </c>
      <c r="K18184" t="s">
        <v>15930</v>
      </c>
      <c r="M18184" t="s">
        <v>17861</v>
      </c>
      <c r="N18184" t="str">
        <f>"1/25/2023 12:48:00 PM"</f>
        <v>1/25/2023 12:48:00 PM</v>
      </c>
      <c r="O18184" t="s">
        <v>55792</v>
      </c>
      <c r="T18184" t="s">
        <v>55793</v>
      </c>
    </row>
    <row r="18185" spans="1:20" x14ac:dyDescent="0.25">
      <c r="A18185" t="str">
        <f>"3057122"</f>
        <v>3057122</v>
      </c>
      <c r="B18185" t="s">
        <v>55795</v>
      </c>
      <c r="C18185" t="str">
        <f>"8319554"</f>
        <v>8319554</v>
      </c>
      <c r="D18185" t="s">
        <v>55796</v>
      </c>
      <c r="F18185" t="s">
        <v>55797</v>
      </c>
      <c r="I18185" t="s">
        <v>471</v>
      </c>
      <c r="J18185" t="s">
        <v>30</v>
      </c>
      <c r="K18185" t="s">
        <v>55798</v>
      </c>
      <c r="M18185" t="s">
        <v>17861</v>
      </c>
      <c r="N18185" t="str">
        <f>"1/25/2023 1:39:00 PM"</f>
        <v>1/25/2023 1:39:00 PM</v>
      </c>
      <c r="O18185" t="s">
        <v>55796</v>
      </c>
    </row>
    <row r="18186" spans="1:20" x14ac:dyDescent="0.25">
      <c r="A18186" t="str">
        <f>"3055363"</f>
        <v>3055363</v>
      </c>
      <c r="B18186" t="s">
        <v>55799</v>
      </c>
      <c r="C18186" t="str">
        <f>"8319557"</f>
        <v>8319557</v>
      </c>
      <c r="D18186" t="s">
        <v>55800</v>
      </c>
      <c r="F18186" t="s">
        <v>55801</v>
      </c>
      <c r="I18186" t="s">
        <v>29</v>
      </c>
      <c r="J18186" t="s">
        <v>30</v>
      </c>
      <c r="K18186" t="s">
        <v>36846</v>
      </c>
      <c r="M18186" t="s">
        <v>17861</v>
      </c>
      <c r="N18186" t="str">
        <f>"1/26/2023 9:01:00 AM"</f>
        <v>1/26/2023 9:01:00 AM</v>
      </c>
      <c r="O18186" t="s">
        <v>55800</v>
      </c>
    </row>
    <row r="18187" spans="1:20" x14ac:dyDescent="0.25">
      <c r="A18187" t="str">
        <f>"3101983"</f>
        <v>3101983</v>
      </c>
      <c r="B18187" t="s">
        <v>55802</v>
      </c>
      <c r="C18187" t="str">
        <f>"8319557"</f>
        <v>8319557</v>
      </c>
      <c r="D18187" t="s">
        <v>55800</v>
      </c>
      <c r="F18187" t="s">
        <v>55801</v>
      </c>
      <c r="I18187" t="s">
        <v>29</v>
      </c>
      <c r="J18187" t="s">
        <v>30</v>
      </c>
      <c r="K18187" t="s">
        <v>36846</v>
      </c>
      <c r="M18187" t="s">
        <v>17861</v>
      </c>
      <c r="N18187" t="str">
        <f>"1/26/2023 9:01:00 AM"</f>
        <v>1/26/2023 9:01:00 AM</v>
      </c>
      <c r="O18187" t="s">
        <v>55800</v>
      </c>
    </row>
    <row r="18188" spans="1:20" x14ac:dyDescent="0.25">
      <c r="A18188" t="str">
        <f>"3048662"</f>
        <v>3048662</v>
      </c>
      <c r="B18188" t="s">
        <v>55803</v>
      </c>
      <c r="C18188" t="str">
        <f>"8319558"</f>
        <v>8319558</v>
      </c>
      <c r="D18188" t="s">
        <v>55804</v>
      </c>
      <c r="F18188" t="s">
        <v>55805</v>
      </c>
      <c r="I18188" t="s">
        <v>29</v>
      </c>
      <c r="J18188" t="s">
        <v>30</v>
      </c>
      <c r="K18188" t="s">
        <v>55806</v>
      </c>
      <c r="M18188" t="s">
        <v>17861</v>
      </c>
      <c r="N18188" t="str">
        <f>"1/26/2023 9:48:00 AM"</f>
        <v>1/26/2023 9:48:00 AM</v>
      </c>
      <c r="O18188" t="s">
        <v>55804</v>
      </c>
    </row>
    <row r="18189" spans="1:20" x14ac:dyDescent="0.25">
      <c r="A18189" t="str">
        <f>"3045595"</f>
        <v>3045595</v>
      </c>
      <c r="B18189" t="s">
        <v>55807</v>
      </c>
      <c r="C18189" t="str">
        <f>"8319559"</f>
        <v>8319559</v>
      </c>
      <c r="D18189" t="s">
        <v>55808</v>
      </c>
      <c r="F18189" t="s">
        <v>55809</v>
      </c>
      <c r="I18189" t="s">
        <v>29</v>
      </c>
      <c r="J18189" t="s">
        <v>30</v>
      </c>
      <c r="K18189" t="s">
        <v>55810</v>
      </c>
      <c r="M18189" t="s">
        <v>17861</v>
      </c>
      <c r="N18189" t="str">
        <f>"1/26/2023 10:44:00 AM"</f>
        <v>1/26/2023 10:44:00 AM</v>
      </c>
      <c r="O18189" t="s">
        <v>55808</v>
      </c>
    </row>
    <row r="18190" spans="1:20" x14ac:dyDescent="0.25">
      <c r="A18190" t="str">
        <f>"3038268"</f>
        <v>3038268</v>
      </c>
      <c r="B18190" t="s">
        <v>55811</v>
      </c>
      <c r="C18190" t="str">
        <f>"8319478"</f>
        <v>8319478</v>
      </c>
      <c r="D18190" t="s">
        <v>55812</v>
      </c>
      <c r="E18190" t="s">
        <v>22843</v>
      </c>
      <c r="F18190" t="s">
        <v>55813</v>
      </c>
      <c r="I18190" t="s">
        <v>29</v>
      </c>
      <c r="J18190" t="s">
        <v>30</v>
      </c>
      <c r="K18190" t="s">
        <v>1189</v>
      </c>
      <c r="M18190" t="s">
        <v>17861</v>
      </c>
      <c r="N18190" t="str">
        <f>"1/10/2023 9:02:00 AM"</f>
        <v>1/10/2023 9:02:00 AM</v>
      </c>
      <c r="O18190" t="s">
        <v>55812</v>
      </c>
      <c r="T18190" t="s">
        <v>22843</v>
      </c>
    </row>
    <row r="18191" spans="1:20" x14ac:dyDescent="0.25">
      <c r="A18191" t="str">
        <f>"3054465"</f>
        <v>3054465</v>
      </c>
      <c r="B18191" t="s">
        <v>55814</v>
      </c>
      <c r="C18191" t="str">
        <f>"8319481"</f>
        <v>8319481</v>
      </c>
      <c r="D18191" t="s">
        <v>55815</v>
      </c>
      <c r="E18191" t="s">
        <v>55816</v>
      </c>
      <c r="F18191" t="s">
        <v>55817</v>
      </c>
      <c r="I18191" t="s">
        <v>29</v>
      </c>
      <c r="J18191" t="s">
        <v>30</v>
      </c>
      <c r="K18191" t="s">
        <v>26329</v>
      </c>
      <c r="M18191" t="s">
        <v>17861</v>
      </c>
      <c r="N18191" t="str">
        <f>"1/10/2023 9:33:00 AM"</f>
        <v>1/10/2023 9:33:00 AM</v>
      </c>
      <c r="O18191" t="s">
        <v>55815</v>
      </c>
      <c r="T18191" t="s">
        <v>55816</v>
      </c>
    </row>
    <row r="18192" spans="1:20" x14ac:dyDescent="0.25">
      <c r="A18192" t="str">
        <f>"3049206"</f>
        <v>3049206</v>
      </c>
      <c r="B18192" t="s">
        <v>55818</v>
      </c>
      <c r="C18192" t="str">
        <f>"8319565"</f>
        <v>8319565</v>
      </c>
      <c r="D18192" t="s">
        <v>13196</v>
      </c>
      <c r="E18192" t="s">
        <v>33991</v>
      </c>
      <c r="F18192" t="s">
        <v>39262</v>
      </c>
      <c r="I18192" t="s">
        <v>29</v>
      </c>
      <c r="J18192" t="s">
        <v>30</v>
      </c>
      <c r="K18192" t="s">
        <v>39263</v>
      </c>
      <c r="M18192" t="s">
        <v>17861</v>
      </c>
      <c r="N18192" t="str">
        <f>"1/27/2023 9:37:00 AM"</f>
        <v>1/27/2023 9:37:00 AM</v>
      </c>
      <c r="O18192" t="s">
        <v>13196</v>
      </c>
      <c r="T18192" t="s">
        <v>33991</v>
      </c>
    </row>
    <row r="18193" spans="1:20" x14ac:dyDescent="0.25">
      <c r="A18193" t="str">
        <f>"3052278"</f>
        <v>3052278</v>
      </c>
      <c r="B18193" t="s">
        <v>55819</v>
      </c>
      <c r="C18193" t="str">
        <f>"8319565"</f>
        <v>8319565</v>
      </c>
      <c r="D18193" t="s">
        <v>13196</v>
      </c>
      <c r="E18193" t="s">
        <v>33991</v>
      </c>
      <c r="F18193" t="s">
        <v>39262</v>
      </c>
      <c r="I18193" t="s">
        <v>29</v>
      </c>
      <c r="J18193" t="s">
        <v>30</v>
      </c>
      <c r="K18193" t="s">
        <v>39263</v>
      </c>
      <c r="M18193" t="s">
        <v>17861</v>
      </c>
      <c r="N18193" t="str">
        <f>"1/27/2023 9:37:00 AM"</f>
        <v>1/27/2023 9:37:00 AM</v>
      </c>
      <c r="O18193" t="s">
        <v>13196</v>
      </c>
      <c r="T18193" t="s">
        <v>33991</v>
      </c>
    </row>
    <row r="18194" spans="1:20" x14ac:dyDescent="0.25">
      <c r="A18194" t="str">
        <f>"3078200"</f>
        <v>3078200</v>
      </c>
      <c r="B18194" t="s">
        <v>55820</v>
      </c>
      <c r="C18194" t="str">
        <f>"8319566"</f>
        <v>8319566</v>
      </c>
      <c r="D18194" t="s">
        <v>55821</v>
      </c>
      <c r="E18194" t="s">
        <v>55822</v>
      </c>
      <c r="F18194" t="s">
        <v>55823</v>
      </c>
      <c r="I18194" t="s">
        <v>184</v>
      </c>
      <c r="J18194" t="s">
        <v>30</v>
      </c>
      <c r="K18194" t="s">
        <v>10665</v>
      </c>
      <c r="M18194" t="s">
        <v>17861</v>
      </c>
      <c r="N18194" t="str">
        <f>"1/27/2023 9:48:00 AM"</f>
        <v>1/27/2023 9:48:00 AM</v>
      </c>
      <c r="O18194" t="s">
        <v>55821</v>
      </c>
      <c r="T18194" t="s">
        <v>55822</v>
      </c>
    </row>
    <row r="18195" spans="1:20" x14ac:dyDescent="0.25">
      <c r="A18195" t="str">
        <f>"3061659"</f>
        <v>3061659</v>
      </c>
      <c r="B18195" t="s">
        <v>55824</v>
      </c>
      <c r="C18195" t="str">
        <f>"8319567"</f>
        <v>8319567</v>
      </c>
      <c r="D18195" t="s">
        <v>55825</v>
      </c>
      <c r="E18195" t="s">
        <v>55826</v>
      </c>
      <c r="F18195" t="s">
        <v>55827</v>
      </c>
      <c r="I18195" t="s">
        <v>184</v>
      </c>
      <c r="J18195" t="s">
        <v>30</v>
      </c>
      <c r="K18195" t="s">
        <v>49343</v>
      </c>
      <c r="M18195" t="s">
        <v>17861</v>
      </c>
      <c r="N18195" t="str">
        <f>"1/27/2023 9:57:00 AM"</f>
        <v>1/27/2023 9:57:00 AM</v>
      </c>
      <c r="O18195" t="s">
        <v>55825</v>
      </c>
      <c r="T18195" t="s">
        <v>55826</v>
      </c>
    </row>
    <row r="18196" spans="1:20" x14ac:dyDescent="0.25">
      <c r="A18196" t="str">
        <f>"3060990"</f>
        <v>3060990</v>
      </c>
      <c r="B18196" t="s">
        <v>55828</v>
      </c>
      <c r="C18196" t="str">
        <f>"8319569"</f>
        <v>8319569</v>
      </c>
      <c r="D18196" t="s">
        <v>55829</v>
      </c>
      <c r="E18196" t="s">
        <v>55830</v>
      </c>
      <c r="F18196" t="s">
        <v>55831</v>
      </c>
      <c r="I18196" t="s">
        <v>2275</v>
      </c>
      <c r="J18196" t="s">
        <v>30</v>
      </c>
      <c r="K18196" t="s">
        <v>55832</v>
      </c>
      <c r="M18196" t="s">
        <v>17861</v>
      </c>
      <c r="N18196" t="str">
        <f>"1/27/2023 1:25:00 PM"</f>
        <v>1/27/2023 1:25:00 PM</v>
      </c>
      <c r="O18196" t="s">
        <v>55829</v>
      </c>
      <c r="T18196" t="s">
        <v>55830</v>
      </c>
    </row>
    <row r="18197" spans="1:20" x14ac:dyDescent="0.25">
      <c r="A18197" t="str">
        <f>"3046158"</f>
        <v>3046158</v>
      </c>
      <c r="B18197" t="s">
        <v>55833</v>
      </c>
      <c r="C18197" t="str">
        <f>"8319570"</f>
        <v>8319570</v>
      </c>
      <c r="D18197" t="s">
        <v>55834</v>
      </c>
      <c r="F18197" t="s">
        <v>55835</v>
      </c>
      <c r="I18197" t="s">
        <v>29</v>
      </c>
      <c r="J18197" t="s">
        <v>30</v>
      </c>
      <c r="K18197" t="s">
        <v>8224</v>
      </c>
      <c r="M18197" t="s">
        <v>17861</v>
      </c>
      <c r="N18197" t="str">
        <f>"1/27/2023 2:36:00 PM"</f>
        <v>1/27/2023 2:36:00 PM</v>
      </c>
      <c r="O18197" t="s">
        <v>55834</v>
      </c>
    </row>
    <row r="18198" spans="1:20" x14ac:dyDescent="0.25">
      <c r="A18198" t="str">
        <f>"3058487"</f>
        <v>3058487</v>
      </c>
      <c r="B18198" t="s">
        <v>55836</v>
      </c>
      <c r="C18198" t="str">
        <f>"8319571"</f>
        <v>8319571</v>
      </c>
      <c r="D18198" t="s">
        <v>55837</v>
      </c>
      <c r="F18198" t="s">
        <v>55838</v>
      </c>
      <c r="I18198" t="s">
        <v>29</v>
      </c>
      <c r="J18198" t="s">
        <v>30</v>
      </c>
      <c r="K18198" t="s">
        <v>39454</v>
      </c>
      <c r="M18198" t="s">
        <v>17861</v>
      </c>
      <c r="N18198" t="str">
        <f>"1/27/2023 2:41:00 PM"</f>
        <v>1/27/2023 2:41:00 PM</v>
      </c>
      <c r="O18198" t="s">
        <v>55837</v>
      </c>
    </row>
    <row r="18199" spans="1:20" x14ac:dyDescent="0.25">
      <c r="A18199" t="str">
        <f>"3078180"</f>
        <v>3078180</v>
      </c>
      <c r="B18199" t="s">
        <v>55839</v>
      </c>
      <c r="C18199" t="str">
        <f t="shared" ref="C18199:C18207" si="273">"82530360"</f>
        <v>82530360</v>
      </c>
      <c r="D18199" t="s">
        <v>50358</v>
      </c>
      <c r="E18199" t="s">
        <v>50359</v>
      </c>
      <c r="F18199" t="s">
        <v>50360</v>
      </c>
      <c r="I18199" t="s">
        <v>29</v>
      </c>
      <c r="J18199" t="s">
        <v>30</v>
      </c>
      <c r="K18199" t="s">
        <v>50361</v>
      </c>
      <c r="M18199" t="s">
        <v>17861</v>
      </c>
      <c r="N18199" t="str">
        <f t="shared" ref="N18199:N18207" si="274">"1/27/2023 3:17:00 PM"</f>
        <v>1/27/2023 3:17:00 PM</v>
      </c>
      <c r="O18199" t="s">
        <v>50358</v>
      </c>
      <c r="T18199" t="s">
        <v>50359</v>
      </c>
    </row>
    <row r="18200" spans="1:20" x14ac:dyDescent="0.25">
      <c r="A18200" t="str">
        <f>"3047053"</f>
        <v>3047053</v>
      </c>
      <c r="B18200" t="s">
        <v>55840</v>
      </c>
      <c r="C18200" t="str">
        <f t="shared" si="273"/>
        <v>82530360</v>
      </c>
      <c r="D18200" t="s">
        <v>50358</v>
      </c>
      <c r="E18200" t="s">
        <v>50359</v>
      </c>
      <c r="F18200" t="s">
        <v>50360</v>
      </c>
      <c r="I18200" t="s">
        <v>29</v>
      </c>
      <c r="J18200" t="s">
        <v>30</v>
      </c>
      <c r="K18200" t="s">
        <v>50361</v>
      </c>
      <c r="M18200" t="s">
        <v>17861</v>
      </c>
      <c r="N18200" t="str">
        <f t="shared" si="274"/>
        <v>1/27/2023 3:17:00 PM</v>
      </c>
      <c r="O18200" t="s">
        <v>50358</v>
      </c>
      <c r="T18200" t="s">
        <v>50359</v>
      </c>
    </row>
    <row r="18201" spans="1:20" x14ac:dyDescent="0.25">
      <c r="A18201" t="str">
        <f>"3047038"</f>
        <v>3047038</v>
      </c>
      <c r="B18201" t="s">
        <v>55841</v>
      </c>
      <c r="C18201" t="str">
        <f t="shared" si="273"/>
        <v>82530360</v>
      </c>
      <c r="D18201" t="s">
        <v>50358</v>
      </c>
      <c r="E18201" t="s">
        <v>50359</v>
      </c>
      <c r="F18201" t="s">
        <v>50360</v>
      </c>
      <c r="I18201" t="s">
        <v>29</v>
      </c>
      <c r="J18201" t="s">
        <v>30</v>
      </c>
      <c r="K18201" t="s">
        <v>50361</v>
      </c>
      <c r="M18201" t="s">
        <v>17861</v>
      </c>
      <c r="N18201" t="str">
        <f t="shared" si="274"/>
        <v>1/27/2023 3:17:00 PM</v>
      </c>
      <c r="O18201" t="s">
        <v>50358</v>
      </c>
      <c r="T18201" t="s">
        <v>50359</v>
      </c>
    </row>
    <row r="18202" spans="1:20" x14ac:dyDescent="0.25">
      <c r="A18202" t="str">
        <f>"3047110"</f>
        <v>3047110</v>
      </c>
      <c r="B18202" t="s">
        <v>55842</v>
      </c>
      <c r="C18202" t="str">
        <f t="shared" si="273"/>
        <v>82530360</v>
      </c>
      <c r="D18202" t="s">
        <v>50358</v>
      </c>
      <c r="E18202" t="s">
        <v>50359</v>
      </c>
      <c r="F18202" t="s">
        <v>50360</v>
      </c>
      <c r="I18202" t="s">
        <v>29</v>
      </c>
      <c r="J18202" t="s">
        <v>30</v>
      </c>
      <c r="K18202" t="s">
        <v>50361</v>
      </c>
      <c r="M18202" t="s">
        <v>17861</v>
      </c>
      <c r="N18202" t="str">
        <f t="shared" si="274"/>
        <v>1/27/2023 3:17:00 PM</v>
      </c>
      <c r="O18202" t="s">
        <v>50358</v>
      </c>
      <c r="T18202" t="s">
        <v>50359</v>
      </c>
    </row>
    <row r="18203" spans="1:20" x14ac:dyDescent="0.25">
      <c r="A18203" t="str">
        <f>"3046569"</f>
        <v>3046569</v>
      </c>
      <c r="B18203" t="s">
        <v>55843</v>
      </c>
      <c r="C18203" t="str">
        <f t="shared" si="273"/>
        <v>82530360</v>
      </c>
      <c r="D18203" t="s">
        <v>50358</v>
      </c>
      <c r="E18203" t="s">
        <v>50359</v>
      </c>
      <c r="F18203" t="s">
        <v>50360</v>
      </c>
      <c r="I18203" t="s">
        <v>29</v>
      </c>
      <c r="J18203" t="s">
        <v>30</v>
      </c>
      <c r="K18203" t="s">
        <v>50361</v>
      </c>
      <c r="M18203" t="s">
        <v>17861</v>
      </c>
      <c r="N18203" t="str">
        <f t="shared" si="274"/>
        <v>1/27/2023 3:17:00 PM</v>
      </c>
      <c r="O18203" t="s">
        <v>50358</v>
      </c>
      <c r="T18203" t="s">
        <v>50359</v>
      </c>
    </row>
    <row r="18204" spans="1:20" x14ac:dyDescent="0.25">
      <c r="A18204" t="str">
        <f>"3046682"</f>
        <v>3046682</v>
      </c>
      <c r="B18204" t="s">
        <v>55844</v>
      </c>
      <c r="C18204" t="str">
        <f t="shared" si="273"/>
        <v>82530360</v>
      </c>
      <c r="D18204" t="s">
        <v>50358</v>
      </c>
      <c r="E18204" t="s">
        <v>50359</v>
      </c>
      <c r="F18204" t="s">
        <v>50360</v>
      </c>
      <c r="I18204" t="s">
        <v>29</v>
      </c>
      <c r="J18204" t="s">
        <v>30</v>
      </c>
      <c r="K18204" t="s">
        <v>50361</v>
      </c>
      <c r="M18204" t="s">
        <v>17861</v>
      </c>
      <c r="N18204" t="str">
        <f t="shared" si="274"/>
        <v>1/27/2023 3:17:00 PM</v>
      </c>
      <c r="O18204" t="s">
        <v>50358</v>
      </c>
      <c r="T18204" t="s">
        <v>50359</v>
      </c>
    </row>
    <row r="18205" spans="1:20" x14ac:dyDescent="0.25">
      <c r="A18205" t="str">
        <f>"3046687"</f>
        <v>3046687</v>
      </c>
      <c r="B18205" t="s">
        <v>55845</v>
      </c>
      <c r="C18205" t="str">
        <f t="shared" si="273"/>
        <v>82530360</v>
      </c>
      <c r="D18205" t="s">
        <v>50358</v>
      </c>
      <c r="E18205" t="s">
        <v>50359</v>
      </c>
      <c r="F18205" t="s">
        <v>50360</v>
      </c>
      <c r="I18205" t="s">
        <v>29</v>
      </c>
      <c r="J18205" t="s">
        <v>30</v>
      </c>
      <c r="K18205" t="s">
        <v>50361</v>
      </c>
      <c r="M18205" t="s">
        <v>17861</v>
      </c>
      <c r="N18205" t="str">
        <f t="shared" si="274"/>
        <v>1/27/2023 3:17:00 PM</v>
      </c>
      <c r="O18205" t="s">
        <v>50358</v>
      </c>
      <c r="T18205" t="s">
        <v>50359</v>
      </c>
    </row>
    <row r="18206" spans="1:20" x14ac:dyDescent="0.25">
      <c r="A18206" t="str">
        <f>"3046685"</f>
        <v>3046685</v>
      </c>
      <c r="B18206" t="s">
        <v>55846</v>
      </c>
      <c r="C18206" t="str">
        <f t="shared" si="273"/>
        <v>82530360</v>
      </c>
      <c r="D18206" t="s">
        <v>50358</v>
      </c>
      <c r="E18206" t="s">
        <v>50359</v>
      </c>
      <c r="F18206" t="s">
        <v>50360</v>
      </c>
      <c r="I18206" t="s">
        <v>29</v>
      </c>
      <c r="J18206" t="s">
        <v>30</v>
      </c>
      <c r="K18206" t="s">
        <v>50361</v>
      </c>
      <c r="M18206" t="s">
        <v>17861</v>
      </c>
      <c r="N18206" t="str">
        <f t="shared" si="274"/>
        <v>1/27/2023 3:17:00 PM</v>
      </c>
      <c r="O18206" t="s">
        <v>50358</v>
      </c>
      <c r="T18206" t="s">
        <v>50359</v>
      </c>
    </row>
    <row r="18207" spans="1:20" x14ac:dyDescent="0.25">
      <c r="A18207" t="str">
        <f>"3055065"</f>
        <v>3055065</v>
      </c>
      <c r="B18207" t="s">
        <v>55847</v>
      </c>
      <c r="C18207" t="str">
        <f t="shared" si="273"/>
        <v>82530360</v>
      </c>
      <c r="D18207" t="s">
        <v>50358</v>
      </c>
      <c r="E18207" t="s">
        <v>50359</v>
      </c>
      <c r="F18207" t="s">
        <v>50360</v>
      </c>
      <c r="I18207" t="s">
        <v>29</v>
      </c>
      <c r="J18207" t="s">
        <v>30</v>
      </c>
      <c r="K18207" t="s">
        <v>50361</v>
      </c>
      <c r="M18207" t="s">
        <v>17861</v>
      </c>
      <c r="N18207" t="str">
        <f t="shared" si="274"/>
        <v>1/27/2023 3:17:00 PM</v>
      </c>
      <c r="O18207" t="s">
        <v>50358</v>
      </c>
      <c r="T18207" t="s">
        <v>50359</v>
      </c>
    </row>
    <row r="18208" spans="1:20" x14ac:dyDescent="0.25">
      <c r="A18208" t="str">
        <f>"3060014"</f>
        <v>3060014</v>
      </c>
      <c r="B18208" t="s">
        <v>55848</v>
      </c>
      <c r="C18208" t="str">
        <f>"8306322"</f>
        <v>8306322</v>
      </c>
      <c r="D18208" t="s">
        <v>55849</v>
      </c>
      <c r="E18208" t="s">
        <v>55850</v>
      </c>
      <c r="F18208" t="s">
        <v>55851</v>
      </c>
      <c r="I18208" t="s">
        <v>184</v>
      </c>
      <c r="J18208" t="s">
        <v>30</v>
      </c>
      <c r="K18208" t="s">
        <v>55852</v>
      </c>
      <c r="M18208" t="s">
        <v>17861</v>
      </c>
      <c r="N18208" t="str">
        <f>"1/10/2023 9:47:00 AM"</f>
        <v>1/10/2023 9:47:00 AM</v>
      </c>
      <c r="O18208" t="s">
        <v>55849</v>
      </c>
      <c r="T18208" t="s">
        <v>55850</v>
      </c>
    </row>
    <row r="18209" spans="1:20" x14ac:dyDescent="0.25">
      <c r="A18209" t="str">
        <f>"3037392"</f>
        <v>3037392</v>
      </c>
      <c r="B18209" t="s">
        <v>55853</v>
      </c>
      <c r="C18209" t="str">
        <f>"8319488"</f>
        <v>8319488</v>
      </c>
      <c r="D18209" t="s">
        <v>55854</v>
      </c>
      <c r="E18209" t="s">
        <v>55855</v>
      </c>
      <c r="F18209" t="s">
        <v>55856</v>
      </c>
      <c r="I18209" t="s">
        <v>184</v>
      </c>
      <c r="J18209" t="s">
        <v>30</v>
      </c>
      <c r="K18209" t="s">
        <v>19749</v>
      </c>
      <c r="M18209" t="s">
        <v>17861</v>
      </c>
      <c r="N18209" t="str">
        <f>"1/11/2023 2:55:00 PM"</f>
        <v>1/11/2023 2:55:00 PM</v>
      </c>
      <c r="O18209" t="s">
        <v>55854</v>
      </c>
      <c r="T18209" t="s">
        <v>55855</v>
      </c>
    </row>
    <row r="18210" spans="1:20" x14ac:dyDescent="0.25">
      <c r="A18210" t="str">
        <f>"3041004"</f>
        <v>3041004</v>
      </c>
      <c r="B18210" t="s">
        <v>55857</v>
      </c>
      <c r="C18210" t="str">
        <f>"8319574"</f>
        <v>8319574</v>
      </c>
      <c r="D18210" t="s">
        <v>55858</v>
      </c>
      <c r="E18210" t="s">
        <v>55859</v>
      </c>
      <c r="F18210" t="s">
        <v>55860</v>
      </c>
      <c r="I18210" t="s">
        <v>24359</v>
      </c>
      <c r="J18210" t="s">
        <v>30</v>
      </c>
      <c r="K18210" t="str">
        <f>"27006"</f>
        <v>27006</v>
      </c>
      <c r="M18210" t="s">
        <v>17861</v>
      </c>
      <c r="N18210" t="str">
        <f>"1/30/2023 11:24:00 AM"</f>
        <v>1/30/2023 11:24:00 AM</v>
      </c>
      <c r="O18210" t="s">
        <v>55858</v>
      </c>
      <c r="T18210" t="s">
        <v>55859</v>
      </c>
    </row>
    <row r="18211" spans="1:20" x14ac:dyDescent="0.25">
      <c r="A18211" t="str">
        <f>"3047880"</f>
        <v>3047880</v>
      </c>
      <c r="B18211" t="s">
        <v>55861</v>
      </c>
      <c r="C18211" t="str">
        <f>"8317358"</f>
        <v>8317358</v>
      </c>
      <c r="D18211" t="s">
        <v>55862</v>
      </c>
      <c r="F18211" t="s">
        <v>55863</v>
      </c>
      <c r="I18211" t="s">
        <v>2275</v>
      </c>
      <c r="J18211" t="s">
        <v>30</v>
      </c>
      <c r="K18211" t="str">
        <f>"27023"</f>
        <v>27023</v>
      </c>
      <c r="M18211" t="s">
        <v>18470</v>
      </c>
      <c r="N18211" t="str">
        <f>"1/30/2023 1:11:00 PM"</f>
        <v>1/30/2023 1:11:00 PM</v>
      </c>
      <c r="O18211" t="s">
        <v>55862</v>
      </c>
    </row>
    <row r="18212" spans="1:20" x14ac:dyDescent="0.25">
      <c r="A18212" t="str">
        <f>"3048221"</f>
        <v>3048221</v>
      </c>
      <c r="B18212" t="s">
        <v>55864</v>
      </c>
      <c r="C18212" t="str">
        <f>"8317358"</f>
        <v>8317358</v>
      </c>
      <c r="D18212" t="s">
        <v>55862</v>
      </c>
      <c r="F18212" t="s">
        <v>55863</v>
      </c>
      <c r="I18212" t="s">
        <v>2275</v>
      </c>
      <c r="J18212" t="s">
        <v>30</v>
      </c>
      <c r="K18212" t="str">
        <f>"27023"</f>
        <v>27023</v>
      </c>
      <c r="M18212" t="s">
        <v>18470</v>
      </c>
      <c r="N18212" t="str">
        <f>"1/30/2023 1:11:00 PM"</f>
        <v>1/30/2023 1:11:00 PM</v>
      </c>
      <c r="O18212" t="s">
        <v>55862</v>
      </c>
    </row>
    <row r="18213" spans="1:20" x14ac:dyDescent="0.25">
      <c r="A18213" t="str">
        <f>"3037395"</f>
        <v>3037395</v>
      </c>
      <c r="B18213" t="s">
        <v>55865</v>
      </c>
      <c r="C18213" t="str">
        <f>"8319488"</f>
        <v>8319488</v>
      </c>
      <c r="D18213" t="s">
        <v>55854</v>
      </c>
      <c r="E18213" t="s">
        <v>55855</v>
      </c>
      <c r="F18213" t="s">
        <v>55856</v>
      </c>
      <c r="I18213" t="s">
        <v>184</v>
      </c>
      <c r="J18213" t="s">
        <v>30</v>
      </c>
      <c r="K18213" t="s">
        <v>19749</v>
      </c>
      <c r="M18213" t="s">
        <v>17861</v>
      </c>
      <c r="N18213" t="str">
        <f>"1/11/2023 2:55:00 PM"</f>
        <v>1/11/2023 2:55:00 PM</v>
      </c>
      <c r="O18213" t="s">
        <v>55854</v>
      </c>
      <c r="T18213" t="s">
        <v>55855</v>
      </c>
    </row>
    <row r="18214" spans="1:20" x14ac:dyDescent="0.25">
      <c r="A18214" t="str">
        <f>"3045307"</f>
        <v>3045307</v>
      </c>
      <c r="B18214" t="s">
        <v>55866</v>
      </c>
      <c r="C18214" t="str">
        <f>"8319490"</f>
        <v>8319490</v>
      </c>
      <c r="D18214" t="s">
        <v>55867</v>
      </c>
      <c r="E18214" t="s">
        <v>55868</v>
      </c>
      <c r="F18214" t="s">
        <v>55869</v>
      </c>
      <c r="I18214" t="s">
        <v>29</v>
      </c>
      <c r="J18214" t="s">
        <v>30</v>
      </c>
      <c r="K18214" t="s">
        <v>6867</v>
      </c>
      <c r="M18214" t="s">
        <v>17861</v>
      </c>
      <c r="N18214" t="str">
        <f>"1/11/2023 3:16:00 PM"</f>
        <v>1/11/2023 3:16:00 PM</v>
      </c>
      <c r="O18214" t="s">
        <v>55867</v>
      </c>
      <c r="T18214" t="s">
        <v>55868</v>
      </c>
    </row>
    <row r="18215" spans="1:20" x14ac:dyDescent="0.25">
      <c r="A18215" t="str">
        <f>"3058439"</f>
        <v>3058439</v>
      </c>
      <c r="B18215" t="s">
        <v>55870</v>
      </c>
      <c r="C18215" t="str">
        <f>"8319579"</f>
        <v>8319579</v>
      </c>
      <c r="D18215" t="s">
        <v>55871</v>
      </c>
      <c r="E18215" t="s">
        <v>55872</v>
      </c>
      <c r="F18215" t="s">
        <v>55873</v>
      </c>
      <c r="I18215" t="s">
        <v>17921</v>
      </c>
      <c r="J18215" t="s">
        <v>30</v>
      </c>
      <c r="K18215" t="str">
        <f>"27028"</f>
        <v>27028</v>
      </c>
      <c r="M18215" t="s">
        <v>17861</v>
      </c>
      <c r="N18215" t="str">
        <f>"1/31/2023 8:23:00 AM"</f>
        <v>1/31/2023 8:23:00 AM</v>
      </c>
      <c r="O18215" t="s">
        <v>55871</v>
      </c>
      <c r="T18215" t="s">
        <v>55872</v>
      </c>
    </row>
    <row r="18216" spans="1:20" x14ac:dyDescent="0.25">
      <c r="A18216" t="str">
        <f>"3061173"</f>
        <v>3061173</v>
      </c>
      <c r="B18216" t="s">
        <v>55874</v>
      </c>
      <c r="C18216" t="str">
        <f>"8319580"</f>
        <v>8319580</v>
      </c>
      <c r="D18216" t="s">
        <v>55875</v>
      </c>
      <c r="E18216" t="s">
        <v>55876</v>
      </c>
      <c r="F18216" t="s">
        <v>55877</v>
      </c>
      <c r="I18216" t="s">
        <v>184</v>
      </c>
      <c r="J18216" t="s">
        <v>30</v>
      </c>
      <c r="K18216" t="s">
        <v>6631</v>
      </c>
      <c r="M18216" t="s">
        <v>17861</v>
      </c>
      <c r="N18216" t="str">
        <f>"1/31/2023 10:20:00 AM"</f>
        <v>1/31/2023 10:20:00 AM</v>
      </c>
      <c r="O18216" t="s">
        <v>55875</v>
      </c>
      <c r="T18216" t="s">
        <v>55876</v>
      </c>
    </row>
    <row r="18217" spans="1:20" x14ac:dyDescent="0.25">
      <c r="A18217" t="str">
        <f>"3062560"</f>
        <v>3062560</v>
      </c>
      <c r="B18217" t="s">
        <v>55878</v>
      </c>
      <c r="C18217" t="str">
        <f>"8319581"</f>
        <v>8319581</v>
      </c>
      <c r="D18217" t="s">
        <v>55879</v>
      </c>
      <c r="F18217" t="s">
        <v>55880</v>
      </c>
      <c r="I18217" t="s">
        <v>17921</v>
      </c>
      <c r="J18217" t="s">
        <v>30</v>
      </c>
      <c r="K18217" t="str">
        <f>"27028"</f>
        <v>27028</v>
      </c>
      <c r="M18217" t="s">
        <v>17861</v>
      </c>
      <c r="N18217" t="str">
        <f>"1/31/2023 10:38:00 AM"</f>
        <v>1/31/2023 10:38:00 AM</v>
      </c>
      <c r="O18217" t="s">
        <v>55879</v>
      </c>
    </row>
    <row r="18218" spans="1:20" x14ac:dyDescent="0.25">
      <c r="A18218" t="str">
        <f>"3057840"</f>
        <v>3057840</v>
      </c>
      <c r="B18218" t="s">
        <v>55881</v>
      </c>
      <c r="C18218" t="str">
        <f>"8319492"</f>
        <v>8319492</v>
      </c>
      <c r="D18218" t="s">
        <v>55882</v>
      </c>
      <c r="E18218" t="s">
        <v>55883</v>
      </c>
      <c r="F18218" t="s">
        <v>55884</v>
      </c>
      <c r="I18218" t="s">
        <v>184</v>
      </c>
      <c r="J18218" t="s">
        <v>30</v>
      </c>
      <c r="K18218" t="s">
        <v>44648</v>
      </c>
      <c r="M18218" t="s">
        <v>17861</v>
      </c>
      <c r="N18218" t="str">
        <f>"1/11/2023 3:20:00 PM"</f>
        <v>1/11/2023 3:20:00 PM</v>
      </c>
      <c r="O18218" t="s">
        <v>55882</v>
      </c>
      <c r="T18218" t="s">
        <v>55883</v>
      </c>
    </row>
    <row r="18219" spans="1:20" x14ac:dyDescent="0.25">
      <c r="A18219" t="str">
        <f>"3060364"</f>
        <v>3060364</v>
      </c>
      <c r="B18219" t="s">
        <v>55885</v>
      </c>
      <c r="C18219" t="str">
        <f>"27794500"</f>
        <v>27794500</v>
      </c>
      <c r="D18219" t="s">
        <v>55886</v>
      </c>
      <c r="E18219" t="s">
        <v>55887</v>
      </c>
      <c r="F18219" t="s">
        <v>55888</v>
      </c>
      <c r="I18219" t="s">
        <v>29</v>
      </c>
      <c r="J18219" t="s">
        <v>30</v>
      </c>
      <c r="K18219" t="s">
        <v>21626</v>
      </c>
      <c r="M18219" t="s">
        <v>17861</v>
      </c>
      <c r="N18219" t="str">
        <f>"1/11/2023 3:38:00 PM"</f>
        <v>1/11/2023 3:38:00 PM</v>
      </c>
      <c r="O18219" t="s">
        <v>55886</v>
      </c>
      <c r="T18219" t="s">
        <v>55887</v>
      </c>
    </row>
    <row r="18220" spans="1:20" x14ac:dyDescent="0.25">
      <c r="A18220" t="str">
        <f>"3050463"</f>
        <v>3050463</v>
      </c>
      <c r="B18220" t="s">
        <v>55889</v>
      </c>
      <c r="C18220" t="str">
        <f>"8319533"</f>
        <v>8319533</v>
      </c>
      <c r="D18220" t="s">
        <v>55772</v>
      </c>
      <c r="F18220" t="s">
        <v>55890</v>
      </c>
      <c r="I18220" t="s">
        <v>29</v>
      </c>
      <c r="J18220" t="s">
        <v>30</v>
      </c>
      <c r="K18220" t="str">
        <f>"27028"</f>
        <v>27028</v>
      </c>
      <c r="M18220" t="s">
        <v>17861</v>
      </c>
      <c r="N18220" t="str">
        <f>"1/19/2023 4:02:00 PM"</f>
        <v>1/19/2023 4:02:00 PM</v>
      </c>
      <c r="O18220" t="s">
        <v>55772</v>
      </c>
    </row>
    <row r="18221" spans="1:20" x14ac:dyDescent="0.25">
      <c r="A18221" t="str">
        <f>"3042077"</f>
        <v>3042077</v>
      </c>
      <c r="B18221" t="s">
        <v>55891</v>
      </c>
      <c r="C18221" t="str">
        <f>"8309336"</f>
        <v>8309336</v>
      </c>
      <c r="D18221" t="s">
        <v>55892</v>
      </c>
      <c r="F18221" t="s">
        <v>55893</v>
      </c>
      <c r="I18221" t="s">
        <v>29</v>
      </c>
      <c r="J18221" t="s">
        <v>30</v>
      </c>
      <c r="K18221" t="s">
        <v>9476</v>
      </c>
      <c r="M18221" t="s">
        <v>51351</v>
      </c>
      <c r="N18221" t="str">
        <f>"1/31/2023 3:30:00 PM"</f>
        <v>1/31/2023 3:30:00 PM</v>
      </c>
      <c r="O18221" t="s">
        <v>55892</v>
      </c>
    </row>
    <row r="18222" spans="1:20" x14ac:dyDescent="0.25">
      <c r="A18222" t="str">
        <f>"3042081"</f>
        <v>3042081</v>
      </c>
      <c r="B18222" t="s">
        <v>55894</v>
      </c>
      <c r="C18222" t="str">
        <f>"8309336"</f>
        <v>8309336</v>
      </c>
      <c r="D18222" t="s">
        <v>55892</v>
      </c>
      <c r="F18222" t="s">
        <v>55893</v>
      </c>
      <c r="I18222" t="s">
        <v>29</v>
      </c>
      <c r="J18222" t="s">
        <v>30</v>
      </c>
      <c r="K18222" t="s">
        <v>9476</v>
      </c>
      <c r="M18222" t="s">
        <v>51351</v>
      </c>
      <c r="N18222" t="str">
        <f>"1/31/2023 3:30:00 PM"</f>
        <v>1/31/2023 3:30:00 PM</v>
      </c>
      <c r="O18222" t="s">
        <v>55892</v>
      </c>
    </row>
    <row r="18223" spans="1:20" x14ac:dyDescent="0.25">
      <c r="A18223" t="str">
        <f>"3042650"</f>
        <v>3042650</v>
      </c>
      <c r="B18223" t="s">
        <v>55895</v>
      </c>
      <c r="C18223" t="str">
        <f>"8309336"</f>
        <v>8309336</v>
      </c>
      <c r="D18223" t="s">
        <v>55892</v>
      </c>
      <c r="F18223" t="s">
        <v>55893</v>
      </c>
      <c r="I18223" t="s">
        <v>29</v>
      </c>
      <c r="J18223" t="s">
        <v>30</v>
      </c>
      <c r="K18223" t="s">
        <v>9476</v>
      </c>
      <c r="M18223" t="s">
        <v>51351</v>
      </c>
      <c r="N18223" t="str">
        <f>"1/31/2023 3:30:00 PM"</f>
        <v>1/31/2023 3:30:00 PM</v>
      </c>
      <c r="O18223" t="s">
        <v>55892</v>
      </c>
    </row>
    <row r="18224" spans="1:20" x14ac:dyDescent="0.25">
      <c r="A18224" t="str">
        <f>"3038686"</f>
        <v>3038686</v>
      </c>
      <c r="B18224" t="s">
        <v>55896</v>
      </c>
      <c r="C18224" t="str">
        <f>"8319585"</f>
        <v>8319585</v>
      </c>
      <c r="D18224" t="s">
        <v>55897</v>
      </c>
      <c r="E18224" t="s">
        <v>55898</v>
      </c>
      <c r="F18224" t="s">
        <v>55899</v>
      </c>
      <c r="I18224" t="s">
        <v>29</v>
      </c>
      <c r="J18224" t="s">
        <v>30</v>
      </c>
      <c r="K18224" t="s">
        <v>44426</v>
      </c>
      <c r="M18224" t="s">
        <v>17861</v>
      </c>
      <c r="N18224" t="str">
        <f>"1/31/2023 3:47:00 PM"</f>
        <v>1/31/2023 3:47:00 PM</v>
      </c>
      <c r="O18224" t="s">
        <v>55897</v>
      </c>
      <c r="T18224" t="s">
        <v>55898</v>
      </c>
    </row>
    <row r="18225" spans="1:20" x14ac:dyDescent="0.25">
      <c r="A18225" t="str">
        <f>"3051742"</f>
        <v>3051742</v>
      </c>
      <c r="B18225" t="s">
        <v>55900</v>
      </c>
      <c r="C18225" t="str">
        <f>"8319586"</f>
        <v>8319586</v>
      </c>
      <c r="D18225" t="s">
        <v>55901</v>
      </c>
      <c r="F18225" t="s">
        <v>55902</v>
      </c>
      <c r="G18225" t="s">
        <v>3782</v>
      </c>
      <c r="I18225" t="s">
        <v>3196</v>
      </c>
      <c r="J18225" t="s">
        <v>30</v>
      </c>
      <c r="K18225" t="s">
        <v>55903</v>
      </c>
      <c r="M18225" t="s">
        <v>17861</v>
      </c>
      <c r="N18225" t="str">
        <f>"1/31/2023 3:52:00 PM"</f>
        <v>1/31/2023 3:52:00 PM</v>
      </c>
      <c r="O18225" t="s">
        <v>55901</v>
      </c>
    </row>
    <row r="18226" spans="1:20" x14ac:dyDescent="0.25">
      <c r="A18226" t="str">
        <f>"3059300"</f>
        <v>3059300</v>
      </c>
      <c r="B18226" t="s">
        <v>55904</v>
      </c>
      <c r="C18226" t="str">
        <f>"8319586"</f>
        <v>8319586</v>
      </c>
      <c r="D18226" t="s">
        <v>55901</v>
      </c>
      <c r="F18226" t="s">
        <v>55902</v>
      </c>
      <c r="G18226" t="s">
        <v>3782</v>
      </c>
      <c r="I18226" t="s">
        <v>3196</v>
      </c>
      <c r="J18226" t="s">
        <v>30</v>
      </c>
      <c r="K18226" t="s">
        <v>55903</v>
      </c>
      <c r="M18226" t="s">
        <v>17861</v>
      </c>
      <c r="N18226" t="str">
        <f>"1/31/2023 3:52:00 PM"</f>
        <v>1/31/2023 3:52:00 PM</v>
      </c>
      <c r="O18226" t="s">
        <v>55901</v>
      </c>
    </row>
    <row r="18227" spans="1:20" x14ac:dyDescent="0.25">
      <c r="A18227" t="str">
        <f>"3059302"</f>
        <v>3059302</v>
      </c>
      <c r="B18227" t="s">
        <v>55905</v>
      </c>
      <c r="C18227" t="str">
        <f>"8319586"</f>
        <v>8319586</v>
      </c>
      <c r="D18227" t="s">
        <v>55901</v>
      </c>
      <c r="F18227" t="s">
        <v>55902</v>
      </c>
      <c r="G18227" t="s">
        <v>3782</v>
      </c>
      <c r="I18227" t="s">
        <v>3196</v>
      </c>
      <c r="J18227" t="s">
        <v>30</v>
      </c>
      <c r="K18227" t="s">
        <v>55903</v>
      </c>
      <c r="M18227" t="s">
        <v>17861</v>
      </c>
      <c r="N18227" t="str">
        <f>"1/31/2023 3:52:00 PM"</f>
        <v>1/31/2023 3:52:00 PM</v>
      </c>
      <c r="O18227" t="s">
        <v>55901</v>
      </c>
    </row>
    <row r="18228" spans="1:20" x14ac:dyDescent="0.25">
      <c r="A18228" t="str">
        <f>"3038893"</f>
        <v>3038893</v>
      </c>
      <c r="B18228" t="s">
        <v>55906</v>
      </c>
      <c r="C18228" t="str">
        <f>"8319588"</f>
        <v>8319588</v>
      </c>
      <c r="D18228" t="s">
        <v>55907</v>
      </c>
      <c r="F18228" t="s">
        <v>55908</v>
      </c>
      <c r="I18228" t="s">
        <v>471</v>
      </c>
      <c r="J18228" t="s">
        <v>30</v>
      </c>
      <c r="K18228" t="s">
        <v>55909</v>
      </c>
      <c r="M18228" t="s">
        <v>17861</v>
      </c>
      <c r="N18228" t="str">
        <f>"2/1/2023 11:18:00 AM"</f>
        <v>2/1/2023 11:18:00 AM</v>
      </c>
      <c r="O18228" t="s">
        <v>55907</v>
      </c>
    </row>
    <row r="18229" spans="1:20" x14ac:dyDescent="0.25">
      <c r="A18229" t="str">
        <f>"3053090"</f>
        <v>3053090</v>
      </c>
      <c r="B18229" t="s">
        <v>55910</v>
      </c>
      <c r="C18229" t="str">
        <f>"8319591"</f>
        <v>8319591</v>
      </c>
      <c r="D18229" t="s">
        <v>55911</v>
      </c>
      <c r="E18229" t="s">
        <v>55912</v>
      </c>
      <c r="F18229" t="s">
        <v>55913</v>
      </c>
      <c r="I18229" t="s">
        <v>29</v>
      </c>
      <c r="J18229" t="s">
        <v>30</v>
      </c>
      <c r="K18229" t="s">
        <v>54679</v>
      </c>
      <c r="M18229" t="s">
        <v>17861</v>
      </c>
      <c r="N18229" t="str">
        <f>"2/1/2023 1:21:00 PM"</f>
        <v>2/1/2023 1:21:00 PM</v>
      </c>
      <c r="O18229" t="s">
        <v>55911</v>
      </c>
      <c r="T18229" t="s">
        <v>55912</v>
      </c>
    </row>
    <row r="18230" spans="1:20" x14ac:dyDescent="0.25">
      <c r="A18230" t="str">
        <f>"3051462"</f>
        <v>3051462</v>
      </c>
      <c r="B18230" t="s">
        <v>55914</v>
      </c>
      <c r="C18230" t="str">
        <f>"8319593"</f>
        <v>8319593</v>
      </c>
      <c r="D18230" t="s">
        <v>55915</v>
      </c>
      <c r="F18230" t="s">
        <v>55916</v>
      </c>
      <c r="I18230" t="s">
        <v>29</v>
      </c>
      <c r="J18230" t="s">
        <v>30</v>
      </c>
      <c r="K18230" t="s">
        <v>38946</v>
      </c>
      <c r="M18230" t="s">
        <v>17861</v>
      </c>
      <c r="N18230" t="str">
        <f>"2/1/2023 3:50:00 PM"</f>
        <v>2/1/2023 3:50:00 PM</v>
      </c>
      <c r="O18230" t="s">
        <v>55915</v>
      </c>
    </row>
    <row r="18231" spans="1:20" x14ac:dyDescent="0.25">
      <c r="A18231" t="str">
        <f>"3054788"</f>
        <v>3054788</v>
      </c>
      <c r="B18231" t="s">
        <v>55917</v>
      </c>
      <c r="C18231" t="str">
        <f>"8313030"</f>
        <v>8313030</v>
      </c>
      <c r="D18231" t="s">
        <v>55918</v>
      </c>
      <c r="F18231" t="s">
        <v>55919</v>
      </c>
      <c r="I18231" t="s">
        <v>55920</v>
      </c>
      <c r="J18231" t="s">
        <v>30</v>
      </c>
      <c r="K18231" t="s">
        <v>55921</v>
      </c>
      <c r="M18231" t="s">
        <v>17861</v>
      </c>
      <c r="N18231" t="str">
        <f>"1/19/2023 4:05:00 PM"</f>
        <v>1/19/2023 4:05:00 PM</v>
      </c>
      <c r="O18231" t="s">
        <v>55918</v>
      </c>
    </row>
    <row r="18232" spans="1:20" x14ac:dyDescent="0.25">
      <c r="A18232" t="str">
        <f>"3054268"</f>
        <v>3054268</v>
      </c>
      <c r="B18232" t="s">
        <v>55922</v>
      </c>
      <c r="C18232" t="str">
        <f>"8319534"</f>
        <v>8319534</v>
      </c>
      <c r="D18232" t="s">
        <v>55923</v>
      </c>
      <c r="E18232" t="s">
        <v>55924</v>
      </c>
      <c r="F18232" t="s">
        <v>55925</v>
      </c>
      <c r="I18232" t="s">
        <v>29</v>
      </c>
      <c r="J18232" t="s">
        <v>30</v>
      </c>
      <c r="K18232" t="s">
        <v>55926</v>
      </c>
      <c r="M18232" t="s">
        <v>17861</v>
      </c>
      <c r="N18232" t="str">
        <f>"1/19/2023 4:06:00 PM"</f>
        <v>1/19/2023 4:06:00 PM</v>
      </c>
      <c r="O18232" t="s">
        <v>55923</v>
      </c>
      <c r="T18232" t="s">
        <v>55924</v>
      </c>
    </row>
    <row r="18233" spans="1:20" x14ac:dyDescent="0.25">
      <c r="A18233" t="str">
        <f>"3060958"</f>
        <v>3060958</v>
      </c>
      <c r="B18233" t="s">
        <v>55927</v>
      </c>
      <c r="C18233" t="str">
        <f>"8319535"</f>
        <v>8319535</v>
      </c>
      <c r="D18233" t="s">
        <v>55928</v>
      </c>
      <c r="E18233" t="s">
        <v>55929</v>
      </c>
      <c r="F18233" t="s">
        <v>55930</v>
      </c>
      <c r="I18233" t="s">
        <v>2071</v>
      </c>
      <c r="J18233" t="s">
        <v>30</v>
      </c>
      <c r="K18233" t="s">
        <v>55931</v>
      </c>
      <c r="M18233" t="s">
        <v>17861</v>
      </c>
      <c r="N18233" t="str">
        <f>"1/20/2023 9:12:00 AM"</f>
        <v>1/20/2023 9:12:00 AM</v>
      </c>
      <c r="O18233" t="s">
        <v>55928</v>
      </c>
      <c r="T18233" t="s">
        <v>55929</v>
      </c>
    </row>
    <row r="18234" spans="1:20" x14ac:dyDescent="0.25">
      <c r="A18234" t="str">
        <f>"3077918"</f>
        <v>3077918</v>
      </c>
      <c r="B18234" t="s">
        <v>55932</v>
      </c>
      <c r="C18234" t="str">
        <f>"8319538"</f>
        <v>8319538</v>
      </c>
      <c r="D18234" t="s">
        <v>55720</v>
      </c>
      <c r="F18234" t="s">
        <v>54421</v>
      </c>
      <c r="I18234" t="s">
        <v>471</v>
      </c>
      <c r="J18234" t="s">
        <v>30</v>
      </c>
      <c r="K18234" t="s">
        <v>54422</v>
      </c>
      <c r="M18234" t="s">
        <v>17861</v>
      </c>
      <c r="N18234" t="str">
        <f>"1/20/2023 11:00:00 AM"</f>
        <v>1/20/2023 11:00:00 AM</v>
      </c>
      <c r="O18234" t="s">
        <v>55720</v>
      </c>
    </row>
    <row r="18235" spans="1:20" x14ac:dyDescent="0.25">
      <c r="A18235" t="str">
        <f>"3047881"</f>
        <v>3047881</v>
      </c>
      <c r="B18235" t="s">
        <v>55933</v>
      </c>
      <c r="C18235" t="str">
        <f>"8319540"</f>
        <v>8319540</v>
      </c>
      <c r="D18235" t="s">
        <v>9361</v>
      </c>
      <c r="E18235" t="s">
        <v>9362</v>
      </c>
      <c r="F18235" t="s">
        <v>47437</v>
      </c>
      <c r="I18235" t="s">
        <v>29</v>
      </c>
      <c r="J18235" t="s">
        <v>30</v>
      </c>
      <c r="K18235" t="s">
        <v>9364</v>
      </c>
      <c r="M18235" t="s">
        <v>17861</v>
      </c>
      <c r="N18235" t="str">
        <f>"1/20/2023 1:00:00 PM"</f>
        <v>1/20/2023 1:00:00 PM</v>
      </c>
      <c r="O18235" t="s">
        <v>9361</v>
      </c>
      <c r="T18235" t="s">
        <v>9362</v>
      </c>
    </row>
    <row r="18236" spans="1:20" x14ac:dyDescent="0.25">
      <c r="A18236" t="str">
        <f>"3077163"</f>
        <v>3077163</v>
      </c>
      <c r="B18236" t="s">
        <v>55934</v>
      </c>
      <c r="C18236" t="str">
        <f>"35606000"</f>
        <v>35606000</v>
      </c>
      <c r="D18236" t="s">
        <v>55935</v>
      </c>
      <c r="F18236" t="s">
        <v>55936</v>
      </c>
      <c r="I18236" t="s">
        <v>184</v>
      </c>
      <c r="J18236" t="s">
        <v>30</v>
      </c>
      <c r="K18236" t="s">
        <v>185</v>
      </c>
      <c r="M18236" t="s">
        <v>25625</v>
      </c>
      <c r="N18236" t="str">
        <f>"1/23/2023 4:16:00 PM"</f>
        <v>1/23/2023 4:16:00 PM</v>
      </c>
      <c r="O18236" t="s">
        <v>55935</v>
      </c>
    </row>
    <row r="18237" spans="1:20" x14ac:dyDescent="0.25">
      <c r="A18237" t="str">
        <f>"3046051"</f>
        <v>3046051</v>
      </c>
      <c r="B18237" t="s">
        <v>55937</v>
      </c>
      <c r="C18237" t="str">
        <f>"74983870"</f>
        <v>74983870</v>
      </c>
      <c r="D18237" t="s">
        <v>55938</v>
      </c>
      <c r="F18237" t="s">
        <v>55939</v>
      </c>
      <c r="I18237" t="s">
        <v>8413</v>
      </c>
      <c r="J18237" t="s">
        <v>2109</v>
      </c>
      <c r="K18237" t="s">
        <v>55940</v>
      </c>
      <c r="M18237" t="s">
        <v>36935</v>
      </c>
      <c r="N18237" t="str">
        <f>"1/24/2023 9:13:00 AM"</f>
        <v>1/24/2023 9:13:00 AM</v>
      </c>
      <c r="O18237" t="s">
        <v>55938</v>
      </c>
    </row>
    <row r="18238" spans="1:20" x14ac:dyDescent="0.25">
      <c r="A18238" t="str">
        <f>"3038347"</f>
        <v>3038347</v>
      </c>
      <c r="B18238" t="s">
        <v>55941</v>
      </c>
      <c r="C18238" t="str">
        <f>"8319543"</f>
        <v>8319543</v>
      </c>
      <c r="D18238" t="s">
        <v>55942</v>
      </c>
      <c r="E18238" t="s">
        <v>55943</v>
      </c>
      <c r="F18238" t="s">
        <v>55944</v>
      </c>
      <c r="I18238" t="s">
        <v>471</v>
      </c>
      <c r="J18238" t="s">
        <v>30</v>
      </c>
      <c r="K18238" t="s">
        <v>55945</v>
      </c>
      <c r="M18238" t="s">
        <v>17861</v>
      </c>
      <c r="N18238" t="str">
        <f>"1/24/2023 9:52:00 AM"</f>
        <v>1/24/2023 9:52:00 AM</v>
      </c>
      <c r="O18238" t="s">
        <v>55942</v>
      </c>
      <c r="T18238" t="s">
        <v>55943</v>
      </c>
    </row>
    <row r="18239" spans="1:20" x14ac:dyDescent="0.25">
      <c r="A18239" t="str">
        <f>"3038930"</f>
        <v>3038930</v>
      </c>
      <c r="B18239" t="s">
        <v>55946</v>
      </c>
      <c r="C18239" t="str">
        <f>"8307750"</f>
        <v>8307750</v>
      </c>
      <c r="D18239" t="s">
        <v>55947</v>
      </c>
      <c r="E18239" t="s">
        <v>55948</v>
      </c>
      <c r="F18239" t="s">
        <v>55949</v>
      </c>
      <c r="I18239" t="s">
        <v>29</v>
      </c>
      <c r="J18239" t="s">
        <v>30</v>
      </c>
      <c r="K18239" t="s">
        <v>49758</v>
      </c>
      <c r="M18239" t="s">
        <v>50621</v>
      </c>
      <c r="N18239" t="str">
        <f>"2/2/2023 10:56:00 AM"</f>
        <v>2/2/2023 10:56:00 AM</v>
      </c>
      <c r="O18239" t="s">
        <v>55947</v>
      </c>
      <c r="T18239" t="s">
        <v>55948</v>
      </c>
    </row>
    <row r="18240" spans="1:20" x14ac:dyDescent="0.25">
      <c r="A18240" t="str">
        <f>"3042499"</f>
        <v>3042499</v>
      </c>
      <c r="B18240" t="s">
        <v>55950</v>
      </c>
      <c r="C18240" t="str">
        <f>"60060000"</f>
        <v>60060000</v>
      </c>
      <c r="D18240" t="s">
        <v>55784</v>
      </c>
      <c r="F18240" t="str">
        <f>"C/O ODELL L RHYNEHARDT"</f>
        <v>C/O ODELL L RHYNEHARDT</v>
      </c>
      <c r="G18240" t="s">
        <v>55785</v>
      </c>
      <c r="I18240" t="s">
        <v>184</v>
      </c>
      <c r="J18240" t="s">
        <v>30</v>
      </c>
      <c r="K18240" t="s">
        <v>185</v>
      </c>
      <c r="M18240" t="s">
        <v>50793</v>
      </c>
      <c r="N18240" t="str">
        <f>"1/25/2023 10:18:00 AM"</f>
        <v>1/25/2023 10:18:00 AM</v>
      </c>
      <c r="O18240" t="s">
        <v>55784</v>
      </c>
    </row>
    <row r="18241" spans="1:20" x14ac:dyDescent="0.25">
      <c r="A18241" t="str">
        <f>"3040287"</f>
        <v>3040287</v>
      </c>
      <c r="B18241" t="s">
        <v>55951</v>
      </c>
      <c r="C18241" t="str">
        <f>"60060000"</f>
        <v>60060000</v>
      </c>
      <c r="D18241" t="s">
        <v>55784</v>
      </c>
      <c r="F18241" t="str">
        <f>"C/O ODELL L RHYNEHARDT"</f>
        <v>C/O ODELL L RHYNEHARDT</v>
      </c>
      <c r="G18241" t="s">
        <v>55785</v>
      </c>
      <c r="I18241" t="s">
        <v>184</v>
      </c>
      <c r="J18241" t="s">
        <v>30</v>
      </c>
      <c r="K18241" t="s">
        <v>185</v>
      </c>
      <c r="M18241" t="s">
        <v>50793</v>
      </c>
      <c r="N18241" t="str">
        <f>"1/25/2023 10:18:00 AM"</f>
        <v>1/25/2023 10:18:00 AM</v>
      </c>
      <c r="O18241" t="s">
        <v>55784</v>
      </c>
    </row>
    <row r="18242" spans="1:20" x14ac:dyDescent="0.25">
      <c r="A18242" t="str">
        <f>"3058419"</f>
        <v>3058419</v>
      </c>
      <c r="B18242" t="s">
        <v>55952</v>
      </c>
      <c r="C18242" t="str">
        <f>"8319560"</f>
        <v>8319560</v>
      </c>
      <c r="D18242" t="s">
        <v>55953</v>
      </c>
      <c r="E18242" t="s">
        <v>55954</v>
      </c>
      <c r="F18242" t="s">
        <v>55955</v>
      </c>
      <c r="I18242" t="s">
        <v>17921</v>
      </c>
      <c r="J18242" t="s">
        <v>30</v>
      </c>
      <c r="K18242" t="str">
        <f>"27028"</f>
        <v>27028</v>
      </c>
      <c r="M18242" t="s">
        <v>17861</v>
      </c>
      <c r="N18242" t="str">
        <f>"1/26/2023 2:54:00 PM"</f>
        <v>1/26/2023 2:54:00 PM</v>
      </c>
      <c r="O18242" t="s">
        <v>55953</v>
      </c>
      <c r="T18242" t="s">
        <v>55954</v>
      </c>
    </row>
    <row r="18243" spans="1:20" x14ac:dyDescent="0.25">
      <c r="A18243" t="str">
        <f>"3053834"</f>
        <v>3053834</v>
      </c>
      <c r="B18243" t="s">
        <v>55956</v>
      </c>
      <c r="C18243" t="str">
        <f>"8319564"</f>
        <v>8319564</v>
      </c>
      <c r="D18243" t="s">
        <v>55957</v>
      </c>
      <c r="F18243" t="s">
        <v>55958</v>
      </c>
      <c r="I18243" t="s">
        <v>29</v>
      </c>
      <c r="J18243" t="s">
        <v>30</v>
      </c>
      <c r="K18243" t="s">
        <v>42575</v>
      </c>
      <c r="M18243" t="s">
        <v>17861</v>
      </c>
      <c r="N18243" t="str">
        <f>"1/27/2023 8:27:00 AM"</f>
        <v>1/27/2023 8:27:00 AM</v>
      </c>
      <c r="O18243" t="s">
        <v>55957</v>
      </c>
    </row>
    <row r="18244" spans="1:20" x14ac:dyDescent="0.25">
      <c r="A18244" t="str">
        <f>"3058125"</f>
        <v>3058125</v>
      </c>
      <c r="B18244" t="s">
        <v>55959</v>
      </c>
      <c r="C18244" t="str">
        <f>"8319573"</f>
        <v>8319573</v>
      </c>
      <c r="D18244" t="s">
        <v>55960</v>
      </c>
      <c r="E18244" t="s">
        <v>55961</v>
      </c>
      <c r="F18244" t="s">
        <v>55962</v>
      </c>
      <c r="I18244" t="s">
        <v>2071</v>
      </c>
      <c r="J18244" t="s">
        <v>30</v>
      </c>
      <c r="K18244" t="s">
        <v>6203</v>
      </c>
      <c r="M18244" t="s">
        <v>17861</v>
      </c>
      <c r="N18244" t="str">
        <f>"1/30/2023 9:06:00 AM"</f>
        <v>1/30/2023 9:06:00 AM</v>
      </c>
      <c r="O18244" t="s">
        <v>55960</v>
      </c>
      <c r="T18244" t="s">
        <v>55961</v>
      </c>
    </row>
    <row r="18245" spans="1:20" x14ac:dyDescent="0.25">
      <c r="A18245" t="str">
        <f>"3058452"</f>
        <v>3058452</v>
      </c>
      <c r="B18245" t="s">
        <v>55963</v>
      </c>
      <c r="C18245" t="str">
        <f>"8319658"</f>
        <v>8319658</v>
      </c>
      <c r="D18245" t="s">
        <v>55964</v>
      </c>
      <c r="E18245" t="s">
        <v>55965</v>
      </c>
      <c r="F18245" t="s">
        <v>55966</v>
      </c>
      <c r="I18245" t="s">
        <v>29</v>
      </c>
      <c r="J18245" t="s">
        <v>30</v>
      </c>
      <c r="K18245" t="str">
        <f>"27028"</f>
        <v>27028</v>
      </c>
      <c r="M18245" t="s">
        <v>17861</v>
      </c>
      <c r="N18245" t="str">
        <f>"2/6/2023 11:04:00 AM"</f>
        <v>2/6/2023 11:04:00 AM</v>
      </c>
      <c r="O18245" t="s">
        <v>55964</v>
      </c>
      <c r="T18245" t="s">
        <v>55965</v>
      </c>
    </row>
    <row r="18246" spans="1:20" x14ac:dyDescent="0.25">
      <c r="A18246" t="str">
        <f>"3055756"</f>
        <v>3055756</v>
      </c>
      <c r="B18246" t="s">
        <v>55967</v>
      </c>
      <c r="C18246" t="str">
        <f>"8319659"</f>
        <v>8319659</v>
      </c>
      <c r="D18246" t="s">
        <v>55968</v>
      </c>
      <c r="E18246" t="s">
        <v>55969</v>
      </c>
      <c r="F18246" t="s">
        <v>55970</v>
      </c>
      <c r="I18246" t="s">
        <v>9580</v>
      </c>
      <c r="J18246" t="s">
        <v>30</v>
      </c>
      <c r="K18246" t="str">
        <f>"27014"</f>
        <v>27014</v>
      </c>
      <c r="M18246" t="s">
        <v>17861</v>
      </c>
      <c r="N18246" t="str">
        <f>"2/6/2023 1:55:00 PM"</f>
        <v>2/6/2023 1:55:00 PM</v>
      </c>
      <c r="O18246" t="s">
        <v>55968</v>
      </c>
      <c r="T18246" t="s">
        <v>55969</v>
      </c>
    </row>
    <row r="18247" spans="1:20" x14ac:dyDescent="0.25">
      <c r="A18247" t="str">
        <f>"3061174"</f>
        <v>3061174</v>
      </c>
      <c r="B18247" t="s">
        <v>55971</v>
      </c>
      <c r="C18247" t="str">
        <f>"8319661"</f>
        <v>8319661</v>
      </c>
      <c r="D18247" t="s">
        <v>55972</v>
      </c>
      <c r="E18247" t="str">
        <f>"LAWS WILLIAM/SHARON TRUSTEES"</f>
        <v>LAWS WILLIAM/SHARON TRUSTEES</v>
      </c>
      <c r="F18247" t="s">
        <v>55973</v>
      </c>
      <c r="I18247" t="s">
        <v>54577</v>
      </c>
      <c r="J18247" t="s">
        <v>11697</v>
      </c>
      <c r="K18247" t="s">
        <v>55974</v>
      </c>
      <c r="M18247" t="s">
        <v>17861</v>
      </c>
      <c r="N18247" t="str">
        <f>"2/6/2023 3:51:00 PM"</f>
        <v>2/6/2023 3:51:00 PM</v>
      </c>
      <c r="O18247" t="s">
        <v>55972</v>
      </c>
      <c r="T18247" t="str">
        <f>"LAWS WILLIAM/SHARON TRUSTEES"</f>
        <v>LAWS WILLIAM/SHARON TRUSTEES</v>
      </c>
    </row>
    <row r="18248" spans="1:20" x14ac:dyDescent="0.25">
      <c r="A18248" t="str">
        <f>"3050192"</f>
        <v>3050192</v>
      </c>
      <c r="B18248" t="s">
        <v>55975</v>
      </c>
      <c r="C18248" t="str">
        <f>"8302132"</f>
        <v>8302132</v>
      </c>
      <c r="D18248" t="s">
        <v>55976</v>
      </c>
      <c r="E18248" t="s">
        <v>55977</v>
      </c>
      <c r="F18248" t="s">
        <v>55978</v>
      </c>
      <c r="I18248" t="s">
        <v>29</v>
      </c>
      <c r="J18248" t="s">
        <v>30</v>
      </c>
      <c r="K18248" t="s">
        <v>12991</v>
      </c>
      <c r="M18248" t="s">
        <v>50621</v>
      </c>
      <c r="N18248" t="str">
        <f>"2/7/2023 9:21:00 AM"</f>
        <v>2/7/2023 9:21:00 AM</v>
      </c>
      <c r="O18248" t="s">
        <v>55976</v>
      </c>
      <c r="T18248" t="s">
        <v>55977</v>
      </c>
    </row>
    <row r="18249" spans="1:20" x14ac:dyDescent="0.25">
      <c r="A18249" t="str">
        <f>"3040399"</f>
        <v>3040399</v>
      </c>
      <c r="B18249" t="s">
        <v>55979</v>
      </c>
      <c r="C18249" t="str">
        <f>"8319574"</f>
        <v>8319574</v>
      </c>
      <c r="D18249" t="s">
        <v>55858</v>
      </c>
      <c r="E18249" t="s">
        <v>55859</v>
      </c>
      <c r="F18249" t="s">
        <v>55860</v>
      </c>
      <c r="I18249" t="s">
        <v>24359</v>
      </c>
      <c r="J18249" t="s">
        <v>30</v>
      </c>
      <c r="K18249" t="str">
        <f>"27006"</f>
        <v>27006</v>
      </c>
      <c r="M18249" t="s">
        <v>17861</v>
      </c>
      <c r="N18249" t="str">
        <f>"1/30/2023 11:24:00 AM"</f>
        <v>1/30/2023 11:24:00 AM</v>
      </c>
      <c r="O18249" t="s">
        <v>55858</v>
      </c>
      <c r="T18249" t="s">
        <v>55859</v>
      </c>
    </row>
    <row r="18250" spans="1:20" x14ac:dyDescent="0.25">
      <c r="A18250" t="str">
        <f>"3037776"</f>
        <v>3037776</v>
      </c>
      <c r="B18250" t="s">
        <v>55980</v>
      </c>
      <c r="C18250" t="str">
        <f>"8319519"</f>
        <v>8319519</v>
      </c>
      <c r="D18250" t="s">
        <v>55981</v>
      </c>
      <c r="E18250" t="s">
        <v>55982</v>
      </c>
      <c r="F18250" t="s">
        <v>55983</v>
      </c>
      <c r="I18250" t="s">
        <v>49</v>
      </c>
      <c r="J18250" t="s">
        <v>30</v>
      </c>
      <c r="K18250" t="s">
        <v>55984</v>
      </c>
      <c r="M18250" t="s">
        <v>17861</v>
      </c>
      <c r="N18250" t="str">
        <f>"1/18/2023 1:20:00 PM"</f>
        <v>1/18/2023 1:20:00 PM</v>
      </c>
      <c r="O18250" t="s">
        <v>55981</v>
      </c>
      <c r="T18250" t="s">
        <v>55982</v>
      </c>
    </row>
    <row r="18251" spans="1:20" x14ac:dyDescent="0.25">
      <c r="A18251" t="str">
        <f>"3053094"</f>
        <v>3053094</v>
      </c>
      <c r="B18251" t="s">
        <v>55985</v>
      </c>
      <c r="C18251" t="str">
        <f>"8313652"</f>
        <v>8313652</v>
      </c>
      <c r="D18251" t="s">
        <v>55986</v>
      </c>
      <c r="E18251" t="s">
        <v>55987</v>
      </c>
      <c r="F18251" t="s">
        <v>55988</v>
      </c>
      <c r="I18251" t="s">
        <v>29</v>
      </c>
      <c r="J18251" t="s">
        <v>30</v>
      </c>
      <c r="K18251" t="str">
        <f>"27028"</f>
        <v>27028</v>
      </c>
      <c r="M18251" t="s">
        <v>18479</v>
      </c>
      <c r="N18251" t="str">
        <f>"1/18/2023 1:40:00 PM"</f>
        <v>1/18/2023 1:40:00 PM</v>
      </c>
      <c r="O18251" t="s">
        <v>55986</v>
      </c>
      <c r="T18251" t="s">
        <v>55987</v>
      </c>
    </row>
    <row r="18252" spans="1:20" x14ac:dyDescent="0.25">
      <c r="A18252" t="str">
        <f>"3043855"</f>
        <v>3043855</v>
      </c>
      <c r="B18252" t="s">
        <v>55989</v>
      </c>
      <c r="C18252" t="str">
        <f>"8319523"</f>
        <v>8319523</v>
      </c>
      <c r="D18252" t="s">
        <v>55990</v>
      </c>
      <c r="F18252" t="s">
        <v>55991</v>
      </c>
      <c r="I18252" t="s">
        <v>184</v>
      </c>
      <c r="J18252" t="s">
        <v>30</v>
      </c>
      <c r="K18252" t="s">
        <v>55992</v>
      </c>
      <c r="M18252" t="s">
        <v>17861</v>
      </c>
      <c r="N18252" t="str">
        <f>"1/18/2023 4:08:00 PM"</f>
        <v>1/18/2023 4:08:00 PM</v>
      </c>
      <c r="O18252" t="s">
        <v>55990</v>
      </c>
    </row>
    <row r="18253" spans="1:20" x14ac:dyDescent="0.25">
      <c r="A18253" t="str">
        <f>"3044256"</f>
        <v>3044256</v>
      </c>
      <c r="B18253" t="s">
        <v>55993</v>
      </c>
      <c r="C18253" t="str">
        <f>"8319523"</f>
        <v>8319523</v>
      </c>
      <c r="D18253" t="s">
        <v>55990</v>
      </c>
      <c r="F18253" t="s">
        <v>55991</v>
      </c>
      <c r="I18253" t="s">
        <v>184</v>
      </c>
      <c r="J18253" t="s">
        <v>30</v>
      </c>
      <c r="K18253" t="s">
        <v>55992</v>
      </c>
      <c r="M18253" t="s">
        <v>17861</v>
      </c>
      <c r="N18253" t="str">
        <f>"1/18/2023 4:08:00 PM"</f>
        <v>1/18/2023 4:08:00 PM</v>
      </c>
      <c r="O18253" t="s">
        <v>55990</v>
      </c>
    </row>
    <row r="18254" spans="1:20" x14ac:dyDescent="0.25">
      <c r="A18254" t="str">
        <f>"3044346"</f>
        <v>3044346</v>
      </c>
      <c r="B18254" t="s">
        <v>55994</v>
      </c>
      <c r="C18254" t="str">
        <f>"8319523"</f>
        <v>8319523</v>
      </c>
      <c r="D18254" t="s">
        <v>55990</v>
      </c>
      <c r="F18254" t="s">
        <v>55991</v>
      </c>
      <c r="I18254" t="s">
        <v>184</v>
      </c>
      <c r="J18254" t="s">
        <v>30</v>
      </c>
      <c r="K18254" t="s">
        <v>55992</v>
      </c>
      <c r="M18254" t="s">
        <v>17861</v>
      </c>
      <c r="N18254" t="str">
        <f>"1/18/2023 4:08:00 PM"</f>
        <v>1/18/2023 4:08:00 PM</v>
      </c>
      <c r="O18254" t="s">
        <v>55990</v>
      </c>
    </row>
    <row r="18255" spans="1:20" x14ac:dyDescent="0.25">
      <c r="A18255" t="str">
        <f>"3059568"</f>
        <v>3059568</v>
      </c>
      <c r="B18255" t="s">
        <v>55995</v>
      </c>
      <c r="C18255" t="str">
        <f>"8319576"</f>
        <v>8319576</v>
      </c>
      <c r="D18255" t="s">
        <v>55996</v>
      </c>
      <c r="E18255" t="s">
        <v>55997</v>
      </c>
      <c r="F18255" t="s">
        <v>55998</v>
      </c>
      <c r="I18255" t="s">
        <v>29</v>
      </c>
      <c r="J18255" t="s">
        <v>30</v>
      </c>
      <c r="K18255" t="s">
        <v>13712</v>
      </c>
      <c r="M18255" t="s">
        <v>17861</v>
      </c>
      <c r="N18255" t="str">
        <f>"1/30/2023 2:08:00 PM"</f>
        <v>1/30/2023 2:08:00 PM</v>
      </c>
      <c r="O18255" t="s">
        <v>55996</v>
      </c>
      <c r="T18255" t="s">
        <v>55997</v>
      </c>
    </row>
    <row r="18256" spans="1:20" x14ac:dyDescent="0.25">
      <c r="A18256" t="str">
        <f>"3057621"</f>
        <v>3057621</v>
      </c>
      <c r="B18256" t="s">
        <v>55999</v>
      </c>
      <c r="C18256" t="str">
        <f>"8319577"</f>
        <v>8319577</v>
      </c>
      <c r="D18256" t="s">
        <v>56000</v>
      </c>
      <c r="E18256" t="s">
        <v>56001</v>
      </c>
      <c r="F18256" t="s">
        <v>56002</v>
      </c>
      <c r="I18256" t="s">
        <v>29</v>
      </c>
      <c r="J18256" t="s">
        <v>30</v>
      </c>
      <c r="K18256" t="str">
        <f>"27028"</f>
        <v>27028</v>
      </c>
      <c r="M18256" t="s">
        <v>17861</v>
      </c>
      <c r="N18256" t="str">
        <f>"1/30/2023 2:27:00 PM"</f>
        <v>1/30/2023 2:27:00 PM</v>
      </c>
      <c r="O18256" t="s">
        <v>56000</v>
      </c>
      <c r="T18256" t="s">
        <v>56001</v>
      </c>
    </row>
    <row r="18257" spans="1:20" x14ac:dyDescent="0.25">
      <c r="A18257" t="str">
        <f>"3040415"</f>
        <v>3040415</v>
      </c>
      <c r="B18257" t="s">
        <v>56003</v>
      </c>
      <c r="C18257" t="str">
        <f>"8319595"</f>
        <v>8319595</v>
      </c>
      <c r="D18257" t="s">
        <v>56004</v>
      </c>
      <c r="F18257" t="s">
        <v>56005</v>
      </c>
      <c r="I18257" t="s">
        <v>471</v>
      </c>
      <c r="J18257" t="s">
        <v>30</v>
      </c>
      <c r="K18257" t="s">
        <v>56006</v>
      </c>
      <c r="M18257" t="s">
        <v>17861</v>
      </c>
      <c r="N18257" t="str">
        <f>"2/1/2023 4:16:00 PM"</f>
        <v>2/1/2023 4:16:00 PM</v>
      </c>
      <c r="O18257" t="s">
        <v>56004</v>
      </c>
    </row>
    <row r="18258" spans="1:20" x14ac:dyDescent="0.25">
      <c r="A18258" t="str">
        <f>"3040592"</f>
        <v>3040592</v>
      </c>
      <c r="B18258" t="s">
        <v>56007</v>
      </c>
      <c r="C18258" t="str">
        <f>"8319595"</f>
        <v>8319595</v>
      </c>
      <c r="D18258" t="s">
        <v>56004</v>
      </c>
      <c r="F18258" t="s">
        <v>56005</v>
      </c>
      <c r="I18258" t="s">
        <v>471</v>
      </c>
      <c r="J18258" t="s">
        <v>30</v>
      </c>
      <c r="K18258" t="s">
        <v>56006</v>
      </c>
      <c r="M18258" t="s">
        <v>17861</v>
      </c>
      <c r="N18258" t="str">
        <f>"2/1/2023 4:16:00 PM"</f>
        <v>2/1/2023 4:16:00 PM</v>
      </c>
      <c r="O18258" t="s">
        <v>56004</v>
      </c>
    </row>
    <row r="18259" spans="1:20" x14ac:dyDescent="0.25">
      <c r="A18259" t="str">
        <f>"3042116"</f>
        <v>3042116</v>
      </c>
      <c r="B18259" t="s">
        <v>56008</v>
      </c>
      <c r="C18259" t="str">
        <f t="shared" ref="C18259:C18264" si="275">"8319596"</f>
        <v>8319596</v>
      </c>
      <c r="D18259" t="s">
        <v>56009</v>
      </c>
      <c r="E18259" t="str">
        <f t="shared" ref="E18259:E18264" si="276">"HUDSON BRIDGET K/CHARLES S"</f>
        <v>HUDSON BRIDGET K/CHARLES S</v>
      </c>
      <c r="F18259" t="s">
        <v>56010</v>
      </c>
      <c r="I18259" t="s">
        <v>29</v>
      </c>
      <c r="J18259" t="s">
        <v>30</v>
      </c>
      <c r="K18259" t="s">
        <v>56011</v>
      </c>
      <c r="M18259" t="s">
        <v>17861</v>
      </c>
      <c r="N18259" t="str">
        <f t="shared" ref="N18259:N18264" si="277">"2/1/2023 4:25:00 PM"</f>
        <v>2/1/2023 4:25:00 PM</v>
      </c>
      <c r="O18259" t="s">
        <v>56009</v>
      </c>
      <c r="T18259" t="str">
        <f t="shared" ref="T18259:T18264" si="278">"HUDSON BRIDGET K/CHARLES S"</f>
        <v>HUDSON BRIDGET K/CHARLES S</v>
      </c>
    </row>
    <row r="18260" spans="1:20" x14ac:dyDescent="0.25">
      <c r="A18260" t="str">
        <f>"3042199"</f>
        <v>3042199</v>
      </c>
      <c r="B18260" t="s">
        <v>56012</v>
      </c>
      <c r="C18260" t="str">
        <f t="shared" si="275"/>
        <v>8319596</v>
      </c>
      <c r="D18260" t="s">
        <v>56009</v>
      </c>
      <c r="E18260" t="str">
        <f t="shared" si="276"/>
        <v>HUDSON BRIDGET K/CHARLES S</v>
      </c>
      <c r="F18260" t="s">
        <v>56010</v>
      </c>
      <c r="I18260" t="s">
        <v>29</v>
      </c>
      <c r="J18260" t="s">
        <v>30</v>
      </c>
      <c r="K18260" t="s">
        <v>56011</v>
      </c>
      <c r="M18260" t="s">
        <v>17861</v>
      </c>
      <c r="N18260" t="str">
        <f t="shared" si="277"/>
        <v>2/1/2023 4:25:00 PM</v>
      </c>
      <c r="O18260" t="s">
        <v>56009</v>
      </c>
      <c r="T18260" t="str">
        <f t="shared" si="278"/>
        <v>HUDSON BRIDGET K/CHARLES S</v>
      </c>
    </row>
    <row r="18261" spans="1:20" x14ac:dyDescent="0.25">
      <c r="A18261" t="str">
        <f>"3041962"</f>
        <v>3041962</v>
      </c>
      <c r="B18261" t="s">
        <v>56013</v>
      </c>
      <c r="C18261" t="str">
        <f t="shared" si="275"/>
        <v>8319596</v>
      </c>
      <c r="D18261" t="s">
        <v>56009</v>
      </c>
      <c r="E18261" t="str">
        <f t="shared" si="276"/>
        <v>HUDSON BRIDGET K/CHARLES S</v>
      </c>
      <c r="F18261" t="s">
        <v>56010</v>
      </c>
      <c r="I18261" t="s">
        <v>29</v>
      </c>
      <c r="J18261" t="s">
        <v>30</v>
      </c>
      <c r="K18261" t="s">
        <v>56011</v>
      </c>
      <c r="M18261" t="s">
        <v>17861</v>
      </c>
      <c r="N18261" t="str">
        <f t="shared" si="277"/>
        <v>2/1/2023 4:25:00 PM</v>
      </c>
      <c r="O18261" t="s">
        <v>56009</v>
      </c>
      <c r="T18261" t="str">
        <f t="shared" si="278"/>
        <v>HUDSON BRIDGET K/CHARLES S</v>
      </c>
    </row>
    <row r="18262" spans="1:20" x14ac:dyDescent="0.25">
      <c r="A18262" t="str">
        <f>"3042613"</f>
        <v>3042613</v>
      </c>
      <c r="B18262" t="s">
        <v>56014</v>
      </c>
      <c r="C18262" t="str">
        <f t="shared" si="275"/>
        <v>8319596</v>
      </c>
      <c r="D18262" t="s">
        <v>56009</v>
      </c>
      <c r="E18262" t="str">
        <f t="shared" si="276"/>
        <v>HUDSON BRIDGET K/CHARLES S</v>
      </c>
      <c r="F18262" t="s">
        <v>56010</v>
      </c>
      <c r="I18262" t="s">
        <v>29</v>
      </c>
      <c r="J18262" t="s">
        <v>30</v>
      </c>
      <c r="K18262" t="s">
        <v>56011</v>
      </c>
      <c r="M18262" t="s">
        <v>17861</v>
      </c>
      <c r="N18262" t="str">
        <f t="shared" si="277"/>
        <v>2/1/2023 4:25:00 PM</v>
      </c>
      <c r="O18262" t="s">
        <v>56009</v>
      </c>
      <c r="T18262" t="str">
        <f t="shared" si="278"/>
        <v>HUDSON BRIDGET K/CHARLES S</v>
      </c>
    </row>
    <row r="18263" spans="1:20" x14ac:dyDescent="0.25">
      <c r="A18263" t="str">
        <f>"3042593"</f>
        <v>3042593</v>
      </c>
      <c r="B18263" t="s">
        <v>56015</v>
      </c>
      <c r="C18263" t="str">
        <f t="shared" si="275"/>
        <v>8319596</v>
      </c>
      <c r="D18263" t="s">
        <v>56009</v>
      </c>
      <c r="E18263" t="str">
        <f t="shared" si="276"/>
        <v>HUDSON BRIDGET K/CHARLES S</v>
      </c>
      <c r="F18263" t="s">
        <v>56010</v>
      </c>
      <c r="I18263" t="s">
        <v>29</v>
      </c>
      <c r="J18263" t="s">
        <v>30</v>
      </c>
      <c r="K18263" t="s">
        <v>56011</v>
      </c>
      <c r="M18263" t="s">
        <v>17861</v>
      </c>
      <c r="N18263" t="str">
        <f t="shared" si="277"/>
        <v>2/1/2023 4:25:00 PM</v>
      </c>
      <c r="O18263" t="s">
        <v>56009</v>
      </c>
      <c r="T18263" t="str">
        <f t="shared" si="278"/>
        <v>HUDSON BRIDGET K/CHARLES S</v>
      </c>
    </row>
    <row r="18264" spans="1:20" x14ac:dyDescent="0.25">
      <c r="A18264" t="str">
        <f>"3042583"</f>
        <v>3042583</v>
      </c>
      <c r="B18264" t="s">
        <v>56016</v>
      </c>
      <c r="C18264" t="str">
        <f t="shared" si="275"/>
        <v>8319596</v>
      </c>
      <c r="D18264" t="s">
        <v>56009</v>
      </c>
      <c r="E18264" t="str">
        <f t="shared" si="276"/>
        <v>HUDSON BRIDGET K/CHARLES S</v>
      </c>
      <c r="F18264" t="s">
        <v>56010</v>
      </c>
      <c r="I18264" t="s">
        <v>29</v>
      </c>
      <c r="J18264" t="s">
        <v>30</v>
      </c>
      <c r="K18264" t="s">
        <v>56011</v>
      </c>
      <c r="M18264" t="s">
        <v>17861</v>
      </c>
      <c r="N18264" t="str">
        <f t="shared" si="277"/>
        <v>2/1/2023 4:25:00 PM</v>
      </c>
      <c r="O18264" t="s">
        <v>56009</v>
      </c>
      <c r="T18264" t="str">
        <f t="shared" si="278"/>
        <v>HUDSON BRIDGET K/CHARLES S</v>
      </c>
    </row>
    <row r="18265" spans="1:20" x14ac:dyDescent="0.25">
      <c r="A18265" t="str">
        <f>"3051334"</f>
        <v>3051334</v>
      </c>
      <c r="B18265" t="s">
        <v>56017</v>
      </c>
      <c r="C18265" t="str">
        <f>"82523555"</f>
        <v>82523555</v>
      </c>
      <c r="D18265" t="s">
        <v>56018</v>
      </c>
      <c r="E18265" t="s">
        <v>56019</v>
      </c>
      <c r="F18265" t="s">
        <v>56020</v>
      </c>
      <c r="I18265" t="s">
        <v>29</v>
      </c>
      <c r="J18265" t="s">
        <v>30</v>
      </c>
      <c r="K18265" t="s">
        <v>31</v>
      </c>
      <c r="M18265" t="s">
        <v>50621</v>
      </c>
      <c r="N18265" t="str">
        <f>"2/3/2023 12:07:00 PM"</f>
        <v>2/3/2023 12:07:00 PM</v>
      </c>
      <c r="O18265" t="s">
        <v>56018</v>
      </c>
      <c r="T18265" t="s">
        <v>56019</v>
      </c>
    </row>
    <row r="18266" spans="1:20" x14ac:dyDescent="0.25">
      <c r="A18266" t="str">
        <f>"3050568"</f>
        <v>3050568</v>
      </c>
      <c r="B18266" t="s">
        <v>56021</v>
      </c>
      <c r="C18266" t="str">
        <f>"8319654"</f>
        <v>8319654</v>
      </c>
      <c r="D18266" t="s">
        <v>56022</v>
      </c>
      <c r="F18266" t="s">
        <v>56023</v>
      </c>
      <c r="I18266" t="s">
        <v>184</v>
      </c>
      <c r="J18266" t="s">
        <v>30</v>
      </c>
      <c r="K18266" t="s">
        <v>27081</v>
      </c>
      <c r="M18266" t="s">
        <v>17861</v>
      </c>
      <c r="N18266" t="str">
        <f>"2/6/2023 10:42:00 AM"</f>
        <v>2/6/2023 10:42:00 AM</v>
      </c>
      <c r="O18266" t="s">
        <v>56022</v>
      </c>
    </row>
    <row r="18267" spans="1:20" x14ac:dyDescent="0.25">
      <c r="A18267" t="str">
        <f>"3078350"</f>
        <v>3078350</v>
      </c>
      <c r="B18267" t="s">
        <v>56024</v>
      </c>
      <c r="C18267" t="str">
        <f>"8319654"</f>
        <v>8319654</v>
      </c>
      <c r="D18267" t="s">
        <v>56022</v>
      </c>
      <c r="F18267" t="s">
        <v>56023</v>
      </c>
      <c r="I18267" t="s">
        <v>184</v>
      </c>
      <c r="J18267" t="s">
        <v>30</v>
      </c>
      <c r="K18267" t="s">
        <v>27081</v>
      </c>
      <c r="M18267" t="s">
        <v>17861</v>
      </c>
      <c r="N18267" t="str">
        <f>"2/6/2023 10:42:00 AM"</f>
        <v>2/6/2023 10:42:00 AM</v>
      </c>
      <c r="O18267" t="s">
        <v>56022</v>
      </c>
    </row>
    <row r="18268" spans="1:20" x14ac:dyDescent="0.25">
      <c r="A18268" t="str">
        <f>"3050029"</f>
        <v>3050029</v>
      </c>
      <c r="B18268" t="s">
        <v>56025</v>
      </c>
      <c r="C18268" t="str">
        <f>"8319656"</f>
        <v>8319656</v>
      </c>
      <c r="D18268" t="s">
        <v>56026</v>
      </c>
      <c r="E18268" t="s">
        <v>56027</v>
      </c>
      <c r="F18268" t="s">
        <v>56028</v>
      </c>
      <c r="I18268" t="s">
        <v>29</v>
      </c>
      <c r="J18268" t="s">
        <v>30</v>
      </c>
      <c r="K18268" t="s">
        <v>22200</v>
      </c>
      <c r="M18268" t="s">
        <v>17861</v>
      </c>
      <c r="N18268" t="str">
        <f>"2/6/2023 10:57:00 AM"</f>
        <v>2/6/2023 10:57:00 AM</v>
      </c>
      <c r="O18268" t="s">
        <v>56026</v>
      </c>
      <c r="T18268" t="s">
        <v>56027</v>
      </c>
    </row>
    <row r="18269" spans="1:20" x14ac:dyDescent="0.25">
      <c r="A18269" t="str">
        <f>"3058429"</f>
        <v>3058429</v>
      </c>
      <c r="B18269" t="s">
        <v>56029</v>
      </c>
      <c r="C18269" t="str">
        <f>"8319657"</f>
        <v>8319657</v>
      </c>
      <c r="D18269" t="s">
        <v>56030</v>
      </c>
      <c r="E18269" t="s">
        <v>56031</v>
      </c>
      <c r="F18269" t="s">
        <v>56032</v>
      </c>
      <c r="I18269" t="s">
        <v>29</v>
      </c>
      <c r="J18269" t="s">
        <v>30</v>
      </c>
      <c r="K18269" t="str">
        <f>"27028"</f>
        <v>27028</v>
      </c>
      <c r="M18269" t="s">
        <v>17861</v>
      </c>
      <c r="N18269" t="str">
        <f>"2/6/2023 11:01:00 AM"</f>
        <v>2/6/2023 11:01:00 AM</v>
      </c>
      <c r="O18269" t="s">
        <v>56030</v>
      </c>
      <c r="T18269" t="s">
        <v>56031</v>
      </c>
    </row>
    <row r="18270" spans="1:20" x14ac:dyDescent="0.25">
      <c r="A18270" t="str">
        <f>"3058418"</f>
        <v>3058418</v>
      </c>
      <c r="B18270" t="s">
        <v>56033</v>
      </c>
      <c r="C18270" t="str">
        <f>"8319667"</f>
        <v>8319667</v>
      </c>
      <c r="D18270" t="s">
        <v>56034</v>
      </c>
      <c r="F18270" t="s">
        <v>56035</v>
      </c>
      <c r="I18270" t="s">
        <v>17921</v>
      </c>
      <c r="J18270" t="s">
        <v>30</v>
      </c>
      <c r="K18270" t="str">
        <f>"27028"</f>
        <v>27028</v>
      </c>
      <c r="M18270" t="s">
        <v>17861</v>
      </c>
      <c r="N18270" t="str">
        <f>"2/7/2023 1:17:00 PM"</f>
        <v>2/7/2023 1:17:00 PM</v>
      </c>
      <c r="O18270" t="s">
        <v>56034</v>
      </c>
    </row>
    <row r="18271" spans="1:20" x14ac:dyDescent="0.25">
      <c r="A18271" t="str">
        <f>"3053621"</f>
        <v>3053621</v>
      </c>
      <c r="B18271" t="s">
        <v>56036</v>
      </c>
      <c r="C18271" t="str">
        <f>"8319668"</f>
        <v>8319668</v>
      </c>
      <c r="D18271" t="s">
        <v>56037</v>
      </c>
      <c r="F18271" t="s">
        <v>56038</v>
      </c>
      <c r="I18271" t="s">
        <v>14849</v>
      </c>
      <c r="J18271" t="s">
        <v>30</v>
      </c>
      <c r="K18271" t="s">
        <v>56039</v>
      </c>
      <c r="M18271" t="s">
        <v>17861</v>
      </c>
      <c r="N18271" t="str">
        <f>"2/7/2023 2:27:00 PM"</f>
        <v>2/7/2023 2:27:00 PM</v>
      </c>
      <c r="O18271" t="s">
        <v>56037</v>
      </c>
    </row>
    <row r="18272" spans="1:20" x14ac:dyDescent="0.25">
      <c r="A18272" t="str">
        <f>"3053728"</f>
        <v>3053728</v>
      </c>
      <c r="B18272" t="s">
        <v>56040</v>
      </c>
      <c r="C18272" t="str">
        <f>"8319668"</f>
        <v>8319668</v>
      </c>
      <c r="D18272" t="s">
        <v>56037</v>
      </c>
      <c r="F18272" t="s">
        <v>56038</v>
      </c>
      <c r="I18272" t="s">
        <v>14849</v>
      </c>
      <c r="J18272" t="s">
        <v>30</v>
      </c>
      <c r="K18272" t="s">
        <v>56039</v>
      </c>
      <c r="M18272" t="s">
        <v>17861</v>
      </c>
      <c r="N18272" t="str">
        <f>"2/7/2023 2:27:00 PM"</f>
        <v>2/7/2023 2:27:00 PM</v>
      </c>
      <c r="O18272" t="s">
        <v>56037</v>
      </c>
    </row>
    <row r="18273" spans="1:20" x14ac:dyDescent="0.25">
      <c r="A18273" t="str">
        <f>"3056276"</f>
        <v>3056276</v>
      </c>
      <c r="B18273" t="s">
        <v>56041</v>
      </c>
      <c r="C18273" t="str">
        <f>"8319669"</f>
        <v>8319669</v>
      </c>
      <c r="D18273" t="s">
        <v>56042</v>
      </c>
      <c r="E18273" t="s">
        <v>56043</v>
      </c>
      <c r="F18273" t="s">
        <v>56044</v>
      </c>
      <c r="I18273" t="s">
        <v>29</v>
      </c>
      <c r="J18273" t="s">
        <v>30</v>
      </c>
      <c r="K18273" t="s">
        <v>16358</v>
      </c>
      <c r="M18273" t="s">
        <v>17861</v>
      </c>
      <c r="N18273" t="str">
        <f>"2/8/2023 9:26:00 AM"</f>
        <v>2/8/2023 9:26:00 AM</v>
      </c>
      <c r="O18273" t="s">
        <v>56042</v>
      </c>
      <c r="T18273" t="s">
        <v>56043</v>
      </c>
    </row>
    <row r="18274" spans="1:20" x14ac:dyDescent="0.25">
      <c r="A18274" t="str">
        <f>"3056529"</f>
        <v>3056529</v>
      </c>
      <c r="B18274" t="s">
        <v>56045</v>
      </c>
      <c r="C18274" t="str">
        <f>"8319669"</f>
        <v>8319669</v>
      </c>
      <c r="D18274" t="s">
        <v>56042</v>
      </c>
      <c r="E18274" t="s">
        <v>56043</v>
      </c>
      <c r="F18274" t="s">
        <v>56044</v>
      </c>
      <c r="I18274" t="s">
        <v>29</v>
      </c>
      <c r="J18274" t="s">
        <v>30</v>
      </c>
      <c r="K18274" t="s">
        <v>16358</v>
      </c>
      <c r="M18274" t="s">
        <v>17861</v>
      </c>
      <c r="N18274" t="str">
        <f>"2/8/2023 9:26:00 AM"</f>
        <v>2/8/2023 9:26:00 AM</v>
      </c>
      <c r="O18274" t="s">
        <v>56042</v>
      </c>
      <c r="T18274" t="s">
        <v>56043</v>
      </c>
    </row>
    <row r="18275" spans="1:20" x14ac:dyDescent="0.25">
      <c r="A18275" t="str">
        <f>"3059155"</f>
        <v>3059155</v>
      </c>
      <c r="B18275" t="s">
        <v>56046</v>
      </c>
      <c r="C18275" t="str">
        <f>"8317665"</f>
        <v>8317665</v>
      </c>
      <c r="D18275" t="s">
        <v>56047</v>
      </c>
      <c r="E18275" t="s">
        <v>56048</v>
      </c>
      <c r="F18275" t="s">
        <v>56049</v>
      </c>
      <c r="I18275" t="s">
        <v>29</v>
      </c>
      <c r="J18275" t="s">
        <v>30</v>
      </c>
      <c r="K18275" t="s">
        <v>44600</v>
      </c>
      <c r="M18275" t="s">
        <v>17861</v>
      </c>
      <c r="N18275" t="str">
        <f>"2/8/2023 9:36:00 AM"</f>
        <v>2/8/2023 9:36:00 AM</v>
      </c>
      <c r="O18275" t="s">
        <v>56047</v>
      </c>
      <c r="T18275" t="s">
        <v>56048</v>
      </c>
    </row>
    <row r="18276" spans="1:20" x14ac:dyDescent="0.25">
      <c r="A18276" t="str">
        <f>"3060890"</f>
        <v>3060890</v>
      </c>
      <c r="B18276" t="s">
        <v>56050</v>
      </c>
      <c r="C18276" t="str">
        <f>"8319671"</f>
        <v>8319671</v>
      </c>
      <c r="D18276" t="s">
        <v>56051</v>
      </c>
      <c r="F18276" t="s">
        <v>56052</v>
      </c>
      <c r="I18276" t="s">
        <v>2071</v>
      </c>
      <c r="J18276" t="s">
        <v>30</v>
      </c>
      <c r="K18276" t="s">
        <v>56053</v>
      </c>
      <c r="M18276" t="s">
        <v>17861</v>
      </c>
      <c r="N18276" t="str">
        <f>"2/8/2023 10:02:00 AM"</f>
        <v>2/8/2023 10:02:00 AM</v>
      </c>
      <c r="O18276" t="s">
        <v>56051</v>
      </c>
    </row>
    <row r="18277" spans="1:20" x14ac:dyDescent="0.25">
      <c r="A18277" t="str">
        <f>"3055338"</f>
        <v>3055338</v>
      </c>
      <c r="B18277" t="s">
        <v>56054</v>
      </c>
      <c r="C18277" t="str">
        <f>"8319582"</f>
        <v>8319582</v>
      </c>
      <c r="D18277" t="s">
        <v>56055</v>
      </c>
      <c r="F18277" t="s">
        <v>56056</v>
      </c>
      <c r="I18277" t="s">
        <v>29</v>
      </c>
      <c r="J18277" t="s">
        <v>30</v>
      </c>
      <c r="K18277" t="s">
        <v>38490</v>
      </c>
      <c r="M18277" t="s">
        <v>17861</v>
      </c>
      <c r="N18277" t="str">
        <f>"1/31/2023 1:48:00 PM"</f>
        <v>1/31/2023 1:48:00 PM</v>
      </c>
      <c r="O18277" t="s">
        <v>56055</v>
      </c>
    </row>
    <row r="18278" spans="1:20" x14ac:dyDescent="0.25">
      <c r="A18278" t="str">
        <f>"3039976"</f>
        <v>3039976</v>
      </c>
      <c r="B18278" t="s">
        <v>56057</v>
      </c>
      <c r="C18278" t="str">
        <f>"8319583"</f>
        <v>8319583</v>
      </c>
      <c r="D18278" t="s">
        <v>56058</v>
      </c>
      <c r="E18278" t="s">
        <v>56059</v>
      </c>
      <c r="F18278" t="s">
        <v>56060</v>
      </c>
      <c r="I18278" t="s">
        <v>2280</v>
      </c>
      <c r="J18278" t="s">
        <v>30</v>
      </c>
      <c r="K18278" t="s">
        <v>56061</v>
      </c>
      <c r="M18278" t="s">
        <v>17861</v>
      </c>
      <c r="N18278" t="str">
        <f>"1/31/2023 3:16:00 PM"</f>
        <v>1/31/2023 3:16:00 PM</v>
      </c>
      <c r="O18278" t="s">
        <v>56058</v>
      </c>
      <c r="T18278" t="s">
        <v>56059</v>
      </c>
    </row>
    <row r="18279" spans="1:20" x14ac:dyDescent="0.25">
      <c r="A18279" t="str">
        <f>"3060404"</f>
        <v>3060404</v>
      </c>
      <c r="B18279" t="s">
        <v>56062</v>
      </c>
      <c r="C18279" t="str">
        <f>"8319584"</f>
        <v>8319584</v>
      </c>
      <c r="D18279" t="s">
        <v>56063</v>
      </c>
      <c r="E18279" t="s">
        <v>56064</v>
      </c>
      <c r="F18279" t="s">
        <v>56065</v>
      </c>
      <c r="I18279" t="s">
        <v>2071</v>
      </c>
      <c r="J18279" t="s">
        <v>30</v>
      </c>
      <c r="K18279" t="s">
        <v>3728</v>
      </c>
      <c r="M18279" t="s">
        <v>17861</v>
      </c>
      <c r="N18279" t="str">
        <f>"1/31/2023 3:20:00 PM"</f>
        <v>1/31/2023 3:20:00 PM</v>
      </c>
      <c r="O18279" t="s">
        <v>56063</v>
      </c>
      <c r="T18279" t="s">
        <v>56064</v>
      </c>
    </row>
    <row r="18280" spans="1:20" x14ac:dyDescent="0.25">
      <c r="A18280" t="str">
        <f>"3038728"</f>
        <v>3038728</v>
      </c>
      <c r="B18280" t="s">
        <v>56066</v>
      </c>
      <c r="C18280" t="str">
        <f>"8319688"</f>
        <v>8319688</v>
      </c>
      <c r="D18280" t="s">
        <v>56067</v>
      </c>
      <c r="F18280" t="s">
        <v>56068</v>
      </c>
      <c r="I18280" t="s">
        <v>29</v>
      </c>
      <c r="J18280" t="s">
        <v>30</v>
      </c>
      <c r="K18280" t="s">
        <v>232</v>
      </c>
      <c r="M18280" t="s">
        <v>17861</v>
      </c>
      <c r="N18280" t="str">
        <f>"2/10/2023 2:47:00 PM"</f>
        <v>2/10/2023 2:47:00 PM</v>
      </c>
      <c r="O18280" t="s">
        <v>56067</v>
      </c>
    </row>
    <row r="18281" spans="1:20" x14ac:dyDescent="0.25">
      <c r="A18281" t="str">
        <f>"3077742"</f>
        <v>3077742</v>
      </c>
      <c r="B18281" t="s">
        <v>56069</v>
      </c>
      <c r="C18281" t="str">
        <f>"8314831"</f>
        <v>8314831</v>
      </c>
      <c r="D18281" t="s">
        <v>56070</v>
      </c>
      <c r="E18281" t="str">
        <f>"BARNETTE WILLIAM M/ZERYL W CO-"</f>
        <v>BARNETTE WILLIAM M/ZERYL W CO-</v>
      </c>
      <c r="F18281" t="s">
        <v>9241</v>
      </c>
      <c r="I18281" t="s">
        <v>56071</v>
      </c>
      <c r="J18281" t="s">
        <v>30</v>
      </c>
      <c r="K18281" t="s">
        <v>56072</v>
      </c>
      <c r="M18281" t="s">
        <v>50621</v>
      </c>
      <c r="N18281" t="str">
        <f>"2/13/2023 9:45:00 AM"</f>
        <v>2/13/2023 9:45:00 AM</v>
      </c>
      <c r="O18281" t="s">
        <v>56070</v>
      </c>
      <c r="T18281" t="str">
        <f>"BARNETTE WILLIAM M/ZERYL W CO-"</f>
        <v>BARNETTE WILLIAM M/ZERYL W CO-</v>
      </c>
    </row>
    <row r="18282" spans="1:20" x14ac:dyDescent="0.25">
      <c r="A18282" t="str">
        <f>"3055690"</f>
        <v>3055690</v>
      </c>
      <c r="B18282" t="s">
        <v>56073</v>
      </c>
      <c r="C18282" t="str">
        <f>"82513247"</f>
        <v>82513247</v>
      </c>
      <c r="D18282" t="s">
        <v>56074</v>
      </c>
      <c r="F18282" t="s">
        <v>56075</v>
      </c>
      <c r="I18282" t="s">
        <v>2681</v>
      </c>
      <c r="J18282" t="s">
        <v>30</v>
      </c>
      <c r="K18282" t="s">
        <v>7889</v>
      </c>
      <c r="M18282" t="s">
        <v>50621</v>
      </c>
      <c r="N18282" t="str">
        <f>"2/10/2023 4:11:00 PM"</f>
        <v>2/10/2023 4:11:00 PM</v>
      </c>
      <c r="O18282" t="s">
        <v>56074</v>
      </c>
    </row>
    <row r="18283" spans="1:20" x14ac:dyDescent="0.25">
      <c r="A18283" t="str">
        <f>"3052786"</f>
        <v>3052786</v>
      </c>
      <c r="B18283" t="s">
        <v>56076</v>
      </c>
      <c r="C18283" t="str">
        <f>"8313103"</f>
        <v>8313103</v>
      </c>
      <c r="D18283" t="s">
        <v>56077</v>
      </c>
      <c r="F18283" t="s">
        <v>56078</v>
      </c>
      <c r="G18283" t="s">
        <v>56079</v>
      </c>
      <c r="I18283" t="s">
        <v>1149</v>
      </c>
      <c r="J18283" t="s">
        <v>30</v>
      </c>
      <c r="K18283" t="s">
        <v>35021</v>
      </c>
      <c r="M18283" t="s">
        <v>50793</v>
      </c>
      <c r="N18283" t="str">
        <f>"2/8/2023 1:32:00 PM"</f>
        <v>2/8/2023 1:32:00 PM</v>
      </c>
      <c r="O18283" t="s">
        <v>56077</v>
      </c>
    </row>
    <row r="18284" spans="1:20" x14ac:dyDescent="0.25">
      <c r="A18284" t="str">
        <f>"3048385"</f>
        <v>3048385</v>
      </c>
      <c r="B18284" t="s">
        <v>56080</v>
      </c>
      <c r="C18284" t="str">
        <f>"28596000"</f>
        <v>28596000</v>
      </c>
      <c r="D18284" t="s">
        <v>56081</v>
      </c>
      <c r="F18284" t="s">
        <v>54138</v>
      </c>
      <c r="I18284" t="s">
        <v>29</v>
      </c>
      <c r="J18284" t="s">
        <v>30</v>
      </c>
      <c r="K18284" t="s">
        <v>31</v>
      </c>
      <c r="M18284" t="s">
        <v>50793</v>
      </c>
      <c r="N18284" t="str">
        <f>"2/8/2023 1:48:00 PM"</f>
        <v>2/8/2023 1:48:00 PM</v>
      </c>
      <c r="O18284" t="s">
        <v>56081</v>
      </c>
    </row>
    <row r="18285" spans="1:20" x14ac:dyDescent="0.25">
      <c r="A18285" t="str">
        <f>"3048959"</f>
        <v>3048959</v>
      </c>
      <c r="B18285" t="s">
        <v>56082</v>
      </c>
      <c r="C18285" t="str">
        <f>"82526014"</f>
        <v>82526014</v>
      </c>
      <c r="D18285" t="s">
        <v>56083</v>
      </c>
      <c r="F18285" t="s">
        <v>56084</v>
      </c>
      <c r="G18285" t="s">
        <v>56085</v>
      </c>
      <c r="I18285" t="s">
        <v>29</v>
      </c>
      <c r="J18285" t="s">
        <v>30</v>
      </c>
      <c r="K18285" t="s">
        <v>31</v>
      </c>
      <c r="M18285" t="s">
        <v>50793</v>
      </c>
      <c r="N18285" t="str">
        <f>"2/8/2023 1:56:00 PM"</f>
        <v>2/8/2023 1:56:00 PM</v>
      </c>
      <c r="O18285" t="s">
        <v>56083</v>
      </c>
    </row>
    <row r="18286" spans="1:20" x14ac:dyDescent="0.25">
      <c r="A18286" t="str">
        <f>"3047474"</f>
        <v>3047474</v>
      </c>
      <c r="B18286" t="s">
        <v>56086</v>
      </c>
      <c r="C18286" t="str">
        <f>"8319675"</f>
        <v>8319675</v>
      </c>
      <c r="D18286" t="s">
        <v>56087</v>
      </c>
      <c r="E18286" t="s">
        <v>56088</v>
      </c>
      <c r="F18286" t="s">
        <v>56089</v>
      </c>
      <c r="I18286" t="s">
        <v>1149</v>
      </c>
      <c r="J18286" t="s">
        <v>30</v>
      </c>
      <c r="K18286" t="s">
        <v>56090</v>
      </c>
      <c r="M18286" t="s">
        <v>17861</v>
      </c>
      <c r="N18286" t="str">
        <f>"2/8/2023 2:22:00 PM"</f>
        <v>2/8/2023 2:22:00 PM</v>
      </c>
      <c r="O18286" t="s">
        <v>56087</v>
      </c>
      <c r="T18286" t="s">
        <v>56088</v>
      </c>
    </row>
    <row r="18287" spans="1:20" x14ac:dyDescent="0.25">
      <c r="A18287" t="str">
        <f>"3056567"</f>
        <v>3056567</v>
      </c>
      <c r="B18287" t="s">
        <v>56091</v>
      </c>
      <c r="C18287" t="str">
        <f>"8319676"</f>
        <v>8319676</v>
      </c>
      <c r="D18287" t="s">
        <v>16033</v>
      </c>
      <c r="F18287" t="s">
        <v>56092</v>
      </c>
      <c r="I18287" t="s">
        <v>29</v>
      </c>
      <c r="J18287" t="s">
        <v>30</v>
      </c>
      <c r="K18287" t="s">
        <v>16035</v>
      </c>
      <c r="M18287" t="s">
        <v>17861</v>
      </c>
      <c r="N18287" t="str">
        <f>"2/8/2023 2:32:00 PM"</f>
        <v>2/8/2023 2:32:00 PM</v>
      </c>
      <c r="O18287" t="s">
        <v>16033</v>
      </c>
    </row>
    <row r="18288" spans="1:20" x14ac:dyDescent="0.25">
      <c r="A18288" t="str">
        <f>"3056396"</f>
        <v>3056396</v>
      </c>
      <c r="B18288" t="s">
        <v>56093</v>
      </c>
      <c r="C18288" t="str">
        <f>"8319676"</f>
        <v>8319676</v>
      </c>
      <c r="D18288" t="s">
        <v>16033</v>
      </c>
      <c r="F18288" t="s">
        <v>56092</v>
      </c>
      <c r="I18288" t="s">
        <v>29</v>
      </c>
      <c r="J18288" t="s">
        <v>30</v>
      </c>
      <c r="K18288" t="s">
        <v>16035</v>
      </c>
      <c r="M18288" t="s">
        <v>17861</v>
      </c>
      <c r="N18288" t="str">
        <f>"2/8/2023 2:32:00 PM"</f>
        <v>2/8/2023 2:32:00 PM</v>
      </c>
      <c r="O18288" t="s">
        <v>16033</v>
      </c>
    </row>
    <row r="18289" spans="1:20" x14ac:dyDescent="0.25">
      <c r="A18289" t="str">
        <f>"3056756"</f>
        <v>3056756</v>
      </c>
      <c r="B18289" t="s">
        <v>56094</v>
      </c>
      <c r="C18289" t="str">
        <f>"8319676"</f>
        <v>8319676</v>
      </c>
      <c r="D18289" t="s">
        <v>16033</v>
      </c>
      <c r="F18289" t="s">
        <v>56092</v>
      </c>
      <c r="I18289" t="s">
        <v>29</v>
      </c>
      <c r="J18289" t="s">
        <v>30</v>
      </c>
      <c r="K18289" t="s">
        <v>16035</v>
      </c>
      <c r="M18289" t="s">
        <v>17861</v>
      </c>
      <c r="N18289" t="str">
        <f>"2/8/2023 2:32:00 PM"</f>
        <v>2/8/2023 2:32:00 PM</v>
      </c>
      <c r="O18289" t="s">
        <v>16033</v>
      </c>
    </row>
    <row r="18290" spans="1:20" x14ac:dyDescent="0.25">
      <c r="A18290" t="str">
        <f>"3056199"</f>
        <v>3056199</v>
      </c>
      <c r="B18290" t="s">
        <v>56095</v>
      </c>
      <c r="C18290" t="str">
        <f>"8319677"</f>
        <v>8319677</v>
      </c>
      <c r="D18290" t="s">
        <v>56096</v>
      </c>
      <c r="E18290" t="s">
        <v>56097</v>
      </c>
      <c r="F18290" t="s">
        <v>56098</v>
      </c>
      <c r="I18290" t="s">
        <v>29</v>
      </c>
      <c r="J18290" t="s">
        <v>30</v>
      </c>
      <c r="K18290" t="s">
        <v>56099</v>
      </c>
      <c r="M18290" t="s">
        <v>17861</v>
      </c>
      <c r="N18290" t="str">
        <f>"2/9/2023 10:29:00 AM"</f>
        <v>2/9/2023 10:29:00 AM</v>
      </c>
      <c r="O18290" t="s">
        <v>56096</v>
      </c>
      <c r="T18290" t="s">
        <v>56097</v>
      </c>
    </row>
    <row r="18291" spans="1:20" x14ac:dyDescent="0.25">
      <c r="A18291" t="str">
        <f>"3056095"</f>
        <v>3056095</v>
      </c>
      <c r="B18291" t="s">
        <v>56100</v>
      </c>
      <c r="C18291" t="str">
        <f>"8319677"</f>
        <v>8319677</v>
      </c>
      <c r="D18291" t="s">
        <v>56096</v>
      </c>
      <c r="E18291" t="s">
        <v>56097</v>
      </c>
      <c r="F18291" t="s">
        <v>56098</v>
      </c>
      <c r="I18291" t="s">
        <v>29</v>
      </c>
      <c r="J18291" t="s">
        <v>30</v>
      </c>
      <c r="K18291" t="s">
        <v>56099</v>
      </c>
      <c r="M18291" t="s">
        <v>17861</v>
      </c>
      <c r="N18291" t="str">
        <f>"2/9/2023 10:29:00 AM"</f>
        <v>2/9/2023 10:29:00 AM</v>
      </c>
      <c r="O18291" t="s">
        <v>56096</v>
      </c>
      <c r="T18291" t="s">
        <v>56097</v>
      </c>
    </row>
    <row r="18292" spans="1:20" x14ac:dyDescent="0.25">
      <c r="A18292" t="str">
        <f>"3056106"</f>
        <v>3056106</v>
      </c>
      <c r="B18292" t="s">
        <v>56101</v>
      </c>
      <c r="C18292" t="str">
        <f>"8319677"</f>
        <v>8319677</v>
      </c>
      <c r="D18292" t="s">
        <v>56096</v>
      </c>
      <c r="E18292" t="s">
        <v>56097</v>
      </c>
      <c r="F18292" t="s">
        <v>56098</v>
      </c>
      <c r="I18292" t="s">
        <v>29</v>
      </c>
      <c r="J18292" t="s">
        <v>30</v>
      </c>
      <c r="K18292" t="s">
        <v>56099</v>
      </c>
      <c r="M18292" t="s">
        <v>17861</v>
      </c>
      <c r="N18292" t="str">
        <f>"2/9/2023 10:29:00 AM"</f>
        <v>2/9/2023 10:29:00 AM</v>
      </c>
      <c r="O18292" t="s">
        <v>56096</v>
      </c>
      <c r="T18292" t="s">
        <v>56097</v>
      </c>
    </row>
    <row r="18293" spans="1:20" x14ac:dyDescent="0.25">
      <c r="A18293" t="str">
        <f>"3053726"</f>
        <v>3053726</v>
      </c>
      <c r="B18293" t="s">
        <v>56102</v>
      </c>
      <c r="C18293" t="str">
        <f>"8319678"</f>
        <v>8319678</v>
      </c>
      <c r="D18293" t="s">
        <v>56103</v>
      </c>
      <c r="F18293" t="s">
        <v>56104</v>
      </c>
      <c r="I18293" t="s">
        <v>29</v>
      </c>
      <c r="J18293" t="s">
        <v>30</v>
      </c>
      <c r="K18293" t="s">
        <v>35275</v>
      </c>
      <c r="M18293" t="s">
        <v>17861</v>
      </c>
      <c r="N18293" t="str">
        <f>"2/9/2023 3:10:00 PM"</f>
        <v>2/9/2023 3:10:00 PM</v>
      </c>
      <c r="O18293" t="s">
        <v>56103</v>
      </c>
    </row>
    <row r="18294" spans="1:20" x14ac:dyDescent="0.25">
      <c r="A18294" t="str">
        <f>"3055475"</f>
        <v>3055475</v>
      </c>
      <c r="B18294" t="s">
        <v>56105</v>
      </c>
      <c r="C18294" t="str">
        <f>"8306464"</f>
        <v>8306464</v>
      </c>
      <c r="D18294" t="s">
        <v>16289</v>
      </c>
      <c r="E18294" t="s">
        <v>56106</v>
      </c>
      <c r="F18294" t="s">
        <v>56107</v>
      </c>
      <c r="I18294" t="s">
        <v>29</v>
      </c>
      <c r="J18294" t="s">
        <v>30</v>
      </c>
      <c r="K18294" t="str">
        <f>"27028"</f>
        <v>27028</v>
      </c>
      <c r="M18294" t="s">
        <v>50793</v>
      </c>
      <c r="N18294" t="str">
        <f>"2/14/2023 10:12:00 AM"</f>
        <v>2/14/2023 10:12:00 AM</v>
      </c>
      <c r="O18294" t="s">
        <v>16289</v>
      </c>
      <c r="T18294" t="s">
        <v>56106</v>
      </c>
    </row>
    <row r="18295" spans="1:20" x14ac:dyDescent="0.25">
      <c r="A18295" t="str">
        <f>"3054803"</f>
        <v>3054803</v>
      </c>
      <c r="B18295" t="s">
        <v>56108</v>
      </c>
      <c r="C18295" t="str">
        <f>"8306464"</f>
        <v>8306464</v>
      </c>
      <c r="D18295" t="s">
        <v>16289</v>
      </c>
      <c r="E18295" t="s">
        <v>56106</v>
      </c>
      <c r="F18295" t="s">
        <v>56107</v>
      </c>
      <c r="I18295" t="s">
        <v>29</v>
      </c>
      <c r="J18295" t="s">
        <v>30</v>
      </c>
      <c r="K18295" t="str">
        <f>"27028"</f>
        <v>27028</v>
      </c>
      <c r="M18295" t="s">
        <v>50793</v>
      </c>
      <c r="N18295" t="str">
        <f>"2/14/2023 10:12:00 AM"</f>
        <v>2/14/2023 10:12:00 AM</v>
      </c>
      <c r="O18295" t="s">
        <v>16289</v>
      </c>
      <c r="T18295" t="s">
        <v>56106</v>
      </c>
    </row>
    <row r="18296" spans="1:20" x14ac:dyDescent="0.25">
      <c r="A18296" t="str">
        <f>"3052064"</f>
        <v>3052064</v>
      </c>
      <c r="B18296" t="s">
        <v>56109</v>
      </c>
      <c r="C18296" t="str">
        <f>"8319681"</f>
        <v>8319681</v>
      </c>
      <c r="D18296" t="s">
        <v>48174</v>
      </c>
      <c r="F18296" t="s">
        <v>29325</v>
      </c>
      <c r="I18296" t="s">
        <v>29</v>
      </c>
      <c r="J18296" t="s">
        <v>30</v>
      </c>
      <c r="K18296" t="s">
        <v>33487</v>
      </c>
      <c r="M18296" t="s">
        <v>17861</v>
      </c>
      <c r="N18296" t="str">
        <f>"2/9/2023 4:15:00 PM"</f>
        <v>2/9/2023 4:15:00 PM</v>
      </c>
      <c r="O18296" t="s">
        <v>48174</v>
      </c>
    </row>
    <row r="18297" spans="1:20" x14ac:dyDescent="0.25">
      <c r="A18297" t="str">
        <f>"3037804"</f>
        <v>3037804</v>
      </c>
      <c r="B18297" t="s">
        <v>56110</v>
      </c>
      <c r="C18297" t="str">
        <f>"8300447"</f>
        <v>8300447</v>
      </c>
      <c r="D18297" t="s">
        <v>27813</v>
      </c>
      <c r="F18297" t="s">
        <v>27815</v>
      </c>
      <c r="I18297" t="s">
        <v>29</v>
      </c>
      <c r="J18297" t="s">
        <v>30</v>
      </c>
      <c r="K18297" t="s">
        <v>31</v>
      </c>
      <c r="M18297" t="s">
        <v>50793</v>
      </c>
      <c r="N18297" t="str">
        <f>"2/14/2023 10:24:00 AM"</f>
        <v>2/14/2023 10:24:00 AM</v>
      </c>
      <c r="O18297" t="s">
        <v>27813</v>
      </c>
    </row>
    <row r="18298" spans="1:20" x14ac:dyDescent="0.25">
      <c r="A18298" t="str">
        <f>"3037818"</f>
        <v>3037818</v>
      </c>
      <c r="B18298" t="s">
        <v>56111</v>
      </c>
      <c r="C18298" t="str">
        <f>"8300447"</f>
        <v>8300447</v>
      </c>
      <c r="D18298" t="s">
        <v>27813</v>
      </c>
      <c r="F18298" t="s">
        <v>27815</v>
      </c>
      <c r="I18298" t="s">
        <v>29</v>
      </c>
      <c r="J18298" t="s">
        <v>30</v>
      </c>
      <c r="K18298" t="s">
        <v>31</v>
      </c>
      <c r="M18298" t="s">
        <v>50793</v>
      </c>
      <c r="N18298" t="str">
        <f>"2/14/2023 10:24:00 AM"</f>
        <v>2/14/2023 10:24:00 AM</v>
      </c>
      <c r="O18298" t="s">
        <v>27813</v>
      </c>
    </row>
    <row r="18299" spans="1:20" x14ac:dyDescent="0.25">
      <c r="A18299" t="str">
        <f>"3037809"</f>
        <v>3037809</v>
      </c>
      <c r="B18299" t="s">
        <v>56112</v>
      </c>
      <c r="C18299" t="str">
        <f>"8300447"</f>
        <v>8300447</v>
      </c>
      <c r="D18299" t="s">
        <v>27813</v>
      </c>
      <c r="F18299" t="s">
        <v>27815</v>
      </c>
      <c r="I18299" t="s">
        <v>29</v>
      </c>
      <c r="J18299" t="s">
        <v>30</v>
      </c>
      <c r="K18299" t="s">
        <v>31</v>
      </c>
      <c r="M18299" t="s">
        <v>50793</v>
      </c>
      <c r="N18299" t="str">
        <f>"2/14/2023 10:24:00 AM"</f>
        <v>2/14/2023 10:24:00 AM</v>
      </c>
      <c r="O18299" t="s">
        <v>27813</v>
      </c>
    </row>
    <row r="18300" spans="1:20" x14ac:dyDescent="0.25">
      <c r="A18300" t="str">
        <f>"3077089"</f>
        <v>3077089</v>
      </c>
      <c r="B18300" t="s">
        <v>56113</v>
      </c>
      <c r="C18300" t="str">
        <f>"8300447"</f>
        <v>8300447</v>
      </c>
      <c r="D18300" t="s">
        <v>27813</v>
      </c>
      <c r="F18300" t="s">
        <v>27815</v>
      </c>
      <c r="I18300" t="s">
        <v>29</v>
      </c>
      <c r="J18300" t="s">
        <v>30</v>
      </c>
      <c r="K18300" t="s">
        <v>31</v>
      </c>
      <c r="M18300" t="s">
        <v>50793</v>
      </c>
      <c r="N18300" t="str">
        <f>"2/14/2023 10:24:00 AM"</f>
        <v>2/14/2023 10:24:00 AM</v>
      </c>
      <c r="O18300" t="s">
        <v>27813</v>
      </c>
    </row>
    <row r="18301" spans="1:20" x14ac:dyDescent="0.25">
      <c r="A18301" t="str">
        <f>"3077064"</f>
        <v>3077064</v>
      </c>
      <c r="B18301" t="s">
        <v>56114</v>
      </c>
      <c r="C18301" t="str">
        <f>"8300447"</f>
        <v>8300447</v>
      </c>
      <c r="D18301" t="s">
        <v>27813</v>
      </c>
      <c r="F18301" t="s">
        <v>27815</v>
      </c>
      <c r="I18301" t="s">
        <v>29</v>
      </c>
      <c r="J18301" t="s">
        <v>30</v>
      </c>
      <c r="K18301" t="s">
        <v>31</v>
      </c>
      <c r="M18301" t="s">
        <v>50793</v>
      </c>
      <c r="N18301" t="str">
        <f>"2/14/2023 10:24:00 AM"</f>
        <v>2/14/2023 10:24:00 AM</v>
      </c>
      <c r="O18301" t="s">
        <v>27813</v>
      </c>
    </row>
    <row r="18302" spans="1:20" x14ac:dyDescent="0.25">
      <c r="A18302" t="str">
        <f>"3051639"</f>
        <v>3051639</v>
      </c>
      <c r="B18302" t="s">
        <v>56115</v>
      </c>
      <c r="C18302" t="str">
        <f>"8319681"</f>
        <v>8319681</v>
      </c>
      <c r="D18302" t="s">
        <v>48174</v>
      </c>
      <c r="F18302" t="s">
        <v>29325</v>
      </c>
      <c r="I18302" t="s">
        <v>29</v>
      </c>
      <c r="J18302" t="s">
        <v>30</v>
      </c>
      <c r="K18302" t="s">
        <v>33487</v>
      </c>
      <c r="M18302" t="s">
        <v>17861</v>
      </c>
      <c r="N18302" t="str">
        <f>"2/9/2023 4:15:00 PM"</f>
        <v>2/9/2023 4:15:00 PM</v>
      </c>
      <c r="O18302" t="s">
        <v>48174</v>
      </c>
    </row>
    <row r="18303" spans="1:20" x14ac:dyDescent="0.25">
      <c r="A18303" t="str">
        <f>"3051672"</f>
        <v>3051672</v>
      </c>
      <c r="B18303" t="s">
        <v>56116</v>
      </c>
      <c r="C18303" t="str">
        <f>"8319681"</f>
        <v>8319681</v>
      </c>
      <c r="D18303" t="s">
        <v>48174</v>
      </c>
      <c r="F18303" t="s">
        <v>29325</v>
      </c>
      <c r="I18303" t="s">
        <v>29</v>
      </c>
      <c r="J18303" t="s">
        <v>30</v>
      </c>
      <c r="K18303" t="s">
        <v>33487</v>
      </c>
      <c r="M18303" t="s">
        <v>17861</v>
      </c>
      <c r="N18303" t="str">
        <f>"2/9/2023 4:15:00 PM"</f>
        <v>2/9/2023 4:15:00 PM</v>
      </c>
      <c r="O18303" t="s">
        <v>48174</v>
      </c>
    </row>
    <row r="18304" spans="1:20" x14ac:dyDescent="0.25">
      <c r="A18304" t="str">
        <f>"3065827"</f>
        <v>3065827</v>
      </c>
      <c r="B18304" t="s">
        <v>56117</v>
      </c>
      <c r="C18304" t="str">
        <f>"8319682"</f>
        <v>8319682</v>
      </c>
      <c r="D18304" t="s">
        <v>56118</v>
      </c>
      <c r="E18304" t="s">
        <v>56119</v>
      </c>
      <c r="F18304" t="s">
        <v>56120</v>
      </c>
      <c r="I18304" t="s">
        <v>29</v>
      </c>
      <c r="J18304" t="s">
        <v>30</v>
      </c>
      <c r="K18304" t="s">
        <v>43014</v>
      </c>
      <c r="M18304" t="s">
        <v>17861</v>
      </c>
      <c r="N18304" t="str">
        <f>"2/10/2023 8:51:00 AM"</f>
        <v>2/10/2023 8:51:00 AM</v>
      </c>
      <c r="O18304" t="s">
        <v>56118</v>
      </c>
      <c r="T18304" t="s">
        <v>56119</v>
      </c>
    </row>
    <row r="18305" spans="1:20" x14ac:dyDescent="0.25">
      <c r="A18305" t="str">
        <f>"3045533"</f>
        <v>3045533</v>
      </c>
      <c r="B18305" t="s">
        <v>56121</v>
      </c>
      <c r="C18305" t="str">
        <f>"8319684"</f>
        <v>8319684</v>
      </c>
      <c r="D18305" t="s">
        <v>24061</v>
      </c>
      <c r="F18305" t="s">
        <v>56122</v>
      </c>
      <c r="I18305" t="s">
        <v>29</v>
      </c>
      <c r="J18305" t="s">
        <v>30</v>
      </c>
      <c r="K18305" t="s">
        <v>19682</v>
      </c>
      <c r="M18305" t="s">
        <v>17861</v>
      </c>
      <c r="N18305" t="str">
        <f>"2/10/2023 10:26:00 AM"</f>
        <v>2/10/2023 10:26:00 AM</v>
      </c>
      <c r="O18305" t="s">
        <v>24061</v>
      </c>
    </row>
    <row r="18306" spans="1:20" x14ac:dyDescent="0.25">
      <c r="A18306" t="str">
        <f>"3062457"</f>
        <v>3062457</v>
      </c>
      <c r="B18306" t="s">
        <v>56123</v>
      </c>
      <c r="C18306" t="str">
        <f>"8319698"</f>
        <v>8319698</v>
      </c>
      <c r="D18306" t="s">
        <v>56124</v>
      </c>
      <c r="F18306" t="s">
        <v>56125</v>
      </c>
      <c r="I18306" t="s">
        <v>2071</v>
      </c>
      <c r="J18306" t="s">
        <v>30</v>
      </c>
      <c r="K18306" t="s">
        <v>35875</v>
      </c>
      <c r="M18306" t="s">
        <v>17861</v>
      </c>
      <c r="N18306" t="str">
        <f>"2/14/2023 1:10:00 PM"</f>
        <v>2/14/2023 1:10:00 PM</v>
      </c>
      <c r="O18306" t="s">
        <v>56124</v>
      </c>
    </row>
    <row r="18307" spans="1:20" x14ac:dyDescent="0.25">
      <c r="A18307" t="str">
        <f>"3039331"</f>
        <v>3039331</v>
      </c>
      <c r="B18307" t="s">
        <v>56126</v>
      </c>
      <c r="C18307" t="str">
        <f>"8319686"</f>
        <v>8319686</v>
      </c>
      <c r="D18307" t="s">
        <v>27216</v>
      </c>
      <c r="F18307" t="s">
        <v>56127</v>
      </c>
      <c r="I18307" t="s">
        <v>29</v>
      </c>
      <c r="J18307" t="s">
        <v>30</v>
      </c>
      <c r="K18307" t="s">
        <v>2381</v>
      </c>
      <c r="M18307" t="s">
        <v>17861</v>
      </c>
      <c r="N18307" t="str">
        <f>"2/10/2023 1:36:00 PM"</f>
        <v>2/10/2023 1:36:00 PM</v>
      </c>
      <c r="O18307" t="s">
        <v>27216</v>
      </c>
    </row>
    <row r="18308" spans="1:20" x14ac:dyDescent="0.25">
      <c r="A18308" t="str">
        <f>"3042648"</f>
        <v>3042648</v>
      </c>
      <c r="B18308" t="s">
        <v>56128</v>
      </c>
      <c r="C18308" t="str">
        <f>"6016100"</f>
        <v>6016100</v>
      </c>
      <c r="D18308" t="s">
        <v>56129</v>
      </c>
      <c r="E18308" t="s">
        <v>56130</v>
      </c>
      <c r="F18308" t="s">
        <v>56131</v>
      </c>
      <c r="I18308" t="s">
        <v>29</v>
      </c>
      <c r="J18308" t="s">
        <v>30</v>
      </c>
      <c r="K18308" t="s">
        <v>31</v>
      </c>
      <c r="M18308" t="s">
        <v>50621</v>
      </c>
      <c r="N18308" t="str">
        <f>"2/13/2023 10:22:00 AM"</f>
        <v>2/13/2023 10:22:00 AM</v>
      </c>
      <c r="O18308" t="s">
        <v>56129</v>
      </c>
      <c r="T18308" t="s">
        <v>56130</v>
      </c>
    </row>
    <row r="18309" spans="1:20" x14ac:dyDescent="0.25">
      <c r="A18309" t="str">
        <f>"3048591"</f>
        <v>3048591</v>
      </c>
      <c r="B18309" t="s">
        <v>56132</v>
      </c>
      <c r="C18309" t="str">
        <f>"8316536"</f>
        <v>8316536</v>
      </c>
      <c r="D18309" t="s">
        <v>56133</v>
      </c>
      <c r="E18309" t="s">
        <v>56134</v>
      </c>
      <c r="F18309" t="s">
        <v>56135</v>
      </c>
      <c r="I18309" t="s">
        <v>184</v>
      </c>
      <c r="J18309" t="s">
        <v>30</v>
      </c>
      <c r="K18309" t="s">
        <v>56136</v>
      </c>
      <c r="M18309" t="s">
        <v>50793</v>
      </c>
      <c r="N18309" t="str">
        <f>"2/13/2023 8:05:00 AM"</f>
        <v>2/13/2023 8:05:00 AM</v>
      </c>
      <c r="O18309" t="s">
        <v>56133</v>
      </c>
      <c r="T18309" t="s">
        <v>56134</v>
      </c>
    </row>
    <row r="18310" spans="1:20" x14ac:dyDescent="0.25">
      <c r="A18310" t="str">
        <f>"3048187"</f>
        <v>3048187</v>
      </c>
      <c r="B18310" t="s">
        <v>56137</v>
      </c>
      <c r="C18310" t="str">
        <f>"8313103"</f>
        <v>8313103</v>
      </c>
      <c r="D18310" t="s">
        <v>56077</v>
      </c>
      <c r="F18310" t="s">
        <v>56078</v>
      </c>
      <c r="G18310" t="s">
        <v>56079</v>
      </c>
      <c r="I18310" t="s">
        <v>1149</v>
      </c>
      <c r="J18310" t="s">
        <v>30</v>
      </c>
      <c r="K18310" t="s">
        <v>35021</v>
      </c>
      <c r="M18310" t="s">
        <v>50793</v>
      </c>
      <c r="N18310" t="str">
        <f>"2/8/2023 1:32:00 PM"</f>
        <v>2/8/2023 1:32:00 PM</v>
      </c>
      <c r="O18310" t="s">
        <v>56077</v>
      </c>
    </row>
    <row r="18311" spans="1:20" x14ac:dyDescent="0.25">
      <c r="A18311" t="str">
        <f>"3048207"</f>
        <v>3048207</v>
      </c>
      <c r="B18311" t="s">
        <v>56138</v>
      </c>
      <c r="C18311" t="str">
        <f>"8313103"</f>
        <v>8313103</v>
      </c>
      <c r="D18311" t="s">
        <v>56077</v>
      </c>
      <c r="F18311" t="s">
        <v>56078</v>
      </c>
      <c r="G18311" t="s">
        <v>56079</v>
      </c>
      <c r="I18311" t="s">
        <v>1149</v>
      </c>
      <c r="J18311" t="s">
        <v>30</v>
      </c>
      <c r="K18311" t="s">
        <v>35021</v>
      </c>
      <c r="M18311" t="s">
        <v>50793</v>
      </c>
      <c r="N18311" t="str">
        <f>"2/8/2023 1:32:00 PM"</f>
        <v>2/8/2023 1:32:00 PM</v>
      </c>
      <c r="O18311" t="s">
        <v>56077</v>
      </c>
    </row>
    <row r="18312" spans="1:20" x14ac:dyDescent="0.25">
      <c r="A18312" t="str">
        <f>"3038631"</f>
        <v>3038631</v>
      </c>
      <c r="B18312" t="s">
        <v>56139</v>
      </c>
      <c r="C18312" t="str">
        <f>"82517875"</f>
        <v>82517875</v>
      </c>
      <c r="D18312" t="s">
        <v>56140</v>
      </c>
      <c r="E18312" t="s">
        <v>56141</v>
      </c>
      <c r="F18312" t="s">
        <v>56142</v>
      </c>
      <c r="I18312" t="s">
        <v>29</v>
      </c>
      <c r="J18312" t="s">
        <v>30</v>
      </c>
      <c r="K18312" t="s">
        <v>56143</v>
      </c>
      <c r="M18312" t="s">
        <v>50621</v>
      </c>
      <c r="N18312" t="str">
        <f>"2/13/2023 9:23:00 AM"</f>
        <v>2/13/2023 9:23:00 AM</v>
      </c>
      <c r="O18312" t="s">
        <v>56140</v>
      </c>
      <c r="T18312" t="s">
        <v>56141</v>
      </c>
    </row>
    <row r="18313" spans="1:20" x14ac:dyDescent="0.25">
      <c r="A18313" t="str">
        <f>"3040481"</f>
        <v>3040481</v>
      </c>
      <c r="B18313" t="s">
        <v>56144</v>
      </c>
      <c r="C18313" t="str">
        <f>"20556880"</f>
        <v>20556880</v>
      </c>
      <c r="D18313" t="s">
        <v>56145</v>
      </c>
      <c r="E18313" t="s">
        <v>56146</v>
      </c>
      <c r="F18313" t="s">
        <v>56147</v>
      </c>
      <c r="I18313" t="s">
        <v>184</v>
      </c>
      <c r="J18313" t="s">
        <v>30</v>
      </c>
      <c r="K18313" t="s">
        <v>185</v>
      </c>
      <c r="M18313" t="s">
        <v>50621</v>
      </c>
      <c r="N18313" t="str">
        <f>"2/14/2023 3:40:00 PM"</f>
        <v>2/14/2023 3:40:00 PM</v>
      </c>
      <c r="O18313" t="s">
        <v>56145</v>
      </c>
      <c r="T18313" t="s">
        <v>56146</v>
      </c>
    </row>
    <row r="18314" spans="1:20" x14ac:dyDescent="0.25">
      <c r="A18314" t="str">
        <f>"3076889"</f>
        <v>3076889</v>
      </c>
      <c r="B18314" t="s">
        <v>56148</v>
      </c>
      <c r="C18314" t="str">
        <f>"82517875"</f>
        <v>82517875</v>
      </c>
      <c r="D18314" t="s">
        <v>56140</v>
      </c>
      <c r="E18314" t="s">
        <v>56141</v>
      </c>
      <c r="F18314" t="s">
        <v>56142</v>
      </c>
      <c r="I18314" t="s">
        <v>29</v>
      </c>
      <c r="J18314" t="s">
        <v>30</v>
      </c>
      <c r="K18314" t="s">
        <v>56143</v>
      </c>
      <c r="M18314" t="s">
        <v>50621</v>
      </c>
      <c r="N18314" t="str">
        <f>"2/13/2023 9:23:00 AM"</f>
        <v>2/13/2023 9:23:00 AM</v>
      </c>
      <c r="O18314" t="s">
        <v>56140</v>
      </c>
      <c r="T18314" t="s">
        <v>56141</v>
      </c>
    </row>
    <row r="18315" spans="1:20" x14ac:dyDescent="0.25">
      <c r="A18315" t="str">
        <f>"3055729"</f>
        <v>3055729</v>
      </c>
      <c r="B18315" t="s">
        <v>56149</v>
      </c>
      <c r="C18315" t="str">
        <f>"82527491"</f>
        <v>82527491</v>
      </c>
      <c r="D18315" t="s">
        <v>56150</v>
      </c>
      <c r="F18315" t="s">
        <v>56151</v>
      </c>
      <c r="I18315" t="s">
        <v>9580</v>
      </c>
      <c r="J18315" t="s">
        <v>30</v>
      </c>
      <c r="K18315" t="s">
        <v>9581</v>
      </c>
      <c r="M18315" t="s">
        <v>50621</v>
      </c>
      <c r="N18315" t="str">
        <f>"2/13/2023 9:43:00 AM"</f>
        <v>2/13/2023 9:43:00 AM</v>
      </c>
      <c r="O18315" t="s">
        <v>56150</v>
      </c>
    </row>
    <row r="18316" spans="1:20" x14ac:dyDescent="0.25">
      <c r="A18316" t="str">
        <f>"3056581"</f>
        <v>3056581</v>
      </c>
      <c r="B18316" t="s">
        <v>56152</v>
      </c>
      <c r="C18316" t="str">
        <f>"8319690"</f>
        <v>8319690</v>
      </c>
      <c r="D18316" t="s">
        <v>56153</v>
      </c>
      <c r="E18316" t="s">
        <v>56154</v>
      </c>
      <c r="F18316" t="s">
        <v>56155</v>
      </c>
      <c r="I18316" t="s">
        <v>29</v>
      </c>
      <c r="J18316" t="s">
        <v>30</v>
      </c>
      <c r="K18316" t="s">
        <v>16358</v>
      </c>
      <c r="M18316" t="s">
        <v>17861</v>
      </c>
      <c r="N18316" t="str">
        <f>"2/13/2023 1:06:00 PM"</f>
        <v>2/13/2023 1:06:00 PM</v>
      </c>
      <c r="O18316" t="s">
        <v>56153</v>
      </c>
      <c r="T18316" t="s">
        <v>56154</v>
      </c>
    </row>
    <row r="18317" spans="1:20" x14ac:dyDescent="0.25">
      <c r="A18317" t="str">
        <f>"3048125"</f>
        <v>3048125</v>
      </c>
      <c r="B18317" t="s">
        <v>56156</v>
      </c>
      <c r="C18317" t="str">
        <f>"82518544"</f>
        <v>82518544</v>
      </c>
      <c r="D18317" t="s">
        <v>56157</v>
      </c>
      <c r="F18317" t="s">
        <v>56158</v>
      </c>
      <c r="I18317" t="s">
        <v>184</v>
      </c>
      <c r="J18317" t="s">
        <v>30</v>
      </c>
      <c r="K18317" t="s">
        <v>185</v>
      </c>
      <c r="M18317" t="s">
        <v>50621</v>
      </c>
      <c r="N18317" t="str">
        <f>"2/13/2023 2:33:00 PM"</f>
        <v>2/13/2023 2:33:00 PM</v>
      </c>
      <c r="O18317" t="s">
        <v>56157</v>
      </c>
    </row>
    <row r="18318" spans="1:20" x14ac:dyDescent="0.25">
      <c r="A18318" t="str">
        <f>"3047378"</f>
        <v>3047378</v>
      </c>
      <c r="B18318" t="s">
        <v>56159</v>
      </c>
      <c r="C18318" t="str">
        <f>"82518544"</f>
        <v>82518544</v>
      </c>
      <c r="D18318" t="s">
        <v>56157</v>
      </c>
      <c r="F18318" t="s">
        <v>56158</v>
      </c>
      <c r="I18318" t="s">
        <v>184</v>
      </c>
      <c r="J18318" t="s">
        <v>30</v>
      </c>
      <c r="K18318" t="s">
        <v>185</v>
      </c>
      <c r="M18318" t="s">
        <v>50621</v>
      </c>
      <c r="N18318" t="str">
        <f>"2/13/2023 2:33:00 PM"</f>
        <v>2/13/2023 2:33:00 PM</v>
      </c>
      <c r="O18318" t="s">
        <v>56157</v>
      </c>
    </row>
    <row r="18319" spans="1:20" x14ac:dyDescent="0.25">
      <c r="A18319" t="str">
        <f>"3048010"</f>
        <v>3048010</v>
      </c>
      <c r="B18319" t="s">
        <v>56160</v>
      </c>
      <c r="C18319" t="str">
        <f>"8315473"</f>
        <v>8315473</v>
      </c>
      <c r="D18319" t="s">
        <v>56161</v>
      </c>
      <c r="E18319" t="s">
        <v>56162</v>
      </c>
      <c r="F18319" t="s">
        <v>56163</v>
      </c>
      <c r="I18319" t="s">
        <v>184</v>
      </c>
      <c r="J18319" t="s">
        <v>30</v>
      </c>
      <c r="K18319" t="s">
        <v>56164</v>
      </c>
      <c r="M18319" t="s">
        <v>50621</v>
      </c>
      <c r="N18319" t="str">
        <f>"2/13/2023 2:41:00 PM"</f>
        <v>2/13/2023 2:41:00 PM</v>
      </c>
      <c r="O18319" t="s">
        <v>56161</v>
      </c>
      <c r="T18319" t="s">
        <v>56162</v>
      </c>
    </row>
    <row r="18320" spans="1:20" x14ac:dyDescent="0.25">
      <c r="A18320" t="str">
        <f>"3052613"</f>
        <v>3052613</v>
      </c>
      <c r="B18320" t="s">
        <v>56165</v>
      </c>
      <c r="C18320" t="str">
        <f>"8319695"</f>
        <v>8319695</v>
      </c>
      <c r="D18320" t="s">
        <v>56166</v>
      </c>
      <c r="F18320" t="s">
        <v>56167</v>
      </c>
      <c r="I18320" t="s">
        <v>29</v>
      </c>
      <c r="J18320" t="s">
        <v>30</v>
      </c>
      <c r="K18320" t="s">
        <v>32996</v>
      </c>
      <c r="M18320" t="s">
        <v>17861</v>
      </c>
      <c r="N18320" t="str">
        <f>"2/13/2023 3:52:00 PM"</f>
        <v>2/13/2023 3:52:00 PM</v>
      </c>
      <c r="O18320" t="s">
        <v>56166</v>
      </c>
    </row>
    <row r="18321" spans="1:20" x14ac:dyDescent="0.25">
      <c r="A18321" t="str">
        <f>"3077196"</f>
        <v>3077196</v>
      </c>
      <c r="B18321" t="s">
        <v>56168</v>
      </c>
      <c r="C18321" t="str">
        <f>"8319696"</f>
        <v>8319696</v>
      </c>
      <c r="D18321" t="s">
        <v>56169</v>
      </c>
      <c r="E18321" t="str">
        <f>"RYE BRAFORD C/GINA L CO TRUSTE"</f>
        <v>RYE BRAFORD C/GINA L CO TRUSTE</v>
      </c>
      <c r="F18321" t="s">
        <v>56170</v>
      </c>
      <c r="I18321" t="s">
        <v>184</v>
      </c>
      <c r="J18321" t="s">
        <v>30</v>
      </c>
      <c r="K18321" t="s">
        <v>3783</v>
      </c>
      <c r="M18321" t="s">
        <v>17861</v>
      </c>
      <c r="N18321" t="str">
        <f>"2/14/2023 8:29:00 AM"</f>
        <v>2/14/2023 8:29:00 AM</v>
      </c>
      <c r="O18321" t="s">
        <v>56169</v>
      </c>
      <c r="T18321" t="str">
        <f>"RYE BRAFORD C/GINA L CO TRUSTE"</f>
        <v>RYE BRAFORD C/GINA L CO TRUSTE</v>
      </c>
    </row>
    <row r="18322" spans="1:20" x14ac:dyDescent="0.25">
      <c r="A18322" t="str">
        <f>"3050270"</f>
        <v>3050270</v>
      </c>
      <c r="B18322" t="s">
        <v>56171</v>
      </c>
      <c r="C18322" t="str">
        <f t="shared" ref="C18322:C18329" si="279">"82517509"</f>
        <v>82517509</v>
      </c>
      <c r="D18322" t="s">
        <v>56172</v>
      </c>
      <c r="F18322" t="s">
        <v>56173</v>
      </c>
      <c r="I18322" t="s">
        <v>29</v>
      </c>
      <c r="J18322" t="s">
        <v>30</v>
      </c>
      <c r="K18322" t="s">
        <v>41547</v>
      </c>
      <c r="M18322" t="s">
        <v>52111</v>
      </c>
      <c r="N18322" t="str">
        <f t="shared" ref="N18322:N18329" si="280">"2/15/2023 10:57:00 AM"</f>
        <v>2/15/2023 10:57:00 AM</v>
      </c>
      <c r="O18322" t="s">
        <v>56172</v>
      </c>
    </row>
    <row r="18323" spans="1:20" x14ac:dyDescent="0.25">
      <c r="A18323" t="str">
        <f>"3050271"</f>
        <v>3050271</v>
      </c>
      <c r="B18323" t="s">
        <v>56174</v>
      </c>
      <c r="C18323" t="str">
        <f t="shared" si="279"/>
        <v>82517509</v>
      </c>
      <c r="D18323" t="s">
        <v>56172</v>
      </c>
      <c r="F18323" t="s">
        <v>56173</v>
      </c>
      <c r="I18323" t="s">
        <v>29</v>
      </c>
      <c r="J18323" t="s">
        <v>30</v>
      </c>
      <c r="K18323" t="s">
        <v>41547</v>
      </c>
      <c r="M18323" t="s">
        <v>52111</v>
      </c>
      <c r="N18323" t="str">
        <f t="shared" si="280"/>
        <v>2/15/2023 10:57:00 AM</v>
      </c>
      <c r="O18323" t="s">
        <v>56172</v>
      </c>
    </row>
    <row r="18324" spans="1:20" x14ac:dyDescent="0.25">
      <c r="A18324" t="str">
        <f>"3050227"</f>
        <v>3050227</v>
      </c>
      <c r="B18324" t="s">
        <v>56175</v>
      </c>
      <c r="C18324" t="str">
        <f t="shared" si="279"/>
        <v>82517509</v>
      </c>
      <c r="D18324" t="s">
        <v>56172</v>
      </c>
      <c r="F18324" t="s">
        <v>56173</v>
      </c>
      <c r="I18324" t="s">
        <v>29</v>
      </c>
      <c r="J18324" t="s">
        <v>30</v>
      </c>
      <c r="K18324" t="s">
        <v>41547</v>
      </c>
      <c r="M18324" t="s">
        <v>52111</v>
      </c>
      <c r="N18324" t="str">
        <f t="shared" si="280"/>
        <v>2/15/2023 10:57:00 AM</v>
      </c>
      <c r="O18324" t="s">
        <v>56172</v>
      </c>
    </row>
    <row r="18325" spans="1:20" x14ac:dyDescent="0.25">
      <c r="A18325" t="str">
        <f>"3050228"</f>
        <v>3050228</v>
      </c>
      <c r="B18325" t="s">
        <v>56176</v>
      </c>
      <c r="C18325" t="str">
        <f t="shared" si="279"/>
        <v>82517509</v>
      </c>
      <c r="D18325" t="s">
        <v>56172</v>
      </c>
      <c r="F18325" t="s">
        <v>56173</v>
      </c>
      <c r="I18325" t="s">
        <v>29</v>
      </c>
      <c r="J18325" t="s">
        <v>30</v>
      </c>
      <c r="K18325" t="s">
        <v>41547</v>
      </c>
      <c r="M18325" t="s">
        <v>52111</v>
      </c>
      <c r="N18325" t="str">
        <f t="shared" si="280"/>
        <v>2/15/2023 10:57:00 AM</v>
      </c>
      <c r="O18325" t="s">
        <v>56172</v>
      </c>
    </row>
    <row r="18326" spans="1:20" x14ac:dyDescent="0.25">
      <c r="A18326" t="str">
        <f>"3050229"</f>
        <v>3050229</v>
      </c>
      <c r="B18326" t="s">
        <v>56177</v>
      </c>
      <c r="C18326" t="str">
        <f t="shared" si="279"/>
        <v>82517509</v>
      </c>
      <c r="D18326" t="s">
        <v>56172</v>
      </c>
      <c r="F18326" t="s">
        <v>56173</v>
      </c>
      <c r="I18326" t="s">
        <v>29</v>
      </c>
      <c r="J18326" t="s">
        <v>30</v>
      </c>
      <c r="K18326" t="s">
        <v>41547</v>
      </c>
      <c r="M18326" t="s">
        <v>52111</v>
      </c>
      <c r="N18326" t="str">
        <f t="shared" si="280"/>
        <v>2/15/2023 10:57:00 AM</v>
      </c>
      <c r="O18326" t="s">
        <v>56172</v>
      </c>
    </row>
    <row r="18327" spans="1:20" x14ac:dyDescent="0.25">
      <c r="A18327" t="str">
        <f>"3050283"</f>
        <v>3050283</v>
      </c>
      <c r="B18327" t="s">
        <v>56178</v>
      </c>
      <c r="C18327" t="str">
        <f t="shared" si="279"/>
        <v>82517509</v>
      </c>
      <c r="D18327" t="s">
        <v>56172</v>
      </c>
      <c r="F18327" t="s">
        <v>56173</v>
      </c>
      <c r="I18327" t="s">
        <v>29</v>
      </c>
      <c r="J18327" t="s">
        <v>30</v>
      </c>
      <c r="K18327" t="s">
        <v>41547</v>
      </c>
      <c r="M18327" t="s">
        <v>52111</v>
      </c>
      <c r="N18327" t="str">
        <f t="shared" si="280"/>
        <v>2/15/2023 10:57:00 AM</v>
      </c>
      <c r="O18327" t="s">
        <v>56172</v>
      </c>
    </row>
    <row r="18328" spans="1:20" x14ac:dyDescent="0.25">
      <c r="A18328" t="str">
        <f>"3050284"</f>
        <v>3050284</v>
      </c>
      <c r="B18328" t="s">
        <v>56179</v>
      </c>
      <c r="C18328" t="str">
        <f t="shared" si="279"/>
        <v>82517509</v>
      </c>
      <c r="D18328" t="s">
        <v>56172</v>
      </c>
      <c r="F18328" t="s">
        <v>56173</v>
      </c>
      <c r="I18328" t="s">
        <v>29</v>
      </c>
      <c r="J18328" t="s">
        <v>30</v>
      </c>
      <c r="K18328" t="s">
        <v>41547</v>
      </c>
      <c r="M18328" t="s">
        <v>52111</v>
      </c>
      <c r="N18328" t="str">
        <f t="shared" si="280"/>
        <v>2/15/2023 10:57:00 AM</v>
      </c>
      <c r="O18328" t="s">
        <v>56172</v>
      </c>
    </row>
    <row r="18329" spans="1:20" x14ac:dyDescent="0.25">
      <c r="A18329" t="str">
        <f>"3050285"</f>
        <v>3050285</v>
      </c>
      <c r="B18329" t="s">
        <v>56180</v>
      </c>
      <c r="C18329" t="str">
        <f t="shared" si="279"/>
        <v>82517509</v>
      </c>
      <c r="D18329" t="s">
        <v>56172</v>
      </c>
      <c r="F18329" t="s">
        <v>56173</v>
      </c>
      <c r="I18329" t="s">
        <v>29</v>
      </c>
      <c r="J18329" t="s">
        <v>30</v>
      </c>
      <c r="K18329" t="s">
        <v>41547</v>
      </c>
      <c r="M18329" t="s">
        <v>52111</v>
      </c>
      <c r="N18329" t="str">
        <f t="shared" si="280"/>
        <v>2/15/2023 10:57:00 AM</v>
      </c>
      <c r="O18329" t="s">
        <v>56172</v>
      </c>
    </row>
    <row r="18330" spans="1:20" x14ac:dyDescent="0.25">
      <c r="A18330" t="str">
        <f>"3059279"</f>
        <v>3059279</v>
      </c>
      <c r="B18330" t="s">
        <v>56181</v>
      </c>
      <c r="C18330" t="str">
        <f>"8319697"</f>
        <v>8319697</v>
      </c>
      <c r="D18330" t="s">
        <v>56182</v>
      </c>
      <c r="E18330" t="s">
        <v>56183</v>
      </c>
      <c r="F18330" t="s">
        <v>56184</v>
      </c>
      <c r="I18330" t="s">
        <v>29</v>
      </c>
      <c r="J18330" t="s">
        <v>30</v>
      </c>
      <c r="K18330" t="s">
        <v>44948</v>
      </c>
      <c r="M18330" t="s">
        <v>17861</v>
      </c>
      <c r="N18330" t="str">
        <f>"2/14/2023 9:07:00 AM"</f>
        <v>2/14/2023 9:07:00 AM</v>
      </c>
      <c r="O18330" t="s">
        <v>56182</v>
      </c>
      <c r="T18330" t="s">
        <v>56183</v>
      </c>
    </row>
    <row r="18331" spans="1:20" x14ac:dyDescent="0.25">
      <c r="A18331" t="str">
        <f>"3046037"</f>
        <v>3046037</v>
      </c>
      <c r="B18331" t="s">
        <v>56185</v>
      </c>
      <c r="C18331" t="str">
        <f>"8306748"</f>
        <v>8306748</v>
      </c>
      <c r="D18331" t="s">
        <v>56186</v>
      </c>
      <c r="F18331" t="s">
        <v>56187</v>
      </c>
      <c r="I18331" t="s">
        <v>29</v>
      </c>
      <c r="J18331" t="s">
        <v>30</v>
      </c>
      <c r="K18331" t="str">
        <f>"27028"</f>
        <v>27028</v>
      </c>
      <c r="M18331" t="s">
        <v>50621</v>
      </c>
      <c r="N18331" t="str">
        <f>"2/14/2023 9:57:00 AM"</f>
        <v>2/14/2023 9:57:00 AM</v>
      </c>
      <c r="O18331" t="s">
        <v>56186</v>
      </c>
    </row>
    <row r="18332" spans="1:20" x14ac:dyDescent="0.25">
      <c r="A18332" t="str">
        <f>"3041042"</f>
        <v>3041042</v>
      </c>
      <c r="B18332" t="s">
        <v>56188</v>
      </c>
      <c r="C18332" t="str">
        <f>"82516513"</f>
        <v>82516513</v>
      </c>
      <c r="D18332" t="s">
        <v>56189</v>
      </c>
      <c r="E18332" t="s">
        <v>56190</v>
      </c>
      <c r="F18332" t="s">
        <v>56191</v>
      </c>
      <c r="I18332" t="s">
        <v>2071</v>
      </c>
      <c r="J18332" t="s">
        <v>30</v>
      </c>
      <c r="K18332" t="s">
        <v>185</v>
      </c>
      <c r="M18332" t="s">
        <v>50793</v>
      </c>
      <c r="N18332" t="str">
        <f>"2/14/2023 10:03:00 AM"</f>
        <v>2/14/2023 10:03:00 AM</v>
      </c>
      <c r="O18332" t="s">
        <v>56189</v>
      </c>
      <c r="T18332" t="s">
        <v>56190</v>
      </c>
    </row>
    <row r="18333" spans="1:20" x14ac:dyDescent="0.25">
      <c r="A18333" t="str">
        <f>"3062425"</f>
        <v>3062425</v>
      </c>
      <c r="B18333" t="s">
        <v>56192</v>
      </c>
      <c r="C18333" t="str">
        <f>"82516513"</f>
        <v>82516513</v>
      </c>
      <c r="D18333" t="s">
        <v>56189</v>
      </c>
      <c r="E18333" t="s">
        <v>56190</v>
      </c>
      <c r="F18333" t="s">
        <v>56191</v>
      </c>
      <c r="I18333" t="s">
        <v>2071</v>
      </c>
      <c r="J18333" t="s">
        <v>30</v>
      </c>
      <c r="K18333" t="s">
        <v>185</v>
      </c>
      <c r="M18333" t="s">
        <v>50793</v>
      </c>
      <c r="N18333" t="str">
        <f>"2/14/2023 10:03:00 AM"</f>
        <v>2/14/2023 10:03:00 AM</v>
      </c>
      <c r="O18333" t="s">
        <v>56189</v>
      </c>
      <c r="T18333" t="s">
        <v>56190</v>
      </c>
    </row>
    <row r="18334" spans="1:20" x14ac:dyDescent="0.25">
      <c r="A18334" t="str">
        <f>"3042237"</f>
        <v>3042237</v>
      </c>
      <c r="B18334" t="s">
        <v>56193</v>
      </c>
      <c r="C18334" t="str">
        <f>"8300447"</f>
        <v>8300447</v>
      </c>
      <c r="D18334" t="s">
        <v>27813</v>
      </c>
      <c r="F18334" t="s">
        <v>27815</v>
      </c>
      <c r="I18334" t="s">
        <v>29</v>
      </c>
      <c r="J18334" t="s">
        <v>30</v>
      </c>
      <c r="K18334" t="s">
        <v>31</v>
      </c>
      <c r="M18334" t="s">
        <v>50793</v>
      </c>
      <c r="N18334" t="str">
        <f>"2/14/2023 10:24:00 AM"</f>
        <v>2/14/2023 10:24:00 AM</v>
      </c>
      <c r="O18334" t="s">
        <v>27813</v>
      </c>
    </row>
    <row r="18335" spans="1:20" x14ac:dyDescent="0.25">
      <c r="A18335" t="str">
        <f>"3038457"</f>
        <v>3038457</v>
      </c>
      <c r="B18335" t="s">
        <v>56194</v>
      </c>
      <c r="C18335" t="str">
        <f>"8304227"</f>
        <v>8304227</v>
      </c>
      <c r="D18335" t="s">
        <v>56195</v>
      </c>
      <c r="E18335" t="s">
        <v>56196</v>
      </c>
      <c r="F18335" t="s">
        <v>56197</v>
      </c>
      <c r="I18335" t="s">
        <v>29</v>
      </c>
      <c r="J18335" t="s">
        <v>30</v>
      </c>
      <c r="K18335" t="str">
        <f>"27028"</f>
        <v>27028</v>
      </c>
      <c r="M18335" t="s">
        <v>50793</v>
      </c>
      <c r="N18335" t="str">
        <f>"2/14/2023 11:42:00 AM"</f>
        <v>2/14/2023 11:42:00 AM</v>
      </c>
      <c r="O18335" t="s">
        <v>56195</v>
      </c>
      <c r="T18335" t="s">
        <v>56196</v>
      </c>
    </row>
    <row r="18336" spans="1:20" x14ac:dyDescent="0.25">
      <c r="A18336" t="str">
        <f>"3057821"</f>
        <v>3057821</v>
      </c>
      <c r="B18336" t="s">
        <v>56198</v>
      </c>
      <c r="C18336" t="str">
        <f>"15852000"</f>
        <v>15852000</v>
      </c>
      <c r="D18336" t="s">
        <v>56199</v>
      </c>
      <c r="E18336" t="s">
        <v>56200</v>
      </c>
      <c r="F18336" t="s">
        <v>56201</v>
      </c>
      <c r="I18336" t="s">
        <v>29</v>
      </c>
      <c r="J18336" t="s">
        <v>30</v>
      </c>
      <c r="K18336" t="s">
        <v>56202</v>
      </c>
      <c r="M18336" t="s">
        <v>50621</v>
      </c>
      <c r="N18336" t="str">
        <f>"2/14/2023 12:28:00 PM"</f>
        <v>2/14/2023 12:28:00 PM</v>
      </c>
      <c r="O18336" t="s">
        <v>56199</v>
      </c>
      <c r="T18336" t="s">
        <v>56200</v>
      </c>
    </row>
    <row r="18337" spans="1:20" x14ac:dyDescent="0.25">
      <c r="A18337" t="str">
        <f>"3059289"</f>
        <v>3059289</v>
      </c>
      <c r="B18337" t="s">
        <v>56203</v>
      </c>
      <c r="C18337" t="str">
        <f>"15852000"</f>
        <v>15852000</v>
      </c>
      <c r="D18337" t="s">
        <v>56199</v>
      </c>
      <c r="E18337" t="s">
        <v>56200</v>
      </c>
      <c r="F18337" t="s">
        <v>56201</v>
      </c>
      <c r="I18337" t="s">
        <v>29</v>
      </c>
      <c r="J18337" t="s">
        <v>30</v>
      </c>
      <c r="K18337" t="s">
        <v>56202</v>
      </c>
      <c r="M18337" t="s">
        <v>50621</v>
      </c>
      <c r="N18337" t="str">
        <f>"2/14/2023 12:28:00 PM"</f>
        <v>2/14/2023 12:28:00 PM</v>
      </c>
      <c r="O18337" t="s">
        <v>56199</v>
      </c>
      <c r="T18337" t="s">
        <v>56200</v>
      </c>
    </row>
    <row r="18338" spans="1:20" x14ac:dyDescent="0.25">
      <c r="A18338" t="str">
        <f>"3039081"</f>
        <v>3039081</v>
      </c>
      <c r="B18338" t="s">
        <v>56204</v>
      </c>
      <c r="C18338" t="str">
        <f>"8315000"</f>
        <v>8315000</v>
      </c>
      <c r="D18338" t="s">
        <v>6808</v>
      </c>
      <c r="F18338" t="s">
        <v>41589</v>
      </c>
      <c r="I18338" t="s">
        <v>29</v>
      </c>
      <c r="J18338" t="s">
        <v>30</v>
      </c>
      <c r="K18338" t="s">
        <v>41590</v>
      </c>
      <c r="M18338" t="s">
        <v>50621</v>
      </c>
      <c r="N18338" t="str">
        <f>"2/14/2023 12:59:00 PM"</f>
        <v>2/14/2023 12:59:00 PM</v>
      </c>
      <c r="O18338" t="s">
        <v>6808</v>
      </c>
    </row>
    <row r="18339" spans="1:20" x14ac:dyDescent="0.25">
      <c r="A18339" t="str">
        <f>"3060237"</f>
        <v>3060237</v>
      </c>
      <c r="B18339" t="s">
        <v>56205</v>
      </c>
      <c r="C18339" t="str">
        <f>"8311705"</f>
        <v>8311705</v>
      </c>
      <c r="D18339" t="s">
        <v>56206</v>
      </c>
      <c r="F18339" t="s">
        <v>56207</v>
      </c>
      <c r="I18339" t="s">
        <v>184</v>
      </c>
      <c r="J18339" t="s">
        <v>30</v>
      </c>
      <c r="K18339" t="s">
        <v>34098</v>
      </c>
      <c r="M18339" t="s">
        <v>50793</v>
      </c>
      <c r="N18339" t="str">
        <f>"2/14/2023 1:23:00 PM"</f>
        <v>2/14/2023 1:23:00 PM</v>
      </c>
      <c r="O18339" t="s">
        <v>56206</v>
      </c>
    </row>
    <row r="18340" spans="1:20" x14ac:dyDescent="0.25">
      <c r="A18340" t="str">
        <f>"3047775"</f>
        <v>3047775</v>
      </c>
      <c r="B18340" t="s">
        <v>56208</v>
      </c>
      <c r="C18340" t="str">
        <f>"8313624"</f>
        <v>8313624</v>
      </c>
      <c r="D18340" t="s">
        <v>56209</v>
      </c>
      <c r="F18340" t="s">
        <v>56210</v>
      </c>
      <c r="I18340" t="s">
        <v>184</v>
      </c>
      <c r="J18340" t="s">
        <v>30</v>
      </c>
      <c r="K18340" t="s">
        <v>52991</v>
      </c>
      <c r="M18340" t="s">
        <v>50621</v>
      </c>
      <c r="N18340" t="str">
        <f>"2/14/2023 2:09:00 PM"</f>
        <v>2/14/2023 2:09:00 PM</v>
      </c>
      <c r="O18340" t="s">
        <v>56209</v>
      </c>
    </row>
    <row r="18341" spans="1:20" x14ac:dyDescent="0.25">
      <c r="A18341" t="str">
        <f>"3055413"</f>
        <v>3055413</v>
      </c>
      <c r="B18341" t="s">
        <v>56211</v>
      </c>
      <c r="C18341" t="str">
        <f>"18084000"</f>
        <v>18084000</v>
      </c>
      <c r="D18341" t="s">
        <v>56212</v>
      </c>
      <c r="E18341" t="s">
        <v>56213</v>
      </c>
      <c r="F18341" t="s">
        <v>56214</v>
      </c>
      <c r="I18341" t="s">
        <v>29</v>
      </c>
      <c r="J18341" t="s">
        <v>30</v>
      </c>
      <c r="K18341" t="s">
        <v>56215</v>
      </c>
      <c r="M18341" t="s">
        <v>50621</v>
      </c>
      <c r="N18341" t="str">
        <f>"2/14/2023 2:23:00 PM"</f>
        <v>2/14/2023 2:23:00 PM</v>
      </c>
      <c r="O18341" t="s">
        <v>56212</v>
      </c>
      <c r="T18341" t="s">
        <v>56213</v>
      </c>
    </row>
    <row r="18342" spans="1:20" x14ac:dyDescent="0.25">
      <c r="A18342" t="str">
        <f>"3043550"</f>
        <v>3043550</v>
      </c>
      <c r="B18342" t="s">
        <v>56216</v>
      </c>
      <c r="C18342" t="str">
        <f>"8302230"</f>
        <v>8302230</v>
      </c>
      <c r="D18342" t="s">
        <v>56217</v>
      </c>
      <c r="F18342" t="s">
        <v>56218</v>
      </c>
      <c r="I18342" t="s">
        <v>29</v>
      </c>
      <c r="J18342" t="s">
        <v>30</v>
      </c>
      <c r="K18342" t="str">
        <f>"27028"</f>
        <v>27028</v>
      </c>
      <c r="M18342" t="s">
        <v>50621</v>
      </c>
      <c r="N18342" t="str">
        <f>"2/13/2023 12:00:00 PM"</f>
        <v>2/13/2023 12:00:00 PM</v>
      </c>
      <c r="O18342" t="s">
        <v>56217</v>
      </c>
    </row>
    <row r="18343" spans="1:20" x14ac:dyDescent="0.25">
      <c r="A18343" t="str">
        <f>"3045999"</f>
        <v>3045999</v>
      </c>
      <c r="B18343" t="s">
        <v>56219</v>
      </c>
      <c r="C18343" t="str">
        <f>"8304323"</f>
        <v>8304323</v>
      </c>
      <c r="D18343" t="s">
        <v>56220</v>
      </c>
      <c r="F18343" t="s">
        <v>56221</v>
      </c>
      <c r="I18343" t="s">
        <v>29</v>
      </c>
      <c r="J18343" t="s">
        <v>30</v>
      </c>
      <c r="K18343" t="str">
        <f>"27028"</f>
        <v>27028</v>
      </c>
      <c r="M18343" t="s">
        <v>50621</v>
      </c>
      <c r="N18343" t="str">
        <f>"2/14/2023 2:29:00 PM"</f>
        <v>2/14/2023 2:29:00 PM</v>
      </c>
      <c r="O18343" t="s">
        <v>56220</v>
      </c>
    </row>
    <row r="18344" spans="1:20" x14ac:dyDescent="0.25">
      <c r="A18344" t="str">
        <f>"3054365"</f>
        <v>3054365</v>
      </c>
      <c r="B18344" t="s">
        <v>56222</v>
      </c>
      <c r="C18344" t="str">
        <f>"82525926"</f>
        <v>82525926</v>
      </c>
      <c r="D18344" t="s">
        <v>56223</v>
      </c>
      <c r="F18344" t="s">
        <v>56224</v>
      </c>
      <c r="I18344" t="s">
        <v>29</v>
      </c>
      <c r="J18344" t="s">
        <v>30</v>
      </c>
      <c r="K18344" t="s">
        <v>56225</v>
      </c>
      <c r="M18344" t="s">
        <v>50621</v>
      </c>
      <c r="N18344" t="str">
        <f>"2/14/2023 2:41:00 PM"</f>
        <v>2/14/2023 2:41:00 PM</v>
      </c>
      <c r="O18344" t="s">
        <v>56223</v>
      </c>
    </row>
    <row r="18345" spans="1:20" x14ac:dyDescent="0.25">
      <c r="A18345" t="str">
        <f>"3046519"</f>
        <v>3046519</v>
      </c>
      <c r="B18345" t="s">
        <v>56226</v>
      </c>
      <c r="C18345" t="str">
        <f>"20556880"</f>
        <v>20556880</v>
      </c>
      <c r="D18345" t="s">
        <v>56145</v>
      </c>
      <c r="E18345" t="s">
        <v>56146</v>
      </c>
      <c r="F18345" t="s">
        <v>56147</v>
      </c>
      <c r="I18345" t="s">
        <v>184</v>
      </c>
      <c r="J18345" t="s">
        <v>30</v>
      </c>
      <c r="K18345" t="s">
        <v>185</v>
      </c>
      <c r="M18345" t="s">
        <v>50621</v>
      </c>
      <c r="N18345" t="str">
        <f>"2/14/2023 3:40:00 PM"</f>
        <v>2/14/2023 3:40:00 PM</v>
      </c>
      <c r="O18345" t="s">
        <v>56145</v>
      </c>
      <c r="T18345" t="s">
        <v>56146</v>
      </c>
    </row>
    <row r="18346" spans="1:20" x14ac:dyDescent="0.25">
      <c r="A18346" t="str">
        <f>"3052209"</f>
        <v>3052209</v>
      </c>
      <c r="B18346" t="s">
        <v>56227</v>
      </c>
      <c r="C18346" t="str">
        <f>"8309690"</f>
        <v>8309690</v>
      </c>
      <c r="D18346" t="s">
        <v>56228</v>
      </c>
      <c r="F18346" t="s">
        <v>56229</v>
      </c>
      <c r="I18346" t="s">
        <v>2525</v>
      </c>
      <c r="J18346" t="s">
        <v>30</v>
      </c>
      <c r="K18346" t="str">
        <f>"27401"</f>
        <v>27401</v>
      </c>
      <c r="M18346" t="s">
        <v>50621</v>
      </c>
      <c r="N18346" t="str">
        <f>"2/15/2023 9:40:00 AM"</f>
        <v>2/15/2023 9:40:00 AM</v>
      </c>
      <c r="O18346" t="s">
        <v>56228</v>
      </c>
    </row>
    <row r="18347" spans="1:20" x14ac:dyDescent="0.25">
      <c r="A18347" t="str">
        <f>"3050282"</f>
        <v>3050282</v>
      </c>
      <c r="B18347" t="s">
        <v>56230</v>
      </c>
      <c r="C18347" t="str">
        <f>"82517509"</f>
        <v>82517509</v>
      </c>
      <c r="D18347" t="s">
        <v>56172</v>
      </c>
      <c r="F18347" t="s">
        <v>56173</v>
      </c>
      <c r="I18347" t="s">
        <v>29</v>
      </c>
      <c r="J18347" t="s">
        <v>30</v>
      </c>
      <c r="K18347" t="s">
        <v>41547</v>
      </c>
      <c r="M18347" t="s">
        <v>52111</v>
      </c>
      <c r="N18347" t="str">
        <f>"2/15/2023 10:57:00 AM"</f>
        <v>2/15/2023 10:57:00 AM</v>
      </c>
      <c r="O18347" t="s">
        <v>56172</v>
      </c>
    </row>
    <row r="18348" spans="1:20" x14ac:dyDescent="0.25">
      <c r="A18348" t="str">
        <f>"3050276"</f>
        <v>3050276</v>
      </c>
      <c r="B18348" t="s">
        <v>56231</v>
      </c>
      <c r="C18348" t="str">
        <f>"82517509"</f>
        <v>82517509</v>
      </c>
      <c r="D18348" t="s">
        <v>56172</v>
      </c>
      <c r="F18348" t="s">
        <v>56173</v>
      </c>
      <c r="I18348" t="s">
        <v>29</v>
      </c>
      <c r="J18348" t="s">
        <v>30</v>
      </c>
      <c r="K18348" t="s">
        <v>41547</v>
      </c>
      <c r="M18348" t="s">
        <v>52111</v>
      </c>
      <c r="N18348" t="str">
        <f>"2/15/2023 10:57:00 AM"</f>
        <v>2/15/2023 10:57:00 AM</v>
      </c>
      <c r="O18348" t="s">
        <v>56172</v>
      </c>
    </row>
    <row r="18349" spans="1:20" x14ac:dyDescent="0.25">
      <c r="A18349" t="str">
        <f>"3050277"</f>
        <v>3050277</v>
      </c>
      <c r="B18349" t="s">
        <v>56232</v>
      </c>
      <c r="C18349" t="str">
        <f>"82517509"</f>
        <v>82517509</v>
      </c>
      <c r="D18349" t="s">
        <v>56172</v>
      </c>
      <c r="F18349" t="s">
        <v>56173</v>
      </c>
      <c r="I18349" t="s">
        <v>29</v>
      </c>
      <c r="J18349" t="s">
        <v>30</v>
      </c>
      <c r="K18349" t="s">
        <v>41547</v>
      </c>
      <c r="M18349" t="s">
        <v>52111</v>
      </c>
      <c r="N18349" t="str">
        <f>"2/15/2023 10:57:00 AM"</f>
        <v>2/15/2023 10:57:00 AM</v>
      </c>
      <c r="O18349" t="s">
        <v>56172</v>
      </c>
    </row>
    <row r="18350" spans="1:20" x14ac:dyDescent="0.25">
      <c r="A18350" t="str">
        <f>"3050275"</f>
        <v>3050275</v>
      </c>
      <c r="B18350" t="s">
        <v>56233</v>
      </c>
      <c r="C18350" t="str">
        <f>"82517509"</f>
        <v>82517509</v>
      </c>
      <c r="D18350" t="s">
        <v>56172</v>
      </c>
      <c r="F18350" t="s">
        <v>56173</v>
      </c>
      <c r="I18350" t="s">
        <v>29</v>
      </c>
      <c r="J18350" t="s">
        <v>30</v>
      </c>
      <c r="K18350" t="s">
        <v>41547</v>
      </c>
      <c r="M18350" t="s">
        <v>52111</v>
      </c>
      <c r="N18350" t="str">
        <f>"2/15/2023 10:57:00 AM"</f>
        <v>2/15/2023 10:57:00 AM</v>
      </c>
      <c r="O18350" t="s">
        <v>56172</v>
      </c>
    </row>
    <row r="18351" spans="1:20" x14ac:dyDescent="0.25">
      <c r="A18351" t="str">
        <f>"3049905"</f>
        <v>3049905</v>
      </c>
      <c r="B18351" t="s">
        <v>56234</v>
      </c>
      <c r="C18351" t="str">
        <f>"41290000"</f>
        <v>41290000</v>
      </c>
      <c r="D18351" t="s">
        <v>56235</v>
      </c>
      <c r="F18351" t="s">
        <v>56236</v>
      </c>
      <c r="I18351" t="s">
        <v>29</v>
      </c>
      <c r="J18351" t="s">
        <v>30</v>
      </c>
      <c r="K18351" t="s">
        <v>31</v>
      </c>
      <c r="M18351" t="s">
        <v>50621</v>
      </c>
      <c r="N18351" t="str">
        <f>"2/14/2023 3:53:00 PM"</f>
        <v>2/14/2023 3:53:00 PM</v>
      </c>
      <c r="O18351" t="s">
        <v>56235</v>
      </c>
    </row>
    <row r="18352" spans="1:20" x14ac:dyDescent="0.25">
      <c r="A18352" t="str">
        <f>"3050108"</f>
        <v>3050108</v>
      </c>
      <c r="B18352" t="s">
        <v>56237</v>
      </c>
      <c r="C18352" t="str">
        <f>"82529229"</f>
        <v>82529229</v>
      </c>
      <c r="D18352" t="s">
        <v>56238</v>
      </c>
      <c r="F18352" t="s">
        <v>56239</v>
      </c>
      <c r="I18352" t="s">
        <v>29</v>
      </c>
      <c r="J18352" t="s">
        <v>30</v>
      </c>
      <c r="K18352" t="s">
        <v>31</v>
      </c>
      <c r="M18352" t="s">
        <v>50793</v>
      </c>
      <c r="N18352" t="str">
        <f>"2/16/2023 8:44:00 AM"</f>
        <v>2/16/2023 8:44:00 AM</v>
      </c>
      <c r="O18352" t="s">
        <v>56238</v>
      </c>
    </row>
    <row r="18353" spans="1:20" x14ac:dyDescent="0.25">
      <c r="A18353" t="str">
        <f>"3049933"</f>
        <v>3049933</v>
      </c>
      <c r="B18353" t="s">
        <v>56240</v>
      </c>
      <c r="C18353" t="str">
        <f>"41290000"</f>
        <v>41290000</v>
      </c>
      <c r="D18353" t="s">
        <v>56235</v>
      </c>
      <c r="F18353" t="s">
        <v>56236</v>
      </c>
      <c r="I18353" t="s">
        <v>29</v>
      </c>
      <c r="J18353" t="s">
        <v>30</v>
      </c>
      <c r="K18353" t="s">
        <v>31</v>
      </c>
      <c r="M18353" t="s">
        <v>50621</v>
      </c>
      <c r="N18353" t="str">
        <f>"2/14/2023 3:53:00 PM"</f>
        <v>2/14/2023 3:53:00 PM</v>
      </c>
      <c r="O18353" t="s">
        <v>56235</v>
      </c>
    </row>
    <row r="18354" spans="1:20" x14ac:dyDescent="0.25">
      <c r="A18354" t="str">
        <f>"3049560"</f>
        <v>3049560</v>
      </c>
      <c r="B18354" t="s">
        <v>56241</v>
      </c>
      <c r="C18354" t="str">
        <f>"41290000"</f>
        <v>41290000</v>
      </c>
      <c r="D18354" t="s">
        <v>56235</v>
      </c>
      <c r="F18354" t="s">
        <v>56236</v>
      </c>
      <c r="I18354" t="s">
        <v>29</v>
      </c>
      <c r="J18354" t="s">
        <v>30</v>
      </c>
      <c r="K18354" t="s">
        <v>31</v>
      </c>
      <c r="M18354" t="s">
        <v>50621</v>
      </c>
      <c r="N18354" t="str">
        <f>"2/14/2023 3:53:00 PM"</f>
        <v>2/14/2023 3:53:00 PM</v>
      </c>
      <c r="O18354" t="s">
        <v>56235</v>
      </c>
    </row>
    <row r="18355" spans="1:20" x14ac:dyDescent="0.25">
      <c r="A18355" t="str">
        <f>"3075644"</f>
        <v>3075644</v>
      </c>
      <c r="B18355" t="s">
        <v>56242</v>
      </c>
      <c r="C18355" t="str">
        <f>"33741500"</f>
        <v>33741500</v>
      </c>
      <c r="D18355" t="s">
        <v>56243</v>
      </c>
      <c r="F18355" t="s">
        <v>56244</v>
      </c>
      <c r="I18355" t="s">
        <v>29</v>
      </c>
      <c r="J18355" t="s">
        <v>30</v>
      </c>
      <c r="K18355" t="s">
        <v>31</v>
      </c>
      <c r="M18355" t="s">
        <v>50621</v>
      </c>
      <c r="N18355" t="str">
        <f>"2/15/2023 3:49:00 PM"</f>
        <v>2/15/2023 3:49:00 PM</v>
      </c>
      <c r="O18355" t="s">
        <v>56243</v>
      </c>
    </row>
    <row r="18356" spans="1:20" x14ac:dyDescent="0.25">
      <c r="A18356" t="str">
        <f>"3047733"</f>
        <v>3047733</v>
      </c>
      <c r="B18356" t="s">
        <v>56245</v>
      </c>
      <c r="C18356" t="str">
        <f>"8319705"</f>
        <v>8319705</v>
      </c>
      <c r="D18356" t="s">
        <v>56246</v>
      </c>
      <c r="F18356" t="s">
        <v>56247</v>
      </c>
      <c r="I18356" t="s">
        <v>56248</v>
      </c>
      <c r="J18356" t="s">
        <v>30</v>
      </c>
      <c r="K18356" t="str">
        <f>"28033"</f>
        <v>28033</v>
      </c>
      <c r="M18356" t="s">
        <v>17861</v>
      </c>
      <c r="N18356" t="str">
        <f>"2/15/2023 3:54:00 PM"</f>
        <v>2/15/2023 3:54:00 PM</v>
      </c>
      <c r="O18356" t="s">
        <v>56246</v>
      </c>
    </row>
    <row r="18357" spans="1:20" x14ac:dyDescent="0.25">
      <c r="A18357" t="str">
        <f>"3056479"</f>
        <v>3056479</v>
      </c>
      <c r="B18357" t="s">
        <v>56249</v>
      </c>
      <c r="C18357" t="str">
        <f>"82522326"</f>
        <v>82522326</v>
      </c>
      <c r="D18357" t="s">
        <v>56250</v>
      </c>
      <c r="F18357" t="s">
        <v>56251</v>
      </c>
      <c r="I18357" t="s">
        <v>29</v>
      </c>
      <c r="J18357" t="s">
        <v>30</v>
      </c>
      <c r="K18357" t="s">
        <v>33337</v>
      </c>
      <c r="M18357" t="s">
        <v>50621</v>
      </c>
      <c r="N18357" t="str">
        <f>"2/16/2023 10:44:00 AM"</f>
        <v>2/16/2023 10:44:00 AM</v>
      </c>
      <c r="O18357" t="s">
        <v>56250</v>
      </c>
    </row>
    <row r="18358" spans="1:20" x14ac:dyDescent="0.25">
      <c r="A18358" t="str">
        <f>"3061679"</f>
        <v>3061679</v>
      </c>
      <c r="B18358" t="s">
        <v>56252</v>
      </c>
      <c r="C18358" t="str">
        <f>"8312404"</f>
        <v>8312404</v>
      </c>
      <c r="D18358" t="s">
        <v>53069</v>
      </c>
      <c r="F18358" t="s">
        <v>56253</v>
      </c>
      <c r="I18358" t="s">
        <v>2071</v>
      </c>
      <c r="J18358" t="s">
        <v>30</v>
      </c>
      <c r="K18358" t="s">
        <v>3885</v>
      </c>
      <c r="M18358" t="s">
        <v>50621</v>
      </c>
      <c r="N18358" t="str">
        <f>"2/15/2023 3:57:00 PM"</f>
        <v>2/15/2023 3:57:00 PM</v>
      </c>
      <c r="O18358" t="s">
        <v>53069</v>
      </c>
    </row>
    <row r="18359" spans="1:20" x14ac:dyDescent="0.25">
      <c r="A18359" t="str">
        <f>"3061451"</f>
        <v>3061451</v>
      </c>
      <c r="B18359" t="s">
        <v>56254</v>
      </c>
      <c r="C18359" t="str">
        <f>"8304852"</f>
        <v>8304852</v>
      </c>
      <c r="D18359" t="s">
        <v>56255</v>
      </c>
      <c r="F18359" t="s">
        <v>56256</v>
      </c>
      <c r="I18359" t="s">
        <v>471</v>
      </c>
      <c r="J18359" t="s">
        <v>30</v>
      </c>
      <c r="K18359" t="s">
        <v>56257</v>
      </c>
      <c r="M18359" t="s">
        <v>50621</v>
      </c>
      <c r="N18359" t="str">
        <f>"2/15/2023 4:06:00 PM"</f>
        <v>2/15/2023 4:06:00 PM</v>
      </c>
      <c r="O18359" t="s">
        <v>56255</v>
      </c>
    </row>
    <row r="18360" spans="1:20" x14ac:dyDescent="0.25">
      <c r="A18360" t="str">
        <f>"3059762"</f>
        <v>3059762</v>
      </c>
      <c r="B18360" t="s">
        <v>56258</v>
      </c>
      <c r="C18360" t="str">
        <f>"8315088"</f>
        <v>8315088</v>
      </c>
      <c r="D18360" t="s">
        <v>56259</v>
      </c>
      <c r="E18360" t="s">
        <v>56260</v>
      </c>
      <c r="F18360" t="s">
        <v>56261</v>
      </c>
      <c r="I18360" t="s">
        <v>29</v>
      </c>
      <c r="J18360" t="s">
        <v>30</v>
      </c>
      <c r="K18360" t="s">
        <v>27281</v>
      </c>
      <c r="M18360" t="s">
        <v>50793</v>
      </c>
      <c r="N18360" t="str">
        <f>"2/16/2023 8:42:00 AM"</f>
        <v>2/16/2023 8:42:00 AM</v>
      </c>
      <c r="O18360" t="s">
        <v>56259</v>
      </c>
      <c r="T18360" t="s">
        <v>56260</v>
      </c>
    </row>
    <row r="18361" spans="1:20" x14ac:dyDescent="0.25">
      <c r="A18361" t="str">
        <f>"3039803"</f>
        <v>3039803</v>
      </c>
      <c r="B18361" t="s">
        <v>56262</v>
      </c>
      <c r="C18361" t="str">
        <f>"8313565"</f>
        <v>8313565</v>
      </c>
      <c r="D18361" t="s">
        <v>56263</v>
      </c>
      <c r="E18361" t="s">
        <v>56264</v>
      </c>
      <c r="F18361" t="s">
        <v>56265</v>
      </c>
      <c r="I18361" t="s">
        <v>23321</v>
      </c>
      <c r="J18361" t="s">
        <v>11697</v>
      </c>
      <c r="K18361" t="str">
        <f>"93159"</f>
        <v>93159</v>
      </c>
      <c r="M18361" t="s">
        <v>50621</v>
      </c>
      <c r="N18361" t="str">
        <f>"2/15/2023 11:39:00 AM"</f>
        <v>2/15/2023 11:39:00 AM</v>
      </c>
      <c r="O18361" t="s">
        <v>56263</v>
      </c>
      <c r="T18361" t="s">
        <v>56264</v>
      </c>
    </row>
    <row r="18362" spans="1:20" x14ac:dyDescent="0.25">
      <c r="A18362" t="str">
        <f>"3058147"</f>
        <v>3058147</v>
      </c>
      <c r="B18362" t="s">
        <v>56266</v>
      </c>
      <c r="C18362" t="str">
        <f>"8319706"</f>
        <v>8319706</v>
      </c>
      <c r="D18362" t="s">
        <v>56267</v>
      </c>
      <c r="E18362" t="s">
        <v>56268</v>
      </c>
      <c r="F18362" t="s">
        <v>56269</v>
      </c>
      <c r="I18362" t="s">
        <v>29</v>
      </c>
      <c r="J18362" t="s">
        <v>30</v>
      </c>
      <c r="K18362" t="s">
        <v>13727</v>
      </c>
      <c r="M18362" t="s">
        <v>17861</v>
      </c>
      <c r="N18362" t="str">
        <f>"2/16/2023 1:20:00 PM"</f>
        <v>2/16/2023 1:20:00 PM</v>
      </c>
      <c r="O18362" t="s">
        <v>56267</v>
      </c>
      <c r="T18362" t="s">
        <v>56268</v>
      </c>
    </row>
    <row r="18363" spans="1:20" x14ac:dyDescent="0.25">
      <c r="A18363" t="str">
        <f>"3039356"</f>
        <v>3039356</v>
      </c>
      <c r="B18363" t="s">
        <v>56270</v>
      </c>
      <c r="C18363" t="str">
        <f>"8313565"</f>
        <v>8313565</v>
      </c>
      <c r="D18363" t="s">
        <v>56263</v>
      </c>
      <c r="E18363" t="s">
        <v>56264</v>
      </c>
      <c r="F18363" t="s">
        <v>56265</v>
      </c>
      <c r="I18363" t="s">
        <v>23321</v>
      </c>
      <c r="J18363" t="s">
        <v>11697</v>
      </c>
      <c r="K18363" t="str">
        <f>"93159"</f>
        <v>93159</v>
      </c>
      <c r="M18363" t="s">
        <v>50621</v>
      </c>
      <c r="N18363" t="str">
        <f>"2/15/2023 11:39:00 AM"</f>
        <v>2/15/2023 11:39:00 AM</v>
      </c>
      <c r="O18363" t="s">
        <v>56263</v>
      </c>
      <c r="T18363" t="s">
        <v>56264</v>
      </c>
    </row>
    <row r="18364" spans="1:20" x14ac:dyDescent="0.25">
      <c r="A18364" t="str">
        <f>"3039740"</f>
        <v>3039740</v>
      </c>
      <c r="B18364" t="s">
        <v>56271</v>
      </c>
      <c r="C18364" t="str">
        <f>"8313565"</f>
        <v>8313565</v>
      </c>
      <c r="D18364" t="s">
        <v>56263</v>
      </c>
      <c r="E18364" t="s">
        <v>56264</v>
      </c>
      <c r="F18364" t="s">
        <v>56265</v>
      </c>
      <c r="I18364" t="s">
        <v>23321</v>
      </c>
      <c r="J18364" t="s">
        <v>11697</v>
      </c>
      <c r="K18364" t="str">
        <f>"93159"</f>
        <v>93159</v>
      </c>
      <c r="M18364" t="s">
        <v>50621</v>
      </c>
      <c r="N18364" t="str">
        <f>"2/15/2023 11:39:00 AM"</f>
        <v>2/15/2023 11:39:00 AM</v>
      </c>
      <c r="O18364" t="s">
        <v>56263</v>
      </c>
      <c r="T18364" t="s">
        <v>56264</v>
      </c>
    </row>
    <row r="18365" spans="1:20" x14ac:dyDescent="0.25">
      <c r="A18365" t="str">
        <f>"3054217"</f>
        <v>3054217</v>
      </c>
      <c r="B18365" t="s">
        <v>56272</v>
      </c>
      <c r="C18365" t="str">
        <f>"30531500"</f>
        <v>30531500</v>
      </c>
      <c r="D18365" t="s">
        <v>56273</v>
      </c>
      <c r="E18365" t="s">
        <v>56274</v>
      </c>
      <c r="F18365" t="s">
        <v>56275</v>
      </c>
      <c r="I18365" t="s">
        <v>9580</v>
      </c>
      <c r="J18365" t="s">
        <v>30</v>
      </c>
      <c r="K18365" t="s">
        <v>56276</v>
      </c>
      <c r="M18365" t="s">
        <v>50621</v>
      </c>
      <c r="N18365" t="str">
        <f>"2/15/2023 12:31:00 PM"</f>
        <v>2/15/2023 12:31:00 PM</v>
      </c>
      <c r="O18365" t="s">
        <v>56273</v>
      </c>
      <c r="T18365" t="s">
        <v>56274</v>
      </c>
    </row>
    <row r="18366" spans="1:20" x14ac:dyDescent="0.25">
      <c r="A18366" t="str">
        <f>"3043685"</f>
        <v>3043685</v>
      </c>
      <c r="B18366" t="s">
        <v>56277</v>
      </c>
      <c r="C18366" t="str">
        <f>"8319708"</f>
        <v>8319708</v>
      </c>
      <c r="D18366" t="s">
        <v>56278</v>
      </c>
      <c r="E18366" t="s">
        <v>56279</v>
      </c>
      <c r="F18366" t="s">
        <v>56280</v>
      </c>
      <c r="I18366" t="s">
        <v>29</v>
      </c>
      <c r="J18366" t="s">
        <v>30</v>
      </c>
      <c r="K18366" t="s">
        <v>1365</v>
      </c>
      <c r="M18366" t="s">
        <v>17861</v>
      </c>
      <c r="N18366" t="str">
        <f>"2/16/2023 2:26:00 PM"</f>
        <v>2/16/2023 2:26:00 PM</v>
      </c>
      <c r="O18366" t="s">
        <v>56278</v>
      </c>
      <c r="T18366" t="s">
        <v>56279</v>
      </c>
    </row>
    <row r="18367" spans="1:20" x14ac:dyDescent="0.25">
      <c r="A18367" t="str">
        <f>"3059813"</f>
        <v>3059813</v>
      </c>
      <c r="B18367" t="s">
        <v>56281</v>
      </c>
      <c r="C18367" t="str">
        <f>"30531500"</f>
        <v>30531500</v>
      </c>
      <c r="D18367" t="s">
        <v>56273</v>
      </c>
      <c r="E18367" t="s">
        <v>56274</v>
      </c>
      <c r="F18367" t="s">
        <v>56275</v>
      </c>
      <c r="I18367" t="s">
        <v>9580</v>
      </c>
      <c r="J18367" t="s">
        <v>30</v>
      </c>
      <c r="K18367" t="s">
        <v>56276</v>
      </c>
      <c r="M18367" t="s">
        <v>50621</v>
      </c>
      <c r="N18367" t="str">
        <f>"2/15/2023 12:31:00 PM"</f>
        <v>2/15/2023 12:31:00 PM</v>
      </c>
      <c r="O18367" t="s">
        <v>56273</v>
      </c>
      <c r="T18367" t="s">
        <v>56274</v>
      </c>
    </row>
    <row r="18368" spans="1:20" x14ac:dyDescent="0.25">
      <c r="A18368" t="str">
        <f>"3059814"</f>
        <v>3059814</v>
      </c>
      <c r="B18368" t="s">
        <v>56282</v>
      </c>
      <c r="C18368" t="str">
        <f>"30531500"</f>
        <v>30531500</v>
      </c>
      <c r="D18368" t="s">
        <v>56273</v>
      </c>
      <c r="E18368" t="s">
        <v>56274</v>
      </c>
      <c r="F18368" t="s">
        <v>56275</v>
      </c>
      <c r="I18368" t="s">
        <v>9580</v>
      </c>
      <c r="J18368" t="s">
        <v>30</v>
      </c>
      <c r="K18368" t="s">
        <v>56276</v>
      </c>
      <c r="M18368" t="s">
        <v>50621</v>
      </c>
      <c r="N18368" t="str">
        <f>"2/15/2023 12:31:00 PM"</f>
        <v>2/15/2023 12:31:00 PM</v>
      </c>
      <c r="O18368" t="s">
        <v>56273</v>
      </c>
      <c r="T18368" t="s">
        <v>56274</v>
      </c>
    </row>
    <row r="18369" spans="1:20" x14ac:dyDescent="0.25">
      <c r="A18369" t="str">
        <f>"3061756"</f>
        <v>3061756</v>
      </c>
      <c r="B18369" t="s">
        <v>56283</v>
      </c>
      <c r="C18369" t="str">
        <f>"82526414"</f>
        <v>82526414</v>
      </c>
      <c r="D18369" t="s">
        <v>56284</v>
      </c>
      <c r="E18369" t="s">
        <v>56285</v>
      </c>
      <c r="F18369" t="s">
        <v>56286</v>
      </c>
      <c r="I18369" t="s">
        <v>2071</v>
      </c>
      <c r="J18369" t="s">
        <v>30</v>
      </c>
      <c r="K18369" t="s">
        <v>185</v>
      </c>
      <c r="M18369" t="s">
        <v>50621</v>
      </c>
      <c r="N18369" t="str">
        <f>"2/15/2023 12:41:00 PM"</f>
        <v>2/15/2023 12:41:00 PM</v>
      </c>
      <c r="O18369" t="s">
        <v>56284</v>
      </c>
      <c r="T18369" t="s">
        <v>56285</v>
      </c>
    </row>
    <row r="18370" spans="1:20" x14ac:dyDescent="0.25">
      <c r="A18370" t="str">
        <f>"3061181"</f>
        <v>3061181</v>
      </c>
      <c r="B18370" t="s">
        <v>56287</v>
      </c>
      <c r="C18370" t="str">
        <f>"8305465"</f>
        <v>8305465</v>
      </c>
      <c r="D18370" t="s">
        <v>56288</v>
      </c>
      <c r="F18370" t="s">
        <v>56289</v>
      </c>
      <c r="I18370" t="s">
        <v>184</v>
      </c>
      <c r="J18370" t="s">
        <v>30</v>
      </c>
      <c r="K18370" t="str">
        <f>"27006"</f>
        <v>27006</v>
      </c>
      <c r="M18370" t="s">
        <v>50793</v>
      </c>
      <c r="N18370" t="str">
        <f>"2/15/2023 1:20:00 PM"</f>
        <v>2/15/2023 1:20:00 PM</v>
      </c>
      <c r="O18370" t="s">
        <v>56288</v>
      </c>
    </row>
    <row r="18371" spans="1:20" x14ac:dyDescent="0.25">
      <c r="A18371" t="str">
        <f>"3043202"</f>
        <v>3043202</v>
      </c>
      <c r="B18371" t="s">
        <v>56290</v>
      </c>
      <c r="C18371" t="str">
        <f>"8302907"</f>
        <v>8302907</v>
      </c>
      <c r="D18371" t="s">
        <v>56291</v>
      </c>
      <c r="F18371" t="s">
        <v>56292</v>
      </c>
      <c r="I18371" t="s">
        <v>49</v>
      </c>
      <c r="J18371" t="s">
        <v>30</v>
      </c>
      <c r="K18371" t="s">
        <v>56293</v>
      </c>
      <c r="M18371" t="s">
        <v>18479</v>
      </c>
      <c r="N18371" t="str">
        <f>"2/17/2023 8:29:00 AM"</f>
        <v>2/17/2023 8:29:00 AM</v>
      </c>
      <c r="O18371" t="s">
        <v>56291</v>
      </c>
    </row>
    <row r="18372" spans="1:20" x14ac:dyDescent="0.25">
      <c r="A18372" t="str">
        <f>"3043302"</f>
        <v>3043302</v>
      </c>
      <c r="B18372" t="s">
        <v>56294</v>
      </c>
      <c r="C18372" t="str">
        <f>"8302907"</f>
        <v>8302907</v>
      </c>
      <c r="D18372" t="s">
        <v>56291</v>
      </c>
      <c r="F18372" t="s">
        <v>56292</v>
      </c>
      <c r="I18372" t="s">
        <v>49</v>
      </c>
      <c r="J18372" t="s">
        <v>30</v>
      </c>
      <c r="K18372" t="s">
        <v>56293</v>
      </c>
      <c r="M18372" t="s">
        <v>18479</v>
      </c>
      <c r="N18372" t="str">
        <f>"2/17/2023 8:29:00 AM"</f>
        <v>2/17/2023 8:29:00 AM</v>
      </c>
      <c r="O18372" t="s">
        <v>56291</v>
      </c>
    </row>
    <row r="18373" spans="1:20" x14ac:dyDescent="0.25">
      <c r="A18373" t="str">
        <f>"3061814"</f>
        <v>3061814</v>
      </c>
      <c r="B18373" t="s">
        <v>56295</v>
      </c>
      <c r="C18373" t="str">
        <f>"8305442"</f>
        <v>8305442</v>
      </c>
      <c r="D18373" t="s">
        <v>56296</v>
      </c>
      <c r="F18373" t="s">
        <v>56297</v>
      </c>
      <c r="I18373" t="s">
        <v>2071</v>
      </c>
      <c r="J18373" t="s">
        <v>30</v>
      </c>
      <c r="K18373" t="str">
        <f>"27006"</f>
        <v>27006</v>
      </c>
      <c r="M18373" t="s">
        <v>50621</v>
      </c>
      <c r="N18373" t="str">
        <f>"2/17/2023 9:22:00 AM"</f>
        <v>2/17/2023 9:22:00 AM</v>
      </c>
      <c r="O18373" t="s">
        <v>56296</v>
      </c>
    </row>
    <row r="18374" spans="1:20" x14ac:dyDescent="0.25">
      <c r="A18374" t="str">
        <f>"3038391"</f>
        <v>3038391</v>
      </c>
      <c r="B18374" t="s">
        <v>56298</v>
      </c>
      <c r="C18374" t="str">
        <f>"8302488"</f>
        <v>8302488</v>
      </c>
      <c r="D18374" t="s">
        <v>56299</v>
      </c>
      <c r="F18374" t="s">
        <v>56300</v>
      </c>
      <c r="I18374" t="s">
        <v>29</v>
      </c>
      <c r="J18374" t="s">
        <v>30</v>
      </c>
      <c r="K18374" t="str">
        <f>"27028"</f>
        <v>27028</v>
      </c>
      <c r="M18374" t="s">
        <v>50621</v>
      </c>
      <c r="N18374" t="str">
        <f>"2/15/2023 2:00:00 PM"</f>
        <v>2/15/2023 2:00:00 PM</v>
      </c>
      <c r="O18374" t="s">
        <v>56299</v>
      </c>
    </row>
    <row r="18375" spans="1:20" x14ac:dyDescent="0.25">
      <c r="A18375" t="str">
        <f>"3049637"</f>
        <v>3049637</v>
      </c>
      <c r="B18375" t="s">
        <v>56301</v>
      </c>
      <c r="C18375" t="str">
        <f>"82532290"</f>
        <v>82532290</v>
      </c>
      <c r="D18375" t="s">
        <v>23194</v>
      </c>
      <c r="F18375" t="s">
        <v>23195</v>
      </c>
      <c r="I18375" t="s">
        <v>184</v>
      </c>
      <c r="J18375" t="s">
        <v>30</v>
      </c>
      <c r="K18375" t="s">
        <v>185</v>
      </c>
      <c r="M18375" t="s">
        <v>50793</v>
      </c>
      <c r="N18375" t="str">
        <f>"2/17/2023 9:36:00 AM"</f>
        <v>2/17/2023 9:36:00 AM</v>
      </c>
      <c r="O18375" t="s">
        <v>23194</v>
      </c>
    </row>
    <row r="18376" spans="1:20" x14ac:dyDescent="0.25">
      <c r="A18376" t="str">
        <f>"3038203"</f>
        <v>3038203</v>
      </c>
      <c r="B18376" t="s">
        <v>56302</v>
      </c>
      <c r="C18376" t="str">
        <f>"8302488"</f>
        <v>8302488</v>
      </c>
      <c r="D18376" t="s">
        <v>56299</v>
      </c>
      <c r="F18376" t="s">
        <v>56300</v>
      </c>
      <c r="I18376" t="s">
        <v>29</v>
      </c>
      <c r="J18376" t="s">
        <v>30</v>
      </c>
      <c r="K18376" t="str">
        <f>"27028"</f>
        <v>27028</v>
      </c>
      <c r="M18376" t="s">
        <v>50621</v>
      </c>
      <c r="N18376" t="str">
        <f>"2/15/2023 2:00:00 PM"</f>
        <v>2/15/2023 2:00:00 PM</v>
      </c>
      <c r="O18376" t="s">
        <v>56299</v>
      </c>
    </row>
    <row r="18377" spans="1:20" x14ac:dyDescent="0.25">
      <c r="A18377" t="str">
        <f>"3037945"</f>
        <v>3037945</v>
      </c>
      <c r="B18377" t="s">
        <v>56303</v>
      </c>
      <c r="C18377" t="str">
        <f>"8302488"</f>
        <v>8302488</v>
      </c>
      <c r="D18377" t="s">
        <v>56299</v>
      </c>
      <c r="F18377" t="s">
        <v>56300</v>
      </c>
      <c r="I18377" t="s">
        <v>29</v>
      </c>
      <c r="J18377" t="s">
        <v>30</v>
      </c>
      <c r="K18377" t="str">
        <f>"27028"</f>
        <v>27028</v>
      </c>
      <c r="M18377" t="s">
        <v>50621</v>
      </c>
      <c r="N18377" t="str">
        <f>"2/15/2023 2:00:00 PM"</f>
        <v>2/15/2023 2:00:00 PM</v>
      </c>
      <c r="O18377" t="s">
        <v>56299</v>
      </c>
    </row>
    <row r="18378" spans="1:20" x14ac:dyDescent="0.25">
      <c r="A18378" t="str">
        <f>"3077815"</f>
        <v>3077815</v>
      </c>
      <c r="B18378" t="s">
        <v>56304</v>
      </c>
      <c r="C18378" t="str">
        <f>"82522326"</f>
        <v>82522326</v>
      </c>
      <c r="D18378" t="s">
        <v>56250</v>
      </c>
      <c r="F18378" t="s">
        <v>56251</v>
      </c>
      <c r="I18378" t="s">
        <v>29</v>
      </c>
      <c r="J18378" t="s">
        <v>30</v>
      </c>
      <c r="K18378" t="s">
        <v>33337</v>
      </c>
      <c r="M18378" t="s">
        <v>50621</v>
      </c>
      <c r="N18378" t="str">
        <f>"2/16/2023 10:44:00 AM"</f>
        <v>2/16/2023 10:44:00 AM</v>
      </c>
      <c r="O18378" t="s">
        <v>56250</v>
      </c>
    </row>
    <row r="18379" spans="1:20" x14ac:dyDescent="0.25">
      <c r="A18379" t="str">
        <f>"3056737"</f>
        <v>3056737</v>
      </c>
      <c r="B18379" t="s">
        <v>56305</v>
      </c>
      <c r="C18379" t="str">
        <f>"82513974"</f>
        <v>82513974</v>
      </c>
      <c r="D18379" t="s">
        <v>56306</v>
      </c>
      <c r="E18379" t="s">
        <v>56307</v>
      </c>
      <c r="F18379" t="s">
        <v>56308</v>
      </c>
      <c r="I18379" t="s">
        <v>29</v>
      </c>
      <c r="J18379" t="s">
        <v>30</v>
      </c>
      <c r="K18379" t="s">
        <v>31</v>
      </c>
      <c r="M18379" t="s">
        <v>50621</v>
      </c>
      <c r="N18379" t="str">
        <f>"2/16/2023 12:02:00 PM"</f>
        <v>2/16/2023 12:02:00 PM</v>
      </c>
      <c r="O18379" t="s">
        <v>56306</v>
      </c>
      <c r="T18379" t="s">
        <v>56307</v>
      </c>
    </row>
    <row r="18380" spans="1:20" x14ac:dyDescent="0.25">
      <c r="A18380" t="str">
        <f>"3039029"</f>
        <v>3039029</v>
      </c>
      <c r="B18380" t="s">
        <v>56309</v>
      </c>
      <c r="C18380" t="str">
        <f>"82525460"</f>
        <v>82525460</v>
      </c>
      <c r="D18380" t="s">
        <v>56310</v>
      </c>
      <c r="F18380" t="s">
        <v>56311</v>
      </c>
      <c r="I18380" t="s">
        <v>29</v>
      </c>
      <c r="J18380" t="s">
        <v>30</v>
      </c>
      <c r="K18380" t="s">
        <v>31</v>
      </c>
      <c r="M18380" t="s">
        <v>50793</v>
      </c>
      <c r="N18380" t="str">
        <f>"2/16/2023 12:50:00 PM"</f>
        <v>2/16/2023 12:50:00 PM</v>
      </c>
      <c r="O18380" t="s">
        <v>56310</v>
      </c>
    </row>
    <row r="18381" spans="1:20" x14ac:dyDescent="0.25">
      <c r="A18381" t="str">
        <f>"3050624"</f>
        <v>3050624</v>
      </c>
      <c r="B18381" t="s">
        <v>56312</v>
      </c>
      <c r="C18381" t="str">
        <f>"82525872"</f>
        <v>82525872</v>
      </c>
      <c r="D18381" t="s">
        <v>56313</v>
      </c>
      <c r="E18381" t="s">
        <v>56314</v>
      </c>
      <c r="F18381" t="s">
        <v>56315</v>
      </c>
      <c r="I18381" t="s">
        <v>184</v>
      </c>
      <c r="J18381" t="s">
        <v>30</v>
      </c>
      <c r="K18381" t="s">
        <v>185</v>
      </c>
      <c r="M18381" t="s">
        <v>50793</v>
      </c>
      <c r="N18381" t="str">
        <f>"2/16/2023 1:05:00 PM"</f>
        <v>2/16/2023 1:05:00 PM</v>
      </c>
      <c r="O18381" t="s">
        <v>56313</v>
      </c>
      <c r="T18381" t="s">
        <v>56314</v>
      </c>
    </row>
    <row r="18382" spans="1:20" x14ac:dyDescent="0.25">
      <c r="A18382" t="str">
        <f>"3050930"</f>
        <v>3050930</v>
      </c>
      <c r="B18382" t="s">
        <v>56316</v>
      </c>
      <c r="C18382" t="str">
        <f>"82525872"</f>
        <v>82525872</v>
      </c>
      <c r="D18382" t="s">
        <v>56313</v>
      </c>
      <c r="E18382" t="s">
        <v>56314</v>
      </c>
      <c r="F18382" t="s">
        <v>56315</v>
      </c>
      <c r="I18382" t="s">
        <v>184</v>
      </c>
      <c r="J18382" t="s">
        <v>30</v>
      </c>
      <c r="K18382" t="s">
        <v>185</v>
      </c>
      <c r="M18382" t="s">
        <v>50793</v>
      </c>
      <c r="N18382" t="str">
        <f>"2/16/2023 1:05:00 PM"</f>
        <v>2/16/2023 1:05:00 PM</v>
      </c>
      <c r="O18382" t="s">
        <v>56313</v>
      </c>
      <c r="T18382" t="s">
        <v>56314</v>
      </c>
    </row>
    <row r="18383" spans="1:20" x14ac:dyDescent="0.25">
      <c r="A18383" t="str">
        <f>"3057258"</f>
        <v>3057258</v>
      </c>
      <c r="B18383" t="s">
        <v>56317</v>
      </c>
      <c r="C18383" t="str">
        <f>"82522910"</f>
        <v>82522910</v>
      </c>
      <c r="D18383" t="s">
        <v>56318</v>
      </c>
      <c r="E18383" t="s">
        <v>56319</v>
      </c>
      <c r="F18383" t="s">
        <v>15994</v>
      </c>
      <c r="I18383" t="s">
        <v>29</v>
      </c>
      <c r="J18383" t="s">
        <v>30</v>
      </c>
      <c r="K18383" t="s">
        <v>47425</v>
      </c>
      <c r="M18383" t="s">
        <v>50793</v>
      </c>
      <c r="N18383" t="str">
        <f>"2/16/2023 1:23:00 PM"</f>
        <v>2/16/2023 1:23:00 PM</v>
      </c>
      <c r="O18383" t="s">
        <v>56318</v>
      </c>
      <c r="T18383" t="s">
        <v>56319</v>
      </c>
    </row>
    <row r="18384" spans="1:20" x14ac:dyDescent="0.25">
      <c r="A18384" t="str">
        <f>"3052827"</f>
        <v>3052827</v>
      </c>
      <c r="B18384" t="s">
        <v>56320</v>
      </c>
      <c r="C18384" t="str">
        <f>"8319707"</f>
        <v>8319707</v>
      </c>
      <c r="D18384" t="s">
        <v>56321</v>
      </c>
      <c r="F18384" t="s">
        <v>56322</v>
      </c>
      <c r="I18384" t="s">
        <v>29</v>
      </c>
      <c r="J18384" t="s">
        <v>30</v>
      </c>
      <c r="K18384" t="s">
        <v>56323</v>
      </c>
      <c r="M18384" t="s">
        <v>17861</v>
      </c>
      <c r="N18384" t="str">
        <f>"2/16/2023 1:28:00 PM"</f>
        <v>2/16/2023 1:28:00 PM</v>
      </c>
      <c r="O18384" t="s">
        <v>56321</v>
      </c>
    </row>
    <row r="18385" spans="1:20" x14ac:dyDescent="0.25">
      <c r="A18385" t="str">
        <f>"3056602"</f>
        <v>3056602</v>
      </c>
      <c r="B18385" t="s">
        <v>56324</v>
      </c>
      <c r="C18385" t="str">
        <f>"82531136"</f>
        <v>82531136</v>
      </c>
      <c r="D18385" t="s">
        <v>56325</v>
      </c>
      <c r="E18385" t="s">
        <v>56326</v>
      </c>
      <c r="F18385" t="s">
        <v>56327</v>
      </c>
      <c r="I18385" t="s">
        <v>471</v>
      </c>
      <c r="J18385" t="s">
        <v>30</v>
      </c>
      <c r="K18385" t="s">
        <v>56328</v>
      </c>
      <c r="M18385" t="s">
        <v>50793</v>
      </c>
      <c r="N18385" t="str">
        <f>"2/16/2023 2:24:00 PM"</f>
        <v>2/16/2023 2:24:00 PM</v>
      </c>
      <c r="O18385" t="s">
        <v>56325</v>
      </c>
      <c r="T18385" t="s">
        <v>56326</v>
      </c>
    </row>
    <row r="18386" spans="1:20" x14ac:dyDescent="0.25">
      <c r="A18386" t="str">
        <f>"3061179"</f>
        <v>3061179</v>
      </c>
      <c r="B18386" t="s">
        <v>56329</v>
      </c>
      <c r="C18386" t="str">
        <f>"8310258"</f>
        <v>8310258</v>
      </c>
      <c r="D18386" t="s">
        <v>37718</v>
      </c>
      <c r="E18386" t="s">
        <v>37717</v>
      </c>
      <c r="F18386" t="s">
        <v>37719</v>
      </c>
      <c r="I18386" t="s">
        <v>2071</v>
      </c>
      <c r="J18386" t="s">
        <v>30</v>
      </c>
      <c r="K18386" t="s">
        <v>4010</v>
      </c>
      <c r="M18386" t="s">
        <v>50793</v>
      </c>
      <c r="N18386" t="str">
        <f>"2/16/2023 3:21:00 PM"</f>
        <v>2/16/2023 3:21:00 PM</v>
      </c>
      <c r="O18386" t="s">
        <v>37718</v>
      </c>
      <c r="T18386" t="s">
        <v>37717</v>
      </c>
    </row>
    <row r="18387" spans="1:20" x14ac:dyDescent="0.25">
      <c r="A18387" t="str">
        <f>"3047731"</f>
        <v>3047731</v>
      </c>
      <c r="B18387" t="s">
        <v>56330</v>
      </c>
      <c r="C18387" t="str">
        <f>"8311986"</f>
        <v>8311986</v>
      </c>
      <c r="D18387" t="s">
        <v>56331</v>
      </c>
      <c r="E18387" t="s">
        <v>56332</v>
      </c>
      <c r="F18387" t="s">
        <v>56333</v>
      </c>
      <c r="I18387" t="s">
        <v>184</v>
      </c>
      <c r="J18387" t="s">
        <v>30</v>
      </c>
      <c r="K18387" t="s">
        <v>56334</v>
      </c>
      <c r="M18387" t="s">
        <v>50621</v>
      </c>
      <c r="N18387" t="str">
        <f>"2/16/2023 3:31:00 PM"</f>
        <v>2/16/2023 3:31:00 PM</v>
      </c>
      <c r="O18387" t="s">
        <v>56331</v>
      </c>
      <c r="T18387" t="s">
        <v>56332</v>
      </c>
    </row>
    <row r="18388" spans="1:20" x14ac:dyDescent="0.25">
      <c r="A18388" t="str">
        <f>"3048015"</f>
        <v>3048015</v>
      </c>
      <c r="B18388" t="s">
        <v>56335</v>
      </c>
      <c r="C18388" t="str">
        <f>"8311986"</f>
        <v>8311986</v>
      </c>
      <c r="D18388" t="s">
        <v>56331</v>
      </c>
      <c r="E18388" t="s">
        <v>56332</v>
      </c>
      <c r="F18388" t="s">
        <v>56333</v>
      </c>
      <c r="I18388" t="s">
        <v>184</v>
      </c>
      <c r="J18388" t="s">
        <v>30</v>
      </c>
      <c r="K18388" t="s">
        <v>56334</v>
      </c>
      <c r="M18388" t="s">
        <v>50621</v>
      </c>
      <c r="N18388" t="str">
        <f>"2/16/2023 3:31:00 PM"</f>
        <v>2/16/2023 3:31:00 PM</v>
      </c>
      <c r="O18388" t="s">
        <v>56331</v>
      </c>
      <c r="T18388" t="s">
        <v>56332</v>
      </c>
    </row>
    <row r="18389" spans="1:20" x14ac:dyDescent="0.25">
      <c r="A18389" t="str">
        <f>"3062585"</f>
        <v>3062585</v>
      </c>
      <c r="B18389" t="s">
        <v>56336</v>
      </c>
      <c r="C18389" t="str">
        <f>"8319710"</f>
        <v>8319710</v>
      </c>
      <c r="D18389" t="s">
        <v>56337</v>
      </c>
      <c r="E18389" t="s">
        <v>56338</v>
      </c>
      <c r="F18389" t="s">
        <v>56339</v>
      </c>
      <c r="I18389" t="s">
        <v>29</v>
      </c>
      <c r="J18389" t="s">
        <v>30</v>
      </c>
      <c r="K18389" t="s">
        <v>52431</v>
      </c>
      <c r="M18389" t="s">
        <v>17861</v>
      </c>
      <c r="N18389" t="str">
        <f>"2/17/2023 8:20:00 AM"</f>
        <v>2/17/2023 8:20:00 AM</v>
      </c>
      <c r="O18389" t="s">
        <v>56337</v>
      </c>
      <c r="T18389" t="s">
        <v>56338</v>
      </c>
    </row>
    <row r="18390" spans="1:20" x14ac:dyDescent="0.25">
      <c r="A18390" t="str">
        <f>"3049636"</f>
        <v>3049636</v>
      </c>
      <c r="B18390" t="s">
        <v>56340</v>
      </c>
      <c r="C18390" t="str">
        <f>"82532290"</f>
        <v>82532290</v>
      </c>
      <c r="D18390" t="s">
        <v>23194</v>
      </c>
      <c r="F18390" t="s">
        <v>23195</v>
      </c>
      <c r="I18390" t="s">
        <v>184</v>
      </c>
      <c r="J18390" t="s">
        <v>30</v>
      </c>
      <c r="K18390" t="s">
        <v>185</v>
      </c>
      <c r="M18390" t="s">
        <v>50793</v>
      </c>
      <c r="N18390" t="str">
        <f>"2/17/2023 9:36:00 AM"</f>
        <v>2/17/2023 9:36:00 AM</v>
      </c>
      <c r="O18390" t="s">
        <v>23194</v>
      </c>
    </row>
    <row r="18391" spans="1:20" x14ac:dyDescent="0.25">
      <c r="A18391" t="str">
        <f>"3063015"</f>
        <v>3063015</v>
      </c>
      <c r="B18391" t="s">
        <v>56341</v>
      </c>
      <c r="C18391" t="str">
        <f>"8319703"</f>
        <v>8319703</v>
      </c>
      <c r="D18391" t="s">
        <v>56342</v>
      </c>
      <c r="E18391" t="s">
        <v>56343</v>
      </c>
      <c r="F18391" t="s">
        <v>56344</v>
      </c>
      <c r="I18391" t="s">
        <v>184</v>
      </c>
      <c r="J18391" t="s">
        <v>30</v>
      </c>
      <c r="K18391" t="s">
        <v>35136</v>
      </c>
      <c r="M18391" t="s">
        <v>17861</v>
      </c>
      <c r="N18391" t="str">
        <f>"2/15/2023 2:21:00 PM"</f>
        <v>2/15/2023 2:21:00 PM</v>
      </c>
      <c r="O18391" t="s">
        <v>56342</v>
      </c>
      <c r="T18391" t="s">
        <v>56343</v>
      </c>
    </row>
    <row r="18392" spans="1:20" x14ac:dyDescent="0.25">
      <c r="A18392" t="str">
        <f>"3047790"</f>
        <v>3047790</v>
      </c>
      <c r="B18392" t="s">
        <v>56345</v>
      </c>
      <c r="C18392" t="str">
        <f>"31642500"</f>
        <v>31642500</v>
      </c>
      <c r="D18392" t="s">
        <v>56346</v>
      </c>
      <c r="E18392" t="s">
        <v>56347</v>
      </c>
      <c r="F18392" t="s">
        <v>56348</v>
      </c>
      <c r="I18392" t="s">
        <v>184</v>
      </c>
      <c r="J18392" t="s">
        <v>30</v>
      </c>
      <c r="K18392" t="s">
        <v>56349</v>
      </c>
      <c r="M18392" t="s">
        <v>50621</v>
      </c>
      <c r="N18392" t="str">
        <f>"2/15/2023 2:29:00 PM"</f>
        <v>2/15/2023 2:29:00 PM</v>
      </c>
      <c r="O18392" t="s">
        <v>56346</v>
      </c>
      <c r="T18392" t="s">
        <v>56347</v>
      </c>
    </row>
    <row r="18393" spans="1:20" x14ac:dyDescent="0.25">
      <c r="A18393" t="str">
        <f>"3053489"</f>
        <v>3053489</v>
      </c>
      <c r="B18393" t="s">
        <v>56350</v>
      </c>
      <c r="C18393" t="str">
        <f>"8313860"</f>
        <v>8313860</v>
      </c>
      <c r="D18393" t="s">
        <v>56351</v>
      </c>
      <c r="E18393" t="s">
        <v>56352</v>
      </c>
      <c r="F18393" t="s">
        <v>56353</v>
      </c>
      <c r="I18393" t="s">
        <v>184</v>
      </c>
      <c r="J18393" t="s">
        <v>30</v>
      </c>
      <c r="K18393" t="s">
        <v>15010</v>
      </c>
      <c r="M18393" t="s">
        <v>50621</v>
      </c>
      <c r="N18393" t="str">
        <f>"2/15/2023 2:41:00 PM"</f>
        <v>2/15/2023 2:41:00 PM</v>
      </c>
      <c r="O18393" t="s">
        <v>56351</v>
      </c>
      <c r="T18393" t="s">
        <v>56352</v>
      </c>
    </row>
    <row r="18394" spans="1:20" x14ac:dyDescent="0.25">
      <c r="A18394" t="str">
        <f>"3053258"</f>
        <v>3053258</v>
      </c>
      <c r="B18394" t="s">
        <v>56354</v>
      </c>
      <c r="C18394" t="str">
        <f>"8313860"</f>
        <v>8313860</v>
      </c>
      <c r="D18394" t="s">
        <v>56351</v>
      </c>
      <c r="E18394" t="s">
        <v>56352</v>
      </c>
      <c r="F18394" t="s">
        <v>56353</v>
      </c>
      <c r="I18394" t="s">
        <v>184</v>
      </c>
      <c r="J18394" t="s">
        <v>30</v>
      </c>
      <c r="K18394" t="s">
        <v>15010</v>
      </c>
      <c r="M18394" t="s">
        <v>50621</v>
      </c>
      <c r="N18394" t="str">
        <f>"2/15/2023 2:41:00 PM"</f>
        <v>2/15/2023 2:41:00 PM</v>
      </c>
      <c r="O18394" t="s">
        <v>56351</v>
      </c>
      <c r="T18394" t="s">
        <v>56352</v>
      </c>
    </row>
    <row r="18395" spans="1:20" x14ac:dyDescent="0.25">
      <c r="A18395" t="str">
        <f>"3059789"</f>
        <v>3059789</v>
      </c>
      <c r="B18395" t="s">
        <v>56355</v>
      </c>
      <c r="C18395" t="str">
        <f>"27418500"</f>
        <v>27418500</v>
      </c>
      <c r="D18395" t="s">
        <v>56356</v>
      </c>
      <c r="F18395" t="s">
        <v>56357</v>
      </c>
      <c r="I18395" t="s">
        <v>9580</v>
      </c>
      <c r="J18395" t="s">
        <v>30</v>
      </c>
      <c r="K18395" t="s">
        <v>9581</v>
      </c>
      <c r="M18395" t="s">
        <v>50793</v>
      </c>
      <c r="N18395" t="str">
        <f>"2/15/2023 2:53:00 PM"</f>
        <v>2/15/2023 2:53:00 PM</v>
      </c>
      <c r="O18395" t="s">
        <v>56356</v>
      </c>
    </row>
    <row r="18396" spans="1:20" x14ac:dyDescent="0.25">
      <c r="A18396" t="str">
        <f>"3040615"</f>
        <v>3040615</v>
      </c>
      <c r="B18396" t="s">
        <v>56358</v>
      </c>
      <c r="C18396" t="str">
        <f>"8319704"</f>
        <v>8319704</v>
      </c>
      <c r="D18396" t="s">
        <v>56359</v>
      </c>
      <c r="F18396" t="s">
        <v>56360</v>
      </c>
      <c r="I18396" t="s">
        <v>184</v>
      </c>
      <c r="J18396" t="s">
        <v>30</v>
      </c>
      <c r="K18396" t="s">
        <v>37863</v>
      </c>
      <c r="M18396" t="s">
        <v>17861</v>
      </c>
      <c r="N18396" t="str">
        <f>"2/15/2023 2:54:00 PM"</f>
        <v>2/15/2023 2:54:00 PM</v>
      </c>
      <c r="O18396" t="s">
        <v>56359</v>
      </c>
    </row>
    <row r="18397" spans="1:20" x14ac:dyDescent="0.25">
      <c r="A18397" t="str">
        <f>"3040000"</f>
        <v>3040000</v>
      </c>
      <c r="B18397" t="s">
        <v>56361</v>
      </c>
      <c r="C18397" t="str">
        <f>"38643040"</f>
        <v>38643040</v>
      </c>
      <c r="D18397" t="s">
        <v>56362</v>
      </c>
      <c r="E18397" t="s">
        <v>56363</v>
      </c>
      <c r="F18397" t="s">
        <v>56364</v>
      </c>
      <c r="I18397" t="s">
        <v>29</v>
      </c>
      <c r="J18397" t="s">
        <v>30</v>
      </c>
      <c r="K18397" t="s">
        <v>56365</v>
      </c>
      <c r="M18397" t="s">
        <v>50793</v>
      </c>
      <c r="N18397" t="str">
        <f>"2/16/2023 9:11:00 AM"</f>
        <v>2/16/2023 9:11:00 AM</v>
      </c>
      <c r="O18397" t="s">
        <v>56362</v>
      </c>
      <c r="T18397" t="s">
        <v>56363</v>
      </c>
    </row>
    <row r="18398" spans="1:20" x14ac:dyDescent="0.25">
      <c r="A18398" t="str">
        <f>"3039463"</f>
        <v>3039463</v>
      </c>
      <c r="B18398" t="s">
        <v>56366</v>
      </c>
      <c r="C18398" t="str">
        <f>"38643040"</f>
        <v>38643040</v>
      </c>
      <c r="D18398" t="s">
        <v>56362</v>
      </c>
      <c r="E18398" t="s">
        <v>56363</v>
      </c>
      <c r="F18398" t="s">
        <v>56364</v>
      </c>
      <c r="I18398" t="s">
        <v>29</v>
      </c>
      <c r="J18398" t="s">
        <v>30</v>
      </c>
      <c r="K18398" t="s">
        <v>56365</v>
      </c>
      <c r="M18398" t="s">
        <v>50793</v>
      </c>
      <c r="N18398" t="str">
        <f>"2/16/2023 9:11:00 AM"</f>
        <v>2/16/2023 9:11:00 AM</v>
      </c>
      <c r="O18398" t="s">
        <v>56362</v>
      </c>
      <c r="T18398" t="s">
        <v>56363</v>
      </c>
    </row>
    <row r="18399" spans="1:20" x14ac:dyDescent="0.25">
      <c r="A18399" t="str">
        <f>"3060379"</f>
        <v>3060379</v>
      </c>
      <c r="B18399" t="s">
        <v>56367</v>
      </c>
      <c r="C18399" t="str">
        <f>"82529708"</f>
        <v>82529708</v>
      </c>
      <c r="D18399" t="s">
        <v>56368</v>
      </c>
      <c r="E18399" t="s">
        <v>18376</v>
      </c>
      <c r="F18399" t="s">
        <v>18377</v>
      </c>
      <c r="I18399" t="s">
        <v>29</v>
      </c>
      <c r="J18399" t="s">
        <v>30</v>
      </c>
      <c r="K18399" t="s">
        <v>31</v>
      </c>
      <c r="M18399" t="s">
        <v>50793</v>
      </c>
      <c r="N18399" t="str">
        <f>"2/16/2023 10:05:00 AM"</f>
        <v>2/16/2023 10:05:00 AM</v>
      </c>
      <c r="O18399" t="s">
        <v>56368</v>
      </c>
      <c r="T18399" t="s">
        <v>18376</v>
      </c>
    </row>
    <row r="18400" spans="1:20" x14ac:dyDescent="0.25">
      <c r="A18400" t="str">
        <f>"3044113"</f>
        <v>3044113</v>
      </c>
      <c r="B18400" t="s">
        <v>56369</v>
      </c>
      <c r="C18400" t="str">
        <f>"51412000"</f>
        <v>51412000</v>
      </c>
      <c r="D18400" t="s">
        <v>56370</v>
      </c>
      <c r="E18400" t="s">
        <v>56371</v>
      </c>
      <c r="F18400" t="s">
        <v>56372</v>
      </c>
      <c r="I18400" t="s">
        <v>184</v>
      </c>
      <c r="J18400" t="s">
        <v>30</v>
      </c>
      <c r="K18400" t="s">
        <v>7434</v>
      </c>
      <c r="M18400" t="s">
        <v>50621</v>
      </c>
      <c r="N18400" t="str">
        <f>"2/17/2023 1:37:00 PM"</f>
        <v>2/17/2023 1:37:00 PM</v>
      </c>
      <c r="O18400" t="s">
        <v>56370</v>
      </c>
      <c r="T18400" t="s">
        <v>56371</v>
      </c>
    </row>
    <row r="18401" spans="1:20" x14ac:dyDescent="0.25">
      <c r="A18401" t="str">
        <f>"3049540"</f>
        <v>3049540</v>
      </c>
      <c r="B18401" t="s">
        <v>56373</v>
      </c>
      <c r="C18401" t="str">
        <f>"8311006"</f>
        <v>8311006</v>
      </c>
      <c r="D18401" t="s">
        <v>56374</v>
      </c>
      <c r="E18401" t="s">
        <v>56375</v>
      </c>
      <c r="F18401" t="s">
        <v>56376</v>
      </c>
      <c r="I18401" t="s">
        <v>29</v>
      </c>
      <c r="J18401" t="s">
        <v>30</v>
      </c>
      <c r="K18401" t="s">
        <v>56377</v>
      </c>
      <c r="M18401" t="s">
        <v>50621</v>
      </c>
      <c r="N18401" t="str">
        <f>"2/17/2023 1:49:00 PM"</f>
        <v>2/17/2023 1:49:00 PM</v>
      </c>
      <c r="O18401" t="s">
        <v>56374</v>
      </c>
      <c r="T18401" t="s">
        <v>56375</v>
      </c>
    </row>
    <row r="18402" spans="1:20" x14ac:dyDescent="0.25">
      <c r="A18402" t="str">
        <f>"3049935"</f>
        <v>3049935</v>
      </c>
      <c r="B18402" t="s">
        <v>56378</v>
      </c>
      <c r="C18402" t="str">
        <f>"8311006"</f>
        <v>8311006</v>
      </c>
      <c r="D18402" t="s">
        <v>56374</v>
      </c>
      <c r="E18402" t="s">
        <v>56375</v>
      </c>
      <c r="F18402" t="s">
        <v>56376</v>
      </c>
      <c r="I18402" t="s">
        <v>29</v>
      </c>
      <c r="J18402" t="s">
        <v>30</v>
      </c>
      <c r="K18402" t="s">
        <v>56377</v>
      </c>
      <c r="M18402" t="s">
        <v>50621</v>
      </c>
      <c r="N18402" t="str">
        <f>"2/17/2023 1:49:00 PM"</f>
        <v>2/17/2023 1:49:00 PM</v>
      </c>
      <c r="O18402" t="s">
        <v>56374</v>
      </c>
      <c r="T18402" t="s">
        <v>56375</v>
      </c>
    </row>
    <row r="18403" spans="1:20" x14ac:dyDescent="0.25">
      <c r="A18403" t="str">
        <f>"3049950"</f>
        <v>3049950</v>
      </c>
      <c r="B18403" t="s">
        <v>56379</v>
      </c>
      <c r="C18403" t="str">
        <f>"8311006"</f>
        <v>8311006</v>
      </c>
      <c r="D18403" t="s">
        <v>56374</v>
      </c>
      <c r="E18403" t="s">
        <v>56375</v>
      </c>
      <c r="F18403" t="s">
        <v>56376</v>
      </c>
      <c r="I18403" t="s">
        <v>29</v>
      </c>
      <c r="J18403" t="s">
        <v>30</v>
      </c>
      <c r="K18403" t="s">
        <v>56377</v>
      </c>
      <c r="M18403" t="s">
        <v>50621</v>
      </c>
      <c r="N18403" t="str">
        <f>"2/17/2023 1:49:00 PM"</f>
        <v>2/17/2023 1:49:00 PM</v>
      </c>
      <c r="O18403" t="s">
        <v>56374</v>
      </c>
      <c r="T18403" t="s">
        <v>56375</v>
      </c>
    </row>
    <row r="18404" spans="1:20" x14ac:dyDescent="0.25">
      <c r="A18404" t="str">
        <f>"3078411"</f>
        <v>3078411</v>
      </c>
      <c r="B18404" t="s">
        <v>56380</v>
      </c>
      <c r="C18404" t="str">
        <f>"8311006"</f>
        <v>8311006</v>
      </c>
      <c r="D18404" t="s">
        <v>56374</v>
      </c>
      <c r="E18404" t="s">
        <v>56375</v>
      </c>
      <c r="F18404" t="s">
        <v>56376</v>
      </c>
      <c r="I18404" t="s">
        <v>29</v>
      </c>
      <c r="J18404" t="s">
        <v>30</v>
      </c>
      <c r="K18404" t="s">
        <v>56377</v>
      </c>
      <c r="M18404" t="s">
        <v>50621</v>
      </c>
      <c r="N18404" t="str">
        <f>"2/17/2023 1:49:00 PM"</f>
        <v>2/17/2023 1:49:00 PM</v>
      </c>
      <c r="O18404" t="s">
        <v>56374</v>
      </c>
      <c r="T18404" t="s">
        <v>56375</v>
      </c>
    </row>
    <row r="18405" spans="1:20" x14ac:dyDescent="0.25">
      <c r="A18405" t="str">
        <f>"3046299"</f>
        <v>3046299</v>
      </c>
      <c r="B18405" t="s">
        <v>56381</v>
      </c>
      <c r="C18405" t="str">
        <f>"82524945"</f>
        <v>82524945</v>
      </c>
      <c r="D18405" t="s">
        <v>56382</v>
      </c>
      <c r="E18405" t="s">
        <v>56383</v>
      </c>
      <c r="F18405" t="s">
        <v>56384</v>
      </c>
      <c r="I18405" t="s">
        <v>29</v>
      </c>
      <c r="J18405" t="s">
        <v>30</v>
      </c>
      <c r="K18405" t="str">
        <f>"27028"</f>
        <v>27028</v>
      </c>
      <c r="M18405" t="s">
        <v>50621</v>
      </c>
      <c r="N18405" t="str">
        <f>"2/17/2023 2:13:00 PM"</f>
        <v>2/17/2023 2:13:00 PM</v>
      </c>
      <c r="O18405" t="s">
        <v>56382</v>
      </c>
      <c r="T18405" t="s">
        <v>56383</v>
      </c>
    </row>
    <row r="18406" spans="1:20" x14ac:dyDescent="0.25">
      <c r="A18406" t="str">
        <f>"3049471"</f>
        <v>3049471</v>
      </c>
      <c r="B18406" t="s">
        <v>56385</v>
      </c>
      <c r="C18406" t="str">
        <f>"82527312"</f>
        <v>82527312</v>
      </c>
      <c r="D18406" t="s">
        <v>56386</v>
      </c>
      <c r="F18406" t="s">
        <v>12679</v>
      </c>
      <c r="I18406" t="s">
        <v>184</v>
      </c>
      <c r="J18406" t="s">
        <v>30</v>
      </c>
      <c r="K18406" t="s">
        <v>185</v>
      </c>
      <c r="M18406" t="s">
        <v>50793</v>
      </c>
      <c r="N18406" t="str">
        <f>"2/17/2023 3:58:00 PM"</f>
        <v>2/17/2023 3:58:00 PM</v>
      </c>
      <c r="O18406" t="s">
        <v>56386</v>
      </c>
    </row>
    <row r="18407" spans="1:20" x14ac:dyDescent="0.25">
      <c r="A18407" t="str">
        <f>"3039115"</f>
        <v>3039115</v>
      </c>
      <c r="B18407" t="s">
        <v>56387</v>
      </c>
      <c r="C18407" t="str">
        <f>"49604000"</f>
        <v>49604000</v>
      </c>
      <c r="D18407" t="s">
        <v>56388</v>
      </c>
      <c r="F18407" t="s">
        <v>51335</v>
      </c>
      <c r="I18407" t="s">
        <v>29</v>
      </c>
      <c r="J18407" t="s">
        <v>30</v>
      </c>
      <c r="K18407" t="s">
        <v>31</v>
      </c>
      <c r="M18407" t="s">
        <v>50621</v>
      </c>
      <c r="N18407" t="str">
        <f>"2/17/2023 10:40:00 AM"</f>
        <v>2/17/2023 10:40:00 AM</v>
      </c>
      <c r="O18407" t="s">
        <v>56388</v>
      </c>
    </row>
    <row r="18408" spans="1:20" x14ac:dyDescent="0.25">
      <c r="A18408" t="str">
        <f>"3059381"</f>
        <v>3059381</v>
      </c>
      <c r="B18408" t="s">
        <v>56389</v>
      </c>
      <c r="C18408" t="str">
        <f>"58460120"</f>
        <v>58460120</v>
      </c>
      <c r="D18408" t="s">
        <v>56390</v>
      </c>
      <c r="E18408" t="s">
        <v>56391</v>
      </c>
      <c r="F18408" t="s">
        <v>56392</v>
      </c>
      <c r="I18408" t="s">
        <v>29</v>
      </c>
      <c r="J18408" t="s">
        <v>30</v>
      </c>
      <c r="K18408" t="s">
        <v>15394</v>
      </c>
      <c r="M18408" t="s">
        <v>50621</v>
      </c>
      <c r="N18408" t="str">
        <f>"2/20/2023 10:44:00 AM"</f>
        <v>2/20/2023 10:44:00 AM</v>
      </c>
      <c r="O18408" t="s">
        <v>56390</v>
      </c>
      <c r="T18408" t="s">
        <v>56391</v>
      </c>
    </row>
    <row r="18409" spans="1:20" x14ac:dyDescent="0.25">
      <c r="A18409" t="str">
        <f>"3037234"</f>
        <v>3037234</v>
      </c>
      <c r="B18409" t="s">
        <v>56393</v>
      </c>
      <c r="C18409" t="str">
        <f>"82532389"</f>
        <v>82532389</v>
      </c>
      <c r="D18409" t="s">
        <v>56394</v>
      </c>
      <c r="E18409" t="s">
        <v>56395</v>
      </c>
      <c r="F18409" t="s">
        <v>56396</v>
      </c>
      <c r="I18409" t="s">
        <v>184</v>
      </c>
      <c r="J18409" t="s">
        <v>30</v>
      </c>
      <c r="K18409" t="s">
        <v>56397</v>
      </c>
      <c r="M18409" t="s">
        <v>50621</v>
      </c>
      <c r="N18409" t="str">
        <f>"2/17/2023 10:45:00 AM"</f>
        <v>2/17/2023 10:45:00 AM</v>
      </c>
      <c r="O18409" t="s">
        <v>56394</v>
      </c>
      <c r="T18409" t="s">
        <v>56395</v>
      </c>
    </row>
    <row r="18410" spans="1:20" x14ac:dyDescent="0.25">
      <c r="A18410" t="str">
        <f>"3043862"</f>
        <v>3043862</v>
      </c>
      <c r="B18410" t="s">
        <v>56398</v>
      </c>
      <c r="C18410" t="str">
        <f>"51412000"</f>
        <v>51412000</v>
      </c>
      <c r="D18410" t="s">
        <v>56370</v>
      </c>
      <c r="E18410" t="s">
        <v>56371</v>
      </c>
      <c r="F18410" t="s">
        <v>56372</v>
      </c>
      <c r="I18410" t="s">
        <v>184</v>
      </c>
      <c r="J18410" t="s">
        <v>30</v>
      </c>
      <c r="K18410" t="s">
        <v>7434</v>
      </c>
      <c r="M18410" t="s">
        <v>50621</v>
      </c>
      <c r="N18410" t="str">
        <f>"2/17/2023 1:37:00 PM"</f>
        <v>2/17/2023 1:37:00 PM</v>
      </c>
      <c r="O18410" t="s">
        <v>56370</v>
      </c>
      <c r="T18410" t="s">
        <v>56371</v>
      </c>
    </row>
    <row r="18411" spans="1:20" x14ac:dyDescent="0.25">
      <c r="A18411" t="str">
        <f>"3038582"</f>
        <v>3038582</v>
      </c>
      <c r="B18411" t="s">
        <v>56399</v>
      </c>
      <c r="C18411" t="str">
        <f>"8312213"</f>
        <v>8312213</v>
      </c>
      <c r="D18411" t="s">
        <v>56400</v>
      </c>
      <c r="E18411" t="s">
        <v>56299</v>
      </c>
      <c r="F18411" t="s">
        <v>56401</v>
      </c>
      <c r="I18411" t="s">
        <v>29</v>
      </c>
      <c r="J18411" t="s">
        <v>30</v>
      </c>
      <c r="K18411" t="s">
        <v>56143</v>
      </c>
      <c r="M18411" t="s">
        <v>50621</v>
      </c>
      <c r="N18411" t="str">
        <f>"2/20/2023 10:35:00 AM"</f>
        <v>2/20/2023 10:35:00 AM</v>
      </c>
      <c r="O18411" t="s">
        <v>56400</v>
      </c>
      <c r="T18411" t="s">
        <v>56299</v>
      </c>
    </row>
    <row r="18412" spans="1:20" x14ac:dyDescent="0.25">
      <c r="A18412" t="str">
        <f>"3039236"</f>
        <v>3039236</v>
      </c>
      <c r="B18412" t="s">
        <v>56402</v>
      </c>
      <c r="C18412" t="str">
        <f>"82527739"</f>
        <v>82527739</v>
      </c>
      <c r="D18412" t="s">
        <v>56403</v>
      </c>
      <c r="E18412" t="s">
        <v>56404</v>
      </c>
      <c r="F18412" t="s">
        <v>56405</v>
      </c>
      <c r="I18412" t="s">
        <v>29</v>
      </c>
      <c r="J18412" t="s">
        <v>30</v>
      </c>
      <c r="K18412" t="s">
        <v>31</v>
      </c>
      <c r="M18412" t="s">
        <v>50621</v>
      </c>
      <c r="N18412" t="str">
        <f>"2/20/2023 10:36:00 AM"</f>
        <v>2/20/2023 10:36:00 AM</v>
      </c>
      <c r="O18412" t="s">
        <v>56403</v>
      </c>
      <c r="T18412" t="s">
        <v>56404</v>
      </c>
    </row>
    <row r="18413" spans="1:20" x14ac:dyDescent="0.25">
      <c r="A18413" t="str">
        <f>"3053415"</f>
        <v>3053415</v>
      </c>
      <c r="B18413" t="s">
        <v>56406</v>
      </c>
      <c r="C18413" t="str">
        <f>"8310312"</f>
        <v>8310312</v>
      </c>
      <c r="D18413" t="s">
        <v>39834</v>
      </c>
      <c r="E18413" t="s">
        <v>39835</v>
      </c>
      <c r="F18413" t="s">
        <v>56407</v>
      </c>
      <c r="I18413" t="s">
        <v>29</v>
      </c>
      <c r="J18413" t="s">
        <v>30</v>
      </c>
      <c r="K18413" t="s">
        <v>48896</v>
      </c>
      <c r="M18413" t="s">
        <v>50621</v>
      </c>
      <c r="N18413" t="str">
        <f>"2/20/2023 10:37:00 AM"</f>
        <v>2/20/2023 10:37:00 AM</v>
      </c>
      <c r="O18413" t="s">
        <v>39834</v>
      </c>
      <c r="T18413" t="s">
        <v>39835</v>
      </c>
    </row>
    <row r="18414" spans="1:20" x14ac:dyDescent="0.25">
      <c r="A18414" t="str">
        <f>"3060505"</f>
        <v>3060505</v>
      </c>
      <c r="B18414" t="s">
        <v>56408</v>
      </c>
      <c r="C18414" t="str">
        <f>"82522113"</f>
        <v>82522113</v>
      </c>
      <c r="D18414" t="s">
        <v>56409</v>
      </c>
      <c r="E18414" t="s">
        <v>56410</v>
      </c>
      <c r="F18414" t="s">
        <v>56411</v>
      </c>
      <c r="I18414" t="s">
        <v>184</v>
      </c>
      <c r="J18414" t="s">
        <v>30</v>
      </c>
      <c r="K18414" t="s">
        <v>9200</v>
      </c>
      <c r="M18414" t="s">
        <v>50621</v>
      </c>
      <c r="N18414" t="str">
        <f>"2/20/2023 10:39:00 AM"</f>
        <v>2/20/2023 10:39:00 AM</v>
      </c>
      <c r="O18414" t="s">
        <v>56409</v>
      </c>
      <c r="T18414" t="s">
        <v>56410</v>
      </c>
    </row>
    <row r="18415" spans="1:20" x14ac:dyDescent="0.25">
      <c r="A18415" t="str">
        <f>"3055345"</f>
        <v>3055345</v>
      </c>
      <c r="B18415" t="s">
        <v>56412</v>
      </c>
      <c r="C18415" t="str">
        <f>"8301159"</f>
        <v>8301159</v>
      </c>
      <c r="D18415" t="s">
        <v>56413</v>
      </c>
      <c r="F18415" t="s">
        <v>56414</v>
      </c>
      <c r="I18415" t="s">
        <v>29</v>
      </c>
      <c r="J18415" t="s">
        <v>30</v>
      </c>
      <c r="K18415" t="str">
        <f>"27028"</f>
        <v>27028</v>
      </c>
      <c r="M18415" t="s">
        <v>50621</v>
      </c>
      <c r="N18415" t="str">
        <f>"2/20/2023 10:38:00 AM"</f>
        <v>2/20/2023 10:38:00 AM</v>
      </c>
      <c r="O18415" t="s">
        <v>56413</v>
      </c>
    </row>
    <row r="18416" spans="1:20" x14ac:dyDescent="0.25">
      <c r="A18416" t="str">
        <f>"3055329"</f>
        <v>3055329</v>
      </c>
      <c r="B18416" t="s">
        <v>56415</v>
      </c>
      <c r="C18416" t="str">
        <f>"8301159"</f>
        <v>8301159</v>
      </c>
      <c r="D18416" t="s">
        <v>56413</v>
      </c>
      <c r="F18416" t="s">
        <v>56414</v>
      </c>
      <c r="I18416" t="s">
        <v>29</v>
      </c>
      <c r="J18416" t="s">
        <v>30</v>
      </c>
      <c r="K18416" t="str">
        <f>"27028"</f>
        <v>27028</v>
      </c>
      <c r="M18416" t="s">
        <v>50621</v>
      </c>
      <c r="N18416" t="str">
        <f>"2/20/2023 10:38:00 AM"</f>
        <v>2/20/2023 10:38:00 AM</v>
      </c>
      <c r="O18416" t="s">
        <v>56413</v>
      </c>
    </row>
    <row r="18417" spans="1:20" x14ac:dyDescent="0.25">
      <c r="A18417" t="str">
        <f>"3056924"</f>
        <v>3056924</v>
      </c>
      <c r="B18417" t="s">
        <v>56416</v>
      </c>
      <c r="C18417" t="str">
        <f>"58460120"</f>
        <v>58460120</v>
      </c>
      <c r="D18417" t="s">
        <v>56390</v>
      </c>
      <c r="E18417" t="s">
        <v>56391</v>
      </c>
      <c r="F18417" t="s">
        <v>56392</v>
      </c>
      <c r="I18417" t="s">
        <v>29</v>
      </c>
      <c r="J18417" t="s">
        <v>30</v>
      </c>
      <c r="K18417" t="s">
        <v>15394</v>
      </c>
      <c r="M18417" t="s">
        <v>50621</v>
      </c>
      <c r="N18417" t="str">
        <f>"2/20/2023 10:44:00 AM"</f>
        <v>2/20/2023 10:44:00 AM</v>
      </c>
      <c r="O18417" t="s">
        <v>56390</v>
      </c>
      <c r="T18417" t="s">
        <v>56391</v>
      </c>
    </row>
    <row r="18418" spans="1:20" x14ac:dyDescent="0.25">
      <c r="A18418" t="str">
        <f>"3057824"</f>
        <v>3057824</v>
      </c>
      <c r="B18418" t="s">
        <v>56417</v>
      </c>
      <c r="C18418" t="str">
        <f>"8319718"</f>
        <v>8319718</v>
      </c>
      <c r="D18418" t="s">
        <v>56418</v>
      </c>
      <c r="F18418" t="s">
        <v>56419</v>
      </c>
      <c r="I18418" t="s">
        <v>184</v>
      </c>
      <c r="J18418" t="s">
        <v>30</v>
      </c>
      <c r="K18418" t="s">
        <v>39012</v>
      </c>
      <c r="M18418" t="s">
        <v>17861</v>
      </c>
      <c r="N18418" t="str">
        <f>"2/20/2023 8:39:00 AM"</f>
        <v>2/20/2023 8:39:00 AM</v>
      </c>
      <c r="O18418" t="s">
        <v>56418</v>
      </c>
    </row>
    <row r="18419" spans="1:20" x14ac:dyDescent="0.25">
      <c r="A18419" t="str">
        <f>"3045835"</f>
        <v>3045835</v>
      </c>
      <c r="B18419" t="s">
        <v>56420</v>
      </c>
      <c r="C18419" t="str">
        <f>"8302287"</f>
        <v>8302287</v>
      </c>
      <c r="D18419" t="s">
        <v>56421</v>
      </c>
      <c r="E18419" t="s">
        <v>56422</v>
      </c>
      <c r="F18419" t="s">
        <v>56423</v>
      </c>
      <c r="I18419" t="s">
        <v>29</v>
      </c>
      <c r="J18419" t="s">
        <v>30</v>
      </c>
      <c r="K18419" t="str">
        <f>"27028"</f>
        <v>27028</v>
      </c>
      <c r="M18419" t="s">
        <v>50621</v>
      </c>
      <c r="N18419" t="str">
        <f>"2/20/2023 12:36:00 PM"</f>
        <v>2/20/2023 12:36:00 PM</v>
      </c>
      <c r="O18419" t="s">
        <v>56421</v>
      </c>
      <c r="T18419" t="s">
        <v>56422</v>
      </c>
    </row>
    <row r="18420" spans="1:20" x14ac:dyDescent="0.25">
      <c r="A18420" t="str">
        <f>"3046071"</f>
        <v>3046071</v>
      </c>
      <c r="B18420" t="s">
        <v>56424</v>
      </c>
      <c r="C18420" t="str">
        <f>"82514149"</f>
        <v>82514149</v>
      </c>
      <c r="D18420" t="s">
        <v>56425</v>
      </c>
      <c r="F18420" t="s">
        <v>56423</v>
      </c>
      <c r="I18420" t="s">
        <v>29</v>
      </c>
      <c r="J18420" t="s">
        <v>30</v>
      </c>
      <c r="K18420" t="s">
        <v>37095</v>
      </c>
      <c r="M18420" t="s">
        <v>50621</v>
      </c>
      <c r="N18420" t="str">
        <f>"2/20/2023 12:36:00 PM"</f>
        <v>2/20/2023 12:36:00 PM</v>
      </c>
      <c r="O18420" t="s">
        <v>56425</v>
      </c>
    </row>
    <row r="18421" spans="1:20" x14ac:dyDescent="0.25">
      <c r="A18421" t="str">
        <f>"3058450"</f>
        <v>3058450</v>
      </c>
      <c r="B18421" t="s">
        <v>56426</v>
      </c>
      <c r="C18421" t="str">
        <f>"8319719"</f>
        <v>8319719</v>
      </c>
      <c r="D18421" t="s">
        <v>56427</v>
      </c>
      <c r="F18421" t="s">
        <v>56428</v>
      </c>
      <c r="I18421" t="s">
        <v>17921</v>
      </c>
      <c r="J18421" t="s">
        <v>30</v>
      </c>
      <c r="K18421" t="str">
        <f>"27028"</f>
        <v>27028</v>
      </c>
      <c r="M18421" t="s">
        <v>17861</v>
      </c>
      <c r="N18421" t="str">
        <f>"2/20/2023 9:03:00 AM"</f>
        <v>2/20/2023 9:03:00 AM</v>
      </c>
      <c r="O18421" t="s">
        <v>56427</v>
      </c>
    </row>
    <row r="18422" spans="1:20" x14ac:dyDescent="0.25">
      <c r="A18422" t="str">
        <f>"3047170"</f>
        <v>3047170</v>
      </c>
      <c r="B18422" t="s">
        <v>56429</v>
      </c>
      <c r="C18422" t="str">
        <f>"8303076"</f>
        <v>8303076</v>
      </c>
      <c r="D18422" t="s">
        <v>56430</v>
      </c>
      <c r="F18422" t="s">
        <v>56431</v>
      </c>
      <c r="I18422" t="s">
        <v>29</v>
      </c>
      <c r="J18422" t="s">
        <v>30</v>
      </c>
      <c r="K18422" t="str">
        <f>"27028"</f>
        <v>27028</v>
      </c>
      <c r="M18422" t="s">
        <v>50621</v>
      </c>
      <c r="N18422" t="str">
        <f>"2/20/2023 9:51:00 AM"</f>
        <v>2/20/2023 9:51:00 AM</v>
      </c>
      <c r="O18422" t="s">
        <v>56430</v>
      </c>
    </row>
    <row r="18423" spans="1:20" x14ac:dyDescent="0.25">
      <c r="A18423" t="str">
        <f>"3046856"</f>
        <v>3046856</v>
      </c>
      <c r="B18423" t="s">
        <v>56432</v>
      </c>
      <c r="C18423" t="str">
        <f>"8303076"</f>
        <v>8303076</v>
      </c>
      <c r="D18423" t="s">
        <v>56430</v>
      </c>
      <c r="F18423" t="s">
        <v>56431</v>
      </c>
      <c r="I18423" t="s">
        <v>29</v>
      </c>
      <c r="J18423" t="s">
        <v>30</v>
      </c>
      <c r="K18423" t="str">
        <f>"27028"</f>
        <v>27028</v>
      </c>
      <c r="M18423" t="s">
        <v>50621</v>
      </c>
      <c r="N18423" t="str">
        <f>"2/20/2023 9:51:00 AM"</f>
        <v>2/20/2023 9:51:00 AM</v>
      </c>
      <c r="O18423" t="s">
        <v>56430</v>
      </c>
    </row>
    <row r="18424" spans="1:20" x14ac:dyDescent="0.25">
      <c r="A18424" t="str">
        <f>"3050978"</f>
        <v>3050978</v>
      </c>
      <c r="B18424" t="s">
        <v>56433</v>
      </c>
      <c r="C18424" t="str">
        <f>"82522549"</f>
        <v>82522549</v>
      </c>
      <c r="D18424" t="s">
        <v>56434</v>
      </c>
      <c r="F18424" t="s">
        <v>56435</v>
      </c>
      <c r="I18424" t="s">
        <v>184</v>
      </c>
      <c r="J18424" t="s">
        <v>30</v>
      </c>
      <c r="K18424" t="s">
        <v>185</v>
      </c>
      <c r="M18424" t="s">
        <v>50621</v>
      </c>
      <c r="N18424" t="str">
        <f>"2/20/2023 9:51:00 AM"</f>
        <v>2/20/2023 9:51:00 AM</v>
      </c>
      <c r="O18424" t="s">
        <v>56434</v>
      </c>
    </row>
    <row r="18425" spans="1:20" x14ac:dyDescent="0.25">
      <c r="A18425" t="str">
        <f>"3054762"</f>
        <v>3054762</v>
      </c>
      <c r="B18425" t="s">
        <v>56436</v>
      </c>
      <c r="C18425" t="str">
        <f>"5896000"</f>
        <v>5896000</v>
      </c>
      <c r="D18425" t="s">
        <v>56437</v>
      </c>
      <c r="E18425" t="s">
        <v>56438</v>
      </c>
      <c r="F18425" t="s">
        <v>56439</v>
      </c>
      <c r="I18425" t="s">
        <v>29</v>
      </c>
      <c r="J18425" t="s">
        <v>30</v>
      </c>
      <c r="K18425" t="s">
        <v>31</v>
      </c>
      <c r="M18425" t="s">
        <v>50621</v>
      </c>
      <c r="N18425" t="str">
        <f>"2/20/2023 9:53:00 AM"</f>
        <v>2/20/2023 9:53:00 AM</v>
      </c>
      <c r="O18425" t="s">
        <v>56437</v>
      </c>
      <c r="T18425" t="s">
        <v>56438</v>
      </c>
    </row>
    <row r="18426" spans="1:20" x14ac:dyDescent="0.25">
      <c r="A18426" t="str">
        <f>"3055492"</f>
        <v>3055492</v>
      </c>
      <c r="B18426" t="s">
        <v>56440</v>
      </c>
      <c r="C18426" t="str">
        <f>"5896000"</f>
        <v>5896000</v>
      </c>
      <c r="D18426" t="s">
        <v>56437</v>
      </c>
      <c r="E18426" t="s">
        <v>56438</v>
      </c>
      <c r="F18426" t="s">
        <v>56439</v>
      </c>
      <c r="I18426" t="s">
        <v>29</v>
      </c>
      <c r="J18426" t="s">
        <v>30</v>
      </c>
      <c r="K18426" t="s">
        <v>31</v>
      </c>
      <c r="M18426" t="s">
        <v>50621</v>
      </c>
      <c r="N18426" t="str">
        <f>"2/20/2023 9:53:00 AM"</f>
        <v>2/20/2023 9:53:00 AM</v>
      </c>
      <c r="O18426" t="s">
        <v>56437</v>
      </c>
      <c r="T18426" t="s">
        <v>56438</v>
      </c>
    </row>
    <row r="18427" spans="1:20" x14ac:dyDescent="0.25">
      <c r="A18427" t="str">
        <f>"3068114"</f>
        <v>3068114</v>
      </c>
      <c r="B18427" t="s">
        <v>56441</v>
      </c>
      <c r="C18427" t="str">
        <f>"5896000"</f>
        <v>5896000</v>
      </c>
      <c r="D18427" t="s">
        <v>56437</v>
      </c>
      <c r="E18427" t="s">
        <v>56438</v>
      </c>
      <c r="F18427" t="s">
        <v>56439</v>
      </c>
      <c r="I18427" t="s">
        <v>29</v>
      </c>
      <c r="J18427" t="s">
        <v>30</v>
      </c>
      <c r="K18427" t="s">
        <v>31</v>
      </c>
      <c r="M18427" t="s">
        <v>50621</v>
      </c>
      <c r="N18427" t="str">
        <f>"2/20/2023 9:53:00 AM"</f>
        <v>2/20/2023 9:53:00 AM</v>
      </c>
      <c r="O18427" t="s">
        <v>56437</v>
      </c>
      <c r="T18427" t="s">
        <v>56438</v>
      </c>
    </row>
    <row r="18428" spans="1:20" x14ac:dyDescent="0.25">
      <c r="A18428" t="str">
        <f>"3068618"</f>
        <v>3068618</v>
      </c>
      <c r="B18428" t="s">
        <v>56442</v>
      </c>
      <c r="C18428" t="str">
        <f>"82513253"</f>
        <v>82513253</v>
      </c>
      <c r="D18428" t="s">
        <v>56443</v>
      </c>
      <c r="F18428" t="s">
        <v>56444</v>
      </c>
      <c r="I18428" t="s">
        <v>184</v>
      </c>
      <c r="J18428" t="s">
        <v>30</v>
      </c>
      <c r="K18428" t="s">
        <v>819</v>
      </c>
      <c r="M18428" t="s">
        <v>50621</v>
      </c>
      <c r="N18428" t="str">
        <f>"2/20/2023 10:17:00 AM"</f>
        <v>2/20/2023 10:17:00 AM</v>
      </c>
      <c r="O18428" t="s">
        <v>56443</v>
      </c>
    </row>
    <row r="18429" spans="1:20" x14ac:dyDescent="0.25">
      <c r="A18429" t="str">
        <f>"3052894"</f>
        <v>3052894</v>
      </c>
      <c r="B18429" t="s">
        <v>56445</v>
      </c>
      <c r="C18429" t="str">
        <f>"8306395"</f>
        <v>8306395</v>
      </c>
      <c r="D18429" t="s">
        <v>56446</v>
      </c>
      <c r="F18429" t="s">
        <v>56447</v>
      </c>
      <c r="I18429" t="s">
        <v>29</v>
      </c>
      <c r="J18429" t="s">
        <v>30</v>
      </c>
      <c r="K18429" t="str">
        <f>"27028"</f>
        <v>27028</v>
      </c>
      <c r="M18429" t="s">
        <v>50621</v>
      </c>
      <c r="N18429" t="str">
        <f>"2/20/2023 10:20:00 AM"</f>
        <v>2/20/2023 10:20:00 AM</v>
      </c>
      <c r="O18429" t="s">
        <v>56446</v>
      </c>
    </row>
    <row r="18430" spans="1:20" x14ac:dyDescent="0.25">
      <c r="A18430" t="str">
        <f>"3052789"</f>
        <v>3052789</v>
      </c>
      <c r="B18430" t="s">
        <v>56448</v>
      </c>
      <c r="C18430" t="str">
        <f>"82521654"</f>
        <v>82521654</v>
      </c>
      <c r="D18430" t="s">
        <v>50865</v>
      </c>
      <c r="F18430" t="s">
        <v>56449</v>
      </c>
      <c r="I18430" t="s">
        <v>29</v>
      </c>
      <c r="J18430" t="s">
        <v>30</v>
      </c>
      <c r="K18430" t="s">
        <v>12392</v>
      </c>
      <c r="M18430" t="s">
        <v>50621</v>
      </c>
      <c r="N18430" t="str">
        <f>"2/20/2023 10:23:00 AM"</f>
        <v>2/20/2023 10:23:00 AM</v>
      </c>
      <c r="O18430" t="s">
        <v>50865</v>
      </c>
    </row>
    <row r="18431" spans="1:20" x14ac:dyDescent="0.25">
      <c r="A18431" t="str">
        <f>"3050630"</f>
        <v>3050630</v>
      </c>
      <c r="B18431" t="s">
        <v>56450</v>
      </c>
      <c r="C18431" t="str">
        <f>"82521654"</f>
        <v>82521654</v>
      </c>
      <c r="D18431" t="s">
        <v>50865</v>
      </c>
      <c r="F18431" t="s">
        <v>56449</v>
      </c>
      <c r="I18431" t="s">
        <v>29</v>
      </c>
      <c r="J18431" t="s">
        <v>30</v>
      </c>
      <c r="K18431" t="s">
        <v>12392</v>
      </c>
      <c r="M18431" t="s">
        <v>50621</v>
      </c>
      <c r="N18431" t="str">
        <f>"2/20/2023 10:23:00 AM"</f>
        <v>2/20/2023 10:23:00 AM</v>
      </c>
      <c r="O18431" t="s">
        <v>50865</v>
      </c>
    </row>
    <row r="18432" spans="1:20" x14ac:dyDescent="0.25">
      <c r="A18432" t="str">
        <f>"3064044"</f>
        <v>3064044</v>
      </c>
      <c r="B18432" t="s">
        <v>56451</v>
      </c>
      <c r="C18432" t="str">
        <f>"82517277"</f>
        <v>82517277</v>
      </c>
      <c r="D18432" t="s">
        <v>56452</v>
      </c>
      <c r="E18432" t="s">
        <v>56453</v>
      </c>
      <c r="F18432" t="s">
        <v>56454</v>
      </c>
      <c r="I18432" t="s">
        <v>184</v>
      </c>
      <c r="J18432" t="s">
        <v>30</v>
      </c>
      <c r="K18432" t="s">
        <v>56455</v>
      </c>
      <c r="M18432" t="s">
        <v>50621</v>
      </c>
      <c r="N18432" t="str">
        <f>"2/20/2023 10:25:00 AM"</f>
        <v>2/20/2023 10:25:00 AM</v>
      </c>
      <c r="O18432" t="s">
        <v>56452</v>
      </c>
      <c r="T18432" t="s">
        <v>56453</v>
      </c>
    </row>
    <row r="18433" spans="1:20" x14ac:dyDescent="0.25">
      <c r="A18433" t="str">
        <f>"3050428"</f>
        <v>3050428</v>
      </c>
      <c r="B18433" t="s">
        <v>56456</v>
      </c>
      <c r="C18433" t="str">
        <f>"63240500"</f>
        <v>63240500</v>
      </c>
      <c r="D18433" t="s">
        <v>56457</v>
      </c>
      <c r="E18433" t="s">
        <v>56458</v>
      </c>
      <c r="F18433" t="s">
        <v>56459</v>
      </c>
      <c r="I18433" t="s">
        <v>29</v>
      </c>
      <c r="J18433" t="s">
        <v>30</v>
      </c>
      <c r="K18433" t="s">
        <v>31</v>
      </c>
      <c r="M18433" t="s">
        <v>50621</v>
      </c>
      <c r="N18433" t="str">
        <f>"2/21/2023 9:56:00 AM"</f>
        <v>2/21/2023 9:56:00 AM</v>
      </c>
      <c r="O18433" t="s">
        <v>56457</v>
      </c>
      <c r="T18433" t="s">
        <v>56458</v>
      </c>
    </row>
    <row r="18434" spans="1:20" x14ac:dyDescent="0.25">
      <c r="A18434" t="str">
        <f>"3052439"</f>
        <v>3052439</v>
      </c>
      <c r="B18434" t="s">
        <v>56460</v>
      </c>
      <c r="C18434" t="str">
        <f>"82519252"</f>
        <v>82519252</v>
      </c>
      <c r="D18434" t="s">
        <v>32745</v>
      </c>
      <c r="E18434" t="s">
        <v>56461</v>
      </c>
      <c r="F18434" t="s">
        <v>56462</v>
      </c>
      <c r="I18434" t="s">
        <v>29</v>
      </c>
      <c r="J18434" t="s">
        <v>30</v>
      </c>
      <c r="K18434" t="s">
        <v>31</v>
      </c>
      <c r="M18434" t="s">
        <v>50621</v>
      </c>
      <c r="N18434" t="str">
        <f>"2/20/2023 10:26:00 AM"</f>
        <v>2/20/2023 10:26:00 AM</v>
      </c>
      <c r="O18434" t="s">
        <v>32745</v>
      </c>
      <c r="T18434" t="s">
        <v>56461</v>
      </c>
    </row>
    <row r="18435" spans="1:20" x14ac:dyDescent="0.25">
      <c r="A18435" t="str">
        <f>"3038202"</f>
        <v>3038202</v>
      </c>
      <c r="B18435" t="s">
        <v>56463</v>
      </c>
      <c r="C18435" t="str">
        <f>"8312213"</f>
        <v>8312213</v>
      </c>
      <c r="D18435" t="s">
        <v>56400</v>
      </c>
      <c r="E18435" t="s">
        <v>56299</v>
      </c>
      <c r="F18435" t="s">
        <v>56401</v>
      </c>
      <c r="I18435" t="s">
        <v>29</v>
      </c>
      <c r="J18435" t="s">
        <v>30</v>
      </c>
      <c r="K18435" t="s">
        <v>56143</v>
      </c>
      <c r="M18435" t="s">
        <v>50621</v>
      </c>
      <c r="N18435" t="str">
        <f>"2/20/2023 10:35:00 AM"</f>
        <v>2/20/2023 10:35:00 AM</v>
      </c>
      <c r="O18435" t="s">
        <v>56400</v>
      </c>
      <c r="T18435" t="s">
        <v>56299</v>
      </c>
    </row>
    <row r="18436" spans="1:20" x14ac:dyDescent="0.25">
      <c r="A18436" t="str">
        <f>"3037986"</f>
        <v>3037986</v>
      </c>
      <c r="B18436" t="s">
        <v>56464</v>
      </c>
      <c r="C18436" t="str">
        <f>"82521525"</f>
        <v>82521525</v>
      </c>
      <c r="D18436" t="s">
        <v>56465</v>
      </c>
      <c r="E18436" t="s">
        <v>2176</v>
      </c>
      <c r="F18436" t="s">
        <v>2177</v>
      </c>
      <c r="I18436" t="s">
        <v>184</v>
      </c>
      <c r="J18436" t="s">
        <v>30</v>
      </c>
      <c r="K18436" t="s">
        <v>185</v>
      </c>
      <c r="M18436" t="s">
        <v>50621</v>
      </c>
      <c r="N18436" t="str">
        <f>"2/20/2023 12:11:00 PM"</f>
        <v>2/20/2023 12:11:00 PM</v>
      </c>
      <c r="O18436" t="s">
        <v>56465</v>
      </c>
      <c r="T18436" t="s">
        <v>2176</v>
      </c>
    </row>
    <row r="18437" spans="1:20" x14ac:dyDescent="0.25">
      <c r="A18437" t="str">
        <f>"3047683"</f>
        <v>3047683</v>
      </c>
      <c r="B18437" t="s">
        <v>56466</v>
      </c>
      <c r="C18437" t="str">
        <f>"82526913"</f>
        <v>82526913</v>
      </c>
      <c r="D18437" t="s">
        <v>56467</v>
      </c>
      <c r="E18437" t="s">
        <v>56468</v>
      </c>
      <c r="F18437" t="s">
        <v>56469</v>
      </c>
      <c r="I18437" t="s">
        <v>471</v>
      </c>
      <c r="J18437" t="s">
        <v>30</v>
      </c>
      <c r="K18437" t="s">
        <v>472</v>
      </c>
      <c r="M18437" t="s">
        <v>50621</v>
      </c>
      <c r="N18437" t="str">
        <f>"2/21/2023 11:40:00 AM"</f>
        <v>2/21/2023 11:40:00 AM</v>
      </c>
      <c r="O18437" t="s">
        <v>56467</v>
      </c>
      <c r="T18437" t="s">
        <v>56468</v>
      </c>
    </row>
    <row r="18438" spans="1:20" x14ac:dyDescent="0.25">
      <c r="A18438" t="str">
        <f>"3046447"</f>
        <v>3046447</v>
      </c>
      <c r="B18438" t="s">
        <v>56470</v>
      </c>
      <c r="C18438" t="str">
        <f>"8302287"</f>
        <v>8302287</v>
      </c>
      <c r="D18438" t="s">
        <v>56421</v>
      </c>
      <c r="E18438" t="s">
        <v>56422</v>
      </c>
      <c r="F18438" t="s">
        <v>56423</v>
      </c>
      <c r="I18438" t="s">
        <v>29</v>
      </c>
      <c r="J18438" t="s">
        <v>30</v>
      </c>
      <c r="K18438" t="str">
        <f>"27028"</f>
        <v>27028</v>
      </c>
      <c r="M18438" t="s">
        <v>50621</v>
      </c>
      <c r="N18438" t="str">
        <f>"2/20/2023 12:36:00 PM"</f>
        <v>2/20/2023 12:36:00 PM</v>
      </c>
      <c r="O18438" t="s">
        <v>56421</v>
      </c>
      <c r="T18438" t="s">
        <v>56422</v>
      </c>
    </row>
    <row r="18439" spans="1:20" x14ac:dyDescent="0.25">
      <c r="A18439" t="str">
        <f>"3047108"</f>
        <v>3047108</v>
      </c>
      <c r="B18439" t="s">
        <v>56471</v>
      </c>
      <c r="C18439" t="str">
        <f>"57700000"</f>
        <v>57700000</v>
      </c>
      <c r="D18439" t="s">
        <v>56472</v>
      </c>
      <c r="E18439" t="s">
        <v>56473</v>
      </c>
      <c r="F18439" t="s">
        <v>56474</v>
      </c>
      <c r="I18439" t="s">
        <v>29</v>
      </c>
      <c r="J18439" t="s">
        <v>30</v>
      </c>
      <c r="K18439" t="s">
        <v>31</v>
      </c>
      <c r="M18439" t="s">
        <v>50621</v>
      </c>
      <c r="N18439" t="str">
        <f>"2/20/2023 12:53:00 PM"</f>
        <v>2/20/2023 12:53:00 PM</v>
      </c>
      <c r="O18439" t="s">
        <v>56472</v>
      </c>
      <c r="T18439" t="s">
        <v>56473</v>
      </c>
    </row>
    <row r="18440" spans="1:20" x14ac:dyDescent="0.25">
      <c r="A18440" t="str">
        <f>"3041974"</f>
        <v>3041974</v>
      </c>
      <c r="B18440" t="s">
        <v>56475</v>
      </c>
      <c r="C18440" t="str">
        <f>"82521970"</f>
        <v>82521970</v>
      </c>
      <c r="D18440" t="s">
        <v>56476</v>
      </c>
      <c r="E18440" t="s">
        <v>56477</v>
      </c>
      <c r="F18440" t="s">
        <v>56478</v>
      </c>
      <c r="I18440" t="s">
        <v>29</v>
      </c>
      <c r="J18440" t="s">
        <v>30</v>
      </c>
      <c r="K18440" t="s">
        <v>31</v>
      </c>
      <c r="M18440" t="s">
        <v>50621</v>
      </c>
      <c r="N18440" t="str">
        <f>"2/21/2023 12:45:00 PM"</f>
        <v>2/21/2023 12:45:00 PM</v>
      </c>
      <c r="O18440" t="s">
        <v>56476</v>
      </c>
      <c r="T18440" t="s">
        <v>56477</v>
      </c>
    </row>
    <row r="18441" spans="1:20" x14ac:dyDescent="0.25">
      <c r="A18441" t="str">
        <f>"3046611"</f>
        <v>3046611</v>
      </c>
      <c r="B18441" t="s">
        <v>56479</v>
      </c>
      <c r="C18441" t="str">
        <f>"57700000"</f>
        <v>57700000</v>
      </c>
      <c r="D18441" t="s">
        <v>56472</v>
      </c>
      <c r="E18441" t="s">
        <v>56473</v>
      </c>
      <c r="F18441" t="s">
        <v>56474</v>
      </c>
      <c r="I18441" t="s">
        <v>29</v>
      </c>
      <c r="J18441" t="s">
        <v>30</v>
      </c>
      <c r="K18441" t="s">
        <v>31</v>
      </c>
      <c r="M18441" t="s">
        <v>50621</v>
      </c>
      <c r="N18441" t="str">
        <f>"2/20/2023 12:53:00 PM"</f>
        <v>2/20/2023 12:53:00 PM</v>
      </c>
      <c r="O18441" t="s">
        <v>56472</v>
      </c>
      <c r="T18441" t="s">
        <v>56473</v>
      </c>
    </row>
    <row r="18442" spans="1:20" x14ac:dyDescent="0.25">
      <c r="A18442" t="str">
        <f>"3057700"</f>
        <v>3057700</v>
      </c>
      <c r="B18442" t="s">
        <v>56480</v>
      </c>
      <c r="C18442" t="str">
        <f>"8316522"</f>
        <v>8316522</v>
      </c>
      <c r="D18442" t="s">
        <v>56481</v>
      </c>
      <c r="F18442" t="s">
        <v>56482</v>
      </c>
      <c r="I18442" t="s">
        <v>2071</v>
      </c>
      <c r="J18442" t="s">
        <v>30</v>
      </c>
      <c r="K18442" t="s">
        <v>48423</v>
      </c>
      <c r="M18442" t="s">
        <v>50621</v>
      </c>
      <c r="N18442" t="str">
        <f>"2/20/2023 2:12:00 PM"</f>
        <v>2/20/2023 2:12:00 PM</v>
      </c>
      <c r="O18442" t="s">
        <v>56481</v>
      </c>
    </row>
    <row r="18443" spans="1:20" x14ac:dyDescent="0.25">
      <c r="A18443" t="str">
        <f>"3043842"</f>
        <v>3043842</v>
      </c>
      <c r="B18443" t="s">
        <v>56483</v>
      </c>
      <c r="C18443" t="str">
        <f>"8319725"</f>
        <v>8319725</v>
      </c>
      <c r="D18443" t="s">
        <v>56484</v>
      </c>
      <c r="E18443" t="s">
        <v>50129</v>
      </c>
      <c r="F18443" t="s">
        <v>50130</v>
      </c>
      <c r="I18443" t="s">
        <v>184</v>
      </c>
      <c r="J18443" t="s">
        <v>30</v>
      </c>
      <c r="K18443" t="s">
        <v>50131</v>
      </c>
      <c r="M18443" t="s">
        <v>17861</v>
      </c>
      <c r="N18443" t="str">
        <f>"2/21/2023 2:20:00 PM"</f>
        <v>2/21/2023 2:20:00 PM</v>
      </c>
      <c r="O18443" t="s">
        <v>56484</v>
      </c>
      <c r="T18443" t="s">
        <v>50129</v>
      </c>
    </row>
    <row r="18444" spans="1:20" x14ac:dyDescent="0.25">
      <c r="A18444" t="str">
        <f>"3044274"</f>
        <v>3044274</v>
      </c>
      <c r="B18444" t="s">
        <v>56485</v>
      </c>
      <c r="C18444" t="str">
        <f>"8319725"</f>
        <v>8319725</v>
      </c>
      <c r="D18444" t="s">
        <v>56484</v>
      </c>
      <c r="E18444" t="s">
        <v>50129</v>
      </c>
      <c r="F18444" t="s">
        <v>50130</v>
      </c>
      <c r="I18444" t="s">
        <v>184</v>
      </c>
      <c r="J18444" t="s">
        <v>30</v>
      </c>
      <c r="K18444" t="s">
        <v>50131</v>
      </c>
      <c r="M18444" t="s">
        <v>17861</v>
      </c>
      <c r="N18444" t="str">
        <f>"2/21/2023 2:20:00 PM"</f>
        <v>2/21/2023 2:20:00 PM</v>
      </c>
      <c r="O18444" t="s">
        <v>56484</v>
      </c>
      <c r="T18444" t="s">
        <v>50129</v>
      </c>
    </row>
    <row r="18445" spans="1:20" x14ac:dyDescent="0.25">
      <c r="A18445" t="str">
        <f>"3043874"</f>
        <v>3043874</v>
      </c>
      <c r="B18445" t="s">
        <v>56486</v>
      </c>
      <c r="C18445" t="str">
        <f>"8319725"</f>
        <v>8319725</v>
      </c>
      <c r="D18445" t="s">
        <v>56484</v>
      </c>
      <c r="E18445" t="s">
        <v>50129</v>
      </c>
      <c r="F18445" t="s">
        <v>50130</v>
      </c>
      <c r="I18445" t="s">
        <v>184</v>
      </c>
      <c r="J18445" t="s">
        <v>30</v>
      </c>
      <c r="K18445" t="s">
        <v>50131</v>
      </c>
      <c r="M18445" t="s">
        <v>17861</v>
      </c>
      <c r="N18445" t="str">
        <f>"2/21/2023 2:20:00 PM"</f>
        <v>2/21/2023 2:20:00 PM</v>
      </c>
      <c r="O18445" t="s">
        <v>56484</v>
      </c>
      <c r="T18445" t="s">
        <v>50129</v>
      </c>
    </row>
    <row r="18446" spans="1:20" x14ac:dyDescent="0.25">
      <c r="A18446" t="str">
        <f>"3048205"</f>
        <v>3048205</v>
      </c>
      <c r="B18446" t="s">
        <v>56487</v>
      </c>
      <c r="C18446" t="str">
        <f>"8319725"</f>
        <v>8319725</v>
      </c>
      <c r="D18446" t="s">
        <v>56484</v>
      </c>
      <c r="E18446" t="s">
        <v>50129</v>
      </c>
      <c r="F18446" t="s">
        <v>50130</v>
      </c>
      <c r="I18446" t="s">
        <v>184</v>
      </c>
      <c r="J18446" t="s">
        <v>30</v>
      </c>
      <c r="K18446" t="s">
        <v>50131</v>
      </c>
      <c r="M18446" t="s">
        <v>17861</v>
      </c>
      <c r="N18446" t="str">
        <f>"2/21/2023 2:20:00 PM"</f>
        <v>2/21/2023 2:20:00 PM</v>
      </c>
      <c r="O18446" t="s">
        <v>56484</v>
      </c>
      <c r="T18446" t="s">
        <v>50129</v>
      </c>
    </row>
    <row r="18447" spans="1:20" x14ac:dyDescent="0.25">
      <c r="A18447" t="str">
        <f>"3045951"</f>
        <v>3045951</v>
      </c>
      <c r="B18447" t="s">
        <v>56488</v>
      </c>
      <c r="C18447" t="str">
        <f>"82531383"</f>
        <v>82531383</v>
      </c>
      <c r="D18447" t="s">
        <v>56489</v>
      </c>
      <c r="E18447" t="s">
        <v>56490</v>
      </c>
      <c r="F18447" t="s">
        <v>56491</v>
      </c>
      <c r="I18447" t="s">
        <v>56492</v>
      </c>
      <c r="J18447" t="s">
        <v>11697</v>
      </c>
      <c r="K18447" t="s">
        <v>56493</v>
      </c>
      <c r="M18447" t="s">
        <v>50793</v>
      </c>
      <c r="N18447" t="str">
        <f>"2/20/2023 2:12:00 PM"</f>
        <v>2/20/2023 2:12:00 PM</v>
      </c>
      <c r="O18447" t="s">
        <v>56489</v>
      </c>
      <c r="T18447" t="s">
        <v>56490</v>
      </c>
    </row>
    <row r="18448" spans="1:20" x14ac:dyDescent="0.25">
      <c r="A18448" t="str">
        <f>"3045923"</f>
        <v>3045923</v>
      </c>
      <c r="B18448" t="s">
        <v>56494</v>
      </c>
      <c r="C18448" t="str">
        <f>"82531383"</f>
        <v>82531383</v>
      </c>
      <c r="D18448" t="s">
        <v>56489</v>
      </c>
      <c r="E18448" t="s">
        <v>56490</v>
      </c>
      <c r="F18448" t="s">
        <v>56491</v>
      </c>
      <c r="I18448" t="s">
        <v>56492</v>
      </c>
      <c r="J18448" t="s">
        <v>11697</v>
      </c>
      <c r="K18448" t="s">
        <v>56493</v>
      </c>
      <c r="M18448" t="s">
        <v>50793</v>
      </c>
      <c r="N18448" t="str">
        <f>"2/20/2023 2:12:00 PM"</f>
        <v>2/20/2023 2:12:00 PM</v>
      </c>
      <c r="O18448" t="s">
        <v>56489</v>
      </c>
      <c r="T18448" t="s">
        <v>56490</v>
      </c>
    </row>
    <row r="18449" spans="1:20" x14ac:dyDescent="0.25">
      <c r="A18449" t="str">
        <f>"3040361"</f>
        <v>3040361</v>
      </c>
      <c r="B18449" t="s">
        <v>56495</v>
      </c>
      <c r="C18449" t="str">
        <f>"8313496"</f>
        <v>8313496</v>
      </c>
      <c r="D18449" t="s">
        <v>56496</v>
      </c>
      <c r="E18449" t="s">
        <v>3016</v>
      </c>
      <c r="F18449" t="s">
        <v>56497</v>
      </c>
      <c r="I18449" t="s">
        <v>184</v>
      </c>
      <c r="J18449" t="s">
        <v>30</v>
      </c>
      <c r="K18449" t="s">
        <v>3019</v>
      </c>
      <c r="M18449" t="s">
        <v>50621</v>
      </c>
      <c r="N18449" t="str">
        <f>"2/20/2023 3:18:00 PM"</f>
        <v>2/20/2023 3:18:00 PM</v>
      </c>
      <c r="O18449" t="s">
        <v>56496</v>
      </c>
      <c r="T18449" t="s">
        <v>3016</v>
      </c>
    </row>
    <row r="18450" spans="1:20" x14ac:dyDescent="0.25">
      <c r="A18450" t="str">
        <f>"3039668"</f>
        <v>3039668</v>
      </c>
      <c r="B18450" t="s">
        <v>56498</v>
      </c>
      <c r="C18450" t="str">
        <f>"82523487"</f>
        <v>82523487</v>
      </c>
      <c r="D18450" t="s">
        <v>56499</v>
      </c>
      <c r="E18450" t="s">
        <v>56500</v>
      </c>
      <c r="F18450" t="s">
        <v>56501</v>
      </c>
      <c r="I18450" t="s">
        <v>184</v>
      </c>
      <c r="J18450" t="s">
        <v>30</v>
      </c>
      <c r="K18450" t="s">
        <v>56502</v>
      </c>
      <c r="M18450" t="s">
        <v>50621</v>
      </c>
      <c r="N18450" t="str">
        <f>"2/20/2023 3:21:00 PM"</f>
        <v>2/20/2023 3:21:00 PM</v>
      </c>
      <c r="O18450" t="s">
        <v>56499</v>
      </c>
      <c r="T18450" t="s">
        <v>56500</v>
      </c>
    </row>
    <row r="18451" spans="1:20" x14ac:dyDescent="0.25">
      <c r="A18451" t="str">
        <f>"3066268"</f>
        <v>3066268</v>
      </c>
      <c r="B18451" t="s">
        <v>56503</v>
      </c>
      <c r="C18451" t="str">
        <f>"82520492"</f>
        <v>82520492</v>
      </c>
      <c r="D18451" t="s">
        <v>56504</v>
      </c>
      <c r="E18451" t="s">
        <v>56505</v>
      </c>
      <c r="F18451" t="s">
        <v>56506</v>
      </c>
      <c r="I18451" t="s">
        <v>14378</v>
      </c>
      <c r="J18451" t="s">
        <v>30</v>
      </c>
      <c r="K18451" t="s">
        <v>56507</v>
      </c>
      <c r="M18451" t="s">
        <v>50793</v>
      </c>
      <c r="N18451" t="str">
        <f>"2/21/2023 3:00:00 PM"</f>
        <v>2/21/2023 3:00:00 PM</v>
      </c>
      <c r="O18451" t="s">
        <v>56504</v>
      </c>
      <c r="T18451" t="s">
        <v>56505</v>
      </c>
    </row>
    <row r="18452" spans="1:20" x14ac:dyDescent="0.25">
      <c r="A18452" t="str">
        <f>"3070820"</f>
        <v>3070820</v>
      </c>
      <c r="B18452" t="s">
        <v>56508</v>
      </c>
      <c r="C18452" t="str">
        <f>"8302717"</f>
        <v>8302717</v>
      </c>
      <c r="D18452" t="s">
        <v>56509</v>
      </c>
      <c r="E18452" t="s">
        <v>56510</v>
      </c>
      <c r="F18452" t="s">
        <v>56511</v>
      </c>
      <c r="I18452" t="s">
        <v>1107</v>
      </c>
      <c r="J18452" t="s">
        <v>30</v>
      </c>
      <c r="K18452" t="str">
        <f>"28625"</f>
        <v>28625</v>
      </c>
      <c r="M18452" t="s">
        <v>50793</v>
      </c>
      <c r="N18452" t="str">
        <f>"2/20/2023 3:34:00 PM"</f>
        <v>2/20/2023 3:34:00 PM</v>
      </c>
      <c r="O18452" t="s">
        <v>56509</v>
      </c>
      <c r="T18452" t="s">
        <v>56510</v>
      </c>
    </row>
    <row r="18453" spans="1:20" x14ac:dyDescent="0.25">
      <c r="A18453" t="str">
        <f>"3044379"</f>
        <v>3044379</v>
      </c>
      <c r="B18453" t="s">
        <v>56512</v>
      </c>
      <c r="C18453" t="str">
        <f>"8308478"</f>
        <v>8308478</v>
      </c>
      <c r="D18453" t="s">
        <v>56513</v>
      </c>
      <c r="E18453" t="s">
        <v>56514</v>
      </c>
      <c r="F18453" t="s">
        <v>56515</v>
      </c>
      <c r="I18453" t="s">
        <v>184</v>
      </c>
      <c r="J18453" t="s">
        <v>30</v>
      </c>
      <c r="K18453" t="str">
        <f>"27006"</f>
        <v>27006</v>
      </c>
      <c r="M18453" t="s">
        <v>50621</v>
      </c>
      <c r="N18453" t="str">
        <f>"2/20/2023 4:22:00 PM"</f>
        <v>2/20/2023 4:22:00 PM</v>
      </c>
      <c r="O18453" t="s">
        <v>56513</v>
      </c>
      <c r="T18453" t="s">
        <v>56514</v>
      </c>
    </row>
    <row r="18454" spans="1:20" x14ac:dyDescent="0.25">
      <c r="A18454" t="str">
        <f>"3046370"</f>
        <v>3046370</v>
      </c>
      <c r="B18454" t="s">
        <v>56516</v>
      </c>
      <c r="C18454" t="str">
        <f>"8310460"</f>
        <v>8310460</v>
      </c>
      <c r="D18454" t="s">
        <v>56517</v>
      </c>
      <c r="F18454" t="s">
        <v>56518</v>
      </c>
      <c r="I18454" t="s">
        <v>29</v>
      </c>
      <c r="J18454" t="s">
        <v>30</v>
      </c>
      <c r="K18454" t="s">
        <v>34021</v>
      </c>
      <c r="M18454" t="s">
        <v>50621</v>
      </c>
      <c r="N18454" t="str">
        <f>"2/21/2023 9:06:00 AM"</f>
        <v>2/21/2023 9:06:00 AM</v>
      </c>
      <c r="O18454" t="s">
        <v>56517</v>
      </c>
    </row>
    <row r="18455" spans="1:20" x14ac:dyDescent="0.25">
      <c r="A18455" t="str">
        <f>"3049609"</f>
        <v>3049609</v>
      </c>
      <c r="B18455" t="s">
        <v>56519</v>
      </c>
      <c r="C18455" t="str">
        <f>"63240500"</f>
        <v>63240500</v>
      </c>
      <c r="D18455" t="s">
        <v>56457</v>
      </c>
      <c r="E18455" t="s">
        <v>56458</v>
      </c>
      <c r="F18455" t="s">
        <v>56459</v>
      </c>
      <c r="I18455" t="s">
        <v>29</v>
      </c>
      <c r="J18455" t="s">
        <v>30</v>
      </c>
      <c r="K18455" t="s">
        <v>31</v>
      </c>
      <c r="M18455" t="s">
        <v>50621</v>
      </c>
      <c r="N18455" t="str">
        <f>"2/21/2023 9:56:00 AM"</f>
        <v>2/21/2023 9:56:00 AM</v>
      </c>
      <c r="O18455" t="s">
        <v>56457</v>
      </c>
      <c r="T18455" t="s">
        <v>56458</v>
      </c>
    </row>
    <row r="18456" spans="1:20" x14ac:dyDescent="0.25">
      <c r="A18456" t="str">
        <f>"3050318"</f>
        <v>3050318</v>
      </c>
      <c r="B18456" t="s">
        <v>56520</v>
      </c>
      <c r="C18456" t="str">
        <f>"63240500"</f>
        <v>63240500</v>
      </c>
      <c r="D18456" t="s">
        <v>56457</v>
      </c>
      <c r="E18456" t="s">
        <v>56458</v>
      </c>
      <c r="F18456" t="s">
        <v>56459</v>
      </c>
      <c r="I18456" t="s">
        <v>29</v>
      </c>
      <c r="J18456" t="s">
        <v>30</v>
      </c>
      <c r="K18456" t="s">
        <v>31</v>
      </c>
      <c r="M18456" t="s">
        <v>50621</v>
      </c>
      <c r="N18456" t="str">
        <f>"2/21/2023 9:56:00 AM"</f>
        <v>2/21/2023 9:56:00 AM</v>
      </c>
      <c r="O18456" t="s">
        <v>56457</v>
      </c>
      <c r="T18456" t="s">
        <v>56458</v>
      </c>
    </row>
    <row r="18457" spans="1:20" x14ac:dyDescent="0.25">
      <c r="A18457" t="str">
        <f>"3054694"</f>
        <v>3054694</v>
      </c>
      <c r="B18457" t="s">
        <v>56521</v>
      </c>
      <c r="C18457" t="str">
        <f>"82518367"</f>
        <v>82518367</v>
      </c>
      <c r="D18457" t="s">
        <v>56522</v>
      </c>
      <c r="F18457" t="str">
        <f>"C/O LORRAINE WAGNER"</f>
        <v>C/O LORRAINE WAGNER</v>
      </c>
      <c r="G18457" t="s">
        <v>56523</v>
      </c>
      <c r="I18457" t="s">
        <v>1149</v>
      </c>
      <c r="J18457" t="s">
        <v>30</v>
      </c>
      <c r="K18457" t="s">
        <v>1150</v>
      </c>
      <c r="M18457" t="s">
        <v>50621</v>
      </c>
      <c r="N18457" t="str">
        <f>"2/20/2023 10:54:00 AM"</f>
        <v>2/20/2023 10:54:00 AM</v>
      </c>
      <c r="O18457" t="s">
        <v>56522</v>
      </c>
    </row>
    <row r="18458" spans="1:20" x14ac:dyDescent="0.25">
      <c r="A18458" t="str">
        <f>"3054668"</f>
        <v>3054668</v>
      </c>
      <c r="B18458" t="s">
        <v>56524</v>
      </c>
      <c r="C18458" t="str">
        <f>"82518367"</f>
        <v>82518367</v>
      </c>
      <c r="D18458" t="s">
        <v>56522</v>
      </c>
      <c r="F18458" t="str">
        <f>"C/O LORRAINE WAGNER"</f>
        <v>C/O LORRAINE WAGNER</v>
      </c>
      <c r="G18458" t="s">
        <v>56523</v>
      </c>
      <c r="I18458" t="s">
        <v>1149</v>
      </c>
      <c r="J18458" t="s">
        <v>30</v>
      </c>
      <c r="K18458" t="s">
        <v>1150</v>
      </c>
      <c r="M18458" t="s">
        <v>50621</v>
      </c>
      <c r="N18458" t="str">
        <f>"2/20/2023 10:54:00 AM"</f>
        <v>2/20/2023 10:54:00 AM</v>
      </c>
      <c r="O18458" t="s">
        <v>56522</v>
      </c>
    </row>
    <row r="18459" spans="1:20" x14ac:dyDescent="0.25">
      <c r="A18459" t="str">
        <f>"3055200"</f>
        <v>3055200</v>
      </c>
      <c r="B18459" t="s">
        <v>56525</v>
      </c>
      <c r="C18459" t="str">
        <f>"76752000"</f>
        <v>76752000</v>
      </c>
      <c r="D18459" t="s">
        <v>56526</v>
      </c>
      <c r="F18459" t="s">
        <v>56527</v>
      </c>
      <c r="I18459" t="s">
        <v>29</v>
      </c>
      <c r="J18459" t="s">
        <v>30</v>
      </c>
      <c r="K18459" t="s">
        <v>31</v>
      </c>
      <c r="M18459" t="s">
        <v>50621</v>
      </c>
      <c r="N18459" t="str">
        <f>"2/20/2023 10:54:00 AM"</f>
        <v>2/20/2023 10:54:00 AM</v>
      </c>
      <c r="O18459" t="s">
        <v>56526</v>
      </c>
    </row>
    <row r="18460" spans="1:20" x14ac:dyDescent="0.25">
      <c r="A18460" t="str">
        <f>"3046276"</f>
        <v>3046276</v>
      </c>
      <c r="B18460" t="s">
        <v>56528</v>
      </c>
      <c r="C18460" t="str">
        <f>"78208000"</f>
        <v>78208000</v>
      </c>
      <c r="D18460" t="s">
        <v>56529</v>
      </c>
      <c r="F18460" t="s">
        <v>56530</v>
      </c>
      <c r="I18460" t="s">
        <v>29</v>
      </c>
      <c r="J18460" t="s">
        <v>30</v>
      </c>
      <c r="K18460" t="s">
        <v>31</v>
      </c>
      <c r="M18460" t="s">
        <v>50621</v>
      </c>
      <c r="N18460" t="str">
        <f>"2/20/2023 10:56:00 AM"</f>
        <v>2/20/2023 10:56:00 AM</v>
      </c>
      <c r="O18460" t="s">
        <v>56529</v>
      </c>
    </row>
    <row r="18461" spans="1:20" x14ac:dyDescent="0.25">
      <c r="A18461" t="str">
        <f>"3054601"</f>
        <v>3054601</v>
      </c>
      <c r="B18461" t="s">
        <v>56531</v>
      </c>
      <c r="C18461" t="str">
        <f>"8313462"</f>
        <v>8313462</v>
      </c>
      <c r="D18461" t="s">
        <v>56532</v>
      </c>
      <c r="E18461" t="s">
        <v>56533</v>
      </c>
      <c r="F18461" t="s">
        <v>56534</v>
      </c>
      <c r="I18461" t="s">
        <v>29</v>
      </c>
      <c r="J18461" t="s">
        <v>30</v>
      </c>
      <c r="K18461" t="s">
        <v>56535</v>
      </c>
      <c r="M18461" t="s">
        <v>50621</v>
      </c>
      <c r="N18461" t="str">
        <f>"2/20/2023 10:57:00 AM"</f>
        <v>2/20/2023 10:57:00 AM</v>
      </c>
      <c r="O18461" t="s">
        <v>56532</v>
      </c>
      <c r="T18461" t="s">
        <v>56533</v>
      </c>
    </row>
    <row r="18462" spans="1:20" x14ac:dyDescent="0.25">
      <c r="A18462" t="str">
        <f>"3047039"</f>
        <v>3047039</v>
      </c>
      <c r="B18462" t="s">
        <v>56536</v>
      </c>
      <c r="C18462" t="str">
        <f>"8313572"</f>
        <v>8313572</v>
      </c>
      <c r="D18462" t="str">
        <f>"SNOW VON J/BONNIE P"</f>
        <v>SNOW VON J/BONNIE P</v>
      </c>
      <c r="E18462" t="s">
        <v>56537</v>
      </c>
      <c r="F18462" t="s">
        <v>56538</v>
      </c>
      <c r="I18462" t="s">
        <v>17921</v>
      </c>
      <c r="J18462" t="s">
        <v>30</v>
      </c>
      <c r="K18462" t="str">
        <f>"27028"</f>
        <v>27028</v>
      </c>
      <c r="M18462" t="s">
        <v>50621</v>
      </c>
      <c r="N18462" t="str">
        <f>"2/21/2023 12:27:00 PM"</f>
        <v>2/21/2023 12:27:00 PM</v>
      </c>
      <c r="O18462" t="str">
        <f>"SNOW VON J/BONNIE P"</f>
        <v>SNOW VON J/BONNIE P</v>
      </c>
      <c r="T18462" t="s">
        <v>56537</v>
      </c>
    </row>
    <row r="18463" spans="1:20" x14ac:dyDescent="0.25">
      <c r="A18463" t="str">
        <f>"3042664"</f>
        <v>3042664</v>
      </c>
      <c r="B18463" t="s">
        <v>56539</v>
      </c>
      <c r="C18463" t="str">
        <f>"82521970"</f>
        <v>82521970</v>
      </c>
      <c r="D18463" t="s">
        <v>56476</v>
      </c>
      <c r="E18463" t="s">
        <v>56477</v>
      </c>
      <c r="F18463" t="s">
        <v>56478</v>
      </c>
      <c r="I18463" t="s">
        <v>29</v>
      </c>
      <c r="J18463" t="s">
        <v>30</v>
      </c>
      <c r="K18463" t="s">
        <v>31</v>
      </c>
      <c r="M18463" t="s">
        <v>50621</v>
      </c>
      <c r="N18463" t="str">
        <f>"2/21/2023 12:45:00 PM"</f>
        <v>2/21/2023 12:45:00 PM</v>
      </c>
      <c r="O18463" t="s">
        <v>56476</v>
      </c>
      <c r="T18463" t="s">
        <v>56477</v>
      </c>
    </row>
    <row r="18464" spans="1:20" x14ac:dyDescent="0.25">
      <c r="A18464" t="str">
        <f>"3072760"</f>
        <v>3072760</v>
      </c>
      <c r="B18464" t="s">
        <v>56540</v>
      </c>
      <c r="C18464" t="str">
        <f>"69572000"</f>
        <v>69572000</v>
      </c>
      <c r="D18464" t="s">
        <v>56541</v>
      </c>
      <c r="F18464" t="s">
        <v>11999</v>
      </c>
      <c r="I18464" t="s">
        <v>54027</v>
      </c>
      <c r="J18464" t="s">
        <v>30</v>
      </c>
      <c r="K18464" t="s">
        <v>56542</v>
      </c>
      <c r="M18464" t="s">
        <v>50793</v>
      </c>
      <c r="N18464" t="str">
        <f>"2/21/2023 1:50:00 PM"</f>
        <v>2/21/2023 1:50:00 PM</v>
      </c>
      <c r="O18464" t="s">
        <v>56541</v>
      </c>
    </row>
    <row r="18465" spans="1:20" x14ac:dyDescent="0.25">
      <c r="A18465" t="str">
        <f>"3077754"</f>
        <v>3077754</v>
      </c>
      <c r="B18465" t="s">
        <v>56543</v>
      </c>
      <c r="C18465" t="str">
        <f>"8319725"</f>
        <v>8319725</v>
      </c>
      <c r="D18465" t="s">
        <v>56484</v>
      </c>
      <c r="E18465" t="s">
        <v>50129</v>
      </c>
      <c r="F18465" t="s">
        <v>50130</v>
      </c>
      <c r="I18465" t="s">
        <v>184</v>
      </c>
      <c r="J18465" t="s">
        <v>30</v>
      </c>
      <c r="K18465" t="s">
        <v>50131</v>
      </c>
      <c r="M18465" t="s">
        <v>17861</v>
      </c>
      <c r="N18465" t="str">
        <f>"2/21/2023 2:20:00 PM"</f>
        <v>2/21/2023 2:20:00 PM</v>
      </c>
      <c r="O18465" t="s">
        <v>56484</v>
      </c>
      <c r="T18465" t="s">
        <v>50129</v>
      </c>
    </row>
    <row r="18466" spans="1:20" x14ac:dyDescent="0.25">
      <c r="A18466" t="str">
        <f>"3050865"</f>
        <v>3050865</v>
      </c>
      <c r="B18466" t="s">
        <v>56544</v>
      </c>
      <c r="C18466" t="str">
        <f>"70595090"</f>
        <v>70595090</v>
      </c>
      <c r="D18466" t="s">
        <v>56545</v>
      </c>
      <c r="F18466" t="s">
        <v>56546</v>
      </c>
      <c r="I18466" t="s">
        <v>184</v>
      </c>
      <c r="J18466" t="s">
        <v>30</v>
      </c>
      <c r="K18466" t="s">
        <v>185</v>
      </c>
      <c r="M18466" t="s">
        <v>50793</v>
      </c>
      <c r="N18466" t="str">
        <f>"2/21/2023 2:34:00 PM"</f>
        <v>2/21/2023 2:34:00 PM</v>
      </c>
      <c r="O18466" t="s">
        <v>56545</v>
      </c>
    </row>
    <row r="18467" spans="1:20" x14ac:dyDescent="0.25">
      <c r="A18467" t="str">
        <f>"3057419"</f>
        <v>3057419</v>
      </c>
      <c r="B18467" t="s">
        <v>56547</v>
      </c>
      <c r="C18467" t="str">
        <f>"8315988"</f>
        <v>8315988</v>
      </c>
      <c r="D18467" t="s">
        <v>56548</v>
      </c>
      <c r="E18467" t="s">
        <v>56549</v>
      </c>
      <c r="F18467" t="s">
        <v>56550</v>
      </c>
      <c r="I18467" t="s">
        <v>184</v>
      </c>
      <c r="J18467" t="s">
        <v>30</v>
      </c>
      <c r="K18467" t="s">
        <v>10399</v>
      </c>
      <c r="M18467" t="s">
        <v>50793</v>
      </c>
      <c r="N18467" t="str">
        <f>"2/21/2023 2:57:00 PM"</f>
        <v>2/21/2023 2:57:00 PM</v>
      </c>
      <c r="O18467" t="s">
        <v>56548</v>
      </c>
      <c r="T18467" t="s">
        <v>56549</v>
      </c>
    </row>
    <row r="18468" spans="1:20" x14ac:dyDescent="0.25">
      <c r="A18468" t="str">
        <f>"3058235"</f>
        <v>3058235</v>
      </c>
      <c r="B18468" t="s">
        <v>56551</v>
      </c>
      <c r="C18468" t="str">
        <f>"8315988"</f>
        <v>8315988</v>
      </c>
      <c r="D18468" t="s">
        <v>56548</v>
      </c>
      <c r="E18468" t="s">
        <v>56549</v>
      </c>
      <c r="F18468" t="s">
        <v>56550</v>
      </c>
      <c r="I18468" t="s">
        <v>184</v>
      </c>
      <c r="J18468" t="s">
        <v>30</v>
      </c>
      <c r="K18468" t="s">
        <v>10399</v>
      </c>
      <c r="M18468" t="s">
        <v>50793</v>
      </c>
      <c r="N18468" t="str">
        <f>"2/21/2023 2:57:00 PM"</f>
        <v>2/21/2023 2:57:00 PM</v>
      </c>
      <c r="O18468" t="s">
        <v>56548</v>
      </c>
      <c r="T18468" t="s">
        <v>56549</v>
      </c>
    </row>
    <row r="18469" spans="1:20" x14ac:dyDescent="0.25">
      <c r="A18469" t="str">
        <f>"3066269"</f>
        <v>3066269</v>
      </c>
      <c r="B18469" t="s">
        <v>56552</v>
      </c>
      <c r="C18469" t="str">
        <f>"82520492"</f>
        <v>82520492</v>
      </c>
      <c r="D18469" t="s">
        <v>56504</v>
      </c>
      <c r="E18469" t="s">
        <v>56505</v>
      </c>
      <c r="F18469" t="s">
        <v>56506</v>
      </c>
      <c r="I18469" t="s">
        <v>14378</v>
      </c>
      <c r="J18469" t="s">
        <v>30</v>
      </c>
      <c r="K18469" t="s">
        <v>56507</v>
      </c>
      <c r="M18469" t="s">
        <v>50793</v>
      </c>
      <c r="N18469" t="str">
        <f>"2/21/2023 3:00:00 PM"</f>
        <v>2/21/2023 3:00:00 PM</v>
      </c>
      <c r="O18469" t="s">
        <v>56504</v>
      </c>
      <c r="T18469" t="s">
        <v>56505</v>
      </c>
    </row>
    <row r="18470" spans="1:20" x14ac:dyDescent="0.25">
      <c r="A18470" t="str">
        <f>"3051050"</f>
        <v>3051050</v>
      </c>
      <c r="B18470" t="s">
        <v>56553</v>
      </c>
      <c r="C18470" t="str">
        <f>"63368830"</f>
        <v>63368830</v>
      </c>
      <c r="D18470" t="s">
        <v>56554</v>
      </c>
      <c r="E18470" t="s">
        <v>56555</v>
      </c>
      <c r="F18470" t="s">
        <v>56556</v>
      </c>
      <c r="I18470" t="s">
        <v>29</v>
      </c>
      <c r="J18470" t="s">
        <v>30</v>
      </c>
      <c r="K18470" t="s">
        <v>56557</v>
      </c>
      <c r="M18470" t="s">
        <v>50621</v>
      </c>
      <c r="N18470" t="str">
        <f>"2/20/2023 10:48:00 AM"</f>
        <v>2/20/2023 10:48:00 AM</v>
      </c>
      <c r="O18470" t="s">
        <v>56554</v>
      </c>
      <c r="T18470" t="s">
        <v>56555</v>
      </c>
    </row>
    <row r="18471" spans="1:20" x14ac:dyDescent="0.25">
      <c r="A18471" t="str">
        <f>"3051318"</f>
        <v>3051318</v>
      </c>
      <c r="B18471" t="s">
        <v>56558</v>
      </c>
      <c r="C18471" t="str">
        <f>"63368830"</f>
        <v>63368830</v>
      </c>
      <c r="D18471" t="s">
        <v>56554</v>
      </c>
      <c r="E18471" t="s">
        <v>56555</v>
      </c>
      <c r="F18471" t="s">
        <v>56556</v>
      </c>
      <c r="I18471" t="s">
        <v>29</v>
      </c>
      <c r="J18471" t="s">
        <v>30</v>
      </c>
      <c r="K18471" t="s">
        <v>56557</v>
      </c>
      <c r="M18471" t="s">
        <v>50621</v>
      </c>
      <c r="N18471" t="str">
        <f>"2/20/2023 10:48:00 AM"</f>
        <v>2/20/2023 10:48:00 AM</v>
      </c>
      <c r="O18471" t="s">
        <v>56554</v>
      </c>
      <c r="T18471" t="s">
        <v>56555</v>
      </c>
    </row>
    <row r="18472" spans="1:20" x14ac:dyDescent="0.25">
      <c r="A18472" t="str">
        <f>"3054693"</f>
        <v>3054693</v>
      </c>
      <c r="B18472" t="s">
        <v>56559</v>
      </c>
      <c r="C18472" t="str">
        <f>"82518367"</f>
        <v>82518367</v>
      </c>
      <c r="D18472" t="s">
        <v>56522</v>
      </c>
      <c r="F18472" t="str">
        <f>"C/O LORRAINE WAGNER"</f>
        <v>C/O LORRAINE WAGNER</v>
      </c>
      <c r="G18472" t="s">
        <v>56523</v>
      </c>
      <c r="I18472" t="s">
        <v>1149</v>
      </c>
      <c r="J18472" t="s">
        <v>30</v>
      </c>
      <c r="K18472" t="s">
        <v>1150</v>
      </c>
      <c r="M18472" t="s">
        <v>50621</v>
      </c>
      <c r="N18472" t="str">
        <f>"2/20/2023 10:54:00 AM"</f>
        <v>2/20/2023 10:54:00 AM</v>
      </c>
      <c r="O18472" t="s">
        <v>56522</v>
      </c>
    </row>
    <row r="18473" spans="1:20" x14ac:dyDescent="0.25">
      <c r="A18473" t="str">
        <f>"3049505"</f>
        <v>3049505</v>
      </c>
      <c r="B18473" t="s">
        <v>56560</v>
      </c>
      <c r="C18473" t="str">
        <f>"82522684"</f>
        <v>82522684</v>
      </c>
      <c r="D18473" t="s">
        <v>56561</v>
      </c>
      <c r="F18473" t="s">
        <v>9241</v>
      </c>
      <c r="I18473" t="s">
        <v>9580</v>
      </c>
      <c r="J18473" t="s">
        <v>30</v>
      </c>
      <c r="K18473" t="s">
        <v>56562</v>
      </c>
      <c r="M18473" t="s">
        <v>50793</v>
      </c>
      <c r="N18473" t="str">
        <f>"2/21/2023 3:35:00 PM"</f>
        <v>2/21/2023 3:35:00 PM</v>
      </c>
      <c r="O18473" t="s">
        <v>56561</v>
      </c>
    </row>
    <row r="18474" spans="1:20" x14ac:dyDescent="0.25">
      <c r="A18474" t="str">
        <f>"3052009"</f>
        <v>3052009</v>
      </c>
      <c r="B18474" t="s">
        <v>56563</v>
      </c>
      <c r="C18474" t="str">
        <f>"8319732"</f>
        <v>8319732</v>
      </c>
      <c r="D18474" t="s">
        <v>56564</v>
      </c>
      <c r="F18474" t="s">
        <v>56565</v>
      </c>
      <c r="I18474" t="s">
        <v>402</v>
      </c>
      <c r="J18474" t="s">
        <v>30</v>
      </c>
      <c r="K18474" t="s">
        <v>56566</v>
      </c>
      <c r="M18474" t="s">
        <v>17861</v>
      </c>
      <c r="N18474" t="str">
        <f>"2/24/2023 10:07:00 AM"</f>
        <v>2/24/2023 10:07:00 AM</v>
      </c>
      <c r="O18474" t="s">
        <v>56564</v>
      </c>
    </row>
    <row r="18475" spans="1:20" x14ac:dyDescent="0.25">
      <c r="A18475" t="str">
        <f>"3058413"</f>
        <v>3058413</v>
      </c>
      <c r="B18475" t="s">
        <v>56567</v>
      </c>
      <c r="C18475" t="str">
        <f>"8319734"</f>
        <v>8319734</v>
      </c>
      <c r="D18475" t="s">
        <v>56568</v>
      </c>
      <c r="E18475" t="s">
        <v>56569</v>
      </c>
      <c r="F18475" t="s">
        <v>56570</v>
      </c>
      <c r="I18475" t="s">
        <v>17921</v>
      </c>
      <c r="J18475" t="s">
        <v>30</v>
      </c>
      <c r="K18475" t="str">
        <f>"27028"</f>
        <v>27028</v>
      </c>
      <c r="M18475" t="s">
        <v>17861</v>
      </c>
      <c r="N18475" t="str">
        <f>"2/24/2023 10:20:00 AM"</f>
        <v>2/24/2023 10:20:00 AM</v>
      </c>
      <c r="O18475" t="s">
        <v>56568</v>
      </c>
      <c r="T18475" t="s">
        <v>56569</v>
      </c>
    </row>
    <row r="18476" spans="1:20" x14ac:dyDescent="0.25">
      <c r="A18476" t="str">
        <f>"3046340"</f>
        <v>3046340</v>
      </c>
      <c r="B18476" t="s">
        <v>56571</v>
      </c>
      <c r="C18476" t="str">
        <f>"8319735"</f>
        <v>8319735</v>
      </c>
      <c r="D18476" t="s">
        <v>56572</v>
      </c>
      <c r="F18476" t="s">
        <v>56573</v>
      </c>
      <c r="I18476" t="s">
        <v>29</v>
      </c>
      <c r="J18476" t="s">
        <v>30</v>
      </c>
      <c r="K18476" t="s">
        <v>10213</v>
      </c>
      <c r="M18476" t="s">
        <v>17861</v>
      </c>
      <c r="N18476" t="str">
        <f>"2/24/2023 10:22:00 AM"</f>
        <v>2/24/2023 10:22:00 AM</v>
      </c>
      <c r="O18476" t="s">
        <v>56572</v>
      </c>
    </row>
    <row r="18477" spans="1:20" x14ac:dyDescent="0.25">
      <c r="A18477" t="str">
        <f>"3051635"</f>
        <v>3051635</v>
      </c>
      <c r="B18477" t="s">
        <v>56574</v>
      </c>
      <c r="C18477" t="str">
        <f>"22004000"</f>
        <v>22004000</v>
      </c>
      <c r="D18477" t="s">
        <v>56575</v>
      </c>
      <c r="F18477" t="s">
        <v>56576</v>
      </c>
      <c r="I18477" t="s">
        <v>29</v>
      </c>
      <c r="J18477" t="s">
        <v>30</v>
      </c>
      <c r="K18477" t="s">
        <v>56577</v>
      </c>
      <c r="M18477" t="s">
        <v>50793</v>
      </c>
      <c r="N18477" t="str">
        <f>"2/24/2023 10:51:00 AM"</f>
        <v>2/24/2023 10:51:00 AM</v>
      </c>
      <c r="O18477" t="s">
        <v>56575</v>
      </c>
    </row>
    <row r="18478" spans="1:20" x14ac:dyDescent="0.25">
      <c r="A18478" t="str">
        <f>"3047005"</f>
        <v>3047005</v>
      </c>
      <c r="B18478" t="s">
        <v>56578</v>
      </c>
      <c r="C18478" t="str">
        <f>"66050000"</f>
        <v>66050000</v>
      </c>
      <c r="D18478" t="s">
        <v>56579</v>
      </c>
      <c r="E18478" t="s">
        <v>56580</v>
      </c>
      <c r="F18478" t="s">
        <v>56581</v>
      </c>
      <c r="I18478" t="s">
        <v>29</v>
      </c>
      <c r="J18478" t="s">
        <v>30</v>
      </c>
      <c r="K18478" t="s">
        <v>31</v>
      </c>
      <c r="M18478" t="s">
        <v>50621</v>
      </c>
      <c r="N18478" t="str">
        <f>"2/21/2023 11:25:00 AM"</f>
        <v>2/21/2023 11:25:00 AM</v>
      </c>
      <c r="O18478" t="s">
        <v>56579</v>
      </c>
      <c r="T18478" t="s">
        <v>56580</v>
      </c>
    </row>
    <row r="18479" spans="1:20" x14ac:dyDescent="0.25">
      <c r="A18479" t="str">
        <f>"3076893"</f>
        <v>3076893</v>
      </c>
      <c r="B18479" t="s">
        <v>56582</v>
      </c>
      <c r="C18479" t="str">
        <f>"8319738"</f>
        <v>8319738</v>
      </c>
      <c r="D18479" t="s">
        <v>56583</v>
      </c>
      <c r="E18479" t="s">
        <v>56584</v>
      </c>
      <c r="F18479" t="s">
        <v>56585</v>
      </c>
      <c r="I18479" t="s">
        <v>17921</v>
      </c>
      <c r="J18479" t="s">
        <v>30</v>
      </c>
      <c r="K18479" t="str">
        <f>"27028"</f>
        <v>27028</v>
      </c>
      <c r="M18479" t="s">
        <v>17861</v>
      </c>
      <c r="N18479" t="str">
        <f>"2/24/2023 1:03:00 PM"</f>
        <v>2/24/2023 1:03:00 PM</v>
      </c>
      <c r="O18479" t="s">
        <v>56583</v>
      </c>
      <c r="T18479" t="s">
        <v>56584</v>
      </c>
    </row>
    <row r="18480" spans="1:20" x14ac:dyDescent="0.25">
      <c r="A18480" t="str">
        <f>"3059516"</f>
        <v>3059516</v>
      </c>
      <c r="B18480" t="s">
        <v>56586</v>
      </c>
      <c r="C18480" t="str">
        <f>"8319739"</f>
        <v>8319739</v>
      </c>
      <c r="D18480" t="s">
        <v>56587</v>
      </c>
      <c r="F18480" t="s">
        <v>56588</v>
      </c>
      <c r="I18480" t="s">
        <v>29</v>
      </c>
      <c r="J18480" t="s">
        <v>30</v>
      </c>
      <c r="K18480" t="s">
        <v>13170</v>
      </c>
      <c r="M18480" t="s">
        <v>17861</v>
      </c>
      <c r="N18480" t="str">
        <f>"2/24/2023 1:06:00 PM"</f>
        <v>2/24/2023 1:06:00 PM</v>
      </c>
      <c r="O18480" t="s">
        <v>56587</v>
      </c>
    </row>
    <row r="18481" spans="1:20" x14ac:dyDescent="0.25">
      <c r="A18481" t="str">
        <f>"3061812"</f>
        <v>3061812</v>
      </c>
      <c r="B18481" t="s">
        <v>56589</v>
      </c>
      <c r="C18481" t="str">
        <f>"8319741"</f>
        <v>8319741</v>
      </c>
      <c r="D18481" t="s">
        <v>56590</v>
      </c>
      <c r="F18481" t="s">
        <v>56591</v>
      </c>
      <c r="I18481" t="s">
        <v>184</v>
      </c>
      <c r="J18481" t="s">
        <v>30</v>
      </c>
      <c r="K18481" t="s">
        <v>30968</v>
      </c>
      <c r="M18481" t="s">
        <v>17861</v>
      </c>
      <c r="N18481" t="str">
        <f>"2/24/2023 1:30:00 PM"</f>
        <v>2/24/2023 1:30:00 PM</v>
      </c>
      <c r="O18481" t="s">
        <v>56590</v>
      </c>
    </row>
    <row r="18482" spans="1:20" x14ac:dyDescent="0.25">
      <c r="A18482" t="str">
        <f>"3040350"</f>
        <v>3040350</v>
      </c>
      <c r="B18482" t="s">
        <v>56592</v>
      </c>
      <c r="C18482" t="str">
        <f>"8310851"</f>
        <v>8310851</v>
      </c>
      <c r="D18482" t="s">
        <v>56593</v>
      </c>
      <c r="F18482" t="s">
        <v>56594</v>
      </c>
      <c r="I18482" t="s">
        <v>14378</v>
      </c>
      <c r="J18482" t="s">
        <v>30</v>
      </c>
      <c r="K18482" t="s">
        <v>56595</v>
      </c>
      <c r="M18482" t="s">
        <v>50621</v>
      </c>
      <c r="N18482" t="str">
        <f>"2/21/2023 11:30:00 AM"</f>
        <v>2/21/2023 11:30:00 AM</v>
      </c>
      <c r="O18482" t="s">
        <v>56593</v>
      </c>
    </row>
    <row r="18483" spans="1:20" x14ac:dyDescent="0.25">
      <c r="A18483" t="str">
        <f>"3058412"</f>
        <v>3058412</v>
      </c>
      <c r="B18483" t="s">
        <v>56596</v>
      </c>
      <c r="C18483" t="str">
        <f>"8319742"</f>
        <v>8319742</v>
      </c>
      <c r="D18483" t="s">
        <v>56597</v>
      </c>
      <c r="E18483" t="s">
        <v>56598</v>
      </c>
      <c r="F18483" t="s">
        <v>56599</v>
      </c>
      <c r="I18483" t="s">
        <v>17921</v>
      </c>
      <c r="J18483" t="s">
        <v>30</v>
      </c>
      <c r="K18483" t="str">
        <f>"27028"</f>
        <v>27028</v>
      </c>
      <c r="M18483" t="s">
        <v>17861</v>
      </c>
      <c r="N18483" t="str">
        <f>"2/24/2023 3:59:00 PM"</f>
        <v>2/24/2023 3:59:00 PM</v>
      </c>
      <c r="O18483" t="s">
        <v>56597</v>
      </c>
      <c r="T18483" t="s">
        <v>56598</v>
      </c>
    </row>
    <row r="18484" spans="1:20" x14ac:dyDescent="0.25">
      <c r="A18484" t="str">
        <f>"3077673"</f>
        <v>3077673</v>
      </c>
      <c r="B18484" t="s">
        <v>56600</v>
      </c>
      <c r="C18484" t="str">
        <f>"8319743"</f>
        <v>8319743</v>
      </c>
      <c r="D18484" t="s">
        <v>56601</v>
      </c>
      <c r="E18484" t="s">
        <v>56602</v>
      </c>
      <c r="F18484" t="s">
        <v>56603</v>
      </c>
      <c r="I18484" t="s">
        <v>29</v>
      </c>
      <c r="J18484" t="s">
        <v>30</v>
      </c>
      <c r="K18484" t="s">
        <v>49428</v>
      </c>
      <c r="M18484" t="s">
        <v>17861</v>
      </c>
      <c r="N18484" t="str">
        <f>"2/24/2023 4:05:00 PM"</f>
        <v>2/24/2023 4:05:00 PM</v>
      </c>
      <c r="O18484" t="s">
        <v>56601</v>
      </c>
      <c r="T18484" t="s">
        <v>56602</v>
      </c>
    </row>
    <row r="18485" spans="1:20" x14ac:dyDescent="0.25">
      <c r="A18485" t="str">
        <f>"3040601"</f>
        <v>3040601</v>
      </c>
      <c r="B18485" t="s">
        <v>56604</v>
      </c>
      <c r="C18485" t="str">
        <f>"16066870"</f>
        <v>16066870</v>
      </c>
      <c r="D18485" t="s">
        <v>56605</v>
      </c>
      <c r="E18485" t="s">
        <v>56606</v>
      </c>
      <c r="F18485" t="s">
        <v>56607</v>
      </c>
      <c r="I18485" t="s">
        <v>184</v>
      </c>
      <c r="J18485" t="s">
        <v>30</v>
      </c>
      <c r="K18485" t="s">
        <v>37414</v>
      </c>
      <c r="M18485" t="s">
        <v>50793</v>
      </c>
      <c r="N18485" t="str">
        <f>"2/27/2023 8:31:00 AM"</f>
        <v>2/27/2023 8:31:00 AM</v>
      </c>
      <c r="O18485" t="s">
        <v>56605</v>
      </c>
      <c r="T18485" t="s">
        <v>56606</v>
      </c>
    </row>
    <row r="18486" spans="1:20" x14ac:dyDescent="0.25">
      <c r="A18486" t="str">
        <f>"3037866"</f>
        <v>3037866</v>
      </c>
      <c r="B18486" t="s">
        <v>56608</v>
      </c>
      <c r="C18486" t="str">
        <f>"82527150"</f>
        <v>82527150</v>
      </c>
      <c r="D18486" t="s">
        <v>56609</v>
      </c>
      <c r="F18486" t="s">
        <v>47208</v>
      </c>
      <c r="I18486" t="s">
        <v>29</v>
      </c>
      <c r="J18486" t="s">
        <v>30</v>
      </c>
      <c r="K18486" t="str">
        <f>"27028"</f>
        <v>27028</v>
      </c>
      <c r="M18486" t="s">
        <v>18470</v>
      </c>
      <c r="N18486" t="str">
        <f>"2/27/2023 9:52:00 AM"</f>
        <v>2/27/2023 9:52:00 AM</v>
      </c>
      <c r="O18486" t="s">
        <v>56609</v>
      </c>
    </row>
    <row r="18487" spans="1:20" x14ac:dyDescent="0.25">
      <c r="A18487" t="str">
        <f>"3047684"</f>
        <v>3047684</v>
      </c>
      <c r="B18487" t="s">
        <v>56610</v>
      </c>
      <c r="C18487" t="str">
        <f>"82526913"</f>
        <v>82526913</v>
      </c>
      <c r="D18487" t="s">
        <v>56467</v>
      </c>
      <c r="E18487" t="s">
        <v>56468</v>
      </c>
      <c r="F18487" t="s">
        <v>56469</v>
      </c>
      <c r="I18487" t="s">
        <v>471</v>
      </c>
      <c r="J18487" t="s">
        <v>30</v>
      </c>
      <c r="K18487" t="s">
        <v>472</v>
      </c>
      <c r="M18487" t="s">
        <v>50621</v>
      </c>
      <c r="N18487" t="str">
        <f>"2/21/2023 11:40:00 AM"</f>
        <v>2/21/2023 11:40:00 AM</v>
      </c>
      <c r="O18487" t="s">
        <v>56467</v>
      </c>
      <c r="T18487" t="s">
        <v>56468</v>
      </c>
    </row>
    <row r="18488" spans="1:20" x14ac:dyDescent="0.25">
      <c r="A18488" t="str">
        <f>"3039108"</f>
        <v>3039108</v>
      </c>
      <c r="B18488" t="s">
        <v>56611</v>
      </c>
      <c r="C18488" t="str">
        <f>"80570000"</f>
        <v>80570000</v>
      </c>
      <c r="D18488" t="s">
        <v>56612</v>
      </c>
      <c r="E18488" t="s">
        <v>56613</v>
      </c>
      <c r="F18488" t="s">
        <v>56614</v>
      </c>
      <c r="I18488" t="s">
        <v>29</v>
      </c>
      <c r="J18488" t="s">
        <v>30</v>
      </c>
      <c r="K18488" t="s">
        <v>31</v>
      </c>
      <c r="M18488" t="s">
        <v>50621</v>
      </c>
      <c r="N18488" t="str">
        <f>"2/22/2023 10:02:00 AM"</f>
        <v>2/22/2023 10:02:00 AM</v>
      </c>
      <c r="O18488" t="s">
        <v>56612</v>
      </c>
      <c r="T18488" t="s">
        <v>56613</v>
      </c>
    </row>
    <row r="18489" spans="1:20" x14ac:dyDescent="0.25">
      <c r="A18489" t="str">
        <f>"3060911"</f>
        <v>3060911</v>
      </c>
      <c r="B18489" t="s">
        <v>56615</v>
      </c>
      <c r="C18489" t="str">
        <f>"8309384"</f>
        <v>8309384</v>
      </c>
      <c r="D18489" t="s">
        <v>56616</v>
      </c>
      <c r="E18489" t="str">
        <f>"SHERRILL WILMA/JERRY TRUSTEES"</f>
        <v>SHERRILL WILMA/JERRY TRUSTEES</v>
      </c>
      <c r="F18489" t="s">
        <v>56617</v>
      </c>
      <c r="I18489" t="s">
        <v>2071</v>
      </c>
      <c r="J18489" t="s">
        <v>30</v>
      </c>
      <c r="K18489" t="s">
        <v>34675</v>
      </c>
      <c r="M18489" t="s">
        <v>50621</v>
      </c>
      <c r="N18489" t="str">
        <f>"2/27/2023 11:19:00 AM"</f>
        <v>2/27/2023 11:19:00 AM</v>
      </c>
      <c r="O18489" t="s">
        <v>56616</v>
      </c>
      <c r="T18489" t="str">
        <f>"SHERRILL WILMA/JERRY TRUSTEES"</f>
        <v>SHERRILL WILMA/JERRY TRUSTEES</v>
      </c>
    </row>
    <row r="18490" spans="1:20" x14ac:dyDescent="0.25">
      <c r="A18490" t="str">
        <f>"3078967"</f>
        <v>3078967</v>
      </c>
      <c r="B18490" t="s">
        <v>56618</v>
      </c>
      <c r="C18490" t="str">
        <f>"31999250"</f>
        <v>31999250</v>
      </c>
      <c r="D18490" t="s">
        <v>20914</v>
      </c>
      <c r="I18490" t="s">
        <v>56619</v>
      </c>
      <c r="K18490" t="s">
        <v>586</v>
      </c>
      <c r="M18490" t="s">
        <v>50621</v>
      </c>
      <c r="N18490" t="str">
        <f>"2/27/2023 1:59:00 PM"</f>
        <v>2/27/2023 1:59:00 PM</v>
      </c>
      <c r="O18490" t="s">
        <v>20914</v>
      </c>
    </row>
    <row r="18491" spans="1:20" x14ac:dyDescent="0.25">
      <c r="A18491" t="str">
        <f>"3037923"</f>
        <v>3037923</v>
      </c>
      <c r="B18491" t="s">
        <v>56620</v>
      </c>
      <c r="C18491" t="str">
        <f>"80570000"</f>
        <v>80570000</v>
      </c>
      <c r="D18491" t="s">
        <v>56612</v>
      </c>
      <c r="E18491" t="s">
        <v>56613</v>
      </c>
      <c r="F18491" t="s">
        <v>56614</v>
      </c>
      <c r="I18491" t="s">
        <v>29</v>
      </c>
      <c r="J18491" t="s">
        <v>30</v>
      </c>
      <c r="K18491" t="s">
        <v>31</v>
      </c>
      <c r="M18491" t="s">
        <v>50621</v>
      </c>
      <c r="N18491" t="str">
        <f>"2/22/2023 10:02:00 AM"</f>
        <v>2/22/2023 10:02:00 AM</v>
      </c>
      <c r="O18491" t="s">
        <v>56612</v>
      </c>
      <c r="T18491" t="s">
        <v>56613</v>
      </c>
    </row>
    <row r="18492" spans="1:20" x14ac:dyDescent="0.25">
      <c r="A18492" t="str">
        <f>"3055502"</f>
        <v>3055502</v>
      </c>
      <c r="B18492" t="s">
        <v>56621</v>
      </c>
      <c r="C18492" t="str">
        <f>"8307789"</f>
        <v>8307789</v>
      </c>
      <c r="D18492" t="s">
        <v>56622</v>
      </c>
      <c r="F18492" t="s">
        <v>56623</v>
      </c>
      <c r="I18492" t="s">
        <v>29</v>
      </c>
      <c r="J18492" t="s">
        <v>30</v>
      </c>
      <c r="K18492" t="str">
        <f>"27028"</f>
        <v>27028</v>
      </c>
      <c r="M18492" t="s">
        <v>50621</v>
      </c>
      <c r="N18492" t="str">
        <f>"2/22/2023 10:25:00 AM"</f>
        <v>2/22/2023 10:25:00 AM</v>
      </c>
      <c r="O18492" t="s">
        <v>56622</v>
      </c>
    </row>
    <row r="18493" spans="1:20" x14ac:dyDescent="0.25">
      <c r="A18493" t="str">
        <f>"3056494"</f>
        <v>3056494</v>
      </c>
      <c r="B18493" t="s">
        <v>56624</v>
      </c>
      <c r="C18493" t="str">
        <f>"12421750"</f>
        <v>12421750</v>
      </c>
      <c r="D18493" t="s">
        <v>56625</v>
      </c>
      <c r="F18493" t="s">
        <v>56626</v>
      </c>
      <c r="I18493" t="s">
        <v>29</v>
      </c>
      <c r="J18493" t="s">
        <v>30</v>
      </c>
      <c r="K18493" t="s">
        <v>56627</v>
      </c>
      <c r="M18493" t="s">
        <v>17861</v>
      </c>
      <c r="N18493" t="str">
        <f>"2/28/2023 9:26:00 AM"</f>
        <v>2/28/2023 9:26:00 AM</v>
      </c>
      <c r="O18493" t="s">
        <v>56625</v>
      </c>
    </row>
    <row r="18494" spans="1:20" x14ac:dyDescent="0.25">
      <c r="A18494" t="str">
        <f>"3054403"</f>
        <v>3054403</v>
      </c>
      <c r="B18494" t="s">
        <v>56628</v>
      </c>
      <c r="C18494" t="str">
        <f>"8319746"</f>
        <v>8319746</v>
      </c>
      <c r="D18494" t="s">
        <v>56629</v>
      </c>
      <c r="E18494" t="s">
        <v>56630</v>
      </c>
      <c r="F18494" t="s">
        <v>56631</v>
      </c>
      <c r="I18494" t="s">
        <v>29</v>
      </c>
      <c r="J18494" t="s">
        <v>30</v>
      </c>
      <c r="K18494" t="s">
        <v>22874</v>
      </c>
      <c r="M18494" t="s">
        <v>17861</v>
      </c>
      <c r="N18494" t="str">
        <f>"2/28/2023 9:45:00 AM"</f>
        <v>2/28/2023 9:45:00 AM</v>
      </c>
      <c r="O18494" t="s">
        <v>56629</v>
      </c>
      <c r="T18494" t="s">
        <v>56630</v>
      </c>
    </row>
    <row r="18495" spans="1:20" x14ac:dyDescent="0.25">
      <c r="A18495" t="str">
        <f>"3058588"</f>
        <v>3058588</v>
      </c>
      <c r="B18495" t="s">
        <v>56632</v>
      </c>
      <c r="C18495" t="str">
        <f>"8319747"</f>
        <v>8319747</v>
      </c>
      <c r="D18495" t="s">
        <v>56633</v>
      </c>
      <c r="E18495" t="s">
        <v>56634</v>
      </c>
      <c r="F18495" t="s">
        <v>56635</v>
      </c>
      <c r="I18495" t="s">
        <v>471</v>
      </c>
      <c r="J18495" t="s">
        <v>30</v>
      </c>
      <c r="K18495" t="s">
        <v>56636</v>
      </c>
      <c r="M18495" t="s">
        <v>17861</v>
      </c>
      <c r="N18495" t="str">
        <f>"2/28/2023 9:52:00 AM"</f>
        <v>2/28/2023 9:52:00 AM</v>
      </c>
      <c r="O18495" t="s">
        <v>56633</v>
      </c>
      <c r="T18495" t="s">
        <v>56634</v>
      </c>
    </row>
    <row r="18496" spans="1:20" x14ac:dyDescent="0.25">
      <c r="A18496" t="str">
        <f>"3067690"</f>
        <v>3067690</v>
      </c>
      <c r="B18496" t="s">
        <v>56637</v>
      </c>
      <c r="C18496" t="str">
        <f>"8319748"</f>
        <v>8319748</v>
      </c>
      <c r="D18496" t="s">
        <v>56638</v>
      </c>
      <c r="F18496" t="s">
        <v>32408</v>
      </c>
      <c r="I18496" t="s">
        <v>29</v>
      </c>
      <c r="J18496" t="s">
        <v>30</v>
      </c>
      <c r="K18496" t="s">
        <v>56639</v>
      </c>
      <c r="M18496" t="s">
        <v>17861</v>
      </c>
      <c r="N18496" t="str">
        <f>"2/28/2023 10:00:00 AM"</f>
        <v>2/28/2023 10:00:00 AM</v>
      </c>
      <c r="O18496" t="s">
        <v>56638</v>
      </c>
    </row>
    <row r="18497" spans="1:20" x14ac:dyDescent="0.25">
      <c r="A18497" t="str">
        <f>"3041305"</f>
        <v>3041305</v>
      </c>
      <c r="B18497" t="s">
        <v>56640</v>
      </c>
      <c r="C18497" t="str">
        <f>"8319729"</f>
        <v>8319729</v>
      </c>
      <c r="D18497" t="s">
        <v>56641</v>
      </c>
      <c r="F18497" t="s">
        <v>56642</v>
      </c>
      <c r="I18497" t="s">
        <v>184</v>
      </c>
      <c r="J18497" t="s">
        <v>30</v>
      </c>
      <c r="K18497" t="s">
        <v>22364</v>
      </c>
      <c r="M18497" t="s">
        <v>17861</v>
      </c>
      <c r="N18497" t="str">
        <f>"2/22/2023 10:39:00 AM"</f>
        <v>2/22/2023 10:39:00 AM</v>
      </c>
      <c r="O18497" t="s">
        <v>56641</v>
      </c>
    </row>
    <row r="18498" spans="1:20" x14ac:dyDescent="0.25">
      <c r="A18498" t="str">
        <f>"3043338"</f>
        <v>3043338</v>
      </c>
      <c r="B18498" t="s">
        <v>56643</v>
      </c>
      <c r="C18498" t="str">
        <f>"82532859"</f>
        <v>82532859</v>
      </c>
      <c r="D18498" t="s">
        <v>56212</v>
      </c>
      <c r="E18498" t="s">
        <v>56213</v>
      </c>
      <c r="F18498" t="s">
        <v>56644</v>
      </c>
      <c r="I18498" t="s">
        <v>29</v>
      </c>
      <c r="J18498" t="s">
        <v>30</v>
      </c>
      <c r="K18498" t="s">
        <v>31</v>
      </c>
      <c r="M18498" t="s">
        <v>50621</v>
      </c>
      <c r="N18498" t="str">
        <f>"2/28/2023 10:23:00 AM"</f>
        <v>2/28/2023 10:23:00 AM</v>
      </c>
      <c r="O18498" t="s">
        <v>56212</v>
      </c>
      <c r="T18498" t="s">
        <v>56213</v>
      </c>
    </row>
    <row r="18499" spans="1:20" x14ac:dyDescent="0.25">
      <c r="A18499" t="str">
        <f>"3051343"</f>
        <v>3051343</v>
      </c>
      <c r="B18499" t="s">
        <v>56645</v>
      </c>
      <c r="C18499" t="str">
        <f>"8311064"</f>
        <v>8311064</v>
      </c>
      <c r="D18499" t="s">
        <v>56646</v>
      </c>
      <c r="E18499" t="s">
        <v>56647</v>
      </c>
      <c r="F18499" t="s">
        <v>56648</v>
      </c>
      <c r="I18499" t="s">
        <v>29</v>
      </c>
      <c r="J18499" t="s">
        <v>30</v>
      </c>
      <c r="K18499" t="s">
        <v>20072</v>
      </c>
      <c r="M18499" t="s">
        <v>50621</v>
      </c>
      <c r="N18499" t="str">
        <f>"2/28/2023 10:27:00 AM"</f>
        <v>2/28/2023 10:27:00 AM</v>
      </c>
      <c r="O18499" t="s">
        <v>56646</v>
      </c>
      <c r="T18499" t="s">
        <v>56647</v>
      </c>
    </row>
    <row r="18500" spans="1:20" x14ac:dyDescent="0.25">
      <c r="A18500" t="str">
        <f>"3051236"</f>
        <v>3051236</v>
      </c>
      <c r="B18500" t="s">
        <v>56649</v>
      </c>
      <c r="C18500" t="str">
        <f>"8311064"</f>
        <v>8311064</v>
      </c>
      <c r="D18500" t="s">
        <v>56646</v>
      </c>
      <c r="E18500" t="s">
        <v>56647</v>
      </c>
      <c r="F18500" t="s">
        <v>56648</v>
      </c>
      <c r="I18500" t="s">
        <v>29</v>
      </c>
      <c r="J18500" t="s">
        <v>30</v>
      </c>
      <c r="K18500" t="s">
        <v>20072</v>
      </c>
      <c r="M18500" t="s">
        <v>50621</v>
      </c>
      <c r="N18500" t="str">
        <f>"2/28/2023 10:27:00 AM"</f>
        <v>2/28/2023 10:27:00 AM</v>
      </c>
      <c r="O18500" t="s">
        <v>56646</v>
      </c>
      <c r="T18500" t="s">
        <v>56647</v>
      </c>
    </row>
    <row r="18501" spans="1:20" x14ac:dyDescent="0.25">
      <c r="A18501" t="str">
        <f>"3037643"</f>
        <v>3037643</v>
      </c>
      <c r="B18501" t="s">
        <v>56650</v>
      </c>
      <c r="C18501" t="str">
        <f>"82532229"</f>
        <v>82532229</v>
      </c>
      <c r="D18501" t="s">
        <v>56651</v>
      </c>
      <c r="F18501" t="s">
        <v>56652</v>
      </c>
      <c r="I18501" t="s">
        <v>49</v>
      </c>
      <c r="J18501" t="s">
        <v>30</v>
      </c>
      <c r="K18501" t="s">
        <v>50</v>
      </c>
      <c r="M18501" t="s">
        <v>50793</v>
      </c>
      <c r="N18501" t="str">
        <f>"2/23/2023 8:24:00 AM"</f>
        <v>2/23/2023 8:24:00 AM</v>
      </c>
      <c r="O18501" t="s">
        <v>56651</v>
      </c>
    </row>
    <row r="18502" spans="1:20" x14ac:dyDescent="0.25">
      <c r="A18502" t="str">
        <f>"3041792"</f>
        <v>3041792</v>
      </c>
      <c r="B18502" t="s">
        <v>56653</v>
      </c>
      <c r="C18502" t="str">
        <f>"8309379"</f>
        <v>8309379</v>
      </c>
      <c r="D18502" t="s">
        <v>56654</v>
      </c>
      <c r="F18502" t="s">
        <v>56655</v>
      </c>
      <c r="I18502" t="s">
        <v>184</v>
      </c>
      <c r="J18502" t="s">
        <v>30</v>
      </c>
      <c r="K18502" t="s">
        <v>56656</v>
      </c>
      <c r="M18502" t="s">
        <v>50621</v>
      </c>
      <c r="N18502" t="str">
        <f>"2/28/2023 10:38:00 AM"</f>
        <v>2/28/2023 10:38:00 AM</v>
      </c>
      <c r="O18502" t="s">
        <v>56654</v>
      </c>
    </row>
    <row r="18503" spans="1:20" x14ac:dyDescent="0.25">
      <c r="A18503" t="str">
        <f>"3051453"</f>
        <v>3051453</v>
      </c>
      <c r="B18503" t="s">
        <v>56657</v>
      </c>
      <c r="C18503" t="str">
        <f>"82518692"</f>
        <v>82518692</v>
      </c>
      <c r="D18503" t="s">
        <v>56658</v>
      </c>
      <c r="E18503" t="s">
        <v>56659</v>
      </c>
      <c r="F18503" t="s">
        <v>56660</v>
      </c>
      <c r="I18503" t="s">
        <v>1107</v>
      </c>
      <c r="J18503" t="s">
        <v>30</v>
      </c>
      <c r="K18503" t="s">
        <v>56661</v>
      </c>
      <c r="M18503" t="s">
        <v>50621</v>
      </c>
      <c r="N18503" t="str">
        <f>"2/28/2023 10:46:00 AM"</f>
        <v>2/28/2023 10:46:00 AM</v>
      </c>
      <c r="O18503" t="s">
        <v>56658</v>
      </c>
      <c r="T18503" t="s">
        <v>56659</v>
      </c>
    </row>
    <row r="18504" spans="1:20" x14ac:dyDescent="0.25">
      <c r="A18504" t="str">
        <f>"3051055"</f>
        <v>3051055</v>
      </c>
      <c r="B18504" t="s">
        <v>56662</v>
      </c>
      <c r="C18504" t="str">
        <f>"82518692"</f>
        <v>82518692</v>
      </c>
      <c r="D18504" t="s">
        <v>56658</v>
      </c>
      <c r="E18504" t="s">
        <v>56659</v>
      </c>
      <c r="F18504" t="s">
        <v>56660</v>
      </c>
      <c r="I18504" t="s">
        <v>1107</v>
      </c>
      <c r="J18504" t="s">
        <v>30</v>
      </c>
      <c r="K18504" t="s">
        <v>56661</v>
      </c>
      <c r="M18504" t="s">
        <v>50621</v>
      </c>
      <c r="N18504" t="str">
        <f>"2/28/2023 10:46:00 AM"</f>
        <v>2/28/2023 10:46:00 AM</v>
      </c>
      <c r="O18504" t="s">
        <v>56658</v>
      </c>
      <c r="T18504" t="s">
        <v>56659</v>
      </c>
    </row>
    <row r="18505" spans="1:20" x14ac:dyDescent="0.25">
      <c r="A18505" t="str">
        <f>"3056455"</f>
        <v>3056455</v>
      </c>
      <c r="B18505" t="s">
        <v>56663</v>
      </c>
      <c r="C18505" t="str">
        <f>"15293000"</f>
        <v>15293000</v>
      </c>
      <c r="D18505" t="s">
        <v>56664</v>
      </c>
      <c r="F18505" t="s">
        <v>56665</v>
      </c>
      <c r="I18505" t="s">
        <v>29</v>
      </c>
      <c r="J18505" t="s">
        <v>30</v>
      </c>
      <c r="K18505" t="str">
        <f>"27028"</f>
        <v>27028</v>
      </c>
      <c r="M18505" t="s">
        <v>25625</v>
      </c>
      <c r="N18505" t="str">
        <f>"2/28/2023 10:43:00 AM"</f>
        <v>2/28/2023 10:43:00 AM</v>
      </c>
      <c r="O18505" t="s">
        <v>56664</v>
      </c>
    </row>
    <row r="18506" spans="1:20" x14ac:dyDescent="0.25">
      <c r="A18506" t="str">
        <f>"3051081"</f>
        <v>3051081</v>
      </c>
      <c r="B18506" t="s">
        <v>56666</v>
      </c>
      <c r="C18506" t="str">
        <f>"82527114"</f>
        <v>82527114</v>
      </c>
      <c r="D18506" t="s">
        <v>56667</v>
      </c>
      <c r="E18506" t="s">
        <v>56668</v>
      </c>
      <c r="F18506" t="s">
        <v>56669</v>
      </c>
      <c r="I18506" t="s">
        <v>29</v>
      </c>
      <c r="J18506" t="s">
        <v>30</v>
      </c>
      <c r="K18506" t="s">
        <v>31</v>
      </c>
      <c r="M18506" t="s">
        <v>50621</v>
      </c>
      <c r="N18506" t="str">
        <f>"2/28/2023 10:47:00 AM"</f>
        <v>2/28/2023 10:47:00 AM</v>
      </c>
      <c r="O18506" t="s">
        <v>56667</v>
      </c>
      <c r="T18506" t="s">
        <v>56668</v>
      </c>
    </row>
    <row r="18507" spans="1:20" x14ac:dyDescent="0.25">
      <c r="A18507" t="str">
        <f>"3049717"</f>
        <v>3049717</v>
      </c>
      <c r="B18507" t="s">
        <v>56670</v>
      </c>
      <c r="C18507" t="str">
        <f>"8311619"</f>
        <v>8311619</v>
      </c>
      <c r="D18507" t="s">
        <v>56671</v>
      </c>
      <c r="E18507" t="s">
        <v>56672</v>
      </c>
      <c r="F18507" t="s">
        <v>56673</v>
      </c>
      <c r="I18507" t="s">
        <v>24359</v>
      </c>
      <c r="J18507" t="s">
        <v>30</v>
      </c>
      <c r="K18507" t="str">
        <f>"27006"</f>
        <v>27006</v>
      </c>
      <c r="M18507" t="s">
        <v>50793</v>
      </c>
      <c r="N18507" t="str">
        <f>"2/23/2023 9:08:00 AM"</f>
        <v>2/23/2023 9:08:00 AM</v>
      </c>
      <c r="O18507" t="s">
        <v>56671</v>
      </c>
      <c r="T18507" t="s">
        <v>56672</v>
      </c>
    </row>
    <row r="18508" spans="1:20" x14ac:dyDescent="0.25">
      <c r="A18508" t="str">
        <f>"3067053"</f>
        <v>3067053</v>
      </c>
      <c r="B18508" t="s">
        <v>56674</v>
      </c>
      <c r="C18508" t="str">
        <f>"8309735"</f>
        <v>8309735</v>
      </c>
      <c r="D18508" t="s">
        <v>56675</v>
      </c>
      <c r="E18508" t="s">
        <v>56676</v>
      </c>
      <c r="F18508" t="s">
        <v>56677</v>
      </c>
      <c r="I18508" t="s">
        <v>24359</v>
      </c>
      <c r="J18508" t="s">
        <v>30</v>
      </c>
      <c r="K18508" t="s">
        <v>56678</v>
      </c>
      <c r="M18508" t="s">
        <v>25625</v>
      </c>
      <c r="N18508" t="str">
        <f>"2/28/2023 11:22:00 AM"</f>
        <v>2/28/2023 11:22:00 AM</v>
      </c>
      <c r="O18508" t="s">
        <v>56675</v>
      </c>
      <c r="T18508" t="s">
        <v>56676</v>
      </c>
    </row>
    <row r="18509" spans="1:20" x14ac:dyDescent="0.25">
      <c r="A18509" t="str">
        <f>"3067049"</f>
        <v>3067049</v>
      </c>
      <c r="B18509" t="s">
        <v>56679</v>
      </c>
      <c r="C18509" t="str">
        <f>"8309735"</f>
        <v>8309735</v>
      </c>
      <c r="D18509" t="s">
        <v>56675</v>
      </c>
      <c r="E18509" t="s">
        <v>56676</v>
      </c>
      <c r="F18509" t="s">
        <v>56677</v>
      </c>
      <c r="I18509" t="s">
        <v>24359</v>
      </c>
      <c r="J18509" t="s">
        <v>30</v>
      </c>
      <c r="K18509" t="s">
        <v>56678</v>
      </c>
      <c r="M18509" t="s">
        <v>25625</v>
      </c>
      <c r="N18509" t="str">
        <f>"2/28/2023 11:22:00 AM"</f>
        <v>2/28/2023 11:22:00 AM</v>
      </c>
      <c r="O18509" t="s">
        <v>56675</v>
      </c>
      <c r="T18509" t="s">
        <v>56676</v>
      </c>
    </row>
    <row r="18510" spans="1:20" x14ac:dyDescent="0.25">
      <c r="A18510" t="str">
        <f>"3067051"</f>
        <v>3067051</v>
      </c>
      <c r="B18510" t="s">
        <v>56680</v>
      </c>
      <c r="C18510" t="str">
        <f>"8309735"</f>
        <v>8309735</v>
      </c>
      <c r="D18510" t="s">
        <v>56675</v>
      </c>
      <c r="E18510" t="s">
        <v>56676</v>
      </c>
      <c r="F18510" t="s">
        <v>56677</v>
      </c>
      <c r="I18510" t="s">
        <v>24359</v>
      </c>
      <c r="J18510" t="s">
        <v>30</v>
      </c>
      <c r="K18510" t="s">
        <v>56678</v>
      </c>
      <c r="M18510" t="s">
        <v>25625</v>
      </c>
      <c r="N18510" t="str">
        <f>"2/28/2023 11:22:00 AM"</f>
        <v>2/28/2023 11:22:00 AM</v>
      </c>
      <c r="O18510" t="s">
        <v>56675</v>
      </c>
      <c r="T18510" t="s">
        <v>56676</v>
      </c>
    </row>
    <row r="18511" spans="1:20" x14ac:dyDescent="0.25">
      <c r="A18511" t="str">
        <f>"3049463"</f>
        <v>3049463</v>
      </c>
      <c r="B18511" t="s">
        <v>56681</v>
      </c>
      <c r="C18511" t="str">
        <f>"8311619"</f>
        <v>8311619</v>
      </c>
      <c r="D18511" t="s">
        <v>56671</v>
      </c>
      <c r="E18511" t="s">
        <v>56672</v>
      </c>
      <c r="F18511" t="s">
        <v>56673</v>
      </c>
      <c r="I18511" t="s">
        <v>24359</v>
      </c>
      <c r="J18511" t="s">
        <v>30</v>
      </c>
      <c r="K18511" t="str">
        <f>"27006"</f>
        <v>27006</v>
      </c>
      <c r="M18511" t="s">
        <v>50793</v>
      </c>
      <c r="N18511" t="str">
        <f>"2/23/2023 9:08:00 AM"</f>
        <v>2/23/2023 9:08:00 AM</v>
      </c>
      <c r="O18511" t="s">
        <v>56671</v>
      </c>
      <c r="T18511" t="s">
        <v>56672</v>
      </c>
    </row>
    <row r="18512" spans="1:20" x14ac:dyDescent="0.25">
      <c r="A18512" t="str">
        <f>"3054203"</f>
        <v>3054203</v>
      </c>
      <c r="B18512" t="s">
        <v>56682</v>
      </c>
      <c r="C18512" t="str">
        <f>"2068000"</f>
        <v>2068000</v>
      </c>
      <c r="D18512" t="s">
        <v>56683</v>
      </c>
      <c r="F18512" t="s">
        <v>56684</v>
      </c>
      <c r="G18512" t="s">
        <v>56685</v>
      </c>
      <c r="I18512" t="s">
        <v>56686</v>
      </c>
      <c r="J18512" t="s">
        <v>12725</v>
      </c>
      <c r="K18512" t="str">
        <f>"33525"</f>
        <v>33525</v>
      </c>
      <c r="M18512" t="s">
        <v>50621</v>
      </c>
      <c r="N18512" t="str">
        <f>"2/23/2023 9:35:00 AM"</f>
        <v>2/23/2023 9:35:00 AM</v>
      </c>
      <c r="O18512" t="s">
        <v>56683</v>
      </c>
    </row>
    <row r="18513" spans="1:20" x14ac:dyDescent="0.25">
      <c r="A18513" t="str">
        <f>"3054631"</f>
        <v>3054631</v>
      </c>
      <c r="B18513" t="s">
        <v>56687</v>
      </c>
      <c r="C18513" t="str">
        <f>"82519748"</f>
        <v>82519748</v>
      </c>
      <c r="D18513" t="s">
        <v>56688</v>
      </c>
      <c r="F18513" t="s">
        <v>56689</v>
      </c>
      <c r="I18513" t="s">
        <v>29</v>
      </c>
      <c r="J18513" t="s">
        <v>30</v>
      </c>
      <c r="K18513" t="s">
        <v>20185</v>
      </c>
      <c r="M18513" t="s">
        <v>50621</v>
      </c>
      <c r="N18513" t="str">
        <f>"2/28/2023 11:24:00 AM"</f>
        <v>2/28/2023 11:24:00 AM</v>
      </c>
      <c r="O18513" t="s">
        <v>56688</v>
      </c>
    </row>
    <row r="18514" spans="1:20" x14ac:dyDescent="0.25">
      <c r="A18514" t="str">
        <f>"3054940"</f>
        <v>3054940</v>
      </c>
      <c r="B18514" t="s">
        <v>56690</v>
      </c>
      <c r="C18514" t="str">
        <f>"82532278"</f>
        <v>82532278</v>
      </c>
      <c r="D18514" t="s">
        <v>56691</v>
      </c>
      <c r="E18514" t="s">
        <v>56692</v>
      </c>
      <c r="F18514" t="s">
        <v>56693</v>
      </c>
      <c r="I18514" t="s">
        <v>29</v>
      </c>
      <c r="J18514" t="s">
        <v>30</v>
      </c>
      <c r="K18514" t="s">
        <v>31</v>
      </c>
      <c r="M18514" t="s">
        <v>50621</v>
      </c>
      <c r="N18514" t="str">
        <f>"2/28/2023 11:30:00 AM"</f>
        <v>2/28/2023 11:30:00 AM</v>
      </c>
      <c r="O18514" t="s">
        <v>56691</v>
      </c>
      <c r="T18514" t="s">
        <v>56692</v>
      </c>
    </row>
    <row r="18515" spans="1:20" x14ac:dyDescent="0.25">
      <c r="A18515" t="str">
        <f>"3050064"</f>
        <v>3050064</v>
      </c>
      <c r="B18515" t="s">
        <v>56694</v>
      </c>
      <c r="C18515" t="str">
        <f>"58116000"</f>
        <v>58116000</v>
      </c>
      <c r="D18515" t="s">
        <v>56695</v>
      </c>
      <c r="E18515" t="s">
        <v>56696</v>
      </c>
      <c r="F18515" t="s">
        <v>56697</v>
      </c>
      <c r="I18515" t="s">
        <v>29</v>
      </c>
      <c r="J18515" t="s">
        <v>30</v>
      </c>
      <c r="K18515" t="s">
        <v>31</v>
      </c>
      <c r="M18515" t="s">
        <v>50621</v>
      </c>
      <c r="N18515" t="str">
        <f>"2/28/2023 11:34:00 AM"</f>
        <v>2/28/2023 11:34:00 AM</v>
      </c>
      <c r="O18515" t="s">
        <v>56695</v>
      </c>
      <c r="T18515" t="s">
        <v>56696</v>
      </c>
    </row>
    <row r="18516" spans="1:20" x14ac:dyDescent="0.25">
      <c r="A18516" t="str">
        <f>"3057615"</f>
        <v>3057615</v>
      </c>
      <c r="B18516" t="s">
        <v>56698</v>
      </c>
      <c r="C18516" t="str">
        <f>"61742500"</f>
        <v>61742500</v>
      </c>
      <c r="D18516" t="s">
        <v>56699</v>
      </c>
      <c r="E18516" t="s">
        <v>56700</v>
      </c>
      <c r="F18516" t="s">
        <v>56701</v>
      </c>
      <c r="I18516" t="s">
        <v>29</v>
      </c>
      <c r="J18516" t="s">
        <v>30</v>
      </c>
      <c r="K18516" t="s">
        <v>44685</v>
      </c>
      <c r="M18516" t="s">
        <v>50621</v>
      </c>
      <c r="N18516" t="str">
        <f>"2/28/2023 12:01:00 PM"</f>
        <v>2/28/2023 12:01:00 PM</v>
      </c>
      <c r="O18516" t="s">
        <v>56699</v>
      </c>
      <c r="T18516" t="s">
        <v>56700</v>
      </c>
    </row>
    <row r="18517" spans="1:20" x14ac:dyDescent="0.25">
      <c r="A18517" t="str">
        <f>"3046524"</f>
        <v>3046524</v>
      </c>
      <c r="B18517" t="s">
        <v>56702</v>
      </c>
      <c r="C18517" t="str">
        <f>"82523633"</f>
        <v>82523633</v>
      </c>
      <c r="D18517" t="s">
        <v>56703</v>
      </c>
      <c r="F18517" t="s">
        <v>56704</v>
      </c>
      <c r="I18517" t="s">
        <v>29</v>
      </c>
      <c r="K18517" t="s">
        <v>31</v>
      </c>
      <c r="M18517" t="s">
        <v>50621</v>
      </c>
      <c r="N18517" t="str">
        <f>"2/28/2023 12:01:00 PM"</f>
        <v>2/28/2023 12:01:00 PM</v>
      </c>
      <c r="O18517" t="s">
        <v>56703</v>
      </c>
    </row>
    <row r="18518" spans="1:20" x14ac:dyDescent="0.25">
      <c r="A18518" t="str">
        <f>"3047200"</f>
        <v>3047200</v>
      </c>
      <c r="B18518" t="s">
        <v>56705</v>
      </c>
      <c r="C18518" t="str">
        <f>"82523633"</f>
        <v>82523633</v>
      </c>
      <c r="D18518" t="s">
        <v>56703</v>
      </c>
      <c r="F18518" t="s">
        <v>56704</v>
      </c>
      <c r="I18518" t="s">
        <v>29</v>
      </c>
      <c r="K18518" t="s">
        <v>31</v>
      </c>
      <c r="M18518" t="s">
        <v>50621</v>
      </c>
      <c r="N18518" t="str">
        <f>"2/28/2023 12:01:00 PM"</f>
        <v>2/28/2023 12:01:00 PM</v>
      </c>
      <c r="O18518" t="s">
        <v>56703</v>
      </c>
    </row>
    <row r="18519" spans="1:20" x14ac:dyDescent="0.25">
      <c r="A18519" t="str">
        <f>"3049845"</f>
        <v>3049845</v>
      </c>
      <c r="B18519" t="s">
        <v>56706</v>
      </c>
      <c r="C18519" t="str">
        <f>"8316024"</f>
        <v>8316024</v>
      </c>
      <c r="D18519" t="s">
        <v>56707</v>
      </c>
      <c r="E18519" t="s">
        <v>56708</v>
      </c>
      <c r="F18519" t="s">
        <v>56709</v>
      </c>
      <c r="I18519" t="s">
        <v>29</v>
      </c>
      <c r="J18519" t="s">
        <v>30</v>
      </c>
      <c r="K18519" t="s">
        <v>9710</v>
      </c>
      <c r="M18519" t="s">
        <v>50621</v>
      </c>
      <c r="N18519" t="str">
        <f>"2/28/2023 12:09:00 PM"</f>
        <v>2/28/2023 12:09:00 PM</v>
      </c>
      <c r="O18519" t="s">
        <v>56707</v>
      </c>
      <c r="T18519" t="s">
        <v>56708</v>
      </c>
    </row>
    <row r="18520" spans="1:20" x14ac:dyDescent="0.25">
      <c r="A18520" t="str">
        <f>"3059453"</f>
        <v>3059453</v>
      </c>
      <c r="B18520" t="s">
        <v>56710</v>
      </c>
      <c r="C18520" t="str">
        <f>"8313653"</f>
        <v>8313653</v>
      </c>
      <c r="D18520" t="s">
        <v>14499</v>
      </c>
      <c r="F18520" t="s">
        <v>56711</v>
      </c>
      <c r="I18520" t="s">
        <v>29</v>
      </c>
      <c r="J18520" t="s">
        <v>30</v>
      </c>
      <c r="K18520" t="s">
        <v>14501</v>
      </c>
      <c r="M18520" t="s">
        <v>51351</v>
      </c>
      <c r="N18520" t="str">
        <f>"2/23/2023 4:47:00 PM"</f>
        <v>2/23/2023 4:47:00 PM</v>
      </c>
      <c r="O18520" t="s">
        <v>14499</v>
      </c>
    </row>
    <row r="18521" spans="1:20" x14ac:dyDescent="0.25">
      <c r="A18521" t="str">
        <f>"3049250"</f>
        <v>3049250</v>
      </c>
      <c r="B18521" t="s">
        <v>56712</v>
      </c>
      <c r="C18521" t="str">
        <f>"73303250"</f>
        <v>73303250</v>
      </c>
      <c r="D18521" t="s">
        <v>56713</v>
      </c>
      <c r="E18521" t="s">
        <v>56714</v>
      </c>
      <c r="F18521" t="s">
        <v>56715</v>
      </c>
      <c r="I18521" t="s">
        <v>184</v>
      </c>
      <c r="J18521" t="s">
        <v>30</v>
      </c>
      <c r="K18521" t="s">
        <v>185</v>
      </c>
      <c r="M18521" t="s">
        <v>50621</v>
      </c>
      <c r="N18521" t="str">
        <f>"2/28/2023 12:18:00 PM"</f>
        <v>2/28/2023 12:18:00 PM</v>
      </c>
      <c r="O18521" t="s">
        <v>56713</v>
      </c>
      <c r="T18521" t="s">
        <v>56714</v>
      </c>
    </row>
    <row r="18522" spans="1:20" x14ac:dyDescent="0.25">
      <c r="A18522" t="str">
        <f>"3046361"</f>
        <v>3046361</v>
      </c>
      <c r="B18522" t="s">
        <v>56716</v>
      </c>
      <c r="C18522" t="str">
        <f>"73639000"</f>
        <v>73639000</v>
      </c>
      <c r="D18522" t="s">
        <v>56717</v>
      </c>
      <c r="E18522" t="s">
        <v>56718</v>
      </c>
      <c r="F18522" t="s">
        <v>56719</v>
      </c>
      <c r="I18522" t="s">
        <v>29</v>
      </c>
      <c r="J18522" t="s">
        <v>30</v>
      </c>
      <c r="K18522" t="s">
        <v>10213</v>
      </c>
      <c r="M18522" t="s">
        <v>50621</v>
      </c>
      <c r="N18522" t="str">
        <f>"2/28/2023 12:25:00 PM"</f>
        <v>2/28/2023 12:25:00 PM</v>
      </c>
      <c r="O18522" t="s">
        <v>56717</v>
      </c>
      <c r="T18522" t="s">
        <v>56718</v>
      </c>
    </row>
    <row r="18523" spans="1:20" x14ac:dyDescent="0.25">
      <c r="A18523" t="str">
        <f>"3076638"</f>
        <v>3076638</v>
      </c>
      <c r="B18523" t="s">
        <v>56720</v>
      </c>
      <c r="C18523" t="str">
        <f t="shared" ref="C18523:C18528" si="281">"8305707"</f>
        <v>8305707</v>
      </c>
      <c r="D18523" t="s">
        <v>56721</v>
      </c>
      <c r="E18523" t="s">
        <v>56722</v>
      </c>
      <c r="F18523" t="s">
        <v>56723</v>
      </c>
      <c r="I18523" t="s">
        <v>29</v>
      </c>
      <c r="J18523" t="s">
        <v>30</v>
      </c>
      <c r="K18523" t="str">
        <f t="shared" ref="K18523:K18528" si="282">"27028"</f>
        <v>27028</v>
      </c>
      <c r="M18523" t="s">
        <v>50621</v>
      </c>
      <c r="N18523" t="str">
        <f t="shared" ref="N18523:N18528" si="283">"2/28/2023 12:26:00 PM"</f>
        <v>2/28/2023 12:26:00 PM</v>
      </c>
      <c r="O18523" t="s">
        <v>56721</v>
      </c>
      <c r="T18523" t="s">
        <v>56722</v>
      </c>
    </row>
    <row r="18524" spans="1:20" x14ac:dyDescent="0.25">
      <c r="A18524" t="str">
        <f>"3062099"</f>
        <v>3062099</v>
      </c>
      <c r="B18524" t="s">
        <v>56724</v>
      </c>
      <c r="C18524" t="str">
        <f t="shared" si="281"/>
        <v>8305707</v>
      </c>
      <c r="D18524" t="s">
        <v>56721</v>
      </c>
      <c r="E18524" t="s">
        <v>56722</v>
      </c>
      <c r="F18524" t="s">
        <v>56723</v>
      </c>
      <c r="I18524" t="s">
        <v>29</v>
      </c>
      <c r="J18524" t="s">
        <v>30</v>
      </c>
      <c r="K18524" t="str">
        <f t="shared" si="282"/>
        <v>27028</v>
      </c>
      <c r="M18524" t="s">
        <v>50621</v>
      </c>
      <c r="N18524" t="str">
        <f t="shared" si="283"/>
        <v>2/28/2023 12:26:00 PM</v>
      </c>
      <c r="O18524" t="s">
        <v>56721</v>
      </c>
      <c r="T18524" t="s">
        <v>56722</v>
      </c>
    </row>
    <row r="18525" spans="1:20" x14ac:dyDescent="0.25">
      <c r="A18525" t="str">
        <f>"3062092"</f>
        <v>3062092</v>
      </c>
      <c r="B18525" t="s">
        <v>56725</v>
      </c>
      <c r="C18525" t="str">
        <f t="shared" si="281"/>
        <v>8305707</v>
      </c>
      <c r="D18525" t="s">
        <v>56721</v>
      </c>
      <c r="E18525" t="s">
        <v>56722</v>
      </c>
      <c r="F18525" t="s">
        <v>56723</v>
      </c>
      <c r="I18525" t="s">
        <v>29</v>
      </c>
      <c r="J18525" t="s">
        <v>30</v>
      </c>
      <c r="K18525" t="str">
        <f t="shared" si="282"/>
        <v>27028</v>
      </c>
      <c r="M18525" t="s">
        <v>50621</v>
      </c>
      <c r="N18525" t="str">
        <f t="shared" si="283"/>
        <v>2/28/2023 12:26:00 PM</v>
      </c>
      <c r="O18525" t="s">
        <v>56721</v>
      </c>
      <c r="T18525" t="s">
        <v>56722</v>
      </c>
    </row>
    <row r="18526" spans="1:20" x14ac:dyDescent="0.25">
      <c r="A18526" t="str">
        <f>"3062103"</f>
        <v>3062103</v>
      </c>
      <c r="B18526" t="s">
        <v>56726</v>
      </c>
      <c r="C18526" t="str">
        <f t="shared" si="281"/>
        <v>8305707</v>
      </c>
      <c r="D18526" t="s">
        <v>56721</v>
      </c>
      <c r="E18526" t="s">
        <v>56722</v>
      </c>
      <c r="F18526" t="s">
        <v>56723</v>
      </c>
      <c r="I18526" t="s">
        <v>29</v>
      </c>
      <c r="J18526" t="s">
        <v>30</v>
      </c>
      <c r="K18526" t="str">
        <f t="shared" si="282"/>
        <v>27028</v>
      </c>
      <c r="M18526" t="s">
        <v>50621</v>
      </c>
      <c r="N18526" t="str">
        <f t="shared" si="283"/>
        <v>2/28/2023 12:26:00 PM</v>
      </c>
      <c r="O18526" t="s">
        <v>56721</v>
      </c>
      <c r="T18526" t="s">
        <v>56722</v>
      </c>
    </row>
    <row r="18527" spans="1:20" x14ac:dyDescent="0.25">
      <c r="A18527" t="str">
        <f>"3062109"</f>
        <v>3062109</v>
      </c>
      <c r="B18527" t="s">
        <v>56727</v>
      </c>
      <c r="C18527" t="str">
        <f t="shared" si="281"/>
        <v>8305707</v>
      </c>
      <c r="D18527" t="s">
        <v>56721</v>
      </c>
      <c r="E18527" t="s">
        <v>56722</v>
      </c>
      <c r="F18527" t="s">
        <v>56723</v>
      </c>
      <c r="I18527" t="s">
        <v>29</v>
      </c>
      <c r="J18527" t="s">
        <v>30</v>
      </c>
      <c r="K18527" t="str">
        <f t="shared" si="282"/>
        <v>27028</v>
      </c>
      <c r="M18527" t="s">
        <v>50621</v>
      </c>
      <c r="N18527" t="str">
        <f t="shared" si="283"/>
        <v>2/28/2023 12:26:00 PM</v>
      </c>
      <c r="O18527" t="s">
        <v>56721</v>
      </c>
      <c r="T18527" t="s">
        <v>56722</v>
      </c>
    </row>
    <row r="18528" spans="1:20" x14ac:dyDescent="0.25">
      <c r="A18528" t="str">
        <f>"3062076"</f>
        <v>3062076</v>
      </c>
      <c r="B18528" t="s">
        <v>56728</v>
      </c>
      <c r="C18528" t="str">
        <f t="shared" si="281"/>
        <v>8305707</v>
      </c>
      <c r="D18528" t="s">
        <v>56721</v>
      </c>
      <c r="E18528" t="s">
        <v>56722</v>
      </c>
      <c r="F18528" t="s">
        <v>56723</v>
      </c>
      <c r="I18528" t="s">
        <v>29</v>
      </c>
      <c r="J18528" t="s">
        <v>30</v>
      </c>
      <c r="K18528" t="str">
        <f t="shared" si="282"/>
        <v>27028</v>
      </c>
      <c r="M18528" t="s">
        <v>50621</v>
      </c>
      <c r="N18528" t="str">
        <f t="shared" si="283"/>
        <v>2/28/2023 12:26:00 PM</v>
      </c>
      <c r="O18528" t="s">
        <v>56721</v>
      </c>
      <c r="T18528" t="s">
        <v>56722</v>
      </c>
    </row>
    <row r="18529" spans="1:20" x14ac:dyDescent="0.25">
      <c r="A18529" t="str">
        <f>"3076931"</f>
        <v>3076931</v>
      </c>
      <c r="B18529" t="s">
        <v>56729</v>
      </c>
      <c r="C18529" t="str">
        <f t="shared" ref="C18529:C18535" si="284">"76092000"</f>
        <v>76092000</v>
      </c>
      <c r="D18529" t="s">
        <v>56730</v>
      </c>
      <c r="E18529" t="s">
        <v>56731</v>
      </c>
      <c r="F18529" t="s">
        <v>56732</v>
      </c>
      <c r="I18529" t="s">
        <v>2275</v>
      </c>
      <c r="J18529" t="s">
        <v>30</v>
      </c>
      <c r="K18529" t="s">
        <v>56733</v>
      </c>
      <c r="M18529" t="s">
        <v>50621</v>
      </c>
      <c r="N18529" t="str">
        <f t="shared" ref="N18529:N18535" si="285">"2/28/2023 12:53:00 PM"</f>
        <v>2/28/2023 12:53:00 PM</v>
      </c>
      <c r="O18529" t="s">
        <v>56730</v>
      </c>
      <c r="T18529" t="s">
        <v>56731</v>
      </c>
    </row>
    <row r="18530" spans="1:20" x14ac:dyDescent="0.25">
      <c r="A18530" t="str">
        <f>"3040349"</f>
        <v>3040349</v>
      </c>
      <c r="B18530" t="s">
        <v>56734</v>
      </c>
      <c r="C18530" t="str">
        <f t="shared" si="284"/>
        <v>76092000</v>
      </c>
      <c r="D18530" t="s">
        <v>56730</v>
      </c>
      <c r="E18530" t="s">
        <v>56731</v>
      </c>
      <c r="F18530" t="s">
        <v>56732</v>
      </c>
      <c r="I18530" t="s">
        <v>2275</v>
      </c>
      <c r="J18530" t="s">
        <v>30</v>
      </c>
      <c r="K18530" t="s">
        <v>56733</v>
      </c>
      <c r="M18530" t="s">
        <v>50621</v>
      </c>
      <c r="N18530" t="str">
        <f t="shared" si="285"/>
        <v>2/28/2023 12:53:00 PM</v>
      </c>
      <c r="O18530" t="s">
        <v>56730</v>
      </c>
      <c r="T18530" t="s">
        <v>56731</v>
      </c>
    </row>
    <row r="18531" spans="1:20" x14ac:dyDescent="0.25">
      <c r="A18531" t="str">
        <f>"3040401"</f>
        <v>3040401</v>
      </c>
      <c r="B18531" t="s">
        <v>56735</v>
      </c>
      <c r="C18531" t="str">
        <f t="shared" si="284"/>
        <v>76092000</v>
      </c>
      <c r="D18531" t="s">
        <v>56730</v>
      </c>
      <c r="E18531" t="s">
        <v>56731</v>
      </c>
      <c r="F18531" t="s">
        <v>56732</v>
      </c>
      <c r="I18531" t="s">
        <v>2275</v>
      </c>
      <c r="J18531" t="s">
        <v>30</v>
      </c>
      <c r="K18531" t="s">
        <v>56733</v>
      </c>
      <c r="M18531" t="s">
        <v>50621</v>
      </c>
      <c r="N18531" t="str">
        <f t="shared" si="285"/>
        <v>2/28/2023 12:53:00 PM</v>
      </c>
      <c r="O18531" t="s">
        <v>56730</v>
      </c>
      <c r="T18531" t="s">
        <v>56731</v>
      </c>
    </row>
    <row r="18532" spans="1:20" x14ac:dyDescent="0.25">
      <c r="A18532" t="str">
        <f>"3040402"</f>
        <v>3040402</v>
      </c>
      <c r="B18532" t="s">
        <v>56736</v>
      </c>
      <c r="C18532" t="str">
        <f t="shared" si="284"/>
        <v>76092000</v>
      </c>
      <c r="D18532" t="s">
        <v>56730</v>
      </c>
      <c r="E18532" t="s">
        <v>56731</v>
      </c>
      <c r="F18532" t="s">
        <v>56732</v>
      </c>
      <c r="I18532" t="s">
        <v>2275</v>
      </c>
      <c r="J18532" t="s">
        <v>30</v>
      </c>
      <c r="K18532" t="s">
        <v>56733</v>
      </c>
      <c r="M18532" t="s">
        <v>50621</v>
      </c>
      <c r="N18532" t="str">
        <f t="shared" si="285"/>
        <v>2/28/2023 12:53:00 PM</v>
      </c>
      <c r="O18532" t="s">
        <v>56730</v>
      </c>
      <c r="T18532" t="s">
        <v>56731</v>
      </c>
    </row>
    <row r="18533" spans="1:20" x14ac:dyDescent="0.25">
      <c r="A18533" t="str">
        <f>"3040386"</f>
        <v>3040386</v>
      </c>
      <c r="B18533" t="s">
        <v>56737</v>
      </c>
      <c r="C18533" t="str">
        <f t="shared" si="284"/>
        <v>76092000</v>
      </c>
      <c r="D18533" t="s">
        <v>56730</v>
      </c>
      <c r="E18533" t="s">
        <v>56731</v>
      </c>
      <c r="F18533" t="s">
        <v>56732</v>
      </c>
      <c r="I18533" t="s">
        <v>2275</v>
      </c>
      <c r="J18533" t="s">
        <v>30</v>
      </c>
      <c r="K18533" t="s">
        <v>56733</v>
      </c>
      <c r="M18533" t="s">
        <v>50621</v>
      </c>
      <c r="N18533" t="str">
        <f t="shared" si="285"/>
        <v>2/28/2023 12:53:00 PM</v>
      </c>
      <c r="O18533" t="s">
        <v>56730</v>
      </c>
      <c r="T18533" t="s">
        <v>56731</v>
      </c>
    </row>
    <row r="18534" spans="1:20" x14ac:dyDescent="0.25">
      <c r="A18534" t="str">
        <f>"3040388"</f>
        <v>3040388</v>
      </c>
      <c r="B18534" t="s">
        <v>56738</v>
      </c>
      <c r="C18534" t="str">
        <f t="shared" si="284"/>
        <v>76092000</v>
      </c>
      <c r="D18534" t="s">
        <v>56730</v>
      </c>
      <c r="E18534" t="s">
        <v>56731</v>
      </c>
      <c r="F18534" t="s">
        <v>56732</v>
      </c>
      <c r="I18534" t="s">
        <v>2275</v>
      </c>
      <c r="J18534" t="s">
        <v>30</v>
      </c>
      <c r="K18534" t="s">
        <v>56733</v>
      </c>
      <c r="M18534" t="s">
        <v>50621</v>
      </c>
      <c r="N18534" t="str">
        <f t="shared" si="285"/>
        <v>2/28/2023 12:53:00 PM</v>
      </c>
      <c r="O18534" t="s">
        <v>56730</v>
      </c>
      <c r="T18534" t="s">
        <v>56731</v>
      </c>
    </row>
    <row r="18535" spans="1:20" x14ac:dyDescent="0.25">
      <c r="A18535" t="str">
        <f>"3040389"</f>
        <v>3040389</v>
      </c>
      <c r="B18535" t="s">
        <v>56739</v>
      </c>
      <c r="C18535" t="str">
        <f t="shared" si="284"/>
        <v>76092000</v>
      </c>
      <c r="D18535" t="s">
        <v>56730</v>
      </c>
      <c r="E18535" t="s">
        <v>56731</v>
      </c>
      <c r="F18535" t="s">
        <v>56732</v>
      </c>
      <c r="I18535" t="s">
        <v>2275</v>
      </c>
      <c r="J18535" t="s">
        <v>30</v>
      </c>
      <c r="K18535" t="s">
        <v>56733</v>
      </c>
      <c r="M18535" t="s">
        <v>50621</v>
      </c>
      <c r="N18535" t="str">
        <f t="shared" si="285"/>
        <v>2/28/2023 12:53:00 PM</v>
      </c>
      <c r="O18535" t="s">
        <v>56730</v>
      </c>
      <c r="T18535" t="s">
        <v>56731</v>
      </c>
    </row>
    <row r="18536" spans="1:20" x14ac:dyDescent="0.25">
      <c r="A18536" t="str">
        <f>"3056155"</f>
        <v>3056155</v>
      </c>
      <c r="B18536" t="s">
        <v>56740</v>
      </c>
      <c r="C18536" t="str">
        <f>"8319749"</f>
        <v>8319749</v>
      </c>
      <c r="D18536" t="s">
        <v>56741</v>
      </c>
      <c r="E18536" t="s">
        <v>56742</v>
      </c>
      <c r="F18536" t="s">
        <v>56743</v>
      </c>
      <c r="I18536" t="s">
        <v>29</v>
      </c>
      <c r="J18536" t="s">
        <v>30</v>
      </c>
      <c r="K18536" t="str">
        <f>"27028"</f>
        <v>27028</v>
      </c>
      <c r="M18536" t="s">
        <v>17861</v>
      </c>
      <c r="N18536" t="str">
        <f>"2/28/2023 1:05:00 PM"</f>
        <v>2/28/2023 1:05:00 PM</v>
      </c>
      <c r="O18536" t="s">
        <v>56741</v>
      </c>
      <c r="T18536" t="s">
        <v>56742</v>
      </c>
    </row>
    <row r="18537" spans="1:20" x14ac:dyDescent="0.25">
      <c r="A18537" t="str">
        <f>"3059627"</f>
        <v>3059627</v>
      </c>
      <c r="B18537" t="s">
        <v>56744</v>
      </c>
      <c r="C18537" t="str">
        <f>"8319750"</f>
        <v>8319750</v>
      </c>
      <c r="D18537" t="s">
        <v>56745</v>
      </c>
      <c r="F18537" t="s">
        <v>56746</v>
      </c>
      <c r="I18537" t="s">
        <v>29</v>
      </c>
      <c r="J18537" t="s">
        <v>30</v>
      </c>
      <c r="K18537" t="s">
        <v>13405</v>
      </c>
      <c r="M18537" t="s">
        <v>17861</v>
      </c>
      <c r="N18537" t="str">
        <f>"2/28/2023 1:14:00 PM"</f>
        <v>2/28/2023 1:14:00 PM</v>
      </c>
      <c r="O18537" t="s">
        <v>56745</v>
      </c>
    </row>
    <row r="18538" spans="1:20" x14ac:dyDescent="0.25">
      <c r="A18538" t="str">
        <f>"3078436"</f>
        <v>3078436</v>
      </c>
      <c r="B18538" t="s">
        <v>56747</v>
      </c>
      <c r="C18538" t="str">
        <f>"8319732"</f>
        <v>8319732</v>
      </c>
      <c r="D18538" t="s">
        <v>56564</v>
      </c>
      <c r="F18538" t="s">
        <v>56565</v>
      </c>
      <c r="I18538" t="s">
        <v>402</v>
      </c>
      <c r="J18538" t="s">
        <v>30</v>
      </c>
      <c r="K18538" t="s">
        <v>56566</v>
      </c>
      <c r="M18538" t="s">
        <v>17861</v>
      </c>
      <c r="N18538" t="str">
        <f>"2/24/2023 10:07:00 AM"</f>
        <v>2/24/2023 10:07:00 AM</v>
      </c>
      <c r="O18538" t="s">
        <v>56564</v>
      </c>
    </row>
    <row r="18539" spans="1:20" x14ac:dyDescent="0.25">
      <c r="A18539" t="str">
        <f>"3052518"</f>
        <v>3052518</v>
      </c>
      <c r="B18539" t="s">
        <v>56748</v>
      </c>
      <c r="C18539" t="str">
        <f>"8319732"</f>
        <v>8319732</v>
      </c>
      <c r="D18539" t="s">
        <v>56564</v>
      </c>
      <c r="F18539" t="s">
        <v>56565</v>
      </c>
      <c r="I18539" t="s">
        <v>402</v>
      </c>
      <c r="J18539" t="s">
        <v>30</v>
      </c>
      <c r="K18539" t="s">
        <v>56566</v>
      </c>
      <c r="M18539" t="s">
        <v>17861</v>
      </c>
      <c r="N18539" t="str">
        <f>"2/24/2023 10:07:00 AM"</f>
        <v>2/24/2023 10:07:00 AM</v>
      </c>
      <c r="O18539" t="s">
        <v>56564</v>
      </c>
    </row>
    <row r="18540" spans="1:20" x14ac:dyDescent="0.25">
      <c r="A18540" t="str">
        <f>"3058531"</f>
        <v>3058531</v>
      </c>
      <c r="B18540" t="s">
        <v>56749</v>
      </c>
      <c r="C18540" t="str">
        <f>"8319737"</f>
        <v>8319737</v>
      </c>
      <c r="D18540" t="s">
        <v>56750</v>
      </c>
      <c r="F18540" t="s">
        <v>56751</v>
      </c>
      <c r="I18540" t="s">
        <v>29</v>
      </c>
      <c r="J18540" t="s">
        <v>30</v>
      </c>
      <c r="K18540" t="s">
        <v>56752</v>
      </c>
      <c r="M18540" t="s">
        <v>17861</v>
      </c>
      <c r="N18540" t="str">
        <f>"2/24/2023 1:00:00 PM"</f>
        <v>2/24/2023 1:00:00 PM</v>
      </c>
      <c r="O18540" t="s">
        <v>56750</v>
      </c>
    </row>
    <row r="18541" spans="1:20" x14ac:dyDescent="0.25">
      <c r="A18541" t="str">
        <f>"3048982"</f>
        <v>3048982</v>
      </c>
      <c r="B18541" t="s">
        <v>56753</v>
      </c>
      <c r="C18541" t="str">
        <f>"82513042"</f>
        <v>82513042</v>
      </c>
      <c r="D18541" t="s">
        <v>56754</v>
      </c>
      <c r="E18541" t="s">
        <v>56755</v>
      </c>
      <c r="F18541" t="s">
        <v>56756</v>
      </c>
      <c r="I18541" t="s">
        <v>56757</v>
      </c>
      <c r="J18541" t="s">
        <v>30</v>
      </c>
      <c r="K18541" t="s">
        <v>56758</v>
      </c>
      <c r="M18541" t="s">
        <v>50793</v>
      </c>
      <c r="N18541" t="str">
        <f>"2/21/2023 3:41:00 PM"</f>
        <v>2/21/2023 3:41:00 PM</v>
      </c>
      <c r="O18541" t="s">
        <v>56754</v>
      </c>
      <c r="T18541" t="s">
        <v>56755</v>
      </c>
    </row>
    <row r="18542" spans="1:20" x14ac:dyDescent="0.25">
      <c r="A18542" t="str">
        <f>"3062142"</f>
        <v>3062142</v>
      </c>
      <c r="B18542" t="s">
        <v>56759</v>
      </c>
      <c r="C18542" t="str">
        <f>"8319754"</f>
        <v>8319754</v>
      </c>
      <c r="D18542" t="s">
        <v>56760</v>
      </c>
      <c r="E18542" t="s">
        <v>56761</v>
      </c>
      <c r="F18542" t="s">
        <v>56762</v>
      </c>
      <c r="I18542" t="s">
        <v>29</v>
      </c>
      <c r="J18542" t="s">
        <v>30</v>
      </c>
      <c r="K18542" t="s">
        <v>56763</v>
      </c>
      <c r="M18542" t="s">
        <v>17861</v>
      </c>
      <c r="N18542" t="str">
        <f>"3/1/2023 9:36:00 AM"</f>
        <v>3/1/2023 9:36:00 AM</v>
      </c>
      <c r="O18542" t="s">
        <v>56760</v>
      </c>
      <c r="T18542" t="s">
        <v>56761</v>
      </c>
    </row>
    <row r="18543" spans="1:20" x14ac:dyDescent="0.25">
      <c r="A18543" t="str">
        <f>"3060735"</f>
        <v>3060735</v>
      </c>
      <c r="B18543" t="s">
        <v>56764</v>
      </c>
      <c r="C18543" t="str">
        <f>"8311220"</f>
        <v>8311220</v>
      </c>
      <c r="D18543" t="s">
        <v>56765</v>
      </c>
      <c r="F18543" t="s">
        <v>56766</v>
      </c>
      <c r="I18543" t="s">
        <v>2071</v>
      </c>
      <c r="J18543" t="s">
        <v>30</v>
      </c>
      <c r="K18543" t="s">
        <v>4269</v>
      </c>
      <c r="M18543" t="s">
        <v>50621</v>
      </c>
      <c r="N18543" t="str">
        <f>"2/22/2023 9:44:00 AM"</f>
        <v>2/22/2023 9:44:00 AM</v>
      </c>
      <c r="O18543" t="s">
        <v>56765</v>
      </c>
    </row>
    <row r="18544" spans="1:20" x14ac:dyDescent="0.25">
      <c r="A18544" t="str">
        <f>"3050100"</f>
        <v>3050100</v>
      </c>
      <c r="B18544" t="s">
        <v>56767</v>
      </c>
      <c r="C18544" t="str">
        <f>"8319758"</f>
        <v>8319758</v>
      </c>
      <c r="D18544" t="s">
        <v>56768</v>
      </c>
      <c r="F18544" t="s">
        <v>56769</v>
      </c>
      <c r="I18544" t="s">
        <v>471</v>
      </c>
      <c r="J18544" t="s">
        <v>30</v>
      </c>
      <c r="K18544" t="s">
        <v>56770</v>
      </c>
      <c r="M18544" t="s">
        <v>17861</v>
      </c>
      <c r="N18544" t="str">
        <f>"3/1/2023 1:38:00 PM"</f>
        <v>3/1/2023 1:38:00 PM</v>
      </c>
      <c r="O18544" t="s">
        <v>56768</v>
      </c>
    </row>
    <row r="18545" spans="1:20" x14ac:dyDescent="0.25">
      <c r="A18545" t="str">
        <f>"3044163"</f>
        <v>3044163</v>
      </c>
      <c r="B18545" t="s">
        <v>56771</v>
      </c>
      <c r="C18545" t="str">
        <f>"8319759"</f>
        <v>8319759</v>
      </c>
      <c r="D18545" t="s">
        <v>56772</v>
      </c>
      <c r="E18545" t="s">
        <v>56773</v>
      </c>
      <c r="F18545" t="s">
        <v>56774</v>
      </c>
      <c r="I18545" t="s">
        <v>184</v>
      </c>
      <c r="J18545" t="s">
        <v>30</v>
      </c>
      <c r="K18545" t="s">
        <v>56775</v>
      </c>
      <c r="M18545" t="s">
        <v>17861</v>
      </c>
      <c r="N18545" t="str">
        <f>"3/1/2023 1:41:00 PM"</f>
        <v>3/1/2023 1:41:00 PM</v>
      </c>
      <c r="O18545" t="s">
        <v>56772</v>
      </c>
      <c r="T18545" t="s">
        <v>56773</v>
      </c>
    </row>
    <row r="18546" spans="1:20" x14ac:dyDescent="0.25">
      <c r="A18546" t="str">
        <f>"3043762"</f>
        <v>3043762</v>
      </c>
      <c r="B18546" t="s">
        <v>56776</v>
      </c>
      <c r="C18546" t="str">
        <f>"8319761"</f>
        <v>8319761</v>
      </c>
      <c r="D18546" t="s">
        <v>56777</v>
      </c>
      <c r="E18546" t="s">
        <v>56778</v>
      </c>
      <c r="F18546" t="s">
        <v>56779</v>
      </c>
      <c r="I18546" t="s">
        <v>29</v>
      </c>
      <c r="J18546" t="s">
        <v>30</v>
      </c>
      <c r="K18546" t="s">
        <v>55249</v>
      </c>
      <c r="M18546" t="s">
        <v>17861</v>
      </c>
      <c r="N18546" t="str">
        <f>"3/1/2023 2:07:00 PM"</f>
        <v>3/1/2023 2:07:00 PM</v>
      </c>
      <c r="O18546" t="s">
        <v>56777</v>
      </c>
      <c r="T18546" t="s">
        <v>56778</v>
      </c>
    </row>
    <row r="18547" spans="1:20" x14ac:dyDescent="0.25">
      <c r="A18547" t="str">
        <f>"3061934"</f>
        <v>3061934</v>
      </c>
      <c r="B18547" t="s">
        <v>56780</v>
      </c>
      <c r="C18547" t="str">
        <f>"8305800"</f>
        <v>8305800</v>
      </c>
      <c r="D18547" t="s">
        <v>56781</v>
      </c>
      <c r="F18547" t="s">
        <v>56782</v>
      </c>
      <c r="I18547" t="s">
        <v>29</v>
      </c>
      <c r="J18547" t="s">
        <v>30</v>
      </c>
      <c r="K18547" t="str">
        <f>"27028"</f>
        <v>27028</v>
      </c>
      <c r="M18547" t="s">
        <v>50621</v>
      </c>
      <c r="N18547" t="str">
        <f>"2/22/2023 9:46:00 AM"</f>
        <v>2/22/2023 9:46:00 AM</v>
      </c>
      <c r="O18547" t="s">
        <v>56781</v>
      </c>
    </row>
    <row r="18548" spans="1:20" x14ac:dyDescent="0.25">
      <c r="A18548" t="str">
        <f>"3068176"</f>
        <v>3068176</v>
      </c>
      <c r="B18548" t="s">
        <v>56783</v>
      </c>
      <c r="C18548" t="str">
        <f>"80244000"</f>
        <v>80244000</v>
      </c>
      <c r="D18548" t="s">
        <v>50735</v>
      </c>
      <c r="F18548" t="s">
        <v>56784</v>
      </c>
      <c r="I18548" t="s">
        <v>56785</v>
      </c>
      <c r="J18548" t="s">
        <v>12725</v>
      </c>
      <c r="K18548" t="s">
        <v>56786</v>
      </c>
      <c r="M18548" t="s">
        <v>50621</v>
      </c>
      <c r="N18548" t="str">
        <f>"2/22/2023 9:53:00 AM"</f>
        <v>2/22/2023 9:53:00 AM</v>
      </c>
      <c r="O18548" t="s">
        <v>50735</v>
      </c>
    </row>
    <row r="18549" spans="1:20" x14ac:dyDescent="0.25">
      <c r="A18549" t="str">
        <f>"3062664"</f>
        <v>3062664</v>
      </c>
      <c r="B18549" t="s">
        <v>56787</v>
      </c>
      <c r="C18549" t="str">
        <f>"10754000"</f>
        <v>10754000</v>
      </c>
      <c r="D18549" t="s">
        <v>56788</v>
      </c>
      <c r="E18549" t="s">
        <v>56789</v>
      </c>
      <c r="F18549" t="s">
        <v>56790</v>
      </c>
      <c r="I18549" t="s">
        <v>9580</v>
      </c>
      <c r="J18549" t="s">
        <v>30</v>
      </c>
      <c r="K18549" t="s">
        <v>9581</v>
      </c>
      <c r="M18549" t="s">
        <v>50621</v>
      </c>
      <c r="N18549" t="str">
        <f>"3/1/2023 3:22:00 PM"</f>
        <v>3/1/2023 3:22:00 PM</v>
      </c>
      <c r="O18549" t="s">
        <v>56788</v>
      </c>
      <c r="T18549" t="s">
        <v>56789</v>
      </c>
    </row>
    <row r="18550" spans="1:20" x14ac:dyDescent="0.25">
      <c r="A18550" t="str">
        <f>"3040658"</f>
        <v>3040658</v>
      </c>
      <c r="B18550" t="s">
        <v>56791</v>
      </c>
      <c r="C18550" t="str">
        <f>"8319764"</f>
        <v>8319764</v>
      </c>
      <c r="D18550" t="s">
        <v>56792</v>
      </c>
      <c r="F18550" t="s">
        <v>56793</v>
      </c>
      <c r="I18550" t="s">
        <v>184</v>
      </c>
      <c r="J18550" t="s">
        <v>30</v>
      </c>
      <c r="K18550" t="s">
        <v>18975</v>
      </c>
      <c r="M18550" t="s">
        <v>17861</v>
      </c>
      <c r="N18550" t="str">
        <f>"3/2/2023 8:31:00 AM"</f>
        <v>3/2/2023 8:31:00 AM</v>
      </c>
      <c r="O18550" t="s">
        <v>56792</v>
      </c>
    </row>
    <row r="18551" spans="1:20" x14ac:dyDescent="0.25">
      <c r="A18551" t="str">
        <f>"3062976"</f>
        <v>3062976</v>
      </c>
      <c r="B18551" t="s">
        <v>56794</v>
      </c>
      <c r="C18551" t="str">
        <f>"8319765"</f>
        <v>8319765</v>
      </c>
      <c r="D18551" t="s">
        <v>56795</v>
      </c>
      <c r="E18551" t="s">
        <v>56796</v>
      </c>
      <c r="F18551" t="s">
        <v>56797</v>
      </c>
      <c r="I18551" t="s">
        <v>29</v>
      </c>
      <c r="J18551" t="s">
        <v>30</v>
      </c>
      <c r="K18551" t="s">
        <v>39596</v>
      </c>
      <c r="M18551" t="s">
        <v>17861</v>
      </c>
      <c r="N18551" t="str">
        <f>"3/2/2023 8:49:00 AM"</f>
        <v>3/2/2023 8:49:00 AM</v>
      </c>
      <c r="O18551" t="s">
        <v>56795</v>
      </c>
      <c r="T18551" t="s">
        <v>56796</v>
      </c>
    </row>
    <row r="18552" spans="1:20" x14ac:dyDescent="0.25">
      <c r="A18552" t="str">
        <f>"3068177"</f>
        <v>3068177</v>
      </c>
      <c r="B18552" t="s">
        <v>56798</v>
      </c>
      <c r="C18552" t="str">
        <f>"80244000"</f>
        <v>80244000</v>
      </c>
      <c r="D18552" t="s">
        <v>50735</v>
      </c>
      <c r="F18552" t="s">
        <v>56784</v>
      </c>
      <c r="I18552" t="s">
        <v>56785</v>
      </c>
      <c r="J18552" t="s">
        <v>12725</v>
      </c>
      <c r="K18552" t="s">
        <v>56786</v>
      </c>
      <c r="M18552" t="s">
        <v>50621</v>
      </c>
      <c r="N18552" t="str">
        <f>"2/22/2023 9:53:00 AM"</f>
        <v>2/22/2023 9:53:00 AM</v>
      </c>
      <c r="O18552" t="s">
        <v>50735</v>
      </c>
    </row>
    <row r="18553" spans="1:20" x14ac:dyDescent="0.25">
      <c r="A18553" t="str">
        <f>"3041992"</f>
        <v>3041992</v>
      </c>
      <c r="B18553" t="s">
        <v>56799</v>
      </c>
      <c r="C18553" t="str">
        <f>"82515505"</f>
        <v>82515505</v>
      </c>
      <c r="D18553" t="s">
        <v>56800</v>
      </c>
      <c r="E18553" t="s">
        <v>56801</v>
      </c>
      <c r="F18553" t="s">
        <v>56802</v>
      </c>
      <c r="I18553" t="s">
        <v>56803</v>
      </c>
      <c r="J18553" t="s">
        <v>30</v>
      </c>
      <c r="K18553" t="s">
        <v>56804</v>
      </c>
      <c r="M18553" t="s">
        <v>18479</v>
      </c>
      <c r="N18553" t="str">
        <f>"2/24/2023 3:20:00 PM"</f>
        <v>2/24/2023 3:20:00 PM</v>
      </c>
      <c r="O18553" t="s">
        <v>56800</v>
      </c>
      <c r="T18553" t="s">
        <v>56801</v>
      </c>
    </row>
    <row r="18554" spans="1:20" x14ac:dyDescent="0.25">
      <c r="A18554" t="str">
        <f>"3043013"</f>
        <v>3043013</v>
      </c>
      <c r="B18554" t="s">
        <v>56805</v>
      </c>
      <c r="C18554" t="str">
        <f>"8317914"</f>
        <v>8317914</v>
      </c>
      <c r="D18554" t="s">
        <v>56806</v>
      </c>
      <c r="F18554" t="s">
        <v>56807</v>
      </c>
      <c r="I18554" t="s">
        <v>184</v>
      </c>
      <c r="J18554" t="s">
        <v>30</v>
      </c>
      <c r="K18554" t="str">
        <f>"27006"</f>
        <v>27006</v>
      </c>
      <c r="M18554" t="s">
        <v>33845</v>
      </c>
      <c r="N18554" t="str">
        <f>"2/27/2023 4:43:00 PM"</f>
        <v>2/27/2023 4:43:00 PM</v>
      </c>
      <c r="O18554" t="s">
        <v>56806</v>
      </c>
    </row>
    <row r="18555" spans="1:20" x14ac:dyDescent="0.25">
      <c r="A18555" t="str">
        <f>"3056265"</f>
        <v>3056265</v>
      </c>
      <c r="B18555" t="s">
        <v>56808</v>
      </c>
      <c r="C18555" t="str">
        <f>"12421750"</f>
        <v>12421750</v>
      </c>
      <c r="D18555" t="s">
        <v>56625</v>
      </c>
      <c r="F18555" t="s">
        <v>56626</v>
      </c>
      <c r="I18555" t="s">
        <v>29</v>
      </c>
      <c r="J18555" t="s">
        <v>30</v>
      </c>
      <c r="K18555" t="s">
        <v>56627</v>
      </c>
      <c r="M18555" t="s">
        <v>17861</v>
      </c>
      <c r="N18555" t="str">
        <f>"2/28/2023 9:26:00 AM"</f>
        <v>2/28/2023 9:26:00 AM</v>
      </c>
      <c r="O18555" t="s">
        <v>56625</v>
      </c>
    </row>
    <row r="18556" spans="1:20" x14ac:dyDescent="0.25">
      <c r="A18556" t="str">
        <f>"3054633"</f>
        <v>3054633</v>
      </c>
      <c r="B18556" t="s">
        <v>56809</v>
      </c>
      <c r="C18556" t="str">
        <f>"82514401"</f>
        <v>82514401</v>
      </c>
      <c r="D18556" t="s">
        <v>56810</v>
      </c>
      <c r="F18556" t="s">
        <v>33882</v>
      </c>
      <c r="I18556" t="s">
        <v>29</v>
      </c>
      <c r="J18556" t="s">
        <v>30</v>
      </c>
      <c r="K18556" t="s">
        <v>31</v>
      </c>
      <c r="M18556" t="s">
        <v>50621</v>
      </c>
      <c r="N18556" t="str">
        <f>"2/28/2023 10:09:00 AM"</f>
        <v>2/28/2023 10:09:00 AM</v>
      </c>
      <c r="O18556" t="s">
        <v>56810</v>
      </c>
    </row>
    <row r="18557" spans="1:20" x14ac:dyDescent="0.25">
      <c r="A18557" t="str">
        <f>"3065639"</f>
        <v>3065639</v>
      </c>
      <c r="B18557" t="s">
        <v>56811</v>
      </c>
      <c r="C18557" t="str">
        <f>"82522587"</f>
        <v>82522587</v>
      </c>
      <c r="D18557" t="s">
        <v>56812</v>
      </c>
      <c r="E18557" t="s">
        <v>56813</v>
      </c>
      <c r="F18557" t="s">
        <v>56814</v>
      </c>
      <c r="I18557" t="s">
        <v>29</v>
      </c>
      <c r="J18557" t="s">
        <v>30</v>
      </c>
      <c r="K18557" t="s">
        <v>6094</v>
      </c>
      <c r="M18557" t="s">
        <v>50621</v>
      </c>
      <c r="N18557" t="str">
        <f>"2/28/2023 10:34:00 AM"</f>
        <v>2/28/2023 10:34:00 AM</v>
      </c>
      <c r="O18557" t="s">
        <v>56812</v>
      </c>
      <c r="T18557" t="s">
        <v>56813</v>
      </c>
    </row>
    <row r="18558" spans="1:20" x14ac:dyDescent="0.25">
      <c r="A18558" t="str">
        <f>"3062574"</f>
        <v>3062574</v>
      </c>
      <c r="B18558" t="s">
        <v>56815</v>
      </c>
      <c r="C18558" t="str">
        <f>"8319198"</f>
        <v>8319198</v>
      </c>
      <c r="D18558" t="s">
        <v>56816</v>
      </c>
      <c r="F18558" t="s">
        <v>56817</v>
      </c>
      <c r="I18558" t="s">
        <v>29</v>
      </c>
      <c r="J18558" t="s">
        <v>30</v>
      </c>
      <c r="K18558" t="s">
        <v>53637</v>
      </c>
      <c r="M18558" t="s">
        <v>36935</v>
      </c>
      <c r="N18558" t="str">
        <f>"3/3/2023 8:50:00 AM"</f>
        <v>3/3/2023 8:50:00 AM</v>
      </c>
      <c r="O18558" t="s">
        <v>56816</v>
      </c>
    </row>
    <row r="18559" spans="1:20" x14ac:dyDescent="0.25">
      <c r="A18559" t="str">
        <f>"3063939"</f>
        <v>3063939</v>
      </c>
      <c r="B18559" t="s">
        <v>56818</v>
      </c>
      <c r="C18559" t="str">
        <f>"8319770"</f>
        <v>8319770</v>
      </c>
      <c r="D18559" t="str">
        <f>"FOSTER PAUL A/SHIRLEY A TRUSTEES"</f>
        <v>FOSTER PAUL A/SHIRLEY A TRUSTEES</v>
      </c>
      <c r="E18559" t="str">
        <f>"FOSTER PAUL/SHIRLEY IRREV TRUS"</f>
        <v>FOSTER PAUL/SHIRLEY IRREV TRUS</v>
      </c>
      <c r="F18559" t="s">
        <v>56819</v>
      </c>
      <c r="I18559" t="s">
        <v>184</v>
      </c>
      <c r="J18559" t="s">
        <v>30</v>
      </c>
      <c r="K18559" t="s">
        <v>4892</v>
      </c>
      <c r="M18559" t="s">
        <v>17861</v>
      </c>
      <c r="N18559" t="str">
        <f>"3/3/2023 9:42:00 AM"</f>
        <v>3/3/2023 9:42:00 AM</v>
      </c>
      <c r="O18559" t="str">
        <f>"FOSTER PAUL A/SHIRLEY A TRUSTEES"</f>
        <v>FOSTER PAUL A/SHIRLEY A TRUSTEES</v>
      </c>
      <c r="T18559" t="str">
        <f>"FOSTER PAUL/SHIRLEY IRREV TRUS"</f>
        <v>FOSTER PAUL/SHIRLEY IRREV TRUS</v>
      </c>
    </row>
    <row r="18560" spans="1:20" x14ac:dyDescent="0.25">
      <c r="A18560" t="str">
        <f>"3077181"</f>
        <v>3077181</v>
      </c>
      <c r="B18560" t="s">
        <v>56820</v>
      </c>
      <c r="C18560" t="str">
        <f>"8319770"</f>
        <v>8319770</v>
      </c>
      <c r="D18560" t="str">
        <f>"FOSTER PAUL A/SHIRLEY A TRUSTEES"</f>
        <v>FOSTER PAUL A/SHIRLEY A TRUSTEES</v>
      </c>
      <c r="E18560" t="str">
        <f>"FOSTER PAUL/SHIRLEY IRREV TRUS"</f>
        <v>FOSTER PAUL/SHIRLEY IRREV TRUS</v>
      </c>
      <c r="F18560" t="s">
        <v>56819</v>
      </c>
      <c r="I18560" t="s">
        <v>184</v>
      </c>
      <c r="J18560" t="s">
        <v>30</v>
      </c>
      <c r="K18560" t="s">
        <v>4892</v>
      </c>
      <c r="M18560" t="s">
        <v>17861</v>
      </c>
      <c r="N18560" t="str">
        <f>"3/3/2023 9:42:00 AM"</f>
        <v>3/3/2023 9:42:00 AM</v>
      </c>
      <c r="O18560" t="str">
        <f>"FOSTER PAUL A/SHIRLEY A TRUSTEES"</f>
        <v>FOSTER PAUL A/SHIRLEY A TRUSTEES</v>
      </c>
      <c r="T18560" t="str">
        <f>"FOSTER PAUL/SHIRLEY IRREV TRUS"</f>
        <v>FOSTER PAUL/SHIRLEY IRREV TRUS</v>
      </c>
    </row>
    <row r="18561" spans="1:20" x14ac:dyDescent="0.25">
      <c r="A18561" t="str">
        <f>"3051434"</f>
        <v>3051434</v>
      </c>
      <c r="B18561" t="s">
        <v>56821</v>
      </c>
      <c r="C18561" t="str">
        <f>"8319772"</f>
        <v>8319772</v>
      </c>
      <c r="D18561" t="s">
        <v>56822</v>
      </c>
      <c r="F18561" t="s">
        <v>56823</v>
      </c>
      <c r="I18561" t="s">
        <v>29</v>
      </c>
      <c r="J18561" t="s">
        <v>30</v>
      </c>
      <c r="K18561" t="s">
        <v>11078</v>
      </c>
      <c r="M18561" t="s">
        <v>17861</v>
      </c>
      <c r="N18561" t="str">
        <f>"3/3/2023 9:50:00 AM"</f>
        <v>3/3/2023 9:50:00 AM</v>
      </c>
      <c r="O18561" t="s">
        <v>56822</v>
      </c>
    </row>
    <row r="18562" spans="1:20" x14ac:dyDescent="0.25">
      <c r="A18562" t="str">
        <f>"3058039"</f>
        <v>3058039</v>
      </c>
      <c r="B18562" t="s">
        <v>56824</v>
      </c>
      <c r="C18562" t="str">
        <f>"8319773"</f>
        <v>8319773</v>
      </c>
      <c r="D18562" t="s">
        <v>56825</v>
      </c>
      <c r="F18562" t="s">
        <v>56826</v>
      </c>
      <c r="I18562" t="s">
        <v>184</v>
      </c>
      <c r="J18562" t="s">
        <v>30</v>
      </c>
      <c r="K18562" t="s">
        <v>6297</v>
      </c>
      <c r="M18562" t="s">
        <v>17861</v>
      </c>
      <c r="N18562" t="str">
        <f>"3/3/2023 9:54:00 AM"</f>
        <v>3/3/2023 9:54:00 AM</v>
      </c>
      <c r="O18562" t="s">
        <v>56825</v>
      </c>
    </row>
    <row r="18563" spans="1:20" x14ac:dyDescent="0.25">
      <c r="A18563" t="str">
        <f>"3039573"</f>
        <v>3039573</v>
      </c>
      <c r="B18563" t="s">
        <v>56827</v>
      </c>
      <c r="C18563" t="str">
        <f>"8309735"</f>
        <v>8309735</v>
      </c>
      <c r="D18563" t="s">
        <v>56675</v>
      </c>
      <c r="E18563" t="s">
        <v>56676</v>
      </c>
      <c r="F18563" t="s">
        <v>56677</v>
      </c>
      <c r="I18563" t="s">
        <v>24359</v>
      </c>
      <c r="J18563" t="s">
        <v>30</v>
      </c>
      <c r="K18563" t="s">
        <v>56678</v>
      </c>
      <c r="M18563" t="s">
        <v>25625</v>
      </c>
      <c r="N18563" t="str">
        <f>"2/28/2023 11:22:00 AM"</f>
        <v>2/28/2023 11:22:00 AM</v>
      </c>
      <c r="O18563" t="s">
        <v>56675</v>
      </c>
      <c r="T18563" t="s">
        <v>56676</v>
      </c>
    </row>
    <row r="18564" spans="1:20" x14ac:dyDescent="0.25">
      <c r="A18564" t="str">
        <f>"3054311"</f>
        <v>3054311</v>
      </c>
      <c r="B18564" t="s">
        <v>56828</v>
      </c>
      <c r="C18564" t="str">
        <f>"8311872"</f>
        <v>8311872</v>
      </c>
      <c r="D18564" t="s">
        <v>56829</v>
      </c>
      <c r="E18564" t="s">
        <v>56830</v>
      </c>
      <c r="F18564" t="s">
        <v>56831</v>
      </c>
      <c r="I18564" t="s">
        <v>29</v>
      </c>
      <c r="J18564" t="s">
        <v>30</v>
      </c>
      <c r="K18564" t="str">
        <f>"27028"</f>
        <v>27028</v>
      </c>
      <c r="M18564" t="s">
        <v>50621</v>
      </c>
      <c r="N18564" t="str">
        <f>"2/28/2023 11:22:00 AM"</f>
        <v>2/28/2023 11:22:00 AM</v>
      </c>
      <c r="O18564" t="s">
        <v>56829</v>
      </c>
      <c r="T18564" t="s">
        <v>56830</v>
      </c>
    </row>
    <row r="18565" spans="1:20" x14ac:dyDescent="0.25">
      <c r="A18565" t="str">
        <f>"3038585"</f>
        <v>3038585</v>
      </c>
      <c r="B18565" t="s">
        <v>56832</v>
      </c>
      <c r="C18565" t="str">
        <f>"8353000"</f>
        <v>8353000</v>
      </c>
      <c r="D18565" t="s">
        <v>56833</v>
      </c>
      <c r="F18565" t="s">
        <v>56834</v>
      </c>
      <c r="I18565" t="s">
        <v>29</v>
      </c>
      <c r="J18565" t="s">
        <v>30</v>
      </c>
      <c r="K18565" t="s">
        <v>31</v>
      </c>
      <c r="M18565" t="s">
        <v>50621</v>
      </c>
      <c r="N18565" t="str">
        <f>"2/28/2023 11:22:00 AM"</f>
        <v>2/28/2023 11:22:00 AM</v>
      </c>
      <c r="O18565" t="s">
        <v>56833</v>
      </c>
    </row>
    <row r="18566" spans="1:20" x14ac:dyDescent="0.25">
      <c r="A18566" t="str">
        <f>"3055587"</f>
        <v>3055587</v>
      </c>
      <c r="B18566" t="s">
        <v>56835</v>
      </c>
      <c r="C18566" t="str">
        <f>"8307182"</f>
        <v>8307182</v>
      </c>
      <c r="D18566" t="s">
        <v>56836</v>
      </c>
      <c r="F18566" t="s">
        <v>56837</v>
      </c>
      <c r="I18566" t="s">
        <v>29</v>
      </c>
      <c r="J18566" t="s">
        <v>30</v>
      </c>
      <c r="K18566" t="s">
        <v>42765</v>
      </c>
      <c r="M18566" t="s">
        <v>50621</v>
      </c>
      <c r="N18566" t="str">
        <f>"2/28/2023 12:10:00 PM"</f>
        <v>2/28/2023 12:10:00 PM</v>
      </c>
      <c r="O18566" t="s">
        <v>56836</v>
      </c>
    </row>
    <row r="18567" spans="1:20" x14ac:dyDescent="0.25">
      <c r="A18567" t="str">
        <f>"3046229"</f>
        <v>3046229</v>
      </c>
      <c r="B18567" t="s">
        <v>56838</v>
      </c>
      <c r="C18567" t="str">
        <f>"82527064"</f>
        <v>82527064</v>
      </c>
      <c r="D18567" t="s">
        <v>56839</v>
      </c>
      <c r="F18567" t="s">
        <v>56187</v>
      </c>
      <c r="I18567" t="s">
        <v>29</v>
      </c>
      <c r="J18567" t="s">
        <v>30</v>
      </c>
      <c r="K18567" t="s">
        <v>31</v>
      </c>
      <c r="M18567" t="s">
        <v>50621</v>
      </c>
      <c r="N18567" t="str">
        <f>"2/23/2023 11:03:00 AM"</f>
        <v>2/23/2023 11:03:00 AM</v>
      </c>
      <c r="O18567" t="s">
        <v>56839</v>
      </c>
    </row>
    <row r="18568" spans="1:20" x14ac:dyDescent="0.25">
      <c r="A18568" t="str">
        <f>"3059619"</f>
        <v>3059619</v>
      </c>
      <c r="B18568" t="s">
        <v>56840</v>
      </c>
      <c r="C18568" t="str">
        <f>"8317394"</f>
        <v>8317394</v>
      </c>
      <c r="D18568" t="s">
        <v>56841</v>
      </c>
      <c r="E18568" t="s">
        <v>56842</v>
      </c>
      <c r="F18568" t="s">
        <v>56843</v>
      </c>
      <c r="I18568" t="s">
        <v>29</v>
      </c>
      <c r="J18568" t="s">
        <v>30</v>
      </c>
      <c r="K18568" t="s">
        <v>13608</v>
      </c>
      <c r="M18568" t="s">
        <v>17861</v>
      </c>
      <c r="N18568" t="str">
        <f>"3/3/2023 1:06:00 PM"</f>
        <v>3/3/2023 1:06:00 PM</v>
      </c>
      <c r="O18568" t="s">
        <v>56841</v>
      </c>
      <c r="T18568" t="s">
        <v>56842</v>
      </c>
    </row>
    <row r="18569" spans="1:20" x14ac:dyDescent="0.25">
      <c r="A18569" t="str">
        <f>"3047353"</f>
        <v>3047353</v>
      </c>
      <c r="B18569" t="s">
        <v>56844</v>
      </c>
      <c r="C18569" t="str">
        <f>"8305230"</f>
        <v>8305230</v>
      </c>
      <c r="D18569" t="s">
        <v>56845</v>
      </c>
      <c r="E18569" t="s">
        <v>56846</v>
      </c>
      <c r="F18569" t="s">
        <v>9336</v>
      </c>
      <c r="I18569" t="s">
        <v>22703</v>
      </c>
      <c r="J18569" t="s">
        <v>30</v>
      </c>
      <c r="K18569" t="s">
        <v>56847</v>
      </c>
      <c r="M18569" t="s">
        <v>50793</v>
      </c>
      <c r="N18569" t="str">
        <f>"2/23/2023 1:16:00 PM"</f>
        <v>2/23/2023 1:16:00 PM</v>
      </c>
      <c r="O18569" t="s">
        <v>56845</v>
      </c>
      <c r="T18569" t="s">
        <v>56846</v>
      </c>
    </row>
    <row r="18570" spans="1:20" x14ac:dyDescent="0.25">
      <c r="A18570" t="str">
        <f>"3044450"</f>
        <v>3044450</v>
      </c>
      <c r="B18570" t="s">
        <v>56848</v>
      </c>
      <c r="C18570" t="str">
        <f>"8307384"</f>
        <v>8307384</v>
      </c>
      <c r="D18570" t="s">
        <v>56849</v>
      </c>
      <c r="E18570" t="s">
        <v>56850</v>
      </c>
      <c r="F18570" t="s">
        <v>56851</v>
      </c>
      <c r="I18570" t="s">
        <v>184</v>
      </c>
      <c r="J18570" t="s">
        <v>30</v>
      </c>
      <c r="K18570" t="str">
        <f>"27006"</f>
        <v>27006</v>
      </c>
      <c r="M18570" t="s">
        <v>17861</v>
      </c>
      <c r="N18570" t="str">
        <f>"3/3/2023 1:09:00 PM"</f>
        <v>3/3/2023 1:09:00 PM</v>
      </c>
      <c r="O18570" t="s">
        <v>56849</v>
      </c>
      <c r="T18570" t="s">
        <v>56850</v>
      </c>
    </row>
    <row r="18571" spans="1:20" x14ac:dyDescent="0.25">
      <c r="A18571" t="str">
        <f>"3042791"</f>
        <v>3042791</v>
      </c>
      <c r="B18571" t="s">
        <v>56852</v>
      </c>
      <c r="C18571" t="str">
        <f>"8315218"</f>
        <v>8315218</v>
      </c>
      <c r="D18571" t="s">
        <v>56853</v>
      </c>
      <c r="E18571" t="s">
        <v>56854</v>
      </c>
      <c r="F18571" t="s">
        <v>56855</v>
      </c>
      <c r="I18571" t="s">
        <v>29</v>
      </c>
      <c r="J18571" t="s">
        <v>30</v>
      </c>
      <c r="K18571" t="s">
        <v>56856</v>
      </c>
      <c r="M18571" t="s">
        <v>17861</v>
      </c>
      <c r="N18571" t="str">
        <f>"3/3/2023 1:11:00 PM"</f>
        <v>3/3/2023 1:11:00 PM</v>
      </c>
      <c r="O18571" t="s">
        <v>56853</v>
      </c>
      <c r="T18571" t="s">
        <v>56854</v>
      </c>
    </row>
    <row r="18572" spans="1:20" x14ac:dyDescent="0.25">
      <c r="A18572" t="str">
        <f>"3041663"</f>
        <v>3041663</v>
      </c>
      <c r="B18572" t="s">
        <v>56857</v>
      </c>
      <c r="C18572" t="str">
        <f>"8309848"</f>
        <v>8309848</v>
      </c>
      <c r="D18572" t="s">
        <v>56858</v>
      </c>
      <c r="F18572" t="s">
        <v>56859</v>
      </c>
      <c r="I18572" t="s">
        <v>2071</v>
      </c>
      <c r="J18572" t="s">
        <v>30</v>
      </c>
      <c r="K18572" t="s">
        <v>3597</v>
      </c>
      <c r="M18572" t="s">
        <v>17861</v>
      </c>
      <c r="N18572" t="str">
        <f>"3/3/2023 1:13:00 PM"</f>
        <v>3/3/2023 1:13:00 PM</v>
      </c>
      <c r="O18572" t="s">
        <v>56858</v>
      </c>
    </row>
    <row r="18573" spans="1:20" x14ac:dyDescent="0.25">
      <c r="A18573" t="str">
        <f>"3061678"</f>
        <v>3061678</v>
      </c>
      <c r="B18573" t="s">
        <v>56860</v>
      </c>
      <c r="C18573" t="str">
        <f>"8317635"</f>
        <v>8317635</v>
      </c>
      <c r="D18573" t="s">
        <v>56861</v>
      </c>
      <c r="F18573" t="s">
        <v>56862</v>
      </c>
      <c r="I18573" t="s">
        <v>2071</v>
      </c>
      <c r="J18573" t="s">
        <v>30</v>
      </c>
      <c r="K18573" t="s">
        <v>3885</v>
      </c>
      <c r="M18573" t="s">
        <v>17861</v>
      </c>
      <c r="N18573" t="str">
        <f>"3/3/2023 1:14:00 PM"</f>
        <v>3/3/2023 1:14:00 PM</v>
      </c>
      <c r="O18573" t="s">
        <v>56861</v>
      </c>
    </row>
    <row r="18574" spans="1:20" x14ac:dyDescent="0.25">
      <c r="A18574" t="str">
        <f>"3045585"</f>
        <v>3045585</v>
      </c>
      <c r="B18574" t="s">
        <v>56863</v>
      </c>
      <c r="C18574" t="str">
        <f>"75060000"</f>
        <v>75060000</v>
      </c>
      <c r="D18574" t="s">
        <v>56864</v>
      </c>
      <c r="E18574" t="s">
        <v>56865</v>
      </c>
      <c r="F18574" t="s">
        <v>56866</v>
      </c>
      <c r="I18574" t="s">
        <v>1149</v>
      </c>
      <c r="J18574" t="s">
        <v>30</v>
      </c>
      <c r="K18574" t="s">
        <v>1150</v>
      </c>
      <c r="M18574" t="s">
        <v>50793</v>
      </c>
      <c r="N18574" t="str">
        <f>"2/23/2023 2:22:00 PM"</f>
        <v>2/23/2023 2:22:00 PM</v>
      </c>
      <c r="O18574" t="s">
        <v>56864</v>
      </c>
      <c r="T18574" t="s">
        <v>56865</v>
      </c>
    </row>
    <row r="18575" spans="1:20" x14ac:dyDescent="0.25">
      <c r="A18575" t="str">
        <f>"3043992"</f>
        <v>3043992</v>
      </c>
      <c r="B18575" t="s">
        <v>56867</v>
      </c>
      <c r="C18575" t="str">
        <f>"12260000"</f>
        <v>12260000</v>
      </c>
      <c r="D18575" t="s">
        <v>56868</v>
      </c>
      <c r="E18575" t="s">
        <v>56869</v>
      </c>
      <c r="F18575" t="s">
        <v>56870</v>
      </c>
      <c r="I18575" t="s">
        <v>29</v>
      </c>
      <c r="J18575" t="s">
        <v>30</v>
      </c>
      <c r="K18575" t="s">
        <v>31</v>
      </c>
      <c r="M18575" t="s">
        <v>50621</v>
      </c>
      <c r="N18575" t="str">
        <f>"3/3/2023 4:24:00 PM"</f>
        <v>3/3/2023 4:24:00 PM</v>
      </c>
      <c r="O18575" t="s">
        <v>56868</v>
      </c>
      <c r="T18575" t="s">
        <v>56869</v>
      </c>
    </row>
    <row r="18576" spans="1:20" x14ac:dyDescent="0.25">
      <c r="A18576" t="str">
        <f>"3045090"</f>
        <v>3045090</v>
      </c>
      <c r="B18576" t="s">
        <v>56871</v>
      </c>
      <c r="C18576" t="str">
        <f>"75060000"</f>
        <v>75060000</v>
      </c>
      <c r="D18576" t="s">
        <v>56864</v>
      </c>
      <c r="E18576" t="s">
        <v>56865</v>
      </c>
      <c r="F18576" t="s">
        <v>56866</v>
      </c>
      <c r="I18576" t="s">
        <v>1149</v>
      </c>
      <c r="J18576" t="s">
        <v>30</v>
      </c>
      <c r="K18576" t="s">
        <v>1150</v>
      </c>
      <c r="M18576" t="s">
        <v>50793</v>
      </c>
      <c r="N18576" t="str">
        <f>"2/23/2023 2:22:00 PM"</f>
        <v>2/23/2023 2:22:00 PM</v>
      </c>
      <c r="O18576" t="s">
        <v>56864</v>
      </c>
      <c r="T18576" t="s">
        <v>56865</v>
      </c>
    </row>
    <row r="18577" spans="1:20" x14ac:dyDescent="0.25">
      <c r="A18577" t="str">
        <f>"3045084"</f>
        <v>3045084</v>
      </c>
      <c r="B18577" t="s">
        <v>56872</v>
      </c>
      <c r="C18577" t="str">
        <f>"75060000"</f>
        <v>75060000</v>
      </c>
      <c r="D18577" t="s">
        <v>56864</v>
      </c>
      <c r="E18577" t="s">
        <v>56865</v>
      </c>
      <c r="F18577" t="s">
        <v>56866</v>
      </c>
      <c r="I18577" t="s">
        <v>1149</v>
      </c>
      <c r="J18577" t="s">
        <v>30</v>
      </c>
      <c r="K18577" t="s">
        <v>1150</v>
      </c>
      <c r="M18577" t="s">
        <v>50793</v>
      </c>
      <c r="N18577" t="str">
        <f>"2/23/2023 2:22:00 PM"</f>
        <v>2/23/2023 2:22:00 PM</v>
      </c>
      <c r="O18577" t="s">
        <v>56864</v>
      </c>
      <c r="T18577" t="s">
        <v>56865</v>
      </c>
    </row>
    <row r="18578" spans="1:20" x14ac:dyDescent="0.25">
      <c r="A18578" t="str">
        <f>"3048052"</f>
        <v>3048052</v>
      </c>
      <c r="B18578" t="s">
        <v>56873</v>
      </c>
      <c r="C18578" t="str">
        <f>"8307496"</f>
        <v>8307496</v>
      </c>
      <c r="D18578" t="s">
        <v>56874</v>
      </c>
      <c r="F18578" t="s">
        <v>56875</v>
      </c>
      <c r="I18578" t="s">
        <v>34070</v>
      </c>
      <c r="J18578" t="s">
        <v>30</v>
      </c>
      <c r="K18578" t="s">
        <v>56876</v>
      </c>
      <c r="M18578" t="s">
        <v>50621</v>
      </c>
      <c r="N18578" t="str">
        <f>"2/28/2023 2:06:00 PM"</f>
        <v>2/28/2023 2:06:00 PM</v>
      </c>
      <c r="O18578" t="s">
        <v>56874</v>
      </c>
    </row>
    <row r="18579" spans="1:20" x14ac:dyDescent="0.25">
      <c r="A18579" t="str">
        <f>"3051730"</f>
        <v>3051730</v>
      </c>
      <c r="B18579" t="s">
        <v>56877</v>
      </c>
      <c r="C18579" t="str">
        <f>"9313260"</f>
        <v>9313260</v>
      </c>
      <c r="D18579" t="s">
        <v>29152</v>
      </c>
      <c r="E18579" t="s">
        <v>56878</v>
      </c>
      <c r="F18579" t="s">
        <v>29153</v>
      </c>
      <c r="I18579" t="s">
        <v>49</v>
      </c>
      <c r="J18579" t="s">
        <v>30</v>
      </c>
      <c r="K18579" t="s">
        <v>56879</v>
      </c>
      <c r="M18579" t="s">
        <v>50621</v>
      </c>
      <c r="N18579" t="str">
        <f>"2/28/2023 4:02:00 PM"</f>
        <v>2/28/2023 4:02:00 PM</v>
      </c>
      <c r="O18579" t="s">
        <v>29152</v>
      </c>
      <c r="T18579" t="s">
        <v>56878</v>
      </c>
    </row>
    <row r="18580" spans="1:20" x14ac:dyDescent="0.25">
      <c r="A18580" t="str">
        <f>"3058344"</f>
        <v>3058344</v>
      </c>
      <c r="B18580" t="s">
        <v>56880</v>
      </c>
      <c r="C18580" t="str">
        <f>"8319803"</f>
        <v>8319803</v>
      </c>
      <c r="D18580" t="s">
        <v>56881</v>
      </c>
      <c r="E18580" t="s">
        <v>56882</v>
      </c>
      <c r="F18580" t="s">
        <v>56883</v>
      </c>
      <c r="I18580" t="s">
        <v>29</v>
      </c>
      <c r="J18580" t="s">
        <v>30</v>
      </c>
      <c r="K18580" t="s">
        <v>56884</v>
      </c>
      <c r="M18580" t="s">
        <v>17861</v>
      </c>
      <c r="N18580" t="str">
        <f>"3/6/2023 11:25:00 AM"</f>
        <v>3/6/2023 11:25:00 AM</v>
      </c>
      <c r="O18580" t="s">
        <v>56881</v>
      </c>
      <c r="T18580" t="s">
        <v>56882</v>
      </c>
    </row>
    <row r="18581" spans="1:20" x14ac:dyDescent="0.25">
      <c r="A18581" t="str">
        <f>"3058451"</f>
        <v>3058451</v>
      </c>
      <c r="B18581" t="s">
        <v>56885</v>
      </c>
      <c r="C18581" t="str">
        <f>"8319752"</f>
        <v>8319752</v>
      </c>
      <c r="D18581" t="s">
        <v>56886</v>
      </c>
      <c r="E18581" t="s">
        <v>56887</v>
      </c>
      <c r="F18581" t="s">
        <v>56888</v>
      </c>
      <c r="I18581" t="s">
        <v>17921</v>
      </c>
      <c r="J18581" t="s">
        <v>30</v>
      </c>
      <c r="K18581" t="str">
        <f>"27028"</f>
        <v>27028</v>
      </c>
      <c r="M18581" t="s">
        <v>17861</v>
      </c>
      <c r="N18581" t="str">
        <f>"2/28/2023 4:14:00 PM"</f>
        <v>2/28/2023 4:14:00 PM</v>
      </c>
      <c r="O18581" t="s">
        <v>56886</v>
      </c>
      <c r="T18581" t="s">
        <v>56887</v>
      </c>
    </row>
    <row r="18582" spans="1:20" x14ac:dyDescent="0.25">
      <c r="A18582" t="str">
        <f>"3044562"</f>
        <v>3044562</v>
      </c>
      <c r="B18582" t="s">
        <v>56889</v>
      </c>
      <c r="C18582" t="str">
        <f>"8319753"</f>
        <v>8319753</v>
      </c>
      <c r="D18582" t="s">
        <v>56890</v>
      </c>
      <c r="E18582" t="s">
        <v>56891</v>
      </c>
      <c r="F18582" t="s">
        <v>56892</v>
      </c>
      <c r="I18582" t="s">
        <v>184</v>
      </c>
      <c r="J18582" t="s">
        <v>30</v>
      </c>
      <c r="K18582" t="s">
        <v>5707</v>
      </c>
      <c r="M18582" t="s">
        <v>17861</v>
      </c>
      <c r="N18582" t="str">
        <f>"2/28/2023 4:17:00 PM"</f>
        <v>2/28/2023 4:17:00 PM</v>
      </c>
      <c r="O18582" t="s">
        <v>56890</v>
      </c>
      <c r="T18582" t="s">
        <v>56891</v>
      </c>
    </row>
    <row r="18583" spans="1:20" x14ac:dyDescent="0.25">
      <c r="A18583" t="str">
        <f>"3061155"</f>
        <v>3061155</v>
      </c>
      <c r="B18583" t="s">
        <v>56893</v>
      </c>
      <c r="C18583" t="str">
        <f>"8319756"</f>
        <v>8319756</v>
      </c>
      <c r="D18583" t="str">
        <f>"KURTZ JAMES H/BARBARA J REV TRUST"</f>
        <v>KURTZ JAMES H/BARBARA J REV TRUST</v>
      </c>
      <c r="F18583" t="s">
        <v>56894</v>
      </c>
      <c r="I18583" t="s">
        <v>2071</v>
      </c>
      <c r="J18583" t="s">
        <v>30</v>
      </c>
      <c r="K18583" t="s">
        <v>38104</v>
      </c>
      <c r="M18583" t="s">
        <v>17861</v>
      </c>
      <c r="N18583" t="str">
        <f>"3/1/2023 10:55:00 AM"</f>
        <v>3/1/2023 10:55:00 AM</v>
      </c>
      <c r="O18583" t="str">
        <f>"KURTZ JAMES H/BARBARA J REV TRUST"</f>
        <v>KURTZ JAMES H/BARBARA J REV TRUST</v>
      </c>
    </row>
    <row r="18584" spans="1:20" x14ac:dyDescent="0.25">
      <c r="A18584" t="str">
        <f>"3049965"</f>
        <v>3049965</v>
      </c>
      <c r="B18584" t="s">
        <v>56895</v>
      </c>
      <c r="C18584" t="str">
        <f>"4016000"</f>
        <v>4016000</v>
      </c>
      <c r="D18584" t="s">
        <v>56896</v>
      </c>
      <c r="E18584" t="s">
        <v>56897</v>
      </c>
      <c r="F18584" t="s">
        <v>56898</v>
      </c>
      <c r="I18584" t="s">
        <v>29</v>
      </c>
      <c r="J18584" t="s">
        <v>30</v>
      </c>
      <c r="K18584" t="s">
        <v>31</v>
      </c>
      <c r="M18584" t="s">
        <v>50621</v>
      </c>
      <c r="N18584" t="str">
        <f>"3/6/2023 11:30:00 AM"</f>
        <v>3/6/2023 11:30:00 AM</v>
      </c>
      <c r="O18584" t="s">
        <v>56896</v>
      </c>
      <c r="T18584" t="s">
        <v>56897</v>
      </c>
    </row>
    <row r="18585" spans="1:20" x14ac:dyDescent="0.25">
      <c r="A18585" t="str">
        <f>"3049472"</f>
        <v>3049472</v>
      </c>
      <c r="B18585" t="s">
        <v>56899</v>
      </c>
      <c r="C18585" t="str">
        <f>"4016000"</f>
        <v>4016000</v>
      </c>
      <c r="D18585" t="s">
        <v>56896</v>
      </c>
      <c r="E18585" t="s">
        <v>56897</v>
      </c>
      <c r="F18585" t="s">
        <v>56898</v>
      </c>
      <c r="I18585" t="s">
        <v>29</v>
      </c>
      <c r="J18585" t="s">
        <v>30</v>
      </c>
      <c r="K18585" t="s">
        <v>31</v>
      </c>
      <c r="M18585" t="s">
        <v>50621</v>
      </c>
      <c r="N18585" t="str">
        <f>"3/6/2023 11:30:00 AM"</f>
        <v>3/6/2023 11:30:00 AM</v>
      </c>
      <c r="O18585" t="s">
        <v>56896</v>
      </c>
      <c r="T18585" t="s">
        <v>56897</v>
      </c>
    </row>
    <row r="18586" spans="1:20" x14ac:dyDescent="0.25">
      <c r="A18586" t="str">
        <f>"3049668"</f>
        <v>3049668</v>
      </c>
      <c r="B18586" t="s">
        <v>56900</v>
      </c>
      <c r="C18586" t="str">
        <f>"4016000"</f>
        <v>4016000</v>
      </c>
      <c r="D18586" t="s">
        <v>56896</v>
      </c>
      <c r="E18586" t="s">
        <v>56897</v>
      </c>
      <c r="F18586" t="s">
        <v>56898</v>
      </c>
      <c r="I18586" t="s">
        <v>29</v>
      </c>
      <c r="J18586" t="s">
        <v>30</v>
      </c>
      <c r="K18586" t="s">
        <v>31</v>
      </c>
      <c r="M18586" t="s">
        <v>50621</v>
      </c>
      <c r="N18586" t="str">
        <f>"3/6/2023 11:30:00 AM"</f>
        <v>3/6/2023 11:30:00 AM</v>
      </c>
      <c r="O18586" t="s">
        <v>56896</v>
      </c>
      <c r="T18586" t="s">
        <v>56897</v>
      </c>
    </row>
    <row r="18587" spans="1:20" x14ac:dyDescent="0.25">
      <c r="A18587" t="str">
        <f>"3046899"</f>
        <v>3046899</v>
      </c>
      <c r="B18587" t="s">
        <v>56901</v>
      </c>
      <c r="C18587" t="str">
        <f>"82523551"</f>
        <v>82523551</v>
      </c>
      <c r="D18587" t="s">
        <v>56902</v>
      </c>
      <c r="F18587" t="s">
        <v>56903</v>
      </c>
      <c r="I18587" t="s">
        <v>29</v>
      </c>
      <c r="J18587" t="s">
        <v>30</v>
      </c>
      <c r="K18587" t="s">
        <v>31</v>
      </c>
      <c r="M18587" t="s">
        <v>50621</v>
      </c>
      <c r="N18587" t="str">
        <f>"3/6/2023 11:31:00 AM"</f>
        <v>3/6/2023 11:31:00 AM</v>
      </c>
      <c r="O18587" t="s">
        <v>56902</v>
      </c>
    </row>
    <row r="18588" spans="1:20" x14ac:dyDescent="0.25">
      <c r="A18588" t="str">
        <f>"3057346"</f>
        <v>3057346</v>
      </c>
      <c r="B18588" t="s">
        <v>56904</v>
      </c>
      <c r="C18588" t="str">
        <f>"82512978"</f>
        <v>82512978</v>
      </c>
      <c r="D18588" t="s">
        <v>56905</v>
      </c>
      <c r="E18588" t="s">
        <v>56906</v>
      </c>
      <c r="F18588" t="s">
        <v>56907</v>
      </c>
      <c r="I18588" t="s">
        <v>29</v>
      </c>
      <c r="J18588" t="s">
        <v>30</v>
      </c>
      <c r="K18588" t="s">
        <v>56908</v>
      </c>
      <c r="M18588" t="s">
        <v>50621</v>
      </c>
      <c r="N18588" t="str">
        <f>"3/6/2023 11:35:00 AM"</f>
        <v>3/6/2023 11:35:00 AM</v>
      </c>
      <c r="O18588" t="s">
        <v>56905</v>
      </c>
      <c r="T18588" t="s">
        <v>56906</v>
      </c>
    </row>
    <row r="18589" spans="1:20" x14ac:dyDescent="0.25">
      <c r="A18589" t="str">
        <f>"3058321"</f>
        <v>3058321</v>
      </c>
      <c r="B18589" t="s">
        <v>56909</v>
      </c>
      <c r="C18589" t="str">
        <f>"82512978"</f>
        <v>82512978</v>
      </c>
      <c r="D18589" t="s">
        <v>56905</v>
      </c>
      <c r="E18589" t="s">
        <v>56906</v>
      </c>
      <c r="F18589" t="s">
        <v>56907</v>
      </c>
      <c r="I18589" t="s">
        <v>29</v>
      </c>
      <c r="J18589" t="s">
        <v>30</v>
      </c>
      <c r="K18589" t="s">
        <v>56908</v>
      </c>
      <c r="M18589" t="s">
        <v>50621</v>
      </c>
      <c r="N18589" t="str">
        <f>"3/6/2023 11:35:00 AM"</f>
        <v>3/6/2023 11:35:00 AM</v>
      </c>
      <c r="O18589" t="s">
        <v>56905</v>
      </c>
      <c r="T18589" t="s">
        <v>56906</v>
      </c>
    </row>
    <row r="18590" spans="1:20" x14ac:dyDescent="0.25">
      <c r="A18590" t="str">
        <f>"3047202"</f>
        <v>3047202</v>
      </c>
      <c r="B18590" t="s">
        <v>56910</v>
      </c>
      <c r="C18590" t="str">
        <f>"8319763"</f>
        <v>8319763</v>
      </c>
      <c r="D18590" t="s">
        <v>56911</v>
      </c>
      <c r="E18590" t="s">
        <v>56912</v>
      </c>
      <c r="F18590" t="s">
        <v>56913</v>
      </c>
      <c r="I18590" t="s">
        <v>184</v>
      </c>
      <c r="J18590" t="s">
        <v>30</v>
      </c>
      <c r="K18590" t="s">
        <v>33956</v>
      </c>
      <c r="M18590" t="s">
        <v>17861</v>
      </c>
      <c r="N18590" t="str">
        <f>"3/1/2023 2:57:00 PM"</f>
        <v>3/1/2023 2:57:00 PM</v>
      </c>
      <c r="O18590" t="s">
        <v>56911</v>
      </c>
      <c r="T18590" t="s">
        <v>56912</v>
      </c>
    </row>
    <row r="18591" spans="1:20" x14ac:dyDescent="0.25">
      <c r="A18591" t="str">
        <f>"3054620"</f>
        <v>3054620</v>
      </c>
      <c r="B18591" t="s">
        <v>56914</v>
      </c>
      <c r="C18591" t="str">
        <f>"10754000"</f>
        <v>10754000</v>
      </c>
      <c r="D18591" t="s">
        <v>56788</v>
      </c>
      <c r="E18591" t="s">
        <v>56789</v>
      </c>
      <c r="F18591" t="s">
        <v>56790</v>
      </c>
      <c r="I18591" t="s">
        <v>9580</v>
      </c>
      <c r="J18591" t="s">
        <v>30</v>
      </c>
      <c r="K18591" t="s">
        <v>9581</v>
      </c>
      <c r="M18591" t="s">
        <v>50621</v>
      </c>
      <c r="N18591" t="str">
        <f>"3/1/2023 3:22:00 PM"</f>
        <v>3/1/2023 3:22:00 PM</v>
      </c>
      <c r="O18591" t="s">
        <v>56788</v>
      </c>
      <c r="T18591" t="s">
        <v>56789</v>
      </c>
    </row>
    <row r="18592" spans="1:20" x14ac:dyDescent="0.25">
      <c r="A18592" t="str">
        <f>"3076892"</f>
        <v>3076892</v>
      </c>
      <c r="B18592" t="s">
        <v>56915</v>
      </c>
      <c r="C18592" t="str">
        <f>"54330650"</f>
        <v>54330650</v>
      </c>
      <c r="D18592" t="s">
        <v>56916</v>
      </c>
      <c r="F18592" t="str">
        <f>"C/O ROBERT CAUDLE"</f>
        <v>C/O ROBERT CAUDLE</v>
      </c>
      <c r="G18592" t="s">
        <v>56917</v>
      </c>
      <c r="I18592" t="s">
        <v>29</v>
      </c>
      <c r="J18592" t="s">
        <v>30</v>
      </c>
      <c r="K18592" t="s">
        <v>2862</v>
      </c>
      <c r="M18592" t="s">
        <v>17861</v>
      </c>
      <c r="N18592" t="str">
        <f>"2/27/2023 10:03:00 AM"</f>
        <v>2/27/2023 10:03:00 AM</v>
      </c>
      <c r="O18592" t="s">
        <v>56916</v>
      </c>
    </row>
    <row r="18593" spans="1:20" x14ac:dyDescent="0.25">
      <c r="A18593" t="str">
        <f>"3056262"</f>
        <v>3056262</v>
      </c>
      <c r="B18593" t="s">
        <v>56918</v>
      </c>
      <c r="C18593" t="str">
        <f>"8319745"</f>
        <v>8319745</v>
      </c>
      <c r="D18593" t="s">
        <v>56919</v>
      </c>
      <c r="E18593" t="s">
        <v>28582</v>
      </c>
      <c r="F18593" t="s">
        <v>56920</v>
      </c>
      <c r="I18593" t="s">
        <v>29</v>
      </c>
      <c r="J18593" t="s">
        <v>30</v>
      </c>
      <c r="K18593" t="s">
        <v>44624</v>
      </c>
      <c r="M18593" t="s">
        <v>17861</v>
      </c>
      <c r="N18593" t="str">
        <f>"2/27/2023 11:12:00 AM"</f>
        <v>2/27/2023 11:12:00 AM</v>
      </c>
      <c r="O18593" t="s">
        <v>56919</v>
      </c>
      <c r="T18593" t="s">
        <v>28582</v>
      </c>
    </row>
    <row r="18594" spans="1:20" x14ac:dyDescent="0.25">
      <c r="A18594" t="str">
        <f>"3061210"</f>
        <v>3061210</v>
      </c>
      <c r="B18594" t="s">
        <v>56921</v>
      </c>
      <c r="C18594" t="str">
        <f>"8318649"</f>
        <v>8318649</v>
      </c>
      <c r="D18594" t="s">
        <v>56922</v>
      </c>
      <c r="F18594" t="s">
        <v>56923</v>
      </c>
      <c r="I18594" t="s">
        <v>2071</v>
      </c>
      <c r="J18594" t="s">
        <v>30</v>
      </c>
      <c r="K18594" t="str">
        <f>"27006"</f>
        <v>27006</v>
      </c>
      <c r="M18594" t="s">
        <v>18470</v>
      </c>
      <c r="N18594" t="str">
        <f>"3/2/2023 2:58:00 PM"</f>
        <v>3/2/2023 2:58:00 PM</v>
      </c>
      <c r="O18594" t="s">
        <v>56922</v>
      </c>
    </row>
    <row r="18595" spans="1:20" x14ac:dyDescent="0.25">
      <c r="A18595" t="str">
        <f>"3054339"</f>
        <v>3054339</v>
      </c>
      <c r="B18595" t="s">
        <v>56924</v>
      </c>
      <c r="C18595" t="str">
        <f>"7422500"</f>
        <v>7422500</v>
      </c>
      <c r="D18595" t="s">
        <v>56925</v>
      </c>
      <c r="E18595" t="s">
        <v>56926</v>
      </c>
      <c r="F18595" t="s">
        <v>24809</v>
      </c>
      <c r="I18595" t="s">
        <v>9580</v>
      </c>
      <c r="J18595" t="s">
        <v>30</v>
      </c>
      <c r="K18595" t="s">
        <v>56927</v>
      </c>
      <c r="M18595" t="s">
        <v>50621</v>
      </c>
      <c r="N18595" t="str">
        <f>"3/6/2023 11:49:00 AM"</f>
        <v>3/6/2023 11:49:00 AM</v>
      </c>
      <c r="O18595" t="s">
        <v>56925</v>
      </c>
      <c r="T18595" t="s">
        <v>56926</v>
      </c>
    </row>
    <row r="18596" spans="1:20" x14ac:dyDescent="0.25">
      <c r="A18596" t="str">
        <f>"3043728"</f>
        <v>3043728</v>
      </c>
      <c r="B18596" t="s">
        <v>56928</v>
      </c>
      <c r="C18596" t="str">
        <f>"82525516"</f>
        <v>82525516</v>
      </c>
      <c r="D18596" t="s">
        <v>56929</v>
      </c>
      <c r="F18596" t="s">
        <v>56930</v>
      </c>
      <c r="I18596" t="s">
        <v>29</v>
      </c>
      <c r="J18596" t="s">
        <v>30</v>
      </c>
      <c r="K18596" t="s">
        <v>56931</v>
      </c>
      <c r="M18596" t="s">
        <v>50621</v>
      </c>
      <c r="N18596" t="str">
        <f>"3/6/2023 11:51:00 AM"</f>
        <v>3/6/2023 11:51:00 AM</v>
      </c>
      <c r="O18596" t="s">
        <v>56929</v>
      </c>
    </row>
    <row r="18597" spans="1:20" x14ac:dyDescent="0.25">
      <c r="A18597" t="str">
        <f>"3061819"</f>
        <v>3061819</v>
      </c>
      <c r="B18597" t="s">
        <v>56932</v>
      </c>
      <c r="C18597" t="str">
        <f>"8318360"</f>
        <v>8318360</v>
      </c>
      <c r="D18597" t="s">
        <v>56933</v>
      </c>
      <c r="F18597" t="s">
        <v>56934</v>
      </c>
      <c r="I18597" t="s">
        <v>29</v>
      </c>
      <c r="J18597" t="s">
        <v>30</v>
      </c>
      <c r="K18597" t="str">
        <f>"27028"</f>
        <v>27028</v>
      </c>
      <c r="M18597" t="s">
        <v>18470</v>
      </c>
      <c r="N18597" t="str">
        <f>"3/2/2023 3:48:00 PM"</f>
        <v>3/2/2023 3:48:00 PM</v>
      </c>
      <c r="O18597" t="s">
        <v>56933</v>
      </c>
    </row>
    <row r="18598" spans="1:20" x14ac:dyDescent="0.25">
      <c r="A18598" t="str">
        <f>"3066621"</f>
        <v>3066621</v>
      </c>
      <c r="B18598" t="s">
        <v>56935</v>
      </c>
      <c r="C18598" t="str">
        <f>"8305891"</f>
        <v>8305891</v>
      </c>
      <c r="D18598" t="s">
        <v>56936</v>
      </c>
      <c r="E18598" t="s">
        <v>56937</v>
      </c>
      <c r="F18598" t="s">
        <v>56938</v>
      </c>
      <c r="I18598" t="s">
        <v>17921</v>
      </c>
      <c r="J18598" t="s">
        <v>30</v>
      </c>
      <c r="K18598" t="str">
        <f>"27028"</f>
        <v>27028</v>
      </c>
      <c r="M18598" t="s">
        <v>18470</v>
      </c>
      <c r="N18598" t="str">
        <f>"3/2/2023 3:54:00 PM"</f>
        <v>3/2/2023 3:54:00 PM</v>
      </c>
      <c r="O18598" t="s">
        <v>56936</v>
      </c>
      <c r="T18598" t="s">
        <v>56937</v>
      </c>
    </row>
    <row r="18599" spans="1:20" x14ac:dyDescent="0.25">
      <c r="A18599" t="str">
        <f>"3056604"</f>
        <v>3056604</v>
      </c>
      <c r="B18599" t="s">
        <v>56939</v>
      </c>
      <c r="C18599" t="str">
        <f>"8309270"</f>
        <v>8309270</v>
      </c>
      <c r="D18599" t="s">
        <v>56940</v>
      </c>
      <c r="F18599" t="s">
        <v>56941</v>
      </c>
      <c r="I18599" t="s">
        <v>29</v>
      </c>
      <c r="J18599" t="s">
        <v>30</v>
      </c>
      <c r="K18599" t="s">
        <v>56942</v>
      </c>
      <c r="M18599" t="s">
        <v>50621</v>
      </c>
      <c r="N18599" t="str">
        <f>"3/3/2023 10:43:00 AM"</f>
        <v>3/3/2023 10:43:00 AM</v>
      </c>
      <c r="O18599" t="s">
        <v>56940</v>
      </c>
    </row>
    <row r="18600" spans="1:20" x14ac:dyDescent="0.25">
      <c r="A18600" t="str">
        <f>"3059307"</f>
        <v>3059307</v>
      </c>
      <c r="B18600" t="s">
        <v>56943</v>
      </c>
      <c r="C18600" t="str">
        <f>"82532856"</f>
        <v>82532856</v>
      </c>
      <c r="D18600" t="s">
        <v>56944</v>
      </c>
      <c r="F18600" t="s">
        <v>56945</v>
      </c>
      <c r="I18600" t="s">
        <v>29</v>
      </c>
      <c r="J18600" t="s">
        <v>30</v>
      </c>
      <c r="K18600" t="s">
        <v>31</v>
      </c>
      <c r="M18600" t="s">
        <v>50621</v>
      </c>
      <c r="N18600" t="str">
        <f>"3/6/2023 12:08:00 PM"</f>
        <v>3/6/2023 12:08:00 PM</v>
      </c>
      <c r="O18600" t="s">
        <v>56944</v>
      </c>
    </row>
    <row r="18601" spans="1:20" x14ac:dyDescent="0.25">
      <c r="A18601" t="str">
        <f>"3056605"</f>
        <v>3056605</v>
      </c>
      <c r="B18601" t="s">
        <v>56946</v>
      </c>
      <c r="C18601" t="str">
        <f>"8309270"</f>
        <v>8309270</v>
      </c>
      <c r="D18601" t="s">
        <v>56940</v>
      </c>
      <c r="F18601" t="s">
        <v>56941</v>
      </c>
      <c r="I18601" t="s">
        <v>29</v>
      </c>
      <c r="J18601" t="s">
        <v>30</v>
      </c>
      <c r="K18601" t="s">
        <v>56942</v>
      </c>
      <c r="M18601" t="s">
        <v>50621</v>
      </c>
      <c r="N18601" t="str">
        <f>"3/3/2023 10:43:00 AM"</f>
        <v>3/3/2023 10:43:00 AM</v>
      </c>
      <c r="O18601" t="s">
        <v>56940</v>
      </c>
    </row>
    <row r="18602" spans="1:20" x14ac:dyDescent="0.25">
      <c r="A18602" t="str">
        <f>"3060448"</f>
        <v>3060448</v>
      </c>
      <c r="B18602" t="s">
        <v>56947</v>
      </c>
      <c r="C18602" t="str">
        <f>"8309807"</f>
        <v>8309807</v>
      </c>
      <c r="D18602" t="s">
        <v>56948</v>
      </c>
      <c r="F18602" t="s">
        <v>56949</v>
      </c>
      <c r="I18602" t="s">
        <v>184</v>
      </c>
      <c r="J18602" t="s">
        <v>30</v>
      </c>
      <c r="K18602" t="s">
        <v>9158</v>
      </c>
      <c r="M18602" t="s">
        <v>50621</v>
      </c>
      <c r="N18602" t="str">
        <f>"3/3/2023 12:59:00 PM"</f>
        <v>3/3/2023 12:59:00 PM</v>
      </c>
      <c r="O18602" t="s">
        <v>56948</v>
      </c>
    </row>
    <row r="18603" spans="1:20" x14ac:dyDescent="0.25">
      <c r="A18603" t="str">
        <f>"3055877"</f>
        <v>3055877</v>
      </c>
      <c r="B18603" t="s">
        <v>56950</v>
      </c>
      <c r="C18603" t="str">
        <f>"8318583"</f>
        <v>8318583</v>
      </c>
      <c r="D18603" t="s">
        <v>56951</v>
      </c>
      <c r="F18603" t="s">
        <v>46185</v>
      </c>
      <c r="I18603" t="s">
        <v>964</v>
      </c>
      <c r="J18603" t="s">
        <v>30</v>
      </c>
      <c r="K18603" t="s">
        <v>46186</v>
      </c>
      <c r="M18603" t="s">
        <v>17861</v>
      </c>
      <c r="N18603" t="str">
        <f>"3/3/2023 1:03:00 PM"</f>
        <v>3/3/2023 1:03:00 PM</v>
      </c>
      <c r="O18603" t="s">
        <v>56951</v>
      </c>
    </row>
    <row r="18604" spans="1:20" x14ac:dyDescent="0.25">
      <c r="A18604" t="str">
        <f>"3043464"</f>
        <v>3043464</v>
      </c>
      <c r="B18604" t="s">
        <v>56952</v>
      </c>
      <c r="C18604" t="str">
        <f>"8303974"</f>
        <v>8303974</v>
      </c>
      <c r="D18604" t="s">
        <v>56953</v>
      </c>
      <c r="E18604" t="s">
        <v>56954</v>
      </c>
      <c r="F18604" t="s">
        <v>26437</v>
      </c>
      <c r="I18604" t="s">
        <v>29</v>
      </c>
      <c r="J18604" t="s">
        <v>30</v>
      </c>
      <c r="K18604" t="str">
        <f>"27028"</f>
        <v>27028</v>
      </c>
      <c r="M18604" t="s">
        <v>17861</v>
      </c>
      <c r="N18604" t="str">
        <f>"3/3/2023 1:04:00 PM"</f>
        <v>3/3/2023 1:04:00 PM</v>
      </c>
      <c r="O18604" t="s">
        <v>56953</v>
      </c>
      <c r="T18604" t="s">
        <v>56954</v>
      </c>
    </row>
    <row r="18605" spans="1:20" x14ac:dyDescent="0.25">
      <c r="A18605" t="str">
        <f>"3056521"</f>
        <v>3056521</v>
      </c>
      <c r="B18605" t="s">
        <v>56955</v>
      </c>
      <c r="C18605" t="str">
        <f>"8317226"</f>
        <v>8317226</v>
      </c>
      <c r="D18605" t="s">
        <v>56956</v>
      </c>
      <c r="E18605" t="s">
        <v>56957</v>
      </c>
      <c r="F18605" t="s">
        <v>56958</v>
      </c>
      <c r="I18605" t="s">
        <v>29</v>
      </c>
      <c r="J18605" t="s">
        <v>30</v>
      </c>
      <c r="K18605" t="s">
        <v>16534</v>
      </c>
      <c r="M18605" t="s">
        <v>17861</v>
      </c>
      <c r="N18605" t="str">
        <f>"3/3/2023 1:07:00 PM"</f>
        <v>3/3/2023 1:07:00 PM</v>
      </c>
      <c r="O18605" t="s">
        <v>56956</v>
      </c>
      <c r="T18605" t="s">
        <v>56957</v>
      </c>
    </row>
    <row r="18606" spans="1:20" x14ac:dyDescent="0.25">
      <c r="A18606" t="str">
        <f>"3043904"</f>
        <v>3043904</v>
      </c>
      <c r="B18606" t="s">
        <v>56959</v>
      </c>
      <c r="C18606" t="str">
        <f>"12260000"</f>
        <v>12260000</v>
      </c>
      <c r="D18606" t="s">
        <v>56868</v>
      </c>
      <c r="E18606" t="s">
        <v>56869</v>
      </c>
      <c r="F18606" t="s">
        <v>56870</v>
      </c>
      <c r="I18606" t="s">
        <v>29</v>
      </c>
      <c r="J18606" t="s">
        <v>30</v>
      </c>
      <c r="K18606" t="s">
        <v>31</v>
      </c>
      <c r="M18606" t="s">
        <v>50621</v>
      </c>
      <c r="N18606" t="str">
        <f>"3/3/2023 4:24:00 PM"</f>
        <v>3/3/2023 4:24:00 PM</v>
      </c>
      <c r="O18606" t="s">
        <v>56868</v>
      </c>
      <c r="T18606" t="s">
        <v>56869</v>
      </c>
    </row>
    <row r="18607" spans="1:20" x14ac:dyDescent="0.25">
      <c r="A18607" t="str">
        <f>"3061218"</f>
        <v>3061218</v>
      </c>
      <c r="B18607" t="s">
        <v>56960</v>
      </c>
      <c r="C18607" t="str">
        <f>"82526338"</f>
        <v>82526338</v>
      </c>
      <c r="D18607" t="s">
        <v>56961</v>
      </c>
      <c r="F18607" t="s">
        <v>56962</v>
      </c>
      <c r="I18607" t="s">
        <v>3580</v>
      </c>
      <c r="J18607" t="s">
        <v>30</v>
      </c>
      <c r="K18607" t="s">
        <v>1210</v>
      </c>
      <c r="M18607" t="s">
        <v>18470</v>
      </c>
      <c r="N18607" t="str">
        <f>"3/6/2023 10:34:00 AM"</f>
        <v>3/6/2023 10:34:00 AM</v>
      </c>
      <c r="O18607" t="s">
        <v>56961</v>
      </c>
    </row>
    <row r="18608" spans="1:20" x14ac:dyDescent="0.25">
      <c r="A18608" t="str">
        <f>"3043882"</f>
        <v>3043882</v>
      </c>
      <c r="B18608" t="s">
        <v>56963</v>
      </c>
      <c r="C18608" t="str">
        <f>"8306931"</f>
        <v>8306931</v>
      </c>
      <c r="D18608" t="s">
        <v>49628</v>
      </c>
      <c r="F18608" t="s">
        <v>12514</v>
      </c>
      <c r="I18608" t="s">
        <v>184</v>
      </c>
      <c r="J18608" t="s">
        <v>30</v>
      </c>
      <c r="K18608" t="str">
        <f>"27006"</f>
        <v>27006</v>
      </c>
      <c r="M18608" t="s">
        <v>50621</v>
      </c>
      <c r="N18608" t="str">
        <f>"3/6/2023 11:13:00 AM"</f>
        <v>3/6/2023 11:13:00 AM</v>
      </c>
      <c r="O18608" t="s">
        <v>49628</v>
      </c>
    </row>
    <row r="18609" spans="1:20" x14ac:dyDescent="0.25">
      <c r="A18609" t="str">
        <f>"3060922"</f>
        <v>3060922</v>
      </c>
      <c r="B18609" t="s">
        <v>56964</v>
      </c>
      <c r="C18609" t="str">
        <f>"8304038"</f>
        <v>8304038</v>
      </c>
      <c r="D18609" t="s">
        <v>56965</v>
      </c>
      <c r="E18609" t="s">
        <v>56966</v>
      </c>
      <c r="F18609" t="s">
        <v>56967</v>
      </c>
      <c r="I18609" t="s">
        <v>2071</v>
      </c>
      <c r="J18609" t="s">
        <v>30</v>
      </c>
      <c r="K18609" t="str">
        <f>"27006"</f>
        <v>27006</v>
      </c>
      <c r="M18609" t="s">
        <v>50621</v>
      </c>
      <c r="N18609" t="str">
        <f>"3/6/2023 11:14:00 AM"</f>
        <v>3/6/2023 11:14:00 AM</v>
      </c>
      <c r="O18609" t="s">
        <v>56965</v>
      </c>
      <c r="T18609" t="s">
        <v>56966</v>
      </c>
    </row>
    <row r="18610" spans="1:20" x14ac:dyDescent="0.25">
      <c r="A18610" t="str">
        <f>"3043670"</f>
        <v>3043670</v>
      </c>
      <c r="B18610" t="s">
        <v>56968</v>
      </c>
      <c r="C18610" t="str">
        <f>"82524606"</f>
        <v>82524606</v>
      </c>
      <c r="D18610" t="s">
        <v>56969</v>
      </c>
      <c r="E18610" t="s">
        <v>56970</v>
      </c>
      <c r="F18610" t="s">
        <v>56971</v>
      </c>
      <c r="I18610" t="s">
        <v>29</v>
      </c>
      <c r="J18610" t="s">
        <v>30</v>
      </c>
      <c r="K18610" t="s">
        <v>31</v>
      </c>
      <c r="M18610" t="s">
        <v>50621</v>
      </c>
      <c r="N18610" t="str">
        <f>"3/6/2023 11:16:00 AM"</f>
        <v>3/6/2023 11:16:00 AM</v>
      </c>
      <c r="O18610" t="s">
        <v>56969</v>
      </c>
      <c r="T18610" t="s">
        <v>56970</v>
      </c>
    </row>
    <row r="18611" spans="1:20" x14ac:dyDescent="0.25">
      <c r="A18611" t="str">
        <f>"3052441"</f>
        <v>3052441</v>
      </c>
      <c r="B18611" t="s">
        <v>56972</v>
      </c>
      <c r="C18611" t="str">
        <f>"8304913"</f>
        <v>8304913</v>
      </c>
      <c r="D18611" t="s">
        <v>56973</v>
      </c>
      <c r="E18611" t="s">
        <v>56166</v>
      </c>
      <c r="F18611" t="s">
        <v>56974</v>
      </c>
      <c r="I18611" t="s">
        <v>29</v>
      </c>
      <c r="J18611" t="s">
        <v>30</v>
      </c>
      <c r="K18611" t="str">
        <f>"27028"</f>
        <v>27028</v>
      </c>
      <c r="M18611" t="s">
        <v>50621</v>
      </c>
      <c r="N18611" t="str">
        <f>"3/6/2023 12:25:00 PM"</f>
        <v>3/6/2023 12:25:00 PM</v>
      </c>
      <c r="O18611" t="s">
        <v>56973</v>
      </c>
      <c r="T18611" t="s">
        <v>56166</v>
      </c>
    </row>
    <row r="18612" spans="1:20" x14ac:dyDescent="0.25">
      <c r="A18612" t="str">
        <f>"3046962"</f>
        <v>3046962</v>
      </c>
      <c r="B18612" t="s">
        <v>56975</v>
      </c>
      <c r="C18612" t="str">
        <f>"82529110"</f>
        <v>82529110</v>
      </c>
      <c r="D18612" t="s">
        <v>56976</v>
      </c>
      <c r="E18612" t="s">
        <v>56977</v>
      </c>
      <c r="F18612" t="s">
        <v>56978</v>
      </c>
      <c r="I18612" t="s">
        <v>29</v>
      </c>
      <c r="J18612" t="s">
        <v>30</v>
      </c>
      <c r="K18612" t="s">
        <v>51547</v>
      </c>
      <c r="M18612" t="s">
        <v>50621</v>
      </c>
      <c r="N18612" t="str">
        <f>"3/6/2023 12:29:00 PM"</f>
        <v>3/6/2023 12:29:00 PM</v>
      </c>
      <c r="O18612" t="s">
        <v>56976</v>
      </c>
      <c r="T18612" t="s">
        <v>56977</v>
      </c>
    </row>
    <row r="18613" spans="1:20" x14ac:dyDescent="0.25">
      <c r="A18613" t="str">
        <f>"3039636"</f>
        <v>3039636</v>
      </c>
      <c r="B18613" t="s">
        <v>56979</v>
      </c>
      <c r="C18613" t="str">
        <f>"16491000"</f>
        <v>16491000</v>
      </c>
      <c r="D18613" t="s">
        <v>56980</v>
      </c>
      <c r="E18613" t="s">
        <v>56981</v>
      </c>
      <c r="F18613" t="s">
        <v>56982</v>
      </c>
      <c r="I18613" t="s">
        <v>184</v>
      </c>
      <c r="J18613" t="s">
        <v>30</v>
      </c>
      <c r="K18613" t="s">
        <v>56983</v>
      </c>
      <c r="M18613" t="s">
        <v>50621</v>
      </c>
      <c r="N18613" t="str">
        <f>"3/6/2023 12:29:00 PM"</f>
        <v>3/6/2023 12:29:00 PM</v>
      </c>
      <c r="O18613" t="s">
        <v>56980</v>
      </c>
      <c r="T18613" t="s">
        <v>56981</v>
      </c>
    </row>
    <row r="18614" spans="1:20" x14ac:dyDescent="0.25">
      <c r="A18614" t="str">
        <f>"3052487"</f>
        <v>3052487</v>
      </c>
      <c r="B18614" t="s">
        <v>56984</v>
      </c>
      <c r="C18614" t="str">
        <f>"16491000"</f>
        <v>16491000</v>
      </c>
      <c r="D18614" t="s">
        <v>56980</v>
      </c>
      <c r="E18614" t="s">
        <v>56981</v>
      </c>
      <c r="F18614" t="s">
        <v>56982</v>
      </c>
      <c r="I18614" t="s">
        <v>184</v>
      </c>
      <c r="J18614" t="s">
        <v>30</v>
      </c>
      <c r="K18614" t="s">
        <v>56983</v>
      </c>
      <c r="M18614" t="s">
        <v>50621</v>
      </c>
      <c r="N18614" t="str">
        <f>"3/6/2023 12:29:00 PM"</f>
        <v>3/6/2023 12:29:00 PM</v>
      </c>
      <c r="O18614" t="s">
        <v>56980</v>
      </c>
      <c r="T18614" t="s">
        <v>56981</v>
      </c>
    </row>
    <row r="18615" spans="1:20" x14ac:dyDescent="0.25">
      <c r="A18615" t="str">
        <f>"3076481"</f>
        <v>3076481</v>
      </c>
      <c r="B18615" t="s">
        <v>56985</v>
      </c>
      <c r="C18615" t="str">
        <f>"16491000"</f>
        <v>16491000</v>
      </c>
      <c r="D18615" t="s">
        <v>56980</v>
      </c>
      <c r="E18615" t="s">
        <v>56981</v>
      </c>
      <c r="F18615" t="s">
        <v>56982</v>
      </c>
      <c r="I18615" t="s">
        <v>184</v>
      </c>
      <c r="J18615" t="s">
        <v>30</v>
      </c>
      <c r="K18615" t="s">
        <v>56983</v>
      </c>
      <c r="M18615" t="s">
        <v>50621</v>
      </c>
      <c r="N18615" t="str">
        <f>"3/6/2023 12:29:00 PM"</f>
        <v>3/6/2023 12:29:00 PM</v>
      </c>
      <c r="O18615" t="s">
        <v>56980</v>
      </c>
      <c r="T18615" t="s">
        <v>56981</v>
      </c>
    </row>
    <row r="18616" spans="1:20" x14ac:dyDescent="0.25">
      <c r="A18616" t="str">
        <f>"3078160"</f>
        <v>3078160</v>
      </c>
      <c r="B18616" t="s">
        <v>56986</v>
      </c>
      <c r="C18616" t="str">
        <f>"82516560"</f>
        <v>82516560</v>
      </c>
      <c r="D18616" t="s">
        <v>56987</v>
      </c>
      <c r="E18616" t="s">
        <v>56988</v>
      </c>
      <c r="F18616" t="s">
        <v>56989</v>
      </c>
      <c r="I18616" t="s">
        <v>29</v>
      </c>
      <c r="J18616" t="s">
        <v>30</v>
      </c>
      <c r="K18616" t="s">
        <v>31</v>
      </c>
      <c r="M18616" t="s">
        <v>50621</v>
      </c>
      <c r="N18616" t="str">
        <f>"3/6/2023 12:31:00 PM"</f>
        <v>3/6/2023 12:31:00 PM</v>
      </c>
      <c r="O18616" t="s">
        <v>56987</v>
      </c>
      <c r="T18616" t="s">
        <v>56988</v>
      </c>
    </row>
    <row r="18617" spans="1:20" x14ac:dyDescent="0.25">
      <c r="A18617" t="str">
        <f>"3066615"</f>
        <v>3066615</v>
      </c>
      <c r="B18617" t="s">
        <v>56990</v>
      </c>
      <c r="C18617" t="str">
        <f>"82516560"</f>
        <v>82516560</v>
      </c>
      <c r="D18617" t="s">
        <v>56987</v>
      </c>
      <c r="E18617" t="s">
        <v>56988</v>
      </c>
      <c r="F18617" t="s">
        <v>56989</v>
      </c>
      <c r="I18617" t="s">
        <v>29</v>
      </c>
      <c r="J18617" t="s">
        <v>30</v>
      </c>
      <c r="K18617" t="s">
        <v>31</v>
      </c>
      <c r="M18617" t="s">
        <v>50621</v>
      </c>
      <c r="N18617" t="str">
        <f>"3/6/2023 12:31:00 PM"</f>
        <v>3/6/2023 12:31:00 PM</v>
      </c>
      <c r="O18617" t="s">
        <v>56987</v>
      </c>
      <c r="T18617" t="s">
        <v>56988</v>
      </c>
    </row>
    <row r="18618" spans="1:20" x14ac:dyDescent="0.25">
      <c r="A18618" t="str">
        <f>"3049621"</f>
        <v>3049621</v>
      </c>
      <c r="B18618" t="s">
        <v>56991</v>
      </c>
      <c r="C18618" t="str">
        <f>"82516560"</f>
        <v>82516560</v>
      </c>
      <c r="D18618" t="s">
        <v>56987</v>
      </c>
      <c r="E18618" t="s">
        <v>56988</v>
      </c>
      <c r="F18618" t="s">
        <v>56989</v>
      </c>
      <c r="I18618" t="s">
        <v>29</v>
      </c>
      <c r="J18618" t="s">
        <v>30</v>
      </c>
      <c r="K18618" t="s">
        <v>31</v>
      </c>
      <c r="M18618" t="s">
        <v>50621</v>
      </c>
      <c r="N18618" t="str">
        <f>"3/6/2023 12:31:00 PM"</f>
        <v>3/6/2023 12:31:00 PM</v>
      </c>
      <c r="O18618" t="s">
        <v>56987</v>
      </c>
      <c r="T18618" t="s">
        <v>56988</v>
      </c>
    </row>
    <row r="18619" spans="1:20" x14ac:dyDescent="0.25">
      <c r="A18619" t="str">
        <f>"3057646"</f>
        <v>3057646</v>
      </c>
      <c r="B18619" t="s">
        <v>56992</v>
      </c>
      <c r="C18619" t="str">
        <f>"82512883"</f>
        <v>82512883</v>
      </c>
      <c r="D18619" t="s">
        <v>56993</v>
      </c>
      <c r="E18619" t="s">
        <v>56994</v>
      </c>
      <c r="F18619" t="s">
        <v>56995</v>
      </c>
      <c r="I18619" t="s">
        <v>184</v>
      </c>
      <c r="J18619" t="s">
        <v>30</v>
      </c>
      <c r="K18619" t="s">
        <v>185</v>
      </c>
      <c r="M18619" t="s">
        <v>50621</v>
      </c>
      <c r="N18619" t="str">
        <f>"3/6/2023 12:32:00 PM"</f>
        <v>3/6/2023 12:32:00 PM</v>
      </c>
      <c r="O18619" t="s">
        <v>56993</v>
      </c>
      <c r="T18619" t="s">
        <v>56994</v>
      </c>
    </row>
    <row r="18620" spans="1:20" x14ac:dyDescent="0.25">
      <c r="A18620" t="str">
        <f>"3055949"</f>
        <v>3055949</v>
      </c>
      <c r="B18620" t="s">
        <v>56996</v>
      </c>
      <c r="C18620" t="str">
        <f>"8310411"</f>
        <v>8310411</v>
      </c>
      <c r="D18620" t="s">
        <v>56997</v>
      </c>
      <c r="E18620" t="s">
        <v>53351</v>
      </c>
      <c r="F18620" t="s">
        <v>53352</v>
      </c>
      <c r="I18620" t="s">
        <v>53353</v>
      </c>
      <c r="J18620" t="s">
        <v>2109</v>
      </c>
      <c r="K18620" t="s">
        <v>53354</v>
      </c>
      <c r="M18620" t="s">
        <v>50621</v>
      </c>
      <c r="N18620" t="str">
        <f>"3/6/2023 11:28:00 AM"</f>
        <v>3/6/2023 11:28:00 AM</v>
      </c>
      <c r="O18620" t="s">
        <v>56997</v>
      </c>
      <c r="T18620" t="s">
        <v>53351</v>
      </c>
    </row>
    <row r="18621" spans="1:20" x14ac:dyDescent="0.25">
      <c r="A18621" t="str">
        <f>"3076587"</f>
        <v>3076587</v>
      </c>
      <c r="B18621" t="s">
        <v>56998</v>
      </c>
      <c r="C18621" t="str">
        <f>"8314171"</f>
        <v>8314171</v>
      </c>
      <c r="D18621" t="s">
        <v>56999</v>
      </c>
      <c r="E18621" t="s">
        <v>57000</v>
      </c>
      <c r="F18621" t="s">
        <v>57001</v>
      </c>
      <c r="I18621" t="s">
        <v>29</v>
      </c>
      <c r="J18621" t="s">
        <v>30</v>
      </c>
      <c r="K18621" t="s">
        <v>43248</v>
      </c>
      <c r="M18621" t="s">
        <v>50621</v>
      </c>
      <c r="N18621" t="str">
        <f>"3/6/2023 12:33:00 PM"</f>
        <v>3/6/2023 12:33:00 PM</v>
      </c>
      <c r="O18621" t="s">
        <v>56999</v>
      </c>
      <c r="T18621" t="s">
        <v>57000</v>
      </c>
    </row>
    <row r="18622" spans="1:20" x14ac:dyDescent="0.25">
      <c r="A18622" t="str">
        <f>"3054454"</f>
        <v>3054454</v>
      </c>
      <c r="B18622" t="s">
        <v>57002</v>
      </c>
      <c r="C18622" t="str">
        <f>"8305155"</f>
        <v>8305155</v>
      </c>
      <c r="D18622" t="s">
        <v>57003</v>
      </c>
      <c r="F18622" t="s">
        <v>57004</v>
      </c>
      <c r="I18622" t="s">
        <v>29</v>
      </c>
      <c r="J18622" t="s">
        <v>30</v>
      </c>
      <c r="K18622" t="s">
        <v>52367</v>
      </c>
      <c r="M18622" t="s">
        <v>50621</v>
      </c>
      <c r="N18622" t="str">
        <f>"3/6/2023 12:34:00 PM"</f>
        <v>3/6/2023 12:34:00 PM</v>
      </c>
      <c r="O18622" t="s">
        <v>57003</v>
      </c>
    </row>
    <row r="18623" spans="1:20" x14ac:dyDescent="0.25">
      <c r="A18623" t="str">
        <f>"3048405"</f>
        <v>3048405</v>
      </c>
      <c r="B18623" t="s">
        <v>57005</v>
      </c>
      <c r="C18623" t="str">
        <f>"8305155"</f>
        <v>8305155</v>
      </c>
      <c r="D18623" t="s">
        <v>57003</v>
      </c>
      <c r="F18623" t="s">
        <v>57004</v>
      </c>
      <c r="I18623" t="s">
        <v>29</v>
      </c>
      <c r="J18623" t="s">
        <v>30</v>
      </c>
      <c r="K18623" t="s">
        <v>52367</v>
      </c>
      <c r="M18623" t="s">
        <v>50621</v>
      </c>
      <c r="N18623" t="str">
        <f>"3/6/2023 12:34:00 PM"</f>
        <v>3/6/2023 12:34:00 PM</v>
      </c>
      <c r="O18623" t="s">
        <v>57003</v>
      </c>
    </row>
    <row r="18624" spans="1:20" x14ac:dyDescent="0.25">
      <c r="A18624" t="str">
        <f>"3059429"</f>
        <v>3059429</v>
      </c>
      <c r="B18624" t="s">
        <v>57006</v>
      </c>
      <c r="C18624" t="str">
        <f>"20334000"</f>
        <v>20334000</v>
      </c>
      <c r="D18624" t="s">
        <v>57007</v>
      </c>
      <c r="E18624" t="str">
        <f>"C/O BILL DAVIS"</f>
        <v>C/O BILL DAVIS</v>
      </c>
      <c r="F18624" t="s">
        <v>57008</v>
      </c>
      <c r="I18624" t="s">
        <v>29</v>
      </c>
      <c r="J18624" t="s">
        <v>30</v>
      </c>
      <c r="K18624" t="s">
        <v>12017</v>
      </c>
      <c r="M18624" t="s">
        <v>50621</v>
      </c>
      <c r="N18624" t="str">
        <f>"3/6/2023 12:36:00 PM"</f>
        <v>3/6/2023 12:36:00 PM</v>
      </c>
      <c r="O18624" t="s">
        <v>57007</v>
      </c>
      <c r="T18624" t="str">
        <f>"C/O BILL DAVIS"</f>
        <v>C/O BILL DAVIS</v>
      </c>
    </row>
    <row r="18625" spans="1:20" x14ac:dyDescent="0.25">
      <c r="A18625" t="str">
        <f>"3059264"</f>
        <v>3059264</v>
      </c>
      <c r="B18625" t="s">
        <v>57009</v>
      </c>
      <c r="C18625" t="str">
        <f>"20824000"</f>
        <v>20824000</v>
      </c>
      <c r="D18625" t="s">
        <v>57010</v>
      </c>
      <c r="E18625" t="s">
        <v>57011</v>
      </c>
      <c r="F18625" t="s">
        <v>57012</v>
      </c>
      <c r="I18625" t="s">
        <v>29</v>
      </c>
      <c r="J18625" t="s">
        <v>30</v>
      </c>
      <c r="K18625" t="s">
        <v>31</v>
      </c>
      <c r="M18625" t="s">
        <v>50621</v>
      </c>
      <c r="N18625" t="str">
        <f>"3/6/2023 12:37:00 PM"</f>
        <v>3/6/2023 12:37:00 PM</v>
      </c>
      <c r="O18625" t="s">
        <v>57010</v>
      </c>
      <c r="T18625" t="s">
        <v>57011</v>
      </c>
    </row>
    <row r="18626" spans="1:20" x14ac:dyDescent="0.25">
      <c r="A18626" t="str">
        <f>"3044476"</f>
        <v>3044476</v>
      </c>
      <c r="B18626" t="s">
        <v>57013</v>
      </c>
      <c r="C18626" t="str">
        <f>"21034300"</f>
        <v>21034300</v>
      </c>
      <c r="D18626" t="s">
        <v>57014</v>
      </c>
      <c r="E18626" t="s">
        <v>57015</v>
      </c>
      <c r="F18626" t="s">
        <v>57016</v>
      </c>
      <c r="I18626" t="s">
        <v>184</v>
      </c>
      <c r="J18626" t="s">
        <v>30</v>
      </c>
      <c r="K18626" t="s">
        <v>5629</v>
      </c>
      <c r="M18626" t="s">
        <v>50621</v>
      </c>
      <c r="N18626" t="str">
        <f>"3/6/2023 12:38:00 PM"</f>
        <v>3/6/2023 12:38:00 PM</v>
      </c>
      <c r="O18626" t="s">
        <v>57014</v>
      </c>
      <c r="T18626" t="s">
        <v>57015</v>
      </c>
    </row>
    <row r="18627" spans="1:20" x14ac:dyDescent="0.25">
      <c r="A18627" t="str">
        <f>"3048429"</f>
        <v>3048429</v>
      </c>
      <c r="B18627" t="s">
        <v>57017</v>
      </c>
      <c r="C18627" t="str">
        <f>"8305266"</f>
        <v>8305266</v>
      </c>
      <c r="D18627" t="s">
        <v>57018</v>
      </c>
      <c r="E18627" t="s">
        <v>57019</v>
      </c>
      <c r="F18627" t="s">
        <v>57020</v>
      </c>
      <c r="I18627" t="s">
        <v>184</v>
      </c>
      <c r="J18627" t="s">
        <v>30</v>
      </c>
      <c r="K18627" t="str">
        <f>"27006"</f>
        <v>27006</v>
      </c>
      <c r="M18627" t="s">
        <v>50621</v>
      </c>
      <c r="N18627" t="str">
        <f>"3/6/2023 12:38:00 PM"</f>
        <v>3/6/2023 12:38:00 PM</v>
      </c>
      <c r="O18627" t="s">
        <v>57018</v>
      </c>
      <c r="T18627" t="s">
        <v>57019</v>
      </c>
    </row>
    <row r="18628" spans="1:20" x14ac:dyDescent="0.25">
      <c r="A18628" t="str">
        <f>"3048608"</f>
        <v>3048608</v>
      </c>
      <c r="B18628" t="s">
        <v>57021</v>
      </c>
      <c r="C18628" t="str">
        <f>"8305266"</f>
        <v>8305266</v>
      </c>
      <c r="D18628" t="s">
        <v>57018</v>
      </c>
      <c r="E18628" t="s">
        <v>57019</v>
      </c>
      <c r="F18628" t="s">
        <v>57020</v>
      </c>
      <c r="I18628" t="s">
        <v>184</v>
      </c>
      <c r="J18628" t="s">
        <v>30</v>
      </c>
      <c r="K18628" t="str">
        <f>"27006"</f>
        <v>27006</v>
      </c>
      <c r="M18628" t="s">
        <v>50621</v>
      </c>
      <c r="N18628" t="str">
        <f>"3/6/2023 12:38:00 PM"</f>
        <v>3/6/2023 12:38:00 PM</v>
      </c>
      <c r="O18628" t="s">
        <v>57018</v>
      </c>
      <c r="T18628" t="s">
        <v>57019</v>
      </c>
    </row>
    <row r="18629" spans="1:20" x14ac:dyDescent="0.25">
      <c r="A18629" t="str">
        <f>"3056426"</f>
        <v>3056426</v>
      </c>
      <c r="B18629" t="s">
        <v>57022</v>
      </c>
      <c r="C18629" t="str">
        <f>"8311265"</f>
        <v>8311265</v>
      </c>
      <c r="D18629" t="s">
        <v>57023</v>
      </c>
      <c r="E18629" t="s">
        <v>57024</v>
      </c>
      <c r="F18629" t="s">
        <v>57025</v>
      </c>
      <c r="I18629" t="s">
        <v>29</v>
      </c>
      <c r="J18629" t="s">
        <v>30</v>
      </c>
      <c r="K18629" t="s">
        <v>57026</v>
      </c>
      <c r="M18629" t="s">
        <v>50621</v>
      </c>
      <c r="N18629" t="str">
        <f>"3/6/2023 12:42:00 PM"</f>
        <v>3/6/2023 12:42:00 PM</v>
      </c>
      <c r="O18629" t="s">
        <v>57023</v>
      </c>
      <c r="T18629" t="s">
        <v>57024</v>
      </c>
    </row>
    <row r="18630" spans="1:20" x14ac:dyDescent="0.25">
      <c r="A18630" t="str">
        <f>"3054070"</f>
        <v>3054070</v>
      </c>
      <c r="B18630" t="s">
        <v>57027</v>
      </c>
      <c r="C18630" t="str">
        <f>"22152000"</f>
        <v>22152000</v>
      </c>
      <c r="D18630" t="s">
        <v>57028</v>
      </c>
      <c r="F18630" t="s">
        <v>57029</v>
      </c>
      <c r="I18630" t="s">
        <v>29</v>
      </c>
      <c r="J18630" t="s">
        <v>30</v>
      </c>
      <c r="K18630" t="s">
        <v>57030</v>
      </c>
      <c r="M18630" t="s">
        <v>50621</v>
      </c>
      <c r="N18630" t="str">
        <f>"3/6/2023 12:43:00 PM"</f>
        <v>3/6/2023 12:43:00 PM</v>
      </c>
      <c r="O18630" t="s">
        <v>57028</v>
      </c>
    </row>
    <row r="18631" spans="1:20" x14ac:dyDescent="0.25">
      <c r="A18631" t="str">
        <f>"3040897"</f>
        <v>3040897</v>
      </c>
      <c r="B18631" t="s">
        <v>57031</v>
      </c>
      <c r="C18631" t="str">
        <f>"22292000"</f>
        <v>22292000</v>
      </c>
      <c r="D18631" t="s">
        <v>57032</v>
      </c>
      <c r="E18631" t="s">
        <v>57033</v>
      </c>
      <c r="F18631" t="s">
        <v>57034</v>
      </c>
      <c r="I18631" t="s">
        <v>184</v>
      </c>
      <c r="J18631" t="s">
        <v>30</v>
      </c>
      <c r="K18631" t="s">
        <v>185</v>
      </c>
      <c r="M18631" t="s">
        <v>50621</v>
      </c>
      <c r="N18631" t="str">
        <f>"3/6/2023 12:44:00 PM"</f>
        <v>3/6/2023 12:44:00 PM</v>
      </c>
      <c r="O18631" t="s">
        <v>57032</v>
      </c>
      <c r="T18631" t="s">
        <v>57033</v>
      </c>
    </row>
    <row r="18632" spans="1:20" x14ac:dyDescent="0.25">
      <c r="A18632" t="str">
        <f>"3040847"</f>
        <v>3040847</v>
      </c>
      <c r="B18632" t="s">
        <v>57035</v>
      </c>
      <c r="C18632" t="str">
        <f>"22292000"</f>
        <v>22292000</v>
      </c>
      <c r="D18632" t="s">
        <v>57032</v>
      </c>
      <c r="E18632" t="s">
        <v>57033</v>
      </c>
      <c r="F18632" t="s">
        <v>57034</v>
      </c>
      <c r="I18632" t="s">
        <v>184</v>
      </c>
      <c r="J18632" t="s">
        <v>30</v>
      </c>
      <c r="K18632" t="s">
        <v>185</v>
      </c>
      <c r="M18632" t="s">
        <v>50621</v>
      </c>
      <c r="N18632" t="str">
        <f>"3/6/2023 12:44:00 PM"</f>
        <v>3/6/2023 12:44:00 PM</v>
      </c>
      <c r="O18632" t="s">
        <v>57032</v>
      </c>
      <c r="T18632" t="s">
        <v>57033</v>
      </c>
    </row>
    <row r="18633" spans="1:20" x14ac:dyDescent="0.25">
      <c r="A18633" t="str">
        <f>"3040802"</f>
        <v>3040802</v>
      </c>
      <c r="B18633" t="s">
        <v>57036</v>
      </c>
      <c r="C18633" t="str">
        <f>"22372250"</f>
        <v>22372250</v>
      </c>
      <c r="D18633" t="s">
        <v>57037</v>
      </c>
      <c r="E18633" t="s">
        <v>57038</v>
      </c>
      <c r="F18633" t="s">
        <v>57039</v>
      </c>
      <c r="I18633" t="s">
        <v>184</v>
      </c>
      <c r="J18633" t="s">
        <v>30</v>
      </c>
      <c r="K18633" t="s">
        <v>185</v>
      </c>
      <c r="M18633" t="s">
        <v>50621</v>
      </c>
      <c r="N18633" t="str">
        <f>"3/6/2023 12:44:00 PM"</f>
        <v>3/6/2023 12:44:00 PM</v>
      </c>
      <c r="O18633" t="s">
        <v>57037</v>
      </c>
      <c r="T18633" t="s">
        <v>57038</v>
      </c>
    </row>
    <row r="18634" spans="1:20" x14ac:dyDescent="0.25">
      <c r="A18634" t="str">
        <f>"3040809"</f>
        <v>3040809</v>
      </c>
      <c r="B18634" t="s">
        <v>57040</v>
      </c>
      <c r="C18634" t="str">
        <f>"22372250"</f>
        <v>22372250</v>
      </c>
      <c r="D18634" t="s">
        <v>57037</v>
      </c>
      <c r="E18634" t="s">
        <v>57038</v>
      </c>
      <c r="F18634" t="s">
        <v>57039</v>
      </c>
      <c r="I18634" t="s">
        <v>184</v>
      </c>
      <c r="J18634" t="s">
        <v>30</v>
      </c>
      <c r="K18634" t="s">
        <v>185</v>
      </c>
      <c r="M18634" t="s">
        <v>50621</v>
      </c>
      <c r="N18634" t="str">
        <f>"3/6/2023 12:44:00 PM"</f>
        <v>3/6/2023 12:44:00 PM</v>
      </c>
      <c r="O18634" t="s">
        <v>57037</v>
      </c>
      <c r="T18634" t="s">
        <v>57038</v>
      </c>
    </row>
    <row r="18635" spans="1:20" x14ac:dyDescent="0.25">
      <c r="A18635" t="str">
        <f>"3055536"</f>
        <v>3055536</v>
      </c>
      <c r="B18635" t="s">
        <v>57041</v>
      </c>
      <c r="C18635" t="str">
        <f>"8300343"</f>
        <v>8300343</v>
      </c>
      <c r="D18635" t="s">
        <v>57042</v>
      </c>
      <c r="E18635" t="s">
        <v>57043</v>
      </c>
      <c r="F18635" t="s">
        <v>57044</v>
      </c>
      <c r="I18635" t="s">
        <v>29</v>
      </c>
      <c r="J18635" t="s">
        <v>30</v>
      </c>
      <c r="K18635" t="s">
        <v>31</v>
      </c>
      <c r="M18635" t="s">
        <v>50621</v>
      </c>
      <c r="N18635" t="str">
        <f>"3/6/2023 11:29:00 AM"</f>
        <v>3/6/2023 11:29:00 AM</v>
      </c>
      <c r="O18635" t="s">
        <v>57042</v>
      </c>
      <c r="T18635" t="s">
        <v>57043</v>
      </c>
    </row>
    <row r="18636" spans="1:20" x14ac:dyDescent="0.25">
      <c r="A18636" t="str">
        <f>"3050001"</f>
        <v>3050001</v>
      </c>
      <c r="B18636" t="s">
        <v>57045</v>
      </c>
      <c r="C18636" t="str">
        <f>"4016000"</f>
        <v>4016000</v>
      </c>
      <c r="D18636" t="s">
        <v>56896</v>
      </c>
      <c r="E18636" t="s">
        <v>56897</v>
      </c>
      <c r="F18636" t="s">
        <v>56898</v>
      </c>
      <c r="I18636" t="s">
        <v>29</v>
      </c>
      <c r="J18636" t="s">
        <v>30</v>
      </c>
      <c r="K18636" t="s">
        <v>31</v>
      </c>
      <c r="M18636" t="s">
        <v>50621</v>
      </c>
      <c r="N18636" t="str">
        <f>"3/6/2023 11:30:00 AM"</f>
        <v>3/6/2023 11:30:00 AM</v>
      </c>
      <c r="O18636" t="s">
        <v>56896</v>
      </c>
      <c r="T18636" t="s">
        <v>56897</v>
      </c>
    </row>
    <row r="18637" spans="1:20" x14ac:dyDescent="0.25">
      <c r="A18637" t="str">
        <f>"3062111"</f>
        <v>3062111</v>
      </c>
      <c r="B18637" t="s">
        <v>57046</v>
      </c>
      <c r="C18637" t="str">
        <f>"8319766"</f>
        <v>8319766</v>
      </c>
      <c r="D18637" t="s">
        <v>57047</v>
      </c>
      <c r="F18637" t="s">
        <v>57048</v>
      </c>
      <c r="I18637" t="s">
        <v>29</v>
      </c>
      <c r="J18637" t="s">
        <v>30</v>
      </c>
      <c r="K18637" t="s">
        <v>56763</v>
      </c>
      <c r="M18637" t="s">
        <v>17861</v>
      </c>
      <c r="N18637" t="str">
        <f>"3/2/2023 11:02:00 AM"</f>
        <v>3/2/2023 11:02:00 AM</v>
      </c>
      <c r="O18637" t="s">
        <v>57047</v>
      </c>
    </row>
    <row r="18638" spans="1:20" x14ac:dyDescent="0.25">
      <c r="A18638" t="str">
        <f>"3061661"</f>
        <v>3061661</v>
      </c>
      <c r="B18638" t="s">
        <v>57049</v>
      </c>
      <c r="C18638" t="str">
        <f>"8310466"</f>
        <v>8310466</v>
      </c>
      <c r="D18638" t="s">
        <v>57050</v>
      </c>
      <c r="E18638" t="s">
        <v>57051</v>
      </c>
      <c r="F18638" t="s">
        <v>57052</v>
      </c>
      <c r="I18638" t="s">
        <v>184</v>
      </c>
      <c r="J18638" t="s">
        <v>30</v>
      </c>
      <c r="K18638" t="s">
        <v>49343</v>
      </c>
      <c r="M18638" t="s">
        <v>50621</v>
      </c>
      <c r="N18638" t="str">
        <f>"3/6/2023 12:48:00 PM"</f>
        <v>3/6/2023 12:48:00 PM</v>
      </c>
      <c r="O18638" t="s">
        <v>57050</v>
      </c>
      <c r="T18638" t="s">
        <v>57051</v>
      </c>
    </row>
    <row r="18639" spans="1:20" x14ac:dyDescent="0.25">
      <c r="A18639" t="str">
        <f>"3054383"</f>
        <v>3054383</v>
      </c>
      <c r="B18639" t="s">
        <v>57053</v>
      </c>
      <c r="C18639" t="str">
        <f>"82515574"</f>
        <v>82515574</v>
      </c>
      <c r="D18639" t="s">
        <v>57054</v>
      </c>
      <c r="E18639" t="s">
        <v>57055</v>
      </c>
      <c r="F18639" t="s">
        <v>57056</v>
      </c>
      <c r="I18639" t="s">
        <v>29</v>
      </c>
      <c r="J18639" t="s">
        <v>30</v>
      </c>
      <c r="K18639" t="s">
        <v>31</v>
      </c>
      <c r="M18639" t="s">
        <v>50621</v>
      </c>
      <c r="N18639" t="str">
        <f>"3/6/2023 12:50:00 PM"</f>
        <v>3/6/2023 12:50:00 PM</v>
      </c>
      <c r="O18639" t="s">
        <v>57054</v>
      </c>
      <c r="T18639" t="s">
        <v>57055</v>
      </c>
    </row>
    <row r="18640" spans="1:20" x14ac:dyDescent="0.25">
      <c r="A18640" t="str">
        <f>"3076736"</f>
        <v>3076736</v>
      </c>
      <c r="B18640" t="s">
        <v>57057</v>
      </c>
      <c r="C18640" t="str">
        <f>"8300011"</f>
        <v>8300011</v>
      </c>
      <c r="D18640" t="s">
        <v>57058</v>
      </c>
      <c r="F18640" t="s">
        <v>57059</v>
      </c>
      <c r="I18640" t="s">
        <v>402</v>
      </c>
      <c r="J18640" t="s">
        <v>30</v>
      </c>
      <c r="K18640" t="s">
        <v>57060</v>
      </c>
      <c r="M18640" t="s">
        <v>50621</v>
      </c>
      <c r="N18640" t="str">
        <f>"3/2/2023 12:17:00 PM"</f>
        <v>3/2/2023 12:17:00 PM</v>
      </c>
      <c r="O18640" t="s">
        <v>57058</v>
      </c>
    </row>
    <row r="18641" spans="1:20" x14ac:dyDescent="0.25">
      <c r="A18641" t="str">
        <f>"3041140"</f>
        <v>3041140</v>
      </c>
      <c r="B18641" t="s">
        <v>57061</v>
      </c>
      <c r="C18641" t="str">
        <f>"8300011"</f>
        <v>8300011</v>
      </c>
      <c r="D18641" t="s">
        <v>57058</v>
      </c>
      <c r="F18641" t="s">
        <v>57059</v>
      </c>
      <c r="I18641" t="s">
        <v>402</v>
      </c>
      <c r="J18641" t="s">
        <v>30</v>
      </c>
      <c r="K18641" t="s">
        <v>57060</v>
      </c>
      <c r="M18641" t="s">
        <v>50621</v>
      </c>
      <c r="N18641" t="str">
        <f>"3/2/2023 12:17:00 PM"</f>
        <v>3/2/2023 12:17:00 PM</v>
      </c>
      <c r="O18641" t="s">
        <v>57058</v>
      </c>
    </row>
    <row r="18642" spans="1:20" x14ac:dyDescent="0.25">
      <c r="A18642" t="str">
        <f>"3047976"</f>
        <v>3047976</v>
      </c>
      <c r="B18642" t="s">
        <v>57062</v>
      </c>
      <c r="C18642" t="str">
        <f>"8269000"</f>
        <v>8269000</v>
      </c>
      <c r="D18642" t="s">
        <v>57063</v>
      </c>
      <c r="F18642" t="s">
        <v>57064</v>
      </c>
      <c r="I18642" t="s">
        <v>184</v>
      </c>
      <c r="J18642" t="s">
        <v>30</v>
      </c>
      <c r="K18642" t="s">
        <v>52161</v>
      </c>
      <c r="M18642" t="s">
        <v>50621</v>
      </c>
      <c r="N18642" t="str">
        <f>"3/6/2023 11:53:00 AM"</f>
        <v>3/6/2023 11:53:00 AM</v>
      </c>
      <c r="O18642" t="s">
        <v>57063</v>
      </c>
      <c r="T18642" t="s">
        <v>57063</v>
      </c>
    </row>
    <row r="18643" spans="1:20" x14ac:dyDescent="0.25">
      <c r="A18643" t="str">
        <f>"3056021"</f>
        <v>3056021</v>
      </c>
      <c r="B18643" t="s">
        <v>57065</v>
      </c>
      <c r="C18643" t="str">
        <f>"82526734"</f>
        <v>82526734</v>
      </c>
      <c r="D18643" t="s">
        <v>57066</v>
      </c>
      <c r="F18643" t="s">
        <v>57067</v>
      </c>
      <c r="I18643" t="s">
        <v>29</v>
      </c>
      <c r="J18643" t="s">
        <v>30</v>
      </c>
      <c r="K18643" t="s">
        <v>31</v>
      </c>
      <c r="M18643" t="s">
        <v>50621</v>
      </c>
      <c r="N18643" t="str">
        <f>"3/6/2023 2:39:00 PM"</f>
        <v>3/6/2023 2:39:00 PM</v>
      </c>
      <c r="O18643" t="s">
        <v>57066</v>
      </c>
    </row>
    <row r="18644" spans="1:20" x14ac:dyDescent="0.25">
      <c r="A18644" t="str">
        <f>"3055844"</f>
        <v>3055844</v>
      </c>
      <c r="B18644" t="s">
        <v>57068</v>
      </c>
      <c r="C18644" t="str">
        <f>"29157000"</f>
        <v>29157000</v>
      </c>
      <c r="D18644" t="s">
        <v>57069</v>
      </c>
      <c r="F18644" t="s">
        <v>57070</v>
      </c>
      <c r="I18644" t="s">
        <v>9580</v>
      </c>
      <c r="J18644" t="s">
        <v>30</v>
      </c>
      <c r="K18644" t="s">
        <v>9581</v>
      </c>
      <c r="M18644" t="s">
        <v>50621</v>
      </c>
      <c r="N18644" t="str">
        <f>"3/6/2023 2:39:00 PM"</f>
        <v>3/6/2023 2:39:00 PM</v>
      </c>
      <c r="O18644" t="s">
        <v>57069</v>
      </c>
    </row>
    <row r="18645" spans="1:20" x14ac:dyDescent="0.25">
      <c r="A18645" t="str">
        <f>"3055787"</f>
        <v>3055787</v>
      </c>
      <c r="B18645" t="s">
        <v>57071</v>
      </c>
      <c r="C18645" t="str">
        <f>"29157000"</f>
        <v>29157000</v>
      </c>
      <c r="D18645" t="s">
        <v>57069</v>
      </c>
      <c r="F18645" t="s">
        <v>57070</v>
      </c>
      <c r="I18645" t="s">
        <v>9580</v>
      </c>
      <c r="J18645" t="s">
        <v>30</v>
      </c>
      <c r="K18645" t="s">
        <v>9581</v>
      </c>
      <c r="M18645" t="s">
        <v>50621</v>
      </c>
      <c r="N18645" t="str">
        <f>"3/6/2023 2:39:00 PM"</f>
        <v>3/6/2023 2:39:00 PM</v>
      </c>
      <c r="O18645" t="s">
        <v>57069</v>
      </c>
    </row>
    <row r="18646" spans="1:20" x14ac:dyDescent="0.25">
      <c r="A18646" t="str">
        <f>"3052312"</f>
        <v>3052312</v>
      </c>
      <c r="B18646" t="s">
        <v>57072</v>
      </c>
      <c r="C18646" t="str">
        <f>"29238500"</f>
        <v>29238500</v>
      </c>
      <c r="D18646" t="s">
        <v>29989</v>
      </c>
      <c r="F18646" t="s">
        <v>57073</v>
      </c>
      <c r="I18646" t="s">
        <v>29</v>
      </c>
      <c r="J18646" t="s">
        <v>30</v>
      </c>
      <c r="K18646" t="s">
        <v>31</v>
      </c>
      <c r="M18646" t="s">
        <v>50621</v>
      </c>
      <c r="N18646" t="str">
        <f>"3/6/2023 2:41:00 PM"</f>
        <v>3/6/2023 2:41:00 PM</v>
      </c>
      <c r="O18646" t="s">
        <v>29989</v>
      </c>
    </row>
    <row r="18647" spans="1:20" x14ac:dyDescent="0.25">
      <c r="A18647" t="str">
        <f>"3049468"</f>
        <v>3049468</v>
      </c>
      <c r="B18647" t="s">
        <v>57074</v>
      </c>
      <c r="C18647" t="str">
        <f>"29436000"</f>
        <v>29436000</v>
      </c>
      <c r="D18647" t="s">
        <v>57075</v>
      </c>
      <c r="E18647" t="s">
        <v>57076</v>
      </c>
      <c r="F18647" t="s">
        <v>57077</v>
      </c>
      <c r="I18647" t="s">
        <v>29</v>
      </c>
      <c r="J18647" t="s">
        <v>30</v>
      </c>
      <c r="K18647" t="s">
        <v>11416</v>
      </c>
      <c r="M18647" t="s">
        <v>50621</v>
      </c>
      <c r="N18647" t="str">
        <f>"3/6/2023 2:42:00 PM"</f>
        <v>3/6/2023 2:42:00 PM</v>
      </c>
      <c r="O18647" t="s">
        <v>57075</v>
      </c>
      <c r="T18647" t="s">
        <v>57076</v>
      </c>
    </row>
    <row r="18648" spans="1:20" x14ac:dyDescent="0.25">
      <c r="A18648" t="str">
        <f>"3050411"</f>
        <v>3050411</v>
      </c>
      <c r="B18648" t="s">
        <v>57078</v>
      </c>
      <c r="C18648" t="str">
        <f>"29436000"</f>
        <v>29436000</v>
      </c>
      <c r="D18648" t="s">
        <v>57075</v>
      </c>
      <c r="E18648" t="s">
        <v>57076</v>
      </c>
      <c r="F18648" t="s">
        <v>57077</v>
      </c>
      <c r="I18648" t="s">
        <v>29</v>
      </c>
      <c r="J18648" t="s">
        <v>30</v>
      </c>
      <c r="K18648" t="s">
        <v>11416</v>
      </c>
      <c r="M18648" t="s">
        <v>50621</v>
      </c>
      <c r="N18648" t="str">
        <f>"3/6/2023 2:42:00 PM"</f>
        <v>3/6/2023 2:42:00 PM</v>
      </c>
      <c r="O18648" t="s">
        <v>57075</v>
      </c>
      <c r="T18648" t="s">
        <v>57076</v>
      </c>
    </row>
    <row r="18649" spans="1:20" x14ac:dyDescent="0.25">
      <c r="A18649" t="str">
        <f>"3048828"</f>
        <v>3048828</v>
      </c>
      <c r="B18649" t="s">
        <v>57079</v>
      </c>
      <c r="C18649" t="str">
        <f>"8309476"</f>
        <v>8309476</v>
      </c>
      <c r="D18649" t="s">
        <v>57080</v>
      </c>
      <c r="E18649" t="s">
        <v>57081</v>
      </c>
      <c r="F18649" t="s">
        <v>57082</v>
      </c>
      <c r="I18649" t="s">
        <v>29</v>
      </c>
      <c r="J18649" t="s">
        <v>30</v>
      </c>
      <c r="K18649" t="s">
        <v>57083</v>
      </c>
      <c r="M18649" t="s">
        <v>50621</v>
      </c>
      <c r="N18649" t="str">
        <f>"3/6/2023 2:42:00 PM"</f>
        <v>3/6/2023 2:42:00 PM</v>
      </c>
      <c r="O18649" t="s">
        <v>57080</v>
      </c>
      <c r="T18649" t="s">
        <v>57081</v>
      </c>
    </row>
    <row r="18650" spans="1:20" x14ac:dyDescent="0.25">
      <c r="A18650" t="str">
        <f>"3057390"</f>
        <v>3057390</v>
      </c>
      <c r="B18650" t="s">
        <v>57084</v>
      </c>
      <c r="C18650" t="str">
        <f>"8315745"</f>
        <v>8315745</v>
      </c>
      <c r="D18650" t="s">
        <v>57085</v>
      </c>
      <c r="E18650" t="s">
        <v>57086</v>
      </c>
      <c r="F18650" t="s">
        <v>57087</v>
      </c>
      <c r="I18650" t="s">
        <v>184</v>
      </c>
      <c r="J18650" t="s">
        <v>30</v>
      </c>
      <c r="K18650" t="s">
        <v>38676</v>
      </c>
      <c r="M18650" t="s">
        <v>50621</v>
      </c>
      <c r="N18650" t="str">
        <f>"3/6/2023 11:57:00 AM"</f>
        <v>3/6/2023 11:57:00 AM</v>
      </c>
      <c r="O18650" t="s">
        <v>57085</v>
      </c>
      <c r="T18650" t="s">
        <v>57086</v>
      </c>
    </row>
    <row r="18651" spans="1:20" x14ac:dyDescent="0.25">
      <c r="A18651" t="str">
        <f>"3053965"</f>
        <v>3053965</v>
      </c>
      <c r="B18651" t="s">
        <v>57088</v>
      </c>
      <c r="C18651" t="str">
        <f t="shared" ref="C18651:C18656" si="286">"8309656"</f>
        <v>8309656</v>
      </c>
      <c r="D18651" t="s">
        <v>57089</v>
      </c>
      <c r="F18651" t="s">
        <v>57090</v>
      </c>
      <c r="I18651" t="s">
        <v>29</v>
      </c>
      <c r="J18651" t="s">
        <v>30</v>
      </c>
      <c r="K18651" t="s">
        <v>57091</v>
      </c>
      <c r="M18651" t="s">
        <v>50621</v>
      </c>
      <c r="N18651" t="str">
        <f t="shared" ref="N18651:N18656" si="287">"3/6/2023 2:43:00 PM"</f>
        <v>3/6/2023 2:43:00 PM</v>
      </c>
      <c r="O18651" t="s">
        <v>57089</v>
      </c>
    </row>
    <row r="18652" spans="1:20" x14ac:dyDescent="0.25">
      <c r="A18652" t="str">
        <f>"3053966"</f>
        <v>3053966</v>
      </c>
      <c r="B18652" t="s">
        <v>57092</v>
      </c>
      <c r="C18652" t="str">
        <f t="shared" si="286"/>
        <v>8309656</v>
      </c>
      <c r="D18652" t="s">
        <v>57089</v>
      </c>
      <c r="F18652" t="s">
        <v>57090</v>
      </c>
      <c r="I18652" t="s">
        <v>29</v>
      </c>
      <c r="J18652" t="s">
        <v>30</v>
      </c>
      <c r="K18652" t="s">
        <v>57091</v>
      </c>
      <c r="M18652" t="s">
        <v>50621</v>
      </c>
      <c r="N18652" t="str">
        <f t="shared" si="287"/>
        <v>3/6/2023 2:43:00 PM</v>
      </c>
      <c r="O18652" t="s">
        <v>57089</v>
      </c>
    </row>
    <row r="18653" spans="1:20" x14ac:dyDescent="0.25">
      <c r="A18653" t="str">
        <f>"3053989"</f>
        <v>3053989</v>
      </c>
      <c r="B18653" t="s">
        <v>57093</v>
      </c>
      <c r="C18653" t="str">
        <f t="shared" si="286"/>
        <v>8309656</v>
      </c>
      <c r="D18653" t="s">
        <v>57089</v>
      </c>
      <c r="F18653" t="s">
        <v>57090</v>
      </c>
      <c r="I18653" t="s">
        <v>29</v>
      </c>
      <c r="J18653" t="s">
        <v>30</v>
      </c>
      <c r="K18653" t="s">
        <v>57091</v>
      </c>
      <c r="M18653" t="s">
        <v>50621</v>
      </c>
      <c r="N18653" t="str">
        <f t="shared" si="287"/>
        <v>3/6/2023 2:43:00 PM</v>
      </c>
      <c r="O18653" t="s">
        <v>57089</v>
      </c>
    </row>
    <row r="18654" spans="1:20" x14ac:dyDescent="0.25">
      <c r="A18654" t="str">
        <f>"3053990"</f>
        <v>3053990</v>
      </c>
      <c r="B18654" t="s">
        <v>57094</v>
      </c>
      <c r="C18654" t="str">
        <f t="shared" si="286"/>
        <v>8309656</v>
      </c>
      <c r="D18654" t="s">
        <v>57089</v>
      </c>
      <c r="F18654" t="s">
        <v>57090</v>
      </c>
      <c r="I18654" t="s">
        <v>29</v>
      </c>
      <c r="J18654" t="s">
        <v>30</v>
      </c>
      <c r="K18654" t="s">
        <v>57091</v>
      </c>
      <c r="M18654" t="s">
        <v>50621</v>
      </c>
      <c r="N18654" t="str">
        <f t="shared" si="287"/>
        <v>3/6/2023 2:43:00 PM</v>
      </c>
      <c r="O18654" t="s">
        <v>57089</v>
      </c>
    </row>
    <row r="18655" spans="1:20" x14ac:dyDescent="0.25">
      <c r="A18655" t="str">
        <f>"3078642"</f>
        <v>3078642</v>
      </c>
      <c r="B18655" t="s">
        <v>57095</v>
      </c>
      <c r="C18655" t="str">
        <f t="shared" si="286"/>
        <v>8309656</v>
      </c>
      <c r="D18655" t="s">
        <v>57089</v>
      </c>
      <c r="F18655" t="s">
        <v>57090</v>
      </c>
      <c r="I18655" t="s">
        <v>29</v>
      </c>
      <c r="J18655" t="s">
        <v>30</v>
      </c>
      <c r="K18655" t="s">
        <v>57091</v>
      </c>
      <c r="M18655" t="s">
        <v>50621</v>
      </c>
      <c r="N18655" t="str">
        <f t="shared" si="287"/>
        <v>3/6/2023 2:43:00 PM</v>
      </c>
      <c r="O18655" t="s">
        <v>57089</v>
      </c>
    </row>
    <row r="18656" spans="1:20" x14ac:dyDescent="0.25">
      <c r="A18656" t="str">
        <f>"3078724"</f>
        <v>3078724</v>
      </c>
      <c r="B18656" t="s">
        <v>57096</v>
      </c>
      <c r="C18656" t="str">
        <f t="shared" si="286"/>
        <v>8309656</v>
      </c>
      <c r="D18656" t="s">
        <v>57089</v>
      </c>
      <c r="F18656" t="s">
        <v>57090</v>
      </c>
      <c r="I18656" t="s">
        <v>29</v>
      </c>
      <c r="J18656" t="s">
        <v>30</v>
      </c>
      <c r="K18656" t="s">
        <v>57091</v>
      </c>
      <c r="M18656" t="s">
        <v>50621</v>
      </c>
      <c r="N18656" t="str">
        <f t="shared" si="287"/>
        <v>3/6/2023 2:43:00 PM</v>
      </c>
      <c r="O18656" t="s">
        <v>57089</v>
      </c>
    </row>
    <row r="18657" spans="1:20" x14ac:dyDescent="0.25">
      <c r="A18657" t="str">
        <f>"3042260"</f>
        <v>3042260</v>
      </c>
      <c r="B18657" t="s">
        <v>57097</v>
      </c>
      <c r="C18657" t="str">
        <f>"8302916"</f>
        <v>8302916</v>
      </c>
      <c r="D18657" t="s">
        <v>57098</v>
      </c>
      <c r="F18657" t="s">
        <v>57099</v>
      </c>
      <c r="I18657" t="s">
        <v>29</v>
      </c>
      <c r="J18657" t="s">
        <v>30</v>
      </c>
      <c r="K18657" t="str">
        <f>"27028"</f>
        <v>27028</v>
      </c>
      <c r="M18657" t="s">
        <v>50621</v>
      </c>
      <c r="N18657" t="str">
        <f>"3/6/2023 2:45:00 PM"</f>
        <v>3/6/2023 2:45:00 PM</v>
      </c>
      <c r="O18657" t="s">
        <v>57098</v>
      </c>
    </row>
    <row r="18658" spans="1:20" x14ac:dyDescent="0.25">
      <c r="A18658" t="str">
        <f>"3054880"</f>
        <v>3054880</v>
      </c>
      <c r="B18658" t="s">
        <v>57100</v>
      </c>
      <c r="C18658" t="str">
        <f>"8309088"</f>
        <v>8309088</v>
      </c>
      <c r="D18658" t="s">
        <v>57101</v>
      </c>
      <c r="F18658" t="s">
        <v>57102</v>
      </c>
      <c r="I18658" t="s">
        <v>57103</v>
      </c>
      <c r="J18658" t="s">
        <v>12725</v>
      </c>
      <c r="K18658" t="str">
        <f>"33042"</f>
        <v>33042</v>
      </c>
      <c r="M18658" t="s">
        <v>50621</v>
      </c>
      <c r="N18658" t="str">
        <f>"3/6/2023 2:47:00 PM"</f>
        <v>3/6/2023 2:47:00 PM</v>
      </c>
      <c r="O18658" t="s">
        <v>57101</v>
      </c>
    </row>
    <row r="18659" spans="1:20" x14ac:dyDescent="0.25">
      <c r="A18659" t="str">
        <f>"3055457"</f>
        <v>3055457</v>
      </c>
      <c r="B18659" t="s">
        <v>57104</v>
      </c>
      <c r="C18659" t="str">
        <f>"8309088"</f>
        <v>8309088</v>
      </c>
      <c r="D18659" t="s">
        <v>57101</v>
      </c>
      <c r="F18659" t="s">
        <v>57102</v>
      </c>
      <c r="I18659" t="s">
        <v>57103</v>
      </c>
      <c r="J18659" t="s">
        <v>12725</v>
      </c>
      <c r="K18659" t="str">
        <f>"33042"</f>
        <v>33042</v>
      </c>
      <c r="M18659" t="s">
        <v>50621</v>
      </c>
      <c r="N18659" t="str">
        <f>"3/6/2023 2:47:00 PM"</f>
        <v>3/6/2023 2:47:00 PM</v>
      </c>
      <c r="O18659" t="s">
        <v>57101</v>
      </c>
    </row>
    <row r="18660" spans="1:20" x14ac:dyDescent="0.25">
      <c r="A18660" t="str">
        <f>"3056612"</f>
        <v>3056612</v>
      </c>
      <c r="B18660" t="s">
        <v>57105</v>
      </c>
      <c r="C18660" t="str">
        <f>"8315044"</f>
        <v>8315044</v>
      </c>
      <c r="D18660" t="s">
        <v>57106</v>
      </c>
      <c r="F18660" t="s">
        <v>57107</v>
      </c>
      <c r="I18660" t="s">
        <v>29</v>
      </c>
      <c r="J18660" t="s">
        <v>30</v>
      </c>
      <c r="K18660" t="s">
        <v>57108</v>
      </c>
      <c r="M18660" t="s">
        <v>50621</v>
      </c>
      <c r="N18660" t="str">
        <f>"3/6/2023 2:49:00 PM"</f>
        <v>3/6/2023 2:49:00 PM</v>
      </c>
      <c r="O18660" t="s">
        <v>57106</v>
      </c>
    </row>
    <row r="18661" spans="1:20" x14ac:dyDescent="0.25">
      <c r="A18661" t="str">
        <f>"3038119"</f>
        <v>3038119</v>
      </c>
      <c r="B18661" t="s">
        <v>57109</v>
      </c>
      <c r="C18661" t="str">
        <f>"31540000"</f>
        <v>31540000</v>
      </c>
      <c r="D18661" t="s">
        <v>57110</v>
      </c>
      <c r="F18661" t="str">
        <f>"C/O JOANN HAIRSTON"</f>
        <v>C/O JOANN HAIRSTON</v>
      </c>
      <c r="G18661" t="s">
        <v>57111</v>
      </c>
      <c r="I18661" t="s">
        <v>2291</v>
      </c>
      <c r="J18661" t="s">
        <v>30</v>
      </c>
      <c r="K18661" t="s">
        <v>2292</v>
      </c>
      <c r="M18661" t="s">
        <v>50621</v>
      </c>
      <c r="N18661" t="str">
        <f>"3/6/2023 2:49:00 PM"</f>
        <v>3/6/2023 2:49:00 PM</v>
      </c>
      <c r="O18661" t="s">
        <v>57110</v>
      </c>
    </row>
    <row r="18662" spans="1:20" x14ac:dyDescent="0.25">
      <c r="A18662" t="str">
        <f>"3050520"</f>
        <v>3050520</v>
      </c>
      <c r="B18662" t="s">
        <v>57112</v>
      </c>
      <c r="C18662" t="str">
        <f>"8317908"</f>
        <v>8317908</v>
      </c>
      <c r="D18662" t="s">
        <v>57113</v>
      </c>
      <c r="F18662" t="s">
        <v>57114</v>
      </c>
      <c r="I18662" t="s">
        <v>184</v>
      </c>
      <c r="J18662" t="s">
        <v>30</v>
      </c>
      <c r="K18662" t="s">
        <v>57115</v>
      </c>
      <c r="M18662" t="s">
        <v>50621</v>
      </c>
      <c r="N18662" t="str">
        <f>"3/6/2023 2:53:00 PM"</f>
        <v>3/6/2023 2:53:00 PM</v>
      </c>
      <c r="O18662" t="s">
        <v>57113</v>
      </c>
    </row>
    <row r="18663" spans="1:20" x14ac:dyDescent="0.25">
      <c r="A18663" t="str">
        <f>"3062489"</f>
        <v>3062489</v>
      </c>
      <c r="B18663" t="s">
        <v>57116</v>
      </c>
      <c r="C18663" t="str">
        <f>"33250320"</f>
        <v>33250320</v>
      </c>
      <c r="D18663" t="s">
        <v>57117</v>
      </c>
      <c r="E18663" t="s">
        <v>57118</v>
      </c>
      <c r="F18663" t="s">
        <v>57119</v>
      </c>
      <c r="I18663" t="s">
        <v>184</v>
      </c>
      <c r="J18663" t="s">
        <v>30</v>
      </c>
      <c r="K18663" t="s">
        <v>18878</v>
      </c>
      <c r="M18663" t="s">
        <v>50621</v>
      </c>
      <c r="N18663" t="str">
        <f>"3/6/2023 2:54:00 PM"</f>
        <v>3/6/2023 2:54:00 PM</v>
      </c>
      <c r="O18663" t="s">
        <v>57117</v>
      </c>
      <c r="T18663" t="s">
        <v>57118</v>
      </c>
    </row>
    <row r="18664" spans="1:20" x14ac:dyDescent="0.25">
      <c r="A18664" t="str">
        <f>"3049863"</f>
        <v>3049863</v>
      </c>
      <c r="B18664" t="s">
        <v>57120</v>
      </c>
      <c r="C18664" t="str">
        <f>"82517866"</f>
        <v>82517866</v>
      </c>
      <c r="D18664" t="s">
        <v>57121</v>
      </c>
      <c r="E18664" t="s">
        <v>57122</v>
      </c>
      <c r="F18664" t="s">
        <v>57123</v>
      </c>
      <c r="I18664" t="s">
        <v>29</v>
      </c>
      <c r="J18664" t="s">
        <v>30</v>
      </c>
      <c r="K18664" t="s">
        <v>31</v>
      </c>
      <c r="M18664" t="s">
        <v>50621</v>
      </c>
      <c r="N18664" t="str">
        <f>"3/6/2023 2:54:00 PM"</f>
        <v>3/6/2023 2:54:00 PM</v>
      </c>
      <c r="O18664" t="s">
        <v>57121</v>
      </c>
      <c r="T18664" t="s">
        <v>57122</v>
      </c>
    </row>
    <row r="18665" spans="1:20" x14ac:dyDescent="0.25">
      <c r="A18665" t="str">
        <f>"3043840"</f>
        <v>3043840</v>
      </c>
      <c r="B18665" t="s">
        <v>57124</v>
      </c>
      <c r="C18665" t="str">
        <f>"8314836"</f>
        <v>8314836</v>
      </c>
      <c r="D18665" t="s">
        <v>57125</v>
      </c>
      <c r="E18665" t="s">
        <v>57126</v>
      </c>
      <c r="F18665" t="s">
        <v>30393</v>
      </c>
      <c r="I18665" t="s">
        <v>2280</v>
      </c>
      <c r="J18665" t="s">
        <v>30</v>
      </c>
      <c r="K18665" t="s">
        <v>57127</v>
      </c>
      <c r="M18665" t="s">
        <v>50621</v>
      </c>
      <c r="N18665" t="str">
        <f>"3/6/2023 2:55:00 PM"</f>
        <v>3/6/2023 2:55:00 PM</v>
      </c>
      <c r="O18665" t="s">
        <v>57125</v>
      </c>
      <c r="T18665" t="s">
        <v>57126</v>
      </c>
    </row>
    <row r="18666" spans="1:20" x14ac:dyDescent="0.25">
      <c r="A18666" t="str">
        <f>"3060285"</f>
        <v>3060285</v>
      </c>
      <c r="B18666" t="s">
        <v>57128</v>
      </c>
      <c r="C18666" t="str">
        <f>"8315745"</f>
        <v>8315745</v>
      </c>
      <c r="D18666" t="s">
        <v>57085</v>
      </c>
      <c r="E18666" t="s">
        <v>57086</v>
      </c>
      <c r="F18666" t="s">
        <v>57087</v>
      </c>
      <c r="I18666" t="s">
        <v>184</v>
      </c>
      <c r="J18666" t="s">
        <v>30</v>
      </c>
      <c r="K18666" t="s">
        <v>38676</v>
      </c>
      <c r="M18666" t="s">
        <v>50621</v>
      </c>
      <c r="N18666" t="str">
        <f>"3/6/2023 11:57:00 AM"</f>
        <v>3/6/2023 11:57:00 AM</v>
      </c>
      <c r="O18666" t="s">
        <v>57085</v>
      </c>
      <c r="T18666" t="s">
        <v>57086</v>
      </c>
    </row>
    <row r="18667" spans="1:20" x14ac:dyDescent="0.25">
      <c r="A18667" t="str">
        <f>"3055116"</f>
        <v>3055116</v>
      </c>
      <c r="B18667" t="s">
        <v>57129</v>
      </c>
      <c r="C18667" t="str">
        <f>"11764000"</f>
        <v>11764000</v>
      </c>
      <c r="D18667" t="s">
        <v>57130</v>
      </c>
      <c r="F18667" t="s">
        <v>57131</v>
      </c>
      <c r="I18667" t="s">
        <v>29</v>
      </c>
      <c r="J18667" t="s">
        <v>30</v>
      </c>
      <c r="K18667" t="s">
        <v>31</v>
      </c>
      <c r="M18667" t="s">
        <v>50621</v>
      </c>
      <c r="N18667" t="str">
        <f>"3/6/2023 12:08:00 PM"</f>
        <v>3/6/2023 12:08:00 PM</v>
      </c>
      <c r="O18667" t="s">
        <v>57130</v>
      </c>
    </row>
    <row r="18668" spans="1:20" x14ac:dyDescent="0.25">
      <c r="A18668" t="str">
        <f>"3038598"</f>
        <v>3038598</v>
      </c>
      <c r="B18668" t="s">
        <v>57132</v>
      </c>
      <c r="C18668" t="str">
        <f>"12439500"</f>
        <v>12439500</v>
      </c>
      <c r="D18668" t="s">
        <v>57133</v>
      </c>
      <c r="F18668" t="s">
        <v>57134</v>
      </c>
      <c r="I18668" t="s">
        <v>29</v>
      </c>
      <c r="J18668" t="s">
        <v>30</v>
      </c>
      <c r="K18668" t="s">
        <v>57135</v>
      </c>
      <c r="M18668" t="s">
        <v>50621</v>
      </c>
      <c r="N18668" t="str">
        <f>"3/6/2023 12:15:00 PM"</f>
        <v>3/6/2023 12:15:00 PM</v>
      </c>
      <c r="O18668" t="s">
        <v>57133</v>
      </c>
      <c r="T18668" t="s">
        <v>57133</v>
      </c>
    </row>
    <row r="18669" spans="1:20" x14ac:dyDescent="0.25">
      <c r="A18669" t="str">
        <f>"3042017"</f>
        <v>3042017</v>
      </c>
      <c r="B18669" t="s">
        <v>57136</v>
      </c>
      <c r="C18669" t="str">
        <f t="shared" ref="C18669:C18680" si="288">"8303171"</f>
        <v>8303171</v>
      </c>
      <c r="D18669" t="s">
        <v>57137</v>
      </c>
      <c r="F18669" t="s">
        <v>57138</v>
      </c>
      <c r="I18669" t="s">
        <v>29</v>
      </c>
      <c r="J18669" t="s">
        <v>30</v>
      </c>
      <c r="K18669" t="str">
        <f t="shared" ref="K18669:K18680" si="289">"27028"</f>
        <v>27028</v>
      </c>
      <c r="M18669" t="s">
        <v>50621</v>
      </c>
      <c r="N18669" t="str">
        <f t="shared" ref="N18669:N18680" si="290">"3/6/2023 3:19:00 PM"</f>
        <v>3/6/2023 3:19:00 PM</v>
      </c>
      <c r="O18669" t="s">
        <v>57137</v>
      </c>
    </row>
    <row r="18670" spans="1:20" x14ac:dyDescent="0.25">
      <c r="A18670" t="str">
        <f>"3042014"</f>
        <v>3042014</v>
      </c>
      <c r="B18670" t="s">
        <v>57139</v>
      </c>
      <c r="C18670" t="str">
        <f t="shared" si="288"/>
        <v>8303171</v>
      </c>
      <c r="D18670" t="s">
        <v>57137</v>
      </c>
      <c r="F18670" t="s">
        <v>57138</v>
      </c>
      <c r="I18670" t="s">
        <v>29</v>
      </c>
      <c r="J18670" t="s">
        <v>30</v>
      </c>
      <c r="K18670" t="str">
        <f t="shared" si="289"/>
        <v>27028</v>
      </c>
      <c r="M18670" t="s">
        <v>50621</v>
      </c>
      <c r="N18670" t="str">
        <f t="shared" si="290"/>
        <v>3/6/2023 3:19:00 PM</v>
      </c>
      <c r="O18670" t="s">
        <v>57137</v>
      </c>
    </row>
    <row r="18671" spans="1:20" x14ac:dyDescent="0.25">
      <c r="A18671" t="str">
        <f>"3042015"</f>
        <v>3042015</v>
      </c>
      <c r="B18671" t="s">
        <v>57140</v>
      </c>
      <c r="C18671" t="str">
        <f t="shared" si="288"/>
        <v>8303171</v>
      </c>
      <c r="D18671" t="s">
        <v>57137</v>
      </c>
      <c r="F18671" t="s">
        <v>57138</v>
      </c>
      <c r="I18671" t="s">
        <v>29</v>
      </c>
      <c r="J18671" t="s">
        <v>30</v>
      </c>
      <c r="K18671" t="str">
        <f t="shared" si="289"/>
        <v>27028</v>
      </c>
      <c r="M18671" t="s">
        <v>50621</v>
      </c>
      <c r="N18671" t="str">
        <f t="shared" si="290"/>
        <v>3/6/2023 3:19:00 PM</v>
      </c>
      <c r="O18671" t="s">
        <v>57137</v>
      </c>
    </row>
    <row r="18672" spans="1:20" x14ac:dyDescent="0.25">
      <c r="A18672" t="str">
        <f>"3042009"</f>
        <v>3042009</v>
      </c>
      <c r="B18672" t="s">
        <v>57141</v>
      </c>
      <c r="C18672" t="str">
        <f t="shared" si="288"/>
        <v>8303171</v>
      </c>
      <c r="D18672" t="s">
        <v>57137</v>
      </c>
      <c r="F18672" t="s">
        <v>57138</v>
      </c>
      <c r="I18672" t="s">
        <v>29</v>
      </c>
      <c r="J18672" t="s">
        <v>30</v>
      </c>
      <c r="K18672" t="str">
        <f t="shared" si="289"/>
        <v>27028</v>
      </c>
      <c r="M18672" t="s">
        <v>50621</v>
      </c>
      <c r="N18672" t="str">
        <f t="shared" si="290"/>
        <v>3/6/2023 3:19:00 PM</v>
      </c>
      <c r="O18672" t="s">
        <v>57137</v>
      </c>
    </row>
    <row r="18673" spans="1:20" x14ac:dyDescent="0.25">
      <c r="A18673" t="str">
        <f>"3041995"</f>
        <v>3041995</v>
      </c>
      <c r="B18673" t="s">
        <v>57142</v>
      </c>
      <c r="C18673" t="str">
        <f t="shared" si="288"/>
        <v>8303171</v>
      </c>
      <c r="D18673" t="s">
        <v>57137</v>
      </c>
      <c r="F18673" t="s">
        <v>57138</v>
      </c>
      <c r="I18673" t="s">
        <v>29</v>
      </c>
      <c r="J18673" t="s">
        <v>30</v>
      </c>
      <c r="K18673" t="str">
        <f t="shared" si="289"/>
        <v>27028</v>
      </c>
      <c r="M18673" t="s">
        <v>50621</v>
      </c>
      <c r="N18673" t="str">
        <f t="shared" si="290"/>
        <v>3/6/2023 3:19:00 PM</v>
      </c>
      <c r="O18673" t="s">
        <v>57137</v>
      </c>
    </row>
    <row r="18674" spans="1:20" x14ac:dyDescent="0.25">
      <c r="A18674" t="str">
        <f>"3041996"</f>
        <v>3041996</v>
      </c>
      <c r="B18674" t="s">
        <v>57143</v>
      </c>
      <c r="C18674" t="str">
        <f t="shared" si="288"/>
        <v>8303171</v>
      </c>
      <c r="D18674" t="s">
        <v>57137</v>
      </c>
      <c r="F18674" t="s">
        <v>57138</v>
      </c>
      <c r="I18674" t="s">
        <v>29</v>
      </c>
      <c r="J18674" t="s">
        <v>30</v>
      </c>
      <c r="K18674" t="str">
        <f t="shared" si="289"/>
        <v>27028</v>
      </c>
      <c r="M18674" t="s">
        <v>50621</v>
      </c>
      <c r="N18674" t="str">
        <f t="shared" si="290"/>
        <v>3/6/2023 3:19:00 PM</v>
      </c>
      <c r="O18674" t="s">
        <v>57137</v>
      </c>
    </row>
    <row r="18675" spans="1:20" x14ac:dyDescent="0.25">
      <c r="A18675" t="str">
        <f>"3042007"</f>
        <v>3042007</v>
      </c>
      <c r="B18675" t="s">
        <v>57144</v>
      </c>
      <c r="C18675" t="str">
        <f t="shared" si="288"/>
        <v>8303171</v>
      </c>
      <c r="D18675" t="s">
        <v>57137</v>
      </c>
      <c r="F18675" t="s">
        <v>57138</v>
      </c>
      <c r="I18675" t="s">
        <v>29</v>
      </c>
      <c r="J18675" t="s">
        <v>30</v>
      </c>
      <c r="K18675" t="str">
        <f t="shared" si="289"/>
        <v>27028</v>
      </c>
      <c r="M18675" t="s">
        <v>50621</v>
      </c>
      <c r="N18675" t="str">
        <f t="shared" si="290"/>
        <v>3/6/2023 3:19:00 PM</v>
      </c>
      <c r="O18675" t="s">
        <v>57137</v>
      </c>
    </row>
    <row r="18676" spans="1:20" x14ac:dyDescent="0.25">
      <c r="A18676" t="str">
        <f>"3042008"</f>
        <v>3042008</v>
      </c>
      <c r="B18676" t="s">
        <v>57145</v>
      </c>
      <c r="C18676" t="str">
        <f t="shared" si="288"/>
        <v>8303171</v>
      </c>
      <c r="D18676" t="s">
        <v>57137</v>
      </c>
      <c r="F18676" t="s">
        <v>57138</v>
      </c>
      <c r="I18676" t="s">
        <v>29</v>
      </c>
      <c r="J18676" t="s">
        <v>30</v>
      </c>
      <c r="K18676" t="str">
        <f t="shared" si="289"/>
        <v>27028</v>
      </c>
      <c r="M18676" t="s">
        <v>50621</v>
      </c>
      <c r="N18676" t="str">
        <f t="shared" si="290"/>
        <v>3/6/2023 3:19:00 PM</v>
      </c>
      <c r="O18676" t="s">
        <v>57137</v>
      </c>
    </row>
    <row r="18677" spans="1:20" x14ac:dyDescent="0.25">
      <c r="A18677" t="str">
        <f>"3076992"</f>
        <v>3076992</v>
      </c>
      <c r="B18677" t="s">
        <v>57146</v>
      </c>
      <c r="C18677" t="str">
        <f t="shared" si="288"/>
        <v>8303171</v>
      </c>
      <c r="D18677" t="s">
        <v>57137</v>
      </c>
      <c r="F18677" t="s">
        <v>57138</v>
      </c>
      <c r="I18677" t="s">
        <v>29</v>
      </c>
      <c r="J18677" t="s">
        <v>30</v>
      </c>
      <c r="K18677" t="str">
        <f t="shared" si="289"/>
        <v>27028</v>
      </c>
      <c r="M18677" t="s">
        <v>50621</v>
      </c>
      <c r="N18677" t="str">
        <f t="shared" si="290"/>
        <v>3/6/2023 3:19:00 PM</v>
      </c>
      <c r="O18677" t="s">
        <v>57137</v>
      </c>
    </row>
    <row r="18678" spans="1:20" x14ac:dyDescent="0.25">
      <c r="A18678" t="str">
        <f>"3076995"</f>
        <v>3076995</v>
      </c>
      <c r="B18678" t="s">
        <v>57147</v>
      </c>
      <c r="C18678" t="str">
        <f t="shared" si="288"/>
        <v>8303171</v>
      </c>
      <c r="D18678" t="s">
        <v>57137</v>
      </c>
      <c r="F18678" t="s">
        <v>57138</v>
      </c>
      <c r="I18678" t="s">
        <v>29</v>
      </c>
      <c r="J18678" t="s">
        <v>30</v>
      </c>
      <c r="K18678" t="str">
        <f t="shared" si="289"/>
        <v>27028</v>
      </c>
      <c r="M18678" t="s">
        <v>50621</v>
      </c>
      <c r="N18678" t="str">
        <f t="shared" si="290"/>
        <v>3/6/2023 3:19:00 PM</v>
      </c>
      <c r="O18678" t="s">
        <v>57137</v>
      </c>
    </row>
    <row r="18679" spans="1:20" x14ac:dyDescent="0.25">
      <c r="A18679" t="str">
        <f>"3070225"</f>
        <v>3070225</v>
      </c>
      <c r="B18679" t="s">
        <v>57148</v>
      </c>
      <c r="C18679" t="str">
        <f t="shared" si="288"/>
        <v>8303171</v>
      </c>
      <c r="D18679" t="s">
        <v>57137</v>
      </c>
      <c r="F18679" t="s">
        <v>57138</v>
      </c>
      <c r="I18679" t="s">
        <v>29</v>
      </c>
      <c r="J18679" t="s">
        <v>30</v>
      </c>
      <c r="K18679" t="str">
        <f t="shared" si="289"/>
        <v>27028</v>
      </c>
      <c r="M18679" t="s">
        <v>50621</v>
      </c>
      <c r="N18679" t="str">
        <f t="shared" si="290"/>
        <v>3/6/2023 3:19:00 PM</v>
      </c>
      <c r="O18679" t="s">
        <v>57137</v>
      </c>
    </row>
    <row r="18680" spans="1:20" x14ac:dyDescent="0.25">
      <c r="A18680" t="str">
        <f>"3070234"</f>
        <v>3070234</v>
      </c>
      <c r="B18680" t="s">
        <v>57149</v>
      </c>
      <c r="C18680" t="str">
        <f t="shared" si="288"/>
        <v>8303171</v>
      </c>
      <c r="D18680" t="s">
        <v>57137</v>
      </c>
      <c r="F18680" t="s">
        <v>57138</v>
      </c>
      <c r="I18680" t="s">
        <v>29</v>
      </c>
      <c r="J18680" t="s">
        <v>30</v>
      </c>
      <c r="K18680" t="str">
        <f t="shared" si="289"/>
        <v>27028</v>
      </c>
      <c r="M18680" t="s">
        <v>50621</v>
      </c>
      <c r="N18680" t="str">
        <f t="shared" si="290"/>
        <v>3/6/2023 3:19:00 PM</v>
      </c>
      <c r="O18680" t="s">
        <v>57137</v>
      </c>
    </row>
    <row r="18681" spans="1:20" x14ac:dyDescent="0.25">
      <c r="A18681" t="str">
        <f>"3048701"</f>
        <v>3048701</v>
      </c>
      <c r="B18681" t="s">
        <v>57150</v>
      </c>
      <c r="C18681" t="str">
        <f>"38999000"</f>
        <v>38999000</v>
      </c>
      <c r="D18681" t="s">
        <v>57151</v>
      </c>
      <c r="F18681" t="s">
        <v>53282</v>
      </c>
      <c r="I18681" t="s">
        <v>29</v>
      </c>
      <c r="J18681" t="s">
        <v>30</v>
      </c>
      <c r="K18681" t="s">
        <v>31</v>
      </c>
      <c r="M18681" t="s">
        <v>50621</v>
      </c>
      <c r="N18681" t="str">
        <f>"3/6/2023 3:22:00 PM"</f>
        <v>3/6/2023 3:22:00 PM</v>
      </c>
      <c r="O18681" t="s">
        <v>57151</v>
      </c>
    </row>
    <row r="18682" spans="1:20" x14ac:dyDescent="0.25">
      <c r="A18682" t="str">
        <f>"3062093"</f>
        <v>3062093</v>
      </c>
      <c r="B18682" t="s">
        <v>57152</v>
      </c>
      <c r="C18682" t="str">
        <f>"82525212"</f>
        <v>82525212</v>
      </c>
      <c r="D18682" t="s">
        <v>57153</v>
      </c>
      <c r="F18682" t="s">
        <v>57154</v>
      </c>
      <c r="I18682" t="s">
        <v>29</v>
      </c>
      <c r="J18682" t="s">
        <v>30</v>
      </c>
      <c r="K18682" t="s">
        <v>15987</v>
      </c>
      <c r="M18682" t="s">
        <v>50621</v>
      </c>
      <c r="N18682" t="str">
        <f>"3/6/2023 3:25:00 PM"</f>
        <v>3/6/2023 3:25:00 PM</v>
      </c>
      <c r="O18682" t="s">
        <v>57153</v>
      </c>
    </row>
    <row r="18683" spans="1:20" x14ac:dyDescent="0.25">
      <c r="A18683" t="str">
        <f>"3063862"</f>
        <v>3063862</v>
      </c>
      <c r="B18683" t="s">
        <v>57155</v>
      </c>
      <c r="C18683" t="str">
        <f>"82513272"</f>
        <v>82513272</v>
      </c>
      <c r="D18683" t="s">
        <v>57156</v>
      </c>
      <c r="F18683" t="s">
        <v>5167</v>
      </c>
      <c r="I18683" t="s">
        <v>471</v>
      </c>
      <c r="J18683" t="s">
        <v>30</v>
      </c>
      <c r="K18683" t="s">
        <v>2758</v>
      </c>
      <c r="M18683" t="s">
        <v>50621</v>
      </c>
      <c r="N18683" t="str">
        <f>"3/6/2023 12:16:00 PM"</f>
        <v>3/6/2023 12:16:00 PM</v>
      </c>
      <c r="O18683" t="s">
        <v>57156</v>
      </c>
    </row>
    <row r="18684" spans="1:20" x14ac:dyDescent="0.25">
      <c r="A18684" t="str">
        <f>"3037840"</f>
        <v>3037840</v>
      </c>
      <c r="B18684" t="s">
        <v>57157</v>
      </c>
      <c r="C18684" t="str">
        <f>"40990000"</f>
        <v>40990000</v>
      </c>
      <c r="D18684" t="s">
        <v>57158</v>
      </c>
      <c r="E18684" t="s">
        <v>57159</v>
      </c>
      <c r="F18684" t="s">
        <v>57160</v>
      </c>
      <c r="I18684" t="s">
        <v>29</v>
      </c>
      <c r="J18684" t="s">
        <v>30</v>
      </c>
      <c r="K18684" t="s">
        <v>46771</v>
      </c>
      <c r="M18684" t="s">
        <v>50621</v>
      </c>
      <c r="N18684" t="str">
        <f>"3/6/2023 3:29:00 PM"</f>
        <v>3/6/2023 3:29:00 PM</v>
      </c>
      <c r="O18684" t="s">
        <v>57158</v>
      </c>
      <c r="T18684" t="s">
        <v>57159</v>
      </c>
    </row>
    <row r="18685" spans="1:20" x14ac:dyDescent="0.25">
      <c r="A18685" t="str">
        <f>"3072926"</f>
        <v>3072926</v>
      </c>
      <c r="B18685" t="s">
        <v>57161</v>
      </c>
      <c r="C18685" t="str">
        <f>"40990000"</f>
        <v>40990000</v>
      </c>
      <c r="D18685" t="s">
        <v>57158</v>
      </c>
      <c r="E18685" t="s">
        <v>57159</v>
      </c>
      <c r="F18685" t="s">
        <v>57160</v>
      </c>
      <c r="I18685" t="s">
        <v>29</v>
      </c>
      <c r="J18685" t="s">
        <v>30</v>
      </c>
      <c r="K18685" t="s">
        <v>46771</v>
      </c>
      <c r="M18685" t="s">
        <v>50621</v>
      </c>
      <c r="N18685" t="str">
        <f>"3/6/2023 3:29:00 PM"</f>
        <v>3/6/2023 3:29:00 PM</v>
      </c>
      <c r="O18685" t="s">
        <v>57158</v>
      </c>
      <c r="T18685" t="s">
        <v>57159</v>
      </c>
    </row>
    <row r="18686" spans="1:20" x14ac:dyDescent="0.25">
      <c r="A18686" t="str">
        <f>"3052530"</f>
        <v>3052530</v>
      </c>
      <c r="B18686" t="s">
        <v>57162</v>
      </c>
      <c r="C18686" t="str">
        <f>"82523100"</f>
        <v>82523100</v>
      </c>
      <c r="D18686" t="s">
        <v>57163</v>
      </c>
      <c r="E18686" t="str">
        <f>"C/0 KEN BRADSHAW - PRESIDENT"</f>
        <v>C/0 KEN BRADSHAW - PRESIDENT</v>
      </c>
      <c r="F18686" t="s">
        <v>57164</v>
      </c>
      <c r="I18686" t="s">
        <v>56785</v>
      </c>
      <c r="J18686" t="s">
        <v>12725</v>
      </c>
      <c r="K18686" t="s">
        <v>57165</v>
      </c>
      <c r="M18686" t="s">
        <v>50621</v>
      </c>
      <c r="N18686" t="str">
        <f>"3/6/2023 3:33:00 PM"</f>
        <v>3/6/2023 3:33:00 PM</v>
      </c>
      <c r="O18686" t="s">
        <v>57163</v>
      </c>
      <c r="T18686" t="str">
        <f>"C/0 KEN BRADSHAW - PRESIDENT"</f>
        <v>C/0 KEN BRADSHAW - PRESIDENT</v>
      </c>
    </row>
    <row r="18687" spans="1:20" x14ac:dyDescent="0.25">
      <c r="A18687" t="str">
        <f>"3056532"</f>
        <v>3056532</v>
      </c>
      <c r="B18687" t="s">
        <v>57166</v>
      </c>
      <c r="C18687" t="str">
        <f>"43134000"</f>
        <v>43134000</v>
      </c>
      <c r="D18687" t="s">
        <v>57167</v>
      </c>
      <c r="E18687" t="s">
        <v>57168</v>
      </c>
      <c r="F18687" t="s">
        <v>57169</v>
      </c>
      <c r="I18687" t="s">
        <v>29</v>
      </c>
      <c r="J18687" t="s">
        <v>30</v>
      </c>
      <c r="K18687" t="s">
        <v>31</v>
      </c>
      <c r="M18687" t="s">
        <v>50621</v>
      </c>
      <c r="N18687" t="str">
        <f>"3/6/2023 3:34:00 PM"</f>
        <v>3/6/2023 3:34:00 PM</v>
      </c>
      <c r="O18687" t="s">
        <v>57167</v>
      </c>
      <c r="T18687" t="s">
        <v>57168</v>
      </c>
    </row>
    <row r="18688" spans="1:20" x14ac:dyDescent="0.25">
      <c r="A18688" t="str">
        <f>"3056782"</f>
        <v>3056782</v>
      </c>
      <c r="B18688" t="s">
        <v>57170</v>
      </c>
      <c r="C18688" t="str">
        <f>"43134000"</f>
        <v>43134000</v>
      </c>
      <c r="D18688" t="s">
        <v>57167</v>
      </c>
      <c r="E18688" t="s">
        <v>57168</v>
      </c>
      <c r="F18688" t="s">
        <v>57169</v>
      </c>
      <c r="I18688" t="s">
        <v>29</v>
      </c>
      <c r="J18688" t="s">
        <v>30</v>
      </c>
      <c r="K18688" t="s">
        <v>31</v>
      </c>
      <c r="M18688" t="s">
        <v>50621</v>
      </c>
      <c r="N18688" t="str">
        <f>"3/6/2023 3:34:00 PM"</f>
        <v>3/6/2023 3:34:00 PM</v>
      </c>
      <c r="O18688" t="s">
        <v>57167</v>
      </c>
      <c r="T18688" t="s">
        <v>57168</v>
      </c>
    </row>
    <row r="18689" spans="1:20" x14ac:dyDescent="0.25">
      <c r="A18689" t="str">
        <f>"3037560"</f>
        <v>3037560</v>
      </c>
      <c r="B18689" t="s">
        <v>57171</v>
      </c>
      <c r="C18689" t="str">
        <f>"8310849"</f>
        <v>8310849</v>
      </c>
      <c r="D18689" t="s">
        <v>36966</v>
      </c>
      <c r="E18689" t="s">
        <v>57172</v>
      </c>
      <c r="F18689" t="s">
        <v>36968</v>
      </c>
      <c r="I18689" t="s">
        <v>29</v>
      </c>
      <c r="J18689" t="s">
        <v>30</v>
      </c>
      <c r="K18689" t="s">
        <v>36969</v>
      </c>
      <c r="M18689" t="s">
        <v>50621</v>
      </c>
      <c r="N18689" t="str">
        <f>"3/6/2023 3:35:00 PM"</f>
        <v>3/6/2023 3:35:00 PM</v>
      </c>
      <c r="O18689" t="s">
        <v>36966</v>
      </c>
      <c r="T18689" t="s">
        <v>57172</v>
      </c>
    </row>
    <row r="18690" spans="1:20" x14ac:dyDescent="0.25">
      <c r="A18690" t="str">
        <f>"3046874"</f>
        <v>3046874</v>
      </c>
      <c r="B18690" t="s">
        <v>57173</v>
      </c>
      <c r="C18690" t="str">
        <f>"40057250"</f>
        <v>40057250</v>
      </c>
      <c r="D18690" t="s">
        <v>57174</v>
      </c>
      <c r="E18690" t="s">
        <v>57175</v>
      </c>
      <c r="F18690" t="s">
        <v>57176</v>
      </c>
      <c r="I18690" t="s">
        <v>29</v>
      </c>
      <c r="J18690" t="s">
        <v>30</v>
      </c>
      <c r="K18690" t="s">
        <v>38602</v>
      </c>
      <c r="M18690" t="s">
        <v>50621</v>
      </c>
      <c r="N18690" t="str">
        <f>"3/6/2023 3:36:00 PM"</f>
        <v>3/6/2023 3:36:00 PM</v>
      </c>
      <c r="O18690" t="s">
        <v>57174</v>
      </c>
      <c r="T18690" t="s">
        <v>57175</v>
      </c>
    </row>
    <row r="18691" spans="1:20" x14ac:dyDescent="0.25">
      <c r="A18691" t="str">
        <f>"3046875"</f>
        <v>3046875</v>
      </c>
      <c r="B18691" t="s">
        <v>57177</v>
      </c>
      <c r="C18691" t="str">
        <f>"40057250"</f>
        <v>40057250</v>
      </c>
      <c r="D18691" t="s">
        <v>57174</v>
      </c>
      <c r="E18691" t="s">
        <v>57175</v>
      </c>
      <c r="F18691" t="s">
        <v>57176</v>
      </c>
      <c r="I18691" t="s">
        <v>29</v>
      </c>
      <c r="J18691" t="s">
        <v>30</v>
      </c>
      <c r="K18691" t="s">
        <v>38602</v>
      </c>
      <c r="M18691" t="s">
        <v>50621</v>
      </c>
      <c r="N18691" t="str">
        <f>"3/6/2023 3:36:00 PM"</f>
        <v>3/6/2023 3:36:00 PM</v>
      </c>
      <c r="O18691" t="s">
        <v>57174</v>
      </c>
      <c r="T18691" t="s">
        <v>57175</v>
      </c>
    </row>
    <row r="18692" spans="1:20" x14ac:dyDescent="0.25">
      <c r="A18692" t="str">
        <f>"3047123"</f>
        <v>3047123</v>
      </c>
      <c r="B18692" t="s">
        <v>57178</v>
      </c>
      <c r="C18692" t="str">
        <f>"40057250"</f>
        <v>40057250</v>
      </c>
      <c r="D18692" t="s">
        <v>57174</v>
      </c>
      <c r="E18692" t="s">
        <v>57175</v>
      </c>
      <c r="F18692" t="s">
        <v>57176</v>
      </c>
      <c r="I18692" t="s">
        <v>29</v>
      </c>
      <c r="J18692" t="s">
        <v>30</v>
      </c>
      <c r="K18692" t="s">
        <v>38602</v>
      </c>
      <c r="M18692" t="s">
        <v>50621</v>
      </c>
      <c r="N18692" t="str">
        <f>"3/6/2023 3:36:00 PM"</f>
        <v>3/6/2023 3:36:00 PM</v>
      </c>
      <c r="O18692" t="s">
        <v>57174</v>
      </c>
      <c r="T18692" t="s">
        <v>57175</v>
      </c>
    </row>
    <row r="18693" spans="1:20" x14ac:dyDescent="0.25">
      <c r="A18693" t="str">
        <f>"3078442"</f>
        <v>3078442</v>
      </c>
      <c r="B18693" t="s">
        <v>57179</v>
      </c>
      <c r="C18693" t="str">
        <f>"8314051"</f>
        <v>8314051</v>
      </c>
      <c r="D18693" t="s">
        <v>57180</v>
      </c>
      <c r="F18693" t="s">
        <v>57181</v>
      </c>
      <c r="I18693" t="s">
        <v>29</v>
      </c>
      <c r="J18693" t="s">
        <v>30</v>
      </c>
      <c r="K18693" t="s">
        <v>25805</v>
      </c>
      <c r="M18693" t="s">
        <v>50621</v>
      </c>
      <c r="N18693" t="str">
        <f>"3/6/2023 12:17:00 PM"</f>
        <v>3/6/2023 12:17:00 PM</v>
      </c>
      <c r="O18693" t="s">
        <v>57180</v>
      </c>
    </row>
    <row r="18694" spans="1:20" x14ac:dyDescent="0.25">
      <c r="A18694" t="str">
        <f>"3038792"</f>
        <v>3038792</v>
      </c>
      <c r="B18694" t="s">
        <v>57182</v>
      </c>
      <c r="C18694" t="str">
        <f>"82529828"</f>
        <v>82529828</v>
      </c>
      <c r="D18694" t="s">
        <v>57183</v>
      </c>
      <c r="F18694" t="s">
        <v>57184</v>
      </c>
      <c r="I18694" t="s">
        <v>17921</v>
      </c>
      <c r="J18694" t="s">
        <v>30</v>
      </c>
      <c r="K18694" t="s">
        <v>31</v>
      </c>
      <c r="M18694" t="s">
        <v>50621</v>
      </c>
      <c r="N18694" t="str">
        <f>"3/6/2023 12:17:00 PM"</f>
        <v>3/6/2023 12:17:00 PM</v>
      </c>
      <c r="O18694" t="s">
        <v>57183</v>
      </c>
    </row>
    <row r="18695" spans="1:20" x14ac:dyDescent="0.25">
      <c r="A18695" t="str">
        <f>"3051489"</f>
        <v>3051489</v>
      </c>
      <c r="B18695" t="s">
        <v>57185</v>
      </c>
      <c r="C18695" t="str">
        <f>"45853000"</f>
        <v>45853000</v>
      </c>
      <c r="D18695" t="s">
        <v>57186</v>
      </c>
      <c r="E18695" t="s">
        <v>57187</v>
      </c>
      <c r="F18695" t="s">
        <v>57188</v>
      </c>
      <c r="I18695" t="s">
        <v>29</v>
      </c>
      <c r="J18695" t="s">
        <v>30</v>
      </c>
      <c r="K18695" t="s">
        <v>9645</v>
      </c>
      <c r="M18695" t="s">
        <v>50621</v>
      </c>
      <c r="N18695" t="str">
        <f>"3/6/2023 3:47:00 PM"</f>
        <v>3/6/2023 3:47:00 PM</v>
      </c>
      <c r="O18695" t="s">
        <v>57186</v>
      </c>
      <c r="T18695" t="s">
        <v>57187</v>
      </c>
    </row>
    <row r="18696" spans="1:20" x14ac:dyDescent="0.25">
      <c r="A18696" t="str">
        <f>"3044321"</f>
        <v>3044321</v>
      </c>
      <c r="B18696" t="s">
        <v>57189</v>
      </c>
      <c r="C18696" t="str">
        <f>"82529181"</f>
        <v>82529181</v>
      </c>
      <c r="D18696" t="s">
        <v>57190</v>
      </c>
      <c r="F18696" t="s">
        <v>57191</v>
      </c>
      <c r="I18696" t="s">
        <v>184</v>
      </c>
      <c r="J18696" t="s">
        <v>30</v>
      </c>
      <c r="K18696" t="s">
        <v>185</v>
      </c>
      <c r="M18696" t="s">
        <v>50621</v>
      </c>
      <c r="N18696" t="str">
        <f>"3/6/2023 3:50:00 PM"</f>
        <v>3/6/2023 3:50:00 PM</v>
      </c>
      <c r="O18696" t="s">
        <v>57190</v>
      </c>
    </row>
    <row r="18697" spans="1:20" x14ac:dyDescent="0.25">
      <c r="A18697" t="str">
        <f>"3043921"</f>
        <v>3043921</v>
      </c>
      <c r="B18697" t="s">
        <v>57192</v>
      </c>
      <c r="C18697" t="str">
        <f>"82529181"</f>
        <v>82529181</v>
      </c>
      <c r="D18697" t="s">
        <v>57190</v>
      </c>
      <c r="F18697" t="s">
        <v>57191</v>
      </c>
      <c r="I18697" t="s">
        <v>184</v>
      </c>
      <c r="J18697" t="s">
        <v>30</v>
      </c>
      <c r="K18697" t="s">
        <v>185</v>
      </c>
      <c r="M18697" t="s">
        <v>50621</v>
      </c>
      <c r="N18697" t="str">
        <f>"3/6/2023 3:50:00 PM"</f>
        <v>3/6/2023 3:50:00 PM</v>
      </c>
      <c r="O18697" t="s">
        <v>57190</v>
      </c>
    </row>
    <row r="18698" spans="1:20" x14ac:dyDescent="0.25">
      <c r="A18698" t="str">
        <f>"3060827"</f>
        <v>3060827</v>
      </c>
      <c r="B18698" t="s">
        <v>57193</v>
      </c>
      <c r="C18698" t="str">
        <f>"82532034"</f>
        <v>82532034</v>
      </c>
      <c r="D18698" t="s">
        <v>57194</v>
      </c>
      <c r="E18698" t="s">
        <v>57195</v>
      </c>
      <c r="F18698" t="s">
        <v>57196</v>
      </c>
      <c r="I18698" t="s">
        <v>184</v>
      </c>
      <c r="J18698" t="s">
        <v>30</v>
      </c>
      <c r="K18698" t="s">
        <v>185</v>
      </c>
      <c r="M18698" t="s">
        <v>50621</v>
      </c>
      <c r="N18698" t="str">
        <f>"3/6/2023 3:51:00 PM"</f>
        <v>3/6/2023 3:51:00 PM</v>
      </c>
      <c r="O18698" t="s">
        <v>57194</v>
      </c>
      <c r="T18698" t="s">
        <v>57195</v>
      </c>
    </row>
    <row r="18699" spans="1:20" x14ac:dyDescent="0.25">
      <c r="A18699" t="str">
        <f>"3037252"</f>
        <v>3037252</v>
      </c>
      <c r="B18699" t="s">
        <v>57197</v>
      </c>
      <c r="C18699" t="str">
        <f>"82515902"</f>
        <v>82515902</v>
      </c>
      <c r="D18699" t="s">
        <v>57198</v>
      </c>
      <c r="E18699" t="s">
        <v>57199</v>
      </c>
      <c r="F18699" t="s">
        <v>57200</v>
      </c>
      <c r="I18699" t="s">
        <v>184</v>
      </c>
      <c r="J18699" t="s">
        <v>30</v>
      </c>
      <c r="K18699" t="s">
        <v>185</v>
      </c>
      <c r="M18699" t="s">
        <v>50621</v>
      </c>
      <c r="N18699" t="str">
        <f>"3/6/2023 12:18:00 PM"</f>
        <v>3/6/2023 12:18:00 PM</v>
      </c>
      <c r="O18699" t="s">
        <v>57198</v>
      </c>
      <c r="T18699" t="s">
        <v>57199</v>
      </c>
    </row>
    <row r="18700" spans="1:20" x14ac:dyDescent="0.25">
      <c r="A18700" t="str">
        <f>"3051445"</f>
        <v>3051445</v>
      </c>
      <c r="B18700" t="s">
        <v>57201</v>
      </c>
      <c r="C18700" t="str">
        <f>"82518209"</f>
        <v>82518209</v>
      </c>
      <c r="D18700" t="s">
        <v>50199</v>
      </c>
      <c r="F18700" t="s">
        <v>57202</v>
      </c>
      <c r="I18700" t="s">
        <v>29</v>
      </c>
      <c r="J18700" t="s">
        <v>30</v>
      </c>
      <c r="K18700" t="s">
        <v>31</v>
      </c>
      <c r="M18700" t="s">
        <v>50621</v>
      </c>
      <c r="N18700" t="str">
        <f>"3/6/2023 12:20:00 PM"</f>
        <v>3/6/2023 12:20:00 PM</v>
      </c>
      <c r="O18700" t="s">
        <v>50199</v>
      </c>
    </row>
    <row r="18701" spans="1:20" x14ac:dyDescent="0.25">
      <c r="A18701" t="str">
        <f>"3046750"</f>
        <v>3046750</v>
      </c>
      <c r="B18701" t="s">
        <v>57203</v>
      </c>
      <c r="C18701" t="str">
        <f>"8314960"</f>
        <v>8314960</v>
      </c>
      <c r="D18701" t="s">
        <v>57204</v>
      </c>
      <c r="F18701" t="s">
        <v>57205</v>
      </c>
      <c r="I18701" t="s">
        <v>184</v>
      </c>
      <c r="J18701" t="s">
        <v>30</v>
      </c>
      <c r="K18701" t="s">
        <v>36819</v>
      </c>
      <c r="M18701" t="s">
        <v>50621</v>
      </c>
      <c r="N18701" t="str">
        <f>"3/6/2023 12:21:00 PM"</f>
        <v>3/6/2023 12:21:00 PM</v>
      </c>
      <c r="O18701" t="s">
        <v>57204</v>
      </c>
    </row>
    <row r="18702" spans="1:20" x14ac:dyDescent="0.25">
      <c r="A18702" t="str">
        <f>"3040147"</f>
        <v>3040147</v>
      </c>
      <c r="B18702" t="s">
        <v>57206</v>
      </c>
      <c r="C18702" t="str">
        <f>"82525231"</f>
        <v>82525231</v>
      </c>
      <c r="D18702" t="s">
        <v>2349</v>
      </c>
      <c r="E18702" t="s">
        <v>57207</v>
      </c>
      <c r="F18702" t="s">
        <v>2351</v>
      </c>
      <c r="I18702" t="s">
        <v>29</v>
      </c>
      <c r="J18702" t="s">
        <v>30</v>
      </c>
      <c r="K18702" t="s">
        <v>31</v>
      </c>
      <c r="M18702" t="s">
        <v>50621</v>
      </c>
      <c r="N18702" t="str">
        <f>"3/6/2023 12:22:00 PM"</f>
        <v>3/6/2023 12:22:00 PM</v>
      </c>
      <c r="O18702" t="s">
        <v>2349</v>
      </c>
      <c r="T18702" t="s">
        <v>57207</v>
      </c>
    </row>
    <row r="18703" spans="1:20" x14ac:dyDescent="0.25">
      <c r="A18703" t="str">
        <f>"3076810"</f>
        <v>3076810</v>
      </c>
      <c r="B18703" t="s">
        <v>57208</v>
      </c>
      <c r="C18703" t="str">
        <f>"82525231"</f>
        <v>82525231</v>
      </c>
      <c r="D18703" t="s">
        <v>2349</v>
      </c>
      <c r="E18703" t="s">
        <v>57207</v>
      </c>
      <c r="F18703" t="s">
        <v>2351</v>
      </c>
      <c r="I18703" t="s">
        <v>29</v>
      </c>
      <c r="J18703" t="s">
        <v>30</v>
      </c>
      <c r="K18703" t="s">
        <v>31</v>
      </c>
      <c r="M18703" t="s">
        <v>50621</v>
      </c>
      <c r="N18703" t="str">
        <f>"3/6/2023 12:22:00 PM"</f>
        <v>3/6/2023 12:22:00 PM</v>
      </c>
      <c r="O18703" t="s">
        <v>2349</v>
      </c>
      <c r="T18703" t="s">
        <v>57207</v>
      </c>
    </row>
    <row r="18704" spans="1:20" x14ac:dyDescent="0.25">
      <c r="A18704" t="str">
        <f>"3056259"</f>
        <v>3056259</v>
      </c>
      <c r="B18704" t="s">
        <v>57209</v>
      </c>
      <c r="C18704" t="str">
        <f>"8314171"</f>
        <v>8314171</v>
      </c>
      <c r="D18704" t="s">
        <v>56999</v>
      </c>
      <c r="E18704" t="s">
        <v>57000</v>
      </c>
      <c r="F18704" t="s">
        <v>57001</v>
      </c>
      <c r="I18704" t="s">
        <v>29</v>
      </c>
      <c r="J18704" t="s">
        <v>30</v>
      </c>
      <c r="K18704" t="s">
        <v>43248</v>
      </c>
      <c r="M18704" t="s">
        <v>50621</v>
      </c>
      <c r="N18704" t="str">
        <f>"3/6/2023 12:33:00 PM"</f>
        <v>3/6/2023 12:33:00 PM</v>
      </c>
      <c r="O18704" t="s">
        <v>56999</v>
      </c>
      <c r="T18704" t="s">
        <v>57000</v>
      </c>
    </row>
    <row r="18705" spans="1:20" x14ac:dyDescent="0.25">
      <c r="A18705" t="str">
        <f>"3045128"</f>
        <v>3045128</v>
      </c>
      <c r="B18705" t="s">
        <v>57210</v>
      </c>
      <c r="C18705" t="str">
        <f>"35742000"</f>
        <v>35742000</v>
      </c>
      <c r="D18705" t="s">
        <v>57211</v>
      </c>
      <c r="E18705" t="s">
        <v>38514</v>
      </c>
      <c r="F18705" t="s">
        <v>57212</v>
      </c>
      <c r="I18705" t="s">
        <v>29</v>
      </c>
      <c r="J18705" t="s">
        <v>30</v>
      </c>
      <c r="K18705" t="s">
        <v>34844</v>
      </c>
      <c r="M18705" t="s">
        <v>50621</v>
      </c>
      <c r="N18705" t="str">
        <f>"3/6/2023 12:46:00 PM"</f>
        <v>3/6/2023 12:46:00 PM</v>
      </c>
      <c r="O18705" t="s">
        <v>57211</v>
      </c>
      <c r="T18705" t="s">
        <v>38514</v>
      </c>
    </row>
    <row r="18706" spans="1:20" x14ac:dyDescent="0.25">
      <c r="A18706" t="str">
        <f>"3055313"</f>
        <v>3055313</v>
      </c>
      <c r="B18706" t="s">
        <v>57213</v>
      </c>
      <c r="C18706" t="str">
        <f>"82519063"</f>
        <v>82519063</v>
      </c>
      <c r="D18706" t="s">
        <v>57214</v>
      </c>
      <c r="E18706" t="s">
        <v>57215</v>
      </c>
      <c r="F18706" t="s">
        <v>57216</v>
      </c>
      <c r="I18706" t="s">
        <v>29</v>
      </c>
      <c r="J18706" t="s">
        <v>30</v>
      </c>
      <c r="K18706" t="s">
        <v>57217</v>
      </c>
      <c r="M18706" t="s">
        <v>50621</v>
      </c>
      <c r="N18706" t="str">
        <f>"3/6/2023 4:18:00 PM"</f>
        <v>3/6/2023 4:18:00 PM</v>
      </c>
      <c r="O18706" t="s">
        <v>57214</v>
      </c>
      <c r="T18706" t="s">
        <v>57215</v>
      </c>
    </row>
    <row r="18707" spans="1:20" x14ac:dyDescent="0.25">
      <c r="A18707" t="str">
        <f>"3051012"</f>
        <v>3051012</v>
      </c>
      <c r="B18707" t="s">
        <v>57218</v>
      </c>
      <c r="C18707" t="str">
        <f>"8311447"</f>
        <v>8311447</v>
      </c>
      <c r="D18707" t="s">
        <v>57219</v>
      </c>
      <c r="E18707" t="s">
        <v>57220</v>
      </c>
      <c r="F18707" t="s">
        <v>57221</v>
      </c>
      <c r="I18707" t="s">
        <v>184</v>
      </c>
      <c r="J18707" t="s">
        <v>30</v>
      </c>
      <c r="K18707" t="str">
        <f>"27006"</f>
        <v>27006</v>
      </c>
      <c r="M18707" t="s">
        <v>50621</v>
      </c>
      <c r="N18707" t="str">
        <f>"3/6/2023 4:19:00 PM"</f>
        <v>3/6/2023 4:19:00 PM</v>
      </c>
      <c r="O18707" t="s">
        <v>57219</v>
      </c>
      <c r="T18707" t="s">
        <v>57220</v>
      </c>
    </row>
    <row r="18708" spans="1:20" x14ac:dyDescent="0.25">
      <c r="A18708" t="str">
        <f>"3051015"</f>
        <v>3051015</v>
      </c>
      <c r="B18708" t="s">
        <v>57222</v>
      </c>
      <c r="C18708" t="str">
        <f>"8311447"</f>
        <v>8311447</v>
      </c>
      <c r="D18708" t="s">
        <v>57219</v>
      </c>
      <c r="E18708" t="s">
        <v>57220</v>
      </c>
      <c r="F18708" t="s">
        <v>57221</v>
      </c>
      <c r="I18708" t="s">
        <v>184</v>
      </c>
      <c r="J18708" t="s">
        <v>30</v>
      </c>
      <c r="K18708" t="str">
        <f>"27006"</f>
        <v>27006</v>
      </c>
      <c r="M18708" t="s">
        <v>50621</v>
      </c>
      <c r="N18708" t="str">
        <f>"3/6/2023 4:19:00 PM"</f>
        <v>3/6/2023 4:19:00 PM</v>
      </c>
      <c r="O18708" t="s">
        <v>57219</v>
      </c>
      <c r="T18708" t="s">
        <v>57220</v>
      </c>
    </row>
    <row r="18709" spans="1:20" x14ac:dyDescent="0.25">
      <c r="A18709" t="str">
        <f>"3050835"</f>
        <v>3050835</v>
      </c>
      <c r="B18709" t="s">
        <v>57223</v>
      </c>
      <c r="C18709" t="str">
        <f>"8311447"</f>
        <v>8311447</v>
      </c>
      <c r="D18709" t="s">
        <v>57219</v>
      </c>
      <c r="E18709" t="s">
        <v>57220</v>
      </c>
      <c r="F18709" t="s">
        <v>57221</v>
      </c>
      <c r="I18709" t="s">
        <v>184</v>
      </c>
      <c r="J18709" t="s">
        <v>30</v>
      </c>
      <c r="K18709" t="str">
        <f>"27006"</f>
        <v>27006</v>
      </c>
      <c r="M18709" t="s">
        <v>50621</v>
      </c>
      <c r="N18709" t="str">
        <f>"3/6/2023 4:19:00 PM"</f>
        <v>3/6/2023 4:19:00 PM</v>
      </c>
      <c r="O18709" t="s">
        <v>57219</v>
      </c>
      <c r="T18709" t="s">
        <v>57220</v>
      </c>
    </row>
    <row r="18710" spans="1:20" x14ac:dyDescent="0.25">
      <c r="A18710" t="str">
        <f>"3059392"</f>
        <v>3059392</v>
      </c>
      <c r="B18710" t="s">
        <v>57224</v>
      </c>
      <c r="C18710" t="str">
        <f>"54599630"</f>
        <v>54599630</v>
      </c>
      <c r="D18710" t="s">
        <v>57225</v>
      </c>
      <c r="E18710" t="s">
        <v>57226</v>
      </c>
      <c r="F18710" t="s">
        <v>57227</v>
      </c>
      <c r="I18710" t="s">
        <v>29</v>
      </c>
      <c r="J18710" t="s">
        <v>30</v>
      </c>
      <c r="K18710" t="s">
        <v>31</v>
      </c>
      <c r="M18710" t="s">
        <v>50621</v>
      </c>
      <c r="N18710" t="str">
        <f>"3/6/2023 4:19:00 PM"</f>
        <v>3/6/2023 4:19:00 PM</v>
      </c>
      <c r="O18710" t="s">
        <v>57225</v>
      </c>
      <c r="T18710" t="s">
        <v>57226</v>
      </c>
    </row>
    <row r="18711" spans="1:20" x14ac:dyDescent="0.25">
      <c r="A18711" t="str">
        <f>"3060138"</f>
        <v>3060138</v>
      </c>
      <c r="B18711" t="s">
        <v>57228</v>
      </c>
      <c r="C18711" t="str">
        <f>"82527002"</f>
        <v>82527002</v>
      </c>
      <c r="D18711" t="s">
        <v>57229</v>
      </c>
      <c r="F18711" t="s">
        <v>57230</v>
      </c>
      <c r="I18711" t="s">
        <v>184</v>
      </c>
      <c r="J18711" t="s">
        <v>30</v>
      </c>
      <c r="K18711" t="s">
        <v>57231</v>
      </c>
      <c r="M18711" t="s">
        <v>50621</v>
      </c>
      <c r="N18711" t="str">
        <f>"3/6/2023 4:20:00 PM"</f>
        <v>3/6/2023 4:20:00 PM</v>
      </c>
      <c r="O18711" t="s">
        <v>57229</v>
      </c>
    </row>
    <row r="18712" spans="1:20" x14ac:dyDescent="0.25">
      <c r="A18712" t="str">
        <f>"3045776"</f>
        <v>3045776</v>
      </c>
      <c r="B18712" t="s">
        <v>57232</v>
      </c>
      <c r="C18712" t="str">
        <f>"82527002"</f>
        <v>82527002</v>
      </c>
      <c r="D18712" t="s">
        <v>57229</v>
      </c>
      <c r="F18712" t="s">
        <v>57230</v>
      </c>
      <c r="I18712" t="s">
        <v>184</v>
      </c>
      <c r="J18712" t="s">
        <v>30</v>
      </c>
      <c r="K18712" t="s">
        <v>57231</v>
      </c>
      <c r="M18712" t="s">
        <v>50621</v>
      </c>
      <c r="N18712" t="str">
        <f>"3/6/2023 4:20:00 PM"</f>
        <v>3/6/2023 4:20:00 PM</v>
      </c>
      <c r="O18712" t="s">
        <v>57229</v>
      </c>
    </row>
    <row r="18713" spans="1:20" x14ac:dyDescent="0.25">
      <c r="A18713" t="str">
        <f>"3045518"</f>
        <v>3045518</v>
      </c>
      <c r="B18713" t="s">
        <v>57233</v>
      </c>
      <c r="C18713" t="str">
        <f>"35742000"</f>
        <v>35742000</v>
      </c>
      <c r="D18713" t="s">
        <v>57211</v>
      </c>
      <c r="E18713" t="s">
        <v>38514</v>
      </c>
      <c r="F18713" t="s">
        <v>57212</v>
      </c>
      <c r="I18713" t="s">
        <v>29</v>
      </c>
      <c r="J18713" t="s">
        <v>30</v>
      </c>
      <c r="K18713" t="s">
        <v>34844</v>
      </c>
      <c r="M18713" t="s">
        <v>50621</v>
      </c>
      <c r="N18713" t="str">
        <f>"3/6/2023 12:46:00 PM"</f>
        <v>3/6/2023 12:46:00 PM</v>
      </c>
      <c r="O18713" t="s">
        <v>57211</v>
      </c>
      <c r="T18713" t="s">
        <v>38514</v>
      </c>
    </row>
    <row r="18714" spans="1:20" x14ac:dyDescent="0.25">
      <c r="A18714" t="str">
        <f>"3042038"</f>
        <v>3042038</v>
      </c>
      <c r="B18714" t="s">
        <v>57234</v>
      </c>
      <c r="C18714" t="str">
        <f>"8300227"</f>
        <v>8300227</v>
      </c>
      <c r="D18714" t="s">
        <v>57235</v>
      </c>
      <c r="F18714" t="s">
        <v>16291</v>
      </c>
      <c r="I18714" t="s">
        <v>29</v>
      </c>
      <c r="J18714" t="s">
        <v>30</v>
      </c>
      <c r="K18714" t="s">
        <v>31</v>
      </c>
      <c r="M18714" t="s">
        <v>50621</v>
      </c>
      <c r="N18714" t="str">
        <f>"3/6/2023 12:46:00 PM"</f>
        <v>3/6/2023 12:46:00 PM</v>
      </c>
      <c r="O18714" t="s">
        <v>57235</v>
      </c>
    </row>
    <row r="18715" spans="1:20" x14ac:dyDescent="0.25">
      <c r="A18715" t="str">
        <f>"3052302"</f>
        <v>3052302</v>
      </c>
      <c r="B18715" t="s">
        <v>57236</v>
      </c>
      <c r="C18715" t="str">
        <f>"8302543"</f>
        <v>8302543</v>
      </c>
      <c r="D18715" t="s">
        <v>57237</v>
      </c>
      <c r="E18715" t="str">
        <f>"IN C/O BEAVERS INA"</f>
        <v>IN C/O BEAVERS INA</v>
      </c>
      <c r="F18715" t="s">
        <v>43519</v>
      </c>
      <c r="I18715" t="s">
        <v>29</v>
      </c>
      <c r="J18715" t="s">
        <v>30</v>
      </c>
      <c r="K18715" t="s">
        <v>43323</v>
      </c>
      <c r="M18715" t="s">
        <v>50621</v>
      </c>
      <c r="N18715" t="str">
        <f>"3/6/2023 11:39:00 AM"</f>
        <v>3/6/2023 11:39:00 AM</v>
      </c>
      <c r="O18715" t="s">
        <v>57237</v>
      </c>
      <c r="T18715" t="str">
        <f>"IN C/O BEAVERS INA"</f>
        <v>IN C/O BEAVERS INA</v>
      </c>
    </row>
    <row r="18716" spans="1:20" x14ac:dyDescent="0.25">
      <c r="A18716" t="str">
        <f>"3052867"</f>
        <v>3052867</v>
      </c>
      <c r="B18716" t="s">
        <v>57238</v>
      </c>
      <c r="C18716" t="str">
        <f>"8302543"</f>
        <v>8302543</v>
      </c>
      <c r="D18716" t="s">
        <v>57237</v>
      </c>
      <c r="E18716" t="str">
        <f>"IN C/O BEAVERS INA"</f>
        <v>IN C/O BEAVERS INA</v>
      </c>
      <c r="F18716" t="s">
        <v>43519</v>
      </c>
      <c r="I18716" t="s">
        <v>29</v>
      </c>
      <c r="J18716" t="s">
        <v>30</v>
      </c>
      <c r="K18716" t="s">
        <v>43323</v>
      </c>
      <c r="M18716" t="s">
        <v>50621</v>
      </c>
      <c r="N18716" t="str">
        <f>"3/6/2023 11:39:00 AM"</f>
        <v>3/6/2023 11:39:00 AM</v>
      </c>
      <c r="O18716" t="s">
        <v>57237</v>
      </c>
      <c r="T18716" t="str">
        <f>"IN C/O BEAVERS INA"</f>
        <v>IN C/O BEAVERS INA</v>
      </c>
    </row>
    <row r="18717" spans="1:20" x14ac:dyDescent="0.25">
      <c r="A18717" t="str">
        <f>"3044207"</f>
        <v>3044207</v>
      </c>
      <c r="B18717" t="s">
        <v>57239</v>
      </c>
      <c r="C18717" t="str">
        <f>"6158750"</f>
        <v>6158750</v>
      </c>
      <c r="D18717" t="s">
        <v>53006</v>
      </c>
      <c r="E18717" t="s">
        <v>57240</v>
      </c>
      <c r="F18717" t="s">
        <v>53007</v>
      </c>
      <c r="I18717" t="s">
        <v>184</v>
      </c>
      <c r="J18717" t="s">
        <v>30</v>
      </c>
      <c r="K18717" t="s">
        <v>19297</v>
      </c>
      <c r="M18717" t="s">
        <v>50621</v>
      </c>
      <c r="N18717" t="str">
        <f>"3/6/2023 11:42:00 AM"</f>
        <v>3/6/2023 11:42:00 AM</v>
      </c>
      <c r="O18717" t="s">
        <v>53006</v>
      </c>
      <c r="T18717" t="s">
        <v>57240</v>
      </c>
    </row>
    <row r="18718" spans="1:20" x14ac:dyDescent="0.25">
      <c r="A18718" t="str">
        <f>"3037509"</f>
        <v>3037509</v>
      </c>
      <c r="B18718" t="s">
        <v>57241</v>
      </c>
      <c r="C18718" t="str">
        <f>"8315229"</f>
        <v>8315229</v>
      </c>
      <c r="D18718" t="s">
        <v>57242</v>
      </c>
      <c r="E18718" t="s">
        <v>57243</v>
      </c>
      <c r="F18718" t="s">
        <v>57244</v>
      </c>
      <c r="I18718" t="s">
        <v>29</v>
      </c>
      <c r="J18718" t="s">
        <v>30</v>
      </c>
      <c r="K18718" t="s">
        <v>25587</v>
      </c>
      <c r="M18718" t="s">
        <v>50621</v>
      </c>
      <c r="N18718" t="str">
        <f>"3/6/2023 11:43:00 AM"</f>
        <v>3/6/2023 11:43:00 AM</v>
      </c>
      <c r="O18718" t="s">
        <v>57242</v>
      </c>
      <c r="T18718" t="s">
        <v>57243</v>
      </c>
    </row>
    <row r="18719" spans="1:20" x14ac:dyDescent="0.25">
      <c r="A18719" t="str">
        <f>"3040280"</f>
        <v>3040280</v>
      </c>
      <c r="B18719" t="s">
        <v>57245</v>
      </c>
      <c r="C18719" t="str">
        <f>"8310850"</f>
        <v>8310850</v>
      </c>
      <c r="D18719" t="s">
        <v>57246</v>
      </c>
      <c r="F18719" t="s">
        <v>57247</v>
      </c>
      <c r="I18719" t="s">
        <v>24359</v>
      </c>
      <c r="J18719" t="s">
        <v>30</v>
      </c>
      <c r="K18719" t="str">
        <f>"27006"</f>
        <v>27006</v>
      </c>
      <c r="M18719" t="s">
        <v>50621</v>
      </c>
      <c r="N18719" t="str">
        <f>"3/6/2023 11:47:00 AM"</f>
        <v>3/6/2023 11:47:00 AM</v>
      </c>
      <c r="O18719" t="s">
        <v>57246</v>
      </c>
    </row>
    <row r="18720" spans="1:20" x14ac:dyDescent="0.25">
      <c r="A18720" t="str">
        <f>"3053964"</f>
        <v>3053964</v>
      </c>
      <c r="B18720" t="s">
        <v>57248</v>
      </c>
      <c r="C18720" t="str">
        <f>"8309656"</f>
        <v>8309656</v>
      </c>
      <c r="D18720" t="s">
        <v>57089</v>
      </c>
      <c r="F18720" t="s">
        <v>57090</v>
      </c>
      <c r="I18720" t="s">
        <v>29</v>
      </c>
      <c r="J18720" t="s">
        <v>30</v>
      </c>
      <c r="K18720" t="s">
        <v>57091</v>
      </c>
      <c r="M18720" t="s">
        <v>50621</v>
      </c>
      <c r="N18720" t="str">
        <f>"3/6/2023 2:43:00 PM"</f>
        <v>3/6/2023 2:43:00 PM</v>
      </c>
      <c r="O18720" t="s">
        <v>57089</v>
      </c>
    </row>
    <row r="18721" spans="1:20" x14ac:dyDescent="0.25">
      <c r="A18721" t="str">
        <f>"3057304"</f>
        <v>3057304</v>
      </c>
      <c r="B18721" t="s">
        <v>57249</v>
      </c>
      <c r="C18721" t="str">
        <f>"82527160"</f>
        <v>82527160</v>
      </c>
      <c r="D18721" t="s">
        <v>57250</v>
      </c>
      <c r="F18721" t="str">
        <f>"C/O FLAVIA HOWELL"</f>
        <v>C/O FLAVIA HOWELL</v>
      </c>
      <c r="G18721" t="s">
        <v>57251</v>
      </c>
      <c r="I18721" t="s">
        <v>29</v>
      </c>
      <c r="J18721" t="s">
        <v>30</v>
      </c>
      <c r="K18721" t="s">
        <v>31</v>
      </c>
      <c r="M18721" t="s">
        <v>50621</v>
      </c>
      <c r="N18721" t="str">
        <f>"3/6/2023 3:16:00 PM"</f>
        <v>3/6/2023 3:16:00 PM</v>
      </c>
      <c r="O18721" t="s">
        <v>57250</v>
      </c>
    </row>
    <row r="18722" spans="1:20" x14ac:dyDescent="0.25">
      <c r="A18722" t="str">
        <f>"3056328"</f>
        <v>3056328</v>
      </c>
      <c r="B18722" t="s">
        <v>57252</v>
      </c>
      <c r="C18722" t="str">
        <f>"82528055"</f>
        <v>82528055</v>
      </c>
      <c r="D18722" t="s">
        <v>56238</v>
      </c>
      <c r="F18722" t="s">
        <v>57253</v>
      </c>
      <c r="I18722" t="s">
        <v>29</v>
      </c>
      <c r="J18722" t="s">
        <v>30</v>
      </c>
      <c r="K18722" t="s">
        <v>31</v>
      </c>
      <c r="M18722" t="s">
        <v>50621</v>
      </c>
      <c r="N18722" t="str">
        <f>"3/6/2023 3:17:00 PM"</f>
        <v>3/6/2023 3:17:00 PM</v>
      </c>
      <c r="O18722" t="s">
        <v>56238</v>
      </c>
    </row>
    <row r="18723" spans="1:20" x14ac:dyDescent="0.25">
      <c r="A18723" t="str">
        <f>"3042016"</f>
        <v>3042016</v>
      </c>
      <c r="B18723" t="s">
        <v>57254</v>
      </c>
      <c r="C18723" t="str">
        <f>"8303171"</f>
        <v>8303171</v>
      </c>
      <c r="D18723" t="s">
        <v>57137</v>
      </c>
      <c r="F18723" t="s">
        <v>57138</v>
      </c>
      <c r="I18723" t="s">
        <v>29</v>
      </c>
      <c r="J18723" t="s">
        <v>30</v>
      </c>
      <c r="K18723" t="str">
        <f>"27028"</f>
        <v>27028</v>
      </c>
      <c r="M18723" t="s">
        <v>50621</v>
      </c>
      <c r="N18723" t="str">
        <f>"3/6/2023 3:19:00 PM"</f>
        <v>3/6/2023 3:19:00 PM</v>
      </c>
      <c r="O18723" t="s">
        <v>57137</v>
      </c>
    </row>
    <row r="18724" spans="1:20" x14ac:dyDescent="0.25">
      <c r="A18724" t="str">
        <f>"3055535"</f>
        <v>3055535</v>
      </c>
      <c r="B18724" t="s">
        <v>57255</v>
      </c>
      <c r="C18724" t="str">
        <f>"82523427"</f>
        <v>82523427</v>
      </c>
      <c r="D18724" t="s">
        <v>57256</v>
      </c>
      <c r="E18724" t="s">
        <v>57257</v>
      </c>
      <c r="F18724" t="s">
        <v>57258</v>
      </c>
      <c r="I18724" t="s">
        <v>29</v>
      </c>
      <c r="J18724" t="s">
        <v>30</v>
      </c>
      <c r="K18724" t="s">
        <v>31</v>
      </c>
      <c r="M18724" t="s">
        <v>50621</v>
      </c>
      <c r="N18724" t="str">
        <f>"3/6/2023 3:28:00 PM"</f>
        <v>3/6/2023 3:28:00 PM</v>
      </c>
      <c r="O18724" t="s">
        <v>57256</v>
      </c>
      <c r="T18724" t="s">
        <v>57257</v>
      </c>
    </row>
    <row r="18725" spans="1:20" x14ac:dyDescent="0.25">
      <c r="A18725" t="str">
        <f>"3051091"</f>
        <v>3051091</v>
      </c>
      <c r="B18725" t="s">
        <v>57259</v>
      </c>
      <c r="C18725" t="str">
        <f>"45853000"</f>
        <v>45853000</v>
      </c>
      <c r="D18725" t="s">
        <v>57186</v>
      </c>
      <c r="E18725" t="s">
        <v>57187</v>
      </c>
      <c r="F18725" t="s">
        <v>57188</v>
      </c>
      <c r="I18725" t="s">
        <v>29</v>
      </c>
      <c r="J18725" t="s">
        <v>30</v>
      </c>
      <c r="K18725" t="s">
        <v>9645</v>
      </c>
      <c r="M18725" t="s">
        <v>50621</v>
      </c>
      <c r="N18725" t="str">
        <f>"3/6/2023 3:47:00 PM"</f>
        <v>3/6/2023 3:47:00 PM</v>
      </c>
      <c r="O18725" t="s">
        <v>57186</v>
      </c>
      <c r="T18725" t="s">
        <v>57187</v>
      </c>
    </row>
    <row r="18726" spans="1:20" x14ac:dyDescent="0.25">
      <c r="A18726" t="str">
        <f>"3051132"</f>
        <v>3051132</v>
      </c>
      <c r="B18726" t="s">
        <v>57260</v>
      </c>
      <c r="C18726" t="str">
        <f>"45853000"</f>
        <v>45853000</v>
      </c>
      <c r="D18726" t="s">
        <v>57186</v>
      </c>
      <c r="E18726" t="s">
        <v>57187</v>
      </c>
      <c r="F18726" t="s">
        <v>57188</v>
      </c>
      <c r="I18726" t="s">
        <v>29</v>
      </c>
      <c r="J18726" t="s">
        <v>30</v>
      </c>
      <c r="K18726" t="s">
        <v>9645</v>
      </c>
      <c r="M18726" t="s">
        <v>50621</v>
      </c>
      <c r="N18726" t="str">
        <f>"3/6/2023 3:47:00 PM"</f>
        <v>3/6/2023 3:47:00 PM</v>
      </c>
      <c r="O18726" t="s">
        <v>57186</v>
      </c>
      <c r="T18726" t="s">
        <v>57187</v>
      </c>
    </row>
    <row r="18727" spans="1:20" x14ac:dyDescent="0.25">
      <c r="A18727" t="str">
        <f>"3046935"</f>
        <v>3046935</v>
      </c>
      <c r="B18727" t="s">
        <v>57261</v>
      </c>
      <c r="C18727" t="str">
        <f>"82520032"</f>
        <v>82520032</v>
      </c>
      <c r="D18727" t="s">
        <v>13594</v>
      </c>
      <c r="F18727" t="s">
        <v>57262</v>
      </c>
      <c r="I18727" t="s">
        <v>29</v>
      </c>
      <c r="J18727" t="s">
        <v>30</v>
      </c>
      <c r="K18727" t="s">
        <v>31</v>
      </c>
      <c r="M18727" t="s">
        <v>50621</v>
      </c>
      <c r="N18727" t="str">
        <f>"3/6/2023 4:01:00 PM"</f>
        <v>3/6/2023 4:01:00 PM</v>
      </c>
      <c r="O18727" t="s">
        <v>13594</v>
      </c>
    </row>
    <row r="18728" spans="1:20" x14ac:dyDescent="0.25">
      <c r="A18728" t="str">
        <f>"3037679"</f>
        <v>3037679</v>
      </c>
      <c r="B18728" t="s">
        <v>57263</v>
      </c>
      <c r="C18728" t="str">
        <f>"82531664"</f>
        <v>82531664</v>
      </c>
      <c r="D18728" t="s">
        <v>57264</v>
      </c>
      <c r="F18728" t="s">
        <v>57265</v>
      </c>
      <c r="I18728" t="s">
        <v>29</v>
      </c>
      <c r="J18728" t="s">
        <v>30</v>
      </c>
      <c r="K18728" t="s">
        <v>31</v>
      </c>
      <c r="M18728" t="s">
        <v>50621</v>
      </c>
      <c r="N18728" t="str">
        <f>"3/6/2023 4:03:00 PM"</f>
        <v>3/6/2023 4:03:00 PM</v>
      </c>
      <c r="O18728" t="s">
        <v>57264</v>
      </c>
    </row>
    <row r="18729" spans="1:20" x14ac:dyDescent="0.25">
      <c r="A18729" t="str">
        <f>"3070848"</f>
        <v>3070848</v>
      </c>
      <c r="B18729" t="s">
        <v>57266</v>
      </c>
      <c r="C18729" t="str">
        <f>"49846750"</f>
        <v>49846750</v>
      </c>
      <c r="D18729" t="s">
        <v>57267</v>
      </c>
      <c r="F18729" t="s">
        <v>57268</v>
      </c>
      <c r="I18729" t="s">
        <v>184</v>
      </c>
      <c r="J18729" t="s">
        <v>30</v>
      </c>
      <c r="K18729" t="s">
        <v>185</v>
      </c>
      <c r="M18729" t="s">
        <v>50621</v>
      </c>
      <c r="N18729" t="str">
        <f>"3/6/2023 4:06:00 PM"</f>
        <v>3/6/2023 4:06:00 PM</v>
      </c>
      <c r="O18729" t="s">
        <v>57267</v>
      </c>
    </row>
    <row r="18730" spans="1:20" x14ac:dyDescent="0.25">
      <c r="A18730" t="str">
        <f>"3052602"</f>
        <v>3052602</v>
      </c>
      <c r="B18730" t="s">
        <v>57269</v>
      </c>
      <c r="C18730" t="str">
        <f>"50993500"</f>
        <v>50993500</v>
      </c>
      <c r="D18730" t="s">
        <v>57270</v>
      </c>
      <c r="F18730" t="s">
        <v>57271</v>
      </c>
      <c r="I18730" t="s">
        <v>29</v>
      </c>
      <c r="J18730" t="s">
        <v>30</v>
      </c>
      <c r="K18730" t="s">
        <v>11800</v>
      </c>
      <c r="M18730" t="s">
        <v>50621</v>
      </c>
      <c r="N18730" t="str">
        <f>"3/6/2023 4:08:00 PM"</f>
        <v>3/6/2023 4:08:00 PM</v>
      </c>
      <c r="O18730" t="s">
        <v>57270</v>
      </c>
      <c r="T18730" t="s">
        <v>57270</v>
      </c>
    </row>
    <row r="18731" spans="1:20" x14ac:dyDescent="0.25">
      <c r="A18731" t="str">
        <f>"3056462"</f>
        <v>3056462</v>
      </c>
      <c r="B18731" t="s">
        <v>57272</v>
      </c>
      <c r="C18731" t="str">
        <f>"82529513"</f>
        <v>82529513</v>
      </c>
      <c r="D18731" t="s">
        <v>57273</v>
      </c>
      <c r="E18731" t="s">
        <v>57274</v>
      </c>
      <c r="F18731" t="s">
        <v>57275</v>
      </c>
      <c r="I18731" t="s">
        <v>29</v>
      </c>
      <c r="J18731" t="s">
        <v>30</v>
      </c>
      <c r="K18731" t="s">
        <v>31</v>
      </c>
      <c r="M18731" t="s">
        <v>50621</v>
      </c>
      <c r="N18731" t="str">
        <f>"3/6/2023 4:10:00 PM"</f>
        <v>3/6/2023 4:10:00 PM</v>
      </c>
      <c r="O18731" t="s">
        <v>57273</v>
      </c>
      <c r="T18731" t="s">
        <v>57274</v>
      </c>
    </row>
    <row r="18732" spans="1:20" x14ac:dyDescent="0.25">
      <c r="A18732" t="str">
        <f>"3047832"</f>
        <v>3047832</v>
      </c>
      <c r="B18732" t="s">
        <v>57276</v>
      </c>
      <c r="C18732" t="str">
        <f>"52900000"</f>
        <v>52900000</v>
      </c>
      <c r="D18732" t="s">
        <v>57277</v>
      </c>
      <c r="F18732" t="s">
        <v>57278</v>
      </c>
      <c r="I18732" t="s">
        <v>184</v>
      </c>
      <c r="J18732" t="s">
        <v>30</v>
      </c>
      <c r="K18732" t="s">
        <v>10665</v>
      </c>
      <c r="M18732" t="s">
        <v>50621</v>
      </c>
      <c r="N18732" t="str">
        <f>"3/6/2023 4:12:00 PM"</f>
        <v>3/6/2023 4:12:00 PM</v>
      </c>
      <c r="O18732" t="s">
        <v>57277</v>
      </c>
    </row>
    <row r="18733" spans="1:20" x14ac:dyDescent="0.25">
      <c r="A18733" t="str">
        <f>"3047840"</f>
        <v>3047840</v>
      </c>
      <c r="B18733" t="s">
        <v>57279</v>
      </c>
      <c r="C18733" t="str">
        <f>"52900000"</f>
        <v>52900000</v>
      </c>
      <c r="D18733" t="s">
        <v>57277</v>
      </c>
      <c r="F18733" t="s">
        <v>57278</v>
      </c>
      <c r="I18733" t="s">
        <v>184</v>
      </c>
      <c r="J18733" t="s">
        <v>30</v>
      </c>
      <c r="K18733" t="s">
        <v>10665</v>
      </c>
      <c r="M18733" t="s">
        <v>50621</v>
      </c>
      <c r="N18733" t="str">
        <f>"3/6/2023 4:12:00 PM"</f>
        <v>3/6/2023 4:12:00 PM</v>
      </c>
      <c r="O18733" t="s">
        <v>57277</v>
      </c>
    </row>
    <row r="18734" spans="1:20" x14ac:dyDescent="0.25">
      <c r="A18734" t="str">
        <f>"3061339"</f>
        <v>3061339</v>
      </c>
      <c r="B18734" t="s">
        <v>57280</v>
      </c>
      <c r="C18734" t="str">
        <f>"8319807"</f>
        <v>8319807</v>
      </c>
      <c r="D18734" t="s">
        <v>57281</v>
      </c>
      <c r="E18734" t="s">
        <v>57282</v>
      </c>
      <c r="F18734" t="s">
        <v>57283</v>
      </c>
      <c r="I18734" t="s">
        <v>184</v>
      </c>
      <c r="J18734" t="s">
        <v>30</v>
      </c>
      <c r="K18734" t="s">
        <v>5214</v>
      </c>
      <c r="M18734" t="s">
        <v>17861</v>
      </c>
      <c r="N18734" t="str">
        <f>"3/6/2023 1:51:00 PM"</f>
        <v>3/6/2023 1:51:00 PM</v>
      </c>
      <c r="O18734" t="s">
        <v>57281</v>
      </c>
      <c r="T18734" t="s">
        <v>57282</v>
      </c>
    </row>
    <row r="18735" spans="1:20" x14ac:dyDescent="0.25">
      <c r="A18735" t="str">
        <f>"3052838"</f>
        <v>3052838</v>
      </c>
      <c r="B18735" t="s">
        <v>57284</v>
      </c>
      <c r="C18735" t="str">
        <f>"8319808"</f>
        <v>8319808</v>
      </c>
      <c r="D18735" t="s">
        <v>57285</v>
      </c>
      <c r="E18735" t="str">
        <f>"ALLEN J ERIC/SHELIA (REMAINDER"</f>
        <v>ALLEN J ERIC/SHELIA (REMAINDER</v>
      </c>
      <c r="F18735" t="s">
        <v>57286</v>
      </c>
      <c r="I18735" t="s">
        <v>29</v>
      </c>
      <c r="J18735" t="s">
        <v>30</v>
      </c>
      <c r="K18735" t="s">
        <v>50081</v>
      </c>
      <c r="M18735" t="s">
        <v>17861</v>
      </c>
      <c r="N18735" t="str">
        <f>"3/6/2023 1:56:00 PM"</f>
        <v>3/6/2023 1:56:00 PM</v>
      </c>
      <c r="O18735" t="s">
        <v>57285</v>
      </c>
      <c r="T18735" t="str">
        <f>"ALLEN J ERIC/SHELIA (REMAINDER"</f>
        <v>ALLEN J ERIC/SHELIA (REMAINDER</v>
      </c>
    </row>
    <row r="18736" spans="1:20" x14ac:dyDescent="0.25">
      <c r="A18736" t="str">
        <f>"3042907"</f>
        <v>3042907</v>
      </c>
      <c r="B18736" t="s">
        <v>57287</v>
      </c>
      <c r="C18736" t="str">
        <f>"8302134"</f>
        <v>8302134</v>
      </c>
      <c r="D18736" t="s">
        <v>57288</v>
      </c>
      <c r="F18736" t="s">
        <v>57289</v>
      </c>
      <c r="I18736" t="s">
        <v>29</v>
      </c>
      <c r="J18736" t="s">
        <v>30</v>
      </c>
      <c r="K18736" t="str">
        <f>"27028"</f>
        <v>27028</v>
      </c>
      <c r="M18736" t="s">
        <v>50621</v>
      </c>
      <c r="N18736" t="str">
        <f>"3/6/2023 2:38:00 PM"</f>
        <v>3/6/2023 2:38:00 PM</v>
      </c>
      <c r="O18736" t="s">
        <v>57288</v>
      </c>
    </row>
    <row r="18737" spans="1:20" x14ac:dyDescent="0.25">
      <c r="A18737" t="str">
        <f>"3059358"</f>
        <v>3059358</v>
      </c>
      <c r="B18737" t="s">
        <v>57290</v>
      </c>
      <c r="C18737" t="str">
        <f>"58460100"</f>
        <v>58460100</v>
      </c>
      <c r="D18737" t="s">
        <v>56390</v>
      </c>
      <c r="F18737" t="s">
        <v>14350</v>
      </c>
      <c r="I18737" t="s">
        <v>29</v>
      </c>
      <c r="J18737" t="s">
        <v>30</v>
      </c>
      <c r="K18737" t="s">
        <v>15394</v>
      </c>
      <c r="M18737" t="s">
        <v>50621</v>
      </c>
      <c r="N18737" t="str">
        <f>"3/7/2023 9:19:00 AM"</f>
        <v>3/7/2023 9:19:00 AM</v>
      </c>
      <c r="O18737" t="s">
        <v>56390</v>
      </c>
      <c r="T18737" t="s">
        <v>56390</v>
      </c>
    </row>
    <row r="18738" spans="1:20" x14ac:dyDescent="0.25">
      <c r="A18738" t="str">
        <f>"3047227"</f>
        <v>3047227</v>
      </c>
      <c r="B18738" t="s">
        <v>57291</v>
      </c>
      <c r="C18738" t="str">
        <f>"82529220"</f>
        <v>82529220</v>
      </c>
      <c r="D18738" t="s">
        <v>57292</v>
      </c>
      <c r="F18738" t="s">
        <v>57293</v>
      </c>
      <c r="I18738" t="s">
        <v>184</v>
      </c>
      <c r="J18738" t="s">
        <v>30</v>
      </c>
      <c r="K18738" t="s">
        <v>185</v>
      </c>
      <c r="M18738" t="s">
        <v>50621</v>
      </c>
      <c r="N18738" t="str">
        <f>"3/7/2023 9:44:00 AM"</f>
        <v>3/7/2023 9:44:00 AM</v>
      </c>
      <c r="O18738" t="s">
        <v>57292</v>
      </c>
    </row>
    <row r="18739" spans="1:20" x14ac:dyDescent="0.25">
      <c r="A18739" t="str">
        <f>"3046132"</f>
        <v>3046132</v>
      </c>
      <c r="B18739" t="s">
        <v>57294</v>
      </c>
      <c r="C18739" t="str">
        <f>"68616000"</f>
        <v>68616000</v>
      </c>
      <c r="D18739" t="s">
        <v>57295</v>
      </c>
      <c r="F18739" t="s">
        <v>57296</v>
      </c>
      <c r="I18739" t="s">
        <v>29</v>
      </c>
      <c r="J18739" t="s">
        <v>30</v>
      </c>
      <c r="K18739" t="s">
        <v>31</v>
      </c>
      <c r="M18739" t="s">
        <v>50621</v>
      </c>
      <c r="N18739" t="str">
        <f>"3/7/2023 9:44:00 AM"</f>
        <v>3/7/2023 9:44:00 AM</v>
      </c>
      <c r="O18739" t="s">
        <v>57295</v>
      </c>
    </row>
    <row r="18740" spans="1:20" x14ac:dyDescent="0.25">
      <c r="A18740" t="str">
        <f>"3041368"</f>
        <v>3041368</v>
      </c>
      <c r="B18740" t="s">
        <v>57297</v>
      </c>
      <c r="C18740" t="str">
        <f>"8303428"</f>
        <v>8303428</v>
      </c>
      <c r="D18740" t="s">
        <v>57298</v>
      </c>
      <c r="F18740" t="s">
        <v>57299</v>
      </c>
      <c r="I18740" t="s">
        <v>54577</v>
      </c>
      <c r="J18740" t="s">
        <v>11697</v>
      </c>
      <c r="K18740" t="str">
        <f>"92116"</f>
        <v>92116</v>
      </c>
      <c r="M18740" t="s">
        <v>50621</v>
      </c>
      <c r="N18740" t="str">
        <f>"3/7/2023 9:46:00 AM"</f>
        <v>3/7/2023 9:46:00 AM</v>
      </c>
      <c r="O18740" t="s">
        <v>57298</v>
      </c>
    </row>
    <row r="18741" spans="1:20" x14ac:dyDescent="0.25">
      <c r="A18741" t="str">
        <f>"3046824"</f>
        <v>3046824</v>
      </c>
      <c r="B18741" t="s">
        <v>57300</v>
      </c>
      <c r="C18741" t="str">
        <f>"70591730"</f>
        <v>70591730</v>
      </c>
      <c r="D18741" t="s">
        <v>57301</v>
      </c>
      <c r="E18741" t="s">
        <v>57302</v>
      </c>
      <c r="F18741" t="s">
        <v>57303</v>
      </c>
      <c r="I18741" t="s">
        <v>184</v>
      </c>
      <c r="J18741" t="s">
        <v>30</v>
      </c>
      <c r="K18741" t="s">
        <v>185</v>
      </c>
      <c r="M18741" t="s">
        <v>50621</v>
      </c>
      <c r="N18741" t="str">
        <f>"3/7/2023 9:49:00 AM"</f>
        <v>3/7/2023 9:49:00 AM</v>
      </c>
      <c r="O18741" t="s">
        <v>57301</v>
      </c>
      <c r="T18741" t="s">
        <v>57302</v>
      </c>
    </row>
    <row r="18742" spans="1:20" x14ac:dyDescent="0.25">
      <c r="A18742" t="str">
        <f>"3048077"</f>
        <v>3048077</v>
      </c>
      <c r="B18742" t="s">
        <v>57304</v>
      </c>
      <c r="C18742" t="str">
        <f>"82519795"</f>
        <v>82519795</v>
      </c>
      <c r="D18742" t="s">
        <v>57305</v>
      </c>
      <c r="E18742" t="s">
        <v>57306</v>
      </c>
      <c r="F18742" t="s">
        <v>57307</v>
      </c>
      <c r="I18742" t="s">
        <v>184</v>
      </c>
      <c r="J18742" t="s">
        <v>30</v>
      </c>
      <c r="K18742" t="s">
        <v>8848</v>
      </c>
      <c r="M18742" t="s">
        <v>50621</v>
      </c>
      <c r="N18742" t="str">
        <f>"3/7/2023 9:20:00 AM"</f>
        <v>3/7/2023 9:20:00 AM</v>
      </c>
      <c r="O18742" t="s">
        <v>57305</v>
      </c>
      <c r="T18742" t="s">
        <v>57306</v>
      </c>
    </row>
    <row r="18743" spans="1:20" x14ac:dyDescent="0.25">
      <c r="A18743" t="str">
        <f>"3047620"</f>
        <v>3047620</v>
      </c>
      <c r="B18743" t="s">
        <v>57308</v>
      </c>
      <c r="C18743" t="str">
        <f>"82519795"</f>
        <v>82519795</v>
      </c>
      <c r="D18743" t="s">
        <v>57305</v>
      </c>
      <c r="E18743" t="s">
        <v>57306</v>
      </c>
      <c r="F18743" t="s">
        <v>57307</v>
      </c>
      <c r="I18743" t="s">
        <v>184</v>
      </c>
      <c r="J18743" t="s">
        <v>30</v>
      </c>
      <c r="K18743" t="s">
        <v>8848</v>
      </c>
      <c r="M18743" t="s">
        <v>50621</v>
      </c>
      <c r="N18743" t="str">
        <f>"3/7/2023 9:20:00 AM"</f>
        <v>3/7/2023 9:20:00 AM</v>
      </c>
      <c r="O18743" t="s">
        <v>57305</v>
      </c>
      <c r="T18743" t="s">
        <v>57306</v>
      </c>
    </row>
    <row r="18744" spans="1:20" x14ac:dyDescent="0.25">
      <c r="A18744" t="str">
        <f>"3043769"</f>
        <v>3043769</v>
      </c>
      <c r="B18744" t="s">
        <v>57309</v>
      </c>
      <c r="C18744" t="str">
        <f>"8311647"</f>
        <v>8311647</v>
      </c>
      <c r="D18744" t="s">
        <v>57310</v>
      </c>
      <c r="F18744" t="s">
        <v>57311</v>
      </c>
      <c r="I18744" t="s">
        <v>29</v>
      </c>
      <c r="J18744" t="s">
        <v>30</v>
      </c>
      <c r="K18744" t="s">
        <v>57312</v>
      </c>
      <c r="M18744" t="s">
        <v>50621</v>
      </c>
      <c r="N18744" t="str">
        <f>"3/6/2023 4:24:00 PM"</f>
        <v>3/6/2023 4:24:00 PM</v>
      </c>
      <c r="O18744" t="s">
        <v>57310</v>
      </c>
    </row>
    <row r="18745" spans="1:20" x14ac:dyDescent="0.25">
      <c r="A18745" t="str">
        <f>"3078115"</f>
        <v>3078115</v>
      </c>
      <c r="B18745" t="s">
        <v>57313</v>
      </c>
      <c r="C18745" t="str">
        <f>"8302565"</f>
        <v>8302565</v>
      </c>
      <c r="D18745" t="s">
        <v>57314</v>
      </c>
      <c r="E18745" t="s">
        <v>57315</v>
      </c>
      <c r="F18745" t="s">
        <v>57316</v>
      </c>
      <c r="I18745" t="s">
        <v>29</v>
      </c>
      <c r="J18745" t="s">
        <v>30</v>
      </c>
      <c r="K18745" t="str">
        <f>"27028"</f>
        <v>27028</v>
      </c>
      <c r="M18745" t="s">
        <v>50621</v>
      </c>
      <c r="N18745" t="str">
        <f>"3/7/2023 9:53:00 AM"</f>
        <v>3/7/2023 9:53:00 AM</v>
      </c>
      <c r="O18745" t="s">
        <v>57314</v>
      </c>
      <c r="T18745" t="s">
        <v>57315</v>
      </c>
    </row>
    <row r="18746" spans="1:20" x14ac:dyDescent="0.25">
      <c r="A18746" t="str">
        <f>"3053167"</f>
        <v>3053167</v>
      </c>
      <c r="B18746" t="s">
        <v>57317</v>
      </c>
      <c r="C18746" t="str">
        <f>"71980000"</f>
        <v>71980000</v>
      </c>
      <c r="D18746" t="s">
        <v>57318</v>
      </c>
      <c r="E18746" t="s">
        <v>57319</v>
      </c>
      <c r="F18746" t="str">
        <f>"C/O BROOKE SUITER ROTHWELL"</f>
        <v>C/O BROOKE SUITER ROTHWELL</v>
      </c>
      <c r="G18746" t="s">
        <v>57320</v>
      </c>
      <c r="I18746" t="s">
        <v>2525</v>
      </c>
      <c r="J18746" t="s">
        <v>30</v>
      </c>
      <c r="K18746" t="s">
        <v>57321</v>
      </c>
      <c r="M18746" t="s">
        <v>50621</v>
      </c>
      <c r="N18746" t="str">
        <f>"3/7/2023 9:55:00 AM"</f>
        <v>3/7/2023 9:55:00 AM</v>
      </c>
      <c r="O18746" t="s">
        <v>57318</v>
      </c>
      <c r="T18746" t="s">
        <v>57319</v>
      </c>
    </row>
    <row r="18747" spans="1:20" x14ac:dyDescent="0.25">
      <c r="A18747" t="str">
        <f>"3053018"</f>
        <v>3053018</v>
      </c>
      <c r="B18747" t="s">
        <v>57322</v>
      </c>
      <c r="C18747" t="str">
        <f>"71980000"</f>
        <v>71980000</v>
      </c>
      <c r="D18747" t="s">
        <v>57318</v>
      </c>
      <c r="E18747" t="s">
        <v>57319</v>
      </c>
      <c r="F18747" t="str">
        <f>"C/O BROOKE SUITER ROTHWELL"</f>
        <v>C/O BROOKE SUITER ROTHWELL</v>
      </c>
      <c r="G18747" t="s">
        <v>57320</v>
      </c>
      <c r="I18747" t="s">
        <v>2525</v>
      </c>
      <c r="J18747" t="s">
        <v>30</v>
      </c>
      <c r="K18747" t="s">
        <v>57321</v>
      </c>
      <c r="M18747" t="s">
        <v>50621</v>
      </c>
      <c r="N18747" t="str">
        <f>"3/7/2023 9:55:00 AM"</f>
        <v>3/7/2023 9:55:00 AM</v>
      </c>
      <c r="O18747" t="s">
        <v>57318</v>
      </c>
      <c r="T18747" t="s">
        <v>57319</v>
      </c>
    </row>
    <row r="18748" spans="1:20" x14ac:dyDescent="0.25">
      <c r="A18748" t="str">
        <f>"3052995"</f>
        <v>3052995</v>
      </c>
      <c r="B18748" t="s">
        <v>57323</v>
      </c>
      <c r="C18748" t="str">
        <f>"71980000"</f>
        <v>71980000</v>
      </c>
      <c r="D18748" t="s">
        <v>57318</v>
      </c>
      <c r="E18748" t="s">
        <v>57319</v>
      </c>
      <c r="F18748" t="str">
        <f>"C/O BROOKE SUITER ROTHWELL"</f>
        <v>C/O BROOKE SUITER ROTHWELL</v>
      </c>
      <c r="G18748" t="s">
        <v>57320</v>
      </c>
      <c r="I18748" t="s">
        <v>2525</v>
      </c>
      <c r="J18748" t="s">
        <v>30</v>
      </c>
      <c r="K18748" t="s">
        <v>57321</v>
      </c>
      <c r="M18748" t="s">
        <v>50621</v>
      </c>
      <c r="N18748" t="str">
        <f>"3/7/2023 9:55:00 AM"</f>
        <v>3/7/2023 9:55:00 AM</v>
      </c>
      <c r="O18748" t="s">
        <v>57318</v>
      </c>
      <c r="T18748" t="s">
        <v>57319</v>
      </c>
    </row>
    <row r="18749" spans="1:20" x14ac:dyDescent="0.25">
      <c r="A18749" t="str">
        <f>"3050370"</f>
        <v>3050370</v>
      </c>
      <c r="B18749" t="s">
        <v>57324</v>
      </c>
      <c r="C18749" t="str">
        <f>"8316391"</f>
        <v>8316391</v>
      </c>
      <c r="D18749" t="s">
        <v>57325</v>
      </c>
      <c r="E18749" t="s">
        <v>57326</v>
      </c>
      <c r="F18749" t="s">
        <v>57327</v>
      </c>
      <c r="I18749" t="s">
        <v>184</v>
      </c>
      <c r="J18749" t="s">
        <v>30</v>
      </c>
      <c r="K18749" t="s">
        <v>26530</v>
      </c>
      <c r="M18749" t="s">
        <v>50621</v>
      </c>
      <c r="N18749" t="str">
        <f>"3/7/2023 9:56:00 AM"</f>
        <v>3/7/2023 9:56:00 AM</v>
      </c>
      <c r="O18749" t="s">
        <v>57325</v>
      </c>
      <c r="T18749" t="s">
        <v>57326</v>
      </c>
    </row>
    <row r="18750" spans="1:20" x14ac:dyDescent="0.25">
      <c r="A18750" t="str">
        <f>"3063893"</f>
        <v>3063893</v>
      </c>
      <c r="B18750" t="s">
        <v>57328</v>
      </c>
      <c r="C18750" t="str">
        <f>"82519131"</f>
        <v>82519131</v>
      </c>
      <c r="D18750" t="s">
        <v>57329</v>
      </c>
      <c r="E18750" t="s">
        <v>57330</v>
      </c>
      <c r="F18750" t="s">
        <v>57331</v>
      </c>
      <c r="I18750" t="s">
        <v>29</v>
      </c>
      <c r="J18750" t="s">
        <v>30</v>
      </c>
      <c r="K18750" t="s">
        <v>31</v>
      </c>
      <c r="M18750" t="s">
        <v>50621</v>
      </c>
      <c r="N18750" t="str">
        <f>"3/7/2023 9:57:00 AM"</f>
        <v>3/7/2023 9:57:00 AM</v>
      </c>
      <c r="O18750" t="s">
        <v>57329</v>
      </c>
      <c r="T18750" t="s">
        <v>57330</v>
      </c>
    </row>
    <row r="18751" spans="1:20" x14ac:dyDescent="0.25">
      <c r="A18751" t="str">
        <f>"3040074"</f>
        <v>3040074</v>
      </c>
      <c r="B18751" t="s">
        <v>57332</v>
      </c>
      <c r="C18751" t="str">
        <f>"8308463"</f>
        <v>8308463</v>
      </c>
      <c r="D18751" t="s">
        <v>57333</v>
      </c>
      <c r="F18751" t="s">
        <v>57334</v>
      </c>
      <c r="I18751" t="s">
        <v>29</v>
      </c>
      <c r="J18751" t="s">
        <v>30</v>
      </c>
      <c r="K18751" t="str">
        <f>"27028"</f>
        <v>27028</v>
      </c>
      <c r="M18751" t="s">
        <v>50621</v>
      </c>
      <c r="N18751" t="str">
        <f>"3/7/2023 9:58:00 AM"</f>
        <v>3/7/2023 9:58:00 AM</v>
      </c>
      <c r="O18751" t="s">
        <v>57333</v>
      </c>
    </row>
    <row r="18752" spans="1:20" x14ac:dyDescent="0.25">
      <c r="A18752" t="str">
        <f>"3042860"</f>
        <v>3042860</v>
      </c>
      <c r="B18752" t="s">
        <v>57335</v>
      </c>
      <c r="C18752" t="str">
        <f>"74052750"</f>
        <v>74052750</v>
      </c>
      <c r="D18752" t="s">
        <v>57336</v>
      </c>
      <c r="E18752" t="s">
        <v>57337</v>
      </c>
      <c r="F18752" t="s">
        <v>57338</v>
      </c>
      <c r="I18752" t="s">
        <v>29</v>
      </c>
      <c r="J18752" t="s">
        <v>30</v>
      </c>
      <c r="K18752" t="s">
        <v>57339</v>
      </c>
      <c r="M18752" t="s">
        <v>50621</v>
      </c>
      <c r="N18752" t="str">
        <f>"3/7/2023 10:05:00 AM"</f>
        <v>3/7/2023 10:05:00 AM</v>
      </c>
      <c r="O18752" t="s">
        <v>57336</v>
      </c>
      <c r="T18752" t="s">
        <v>57337</v>
      </c>
    </row>
    <row r="18753" spans="1:20" x14ac:dyDescent="0.25">
      <c r="A18753" t="str">
        <f>"3046240"</f>
        <v>3046240</v>
      </c>
      <c r="B18753" t="s">
        <v>57340</v>
      </c>
      <c r="C18753" t="str">
        <f>"8307591"</f>
        <v>8307591</v>
      </c>
      <c r="D18753" t="s">
        <v>57341</v>
      </c>
      <c r="E18753" t="str">
        <f>"BYRD STEPHANIE/BARRY"</f>
        <v>BYRD STEPHANIE/BARRY</v>
      </c>
      <c r="F18753" t="s">
        <v>57342</v>
      </c>
      <c r="I18753" t="s">
        <v>49</v>
      </c>
      <c r="J18753" t="s">
        <v>30</v>
      </c>
      <c r="K18753" t="s">
        <v>57343</v>
      </c>
      <c r="M18753" t="s">
        <v>50621</v>
      </c>
      <c r="N18753" t="str">
        <f>"3/6/2023 4:26:00 PM"</f>
        <v>3/6/2023 4:26:00 PM</v>
      </c>
      <c r="O18753" t="s">
        <v>57341</v>
      </c>
      <c r="T18753" t="str">
        <f>"BYRD STEPHANIE/BARRY"</f>
        <v>BYRD STEPHANIE/BARRY</v>
      </c>
    </row>
    <row r="18754" spans="1:20" x14ac:dyDescent="0.25">
      <c r="A18754" t="str">
        <f>"3063480"</f>
        <v>3063480</v>
      </c>
      <c r="B18754" t="s">
        <v>57344</v>
      </c>
      <c r="C18754" t="str">
        <f>"8315687"</f>
        <v>8315687</v>
      </c>
      <c r="D18754" t="s">
        <v>57345</v>
      </c>
      <c r="E18754" t="s">
        <v>57346</v>
      </c>
      <c r="F18754" t="s">
        <v>57347</v>
      </c>
      <c r="I18754" t="s">
        <v>29</v>
      </c>
      <c r="J18754" t="s">
        <v>30</v>
      </c>
      <c r="K18754" t="str">
        <f>"27028"</f>
        <v>27028</v>
      </c>
      <c r="M18754" t="s">
        <v>50621</v>
      </c>
      <c r="N18754" t="str">
        <f>"3/6/2023 4:26:00 PM"</f>
        <v>3/6/2023 4:26:00 PM</v>
      </c>
      <c r="O18754" t="s">
        <v>57345</v>
      </c>
      <c r="T18754" t="s">
        <v>57346</v>
      </c>
    </row>
    <row r="18755" spans="1:20" x14ac:dyDescent="0.25">
      <c r="A18755" t="str">
        <f>"3061418"</f>
        <v>3061418</v>
      </c>
      <c r="B18755" t="s">
        <v>57348</v>
      </c>
      <c r="C18755" t="str">
        <f>"8319811"</f>
        <v>8319811</v>
      </c>
      <c r="D18755" t="s">
        <v>57349</v>
      </c>
      <c r="E18755" t="s">
        <v>57350</v>
      </c>
      <c r="F18755" t="s">
        <v>57351</v>
      </c>
      <c r="I18755" t="s">
        <v>184</v>
      </c>
      <c r="J18755" t="s">
        <v>30</v>
      </c>
      <c r="K18755" t="s">
        <v>5664</v>
      </c>
      <c r="M18755" t="s">
        <v>17861</v>
      </c>
      <c r="N18755" t="str">
        <f>"3/7/2023 8:16:00 AM"</f>
        <v>3/7/2023 8:16:00 AM</v>
      </c>
      <c r="O18755" t="s">
        <v>57349</v>
      </c>
      <c r="T18755" t="s">
        <v>57350</v>
      </c>
    </row>
    <row r="18756" spans="1:20" x14ac:dyDescent="0.25">
      <c r="A18756" t="str">
        <f>"3056257"</f>
        <v>3056257</v>
      </c>
      <c r="B18756" t="s">
        <v>57352</v>
      </c>
      <c r="C18756" t="str">
        <f>"82516514"</f>
        <v>82516514</v>
      </c>
      <c r="D18756" t="s">
        <v>57353</v>
      </c>
      <c r="E18756" t="s">
        <v>57354</v>
      </c>
      <c r="F18756" t="s">
        <v>57355</v>
      </c>
      <c r="I18756" t="s">
        <v>29</v>
      </c>
      <c r="J18756" t="s">
        <v>30</v>
      </c>
      <c r="K18756" t="s">
        <v>31</v>
      </c>
      <c r="M18756" t="s">
        <v>50621</v>
      </c>
      <c r="N18756" t="str">
        <f>"3/7/2023 10:08:00 AM"</f>
        <v>3/7/2023 10:08:00 AM</v>
      </c>
      <c r="O18756" t="s">
        <v>57353</v>
      </c>
      <c r="T18756" t="s">
        <v>57354</v>
      </c>
    </row>
    <row r="18757" spans="1:20" x14ac:dyDescent="0.25">
      <c r="A18757" t="str">
        <f>"3062163"</f>
        <v>3062163</v>
      </c>
      <c r="B18757" t="s">
        <v>57356</v>
      </c>
      <c r="C18757" t="str">
        <f>"82516514"</f>
        <v>82516514</v>
      </c>
      <c r="D18757" t="s">
        <v>57353</v>
      </c>
      <c r="E18757" t="s">
        <v>57354</v>
      </c>
      <c r="F18757" t="s">
        <v>57355</v>
      </c>
      <c r="I18757" t="s">
        <v>29</v>
      </c>
      <c r="J18757" t="s">
        <v>30</v>
      </c>
      <c r="K18757" t="s">
        <v>31</v>
      </c>
      <c r="M18757" t="s">
        <v>50621</v>
      </c>
      <c r="N18757" t="str">
        <f>"3/7/2023 10:08:00 AM"</f>
        <v>3/7/2023 10:08:00 AM</v>
      </c>
      <c r="O18757" t="s">
        <v>57353</v>
      </c>
      <c r="T18757" t="s">
        <v>57354</v>
      </c>
    </row>
    <row r="18758" spans="1:20" x14ac:dyDescent="0.25">
      <c r="A18758" t="str">
        <f>"3046247"</f>
        <v>3046247</v>
      </c>
      <c r="B18758" t="s">
        <v>57357</v>
      </c>
      <c r="C18758" t="str">
        <f>"82523548"</f>
        <v>82523548</v>
      </c>
      <c r="D18758" t="s">
        <v>57358</v>
      </c>
      <c r="F18758" t="s">
        <v>57359</v>
      </c>
      <c r="I18758" t="s">
        <v>29</v>
      </c>
      <c r="J18758" t="s">
        <v>30</v>
      </c>
      <c r="K18758" t="s">
        <v>31</v>
      </c>
      <c r="M18758" t="s">
        <v>50621</v>
      </c>
      <c r="N18758" t="str">
        <f>"3/7/2023 10:11:00 AM"</f>
        <v>3/7/2023 10:11:00 AM</v>
      </c>
      <c r="O18758" t="s">
        <v>57358</v>
      </c>
    </row>
    <row r="18759" spans="1:20" x14ac:dyDescent="0.25">
      <c r="A18759" t="str">
        <f>"3046157"</f>
        <v>3046157</v>
      </c>
      <c r="B18759" t="s">
        <v>57360</v>
      </c>
      <c r="C18759" t="str">
        <f>"77929000"</f>
        <v>77929000</v>
      </c>
      <c r="D18759" t="s">
        <v>57361</v>
      </c>
      <c r="E18759" t="s">
        <v>57362</v>
      </c>
      <c r="F18759" t="s">
        <v>57363</v>
      </c>
      <c r="I18759" t="s">
        <v>29</v>
      </c>
      <c r="J18759" t="s">
        <v>30</v>
      </c>
      <c r="K18759" t="s">
        <v>31</v>
      </c>
      <c r="M18759" t="s">
        <v>50621</v>
      </c>
      <c r="N18759" t="str">
        <f>"3/7/2023 10:12:00 AM"</f>
        <v>3/7/2023 10:12:00 AM</v>
      </c>
      <c r="O18759" t="s">
        <v>57361</v>
      </c>
      <c r="T18759" t="s">
        <v>57362</v>
      </c>
    </row>
    <row r="18760" spans="1:20" x14ac:dyDescent="0.25">
      <c r="A18760" t="str">
        <f>"3045956"</f>
        <v>3045956</v>
      </c>
      <c r="B18760" t="s">
        <v>57364</v>
      </c>
      <c r="C18760" t="str">
        <f>"77929000"</f>
        <v>77929000</v>
      </c>
      <c r="D18760" t="s">
        <v>57361</v>
      </c>
      <c r="E18760" t="s">
        <v>57362</v>
      </c>
      <c r="F18760" t="s">
        <v>57363</v>
      </c>
      <c r="I18760" t="s">
        <v>29</v>
      </c>
      <c r="J18760" t="s">
        <v>30</v>
      </c>
      <c r="K18760" t="s">
        <v>31</v>
      </c>
      <c r="M18760" t="s">
        <v>50621</v>
      </c>
      <c r="N18760" t="str">
        <f>"3/7/2023 10:12:00 AM"</f>
        <v>3/7/2023 10:12:00 AM</v>
      </c>
      <c r="O18760" t="s">
        <v>57361</v>
      </c>
      <c r="T18760" t="s">
        <v>57362</v>
      </c>
    </row>
    <row r="18761" spans="1:20" x14ac:dyDescent="0.25">
      <c r="A18761" t="str">
        <f>"3039127"</f>
        <v>3039127</v>
      </c>
      <c r="B18761" t="s">
        <v>57365</v>
      </c>
      <c r="C18761" t="str">
        <f>"78252000"</f>
        <v>78252000</v>
      </c>
      <c r="D18761" t="s">
        <v>57366</v>
      </c>
      <c r="E18761" t="s">
        <v>57367</v>
      </c>
      <c r="F18761" t="s">
        <v>57368</v>
      </c>
      <c r="I18761" t="s">
        <v>29</v>
      </c>
      <c r="J18761" t="s">
        <v>30</v>
      </c>
      <c r="K18761" t="s">
        <v>23550</v>
      </c>
      <c r="M18761" t="s">
        <v>50621</v>
      </c>
      <c r="N18761" t="str">
        <f>"3/7/2023 10:13:00 AM"</f>
        <v>3/7/2023 10:13:00 AM</v>
      </c>
      <c r="O18761" t="s">
        <v>57366</v>
      </c>
      <c r="T18761" t="s">
        <v>57367</v>
      </c>
    </row>
    <row r="18762" spans="1:20" x14ac:dyDescent="0.25">
      <c r="A18762" t="str">
        <f>"3061900"</f>
        <v>3061900</v>
      </c>
      <c r="B18762" t="s">
        <v>57369</v>
      </c>
      <c r="C18762" t="str">
        <f>"82522424"</f>
        <v>82522424</v>
      </c>
      <c r="D18762" t="s">
        <v>57370</v>
      </c>
      <c r="E18762" t="s">
        <v>57371</v>
      </c>
      <c r="F18762" t="s">
        <v>57372</v>
      </c>
      <c r="I18762" t="s">
        <v>184</v>
      </c>
      <c r="J18762" t="s">
        <v>30</v>
      </c>
      <c r="K18762" t="s">
        <v>185</v>
      </c>
      <c r="M18762" t="s">
        <v>50621</v>
      </c>
      <c r="N18762" t="str">
        <f>"3/7/2023 10:14:00 AM"</f>
        <v>3/7/2023 10:14:00 AM</v>
      </c>
      <c r="O18762" t="s">
        <v>57370</v>
      </c>
      <c r="T18762" t="s">
        <v>57371</v>
      </c>
    </row>
    <row r="18763" spans="1:20" x14ac:dyDescent="0.25">
      <c r="A18763" t="str">
        <f>"3057004"</f>
        <v>3057004</v>
      </c>
      <c r="B18763" t="s">
        <v>57373</v>
      </c>
      <c r="C18763" t="str">
        <f>"82527260"</f>
        <v>82527260</v>
      </c>
      <c r="D18763" t="s">
        <v>57374</v>
      </c>
      <c r="E18763" t="s">
        <v>57375</v>
      </c>
      <c r="F18763" t="s">
        <v>57376</v>
      </c>
      <c r="I18763" t="s">
        <v>29</v>
      </c>
      <c r="J18763" t="s">
        <v>30</v>
      </c>
      <c r="K18763" t="s">
        <v>31</v>
      </c>
      <c r="M18763" t="s">
        <v>50621</v>
      </c>
      <c r="N18763" t="str">
        <f>"3/7/2023 10:15:00 AM"</f>
        <v>3/7/2023 10:15:00 AM</v>
      </c>
      <c r="O18763" t="s">
        <v>57374</v>
      </c>
      <c r="T18763" t="s">
        <v>57375</v>
      </c>
    </row>
    <row r="18764" spans="1:20" x14ac:dyDescent="0.25">
      <c r="A18764" t="str">
        <f>"3041839"</f>
        <v>3041839</v>
      </c>
      <c r="B18764" t="s">
        <v>57377</v>
      </c>
      <c r="C18764" t="str">
        <f>"8319812"</f>
        <v>8319812</v>
      </c>
      <c r="D18764" t="s">
        <v>57378</v>
      </c>
      <c r="F18764" t="s">
        <v>57379</v>
      </c>
      <c r="I18764" t="s">
        <v>2071</v>
      </c>
      <c r="J18764" t="s">
        <v>30</v>
      </c>
      <c r="K18764" t="s">
        <v>3872</v>
      </c>
      <c r="M18764" t="s">
        <v>17861</v>
      </c>
      <c r="N18764" t="str">
        <f>"3/7/2023 8:40:00 AM"</f>
        <v>3/7/2023 8:40:00 AM</v>
      </c>
      <c r="O18764" t="s">
        <v>57378</v>
      </c>
    </row>
    <row r="18765" spans="1:20" x14ac:dyDescent="0.25">
      <c r="A18765" t="str">
        <f>"3042166"</f>
        <v>3042166</v>
      </c>
      <c r="B18765" t="s">
        <v>57380</v>
      </c>
      <c r="C18765" t="str">
        <f>"58020500"</f>
        <v>58020500</v>
      </c>
      <c r="D18765" t="s">
        <v>57381</v>
      </c>
      <c r="F18765" t="s">
        <v>57382</v>
      </c>
      <c r="I18765" t="s">
        <v>29</v>
      </c>
      <c r="J18765" t="s">
        <v>30</v>
      </c>
      <c r="K18765" t="s">
        <v>31</v>
      </c>
      <c r="M18765" t="s">
        <v>50621</v>
      </c>
      <c r="N18765" t="str">
        <f>"3/7/2023 9:18:00 AM"</f>
        <v>3/7/2023 9:18:00 AM</v>
      </c>
      <c r="O18765" t="s">
        <v>57381</v>
      </c>
    </row>
    <row r="18766" spans="1:20" x14ac:dyDescent="0.25">
      <c r="A18766" t="str">
        <f>"3050117"</f>
        <v>3050117</v>
      </c>
      <c r="B18766" t="s">
        <v>57383</v>
      </c>
      <c r="C18766" t="str">
        <f>"58460100"</f>
        <v>58460100</v>
      </c>
      <c r="D18766" t="s">
        <v>56390</v>
      </c>
      <c r="F18766" t="s">
        <v>14350</v>
      </c>
      <c r="I18766" t="s">
        <v>29</v>
      </c>
      <c r="J18766" t="s">
        <v>30</v>
      </c>
      <c r="K18766" t="s">
        <v>15394</v>
      </c>
      <c r="M18766" t="s">
        <v>50621</v>
      </c>
      <c r="N18766" t="str">
        <f>"3/7/2023 9:19:00 AM"</f>
        <v>3/7/2023 9:19:00 AM</v>
      </c>
      <c r="O18766" t="s">
        <v>56390</v>
      </c>
      <c r="T18766" t="s">
        <v>56390</v>
      </c>
    </row>
    <row r="18767" spans="1:20" x14ac:dyDescent="0.25">
      <c r="A18767" t="str">
        <f>"3057606"</f>
        <v>3057606</v>
      </c>
      <c r="B18767" t="s">
        <v>57384</v>
      </c>
      <c r="C18767" t="str">
        <f>"58460100"</f>
        <v>58460100</v>
      </c>
      <c r="D18767" t="s">
        <v>56390</v>
      </c>
      <c r="F18767" t="s">
        <v>14350</v>
      </c>
      <c r="I18767" t="s">
        <v>29</v>
      </c>
      <c r="J18767" t="s">
        <v>30</v>
      </c>
      <c r="K18767" t="s">
        <v>15394</v>
      </c>
      <c r="M18767" t="s">
        <v>50621</v>
      </c>
      <c r="N18767" t="str">
        <f>"3/7/2023 9:19:00 AM"</f>
        <v>3/7/2023 9:19:00 AM</v>
      </c>
      <c r="O18767" t="s">
        <v>56390</v>
      </c>
      <c r="T18767" t="s">
        <v>56390</v>
      </c>
    </row>
    <row r="18768" spans="1:20" x14ac:dyDescent="0.25">
      <c r="A18768" t="str">
        <f>"3043819"</f>
        <v>3043819</v>
      </c>
      <c r="B18768" t="s">
        <v>57385</v>
      </c>
      <c r="C18768" t="str">
        <f>"8302565"</f>
        <v>8302565</v>
      </c>
      <c r="D18768" t="s">
        <v>57314</v>
      </c>
      <c r="E18768" t="s">
        <v>57315</v>
      </c>
      <c r="F18768" t="s">
        <v>57316</v>
      </c>
      <c r="I18768" t="s">
        <v>29</v>
      </c>
      <c r="J18768" t="s">
        <v>30</v>
      </c>
      <c r="K18768" t="str">
        <f>"27028"</f>
        <v>27028</v>
      </c>
      <c r="M18768" t="s">
        <v>50621</v>
      </c>
      <c r="N18768" t="str">
        <f>"3/7/2023 9:53:00 AM"</f>
        <v>3/7/2023 9:53:00 AM</v>
      </c>
      <c r="O18768" t="s">
        <v>57314</v>
      </c>
      <c r="T18768" t="s">
        <v>57315</v>
      </c>
    </row>
    <row r="18769" spans="1:20" x14ac:dyDescent="0.25">
      <c r="A18769" t="str">
        <f>"3043820"</f>
        <v>3043820</v>
      </c>
      <c r="B18769" t="s">
        <v>57386</v>
      </c>
      <c r="C18769" t="str">
        <f>"8302565"</f>
        <v>8302565</v>
      </c>
      <c r="D18769" t="s">
        <v>57314</v>
      </c>
      <c r="E18769" t="s">
        <v>57315</v>
      </c>
      <c r="F18769" t="s">
        <v>57316</v>
      </c>
      <c r="I18769" t="s">
        <v>29</v>
      </c>
      <c r="J18769" t="s">
        <v>30</v>
      </c>
      <c r="K18769" t="str">
        <f>"27028"</f>
        <v>27028</v>
      </c>
      <c r="M18769" t="s">
        <v>50621</v>
      </c>
      <c r="N18769" t="str">
        <f>"3/7/2023 9:53:00 AM"</f>
        <v>3/7/2023 9:53:00 AM</v>
      </c>
      <c r="O18769" t="s">
        <v>57314</v>
      </c>
      <c r="T18769" t="s">
        <v>57315</v>
      </c>
    </row>
    <row r="18770" spans="1:20" x14ac:dyDescent="0.25">
      <c r="A18770" t="str">
        <f>"3043568"</f>
        <v>3043568</v>
      </c>
      <c r="B18770" t="s">
        <v>57387</v>
      </c>
      <c r="C18770" t="str">
        <f>"8302565"</f>
        <v>8302565</v>
      </c>
      <c r="D18770" t="s">
        <v>57314</v>
      </c>
      <c r="E18770" t="s">
        <v>57315</v>
      </c>
      <c r="F18770" t="s">
        <v>57316</v>
      </c>
      <c r="I18770" t="s">
        <v>29</v>
      </c>
      <c r="J18770" t="s">
        <v>30</v>
      </c>
      <c r="K18770" t="str">
        <f>"27028"</f>
        <v>27028</v>
      </c>
      <c r="M18770" t="s">
        <v>50621</v>
      </c>
      <c r="N18770" t="str">
        <f>"3/7/2023 9:53:00 AM"</f>
        <v>3/7/2023 9:53:00 AM</v>
      </c>
      <c r="O18770" t="s">
        <v>57314</v>
      </c>
      <c r="T18770" t="s">
        <v>57315</v>
      </c>
    </row>
    <row r="18771" spans="1:20" x14ac:dyDescent="0.25">
      <c r="A18771" t="str">
        <f>"3061538"</f>
        <v>3061538</v>
      </c>
      <c r="B18771" t="s">
        <v>57388</v>
      </c>
      <c r="C18771" t="str">
        <f>"82522948"</f>
        <v>82522948</v>
      </c>
      <c r="D18771" t="s">
        <v>57389</v>
      </c>
      <c r="F18771" t="s">
        <v>57390</v>
      </c>
      <c r="G18771" t="s">
        <v>57391</v>
      </c>
      <c r="I18771" t="s">
        <v>184</v>
      </c>
      <c r="J18771" t="s">
        <v>30</v>
      </c>
      <c r="K18771" t="s">
        <v>34784</v>
      </c>
      <c r="M18771" t="s">
        <v>50621</v>
      </c>
      <c r="N18771" t="str">
        <f>"3/7/2023 9:25:00 AM"</f>
        <v>3/7/2023 9:25:00 AM</v>
      </c>
      <c r="O18771" t="s">
        <v>57389</v>
      </c>
    </row>
    <row r="18772" spans="1:20" x14ac:dyDescent="0.25">
      <c r="A18772" t="str">
        <f>"3075305"</f>
        <v>3075305</v>
      </c>
      <c r="B18772" t="s">
        <v>57392</v>
      </c>
      <c r="C18772" t="str">
        <f>"8319824"</f>
        <v>8319824</v>
      </c>
      <c r="D18772" t="s">
        <v>57393</v>
      </c>
      <c r="E18772" t="s">
        <v>57394</v>
      </c>
      <c r="F18772" t="s">
        <v>57395</v>
      </c>
      <c r="I18772" t="s">
        <v>17921</v>
      </c>
      <c r="J18772" t="s">
        <v>30</v>
      </c>
      <c r="K18772" t="str">
        <f>"27028"</f>
        <v>27028</v>
      </c>
      <c r="M18772" t="s">
        <v>17861</v>
      </c>
      <c r="N18772" t="str">
        <f>"3/8/2023 10:59:00 AM"</f>
        <v>3/8/2023 10:59:00 AM</v>
      </c>
      <c r="O18772" t="s">
        <v>57393</v>
      </c>
      <c r="T18772" t="s">
        <v>57394</v>
      </c>
    </row>
    <row r="18773" spans="1:20" x14ac:dyDescent="0.25">
      <c r="A18773" t="str">
        <f>"3056014"</f>
        <v>3056014</v>
      </c>
      <c r="B18773" t="s">
        <v>57396</v>
      </c>
      <c r="C18773" t="str">
        <f>"8319825"</f>
        <v>8319825</v>
      </c>
      <c r="D18773" t="s">
        <v>57397</v>
      </c>
      <c r="F18773" t="s">
        <v>57398</v>
      </c>
      <c r="I18773" t="s">
        <v>29</v>
      </c>
      <c r="J18773" t="s">
        <v>30</v>
      </c>
      <c r="K18773" t="s">
        <v>8511</v>
      </c>
      <c r="M18773" t="s">
        <v>17861</v>
      </c>
      <c r="N18773" t="str">
        <f>"3/8/2023 11:16:00 AM"</f>
        <v>3/8/2023 11:16:00 AM</v>
      </c>
      <c r="O18773" t="s">
        <v>57397</v>
      </c>
    </row>
    <row r="18774" spans="1:20" x14ac:dyDescent="0.25">
      <c r="A18774" t="str">
        <f>"3056348"</f>
        <v>3056348</v>
      </c>
      <c r="B18774" t="s">
        <v>57399</v>
      </c>
      <c r="C18774" t="str">
        <f>"8319825"</f>
        <v>8319825</v>
      </c>
      <c r="D18774" t="s">
        <v>57397</v>
      </c>
      <c r="F18774" t="s">
        <v>57398</v>
      </c>
      <c r="I18774" t="s">
        <v>29</v>
      </c>
      <c r="J18774" t="s">
        <v>30</v>
      </c>
      <c r="K18774" t="s">
        <v>8511</v>
      </c>
      <c r="M18774" t="s">
        <v>17861</v>
      </c>
      <c r="N18774" t="str">
        <f>"3/8/2023 11:16:00 AM"</f>
        <v>3/8/2023 11:16:00 AM</v>
      </c>
      <c r="O18774" t="s">
        <v>57397</v>
      </c>
    </row>
    <row r="18775" spans="1:20" x14ac:dyDescent="0.25">
      <c r="A18775" t="str">
        <f>"3058128"</f>
        <v>3058128</v>
      </c>
      <c r="B18775" t="s">
        <v>57400</v>
      </c>
      <c r="C18775" t="str">
        <f>"8319826"</f>
        <v>8319826</v>
      </c>
      <c r="D18775" t="s">
        <v>57401</v>
      </c>
      <c r="F18775" t="s">
        <v>57402</v>
      </c>
      <c r="I18775" t="s">
        <v>402</v>
      </c>
      <c r="J18775" t="s">
        <v>30</v>
      </c>
      <c r="K18775" t="s">
        <v>57403</v>
      </c>
      <c r="M18775" t="s">
        <v>17861</v>
      </c>
      <c r="N18775" t="str">
        <f>"3/8/2023 11:20:00 AM"</f>
        <v>3/8/2023 11:20:00 AM</v>
      </c>
      <c r="O18775" t="s">
        <v>57401</v>
      </c>
    </row>
    <row r="18776" spans="1:20" x14ac:dyDescent="0.25">
      <c r="A18776" t="str">
        <f>"3042789"</f>
        <v>3042789</v>
      </c>
      <c r="B18776" t="s">
        <v>57404</v>
      </c>
      <c r="C18776" t="str">
        <f>"8311454"</f>
        <v>8311454</v>
      </c>
      <c r="D18776" t="s">
        <v>57405</v>
      </c>
      <c r="E18776" t="s">
        <v>57406</v>
      </c>
      <c r="F18776" t="s">
        <v>57407</v>
      </c>
      <c r="I18776" t="s">
        <v>29</v>
      </c>
      <c r="J18776" t="s">
        <v>30</v>
      </c>
      <c r="K18776" t="str">
        <f>"27028"</f>
        <v>27028</v>
      </c>
      <c r="M18776" t="s">
        <v>50621</v>
      </c>
      <c r="N18776" t="str">
        <f>"3/7/2023 9:25:00 AM"</f>
        <v>3/7/2023 9:25:00 AM</v>
      </c>
      <c r="O18776" t="s">
        <v>57405</v>
      </c>
      <c r="T18776" t="s">
        <v>57406</v>
      </c>
    </row>
    <row r="18777" spans="1:20" x14ac:dyDescent="0.25">
      <c r="A18777" t="str">
        <f>"3042100"</f>
        <v>3042100</v>
      </c>
      <c r="B18777" t="s">
        <v>57408</v>
      </c>
      <c r="C18777" t="str">
        <f>"8311454"</f>
        <v>8311454</v>
      </c>
      <c r="D18777" t="s">
        <v>57405</v>
      </c>
      <c r="E18777" t="s">
        <v>57406</v>
      </c>
      <c r="F18777" t="s">
        <v>57407</v>
      </c>
      <c r="I18777" t="s">
        <v>29</v>
      </c>
      <c r="J18777" t="s">
        <v>30</v>
      </c>
      <c r="K18777" t="str">
        <f>"27028"</f>
        <v>27028</v>
      </c>
      <c r="M18777" t="s">
        <v>50621</v>
      </c>
      <c r="N18777" t="str">
        <f>"3/7/2023 9:25:00 AM"</f>
        <v>3/7/2023 9:25:00 AM</v>
      </c>
      <c r="O18777" t="s">
        <v>57405</v>
      </c>
      <c r="T18777" t="s">
        <v>57406</v>
      </c>
    </row>
    <row r="18778" spans="1:20" x14ac:dyDescent="0.25">
      <c r="A18778" t="str">
        <f>"3039468"</f>
        <v>3039468</v>
      </c>
      <c r="B18778" t="s">
        <v>57409</v>
      </c>
      <c r="C18778" t="str">
        <f>"8310378"</f>
        <v>8310378</v>
      </c>
      <c r="D18778" t="s">
        <v>57410</v>
      </c>
      <c r="F18778" t="s">
        <v>57411</v>
      </c>
      <c r="I18778" t="s">
        <v>29</v>
      </c>
      <c r="J18778" t="s">
        <v>30</v>
      </c>
      <c r="K18778" t="s">
        <v>57412</v>
      </c>
      <c r="M18778" t="s">
        <v>50621</v>
      </c>
      <c r="N18778" t="str">
        <f>"3/7/2023 9:27:00 AM"</f>
        <v>3/7/2023 9:27:00 AM</v>
      </c>
      <c r="O18778" t="s">
        <v>57410</v>
      </c>
    </row>
    <row r="18779" spans="1:20" x14ac:dyDescent="0.25">
      <c r="A18779" t="str">
        <f>"3071885"</f>
        <v>3071885</v>
      </c>
      <c r="B18779" t="s">
        <v>57413</v>
      </c>
      <c r="C18779" t="str">
        <f>"8319828"</f>
        <v>8319828</v>
      </c>
      <c r="D18779" t="s">
        <v>57414</v>
      </c>
      <c r="F18779" t="s">
        <v>57415</v>
      </c>
      <c r="I18779" t="s">
        <v>29</v>
      </c>
      <c r="J18779" t="s">
        <v>30</v>
      </c>
      <c r="K18779" t="s">
        <v>57416</v>
      </c>
      <c r="M18779" t="s">
        <v>17861</v>
      </c>
      <c r="N18779" t="str">
        <f>"3/9/2023 8:32:00 AM"</f>
        <v>3/9/2023 8:32:00 AM</v>
      </c>
      <c r="O18779" t="s">
        <v>57414</v>
      </c>
    </row>
    <row r="18780" spans="1:20" x14ac:dyDescent="0.25">
      <c r="A18780" t="str">
        <f>"3048479"</f>
        <v>3048479</v>
      </c>
      <c r="B18780" t="s">
        <v>57417</v>
      </c>
      <c r="C18780" t="str">
        <f>"61686000"</f>
        <v>61686000</v>
      </c>
      <c r="D18780" t="s">
        <v>57418</v>
      </c>
      <c r="F18780" t="str">
        <f>"C/O CHARLIE RIVERS"</f>
        <v>C/O CHARLIE RIVERS</v>
      </c>
      <c r="G18780" t="s">
        <v>55571</v>
      </c>
      <c r="I18780" t="s">
        <v>29</v>
      </c>
      <c r="J18780" t="s">
        <v>30</v>
      </c>
      <c r="K18780" t="s">
        <v>31</v>
      </c>
      <c r="M18780" t="s">
        <v>50621</v>
      </c>
      <c r="N18780" t="str">
        <f>"3/7/2023 9:30:00 AM"</f>
        <v>3/7/2023 9:30:00 AM</v>
      </c>
      <c r="O18780" t="s">
        <v>57418</v>
      </c>
    </row>
    <row r="18781" spans="1:20" x14ac:dyDescent="0.25">
      <c r="A18781" t="str">
        <f>"3048498"</f>
        <v>3048498</v>
      </c>
      <c r="B18781" t="s">
        <v>57419</v>
      </c>
      <c r="C18781" t="str">
        <f>"61686000"</f>
        <v>61686000</v>
      </c>
      <c r="D18781" t="s">
        <v>57418</v>
      </c>
      <c r="F18781" t="str">
        <f>"C/O CHARLIE RIVERS"</f>
        <v>C/O CHARLIE RIVERS</v>
      </c>
      <c r="G18781" t="s">
        <v>55571</v>
      </c>
      <c r="I18781" t="s">
        <v>29</v>
      </c>
      <c r="J18781" t="s">
        <v>30</v>
      </c>
      <c r="K18781" t="s">
        <v>31</v>
      </c>
      <c r="M18781" t="s">
        <v>50621</v>
      </c>
      <c r="N18781" t="str">
        <f>"3/7/2023 9:30:00 AM"</f>
        <v>3/7/2023 9:30:00 AM</v>
      </c>
      <c r="O18781" t="s">
        <v>57418</v>
      </c>
    </row>
    <row r="18782" spans="1:20" x14ac:dyDescent="0.25">
      <c r="A18782" t="str">
        <f>"3046793"</f>
        <v>3046793</v>
      </c>
      <c r="B18782" t="s">
        <v>57420</v>
      </c>
      <c r="C18782" t="str">
        <f>"62076000"</f>
        <v>62076000</v>
      </c>
      <c r="D18782" t="s">
        <v>57421</v>
      </c>
      <c r="F18782" t="s">
        <v>57422</v>
      </c>
      <c r="I18782" t="s">
        <v>184</v>
      </c>
      <c r="J18782" t="s">
        <v>30</v>
      </c>
      <c r="K18782" t="s">
        <v>57423</v>
      </c>
      <c r="M18782" t="s">
        <v>50621</v>
      </c>
      <c r="N18782" t="str">
        <f>"3/7/2023 9:32:00 AM"</f>
        <v>3/7/2023 9:32:00 AM</v>
      </c>
      <c r="O18782" t="s">
        <v>57421</v>
      </c>
      <c r="T18782" t="s">
        <v>57421</v>
      </c>
    </row>
    <row r="18783" spans="1:20" x14ac:dyDescent="0.25">
      <c r="A18783" t="str">
        <f>"3049952"</f>
        <v>3049952</v>
      </c>
      <c r="B18783" t="s">
        <v>57424</v>
      </c>
      <c r="C18783" t="str">
        <f>"8319833"</f>
        <v>8319833</v>
      </c>
      <c r="D18783" t="s">
        <v>57425</v>
      </c>
      <c r="F18783" t="s">
        <v>57426</v>
      </c>
      <c r="I18783" t="s">
        <v>29</v>
      </c>
      <c r="J18783" t="s">
        <v>30</v>
      </c>
      <c r="K18783" t="s">
        <v>13052</v>
      </c>
      <c r="M18783" t="s">
        <v>17861</v>
      </c>
      <c r="N18783" t="str">
        <f>"3/9/2023 1:30:00 PM"</f>
        <v>3/9/2023 1:30:00 PM</v>
      </c>
      <c r="O18783" t="s">
        <v>57425</v>
      </c>
    </row>
    <row r="18784" spans="1:20" x14ac:dyDescent="0.25">
      <c r="A18784" t="str">
        <f>"3053876"</f>
        <v>3053876</v>
      </c>
      <c r="B18784" t="s">
        <v>57427</v>
      </c>
      <c r="C18784" t="str">
        <f>"8308055"</f>
        <v>8308055</v>
      </c>
      <c r="D18784" t="s">
        <v>57428</v>
      </c>
      <c r="F18784" t="s">
        <v>57429</v>
      </c>
      <c r="I18784" t="s">
        <v>29</v>
      </c>
      <c r="J18784" t="s">
        <v>30</v>
      </c>
      <c r="K18784" t="str">
        <f>"27028"</f>
        <v>27028</v>
      </c>
      <c r="M18784" t="s">
        <v>50621</v>
      </c>
      <c r="N18784" t="str">
        <f>"3/7/2023 9:35:00 AM"</f>
        <v>3/7/2023 9:35:00 AM</v>
      </c>
      <c r="O18784" t="s">
        <v>57428</v>
      </c>
    </row>
    <row r="18785" spans="1:20" x14ac:dyDescent="0.25">
      <c r="A18785" t="str">
        <f>"3040158"</f>
        <v>3040158</v>
      </c>
      <c r="B18785" t="s">
        <v>57430</v>
      </c>
      <c r="C18785" t="str">
        <f>"8319815"</f>
        <v>8319815</v>
      </c>
      <c r="D18785" t="s">
        <v>57431</v>
      </c>
      <c r="E18785" t="s">
        <v>57432</v>
      </c>
      <c r="F18785" t="s">
        <v>57433</v>
      </c>
      <c r="I18785" t="s">
        <v>2525</v>
      </c>
      <c r="J18785" t="s">
        <v>30</v>
      </c>
      <c r="K18785" t="s">
        <v>57434</v>
      </c>
      <c r="M18785" t="s">
        <v>17861</v>
      </c>
      <c r="N18785" t="str">
        <f>"3/7/2023 9:36:00 AM"</f>
        <v>3/7/2023 9:36:00 AM</v>
      </c>
      <c r="O18785" t="s">
        <v>57431</v>
      </c>
      <c r="T18785" t="s">
        <v>57432</v>
      </c>
    </row>
    <row r="18786" spans="1:20" x14ac:dyDescent="0.25">
      <c r="A18786" t="str">
        <f>"3046942"</f>
        <v>3046942</v>
      </c>
      <c r="B18786" t="s">
        <v>57435</v>
      </c>
      <c r="C18786" t="str">
        <f>"8319839"</f>
        <v>8319839</v>
      </c>
      <c r="D18786" t="s">
        <v>57436</v>
      </c>
      <c r="F18786" t="s">
        <v>57437</v>
      </c>
      <c r="I18786" t="s">
        <v>51110</v>
      </c>
      <c r="J18786" t="s">
        <v>30</v>
      </c>
      <c r="K18786" t="s">
        <v>57438</v>
      </c>
      <c r="M18786" t="s">
        <v>17861</v>
      </c>
      <c r="N18786" t="str">
        <f>"3/10/2023 3:18:00 PM"</f>
        <v>3/10/2023 3:18:00 PM</v>
      </c>
      <c r="O18786" t="s">
        <v>57436</v>
      </c>
    </row>
    <row r="18787" spans="1:20" x14ac:dyDescent="0.25">
      <c r="A18787" t="str">
        <f>"3059370"</f>
        <v>3059370</v>
      </c>
      <c r="B18787" t="s">
        <v>57439</v>
      </c>
      <c r="C18787" t="str">
        <f>"8305805"</f>
        <v>8305805</v>
      </c>
      <c r="D18787" t="s">
        <v>57440</v>
      </c>
      <c r="E18787" t="s">
        <v>57441</v>
      </c>
      <c r="F18787" t="s">
        <v>57442</v>
      </c>
      <c r="I18787" t="s">
        <v>57443</v>
      </c>
      <c r="J18787" t="s">
        <v>2109</v>
      </c>
      <c r="K18787" t="s">
        <v>57444</v>
      </c>
      <c r="M18787" t="s">
        <v>50621</v>
      </c>
      <c r="N18787" t="str">
        <f>"3/10/2023 3:24:00 PM"</f>
        <v>3/10/2023 3:24:00 PM</v>
      </c>
      <c r="O18787" t="s">
        <v>57440</v>
      </c>
      <c r="T18787" t="s">
        <v>57441</v>
      </c>
    </row>
    <row r="18788" spans="1:20" x14ac:dyDescent="0.25">
      <c r="A18788" t="str">
        <f>"3049663"</f>
        <v>3049663</v>
      </c>
      <c r="B18788" t="s">
        <v>57445</v>
      </c>
      <c r="C18788" t="str">
        <f>"8316468"</f>
        <v>8316468</v>
      </c>
      <c r="D18788" t="s">
        <v>57446</v>
      </c>
      <c r="F18788" t="s">
        <v>48554</v>
      </c>
      <c r="I18788" t="s">
        <v>29</v>
      </c>
      <c r="J18788" t="s">
        <v>30</v>
      </c>
      <c r="K18788" t="s">
        <v>48555</v>
      </c>
      <c r="M18788" t="s">
        <v>50621</v>
      </c>
      <c r="N18788" t="str">
        <f>"3/7/2023 9:38:00 AM"</f>
        <v>3/7/2023 9:38:00 AM</v>
      </c>
      <c r="O18788" t="s">
        <v>57446</v>
      </c>
    </row>
    <row r="18789" spans="1:20" x14ac:dyDescent="0.25">
      <c r="A18789" t="str">
        <f>"3040100"</f>
        <v>3040100</v>
      </c>
      <c r="B18789" t="s">
        <v>57447</v>
      </c>
      <c r="C18789" t="str">
        <f>"8319816"</f>
        <v>8319816</v>
      </c>
      <c r="D18789" t="s">
        <v>57448</v>
      </c>
      <c r="F18789" t="s">
        <v>57449</v>
      </c>
      <c r="I18789" t="s">
        <v>471</v>
      </c>
      <c r="J18789" t="s">
        <v>30</v>
      </c>
      <c r="K18789" t="s">
        <v>57450</v>
      </c>
      <c r="M18789" t="s">
        <v>17861</v>
      </c>
      <c r="N18789" t="str">
        <f>"3/7/2023 9:38:00 AM"</f>
        <v>3/7/2023 9:38:00 AM</v>
      </c>
      <c r="O18789" t="s">
        <v>57448</v>
      </c>
    </row>
    <row r="18790" spans="1:20" x14ac:dyDescent="0.25">
      <c r="A18790" t="str">
        <f>"3038692"</f>
        <v>3038692</v>
      </c>
      <c r="B18790" t="s">
        <v>57451</v>
      </c>
      <c r="C18790" t="str">
        <f>"8313039"</f>
        <v>8313039</v>
      </c>
      <c r="D18790" t="s">
        <v>57452</v>
      </c>
      <c r="F18790" t="s">
        <v>57453</v>
      </c>
      <c r="I18790" t="s">
        <v>29</v>
      </c>
      <c r="J18790" t="s">
        <v>30</v>
      </c>
      <c r="K18790" t="s">
        <v>31886</v>
      </c>
      <c r="M18790" t="s">
        <v>50621</v>
      </c>
      <c r="N18790" t="str">
        <f>"3/7/2023 10:08:00 AM"</f>
        <v>3/7/2023 10:08:00 AM</v>
      </c>
      <c r="O18790" t="s">
        <v>57452</v>
      </c>
    </row>
    <row r="18791" spans="1:20" x14ac:dyDescent="0.25">
      <c r="A18791" t="str">
        <f>"3056306"</f>
        <v>3056306</v>
      </c>
      <c r="B18791" t="s">
        <v>57454</v>
      </c>
      <c r="C18791" t="str">
        <f>"82516514"</f>
        <v>82516514</v>
      </c>
      <c r="D18791" t="s">
        <v>57353</v>
      </c>
      <c r="E18791" t="s">
        <v>57354</v>
      </c>
      <c r="F18791" t="s">
        <v>57355</v>
      </c>
      <c r="I18791" t="s">
        <v>29</v>
      </c>
      <c r="J18791" t="s">
        <v>30</v>
      </c>
      <c r="K18791" t="s">
        <v>31</v>
      </c>
      <c r="M18791" t="s">
        <v>50621</v>
      </c>
      <c r="N18791" t="str">
        <f>"3/7/2023 10:08:00 AM"</f>
        <v>3/7/2023 10:08:00 AM</v>
      </c>
      <c r="O18791" t="s">
        <v>57353</v>
      </c>
      <c r="T18791" t="s">
        <v>57354</v>
      </c>
    </row>
    <row r="18792" spans="1:20" x14ac:dyDescent="0.25">
      <c r="A18792" t="str">
        <f>"3055799"</f>
        <v>3055799</v>
      </c>
      <c r="B18792" t="s">
        <v>57455</v>
      </c>
      <c r="C18792" t="str">
        <f>"82516514"</f>
        <v>82516514</v>
      </c>
      <c r="D18792" t="s">
        <v>57353</v>
      </c>
      <c r="E18792" t="s">
        <v>57354</v>
      </c>
      <c r="F18792" t="s">
        <v>57355</v>
      </c>
      <c r="I18792" t="s">
        <v>29</v>
      </c>
      <c r="J18792" t="s">
        <v>30</v>
      </c>
      <c r="K18792" t="s">
        <v>31</v>
      </c>
      <c r="M18792" t="s">
        <v>50621</v>
      </c>
      <c r="N18792" t="str">
        <f>"3/7/2023 10:08:00 AM"</f>
        <v>3/7/2023 10:08:00 AM</v>
      </c>
      <c r="O18792" t="s">
        <v>57353</v>
      </c>
      <c r="T18792" t="s">
        <v>57354</v>
      </c>
    </row>
    <row r="18793" spans="1:20" x14ac:dyDescent="0.25">
      <c r="A18793" t="str">
        <f>"3056551"</f>
        <v>3056551</v>
      </c>
      <c r="B18793" t="s">
        <v>57456</v>
      </c>
      <c r="C18793" t="str">
        <f>"82520588"</f>
        <v>82520588</v>
      </c>
      <c r="D18793" t="s">
        <v>57457</v>
      </c>
      <c r="E18793" t="s">
        <v>57458</v>
      </c>
      <c r="F18793" t="s">
        <v>57459</v>
      </c>
      <c r="I18793" t="s">
        <v>29</v>
      </c>
      <c r="J18793" t="s">
        <v>30</v>
      </c>
      <c r="K18793" t="s">
        <v>31</v>
      </c>
      <c r="M18793" t="s">
        <v>50621</v>
      </c>
      <c r="N18793" t="str">
        <f>"3/7/2023 9:39:00 AM"</f>
        <v>3/7/2023 9:39:00 AM</v>
      </c>
      <c r="O18793" t="s">
        <v>57457</v>
      </c>
      <c r="T18793" t="s">
        <v>57458</v>
      </c>
    </row>
    <row r="18794" spans="1:20" x14ac:dyDescent="0.25">
      <c r="A18794" t="str">
        <f>"3057798"</f>
        <v>3057798</v>
      </c>
      <c r="B18794" t="s">
        <v>57460</v>
      </c>
      <c r="C18794" t="str">
        <f>"8319844"</f>
        <v>8319844</v>
      </c>
      <c r="D18794" t="s">
        <v>57461</v>
      </c>
      <c r="E18794" t="s">
        <v>57462</v>
      </c>
      <c r="F18794" t="s">
        <v>57463</v>
      </c>
      <c r="I18794" t="s">
        <v>184</v>
      </c>
      <c r="J18794" t="s">
        <v>30</v>
      </c>
      <c r="K18794" t="s">
        <v>57464</v>
      </c>
      <c r="M18794" t="s">
        <v>17861</v>
      </c>
      <c r="N18794" t="str">
        <f>"3/13/2023 10:56:00 AM"</f>
        <v>3/13/2023 10:56:00 AM</v>
      </c>
      <c r="O18794" t="s">
        <v>57461</v>
      </c>
      <c r="T18794" t="s">
        <v>57462</v>
      </c>
    </row>
    <row r="18795" spans="1:20" x14ac:dyDescent="0.25">
      <c r="A18795" t="str">
        <f>"3044197"</f>
        <v>3044197</v>
      </c>
      <c r="B18795" t="s">
        <v>57465</v>
      </c>
      <c r="C18795" t="str">
        <f>"8319846"</f>
        <v>8319846</v>
      </c>
      <c r="D18795" t="str">
        <f>"CLARK MAVIE/THOMAS"</f>
        <v>CLARK MAVIE/THOMAS</v>
      </c>
      <c r="E18795" t="s">
        <v>57466</v>
      </c>
      <c r="F18795" t="s">
        <v>57467</v>
      </c>
      <c r="I18795" t="s">
        <v>184</v>
      </c>
      <c r="J18795" t="s">
        <v>30</v>
      </c>
      <c r="K18795" t="s">
        <v>57468</v>
      </c>
      <c r="M18795" t="s">
        <v>17861</v>
      </c>
      <c r="N18795" t="str">
        <f>"3/13/2023 11:22:00 AM"</f>
        <v>3/13/2023 11:22:00 AM</v>
      </c>
      <c r="O18795" t="str">
        <f>"CLARK MAVIE/THOMAS"</f>
        <v>CLARK MAVIE/THOMAS</v>
      </c>
      <c r="T18795" t="s">
        <v>57466</v>
      </c>
    </row>
    <row r="18796" spans="1:20" x14ac:dyDescent="0.25">
      <c r="A18796" t="str">
        <f>"3040653"</f>
        <v>3040653</v>
      </c>
      <c r="B18796" t="s">
        <v>57469</v>
      </c>
      <c r="C18796" t="str">
        <f>"8319847"</f>
        <v>8319847</v>
      </c>
      <c r="D18796" t="s">
        <v>57470</v>
      </c>
      <c r="E18796" t="s">
        <v>57471</v>
      </c>
      <c r="F18796" t="s">
        <v>57472</v>
      </c>
      <c r="I18796" t="s">
        <v>184</v>
      </c>
      <c r="J18796" t="s">
        <v>30</v>
      </c>
      <c r="K18796" t="s">
        <v>3550</v>
      </c>
      <c r="M18796" t="s">
        <v>17861</v>
      </c>
      <c r="N18796" t="str">
        <f>"3/13/2023 11:27:00 AM"</f>
        <v>3/13/2023 11:27:00 AM</v>
      </c>
      <c r="O18796" t="s">
        <v>57470</v>
      </c>
      <c r="T18796" t="s">
        <v>57471</v>
      </c>
    </row>
    <row r="18797" spans="1:20" x14ac:dyDescent="0.25">
      <c r="A18797" t="str">
        <f>"3040416"</f>
        <v>3040416</v>
      </c>
      <c r="B18797" t="s">
        <v>57473</v>
      </c>
      <c r="C18797" t="str">
        <f>"8319847"</f>
        <v>8319847</v>
      </c>
      <c r="D18797" t="s">
        <v>57470</v>
      </c>
      <c r="E18797" t="s">
        <v>57471</v>
      </c>
      <c r="F18797" t="s">
        <v>57472</v>
      </c>
      <c r="I18797" t="s">
        <v>184</v>
      </c>
      <c r="J18797" t="s">
        <v>30</v>
      </c>
      <c r="K18797" t="s">
        <v>3550</v>
      </c>
      <c r="M18797" t="s">
        <v>17861</v>
      </c>
      <c r="N18797" t="str">
        <f>"3/13/2023 11:27:00 AM"</f>
        <v>3/13/2023 11:27:00 AM</v>
      </c>
      <c r="O18797" t="s">
        <v>57470</v>
      </c>
      <c r="T18797" t="s">
        <v>57471</v>
      </c>
    </row>
    <row r="18798" spans="1:20" x14ac:dyDescent="0.25">
      <c r="A18798" t="str">
        <f>"3059974"</f>
        <v>3059974</v>
      </c>
      <c r="B18798" t="s">
        <v>57474</v>
      </c>
      <c r="C18798" t="str">
        <f>"8319849"</f>
        <v>8319849</v>
      </c>
      <c r="D18798" t="s">
        <v>57475</v>
      </c>
      <c r="F18798" t="s">
        <v>57476</v>
      </c>
      <c r="I18798" t="s">
        <v>184</v>
      </c>
      <c r="J18798" t="s">
        <v>30</v>
      </c>
      <c r="K18798" t="s">
        <v>48131</v>
      </c>
      <c r="M18798" t="s">
        <v>17861</v>
      </c>
      <c r="N18798" t="str">
        <f>"3/13/2023 1:22:00 PM"</f>
        <v>3/13/2023 1:22:00 PM</v>
      </c>
      <c r="O18798" t="s">
        <v>57475</v>
      </c>
    </row>
    <row r="18799" spans="1:20" x14ac:dyDescent="0.25">
      <c r="A18799" t="str">
        <f>"3072880"</f>
        <v>3072880</v>
      </c>
      <c r="B18799" t="s">
        <v>57477</v>
      </c>
      <c r="C18799" t="str">
        <f>"8319850"</f>
        <v>8319850</v>
      </c>
      <c r="D18799" t="s">
        <v>57478</v>
      </c>
      <c r="F18799" t="s">
        <v>57479</v>
      </c>
      <c r="I18799" t="s">
        <v>29</v>
      </c>
      <c r="J18799" t="s">
        <v>30</v>
      </c>
      <c r="K18799" t="s">
        <v>37829</v>
      </c>
      <c r="M18799" t="s">
        <v>17861</v>
      </c>
      <c r="N18799" t="str">
        <f>"3/13/2023 1:24:00 PM"</f>
        <v>3/13/2023 1:24:00 PM</v>
      </c>
      <c r="O18799" t="s">
        <v>57478</v>
      </c>
    </row>
    <row r="18800" spans="1:20" x14ac:dyDescent="0.25">
      <c r="A18800" t="str">
        <f>"3038734"</f>
        <v>3038734</v>
      </c>
      <c r="B18800" t="s">
        <v>57480</v>
      </c>
      <c r="C18800" t="str">
        <f>"8319851"</f>
        <v>8319851</v>
      </c>
      <c r="D18800" t="s">
        <v>57481</v>
      </c>
      <c r="E18800" t="s">
        <v>57482</v>
      </c>
      <c r="F18800" t="s">
        <v>57483</v>
      </c>
      <c r="I18800" t="s">
        <v>29</v>
      </c>
      <c r="J18800" t="s">
        <v>30</v>
      </c>
      <c r="K18800" t="s">
        <v>232</v>
      </c>
      <c r="M18800" t="s">
        <v>17861</v>
      </c>
      <c r="N18800" t="str">
        <f>"3/13/2023 1:27:00 PM"</f>
        <v>3/13/2023 1:27:00 PM</v>
      </c>
      <c r="O18800" t="s">
        <v>57481</v>
      </c>
      <c r="T18800" t="s">
        <v>57482</v>
      </c>
    </row>
    <row r="18801" spans="1:20" x14ac:dyDescent="0.25">
      <c r="A18801" t="str">
        <f>"3055210"</f>
        <v>3055210</v>
      </c>
      <c r="B18801" t="s">
        <v>57484</v>
      </c>
      <c r="C18801" t="str">
        <f>"82531359"</f>
        <v>82531359</v>
      </c>
      <c r="D18801" t="s">
        <v>57485</v>
      </c>
      <c r="F18801" t="s">
        <v>57486</v>
      </c>
      <c r="I18801" t="s">
        <v>29</v>
      </c>
      <c r="J18801" t="s">
        <v>30</v>
      </c>
      <c r="K18801" t="str">
        <f>"27028"</f>
        <v>27028</v>
      </c>
      <c r="M18801" t="s">
        <v>50621</v>
      </c>
      <c r="N18801" t="str">
        <f>"3/14/2023 9:50:00 AM"</f>
        <v>3/14/2023 9:50:00 AM</v>
      </c>
      <c r="O18801" t="s">
        <v>57485</v>
      </c>
    </row>
    <row r="18802" spans="1:20" x14ac:dyDescent="0.25">
      <c r="A18802" t="str">
        <f>"3040155"</f>
        <v>3040155</v>
      </c>
      <c r="B18802" t="s">
        <v>57487</v>
      </c>
      <c r="C18802" t="str">
        <f>"8312182"</f>
        <v>8312182</v>
      </c>
      <c r="D18802" t="s">
        <v>57488</v>
      </c>
      <c r="E18802" t="s">
        <v>57489</v>
      </c>
      <c r="F18802" t="s">
        <v>57490</v>
      </c>
      <c r="I18802" t="s">
        <v>29</v>
      </c>
      <c r="J18802" t="s">
        <v>30</v>
      </c>
      <c r="K18802" t="s">
        <v>4515</v>
      </c>
      <c r="M18802" t="s">
        <v>50621</v>
      </c>
      <c r="N18802" t="str">
        <f>"3/7/2023 9:40:00 AM"</f>
        <v>3/7/2023 9:40:00 AM</v>
      </c>
      <c r="O18802" t="s">
        <v>57488</v>
      </c>
      <c r="T18802" t="s">
        <v>57489</v>
      </c>
    </row>
    <row r="18803" spans="1:20" x14ac:dyDescent="0.25">
      <c r="A18803" t="str">
        <f>"3042919"</f>
        <v>3042919</v>
      </c>
      <c r="B18803" t="s">
        <v>57491</v>
      </c>
      <c r="C18803" t="str">
        <f>"8309189"</f>
        <v>8309189</v>
      </c>
      <c r="D18803" t="s">
        <v>57492</v>
      </c>
      <c r="E18803" t="s">
        <v>57493</v>
      </c>
      <c r="F18803" t="s">
        <v>57494</v>
      </c>
      <c r="I18803" t="s">
        <v>29</v>
      </c>
      <c r="J18803" t="s">
        <v>30</v>
      </c>
      <c r="K18803" t="s">
        <v>46227</v>
      </c>
      <c r="M18803" t="s">
        <v>50621</v>
      </c>
      <c r="N18803" t="str">
        <f>"3/7/2023 9:40:00 AM"</f>
        <v>3/7/2023 9:40:00 AM</v>
      </c>
      <c r="O18803" t="s">
        <v>57492</v>
      </c>
      <c r="T18803" t="s">
        <v>57493</v>
      </c>
    </row>
    <row r="18804" spans="1:20" x14ac:dyDescent="0.25">
      <c r="A18804" t="str">
        <f>"3051927"</f>
        <v>3051927</v>
      </c>
      <c r="B18804" t="s">
        <v>57495</v>
      </c>
      <c r="C18804" t="str">
        <f>"8319824"</f>
        <v>8319824</v>
      </c>
      <c r="D18804" t="s">
        <v>57393</v>
      </c>
      <c r="E18804" t="s">
        <v>57394</v>
      </c>
      <c r="F18804" t="s">
        <v>57395</v>
      </c>
      <c r="I18804" t="s">
        <v>17921</v>
      </c>
      <c r="J18804" t="s">
        <v>30</v>
      </c>
      <c r="K18804" t="str">
        <f>"27028"</f>
        <v>27028</v>
      </c>
      <c r="M18804" t="s">
        <v>17861</v>
      </c>
      <c r="N18804" t="str">
        <f>"3/8/2023 10:59:00 AM"</f>
        <v>3/8/2023 10:59:00 AM</v>
      </c>
      <c r="O18804" t="s">
        <v>57393</v>
      </c>
      <c r="T18804" t="s">
        <v>57394</v>
      </c>
    </row>
    <row r="18805" spans="1:20" x14ac:dyDescent="0.25">
      <c r="A18805" t="str">
        <f>"3051640"</f>
        <v>3051640</v>
      </c>
      <c r="B18805" t="s">
        <v>57496</v>
      </c>
      <c r="C18805" t="str">
        <f>"8319824"</f>
        <v>8319824</v>
      </c>
      <c r="D18805" t="s">
        <v>57393</v>
      </c>
      <c r="E18805" t="s">
        <v>57394</v>
      </c>
      <c r="F18805" t="s">
        <v>57395</v>
      </c>
      <c r="I18805" t="s">
        <v>17921</v>
      </c>
      <c r="J18805" t="s">
        <v>30</v>
      </c>
      <c r="K18805" t="str">
        <f>"27028"</f>
        <v>27028</v>
      </c>
      <c r="M18805" t="s">
        <v>17861</v>
      </c>
      <c r="N18805" t="str">
        <f>"3/8/2023 10:59:00 AM"</f>
        <v>3/8/2023 10:59:00 AM</v>
      </c>
      <c r="O18805" t="s">
        <v>57393</v>
      </c>
      <c r="T18805" t="s">
        <v>57394</v>
      </c>
    </row>
    <row r="18806" spans="1:20" x14ac:dyDescent="0.25">
      <c r="A18806" t="str">
        <f>"3051650"</f>
        <v>3051650</v>
      </c>
      <c r="B18806" t="s">
        <v>57497</v>
      </c>
      <c r="C18806" t="str">
        <f>"8319824"</f>
        <v>8319824</v>
      </c>
      <c r="D18806" t="s">
        <v>57393</v>
      </c>
      <c r="E18806" t="s">
        <v>57394</v>
      </c>
      <c r="F18806" t="s">
        <v>57395</v>
      </c>
      <c r="I18806" t="s">
        <v>17921</v>
      </c>
      <c r="J18806" t="s">
        <v>30</v>
      </c>
      <c r="K18806" t="str">
        <f>"27028"</f>
        <v>27028</v>
      </c>
      <c r="M18806" t="s">
        <v>17861</v>
      </c>
      <c r="N18806" t="str">
        <f>"3/8/2023 10:59:00 AM"</f>
        <v>3/8/2023 10:59:00 AM</v>
      </c>
      <c r="O18806" t="s">
        <v>57393</v>
      </c>
      <c r="T18806" t="s">
        <v>57394</v>
      </c>
    </row>
    <row r="18807" spans="1:20" x14ac:dyDescent="0.25">
      <c r="A18807" t="str">
        <f>"3038654"</f>
        <v>3038654</v>
      </c>
      <c r="B18807" t="s">
        <v>57498</v>
      </c>
      <c r="C18807" t="str">
        <f>"8314537"</f>
        <v>8314537</v>
      </c>
      <c r="D18807" t="s">
        <v>57499</v>
      </c>
      <c r="E18807" t="s">
        <v>57500</v>
      </c>
      <c r="F18807" t="s">
        <v>57501</v>
      </c>
      <c r="I18807" t="s">
        <v>49</v>
      </c>
      <c r="J18807" t="s">
        <v>30</v>
      </c>
      <c r="K18807" t="str">
        <f>"27055"</f>
        <v>27055</v>
      </c>
      <c r="M18807" t="s">
        <v>18470</v>
      </c>
      <c r="N18807" t="str">
        <f>"3/8/2023 3:57:00 PM"</f>
        <v>3/8/2023 3:57:00 PM</v>
      </c>
      <c r="O18807" t="s">
        <v>57499</v>
      </c>
      <c r="T18807" t="s">
        <v>57500</v>
      </c>
    </row>
    <row r="18808" spans="1:20" x14ac:dyDescent="0.25">
      <c r="A18808" t="str">
        <f>"3078927"</f>
        <v>3078927</v>
      </c>
      <c r="B18808" t="s">
        <v>57502</v>
      </c>
      <c r="C18808" t="str">
        <f>"46142500"</f>
        <v>46142500</v>
      </c>
      <c r="D18808" t="s">
        <v>57503</v>
      </c>
      <c r="F18808" t="s">
        <v>57504</v>
      </c>
      <c r="I18808" t="s">
        <v>1107</v>
      </c>
      <c r="J18808" t="s">
        <v>30</v>
      </c>
      <c r="K18808" t="str">
        <f>"28625"</f>
        <v>28625</v>
      </c>
      <c r="M18808" t="s">
        <v>18470</v>
      </c>
      <c r="N18808" t="str">
        <f>"3/8/2023 4:50:00 PM"</f>
        <v>3/8/2023 4:50:00 PM</v>
      </c>
      <c r="O18808" t="s">
        <v>57503</v>
      </c>
    </row>
    <row r="18809" spans="1:20" x14ac:dyDescent="0.25">
      <c r="A18809" t="str">
        <f>"3053500"</f>
        <v>3053500</v>
      </c>
      <c r="B18809" t="s">
        <v>57505</v>
      </c>
      <c r="C18809" t="str">
        <f>"8319827"</f>
        <v>8319827</v>
      </c>
      <c r="D18809" t="s">
        <v>57506</v>
      </c>
      <c r="F18809" t="s">
        <v>57507</v>
      </c>
      <c r="I18809" t="s">
        <v>29</v>
      </c>
      <c r="J18809" t="s">
        <v>30</v>
      </c>
      <c r="K18809" t="s">
        <v>57508</v>
      </c>
      <c r="M18809" t="s">
        <v>17861</v>
      </c>
      <c r="N18809" t="str">
        <f>"3/9/2023 8:28:00 AM"</f>
        <v>3/9/2023 8:28:00 AM</v>
      </c>
      <c r="O18809" t="s">
        <v>57506</v>
      </c>
    </row>
    <row r="18810" spans="1:20" x14ac:dyDescent="0.25">
      <c r="A18810" t="str">
        <f>"3046957"</f>
        <v>3046957</v>
      </c>
      <c r="B18810" t="s">
        <v>57509</v>
      </c>
      <c r="C18810" t="str">
        <f>"69436000"</f>
        <v>69436000</v>
      </c>
      <c r="D18810" t="s">
        <v>57510</v>
      </c>
      <c r="E18810" t="s">
        <v>37175</v>
      </c>
      <c r="F18810" t="s">
        <v>57511</v>
      </c>
      <c r="I18810" t="s">
        <v>29</v>
      </c>
      <c r="J18810" t="s">
        <v>30</v>
      </c>
      <c r="K18810" t="s">
        <v>31</v>
      </c>
      <c r="M18810" t="s">
        <v>17861</v>
      </c>
      <c r="N18810" t="str">
        <f>"3/9/2023 9:21:00 AM"</f>
        <v>3/9/2023 9:21:00 AM</v>
      </c>
      <c r="O18810" t="s">
        <v>57510</v>
      </c>
      <c r="T18810" t="s">
        <v>37175</v>
      </c>
    </row>
    <row r="18811" spans="1:20" x14ac:dyDescent="0.25">
      <c r="A18811" t="str">
        <f>"3055590"</f>
        <v>3055590</v>
      </c>
      <c r="B18811" t="s">
        <v>57512</v>
      </c>
      <c r="C18811" t="str">
        <f>"8307527"</f>
        <v>8307527</v>
      </c>
      <c r="D18811" t="s">
        <v>57513</v>
      </c>
      <c r="F18811" t="s">
        <v>57514</v>
      </c>
      <c r="I18811" t="s">
        <v>29</v>
      </c>
      <c r="J18811" t="s">
        <v>30</v>
      </c>
      <c r="K18811" t="s">
        <v>36663</v>
      </c>
      <c r="M18811" t="s">
        <v>50621</v>
      </c>
      <c r="N18811" t="str">
        <f>"3/14/2023 10:19:00 AM"</f>
        <v>3/14/2023 10:19:00 AM</v>
      </c>
      <c r="O18811" t="s">
        <v>57513</v>
      </c>
    </row>
    <row r="18812" spans="1:20" x14ac:dyDescent="0.25">
      <c r="A18812" t="str">
        <f>"3078742"</f>
        <v>3078742</v>
      </c>
      <c r="B18812" t="s">
        <v>57515</v>
      </c>
      <c r="C18812" t="str">
        <f>"8307527"</f>
        <v>8307527</v>
      </c>
      <c r="D18812" t="s">
        <v>57513</v>
      </c>
      <c r="F18812" t="s">
        <v>57514</v>
      </c>
      <c r="I18812" t="s">
        <v>29</v>
      </c>
      <c r="J18812" t="s">
        <v>30</v>
      </c>
      <c r="K18812" t="s">
        <v>36663</v>
      </c>
      <c r="M18812" t="s">
        <v>50621</v>
      </c>
      <c r="N18812" t="str">
        <f>"3/14/2023 10:19:00 AM"</f>
        <v>3/14/2023 10:19:00 AM</v>
      </c>
      <c r="O18812" t="s">
        <v>57513</v>
      </c>
    </row>
    <row r="18813" spans="1:20" x14ac:dyDescent="0.25">
      <c r="A18813" t="str">
        <f>"3041432"</f>
        <v>3041432</v>
      </c>
      <c r="B18813" t="s">
        <v>57516</v>
      </c>
      <c r="C18813" t="str">
        <f>"8319830"</f>
        <v>8319830</v>
      </c>
      <c r="D18813" t="s">
        <v>57517</v>
      </c>
      <c r="F18813" t="s">
        <v>57518</v>
      </c>
      <c r="I18813" t="s">
        <v>184</v>
      </c>
      <c r="J18813" t="s">
        <v>30</v>
      </c>
      <c r="K18813" t="s">
        <v>32842</v>
      </c>
      <c r="M18813" t="s">
        <v>17861</v>
      </c>
      <c r="N18813" t="str">
        <f>"3/9/2023 1:17:00 PM"</f>
        <v>3/9/2023 1:17:00 PM</v>
      </c>
      <c r="O18813" t="s">
        <v>57517</v>
      </c>
    </row>
    <row r="18814" spans="1:20" x14ac:dyDescent="0.25">
      <c r="A18814" t="str">
        <f>"3059761"</f>
        <v>3059761</v>
      </c>
      <c r="B18814" t="s">
        <v>57519</v>
      </c>
      <c r="C18814" t="str">
        <f>"8319831"</f>
        <v>8319831</v>
      </c>
      <c r="D18814" t="s">
        <v>57520</v>
      </c>
      <c r="E18814" t="s">
        <v>57521</v>
      </c>
      <c r="F18814" t="s">
        <v>57522</v>
      </c>
      <c r="I18814" t="s">
        <v>29</v>
      </c>
      <c r="J18814" t="s">
        <v>30</v>
      </c>
      <c r="K18814" t="s">
        <v>9848</v>
      </c>
      <c r="M18814" t="s">
        <v>17861</v>
      </c>
      <c r="N18814" t="str">
        <f>"3/9/2023 1:19:00 PM"</f>
        <v>3/9/2023 1:19:00 PM</v>
      </c>
      <c r="O18814" t="s">
        <v>57520</v>
      </c>
      <c r="T18814" t="s">
        <v>57521</v>
      </c>
    </row>
    <row r="18815" spans="1:20" x14ac:dyDescent="0.25">
      <c r="A18815" t="str">
        <f>"3045683"</f>
        <v>3045683</v>
      </c>
      <c r="B18815" t="s">
        <v>57523</v>
      </c>
      <c r="C18815" t="str">
        <f>"8313841"</f>
        <v>8313841</v>
      </c>
      <c r="D18815" t="s">
        <v>57524</v>
      </c>
      <c r="E18815" t="s">
        <v>57525</v>
      </c>
      <c r="F18815" t="s">
        <v>57526</v>
      </c>
      <c r="I18815" t="s">
        <v>17921</v>
      </c>
      <c r="J18815" t="s">
        <v>30</v>
      </c>
      <c r="K18815" t="str">
        <f>"27028"</f>
        <v>27028</v>
      </c>
      <c r="M18815" t="s">
        <v>33845</v>
      </c>
      <c r="N18815" t="str">
        <f>"3/9/2023 4:11:00 PM"</f>
        <v>3/9/2023 4:11:00 PM</v>
      </c>
      <c r="O18815" t="s">
        <v>57524</v>
      </c>
      <c r="T18815" t="s">
        <v>57525</v>
      </c>
    </row>
    <row r="18816" spans="1:20" x14ac:dyDescent="0.25">
      <c r="A18816" t="str">
        <f>"3052217"</f>
        <v>3052217</v>
      </c>
      <c r="B18816" t="s">
        <v>57527</v>
      </c>
      <c r="C18816" t="str">
        <f>"8319837"</f>
        <v>8319837</v>
      </c>
      <c r="D18816" t="s">
        <v>57528</v>
      </c>
      <c r="E18816" t="s">
        <v>57529</v>
      </c>
      <c r="F18816" t="s">
        <v>57530</v>
      </c>
      <c r="I18816" t="s">
        <v>29</v>
      </c>
      <c r="J18816" t="s">
        <v>30</v>
      </c>
      <c r="K18816" t="s">
        <v>57531</v>
      </c>
      <c r="M18816" t="s">
        <v>17861</v>
      </c>
      <c r="N18816" t="str">
        <f>"3/10/2023 2:57:00 PM"</f>
        <v>3/10/2023 2:57:00 PM</v>
      </c>
      <c r="O18816" t="s">
        <v>57528</v>
      </c>
      <c r="T18816" t="s">
        <v>57529</v>
      </c>
    </row>
    <row r="18817" spans="1:20" x14ac:dyDescent="0.25">
      <c r="A18817" t="str">
        <f>"3049849"</f>
        <v>3049849</v>
      </c>
      <c r="B18817" t="s">
        <v>57532</v>
      </c>
      <c r="C18817" t="str">
        <f>"8317824"</f>
        <v>8317824</v>
      </c>
      <c r="D18817" t="s">
        <v>57533</v>
      </c>
      <c r="E18817" t="s">
        <v>57534</v>
      </c>
      <c r="F18817" t="s">
        <v>57535</v>
      </c>
      <c r="I18817" t="s">
        <v>29</v>
      </c>
      <c r="J18817" t="s">
        <v>30</v>
      </c>
      <c r="K18817" t="s">
        <v>9710</v>
      </c>
      <c r="M18817" t="s">
        <v>36935</v>
      </c>
      <c r="N18817" t="str">
        <f>"3/10/2023 4:25:00 PM"</f>
        <v>3/10/2023 4:25:00 PM</v>
      </c>
      <c r="O18817" t="s">
        <v>57533</v>
      </c>
      <c r="T18817" t="s">
        <v>57534</v>
      </c>
    </row>
    <row r="18818" spans="1:20" x14ac:dyDescent="0.25">
      <c r="A18818" t="str">
        <f>"3056668"</f>
        <v>3056668</v>
      </c>
      <c r="B18818" t="s">
        <v>57536</v>
      </c>
      <c r="C18818" t="str">
        <f>"8318302"</f>
        <v>8318302</v>
      </c>
      <c r="D18818" t="s">
        <v>50149</v>
      </c>
      <c r="E18818" t="s">
        <v>50150</v>
      </c>
      <c r="F18818" t="s">
        <v>50151</v>
      </c>
      <c r="I18818" t="s">
        <v>29</v>
      </c>
      <c r="J18818" t="s">
        <v>30</v>
      </c>
      <c r="K18818" t="str">
        <f>"27028"</f>
        <v>27028</v>
      </c>
      <c r="M18818" t="s">
        <v>25625</v>
      </c>
      <c r="N18818" t="str">
        <f>"3/10/2023 4:27:00 PM"</f>
        <v>3/10/2023 4:27:00 PM</v>
      </c>
      <c r="O18818" t="s">
        <v>50149</v>
      </c>
      <c r="T18818" t="s">
        <v>50150</v>
      </c>
    </row>
    <row r="18819" spans="1:20" x14ac:dyDescent="0.25">
      <c r="A18819" t="str">
        <f>"3056108"</f>
        <v>3056108</v>
      </c>
      <c r="B18819" t="s">
        <v>57537</v>
      </c>
      <c r="C18819" t="str">
        <f>"8319841"</f>
        <v>8319841</v>
      </c>
      <c r="D18819" t="s">
        <v>57538</v>
      </c>
      <c r="F18819" t="s">
        <v>57539</v>
      </c>
      <c r="I18819" t="s">
        <v>29</v>
      </c>
      <c r="J18819" t="s">
        <v>30</v>
      </c>
      <c r="K18819" t="s">
        <v>15764</v>
      </c>
      <c r="M18819" t="s">
        <v>17861</v>
      </c>
      <c r="N18819" t="str">
        <f>"3/13/2023 10:07:00 AM"</f>
        <v>3/13/2023 10:07:00 AM</v>
      </c>
      <c r="O18819" t="s">
        <v>57538</v>
      </c>
    </row>
    <row r="18820" spans="1:20" x14ac:dyDescent="0.25">
      <c r="A18820" t="str">
        <f>"3060451"</f>
        <v>3060451</v>
      </c>
      <c r="B18820" t="s">
        <v>57540</v>
      </c>
      <c r="C18820" t="str">
        <f>"8312623"</f>
        <v>8312623</v>
      </c>
      <c r="D18820" t="str">
        <f>"HUTCHINS JAMES C/CAROL S"</f>
        <v>HUTCHINS JAMES C/CAROL S</v>
      </c>
      <c r="E18820" t="str">
        <f>"HUTCHINS JAMES C/CAROL S REV L"</f>
        <v>HUTCHINS JAMES C/CAROL S REV L</v>
      </c>
      <c r="F18820" t="s">
        <v>57541</v>
      </c>
      <c r="I18820" t="s">
        <v>17921</v>
      </c>
      <c r="J18820" t="s">
        <v>30</v>
      </c>
      <c r="K18820" t="str">
        <f>"27028"</f>
        <v>27028</v>
      </c>
      <c r="M18820" t="s">
        <v>18470</v>
      </c>
      <c r="N18820" t="str">
        <f>"3/13/2023 10:09:00 AM"</f>
        <v>3/13/2023 10:09:00 AM</v>
      </c>
      <c r="O18820" t="str">
        <f>"HUTCHINS JAMES C/CAROL S"</f>
        <v>HUTCHINS JAMES C/CAROL S</v>
      </c>
      <c r="T18820" t="str">
        <f>"HUTCHINS JAMES C/CAROL S REV L"</f>
        <v>HUTCHINS JAMES C/CAROL S REV L</v>
      </c>
    </row>
    <row r="18821" spans="1:20" x14ac:dyDescent="0.25">
      <c r="A18821" t="str">
        <f>"3044620"</f>
        <v>3044620</v>
      </c>
      <c r="B18821" t="s">
        <v>57542</v>
      </c>
      <c r="C18821" t="str">
        <f>"8319842"</f>
        <v>8319842</v>
      </c>
      <c r="D18821" t="s">
        <v>57543</v>
      </c>
      <c r="F18821" t="s">
        <v>57544</v>
      </c>
      <c r="I18821" t="s">
        <v>184</v>
      </c>
      <c r="J18821" t="s">
        <v>30</v>
      </c>
      <c r="K18821" t="s">
        <v>33412</v>
      </c>
      <c r="M18821" t="s">
        <v>17861</v>
      </c>
      <c r="N18821" t="str">
        <f>"3/13/2023 10:25:00 AM"</f>
        <v>3/13/2023 10:25:00 AM</v>
      </c>
      <c r="O18821" t="s">
        <v>57543</v>
      </c>
    </row>
    <row r="18822" spans="1:20" x14ac:dyDescent="0.25">
      <c r="A18822" t="str">
        <f>"3052392"</f>
        <v>3052392</v>
      </c>
      <c r="B18822" t="s">
        <v>57545</v>
      </c>
      <c r="C18822" t="str">
        <f>"8319385"</f>
        <v>8319385</v>
      </c>
      <c r="D18822" t="s">
        <v>57546</v>
      </c>
      <c r="F18822" t="s">
        <v>57547</v>
      </c>
      <c r="I18822" t="s">
        <v>29</v>
      </c>
      <c r="J18822" t="s">
        <v>30</v>
      </c>
      <c r="K18822" t="s">
        <v>11824</v>
      </c>
      <c r="M18822" t="s">
        <v>17861</v>
      </c>
      <c r="N18822" t="str">
        <f>"3/13/2023 10:28:00 AM"</f>
        <v>3/13/2023 10:28:00 AM</v>
      </c>
      <c r="O18822" t="s">
        <v>57546</v>
      </c>
    </row>
    <row r="18823" spans="1:20" x14ac:dyDescent="0.25">
      <c r="A18823" t="str">
        <f>"3040681"</f>
        <v>3040681</v>
      </c>
      <c r="B18823" t="s">
        <v>57548</v>
      </c>
      <c r="C18823" t="str">
        <f>"8305996"</f>
        <v>8305996</v>
      </c>
      <c r="D18823" t="s">
        <v>57549</v>
      </c>
      <c r="E18823" t="s">
        <v>57550</v>
      </c>
      <c r="F18823" t="s">
        <v>57551</v>
      </c>
      <c r="I18823" t="s">
        <v>184</v>
      </c>
      <c r="J18823" t="s">
        <v>30</v>
      </c>
      <c r="K18823" t="str">
        <f>"27006"</f>
        <v>27006</v>
      </c>
      <c r="M18823" t="s">
        <v>50621</v>
      </c>
      <c r="N18823" t="str">
        <f>"3/7/2023 10:17:00 AM"</f>
        <v>3/7/2023 10:17:00 AM</v>
      </c>
      <c r="O18823" t="s">
        <v>57549</v>
      </c>
      <c r="T18823" t="s">
        <v>57550</v>
      </c>
    </row>
    <row r="18824" spans="1:20" x14ac:dyDescent="0.25">
      <c r="A18824" t="str">
        <f>"3059456"</f>
        <v>3059456</v>
      </c>
      <c r="B18824" t="s">
        <v>57552</v>
      </c>
      <c r="C18824" t="str">
        <f>"8319819"</f>
        <v>8319819</v>
      </c>
      <c r="D18824" t="s">
        <v>57553</v>
      </c>
      <c r="E18824" t="s">
        <v>57554</v>
      </c>
      <c r="F18824" t="s">
        <v>57555</v>
      </c>
      <c r="I18824" t="s">
        <v>29</v>
      </c>
      <c r="J18824" t="s">
        <v>30</v>
      </c>
      <c r="K18824" t="s">
        <v>54812</v>
      </c>
      <c r="M18824" t="s">
        <v>17861</v>
      </c>
      <c r="N18824" t="str">
        <f>"3/7/2023 10:20:00 AM"</f>
        <v>3/7/2023 10:20:00 AM</v>
      </c>
      <c r="O18824" t="s">
        <v>57553</v>
      </c>
      <c r="T18824" t="s">
        <v>57554</v>
      </c>
    </row>
    <row r="18825" spans="1:20" x14ac:dyDescent="0.25">
      <c r="A18825" t="str">
        <f>"3045332"</f>
        <v>3045332</v>
      </c>
      <c r="B18825" t="s">
        <v>57556</v>
      </c>
      <c r="C18825" t="str">
        <f>"8319820"</f>
        <v>8319820</v>
      </c>
      <c r="D18825" t="s">
        <v>57557</v>
      </c>
      <c r="E18825" t="s">
        <v>57558</v>
      </c>
      <c r="F18825" t="s">
        <v>56122</v>
      </c>
      <c r="I18825" t="s">
        <v>29</v>
      </c>
      <c r="J18825" t="s">
        <v>30</v>
      </c>
      <c r="K18825" t="s">
        <v>19682</v>
      </c>
      <c r="M18825" t="s">
        <v>17861</v>
      </c>
      <c r="N18825" t="str">
        <f>"3/7/2023 11:38:00 AM"</f>
        <v>3/7/2023 11:38:00 AM</v>
      </c>
      <c r="O18825" t="s">
        <v>57557</v>
      </c>
      <c r="T18825" t="s">
        <v>57558</v>
      </c>
    </row>
    <row r="18826" spans="1:20" x14ac:dyDescent="0.25">
      <c r="A18826" t="str">
        <f>"3056130"</f>
        <v>3056130</v>
      </c>
      <c r="B18826" t="s">
        <v>57559</v>
      </c>
      <c r="C18826" t="str">
        <f>"8319821"</f>
        <v>8319821</v>
      </c>
      <c r="D18826" t="s">
        <v>57560</v>
      </c>
      <c r="F18826" t="s">
        <v>57561</v>
      </c>
      <c r="I18826" t="s">
        <v>29</v>
      </c>
      <c r="J18826" t="s">
        <v>30</v>
      </c>
      <c r="K18826" t="s">
        <v>44624</v>
      </c>
      <c r="M18826" t="s">
        <v>17861</v>
      </c>
      <c r="N18826" t="str">
        <f>"3/7/2023 2:43:00 PM"</f>
        <v>3/7/2023 2:43:00 PM</v>
      </c>
      <c r="O18826" t="s">
        <v>57560</v>
      </c>
    </row>
    <row r="18827" spans="1:20" x14ac:dyDescent="0.25">
      <c r="A18827" t="str">
        <f>"3057888"</f>
        <v>3057888</v>
      </c>
      <c r="B18827" t="s">
        <v>57562</v>
      </c>
      <c r="C18827" t="str">
        <f>"8319823"</f>
        <v>8319823</v>
      </c>
      <c r="D18827" t="s">
        <v>57563</v>
      </c>
      <c r="E18827" t="s">
        <v>57564</v>
      </c>
      <c r="F18827" t="s">
        <v>57565</v>
      </c>
      <c r="I18827" t="s">
        <v>184</v>
      </c>
      <c r="J18827" t="s">
        <v>30</v>
      </c>
      <c r="K18827" t="str">
        <f>"27006"</f>
        <v>27006</v>
      </c>
      <c r="M18827" t="s">
        <v>17861</v>
      </c>
      <c r="N18827" t="str">
        <f>"3/7/2023 4:16:00 PM"</f>
        <v>3/7/2023 4:16:00 PM</v>
      </c>
      <c r="O18827" t="s">
        <v>57563</v>
      </c>
      <c r="T18827" t="s">
        <v>57564</v>
      </c>
    </row>
    <row r="18828" spans="1:20" x14ac:dyDescent="0.25">
      <c r="A18828" t="str">
        <f>"3045100"</f>
        <v>3045100</v>
      </c>
      <c r="B18828" t="s">
        <v>57566</v>
      </c>
      <c r="C18828" t="str">
        <f>"8308404"</f>
        <v>8308404</v>
      </c>
      <c r="D18828" t="s">
        <v>57567</v>
      </c>
      <c r="F18828" t="s">
        <v>57568</v>
      </c>
      <c r="I18828" t="s">
        <v>29</v>
      </c>
      <c r="J18828" t="s">
        <v>30</v>
      </c>
      <c r="K18828" t="s">
        <v>57569</v>
      </c>
      <c r="M18828" t="s">
        <v>50621</v>
      </c>
      <c r="N18828" t="str">
        <f>"3/14/2023 9:56:00 AM"</f>
        <v>3/14/2023 9:56:00 AM</v>
      </c>
      <c r="O18828" t="s">
        <v>57567</v>
      </c>
    </row>
    <row r="18829" spans="1:20" x14ac:dyDescent="0.25">
      <c r="A18829" t="str">
        <f>"3049055"</f>
        <v>3049055</v>
      </c>
      <c r="B18829" t="s">
        <v>57570</v>
      </c>
      <c r="C18829" t="str">
        <f>"8316951"</f>
        <v>8316951</v>
      </c>
      <c r="D18829" t="s">
        <v>57571</v>
      </c>
      <c r="E18829" t="s">
        <v>23604</v>
      </c>
      <c r="F18829" t="s">
        <v>57572</v>
      </c>
      <c r="I18829" t="s">
        <v>29</v>
      </c>
      <c r="J18829" t="s">
        <v>30</v>
      </c>
      <c r="K18829" t="s">
        <v>46771</v>
      </c>
      <c r="M18829" t="s">
        <v>50621</v>
      </c>
      <c r="N18829" t="str">
        <f>"3/14/2023 9:57:00 AM"</f>
        <v>3/14/2023 9:57:00 AM</v>
      </c>
      <c r="O18829" t="s">
        <v>57571</v>
      </c>
      <c r="T18829" t="s">
        <v>23604</v>
      </c>
    </row>
    <row r="18830" spans="1:20" x14ac:dyDescent="0.25">
      <c r="A18830" t="str">
        <f>"3042764"</f>
        <v>3042764</v>
      </c>
      <c r="B18830" t="s">
        <v>57573</v>
      </c>
      <c r="C18830" t="str">
        <f>"8303622"</f>
        <v>8303622</v>
      </c>
      <c r="D18830" t="s">
        <v>57574</v>
      </c>
      <c r="E18830" t="s">
        <v>57575</v>
      </c>
      <c r="F18830" t="s">
        <v>57576</v>
      </c>
      <c r="I18830" t="s">
        <v>29</v>
      </c>
      <c r="J18830" t="s">
        <v>30</v>
      </c>
      <c r="K18830" t="str">
        <f>"27028"</f>
        <v>27028</v>
      </c>
      <c r="M18830" t="s">
        <v>50621</v>
      </c>
      <c r="N18830" t="str">
        <f>"3/14/2023 11:06:00 AM"</f>
        <v>3/14/2023 11:06:00 AM</v>
      </c>
      <c r="O18830" t="s">
        <v>57574</v>
      </c>
      <c r="T18830" t="s">
        <v>57575</v>
      </c>
    </row>
    <row r="18831" spans="1:20" x14ac:dyDescent="0.25">
      <c r="A18831" t="str">
        <f>"3067004"</f>
        <v>3067004</v>
      </c>
      <c r="B18831" t="s">
        <v>57577</v>
      </c>
      <c r="C18831" t="str">
        <f>"49590000"</f>
        <v>49590000</v>
      </c>
      <c r="D18831" t="s">
        <v>57578</v>
      </c>
      <c r="E18831" t="str">
        <f>"C/O LINDA BROWN"</f>
        <v>C/O LINDA BROWN</v>
      </c>
      <c r="F18831" t="s">
        <v>57579</v>
      </c>
      <c r="I18831" t="s">
        <v>2525</v>
      </c>
      <c r="J18831" t="s">
        <v>30</v>
      </c>
      <c r="K18831" t="s">
        <v>57580</v>
      </c>
      <c r="M18831" t="s">
        <v>50621</v>
      </c>
      <c r="N18831" t="str">
        <f>"3/14/2023 11:17:00 AM"</f>
        <v>3/14/2023 11:17:00 AM</v>
      </c>
      <c r="O18831" t="s">
        <v>57578</v>
      </c>
      <c r="T18831" t="str">
        <f>"C/O LINDA BROWN"</f>
        <v>C/O LINDA BROWN</v>
      </c>
    </row>
    <row r="18832" spans="1:20" x14ac:dyDescent="0.25">
      <c r="A18832" t="str">
        <f>"3050595"</f>
        <v>3050595</v>
      </c>
      <c r="B18832" t="s">
        <v>57581</v>
      </c>
      <c r="C18832" t="str">
        <f>"8310178"</f>
        <v>8310178</v>
      </c>
      <c r="D18832" t="s">
        <v>57582</v>
      </c>
      <c r="F18832" t="s">
        <v>57583</v>
      </c>
      <c r="I18832" t="s">
        <v>184</v>
      </c>
      <c r="J18832" t="s">
        <v>30</v>
      </c>
      <c r="K18832" t="s">
        <v>10425</v>
      </c>
      <c r="M18832" t="s">
        <v>50621</v>
      </c>
      <c r="N18832" t="str">
        <f>"3/14/2023 11:20:00 AM"</f>
        <v>3/14/2023 11:20:00 AM</v>
      </c>
      <c r="O18832" t="s">
        <v>57582</v>
      </c>
    </row>
    <row r="18833" spans="1:20" x14ac:dyDescent="0.25">
      <c r="A18833" t="str">
        <f>"3050656"</f>
        <v>3050656</v>
      </c>
      <c r="B18833" t="s">
        <v>57584</v>
      </c>
      <c r="C18833" t="str">
        <f>"5471000"</f>
        <v>5471000</v>
      </c>
      <c r="D18833" t="s">
        <v>57585</v>
      </c>
      <c r="F18833" t="s">
        <v>57586</v>
      </c>
      <c r="I18833" t="s">
        <v>184</v>
      </c>
      <c r="J18833" t="s">
        <v>30</v>
      </c>
      <c r="K18833" t="s">
        <v>185</v>
      </c>
      <c r="M18833" t="s">
        <v>50621</v>
      </c>
      <c r="N18833" t="str">
        <f>"3/14/2023 9:58:00 AM"</f>
        <v>3/14/2023 9:58:00 AM</v>
      </c>
      <c r="O18833" t="s">
        <v>57585</v>
      </c>
      <c r="T18833" t="s">
        <v>57585</v>
      </c>
    </row>
    <row r="18834" spans="1:20" x14ac:dyDescent="0.25">
      <c r="A18834" t="str">
        <f>"3053766"</f>
        <v>3053766</v>
      </c>
      <c r="B18834" t="s">
        <v>57587</v>
      </c>
      <c r="C18834" t="str">
        <f>"11120000"</f>
        <v>11120000</v>
      </c>
      <c r="D18834" t="s">
        <v>57588</v>
      </c>
      <c r="E18834" t="s">
        <v>57589</v>
      </c>
      <c r="F18834" t="s">
        <v>57590</v>
      </c>
      <c r="I18834" t="s">
        <v>29</v>
      </c>
      <c r="J18834" t="s">
        <v>30</v>
      </c>
      <c r="K18834" t="str">
        <f>"27028"</f>
        <v>27028</v>
      </c>
      <c r="M18834" t="s">
        <v>50621</v>
      </c>
      <c r="N18834" t="str">
        <f>"3/14/2023 10:03:00 AM"</f>
        <v>3/14/2023 10:03:00 AM</v>
      </c>
      <c r="O18834" t="s">
        <v>57588</v>
      </c>
      <c r="T18834" t="s">
        <v>57589</v>
      </c>
    </row>
    <row r="18835" spans="1:20" x14ac:dyDescent="0.25">
      <c r="A18835" t="str">
        <f>"3053914"</f>
        <v>3053914</v>
      </c>
      <c r="B18835" t="s">
        <v>57591</v>
      </c>
      <c r="C18835" t="str">
        <f>"53620000"</f>
        <v>53620000</v>
      </c>
      <c r="D18835" t="s">
        <v>11395</v>
      </c>
      <c r="E18835" t="s">
        <v>57592</v>
      </c>
      <c r="F18835" t="s">
        <v>29418</v>
      </c>
      <c r="I18835" t="s">
        <v>29</v>
      </c>
      <c r="J18835" t="s">
        <v>30</v>
      </c>
      <c r="K18835" t="s">
        <v>31</v>
      </c>
      <c r="M18835" t="s">
        <v>50621</v>
      </c>
      <c r="N18835" t="str">
        <f>"3/14/2023 11:24:00 AM"</f>
        <v>3/14/2023 11:24:00 AM</v>
      </c>
      <c r="O18835" t="s">
        <v>11395</v>
      </c>
      <c r="T18835" t="s">
        <v>57592</v>
      </c>
    </row>
    <row r="18836" spans="1:20" x14ac:dyDescent="0.25">
      <c r="A18836" t="str">
        <f>"3049911"</f>
        <v>3049911</v>
      </c>
      <c r="B18836" t="s">
        <v>57593</v>
      </c>
      <c r="C18836" t="str">
        <f>"8303774"</f>
        <v>8303774</v>
      </c>
      <c r="D18836" t="s">
        <v>57594</v>
      </c>
      <c r="E18836" t="s">
        <v>57595</v>
      </c>
      <c r="F18836" t="s">
        <v>57596</v>
      </c>
      <c r="I18836" t="s">
        <v>29</v>
      </c>
      <c r="J18836" t="s">
        <v>30</v>
      </c>
      <c r="K18836" t="str">
        <f>"27028"</f>
        <v>27028</v>
      </c>
      <c r="M18836" t="s">
        <v>50621</v>
      </c>
      <c r="N18836" t="str">
        <f>"3/14/2023 11:24:00 AM"</f>
        <v>3/14/2023 11:24:00 AM</v>
      </c>
      <c r="O18836" t="s">
        <v>57594</v>
      </c>
      <c r="T18836" t="s">
        <v>57595</v>
      </c>
    </row>
    <row r="18837" spans="1:20" x14ac:dyDescent="0.25">
      <c r="A18837" t="str">
        <f>"3044110"</f>
        <v>3044110</v>
      </c>
      <c r="B18837" t="s">
        <v>57597</v>
      </c>
      <c r="C18837" t="str">
        <f>"82528626"</f>
        <v>82528626</v>
      </c>
      <c r="D18837" t="s">
        <v>57598</v>
      </c>
      <c r="F18837" t="s">
        <v>57599</v>
      </c>
      <c r="I18837" t="s">
        <v>184</v>
      </c>
      <c r="J18837" t="s">
        <v>30</v>
      </c>
      <c r="K18837" t="s">
        <v>185</v>
      </c>
      <c r="M18837" t="s">
        <v>50621</v>
      </c>
      <c r="N18837" t="str">
        <f>"3/14/2023 11:24:00 AM"</f>
        <v>3/14/2023 11:24:00 AM</v>
      </c>
      <c r="O18837" t="s">
        <v>57598</v>
      </c>
    </row>
    <row r="18838" spans="1:20" x14ac:dyDescent="0.25">
      <c r="A18838" t="str">
        <f>"3051613"</f>
        <v>3051613</v>
      </c>
      <c r="B18838" t="s">
        <v>57600</v>
      </c>
      <c r="C18838" t="str">
        <f>"56840000"</f>
        <v>56840000</v>
      </c>
      <c r="D18838" t="s">
        <v>57601</v>
      </c>
      <c r="F18838" t="s">
        <v>57602</v>
      </c>
      <c r="I18838" t="s">
        <v>29</v>
      </c>
      <c r="J18838" t="s">
        <v>30</v>
      </c>
      <c r="K18838" t="s">
        <v>57603</v>
      </c>
      <c r="M18838" t="s">
        <v>50621</v>
      </c>
      <c r="N18838" t="str">
        <f>"3/14/2023 11:26:00 AM"</f>
        <v>3/14/2023 11:26:00 AM</v>
      </c>
      <c r="O18838" t="s">
        <v>57601</v>
      </c>
    </row>
    <row r="18839" spans="1:20" x14ac:dyDescent="0.25">
      <c r="A18839" t="str">
        <f>"3038402"</f>
        <v>3038402</v>
      </c>
      <c r="B18839" t="s">
        <v>57604</v>
      </c>
      <c r="C18839" t="str">
        <f>"82522340"</f>
        <v>82522340</v>
      </c>
      <c r="D18839" t="s">
        <v>57605</v>
      </c>
      <c r="F18839" t="s">
        <v>57606</v>
      </c>
      <c r="I18839" t="s">
        <v>29</v>
      </c>
      <c r="J18839" t="s">
        <v>30</v>
      </c>
      <c r="K18839" t="s">
        <v>49747</v>
      </c>
      <c r="M18839" t="s">
        <v>50621</v>
      </c>
      <c r="N18839" t="str">
        <f>"3/14/2023 11:28:00 AM"</f>
        <v>3/14/2023 11:28:00 AM</v>
      </c>
      <c r="O18839" t="s">
        <v>57605</v>
      </c>
    </row>
    <row r="18840" spans="1:20" x14ac:dyDescent="0.25">
      <c r="A18840" t="str">
        <f>"3037966"</f>
        <v>3037966</v>
      </c>
      <c r="B18840" t="s">
        <v>57607</v>
      </c>
      <c r="C18840" t="str">
        <f>"82522340"</f>
        <v>82522340</v>
      </c>
      <c r="D18840" t="s">
        <v>57605</v>
      </c>
      <c r="F18840" t="s">
        <v>57606</v>
      </c>
      <c r="I18840" t="s">
        <v>29</v>
      </c>
      <c r="J18840" t="s">
        <v>30</v>
      </c>
      <c r="K18840" t="s">
        <v>49747</v>
      </c>
      <c r="M18840" t="s">
        <v>50621</v>
      </c>
      <c r="N18840" t="str">
        <f>"3/14/2023 11:28:00 AM"</f>
        <v>3/14/2023 11:28:00 AM</v>
      </c>
      <c r="O18840" t="s">
        <v>57605</v>
      </c>
    </row>
    <row r="18841" spans="1:20" x14ac:dyDescent="0.25">
      <c r="A18841" t="str">
        <f>"3050126"</f>
        <v>3050126</v>
      </c>
      <c r="B18841" t="s">
        <v>57608</v>
      </c>
      <c r="C18841" t="str">
        <f>"58764000"</f>
        <v>58764000</v>
      </c>
      <c r="D18841" t="s">
        <v>57609</v>
      </c>
      <c r="F18841" t="s">
        <v>57610</v>
      </c>
      <c r="I18841" t="s">
        <v>29</v>
      </c>
      <c r="J18841" t="s">
        <v>30</v>
      </c>
      <c r="K18841" t="s">
        <v>31</v>
      </c>
      <c r="M18841" t="s">
        <v>50621</v>
      </c>
      <c r="N18841" t="str">
        <f>"3/14/2023 11:29:00 AM"</f>
        <v>3/14/2023 11:29:00 AM</v>
      </c>
      <c r="O18841" t="s">
        <v>57609</v>
      </c>
    </row>
    <row r="18842" spans="1:20" x14ac:dyDescent="0.25">
      <c r="A18842" t="str">
        <f>"3037941"</f>
        <v>3037941</v>
      </c>
      <c r="B18842" t="s">
        <v>57611</v>
      </c>
      <c r="C18842" t="str">
        <f>"8319854"</f>
        <v>8319854</v>
      </c>
      <c r="D18842" t="s">
        <v>57612</v>
      </c>
      <c r="E18842" t="s">
        <v>57613</v>
      </c>
      <c r="F18842" t="s">
        <v>57614</v>
      </c>
      <c r="I18842" t="s">
        <v>29</v>
      </c>
      <c r="J18842" t="s">
        <v>30</v>
      </c>
      <c r="K18842" t="s">
        <v>2564</v>
      </c>
      <c r="M18842" t="s">
        <v>17861</v>
      </c>
      <c r="N18842" t="str">
        <f>"3/14/2023 10:05:00 AM"</f>
        <v>3/14/2023 10:05:00 AM</v>
      </c>
      <c r="O18842" t="s">
        <v>57612</v>
      </c>
      <c r="T18842" t="s">
        <v>57613</v>
      </c>
    </row>
    <row r="18843" spans="1:20" x14ac:dyDescent="0.25">
      <c r="A18843" t="str">
        <f>"3038907"</f>
        <v>3038907</v>
      </c>
      <c r="B18843" t="s">
        <v>57615</v>
      </c>
      <c r="C18843" t="str">
        <f>"8319854"</f>
        <v>8319854</v>
      </c>
      <c r="D18843" t="s">
        <v>57612</v>
      </c>
      <c r="E18843" t="s">
        <v>57613</v>
      </c>
      <c r="F18843" t="s">
        <v>57614</v>
      </c>
      <c r="I18843" t="s">
        <v>29</v>
      </c>
      <c r="J18843" t="s">
        <v>30</v>
      </c>
      <c r="K18843" t="s">
        <v>2564</v>
      </c>
      <c r="M18843" t="s">
        <v>17861</v>
      </c>
      <c r="N18843" t="str">
        <f>"3/14/2023 10:05:00 AM"</f>
        <v>3/14/2023 10:05:00 AM</v>
      </c>
      <c r="O18843" t="s">
        <v>57612</v>
      </c>
      <c r="T18843" t="s">
        <v>57613</v>
      </c>
    </row>
    <row r="18844" spans="1:20" x14ac:dyDescent="0.25">
      <c r="A18844" t="str">
        <f>"3037598"</f>
        <v>3037598</v>
      </c>
      <c r="B18844" t="s">
        <v>57616</v>
      </c>
      <c r="C18844" t="str">
        <f>"8310781"</f>
        <v>8310781</v>
      </c>
      <c r="D18844" t="s">
        <v>57617</v>
      </c>
      <c r="E18844" t="s">
        <v>57618</v>
      </c>
      <c r="F18844" t="s">
        <v>57619</v>
      </c>
      <c r="I18844" t="s">
        <v>29</v>
      </c>
      <c r="J18844" t="s">
        <v>30</v>
      </c>
      <c r="K18844" t="s">
        <v>28665</v>
      </c>
      <c r="M18844" t="s">
        <v>50621</v>
      </c>
      <c r="N18844" t="str">
        <f>"3/14/2023 9:52:00 AM"</f>
        <v>3/14/2023 9:52:00 AM</v>
      </c>
      <c r="O18844" t="s">
        <v>57617</v>
      </c>
      <c r="T18844" t="s">
        <v>57618</v>
      </c>
    </row>
    <row r="18845" spans="1:20" x14ac:dyDescent="0.25">
      <c r="A18845" t="str">
        <f>"3037493"</f>
        <v>3037493</v>
      </c>
      <c r="B18845" t="s">
        <v>57620</v>
      </c>
      <c r="C18845" t="str">
        <f>"8310781"</f>
        <v>8310781</v>
      </c>
      <c r="D18845" t="s">
        <v>57617</v>
      </c>
      <c r="E18845" t="s">
        <v>57618</v>
      </c>
      <c r="F18845" t="s">
        <v>57619</v>
      </c>
      <c r="I18845" t="s">
        <v>29</v>
      </c>
      <c r="J18845" t="s">
        <v>30</v>
      </c>
      <c r="K18845" t="s">
        <v>28665</v>
      </c>
      <c r="M18845" t="s">
        <v>50621</v>
      </c>
      <c r="N18845" t="str">
        <f>"3/14/2023 9:52:00 AM"</f>
        <v>3/14/2023 9:52:00 AM</v>
      </c>
      <c r="O18845" t="s">
        <v>57617</v>
      </c>
      <c r="T18845" t="s">
        <v>57618</v>
      </c>
    </row>
    <row r="18846" spans="1:20" x14ac:dyDescent="0.25">
      <c r="A18846" t="str">
        <f>"3041587"</f>
        <v>3041587</v>
      </c>
      <c r="B18846" t="s">
        <v>57621</v>
      </c>
      <c r="C18846" t="str">
        <f>"8316914"</f>
        <v>8316914</v>
      </c>
      <c r="D18846" t="s">
        <v>57622</v>
      </c>
      <c r="E18846" t="s">
        <v>57623</v>
      </c>
      <c r="F18846" t="s">
        <v>57624</v>
      </c>
      <c r="I18846" t="s">
        <v>2071</v>
      </c>
      <c r="J18846" t="s">
        <v>30</v>
      </c>
      <c r="K18846" t="s">
        <v>3666</v>
      </c>
      <c r="M18846" t="s">
        <v>50621</v>
      </c>
      <c r="N18846" t="str">
        <f>"3/14/2023 9:53:00 AM"</f>
        <v>3/14/2023 9:53:00 AM</v>
      </c>
      <c r="O18846" t="s">
        <v>57622</v>
      </c>
      <c r="T18846" t="s">
        <v>57623</v>
      </c>
    </row>
    <row r="18847" spans="1:20" x14ac:dyDescent="0.25">
      <c r="A18847" t="str">
        <f>"3076622"</f>
        <v>3076622</v>
      </c>
      <c r="B18847" t="s">
        <v>57625</v>
      </c>
      <c r="C18847" t="str">
        <f>"8300169"</f>
        <v>8300169</v>
      </c>
      <c r="D18847" t="s">
        <v>57626</v>
      </c>
      <c r="E18847" t="s">
        <v>929</v>
      </c>
      <c r="F18847" t="s">
        <v>57627</v>
      </c>
      <c r="I18847" t="s">
        <v>29</v>
      </c>
      <c r="J18847" t="s">
        <v>30</v>
      </c>
      <c r="K18847" t="s">
        <v>931</v>
      </c>
      <c r="M18847" t="s">
        <v>50621</v>
      </c>
      <c r="N18847" t="str">
        <f>"3/14/2023 11:49:00 AM"</f>
        <v>3/14/2023 11:49:00 AM</v>
      </c>
      <c r="O18847" t="s">
        <v>57626</v>
      </c>
      <c r="T18847" t="s">
        <v>929</v>
      </c>
    </row>
    <row r="18848" spans="1:20" x14ac:dyDescent="0.25">
      <c r="A18848" t="str">
        <f>"3050321"</f>
        <v>3050321</v>
      </c>
      <c r="B18848" t="s">
        <v>57628</v>
      </c>
      <c r="C18848" t="str">
        <f>"41136000"</f>
        <v>41136000</v>
      </c>
      <c r="D18848" t="s">
        <v>57629</v>
      </c>
      <c r="E18848" t="s">
        <v>57630</v>
      </c>
      <c r="F18848" t="s">
        <v>23195</v>
      </c>
      <c r="I18848" t="s">
        <v>184</v>
      </c>
      <c r="J18848" t="s">
        <v>30</v>
      </c>
      <c r="K18848" t="s">
        <v>185</v>
      </c>
      <c r="M18848" t="s">
        <v>50621</v>
      </c>
      <c r="N18848" t="str">
        <f>"3/14/2023 11:02:00 AM"</f>
        <v>3/14/2023 11:02:00 AM</v>
      </c>
      <c r="O18848" t="s">
        <v>57629</v>
      </c>
      <c r="T18848" t="s">
        <v>57630</v>
      </c>
    </row>
    <row r="18849" spans="1:20" x14ac:dyDescent="0.25">
      <c r="A18849" t="str">
        <f>"3058110"</f>
        <v>3058110</v>
      </c>
      <c r="B18849" t="s">
        <v>57631</v>
      </c>
      <c r="C18849" t="str">
        <f>"8319856"</f>
        <v>8319856</v>
      </c>
      <c r="D18849" t="s">
        <v>57632</v>
      </c>
      <c r="F18849" t="s">
        <v>57633</v>
      </c>
      <c r="I18849" t="s">
        <v>17921</v>
      </c>
      <c r="J18849" t="s">
        <v>30</v>
      </c>
      <c r="K18849" t="str">
        <f>"27028"</f>
        <v>27028</v>
      </c>
      <c r="M18849" t="s">
        <v>17861</v>
      </c>
      <c r="N18849" t="str">
        <f>"3/14/2023 11:56:00 AM"</f>
        <v>3/14/2023 11:56:00 AM</v>
      </c>
      <c r="O18849" t="s">
        <v>57632</v>
      </c>
    </row>
    <row r="18850" spans="1:20" x14ac:dyDescent="0.25">
      <c r="A18850" t="str">
        <f>"3051716"</f>
        <v>3051716</v>
      </c>
      <c r="B18850" t="s">
        <v>57634</v>
      </c>
      <c r="C18850" t="str">
        <f>"8313808"</f>
        <v>8313808</v>
      </c>
      <c r="D18850" t="s">
        <v>57635</v>
      </c>
      <c r="E18850" t="s">
        <v>55434</v>
      </c>
      <c r="F18850" t="s">
        <v>57636</v>
      </c>
      <c r="I18850" t="s">
        <v>29</v>
      </c>
      <c r="J18850" t="s">
        <v>30</v>
      </c>
      <c r="K18850" t="s">
        <v>57637</v>
      </c>
      <c r="M18850" t="s">
        <v>50621</v>
      </c>
      <c r="N18850" t="str">
        <f>"3/14/2023 11:58:00 AM"</f>
        <v>3/14/2023 11:58:00 AM</v>
      </c>
      <c r="O18850" t="s">
        <v>57635</v>
      </c>
      <c r="T18850" t="s">
        <v>55434</v>
      </c>
    </row>
    <row r="18851" spans="1:20" x14ac:dyDescent="0.25">
      <c r="A18851" t="str">
        <f>"3049122"</f>
        <v>3049122</v>
      </c>
      <c r="B18851" t="s">
        <v>57638</v>
      </c>
      <c r="C18851" t="str">
        <f>"8317997"</f>
        <v>8317997</v>
      </c>
      <c r="D18851" t="s">
        <v>57639</v>
      </c>
      <c r="F18851" t="s">
        <v>57640</v>
      </c>
      <c r="I18851" t="s">
        <v>19211</v>
      </c>
      <c r="J18851" t="s">
        <v>30</v>
      </c>
      <c r="K18851" t="str">
        <f>"27361"</f>
        <v>27361</v>
      </c>
      <c r="M18851" t="s">
        <v>18470</v>
      </c>
      <c r="N18851" t="str">
        <f>"3/14/2023 12:00:00 PM"</f>
        <v>3/14/2023 12:00:00 PM</v>
      </c>
      <c r="O18851" t="s">
        <v>57639</v>
      </c>
    </row>
    <row r="18852" spans="1:20" x14ac:dyDescent="0.25">
      <c r="A18852" t="str">
        <f>"3038537"</f>
        <v>3038537</v>
      </c>
      <c r="B18852" t="s">
        <v>57641</v>
      </c>
      <c r="C18852" t="str">
        <f>"72368120"</f>
        <v>72368120</v>
      </c>
      <c r="D18852" t="s">
        <v>57642</v>
      </c>
      <c r="E18852" t="s">
        <v>57643</v>
      </c>
      <c r="F18852" t="s">
        <v>57644</v>
      </c>
      <c r="I18852" t="s">
        <v>29</v>
      </c>
      <c r="J18852" t="s">
        <v>30</v>
      </c>
      <c r="K18852" t="s">
        <v>31</v>
      </c>
      <c r="M18852" t="s">
        <v>50621</v>
      </c>
      <c r="N18852" t="str">
        <f>"3/14/2023 11:58:00 AM"</f>
        <v>3/14/2023 11:58:00 AM</v>
      </c>
      <c r="O18852" t="s">
        <v>57642</v>
      </c>
      <c r="T18852" t="s">
        <v>57643</v>
      </c>
    </row>
    <row r="18853" spans="1:20" x14ac:dyDescent="0.25">
      <c r="A18853" t="str">
        <f>"3047314"</f>
        <v>3047314</v>
      </c>
      <c r="B18853" t="s">
        <v>57645</v>
      </c>
      <c r="C18853" t="str">
        <f>"8310301"</f>
        <v>8310301</v>
      </c>
      <c r="D18853" t="s">
        <v>57646</v>
      </c>
      <c r="E18853" t="s">
        <v>57647</v>
      </c>
      <c r="F18853" t="s">
        <v>57648</v>
      </c>
      <c r="I18853" t="s">
        <v>49540</v>
      </c>
      <c r="J18853" t="s">
        <v>1543</v>
      </c>
      <c r="K18853" t="str">
        <f>"19116"</f>
        <v>19116</v>
      </c>
      <c r="M18853" t="s">
        <v>50621</v>
      </c>
      <c r="N18853" t="str">
        <f>"3/14/2023 11:22:00 AM"</f>
        <v>3/14/2023 11:22:00 AM</v>
      </c>
      <c r="O18853" t="s">
        <v>57646</v>
      </c>
      <c r="T18853" t="s">
        <v>57647</v>
      </c>
    </row>
    <row r="18854" spans="1:20" x14ac:dyDescent="0.25">
      <c r="A18854" t="str">
        <f>"3058005"</f>
        <v>3058005</v>
      </c>
      <c r="B18854" t="s">
        <v>57649</v>
      </c>
      <c r="C18854" t="str">
        <f>"82529837"</f>
        <v>82529837</v>
      </c>
      <c r="D18854" t="s">
        <v>57650</v>
      </c>
      <c r="F18854" t="s">
        <v>57651</v>
      </c>
      <c r="I18854" t="s">
        <v>29</v>
      </c>
      <c r="J18854" t="s">
        <v>30</v>
      </c>
      <c r="K18854" t="s">
        <v>31</v>
      </c>
      <c r="M18854" t="s">
        <v>50621</v>
      </c>
      <c r="N18854" t="str">
        <f>"3/14/2023 11:22:00 AM"</f>
        <v>3/14/2023 11:22:00 AM</v>
      </c>
      <c r="O18854" t="s">
        <v>57650</v>
      </c>
    </row>
    <row r="18855" spans="1:20" x14ac:dyDescent="0.25">
      <c r="A18855" t="str">
        <f>"3038023"</f>
        <v>3038023</v>
      </c>
      <c r="B18855" t="s">
        <v>57652</v>
      </c>
      <c r="C18855" t="str">
        <f>"63604000"</f>
        <v>63604000</v>
      </c>
      <c r="D18855" t="s">
        <v>29089</v>
      </c>
      <c r="E18855" t="s">
        <v>57653</v>
      </c>
      <c r="F18855" t="s">
        <v>29090</v>
      </c>
      <c r="I18855" t="s">
        <v>29</v>
      </c>
      <c r="J18855" t="s">
        <v>30</v>
      </c>
      <c r="K18855" t="s">
        <v>31</v>
      </c>
      <c r="M18855" t="s">
        <v>50621</v>
      </c>
      <c r="N18855" t="str">
        <f>"3/14/2023 11:47:00 AM"</f>
        <v>3/14/2023 11:47:00 AM</v>
      </c>
      <c r="O18855" t="s">
        <v>29089</v>
      </c>
      <c r="T18855" t="s">
        <v>57653</v>
      </c>
    </row>
    <row r="18856" spans="1:20" x14ac:dyDescent="0.25">
      <c r="A18856" t="str">
        <f>"3059167"</f>
        <v>3059167</v>
      </c>
      <c r="B18856" t="s">
        <v>57654</v>
      </c>
      <c r="C18856" t="str">
        <f>"8316544"</f>
        <v>8316544</v>
      </c>
      <c r="D18856" t="s">
        <v>57655</v>
      </c>
      <c r="E18856" t="s">
        <v>57656</v>
      </c>
      <c r="F18856" t="s">
        <v>57657</v>
      </c>
      <c r="I18856" t="s">
        <v>29</v>
      </c>
      <c r="J18856" t="s">
        <v>30</v>
      </c>
      <c r="K18856" t="s">
        <v>51782</v>
      </c>
      <c r="M18856" t="s">
        <v>50621</v>
      </c>
      <c r="N18856" t="str">
        <f>"3/14/2023 12:08:00 PM"</f>
        <v>3/14/2023 12:08:00 PM</v>
      </c>
      <c r="O18856" t="s">
        <v>57655</v>
      </c>
      <c r="T18856" t="s">
        <v>57656</v>
      </c>
    </row>
    <row r="18857" spans="1:20" x14ac:dyDescent="0.25">
      <c r="A18857" t="str">
        <f>"3044354"</f>
        <v>3044354</v>
      </c>
      <c r="B18857" t="s">
        <v>57658</v>
      </c>
      <c r="C18857" t="str">
        <f>"80863600"</f>
        <v>80863600</v>
      </c>
      <c r="D18857" t="s">
        <v>57659</v>
      </c>
      <c r="F18857" t="str">
        <f>"C/O BETTY M CARTER"</f>
        <v>C/O BETTY M CARTER</v>
      </c>
      <c r="G18857" t="s">
        <v>57660</v>
      </c>
      <c r="I18857" t="s">
        <v>184</v>
      </c>
      <c r="J18857" t="s">
        <v>30</v>
      </c>
      <c r="K18857" t="s">
        <v>185</v>
      </c>
      <c r="M18857" t="s">
        <v>50621</v>
      </c>
      <c r="N18857" t="str">
        <f>"3/14/2023 12:10:00 PM"</f>
        <v>3/14/2023 12:10:00 PM</v>
      </c>
      <c r="O18857" t="s">
        <v>57659</v>
      </c>
    </row>
    <row r="18858" spans="1:20" x14ac:dyDescent="0.25">
      <c r="A18858" t="str">
        <f>"3038037"</f>
        <v>3038037</v>
      </c>
      <c r="B18858" t="s">
        <v>57661</v>
      </c>
      <c r="C18858" t="str">
        <f>"63604000"</f>
        <v>63604000</v>
      </c>
      <c r="D18858" t="s">
        <v>29089</v>
      </c>
      <c r="E18858" t="s">
        <v>57653</v>
      </c>
      <c r="F18858" t="s">
        <v>29090</v>
      </c>
      <c r="I18858" t="s">
        <v>29</v>
      </c>
      <c r="J18858" t="s">
        <v>30</v>
      </c>
      <c r="K18858" t="s">
        <v>31</v>
      </c>
      <c r="M18858" t="s">
        <v>50621</v>
      </c>
      <c r="N18858" t="str">
        <f>"3/14/2023 11:47:00 AM"</f>
        <v>3/14/2023 11:47:00 AM</v>
      </c>
      <c r="O18858" t="s">
        <v>29089</v>
      </c>
      <c r="T18858" t="s">
        <v>57653</v>
      </c>
    </row>
    <row r="18859" spans="1:20" x14ac:dyDescent="0.25">
      <c r="A18859" t="str">
        <f>"3038039"</f>
        <v>3038039</v>
      </c>
      <c r="B18859" t="s">
        <v>57662</v>
      </c>
      <c r="C18859" t="str">
        <f>"63604000"</f>
        <v>63604000</v>
      </c>
      <c r="D18859" t="s">
        <v>29089</v>
      </c>
      <c r="E18859" t="s">
        <v>57653</v>
      </c>
      <c r="F18859" t="s">
        <v>29090</v>
      </c>
      <c r="I18859" t="s">
        <v>29</v>
      </c>
      <c r="J18859" t="s">
        <v>30</v>
      </c>
      <c r="K18859" t="s">
        <v>31</v>
      </c>
      <c r="M18859" t="s">
        <v>50621</v>
      </c>
      <c r="N18859" t="str">
        <f>"3/14/2023 11:47:00 AM"</f>
        <v>3/14/2023 11:47:00 AM</v>
      </c>
      <c r="O18859" t="s">
        <v>29089</v>
      </c>
      <c r="T18859" t="s">
        <v>57653</v>
      </c>
    </row>
    <row r="18860" spans="1:20" x14ac:dyDescent="0.25">
      <c r="A18860" t="str">
        <f>"3056591"</f>
        <v>3056591</v>
      </c>
      <c r="B18860" t="s">
        <v>57663</v>
      </c>
      <c r="C18860" t="str">
        <f>"15232500"</f>
        <v>15232500</v>
      </c>
      <c r="D18860" t="s">
        <v>57664</v>
      </c>
      <c r="E18860" t="s">
        <v>57665</v>
      </c>
      <c r="F18860" t="s">
        <v>57666</v>
      </c>
      <c r="I18860" t="s">
        <v>2525</v>
      </c>
      <c r="J18860" t="s">
        <v>30</v>
      </c>
      <c r="K18860" t="s">
        <v>10998</v>
      </c>
      <c r="M18860" t="s">
        <v>50621</v>
      </c>
      <c r="N18860" t="str">
        <f>"3/14/2023 10:24:00 AM"</f>
        <v>3/14/2023 10:24:00 AM</v>
      </c>
      <c r="O18860" t="s">
        <v>57664</v>
      </c>
      <c r="T18860" t="s">
        <v>57665</v>
      </c>
    </row>
    <row r="18861" spans="1:20" x14ac:dyDescent="0.25">
      <c r="A18861" t="str">
        <f>"3046215"</f>
        <v>3046215</v>
      </c>
      <c r="B18861" t="s">
        <v>57667</v>
      </c>
      <c r="C18861" t="str">
        <f>"8319858"</f>
        <v>8319858</v>
      </c>
      <c r="D18861" t="s">
        <v>57668</v>
      </c>
      <c r="E18861" t="s">
        <v>57669</v>
      </c>
      <c r="F18861" t="s">
        <v>57670</v>
      </c>
      <c r="I18861" t="s">
        <v>29</v>
      </c>
      <c r="J18861" t="s">
        <v>30</v>
      </c>
      <c r="K18861" t="str">
        <f>"27028"</f>
        <v>27028</v>
      </c>
      <c r="M18861" t="s">
        <v>17861</v>
      </c>
      <c r="N18861" t="str">
        <f>"3/15/2023 2:18:00 PM"</f>
        <v>3/15/2023 2:18:00 PM</v>
      </c>
      <c r="O18861" t="s">
        <v>57668</v>
      </c>
      <c r="T18861" t="s">
        <v>57669</v>
      </c>
    </row>
    <row r="18862" spans="1:20" x14ac:dyDescent="0.25">
      <c r="A18862" t="str">
        <f>"3056010"</f>
        <v>3056010</v>
      </c>
      <c r="B18862" t="s">
        <v>57671</v>
      </c>
      <c r="C18862" t="str">
        <f>"8314771"</f>
        <v>8314771</v>
      </c>
      <c r="D18862" t="s">
        <v>57672</v>
      </c>
      <c r="F18862" t="s">
        <v>49311</v>
      </c>
      <c r="I18862" t="s">
        <v>9580</v>
      </c>
      <c r="J18862" t="s">
        <v>30</v>
      </c>
      <c r="K18862" t="s">
        <v>57673</v>
      </c>
      <c r="M18862" t="s">
        <v>50621</v>
      </c>
      <c r="N18862" t="str">
        <f>"3/14/2023 10:31:00 AM"</f>
        <v>3/14/2023 10:31:00 AM</v>
      </c>
      <c r="O18862" t="s">
        <v>57672</v>
      </c>
    </row>
    <row r="18863" spans="1:20" x14ac:dyDescent="0.25">
      <c r="A18863" t="str">
        <f>"3037972"</f>
        <v>3037972</v>
      </c>
      <c r="B18863" t="s">
        <v>57674</v>
      </c>
      <c r="C18863" t="str">
        <f>"21021400"</f>
        <v>21021400</v>
      </c>
      <c r="D18863" t="s">
        <v>57675</v>
      </c>
      <c r="F18863" t="s">
        <v>24017</v>
      </c>
      <c r="I18863" t="s">
        <v>29</v>
      </c>
      <c r="J18863" t="s">
        <v>30</v>
      </c>
      <c r="K18863" t="s">
        <v>31</v>
      </c>
      <c r="M18863" t="s">
        <v>50621</v>
      </c>
      <c r="N18863" t="str">
        <f>"3/14/2023 10:32:00 AM"</f>
        <v>3/14/2023 10:32:00 AM</v>
      </c>
      <c r="O18863" t="s">
        <v>57675</v>
      </c>
    </row>
    <row r="18864" spans="1:20" x14ac:dyDescent="0.25">
      <c r="A18864" t="str">
        <f>"3039598"</f>
        <v>3039598</v>
      </c>
      <c r="B18864" t="s">
        <v>57676</v>
      </c>
      <c r="C18864" t="str">
        <f>"8300208"</f>
        <v>8300208</v>
      </c>
      <c r="D18864" t="s">
        <v>57677</v>
      </c>
      <c r="F18864" t="s">
        <v>57678</v>
      </c>
      <c r="I18864" t="s">
        <v>29</v>
      </c>
      <c r="J18864" t="s">
        <v>30</v>
      </c>
      <c r="K18864" t="s">
        <v>40808</v>
      </c>
      <c r="M18864" t="s">
        <v>17861</v>
      </c>
      <c r="N18864" t="str">
        <f>"3/15/2023 4:15:00 PM"</f>
        <v>3/15/2023 4:15:00 PM</v>
      </c>
      <c r="O18864" t="s">
        <v>57677</v>
      </c>
    </row>
    <row r="18865" spans="1:20" x14ac:dyDescent="0.25">
      <c r="A18865" t="str">
        <f>"3066626"</f>
        <v>3066626</v>
      </c>
      <c r="B18865" t="s">
        <v>57679</v>
      </c>
      <c r="C18865" t="str">
        <f>"24320000"</f>
        <v>24320000</v>
      </c>
      <c r="D18865" t="s">
        <v>57680</v>
      </c>
      <c r="F18865" t="s">
        <v>57681</v>
      </c>
      <c r="I18865" t="s">
        <v>29</v>
      </c>
      <c r="J18865" t="s">
        <v>30</v>
      </c>
      <c r="K18865" t="s">
        <v>31</v>
      </c>
      <c r="M18865" t="s">
        <v>50621</v>
      </c>
      <c r="N18865" t="str">
        <f>"3/16/2023 10:10:00 AM"</f>
        <v>3/16/2023 10:10:00 AM</v>
      </c>
      <c r="O18865" t="s">
        <v>57680</v>
      </c>
    </row>
    <row r="18866" spans="1:20" x14ac:dyDescent="0.25">
      <c r="A18866" t="str">
        <f>"3037785"</f>
        <v>3037785</v>
      </c>
      <c r="B18866" t="s">
        <v>57682</v>
      </c>
      <c r="C18866" t="str">
        <f>"8305267"</f>
        <v>8305267</v>
      </c>
      <c r="D18866" t="s">
        <v>57683</v>
      </c>
      <c r="E18866" t="s">
        <v>57684</v>
      </c>
      <c r="F18866" t="s">
        <v>57685</v>
      </c>
      <c r="I18866" t="s">
        <v>29</v>
      </c>
      <c r="J18866" t="s">
        <v>30</v>
      </c>
      <c r="K18866" t="str">
        <f>"27028"</f>
        <v>27028</v>
      </c>
      <c r="M18866" t="s">
        <v>50621</v>
      </c>
      <c r="N18866" t="str">
        <f>"3/14/2023 10:33:00 AM"</f>
        <v>3/14/2023 10:33:00 AM</v>
      </c>
      <c r="O18866" t="s">
        <v>57683</v>
      </c>
      <c r="T18866" t="s">
        <v>57684</v>
      </c>
    </row>
    <row r="18867" spans="1:20" x14ac:dyDescent="0.25">
      <c r="A18867" t="str">
        <f>"3038697"</f>
        <v>3038697</v>
      </c>
      <c r="B18867" t="s">
        <v>57686</v>
      </c>
      <c r="C18867" t="str">
        <f>"25566500"</f>
        <v>25566500</v>
      </c>
      <c r="D18867" t="s">
        <v>57687</v>
      </c>
      <c r="F18867" t="s">
        <v>57688</v>
      </c>
      <c r="I18867" t="s">
        <v>49</v>
      </c>
      <c r="J18867" t="s">
        <v>30</v>
      </c>
      <c r="K18867" t="s">
        <v>57689</v>
      </c>
      <c r="M18867" t="s">
        <v>50621</v>
      </c>
      <c r="N18867" t="str">
        <f>"3/14/2023 10:36:00 AM"</f>
        <v>3/14/2023 10:36:00 AM</v>
      </c>
      <c r="O18867" t="s">
        <v>57687</v>
      </c>
    </row>
    <row r="18868" spans="1:20" x14ac:dyDescent="0.25">
      <c r="A18868" t="str">
        <f>"3038208"</f>
        <v>3038208</v>
      </c>
      <c r="B18868" t="s">
        <v>57690</v>
      </c>
      <c r="C18868" t="str">
        <f>"25983000"</f>
        <v>25983000</v>
      </c>
      <c r="D18868" t="s">
        <v>57691</v>
      </c>
      <c r="F18868" t="s">
        <v>34428</v>
      </c>
      <c r="I18868" t="s">
        <v>29</v>
      </c>
      <c r="J18868" t="s">
        <v>30</v>
      </c>
      <c r="K18868" t="s">
        <v>31</v>
      </c>
      <c r="M18868" t="s">
        <v>50621</v>
      </c>
      <c r="N18868" t="str">
        <f>"3/14/2023 10:37:00 AM"</f>
        <v>3/14/2023 10:37:00 AM</v>
      </c>
      <c r="O18868" t="s">
        <v>57691</v>
      </c>
    </row>
    <row r="18869" spans="1:20" x14ac:dyDescent="0.25">
      <c r="A18869" t="str">
        <f>"3061125"</f>
        <v>3061125</v>
      </c>
      <c r="B18869" t="s">
        <v>57692</v>
      </c>
      <c r="C18869" t="str">
        <f>"26343000"</f>
        <v>26343000</v>
      </c>
      <c r="D18869" t="s">
        <v>57693</v>
      </c>
      <c r="F18869" t="s">
        <v>57694</v>
      </c>
      <c r="I18869" t="s">
        <v>184</v>
      </c>
      <c r="J18869" t="s">
        <v>30</v>
      </c>
      <c r="K18869" t="s">
        <v>6297</v>
      </c>
      <c r="M18869" t="s">
        <v>50621</v>
      </c>
      <c r="N18869" t="str">
        <f>"3/14/2023 10:39:00 AM"</f>
        <v>3/14/2023 10:39:00 AM</v>
      </c>
      <c r="O18869" t="s">
        <v>57693</v>
      </c>
    </row>
    <row r="18870" spans="1:20" x14ac:dyDescent="0.25">
      <c r="A18870" t="str">
        <f>"3044072"</f>
        <v>3044072</v>
      </c>
      <c r="B18870" t="s">
        <v>57695</v>
      </c>
      <c r="C18870" t="str">
        <f>"82523543"</f>
        <v>82523543</v>
      </c>
      <c r="D18870" t="s">
        <v>57696</v>
      </c>
      <c r="F18870" t="s">
        <v>57697</v>
      </c>
      <c r="I18870" t="s">
        <v>184</v>
      </c>
      <c r="J18870" t="s">
        <v>30</v>
      </c>
      <c r="K18870" t="s">
        <v>185</v>
      </c>
      <c r="M18870" t="s">
        <v>50621</v>
      </c>
      <c r="N18870" t="str">
        <f>"3/14/2023 10:40:00 AM"</f>
        <v>3/14/2023 10:40:00 AM</v>
      </c>
      <c r="O18870" t="s">
        <v>57696</v>
      </c>
    </row>
    <row r="18871" spans="1:20" x14ac:dyDescent="0.25">
      <c r="A18871" t="str">
        <f>"3054112"</f>
        <v>3054112</v>
      </c>
      <c r="B18871" t="s">
        <v>57698</v>
      </c>
      <c r="C18871" t="str">
        <f>"8316141"</f>
        <v>8316141</v>
      </c>
      <c r="D18871" t="s">
        <v>57699</v>
      </c>
      <c r="E18871" t="s">
        <v>57700</v>
      </c>
      <c r="F18871" t="s">
        <v>57701</v>
      </c>
      <c r="I18871" t="s">
        <v>29</v>
      </c>
      <c r="J18871" t="s">
        <v>30</v>
      </c>
      <c r="K18871" t="s">
        <v>15727</v>
      </c>
      <c r="M18871" t="s">
        <v>50621</v>
      </c>
      <c r="N18871" t="str">
        <f>"3/14/2023 10:40:00 AM"</f>
        <v>3/14/2023 10:40:00 AM</v>
      </c>
      <c r="O18871" t="s">
        <v>57699</v>
      </c>
      <c r="T18871" t="s">
        <v>57700</v>
      </c>
    </row>
    <row r="18872" spans="1:20" x14ac:dyDescent="0.25">
      <c r="A18872" t="str">
        <f>"3055743"</f>
        <v>3055743</v>
      </c>
      <c r="B18872" t="s">
        <v>57702</v>
      </c>
      <c r="C18872" t="str">
        <f>"82514684"</f>
        <v>82514684</v>
      </c>
      <c r="D18872" t="s">
        <v>57703</v>
      </c>
      <c r="F18872" t="s">
        <v>57704</v>
      </c>
      <c r="I18872" t="s">
        <v>57705</v>
      </c>
      <c r="J18872" t="s">
        <v>30197</v>
      </c>
      <c r="K18872" t="s">
        <v>57706</v>
      </c>
      <c r="M18872" t="s">
        <v>50621</v>
      </c>
      <c r="N18872" t="str">
        <f>"3/16/2023 2:33:00 PM"</f>
        <v>3/16/2023 2:33:00 PM</v>
      </c>
      <c r="O18872" t="s">
        <v>57703</v>
      </c>
    </row>
    <row r="18873" spans="1:20" x14ac:dyDescent="0.25">
      <c r="A18873" t="str">
        <f>"3055037"</f>
        <v>3055037</v>
      </c>
      <c r="B18873" t="s">
        <v>57707</v>
      </c>
      <c r="C18873" t="str">
        <f>"19144000"</f>
        <v>19144000</v>
      </c>
      <c r="D18873" t="s">
        <v>57708</v>
      </c>
      <c r="F18873" t="s">
        <v>57709</v>
      </c>
      <c r="I18873" t="s">
        <v>29</v>
      </c>
      <c r="J18873" t="s">
        <v>30</v>
      </c>
      <c r="K18873" t="s">
        <v>31</v>
      </c>
      <c r="M18873" t="s">
        <v>50621</v>
      </c>
      <c r="N18873" t="str">
        <f>"3/16/2023 2:35:00 PM"</f>
        <v>3/16/2023 2:35:00 PM</v>
      </c>
      <c r="O18873" t="s">
        <v>57708</v>
      </c>
    </row>
    <row r="18874" spans="1:20" x14ac:dyDescent="0.25">
      <c r="A18874" t="str">
        <f>"3043321"</f>
        <v>3043321</v>
      </c>
      <c r="B18874" t="s">
        <v>57710</v>
      </c>
      <c r="C18874" t="str">
        <f>"8301270"</f>
        <v>8301270</v>
      </c>
      <c r="D18874" t="s">
        <v>57711</v>
      </c>
      <c r="F18874" t="s">
        <v>8749</v>
      </c>
      <c r="I18874" t="s">
        <v>402</v>
      </c>
      <c r="J18874" t="s">
        <v>30</v>
      </c>
      <c r="K18874" t="str">
        <f>"27012"</f>
        <v>27012</v>
      </c>
      <c r="M18874" t="s">
        <v>50621</v>
      </c>
      <c r="N18874" t="str">
        <f>"3/16/2023 2:36:00 PM"</f>
        <v>3/16/2023 2:36:00 PM</v>
      </c>
      <c r="O18874" t="s">
        <v>57711</v>
      </c>
    </row>
    <row r="18875" spans="1:20" x14ac:dyDescent="0.25">
      <c r="A18875" t="str">
        <f>"3064270"</f>
        <v>3064270</v>
      </c>
      <c r="B18875" t="s">
        <v>57712</v>
      </c>
      <c r="C18875" t="str">
        <f>"8301270"</f>
        <v>8301270</v>
      </c>
      <c r="D18875" t="s">
        <v>57711</v>
      </c>
      <c r="F18875" t="s">
        <v>8749</v>
      </c>
      <c r="I18875" t="s">
        <v>402</v>
      </c>
      <c r="J18875" t="s">
        <v>30</v>
      </c>
      <c r="K18875" t="str">
        <f>"27012"</f>
        <v>27012</v>
      </c>
      <c r="M18875" t="s">
        <v>50621</v>
      </c>
      <c r="N18875" t="str">
        <f>"3/16/2023 2:36:00 PM"</f>
        <v>3/16/2023 2:36:00 PM</v>
      </c>
      <c r="O18875" t="s">
        <v>57711</v>
      </c>
    </row>
    <row r="18876" spans="1:20" x14ac:dyDescent="0.25">
      <c r="A18876" t="str">
        <f>"3078406"</f>
        <v>3078406</v>
      </c>
      <c r="B18876" t="s">
        <v>57713</v>
      </c>
      <c r="C18876" t="str">
        <f>"8741000"</f>
        <v>8741000</v>
      </c>
      <c r="D18876" t="s">
        <v>57714</v>
      </c>
      <c r="F18876" t="s">
        <v>57715</v>
      </c>
      <c r="I18876" t="s">
        <v>39085</v>
      </c>
      <c r="J18876" t="s">
        <v>30</v>
      </c>
      <c r="K18876" t="s">
        <v>57716</v>
      </c>
      <c r="M18876" t="s">
        <v>50621</v>
      </c>
      <c r="N18876" t="str">
        <f>"3/16/2023 2:51:00 PM"</f>
        <v>3/16/2023 2:51:00 PM</v>
      </c>
      <c r="O18876" t="s">
        <v>57714</v>
      </c>
    </row>
    <row r="18877" spans="1:20" x14ac:dyDescent="0.25">
      <c r="A18877" t="str">
        <f>"3060423"</f>
        <v>3060423</v>
      </c>
      <c r="B18877" t="s">
        <v>57717</v>
      </c>
      <c r="C18877" t="str">
        <f>"31134000"</f>
        <v>31134000</v>
      </c>
      <c r="D18877" t="s">
        <v>57718</v>
      </c>
      <c r="F18877" t="s">
        <v>57719</v>
      </c>
      <c r="I18877" t="s">
        <v>2071</v>
      </c>
      <c r="J18877" t="s">
        <v>30</v>
      </c>
      <c r="K18877" t="s">
        <v>185</v>
      </c>
      <c r="M18877" t="s">
        <v>50621</v>
      </c>
      <c r="N18877" t="str">
        <f>"3/14/2023 10:43:00 AM"</f>
        <v>3/14/2023 10:43:00 AM</v>
      </c>
      <c r="O18877" t="s">
        <v>57718</v>
      </c>
    </row>
    <row r="18878" spans="1:20" x14ac:dyDescent="0.25">
      <c r="A18878" t="str">
        <f>"3048139"</f>
        <v>3048139</v>
      </c>
      <c r="B18878" t="s">
        <v>57720</v>
      </c>
      <c r="C18878" t="str">
        <f>"8315840"</f>
        <v>8315840</v>
      </c>
      <c r="D18878" t="s">
        <v>57721</v>
      </c>
      <c r="F18878" t="s">
        <v>57722</v>
      </c>
      <c r="I18878" t="s">
        <v>184</v>
      </c>
      <c r="J18878" t="s">
        <v>30</v>
      </c>
      <c r="K18878" t="s">
        <v>10455</v>
      </c>
      <c r="M18878" t="s">
        <v>50621</v>
      </c>
      <c r="N18878" t="str">
        <f>"3/14/2023 10:48:00 AM"</f>
        <v>3/14/2023 10:48:00 AM</v>
      </c>
      <c r="O18878" t="s">
        <v>57721</v>
      </c>
    </row>
    <row r="18879" spans="1:20" x14ac:dyDescent="0.25">
      <c r="A18879" t="str">
        <f>"3048720"</f>
        <v>3048720</v>
      </c>
      <c r="B18879" t="s">
        <v>57723</v>
      </c>
      <c r="C18879" t="str">
        <f>"8319868"</f>
        <v>8319868</v>
      </c>
      <c r="D18879" t="s">
        <v>57724</v>
      </c>
      <c r="F18879" t="s">
        <v>57725</v>
      </c>
      <c r="I18879" t="s">
        <v>29</v>
      </c>
      <c r="J18879" t="s">
        <v>30</v>
      </c>
      <c r="K18879" t="s">
        <v>57726</v>
      </c>
      <c r="M18879" t="s">
        <v>17861</v>
      </c>
      <c r="N18879" t="str">
        <f>"3/17/2023 9:46:00 AM"</f>
        <v>3/17/2023 9:46:00 AM</v>
      </c>
      <c r="O18879" t="s">
        <v>57724</v>
      </c>
    </row>
    <row r="18880" spans="1:20" x14ac:dyDescent="0.25">
      <c r="A18880" t="str">
        <f>"3061766"</f>
        <v>3061766</v>
      </c>
      <c r="B18880" t="s">
        <v>57727</v>
      </c>
      <c r="C18880" t="str">
        <f>"8319869"</f>
        <v>8319869</v>
      </c>
      <c r="D18880" t="s">
        <v>57728</v>
      </c>
      <c r="E18880" t="s">
        <v>57729</v>
      </c>
      <c r="F18880" t="s">
        <v>57730</v>
      </c>
      <c r="I18880" t="s">
        <v>2071</v>
      </c>
      <c r="J18880" t="s">
        <v>30</v>
      </c>
      <c r="K18880" t="s">
        <v>3960</v>
      </c>
      <c r="M18880" t="s">
        <v>17861</v>
      </c>
      <c r="N18880" t="str">
        <f>"3/17/2023 9:50:00 AM"</f>
        <v>3/17/2023 9:50:00 AM</v>
      </c>
      <c r="O18880" t="s">
        <v>57728</v>
      </c>
      <c r="T18880" t="s">
        <v>57729</v>
      </c>
    </row>
    <row r="18881" spans="1:20" x14ac:dyDescent="0.25">
      <c r="A18881" t="str">
        <f>"3045014"</f>
        <v>3045014</v>
      </c>
      <c r="B18881" t="s">
        <v>57731</v>
      </c>
      <c r="C18881" t="str">
        <f>"82530032"</f>
        <v>82530032</v>
      </c>
      <c r="D18881" t="s">
        <v>54133</v>
      </c>
      <c r="F18881" t="s">
        <v>57732</v>
      </c>
      <c r="I18881" t="s">
        <v>29</v>
      </c>
      <c r="J18881" t="s">
        <v>30</v>
      </c>
      <c r="K18881" t="s">
        <v>31</v>
      </c>
      <c r="M18881" t="s">
        <v>50621</v>
      </c>
      <c r="N18881" t="str">
        <f>"3/14/2023 10:53:00 AM"</f>
        <v>3/14/2023 10:53:00 AM</v>
      </c>
      <c r="O18881" t="s">
        <v>54133</v>
      </c>
    </row>
    <row r="18882" spans="1:20" x14ac:dyDescent="0.25">
      <c r="A18882" t="str">
        <f>"3058703"</f>
        <v>3058703</v>
      </c>
      <c r="B18882" t="s">
        <v>57733</v>
      </c>
      <c r="C18882" t="str">
        <f>"8319870"</f>
        <v>8319870</v>
      </c>
      <c r="D18882" t="s">
        <v>57734</v>
      </c>
      <c r="E18882" t="s">
        <v>57735</v>
      </c>
      <c r="F18882" t="s">
        <v>57736</v>
      </c>
      <c r="I18882" t="s">
        <v>29</v>
      </c>
      <c r="J18882" t="s">
        <v>30</v>
      </c>
      <c r="K18882" t="s">
        <v>57737</v>
      </c>
      <c r="M18882" t="s">
        <v>17861</v>
      </c>
      <c r="N18882" t="str">
        <f>"3/17/2023 11:20:00 AM"</f>
        <v>3/17/2023 11:20:00 AM</v>
      </c>
      <c r="O18882" t="s">
        <v>57734</v>
      </c>
      <c r="T18882" t="s">
        <v>57735</v>
      </c>
    </row>
    <row r="18883" spans="1:20" x14ac:dyDescent="0.25">
      <c r="A18883" t="str">
        <f>"3051141"</f>
        <v>3051141</v>
      </c>
      <c r="B18883" t="s">
        <v>57738</v>
      </c>
      <c r="C18883" t="str">
        <f>"8319871"</f>
        <v>8319871</v>
      </c>
      <c r="D18883" t="s">
        <v>57739</v>
      </c>
      <c r="F18883" t="s">
        <v>57740</v>
      </c>
      <c r="I18883" t="s">
        <v>50830</v>
      </c>
      <c r="J18883" t="s">
        <v>30</v>
      </c>
      <c r="K18883" t="s">
        <v>57741</v>
      </c>
      <c r="M18883" t="s">
        <v>17861</v>
      </c>
      <c r="N18883" t="str">
        <f>"3/17/2023 11:23:00 AM"</f>
        <v>3/17/2023 11:23:00 AM</v>
      </c>
      <c r="O18883" t="s">
        <v>57739</v>
      </c>
    </row>
    <row r="18884" spans="1:20" x14ac:dyDescent="0.25">
      <c r="A18884" t="str">
        <f>"3045391"</f>
        <v>3045391</v>
      </c>
      <c r="B18884" t="s">
        <v>57742</v>
      </c>
      <c r="C18884" t="str">
        <f>"82530032"</f>
        <v>82530032</v>
      </c>
      <c r="D18884" t="s">
        <v>54133</v>
      </c>
      <c r="F18884" t="s">
        <v>57732</v>
      </c>
      <c r="I18884" t="s">
        <v>29</v>
      </c>
      <c r="J18884" t="s">
        <v>30</v>
      </c>
      <c r="K18884" t="s">
        <v>31</v>
      </c>
      <c r="M18884" t="s">
        <v>50621</v>
      </c>
      <c r="N18884" t="str">
        <f>"3/14/2023 10:53:00 AM"</f>
        <v>3/14/2023 10:53:00 AM</v>
      </c>
      <c r="O18884" t="s">
        <v>54133</v>
      </c>
    </row>
    <row r="18885" spans="1:20" x14ac:dyDescent="0.25">
      <c r="A18885" t="str">
        <f>"3062213"</f>
        <v>3062213</v>
      </c>
      <c r="B18885" t="s">
        <v>57743</v>
      </c>
      <c r="C18885" t="str">
        <f>"36226750"</f>
        <v>36226750</v>
      </c>
      <c r="D18885" t="s">
        <v>1509</v>
      </c>
      <c r="E18885" t="s">
        <v>57744</v>
      </c>
      <c r="F18885" t="s">
        <v>1510</v>
      </c>
      <c r="I18885" t="s">
        <v>57745</v>
      </c>
      <c r="J18885" t="s">
        <v>30</v>
      </c>
      <c r="K18885" t="s">
        <v>31</v>
      </c>
      <c r="M18885" t="s">
        <v>50621</v>
      </c>
      <c r="N18885" t="str">
        <f>"3/14/2023 10:55:00 AM"</f>
        <v>3/14/2023 10:55:00 AM</v>
      </c>
      <c r="O18885" t="s">
        <v>1509</v>
      </c>
      <c r="T18885" t="s">
        <v>57744</v>
      </c>
    </row>
    <row r="18886" spans="1:20" x14ac:dyDescent="0.25">
      <c r="A18886" t="str">
        <f>"3046928"</f>
        <v>3046928</v>
      </c>
      <c r="B18886" t="s">
        <v>57746</v>
      </c>
      <c r="C18886" t="str">
        <f>"82515709"</f>
        <v>82515709</v>
      </c>
      <c r="D18886" t="s">
        <v>57747</v>
      </c>
      <c r="E18886" t="s">
        <v>57748</v>
      </c>
      <c r="F18886" t="s">
        <v>57749</v>
      </c>
      <c r="I18886" t="s">
        <v>29</v>
      </c>
      <c r="J18886" t="s">
        <v>30</v>
      </c>
      <c r="K18886" t="s">
        <v>31</v>
      </c>
      <c r="M18886" t="s">
        <v>50621</v>
      </c>
      <c r="N18886" t="str">
        <f>"3/14/2023 11:48:00 AM"</f>
        <v>3/14/2023 11:48:00 AM</v>
      </c>
      <c r="O18886" t="s">
        <v>57747</v>
      </c>
      <c r="T18886" t="s">
        <v>57748</v>
      </c>
    </row>
    <row r="18887" spans="1:20" x14ac:dyDescent="0.25">
      <c r="A18887" t="str">
        <f>"3037552"</f>
        <v>3037552</v>
      </c>
      <c r="B18887" t="s">
        <v>57750</v>
      </c>
      <c r="C18887" t="str">
        <f>"8300169"</f>
        <v>8300169</v>
      </c>
      <c r="D18887" t="s">
        <v>57626</v>
      </c>
      <c r="E18887" t="s">
        <v>929</v>
      </c>
      <c r="F18887" t="s">
        <v>57627</v>
      </c>
      <c r="I18887" t="s">
        <v>29</v>
      </c>
      <c r="J18887" t="s">
        <v>30</v>
      </c>
      <c r="K18887" t="s">
        <v>931</v>
      </c>
      <c r="M18887" t="s">
        <v>50621</v>
      </c>
      <c r="N18887" t="str">
        <f>"3/14/2023 11:49:00 AM"</f>
        <v>3/14/2023 11:49:00 AM</v>
      </c>
      <c r="O18887" t="s">
        <v>57626</v>
      </c>
      <c r="T18887" t="s">
        <v>929</v>
      </c>
    </row>
    <row r="18888" spans="1:20" x14ac:dyDescent="0.25">
      <c r="A18888" t="str">
        <f>"3040267"</f>
        <v>3040267</v>
      </c>
      <c r="B18888" t="s">
        <v>57751</v>
      </c>
      <c r="C18888" t="str">
        <f>"37487500"</f>
        <v>37487500</v>
      </c>
      <c r="D18888" t="s">
        <v>57752</v>
      </c>
      <c r="E18888" t="s">
        <v>57753</v>
      </c>
      <c r="F18888" t="str">
        <f>"C/O TRISH LYONS"</f>
        <v>C/O TRISH LYONS</v>
      </c>
      <c r="G18888" t="s">
        <v>57754</v>
      </c>
      <c r="I18888" t="s">
        <v>57755</v>
      </c>
      <c r="J18888" t="s">
        <v>582</v>
      </c>
      <c r="K18888" t="s">
        <v>57756</v>
      </c>
      <c r="M18888" t="s">
        <v>50621</v>
      </c>
      <c r="N18888" t="str">
        <f>"3/14/2023 10:56:00 AM"</f>
        <v>3/14/2023 10:56:00 AM</v>
      </c>
      <c r="O18888" t="s">
        <v>57752</v>
      </c>
      <c r="T18888" t="s">
        <v>57753</v>
      </c>
    </row>
    <row r="18889" spans="1:20" x14ac:dyDescent="0.25">
      <c r="A18889" t="str">
        <f>"3065841"</f>
        <v>3065841</v>
      </c>
      <c r="B18889" t="s">
        <v>57757</v>
      </c>
      <c r="C18889" t="str">
        <f>"40253500"</f>
        <v>40253500</v>
      </c>
      <c r="D18889" t="s">
        <v>57758</v>
      </c>
      <c r="E18889" t="s">
        <v>57759</v>
      </c>
      <c r="F18889" t="s">
        <v>15819</v>
      </c>
      <c r="I18889" t="s">
        <v>184</v>
      </c>
      <c r="J18889" t="s">
        <v>30</v>
      </c>
      <c r="K18889" t="s">
        <v>185</v>
      </c>
      <c r="M18889" t="s">
        <v>50621</v>
      </c>
      <c r="N18889" t="str">
        <f>"3/14/2023 11:01:00 AM"</f>
        <v>3/14/2023 11:01:00 AM</v>
      </c>
      <c r="O18889" t="s">
        <v>57758</v>
      </c>
      <c r="T18889" t="s">
        <v>57759</v>
      </c>
    </row>
    <row r="18890" spans="1:20" x14ac:dyDescent="0.25">
      <c r="A18890" t="str">
        <f>"3037461"</f>
        <v>3037461</v>
      </c>
      <c r="B18890" t="s">
        <v>57760</v>
      </c>
      <c r="C18890" t="str">
        <f>"8311162"</f>
        <v>8311162</v>
      </c>
      <c r="D18890" t="s">
        <v>56476</v>
      </c>
      <c r="E18890" t="s">
        <v>56477</v>
      </c>
      <c r="F18890" t="s">
        <v>57761</v>
      </c>
      <c r="I18890" t="s">
        <v>29</v>
      </c>
      <c r="J18890" t="s">
        <v>30</v>
      </c>
      <c r="K18890" t="s">
        <v>2315</v>
      </c>
      <c r="M18890" t="s">
        <v>50621</v>
      </c>
      <c r="N18890" t="str">
        <f>"3/14/2023 12:02:00 PM"</f>
        <v>3/14/2023 12:02:00 PM</v>
      </c>
      <c r="O18890" t="s">
        <v>56476</v>
      </c>
      <c r="T18890" t="s">
        <v>56477</v>
      </c>
    </row>
    <row r="18891" spans="1:20" x14ac:dyDescent="0.25">
      <c r="A18891" t="str">
        <f>"3048947"</f>
        <v>3048947</v>
      </c>
      <c r="B18891" t="s">
        <v>57762</v>
      </c>
      <c r="C18891" t="str">
        <f>"77111000"</f>
        <v>77111000</v>
      </c>
      <c r="D18891" t="s">
        <v>57763</v>
      </c>
      <c r="F18891" t="s">
        <v>57764</v>
      </c>
      <c r="I18891" t="s">
        <v>50738</v>
      </c>
      <c r="J18891" t="s">
        <v>12725</v>
      </c>
      <c r="K18891" t="s">
        <v>57765</v>
      </c>
      <c r="M18891" t="s">
        <v>50621</v>
      </c>
      <c r="N18891" t="str">
        <f>"3/14/2023 12:03:00 PM"</f>
        <v>3/14/2023 12:03:00 PM</v>
      </c>
      <c r="O18891" t="s">
        <v>57763</v>
      </c>
    </row>
    <row r="18892" spans="1:20" x14ac:dyDescent="0.25">
      <c r="A18892" t="str">
        <f>"3055784"</f>
        <v>3055784</v>
      </c>
      <c r="B18892" t="s">
        <v>57766</v>
      </c>
      <c r="C18892" t="str">
        <f>"8300735"</f>
        <v>8300735</v>
      </c>
      <c r="D18892" t="s">
        <v>57767</v>
      </c>
      <c r="F18892" t="s">
        <v>57768</v>
      </c>
      <c r="I18892" t="s">
        <v>9580</v>
      </c>
      <c r="J18892" t="s">
        <v>30</v>
      </c>
      <c r="K18892" t="str">
        <f>"27014"</f>
        <v>27014</v>
      </c>
      <c r="M18892" t="s">
        <v>50621</v>
      </c>
      <c r="N18892" t="str">
        <f>"3/14/2023 12:07:00 PM"</f>
        <v>3/14/2023 12:07:00 PM</v>
      </c>
      <c r="O18892" t="s">
        <v>57767</v>
      </c>
    </row>
    <row r="18893" spans="1:20" x14ac:dyDescent="0.25">
      <c r="A18893" t="str">
        <f>"3043085"</f>
        <v>3043085</v>
      </c>
      <c r="B18893" t="s">
        <v>57769</v>
      </c>
      <c r="C18893" t="str">
        <f>"82531421"</f>
        <v>82531421</v>
      </c>
      <c r="D18893" t="s">
        <v>57770</v>
      </c>
      <c r="F18893" t="s">
        <v>57771</v>
      </c>
      <c r="I18893" t="s">
        <v>57772</v>
      </c>
      <c r="J18893" t="s">
        <v>30</v>
      </c>
      <c r="K18893" t="s">
        <v>57773</v>
      </c>
      <c r="M18893" t="s">
        <v>50621</v>
      </c>
      <c r="N18893" t="str">
        <f>"3/14/2023 2:51:00 PM"</f>
        <v>3/14/2023 2:51:00 PM</v>
      </c>
      <c r="O18893" t="s">
        <v>57770</v>
      </c>
    </row>
    <row r="18894" spans="1:20" x14ac:dyDescent="0.25">
      <c r="A18894" t="str">
        <f>"3056872"</f>
        <v>3056872</v>
      </c>
      <c r="B18894" t="s">
        <v>57774</v>
      </c>
      <c r="C18894" t="str">
        <f>"82526315"</f>
        <v>82526315</v>
      </c>
      <c r="D18894" t="s">
        <v>57775</v>
      </c>
      <c r="E18894" t="s">
        <v>57776</v>
      </c>
      <c r="F18894" t="s">
        <v>57777</v>
      </c>
      <c r="I18894" t="s">
        <v>9580</v>
      </c>
      <c r="J18894" t="s">
        <v>30</v>
      </c>
      <c r="K18894" t="s">
        <v>9581</v>
      </c>
      <c r="M18894" t="s">
        <v>50621</v>
      </c>
      <c r="N18894" t="str">
        <f>"3/20/2023 11:58:00 AM"</f>
        <v>3/20/2023 11:58:00 AM</v>
      </c>
      <c r="O18894" t="s">
        <v>57775</v>
      </c>
      <c r="T18894" t="s">
        <v>57776</v>
      </c>
    </row>
    <row r="18895" spans="1:20" x14ac:dyDescent="0.25">
      <c r="A18895" t="str">
        <f>"3050028"</f>
        <v>3050028</v>
      </c>
      <c r="B18895" t="s">
        <v>57778</v>
      </c>
      <c r="C18895" t="str">
        <f>"82516442"</f>
        <v>82516442</v>
      </c>
      <c r="D18895" t="s">
        <v>57779</v>
      </c>
      <c r="F18895" t="s">
        <v>57780</v>
      </c>
      <c r="I18895" t="s">
        <v>29</v>
      </c>
      <c r="J18895" t="s">
        <v>30</v>
      </c>
      <c r="K18895" t="s">
        <v>57781</v>
      </c>
      <c r="M18895" t="s">
        <v>50621</v>
      </c>
      <c r="N18895" t="str">
        <f>"3/15/2023 11:22:00 AM"</f>
        <v>3/15/2023 11:22:00 AM</v>
      </c>
      <c r="O18895" t="s">
        <v>57779</v>
      </c>
    </row>
    <row r="18896" spans="1:20" x14ac:dyDescent="0.25">
      <c r="A18896" t="str">
        <f>"3056914"</f>
        <v>3056914</v>
      </c>
      <c r="B18896" t="s">
        <v>57782</v>
      </c>
      <c r="C18896" t="str">
        <f>"82516445"</f>
        <v>82516445</v>
      </c>
      <c r="D18896" t="s">
        <v>57783</v>
      </c>
      <c r="E18896" t="str">
        <f>"C/O KRISTEN HALL SILVA MBCSJD"</f>
        <v>C/O KRISTEN HALL SILVA MBCSJD</v>
      </c>
      <c r="F18896" t="s">
        <v>57784</v>
      </c>
      <c r="G18896" t="s">
        <v>57785</v>
      </c>
      <c r="I18896" t="s">
        <v>54577</v>
      </c>
      <c r="J18896" t="s">
        <v>11697</v>
      </c>
      <c r="K18896" t="s">
        <v>57786</v>
      </c>
      <c r="M18896" t="s">
        <v>50621</v>
      </c>
      <c r="N18896" t="str">
        <f>"3/20/2023 2:29:00 PM"</f>
        <v>3/20/2023 2:29:00 PM</v>
      </c>
      <c r="O18896" t="s">
        <v>57783</v>
      </c>
      <c r="T18896" t="str">
        <f>"C/O KRISTEN HALL SILVA MBCSJD"</f>
        <v>C/O KRISTEN HALL SILVA MBCSJD</v>
      </c>
    </row>
    <row r="18897" spans="1:20" x14ac:dyDescent="0.25">
      <c r="A18897" t="str">
        <f>"3057308"</f>
        <v>3057308</v>
      </c>
      <c r="B18897" t="s">
        <v>57787</v>
      </c>
      <c r="C18897" t="str">
        <f>"82516445"</f>
        <v>82516445</v>
      </c>
      <c r="D18897" t="s">
        <v>57783</v>
      </c>
      <c r="E18897" t="str">
        <f>"C/O KRISTEN HALL SILVA MBCSJD"</f>
        <v>C/O KRISTEN HALL SILVA MBCSJD</v>
      </c>
      <c r="F18897" t="s">
        <v>57784</v>
      </c>
      <c r="G18897" t="s">
        <v>57785</v>
      </c>
      <c r="I18897" t="s">
        <v>54577</v>
      </c>
      <c r="J18897" t="s">
        <v>11697</v>
      </c>
      <c r="K18897" t="s">
        <v>57786</v>
      </c>
      <c r="M18897" t="s">
        <v>50621</v>
      </c>
      <c r="N18897" t="str">
        <f>"3/20/2023 2:29:00 PM"</f>
        <v>3/20/2023 2:29:00 PM</v>
      </c>
      <c r="O18897" t="s">
        <v>57783</v>
      </c>
      <c r="T18897" t="str">
        <f>"C/O KRISTEN HALL SILVA MBCSJD"</f>
        <v>C/O KRISTEN HALL SILVA MBCSJD</v>
      </c>
    </row>
    <row r="18898" spans="1:20" x14ac:dyDescent="0.25">
      <c r="A18898" t="str">
        <f>"3052702"</f>
        <v>3052702</v>
      </c>
      <c r="B18898" t="s">
        <v>57788</v>
      </c>
      <c r="C18898" t="str">
        <f>"82524410"</f>
        <v>82524410</v>
      </c>
      <c r="D18898" t="s">
        <v>57789</v>
      </c>
      <c r="E18898" t="s">
        <v>57790</v>
      </c>
      <c r="F18898" t="s">
        <v>57791</v>
      </c>
      <c r="I18898" t="s">
        <v>29</v>
      </c>
      <c r="J18898" t="s">
        <v>30</v>
      </c>
      <c r="K18898" t="s">
        <v>31</v>
      </c>
      <c r="M18898" t="s">
        <v>33845</v>
      </c>
      <c r="N18898" t="str">
        <f>"3/15/2023 12:01:00 PM"</f>
        <v>3/15/2023 12:01:00 PM</v>
      </c>
      <c r="O18898" t="s">
        <v>57789</v>
      </c>
      <c r="T18898" t="s">
        <v>57790</v>
      </c>
    </row>
    <row r="18899" spans="1:20" x14ac:dyDescent="0.25">
      <c r="A18899" t="str">
        <f>"3058438"</f>
        <v>3058438</v>
      </c>
      <c r="B18899" t="s">
        <v>57792</v>
      </c>
      <c r="C18899" t="str">
        <f>"8319860"</f>
        <v>8319860</v>
      </c>
      <c r="D18899" t="s">
        <v>57793</v>
      </c>
      <c r="E18899" t="s">
        <v>57794</v>
      </c>
      <c r="F18899" t="s">
        <v>57795</v>
      </c>
      <c r="I18899" t="s">
        <v>29</v>
      </c>
      <c r="J18899" t="s">
        <v>30</v>
      </c>
      <c r="K18899" t="s">
        <v>52622</v>
      </c>
      <c r="M18899" t="s">
        <v>17861</v>
      </c>
      <c r="N18899" t="str">
        <f>"3/15/2023 2:27:00 PM"</f>
        <v>3/15/2023 2:27:00 PM</v>
      </c>
      <c r="O18899" t="s">
        <v>57793</v>
      </c>
      <c r="T18899" t="s">
        <v>57794</v>
      </c>
    </row>
    <row r="18900" spans="1:20" x14ac:dyDescent="0.25">
      <c r="A18900" t="str">
        <f>"3081021"</f>
        <v>3081021</v>
      </c>
      <c r="B18900" t="s">
        <v>57796</v>
      </c>
      <c r="C18900" t="str">
        <f>"8300208"</f>
        <v>8300208</v>
      </c>
      <c r="D18900" t="s">
        <v>57677</v>
      </c>
      <c r="F18900" t="s">
        <v>57678</v>
      </c>
      <c r="I18900" t="s">
        <v>29</v>
      </c>
      <c r="J18900" t="s">
        <v>30</v>
      </c>
      <c r="K18900" t="s">
        <v>40808</v>
      </c>
      <c r="M18900" t="s">
        <v>17861</v>
      </c>
      <c r="N18900" t="str">
        <f>"3/15/2023 4:15:00 PM"</f>
        <v>3/15/2023 4:15:00 PM</v>
      </c>
      <c r="O18900" t="s">
        <v>57677</v>
      </c>
    </row>
    <row r="18901" spans="1:20" x14ac:dyDescent="0.25">
      <c r="A18901" t="str">
        <f>"3058471"</f>
        <v>3058471</v>
      </c>
      <c r="B18901" t="s">
        <v>57797</v>
      </c>
      <c r="C18901" t="str">
        <f>"8319864"</f>
        <v>8319864</v>
      </c>
      <c r="D18901" t="s">
        <v>57798</v>
      </c>
      <c r="E18901" t="s">
        <v>57799</v>
      </c>
      <c r="F18901" t="s">
        <v>57800</v>
      </c>
      <c r="I18901" t="s">
        <v>29</v>
      </c>
      <c r="J18901" t="s">
        <v>30</v>
      </c>
      <c r="K18901" t="s">
        <v>57737</v>
      </c>
      <c r="M18901" t="s">
        <v>17861</v>
      </c>
      <c r="N18901" t="str">
        <f>"3/16/2023 11:20:00 AM"</f>
        <v>3/16/2023 11:20:00 AM</v>
      </c>
      <c r="O18901" t="s">
        <v>57798</v>
      </c>
      <c r="T18901" t="s">
        <v>57799</v>
      </c>
    </row>
    <row r="18902" spans="1:20" x14ac:dyDescent="0.25">
      <c r="A18902" t="str">
        <f>"3061617"</f>
        <v>3061617</v>
      </c>
      <c r="B18902" t="s">
        <v>57801</v>
      </c>
      <c r="C18902" t="str">
        <f>"8319880"</f>
        <v>8319880</v>
      </c>
      <c r="D18902" t="s">
        <v>57802</v>
      </c>
      <c r="E18902" t="s">
        <v>57803</v>
      </c>
      <c r="F18902" t="s">
        <v>57804</v>
      </c>
      <c r="I18902" t="s">
        <v>29</v>
      </c>
      <c r="J18902" t="s">
        <v>30</v>
      </c>
      <c r="K18902" t="s">
        <v>13727</v>
      </c>
      <c r="M18902" t="s">
        <v>17861</v>
      </c>
      <c r="N18902" t="str">
        <f>"3/21/2023 9:22:00 AM"</f>
        <v>3/21/2023 9:22:00 AM</v>
      </c>
      <c r="O18902" t="s">
        <v>57802</v>
      </c>
      <c r="T18902" t="s">
        <v>57803</v>
      </c>
    </row>
    <row r="18903" spans="1:20" x14ac:dyDescent="0.25">
      <c r="A18903" t="str">
        <f>"3048188"</f>
        <v>3048188</v>
      </c>
      <c r="B18903" t="s">
        <v>57805</v>
      </c>
      <c r="C18903" t="str">
        <f>"8307348"</f>
        <v>8307348</v>
      </c>
      <c r="D18903" t="s">
        <v>57806</v>
      </c>
      <c r="E18903" t="s">
        <v>57807</v>
      </c>
      <c r="F18903" t="s">
        <v>57808</v>
      </c>
      <c r="I18903" t="s">
        <v>184</v>
      </c>
      <c r="J18903" t="s">
        <v>30</v>
      </c>
      <c r="K18903" t="s">
        <v>57809</v>
      </c>
      <c r="M18903" t="s">
        <v>18479</v>
      </c>
      <c r="N18903" t="str">
        <f>"3/21/2023 9:32:00 AM"</f>
        <v>3/21/2023 9:32:00 AM</v>
      </c>
      <c r="O18903" t="s">
        <v>57806</v>
      </c>
      <c r="T18903" t="s">
        <v>57807</v>
      </c>
    </row>
    <row r="18904" spans="1:20" x14ac:dyDescent="0.25">
      <c r="A18904" t="str">
        <f>"3043344"</f>
        <v>3043344</v>
      </c>
      <c r="B18904" t="s">
        <v>57810</v>
      </c>
      <c r="C18904" t="str">
        <f>"8319882"</f>
        <v>8319882</v>
      </c>
      <c r="D18904" t="s">
        <v>57811</v>
      </c>
      <c r="F18904" t="s">
        <v>57812</v>
      </c>
      <c r="I18904" t="s">
        <v>29</v>
      </c>
      <c r="J18904" t="s">
        <v>30</v>
      </c>
      <c r="K18904" t="s">
        <v>44339</v>
      </c>
      <c r="M18904" t="s">
        <v>17861</v>
      </c>
      <c r="N18904" t="str">
        <f>"3/21/2023 9:33:00 AM"</f>
        <v>3/21/2023 9:33:00 AM</v>
      </c>
      <c r="O18904" t="s">
        <v>57811</v>
      </c>
    </row>
    <row r="18905" spans="1:20" x14ac:dyDescent="0.25">
      <c r="A18905" t="str">
        <f>"3043282"</f>
        <v>3043282</v>
      </c>
      <c r="B18905" t="s">
        <v>57813</v>
      </c>
      <c r="C18905" t="str">
        <f>"8319883"</f>
        <v>8319883</v>
      </c>
      <c r="D18905" t="s">
        <v>57814</v>
      </c>
      <c r="E18905" t="s">
        <v>57811</v>
      </c>
      <c r="F18905" t="s">
        <v>57812</v>
      </c>
      <c r="I18905" t="s">
        <v>29</v>
      </c>
      <c r="J18905" t="s">
        <v>30</v>
      </c>
      <c r="K18905" t="s">
        <v>44339</v>
      </c>
      <c r="M18905" t="s">
        <v>17861</v>
      </c>
      <c r="N18905" t="str">
        <f>"3/21/2023 9:42:00 AM"</f>
        <v>3/21/2023 9:42:00 AM</v>
      </c>
      <c r="O18905" t="s">
        <v>57814</v>
      </c>
      <c r="T18905" t="s">
        <v>57811</v>
      </c>
    </row>
    <row r="18906" spans="1:20" x14ac:dyDescent="0.25">
      <c r="A18906" t="str">
        <f>"3039259"</f>
        <v>3039259</v>
      </c>
      <c r="B18906" t="s">
        <v>57815</v>
      </c>
      <c r="C18906" t="str">
        <f>"8500000"</f>
        <v>8500000</v>
      </c>
      <c r="D18906" t="s">
        <v>57816</v>
      </c>
      <c r="E18906" t="s">
        <v>57817</v>
      </c>
      <c r="F18906" t="s">
        <v>57818</v>
      </c>
      <c r="I18906" t="s">
        <v>29</v>
      </c>
      <c r="J18906" t="s">
        <v>30</v>
      </c>
      <c r="K18906" t="s">
        <v>31</v>
      </c>
      <c r="M18906" t="s">
        <v>36935</v>
      </c>
      <c r="N18906" t="str">
        <f>"3/21/2023 9:49:00 AM"</f>
        <v>3/21/2023 9:49:00 AM</v>
      </c>
      <c r="O18906" t="s">
        <v>57816</v>
      </c>
      <c r="T18906" t="s">
        <v>57817</v>
      </c>
    </row>
    <row r="18907" spans="1:20" x14ac:dyDescent="0.25">
      <c r="A18907" t="str">
        <f>"3045441"</f>
        <v>3045441</v>
      </c>
      <c r="B18907" t="s">
        <v>57819</v>
      </c>
      <c r="C18907" t="str">
        <f>"8319884"</f>
        <v>8319884</v>
      </c>
      <c r="D18907" t="s">
        <v>57820</v>
      </c>
      <c r="F18907" t="s">
        <v>57821</v>
      </c>
      <c r="I18907" t="s">
        <v>29</v>
      </c>
      <c r="J18907" t="s">
        <v>30</v>
      </c>
      <c r="K18907" t="s">
        <v>57822</v>
      </c>
      <c r="M18907" t="s">
        <v>17861</v>
      </c>
      <c r="N18907" t="str">
        <f>"3/21/2023 9:50:00 AM"</f>
        <v>3/21/2023 9:50:00 AM</v>
      </c>
      <c r="O18907" t="s">
        <v>57820</v>
      </c>
    </row>
    <row r="18908" spans="1:20" x14ac:dyDescent="0.25">
      <c r="A18908" t="str">
        <f>"3045747"</f>
        <v>3045747</v>
      </c>
      <c r="B18908" t="s">
        <v>57823</v>
      </c>
      <c r="C18908" t="str">
        <f>"8319884"</f>
        <v>8319884</v>
      </c>
      <c r="D18908" t="s">
        <v>57820</v>
      </c>
      <c r="F18908" t="s">
        <v>57821</v>
      </c>
      <c r="I18908" t="s">
        <v>29</v>
      </c>
      <c r="J18908" t="s">
        <v>30</v>
      </c>
      <c r="K18908" t="s">
        <v>57822</v>
      </c>
      <c r="M18908" t="s">
        <v>17861</v>
      </c>
      <c r="N18908" t="str">
        <f>"3/21/2023 9:50:00 AM"</f>
        <v>3/21/2023 9:50:00 AM</v>
      </c>
      <c r="O18908" t="s">
        <v>57820</v>
      </c>
    </row>
    <row r="18909" spans="1:20" x14ac:dyDescent="0.25">
      <c r="A18909" t="str">
        <f>"3059634"</f>
        <v>3059634</v>
      </c>
      <c r="B18909" t="s">
        <v>57824</v>
      </c>
      <c r="C18909" t="str">
        <f>"8319865"</f>
        <v>8319865</v>
      </c>
      <c r="D18909" t="s">
        <v>57825</v>
      </c>
      <c r="E18909" t="s">
        <v>57826</v>
      </c>
      <c r="F18909" t="s">
        <v>57827</v>
      </c>
      <c r="I18909" t="s">
        <v>29</v>
      </c>
      <c r="J18909" t="s">
        <v>30</v>
      </c>
      <c r="K18909" t="s">
        <v>29862</v>
      </c>
      <c r="M18909" t="s">
        <v>17861</v>
      </c>
      <c r="N18909" t="str">
        <f>"3/16/2023 11:24:00 AM"</f>
        <v>3/16/2023 11:24:00 AM</v>
      </c>
      <c r="O18909" t="s">
        <v>57825</v>
      </c>
      <c r="T18909" t="s">
        <v>57826</v>
      </c>
    </row>
    <row r="18910" spans="1:20" x14ac:dyDescent="0.25">
      <c r="A18910" t="str">
        <f>"3054168"</f>
        <v>3054168</v>
      </c>
      <c r="B18910" t="s">
        <v>57828</v>
      </c>
      <c r="C18910" t="str">
        <f>"73140000"</f>
        <v>73140000</v>
      </c>
      <c r="D18910" t="s">
        <v>57829</v>
      </c>
      <c r="E18910" t="s">
        <v>57830</v>
      </c>
      <c r="F18910" t="s">
        <v>57831</v>
      </c>
      <c r="I18910" t="s">
        <v>9580</v>
      </c>
      <c r="J18910" t="s">
        <v>30</v>
      </c>
      <c r="K18910" t="s">
        <v>57832</v>
      </c>
      <c r="M18910" t="s">
        <v>50621</v>
      </c>
      <c r="N18910" t="str">
        <f>"3/16/2023 2:27:00 PM"</f>
        <v>3/16/2023 2:27:00 PM</v>
      </c>
      <c r="O18910" t="s">
        <v>57829</v>
      </c>
      <c r="T18910" t="s">
        <v>57830</v>
      </c>
    </row>
    <row r="18911" spans="1:20" x14ac:dyDescent="0.25">
      <c r="A18911" t="str">
        <f>"3048496"</f>
        <v>3048496</v>
      </c>
      <c r="B18911" t="s">
        <v>57833</v>
      </c>
      <c r="C18911" t="str">
        <f>"74332000"</f>
        <v>74332000</v>
      </c>
      <c r="D18911" t="s">
        <v>57834</v>
      </c>
      <c r="F18911" t="str">
        <f>"C/O LUCINDY ETCHISON"</f>
        <v>C/O LUCINDY ETCHISON</v>
      </c>
      <c r="G18911" t="s">
        <v>57835</v>
      </c>
      <c r="I18911" t="s">
        <v>29</v>
      </c>
      <c r="J18911" t="s">
        <v>30</v>
      </c>
      <c r="K18911" t="s">
        <v>31</v>
      </c>
      <c r="M18911" t="s">
        <v>50621</v>
      </c>
      <c r="N18911" t="str">
        <f>"3/16/2023 2:28:00 PM"</f>
        <v>3/16/2023 2:28:00 PM</v>
      </c>
      <c r="O18911" t="s">
        <v>57834</v>
      </c>
    </row>
    <row r="18912" spans="1:20" x14ac:dyDescent="0.25">
      <c r="A18912" t="str">
        <f>"3046168"</f>
        <v>3046168</v>
      </c>
      <c r="B18912" t="s">
        <v>57836</v>
      </c>
      <c r="C18912" t="str">
        <f>"8300139"</f>
        <v>8300139</v>
      </c>
      <c r="D18912" t="s">
        <v>57837</v>
      </c>
      <c r="E18912" t="s">
        <v>57838</v>
      </c>
      <c r="F18912" t="s">
        <v>57839</v>
      </c>
      <c r="I18912" t="s">
        <v>23581</v>
      </c>
      <c r="J18912" t="s">
        <v>2109</v>
      </c>
      <c r="K18912" t="s">
        <v>57840</v>
      </c>
      <c r="M18912" t="s">
        <v>50621</v>
      </c>
      <c r="N18912" t="str">
        <f>"3/16/2023 2:30:00 PM"</f>
        <v>3/16/2023 2:30:00 PM</v>
      </c>
      <c r="O18912" t="s">
        <v>57837</v>
      </c>
      <c r="T18912" t="s">
        <v>57838</v>
      </c>
    </row>
    <row r="18913" spans="1:20" x14ac:dyDescent="0.25">
      <c r="A18913" t="str">
        <f>"3042718"</f>
        <v>3042718</v>
      </c>
      <c r="B18913" t="s">
        <v>57841</v>
      </c>
      <c r="C18913" t="str">
        <f>"82533059"</f>
        <v>82533059</v>
      </c>
      <c r="D18913" t="s">
        <v>57842</v>
      </c>
      <c r="F18913" t="s">
        <v>57843</v>
      </c>
      <c r="I18913" t="s">
        <v>29</v>
      </c>
      <c r="J18913" t="s">
        <v>30</v>
      </c>
      <c r="K18913" t="str">
        <f>"27028"</f>
        <v>27028</v>
      </c>
      <c r="M18913" t="s">
        <v>50621</v>
      </c>
      <c r="N18913" t="str">
        <f>"3/16/2023 2:33:00 PM"</f>
        <v>3/16/2023 2:33:00 PM</v>
      </c>
      <c r="O18913" t="s">
        <v>57842</v>
      </c>
    </row>
    <row r="18914" spans="1:20" x14ac:dyDescent="0.25">
      <c r="A18914" t="str">
        <f>"3047322"</f>
        <v>3047322</v>
      </c>
      <c r="B18914" t="s">
        <v>57844</v>
      </c>
      <c r="C18914" t="str">
        <f>"82518844"</f>
        <v>82518844</v>
      </c>
      <c r="D18914" t="s">
        <v>57845</v>
      </c>
      <c r="E18914" t="s">
        <v>57846</v>
      </c>
      <c r="F18914" t="s">
        <v>57847</v>
      </c>
      <c r="I18914" t="s">
        <v>184</v>
      </c>
      <c r="J18914" t="s">
        <v>30</v>
      </c>
      <c r="K18914" t="s">
        <v>185</v>
      </c>
      <c r="M18914" t="s">
        <v>50621</v>
      </c>
      <c r="N18914" t="str">
        <f>"3/16/2023 2:51:00 PM"</f>
        <v>3/16/2023 2:51:00 PM</v>
      </c>
      <c r="O18914" t="s">
        <v>57845</v>
      </c>
      <c r="T18914" t="s">
        <v>57846</v>
      </c>
    </row>
    <row r="18915" spans="1:20" x14ac:dyDescent="0.25">
      <c r="A18915" t="str">
        <f>"3056076"</f>
        <v>3056076</v>
      </c>
      <c r="B18915" t="s">
        <v>57848</v>
      </c>
      <c r="C18915" t="str">
        <f>"8318454"</f>
        <v>8318454</v>
      </c>
      <c r="D18915" t="s">
        <v>57849</v>
      </c>
      <c r="F18915" t="s">
        <v>57850</v>
      </c>
      <c r="I18915" t="s">
        <v>9580</v>
      </c>
      <c r="J18915" t="s">
        <v>30</v>
      </c>
      <c r="K18915" t="str">
        <f>"27014"</f>
        <v>27014</v>
      </c>
      <c r="M18915" t="s">
        <v>18470</v>
      </c>
      <c r="N18915" t="str">
        <f>"3/16/2023 3:21:00 PM"</f>
        <v>3/16/2023 3:21:00 PM</v>
      </c>
      <c r="O18915" t="s">
        <v>57849</v>
      </c>
    </row>
    <row r="18916" spans="1:20" x14ac:dyDescent="0.25">
      <c r="A18916" t="str">
        <f>"3061970"</f>
        <v>3061970</v>
      </c>
      <c r="B18916" t="s">
        <v>57851</v>
      </c>
      <c r="C18916" t="str">
        <f>"8319870"</f>
        <v>8319870</v>
      </c>
      <c r="D18916" t="s">
        <v>57734</v>
      </c>
      <c r="E18916" t="s">
        <v>57735</v>
      </c>
      <c r="F18916" t="s">
        <v>57736</v>
      </c>
      <c r="I18916" t="s">
        <v>29</v>
      </c>
      <c r="J18916" t="s">
        <v>30</v>
      </c>
      <c r="K18916" t="s">
        <v>57737</v>
      </c>
      <c r="M18916" t="s">
        <v>17861</v>
      </c>
      <c r="N18916" t="str">
        <f>"3/17/2023 11:20:00 AM"</f>
        <v>3/17/2023 11:20:00 AM</v>
      </c>
      <c r="O18916" t="s">
        <v>57734</v>
      </c>
      <c r="T18916" t="s">
        <v>57735</v>
      </c>
    </row>
    <row r="18917" spans="1:20" x14ac:dyDescent="0.25">
      <c r="A18917" t="str">
        <f>"3056754"</f>
        <v>3056754</v>
      </c>
      <c r="B18917" t="s">
        <v>57852</v>
      </c>
      <c r="C18917" t="str">
        <f>"8316079"</f>
        <v>8316079</v>
      </c>
      <c r="D18917" t="s">
        <v>57853</v>
      </c>
      <c r="E18917" t="s">
        <v>57854</v>
      </c>
      <c r="F18917" t="s">
        <v>57855</v>
      </c>
      <c r="I18917" t="s">
        <v>29</v>
      </c>
      <c r="J18917" t="s">
        <v>30</v>
      </c>
      <c r="K18917" t="s">
        <v>57856</v>
      </c>
      <c r="M18917" t="s">
        <v>50621</v>
      </c>
      <c r="N18917" t="str">
        <f>"3/17/2023 12:21:00 PM"</f>
        <v>3/17/2023 12:21:00 PM</v>
      </c>
      <c r="O18917" t="s">
        <v>57853</v>
      </c>
      <c r="T18917" t="s">
        <v>57854</v>
      </c>
    </row>
    <row r="18918" spans="1:20" x14ac:dyDescent="0.25">
      <c r="A18918" t="str">
        <f>"3057696"</f>
        <v>3057696</v>
      </c>
      <c r="B18918" t="s">
        <v>57857</v>
      </c>
      <c r="C18918" t="str">
        <f>"8316669"</f>
        <v>8316669</v>
      </c>
      <c r="D18918" t="s">
        <v>57858</v>
      </c>
      <c r="F18918" t="s">
        <v>57859</v>
      </c>
      <c r="I18918" t="s">
        <v>2071</v>
      </c>
      <c r="J18918" t="s">
        <v>30</v>
      </c>
      <c r="K18918" t="s">
        <v>48423</v>
      </c>
      <c r="M18918" t="s">
        <v>50621</v>
      </c>
      <c r="N18918" t="str">
        <f>"3/17/2023 12:36:00 PM"</f>
        <v>3/17/2023 12:36:00 PM</v>
      </c>
      <c r="O18918" t="s">
        <v>57858</v>
      </c>
    </row>
    <row r="18919" spans="1:20" x14ac:dyDescent="0.25">
      <c r="A18919" t="str">
        <f>"3055595"</f>
        <v>3055595</v>
      </c>
      <c r="B18919" t="s">
        <v>57860</v>
      </c>
      <c r="C18919" t="str">
        <f>"8311357"</f>
        <v>8311357</v>
      </c>
      <c r="D18919" t="s">
        <v>57861</v>
      </c>
      <c r="E18919" t="s">
        <v>57862</v>
      </c>
      <c r="F18919" t="s">
        <v>57863</v>
      </c>
      <c r="I18919" t="s">
        <v>29</v>
      </c>
      <c r="J18919" t="s">
        <v>30</v>
      </c>
      <c r="K18919" t="s">
        <v>56215</v>
      </c>
      <c r="M18919" t="s">
        <v>18470</v>
      </c>
      <c r="N18919" t="str">
        <f>"3/17/2023 12:56:00 PM"</f>
        <v>3/17/2023 12:56:00 PM</v>
      </c>
      <c r="O18919" t="s">
        <v>57861</v>
      </c>
      <c r="T18919" t="s">
        <v>57862</v>
      </c>
    </row>
    <row r="18920" spans="1:20" x14ac:dyDescent="0.25">
      <c r="A18920" t="str">
        <f>"3053875"</f>
        <v>3053875</v>
      </c>
      <c r="B18920" t="s">
        <v>57864</v>
      </c>
      <c r="C18920" t="str">
        <f>"8319873"</f>
        <v>8319873</v>
      </c>
      <c r="D18920" t="s">
        <v>57865</v>
      </c>
      <c r="F18920" t="s">
        <v>57866</v>
      </c>
      <c r="I18920" t="s">
        <v>17921</v>
      </c>
      <c r="J18920" t="s">
        <v>30</v>
      </c>
      <c r="K18920" t="str">
        <f>"27028"</f>
        <v>27028</v>
      </c>
      <c r="M18920" t="s">
        <v>17861</v>
      </c>
      <c r="N18920" t="str">
        <f>"3/17/2023 2:15:00 PM"</f>
        <v>3/17/2023 2:15:00 PM</v>
      </c>
      <c r="O18920" t="s">
        <v>57865</v>
      </c>
    </row>
    <row r="18921" spans="1:20" x14ac:dyDescent="0.25">
      <c r="A18921" t="str">
        <f>"3058227"</f>
        <v>3058227</v>
      </c>
      <c r="B18921" t="s">
        <v>57867</v>
      </c>
      <c r="C18921" t="str">
        <f>"82527701"</f>
        <v>82527701</v>
      </c>
      <c r="D18921" t="s">
        <v>57868</v>
      </c>
      <c r="F18921" t="s">
        <v>57869</v>
      </c>
      <c r="I18921" t="s">
        <v>29</v>
      </c>
      <c r="J18921" t="s">
        <v>30</v>
      </c>
      <c r="K18921" t="s">
        <v>52593</v>
      </c>
      <c r="M18921" t="s">
        <v>50793</v>
      </c>
      <c r="N18921" t="str">
        <f>"3/17/2023 2:42:00 PM"</f>
        <v>3/17/2023 2:42:00 PM</v>
      </c>
      <c r="O18921" t="s">
        <v>57868</v>
      </c>
    </row>
    <row r="18922" spans="1:20" x14ac:dyDescent="0.25">
      <c r="A18922" t="str">
        <f>"3044304"</f>
        <v>3044304</v>
      </c>
      <c r="B18922" t="s">
        <v>57870</v>
      </c>
      <c r="C18922" t="str">
        <f>"71090000"</f>
        <v>71090000</v>
      </c>
      <c r="D18922" t="s">
        <v>57871</v>
      </c>
      <c r="E18922" t="s">
        <v>57872</v>
      </c>
      <c r="F18922" t="s">
        <v>57873</v>
      </c>
      <c r="I18922" t="s">
        <v>184</v>
      </c>
      <c r="J18922" t="s">
        <v>30</v>
      </c>
      <c r="K18922" t="s">
        <v>8970</v>
      </c>
      <c r="M18922" t="s">
        <v>50621</v>
      </c>
      <c r="N18922" t="str">
        <f>"3/14/2023 11:55:00 AM"</f>
        <v>3/14/2023 11:55:00 AM</v>
      </c>
      <c r="O18922" t="s">
        <v>57871</v>
      </c>
      <c r="T18922" t="s">
        <v>57872</v>
      </c>
    </row>
    <row r="18923" spans="1:20" x14ac:dyDescent="0.25">
      <c r="A18923" t="str">
        <f>"3061725"</f>
        <v>3061725</v>
      </c>
      <c r="B18923" t="s">
        <v>57874</v>
      </c>
      <c r="C18923" t="str">
        <f>"8314361"</f>
        <v>8314361</v>
      </c>
      <c r="D18923" t="s">
        <v>57875</v>
      </c>
      <c r="F18923" t="s">
        <v>57876</v>
      </c>
      <c r="I18923" t="s">
        <v>2071</v>
      </c>
      <c r="J18923" t="s">
        <v>30</v>
      </c>
      <c r="K18923" t="s">
        <v>30968</v>
      </c>
      <c r="M18923" t="s">
        <v>50621</v>
      </c>
      <c r="N18923" t="str">
        <f>"3/20/2023 11:33:00 AM"</f>
        <v>3/20/2023 11:33:00 AM</v>
      </c>
      <c r="O18923" t="s">
        <v>57875</v>
      </c>
    </row>
    <row r="18924" spans="1:20" x14ac:dyDescent="0.25">
      <c r="A18924" t="str">
        <f>"3059818"</f>
        <v>3059818</v>
      </c>
      <c r="B18924" t="s">
        <v>57877</v>
      </c>
      <c r="C18924" t="str">
        <f>"82526315"</f>
        <v>82526315</v>
      </c>
      <c r="D18924" t="s">
        <v>57775</v>
      </c>
      <c r="E18924" t="s">
        <v>57776</v>
      </c>
      <c r="F18924" t="s">
        <v>57777</v>
      </c>
      <c r="I18924" t="s">
        <v>9580</v>
      </c>
      <c r="J18924" t="s">
        <v>30</v>
      </c>
      <c r="K18924" t="s">
        <v>9581</v>
      </c>
      <c r="M18924" t="s">
        <v>50621</v>
      </c>
      <c r="N18924" t="str">
        <f>"3/20/2023 11:58:00 AM"</f>
        <v>3/20/2023 11:58:00 AM</v>
      </c>
      <c r="O18924" t="s">
        <v>57775</v>
      </c>
      <c r="T18924" t="s">
        <v>57776</v>
      </c>
    </row>
    <row r="18925" spans="1:20" x14ac:dyDescent="0.25">
      <c r="A18925" t="str">
        <f>"3059792"</f>
        <v>3059792</v>
      </c>
      <c r="B18925" t="s">
        <v>57878</v>
      </c>
      <c r="C18925" t="str">
        <f>"82526315"</f>
        <v>82526315</v>
      </c>
      <c r="D18925" t="s">
        <v>57775</v>
      </c>
      <c r="E18925" t="s">
        <v>57776</v>
      </c>
      <c r="F18925" t="s">
        <v>57777</v>
      </c>
      <c r="I18925" t="s">
        <v>9580</v>
      </c>
      <c r="J18925" t="s">
        <v>30</v>
      </c>
      <c r="K18925" t="s">
        <v>9581</v>
      </c>
      <c r="M18925" t="s">
        <v>50621</v>
      </c>
      <c r="N18925" t="str">
        <f>"3/20/2023 11:58:00 AM"</f>
        <v>3/20/2023 11:58:00 AM</v>
      </c>
      <c r="O18925" t="s">
        <v>57775</v>
      </c>
      <c r="T18925" t="s">
        <v>57776</v>
      </c>
    </row>
    <row r="18926" spans="1:20" x14ac:dyDescent="0.25">
      <c r="A18926" t="str">
        <f>"3062336"</f>
        <v>3062336</v>
      </c>
      <c r="B18926" t="s">
        <v>57879</v>
      </c>
      <c r="C18926" t="str">
        <f>"31524000"</f>
        <v>31524000</v>
      </c>
      <c r="D18926" t="s">
        <v>57880</v>
      </c>
      <c r="F18926" t="str">
        <f>"C/O MELVIN HAIRSTON"</f>
        <v>C/O MELVIN HAIRSTON</v>
      </c>
      <c r="G18926" t="s">
        <v>57881</v>
      </c>
      <c r="I18926" t="s">
        <v>57882</v>
      </c>
      <c r="J18926" t="s">
        <v>11994</v>
      </c>
      <c r="K18926" t="s">
        <v>57883</v>
      </c>
      <c r="M18926" t="s">
        <v>50621</v>
      </c>
      <c r="N18926" t="str">
        <f>"3/20/2023 2:09:00 PM"</f>
        <v>3/20/2023 2:09:00 PM</v>
      </c>
      <c r="O18926" t="s">
        <v>57880</v>
      </c>
    </row>
    <row r="18927" spans="1:20" x14ac:dyDescent="0.25">
      <c r="A18927" t="str">
        <f>"3049425"</f>
        <v>3049425</v>
      </c>
      <c r="B18927" t="s">
        <v>57884</v>
      </c>
      <c r="C18927" t="str">
        <f>"31780000"</f>
        <v>31780000</v>
      </c>
      <c r="D18927" t="s">
        <v>57885</v>
      </c>
      <c r="F18927" t="str">
        <f>"C/O JAMES &amp; JOSEPHINE IJAMES"</f>
        <v>C/O JAMES &amp; JOSEPHINE IJAMES</v>
      </c>
      <c r="G18927" t="s">
        <v>13705</v>
      </c>
      <c r="I18927" t="s">
        <v>29</v>
      </c>
      <c r="J18927" t="s">
        <v>30</v>
      </c>
      <c r="K18927" t="s">
        <v>31</v>
      </c>
      <c r="M18927" t="s">
        <v>50621</v>
      </c>
      <c r="N18927" t="str">
        <f>"3/20/2023 2:39:00 PM"</f>
        <v>3/20/2023 2:39:00 PM</v>
      </c>
      <c r="O18927" t="s">
        <v>57885</v>
      </c>
    </row>
    <row r="18928" spans="1:20" x14ac:dyDescent="0.25">
      <c r="A18928" t="str">
        <f>"3044894"</f>
        <v>3044894</v>
      </c>
      <c r="B18928" t="s">
        <v>57886</v>
      </c>
      <c r="C18928" t="str">
        <f>"31904000"</f>
        <v>31904000</v>
      </c>
      <c r="D18928" t="s">
        <v>57887</v>
      </c>
      <c r="F18928" t="s">
        <v>57888</v>
      </c>
      <c r="I18928" t="s">
        <v>184</v>
      </c>
      <c r="J18928" t="s">
        <v>30</v>
      </c>
      <c r="K18928" t="str">
        <f>"27006"</f>
        <v>27006</v>
      </c>
      <c r="M18928" t="s">
        <v>50621</v>
      </c>
      <c r="N18928" t="str">
        <f>"3/20/2023 2:58:00 PM"</f>
        <v>3/20/2023 2:58:00 PM</v>
      </c>
      <c r="O18928" t="s">
        <v>57887</v>
      </c>
    </row>
    <row r="18929" spans="1:20" x14ac:dyDescent="0.25">
      <c r="A18929" t="str">
        <f>"3066634"</f>
        <v>3066634</v>
      </c>
      <c r="B18929" t="s">
        <v>57889</v>
      </c>
      <c r="C18929" t="str">
        <f>"8319877"</f>
        <v>8319877</v>
      </c>
      <c r="D18929" t="str">
        <f>"MONDLAK ALEXANDER Y/MARGARET J REV TRUST"</f>
        <v>MONDLAK ALEXANDER Y/MARGARET J REV TRUST</v>
      </c>
      <c r="E18929" t="str">
        <f>"MONDLAK ALEX/MARGARET CO-TRUST"</f>
        <v>MONDLAK ALEX/MARGARET CO-TRUST</v>
      </c>
      <c r="F18929" t="s">
        <v>57890</v>
      </c>
      <c r="I18929" t="s">
        <v>29</v>
      </c>
      <c r="J18929" t="s">
        <v>30</v>
      </c>
      <c r="K18929" t="s">
        <v>13782</v>
      </c>
      <c r="M18929" t="s">
        <v>17861</v>
      </c>
      <c r="N18929" t="str">
        <f>"3/21/2023 8:38:00 AM"</f>
        <v>3/21/2023 8:38:00 AM</v>
      </c>
      <c r="O18929" t="str">
        <f>"MONDLAK ALEXANDER Y/MARGARET J REV TRUST"</f>
        <v>MONDLAK ALEXANDER Y/MARGARET J REV TRUST</v>
      </c>
      <c r="T18929" t="str">
        <f>"MONDLAK ALEX/MARGARET CO-TRUST"</f>
        <v>MONDLAK ALEX/MARGARET CO-TRUST</v>
      </c>
    </row>
    <row r="18930" spans="1:20" x14ac:dyDescent="0.25">
      <c r="A18930" t="str">
        <f>"3041521"</f>
        <v>3041521</v>
      </c>
      <c r="B18930" t="s">
        <v>57891</v>
      </c>
      <c r="C18930" t="str">
        <f>"8319879"</f>
        <v>8319879</v>
      </c>
      <c r="D18930" t="s">
        <v>57892</v>
      </c>
      <c r="F18930" t="s">
        <v>57893</v>
      </c>
      <c r="I18930" t="s">
        <v>2071</v>
      </c>
      <c r="J18930" t="s">
        <v>30</v>
      </c>
      <c r="K18930" t="s">
        <v>57894</v>
      </c>
      <c r="M18930" t="s">
        <v>17861</v>
      </c>
      <c r="N18930" t="str">
        <f>"3/21/2023 9:20:00 AM"</f>
        <v>3/21/2023 9:20:00 AM</v>
      </c>
      <c r="O18930" t="s">
        <v>57892</v>
      </c>
    </row>
    <row r="18931" spans="1:20" x14ac:dyDescent="0.25">
      <c r="A18931" t="str">
        <f>"3049064"</f>
        <v>3049064</v>
      </c>
      <c r="B18931" t="s">
        <v>57895</v>
      </c>
      <c r="C18931" t="str">
        <f>"8319874"</f>
        <v>8319874</v>
      </c>
      <c r="D18931" t="s">
        <v>57896</v>
      </c>
      <c r="E18931" t="s">
        <v>26917</v>
      </c>
      <c r="F18931" t="s">
        <v>26918</v>
      </c>
      <c r="I18931" t="s">
        <v>29</v>
      </c>
      <c r="J18931" t="s">
        <v>30</v>
      </c>
      <c r="K18931" t="s">
        <v>57897</v>
      </c>
      <c r="M18931" t="s">
        <v>17861</v>
      </c>
      <c r="N18931" t="str">
        <f>"3/20/2023 8:32:00 AM"</f>
        <v>3/20/2023 8:32:00 AM</v>
      </c>
      <c r="O18931" t="s">
        <v>57896</v>
      </c>
      <c r="T18931" t="s">
        <v>26917</v>
      </c>
    </row>
    <row r="18932" spans="1:20" x14ac:dyDescent="0.25">
      <c r="A18932" t="str">
        <f>"3054535"</f>
        <v>3054535</v>
      </c>
      <c r="B18932" t="s">
        <v>57898</v>
      </c>
      <c r="C18932" t="str">
        <f>"8319875"</f>
        <v>8319875</v>
      </c>
      <c r="D18932" t="s">
        <v>57899</v>
      </c>
      <c r="E18932" t="s">
        <v>57900</v>
      </c>
      <c r="F18932" t="s">
        <v>57901</v>
      </c>
      <c r="I18932" t="s">
        <v>29</v>
      </c>
      <c r="J18932" t="s">
        <v>30</v>
      </c>
      <c r="K18932" t="s">
        <v>15516</v>
      </c>
      <c r="M18932" t="s">
        <v>17861</v>
      </c>
      <c r="N18932" t="str">
        <f>"3/20/2023 8:40:00 AM"</f>
        <v>3/20/2023 8:40:00 AM</v>
      </c>
      <c r="O18932" t="s">
        <v>57899</v>
      </c>
      <c r="T18932" t="s">
        <v>57900</v>
      </c>
    </row>
    <row r="18933" spans="1:20" x14ac:dyDescent="0.25">
      <c r="A18933" t="str">
        <f>"3039178"</f>
        <v>3039178</v>
      </c>
      <c r="B18933" t="s">
        <v>57902</v>
      </c>
      <c r="C18933" t="str">
        <f>"6631240"</f>
        <v>6631240</v>
      </c>
      <c r="D18933" t="s">
        <v>57903</v>
      </c>
      <c r="F18933" t="s">
        <v>57904</v>
      </c>
      <c r="G18933" t="s">
        <v>57905</v>
      </c>
      <c r="I18933" t="s">
        <v>29</v>
      </c>
      <c r="J18933" t="s">
        <v>30</v>
      </c>
      <c r="K18933" t="s">
        <v>57906</v>
      </c>
      <c r="M18933" t="s">
        <v>50793</v>
      </c>
      <c r="N18933" t="str">
        <f>"3/22/2023 2:04:00 PM"</f>
        <v>3/22/2023 2:04:00 PM</v>
      </c>
      <c r="O18933" t="s">
        <v>57903</v>
      </c>
    </row>
    <row r="18934" spans="1:20" x14ac:dyDescent="0.25">
      <c r="A18934" t="str">
        <f>"3051689"</f>
        <v>3051689</v>
      </c>
      <c r="B18934" t="s">
        <v>57907</v>
      </c>
      <c r="C18934" t="str">
        <f>"13017500"</f>
        <v>13017500</v>
      </c>
      <c r="D18934" t="s">
        <v>57908</v>
      </c>
      <c r="F18934" t="s">
        <v>57909</v>
      </c>
      <c r="I18934" t="s">
        <v>29</v>
      </c>
      <c r="J18934" t="s">
        <v>30</v>
      </c>
      <c r="K18934" t="s">
        <v>31</v>
      </c>
      <c r="M18934" t="s">
        <v>36935</v>
      </c>
      <c r="N18934" t="str">
        <f>"3/21/2023 10:11:00 AM"</f>
        <v>3/21/2023 10:11:00 AM</v>
      </c>
      <c r="O18934" t="s">
        <v>57908</v>
      </c>
    </row>
    <row r="18935" spans="1:20" x14ac:dyDescent="0.25">
      <c r="A18935" t="str">
        <f>"3049546"</f>
        <v>3049546</v>
      </c>
      <c r="B18935" t="s">
        <v>57910</v>
      </c>
      <c r="C18935" t="str">
        <f>"8319896"</f>
        <v>8319896</v>
      </c>
      <c r="D18935" t="s">
        <v>57911</v>
      </c>
      <c r="E18935" t="s">
        <v>57912</v>
      </c>
      <c r="F18935" t="s">
        <v>57913</v>
      </c>
      <c r="I18935" t="s">
        <v>29</v>
      </c>
      <c r="J18935" t="s">
        <v>30</v>
      </c>
      <c r="K18935" t="s">
        <v>39701</v>
      </c>
      <c r="M18935" t="s">
        <v>17861</v>
      </c>
      <c r="N18935" t="str">
        <f>"3/23/2023 11:28:00 AM"</f>
        <v>3/23/2023 11:28:00 AM</v>
      </c>
      <c r="O18935" t="s">
        <v>57911</v>
      </c>
      <c r="T18935" t="s">
        <v>57912</v>
      </c>
    </row>
    <row r="18936" spans="1:20" x14ac:dyDescent="0.25">
      <c r="A18936" t="str">
        <f>"3053958"</f>
        <v>3053958</v>
      </c>
      <c r="B18936" t="s">
        <v>57914</v>
      </c>
      <c r="C18936" t="str">
        <f>"8319896"</f>
        <v>8319896</v>
      </c>
      <c r="D18936" t="s">
        <v>57911</v>
      </c>
      <c r="E18936" t="s">
        <v>57912</v>
      </c>
      <c r="F18936" t="s">
        <v>57913</v>
      </c>
      <c r="I18936" t="s">
        <v>29</v>
      </c>
      <c r="J18936" t="s">
        <v>30</v>
      </c>
      <c r="K18936" t="s">
        <v>39701</v>
      </c>
      <c r="M18936" t="s">
        <v>17861</v>
      </c>
      <c r="N18936" t="str">
        <f>"3/23/2023 11:28:00 AM"</f>
        <v>3/23/2023 11:28:00 AM</v>
      </c>
      <c r="O18936" t="s">
        <v>57911</v>
      </c>
      <c r="T18936" t="s">
        <v>57912</v>
      </c>
    </row>
    <row r="18937" spans="1:20" x14ac:dyDescent="0.25">
      <c r="A18937" t="str">
        <f>"3078729"</f>
        <v>3078729</v>
      </c>
      <c r="B18937" t="s">
        <v>57915</v>
      </c>
      <c r="C18937" t="str">
        <f>"8319896"</f>
        <v>8319896</v>
      </c>
      <c r="D18937" t="s">
        <v>57911</v>
      </c>
      <c r="E18937" t="s">
        <v>57912</v>
      </c>
      <c r="F18937" t="s">
        <v>57913</v>
      </c>
      <c r="I18937" t="s">
        <v>29</v>
      </c>
      <c r="J18937" t="s">
        <v>30</v>
      </c>
      <c r="K18937" t="s">
        <v>39701</v>
      </c>
      <c r="M18937" t="s">
        <v>17861</v>
      </c>
      <c r="N18937" t="str">
        <f>"3/23/2023 11:28:00 AM"</f>
        <v>3/23/2023 11:28:00 AM</v>
      </c>
      <c r="O18937" t="s">
        <v>57911</v>
      </c>
      <c r="T18937" t="s">
        <v>57912</v>
      </c>
    </row>
    <row r="18938" spans="1:20" x14ac:dyDescent="0.25">
      <c r="A18938" t="str">
        <f>"3055861"</f>
        <v>3055861</v>
      </c>
      <c r="B18938" t="s">
        <v>57916</v>
      </c>
      <c r="C18938" t="str">
        <f>"8319897"</f>
        <v>8319897</v>
      </c>
      <c r="D18938" t="s">
        <v>57917</v>
      </c>
      <c r="E18938" t="s">
        <v>57918</v>
      </c>
      <c r="F18938" t="s">
        <v>57919</v>
      </c>
      <c r="I18938" t="s">
        <v>9580</v>
      </c>
      <c r="J18938" t="s">
        <v>30</v>
      </c>
      <c r="K18938" t="s">
        <v>57920</v>
      </c>
      <c r="M18938" t="s">
        <v>17861</v>
      </c>
      <c r="N18938" t="str">
        <f>"3/23/2023 11:31:00 AM"</f>
        <v>3/23/2023 11:31:00 AM</v>
      </c>
      <c r="O18938" t="s">
        <v>57917</v>
      </c>
      <c r="T18938" t="s">
        <v>57918</v>
      </c>
    </row>
    <row r="18939" spans="1:20" x14ac:dyDescent="0.25">
      <c r="A18939" t="str">
        <f>"3058415"</f>
        <v>3058415</v>
      </c>
      <c r="B18939" t="s">
        <v>57921</v>
      </c>
      <c r="C18939" t="str">
        <f>"8319898"</f>
        <v>8319898</v>
      </c>
      <c r="D18939" t="s">
        <v>57922</v>
      </c>
      <c r="E18939" t="s">
        <v>57923</v>
      </c>
      <c r="F18939" t="s">
        <v>57924</v>
      </c>
      <c r="I18939" t="s">
        <v>29</v>
      </c>
      <c r="J18939" t="s">
        <v>30</v>
      </c>
      <c r="K18939" t="s">
        <v>57737</v>
      </c>
      <c r="M18939" t="s">
        <v>17861</v>
      </c>
      <c r="N18939" t="str">
        <f>"3/23/2023 11:34:00 AM"</f>
        <v>3/23/2023 11:34:00 AM</v>
      </c>
      <c r="O18939" t="s">
        <v>57922</v>
      </c>
      <c r="T18939" t="s">
        <v>57923</v>
      </c>
    </row>
    <row r="18940" spans="1:20" x14ac:dyDescent="0.25">
      <c r="A18940" t="str">
        <f>"3061582"</f>
        <v>3061582</v>
      </c>
      <c r="B18940" t="s">
        <v>57925</v>
      </c>
      <c r="C18940" t="str">
        <f>"8319899"</f>
        <v>8319899</v>
      </c>
      <c r="D18940" t="s">
        <v>57926</v>
      </c>
      <c r="F18940" t="s">
        <v>57927</v>
      </c>
      <c r="I18940" t="s">
        <v>29</v>
      </c>
      <c r="J18940" t="s">
        <v>30</v>
      </c>
      <c r="K18940" t="s">
        <v>19108</v>
      </c>
      <c r="M18940" t="s">
        <v>17861</v>
      </c>
      <c r="N18940" t="str">
        <f>"3/23/2023 11:36:00 AM"</f>
        <v>3/23/2023 11:36:00 AM</v>
      </c>
      <c r="O18940" t="s">
        <v>57926</v>
      </c>
    </row>
    <row r="18941" spans="1:20" x14ac:dyDescent="0.25">
      <c r="A18941" t="str">
        <f>"3051996"</f>
        <v>3051996</v>
      </c>
      <c r="B18941" t="s">
        <v>57928</v>
      </c>
      <c r="C18941" t="str">
        <f>"13017500"</f>
        <v>13017500</v>
      </c>
      <c r="D18941" t="s">
        <v>57908</v>
      </c>
      <c r="F18941" t="s">
        <v>57909</v>
      </c>
      <c r="I18941" t="s">
        <v>29</v>
      </c>
      <c r="J18941" t="s">
        <v>30</v>
      </c>
      <c r="K18941" t="s">
        <v>31</v>
      </c>
      <c r="M18941" t="s">
        <v>36935</v>
      </c>
      <c r="N18941" t="str">
        <f>"3/21/2023 10:11:00 AM"</f>
        <v>3/21/2023 10:11:00 AM</v>
      </c>
      <c r="O18941" t="s">
        <v>57908</v>
      </c>
    </row>
    <row r="18942" spans="1:20" x14ac:dyDescent="0.25">
      <c r="A18942" t="str">
        <f>"3060944"</f>
        <v>3060944</v>
      </c>
      <c r="B18942" t="s">
        <v>57929</v>
      </c>
      <c r="C18942" t="str">
        <f>"8317325"</f>
        <v>8317325</v>
      </c>
      <c r="D18942" t="s">
        <v>57930</v>
      </c>
      <c r="F18942" t="s">
        <v>57931</v>
      </c>
      <c r="I18942" t="s">
        <v>2071</v>
      </c>
      <c r="J18942" t="s">
        <v>30</v>
      </c>
      <c r="K18942" t="s">
        <v>34675</v>
      </c>
      <c r="M18942" t="s">
        <v>17861</v>
      </c>
      <c r="N18942" t="str">
        <f>"3/21/2023 10:47:00 AM"</f>
        <v>3/21/2023 10:47:00 AM</v>
      </c>
      <c r="O18942" t="s">
        <v>57930</v>
      </c>
    </row>
    <row r="18943" spans="1:20" x14ac:dyDescent="0.25">
      <c r="A18943" t="str">
        <f>"3048770"</f>
        <v>3048770</v>
      </c>
      <c r="B18943" t="s">
        <v>57932</v>
      </c>
      <c r="C18943" t="str">
        <f>"8313764"</f>
        <v>8313764</v>
      </c>
      <c r="D18943" t="s">
        <v>57933</v>
      </c>
      <c r="E18943" t="s">
        <v>57934</v>
      </c>
      <c r="F18943" t="s">
        <v>57935</v>
      </c>
      <c r="I18943" t="s">
        <v>17921</v>
      </c>
      <c r="J18943" t="s">
        <v>30</v>
      </c>
      <c r="K18943" t="str">
        <f>"27028"</f>
        <v>27028</v>
      </c>
      <c r="M18943" t="s">
        <v>17861</v>
      </c>
      <c r="N18943" t="str">
        <f>"3/23/2023 12:01:00 PM"</f>
        <v>3/23/2023 12:01:00 PM</v>
      </c>
      <c r="O18943" t="s">
        <v>57933</v>
      </c>
      <c r="T18943" t="s">
        <v>57934</v>
      </c>
    </row>
    <row r="18944" spans="1:20" x14ac:dyDescent="0.25">
      <c r="A18944" t="str">
        <f>"3042192"</f>
        <v>3042192</v>
      </c>
      <c r="B18944" t="s">
        <v>57936</v>
      </c>
      <c r="C18944" t="str">
        <f>"39122750"</f>
        <v>39122750</v>
      </c>
      <c r="D18944" t="s">
        <v>57937</v>
      </c>
      <c r="F18944" t="s">
        <v>57938</v>
      </c>
      <c r="I18944" t="s">
        <v>1107</v>
      </c>
      <c r="J18944" t="s">
        <v>30</v>
      </c>
      <c r="K18944" t="s">
        <v>4147</v>
      </c>
      <c r="M18944" t="s">
        <v>50621</v>
      </c>
      <c r="N18944" t="str">
        <f>"3/23/2023 12:13:00 PM"</f>
        <v>3/23/2023 12:13:00 PM</v>
      </c>
      <c r="O18944" t="s">
        <v>57937</v>
      </c>
    </row>
    <row r="18945" spans="1:20" x14ac:dyDescent="0.25">
      <c r="A18945" t="str">
        <f>"3078013"</f>
        <v>3078013</v>
      </c>
      <c r="B18945" t="s">
        <v>57939</v>
      </c>
      <c r="C18945" t="str">
        <f>"8304989"</f>
        <v>8304989</v>
      </c>
      <c r="D18945" t="s">
        <v>57940</v>
      </c>
      <c r="F18945" t="s">
        <v>57941</v>
      </c>
      <c r="I18945" t="s">
        <v>184</v>
      </c>
      <c r="J18945" t="s">
        <v>30</v>
      </c>
      <c r="K18945" t="str">
        <f>"27006"</f>
        <v>27006</v>
      </c>
      <c r="M18945" t="s">
        <v>36935</v>
      </c>
      <c r="N18945" t="str">
        <f>"3/23/2023 2:07:00 PM"</f>
        <v>3/23/2023 2:07:00 PM</v>
      </c>
      <c r="O18945" t="s">
        <v>57940</v>
      </c>
    </row>
    <row r="18946" spans="1:20" x14ac:dyDescent="0.25">
      <c r="A18946" t="str">
        <f>"3057729"</f>
        <v>3057729</v>
      </c>
      <c r="B18946" t="s">
        <v>57942</v>
      </c>
      <c r="C18946" t="str">
        <f>"8319251"</f>
        <v>8319251</v>
      </c>
      <c r="D18946" t="s">
        <v>57943</v>
      </c>
      <c r="E18946" t="s">
        <v>57944</v>
      </c>
      <c r="F18946" t="s">
        <v>57945</v>
      </c>
      <c r="I18946" t="s">
        <v>29</v>
      </c>
      <c r="J18946" t="s">
        <v>30</v>
      </c>
      <c r="K18946" t="s">
        <v>15867</v>
      </c>
      <c r="M18946" t="s">
        <v>50621</v>
      </c>
      <c r="N18946" t="str">
        <f>"3/23/2023 2:51:00 PM"</f>
        <v>3/23/2023 2:51:00 PM</v>
      </c>
      <c r="O18946" t="s">
        <v>57943</v>
      </c>
      <c r="T18946" t="s">
        <v>57944</v>
      </c>
    </row>
    <row r="18947" spans="1:20" x14ac:dyDescent="0.25">
      <c r="A18947" t="str">
        <f>"3056526"</f>
        <v>3056526</v>
      </c>
      <c r="B18947" t="s">
        <v>57946</v>
      </c>
      <c r="C18947" t="str">
        <f>"8319886"</f>
        <v>8319886</v>
      </c>
      <c r="D18947" t="s">
        <v>57947</v>
      </c>
      <c r="F18947" t="s">
        <v>57948</v>
      </c>
      <c r="I18947" t="s">
        <v>29</v>
      </c>
      <c r="J18947" t="s">
        <v>30</v>
      </c>
      <c r="K18947" t="s">
        <v>19673</v>
      </c>
      <c r="M18947" t="s">
        <v>17861</v>
      </c>
      <c r="N18947" t="str">
        <f>"3/21/2023 11:11:00 AM"</f>
        <v>3/21/2023 11:11:00 AM</v>
      </c>
      <c r="O18947" t="s">
        <v>57947</v>
      </c>
    </row>
    <row r="18948" spans="1:20" x14ac:dyDescent="0.25">
      <c r="A18948" t="str">
        <f>"3056334"</f>
        <v>3056334</v>
      </c>
      <c r="B18948" t="s">
        <v>57949</v>
      </c>
      <c r="C18948" t="str">
        <f>"4667000"</f>
        <v>4667000</v>
      </c>
      <c r="D18948" t="s">
        <v>39898</v>
      </c>
      <c r="F18948" t="s">
        <v>57950</v>
      </c>
      <c r="I18948" t="s">
        <v>29</v>
      </c>
      <c r="J18948" t="s">
        <v>30</v>
      </c>
      <c r="K18948" t="s">
        <v>31045</v>
      </c>
      <c r="M18948" t="s">
        <v>50793</v>
      </c>
      <c r="N18948" t="str">
        <f>"3/21/2023 11:29:00 AM"</f>
        <v>3/21/2023 11:29:00 AM</v>
      </c>
      <c r="O18948" t="s">
        <v>39898</v>
      </c>
    </row>
    <row r="18949" spans="1:20" x14ac:dyDescent="0.25">
      <c r="A18949" t="str">
        <f>"3043230"</f>
        <v>3043230</v>
      </c>
      <c r="B18949" t="s">
        <v>57951</v>
      </c>
      <c r="C18949" t="str">
        <f>"8309135"</f>
        <v>8309135</v>
      </c>
      <c r="D18949" t="s">
        <v>57952</v>
      </c>
      <c r="F18949" t="s">
        <v>57953</v>
      </c>
      <c r="G18949" t="s">
        <v>57954</v>
      </c>
      <c r="I18949" t="s">
        <v>3934</v>
      </c>
      <c r="J18949" t="s">
        <v>30</v>
      </c>
      <c r="K18949" t="s">
        <v>57955</v>
      </c>
      <c r="M18949" t="s">
        <v>52111</v>
      </c>
      <c r="N18949" t="str">
        <f>"3/21/2023 11:59:00 AM"</f>
        <v>3/21/2023 11:59:00 AM</v>
      </c>
      <c r="O18949" t="s">
        <v>57952</v>
      </c>
    </row>
    <row r="18950" spans="1:20" x14ac:dyDescent="0.25">
      <c r="A18950" t="str">
        <f>"3065064"</f>
        <v>3065064</v>
      </c>
      <c r="B18950" t="s">
        <v>57956</v>
      </c>
      <c r="C18950" t="str">
        <f>"58606000"</f>
        <v>58606000</v>
      </c>
      <c r="D18950" t="s">
        <v>57957</v>
      </c>
      <c r="E18950" t="s">
        <v>57958</v>
      </c>
      <c r="F18950" t="s">
        <v>57959</v>
      </c>
      <c r="I18950" t="s">
        <v>29</v>
      </c>
      <c r="J18950" t="s">
        <v>30</v>
      </c>
      <c r="K18950" t="s">
        <v>57960</v>
      </c>
      <c r="M18950" t="s">
        <v>25733</v>
      </c>
      <c r="N18950" t="str">
        <f>"3/24/2023 8:57:00 AM"</f>
        <v>3/24/2023 8:57:00 AM</v>
      </c>
      <c r="O18950" t="s">
        <v>57957</v>
      </c>
      <c r="T18950" t="s">
        <v>57958</v>
      </c>
    </row>
    <row r="18951" spans="1:20" x14ac:dyDescent="0.25">
      <c r="A18951" t="str">
        <f>"3065063"</f>
        <v>3065063</v>
      </c>
      <c r="B18951" t="s">
        <v>57961</v>
      </c>
      <c r="C18951" t="str">
        <f>"58606000"</f>
        <v>58606000</v>
      </c>
      <c r="D18951" t="s">
        <v>57957</v>
      </c>
      <c r="E18951" t="s">
        <v>57958</v>
      </c>
      <c r="F18951" t="s">
        <v>57959</v>
      </c>
      <c r="I18951" t="s">
        <v>29</v>
      </c>
      <c r="J18951" t="s">
        <v>30</v>
      </c>
      <c r="K18951" t="s">
        <v>57960</v>
      </c>
      <c r="M18951" t="s">
        <v>25733</v>
      </c>
      <c r="N18951" t="str">
        <f>"3/24/2023 8:57:00 AM"</f>
        <v>3/24/2023 8:57:00 AM</v>
      </c>
      <c r="O18951" t="s">
        <v>57957</v>
      </c>
      <c r="T18951" t="s">
        <v>57958</v>
      </c>
    </row>
    <row r="18952" spans="1:20" x14ac:dyDescent="0.25">
      <c r="A18952" t="str">
        <f>"3062800"</f>
        <v>3062800</v>
      </c>
      <c r="B18952" t="s">
        <v>57962</v>
      </c>
      <c r="C18952" t="str">
        <f>"8319902"</f>
        <v>8319902</v>
      </c>
      <c r="D18952" t="s">
        <v>57963</v>
      </c>
      <c r="E18952" t="s">
        <v>47802</v>
      </c>
      <c r="F18952" t="s">
        <v>57964</v>
      </c>
      <c r="I18952" t="s">
        <v>29</v>
      </c>
      <c r="J18952" t="s">
        <v>30</v>
      </c>
      <c r="K18952" t="s">
        <v>47425</v>
      </c>
      <c r="M18952" t="s">
        <v>17861</v>
      </c>
      <c r="N18952" t="str">
        <f>"3/24/2023 9:03:00 AM"</f>
        <v>3/24/2023 9:03:00 AM</v>
      </c>
      <c r="O18952" t="s">
        <v>57963</v>
      </c>
      <c r="T18952" t="s">
        <v>47802</v>
      </c>
    </row>
    <row r="18953" spans="1:20" x14ac:dyDescent="0.25">
      <c r="A18953" t="str">
        <f>"3060884"</f>
        <v>3060884</v>
      </c>
      <c r="B18953" t="s">
        <v>57965</v>
      </c>
      <c r="C18953" t="str">
        <f>"8319903"</f>
        <v>8319903</v>
      </c>
      <c r="D18953" t="s">
        <v>57966</v>
      </c>
      <c r="E18953" t="s">
        <v>57967</v>
      </c>
      <c r="F18953" t="s">
        <v>57968</v>
      </c>
      <c r="I18953" t="s">
        <v>184</v>
      </c>
      <c r="J18953" t="s">
        <v>30</v>
      </c>
      <c r="K18953" t="s">
        <v>4789</v>
      </c>
      <c r="M18953" t="s">
        <v>17861</v>
      </c>
      <c r="N18953" t="str">
        <f>"3/24/2023 9:15:00 AM"</f>
        <v>3/24/2023 9:15:00 AM</v>
      </c>
      <c r="O18953" t="s">
        <v>57966</v>
      </c>
      <c r="T18953" t="s">
        <v>57967</v>
      </c>
    </row>
    <row r="18954" spans="1:20" x14ac:dyDescent="0.25">
      <c r="A18954" t="str">
        <f>"3054413"</f>
        <v>3054413</v>
      </c>
      <c r="B18954" t="s">
        <v>57969</v>
      </c>
      <c r="C18954" t="str">
        <f>"8319904"</f>
        <v>8319904</v>
      </c>
      <c r="D18954" t="s">
        <v>57970</v>
      </c>
      <c r="E18954" t="s">
        <v>57971</v>
      </c>
      <c r="F18954" t="s">
        <v>57972</v>
      </c>
      <c r="I18954" t="s">
        <v>29</v>
      </c>
      <c r="J18954" t="s">
        <v>30</v>
      </c>
      <c r="K18954" t="s">
        <v>34122</v>
      </c>
      <c r="M18954" t="s">
        <v>17861</v>
      </c>
      <c r="N18954" t="str">
        <f>"3/24/2023 9:45:00 AM"</f>
        <v>3/24/2023 9:45:00 AM</v>
      </c>
      <c r="O18954" t="s">
        <v>57970</v>
      </c>
      <c r="T18954" t="s">
        <v>57971</v>
      </c>
    </row>
    <row r="18955" spans="1:20" x14ac:dyDescent="0.25">
      <c r="A18955" t="str">
        <f>"3043231"</f>
        <v>3043231</v>
      </c>
      <c r="B18955" t="s">
        <v>57973</v>
      </c>
      <c r="C18955" t="str">
        <f>"8309135"</f>
        <v>8309135</v>
      </c>
      <c r="D18955" t="s">
        <v>57952</v>
      </c>
      <c r="F18955" t="s">
        <v>57953</v>
      </c>
      <c r="G18955" t="s">
        <v>57954</v>
      </c>
      <c r="I18955" t="s">
        <v>3934</v>
      </c>
      <c r="J18955" t="s">
        <v>30</v>
      </c>
      <c r="K18955" t="s">
        <v>57955</v>
      </c>
      <c r="M18955" t="s">
        <v>52111</v>
      </c>
      <c r="N18955" t="str">
        <f>"3/21/2023 11:59:00 AM"</f>
        <v>3/21/2023 11:59:00 AM</v>
      </c>
      <c r="O18955" t="s">
        <v>57952</v>
      </c>
    </row>
    <row r="18956" spans="1:20" x14ac:dyDescent="0.25">
      <c r="A18956" t="str">
        <f>"3039774"</f>
        <v>3039774</v>
      </c>
      <c r="B18956" t="s">
        <v>57974</v>
      </c>
      <c r="C18956" t="str">
        <f>"8319888"</f>
        <v>8319888</v>
      </c>
      <c r="D18956" t="s">
        <v>57975</v>
      </c>
      <c r="F18956" t="s">
        <v>57976</v>
      </c>
      <c r="I18956" t="s">
        <v>163</v>
      </c>
      <c r="J18956" t="s">
        <v>30</v>
      </c>
      <c r="K18956" t="s">
        <v>57977</v>
      </c>
      <c r="M18956" t="s">
        <v>17861</v>
      </c>
      <c r="N18956" t="str">
        <f>"3/21/2023 1:08:00 PM"</f>
        <v>3/21/2023 1:08:00 PM</v>
      </c>
      <c r="O18956" t="s">
        <v>57975</v>
      </c>
    </row>
    <row r="18957" spans="1:20" x14ac:dyDescent="0.25">
      <c r="A18957" t="str">
        <f>"3078027"</f>
        <v>3078027</v>
      </c>
      <c r="B18957" t="s">
        <v>57978</v>
      </c>
      <c r="C18957" t="str">
        <f>"82519455"</f>
        <v>82519455</v>
      </c>
      <c r="D18957" t="s">
        <v>57979</v>
      </c>
      <c r="E18957" t="s">
        <v>57980</v>
      </c>
      <c r="F18957" t="s">
        <v>57981</v>
      </c>
      <c r="G18957" t="s">
        <v>57982</v>
      </c>
      <c r="I18957" t="s">
        <v>184</v>
      </c>
      <c r="J18957" t="s">
        <v>30</v>
      </c>
      <c r="K18957" t="s">
        <v>185</v>
      </c>
      <c r="M18957" t="s">
        <v>50793</v>
      </c>
      <c r="N18957" t="str">
        <f>"3/24/2023 9:49:00 AM"</f>
        <v>3/24/2023 9:49:00 AM</v>
      </c>
      <c r="O18957" t="s">
        <v>57979</v>
      </c>
      <c r="T18957" t="s">
        <v>57980</v>
      </c>
    </row>
    <row r="18958" spans="1:20" x14ac:dyDescent="0.25">
      <c r="A18958" t="str">
        <f>"3058428"</f>
        <v>3058428</v>
      </c>
      <c r="B18958" t="s">
        <v>57983</v>
      </c>
      <c r="C18958" t="str">
        <f>"8319906"</f>
        <v>8319906</v>
      </c>
      <c r="D18958" t="s">
        <v>57984</v>
      </c>
      <c r="E18958" t="s">
        <v>57985</v>
      </c>
      <c r="F18958" t="s">
        <v>57986</v>
      </c>
      <c r="I18958" t="s">
        <v>29</v>
      </c>
      <c r="J18958" t="s">
        <v>30</v>
      </c>
      <c r="K18958" t="s">
        <v>52622</v>
      </c>
      <c r="M18958" t="s">
        <v>17861</v>
      </c>
      <c r="N18958" t="str">
        <f>"3/24/2023 9:51:00 AM"</f>
        <v>3/24/2023 9:51:00 AM</v>
      </c>
      <c r="O18958" t="s">
        <v>57984</v>
      </c>
      <c r="T18958" t="s">
        <v>57985</v>
      </c>
    </row>
    <row r="18959" spans="1:20" x14ac:dyDescent="0.25">
      <c r="A18959" t="str">
        <f>"3077186"</f>
        <v>3077186</v>
      </c>
      <c r="B18959" t="s">
        <v>57987</v>
      </c>
      <c r="C18959" t="str">
        <f>"8319907"</f>
        <v>8319907</v>
      </c>
      <c r="D18959" t="s">
        <v>57988</v>
      </c>
      <c r="F18959" t="s">
        <v>57989</v>
      </c>
      <c r="I18959" t="s">
        <v>471</v>
      </c>
      <c r="J18959" t="s">
        <v>30</v>
      </c>
      <c r="K18959" t="s">
        <v>57990</v>
      </c>
      <c r="M18959" t="s">
        <v>17861</v>
      </c>
      <c r="N18959" t="str">
        <f>"3/24/2023 9:58:00 AM"</f>
        <v>3/24/2023 9:58:00 AM</v>
      </c>
      <c r="O18959" t="s">
        <v>57988</v>
      </c>
    </row>
    <row r="18960" spans="1:20" x14ac:dyDescent="0.25">
      <c r="A18960" t="str">
        <f>"3049834"</f>
        <v>3049834</v>
      </c>
      <c r="B18960" t="s">
        <v>57991</v>
      </c>
      <c r="C18960" t="str">
        <f>"8319908"</f>
        <v>8319908</v>
      </c>
      <c r="D18960" t="s">
        <v>57992</v>
      </c>
      <c r="F18960" t="s">
        <v>57993</v>
      </c>
      <c r="I18960" t="s">
        <v>29</v>
      </c>
      <c r="J18960" t="s">
        <v>30</v>
      </c>
      <c r="K18960" t="s">
        <v>9905</v>
      </c>
      <c r="M18960" t="s">
        <v>17861</v>
      </c>
      <c r="N18960" t="str">
        <f>"3/24/2023 10:00:00 AM"</f>
        <v>3/24/2023 10:00:00 AM</v>
      </c>
      <c r="O18960" t="s">
        <v>57992</v>
      </c>
    </row>
    <row r="18961" spans="1:20" x14ac:dyDescent="0.25">
      <c r="A18961" t="str">
        <f>"3053588"</f>
        <v>3053588</v>
      </c>
      <c r="B18961" t="s">
        <v>57994</v>
      </c>
      <c r="C18961" t="str">
        <f>"8319909"</f>
        <v>8319909</v>
      </c>
      <c r="D18961" t="s">
        <v>57995</v>
      </c>
      <c r="E18961" t="s">
        <v>57996</v>
      </c>
      <c r="F18961" t="s">
        <v>57997</v>
      </c>
      <c r="I18961" t="s">
        <v>29</v>
      </c>
      <c r="J18961" t="s">
        <v>30</v>
      </c>
      <c r="K18961" t="s">
        <v>53192</v>
      </c>
      <c r="M18961" t="s">
        <v>17861</v>
      </c>
      <c r="N18961" t="str">
        <f>"3/24/2023 10:06:00 AM"</f>
        <v>3/24/2023 10:06:00 AM</v>
      </c>
      <c r="O18961" t="s">
        <v>57995</v>
      </c>
      <c r="T18961" t="s">
        <v>57996</v>
      </c>
    </row>
    <row r="18962" spans="1:20" x14ac:dyDescent="0.25">
      <c r="A18962" t="str">
        <f>"3046614"</f>
        <v>3046614</v>
      </c>
      <c r="B18962" t="s">
        <v>57998</v>
      </c>
      <c r="C18962" t="str">
        <f>"8319910"</f>
        <v>8319910</v>
      </c>
      <c r="D18962" t="s">
        <v>57999</v>
      </c>
      <c r="E18962" t="s">
        <v>58000</v>
      </c>
      <c r="F18962" t="s">
        <v>58001</v>
      </c>
      <c r="I18962" t="s">
        <v>29</v>
      </c>
      <c r="J18962" t="s">
        <v>30</v>
      </c>
      <c r="K18962" t="s">
        <v>58002</v>
      </c>
      <c r="M18962" t="s">
        <v>17861</v>
      </c>
      <c r="N18962" t="str">
        <f>"3/24/2023 10:12:00 AM"</f>
        <v>3/24/2023 10:12:00 AM</v>
      </c>
      <c r="O18962" t="s">
        <v>57999</v>
      </c>
      <c r="T18962" t="s">
        <v>58000</v>
      </c>
    </row>
    <row r="18963" spans="1:20" x14ac:dyDescent="0.25">
      <c r="A18963" t="str">
        <f>"3047759"</f>
        <v>3047759</v>
      </c>
      <c r="B18963" t="s">
        <v>58003</v>
      </c>
      <c r="C18963" t="str">
        <f>"8319911"</f>
        <v>8319911</v>
      </c>
      <c r="D18963" t="str">
        <f>"WADE SHELBA H JR/V.GAYE SOWERS CO-TRUSTEES"</f>
        <v>WADE SHELBA H JR/V.GAYE SOWERS CO-TRUSTEES</v>
      </c>
      <c r="E18963" t="str">
        <f>"WADE SHELBA/V.GAYE REV LIV TRU"</f>
        <v>WADE SHELBA/V.GAYE REV LIV TRU</v>
      </c>
      <c r="F18963" t="s">
        <v>58004</v>
      </c>
      <c r="I18963" t="s">
        <v>184</v>
      </c>
      <c r="J18963" t="s">
        <v>30</v>
      </c>
      <c r="K18963" t="s">
        <v>58005</v>
      </c>
      <c r="M18963" t="s">
        <v>17861</v>
      </c>
      <c r="N18963" t="str">
        <f>"3/24/2023 10:16:00 AM"</f>
        <v>3/24/2023 10:16:00 AM</v>
      </c>
      <c r="O18963" t="str">
        <f>"WADE SHELBA H JR/V.GAYE SOWERS CO-TRUSTEES"</f>
        <v>WADE SHELBA H JR/V.GAYE SOWERS CO-TRUSTEES</v>
      </c>
      <c r="T18963" t="str">
        <f>"WADE SHELBA/V.GAYE REV LIV TRU"</f>
        <v>WADE SHELBA/V.GAYE REV LIV TRU</v>
      </c>
    </row>
    <row r="18964" spans="1:20" x14ac:dyDescent="0.25">
      <c r="A18964" t="str">
        <f>"3048002"</f>
        <v>3048002</v>
      </c>
      <c r="B18964" t="s">
        <v>58006</v>
      </c>
      <c r="C18964" t="str">
        <f>"8319911"</f>
        <v>8319911</v>
      </c>
      <c r="D18964" t="str">
        <f>"WADE SHELBA H JR/V.GAYE SOWERS CO-TRUSTEES"</f>
        <v>WADE SHELBA H JR/V.GAYE SOWERS CO-TRUSTEES</v>
      </c>
      <c r="E18964" t="str">
        <f>"WADE SHELBA/V.GAYE REV LIV TRU"</f>
        <v>WADE SHELBA/V.GAYE REV LIV TRU</v>
      </c>
      <c r="F18964" t="s">
        <v>58004</v>
      </c>
      <c r="I18964" t="s">
        <v>184</v>
      </c>
      <c r="J18964" t="s">
        <v>30</v>
      </c>
      <c r="K18964" t="s">
        <v>58005</v>
      </c>
      <c r="M18964" t="s">
        <v>17861</v>
      </c>
      <c r="N18964" t="str">
        <f>"3/24/2023 10:16:00 AM"</f>
        <v>3/24/2023 10:16:00 AM</v>
      </c>
      <c r="O18964" t="str">
        <f>"WADE SHELBA H JR/V.GAYE SOWERS CO-TRUSTEES"</f>
        <v>WADE SHELBA H JR/V.GAYE SOWERS CO-TRUSTEES</v>
      </c>
      <c r="T18964" t="str">
        <f>"WADE SHELBA/V.GAYE REV LIV TRU"</f>
        <v>WADE SHELBA/V.GAYE REV LIV TRU</v>
      </c>
    </row>
    <row r="18965" spans="1:20" x14ac:dyDescent="0.25">
      <c r="A18965" t="str">
        <f>"3076708"</f>
        <v>3076708</v>
      </c>
      <c r="B18965" t="s">
        <v>58007</v>
      </c>
      <c r="C18965" t="str">
        <f>"8319888"</f>
        <v>8319888</v>
      </c>
      <c r="D18965" t="s">
        <v>57975</v>
      </c>
      <c r="F18965" t="s">
        <v>57976</v>
      </c>
      <c r="I18965" t="s">
        <v>163</v>
      </c>
      <c r="J18965" t="s">
        <v>30</v>
      </c>
      <c r="K18965" t="s">
        <v>57977</v>
      </c>
      <c r="M18965" t="s">
        <v>17861</v>
      </c>
      <c r="N18965" t="str">
        <f>"3/21/2023 1:08:00 PM"</f>
        <v>3/21/2023 1:08:00 PM</v>
      </c>
      <c r="O18965" t="s">
        <v>57975</v>
      </c>
    </row>
    <row r="18966" spans="1:20" x14ac:dyDescent="0.25">
      <c r="A18966" t="str">
        <f>"3054303"</f>
        <v>3054303</v>
      </c>
      <c r="B18966" t="s">
        <v>58008</v>
      </c>
      <c r="C18966" t="str">
        <f>"8319889"</f>
        <v>8319889</v>
      </c>
      <c r="D18966" t="s">
        <v>58009</v>
      </c>
      <c r="E18966" t="s">
        <v>58010</v>
      </c>
      <c r="F18966" t="s">
        <v>58011</v>
      </c>
      <c r="I18966" t="s">
        <v>29</v>
      </c>
      <c r="J18966" t="s">
        <v>30</v>
      </c>
      <c r="K18966" t="s">
        <v>48098</v>
      </c>
      <c r="M18966" t="s">
        <v>17861</v>
      </c>
      <c r="N18966" t="str">
        <f>"3/21/2023 1:12:00 PM"</f>
        <v>3/21/2023 1:12:00 PM</v>
      </c>
      <c r="O18966" t="s">
        <v>58009</v>
      </c>
      <c r="T18966" t="s">
        <v>58010</v>
      </c>
    </row>
    <row r="18967" spans="1:20" x14ac:dyDescent="0.25">
      <c r="A18967" t="str">
        <f>"3044005"</f>
        <v>3044005</v>
      </c>
      <c r="B18967" t="s">
        <v>58012</v>
      </c>
      <c r="C18967" t="str">
        <f>"82530386"</f>
        <v>82530386</v>
      </c>
      <c r="D18967" t="s">
        <v>58013</v>
      </c>
      <c r="F18967" t="s">
        <v>58014</v>
      </c>
      <c r="I18967" t="s">
        <v>58015</v>
      </c>
      <c r="J18967" t="s">
        <v>12725</v>
      </c>
      <c r="K18967" t="s">
        <v>58016</v>
      </c>
      <c r="M18967" t="s">
        <v>50793</v>
      </c>
      <c r="N18967" t="str">
        <f>"3/21/2023 1:44:00 PM"</f>
        <v>3/21/2023 1:44:00 PM</v>
      </c>
      <c r="O18967" t="s">
        <v>58013</v>
      </c>
    </row>
    <row r="18968" spans="1:20" x14ac:dyDescent="0.25">
      <c r="A18968" t="str">
        <f>"3049754"</f>
        <v>3049754</v>
      </c>
      <c r="B18968" t="s">
        <v>58017</v>
      </c>
      <c r="C18968" t="str">
        <f>"8319890"</f>
        <v>8319890</v>
      </c>
      <c r="D18968" t="s">
        <v>58018</v>
      </c>
      <c r="E18968" t="s">
        <v>58019</v>
      </c>
      <c r="F18968" t="s">
        <v>58020</v>
      </c>
      <c r="I18968" t="s">
        <v>50032</v>
      </c>
      <c r="J18968" t="s">
        <v>3150</v>
      </c>
      <c r="K18968" t="s">
        <v>58021</v>
      </c>
      <c r="M18968" t="s">
        <v>17861</v>
      </c>
      <c r="N18968" t="str">
        <f>"3/21/2023 3:45:00 PM"</f>
        <v>3/21/2023 3:45:00 PM</v>
      </c>
      <c r="O18968" t="s">
        <v>58018</v>
      </c>
      <c r="T18968" t="s">
        <v>58019</v>
      </c>
    </row>
    <row r="18969" spans="1:20" x14ac:dyDescent="0.25">
      <c r="A18969" t="str">
        <f>"3058417"</f>
        <v>3058417</v>
      </c>
      <c r="B18969" t="s">
        <v>58022</v>
      </c>
      <c r="C18969" t="str">
        <f>"8319915"</f>
        <v>8319915</v>
      </c>
      <c r="D18969" t="s">
        <v>58023</v>
      </c>
      <c r="E18969" t="s">
        <v>58024</v>
      </c>
      <c r="F18969" t="s">
        <v>58025</v>
      </c>
      <c r="I18969" t="s">
        <v>29</v>
      </c>
      <c r="J18969" t="s">
        <v>30</v>
      </c>
      <c r="K18969" t="s">
        <v>57737</v>
      </c>
      <c r="M18969" t="s">
        <v>17861</v>
      </c>
      <c r="N18969" t="str">
        <f>"3/24/2023 3:39:00 PM"</f>
        <v>3/24/2023 3:39:00 PM</v>
      </c>
      <c r="O18969" t="s">
        <v>58023</v>
      </c>
      <c r="T18969" t="s">
        <v>58024</v>
      </c>
    </row>
    <row r="18970" spans="1:20" x14ac:dyDescent="0.25">
      <c r="A18970" t="str">
        <f>"3061836"</f>
        <v>3061836</v>
      </c>
      <c r="B18970" t="s">
        <v>58026</v>
      </c>
      <c r="C18970" t="str">
        <f>"8319917"</f>
        <v>8319917</v>
      </c>
      <c r="D18970" t="s">
        <v>58027</v>
      </c>
      <c r="E18970" t="s">
        <v>58028</v>
      </c>
      <c r="F18970" t="s">
        <v>58029</v>
      </c>
      <c r="I18970" t="s">
        <v>184</v>
      </c>
      <c r="J18970" t="s">
        <v>30</v>
      </c>
      <c r="K18970" t="s">
        <v>58030</v>
      </c>
      <c r="M18970" t="s">
        <v>17861</v>
      </c>
      <c r="N18970" t="str">
        <f>"3/27/2023 9:36:00 AM"</f>
        <v>3/27/2023 9:36:00 AM</v>
      </c>
      <c r="O18970" t="s">
        <v>58027</v>
      </c>
      <c r="T18970" t="s">
        <v>58028</v>
      </c>
    </row>
    <row r="18971" spans="1:20" x14ac:dyDescent="0.25">
      <c r="A18971" t="str">
        <f>"3067542"</f>
        <v>3067542</v>
      </c>
      <c r="B18971" t="s">
        <v>58031</v>
      </c>
      <c r="C18971" t="str">
        <f>"8319921"</f>
        <v>8319921</v>
      </c>
      <c r="D18971" t="s">
        <v>58032</v>
      </c>
      <c r="E18971" t="s">
        <v>58033</v>
      </c>
      <c r="F18971" t="s">
        <v>58034</v>
      </c>
      <c r="I18971" t="s">
        <v>29</v>
      </c>
      <c r="J18971" t="s">
        <v>30</v>
      </c>
      <c r="K18971" t="s">
        <v>22691</v>
      </c>
      <c r="M18971" t="s">
        <v>17861</v>
      </c>
      <c r="N18971" t="str">
        <f>"3/27/2023 10:36:00 AM"</f>
        <v>3/27/2023 10:36:00 AM</v>
      </c>
      <c r="O18971" t="s">
        <v>58032</v>
      </c>
      <c r="T18971" t="s">
        <v>58033</v>
      </c>
    </row>
    <row r="18972" spans="1:20" x14ac:dyDescent="0.25">
      <c r="A18972" t="str">
        <f>"3042923"</f>
        <v>3042923</v>
      </c>
      <c r="B18972" t="s">
        <v>58035</v>
      </c>
      <c r="C18972" t="str">
        <f>"6016000"</f>
        <v>6016000</v>
      </c>
      <c r="D18972" t="s">
        <v>58036</v>
      </c>
      <c r="F18972" t="s">
        <v>56131</v>
      </c>
      <c r="I18972" t="s">
        <v>29</v>
      </c>
      <c r="J18972" t="s">
        <v>30</v>
      </c>
      <c r="K18972" t="s">
        <v>58037</v>
      </c>
      <c r="M18972" t="s">
        <v>50793</v>
      </c>
      <c r="N18972" t="str">
        <f>"3/22/2023 10:08:00 AM"</f>
        <v>3/22/2023 10:08:00 AM</v>
      </c>
      <c r="O18972" t="s">
        <v>58036</v>
      </c>
    </row>
    <row r="18973" spans="1:20" x14ac:dyDescent="0.25">
      <c r="A18973" t="str">
        <f>"3043336"</f>
        <v>3043336</v>
      </c>
      <c r="B18973" t="s">
        <v>58038</v>
      </c>
      <c r="C18973" t="str">
        <f>"82527726"</f>
        <v>82527726</v>
      </c>
      <c r="D18973" t="s">
        <v>58039</v>
      </c>
      <c r="E18973" t="s">
        <v>58040</v>
      </c>
      <c r="F18973" t="s">
        <v>58041</v>
      </c>
      <c r="I18973" t="s">
        <v>29</v>
      </c>
      <c r="J18973" t="s">
        <v>30</v>
      </c>
      <c r="K18973" t="s">
        <v>37639</v>
      </c>
      <c r="M18973" t="s">
        <v>52111</v>
      </c>
      <c r="N18973" t="str">
        <f>"3/27/2023 11:26:00 AM"</f>
        <v>3/27/2023 11:26:00 AM</v>
      </c>
      <c r="O18973" t="s">
        <v>58039</v>
      </c>
      <c r="T18973" t="s">
        <v>58040</v>
      </c>
    </row>
    <row r="18974" spans="1:20" x14ac:dyDescent="0.25">
      <c r="A18974" t="str">
        <f>"3060567"</f>
        <v>3060567</v>
      </c>
      <c r="B18974" t="s">
        <v>58042</v>
      </c>
      <c r="C18974" t="str">
        <f>"8319922"</f>
        <v>8319922</v>
      </c>
      <c r="D18974" t="s">
        <v>58043</v>
      </c>
      <c r="F18974" t="s">
        <v>58044</v>
      </c>
      <c r="I18974" t="s">
        <v>184</v>
      </c>
      <c r="J18974" t="s">
        <v>30</v>
      </c>
      <c r="K18974" t="s">
        <v>6350</v>
      </c>
      <c r="M18974" t="s">
        <v>17861</v>
      </c>
      <c r="N18974" t="str">
        <f>"3/27/2023 1:12:00 PM"</f>
        <v>3/27/2023 1:12:00 PM</v>
      </c>
      <c r="O18974" t="s">
        <v>58043</v>
      </c>
    </row>
    <row r="18975" spans="1:20" x14ac:dyDescent="0.25">
      <c r="A18975" t="str">
        <f>"3038483"</f>
        <v>3038483</v>
      </c>
      <c r="B18975" t="s">
        <v>58045</v>
      </c>
      <c r="C18975" t="str">
        <f>"8319923"</f>
        <v>8319923</v>
      </c>
      <c r="D18975" t="s">
        <v>58046</v>
      </c>
      <c r="F18975" t="s">
        <v>58047</v>
      </c>
      <c r="I18975" t="s">
        <v>29</v>
      </c>
      <c r="J18975" t="s">
        <v>30</v>
      </c>
      <c r="K18975" t="str">
        <f>"27028"</f>
        <v>27028</v>
      </c>
      <c r="M18975" t="s">
        <v>17861</v>
      </c>
      <c r="N18975" t="str">
        <f>"3/27/2023 1:16:00 PM"</f>
        <v>3/27/2023 1:16:00 PM</v>
      </c>
      <c r="O18975" t="s">
        <v>58046</v>
      </c>
    </row>
    <row r="18976" spans="1:20" x14ac:dyDescent="0.25">
      <c r="A18976" t="str">
        <f>"3037867"</f>
        <v>3037867</v>
      </c>
      <c r="B18976" t="s">
        <v>58048</v>
      </c>
      <c r="C18976" t="str">
        <f>"8319923"</f>
        <v>8319923</v>
      </c>
      <c r="D18976" t="s">
        <v>58046</v>
      </c>
      <c r="F18976" t="s">
        <v>58047</v>
      </c>
      <c r="I18976" t="s">
        <v>29</v>
      </c>
      <c r="J18976" t="s">
        <v>30</v>
      </c>
      <c r="K18976" t="str">
        <f>"27028"</f>
        <v>27028</v>
      </c>
      <c r="M18976" t="s">
        <v>17861</v>
      </c>
      <c r="N18976" t="str">
        <f>"3/27/2023 1:16:00 PM"</f>
        <v>3/27/2023 1:16:00 PM</v>
      </c>
      <c r="O18976" t="s">
        <v>58046</v>
      </c>
    </row>
    <row r="18977" spans="1:20" x14ac:dyDescent="0.25">
      <c r="A18977" t="str">
        <f>"3062811"</f>
        <v>3062811</v>
      </c>
      <c r="B18977" t="s">
        <v>58049</v>
      </c>
      <c r="C18977" t="str">
        <f>"8319924"</f>
        <v>8319924</v>
      </c>
      <c r="D18977" t="s">
        <v>58050</v>
      </c>
      <c r="E18977" t="s">
        <v>58051</v>
      </c>
      <c r="F18977" t="s">
        <v>58052</v>
      </c>
      <c r="I18977" t="s">
        <v>29</v>
      </c>
      <c r="J18977" t="s">
        <v>30</v>
      </c>
      <c r="K18977" t="s">
        <v>8511</v>
      </c>
      <c r="M18977" t="s">
        <v>17861</v>
      </c>
      <c r="N18977" t="str">
        <f>"3/27/2023 1:21:00 PM"</f>
        <v>3/27/2023 1:21:00 PM</v>
      </c>
      <c r="O18977" t="s">
        <v>58050</v>
      </c>
      <c r="T18977" t="s">
        <v>58051</v>
      </c>
    </row>
    <row r="18978" spans="1:20" x14ac:dyDescent="0.25">
      <c r="A18978" t="str">
        <f>"3047463"</f>
        <v>3047463</v>
      </c>
      <c r="B18978" t="s">
        <v>58053</v>
      </c>
      <c r="C18978" t="str">
        <f>"8319925"</f>
        <v>8319925</v>
      </c>
      <c r="D18978" t="s">
        <v>58054</v>
      </c>
      <c r="E18978" t="s">
        <v>58055</v>
      </c>
      <c r="F18978" t="s">
        <v>58056</v>
      </c>
      <c r="I18978" t="s">
        <v>29</v>
      </c>
      <c r="J18978" t="s">
        <v>30</v>
      </c>
      <c r="K18978" t="s">
        <v>56942</v>
      </c>
      <c r="M18978" t="s">
        <v>17861</v>
      </c>
      <c r="N18978" t="str">
        <f>"3/27/2023 3:46:00 PM"</f>
        <v>3/27/2023 3:46:00 PM</v>
      </c>
      <c r="O18978" t="s">
        <v>58054</v>
      </c>
      <c r="T18978" t="s">
        <v>58055</v>
      </c>
    </row>
    <row r="18979" spans="1:20" x14ac:dyDescent="0.25">
      <c r="A18979" t="str">
        <f>"3047191"</f>
        <v>3047191</v>
      </c>
      <c r="B18979" t="s">
        <v>58057</v>
      </c>
      <c r="C18979" t="str">
        <f>"8308299"</f>
        <v>8308299</v>
      </c>
      <c r="D18979" t="s">
        <v>58058</v>
      </c>
      <c r="E18979" t="s">
        <v>58059</v>
      </c>
      <c r="F18979" t="s">
        <v>58060</v>
      </c>
      <c r="I18979" t="s">
        <v>29</v>
      </c>
      <c r="J18979" t="s">
        <v>30</v>
      </c>
      <c r="K18979" t="str">
        <f>"27028"</f>
        <v>27028</v>
      </c>
      <c r="M18979" t="s">
        <v>50621</v>
      </c>
      <c r="N18979" t="str">
        <f>"3/22/2023 11:22:00 AM"</f>
        <v>3/22/2023 11:22:00 AM</v>
      </c>
      <c r="O18979" t="s">
        <v>58058</v>
      </c>
      <c r="T18979" t="s">
        <v>58059</v>
      </c>
    </row>
    <row r="18980" spans="1:20" x14ac:dyDescent="0.25">
      <c r="A18980" t="str">
        <f>"3046704"</f>
        <v>3046704</v>
      </c>
      <c r="B18980" t="s">
        <v>58061</v>
      </c>
      <c r="C18980" t="str">
        <f>"8308299"</f>
        <v>8308299</v>
      </c>
      <c r="D18980" t="s">
        <v>58058</v>
      </c>
      <c r="E18980" t="s">
        <v>58059</v>
      </c>
      <c r="F18980" t="s">
        <v>58060</v>
      </c>
      <c r="I18980" t="s">
        <v>29</v>
      </c>
      <c r="J18980" t="s">
        <v>30</v>
      </c>
      <c r="K18980" t="str">
        <f>"27028"</f>
        <v>27028</v>
      </c>
      <c r="M18980" t="s">
        <v>50621</v>
      </c>
      <c r="N18980" t="str">
        <f>"3/22/2023 11:22:00 AM"</f>
        <v>3/22/2023 11:22:00 AM</v>
      </c>
      <c r="O18980" t="s">
        <v>58058</v>
      </c>
      <c r="T18980" t="s">
        <v>58059</v>
      </c>
    </row>
    <row r="18981" spans="1:20" x14ac:dyDescent="0.25">
      <c r="A18981" t="str">
        <f>"3052434"</f>
        <v>3052434</v>
      </c>
      <c r="B18981" t="s">
        <v>58062</v>
      </c>
      <c r="C18981" t="str">
        <f>"8319895"</f>
        <v>8319895</v>
      </c>
      <c r="D18981" t="s">
        <v>58063</v>
      </c>
      <c r="E18981" t="s">
        <v>58064</v>
      </c>
      <c r="F18981" t="s">
        <v>58065</v>
      </c>
      <c r="I18981" t="s">
        <v>29</v>
      </c>
      <c r="J18981" t="s">
        <v>30</v>
      </c>
      <c r="K18981" t="s">
        <v>11886</v>
      </c>
      <c r="M18981" t="s">
        <v>17861</v>
      </c>
      <c r="N18981" t="str">
        <f>"3/23/2023 11:08:00 AM"</f>
        <v>3/23/2023 11:08:00 AM</v>
      </c>
      <c r="O18981" t="s">
        <v>58063</v>
      </c>
      <c r="T18981" t="s">
        <v>58064</v>
      </c>
    </row>
    <row r="18982" spans="1:20" x14ac:dyDescent="0.25">
      <c r="A18982" t="str">
        <f>"3054534"</f>
        <v>3054534</v>
      </c>
      <c r="B18982" t="s">
        <v>58066</v>
      </c>
      <c r="C18982" t="str">
        <f>"8319928"</f>
        <v>8319928</v>
      </c>
      <c r="D18982" t="s">
        <v>58067</v>
      </c>
      <c r="E18982" t="s">
        <v>58068</v>
      </c>
      <c r="F18982" t="s">
        <v>58069</v>
      </c>
      <c r="I18982" t="s">
        <v>29</v>
      </c>
      <c r="J18982" t="s">
        <v>30</v>
      </c>
      <c r="K18982" t="s">
        <v>15511</v>
      </c>
      <c r="M18982" t="s">
        <v>17861</v>
      </c>
      <c r="N18982" t="str">
        <f>"3/28/2023 1:13:00 PM"</f>
        <v>3/28/2023 1:13:00 PM</v>
      </c>
      <c r="O18982" t="s">
        <v>58067</v>
      </c>
      <c r="T18982" t="s">
        <v>58068</v>
      </c>
    </row>
    <row r="18983" spans="1:20" x14ac:dyDescent="0.25">
      <c r="A18983" t="str">
        <f>"3049719"</f>
        <v>3049719</v>
      </c>
      <c r="B18983" t="s">
        <v>58070</v>
      </c>
      <c r="C18983" t="str">
        <f>"8319896"</f>
        <v>8319896</v>
      </c>
      <c r="D18983" t="s">
        <v>57911</v>
      </c>
      <c r="E18983" t="s">
        <v>57912</v>
      </c>
      <c r="F18983" t="s">
        <v>57913</v>
      </c>
      <c r="I18983" t="s">
        <v>29</v>
      </c>
      <c r="J18983" t="s">
        <v>30</v>
      </c>
      <c r="K18983" t="s">
        <v>39701</v>
      </c>
      <c r="M18983" t="s">
        <v>17861</v>
      </c>
      <c r="N18983" t="str">
        <f>"3/23/2023 11:28:00 AM"</f>
        <v>3/23/2023 11:28:00 AM</v>
      </c>
      <c r="O18983" t="s">
        <v>57911</v>
      </c>
      <c r="T18983" t="s">
        <v>57912</v>
      </c>
    </row>
    <row r="18984" spans="1:20" x14ac:dyDescent="0.25">
      <c r="A18984" t="str">
        <f>"3051757"</f>
        <v>3051757</v>
      </c>
      <c r="B18984" t="s">
        <v>58071</v>
      </c>
      <c r="C18984" t="str">
        <f>"6697560"</f>
        <v>6697560</v>
      </c>
      <c r="D18984" t="s">
        <v>58072</v>
      </c>
      <c r="F18984" t="s">
        <v>58073</v>
      </c>
      <c r="I18984" t="s">
        <v>29</v>
      </c>
      <c r="J18984" t="s">
        <v>30</v>
      </c>
      <c r="K18984" t="s">
        <v>31</v>
      </c>
      <c r="M18984" t="s">
        <v>50793</v>
      </c>
      <c r="N18984" t="str">
        <f>"3/22/2023 2:15:00 PM"</f>
        <v>3/22/2023 2:15:00 PM</v>
      </c>
      <c r="O18984" t="s">
        <v>58072</v>
      </c>
    </row>
    <row r="18985" spans="1:20" x14ac:dyDescent="0.25">
      <c r="A18985" t="str">
        <f>"3072523"</f>
        <v>3072523</v>
      </c>
      <c r="B18985" t="s">
        <v>58074</v>
      </c>
      <c r="C18985" t="str">
        <f>"6697560"</f>
        <v>6697560</v>
      </c>
      <c r="D18985" t="s">
        <v>58072</v>
      </c>
      <c r="F18985" t="s">
        <v>58073</v>
      </c>
      <c r="I18985" t="s">
        <v>29</v>
      </c>
      <c r="J18985" t="s">
        <v>30</v>
      </c>
      <c r="K18985" t="s">
        <v>31</v>
      </c>
      <c r="M18985" t="s">
        <v>50793</v>
      </c>
      <c r="N18985" t="str">
        <f>"3/22/2023 2:15:00 PM"</f>
        <v>3/22/2023 2:15:00 PM</v>
      </c>
      <c r="O18985" t="s">
        <v>58072</v>
      </c>
    </row>
    <row r="18986" spans="1:20" x14ac:dyDescent="0.25">
      <c r="A18986" t="str">
        <f>"3053665"</f>
        <v>3053665</v>
      </c>
      <c r="B18986" t="s">
        <v>58075</v>
      </c>
      <c r="C18986" t="str">
        <f>"8305963"</f>
        <v>8305963</v>
      </c>
      <c r="D18986" t="s">
        <v>58076</v>
      </c>
      <c r="E18986" t="s">
        <v>58077</v>
      </c>
      <c r="F18986" t="s">
        <v>58078</v>
      </c>
      <c r="I18986" t="s">
        <v>184</v>
      </c>
      <c r="J18986" t="s">
        <v>30</v>
      </c>
      <c r="K18986" t="s">
        <v>58079</v>
      </c>
      <c r="M18986" t="s">
        <v>18470</v>
      </c>
      <c r="N18986" t="str">
        <f>"3/22/2023 2:50:00 PM"</f>
        <v>3/22/2023 2:50:00 PM</v>
      </c>
      <c r="O18986" t="s">
        <v>58076</v>
      </c>
      <c r="T18986" t="s">
        <v>58077</v>
      </c>
    </row>
    <row r="18987" spans="1:20" x14ac:dyDescent="0.25">
      <c r="A18987" t="str">
        <f>"3039152"</f>
        <v>3039152</v>
      </c>
      <c r="B18987" t="s">
        <v>58080</v>
      </c>
      <c r="C18987" t="str">
        <f>"8311099"</f>
        <v>8311099</v>
      </c>
      <c r="D18987" t="s">
        <v>58081</v>
      </c>
      <c r="F18987" t="s">
        <v>58082</v>
      </c>
      <c r="I18987" t="s">
        <v>29</v>
      </c>
      <c r="J18987" t="s">
        <v>30</v>
      </c>
      <c r="K18987" t="s">
        <v>31886</v>
      </c>
      <c r="M18987" t="s">
        <v>50621</v>
      </c>
      <c r="N18987" t="str">
        <f>"3/29/2023 12:13:00 PM"</f>
        <v>3/29/2023 12:13:00 PM</v>
      </c>
      <c r="O18987" t="s">
        <v>58081</v>
      </c>
    </row>
    <row r="18988" spans="1:20" x14ac:dyDescent="0.25">
      <c r="A18988" t="str">
        <f>"3062588"</f>
        <v>3062588</v>
      </c>
      <c r="B18988" t="s">
        <v>58083</v>
      </c>
      <c r="C18988" t="str">
        <f>"82514409"</f>
        <v>82514409</v>
      </c>
      <c r="D18988" t="s">
        <v>58084</v>
      </c>
      <c r="F18988" t="s">
        <v>58085</v>
      </c>
      <c r="I18988" t="s">
        <v>29</v>
      </c>
      <c r="J18988" t="s">
        <v>30</v>
      </c>
      <c r="K18988" t="s">
        <v>31</v>
      </c>
      <c r="M18988" t="s">
        <v>50621</v>
      </c>
      <c r="N18988" t="str">
        <f>"3/22/2023 3:09:00 PM"</f>
        <v>3/22/2023 3:09:00 PM</v>
      </c>
      <c r="O18988" t="s">
        <v>58084</v>
      </c>
    </row>
    <row r="18989" spans="1:20" x14ac:dyDescent="0.25">
      <c r="A18989" t="str">
        <f>"3069933"</f>
        <v>3069933</v>
      </c>
      <c r="B18989" t="s">
        <v>58086</v>
      </c>
      <c r="C18989" t="str">
        <f>"8319892"</f>
        <v>8319892</v>
      </c>
      <c r="D18989" t="s">
        <v>58087</v>
      </c>
      <c r="F18989" t="s">
        <v>58088</v>
      </c>
      <c r="I18989" t="s">
        <v>29</v>
      </c>
      <c r="J18989" t="s">
        <v>30</v>
      </c>
      <c r="K18989" t="s">
        <v>57416</v>
      </c>
      <c r="M18989" t="s">
        <v>17861</v>
      </c>
      <c r="N18989" t="str">
        <f>"3/23/2023 8:27:00 AM"</f>
        <v>3/23/2023 8:27:00 AM</v>
      </c>
      <c r="O18989" t="s">
        <v>58087</v>
      </c>
    </row>
    <row r="18990" spans="1:20" x14ac:dyDescent="0.25">
      <c r="A18990" t="str">
        <f>"3053244"</f>
        <v>3053244</v>
      </c>
      <c r="B18990" t="s">
        <v>58089</v>
      </c>
      <c r="C18990" t="str">
        <f>"8316220"</f>
        <v>8316220</v>
      </c>
      <c r="D18990" t="s">
        <v>58090</v>
      </c>
      <c r="E18990" t="s">
        <v>58091</v>
      </c>
      <c r="F18990" t="s">
        <v>58092</v>
      </c>
      <c r="I18990" t="s">
        <v>3196</v>
      </c>
      <c r="J18990" t="s">
        <v>30</v>
      </c>
      <c r="K18990" t="s">
        <v>58093</v>
      </c>
      <c r="M18990" t="s">
        <v>50621</v>
      </c>
      <c r="N18990" t="str">
        <f>"3/29/2023 1:01:00 PM"</f>
        <v>3/29/2023 1:01:00 PM</v>
      </c>
      <c r="O18990" t="s">
        <v>58090</v>
      </c>
      <c r="T18990" t="s">
        <v>58091</v>
      </c>
    </row>
    <row r="18991" spans="1:20" x14ac:dyDescent="0.25">
      <c r="A18991" t="str">
        <f>"3053245"</f>
        <v>3053245</v>
      </c>
      <c r="B18991" t="s">
        <v>58094</v>
      </c>
      <c r="C18991" t="str">
        <f>"8316220"</f>
        <v>8316220</v>
      </c>
      <c r="D18991" t="s">
        <v>58090</v>
      </c>
      <c r="E18991" t="s">
        <v>58091</v>
      </c>
      <c r="F18991" t="s">
        <v>58092</v>
      </c>
      <c r="I18991" t="s">
        <v>3196</v>
      </c>
      <c r="J18991" t="s">
        <v>30</v>
      </c>
      <c r="K18991" t="s">
        <v>58093</v>
      </c>
      <c r="M18991" t="s">
        <v>50621</v>
      </c>
      <c r="N18991" t="str">
        <f>"3/29/2023 1:01:00 PM"</f>
        <v>3/29/2023 1:01:00 PM</v>
      </c>
      <c r="O18991" t="s">
        <v>58090</v>
      </c>
      <c r="T18991" t="s">
        <v>58091</v>
      </c>
    </row>
    <row r="18992" spans="1:20" x14ac:dyDescent="0.25">
      <c r="A18992" t="str">
        <f>"3053246"</f>
        <v>3053246</v>
      </c>
      <c r="B18992" t="s">
        <v>58095</v>
      </c>
      <c r="C18992" t="str">
        <f>"8316220"</f>
        <v>8316220</v>
      </c>
      <c r="D18992" t="s">
        <v>58090</v>
      </c>
      <c r="E18992" t="s">
        <v>58091</v>
      </c>
      <c r="F18992" t="s">
        <v>58092</v>
      </c>
      <c r="I18992" t="s">
        <v>3196</v>
      </c>
      <c r="J18992" t="s">
        <v>30</v>
      </c>
      <c r="K18992" t="s">
        <v>58093</v>
      </c>
      <c r="M18992" t="s">
        <v>50621</v>
      </c>
      <c r="N18992" t="str">
        <f>"3/29/2023 1:01:00 PM"</f>
        <v>3/29/2023 1:01:00 PM</v>
      </c>
      <c r="O18992" t="s">
        <v>58090</v>
      </c>
      <c r="T18992" t="s">
        <v>58091</v>
      </c>
    </row>
    <row r="18993" spans="1:20" x14ac:dyDescent="0.25">
      <c r="A18993" t="str">
        <f>"3071112"</f>
        <v>3071112</v>
      </c>
      <c r="B18993" t="s">
        <v>58096</v>
      </c>
      <c r="C18993" t="str">
        <f>"8316220"</f>
        <v>8316220</v>
      </c>
      <c r="D18993" t="s">
        <v>58090</v>
      </c>
      <c r="E18993" t="s">
        <v>58091</v>
      </c>
      <c r="F18993" t="s">
        <v>58092</v>
      </c>
      <c r="I18993" t="s">
        <v>3196</v>
      </c>
      <c r="J18993" t="s">
        <v>30</v>
      </c>
      <c r="K18993" t="s">
        <v>58093</v>
      </c>
      <c r="M18993" t="s">
        <v>50621</v>
      </c>
      <c r="N18993" t="str">
        <f>"3/29/2023 1:01:00 PM"</f>
        <v>3/29/2023 1:01:00 PM</v>
      </c>
      <c r="O18993" t="s">
        <v>58090</v>
      </c>
      <c r="T18993" t="s">
        <v>58091</v>
      </c>
    </row>
    <row r="18994" spans="1:20" x14ac:dyDescent="0.25">
      <c r="A18994" t="str">
        <f>"3069932"</f>
        <v>3069932</v>
      </c>
      <c r="B18994" t="s">
        <v>58097</v>
      </c>
      <c r="C18994" t="str">
        <f>"8319892"</f>
        <v>8319892</v>
      </c>
      <c r="D18994" t="s">
        <v>58087</v>
      </c>
      <c r="F18994" t="s">
        <v>58088</v>
      </c>
      <c r="I18994" t="s">
        <v>29</v>
      </c>
      <c r="J18994" t="s">
        <v>30</v>
      </c>
      <c r="K18994" t="s">
        <v>57416</v>
      </c>
      <c r="M18994" t="s">
        <v>17861</v>
      </c>
      <c r="N18994" t="str">
        <f>"3/23/2023 8:27:00 AM"</f>
        <v>3/23/2023 8:27:00 AM</v>
      </c>
      <c r="O18994" t="s">
        <v>58087</v>
      </c>
    </row>
    <row r="18995" spans="1:20" x14ac:dyDescent="0.25">
      <c r="A18995" t="str">
        <f>"3054394"</f>
        <v>3054394</v>
      </c>
      <c r="B18995" t="s">
        <v>58098</v>
      </c>
      <c r="C18995" t="str">
        <f>"8319674"</f>
        <v>8319674</v>
      </c>
      <c r="D18995" t="s">
        <v>58099</v>
      </c>
      <c r="E18995" t="s">
        <v>58100</v>
      </c>
      <c r="F18995" t="s">
        <v>58101</v>
      </c>
      <c r="I18995" t="s">
        <v>9580</v>
      </c>
      <c r="J18995" t="s">
        <v>30</v>
      </c>
      <c r="K18995" t="s">
        <v>58102</v>
      </c>
      <c r="M18995" t="s">
        <v>36935</v>
      </c>
      <c r="N18995" t="str">
        <f>"3/23/2023 10:21:00 AM"</f>
        <v>3/23/2023 10:21:00 AM</v>
      </c>
      <c r="O18995" t="s">
        <v>58099</v>
      </c>
      <c r="T18995" t="s">
        <v>58100</v>
      </c>
    </row>
    <row r="18996" spans="1:20" x14ac:dyDescent="0.25">
      <c r="A18996" t="str">
        <f>"3053181"</f>
        <v>3053181</v>
      </c>
      <c r="B18996" t="s">
        <v>58103</v>
      </c>
      <c r="C18996" t="str">
        <f>"8316059"</f>
        <v>8316059</v>
      </c>
      <c r="D18996" t="s">
        <v>58104</v>
      </c>
      <c r="E18996" t="s">
        <v>41081</v>
      </c>
      <c r="F18996" t="s">
        <v>58105</v>
      </c>
      <c r="I18996" t="s">
        <v>29</v>
      </c>
      <c r="J18996" t="s">
        <v>30</v>
      </c>
      <c r="K18996" t="s">
        <v>58106</v>
      </c>
      <c r="M18996" t="s">
        <v>18479</v>
      </c>
      <c r="N18996" t="str">
        <f>"3/29/2023 3:42:00 PM"</f>
        <v>3/29/2023 3:42:00 PM</v>
      </c>
      <c r="O18996" t="s">
        <v>58104</v>
      </c>
      <c r="T18996" t="s">
        <v>41081</v>
      </c>
    </row>
    <row r="18997" spans="1:20" x14ac:dyDescent="0.25">
      <c r="A18997" t="str">
        <f>"3053023"</f>
        <v>3053023</v>
      </c>
      <c r="B18997" t="s">
        <v>58107</v>
      </c>
      <c r="C18997" t="str">
        <f>"8316059"</f>
        <v>8316059</v>
      </c>
      <c r="D18997" t="s">
        <v>58104</v>
      </c>
      <c r="E18997" t="s">
        <v>41081</v>
      </c>
      <c r="F18997" t="s">
        <v>58105</v>
      </c>
      <c r="I18997" t="s">
        <v>29</v>
      </c>
      <c r="J18997" t="s">
        <v>30</v>
      </c>
      <c r="K18997" t="s">
        <v>58106</v>
      </c>
      <c r="M18997" t="s">
        <v>18479</v>
      </c>
      <c r="N18997" t="str">
        <f>"3/29/2023 3:42:00 PM"</f>
        <v>3/29/2023 3:42:00 PM</v>
      </c>
      <c r="O18997" t="s">
        <v>58104</v>
      </c>
      <c r="T18997" t="s">
        <v>41081</v>
      </c>
    </row>
    <row r="18998" spans="1:20" x14ac:dyDescent="0.25">
      <c r="A18998" t="str">
        <f>"3053044"</f>
        <v>3053044</v>
      </c>
      <c r="B18998" t="s">
        <v>58108</v>
      </c>
      <c r="C18998" t="str">
        <f>"8316059"</f>
        <v>8316059</v>
      </c>
      <c r="D18998" t="s">
        <v>58104</v>
      </c>
      <c r="E18998" t="s">
        <v>41081</v>
      </c>
      <c r="F18998" t="s">
        <v>58105</v>
      </c>
      <c r="I18998" t="s">
        <v>29</v>
      </c>
      <c r="J18998" t="s">
        <v>30</v>
      </c>
      <c r="K18998" t="s">
        <v>58106</v>
      </c>
      <c r="M18998" t="s">
        <v>18479</v>
      </c>
      <c r="N18998" t="str">
        <f>"3/29/2023 3:42:00 PM"</f>
        <v>3/29/2023 3:42:00 PM</v>
      </c>
      <c r="O18998" t="s">
        <v>58104</v>
      </c>
      <c r="T18998" t="s">
        <v>41081</v>
      </c>
    </row>
    <row r="18999" spans="1:20" x14ac:dyDescent="0.25">
      <c r="A18999" t="str">
        <f>"3048469"</f>
        <v>3048469</v>
      </c>
      <c r="B18999" t="s">
        <v>58109</v>
      </c>
      <c r="C18999" t="str">
        <f>"38988000"</f>
        <v>38988000</v>
      </c>
      <c r="D18999" t="s">
        <v>58110</v>
      </c>
      <c r="E18999" t="s">
        <v>58111</v>
      </c>
      <c r="F18999" t="s">
        <v>13705</v>
      </c>
      <c r="I18999" t="s">
        <v>29</v>
      </c>
      <c r="J18999" t="s">
        <v>30</v>
      </c>
      <c r="K18999" t="s">
        <v>31</v>
      </c>
      <c r="M18999" t="s">
        <v>50621</v>
      </c>
      <c r="N18999" t="str">
        <f>"3/23/2023 11:58:00 AM"</f>
        <v>3/23/2023 11:58:00 AM</v>
      </c>
      <c r="O18999" t="s">
        <v>58110</v>
      </c>
      <c r="T18999" t="s">
        <v>58111</v>
      </c>
    </row>
    <row r="19000" spans="1:20" x14ac:dyDescent="0.25">
      <c r="A19000" t="str">
        <f>"3046225"</f>
        <v>3046225</v>
      </c>
      <c r="B19000" t="s">
        <v>58112</v>
      </c>
      <c r="C19000" t="str">
        <f>"2317000"</f>
        <v>2317000</v>
      </c>
      <c r="D19000" t="s">
        <v>58113</v>
      </c>
      <c r="E19000" t="s">
        <v>58114</v>
      </c>
      <c r="F19000" t="s">
        <v>58115</v>
      </c>
      <c r="I19000" t="s">
        <v>29</v>
      </c>
      <c r="J19000" t="s">
        <v>30</v>
      </c>
      <c r="K19000" t="s">
        <v>31</v>
      </c>
      <c r="M19000" t="s">
        <v>50621</v>
      </c>
      <c r="N19000" t="str">
        <f>"3/30/2023 9:39:00 AM"</f>
        <v>3/30/2023 9:39:00 AM</v>
      </c>
      <c r="O19000" t="s">
        <v>58113</v>
      </c>
      <c r="T19000" t="s">
        <v>58114</v>
      </c>
    </row>
    <row r="19001" spans="1:20" x14ac:dyDescent="0.25">
      <c r="A19001" t="str">
        <f>"3039975"</f>
        <v>3039975</v>
      </c>
      <c r="B19001" t="s">
        <v>58116</v>
      </c>
      <c r="C19001" t="str">
        <f>"8316002"</f>
        <v>8316002</v>
      </c>
      <c r="D19001" t="s">
        <v>58117</v>
      </c>
      <c r="E19001" t="s">
        <v>58118</v>
      </c>
      <c r="F19001" t="s">
        <v>58119</v>
      </c>
      <c r="I19001" t="s">
        <v>184</v>
      </c>
      <c r="J19001" t="s">
        <v>30</v>
      </c>
      <c r="K19001" t="str">
        <f>"27006"</f>
        <v>27006</v>
      </c>
      <c r="M19001" t="s">
        <v>18470</v>
      </c>
      <c r="N19001" t="str">
        <f>"3/23/2023 12:03:00 PM"</f>
        <v>3/23/2023 12:03:00 PM</v>
      </c>
      <c r="O19001" t="s">
        <v>58117</v>
      </c>
      <c r="T19001" t="s">
        <v>58118</v>
      </c>
    </row>
    <row r="19002" spans="1:20" x14ac:dyDescent="0.25">
      <c r="A19002" t="str">
        <f>"3055506"</f>
        <v>3055506</v>
      </c>
      <c r="B19002" t="s">
        <v>58120</v>
      </c>
      <c r="C19002" t="str">
        <f>"8315675"</f>
        <v>8315675</v>
      </c>
      <c r="D19002" t="s">
        <v>58121</v>
      </c>
      <c r="E19002" t="s">
        <v>58122</v>
      </c>
      <c r="F19002" t="s">
        <v>58123</v>
      </c>
      <c r="I19002" t="s">
        <v>29</v>
      </c>
      <c r="J19002" t="s">
        <v>30</v>
      </c>
      <c r="K19002" t="s">
        <v>58124</v>
      </c>
      <c r="M19002" t="s">
        <v>18470</v>
      </c>
      <c r="N19002" t="str">
        <f>"3/23/2023 3:00:00 PM"</f>
        <v>3/23/2023 3:00:00 PM</v>
      </c>
      <c r="O19002" t="s">
        <v>58121</v>
      </c>
      <c r="T19002" t="s">
        <v>58122</v>
      </c>
    </row>
    <row r="19003" spans="1:20" x14ac:dyDescent="0.25">
      <c r="A19003" t="str">
        <f>"3070788"</f>
        <v>3070788</v>
      </c>
      <c r="B19003" t="s">
        <v>58125</v>
      </c>
      <c r="C19003" t="str">
        <f>"8319934"</f>
        <v>8319934</v>
      </c>
      <c r="D19003" t="s">
        <v>58126</v>
      </c>
      <c r="F19003" t="s">
        <v>58127</v>
      </c>
      <c r="I19003" t="s">
        <v>2071</v>
      </c>
      <c r="J19003" t="s">
        <v>30</v>
      </c>
      <c r="K19003" t="s">
        <v>38066</v>
      </c>
      <c r="M19003" t="s">
        <v>17861</v>
      </c>
      <c r="N19003" t="str">
        <f>"3/30/2023 11:03:00 AM"</f>
        <v>3/30/2023 11:03:00 AM</v>
      </c>
      <c r="O19003" t="s">
        <v>58126</v>
      </c>
    </row>
    <row r="19004" spans="1:20" x14ac:dyDescent="0.25">
      <c r="A19004" t="str">
        <f>"3046572"</f>
        <v>3046572</v>
      </c>
      <c r="B19004" t="s">
        <v>58128</v>
      </c>
      <c r="C19004" t="str">
        <f>"8319935"</f>
        <v>8319935</v>
      </c>
      <c r="D19004" t="s">
        <v>58129</v>
      </c>
      <c r="F19004" t="s">
        <v>58130</v>
      </c>
      <c r="I19004" t="s">
        <v>471</v>
      </c>
      <c r="J19004" t="s">
        <v>30</v>
      </c>
      <c r="K19004" t="s">
        <v>58131</v>
      </c>
      <c r="M19004" t="s">
        <v>17861</v>
      </c>
      <c r="N19004" t="str">
        <f>"3/30/2023 11:06:00 AM"</f>
        <v>3/30/2023 11:06:00 AM</v>
      </c>
      <c r="O19004" t="s">
        <v>58129</v>
      </c>
    </row>
    <row r="19005" spans="1:20" x14ac:dyDescent="0.25">
      <c r="A19005" t="str">
        <f>"3077079"</f>
        <v>3077079</v>
      </c>
      <c r="B19005" t="s">
        <v>58132</v>
      </c>
      <c r="C19005" t="str">
        <f>"8319936"</f>
        <v>8319936</v>
      </c>
      <c r="D19005" t="s">
        <v>18717</v>
      </c>
      <c r="E19005" t="s">
        <v>58133</v>
      </c>
      <c r="F19005" t="s">
        <v>40624</v>
      </c>
      <c r="I19005" t="s">
        <v>29</v>
      </c>
      <c r="J19005" t="s">
        <v>30</v>
      </c>
      <c r="K19005" t="s">
        <v>13295</v>
      </c>
      <c r="M19005" t="s">
        <v>17861</v>
      </c>
      <c r="N19005" t="str">
        <f>"3/30/2023 11:10:00 AM"</f>
        <v>3/30/2023 11:10:00 AM</v>
      </c>
      <c r="O19005" t="s">
        <v>18717</v>
      </c>
      <c r="T19005" t="s">
        <v>58133</v>
      </c>
    </row>
    <row r="19006" spans="1:20" x14ac:dyDescent="0.25">
      <c r="A19006" t="str">
        <f>"3052674"</f>
        <v>3052674</v>
      </c>
      <c r="B19006" t="s">
        <v>58134</v>
      </c>
      <c r="C19006" t="str">
        <f>"11397000"</f>
        <v>11397000</v>
      </c>
      <c r="D19006" t="s">
        <v>33821</v>
      </c>
      <c r="F19006" t="s">
        <v>33822</v>
      </c>
      <c r="I19006" t="s">
        <v>33823</v>
      </c>
      <c r="J19006" t="s">
        <v>2109</v>
      </c>
      <c r="K19006" t="str">
        <f>"22906"</f>
        <v>22906</v>
      </c>
      <c r="M19006" t="s">
        <v>50621</v>
      </c>
      <c r="N19006" t="str">
        <f>"3/23/2023 3:25:00 PM"</f>
        <v>3/23/2023 3:25:00 PM</v>
      </c>
      <c r="O19006" t="s">
        <v>33821</v>
      </c>
    </row>
    <row r="19007" spans="1:20" x14ac:dyDescent="0.25">
      <c r="A19007" t="str">
        <f>"3057809"</f>
        <v>3057809</v>
      </c>
      <c r="B19007" t="s">
        <v>58135</v>
      </c>
      <c r="C19007" t="str">
        <f>"82515626"</f>
        <v>82515626</v>
      </c>
      <c r="D19007" t="s">
        <v>58136</v>
      </c>
      <c r="E19007" t="s">
        <v>58137</v>
      </c>
      <c r="F19007" t="s">
        <v>58138</v>
      </c>
      <c r="I19007" t="s">
        <v>184</v>
      </c>
      <c r="J19007" t="s">
        <v>30</v>
      </c>
      <c r="K19007" t="s">
        <v>185</v>
      </c>
      <c r="M19007" t="s">
        <v>50621</v>
      </c>
      <c r="N19007" t="str">
        <f>"3/30/2023 11:22:00 AM"</f>
        <v>3/30/2023 11:22:00 AM</v>
      </c>
      <c r="O19007" t="s">
        <v>58136</v>
      </c>
      <c r="T19007" t="s">
        <v>58137</v>
      </c>
    </row>
    <row r="19008" spans="1:20" x14ac:dyDescent="0.25">
      <c r="A19008" t="str">
        <f>"3037820"</f>
        <v>3037820</v>
      </c>
      <c r="B19008" t="s">
        <v>58139</v>
      </c>
      <c r="C19008" t="str">
        <f>"8319938"</f>
        <v>8319938</v>
      </c>
      <c r="D19008" t="s">
        <v>58140</v>
      </c>
      <c r="F19008" t="s">
        <v>58141</v>
      </c>
      <c r="I19008" t="s">
        <v>49</v>
      </c>
      <c r="J19008" t="s">
        <v>30</v>
      </c>
      <c r="K19008" t="s">
        <v>53471</v>
      </c>
      <c r="M19008" t="s">
        <v>17861</v>
      </c>
      <c r="N19008" t="str">
        <f>"3/30/2023 11:25:00 AM"</f>
        <v>3/30/2023 11:25:00 AM</v>
      </c>
      <c r="O19008" t="s">
        <v>58140</v>
      </c>
    </row>
    <row r="19009" spans="1:20" x14ac:dyDescent="0.25">
      <c r="A19009" t="str">
        <f>"3054808"</f>
        <v>3054808</v>
      </c>
      <c r="B19009" t="s">
        <v>58142</v>
      </c>
      <c r="C19009" t="str">
        <f>"8309904"</f>
        <v>8309904</v>
      </c>
      <c r="D19009" t="s">
        <v>58143</v>
      </c>
      <c r="E19009" t="str">
        <f>"C/O CHRISTOPHER BARNHARDT"</f>
        <v>C/O CHRISTOPHER BARNHARDT</v>
      </c>
      <c r="F19009" t="s">
        <v>58144</v>
      </c>
      <c r="I19009" t="s">
        <v>5235</v>
      </c>
      <c r="J19009" t="s">
        <v>30</v>
      </c>
      <c r="K19009" t="s">
        <v>58145</v>
      </c>
      <c r="M19009" t="s">
        <v>50793</v>
      </c>
      <c r="N19009" t="str">
        <f>"3/24/2023 8:52:00 AM"</f>
        <v>3/24/2023 8:52:00 AM</v>
      </c>
      <c r="O19009" t="s">
        <v>58143</v>
      </c>
      <c r="T19009" t="str">
        <f>"C/O  CHRISTOPHER BARNHARDT"</f>
        <v>C/O  CHRISTOPHER BARNHARDT</v>
      </c>
    </row>
    <row r="19010" spans="1:20" x14ac:dyDescent="0.25">
      <c r="A19010" t="str">
        <f>"3048402"</f>
        <v>3048402</v>
      </c>
      <c r="B19010" t="s">
        <v>58146</v>
      </c>
      <c r="C19010" t="str">
        <f>"82519455"</f>
        <v>82519455</v>
      </c>
      <c r="D19010" t="s">
        <v>57979</v>
      </c>
      <c r="E19010" t="s">
        <v>57980</v>
      </c>
      <c r="F19010" t="s">
        <v>57981</v>
      </c>
      <c r="G19010" t="s">
        <v>57982</v>
      </c>
      <c r="I19010" t="s">
        <v>184</v>
      </c>
      <c r="J19010" t="s">
        <v>30</v>
      </c>
      <c r="K19010" t="s">
        <v>185</v>
      </c>
      <c r="M19010" t="s">
        <v>50793</v>
      </c>
      <c r="N19010" t="str">
        <f>"3/24/2023 9:49:00 AM"</f>
        <v>3/24/2023 9:49:00 AM</v>
      </c>
      <c r="O19010" t="s">
        <v>57979</v>
      </c>
      <c r="T19010" t="s">
        <v>57980</v>
      </c>
    </row>
    <row r="19011" spans="1:20" x14ac:dyDescent="0.25">
      <c r="A19011" t="str">
        <f>"3048374"</f>
        <v>3048374</v>
      </c>
      <c r="B19011" t="s">
        <v>58147</v>
      </c>
      <c r="C19011" t="str">
        <f>"82519455"</f>
        <v>82519455</v>
      </c>
      <c r="D19011" t="s">
        <v>57979</v>
      </c>
      <c r="E19011" t="s">
        <v>57980</v>
      </c>
      <c r="F19011" t="s">
        <v>57981</v>
      </c>
      <c r="G19011" t="s">
        <v>57982</v>
      </c>
      <c r="I19011" t="s">
        <v>184</v>
      </c>
      <c r="J19011" t="s">
        <v>30</v>
      </c>
      <c r="K19011" t="s">
        <v>185</v>
      </c>
      <c r="M19011" t="s">
        <v>50793</v>
      </c>
      <c r="N19011" t="str">
        <f>"3/24/2023 9:49:00 AM"</f>
        <v>3/24/2023 9:49:00 AM</v>
      </c>
      <c r="O19011" t="s">
        <v>57979</v>
      </c>
      <c r="T19011" t="s">
        <v>57980</v>
      </c>
    </row>
    <row r="19012" spans="1:20" x14ac:dyDescent="0.25">
      <c r="A19012" t="str">
        <f>"3045881"</f>
        <v>3045881</v>
      </c>
      <c r="B19012" t="s">
        <v>58148</v>
      </c>
      <c r="C19012" t="str">
        <f>"8313913"</f>
        <v>8313913</v>
      </c>
      <c r="D19012" t="s">
        <v>58149</v>
      </c>
      <c r="E19012" t="s">
        <v>58150</v>
      </c>
      <c r="F19012" t="s">
        <v>58151</v>
      </c>
      <c r="I19012" t="s">
        <v>471</v>
      </c>
      <c r="J19012" t="s">
        <v>30</v>
      </c>
      <c r="K19012" t="s">
        <v>58152</v>
      </c>
      <c r="M19012" t="s">
        <v>50793</v>
      </c>
      <c r="N19012" t="str">
        <f>"3/24/2023 11:52:00 AM"</f>
        <v>3/24/2023 11:52:00 AM</v>
      </c>
      <c r="O19012" t="s">
        <v>58149</v>
      </c>
      <c r="T19012" t="s">
        <v>58150</v>
      </c>
    </row>
    <row r="19013" spans="1:20" x14ac:dyDescent="0.25">
      <c r="A19013" t="str">
        <f>"3046460"</f>
        <v>3046460</v>
      </c>
      <c r="B19013" t="s">
        <v>58153</v>
      </c>
      <c r="C19013" t="str">
        <f>"8313913"</f>
        <v>8313913</v>
      </c>
      <c r="D19013" t="s">
        <v>58149</v>
      </c>
      <c r="E19013" t="s">
        <v>58150</v>
      </c>
      <c r="F19013" t="s">
        <v>58151</v>
      </c>
      <c r="I19013" t="s">
        <v>471</v>
      </c>
      <c r="J19013" t="s">
        <v>30</v>
      </c>
      <c r="K19013" t="s">
        <v>58152</v>
      </c>
      <c r="M19013" t="s">
        <v>50793</v>
      </c>
      <c r="N19013" t="str">
        <f>"3/24/2023 11:52:00 AM"</f>
        <v>3/24/2023 11:52:00 AM</v>
      </c>
      <c r="O19013" t="s">
        <v>58149</v>
      </c>
      <c r="T19013" t="s">
        <v>58150</v>
      </c>
    </row>
    <row r="19014" spans="1:20" x14ac:dyDescent="0.25">
      <c r="A19014" t="str">
        <f>"3076840"</f>
        <v>3076840</v>
      </c>
      <c r="B19014" t="s">
        <v>58154</v>
      </c>
      <c r="C19014" t="str">
        <f>"33251000"</f>
        <v>33251000</v>
      </c>
      <c r="D19014" t="s">
        <v>58155</v>
      </c>
      <c r="E19014" t="s">
        <v>26520</v>
      </c>
      <c r="F19014" t="s">
        <v>2536</v>
      </c>
      <c r="I19014" t="s">
        <v>29</v>
      </c>
      <c r="J19014" t="s">
        <v>30</v>
      </c>
      <c r="K19014" t="s">
        <v>46712</v>
      </c>
      <c r="M19014" t="s">
        <v>17861</v>
      </c>
      <c r="N19014" t="str">
        <f>"3/24/2023 1:10:00 PM"</f>
        <v>3/24/2023 1:10:00 PM</v>
      </c>
      <c r="O19014" t="s">
        <v>58155</v>
      </c>
      <c r="T19014" t="s">
        <v>26520</v>
      </c>
    </row>
    <row r="19015" spans="1:20" x14ac:dyDescent="0.25">
      <c r="A19015" t="str">
        <f>"3045701"</f>
        <v>3045701</v>
      </c>
      <c r="B19015" t="s">
        <v>58156</v>
      </c>
      <c r="C19015" t="str">
        <f>"8316847"</f>
        <v>8316847</v>
      </c>
      <c r="D19015" t="s">
        <v>58157</v>
      </c>
      <c r="E19015" t="s">
        <v>58158</v>
      </c>
      <c r="F19015" t="s">
        <v>58159</v>
      </c>
      <c r="I19015" t="s">
        <v>29</v>
      </c>
      <c r="J19015" t="s">
        <v>30</v>
      </c>
      <c r="K19015" t="s">
        <v>7800</v>
      </c>
      <c r="M19015" t="s">
        <v>51351</v>
      </c>
      <c r="N19015" t="str">
        <f>"3/30/2023 4:52:00 PM"</f>
        <v>3/30/2023 4:52:00 PM</v>
      </c>
      <c r="O19015" t="s">
        <v>58157</v>
      </c>
      <c r="T19015" t="s">
        <v>58158</v>
      </c>
    </row>
    <row r="19016" spans="1:20" x14ac:dyDescent="0.25">
      <c r="A19016" t="str">
        <f>"3045076"</f>
        <v>3045076</v>
      </c>
      <c r="B19016" t="s">
        <v>58160</v>
      </c>
      <c r="C19016" t="str">
        <f>"8316847"</f>
        <v>8316847</v>
      </c>
      <c r="D19016" t="s">
        <v>58157</v>
      </c>
      <c r="E19016" t="s">
        <v>58158</v>
      </c>
      <c r="F19016" t="s">
        <v>58159</v>
      </c>
      <c r="I19016" t="s">
        <v>29</v>
      </c>
      <c r="J19016" t="s">
        <v>30</v>
      </c>
      <c r="K19016" t="s">
        <v>7800</v>
      </c>
      <c r="M19016" t="s">
        <v>51351</v>
      </c>
      <c r="N19016" t="str">
        <f>"3/30/2023 4:52:00 PM"</f>
        <v>3/30/2023 4:52:00 PM</v>
      </c>
      <c r="O19016" t="s">
        <v>58157</v>
      </c>
      <c r="T19016" t="s">
        <v>58158</v>
      </c>
    </row>
    <row r="19017" spans="1:20" x14ac:dyDescent="0.25">
      <c r="A19017" t="str">
        <f>"3045147"</f>
        <v>3045147</v>
      </c>
      <c r="B19017" t="s">
        <v>58161</v>
      </c>
      <c r="C19017" t="str">
        <f>"8316847"</f>
        <v>8316847</v>
      </c>
      <c r="D19017" t="s">
        <v>58157</v>
      </c>
      <c r="E19017" t="s">
        <v>58158</v>
      </c>
      <c r="F19017" t="s">
        <v>58159</v>
      </c>
      <c r="I19017" t="s">
        <v>29</v>
      </c>
      <c r="J19017" t="s">
        <v>30</v>
      </c>
      <c r="K19017" t="s">
        <v>7800</v>
      </c>
      <c r="M19017" t="s">
        <v>51351</v>
      </c>
      <c r="N19017" t="str">
        <f>"3/30/2023 4:52:00 PM"</f>
        <v>3/30/2023 4:52:00 PM</v>
      </c>
      <c r="O19017" t="s">
        <v>58157</v>
      </c>
      <c r="T19017" t="s">
        <v>58158</v>
      </c>
    </row>
    <row r="19018" spans="1:20" x14ac:dyDescent="0.25">
      <c r="A19018" t="str">
        <f>"3077880"</f>
        <v>3077880</v>
      </c>
      <c r="B19018" t="s">
        <v>58162</v>
      </c>
      <c r="C19018" t="str">
        <f>"8316847"</f>
        <v>8316847</v>
      </c>
      <c r="D19018" t="s">
        <v>58157</v>
      </c>
      <c r="E19018" t="s">
        <v>58158</v>
      </c>
      <c r="F19018" t="s">
        <v>58159</v>
      </c>
      <c r="I19018" t="s">
        <v>29</v>
      </c>
      <c r="J19018" t="s">
        <v>30</v>
      </c>
      <c r="K19018" t="s">
        <v>7800</v>
      </c>
      <c r="M19018" t="s">
        <v>51351</v>
      </c>
      <c r="N19018" t="str">
        <f>"3/30/2023 4:52:00 PM"</f>
        <v>3/30/2023 4:52:00 PM</v>
      </c>
      <c r="O19018" t="s">
        <v>58157</v>
      </c>
      <c r="T19018" t="s">
        <v>58158</v>
      </c>
    </row>
    <row r="19019" spans="1:20" x14ac:dyDescent="0.25">
      <c r="A19019" t="str">
        <f>"3051270"</f>
        <v>3051270</v>
      </c>
      <c r="B19019" t="s">
        <v>58163</v>
      </c>
      <c r="C19019" t="str">
        <f>"8319945"</f>
        <v>8319945</v>
      </c>
      <c r="D19019" t="s">
        <v>28331</v>
      </c>
      <c r="E19019" t="s">
        <v>58164</v>
      </c>
      <c r="F19019" t="s">
        <v>58165</v>
      </c>
      <c r="I19019" t="s">
        <v>29</v>
      </c>
      <c r="J19019" t="s">
        <v>30</v>
      </c>
      <c r="K19019" t="s">
        <v>14361</v>
      </c>
      <c r="M19019" t="s">
        <v>17861</v>
      </c>
      <c r="N19019" t="str">
        <f>"3/31/2023 9:10:00 AM"</f>
        <v>3/31/2023 9:10:00 AM</v>
      </c>
      <c r="O19019" t="s">
        <v>28331</v>
      </c>
      <c r="T19019" t="s">
        <v>58164</v>
      </c>
    </row>
    <row r="19020" spans="1:20" x14ac:dyDescent="0.25">
      <c r="A19020" t="str">
        <f>"3054789"</f>
        <v>3054789</v>
      </c>
      <c r="B19020" t="s">
        <v>58166</v>
      </c>
      <c r="C19020" t="str">
        <f>"82516933"</f>
        <v>82516933</v>
      </c>
      <c r="D19020" t="s">
        <v>8979</v>
      </c>
      <c r="E19020" t="s">
        <v>58167</v>
      </c>
      <c r="F19020" t="s">
        <v>58168</v>
      </c>
      <c r="I19020" t="s">
        <v>29</v>
      </c>
      <c r="J19020" t="s">
        <v>30</v>
      </c>
      <c r="K19020" t="s">
        <v>20316</v>
      </c>
      <c r="M19020" t="s">
        <v>50793</v>
      </c>
      <c r="N19020" t="str">
        <f>"3/31/2023 9:19:00 AM"</f>
        <v>3/31/2023 9:19:00 AM</v>
      </c>
      <c r="O19020" t="s">
        <v>8979</v>
      </c>
      <c r="T19020" t="s">
        <v>58167</v>
      </c>
    </row>
    <row r="19021" spans="1:20" x14ac:dyDescent="0.25">
      <c r="A19021" t="str">
        <f>"3055110"</f>
        <v>3055110</v>
      </c>
      <c r="B19021" t="s">
        <v>58169</v>
      </c>
      <c r="C19021" t="str">
        <f>"82516933"</f>
        <v>82516933</v>
      </c>
      <c r="D19021" t="s">
        <v>8979</v>
      </c>
      <c r="E19021" t="s">
        <v>58167</v>
      </c>
      <c r="F19021" t="s">
        <v>58168</v>
      </c>
      <c r="I19021" t="s">
        <v>29</v>
      </c>
      <c r="J19021" t="s">
        <v>30</v>
      </c>
      <c r="K19021" t="s">
        <v>20316</v>
      </c>
      <c r="M19021" t="s">
        <v>50793</v>
      </c>
      <c r="N19021" t="str">
        <f>"3/31/2023 9:19:00 AM"</f>
        <v>3/31/2023 9:19:00 AM</v>
      </c>
      <c r="O19021" t="s">
        <v>8979</v>
      </c>
      <c r="T19021" t="s">
        <v>58167</v>
      </c>
    </row>
    <row r="19022" spans="1:20" x14ac:dyDescent="0.25">
      <c r="A19022" t="str">
        <f>"3057367"</f>
        <v>3057367</v>
      </c>
      <c r="B19022" t="s">
        <v>58170</v>
      </c>
      <c r="C19022" t="str">
        <f>"8319913"</f>
        <v>8319913</v>
      </c>
      <c r="D19022" t="s">
        <v>58171</v>
      </c>
      <c r="E19022" t="s">
        <v>58172</v>
      </c>
      <c r="F19022" t="s">
        <v>58173</v>
      </c>
      <c r="I19022" t="s">
        <v>184</v>
      </c>
      <c r="J19022" t="s">
        <v>30</v>
      </c>
      <c r="K19022" t="s">
        <v>52675</v>
      </c>
      <c r="M19022" t="s">
        <v>17861</v>
      </c>
      <c r="N19022" t="str">
        <f>"3/24/2023 3:20:00 PM"</f>
        <v>3/24/2023 3:20:00 PM</v>
      </c>
      <c r="O19022" t="s">
        <v>58171</v>
      </c>
      <c r="T19022" t="s">
        <v>58172</v>
      </c>
    </row>
    <row r="19023" spans="1:20" x14ac:dyDescent="0.25">
      <c r="A19023" t="str">
        <f>"3051319"</f>
        <v>3051319</v>
      </c>
      <c r="B19023" t="s">
        <v>58174</v>
      </c>
      <c r="C19023" t="str">
        <f>"8313704"</f>
        <v>8313704</v>
      </c>
      <c r="D19023" t="s">
        <v>58175</v>
      </c>
      <c r="F19023" t="s">
        <v>58176</v>
      </c>
      <c r="I19023" t="s">
        <v>29</v>
      </c>
      <c r="J19023" t="s">
        <v>30</v>
      </c>
      <c r="K19023" t="s">
        <v>20039</v>
      </c>
      <c r="M19023" t="s">
        <v>51351</v>
      </c>
      <c r="N19023" t="str">
        <f>"3/27/2023 11:11:00 AM"</f>
        <v>3/27/2023 11:11:00 AM</v>
      </c>
      <c r="O19023" t="s">
        <v>58175</v>
      </c>
    </row>
    <row r="19024" spans="1:20" x14ac:dyDescent="0.25">
      <c r="A19024" t="str">
        <f>"3054902"</f>
        <v>3054902</v>
      </c>
      <c r="B19024" t="s">
        <v>58177</v>
      </c>
      <c r="C19024" t="str">
        <f>"11210500"</f>
        <v>11210500</v>
      </c>
      <c r="D19024" t="s">
        <v>58178</v>
      </c>
      <c r="E19024" t="str">
        <f>"C/O DANIEL BROWN"</f>
        <v>C/O DANIEL BROWN</v>
      </c>
      <c r="F19024" t="s">
        <v>12062</v>
      </c>
      <c r="I19024" t="s">
        <v>29</v>
      </c>
      <c r="J19024" t="s">
        <v>30</v>
      </c>
      <c r="K19024" t="s">
        <v>31</v>
      </c>
      <c r="M19024" t="s">
        <v>50793</v>
      </c>
      <c r="N19024" t="str">
        <f>"3/28/2023 9:47:00 AM"</f>
        <v>3/28/2023 9:47:00 AM</v>
      </c>
      <c r="O19024" t="s">
        <v>58178</v>
      </c>
      <c r="T19024" t="str">
        <f>"C/O DANIEL BROWN"</f>
        <v>C/O DANIEL BROWN</v>
      </c>
    </row>
    <row r="19025" spans="1:20" x14ac:dyDescent="0.25">
      <c r="A19025" t="str">
        <f>"3062458"</f>
        <v>3062458</v>
      </c>
      <c r="B19025" t="s">
        <v>58179</v>
      </c>
      <c r="C19025" t="str">
        <f>"8319946"</f>
        <v>8319946</v>
      </c>
      <c r="D19025" t="s">
        <v>58180</v>
      </c>
      <c r="F19025" t="s">
        <v>58181</v>
      </c>
      <c r="I19025" t="s">
        <v>2071</v>
      </c>
      <c r="J19025" t="s">
        <v>30</v>
      </c>
      <c r="K19025" t="s">
        <v>35875</v>
      </c>
      <c r="M19025" t="s">
        <v>17861</v>
      </c>
      <c r="N19025" t="str">
        <f>"3/31/2023 1:15:00 PM"</f>
        <v>3/31/2023 1:15:00 PM</v>
      </c>
      <c r="O19025" t="s">
        <v>58180</v>
      </c>
    </row>
    <row r="19026" spans="1:20" x14ac:dyDescent="0.25">
      <c r="A19026" t="str">
        <f>"3051793"</f>
        <v>3051793</v>
      </c>
      <c r="B19026" t="s">
        <v>58182</v>
      </c>
      <c r="C19026" t="str">
        <f>"8319948"</f>
        <v>8319948</v>
      </c>
      <c r="D19026" t="s">
        <v>58183</v>
      </c>
      <c r="E19026" t="s">
        <v>58184</v>
      </c>
      <c r="F19026" t="s">
        <v>58185</v>
      </c>
      <c r="I19026" t="s">
        <v>29</v>
      </c>
      <c r="J19026" t="s">
        <v>30</v>
      </c>
      <c r="K19026" t="s">
        <v>58186</v>
      </c>
      <c r="M19026" t="s">
        <v>17861</v>
      </c>
      <c r="N19026" t="str">
        <f>"3/31/2023 2:30:00 PM"</f>
        <v>3/31/2023 2:30:00 PM</v>
      </c>
      <c r="O19026" t="s">
        <v>58183</v>
      </c>
      <c r="T19026" t="s">
        <v>58184</v>
      </c>
    </row>
    <row r="19027" spans="1:20" x14ac:dyDescent="0.25">
      <c r="A19027" t="str">
        <f>"3044403"</f>
        <v>3044403</v>
      </c>
      <c r="B19027" t="s">
        <v>58187</v>
      </c>
      <c r="C19027" t="str">
        <f>"8305357"</f>
        <v>8305357</v>
      </c>
      <c r="D19027" t="s">
        <v>58188</v>
      </c>
      <c r="F19027" t="s">
        <v>58189</v>
      </c>
      <c r="I19027" t="s">
        <v>184</v>
      </c>
      <c r="J19027" t="s">
        <v>30</v>
      </c>
      <c r="K19027" t="str">
        <f>"27006"</f>
        <v>27006</v>
      </c>
      <c r="M19027" t="s">
        <v>25733</v>
      </c>
      <c r="N19027" t="str">
        <f>"3/28/2023 12:23:00 PM"</f>
        <v>3/28/2023 12:23:00 PM</v>
      </c>
      <c r="O19027" t="s">
        <v>58188</v>
      </c>
    </row>
    <row r="19028" spans="1:20" x14ac:dyDescent="0.25">
      <c r="A19028" t="str">
        <f>"3063927"</f>
        <v>3063927</v>
      </c>
      <c r="B19028" t="s">
        <v>58190</v>
      </c>
      <c r="C19028" t="str">
        <f>"82530762"</f>
        <v>82530762</v>
      </c>
      <c r="D19028" t="s">
        <v>58191</v>
      </c>
      <c r="E19028" t="s">
        <v>58192</v>
      </c>
      <c r="F19028" t="s">
        <v>32364</v>
      </c>
      <c r="I19028" t="s">
        <v>184</v>
      </c>
      <c r="J19028" t="s">
        <v>30</v>
      </c>
      <c r="K19028" t="s">
        <v>185</v>
      </c>
      <c r="M19028" t="s">
        <v>52111</v>
      </c>
      <c r="N19028" t="str">
        <f>"3/31/2023 2:35:00 PM"</f>
        <v>3/31/2023 2:35:00 PM</v>
      </c>
      <c r="O19028" t="s">
        <v>58191</v>
      </c>
      <c r="T19028" t="s">
        <v>58192</v>
      </c>
    </row>
    <row r="19029" spans="1:20" x14ac:dyDescent="0.25">
      <c r="A19029" t="str">
        <f>"3049591"</f>
        <v>3049591</v>
      </c>
      <c r="B19029" t="s">
        <v>58193</v>
      </c>
      <c r="C19029" t="str">
        <f>"8319951"</f>
        <v>8319951</v>
      </c>
      <c r="D19029" t="s">
        <v>58194</v>
      </c>
      <c r="F19029" t="s">
        <v>58195</v>
      </c>
      <c r="I19029" t="s">
        <v>29</v>
      </c>
      <c r="J19029" t="s">
        <v>30</v>
      </c>
      <c r="K19029" t="s">
        <v>9706</v>
      </c>
      <c r="M19029" t="s">
        <v>17861</v>
      </c>
      <c r="N19029" t="str">
        <f>"3/31/2023 2:47:00 PM"</f>
        <v>3/31/2023 2:47:00 PM</v>
      </c>
      <c r="O19029" t="s">
        <v>58194</v>
      </c>
    </row>
    <row r="19030" spans="1:20" x14ac:dyDescent="0.25">
      <c r="A19030" t="str">
        <f>"3042722"</f>
        <v>3042722</v>
      </c>
      <c r="B19030" t="s">
        <v>58196</v>
      </c>
      <c r="C19030" t="str">
        <f>"82531607"</f>
        <v>82531607</v>
      </c>
      <c r="D19030" t="s">
        <v>58197</v>
      </c>
      <c r="F19030" t="s">
        <v>58198</v>
      </c>
      <c r="I19030" t="s">
        <v>29</v>
      </c>
      <c r="J19030" t="s">
        <v>30</v>
      </c>
      <c r="K19030" t="s">
        <v>31</v>
      </c>
      <c r="M19030" t="s">
        <v>50621</v>
      </c>
      <c r="N19030" t="str">
        <f>"3/28/2023 1:07:00 PM"</f>
        <v>3/28/2023 1:07:00 PM</v>
      </c>
      <c r="O19030" t="s">
        <v>58197</v>
      </c>
    </row>
    <row r="19031" spans="1:20" x14ac:dyDescent="0.25">
      <c r="A19031" t="str">
        <f>"3056148"</f>
        <v>3056148</v>
      </c>
      <c r="B19031" t="s">
        <v>58199</v>
      </c>
      <c r="C19031" t="str">
        <f>"38028000"</f>
        <v>38028000</v>
      </c>
      <c r="D19031" t="s">
        <v>58200</v>
      </c>
      <c r="E19031" t="s">
        <v>58201</v>
      </c>
      <c r="F19031" t="s">
        <v>58202</v>
      </c>
      <c r="I19031" t="s">
        <v>40897</v>
      </c>
      <c r="J19031" t="s">
        <v>30</v>
      </c>
      <c r="K19031" t="str">
        <f>"28083"</f>
        <v>28083</v>
      </c>
      <c r="M19031" t="s">
        <v>50621</v>
      </c>
      <c r="N19031" t="str">
        <f>"3/23/2023 10:32:00 AM"</f>
        <v>3/23/2023 10:32:00 AM</v>
      </c>
      <c r="O19031" t="s">
        <v>58200</v>
      </c>
      <c r="T19031" t="s">
        <v>58201</v>
      </c>
    </row>
    <row r="19032" spans="1:20" x14ac:dyDescent="0.25">
      <c r="A19032" t="str">
        <f>"3078745"</f>
        <v>3078745</v>
      </c>
      <c r="B19032" t="s">
        <v>58203</v>
      </c>
      <c r="C19032" t="str">
        <f>"8319952"</f>
        <v>8319952</v>
      </c>
      <c r="D19032" t="s">
        <v>58204</v>
      </c>
      <c r="E19032" t="s">
        <v>58205</v>
      </c>
      <c r="F19032" t="s">
        <v>11872</v>
      </c>
      <c r="I19032" t="s">
        <v>29</v>
      </c>
      <c r="J19032" t="s">
        <v>30</v>
      </c>
      <c r="K19032" t="s">
        <v>11873</v>
      </c>
      <c r="M19032" t="s">
        <v>17861</v>
      </c>
      <c r="N19032" t="str">
        <f>"3/31/2023 3:47:00 PM"</f>
        <v>3/31/2023 3:47:00 PM</v>
      </c>
      <c r="O19032" t="s">
        <v>58204</v>
      </c>
      <c r="T19032" t="s">
        <v>58205</v>
      </c>
    </row>
    <row r="19033" spans="1:20" x14ac:dyDescent="0.25">
      <c r="A19033" t="str">
        <f>"3061454"</f>
        <v>3061454</v>
      </c>
      <c r="B19033" t="s">
        <v>58206</v>
      </c>
      <c r="C19033" t="str">
        <f>"51855450"</f>
        <v>51855450</v>
      </c>
      <c r="D19033" t="s">
        <v>58207</v>
      </c>
      <c r="E19033" t="s">
        <v>58208</v>
      </c>
      <c r="F19033" t="s">
        <v>58209</v>
      </c>
      <c r="I19033" t="s">
        <v>184</v>
      </c>
      <c r="J19033" t="s">
        <v>30</v>
      </c>
      <c r="K19033" t="s">
        <v>3751</v>
      </c>
      <c r="M19033" t="s">
        <v>50621</v>
      </c>
      <c r="N19033" t="str">
        <f>"3/31/2023 4:00:00 PM"</f>
        <v>3/31/2023 4:00:00 PM</v>
      </c>
      <c r="O19033" t="s">
        <v>58207</v>
      </c>
      <c r="T19033" t="s">
        <v>58208</v>
      </c>
    </row>
    <row r="19034" spans="1:20" x14ac:dyDescent="0.25">
      <c r="A19034" t="str">
        <f>"3058411"</f>
        <v>3058411</v>
      </c>
      <c r="B19034" t="s">
        <v>58210</v>
      </c>
      <c r="C19034" t="str">
        <f>"8319929"</f>
        <v>8319929</v>
      </c>
      <c r="D19034" t="s">
        <v>58211</v>
      </c>
      <c r="E19034" t="s">
        <v>58212</v>
      </c>
      <c r="F19034" t="s">
        <v>58213</v>
      </c>
      <c r="I19034" t="s">
        <v>29</v>
      </c>
      <c r="J19034" t="s">
        <v>30</v>
      </c>
      <c r="K19034" t="s">
        <v>57737</v>
      </c>
      <c r="M19034" t="s">
        <v>17861</v>
      </c>
      <c r="N19034" t="str">
        <f>"3/29/2023 9:19:00 AM"</f>
        <v>3/29/2023 9:19:00 AM</v>
      </c>
      <c r="O19034" t="s">
        <v>58211</v>
      </c>
      <c r="T19034" t="s">
        <v>58212</v>
      </c>
    </row>
    <row r="19035" spans="1:20" x14ac:dyDescent="0.25">
      <c r="A19035" t="str">
        <f>"3056590"</f>
        <v>3056590</v>
      </c>
      <c r="B19035" t="s">
        <v>58214</v>
      </c>
      <c r="C19035" t="str">
        <f>"82526628"</f>
        <v>82526628</v>
      </c>
      <c r="D19035" t="s">
        <v>58215</v>
      </c>
      <c r="E19035" t="str">
        <f>"C/O CALVIN HOSCH"</f>
        <v>C/O CALVIN HOSCH</v>
      </c>
      <c r="F19035" t="s">
        <v>58216</v>
      </c>
      <c r="I19035" t="s">
        <v>964</v>
      </c>
      <c r="J19035" t="s">
        <v>30</v>
      </c>
      <c r="K19035" t="s">
        <v>58217</v>
      </c>
      <c r="M19035" t="s">
        <v>50793</v>
      </c>
      <c r="N19035" t="str">
        <f>"4/3/2023 11:16:00 AM"</f>
        <v>4/3/2023 11:16:00 AM</v>
      </c>
      <c r="O19035" t="s">
        <v>58215</v>
      </c>
      <c r="T19035" t="str">
        <f>"C/O CALVIN HOSCH"</f>
        <v>C/O CALVIN HOSCH</v>
      </c>
    </row>
    <row r="19036" spans="1:20" x14ac:dyDescent="0.25">
      <c r="A19036" t="str">
        <f>"3056580"</f>
        <v>3056580</v>
      </c>
      <c r="B19036" t="s">
        <v>58218</v>
      </c>
      <c r="C19036" t="str">
        <f>"82526628"</f>
        <v>82526628</v>
      </c>
      <c r="D19036" t="s">
        <v>58215</v>
      </c>
      <c r="E19036" t="str">
        <f>"C/O CALVIN HOSCH"</f>
        <v>C/O CALVIN HOSCH</v>
      </c>
      <c r="F19036" t="s">
        <v>58216</v>
      </c>
      <c r="I19036" t="s">
        <v>964</v>
      </c>
      <c r="J19036" t="s">
        <v>30</v>
      </c>
      <c r="K19036" t="s">
        <v>58217</v>
      </c>
      <c r="M19036" t="s">
        <v>50793</v>
      </c>
      <c r="N19036" t="str">
        <f>"4/3/2023 11:16:00 AM"</f>
        <v>4/3/2023 11:16:00 AM</v>
      </c>
      <c r="O19036" t="s">
        <v>58215</v>
      </c>
      <c r="T19036" t="str">
        <f>"C/O CALVIN HOSCH"</f>
        <v>C/O CALVIN HOSCH</v>
      </c>
    </row>
    <row r="19037" spans="1:20" x14ac:dyDescent="0.25">
      <c r="A19037" t="str">
        <f>"3060745"</f>
        <v>3060745</v>
      </c>
      <c r="B19037" t="s">
        <v>58219</v>
      </c>
      <c r="C19037" t="str">
        <f>"8317397"</f>
        <v>8317397</v>
      </c>
      <c r="D19037" t="s">
        <v>58220</v>
      </c>
      <c r="E19037" t="s">
        <v>58221</v>
      </c>
      <c r="F19037" t="s">
        <v>58222</v>
      </c>
      <c r="I19037" t="s">
        <v>184</v>
      </c>
      <c r="J19037" t="s">
        <v>30</v>
      </c>
      <c r="K19037" t="s">
        <v>4231</v>
      </c>
      <c r="M19037" t="s">
        <v>18479</v>
      </c>
      <c r="N19037" t="str">
        <f>"3/29/2023 11:11:00 AM"</f>
        <v>3/29/2023 11:11:00 AM</v>
      </c>
      <c r="O19037" t="s">
        <v>58220</v>
      </c>
      <c r="T19037" t="s">
        <v>58221</v>
      </c>
    </row>
    <row r="19038" spans="1:20" x14ac:dyDescent="0.25">
      <c r="A19038" t="str">
        <f>"3055382"</f>
        <v>3055382</v>
      </c>
      <c r="B19038" t="s">
        <v>58223</v>
      </c>
      <c r="C19038" t="str">
        <f>"72793120"</f>
        <v>72793120</v>
      </c>
      <c r="D19038" t="s">
        <v>58224</v>
      </c>
      <c r="F19038" t="s">
        <v>58225</v>
      </c>
      <c r="I19038" t="s">
        <v>29</v>
      </c>
      <c r="J19038" t="s">
        <v>30</v>
      </c>
      <c r="K19038" t="s">
        <v>16765</v>
      </c>
      <c r="M19038" t="s">
        <v>36935</v>
      </c>
      <c r="N19038" t="str">
        <f>"3/29/2023 11:21:00 AM"</f>
        <v>3/29/2023 11:21:00 AM</v>
      </c>
      <c r="O19038" t="s">
        <v>58224</v>
      </c>
    </row>
    <row r="19039" spans="1:20" x14ac:dyDescent="0.25">
      <c r="A19039" t="str">
        <f>"3053407"</f>
        <v>3053407</v>
      </c>
      <c r="B19039" t="s">
        <v>58226</v>
      </c>
      <c r="C19039" t="str">
        <f>"8316220"</f>
        <v>8316220</v>
      </c>
      <c r="D19039" t="s">
        <v>58090</v>
      </c>
      <c r="E19039" t="s">
        <v>58091</v>
      </c>
      <c r="F19039" t="s">
        <v>58092</v>
      </c>
      <c r="I19039" t="s">
        <v>3196</v>
      </c>
      <c r="J19039" t="s">
        <v>30</v>
      </c>
      <c r="K19039" t="s">
        <v>58093</v>
      </c>
      <c r="M19039" t="s">
        <v>50621</v>
      </c>
      <c r="N19039" t="str">
        <f>"3/29/2023 1:01:00 PM"</f>
        <v>3/29/2023 1:01:00 PM</v>
      </c>
      <c r="O19039" t="s">
        <v>58090</v>
      </c>
      <c r="T19039" t="s">
        <v>58091</v>
      </c>
    </row>
    <row r="19040" spans="1:20" x14ac:dyDescent="0.25">
      <c r="A19040" t="str">
        <f>"3053422"</f>
        <v>3053422</v>
      </c>
      <c r="B19040" t="s">
        <v>58227</v>
      </c>
      <c r="C19040" t="str">
        <f>"8316220"</f>
        <v>8316220</v>
      </c>
      <c r="D19040" t="s">
        <v>58090</v>
      </c>
      <c r="E19040" t="s">
        <v>58091</v>
      </c>
      <c r="F19040" t="s">
        <v>58092</v>
      </c>
      <c r="I19040" t="s">
        <v>3196</v>
      </c>
      <c r="J19040" t="s">
        <v>30</v>
      </c>
      <c r="K19040" t="s">
        <v>58093</v>
      </c>
      <c r="M19040" t="s">
        <v>50621</v>
      </c>
      <c r="N19040" t="str">
        <f>"3/29/2023 1:01:00 PM"</f>
        <v>3/29/2023 1:01:00 PM</v>
      </c>
      <c r="O19040" t="s">
        <v>58090</v>
      </c>
      <c r="T19040" t="s">
        <v>58091</v>
      </c>
    </row>
    <row r="19041" spans="1:20" x14ac:dyDescent="0.25">
      <c r="A19041" t="str">
        <f>"3053277"</f>
        <v>3053277</v>
      </c>
      <c r="B19041" t="s">
        <v>58228</v>
      </c>
      <c r="C19041" t="str">
        <f>"8307473"</f>
        <v>8307473</v>
      </c>
      <c r="D19041" t="s">
        <v>58229</v>
      </c>
      <c r="E19041" t="s">
        <v>58230</v>
      </c>
      <c r="F19041" t="s">
        <v>58231</v>
      </c>
      <c r="I19041" t="s">
        <v>29</v>
      </c>
      <c r="J19041" t="s">
        <v>30</v>
      </c>
      <c r="K19041" t="str">
        <f>"27028"</f>
        <v>27028</v>
      </c>
      <c r="M19041" t="s">
        <v>50621</v>
      </c>
      <c r="N19041" t="str">
        <f>"3/29/2023 3:36:00 PM"</f>
        <v>3/29/2023 3:36:00 PM</v>
      </c>
      <c r="O19041" t="s">
        <v>58229</v>
      </c>
      <c r="T19041" t="s">
        <v>58230</v>
      </c>
    </row>
    <row r="19042" spans="1:20" x14ac:dyDescent="0.25">
      <c r="A19042" t="str">
        <f>"3052554"</f>
        <v>3052554</v>
      </c>
      <c r="B19042" t="s">
        <v>58232</v>
      </c>
      <c r="C19042" t="str">
        <f>"8319957"</f>
        <v>8319957</v>
      </c>
      <c r="D19042" t="s">
        <v>58233</v>
      </c>
      <c r="F19042" t="s">
        <v>58234</v>
      </c>
      <c r="I19042" t="s">
        <v>29</v>
      </c>
      <c r="J19042" t="s">
        <v>30</v>
      </c>
      <c r="K19042" t="s">
        <v>58235</v>
      </c>
      <c r="M19042" t="s">
        <v>17861</v>
      </c>
      <c r="N19042" t="str">
        <f>"4/4/2023 2:01:00 PM"</f>
        <v>4/4/2023 2:01:00 PM</v>
      </c>
      <c r="O19042" t="s">
        <v>58233</v>
      </c>
    </row>
    <row r="19043" spans="1:20" x14ac:dyDescent="0.25">
      <c r="A19043" t="str">
        <f>"3053549"</f>
        <v>3053549</v>
      </c>
      <c r="B19043" t="s">
        <v>58236</v>
      </c>
      <c r="C19043" t="str">
        <f>"8307473"</f>
        <v>8307473</v>
      </c>
      <c r="D19043" t="s">
        <v>58229</v>
      </c>
      <c r="E19043" t="s">
        <v>58230</v>
      </c>
      <c r="F19043" t="s">
        <v>58231</v>
      </c>
      <c r="I19043" t="s">
        <v>29</v>
      </c>
      <c r="J19043" t="s">
        <v>30</v>
      </c>
      <c r="K19043" t="str">
        <f>"27028"</f>
        <v>27028</v>
      </c>
      <c r="M19043" t="s">
        <v>50621</v>
      </c>
      <c r="N19043" t="str">
        <f>"3/29/2023 3:36:00 PM"</f>
        <v>3/29/2023 3:36:00 PM</v>
      </c>
      <c r="O19043" t="s">
        <v>58229</v>
      </c>
      <c r="T19043" t="s">
        <v>58230</v>
      </c>
    </row>
    <row r="19044" spans="1:20" x14ac:dyDescent="0.25">
      <c r="A19044" t="str">
        <f>"3048653"</f>
        <v>3048653</v>
      </c>
      <c r="B19044" t="s">
        <v>58237</v>
      </c>
      <c r="C19044" t="str">
        <f>"2317000"</f>
        <v>2317000</v>
      </c>
      <c r="D19044" t="s">
        <v>58113</v>
      </c>
      <c r="E19044" t="s">
        <v>58114</v>
      </c>
      <c r="F19044" t="s">
        <v>58115</v>
      </c>
      <c r="I19044" t="s">
        <v>29</v>
      </c>
      <c r="J19044" t="s">
        <v>30</v>
      </c>
      <c r="K19044" t="s">
        <v>31</v>
      </c>
      <c r="M19044" t="s">
        <v>50621</v>
      </c>
      <c r="N19044" t="str">
        <f>"3/30/2023 9:39:00 AM"</f>
        <v>3/30/2023 9:39:00 AM</v>
      </c>
      <c r="O19044" t="s">
        <v>58113</v>
      </c>
      <c r="T19044" t="s">
        <v>58114</v>
      </c>
    </row>
    <row r="19045" spans="1:20" x14ac:dyDescent="0.25">
      <c r="A19045" t="str">
        <f>"3054857"</f>
        <v>3054857</v>
      </c>
      <c r="B19045" t="s">
        <v>58238</v>
      </c>
      <c r="C19045" t="str">
        <f>"46684000"</f>
        <v>46684000</v>
      </c>
      <c r="D19045" t="s">
        <v>58239</v>
      </c>
      <c r="E19045" t="s">
        <v>58240</v>
      </c>
      <c r="F19045" t="s">
        <v>58241</v>
      </c>
      <c r="I19045" t="s">
        <v>29</v>
      </c>
      <c r="J19045" t="s">
        <v>30</v>
      </c>
      <c r="K19045" t="s">
        <v>31</v>
      </c>
      <c r="M19045" t="s">
        <v>50621</v>
      </c>
      <c r="N19045" t="str">
        <f>"3/30/2023 10:38:00 AM"</f>
        <v>3/30/2023 10:38:00 AM</v>
      </c>
      <c r="O19045" t="s">
        <v>58239</v>
      </c>
      <c r="T19045" t="s">
        <v>58240</v>
      </c>
    </row>
    <row r="19046" spans="1:20" x14ac:dyDescent="0.25">
      <c r="A19046" t="str">
        <f>"3038103"</f>
        <v>3038103</v>
      </c>
      <c r="B19046" t="s">
        <v>58242</v>
      </c>
      <c r="C19046" t="str">
        <f>"8319963"</f>
        <v>8319963</v>
      </c>
      <c r="D19046" t="s">
        <v>25070</v>
      </c>
      <c r="E19046" t="s">
        <v>58243</v>
      </c>
      <c r="F19046" t="s">
        <v>58244</v>
      </c>
      <c r="I19046" t="s">
        <v>29</v>
      </c>
      <c r="J19046" t="s">
        <v>30</v>
      </c>
      <c r="K19046" t="s">
        <v>25067</v>
      </c>
      <c r="M19046" t="s">
        <v>17861</v>
      </c>
      <c r="N19046" t="str">
        <f>"4/4/2023 2:38:00 PM"</f>
        <v>4/4/2023 2:38:00 PM</v>
      </c>
      <c r="O19046" t="s">
        <v>25070</v>
      </c>
      <c r="T19046" t="s">
        <v>58243</v>
      </c>
    </row>
    <row r="19047" spans="1:20" x14ac:dyDescent="0.25">
      <c r="A19047" t="str">
        <f>"3038102"</f>
        <v>3038102</v>
      </c>
      <c r="B19047" t="s">
        <v>58245</v>
      </c>
      <c r="C19047" t="str">
        <f>"8319964"</f>
        <v>8319964</v>
      </c>
      <c r="D19047" t="s">
        <v>58246</v>
      </c>
      <c r="F19047" t="s">
        <v>58247</v>
      </c>
      <c r="I19047" t="s">
        <v>184</v>
      </c>
      <c r="J19047" t="s">
        <v>30</v>
      </c>
      <c r="K19047" t="s">
        <v>58248</v>
      </c>
      <c r="M19047" t="s">
        <v>17861</v>
      </c>
      <c r="N19047" t="str">
        <f>"4/4/2023 2:40:00 PM"</f>
        <v>4/4/2023 2:40:00 PM</v>
      </c>
      <c r="O19047" t="s">
        <v>58246</v>
      </c>
    </row>
    <row r="19048" spans="1:20" x14ac:dyDescent="0.25">
      <c r="A19048" t="str">
        <f>"3038510"</f>
        <v>3038510</v>
      </c>
      <c r="B19048" t="s">
        <v>58249</v>
      </c>
      <c r="C19048" t="str">
        <f>"8319965"</f>
        <v>8319965</v>
      </c>
      <c r="D19048" t="s">
        <v>58250</v>
      </c>
      <c r="F19048" t="s">
        <v>58247</v>
      </c>
      <c r="I19048" t="s">
        <v>184</v>
      </c>
      <c r="J19048" t="s">
        <v>30</v>
      </c>
      <c r="K19048" t="s">
        <v>58248</v>
      </c>
      <c r="M19048" t="s">
        <v>17861</v>
      </c>
      <c r="N19048" t="str">
        <f>"4/4/2023 2:43:00 PM"</f>
        <v>4/4/2023 2:43:00 PM</v>
      </c>
      <c r="O19048" t="s">
        <v>58250</v>
      </c>
    </row>
    <row r="19049" spans="1:20" x14ac:dyDescent="0.25">
      <c r="A19049" t="str">
        <f>"3049942"</f>
        <v>3049942</v>
      </c>
      <c r="B19049" t="s">
        <v>58251</v>
      </c>
      <c r="C19049" t="str">
        <f>"8317312"</f>
        <v>8317312</v>
      </c>
      <c r="D19049" t="s">
        <v>58252</v>
      </c>
      <c r="F19049" t="s">
        <v>58253</v>
      </c>
      <c r="I19049" t="s">
        <v>29</v>
      </c>
      <c r="J19049" t="s">
        <v>30</v>
      </c>
      <c r="K19049" t="s">
        <v>48984</v>
      </c>
      <c r="M19049" t="s">
        <v>18470</v>
      </c>
      <c r="N19049" t="str">
        <f>"4/4/2023 4:39:00 PM"</f>
        <v>4/4/2023 4:39:00 PM</v>
      </c>
      <c r="O19049" t="s">
        <v>58252</v>
      </c>
    </row>
    <row r="19050" spans="1:20" x14ac:dyDescent="0.25">
      <c r="A19050" t="str">
        <f>"3046014"</f>
        <v>3046014</v>
      </c>
      <c r="B19050" t="s">
        <v>58254</v>
      </c>
      <c r="C19050" t="str">
        <f>"8309269"</f>
        <v>8309269</v>
      </c>
      <c r="D19050" t="s">
        <v>58255</v>
      </c>
      <c r="E19050" t="s">
        <v>41964</v>
      </c>
      <c r="F19050" t="s">
        <v>41965</v>
      </c>
      <c r="I19050" t="s">
        <v>29</v>
      </c>
      <c r="J19050" t="s">
        <v>30</v>
      </c>
      <c r="K19050" t="s">
        <v>41966</v>
      </c>
      <c r="M19050" t="s">
        <v>50793</v>
      </c>
      <c r="N19050" t="str">
        <f>"4/5/2023 8:26:00 AM"</f>
        <v>4/5/2023 8:26:00 AM</v>
      </c>
      <c r="O19050" t="s">
        <v>58255</v>
      </c>
      <c r="T19050" t="s">
        <v>41964</v>
      </c>
    </row>
    <row r="19051" spans="1:20" x14ac:dyDescent="0.25">
      <c r="A19051" t="str">
        <f>"3061989"</f>
        <v>3061989</v>
      </c>
      <c r="B19051" t="s">
        <v>58256</v>
      </c>
      <c r="C19051" t="str">
        <f>"8319933"</f>
        <v>8319933</v>
      </c>
      <c r="D19051" t="s">
        <v>58257</v>
      </c>
      <c r="E19051" t="s">
        <v>58258</v>
      </c>
      <c r="F19051" t="s">
        <v>58259</v>
      </c>
      <c r="I19051" t="s">
        <v>1107</v>
      </c>
      <c r="J19051" t="s">
        <v>30</v>
      </c>
      <c r="K19051" t="s">
        <v>58260</v>
      </c>
      <c r="M19051" t="s">
        <v>17861</v>
      </c>
      <c r="N19051" t="str">
        <f>"3/30/2023 11:01:00 AM"</f>
        <v>3/30/2023 11:01:00 AM</v>
      </c>
      <c r="O19051" t="s">
        <v>58257</v>
      </c>
      <c r="T19051" t="s">
        <v>58258</v>
      </c>
    </row>
    <row r="19052" spans="1:20" x14ac:dyDescent="0.25">
      <c r="A19052" t="str">
        <f>"3059656"</f>
        <v>3059656</v>
      </c>
      <c r="B19052" t="s">
        <v>58261</v>
      </c>
      <c r="C19052" t="str">
        <f>"8319937"</f>
        <v>8319937</v>
      </c>
      <c r="D19052" t="s">
        <v>58262</v>
      </c>
      <c r="F19052" t="s">
        <v>58263</v>
      </c>
      <c r="I19052" t="s">
        <v>29</v>
      </c>
      <c r="J19052" t="s">
        <v>30</v>
      </c>
      <c r="K19052" t="s">
        <v>7995</v>
      </c>
      <c r="M19052" t="s">
        <v>17861</v>
      </c>
      <c r="N19052" t="str">
        <f>"3/30/2023 11:19:00 AM"</f>
        <v>3/30/2023 11:19:00 AM</v>
      </c>
      <c r="O19052" t="s">
        <v>58262</v>
      </c>
    </row>
    <row r="19053" spans="1:20" x14ac:dyDescent="0.25">
      <c r="A19053" t="str">
        <f>"3045286"</f>
        <v>3045286</v>
      </c>
      <c r="B19053" t="s">
        <v>58264</v>
      </c>
      <c r="C19053" t="str">
        <f>"8319940"</f>
        <v>8319940</v>
      </c>
      <c r="D19053" t="s">
        <v>58265</v>
      </c>
      <c r="E19053" t="s">
        <v>58266</v>
      </c>
      <c r="F19053" t="s">
        <v>58267</v>
      </c>
      <c r="I19053" t="s">
        <v>29</v>
      </c>
      <c r="J19053" t="s">
        <v>30</v>
      </c>
      <c r="K19053" t="s">
        <v>9462</v>
      </c>
      <c r="M19053" t="s">
        <v>17861</v>
      </c>
      <c r="N19053" t="str">
        <f>"3/30/2023 12:49:00 PM"</f>
        <v>3/30/2023 12:49:00 PM</v>
      </c>
      <c r="O19053" t="s">
        <v>58265</v>
      </c>
      <c r="T19053" t="s">
        <v>58266</v>
      </c>
    </row>
    <row r="19054" spans="1:20" x14ac:dyDescent="0.25">
      <c r="A19054" t="str">
        <f>"3060316"</f>
        <v>3060316</v>
      </c>
      <c r="B19054" t="s">
        <v>58268</v>
      </c>
      <c r="C19054" t="str">
        <f>"8319942"</f>
        <v>8319942</v>
      </c>
      <c r="D19054" t="s">
        <v>58269</v>
      </c>
      <c r="E19054" t="s">
        <v>58270</v>
      </c>
      <c r="F19054" t="s">
        <v>58271</v>
      </c>
      <c r="I19054" t="s">
        <v>29</v>
      </c>
      <c r="J19054" t="s">
        <v>30</v>
      </c>
      <c r="K19054" t="s">
        <v>23508</v>
      </c>
      <c r="M19054" t="s">
        <v>17861</v>
      </c>
      <c r="N19054" t="str">
        <f>"3/30/2023 1:00:00 PM"</f>
        <v>3/30/2023 1:00:00 PM</v>
      </c>
      <c r="O19054" t="s">
        <v>58269</v>
      </c>
      <c r="T19054" t="s">
        <v>58270</v>
      </c>
    </row>
    <row r="19055" spans="1:20" x14ac:dyDescent="0.25">
      <c r="A19055" t="str">
        <f>"3050014"</f>
        <v>3050014</v>
      </c>
      <c r="B19055" t="s">
        <v>58272</v>
      </c>
      <c r="C19055" t="str">
        <f>"8319971"</f>
        <v>8319971</v>
      </c>
      <c r="D19055" t="s">
        <v>58273</v>
      </c>
      <c r="E19055" t="str">
        <f>"FURCHES KENNETH E/JOYE DIETZ"</f>
        <v>FURCHES KENNETH E/JOYE DIETZ</v>
      </c>
      <c r="F19055" t="s">
        <v>58274</v>
      </c>
      <c r="I19055" t="s">
        <v>29</v>
      </c>
      <c r="J19055" t="s">
        <v>30</v>
      </c>
      <c r="K19055" t="s">
        <v>11175</v>
      </c>
      <c r="M19055" t="s">
        <v>17861</v>
      </c>
      <c r="N19055" t="str">
        <f>"4/5/2023 4:15:00 PM"</f>
        <v>4/5/2023 4:15:00 PM</v>
      </c>
      <c r="O19055" t="s">
        <v>58273</v>
      </c>
      <c r="T19055" t="str">
        <f>"FURCHES KENNETH E/JOYE DIETZ"</f>
        <v>FURCHES KENNETH E/JOYE DIETZ</v>
      </c>
    </row>
    <row r="19056" spans="1:20" x14ac:dyDescent="0.25">
      <c r="A19056" t="str">
        <f>"3045785"</f>
        <v>3045785</v>
      </c>
      <c r="B19056" t="s">
        <v>58275</v>
      </c>
      <c r="C19056" t="str">
        <f>"82515226"</f>
        <v>82515226</v>
      </c>
      <c r="D19056" t="s">
        <v>58276</v>
      </c>
      <c r="E19056" t="s">
        <v>58277</v>
      </c>
      <c r="F19056" t="s">
        <v>58278</v>
      </c>
      <c r="I19056" t="s">
        <v>29</v>
      </c>
      <c r="J19056" t="s">
        <v>30</v>
      </c>
      <c r="K19056" t="s">
        <v>31</v>
      </c>
      <c r="M19056" t="s">
        <v>50621</v>
      </c>
      <c r="N19056" t="str">
        <f>"4/6/2023 8:56:00 AM"</f>
        <v>4/6/2023 8:56:00 AM</v>
      </c>
      <c r="O19056" t="s">
        <v>58276</v>
      </c>
      <c r="T19056" t="s">
        <v>58277</v>
      </c>
    </row>
    <row r="19057" spans="1:20" x14ac:dyDescent="0.25">
      <c r="A19057" t="str">
        <f>"3049209"</f>
        <v>3049209</v>
      </c>
      <c r="B19057" t="s">
        <v>58279</v>
      </c>
      <c r="C19057" t="str">
        <f>"8311201"</f>
        <v>8311201</v>
      </c>
      <c r="D19057" t="s">
        <v>58280</v>
      </c>
      <c r="F19057" t="s">
        <v>58281</v>
      </c>
      <c r="I19057" t="s">
        <v>10172</v>
      </c>
      <c r="J19057" t="s">
        <v>30</v>
      </c>
      <c r="K19057" t="s">
        <v>58282</v>
      </c>
      <c r="M19057" t="s">
        <v>50621</v>
      </c>
      <c r="N19057" t="str">
        <f>"4/6/2023 8:57:00 AM"</f>
        <v>4/6/2023 8:57:00 AM</v>
      </c>
      <c r="O19057" t="s">
        <v>58280</v>
      </c>
    </row>
    <row r="19058" spans="1:20" x14ac:dyDescent="0.25">
      <c r="A19058" t="str">
        <f>"3046646"</f>
        <v>3046646</v>
      </c>
      <c r="B19058" t="s">
        <v>58283</v>
      </c>
      <c r="C19058" t="str">
        <f>"8308846"</f>
        <v>8308846</v>
      </c>
      <c r="D19058" t="s">
        <v>58284</v>
      </c>
      <c r="E19058" t="s">
        <v>20726</v>
      </c>
      <c r="F19058" t="s">
        <v>20727</v>
      </c>
      <c r="I19058" t="s">
        <v>184</v>
      </c>
      <c r="J19058" t="s">
        <v>30</v>
      </c>
      <c r="K19058" t="s">
        <v>8878</v>
      </c>
      <c r="M19058" t="s">
        <v>50621</v>
      </c>
      <c r="N19058" t="str">
        <f>"3/30/2023 1:33:00 PM"</f>
        <v>3/30/2023 1:33:00 PM</v>
      </c>
      <c r="O19058" t="s">
        <v>58284</v>
      </c>
      <c r="T19058" t="s">
        <v>20726</v>
      </c>
    </row>
    <row r="19059" spans="1:20" x14ac:dyDescent="0.25">
      <c r="A19059" t="str">
        <f>"3052118"</f>
        <v>3052118</v>
      </c>
      <c r="B19059" t="s">
        <v>58285</v>
      </c>
      <c r="C19059" t="str">
        <f>"8311710"</f>
        <v>8311710</v>
      </c>
      <c r="D19059" t="s">
        <v>58286</v>
      </c>
      <c r="F19059" t="s">
        <v>58287</v>
      </c>
      <c r="I19059" t="s">
        <v>29</v>
      </c>
      <c r="J19059" t="s">
        <v>30</v>
      </c>
      <c r="K19059" t="s">
        <v>58288</v>
      </c>
      <c r="M19059" t="s">
        <v>50621</v>
      </c>
      <c r="N19059" t="str">
        <f>"3/30/2023 1:44:00 PM"</f>
        <v>3/30/2023 1:44:00 PM</v>
      </c>
      <c r="O19059" t="s">
        <v>58286</v>
      </c>
    </row>
    <row r="19060" spans="1:20" x14ac:dyDescent="0.25">
      <c r="A19060" t="str">
        <f>"3043385"</f>
        <v>3043385</v>
      </c>
      <c r="B19060" t="s">
        <v>58289</v>
      </c>
      <c r="C19060" t="str">
        <f>"8319943"</f>
        <v>8319943</v>
      </c>
      <c r="D19060" t="s">
        <v>58290</v>
      </c>
      <c r="E19060" t="s">
        <v>58291</v>
      </c>
      <c r="F19060" t="s">
        <v>58292</v>
      </c>
      <c r="I19060" t="s">
        <v>29</v>
      </c>
      <c r="J19060" t="s">
        <v>30</v>
      </c>
      <c r="K19060" t="s">
        <v>4538</v>
      </c>
      <c r="M19060" t="s">
        <v>17861</v>
      </c>
      <c r="N19060" t="str">
        <f>"3/30/2023 4:05:00 PM"</f>
        <v>3/30/2023 4:05:00 PM</v>
      </c>
      <c r="O19060" t="s">
        <v>58290</v>
      </c>
      <c r="T19060" t="s">
        <v>58291</v>
      </c>
    </row>
    <row r="19061" spans="1:20" x14ac:dyDescent="0.25">
      <c r="A19061" t="str">
        <f>"3049339"</f>
        <v>3049339</v>
      </c>
      <c r="B19061" t="s">
        <v>58293</v>
      </c>
      <c r="C19061" t="str">
        <f>"8319973"</f>
        <v>8319973</v>
      </c>
      <c r="D19061" t="s">
        <v>58294</v>
      </c>
      <c r="E19061" t="s">
        <v>58295</v>
      </c>
      <c r="F19061" t="s">
        <v>58296</v>
      </c>
      <c r="I19061" t="s">
        <v>29</v>
      </c>
      <c r="J19061" t="s">
        <v>30</v>
      </c>
      <c r="K19061" t="s">
        <v>58297</v>
      </c>
      <c r="M19061" t="s">
        <v>17861</v>
      </c>
      <c r="N19061" t="str">
        <f>"4/6/2023 10:39:00 AM"</f>
        <v>4/6/2023 10:39:00 AM</v>
      </c>
      <c r="O19061" t="s">
        <v>58294</v>
      </c>
      <c r="T19061" t="s">
        <v>58295</v>
      </c>
    </row>
    <row r="19062" spans="1:20" x14ac:dyDescent="0.25">
      <c r="A19062" t="str">
        <f>"3045831"</f>
        <v>3045831</v>
      </c>
      <c r="B19062" t="s">
        <v>58298</v>
      </c>
      <c r="C19062" t="str">
        <f>"8319944"</f>
        <v>8319944</v>
      </c>
      <c r="D19062" t="s">
        <v>58299</v>
      </c>
      <c r="E19062" t="s">
        <v>58300</v>
      </c>
      <c r="F19062" t="s">
        <v>58301</v>
      </c>
      <c r="I19062" t="s">
        <v>29</v>
      </c>
      <c r="J19062" t="s">
        <v>30</v>
      </c>
      <c r="K19062" t="s">
        <v>7120</v>
      </c>
      <c r="M19062" t="s">
        <v>17861</v>
      </c>
      <c r="N19062" t="str">
        <f>"3/30/2023 4:11:00 PM"</f>
        <v>3/30/2023 4:11:00 PM</v>
      </c>
      <c r="O19062" t="s">
        <v>58299</v>
      </c>
      <c r="T19062" t="s">
        <v>58300</v>
      </c>
    </row>
    <row r="19063" spans="1:20" x14ac:dyDescent="0.25">
      <c r="A19063" t="str">
        <f>"3052808"</f>
        <v>3052808</v>
      </c>
      <c r="B19063" t="s">
        <v>58302</v>
      </c>
      <c r="C19063" t="str">
        <f>"82516321"</f>
        <v>82516321</v>
      </c>
      <c r="D19063" t="s">
        <v>58303</v>
      </c>
      <c r="F19063" t="s">
        <v>58304</v>
      </c>
      <c r="I19063" t="s">
        <v>22260</v>
      </c>
      <c r="J19063" t="s">
        <v>3737</v>
      </c>
      <c r="K19063" t="s">
        <v>58305</v>
      </c>
      <c r="M19063" t="s">
        <v>50793</v>
      </c>
      <c r="N19063" t="str">
        <f>"3/31/2023 9:54:00 AM"</f>
        <v>3/31/2023 9:54:00 AM</v>
      </c>
      <c r="O19063" t="s">
        <v>58303</v>
      </c>
    </row>
    <row r="19064" spans="1:20" x14ac:dyDescent="0.25">
      <c r="A19064" t="str">
        <f>"3064894"</f>
        <v>3064894</v>
      </c>
      <c r="B19064" t="s">
        <v>58306</v>
      </c>
      <c r="C19064" t="str">
        <f>"8319982"</f>
        <v>8319982</v>
      </c>
      <c r="D19064" t="s">
        <v>58307</v>
      </c>
      <c r="F19064" t="s">
        <v>58308</v>
      </c>
      <c r="I19064" t="s">
        <v>29</v>
      </c>
      <c r="J19064" t="s">
        <v>30</v>
      </c>
      <c r="K19064" t="s">
        <v>39177</v>
      </c>
      <c r="M19064" t="s">
        <v>17861</v>
      </c>
      <c r="N19064" t="str">
        <f>"4/6/2023 2:33:00 PM"</f>
        <v>4/6/2023 2:33:00 PM</v>
      </c>
      <c r="O19064" t="s">
        <v>58307</v>
      </c>
    </row>
    <row r="19065" spans="1:20" x14ac:dyDescent="0.25">
      <c r="A19065" t="str">
        <f>"3064892"</f>
        <v>3064892</v>
      </c>
      <c r="B19065" t="s">
        <v>58309</v>
      </c>
      <c r="C19065" t="str">
        <f>"8319982"</f>
        <v>8319982</v>
      </c>
      <c r="D19065" t="s">
        <v>58307</v>
      </c>
      <c r="F19065" t="s">
        <v>58308</v>
      </c>
      <c r="I19065" t="s">
        <v>29</v>
      </c>
      <c r="J19065" t="s">
        <v>30</v>
      </c>
      <c r="K19065" t="s">
        <v>39177</v>
      </c>
      <c r="M19065" t="s">
        <v>17861</v>
      </c>
      <c r="N19065" t="str">
        <f>"4/6/2023 2:33:00 PM"</f>
        <v>4/6/2023 2:33:00 PM</v>
      </c>
      <c r="O19065" t="s">
        <v>58307</v>
      </c>
    </row>
    <row r="19066" spans="1:20" x14ac:dyDescent="0.25">
      <c r="A19066" t="str">
        <f>"3064893"</f>
        <v>3064893</v>
      </c>
      <c r="B19066" t="s">
        <v>58310</v>
      </c>
      <c r="C19066" t="str">
        <f>"8319982"</f>
        <v>8319982</v>
      </c>
      <c r="D19066" t="s">
        <v>58307</v>
      </c>
      <c r="F19066" t="s">
        <v>58308</v>
      </c>
      <c r="I19066" t="s">
        <v>29</v>
      </c>
      <c r="J19066" t="s">
        <v>30</v>
      </c>
      <c r="K19066" t="s">
        <v>39177</v>
      </c>
      <c r="M19066" t="s">
        <v>17861</v>
      </c>
      <c r="N19066" t="str">
        <f>"4/6/2023 2:33:00 PM"</f>
        <v>4/6/2023 2:33:00 PM</v>
      </c>
      <c r="O19066" t="s">
        <v>58307</v>
      </c>
    </row>
    <row r="19067" spans="1:20" x14ac:dyDescent="0.25">
      <c r="A19067" t="str">
        <f>"3038001"</f>
        <v>3038001</v>
      </c>
      <c r="B19067" t="s">
        <v>58311</v>
      </c>
      <c r="C19067" t="str">
        <f>"82516491"</f>
        <v>82516491</v>
      </c>
      <c r="D19067" t="s">
        <v>58312</v>
      </c>
      <c r="E19067" t="s">
        <v>58313</v>
      </c>
      <c r="F19067" t="s">
        <v>58314</v>
      </c>
      <c r="I19067" t="s">
        <v>29</v>
      </c>
      <c r="J19067" t="s">
        <v>30</v>
      </c>
      <c r="K19067" t="s">
        <v>31</v>
      </c>
      <c r="M19067" t="s">
        <v>50621</v>
      </c>
      <c r="N19067" t="str">
        <f>"3/31/2023 12:20:00 PM"</f>
        <v>3/31/2023 12:20:00 PM</v>
      </c>
      <c r="O19067" t="s">
        <v>58312</v>
      </c>
      <c r="T19067" t="s">
        <v>58313</v>
      </c>
    </row>
    <row r="19068" spans="1:20" x14ac:dyDescent="0.25">
      <c r="A19068" t="str">
        <f>"3054971"</f>
        <v>3054971</v>
      </c>
      <c r="B19068" t="s">
        <v>58315</v>
      </c>
      <c r="C19068" t="str">
        <f>"8317812"</f>
        <v>8317812</v>
      </c>
      <c r="D19068" t="s">
        <v>58316</v>
      </c>
      <c r="F19068" t="s">
        <v>58317</v>
      </c>
      <c r="I19068" t="s">
        <v>29</v>
      </c>
      <c r="J19068" t="s">
        <v>30</v>
      </c>
      <c r="K19068" t="str">
        <f>"27028"</f>
        <v>27028</v>
      </c>
      <c r="M19068" t="s">
        <v>18470</v>
      </c>
      <c r="N19068" t="str">
        <f>"4/6/2023 4:13:00 PM"</f>
        <v>4/6/2023 4:13:00 PM</v>
      </c>
      <c r="O19068" t="s">
        <v>58316</v>
      </c>
    </row>
    <row r="19069" spans="1:20" x14ac:dyDescent="0.25">
      <c r="A19069" t="str">
        <f>"3038624"</f>
        <v>3038624</v>
      </c>
      <c r="B19069" t="s">
        <v>58318</v>
      </c>
      <c r="C19069" t="str">
        <f>"82516491"</f>
        <v>82516491</v>
      </c>
      <c r="D19069" t="s">
        <v>58312</v>
      </c>
      <c r="E19069" t="s">
        <v>58313</v>
      </c>
      <c r="F19069" t="s">
        <v>58314</v>
      </c>
      <c r="I19069" t="s">
        <v>29</v>
      </c>
      <c r="J19069" t="s">
        <v>30</v>
      </c>
      <c r="K19069" t="s">
        <v>31</v>
      </c>
      <c r="M19069" t="s">
        <v>50621</v>
      </c>
      <c r="N19069" t="str">
        <f>"3/31/2023 12:20:00 PM"</f>
        <v>3/31/2023 12:20:00 PM</v>
      </c>
      <c r="O19069" t="s">
        <v>58312</v>
      </c>
      <c r="T19069" t="s">
        <v>58313</v>
      </c>
    </row>
    <row r="19070" spans="1:20" x14ac:dyDescent="0.25">
      <c r="A19070" t="str">
        <f>"3061235"</f>
        <v>3061235</v>
      </c>
      <c r="B19070" t="s">
        <v>58319</v>
      </c>
      <c r="C19070" t="str">
        <f>"8319949"</f>
        <v>8319949</v>
      </c>
      <c r="D19070" t="s">
        <v>58320</v>
      </c>
      <c r="F19070" t="s">
        <v>58321</v>
      </c>
      <c r="I19070" t="s">
        <v>2071</v>
      </c>
      <c r="J19070" t="s">
        <v>30</v>
      </c>
      <c r="K19070" t="s">
        <v>58322</v>
      </c>
      <c r="M19070" t="s">
        <v>17861</v>
      </c>
      <c r="N19070" t="str">
        <f>"3/31/2023 2:33:00 PM"</f>
        <v>3/31/2023 2:33:00 PM</v>
      </c>
      <c r="O19070" t="s">
        <v>58320</v>
      </c>
    </row>
    <row r="19071" spans="1:20" x14ac:dyDescent="0.25">
      <c r="A19071" t="str">
        <f>"3055659"</f>
        <v>3055659</v>
      </c>
      <c r="B19071" t="s">
        <v>58323</v>
      </c>
      <c r="C19071" t="str">
        <f>"8319952"</f>
        <v>8319952</v>
      </c>
      <c r="D19071" t="s">
        <v>58204</v>
      </c>
      <c r="E19071" t="s">
        <v>58205</v>
      </c>
      <c r="F19071" t="s">
        <v>11872</v>
      </c>
      <c r="I19071" t="s">
        <v>29</v>
      </c>
      <c r="J19071" t="s">
        <v>30</v>
      </c>
      <c r="K19071" t="s">
        <v>11873</v>
      </c>
      <c r="M19071" t="s">
        <v>17861</v>
      </c>
      <c r="N19071" t="str">
        <f>"3/31/2023 3:47:00 PM"</f>
        <v>3/31/2023 3:47:00 PM</v>
      </c>
      <c r="O19071" t="s">
        <v>58204</v>
      </c>
      <c r="T19071" t="s">
        <v>58205</v>
      </c>
    </row>
    <row r="19072" spans="1:20" x14ac:dyDescent="0.25">
      <c r="A19072" t="str">
        <f>"3054904"</f>
        <v>3054904</v>
      </c>
      <c r="B19072" t="s">
        <v>58324</v>
      </c>
      <c r="C19072" t="str">
        <f>"8319952"</f>
        <v>8319952</v>
      </c>
      <c r="D19072" t="s">
        <v>58204</v>
      </c>
      <c r="E19072" t="s">
        <v>58205</v>
      </c>
      <c r="F19072" t="s">
        <v>11872</v>
      </c>
      <c r="I19072" t="s">
        <v>29</v>
      </c>
      <c r="J19072" t="s">
        <v>30</v>
      </c>
      <c r="K19072" t="s">
        <v>11873</v>
      </c>
      <c r="M19072" t="s">
        <v>17861</v>
      </c>
      <c r="N19072" t="str">
        <f>"3/31/2023 3:47:00 PM"</f>
        <v>3/31/2023 3:47:00 PM</v>
      </c>
      <c r="O19072" t="s">
        <v>58204</v>
      </c>
      <c r="T19072" t="s">
        <v>58205</v>
      </c>
    </row>
    <row r="19073" spans="1:20" x14ac:dyDescent="0.25">
      <c r="A19073" t="str">
        <f>"3055630"</f>
        <v>3055630</v>
      </c>
      <c r="B19073" t="s">
        <v>58325</v>
      </c>
      <c r="C19073" t="str">
        <f>"8314834"</f>
        <v>8314834</v>
      </c>
      <c r="D19073" t="s">
        <v>58326</v>
      </c>
      <c r="E19073" t="s">
        <v>58327</v>
      </c>
      <c r="F19073" t="s">
        <v>58328</v>
      </c>
      <c r="I19073" t="s">
        <v>9580</v>
      </c>
      <c r="J19073" t="s">
        <v>30</v>
      </c>
      <c r="K19073" t="str">
        <f>"27014"</f>
        <v>27014</v>
      </c>
      <c r="M19073" t="s">
        <v>36935</v>
      </c>
      <c r="N19073" t="str">
        <f>"3/28/2023 2:42:00 PM"</f>
        <v>3/28/2023 2:42:00 PM</v>
      </c>
      <c r="O19073" t="s">
        <v>58326</v>
      </c>
      <c r="T19073" t="s">
        <v>58327</v>
      </c>
    </row>
    <row r="19074" spans="1:20" x14ac:dyDescent="0.25">
      <c r="A19074" t="str">
        <f>"3048114"</f>
        <v>3048114</v>
      </c>
      <c r="B19074" t="s">
        <v>58329</v>
      </c>
      <c r="C19074" t="str">
        <f>"8316933"</f>
        <v>8316933</v>
      </c>
      <c r="D19074" t="s">
        <v>27965</v>
      </c>
      <c r="E19074" t="s">
        <v>58330</v>
      </c>
      <c r="F19074" t="s">
        <v>58331</v>
      </c>
      <c r="I19074" t="s">
        <v>184</v>
      </c>
      <c r="J19074" t="s">
        <v>30</v>
      </c>
      <c r="K19074" t="s">
        <v>58005</v>
      </c>
      <c r="M19074" t="s">
        <v>50621</v>
      </c>
      <c r="N19074" t="str">
        <f>"4/3/2023 3:00:00 PM"</f>
        <v>4/3/2023 3:00:00 PM</v>
      </c>
      <c r="O19074" t="s">
        <v>27965</v>
      </c>
      <c r="T19074" t="s">
        <v>58330</v>
      </c>
    </row>
    <row r="19075" spans="1:20" x14ac:dyDescent="0.25">
      <c r="A19075" t="str">
        <f>"3077821"</f>
        <v>3077821</v>
      </c>
      <c r="B19075" t="s">
        <v>58332</v>
      </c>
      <c r="C19075" t="str">
        <f>"8311752"</f>
        <v>8311752</v>
      </c>
      <c r="D19075" t="s">
        <v>58333</v>
      </c>
      <c r="E19075" t="s">
        <v>58334</v>
      </c>
      <c r="F19075" t="s">
        <v>58335</v>
      </c>
      <c r="I19075" t="s">
        <v>1149</v>
      </c>
      <c r="J19075" t="s">
        <v>30</v>
      </c>
      <c r="K19075" t="s">
        <v>58336</v>
      </c>
      <c r="M19075" t="s">
        <v>17861</v>
      </c>
      <c r="N19075" t="str">
        <f>"4/4/2023 9:56:00 AM"</f>
        <v>4/4/2023 9:56:00 AM</v>
      </c>
      <c r="O19075" t="s">
        <v>58333</v>
      </c>
      <c r="T19075" t="s">
        <v>58334</v>
      </c>
    </row>
    <row r="19076" spans="1:20" x14ac:dyDescent="0.25">
      <c r="A19076" t="str">
        <f>"3077828"</f>
        <v>3077828</v>
      </c>
      <c r="B19076" t="s">
        <v>58337</v>
      </c>
      <c r="C19076" t="str">
        <f>"8311752"</f>
        <v>8311752</v>
      </c>
      <c r="D19076" t="s">
        <v>58333</v>
      </c>
      <c r="E19076" t="s">
        <v>58334</v>
      </c>
      <c r="F19076" t="s">
        <v>58335</v>
      </c>
      <c r="I19076" t="s">
        <v>1149</v>
      </c>
      <c r="J19076" t="s">
        <v>30</v>
      </c>
      <c r="K19076" t="s">
        <v>58336</v>
      </c>
      <c r="M19076" t="s">
        <v>17861</v>
      </c>
      <c r="N19076" t="str">
        <f>"4/4/2023 9:56:00 AM"</f>
        <v>4/4/2023 9:56:00 AM</v>
      </c>
      <c r="O19076" t="s">
        <v>58333</v>
      </c>
      <c r="T19076" t="s">
        <v>58334</v>
      </c>
    </row>
    <row r="19077" spans="1:20" x14ac:dyDescent="0.25">
      <c r="A19077" t="str">
        <f>"3076832"</f>
        <v>3076832</v>
      </c>
      <c r="B19077" t="s">
        <v>58338</v>
      </c>
      <c r="C19077" t="str">
        <f>"8319953"</f>
        <v>8319953</v>
      </c>
      <c r="D19077" t="s">
        <v>58339</v>
      </c>
      <c r="F19077" t="s">
        <v>58340</v>
      </c>
      <c r="I19077" t="s">
        <v>29</v>
      </c>
      <c r="J19077" t="s">
        <v>30</v>
      </c>
      <c r="K19077" t="s">
        <v>1010</v>
      </c>
      <c r="M19077" t="s">
        <v>17861</v>
      </c>
      <c r="N19077" t="str">
        <f>"4/4/2023 11:17:00 AM"</f>
        <v>4/4/2023 11:17:00 AM</v>
      </c>
      <c r="O19077" t="s">
        <v>58339</v>
      </c>
    </row>
    <row r="19078" spans="1:20" x14ac:dyDescent="0.25">
      <c r="A19078" t="str">
        <f>"3056459"</f>
        <v>3056459</v>
      </c>
      <c r="B19078" t="s">
        <v>58341</v>
      </c>
      <c r="C19078" t="str">
        <f>"49276000"</f>
        <v>49276000</v>
      </c>
      <c r="D19078" t="s">
        <v>58342</v>
      </c>
      <c r="E19078" t="s">
        <v>58343</v>
      </c>
      <c r="F19078" t="s">
        <v>58344</v>
      </c>
      <c r="G19078" t="s">
        <v>58345</v>
      </c>
      <c r="I19078" t="s">
        <v>964</v>
      </c>
      <c r="J19078" t="s">
        <v>30</v>
      </c>
      <c r="K19078" t="s">
        <v>58346</v>
      </c>
      <c r="M19078" t="s">
        <v>36935</v>
      </c>
      <c r="N19078" t="str">
        <f>"4/4/2023 1:40:00 PM"</f>
        <v>4/4/2023 1:40:00 PM</v>
      </c>
      <c r="O19078" t="s">
        <v>58342</v>
      </c>
      <c r="T19078" t="s">
        <v>58343</v>
      </c>
    </row>
    <row r="19079" spans="1:20" x14ac:dyDescent="0.25">
      <c r="A19079" t="str">
        <f>"3045365"</f>
        <v>3045365</v>
      </c>
      <c r="B19079" t="s">
        <v>58347</v>
      </c>
      <c r="C19079" t="str">
        <f>"8319958"</f>
        <v>8319958</v>
      </c>
      <c r="D19079" t="s">
        <v>47769</v>
      </c>
      <c r="F19079" t="s">
        <v>58348</v>
      </c>
      <c r="I19079" t="s">
        <v>1149</v>
      </c>
      <c r="J19079" t="s">
        <v>30</v>
      </c>
      <c r="K19079" t="s">
        <v>39808</v>
      </c>
      <c r="M19079" t="s">
        <v>17861</v>
      </c>
      <c r="N19079" t="str">
        <f>"4/4/2023 2:05:00 PM"</f>
        <v>4/4/2023 2:05:00 PM</v>
      </c>
      <c r="O19079" t="s">
        <v>47769</v>
      </c>
    </row>
    <row r="19080" spans="1:20" x14ac:dyDescent="0.25">
      <c r="A19080" t="str">
        <f>"3053733"</f>
        <v>3053733</v>
      </c>
      <c r="B19080" t="s">
        <v>58349</v>
      </c>
      <c r="C19080" t="str">
        <f>"8319959"</f>
        <v>8319959</v>
      </c>
      <c r="D19080" t="s">
        <v>31952</v>
      </c>
      <c r="E19080" t="s">
        <v>58350</v>
      </c>
      <c r="F19080" t="s">
        <v>58351</v>
      </c>
      <c r="I19080" t="s">
        <v>184</v>
      </c>
      <c r="J19080" t="s">
        <v>30</v>
      </c>
      <c r="K19080" t="s">
        <v>41029</v>
      </c>
      <c r="M19080" t="s">
        <v>17861</v>
      </c>
      <c r="N19080" t="str">
        <f>"4/4/2023 2:20:00 PM"</f>
        <v>4/4/2023 2:20:00 PM</v>
      </c>
      <c r="O19080" t="s">
        <v>31952</v>
      </c>
      <c r="T19080" t="s">
        <v>58350</v>
      </c>
    </row>
    <row r="19081" spans="1:20" x14ac:dyDescent="0.25">
      <c r="A19081" t="str">
        <f>"3049311"</f>
        <v>3049311</v>
      </c>
      <c r="B19081" t="s">
        <v>58352</v>
      </c>
      <c r="C19081" t="str">
        <f>"8319962"</f>
        <v>8319962</v>
      </c>
      <c r="D19081" t="s">
        <v>58353</v>
      </c>
      <c r="F19081" t="s">
        <v>58354</v>
      </c>
      <c r="I19081" t="s">
        <v>29</v>
      </c>
      <c r="J19081" t="s">
        <v>30</v>
      </c>
      <c r="K19081" t="s">
        <v>47744</v>
      </c>
      <c r="M19081" t="s">
        <v>17861</v>
      </c>
      <c r="N19081" t="str">
        <f>"4/4/2023 2:33:00 PM"</f>
        <v>4/4/2023 2:33:00 PM</v>
      </c>
      <c r="O19081" t="s">
        <v>58353</v>
      </c>
    </row>
    <row r="19082" spans="1:20" x14ac:dyDescent="0.25">
      <c r="A19082" t="str">
        <f>"3042222"</f>
        <v>3042222</v>
      </c>
      <c r="B19082" t="s">
        <v>58355</v>
      </c>
      <c r="C19082" t="str">
        <f>"8319966"</f>
        <v>8319966</v>
      </c>
      <c r="D19082" t="s">
        <v>58356</v>
      </c>
      <c r="F19082" t="s">
        <v>58357</v>
      </c>
      <c r="I19082" t="s">
        <v>402</v>
      </c>
      <c r="J19082" t="s">
        <v>30</v>
      </c>
      <c r="K19082" t="s">
        <v>58358</v>
      </c>
      <c r="M19082" t="s">
        <v>17861</v>
      </c>
      <c r="N19082" t="str">
        <f>"4/5/2023 10:36:00 AM"</f>
        <v>4/5/2023 10:36:00 AM</v>
      </c>
      <c r="O19082" t="s">
        <v>58356</v>
      </c>
    </row>
    <row r="19083" spans="1:20" x14ac:dyDescent="0.25">
      <c r="A19083" t="str">
        <f>"3045379"</f>
        <v>3045379</v>
      </c>
      <c r="B19083" t="s">
        <v>58359</v>
      </c>
      <c r="C19083" t="str">
        <f>"82525096"</f>
        <v>82525096</v>
      </c>
      <c r="D19083" t="s">
        <v>58360</v>
      </c>
      <c r="F19083" t="s">
        <v>58361</v>
      </c>
      <c r="I19083" t="s">
        <v>29</v>
      </c>
      <c r="J19083" t="s">
        <v>30</v>
      </c>
      <c r="K19083" t="s">
        <v>31</v>
      </c>
      <c r="M19083" t="s">
        <v>50621</v>
      </c>
      <c r="N19083" t="str">
        <f>"4/5/2023 11:01:00 AM"</f>
        <v>4/5/2023 11:01:00 AM</v>
      </c>
      <c r="O19083" t="s">
        <v>58360</v>
      </c>
    </row>
    <row r="19084" spans="1:20" x14ac:dyDescent="0.25">
      <c r="A19084" t="str">
        <f>"3037359"</f>
        <v>3037359</v>
      </c>
      <c r="B19084" t="s">
        <v>58362</v>
      </c>
      <c r="C19084" t="str">
        <f>"8313285"</f>
        <v>8313285</v>
      </c>
      <c r="D19084" t="s">
        <v>58363</v>
      </c>
      <c r="F19084" t="s">
        <v>58364</v>
      </c>
      <c r="I19084" t="s">
        <v>58365</v>
      </c>
      <c r="J19084" t="s">
        <v>4132</v>
      </c>
      <c r="K19084" t="str">
        <f>"29621"</f>
        <v>29621</v>
      </c>
      <c r="M19084" t="s">
        <v>50621</v>
      </c>
      <c r="N19084" t="str">
        <f>"4/5/2023 2:13:00 PM"</f>
        <v>4/5/2023 2:13:00 PM</v>
      </c>
      <c r="O19084" t="s">
        <v>58363</v>
      </c>
    </row>
    <row r="19085" spans="1:20" x14ac:dyDescent="0.25">
      <c r="A19085" t="str">
        <f>"3044408"</f>
        <v>3044408</v>
      </c>
      <c r="B19085" t="s">
        <v>58366</v>
      </c>
      <c r="C19085" t="str">
        <f>"8319970"</f>
        <v>8319970</v>
      </c>
      <c r="D19085" t="s">
        <v>58367</v>
      </c>
      <c r="E19085" t="s">
        <v>58368</v>
      </c>
      <c r="F19085" t="s">
        <v>58369</v>
      </c>
      <c r="I19085" t="s">
        <v>184</v>
      </c>
      <c r="J19085" t="s">
        <v>30</v>
      </c>
      <c r="K19085" t="s">
        <v>5707</v>
      </c>
      <c r="M19085" t="s">
        <v>17861</v>
      </c>
      <c r="N19085" t="str">
        <f>"4/5/2023 4:07:00 PM"</f>
        <v>4/5/2023 4:07:00 PM</v>
      </c>
      <c r="O19085" t="s">
        <v>58367</v>
      </c>
      <c r="T19085" t="s">
        <v>58368</v>
      </c>
    </row>
    <row r="19086" spans="1:20" x14ac:dyDescent="0.25">
      <c r="A19086" t="str">
        <f>"3044784"</f>
        <v>3044784</v>
      </c>
      <c r="B19086" t="s">
        <v>58370</v>
      </c>
      <c r="C19086" t="str">
        <f>"8314362"</f>
        <v>8314362</v>
      </c>
      <c r="D19086" t="s">
        <v>58371</v>
      </c>
      <c r="E19086" t="s">
        <v>58372</v>
      </c>
      <c r="F19086" t="s">
        <v>58373</v>
      </c>
      <c r="I19086" t="s">
        <v>184</v>
      </c>
      <c r="J19086" t="s">
        <v>30</v>
      </c>
      <c r="K19086" t="s">
        <v>5886</v>
      </c>
      <c r="M19086" t="s">
        <v>18479</v>
      </c>
      <c r="N19086" t="str">
        <f>"4/6/2023 9:21:00 AM"</f>
        <v>4/6/2023 9:21:00 AM</v>
      </c>
      <c r="O19086" t="s">
        <v>58371</v>
      </c>
      <c r="T19086" t="s">
        <v>58372</v>
      </c>
    </row>
    <row r="19087" spans="1:20" x14ac:dyDescent="0.25">
      <c r="A19087" t="str">
        <f>"3045692"</f>
        <v>3045692</v>
      </c>
      <c r="B19087" t="s">
        <v>58374</v>
      </c>
      <c r="C19087" t="str">
        <f>"8319885"</f>
        <v>8319885</v>
      </c>
      <c r="D19087" t="s">
        <v>58375</v>
      </c>
      <c r="E19087" t="s">
        <v>58376</v>
      </c>
      <c r="F19087" t="s">
        <v>44742</v>
      </c>
      <c r="I19087" t="s">
        <v>44743</v>
      </c>
      <c r="J19087" t="s">
        <v>11697</v>
      </c>
      <c r="K19087" t="s">
        <v>44744</v>
      </c>
      <c r="M19087" t="s">
        <v>17861</v>
      </c>
      <c r="N19087" t="str">
        <f>"4/6/2023 10:29:00 AM"</f>
        <v>4/6/2023 10:29:00 AM</v>
      </c>
      <c r="O19087" t="s">
        <v>58375</v>
      </c>
      <c r="T19087" t="s">
        <v>58376</v>
      </c>
    </row>
    <row r="19088" spans="1:20" x14ac:dyDescent="0.25">
      <c r="A19088" t="str">
        <f>"3045228"</f>
        <v>3045228</v>
      </c>
      <c r="B19088" t="s">
        <v>58377</v>
      </c>
      <c r="C19088" t="str">
        <f>"8319885"</f>
        <v>8319885</v>
      </c>
      <c r="D19088" t="s">
        <v>58375</v>
      </c>
      <c r="E19088" t="s">
        <v>58376</v>
      </c>
      <c r="F19088" t="s">
        <v>44742</v>
      </c>
      <c r="I19088" t="s">
        <v>44743</v>
      </c>
      <c r="J19088" t="s">
        <v>11697</v>
      </c>
      <c r="K19088" t="s">
        <v>44744</v>
      </c>
      <c r="M19088" t="s">
        <v>17861</v>
      </c>
      <c r="N19088" t="str">
        <f>"4/6/2023 10:29:00 AM"</f>
        <v>4/6/2023 10:29:00 AM</v>
      </c>
      <c r="O19088" t="s">
        <v>58375</v>
      </c>
      <c r="T19088" t="s">
        <v>58376</v>
      </c>
    </row>
    <row r="19089" spans="1:20" x14ac:dyDescent="0.25">
      <c r="A19089" t="str">
        <f>"3059274"</f>
        <v>3059274</v>
      </c>
      <c r="B19089" t="s">
        <v>58378</v>
      </c>
      <c r="C19089" t="str">
        <f>"8319980"</f>
        <v>8319980</v>
      </c>
      <c r="D19089" t="s">
        <v>58379</v>
      </c>
      <c r="F19089" t="s">
        <v>58380</v>
      </c>
      <c r="I19089" t="s">
        <v>29</v>
      </c>
      <c r="J19089" t="s">
        <v>30</v>
      </c>
      <c r="K19089" t="s">
        <v>39075</v>
      </c>
      <c r="M19089" t="s">
        <v>17861</v>
      </c>
      <c r="N19089" t="str">
        <f>"4/6/2023 2:27:00 PM"</f>
        <v>4/6/2023 2:27:00 PM</v>
      </c>
      <c r="O19089" t="s">
        <v>58379</v>
      </c>
    </row>
    <row r="19090" spans="1:20" x14ac:dyDescent="0.25">
      <c r="A19090" t="str">
        <f>"3057777"</f>
        <v>3057777</v>
      </c>
      <c r="B19090" t="s">
        <v>58381</v>
      </c>
      <c r="C19090" t="str">
        <f>"8319981"</f>
        <v>8319981</v>
      </c>
      <c r="D19090" t="s">
        <v>58382</v>
      </c>
      <c r="E19090" t="s">
        <v>58383</v>
      </c>
      <c r="F19090" t="s">
        <v>58384</v>
      </c>
      <c r="I19090" t="s">
        <v>9345</v>
      </c>
      <c r="J19090" t="s">
        <v>30</v>
      </c>
      <c r="K19090" t="s">
        <v>58385</v>
      </c>
      <c r="M19090" t="s">
        <v>17861</v>
      </c>
      <c r="N19090" t="str">
        <f>"4/6/2023 2:30:00 PM"</f>
        <v>4/6/2023 2:30:00 PM</v>
      </c>
      <c r="O19090" t="s">
        <v>58382</v>
      </c>
      <c r="T19090" t="s">
        <v>58383</v>
      </c>
    </row>
    <row r="19091" spans="1:20" x14ac:dyDescent="0.25">
      <c r="A19091" t="str">
        <f>"3050127"</f>
        <v>3050127</v>
      </c>
      <c r="B19091" t="s">
        <v>58386</v>
      </c>
      <c r="C19091" t="str">
        <f>"8319984"</f>
        <v>8319984</v>
      </c>
      <c r="D19091" t="s">
        <v>58387</v>
      </c>
      <c r="E19091" t="s">
        <v>58388</v>
      </c>
      <c r="F19091" t="s">
        <v>58389</v>
      </c>
      <c r="I19091" t="s">
        <v>29</v>
      </c>
      <c r="J19091" t="s">
        <v>30</v>
      </c>
      <c r="K19091" t="s">
        <v>22200</v>
      </c>
      <c r="M19091" t="s">
        <v>17861</v>
      </c>
      <c r="N19091" t="str">
        <f>"4/6/2023 2:44:00 PM"</f>
        <v>4/6/2023 2:44:00 PM</v>
      </c>
      <c r="O19091" t="s">
        <v>58387</v>
      </c>
      <c r="T19091" t="s">
        <v>58388</v>
      </c>
    </row>
    <row r="19092" spans="1:20" x14ac:dyDescent="0.25">
      <c r="A19092" t="str">
        <f>"3066426"</f>
        <v>3066426</v>
      </c>
      <c r="B19092" t="s">
        <v>58390</v>
      </c>
      <c r="C19092" t="str">
        <f>"82526013"</f>
        <v>82526013</v>
      </c>
      <c r="D19092" t="s">
        <v>58391</v>
      </c>
      <c r="E19092" t="s">
        <v>58392</v>
      </c>
      <c r="F19092" t="s">
        <v>58393</v>
      </c>
      <c r="I19092" t="s">
        <v>2071</v>
      </c>
      <c r="J19092" t="s">
        <v>30</v>
      </c>
      <c r="K19092" t="s">
        <v>185</v>
      </c>
      <c r="M19092" t="s">
        <v>50621</v>
      </c>
      <c r="N19092" t="str">
        <f>"4/3/2023 10:23:00 AM"</f>
        <v>4/3/2023 10:23:00 AM</v>
      </c>
      <c r="O19092" t="s">
        <v>58391</v>
      </c>
      <c r="T19092" t="s">
        <v>58392</v>
      </c>
    </row>
    <row r="19093" spans="1:20" x14ac:dyDescent="0.25">
      <c r="A19093" t="str">
        <f>"3048468"</f>
        <v>3048468</v>
      </c>
      <c r="B19093" t="s">
        <v>58394</v>
      </c>
      <c r="C19093" t="str">
        <f>"24573060"</f>
        <v>24573060</v>
      </c>
      <c r="D19093" t="s">
        <v>58395</v>
      </c>
      <c r="E19093" t="s">
        <v>58396</v>
      </c>
      <c r="F19093" t="s">
        <v>58397</v>
      </c>
      <c r="I19093" t="s">
        <v>29</v>
      </c>
      <c r="J19093" t="s">
        <v>30</v>
      </c>
      <c r="K19093" t="s">
        <v>58398</v>
      </c>
      <c r="M19093" t="s">
        <v>50793</v>
      </c>
      <c r="N19093" t="str">
        <f>"4/11/2023 11:40:00 AM"</f>
        <v>4/11/2023 11:40:00 AM</v>
      </c>
      <c r="O19093" t="s">
        <v>58395</v>
      </c>
      <c r="T19093" t="s">
        <v>58396</v>
      </c>
    </row>
    <row r="19094" spans="1:20" x14ac:dyDescent="0.25">
      <c r="A19094" t="str">
        <f>"3046344"</f>
        <v>3046344</v>
      </c>
      <c r="B19094" t="s">
        <v>58399</v>
      </c>
      <c r="C19094" t="str">
        <f>"24573060"</f>
        <v>24573060</v>
      </c>
      <c r="D19094" t="s">
        <v>58395</v>
      </c>
      <c r="E19094" t="s">
        <v>58396</v>
      </c>
      <c r="F19094" t="s">
        <v>58397</v>
      </c>
      <c r="I19094" t="s">
        <v>29</v>
      </c>
      <c r="J19094" t="s">
        <v>30</v>
      </c>
      <c r="K19094" t="s">
        <v>58398</v>
      </c>
      <c r="M19094" t="s">
        <v>50793</v>
      </c>
      <c r="N19094" t="str">
        <f>"4/11/2023 11:40:00 AM"</f>
        <v>4/11/2023 11:40:00 AM</v>
      </c>
      <c r="O19094" t="s">
        <v>58395</v>
      </c>
      <c r="T19094" t="s">
        <v>58396</v>
      </c>
    </row>
    <row r="19095" spans="1:20" x14ac:dyDescent="0.25">
      <c r="A19095" t="str">
        <f>"3051409"</f>
        <v>3051409</v>
      </c>
      <c r="B19095" t="s">
        <v>58400</v>
      </c>
      <c r="C19095" t="str">
        <f>"8315453"</f>
        <v>8315453</v>
      </c>
      <c r="D19095" t="s">
        <v>58401</v>
      </c>
      <c r="F19095" t="s">
        <v>58402</v>
      </c>
      <c r="I19095" t="s">
        <v>29</v>
      </c>
      <c r="J19095" t="s">
        <v>30</v>
      </c>
      <c r="K19095" t="s">
        <v>14234</v>
      </c>
      <c r="M19095" t="s">
        <v>50621</v>
      </c>
      <c r="N19095" t="str">
        <f>"4/11/2023 10:58:00 AM"</f>
        <v>4/11/2023 10:58:00 AM</v>
      </c>
      <c r="O19095" t="s">
        <v>58401</v>
      </c>
    </row>
    <row r="19096" spans="1:20" x14ac:dyDescent="0.25">
      <c r="A19096" t="str">
        <f>"3042703"</f>
        <v>3042703</v>
      </c>
      <c r="B19096" t="s">
        <v>58403</v>
      </c>
      <c r="C19096" t="str">
        <f>"65608000"</f>
        <v>65608000</v>
      </c>
      <c r="D19096" t="s">
        <v>58404</v>
      </c>
      <c r="F19096" t="s">
        <v>58405</v>
      </c>
      <c r="I19096" t="s">
        <v>29</v>
      </c>
      <c r="J19096" t="s">
        <v>30</v>
      </c>
      <c r="K19096" t="s">
        <v>2677</v>
      </c>
      <c r="M19096" t="s">
        <v>50621</v>
      </c>
      <c r="N19096" t="str">
        <f>"4/11/2023 1:18:00 PM"</f>
        <v>4/11/2023 1:18:00 PM</v>
      </c>
      <c r="O19096" t="s">
        <v>58404</v>
      </c>
    </row>
    <row r="19097" spans="1:20" x14ac:dyDescent="0.25">
      <c r="A19097" t="str">
        <f>"3042336"</f>
        <v>3042336</v>
      </c>
      <c r="B19097" t="s">
        <v>58406</v>
      </c>
      <c r="C19097" t="str">
        <f>"8320000"</f>
        <v>8320000</v>
      </c>
      <c r="D19097" t="s">
        <v>58407</v>
      </c>
      <c r="F19097" t="s">
        <v>58408</v>
      </c>
      <c r="I19097" t="s">
        <v>29</v>
      </c>
      <c r="J19097" t="s">
        <v>30</v>
      </c>
      <c r="K19097" t="s">
        <v>38160</v>
      </c>
      <c r="M19097" t="s">
        <v>17861</v>
      </c>
      <c r="N19097" t="str">
        <f>"4/11/2023 1:21:00 PM"</f>
        <v>4/11/2023 1:21:00 PM</v>
      </c>
      <c r="O19097" t="s">
        <v>58407</v>
      </c>
    </row>
    <row r="19098" spans="1:20" x14ac:dyDescent="0.25">
      <c r="A19098" t="str">
        <f>"3046742"</f>
        <v>3046742</v>
      </c>
      <c r="B19098" t="s">
        <v>58409</v>
      </c>
      <c r="C19098" t="str">
        <f>"8320001"</f>
        <v>8320001</v>
      </c>
      <c r="D19098" t="s">
        <v>58410</v>
      </c>
      <c r="E19098" t="s">
        <v>58411</v>
      </c>
      <c r="F19098" t="s">
        <v>58412</v>
      </c>
      <c r="I19098" t="s">
        <v>184</v>
      </c>
      <c r="J19098" t="s">
        <v>30</v>
      </c>
      <c r="K19098" t="s">
        <v>58413</v>
      </c>
      <c r="M19098" t="s">
        <v>17861</v>
      </c>
      <c r="N19098" t="str">
        <f>"4/11/2023 1:26:00 PM"</f>
        <v>4/11/2023 1:26:00 PM</v>
      </c>
      <c r="O19098" t="s">
        <v>58410</v>
      </c>
      <c r="T19098" t="s">
        <v>58411</v>
      </c>
    </row>
    <row r="19099" spans="1:20" x14ac:dyDescent="0.25">
      <c r="A19099" t="str">
        <f>"3058442"</f>
        <v>3058442</v>
      </c>
      <c r="B19099" t="s">
        <v>58414</v>
      </c>
      <c r="C19099" t="str">
        <f>"8320002"</f>
        <v>8320002</v>
      </c>
      <c r="D19099" t="s">
        <v>58415</v>
      </c>
      <c r="E19099" t="s">
        <v>58416</v>
      </c>
      <c r="F19099" t="s">
        <v>58417</v>
      </c>
      <c r="I19099" t="s">
        <v>29</v>
      </c>
      <c r="J19099" t="s">
        <v>30</v>
      </c>
      <c r="K19099" t="s">
        <v>57737</v>
      </c>
      <c r="M19099" t="s">
        <v>17861</v>
      </c>
      <c r="N19099" t="str">
        <f>"4/11/2023 1:43:00 PM"</f>
        <v>4/11/2023 1:43:00 PM</v>
      </c>
      <c r="O19099" t="s">
        <v>58415</v>
      </c>
      <c r="T19099" t="s">
        <v>58416</v>
      </c>
    </row>
    <row r="19100" spans="1:20" x14ac:dyDescent="0.25">
      <c r="A19100" t="str">
        <f>"3052524"</f>
        <v>3052524</v>
      </c>
      <c r="B19100" t="s">
        <v>58418</v>
      </c>
      <c r="C19100" t="str">
        <f>"24573060"</f>
        <v>24573060</v>
      </c>
      <c r="D19100" t="s">
        <v>58395</v>
      </c>
      <c r="E19100" t="s">
        <v>58396</v>
      </c>
      <c r="F19100" t="s">
        <v>58397</v>
      </c>
      <c r="I19100" t="s">
        <v>29</v>
      </c>
      <c r="J19100" t="s">
        <v>30</v>
      </c>
      <c r="K19100" t="s">
        <v>58398</v>
      </c>
      <c r="M19100" t="s">
        <v>50793</v>
      </c>
      <c r="N19100" t="str">
        <f>"4/11/2023 11:40:00 AM"</f>
        <v>4/11/2023 11:40:00 AM</v>
      </c>
      <c r="O19100" t="s">
        <v>58395</v>
      </c>
      <c r="T19100" t="s">
        <v>58396</v>
      </c>
    </row>
    <row r="19101" spans="1:20" x14ac:dyDescent="0.25">
      <c r="A19101" t="str">
        <f>"3048693"</f>
        <v>3048693</v>
      </c>
      <c r="B19101" t="s">
        <v>58419</v>
      </c>
      <c r="C19101" t="str">
        <f>"24573060"</f>
        <v>24573060</v>
      </c>
      <c r="D19101" t="s">
        <v>58395</v>
      </c>
      <c r="E19101" t="s">
        <v>58396</v>
      </c>
      <c r="F19101" t="s">
        <v>58397</v>
      </c>
      <c r="I19101" t="s">
        <v>29</v>
      </c>
      <c r="J19101" t="s">
        <v>30</v>
      </c>
      <c r="K19101" t="s">
        <v>58398</v>
      </c>
      <c r="M19101" t="s">
        <v>50793</v>
      </c>
      <c r="N19101" t="str">
        <f>"4/11/2023 11:40:00 AM"</f>
        <v>4/11/2023 11:40:00 AM</v>
      </c>
      <c r="O19101" t="s">
        <v>58395</v>
      </c>
      <c r="T19101" t="s">
        <v>58396</v>
      </c>
    </row>
    <row r="19102" spans="1:20" x14ac:dyDescent="0.25">
      <c r="A19102" t="str">
        <f>"3048467"</f>
        <v>3048467</v>
      </c>
      <c r="B19102" t="s">
        <v>58420</v>
      </c>
      <c r="C19102" t="str">
        <f>"24573060"</f>
        <v>24573060</v>
      </c>
      <c r="D19102" t="s">
        <v>58395</v>
      </c>
      <c r="E19102" t="s">
        <v>58396</v>
      </c>
      <c r="F19102" t="s">
        <v>58397</v>
      </c>
      <c r="I19102" t="s">
        <v>29</v>
      </c>
      <c r="J19102" t="s">
        <v>30</v>
      </c>
      <c r="K19102" t="s">
        <v>58398</v>
      </c>
      <c r="M19102" t="s">
        <v>50793</v>
      </c>
      <c r="N19102" t="str">
        <f>"4/11/2023 11:40:00 AM"</f>
        <v>4/11/2023 11:40:00 AM</v>
      </c>
      <c r="O19102" t="s">
        <v>58395</v>
      </c>
      <c r="T19102" t="s">
        <v>58396</v>
      </c>
    </row>
    <row r="19103" spans="1:20" x14ac:dyDescent="0.25">
      <c r="A19103" t="str">
        <f>"3047452"</f>
        <v>3047452</v>
      </c>
      <c r="B19103" t="s">
        <v>58421</v>
      </c>
      <c r="C19103" t="str">
        <f>"61847000"</f>
        <v>61847000</v>
      </c>
      <c r="D19103" t="s">
        <v>58422</v>
      </c>
      <c r="F19103" t="s">
        <v>58423</v>
      </c>
      <c r="I19103" t="s">
        <v>184</v>
      </c>
      <c r="J19103" t="s">
        <v>30</v>
      </c>
      <c r="K19103" t="s">
        <v>43381</v>
      </c>
      <c r="M19103" t="s">
        <v>50621</v>
      </c>
      <c r="N19103" t="str">
        <f>"4/10/2023 2:09:00 PM"</f>
        <v>4/10/2023 2:09:00 PM</v>
      </c>
      <c r="O19103" t="s">
        <v>58422</v>
      </c>
    </row>
    <row r="19104" spans="1:20" x14ac:dyDescent="0.25">
      <c r="A19104" t="str">
        <f>"3056707"</f>
        <v>3056707</v>
      </c>
      <c r="B19104" t="s">
        <v>58424</v>
      </c>
      <c r="C19104" t="str">
        <f>"8320005"</f>
        <v>8320005</v>
      </c>
      <c r="D19104" t="s">
        <v>58425</v>
      </c>
      <c r="E19104" t="s">
        <v>58426</v>
      </c>
      <c r="F19104" t="s">
        <v>58427</v>
      </c>
      <c r="I19104" t="s">
        <v>29</v>
      </c>
      <c r="J19104" t="s">
        <v>30</v>
      </c>
      <c r="K19104" t="s">
        <v>58428</v>
      </c>
      <c r="M19104" t="s">
        <v>17861</v>
      </c>
      <c r="N19104" t="str">
        <f>"4/12/2023 9:28:00 AM"</f>
        <v>4/12/2023 9:28:00 AM</v>
      </c>
      <c r="O19104" t="s">
        <v>58425</v>
      </c>
      <c r="T19104" t="s">
        <v>58426</v>
      </c>
    </row>
    <row r="19105" spans="1:20" x14ac:dyDescent="0.25">
      <c r="A19105" t="str">
        <f>"3050038"</f>
        <v>3050038</v>
      </c>
      <c r="B19105" t="s">
        <v>58429</v>
      </c>
      <c r="C19105" t="str">
        <f>"8306043"</f>
        <v>8306043</v>
      </c>
      <c r="D19105" t="s">
        <v>58430</v>
      </c>
      <c r="E19105" t="s">
        <v>58431</v>
      </c>
      <c r="F19105" t="s">
        <v>58432</v>
      </c>
      <c r="I19105" t="s">
        <v>29</v>
      </c>
      <c r="J19105" t="s">
        <v>30</v>
      </c>
      <c r="K19105" t="str">
        <f>"27028"</f>
        <v>27028</v>
      </c>
      <c r="M19105" t="s">
        <v>50621</v>
      </c>
      <c r="N19105" t="str">
        <f>"4/12/2023 11:00:00 AM"</f>
        <v>4/12/2023 11:00:00 AM</v>
      </c>
      <c r="O19105" t="s">
        <v>58430</v>
      </c>
      <c r="T19105" t="s">
        <v>58431</v>
      </c>
    </row>
    <row r="19106" spans="1:20" x14ac:dyDescent="0.25">
      <c r="A19106" t="str">
        <f>"3047769"</f>
        <v>3047769</v>
      </c>
      <c r="B19106" t="s">
        <v>58433</v>
      </c>
      <c r="C19106" t="str">
        <f>"61847000"</f>
        <v>61847000</v>
      </c>
      <c r="D19106" t="s">
        <v>58422</v>
      </c>
      <c r="F19106" t="s">
        <v>58423</v>
      </c>
      <c r="I19106" t="s">
        <v>184</v>
      </c>
      <c r="J19106" t="s">
        <v>30</v>
      </c>
      <c r="K19106" t="s">
        <v>43381</v>
      </c>
      <c r="M19106" t="s">
        <v>50621</v>
      </c>
      <c r="N19106" t="str">
        <f>"4/10/2023 2:09:00 PM"</f>
        <v>4/10/2023 2:09:00 PM</v>
      </c>
      <c r="O19106" t="s">
        <v>58422</v>
      </c>
    </row>
    <row r="19107" spans="1:20" x14ac:dyDescent="0.25">
      <c r="A19107" t="str">
        <f>"3051835"</f>
        <v>3051835</v>
      </c>
      <c r="B19107" t="s">
        <v>58434</v>
      </c>
      <c r="C19107" t="str">
        <f>"8306379"</f>
        <v>8306379</v>
      </c>
      <c r="D19107" t="s">
        <v>58435</v>
      </c>
      <c r="F19107" t="s">
        <v>58436</v>
      </c>
      <c r="I19107" t="s">
        <v>29</v>
      </c>
      <c r="J19107" t="s">
        <v>30</v>
      </c>
      <c r="K19107" t="s">
        <v>58437</v>
      </c>
      <c r="M19107" t="s">
        <v>50621</v>
      </c>
      <c r="N19107" t="str">
        <f>"4/11/2023 8:56:00 AM"</f>
        <v>4/11/2023 8:56:00 AM</v>
      </c>
      <c r="O19107" t="s">
        <v>58435</v>
      </c>
    </row>
    <row r="19108" spans="1:20" x14ac:dyDescent="0.25">
      <c r="A19108" t="str">
        <f>"3054065"</f>
        <v>3054065</v>
      </c>
      <c r="B19108" t="s">
        <v>58438</v>
      </c>
      <c r="C19108" t="str">
        <f>"43111250"</f>
        <v>43111250</v>
      </c>
      <c r="D19108" t="s">
        <v>58439</v>
      </c>
      <c r="F19108" t="s">
        <v>58440</v>
      </c>
      <c r="I19108" t="s">
        <v>33939</v>
      </c>
      <c r="J19108" t="s">
        <v>12725</v>
      </c>
      <c r="K19108" t="s">
        <v>58441</v>
      </c>
      <c r="M19108" t="s">
        <v>50621</v>
      </c>
      <c r="N19108" t="str">
        <f>"4/12/2023 2:14:00 PM"</f>
        <v>4/12/2023 2:14:00 PM</v>
      </c>
      <c r="O19108" t="s">
        <v>58439</v>
      </c>
    </row>
    <row r="19109" spans="1:20" x14ac:dyDescent="0.25">
      <c r="A19109" t="str">
        <f>"3052743"</f>
        <v>3052743</v>
      </c>
      <c r="B19109" t="s">
        <v>58442</v>
      </c>
      <c r="C19109" t="str">
        <f>"8317694"</f>
        <v>8317694</v>
      </c>
      <c r="D19109" t="s">
        <v>58443</v>
      </c>
      <c r="E19109" t="s">
        <v>58444</v>
      </c>
      <c r="F19109" t="s">
        <v>58445</v>
      </c>
      <c r="I19109" t="s">
        <v>58446</v>
      </c>
      <c r="J19109" t="s">
        <v>12725</v>
      </c>
      <c r="K19109" t="s">
        <v>58447</v>
      </c>
      <c r="M19109" t="s">
        <v>50793</v>
      </c>
      <c r="N19109" t="str">
        <f>"4/12/2023 2:17:00 PM"</f>
        <v>4/12/2023 2:17:00 PM</v>
      </c>
      <c r="O19109" t="s">
        <v>58443</v>
      </c>
      <c r="T19109" t="s">
        <v>58444</v>
      </c>
    </row>
    <row r="19110" spans="1:20" x14ac:dyDescent="0.25">
      <c r="A19110" t="str">
        <f>"3051805"</f>
        <v>3051805</v>
      </c>
      <c r="B19110" t="s">
        <v>58448</v>
      </c>
      <c r="C19110" t="str">
        <f>"41512000"</f>
        <v>41512000</v>
      </c>
      <c r="D19110" t="s">
        <v>58449</v>
      </c>
      <c r="F19110" t="s">
        <v>58450</v>
      </c>
      <c r="I19110" t="s">
        <v>29</v>
      </c>
      <c r="J19110" t="s">
        <v>30</v>
      </c>
      <c r="K19110" t="s">
        <v>31</v>
      </c>
      <c r="M19110" t="s">
        <v>50621</v>
      </c>
      <c r="N19110" t="str">
        <f>"4/11/2023 9:06:00 AM"</f>
        <v>4/11/2023 9:06:00 AM</v>
      </c>
      <c r="O19110" t="s">
        <v>58449</v>
      </c>
    </row>
    <row r="19111" spans="1:20" x14ac:dyDescent="0.25">
      <c r="A19111" t="str">
        <f>"3049550"</f>
        <v>3049550</v>
      </c>
      <c r="B19111" t="s">
        <v>58451</v>
      </c>
      <c r="C19111" t="str">
        <f>"8315431"</f>
        <v>8315431</v>
      </c>
      <c r="D19111" t="s">
        <v>58452</v>
      </c>
      <c r="F19111" t="s">
        <v>46854</v>
      </c>
      <c r="I19111" t="s">
        <v>46855</v>
      </c>
      <c r="J19111" t="s">
        <v>3150</v>
      </c>
      <c r="K19111" t="str">
        <f>"46814"</f>
        <v>46814</v>
      </c>
      <c r="M19111" t="s">
        <v>50621</v>
      </c>
      <c r="N19111" t="str">
        <f>"4/12/2023 3:07:00 PM"</f>
        <v>4/12/2023 3:07:00 PM</v>
      </c>
      <c r="O19111" t="s">
        <v>58452</v>
      </c>
    </row>
    <row r="19112" spans="1:20" x14ac:dyDescent="0.25">
      <c r="A19112" t="str">
        <f>"3064687"</f>
        <v>3064687</v>
      </c>
      <c r="B19112" t="s">
        <v>58453</v>
      </c>
      <c r="C19112" t="str">
        <f>"8315431"</f>
        <v>8315431</v>
      </c>
      <c r="D19112" t="s">
        <v>58452</v>
      </c>
      <c r="F19112" t="s">
        <v>46854</v>
      </c>
      <c r="I19112" t="s">
        <v>46855</v>
      </c>
      <c r="J19112" t="s">
        <v>3150</v>
      </c>
      <c r="K19112" t="str">
        <f>"46814"</f>
        <v>46814</v>
      </c>
      <c r="M19112" t="s">
        <v>50621</v>
      </c>
      <c r="N19112" t="str">
        <f>"4/12/2023 3:07:00 PM"</f>
        <v>4/12/2023 3:07:00 PM</v>
      </c>
      <c r="O19112" t="s">
        <v>58452</v>
      </c>
    </row>
    <row r="19113" spans="1:20" x14ac:dyDescent="0.25">
      <c r="A19113" t="str">
        <f>"3075087"</f>
        <v>3075087</v>
      </c>
      <c r="B19113" t="s">
        <v>58454</v>
      </c>
      <c r="C19113" t="str">
        <f>"82531261"</f>
        <v>82531261</v>
      </c>
      <c r="D19113" t="s">
        <v>58455</v>
      </c>
      <c r="F19113" t="s">
        <v>58456</v>
      </c>
      <c r="I19113" t="s">
        <v>29</v>
      </c>
      <c r="J19113" t="s">
        <v>30</v>
      </c>
      <c r="K19113" t="s">
        <v>58457</v>
      </c>
      <c r="M19113" t="s">
        <v>50621</v>
      </c>
      <c r="N19113" t="str">
        <f>"4/12/2023 3:08:00 PM"</f>
        <v>4/12/2023 3:08:00 PM</v>
      </c>
      <c r="O19113" t="s">
        <v>58455</v>
      </c>
    </row>
    <row r="19114" spans="1:20" x14ac:dyDescent="0.25">
      <c r="A19114" t="str">
        <f>"3046637"</f>
        <v>3046637</v>
      </c>
      <c r="B19114" t="s">
        <v>58458</v>
      </c>
      <c r="C19114" t="str">
        <f>"44920100"</f>
        <v>44920100</v>
      </c>
      <c r="D19114" t="s">
        <v>33969</v>
      </c>
      <c r="E19114" t="s">
        <v>33970</v>
      </c>
      <c r="F19114" t="s">
        <v>58459</v>
      </c>
      <c r="I19114" t="s">
        <v>17921</v>
      </c>
      <c r="J19114" t="s">
        <v>30</v>
      </c>
      <c r="K19114" t="s">
        <v>31</v>
      </c>
      <c r="M19114" t="s">
        <v>50621</v>
      </c>
      <c r="N19114" t="str">
        <f>"4/12/2023 3:09:00 PM"</f>
        <v>4/12/2023 3:09:00 PM</v>
      </c>
      <c r="O19114" t="s">
        <v>33969</v>
      </c>
      <c r="T19114" t="s">
        <v>33970</v>
      </c>
    </row>
    <row r="19115" spans="1:20" x14ac:dyDescent="0.25">
      <c r="A19115" t="str">
        <f>"3046903"</f>
        <v>3046903</v>
      </c>
      <c r="B19115" t="s">
        <v>58460</v>
      </c>
      <c r="C19115" t="str">
        <f>"44920100"</f>
        <v>44920100</v>
      </c>
      <c r="D19115" t="s">
        <v>33969</v>
      </c>
      <c r="E19115" t="s">
        <v>33970</v>
      </c>
      <c r="F19115" t="s">
        <v>58459</v>
      </c>
      <c r="I19115" t="s">
        <v>17921</v>
      </c>
      <c r="J19115" t="s">
        <v>30</v>
      </c>
      <c r="K19115" t="s">
        <v>31</v>
      </c>
      <c r="M19115" t="s">
        <v>50621</v>
      </c>
      <c r="N19115" t="str">
        <f>"4/12/2023 3:09:00 PM"</f>
        <v>4/12/2023 3:09:00 PM</v>
      </c>
      <c r="O19115" t="s">
        <v>33969</v>
      </c>
      <c r="T19115" t="s">
        <v>33970</v>
      </c>
    </row>
    <row r="19116" spans="1:20" x14ac:dyDescent="0.25">
      <c r="A19116" t="str">
        <f>"3052564"</f>
        <v>3052564</v>
      </c>
      <c r="B19116" t="s">
        <v>58461</v>
      </c>
      <c r="C19116" t="str">
        <f>"41512000"</f>
        <v>41512000</v>
      </c>
      <c r="D19116" t="s">
        <v>58449</v>
      </c>
      <c r="F19116" t="s">
        <v>58450</v>
      </c>
      <c r="I19116" t="s">
        <v>29</v>
      </c>
      <c r="J19116" t="s">
        <v>30</v>
      </c>
      <c r="K19116" t="s">
        <v>31</v>
      </c>
      <c r="M19116" t="s">
        <v>50621</v>
      </c>
      <c r="N19116" t="str">
        <f>"4/11/2023 9:06:00 AM"</f>
        <v>4/11/2023 9:06:00 AM</v>
      </c>
      <c r="O19116" t="s">
        <v>58449</v>
      </c>
    </row>
    <row r="19117" spans="1:20" x14ac:dyDescent="0.25">
      <c r="A19117" t="str">
        <f>"3051875"</f>
        <v>3051875</v>
      </c>
      <c r="B19117" t="s">
        <v>58462</v>
      </c>
      <c r="C19117" t="str">
        <f>"8312980"</f>
        <v>8312980</v>
      </c>
      <c r="D19117" t="s">
        <v>58463</v>
      </c>
      <c r="F19117" t="s">
        <v>22771</v>
      </c>
      <c r="I19117" t="s">
        <v>17921</v>
      </c>
      <c r="J19117" t="s">
        <v>30</v>
      </c>
      <c r="K19117" t="s">
        <v>58464</v>
      </c>
      <c r="M19117" t="s">
        <v>50621</v>
      </c>
      <c r="N19117" t="str">
        <f>"4/11/2023 9:06:00 AM"</f>
        <v>4/11/2023 9:06:00 AM</v>
      </c>
      <c r="O19117" t="s">
        <v>58463</v>
      </c>
    </row>
    <row r="19118" spans="1:20" x14ac:dyDescent="0.25">
      <c r="A19118" t="str">
        <f>"3048544"</f>
        <v>3048544</v>
      </c>
      <c r="B19118" t="s">
        <v>58465</v>
      </c>
      <c r="C19118" t="str">
        <f>"8312980"</f>
        <v>8312980</v>
      </c>
      <c r="D19118" t="s">
        <v>58463</v>
      </c>
      <c r="F19118" t="s">
        <v>22771</v>
      </c>
      <c r="I19118" t="s">
        <v>17921</v>
      </c>
      <c r="J19118" t="s">
        <v>30</v>
      </c>
      <c r="K19118" t="s">
        <v>58464</v>
      </c>
      <c r="M19118" t="s">
        <v>50621</v>
      </c>
      <c r="N19118" t="str">
        <f>"4/11/2023 9:06:00 AM"</f>
        <v>4/11/2023 9:06:00 AM</v>
      </c>
      <c r="O19118" t="s">
        <v>58463</v>
      </c>
    </row>
    <row r="19119" spans="1:20" x14ac:dyDescent="0.25">
      <c r="A19119" t="str">
        <f>"3056917"</f>
        <v>3056917</v>
      </c>
      <c r="B19119" t="s">
        <v>58466</v>
      </c>
      <c r="C19119" t="str">
        <f>"8312980"</f>
        <v>8312980</v>
      </c>
      <c r="D19119" t="s">
        <v>58463</v>
      </c>
      <c r="F19119" t="s">
        <v>22771</v>
      </c>
      <c r="I19119" t="s">
        <v>17921</v>
      </c>
      <c r="J19119" t="s">
        <v>30</v>
      </c>
      <c r="K19119" t="s">
        <v>58464</v>
      </c>
      <c r="M19119" t="s">
        <v>50621</v>
      </c>
      <c r="N19119" t="str">
        <f>"4/11/2023 9:06:00 AM"</f>
        <v>4/11/2023 9:06:00 AM</v>
      </c>
      <c r="O19119" t="s">
        <v>58463</v>
      </c>
    </row>
    <row r="19120" spans="1:20" x14ac:dyDescent="0.25">
      <c r="A19120" t="str">
        <f>"3055322"</f>
        <v>3055322</v>
      </c>
      <c r="B19120" t="s">
        <v>58467</v>
      </c>
      <c r="C19120" t="str">
        <f>"63132500"</f>
        <v>63132500</v>
      </c>
      <c r="D19120" t="s">
        <v>58468</v>
      </c>
      <c r="F19120" t="s">
        <v>58469</v>
      </c>
      <c r="I19120" t="s">
        <v>29</v>
      </c>
      <c r="J19120" t="s">
        <v>30</v>
      </c>
      <c r="K19120" t="s">
        <v>58470</v>
      </c>
      <c r="M19120" t="s">
        <v>50621</v>
      </c>
      <c r="N19120" t="str">
        <f>"4/11/2023 9:43:00 AM"</f>
        <v>4/11/2023 9:43:00 AM</v>
      </c>
      <c r="O19120" t="s">
        <v>58468</v>
      </c>
    </row>
    <row r="19121" spans="1:20" x14ac:dyDescent="0.25">
      <c r="A19121" t="str">
        <f>"3057883"</f>
        <v>3057883</v>
      </c>
      <c r="B19121" t="s">
        <v>58471</v>
      </c>
      <c r="C19121" t="str">
        <f>"8320046"</f>
        <v>8320046</v>
      </c>
      <c r="D19121" t="s">
        <v>58472</v>
      </c>
      <c r="E19121" t="s">
        <v>58473</v>
      </c>
      <c r="F19121" t="s">
        <v>58474</v>
      </c>
      <c r="I19121" t="s">
        <v>184</v>
      </c>
      <c r="J19121" t="s">
        <v>30</v>
      </c>
      <c r="K19121" t="str">
        <f>"27006"</f>
        <v>27006</v>
      </c>
      <c r="M19121" t="s">
        <v>17861</v>
      </c>
      <c r="N19121" t="str">
        <f>"4/13/2023 1:57:00 PM"</f>
        <v>4/13/2023 1:57:00 PM</v>
      </c>
      <c r="O19121" t="s">
        <v>58472</v>
      </c>
      <c r="T19121" t="s">
        <v>58473</v>
      </c>
    </row>
    <row r="19122" spans="1:20" x14ac:dyDescent="0.25">
      <c r="A19122" t="str">
        <f>"3044019"</f>
        <v>3044019</v>
      </c>
      <c r="B19122" t="s">
        <v>58475</v>
      </c>
      <c r="C19122" t="str">
        <f>"8313876"</f>
        <v>8313876</v>
      </c>
      <c r="D19122" t="s">
        <v>58476</v>
      </c>
      <c r="E19122" t="s">
        <v>58477</v>
      </c>
      <c r="F19122" t="s">
        <v>58478</v>
      </c>
      <c r="I19122" t="s">
        <v>184</v>
      </c>
      <c r="J19122" t="s">
        <v>30</v>
      </c>
      <c r="K19122" t="s">
        <v>56775</v>
      </c>
      <c r="M19122" t="s">
        <v>50621</v>
      </c>
      <c r="N19122" t="str">
        <f>"4/11/2023 9:52:00 AM"</f>
        <v>4/11/2023 9:52:00 AM</v>
      </c>
      <c r="O19122" t="s">
        <v>58476</v>
      </c>
      <c r="T19122" t="s">
        <v>58477</v>
      </c>
    </row>
    <row r="19123" spans="1:20" x14ac:dyDescent="0.25">
      <c r="A19123" t="str">
        <f>"3046272"</f>
        <v>3046272</v>
      </c>
      <c r="B19123" t="s">
        <v>58479</v>
      </c>
      <c r="C19123" t="str">
        <f>"8305721"</f>
        <v>8305721</v>
      </c>
      <c r="D19123" t="s">
        <v>58480</v>
      </c>
      <c r="F19123" t="s">
        <v>48466</v>
      </c>
      <c r="I19123" t="s">
        <v>29</v>
      </c>
      <c r="J19123" t="s">
        <v>30</v>
      </c>
      <c r="K19123" t="s">
        <v>48467</v>
      </c>
      <c r="M19123" t="s">
        <v>50621</v>
      </c>
      <c r="N19123" t="str">
        <f>"4/14/2023 9:11:00 AM"</f>
        <v>4/14/2023 9:11:00 AM</v>
      </c>
      <c r="O19123" t="s">
        <v>58480</v>
      </c>
    </row>
    <row r="19124" spans="1:20" x14ac:dyDescent="0.25">
      <c r="A19124" t="str">
        <f>"3056942"</f>
        <v>3056942</v>
      </c>
      <c r="B19124" t="s">
        <v>58481</v>
      </c>
      <c r="C19124" t="str">
        <f>"8320048"</f>
        <v>8320048</v>
      </c>
      <c r="D19124" t="s">
        <v>58482</v>
      </c>
      <c r="F19124" t="s">
        <v>58483</v>
      </c>
      <c r="I19124" t="s">
        <v>29</v>
      </c>
      <c r="J19124" t="s">
        <v>30</v>
      </c>
      <c r="K19124" t="s">
        <v>11151</v>
      </c>
      <c r="M19124" t="s">
        <v>17861</v>
      </c>
      <c r="N19124" t="str">
        <f>"4/14/2023 10:50:00 AM"</f>
        <v>4/14/2023 10:50:00 AM</v>
      </c>
      <c r="O19124" t="s">
        <v>58482</v>
      </c>
    </row>
    <row r="19125" spans="1:20" x14ac:dyDescent="0.25">
      <c r="A19125" t="str">
        <f>"3059236"</f>
        <v>3059236</v>
      </c>
      <c r="B19125" t="s">
        <v>58484</v>
      </c>
      <c r="C19125" t="str">
        <f>"8320048"</f>
        <v>8320048</v>
      </c>
      <c r="D19125" t="s">
        <v>58482</v>
      </c>
      <c r="F19125" t="s">
        <v>58483</v>
      </c>
      <c r="I19125" t="s">
        <v>29</v>
      </c>
      <c r="J19125" t="s">
        <v>30</v>
      </c>
      <c r="K19125" t="s">
        <v>11151</v>
      </c>
      <c r="M19125" t="s">
        <v>17861</v>
      </c>
      <c r="N19125" t="str">
        <f>"4/14/2023 10:50:00 AM"</f>
        <v>4/14/2023 10:50:00 AM</v>
      </c>
      <c r="O19125" t="s">
        <v>58482</v>
      </c>
    </row>
    <row r="19126" spans="1:20" x14ac:dyDescent="0.25">
      <c r="A19126" t="str">
        <f>"3043868"</f>
        <v>3043868</v>
      </c>
      <c r="B19126" t="s">
        <v>58485</v>
      </c>
      <c r="C19126" t="str">
        <f>"8313876"</f>
        <v>8313876</v>
      </c>
      <c r="D19126" t="s">
        <v>58476</v>
      </c>
      <c r="E19126" t="s">
        <v>58477</v>
      </c>
      <c r="F19126" t="s">
        <v>58478</v>
      </c>
      <c r="I19126" t="s">
        <v>184</v>
      </c>
      <c r="J19126" t="s">
        <v>30</v>
      </c>
      <c r="K19126" t="s">
        <v>56775</v>
      </c>
      <c r="M19126" t="s">
        <v>50621</v>
      </c>
      <c r="N19126" t="str">
        <f>"4/11/2023 9:52:00 AM"</f>
        <v>4/11/2023 9:52:00 AM</v>
      </c>
      <c r="O19126" t="s">
        <v>58476</v>
      </c>
      <c r="T19126" t="s">
        <v>58477</v>
      </c>
    </row>
    <row r="19127" spans="1:20" x14ac:dyDescent="0.25">
      <c r="A19127" t="str">
        <f>"3044172"</f>
        <v>3044172</v>
      </c>
      <c r="B19127" t="s">
        <v>58486</v>
      </c>
      <c r="C19127" t="str">
        <f>"8313876"</f>
        <v>8313876</v>
      </c>
      <c r="D19127" t="s">
        <v>58476</v>
      </c>
      <c r="E19127" t="s">
        <v>58477</v>
      </c>
      <c r="F19127" t="s">
        <v>58478</v>
      </c>
      <c r="I19127" t="s">
        <v>184</v>
      </c>
      <c r="J19127" t="s">
        <v>30</v>
      </c>
      <c r="K19127" t="s">
        <v>56775</v>
      </c>
      <c r="M19127" t="s">
        <v>50621</v>
      </c>
      <c r="N19127" t="str">
        <f>"4/11/2023 9:52:00 AM"</f>
        <v>4/11/2023 9:52:00 AM</v>
      </c>
      <c r="O19127" t="s">
        <v>58476</v>
      </c>
      <c r="T19127" t="s">
        <v>58477</v>
      </c>
    </row>
    <row r="19128" spans="1:20" x14ac:dyDescent="0.25">
      <c r="A19128" t="str">
        <f>"3058472"</f>
        <v>3058472</v>
      </c>
      <c r="B19128" t="s">
        <v>58487</v>
      </c>
      <c r="C19128" t="str">
        <f>"8319993"</f>
        <v>8319993</v>
      </c>
      <c r="D19128" t="s">
        <v>58488</v>
      </c>
      <c r="E19128" t="s">
        <v>58489</v>
      </c>
      <c r="F19128" t="s">
        <v>58490</v>
      </c>
      <c r="I19128" t="s">
        <v>29</v>
      </c>
      <c r="J19128" t="s">
        <v>30</v>
      </c>
      <c r="K19128" t="s">
        <v>57737</v>
      </c>
      <c r="M19128" t="s">
        <v>17861</v>
      </c>
      <c r="N19128" t="str">
        <f>"4/11/2023 10:22:00 AM"</f>
        <v>4/11/2023 10:22:00 AM</v>
      </c>
      <c r="O19128" t="s">
        <v>58488</v>
      </c>
      <c r="T19128" t="s">
        <v>58489</v>
      </c>
    </row>
    <row r="19129" spans="1:20" x14ac:dyDescent="0.25">
      <c r="A19129" t="str">
        <f>"3063035"</f>
        <v>3063035</v>
      </c>
      <c r="B19129" t="s">
        <v>58491</v>
      </c>
      <c r="C19129" t="str">
        <f>"8319994"</f>
        <v>8319994</v>
      </c>
      <c r="D19129" t="s">
        <v>58492</v>
      </c>
      <c r="E19129" t="s">
        <v>58493</v>
      </c>
      <c r="F19129" t="s">
        <v>58494</v>
      </c>
      <c r="I19129" t="s">
        <v>184</v>
      </c>
      <c r="J19129" t="s">
        <v>30</v>
      </c>
      <c r="K19129" t="s">
        <v>47887</v>
      </c>
      <c r="M19129" t="s">
        <v>17861</v>
      </c>
      <c r="N19129" t="str">
        <f>"4/11/2023 10:32:00 AM"</f>
        <v>4/11/2023 10:32:00 AM</v>
      </c>
      <c r="O19129" t="s">
        <v>58492</v>
      </c>
      <c r="T19129" t="s">
        <v>58493</v>
      </c>
    </row>
    <row r="19130" spans="1:20" x14ac:dyDescent="0.25">
      <c r="A19130" t="str">
        <f>"3048637"</f>
        <v>3048637</v>
      </c>
      <c r="B19130" t="s">
        <v>58495</v>
      </c>
      <c r="C19130" t="str">
        <f>"8320050"</f>
        <v>8320050</v>
      </c>
      <c r="D19130" t="s">
        <v>58496</v>
      </c>
      <c r="E19130" t="s">
        <v>58497</v>
      </c>
      <c r="F19130" t="s">
        <v>58498</v>
      </c>
      <c r="I19130" t="s">
        <v>2071</v>
      </c>
      <c r="J19130" t="s">
        <v>30</v>
      </c>
      <c r="K19130" t="s">
        <v>58499</v>
      </c>
      <c r="M19130" t="s">
        <v>17861</v>
      </c>
      <c r="N19130" t="str">
        <f>"4/14/2023 12:41:00 PM"</f>
        <v>4/14/2023 12:41:00 PM</v>
      </c>
      <c r="O19130" t="s">
        <v>58496</v>
      </c>
      <c r="T19130" t="s">
        <v>58497</v>
      </c>
    </row>
    <row r="19131" spans="1:20" x14ac:dyDescent="0.25">
      <c r="A19131" t="str">
        <f>"3058466"</f>
        <v>3058466</v>
      </c>
      <c r="B19131" t="s">
        <v>58500</v>
      </c>
      <c r="C19131" t="str">
        <f>"8320051"</f>
        <v>8320051</v>
      </c>
      <c r="D19131" t="s">
        <v>58501</v>
      </c>
      <c r="E19131" t="s">
        <v>58502</v>
      </c>
      <c r="F19131" t="s">
        <v>58503</v>
      </c>
      <c r="I19131" t="s">
        <v>29</v>
      </c>
      <c r="J19131" t="s">
        <v>30</v>
      </c>
      <c r="K19131" t="s">
        <v>52622</v>
      </c>
      <c r="M19131" t="s">
        <v>17861</v>
      </c>
      <c r="N19131" t="str">
        <f>"4/14/2023 12:43:00 PM"</f>
        <v>4/14/2023 12:43:00 PM</v>
      </c>
      <c r="O19131" t="s">
        <v>58501</v>
      </c>
      <c r="T19131" t="s">
        <v>58502</v>
      </c>
    </row>
    <row r="19132" spans="1:20" x14ac:dyDescent="0.25">
      <c r="A19132" t="str">
        <f>"3043229"</f>
        <v>3043229</v>
      </c>
      <c r="B19132" t="s">
        <v>58504</v>
      </c>
      <c r="C19132" t="str">
        <f>"8314041"</f>
        <v>8314041</v>
      </c>
      <c r="D19132" t="s">
        <v>23180</v>
      </c>
      <c r="F19132" t="s">
        <v>58505</v>
      </c>
      <c r="I19132" t="s">
        <v>29</v>
      </c>
      <c r="J19132" t="s">
        <v>30</v>
      </c>
      <c r="K19132" t="s">
        <v>26737</v>
      </c>
      <c r="M19132" t="s">
        <v>50621</v>
      </c>
      <c r="N19132" t="str">
        <f>"4/14/2023 12:51:00 PM"</f>
        <v>4/14/2023 12:51:00 PM</v>
      </c>
      <c r="O19132" t="s">
        <v>23180</v>
      </c>
    </row>
    <row r="19133" spans="1:20" x14ac:dyDescent="0.25">
      <c r="A19133" t="str">
        <f>"3043669"</f>
        <v>3043669</v>
      </c>
      <c r="B19133" t="s">
        <v>58506</v>
      </c>
      <c r="C19133" t="str">
        <f>"8314041"</f>
        <v>8314041</v>
      </c>
      <c r="D19133" t="s">
        <v>23180</v>
      </c>
      <c r="F19133" t="s">
        <v>58505</v>
      </c>
      <c r="I19133" t="s">
        <v>29</v>
      </c>
      <c r="J19133" t="s">
        <v>30</v>
      </c>
      <c r="K19133" t="s">
        <v>26737</v>
      </c>
      <c r="M19133" t="s">
        <v>50621</v>
      </c>
      <c r="N19133" t="str">
        <f>"4/14/2023 12:51:00 PM"</f>
        <v>4/14/2023 12:51:00 PM</v>
      </c>
      <c r="O19133" t="s">
        <v>23180</v>
      </c>
    </row>
    <row r="19134" spans="1:20" x14ac:dyDescent="0.25">
      <c r="A19134" t="str">
        <f>"3061724"</f>
        <v>3061724</v>
      </c>
      <c r="B19134" t="s">
        <v>58507</v>
      </c>
      <c r="C19134" t="str">
        <f>"8320053"</f>
        <v>8320053</v>
      </c>
      <c r="D19134" t="s">
        <v>58508</v>
      </c>
      <c r="F19134" t="s">
        <v>58509</v>
      </c>
      <c r="I19134" t="s">
        <v>2071</v>
      </c>
      <c r="J19134" t="s">
        <v>30</v>
      </c>
      <c r="K19134" t="s">
        <v>30968</v>
      </c>
      <c r="M19134" t="s">
        <v>17861</v>
      </c>
      <c r="N19134" t="str">
        <f>"4/14/2023 12:52:00 PM"</f>
        <v>4/14/2023 12:52:00 PM</v>
      </c>
      <c r="O19134" t="s">
        <v>58508</v>
      </c>
    </row>
    <row r="19135" spans="1:20" x14ac:dyDescent="0.25">
      <c r="A19135" t="str">
        <f>"3052089"</f>
        <v>3052089</v>
      </c>
      <c r="B19135" t="s">
        <v>58510</v>
      </c>
      <c r="C19135" t="str">
        <f>"8315905"</f>
        <v>8315905</v>
      </c>
      <c r="D19135" t="s">
        <v>58511</v>
      </c>
      <c r="F19135" t="s">
        <v>23085</v>
      </c>
      <c r="I19135" t="s">
        <v>20592</v>
      </c>
      <c r="J19135" t="s">
        <v>30</v>
      </c>
      <c r="K19135" t="s">
        <v>58512</v>
      </c>
      <c r="M19135" t="s">
        <v>18479</v>
      </c>
      <c r="N19135" t="str">
        <f>"4/14/2023 1:39:00 PM"</f>
        <v>4/14/2023 1:39:00 PM</v>
      </c>
      <c r="O19135" t="s">
        <v>58511</v>
      </c>
    </row>
    <row r="19136" spans="1:20" x14ac:dyDescent="0.25">
      <c r="A19136" t="str">
        <f>"3061776"</f>
        <v>3061776</v>
      </c>
      <c r="B19136" t="s">
        <v>58513</v>
      </c>
      <c r="C19136" t="str">
        <f>"8319985"</f>
        <v>8319985</v>
      </c>
      <c r="D19136" t="s">
        <v>58514</v>
      </c>
      <c r="F19136" t="s">
        <v>58515</v>
      </c>
      <c r="I19136" t="s">
        <v>2071</v>
      </c>
      <c r="J19136" t="s">
        <v>30</v>
      </c>
      <c r="K19136" t="s">
        <v>3960</v>
      </c>
      <c r="M19136" t="s">
        <v>17861</v>
      </c>
      <c r="N19136" t="str">
        <f>"4/10/2023 8:34:00 AM"</f>
        <v>4/10/2023 8:34:00 AM</v>
      </c>
      <c r="O19136" t="s">
        <v>58514</v>
      </c>
    </row>
    <row r="19137" spans="1:20" x14ac:dyDescent="0.25">
      <c r="A19137" t="str">
        <f>"3056282"</f>
        <v>3056282</v>
      </c>
      <c r="B19137" t="s">
        <v>58516</v>
      </c>
      <c r="C19137" t="str">
        <f>"82528099"</f>
        <v>82528099</v>
      </c>
      <c r="D19137" t="s">
        <v>58517</v>
      </c>
      <c r="F19137" t="s">
        <v>58518</v>
      </c>
      <c r="I19137" t="s">
        <v>29</v>
      </c>
      <c r="J19137" t="s">
        <v>30</v>
      </c>
      <c r="K19137" t="s">
        <v>31</v>
      </c>
      <c r="M19137" t="s">
        <v>50621</v>
      </c>
      <c r="N19137" t="str">
        <f>"4/14/2023 3:44:00 PM"</f>
        <v>4/14/2023 3:44:00 PM</v>
      </c>
      <c r="O19137" t="s">
        <v>58517</v>
      </c>
    </row>
    <row r="19138" spans="1:20" x14ac:dyDescent="0.25">
      <c r="A19138" t="str">
        <f>"3052145"</f>
        <v>3052145</v>
      </c>
      <c r="B19138" t="s">
        <v>58519</v>
      </c>
      <c r="C19138" t="str">
        <f>"8319986"</f>
        <v>8319986</v>
      </c>
      <c r="D19138" t="s">
        <v>58520</v>
      </c>
      <c r="E19138" t="s">
        <v>58521</v>
      </c>
      <c r="F19138" t="s">
        <v>6903</v>
      </c>
      <c r="I19138" t="s">
        <v>6801</v>
      </c>
      <c r="J19138" t="s">
        <v>30</v>
      </c>
      <c r="K19138" t="s">
        <v>58522</v>
      </c>
      <c r="M19138" t="s">
        <v>17861</v>
      </c>
      <c r="N19138" t="str">
        <f>"4/10/2023 8:43:00 AM"</f>
        <v>4/10/2023 8:43:00 AM</v>
      </c>
      <c r="O19138" t="s">
        <v>58520</v>
      </c>
      <c r="T19138" t="s">
        <v>58521</v>
      </c>
    </row>
    <row r="19139" spans="1:20" x14ac:dyDescent="0.25">
      <c r="A19139" t="str">
        <f>"3068264"</f>
        <v>3068264</v>
      </c>
      <c r="B19139" t="s">
        <v>58523</v>
      </c>
      <c r="C19139" t="str">
        <f>"8319988"</f>
        <v>8319988</v>
      </c>
      <c r="D19139" t="s">
        <v>58524</v>
      </c>
      <c r="E19139" t="s">
        <v>58525</v>
      </c>
      <c r="F19139" t="s">
        <v>58526</v>
      </c>
      <c r="I19139" t="s">
        <v>29</v>
      </c>
      <c r="J19139" t="s">
        <v>30</v>
      </c>
      <c r="K19139" t="s">
        <v>26719</v>
      </c>
      <c r="M19139" t="s">
        <v>17861</v>
      </c>
      <c r="N19139" t="str">
        <f>"4/10/2023 10:06:00 AM"</f>
        <v>4/10/2023 10:06:00 AM</v>
      </c>
      <c r="O19139" t="s">
        <v>58524</v>
      </c>
      <c r="T19139" t="s">
        <v>58525</v>
      </c>
    </row>
    <row r="19140" spans="1:20" x14ac:dyDescent="0.25">
      <c r="A19140" t="str">
        <f>"3045986"</f>
        <v>3045986</v>
      </c>
      <c r="B19140" t="s">
        <v>58527</v>
      </c>
      <c r="C19140" t="str">
        <f>"8319991"</f>
        <v>8319991</v>
      </c>
      <c r="D19140" t="s">
        <v>58528</v>
      </c>
      <c r="F19140" t="s">
        <v>58529</v>
      </c>
      <c r="I19140" t="s">
        <v>29</v>
      </c>
      <c r="J19140" t="s">
        <v>30</v>
      </c>
      <c r="K19140" t="s">
        <v>20201</v>
      </c>
      <c r="M19140" t="s">
        <v>17861</v>
      </c>
      <c r="N19140" t="str">
        <f>"4/10/2023 1:21:00 PM"</f>
        <v>4/10/2023 1:21:00 PM</v>
      </c>
      <c r="O19140" t="s">
        <v>58528</v>
      </c>
    </row>
    <row r="19141" spans="1:20" x14ac:dyDescent="0.25">
      <c r="A19141" t="str">
        <f>"3046345"</f>
        <v>3046345</v>
      </c>
      <c r="B19141" t="s">
        <v>58530</v>
      </c>
      <c r="C19141" t="str">
        <f>"8319991"</f>
        <v>8319991</v>
      </c>
      <c r="D19141" t="s">
        <v>58528</v>
      </c>
      <c r="F19141" t="s">
        <v>58529</v>
      </c>
      <c r="I19141" t="s">
        <v>29</v>
      </c>
      <c r="J19141" t="s">
        <v>30</v>
      </c>
      <c r="K19141" t="s">
        <v>20201</v>
      </c>
      <c r="M19141" t="s">
        <v>17861</v>
      </c>
      <c r="N19141" t="str">
        <f>"4/10/2023 1:21:00 PM"</f>
        <v>4/10/2023 1:21:00 PM</v>
      </c>
      <c r="O19141" t="s">
        <v>58528</v>
      </c>
    </row>
    <row r="19142" spans="1:20" x14ac:dyDescent="0.25">
      <c r="A19142" t="str">
        <f>"3092113"</f>
        <v>3092113</v>
      </c>
      <c r="B19142" t="s">
        <v>58531</v>
      </c>
      <c r="C19142" t="str">
        <f>"8319999"</f>
        <v>8319999</v>
      </c>
      <c r="D19142" t="s">
        <v>58532</v>
      </c>
      <c r="E19142" t="s">
        <v>58533</v>
      </c>
      <c r="F19142" t="s">
        <v>58534</v>
      </c>
      <c r="I19142" t="s">
        <v>184</v>
      </c>
      <c r="J19142" t="s">
        <v>30</v>
      </c>
      <c r="K19142" t="s">
        <v>58535</v>
      </c>
      <c r="M19142" t="s">
        <v>17861</v>
      </c>
      <c r="N19142" t="str">
        <f>"4/11/2023 1:17:00 PM"</f>
        <v>4/11/2023 1:17:00 PM</v>
      </c>
      <c r="O19142" t="s">
        <v>58532</v>
      </c>
      <c r="T19142" t="s">
        <v>58533</v>
      </c>
    </row>
    <row r="19143" spans="1:20" x14ac:dyDescent="0.25">
      <c r="A19143" t="str">
        <f>"3056560"</f>
        <v>3056560</v>
      </c>
      <c r="B19143" t="s">
        <v>58536</v>
      </c>
      <c r="C19143" t="str">
        <f>"8320063"</f>
        <v>8320063</v>
      </c>
      <c r="D19143" t="s">
        <v>58537</v>
      </c>
      <c r="F19143" t="s">
        <v>22076</v>
      </c>
      <c r="I19143" t="s">
        <v>9580</v>
      </c>
      <c r="J19143" t="s">
        <v>30</v>
      </c>
      <c r="K19143" t="s">
        <v>58538</v>
      </c>
      <c r="M19143" t="s">
        <v>17861</v>
      </c>
      <c r="N19143" t="str">
        <f>"4/17/2023 4:01:00 PM"</f>
        <v>4/17/2023 4:01:00 PM</v>
      </c>
      <c r="O19143" t="s">
        <v>58537</v>
      </c>
    </row>
    <row r="19144" spans="1:20" x14ac:dyDescent="0.25">
      <c r="A19144" t="str">
        <f>"3060887"</f>
        <v>3060887</v>
      </c>
      <c r="B19144" t="s">
        <v>58539</v>
      </c>
      <c r="C19144" t="str">
        <f>"8319992"</f>
        <v>8319992</v>
      </c>
      <c r="D19144" t="s">
        <v>58540</v>
      </c>
      <c r="F19144" t="s">
        <v>58541</v>
      </c>
      <c r="I19144" t="s">
        <v>184</v>
      </c>
      <c r="J19144" t="s">
        <v>30</v>
      </c>
      <c r="K19144" t="s">
        <v>33837</v>
      </c>
      <c r="M19144" t="s">
        <v>17861</v>
      </c>
      <c r="N19144" t="str">
        <f>"4/10/2023 1:29:00 PM"</f>
        <v>4/10/2023 1:29:00 PM</v>
      </c>
      <c r="O19144" t="s">
        <v>58540</v>
      </c>
    </row>
    <row r="19145" spans="1:20" x14ac:dyDescent="0.25">
      <c r="A19145" t="str">
        <f>"3057833"</f>
        <v>3057833</v>
      </c>
      <c r="B19145" t="s">
        <v>58542</v>
      </c>
      <c r="C19145" t="str">
        <f>"8320021"</f>
        <v>8320021</v>
      </c>
      <c r="D19145" t="s">
        <v>58543</v>
      </c>
      <c r="F19145" t="s">
        <v>58544</v>
      </c>
      <c r="I19145" t="s">
        <v>184</v>
      </c>
      <c r="J19145" t="s">
        <v>30</v>
      </c>
      <c r="K19145" t="str">
        <f>"27006"</f>
        <v>27006</v>
      </c>
      <c r="M19145" t="s">
        <v>17861</v>
      </c>
      <c r="N19145" t="str">
        <f>"4/12/2023 12:53:00 PM"</f>
        <v>4/12/2023 12:53:00 PM</v>
      </c>
      <c r="O19145" t="s">
        <v>58543</v>
      </c>
    </row>
    <row r="19146" spans="1:20" x14ac:dyDescent="0.25">
      <c r="A19146" t="str">
        <f>"3054121"</f>
        <v>3054121</v>
      </c>
      <c r="B19146" t="s">
        <v>58545</v>
      </c>
      <c r="C19146" t="str">
        <f>"8316664"</f>
        <v>8316664</v>
      </c>
      <c r="D19146" t="s">
        <v>58546</v>
      </c>
      <c r="E19146" t="s">
        <v>58547</v>
      </c>
      <c r="F19146" t="s">
        <v>58548</v>
      </c>
      <c r="I19146" t="s">
        <v>29</v>
      </c>
      <c r="J19146" t="s">
        <v>30</v>
      </c>
      <c r="K19146" t="s">
        <v>15449</v>
      </c>
      <c r="M19146" t="s">
        <v>50621</v>
      </c>
      <c r="N19146" t="str">
        <f>"4/18/2023 10:07:00 AM"</f>
        <v>4/18/2023 10:07:00 AM</v>
      </c>
      <c r="O19146" t="s">
        <v>58546</v>
      </c>
      <c r="T19146" t="s">
        <v>58547</v>
      </c>
    </row>
    <row r="19147" spans="1:20" x14ac:dyDescent="0.25">
      <c r="A19147" t="str">
        <f>"3054099"</f>
        <v>3054099</v>
      </c>
      <c r="B19147" t="s">
        <v>58549</v>
      </c>
      <c r="C19147" t="str">
        <f>"8316664"</f>
        <v>8316664</v>
      </c>
      <c r="D19147" t="s">
        <v>58546</v>
      </c>
      <c r="E19147" t="s">
        <v>58547</v>
      </c>
      <c r="F19147" t="s">
        <v>58548</v>
      </c>
      <c r="I19147" t="s">
        <v>29</v>
      </c>
      <c r="J19147" t="s">
        <v>30</v>
      </c>
      <c r="K19147" t="s">
        <v>15449</v>
      </c>
      <c r="M19147" t="s">
        <v>50621</v>
      </c>
      <c r="N19147" t="str">
        <f>"4/18/2023 10:07:00 AM"</f>
        <v>4/18/2023 10:07:00 AM</v>
      </c>
      <c r="O19147" t="s">
        <v>58546</v>
      </c>
      <c r="T19147" t="s">
        <v>58547</v>
      </c>
    </row>
    <row r="19148" spans="1:20" x14ac:dyDescent="0.25">
      <c r="A19148" t="str">
        <f>"3057739"</f>
        <v>3057739</v>
      </c>
      <c r="B19148" t="s">
        <v>58550</v>
      </c>
      <c r="C19148" t="str">
        <f>"8320028"</f>
        <v>8320028</v>
      </c>
      <c r="D19148" t="str">
        <f>"RICHEY KRISTEN REBECCA/TYLER SHEA"</f>
        <v>RICHEY KRISTEN REBECCA/TYLER SHEA</v>
      </c>
      <c r="E19148" t="s">
        <v>58551</v>
      </c>
      <c r="F19148" t="s">
        <v>58552</v>
      </c>
      <c r="I19148" t="s">
        <v>29</v>
      </c>
      <c r="J19148" t="s">
        <v>30</v>
      </c>
      <c r="K19148" t="str">
        <f>"27028"</f>
        <v>27028</v>
      </c>
      <c r="M19148" t="s">
        <v>17861</v>
      </c>
      <c r="N19148" t="str">
        <f>"4/12/2023 2:04:00 PM"</f>
        <v>4/12/2023 2:04:00 PM</v>
      </c>
      <c r="O19148" t="str">
        <f>"RICHEY KRISTEN REBECCA/TYLER SHEA"</f>
        <v>RICHEY KRISTEN REBECCA/TYLER SHEA</v>
      </c>
      <c r="T19148" t="s">
        <v>58551</v>
      </c>
    </row>
    <row r="19149" spans="1:20" x14ac:dyDescent="0.25">
      <c r="A19149" t="str">
        <f>"3056615"</f>
        <v>3056615</v>
      </c>
      <c r="B19149" t="s">
        <v>58553</v>
      </c>
      <c r="C19149" t="str">
        <f>"8320040"</f>
        <v>8320040</v>
      </c>
      <c r="D19149" t="s">
        <v>58554</v>
      </c>
      <c r="E19149" t="s">
        <v>58555</v>
      </c>
      <c r="F19149" t="s">
        <v>58556</v>
      </c>
      <c r="I19149" t="s">
        <v>29</v>
      </c>
      <c r="J19149" t="s">
        <v>30</v>
      </c>
      <c r="K19149" t="s">
        <v>33337</v>
      </c>
      <c r="M19149" t="s">
        <v>17861</v>
      </c>
      <c r="N19149" t="str">
        <f>"4/12/2023 3:02:00 PM"</f>
        <v>4/12/2023 3:02:00 PM</v>
      </c>
      <c r="O19149" t="s">
        <v>58554</v>
      </c>
      <c r="T19149" t="s">
        <v>58555</v>
      </c>
    </row>
    <row r="19150" spans="1:20" x14ac:dyDescent="0.25">
      <c r="A19150" t="str">
        <f>"3056810"</f>
        <v>3056810</v>
      </c>
      <c r="B19150" t="s">
        <v>58557</v>
      </c>
      <c r="C19150" t="str">
        <f>"8320066"</f>
        <v>8320066</v>
      </c>
      <c r="D19150" t="s">
        <v>58558</v>
      </c>
      <c r="E19150" t="s">
        <v>58559</v>
      </c>
      <c r="F19150" t="s">
        <v>58560</v>
      </c>
      <c r="I19150" t="s">
        <v>29</v>
      </c>
      <c r="J19150" t="s">
        <v>30</v>
      </c>
      <c r="K19150" t="s">
        <v>58561</v>
      </c>
      <c r="M19150" t="s">
        <v>17861</v>
      </c>
      <c r="N19150" t="str">
        <f>"4/18/2023 2:18:00 PM"</f>
        <v>4/18/2023 2:18:00 PM</v>
      </c>
      <c r="O19150" t="s">
        <v>58558</v>
      </c>
      <c r="T19150" t="s">
        <v>58559</v>
      </c>
    </row>
    <row r="19151" spans="1:20" x14ac:dyDescent="0.25">
      <c r="A19151" t="str">
        <f>"3056818"</f>
        <v>3056818</v>
      </c>
      <c r="B19151" t="s">
        <v>58562</v>
      </c>
      <c r="C19151" t="str">
        <f>"82522746"</f>
        <v>82522746</v>
      </c>
      <c r="D19151" t="s">
        <v>36810</v>
      </c>
      <c r="E19151" t="s">
        <v>31043</v>
      </c>
      <c r="F19151" t="s">
        <v>16012</v>
      </c>
      <c r="I19151" t="s">
        <v>29</v>
      </c>
      <c r="J19151" t="s">
        <v>30</v>
      </c>
      <c r="K19151" t="s">
        <v>31</v>
      </c>
      <c r="M19151" t="s">
        <v>50621</v>
      </c>
      <c r="N19151" t="str">
        <f>"4/12/2023 3:31:00 PM"</f>
        <v>4/12/2023 3:31:00 PM</v>
      </c>
      <c r="O19151" t="s">
        <v>36810</v>
      </c>
      <c r="T19151" t="s">
        <v>31043</v>
      </c>
    </row>
    <row r="19152" spans="1:20" x14ac:dyDescent="0.25">
      <c r="A19152" t="str">
        <f>"3039523"</f>
        <v>3039523</v>
      </c>
      <c r="B19152" t="s">
        <v>58563</v>
      </c>
      <c r="C19152" t="str">
        <f>"8316596"</f>
        <v>8316596</v>
      </c>
      <c r="D19152" t="s">
        <v>58564</v>
      </c>
      <c r="F19152" t="s">
        <v>58565</v>
      </c>
      <c r="I19152" t="s">
        <v>184</v>
      </c>
      <c r="J19152" t="s">
        <v>30</v>
      </c>
      <c r="K19152" t="s">
        <v>1622</v>
      </c>
      <c r="M19152" t="s">
        <v>50621</v>
      </c>
      <c r="N19152" t="str">
        <f>"4/18/2023 3:38:00 PM"</f>
        <v>4/18/2023 3:38:00 PM</v>
      </c>
      <c r="O19152" t="s">
        <v>58564</v>
      </c>
    </row>
    <row r="19153" spans="1:20" x14ac:dyDescent="0.25">
      <c r="A19153" t="str">
        <f>"3037193"</f>
        <v>3037193</v>
      </c>
      <c r="B19153" t="s">
        <v>58566</v>
      </c>
      <c r="C19153" t="str">
        <f>"8320068"</f>
        <v>8320068</v>
      </c>
      <c r="D19153" t="s">
        <v>58567</v>
      </c>
      <c r="F19153" t="s">
        <v>58568</v>
      </c>
      <c r="I19153" t="s">
        <v>184</v>
      </c>
      <c r="J19153" t="s">
        <v>30</v>
      </c>
      <c r="K19153" t="s">
        <v>58569</v>
      </c>
      <c r="M19153" t="s">
        <v>17861</v>
      </c>
      <c r="N19153" t="str">
        <f>"4/18/2023 3:55:00 PM"</f>
        <v>4/18/2023 3:55:00 PM</v>
      </c>
      <c r="O19153" t="s">
        <v>58567</v>
      </c>
    </row>
    <row r="19154" spans="1:20" x14ac:dyDescent="0.25">
      <c r="A19154" t="str">
        <f>"3069419"</f>
        <v>3069419</v>
      </c>
      <c r="B19154" t="s">
        <v>58570</v>
      </c>
      <c r="C19154" t="str">
        <f>"8320068"</f>
        <v>8320068</v>
      </c>
      <c r="D19154" t="s">
        <v>58567</v>
      </c>
      <c r="F19154" t="s">
        <v>58568</v>
      </c>
      <c r="I19154" t="s">
        <v>184</v>
      </c>
      <c r="J19154" t="s">
        <v>30</v>
      </c>
      <c r="K19154" t="s">
        <v>58569</v>
      </c>
      <c r="M19154" t="s">
        <v>17861</v>
      </c>
      <c r="N19154" t="str">
        <f>"4/18/2023 3:55:00 PM"</f>
        <v>4/18/2023 3:55:00 PM</v>
      </c>
      <c r="O19154" t="s">
        <v>58567</v>
      </c>
    </row>
    <row r="19155" spans="1:20" x14ac:dyDescent="0.25">
      <c r="A19155" t="str">
        <f>"3055713"</f>
        <v>3055713</v>
      </c>
      <c r="B19155" t="s">
        <v>58571</v>
      </c>
      <c r="C19155" t="str">
        <f>"42938000"</f>
        <v>42938000</v>
      </c>
      <c r="D19155" t="s">
        <v>58572</v>
      </c>
      <c r="F19155" t="s">
        <v>58573</v>
      </c>
      <c r="I19155" t="s">
        <v>9580</v>
      </c>
      <c r="J19155" t="s">
        <v>30</v>
      </c>
      <c r="K19155" t="s">
        <v>9581</v>
      </c>
      <c r="M19155" t="s">
        <v>52111</v>
      </c>
      <c r="N19155" t="str">
        <f>"4/19/2023 9:46:00 AM"</f>
        <v>4/19/2023 9:46:00 AM</v>
      </c>
      <c r="O19155" t="s">
        <v>58572</v>
      </c>
    </row>
    <row r="19156" spans="1:20" x14ac:dyDescent="0.25">
      <c r="A19156" t="str">
        <f>"3048470"</f>
        <v>3048470</v>
      </c>
      <c r="B19156" t="s">
        <v>58574</v>
      </c>
      <c r="C19156" t="str">
        <f>"70080000"</f>
        <v>70080000</v>
      </c>
      <c r="D19156" t="s">
        <v>58575</v>
      </c>
      <c r="F19156" t="str">
        <f>"C/O CHARISSE C FOUNTAIN"</f>
        <v>C/O CHARISSE C FOUNTAIN</v>
      </c>
      <c r="G19156" t="s">
        <v>58576</v>
      </c>
      <c r="I19156" t="s">
        <v>58577</v>
      </c>
      <c r="J19156" t="s">
        <v>12725</v>
      </c>
      <c r="K19156" t="s">
        <v>58578</v>
      </c>
      <c r="M19156" t="s">
        <v>50621</v>
      </c>
      <c r="N19156" t="str">
        <f>"4/12/2023 3:44:00 PM"</f>
        <v>4/12/2023 3:44:00 PM</v>
      </c>
      <c r="O19156" t="s">
        <v>58575</v>
      </c>
    </row>
    <row r="19157" spans="1:20" x14ac:dyDescent="0.25">
      <c r="A19157" t="str">
        <f>"3056145"</f>
        <v>3056145</v>
      </c>
      <c r="B19157" t="s">
        <v>58579</v>
      </c>
      <c r="C19157" t="str">
        <f>"8320041"</f>
        <v>8320041</v>
      </c>
      <c r="D19157" t="s">
        <v>58580</v>
      </c>
      <c r="F19157" t="s">
        <v>58581</v>
      </c>
      <c r="I19157" t="s">
        <v>29</v>
      </c>
      <c r="J19157" t="s">
        <v>30</v>
      </c>
      <c r="K19157" t="str">
        <f>"27028"</f>
        <v>27028</v>
      </c>
      <c r="M19157" t="s">
        <v>17861</v>
      </c>
      <c r="N19157" t="str">
        <f>"4/13/2023 10:10:00 AM"</f>
        <v>4/13/2023 10:10:00 AM</v>
      </c>
      <c r="O19157" t="s">
        <v>58580</v>
      </c>
    </row>
    <row r="19158" spans="1:20" x14ac:dyDescent="0.25">
      <c r="A19158" t="str">
        <f>"3055997"</f>
        <v>3055997</v>
      </c>
      <c r="B19158" t="s">
        <v>58582</v>
      </c>
      <c r="C19158" t="str">
        <f>"8320041"</f>
        <v>8320041</v>
      </c>
      <c r="D19158" t="s">
        <v>58580</v>
      </c>
      <c r="F19158" t="s">
        <v>58581</v>
      </c>
      <c r="I19158" t="s">
        <v>29</v>
      </c>
      <c r="J19158" t="s">
        <v>30</v>
      </c>
      <c r="K19158" t="str">
        <f>"27028"</f>
        <v>27028</v>
      </c>
      <c r="M19158" t="s">
        <v>17861</v>
      </c>
      <c r="N19158" t="str">
        <f>"4/13/2023 10:10:00 AM"</f>
        <v>4/13/2023 10:10:00 AM</v>
      </c>
      <c r="O19158" t="s">
        <v>58580</v>
      </c>
    </row>
    <row r="19159" spans="1:20" x14ac:dyDescent="0.25">
      <c r="A19159" t="str">
        <f>"3044903"</f>
        <v>3044903</v>
      </c>
      <c r="B19159" t="s">
        <v>58583</v>
      </c>
      <c r="C19159" t="str">
        <f>"8320045"</f>
        <v>8320045</v>
      </c>
      <c r="D19159" t="s">
        <v>58584</v>
      </c>
      <c r="E19159" t="s">
        <v>58585</v>
      </c>
      <c r="F19159" t="s">
        <v>58586</v>
      </c>
      <c r="I19159" t="s">
        <v>184</v>
      </c>
      <c r="J19159" t="s">
        <v>30</v>
      </c>
      <c r="K19159" t="s">
        <v>6149</v>
      </c>
      <c r="M19159" t="s">
        <v>17861</v>
      </c>
      <c r="N19159" t="str">
        <f>"4/13/2023 1:55:00 PM"</f>
        <v>4/13/2023 1:55:00 PM</v>
      </c>
      <c r="O19159" t="s">
        <v>58584</v>
      </c>
      <c r="T19159" t="s">
        <v>58585</v>
      </c>
    </row>
    <row r="19160" spans="1:20" x14ac:dyDescent="0.25">
      <c r="A19160" t="str">
        <f>"3055426"</f>
        <v>3055426</v>
      </c>
      <c r="B19160" t="s">
        <v>58587</v>
      </c>
      <c r="C19160" t="str">
        <f>"8320047"</f>
        <v>8320047</v>
      </c>
      <c r="D19160" t="s">
        <v>58588</v>
      </c>
      <c r="E19160" t="s">
        <v>58589</v>
      </c>
      <c r="F19160" t="s">
        <v>58590</v>
      </c>
      <c r="I19160" t="s">
        <v>29</v>
      </c>
      <c r="J19160" t="s">
        <v>30</v>
      </c>
      <c r="K19160" t="s">
        <v>58591</v>
      </c>
      <c r="M19160" t="s">
        <v>17861</v>
      </c>
      <c r="N19160" t="str">
        <f>"4/13/2023 4:09:00 PM"</f>
        <v>4/13/2023 4:09:00 PM</v>
      </c>
      <c r="O19160" t="s">
        <v>58588</v>
      </c>
      <c r="T19160" t="s">
        <v>58589</v>
      </c>
    </row>
    <row r="19161" spans="1:20" x14ac:dyDescent="0.25">
      <c r="A19161" t="str">
        <f>"3052793"</f>
        <v>3052793</v>
      </c>
      <c r="B19161" t="s">
        <v>58592</v>
      </c>
      <c r="C19161" t="str">
        <f>"82522260"</f>
        <v>82522260</v>
      </c>
      <c r="D19161" t="s">
        <v>58593</v>
      </c>
      <c r="F19161" t="s">
        <v>47107</v>
      </c>
      <c r="I19161" t="s">
        <v>29</v>
      </c>
      <c r="J19161" t="s">
        <v>30</v>
      </c>
      <c r="K19161" t="s">
        <v>58594</v>
      </c>
      <c r="M19161" t="s">
        <v>50621</v>
      </c>
      <c r="N19161" t="str">
        <f>"4/14/2023 11:14:00 AM"</f>
        <v>4/14/2023 11:14:00 AM</v>
      </c>
      <c r="O19161" t="s">
        <v>58593</v>
      </c>
    </row>
    <row r="19162" spans="1:20" x14ac:dyDescent="0.25">
      <c r="A19162" t="str">
        <f>"3052276"</f>
        <v>3052276</v>
      </c>
      <c r="B19162" t="s">
        <v>58595</v>
      </c>
      <c r="C19162" t="str">
        <f>"82522260"</f>
        <v>82522260</v>
      </c>
      <c r="D19162" t="s">
        <v>58593</v>
      </c>
      <c r="F19162" t="s">
        <v>47107</v>
      </c>
      <c r="I19162" t="s">
        <v>29</v>
      </c>
      <c r="J19162" t="s">
        <v>30</v>
      </c>
      <c r="K19162" t="s">
        <v>58594</v>
      </c>
      <c r="M19162" t="s">
        <v>50621</v>
      </c>
      <c r="N19162" t="str">
        <f>"4/14/2023 11:14:00 AM"</f>
        <v>4/14/2023 11:14:00 AM</v>
      </c>
      <c r="O19162" t="s">
        <v>58593</v>
      </c>
    </row>
    <row r="19163" spans="1:20" x14ac:dyDescent="0.25">
      <c r="A19163" t="str">
        <f>"3047490"</f>
        <v>3047490</v>
      </c>
      <c r="B19163" t="s">
        <v>58596</v>
      </c>
      <c r="C19163" t="str">
        <f>"82518737"</f>
        <v>82518737</v>
      </c>
      <c r="D19163" t="s">
        <v>58597</v>
      </c>
      <c r="E19163" t="s">
        <v>58598</v>
      </c>
      <c r="F19163" t="s">
        <v>58599</v>
      </c>
      <c r="I19163" t="s">
        <v>29</v>
      </c>
      <c r="J19163" t="s">
        <v>30</v>
      </c>
      <c r="K19163" t="s">
        <v>31</v>
      </c>
      <c r="M19163" t="s">
        <v>50621</v>
      </c>
      <c r="N19163" t="str">
        <f>"4/14/2023 12:15:00 PM"</f>
        <v>4/14/2023 12:15:00 PM</v>
      </c>
      <c r="O19163" t="s">
        <v>58597</v>
      </c>
      <c r="T19163" t="s">
        <v>58598</v>
      </c>
    </row>
    <row r="19164" spans="1:20" x14ac:dyDescent="0.25">
      <c r="A19164" t="str">
        <f>"3048425"</f>
        <v>3048425</v>
      </c>
      <c r="B19164" t="s">
        <v>58600</v>
      </c>
      <c r="C19164" t="str">
        <f>"8320050"</f>
        <v>8320050</v>
      </c>
      <c r="D19164" t="s">
        <v>58496</v>
      </c>
      <c r="E19164" t="s">
        <v>58497</v>
      </c>
      <c r="F19164" t="s">
        <v>58498</v>
      </c>
      <c r="I19164" t="s">
        <v>2071</v>
      </c>
      <c r="J19164" t="s">
        <v>30</v>
      </c>
      <c r="K19164" t="s">
        <v>58499</v>
      </c>
      <c r="M19164" t="s">
        <v>17861</v>
      </c>
      <c r="N19164" t="str">
        <f>"4/14/2023 12:41:00 PM"</f>
        <v>4/14/2023 12:41:00 PM</v>
      </c>
      <c r="O19164" t="s">
        <v>58496</v>
      </c>
      <c r="T19164" t="s">
        <v>58497</v>
      </c>
    </row>
    <row r="19165" spans="1:20" x14ac:dyDescent="0.25">
      <c r="A19165" t="str">
        <f>"3039953"</f>
        <v>3039953</v>
      </c>
      <c r="B19165" t="s">
        <v>58601</v>
      </c>
      <c r="C19165" t="str">
        <f>"8318230"</f>
        <v>8318230</v>
      </c>
      <c r="D19165" t="s">
        <v>58602</v>
      </c>
      <c r="E19165" t="s">
        <v>58603</v>
      </c>
      <c r="F19165" t="s">
        <v>58604</v>
      </c>
      <c r="I19165" t="s">
        <v>184</v>
      </c>
      <c r="J19165" t="s">
        <v>30</v>
      </c>
      <c r="K19165" t="s">
        <v>58605</v>
      </c>
      <c r="M19165" t="s">
        <v>50621</v>
      </c>
      <c r="N19165" t="str">
        <f>"4/14/2023 3:23:00 PM"</f>
        <v>4/14/2023 3:23:00 PM</v>
      </c>
      <c r="O19165" t="s">
        <v>58602</v>
      </c>
      <c r="T19165" t="s">
        <v>58603</v>
      </c>
    </row>
    <row r="19166" spans="1:20" x14ac:dyDescent="0.25">
      <c r="A19166" t="str">
        <f>"3060294"</f>
        <v>3060294</v>
      </c>
      <c r="B19166" t="s">
        <v>58606</v>
      </c>
      <c r="C19166" t="str">
        <f>"82521054"</f>
        <v>82521054</v>
      </c>
      <c r="D19166" t="s">
        <v>40875</v>
      </c>
      <c r="E19166" t="s">
        <v>58607</v>
      </c>
      <c r="F19166" t="s">
        <v>58608</v>
      </c>
      <c r="I19166" t="s">
        <v>184</v>
      </c>
      <c r="J19166" t="s">
        <v>30</v>
      </c>
      <c r="K19166" t="s">
        <v>185</v>
      </c>
      <c r="M19166" t="s">
        <v>50621</v>
      </c>
      <c r="N19166" t="str">
        <f>"4/11/2023 2:17:00 PM"</f>
        <v>4/11/2023 2:17:00 PM</v>
      </c>
      <c r="O19166" t="s">
        <v>40875</v>
      </c>
      <c r="T19166" t="s">
        <v>58607</v>
      </c>
    </row>
    <row r="19167" spans="1:20" x14ac:dyDescent="0.25">
      <c r="A19167" t="str">
        <f>"3057902"</f>
        <v>3057902</v>
      </c>
      <c r="B19167" t="s">
        <v>58609</v>
      </c>
      <c r="C19167" t="str">
        <f>"82521054"</f>
        <v>82521054</v>
      </c>
      <c r="D19167" t="s">
        <v>40875</v>
      </c>
      <c r="E19167" t="s">
        <v>58607</v>
      </c>
      <c r="F19167" t="s">
        <v>58608</v>
      </c>
      <c r="I19167" t="s">
        <v>184</v>
      </c>
      <c r="J19167" t="s">
        <v>30</v>
      </c>
      <c r="K19167" t="s">
        <v>185</v>
      </c>
      <c r="M19167" t="s">
        <v>50621</v>
      </c>
      <c r="N19167" t="str">
        <f>"4/11/2023 2:17:00 PM"</f>
        <v>4/11/2023 2:17:00 PM</v>
      </c>
      <c r="O19167" t="s">
        <v>40875</v>
      </c>
      <c r="T19167" t="s">
        <v>58607</v>
      </c>
    </row>
    <row r="19168" spans="1:20" x14ac:dyDescent="0.25">
      <c r="A19168" t="str">
        <f>"3041888"</f>
        <v>3041888</v>
      </c>
      <c r="B19168" t="s">
        <v>58610</v>
      </c>
      <c r="C19168" t="str">
        <f>"8320003"</f>
        <v>8320003</v>
      </c>
      <c r="D19168" t="s">
        <v>58611</v>
      </c>
      <c r="F19168" t="s">
        <v>58612</v>
      </c>
      <c r="I19168" t="s">
        <v>2071</v>
      </c>
      <c r="J19168" t="s">
        <v>30</v>
      </c>
      <c r="K19168" t="s">
        <v>38176</v>
      </c>
      <c r="M19168" t="s">
        <v>17861</v>
      </c>
      <c r="N19168" t="str">
        <f>"4/11/2023 2:53:00 PM"</f>
        <v>4/11/2023 2:53:00 PM</v>
      </c>
      <c r="O19168" t="s">
        <v>58611</v>
      </c>
    </row>
    <row r="19169" spans="1:20" x14ac:dyDescent="0.25">
      <c r="A19169" t="str">
        <f>"3057779"</f>
        <v>3057779</v>
      </c>
      <c r="B19169" t="s">
        <v>58613</v>
      </c>
      <c r="C19169" t="str">
        <f>"8320004"</f>
        <v>8320004</v>
      </c>
      <c r="D19169" t="s">
        <v>58614</v>
      </c>
      <c r="E19169" t="s">
        <v>58615</v>
      </c>
      <c r="F19169" t="s">
        <v>58616</v>
      </c>
      <c r="I19169" t="s">
        <v>29</v>
      </c>
      <c r="J19169" t="s">
        <v>30</v>
      </c>
      <c r="K19169" t="str">
        <f>"27028"</f>
        <v>27028</v>
      </c>
      <c r="M19169" t="s">
        <v>17861</v>
      </c>
      <c r="N19169" t="str">
        <f>"4/12/2023 9:11:00 AM"</f>
        <v>4/12/2023 9:11:00 AM</v>
      </c>
      <c r="O19169" t="s">
        <v>58614</v>
      </c>
      <c r="T19169" t="s">
        <v>58615</v>
      </c>
    </row>
    <row r="19170" spans="1:20" x14ac:dyDescent="0.25">
      <c r="A19170" t="str">
        <f>"3052539"</f>
        <v>3052539</v>
      </c>
      <c r="B19170" t="s">
        <v>58617</v>
      </c>
      <c r="C19170" t="str">
        <f>"8316584"</f>
        <v>8316584</v>
      </c>
      <c r="D19170" t="s">
        <v>58618</v>
      </c>
      <c r="F19170" t="s">
        <v>58619</v>
      </c>
      <c r="I19170" t="s">
        <v>29</v>
      </c>
      <c r="J19170" t="s">
        <v>30</v>
      </c>
      <c r="K19170" t="s">
        <v>58235</v>
      </c>
      <c r="M19170" t="s">
        <v>50793</v>
      </c>
      <c r="N19170" t="str">
        <f>"4/17/2023 11:12:00 AM"</f>
        <v>4/17/2023 11:12:00 AM</v>
      </c>
      <c r="O19170" t="s">
        <v>58618</v>
      </c>
    </row>
    <row r="19171" spans="1:20" x14ac:dyDescent="0.25">
      <c r="A19171" t="str">
        <f>"3055854"</f>
        <v>3055854</v>
      </c>
      <c r="B19171" t="s">
        <v>58620</v>
      </c>
      <c r="C19171" t="str">
        <f>"82527768"</f>
        <v>82527768</v>
      </c>
      <c r="D19171" t="s">
        <v>58621</v>
      </c>
      <c r="F19171" t="s">
        <v>58622</v>
      </c>
      <c r="I19171" t="s">
        <v>9580</v>
      </c>
      <c r="J19171" t="s">
        <v>30</v>
      </c>
      <c r="K19171" t="s">
        <v>9581</v>
      </c>
      <c r="M19171" t="s">
        <v>50621</v>
      </c>
      <c r="N19171" t="str">
        <f>"4/17/2023 11:47:00 AM"</f>
        <v>4/17/2023 11:47:00 AM</v>
      </c>
      <c r="O19171" t="s">
        <v>58621</v>
      </c>
    </row>
    <row r="19172" spans="1:20" x14ac:dyDescent="0.25">
      <c r="A19172" t="str">
        <f>"3052523"</f>
        <v>3052523</v>
      </c>
      <c r="B19172" t="s">
        <v>58623</v>
      </c>
      <c r="C19172" t="str">
        <f>"8320060"</f>
        <v>8320060</v>
      </c>
      <c r="D19172" t="s">
        <v>58624</v>
      </c>
      <c r="F19172" t="s">
        <v>58625</v>
      </c>
      <c r="I19172" t="s">
        <v>29</v>
      </c>
      <c r="J19172" t="s">
        <v>30</v>
      </c>
      <c r="K19172" t="s">
        <v>58626</v>
      </c>
      <c r="M19172" t="s">
        <v>17861</v>
      </c>
      <c r="N19172" t="str">
        <f>"4/17/2023 1:03:00 PM"</f>
        <v>4/17/2023 1:03:00 PM</v>
      </c>
      <c r="O19172" t="s">
        <v>58624</v>
      </c>
    </row>
    <row r="19173" spans="1:20" x14ac:dyDescent="0.25">
      <c r="A19173" t="str">
        <f>"3041498"</f>
        <v>3041498</v>
      </c>
      <c r="B19173" t="s">
        <v>58627</v>
      </c>
      <c r="C19173" t="str">
        <f>"8320061"</f>
        <v>8320061</v>
      </c>
      <c r="D19173" t="s">
        <v>58628</v>
      </c>
      <c r="E19173" t="s">
        <v>58629</v>
      </c>
      <c r="F19173" t="s">
        <v>58630</v>
      </c>
      <c r="I19173" t="s">
        <v>184</v>
      </c>
      <c r="J19173" t="s">
        <v>30</v>
      </c>
      <c r="K19173" t="s">
        <v>32842</v>
      </c>
      <c r="M19173" t="s">
        <v>32801</v>
      </c>
      <c r="N19173" t="str">
        <f>"4/17/2023 2:28:00 PM"</f>
        <v>4/17/2023 2:28:00 PM</v>
      </c>
      <c r="O19173" t="s">
        <v>58628</v>
      </c>
      <c r="T19173" t="s">
        <v>58629</v>
      </c>
    </row>
    <row r="19174" spans="1:20" x14ac:dyDescent="0.25">
      <c r="A19174" t="str">
        <f>"3077686"</f>
        <v>3077686</v>
      </c>
      <c r="B19174" t="s">
        <v>58631</v>
      </c>
      <c r="C19174" t="str">
        <f>"8320062"</f>
        <v>8320062</v>
      </c>
      <c r="D19174" t="s">
        <v>58632</v>
      </c>
      <c r="E19174" t="s">
        <v>58633</v>
      </c>
      <c r="F19174" t="s">
        <v>58634</v>
      </c>
      <c r="I19174" t="s">
        <v>29</v>
      </c>
      <c r="J19174" t="s">
        <v>30</v>
      </c>
      <c r="K19174" t="s">
        <v>52892</v>
      </c>
      <c r="M19174" t="s">
        <v>17861</v>
      </c>
      <c r="N19174" t="str">
        <f>"4/17/2023 3:55:00 PM"</f>
        <v>4/17/2023 3:55:00 PM</v>
      </c>
      <c r="O19174" t="s">
        <v>58632</v>
      </c>
      <c r="T19174" t="s">
        <v>58633</v>
      </c>
    </row>
    <row r="19175" spans="1:20" x14ac:dyDescent="0.25">
      <c r="A19175" t="str">
        <f>"3059822"</f>
        <v>3059822</v>
      </c>
      <c r="B19175" t="s">
        <v>58635</v>
      </c>
      <c r="C19175" t="str">
        <f>"82524043"</f>
        <v>82524043</v>
      </c>
      <c r="D19175" t="s">
        <v>58636</v>
      </c>
      <c r="F19175" t="s">
        <v>58637</v>
      </c>
      <c r="I19175" t="s">
        <v>9580</v>
      </c>
      <c r="J19175" t="s">
        <v>30</v>
      </c>
      <c r="K19175" t="s">
        <v>58638</v>
      </c>
      <c r="M19175" t="s">
        <v>50621</v>
      </c>
      <c r="N19175" t="str">
        <f>"4/18/2023 11:32:00 AM"</f>
        <v>4/18/2023 11:32:00 AM</v>
      </c>
      <c r="O19175" t="s">
        <v>58636</v>
      </c>
    </row>
    <row r="19176" spans="1:20" x14ac:dyDescent="0.25">
      <c r="A19176" t="str">
        <f>"3055039"</f>
        <v>3055039</v>
      </c>
      <c r="B19176" t="s">
        <v>58639</v>
      </c>
      <c r="C19176" t="str">
        <f>"82515282"</f>
        <v>82515282</v>
      </c>
      <c r="D19176" t="str">
        <f>"WILLIAMS JEFFREY S IN C/O"</f>
        <v>WILLIAMS JEFFREY S IN C/O</v>
      </c>
      <c r="E19176" t="s">
        <v>58640</v>
      </c>
      <c r="F19176" t="s">
        <v>58641</v>
      </c>
      <c r="I19176" t="s">
        <v>29</v>
      </c>
      <c r="J19176" t="s">
        <v>30</v>
      </c>
      <c r="K19176" t="s">
        <v>51492</v>
      </c>
      <c r="M19176" t="s">
        <v>18479</v>
      </c>
      <c r="N19176" t="str">
        <f>"4/18/2023 12:42:00 PM"</f>
        <v>4/18/2023 12:42:00 PM</v>
      </c>
      <c r="O19176" t="str">
        <f>"WILLIAMS JEFFREY S IN C/O"</f>
        <v>WILLIAMS JEFFREY S IN C/O</v>
      </c>
      <c r="T19176" t="s">
        <v>58640</v>
      </c>
    </row>
    <row r="19177" spans="1:20" x14ac:dyDescent="0.25">
      <c r="A19177" t="str">
        <f>"3039359"</f>
        <v>3039359</v>
      </c>
      <c r="B19177" t="s">
        <v>58642</v>
      </c>
      <c r="C19177" t="str">
        <f>"8316596"</f>
        <v>8316596</v>
      </c>
      <c r="D19177" t="s">
        <v>58564</v>
      </c>
      <c r="F19177" t="s">
        <v>58565</v>
      </c>
      <c r="I19177" t="s">
        <v>184</v>
      </c>
      <c r="J19177" t="s">
        <v>30</v>
      </c>
      <c r="K19177" t="s">
        <v>1622</v>
      </c>
      <c r="M19177" t="s">
        <v>50621</v>
      </c>
      <c r="N19177" t="str">
        <f>"4/18/2023 3:38:00 PM"</f>
        <v>4/18/2023 3:38:00 PM</v>
      </c>
      <c r="O19177" t="s">
        <v>58564</v>
      </c>
    </row>
    <row r="19178" spans="1:20" x14ac:dyDescent="0.25">
      <c r="A19178" t="str">
        <f>"3054541"</f>
        <v>3054541</v>
      </c>
      <c r="B19178" t="s">
        <v>58643</v>
      </c>
      <c r="C19178" t="str">
        <f>"8316664"</f>
        <v>8316664</v>
      </c>
      <c r="D19178" t="s">
        <v>58546</v>
      </c>
      <c r="E19178" t="s">
        <v>58547</v>
      </c>
      <c r="F19178" t="s">
        <v>58548</v>
      </c>
      <c r="I19178" t="s">
        <v>29</v>
      </c>
      <c r="J19178" t="s">
        <v>30</v>
      </c>
      <c r="K19178" t="s">
        <v>15449</v>
      </c>
      <c r="M19178" t="s">
        <v>50621</v>
      </c>
      <c r="N19178" t="str">
        <f>"4/18/2023 10:07:00 AM"</f>
        <v>4/18/2023 10:07:00 AM</v>
      </c>
      <c r="O19178" t="s">
        <v>58546</v>
      </c>
      <c r="T19178" t="s">
        <v>58547</v>
      </c>
    </row>
    <row r="19179" spans="1:20" x14ac:dyDescent="0.25">
      <c r="A19179" t="str">
        <f>"3054127"</f>
        <v>3054127</v>
      </c>
      <c r="B19179" t="s">
        <v>58644</v>
      </c>
      <c r="C19179" t="str">
        <f>"8316664"</f>
        <v>8316664</v>
      </c>
      <c r="D19179" t="s">
        <v>58546</v>
      </c>
      <c r="E19179" t="s">
        <v>58547</v>
      </c>
      <c r="F19179" t="s">
        <v>58548</v>
      </c>
      <c r="I19179" t="s">
        <v>29</v>
      </c>
      <c r="J19179" t="s">
        <v>30</v>
      </c>
      <c r="K19179" t="s">
        <v>15449</v>
      </c>
      <c r="M19179" t="s">
        <v>50621</v>
      </c>
      <c r="N19179" t="str">
        <f>"4/18/2023 10:07:00 AM"</f>
        <v>4/18/2023 10:07:00 AM</v>
      </c>
      <c r="O19179" t="s">
        <v>58546</v>
      </c>
      <c r="T19179" t="s">
        <v>58547</v>
      </c>
    </row>
    <row r="19180" spans="1:20" x14ac:dyDescent="0.25">
      <c r="A19180" t="str">
        <f>"3058443"</f>
        <v>3058443</v>
      </c>
      <c r="B19180" t="s">
        <v>58645</v>
      </c>
      <c r="C19180" t="str">
        <f>"8320093"</f>
        <v>8320093</v>
      </c>
      <c r="D19180" t="s">
        <v>58646</v>
      </c>
      <c r="E19180" t="s">
        <v>58647</v>
      </c>
      <c r="F19180" t="s">
        <v>58648</v>
      </c>
      <c r="I19180" t="s">
        <v>29</v>
      </c>
      <c r="J19180" t="s">
        <v>30</v>
      </c>
      <c r="K19180" t="s">
        <v>57737</v>
      </c>
      <c r="M19180" t="s">
        <v>17861</v>
      </c>
      <c r="N19180" t="str">
        <f>"4/21/2023 12:57:00 PM"</f>
        <v>4/21/2023 12:57:00 PM</v>
      </c>
      <c r="O19180" t="s">
        <v>58646</v>
      </c>
      <c r="T19180" t="s">
        <v>58647</v>
      </c>
    </row>
    <row r="19181" spans="1:20" x14ac:dyDescent="0.25">
      <c r="A19181" t="str">
        <f>"3058467"</f>
        <v>3058467</v>
      </c>
      <c r="B19181" t="s">
        <v>58649</v>
      </c>
      <c r="C19181" t="str">
        <f>"8320098"</f>
        <v>8320098</v>
      </c>
      <c r="D19181" t="s">
        <v>58650</v>
      </c>
      <c r="F19181" t="s">
        <v>58651</v>
      </c>
      <c r="I19181" t="s">
        <v>29</v>
      </c>
      <c r="J19181" t="s">
        <v>30</v>
      </c>
      <c r="K19181" t="s">
        <v>52622</v>
      </c>
      <c r="M19181" t="s">
        <v>17861</v>
      </c>
      <c r="N19181" t="str">
        <f>"4/21/2023 3:39:00 PM"</f>
        <v>4/21/2023 3:39:00 PM</v>
      </c>
      <c r="O19181" t="s">
        <v>58650</v>
      </c>
    </row>
    <row r="19182" spans="1:20" x14ac:dyDescent="0.25">
      <c r="A19182" t="str">
        <f>"3074781"</f>
        <v>3074781</v>
      </c>
      <c r="B19182" t="s">
        <v>58652</v>
      </c>
      <c r="C19182" t="str">
        <f>"82528665"</f>
        <v>82528665</v>
      </c>
      <c r="D19182" t="s">
        <v>58653</v>
      </c>
      <c r="F19182" t="s">
        <v>58654</v>
      </c>
      <c r="I19182" t="s">
        <v>471</v>
      </c>
      <c r="J19182" t="s">
        <v>30</v>
      </c>
      <c r="K19182" t="s">
        <v>58655</v>
      </c>
      <c r="M19182" t="s">
        <v>50621</v>
      </c>
      <c r="N19182" t="str">
        <f>"4/24/2023 8:58:00 AM"</f>
        <v>4/24/2023 8:58:00 AM</v>
      </c>
      <c r="O19182" t="s">
        <v>58653</v>
      </c>
    </row>
    <row r="19183" spans="1:20" x14ac:dyDescent="0.25">
      <c r="A19183" t="str">
        <f>"3056414"</f>
        <v>3056414</v>
      </c>
      <c r="B19183" t="s">
        <v>58656</v>
      </c>
      <c r="C19183" t="str">
        <f>"82517231"</f>
        <v>82517231</v>
      </c>
      <c r="D19183" t="s">
        <v>58657</v>
      </c>
      <c r="E19183" t="s">
        <v>58658</v>
      </c>
      <c r="F19183" t="s">
        <v>58659</v>
      </c>
      <c r="I19183" t="s">
        <v>29</v>
      </c>
      <c r="J19183" t="s">
        <v>30</v>
      </c>
      <c r="K19183" t="s">
        <v>31</v>
      </c>
      <c r="M19183" t="s">
        <v>17861</v>
      </c>
      <c r="N19183" t="str">
        <f>"4/24/2023 9:06:00 AM"</f>
        <v>4/24/2023 9:06:00 AM</v>
      </c>
      <c r="O19183" t="s">
        <v>58657</v>
      </c>
      <c r="T19183" t="s">
        <v>58658</v>
      </c>
    </row>
    <row r="19184" spans="1:20" x14ac:dyDescent="0.25">
      <c r="A19184" t="str">
        <f>"3039028"</f>
        <v>3039028</v>
      </c>
      <c r="B19184" t="s">
        <v>58660</v>
      </c>
      <c r="C19184" t="str">
        <f>"8306352"</f>
        <v>8306352</v>
      </c>
      <c r="D19184" t="s">
        <v>58661</v>
      </c>
      <c r="F19184" t="s">
        <v>58662</v>
      </c>
      <c r="I19184" t="s">
        <v>29</v>
      </c>
      <c r="J19184" t="s">
        <v>30</v>
      </c>
      <c r="K19184" t="s">
        <v>58663</v>
      </c>
      <c r="M19184" t="s">
        <v>18479</v>
      </c>
      <c r="N19184" t="str">
        <f>"4/24/2023 10:31:00 AM"</f>
        <v>4/24/2023 10:31:00 AM</v>
      </c>
      <c r="O19184" t="s">
        <v>58661</v>
      </c>
    </row>
    <row r="19185" spans="1:20" x14ac:dyDescent="0.25">
      <c r="A19185" t="str">
        <f>"3062023"</f>
        <v>3062023</v>
      </c>
      <c r="B19185" t="s">
        <v>58664</v>
      </c>
      <c r="C19185" t="str">
        <f>"8320094"</f>
        <v>8320094</v>
      </c>
      <c r="D19185" t="s">
        <v>58665</v>
      </c>
      <c r="F19185" t="s">
        <v>58666</v>
      </c>
      <c r="I19185" t="s">
        <v>184</v>
      </c>
      <c r="J19185" t="s">
        <v>30</v>
      </c>
      <c r="K19185" t="s">
        <v>28739</v>
      </c>
      <c r="M19185" t="s">
        <v>17861</v>
      </c>
      <c r="N19185" t="str">
        <f>"4/21/2023 12:59:00 PM"</f>
        <v>4/21/2023 12:59:00 PM</v>
      </c>
      <c r="O19185" t="s">
        <v>58665</v>
      </c>
    </row>
    <row r="19186" spans="1:20" x14ac:dyDescent="0.25">
      <c r="A19186" t="str">
        <f>"3058309"</f>
        <v>3058309</v>
      </c>
      <c r="B19186" t="s">
        <v>58667</v>
      </c>
      <c r="C19186" t="str">
        <f>"8320095"</f>
        <v>8320095</v>
      </c>
      <c r="D19186" t="s">
        <v>58668</v>
      </c>
      <c r="E19186" t="s">
        <v>58669</v>
      </c>
      <c r="F19186" t="s">
        <v>58670</v>
      </c>
      <c r="I19186" t="s">
        <v>29</v>
      </c>
      <c r="J19186" t="s">
        <v>30</v>
      </c>
      <c r="K19186" t="s">
        <v>11836</v>
      </c>
      <c r="M19186" t="s">
        <v>17861</v>
      </c>
      <c r="N19186" t="str">
        <f>"4/21/2023 3:30:00 PM"</f>
        <v>4/21/2023 3:30:00 PM</v>
      </c>
      <c r="O19186" t="s">
        <v>58668</v>
      </c>
      <c r="T19186" t="s">
        <v>58669</v>
      </c>
    </row>
    <row r="19187" spans="1:20" x14ac:dyDescent="0.25">
      <c r="A19187" t="str">
        <f>"3058441"</f>
        <v>3058441</v>
      </c>
      <c r="B19187" t="s">
        <v>58671</v>
      </c>
      <c r="C19187" t="str">
        <f>"8320101"</f>
        <v>8320101</v>
      </c>
      <c r="D19187" t="s">
        <v>58672</v>
      </c>
      <c r="E19187" t="s">
        <v>58673</v>
      </c>
      <c r="F19187" t="s">
        <v>58674</v>
      </c>
      <c r="I19187" t="s">
        <v>29</v>
      </c>
      <c r="J19187" t="s">
        <v>30</v>
      </c>
      <c r="K19187" t="str">
        <f>"27028"</f>
        <v>27028</v>
      </c>
      <c r="M19187" t="s">
        <v>17861</v>
      </c>
      <c r="N19187" t="str">
        <f>"4/24/2023 2:47:00 PM"</f>
        <v>4/24/2023 2:47:00 PM</v>
      </c>
      <c r="O19187" t="s">
        <v>58672</v>
      </c>
      <c r="T19187" t="s">
        <v>58673</v>
      </c>
    </row>
    <row r="19188" spans="1:20" x14ac:dyDescent="0.25">
      <c r="A19188" t="str">
        <f>"3055879"</f>
        <v>3055879</v>
      </c>
      <c r="B19188" t="s">
        <v>58675</v>
      </c>
      <c r="C19188" t="str">
        <f>"8320102"</f>
        <v>8320102</v>
      </c>
      <c r="D19188" t="s">
        <v>58676</v>
      </c>
      <c r="F19188" t="s">
        <v>58677</v>
      </c>
      <c r="I19188" t="s">
        <v>964</v>
      </c>
      <c r="J19188" t="s">
        <v>30</v>
      </c>
      <c r="K19188" t="s">
        <v>58678</v>
      </c>
      <c r="M19188" t="s">
        <v>17861</v>
      </c>
      <c r="N19188" t="str">
        <f>"4/25/2023 8:34:00 AM"</f>
        <v>4/25/2023 8:34:00 AM</v>
      </c>
      <c r="O19188" t="s">
        <v>58676</v>
      </c>
    </row>
    <row r="19189" spans="1:20" x14ac:dyDescent="0.25">
      <c r="A19189" t="str">
        <f>"3055309"</f>
        <v>3055309</v>
      </c>
      <c r="B19189" t="s">
        <v>58679</v>
      </c>
      <c r="C19189" t="str">
        <f>"8320103"</f>
        <v>8320103</v>
      </c>
      <c r="D19189" t="s">
        <v>58680</v>
      </c>
      <c r="F19189" t="s">
        <v>58681</v>
      </c>
      <c r="I19189" t="s">
        <v>29</v>
      </c>
      <c r="J19189" t="s">
        <v>30</v>
      </c>
      <c r="K19189" t="s">
        <v>58682</v>
      </c>
      <c r="M19189" t="s">
        <v>17861</v>
      </c>
      <c r="N19189" t="str">
        <f>"4/25/2023 8:36:00 AM"</f>
        <v>4/25/2023 8:36:00 AM</v>
      </c>
      <c r="O19189" t="s">
        <v>58680</v>
      </c>
    </row>
    <row r="19190" spans="1:20" x14ac:dyDescent="0.25">
      <c r="A19190" t="str">
        <f>"3040805"</f>
        <v>3040805</v>
      </c>
      <c r="B19190" t="s">
        <v>58683</v>
      </c>
      <c r="C19190" t="str">
        <f>"8320073"</f>
        <v>8320073</v>
      </c>
      <c r="D19190" t="s">
        <v>58684</v>
      </c>
      <c r="F19190" t="s">
        <v>58685</v>
      </c>
      <c r="I19190" t="s">
        <v>184</v>
      </c>
      <c r="J19190" t="s">
        <v>30</v>
      </c>
      <c r="K19190" t="s">
        <v>58686</v>
      </c>
      <c r="M19190" t="s">
        <v>17861</v>
      </c>
      <c r="N19190" t="str">
        <f>"4/19/2023 2:53:00 PM"</f>
        <v>4/19/2023 2:53:00 PM</v>
      </c>
      <c r="O19190" t="s">
        <v>58684</v>
      </c>
    </row>
    <row r="19191" spans="1:20" x14ac:dyDescent="0.25">
      <c r="A19191" t="str">
        <f>"3059254"</f>
        <v>3059254</v>
      </c>
      <c r="B19191" t="s">
        <v>58687</v>
      </c>
      <c r="C19191" t="str">
        <f>"8320107"</f>
        <v>8320107</v>
      </c>
      <c r="D19191" t="s">
        <v>58688</v>
      </c>
      <c r="E19191" t="s">
        <v>58689</v>
      </c>
      <c r="F19191" t="s">
        <v>58690</v>
      </c>
      <c r="I19191" t="s">
        <v>29</v>
      </c>
      <c r="J19191" t="s">
        <v>30</v>
      </c>
      <c r="K19191" t="s">
        <v>44393</v>
      </c>
      <c r="M19191" t="s">
        <v>17861</v>
      </c>
      <c r="N19191" t="str">
        <f>"4/25/2023 1:13:00 PM"</f>
        <v>4/25/2023 1:13:00 PM</v>
      </c>
      <c r="O19191" t="s">
        <v>58688</v>
      </c>
      <c r="T19191" t="s">
        <v>58689</v>
      </c>
    </row>
    <row r="19192" spans="1:20" x14ac:dyDescent="0.25">
      <c r="A19192" t="str">
        <f>"3042917"</f>
        <v>3042917</v>
      </c>
      <c r="B19192" t="s">
        <v>58691</v>
      </c>
      <c r="C19192" t="str">
        <f>"8320109"</f>
        <v>8320109</v>
      </c>
      <c r="D19192" t="s">
        <v>58692</v>
      </c>
      <c r="F19192" t="s">
        <v>58693</v>
      </c>
      <c r="I19192" t="s">
        <v>2280</v>
      </c>
      <c r="J19192" t="s">
        <v>30</v>
      </c>
      <c r="K19192" t="s">
        <v>58694</v>
      </c>
      <c r="M19192" t="s">
        <v>17861</v>
      </c>
      <c r="N19192" t="str">
        <f>"4/25/2023 2:57:00 PM"</f>
        <v>4/25/2023 2:57:00 PM</v>
      </c>
      <c r="O19192" t="s">
        <v>58692</v>
      </c>
    </row>
    <row r="19193" spans="1:20" x14ac:dyDescent="0.25">
      <c r="A19193" t="str">
        <f>"3039052"</f>
        <v>3039052</v>
      </c>
      <c r="B19193" t="s">
        <v>58695</v>
      </c>
      <c r="C19193" t="str">
        <f>"8320074"</f>
        <v>8320074</v>
      </c>
      <c r="D19193" t="s">
        <v>58696</v>
      </c>
      <c r="E19193" t="s">
        <v>58697</v>
      </c>
      <c r="F19193" t="s">
        <v>58698</v>
      </c>
      <c r="I19193" t="s">
        <v>471</v>
      </c>
      <c r="J19193" t="s">
        <v>30</v>
      </c>
      <c r="K19193" t="s">
        <v>58699</v>
      </c>
      <c r="M19193" t="s">
        <v>17861</v>
      </c>
      <c r="N19193" t="str">
        <f>"4/19/2023 3:13:00 PM"</f>
        <v>4/19/2023 3:13:00 PM</v>
      </c>
      <c r="O19193" t="s">
        <v>58696</v>
      </c>
      <c r="T19193" t="s">
        <v>58697</v>
      </c>
    </row>
    <row r="19194" spans="1:20" x14ac:dyDescent="0.25">
      <c r="A19194" t="str">
        <f>"3042093"</f>
        <v>3042093</v>
      </c>
      <c r="B19194" t="s">
        <v>58700</v>
      </c>
      <c r="C19194" t="str">
        <f>"5377520"</f>
        <v>5377520</v>
      </c>
      <c r="D19194" t="s">
        <v>58701</v>
      </c>
      <c r="E19194" t="s">
        <v>58702</v>
      </c>
      <c r="F19194" t="s">
        <v>58703</v>
      </c>
      <c r="I19194" t="s">
        <v>184</v>
      </c>
      <c r="J19194" t="s">
        <v>30</v>
      </c>
      <c r="K19194" t="s">
        <v>185</v>
      </c>
      <c r="M19194" t="s">
        <v>17861</v>
      </c>
      <c r="N19194" t="str">
        <f>"4/25/2023 3:52:00 PM"</f>
        <v>4/25/2023 3:52:00 PM</v>
      </c>
      <c r="O19194" t="s">
        <v>58701</v>
      </c>
      <c r="T19194" t="s">
        <v>58702</v>
      </c>
    </row>
    <row r="19195" spans="1:20" x14ac:dyDescent="0.25">
      <c r="A19195" t="str">
        <f>"3063904"</f>
        <v>3063904</v>
      </c>
      <c r="B19195" t="s">
        <v>58704</v>
      </c>
      <c r="C19195" t="str">
        <f>"5377520"</f>
        <v>5377520</v>
      </c>
      <c r="D19195" t="s">
        <v>58701</v>
      </c>
      <c r="E19195" t="s">
        <v>58702</v>
      </c>
      <c r="F19195" t="s">
        <v>58703</v>
      </c>
      <c r="I19195" t="s">
        <v>184</v>
      </c>
      <c r="J19195" t="s">
        <v>30</v>
      </c>
      <c r="K19195" t="s">
        <v>185</v>
      </c>
      <c r="M19195" t="s">
        <v>17861</v>
      </c>
      <c r="N19195" t="str">
        <f>"4/25/2023 3:52:00 PM"</f>
        <v>4/25/2023 3:52:00 PM</v>
      </c>
      <c r="O19195" t="s">
        <v>58701</v>
      </c>
      <c r="T19195" t="s">
        <v>58702</v>
      </c>
    </row>
    <row r="19196" spans="1:20" x14ac:dyDescent="0.25">
      <c r="A19196" t="str">
        <f>"3061863"</f>
        <v>3061863</v>
      </c>
      <c r="B19196" t="s">
        <v>58705</v>
      </c>
      <c r="C19196" t="str">
        <f>"8320113"</f>
        <v>8320113</v>
      </c>
      <c r="D19196" t="s">
        <v>58706</v>
      </c>
      <c r="F19196" t="s">
        <v>58707</v>
      </c>
      <c r="I19196" t="s">
        <v>29</v>
      </c>
      <c r="J19196" t="s">
        <v>30</v>
      </c>
      <c r="K19196" t="str">
        <f>"27028"</f>
        <v>27028</v>
      </c>
      <c r="M19196" t="s">
        <v>17861</v>
      </c>
      <c r="N19196" t="str">
        <f>"4/25/2023 4:11:00 PM"</f>
        <v>4/25/2023 4:11:00 PM</v>
      </c>
      <c r="O19196" t="s">
        <v>58706</v>
      </c>
    </row>
    <row r="19197" spans="1:20" x14ac:dyDescent="0.25">
      <c r="A19197" t="str">
        <f>"3057300"</f>
        <v>3057300</v>
      </c>
      <c r="B19197" t="s">
        <v>58708</v>
      </c>
      <c r="C19197" t="str">
        <f>"82527736"</f>
        <v>82527736</v>
      </c>
      <c r="D19197" t="s">
        <v>58709</v>
      </c>
      <c r="F19197" t="s">
        <v>58710</v>
      </c>
      <c r="I19197" t="s">
        <v>184</v>
      </c>
      <c r="J19197" t="s">
        <v>30</v>
      </c>
      <c r="K19197" t="s">
        <v>185</v>
      </c>
      <c r="M19197" t="s">
        <v>50621</v>
      </c>
      <c r="N19197" t="str">
        <f>"4/26/2023 9:27:00 AM"</f>
        <v>4/26/2023 9:27:00 AM</v>
      </c>
      <c r="O19197" t="s">
        <v>58709</v>
      </c>
    </row>
    <row r="19198" spans="1:20" x14ac:dyDescent="0.25">
      <c r="A19198" t="str">
        <f>"3078173"</f>
        <v>3078173</v>
      </c>
      <c r="B19198" t="s">
        <v>58711</v>
      </c>
      <c r="C19198" t="str">
        <f>"8320076"</f>
        <v>8320076</v>
      </c>
      <c r="D19198" t="s">
        <v>58712</v>
      </c>
      <c r="F19198" t="s">
        <v>58713</v>
      </c>
      <c r="I19198" t="s">
        <v>6801</v>
      </c>
      <c r="J19198" t="s">
        <v>30</v>
      </c>
      <c r="K19198" t="s">
        <v>58714</v>
      </c>
      <c r="M19198" t="s">
        <v>17861</v>
      </c>
      <c r="N19198" t="str">
        <f>"4/19/2023 3:20:00 PM"</f>
        <v>4/19/2023 3:20:00 PM</v>
      </c>
      <c r="O19198" t="s">
        <v>58712</v>
      </c>
    </row>
    <row r="19199" spans="1:20" x14ac:dyDescent="0.25">
      <c r="A19199" t="str">
        <f>"3057919"</f>
        <v>3057919</v>
      </c>
      <c r="B19199" t="s">
        <v>58715</v>
      </c>
      <c r="C19199" t="str">
        <f>"8320077"</f>
        <v>8320077</v>
      </c>
      <c r="D19199" t="s">
        <v>58716</v>
      </c>
      <c r="E19199" t="s">
        <v>58717</v>
      </c>
      <c r="F19199" t="s">
        <v>58718</v>
      </c>
      <c r="I19199" t="s">
        <v>184</v>
      </c>
      <c r="J19199" t="s">
        <v>30</v>
      </c>
      <c r="K19199" t="s">
        <v>28489</v>
      </c>
      <c r="M19199" t="s">
        <v>17861</v>
      </c>
      <c r="N19199" t="str">
        <f>"4/19/2023 3:22:00 PM"</f>
        <v>4/19/2023 3:22:00 PM</v>
      </c>
      <c r="O19199" t="s">
        <v>58716</v>
      </c>
      <c r="T19199" t="s">
        <v>58717</v>
      </c>
    </row>
    <row r="19200" spans="1:20" x14ac:dyDescent="0.25">
      <c r="A19200" t="str">
        <f>"3053402"</f>
        <v>3053402</v>
      </c>
      <c r="B19200" t="s">
        <v>58719</v>
      </c>
      <c r="C19200" t="str">
        <f>"8320079"</f>
        <v>8320079</v>
      </c>
      <c r="D19200" t="s">
        <v>58720</v>
      </c>
      <c r="E19200" t="s">
        <v>58721</v>
      </c>
      <c r="F19200" t="s">
        <v>50451</v>
      </c>
      <c r="I19200" t="s">
        <v>29</v>
      </c>
      <c r="J19200" t="s">
        <v>30</v>
      </c>
      <c r="K19200" t="s">
        <v>12976</v>
      </c>
      <c r="M19200" t="s">
        <v>17861</v>
      </c>
      <c r="N19200" t="str">
        <f>"4/20/2023 9:51:00 AM"</f>
        <v>4/20/2023 9:51:00 AM</v>
      </c>
      <c r="O19200" t="s">
        <v>58720</v>
      </c>
      <c r="T19200" t="s">
        <v>58721</v>
      </c>
    </row>
    <row r="19201" spans="1:20" x14ac:dyDescent="0.25">
      <c r="A19201" t="str">
        <f>"3049058"</f>
        <v>3049058</v>
      </c>
      <c r="B19201" t="s">
        <v>58722</v>
      </c>
      <c r="C19201" t="str">
        <f>"8320121"</f>
        <v>8320121</v>
      </c>
      <c r="D19201" t="s">
        <v>58723</v>
      </c>
      <c r="F19201" t="s">
        <v>58724</v>
      </c>
      <c r="I19201" t="s">
        <v>28654</v>
      </c>
      <c r="J19201" t="s">
        <v>30</v>
      </c>
      <c r="K19201" t="s">
        <v>58725</v>
      </c>
      <c r="M19201" t="s">
        <v>17861</v>
      </c>
      <c r="N19201" t="str">
        <f>"4/28/2023 8:08:00 AM"</f>
        <v>4/28/2023 8:08:00 AM</v>
      </c>
      <c r="O19201" t="s">
        <v>58723</v>
      </c>
    </row>
    <row r="19202" spans="1:20" x14ac:dyDescent="0.25">
      <c r="A19202" t="str">
        <f>"3043750"</f>
        <v>3043750</v>
      </c>
      <c r="B19202" t="s">
        <v>58726</v>
      </c>
      <c r="C19202" t="str">
        <f>"8320123"</f>
        <v>8320123</v>
      </c>
      <c r="D19202" t="s">
        <v>58727</v>
      </c>
      <c r="F19202" t="s">
        <v>58728</v>
      </c>
      <c r="I19202" t="s">
        <v>29</v>
      </c>
      <c r="J19202" t="s">
        <v>30</v>
      </c>
      <c r="K19202" t="s">
        <v>7170</v>
      </c>
      <c r="M19202" t="s">
        <v>17861</v>
      </c>
      <c r="N19202" t="str">
        <f>"4/28/2023 8:57:00 AM"</f>
        <v>4/28/2023 8:57:00 AM</v>
      </c>
      <c r="O19202" t="s">
        <v>58727</v>
      </c>
    </row>
    <row r="19203" spans="1:20" x14ac:dyDescent="0.25">
      <c r="A19203" t="str">
        <f>"3039930"</f>
        <v>3039930</v>
      </c>
      <c r="B19203" t="s">
        <v>58729</v>
      </c>
      <c r="C19203" t="str">
        <f>"8320124"</f>
        <v>8320124</v>
      </c>
      <c r="D19203" t="s">
        <v>1198</v>
      </c>
      <c r="F19203" t="s">
        <v>58730</v>
      </c>
      <c r="I19203" t="s">
        <v>29</v>
      </c>
      <c r="J19203" t="s">
        <v>30</v>
      </c>
      <c r="K19203" t="s">
        <v>42356</v>
      </c>
      <c r="M19203" t="s">
        <v>17861</v>
      </c>
      <c r="N19203" t="str">
        <f>"4/28/2023 9:03:00 AM"</f>
        <v>4/28/2023 9:03:00 AM</v>
      </c>
      <c r="O19203" t="s">
        <v>1198</v>
      </c>
    </row>
    <row r="19204" spans="1:20" x14ac:dyDescent="0.25">
      <c r="A19204" t="str">
        <f>"3060663"</f>
        <v>3060663</v>
      </c>
      <c r="B19204" t="s">
        <v>58731</v>
      </c>
      <c r="C19204" t="str">
        <f>"8320125"</f>
        <v>8320125</v>
      </c>
      <c r="D19204" t="s">
        <v>58732</v>
      </c>
      <c r="E19204" t="s">
        <v>58733</v>
      </c>
      <c r="F19204" t="s">
        <v>58734</v>
      </c>
      <c r="I19204" t="s">
        <v>184</v>
      </c>
      <c r="J19204" t="s">
        <v>30</v>
      </c>
      <c r="K19204" t="s">
        <v>6489</v>
      </c>
      <c r="M19204" t="s">
        <v>17861</v>
      </c>
      <c r="N19204" t="str">
        <f>"4/28/2023 9:08:00 AM"</f>
        <v>4/28/2023 9:08:00 AM</v>
      </c>
      <c r="O19204" t="s">
        <v>58732</v>
      </c>
      <c r="T19204" t="s">
        <v>58733</v>
      </c>
    </row>
    <row r="19205" spans="1:20" x14ac:dyDescent="0.25">
      <c r="A19205" t="str">
        <f>"3055251"</f>
        <v>3055251</v>
      </c>
      <c r="B19205" t="s">
        <v>58735</v>
      </c>
      <c r="C19205" t="str">
        <f>"8320126"</f>
        <v>8320126</v>
      </c>
      <c r="D19205" t="s">
        <v>58736</v>
      </c>
      <c r="E19205" t="s">
        <v>58737</v>
      </c>
      <c r="F19205" t="s">
        <v>58738</v>
      </c>
      <c r="I19205" t="s">
        <v>29</v>
      </c>
      <c r="J19205" t="s">
        <v>30</v>
      </c>
      <c r="K19205" t="s">
        <v>58739</v>
      </c>
      <c r="M19205" t="s">
        <v>17861</v>
      </c>
      <c r="N19205" t="str">
        <f>"4/28/2023 9:12:00 AM"</f>
        <v>4/28/2023 9:12:00 AM</v>
      </c>
      <c r="O19205" t="s">
        <v>58736</v>
      </c>
      <c r="T19205" t="s">
        <v>58737</v>
      </c>
    </row>
    <row r="19206" spans="1:20" x14ac:dyDescent="0.25">
      <c r="A19206" t="str">
        <f>"3049957"</f>
        <v>3049957</v>
      </c>
      <c r="B19206" t="s">
        <v>58740</v>
      </c>
      <c r="C19206" t="str">
        <f>"8320080"</f>
        <v>8320080</v>
      </c>
      <c r="D19206" t="s">
        <v>58741</v>
      </c>
      <c r="E19206" t="s">
        <v>58742</v>
      </c>
      <c r="F19206" t="s">
        <v>58743</v>
      </c>
      <c r="I19206" t="s">
        <v>36675</v>
      </c>
      <c r="J19206" t="s">
        <v>30</v>
      </c>
      <c r="K19206" t="s">
        <v>58744</v>
      </c>
      <c r="M19206" t="s">
        <v>17861</v>
      </c>
      <c r="N19206" t="str">
        <f>"4/20/2023 11:22:00 AM"</f>
        <v>4/20/2023 11:22:00 AM</v>
      </c>
      <c r="O19206" t="s">
        <v>58741</v>
      </c>
      <c r="T19206" t="s">
        <v>58742</v>
      </c>
    </row>
    <row r="19207" spans="1:20" x14ac:dyDescent="0.25">
      <c r="A19207" t="str">
        <f>"3049731"</f>
        <v>3049731</v>
      </c>
      <c r="B19207" t="s">
        <v>58745</v>
      </c>
      <c r="C19207" t="str">
        <f>"8320128"</f>
        <v>8320128</v>
      </c>
      <c r="D19207" t="s">
        <v>58746</v>
      </c>
      <c r="F19207" t="s">
        <v>58747</v>
      </c>
      <c r="I19207" t="s">
        <v>29</v>
      </c>
      <c r="J19207" t="s">
        <v>30</v>
      </c>
      <c r="K19207" t="s">
        <v>34638</v>
      </c>
      <c r="M19207" t="s">
        <v>17861</v>
      </c>
      <c r="N19207" t="str">
        <f>"4/28/2023 11:34:00 AM"</f>
        <v>4/28/2023 11:34:00 AM</v>
      </c>
      <c r="O19207" t="s">
        <v>58746</v>
      </c>
    </row>
    <row r="19208" spans="1:20" x14ac:dyDescent="0.25">
      <c r="A19208" t="str">
        <f>"3058476"</f>
        <v>3058476</v>
      </c>
      <c r="B19208" t="s">
        <v>58748</v>
      </c>
      <c r="C19208" t="str">
        <f>"8320130"</f>
        <v>8320130</v>
      </c>
      <c r="D19208" t="s">
        <v>58749</v>
      </c>
      <c r="F19208" t="s">
        <v>58750</v>
      </c>
      <c r="I19208" t="s">
        <v>402</v>
      </c>
      <c r="J19208" t="s">
        <v>30</v>
      </c>
      <c r="K19208" t="s">
        <v>58751</v>
      </c>
      <c r="M19208" t="s">
        <v>17861</v>
      </c>
      <c r="N19208" t="str">
        <f>"4/28/2023 11:52:00 AM"</f>
        <v>4/28/2023 11:52:00 AM</v>
      </c>
      <c r="O19208" t="s">
        <v>58749</v>
      </c>
    </row>
    <row r="19209" spans="1:20" x14ac:dyDescent="0.25">
      <c r="A19209" t="str">
        <f>"3055191"</f>
        <v>3055191</v>
      </c>
      <c r="B19209" t="s">
        <v>58752</v>
      </c>
      <c r="C19209" t="str">
        <f>"31536000"</f>
        <v>31536000</v>
      </c>
      <c r="D19209" t="s">
        <v>58753</v>
      </c>
      <c r="F19209" t="s">
        <v>58754</v>
      </c>
      <c r="I19209" t="s">
        <v>29</v>
      </c>
      <c r="J19209" t="s">
        <v>30</v>
      </c>
      <c r="K19209" t="s">
        <v>31</v>
      </c>
      <c r="M19209" t="s">
        <v>36935</v>
      </c>
      <c r="N19209" t="str">
        <f>"4/28/2023 12:16:00 PM"</f>
        <v>4/28/2023 12:16:00 PM</v>
      </c>
      <c r="O19209" t="s">
        <v>58753</v>
      </c>
    </row>
    <row r="19210" spans="1:20" x14ac:dyDescent="0.25">
      <c r="A19210" t="str">
        <f>"3043561"</f>
        <v>3043561</v>
      </c>
      <c r="B19210" t="s">
        <v>58755</v>
      </c>
      <c r="C19210" t="str">
        <f>"8320081"</f>
        <v>8320081</v>
      </c>
      <c r="D19210" t="s">
        <v>58756</v>
      </c>
      <c r="F19210" t="s">
        <v>58757</v>
      </c>
      <c r="I19210" t="s">
        <v>42660</v>
      </c>
      <c r="J19210" t="s">
        <v>2109</v>
      </c>
      <c r="K19210" t="s">
        <v>58758</v>
      </c>
      <c r="M19210" t="s">
        <v>17861</v>
      </c>
      <c r="N19210" t="str">
        <f>"4/20/2023 12:56:00 PM"</f>
        <v>4/20/2023 12:56:00 PM</v>
      </c>
      <c r="O19210" t="s">
        <v>58756</v>
      </c>
    </row>
    <row r="19211" spans="1:20" x14ac:dyDescent="0.25">
      <c r="A19211" t="str">
        <f>"3072264"</f>
        <v>3072264</v>
      </c>
      <c r="B19211" t="s">
        <v>58759</v>
      </c>
      <c r="C19211" t="str">
        <f>"8320082"</f>
        <v>8320082</v>
      </c>
      <c r="D19211" t="s">
        <v>58760</v>
      </c>
      <c r="E19211" t="s">
        <v>58761</v>
      </c>
      <c r="F19211" t="s">
        <v>58762</v>
      </c>
      <c r="I19211" t="s">
        <v>29</v>
      </c>
      <c r="J19211" t="s">
        <v>30</v>
      </c>
      <c r="K19211" t="s">
        <v>48135</v>
      </c>
      <c r="M19211" t="s">
        <v>17861</v>
      </c>
      <c r="N19211" t="str">
        <f>"4/20/2023 1:41:00 PM"</f>
        <v>4/20/2023 1:41:00 PM</v>
      </c>
      <c r="O19211" t="s">
        <v>58760</v>
      </c>
      <c r="T19211" t="s">
        <v>58761</v>
      </c>
    </row>
    <row r="19212" spans="1:20" x14ac:dyDescent="0.25">
      <c r="A19212" t="str">
        <f>"3072265"</f>
        <v>3072265</v>
      </c>
      <c r="B19212" t="s">
        <v>58763</v>
      </c>
      <c r="C19212" t="str">
        <f>"8320082"</f>
        <v>8320082</v>
      </c>
      <c r="D19212" t="s">
        <v>58760</v>
      </c>
      <c r="E19212" t="s">
        <v>58761</v>
      </c>
      <c r="F19212" t="s">
        <v>58762</v>
      </c>
      <c r="I19212" t="s">
        <v>29</v>
      </c>
      <c r="J19212" t="s">
        <v>30</v>
      </c>
      <c r="K19212" t="s">
        <v>48135</v>
      </c>
      <c r="M19212" t="s">
        <v>17861</v>
      </c>
      <c r="N19212" t="str">
        <f>"4/20/2023 1:41:00 PM"</f>
        <v>4/20/2023 1:41:00 PM</v>
      </c>
      <c r="O19212" t="s">
        <v>58760</v>
      </c>
      <c r="T19212" t="s">
        <v>58761</v>
      </c>
    </row>
    <row r="19213" spans="1:20" x14ac:dyDescent="0.25">
      <c r="A19213" t="str">
        <f>"3061832"</f>
        <v>3061832</v>
      </c>
      <c r="B19213" t="s">
        <v>58764</v>
      </c>
      <c r="C19213" t="str">
        <f>"8320083"</f>
        <v>8320083</v>
      </c>
      <c r="D19213" t="s">
        <v>58765</v>
      </c>
      <c r="E19213" t="s">
        <v>58766</v>
      </c>
      <c r="F19213" t="s">
        <v>58767</v>
      </c>
      <c r="I19213" t="s">
        <v>184</v>
      </c>
      <c r="J19213" t="s">
        <v>30</v>
      </c>
      <c r="K19213" t="s">
        <v>58030</v>
      </c>
      <c r="M19213" t="s">
        <v>17861</v>
      </c>
      <c r="N19213" t="str">
        <f>"4/20/2023 3:45:00 PM"</f>
        <v>4/20/2023 3:45:00 PM</v>
      </c>
      <c r="O19213" t="s">
        <v>58765</v>
      </c>
      <c r="T19213" t="s">
        <v>58766</v>
      </c>
    </row>
    <row r="19214" spans="1:20" x14ac:dyDescent="0.25">
      <c r="A19214" t="str">
        <f>"3057828"</f>
        <v>3057828</v>
      </c>
      <c r="B19214" t="s">
        <v>58768</v>
      </c>
      <c r="C19214" t="str">
        <f>"8320137"</f>
        <v>8320137</v>
      </c>
      <c r="D19214" t="s">
        <v>58769</v>
      </c>
      <c r="E19214" t="s">
        <v>58770</v>
      </c>
      <c r="F19214" t="s">
        <v>58771</v>
      </c>
      <c r="I19214" t="s">
        <v>184</v>
      </c>
      <c r="J19214" t="s">
        <v>30</v>
      </c>
      <c r="K19214" t="s">
        <v>39012</v>
      </c>
      <c r="M19214" t="s">
        <v>17861</v>
      </c>
      <c r="N19214" t="str">
        <f>"5/1/2023 9:14:00 AM"</f>
        <v>5/1/2023 9:14:00 AM</v>
      </c>
      <c r="O19214" t="s">
        <v>58769</v>
      </c>
      <c r="T19214" t="s">
        <v>58770</v>
      </c>
    </row>
    <row r="19215" spans="1:20" x14ac:dyDescent="0.25">
      <c r="A19215" t="str">
        <f>"3038297"</f>
        <v>3038297</v>
      </c>
      <c r="B19215" t="s">
        <v>58772</v>
      </c>
      <c r="C19215" t="str">
        <f>"8320085"</f>
        <v>8320085</v>
      </c>
      <c r="D19215" t="s">
        <v>58773</v>
      </c>
      <c r="F19215" t="s">
        <v>58774</v>
      </c>
      <c r="I19215" t="s">
        <v>7917</v>
      </c>
      <c r="J19215" t="s">
        <v>30</v>
      </c>
      <c r="K19215" t="s">
        <v>58775</v>
      </c>
      <c r="M19215" t="s">
        <v>17861</v>
      </c>
      <c r="N19215" t="str">
        <f>"4/20/2023 3:50:00 PM"</f>
        <v>4/20/2023 3:50:00 PM</v>
      </c>
      <c r="O19215" t="s">
        <v>58773</v>
      </c>
    </row>
    <row r="19216" spans="1:20" x14ac:dyDescent="0.25">
      <c r="A19216" t="str">
        <f>"3049601"</f>
        <v>3049601</v>
      </c>
      <c r="B19216" t="s">
        <v>58776</v>
      </c>
      <c r="C19216" t="str">
        <f>"8320086"</f>
        <v>8320086</v>
      </c>
      <c r="D19216" t="s">
        <v>58777</v>
      </c>
      <c r="E19216" t="s">
        <v>58778</v>
      </c>
      <c r="F19216" t="s">
        <v>58779</v>
      </c>
      <c r="I19216" t="s">
        <v>402</v>
      </c>
      <c r="J19216" t="s">
        <v>30</v>
      </c>
      <c r="K19216" t="s">
        <v>58780</v>
      </c>
      <c r="M19216" t="s">
        <v>17861</v>
      </c>
      <c r="N19216" t="str">
        <f>"4/20/2023 3:53:00 PM"</f>
        <v>4/20/2023 3:53:00 PM</v>
      </c>
      <c r="O19216" t="s">
        <v>58777</v>
      </c>
      <c r="T19216" t="s">
        <v>58778</v>
      </c>
    </row>
    <row r="19217" spans="1:20" x14ac:dyDescent="0.25">
      <c r="A19217" t="str">
        <f>"3043558"</f>
        <v>3043558</v>
      </c>
      <c r="B19217" t="s">
        <v>58781</v>
      </c>
      <c r="C19217" t="str">
        <f>"8320087"</f>
        <v>8320087</v>
      </c>
      <c r="D19217" t="s">
        <v>58782</v>
      </c>
      <c r="E19217" t="s">
        <v>58783</v>
      </c>
      <c r="F19217" t="s">
        <v>58784</v>
      </c>
      <c r="I19217" t="s">
        <v>29</v>
      </c>
      <c r="J19217" t="s">
        <v>30</v>
      </c>
      <c r="K19217" t="s">
        <v>53221</v>
      </c>
      <c r="M19217" t="s">
        <v>17861</v>
      </c>
      <c r="N19217" t="str">
        <f>"4/20/2023 3:56:00 PM"</f>
        <v>4/20/2023 3:56:00 PM</v>
      </c>
      <c r="O19217" t="s">
        <v>58782</v>
      </c>
      <c r="T19217" t="s">
        <v>58783</v>
      </c>
    </row>
    <row r="19218" spans="1:20" x14ac:dyDescent="0.25">
      <c r="A19218" t="str">
        <f>"3037844"</f>
        <v>3037844</v>
      </c>
      <c r="B19218" t="s">
        <v>58785</v>
      </c>
      <c r="C19218" t="str">
        <f>"8320088"</f>
        <v>8320088</v>
      </c>
      <c r="D19218" t="s">
        <v>58786</v>
      </c>
      <c r="E19218" t="s">
        <v>58787</v>
      </c>
      <c r="F19218" t="s">
        <v>58788</v>
      </c>
      <c r="I19218" t="s">
        <v>471</v>
      </c>
      <c r="J19218" t="s">
        <v>30</v>
      </c>
      <c r="K19218" t="s">
        <v>58789</v>
      </c>
      <c r="M19218" t="s">
        <v>17861</v>
      </c>
      <c r="N19218" t="str">
        <f>"4/20/2023 3:59:00 PM"</f>
        <v>4/20/2023 3:59:00 PM</v>
      </c>
      <c r="O19218" t="s">
        <v>58786</v>
      </c>
      <c r="T19218" t="s">
        <v>58787</v>
      </c>
    </row>
    <row r="19219" spans="1:20" x14ac:dyDescent="0.25">
      <c r="A19219" t="str">
        <f>"3041392"</f>
        <v>3041392</v>
      </c>
      <c r="B19219" t="s">
        <v>58790</v>
      </c>
      <c r="C19219" t="str">
        <f>"8320089"</f>
        <v>8320089</v>
      </c>
      <c r="D19219" t="s">
        <v>58791</v>
      </c>
      <c r="E19219" t="s">
        <v>58792</v>
      </c>
      <c r="F19219" t="s">
        <v>58793</v>
      </c>
      <c r="I19219" t="s">
        <v>2071</v>
      </c>
      <c r="J19219" t="s">
        <v>30</v>
      </c>
      <c r="K19219" t="s">
        <v>2200</v>
      </c>
      <c r="M19219" t="s">
        <v>17861</v>
      </c>
      <c r="N19219" t="str">
        <f>"4/20/2023 4:04:00 PM"</f>
        <v>4/20/2023 4:04:00 PM</v>
      </c>
      <c r="O19219" t="s">
        <v>58791</v>
      </c>
      <c r="T19219" t="s">
        <v>58792</v>
      </c>
    </row>
    <row r="19220" spans="1:20" x14ac:dyDescent="0.25">
      <c r="A19220" t="str">
        <f>"3038052"</f>
        <v>3038052</v>
      </c>
      <c r="B19220" t="s">
        <v>58794</v>
      </c>
      <c r="C19220" t="str">
        <f>"8314628"</f>
        <v>8314628</v>
      </c>
      <c r="D19220" t="s">
        <v>58795</v>
      </c>
      <c r="E19220" t="s">
        <v>58796</v>
      </c>
      <c r="F19220" t="s">
        <v>58797</v>
      </c>
      <c r="I19220" t="s">
        <v>29</v>
      </c>
      <c r="J19220" t="s">
        <v>30</v>
      </c>
      <c r="K19220" t="s">
        <v>32872</v>
      </c>
      <c r="M19220" t="s">
        <v>50793</v>
      </c>
      <c r="N19220" t="str">
        <f>"4/21/2023 8:06:00 AM"</f>
        <v>4/21/2023 8:06:00 AM</v>
      </c>
      <c r="O19220" t="s">
        <v>58795</v>
      </c>
      <c r="T19220" t="s">
        <v>58796</v>
      </c>
    </row>
    <row r="19221" spans="1:20" x14ac:dyDescent="0.25">
      <c r="A19221" t="str">
        <f>"3038162"</f>
        <v>3038162</v>
      </c>
      <c r="B19221" t="s">
        <v>58798</v>
      </c>
      <c r="C19221" t="str">
        <f>"8314628"</f>
        <v>8314628</v>
      </c>
      <c r="D19221" t="s">
        <v>58795</v>
      </c>
      <c r="E19221" t="s">
        <v>58796</v>
      </c>
      <c r="F19221" t="s">
        <v>58797</v>
      </c>
      <c r="I19221" t="s">
        <v>29</v>
      </c>
      <c r="J19221" t="s">
        <v>30</v>
      </c>
      <c r="K19221" t="s">
        <v>32872</v>
      </c>
      <c r="M19221" t="s">
        <v>50793</v>
      </c>
      <c r="N19221" t="str">
        <f>"4/21/2023 8:06:00 AM"</f>
        <v>4/21/2023 8:06:00 AM</v>
      </c>
      <c r="O19221" t="s">
        <v>58795</v>
      </c>
      <c r="T19221" t="s">
        <v>58796</v>
      </c>
    </row>
    <row r="19222" spans="1:20" x14ac:dyDescent="0.25">
      <c r="A19222" t="str">
        <f>"3038762"</f>
        <v>3038762</v>
      </c>
      <c r="B19222" t="s">
        <v>58799</v>
      </c>
      <c r="C19222" t="str">
        <f>"8314628"</f>
        <v>8314628</v>
      </c>
      <c r="D19222" t="s">
        <v>58795</v>
      </c>
      <c r="E19222" t="s">
        <v>58796</v>
      </c>
      <c r="F19222" t="s">
        <v>58797</v>
      </c>
      <c r="I19222" t="s">
        <v>29</v>
      </c>
      <c r="J19222" t="s">
        <v>30</v>
      </c>
      <c r="K19222" t="s">
        <v>32872</v>
      </c>
      <c r="M19222" t="s">
        <v>50793</v>
      </c>
      <c r="N19222" t="str">
        <f>"4/21/2023 8:06:00 AM"</f>
        <v>4/21/2023 8:06:00 AM</v>
      </c>
      <c r="O19222" t="s">
        <v>58795</v>
      </c>
      <c r="T19222" t="s">
        <v>58796</v>
      </c>
    </row>
    <row r="19223" spans="1:20" x14ac:dyDescent="0.25">
      <c r="A19223" t="str">
        <f>"3061109"</f>
        <v>3061109</v>
      </c>
      <c r="B19223" t="s">
        <v>58800</v>
      </c>
      <c r="C19223" t="str">
        <f>"8320091"</f>
        <v>8320091</v>
      </c>
      <c r="D19223" t="s">
        <v>58801</v>
      </c>
      <c r="F19223" t="s">
        <v>58802</v>
      </c>
      <c r="I19223" t="s">
        <v>2071</v>
      </c>
      <c r="J19223" t="s">
        <v>30</v>
      </c>
      <c r="K19223" t="s">
        <v>39090</v>
      </c>
      <c r="M19223" t="s">
        <v>17861</v>
      </c>
      <c r="N19223" t="str">
        <f>"4/21/2023 12:32:00 PM"</f>
        <v>4/21/2023 12:32:00 PM</v>
      </c>
      <c r="O19223" t="s">
        <v>58801</v>
      </c>
    </row>
    <row r="19224" spans="1:20" x14ac:dyDescent="0.25">
      <c r="A19224" t="str">
        <f>"3060669"</f>
        <v>3060669</v>
      </c>
      <c r="B19224" t="s">
        <v>58803</v>
      </c>
      <c r="C19224" t="str">
        <f>"8320092"</f>
        <v>8320092</v>
      </c>
      <c r="D19224" t="s">
        <v>58804</v>
      </c>
      <c r="E19224" t="s">
        <v>58805</v>
      </c>
      <c r="F19224" t="s">
        <v>58806</v>
      </c>
      <c r="I19224" t="s">
        <v>2071</v>
      </c>
      <c r="J19224" t="s">
        <v>30</v>
      </c>
      <c r="K19224" t="s">
        <v>6484</v>
      </c>
      <c r="M19224" t="s">
        <v>17861</v>
      </c>
      <c r="N19224" t="str">
        <f>"4/21/2023 12:37:00 PM"</f>
        <v>4/21/2023 12:37:00 PM</v>
      </c>
      <c r="O19224" t="s">
        <v>58804</v>
      </c>
      <c r="T19224" t="s">
        <v>58805</v>
      </c>
    </row>
    <row r="19225" spans="1:20" x14ac:dyDescent="0.25">
      <c r="A19225" t="str">
        <f>"3041716"</f>
        <v>3041716</v>
      </c>
      <c r="B19225" t="s">
        <v>58807</v>
      </c>
      <c r="C19225" t="str">
        <f>"8320096"</f>
        <v>8320096</v>
      </c>
      <c r="D19225" t="s">
        <v>58808</v>
      </c>
      <c r="E19225" t="s">
        <v>58809</v>
      </c>
      <c r="F19225" t="s">
        <v>58810</v>
      </c>
      <c r="I19225" t="s">
        <v>2071</v>
      </c>
      <c r="J19225" t="s">
        <v>30</v>
      </c>
      <c r="K19225" t="s">
        <v>19627</v>
      </c>
      <c r="M19225" t="s">
        <v>17861</v>
      </c>
      <c r="N19225" t="str">
        <f>"4/21/2023 3:32:00 PM"</f>
        <v>4/21/2023 3:32:00 PM</v>
      </c>
      <c r="O19225" t="s">
        <v>58808</v>
      </c>
      <c r="T19225" t="s">
        <v>58809</v>
      </c>
    </row>
    <row r="19226" spans="1:20" x14ac:dyDescent="0.25">
      <c r="A19226" t="str">
        <f>"3042609"</f>
        <v>3042609</v>
      </c>
      <c r="B19226" t="s">
        <v>58811</v>
      </c>
      <c r="C19226" t="str">
        <f>"8320097"</f>
        <v>8320097</v>
      </c>
      <c r="D19226" t="str">
        <f>"MERRIMAN TRAVIS A/ALEXANDRA P"</f>
        <v>MERRIMAN TRAVIS A/ALEXANDRA P</v>
      </c>
      <c r="E19226" t="str">
        <f>"MERRIMAN TUCKER D/SYDNIE C"</f>
        <v>MERRIMAN TUCKER D/SYDNIE C</v>
      </c>
      <c r="F19226" t="s">
        <v>58812</v>
      </c>
      <c r="I19226" t="s">
        <v>1107</v>
      </c>
      <c r="J19226" t="s">
        <v>30</v>
      </c>
      <c r="K19226" t="s">
        <v>58813</v>
      </c>
      <c r="M19226" t="s">
        <v>17861</v>
      </c>
      <c r="N19226" t="str">
        <f>"4/21/2023 3:36:00 PM"</f>
        <v>4/21/2023 3:36:00 PM</v>
      </c>
      <c r="O19226" t="str">
        <f>"MERRIMAN TRAVIS A/ALEXANDRA P"</f>
        <v>MERRIMAN TRAVIS A/ALEXANDRA P</v>
      </c>
      <c r="T19226" t="str">
        <f>"MERRIMAN TUCKER D/SYDNIE C"</f>
        <v>MERRIMAN TUCKER D/SYDNIE C</v>
      </c>
    </row>
    <row r="19227" spans="1:20" x14ac:dyDescent="0.25">
      <c r="A19227" t="str">
        <f>"3047741"</f>
        <v>3047741</v>
      </c>
      <c r="B19227" t="s">
        <v>58814</v>
      </c>
      <c r="C19227" t="str">
        <f>"8308882"</f>
        <v>8308882</v>
      </c>
      <c r="D19227" t="s">
        <v>58815</v>
      </c>
      <c r="E19227" t="s">
        <v>58816</v>
      </c>
      <c r="F19227" t="s">
        <v>58817</v>
      </c>
      <c r="I19227" t="s">
        <v>184</v>
      </c>
      <c r="J19227" t="s">
        <v>30</v>
      </c>
      <c r="K19227" t="s">
        <v>58818</v>
      </c>
      <c r="M19227" t="s">
        <v>18479</v>
      </c>
      <c r="N19227" t="str">
        <f>"4/24/2023 1:13:00 PM"</f>
        <v>4/24/2023 1:13:00 PM</v>
      </c>
      <c r="O19227" t="s">
        <v>58815</v>
      </c>
      <c r="T19227" t="s">
        <v>58816</v>
      </c>
    </row>
    <row r="19228" spans="1:20" x14ac:dyDescent="0.25">
      <c r="A19228" t="str">
        <f>"3052078"</f>
        <v>3052078</v>
      </c>
      <c r="B19228" t="s">
        <v>58819</v>
      </c>
      <c r="C19228" t="str">
        <f>"8320100"</f>
        <v>8320100</v>
      </c>
      <c r="D19228" t="s">
        <v>58820</v>
      </c>
      <c r="E19228" t="s">
        <v>58821</v>
      </c>
      <c r="F19228" t="s">
        <v>58822</v>
      </c>
      <c r="I19228" t="s">
        <v>29</v>
      </c>
      <c r="J19228" t="s">
        <v>30</v>
      </c>
      <c r="K19228" t="s">
        <v>58823</v>
      </c>
      <c r="M19228" t="s">
        <v>17861</v>
      </c>
      <c r="N19228" t="str">
        <f>"4/24/2023 2:40:00 PM"</f>
        <v>4/24/2023 2:40:00 PM</v>
      </c>
      <c r="O19228" t="s">
        <v>58820</v>
      </c>
      <c r="T19228" t="s">
        <v>58821</v>
      </c>
    </row>
    <row r="19229" spans="1:20" x14ac:dyDescent="0.25">
      <c r="A19229" t="str">
        <f>"3040509"</f>
        <v>3040509</v>
      </c>
      <c r="B19229" t="s">
        <v>58824</v>
      </c>
      <c r="C19229" t="str">
        <f>"8320105"</f>
        <v>8320105</v>
      </c>
      <c r="D19229" t="s">
        <v>58825</v>
      </c>
      <c r="E19229" t="s">
        <v>58826</v>
      </c>
      <c r="F19229" t="s">
        <v>58827</v>
      </c>
      <c r="I19229" t="s">
        <v>184</v>
      </c>
      <c r="J19229" t="s">
        <v>30</v>
      </c>
      <c r="K19229" t="s">
        <v>53870</v>
      </c>
      <c r="M19229" t="s">
        <v>17861</v>
      </c>
      <c r="N19229" t="str">
        <f>"4/25/2023 8:58:00 AM"</f>
        <v>4/25/2023 8:58:00 AM</v>
      </c>
      <c r="O19229" t="s">
        <v>58825</v>
      </c>
      <c r="T19229" t="s">
        <v>58826</v>
      </c>
    </row>
    <row r="19230" spans="1:20" x14ac:dyDescent="0.25">
      <c r="A19230" t="str">
        <f>"3057422"</f>
        <v>3057422</v>
      </c>
      <c r="B19230" t="s">
        <v>58828</v>
      </c>
      <c r="C19230" t="str">
        <f>"8312960"</f>
        <v>8312960</v>
      </c>
      <c r="D19230" t="s">
        <v>58829</v>
      </c>
      <c r="F19230" t="s">
        <v>58830</v>
      </c>
      <c r="I19230" t="s">
        <v>471</v>
      </c>
      <c r="J19230" t="s">
        <v>30</v>
      </c>
      <c r="K19230" t="s">
        <v>58831</v>
      </c>
      <c r="M19230" t="s">
        <v>50621</v>
      </c>
      <c r="N19230" t="str">
        <f>"4/25/2023 3:39:00 PM"</f>
        <v>4/25/2023 3:39:00 PM</v>
      </c>
      <c r="O19230" t="s">
        <v>58829</v>
      </c>
    </row>
    <row r="19231" spans="1:20" x14ac:dyDescent="0.25">
      <c r="A19231" t="str">
        <f>"3059004"</f>
        <v>3059004</v>
      </c>
      <c r="B19231" t="s">
        <v>58832</v>
      </c>
      <c r="C19231" t="str">
        <f>"8320115"</f>
        <v>8320115</v>
      </c>
      <c r="D19231" t="s">
        <v>58833</v>
      </c>
      <c r="F19231" t="s">
        <v>58834</v>
      </c>
      <c r="I19231" t="s">
        <v>29</v>
      </c>
      <c r="J19231" t="s">
        <v>30</v>
      </c>
      <c r="K19231" t="s">
        <v>24290</v>
      </c>
      <c r="M19231" t="s">
        <v>17861</v>
      </c>
      <c r="N19231" t="str">
        <f>"4/26/2023 1:00:00 PM"</f>
        <v>4/26/2023 1:00:00 PM</v>
      </c>
      <c r="O19231" t="s">
        <v>58833</v>
      </c>
    </row>
    <row r="19232" spans="1:20" x14ac:dyDescent="0.25">
      <c r="A19232" t="str">
        <f>"3059287"</f>
        <v>3059287</v>
      </c>
      <c r="B19232" t="s">
        <v>58835</v>
      </c>
      <c r="C19232" t="str">
        <f>"8310397"</f>
        <v>8310397</v>
      </c>
      <c r="D19232" t="s">
        <v>58836</v>
      </c>
      <c r="F19232" t="s">
        <v>58837</v>
      </c>
      <c r="I19232" t="s">
        <v>29</v>
      </c>
      <c r="J19232" t="s">
        <v>30</v>
      </c>
      <c r="K19232" t="s">
        <v>58838</v>
      </c>
      <c r="M19232" t="s">
        <v>50793</v>
      </c>
      <c r="N19232" t="str">
        <f>"5/2/2023 2:01:00 PM"</f>
        <v>5/2/2023 2:01:00 PM</v>
      </c>
      <c r="O19232" t="s">
        <v>58836</v>
      </c>
    </row>
    <row r="19233" spans="1:20" x14ac:dyDescent="0.25">
      <c r="A19233" t="str">
        <f>"3041658"</f>
        <v>3041658</v>
      </c>
      <c r="B19233" t="s">
        <v>58839</v>
      </c>
      <c r="C19233" t="str">
        <f>"8307001"</f>
        <v>8307001</v>
      </c>
      <c r="D19233" t="s">
        <v>58840</v>
      </c>
      <c r="E19233" t="s">
        <v>58841</v>
      </c>
      <c r="F19233" t="s">
        <v>58842</v>
      </c>
      <c r="I19233" t="s">
        <v>2071</v>
      </c>
      <c r="J19233" t="s">
        <v>30</v>
      </c>
      <c r="K19233" t="str">
        <f>"27006"</f>
        <v>27006</v>
      </c>
      <c r="M19233" t="s">
        <v>50621</v>
      </c>
      <c r="N19233" t="str">
        <f>"4/26/2023 2:50:00 PM"</f>
        <v>4/26/2023 2:50:00 PM</v>
      </c>
      <c r="O19233" t="s">
        <v>58840</v>
      </c>
      <c r="T19233" t="s">
        <v>58841</v>
      </c>
    </row>
    <row r="19234" spans="1:20" x14ac:dyDescent="0.25">
      <c r="A19234" t="str">
        <f>"3060906"</f>
        <v>3060906</v>
      </c>
      <c r="B19234" t="s">
        <v>58843</v>
      </c>
      <c r="C19234" t="str">
        <f>"8320117"</f>
        <v>8320117</v>
      </c>
      <c r="D19234" t="s">
        <v>58844</v>
      </c>
      <c r="E19234" t="s">
        <v>58845</v>
      </c>
      <c r="F19234" t="s">
        <v>58846</v>
      </c>
      <c r="I19234" t="s">
        <v>2071</v>
      </c>
      <c r="J19234" t="s">
        <v>30</v>
      </c>
      <c r="K19234" t="s">
        <v>41683</v>
      </c>
      <c r="M19234" t="s">
        <v>17861</v>
      </c>
      <c r="N19234" t="str">
        <f>"4/27/2023 12:35:00 PM"</f>
        <v>4/27/2023 12:35:00 PM</v>
      </c>
      <c r="O19234" t="s">
        <v>58844</v>
      </c>
      <c r="T19234" t="s">
        <v>58845</v>
      </c>
    </row>
    <row r="19235" spans="1:20" x14ac:dyDescent="0.25">
      <c r="A19235" t="str">
        <f>"3047946"</f>
        <v>3047946</v>
      </c>
      <c r="B19235" t="s">
        <v>58847</v>
      </c>
      <c r="C19235" t="str">
        <f>"4876000"</f>
        <v>4876000</v>
      </c>
      <c r="D19235" t="s">
        <v>58848</v>
      </c>
      <c r="F19235" t="s">
        <v>58849</v>
      </c>
      <c r="I19235" t="s">
        <v>184</v>
      </c>
      <c r="J19235" t="s">
        <v>30</v>
      </c>
      <c r="K19235" t="s">
        <v>9132</v>
      </c>
      <c r="M19235" t="s">
        <v>36935</v>
      </c>
      <c r="N19235" t="str">
        <f>"4/28/2023 10:22:00 AM"</f>
        <v>4/28/2023 10:22:00 AM</v>
      </c>
      <c r="O19235" t="s">
        <v>58848</v>
      </c>
    </row>
    <row r="19236" spans="1:20" x14ac:dyDescent="0.25">
      <c r="A19236" t="str">
        <f>"3058237"</f>
        <v>3058237</v>
      </c>
      <c r="B19236" t="s">
        <v>58850</v>
      </c>
      <c r="C19236" t="str">
        <f>"82524796"</f>
        <v>82524796</v>
      </c>
      <c r="D19236" t="s">
        <v>58851</v>
      </c>
      <c r="F19236" t="s">
        <v>58852</v>
      </c>
      <c r="I19236" t="s">
        <v>184</v>
      </c>
      <c r="J19236" t="s">
        <v>30</v>
      </c>
      <c r="K19236" t="s">
        <v>10399</v>
      </c>
      <c r="M19236" t="s">
        <v>36935</v>
      </c>
      <c r="N19236" t="str">
        <f>"4/28/2023 1:21:00 PM"</f>
        <v>4/28/2023 1:21:00 PM</v>
      </c>
      <c r="O19236" t="s">
        <v>58851</v>
      </c>
    </row>
    <row r="19237" spans="1:20" x14ac:dyDescent="0.25">
      <c r="A19237" t="str">
        <f>"3061213"</f>
        <v>3061213</v>
      </c>
      <c r="B19237" t="s">
        <v>58853</v>
      </c>
      <c r="C19237" t="str">
        <f>"8314921"</f>
        <v>8314921</v>
      </c>
      <c r="D19237" t="s">
        <v>58854</v>
      </c>
      <c r="F19237" t="s">
        <v>58855</v>
      </c>
      <c r="I19237" t="s">
        <v>2071</v>
      </c>
      <c r="J19237" t="s">
        <v>30</v>
      </c>
      <c r="K19237" t="str">
        <f>"27006"</f>
        <v>27006</v>
      </c>
      <c r="M19237" t="s">
        <v>25733</v>
      </c>
      <c r="N19237" t="str">
        <f>"4/28/2023 1:37:00 PM"</f>
        <v>4/28/2023 1:37:00 PM</v>
      </c>
      <c r="O19237" t="s">
        <v>58854</v>
      </c>
    </row>
    <row r="19238" spans="1:20" x14ac:dyDescent="0.25">
      <c r="A19238" t="str">
        <f>"3056346"</f>
        <v>3056346</v>
      </c>
      <c r="B19238" t="s">
        <v>58856</v>
      </c>
      <c r="C19238" t="str">
        <f>"8320136"</f>
        <v>8320136</v>
      </c>
      <c r="D19238" t="s">
        <v>58857</v>
      </c>
      <c r="E19238" t="s">
        <v>58858</v>
      </c>
      <c r="F19238" t="s">
        <v>58859</v>
      </c>
      <c r="I19238" t="s">
        <v>29</v>
      </c>
      <c r="J19238" t="s">
        <v>30</v>
      </c>
      <c r="K19238" t="s">
        <v>16139</v>
      </c>
      <c r="M19238" t="s">
        <v>17861</v>
      </c>
      <c r="N19238" t="str">
        <f>"5/1/2023 8:45:00 AM"</f>
        <v>5/1/2023 8:45:00 AM</v>
      </c>
      <c r="O19238" t="s">
        <v>58857</v>
      </c>
      <c r="T19238" t="s">
        <v>58858</v>
      </c>
    </row>
    <row r="19239" spans="1:20" x14ac:dyDescent="0.25">
      <c r="A19239" t="str">
        <f>"3056593"</f>
        <v>3056593</v>
      </c>
      <c r="B19239" t="s">
        <v>58860</v>
      </c>
      <c r="C19239" t="str">
        <f>"8320136"</f>
        <v>8320136</v>
      </c>
      <c r="D19239" t="s">
        <v>58857</v>
      </c>
      <c r="E19239" t="s">
        <v>58858</v>
      </c>
      <c r="F19239" t="s">
        <v>58859</v>
      </c>
      <c r="I19239" t="s">
        <v>29</v>
      </c>
      <c r="J19239" t="s">
        <v>30</v>
      </c>
      <c r="K19239" t="s">
        <v>16139</v>
      </c>
      <c r="M19239" t="s">
        <v>17861</v>
      </c>
      <c r="N19239" t="str">
        <f>"5/1/2023 8:45:00 AM"</f>
        <v>5/1/2023 8:45:00 AM</v>
      </c>
      <c r="O19239" t="s">
        <v>58857</v>
      </c>
      <c r="T19239" t="s">
        <v>58858</v>
      </c>
    </row>
    <row r="19240" spans="1:20" x14ac:dyDescent="0.25">
      <c r="A19240" t="str">
        <f>"3049781"</f>
        <v>3049781</v>
      </c>
      <c r="B19240" t="s">
        <v>58861</v>
      </c>
      <c r="C19240" t="str">
        <f>"8320150"</f>
        <v>8320150</v>
      </c>
      <c r="D19240" t="s">
        <v>58862</v>
      </c>
      <c r="E19240" t="s">
        <v>58863</v>
      </c>
      <c r="F19240" t="s">
        <v>58864</v>
      </c>
      <c r="I19240" t="s">
        <v>29</v>
      </c>
      <c r="J19240" t="s">
        <v>30</v>
      </c>
      <c r="K19240" t="s">
        <v>9706</v>
      </c>
      <c r="M19240" t="s">
        <v>17861</v>
      </c>
      <c r="N19240" t="str">
        <f>"5/2/2023 1:44:00 PM"</f>
        <v>5/2/2023 1:44:00 PM</v>
      </c>
      <c r="O19240" t="s">
        <v>58862</v>
      </c>
      <c r="T19240" t="s">
        <v>58863</v>
      </c>
    </row>
    <row r="19241" spans="1:20" x14ac:dyDescent="0.25">
      <c r="A19241" t="str">
        <f>"3065727"</f>
        <v>3065727</v>
      </c>
      <c r="B19241" t="s">
        <v>58865</v>
      </c>
      <c r="C19241" t="str">
        <f>"8320151"</f>
        <v>8320151</v>
      </c>
      <c r="D19241" t="s">
        <v>58866</v>
      </c>
      <c r="F19241" t="s">
        <v>58867</v>
      </c>
      <c r="I19241" t="s">
        <v>29</v>
      </c>
      <c r="J19241" t="s">
        <v>30</v>
      </c>
      <c r="K19241" t="s">
        <v>46762</v>
      </c>
      <c r="M19241" t="s">
        <v>17861</v>
      </c>
      <c r="N19241" t="str">
        <f>"5/2/2023 1:53:00 PM"</f>
        <v>5/2/2023 1:53:00 PM</v>
      </c>
      <c r="O19241" t="s">
        <v>58866</v>
      </c>
    </row>
    <row r="19242" spans="1:20" x14ac:dyDescent="0.25">
      <c r="A19242" t="str">
        <f>"3053242"</f>
        <v>3053242</v>
      </c>
      <c r="B19242" t="s">
        <v>58868</v>
      </c>
      <c r="C19242" t="str">
        <f>"8320157"</f>
        <v>8320157</v>
      </c>
      <c r="D19242" t="s">
        <v>13742</v>
      </c>
      <c r="E19242" t="s">
        <v>58869</v>
      </c>
      <c r="F19242" t="s">
        <v>58870</v>
      </c>
      <c r="I19242" t="s">
        <v>29</v>
      </c>
      <c r="J19242" t="s">
        <v>30</v>
      </c>
      <c r="K19242" t="s">
        <v>13745</v>
      </c>
      <c r="M19242" t="s">
        <v>17861</v>
      </c>
      <c r="N19242" t="str">
        <f>"5/3/2023 9:42:00 AM"</f>
        <v>5/3/2023 9:42:00 AM</v>
      </c>
      <c r="O19242" t="s">
        <v>13742</v>
      </c>
      <c r="T19242" t="s">
        <v>58869</v>
      </c>
    </row>
    <row r="19243" spans="1:20" x14ac:dyDescent="0.25">
      <c r="A19243" t="str">
        <f>"3058465"</f>
        <v>3058465</v>
      </c>
      <c r="B19243" t="s">
        <v>58871</v>
      </c>
      <c r="C19243" t="str">
        <f>"8320172"</f>
        <v>8320172</v>
      </c>
      <c r="D19243" t="s">
        <v>58872</v>
      </c>
      <c r="E19243" t="s">
        <v>58873</v>
      </c>
      <c r="F19243" t="s">
        <v>58874</v>
      </c>
      <c r="I19243" t="s">
        <v>29</v>
      </c>
      <c r="J19243" t="s">
        <v>30</v>
      </c>
      <c r="K19243" t="s">
        <v>52622</v>
      </c>
      <c r="M19243" t="s">
        <v>17861</v>
      </c>
      <c r="N19243" t="str">
        <f>"5/4/2023 2:35:00 PM"</f>
        <v>5/4/2023 2:35:00 PM</v>
      </c>
      <c r="O19243" t="s">
        <v>58872</v>
      </c>
      <c r="T19243" t="s">
        <v>58873</v>
      </c>
    </row>
    <row r="19244" spans="1:20" x14ac:dyDescent="0.25">
      <c r="A19244" t="str">
        <f>"3044161"</f>
        <v>3044161</v>
      </c>
      <c r="B19244" t="s">
        <v>58875</v>
      </c>
      <c r="C19244" t="str">
        <f>"8315090"</f>
        <v>8315090</v>
      </c>
      <c r="D19244" t="s">
        <v>24715</v>
      </c>
      <c r="E19244" t="s">
        <v>24716</v>
      </c>
      <c r="F19244" t="s">
        <v>40389</v>
      </c>
      <c r="I19244" t="s">
        <v>184</v>
      </c>
      <c r="J19244" t="s">
        <v>30</v>
      </c>
      <c r="K19244" t="s">
        <v>40390</v>
      </c>
      <c r="M19244" t="s">
        <v>50621</v>
      </c>
      <c r="N19244" t="str">
        <f>"5/4/2023 3:10:00 PM"</f>
        <v>5/4/2023 3:10:00 PM</v>
      </c>
      <c r="O19244" t="s">
        <v>24715</v>
      </c>
      <c r="T19244" t="s">
        <v>24716</v>
      </c>
    </row>
    <row r="19245" spans="1:20" x14ac:dyDescent="0.25">
      <c r="A19245" t="str">
        <f>"3067593"</f>
        <v>3067593</v>
      </c>
      <c r="B19245" t="s">
        <v>58876</v>
      </c>
      <c r="C19245" t="str">
        <f>"44256000"</f>
        <v>44256000</v>
      </c>
      <c r="D19245" t="s">
        <v>58877</v>
      </c>
      <c r="E19245" t="s">
        <v>58878</v>
      </c>
      <c r="F19245" t="s">
        <v>58879</v>
      </c>
      <c r="I19245" t="s">
        <v>184</v>
      </c>
      <c r="J19245" t="s">
        <v>30</v>
      </c>
      <c r="K19245" t="s">
        <v>185</v>
      </c>
      <c r="M19245" t="s">
        <v>50621</v>
      </c>
      <c r="N19245" t="str">
        <f>"5/4/2023 3:11:00 PM"</f>
        <v>5/4/2023 3:11:00 PM</v>
      </c>
      <c r="O19245" t="s">
        <v>58877</v>
      </c>
      <c r="T19245" t="s">
        <v>58878</v>
      </c>
    </row>
    <row r="19246" spans="1:20" x14ac:dyDescent="0.25">
      <c r="A19246" t="str">
        <f>"3057830"</f>
        <v>3057830</v>
      </c>
      <c r="B19246" t="s">
        <v>58880</v>
      </c>
      <c r="C19246" t="str">
        <f>"8320159"</f>
        <v>8320159</v>
      </c>
      <c r="D19246" t="s">
        <v>58881</v>
      </c>
      <c r="E19246" t="s">
        <v>58882</v>
      </c>
      <c r="F19246" t="s">
        <v>58883</v>
      </c>
      <c r="I19246" t="s">
        <v>184</v>
      </c>
      <c r="J19246" t="s">
        <v>30</v>
      </c>
      <c r="K19246" t="str">
        <f>"27006"</f>
        <v>27006</v>
      </c>
      <c r="M19246" t="s">
        <v>17861</v>
      </c>
      <c r="N19246" t="str">
        <f>"5/3/2023 9:46:00 AM"</f>
        <v>5/3/2023 9:46:00 AM</v>
      </c>
      <c r="O19246" t="s">
        <v>58881</v>
      </c>
      <c r="T19246" t="s">
        <v>58882</v>
      </c>
    </row>
    <row r="19247" spans="1:20" x14ac:dyDescent="0.25">
      <c r="A19247" t="str">
        <f>"3060981"</f>
        <v>3060981</v>
      </c>
      <c r="B19247" t="s">
        <v>58884</v>
      </c>
      <c r="C19247" t="str">
        <f>"8320170"</f>
        <v>8320170</v>
      </c>
      <c r="D19247" t="s">
        <v>58885</v>
      </c>
      <c r="F19247" t="s">
        <v>58886</v>
      </c>
      <c r="I19247" t="s">
        <v>2071</v>
      </c>
      <c r="J19247" t="s">
        <v>30</v>
      </c>
      <c r="K19247" t="s">
        <v>39090</v>
      </c>
      <c r="M19247" t="s">
        <v>17861</v>
      </c>
      <c r="N19247" t="str">
        <f>"5/4/2023 2:28:00 PM"</f>
        <v>5/4/2023 2:28:00 PM</v>
      </c>
      <c r="O19247" t="s">
        <v>58885</v>
      </c>
    </row>
    <row r="19248" spans="1:20" x14ac:dyDescent="0.25">
      <c r="A19248" t="str">
        <f>"3049267"</f>
        <v>3049267</v>
      </c>
      <c r="B19248" t="s">
        <v>58887</v>
      </c>
      <c r="C19248" t="str">
        <f>"8320171"</f>
        <v>8320171</v>
      </c>
      <c r="D19248" t="s">
        <v>58888</v>
      </c>
      <c r="F19248" t="s">
        <v>58889</v>
      </c>
      <c r="I19248" t="s">
        <v>471</v>
      </c>
      <c r="J19248" t="s">
        <v>30</v>
      </c>
      <c r="K19248" t="s">
        <v>58890</v>
      </c>
      <c r="M19248" t="s">
        <v>17861</v>
      </c>
      <c r="N19248" t="str">
        <f>"5/4/2023 2:32:00 PM"</f>
        <v>5/4/2023 2:32:00 PM</v>
      </c>
      <c r="O19248" t="s">
        <v>58888</v>
      </c>
    </row>
    <row r="19249" spans="1:20" x14ac:dyDescent="0.25">
      <c r="A19249" t="str">
        <f>"3069125"</f>
        <v>3069125</v>
      </c>
      <c r="B19249" t="s">
        <v>58891</v>
      </c>
      <c r="C19249" t="str">
        <f>"8320162"</f>
        <v>8320162</v>
      </c>
      <c r="D19249" t="s">
        <v>58892</v>
      </c>
      <c r="F19249" t="s">
        <v>58893</v>
      </c>
      <c r="I19249" t="s">
        <v>184</v>
      </c>
      <c r="J19249" t="s">
        <v>30</v>
      </c>
      <c r="K19249" t="s">
        <v>42286</v>
      </c>
      <c r="M19249" t="s">
        <v>17861</v>
      </c>
      <c r="N19249" t="str">
        <f>"5/3/2023 1:49:00 PM"</f>
        <v>5/3/2023 1:49:00 PM</v>
      </c>
      <c r="O19249" t="s">
        <v>58892</v>
      </c>
    </row>
    <row r="19250" spans="1:20" x14ac:dyDescent="0.25">
      <c r="A19250" t="str">
        <f>"3056131"</f>
        <v>3056131</v>
      </c>
      <c r="B19250" t="s">
        <v>58894</v>
      </c>
      <c r="C19250" t="str">
        <f>"8320163"</f>
        <v>8320163</v>
      </c>
      <c r="D19250" t="s">
        <v>58895</v>
      </c>
      <c r="E19250" t="s">
        <v>58896</v>
      </c>
      <c r="F19250" t="s">
        <v>58897</v>
      </c>
      <c r="I19250" t="s">
        <v>9580</v>
      </c>
      <c r="J19250" t="s">
        <v>30</v>
      </c>
      <c r="K19250" t="str">
        <f>"27014"</f>
        <v>27014</v>
      </c>
      <c r="M19250" t="s">
        <v>17861</v>
      </c>
      <c r="N19250" t="str">
        <f>"5/3/2023 1:53:00 PM"</f>
        <v>5/3/2023 1:53:00 PM</v>
      </c>
      <c r="O19250" t="s">
        <v>58895</v>
      </c>
      <c r="T19250" t="s">
        <v>58896</v>
      </c>
    </row>
    <row r="19251" spans="1:20" x14ac:dyDescent="0.25">
      <c r="A19251" t="str">
        <f>"3043349"</f>
        <v>3043349</v>
      </c>
      <c r="B19251" t="s">
        <v>58898</v>
      </c>
      <c r="C19251" t="str">
        <f>"8320165"</f>
        <v>8320165</v>
      </c>
      <c r="D19251" t="s">
        <v>58899</v>
      </c>
      <c r="E19251" t="s">
        <v>58900</v>
      </c>
      <c r="F19251" t="s">
        <v>58901</v>
      </c>
      <c r="I19251" t="s">
        <v>29</v>
      </c>
      <c r="J19251" t="s">
        <v>30</v>
      </c>
      <c r="K19251" t="s">
        <v>58902</v>
      </c>
      <c r="M19251" t="s">
        <v>17861</v>
      </c>
      <c r="N19251" t="str">
        <f>"5/4/2023 8:57:00 AM"</f>
        <v>5/4/2023 8:57:00 AM</v>
      </c>
      <c r="O19251" t="s">
        <v>58899</v>
      </c>
      <c r="T19251" t="s">
        <v>58900</v>
      </c>
    </row>
    <row r="19252" spans="1:20" x14ac:dyDescent="0.25">
      <c r="A19252" t="str">
        <f>"3044588"</f>
        <v>3044588</v>
      </c>
      <c r="B19252" t="s">
        <v>58903</v>
      </c>
      <c r="C19252" t="str">
        <f>"30797600"</f>
        <v>30797600</v>
      </c>
      <c r="D19252" t="s">
        <v>58904</v>
      </c>
      <c r="E19252" t="s">
        <v>58905</v>
      </c>
      <c r="F19252" t="s">
        <v>58906</v>
      </c>
      <c r="I19252" t="s">
        <v>184</v>
      </c>
      <c r="J19252" t="s">
        <v>30</v>
      </c>
      <c r="K19252" t="s">
        <v>185</v>
      </c>
      <c r="M19252" t="s">
        <v>50621</v>
      </c>
      <c r="N19252" t="str">
        <f>"5/4/2023 9:36:00 AM"</f>
        <v>5/4/2023 9:36:00 AM</v>
      </c>
      <c r="O19252" t="s">
        <v>58904</v>
      </c>
      <c r="T19252" t="s">
        <v>58905</v>
      </c>
    </row>
    <row r="19253" spans="1:20" x14ac:dyDescent="0.25">
      <c r="A19253" t="str">
        <f>"3065546"</f>
        <v>3065546</v>
      </c>
      <c r="B19253" t="s">
        <v>58907</v>
      </c>
      <c r="C19253" t="str">
        <f>"8320167"</f>
        <v>8320167</v>
      </c>
      <c r="D19253" t="s">
        <v>58908</v>
      </c>
      <c r="E19253" t="s">
        <v>58909</v>
      </c>
      <c r="F19253" t="s">
        <v>58910</v>
      </c>
      <c r="I19253" t="s">
        <v>2071</v>
      </c>
      <c r="J19253" t="s">
        <v>30</v>
      </c>
      <c r="K19253" t="s">
        <v>6427</v>
      </c>
      <c r="M19253" t="s">
        <v>17861</v>
      </c>
      <c r="N19253" t="str">
        <f>"5/4/2023 10:31:00 AM"</f>
        <v>5/4/2023 10:31:00 AM</v>
      </c>
      <c r="O19253" t="s">
        <v>58908</v>
      </c>
      <c r="T19253" t="s">
        <v>58909</v>
      </c>
    </row>
    <row r="19254" spans="1:20" x14ac:dyDescent="0.25">
      <c r="A19254" t="str">
        <f>"3060938"</f>
        <v>3060938</v>
      </c>
      <c r="B19254" t="s">
        <v>58911</v>
      </c>
      <c r="C19254" t="str">
        <f>"8320169"</f>
        <v>8320169</v>
      </c>
      <c r="D19254" t="s">
        <v>58912</v>
      </c>
      <c r="E19254" t="s">
        <v>58913</v>
      </c>
      <c r="F19254" t="s">
        <v>58914</v>
      </c>
      <c r="I19254" t="s">
        <v>2071</v>
      </c>
      <c r="J19254" t="s">
        <v>30</v>
      </c>
      <c r="K19254" t="s">
        <v>4308</v>
      </c>
      <c r="M19254" t="s">
        <v>17861</v>
      </c>
      <c r="N19254" t="str">
        <f>"5/4/2023 2:22:00 PM"</f>
        <v>5/4/2023 2:22:00 PM</v>
      </c>
      <c r="O19254" t="s">
        <v>58912</v>
      </c>
      <c r="T19254" t="s">
        <v>58913</v>
      </c>
    </row>
    <row r="19255" spans="1:20" x14ac:dyDescent="0.25">
      <c r="A19255" t="str">
        <f>"3045416"</f>
        <v>3045416</v>
      </c>
      <c r="B19255" t="s">
        <v>58915</v>
      </c>
      <c r="C19255" t="str">
        <f>"8320174"</f>
        <v>8320174</v>
      </c>
      <c r="D19255" t="s">
        <v>58916</v>
      </c>
      <c r="E19255" t="str">
        <f>"GLASSOCK MARSHALL E/BRENDA C"</f>
        <v>GLASSOCK MARSHALL E/BRENDA C</v>
      </c>
      <c r="F19255" t="s">
        <v>58917</v>
      </c>
      <c r="I19255" t="s">
        <v>29</v>
      </c>
      <c r="J19255" t="s">
        <v>30</v>
      </c>
      <c r="K19255" t="s">
        <v>7800</v>
      </c>
      <c r="M19255" t="s">
        <v>17861</v>
      </c>
      <c r="N19255" t="str">
        <f>"5/5/2023 8:36:00 AM"</f>
        <v>5/5/2023 8:36:00 AM</v>
      </c>
      <c r="O19255" t="s">
        <v>58916</v>
      </c>
      <c r="T19255" t="str">
        <f>"GLASSOCK MARSHALL E/BRENDA C"</f>
        <v>GLASSOCK MARSHALL E/BRENDA C</v>
      </c>
    </row>
    <row r="19256" spans="1:20" x14ac:dyDescent="0.25">
      <c r="A19256" t="str">
        <f>"3051199"</f>
        <v>3051199</v>
      </c>
      <c r="B19256" t="s">
        <v>58918</v>
      </c>
      <c r="C19256" t="str">
        <f>"29238910"</f>
        <v>29238910</v>
      </c>
      <c r="D19256" t="s">
        <v>58919</v>
      </c>
      <c r="F19256" t="s">
        <v>58920</v>
      </c>
      <c r="I19256" t="s">
        <v>29</v>
      </c>
      <c r="J19256" t="s">
        <v>30</v>
      </c>
      <c r="K19256" t="s">
        <v>14361</v>
      </c>
      <c r="M19256" t="s">
        <v>17861</v>
      </c>
      <c r="N19256" t="str">
        <f>"5/8/2023 9:43:00 AM"</f>
        <v>5/8/2023 9:43:00 AM</v>
      </c>
      <c r="O19256" t="s">
        <v>58919</v>
      </c>
    </row>
    <row r="19257" spans="1:20" x14ac:dyDescent="0.25">
      <c r="A19257" t="str">
        <f>"3042671"</f>
        <v>3042671</v>
      </c>
      <c r="B19257" t="s">
        <v>58921</v>
      </c>
      <c r="C19257" t="str">
        <f>"8320192"</f>
        <v>8320192</v>
      </c>
      <c r="D19257" t="s">
        <v>4057</v>
      </c>
      <c r="E19257" t="s">
        <v>58922</v>
      </c>
      <c r="F19257" t="s">
        <v>4059</v>
      </c>
      <c r="I19257" t="s">
        <v>1149</v>
      </c>
      <c r="J19257" t="s">
        <v>30</v>
      </c>
      <c r="K19257" t="s">
        <v>58923</v>
      </c>
      <c r="M19257" t="s">
        <v>17861</v>
      </c>
      <c r="N19257" t="str">
        <f>"5/8/2023 3:48:00 PM"</f>
        <v>5/8/2023 3:48:00 PM</v>
      </c>
      <c r="O19257" t="s">
        <v>4057</v>
      </c>
      <c r="T19257" t="s">
        <v>58922</v>
      </c>
    </row>
    <row r="19258" spans="1:20" x14ac:dyDescent="0.25">
      <c r="A19258" t="str">
        <f>"3054511"</f>
        <v>3054511</v>
      </c>
      <c r="B19258" t="s">
        <v>58924</v>
      </c>
      <c r="C19258" t="str">
        <f>"8320193"</f>
        <v>8320193</v>
      </c>
      <c r="D19258" t="s">
        <v>58925</v>
      </c>
      <c r="E19258" t="s">
        <v>58926</v>
      </c>
      <c r="F19258" t="s">
        <v>58927</v>
      </c>
      <c r="I19258" t="s">
        <v>29</v>
      </c>
      <c r="J19258" t="s">
        <v>30</v>
      </c>
      <c r="K19258" t="s">
        <v>15760</v>
      </c>
      <c r="M19258" t="s">
        <v>17861</v>
      </c>
      <c r="N19258" t="str">
        <f>"5/9/2023 9:21:00 AM"</f>
        <v>5/9/2023 9:21:00 AM</v>
      </c>
      <c r="O19258" t="s">
        <v>58925</v>
      </c>
      <c r="T19258" t="s">
        <v>58926</v>
      </c>
    </row>
    <row r="19259" spans="1:20" x14ac:dyDescent="0.25">
      <c r="A19259" t="str">
        <f>"3058806"</f>
        <v>3058806</v>
      </c>
      <c r="B19259" t="s">
        <v>58928</v>
      </c>
      <c r="C19259" t="str">
        <f>"8320191"</f>
        <v>8320191</v>
      </c>
      <c r="D19259" t="s">
        <v>58929</v>
      </c>
      <c r="E19259" t="s">
        <v>58930</v>
      </c>
      <c r="F19259" t="s">
        <v>58931</v>
      </c>
      <c r="I19259" t="s">
        <v>29</v>
      </c>
      <c r="J19259" t="s">
        <v>30</v>
      </c>
      <c r="K19259" t="s">
        <v>36218</v>
      </c>
      <c r="M19259" t="s">
        <v>17861</v>
      </c>
      <c r="N19259" t="str">
        <f>"5/8/2023 2:00:00 PM"</f>
        <v>5/8/2023 2:00:00 PM</v>
      </c>
      <c r="O19259" t="s">
        <v>58929</v>
      </c>
      <c r="T19259" t="s">
        <v>58930</v>
      </c>
    </row>
    <row r="19260" spans="1:20" x14ac:dyDescent="0.25">
      <c r="A19260" t="str">
        <f>"3061042"</f>
        <v>3061042</v>
      </c>
      <c r="B19260" t="s">
        <v>58932</v>
      </c>
      <c r="C19260" t="str">
        <f>"8320189"</f>
        <v>8320189</v>
      </c>
      <c r="D19260" t="s">
        <v>58933</v>
      </c>
      <c r="E19260" t="s">
        <v>58934</v>
      </c>
      <c r="F19260" t="s">
        <v>58935</v>
      </c>
      <c r="I19260" t="s">
        <v>2071</v>
      </c>
      <c r="J19260" t="s">
        <v>30</v>
      </c>
      <c r="K19260" t="s">
        <v>34629</v>
      </c>
      <c r="M19260" t="s">
        <v>17861</v>
      </c>
      <c r="N19260" t="str">
        <f>"5/8/2023 1:09:00 PM"</f>
        <v>5/8/2023 1:09:00 PM</v>
      </c>
      <c r="O19260" t="s">
        <v>58933</v>
      </c>
      <c r="T19260" t="s">
        <v>58934</v>
      </c>
    </row>
    <row r="19261" spans="1:20" x14ac:dyDescent="0.25">
      <c r="A19261" t="str">
        <f>"3077986"</f>
        <v>3077986</v>
      </c>
      <c r="B19261" t="s">
        <v>58936</v>
      </c>
      <c r="C19261" t="str">
        <f>"8320214"</f>
        <v>8320214</v>
      </c>
      <c r="D19261" t="s">
        <v>58937</v>
      </c>
      <c r="F19261" t="s">
        <v>58938</v>
      </c>
      <c r="I19261" t="s">
        <v>29</v>
      </c>
      <c r="J19261" t="s">
        <v>30</v>
      </c>
      <c r="K19261" t="s">
        <v>58939</v>
      </c>
      <c r="M19261" t="s">
        <v>17861</v>
      </c>
      <c r="N19261" t="str">
        <f>"5/9/2023 11:25:00 AM"</f>
        <v>5/9/2023 11:25:00 AM</v>
      </c>
      <c r="O19261" t="s">
        <v>58937</v>
      </c>
    </row>
    <row r="19262" spans="1:20" x14ac:dyDescent="0.25">
      <c r="A19262" t="str">
        <f>"3077724"</f>
        <v>3077724</v>
      </c>
      <c r="B19262" t="s">
        <v>58940</v>
      </c>
      <c r="C19262" t="str">
        <f>"8320214"</f>
        <v>8320214</v>
      </c>
      <c r="D19262" t="s">
        <v>58937</v>
      </c>
      <c r="F19262" t="s">
        <v>58938</v>
      </c>
      <c r="I19262" t="s">
        <v>29</v>
      </c>
      <c r="J19262" t="s">
        <v>30</v>
      </c>
      <c r="K19262" t="s">
        <v>58939</v>
      </c>
      <c r="M19262" t="s">
        <v>17861</v>
      </c>
      <c r="N19262" t="str">
        <f>"5/9/2023 11:25:00 AM"</f>
        <v>5/9/2023 11:25:00 AM</v>
      </c>
      <c r="O19262" t="s">
        <v>58937</v>
      </c>
    </row>
    <row r="19263" spans="1:20" x14ac:dyDescent="0.25">
      <c r="A19263" t="str">
        <f>"3050683"</f>
        <v>3050683</v>
      </c>
      <c r="B19263" t="s">
        <v>58941</v>
      </c>
      <c r="C19263" t="str">
        <f>"8320215"</f>
        <v>8320215</v>
      </c>
      <c r="D19263" t="s">
        <v>58942</v>
      </c>
      <c r="E19263" t="s">
        <v>58943</v>
      </c>
      <c r="F19263" t="s">
        <v>58944</v>
      </c>
      <c r="I19263" t="s">
        <v>184</v>
      </c>
      <c r="J19263" t="s">
        <v>30</v>
      </c>
      <c r="K19263" t="s">
        <v>10555</v>
      </c>
      <c r="M19263" t="s">
        <v>17861</v>
      </c>
      <c r="N19263" t="str">
        <f>"5/9/2023 1:46:00 PM"</f>
        <v>5/9/2023 1:46:00 PM</v>
      </c>
      <c r="O19263" t="s">
        <v>58942</v>
      </c>
      <c r="T19263" t="s">
        <v>58943</v>
      </c>
    </row>
    <row r="19264" spans="1:20" x14ac:dyDescent="0.25">
      <c r="A19264" t="str">
        <f>"3064596"</f>
        <v>3064596</v>
      </c>
      <c r="B19264" t="s">
        <v>58945</v>
      </c>
      <c r="C19264" t="str">
        <f>"8302711"</f>
        <v>8302711</v>
      </c>
      <c r="D19264" t="s">
        <v>58946</v>
      </c>
      <c r="F19264" t="s">
        <v>11983</v>
      </c>
      <c r="I19264" t="s">
        <v>58947</v>
      </c>
      <c r="J19264" t="s">
        <v>30</v>
      </c>
      <c r="K19264" t="str">
        <f>"28641"</f>
        <v>28641</v>
      </c>
      <c r="M19264" t="s">
        <v>50621</v>
      </c>
      <c r="N19264" t="str">
        <f>"5/10/2023 10:53:00 AM"</f>
        <v>5/10/2023 10:53:00 AM</v>
      </c>
      <c r="O19264" t="s">
        <v>58946</v>
      </c>
    </row>
    <row r="19265" spans="1:20" x14ac:dyDescent="0.25">
      <c r="A19265" t="str">
        <f>"3059622"</f>
        <v>3059622</v>
      </c>
      <c r="B19265" t="s">
        <v>58948</v>
      </c>
      <c r="C19265" t="str">
        <f>"8320190"</f>
        <v>8320190</v>
      </c>
      <c r="D19265" t="s">
        <v>58949</v>
      </c>
      <c r="F19265" t="s">
        <v>58950</v>
      </c>
      <c r="I19265" t="s">
        <v>29</v>
      </c>
      <c r="J19265" t="s">
        <v>30</v>
      </c>
      <c r="K19265" t="s">
        <v>13608</v>
      </c>
      <c r="M19265" t="s">
        <v>17861</v>
      </c>
      <c r="N19265" t="str">
        <f>"5/8/2023 1:56:00 PM"</f>
        <v>5/8/2023 1:56:00 PM</v>
      </c>
      <c r="O19265" t="s">
        <v>58949</v>
      </c>
    </row>
    <row r="19266" spans="1:20" x14ac:dyDescent="0.25">
      <c r="A19266" t="str">
        <f>"3077985"</f>
        <v>3077985</v>
      </c>
      <c r="B19266" t="s">
        <v>58951</v>
      </c>
      <c r="C19266" t="str">
        <f>"8320214"</f>
        <v>8320214</v>
      </c>
      <c r="D19266" t="s">
        <v>58937</v>
      </c>
      <c r="F19266" t="s">
        <v>58938</v>
      </c>
      <c r="I19266" t="s">
        <v>29</v>
      </c>
      <c r="J19266" t="s">
        <v>30</v>
      </c>
      <c r="K19266" t="s">
        <v>58939</v>
      </c>
      <c r="M19266" t="s">
        <v>17861</v>
      </c>
      <c r="N19266" t="str">
        <f>"5/9/2023 11:25:00 AM"</f>
        <v>5/9/2023 11:25:00 AM</v>
      </c>
      <c r="O19266" t="s">
        <v>58937</v>
      </c>
    </row>
    <row r="19267" spans="1:20" x14ac:dyDescent="0.25">
      <c r="A19267" t="str">
        <f>"3077984"</f>
        <v>3077984</v>
      </c>
      <c r="B19267" t="s">
        <v>58952</v>
      </c>
      <c r="C19267" t="str">
        <f>"8320214"</f>
        <v>8320214</v>
      </c>
      <c r="D19267" t="s">
        <v>58937</v>
      </c>
      <c r="F19267" t="s">
        <v>58938</v>
      </c>
      <c r="I19267" t="s">
        <v>29</v>
      </c>
      <c r="J19267" t="s">
        <v>30</v>
      </c>
      <c r="K19267" t="s">
        <v>58939</v>
      </c>
      <c r="M19267" t="s">
        <v>17861</v>
      </c>
      <c r="N19267" t="str">
        <f>"5/9/2023 11:25:00 AM"</f>
        <v>5/9/2023 11:25:00 AM</v>
      </c>
      <c r="O19267" t="s">
        <v>58937</v>
      </c>
    </row>
    <row r="19268" spans="1:20" x14ac:dyDescent="0.25">
      <c r="A19268" t="str">
        <f>"3052745"</f>
        <v>3052745</v>
      </c>
      <c r="B19268" t="s">
        <v>58953</v>
      </c>
      <c r="C19268" t="str">
        <f>"8310235"</f>
        <v>8310235</v>
      </c>
      <c r="D19268" t="s">
        <v>58954</v>
      </c>
      <c r="E19268" t="s">
        <v>58955</v>
      </c>
      <c r="F19268" t="s">
        <v>18389</v>
      </c>
      <c r="I19268" t="s">
        <v>29</v>
      </c>
      <c r="J19268" t="s">
        <v>30</v>
      </c>
      <c r="K19268" t="s">
        <v>58956</v>
      </c>
      <c r="M19268" t="s">
        <v>50793</v>
      </c>
      <c r="N19268" t="str">
        <f>"5/2/2023 10:58:00 AM"</f>
        <v>5/2/2023 10:58:00 AM</v>
      </c>
      <c r="O19268" t="s">
        <v>58957</v>
      </c>
      <c r="T19268" t="s">
        <v>58958</v>
      </c>
    </row>
    <row r="19269" spans="1:20" x14ac:dyDescent="0.25">
      <c r="A19269" t="str">
        <f>"3061822"</f>
        <v>3061822</v>
      </c>
      <c r="B19269" t="s">
        <v>58959</v>
      </c>
      <c r="C19269" t="str">
        <f>"8320221"</f>
        <v>8320221</v>
      </c>
      <c r="D19269" t="s">
        <v>58960</v>
      </c>
      <c r="E19269" t="s">
        <v>58961</v>
      </c>
      <c r="F19269" t="s">
        <v>58962</v>
      </c>
      <c r="I19269" t="s">
        <v>184</v>
      </c>
      <c r="J19269" t="s">
        <v>30</v>
      </c>
      <c r="K19269" t="s">
        <v>58030</v>
      </c>
      <c r="M19269" t="s">
        <v>17861</v>
      </c>
      <c r="N19269" t="str">
        <f>"5/10/2023 2:23:00 PM"</f>
        <v>5/10/2023 2:23:00 PM</v>
      </c>
      <c r="O19269" t="s">
        <v>58960</v>
      </c>
      <c r="T19269" t="s">
        <v>58961</v>
      </c>
    </row>
    <row r="19270" spans="1:20" x14ac:dyDescent="0.25">
      <c r="A19270" t="str">
        <f>"3058271"</f>
        <v>3058271</v>
      </c>
      <c r="B19270" t="s">
        <v>58963</v>
      </c>
      <c r="C19270" t="str">
        <f>"8320219"</f>
        <v>8320219</v>
      </c>
      <c r="D19270" t="s">
        <v>58964</v>
      </c>
      <c r="F19270" t="s">
        <v>58965</v>
      </c>
      <c r="I19270" t="s">
        <v>29</v>
      </c>
      <c r="J19270" t="s">
        <v>30</v>
      </c>
      <c r="K19270" t="s">
        <v>27281</v>
      </c>
      <c r="M19270" t="s">
        <v>17861</v>
      </c>
      <c r="N19270" t="str">
        <f>"5/10/2023 2:06:00 PM"</f>
        <v>5/10/2023 2:06:00 PM</v>
      </c>
      <c r="O19270" t="s">
        <v>58964</v>
      </c>
    </row>
    <row r="19271" spans="1:20" x14ac:dyDescent="0.25">
      <c r="A19271" t="str">
        <f>"3056107"</f>
        <v>3056107</v>
      </c>
      <c r="B19271" t="s">
        <v>58966</v>
      </c>
      <c r="C19271" t="str">
        <f>"8320220"</f>
        <v>8320220</v>
      </c>
      <c r="D19271" t="s">
        <v>58967</v>
      </c>
      <c r="E19271" t="s">
        <v>58968</v>
      </c>
      <c r="F19271" t="s">
        <v>58969</v>
      </c>
      <c r="I19271" t="s">
        <v>29</v>
      </c>
      <c r="J19271" t="s">
        <v>30</v>
      </c>
      <c r="K19271" t="s">
        <v>44624</v>
      </c>
      <c r="M19271" t="s">
        <v>17861</v>
      </c>
      <c r="N19271" t="str">
        <f>"5/10/2023 2:17:00 PM"</f>
        <v>5/10/2023 2:17:00 PM</v>
      </c>
      <c r="O19271" t="s">
        <v>58967</v>
      </c>
      <c r="T19271" t="s">
        <v>58968</v>
      </c>
    </row>
    <row r="19272" spans="1:20" x14ac:dyDescent="0.25">
      <c r="A19272" t="str">
        <f>"3058445"</f>
        <v>3058445</v>
      </c>
      <c r="B19272" t="s">
        <v>58970</v>
      </c>
      <c r="C19272" t="str">
        <f>"8320217"</f>
        <v>8320217</v>
      </c>
      <c r="D19272" t="s">
        <v>58971</v>
      </c>
      <c r="E19272" t="s">
        <v>58972</v>
      </c>
      <c r="F19272" t="s">
        <v>58973</v>
      </c>
      <c r="I19272" t="s">
        <v>29</v>
      </c>
      <c r="J19272" t="s">
        <v>30</v>
      </c>
      <c r="K19272" t="s">
        <v>57737</v>
      </c>
      <c r="M19272" t="s">
        <v>17861</v>
      </c>
      <c r="N19272" t="str">
        <f>"5/10/2023 2:00:00 PM"</f>
        <v>5/10/2023 2:00:00 PM</v>
      </c>
      <c r="O19272" t="s">
        <v>58971</v>
      </c>
      <c r="T19272" t="s">
        <v>58972</v>
      </c>
    </row>
    <row r="19273" spans="1:20" x14ac:dyDescent="0.25">
      <c r="A19273" t="str">
        <f>"3053164"</f>
        <v>3053164</v>
      </c>
      <c r="B19273" t="s">
        <v>58974</v>
      </c>
      <c r="C19273" t="str">
        <f>"8320218"</f>
        <v>8320218</v>
      </c>
      <c r="D19273" t="s">
        <v>58975</v>
      </c>
      <c r="E19273" t="s">
        <v>58976</v>
      </c>
      <c r="F19273" t="s">
        <v>58977</v>
      </c>
      <c r="I19273" t="s">
        <v>29</v>
      </c>
      <c r="J19273" t="s">
        <v>30</v>
      </c>
      <c r="K19273" t="s">
        <v>37958</v>
      </c>
      <c r="M19273" t="s">
        <v>17861</v>
      </c>
      <c r="N19273" t="str">
        <f>"5/10/2023 2:01:00 PM"</f>
        <v>5/10/2023 2:01:00 PM</v>
      </c>
      <c r="O19273" t="s">
        <v>58975</v>
      </c>
      <c r="T19273" t="s">
        <v>58976</v>
      </c>
    </row>
    <row r="19274" spans="1:20" x14ac:dyDescent="0.25">
      <c r="A19274" t="str">
        <f>"3053613"</f>
        <v>3053613</v>
      </c>
      <c r="B19274" t="s">
        <v>58978</v>
      </c>
      <c r="C19274" t="str">
        <f>"8314588"</f>
        <v>8314588</v>
      </c>
      <c r="D19274" t="s">
        <v>58979</v>
      </c>
      <c r="F19274" t="s">
        <v>58980</v>
      </c>
      <c r="I19274" t="s">
        <v>29</v>
      </c>
      <c r="J19274" t="s">
        <v>30</v>
      </c>
      <c r="K19274" t="s">
        <v>6094</v>
      </c>
      <c r="M19274" t="s">
        <v>50793</v>
      </c>
      <c r="N19274" t="str">
        <f>"5/1/2023 10:16:00 AM"</f>
        <v>5/1/2023 10:16:00 AM</v>
      </c>
      <c r="O19274" t="s">
        <v>58979</v>
      </c>
    </row>
    <row r="19275" spans="1:20" x14ac:dyDescent="0.25">
      <c r="A19275" t="str">
        <f>"3039748"</f>
        <v>3039748</v>
      </c>
      <c r="B19275" t="s">
        <v>58981</v>
      </c>
      <c r="C19275" t="str">
        <f>"40236000"</f>
        <v>40236000</v>
      </c>
      <c r="D19275" t="s">
        <v>58982</v>
      </c>
      <c r="F19275" t="s">
        <v>58983</v>
      </c>
      <c r="I19275" t="s">
        <v>12724</v>
      </c>
      <c r="J19275" t="s">
        <v>12725</v>
      </c>
      <c r="K19275" t="s">
        <v>58984</v>
      </c>
      <c r="M19275" t="s">
        <v>18479</v>
      </c>
      <c r="N19275" t="str">
        <f>"5/11/2023 4:27:00 PM"</f>
        <v>5/11/2023 4:27:00 PM</v>
      </c>
      <c r="O19275" t="s">
        <v>58982</v>
      </c>
    </row>
    <row r="19276" spans="1:20" x14ac:dyDescent="0.25">
      <c r="A19276" t="str">
        <f>"3052274"</f>
        <v>3052274</v>
      </c>
      <c r="B19276" t="s">
        <v>58985</v>
      </c>
      <c r="C19276" t="str">
        <f>"82532296"</f>
        <v>82532296</v>
      </c>
      <c r="D19276" t="s">
        <v>58986</v>
      </c>
      <c r="F19276" t="s">
        <v>58987</v>
      </c>
      <c r="G19276" t="s">
        <v>58988</v>
      </c>
      <c r="I19276" t="s">
        <v>58989</v>
      </c>
      <c r="J19276" t="s">
        <v>30</v>
      </c>
      <c r="K19276" t="str">
        <f>"28451"</f>
        <v>28451</v>
      </c>
      <c r="M19276" t="s">
        <v>33845</v>
      </c>
      <c r="N19276" t="str">
        <f>"5/12/2023 11:02:00 AM"</f>
        <v>5/12/2023 11:02:00 AM</v>
      </c>
      <c r="O19276" t="s">
        <v>58986</v>
      </c>
    </row>
    <row r="19277" spans="1:20" x14ac:dyDescent="0.25">
      <c r="A19277" t="str">
        <f>"3048342"</f>
        <v>3048342</v>
      </c>
      <c r="B19277" t="s">
        <v>58990</v>
      </c>
      <c r="C19277" t="str">
        <f>"8320227"</f>
        <v>8320227</v>
      </c>
      <c r="D19277" t="s">
        <v>58991</v>
      </c>
      <c r="F19277" t="s">
        <v>58992</v>
      </c>
      <c r="I19277" t="s">
        <v>471</v>
      </c>
      <c r="J19277" t="s">
        <v>30</v>
      </c>
      <c r="K19277" t="s">
        <v>58993</v>
      </c>
      <c r="M19277" t="s">
        <v>17861</v>
      </c>
      <c r="N19277" t="str">
        <f>"5/15/2023 8:52:00 AM"</f>
        <v>5/15/2023 8:52:00 AM</v>
      </c>
      <c r="O19277" t="s">
        <v>58991</v>
      </c>
    </row>
    <row r="19278" spans="1:20" x14ac:dyDescent="0.25">
      <c r="A19278" t="str">
        <f>"3052135"</f>
        <v>3052135</v>
      </c>
      <c r="B19278" t="s">
        <v>58994</v>
      </c>
      <c r="C19278" t="str">
        <f>"8320228"</f>
        <v>8320228</v>
      </c>
      <c r="D19278" t="s">
        <v>58995</v>
      </c>
      <c r="E19278" t="s">
        <v>58996</v>
      </c>
      <c r="F19278" t="s">
        <v>58997</v>
      </c>
      <c r="I19278" t="s">
        <v>29</v>
      </c>
      <c r="J19278" t="s">
        <v>30</v>
      </c>
      <c r="K19278" t="s">
        <v>58998</v>
      </c>
      <c r="M19278" t="s">
        <v>17861</v>
      </c>
      <c r="N19278" t="str">
        <f>"5/15/2023 9:23:00 AM"</f>
        <v>5/15/2023 9:23:00 AM</v>
      </c>
      <c r="O19278" t="s">
        <v>58995</v>
      </c>
      <c r="T19278" t="s">
        <v>58996</v>
      </c>
    </row>
    <row r="19279" spans="1:20" x14ac:dyDescent="0.25">
      <c r="A19279" t="str">
        <f>"3051657"</f>
        <v>3051657</v>
      </c>
      <c r="B19279" t="s">
        <v>58999</v>
      </c>
      <c r="C19279" t="str">
        <f>"8320228"</f>
        <v>8320228</v>
      </c>
      <c r="D19279" t="s">
        <v>58995</v>
      </c>
      <c r="E19279" t="s">
        <v>58996</v>
      </c>
      <c r="F19279" t="s">
        <v>58997</v>
      </c>
      <c r="I19279" t="s">
        <v>29</v>
      </c>
      <c r="J19279" t="s">
        <v>30</v>
      </c>
      <c r="K19279" t="s">
        <v>58998</v>
      </c>
      <c r="M19279" t="s">
        <v>17861</v>
      </c>
      <c r="N19279" t="str">
        <f>"5/15/2023 9:23:00 AM"</f>
        <v>5/15/2023 9:23:00 AM</v>
      </c>
      <c r="O19279" t="s">
        <v>58995</v>
      </c>
      <c r="T19279" t="s">
        <v>58996</v>
      </c>
    </row>
    <row r="19280" spans="1:20" x14ac:dyDescent="0.25">
      <c r="A19280" t="str">
        <f>"3051645"</f>
        <v>3051645</v>
      </c>
      <c r="B19280" t="s">
        <v>59000</v>
      </c>
      <c r="C19280" t="str">
        <f>"8320228"</f>
        <v>8320228</v>
      </c>
      <c r="D19280" t="s">
        <v>58995</v>
      </c>
      <c r="E19280" t="s">
        <v>58996</v>
      </c>
      <c r="F19280" t="s">
        <v>58997</v>
      </c>
      <c r="I19280" t="s">
        <v>29</v>
      </c>
      <c r="J19280" t="s">
        <v>30</v>
      </c>
      <c r="K19280" t="s">
        <v>58998</v>
      </c>
      <c r="M19280" t="s">
        <v>17861</v>
      </c>
      <c r="N19280" t="str">
        <f>"5/15/2023 9:23:00 AM"</f>
        <v>5/15/2023 9:23:00 AM</v>
      </c>
      <c r="O19280" t="s">
        <v>58995</v>
      </c>
      <c r="T19280" t="s">
        <v>58996</v>
      </c>
    </row>
    <row r="19281" spans="1:20" x14ac:dyDescent="0.25">
      <c r="A19281" t="str">
        <f>"3051646"</f>
        <v>3051646</v>
      </c>
      <c r="B19281" t="s">
        <v>59001</v>
      </c>
      <c r="C19281" t="str">
        <f>"8320228"</f>
        <v>8320228</v>
      </c>
      <c r="D19281" t="s">
        <v>58995</v>
      </c>
      <c r="E19281" t="s">
        <v>58996</v>
      </c>
      <c r="F19281" t="s">
        <v>58997</v>
      </c>
      <c r="I19281" t="s">
        <v>29</v>
      </c>
      <c r="J19281" t="s">
        <v>30</v>
      </c>
      <c r="K19281" t="s">
        <v>58998</v>
      </c>
      <c r="M19281" t="s">
        <v>17861</v>
      </c>
      <c r="N19281" t="str">
        <f>"5/15/2023 9:23:00 AM"</f>
        <v>5/15/2023 9:23:00 AM</v>
      </c>
      <c r="O19281" t="s">
        <v>58995</v>
      </c>
      <c r="T19281" t="s">
        <v>58996</v>
      </c>
    </row>
    <row r="19282" spans="1:20" x14ac:dyDescent="0.25">
      <c r="A19282" t="str">
        <f>"3059114"</f>
        <v>3059114</v>
      </c>
      <c r="B19282" t="s">
        <v>59002</v>
      </c>
      <c r="C19282" t="str">
        <f>"8320138"</f>
        <v>8320138</v>
      </c>
      <c r="D19282" t="s">
        <v>59003</v>
      </c>
      <c r="F19282" t="s">
        <v>59004</v>
      </c>
      <c r="I19282" t="s">
        <v>29</v>
      </c>
      <c r="J19282" t="s">
        <v>30</v>
      </c>
      <c r="K19282" t="s">
        <v>59005</v>
      </c>
      <c r="M19282" t="s">
        <v>17861</v>
      </c>
      <c r="N19282" t="str">
        <f>"5/1/2023 10:31:00 AM"</f>
        <v>5/1/2023 10:31:00 AM</v>
      </c>
      <c r="O19282" t="s">
        <v>59003</v>
      </c>
    </row>
    <row r="19283" spans="1:20" x14ac:dyDescent="0.25">
      <c r="A19283" t="str">
        <f>"3038601"</f>
        <v>3038601</v>
      </c>
      <c r="B19283" t="s">
        <v>59006</v>
      </c>
      <c r="C19283" t="str">
        <f>"82524218"</f>
        <v>82524218</v>
      </c>
      <c r="D19283" t="s">
        <v>59007</v>
      </c>
      <c r="F19283" t="s">
        <v>59008</v>
      </c>
      <c r="I19283" t="s">
        <v>29</v>
      </c>
      <c r="J19283" t="s">
        <v>30</v>
      </c>
      <c r="K19283" t="s">
        <v>31</v>
      </c>
      <c r="M19283" t="s">
        <v>50621</v>
      </c>
      <c r="N19283" t="str">
        <f>"5/1/2023 10:39:00 AM"</f>
        <v>5/1/2023 10:39:00 AM</v>
      </c>
      <c r="O19283" t="s">
        <v>59007</v>
      </c>
    </row>
    <row r="19284" spans="1:20" x14ac:dyDescent="0.25">
      <c r="A19284" t="str">
        <f>"3058840"</f>
        <v>3058840</v>
      </c>
      <c r="B19284" t="s">
        <v>59009</v>
      </c>
      <c r="C19284" t="str">
        <f>"8320233"</f>
        <v>8320233</v>
      </c>
      <c r="D19284" t="s">
        <v>59010</v>
      </c>
      <c r="E19284" t="s">
        <v>59011</v>
      </c>
      <c r="F19284" t="s">
        <v>59012</v>
      </c>
      <c r="I19284" t="s">
        <v>29</v>
      </c>
      <c r="J19284" t="s">
        <v>30</v>
      </c>
      <c r="K19284" t="s">
        <v>41630</v>
      </c>
      <c r="M19284" t="s">
        <v>17861</v>
      </c>
      <c r="N19284" t="str">
        <f>"5/15/2023 10:00:00 AM"</f>
        <v>5/15/2023 10:00:00 AM</v>
      </c>
      <c r="O19284" t="s">
        <v>59010</v>
      </c>
      <c r="T19284" t="s">
        <v>59011</v>
      </c>
    </row>
    <row r="19285" spans="1:20" x14ac:dyDescent="0.25">
      <c r="A19285" t="str">
        <f>"3062069"</f>
        <v>3062069</v>
      </c>
      <c r="B19285" t="s">
        <v>59013</v>
      </c>
      <c r="C19285" t="str">
        <f>"8320234"</f>
        <v>8320234</v>
      </c>
      <c r="D19285" t="s">
        <v>59014</v>
      </c>
      <c r="F19285" t="s">
        <v>46223</v>
      </c>
      <c r="I19285" t="s">
        <v>3196</v>
      </c>
      <c r="J19285" t="s">
        <v>30</v>
      </c>
      <c r="K19285" t="s">
        <v>59015</v>
      </c>
      <c r="M19285" t="s">
        <v>17861</v>
      </c>
      <c r="N19285" t="str">
        <f>"5/15/2023 10:02:00 AM"</f>
        <v>5/15/2023 10:02:00 AM</v>
      </c>
      <c r="O19285" t="s">
        <v>59014</v>
      </c>
    </row>
    <row r="19286" spans="1:20" x14ac:dyDescent="0.25">
      <c r="A19286" t="str">
        <f>"3041228"</f>
        <v>3041228</v>
      </c>
      <c r="B19286" t="s">
        <v>59016</v>
      </c>
      <c r="C19286" t="str">
        <f>"8320235"</f>
        <v>8320235</v>
      </c>
      <c r="D19286" t="s">
        <v>59017</v>
      </c>
      <c r="F19286" t="s">
        <v>59018</v>
      </c>
      <c r="I19286" t="s">
        <v>2071</v>
      </c>
      <c r="J19286" t="s">
        <v>30</v>
      </c>
      <c r="K19286" t="s">
        <v>35916</v>
      </c>
      <c r="M19286" t="s">
        <v>17861</v>
      </c>
      <c r="N19286" t="str">
        <f>"5/15/2023 10:08:00 AM"</f>
        <v>5/15/2023 10:08:00 AM</v>
      </c>
      <c r="O19286" t="s">
        <v>59017</v>
      </c>
    </row>
    <row r="19287" spans="1:20" x14ac:dyDescent="0.25">
      <c r="A19287" t="str">
        <f>"3056686"</f>
        <v>3056686</v>
      </c>
      <c r="B19287" t="s">
        <v>59019</v>
      </c>
      <c r="C19287" t="str">
        <f>"8320139"</f>
        <v>8320139</v>
      </c>
      <c r="D19287" t="s">
        <v>53143</v>
      </c>
      <c r="E19287" t="s">
        <v>59020</v>
      </c>
      <c r="F19287" t="s">
        <v>59021</v>
      </c>
      <c r="I19287" t="s">
        <v>29</v>
      </c>
      <c r="J19287" t="s">
        <v>30</v>
      </c>
      <c r="K19287" t="s">
        <v>19844</v>
      </c>
      <c r="M19287" t="s">
        <v>17861</v>
      </c>
      <c r="N19287" t="str">
        <f>"5/1/2023 10:40:00 AM"</f>
        <v>5/1/2023 10:40:00 AM</v>
      </c>
      <c r="O19287" t="s">
        <v>53143</v>
      </c>
      <c r="T19287" t="s">
        <v>59020</v>
      </c>
    </row>
    <row r="19288" spans="1:20" x14ac:dyDescent="0.25">
      <c r="A19288" t="str">
        <f>"3056087"</f>
        <v>3056087</v>
      </c>
      <c r="B19288" t="s">
        <v>59022</v>
      </c>
      <c r="C19288" t="str">
        <f>"8320140"</f>
        <v>8320140</v>
      </c>
      <c r="D19288" t="s">
        <v>59023</v>
      </c>
      <c r="F19288" t="s">
        <v>59024</v>
      </c>
      <c r="I19288" t="s">
        <v>9580</v>
      </c>
      <c r="J19288" t="s">
        <v>30</v>
      </c>
      <c r="K19288" t="str">
        <f>"27014"</f>
        <v>27014</v>
      </c>
      <c r="M19288" t="s">
        <v>17861</v>
      </c>
      <c r="N19288" t="str">
        <f>"5/1/2023 10:47:00 AM"</f>
        <v>5/1/2023 10:47:00 AM</v>
      </c>
      <c r="O19288" t="s">
        <v>59023</v>
      </c>
    </row>
    <row r="19289" spans="1:20" x14ac:dyDescent="0.25">
      <c r="A19289" t="str">
        <f>"3055961"</f>
        <v>3055961</v>
      </c>
      <c r="B19289" t="s">
        <v>59025</v>
      </c>
      <c r="C19289" t="str">
        <f>"8317910"</f>
        <v>8317910</v>
      </c>
      <c r="D19289" t="s">
        <v>59026</v>
      </c>
      <c r="E19289" t="s">
        <v>59027</v>
      </c>
      <c r="F19289" t="s">
        <v>59028</v>
      </c>
      <c r="I19289" t="s">
        <v>29</v>
      </c>
      <c r="J19289" t="s">
        <v>30</v>
      </c>
      <c r="K19289" t="s">
        <v>47744</v>
      </c>
      <c r="M19289" t="s">
        <v>50621</v>
      </c>
      <c r="N19289" t="str">
        <f>"5/1/2023 10:47:00 AM"</f>
        <v>5/1/2023 10:47:00 AM</v>
      </c>
      <c r="O19289" t="s">
        <v>59026</v>
      </c>
      <c r="T19289" t="s">
        <v>59027</v>
      </c>
    </row>
    <row r="19290" spans="1:20" x14ac:dyDescent="0.25">
      <c r="A19290" t="str">
        <f>"3040431"</f>
        <v>3040431</v>
      </c>
      <c r="B19290" t="s">
        <v>59029</v>
      </c>
      <c r="C19290" t="str">
        <f>"8320243"</f>
        <v>8320243</v>
      </c>
      <c r="D19290" t="s">
        <v>59030</v>
      </c>
      <c r="E19290" t="s">
        <v>59031</v>
      </c>
      <c r="F19290" t="s">
        <v>59032</v>
      </c>
      <c r="I19290" t="s">
        <v>184</v>
      </c>
      <c r="J19290" t="s">
        <v>30</v>
      </c>
      <c r="K19290" t="s">
        <v>26536</v>
      </c>
      <c r="M19290" t="s">
        <v>17861</v>
      </c>
      <c r="N19290" t="str">
        <f>"5/15/2023 3:14:00 PM"</f>
        <v>5/15/2023 3:14:00 PM</v>
      </c>
      <c r="O19290" t="s">
        <v>59030</v>
      </c>
      <c r="T19290" t="s">
        <v>59031</v>
      </c>
    </row>
    <row r="19291" spans="1:20" x14ac:dyDescent="0.25">
      <c r="A19291" t="str">
        <f>"3056303"</f>
        <v>3056303</v>
      </c>
      <c r="B19291" t="s">
        <v>59033</v>
      </c>
      <c r="C19291" t="str">
        <f>"8320244"</f>
        <v>8320244</v>
      </c>
      <c r="D19291" t="s">
        <v>59034</v>
      </c>
      <c r="F19291" t="s">
        <v>59035</v>
      </c>
      <c r="I19291" t="s">
        <v>9580</v>
      </c>
      <c r="J19291" t="s">
        <v>30</v>
      </c>
      <c r="K19291" t="s">
        <v>59036</v>
      </c>
      <c r="M19291" t="s">
        <v>17861</v>
      </c>
      <c r="N19291" t="str">
        <f>"5/15/2023 4:01:00 PM"</f>
        <v>5/15/2023 4:01:00 PM</v>
      </c>
      <c r="O19291" t="s">
        <v>59034</v>
      </c>
    </row>
    <row r="19292" spans="1:20" x14ac:dyDescent="0.25">
      <c r="A19292" t="str">
        <f>"3044035"</f>
        <v>3044035</v>
      </c>
      <c r="B19292" t="s">
        <v>59037</v>
      </c>
      <c r="C19292" t="str">
        <f>"8310800"</f>
        <v>8310800</v>
      </c>
      <c r="D19292" t="s">
        <v>59038</v>
      </c>
      <c r="E19292" t="s">
        <v>59039</v>
      </c>
      <c r="F19292" t="s">
        <v>59040</v>
      </c>
      <c r="I19292" t="s">
        <v>184</v>
      </c>
      <c r="J19292" t="s">
        <v>30</v>
      </c>
      <c r="K19292" t="s">
        <v>59041</v>
      </c>
      <c r="M19292" t="s">
        <v>18479</v>
      </c>
      <c r="N19292" t="str">
        <f>"5/16/2023 10:17:00 AM"</f>
        <v>5/16/2023 10:17:00 AM</v>
      </c>
      <c r="O19292" t="s">
        <v>59038</v>
      </c>
      <c r="T19292" t="s">
        <v>59039</v>
      </c>
    </row>
    <row r="19293" spans="1:20" x14ac:dyDescent="0.25">
      <c r="A19293" t="str">
        <f>"3049551"</f>
        <v>3049551</v>
      </c>
      <c r="B19293" t="s">
        <v>59042</v>
      </c>
      <c r="C19293" t="str">
        <f>"8320245"</f>
        <v>8320245</v>
      </c>
      <c r="D19293" t="s">
        <v>59043</v>
      </c>
      <c r="F19293" t="s">
        <v>59044</v>
      </c>
      <c r="I19293" t="s">
        <v>29</v>
      </c>
      <c r="J19293" t="s">
        <v>30</v>
      </c>
      <c r="K19293" t="s">
        <v>37045</v>
      </c>
      <c r="M19293" t="s">
        <v>17861</v>
      </c>
      <c r="N19293" t="str">
        <f>"5/16/2023 11:07:00 AM"</f>
        <v>5/16/2023 11:07:00 AM</v>
      </c>
      <c r="O19293" t="s">
        <v>59043</v>
      </c>
    </row>
    <row r="19294" spans="1:20" x14ac:dyDescent="0.25">
      <c r="A19294" t="str">
        <f>"3049504"</f>
        <v>3049504</v>
      </c>
      <c r="B19294" t="s">
        <v>59045</v>
      </c>
      <c r="C19294" t="str">
        <f>"8320245"</f>
        <v>8320245</v>
      </c>
      <c r="D19294" t="s">
        <v>59043</v>
      </c>
      <c r="F19294" t="s">
        <v>59044</v>
      </c>
      <c r="I19294" t="s">
        <v>29</v>
      </c>
      <c r="J19294" t="s">
        <v>30</v>
      </c>
      <c r="K19294" t="s">
        <v>37045</v>
      </c>
      <c r="M19294" t="s">
        <v>17861</v>
      </c>
      <c r="N19294" t="str">
        <f>"5/16/2023 11:07:00 AM"</f>
        <v>5/16/2023 11:07:00 AM</v>
      </c>
      <c r="O19294" t="s">
        <v>59043</v>
      </c>
    </row>
    <row r="19295" spans="1:20" x14ac:dyDescent="0.25">
      <c r="A19295" t="str">
        <f>"3049883"</f>
        <v>3049883</v>
      </c>
      <c r="B19295" t="s">
        <v>59046</v>
      </c>
      <c r="C19295" t="str">
        <f>"8320245"</f>
        <v>8320245</v>
      </c>
      <c r="D19295" t="s">
        <v>59043</v>
      </c>
      <c r="F19295" t="s">
        <v>59044</v>
      </c>
      <c r="I19295" t="s">
        <v>29</v>
      </c>
      <c r="J19295" t="s">
        <v>30</v>
      </c>
      <c r="K19295" t="s">
        <v>37045</v>
      </c>
      <c r="M19295" t="s">
        <v>17861</v>
      </c>
      <c r="N19295" t="str">
        <f>"5/16/2023 11:07:00 AM"</f>
        <v>5/16/2023 11:07:00 AM</v>
      </c>
      <c r="O19295" t="s">
        <v>59043</v>
      </c>
    </row>
    <row r="19296" spans="1:20" x14ac:dyDescent="0.25">
      <c r="A19296" t="str">
        <f>"3059970"</f>
        <v>3059970</v>
      </c>
      <c r="B19296" t="s">
        <v>59047</v>
      </c>
      <c r="C19296" t="str">
        <f>"71676000"</f>
        <v>71676000</v>
      </c>
      <c r="D19296" t="s">
        <v>59048</v>
      </c>
      <c r="E19296" t="s">
        <v>59049</v>
      </c>
      <c r="F19296" t="s">
        <v>59050</v>
      </c>
      <c r="I19296" t="s">
        <v>471</v>
      </c>
      <c r="J19296" t="s">
        <v>30</v>
      </c>
      <c r="K19296" t="s">
        <v>59051</v>
      </c>
      <c r="M19296" t="s">
        <v>50621</v>
      </c>
      <c r="N19296" t="str">
        <f>"5/1/2023 12:18:00 PM"</f>
        <v>5/1/2023 12:18:00 PM</v>
      </c>
      <c r="O19296" t="s">
        <v>59048</v>
      </c>
      <c r="T19296" t="s">
        <v>59049</v>
      </c>
    </row>
    <row r="19297" spans="1:20" x14ac:dyDescent="0.25">
      <c r="A19297" t="str">
        <f>"3057832"</f>
        <v>3057832</v>
      </c>
      <c r="B19297" t="s">
        <v>59052</v>
      </c>
      <c r="C19297" t="str">
        <f>"8320250"</f>
        <v>8320250</v>
      </c>
      <c r="D19297" t="s">
        <v>59053</v>
      </c>
      <c r="E19297" t="s">
        <v>59054</v>
      </c>
      <c r="F19297" t="s">
        <v>59055</v>
      </c>
      <c r="I19297" t="s">
        <v>184</v>
      </c>
      <c r="J19297" t="s">
        <v>30</v>
      </c>
      <c r="K19297" t="s">
        <v>37145</v>
      </c>
      <c r="M19297" t="s">
        <v>17861</v>
      </c>
      <c r="N19297" t="str">
        <f>"5/17/2023 10:02:00 AM"</f>
        <v>5/17/2023 10:02:00 AM</v>
      </c>
      <c r="O19297" t="s">
        <v>59053</v>
      </c>
      <c r="T19297" t="s">
        <v>59054</v>
      </c>
    </row>
    <row r="19298" spans="1:20" x14ac:dyDescent="0.25">
      <c r="A19298" t="str">
        <f>"3062978"</f>
        <v>3062978</v>
      </c>
      <c r="B19298" t="s">
        <v>59056</v>
      </c>
      <c r="C19298" t="str">
        <f>"8319990"</f>
        <v>8319990</v>
      </c>
      <c r="D19298" t="str">
        <f>"MICKEY DAVID D/DONNA CO TRUSTE"</f>
        <v>MICKEY DAVID D/DONNA CO TRUSTE</v>
      </c>
      <c r="E19298" t="str">
        <f>"MICKEY DAVID/DONNA REV LIV TRU"</f>
        <v>MICKEY DAVID/DONNA REV LIV TRU</v>
      </c>
      <c r="F19298" t="s">
        <v>59057</v>
      </c>
      <c r="I19298" t="s">
        <v>184</v>
      </c>
      <c r="J19298" t="s">
        <v>30</v>
      </c>
      <c r="K19298" t="s">
        <v>8745</v>
      </c>
      <c r="M19298" t="s">
        <v>17861</v>
      </c>
      <c r="N19298" t="str">
        <f>"5/1/2023 1:33:00 PM"</f>
        <v>5/1/2023 1:33:00 PM</v>
      </c>
      <c r="O19298" t="str">
        <f>"MICKEY DAVID D/DONNA CO TRUSTE"</f>
        <v>MICKEY DAVID D/DONNA CO TRUSTE</v>
      </c>
      <c r="T19298" t="str">
        <f>"MICKEY DAVID/DONNA REV LIV TRU"</f>
        <v>MICKEY DAVID/DONNA REV LIV TRU</v>
      </c>
    </row>
    <row r="19299" spans="1:20" x14ac:dyDescent="0.25">
      <c r="A19299" t="str">
        <f>"3049440"</f>
        <v>3049440</v>
      </c>
      <c r="B19299" t="s">
        <v>59058</v>
      </c>
      <c r="C19299" t="str">
        <f>"8320252"</f>
        <v>8320252</v>
      </c>
      <c r="D19299" t="s">
        <v>59059</v>
      </c>
      <c r="E19299" t="s">
        <v>59060</v>
      </c>
      <c r="F19299" t="s">
        <v>59061</v>
      </c>
      <c r="I19299" t="s">
        <v>29</v>
      </c>
      <c r="J19299" t="s">
        <v>30</v>
      </c>
      <c r="K19299" t="s">
        <v>37067</v>
      </c>
      <c r="M19299" t="s">
        <v>17861</v>
      </c>
      <c r="N19299" t="str">
        <f>"5/17/2023 1:17:00 PM"</f>
        <v>5/17/2023 1:17:00 PM</v>
      </c>
      <c r="O19299" t="s">
        <v>59059</v>
      </c>
      <c r="T19299" t="s">
        <v>59060</v>
      </c>
    </row>
    <row r="19300" spans="1:20" x14ac:dyDescent="0.25">
      <c r="A19300" t="str">
        <f>"3057023"</f>
        <v>3057023</v>
      </c>
      <c r="B19300" t="s">
        <v>59062</v>
      </c>
      <c r="C19300" t="str">
        <f>"8320254"</f>
        <v>8320254</v>
      </c>
      <c r="D19300" t="s">
        <v>59063</v>
      </c>
      <c r="F19300" t="s">
        <v>59064</v>
      </c>
      <c r="I19300" t="s">
        <v>29</v>
      </c>
      <c r="J19300" t="s">
        <v>30</v>
      </c>
      <c r="K19300" t="s">
        <v>10915</v>
      </c>
      <c r="M19300" t="s">
        <v>17861</v>
      </c>
      <c r="N19300" t="str">
        <f>"5/17/2023 3:07:00 PM"</f>
        <v>5/17/2023 3:07:00 PM</v>
      </c>
      <c r="O19300" t="s">
        <v>59063</v>
      </c>
    </row>
    <row r="19301" spans="1:20" x14ac:dyDescent="0.25">
      <c r="A19301" t="str">
        <f>"3064587"</f>
        <v>3064587</v>
      </c>
      <c r="B19301" t="s">
        <v>59065</v>
      </c>
      <c r="C19301" t="str">
        <f>"8320254"</f>
        <v>8320254</v>
      </c>
      <c r="D19301" t="s">
        <v>59063</v>
      </c>
      <c r="F19301" t="s">
        <v>59064</v>
      </c>
      <c r="I19301" t="s">
        <v>29</v>
      </c>
      <c r="J19301" t="s">
        <v>30</v>
      </c>
      <c r="K19301" t="s">
        <v>10915</v>
      </c>
      <c r="M19301" t="s">
        <v>17861</v>
      </c>
      <c r="N19301" t="str">
        <f>"5/17/2023 3:07:00 PM"</f>
        <v>5/17/2023 3:07:00 PM</v>
      </c>
      <c r="O19301" t="s">
        <v>59063</v>
      </c>
    </row>
    <row r="19302" spans="1:20" x14ac:dyDescent="0.25">
      <c r="A19302" t="str">
        <f>"3039981"</f>
        <v>3039981</v>
      </c>
      <c r="B19302" t="s">
        <v>59066</v>
      </c>
      <c r="C19302" t="str">
        <f>"8320141"</f>
        <v>8320141</v>
      </c>
      <c r="D19302" t="s">
        <v>59067</v>
      </c>
      <c r="F19302" t="s">
        <v>35621</v>
      </c>
      <c r="I19302" t="s">
        <v>184</v>
      </c>
      <c r="J19302" t="s">
        <v>30</v>
      </c>
      <c r="K19302" t="s">
        <v>32978</v>
      </c>
      <c r="M19302" t="s">
        <v>17861</v>
      </c>
      <c r="N19302" t="str">
        <f>"5/2/2023 8:47:00 AM"</f>
        <v>5/2/2023 8:47:00 AM</v>
      </c>
      <c r="O19302" t="s">
        <v>59067</v>
      </c>
    </row>
    <row r="19303" spans="1:20" x14ac:dyDescent="0.25">
      <c r="A19303" t="str">
        <f>"3059811"</f>
        <v>3059811</v>
      </c>
      <c r="B19303" t="s">
        <v>59068</v>
      </c>
      <c r="C19303" t="str">
        <f>"8320256"</f>
        <v>8320256</v>
      </c>
      <c r="D19303" t="s">
        <v>59069</v>
      </c>
      <c r="E19303" t="s">
        <v>59070</v>
      </c>
      <c r="F19303" t="s">
        <v>59071</v>
      </c>
      <c r="I19303" t="s">
        <v>9580</v>
      </c>
      <c r="J19303" t="s">
        <v>30</v>
      </c>
      <c r="K19303" t="s">
        <v>59072</v>
      </c>
      <c r="M19303" t="s">
        <v>17861</v>
      </c>
      <c r="N19303" t="str">
        <f>"5/18/2023 10:48:00 AM"</f>
        <v>5/18/2023 10:48:00 AM</v>
      </c>
      <c r="O19303" t="s">
        <v>59069</v>
      </c>
      <c r="T19303" t="s">
        <v>59070</v>
      </c>
    </row>
    <row r="19304" spans="1:20" x14ac:dyDescent="0.25">
      <c r="A19304" t="str">
        <f>"3038993"</f>
        <v>3038993</v>
      </c>
      <c r="B19304" t="s">
        <v>59073</v>
      </c>
      <c r="C19304" t="str">
        <f>"8320257"</f>
        <v>8320257</v>
      </c>
      <c r="D19304" t="s">
        <v>59074</v>
      </c>
      <c r="F19304" t="s">
        <v>59075</v>
      </c>
      <c r="I19304" t="s">
        <v>29</v>
      </c>
      <c r="J19304" t="s">
        <v>30</v>
      </c>
      <c r="K19304" t="s">
        <v>49428</v>
      </c>
      <c r="M19304" t="s">
        <v>17861</v>
      </c>
      <c r="N19304" t="str">
        <f>"5/18/2023 1:03:00 PM"</f>
        <v>5/18/2023 1:03:00 PM</v>
      </c>
      <c r="O19304" t="s">
        <v>59074</v>
      </c>
    </row>
    <row r="19305" spans="1:20" x14ac:dyDescent="0.25">
      <c r="A19305" t="str">
        <f>"3069179"</f>
        <v>3069179</v>
      </c>
      <c r="B19305" t="s">
        <v>59076</v>
      </c>
      <c r="C19305" t="str">
        <f>"8320258"</f>
        <v>8320258</v>
      </c>
      <c r="D19305" t="s">
        <v>59077</v>
      </c>
      <c r="F19305" t="s">
        <v>34017</v>
      </c>
      <c r="I19305" t="s">
        <v>29</v>
      </c>
      <c r="J19305" t="s">
        <v>30</v>
      </c>
      <c r="K19305" t="s">
        <v>16537</v>
      </c>
      <c r="M19305" t="s">
        <v>17861</v>
      </c>
      <c r="N19305" t="str">
        <f>"5/18/2023 1:08:00 PM"</f>
        <v>5/18/2023 1:08:00 PM</v>
      </c>
      <c r="O19305" t="s">
        <v>59077</v>
      </c>
    </row>
    <row r="19306" spans="1:20" x14ac:dyDescent="0.25">
      <c r="A19306" t="str">
        <f>"3066952"</f>
        <v>3066952</v>
      </c>
      <c r="B19306" t="s">
        <v>59078</v>
      </c>
      <c r="C19306" t="str">
        <f>"8320259"</f>
        <v>8320259</v>
      </c>
      <c r="D19306" t="s">
        <v>59079</v>
      </c>
      <c r="E19306" t="s">
        <v>59080</v>
      </c>
      <c r="F19306" t="s">
        <v>59081</v>
      </c>
      <c r="I19306" t="s">
        <v>2071</v>
      </c>
      <c r="J19306" t="s">
        <v>30</v>
      </c>
      <c r="K19306" t="s">
        <v>3597</v>
      </c>
      <c r="M19306" t="s">
        <v>17861</v>
      </c>
      <c r="N19306" t="str">
        <f>"5/18/2023 2:04:00 PM"</f>
        <v>5/18/2023 2:04:00 PM</v>
      </c>
      <c r="O19306" t="s">
        <v>59079</v>
      </c>
      <c r="T19306" t="s">
        <v>59080</v>
      </c>
    </row>
    <row r="19307" spans="1:20" x14ac:dyDescent="0.25">
      <c r="A19307" t="str">
        <f>"3061839"</f>
        <v>3061839</v>
      </c>
      <c r="B19307" t="s">
        <v>59082</v>
      </c>
      <c r="C19307" t="str">
        <f>"8320260"</f>
        <v>8320260</v>
      </c>
      <c r="D19307" t="s">
        <v>59083</v>
      </c>
      <c r="E19307" t="s">
        <v>59084</v>
      </c>
      <c r="F19307" t="s">
        <v>59085</v>
      </c>
      <c r="I19307" t="s">
        <v>184</v>
      </c>
      <c r="J19307" t="s">
        <v>30</v>
      </c>
      <c r="K19307" t="s">
        <v>58030</v>
      </c>
      <c r="M19307" t="s">
        <v>17861</v>
      </c>
      <c r="N19307" t="str">
        <f>"5/19/2023 9:18:00 AM"</f>
        <v>5/19/2023 9:18:00 AM</v>
      </c>
      <c r="O19307" t="s">
        <v>59083</v>
      </c>
      <c r="T19307" t="s">
        <v>59084</v>
      </c>
    </row>
    <row r="19308" spans="1:20" x14ac:dyDescent="0.25">
      <c r="A19308" t="str">
        <f>"3057891"</f>
        <v>3057891</v>
      </c>
      <c r="B19308" t="s">
        <v>59086</v>
      </c>
      <c r="C19308" t="str">
        <f>"8320261"</f>
        <v>8320261</v>
      </c>
      <c r="D19308" t="s">
        <v>59087</v>
      </c>
      <c r="E19308" t="s">
        <v>59088</v>
      </c>
      <c r="F19308" t="s">
        <v>59089</v>
      </c>
      <c r="I19308" t="s">
        <v>184</v>
      </c>
      <c r="J19308" t="s">
        <v>30</v>
      </c>
      <c r="K19308" t="s">
        <v>37145</v>
      </c>
      <c r="M19308" t="s">
        <v>17861</v>
      </c>
      <c r="N19308" t="str">
        <f>"5/19/2023 9:23:00 AM"</f>
        <v>5/19/2023 9:23:00 AM</v>
      </c>
      <c r="O19308" t="s">
        <v>59087</v>
      </c>
      <c r="T19308" t="s">
        <v>59088</v>
      </c>
    </row>
    <row r="19309" spans="1:20" x14ac:dyDescent="0.25">
      <c r="A19309" t="str">
        <f>"3061745"</f>
        <v>3061745</v>
      </c>
      <c r="B19309" t="s">
        <v>59090</v>
      </c>
      <c r="C19309" t="str">
        <f>"8320262"</f>
        <v>8320262</v>
      </c>
      <c r="D19309" t="s">
        <v>59091</v>
      </c>
      <c r="E19309" t="s">
        <v>59092</v>
      </c>
      <c r="F19309" t="s">
        <v>59093</v>
      </c>
      <c r="I19309" t="s">
        <v>2071</v>
      </c>
      <c r="J19309" t="s">
        <v>30</v>
      </c>
      <c r="K19309" t="str">
        <f>"27006"</f>
        <v>27006</v>
      </c>
      <c r="M19309" t="s">
        <v>17861</v>
      </c>
      <c r="N19309" t="str">
        <f>"5/19/2023 9:28:00 AM"</f>
        <v>5/19/2023 9:28:00 AM</v>
      </c>
      <c r="O19309" t="s">
        <v>59091</v>
      </c>
      <c r="T19309" t="s">
        <v>59092</v>
      </c>
    </row>
    <row r="19310" spans="1:20" x14ac:dyDescent="0.25">
      <c r="A19310" t="str">
        <f>"3062343"</f>
        <v>3062343</v>
      </c>
      <c r="B19310" t="s">
        <v>59094</v>
      </c>
      <c r="C19310" t="str">
        <f>"8320263"</f>
        <v>8320263</v>
      </c>
      <c r="D19310" t="s">
        <v>40135</v>
      </c>
      <c r="F19310" t="s">
        <v>40136</v>
      </c>
      <c r="I19310" t="s">
        <v>402</v>
      </c>
      <c r="J19310" t="s">
        <v>30</v>
      </c>
      <c r="K19310" t="s">
        <v>40137</v>
      </c>
      <c r="M19310" t="s">
        <v>17861</v>
      </c>
      <c r="N19310" t="str">
        <f>"5/19/2023 9:54:00 AM"</f>
        <v>5/19/2023 9:54:00 AM</v>
      </c>
      <c r="O19310" t="s">
        <v>40135</v>
      </c>
    </row>
    <row r="19311" spans="1:20" x14ac:dyDescent="0.25">
      <c r="A19311" t="str">
        <f>"3060298"</f>
        <v>3060298</v>
      </c>
      <c r="B19311" t="s">
        <v>59095</v>
      </c>
      <c r="C19311" t="str">
        <f>"8320264"</f>
        <v>8320264</v>
      </c>
      <c r="D19311" t="s">
        <v>59096</v>
      </c>
      <c r="F19311" t="s">
        <v>59097</v>
      </c>
      <c r="I19311" t="s">
        <v>184</v>
      </c>
      <c r="J19311" t="s">
        <v>30</v>
      </c>
      <c r="K19311" t="s">
        <v>35752</v>
      </c>
      <c r="M19311" t="s">
        <v>17861</v>
      </c>
      <c r="N19311" t="str">
        <f>"5/19/2023 9:57:00 AM"</f>
        <v>5/19/2023 9:57:00 AM</v>
      </c>
      <c r="O19311" t="s">
        <v>59096</v>
      </c>
    </row>
    <row r="19312" spans="1:20" x14ac:dyDescent="0.25">
      <c r="A19312" t="str">
        <f>"3063879"</f>
        <v>3063879</v>
      </c>
      <c r="B19312" t="s">
        <v>59098</v>
      </c>
      <c r="C19312" t="str">
        <f>"8305541"</f>
        <v>8305541</v>
      </c>
      <c r="D19312" t="s">
        <v>59099</v>
      </c>
      <c r="E19312" t="s">
        <v>59100</v>
      </c>
      <c r="F19312" t="s">
        <v>59101</v>
      </c>
      <c r="I19312" t="s">
        <v>184</v>
      </c>
      <c r="J19312" t="s">
        <v>30</v>
      </c>
      <c r="K19312" t="s">
        <v>37888</v>
      </c>
      <c r="M19312" t="s">
        <v>18479</v>
      </c>
      <c r="N19312" t="str">
        <f>"5/19/2023 10:57:00 AM"</f>
        <v>5/19/2023 10:57:00 AM</v>
      </c>
      <c r="O19312" t="s">
        <v>59099</v>
      </c>
      <c r="T19312" t="s">
        <v>59100</v>
      </c>
    </row>
    <row r="19313" spans="1:20" x14ac:dyDescent="0.25">
      <c r="A19313" t="str">
        <f>"3042022"</f>
        <v>3042022</v>
      </c>
      <c r="B19313" t="s">
        <v>59102</v>
      </c>
      <c r="C19313" t="str">
        <f>"8305541"</f>
        <v>8305541</v>
      </c>
      <c r="D19313" t="s">
        <v>59099</v>
      </c>
      <c r="E19313" t="s">
        <v>59100</v>
      </c>
      <c r="F19313" t="s">
        <v>59101</v>
      </c>
      <c r="I19313" t="s">
        <v>184</v>
      </c>
      <c r="J19313" t="s">
        <v>30</v>
      </c>
      <c r="K19313" t="s">
        <v>37888</v>
      </c>
      <c r="M19313" t="s">
        <v>18479</v>
      </c>
      <c r="N19313" t="str">
        <f>"5/19/2023 10:57:00 AM"</f>
        <v>5/19/2023 10:57:00 AM</v>
      </c>
      <c r="O19313" t="s">
        <v>59099</v>
      </c>
      <c r="T19313" t="s">
        <v>59100</v>
      </c>
    </row>
    <row r="19314" spans="1:20" x14ac:dyDescent="0.25">
      <c r="A19314" t="str">
        <f>"3040849"</f>
        <v>3040849</v>
      </c>
      <c r="B19314" t="s">
        <v>59103</v>
      </c>
      <c r="C19314" t="str">
        <f>"8320141"</f>
        <v>8320141</v>
      </c>
      <c r="D19314" t="s">
        <v>59067</v>
      </c>
      <c r="F19314" t="s">
        <v>35621</v>
      </c>
      <c r="I19314" t="s">
        <v>184</v>
      </c>
      <c r="J19314" t="s">
        <v>30</v>
      </c>
      <c r="K19314" t="s">
        <v>32978</v>
      </c>
      <c r="M19314" t="s">
        <v>17861</v>
      </c>
      <c r="N19314" t="str">
        <f>"5/2/2023 8:47:00 AM"</f>
        <v>5/2/2023 8:47:00 AM</v>
      </c>
      <c r="O19314" t="s">
        <v>59067</v>
      </c>
    </row>
    <row r="19315" spans="1:20" x14ac:dyDescent="0.25">
      <c r="A19315" t="str">
        <f>"3059193"</f>
        <v>3059193</v>
      </c>
      <c r="B19315" t="s">
        <v>59104</v>
      </c>
      <c r="C19315" t="str">
        <f>"8320142"</f>
        <v>8320142</v>
      </c>
      <c r="D19315" t="s">
        <v>34138</v>
      </c>
      <c r="E19315" t="s">
        <v>59105</v>
      </c>
      <c r="F19315" t="s">
        <v>59106</v>
      </c>
      <c r="I19315" t="s">
        <v>29</v>
      </c>
      <c r="J19315" t="s">
        <v>30</v>
      </c>
      <c r="K19315" t="s">
        <v>11411</v>
      </c>
      <c r="M19315" t="s">
        <v>17861</v>
      </c>
      <c r="N19315" t="str">
        <f>"5/2/2023 9:00:00 AM"</f>
        <v>5/2/2023 9:00:00 AM</v>
      </c>
      <c r="O19315" t="s">
        <v>34138</v>
      </c>
      <c r="T19315" t="s">
        <v>59105</v>
      </c>
    </row>
    <row r="19316" spans="1:20" x14ac:dyDescent="0.25">
      <c r="A19316" t="str">
        <f>"3044692"</f>
        <v>3044692</v>
      </c>
      <c r="B19316" t="s">
        <v>59107</v>
      </c>
      <c r="C19316" t="str">
        <f>"8320143"</f>
        <v>8320143</v>
      </c>
      <c r="D19316" t="s">
        <v>59108</v>
      </c>
      <c r="E19316" t="s">
        <v>59109</v>
      </c>
      <c r="F19316" t="s">
        <v>59110</v>
      </c>
      <c r="I19316" t="s">
        <v>24359</v>
      </c>
      <c r="J19316" t="s">
        <v>30</v>
      </c>
      <c r="K19316" t="str">
        <f>"27006"</f>
        <v>27006</v>
      </c>
      <c r="M19316" t="s">
        <v>17861</v>
      </c>
      <c r="N19316" t="str">
        <f>"5/2/2023 9:15:00 AM"</f>
        <v>5/2/2023 9:15:00 AM</v>
      </c>
      <c r="O19316" t="s">
        <v>59108</v>
      </c>
      <c r="T19316" t="s">
        <v>59109</v>
      </c>
    </row>
    <row r="19317" spans="1:20" x14ac:dyDescent="0.25">
      <c r="A19317" t="str">
        <f>"3052222"</f>
        <v>3052222</v>
      </c>
      <c r="B19317" t="s">
        <v>59111</v>
      </c>
      <c r="C19317" t="str">
        <f>"8310235"</f>
        <v>8310235</v>
      </c>
      <c r="D19317" t="s">
        <v>58954</v>
      </c>
      <c r="E19317" t="s">
        <v>58955</v>
      </c>
      <c r="F19317" t="s">
        <v>18389</v>
      </c>
      <c r="I19317" t="s">
        <v>29</v>
      </c>
      <c r="J19317" t="s">
        <v>30</v>
      </c>
      <c r="K19317" t="s">
        <v>58956</v>
      </c>
      <c r="M19317" t="s">
        <v>50793</v>
      </c>
      <c r="N19317" t="str">
        <f>"5/2/2023 10:58:00 AM"</f>
        <v>5/2/2023 10:58:00 AM</v>
      </c>
      <c r="O19317" t="s">
        <v>58957</v>
      </c>
      <c r="T19317" t="s">
        <v>58958</v>
      </c>
    </row>
    <row r="19318" spans="1:20" x14ac:dyDescent="0.25">
      <c r="A19318" t="str">
        <f>"3072321"</f>
        <v>3072321</v>
      </c>
      <c r="B19318" t="s">
        <v>59112</v>
      </c>
      <c r="C19318" t="str">
        <f>"8316120"</f>
        <v>8316120</v>
      </c>
      <c r="D19318" t="s">
        <v>59113</v>
      </c>
      <c r="F19318" t="s">
        <v>59114</v>
      </c>
      <c r="I19318" t="s">
        <v>28424</v>
      </c>
      <c r="J19318" t="s">
        <v>28425</v>
      </c>
      <c r="K19318" t="s">
        <v>59115</v>
      </c>
      <c r="M19318" t="s">
        <v>25733</v>
      </c>
      <c r="N19318" t="str">
        <f>"5/11/2023 10:36:00 AM"</f>
        <v>5/11/2023 10:36:00 AM</v>
      </c>
      <c r="O19318" t="s">
        <v>59113</v>
      </c>
    </row>
    <row r="19319" spans="1:20" x14ac:dyDescent="0.25">
      <c r="A19319" t="str">
        <f>"3078410"</f>
        <v>3078410</v>
      </c>
      <c r="B19319" t="s">
        <v>59116</v>
      </c>
      <c r="C19319" t="str">
        <f>"8318780"</f>
        <v>8318780</v>
      </c>
      <c r="D19319" t="s">
        <v>59117</v>
      </c>
      <c r="E19319" t="s">
        <v>59118</v>
      </c>
      <c r="F19319" t="s">
        <v>33247</v>
      </c>
      <c r="I19319" t="s">
        <v>29</v>
      </c>
      <c r="J19319" t="s">
        <v>30</v>
      </c>
      <c r="K19319" t="s">
        <v>19156</v>
      </c>
      <c r="M19319" t="s">
        <v>17861</v>
      </c>
      <c r="N19319" t="str">
        <f>"5/22/2023 3:10:00 PM"</f>
        <v>5/22/2023 3:10:00 PM</v>
      </c>
      <c r="O19319" t="s">
        <v>59117</v>
      </c>
      <c r="T19319" t="s">
        <v>59118</v>
      </c>
    </row>
    <row r="19320" spans="1:20" x14ac:dyDescent="0.25">
      <c r="A19320" t="str">
        <f>"3043810"</f>
        <v>3043810</v>
      </c>
      <c r="B19320" t="s">
        <v>59119</v>
      </c>
      <c r="C19320" t="str">
        <f>"8316502"</f>
        <v>8316502</v>
      </c>
      <c r="D19320" t="s">
        <v>59120</v>
      </c>
      <c r="F19320" t="s">
        <v>15283</v>
      </c>
      <c r="I19320" t="s">
        <v>20592</v>
      </c>
      <c r="J19320" t="s">
        <v>30</v>
      </c>
      <c r="K19320" t="s">
        <v>59121</v>
      </c>
      <c r="M19320" t="s">
        <v>18479</v>
      </c>
      <c r="N19320" t="str">
        <f>"5/23/2023 9:21:00 AM"</f>
        <v>5/23/2023 9:21:00 AM</v>
      </c>
      <c r="O19320" t="s">
        <v>59120</v>
      </c>
    </row>
    <row r="19321" spans="1:20" x14ac:dyDescent="0.25">
      <c r="A19321" t="str">
        <f>"3044310"</f>
        <v>3044310</v>
      </c>
      <c r="B19321" t="s">
        <v>59122</v>
      </c>
      <c r="C19321" t="str">
        <f>"8300616"</f>
        <v>8300616</v>
      </c>
      <c r="D19321" t="s">
        <v>59123</v>
      </c>
      <c r="F19321" t="s">
        <v>59124</v>
      </c>
      <c r="I19321" t="s">
        <v>184</v>
      </c>
      <c r="J19321" t="s">
        <v>30</v>
      </c>
      <c r="K19321" t="str">
        <f>"27006"</f>
        <v>27006</v>
      </c>
      <c r="M19321" t="s">
        <v>36935</v>
      </c>
      <c r="N19321" t="str">
        <f>"5/23/2023 9:43:00 AM"</f>
        <v>5/23/2023 9:43:00 AM</v>
      </c>
      <c r="O19321" t="s">
        <v>59123</v>
      </c>
    </row>
    <row r="19322" spans="1:20" x14ac:dyDescent="0.25">
      <c r="A19322" t="str">
        <f>"3044290"</f>
        <v>3044290</v>
      </c>
      <c r="B19322" t="s">
        <v>59125</v>
      </c>
      <c r="C19322" t="str">
        <f>"8318642"</f>
        <v>8318642</v>
      </c>
      <c r="D19322" t="s">
        <v>59126</v>
      </c>
      <c r="F19322" t="s">
        <v>59127</v>
      </c>
      <c r="I19322" t="s">
        <v>184</v>
      </c>
      <c r="J19322" t="s">
        <v>30</v>
      </c>
      <c r="K19322" t="s">
        <v>38380</v>
      </c>
      <c r="M19322" t="s">
        <v>36935</v>
      </c>
      <c r="N19322" t="str">
        <f>"5/23/2023 9:44:00 AM"</f>
        <v>5/23/2023 9:44:00 AM</v>
      </c>
      <c r="O19322" t="s">
        <v>59126</v>
      </c>
    </row>
    <row r="19323" spans="1:20" x14ac:dyDescent="0.25">
      <c r="A19323" t="str">
        <f>"3043880"</f>
        <v>3043880</v>
      </c>
      <c r="B19323" t="s">
        <v>59128</v>
      </c>
      <c r="C19323" t="str">
        <f>"8318642"</f>
        <v>8318642</v>
      </c>
      <c r="D19323" t="s">
        <v>59126</v>
      </c>
      <c r="F19323" t="s">
        <v>59127</v>
      </c>
      <c r="I19323" t="s">
        <v>184</v>
      </c>
      <c r="J19323" t="s">
        <v>30</v>
      </c>
      <c r="K19323" t="s">
        <v>38380</v>
      </c>
      <c r="M19323" t="s">
        <v>36935</v>
      </c>
      <c r="N19323" t="str">
        <f>"5/23/2023 9:44:00 AM"</f>
        <v>5/23/2023 9:44:00 AM</v>
      </c>
      <c r="O19323" t="s">
        <v>59126</v>
      </c>
    </row>
    <row r="19324" spans="1:20" x14ac:dyDescent="0.25">
      <c r="A19324" t="str">
        <f>"3040821"</f>
        <v>3040821</v>
      </c>
      <c r="B19324" t="s">
        <v>59129</v>
      </c>
      <c r="C19324" t="str">
        <f>"8313845"</f>
        <v>8313845</v>
      </c>
      <c r="D19324" t="s">
        <v>33750</v>
      </c>
      <c r="E19324" t="s">
        <v>33751</v>
      </c>
      <c r="F19324" t="s">
        <v>59130</v>
      </c>
      <c r="I19324" t="s">
        <v>471</v>
      </c>
      <c r="J19324" t="s">
        <v>30</v>
      </c>
      <c r="K19324" t="str">
        <f>"27103"</f>
        <v>27103</v>
      </c>
      <c r="M19324" t="s">
        <v>50793</v>
      </c>
      <c r="N19324" t="str">
        <f>"5/2/2023 11:42:00 AM"</f>
        <v>5/2/2023 11:42:00 AM</v>
      </c>
      <c r="O19324" t="s">
        <v>33750</v>
      </c>
      <c r="T19324" t="s">
        <v>33751</v>
      </c>
    </row>
    <row r="19325" spans="1:20" x14ac:dyDescent="0.25">
      <c r="A19325" t="str">
        <f>"3055250"</f>
        <v>3055250</v>
      </c>
      <c r="B19325" t="s">
        <v>59131</v>
      </c>
      <c r="C19325" t="str">
        <f>"8320273"</f>
        <v>8320273</v>
      </c>
      <c r="D19325" t="s">
        <v>59132</v>
      </c>
      <c r="E19325" t="s">
        <v>59133</v>
      </c>
      <c r="F19325" t="s">
        <v>59134</v>
      </c>
      <c r="I19325" t="s">
        <v>29</v>
      </c>
      <c r="J19325" t="s">
        <v>30</v>
      </c>
      <c r="K19325" t="s">
        <v>59135</v>
      </c>
      <c r="M19325" t="s">
        <v>17861</v>
      </c>
      <c r="N19325" t="str">
        <f>"5/24/2023 1:21:00 PM"</f>
        <v>5/24/2023 1:21:00 PM</v>
      </c>
      <c r="O19325" t="s">
        <v>59132</v>
      </c>
      <c r="T19325" t="s">
        <v>59133</v>
      </c>
    </row>
    <row r="19326" spans="1:20" x14ac:dyDescent="0.25">
      <c r="A19326" t="str">
        <f>"3048272"</f>
        <v>3048272</v>
      </c>
      <c r="B19326" t="s">
        <v>59136</v>
      </c>
      <c r="C19326" t="str">
        <f>"8320274"</f>
        <v>8320274</v>
      </c>
      <c r="D19326" t="s">
        <v>59137</v>
      </c>
      <c r="E19326" t="s">
        <v>59138</v>
      </c>
      <c r="F19326" t="s">
        <v>59139</v>
      </c>
      <c r="I19326" t="s">
        <v>1149</v>
      </c>
      <c r="J19326" t="s">
        <v>30</v>
      </c>
      <c r="K19326" t="s">
        <v>59140</v>
      </c>
      <c r="M19326" t="s">
        <v>17861</v>
      </c>
      <c r="N19326" t="str">
        <f>"5/24/2023 1:43:00 PM"</f>
        <v>5/24/2023 1:43:00 PM</v>
      </c>
      <c r="O19326" t="s">
        <v>59137</v>
      </c>
      <c r="T19326" t="s">
        <v>59138</v>
      </c>
    </row>
    <row r="19327" spans="1:20" x14ac:dyDescent="0.25">
      <c r="A19327" t="str">
        <f>"3055667"</f>
        <v>3055667</v>
      </c>
      <c r="B19327" t="s">
        <v>59141</v>
      </c>
      <c r="C19327" t="str">
        <f>"8320275"</f>
        <v>8320275</v>
      </c>
      <c r="D19327" t="s">
        <v>59142</v>
      </c>
      <c r="F19327" t="s">
        <v>59143</v>
      </c>
      <c r="I19327" t="s">
        <v>29</v>
      </c>
      <c r="J19327" t="s">
        <v>30</v>
      </c>
      <c r="K19327" t="s">
        <v>38671</v>
      </c>
      <c r="M19327" t="s">
        <v>17861</v>
      </c>
      <c r="N19327" t="str">
        <f>"5/24/2023 1:47:00 PM"</f>
        <v>5/24/2023 1:47:00 PM</v>
      </c>
      <c r="O19327" t="s">
        <v>59142</v>
      </c>
    </row>
    <row r="19328" spans="1:20" x14ac:dyDescent="0.25">
      <c r="A19328" t="str">
        <f>"3053796"</f>
        <v>3053796</v>
      </c>
      <c r="B19328" t="s">
        <v>59144</v>
      </c>
      <c r="C19328" t="str">
        <f>"8320277"</f>
        <v>8320277</v>
      </c>
      <c r="D19328" t="s">
        <v>59145</v>
      </c>
      <c r="E19328" t="s">
        <v>59146</v>
      </c>
      <c r="F19328" t="s">
        <v>49918</v>
      </c>
      <c r="I19328" t="s">
        <v>29</v>
      </c>
      <c r="J19328" t="s">
        <v>30</v>
      </c>
      <c r="K19328" t="s">
        <v>14976</v>
      </c>
      <c r="M19328" t="s">
        <v>17861</v>
      </c>
      <c r="N19328" t="str">
        <f>"5/24/2023 2:08:00 PM"</f>
        <v>5/24/2023 2:08:00 PM</v>
      </c>
      <c r="O19328" t="s">
        <v>59145</v>
      </c>
      <c r="T19328" t="s">
        <v>59146</v>
      </c>
    </row>
    <row r="19329" spans="1:20" x14ac:dyDescent="0.25">
      <c r="A19329" t="str">
        <f>"3056799"</f>
        <v>3056799</v>
      </c>
      <c r="B19329" t="s">
        <v>59147</v>
      </c>
      <c r="C19329" t="str">
        <f>"1916000"</f>
        <v>1916000</v>
      </c>
      <c r="D19329" t="s">
        <v>59148</v>
      </c>
      <c r="E19329" t="s">
        <v>59149</v>
      </c>
      <c r="F19329" t="s">
        <v>59150</v>
      </c>
      <c r="I19329" t="s">
        <v>29</v>
      </c>
      <c r="J19329" t="s">
        <v>30</v>
      </c>
      <c r="K19329" t="s">
        <v>31</v>
      </c>
      <c r="M19329" t="s">
        <v>50793</v>
      </c>
      <c r="N19329" t="str">
        <f>"5/5/2023 11:37:00 AM"</f>
        <v>5/5/2023 11:37:00 AM</v>
      </c>
      <c r="O19329" t="s">
        <v>59148</v>
      </c>
      <c r="T19329" t="s">
        <v>59149</v>
      </c>
    </row>
    <row r="19330" spans="1:20" x14ac:dyDescent="0.25">
      <c r="A19330" t="str">
        <f>"3053435"</f>
        <v>3053435</v>
      </c>
      <c r="B19330" t="s">
        <v>59151</v>
      </c>
      <c r="C19330" t="str">
        <f>"8320279"</f>
        <v>8320279</v>
      </c>
      <c r="D19330" t="s">
        <v>59152</v>
      </c>
      <c r="F19330" t="s">
        <v>59153</v>
      </c>
      <c r="I19330" t="s">
        <v>29</v>
      </c>
      <c r="J19330" t="s">
        <v>30</v>
      </c>
      <c r="K19330" t="s">
        <v>41117</v>
      </c>
      <c r="M19330" t="s">
        <v>17861</v>
      </c>
      <c r="N19330" t="str">
        <f>"5/24/2023 2:14:00 PM"</f>
        <v>5/24/2023 2:14:00 PM</v>
      </c>
      <c r="O19330" t="s">
        <v>59152</v>
      </c>
    </row>
    <row r="19331" spans="1:20" x14ac:dyDescent="0.25">
      <c r="A19331" t="str">
        <f>"3046198"</f>
        <v>3046198</v>
      </c>
      <c r="B19331" t="s">
        <v>59154</v>
      </c>
      <c r="C19331" t="str">
        <f>"8320280"</f>
        <v>8320280</v>
      </c>
      <c r="D19331" t="s">
        <v>59155</v>
      </c>
      <c r="E19331" t="s">
        <v>59156</v>
      </c>
      <c r="F19331" t="s">
        <v>59157</v>
      </c>
      <c r="I19331" t="s">
        <v>29</v>
      </c>
      <c r="J19331" t="s">
        <v>30</v>
      </c>
      <c r="K19331" t="s">
        <v>10213</v>
      </c>
      <c r="M19331" t="s">
        <v>17861</v>
      </c>
      <c r="N19331" t="str">
        <f>"5/24/2023 2:31:00 PM"</f>
        <v>5/24/2023 2:31:00 PM</v>
      </c>
      <c r="O19331" t="s">
        <v>59155</v>
      </c>
      <c r="T19331" t="s">
        <v>59156</v>
      </c>
    </row>
    <row r="19332" spans="1:20" x14ac:dyDescent="0.25">
      <c r="A19332" t="str">
        <f>"3057781"</f>
        <v>3057781</v>
      </c>
      <c r="B19332" t="s">
        <v>59158</v>
      </c>
      <c r="C19332" t="str">
        <f>"8320281"</f>
        <v>8320281</v>
      </c>
      <c r="D19332" t="s">
        <v>59159</v>
      </c>
      <c r="F19332" t="s">
        <v>59160</v>
      </c>
      <c r="I19332" t="s">
        <v>29</v>
      </c>
      <c r="J19332" t="s">
        <v>30</v>
      </c>
      <c r="K19332" t="s">
        <v>49114</v>
      </c>
      <c r="M19332" t="s">
        <v>17861</v>
      </c>
      <c r="N19332" t="str">
        <f>"5/24/2023 2:35:00 PM"</f>
        <v>5/24/2023 2:35:00 PM</v>
      </c>
      <c r="O19332" t="s">
        <v>59159</v>
      </c>
    </row>
    <row r="19333" spans="1:20" x14ac:dyDescent="0.25">
      <c r="A19333" t="str">
        <f>"3041927"</f>
        <v>3041927</v>
      </c>
      <c r="B19333" t="s">
        <v>59161</v>
      </c>
      <c r="C19333" t="str">
        <f>"8320283"</f>
        <v>8320283</v>
      </c>
      <c r="D19333" t="s">
        <v>59162</v>
      </c>
      <c r="F19333" t="s">
        <v>59163</v>
      </c>
      <c r="I19333" t="s">
        <v>2071</v>
      </c>
      <c r="J19333" t="s">
        <v>30</v>
      </c>
      <c r="K19333" t="s">
        <v>40386</v>
      </c>
      <c r="M19333" t="s">
        <v>17861</v>
      </c>
      <c r="N19333" t="str">
        <f>"5/25/2023 10:12:00 AM"</f>
        <v>5/25/2023 10:12:00 AM</v>
      </c>
      <c r="O19333" t="s">
        <v>59162</v>
      </c>
    </row>
    <row r="19334" spans="1:20" x14ac:dyDescent="0.25">
      <c r="A19334" t="str">
        <f>"3049739"</f>
        <v>3049739</v>
      </c>
      <c r="B19334" t="s">
        <v>59164</v>
      </c>
      <c r="C19334" t="str">
        <f>"8320284"</f>
        <v>8320284</v>
      </c>
      <c r="D19334" t="s">
        <v>59165</v>
      </c>
      <c r="E19334" t="s">
        <v>59166</v>
      </c>
      <c r="F19334" t="s">
        <v>59167</v>
      </c>
      <c r="I19334" t="s">
        <v>29</v>
      </c>
      <c r="J19334" t="s">
        <v>30</v>
      </c>
      <c r="K19334" t="s">
        <v>17132</v>
      </c>
      <c r="M19334" t="s">
        <v>17861</v>
      </c>
      <c r="N19334" t="str">
        <f>"5/25/2023 11:19:00 AM"</f>
        <v>5/25/2023 11:19:00 AM</v>
      </c>
      <c r="O19334" t="s">
        <v>59165</v>
      </c>
      <c r="T19334" t="s">
        <v>59166</v>
      </c>
    </row>
    <row r="19335" spans="1:20" x14ac:dyDescent="0.25">
      <c r="A19335" t="str">
        <f>"3061108"</f>
        <v>3061108</v>
      </c>
      <c r="B19335" t="s">
        <v>59168</v>
      </c>
      <c r="C19335" t="str">
        <f>"8320285"</f>
        <v>8320285</v>
      </c>
      <c r="D19335" t="s">
        <v>59169</v>
      </c>
      <c r="E19335" t="s">
        <v>59170</v>
      </c>
      <c r="F19335" t="s">
        <v>59171</v>
      </c>
      <c r="I19335" t="s">
        <v>2071</v>
      </c>
      <c r="J19335" t="s">
        <v>30</v>
      </c>
      <c r="K19335" t="s">
        <v>38104</v>
      </c>
      <c r="M19335" t="s">
        <v>17861</v>
      </c>
      <c r="N19335" t="str">
        <f>"5/25/2023 2:09:00 PM"</f>
        <v>5/25/2023 2:09:00 PM</v>
      </c>
      <c r="O19335" t="s">
        <v>59169</v>
      </c>
      <c r="T19335" t="s">
        <v>59170</v>
      </c>
    </row>
    <row r="19336" spans="1:20" x14ac:dyDescent="0.25">
      <c r="A19336" t="str">
        <f>"3060508"</f>
        <v>3060508</v>
      </c>
      <c r="B19336" t="s">
        <v>59172</v>
      </c>
      <c r="C19336" t="str">
        <f>"8320286"</f>
        <v>8320286</v>
      </c>
      <c r="D19336" t="s">
        <v>59173</v>
      </c>
      <c r="E19336" t="s">
        <v>59174</v>
      </c>
      <c r="F19336" t="s">
        <v>59175</v>
      </c>
      <c r="I19336" t="s">
        <v>184</v>
      </c>
      <c r="J19336" t="s">
        <v>30</v>
      </c>
      <c r="K19336" t="s">
        <v>9200</v>
      </c>
      <c r="M19336" t="s">
        <v>17861</v>
      </c>
      <c r="N19336" t="str">
        <f>"5/25/2023 2:12:00 PM"</f>
        <v>5/25/2023 2:12:00 PM</v>
      </c>
      <c r="O19336" t="s">
        <v>59173</v>
      </c>
      <c r="T19336" t="s">
        <v>59174</v>
      </c>
    </row>
    <row r="19337" spans="1:20" x14ac:dyDescent="0.25">
      <c r="A19337" t="str">
        <f>"3046618"</f>
        <v>3046618</v>
      </c>
      <c r="B19337" t="s">
        <v>59176</v>
      </c>
      <c r="C19337" t="str">
        <f>"8320287"</f>
        <v>8320287</v>
      </c>
      <c r="D19337" t="s">
        <v>18235</v>
      </c>
      <c r="E19337" t="s">
        <v>18236</v>
      </c>
      <c r="F19337" t="s">
        <v>23528</v>
      </c>
      <c r="I19337" t="s">
        <v>184</v>
      </c>
      <c r="J19337" t="s">
        <v>30</v>
      </c>
      <c r="K19337" t="s">
        <v>36453</v>
      </c>
      <c r="M19337" t="s">
        <v>17861</v>
      </c>
      <c r="N19337" t="str">
        <f>"5/25/2023 2:15:00 PM"</f>
        <v>5/25/2023 2:15:00 PM</v>
      </c>
      <c r="O19337" t="s">
        <v>18235</v>
      </c>
      <c r="T19337" t="s">
        <v>18236</v>
      </c>
    </row>
    <row r="19338" spans="1:20" x14ac:dyDescent="0.25">
      <c r="A19338" t="str">
        <f>"3046803"</f>
        <v>3046803</v>
      </c>
      <c r="B19338" t="s">
        <v>59177</v>
      </c>
      <c r="C19338" t="str">
        <f>"8320287"</f>
        <v>8320287</v>
      </c>
      <c r="D19338" t="s">
        <v>18235</v>
      </c>
      <c r="E19338" t="s">
        <v>18236</v>
      </c>
      <c r="F19338" t="s">
        <v>23528</v>
      </c>
      <c r="I19338" t="s">
        <v>184</v>
      </c>
      <c r="J19338" t="s">
        <v>30</v>
      </c>
      <c r="K19338" t="s">
        <v>36453</v>
      </c>
      <c r="M19338" t="s">
        <v>17861</v>
      </c>
      <c r="N19338" t="str">
        <f>"5/25/2023 2:15:00 PM"</f>
        <v>5/25/2023 2:15:00 PM</v>
      </c>
      <c r="O19338" t="s">
        <v>18235</v>
      </c>
      <c r="T19338" t="s">
        <v>18236</v>
      </c>
    </row>
    <row r="19339" spans="1:20" x14ac:dyDescent="0.25">
      <c r="A19339" t="str">
        <f>"3060708"</f>
        <v>3060708</v>
      </c>
      <c r="B19339" t="s">
        <v>59178</v>
      </c>
      <c r="C19339" t="str">
        <f>"8319723"</f>
        <v>8319723</v>
      </c>
      <c r="D19339" t="s">
        <v>59179</v>
      </c>
      <c r="E19339" t="s">
        <v>59180</v>
      </c>
      <c r="F19339" t="s">
        <v>59181</v>
      </c>
      <c r="I19339" t="s">
        <v>2071</v>
      </c>
      <c r="J19339" t="s">
        <v>30</v>
      </c>
      <c r="K19339" t="s">
        <v>4183</v>
      </c>
      <c r="M19339" t="s">
        <v>17861</v>
      </c>
      <c r="N19339" t="str">
        <f>"5/25/2023 2:21:00 PM"</f>
        <v>5/25/2023 2:21:00 PM</v>
      </c>
      <c r="O19339" t="s">
        <v>59179</v>
      </c>
      <c r="T19339" t="s">
        <v>59180</v>
      </c>
    </row>
    <row r="19340" spans="1:20" x14ac:dyDescent="0.25">
      <c r="A19340" t="str">
        <f>"3052127"</f>
        <v>3052127</v>
      </c>
      <c r="B19340" t="s">
        <v>59182</v>
      </c>
      <c r="C19340" t="str">
        <f>"8320290"</f>
        <v>8320290</v>
      </c>
      <c r="D19340" t="s">
        <v>59183</v>
      </c>
      <c r="F19340" t="s">
        <v>59184</v>
      </c>
      <c r="I19340" t="s">
        <v>29</v>
      </c>
      <c r="J19340" t="s">
        <v>30</v>
      </c>
      <c r="K19340" t="s">
        <v>12071</v>
      </c>
      <c r="M19340" t="s">
        <v>17861</v>
      </c>
      <c r="N19340" t="str">
        <f>"5/26/2023 9:06:00 AM"</f>
        <v>5/26/2023 9:06:00 AM</v>
      </c>
      <c r="O19340" t="s">
        <v>59183</v>
      </c>
    </row>
    <row r="19341" spans="1:20" x14ac:dyDescent="0.25">
      <c r="A19341" t="str">
        <f>"3052097"</f>
        <v>3052097</v>
      </c>
      <c r="B19341" t="s">
        <v>59185</v>
      </c>
      <c r="C19341" t="str">
        <f>"8320179"</f>
        <v>8320179</v>
      </c>
      <c r="D19341" t="s">
        <v>59186</v>
      </c>
      <c r="E19341" t="s">
        <v>59187</v>
      </c>
      <c r="F19341" t="s">
        <v>59188</v>
      </c>
      <c r="I19341" t="s">
        <v>29</v>
      </c>
      <c r="J19341" t="s">
        <v>30</v>
      </c>
      <c r="K19341" t="s">
        <v>59189</v>
      </c>
      <c r="M19341" t="s">
        <v>17861</v>
      </c>
      <c r="N19341" t="str">
        <f>"5/5/2023 12:56:00 PM"</f>
        <v>5/5/2023 12:56:00 PM</v>
      </c>
      <c r="O19341" t="s">
        <v>59186</v>
      </c>
      <c r="T19341" t="s">
        <v>59187</v>
      </c>
    </row>
    <row r="19342" spans="1:20" x14ac:dyDescent="0.25">
      <c r="A19342" t="str">
        <f>"3038726"</f>
        <v>3038726</v>
      </c>
      <c r="B19342" t="s">
        <v>59190</v>
      </c>
      <c r="C19342" t="str">
        <f>"8320224"</f>
        <v>8320224</v>
      </c>
      <c r="D19342" t="s">
        <v>59191</v>
      </c>
      <c r="E19342" t="str">
        <f>"SPILLMAN PATRICK L/SHIPLEY LEA"</f>
        <v>SPILLMAN PATRICK L/SHIPLEY LEA</v>
      </c>
      <c r="F19342" t="s">
        <v>59192</v>
      </c>
      <c r="I19342" t="s">
        <v>29</v>
      </c>
      <c r="J19342" t="s">
        <v>30</v>
      </c>
      <c r="K19342" t="s">
        <v>59193</v>
      </c>
      <c r="M19342" t="s">
        <v>17861</v>
      </c>
      <c r="N19342" t="str">
        <f>"5/11/2023 2:01:00 PM"</f>
        <v>5/11/2023 2:01:00 PM</v>
      </c>
      <c r="O19342" t="s">
        <v>59191</v>
      </c>
      <c r="T19342" t="str">
        <f>"SPILLMAN PATRICK L/SHIPLEY LEA"</f>
        <v>SPILLMAN PATRICK L/SHIPLEY LEA</v>
      </c>
    </row>
    <row r="19343" spans="1:20" x14ac:dyDescent="0.25">
      <c r="A19343" t="str">
        <f>"3054636"</f>
        <v>3054636</v>
      </c>
      <c r="B19343" t="s">
        <v>59194</v>
      </c>
      <c r="C19343" t="str">
        <f>"82520051"</f>
        <v>82520051</v>
      </c>
      <c r="D19343" t="s">
        <v>59195</v>
      </c>
      <c r="F19343" t="s">
        <v>59196</v>
      </c>
      <c r="G19343" t="s">
        <v>59197</v>
      </c>
      <c r="I19343" t="s">
        <v>4502</v>
      </c>
      <c r="J19343" t="s">
        <v>30</v>
      </c>
      <c r="K19343" t="s">
        <v>59198</v>
      </c>
      <c r="M19343" t="s">
        <v>50621</v>
      </c>
      <c r="N19343" t="str">
        <f>"5/5/2023 10:51:00 AM"</f>
        <v>5/5/2023 10:51:00 AM</v>
      </c>
      <c r="O19343" t="s">
        <v>59195</v>
      </c>
    </row>
    <row r="19344" spans="1:20" x14ac:dyDescent="0.25">
      <c r="A19344" t="str">
        <f>"3057931"</f>
        <v>3057931</v>
      </c>
      <c r="B19344" t="s">
        <v>59199</v>
      </c>
      <c r="C19344" t="str">
        <f>"8320180"</f>
        <v>8320180</v>
      </c>
      <c r="D19344" t="s">
        <v>59200</v>
      </c>
      <c r="E19344" t="s">
        <v>59201</v>
      </c>
      <c r="F19344" t="s">
        <v>59202</v>
      </c>
      <c r="I19344" t="s">
        <v>184</v>
      </c>
      <c r="J19344" t="s">
        <v>30</v>
      </c>
      <c r="K19344" t="s">
        <v>5909</v>
      </c>
      <c r="M19344" t="s">
        <v>17861</v>
      </c>
      <c r="N19344" t="str">
        <f>"5/5/2023 1:04:00 PM"</f>
        <v>5/5/2023 1:04:00 PM</v>
      </c>
      <c r="O19344" t="s">
        <v>59200</v>
      </c>
      <c r="T19344" t="s">
        <v>59201</v>
      </c>
    </row>
    <row r="19345" spans="1:20" x14ac:dyDescent="0.25">
      <c r="A19345" t="str">
        <f>"3042896"</f>
        <v>3042896</v>
      </c>
      <c r="B19345" t="s">
        <v>59203</v>
      </c>
      <c r="C19345" t="str">
        <f>"8320182"</f>
        <v>8320182</v>
      </c>
      <c r="D19345" t="s">
        <v>59204</v>
      </c>
      <c r="F19345" t="s">
        <v>59205</v>
      </c>
      <c r="I19345" t="s">
        <v>29</v>
      </c>
      <c r="J19345" t="s">
        <v>30</v>
      </c>
      <c r="K19345" t="s">
        <v>37538</v>
      </c>
      <c r="M19345" t="s">
        <v>17861</v>
      </c>
      <c r="N19345" t="str">
        <f>"5/5/2023 2:33:00 PM"</f>
        <v>5/5/2023 2:33:00 PM</v>
      </c>
      <c r="O19345" t="s">
        <v>59204</v>
      </c>
    </row>
    <row r="19346" spans="1:20" x14ac:dyDescent="0.25">
      <c r="A19346" t="str">
        <f>"3041248"</f>
        <v>3041248</v>
      </c>
      <c r="B19346" t="s">
        <v>59206</v>
      </c>
      <c r="C19346" t="str">
        <f>"8320183"</f>
        <v>8320183</v>
      </c>
      <c r="D19346" t="s">
        <v>59207</v>
      </c>
      <c r="E19346" t="s">
        <v>59208</v>
      </c>
      <c r="F19346" t="s">
        <v>59209</v>
      </c>
      <c r="I19346" t="s">
        <v>2071</v>
      </c>
      <c r="J19346" t="s">
        <v>30</v>
      </c>
      <c r="K19346" t="s">
        <v>32842</v>
      </c>
      <c r="M19346" t="s">
        <v>17861</v>
      </c>
      <c r="N19346" t="str">
        <f>"5/5/2023 2:35:00 PM"</f>
        <v>5/5/2023 2:35:00 PM</v>
      </c>
      <c r="O19346" t="s">
        <v>59207</v>
      </c>
      <c r="T19346" t="s">
        <v>59208</v>
      </c>
    </row>
    <row r="19347" spans="1:20" x14ac:dyDescent="0.25">
      <c r="A19347" t="str">
        <f>"3056054"</f>
        <v>3056054</v>
      </c>
      <c r="B19347" t="s">
        <v>59210</v>
      </c>
      <c r="C19347" t="str">
        <f>"8320225"</f>
        <v>8320225</v>
      </c>
      <c r="D19347" t="s">
        <v>59211</v>
      </c>
      <c r="F19347" t="s">
        <v>59212</v>
      </c>
      <c r="I19347" t="s">
        <v>9580</v>
      </c>
      <c r="J19347" t="s">
        <v>30</v>
      </c>
      <c r="K19347" t="s">
        <v>59213</v>
      </c>
      <c r="M19347" t="s">
        <v>17861</v>
      </c>
      <c r="N19347" t="str">
        <f>"5/11/2023 2:04:00 PM"</f>
        <v>5/11/2023 2:04:00 PM</v>
      </c>
      <c r="O19347" t="s">
        <v>59211</v>
      </c>
    </row>
    <row r="19348" spans="1:20" x14ac:dyDescent="0.25">
      <c r="A19348" t="str">
        <f>"3039518"</f>
        <v>3039518</v>
      </c>
      <c r="B19348" t="s">
        <v>59214</v>
      </c>
      <c r="C19348" t="str">
        <f>"40236000"</f>
        <v>40236000</v>
      </c>
      <c r="D19348" t="s">
        <v>58982</v>
      </c>
      <c r="F19348" t="s">
        <v>58983</v>
      </c>
      <c r="I19348" t="s">
        <v>12724</v>
      </c>
      <c r="J19348" t="s">
        <v>12725</v>
      </c>
      <c r="K19348" t="s">
        <v>58984</v>
      </c>
      <c r="M19348" t="s">
        <v>18479</v>
      </c>
      <c r="N19348" t="str">
        <f>"5/11/2023 4:27:00 PM"</f>
        <v>5/11/2023 4:27:00 PM</v>
      </c>
      <c r="O19348" t="s">
        <v>58982</v>
      </c>
    </row>
    <row r="19349" spans="1:20" x14ac:dyDescent="0.25">
      <c r="A19349" t="str">
        <f>"3039510"</f>
        <v>3039510</v>
      </c>
      <c r="B19349" t="s">
        <v>59215</v>
      </c>
      <c r="C19349" t="str">
        <f>"40236000"</f>
        <v>40236000</v>
      </c>
      <c r="D19349" t="s">
        <v>58982</v>
      </c>
      <c r="F19349" t="s">
        <v>58983</v>
      </c>
      <c r="I19349" t="s">
        <v>12724</v>
      </c>
      <c r="J19349" t="s">
        <v>12725</v>
      </c>
      <c r="K19349" t="s">
        <v>58984</v>
      </c>
      <c r="M19349" t="s">
        <v>18479</v>
      </c>
      <c r="N19349" t="str">
        <f>"5/11/2023 4:27:00 PM"</f>
        <v>5/11/2023 4:27:00 PM</v>
      </c>
      <c r="O19349" t="s">
        <v>58982</v>
      </c>
    </row>
    <row r="19350" spans="1:20" x14ac:dyDescent="0.25">
      <c r="A19350" t="str">
        <f>"3058934"</f>
        <v>3058934</v>
      </c>
      <c r="B19350" t="s">
        <v>59216</v>
      </c>
      <c r="C19350" t="str">
        <f>"8320229"</f>
        <v>8320229</v>
      </c>
      <c r="D19350" t="s">
        <v>59217</v>
      </c>
      <c r="E19350" t="s">
        <v>59218</v>
      </c>
      <c r="F19350" t="s">
        <v>59219</v>
      </c>
      <c r="I19350" t="s">
        <v>29</v>
      </c>
      <c r="J19350" t="s">
        <v>30</v>
      </c>
      <c r="K19350" t="s">
        <v>14501</v>
      </c>
      <c r="M19350" t="s">
        <v>17861</v>
      </c>
      <c r="N19350" t="str">
        <f>"5/15/2023 9:29:00 AM"</f>
        <v>5/15/2023 9:29:00 AM</v>
      </c>
      <c r="O19350" t="s">
        <v>59217</v>
      </c>
      <c r="T19350" t="s">
        <v>59218</v>
      </c>
    </row>
    <row r="19351" spans="1:20" x14ac:dyDescent="0.25">
      <c r="A19351" t="str">
        <f>"3057894"</f>
        <v>3057894</v>
      </c>
      <c r="B19351" t="s">
        <v>59220</v>
      </c>
      <c r="C19351" t="str">
        <f>"8320231"</f>
        <v>8320231</v>
      </c>
      <c r="D19351" t="s">
        <v>59221</v>
      </c>
      <c r="E19351" t="s">
        <v>59222</v>
      </c>
      <c r="F19351" t="s">
        <v>59223</v>
      </c>
      <c r="I19351" t="s">
        <v>184</v>
      </c>
      <c r="J19351" t="s">
        <v>30</v>
      </c>
      <c r="K19351" t="s">
        <v>37145</v>
      </c>
      <c r="M19351" t="s">
        <v>17861</v>
      </c>
      <c r="N19351" t="str">
        <f>"5/15/2023 9:55:00 AM"</f>
        <v>5/15/2023 9:55:00 AM</v>
      </c>
      <c r="O19351" t="s">
        <v>59221</v>
      </c>
      <c r="T19351" t="s">
        <v>59222</v>
      </c>
    </row>
    <row r="19352" spans="1:20" x14ac:dyDescent="0.25">
      <c r="A19352" t="str">
        <f>"3052191"</f>
        <v>3052191</v>
      </c>
      <c r="B19352" t="s">
        <v>59224</v>
      </c>
      <c r="C19352" t="str">
        <f>"8320238"</f>
        <v>8320238</v>
      </c>
      <c r="D19352" t="s">
        <v>59225</v>
      </c>
      <c r="E19352" t="s">
        <v>59226</v>
      </c>
      <c r="F19352" t="s">
        <v>59227</v>
      </c>
      <c r="I19352" t="s">
        <v>29</v>
      </c>
      <c r="J19352" t="s">
        <v>30</v>
      </c>
      <c r="K19352" t="s">
        <v>39812</v>
      </c>
      <c r="M19352" t="s">
        <v>17861</v>
      </c>
      <c r="N19352" t="str">
        <f>"5/15/2023 10:27:00 AM"</f>
        <v>5/15/2023 10:27:00 AM</v>
      </c>
      <c r="O19352" t="s">
        <v>59225</v>
      </c>
      <c r="T19352" t="s">
        <v>59226</v>
      </c>
    </row>
    <row r="19353" spans="1:20" x14ac:dyDescent="0.25">
      <c r="A19353" t="str">
        <f>"3077640"</f>
        <v>3077640</v>
      </c>
      <c r="B19353" t="s">
        <v>59228</v>
      </c>
      <c r="C19353" t="str">
        <f>"8320242"</f>
        <v>8320242</v>
      </c>
      <c r="D19353" t="s">
        <v>59229</v>
      </c>
      <c r="E19353" t="s">
        <v>59230</v>
      </c>
      <c r="F19353" t="s">
        <v>59231</v>
      </c>
      <c r="I19353" t="s">
        <v>29</v>
      </c>
      <c r="J19353" t="s">
        <v>30</v>
      </c>
      <c r="K19353" t="s">
        <v>59232</v>
      </c>
      <c r="M19353" t="s">
        <v>17861</v>
      </c>
      <c r="N19353" t="str">
        <f>"5/15/2023 11:13:00 AM"</f>
        <v>5/15/2023 11:13:00 AM</v>
      </c>
      <c r="O19353" t="s">
        <v>59229</v>
      </c>
      <c r="T19353" t="s">
        <v>59230</v>
      </c>
    </row>
    <row r="19354" spans="1:20" x14ac:dyDescent="0.25">
      <c r="A19354" t="str">
        <f>"3076915"</f>
        <v>3076915</v>
      </c>
      <c r="B19354" t="s">
        <v>59233</v>
      </c>
      <c r="C19354" t="str">
        <f>"8320243"</f>
        <v>8320243</v>
      </c>
      <c r="D19354" t="s">
        <v>59030</v>
      </c>
      <c r="E19354" t="s">
        <v>59031</v>
      </c>
      <c r="F19354" t="s">
        <v>59032</v>
      </c>
      <c r="I19354" t="s">
        <v>184</v>
      </c>
      <c r="J19354" t="s">
        <v>30</v>
      </c>
      <c r="K19354" t="s">
        <v>26536</v>
      </c>
      <c r="M19354" t="s">
        <v>17861</v>
      </c>
      <c r="N19354" t="str">
        <f>"5/15/2023 3:14:00 PM"</f>
        <v>5/15/2023 3:14:00 PM</v>
      </c>
      <c r="O19354" t="s">
        <v>59030</v>
      </c>
      <c r="T19354" t="s">
        <v>59031</v>
      </c>
    </row>
    <row r="19355" spans="1:20" x14ac:dyDescent="0.25">
      <c r="A19355" t="str">
        <f>"3050348"</f>
        <v>3050348</v>
      </c>
      <c r="B19355" t="s">
        <v>59234</v>
      </c>
      <c r="C19355" t="str">
        <f>"8320248"</f>
        <v>8320248</v>
      </c>
      <c r="D19355" t="s">
        <v>59235</v>
      </c>
      <c r="E19355" t="s">
        <v>59236</v>
      </c>
      <c r="F19355" t="s">
        <v>59237</v>
      </c>
      <c r="I19355" t="s">
        <v>29</v>
      </c>
      <c r="J19355" t="s">
        <v>30</v>
      </c>
      <c r="K19355" t="s">
        <v>12411</v>
      </c>
      <c r="M19355" t="s">
        <v>17861</v>
      </c>
      <c r="N19355" t="str">
        <f>"5/16/2023 4:12:00 PM"</f>
        <v>5/16/2023 4:12:00 PM</v>
      </c>
      <c r="O19355" t="s">
        <v>59235</v>
      </c>
      <c r="T19355" t="s">
        <v>59236</v>
      </c>
    </row>
    <row r="19356" spans="1:20" x14ac:dyDescent="0.25">
      <c r="A19356" t="str">
        <f>"3044928"</f>
        <v>3044928</v>
      </c>
      <c r="B19356" t="s">
        <v>59238</v>
      </c>
      <c r="C19356" t="str">
        <f>"8320251"</f>
        <v>8320251</v>
      </c>
      <c r="D19356" t="s">
        <v>59059</v>
      </c>
      <c r="E19356" t="s">
        <v>59239</v>
      </c>
      <c r="F19356" t="s">
        <v>14817</v>
      </c>
      <c r="I19356" t="s">
        <v>29</v>
      </c>
      <c r="J19356" t="s">
        <v>30</v>
      </c>
      <c r="K19356" t="s">
        <v>37067</v>
      </c>
      <c r="M19356" t="s">
        <v>17861</v>
      </c>
      <c r="N19356" t="str">
        <f>"5/17/2023 1:14:00 PM"</f>
        <v>5/17/2023 1:14:00 PM</v>
      </c>
      <c r="O19356" t="s">
        <v>59059</v>
      </c>
      <c r="T19356" t="s">
        <v>59239</v>
      </c>
    </row>
    <row r="19357" spans="1:20" x14ac:dyDescent="0.25">
      <c r="A19357" t="str">
        <f>"3069817"</f>
        <v>3069817</v>
      </c>
      <c r="B19357" t="s">
        <v>59240</v>
      </c>
      <c r="C19357" t="str">
        <f>"8320255"</f>
        <v>8320255</v>
      </c>
      <c r="D19357" t="s">
        <v>59241</v>
      </c>
      <c r="E19357" t="s">
        <v>59242</v>
      </c>
      <c r="F19357" t="s">
        <v>59243</v>
      </c>
      <c r="I19357" t="s">
        <v>9580</v>
      </c>
      <c r="J19357" t="s">
        <v>30</v>
      </c>
      <c r="K19357" t="s">
        <v>59244</v>
      </c>
      <c r="M19357" t="s">
        <v>17861</v>
      </c>
      <c r="N19357" t="str">
        <f>"5/18/2023 9:16:00 AM"</f>
        <v>5/18/2023 9:16:00 AM</v>
      </c>
      <c r="O19357" t="s">
        <v>59241</v>
      </c>
      <c r="T19357" t="s">
        <v>59242</v>
      </c>
    </row>
    <row r="19358" spans="1:20" x14ac:dyDescent="0.25">
      <c r="A19358" t="str">
        <f>"3043965"</f>
        <v>3043965</v>
      </c>
      <c r="B19358" t="s">
        <v>59245</v>
      </c>
      <c r="C19358" t="str">
        <f>"8317761"</f>
        <v>8317761</v>
      </c>
      <c r="D19358" t="s">
        <v>59246</v>
      </c>
      <c r="E19358" t="s">
        <v>59247</v>
      </c>
      <c r="F19358" t="s">
        <v>7556</v>
      </c>
      <c r="I19358" t="s">
        <v>184</v>
      </c>
      <c r="J19358" t="s">
        <v>30</v>
      </c>
      <c r="K19358" t="str">
        <f>"27006"</f>
        <v>27006</v>
      </c>
      <c r="M19358" t="s">
        <v>25733</v>
      </c>
      <c r="N19358" t="str">
        <f>"5/24/2023 9:25:00 AM"</f>
        <v>5/24/2023 9:25:00 AM</v>
      </c>
      <c r="O19358" t="s">
        <v>59246</v>
      </c>
      <c r="T19358" t="s">
        <v>59247</v>
      </c>
    </row>
    <row r="19359" spans="1:20" x14ac:dyDescent="0.25">
      <c r="A19359" t="str">
        <f>"3054974"</f>
        <v>3054974</v>
      </c>
      <c r="B19359" t="s">
        <v>59248</v>
      </c>
      <c r="C19359" t="str">
        <f>"8320278"</f>
        <v>8320278</v>
      </c>
      <c r="D19359" t="s">
        <v>59249</v>
      </c>
      <c r="E19359" t="str">
        <f>"IRWIN JAMES D/MIN S TRUSTEES"</f>
        <v>IRWIN JAMES D/MIN S TRUSTEES</v>
      </c>
      <c r="F19359" t="s">
        <v>59250</v>
      </c>
      <c r="I19359" t="s">
        <v>29</v>
      </c>
      <c r="J19359" t="s">
        <v>30</v>
      </c>
      <c r="K19359" t="s">
        <v>59251</v>
      </c>
      <c r="M19359" t="s">
        <v>17861</v>
      </c>
      <c r="N19359" t="str">
        <f>"5/24/2023 2:10:00 PM"</f>
        <v>5/24/2023 2:10:00 PM</v>
      </c>
      <c r="O19359" t="s">
        <v>59249</v>
      </c>
      <c r="T19359" t="str">
        <f>"IRWIN JAMES D/MIN S TRUSTEES"</f>
        <v>IRWIN JAMES D/MIN S TRUSTEES</v>
      </c>
    </row>
    <row r="19360" spans="1:20" x14ac:dyDescent="0.25">
      <c r="A19360" t="str">
        <f>"3052994"</f>
        <v>3052994</v>
      </c>
      <c r="B19360" t="s">
        <v>59252</v>
      </c>
      <c r="C19360" t="str">
        <f>"8320265"</f>
        <v>8320265</v>
      </c>
      <c r="D19360" t="s">
        <v>59253</v>
      </c>
      <c r="E19360" t="s">
        <v>59254</v>
      </c>
      <c r="F19360" t="s">
        <v>59255</v>
      </c>
      <c r="I19360" t="s">
        <v>471</v>
      </c>
      <c r="J19360" t="s">
        <v>30</v>
      </c>
      <c r="K19360" t="s">
        <v>59256</v>
      </c>
      <c r="M19360" t="s">
        <v>17861</v>
      </c>
      <c r="N19360" t="str">
        <f>"5/19/2023 2:14:00 PM"</f>
        <v>5/19/2023 2:14:00 PM</v>
      </c>
      <c r="O19360" t="s">
        <v>59253</v>
      </c>
      <c r="T19360" t="s">
        <v>59254</v>
      </c>
    </row>
    <row r="19361" spans="1:20" x14ac:dyDescent="0.25">
      <c r="A19361" t="str">
        <f>"3061820"</f>
        <v>3061820</v>
      </c>
      <c r="B19361" t="s">
        <v>59257</v>
      </c>
      <c r="C19361" t="str">
        <f>"8320267"</f>
        <v>8320267</v>
      </c>
      <c r="D19361" t="s">
        <v>59258</v>
      </c>
      <c r="E19361" t="s">
        <v>59259</v>
      </c>
      <c r="F19361" t="s">
        <v>59260</v>
      </c>
      <c r="I19361" t="s">
        <v>184</v>
      </c>
      <c r="J19361" t="s">
        <v>30</v>
      </c>
      <c r="K19361" t="s">
        <v>58030</v>
      </c>
      <c r="M19361" t="s">
        <v>17861</v>
      </c>
      <c r="N19361" t="str">
        <f>"5/22/2023 10:37:00 AM"</f>
        <v>5/22/2023 10:37:00 AM</v>
      </c>
      <c r="O19361" t="s">
        <v>59258</v>
      </c>
      <c r="T19361" t="s">
        <v>59259</v>
      </c>
    </row>
    <row r="19362" spans="1:20" x14ac:dyDescent="0.25">
      <c r="A19362" t="str">
        <f>"3048785"</f>
        <v>3048785</v>
      </c>
      <c r="B19362" t="s">
        <v>59261</v>
      </c>
      <c r="C19362" t="str">
        <f>"8320268"</f>
        <v>8320268</v>
      </c>
      <c r="D19362" t="s">
        <v>59262</v>
      </c>
      <c r="E19362" t="s">
        <v>59263</v>
      </c>
      <c r="F19362" t="s">
        <v>59264</v>
      </c>
      <c r="I19362" t="s">
        <v>29</v>
      </c>
      <c r="J19362" t="s">
        <v>30</v>
      </c>
      <c r="K19362" t="s">
        <v>12043</v>
      </c>
      <c r="M19362" t="s">
        <v>17861</v>
      </c>
      <c r="N19362" t="str">
        <f>"5/22/2023 11:13:00 AM"</f>
        <v>5/22/2023 11:13:00 AM</v>
      </c>
      <c r="O19362" t="s">
        <v>59262</v>
      </c>
      <c r="T19362" t="s">
        <v>59263</v>
      </c>
    </row>
    <row r="19363" spans="1:20" x14ac:dyDescent="0.25">
      <c r="A19363" t="str">
        <f>"3054113"</f>
        <v>3054113</v>
      </c>
      <c r="B19363" t="s">
        <v>59265</v>
      </c>
      <c r="C19363" t="str">
        <f>"8320269"</f>
        <v>8320269</v>
      </c>
      <c r="D19363" t="s">
        <v>59266</v>
      </c>
      <c r="F19363" t="s">
        <v>59267</v>
      </c>
      <c r="I19363" t="s">
        <v>29</v>
      </c>
      <c r="J19363" t="s">
        <v>30</v>
      </c>
      <c r="K19363" t="s">
        <v>43608</v>
      </c>
      <c r="M19363" t="s">
        <v>17861</v>
      </c>
      <c r="N19363" t="str">
        <f>"5/22/2023 1:00:00 PM"</f>
        <v>5/22/2023 1:00:00 PM</v>
      </c>
      <c r="O19363" t="s">
        <v>59266</v>
      </c>
    </row>
    <row r="19364" spans="1:20" x14ac:dyDescent="0.25">
      <c r="A19364" t="str">
        <f>"3060095"</f>
        <v>3060095</v>
      </c>
      <c r="B19364" t="s">
        <v>59268</v>
      </c>
      <c r="C19364" t="str">
        <f>"8320270"</f>
        <v>8320270</v>
      </c>
      <c r="D19364" t="s">
        <v>59269</v>
      </c>
      <c r="E19364" t="s">
        <v>59270</v>
      </c>
      <c r="F19364" t="s">
        <v>59271</v>
      </c>
      <c r="I19364" t="s">
        <v>184</v>
      </c>
      <c r="J19364" t="s">
        <v>30</v>
      </c>
      <c r="K19364" t="s">
        <v>10737</v>
      </c>
      <c r="M19364" t="s">
        <v>17861</v>
      </c>
      <c r="N19364" t="str">
        <f>"5/22/2023 1:04:00 PM"</f>
        <v>5/22/2023 1:04:00 PM</v>
      </c>
      <c r="O19364" t="s">
        <v>59269</v>
      </c>
      <c r="T19364" t="s">
        <v>59270</v>
      </c>
    </row>
    <row r="19365" spans="1:20" x14ac:dyDescent="0.25">
      <c r="A19365" t="str">
        <f>"3060342"</f>
        <v>3060342</v>
      </c>
      <c r="B19365" t="s">
        <v>59272</v>
      </c>
      <c r="C19365" t="str">
        <f>"8320304"</f>
        <v>8320304</v>
      </c>
      <c r="D19365" t="s">
        <v>59273</v>
      </c>
      <c r="F19365" t="s">
        <v>59274</v>
      </c>
      <c r="I19365" t="s">
        <v>29</v>
      </c>
      <c r="J19365" t="s">
        <v>30</v>
      </c>
      <c r="K19365" t="s">
        <v>1413</v>
      </c>
      <c r="M19365" t="s">
        <v>17861</v>
      </c>
      <c r="N19365" t="str">
        <f>"5/30/2023 2:51:00 PM"</f>
        <v>5/30/2023 2:51:00 PM</v>
      </c>
      <c r="O19365" t="s">
        <v>59273</v>
      </c>
    </row>
    <row r="19366" spans="1:20" x14ac:dyDescent="0.25">
      <c r="A19366" t="str">
        <f>"3044978"</f>
        <v>3044978</v>
      </c>
      <c r="B19366" t="s">
        <v>59275</v>
      </c>
      <c r="C19366" t="str">
        <f>"8320309"</f>
        <v>8320309</v>
      </c>
      <c r="D19366" t="str">
        <f>"BRANHAM GEORGE M/PAMELA T TRUSTEES"</f>
        <v>BRANHAM GEORGE M/PAMELA T TRUSTEES</v>
      </c>
      <c r="E19366" t="str">
        <f>"BRANHAM GEORGEM/PAMELA T REV L"</f>
        <v>BRANHAM GEORGEM/PAMELA T REV L</v>
      </c>
      <c r="F19366" t="s">
        <v>59276</v>
      </c>
      <c r="I19366" t="s">
        <v>29</v>
      </c>
      <c r="J19366" t="s">
        <v>30</v>
      </c>
      <c r="K19366" t="s">
        <v>7800</v>
      </c>
      <c r="M19366" t="s">
        <v>17861</v>
      </c>
      <c r="N19366" t="str">
        <f>"5/31/2023 12:52:00 PM"</f>
        <v>5/31/2023 12:52:00 PM</v>
      </c>
      <c r="O19366" t="str">
        <f>"BRANHAM GEORGE M/PAMELA T TRUSTEES"</f>
        <v>BRANHAM GEORGE M/PAMELA T TRUSTEES</v>
      </c>
      <c r="T19366" t="str">
        <f>"BRANHAM GEORGEM/PAMELA T REV L"</f>
        <v>BRANHAM GEORGEM/PAMELA T REV L</v>
      </c>
    </row>
    <row r="19367" spans="1:20" x14ac:dyDescent="0.25">
      <c r="A19367" t="str">
        <f>"3039260"</f>
        <v>3039260</v>
      </c>
      <c r="B19367" t="s">
        <v>59277</v>
      </c>
      <c r="C19367" t="str">
        <f>"8320310"</f>
        <v>8320310</v>
      </c>
      <c r="D19367" t="s">
        <v>59278</v>
      </c>
      <c r="F19367" t="s">
        <v>59279</v>
      </c>
      <c r="I19367" t="s">
        <v>29</v>
      </c>
      <c r="J19367" t="s">
        <v>30</v>
      </c>
      <c r="K19367" t="s">
        <v>46712</v>
      </c>
      <c r="M19367" t="s">
        <v>17861</v>
      </c>
      <c r="N19367" t="str">
        <f>"5/31/2023 12:58:00 PM"</f>
        <v>5/31/2023 12:58:00 PM</v>
      </c>
      <c r="O19367" t="s">
        <v>59278</v>
      </c>
    </row>
    <row r="19368" spans="1:20" x14ac:dyDescent="0.25">
      <c r="A19368" t="str">
        <f>"3078063"</f>
        <v>3078063</v>
      </c>
      <c r="B19368" t="s">
        <v>59280</v>
      </c>
      <c r="C19368" t="str">
        <f>"8320311"</f>
        <v>8320311</v>
      </c>
      <c r="D19368" t="s">
        <v>59281</v>
      </c>
      <c r="F19368" t="s">
        <v>59282</v>
      </c>
      <c r="I19368" t="s">
        <v>29</v>
      </c>
      <c r="J19368" t="s">
        <v>30</v>
      </c>
      <c r="K19368" t="s">
        <v>31015</v>
      </c>
      <c r="M19368" t="s">
        <v>17861</v>
      </c>
      <c r="N19368" t="str">
        <f>"5/31/2023 1:13:00 PM"</f>
        <v>5/31/2023 1:13:00 PM</v>
      </c>
      <c r="O19368" t="s">
        <v>59281</v>
      </c>
    </row>
    <row r="19369" spans="1:20" x14ac:dyDescent="0.25">
      <c r="A19369" t="str">
        <f>"3078069"</f>
        <v>3078069</v>
      </c>
      <c r="B19369" t="s">
        <v>59283</v>
      </c>
      <c r="C19369" t="str">
        <f>"8320311"</f>
        <v>8320311</v>
      </c>
      <c r="D19369" t="s">
        <v>59281</v>
      </c>
      <c r="F19369" t="s">
        <v>59282</v>
      </c>
      <c r="I19369" t="s">
        <v>29</v>
      </c>
      <c r="J19369" t="s">
        <v>30</v>
      </c>
      <c r="K19369" t="s">
        <v>31015</v>
      </c>
      <c r="M19369" t="s">
        <v>17861</v>
      </c>
      <c r="N19369" t="str">
        <f>"5/31/2023 1:13:00 PM"</f>
        <v>5/31/2023 1:13:00 PM</v>
      </c>
      <c r="O19369" t="s">
        <v>59281</v>
      </c>
    </row>
    <row r="19370" spans="1:20" x14ac:dyDescent="0.25">
      <c r="A19370" t="str">
        <f>"3078060"</f>
        <v>3078060</v>
      </c>
      <c r="B19370" t="s">
        <v>59284</v>
      </c>
      <c r="C19370" t="str">
        <f>"8320311"</f>
        <v>8320311</v>
      </c>
      <c r="D19370" t="s">
        <v>59281</v>
      </c>
      <c r="F19370" t="s">
        <v>59282</v>
      </c>
      <c r="I19370" t="s">
        <v>29</v>
      </c>
      <c r="J19370" t="s">
        <v>30</v>
      </c>
      <c r="K19370" t="s">
        <v>31015</v>
      </c>
      <c r="M19370" t="s">
        <v>17861</v>
      </c>
      <c r="N19370" t="str">
        <f>"5/31/2023 1:13:00 PM"</f>
        <v>5/31/2023 1:13:00 PM</v>
      </c>
      <c r="O19370" t="s">
        <v>59281</v>
      </c>
    </row>
    <row r="19371" spans="1:20" x14ac:dyDescent="0.25">
      <c r="A19371" t="str">
        <f>"3047959"</f>
        <v>3047959</v>
      </c>
      <c r="B19371" t="s">
        <v>59285</v>
      </c>
      <c r="C19371" t="str">
        <f>"8320312"</f>
        <v>8320312</v>
      </c>
      <c r="D19371" t="s">
        <v>59286</v>
      </c>
      <c r="F19371" t="s">
        <v>59287</v>
      </c>
      <c r="I19371" t="s">
        <v>29</v>
      </c>
      <c r="J19371" t="s">
        <v>30</v>
      </c>
      <c r="K19371" t="s">
        <v>39803</v>
      </c>
      <c r="M19371" t="s">
        <v>17861</v>
      </c>
      <c r="N19371" t="str">
        <f>"5/31/2023 1:20:00 PM"</f>
        <v>5/31/2023 1:20:00 PM</v>
      </c>
      <c r="O19371" t="s">
        <v>59286</v>
      </c>
    </row>
    <row r="19372" spans="1:20" x14ac:dyDescent="0.25">
      <c r="A19372" t="str">
        <f>"3064897"</f>
        <v>3064897</v>
      </c>
      <c r="B19372" t="s">
        <v>59288</v>
      </c>
      <c r="C19372" t="str">
        <f>"8320306"</f>
        <v>8320306</v>
      </c>
      <c r="D19372" t="s">
        <v>59289</v>
      </c>
      <c r="E19372" t="s">
        <v>59290</v>
      </c>
      <c r="F19372" t="s">
        <v>59291</v>
      </c>
      <c r="I19372" t="s">
        <v>184</v>
      </c>
      <c r="J19372" t="s">
        <v>30</v>
      </c>
      <c r="K19372" t="str">
        <f>"27006"</f>
        <v>27006</v>
      </c>
      <c r="M19372" t="s">
        <v>17861</v>
      </c>
      <c r="N19372" t="str">
        <f>"5/31/2023 9:31:00 AM"</f>
        <v>5/31/2023 9:31:00 AM</v>
      </c>
      <c r="O19372" t="s">
        <v>59289</v>
      </c>
      <c r="T19372" t="s">
        <v>59290</v>
      </c>
    </row>
    <row r="19373" spans="1:20" x14ac:dyDescent="0.25">
      <c r="A19373" t="str">
        <f>"3041490"</f>
        <v>3041490</v>
      </c>
      <c r="B19373" t="s">
        <v>59292</v>
      </c>
      <c r="C19373" t="str">
        <f>"8320314"</f>
        <v>8320314</v>
      </c>
      <c r="D19373" t="s">
        <v>59293</v>
      </c>
      <c r="E19373" t="s">
        <v>59294</v>
      </c>
      <c r="F19373" t="s">
        <v>59295</v>
      </c>
      <c r="I19373" t="s">
        <v>2071</v>
      </c>
      <c r="J19373" t="s">
        <v>30</v>
      </c>
      <c r="K19373" t="s">
        <v>38176</v>
      </c>
      <c r="M19373" t="s">
        <v>17861</v>
      </c>
      <c r="N19373" t="str">
        <f>"5/31/2023 1:57:00 PM"</f>
        <v>5/31/2023 1:57:00 PM</v>
      </c>
      <c r="O19373" t="s">
        <v>59293</v>
      </c>
      <c r="T19373" t="s">
        <v>59294</v>
      </c>
    </row>
    <row r="19374" spans="1:20" x14ac:dyDescent="0.25">
      <c r="A19374" t="str">
        <f>"3060287"</f>
        <v>3060287</v>
      </c>
      <c r="B19374" t="s">
        <v>59296</v>
      </c>
      <c r="C19374" t="str">
        <f>"8320315"</f>
        <v>8320315</v>
      </c>
      <c r="D19374" t="s">
        <v>59297</v>
      </c>
      <c r="E19374" t="s">
        <v>59298</v>
      </c>
      <c r="F19374" t="s">
        <v>59299</v>
      </c>
      <c r="I19374" t="s">
        <v>184</v>
      </c>
      <c r="J19374" t="s">
        <v>30</v>
      </c>
      <c r="K19374" t="s">
        <v>38676</v>
      </c>
      <c r="M19374" t="s">
        <v>17861</v>
      </c>
      <c r="N19374" t="str">
        <f>"5/31/2023 2:01:00 PM"</f>
        <v>5/31/2023 2:01:00 PM</v>
      </c>
      <c r="O19374" t="s">
        <v>59297</v>
      </c>
      <c r="T19374" t="s">
        <v>59298</v>
      </c>
    </row>
    <row r="19375" spans="1:20" x14ac:dyDescent="0.25">
      <c r="A19375" t="str">
        <f>"3046260"</f>
        <v>3046260</v>
      </c>
      <c r="B19375" t="s">
        <v>59300</v>
      </c>
      <c r="C19375" t="str">
        <f>"8320316"</f>
        <v>8320316</v>
      </c>
      <c r="D19375" t="s">
        <v>59301</v>
      </c>
      <c r="F19375" t="s">
        <v>59302</v>
      </c>
      <c r="I19375" t="s">
        <v>29</v>
      </c>
      <c r="J19375" t="s">
        <v>30</v>
      </c>
      <c r="K19375" t="s">
        <v>44802</v>
      </c>
      <c r="M19375" t="s">
        <v>17861</v>
      </c>
      <c r="N19375" t="str">
        <f>"5/31/2023 2:04:00 PM"</f>
        <v>5/31/2023 2:04:00 PM</v>
      </c>
      <c r="O19375" t="s">
        <v>59301</v>
      </c>
    </row>
    <row r="19376" spans="1:20" x14ac:dyDescent="0.25">
      <c r="A19376" t="str">
        <f>"3056401"</f>
        <v>3056401</v>
      </c>
      <c r="B19376" t="s">
        <v>59303</v>
      </c>
      <c r="C19376" t="str">
        <f>"8320318"</f>
        <v>8320318</v>
      </c>
      <c r="D19376" t="s">
        <v>59304</v>
      </c>
      <c r="F19376" t="s">
        <v>59305</v>
      </c>
      <c r="I19376" t="s">
        <v>29</v>
      </c>
      <c r="J19376" t="s">
        <v>30</v>
      </c>
      <c r="K19376" t="s">
        <v>19844</v>
      </c>
      <c r="M19376" t="s">
        <v>17861</v>
      </c>
      <c r="N19376" t="str">
        <f>"6/1/2023 8:44:00 AM"</f>
        <v>6/1/2023 8:44:00 AM</v>
      </c>
      <c r="O19376" t="s">
        <v>59304</v>
      </c>
    </row>
    <row r="19377" spans="1:20" x14ac:dyDescent="0.25">
      <c r="A19377" t="str">
        <f>"3053762"</f>
        <v>3053762</v>
      </c>
      <c r="B19377" t="s">
        <v>59306</v>
      </c>
      <c r="C19377" t="str">
        <f>"8320320"</f>
        <v>8320320</v>
      </c>
      <c r="D19377" t="s">
        <v>59307</v>
      </c>
      <c r="E19377" t="s">
        <v>59308</v>
      </c>
      <c r="F19377" t="s">
        <v>40149</v>
      </c>
      <c r="I19377" t="s">
        <v>29</v>
      </c>
      <c r="J19377" t="s">
        <v>30</v>
      </c>
      <c r="K19377" t="s">
        <v>14976</v>
      </c>
      <c r="M19377" t="s">
        <v>17861</v>
      </c>
      <c r="N19377" t="str">
        <f>"6/1/2023 4:04:00 PM"</f>
        <v>6/1/2023 4:04:00 PM</v>
      </c>
      <c r="O19377" t="s">
        <v>59307</v>
      </c>
      <c r="T19377" t="s">
        <v>59308</v>
      </c>
    </row>
    <row r="19378" spans="1:20" x14ac:dyDescent="0.25">
      <c r="A19378" t="str">
        <f>"3051841"</f>
        <v>3051841</v>
      </c>
      <c r="B19378" t="s">
        <v>59309</v>
      </c>
      <c r="C19378" t="str">
        <f>"8320321"</f>
        <v>8320321</v>
      </c>
      <c r="D19378" t="s">
        <v>59310</v>
      </c>
      <c r="F19378" t="s">
        <v>59311</v>
      </c>
      <c r="I19378" t="s">
        <v>29</v>
      </c>
      <c r="J19378" t="s">
        <v>30</v>
      </c>
      <c r="K19378" t="s">
        <v>59312</v>
      </c>
      <c r="M19378" t="s">
        <v>17861</v>
      </c>
      <c r="N19378" t="str">
        <f>"6/1/2023 4:06:00 PM"</f>
        <v>6/1/2023 4:06:00 PM</v>
      </c>
      <c r="O19378" t="s">
        <v>59310</v>
      </c>
    </row>
    <row r="19379" spans="1:20" x14ac:dyDescent="0.25">
      <c r="A19379" t="str">
        <f>"3049705"</f>
        <v>3049705</v>
      </c>
      <c r="B19379" t="s">
        <v>59313</v>
      </c>
      <c r="C19379" t="str">
        <f>"8320322"</f>
        <v>8320322</v>
      </c>
      <c r="D19379" t="s">
        <v>59314</v>
      </c>
      <c r="E19379" t="s">
        <v>59315</v>
      </c>
      <c r="F19379" t="s">
        <v>59316</v>
      </c>
      <c r="I19379" t="s">
        <v>29</v>
      </c>
      <c r="J19379" t="s">
        <v>30</v>
      </c>
      <c r="K19379" t="s">
        <v>39112</v>
      </c>
      <c r="M19379" t="s">
        <v>17861</v>
      </c>
      <c r="N19379" t="str">
        <f>"6/1/2023 4:09:00 PM"</f>
        <v>6/1/2023 4:09:00 PM</v>
      </c>
      <c r="O19379" t="s">
        <v>59314</v>
      </c>
      <c r="T19379" t="s">
        <v>59315</v>
      </c>
    </row>
    <row r="19380" spans="1:20" x14ac:dyDescent="0.25">
      <c r="A19380" t="str">
        <f>"3049605"</f>
        <v>3049605</v>
      </c>
      <c r="B19380" t="s">
        <v>59317</v>
      </c>
      <c r="C19380" t="str">
        <f>"8320322"</f>
        <v>8320322</v>
      </c>
      <c r="D19380" t="s">
        <v>59314</v>
      </c>
      <c r="E19380" t="s">
        <v>59315</v>
      </c>
      <c r="F19380" t="s">
        <v>59316</v>
      </c>
      <c r="I19380" t="s">
        <v>29</v>
      </c>
      <c r="J19380" t="s">
        <v>30</v>
      </c>
      <c r="K19380" t="s">
        <v>39112</v>
      </c>
      <c r="M19380" t="s">
        <v>17861</v>
      </c>
      <c r="N19380" t="str">
        <f>"6/1/2023 4:09:00 PM"</f>
        <v>6/1/2023 4:09:00 PM</v>
      </c>
      <c r="O19380" t="s">
        <v>59314</v>
      </c>
      <c r="T19380" t="s">
        <v>59315</v>
      </c>
    </row>
    <row r="19381" spans="1:20" x14ac:dyDescent="0.25">
      <c r="A19381" t="str">
        <f>"3049947"</f>
        <v>3049947</v>
      </c>
      <c r="B19381" t="s">
        <v>59318</v>
      </c>
      <c r="C19381" t="str">
        <f>"8320322"</f>
        <v>8320322</v>
      </c>
      <c r="D19381" t="s">
        <v>59314</v>
      </c>
      <c r="E19381" t="s">
        <v>59315</v>
      </c>
      <c r="F19381" t="s">
        <v>59316</v>
      </c>
      <c r="I19381" t="s">
        <v>29</v>
      </c>
      <c r="J19381" t="s">
        <v>30</v>
      </c>
      <c r="K19381" t="s">
        <v>39112</v>
      </c>
      <c r="M19381" t="s">
        <v>17861</v>
      </c>
      <c r="N19381" t="str">
        <f>"6/1/2023 4:09:00 PM"</f>
        <v>6/1/2023 4:09:00 PM</v>
      </c>
      <c r="O19381" t="s">
        <v>59314</v>
      </c>
      <c r="T19381" t="s">
        <v>59315</v>
      </c>
    </row>
    <row r="19382" spans="1:20" x14ac:dyDescent="0.25">
      <c r="A19382" t="str">
        <f>"3045774"</f>
        <v>3045774</v>
      </c>
      <c r="B19382" t="s">
        <v>59319</v>
      </c>
      <c r="C19382" t="str">
        <f>"8320323"</f>
        <v>8320323</v>
      </c>
      <c r="D19382" t="s">
        <v>59320</v>
      </c>
      <c r="E19382" t="s">
        <v>59321</v>
      </c>
      <c r="F19382" t="s">
        <v>59322</v>
      </c>
      <c r="I19382" t="s">
        <v>1107</v>
      </c>
      <c r="J19382" t="s">
        <v>30</v>
      </c>
      <c r="K19382" t="s">
        <v>59323</v>
      </c>
      <c r="M19382" t="s">
        <v>17861</v>
      </c>
      <c r="N19382" t="str">
        <f>"6/2/2023 8:41:00 AM"</f>
        <v>6/2/2023 8:41:00 AM</v>
      </c>
      <c r="O19382" t="s">
        <v>59320</v>
      </c>
      <c r="T19382" t="s">
        <v>59321</v>
      </c>
    </row>
    <row r="19383" spans="1:20" x14ac:dyDescent="0.25">
      <c r="A19383" t="str">
        <f>"3040573"</f>
        <v>3040573</v>
      </c>
      <c r="B19383" t="s">
        <v>59324</v>
      </c>
      <c r="C19383" t="str">
        <f>"8320324"</f>
        <v>8320324</v>
      </c>
      <c r="D19383" t="s">
        <v>59325</v>
      </c>
      <c r="E19383" t="s">
        <v>59326</v>
      </c>
      <c r="F19383" t="s">
        <v>59327</v>
      </c>
      <c r="I19383" t="s">
        <v>184</v>
      </c>
      <c r="J19383" t="s">
        <v>30</v>
      </c>
      <c r="K19383" t="s">
        <v>3313</v>
      </c>
      <c r="M19383" t="s">
        <v>17861</v>
      </c>
      <c r="N19383" t="str">
        <f>"6/2/2023 8:45:00 AM"</f>
        <v>6/2/2023 8:45:00 AM</v>
      </c>
      <c r="O19383" t="s">
        <v>59325</v>
      </c>
      <c r="T19383" t="s">
        <v>59326</v>
      </c>
    </row>
    <row r="19384" spans="1:20" x14ac:dyDescent="0.25">
      <c r="A19384" t="str">
        <f>"3039922"</f>
        <v>3039922</v>
      </c>
      <c r="B19384" t="s">
        <v>59328</v>
      </c>
      <c r="C19384" t="str">
        <f>"8320291"</f>
        <v>8320291</v>
      </c>
      <c r="D19384" t="s">
        <v>59329</v>
      </c>
      <c r="F19384" t="s">
        <v>59330</v>
      </c>
      <c r="I19384" t="s">
        <v>59331</v>
      </c>
      <c r="J19384" t="s">
        <v>30</v>
      </c>
      <c r="K19384" t="s">
        <v>59332</v>
      </c>
      <c r="M19384" t="s">
        <v>17861</v>
      </c>
      <c r="N19384" t="str">
        <f>"5/26/2023 9:26:00 AM"</f>
        <v>5/26/2023 9:26:00 AM</v>
      </c>
      <c r="O19384" t="s">
        <v>59329</v>
      </c>
    </row>
    <row r="19385" spans="1:20" x14ac:dyDescent="0.25">
      <c r="A19385" t="str">
        <f>"3039923"</f>
        <v>3039923</v>
      </c>
      <c r="B19385" t="s">
        <v>59333</v>
      </c>
      <c r="C19385" t="str">
        <f>"8320291"</f>
        <v>8320291</v>
      </c>
      <c r="D19385" t="s">
        <v>59329</v>
      </c>
      <c r="F19385" t="s">
        <v>59330</v>
      </c>
      <c r="I19385" t="s">
        <v>59331</v>
      </c>
      <c r="J19385" t="s">
        <v>30</v>
      </c>
      <c r="K19385" t="s">
        <v>59332</v>
      </c>
      <c r="M19385" t="s">
        <v>17861</v>
      </c>
      <c r="N19385" t="str">
        <f>"5/26/2023 9:26:00 AM"</f>
        <v>5/26/2023 9:26:00 AM</v>
      </c>
      <c r="O19385" t="s">
        <v>59329</v>
      </c>
    </row>
    <row r="19386" spans="1:20" x14ac:dyDescent="0.25">
      <c r="A19386" t="str">
        <f>"3058364"</f>
        <v>3058364</v>
      </c>
      <c r="B19386" t="s">
        <v>59334</v>
      </c>
      <c r="C19386" t="str">
        <f>"8320293"</f>
        <v>8320293</v>
      </c>
      <c r="D19386" t="s">
        <v>59335</v>
      </c>
      <c r="F19386" t="s">
        <v>59336</v>
      </c>
      <c r="I19386" t="s">
        <v>29</v>
      </c>
      <c r="J19386" t="s">
        <v>30</v>
      </c>
      <c r="K19386" t="s">
        <v>56884</v>
      </c>
      <c r="M19386" t="s">
        <v>17861</v>
      </c>
      <c r="N19386" t="str">
        <f>"5/26/2023 1:03:00 PM"</f>
        <v>5/26/2023 1:03:00 PM</v>
      </c>
      <c r="O19386" t="s">
        <v>59335</v>
      </c>
    </row>
    <row r="19387" spans="1:20" x14ac:dyDescent="0.25">
      <c r="A19387" t="str">
        <f>"3056266"</f>
        <v>3056266</v>
      </c>
      <c r="B19387" t="s">
        <v>59337</v>
      </c>
      <c r="C19387" t="str">
        <f>"8320295"</f>
        <v>8320295</v>
      </c>
      <c r="D19387" t="s">
        <v>59338</v>
      </c>
      <c r="E19387" t="s">
        <v>59339</v>
      </c>
      <c r="F19387" t="s">
        <v>59340</v>
      </c>
      <c r="I19387" t="s">
        <v>29</v>
      </c>
      <c r="J19387" t="s">
        <v>30</v>
      </c>
      <c r="K19387" t="s">
        <v>19844</v>
      </c>
      <c r="M19387" t="s">
        <v>17861</v>
      </c>
      <c r="N19387" t="str">
        <f>"5/26/2023 2:49:00 PM"</f>
        <v>5/26/2023 2:49:00 PM</v>
      </c>
      <c r="O19387" t="s">
        <v>59338</v>
      </c>
      <c r="T19387" t="s">
        <v>59339</v>
      </c>
    </row>
    <row r="19388" spans="1:20" x14ac:dyDescent="0.25">
      <c r="A19388" t="str">
        <f>"3066894"</f>
        <v>3066894</v>
      </c>
      <c r="B19388" t="s">
        <v>59341</v>
      </c>
      <c r="C19388" t="str">
        <f>"8320296"</f>
        <v>8320296</v>
      </c>
      <c r="D19388" t="s">
        <v>59342</v>
      </c>
      <c r="E19388" t="s">
        <v>59343</v>
      </c>
      <c r="F19388" t="s">
        <v>59344</v>
      </c>
      <c r="I19388" t="s">
        <v>184</v>
      </c>
      <c r="J19388" t="s">
        <v>30</v>
      </c>
      <c r="K19388" t="s">
        <v>6136</v>
      </c>
      <c r="M19388" t="s">
        <v>17861</v>
      </c>
      <c r="N19388" t="str">
        <f>"5/26/2023 3:58:00 PM"</f>
        <v>5/26/2023 3:58:00 PM</v>
      </c>
      <c r="O19388" t="s">
        <v>59342</v>
      </c>
      <c r="T19388" t="s">
        <v>59343</v>
      </c>
    </row>
    <row r="19389" spans="1:20" x14ac:dyDescent="0.25">
      <c r="A19389" t="str">
        <f>"3059288"</f>
        <v>3059288</v>
      </c>
      <c r="B19389" t="s">
        <v>59345</v>
      </c>
      <c r="C19389" t="str">
        <f>"8320297"</f>
        <v>8320297</v>
      </c>
      <c r="D19389" t="s">
        <v>59346</v>
      </c>
      <c r="E19389" t="s">
        <v>59347</v>
      </c>
      <c r="F19389" t="s">
        <v>59348</v>
      </c>
      <c r="I19389" t="s">
        <v>29</v>
      </c>
      <c r="J19389" t="s">
        <v>30</v>
      </c>
      <c r="K19389" t="s">
        <v>56202</v>
      </c>
      <c r="M19389" t="s">
        <v>17861</v>
      </c>
      <c r="N19389" t="str">
        <f>"5/30/2023 12:40:00 PM"</f>
        <v>5/30/2023 12:40:00 PM</v>
      </c>
      <c r="O19389" t="s">
        <v>59346</v>
      </c>
      <c r="T19389" t="s">
        <v>59347</v>
      </c>
    </row>
    <row r="19390" spans="1:20" x14ac:dyDescent="0.25">
      <c r="A19390" t="str">
        <f>"3051921"</f>
        <v>3051921</v>
      </c>
      <c r="B19390" t="s">
        <v>59349</v>
      </c>
      <c r="C19390" t="str">
        <f>"8320297"</f>
        <v>8320297</v>
      </c>
      <c r="D19390" t="s">
        <v>59346</v>
      </c>
      <c r="E19390" t="s">
        <v>59347</v>
      </c>
      <c r="F19390" t="s">
        <v>59348</v>
      </c>
      <c r="I19390" t="s">
        <v>29</v>
      </c>
      <c r="J19390" t="s">
        <v>30</v>
      </c>
      <c r="K19390" t="s">
        <v>56202</v>
      </c>
      <c r="M19390" t="s">
        <v>17861</v>
      </c>
      <c r="N19390" t="str">
        <f>"5/30/2023 12:40:00 PM"</f>
        <v>5/30/2023 12:40:00 PM</v>
      </c>
      <c r="O19390" t="s">
        <v>59346</v>
      </c>
      <c r="T19390" t="s">
        <v>59347</v>
      </c>
    </row>
    <row r="19391" spans="1:20" x14ac:dyDescent="0.25">
      <c r="A19391" t="str">
        <f>"3044742"</f>
        <v>3044742</v>
      </c>
      <c r="B19391" t="s">
        <v>59350</v>
      </c>
      <c r="C19391" t="str">
        <f>"8320298"</f>
        <v>8320298</v>
      </c>
      <c r="D19391" t="s">
        <v>59351</v>
      </c>
      <c r="F19391" t="s">
        <v>59352</v>
      </c>
      <c r="I19391" t="s">
        <v>2071</v>
      </c>
      <c r="J19391" t="s">
        <v>30</v>
      </c>
      <c r="K19391" t="s">
        <v>39037</v>
      </c>
      <c r="M19391" t="s">
        <v>17861</v>
      </c>
      <c r="N19391" t="str">
        <f>"5/30/2023 1:14:00 PM"</f>
        <v>5/30/2023 1:14:00 PM</v>
      </c>
      <c r="O19391" t="s">
        <v>59351</v>
      </c>
    </row>
    <row r="19392" spans="1:20" x14ac:dyDescent="0.25">
      <c r="A19392" t="str">
        <f>"3078249"</f>
        <v>3078249</v>
      </c>
      <c r="B19392" t="s">
        <v>59353</v>
      </c>
      <c r="C19392" t="str">
        <f>"8320299"</f>
        <v>8320299</v>
      </c>
      <c r="D19392" t="str">
        <f>"SPILLMAN ROGER P/DEBORAH"</f>
        <v>SPILLMAN ROGER P/DEBORAH</v>
      </c>
      <c r="E19392" t="s">
        <v>33246</v>
      </c>
      <c r="F19392" t="s">
        <v>9579</v>
      </c>
      <c r="I19392" t="s">
        <v>9580</v>
      </c>
      <c r="J19392" t="s">
        <v>30</v>
      </c>
      <c r="K19392" t="s">
        <v>16893</v>
      </c>
      <c r="M19392" t="s">
        <v>17861</v>
      </c>
      <c r="N19392" t="str">
        <f>"5/30/2023 1:52:00 PM"</f>
        <v>5/30/2023 1:52:00 PM</v>
      </c>
      <c r="O19392" t="str">
        <f>"SPILLMAN ROGER P/DEBORAH"</f>
        <v>SPILLMAN ROGER P/DEBORAH</v>
      </c>
      <c r="T19392" t="s">
        <v>33246</v>
      </c>
    </row>
    <row r="19393" spans="1:20" x14ac:dyDescent="0.25">
      <c r="A19393" t="str">
        <f>"3078248"</f>
        <v>3078248</v>
      </c>
      <c r="B19393" t="s">
        <v>59354</v>
      </c>
      <c r="C19393" t="str">
        <f>"8320299"</f>
        <v>8320299</v>
      </c>
      <c r="D19393" t="str">
        <f>"SPILLMAN ROGER P/DEBORAH"</f>
        <v>SPILLMAN ROGER P/DEBORAH</v>
      </c>
      <c r="E19393" t="s">
        <v>33246</v>
      </c>
      <c r="F19393" t="s">
        <v>9579</v>
      </c>
      <c r="I19393" t="s">
        <v>9580</v>
      </c>
      <c r="J19393" t="s">
        <v>30</v>
      </c>
      <c r="K19393" t="s">
        <v>16893</v>
      </c>
      <c r="M19393" t="s">
        <v>17861</v>
      </c>
      <c r="N19393" t="str">
        <f>"5/30/2023 1:52:00 PM"</f>
        <v>5/30/2023 1:52:00 PM</v>
      </c>
      <c r="O19393" t="str">
        <f>"SPILLMAN ROGER P/DEBORAH"</f>
        <v>SPILLMAN ROGER P/DEBORAH</v>
      </c>
      <c r="T19393" t="s">
        <v>33246</v>
      </c>
    </row>
    <row r="19394" spans="1:20" x14ac:dyDescent="0.25">
      <c r="A19394" t="str">
        <f>"3074544"</f>
        <v>3074544</v>
      </c>
      <c r="B19394" t="s">
        <v>59355</v>
      </c>
      <c r="C19394" t="str">
        <f>"8320300"</f>
        <v>8320300</v>
      </c>
      <c r="D19394" t="s">
        <v>33246</v>
      </c>
      <c r="E19394" t="s">
        <v>49702</v>
      </c>
      <c r="F19394" t="s">
        <v>33247</v>
      </c>
      <c r="I19394" t="s">
        <v>29</v>
      </c>
      <c r="J19394" t="s">
        <v>30</v>
      </c>
      <c r="K19394" t="s">
        <v>19156</v>
      </c>
      <c r="M19394" t="s">
        <v>17861</v>
      </c>
      <c r="N19394" t="str">
        <f>"5/30/2023 2:22:00 PM"</f>
        <v>5/30/2023 2:22:00 PM</v>
      </c>
      <c r="O19394" t="s">
        <v>33246</v>
      </c>
      <c r="T19394" t="s">
        <v>49702</v>
      </c>
    </row>
    <row r="19395" spans="1:20" x14ac:dyDescent="0.25">
      <c r="A19395" t="str">
        <f>"3051241"</f>
        <v>3051241</v>
      </c>
      <c r="B19395" t="s">
        <v>59356</v>
      </c>
      <c r="C19395" t="str">
        <f>"8320300"</f>
        <v>8320300</v>
      </c>
      <c r="D19395" t="s">
        <v>33246</v>
      </c>
      <c r="E19395" t="s">
        <v>49702</v>
      </c>
      <c r="F19395" t="s">
        <v>33247</v>
      </c>
      <c r="I19395" t="s">
        <v>29</v>
      </c>
      <c r="J19395" t="s">
        <v>30</v>
      </c>
      <c r="K19395" t="s">
        <v>19156</v>
      </c>
      <c r="M19395" t="s">
        <v>17861</v>
      </c>
      <c r="N19395" t="str">
        <f>"5/30/2023 2:22:00 PM"</f>
        <v>5/30/2023 2:22:00 PM</v>
      </c>
      <c r="O19395" t="s">
        <v>33246</v>
      </c>
      <c r="T19395" t="s">
        <v>49702</v>
      </c>
    </row>
    <row r="19396" spans="1:20" x14ac:dyDescent="0.25">
      <c r="A19396" t="str">
        <f>"3074545"</f>
        <v>3074545</v>
      </c>
      <c r="B19396" t="s">
        <v>59357</v>
      </c>
      <c r="C19396" t="str">
        <f>"8320301"</f>
        <v>8320301</v>
      </c>
      <c r="D19396" t="s">
        <v>33246</v>
      </c>
      <c r="E19396" t="s">
        <v>11668</v>
      </c>
      <c r="F19396" t="s">
        <v>33247</v>
      </c>
      <c r="I19396" t="s">
        <v>29</v>
      </c>
      <c r="J19396" t="s">
        <v>30</v>
      </c>
      <c r="K19396" t="s">
        <v>19156</v>
      </c>
      <c r="M19396" t="s">
        <v>17861</v>
      </c>
      <c r="N19396" t="str">
        <f>"5/30/2023 2:29:00 PM"</f>
        <v>5/30/2023 2:29:00 PM</v>
      </c>
      <c r="O19396" t="s">
        <v>33246</v>
      </c>
      <c r="T19396" t="s">
        <v>11668</v>
      </c>
    </row>
    <row r="19397" spans="1:20" x14ac:dyDescent="0.25">
      <c r="A19397" t="str">
        <f>"3074547"</f>
        <v>3074547</v>
      </c>
      <c r="B19397" t="s">
        <v>59358</v>
      </c>
      <c r="C19397" t="str">
        <f>"8320301"</f>
        <v>8320301</v>
      </c>
      <c r="D19397" t="s">
        <v>33246</v>
      </c>
      <c r="E19397" t="s">
        <v>11668</v>
      </c>
      <c r="F19397" t="s">
        <v>33247</v>
      </c>
      <c r="I19397" t="s">
        <v>29</v>
      </c>
      <c r="J19397" t="s">
        <v>30</v>
      </c>
      <c r="K19397" t="s">
        <v>19156</v>
      </c>
      <c r="M19397" t="s">
        <v>17861</v>
      </c>
      <c r="N19397" t="str">
        <f>"5/30/2023 2:29:00 PM"</f>
        <v>5/30/2023 2:29:00 PM</v>
      </c>
      <c r="O19397" t="s">
        <v>33246</v>
      </c>
      <c r="T19397" t="s">
        <v>11668</v>
      </c>
    </row>
    <row r="19398" spans="1:20" x14ac:dyDescent="0.25">
      <c r="A19398" t="str">
        <f>"3074549"</f>
        <v>3074549</v>
      </c>
      <c r="B19398" t="s">
        <v>59359</v>
      </c>
      <c r="C19398" t="str">
        <f>"8320301"</f>
        <v>8320301</v>
      </c>
      <c r="D19398" t="s">
        <v>33246</v>
      </c>
      <c r="E19398" t="s">
        <v>11668</v>
      </c>
      <c r="F19398" t="s">
        <v>33247</v>
      </c>
      <c r="I19398" t="s">
        <v>29</v>
      </c>
      <c r="J19398" t="s">
        <v>30</v>
      </c>
      <c r="K19398" t="s">
        <v>19156</v>
      </c>
      <c r="M19398" t="s">
        <v>17861</v>
      </c>
      <c r="N19398" t="str">
        <f>"5/30/2023 2:29:00 PM"</f>
        <v>5/30/2023 2:29:00 PM</v>
      </c>
      <c r="O19398" t="s">
        <v>33246</v>
      </c>
      <c r="T19398" t="s">
        <v>11668</v>
      </c>
    </row>
    <row r="19399" spans="1:20" x14ac:dyDescent="0.25">
      <c r="A19399" t="str">
        <f>"3074548"</f>
        <v>3074548</v>
      </c>
      <c r="B19399" t="s">
        <v>59360</v>
      </c>
      <c r="C19399" t="str">
        <f>"8320301"</f>
        <v>8320301</v>
      </c>
      <c r="D19399" t="s">
        <v>33246</v>
      </c>
      <c r="E19399" t="s">
        <v>11668</v>
      </c>
      <c r="F19399" t="s">
        <v>33247</v>
      </c>
      <c r="I19399" t="s">
        <v>29</v>
      </c>
      <c r="J19399" t="s">
        <v>30</v>
      </c>
      <c r="K19399" t="s">
        <v>19156</v>
      </c>
      <c r="M19399" t="s">
        <v>17861</v>
      </c>
      <c r="N19399" t="str">
        <f>"5/30/2023 2:29:00 PM"</f>
        <v>5/30/2023 2:29:00 PM</v>
      </c>
      <c r="O19399" t="s">
        <v>33246</v>
      </c>
      <c r="T19399" t="s">
        <v>11668</v>
      </c>
    </row>
    <row r="19400" spans="1:20" x14ac:dyDescent="0.25">
      <c r="A19400" t="str">
        <f>"3078421"</f>
        <v>3078421</v>
      </c>
      <c r="B19400" t="s">
        <v>59361</v>
      </c>
      <c r="C19400" t="str">
        <f>"8320301"</f>
        <v>8320301</v>
      </c>
      <c r="D19400" t="s">
        <v>33246</v>
      </c>
      <c r="E19400" t="s">
        <v>11668</v>
      </c>
      <c r="F19400" t="s">
        <v>33247</v>
      </c>
      <c r="I19400" t="s">
        <v>29</v>
      </c>
      <c r="J19400" t="s">
        <v>30</v>
      </c>
      <c r="K19400" t="s">
        <v>19156</v>
      </c>
      <c r="M19400" t="s">
        <v>17861</v>
      </c>
      <c r="N19400" t="str">
        <f>"5/30/2023 2:29:00 PM"</f>
        <v>5/30/2023 2:29:00 PM</v>
      </c>
      <c r="O19400" t="s">
        <v>33246</v>
      </c>
      <c r="T19400" t="s">
        <v>11668</v>
      </c>
    </row>
    <row r="19401" spans="1:20" x14ac:dyDescent="0.25">
      <c r="A19401" t="str">
        <f>"3051228"</f>
        <v>3051228</v>
      </c>
      <c r="B19401" t="s">
        <v>59362</v>
      </c>
      <c r="C19401" t="str">
        <f>"8320302"</f>
        <v>8320302</v>
      </c>
      <c r="D19401" t="s">
        <v>59363</v>
      </c>
      <c r="E19401" t="s">
        <v>11668</v>
      </c>
      <c r="F19401" t="s">
        <v>19155</v>
      </c>
      <c r="I19401" t="s">
        <v>17921</v>
      </c>
      <c r="J19401" t="s">
        <v>30</v>
      </c>
      <c r="K19401" t="str">
        <f>"27028"</f>
        <v>27028</v>
      </c>
      <c r="M19401" t="s">
        <v>17861</v>
      </c>
      <c r="N19401" t="str">
        <f>"5/30/2023 2:35:00 PM"</f>
        <v>5/30/2023 2:35:00 PM</v>
      </c>
      <c r="O19401" t="s">
        <v>59363</v>
      </c>
      <c r="T19401" t="s">
        <v>11668</v>
      </c>
    </row>
    <row r="19402" spans="1:20" x14ac:dyDescent="0.25">
      <c r="A19402" t="str">
        <f>"3077080"</f>
        <v>3077080</v>
      </c>
      <c r="B19402" t="s">
        <v>59364</v>
      </c>
      <c r="C19402" t="str">
        <f>"8320308"</f>
        <v>8320308</v>
      </c>
      <c r="D19402" t="s">
        <v>59365</v>
      </c>
      <c r="F19402" t="s">
        <v>59366</v>
      </c>
      <c r="I19402" t="s">
        <v>21749</v>
      </c>
      <c r="J19402" t="s">
        <v>30</v>
      </c>
      <c r="K19402" t="s">
        <v>59367</v>
      </c>
      <c r="M19402" t="s">
        <v>17861</v>
      </c>
      <c r="N19402" t="str">
        <f>"5/31/2023 10:28:00 AM"</f>
        <v>5/31/2023 10:28:00 AM</v>
      </c>
      <c r="O19402" t="s">
        <v>59365</v>
      </c>
    </row>
    <row r="19403" spans="1:20" x14ac:dyDescent="0.25">
      <c r="A19403" t="str">
        <f>"3077861"</f>
        <v>3077861</v>
      </c>
      <c r="B19403" t="s">
        <v>59368</v>
      </c>
      <c r="C19403" t="str">
        <f>"8320309"</f>
        <v>8320309</v>
      </c>
      <c r="D19403" t="str">
        <f>"BRANHAM GEORGE M/PAMELA T TRUSTEES"</f>
        <v>BRANHAM GEORGE M/PAMELA T TRUSTEES</v>
      </c>
      <c r="E19403" t="str">
        <f>"BRANHAM GEORGEM/PAMELA T REV L"</f>
        <v>BRANHAM GEORGEM/PAMELA T REV L</v>
      </c>
      <c r="F19403" t="s">
        <v>59276</v>
      </c>
      <c r="I19403" t="s">
        <v>29</v>
      </c>
      <c r="J19403" t="s">
        <v>30</v>
      </c>
      <c r="K19403" t="s">
        <v>7800</v>
      </c>
      <c r="M19403" t="s">
        <v>17861</v>
      </c>
      <c r="N19403" t="str">
        <f>"5/31/2023 12:52:00 PM"</f>
        <v>5/31/2023 12:52:00 PM</v>
      </c>
      <c r="O19403" t="str">
        <f>"BRANHAM GEORGE M/PAMELA T TRUSTEES"</f>
        <v>BRANHAM GEORGE M/PAMELA T TRUSTEES</v>
      </c>
      <c r="T19403" t="str">
        <f>"BRANHAM GEORGEM/PAMELA T REV L"</f>
        <v>BRANHAM GEORGEM/PAMELA T REV L</v>
      </c>
    </row>
    <row r="19404" spans="1:20" x14ac:dyDescent="0.25">
      <c r="A19404" t="str">
        <f>"3077882"</f>
        <v>3077882</v>
      </c>
      <c r="B19404" t="s">
        <v>59369</v>
      </c>
      <c r="C19404" t="str">
        <f>"8320309"</f>
        <v>8320309</v>
      </c>
      <c r="D19404" t="str">
        <f>"BRANHAM GEORGE M/PAMELA T TRUSTEES"</f>
        <v>BRANHAM GEORGE M/PAMELA T TRUSTEES</v>
      </c>
      <c r="E19404" t="str">
        <f>"BRANHAM GEORGEM/PAMELA T REV L"</f>
        <v>BRANHAM GEORGEM/PAMELA T REV L</v>
      </c>
      <c r="F19404" t="s">
        <v>59276</v>
      </c>
      <c r="I19404" t="s">
        <v>29</v>
      </c>
      <c r="J19404" t="s">
        <v>30</v>
      </c>
      <c r="K19404" t="s">
        <v>7800</v>
      </c>
      <c r="M19404" t="s">
        <v>17861</v>
      </c>
      <c r="N19404" t="str">
        <f>"5/31/2023 12:52:00 PM"</f>
        <v>5/31/2023 12:52:00 PM</v>
      </c>
      <c r="O19404" t="str">
        <f>"BRANHAM GEORGE M/PAMELA T TRUSTEES"</f>
        <v>BRANHAM GEORGE M/PAMELA T TRUSTEES</v>
      </c>
      <c r="T19404" t="str">
        <f>"BRANHAM GEORGEM/PAMELA T REV L"</f>
        <v>BRANHAM GEORGEM/PAMELA T REV L</v>
      </c>
    </row>
    <row r="19405" spans="1:20" x14ac:dyDescent="0.25">
      <c r="A19405" t="str">
        <f>"3077889"</f>
        <v>3077889</v>
      </c>
      <c r="B19405" t="s">
        <v>59370</v>
      </c>
      <c r="C19405" t="str">
        <f>"8320309"</f>
        <v>8320309</v>
      </c>
      <c r="D19405" t="str">
        <f>"BRANHAM GEORGE M/PAMELA T TRUSTEES"</f>
        <v>BRANHAM GEORGE M/PAMELA T TRUSTEES</v>
      </c>
      <c r="E19405" t="str">
        <f>"BRANHAM GEORGEM/PAMELA T REV L"</f>
        <v>BRANHAM GEORGEM/PAMELA T REV L</v>
      </c>
      <c r="F19405" t="s">
        <v>59276</v>
      </c>
      <c r="I19405" t="s">
        <v>29</v>
      </c>
      <c r="J19405" t="s">
        <v>30</v>
      </c>
      <c r="K19405" t="s">
        <v>7800</v>
      </c>
      <c r="M19405" t="s">
        <v>17861</v>
      </c>
      <c r="N19405" t="str">
        <f>"5/31/2023 12:52:00 PM"</f>
        <v>5/31/2023 12:52:00 PM</v>
      </c>
      <c r="O19405" t="str">
        <f>"BRANHAM GEORGE M/PAMELA T TRUSTEES"</f>
        <v>BRANHAM GEORGE M/PAMELA T TRUSTEES</v>
      </c>
      <c r="T19405" t="str">
        <f>"BRANHAM GEORGEM/PAMELA T REV L"</f>
        <v>BRANHAM GEORGEM/PAMELA T REV L</v>
      </c>
    </row>
    <row r="19406" spans="1:20" x14ac:dyDescent="0.25">
      <c r="A19406" t="str">
        <f>"3077887"</f>
        <v>3077887</v>
      </c>
      <c r="B19406" t="s">
        <v>59371</v>
      </c>
      <c r="C19406" t="str">
        <f>"8320309"</f>
        <v>8320309</v>
      </c>
      <c r="D19406" t="str">
        <f>"BRANHAM GEORGE M/PAMELA T TRUSTEES"</f>
        <v>BRANHAM GEORGE M/PAMELA T TRUSTEES</v>
      </c>
      <c r="E19406" t="str">
        <f>"BRANHAM GEORGEM/PAMELA T REV L"</f>
        <v>BRANHAM GEORGEM/PAMELA T REV L</v>
      </c>
      <c r="F19406" t="s">
        <v>59276</v>
      </c>
      <c r="I19406" t="s">
        <v>29</v>
      </c>
      <c r="J19406" t="s">
        <v>30</v>
      </c>
      <c r="K19406" t="s">
        <v>7800</v>
      </c>
      <c r="M19406" t="s">
        <v>17861</v>
      </c>
      <c r="N19406" t="str">
        <f>"5/31/2023 12:52:00 PM"</f>
        <v>5/31/2023 12:52:00 PM</v>
      </c>
      <c r="O19406" t="str">
        <f>"BRANHAM GEORGE M/PAMELA T TRUSTEES"</f>
        <v>BRANHAM GEORGE M/PAMELA T TRUSTEES</v>
      </c>
      <c r="T19406" t="str">
        <f>"BRANHAM GEORGEM/PAMELA T REV L"</f>
        <v>BRANHAM GEORGEM/PAMELA T REV L</v>
      </c>
    </row>
    <row r="19407" spans="1:20" x14ac:dyDescent="0.25">
      <c r="A19407" t="str">
        <f>"3052031"</f>
        <v>3052031</v>
      </c>
      <c r="B19407" t="s">
        <v>59372</v>
      </c>
      <c r="C19407" t="str">
        <f>"8320313"</f>
        <v>8320313</v>
      </c>
      <c r="D19407" t="s">
        <v>59373</v>
      </c>
      <c r="F19407" t="s">
        <v>59374</v>
      </c>
      <c r="I19407" t="s">
        <v>29</v>
      </c>
      <c r="J19407" t="s">
        <v>30</v>
      </c>
      <c r="K19407" t="s">
        <v>58186</v>
      </c>
      <c r="M19407" t="s">
        <v>17861</v>
      </c>
      <c r="N19407" t="str">
        <f>"5/31/2023 1:52:00 PM"</f>
        <v>5/31/2023 1:52:00 PM</v>
      </c>
      <c r="O19407" t="s">
        <v>59373</v>
      </c>
    </row>
    <row r="19408" spans="1:20" x14ac:dyDescent="0.25">
      <c r="A19408" t="str">
        <f>"3051687"</f>
        <v>3051687</v>
      </c>
      <c r="B19408" t="s">
        <v>59375</v>
      </c>
      <c r="C19408" t="str">
        <f>"8316824"</f>
        <v>8316824</v>
      </c>
      <c r="D19408" t="s">
        <v>59376</v>
      </c>
      <c r="F19408" t="s">
        <v>59377</v>
      </c>
      <c r="I19408" t="s">
        <v>29</v>
      </c>
      <c r="J19408" t="s">
        <v>30</v>
      </c>
      <c r="K19408" t="s">
        <v>59378</v>
      </c>
      <c r="M19408" t="s">
        <v>50621</v>
      </c>
      <c r="N19408" t="str">
        <f>"6/6/2023 12:48:00 PM"</f>
        <v>6/6/2023 12:48:00 PM</v>
      </c>
      <c r="O19408" t="s">
        <v>59376</v>
      </c>
    </row>
    <row r="19409" spans="1:20" x14ac:dyDescent="0.25">
      <c r="A19409" t="str">
        <f>"3051931"</f>
        <v>3051931</v>
      </c>
      <c r="B19409" t="s">
        <v>59379</v>
      </c>
      <c r="C19409" t="str">
        <f>"8316824"</f>
        <v>8316824</v>
      </c>
      <c r="D19409" t="s">
        <v>59376</v>
      </c>
      <c r="F19409" t="s">
        <v>59377</v>
      </c>
      <c r="I19409" t="s">
        <v>29</v>
      </c>
      <c r="J19409" t="s">
        <v>30</v>
      </c>
      <c r="K19409" t="s">
        <v>59378</v>
      </c>
      <c r="M19409" t="s">
        <v>50621</v>
      </c>
      <c r="N19409" t="str">
        <f>"6/6/2023 12:48:00 PM"</f>
        <v>6/6/2023 12:48:00 PM</v>
      </c>
      <c r="O19409" t="s">
        <v>59376</v>
      </c>
    </row>
    <row r="19410" spans="1:20" x14ac:dyDescent="0.25">
      <c r="A19410" t="str">
        <f>"3052295"</f>
        <v>3052295</v>
      </c>
      <c r="B19410" t="s">
        <v>59380</v>
      </c>
      <c r="C19410" t="str">
        <f>"8316824"</f>
        <v>8316824</v>
      </c>
      <c r="D19410" t="s">
        <v>59376</v>
      </c>
      <c r="F19410" t="s">
        <v>59377</v>
      </c>
      <c r="I19410" t="s">
        <v>29</v>
      </c>
      <c r="J19410" t="s">
        <v>30</v>
      </c>
      <c r="K19410" t="s">
        <v>59378</v>
      </c>
      <c r="M19410" t="s">
        <v>50621</v>
      </c>
      <c r="N19410" t="str">
        <f>"6/6/2023 12:48:00 PM"</f>
        <v>6/6/2023 12:48:00 PM</v>
      </c>
      <c r="O19410" t="s">
        <v>59376</v>
      </c>
    </row>
    <row r="19411" spans="1:20" x14ac:dyDescent="0.25">
      <c r="A19411" t="str">
        <f>"3054646"</f>
        <v>3054646</v>
      </c>
      <c r="B19411" t="s">
        <v>59381</v>
      </c>
      <c r="C19411" t="str">
        <f>"8320326"</f>
        <v>8320326</v>
      </c>
      <c r="D19411" t="s">
        <v>59382</v>
      </c>
      <c r="F19411" t="s">
        <v>59383</v>
      </c>
      <c r="I19411" t="s">
        <v>29</v>
      </c>
      <c r="J19411" t="s">
        <v>30</v>
      </c>
      <c r="K19411" t="s">
        <v>59384</v>
      </c>
      <c r="M19411" t="s">
        <v>17861</v>
      </c>
      <c r="N19411" t="str">
        <f>"6/2/2023 9:55:00 AM"</f>
        <v>6/2/2023 9:55:00 AM</v>
      </c>
      <c r="O19411" t="s">
        <v>59382</v>
      </c>
    </row>
    <row r="19412" spans="1:20" x14ac:dyDescent="0.25">
      <c r="A19412" t="str">
        <f>"3056851"</f>
        <v>3056851</v>
      </c>
      <c r="B19412" t="s">
        <v>59385</v>
      </c>
      <c r="C19412" t="str">
        <f>"31676000"</f>
        <v>31676000</v>
      </c>
      <c r="D19412" t="s">
        <v>59386</v>
      </c>
      <c r="E19412" t="str">
        <f>"C/O JOHN L HALL"</f>
        <v>C/O JOHN L HALL</v>
      </c>
      <c r="F19412" t="s">
        <v>59387</v>
      </c>
      <c r="G19412" t="s">
        <v>59388</v>
      </c>
      <c r="I19412" t="s">
        <v>59389</v>
      </c>
      <c r="J19412" t="s">
        <v>3737</v>
      </c>
      <c r="K19412" t="str">
        <f>"77433"</f>
        <v>77433</v>
      </c>
      <c r="M19412" t="s">
        <v>36935</v>
      </c>
      <c r="N19412" t="str">
        <f>"6/2/2023 10:27:00 AM"</f>
        <v>6/2/2023 10:27:00 AM</v>
      </c>
      <c r="O19412" t="s">
        <v>59386</v>
      </c>
      <c r="T19412" t="str">
        <f>"C/O JOHN L HALL"</f>
        <v>C/O JOHN L HALL</v>
      </c>
    </row>
    <row r="19413" spans="1:20" x14ac:dyDescent="0.25">
      <c r="A19413" t="str">
        <f>"3059864"</f>
        <v>3059864</v>
      </c>
      <c r="B19413" t="s">
        <v>59390</v>
      </c>
      <c r="C19413" t="str">
        <f>"8320360"</f>
        <v>8320360</v>
      </c>
      <c r="D19413" t="s">
        <v>39505</v>
      </c>
      <c r="E19413" t="s">
        <v>39504</v>
      </c>
      <c r="F19413" t="s">
        <v>59391</v>
      </c>
      <c r="I19413" t="s">
        <v>29</v>
      </c>
      <c r="J19413" t="s">
        <v>30</v>
      </c>
      <c r="K19413" t="s">
        <v>33337</v>
      </c>
      <c r="M19413" t="s">
        <v>17861</v>
      </c>
      <c r="N19413" t="str">
        <f>"6/7/2023 9:39:00 AM"</f>
        <v>6/7/2023 9:39:00 AM</v>
      </c>
      <c r="O19413" t="s">
        <v>39505</v>
      </c>
      <c r="T19413" t="s">
        <v>39504</v>
      </c>
    </row>
    <row r="19414" spans="1:20" x14ac:dyDescent="0.25">
      <c r="A19414" t="str">
        <f>"3077176"</f>
        <v>3077176</v>
      </c>
      <c r="B19414" t="s">
        <v>59392</v>
      </c>
      <c r="C19414" t="str">
        <f>"8320361"</f>
        <v>8320361</v>
      </c>
      <c r="D19414" t="s">
        <v>59393</v>
      </c>
      <c r="F19414" t="s">
        <v>59394</v>
      </c>
      <c r="I19414" t="s">
        <v>184</v>
      </c>
      <c r="J19414" t="s">
        <v>30</v>
      </c>
      <c r="K19414" t="s">
        <v>4892</v>
      </c>
      <c r="M19414" t="s">
        <v>17861</v>
      </c>
      <c r="N19414" t="str">
        <f>"6/7/2023 9:45:00 AM"</f>
        <v>6/7/2023 9:45:00 AM</v>
      </c>
      <c r="O19414" t="s">
        <v>59393</v>
      </c>
    </row>
    <row r="19415" spans="1:20" x14ac:dyDescent="0.25">
      <c r="A19415" t="str">
        <f>"3062961"</f>
        <v>3062961</v>
      </c>
      <c r="B19415" t="s">
        <v>59395</v>
      </c>
      <c r="C19415" t="str">
        <f>"8320362"</f>
        <v>8320362</v>
      </c>
      <c r="D19415" t="s">
        <v>59396</v>
      </c>
      <c r="E19415" t="s">
        <v>59397</v>
      </c>
      <c r="F19415" t="s">
        <v>59398</v>
      </c>
      <c r="I19415" t="s">
        <v>29</v>
      </c>
      <c r="J19415" t="s">
        <v>30</v>
      </c>
      <c r="K19415" t="s">
        <v>59399</v>
      </c>
      <c r="M19415" t="s">
        <v>17861</v>
      </c>
      <c r="N19415" t="str">
        <f>"6/7/2023 10:11:00 AM"</f>
        <v>6/7/2023 10:11:00 AM</v>
      </c>
      <c r="O19415" t="s">
        <v>59396</v>
      </c>
      <c r="T19415" t="s">
        <v>59397</v>
      </c>
    </row>
    <row r="19416" spans="1:20" x14ac:dyDescent="0.25">
      <c r="A19416" t="str">
        <f>"3053603"</f>
        <v>3053603</v>
      </c>
      <c r="B19416" t="s">
        <v>59400</v>
      </c>
      <c r="C19416" t="str">
        <f>"32186000"</f>
        <v>32186000</v>
      </c>
      <c r="D19416" t="s">
        <v>59401</v>
      </c>
      <c r="E19416" t="s">
        <v>59402</v>
      </c>
      <c r="F19416" t="s">
        <v>59403</v>
      </c>
      <c r="I19416" t="s">
        <v>184</v>
      </c>
      <c r="J19416" t="s">
        <v>30</v>
      </c>
      <c r="K19416" t="s">
        <v>37759</v>
      </c>
      <c r="M19416" t="s">
        <v>50621</v>
      </c>
      <c r="N19416" t="str">
        <f>"6/7/2023 10:32:00 AM"</f>
        <v>6/7/2023 10:32:00 AM</v>
      </c>
      <c r="O19416" t="s">
        <v>59401</v>
      </c>
      <c r="T19416" t="s">
        <v>59402</v>
      </c>
    </row>
    <row r="19417" spans="1:20" x14ac:dyDescent="0.25">
      <c r="A19417" t="str">
        <f>"3040545"</f>
        <v>3040545</v>
      </c>
      <c r="B19417" t="s">
        <v>59404</v>
      </c>
      <c r="C19417" t="str">
        <f>"82531779"</f>
        <v>82531779</v>
      </c>
      <c r="D19417" t="s">
        <v>59405</v>
      </c>
      <c r="F19417" t="s">
        <v>59406</v>
      </c>
      <c r="I19417" t="s">
        <v>184</v>
      </c>
      <c r="J19417" t="s">
        <v>30</v>
      </c>
      <c r="K19417" t="s">
        <v>185</v>
      </c>
      <c r="M19417" t="s">
        <v>50621</v>
      </c>
      <c r="N19417" t="str">
        <f>"6/7/2023 10:35:00 AM"</f>
        <v>6/7/2023 10:35:00 AM</v>
      </c>
      <c r="O19417" t="s">
        <v>59405</v>
      </c>
    </row>
    <row r="19418" spans="1:20" x14ac:dyDescent="0.25">
      <c r="A19418" t="str">
        <f>"3037223"</f>
        <v>3037223</v>
      </c>
      <c r="B19418" t="s">
        <v>59407</v>
      </c>
      <c r="C19418" t="str">
        <f>"8320327"</f>
        <v>8320327</v>
      </c>
      <c r="D19418" t="s">
        <v>59408</v>
      </c>
      <c r="E19418" t="s">
        <v>59409</v>
      </c>
      <c r="F19418" t="s">
        <v>59410</v>
      </c>
      <c r="I19418" t="s">
        <v>471</v>
      </c>
      <c r="J19418" t="s">
        <v>30</v>
      </c>
      <c r="K19418" t="s">
        <v>59411</v>
      </c>
      <c r="M19418" t="s">
        <v>17861</v>
      </c>
      <c r="N19418" t="str">
        <f>"6/2/2023 12:39:00 PM"</f>
        <v>6/2/2023 12:39:00 PM</v>
      </c>
      <c r="O19418" t="s">
        <v>59408</v>
      </c>
      <c r="T19418" t="s">
        <v>59409</v>
      </c>
    </row>
    <row r="19419" spans="1:20" x14ac:dyDescent="0.25">
      <c r="A19419" t="str">
        <f>"3044475"</f>
        <v>3044475</v>
      </c>
      <c r="B19419" t="s">
        <v>59412</v>
      </c>
      <c r="C19419" t="str">
        <f>"8320329"</f>
        <v>8320329</v>
      </c>
      <c r="D19419" t="s">
        <v>59413</v>
      </c>
      <c r="E19419" t="s">
        <v>59414</v>
      </c>
      <c r="F19419" t="s">
        <v>59415</v>
      </c>
      <c r="I19419" t="s">
        <v>184</v>
      </c>
      <c r="J19419" t="s">
        <v>30</v>
      </c>
      <c r="K19419" t="s">
        <v>5629</v>
      </c>
      <c r="M19419" t="s">
        <v>17861</v>
      </c>
      <c r="N19419" t="str">
        <f>"6/2/2023 3:47:00 PM"</f>
        <v>6/2/2023 3:47:00 PM</v>
      </c>
      <c r="O19419" t="s">
        <v>59413</v>
      </c>
      <c r="T19419" t="s">
        <v>59414</v>
      </c>
    </row>
    <row r="19420" spans="1:20" x14ac:dyDescent="0.25">
      <c r="A19420" t="str">
        <f>"3041913"</f>
        <v>3041913</v>
      </c>
      <c r="B19420" t="s">
        <v>59416</v>
      </c>
      <c r="C19420" t="str">
        <f>"8320331"</f>
        <v>8320331</v>
      </c>
      <c r="D19420" t="s">
        <v>59417</v>
      </c>
      <c r="F19420" t="s">
        <v>59418</v>
      </c>
      <c r="I19420" t="s">
        <v>2681</v>
      </c>
      <c r="J19420" t="s">
        <v>30</v>
      </c>
      <c r="K19420" t="s">
        <v>59419</v>
      </c>
      <c r="M19420" t="s">
        <v>17861</v>
      </c>
      <c r="N19420" t="str">
        <f>"6/2/2023 4:02:00 PM"</f>
        <v>6/2/2023 4:02:00 PM</v>
      </c>
      <c r="O19420" t="s">
        <v>59417</v>
      </c>
    </row>
    <row r="19421" spans="1:20" x14ac:dyDescent="0.25">
      <c r="A19421" t="str">
        <f>"3056463"</f>
        <v>3056463</v>
      </c>
      <c r="B19421" t="s">
        <v>59420</v>
      </c>
      <c r="C19421" t="str">
        <f>"73792000"</f>
        <v>73792000</v>
      </c>
      <c r="D19421" t="s">
        <v>59421</v>
      </c>
      <c r="F19421" t="s">
        <v>59422</v>
      </c>
      <c r="I19421" t="s">
        <v>29</v>
      </c>
      <c r="J19421" t="s">
        <v>30</v>
      </c>
      <c r="K19421" t="s">
        <v>31</v>
      </c>
      <c r="M19421" t="s">
        <v>36935</v>
      </c>
      <c r="N19421" t="str">
        <f>"6/5/2023 10:54:00 AM"</f>
        <v>6/5/2023 10:54:00 AM</v>
      </c>
      <c r="O19421" t="s">
        <v>59421</v>
      </c>
    </row>
    <row r="19422" spans="1:20" x14ac:dyDescent="0.25">
      <c r="A19422" t="str">
        <f>"3051160"</f>
        <v>3051160</v>
      </c>
      <c r="B19422" t="s">
        <v>59423</v>
      </c>
      <c r="C19422" t="str">
        <f>"75858500"</f>
        <v>75858500</v>
      </c>
      <c r="D19422" t="s">
        <v>59424</v>
      </c>
      <c r="F19422" t="s">
        <v>59425</v>
      </c>
      <c r="I19422" t="s">
        <v>29</v>
      </c>
      <c r="J19422" t="s">
        <v>30</v>
      </c>
      <c r="K19422" t="s">
        <v>35640</v>
      </c>
      <c r="M19422" t="s">
        <v>36935</v>
      </c>
      <c r="N19422" t="str">
        <f>"6/5/2023 10:55:00 AM"</f>
        <v>6/5/2023 10:55:00 AM</v>
      </c>
      <c r="O19422" t="s">
        <v>59424</v>
      </c>
    </row>
    <row r="19423" spans="1:20" x14ac:dyDescent="0.25">
      <c r="A19423" t="str">
        <f>"3060424"</f>
        <v>3060424</v>
      </c>
      <c r="B19423" t="s">
        <v>59426</v>
      </c>
      <c r="C19423" t="str">
        <f>"80537610"</f>
        <v>80537610</v>
      </c>
      <c r="D19423" t="s">
        <v>59427</v>
      </c>
      <c r="E19423" t="s">
        <v>59428</v>
      </c>
      <c r="F19423" t="s">
        <v>59429</v>
      </c>
      <c r="I19423" t="s">
        <v>2071</v>
      </c>
      <c r="J19423" t="s">
        <v>30</v>
      </c>
      <c r="K19423" t="s">
        <v>3728</v>
      </c>
      <c r="M19423" t="s">
        <v>36935</v>
      </c>
      <c r="N19423" t="str">
        <f>"6/5/2023 10:57:00 AM"</f>
        <v>6/5/2023 10:57:00 AM</v>
      </c>
      <c r="O19423" t="s">
        <v>59427</v>
      </c>
      <c r="T19423" t="s">
        <v>59428</v>
      </c>
    </row>
    <row r="19424" spans="1:20" x14ac:dyDescent="0.25">
      <c r="A19424" t="str">
        <f>"3044771"</f>
        <v>3044771</v>
      </c>
      <c r="B19424" t="s">
        <v>59430</v>
      </c>
      <c r="C19424" t="str">
        <f>"8307739"</f>
        <v>8307739</v>
      </c>
      <c r="D19424" t="s">
        <v>59431</v>
      </c>
      <c r="F19424" t="s">
        <v>59432</v>
      </c>
      <c r="I19424" t="s">
        <v>184</v>
      </c>
      <c r="J19424" t="s">
        <v>30</v>
      </c>
      <c r="K19424" t="str">
        <f>"27006"</f>
        <v>27006</v>
      </c>
      <c r="M19424" t="s">
        <v>50621</v>
      </c>
      <c r="N19424" t="str">
        <f>"6/5/2023 10:59:00 AM"</f>
        <v>6/5/2023 10:59:00 AM</v>
      </c>
      <c r="O19424" t="s">
        <v>59431</v>
      </c>
    </row>
    <row r="19425" spans="1:20" x14ac:dyDescent="0.25">
      <c r="A19425" t="str">
        <f>"3042580"</f>
        <v>3042580</v>
      </c>
      <c r="B19425" t="s">
        <v>59433</v>
      </c>
      <c r="C19425" t="str">
        <f>"82523818"</f>
        <v>82523818</v>
      </c>
      <c r="D19425" t="s">
        <v>59434</v>
      </c>
      <c r="F19425" t="s">
        <v>59435</v>
      </c>
      <c r="I19425" t="s">
        <v>184</v>
      </c>
      <c r="J19425" t="s">
        <v>30</v>
      </c>
      <c r="K19425" t="s">
        <v>185</v>
      </c>
      <c r="M19425" t="s">
        <v>36935</v>
      </c>
      <c r="N19425" t="str">
        <f>"6/5/2023 11:00:00 AM"</f>
        <v>6/5/2023 11:00:00 AM</v>
      </c>
      <c r="O19425" t="s">
        <v>59434</v>
      </c>
    </row>
    <row r="19426" spans="1:20" x14ac:dyDescent="0.25">
      <c r="A19426" t="str">
        <f>"3055851"</f>
        <v>3055851</v>
      </c>
      <c r="B19426" t="s">
        <v>59436</v>
      </c>
      <c r="C19426" t="str">
        <f>"82524749"</f>
        <v>82524749</v>
      </c>
      <c r="D19426" t="s">
        <v>59437</v>
      </c>
      <c r="E19426" t="s">
        <v>13688</v>
      </c>
      <c r="F19426" t="s">
        <v>13561</v>
      </c>
      <c r="I19426" t="s">
        <v>9580</v>
      </c>
      <c r="J19426" t="s">
        <v>30</v>
      </c>
      <c r="K19426" t="s">
        <v>59438</v>
      </c>
      <c r="M19426" t="s">
        <v>36935</v>
      </c>
      <c r="N19426" t="str">
        <f>"6/5/2023 11:01:00 AM"</f>
        <v>6/5/2023 11:01:00 AM</v>
      </c>
      <c r="O19426" t="s">
        <v>59437</v>
      </c>
      <c r="T19426" t="s">
        <v>13688</v>
      </c>
    </row>
    <row r="19427" spans="1:20" x14ac:dyDescent="0.25">
      <c r="A19427" t="str">
        <f>"3053642"</f>
        <v>3053642</v>
      </c>
      <c r="B19427" t="s">
        <v>59439</v>
      </c>
      <c r="C19427" t="str">
        <f>"31235500"</f>
        <v>31235500</v>
      </c>
      <c r="D19427" t="s">
        <v>59440</v>
      </c>
      <c r="F19427" t="s">
        <v>59441</v>
      </c>
      <c r="I19427" t="s">
        <v>29</v>
      </c>
      <c r="J19427" t="s">
        <v>30</v>
      </c>
      <c r="K19427" t="s">
        <v>59442</v>
      </c>
      <c r="M19427" t="s">
        <v>36935</v>
      </c>
      <c r="N19427" t="str">
        <f>"6/5/2023 11:04:00 AM"</f>
        <v>6/5/2023 11:04:00 AM</v>
      </c>
      <c r="O19427" t="s">
        <v>59440</v>
      </c>
    </row>
    <row r="19428" spans="1:20" x14ac:dyDescent="0.25">
      <c r="A19428" t="str">
        <f>"3053235"</f>
        <v>3053235</v>
      </c>
      <c r="B19428" t="s">
        <v>59443</v>
      </c>
      <c r="C19428" t="str">
        <f>"31235500"</f>
        <v>31235500</v>
      </c>
      <c r="D19428" t="s">
        <v>59440</v>
      </c>
      <c r="F19428" t="s">
        <v>59441</v>
      </c>
      <c r="I19428" t="s">
        <v>29</v>
      </c>
      <c r="J19428" t="s">
        <v>30</v>
      </c>
      <c r="K19428" t="s">
        <v>59442</v>
      </c>
      <c r="M19428" t="s">
        <v>36935</v>
      </c>
      <c r="N19428" t="str">
        <f>"6/5/2023 11:04:00 AM"</f>
        <v>6/5/2023 11:04:00 AM</v>
      </c>
      <c r="O19428" t="s">
        <v>59440</v>
      </c>
    </row>
    <row r="19429" spans="1:20" x14ac:dyDescent="0.25">
      <c r="A19429" t="str">
        <f>"3053319"</f>
        <v>3053319</v>
      </c>
      <c r="B19429" t="s">
        <v>59444</v>
      </c>
      <c r="C19429" t="str">
        <f>"31235500"</f>
        <v>31235500</v>
      </c>
      <c r="D19429" t="s">
        <v>59440</v>
      </c>
      <c r="F19429" t="s">
        <v>59441</v>
      </c>
      <c r="I19429" t="s">
        <v>29</v>
      </c>
      <c r="J19429" t="s">
        <v>30</v>
      </c>
      <c r="K19429" t="s">
        <v>59442</v>
      </c>
      <c r="M19429" t="s">
        <v>36935</v>
      </c>
      <c r="N19429" t="str">
        <f>"6/5/2023 11:04:00 AM"</f>
        <v>6/5/2023 11:04:00 AM</v>
      </c>
      <c r="O19429" t="s">
        <v>59440</v>
      </c>
    </row>
    <row r="19430" spans="1:20" x14ac:dyDescent="0.25">
      <c r="A19430" t="str">
        <f>"3065837"</f>
        <v>3065837</v>
      </c>
      <c r="B19430" t="s">
        <v>59445</v>
      </c>
      <c r="C19430" t="str">
        <f>"82532089"</f>
        <v>82532089</v>
      </c>
      <c r="D19430" t="s">
        <v>59446</v>
      </c>
      <c r="F19430" t="s">
        <v>59447</v>
      </c>
      <c r="I19430" t="s">
        <v>184</v>
      </c>
      <c r="J19430" t="s">
        <v>30</v>
      </c>
      <c r="K19430" t="s">
        <v>185</v>
      </c>
      <c r="M19430" t="s">
        <v>36935</v>
      </c>
      <c r="N19430" t="str">
        <f>"6/5/2023 11:07:00 AM"</f>
        <v>6/5/2023 11:07:00 AM</v>
      </c>
      <c r="O19430" t="s">
        <v>59446</v>
      </c>
    </row>
    <row r="19431" spans="1:20" x14ac:dyDescent="0.25">
      <c r="A19431" t="str">
        <f>"3047109"</f>
        <v>3047109</v>
      </c>
      <c r="B19431" t="s">
        <v>59448</v>
      </c>
      <c r="C19431" t="str">
        <f>"8306624"</f>
        <v>8306624</v>
      </c>
      <c r="D19431" t="s">
        <v>59449</v>
      </c>
      <c r="F19431" t="s">
        <v>59450</v>
      </c>
      <c r="I19431" t="s">
        <v>29</v>
      </c>
      <c r="J19431" t="s">
        <v>30</v>
      </c>
      <c r="K19431" t="str">
        <f>"27028"</f>
        <v>27028</v>
      </c>
      <c r="M19431" t="s">
        <v>36935</v>
      </c>
      <c r="N19431" t="str">
        <f>"6/5/2023 11:09:00 AM"</f>
        <v>6/5/2023 11:09:00 AM</v>
      </c>
      <c r="O19431" t="s">
        <v>59449</v>
      </c>
    </row>
    <row r="19432" spans="1:20" x14ac:dyDescent="0.25">
      <c r="A19432" t="str">
        <f>"3040064"</f>
        <v>3040064</v>
      </c>
      <c r="B19432" t="s">
        <v>59451</v>
      </c>
      <c r="C19432" t="str">
        <f>"63025620"</f>
        <v>63025620</v>
      </c>
      <c r="D19432" t="s">
        <v>59452</v>
      </c>
      <c r="F19432" t="s">
        <v>20281</v>
      </c>
      <c r="I19432" t="s">
        <v>29</v>
      </c>
      <c r="J19432" t="s">
        <v>30</v>
      </c>
      <c r="K19432" t="s">
        <v>31</v>
      </c>
      <c r="M19432" t="s">
        <v>36935</v>
      </c>
      <c r="N19432" t="str">
        <f>"6/5/2023 11:11:00 AM"</f>
        <v>6/5/2023 11:11:00 AM</v>
      </c>
      <c r="O19432" t="s">
        <v>59452</v>
      </c>
    </row>
    <row r="19433" spans="1:20" x14ac:dyDescent="0.25">
      <c r="A19433" t="str">
        <f>"3063010"</f>
        <v>3063010</v>
      </c>
      <c r="B19433" t="s">
        <v>59453</v>
      </c>
      <c r="C19433" t="str">
        <f>"8320355"</f>
        <v>8320355</v>
      </c>
      <c r="D19433" t="s">
        <v>59454</v>
      </c>
      <c r="F19433" t="s">
        <v>59455</v>
      </c>
      <c r="I19433" t="s">
        <v>184</v>
      </c>
      <c r="J19433" t="s">
        <v>30</v>
      </c>
      <c r="K19433" t="s">
        <v>7477</v>
      </c>
      <c r="M19433" t="s">
        <v>17861</v>
      </c>
      <c r="N19433" t="str">
        <f>"6/5/2023 3:51:00 PM"</f>
        <v>6/5/2023 3:51:00 PM</v>
      </c>
      <c r="O19433" t="s">
        <v>59454</v>
      </c>
    </row>
    <row r="19434" spans="1:20" x14ac:dyDescent="0.25">
      <c r="A19434" t="str">
        <f>"3049034"</f>
        <v>3049034</v>
      </c>
      <c r="B19434" t="s">
        <v>59456</v>
      </c>
      <c r="C19434" t="str">
        <f>"8303459"</f>
        <v>8303459</v>
      </c>
      <c r="D19434" t="s">
        <v>59457</v>
      </c>
      <c r="F19434" t="s">
        <v>40798</v>
      </c>
      <c r="I19434" t="s">
        <v>29</v>
      </c>
      <c r="J19434" t="s">
        <v>30</v>
      </c>
      <c r="K19434" t="s">
        <v>40799</v>
      </c>
      <c r="M19434" t="s">
        <v>50621</v>
      </c>
      <c r="N19434" t="str">
        <f>"6/6/2023 11:55:00 AM"</f>
        <v>6/6/2023 11:55:00 AM</v>
      </c>
      <c r="O19434" t="s">
        <v>59457</v>
      </c>
    </row>
    <row r="19435" spans="1:20" x14ac:dyDescent="0.25">
      <c r="A19435" t="str">
        <f>"3056307"</f>
        <v>3056307</v>
      </c>
      <c r="B19435" t="s">
        <v>59458</v>
      </c>
      <c r="C19435" t="str">
        <f>"8320408"</f>
        <v>8320408</v>
      </c>
      <c r="D19435" t="s">
        <v>59459</v>
      </c>
      <c r="E19435" t="s">
        <v>59460</v>
      </c>
      <c r="F19435" t="s">
        <v>59461</v>
      </c>
      <c r="I19435" t="s">
        <v>29</v>
      </c>
      <c r="J19435" t="s">
        <v>30</v>
      </c>
      <c r="K19435" t="s">
        <v>59462</v>
      </c>
      <c r="M19435" t="s">
        <v>17861</v>
      </c>
      <c r="N19435" t="str">
        <f>"6/13/2023 9:27:00 AM"</f>
        <v>6/13/2023 9:27:00 AM</v>
      </c>
      <c r="O19435" t="s">
        <v>59459</v>
      </c>
      <c r="T19435" t="s">
        <v>59460</v>
      </c>
    </row>
    <row r="19436" spans="1:20" x14ac:dyDescent="0.25">
      <c r="A19436" t="str">
        <f>"3056777"</f>
        <v>3056777</v>
      </c>
      <c r="B19436" t="s">
        <v>59463</v>
      </c>
      <c r="C19436" t="str">
        <f>"8320408"</f>
        <v>8320408</v>
      </c>
      <c r="D19436" t="s">
        <v>59459</v>
      </c>
      <c r="E19436" t="s">
        <v>59460</v>
      </c>
      <c r="F19436" t="s">
        <v>59461</v>
      </c>
      <c r="I19436" t="s">
        <v>29</v>
      </c>
      <c r="J19436" t="s">
        <v>30</v>
      </c>
      <c r="K19436" t="s">
        <v>59462</v>
      </c>
      <c r="M19436" t="s">
        <v>17861</v>
      </c>
      <c r="N19436" t="str">
        <f>"6/13/2023 9:27:00 AM"</f>
        <v>6/13/2023 9:27:00 AM</v>
      </c>
      <c r="O19436" t="s">
        <v>59459</v>
      </c>
      <c r="T19436" t="s">
        <v>59460</v>
      </c>
    </row>
    <row r="19437" spans="1:20" x14ac:dyDescent="0.25">
      <c r="A19437" t="str">
        <f>"3057399"</f>
        <v>3057399</v>
      </c>
      <c r="B19437" t="s">
        <v>59464</v>
      </c>
      <c r="C19437" t="str">
        <f t="shared" ref="C19437:C19444" si="291">"8304224"</f>
        <v>8304224</v>
      </c>
      <c r="D19437" t="s">
        <v>59465</v>
      </c>
      <c r="F19437" t="s">
        <v>59466</v>
      </c>
      <c r="I19437" t="s">
        <v>402</v>
      </c>
      <c r="J19437" t="s">
        <v>30</v>
      </c>
      <c r="K19437" t="str">
        <f t="shared" ref="K19437:K19444" si="292">"27012"</f>
        <v>27012</v>
      </c>
      <c r="M19437" t="s">
        <v>17861</v>
      </c>
      <c r="N19437" t="str">
        <f t="shared" ref="N19437:N19444" si="293">"6/13/2023 9:33:00 AM"</f>
        <v>6/13/2023 9:33:00 AM</v>
      </c>
      <c r="O19437" t="s">
        <v>59465</v>
      </c>
    </row>
    <row r="19438" spans="1:20" x14ac:dyDescent="0.25">
      <c r="A19438" t="str">
        <f>"3057400"</f>
        <v>3057400</v>
      </c>
      <c r="B19438" t="s">
        <v>59467</v>
      </c>
      <c r="C19438" t="str">
        <f t="shared" si="291"/>
        <v>8304224</v>
      </c>
      <c r="D19438" t="s">
        <v>59465</v>
      </c>
      <c r="F19438" t="s">
        <v>59466</v>
      </c>
      <c r="I19438" t="s">
        <v>402</v>
      </c>
      <c r="J19438" t="s">
        <v>30</v>
      </c>
      <c r="K19438" t="str">
        <f t="shared" si="292"/>
        <v>27012</v>
      </c>
      <c r="M19438" t="s">
        <v>17861</v>
      </c>
      <c r="N19438" t="str">
        <f t="shared" si="293"/>
        <v>6/13/2023 9:33:00 AM</v>
      </c>
      <c r="O19438" t="s">
        <v>59465</v>
      </c>
    </row>
    <row r="19439" spans="1:20" x14ac:dyDescent="0.25">
      <c r="A19439" t="str">
        <f>"3057401"</f>
        <v>3057401</v>
      </c>
      <c r="B19439" t="s">
        <v>59468</v>
      </c>
      <c r="C19439" t="str">
        <f t="shared" si="291"/>
        <v>8304224</v>
      </c>
      <c r="D19439" t="s">
        <v>59465</v>
      </c>
      <c r="F19439" t="s">
        <v>59466</v>
      </c>
      <c r="I19439" t="s">
        <v>402</v>
      </c>
      <c r="J19439" t="s">
        <v>30</v>
      </c>
      <c r="K19439" t="str">
        <f t="shared" si="292"/>
        <v>27012</v>
      </c>
      <c r="M19439" t="s">
        <v>17861</v>
      </c>
      <c r="N19439" t="str">
        <f t="shared" si="293"/>
        <v>6/13/2023 9:33:00 AM</v>
      </c>
      <c r="O19439" t="s">
        <v>59465</v>
      </c>
    </row>
    <row r="19440" spans="1:20" x14ac:dyDescent="0.25">
      <c r="A19440" t="str">
        <f>"3057402"</f>
        <v>3057402</v>
      </c>
      <c r="B19440" t="s">
        <v>59469</v>
      </c>
      <c r="C19440" t="str">
        <f t="shared" si="291"/>
        <v>8304224</v>
      </c>
      <c r="D19440" t="s">
        <v>59465</v>
      </c>
      <c r="F19440" t="s">
        <v>59466</v>
      </c>
      <c r="I19440" t="s">
        <v>402</v>
      </c>
      <c r="J19440" t="s">
        <v>30</v>
      </c>
      <c r="K19440" t="str">
        <f t="shared" si="292"/>
        <v>27012</v>
      </c>
      <c r="M19440" t="s">
        <v>17861</v>
      </c>
      <c r="N19440" t="str">
        <f t="shared" si="293"/>
        <v>6/13/2023 9:33:00 AM</v>
      </c>
      <c r="O19440" t="s">
        <v>59465</v>
      </c>
    </row>
    <row r="19441" spans="1:20" x14ac:dyDescent="0.25">
      <c r="A19441" t="str">
        <f>"3057439"</f>
        <v>3057439</v>
      </c>
      <c r="B19441" t="s">
        <v>59470</v>
      </c>
      <c r="C19441" t="str">
        <f t="shared" si="291"/>
        <v>8304224</v>
      </c>
      <c r="D19441" t="s">
        <v>59465</v>
      </c>
      <c r="F19441" t="s">
        <v>59466</v>
      </c>
      <c r="I19441" t="s">
        <v>402</v>
      </c>
      <c r="J19441" t="s">
        <v>30</v>
      </c>
      <c r="K19441" t="str">
        <f t="shared" si="292"/>
        <v>27012</v>
      </c>
      <c r="M19441" t="s">
        <v>17861</v>
      </c>
      <c r="N19441" t="str">
        <f t="shared" si="293"/>
        <v>6/13/2023 9:33:00 AM</v>
      </c>
      <c r="O19441" t="s">
        <v>59465</v>
      </c>
    </row>
    <row r="19442" spans="1:20" x14ac:dyDescent="0.25">
      <c r="A19442" t="str">
        <f>"3057440"</f>
        <v>3057440</v>
      </c>
      <c r="B19442" t="s">
        <v>59471</v>
      </c>
      <c r="C19442" t="str">
        <f t="shared" si="291"/>
        <v>8304224</v>
      </c>
      <c r="D19442" t="s">
        <v>59465</v>
      </c>
      <c r="F19442" t="s">
        <v>59466</v>
      </c>
      <c r="I19442" t="s">
        <v>402</v>
      </c>
      <c r="J19442" t="s">
        <v>30</v>
      </c>
      <c r="K19442" t="str">
        <f t="shared" si="292"/>
        <v>27012</v>
      </c>
      <c r="M19442" t="s">
        <v>17861</v>
      </c>
      <c r="N19442" t="str">
        <f t="shared" si="293"/>
        <v>6/13/2023 9:33:00 AM</v>
      </c>
      <c r="O19442" t="s">
        <v>59465</v>
      </c>
    </row>
    <row r="19443" spans="1:20" x14ac:dyDescent="0.25">
      <c r="A19443" t="str">
        <f>"3049626"</f>
        <v>3049626</v>
      </c>
      <c r="B19443" t="s">
        <v>59472</v>
      </c>
      <c r="C19443" t="str">
        <f t="shared" si="291"/>
        <v>8304224</v>
      </c>
      <c r="D19443" t="s">
        <v>59465</v>
      </c>
      <c r="F19443" t="s">
        <v>59466</v>
      </c>
      <c r="I19443" t="s">
        <v>402</v>
      </c>
      <c r="J19443" t="s">
        <v>30</v>
      </c>
      <c r="K19443" t="str">
        <f t="shared" si="292"/>
        <v>27012</v>
      </c>
      <c r="M19443" t="s">
        <v>17861</v>
      </c>
      <c r="N19443" t="str">
        <f t="shared" si="293"/>
        <v>6/13/2023 9:33:00 AM</v>
      </c>
      <c r="O19443" t="s">
        <v>59465</v>
      </c>
    </row>
    <row r="19444" spans="1:20" x14ac:dyDescent="0.25">
      <c r="A19444" t="str">
        <f>"3049230"</f>
        <v>3049230</v>
      </c>
      <c r="B19444" t="s">
        <v>59473</v>
      </c>
      <c r="C19444" t="str">
        <f t="shared" si="291"/>
        <v>8304224</v>
      </c>
      <c r="D19444" t="s">
        <v>59465</v>
      </c>
      <c r="F19444" t="s">
        <v>59466</v>
      </c>
      <c r="I19444" t="s">
        <v>402</v>
      </c>
      <c r="J19444" t="s">
        <v>30</v>
      </c>
      <c r="K19444" t="str">
        <f t="shared" si="292"/>
        <v>27012</v>
      </c>
      <c r="M19444" t="s">
        <v>17861</v>
      </c>
      <c r="N19444" t="str">
        <f t="shared" si="293"/>
        <v>6/13/2023 9:33:00 AM</v>
      </c>
      <c r="O19444" t="s">
        <v>59465</v>
      </c>
    </row>
    <row r="19445" spans="1:20" x14ac:dyDescent="0.25">
      <c r="A19445" t="str">
        <f>"3056034"</f>
        <v>3056034</v>
      </c>
      <c r="B19445" t="s">
        <v>59474</v>
      </c>
      <c r="C19445" t="str">
        <f>"8320410"</f>
        <v>8320410</v>
      </c>
      <c r="D19445" t="s">
        <v>59475</v>
      </c>
      <c r="E19445" t="s">
        <v>59476</v>
      </c>
      <c r="F19445" t="s">
        <v>16152</v>
      </c>
      <c r="I19445" t="s">
        <v>9580</v>
      </c>
      <c r="J19445" t="s">
        <v>30</v>
      </c>
      <c r="K19445" t="s">
        <v>16153</v>
      </c>
      <c r="M19445" t="s">
        <v>17861</v>
      </c>
      <c r="N19445" t="str">
        <f>"6/13/2023 9:57:00 AM"</f>
        <v>6/13/2023 9:57:00 AM</v>
      </c>
      <c r="O19445" t="s">
        <v>59475</v>
      </c>
      <c r="T19445" t="s">
        <v>59476</v>
      </c>
    </row>
    <row r="19446" spans="1:20" x14ac:dyDescent="0.25">
      <c r="A19446" t="str">
        <f>"3048858"</f>
        <v>3048858</v>
      </c>
      <c r="B19446" t="s">
        <v>59477</v>
      </c>
      <c r="C19446" t="str">
        <f>"8303459"</f>
        <v>8303459</v>
      </c>
      <c r="D19446" t="s">
        <v>59457</v>
      </c>
      <c r="F19446" t="s">
        <v>40798</v>
      </c>
      <c r="I19446" t="s">
        <v>29</v>
      </c>
      <c r="J19446" t="s">
        <v>30</v>
      </c>
      <c r="K19446" t="s">
        <v>40799</v>
      </c>
      <c r="M19446" t="s">
        <v>50621</v>
      </c>
      <c r="N19446" t="str">
        <f>"6/6/2023 11:55:00 AM"</f>
        <v>6/6/2023 11:55:00 AM</v>
      </c>
      <c r="O19446" t="s">
        <v>59457</v>
      </c>
    </row>
    <row r="19447" spans="1:20" x14ac:dyDescent="0.25">
      <c r="A19447" t="str">
        <f>"3058403"</f>
        <v>3058403</v>
      </c>
      <c r="B19447" t="s">
        <v>59478</v>
      </c>
      <c r="C19447" t="str">
        <f>"8309665"</f>
        <v>8309665</v>
      </c>
      <c r="D19447" t="s">
        <v>59479</v>
      </c>
      <c r="E19447" t="s">
        <v>59480</v>
      </c>
      <c r="F19447" t="s">
        <v>59481</v>
      </c>
      <c r="I19447" t="s">
        <v>29543</v>
      </c>
      <c r="J19447" t="s">
        <v>2738</v>
      </c>
      <c r="K19447" t="str">
        <f>"10017"</f>
        <v>10017</v>
      </c>
      <c r="M19447" t="s">
        <v>50621</v>
      </c>
      <c r="N19447" t="str">
        <f>"6/6/2023 12:28:00 PM"</f>
        <v>6/6/2023 12:28:00 PM</v>
      </c>
      <c r="O19447" t="s">
        <v>59479</v>
      </c>
      <c r="T19447" t="s">
        <v>59480</v>
      </c>
    </row>
    <row r="19448" spans="1:20" x14ac:dyDescent="0.25">
      <c r="A19448" t="str">
        <f>"3057029"</f>
        <v>3057029</v>
      </c>
      <c r="B19448" t="s">
        <v>59482</v>
      </c>
      <c r="C19448" t="str">
        <f>"8320419"</f>
        <v>8320419</v>
      </c>
      <c r="D19448" t="s">
        <v>59483</v>
      </c>
      <c r="E19448" t="str">
        <f>"CALLAWAY DONALD L SR/LINDA W"</f>
        <v>CALLAWAY DONALD L SR/LINDA W</v>
      </c>
      <c r="F19448" t="s">
        <v>59484</v>
      </c>
      <c r="I19448" t="s">
        <v>24359</v>
      </c>
      <c r="J19448" t="s">
        <v>30</v>
      </c>
      <c r="K19448" t="str">
        <f>"27006"</f>
        <v>27006</v>
      </c>
      <c r="M19448" t="s">
        <v>17861</v>
      </c>
      <c r="N19448" t="str">
        <f>"6/13/2023 1:53:00 PM"</f>
        <v>6/13/2023 1:53:00 PM</v>
      </c>
      <c r="O19448" t="s">
        <v>59483</v>
      </c>
      <c r="T19448" t="str">
        <f>"CALLAWAY DONALD L SR/LINDA W"</f>
        <v>CALLAWAY DONALD L SR/LINDA W</v>
      </c>
    </row>
    <row r="19449" spans="1:20" x14ac:dyDescent="0.25">
      <c r="A19449" t="str">
        <f>"3067162"</f>
        <v>3067162</v>
      </c>
      <c r="B19449" t="s">
        <v>59485</v>
      </c>
      <c r="C19449" t="str">
        <f>"8320420"</f>
        <v>8320420</v>
      </c>
      <c r="D19449" t="s">
        <v>59486</v>
      </c>
      <c r="E19449" t="s">
        <v>59487</v>
      </c>
      <c r="F19449" t="s">
        <v>59488</v>
      </c>
      <c r="I19449" t="s">
        <v>29</v>
      </c>
      <c r="J19449" t="s">
        <v>30</v>
      </c>
      <c r="K19449" t="s">
        <v>36361</v>
      </c>
      <c r="M19449" t="s">
        <v>17861</v>
      </c>
      <c r="N19449" t="str">
        <f>"6/13/2023 2:08:00 PM"</f>
        <v>6/13/2023 2:08:00 PM</v>
      </c>
      <c r="O19449" t="s">
        <v>59486</v>
      </c>
      <c r="T19449" t="s">
        <v>59487</v>
      </c>
    </row>
    <row r="19450" spans="1:20" x14ac:dyDescent="0.25">
      <c r="A19450" t="str">
        <f>"3062060"</f>
        <v>3062060</v>
      </c>
      <c r="B19450" t="s">
        <v>59489</v>
      </c>
      <c r="C19450" t="str">
        <f>"8316824"</f>
        <v>8316824</v>
      </c>
      <c r="D19450" t="s">
        <v>59376</v>
      </c>
      <c r="F19450" t="s">
        <v>59377</v>
      </c>
      <c r="I19450" t="s">
        <v>29</v>
      </c>
      <c r="J19450" t="s">
        <v>30</v>
      </c>
      <c r="K19450" t="s">
        <v>59378</v>
      </c>
      <c r="M19450" t="s">
        <v>50621</v>
      </c>
      <c r="N19450" t="str">
        <f>"6/6/2023 12:48:00 PM"</f>
        <v>6/6/2023 12:48:00 PM</v>
      </c>
      <c r="O19450" t="s">
        <v>59376</v>
      </c>
    </row>
    <row r="19451" spans="1:20" x14ac:dyDescent="0.25">
      <c r="A19451" t="str">
        <f>"3048721"</f>
        <v>3048721</v>
      </c>
      <c r="B19451" t="s">
        <v>59490</v>
      </c>
      <c r="C19451" t="str">
        <f>"8316824"</f>
        <v>8316824</v>
      </c>
      <c r="D19451" t="s">
        <v>59376</v>
      </c>
      <c r="F19451" t="s">
        <v>59377</v>
      </c>
      <c r="I19451" t="s">
        <v>29</v>
      </c>
      <c r="J19451" t="s">
        <v>30</v>
      </c>
      <c r="K19451" t="s">
        <v>59378</v>
      </c>
      <c r="M19451" t="s">
        <v>50621</v>
      </c>
      <c r="N19451" t="str">
        <f>"6/6/2023 12:48:00 PM"</f>
        <v>6/6/2023 12:48:00 PM</v>
      </c>
      <c r="O19451" t="s">
        <v>59376</v>
      </c>
    </row>
    <row r="19452" spans="1:20" x14ac:dyDescent="0.25">
      <c r="A19452" t="str">
        <f>"3051686"</f>
        <v>3051686</v>
      </c>
      <c r="B19452" t="s">
        <v>59491</v>
      </c>
      <c r="C19452" t="str">
        <f>"8316824"</f>
        <v>8316824</v>
      </c>
      <c r="D19452" t="s">
        <v>59376</v>
      </c>
      <c r="F19452" t="s">
        <v>59377</v>
      </c>
      <c r="I19452" t="s">
        <v>29</v>
      </c>
      <c r="J19452" t="s">
        <v>30</v>
      </c>
      <c r="K19452" t="s">
        <v>59378</v>
      </c>
      <c r="M19452" t="s">
        <v>50621</v>
      </c>
      <c r="N19452" t="str">
        <f>"6/6/2023 12:48:00 PM"</f>
        <v>6/6/2023 12:48:00 PM</v>
      </c>
      <c r="O19452" t="s">
        <v>59376</v>
      </c>
    </row>
    <row r="19453" spans="1:20" x14ac:dyDescent="0.25">
      <c r="A19453" t="str">
        <f>"3056046"</f>
        <v>3056046</v>
      </c>
      <c r="B19453" t="s">
        <v>59492</v>
      </c>
      <c r="C19453" t="str">
        <f>"82532317"</f>
        <v>82532317</v>
      </c>
      <c r="D19453" t="s">
        <v>59493</v>
      </c>
      <c r="F19453" t="s">
        <v>59494</v>
      </c>
      <c r="I19453" t="s">
        <v>9580</v>
      </c>
      <c r="J19453" t="s">
        <v>30</v>
      </c>
      <c r="K19453" t="s">
        <v>9581</v>
      </c>
      <c r="M19453" t="s">
        <v>50621</v>
      </c>
      <c r="N19453" t="str">
        <f>"6/6/2023 2:58:00 PM"</f>
        <v>6/6/2023 2:58:00 PM</v>
      </c>
      <c r="O19453" t="s">
        <v>59493</v>
      </c>
    </row>
    <row r="19454" spans="1:20" x14ac:dyDescent="0.25">
      <c r="A19454" t="str">
        <f>"3061747"</f>
        <v>3061747</v>
      </c>
      <c r="B19454" t="s">
        <v>59495</v>
      </c>
      <c r="C19454" t="str">
        <f>"8320437"</f>
        <v>8320437</v>
      </c>
      <c r="D19454" t="s">
        <v>59496</v>
      </c>
      <c r="E19454" t="s">
        <v>59497</v>
      </c>
      <c r="F19454" t="s">
        <v>59498</v>
      </c>
      <c r="I19454" t="s">
        <v>2071</v>
      </c>
      <c r="J19454" t="s">
        <v>30</v>
      </c>
      <c r="K19454" t="s">
        <v>4124</v>
      </c>
      <c r="M19454" t="s">
        <v>17861</v>
      </c>
      <c r="N19454" t="str">
        <f>"6/15/2023 10:10:00 AM"</f>
        <v>6/15/2023 10:10:00 AM</v>
      </c>
      <c r="O19454" t="s">
        <v>59496</v>
      </c>
      <c r="T19454" t="s">
        <v>59497</v>
      </c>
    </row>
    <row r="19455" spans="1:20" x14ac:dyDescent="0.25">
      <c r="A19455" t="str">
        <f>"3061831"</f>
        <v>3061831</v>
      </c>
      <c r="B19455" t="s">
        <v>59499</v>
      </c>
      <c r="C19455" t="str">
        <f>"8320359"</f>
        <v>8320359</v>
      </c>
      <c r="D19455" t="s">
        <v>59500</v>
      </c>
      <c r="E19455" t="s">
        <v>59501</v>
      </c>
      <c r="F19455" t="s">
        <v>59502</v>
      </c>
      <c r="I19455" t="s">
        <v>184</v>
      </c>
      <c r="J19455" t="s">
        <v>30</v>
      </c>
      <c r="K19455" t="s">
        <v>58030</v>
      </c>
      <c r="M19455" t="s">
        <v>17861</v>
      </c>
      <c r="N19455" t="str">
        <f>"6/7/2023 9:34:00 AM"</f>
        <v>6/7/2023 9:34:00 AM</v>
      </c>
      <c r="O19455" t="s">
        <v>59500</v>
      </c>
      <c r="T19455" t="s">
        <v>59501</v>
      </c>
    </row>
    <row r="19456" spans="1:20" x14ac:dyDescent="0.25">
      <c r="A19456" t="str">
        <f>"3045106"</f>
        <v>3045106</v>
      </c>
      <c r="B19456" t="s">
        <v>59503</v>
      </c>
      <c r="C19456" t="str">
        <f>"21762000"</f>
        <v>21762000</v>
      </c>
      <c r="D19456" t="s">
        <v>59504</v>
      </c>
      <c r="F19456" t="s">
        <v>40561</v>
      </c>
      <c r="I19456" t="s">
        <v>29</v>
      </c>
      <c r="J19456" t="s">
        <v>30</v>
      </c>
      <c r="K19456" t="s">
        <v>40562</v>
      </c>
      <c r="M19456" t="s">
        <v>50621</v>
      </c>
      <c r="N19456" t="str">
        <f>"6/7/2023 1:46:00 PM"</f>
        <v>6/7/2023 1:46:00 PM</v>
      </c>
      <c r="O19456" t="s">
        <v>59504</v>
      </c>
    </row>
    <row r="19457" spans="1:20" x14ac:dyDescent="0.25">
      <c r="A19457" t="str">
        <f>"3046127"</f>
        <v>3046127</v>
      </c>
      <c r="B19457" t="s">
        <v>59505</v>
      </c>
      <c r="C19457" t="str">
        <f>"8320442"</f>
        <v>8320442</v>
      </c>
      <c r="D19457" t="s">
        <v>59506</v>
      </c>
      <c r="F19457" t="s">
        <v>46728</v>
      </c>
      <c r="I19457" t="s">
        <v>29</v>
      </c>
      <c r="J19457" t="s">
        <v>30</v>
      </c>
      <c r="K19457" t="s">
        <v>20232</v>
      </c>
      <c r="M19457" t="s">
        <v>17861</v>
      </c>
      <c r="N19457" t="str">
        <f>"6/15/2023 1:54:00 PM"</f>
        <v>6/15/2023 1:54:00 PM</v>
      </c>
      <c r="O19457" t="s">
        <v>59506</v>
      </c>
    </row>
    <row r="19458" spans="1:20" x14ac:dyDescent="0.25">
      <c r="A19458" t="str">
        <f>"3089113"</f>
        <v>3089113</v>
      </c>
      <c r="B19458" t="s">
        <v>59507</v>
      </c>
      <c r="C19458" t="str">
        <f>"8320445"</f>
        <v>8320445</v>
      </c>
      <c r="D19458" t="s">
        <v>59508</v>
      </c>
      <c r="F19458" t="s">
        <v>59509</v>
      </c>
      <c r="I19458" t="s">
        <v>29</v>
      </c>
      <c r="J19458" t="s">
        <v>30</v>
      </c>
      <c r="K19458" t="s">
        <v>56931</v>
      </c>
      <c r="M19458" t="s">
        <v>17861</v>
      </c>
      <c r="N19458" t="str">
        <f>"6/15/2023 3:08:00 PM"</f>
        <v>6/15/2023 3:08:00 PM</v>
      </c>
      <c r="O19458" t="s">
        <v>59508</v>
      </c>
    </row>
    <row r="19459" spans="1:20" x14ac:dyDescent="0.25">
      <c r="A19459" t="str">
        <f>"3055033"</f>
        <v>3055033</v>
      </c>
      <c r="B19459" t="s">
        <v>59510</v>
      </c>
      <c r="C19459" t="str">
        <f>"8320447"</f>
        <v>8320447</v>
      </c>
      <c r="D19459" t="s">
        <v>59511</v>
      </c>
      <c r="F19459" t="s">
        <v>59512</v>
      </c>
      <c r="I19459" t="s">
        <v>29</v>
      </c>
      <c r="J19459" t="s">
        <v>30</v>
      </c>
      <c r="K19459" t="s">
        <v>59513</v>
      </c>
      <c r="M19459" t="s">
        <v>17861</v>
      </c>
      <c r="N19459" t="str">
        <f>"6/15/2023 3:26:00 PM"</f>
        <v>6/15/2023 3:26:00 PM</v>
      </c>
      <c r="O19459" t="s">
        <v>59511</v>
      </c>
    </row>
    <row r="19460" spans="1:20" x14ac:dyDescent="0.25">
      <c r="A19460" t="str">
        <f>"3057778"</f>
        <v>3057778</v>
      </c>
      <c r="B19460" t="s">
        <v>59514</v>
      </c>
      <c r="C19460" t="str">
        <f>"8320374"</f>
        <v>8320374</v>
      </c>
      <c r="D19460" t="s">
        <v>59515</v>
      </c>
      <c r="F19460" t="s">
        <v>59516</v>
      </c>
      <c r="I19460" t="s">
        <v>29</v>
      </c>
      <c r="J19460" t="s">
        <v>30</v>
      </c>
      <c r="K19460" t="s">
        <v>49114</v>
      </c>
      <c r="M19460" t="s">
        <v>17861</v>
      </c>
      <c r="N19460" t="str">
        <f>"6/7/2023 4:02:00 PM"</f>
        <v>6/7/2023 4:02:00 PM</v>
      </c>
      <c r="O19460" t="s">
        <v>59515</v>
      </c>
    </row>
    <row r="19461" spans="1:20" x14ac:dyDescent="0.25">
      <c r="A19461" t="str">
        <f>"3062077"</f>
        <v>3062077</v>
      </c>
      <c r="B19461" t="s">
        <v>59517</v>
      </c>
      <c r="C19461" t="str">
        <f>"8320449"</f>
        <v>8320449</v>
      </c>
      <c r="D19461" t="s">
        <v>59518</v>
      </c>
      <c r="F19461" t="s">
        <v>59519</v>
      </c>
      <c r="I19461" t="s">
        <v>29</v>
      </c>
      <c r="J19461" t="s">
        <v>30</v>
      </c>
      <c r="K19461" t="s">
        <v>1075</v>
      </c>
      <c r="M19461" t="s">
        <v>17861</v>
      </c>
      <c r="N19461" t="str">
        <f>"6/19/2023 9:14:00 AM"</f>
        <v>6/19/2023 9:14:00 AM</v>
      </c>
      <c r="O19461" t="s">
        <v>59518</v>
      </c>
    </row>
    <row r="19462" spans="1:20" x14ac:dyDescent="0.25">
      <c r="A19462" t="str">
        <f>"3061676"</f>
        <v>3061676</v>
      </c>
      <c r="B19462" t="s">
        <v>59520</v>
      </c>
      <c r="C19462" t="str">
        <f>"8320451"</f>
        <v>8320451</v>
      </c>
      <c r="D19462" t="s">
        <v>59521</v>
      </c>
      <c r="E19462" t="s">
        <v>59522</v>
      </c>
      <c r="F19462" t="s">
        <v>59523</v>
      </c>
      <c r="I19462" t="s">
        <v>184</v>
      </c>
      <c r="J19462" t="s">
        <v>30</v>
      </c>
      <c r="K19462" t="s">
        <v>4124</v>
      </c>
      <c r="M19462" t="s">
        <v>17861</v>
      </c>
      <c r="N19462" t="str">
        <f>"6/19/2023 9:28:00 AM"</f>
        <v>6/19/2023 9:28:00 AM</v>
      </c>
      <c r="O19462" t="s">
        <v>59521</v>
      </c>
      <c r="T19462" t="s">
        <v>59522</v>
      </c>
    </row>
    <row r="19463" spans="1:20" x14ac:dyDescent="0.25">
      <c r="A19463" t="str">
        <f>"3058307"</f>
        <v>3058307</v>
      </c>
      <c r="B19463" t="s">
        <v>59524</v>
      </c>
      <c r="C19463" t="str">
        <f>"8320452"</f>
        <v>8320452</v>
      </c>
      <c r="D19463" t="s">
        <v>59525</v>
      </c>
      <c r="F19463" t="s">
        <v>59526</v>
      </c>
      <c r="I19463" t="s">
        <v>29</v>
      </c>
      <c r="J19463" t="s">
        <v>30</v>
      </c>
      <c r="K19463" t="str">
        <f>"27028"</f>
        <v>27028</v>
      </c>
      <c r="M19463" t="s">
        <v>17861</v>
      </c>
      <c r="N19463" t="str">
        <f>"6/19/2023 9:59:00 AM"</f>
        <v>6/19/2023 9:59:00 AM</v>
      </c>
      <c r="O19463" t="s">
        <v>59525</v>
      </c>
    </row>
    <row r="19464" spans="1:20" x14ac:dyDescent="0.25">
      <c r="A19464" t="str">
        <f>"3058262"</f>
        <v>3058262</v>
      </c>
      <c r="B19464" t="s">
        <v>59527</v>
      </c>
      <c r="C19464" t="str">
        <f>"8320453"</f>
        <v>8320453</v>
      </c>
      <c r="D19464" t="s">
        <v>59528</v>
      </c>
      <c r="E19464" t="s">
        <v>59529</v>
      </c>
      <c r="F19464" t="s">
        <v>59530</v>
      </c>
      <c r="I19464" t="s">
        <v>29</v>
      </c>
      <c r="J19464" t="s">
        <v>30</v>
      </c>
      <c r="K19464" t="s">
        <v>27281</v>
      </c>
      <c r="M19464" t="s">
        <v>17861</v>
      </c>
      <c r="N19464" t="str">
        <f>"6/19/2023 10:05:00 AM"</f>
        <v>6/19/2023 10:05:00 AM</v>
      </c>
      <c r="O19464" t="s">
        <v>59528</v>
      </c>
      <c r="T19464" t="s">
        <v>59529</v>
      </c>
    </row>
    <row r="19465" spans="1:20" x14ac:dyDescent="0.25">
      <c r="A19465" t="str">
        <f>"3041925"</f>
        <v>3041925</v>
      </c>
      <c r="B19465" t="s">
        <v>59531</v>
      </c>
      <c r="C19465" t="str">
        <f>"8320381"</f>
        <v>8320381</v>
      </c>
      <c r="D19465" t="s">
        <v>59532</v>
      </c>
      <c r="F19465" t="s">
        <v>59533</v>
      </c>
      <c r="I19465" t="s">
        <v>2071</v>
      </c>
      <c r="J19465" t="s">
        <v>30</v>
      </c>
      <c r="K19465" t="s">
        <v>59534</v>
      </c>
      <c r="M19465" t="s">
        <v>17861</v>
      </c>
      <c r="N19465" t="str">
        <f>"6/9/2023 8:57:00 AM"</f>
        <v>6/9/2023 8:57:00 AM</v>
      </c>
      <c r="O19465" t="s">
        <v>59532</v>
      </c>
    </row>
    <row r="19466" spans="1:20" x14ac:dyDescent="0.25">
      <c r="A19466" t="str">
        <f>"3057740"</f>
        <v>3057740</v>
      </c>
      <c r="B19466" t="s">
        <v>59535</v>
      </c>
      <c r="C19466" t="str">
        <f>"8320455"</f>
        <v>8320455</v>
      </c>
      <c r="D19466" t="s">
        <v>59536</v>
      </c>
      <c r="E19466" t="s">
        <v>59537</v>
      </c>
      <c r="F19466" t="s">
        <v>59538</v>
      </c>
      <c r="I19466" t="s">
        <v>29</v>
      </c>
      <c r="J19466" t="s">
        <v>30</v>
      </c>
      <c r="K19466" t="s">
        <v>33464</v>
      </c>
      <c r="M19466" t="s">
        <v>17861</v>
      </c>
      <c r="N19466" t="str">
        <f>"6/19/2023 10:43:00 AM"</f>
        <v>6/19/2023 10:43:00 AM</v>
      </c>
      <c r="O19466" t="s">
        <v>59536</v>
      </c>
      <c r="T19466" t="s">
        <v>59537</v>
      </c>
    </row>
    <row r="19467" spans="1:20" x14ac:dyDescent="0.25">
      <c r="A19467" t="str">
        <f>"3046711"</f>
        <v>3046711</v>
      </c>
      <c r="B19467" t="s">
        <v>59539</v>
      </c>
      <c r="C19467" t="str">
        <f>"8320383"</f>
        <v>8320383</v>
      </c>
      <c r="D19467" t="s">
        <v>59540</v>
      </c>
      <c r="E19467" t="s">
        <v>59541</v>
      </c>
      <c r="F19467" t="s">
        <v>59542</v>
      </c>
      <c r="I19467" t="s">
        <v>184</v>
      </c>
      <c r="J19467" t="s">
        <v>30</v>
      </c>
      <c r="K19467" t="s">
        <v>7850</v>
      </c>
      <c r="M19467" t="s">
        <v>17861</v>
      </c>
      <c r="N19467" t="str">
        <f>"6/9/2023 9:05:00 AM"</f>
        <v>6/9/2023 9:05:00 AM</v>
      </c>
      <c r="O19467" t="s">
        <v>59540</v>
      </c>
      <c r="T19467" t="s">
        <v>59541</v>
      </c>
    </row>
    <row r="19468" spans="1:20" x14ac:dyDescent="0.25">
      <c r="A19468" t="str">
        <f>"3076691"</f>
        <v>3076691</v>
      </c>
      <c r="B19468" t="s">
        <v>59543</v>
      </c>
      <c r="C19468" t="str">
        <f>"8320472"</f>
        <v>8320472</v>
      </c>
      <c r="D19468" t="s">
        <v>59544</v>
      </c>
      <c r="E19468" t="s">
        <v>59545</v>
      </c>
      <c r="F19468" t="s">
        <v>59546</v>
      </c>
      <c r="I19468" t="s">
        <v>29</v>
      </c>
      <c r="J19468" t="s">
        <v>30</v>
      </c>
      <c r="K19468" t="s">
        <v>59547</v>
      </c>
      <c r="M19468" t="s">
        <v>17861</v>
      </c>
      <c r="N19468" t="str">
        <f>"6/20/2023 3:01:00 PM"</f>
        <v>6/20/2023 3:01:00 PM</v>
      </c>
      <c r="O19468" t="s">
        <v>59544</v>
      </c>
      <c r="T19468" t="s">
        <v>59545</v>
      </c>
    </row>
    <row r="19469" spans="1:20" x14ac:dyDescent="0.25">
      <c r="A19469" t="str">
        <f>"3076692"</f>
        <v>3076692</v>
      </c>
      <c r="B19469" t="s">
        <v>59548</v>
      </c>
      <c r="C19469" t="str">
        <f>"8320472"</f>
        <v>8320472</v>
      </c>
      <c r="D19469" t="s">
        <v>59544</v>
      </c>
      <c r="E19469" t="s">
        <v>59545</v>
      </c>
      <c r="F19469" t="s">
        <v>59546</v>
      </c>
      <c r="I19469" t="s">
        <v>29</v>
      </c>
      <c r="J19469" t="s">
        <v>30</v>
      </c>
      <c r="K19469" t="s">
        <v>59547</v>
      </c>
      <c r="M19469" t="s">
        <v>17861</v>
      </c>
      <c r="N19469" t="str">
        <f>"6/20/2023 3:01:00 PM"</f>
        <v>6/20/2023 3:01:00 PM</v>
      </c>
      <c r="O19469" t="s">
        <v>59544</v>
      </c>
      <c r="T19469" t="s">
        <v>59545</v>
      </c>
    </row>
    <row r="19470" spans="1:20" x14ac:dyDescent="0.25">
      <c r="A19470" t="str">
        <f>"3057889"</f>
        <v>3057889</v>
      </c>
      <c r="B19470" t="s">
        <v>59549</v>
      </c>
      <c r="C19470" t="str">
        <f>"8320475"</f>
        <v>8320475</v>
      </c>
      <c r="D19470" t="s">
        <v>59550</v>
      </c>
      <c r="E19470" t="s">
        <v>59551</v>
      </c>
      <c r="F19470" t="s">
        <v>59552</v>
      </c>
      <c r="I19470" t="s">
        <v>184</v>
      </c>
      <c r="J19470" t="s">
        <v>30</v>
      </c>
      <c r="K19470" t="s">
        <v>39012</v>
      </c>
      <c r="M19470" t="s">
        <v>17861</v>
      </c>
      <c r="N19470" t="str">
        <f>"6/20/2023 3:23:00 PM"</f>
        <v>6/20/2023 3:23:00 PM</v>
      </c>
      <c r="O19470" t="s">
        <v>59550</v>
      </c>
      <c r="T19470" t="s">
        <v>59551</v>
      </c>
    </row>
    <row r="19471" spans="1:20" x14ac:dyDescent="0.25">
      <c r="A19471" t="str">
        <f>"3055970"</f>
        <v>3055970</v>
      </c>
      <c r="B19471" t="s">
        <v>59553</v>
      </c>
      <c r="C19471" t="str">
        <f>"8320477"</f>
        <v>8320477</v>
      </c>
      <c r="D19471" t="s">
        <v>59554</v>
      </c>
      <c r="F19471" t="s">
        <v>59555</v>
      </c>
      <c r="I19471" t="s">
        <v>9580</v>
      </c>
      <c r="J19471" t="s">
        <v>30</v>
      </c>
      <c r="K19471" t="s">
        <v>59556</v>
      </c>
      <c r="M19471" t="s">
        <v>17861</v>
      </c>
      <c r="N19471" t="str">
        <f>"6/20/2023 4:12:00 PM"</f>
        <v>6/20/2023 4:12:00 PM</v>
      </c>
      <c r="O19471" t="s">
        <v>59554</v>
      </c>
    </row>
    <row r="19472" spans="1:20" x14ac:dyDescent="0.25">
      <c r="A19472" t="str">
        <f>"3055846"</f>
        <v>3055846</v>
      </c>
      <c r="B19472" t="s">
        <v>59557</v>
      </c>
      <c r="C19472" t="str">
        <f>"8320477"</f>
        <v>8320477</v>
      </c>
      <c r="D19472" t="s">
        <v>59554</v>
      </c>
      <c r="F19472" t="s">
        <v>59555</v>
      </c>
      <c r="I19472" t="s">
        <v>9580</v>
      </c>
      <c r="J19472" t="s">
        <v>30</v>
      </c>
      <c r="K19472" t="s">
        <v>59556</v>
      </c>
      <c r="M19472" t="s">
        <v>17861</v>
      </c>
      <c r="N19472" t="str">
        <f>"6/20/2023 4:12:00 PM"</f>
        <v>6/20/2023 4:12:00 PM</v>
      </c>
      <c r="O19472" t="s">
        <v>59554</v>
      </c>
    </row>
    <row r="19473" spans="1:20" x14ac:dyDescent="0.25">
      <c r="A19473" t="str">
        <f>"3078667"</f>
        <v>3078667</v>
      </c>
      <c r="B19473" t="s">
        <v>59558</v>
      </c>
      <c r="C19473" t="str">
        <f>"8320384"</f>
        <v>8320384</v>
      </c>
      <c r="D19473" t="s">
        <v>59559</v>
      </c>
      <c r="E19473" t="s">
        <v>59560</v>
      </c>
      <c r="F19473" t="s">
        <v>59561</v>
      </c>
      <c r="I19473" t="s">
        <v>29</v>
      </c>
      <c r="J19473" t="s">
        <v>30</v>
      </c>
      <c r="K19473" t="s">
        <v>59562</v>
      </c>
      <c r="M19473" t="s">
        <v>17861</v>
      </c>
      <c r="N19473" t="str">
        <f>"6/9/2023 9:44:00 AM"</f>
        <v>6/9/2023 9:44:00 AM</v>
      </c>
      <c r="O19473" t="s">
        <v>59559</v>
      </c>
      <c r="T19473" t="s">
        <v>59560</v>
      </c>
    </row>
    <row r="19474" spans="1:20" x14ac:dyDescent="0.25">
      <c r="A19474" t="str">
        <f>"3057881"</f>
        <v>3057881</v>
      </c>
      <c r="B19474" t="s">
        <v>59563</v>
      </c>
      <c r="C19474" t="str">
        <f>"8320385"</f>
        <v>8320385</v>
      </c>
      <c r="D19474" t="s">
        <v>59564</v>
      </c>
      <c r="E19474" t="s">
        <v>59565</v>
      </c>
      <c r="F19474" t="s">
        <v>59566</v>
      </c>
      <c r="I19474" t="s">
        <v>184</v>
      </c>
      <c r="J19474" t="s">
        <v>30</v>
      </c>
      <c r="K19474" t="s">
        <v>39012</v>
      </c>
      <c r="M19474" t="s">
        <v>17861</v>
      </c>
      <c r="N19474" t="str">
        <f>"6/9/2023 9:47:00 AM"</f>
        <v>6/9/2023 9:47:00 AM</v>
      </c>
      <c r="O19474" t="s">
        <v>59564</v>
      </c>
      <c r="T19474" t="s">
        <v>59565</v>
      </c>
    </row>
    <row r="19475" spans="1:20" x14ac:dyDescent="0.25">
      <c r="A19475" t="str">
        <f>"3058384"</f>
        <v>3058384</v>
      </c>
      <c r="B19475" t="s">
        <v>59567</v>
      </c>
      <c r="C19475" t="str">
        <f>"8320387"</f>
        <v>8320387</v>
      </c>
      <c r="D19475" t="s">
        <v>59568</v>
      </c>
      <c r="F19475" t="s">
        <v>59569</v>
      </c>
      <c r="I19475" t="s">
        <v>2071</v>
      </c>
      <c r="J19475" t="s">
        <v>30</v>
      </c>
      <c r="K19475" t="s">
        <v>33837</v>
      </c>
      <c r="M19475" t="s">
        <v>17861</v>
      </c>
      <c r="N19475" t="str">
        <f>"6/9/2023 9:58:00 AM"</f>
        <v>6/9/2023 9:58:00 AM</v>
      </c>
      <c r="O19475" t="s">
        <v>59568</v>
      </c>
    </row>
    <row r="19476" spans="1:20" x14ac:dyDescent="0.25">
      <c r="A19476" t="str">
        <f>"3078230"</f>
        <v>3078230</v>
      </c>
      <c r="B19476" t="s">
        <v>59570</v>
      </c>
      <c r="C19476" t="str">
        <f>"8320388"</f>
        <v>8320388</v>
      </c>
      <c r="D19476" t="s">
        <v>49702</v>
      </c>
      <c r="E19476" t="s">
        <v>33246</v>
      </c>
      <c r="F19476" t="s">
        <v>33247</v>
      </c>
      <c r="I19476" t="s">
        <v>29</v>
      </c>
      <c r="J19476" t="s">
        <v>30</v>
      </c>
      <c r="K19476" t="s">
        <v>19156</v>
      </c>
      <c r="M19476" t="s">
        <v>17861</v>
      </c>
      <c r="N19476" t="str">
        <f>"6/9/2023 10:12:00 AM"</f>
        <v>6/9/2023 10:12:00 AM</v>
      </c>
      <c r="O19476" t="s">
        <v>49702</v>
      </c>
      <c r="T19476" t="s">
        <v>33246</v>
      </c>
    </row>
    <row r="19477" spans="1:20" x14ac:dyDescent="0.25">
      <c r="A19477" t="str">
        <f>"3074532"</f>
        <v>3074532</v>
      </c>
      <c r="B19477" t="s">
        <v>59571</v>
      </c>
      <c r="C19477" t="str">
        <f>"8320388"</f>
        <v>8320388</v>
      </c>
      <c r="D19477" t="s">
        <v>49702</v>
      </c>
      <c r="E19477" t="s">
        <v>33246</v>
      </c>
      <c r="F19477" t="s">
        <v>33247</v>
      </c>
      <c r="I19477" t="s">
        <v>29</v>
      </c>
      <c r="J19477" t="s">
        <v>30</v>
      </c>
      <c r="K19477" t="s">
        <v>19156</v>
      </c>
      <c r="M19477" t="s">
        <v>17861</v>
      </c>
      <c r="N19477" t="str">
        <f>"6/9/2023 10:12:00 AM"</f>
        <v>6/9/2023 10:12:00 AM</v>
      </c>
      <c r="O19477" t="s">
        <v>49702</v>
      </c>
      <c r="T19477" t="s">
        <v>33246</v>
      </c>
    </row>
    <row r="19478" spans="1:20" x14ac:dyDescent="0.25">
      <c r="A19478" t="str">
        <f>"3051609"</f>
        <v>3051609</v>
      </c>
      <c r="B19478" t="s">
        <v>59572</v>
      </c>
      <c r="C19478" t="str">
        <f>"8320388"</f>
        <v>8320388</v>
      </c>
      <c r="D19478" t="s">
        <v>49702</v>
      </c>
      <c r="E19478" t="s">
        <v>33246</v>
      </c>
      <c r="F19478" t="s">
        <v>33247</v>
      </c>
      <c r="I19478" t="s">
        <v>29</v>
      </c>
      <c r="J19478" t="s">
        <v>30</v>
      </c>
      <c r="K19478" t="s">
        <v>19156</v>
      </c>
      <c r="M19478" t="s">
        <v>17861</v>
      </c>
      <c r="N19478" t="str">
        <f>"6/9/2023 10:12:00 AM"</f>
        <v>6/9/2023 10:12:00 AM</v>
      </c>
      <c r="O19478" t="s">
        <v>49702</v>
      </c>
      <c r="T19478" t="s">
        <v>33246</v>
      </c>
    </row>
    <row r="19479" spans="1:20" x14ac:dyDescent="0.25">
      <c r="A19479" t="str">
        <f>"3053390"</f>
        <v>3053390</v>
      </c>
      <c r="B19479" t="s">
        <v>59573</v>
      </c>
      <c r="C19479" t="str">
        <f>"8320389"</f>
        <v>8320389</v>
      </c>
      <c r="D19479" t="s">
        <v>59574</v>
      </c>
      <c r="E19479" t="s">
        <v>59575</v>
      </c>
      <c r="F19479" t="s">
        <v>59576</v>
      </c>
      <c r="I19479" t="s">
        <v>29</v>
      </c>
      <c r="J19479" t="s">
        <v>30</v>
      </c>
      <c r="K19479" t="str">
        <f>"27028"</f>
        <v>27028</v>
      </c>
      <c r="M19479" t="s">
        <v>17861</v>
      </c>
      <c r="N19479" t="str">
        <f>"6/9/2023 10:29:00 AM"</f>
        <v>6/9/2023 10:29:00 AM</v>
      </c>
      <c r="O19479" t="s">
        <v>59574</v>
      </c>
      <c r="T19479" t="s">
        <v>59575</v>
      </c>
    </row>
    <row r="19480" spans="1:20" x14ac:dyDescent="0.25">
      <c r="A19480" t="str">
        <f>"3046353"</f>
        <v>3046353</v>
      </c>
      <c r="B19480" t="s">
        <v>59577</v>
      </c>
      <c r="C19480" t="str">
        <f>"8320390"</f>
        <v>8320390</v>
      </c>
      <c r="D19480" t="s">
        <v>59578</v>
      </c>
      <c r="E19480" t="s">
        <v>59579</v>
      </c>
      <c r="F19480" t="s">
        <v>59580</v>
      </c>
      <c r="I19480" t="s">
        <v>29</v>
      </c>
      <c r="J19480" t="s">
        <v>30</v>
      </c>
      <c r="K19480" t="s">
        <v>37095</v>
      </c>
      <c r="M19480" t="s">
        <v>17861</v>
      </c>
      <c r="N19480" t="str">
        <f>"6/9/2023 10:34:00 AM"</f>
        <v>6/9/2023 10:34:00 AM</v>
      </c>
      <c r="O19480" t="s">
        <v>59578</v>
      </c>
      <c r="T19480" t="s">
        <v>59579</v>
      </c>
    </row>
    <row r="19481" spans="1:20" x14ac:dyDescent="0.25">
      <c r="A19481" t="str">
        <f>"3057623"</f>
        <v>3057623</v>
      </c>
      <c r="B19481" t="s">
        <v>59581</v>
      </c>
      <c r="C19481" t="str">
        <f>"8320513"</f>
        <v>8320513</v>
      </c>
      <c r="D19481" t="s">
        <v>59582</v>
      </c>
      <c r="E19481" t="s">
        <v>59583</v>
      </c>
      <c r="F19481" t="s">
        <v>59584</v>
      </c>
      <c r="I19481" t="s">
        <v>184</v>
      </c>
      <c r="J19481" t="s">
        <v>30</v>
      </c>
      <c r="K19481" t="s">
        <v>59585</v>
      </c>
      <c r="M19481" t="s">
        <v>17861</v>
      </c>
      <c r="N19481" t="str">
        <f>"6/26/2023 9:50:00 AM"</f>
        <v>6/26/2023 9:50:00 AM</v>
      </c>
      <c r="O19481" t="s">
        <v>59582</v>
      </c>
      <c r="T19481" t="s">
        <v>59583</v>
      </c>
    </row>
    <row r="19482" spans="1:20" x14ac:dyDescent="0.25">
      <c r="A19482" t="str">
        <f>"3058306"</f>
        <v>3058306</v>
      </c>
      <c r="B19482" t="s">
        <v>59586</v>
      </c>
      <c r="C19482" t="str">
        <f>"8320514"</f>
        <v>8320514</v>
      </c>
      <c r="D19482" t="s">
        <v>59587</v>
      </c>
      <c r="E19482" t="s">
        <v>59588</v>
      </c>
      <c r="F19482" t="s">
        <v>59589</v>
      </c>
      <c r="I19482" t="s">
        <v>29</v>
      </c>
      <c r="J19482" t="s">
        <v>30</v>
      </c>
      <c r="K19482" t="str">
        <f>"27028"</f>
        <v>27028</v>
      </c>
      <c r="M19482" t="s">
        <v>17861</v>
      </c>
      <c r="N19482" t="str">
        <f>"6/26/2023 9:58:00 AM"</f>
        <v>6/26/2023 9:58:00 AM</v>
      </c>
      <c r="O19482" t="s">
        <v>59587</v>
      </c>
      <c r="T19482" t="s">
        <v>59588</v>
      </c>
    </row>
    <row r="19483" spans="1:20" x14ac:dyDescent="0.25">
      <c r="A19483" t="str">
        <f>"3058357"</f>
        <v>3058357</v>
      </c>
      <c r="B19483" t="s">
        <v>59590</v>
      </c>
      <c r="C19483" t="str">
        <f>"8320515"</f>
        <v>8320515</v>
      </c>
      <c r="D19483" t="s">
        <v>59591</v>
      </c>
      <c r="F19483" t="s">
        <v>59592</v>
      </c>
      <c r="I19483" t="s">
        <v>29</v>
      </c>
      <c r="J19483" t="s">
        <v>30</v>
      </c>
      <c r="K19483" t="str">
        <f>"27028"</f>
        <v>27028</v>
      </c>
      <c r="M19483" t="s">
        <v>17861</v>
      </c>
      <c r="N19483" t="str">
        <f>"6/26/2023 10:01:00 AM"</f>
        <v>6/26/2023 10:01:00 AM</v>
      </c>
      <c r="O19483" t="s">
        <v>59591</v>
      </c>
    </row>
    <row r="19484" spans="1:20" x14ac:dyDescent="0.25">
      <c r="A19484" t="str">
        <f>"3057742"</f>
        <v>3057742</v>
      </c>
      <c r="B19484" t="s">
        <v>59593</v>
      </c>
      <c r="C19484" t="str">
        <f>"8320396"</f>
        <v>8320396</v>
      </c>
      <c r="D19484" t="s">
        <v>59594</v>
      </c>
      <c r="E19484" t="s">
        <v>59595</v>
      </c>
      <c r="F19484" t="s">
        <v>59596</v>
      </c>
      <c r="I19484" t="s">
        <v>29</v>
      </c>
      <c r="J19484" t="s">
        <v>30</v>
      </c>
      <c r="K19484" t="s">
        <v>49114</v>
      </c>
      <c r="M19484" t="s">
        <v>17861</v>
      </c>
      <c r="N19484" t="str">
        <f>"6/9/2023 3:24:00 PM"</f>
        <v>6/9/2023 3:24:00 PM</v>
      </c>
      <c r="O19484" t="s">
        <v>59594</v>
      </c>
      <c r="T19484" t="s">
        <v>59595</v>
      </c>
    </row>
    <row r="19485" spans="1:20" x14ac:dyDescent="0.25">
      <c r="A19485" t="str">
        <f>"3051902"</f>
        <v>3051902</v>
      </c>
      <c r="B19485" t="s">
        <v>59597</v>
      </c>
      <c r="C19485" t="str">
        <f>"8311282"</f>
        <v>8311282</v>
      </c>
      <c r="D19485" t="s">
        <v>59598</v>
      </c>
      <c r="F19485" t="s">
        <v>59599</v>
      </c>
      <c r="I19485" t="s">
        <v>29</v>
      </c>
      <c r="J19485" t="s">
        <v>30</v>
      </c>
      <c r="K19485" t="s">
        <v>12071</v>
      </c>
      <c r="M19485" t="s">
        <v>51351</v>
      </c>
      <c r="N19485" t="str">
        <f>"6/9/2023 4:25:00 PM"</f>
        <v>6/9/2023 4:25:00 PM</v>
      </c>
      <c r="O19485" t="s">
        <v>59598</v>
      </c>
    </row>
    <row r="19486" spans="1:20" x14ac:dyDescent="0.25">
      <c r="A19486" t="str">
        <f>"3048344"</f>
        <v>3048344</v>
      </c>
      <c r="B19486" t="s">
        <v>59600</v>
      </c>
      <c r="C19486" t="str">
        <f>"8320398"</f>
        <v>8320398</v>
      </c>
      <c r="D19486" t="s">
        <v>59601</v>
      </c>
      <c r="E19486" t="s">
        <v>59602</v>
      </c>
      <c r="F19486" t="s">
        <v>59603</v>
      </c>
      <c r="I19486" t="s">
        <v>29</v>
      </c>
      <c r="J19486" t="s">
        <v>30</v>
      </c>
      <c r="K19486" t="s">
        <v>9364</v>
      </c>
      <c r="M19486" t="s">
        <v>17861</v>
      </c>
      <c r="N19486" t="str">
        <f>"6/12/2023 8:38:00 AM"</f>
        <v>6/12/2023 8:38:00 AM</v>
      </c>
      <c r="O19486" t="s">
        <v>59601</v>
      </c>
      <c r="T19486" t="s">
        <v>59602</v>
      </c>
    </row>
    <row r="19487" spans="1:20" x14ac:dyDescent="0.25">
      <c r="A19487" t="str">
        <f>"3078680"</f>
        <v>3078680</v>
      </c>
      <c r="B19487" t="s">
        <v>59604</v>
      </c>
      <c r="C19487" t="str">
        <f>"8320399"</f>
        <v>8320399</v>
      </c>
      <c r="D19487" t="s">
        <v>59605</v>
      </c>
      <c r="E19487" t="s">
        <v>59606</v>
      </c>
      <c r="F19487" t="s">
        <v>59607</v>
      </c>
      <c r="I19487" t="s">
        <v>29</v>
      </c>
      <c r="J19487" t="s">
        <v>30</v>
      </c>
      <c r="K19487" t="s">
        <v>59608</v>
      </c>
      <c r="M19487" t="s">
        <v>17861</v>
      </c>
      <c r="N19487" t="str">
        <f>"6/12/2023 8:40:00 AM"</f>
        <v>6/12/2023 8:40:00 AM</v>
      </c>
      <c r="O19487" t="s">
        <v>59605</v>
      </c>
      <c r="T19487" t="s">
        <v>59606</v>
      </c>
    </row>
    <row r="19488" spans="1:20" x14ac:dyDescent="0.25">
      <c r="A19488" t="str">
        <f>"3044856"</f>
        <v>3044856</v>
      </c>
      <c r="B19488" t="s">
        <v>59609</v>
      </c>
      <c r="C19488" t="str">
        <f>"8320402"</f>
        <v>8320402</v>
      </c>
      <c r="D19488" t="s">
        <v>59610</v>
      </c>
      <c r="E19488" t="s">
        <v>59611</v>
      </c>
      <c r="F19488" t="s">
        <v>59612</v>
      </c>
      <c r="I19488" t="s">
        <v>184</v>
      </c>
      <c r="J19488" t="s">
        <v>30</v>
      </c>
      <c r="K19488" t="s">
        <v>6136</v>
      </c>
      <c r="M19488" t="s">
        <v>17861</v>
      </c>
      <c r="N19488" t="str">
        <f>"6/12/2023 2:36:00 PM"</f>
        <v>6/12/2023 2:36:00 PM</v>
      </c>
      <c r="O19488" t="s">
        <v>59610</v>
      </c>
      <c r="T19488" t="s">
        <v>59611</v>
      </c>
    </row>
    <row r="19489" spans="1:20" x14ac:dyDescent="0.25">
      <c r="A19489" t="str">
        <f>"3053497"</f>
        <v>3053497</v>
      </c>
      <c r="B19489" t="s">
        <v>59613</v>
      </c>
      <c r="C19489" t="str">
        <f>"8315694"</f>
        <v>8315694</v>
      </c>
      <c r="D19489" t="s">
        <v>59614</v>
      </c>
      <c r="E19489" t="s">
        <v>59615</v>
      </c>
      <c r="F19489" t="s">
        <v>59616</v>
      </c>
      <c r="G19489" t="s">
        <v>59617</v>
      </c>
      <c r="I19489" t="s">
        <v>402</v>
      </c>
      <c r="J19489" t="s">
        <v>30</v>
      </c>
      <c r="K19489" t="s">
        <v>59618</v>
      </c>
      <c r="M19489" t="s">
        <v>51351</v>
      </c>
      <c r="N19489" t="str">
        <f>"6/28/2023 9:14:00 AM"</f>
        <v>6/28/2023 9:14:00 AM</v>
      </c>
      <c r="O19489" t="s">
        <v>59614</v>
      </c>
      <c r="T19489" t="s">
        <v>59615</v>
      </c>
    </row>
    <row r="19490" spans="1:20" x14ac:dyDescent="0.25">
      <c r="A19490" t="str">
        <f>"3076586"</f>
        <v>3076586</v>
      </c>
      <c r="B19490" t="s">
        <v>59619</v>
      </c>
      <c r="C19490" t="str">
        <f>"8303981"</f>
        <v>8303981</v>
      </c>
      <c r="D19490" t="s">
        <v>59620</v>
      </c>
      <c r="E19490" t="s">
        <v>59621</v>
      </c>
      <c r="F19490" t="s">
        <v>16382</v>
      </c>
      <c r="I19490" t="s">
        <v>29</v>
      </c>
      <c r="J19490" t="s">
        <v>30</v>
      </c>
      <c r="K19490" t="str">
        <f>"27028"</f>
        <v>27028</v>
      </c>
      <c r="M19490" t="s">
        <v>17861</v>
      </c>
      <c r="N19490" t="str">
        <f>"6/28/2023 9:19:00 AM"</f>
        <v>6/28/2023 9:19:00 AM</v>
      </c>
      <c r="O19490" t="s">
        <v>59620</v>
      </c>
      <c r="T19490" t="s">
        <v>59621</v>
      </c>
    </row>
    <row r="19491" spans="1:20" x14ac:dyDescent="0.25">
      <c r="A19491" t="str">
        <f>"3057933"</f>
        <v>3057933</v>
      </c>
      <c r="B19491" t="s">
        <v>59622</v>
      </c>
      <c r="C19491" t="str">
        <f>"8320529"</f>
        <v>8320529</v>
      </c>
      <c r="D19491" t="s">
        <v>59623</v>
      </c>
      <c r="E19491" t="s">
        <v>59624</v>
      </c>
      <c r="F19491" t="s">
        <v>59625</v>
      </c>
      <c r="I19491" t="s">
        <v>184</v>
      </c>
      <c r="J19491" t="s">
        <v>30</v>
      </c>
      <c r="K19491" t="s">
        <v>5933</v>
      </c>
      <c r="M19491" t="s">
        <v>17861</v>
      </c>
      <c r="N19491" t="str">
        <f>"6/28/2023 10:35:00 AM"</f>
        <v>6/28/2023 10:35:00 AM</v>
      </c>
      <c r="O19491" t="s">
        <v>59623</v>
      </c>
      <c r="T19491" t="s">
        <v>59624</v>
      </c>
    </row>
    <row r="19492" spans="1:20" x14ac:dyDescent="0.25">
      <c r="A19492" t="str">
        <f>"3062477"</f>
        <v>3062477</v>
      </c>
      <c r="B19492" t="s">
        <v>59626</v>
      </c>
      <c r="C19492" t="str">
        <f>"8320533"</f>
        <v>8320533</v>
      </c>
      <c r="D19492" t="s">
        <v>59627</v>
      </c>
      <c r="F19492" t="s">
        <v>59628</v>
      </c>
      <c r="I19492" t="s">
        <v>2071</v>
      </c>
      <c r="J19492" t="s">
        <v>30</v>
      </c>
      <c r="K19492" t="s">
        <v>35875</v>
      </c>
      <c r="M19492" t="s">
        <v>17861</v>
      </c>
      <c r="N19492" t="str">
        <f>"6/29/2023 9:54:00 AM"</f>
        <v>6/29/2023 9:54:00 AM</v>
      </c>
      <c r="O19492" t="s">
        <v>59627</v>
      </c>
    </row>
    <row r="19493" spans="1:20" x14ac:dyDescent="0.25">
      <c r="A19493" t="str">
        <f>"3057805"</f>
        <v>3057805</v>
      </c>
      <c r="B19493" t="s">
        <v>59629</v>
      </c>
      <c r="C19493" t="str">
        <f>"8320534"</f>
        <v>8320534</v>
      </c>
      <c r="D19493" t="s">
        <v>59630</v>
      </c>
      <c r="E19493" t="s">
        <v>59631</v>
      </c>
      <c r="F19493" t="s">
        <v>59632</v>
      </c>
      <c r="I19493" t="s">
        <v>29</v>
      </c>
      <c r="J19493" t="s">
        <v>30</v>
      </c>
      <c r="K19493" t="s">
        <v>12616</v>
      </c>
      <c r="M19493" t="s">
        <v>17861</v>
      </c>
      <c r="N19493" t="str">
        <f>"6/29/2023 1:06:00 PM"</f>
        <v>6/29/2023 1:06:00 PM</v>
      </c>
      <c r="O19493" t="s">
        <v>59630</v>
      </c>
      <c r="T19493" t="s">
        <v>59631</v>
      </c>
    </row>
    <row r="19494" spans="1:20" x14ac:dyDescent="0.25">
      <c r="A19494" t="str">
        <f>"3078130"</f>
        <v>3078130</v>
      </c>
      <c r="B19494" t="s">
        <v>59633</v>
      </c>
      <c r="C19494" t="str">
        <f>"8320418"</f>
        <v>8320418</v>
      </c>
      <c r="D19494" t="s">
        <v>59634</v>
      </c>
      <c r="F19494" t="s">
        <v>59635</v>
      </c>
      <c r="I19494" t="s">
        <v>37425</v>
      </c>
      <c r="J19494" t="s">
        <v>30</v>
      </c>
      <c r="K19494" t="s">
        <v>59636</v>
      </c>
      <c r="M19494" t="s">
        <v>17861</v>
      </c>
      <c r="N19494" t="str">
        <f>"6/13/2023 1:48:00 PM"</f>
        <v>6/13/2023 1:48:00 PM</v>
      </c>
      <c r="O19494" t="s">
        <v>59634</v>
      </c>
    </row>
    <row r="19495" spans="1:20" x14ac:dyDescent="0.25">
      <c r="A19495" t="str">
        <f>"3060836"</f>
        <v>3060836</v>
      </c>
      <c r="B19495" t="s">
        <v>59637</v>
      </c>
      <c r="C19495" t="str">
        <f>"8320419"</f>
        <v>8320419</v>
      </c>
      <c r="D19495" t="s">
        <v>59483</v>
      </c>
      <c r="E19495" t="str">
        <f>"CALLAWAY DONALD L SR/LINDA W"</f>
        <v>CALLAWAY DONALD L SR/LINDA W</v>
      </c>
      <c r="F19495" t="s">
        <v>59484</v>
      </c>
      <c r="I19495" t="s">
        <v>24359</v>
      </c>
      <c r="J19495" t="s">
        <v>30</v>
      </c>
      <c r="K19495" t="str">
        <f>"27006"</f>
        <v>27006</v>
      </c>
      <c r="M19495" t="s">
        <v>17861</v>
      </c>
      <c r="N19495" t="str">
        <f>"6/13/2023 1:53:00 PM"</f>
        <v>6/13/2023 1:53:00 PM</v>
      </c>
      <c r="O19495" t="s">
        <v>59483</v>
      </c>
      <c r="T19495" t="str">
        <f>"CALLAWAY DONALD L SR/LINDA W"</f>
        <v>CALLAWAY DONALD L SR/LINDA W</v>
      </c>
    </row>
    <row r="19496" spans="1:20" x14ac:dyDescent="0.25">
      <c r="A19496" t="str">
        <f>"3044027"</f>
        <v>3044027</v>
      </c>
      <c r="B19496" t="s">
        <v>59638</v>
      </c>
      <c r="C19496" t="str">
        <f>"8320439"</f>
        <v>8320439</v>
      </c>
      <c r="D19496" t="s">
        <v>59639</v>
      </c>
      <c r="E19496" t="s">
        <v>59640</v>
      </c>
      <c r="F19496" t="s">
        <v>59641</v>
      </c>
      <c r="I19496" t="s">
        <v>184</v>
      </c>
      <c r="J19496" t="s">
        <v>30</v>
      </c>
      <c r="K19496" t="s">
        <v>48708</v>
      </c>
      <c r="M19496" t="s">
        <v>17861</v>
      </c>
      <c r="N19496" t="str">
        <f>"6/15/2023 12:52:00 PM"</f>
        <v>6/15/2023 12:52:00 PM</v>
      </c>
      <c r="O19496" t="s">
        <v>59639</v>
      </c>
      <c r="T19496" t="s">
        <v>59640</v>
      </c>
    </row>
    <row r="19497" spans="1:20" x14ac:dyDescent="0.25">
      <c r="A19497" t="str">
        <f>"3052103"</f>
        <v>3052103</v>
      </c>
      <c r="B19497" t="s">
        <v>59642</v>
      </c>
      <c r="C19497" t="str">
        <f>"8320440"</f>
        <v>8320440</v>
      </c>
      <c r="D19497" t="s">
        <v>35922</v>
      </c>
      <c r="F19497" t="s">
        <v>59643</v>
      </c>
      <c r="I19497" t="s">
        <v>29</v>
      </c>
      <c r="J19497" t="s">
        <v>30</v>
      </c>
      <c r="K19497" t="s">
        <v>23689</v>
      </c>
      <c r="M19497" t="s">
        <v>17861</v>
      </c>
      <c r="N19497" t="str">
        <f>"6/15/2023 1:27:00 PM"</f>
        <v>6/15/2023 1:27:00 PM</v>
      </c>
      <c r="O19497" t="s">
        <v>35922</v>
      </c>
    </row>
    <row r="19498" spans="1:20" x14ac:dyDescent="0.25">
      <c r="A19498" t="str">
        <f>"3043583"</f>
        <v>3043583</v>
      </c>
      <c r="B19498" t="s">
        <v>59644</v>
      </c>
      <c r="C19498" t="str">
        <f>"8320448"</f>
        <v>8320448</v>
      </c>
      <c r="D19498" t="s">
        <v>7248</v>
      </c>
      <c r="E19498" t="s">
        <v>59645</v>
      </c>
      <c r="F19498" t="s">
        <v>51690</v>
      </c>
      <c r="I19498" t="s">
        <v>29</v>
      </c>
      <c r="J19498" t="s">
        <v>30</v>
      </c>
      <c r="K19498" t="s">
        <v>51691</v>
      </c>
      <c r="M19498" t="s">
        <v>17861</v>
      </c>
      <c r="N19498" t="str">
        <f>"6/19/2023 9:09:00 AM"</f>
        <v>6/19/2023 9:09:00 AM</v>
      </c>
      <c r="O19498" t="s">
        <v>7248</v>
      </c>
      <c r="T19498" t="s">
        <v>59645</v>
      </c>
    </row>
    <row r="19499" spans="1:20" x14ac:dyDescent="0.25">
      <c r="A19499" t="str">
        <f>"3059357"</f>
        <v>3059357</v>
      </c>
      <c r="B19499" t="s">
        <v>59646</v>
      </c>
      <c r="C19499" t="str">
        <f>"8320454"</f>
        <v>8320454</v>
      </c>
      <c r="D19499" t="s">
        <v>59647</v>
      </c>
      <c r="F19499" t="s">
        <v>59648</v>
      </c>
      <c r="I19499" t="s">
        <v>29</v>
      </c>
      <c r="J19499" t="s">
        <v>30</v>
      </c>
      <c r="K19499" t="s">
        <v>11627</v>
      </c>
      <c r="M19499" t="s">
        <v>17861</v>
      </c>
      <c r="N19499" t="str">
        <f>"6/19/2023 10:28:00 AM"</f>
        <v>6/19/2023 10:28:00 AM</v>
      </c>
      <c r="O19499" t="s">
        <v>59647</v>
      </c>
    </row>
    <row r="19500" spans="1:20" x14ac:dyDescent="0.25">
      <c r="A19500" t="str">
        <f>"3057896"</f>
        <v>3057896</v>
      </c>
      <c r="B19500" t="s">
        <v>59649</v>
      </c>
      <c r="C19500" t="str">
        <f>"8320545"</f>
        <v>8320545</v>
      </c>
      <c r="D19500" t="s">
        <v>59650</v>
      </c>
      <c r="E19500" t="s">
        <v>59651</v>
      </c>
      <c r="F19500" t="s">
        <v>59652</v>
      </c>
      <c r="I19500" t="s">
        <v>59653</v>
      </c>
      <c r="J19500" t="s">
        <v>59654</v>
      </c>
      <c r="K19500" t="s">
        <v>59655</v>
      </c>
      <c r="M19500" t="s">
        <v>17861</v>
      </c>
      <c r="N19500" t="str">
        <f>"6/30/2023 9:41:00 AM"</f>
        <v>6/30/2023 9:41:00 AM</v>
      </c>
      <c r="O19500" t="s">
        <v>59650</v>
      </c>
      <c r="T19500" t="s">
        <v>59651</v>
      </c>
    </row>
    <row r="19501" spans="1:20" x14ac:dyDescent="0.25">
      <c r="A19501" t="str">
        <f>"3040353"</f>
        <v>3040353</v>
      </c>
      <c r="B19501" t="s">
        <v>59656</v>
      </c>
      <c r="C19501" t="str">
        <f>"8320472"</f>
        <v>8320472</v>
      </c>
      <c r="D19501" t="s">
        <v>59544</v>
      </c>
      <c r="E19501" t="s">
        <v>59545</v>
      </c>
      <c r="F19501" t="s">
        <v>59546</v>
      </c>
      <c r="I19501" t="s">
        <v>29</v>
      </c>
      <c r="J19501" t="s">
        <v>30</v>
      </c>
      <c r="K19501" t="s">
        <v>59547</v>
      </c>
      <c r="M19501" t="s">
        <v>17861</v>
      </c>
      <c r="N19501" t="str">
        <f>"6/20/2023 3:01:00 PM"</f>
        <v>6/20/2023 3:01:00 PM</v>
      </c>
      <c r="O19501" t="s">
        <v>59544</v>
      </c>
      <c r="T19501" t="s">
        <v>59545</v>
      </c>
    </row>
    <row r="19502" spans="1:20" x14ac:dyDescent="0.25">
      <c r="A19502" t="str">
        <f>"3060013"</f>
        <v>3060013</v>
      </c>
      <c r="B19502" t="s">
        <v>59657</v>
      </c>
      <c r="C19502" t="str">
        <f>"8309852"</f>
        <v>8309852</v>
      </c>
      <c r="D19502" t="s">
        <v>59658</v>
      </c>
      <c r="E19502" t="s">
        <v>59659</v>
      </c>
      <c r="F19502" t="s">
        <v>59660</v>
      </c>
      <c r="I19502" t="s">
        <v>184</v>
      </c>
      <c r="J19502" t="s">
        <v>30</v>
      </c>
      <c r="K19502" t="s">
        <v>55852</v>
      </c>
      <c r="M19502" t="s">
        <v>25733</v>
      </c>
      <c r="N19502" t="str">
        <f>"6/21/2023 1:19:00 PM"</f>
        <v>6/21/2023 1:19:00 PM</v>
      </c>
      <c r="O19502" t="s">
        <v>59658</v>
      </c>
      <c r="T19502" t="s">
        <v>59659</v>
      </c>
    </row>
    <row r="19503" spans="1:20" x14ac:dyDescent="0.25">
      <c r="A19503" t="str">
        <f>"3077738"</f>
        <v>3077738</v>
      </c>
      <c r="B19503" t="s">
        <v>59661</v>
      </c>
      <c r="C19503" t="str">
        <f>"8320549"</f>
        <v>8320549</v>
      </c>
      <c r="D19503" t="s">
        <v>59662</v>
      </c>
      <c r="F19503" t="s">
        <v>59663</v>
      </c>
      <c r="I19503" t="s">
        <v>184</v>
      </c>
      <c r="J19503" t="s">
        <v>30</v>
      </c>
      <c r="K19503" t="s">
        <v>59664</v>
      </c>
      <c r="M19503" t="s">
        <v>17861</v>
      </c>
      <c r="N19503" t="str">
        <f>"6/30/2023 10:16:00 AM"</f>
        <v>6/30/2023 10:16:00 AM</v>
      </c>
      <c r="O19503" t="s">
        <v>59662</v>
      </c>
    </row>
    <row r="19504" spans="1:20" x14ac:dyDescent="0.25">
      <c r="A19504" t="str">
        <f>"3077739"</f>
        <v>3077739</v>
      </c>
      <c r="B19504" t="s">
        <v>59665</v>
      </c>
      <c r="C19504" t="str">
        <f>"8320549"</f>
        <v>8320549</v>
      </c>
      <c r="D19504" t="s">
        <v>59662</v>
      </c>
      <c r="F19504" t="s">
        <v>59663</v>
      </c>
      <c r="I19504" t="s">
        <v>184</v>
      </c>
      <c r="J19504" t="s">
        <v>30</v>
      </c>
      <c r="K19504" t="s">
        <v>59664</v>
      </c>
      <c r="M19504" t="s">
        <v>17861</v>
      </c>
      <c r="N19504" t="str">
        <f>"6/30/2023 10:16:00 AM"</f>
        <v>6/30/2023 10:16:00 AM</v>
      </c>
      <c r="O19504" t="s">
        <v>59662</v>
      </c>
    </row>
    <row r="19505" spans="1:20" x14ac:dyDescent="0.25">
      <c r="A19505" t="str">
        <f>"3043949"</f>
        <v>3043949</v>
      </c>
      <c r="B19505" t="s">
        <v>59666</v>
      </c>
      <c r="C19505" t="str">
        <f>"8320549"</f>
        <v>8320549</v>
      </c>
      <c r="D19505" t="s">
        <v>59662</v>
      </c>
      <c r="F19505" t="s">
        <v>59663</v>
      </c>
      <c r="I19505" t="s">
        <v>184</v>
      </c>
      <c r="J19505" t="s">
        <v>30</v>
      </c>
      <c r="K19505" t="s">
        <v>59664</v>
      </c>
      <c r="M19505" t="s">
        <v>17861</v>
      </c>
      <c r="N19505" t="str">
        <f>"6/30/2023 10:16:00 AM"</f>
        <v>6/30/2023 10:16:00 AM</v>
      </c>
      <c r="O19505" t="s">
        <v>59662</v>
      </c>
    </row>
    <row r="19506" spans="1:20" x14ac:dyDescent="0.25">
      <c r="A19506" t="str">
        <f>"3044252"</f>
        <v>3044252</v>
      </c>
      <c r="B19506" t="s">
        <v>59667</v>
      </c>
      <c r="C19506" t="str">
        <f>"8320549"</f>
        <v>8320549</v>
      </c>
      <c r="D19506" t="s">
        <v>59662</v>
      </c>
      <c r="F19506" t="s">
        <v>59663</v>
      </c>
      <c r="I19506" t="s">
        <v>184</v>
      </c>
      <c r="J19506" t="s">
        <v>30</v>
      </c>
      <c r="K19506" t="s">
        <v>59664</v>
      </c>
      <c r="M19506" t="s">
        <v>17861</v>
      </c>
      <c r="N19506" t="str">
        <f>"6/30/2023 10:16:00 AM"</f>
        <v>6/30/2023 10:16:00 AM</v>
      </c>
      <c r="O19506" t="s">
        <v>59662</v>
      </c>
    </row>
    <row r="19507" spans="1:20" x14ac:dyDescent="0.25">
      <c r="A19507" t="str">
        <f>"3046613"</f>
        <v>3046613</v>
      </c>
      <c r="B19507" t="s">
        <v>59668</v>
      </c>
      <c r="C19507" t="str">
        <f>"8320549"</f>
        <v>8320549</v>
      </c>
      <c r="D19507" t="s">
        <v>59662</v>
      </c>
      <c r="F19507" t="s">
        <v>59663</v>
      </c>
      <c r="I19507" t="s">
        <v>184</v>
      </c>
      <c r="J19507" t="s">
        <v>30</v>
      </c>
      <c r="K19507" t="s">
        <v>59664</v>
      </c>
      <c r="M19507" t="s">
        <v>17861</v>
      </c>
      <c r="N19507" t="str">
        <f>"6/30/2023 10:16:00 AM"</f>
        <v>6/30/2023 10:16:00 AM</v>
      </c>
      <c r="O19507" t="s">
        <v>59662</v>
      </c>
    </row>
    <row r="19508" spans="1:20" x14ac:dyDescent="0.25">
      <c r="A19508" t="str">
        <f>"3051016"</f>
        <v>3051016</v>
      </c>
      <c r="B19508" t="s">
        <v>59669</v>
      </c>
      <c r="C19508" t="str">
        <f>"8320550"</f>
        <v>8320550</v>
      </c>
      <c r="D19508" t="s">
        <v>59670</v>
      </c>
      <c r="F19508" t="s">
        <v>59671</v>
      </c>
      <c r="I19508" t="s">
        <v>184</v>
      </c>
      <c r="J19508" t="s">
        <v>30</v>
      </c>
      <c r="K19508" t="s">
        <v>59672</v>
      </c>
      <c r="M19508" t="s">
        <v>17861</v>
      </c>
      <c r="N19508" t="str">
        <f>"6/30/2023 10:20:00 AM"</f>
        <v>6/30/2023 10:20:00 AM</v>
      </c>
      <c r="O19508" t="s">
        <v>59670</v>
      </c>
    </row>
    <row r="19509" spans="1:20" x14ac:dyDescent="0.25">
      <c r="A19509" t="str">
        <f>"3062118"</f>
        <v>3062118</v>
      </c>
      <c r="B19509" t="s">
        <v>59673</v>
      </c>
      <c r="C19509" t="str">
        <f>"8320551"</f>
        <v>8320551</v>
      </c>
      <c r="D19509" t="s">
        <v>59674</v>
      </c>
      <c r="E19509" t="s">
        <v>59675</v>
      </c>
      <c r="F19509" t="s">
        <v>59676</v>
      </c>
      <c r="I19509" t="s">
        <v>29</v>
      </c>
      <c r="J19509" t="s">
        <v>30</v>
      </c>
      <c r="K19509" t="s">
        <v>39975</v>
      </c>
      <c r="M19509" t="s">
        <v>17861</v>
      </c>
      <c r="N19509" t="str">
        <f>"6/30/2023 10:22:00 AM"</f>
        <v>6/30/2023 10:22:00 AM</v>
      </c>
      <c r="O19509" t="s">
        <v>59674</v>
      </c>
      <c r="T19509" t="s">
        <v>59675</v>
      </c>
    </row>
    <row r="19510" spans="1:20" x14ac:dyDescent="0.25">
      <c r="A19510" t="str">
        <f>"3058478"</f>
        <v>3058478</v>
      </c>
      <c r="B19510" t="s">
        <v>59677</v>
      </c>
      <c r="C19510" t="str">
        <f>"8320552"</f>
        <v>8320552</v>
      </c>
      <c r="D19510" t="s">
        <v>59678</v>
      </c>
      <c r="E19510" t="s">
        <v>59679</v>
      </c>
      <c r="F19510" t="s">
        <v>59680</v>
      </c>
      <c r="I19510" t="s">
        <v>29</v>
      </c>
      <c r="J19510" t="s">
        <v>30</v>
      </c>
      <c r="K19510" t="s">
        <v>59681</v>
      </c>
      <c r="M19510" t="s">
        <v>17861</v>
      </c>
      <c r="N19510" t="str">
        <f>"6/30/2023 10:25:00 AM"</f>
        <v>6/30/2023 10:25:00 AM</v>
      </c>
      <c r="O19510" t="s">
        <v>59678</v>
      </c>
      <c r="T19510" t="s">
        <v>59679</v>
      </c>
    </row>
    <row r="19511" spans="1:20" x14ac:dyDescent="0.25">
      <c r="A19511" t="str">
        <f>"3047179"</f>
        <v>3047179</v>
      </c>
      <c r="B19511" t="s">
        <v>59682</v>
      </c>
      <c r="C19511" t="str">
        <f>"8306154"</f>
        <v>8306154</v>
      </c>
      <c r="D19511" t="s">
        <v>59683</v>
      </c>
      <c r="E19511" t="s">
        <v>59684</v>
      </c>
      <c r="F19511" t="s">
        <v>59685</v>
      </c>
      <c r="I19511" t="s">
        <v>184</v>
      </c>
      <c r="J19511" t="s">
        <v>30</v>
      </c>
      <c r="K19511" t="str">
        <f>"27006"</f>
        <v>27006</v>
      </c>
      <c r="M19511" t="s">
        <v>50621</v>
      </c>
      <c r="N19511" t="str">
        <f>"7/3/2023 10:13:00 AM"</f>
        <v>7/3/2023 10:13:00 AM</v>
      </c>
      <c r="O19511" t="s">
        <v>59683</v>
      </c>
      <c r="T19511" t="s">
        <v>59684</v>
      </c>
    </row>
    <row r="19512" spans="1:20" x14ac:dyDescent="0.25">
      <c r="A19512" t="str">
        <f>"3041795"</f>
        <v>3041795</v>
      </c>
      <c r="B19512" t="s">
        <v>59686</v>
      </c>
      <c r="C19512" t="str">
        <f>"8320556"</f>
        <v>8320556</v>
      </c>
      <c r="D19512" t="s">
        <v>59687</v>
      </c>
      <c r="E19512" t="s">
        <v>59688</v>
      </c>
      <c r="F19512" t="s">
        <v>59689</v>
      </c>
      <c r="I19512" t="s">
        <v>2071</v>
      </c>
      <c r="J19512" t="s">
        <v>30</v>
      </c>
      <c r="K19512" t="s">
        <v>34351</v>
      </c>
      <c r="M19512" t="s">
        <v>17861</v>
      </c>
      <c r="N19512" t="str">
        <f>"7/3/2023 11:28:00 AM"</f>
        <v>7/3/2023 11:28:00 AM</v>
      </c>
      <c r="O19512" t="s">
        <v>59687</v>
      </c>
      <c r="T19512" t="s">
        <v>59688</v>
      </c>
    </row>
    <row r="19513" spans="1:20" x14ac:dyDescent="0.25">
      <c r="A19513" t="str">
        <f>"3062169"</f>
        <v>3062169</v>
      </c>
      <c r="B19513" t="s">
        <v>59690</v>
      </c>
      <c r="C19513" t="str">
        <f>"8320558"</f>
        <v>8320558</v>
      </c>
      <c r="D19513" t="s">
        <v>59691</v>
      </c>
      <c r="E19513" t="s">
        <v>59692</v>
      </c>
      <c r="F19513" t="s">
        <v>59693</v>
      </c>
      <c r="I19513" t="s">
        <v>29</v>
      </c>
      <c r="J19513" t="s">
        <v>30</v>
      </c>
      <c r="K19513" t="s">
        <v>36170</v>
      </c>
      <c r="M19513" t="s">
        <v>17861</v>
      </c>
      <c r="N19513" t="str">
        <f>"7/3/2023 1:38:00 PM"</f>
        <v>7/3/2023 1:38:00 PM</v>
      </c>
      <c r="O19513" t="s">
        <v>59691</v>
      </c>
      <c r="T19513" t="s">
        <v>59692</v>
      </c>
    </row>
    <row r="19514" spans="1:20" x14ac:dyDescent="0.25">
      <c r="A19514" t="str">
        <f>"3049303"</f>
        <v>3049303</v>
      </c>
      <c r="B19514" t="s">
        <v>59694</v>
      </c>
      <c r="C19514" t="str">
        <f>"8320559"</f>
        <v>8320559</v>
      </c>
      <c r="D19514" t="s">
        <v>59695</v>
      </c>
      <c r="E19514" t="s">
        <v>59696</v>
      </c>
      <c r="F19514" t="s">
        <v>59697</v>
      </c>
      <c r="I19514" t="s">
        <v>29</v>
      </c>
      <c r="J19514" t="s">
        <v>30</v>
      </c>
      <c r="K19514" t="s">
        <v>55239</v>
      </c>
      <c r="M19514" t="s">
        <v>17861</v>
      </c>
      <c r="N19514" t="str">
        <f>"7/3/2023 1:45:00 PM"</f>
        <v>7/3/2023 1:45:00 PM</v>
      </c>
      <c r="O19514" t="s">
        <v>59695</v>
      </c>
      <c r="T19514" t="s">
        <v>59696</v>
      </c>
    </row>
    <row r="19515" spans="1:20" x14ac:dyDescent="0.25">
      <c r="A19515" t="str">
        <f>"3058468"</f>
        <v>3058468</v>
      </c>
      <c r="B19515" t="s">
        <v>59698</v>
      </c>
      <c r="C19515" t="str">
        <f>"8320560"</f>
        <v>8320560</v>
      </c>
      <c r="D19515" t="s">
        <v>59699</v>
      </c>
      <c r="E19515" t="s">
        <v>51737</v>
      </c>
      <c r="F19515" t="s">
        <v>59700</v>
      </c>
      <c r="I19515" t="s">
        <v>29</v>
      </c>
      <c r="J19515" t="s">
        <v>30</v>
      </c>
      <c r="K19515" t="s">
        <v>59681</v>
      </c>
      <c r="M19515" t="s">
        <v>17861</v>
      </c>
      <c r="N19515" t="str">
        <f>"7/3/2023 2:03:00 PM"</f>
        <v>7/3/2023 2:03:00 PM</v>
      </c>
      <c r="O19515" t="s">
        <v>59699</v>
      </c>
      <c r="T19515" t="s">
        <v>51737</v>
      </c>
    </row>
    <row r="19516" spans="1:20" x14ac:dyDescent="0.25">
      <c r="A19516" t="str">
        <f>"3052197"</f>
        <v>3052197</v>
      </c>
      <c r="B19516" t="s">
        <v>59701</v>
      </c>
      <c r="C19516" t="str">
        <f>"70780000"</f>
        <v>70780000</v>
      </c>
      <c r="D19516" t="s">
        <v>59702</v>
      </c>
      <c r="F19516" t="str">
        <f>"C/O JAMES STEELE EXEC"</f>
        <v>C/O JAMES STEELE EXEC</v>
      </c>
      <c r="G19516" t="s">
        <v>59703</v>
      </c>
      <c r="I19516" t="s">
        <v>2525</v>
      </c>
      <c r="J19516" t="s">
        <v>30</v>
      </c>
      <c r="K19516" t="s">
        <v>59704</v>
      </c>
      <c r="M19516" t="s">
        <v>18470</v>
      </c>
      <c r="N19516" t="str">
        <f>"6/21/2023 3:17:00 PM"</f>
        <v>6/21/2023 3:17:00 PM</v>
      </c>
      <c r="O19516" t="s">
        <v>59702</v>
      </c>
    </row>
    <row r="19517" spans="1:20" x14ac:dyDescent="0.25">
      <c r="A19517" t="str">
        <f>"3059716"</f>
        <v>3059716</v>
      </c>
      <c r="B19517" t="s">
        <v>59705</v>
      </c>
      <c r="C19517" t="str">
        <f>"8320488"</f>
        <v>8320488</v>
      </c>
      <c r="D19517" t="s">
        <v>59706</v>
      </c>
      <c r="E19517" t="s">
        <v>59707</v>
      </c>
      <c r="F19517" t="s">
        <v>59708</v>
      </c>
      <c r="I19517" t="s">
        <v>29</v>
      </c>
      <c r="J19517" t="s">
        <v>30</v>
      </c>
      <c r="K19517" t="s">
        <v>53253</v>
      </c>
      <c r="M19517" t="s">
        <v>17861</v>
      </c>
      <c r="N19517" t="str">
        <f>"6/21/2023 3:34:00 PM"</f>
        <v>6/21/2023 3:34:00 PM</v>
      </c>
      <c r="O19517" t="s">
        <v>59706</v>
      </c>
      <c r="T19517" t="s">
        <v>59707</v>
      </c>
    </row>
    <row r="19518" spans="1:20" x14ac:dyDescent="0.25">
      <c r="A19518" t="str">
        <f>"3045572"</f>
        <v>3045572</v>
      </c>
      <c r="B19518" t="s">
        <v>59709</v>
      </c>
      <c r="C19518" t="str">
        <f>"8320510"</f>
        <v>8320510</v>
      </c>
      <c r="D19518" t="s">
        <v>59710</v>
      </c>
      <c r="E19518" t="s">
        <v>59711</v>
      </c>
      <c r="F19518" t="s">
        <v>59712</v>
      </c>
      <c r="I19518" t="s">
        <v>29</v>
      </c>
      <c r="J19518" t="s">
        <v>30</v>
      </c>
      <c r="K19518" t="s">
        <v>59713</v>
      </c>
      <c r="M19518" t="s">
        <v>17861</v>
      </c>
      <c r="N19518" t="str">
        <f>"6/26/2023 8:38:00 AM"</f>
        <v>6/26/2023 8:38:00 AM</v>
      </c>
      <c r="O19518" t="s">
        <v>59710</v>
      </c>
      <c r="T19518" t="s">
        <v>59711</v>
      </c>
    </row>
    <row r="19519" spans="1:20" x14ac:dyDescent="0.25">
      <c r="A19519" t="str">
        <f>"3054530"</f>
        <v>3054530</v>
      </c>
      <c r="B19519" t="s">
        <v>59714</v>
      </c>
      <c r="C19519" t="str">
        <f>"8320564"</f>
        <v>8320564</v>
      </c>
      <c r="D19519" t="s">
        <v>59715</v>
      </c>
      <c r="E19519" t="s">
        <v>59716</v>
      </c>
      <c r="F19519" t="s">
        <v>59717</v>
      </c>
      <c r="I19519" t="s">
        <v>59718</v>
      </c>
      <c r="J19519" t="s">
        <v>1543</v>
      </c>
      <c r="K19519" t="s">
        <v>59719</v>
      </c>
      <c r="M19519" t="s">
        <v>17861</v>
      </c>
      <c r="N19519" t="str">
        <f>"7/3/2023 3:13:00 PM"</f>
        <v>7/3/2023 3:13:00 PM</v>
      </c>
      <c r="O19519" t="s">
        <v>59715</v>
      </c>
      <c r="T19519" t="s">
        <v>59716</v>
      </c>
    </row>
    <row r="19520" spans="1:20" x14ac:dyDescent="0.25">
      <c r="A19520" t="str">
        <f>"3046717"</f>
        <v>3046717</v>
      </c>
      <c r="B19520" t="s">
        <v>59720</v>
      </c>
      <c r="C19520" t="str">
        <f>"8320565"</f>
        <v>8320565</v>
      </c>
      <c r="D19520" t="s">
        <v>59721</v>
      </c>
      <c r="E19520" t="s">
        <v>59722</v>
      </c>
      <c r="F19520" t="s">
        <v>59723</v>
      </c>
      <c r="I19520" t="s">
        <v>184</v>
      </c>
      <c r="J19520" t="s">
        <v>30</v>
      </c>
      <c r="K19520" t="s">
        <v>7850</v>
      </c>
      <c r="M19520" t="s">
        <v>17861</v>
      </c>
      <c r="N19520" t="str">
        <f>"7/3/2023 3:16:00 PM"</f>
        <v>7/3/2023 3:16:00 PM</v>
      </c>
      <c r="O19520" t="s">
        <v>59721</v>
      </c>
      <c r="T19520" t="s">
        <v>59722</v>
      </c>
    </row>
    <row r="19521" spans="1:20" x14ac:dyDescent="0.25">
      <c r="A19521" t="str">
        <f>"3054823"</f>
        <v>3054823</v>
      </c>
      <c r="B19521" t="s">
        <v>59724</v>
      </c>
      <c r="C19521" t="str">
        <f>"8320566"</f>
        <v>8320566</v>
      </c>
      <c r="D19521" t="s">
        <v>59725</v>
      </c>
      <c r="E19521" t="s">
        <v>59726</v>
      </c>
      <c r="F19521" t="s">
        <v>59727</v>
      </c>
      <c r="I19521" t="s">
        <v>54027</v>
      </c>
      <c r="J19521" t="s">
        <v>30</v>
      </c>
      <c r="K19521" t="s">
        <v>59728</v>
      </c>
      <c r="M19521" t="s">
        <v>17861</v>
      </c>
      <c r="N19521" t="str">
        <f>"7/5/2023 9:46:00 AM"</f>
        <v>7/5/2023 9:46:00 AM</v>
      </c>
      <c r="O19521" t="s">
        <v>59725</v>
      </c>
      <c r="T19521" t="s">
        <v>59726</v>
      </c>
    </row>
    <row r="19522" spans="1:20" x14ac:dyDescent="0.25">
      <c r="A19522" t="str">
        <f>"3045199"</f>
        <v>3045199</v>
      </c>
      <c r="B19522" t="s">
        <v>59729</v>
      </c>
      <c r="C19522" t="str">
        <f>"8320567"</f>
        <v>8320567</v>
      </c>
      <c r="D19522" t="s">
        <v>59730</v>
      </c>
      <c r="F19522" t="s">
        <v>59731</v>
      </c>
      <c r="I19522" t="s">
        <v>29</v>
      </c>
      <c r="J19522" t="s">
        <v>30</v>
      </c>
      <c r="K19522" t="str">
        <f>"27028"</f>
        <v>27028</v>
      </c>
      <c r="M19522" t="s">
        <v>17861</v>
      </c>
      <c r="N19522" t="str">
        <f>"7/6/2023 12:46:00 PM"</f>
        <v>7/6/2023 12:46:00 PM</v>
      </c>
      <c r="O19522" t="s">
        <v>59730</v>
      </c>
    </row>
    <row r="19523" spans="1:20" x14ac:dyDescent="0.25">
      <c r="A19523" t="str">
        <f>"3045539"</f>
        <v>3045539</v>
      </c>
      <c r="B19523" t="s">
        <v>59732</v>
      </c>
      <c r="C19523" t="str">
        <f>"8320567"</f>
        <v>8320567</v>
      </c>
      <c r="D19523" t="s">
        <v>59730</v>
      </c>
      <c r="F19523" t="s">
        <v>59731</v>
      </c>
      <c r="I19523" t="s">
        <v>29</v>
      </c>
      <c r="J19523" t="s">
        <v>30</v>
      </c>
      <c r="K19523" t="str">
        <f>"27028"</f>
        <v>27028</v>
      </c>
      <c r="M19523" t="s">
        <v>17861</v>
      </c>
      <c r="N19523" t="str">
        <f>"7/6/2023 12:46:00 PM"</f>
        <v>7/6/2023 12:46:00 PM</v>
      </c>
      <c r="O19523" t="s">
        <v>59730</v>
      </c>
    </row>
    <row r="19524" spans="1:20" x14ac:dyDescent="0.25">
      <c r="A19524" t="str">
        <f>"3078737"</f>
        <v>3078737</v>
      </c>
      <c r="B19524" t="s">
        <v>59733</v>
      </c>
      <c r="C19524" t="str">
        <f>"8320568"</f>
        <v>8320568</v>
      </c>
      <c r="D19524" t="s">
        <v>59734</v>
      </c>
      <c r="F19524" t="s">
        <v>59735</v>
      </c>
      <c r="I19524" t="s">
        <v>29</v>
      </c>
      <c r="J19524" t="s">
        <v>30</v>
      </c>
      <c r="K19524" t="s">
        <v>15246</v>
      </c>
      <c r="M19524" t="s">
        <v>17861</v>
      </c>
      <c r="N19524" t="str">
        <f>"7/6/2023 3:22:00 PM"</f>
        <v>7/6/2023 3:22:00 PM</v>
      </c>
      <c r="O19524" t="s">
        <v>59734</v>
      </c>
    </row>
    <row r="19525" spans="1:20" x14ac:dyDescent="0.25">
      <c r="A19525" t="str">
        <f>"3061627"</f>
        <v>3061627</v>
      </c>
      <c r="B19525" t="s">
        <v>59736</v>
      </c>
      <c r="C19525" t="str">
        <f>"8312127"</f>
        <v>8312127</v>
      </c>
      <c r="D19525" t="s">
        <v>59737</v>
      </c>
      <c r="E19525" t="s">
        <v>59738</v>
      </c>
      <c r="F19525" t="s">
        <v>59739</v>
      </c>
      <c r="I19525" t="s">
        <v>29</v>
      </c>
      <c r="J19525" t="s">
        <v>30</v>
      </c>
      <c r="K19525" t="str">
        <f>"27028"</f>
        <v>27028</v>
      </c>
      <c r="M19525" t="s">
        <v>50621</v>
      </c>
      <c r="N19525" t="str">
        <f>"7/10/2023 9:55:00 AM"</f>
        <v>7/10/2023 9:55:00 AM</v>
      </c>
      <c r="O19525" t="s">
        <v>59737</v>
      </c>
      <c r="T19525" t="s">
        <v>59738</v>
      </c>
    </row>
    <row r="19526" spans="1:20" x14ac:dyDescent="0.25">
      <c r="A19526" t="str">
        <f>"3043942"</f>
        <v>3043942</v>
      </c>
      <c r="B19526" t="s">
        <v>59740</v>
      </c>
      <c r="C19526" t="str">
        <f>"8320574"</f>
        <v>8320574</v>
      </c>
      <c r="D19526" t="s">
        <v>59741</v>
      </c>
      <c r="E19526" t="s">
        <v>59742</v>
      </c>
      <c r="F19526" t="s">
        <v>16338</v>
      </c>
      <c r="I19526" t="s">
        <v>402</v>
      </c>
      <c r="J19526" t="s">
        <v>30</v>
      </c>
      <c r="K19526" t="s">
        <v>59743</v>
      </c>
      <c r="M19526" t="s">
        <v>17861</v>
      </c>
      <c r="N19526" t="str">
        <f>"7/10/2023 11:26:00 AM"</f>
        <v>7/10/2023 11:26:00 AM</v>
      </c>
      <c r="O19526" t="s">
        <v>59741</v>
      </c>
      <c r="T19526" t="s">
        <v>59742</v>
      </c>
    </row>
    <row r="19527" spans="1:20" x14ac:dyDescent="0.25">
      <c r="A19527" t="str">
        <f>"3042389"</f>
        <v>3042389</v>
      </c>
      <c r="B19527" t="s">
        <v>59744</v>
      </c>
      <c r="C19527" t="str">
        <f>"8320576"</f>
        <v>8320576</v>
      </c>
      <c r="D19527" t="s">
        <v>59745</v>
      </c>
      <c r="E19527" t="s">
        <v>59746</v>
      </c>
      <c r="F19527" t="s">
        <v>59747</v>
      </c>
      <c r="I19527" t="s">
        <v>184</v>
      </c>
      <c r="J19527" t="s">
        <v>30</v>
      </c>
      <c r="K19527" t="s">
        <v>3433</v>
      </c>
      <c r="M19527" t="s">
        <v>17861</v>
      </c>
      <c r="N19527" t="str">
        <f>"7/10/2023 12:39:00 PM"</f>
        <v>7/10/2023 12:39:00 PM</v>
      </c>
      <c r="O19527" t="s">
        <v>59745</v>
      </c>
      <c r="T19527" t="s">
        <v>59746</v>
      </c>
    </row>
    <row r="19528" spans="1:20" x14ac:dyDescent="0.25">
      <c r="A19528" t="str">
        <f>"3042997"</f>
        <v>3042997</v>
      </c>
      <c r="B19528" t="s">
        <v>59748</v>
      </c>
      <c r="C19528" t="str">
        <f>"8320511"</f>
        <v>8320511</v>
      </c>
      <c r="D19528" t="s">
        <v>59749</v>
      </c>
      <c r="E19528" t="s">
        <v>59750</v>
      </c>
      <c r="F19528" t="s">
        <v>59751</v>
      </c>
      <c r="I19528" t="s">
        <v>29</v>
      </c>
      <c r="J19528" t="s">
        <v>30</v>
      </c>
      <c r="K19528" t="s">
        <v>26771</v>
      </c>
      <c r="M19528" t="s">
        <v>17861</v>
      </c>
      <c r="N19528" t="str">
        <f>"6/26/2023 8:46:00 AM"</f>
        <v>6/26/2023 8:46:00 AM</v>
      </c>
      <c r="O19528" t="s">
        <v>59749</v>
      </c>
      <c r="T19528" t="s">
        <v>59750</v>
      </c>
    </row>
    <row r="19529" spans="1:20" x14ac:dyDescent="0.25">
      <c r="A19529" t="str">
        <f>"3078298"</f>
        <v>3078298</v>
      </c>
      <c r="B19529" t="s">
        <v>59752</v>
      </c>
      <c r="C19529" t="str">
        <f>"8320577"</f>
        <v>8320577</v>
      </c>
      <c r="D19529" t="s">
        <v>59753</v>
      </c>
      <c r="E19529" t="s">
        <v>36156</v>
      </c>
      <c r="F19529" t="s">
        <v>59754</v>
      </c>
      <c r="I19529" t="s">
        <v>184</v>
      </c>
      <c r="J19529" t="s">
        <v>30</v>
      </c>
      <c r="K19529" t="s">
        <v>59755</v>
      </c>
      <c r="M19529" t="s">
        <v>17861</v>
      </c>
      <c r="N19529" t="str">
        <f>"7/10/2023 12:51:00 PM"</f>
        <v>7/10/2023 12:51:00 PM</v>
      </c>
      <c r="O19529" t="s">
        <v>59753</v>
      </c>
      <c r="T19529" t="s">
        <v>36156</v>
      </c>
    </row>
    <row r="19530" spans="1:20" x14ac:dyDescent="0.25">
      <c r="A19530" t="str">
        <f>"3062963"</f>
        <v>3062963</v>
      </c>
      <c r="B19530" t="s">
        <v>59756</v>
      </c>
      <c r="C19530" t="str">
        <f>"8320578"</f>
        <v>8320578</v>
      </c>
      <c r="D19530" t="s">
        <v>41689</v>
      </c>
      <c r="E19530" t="s">
        <v>59757</v>
      </c>
      <c r="F19530" t="s">
        <v>59758</v>
      </c>
      <c r="I19530" t="s">
        <v>29</v>
      </c>
      <c r="J19530" t="s">
        <v>30</v>
      </c>
      <c r="K19530" t="s">
        <v>59759</v>
      </c>
      <c r="M19530" t="s">
        <v>17861</v>
      </c>
      <c r="N19530" t="str">
        <f>"7/10/2023 1:03:00 PM"</f>
        <v>7/10/2023 1:03:00 PM</v>
      </c>
      <c r="O19530" t="s">
        <v>41689</v>
      </c>
      <c r="T19530" t="s">
        <v>59757</v>
      </c>
    </row>
    <row r="19531" spans="1:20" x14ac:dyDescent="0.25">
      <c r="A19531" t="str">
        <f>"3044606"</f>
        <v>3044606</v>
      </c>
      <c r="B19531" t="s">
        <v>59760</v>
      </c>
      <c r="C19531" t="str">
        <f>"8320579"</f>
        <v>8320579</v>
      </c>
      <c r="D19531" t="s">
        <v>59761</v>
      </c>
      <c r="E19531" t="s">
        <v>59762</v>
      </c>
      <c r="F19531" t="s">
        <v>59763</v>
      </c>
      <c r="I19531" t="s">
        <v>184</v>
      </c>
      <c r="J19531" t="s">
        <v>30</v>
      </c>
      <c r="K19531" t="s">
        <v>5929</v>
      </c>
      <c r="M19531" t="s">
        <v>17861</v>
      </c>
      <c r="N19531" t="str">
        <f>"7/10/2023 1:06:00 PM"</f>
        <v>7/10/2023 1:06:00 PM</v>
      </c>
      <c r="O19531" t="s">
        <v>59761</v>
      </c>
      <c r="T19531" t="s">
        <v>59762</v>
      </c>
    </row>
    <row r="19532" spans="1:20" x14ac:dyDescent="0.25">
      <c r="A19532" t="str">
        <f>"3058336"</f>
        <v>3058336</v>
      </c>
      <c r="B19532" t="s">
        <v>59764</v>
      </c>
      <c r="C19532" t="str">
        <f>"8320580"</f>
        <v>8320580</v>
      </c>
      <c r="D19532" t="s">
        <v>59765</v>
      </c>
      <c r="F19532" t="s">
        <v>59766</v>
      </c>
      <c r="I19532" t="s">
        <v>29</v>
      </c>
      <c r="J19532" t="s">
        <v>30</v>
      </c>
      <c r="K19532" t="str">
        <f>"27028"</f>
        <v>27028</v>
      </c>
      <c r="M19532" t="s">
        <v>17861</v>
      </c>
      <c r="N19532" t="str">
        <f>"7/10/2023 1:12:00 PM"</f>
        <v>7/10/2023 1:12:00 PM</v>
      </c>
      <c r="O19532" t="s">
        <v>59765</v>
      </c>
    </row>
    <row r="19533" spans="1:20" x14ac:dyDescent="0.25">
      <c r="A19533" t="str">
        <f>"3060898"</f>
        <v>3060898</v>
      </c>
      <c r="B19533" t="s">
        <v>59767</v>
      </c>
      <c r="C19533" t="str">
        <f>"8320582"</f>
        <v>8320582</v>
      </c>
      <c r="D19533" t="s">
        <v>59768</v>
      </c>
      <c r="E19533" t="s">
        <v>59769</v>
      </c>
      <c r="F19533" t="s">
        <v>59770</v>
      </c>
      <c r="I19533" t="s">
        <v>2071</v>
      </c>
      <c r="J19533" t="s">
        <v>30</v>
      </c>
      <c r="K19533" t="s">
        <v>34675</v>
      </c>
      <c r="M19533" t="s">
        <v>17861</v>
      </c>
      <c r="N19533" t="str">
        <f>"7/10/2023 1:22:00 PM"</f>
        <v>7/10/2023 1:22:00 PM</v>
      </c>
      <c r="O19533" t="s">
        <v>59768</v>
      </c>
      <c r="T19533" t="s">
        <v>59769</v>
      </c>
    </row>
    <row r="19534" spans="1:20" x14ac:dyDescent="0.25">
      <c r="A19534" t="str">
        <f>"3042998"</f>
        <v>3042998</v>
      </c>
      <c r="B19534" t="s">
        <v>59771</v>
      </c>
      <c r="C19534" t="str">
        <f>"8320511"</f>
        <v>8320511</v>
      </c>
      <c r="D19534" t="s">
        <v>59749</v>
      </c>
      <c r="E19534" t="s">
        <v>59750</v>
      </c>
      <c r="F19534" t="s">
        <v>59751</v>
      </c>
      <c r="I19534" t="s">
        <v>29</v>
      </c>
      <c r="J19534" t="s">
        <v>30</v>
      </c>
      <c r="K19534" t="s">
        <v>26771</v>
      </c>
      <c r="M19534" t="s">
        <v>17861</v>
      </c>
      <c r="N19534" t="str">
        <f>"6/26/2023 8:46:00 AM"</f>
        <v>6/26/2023 8:46:00 AM</v>
      </c>
      <c r="O19534" t="s">
        <v>59749</v>
      </c>
      <c r="T19534" t="s">
        <v>59750</v>
      </c>
    </row>
    <row r="19535" spans="1:20" x14ac:dyDescent="0.25">
      <c r="A19535" t="str">
        <f>"3061823"</f>
        <v>3061823</v>
      </c>
      <c r="B19535" t="s">
        <v>59772</v>
      </c>
      <c r="C19535" t="str">
        <f>"8320512"</f>
        <v>8320512</v>
      </c>
      <c r="D19535" t="s">
        <v>59773</v>
      </c>
      <c r="E19535" t="s">
        <v>59774</v>
      </c>
      <c r="F19535" t="s">
        <v>59775</v>
      </c>
      <c r="I19535" t="s">
        <v>184</v>
      </c>
      <c r="J19535" t="s">
        <v>30</v>
      </c>
      <c r="K19535" t="s">
        <v>58030</v>
      </c>
      <c r="M19535" t="s">
        <v>17861</v>
      </c>
      <c r="N19535" t="str">
        <f>"6/26/2023 8:49:00 AM"</f>
        <v>6/26/2023 8:49:00 AM</v>
      </c>
      <c r="O19535" t="s">
        <v>59773</v>
      </c>
      <c r="T19535" t="s">
        <v>59774</v>
      </c>
    </row>
    <row r="19536" spans="1:20" x14ac:dyDescent="0.25">
      <c r="A19536" t="str">
        <f>"3059790"</f>
        <v>3059790</v>
      </c>
      <c r="B19536" t="s">
        <v>59776</v>
      </c>
      <c r="C19536" t="str">
        <f>"82522225"</f>
        <v>82522225</v>
      </c>
      <c r="D19536" t="s">
        <v>59777</v>
      </c>
      <c r="F19536" t="s">
        <v>59778</v>
      </c>
      <c r="I19536" t="s">
        <v>29</v>
      </c>
      <c r="J19536" t="s">
        <v>30</v>
      </c>
      <c r="K19536" t="str">
        <f>"27028"</f>
        <v>27028</v>
      </c>
      <c r="M19536" t="s">
        <v>50793</v>
      </c>
      <c r="N19536" t="str">
        <f>"6/26/2023 9:21:00 AM"</f>
        <v>6/26/2023 9:21:00 AM</v>
      </c>
      <c r="O19536" t="s">
        <v>59777</v>
      </c>
    </row>
    <row r="19537" spans="1:20" x14ac:dyDescent="0.25">
      <c r="A19537" t="str">
        <f>"3055708"</f>
        <v>3055708</v>
      </c>
      <c r="B19537" t="s">
        <v>59779</v>
      </c>
      <c r="C19537" t="str">
        <f>"8320516"</f>
        <v>8320516</v>
      </c>
      <c r="D19537" t="s">
        <v>59780</v>
      </c>
      <c r="F19537" t="s">
        <v>59781</v>
      </c>
      <c r="I19537" t="s">
        <v>9580</v>
      </c>
      <c r="J19537" t="s">
        <v>30</v>
      </c>
      <c r="K19537" t="s">
        <v>59782</v>
      </c>
      <c r="M19537" t="s">
        <v>17861</v>
      </c>
      <c r="N19537" t="str">
        <f>"6/26/2023 10:03:00 AM"</f>
        <v>6/26/2023 10:03:00 AM</v>
      </c>
      <c r="O19537" t="s">
        <v>59780</v>
      </c>
    </row>
    <row r="19538" spans="1:20" x14ac:dyDescent="0.25">
      <c r="A19538" t="str">
        <f>"3060953"</f>
        <v>3060953</v>
      </c>
      <c r="B19538" t="s">
        <v>59783</v>
      </c>
      <c r="C19538" t="str">
        <f>"8320525"</f>
        <v>8320525</v>
      </c>
      <c r="D19538" t="s">
        <v>59784</v>
      </c>
      <c r="E19538" t="s">
        <v>59785</v>
      </c>
      <c r="F19538" t="s">
        <v>59786</v>
      </c>
      <c r="I19538" t="s">
        <v>2071</v>
      </c>
      <c r="J19538" t="s">
        <v>30</v>
      </c>
      <c r="K19538" t="s">
        <v>37104</v>
      </c>
      <c r="M19538" t="s">
        <v>17861</v>
      </c>
      <c r="N19538" t="str">
        <f>"6/27/2023 9:15:00 AM"</f>
        <v>6/27/2023 9:15:00 AM</v>
      </c>
      <c r="O19538" t="s">
        <v>59784</v>
      </c>
      <c r="T19538" t="s">
        <v>59785</v>
      </c>
    </row>
    <row r="19539" spans="1:20" x14ac:dyDescent="0.25">
      <c r="A19539" t="str">
        <f>"3058305"</f>
        <v>3058305</v>
      </c>
      <c r="B19539" t="s">
        <v>59787</v>
      </c>
      <c r="C19539" t="str">
        <f>"8320526"</f>
        <v>8320526</v>
      </c>
      <c r="D19539" t="s">
        <v>59788</v>
      </c>
      <c r="F19539" t="s">
        <v>59789</v>
      </c>
      <c r="I19539" t="s">
        <v>29</v>
      </c>
      <c r="J19539" t="s">
        <v>30</v>
      </c>
      <c r="K19539" t="str">
        <f>"27028"</f>
        <v>27028</v>
      </c>
      <c r="M19539" t="s">
        <v>17861</v>
      </c>
      <c r="N19539" t="str">
        <f>"6/27/2023 9:18:00 AM"</f>
        <v>6/27/2023 9:18:00 AM</v>
      </c>
      <c r="O19539" t="s">
        <v>59788</v>
      </c>
    </row>
    <row r="19540" spans="1:20" x14ac:dyDescent="0.25">
      <c r="A19540" t="str">
        <f>"3057590"</f>
        <v>3057590</v>
      </c>
      <c r="B19540" t="s">
        <v>59790</v>
      </c>
      <c r="C19540" t="str">
        <f>"8320527"</f>
        <v>8320527</v>
      </c>
      <c r="D19540" t="s">
        <v>59791</v>
      </c>
      <c r="F19540" t="s">
        <v>59792</v>
      </c>
      <c r="I19540" t="s">
        <v>44979</v>
      </c>
      <c r="J19540" t="s">
        <v>30197</v>
      </c>
      <c r="K19540" t="s">
        <v>59793</v>
      </c>
      <c r="M19540" t="s">
        <v>17861</v>
      </c>
      <c r="N19540" t="str">
        <f>"6/27/2023 9:39:00 AM"</f>
        <v>6/27/2023 9:39:00 AM</v>
      </c>
      <c r="O19540" t="s">
        <v>59791</v>
      </c>
    </row>
    <row r="19541" spans="1:20" x14ac:dyDescent="0.25">
      <c r="A19541" t="str">
        <f>"3057560"</f>
        <v>3057560</v>
      </c>
      <c r="B19541" t="s">
        <v>59794</v>
      </c>
      <c r="C19541" t="str">
        <f>"8320527"</f>
        <v>8320527</v>
      </c>
      <c r="D19541" t="s">
        <v>59791</v>
      </c>
      <c r="F19541" t="s">
        <v>59792</v>
      </c>
      <c r="I19541" t="s">
        <v>44979</v>
      </c>
      <c r="J19541" t="s">
        <v>30197</v>
      </c>
      <c r="K19541" t="s">
        <v>59793</v>
      </c>
      <c r="M19541" t="s">
        <v>17861</v>
      </c>
      <c r="N19541" t="str">
        <f>"6/27/2023 9:39:00 AM"</f>
        <v>6/27/2023 9:39:00 AM</v>
      </c>
      <c r="O19541" t="s">
        <v>59791</v>
      </c>
    </row>
    <row r="19542" spans="1:20" x14ac:dyDescent="0.25">
      <c r="A19542" t="str">
        <f>"3046470"</f>
        <v>3046470</v>
      </c>
      <c r="B19542" t="s">
        <v>59795</v>
      </c>
      <c r="C19542" t="str">
        <f>"8320433"</f>
        <v>8320433</v>
      </c>
      <c r="D19542" t="s">
        <v>59796</v>
      </c>
      <c r="F19542" t="s">
        <v>59797</v>
      </c>
      <c r="I19542" t="s">
        <v>29</v>
      </c>
      <c r="J19542" t="s">
        <v>30</v>
      </c>
      <c r="K19542" t="s">
        <v>10747</v>
      </c>
      <c r="M19542" t="s">
        <v>17861</v>
      </c>
      <c r="N19542" t="str">
        <f>"6/14/2023 4:05:00 PM"</f>
        <v>6/14/2023 4:05:00 PM</v>
      </c>
      <c r="O19542" t="s">
        <v>59796</v>
      </c>
    </row>
    <row r="19543" spans="1:20" x14ac:dyDescent="0.25">
      <c r="A19543" t="str">
        <f>"3047172"</f>
        <v>3047172</v>
      </c>
      <c r="B19543" t="s">
        <v>59798</v>
      </c>
      <c r="C19543" t="str">
        <f>"8320433"</f>
        <v>8320433</v>
      </c>
      <c r="D19543" t="s">
        <v>59796</v>
      </c>
      <c r="F19543" t="s">
        <v>59797</v>
      </c>
      <c r="I19543" t="s">
        <v>29</v>
      </c>
      <c r="J19543" t="s">
        <v>30</v>
      </c>
      <c r="K19543" t="s">
        <v>10747</v>
      </c>
      <c r="M19543" t="s">
        <v>17861</v>
      </c>
      <c r="N19543" t="str">
        <f>"6/14/2023 4:05:00 PM"</f>
        <v>6/14/2023 4:05:00 PM</v>
      </c>
      <c r="O19543" t="s">
        <v>59796</v>
      </c>
    </row>
    <row r="19544" spans="1:20" x14ac:dyDescent="0.25">
      <c r="A19544" t="str">
        <f>"3074669"</f>
        <v>3074669</v>
      </c>
      <c r="B19544" t="s">
        <v>59799</v>
      </c>
      <c r="C19544" t="str">
        <f>"8320434"</f>
        <v>8320434</v>
      </c>
      <c r="D19544" t="s">
        <v>59800</v>
      </c>
      <c r="F19544" t="s">
        <v>59801</v>
      </c>
      <c r="I19544" t="s">
        <v>402</v>
      </c>
      <c r="J19544" t="s">
        <v>30</v>
      </c>
      <c r="K19544" t="s">
        <v>59802</v>
      </c>
      <c r="M19544" t="s">
        <v>17861</v>
      </c>
      <c r="N19544" t="str">
        <f>"6/15/2023 8:13:00 AM"</f>
        <v>6/15/2023 8:13:00 AM</v>
      </c>
      <c r="O19544" t="s">
        <v>59800</v>
      </c>
    </row>
    <row r="19545" spans="1:20" x14ac:dyDescent="0.25">
      <c r="A19545" t="str">
        <f>"3053163"</f>
        <v>3053163</v>
      </c>
      <c r="B19545" t="s">
        <v>59803</v>
      </c>
      <c r="C19545" t="str">
        <f>"8320436"</f>
        <v>8320436</v>
      </c>
      <c r="D19545" t="s">
        <v>59804</v>
      </c>
      <c r="E19545" t="s">
        <v>59805</v>
      </c>
      <c r="F19545" t="s">
        <v>59806</v>
      </c>
      <c r="I19545" t="s">
        <v>17921</v>
      </c>
      <c r="J19545" t="s">
        <v>30</v>
      </c>
      <c r="K19545" t="str">
        <f>"27028"</f>
        <v>27028</v>
      </c>
      <c r="M19545" t="s">
        <v>17861</v>
      </c>
      <c r="N19545" t="str">
        <f>"6/15/2023 10:03:00 AM"</f>
        <v>6/15/2023 10:03:00 AM</v>
      </c>
      <c r="O19545" t="s">
        <v>59804</v>
      </c>
      <c r="T19545" t="s">
        <v>59805</v>
      </c>
    </row>
    <row r="19546" spans="1:20" x14ac:dyDescent="0.25">
      <c r="A19546" t="str">
        <f>"3039191"</f>
        <v>3039191</v>
      </c>
      <c r="B19546" t="s">
        <v>59807</v>
      </c>
      <c r="C19546" t="str">
        <f>"8301987"</f>
        <v>8301987</v>
      </c>
      <c r="D19546" t="s">
        <v>59808</v>
      </c>
      <c r="E19546" t="s">
        <v>59809</v>
      </c>
      <c r="F19546" t="s">
        <v>59810</v>
      </c>
      <c r="I19546" t="s">
        <v>29</v>
      </c>
      <c r="J19546" t="s">
        <v>30</v>
      </c>
      <c r="K19546" t="str">
        <f>"27028"</f>
        <v>27028</v>
      </c>
      <c r="M19546" t="s">
        <v>17861</v>
      </c>
      <c r="N19546" t="str">
        <f>"6/29/2023 1:20:00 PM"</f>
        <v>6/29/2023 1:20:00 PM</v>
      </c>
      <c r="O19546" t="s">
        <v>59808</v>
      </c>
      <c r="T19546" t="s">
        <v>59809</v>
      </c>
    </row>
    <row r="19547" spans="1:20" x14ac:dyDescent="0.25">
      <c r="A19547" t="str">
        <f>"3078019"</f>
        <v>3078019</v>
      </c>
      <c r="B19547" t="s">
        <v>59811</v>
      </c>
      <c r="C19547" t="str">
        <f>"8320537"</f>
        <v>8320537</v>
      </c>
      <c r="D19547" t="s">
        <v>59812</v>
      </c>
      <c r="E19547" t="s">
        <v>59813</v>
      </c>
      <c r="F19547" t="s">
        <v>59814</v>
      </c>
      <c r="I19547" t="s">
        <v>184</v>
      </c>
      <c r="J19547" t="s">
        <v>30</v>
      </c>
      <c r="K19547" t="s">
        <v>18888</v>
      </c>
      <c r="M19547" t="s">
        <v>17861</v>
      </c>
      <c r="N19547" t="str">
        <f>"6/29/2023 1:36:00 PM"</f>
        <v>6/29/2023 1:36:00 PM</v>
      </c>
      <c r="O19547" t="s">
        <v>59812</v>
      </c>
      <c r="T19547" t="s">
        <v>59813</v>
      </c>
    </row>
    <row r="19548" spans="1:20" x14ac:dyDescent="0.25">
      <c r="A19548" t="str">
        <f>"3078696"</f>
        <v>3078696</v>
      </c>
      <c r="B19548" t="s">
        <v>59815</v>
      </c>
      <c r="C19548" t="str">
        <f>"8320621"</f>
        <v>8320621</v>
      </c>
      <c r="D19548" t="str">
        <f>"GRAVES RALPH F JR/BARBARA M"</f>
        <v>GRAVES RALPH F JR/BARBARA M</v>
      </c>
      <c r="E19548" t="s">
        <v>59816</v>
      </c>
      <c r="F19548" t="s">
        <v>59817</v>
      </c>
      <c r="I19548" t="s">
        <v>29</v>
      </c>
      <c r="J19548" t="s">
        <v>30</v>
      </c>
      <c r="K19548" t="s">
        <v>20963</v>
      </c>
      <c r="M19548" t="s">
        <v>17861</v>
      </c>
      <c r="N19548" t="str">
        <f>"7/13/2023 9:46:00 AM"</f>
        <v>7/13/2023 9:46:00 AM</v>
      </c>
      <c r="O19548" t="str">
        <f>"GRAVES RALPH F JR/BARBARA M"</f>
        <v>GRAVES RALPH F JR/BARBARA M</v>
      </c>
      <c r="T19548" t="s">
        <v>59816</v>
      </c>
    </row>
    <row r="19549" spans="1:20" x14ac:dyDescent="0.25">
      <c r="A19549" t="str">
        <f>"3055084"</f>
        <v>3055084</v>
      </c>
      <c r="B19549" t="s">
        <v>59818</v>
      </c>
      <c r="C19549" t="str">
        <f>"8320622"</f>
        <v>8320622</v>
      </c>
      <c r="D19549" t="str">
        <f>"GRAVES RALPH F JR/BARBARA M"</f>
        <v>GRAVES RALPH F JR/BARBARA M</v>
      </c>
      <c r="E19549" t="s">
        <v>59819</v>
      </c>
      <c r="F19549" t="s">
        <v>59820</v>
      </c>
      <c r="I19549" t="s">
        <v>59821</v>
      </c>
      <c r="J19549" t="s">
        <v>3737</v>
      </c>
      <c r="K19549" t="s">
        <v>59822</v>
      </c>
      <c r="M19549" t="s">
        <v>17861</v>
      </c>
      <c r="N19549" t="str">
        <f>"7/13/2023 9:48:00 AM"</f>
        <v>7/13/2023 9:48:00 AM</v>
      </c>
      <c r="O19549" t="str">
        <f>"GRAVES RALPH F JR/BARBARA M"</f>
        <v>GRAVES RALPH F JR/BARBARA M</v>
      </c>
      <c r="T19549" t="s">
        <v>59819</v>
      </c>
    </row>
    <row r="19550" spans="1:20" x14ac:dyDescent="0.25">
      <c r="A19550" t="str">
        <f>"3060266"</f>
        <v>3060266</v>
      </c>
      <c r="B19550" t="s">
        <v>59823</v>
      </c>
      <c r="C19550" t="str">
        <f>"8320542"</f>
        <v>8320542</v>
      </c>
      <c r="D19550" t="s">
        <v>59824</v>
      </c>
      <c r="E19550" t="s">
        <v>59825</v>
      </c>
      <c r="F19550" t="s">
        <v>59826</v>
      </c>
      <c r="I19550" t="s">
        <v>184</v>
      </c>
      <c r="J19550" t="s">
        <v>30</v>
      </c>
      <c r="K19550" t="s">
        <v>33014</v>
      </c>
      <c r="M19550" t="s">
        <v>17861</v>
      </c>
      <c r="N19550" t="str">
        <f>"6/29/2023 1:58:00 PM"</f>
        <v>6/29/2023 1:58:00 PM</v>
      </c>
      <c r="O19550" t="s">
        <v>59824</v>
      </c>
      <c r="T19550" t="s">
        <v>59825</v>
      </c>
    </row>
    <row r="19551" spans="1:20" x14ac:dyDescent="0.25">
      <c r="A19551" t="str">
        <f>"3058477"</f>
        <v>3058477</v>
      </c>
      <c r="B19551" t="s">
        <v>59827</v>
      </c>
      <c r="C19551" t="str">
        <f>"8320548"</f>
        <v>8320548</v>
      </c>
      <c r="D19551" t="s">
        <v>59828</v>
      </c>
      <c r="E19551" t="s">
        <v>59829</v>
      </c>
      <c r="F19551" t="s">
        <v>59830</v>
      </c>
      <c r="I19551" t="s">
        <v>29</v>
      </c>
      <c r="J19551" t="s">
        <v>30</v>
      </c>
      <c r="K19551" t="s">
        <v>59681</v>
      </c>
      <c r="M19551" t="s">
        <v>17861</v>
      </c>
      <c r="N19551" t="str">
        <f>"6/30/2023 9:56:00 AM"</f>
        <v>6/30/2023 9:56:00 AM</v>
      </c>
      <c r="O19551" t="s">
        <v>59828</v>
      </c>
      <c r="T19551" t="s">
        <v>59829</v>
      </c>
    </row>
    <row r="19552" spans="1:20" x14ac:dyDescent="0.25">
      <c r="A19552" t="str">
        <f>"3077746"</f>
        <v>3077746</v>
      </c>
      <c r="B19552" t="s">
        <v>59831</v>
      </c>
      <c r="C19552" t="str">
        <f>"8320549"</f>
        <v>8320549</v>
      </c>
      <c r="D19552" t="s">
        <v>59662</v>
      </c>
      <c r="F19552" t="s">
        <v>59663</v>
      </c>
      <c r="I19552" t="s">
        <v>184</v>
      </c>
      <c r="J19552" t="s">
        <v>30</v>
      </c>
      <c r="K19552" t="s">
        <v>59664</v>
      </c>
      <c r="M19552" t="s">
        <v>17861</v>
      </c>
      <c r="N19552" t="str">
        <f>"6/30/2023 10:16:00 AM"</f>
        <v>6/30/2023 10:16:00 AM</v>
      </c>
      <c r="O19552" t="s">
        <v>59662</v>
      </c>
    </row>
    <row r="19553" spans="1:20" x14ac:dyDescent="0.25">
      <c r="A19553" t="str">
        <f>"3053872"</f>
        <v>3053872</v>
      </c>
      <c r="B19553" t="s">
        <v>59832</v>
      </c>
      <c r="C19553" t="str">
        <f>"8320561"</f>
        <v>8320561</v>
      </c>
      <c r="D19553" t="s">
        <v>59833</v>
      </c>
      <c r="F19553" t="s">
        <v>59834</v>
      </c>
      <c r="I19553" t="s">
        <v>29</v>
      </c>
      <c r="J19553" t="s">
        <v>30</v>
      </c>
      <c r="K19553" t="s">
        <v>42575</v>
      </c>
      <c r="M19553" t="s">
        <v>17861</v>
      </c>
      <c r="N19553" t="str">
        <f>"7/3/2023 2:08:00 PM"</f>
        <v>7/3/2023 2:08:00 PM</v>
      </c>
      <c r="O19553" t="s">
        <v>59833</v>
      </c>
    </row>
    <row r="19554" spans="1:20" x14ac:dyDescent="0.25">
      <c r="A19554" t="str">
        <f>"3045432"</f>
        <v>3045432</v>
      </c>
      <c r="B19554" t="s">
        <v>59835</v>
      </c>
      <c r="C19554" t="str">
        <f>"8320562"</f>
        <v>8320562</v>
      </c>
      <c r="D19554" t="s">
        <v>59836</v>
      </c>
      <c r="F19554" t="s">
        <v>59837</v>
      </c>
      <c r="I19554" t="s">
        <v>29</v>
      </c>
      <c r="J19554" t="s">
        <v>30</v>
      </c>
      <c r="K19554" t="s">
        <v>8081</v>
      </c>
      <c r="M19554" t="s">
        <v>17861</v>
      </c>
      <c r="N19554" t="str">
        <f>"7/3/2023 2:16:00 PM"</f>
        <v>7/3/2023 2:16:00 PM</v>
      </c>
      <c r="O19554" t="s">
        <v>59836</v>
      </c>
    </row>
    <row r="19555" spans="1:20" x14ac:dyDescent="0.25">
      <c r="A19555" t="str">
        <f>"3044596"</f>
        <v>3044596</v>
      </c>
      <c r="B19555" t="s">
        <v>59838</v>
      </c>
      <c r="C19555" t="str">
        <f>"8320563"</f>
        <v>8320563</v>
      </c>
      <c r="D19555" t="s">
        <v>59839</v>
      </c>
      <c r="E19555" t="s">
        <v>59840</v>
      </c>
      <c r="F19555" t="s">
        <v>59841</v>
      </c>
      <c r="I19555" t="s">
        <v>184</v>
      </c>
      <c r="J19555" t="s">
        <v>30</v>
      </c>
      <c r="K19555" t="s">
        <v>41058</v>
      </c>
      <c r="M19555" t="s">
        <v>17861</v>
      </c>
      <c r="N19555" t="str">
        <f>"7/3/2023 3:09:00 PM"</f>
        <v>7/3/2023 3:09:00 PM</v>
      </c>
      <c r="O19555" t="s">
        <v>59839</v>
      </c>
      <c r="T19555" t="s">
        <v>59840</v>
      </c>
    </row>
    <row r="19556" spans="1:20" x14ac:dyDescent="0.25">
      <c r="A19556" t="str">
        <f>"3050854"</f>
        <v>3050854</v>
      </c>
      <c r="B19556" t="s">
        <v>59842</v>
      </c>
      <c r="C19556" t="str">
        <f>"8320577"</f>
        <v>8320577</v>
      </c>
      <c r="D19556" t="s">
        <v>59753</v>
      </c>
      <c r="E19556" t="s">
        <v>36156</v>
      </c>
      <c r="F19556" t="s">
        <v>59754</v>
      </c>
      <c r="I19556" t="s">
        <v>184</v>
      </c>
      <c r="J19556" t="s">
        <v>30</v>
      </c>
      <c r="K19556" t="s">
        <v>59755</v>
      </c>
      <c r="M19556" t="s">
        <v>17861</v>
      </c>
      <c r="N19556" t="str">
        <f>"7/10/2023 12:51:00 PM"</f>
        <v>7/10/2023 12:51:00 PM</v>
      </c>
      <c r="O19556" t="s">
        <v>59753</v>
      </c>
      <c r="T19556" t="s">
        <v>36156</v>
      </c>
    </row>
    <row r="19557" spans="1:20" x14ac:dyDescent="0.25">
      <c r="A19557" t="str">
        <f>"3060030"</f>
        <v>3060030</v>
      </c>
      <c r="B19557" t="s">
        <v>59843</v>
      </c>
      <c r="C19557" t="str">
        <f>"8320608"</f>
        <v>8320608</v>
      </c>
      <c r="D19557" t="s">
        <v>59844</v>
      </c>
      <c r="E19557" t="s">
        <v>59845</v>
      </c>
      <c r="F19557" t="s">
        <v>59846</v>
      </c>
      <c r="I19557" t="s">
        <v>184</v>
      </c>
      <c r="J19557" t="s">
        <v>30</v>
      </c>
      <c r="K19557" t="s">
        <v>33192</v>
      </c>
      <c r="M19557" t="s">
        <v>17861</v>
      </c>
      <c r="N19557" t="str">
        <f>"7/11/2023 1:47:00 PM"</f>
        <v>7/11/2023 1:47:00 PM</v>
      </c>
      <c r="O19557" t="s">
        <v>59844</v>
      </c>
      <c r="T19557" t="s">
        <v>59845</v>
      </c>
    </row>
    <row r="19558" spans="1:20" x14ac:dyDescent="0.25">
      <c r="A19558" t="str">
        <f>"3063996"</f>
        <v>3063996</v>
      </c>
      <c r="B19558" t="s">
        <v>59847</v>
      </c>
      <c r="C19558" t="str">
        <f>"8320631"</f>
        <v>8320631</v>
      </c>
      <c r="D19558" t="s">
        <v>59848</v>
      </c>
      <c r="F19558" t="s">
        <v>59849</v>
      </c>
      <c r="I19558" t="s">
        <v>184</v>
      </c>
      <c r="J19558" t="s">
        <v>30</v>
      </c>
      <c r="K19558" t="s">
        <v>37888</v>
      </c>
      <c r="M19558" t="s">
        <v>17861</v>
      </c>
      <c r="N19558" t="str">
        <f>"7/14/2023 3:50:00 PM"</f>
        <v>7/14/2023 3:50:00 PM</v>
      </c>
      <c r="O19558" t="s">
        <v>59848</v>
      </c>
    </row>
    <row r="19559" spans="1:20" x14ac:dyDescent="0.25">
      <c r="A19559" t="str">
        <f>"3058330"</f>
        <v>3058330</v>
      </c>
      <c r="B19559" t="s">
        <v>59850</v>
      </c>
      <c r="C19559" t="str">
        <f>"8320633"</f>
        <v>8320633</v>
      </c>
      <c r="D19559" t="s">
        <v>59851</v>
      </c>
      <c r="F19559" t="s">
        <v>59852</v>
      </c>
      <c r="I19559" t="s">
        <v>29</v>
      </c>
      <c r="J19559" t="s">
        <v>30</v>
      </c>
      <c r="K19559" t="str">
        <f>"27028"</f>
        <v>27028</v>
      </c>
      <c r="M19559" t="s">
        <v>17861</v>
      </c>
      <c r="N19559" t="str">
        <f>"7/14/2023 3:56:00 PM"</f>
        <v>7/14/2023 3:56:00 PM</v>
      </c>
      <c r="O19559" t="s">
        <v>59851</v>
      </c>
    </row>
    <row r="19560" spans="1:20" x14ac:dyDescent="0.25">
      <c r="A19560" t="str">
        <f>"3078617"</f>
        <v>3078617</v>
      </c>
      <c r="B19560" t="s">
        <v>59853</v>
      </c>
      <c r="C19560" t="str">
        <f>"8320634"</f>
        <v>8320634</v>
      </c>
      <c r="D19560" t="s">
        <v>59854</v>
      </c>
      <c r="E19560" t="s">
        <v>59855</v>
      </c>
      <c r="F19560" t="s">
        <v>59856</v>
      </c>
      <c r="I19560" t="s">
        <v>29</v>
      </c>
      <c r="J19560" t="s">
        <v>30</v>
      </c>
      <c r="K19560" t="s">
        <v>33182</v>
      </c>
      <c r="M19560" t="s">
        <v>17861</v>
      </c>
      <c r="N19560" t="str">
        <f>"7/14/2023 3:58:00 PM"</f>
        <v>7/14/2023 3:58:00 PM</v>
      </c>
      <c r="O19560" t="s">
        <v>59854</v>
      </c>
      <c r="T19560" t="s">
        <v>59855</v>
      </c>
    </row>
    <row r="19561" spans="1:20" x14ac:dyDescent="0.25">
      <c r="A19561" t="str">
        <f>"3061208"</f>
        <v>3061208</v>
      </c>
      <c r="B19561" t="s">
        <v>59857</v>
      </c>
      <c r="C19561" t="str">
        <f>"8320636"</f>
        <v>8320636</v>
      </c>
      <c r="D19561" t="s">
        <v>59858</v>
      </c>
      <c r="F19561" t="s">
        <v>59859</v>
      </c>
      <c r="I19561" t="s">
        <v>2071</v>
      </c>
      <c r="J19561" t="s">
        <v>30</v>
      </c>
      <c r="K19561" t="s">
        <v>35124</v>
      </c>
      <c r="M19561" t="s">
        <v>17861</v>
      </c>
      <c r="N19561" t="str">
        <f>"7/14/2023 4:10:00 PM"</f>
        <v>7/14/2023 4:10:00 PM</v>
      </c>
      <c r="O19561" t="s">
        <v>59858</v>
      </c>
    </row>
    <row r="19562" spans="1:20" x14ac:dyDescent="0.25">
      <c r="A19562" t="str">
        <f>"3063032"</f>
        <v>3063032</v>
      </c>
      <c r="B19562" t="s">
        <v>59860</v>
      </c>
      <c r="C19562" t="str">
        <f>"8320637"</f>
        <v>8320637</v>
      </c>
      <c r="D19562" t="s">
        <v>59861</v>
      </c>
      <c r="E19562" t="s">
        <v>59862</v>
      </c>
      <c r="F19562" t="s">
        <v>59863</v>
      </c>
      <c r="I19562" t="s">
        <v>184</v>
      </c>
      <c r="J19562" t="s">
        <v>30</v>
      </c>
      <c r="K19562" t="s">
        <v>47887</v>
      </c>
      <c r="M19562" t="s">
        <v>17861</v>
      </c>
      <c r="N19562" t="str">
        <f>"7/17/2023 9:22:00 AM"</f>
        <v>7/17/2023 9:22:00 AM</v>
      </c>
      <c r="O19562" t="s">
        <v>59861</v>
      </c>
      <c r="T19562" t="s">
        <v>59862</v>
      </c>
    </row>
    <row r="19563" spans="1:20" x14ac:dyDescent="0.25">
      <c r="A19563" t="str">
        <f>"3048397"</f>
        <v>3048397</v>
      </c>
      <c r="B19563" t="s">
        <v>59864</v>
      </c>
      <c r="C19563" t="str">
        <f>"8320608"</f>
        <v>8320608</v>
      </c>
      <c r="D19563" t="s">
        <v>59844</v>
      </c>
      <c r="E19563" t="s">
        <v>59845</v>
      </c>
      <c r="F19563" t="s">
        <v>59846</v>
      </c>
      <c r="I19563" t="s">
        <v>184</v>
      </c>
      <c r="J19563" t="s">
        <v>30</v>
      </c>
      <c r="K19563" t="s">
        <v>33192</v>
      </c>
      <c r="M19563" t="s">
        <v>17861</v>
      </c>
      <c r="N19563" t="str">
        <f>"7/11/2023 1:47:00 PM"</f>
        <v>7/11/2023 1:47:00 PM</v>
      </c>
      <c r="O19563" t="s">
        <v>59844</v>
      </c>
      <c r="T19563" t="s">
        <v>59845</v>
      </c>
    </row>
    <row r="19564" spans="1:20" x14ac:dyDescent="0.25">
      <c r="A19564" t="str">
        <f>"3041911"</f>
        <v>3041911</v>
      </c>
      <c r="B19564" t="s">
        <v>59865</v>
      </c>
      <c r="C19564" t="str">
        <f>"8320611"</f>
        <v>8320611</v>
      </c>
      <c r="D19564" t="s">
        <v>59866</v>
      </c>
      <c r="E19564" t="s">
        <v>59867</v>
      </c>
      <c r="F19564" t="s">
        <v>59868</v>
      </c>
      <c r="I19564" t="s">
        <v>402</v>
      </c>
      <c r="J19564" t="s">
        <v>30</v>
      </c>
      <c r="K19564" t="s">
        <v>59869</v>
      </c>
      <c r="M19564" t="s">
        <v>17861</v>
      </c>
      <c r="N19564" t="str">
        <f>"7/11/2023 1:50:00 PM"</f>
        <v>7/11/2023 1:50:00 PM</v>
      </c>
      <c r="O19564" t="s">
        <v>59866</v>
      </c>
      <c r="T19564" t="s">
        <v>59867</v>
      </c>
    </row>
    <row r="19565" spans="1:20" x14ac:dyDescent="0.25">
      <c r="A19565" t="str">
        <f>"3061992"</f>
        <v>3061992</v>
      </c>
      <c r="B19565" t="s">
        <v>59870</v>
      </c>
      <c r="C19565" t="str">
        <f>"8320612"</f>
        <v>8320612</v>
      </c>
      <c r="D19565" t="s">
        <v>59871</v>
      </c>
      <c r="E19565" t="s">
        <v>59872</v>
      </c>
      <c r="F19565" t="s">
        <v>59873</v>
      </c>
      <c r="I19565" t="s">
        <v>184</v>
      </c>
      <c r="J19565" t="s">
        <v>30</v>
      </c>
      <c r="K19565" t="s">
        <v>35233</v>
      </c>
      <c r="M19565" t="s">
        <v>17861</v>
      </c>
      <c r="N19565" t="str">
        <f>"7/11/2023 1:55:00 PM"</f>
        <v>7/11/2023 1:55:00 PM</v>
      </c>
      <c r="O19565" t="s">
        <v>59871</v>
      </c>
      <c r="T19565" t="s">
        <v>59872</v>
      </c>
    </row>
    <row r="19566" spans="1:20" x14ac:dyDescent="0.25">
      <c r="A19566" t="str">
        <f>"3046069"</f>
        <v>3046069</v>
      </c>
      <c r="B19566" t="s">
        <v>59874</v>
      </c>
      <c r="C19566" t="str">
        <f>"8320613"</f>
        <v>8320613</v>
      </c>
      <c r="D19566" t="s">
        <v>59875</v>
      </c>
      <c r="E19566" t="s">
        <v>59876</v>
      </c>
      <c r="F19566" t="s">
        <v>59877</v>
      </c>
      <c r="I19566" t="s">
        <v>29</v>
      </c>
      <c r="J19566" t="s">
        <v>30</v>
      </c>
      <c r="K19566" t="s">
        <v>8224</v>
      </c>
      <c r="M19566" t="s">
        <v>17861</v>
      </c>
      <c r="N19566" t="str">
        <f>"7/11/2023 1:59:00 PM"</f>
        <v>7/11/2023 1:59:00 PM</v>
      </c>
      <c r="O19566" t="s">
        <v>59875</v>
      </c>
      <c r="T19566" t="s">
        <v>59876</v>
      </c>
    </row>
    <row r="19567" spans="1:20" x14ac:dyDescent="0.25">
      <c r="A19567" t="str">
        <f>"3053201"</f>
        <v>3053201</v>
      </c>
      <c r="B19567" t="s">
        <v>59878</v>
      </c>
      <c r="C19567" t="str">
        <f>"8320652"</f>
        <v>8320652</v>
      </c>
      <c r="D19567" t="s">
        <v>59879</v>
      </c>
      <c r="E19567" t="s">
        <v>59880</v>
      </c>
      <c r="F19567" t="s">
        <v>59881</v>
      </c>
      <c r="I19567" t="s">
        <v>29</v>
      </c>
      <c r="J19567" t="s">
        <v>30</v>
      </c>
      <c r="K19567" t="s">
        <v>12411</v>
      </c>
      <c r="M19567" t="s">
        <v>17861</v>
      </c>
      <c r="N19567" t="str">
        <f>"7/18/2023 4:16:00 PM"</f>
        <v>7/18/2023 4:16:00 PM</v>
      </c>
      <c r="O19567" t="s">
        <v>59879</v>
      </c>
      <c r="T19567" t="s">
        <v>59880</v>
      </c>
    </row>
    <row r="19568" spans="1:20" x14ac:dyDescent="0.25">
      <c r="A19568" t="str">
        <f>"3040659"</f>
        <v>3040659</v>
      </c>
      <c r="B19568" t="s">
        <v>59882</v>
      </c>
      <c r="C19568" t="str">
        <f>"8320654"</f>
        <v>8320654</v>
      </c>
      <c r="D19568" t="s">
        <v>59883</v>
      </c>
      <c r="E19568" t="s">
        <v>59884</v>
      </c>
      <c r="F19568" t="s">
        <v>59885</v>
      </c>
      <c r="I19568" t="s">
        <v>184</v>
      </c>
      <c r="J19568" t="s">
        <v>30</v>
      </c>
      <c r="K19568" t="s">
        <v>3550</v>
      </c>
      <c r="M19568" t="s">
        <v>17861</v>
      </c>
      <c r="N19568" t="str">
        <f>"7/19/2023 2:37:00 PM"</f>
        <v>7/19/2023 2:37:00 PM</v>
      </c>
      <c r="O19568" t="s">
        <v>59883</v>
      </c>
      <c r="T19568" t="s">
        <v>59884</v>
      </c>
    </row>
    <row r="19569" spans="1:20" x14ac:dyDescent="0.25">
      <c r="A19569" t="str">
        <f>"3056765"</f>
        <v>3056765</v>
      </c>
      <c r="B19569" t="s">
        <v>59886</v>
      </c>
      <c r="C19569" t="str">
        <f>"8320655"</f>
        <v>8320655</v>
      </c>
      <c r="D19569" t="s">
        <v>59887</v>
      </c>
      <c r="E19569" t="s">
        <v>59888</v>
      </c>
      <c r="F19569" t="s">
        <v>59889</v>
      </c>
      <c r="I19569" t="s">
        <v>29</v>
      </c>
      <c r="J19569" t="s">
        <v>30</v>
      </c>
      <c r="K19569" t="s">
        <v>16678</v>
      </c>
      <c r="M19569" t="s">
        <v>17861</v>
      </c>
      <c r="N19569" t="str">
        <f>"7/19/2023 4:07:00 PM"</f>
        <v>7/19/2023 4:07:00 PM</v>
      </c>
      <c r="O19569" t="s">
        <v>59887</v>
      </c>
      <c r="T19569" t="s">
        <v>59888</v>
      </c>
    </row>
    <row r="19570" spans="1:20" x14ac:dyDescent="0.25">
      <c r="A19570" t="str">
        <f>"3058329"</f>
        <v>3058329</v>
      </c>
      <c r="B19570" t="s">
        <v>59890</v>
      </c>
      <c r="C19570" t="str">
        <f>"8320614"</f>
        <v>8320614</v>
      </c>
      <c r="D19570" t="s">
        <v>59891</v>
      </c>
      <c r="F19570" t="s">
        <v>59892</v>
      </c>
      <c r="I19570" t="s">
        <v>17921</v>
      </c>
      <c r="J19570" t="s">
        <v>30</v>
      </c>
      <c r="K19570" t="str">
        <f>"27028"</f>
        <v>27028</v>
      </c>
      <c r="M19570" t="s">
        <v>17861</v>
      </c>
      <c r="N19570" t="str">
        <f>"7/11/2023 2:30:00 PM"</f>
        <v>7/11/2023 2:30:00 PM</v>
      </c>
      <c r="O19570" t="s">
        <v>59891</v>
      </c>
    </row>
    <row r="19571" spans="1:20" x14ac:dyDescent="0.25">
      <c r="A19571" t="str">
        <f>"3058470"</f>
        <v>3058470</v>
      </c>
      <c r="B19571" t="s">
        <v>59893</v>
      </c>
      <c r="C19571" t="str">
        <f>"8320615"</f>
        <v>8320615</v>
      </c>
      <c r="D19571" t="s">
        <v>59894</v>
      </c>
      <c r="F19571" t="s">
        <v>59895</v>
      </c>
      <c r="I19571" t="s">
        <v>29</v>
      </c>
      <c r="J19571" t="s">
        <v>30</v>
      </c>
      <c r="K19571" t="s">
        <v>59681</v>
      </c>
      <c r="M19571" t="s">
        <v>17861</v>
      </c>
      <c r="N19571" t="str">
        <f>"7/11/2023 2:32:00 PM"</f>
        <v>7/11/2023 2:32:00 PM</v>
      </c>
      <c r="O19571" t="s">
        <v>59894</v>
      </c>
    </row>
    <row r="19572" spans="1:20" x14ac:dyDescent="0.25">
      <c r="A19572" t="str">
        <f>"3078235"</f>
        <v>3078235</v>
      </c>
      <c r="B19572" t="s">
        <v>59896</v>
      </c>
      <c r="C19572" t="str">
        <f>"8320663"</f>
        <v>8320663</v>
      </c>
      <c r="D19572" t="s">
        <v>59897</v>
      </c>
      <c r="F19572" t="s">
        <v>59898</v>
      </c>
      <c r="I19572" t="s">
        <v>29</v>
      </c>
      <c r="J19572" t="s">
        <v>30</v>
      </c>
      <c r="K19572" t="s">
        <v>11082</v>
      </c>
      <c r="M19572" t="s">
        <v>17861</v>
      </c>
      <c r="N19572" t="str">
        <f>"7/21/2023 8:39:00 AM"</f>
        <v>7/21/2023 8:39:00 AM</v>
      </c>
      <c r="O19572" t="s">
        <v>59897</v>
      </c>
    </row>
    <row r="19573" spans="1:20" x14ac:dyDescent="0.25">
      <c r="A19573" t="str">
        <f>"3056645"</f>
        <v>3056645</v>
      </c>
      <c r="B19573" t="s">
        <v>59899</v>
      </c>
      <c r="C19573" t="str">
        <f>"8320664"</f>
        <v>8320664</v>
      </c>
      <c r="D19573" t="s">
        <v>59900</v>
      </c>
      <c r="E19573" t="s">
        <v>59901</v>
      </c>
      <c r="F19573" t="s">
        <v>59902</v>
      </c>
      <c r="I19573" t="s">
        <v>29</v>
      </c>
      <c r="J19573" t="s">
        <v>30</v>
      </c>
      <c r="K19573" t="s">
        <v>16489</v>
      </c>
      <c r="M19573" t="s">
        <v>17861</v>
      </c>
      <c r="N19573" t="str">
        <f>"7/21/2023 8:44:00 AM"</f>
        <v>7/21/2023 8:44:00 AM</v>
      </c>
      <c r="O19573" t="s">
        <v>59900</v>
      </c>
      <c r="T19573" t="s">
        <v>59901</v>
      </c>
    </row>
    <row r="19574" spans="1:20" x14ac:dyDescent="0.25">
      <c r="A19574" t="str">
        <f>"3056409"</f>
        <v>3056409</v>
      </c>
      <c r="B19574" t="s">
        <v>59903</v>
      </c>
      <c r="C19574" t="str">
        <f>"8320664"</f>
        <v>8320664</v>
      </c>
      <c r="D19574" t="s">
        <v>59900</v>
      </c>
      <c r="E19574" t="s">
        <v>59901</v>
      </c>
      <c r="F19574" t="s">
        <v>59902</v>
      </c>
      <c r="I19574" t="s">
        <v>29</v>
      </c>
      <c r="J19574" t="s">
        <v>30</v>
      </c>
      <c r="K19574" t="s">
        <v>16489</v>
      </c>
      <c r="M19574" t="s">
        <v>17861</v>
      </c>
      <c r="N19574" t="str">
        <f>"7/21/2023 8:44:00 AM"</f>
        <v>7/21/2023 8:44:00 AM</v>
      </c>
      <c r="O19574" t="s">
        <v>59900</v>
      </c>
      <c r="T19574" t="s">
        <v>59901</v>
      </c>
    </row>
    <row r="19575" spans="1:20" x14ac:dyDescent="0.25">
      <c r="A19575" t="str">
        <f>"3056283"</f>
        <v>3056283</v>
      </c>
      <c r="B19575" t="s">
        <v>59904</v>
      </c>
      <c r="C19575" t="str">
        <f>"8320664"</f>
        <v>8320664</v>
      </c>
      <c r="D19575" t="s">
        <v>59900</v>
      </c>
      <c r="E19575" t="s">
        <v>59901</v>
      </c>
      <c r="F19575" t="s">
        <v>59902</v>
      </c>
      <c r="I19575" t="s">
        <v>29</v>
      </c>
      <c r="J19575" t="s">
        <v>30</v>
      </c>
      <c r="K19575" t="s">
        <v>16489</v>
      </c>
      <c r="M19575" t="s">
        <v>17861</v>
      </c>
      <c r="N19575" t="str">
        <f>"7/21/2023 8:44:00 AM"</f>
        <v>7/21/2023 8:44:00 AM</v>
      </c>
      <c r="O19575" t="s">
        <v>59900</v>
      </c>
      <c r="T19575" t="s">
        <v>59901</v>
      </c>
    </row>
    <row r="19576" spans="1:20" x14ac:dyDescent="0.25">
      <c r="A19576" t="str">
        <f>"3059618"</f>
        <v>3059618</v>
      </c>
      <c r="B19576" t="s">
        <v>59905</v>
      </c>
      <c r="C19576" t="str">
        <f>"8320665"</f>
        <v>8320665</v>
      </c>
      <c r="D19576" t="s">
        <v>59906</v>
      </c>
      <c r="E19576" t="s">
        <v>59907</v>
      </c>
      <c r="F19576" t="s">
        <v>59908</v>
      </c>
      <c r="I19576" t="s">
        <v>29</v>
      </c>
      <c r="J19576" t="s">
        <v>30</v>
      </c>
      <c r="K19576" t="s">
        <v>39498</v>
      </c>
      <c r="M19576" t="s">
        <v>17861</v>
      </c>
      <c r="N19576" t="str">
        <f>"7/21/2023 8:49:00 AM"</f>
        <v>7/21/2023 8:49:00 AM</v>
      </c>
      <c r="O19576" t="s">
        <v>59906</v>
      </c>
      <c r="T19576" t="s">
        <v>59907</v>
      </c>
    </row>
    <row r="19577" spans="1:20" x14ac:dyDescent="0.25">
      <c r="A19577" t="str">
        <f>"3060522"</f>
        <v>3060522</v>
      </c>
      <c r="B19577" t="s">
        <v>59909</v>
      </c>
      <c r="C19577" t="str">
        <f>"8320535"</f>
        <v>8320535</v>
      </c>
      <c r="D19577" t="s">
        <v>59910</v>
      </c>
      <c r="F19577" t="s">
        <v>59911</v>
      </c>
      <c r="I19577" t="s">
        <v>184</v>
      </c>
      <c r="J19577" t="s">
        <v>30</v>
      </c>
      <c r="K19577" t="s">
        <v>19018</v>
      </c>
      <c r="M19577" t="s">
        <v>17861</v>
      </c>
      <c r="N19577" t="str">
        <f>"6/29/2023 1:10:00 PM"</f>
        <v>6/29/2023 1:10:00 PM</v>
      </c>
      <c r="O19577" t="s">
        <v>59910</v>
      </c>
    </row>
    <row r="19578" spans="1:20" x14ac:dyDescent="0.25">
      <c r="A19578" t="str">
        <f>"3077751"</f>
        <v>3077751</v>
      </c>
      <c r="B19578" t="s">
        <v>59912</v>
      </c>
      <c r="C19578" t="str">
        <f>"8320536"</f>
        <v>8320536</v>
      </c>
      <c r="D19578" t="s">
        <v>59913</v>
      </c>
      <c r="E19578" t="s">
        <v>59914</v>
      </c>
      <c r="F19578" t="s">
        <v>59915</v>
      </c>
      <c r="I19578" t="s">
        <v>184</v>
      </c>
      <c r="J19578" t="s">
        <v>30</v>
      </c>
      <c r="K19578" t="s">
        <v>46654</v>
      </c>
      <c r="M19578" t="s">
        <v>17861</v>
      </c>
      <c r="N19578" t="str">
        <f>"6/29/2023 1:13:00 PM"</f>
        <v>6/29/2023 1:13:00 PM</v>
      </c>
      <c r="O19578" t="s">
        <v>59913</v>
      </c>
      <c r="T19578" t="s">
        <v>59914</v>
      </c>
    </row>
    <row r="19579" spans="1:20" x14ac:dyDescent="0.25">
      <c r="A19579" t="str">
        <f>"3039181"</f>
        <v>3039181</v>
      </c>
      <c r="B19579" t="s">
        <v>59916</v>
      </c>
      <c r="C19579" t="str">
        <f>"8301987"</f>
        <v>8301987</v>
      </c>
      <c r="D19579" t="s">
        <v>59808</v>
      </c>
      <c r="E19579" t="s">
        <v>59809</v>
      </c>
      <c r="F19579" t="s">
        <v>59810</v>
      </c>
      <c r="I19579" t="s">
        <v>29</v>
      </c>
      <c r="J19579" t="s">
        <v>30</v>
      </c>
      <c r="K19579" t="str">
        <f>"27028"</f>
        <v>27028</v>
      </c>
      <c r="M19579" t="s">
        <v>17861</v>
      </c>
      <c r="N19579" t="str">
        <f>"6/29/2023 1:20:00 PM"</f>
        <v>6/29/2023 1:20:00 PM</v>
      </c>
      <c r="O19579" t="s">
        <v>59808</v>
      </c>
      <c r="T19579" t="s">
        <v>59809</v>
      </c>
    </row>
    <row r="19580" spans="1:20" x14ac:dyDescent="0.25">
      <c r="A19580" t="str">
        <f>"3055638"</f>
        <v>3055638</v>
      </c>
      <c r="B19580" t="s">
        <v>59917</v>
      </c>
      <c r="C19580" t="str">
        <f>"8320620"</f>
        <v>8320620</v>
      </c>
      <c r="D19580" t="str">
        <f>"GRAVES RALPH F JR/BARBARA M"</f>
        <v>GRAVES RALPH F JR/BARBARA M</v>
      </c>
      <c r="E19580" t="s">
        <v>59918</v>
      </c>
      <c r="F19580" t="s">
        <v>59919</v>
      </c>
      <c r="I19580" t="s">
        <v>29</v>
      </c>
      <c r="J19580" t="s">
        <v>30</v>
      </c>
      <c r="K19580" t="s">
        <v>20963</v>
      </c>
      <c r="M19580" t="s">
        <v>17861</v>
      </c>
      <c r="N19580" t="str">
        <f>"7/13/2023 9:43:00 AM"</f>
        <v>7/13/2023 9:43:00 AM</v>
      </c>
      <c r="O19580" t="str">
        <f>"GRAVES RALPH F JR/BARBARA M"</f>
        <v>GRAVES RALPH F JR/BARBARA M</v>
      </c>
      <c r="T19580" t="s">
        <v>59918</v>
      </c>
    </row>
    <row r="19581" spans="1:20" x14ac:dyDescent="0.25">
      <c r="A19581" t="str">
        <f>"3078149"</f>
        <v>3078149</v>
      </c>
      <c r="B19581" t="s">
        <v>59920</v>
      </c>
      <c r="C19581" t="str">
        <f>"8320624"</f>
        <v>8320624</v>
      </c>
      <c r="D19581" t="s">
        <v>59921</v>
      </c>
      <c r="F19581" t="s">
        <v>59922</v>
      </c>
      <c r="I19581" t="s">
        <v>29</v>
      </c>
      <c r="J19581" t="s">
        <v>30</v>
      </c>
      <c r="K19581" t="s">
        <v>27045</v>
      </c>
      <c r="M19581" t="s">
        <v>17861</v>
      </c>
      <c r="N19581" t="str">
        <f>"7/13/2023 10:48:00 AM"</f>
        <v>7/13/2023 10:48:00 AM</v>
      </c>
      <c r="O19581" t="s">
        <v>59921</v>
      </c>
    </row>
    <row r="19582" spans="1:20" x14ac:dyDescent="0.25">
      <c r="A19582" t="str">
        <f>"3064095"</f>
        <v>3064095</v>
      </c>
      <c r="B19582" t="s">
        <v>59923</v>
      </c>
      <c r="C19582" t="str">
        <f>"8320626"</f>
        <v>8320626</v>
      </c>
      <c r="D19582" t="s">
        <v>59924</v>
      </c>
      <c r="E19582" t="s">
        <v>59925</v>
      </c>
      <c r="F19582" t="s">
        <v>59926</v>
      </c>
      <c r="I19582" t="s">
        <v>184</v>
      </c>
      <c r="J19582" t="s">
        <v>30</v>
      </c>
      <c r="K19582" t="s">
        <v>4843</v>
      </c>
      <c r="M19582" t="s">
        <v>17861</v>
      </c>
      <c r="N19582" t="str">
        <f>"7/13/2023 2:55:00 PM"</f>
        <v>7/13/2023 2:55:00 PM</v>
      </c>
      <c r="O19582" t="s">
        <v>59924</v>
      </c>
      <c r="T19582" t="s">
        <v>59925</v>
      </c>
    </row>
    <row r="19583" spans="1:20" x14ac:dyDescent="0.25">
      <c r="A19583" t="str">
        <f>"3053630"</f>
        <v>3053630</v>
      </c>
      <c r="B19583" t="s">
        <v>59927</v>
      </c>
      <c r="C19583" t="str">
        <f>"8320627"</f>
        <v>8320627</v>
      </c>
      <c r="D19583" t="s">
        <v>59928</v>
      </c>
      <c r="F19583" t="s">
        <v>59929</v>
      </c>
      <c r="I19583" t="s">
        <v>29</v>
      </c>
      <c r="J19583" t="s">
        <v>30</v>
      </c>
      <c r="K19583" t="s">
        <v>13914</v>
      </c>
      <c r="M19583" t="s">
        <v>17861</v>
      </c>
      <c r="N19583" t="str">
        <f>"7/13/2023 2:57:00 PM"</f>
        <v>7/13/2023 2:57:00 PM</v>
      </c>
      <c r="O19583" t="s">
        <v>59928</v>
      </c>
    </row>
    <row r="19584" spans="1:20" x14ac:dyDescent="0.25">
      <c r="A19584" t="str">
        <f>"3052976"</f>
        <v>3052976</v>
      </c>
      <c r="B19584" t="s">
        <v>59930</v>
      </c>
      <c r="C19584" t="str">
        <f>"8320628"</f>
        <v>8320628</v>
      </c>
      <c r="D19584" t="s">
        <v>59931</v>
      </c>
      <c r="F19584" t="s">
        <v>59932</v>
      </c>
      <c r="I19584" t="s">
        <v>29</v>
      </c>
      <c r="J19584" t="s">
        <v>30</v>
      </c>
      <c r="K19584" t="s">
        <v>59933</v>
      </c>
      <c r="M19584" t="s">
        <v>17861</v>
      </c>
      <c r="N19584" t="str">
        <f>"7/13/2023 3:03:00 PM"</f>
        <v>7/13/2023 3:03:00 PM</v>
      </c>
      <c r="O19584" t="s">
        <v>59931</v>
      </c>
    </row>
    <row r="19585" spans="1:20" x14ac:dyDescent="0.25">
      <c r="A19585" t="str">
        <f>"3052980"</f>
        <v>3052980</v>
      </c>
      <c r="B19585" t="s">
        <v>59934</v>
      </c>
      <c r="C19585" t="str">
        <f>"8320628"</f>
        <v>8320628</v>
      </c>
      <c r="D19585" t="s">
        <v>59931</v>
      </c>
      <c r="F19585" t="s">
        <v>59932</v>
      </c>
      <c r="I19585" t="s">
        <v>29</v>
      </c>
      <c r="J19585" t="s">
        <v>30</v>
      </c>
      <c r="K19585" t="s">
        <v>59933</v>
      </c>
      <c r="M19585" t="s">
        <v>17861</v>
      </c>
      <c r="N19585" t="str">
        <f>"7/13/2023 3:03:00 PM"</f>
        <v>7/13/2023 3:03:00 PM</v>
      </c>
      <c r="O19585" t="s">
        <v>59931</v>
      </c>
    </row>
    <row r="19586" spans="1:20" x14ac:dyDescent="0.25">
      <c r="A19586" t="str">
        <f>"3059203"</f>
        <v>3059203</v>
      </c>
      <c r="B19586" t="s">
        <v>59935</v>
      </c>
      <c r="C19586" t="str">
        <f>"8320629"</f>
        <v>8320629</v>
      </c>
      <c r="D19586" t="s">
        <v>59936</v>
      </c>
      <c r="F19586" t="s">
        <v>59937</v>
      </c>
      <c r="I19586" t="s">
        <v>29</v>
      </c>
      <c r="J19586" t="s">
        <v>30</v>
      </c>
      <c r="K19586" t="s">
        <v>44600</v>
      </c>
      <c r="M19586" t="s">
        <v>17861</v>
      </c>
      <c r="N19586" t="str">
        <f>"7/14/2023 8:51:00 AM"</f>
        <v>7/14/2023 8:51:00 AM</v>
      </c>
      <c r="O19586" t="s">
        <v>59936</v>
      </c>
    </row>
    <row r="19587" spans="1:20" x14ac:dyDescent="0.25">
      <c r="A19587" t="str">
        <f>"3050597"</f>
        <v>3050597</v>
      </c>
      <c r="B19587" t="s">
        <v>59938</v>
      </c>
      <c r="C19587" t="str">
        <f>"8320630"</f>
        <v>8320630</v>
      </c>
      <c r="D19587" t="s">
        <v>59939</v>
      </c>
      <c r="F19587" t="s">
        <v>59940</v>
      </c>
      <c r="I19587" t="s">
        <v>184</v>
      </c>
      <c r="J19587" t="s">
        <v>30</v>
      </c>
      <c r="K19587" t="s">
        <v>19928</v>
      </c>
      <c r="M19587" t="s">
        <v>17861</v>
      </c>
      <c r="N19587" t="str">
        <f>"7/14/2023 8:55:00 AM"</f>
        <v>7/14/2023 8:55:00 AM</v>
      </c>
      <c r="O19587" t="s">
        <v>59939</v>
      </c>
    </row>
    <row r="19588" spans="1:20" x14ac:dyDescent="0.25">
      <c r="A19588" t="str">
        <f>"3044544"</f>
        <v>3044544</v>
      </c>
      <c r="B19588" t="s">
        <v>59941</v>
      </c>
      <c r="C19588" t="str">
        <f>"8320630"</f>
        <v>8320630</v>
      </c>
      <c r="D19588" t="s">
        <v>59939</v>
      </c>
      <c r="F19588" t="s">
        <v>59940</v>
      </c>
      <c r="I19588" t="s">
        <v>184</v>
      </c>
      <c r="J19588" t="s">
        <v>30</v>
      </c>
      <c r="K19588" t="s">
        <v>19928</v>
      </c>
      <c r="M19588" t="s">
        <v>17861</v>
      </c>
      <c r="N19588" t="str">
        <f>"7/14/2023 8:55:00 AM"</f>
        <v>7/14/2023 8:55:00 AM</v>
      </c>
      <c r="O19588" t="s">
        <v>59939</v>
      </c>
    </row>
    <row r="19589" spans="1:20" x14ac:dyDescent="0.25">
      <c r="A19589" t="str">
        <f>"3056156"</f>
        <v>3056156</v>
      </c>
      <c r="B19589" t="s">
        <v>59942</v>
      </c>
      <c r="C19589" t="str">
        <f>"8320641"</f>
        <v>8320641</v>
      </c>
      <c r="D19589" t="s">
        <v>59943</v>
      </c>
      <c r="F19589" t="s">
        <v>59944</v>
      </c>
      <c r="I19589" t="s">
        <v>29</v>
      </c>
      <c r="J19589" t="s">
        <v>30</v>
      </c>
      <c r="K19589" t="s">
        <v>36580</v>
      </c>
      <c r="M19589" t="s">
        <v>17861</v>
      </c>
      <c r="N19589" t="str">
        <f>"7/17/2023 12:45:00 PM"</f>
        <v>7/17/2023 12:45:00 PM</v>
      </c>
      <c r="O19589" t="s">
        <v>59943</v>
      </c>
    </row>
    <row r="19590" spans="1:20" x14ac:dyDescent="0.25">
      <c r="A19590" t="str">
        <f>"3057016"</f>
        <v>3057016</v>
      </c>
      <c r="B19590" t="s">
        <v>59945</v>
      </c>
      <c r="C19590" t="str">
        <f>"8320680"</f>
        <v>8320680</v>
      </c>
      <c r="D19590" t="s">
        <v>59946</v>
      </c>
      <c r="F19590" t="s">
        <v>59947</v>
      </c>
      <c r="I19590" t="s">
        <v>11215</v>
      </c>
      <c r="J19590" t="s">
        <v>30</v>
      </c>
      <c r="K19590" t="str">
        <f>"27374"</f>
        <v>27374</v>
      </c>
      <c r="M19590" t="s">
        <v>17861</v>
      </c>
      <c r="N19590" t="str">
        <f>"7/25/2023 2:28:00 PM"</f>
        <v>7/25/2023 2:28:00 PM</v>
      </c>
      <c r="O19590" t="s">
        <v>59946</v>
      </c>
    </row>
    <row r="19591" spans="1:20" x14ac:dyDescent="0.25">
      <c r="A19591" t="str">
        <f>"3044232"</f>
        <v>3044232</v>
      </c>
      <c r="B19591" t="s">
        <v>59948</v>
      </c>
      <c r="C19591" t="str">
        <f>"8320644"</f>
        <v>8320644</v>
      </c>
      <c r="D19591" t="s">
        <v>59949</v>
      </c>
      <c r="E19591" t="s">
        <v>59950</v>
      </c>
      <c r="F19591" t="s">
        <v>59951</v>
      </c>
      <c r="I19591" t="s">
        <v>184</v>
      </c>
      <c r="J19591" t="s">
        <v>30</v>
      </c>
      <c r="K19591" t="s">
        <v>19687</v>
      </c>
      <c r="M19591" t="s">
        <v>17861</v>
      </c>
      <c r="N19591" t="str">
        <f>"7/17/2023 1:01:00 PM"</f>
        <v>7/17/2023 1:01:00 PM</v>
      </c>
      <c r="O19591" t="s">
        <v>59949</v>
      </c>
      <c r="T19591" t="s">
        <v>59950</v>
      </c>
    </row>
    <row r="19592" spans="1:20" x14ac:dyDescent="0.25">
      <c r="A19592" t="str">
        <f>"3069936"</f>
        <v>3069936</v>
      </c>
      <c r="B19592" t="s">
        <v>59952</v>
      </c>
      <c r="C19592" t="str">
        <f>"59890000"</f>
        <v>59890000</v>
      </c>
      <c r="D19592" t="s">
        <v>59953</v>
      </c>
      <c r="F19592" t="s">
        <v>59954</v>
      </c>
      <c r="I19592" t="s">
        <v>39164</v>
      </c>
      <c r="J19592" t="s">
        <v>30</v>
      </c>
      <c r="K19592" t="s">
        <v>59955</v>
      </c>
      <c r="M19592" t="s">
        <v>50621</v>
      </c>
      <c r="N19592" t="str">
        <f>"7/18/2023 4:08:00 PM"</f>
        <v>7/18/2023 4:08:00 PM</v>
      </c>
      <c r="O19592" t="s">
        <v>59953</v>
      </c>
    </row>
    <row r="19593" spans="1:20" x14ac:dyDescent="0.25">
      <c r="A19593" t="str">
        <f>"3078464"</f>
        <v>3078464</v>
      </c>
      <c r="B19593" t="s">
        <v>59956</v>
      </c>
      <c r="C19593" t="str">
        <f>"8320652"</f>
        <v>8320652</v>
      </c>
      <c r="D19593" t="s">
        <v>59879</v>
      </c>
      <c r="E19593" t="s">
        <v>59880</v>
      </c>
      <c r="F19593" t="s">
        <v>59881</v>
      </c>
      <c r="I19593" t="s">
        <v>29</v>
      </c>
      <c r="J19593" t="s">
        <v>30</v>
      </c>
      <c r="K19593" t="s">
        <v>12411</v>
      </c>
      <c r="M19593" t="s">
        <v>17861</v>
      </c>
      <c r="N19593" t="str">
        <f>"7/18/2023 4:16:00 PM"</f>
        <v>7/18/2023 4:16:00 PM</v>
      </c>
      <c r="O19593" t="s">
        <v>59879</v>
      </c>
      <c r="T19593" t="s">
        <v>59880</v>
      </c>
    </row>
    <row r="19594" spans="1:20" x14ac:dyDescent="0.25">
      <c r="A19594" t="str">
        <f>"3061147"</f>
        <v>3061147</v>
      </c>
      <c r="B19594" t="s">
        <v>59957</v>
      </c>
      <c r="C19594" t="str">
        <f>"8320656"</f>
        <v>8320656</v>
      </c>
      <c r="D19594" t="s">
        <v>59958</v>
      </c>
      <c r="F19594" t="s">
        <v>59959</v>
      </c>
      <c r="I19594" t="s">
        <v>471</v>
      </c>
      <c r="J19594" t="s">
        <v>30</v>
      </c>
      <c r="K19594" t="s">
        <v>59960</v>
      </c>
      <c r="M19594" t="s">
        <v>17861</v>
      </c>
      <c r="N19594" t="str">
        <f>"7/20/2023 3:34:00 PM"</f>
        <v>7/20/2023 3:34:00 PM</v>
      </c>
      <c r="O19594" t="s">
        <v>59958</v>
      </c>
    </row>
    <row r="19595" spans="1:20" x14ac:dyDescent="0.25">
      <c r="A19595" t="str">
        <f>"3048523"</f>
        <v>3048523</v>
      </c>
      <c r="B19595" t="s">
        <v>59961</v>
      </c>
      <c r="C19595" t="str">
        <f>"8320658"</f>
        <v>8320658</v>
      </c>
      <c r="D19595" t="s">
        <v>59962</v>
      </c>
      <c r="E19595" t="s">
        <v>59963</v>
      </c>
      <c r="F19595" t="s">
        <v>59964</v>
      </c>
      <c r="I19595" t="s">
        <v>29</v>
      </c>
      <c r="J19595" t="s">
        <v>30</v>
      </c>
      <c r="K19595" t="s">
        <v>59965</v>
      </c>
      <c r="M19595" t="s">
        <v>17861</v>
      </c>
      <c r="N19595" t="str">
        <f>"7/20/2023 4:08:00 PM"</f>
        <v>7/20/2023 4:08:00 PM</v>
      </c>
      <c r="O19595" t="s">
        <v>59962</v>
      </c>
      <c r="T19595" t="s">
        <v>59963</v>
      </c>
    </row>
    <row r="19596" spans="1:20" x14ac:dyDescent="0.25">
      <c r="A19596" t="str">
        <f>"3061637"</f>
        <v>3061637</v>
      </c>
      <c r="B19596" t="s">
        <v>59966</v>
      </c>
      <c r="C19596" t="str">
        <f>"8320616"</f>
        <v>8320616</v>
      </c>
      <c r="D19596" t="s">
        <v>59967</v>
      </c>
      <c r="E19596" t="s">
        <v>59968</v>
      </c>
      <c r="F19596" t="s">
        <v>59969</v>
      </c>
      <c r="I19596" t="s">
        <v>29</v>
      </c>
      <c r="J19596" t="s">
        <v>30</v>
      </c>
      <c r="K19596" t="s">
        <v>59970</v>
      </c>
      <c r="M19596" t="s">
        <v>17861</v>
      </c>
      <c r="N19596" t="str">
        <f>"7/13/2023 8:46:00 AM"</f>
        <v>7/13/2023 8:46:00 AM</v>
      </c>
      <c r="O19596" t="s">
        <v>59967</v>
      </c>
      <c r="T19596" t="s">
        <v>59968</v>
      </c>
    </row>
    <row r="19597" spans="1:20" x14ac:dyDescent="0.25">
      <c r="A19597" t="str">
        <f>"3078665"</f>
        <v>3078665</v>
      </c>
      <c r="B19597" t="s">
        <v>59971</v>
      </c>
      <c r="C19597" t="str">
        <f>"82523743"</f>
        <v>82523743</v>
      </c>
      <c r="D19597" t="s">
        <v>59972</v>
      </c>
      <c r="E19597" t="s">
        <v>59973</v>
      </c>
      <c r="F19597" t="s">
        <v>59974</v>
      </c>
      <c r="I19597" t="s">
        <v>29</v>
      </c>
      <c r="J19597" t="s">
        <v>30</v>
      </c>
      <c r="K19597" t="s">
        <v>31</v>
      </c>
      <c r="M19597" t="s">
        <v>18470</v>
      </c>
      <c r="N19597" t="str">
        <f>"7/27/2023 9:13:00 AM"</f>
        <v>7/27/2023 9:13:00 AM</v>
      </c>
      <c r="O19597" t="s">
        <v>59972</v>
      </c>
      <c r="T19597" t="s">
        <v>59973</v>
      </c>
    </row>
    <row r="19598" spans="1:20" x14ac:dyDescent="0.25">
      <c r="A19598" t="str">
        <f>"3056068"</f>
        <v>3056068</v>
      </c>
      <c r="B19598" t="s">
        <v>59975</v>
      </c>
      <c r="C19598" t="str">
        <f>"8318741"</f>
        <v>8318741</v>
      </c>
      <c r="D19598" t="s">
        <v>59976</v>
      </c>
      <c r="F19598" t="s">
        <v>59977</v>
      </c>
      <c r="I19598" t="s">
        <v>1176</v>
      </c>
      <c r="J19598" t="s">
        <v>30</v>
      </c>
      <c r="K19598" t="s">
        <v>59978</v>
      </c>
      <c r="M19598" t="s">
        <v>18470</v>
      </c>
      <c r="N19598" t="str">
        <f>"7/27/2023 9:13:00 AM"</f>
        <v>7/27/2023 9:13:00 AM</v>
      </c>
      <c r="O19598" t="s">
        <v>59976</v>
      </c>
    </row>
    <row r="19599" spans="1:20" x14ac:dyDescent="0.25">
      <c r="A19599" t="str">
        <f>"3046024"</f>
        <v>3046024</v>
      </c>
      <c r="B19599" t="s">
        <v>59979</v>
      </c>
      <c r="C19599" t="str">
        <f>"8312801"</f>
        <v>8312801</v>
      </c>
      <c r="D19599" t="s">
        <v>59980</v>
      </c>
      <c r="E19599" t="s">
        <v>59981</v>
      </c>
      <c r="F19599" t="s">
        <v>59982</v>
      </c>
      <c r="I19599" t="s">
        <v>29</v>
      </c>
      <c r="J19599" t="s">
        <v>30</v>
      </c>
      <c r="K19599" t="s">
        <v>10213</v>
      </c>
      <c r="M19599" t="s">
        <v>18479</v>
      </c>
      <c r="N19599" t="str">
        <f>"7/27/2023 9:47:00 AM"</f>
        <v>7/27/2023 9:47:00 AM</v>
      </c>
      <c r="O19599" t="s">
        <v>59980</v>
      </c>
      <c r="T19599" t="s">
        <v>59981</v>
      </c>
    </row>
    <row r="19600" spans="1:20" x14ac:dyDescent="0.25">
      <c r="A19600" t="str">
        <f>"3078153"</f>
        <v>3078153</v>
      </c>
      <c r="B19600" t="s">
        <v>59983</v>
      </c>
      <c r="C19600" t="str">
        <f>"8312801"</f>
        <v>8312801</v>
      </c>
      <c r="D19600" t="s">
        <v>59980</v>
      </c>
      <c r="E19600" t="s">
        <v>59981</v>
      </c>
      <c r="F19600" t="s">
        <v>59982</v>
      </c>
      <c r="I19600" t="s">
        <v>29</v>
      </c>
      <c r="J19600" t="s">
        <v>30</v>
      </c>
      <c r="K19600" t="s">
        <v>10213</v>
      </c>
      <c r="M19600" t="s">
        <v>18479</v>
      </c>
      <c r="N19600" t="str">
        <f>"7/27/2023 9:47:00 AM"</f>
        <v>7/27/2023 9:47:00 AM</v>
      </c>
      <c r="O19600" t="s">
        <v>59980</v>
      </c>
      <c r="T19600" t="s">
        <v>59981</v>
      </c>
    </row>
    <row r="19601" spans="1:20" x14ac:dyDescent="0.25">
      <c r="A19601" t="str">
        <f>"3042933"</f>
        <v>3042933</v>
      </c>
      <c r="B19601" t="s">
        <v>59984</v>
      </c>
      <c r="C19601" t="str">
        <f>"82520892"</f>
        <v>82520892</v>
      </c>
      <c r="D19601" t="s">
        <v>59985</v>
      </c>
      <c r="E19601" t="s">
        <v>59986</v>
      </c>
      <c r="G19601" t="s">
        <v>59987</v>
      </c>
      <c r="I19601" t="s">
        <v>29</v>
      </c>
      <c r="J19601" t="s">
        <v>30</v>
      </c>
      <c r="K19601" t="s">
        <v>7069</v>
      </c>
      <c r="M19601" t="s">
        <v>50793</v>
      </c>
      <c r="N19601" t="str">
        <f>"7/27/2023 9:47:00 AM"</f>
        <v>7/27/2023 9:47:00 AM</v>
      </c>
      <c r="O19601" t="s">
        <v>59985</v>
      </c>
      <c r="T19601" t="s">
        <v>59986</v>
      </c>
    </row>
    <row r="19602" spans="1:20" x14ac:dyDescent="0.25">
      <c r="A19602" t="str">
        <f>"3048664"</f>
        <v>3048664</v>
      </c>
      <c r="B19602" t="s">
        <v>59988</v>
      </c>
      <c r="C19602" t="str">
        <f>"8303056"</f>
        <v>8303056</v>
      </c>
      <c r="D19602" t="s">
        <v>59989</v>
      </c>
      <c r="E19602" t="s">
        <v>59990</v>
      </c>
      <c r="F19602" t="s">
        <v>59991</v>
      </c>
      <c r="I19602" t="s">
        <v>59992</v>
      </c>
      <c r="J19602" t="s">
        <v>12725</v>
      </c>
      <c r="K19602" t="s">
        <v>59993</v>
      </c>
      <c r="M19602" t="s">
        <v>50621</v>
      </c>
      <c r="N19602" t="str">
        <f>"7/13/2023 8:55:00 AM"</f>
        <v>7/13/2023 8:55:00 AM</v>
      </c>
      <c r="O19602" t="s">
        <v>59989</v>
      </c>
      <c r="T19602" t="s">
        <v>59990</v>
      </c>
    </row>
    <row r="19603" spans="1:20" x14ac:dyDescent="0.25">
      <c r="A19603" t="str">
        <f>"3037528"</f>
        <v>3037528</v>
      </c>
      <c r="B19603" t="s">
        <v>59994</v>
      </c>
      <c r="C19603" t="str">
        <f>"42132000"</f>
        <v>42132000</v>
      </c>
      <c r="D19603" t="s">
        <v>59995</v>
      </c>
      <c r="E19603" t="s">
        <v>59996</v>
      </c>
      <c r="F19603" t="s">
        <v>59997</v>
      </c>
      <c r="I19603" t="s">
        <v>29</v>
      </c>
      <c r="J19603" t="s">
        <v>30</v>
      </c>
      <c r="K19603" t="s">
        <v>31489</v>
      </c>
      <c r="M19603" t="s">
        <v>18479</v>
      </c>
      <c r="N19603" t="str">
        <f>"7/27/2023 11:06:00 AM"</f>
        <v>7/27/2023 11:06:00 AM</v>
      </c>
      <c r="O19603" t="s">
        <v>59995</v>
      </c>
      <c r="T19603" t="s">
        <v>59996</v>
      </c>
    </row>
    <row r="19604" spans="1:20" x14ac:dyDescent="0.25">
      <c r="A19604" t="str">
        <f>"3037660"</f>
        <v>3037660</v>
      </c>
      <c r="B19604" t="s">
        <v>59998</v>
      </c>
      <c r="C19604" t="str">
        <f>"42132000"</f>
        <v>42132000</v>
      </c>
      <c r="D19604" t="s">
        <v>59995</v>
      </c>
      <c r="E19604" t="s">
        <v>59996</v>
      </c>
      <c r="F19604" t="s">
        <v>59997</v>
      </c>
      <c r="I19604" t="s">
        <v>29</v>
      </c>
      <c r="J19604" t="s">
        <v>30</v>
      </c>
      <c r="K19604" t="s">
        <v>31489</v>
      </c>
      <c r="M19604" t="s">
        <v>18479</v>
      </c>
      <c r="N19604" t="str">
        <f>"7/27/2023 11:06:00 AM"</f>
        <v>7/27/2023 11:06:00 AM</v>
      </c>
      <c r="O19604" t="s">
        <v>59995</v>
      </c>
      <c r="T19604" t="s">
        <v>59996</v>
      </c>
    </row>
    <row r="19605" spans="1:20" x14ac:dyDescent="0.25">
      <c r="A19605" t="str">
        <f>"3056081"</f>
        <v>3056081</v>
      </c>
      <c r="B19605" t="s">
        <v>59999</v>
      </c>
      <c r="C19605" t="str">
        <f>"8320685"</f>
        <v>8320685</v>
      </c>
      <c r="D19605" t="s">
        <v>60000</v>
      </c>
      <c r="F19605" t="s">
        <v>60001</v>
      </c>
      <c r="I19605" t="s">
        <v>29</v>
      </c>
      <c r="J19605" t="s">
        <v>30</v>
      </c>
      <c r="K19605" t="s">
        <v>32753</v>
      </c>
      <c r="M19605" t="s">
        <v>17861</v>
      </c>
      <c r="N19605" t="str">
        <f>"7/27/2023 1:46:00 PM"</f>
        <v>7/27/2023 1:46:00 PM</v>
      </c>
      <c r="O19605" t="s">
        <v>60000</v>
      </c>
    </row>
    <row r="19606" spans="1:20" x14ac:dyDescent="0.25">
      <c r="A19606" t="str">
        <f>"3078550"</f>
        <v>3078550</v>
      </c>
      <c r="B19606" t="s">
        <v>60002</v>
      </c>
      <c r="C19606" t="str">
        <f>"8320685"</f>
        <v>8320685</v>
      </c>
      <c r="D19606" t="s">
        <v>60000</v>
      </c>
      <c r="F19606" t="s">
        <v>60001</v>
      </c>
      <c r="I19606" t="s">
        <v>29</v>
      </c>
      <c r="J19606" t="s">
        <v>30</v>
      </c>
      <c r="K19606" t="s">
        <v>32753</v>
      </c>
      <c r="M19606" t="s">
        <v>17861</v>
      </c>
      <c r="N19606" t="str">
        <f>"7/27/2023 1:46:00 PM"</f>
        <v>7/27/2023 1:46:00 PM</v>
      </c>
      <c r="O19606" t="s">
        <v>60000</v>
      </c>
    </row>
    <row r="19607" spans="1:20" x14ac:dyDescent="0.25">
      <c r="A19607" t="str">
        <f>"3038171"</f>
        <v>3038171</v>
      </c>
      <c r="B19607" t="s">
        <v>60003</v>
      </c>
      <c r="C19607" t="str">
        <f>"8320686"</f>
        <v>8320686</v>
      </c>
      <c r="D19607" t="s">
        <v>15094</v>
      </c>
      <c r="E19607" t="str">
        <f>"MCKNIGHT ROBERT N/BRISCOE SARA"</f>
        <v>MCKNIGHT ROBERT N/BRISCOE SARA</v>
      </c>
      <c r="F19607" t="s">
        <v>52887</v>
      </c>
      <c r="I19607" t="s">
        <v>49</v>
      </c>
      <c r="J19607" t="s">
        <v>30</v>
      </c>
      <c r="K19607" t="s">
        <v>60004</v>
      </c>
      <c r="M19607" t="s">
        <v>17861</v>
      </c>
      <c r="N19607" t="str">
        <f>"7/27/2023 2:33:00 PM"</f>
        <v>7/27/2023 2:33:00 PM</v>
      </c>
      <c r="O19607" t="s">
        <v>15094</v>
      </c>
      <c r="T19607" t="str">
        <f>"MCKNIGHT ROBERT N/BRISCOE SARA"</f>
        <v>MCKNIGHT ROBERT N/BRISCOE SARA</v>
      </c>
    </row>
    <row r="19608" spans="1:20" x14ac:dyDescent="0.25">
      <c r="A19608" t="str">
        <f>"3053591"</f>
        <v>3053591</v>
      </c>
      <c r="B19608" t="s">
        <v>60005</v>
      </c>
      <c r="C19608" t="str">
        <f>"8300964"</f>
        <v>8300964</v>
      </c>
      <c r="D19608" t="s">
        <v>46817</v>
      </c>
      <c r="E19608" t="s">
        <v>46818</v>
      </c>
      <c r="F19608" t="s">
        <v>46819</v>
      </c>
      <c r="I19608" t="s">
        <v>184</v>
      </c>
      <c r="J19608" t="s">
        <v>30</v>
      </c>
      <c r="K19608" t="s">
        <v>5191</v>
      </c>
      <c r="M19608" t="s">
        <v>50621</v>
      </c>
      <c r="N19608" t="str">
        <f>"7/27/2023 2:43:00 PM"</f>
        <v>7/27/2023 2:43:00 PM</v>
      </c>
      <c r="O19608" t="s">
        <v>46817</v>
      </c>
      <c r="T19608" t="s">
        <v>46818</v>
      </c>
    </row>
    <row r="19609" spans="1:20" x14ac:dyDescent="0.25">
      <c r="A19609" t="str">
        <f>"3053393"</f>
        <v>3053393</v>
      </c>
      <c r="B19609" t="s">
        <v>60006</v>
      </c>
      <c r="C19609" t="str">
        <f>"8300964"</f>
        <v>8300964</v>
      </c>
      <c r="D19609" t="s">
        <v>46817</v>
      </c>
      <c r="E19609" t="s">
        <v>46818</v>
      </c>
      <c r="F19609" t="s">
        <v>46819</v>
      </c>
      <c r="I19609" t="s">
        <v>184</v>
      </c>
      <c r="J19609" t="s">
        <v>30</v>
      </c>
      <c r="K19609" t="s">
        <v>5191</v>
      </c>
      <c r="M19609" t="s">
        <v>50621</v>
      </c>
      <c r="N19609" t="str">
        <f>"7/27/2023 2:43:00 PM"</f>
        <v>7/27/2023 2:43:00 PM</v>
      </c>
      <c r="O19609" t="s">
        <v>46817</v>
      </c>
      <c r="T19609" t="s">
        <v>46818</v>
      </c>
    </row>
    <row r="19610" spans="1:20" x14ac:dyDescent="0.25">
      <c r="A19610" t="str">
        <f>"3046398"</f>
        <v>3046398</v>
      </c>
      <c r="B19610" t="s">
        <v>60007</v>
      </c>
      <c r="C19610" t="str">
        <f>"8317611"</f>
        <v>8317611</v>
      </c>
      <c r="D19610" t="s">
        <v>8481</v>
      </c>
      <c r="F19610" t="s">
        <v>8482</v>
      </c>
      <c r="I19610" t="s">
        <v>29</v>
      </c>
      <c r="J19610" t="s">
        <v>30</v>
      </c>
      <c r="K19610" t="s">
        <v>8511</v>
      </c>
      <c r="M19610" t="s">
        <v>17861</v>
      </c>
      <c r="N19610" t="str">
        <f>"7/27/2023 3:30:00 PM"</f>
        <v>7/27/2023 3:30:00 PM</v>
      </c>
      <c r="O19610" t="s">
        <v>8481</v>
      </c>
    </row>
    <row r="19611" spans="1:20" x14ac:dyDescent="0.25">
      <c r="A19611" t="str">
        <f>"3061469"</f>
        <v>3061469</v>
      </c>
      <c r="B19611" t="s">
        <v>60008</v>
      </c>
      <c r="C19611" t="str">
        <f>"8320688"</f>
        <v>8320688</v>
      </c>
      <c r="D19611" t="s">
        <v>60009</v>
      </c>
      <c r="F19611" t="s">
        <v>60010</v>
      </c>
      <c r="I19611" t="s">
        <v>184</v>
      </c>
      <c r="J19611" t="s">
        <v>30</v>
      </c>
      <c r="K19611" t="s">
        <v>1984</v>
      </c>
      <c r="M19611" t="s">
        <v>17861</v>
      </c>
      <c r="N19611" t="str">
        <f>"7/27/2023 4:11:00 PM"</f>
        <v>7/27/2023 4:11:00 PM</v>
      </c>
      <c r="O19611" t="s">
        <v>60009</v>
      </c>
    </row>
    <row r="19612" spans="1:20" x14ac:dyDescent="0.25">
      <c r="A19612" t="str">
        <f>"3059536"</f>
        <v>3059536</v>
      </c>
      <c r="B19612" t="s">
        <v>60011</v>
      </c>
      <c r="C19612" t="str">
        <f>"8316276"</f>
        <v>8316276</v>
      </c>
      <c r="D19612" t="s">
        <v>60012</v>
      </c>
      <c r="E19612" t="s">
        <v>60013</v>
      </c>
      <c r="F19612" t="s">
        <v>60014</v>
      </c>
      <c r="I19612" t="s">
        <v>29</v>
      </c>
      <c r="J19612" t="s">
        <v>30</v>
      </c>
      <c r="K19612" t="s">
        <v>13437</v>
      </c>
      <c r="M19612" t="s">
        <v>52111</v>
      </c>
      <c r="N19612" t="str">
        <f>"7/28/2023 9:09:00 AM"</f>
        <v>7/28/2023 9:09:00 AM</v>
      </c>
      <c r="O19612" t="s">
        <v>60012</v>
      </c>
      <c r="T19612" t="s">
        <v>60013</v>
      </c>
    </row>
    <row r="19613" spans="1:20" x14ac:dyDescent="0.25">
      <c r="A19613" t="str">
        <f>"3057218"</f>
        <v>3057218</v>
      </c>
      <c r="B19613" t="s">
        <v>60015</v>
      </c>
      <c r="C19613" t="str">
        <f>"8316276"</f>
        <v>8316276</v>
      </c>
      <c r="D19613" t="s">
        <v>60012</v>
      </c>
      <c r="E19613" t="s">
        <v>60013</v>
      </c>
      <c r="F19613" t="s">
        <v>60014</v>
      </c>
      <c r="I19613" t="s">
        <v>29</v>
      </c>
      <c r="J19613" t="s">
        <v>30</v>
      </c>
      <c r="K19613" t="s">
        <v>13437</v>
      </c>
      <c r="M19613" t="s">
        <v>52111</v>
      </c>
      <c r="N19613" t="str">
        <f>"7/28/2023 9:09:00 AM"</f>
        <v>7/28/2023 9:09:00 AM</v>
      </c>
      <c r="O19613" t="s">
        <v>60012</v>
      </c>
      <c r="T19613" t="s">
        <v>60013</v>
      </c>
    </row>
    <row r="19614" spans="1:20" x14ac:dyDescent="0.25">
      <c r="A19614" t="str">
        <f>"3062136"</f>
        <v>3062136</v>
      </c>
      <c r="B19614" t="s">
        <v>60016</v>
      </c>
      <c r="C19614" t="str">
        <f>"8320691"</f>
        <v>8320691</v>
      </c>
      <c r="D19614" t="s">
        <v>10676</v>
      </c>
      <c r="E19614" t="s">
        <v>60017</v>
      </c>
      <c r="F19614" t="s">
        <v>60018</v>
      </c>
      <c r="I19614" t="s">
        <v>29</v>
      </c>
      <c r="J19614" t="s">
        <v>30</v>
      </c>
      <c r="K19614" t="str">
        <f>"27028"</f>
        <v>27028</v>
      </c>
      <c r="M19614" t="s">
        <v>17861</v>
      </c>
      <c r="N19614" t="str">
        <f>"7/28/2023 9:16:00 AM"</f>
        <v>7/28/2023 9:16:00 AM</v>
      </c>
      <c r="O19614" t="s">
        <v>10676</v>
      </c>
      <c r="T19614" t="s">
        <v>60017</v>
      </c>
    </row>
    <row r="19615" spans="1:20" x14ac:dyDescent="0.25">
      <c r="A19615" t="str">
        <f>"3057823"</f>
        <v>3057823</v>
      </c>
      <c r="B19615" t="s">
        <v>60019</v>
      </c>
      <c r="C19615" t="str">
        <f>"8320692"</f>
        <v>8320692</v>
      </c>
      <c r="D19615" t="s">
        <v>60020</v>
      </c>
      <c r="E19615" t="s">
        <v>60021</v>
      </c>
      <c r="F19615" t="s">
        <v>60022</v>
      </c>
      <c r="I19615" t="s">
        <v>184</v>
      </c>
      <c r="J19615" t="s">
        <v>30</v>
      </c>
      <c r="K19615" t="s">
        <v>39012</v>
      </c>
      <c r="M19615" t="s">
        <v>17861</v>
      </c>
      <c r="N19615" t="str">
        <f>"7/28/2023 9:19:00 AM"</f>
        <v>7/28/2023 9:19:00 AM</v>
      </c>
      <c r="O19615" t="s">
        <v>60020</v>
      </c>
      <c r="T19615" t="s">
        <v>60021</v>
      </c>
    </row>
    <row r="19616" spans="1:20" x14ac:dyDescent="0.25">
      <c r="A19616" t="str">
        <f>"3057641"</f>
        <v>3057641</v>
      </c>
      <c r="B19616" t="s">
        <v>60023</v>
      </c>
      <c r="C19616" t="str">
        <f>"8320693"</f>
        <v>8320693</v>
      </c>
      <c r="D19616" t="s">
        <v>60024</v>
      </c>
      <c r="E19616" t="s">
        <v>60025</v>
      </c>
      <c r="F19616" t="s">
        <v>60026</v>
      </c>
      <c r="I19616" t="s">
        <v>184</v>
      </c>
      <c r="J19616" t="s">
        <v>30</v>
      </c>
      <c r="K19616" t="s">
        <v>45546</v>
      </c>
      <c r="M19616" t="s">
        <v>17861</v>
      </c>
      <c r="N19616" t="str">
        <f>"7/28/2023 9:26:00 AM"</f>
        <v>7/28/2023 9:26:00 AM</v>
      </c>
      <c r="O19616" t="s">
        <v>60024</v>
      </c>
      <c r="T19616" t="s">
        <v>60025</v>
      </c>
    </row>
    <row r="19617" spans="1:20" x14ac:dyDescent="0.25">
      <c r="A19617" t="str">
        <f>"3053980"</f>
        <v>3053980</v>
      </c>
      <c r="B19617" t="s">
        <v>60027</v>
      </c>
      <c r="C19617" t="str">
        <f>"8315886"</f>
        <v>8315886</v>
      </c>
      <c r="D19617" t="s">
        <v>60028</v>
      </c>
      <c r="F19617" t="s">
        <v>60029</v>
      </c>
      <c r="I19617" t="s">
        <v>29</v>
      </c>
      <c r="J19617" t="s">
        <v>30</v>
      </c>
      <c r="K19617" t="s">
        <v>27388</v>
      </c>
      <c r="M19617" t="s">
        <v>18479</v>
      </c>
      <c r="N19617" t="str">
        <f>"7/28/2023 9:50:00 AM"</f>
        <v>7/28/2023 9:50:00 AM</v>
      </c>
      <c r="O19617" t="s">
        <v>60028</v>
      </c>
    </row>
    <row r="19618" spans="1:20" x14ac:dyDescent="0.25">
      <c r="A19618" t="str">
        <f>"3040359"</f>
        <v>3040359</v>
      </c>
      <c r="B19618" t="s">
        <v>60030</v>
      </c>
      <c r="C19618" t="str">
        <f>"8320617"</f>
        <v>8320617</v>
      </c>
      <c r="D19618" t="s">
        <v>60031</v>
      </c>
      <c r="E19618" t="s">
        <v>60032</v>
      </c>
      <c r="F19618" t="s">
        <v>60033</v>
      </c>
      <c r="I19618" t="s">
        <v>29</v>
      </c>
      <c r="J19618" t="s">
        <v>30</v>
      </c>
      <c r="K19618" t="s">
        <v>38021</v>
      </c>
      <c r="M19618" t="s">
        <v>17861</v>
      </c>
      <c r="N19618" t="str">
        <f>"7/13/2023 9:17:00 AM"</f>
        <v>7/13/2023 9:17:00 AM</v>
      </c>
      <c r="O19618" t="s">
        <v>60031</v>
      </c>
      <c r="T19618" t="s">
        <v>60032</v>
      </c>
    </row>
    <row r="19619" spans="1:20" x14ac:dyDescent="0.25">
      <c r="A19619" t="str">
        <f>"3039801"</f>
        <v>3039801</v>
      </c>
      <c r="B19619" t="s">
        <v>60034</v>
      </c>
      <c r="C19619" t="str">
        <f>"8320617"</f>
        <v>8320617</v>
      </c>
      <c r="D19619" t="s">
        <v>60031</v>
      </c>
      <c r="E19619" t="s">
        <v>60032</v>
      </c>
      <c r="F19619" t="s">
        <v>60033</v>
      </c>
      <c r="I19619" t="s">
        <v>29</v>
      </c>
      <c r="J19619" t="s">
        <v>30</v>
      </c>
      <c r="K19619" t="s">
        <v>38021</v>
      </c>
      <c r="M19619" t="s">
        <v>17861</v>
      </c>
      <c r="N19619" t="str">
        <f>"7/13/2023 9:17:00 AM"</f>
        <v>7/13/2023 9:17:00 AM</v>
      </c>
      <c r="O19619" t="s">
        <v>60031</v>
      </c>
      <c r="T19619" t="s">
        <v>60032</v>
      </c>
    </row>
    <row r="19620" spans="1:20" x14ac:dyDescent="0.25">
      <c r="A19620" t="str">
        <f>"3058236"</f>
        <v>3058236</v>
      </c>
      <c r="B19620" t="s">
        <v>60035</v>
      </c>
      <c r="C19620" t="str">
        <f>"8320617"</f>
        <v>8320617</v>
      </c>
      <c r="D19620" t="s">
        <v>60031</v>
      </c>
      <c r="E19620" t="s">
        <v>60032</v>
      </c>
      <c r="F19620" t="s">
        <v>60033</v>
      </c>
      <c r="I19620" t="s">
        <v>29</v>
      </c>
      <c r="J19620" t="s">
        <v>30</v>
      </c>
      <c r="K19620" t="s">
        <v>38021</v>
      </c>
      <c r="M19620" t="s">
        <v>17861</v>
      </c>
      <c r="N19620" t="str">
        <f>"7/13/2023 9:17:00 AM"</f>
        <v>7/13/2023 9:17:00 AM</v>
      </c>
      <c r="O19620" t="s">
        <v>60031</v>
      </c>
      <c r="T19620" t="s">
        <v>60032</v>
      </c>
    </row>
    <row r="19621" spans="1:20" x14ac:dyDescent="0.25">
      <c r="A19621" t="str">
        <f>"3060853"</f>
        <v>3060853</v>
      </c>
      <c r="B19621" t="s">
        <v>60036</v>
      </c>
      <c r="C19621" t="str">
        <f>"8320619"</f>
        <v>8320619</v>
      </c>
      <c r="D19621" t="s">
        <v>60037</v>
      </c>
      <c r="E19621" t="s">
        <v>60038</v>
      </c>
      <c r="F19621" t="s">
        <v>60039</v>
      </c>
      <c r="I19621" t="s">
        <v>184</v>
      </c>
      <c r="J19621" t="s">
        <v>30</v>
      </c>
      <c r="K19621" t="s">
        <v>45773</v>
      </c>
      <c r="M19621" t="s">
        <v>17861</v>
      </c>
      <c r="N19621" t="str">
        <f>"7/13/2023 9:37:00 AM"</f>
        <v>7/13/2023 9:37:00 AM</v>
      </c>
      <c r="O19621" t="s">
        <v>60037</v>
      </c>
      <c r="T19621" t="s">
        <v>60038</v>
      </c>
    </row>
    <row r="19622" spans="1:20" x14ac:dyDescent="0.25">
      <c r="A19622" t="str">
        <f>"3078005"</f>
        <v>3078005</v>
      </c>
      <c r="B19622" t="s">
        <v>60040</v>
      </c>
      <c r="C19622" t="str">
        <f>"8320673"</f>
        <v>8320673</v>
      </c>
      <c r="D19622" t="s">
        <v>60041</v>
      </c>
      <c r="E19622" t="s">
        <v>60042</v>
      </c>
      <c r="F19622" t="s">
        <v>60043</v>
      </c>
      <c r="I19622" t="s">
        <v>184</v>
      </c>
      <c r="J19622" t="s">
        <v>30</v>
      </c>
      <c r="K19622" t="s">
        <v>60044</v>
      </c>
      <c r="M19622" t="s">
        <v>17861</v>
      </c>
      <c r="N19622" t="str">
        <f>"7/24/2023 8:14:00 AM"</f>
        <v>7/24/2023 8:14:00 AM</v>
      </c>
      <c r="O19622" t="s">
        <v>60041</v>
      </c>
      <c r="T19622" t="s">
        <v>60042</v>
      </c>
    </row>
    <row r="19623" spans="1:20" x14ac:dyDescent="0.25">
      <c r="A19623" t="str">
        <f>"3045222"</f>
        <v>3045222</v>
      </c>
      <c r="B19623" t="s">
        <v>60045</v>
      </c>
      <c r="C19623" t="str">
        <f t="shared" ref="C19623:C19647" si="294">"8320695"</f>
        <v>8320695</v>
      </c>
      <c r="D19623" t="s">
        <v>60046</v>
      </c>
      <c r="F19623" t="s">
        <v>60047</v>
      </c>
      <c r="I19623" t="s">
        <v>2280</v>
      </c>
      <c r="J19623" t="s">
        <v>4132</v>
      </c>
      <c r="K19623" t="s">
        <v>60048</v>
      </c>
      <c r="M19623" t="s">
        <v>17861</v>
      </c>
      <c r="N19623" t="str">
        <f t="shared" ref="N19623:N19647" si="295">"7/28/2023 2:30:00 PM"</f>
        <v>7/28/2023 2:30:00 PM</v>
      </c>
      <c r="O19623" t="s">
        <v>60046</v>
      </c>
    </row>
    <row r="19624" spans="1:20" x14ac:dyDescent="0.25">
      <c r="A19624" t="str">
        <f>"3047341"</f>
        <v>3047341</v>
      </c>
      <c r="B19624" t="s">
        <v>60049</v>
      </c>
      <c r="C19624" t="str">
        <f t="shared" si="294"/>
        <v>8320695</v>
      </c>
      <c r="D19624" t="s">
        <v>60046</v>
      </c>
      <c r="F19624" t="s">
        <v>60047</v>
      </c>
      <c r="I19624" t="s">
        <v>2280</v>
      </c>
      <c r="J19624" t="s">
        <v>4132</v>
      </c>
      <c r="K19624" t="s">
        <v>60048</v>
      </c>
      <c r="M19624" t="s">
        <v>17861</v>
      </c>
      <c r="N19624" t="str">
        <f t="shared" si="295"/>
        <v>7/28/2023 2:30:00 PM</v>
      </c>
      <c r="O19624" t="s">
        <v>60046</v>
      </c>
    </row>
    <row r="19625" spans="1:20" x14ac:dyDescent="0.25">
      <c r="A19625" t="str">
        <f>"3047294"</f>
        <v>3047294</v>
      </c>
      <c r="B19625" t="s">
        <v>60050</v>
      </c>
      <c r="C19625" t="str">
        <f t="shared" si="294"/>
        <v>8320695</v>
      </c>
      <c r="D19625" t="s">
        <v>60046</v>
      </c>
      <c r="F19625" t="s">
        <v>60047</v>
      </c>
      <c r="I19625" t="s">
        <v>2280</v>
      </c>
      <c r="J19625" t="s">
        <v>4132</v>
      </c>
      <c r="K19625" t="s">
        <v>60048</v>
      </c>
      <c r="M19625" t="s">
        <v>17861</v>
      </c>
      <c r="N19625" t="str">
        <f t="shared" si="295"/>
        <v>7/28/2023 2:30:00 PM</v>
      </c>
      <c r="O19625" t="s">
        <v>60046</v>
      </c>
    </row>
    <row r="19626" spans="1:20" x14ac:dyDescent="0.25">
      <c r="A19626" t="str">
        <f>"3047284"</f>
        <v>3047284</v>
      </c>
      <c r="B19626" t="s">
        <v>60051</v>
      </c>
      <c r="C19626" t="str">
        <f t="shared" si="294"/>
        <v>8320695</v>
      </c>
      <c r="D19626" t="s">
        <v>60046</v>
      </c>
      <c r="F19626" t="s">
        <v>60047</v>
      </c>
      <c r="I19626" t="s">
        <v>2280</v>
      </c>
      <c r="J19626" t="s">
        <v>4132</v>
      </c>
      <c r="K19626" t="s">
        <v>60048</v>
      </c>
      <c r="M19626" t="s">
        <v>17861</v>
      </c>
      <c r="N19626" t="str">
        <f t="shared" si="295"/>
        <v>7/28/2023 2:30:00 PM</v>
      </c>
      <c r="O19626" t="s">
        <v>60046</v>
      </c>
    </row>
    <row r="19627" spans="1:20" x14ac:dyDescent="0.25">
      <c r="A19627" t="str">
        <f>"3038048"</f>
        <v>3038048</v>
      </c>
      <c r="B19627" t="s">
        <v>60052</v>
      </c>
      <c r="C19627" t="str">
        <f t="shared" si="294"/>
        <v>8320695</v>
      </c>
      <c r="D19627" t="s">
        <v>60046</v>
      </c>
      <c r="F19627" t="s">
        <v>60047</v>
      </c>
      <c r="I19627" t="s">
        <v>2280</v>
      </c>
      <c r="J19627" t="s">
        <v>4132</v>
      </c>
      <c r="K19627" t="s">
        <v>60048</v>
      </c>
      <c r="M19627" t="s">
        <v>17861</v>
      </c>
      <c r="N19627" t="str">
        <f t="shared" si="295"/>
        <v>7/28/2023 2:30:00 PM</v>
      </c>
      <c r="O19627" t="s">
        <v>60046</v>
      </c>
    </row>
    <row r="19628" spans="1:20" x14ac:dyDescent="0.25">
      <c r="A19628" t="str">
        <f>"3039302"</f>
        <v>3039302</v>
      </c>
      <c r="B19628" t="s">
        <v>60053</v>
      </c>
      <c r="C19628" t="str">
        <f t="shared" si="294"/>
        <v>8320695</v>
      </c>
      <c r="D19628" t="s">
        <v>60046</v>
      </c>
      <c r="F19628" t="s">
        <v>60047</v>
      </c>
      <c r="I19628" t="s">
        <v>2280</v>
      </c>
      <c r="J19628" t="s">
        <v>4132</v>
      </c>
      <c r="K19628" t="s">
        <v>60048</v>
      </c>
      <c r="M19628" t="s">
        <v>17861</v>
      </c>
      <c r="N19628" t="str">
        <f t="shared" si="295"/>
        <v>7/28/2023 2:30:00 PM</v>
      </c>
      <c r="O19628" t="s">
        <v>60046</v>
      </c>
    </row>
    <row r="19629" spans="1:20" x14ac:dyDescent="0.25">
      <c r="A19629" t="str">
        <f>"3039478"</f>
        <v>3039478</v>
      </c>
      <c r="B19629" t="s">
        <v>60054</v>
      </c>
      <c r="C19629" t="str">
        <f t="shared" si="294"/>
        <v>8320695</v>
      </c>
      <c r="D19629" t="s">
        <v>60046</v>
      </c>
      <c r="F19629" t="s">
        <v>60047</v>
      </c>
      <c r="I19629" t="s">
        <v>2280</v>
      </c>
      <c r="J19629" t="s">
        <v>4132</v>
      </c>
      <c r="K19629" t="s">
        <v>60048</v>
      </c>
      <c r="M19629" t="s">
        <v>17861</v>
      </c>
      <c r="N19629" t="str">
        <f t="shared" si="295"/>
        <v>7/28/2023 2:30:00 PM</v>
      </c>
      <c r="O19629" t="s">
        <v>60046</v>
      </c>
    </row>
    <row r="19630" spans="1:20" x14ac:dyDescent="0.25">
      <c r="A19630" t="str">
        <f>"3041580"</f>
        <v>3041580</v>
      </c>
      <c r="B19630" t="s">
        <v>60055</v>
      </c>
      <c r="C19630" t="str">
        <f t="shared" si="294"/>
        <v>8320695</v>
      </c>
      <c r="D19630" t="s">
        <v>60046</v>
      </c>
      <c r="F19630" t="s">
        <v>60047</v>
      </c>
      <c r="I19630" t="s">
        <v>2280</v>
      </c>
      <c r="J19630" t="s">
        <v>4132</v>
      </c>
      <c r="K19630" t="s">
        <v>60048</v>
      </c>
      <c r="M19630" t="s">
        <v>17861</v>
      </c>
      <c r="N19630" t="str">
        <f t="shared" si="295"/>
        <v>7/28/2023 2:30:00 PM</v>
      </c>
      <c r="O19630" t="s">
        <v>60046</v>
      </c>
    </row>
    <row r="19631" spans="1:20" x14ac:dyDescent="0.25">
      <c r="A19631" t="str">
        <f>"3041108"</f>
        <v>3041108</v>
      </c>
      <c r="B19631" t="s">
        <v>60056</v>
      </c>
      <c r="C19631" t="str">
        <f t="shared" si="294"/>
        <v>8320695</v>
      </c>
      <c r="D19631" t="s">
        <v>60046</v>
      </c>
      <c r="F19631" t="s">
        <v>60047</v>
      </c>
      <c r="I19631" t="s">
        <v>2280</v>
      </c>
      <c r="J19631" t="s">
        <v>4132</v>
      </c>
      <c r="K19631" t="s">
        <v>60048</v>
      </c>
      <c r="M19631" t="s">
        <v>17861</v>
      </c>
      <c r="N19631" t="str">
        <f t="shared" si="295"/>
        <v>7/28/2023 2:30:00 PM</v>
      </c>
      <c r="O19631" t="s">
        <v>60046</v>
      </c>
    </row>
    <row r="19632" spans="1:20" x14ac:dyDescent="0.25">
      <c r="A19632" t="str">
        <f>"3040825"</f>
        <v>3040825</v>
      </c>
      <c r="B19632" t="s">
        <v>60057</v>
      </c>
      <c r="C19632" t="str">
        <f t="shared" si="294"/>
        <v>8320695</v>
      </c>
      <c r="D19632" t="s">
        <v>60046</v>
      </c>
      <c r="F19632" t="s">
        <v>60047</v>
      </c>
      <c r="I19632" t="s">
        <v>2280</v>
      </c>
      <c r="J19632" t="s">
        <v>4132</v>
      </c>
      <c r="K19632" t="s">
        <v>60048</v>
      </c>
      <c r="M19632" t="s">
        <v>17861</v>
      </c>
      <c r="N19632" t="str">
        <f t="shared" si="295"/>
        <v>7/28/2023 2:30:00 PM</v>
      </c>
      <c r="O19632" t="s">
        <v>60046</v>
      </c>
    </row>
    <row r="19633" spans="1:15" x14ac:dyDescent="0.25">
      <c r="A19633" t="str">
        <f>"3040902"</f>
        <v>3040902</v>
      </c>
      <c r="B19633" t="s">
        <v>60058</v>
      </c>
      <c r="C19633" t="str">
        <f t="shared" si="294"/>
        <v>8320695</v>
      </c>
      <c r="D19633" t="s">
        <v>60046</v>
      </c>
      <c r="F19633" t="s">
        <v>60047</v>
      </c>
      <c r="I19633" t="s">
        <v>2280</v>
      </c>
      <c r="J19633" t="s">
        <v>4132</v>
      </c>
      <c r="K19633" t="s">
        <v>60048</v>
      </c>
      <c r="M19633" t="s">
        <v>17861</v>
      </c>
      <c r="N19633" t="str">
        <f t="shared" si="295"/>
        <v>7/28/2023 2:30:00 PM</v>
      </c>
      <c r="O19633" t="s">
        <v>60046</v>
      </c>
    </row>
    <row r="19634" spans="1:15" x14ac:dyDescent="0.25">
      <c r="A19634" t="str">
        <f>"3041062"</f>
        <v>3041062</v>
      </c>
      <c r="B19634" t="s">
        <v>60059</v>
      </c>
      <c r="C19634" t="str">
        <f t="shared" si="294"/>
        <v>8320695</v>
      </c>
      <c r="D19634" t="s">
        <v>60046</v>
      </c>
      <c r="F19634" t="s">
        <v>60047</v>
      </c>
      <c r="I19634" t="s">
        <v>2280</v>
      </c>
      <c r="J19634" t="s">
        <v>4132</v>
      </c>
      <c r="K19634" t="s">
        <v>60048</v>
      </c>
      <c r="M19634" t="s">
        <v>17861</v>
      </c>
      <c r="N19634" t="str">
        <f t="shared" si="295"/>
        <v>7/28/2023 2:30:00 PM</v>
      </c>
      <c r="O19634" t="s">
        <v>60046</v>
      </c>
    </row>
    <row r="19635" spans="1:15" x14ac:dyDescent="0.25">
      <c r="A19635" t="str">
        <f>"3041022"</f>
        <v>3041022</v>
      </c>
      <c r="B19635" t="s">
        <v>60060</v>
      </c>
      <c r="C19635" t="str">
        <f t="shared" si="294"/>
        <v>8320695</v>
      </c>
      <c r="D19635" t="s">
        <v>60046</v>
      </c>
      <c r="F19635" t="s">
        <v>60047</v>
      </c>
      <c r="I19635" t="s">
        <v>2280</v>
      </c>
      <c r="J19635" t="s">
        <v>4132</v>
      </c>
      <c r="K19635" t="s">
        <v>60048</v>
      </c>
      <c r="M19635" t="s">
        <v>17861</v>
      </c>
      <c r="N19635" t="str">
        <f t="shared" si="295"/>
        <v>7/28/2023 2:30:00 PM</v>
      </c>
      <c r="O19635" t="s">
        <v>60046</v>
      </c>
    </row>
    <row r="19636" spans="1:15" x14ac:dyDescent="0.25">
      <c r="A19636" t="str">
        <f>"3040377"</f>
        <v>3040377</v>
      </c>
      <c r="B19636" t="s">
        <v>60061</v>
      </c>
      <c r="C19636" t="str">
        <f t="shared" si="294"/>
        <v>8320695</v>
      </c>
      <c r="D19636" t="s">
        <v>60046</v>
      </c>
      <c r="F19636" t="s">
        <v>60047</v>
      </c>
      <c r="I19636" t="s">
        <v>2280</v>
      </c>
      <c r="J19636" t="s">
        <v>4132</v>
      </c>
      <c r="K19636" t="s">
        <v>60048</v>
      </c>
      <c r="M19636" t="s">
        <v>17861</v>
      </c>
      <c r="N19636" t="str">
        <f t="shared" si="295"/>
        <v>7/28/2023 2:30:00 PM</v>
      </c>
      <c r="O19636" t="s">
        <v>60046</v>
      </c>
    </row>
    <row r="19637" spans="1:15" x14ac:dyDescent="0.25">
      <c r="A19637" t="str">
        <f>"3040340"</f>
        <v>3040340</v>
      </c>
      <c r="B19637" t="s">
        <v>60062</v>
      </c>
      <c r="C19637" t="str">
        <f t="shared" si="294"/>
        <v>8320695</v>
      </c>
      <c r="D19637" t="s">
        <v>60046</v>
      </c>
      <c r="F19637" t="s">
        <v>60047</v>
      </c>
      <c r="I19637" t="s">
        <v>2280</v>
      </c>
      <c r="J19637" t="s">
        <v>4132</v>
      </c>
      <c r="K19637" t="s">
        <v>60048</v>
      </c>
      <c r="M19637" t="s">
        <v>17861</v>
      </c>
      <c r="N19637" t="str">
        <f t="shared" si="295"/>
        <v>7/28/2023 2:30:00 PM</v>
      </c>
      <c r="O19637" t="s">
        <v>60046</v>
      </c>
    </row>
    <row r="19638" spans="1:15" x14ac:dyDescent="0.25">
      <c r="A19638" t="str">
        <f>"3040316"</f>
        <v>3040316</v>
      </c>
      <c r="B19638" t="s">
        <v>60063</v>
      </c>
      <c r="C19638" t="str">
        <f t="shared" si="294"/>
        <v>8320695</v>
      </c>
      <c r="D19638" t="s">
        <v>60046</v>
      </c>
      <c r="F19638" t="s">
        <v>60047</v>
      </c>
      <c r="I19638" t="s">
        <v>2280</v>
      </c>
      <c r="J19638" t="s">
        <v>4132</v>
      </c>
      <c r="K19638" t="s">
        <v>60048</v>
      </c>
      <c r="M19638" t="s">
        <v>17861</v>
      </c>
      <c r="N19638" t="str">
        <f t="shared" si="295"/>
        <v>7/28/2023 2:30:00 PM</v>
      </c>
      <c r="O19638" t="s">
        <v>60046</v>
      </c>
    </row>
    <row r="19639" spans="1:15" x14ac:dyDescent="0.25">
      <c r="A19639" t="str">
        <f>"3040317"</f>
        <v>3040317</v>
      </c>
      <c r="B19639" t="s">
        <v>60064</v>
      </c>
      <c r="C19639" t="str">
        <f t="shared" si="294"/>
        <v>8320695</v>
      </c>
      <c r="D19639" t="s">
        <v>60046</v>
      </c>
      <c r="F19639" t="s">
        <v>60047</v>
      </c>
      <c r="I19639" t="s">
        <v>2280</v>
      </c>
      <c r="J19639" t="s">
        <v>4132</v>
      </c>
      <c r="K19639" t="s">
        <v>60048</v>
      </c>
      <c r="M19639" t="s">
        <v>17861</v>
      </c>
      <c r="N19639" t="str">
        <f t="shared" si="295"/>
        <v>7/28/2023 2:30:00 PM</v>
      </c>
      <c r="O19639" t="s">
        <v>60046</v>
      </c>
    </row>
    <row r="19640" spans="1:15" x14ac:dyDescent="0.25">
      <c r="A19640" t="str">
        <f>"3040318"</f>
        <v>3040318</v>
      </c>
      <c r="B19640" t="s">
        <v>60065</v>
      </c>
      <c r="C19640" t="str">
        <f t="shared" si="294"/>
        <v>8320695</v>
      </c>
      <c r="D19640" t="s">
        <v>60046</v>
      </c>
      <c r="F19640" t="s">
        <v>60047</v>
      </c>
      <c r="I19640" t="s">
        <v>2280</v>
      </c>
      <c r="J19640" t="s">
        <v>4132</v>
      </c>
      <c r="K19640" t="s">
        <v>60048</v>
      </c>
      <c r="M19640" t="s">
        <v>17861</v>
      </c>
      <c r="N19640" t="str">
        <f t="shared" si="295"/>
        <v>7/28/2023 2:30:00 PM</v>
      </c>
      <c r="O19640" t="s">
        <v>60046</v>
      </c>
    </row>
    <row r="19641" spans="1:15" x14ac:dyDescent="0.25">
      <c r="A19641" t="str">
        <f>"3040321"</f>
        <v>3040321</v>
      </c>
      <c r="B19641" t="s">
        <v>60066</v>
      </c>
      <c r="C19641" t="str">
        <f t="shared" si="294"/>
        <v>8320695</v>
      </c>
      <c r="D19641" t="s">
        <v>60046</v>
      </c>
      <c r="F19641" t="s">
        <v>60047</v>
      </c>
      <c r="I19641" t="s">
        <v>2280</v>
      </c>
      <c r="J19641" t="s">
        <v>4132</v>
      </c>
      <c r="K19641" t="s">
        <v>60048</v>
      </c>
      <c r="M19641" t="s">
        <v>17861</v>
      </c>
      <c r="N19641" t="str">
        <f t="shared" si="295"/>
        <v>7/28/2023 2:30:00 PM</v>
      </c>
      <c r="O19641" t="s">
        <v>60046</v>
      </c>
    </row>
    <row r="19642" spans="1:15" x14ac:dyDescent="0.25">
      <c r="A19642" t="str">
        <f>"3040334"</f>
        <v>3040334</v>
      </c>
      <c r="B19642" t="s">
        <v>60067</v>
      </c>
      <c r="C19642" t="str">
        <f t="shared" si="294"/>
        <v>8320695</v>
      </c>
      <c r="D19642" t="s">
        <v>60046</v>
      </c>
      <c r="F19642" t="s">
        <v>60047</v>
      </c>
      <c r="I19642" t="s">
        <v>2280</v>
      </c>
      <c r="J19642" t="s">
        <v>4132</v>
      </c>
      <c r="K19642" t="s">
        <v>60048</v>
      </c>
      <c r="M19642" t="s">
        <v>17861</v>
      </c>
      <c r="N19642" t="str">
        <f t="shared" si="295"/>
        <v>7/28/2023 2:30:00 PM</v>
      </c>
      <c r="O19642" t="s">
        <v>60046</v>
      </c>
    </row>
    <row r="19643" spans="1:15" x14ac:dyDescent="0.25">
      <c r="A19643" t="str">
        <f>"3051702"</f>
        <v>3051702</v>
      </c>
      <c r="B19643" t="s">
        <v>60068</v>
      </c>
      <c r="C19643" t="str">
        <f t="shared" si="294"/>
        <v>8320695</v>
      </c>
      <c r="D19643" t="s">
        <v>60046</v>
      </c>
      <c r="F19643" t="s">
        <v>60047</v>
      </c>
      <c r="I19643" t="s">
        <v>2280</v>
      </c>
      <c r="J19643" t="s">
        <v>4132</v>
      </c>
      <c r="K19643" t="s">
        <v>60048</v>
      </c>
      <c r="M19643" t="s">
        <v>17861</v>
      </c>
      <c r="N19643" t="str">
        <f t="shared" si="295"/>
        <v>7/28/2023 2:30:00 PM</v>
      </c>
      <c r="O19643" t="s">
        <v>60046</v>
      </c>
    </row>
    <row r="19644" spans="1:15" x14ac:dyDescent="0.25">
      <c r="A19644" t="str">
        <f>"3052268"</f>
        <v>3052268</v>
      </c>
      <c r="B19644" t="s">
        <v>60069</v>
      </c>
      <c r="C19644" t="str">
        <f t="shared" si="294"/>
        <v>8320695</v>
      </c>
      <c r="D19644" t="s">
        <v>60046</v>
      </c>
      <c r="F19644" t="s">
        <v>60047</v>
      </c>
      <c r="I19644" t="s">
        <v>2280</v>
      </c>
      <c r="J19644" t="s">
        <v>4132</v>
      </c>
      <c r="K19644" t="s">
        <v>60048</v>
      </c>
      <c r="M19644" t="s">
        <v>17861</v>
      </c>
      <c r="N19644" t="str">
        <f t="shared" si="295"/>
        <v>7/28/2023 2:30:00 PM</v>
      </c>
      <c r="O19644" t="s">
        <v>60046</v>
      </c>
    </row>
    <row r="19645" spans="1:15" x14ac:dyDescent="0.25">
      <c r="A19645" t="str">
        <f>"3052251"</f>
        <v>3052251</v>
      </c>
      <c r="B19645" t="s">
        <v>60070</v>
      </c>
      <c r="C19645" t="str">
        <f t="shared" si="294"/>
        <v>8320695</v>
      </c>
      <c r="D19645" t="s">
        <v>60046</v>
      </c>
      <c r="F19645" t="s">
        <v>60047</v>
      </c>
      <c r="I19645" t="s">
        <v>2280</v>
      </c>
      <c r="J19645" t="s">
        <v>4132</v>
      </c>
      <c r="K19645" t="s">
        <v>60048</v>
      </c>
      <c r="M19645" t="s">
        <v>17861</v>
      </c>
      <c r="N19645" t="str">
        <f t="shared" si="295"/>
        <v>7/28/2023 2:30:00 PM</v>
      </c>
      <c r="O19645" t="s">
        <v>60046</v>
      </c>
    </row>
    <row r="19646" spans="1:15" x14ac:dyDescent="0.25">
      <c r="A19646" t="str">
        <f>"3078015"</f>
        <v>3078015</v>
      </c>
      <c r="B19646" t="s">
        <v>60071</v>
      </c>
      <c r="C19646" t="str">
        <f t="shared" si="294"/>
        <v>8320695</v>
      </c>
      <c r="D19646" t="s">
        <v>60046</v>
      </c>
      <c r="F19646" t="s">
        <v>60047</v>
      </c>
      <c r="I19646" t="s">
        <v>2280</v>
      </c>
      <c r="J19646" t="s">
        <v>4132</v>
      </c>
      <c r="K19646" t="s">
        <v>60048</v>
      </c>
      <c r="M19646" t="s">
        <v>17861</v>
      </c>
      <c r="N19646" t="str">
        <f t="shared" si="295"/>
        <v>7/28/2023 2:30:00 PM</v>
      </c>
      <c r="O19646" t="s">
        <v>60046</v>
      </c>
    </row>
    <row r="19647" spans="1:15" x14ac:dyDescent="0.25">
      <c r="A19647" t="str">
        <f>"3061996"</f>
        <v>3061996</v>
      </c>
      <c r="B19647" t="s">
        <v>60072</v>
      </c>
      <c r="C19647" t="str">
        <f t="shared" si="294"/>
        <v>8320695</v>
      </c>
      <c r="D19647" t="s">
        <v>60046</v>
      </c>
      <c r="F19647" t="s">
        <v>60047</v>
      </c>
      <c r="I19647" t="s">
        <v>2280</v>
      </c>
      <c r="J19647" t="s">
        <v>4132</v>
      </c>
      <c r="K19647" t="s">
        <v>60048</v>
      </c>
      <c r="M19647" t="s">
        <v>17861</v>
      </c>
      <c r="N19647" t="str">
        <f t="shared" si="295"/>
        <v>7/28/2023 2:30:00 PM</v>
      </c>
      <c r="O19647" t="s">
        <v>60046</v>
      </c>
    </row>
    <row r="19648" spans="1:15" x14ac:dyDescent="0.25">
      <c r="A19648" t="str">
        <f>"3046265"</f>
        <v>3046265</v>
      </c>
      <c r="B19648" t="s">
        <v>60073</v>
      </c>
      <c r="C19648" t="str">
        <f>"8308367"</f>
        <v>8308367</v>
      </c>
      <c r="D19648" t="s">
        <v>60074</v>
      </c>
      <c r="F19648" t="s">
        <v>60075</v>
      </c>
      <c r="I19648" t="s">
        <v>29</v>
      </c>
      <c r="J19648" t="s">
        <v>30</v>
      </c>
      <c r="K19648" t="str">
        <f>"27028"</f>
        <v>27028</v>
      </c>
      <c r="M19648" t="s">
        <v>50793</v>
      </c>
      <c r="N19648" t="str">
        <f>"7/25/2023 10:26:00 AM"</f>
        <v>7/25/2023 10:26:00 AM</v>
      </c>
      <c r="O19648" t="s">
        <v>60074</v>
      </c>
    </row>
    <row r="19649" spans="1:20" x14ac:dyDescent="0.25">
      <c r="A19649" t="str">
        <f>"3058356"</f>
        <v>3058356</v>
      </c>
      <c r="B19649" t="s">
        <v>60076</v>
      </c>
      <c r="C19649" t="str">
        <f>"8320699"</f>
        <v>8320699</v>
      </c>
      <c r="D19649" t="s">
        <v>60077</v>
      </c>
      <c r="E19649" t="s">
        <v>60078</v>
      </c>
      <c r="F19649" t="s">
        <v>60079</v>
      </c>
      <c r="I19649" t="s">
        <v>29</v>
      </c>
      <c r="J19649" t="s">
        <v>30</v>
      </c>
      <c r="K19649" t="str">
        <f>"27028"</f>
        <v>27028</v>
      </c>
      <c r="M19649" t="s">
        <v>17861</v>
      </c>
      <c r="N19649" t="str">
        <f>"7/28/2023 3:51:00 PM"</f>
        <v>7/28/2023 3:51:00 PM</v>
      </c>
      <c r="O19649" t="s">
        <v>60077</v>
      </c>
      <c r="T19649" t="s">
        <v>60078</v>
      </c>
    </row>
    <row r="19650" spans="1:20" x14ac:dyDescent="0.25">
      <c r="A19650" t="str">
        <f>"3058338"</f>
        <v>3058338</v>
      </c>
      <c r="B19650" t="s">
        <v>60080</v>
      </c>
      <c r="C19650" t="str">
        <f>"8320701"</f>
        <v>8320701</v>
      </c>
      <c r="D19650" t="s">
        <v>60081</v>
      </c>
      <c r="E19650" t="s">
        <v>60082</v>
      </c>
      <c r="F19650" t="s">
        <v>60083</v>
      </c>
      <c r="I19650" t="s">
        <v>17921</v>
      </c>
      <c r="J19650" t="s">
        <v>30</v>
      </c>
      <c r="K19650" t="str">
        <f>"27028"</f>
        <v>27028</v>
      </c>
      <c r="M19650" t="s">
        <v>17861</v>
      </c>
      <c r="N19650" t="str">
        <f>"7/28/2023 4:12:00 PM"</f>
        <v>7/28/2023 4:12:00 PM</v>
      </c>
      <c r="O19650" t="s">
        <v>60081</v>
      </c>
      <c r="T19650" t="s">
        <v>60082</v>
      </c>
    </row>
    <row r="19651" spans="1:20" x14ac:dyDescent="0.25">
      <c r="A19651" t="str">
        <f>"3061707"</f>
        <v>3061707</v>
      </c>
      <c r="B19651" t="s">
        <v>60084</v>
      </c>
      <c r="C19651" t="str">
        <f>"8320702"</f>
        <v>8320702</v>
      </c>
      <c r="D19651" t="s">
        <v>60085</v>
      </c>
      <c r="F19651" t="s">
        <v>55272</v>
      </c>
      <c r="I19651" t="s">
        <v>184</v>
      </c>
      <c r="J19651" t="s">
        <v>30</v>
      </c>
      <c r="K19651" t="s">
        <v>30968</v>
      </c>
      <c r="M19651" t="s">
        <v>17861</v>
      </c>
      <c r="N19651" t="str">
        <f>"7/28/2023 4:14:00 PM"</f>
        <v>7/28/2023 4:14:00 PM</v>
      </c>
      <c r="O19651" t="s">
        <v>60085</v>
      </c>
    </row>
    <row r="19652" spans="1:20" x14ac:dyDescent="0.25">
      <c r="A19652" t="str">
        <f>"3042898"</f>
        <v>3042898</v>
      </c>
      <c r="B19652" t="s">
        <v>60086</v>
      </c>
      <c r="C19652" t="str">
        <f>"8320703"</f>
        <v>8320703</v>
      </c>
      <c r="D19652" t="s">
        <v>60087</v>
      </c>
      <c r="E19652" t="s">
        <v>60088</v>
      </c>
      <c r="F19652" t="s">
        <v>60089</v>
      </c>
      <c r="I19652" t="s">
        <v>29</v>
      </c>
      <c r="J19652" t="s">
        <v>30</v>
      </c>
      <c r="K19652" t="s">
        <v>60090</v>
      </c>
      <c r="M19652" t="s">
        <v>17861</v>
      </c>
      <c r="N19652" t="str">
        <f>"7/28/2023 4:18:00 PM"</f>
        <v>7/28/2023 4:18:00 PM</v>
      </c>
      <c r="O19652" t="s">
        <v>60087</v>
      </c>
      <c r="T19652" t="s">
        <v>60088</v>
      </c>
    </row>
    <row r="19653" spans="1:20" x14ac:dyDescent="0.25">
      <c r="A19653" t="str">
        <f>"3047972"</f>
        <v>3047972</v>
      </c>
      <c r="B19653" t="s">
        <v>60091</v>
      </c>
      <c r="C19653" t="str">
        <f>"8320676"</f>
        <v>8320676</v>
      </c>
      <c r="D19653" t="s">
        <v>60092</v>
      </c>
      <c r="F19653" t="s">
        <v>60093</v>
      </c>
      <c r="I19653" t="s">
        <v>184</v>
      </c>
      <c r="J19653" t="s">
        <v>30</v>
      </c>
      <c r="K19653" t="s">
        <v>60094</v>
      </c>
      <c r="M19653" t="s">
        <v>17861</v>
      </c>
      <c r="N19653" t="str">
        <f>"7/25/2023 10:44:00 AM"</f>
        <v>7/25/2023 10:44:00 AM</v>
      </c>
      <c r="O19653" t="s">
        <v>60092</v>
      </c>
    </row>
    <row r="19654" spans="1:20" x14ac:dyDescent="0.25">
      <c r="A19654" t="str">
        <f>"3046472"</f>
        <v>3046472</v>
      </c>
      <c r="B19654" t="s">
        <v>60095</v>
      </c>
      <c r="C19654" t="str">
        <f>"8320677"</f>
        <v>8320677</v>
      </c>
      <c r="D19654" t="s">
        <v>60096</v>
      </c>
      <c r="F19654" t="s">
        <v>60097</v>
      </c>
      <c r="I19654" t="s">
        <v>17921</v>
      </c>
      <c r="J19654" t="s">
        <v>30</v>
      </c>
      <c r="K19654" t="str">
        <f>"27028"</f>
        <v>27028</v>
      </c>
      <c r="M19654" t="s">
        <v>17861</v>
      </c>
      <c r="N19654" t="str">
        <f>"7/25/2023 10:48:00 AM"</f>
        <v>7/25/2023 10:48:00 AM</v>
      </c>
      <c r="O19654" t="s">
        <v>60096</v>
      </c>
    </row>
    <row r="19655" spans="1:20" x14ac:dyDescent="0.25">
      <c r="A19655" t="str">
        <f>"3058376"</f>
        <v>3058376</v>
      </c>
      <c r="B19655" t="s">
        <v>60098</v>
      </c>
      <c r="C19655" t="str">
        <f>"8307552"</f>
        <v>8307552</v>
      </c>
      <c r="D19655" t="s">
        <v>60099</v>
      </c>
      <c r="E19655" t="s">
        <v>60100</v>
      </c>
      <c r="F19655" t="s">
        <v>60101</v>
      </c>
      <c r="G19655" t="s">
        <v>60102</v>
      </c>
      <c r="I19655" t="s">
        <v>2589</v>
      </c>
      <c r="J19655" t="s">
        <v>30</v>
      </c>
      <c r="K19655" t="s">
        <v>60103</v>
      </c>
      <c r="M19655" t="s">
        <v>25733</v>
      </c>
      <c r="N19655" t="str">
        <f>"7/31/2023 9:49:00 AM"</f>
        <v>7/31/2023 9:49:00 AM</v>
      </c>
      <c r="O19655" t="s">
        <v>60099</v>
      </c>
      <c r="T19655" t="s">
        <v>60100</v>
      </c>
    </row>
    <row r="19656" spans="1:20" x14ac:dyDescent="0.25">
      <c r="A19656" t="str">
        <f>"3057344"</f>
        <v>3057344</v>
      </c>
      <c r="B19656" t="s">
        <v>60104</v>
      </c>
      <c r="C19656" t="str">
        <f>"8303461"</f>
        <v>8303461</v>
      </c>
      <c r="D19656" t="s">
        <v>60105</v>
      </c>
      <c r="F19656" t="s">
        <v>60106</v>
      </c>
      <c r="I19656" t="s">
        <v>184</v>
      </c>
      <c r="J19656" t="s">
        <v>30</v>
      </c>
      <c r="K19656" t="s">
        <v>32897</v>
      </c>
      <c r="M19656" t="s">
        <v>18479</v>
      </c>
      <c r="N19656" t="str">
        <f>"7/31/2023 10:06:00 AM"</f>
        <v>7/31/2023 10:06:00 AM</v>
      </c>
      <c r="O19656" t="s">
        <v>60105</v>
      </c>
    </row>
    <row r="19657" spans="1:20" x14ac:dyDescent="0.25">
      <c r="A19657" t="str">
        <f>"3044077"</f>
        <v>3044077</v>
      </c>
      <c r="B19657" t="s">
        <v>60107</v>
      </c>
      <c r="C19657" t="str">
        <f>"8311626"</f>
        <v>8311626</v>
      </c>
      <c r="D19657" t="s">
        <v>60108</v>
      </c>
      <c r="E19657" t="s">
        <v>60109</v>
      </c>
      <c r="F19657" t="s">
        <v>60106</v>
      </c>
      <c r="I19657" t="s">
        <v>184</v>
      </c>
      <c r="J19657" t="s">
        <v>30</v>
      </c>
      <c r="K19657" t="s">
        <v>32897</v>
      </c>
      <c r="M19657" t="s">
        <v>18479</v>
      </c>
      <c r="N19657" t="str">
        <f>"7/31/2023 10:06:00 AM"</f>
        <v>7/31/2023 10:06:00 AM</v>
      </c>
      <c r="O19657" t="s">
        <v>60108</v>
      </c>
      <c r="T19657" t="s">
        <v>60109</v>
      </c>
    </row>
    <row r="19658" spans="1:20" x14ac:dyDescent="0.25">
      <c r="A19658" t="str">
        <f>"3043956"</f>
        <v>3043956</v>
      </c>
      <c r="B19658" t="s">
        <v>60110</v>
      </c>
      <c r="C19658" t="str">
        <f>"51055000"</f>
        <v>51055000</v>
      </c>
      <c r="D19658" t="s">
        <v>60111</v>
      </c>
      <c r="F19658" t="s">
        <v>60106</v>
      </c>
      <c r="I19658" t="s">
        <v>184</v>
      </c>
      <c r="J19658" t="s">
        <v>30</v>
      </c>
      <c r="K19658" t="s">
        <v>32897</v>
      </c>
      <c r="M19658" t="s">
        <v>18479</v>
      </c>
      <c r="N19658" t="str">
        <f>"7/31/2023 10:07:00 AM"</f>
        <v>7/31/2023 10:07:00 AM</v>
      </c>
      <c r="O19658" t="s">
        <v>60111</v>
      </c>
    </row>
    <row r="19659" spans="1:20" x14ac:dyDescent="0.25">
      <c r="A19659" t="str">
        <f>"3042219"</f>
        <v>3042219</v>
      </c>
      <c r="B19659" t="s">
        <v>60112</v>
      </c>
      <c r="C19659" t="str">
        <f t="shared" ref="C19659:C19664" si="296">"82526717"</f>
        <v>82526717</v>
      </c>
      <c r="D19659" t="s">
        <v>60113</v>
      </c>
      <c r="F19659" t="s">
        <v>60114</v>
      </c>
      <c r="I19659" t="s">
        <v>184</v>
      </c>
      <c r="J19659" t="s">
        <v>30</v>
      </c>
      <c r="K19659" t="s">
        <v>47774</v>
      </c>
      <c r="M19659" t="s">
        <v>51351</v>
      </c>
      <c r="N19659" t="str">
        <f t="shared" ref="N19659:N19664" si="297">"7/31/2023 10:14:00 AM"</f>
        <v>7/31/2023 10:14:00 AM</v>
      </c>
      <c r="O19659" t="s">
        <v>60113</v>
      </c>
    </row>
    <row r="19660" spans="1:20" x14ac:dyDescent="0.25">
      <c r="A19660" t="str">
        <f>"3042232"</f>
        <v>3042232</v>
      </c>
      <c r="B19660" t="s">
        <v>60115</v>
      </c>
      <c r="C19660" t="str">
        <f t="shared" si="296"/>
        <v>82526717</v>
      </c>
      <c r="D19660" t="s">
        <v>60113</v>
      </c>
      <c r="F19660" t="s">
        <v>60114</v>
      </c>
      <c r="I19660" t="s">
        <v>184</v>
      </c>
      <c r="J19660" t="s">
        <v>30</v>
      </c>
      <c r="K19660" t="s">
        <v>47774</v>
      </c>
      <c r="M19660" t="s">
        <v>51351</v>
      </c>
      <c r="N19660" t="str">
        <f t="shared" si="297"/>
        <v>7/31/2023 10:14:00 AM</v>
      </c>
      <c r="O19660" t="s">
        <v>60113</v>
      </c>
    </row>
    <row r="19661" spans="1:20" x14ac:dyDescent="0.25">
      <c r="A19661" t="str">
        <f>"3042246"</f>
        <v>3042246</v>
      </c>
      <c r="B19661" t="s">
        <v>60116</v>
      </c>
      <c r="C19661" t="str">
        <f t="shared" si="296"/>
        <v>82526717</v>
      </c>
      <c r="D19661" t="s">
        <v>60113</v>
      </c>
      <c r="F19661" t="s">
        <v>60114</v>
      </c>
      <c r="I19661" t="s">
        <v>184</v>
      </c>
      <c r="J19661" t="s">
        <v>30</v>
      </c>
      <c r="K19661" t="s">
        <v>47774</v>
      </c>
      <c r="M19661" t="s">
        <v>51351</v>
      </c>
      <c r="N19661" t="str">
        <f t="shared" si="297"/>
        <v>7/31/2023 10:14:00 AM</v>
      </c>
      <c r="O19661" t="s">
        <v>60113</v>
      </c>
    </row>
    <row r="19662" spans="1:20" x14ac:dyDescent="0.25">
      <c r="A19662" t="str">
        <f>"3077187"</f>
        <v>3077187</v>
      </c>
      <c r="B19662" t="s">
        <v>60117</v>
      </c>
      <c r="C19662" t="str">
        <f t="shared" si="296"/>
        <v>82526717</v>
      </c>
      <c r="D19662" t="s">
        <v>60113</v>
      </c>
      <c r="F19662" t="s">
        <v>60114</v>
      </c>
      <c r="I19662" t="s">
        <v>184</v>
      </c>
      <c r="J19662" t="s">
        <v>30</v>
      </c>
      <c r="K19662" t="s">
        <v>47774</v>
      </c>
      <c r="M19662" t="s">
        <v>51351</v>
      </c>
      <c r="N19662" t="str">
        <f t="shared" si="297"/>
        <v>7/31/2023 10:14:00 AM</v>
      </c>
      <c r="O19662" t="s">
        <v>60113</v>
      </c>
    </row>
    <row r="19663" spans="1:20" x14ac:dyDescent="0.25">
      <c r="A19663" t="str">
        <f>"3077189"</f>
        <v>3077189</v>
      </c>
      <c r="B19663" t="s">
        <v>60118</v>
      </c>
      <c r="C19663" t="str">
        <f t="shared" si="296"/>
        <v>82526717</v>
      </c>
      <c r="D19663" t="s">
        <v>60113</v>
      </c>
      <c r="F19663" t="s">
        <v>60114</v>
      </c>
      <c r="I19663" t="s">
        <v>184</v>
      </c>
      <c r="J19663" t="s">
        <v>30</v>
      </c>
      <c r="K19663" t="s">
        <v>47774</v>
      </c>
      <c r="M19663" t="s">
        <v>51351</v>
      </c>
      <c r="N19663" t="str">
        <f t="shared" si="297"/>
        <v>7/31/2023 10:14:00 AM</v>
      </c>
      <c r="O19663" t="s">
        <v>60113</v>
      </c>
    </row>
    <row r="19664" spans="1:20" x14ac:dyDescent="0.25">
      <c r="A19664" t="str">
        <f>"3063883"</f>
        <v>3063883</v>
      </c>
      <c r="B19664" t="s">
        <v>60119</v>
      </c>
      <c r="C19664" t="str">
        <f t="shared" si="296"/>
        <v>82526717</v>
      </c>
      <c r="D19664" t="s">
        <v>60113</v>
      </c>
      <c r="F19664" t="s">
        <v>60114</v>
      </c>
      <c r="I19664" t="s">
        <v>184</v>
      </c>
      <c r="J19664" t="s">
        <v>30</v>
      </c>
      <c r="K19664" t="s">
        <v>47774</v>
      </c>
      <c r="M19664" t="s">
        <v>51351</v>
      </c>
      <c r="N19664" t="str">
        <f t="shared" si="297"/>
        <v>7/31/2023 10:14:00 AM</v>
      </c>
      <c r="O19664" t="s">
        <v>60113</v>
      </c>
    </row>
    <row r="19665" spans="1:20" x14ac:dyDescent="0.25">
      <c r="A19665" t="str">
        <f>"3042196"</f>
        <v>3042196</v>
      </c>
      <c r="B19665" t="s">
        <v>60120</v>
      </c>
      <c r="C19665" t="str">
        <f>"21515750"</f>
        <v>21515750</v>
      </c>
      <c r="D19665" t="s">
        <v>60121</v>
      </c>
      <c r="F19665" t="str">
        <f>"C/O NANCY DOUGHERTY"</f>
        <v>C/O NANCY DOUGHERTY</v>
      </c>
      <c r="G19665" t="s">
        <v>4952</v>
      </c>
      <c r="I19665" t="s">
        <v>184</v>
      </c>
      <c r="J19665" t="s">
        <v>30</v>
      </c>
      <c r="K19665" t="s">
        <v>185</v>
      </c>
      <c r="M19665" t="s">
        <v>51351</v>
      </c>
      <c r="N19665" t="str">
        <f>"7/31/2023 10:21:00 AM"</f>
        <v>7/31/2023 10:21:00 AM</v>
      </c>
      <c r="O19665" t="s">
        <v>60121</v>
      </c>
    </row>
    <row r="19666" spans="1:20" x14ac:dyDescent="0.25">
      <c r="A19666" t="str">
        <f>"3049939"</f>
        <v>3049939</v>
      </c>
      <c r="B19666" t="s">
        <v>60122</v>
      </c>
      <c r="C19666" t="str">
        <f>"8316706"</f>
        <v>8316706</v>
      </c>
      <c r="D19666" t="s">
        <v>60123</v>
      </c>
      <c r="E19666" t="s">
        <v>60124</v>
      </c>
      <c r="F19666" t="s">
        <v>60125</v>
      </c>
      <c r="I19666" t="s">
        <v>29</v>
      </c>
      <c r="J19666" t="s">
        <v>30</v>
      </c>
      <c r="K19666" t="s">
        <v>19617</v>
      </c>
      <c r="M19666" t="s">
        <v>18479</v>
      </c>
      <c r="N19666" t="str">
        <f>"7/31/2023 10:39:00 AM"</f>
        <v>7/31/2023 10:39:00 AM</v>
      </c>
      <c r="O19666" t="s">
        <v>60123</v>
      </c>
      <c r="T19666" t="s">
        <v>60124</v>
      </c>
    </row>
    <row r="19667" spans="1:20" x14ac:dyDescent="0.25">
      <c r="A19667" t="str">
        <f>"3061684"</f>
        <v>3061684</v>
      </c>
      <c r="B19667" t="s">
        <v>60126</v>
      </c>
      <c r="C19667" t="str">
        <f>"8307746"</f>
        <v>8307746</v>
      </c>
      <c r="D19667" t="s">
        <v>60127</v>
      </c>
      <c r="E19667" t="s">
        <v>60128</v>
      </c>
      <c r="F19667" t="s">
        <v>60129</v>
      </c>
      <c r="I19667" t="s">
        <v>2071</v>
      </c>
      <c r="J19667" t="s">
        <v>30</v>
      </c>
      <c r="K19667" t="str">
        <f>"27006"</f>
        <v>27006</v>
      </c>
      <c r="M19667" t="s">
        <v>25625</v>
      </c>
      <c r="N19667" t="str">
        <f>"7/31/2023 2:12:00 PM"</f>
        <v>7/31/2023 2:12:00 PM</v>
      </c>
      <c r="O19667" t="s">
        <v>60127</v>
      </c>
      <c r="T19667" t="s">
        <v>60128</v>
      </c>
    </row>
    <row r="19668" spans="1:20" x14ac:dyDescent="0.25">
      <c r="A19668" t="str">
        <f>"3048869"</f>
        <v>3048869</v>
      </c>
      <c r="B19668" t="s">
        <v>60130</v>
      </c>
      <c r="C19668" t="str">
        <f>"8313967"</f>
        <v>8313967</v>
      </c>
      <c r="D19668" t="s">
        <v>60131</v>
      </c>
      <c r="E19668" t="s">
        <v>60132</v>
      </c>
      <c r="F19668" t="s">
        <v>60133</v>
      </c>
      <c r="I19668" t="s">
        <v>29</v>
      </c>
      <c r="J19668" t="s">
        <v>30</v>
      </c>
      <c r="K19668" t="s">
        <v>7349</v>
      </c>
      <c r="M19668" t="s">
        <v>25625</v>
      </c>
      <c r="N19668" t="str">
        <f>"7/31/2023 2:22:00 PM"</f>
        <v>7/31/2023 2:22:00 PM</v>
      </c>
      <c r="O19668" t="s">
        <v>60131</v>
      </c>
      <c r="T19668" t="s">
        <v>60132</v>
      </c>
    </row>
    <row r="19669" spans="1:20" x14ac:dyDescent="0.25">
      <c r="A19669" t="str">
        <f>"3058000"</f>
        <v>3058000</v>
      </c>
      <c r="B19669" t="s">
        <v>60134</v>
      </c>
      <c r="C19669" t="str">
        <f>"8316611"</f>
        <v>8316611</v>
      </c>
      <c r="D19669" t="s">
        <v>60135</v>
      </c>
      <c r="E19669" t="s">
        <v>60136</v>
      </c>
      <c r="F19669" t="s">
        <v>60137</v>
      </c>
      <c r="I19669" t="s">
        <v>24359</v>
      </c>
      <c r="J19669" t="s">
        <v>30</v>
      </c>
      <c r="K19669" t="str">
        <f>"27006"</f>
        <v>27006</v>
      </c>
      <c r="M19669" t="s">
        <v>50621</v>
      </c>
      <c r="N19669" t="str">
        <f>"7/31/2023 2:39:00 PM"</f>
        <v>7/31/2023 2:39:00 PM</v>
      </c>
      <c r="O19669" t="s">
        <v>60135</v>
      </c>
      <c r="T19669" t="s">
        <v>60136</v>
      </c>
    </row>
    <row r="19670" spans="1:20" x14ac:dyDescent="0.25">
      <c r="A19670" t="str">
        <f>"3062255"</f>
        <v>3062255</v>
      </c>
      <c r="B19670" t="s">
        <v>60138</v>
      </c>
      <c r="C19670" t="str">
        <f>"8314825"</f>
        <v>8314825</v>
      </c>
      <c r="D19670" t="s">
        <v>60139</v>
      </c>
      <c r="E19670" t="s">
        <v>60140</v>
      </c>
      <c r="F19670" t="s">
        <v>60141</v>
      </c>
      <c r="I19670" t="s">
        <v>29</v>
      </c>
      <c r="J19670" t="s">
        <v>30</v>
      </c>
      <c r="K19670" t="s">
        <v>60142</v>
      </c>
      <c r="M19670" t="s">
        <v>50621</v>
      </c>
      <c r="N19670" t="str">
        <f>"7/31/2023 2:39:00 PM"</f>
        <v>7/31/2023 2:39:00 PM</v>
      </c>
      <c r="O19670" t="s">
        <v>60139</v>
      </c>
      <c r="T19670" t="s">
        <v>60140</v>
      </c>
    </row>
    <row r="19671" spans="1:20" x14ac:dyDescent="0.25">
      <c r="A19671" t="str">
        <f>"3047777"</f>
        <v>3047777</v>
      </c>
      <c r="B19671" t="s">
        <v>60143</v>
      </c>
      <c r="C19671" t="str">
        <f>"2989500"</f>
        <v>2989500</v>
      </c>
      <c r="D19671" t="s">
        <v>60144</v>
      </c>
      <c r="F19671" t="s">
        <v>60145</v>
      </c>
      <c r="I19671" t="s">
        <v>2280</v>
      </c>
      <c r="J19671" t="s">
        <v>30</v>
      </c>
      <c r="K19671" t="s">
        <v>60146</v>
      </c>
      <c r="M19671" t="s">
        <v>50621</v>
      </c>
      <c r="N19671" t="str">
        <f>"7/31/2023 2:59:00 PM"</f>
        <v>7/31/2023 2:59:00 PM</v>
      </c>
      <c r="O19671" t="s">
        <v>60144</v>
      </c>
    </row>
    <row r="19672" spans="1:20" x14ac:dyDescent="0.25">
      <c r="A19672" t="str">
        <f>"3047632"</f>
        <v>3047632</v>
      </c>
      <c r="B19672" t="s">
        <v>60147</v>
      </c>
      <c r="C19672" t="str">
        <f>"2989500"</f>
        <v>2989500</v>
      </c>
      <c r="D19672" t="s">
        <v>60144</v>
      </c>
      <c r="F19672" t="s">
        <v>60145</v>
      </c>
      <c r="I19672" t="s">
        <v>2280</v>
      </c>
      <c r="J19672" t="s">
        <v>30</v>
      </c>
      <c r="K19672" t="s">
        <v>60146</v>
      </c>
      <c r="M19672" t="s">
        <v>50621</v>
      </c>
      <c r="N19672" t="str">
        <f>"7/31/2023 2:59:00 PM"</f>
        <v>7/31/2023 2:59:00 PM</v>
      </c>
      <c r="O19672" t="s">
        <v>60144</v>
      </c>
    </row>
    <row r="19673" spans="1:20" x14ac:dyDescent="0.25">
      <c r="A19673" t="str">
        <f>"3047529"</f>
        <v>3047529</v>
      </c>
      <c r="B19673" t="s">
        <v>60148</v>
      </c>
      <c r="C19673" t="str">
        <f>"2989500"</f>
        <v>2989500</v>
      </c>
      <c r="D19673" t="s">
        <v>60144</v>
      </c>
      <c r="F19673" t="s">
        <v>60145</v>
      </c>
      <c r="I19673" t="s">
        <v>2280</v>
      </c>
      <c r="J19673" t="s">
        <v>30</v>
      </c>
      <c r="K19673" t="s">
        <v>60146</v>
      </c>
      <c r="M19673" t="s">
        <v>50621</v>
      </c>
      <c r="N19673" t="str">
        <f>"7/31/2023 2:59:00 PM"</f>
        <v>7/31/2023 2:59:00 PM</v>
      </c>
      <c r="O19673" t="s">
        <v>60144</v>
      </c>
    </row>
    <row r="19674" spans="1:20" x14ac:dyDescent="0.25">
      <c r="A19674" t="str">
        <f>"3052423"</f>
        <v>3052423</v>
      </c>
      <c r="B19674" t="s">
        <v>60149</v>
      </c>
      <c r="C19674" t="str">
        <f>"82519369"</f>
        <v>82519369</v>
      </c>
      <c r="D19674" t="s">
        <v>60150</v>
      </c>
      <c r="E19674" t="s">
        <v>21918</v>
      </c>
      <c r="F19674" t="s">
        <v>60151</v>
      </c>
      <c r="I19674" t="s">
        <v>29</v>
      </c>
      <c r="J19674" t="s">
        <v>30</v>
      </c>
      <c r="K19674" t="s">
        <v>31</v>
      </c>
      <c r="M19674" t="s">
        <v>50621</v>
      </c>
      <c r="N19674" t="str">
        <f>"7/31/2023 3:06:00 PM"</f>
        <v>7/31/2023 3:06:00 PM</v>
      </c>
      <c r="O19674" t="s">
        <v>60150</v>
      </c>
      <c r="T19674" t="s">
        <v>21918</v>
      </c>
    </row>
    <row r="19675" spans="1:20" x14ac:dyDescent="0.25">
      <c r="A19675" t="str">
        <f>"3043740"</f>
        <v>3043740</v>
      </c>
      <c r="B19675" t="s">
        <v>60152</v>
      </c>
      <c r="C19675" t="str">
        <f>"8320677"</f>
        <v>8320677</v>
      </c>
      <c r="D19675" t="s">
        <v>60096</v>
      </c>
      <c r="F19675" t="s">
        <v>60097</v>
      </c>
      <c r="I19675" t="s">
        <v>17921</v>
      </c>
      <c r="J19675" t="s">
        <v>30</v>
      </c>
      <c r="K19675" t="str">
        <f>"27028"</f>
        <v>27028</v>
      </c>
      <c r="M19675" t="s">
        <v>17861</v>
      </c>
      <c r="N19675" t="str">
        <f>"7/25/2023 10:48:00 AM"</f>
        <v>7/25/2023 10:48:00 AM</v>
      </c>
      <c r="O19675" t="s">
        <v>60096</v>
      </c>
    </row>
    <row r="19676" spans="1:20" x14ac:dyDescent="0.25">
      <c r="A19676" t="str">
        <f>"3077968"</f>
        <v>3077968</v>
      </c>
      <c r="B19676" t="s">
        <v>60153</v>
      </c>
      <c r="C19676" t="str">
        <f>"8320677"</f>
        <v>8320677</v>
      </c>
      <c r="D19676" t="s">
        <v>60096</v>
      </c>
      <c r="F19676" t="s">
        <v>60097</v>
      </c>
      <c r="I19676" t="s">
        <v>17921</v>
      </c>
      <c r="J19676" t="s">
        <v>30</v>
      </c>
      <c r="K19676" t="str">
        <f>"27028"</f>
        <v>27028</v>
      </c>
      <c r="M19676" t="s">
        <v>17861</v>
      </c>
      <c r="N19676" t="str">
        <f>"7/25/2023 10:48:00 AM"</f>
        <v>7/25/2023 10:48:00 AM</v>
      </c>
      <c r="O19676" t="s">
        <v>60096</v>
      </c>
    </row>
    <row r="19677" spans="1:20" x14ac:dyDescent="0.25">
      <c r="A19677" t="str">
        <f>"3044182"</f>
        <v>3044182</v>
      </c>
      <c r="B19677" t="s">
        <v>60154</v>
      </c>
      <c r="C19677" t="str">
        <f>"8320678"</f>
        <v>8320678</v>
      </c>
      <c r="D19677" t="s">
        <v>9076</v>
      </c>
      <c r="E19677" t="s">
        <v>35007</v>
      </c>
      <c r="F19677" t="s">
        <v>9077</v>
      </c>
      <c r="I19677" t="s">
        <v>24359</v>
      </c>
      <c r="J19677" t="s">
        <v>30</v>
      </c>
      <c r="K19677" t="str">
        <f>"27006"</f>
        <v>27006</v>
      </c>
      <c r="M19677" t="s">
        <v>17861</v>
      </c>
      <c r="N19677" t="str">
        <f>"7/25/2023 12:54:00 PM"</f>
        <v>7/25/2023 12:54:00 PM</v>
      </c>
      <c r="O19677" t="s">
        <v>9076</v>
      </c>
      <c r="T19677" t="s">
        <v>35007</v>
      </c>
    </row>
    <row r="19678" spans="1:20" x14ac:dyDescent="0.25">
      <c r="A19678" t="str">
        <f>"3053590"</f>
        <v>3053590</v>
      </c>
      <c r="B19678" t="s">
        <v>60155</v>
      </c>
      <c r="C19678" t="str">
        <f>"82519829"</f>
        <v>82519829</v>
      </c>
      <c r="D19678" t="s">
        <v>60156</v>
      </c>
      <c r="F19678" t="s">
        <v>60157</v>
      </c>
      <c r="I19678" t="s">
        <v>29</v>
      </c>
      <c r="J19678" t="s">
        <v>30</v>
      </c>
      <c r="K19678" t="s">
        <v>60158</v>
      </c>
      <c r="M19678" t="s">
        <v>50621</v>
      </c>
      <c r="N19678" t="str">
        <f>"8/1/2023 10:36:00 AM"</f>
        <v>8/1/2023 10:36:00 AM</v>
      </c>
      <c r="O19678" t="s">
        <v>60156</v>
      </c>
    </row>
    <row r="19679" spans="1:20" x14ac:dyDescent="0.25">
      <c r="A19679" t="str">
        <f>"3071276"</f>
        <v>3071276</v>
      </c>
      <c r="B19679" t="s">
        <v>60159</v>
      </c>
      <c r="C19679" t="str">
        <f>"82519829"</f>
        <v>82519829</v>
      </c>
      <c r="D19679" t="s">
        <v>60156</v>
      </c>
      <c r="F19679" t="s">
        <v>60157</v>
      </c>
      <c r="I19679" t="s">
        <v>29</v>
      </c>
      <c r="J19679" t="s">
        <v>30</v>
      </c>
      <c r="K19679" t="s">
        <v>60158</v>
      </c>
      <c r="M19679" t="s">
        <v>50621</v>
      </c>
      <c r="N19679" t="str">
        <f>"8/1/2023 10:36:00 AM"</f>
        <v>8/1/2023 10:36:00 AM</v>
      </c>
      <c r="O19679" t="s">
        <v>60156</v>
      </c>
    </row>
    <row r="19680" spans="1:20" x14ac:dyDescent="0.25">
      <c r="A19680" t="str">
        <f>"3060291"</f>
        <v>3060291</v>
      </c>
      <c r="B19680" t="s">
        <v>60160</v>
      </c>
      <c r="C19680" t="str">
        <f>"8314916"</f>
        <v>8314916</v>
      </c>
      <c r="D19680" t="s">
        <v>60161</v>
      </c>
      <c r="E19680" t="s">
        <v>60162</v>
      </c>
      <c r="F19680" t="s">
        <v>60163</v>
      </c>
      <c r="I19680" t="s">
        <v>29</v>
      </c>
      <c r="J19680" t="s">
        <v>30</v>
      </c>
      <c r="K19680" t="s">
        <v>60164</v>
      </c>
      <c r="M19680" t="s">
        <v>50621</v>
      </c>
      <c r="N19680" t="str">
        <f>"8/1/2023 10:39:00 AM"</f>
        <v>8/1/2023 10:39:00 AM</v>
      </c>
      <c r="O19680" t="s">
        <v>60161</v>
      </c>
      <c r="T19680" t="s">
        <v>60162</v>
      </c>
    </row>
    <row r="19681" spans="1:20" x14ac:dyDescent="0.25">
      <c r="A19681" t="str">
        <f>"3054983"</f>
        <v>3054983</v>
      </c>
      <c r="B19681" t="s">
        <v>60165</v>
      </c>
      <c r="C19681" t="str">
        <f>"8315842"</f>
        <v>8315842</v>
      </c>
      <c r="D19681" t="s">
        <v>60166</v>
      </c>
      <c r="E19681" t="s">
        <v>60167</v>
      </c>
      <c r="F19681" t="s">
        <v>60168</v>
      </c>
      <c r="I19681" t="s">
        <v>29</v>
      </c>
      <c r="J19681" t="s">
        <v>30</v>
      </c>
      <c r="K19681" t="s">
        <v>38490</v>
      </c>
      <c r="M19681" t="s">
        <v>50621</v>
      </c>
      <c r="N19681" t="str">
        <f>"8/1/2023 10:41:00 AM"</f>
        <v>8/1/2023 10:41:00 AM</v>
      </c>
      <c r="O19681" t="s">
        <v>60166</v>
      </c>
      <c r="T19681" t="s">
        <v>60167</v>
      </c>
    </row>
    <row r="19682" spans="1:20" x14ac:dyDescent="0.25">
      <c r="A19682" t="str">
        <f>"3059845"</f>
        <v>3059845</v>
      </c>
      <c r="B19682" t="s">
        <v>60169</v>
      </c>
      <c r="C19682" t="str">
        <f>"82524090"</f>
        <v>82524090</v>
      </c>
      <c r="D19682" t="s">
        <v>60170</v>
      </c>
      <c r="F19682" t="s">
        <v>38530</v>
      </c>
      <c r="I19682" t="s">
        <v>9580</v>
      </c>
      <c r="J19682" t="s">
        <v>30</v>
      </c>
      <c r="K19682" t="s">
        <v>60171</v>
      </c>
      <c r="M19682" t="s">
        <v>50621</v>
      </c>
      <c r="N19682" t="str">
        <f>"8/1/2023 10:52:00 AM"</f>
        <v>8/1/2023 10:52:00 AM</v>
      </c>
      <c r="O19682" t="s">
        <v>60170</v>
      </c>
    </row>
    <row r="19683" spans="1:20" x14ac:dyDescent="0.25">
      <c r="A19683" t="str">
        <f>"3077867"</f>
        <v>3077867</v>
      </c>
      <c r="B19683" t="s">
        <v>60172</v>
      </c>
      <c r="C19683" t="str">
        <f>"8316011"</f>
        <v>8316011</v>
      </c>
      <c r="D19683" t="s">
        <v>7790</v>
      </c>
      <c r="F19683" t="s">
        <v>60173</v>
      </c>
      <c r="I19683" t="s">
        <v>29</v>
      </c>
      <c r="J19683" t="s">
        <v>30</v>
      </c>
      <c r="K19683" t="s">
        <v>60174</v>
      </c>
      <c r="M19683" t="s">
        <v>50621</v>
      </c>
      <c r="N19683" t="str">
        <f>"8/1/2023 10:56:00 AM"</f>
        <v>8/1/2023 10:56:00 AM</v>
      </c>
      <c r="O19683" t="s">
        <v>60175</v>
      </c>
    </row>
    <row r="19684" spans="1:20" x14ac:dyDescent="0.25">
      <c r="A19684" t="str">
        <f>"3055967"</f>
        <v>3055967</v>
      </c>
      <c r="B19684" t="s">
        <v>60176</v>
      </c>
      <c r="C19684" t="str">
        <f>"8303006"</f>
        <v>8303006</v>
      </c>
      <c r="D19684" t="s">
        <v>60177</v>
      </c>
      <c r="E19684" t="s">
        <v>60178</v>
      </c>
      <c r="F19684" t="s">
        <v>60179</v>
      </c>
      <c r="I19684" t="s">
        <v>9580</v>
      </c>
      <c r="J19684" t="s">
        <v>30</v>
      </c>
      <c r="K19684" t="s">
        <v>60180</v>
      </c>
      <c r="M19684" t="s">
        <v>50621</v>
      </c>
      <c r="N19684" t="str">
        <f>"8/1/2023 11:14:00 AM"</f>
        <v>8/1/2023 11:14:00 AM</v>
      </c>
      <c r="O19684" t="s">
        <v>60177</v>
      </c>
      <c r="T19684" t="s">
        <v>60178</v>
      </c>
    </row>
    <row r="19685" spans="1:20" x14ac:dyDescent="0.25">
      <c r="A19685" t="str">
        <f>"3056041"</f>
        <v>3056041</v>
      </c>
      <c r="B19685" t="s">
        <v>60181</v>
      </c>
      <c r="C19685" t="str">
        <f>"8318772"</f>
        <v>8318772</v>
      </c>
      <c r="D19685" t="s">
        <v>60182</v>
      </c>
      <c r="E19685" t="s">
        <v>60183</v>
      </c>
      <c r="F19685" t="s">
        <v>57230</v>
      </c>
      <c r="I19685" t="s">
        <v>29</v>
      </c>
      <c r="J19685" t="s">
        <v>30</v>
      </c>
      <c r="K19685" t="s">
        <v>60184</v>
      </c>
      <c r="M19685" t="s">
        <v>50621</v>
      </c>
      <c r="N19685" t="str">
        <f>"8/1/2023 11:16:00 AM"</f>
        <v>8/1/2023 11:16:00 AM</v>
      </c>
      <c r="O19685" t="s">
        <v>60182</v>
      </c>
      <c r="T19685" t="s">
        <v>60183</v>
      </c>
    </row>
    <row r="19686" spans="1:20" x14ac:dyDescent="0.25">
      <c r="A19686" t="str">
        <f>"3056004"</f>
        <v>3056004</v>
      </c>
      <c r="B19686" t="s">
        <v>60185</v>
      </c>
      <c r="C19686" t="str">
        <f>"8318394"</f>
        <v>8318394</v>
      </c>
      <c r="D19686" t="s">
        <v>60186</v>
      </c>
      <c r="F19686" t="s">
        <v>60187</v>
      </c>
      <c r="I19686" t="s">
        <v>9580</v>
      </c>
      <c r="J19686" t="s">
        <v>30</v>
      </c>
      <c r="K19686" t="s">
        <v>60188</v>
      </c>
      <c r="M19686" t="s">
        <v>50621</v>
      </c>
      <c r="N19686" t="str">
        <f>"8/1/2023 11:21:00 AM"</f>
        <v>8/1/2023 11:21:00 AM</v>
      </c>
      <c r="O19686" t="s">
        <v>60186</v>
      </c>
    </row>
    <row r="19687" spans="1:20" x14ac:dyDescent="0.25">
      <c r="A19687" t="str">
        <f>"3056103"</f>
        <v>3056103</v>
      </c>
      <c r="B19687" t="s">
        <v>60189</v>
      </c>
      <c r="C19687" t="str">
        <f>"8316274"</f>
        <v>8316274</v>
      </c>
      <c r="D19687" t="s">
        <v>60190</v>
      </c>
      <c r="E19687" t="s">
        <v>60191</v>
      </c>
      <c r="F19687" t="s">
        <v>60192</v>
      </c>
      <c r="I19687" t="s">
        <v>964</v>
      </c>
      <c r="J19687" t="s">
        <v>30</v>
      </c>
      <c r="K19687" t="s">
        <v>60193</v>
      </c>
      <c r="M19687" t="s">
        <v>50621</v>
      </c>
      <c r="N19687" t="str">
        <f>"8/1/2023 11:22:00 AM"</f>
        <v>8/1/2023 11:22:00 AM</v>
      </c>
      <c r="O19687" t="s">
        <v>60190</v>
      </c>
      <c r="T19687" t="s">
        <v>60191</v>
      </c>
    </row>
    <row r="19688" spans="1:20" x14ac:dyDescent="0.25">
      <c r="A19688" t="str">
        <f>"3045647"</f>
        <v>3045647</v>
      </c>
      <c r="B19688" t="s">
        <v>60194</v>
      </c>
      <c r="C19688" t="str">
        <f>"8320679"</f>
        <v>8320679</v>
      </c>
      <c r="D19688" t="s">
        <v>60195</v>
      </c>
      <c r="E19688" t="s">
        <v>60196</v>
      </c>
      <c r="F19688" t="s">
        <v>60197</v>
      </c>
      <c r="I19688" t="s">
        <v>60198</v>
      </c>
      <c r="J19688" t="s">
        <v>12725</v>
      </c>
      <c r="K19688" t="s">
        <v>60199</v>
      </c>
      <c r="M19688" t="s">
        <v>17861</v>
      </c>
      <c r="N19688" t="str">
        <f>"7/25/2023 2:24:00 PM"</f>
        <v>7/25/2023 2:24:00 PM</v>
      </c>
      <c r="O19688" t="s">
        <v>60195</v>
      </c>
      <c r="T19688" t="s">
        <v>60196</v>
      </c>
    </row>
    <row r="19689" spans="1:20" x14ac:dyDescent="0.25">
      <c r="A19689" t="str">
        <f>"3057012"</f>
        <v>3057012</v>
      </c>
      <c r="B19689" t="s">
        <v>60200</v>
      </c>
      <c r="C19689" t="str">
        <f>"8320680"</f>
        <v>8320680</v>
      </c>
      <c r="D19689" t="s">
        <v>59946</v>
      </c>
      <c r="F19689" t="s">
        <v>59947</v>
      </c>
      <c r="I19689" t="s">
        <v>11215</v>
      </c>
      <c r="J19689" t="s">
        <v>30</v>
      </c>
      <c r="K19689" t="str">
        <f>"27374"</f>
        <v>27374</v>
      </c>
      <c r="M19689" t="s">
        <v>17861</v>
      </c>
      <c r="N19689" t="str">
        <f>"7/25/2023 2:28:00 PM"</f>
        <v>7/25/2023 2:28:00 PM</v>
      </c>
      <c r="O19689" t="s">
        <v>59946</v>
      </c>
    </row>
    <row r="19690" spans="1:20" x14ac:dyDescent="0.25">
      <c r="A19690" t="str">
        <f>"3065131"</f>
        <v>3065131</v>
      </c>
      <c r="B19690" t="s">
        <v>60201</v>
      </c>
      <c r="C19690" t="str">
        <f>"8320681"</f>
        <v>8320681</v>
      </c>
      <c r="D19690" t="s">
        <v>60202</v>
      </c>
      <c r="E19690" t="s">
        <v>60203</v>
      </c>
      <c r="F19690" t="s">
        <v>60204</v>
      </c>
      <c r="I19690" t="s">
        <v>184</v>
      </c>
      <c r="J19690" t="s">
        <v>30</v>
      </c>
      <c r="K19690" t="s">
        <v>47887</v>
      </c>
      <c r="M19690" t="s">
        <v>17861</v>
      </c>
      <c r="N19690" t="str">
        <f>"7/26/2023 10:18:00 AM"</f>
        <v>7/26/2023 10:18:00 AM</v>
      </c>
      <c r="O19690" t="s">
        <v>60202</v>
      </c>
      <c r="T19690" t="s">
        <v>60203</v>
      </c>
    </row>
    <row r="19691" spans="1:20" x14ac:dyDescent="0.25">
      <c r="A19691" t="str">
        <f>"3037523"</f>
        <v>3037523</v>
      </c>
      <c r="B19691" t="s">
        <v>60205</v>
      </c>
      <c r="C19691" t="str">
        <f>"8320682"</f>
        <v>8320682</v>
      </c>
      <c r="D19691" t="s">
        <v>60206</v>
      </c>
      <c r="F19691" t="s">
        <v>60207</v>
      </c>
      <c r="I19691" t="s">
        <v>29</v>
      </c>
      <c r="J19691" t="s">
        <v>30</v>
      </c>
      <c r="K19691" t="s">
        <v>60208</v>
      </c>
      <c r="M19691" t="s">
        <v>17861</v>
      </c>
      <c r="N19691" t="str">
        <f>"7/26/2023 4:27:00 PM"</f>
        <v>7/26/2023 4:27:00 PM</v>
      </c>
      <c r="O19691" t="s">
        <v>60206</v>
      </c>
    </row>
    <row r="19692" spans="1:20" x14ac:dyDescent="0.25">
      <c r="A19692" t="str">
        <f>"3037642"</f>
        <v>3037642</v>
      </c>
      <c r="B19692" t="s">
        <v>60209</v>
      </c>
      <c r="C19692" t="str">
        <f>"8320682"</f>
        <v>8320682</v>
      </c>
      <c r="D19692" t="s">
        <v>60206</v>
      </c>
      <c r="F19692" t="s">
        <v>60207</v>
      </c>
      <c r="I19692" t="s">
        <v>29</v>
      </c>
      <c r="J19692" t="s">
        <v>30</v>
      </c>
      <c r="K19692" t="s">
        <v>60208</v>
      </c>
      <c r="M19692" t="s">
        <v>17861</v>
      </c>
      <c r="N19692" t="str">
        <f>"7/26/2023 4:27:00 PM"</f>
        <v>7/26/2023 4:27:00 PM</v>
      </c>
      <c r="O19692" t="s">
        <v>60206</v>
      </c>
    </row>
    <row r="19693" spans="1:20" x14ac:dyDescent="0.25">
      <c r="A19693" t="str">
        <f>"3053679"</f>
        <v>3053679</v>
      </c>
      <c r="B19693" t="s">
        <v>60210</v>
      </c>
      <c r="C19693" t="str">
        <f>"8308592"</f>
        <v>8308592</v>
      </c>
      <c r="D19693" t="s">
        <v>60211</v>
      </c>
      <c r="F19693" t="s">
        <v>60212</v>
      </c>
      <c r="I19693" t="s">
        <v>29</v>
      </c>
      <c r="J19693" t="s">
        <v>30</v>
      </c>
      <c r="K19693" t="s">
        <v>57508</v>
      </c>
      <c r="M19693" t="s">
        <v>17861</v>
      </c>
      <c r="N19693" t="str">
        <f>"7/27/2023 8:57:00 AM"</f>
        <v>7/27/2023 8:57:00 AM</v>
      </c>
      <c r="O19693" t="s">
        <v>60211</v>
      </c>
    </row>
    <row r="19694" spans="1:20" x14ac:dyDescent="0.25">
      <c r="A19694" t="str">
        <f>"3053051"</f>
        <v>3053051</v>
      </c>
      <c r="B19694" t="s">
        <v>60213</v>
      </c>
      <c r="C19694" t="str">
        <f>"82523743"</f>
        <v>82523743</v>
      </c>
      <c r="D19694" t="s">
        <v>59972</v>
      </c>
      <c r="E19694" t="s">
        <v>59973</v>
      </c>
      <c r="F19694" t="s">
        <v>59974</v>
      </c>
      <c r="I19694" t="s">
        <v>29</v>
      </c>
      <c r="J19694" t="s">
        <v>30</v>
      </c>
      <c r="K19694" t="s">
        <v>31</v>
      </c>
      <c r="M19694" t="s">
        <v>18470</v>
      </c>
      <c r="N19694" t="str">
        <f>"7/27/2023 9:13:00 AM"</f>
        <v>7/27/2023 9:13:00 AM</v>
      </c>
      <c r="O19694" t="s">
        <v>59972</v>
      </c>
      <c r="T19694" t="s">
        <v>59973</v>
      </c>
    </row>
    <row r="19695" spans="1:20" x14ac:dyDescent="0.25">
      <c r="A19695" t="str">
        <f>"3041997"</f>
        <v>3041997</v>
      </c>
      <c r="B19695" t="s">
        <v>60214</v>
      </c>
      <c r="C19695" t="str">
        <f>"82523743"</f>
        <v>82523743</v>
      </c>
      <c r="D19695" t="s">
        <v>59972</v>
      </c>
      <c r="E19695" t="s">
        <v>59973</v>
      </c>
      <c r="F19695" t="s">
        <v>59974</v>
      </c>
      <c r="I19695" t="s">
        <v>29</v>
      </c>
      <c r="J19695" t="s">
        <v>30</v>
      </c>
      <c r="K19695" t="s">
        <v>31</v>
      </c>
      <c r="M19695" t="s">
        <v>18470</v>
      </c>
      <c r="N19695" t="str">
        <f>"7/27/2023 9:13:00 AM"</f>
        <v>7/27/2023 9:13:00 AM</v>
      </c>
      <c r="O19695" t="s">
        <v>59972</v>
      </c>
      <c r="T19695" t="s">
        <v>59973</v>
      </c>
    </row>
    <row r="19696" spans="1:20" x14ac:dyDescent="0.25">
      <c r="A19696" t="str">
        <f>"3038971"</f>
        <v>3038971</v>
      </c>
      <c r="B19696" t="s">
        <v>60215</v>
      </c>
      <c r="C19696" t="str">
        <f>"8320667"</f>
        <v>8320667</v>
      </c>
      <c r="D19696" t="s">
        <v>60216</v>
      </c>
      <c r="F19696" t="s">
        <v>60217</v>
      </c>
      <c r="I19696" t="s">
        <v>402</v>
      </c>
      <c r="J19696" t="s">
        <v>30</v>
      </c>
      <c r="K19696" t="s">
        <v>60218</v>
      </c>
      <c r="M19696" t="s">
        <v>17861</v>
      </c>
      <c r="N19696" t="str">
        <f>"7/21/2023 11:26:00 AM"</f>
        <v>7/21/2023 11:26:00 AM</v>
      </c>
      <c r="O19696" t="s">
        <v>60216</v>
      </c>
    </row>
    <row r="19697" spans="1:20" x14ac:dyDescent="0.25">
      <c r="A19697" t="str">
        <f>"3053268"</f>
        <v>3053268</v>
      </c>
      <c r="B19697" t="s">
        <v>60219</v>
      </c>
      <c r="C19697" t="str">
        <f>"8314093"</f>
        <v>8314093</v>
      </c>
      <c r="D19697" t="s">
        <v>60220</v>
      </c>
      <c r="E19697" t="s">
        <v>60221</v>
      </c>
      <c r="F19697" t="s">
        <v>60222</v>
      </c>
      <c r="I19697" t="s">
        <v>29</v>
      </c>
      <c r="J19697" t="s">
        <v>30</v>
      </c>
      <c r="K19697" t="s">
        <v>60223</v>
      </c>
      <c r="M19697" t="s">
        <v>50621</v>
      </c>
      <c r="N19697" t="str">
        <f>"8/1/2023 11:50:00 AM"</f>
        <v>8/1/2023 11:50:00 AM</v>
      </c>
      <c r="O19697" t="s">
        <v>60220</v>
      </c>
      <c r="T19697" t="s">
        <v>60221</v>
      </c>
    </row>
    <row r="19698" spans="1:20" x14ac:dyDescent="0.25">
      <c r="A19698" t="str">
        <f>"3053707"</f>
        <v>3053707</v>
      </c>
      <c r="B19698" t="s">
        <v>60224</v>
      </c>
      <c r="C19698" t="str">
        <f>"8314093"</f>
        <v>8314093</v>
      </c>
      <c r="D19698" t="s">
        <v>60220</v>
      </c>
      <c r="E19698" t="s">
        <v>60221</v>
      </c>
      <c r="F19698" t="s">
        <v>60222</v>
      </c>
      <c r="I19698" t="s">
        <v>29</v>
      </c>
      <c r="J19698" t="s">
        <v>30</v>
      </c>
      <c r="K19698" t="s">
        <v>60223</v>
      </c>
      <c r="M19698" t="s">
        <v>50621</v>
      </c>
      <c r="N19698" t="str">
        <f>"8/1/2023 11:50:00 AM"</f>
        <v>8/1/2023 11:50:00 AM</v>
      </c>
      <c r="O19698" t="s">
        <v>60220</v>
      </c>
      <c r="T19698" t="s">
        <v>60221</v>
      </c>
    </row>
    <row r="19699" spans="1:20" x14ac:dyDescent="0.25">
      <c r="A19699" t="str">
        <f>"3058201"</f>
        <v>3058201</v>
      </c>
      <c r="B19699" t="s">
        <v>60225</v>
      </c>
      <c r="C19699" t="str">
        <f>"8315329"</f>
        <v>8315329</v>
      </c>
      <c r="D19699" t="s">
        <v>60226</v>
      </c>
      <c r="F19699" t="s">
        <v>60227</v>
      </c>
      <c r="I19699" t="s">
        <v>29</v>
      </c>
      <c r="J19699" t="s">
        <v>30</v>
      </c>
      <c r="K19699" t="s">
        <v>55926</v>
      </c>
      <c r="M19699" t="s">
        <v>50621</v>
      </c>
      <c r="N19699" t="str">
        <f>"8/1/2023 11:52:00 AM"</f>
        <v>8/1/2023 11:52:00 AM</v>
      </c>
      <c r="O19699" t="s">
        <v>60226</v>
      </c>
    </row>
    <row r="19700" spans="1:20" x14ac:dyDescent="0.25">
      <c r="A19700" t="str">
        <f>"3040980"</f>
        <v>3040980</v>
      </c>
      <c r="B19700" t="s">
        <v>60228</v>
      </c>
      <c r="C19700" t="str">
        <f>"82518512"</f>
        <v>82518512</v>
      </c>
      <c r="D19700" t="s">
        <v>60229</v>
      </c>
      <c r="F19700" t="s">
        <v>44001</v>
      </c>
      <c r="I19700" t="s">
        <v>184</v>
      </c>
      <c r="J19700" t="s">
        <v>30</v>
      </c>
      <c r="K19700" t="s">
        <v>20128</v>
      </c>
      <c r="M19700" t="s">
        <v>50621</v>
      </c>
      <c r="N19700" t="str">
        <f>"8/1/2023 11:56:00 AM"</f>
        <v>8/1/2023 11:56:00 AM</v>
      </c>
      <c r="O19700" t="s">
        <v>60229</v>
      </c>
    </row>
    <row r="19701" spans="1:20" x14ac:dyDescent="0.25">
      <c r="A19701" t="str">
        <f>"3049894"</f>
        <v>3049894</v>
      </c>
      <c r="B19701" t="s">
        <v>60230</v>
      </c>
      <c r="C19701" t="str">
        <f>"8312967"</f>
        <v>8312967</v>
      </c>
      <c r="D19701" t="s">
        <v>60231</v>
      </c>
      <c r="E19701" t="s">
        <v>60232</v>
      </c>
      <c r="F19701" t="s">
        <v>60233</v>
      </c>
      <c r="I19701" t="s">
        <v>29</v>
      </c>
      <c r="J19701" t="s">
        <v>30</v>
      </c>
      <c r="K19701" t="s">
        <v>60234</v>
      </c>
      <c r="M19701" t="s">
        <v>50621</v>
      </c>
      <c r="N19701" t="str">
        <f>"8/1/2023 11:58:00 AM"</f>
        <v>8/1/2023 11:58:00 AM</v>
      </c>
      <c r="O19701" t="s">
        <v>60231</v>
      </c>
      <c r="T19701" t="s">
        <v>60232</v>
      </c>
    </row>
    <row r="19702" spans="1:20" x14ac:dyDescent="0.25">
      <c r="A19702" t="str">
        <f>"3037327"</f>
        <v>3037327</v>
      </c>
      <c r="B19702" t="s">
        <v>60235</v>
      </c>
      <c r="C19702" t="str">
        <f>"8301816"</f>
        <v>8301816</v>
      </c>
      <c r="D19702" t="s">
        <v>60236</v>
      </c>
      <c r="E19702" t="s">
        <v>60237</v>
      </c>
      <c r="F19702" t="s">
        <v>60238</v>
      </c>
      <c r="I19702" t="s">
        <v>184</v>
      </c>
      <c r="J19702" t="s">
        <v>30</v>
      </c>
      <c r="K19702" t="s">
        <v>60239</v>
      </c>
      <c r="M19702" t="s">
        <v>50621</v>
      </c>
      <c r="N19702" t="str">
        <f>"8/1/2023 12:03:00 PM"</f>
        <v>8/1/2023 12:03:00 PM</v>
      </c>
      <c r="O19702" t="s">
        <v>60236</v>
      </c>
      <c r="T19702" t="s">
        <v>60237</v>
      </c>
    </row>
    <row r="19703" spans="1:20" x14ac:dyDescent="0.25">
      <c r="A19703" t="str">
        <f>"3055773"</f>
        <v>3055773</v>
      </c>
      <c r="B19703" t="s">
        <v>60240</v>
      </c>
      <c r="C19703" t="str">
        <f>"8313452"</f>
        <v>8313452</v>
      </c>
      <c r="D19703" t="s">
        <v>60241</v>
      </c>
      <c r="E19703" t="s">
        <v>60242</v>
      </c>
      <c r="F19703" t="s">
        <v>60243</v>
      </c>
      <c r="I19703" t="s">
        <v>964</v>
      </c>
      <c r="J19703" t="s">
        <v>30</v>
      </c>
      <c r="K19703" t="s">
        <v>60244</v>
      </c>
      <c r="M19703" t="s">
        <v>50621</v>
      </c>
      <c r="N19703" t="str">
        <f>"8/1/2023 12:08:00 PM"</f>
        <v>8/1/2023 12:08:00 PM</v>
      </c>
      <c r="O19703" t="s">
        <v>60241</v>
      </c>
      <c r="T19703" t="s">
        <v>60242</v>
      </c>
    </row>
    <row r="19704" spans="1:20" x14ac:dyDescent="0.25">
      <c r="A19704" t="str">
        <f>"3053682"</f>
        <v>3053682</v>
      </c>
      <c r="B19704" t="s">
        <v>60245</v>
      </c>
      <c r="C19704" t="str">
        <f>"82530735"</f>
        <v>82530735</v>
      </c>
      <c r="D19704" t="s">
        <v>60246</v>
      </c>
      <c r="F19704" t="s">
        <v>60247</v>
      </c>
      <c r="I19704" t="s">
        <v>29</v>
      </c>
      <c r="J19704" t="s">
        <v>30</v>
      </c>
      <c r="K19704" t="s">
        <v>14976</v>
      </c>
      <c r="M19704" t="s">
        <v>50621</v>
      </c>
      <c r="N19704" t="str">
        <f>"8/1/2023 12:12:00 PM"</f>
        <v>8/1/2023 12:12:00 PM</v>
      </c>
      <c r="O19704" t="s">
        <v>60246</v>
      </c>
    </row>
    <row r="19705" spans="1:20" x14ac:dyDescent="0.25">
      <c r="A19705" t="str">
        <f>"3065883"</f>
        <v>3065883</v>
      </c>
      <c r="B19705" t="s">
        <v>60248</v>
      </c>
      <c r="C19705" t="str">
        <f>"8319755"</f>
        <v>8319755</v>
      </c>
      <c r="D19705" t="s">
        <v>60249</v>
      </c>
      <c r="E19705" t="s">
        <v>60250</v>
      </c>
      <c r="F19705" t="s">
        <v>172</v>
      </c>
      <c r="I19705" t="s">
        <v>9580</v>
      </c>
      <c r="J19705" t="s">
        <v>30</v>
      </c>
      <c r="K19705" t="s">
        <v>60251</v>
      </c>
      <c r="M19705" t="s">
        <v>18479</v>
      </c>
      <c r="N19705" t="str">
        <f>"7/27/2023 10:47:00 AM"</f>
        <v>7/27/2023 10:47:00 AM</v>
      </c>
      <c r="O19705" t="s">
        <v>60249</v>
      </c>
      <c r="T19705" t="s">
        <v>60250</v>
      </c>
    </row>
    <row r="19706" spans="1:20" x14ac:dyDescent="0.25">
      <c r="A19706" t="str">
        <f>"3049690"</f>
        <v>3049690</v>
      </c>
      <c r="B19706" t="s">
        <v>60252</v>
      </c>
      <c r="C19706" t="str">
        <f>"8307512"</f>
        <v>8307512</v>
      </c>
      <c r="D19706" t="s">
        <v>60253</v>
      </c>
      <c r="F19706" t="s">
        <v>60254</v>
      </c>
      <c r="I19706" t="s">
        <v>29</v>
      </c>
      <c r="J19706" t="s">
        <v>30</v>
      </c>
      <c r="K19706" t="str">
        <f>"27028"</f>
        <v>27028</v>
      </c>
      <c r="M19706" t="s">
        <v>50793</v>
      </c>
      <c r="N19706" t="str">
        <f>"7/21/2023 11:50:00 AM"</f>
        <v>7/21/2023 11:50:00 AM</v>
      </c>
      <c r="O19706" t="s">
        <v>60253</v>
      </c>
    </row>
    <row r="19707" spans="1:20" x14ac:dyDescent="0.25">
      <c r="A19707" t="str">
        <f>"3048613"</f>
        <v>3048613</v>
      </c>
      <c r="B19707" t="s">
        <v>60255</v>
      </c>
      <c r="C19707" t="str">
        <f>"8315904"</f>
        <v>8315904</v>
      </c>
      <c r="D19707" t="s">
        <v>60256</v>
      </c>
      <c r="F19707" t="s">
        <v>60257</v>
      </c>
      <c r="I19707" t="s">
        <v>184</v>
      </c>
      <c r="J19707" t="s">
        <v>30</v>
      </c>
      <c r="K19707" t="s">
        <v>60258</v>
      </c>
      <c r="M19707" t="s">
        <v>50621</v>
      </c>
      <c r="N19707" t="str">
        <f>"8/1/2023 12:36:00 PM"</f>
        <v>8/1/2023 12:36:00 PM</v>
      </c>
      <c r="O19707" t="s">
        <v>60256</v>
      </c>
    </row>
    <row r="19708" spans="1:20" x14ac:dyDescent="0.25">
      <c r="A19708" t="str">
        <f>"3056055"</f>
        <v>3056055</v>
      </c>
      <c r="B19708" t="s">
        <v>60259</v>
      </c>
      <c r="C19708" t="str">
        <f>"8317124"</f>
        <v>8317124</v>
      </c>
      <c r="D19708" t="s">
        <v>60260</v>
      </c>
      <c r="E19708" t="s">
        <v>60261</v>
      </c>
      <c r="F19708" t="s">
        <v>60262</v>
      </c>
      <c r="I19708" t="s">
        <v>9580</v>
      </c>
      <c r="J19708" t="s">
        <v>30</v>
      </c>
      <c r="K19708" t="s">
        <v>60263</v>
      </c>
      <c r="M19708" t="s">
        <v>50621</v>
      </c>
      <c r="N19708" t="str">
        <f>"8/1/2023 12:39:00 PM"</f>
        <v>8/1/2023 12:39:00 PM</v>
      </c>
      <c r="O19708" t="s">
        <v>60260</v>
      </c>
      <c r="T19708" t="s">
        <v>60261</v>
      </c>
    </row>
    <row r="19709" spans="1:20" x14ac:dyDescent="0.25">
      <c r="A19709" t="str">
        <f>"3043616"</f>
        <v>3043616</v>
      </c>
      <c r="B19709" t="s">
        <v>60264</v>
      </c>
      <c r="C19709" t="str">
        <f>"8310429"</f>
        <v>8310429</v>
      </c>
      <c r="D19709" t="s">
        <v>60265</v>
      </c>
      <c r="E19709" t="s">
        <v>60266</v>
      </c>
      <c r="F19709" t="s">
        <v>60267</v>
      </c>
      <c r="I19709" t="s">
        <v>29</v>
      </c>
      <c r="J19709" t="s">
        <v>30</v>
      </c>
      <c r="K19709" t="s">
        <v>7286</v>
      </c>
      <c r="M19709" t="s">
        <v>50621</v>
      </c>
      <c r="N19709" t="str">
        <f>"8/1/2023 12:43:00 PM"</f>
        <v>8/1/2023 12:43:00 PM</v>
      </c>
      <c r="O19709" t="s">
        <v>60265</v>
      </c>
      <c r="T19709" t="s">
        <v>60266</v>
      </c>
    </row>
    <row r="19710" spans="1:20" x14ac:dyDescent="0.25">
      <c r="A19710" t="str">
        <f>"3053721"</f>
        <v>3053721</v>
      </c>
      <c r="B19710" t="s">
        <v>60268</v>
      </c>
      <c r="C19710" t="str">
        <f>"8305793"</f>
        <v>8305793</v>
      </c>
      <c r="D19710" t="s">
        <v>60269</v>
      </c>
      <c r="F19710" t="s">
        <v>60270</v>
      </c>
      <c r="I19710" t="s">
        <v>2291</v>
      </c>
      <c r="J19710" t="s">
        <v>30</v>
      </c>
      <c r="K19710" t="s">
        <v>60271</v>
      </c>
      <c r="M19710" t="s">
        <v>50621</v>
      </c>
      <c r="N19710" t="str">
        <f>"8/1/2023 12:45:00 PM"</f>
        <v>8/1/2023 12:45:00 PM</v>
      </c>
      <c r="O19710" t="s">
        <v>60269</v>
      </c>
    </row>
    <row r="19711" spans="1:20" x14ac:dyDescent="0.25">
      <c r="A19711" t="str">
        <f>"3047610"</f>
        <v>3047610</v>
      </c>
      <c r="B19711" t="s">
        <v>60272</v>
      </c>
      <c r="C19711" t="str">
        <f>"8314492"</f>
        <v>8314492</v>
      </c>
      <c r="D19711" t="s">
        <v>60273</v>
      </c>
      <c r="F19711" t="s">
        <v>60274</v>
      </c>
      <c r="G19711" t="s">
        <v>60275</v>
      </c>
      <c r="I19711" t="s">
        <v>402</v>
      </c>
      <c r="J19711" t="s">
        <v>30</v>
      </c>
      <c r="K19711" t="s">
        <v>60276</v>
      </c>
      <c r="M19711" t="s">
        <v>50793</v>
      </c>
      <c r="N19711" t="str">
        <f>"8/2/2023 10:45:00 AM"</f>
        <v>8/2/2023 10:45:00 AM</v>
      </c>
      <c r="O19711" t="s">
        <v>60273</v>
      </c>
    </row>
    <row r="19712" spans="1:20" x14ac:dyDescent="0.25">
      <c r="A19712" t="str">
        <f>"3050121"</f>
        <v>3050121</v>
      </c>
      <c r="B19712" t="s">
        <v>60277</v>
      </c>
      <c r="C19712" t="str">
        <f>"8307512"</f>
        <v>8307512</v>
      </c>
      <c r="D19712" t="s">
        <v>60253</v>
      </c>
      <c r="F19712" t="s">
        <v>60254</v>
      </c>
      <c r="I19712" t="s">
        <v>29</v>
      </c>
      <c r="J19712" t="s">
        <v>30</v>
      </c>
      <c r="K19712" t="str">
        <f>"27028"</f>
        <v>27028</v>
      </c>
      <c r="M19712" t="s">
        <v>50793</v>
      </c>
      <c r="N19712" t="str">
        <f>"7/21/2023 11:50:00 AM"</f>
        <v>7/21/2023 11:50:00 AM</v>
      </c>
      <c r="O19712" t="s">
        <v>60253</v>
      </c>
    </row>
    <row r="19713" spans="1:20" x14ac:dyDescent="0.25">
      <c r="A19713" t="str">
        <f>"3053933"</f>
        <v>3053933</v>
      </c>
      <c r="B19713" t="s">
        <v>60278</v>
      </c>
      <c r="C19713" t="str">
        <f>"8320668"</f>
        <v>8320668</v>
      </c>
      <c r="D19713" t="s">
        <v>60279</v>
      </c>
      <c r="F19713" t="s">
        <v>60280</v>
      </c>
      <c r="I19713" t="s">
        <v>23961</v>
      </c>
      <c r="J19713" t="s">
        <v>30</v>
      </c>
      <c r="K19713" t="s">
        <v>60281</v>
      </c>
      <c r="M19713" t="s">
        <v>17861</v>
      </c>
      <c r="N19713" t="str">
        <f>"7/21/2023 12:45:00 PM"</f>
        <v>7/21/2023 12:45:00 PM</v>
      </c>
      <c r="O19713" t="s">
        <v>60279</v>
      </c>
    </row>
    <row r="19714" spans="1:20" x14ac:dyDescent="0.25">
      <c r="A19714" t="str">
        <f>"3043899"</f>
        <v>3043899</v>
      </c>
      <c r="B19714" t="s">
        <v>60282</v>
      </c>
      <c r="C19714" t="str">
        <f>"8320697"</f>
        <v>8320697</v>
      </c>
      <c r="D19714" t="s">
        <v>60283</v>
      </c>
      <c r="E19714" t="s">
        <v>60284</v>
      </c>
      <c r="F19714" t="s">
        <v>8248</v>
      </c>
      <c r="I19714" t="s">
        <v>184</v>
      </c>
      <c r="J19714" t="s">
        <v>30</v>
      </c>
      <c r="K19714" t="s">
        <v>60285</v>
      </c>
      <c r="M19714" t="s">
        <v>17861</v>
      </c>
      <c r="N19714" t="str">
        <f>"7/28/2023 3:01:00 PM"</f>
        <v>7/28/2023 3:01:00 PM</v>
      </c>
      <c r="O19714" t="s">
        <v>60283</v>
      </c>
      <c r="T19714" t="s">
        <v>60284</v>
      </c>
    </row>
    <row r="19715" spans="1:20" x14ac:dyDescent="0.25">
      <c r="A19715" t="str">
        <f>"3048590"</f>
        <v>3048590</v>
      </c>
      <c r="B19715" t="s">
        <v>60286</v>
      </c>
      <c r="C19715" t="str">
        <f>"8308759"</f>
        <v>8308759</v>
      </c>
      <c r="D19715" t="s">
        <v>60287</v>
      </c>
      <c r="E19715" t="s">
        <v>60288</v>
      </c>
      <c r="F19715" t="s">
        <v>60289</v>
      </c>
      <c r="I19715" t="s">
        <v>24359</v>
      </c>
      <c r="J19715" t="s">
        <v>30</v>
      </c>
      <c r="K19715" t="str">
        <f>"27006"</f>
        <v>27006</v>
      </c>
      <c r="M19715" t="s">
        <v>50621</v>
      </c>
      <c r="N19715" t="str">
        <f>"8/2/2023 2:24:00 PM"</f>
        <v>8/2/2023 2:24:00 PM</v>
      </c>
      <c r="O19715" t="s">
        <v>60287</v>
      </c>
      <c r="T19715" t="s">
        <v>60288</v>
      </c>
    </row>
    <row r="19716" spans="1:20" x14ac:dyDescent="0.25">
      <c r="A19716" t="str">
        <f>"3059558"</f>
        <v>3059558</v>
      </c>
      <c r="B19716" t="s">
        <v>60290</v>
      </c>
      <c r="C19716" t="str">
        <f>"8311960"</f>
        <v>8311960</v>
      </c>
      <c r="D19716" t="str">
        <f>"ROMERO JOSE R Z/DE ZELAYA JENN"</f>
        <v>ROMERO JOSE R Z/DE ZELAYA JENN</v>
      </c>
      <c r="E19716" t="s">
        <v>60291</v>
      </c>
      <c r="F19716" t="s">
        <v>58065</v>
      </c>
      <c r="I19716" t="s">
        <v>29</v>
      </c>
      <c r="J19716" t="s">
        <v>30</v>
      </c>
      <c r="K19716" t="s">
        <v>11886</v>
      </c>
      <c r="M19716" t="s">
        <v>50621</v>
      </c>
      <c r="N19716" t="str">
        <f>"8/2/2023 2:25:00 PM"</f>
        <v>8/2/2023 2:25:00 PM</v>
      </c>
      <c r="O19716" t="str">
        <f>"ROMERO JOSE R Z/DE ZELAYA JENN"</f>
        <v>ROMERO JOSE R Z/DE ZELAYA JENN</v>
      </c>
      <c r="T19716" t="s">
        <v>60291</v>
      </c>
    </row>
    <row r="19717" spans="1:20" x14ac:dyDescent="0.25">
      <c r="A19717" t="str">
        <f>"3061712"</f>
        <v>3061712</v>
      </c>
      <c r="B19717" t="s">
        <v>60292</v>
      </c>
      <c r="C19717" t="str">
        <f>"82516748"</f>
        <v>82516748</v>
      </c>
      <c r="D19717" t="s">
        <v>60293</v>
      </c>
      <c r="E19717" t="s">
        <v>60294</v>
      </c>
      <c r="F19717" t="s">
        <v>60295</v>
      </c>
      <c r="I19717" t="s">
        <v>471</v>
      </c>
      <c r="J19717" t="s">
        <v>30</v>
      </c>
      <c r="K19717" t="s">
        <v>60296</v>
      </c>
      <c r="M19717" t="s">
        <v>50621</v>
      </c>
      <c r="N19717" t="str">
        <f>"8/2/2023 2:29:00 PM"</f>
        <v>8/2/2023 2:29:00 PM</v>
      </c>
      <c r="O19717" t="s">
        <v>60293</v>
      </c>
      <c r="T19717" t="s">
        <v>60294</v>
      </c>
    </row>
    <row r="19718" spans="1:20" x14ac:dyDescent="0.25">
      <c r="A19718" t="str">
        <f>"3061132"</f>
        <v>3061132</v>
      </c>
      <c r="B19718" t="s">
        <v>60297</v>
      </c>
      <c r="C19718" t="str">
        <f>"8303369"</f>
        <v>8303369</v>
      </c>
      <c r="D19718" t="s">
        <v>60298</v>
      </c>
      <c r="F19718" t="s">
        <v>60299</v>
      </c>
      <c r="I19718" t="s">
        <v>10172</v>
      </c>
      <c r="J19718" t="s">
        <v>30</v>
      </c>
      <c r="K19718" t="s">
        <v>60300</v>
      </c>
      <c r="M19718" t="s">
        <v>50621</v>
      </c>
      <c r="N19718" t="str">
        <f>"8/2/2023 2:30:00 PM"</f>
        <v>8/2/2023 2:30:00 PM</v>
      </c>
      <c r="O19718" t="s">
        <v>60298</v>
      </c>
    </row>
    <row r="19719" spans="1:20" x14ac:dyDescent="0.25">
      <c r="A19719" t="str">
        <f>"3056945"</f>
        <v>3056945</v>
      </c>
      <c r="B19719" t="s">
        <v>60301</v>
      </c>
      <c r="C19719" t="str">
        <f>"40119000"</f>
        <v>40119000</v>
      </c>
      <c r="D19719" t="s">
        <v>56318</v>
      </c>
      <c r="F19719" t="s">
        <v>60302</v>
      </c>
      <c r="I19719" t="s">
        <v>29</v>
      </c>
      <c r="J19719" t="s">
        <v>30</v>
      </c>
      <c r="K19719" t="s">
        <v>47425</v>
      </c>
      <c r="M19719" t="s">
        <v>50621</v>
      </c>
      <c r="N19719" t="str">
        <f>"8/2/2023 2:33:00 PM"</f>
        <v>8/2/2023 2:33:00 PM</v>
      </c>
      <c r="O19719" t="s">
        <v>56318</v>
      </c>
    </row>
    <row r="19720" spans="1:20" x14ac:dyDescent="0.25">
      <c r="A19720" t="str">
        <f>"3058390"</f>
        <v>3058390</v>
      </c>
      <c r="B19720" t="s">
        <v>60303</v>
      </c>
      <c r="C19720" t="str">
        <f>"8314003"</f>
        <v>8314003</v>
      </c>
      <c r="D19720" t="s">
        <v>60304</v>
      </c>
      <c r="E19720" t="s">
        <v>60305</v>
      </c>
      <c r="F19720" t="s">
        <v>60306</v>
      </c>
      <c r="I19720" t="s">
        <v>29</v>
      </c>
      <c r="J19720" t="s">
        <v>30</v>
      </c>
      <c r="K19720" t="s">
        <v>10268</v>
      </c>
      <c r="M19720" t="s">
        <v>50621</v>
      </c>
      <c r="N19720" t="str">
        <f>"8/2/2023 2:35:00 PM"</f>
        <v>8/2/2023 2:35:00 PM</v>
      </c>
      <c r="O19720" t="s">
        <v>60304</v>
      </c>
      <c r="T19720" t="s">
        <v>60305</v>
      </c>
    </row>
    <row r="19721" spans="1:20" x14ac:dyDescent="0.25">
      <c r="A19721" t="str">
        <f>"3053952"</f>
        <v>3053952</v>
      </c>
      <c r="B19721" t="s">
        <v>60307</v>
      </c>
      <c r="C19721" t="str">
        <f>"82517522"</f>
        <v>82517522</v>
      </c>
      <c r="D19721" t="s">
        <v>60308</v>
      </c>
      <c r="E19721" t="s">
        <v>60309</v>
      </c>
      <c r="F19721" t="s">
        <v>60310</v>
      </c>
      <c r="I19721" t="s">
        <v>2275</v>
      </c>
      <c r="J19721" t="s">
        <v>30</v>
      </c>
      <c r="K19721" t="s">
        <v>60311</v>
      </c>
      <c r="M19721" t="s">
        <v>50621</v>
      </c>
      <c r="N19721" t="str">
        <f>"8/2/2023 2:39:00 PM"</f>
        <v>8/2/2023 2:39:00 PM</v>
      </c>
      <c r="O19721" t="s">
        <v>60308</v>
      </c>
      <c r="T19721" t="s">
        <v>60309</v>
      </c>
    </row>
    <row r="19722" spans="1:20" x14ac:dyDescent="0.25">
      <c r="A19722" t="str">
        <f>"3046826"</f>
        <v>3046826</v>
      </c>
      <c r="B19722" t="s">
        <v>60312</v>
      </c>
      <c r="C19722" t="str">
        <f>"8301274"</f>
        <v>8301274</v>
      </c>
      <c r="D19722" t="s">
        <v>60313</v>
      </c>
      <c r="E19722" t="s">
        <v>60314</v>
      </c>
      <c r="F19722" t="s">
        <v>60315</v>
      </c>
      <c r="I19722" t="s">
        <v>29</v>
      </c>
      <c r="J19722" t="s">
        <v>30</v>
      </c>
      <c r="K19722" t="s">
        <v>8466</v>
      </c>
      <c r="M19722" t="s">
        <v>50621</v>
      </c>
      <c r="N19722" t="str">
        <f>"8/2/2023 2:46:00 PM"</f>
        <v>8/2/2023 2:46:00 PM</v>
      </c>
      <c r="O19722" t="s">
        <v>60313</v>
      </c>
      <c r="T19722" t="s">
        <v>60314</v>
      </c>
    </row>
    <row r="19723" spans="1:20" x14ac:dyDescent="0.25">
      <c r="A19723" t="str">
        <f>"3052085"</f>
        <v>3052085</v>
      </c>
      <c r="B19723" t="s">
        <v>60316</v>
      </c>
      <c r="C19723" t="str">
        <f>"82529609"</f>
        <v>82529609</v>
      </c>
      <c r="D19723" t="s">
        <v>60317</v>
      </c>
      <c r="F19723" t="s">
        <v>60318</v>
      </c>
      <c r="I19723" t="s">
        <v>29</v>
      </c>
      <c r="J19723" t="s">
        <v>30</v>
      </c>
      <c r="K19723" t="s">
        <v>60319</v>
      </c>
      <c r="M19723" t="s">
        <v>50621</v>
      </c>
      <c r="N19723" t="str">
        <f>"8/2/2023 2:48:00 PM"</f>
        <v>8/2/2023 2:48:00 PM</v>
      </c>
      <c r="O19723" t="s">
        <v>60317</v>
      </c>
    </row>
    <row r="19724" spans="1:20" x14ac:dyDescent="0.25">
      <c r="A19724" t="str">
        <f>"3037701"</f>
        <v>3037701</v>
      </c>
      <c r="B19724" t="s">
        <v>60320</v>
      </c>
      <c r="C19724" t="str">
        <f>"8320705"</f>
        <v>8320705</v>
      </c>
      <c r="D19724" t="s">
        <v>60321</v>
      </c>
      <c r="F19724" t="s">
        <v>60322</v>
      </c>
      <c r="I19724" t="s">
        <v>49</v>
      </c>
      <c r="J19724" t="s">
        <v>30</v>
      </c>
      <c r="K19724" t="s">
        <v>60323</v>
      </c>
      <c r="M19724" t="s">
        <v>17861</v>
      </c>
      <c r="N19724" t="str">
        <f>"7/28/2023 4:26:00 PM"</f>
        <v>7/28/2023 4:26:00 PM</v>
      </c>
      <c r="O19724" t="s">
        <v>60321</v>
      </c>
    </row>
    <row r="19725" spans="1:20" x14ac:dyDescent="0.25">
      <c r="A19725" t="str">
        <f>"3055324"</f>
        <v>3055324</v>
      </c>
      <c r="B19725" t="s">
        <v>60324</v>
      </c>
      <c r="C19725" t="str">
        <f>"8309490"</f>
        <v>8309490</v>
      </c>
      <c r="D19725" t="s">
        <v>60325</v>
      </c>
      <c r="E19725" t="s">
        <v>60326</v>
      </c>
      <c r="F19725" t="s">
        <v>60327</v>
      </c>
      <c r="I19725" t="s">
        <v>29</v>
      </c>
      <c r="J19725" t="s">
        <v>30</v>
      </c>
      <c r="K19725" t="s">
        <v>52301</v>
      </c>
      <c r="M19725" t="s">
        <v>52111</v>
      </c>
      <c r="N19725" t="str">
        <f>"7/31/2023 9:07:00 AM"</f>
        <v>7/31/2023 9:07:00 AM</v>
      </c>
      <c r="O19725" t="s">
        <v>60325</v>
      </c>
      <c r="T19725" t="s">
        <v>60326</v>
      </c>
    </row>
    <row r="19726" spans="1:20" x14ac:dyDescent="0.25">
      <c r="A19726" t="str">
        <f>"3058083"</f>
        <v>3058083</v>
      </c>
      <c r="B19726" t="s">
        <v>60328</v>
      </c>
      <c r="C19726" t="str">
        <f>"82520626"</f>
        <v>82520626</v>
      </c>
      <c r="D19726" t="s">
        <v>60329</v>
      </c>
      <c r="E19726" t="s">
        <v>60330</v>
      </c>
      <c r="F19726" t="s">
        <v>60331</v>
      </c>
      <c r="I19726" t="s">
        <v>184</v>
      </c>
      <c r="J19726" t="s">
        <v>30</v>
      </c>
      <c r="K19726" t="s">
        <v>35466</v>
      </c>
      <c r="M19726" t="s">
        <v>50621</v>
      </c>
      <c r="N19726" t="str">
        <f>"7/31/2023 3:17:00 PM"</f>
        <v>7/31/2023 3:17:00 PM</v>
      </c>
      <c r="O19726" t="s">
        <v>60329</v>
      </c>
      <c r="T19726" t="s">
        <v>60330</v>
      </c>
    </row>
    <row r="19727" spans="1:20" x14ac:dyDescent="0.25">
      <c r="A19727" t="str">
        <f>"3045296"</f>
        <v>3045296</v>
      </c>
      <c r="B19727" t="s">
        <v>60332</v>
      </c>
      <c r="C19727" t="str">
        <f>"8316223"</f>
        <v>8316223</v>
      </c>
      <c r="D19727" t="s">
        <v>60333</v>
      </c>
      <c r="E19727" t="s">
        <v>60334</v>
      </c>
      <c r="F19727" t="s">
        <v>60335</v>
      </c>
      <c r="I19727" t="s">
        <v>29</v>
      </c>
      <c r="J19727" t="s">
        <v>30</v>
      </c>
      <c r="K19727" t="s">
        <v>19682</v>
      </c>
      <c r="M19727" t="s">
        <v>50621</v>
      </c>
      <c r="N19727" t="str">
        <f>"8/1/2023 10:25:00 AM"</f>
        <v>8/1/2023 10:25:00 AM</v>
      </c>
      <c r="O19727" t="s">
        <v>60333</v>
      </c>
      <c r="T19727" t="s">
        <v>60334</v>
      </c>
    </row>
    <row r="19728" spans="1:20" x14ac:dyDescent="0.25">
      <c r="A19728" t="str">
        <f>"3053470"</f>
        <v>3053470</v>
      </c>
      <c r="B19728" t="s">
        <v>60336</v>
      </c>
      <c r="C19728" t="str">
        <f>"82519829"</f>
        <v>82519829</v>
      </c>
      <c r="D19728" t="s">
        <v>60156</v>
      </c>
      <c r="F19728" t="s">
        <v>60157</v>
      </c>
      <c r="I19728" t="s">
        <v>29</v>
      </c>
      <c r="J19728" t="s">
        <v>30</v>
      </c>
      <c r="K19728" t="s">
        <v>60158</v>
      </c>
      <c r="M19728" t="s">
        <v>50621</v>
      </c>
      <c r="N19728" t="str">
        <f>"8/1/2023 10:36:00 AM"</f>
        <v>8/1/2023 10:36:00 AM</v>
      </c>
      <c r="O19728" t="s">
        <v>60156</v>
      </c>
    </row>
    <row r="19729" spans="1:20" x14ac:dyDescent="0.25">
      <c r="A19729" t="str">
        <f>"3055723"</f>
        <v>3055723</v>
      </c>
      <c r="B19729" t="s">
        <v>60337</v>
      </c>
      <c r="C19729" t="str">
        <f>"8309102"</f>
        <v>8309102</v>
      </c>
      <c r="D19729" t="s">
        <v>60338</v>
      </c>
      <c r="F19729" t="s">
        <v>60339</v>
      </c>
      <c r="I19729" t="s">
        <v>9580</v>
      </c>
      <c r="J19729" t="s">
        <v>30</v>
      </c>
      <c r="K19729" t="s">
        <v>60340</v>
      </c>
      <c r="M19729" t="s">
        <v>50621</v>
      </c>
      <c r="N19729" t="str">
        <f>"8/1/2023 11:28:00 AM"</f>
        <v>8/1/2023 11:28:00 AM</v>
      </c>
      <c r="O19729" t="s">
        <v>60338</v>
      </c>
    </row>
    <row r="19730" spans="1:20" x14ac:dyDescent="0.25">
      <c r="A19730" t="str">
        <f>"3056137"</f>
        <v>3056137</v>
      </c>
      <c r="B19730" t="s">
        <v>60341</v>
      </c>
      <c r="C19730" t="str">
        <f>"8318546"</f>
        <v>8318546</v>
      </c>
      <c r="D19730" t="s">
        <v>60342</v>
      </c>
      <c r="F19730" t="s">
        <v>60343</v>
      </c>
      <c r="I19730" t="s">
        <v>9580</v>
      </c>
      <c r="J19730" t="s">
        <v>30</v>
      </c>
      <c r="K19730" t="s">
        <v>60344</v>
      </c>
      <c r="M19730" t="s">
        <v>50621</v>
      </c>
      <c r="N19730" t="str">
        <f>"8/1/2023 11:31:00 AM"</f>
        <v>8/1/2023 11:31:00 AM</v>
      </c>
      <c r="O19730" t="s">
        <v>60342</v>
      </c>
    </row>
    <row r="19731" spans="1:20" x14ac:dyDescent="0.25">
      <c r="A19731" t="str">
        <f>"3055776"</f>
        <v>3055776</v>
      </c>
      <c r="B19731" t="s">
        <v>60345</v>
      </c>
      <c r="C19731" t="str">
        <f>"8306629"</f>
        <v>8306629</v>
      </c>
      <c r="D19731" t="s">
        <v>60346</v>
      </c>
      <c r="E19731" t="s">
        <v>60347</v>
      </c>
      <c r="F19731" t="s">
        <v>60348</v>
      </c>
      <c r="I19731" t="s">
        <v>9580</v>
      </c>
      <c r="J19731" t="s">
        <v>30</v>
      </c>
      <c r="K19731" t="s">
        <v>60349</v>
      </c>
      <c r="M19731" t="s">
        <v>50621</v>
      </c>
      <c r="N19731" t="str">
        <f>"8/1/2023 11:33:00 AM"</f>
        <v>8/1/2023 11:33:00 AM</v>
      </c>
      <c r="O19731" t="s">
        <v>60346</v>
      </c>
      <c r="T19731" t="s">
        <v>60347</v>
      </c>
    </row>
    <row r="19732" spans="1:20" x14ac:dyDescent="0.25">
      <c r="A19732" t="str">
        <f>"3056053"</f>
        <v>3056053</v>
      </c>
      <c r="B19732" t="s">
        <v>60350</v>
      </c>
      <c r="C19732" t="str">
        <f>"8316589"</f>
        <v>8316589</v>
      </c>
      <c r="D19732" t="s">
        <v>60351</v>
      </c>
      <c r="E19732" t="s">
        <v>60352</v>
      </c>
      <c r="F19732" t="s">
        <v>60353</v>
      </c>
      <c r="I19732" t="s">
        <v>9580</v>
      </c>
      <c r="J19732" t="s">
        <v>30</v>
      </c>
      <c r="K19732" t="s">
        <v>60354</v>
      </c>
      <c r="M19732" t="s">
        <v>50621</v>
      </c>
      <c r="N19732" t="str">
        <f>"8/1/2023 11:36:00 AM"</f>
        <v>8/1/2023 11:36:00 AM</v>
      </c>
      <c r="O19732" t="s">
        <v>60351</v>
      </c>
      <c r="T19732" t="s">
        <v>60352</v>
      </c>
    </row>
    <row r="19733" spans="1:20" x14ac:dyDescent="0.25">
      <c r="A19733" t="str">
        <f>"3048432"</f>
        <v>3048432</v>
      </c>
      <c r="B19733" t="s">
        <v>60355</v>
      </c>
      <c r="C19733" t="str">
        <f>"82530351"</f>
        <v>82530351</v>
      </c>
      <c r="D19733" t="s">
        <v>60356</v>
      </c>
      <c r="F19733" t="s">
        <v>60357</v>
      </c>
      <c r="G19733" t="s">
        <v>60358</v>
      </c>
      <c r="I19733" t="s">
        <v>2737</v>
      </c>
      <c r="J19733" t="s">
        <v>2738</v>
      </c>
      <c r="K19733" t="s">
        <v>60359</v>
      </c>
      <c r="M19733" t="s">
        <v>50621</v>
      </c>
      <c r="N19733" t="str">
        <f>"8/2/2023 3:18:00 PM"</f>
        <v>8/2/2023 3:18:00 PM</v>
      </c>
      <c r="O19733" t="s">
        <v>60356</v>
      </c>
    </row>
    <row r="19734" spans="1:20" x14ac:dyDescent="0.25">
      <c r="A19734" t="str">
        <f>"3044413"</f>
        <v>3044413</v>
      </c>
      <c r="B19734" t="s">
        <v>60360</v>
      </c>
      <c r="C19734" t="str">
        <f>"8314422"</f>
        <v>8314422</v>
      </c>
      <c r="D19734" t="s">
        <v>60361</v>
      </c>
      <c r="E19734" t="s">
        <v>60362</v>
      </c>
      <c r="F19734" t="s">
        <v>60363</v>
      </c>
      <c r="I19734" t="s">
        <v>184</v>
      </c>
      <c r="J19734" t="s">
        <v>30</v>
      </c>
      <c r="K19734" t="s">
        <v>5886</v>
      </c>
      <c r="M19734" t="s">
        <v>50621</v>
      </c>
      <c r="N19734" t="str">
        <f>"8/3/2023 10:56:00 AM"</f>
        <v>8/3/2023 10:56:00 AM</v>
      </c>
      <c r="O19734" t="s">
        <v>60361</v>
      </c>
      <c r="T19734" t="s">
        <v>60362</v>
      </c>
    </row>
    <row r="19735" spans="1:20" x14ac:dyDescent="0.25">
      <c r="A19735" t="str">
        <f>"3041207"</f>
        <v>3041207</v>
      </c>
      <c r="B19735" t="s">
        <v>60364</v>
      </c>
      <c r="C19735" t="str">
        <f>"82518658"</f>
        <v>82518658</v>
      </c>
      <c r="D19735" t="s">
        <v>27869</v>
      </c>
      <c r="F19735" t="s">
        <v>60365</v>
      </c>
      <c r="I19735" t="s">
        <v>471</v>
      </c>
      <c r="J19735" t="s">
        <v>30</v>
      </c>
      <c r="K19735" t="s">
        <v>1210</v>
      </c>
      <c r="M19735" t="s">
        <v>32801</v>
      </c>
      <c r="N19735" t="str">
        <f>"8/3/2023 1:10:00 PM"</f>
        <v>8/3/2023 1:10:00 PM</v>
      </c>
      <c r="O19735" t="s">
        <v>27869</v>
      </c>
      <c r="T19735" t="s">
        <v>27869</v>
      </c>
    </row>
    <row r="19736" spans="1:20" x14ac:dyDescent="0.25">
      <c r="A19736" t="str">
        <f>"3041197"</f>
        <v>3041197</v>
      </c>
      <c r="B19736" t="s">
        <v>60366</v>
      </c>
      <c r="C19736" t="str">
        <f>"82518658"</f>
        <v>82518658</v>
      </c>
      <c r="D19736" t="s">
        <v>27869</v>
      </c>
      <c r="F19736" t="s">
        <v>60365</v>
      </c>
      <c r="I19736" t="s">
        <v>471</v>
      </c>
      <c r="J19736" t="s">
        <v>30</v>
      </c>
      <c r="K19736" t="s">
        <v>1210</v>
      </c>
      <c r="M19736" t="s">
        <v>32801</v>
      </c>
      <c r="N19736" t="str">
        <f>"8/3/2023 1:10:00 PM"</f>
        <v>8/3/2023 1:10:00 PM</v>
      </c>
      <c r="O19736" t="s">
        <v>27869</v>
      </c>
      <c r="T19736" t="s">
        <v>27869</v>
      </c>
    </row>
    <row r="19737" spans="1:20" x14ac:dyDescent="0.25">
      <c r="A19737" t="str">
        <f>"3049458"</f>
        <v>3049458</v>
      </c>
      <c r="B19737" t="s">
        <v>60367</v>
      </c>
      <c r="C19737" t="str">
        <f>"8315169"</f>
        <v>8315169</v>
      </c>
      <c r="D19737" t="s">
        <v>60368</v>
      </c>
      <c r="E19737" t="s">
        <v>60369</v>
      </c>
      <c r="F19737" t="s">
        <v>60370</v>
      </c>
      <c r="I19737" t="s">
        <v>17921</v>
      </c>
      <c r="J19737" t="s">
        <v>30</v>
      </c>
      <c r="K19737" t="s">
        <v>47435</v>
      </c>
      <c r="M19737" t="s">
        <v>32801</v>
      </c>
      <c r="N19737" t="str">
        <f>"8/3/2023 2:11:00 PM"</f>
        <v>8/3/2023 2:11:00 PM</v>
      </c>
      <c r="O19737" t="s">
        <v>60368</v>
      </c>
      <c r="T19737" t="s">
        <v>60369</v>
      </c>
    </row>
    <row r="19738" spans="1:20" x14ac:dyDescent="0.25">
      <c r="A19738" t="str">
        <f>"3049920"</f>
        <v>3049920</v>
      </c>
      <c r="B19738" t="s">
        <v>60371</v>
      </c>
      <c r="C19738" t="str">
        <f>"8315169"</f>
        <v>8315169</v>
      </c>
      <c r="D19738" t="s">
        <v>60368</v>
      </c>
      <c r="E19738" t="s">
        <v>60369</v>
      </c>
      <c r="F19738" t="s">
        <v>60370</v>
      </c>
      <c r="I19738" t="s">
        <v>17921</v>
      </c>
      <c r="J19738" t="s">
        <v>30</v>
      </c>
      <c r="K19738" t="s">
        <v>47435</v>
      </c>
      <c r="M19738" t="s">
        <v>32801</v>
      </c>
      <c r="N19738" t="str">
        <f>"8/3/2023 2:11:00 PM"</f>
        <v>8/3/2023 2:11:00 PM</v>
      </c>
      <c r="O19738" t="s">
        <v>60368</v>
      </c>
      <c r="T19738" t="s">
        <v>60369</v>
      </c>
    </row>
    <row r="19739" spans="1:20" x14ac:dyDescent="0.25">
      <c r="A19739" t="str">
        <f>"3060903"</f>
        <v>3060903</v>
      </c>
      <c r="B19739" t="s">
        <v>60372</v>
      </c>
      <c r="C19739" t="str">
        <f>"8306820"</f>
        <v>8306820</v>
      </c>
      <c r="D19739" t="s">
        <v>60373</v>
      </c>
      <c r="F19739" t="s">
        <v>60374</v>
      </c>
      <c r="I19739" t="s">
        <v>184</v>
      </c>
      <c r="J19739" t="s">
        <v>30</v>
      </c>
      <c r="K19739" t="s">
        <v>56053</v>
      </c>
      <c r="M19739" t="s">
        <v>50621</v>
      </c>
      <c r="N19739" t="str">
        <f>"8/1/2023 11:38:00 AM"</f>
        <v>8/1/2023 11:38:00 AM</v>
      </c>
      <c r="O19739" t="s">
        <v>60373</v>
      </c>
    </row>
    <row r="19740" spans="1:20" x14ac:dyDescent="0.25">
      <c r="A19740" t="str">
        <f>"3050307"</f>
        <v>3050307</v>
      </c>
      <c r="B19740" t="s">
        <v>60375</v>
      </c>
      <c r="C19740" t="str">
        <f>"8680500"</f>
        <v>8680500</v>
      </c>
      <c r="D19740" t="s">
        <v>60376</v>
      </c>
      <c r="E19740" t="s">
        <v>27352</v>
      </c>
      <c r="F19740" t="s">
        <v>60377</v>
      </c>
      <c r="I19740" t="s">
        <v>29</v>
      </c>
      <c r="J19740" t="s">
        <v>30</v>
      </c>
      <c r="K19740" t="s">
        <v>60378</v>
      </c>
      <c r="M19740" t="s">
        <v>50621</v>
      </c>
      <c r="N19740" t="str">
        <f>"8/1/2023 11:43:00 AM"</f>
        <v>8/1/2023 11:43:00 AM</v>
      </c>
      <c r="O19740" t="s">
        <v>60376</v>
      </c>
      <c r="T19740" t="s">
        <v>27352</v>
      </c>
    </row>
    <row r="19741" spans="1:20" x14ac:dyDescent="0.25">
      <c r="A19741" t="str">
        <f>"3049600"</f>
        <v>3049600</v>
      </c>
      <c r="B19741" t="s">
        <v>60379</v>
      </c>
      <c r="C19741" t="str">
        <f>"8680000"</f>
        <v>8680000</v>
      </c>
      <c r="D19741" t="s">
        <v>60376</v>
      </c>
      <c r="F19741" t="s">
        <v>60377</v>
      </c>
      <c r="I19741" t="s">
        <v>29</v>
      </c>
      <c r="J19741" t="s">
        <v>30</v>
      </c>
      <c r="K19741" t="s">
        <v>60378</v>
      </c>
      <c r="M19741" t="s">
        <v>50621</v>
      </c>
      <c r="N19741" t="str">
        <f>"8/1/2023 11:43:00 AM"</f>
        <v>8/1/2023 11:43:00 AM</v>
      </c>
      <c r="O19741" t="s">
        <v>60376</v>
      </c>
    </row>
    <row r="19742" spans="1:20" x14ac:dyDescent="0.25">
      <c r="A19742" t="str">
        <f>"3046630"</f>
        <v>3046630</v>
      </c>
      <c r="B19742" t="s">
        <v>60380</v>
      </c>
      <c r="C19742" t="str">
        <f>"40076000"</f>
        <v>40076000</v>
      </c>
      <c r="D19742" t="s">
        <v>60381</v>
      </c>
      <c r="F19742" t="str">
        <f>"C/O RUBY LEACH"</f>
        <v>C/O RUBY LEACH</v>
      </c>
      <c r="G19742" t="s">
        <v>60382</v>
      </c>
      <c r="I19742" t="s">
        <v>184</v>
      </c>
      <c r="J19742" t="s">
        <v>30</v>
      </c>
      <c r="K19742" t="s">
        <v>185</v>
      </c>
      <c r="M19742" t="s">
        <v>50621</v>
      </c>
      <c r="N19742" t="str">
        <f>"8/1/2023 11:46:00 AM"</f>
        <v>8/1/2023 11:46:00 AM</v>
      </c>
      <c r="O19742" t="s">
        <v>60381</v>
      </c>
    </row>
    <row r="19743" spans="1:20" x14ac:dyDescent="0.25">
      <c r="A19743" t="str">
        <f>"3042850"</f>
        <v>3042850</v>
      </c>
      <c r="B19743" t="s">
        <v>60383</v>
      </c>
      <c r="C19743" t="str">
        <f>"8302150"</f>
        <v>8302150</v>
      </c>
      <c r="D19743" t="s">
        <v>60384</v>
      </c>
      <c r="F19743" t="s">
        <v>45960</v>
      </c>
      <c r="I19743" t="s">
        <v>184</v>
      </c>
      <c r="J19743" t="s">
        <v>30</v>
      </c>
      <c r="K19743" t="s">
        <v>5557</v>
      </c>
      <c r="M19743" t="s">
        <v>50621</v>
      </c>
      <c r="N19743" t="str">
        <f>"8/1/2023 11:48:00 AM"</f>
        <v>8/1/2023 11:48:00 AM</v>
      </c>
      <c r="O19743" t="s">
        <v>60384</v>
      </c>
    </row>
    <row r="19744" spans="1:20" x14ac:dyDescent="0.25">
      <c r="A19744" t="str">
        <f>"3049279"</f>
        <v>3049279</v>
      </c>
      <c r="B19744" t="s">
        <v>60385</v>
      </c>
      <c r="C19744" t="str">
        <f>"8315232"</f>
        <v>8315232</v>
      </c>
      <c r="D19744" t="s">
        <v>60386</v>
      </c>
      <c r="E19744" t="s">
        <v>60387</v>
      </c>
      <c r="F19744" t="s">
        <v>60388</v>
      </c>
      <c r="I19744" t="s">
        <v>184</v>
      </c>
      <c r="J19744" t="s">
        <v>30</v>
      </c>
      <c r="K19744" t="s">
        <v>60389</v>
      </c>
      <c r="M19744" t="s">
        <v>50621</v>
      </c>
      <c r="N19744" t="str">
        <f>"8/1/2023 12:31:00 PM"</f>
        <v>8/1/2023 12:31:00 PM</v>
      </c>
      <c r="O19744" t="s">
        <v>60386</v>
      </c>
      <c r="T19744" t="s">
        <v>60387</v>
      </c>
    </row>
    <row r="19745" spans="1:20" x14ac:dyDescent="0.25">
      <c r="A19745" t="str">
        <f>"3048594"</f>
        <v>3048594</v>
      </c>
      <c r="B19745" t="s">
        <v>60390</v>
      </c>
      <c r="C19745" t="str">
        <f>"8315935"</f>
        <v>8315935</v>
      </c>
      <c r="D19745" t="s">
        <v>60391</v>
      </c>
      <c r="E19745" t="s">
        <v>60392</v>
      </c>
      <c r="F19745" t="s">
        <v>60393</v>
      </c>
      <c r="I19745" t="s">
        <v>184</v>
      </c>
      <c r="J19745" t="s">
        <v>30</v>
      </c>
      <c r="K19745" t="s">
        <v>60394</v>
      </c>
      <c r="M19745" t="s">
        <v>50621</v>
      </c>
      <c r="N19745" t="str">
        <f>"8/1/2023 12:35:00 PM"</f>
        <v>8/1/2023 12:35:00 PM</v>
      </c>
      <c r="O19745" t="s">
        <v>60391</v>
      </c>
      <c r="T19745" t="s">
        <v>60392</v>
      </c>
    </row>
    <row r="19746" spans="1:20" x14ac:dyDescent="0.25">
      <c r="A19746" t="str">
        <f>"3048667"</f>
        <v>3048667</v>
      </c>
      <c r="B19746" t="s">
        <v>60395</v>
      </c>
      <c r="C19746" t="str">
        <f>"8303947"</f>
        <v>8303947</v>
      </c>
      <c r="D19746" t="s">
        <v>60396</v>
      </c>
      <c r="F19746" t="s">
        <v>60397</v>
      </c>
      <c r="I19746" t="s">
        <v>22703</v>
      </c>
      <c r="J19746" t="s">
        <v>30</v>
      </c>
      <c r="K19746" t="s">
        <v>60398</v>
      </c>
      <c r="M19746" t="s">
        <v>50621</v>
      </c>
      <c r="N19746" t="str">
        <f>"7/28/2023 11:22:00 AM"</f>
        <v>7/28/2023 11:22:00 AM</v>
      </c>
      <c r="O19746" t="s">
        <v>60396</v>
      </c>
    </row>
    <row r="19747" spans="1:20" x14ac:dyDescent="0.25">
      <c r="A19747" t="str">
        <f>"3077713"</f>
        <v>3077713</v>
      </c>
      <c r="B19747" t="s">
        <v>60399</v>
      </c>
      <c r="C19747" t="str">
        <f>"8307787"</f>
        <v>8307787</v>
      </c>
      <c r="D19747" t="s">
        <v>60400</v>
      </c>
      <c r="F19747" t="s">
        <v>56779</v>
      </c>
      <c r="I19747" t="s">
        <v>29</v>
      </c>
      <c r="J19747" t="s">
        <v>30</v>
      </c>
      <c r="K19747" t="s">
        <v>55249</v>
      </c>
      <c r="M19747" t="s">
        <v>50621</v>
      </c>
      <c r="N19747" t="str">
        <f>"8/4/2023 3:12:00 PM"</f>
        <v>8/4/2023 3:12:00 PM</v>
      </c>
      <c r="O19747" t="s">
        <v>60400</v>
      </c>
    </row>
    <row r="19748" spans="1:20" x14ac:dyDescent="0.25">
      <c r="A19748" t="str">
        <f>"3041577"</f>
        <v>3041577</v>
      </c>
      <c r="B19748" t="s">
        <v>60401</v>
      </c>
      <c r="C19748" t="str">
        <f>"8317765"</f>
        <v>8317765</v>
      </c>
      <c r="D19748" t="s">
        <v>60402</v>
      </c>
      <c r="F19748" t="s">
        <v>60403</v>
      </c>
      <c r="G19748" t="s">
        <v>60404</v>
      </c>
      <c r="I19748" t="s">
        <v>8536</v>
      </c>
      <c r="J19748" t="s">
        <v>30</v>
      </c>
      <c r="K19748" t="s">
        <v>60405</v>
      </c>
      <c r="M19748" t="s">
        <v>50621</v>
      </c>
      <c r="N19748" t="str">
        <f>"8/4/2023 3:14:00 PM"</f>
        <v>8/4/2023 3:14:00 PM</v>
      </c>
      <c r="O19748" t="s">
        <v>60402</v>
      </c>
    </row>
    <row r="19749" spans="1:20" x14ac:dyDescent="0.25">
      <c r="A19749" t="str">
        <f>"3043027"</f>
        <v>3043027</v>
      </c>
      <c r="B19749" t="s">
        <v>60406</v>
      </c>
      <c r="C19749" t="str">
        <f>"8314245"</f>
        <v>8314245</v>
      </c>
      <c r="D19749" t="s">
        <v>60407</v>
      </c>
      <c r="F19749" t="s">
        <v>60408</v>
      </c>
      <c r="I19749" t="s">
        <v>471</v>
      </c>
      <c r="J19749" t="s">
        <v>30</v>
      </c>
      <c r="K19749" t="s">
        <v>60409</v>
      </c>
      <c r="M19749" t="s">
        <v>50621</v>
      </c>
      <c r="N19749" t="str">
        <f>"8/4/2023 3:16:00 PM"</f>
        <v>8/4/2023 3:16:00 PM</v>
      </c>
      <c r="O19749" t="s">
        <v>60407</v>
      </c>
    </row>
    <row r="19750" spans="1:20" x14ac:dyDescent="0.25">
      <c r="A19750" t="str">
        <f>"3061185"</f>
        <v>3061185</v>
      </c>
      <c r="B19750" t="s">
        <v>60410</v>
      </c>
      <c r="C19750" t="str">
        <f>"8300746"</f>
        <v>8300746</v>
      </c>
      <c r="D19750" t="s">
        <v>60411</v>
      </c>
      <c r="F19750" t="s">
        <v>48142</v>
      </c>
      <c r="I19750" t="s">
        <v>29</v>
      </c>
      <c r="J19750" t="s">
        <v>30</v>
      </c>
      <c r="K19750" t="s">
        <v>26799</v>
      </c>
      <c r="M19750" t="s">
        <v>50621</v>
      </c>
      <c r="N19750" t="str">
        <f>"7/28/2023 11:23:00 AM"</f>
        <v>7/28/2023 11:23:00 AM</v>
      </c>
      <c r="O19750" t="s">
        <v>60411</v>
      </c>
    </row>
    <row r="19751" spans="1:20" x14ac:dyDescent="0.25">
      <c r="A19751" t="str">
        <f>"3051700"</f>
        <v>3051700</v>
      </c>
      <c r="B19751" t="s">
        <v>60412</v>
      </c>
      <c r="C19751" t="str">
        <f>"67516500"</f>
        <v>67516500</v>
      </c>
      <c r="D19751" t="s">
        <v>60413</v>
      </c>
      <c r="F19751" t="s">
        <v>60414</v>
      </c>
      <c r="I19751" t="s">
        <v>60415</v>
      </c>
      <c r="J19751" t="s">
        <v>30</v>
      </c>
      <c r="K19751" t="s">
        <v>60416</v>
      </c>
      <c r="M19751" t="s">
        <v>50621</v>
      </c>
      <c r="N19751" t="str">
        <f>"7/28/2023 11:24:00 AM"</f>
        <v>7/28/2023 11:24:00 AM</v>
      </c>
      <c r="O19751" t="s">
        <v>60413</v>
      </c>
    </row>
    <row r="19752" spans="1:20" x14ac:dyDescent="0.25">
      <c r="A19752" t="str">
        <f>"3063905"</f>
        <v>3063905</v>
      </c>
      <c r="B19752" t="s">
        <v>60417</v>
      </c>
      <c r="C19752" t="str">
        <f>"8320694"</f>
        <v>8320694</v>
      </c>
      <c r="D19752" t="s">
        <v>60046</v>
      </c>
      <c r="E19752" t="s">
        <v>50705</v>
      </c>
      <c r="F19752" t="s">
        <v>8248</v>
      </c>
      <c r="I19752" t="s">
        <v>184</v>
      </c>
      <c r="J19752" t="s">
        <v>30</v>
      </c>
      <c r="K19752" t="s">
        <v>60285</v>
      </c>
      <c r="M19752" t="s">
        <v>17861</v>
      </c>
      <c r="N19752" t="str">
        <f>"7/28/2023 1:32:00 PM"</f>
        <v>7/28/2023 1:32:00 PM</v>
      </c>
      <c r="O19752" t="s">
        <v>60046</v>
      </c>
      <c r="T19752" t="s">
        <v>50705</v>
      </c>
    </row>
    <row r="19753" spans="1:20" x14ac:dyDescent="0.25">
      <c r="A19753" t="str">
        <f>"3044431"</f>
        <v>3044431</v>
      </c>
      <c r="B19753" t="s">
        <v>60418</v>
      </c>
      <c r="C19753" t="str">
        <f>"8312625"</f>
        <v>8312625</v>
      </c>
      <c r="D19753" t="s">
        <v>60419</v>
      </c>
      <c r="F19753" t="s">
        <v>60420</v>
      </c>
      <c r="I19753" t="s">
        <v>184</v>
      </c>
      <c r="J19753" t="s">
        <v>30</v>
      </c>
      <c r="K19753" t="s">
        <v>3728</v>
      </c>
      <c r="M19753" t="s">
        <v>32801</v>
      </c>
      <c r="N19753" t="str">
        <f>"7/28/2023 2:10:00 PM"</f>
        <v>7/28/2023 2:10:00 PM</v>
      </c>
      <c r="O19753" t="s">
        <v>60419</v>
      </c>
    </row>
    <row r="19754" spans="1:20" x14ac:dyDescent="0.25">
      <c r="A19754" t="str">
        <f>"3051801"</f>
        <v>3051801</v>
      </c>
      <c r="B19754" t="s">
        <v>60421</v>
      </c>
      <c r="C19754" t="str">
        <f>"8308859"</f>
        <v>8308859</v>
      </c>
      <c r="D19754" t="s">
        <v>60422</v>
      </c>
      <c r="F19754" t="s">
        <v>60423</v>
      </c>
      <c r="I19754" t="s">
        <v>29</v>
      </c>
      <c r="J19754" t="s">
        <v>30</v>
      </c>
      <c r="K19754" t="s">
        <v>60424</v>
      </c>
      <c r="M19754" t="s">
        <v>50621</v>
      </c>
      <c r="N19754" t="str">
        <f>"8/2/2023 2:51:00 PM"</f>
        <v>8/2/2023 2:51:00 PM</v>
      </c>
      <c r="O19754" t="s">
        <v>60422</v>
      </c>
    </row>
    <row r="19755" spans="1:20" x14ac:dyDescent="0.25">
      <c r="A19755" t="str">
        <f>"3052208"</f>
        <v>3052208</v>
      </c>
      <c r="B19755" t="s">
        <v>60425</v>
      </c>
      <c r="C19755" t="str">
        <f>"82517514"</f>
        <v>82517514</v>
      </c>
      <c r="D19755" t="s">
        <v>60426</v>
      </c>
      <c r="F19755" t="s">
        <v>60427</v>
      </c>
      <c r="I19755" t="s">
        <v>29</v>
      </c>
      <c r="J19755" t="s">
        <v>30</v>
      </c>
      <c r="K19755" t="s">
        <v>60428</v>
      </c>
      <c r="M19755" t="s">
        <v>50621</v>
      </c>
      <c r="N19755" t="str">
        <f>"8/2/2023 2:57:00 PM"</f>
        <v>8/2/2023 2:57:00 PM</v>
      </c>
      <c r="O19755" t="s">
        <v>60426</v>
      </c>
    </row>
    <row r="19756" spans="1:20" x14ac:dyDescent="0.25">
      <c r="A19756" t="str">
        <f>"3052892"</f>
        <v>3052892</v>
      </c>
      <c r="B19756" t="s">
        <v>60429</v>
      </c>
      <c r="C19756" t="str">
        <f>"82517514"</f>
        <v>82517514</v>
      </c>
      <c r="D19756" t="s">
        <v>60426</v>
      </c>
      <c r="F19756" t="s">
        <v>60427</v>
      </c>
      <c r="I19756" t="s">
        <v>29</v>
      </c>
      <c r="J19756" t="s">
        <v>30</v>
      </c>
      <c r="K19756" t="s">
        <v>60428</v>
      </c>
      <c r="M19756" t="s">
        <v>50621</v>
      </c>
      <c r="N19756" t="str">
        <f>"8/2/2023 2:57:00 PM"</f>
        <v>8/2/2023 2:57:00 PM</v>
      </c>
      <c r="O19756" t="s">
        <v>60426</v>
      </c>
    </row>
    <row r="19757" spans="1:20" x14ac:dyDescent="0.25">
      <c r="A19757" t="str">
        <f>"3059574"</f>
        <v>3059574</v>
      </c>
      <c r="B19757" t="s">
        <v>60430</v>
      </c>
      <c r="C19757" t="str">
        <f>"82528455"</f>
        <v>82528455</v>
      </c>
      <c r="D19757" t="s">
        <v>60431</v>
      </c>
      <c r="E19757" t="s">
        <v>60432</v>
      </c>
      <c r="F19757" t="s">
        <v>60433</v>
      </c>
      <c r="I19757" t="s">
        <v>29</v>
      </c>
      <c r="J19757" t="s">
        <v>30</v>
      </c>
      <c r="K19757" t="s">
        <v>13712</v>
      </c>
      <c r="M19757" t="s">
        <v>50621</v>
      </c>
      <c r="N19757" t="str">
        <f>"8/2/2023 3:00:00 PM"</f>
        <v>8/2/2023 3:00:00 PM</v>
      </c>
      <c r="O19757" t="s">
        <v>60431</v>
      </c>
      <c r="T19757" t="s">
        <v>60432</v>
      </c>
    </row>
    <row r="19758" spans="1:20" x14ac:dyDescent="0.25">
      <c r="A19758" t="str">
        <f>"3078101"</f>
        <v>3078101</v>
      </c>
      <c r="B19758" t="s">
        <v>60434</v>
      </c>
      <c r="C19758" t="str">
        <f t="shared" ref="C19758:C19771" si="298">"8318694"</f>
        <v>8318694</v>
      </c>
      <c r="D19758" t="s">
        <v>60435</v>
      </c>
      <c r="F19758" t="s">
        <v>56934</v>
      </c>
      <c r="I19758" t="s">
        <v>29</v>
      </c>
      <c r="J19758" t="s">
        <v>30</v>
      </c>
      <c r="K19758" t="s">
        <v>52720</v>
      </c>
      <c r="M19758" t="s">
        <v>50621</v>
      </c>
      <c r="N19758" t="str">
        <f t="shared" ref="N19758:N19771" si="299">"8/4/2023 3:27:00 PM"</f>
        <v>8/4/2023 3:27:00 PM</v>
      </c>
      <c r="O19758" t="s">
        <v>60435</v>
      </c>
    </row>
    <row r="19759" spans="1:20" x14ac:dyDescent="0.25">
      <c r="A19759" t="str">
        <f>"3078102"</f>
        <v>3078102</v>
      </c>
      <c r="B19759" t="s">
        <v>60436</v>
      </c>
      <c r="C19759" t="str">
        <f t="shared" si="298"/>
        <v>8318694</v>
      </c>
      <c r="D19759" t="s">
        <v>60435</v>
      </c>
      <c r="F19759" t="s">
        <v>56934</v>
      </c>
      <c r="I19759" t="s">
        <v>29</v>
      </c>
      <c r="J19759" t="s">
        <v>30</v>
      </c>
      <c r="K19759" t="s">
        <v>52720</v>
      </c>
      <c r="M19759" t="s">
        <v>50621</v>
      </c>
      <c r="N19759" t="str">
        <f t="shared" si="299"/>
        <v>8/4/2023 3:27:00 PM</v>
      </c>
      <c r="O19759" t="s">
        <v>60435</v>
      </c>
    </row>
    <row r="19760" spans="1:20" x14ac:dyDescent="0.25">
      <c r="A19760" t="str">
        <f>"3078103"</f>
        <v>3078103</v>
      </c>
      <c r="B19760" t="s">
        <v>60437</v>
      </c>
      <c r="C19760" t="str">
        <f t="shared" si="298"/>
        <v>8318694</v>
      </c>
      <c r="D19760" t="s">
        <v>60435</v>
      </c>
      <c r="F19760" t="s">
        <v>56934</v>
      </c>
      <c r="I19760" t="s">
        <v>29</v>
      </c>
      <c r="J19760" t="s">
        <v>30</v>
      </c>
      <c r="K19760" t="s">
        <v>52720</v>
      </c>
      <c r="M19760" t="s">
        <v>50621</v>
      </c>
      <c r="N19760" t="str">
        <f t="shared" si="299"/>
        <v>8/4/2023 3:27:00 PM</v>
      </c>
      <c r="O19760" t="s">
        <v>60435</v>
      </c>
    </row>
    <row r="19761" spans="1:20" x14ac:dyDescent="0.25">
      <c r="A19761" t="str">
        <f>"3078104"</f>
        <v>3078104</v>
      </c>
      <c r="B19761" t="s">
        <v>60438</v>
      </c>
      <c r="C19761" t="str">
        <f t="shared" si="298"/>
        <v>8318694</v>
      </c>
      <c r="D19761" t="s">
        <v>60435</v>
      </c>
      <c r="F19761" t="s">
        <v>56934</v>
      </c>
      <c r="I19761" t="s">
        <v>29</v>
      </c>
      <c r="J19761" t="s">
        <v>30</v>
      </c>
      <c r="K19761" t="s">
        <v>52720</v>
      </c>
      <c r="M19761" t="s">
        <v>50621</v>
      </c>
      <c r="N19761" t="str">
        <f t="shared" si="299"/>
        <v>8/4/2023 3:27:00 PM</v>
      </c>
      <c r="O19761" t="s">
        <v>60435</v>
      </c>
    </row>
    <row r="19762" spans="1:20" x14ac:dyDescent="0.25">
      <c r="A19762" t="str">
        <f>"3078105"</f>
        <v>3078105</v>
      </c>
      <c r="B19762" t="s">
        <v>60439</v>
      </c>
      <c r="C19762" t="str">
        <f t="shared" si="298"/>
        <v>8318694</v>
      </c>
      <c r="D19762" t="s">
        <v>60435</v>
      </c>
      <c r="F19762" t="s">
        <v>56934</v>
      </c>
      <c r="I19762" t="s">
        <v>29</v>
      </c>
      <c r="J19762" t="s">
        <v>30</v>
      </c>
      <c r="K19762" t="s">
        <v>52720</v>
      </c>
      <c r="M19762" t="s">
        <v>50621</v>
      </c>
      <c r="N19762" t="str">
        <f t="shared" si="299"/>
        <v>8/4/2023 3:27:00 PM</v>
      </c>
      <c r="O19762" t="s">
        <v>60435</v>
      </c>
    </row>
    <row r="19763" spans="1:20" x14ac:dyDescent="0.25">
      <c r="A19763" t="str">
        <f>"3078106"</f>
        <v>3078106</v>
      </c>
      <c r="B19763" t="s">
        <v>60440</v>
      </c>
      <c r="C19763" t="str">
        <f t="shared" si="298"/>
        <v>8318694</v>
      </c>
      <c r="D19763" t="s">
        <v>60435</v>
      </c>
      <c r="F19763" t="s">
        <v>56934</v>
      </c>
      <c r="I19763" t="s">
        <v>29</v>
      </c>
      <c r="J19763" t="s">
        <v>30</v>
      </c>
      <c r="K19763" t="s">
        <v>52720</v>
      </c>
      <c r="M19763" t="s">
        <v>50621</v>
      </c>
      <c r="N19763" t="str">
        <f t="shared" si="299"/>
        <v>8/4/2023 3:27:00 PM</v>
      </c>
      <c r="O19763" t="s">
        <v>60435</v>
      </c>
    </row>
    <row r="19764" spans="1:20" x14ac:dyDescent="0.25">
      <c r="A19764" t="str">
        <f>"3078109"</f>
        <v>3078109</v>
      </c>
      <c r="B19764" t="s">
        <v>60441</v>
      </c>
      <c r="C19764" t="str">
        <f t="shared" si="298"/>
        <v>8318694</v>
      </c>
      <c r="D19764" t="s">
        <v>60435</v>
      </c>
      <c r="F19764" t="s">
        <v>56934</v>
      </c>
      <c r="I19764" t="s">
        <v>29</v>
      </c>
      <c r="J19764" t="s">
        <v>30</v>
      </c>
      <c r="K19764" t="s">
        <v>52720</v>
      </c>
      <c r="M19764" t="s">
        <v>50621</v>
      </c>
      <c r="N19764" t="str">
        <f t="shared" si="299"/>
        <v>8/4/2023 3:27:00 PM</v>
      </c>
      <c r="O19764" t="s">
        <v>60435</v>
      </c>
    </row>
    <row r="19765" spans="1:20" x14ac:dyDescent="0.25">
      <c r="A19765" t="str">
        <f>"3078110"</f>
        <v>3078110</v>
      </c>
      <c r="B19765" t="s">
        <v>60442</v>
      </c>
      <c r="C19765" t="str">
        <f t="shared" si="298"/>
        <v>8318694</v>
      </c>
      <c r="D19765" t="s">
        <v>60435</v>
      </c>
      <c r="F19765" t="s">
        <v>56934</v>
      </c>
      <c r="I19765" t="s">
        <v>29</v>
      </c>
      <c r="J19765" t="s">
        <v>30</v>
      </c>
      <c r="K19765" t="s">
        <v>52720</v>
      </c>
      <c r="M19765" t="s">
        <v>50621</v>
      </c>
      <c r="N19765" t="str">
        <f t="shared" si="299"/>
        <v>8/4/2023 3:27:00 PM</v>
      </c>
      <c r="O19765" t="s">
        <v>60435</v>
      </c>
    </row>
    <row r="19766" spans="1:20" x14ac:dyDescent="0.25">
      <c r="A19766" t="str">
        <f>"3078111"</f>
        <v>3078111</v>
      </c>
      <c r="B19766" t="s">
        <v>60443</v>
      </c>
      <c r="C19766" t="str">
        <f t="shared" si="298"/>
        <v>8318694</v>
      </c>
      <c r="D19766" t="s">
        <v>60435</v>
      </c>
      <c r="F19766" t="s">
        <v>56934</v>
      </c>
      <c r="I19766" t="s">
        <v>29</v>
      </c>
      <c r="J19766" t="s">
        <v>30</v>
      </c>
      <c r="K19766" t="s">
        <v>52720</v>
      </c>
      <c r="M19766" t="s">
        <v>50621</v>
      </c>
      <c r="N19766" t="str">
        <f t="shared" si="299"/>
        <v>8/4/2023 3:27:00 PM</v>
      </c>
      <c r="O19766" t="s">
        <v>60435</v>
      </c>
    </row>
    <row r="19767" spans="1:20" x14ac:dyDescent="0.25">
      <c r="A19767" t="str">
        <f>"3078112"</f>
        <v>3078112</v>
      </c>
      <c r="B19767" t="s">
        <v>60444</v>
      </c>
      <c r="C19767" t="str">
        <f t="shared" si="298"/>
        <v>8318694</v>
      </c>
      <c r="D19767" t="s">
        <v>60435</v>
      </c>
      <c r="F19767" t="s">
        <v>56934</v>
      </c>
      <c r="I19767" t="s">
        <v>29</v>
      </c>
      <c r="J19767" t="s">
        <v>30</v>
      </c>
      <c r="K19767" t="s">
        <v>52720</v>
      </c>
      <c r="M19767" t="s">
        <v>50621</v>
      </c>
      <c r="N19767" t="str">
        <f t="shared" si="299"/>
        <v>8/4/2023 3:27:00 PM</v>
      </c>
      <c r="O19767" t="s">
        <v>60435</v>
      </c>
    </row>
    <row r="19768" spans="1:20" x14ac:dyDescent="0.25">
      <c r="A19768" t="str">
        <f>"3078113"</f>
        <v>3078113</v>
      </c>
      <c r="B19768" t="s">
        <v>60445</v>
      </c>
      <c r="C19768" t="str">
        <f t="shared" si="298"/>
        <v>8318694</v>
      </c>
      <c r="D19768" t="s">
        <v>60435</v>
      </c>
      <c r="F19768" t="s">
        <v>56934</v>
      </c>
      <c r="I19768" t="s">
        <v>29</v>
      </c>
      <c r="J19768" t="s">
        <v>30</v>
      </c>
      <c r="K19768" t="s">
        <v>52720</v>
      </c>
      <c r="M19768" t="s">
        <v>50621</v>
      </c>
      <c r="N19768" t="str">
        <f t="shared" si="299"/>
        <v>8/4/2023 3:27:00 PM</v>
      </c>
      <c r="O19768" t="s">
        <v>60435</v>
      </c>
    </row>
    <row r="19769" spans="1:20" x14ac:dyDescent="0.25">
      <c r="A19769" t="str">
        <f>"3078114"</f>
        <v>3078114</v>
      </c>
      <c r="B19769" t="s">
        <v>60446</v>
      </c>
      <c r="C19769" t="str">
        <f t="shared" si="298"/>
        <v>8318694</v>
      </c>
      <c r="D19769" t="s">
        <v>60435</v>
      </c>
      <c r="F19769" t="s">
        <v>56934</v>
      </c>
      <c r="I19769" t="s">
        <v>29</v>
      </c>
      <c r="J19769" t="s">
        <v>30</v>
      </c>
      <c r="K19769" t="s">
        <v>52720</v>
      </c>
      <c r="M19769" t="s">
        <v>50621</v>
      </c>
      <c r="N19769" t="str">
        <f t="shared" si="299"/>
        <v>8/4/2023 3:27:00 PM</v>
      </c>
      <c r="O19769" t="s">
        <v>60435</v>
      </c>
    </row>
    <row r="19770" spans="1:20" x14ac:dyDescent="0.25">
      <c r="A19770" t="str">
        <f>"3062229"</f>
        <v>3062229</v>
      </c>
      <c r="B19770" t="s">
        <v>60447</v>
      </c>
      <c r="C19770" t="str">
        <f t="shared" si="298"/>
        <v>8318694</v>
      </c>
      <c r="D19770" t="s">
        <v>60435</v>
      </c>
      <c r="F19770" t="s">
        <v>56934</v>
      </c>
      <c r="I19770" t="s">
        <v>29</v>
      </c>
      <c r="J19770" t="s">
        <v>30</v>
      </c>
      <c r="K19770" t="s">
        <v>52720</v>
      </c>
      <c r="M19770" t="s">
        <v>50621</v>
      </c>
      <c r="N19770" t="str">
        <f t="shared" si="299"/>
        <v>8/4/2023 3:27:00 PM</v>
      </c>
      <c r="O19770" t="s">
        <v>60435</v>
      </c>
    </row>
    <row r="19771" spans="1:20" x14ac:dyDescent="0.25">
      <c r="A19771" t="str">
        <f>"3062665"</f>
        <v>3062665</v>
      </c>
      <c r="B19771" t="s">
        <v>60448</v>
      </c>
      <c r="C19771" t="str">
        <f t="shared" si="298"/>
        <v>8318694</v>
      </c>
      <c r="D19771" t="s">
        <v>60435</v>
      </c>
      <c r="F19771" t="s">
        <v>56934</v>
      </c>
      <c r="I19771" t="s">
        <v>29</v>
      </c>
      <c r="J19771" t="s">
        <v>30</v>
      </c>
      <c r="K19771" t="s">
        <v>52720</v>
      </c>
      <c r="M19771" t="s">
        <v>50621</v>
      </c>
      <c r="N19771" t="str">
        <f t="shared" si="299"/>
        <v>8/4/2023 3:27:00 PM</v>
      </c>
      <c r="O19771" t="s">
        <v>60435</v>
      </c>
    </row>
    <row r="19772" spans="1:20" x14ac:dyDescent="0.25">
      <c r="A19772" t="str">
        <f>"3076567"</f>
        <v>3076567</v>
      </c>
      <c r="B19772" t="s">
        <v>60449</v>
      </c>
      <c r="C19772" t="str">
        <f>"69424000"</f>
        <v>69424000</v>
      </c>
      <c r="D19772" t="s">
        <v>60450</v>
      </c>
      <c r="F19772" t="str">
        <f>"C/O ALETHEA SEGAL"</f>
        <v>C/O ALETHEA SEGAL</v>
      </c>
      <c r="G19772" t="s">
        <v>60451</v>
      </c>
      <c r="I19772" t="s">
        <v>402</v>
      </c>
      <c r="J19772" t="s">
        <v>30</v>
      </c>
      <c r="K19772" t="s">
        <v>60452</v>
      </c>
      <c r="M19772" t="s">
        <v>50621</v>
      </c>
      <c r="N19772" t="str">
        <f>"8/4/2023 3:32:00 PM"</f>
        <v>8/4/2023 3:32:00 PM</v>
      </c>
      <c r="O19772" t="s">
        <v>60450</v>
      </c>
    </row>
    <row r="19773" spans="1:20" x14ac:dyDescent="0.25">
      <c r="A19773" t="str">
        <f>"3039345"</f>
        <v>3039345</v>
      </c>
      <c r="B19773" t="s">
        <v>60453</v>
      </c>
      <c r="C19773" t="str">
        <f>"69424000"</f>
        <v>69424000</v>
      </c>
      <c r="D19773" t="s">
        <v>60450</v>
      </c>
      <c r="F19773" t="str">
        <f>"C/O ALETHEA SEGAL"</f>
        <v>C/O ALETHEA SEGAL</v>
      </c>
      <c r="G19773" t="s">
        <v>60451</v>
      </c>
      <c r="I19773" t="s">
        <v>402</v>
      </c>
      <c r="J19773" t="s">
        <v>30</v>
      </c>
      <c r="K19773" t="s">
        <v>60452</v>
      </c>
      <c r="M19773" t="s">
        <v>50621</v>
      </c>
      <c r="N19773" t="str">
        <f>"8/4/2023 3:32:00 PM"</f>
        <v>8/4/2023 3:32:00 PM</v>
      </c>
      <c r="O19773" t="s">
        <v>60450</v>
      </c>
    </row>
    <row r="19774" spans="1:20" x14ac:dyDescent="0.25">
      <c r="A19774" t="str">
        <f>"3039398"</f>
        <v>3039398</v>
      </c>
      <c r="B19774" t="s">
        <v>60454</v>
      </c>
      <c r="C19774" t="str">
        <f>"69424000"</f>
        <v>69424000</v>
      </c>
      <c r="D19774" t="s">
        <v>60450</v>
      </c>
      <c r="F19774" t="str">
        <f>"C/O ALETHEA SEGAL"</f>
        <v>C/O ALETHEA SEGAL</v>
      </c>
      <c r="G19774" t="s">
        <v>60451</v>
      </c>
      <c r="I19774" t="s">
        <v>402</v>
      </c>
      <c r="J19774" t="s">
        <v>30</v>
      </c>
      <c r="K19774" t="s">
        <v>60452</v>
      </c>
      <c r="M19774" t="s">
        <v>50621</v>
      </c>
      <c r="N19774" t="str">
        <f>"8/4/2023 3:32:00 PM"</f>
        <v>8/4/2023 3:32:00 PM</v>
      </c>
      <c r="O19774" t="s">
        <v>60450</v>
      </c>
    </row>
    <row r="19775" spans="1:20" x14ac:dyDescent="0.25">
      <c r="A19775" t="str">
        <f>"3039395"</f>
        <v>3039395</v>
      </c>
      <c r="B19775" t="s">
        <v>60455</v>
      </c>
      <c r="C19775" t="str">
        <f>"69424000"</f>
        <v>69424000</v>
      </c>
      <c r="D19775" t="s">
        <v>60450</v>
      </c>
      <c r="F19775" t="str">
        <f>"C/O ALETHEA SEGAL"</f>
        <v>C/O ALETHEA SEGAL</v>
      </c>
      <c r="G19775" t="s">
        <v>60451</v>
      </c>
      <c r="I19775" t="s">
        <v>402</v>
      </c>
      <c r="J19775" t="s">
        <v>30</v>
      </c>
      <c r="K19775" t="s">
        <v>60452</v>
      </c>
      <c r="M19775" t="s">
        <v>50621</v>
      </c>
      <c r="N19775" t="str">
        <f>"8/4/2023 3:32:00 PM"</f>
        <v>8/4/2023 3:32:00 PM</v>
      </c>
      <c r="O19775" t="s">
        <v>60450</v>
      </c>
    </row>
    <row r="19776" spans="1:20" x14ac:dyDescent="0.25">
      <c r="A19776" t="str">
        <f>"3050598"</f>
        <v>3050598</v>
      </c>
      <c r="B19776" t="s">
        <v>60456</v>
      </c>
      <c r="C19776" t="str">
        <f>"8317230"</f>
        <v>8317230</v>
      </c>
      <c r="D19776" t="s">
        <v>60457</v>
      </c>
      <c r="E19776" t="s">
        <v>60458</v>
      </c>
      <c r="F19776" t="s">
        <v>60459</v>
      </c>
      <c r="I19776" t="s">
        <v>402</v>
      </c>
      <c r="J19776" t="s">
        <v>30</v>
      </c>
      <c r="K19776" t="s">
        <v>48771</v>
      </c>
      <c r="M19776" t="s">
        <v>50793</v>
      </c>
      <c r="N19776" t="str">
        <f>"8/7/2023 11:38:00 AM"</f>
        <v>8/7/2023 11:38:00 AM</v>
      </c>
      <c r="O19776" t="s">
        <v>60457</v>
      </c>
      <c r="T19776" t="s">
        <v>60458</v>
      </c>
    </row>
    <row r="19777" spans="1:20" x14ac:dyDescent="0.25">
      <c r="A19777" t="str">
        <f>"3050971"</f>
        <v>3050971</v>
      </c>
      <c r="B19777" t="s">
        <v>60460</v>
      </c>
      <c r="C19777" t="str">
        <f>"8317230"</f>
        <v>8317230</v>
      </c>
      <c r="D19777" t="s">
        <v>60457</v>
      </c>
      <c r="E19777" t="s">
        <v>60458</v>
      </c>
      <c r="F19777" t="s">
        <v>60459</v>
      </c>
      <c r="I19777" t="s">
        <v>402</v>
      </c>
      <c r="J19777" t="s">
        <v>30</v>
      </c>
      <c r="K19777" t="s">
        <v>48771</v>
      </c>
      <c r="M19777" t="s">
        <v>50793</v>
      </c>
      <c r="N19777" t="str">
        <f>"8/7/2023 11:38:00 AM"</f>
        <v>8/7/2023 11:38:00 AM</v>
      </c>
      <c r="O19777" t="s">
        <v>60457</v>
      </c>
      <c r="T19777" t="s">
        <v>60458</v>
      </c>
    </row>
    <row r="19778" spans="1:20" x14ac:dyDescent="0.25">
      <c r="A19778" t="str">
        <f>"3056337"</f>
        <v>3056337</v>
      </c>
      <c r="B19778" t="s">
        <v>60461</v>
      </c>
      <c r="C19778" t="str">
        <f>"8309787"</f>
        <v>8309787</v>
      </c>
      <c r="D19778" t="s">
        <v>60462</v>
      </c>
      <c r="F19778" t="s">
        <v>60463</v>
      </c>
      <c r="I19778" t="s">
        <v>60464</v>
      </c>
      <c r="J19778" t="s">
        <v>51560</v>
      </c>
      <c r="K19778" t="s">
        <v>60465</v>
      </c>
      <c r="M19778" t="s">
        <v>50793</v>
      </c>
      <c r="N19778" t="str">
        <f>"8/7/2023 1:42:00 PM"</f>
        <v>8/7/2023 1:42:00 PM</v>
      </c>
      <c r="O19778" t="s">
        <v>60462</v>
      </c>
    </row>
    <row r="19779" spans="1:20" x14ac:dyDescent="0.25">
      <c r="A19779" t="str">
        <f>"3059853"</f>
        <v>3059853</v>
      </c>
      <c r="B19779" t="s">
        <v>60466</v>
      </c>
      <c r="C19779" t="str">
        <f>"8309787"</f>
        <v>8309787</v>
      </c>
      <c r="D19779" t="s">
        <v>60462</v>
      </c>
      <c r="F19779" t="s">
        <v>60463</v>
      </c>
      <c r="I19779" t="s">
        <v>60464</v>
      </c>
      <c r="J19779" t="s">
        <v>51560</v>
      </c>
      <c r="K19779" t="s">
        <v>60465</v>
      </c>
      <c r="M19779" t="s">
        <v>50793</v>
      </c>
      <c r="N19779" t="str">
        <f>"8/7/2023 1:42:00 PM"</f>
        <v>8/7/2023 1:42:00 PM</v>
      </c>
      <c r="O19779" t="s">
        <v>60462</v>
      </c>
    </row>
    <row r="19780" spans="1:20" x14ac:dyDescent="0.25">
      <c r="A19780" t="str">
        <f>"3061230"</f>
        <v>3061230</v>
      </c>
      <c r="B19780" t="s">
        <v>60467</v>
      </c>
      <c r="C19780" t="str">
        <f>"82531546"</f>
        <v>82531546</v>
      </c>
      <c r="D19780" t="s">
        <v>60468</v>
      </c>
      <c r="F19780" t="s">
        <v>60469</v>
      </c>
      <c r="I19780" t="s">
        <v>60470</v>
      </c>
      <c r="J19780" t="s">
        <v>30</v>
      </c>
      <c r="K19780" t="s">
        <v>60471</v>
      </c>
      <c r="M19780" t="s">
        <v>50793</v>
      </c>
      <c r="N19780" t="str">
        <f>"8/7/2023 1:45:00 PM"</f>
        <v>8/7/2023 1:45:00 PM</v>
      </c>
      <c r="O19780" t="s">
        <v>60468</v>
      </c>
    </row>
    <row r="19781" spans="1:20" x14ac:dyDescent="0.25">
      <c r="A19781" t="str">
        <f>"3051725"</f>
        <v>3051725</v>
      </c>
      <c r="B19781" t="s">
        <v>60472</v>
      </c>
      <c r="C19781" t="str">
        <f>"8313493"</f>
        <v>8313493</v>
      </c>
      <c r="D19781" t="s">
        <v>60473</v>
      </c>
      <c r="F19781" t="s">
        <v>60474</v>
      </c>
      <c r="I19781" t="s">
        <v>29</v>
      </c>
      <c r="J19781" t="s">
        <v>30</v>
      </c>
      <c r="K19781" t="s">
        <v>60475</v>
      </c>
      <c r="M19781" t="s">
        <v>50621</v>
      </c>
      <c r="N19781" t="str">
        <f>"8/2/2023 3:12:00 PM"</f>
        <v>8/2/2023 3:12:00 PM</v>
      </c>
      <c r="O19781" t="s">
        <v>60473</v>
      </c>
    </row>
    <row r="19782" spans="1:20" x14ac:dyDescent="0.25">
      <c r="A19782" t="str">
        <f>"3039164"</f>
        <v>3039164</v>
      </c>
      <c r="B19782" t="s">
        <v>60476</v>
      </c>
      <c r="C19782" t="str">
        <f>"82513278"</f>
        <v>82513278</v>
      </c>
      <c r="D19782" t="s">
        <v>60477</v>
      </c>
      <c r="E19782" t="s">
        <v>60478</v>
      </c>
      <c r="F19782" t="s">
        <v>60479</v>
      </c>
      <c r="I19782" t="s">
        <v>29</v>
      </c>
      <c r="J19782" t="s">
        <v>30</v>
      </c>
      <c r="K19782" t="s">
        <v>21362</v>
      </c>
      <c r="M19782" t="s">
        <v>50621</v>
      </c>
      <c r="N19782" t="str">
        <f>"8/2/2023 3:14:00 PM"</f>
        <v>8/2/2023 3:14:00 PM</v>
      </c>
      <c r="O19782" t="s">
        <v>60477</v>
      </c>
      <c r="T19782" t="s">
        <v>60478</v>
      </c>
    </row>
    <row r="19783" spans="1:20" x14ac:dyDescent="0.25">
      <c r="A19783" t="str">
        <f>"3076635"</f>
        <v>3076635</v>
      </c>
      <c r="B19783" t="s">
        <v>60480</v>
      </c>
      <c r="C19783" t="str">
        <f>"82513278"</f>
        <v>82513278</v>
      </c>
      <c r="D19783" t="s">
        <v>60477</v>
      </c>
      <c r="E19783" t="s">
        <v>60478</v>
      </c>
      <c r="F19783" t="s">
        <v>60479</v>
      </c>
      <c r="I19783" t="s">
        <v>29</v>
      </c>
      <c r="J19783" t="s">
        <v>30</v>
      </c>
      <c r="K19783" t="s">
        <v>21362</v>
      </c>
      <c r="M19783" t="s">
        <v>50621</v>
      </c>
      <c r="N19783" t="str">
        <f>"8/2/2023 3:14:00 PM"</f>
        <v>8/2/2023 3:14:00 PM</v>
      </c>
      <c r="O19783" t="s">
        <v>60477</v>
      </c>
      <c r="T19783" t="s">
        <v>60478</v>
      </c>
    </row>
    <row r="19784" spans="1:20" x14ac:dyDescent="0.25">
      <c r="A19784" t="str">
        <f>"3057709"</f>
        <v>3057709</v>
      </c>
      <c r="B19784" t="s">
        <v>60481</v>
      </c>
      <c r="C19784" t="str">
        <f>"82530881"</f>
        <v>82530881</v>
      </c>
      <c r="D19784" t="s">
        <v>60482</v>
      </c>
      <c r="F19784" t="s">
        <v>60483</v>
      </c>
      <c r="I19784" t="s">
        <v>29</v>
      </c>
      <c r="J19784" t="s">
        <v>30</v>
      </c>
      <c r="K19784" t="s">
        <v>15867</v>
      </c>
      <c r="M19784" t="s">
        <v>50621</v>
      </c>
      <c r="N19784" t="str">
        <f>"8/2/2023 3:15:00 PM"</f>
        <v>8/2/2023 3:15:00 PM</v>
      </c>
      <c r="O19784" t="s">
        <v>60482</v>
      </c>
    </row>
    <row r="19785" spans="1:20" x14ac:dyDescent="0.25">
      <c r="A19785" t="str">
        <f>"3052034"</f>
        <v>3052034</v>
      </c>
      <c r="B19785" t="s">
        <v>60484</v>
      </c>
      <c r="C19785" t="str">
        <f>"39996000"</f>
        <v>39996000</v>
      </c>
      <c r="D19785" t="s">
        <v>60485</v>
      </c>
      <c r="F19785" t="s">
        <v>60357</v>
      </c>
      <c r="G19785" t="s">
        <v>60358</v>
      </c>
      <c r="I19785" t="s">
        <v>2737</v>
      </c>
      <c r="J19785" t="s">
        <v>2738</v>
      </c>
      <c r="K19785" t="s">
        <v>60359</v>
      </c>
      <c r="M19785" t="s">
        <v>50621</v>
      </c>
      <c r="N19785" t="str">
        <f>"8/2/2023 3:18:00 PM"</f>
        <v>8/2/2023 3:18:00 PM</v>
      </c>
      <c r="O19785" t="s">
        <v>60485</v>
      </c>
    </row>
    <row r="19786" spans="1:20" x14ac:dyDescent="0.25">
      <c r="A19786" t="str">
        <f>"3049431"</f>
        <v>3049431</v>
      </c>
      <c r="B19786" t="s">
        <v>60486</v>
      </c>
      <c r="C19786" t="str">
        <f>"8318880"</f>
        <v>8318880</v>
      </c>
      <c r="D19786" t="s">
        <v>60487</v>
      </c>
      <c r="F19786" t="s">
        <v>60488</v>
      </c>
      <c r="I19786" t="s">
        <v>29</v>
      </c>
      <c r="J19786" t="s">
        <v>30</v>
      </c>
      <c r="K19786" t="s">
        <v>49727</v>
      </c>
      <c r="M19786" t="s">
        <v>25733</v>
      </c>
      <c r="N19786" t="str">
        <f>"8/4/2023 8:36:00 AM"</f>
        <v>8/4/2023 8:36:00 AM</v>
      </c>
      <c r="O19786" t="s">
        <v>60487</v>
      </c>
    </row>
    <row r="19787" spans="1:20" x14ac:dyDescent="0.25">
      <c r="A19787" t="str">
        <f>"3058469"</f>
        <v>3058469</v>
      </c>
      <c r="B19787" t="s">
        <v>60489</v>
      </c>
      <c r="C19787" t="str">
        <f>"8320713"</f>
        <v>8320713</v>
      </c>
      <c r="D19787" t="s">
        <v>60490</v>
      </c>
      <c r="F19787" t="s">
        <v>60491</v>
      </c>
      <c r="I19787" t="s">
        <v>29</v>
      </c>
      <c r="J19787" t="s">
        <v>30</v>
      </c>
      <c r="K19787" t="s">
        <v>59681</v>
      </c>
      <c r="M19787" t="s">
        <v>17861</v>
      </c>
      <c r="N19787" t="str">
        <f>"8/7/2023 3:31:00 PM"</f>
        <v>8/7/2023 3:31:00 PM</v>
      </c>
      <c r="O19787" t="s">
        <v>60490</v>
      </c>
    </row>
    <row r="19788" spans="1:20" x14ac:dyDescent="0.25">
      <c r="A19788" t="str">
        <f>"3054616"</f>
        <v>3054616</v>
      </c>
      <c r="B19788" t="s">
        <v>60492</v>
      </c>
      <c r="C19788" t="str">
        <f>"8320714"</f>
        <v>8320714</v>
      </c>
      <c r="D19788" t="s">
        <v>60493</v>
      </c>
      <c r="E19788" t="s">
        <v>60494</v>
      </c>
      <c r="F19788" t="s">
        <v>60495</v>
      </c>
      <c r="I19788" t="s">
        <v>29</v>
      </c>
      <c r="J19788" t="s">
        <v>30</v>
      </c>
      <c r="K19788" t="s">
        <v>60496</v>
      </c>
      <c r="M19788" t="s">
        <v>17861</v>
      </c>
      <c r="N19788" t="str">
        <f>"8/7/2023 3:34:00 PM"</f>
        <v>8/7/2023 3:34:00 PM</v>
      </c>
      <c r="O19788" t="s">
        <v>60493</v>
      </c>
      <c r="T19788" t="s">
        <v>60494</v>
      </c>
    </row>
    <row r="19789" spans="1:20" x14ac:dyDescent="0.25">
      <c r="A19789" t="str">
        <f>"3062267"</f>
        <v>3062267</v>
      </c>
      <c r="B19789" t="s">
        <v>60497</v>
      </c>
      <c r="C19789" t="str">
        <f>"74140000"</f>
        <v>74140000</v>
      </c>
      <c r="D19789" t="s">
        <v>60498</v>
      </c>
      <c r="E19789" t="s">
        <v>60499</v>
      </c>
      <c r="F19789" t="s">
        <v>60500</v>
      </c>
      <c r="I19789" t="s">
        <v>60501</v>
      </c>
      <c r="J19789" t="s">
        <v>30</v>
      </c>
      <c r="K19789" t="s">
        <v>60502</v>
      </c>
      <c r="M19789" t="s">
        <v>17861</v>
      </c>
      <c r="N19789" t="str">
        <f>"8/7/2023 3:37:00 PM"</f>
        <v>8/7/2023 3:37:00 PM</v>
      </c>
      <c r="O19789" t="s">
        <v>60498</v>
      </c>
      <c r="T19789" t="s">
        <v>60499</v>
      </c>
    </row>
    <row r="19790" spans="1:20" x14ac:dyDescent="0.25">
      <c r="A19790" t="str">
        <f>"3062266"</f>
        <v>3062266</v>
      </c>
      <c r="B19790" t="s">
        <v>60503</v>
      </c>
      <c r="C19790" t="str">
        <f>"8320715"</f>
        <v>8320715</v>
      </c>
      <c r="D19790" t="s">
        <v>60504</v>
      </c>
      <c r="E19790" t="s">
        <v>60505</v>
      </c>
      <c r="F19790" t="s">
        <v>60506</v>
      </c>
      <c r="I19790" t="s">
        <v>184</v>
      </c>
      <c r="J19790" t="s">
        <v>30</v>
      </c>
      <c r="K19790" t="s">
        <v>48640</v>
      </c>
      <c r="M19790" t="s">
        <v>17861</v>
      </c>
      <c r="N19790" t="str">
        <f>"8/7/2023 3:39:00 PM"</f>
        <v>8/7/2023 3:39:00 PM</v>
      </c>
      <c r="O19790" t="s">
        <v>60504</v>
      </c>
      <c r="T19790" t="s">
        <v>60505</v>
      </c>
    </row>
    <row r="19791" spans="1:20" x14ac:dyDescent="0.25">
      <c r="A19791" t="str">
        <f>"3078183"</f>
        <v>3078183</v>
      </c>
      <c r="B19791" t="s">
        <v>60507</v>
      </c>
      <c r="C19791" t="str">
        <f>"8320715"</f>
        <v>8320715</v>
      </c>
      <c r="D19791" t="s">
        <v>60504</v>
      </c>
      <c r="E19791" t="s">
        <v>60505</v>
      </c>
      <c r="F19791" t="s">
        <v>60506</v>
      </c>
      <c r="I19791" t="s">
        <v>184</v>
      </c>
      <c r="J19791" t="s">
        <v>30</v>
      </c>
      <c r="K19791" t="s">
        <v>48640</v>
      </c>
      <c r="M19791" t="s">
        <v>17861</v>
      </c>
      <c r="N19791" t="str">
        <f>"8/7/2023 3:39:00 PM"</f>
        <v>8/7/2023 3:39:00 PM</v>
      </c>
      <c r="O19791" t="s">
        <v>60504</v>
      </c>
      <c r="T19791" t="s">
        <v>60505</v>
      </c>
    </row>
    <row r="19792" spans="1:20" x14ac:dyDescent="0.25">
      <c r="A19792" t="str">
        <f>"3059686"</f>
        <v>3059686</v>
      </c>
      <c r="B19792" t="s">
        <v>60508</v>
      </c>
      <c r="C19792" t="str">
        <f>"8320716"</f>
        <v>8320716</v>
      </c>
      <c r="D19792" t="s">
        <v>60509</v>
      </c>
      <c r="F19792" t="s">
        <v>60510</v>
      </c>
      <c r="I19792" t="s">
        <v>29</v>
      </c>
      <c r="J19792" t="s">
        <v>30</v>
      </c>
      <c r="K19792" t="s">
        <v>8004</v>
      </c>
      <c r="M19792" t="s">
        <v>17861</v>
      </c>
      <c r="N19792" t="str">
        <f>"8/7/2023 3:50:00 PM"</f>
        <v>8/7/2023 3:50:00 PM</v>
      </c>
      <c r="O19792" t="s">
        <v>60509</v>
      </c>
    </row>
    <row r="19793" spans="1:20" x14ac:dyDescent="0.25">
      <c r="A19793" t="str">
        <f>"3061111"</f>
        <v>3061111</v>
      </c>
      <c r="B19793" t="s">
        <v>60511</v>
      </c>
      <c r="C19793" t="str">
        <f>"8320717"</f>
        <v>8320717</v>
      </c>
      <c r="D19793" t="s">
        <v>60512</v>
      </c>
      <c r="F19793" t="s">
        <v>60513</v>
      </c>
      <c r="I19793" t="s">
        <v>2071</v>
      </c>
      <c r="J19793" t="s">
        <v>30</v>
      </c>
      <c r="K19793" t="s">
        <v>38104</v>
      </c>
      <c r="M19793" t="s">
        <v>17861</v>
      </c>
      <c r="N19793" t="str">
        <f>"8/7/2023 3:57:00 PM"</f>
        <v>8/7/2023 3:57:00 PM</v>
      </c>
      <c r="O19793" t="s">
        <v>60512</v>
      </c>
    </row>
    <row r="19794" spans="1:20" x14ac:dyDescent="0.25">
      <c r="A19794" t="str">
        <f>"3040051"</f>
        <v>3040051</v>
      </c>
      <c r="B19794" t="s">
        <v>60514</v>
      </c>
      <c r="C19794" t="str">
        <f>"8305085"</f>
        <v>8305085</v>
      </c>
      <c r="D19794" t="s">
        <v>60515</v>
      </c>
      <c r="E19794" t="s">
        <v>60516</v>
      </c>
      <c r="F19794" t="s">
        <v>60517</v>
      </c>
      <c r="I19794" t="s">
        <v>29</v>
      </c>
      <c r="J19794" t="s">
        <v>30</v>
      </c>
      <c r="K19794" t="s">
        <v>1166</v>
      </c>
      <c r="M19794" t="s">
        <v>50793</v>
      </c>
      <c r="N19794" t="str">
        <f>"8/4/2023 10:21:00 AM"</f>
        <v>8/4/2023 10:21:00 AM</v>
      </c>
      <c r="O19794" t="s">
        <v>60515</v>
      </c>
      <c r="T19794" t="s">
        <v>60516</v>
      </c>
    </row>
    <row r="19795" spans="1:20" x14ac:dyDescent="0.25">
      <c r="A19795" t="str">
        <f>"3057673"</f>
        <v>3057673</v>
      </c>
      <c r="B19795" t="s">
        <v>60518</v>
      </c>
      <c r="C19795" t="str">
        <f>"8317614"</f>
        <v>8317614</v>
      </c>
      <c r="D19795" t="s">
        <v>60519</v>
      </c>
      <c r="F19795" t="s">
        <v>60520</v>
      </c>
      <c r="I19795" t="s">
        <v>184</v>
      </c>
      <c r="J19795" t="s">
        <v>30</v>
      </c>
      <c r="K19795" t="s">
        <v>45546</v>
      </c>
      <c r="M19795" t="s">
        <v>50621</v>
      </c>
      <c r="N19795" t="str">
        <f>"8/4/2023 11:01:00 AM"</f>
        <v>8/4/2023 11:01:00 AM</v>
      </c>
      <c r="O19795" t="s">
        <v>60519</v>
      </c>
    </row>
    <row r="19796" spans="1:20" x14ac:dyDescent="0.25">
      <c r="A19796" t="str">
        <f>"3057299"</f>
        <v>3057299</v>
      </c>
      <c r="B19796" t="s">
        <v>60521</v>
      </c>
      <c r="C19796" t="str">
        <f>"20432000"</f>
        <v>20432000</v>
      </c>
      <c r="D19796" t="s">
        <v>60522</v>
      </c>
      <c r="F19796" t="s">
        <v>60523</v>
      </c>
      <c r="I19796" t="s">
        <v>402</v>
      </c>
      <c r="J19796" t="s">
        <v>30</v>
      </c>
      <c r="K19796" t="s">
        <v>60524</v>
      </c>
      <c r="M19796" t="s">
        <v>50793</v>
      </c>
      <c r="N19796" t="str">
        <f>"8/4/2023 11:03:00 AM"</f>
        <v>8/4/2023 11:03:00 AM</v>
      </c>
      <c r="O19796" t="s">
        <v>60522</v>
      </c>
    </row>
    <row r="19797" spans="1:20" x14ac:dyDescent="0.25">
      <c r="A19797" t="str">
        <f>"3043190"</f>
        <v>3043190</v>
      </c>
      <c r="B19797" t="s">
        <v>60525</v>
      </c>
      <c r="C19797" t="str">
        <f>"20432000"</f>
        <v>20432000</v>
      </c>
      <c r="D19797" t="s">
        <v>60522</v>
      </c>
      <c r="F19797" t="s">
        <v>60523</v>
      </c>
      <c r="I19797" t="s">
        <v>402</v>
      </c>
      <c r="J19797" t="s">
        <v>30</v>
      </c>
      <c r="K19797" t="s">
        <v>60524</v>
      </c>
      <c r="M19797" t="s">
        <v>50793</v>
      </c>
      <c r="N19797" t="str">
        <f>"8/4/2023 11:03:00 AM"</f>
        <v>8/4/2023 11:03:00 AM</v>
      </c>
      <c r="O19797" t="s">
        <v>60522</v>
      </c>
    </row>
    <row r="19798" spans="1:20" x14ac:dyDescent="0.25">
      <c r="A19798" t="str">
        <f>"3047432"</f>
        <v>3047432</v>
      </c>
      <c r="B19798" t="s">
        <v>60526</v>
      </c>
      <c r="C19798" t="str">
        <f>"20436000"</f>
        <v>20436000</v>
      </c>
      <c r="D19798" t="s">
        <v>60527</v>
      </c>
      <c r="E19798" t="s">
        <v>60528</v>
      </c>
      <c r="F19798" t="s">
        <v>60523</v>
      </c>
      <c r="I19798" t="s">
        <v>402</v>
      </c>
      <c r="J19798" t="s">
        <v>30</v>
      </c>
      <c r="K19798" t="s">
        <v>60524</v>
      </c>
      <c r="M19798" t="s">
        <v>50793</v>
      </c>
      <c r="N19798" t="str">
        <f>"8/4/2023 11:04:00 AM"</f>
        <v>8/4/2023 11:04:00 AM</v>
      </c>
      <c r="O19798" t="s">
        <v>60527</v>
      </c>
      <c r="T19798" t="s">
        <v>60528</v>
      </c>
    </row>
    <row r="19799" spans="1:20" x14ac:dyDescent="0.25">
      <c r="A19799" t="str">
        <f>"3061059"</f>
        <v>3061059</v>
      </c>
      <c r="B19799" t="s">
        <v>60529</v>
      </c>
      <c r="C19799" t="str">
        <f>"8320724"</f>
        <v>8320724</v>
      </c>
      <c r="D19799" t="s">
        <v>60530</v>
      </c>
      <c r="E19799" t="s">
        <v>60531</v>
      </c>
      <c r="F19799" t="s">
        <v>60532</v>
      </c>
      <c r="I19799" t="s">
        <v>184</v>
      </c>
      <c r="J19799" t="s">
        <v>30</v>
      </c>
      <c r="K19799" t="s">
        <v>60533</v>
      </c>
      <c r="M19799" t="s">
        <v>17861</v>
      </c>
      <c r="N19799" t="str">
        <f>"8/8/2023 10:33:00 AM"</f>
        <v>8/8/2023 10:33:00 AM</v>
      </c>
      <c r="O19799" t="s">
        <v>60530</v>
      </c>
      <c r="T19799" t="s">
        <v>60531</v>
      </c>
    </row>
    <row r="19800" spans="1:20" x14ac:dyDescent="0.25">
      <c r="A19800" t="str">
        <f>"3051308"</f>
        <v>3051308</v>
      </c>
      <c r="B19800" t="s">
        <v>60534</v>
      </c>
      <c r="C19800" t="str">
        <f>"8305392"</f>
        <v>8305392</v>
      </c>
      <c r="D19800" t="s">
        <v>60535</v>
      </c>
      <c r="F19800" t="s">
        <v>60536</v>
      </c>
      <c r="I19800" t="s">
        <v>29</v>
      </c>
      <c r="J19800" t="s">
        <v>30</v>
      </c>
      <c r="K19800" t="s">
        <v>60537</v>
      </c>
      <c r="M19800" t="s">
        <v>50621</v>
      </c>
      <c r="N19800" t="str">
        <f>"8/8/2023 10:52:00 AM"</f>
        <v>8/8/2023 10:52:00 AM</v>
      </c>
      <c r="O19800" t="s">
        <v>60535</v>
      </c>
    </row>
    <row r="19801" spans="1:20" x14ac:dyDescent="0.25">
      <c r="A19801" t="str">
        <f>"3055406"</f>
        <v>3055406</v>
      </c>
      <c r="B19801" t="s">
        <v>60538</v>
      </c>
      <c r="C19801" t="str">
        <f>"69460000"</f>
        <v>69460000</v>
      </c>
      <c r="D19801" t="s">
        <v>60539</v>
      </c>
      <c r="E19801" t="s">
        <v>60540</v>
      </c>
      <c r="F19801" t="s">
        <v>60541</v>
      </c>
      <c r="G19801" t="s">
        <v>60542</v>
      </c>
      <c r="I19801" t="s">
        <v>60543</v>
      </c>
      <c r="J19801" t="s">
        <v>30</v>
      </c>
      <c r="K19801" t="s">
        <v>60544</v>
      </c>
      <c r="M19801" t="s">
        <v>50621</v>
      </c>
      <c r="N19801" t="str">
        <f>"8/4/2023 2:40:00 PM"</f>
        <v>8/4/2023 2:40:00 PM</v>
      </c>
      <c r="O19801" t="s">
        <v>60539</v>
      </c>
      <c r="T19801" t="s">
        <v>60540</v>
      </c>
    </row>
    <row r="19802" spans="1:20" x14ac:dyDescent="0.25">
      <c r="A19802" t="str">
        <f>"3044614"</f>
        <v>3044614</v>
      </c>
      <c r="B19802" t="s">
        <v>60545</v>
      </c>
      <c r="C19802" t="str">
        <f>"82523619"</f>
        <v>82523619</v>
      </c>
      <c r="D19802" t="s">
        <v>60546</v>
      </c>
      <c r="F19802" t="s">
        <v>60547</v>
      </c>
      <c r="I19802" t="s">
        <v>471</v>
      </c>
      <c r="J19802" t="s">
        <v>30</v>
      </c>
      <c r="K19802" t="s">
        <v>60548</v>
      </c>
      <c r="M19802" t="s">
        <v>50621</v>
      </c>
      <c r="N19802" t="str">
        <f>"8/4/2023 2:46:00 PM"</f>
        <v>8/4/2023 2:46:00 PM</v>
      </c>
      <c r="O19802" t="s">
        <v>60546</v>
      </c>
    </row>
    <row r="19803" spans="1:20" x14ac:dyDescent="0.25">
      <c r="A19803" t="str">
        <f>"3039532"</f>
        <v>3039532</v>
      </c>
      <c r="B19803" t="s">
        <v>60549</v>
      </c>
      <c r="C19803" t="str">
        <f>"82518734"</f>
        <v>82518734</v>
      </c>
      <c r="D19803" t="s">
        <v>60550</v>
      </c>
      <c r="F19803" t="s">
        <v>60551</v>
      </c>
      <c r="I19803" t="s">
        <v>29</v>
      </c>
      <c r="J19803" t="s">
        <v>30</v>
      </c>
      <c r="K19803" t="s">
        <v>18512</v>
      </c>
      <c r="M19803" t="s">
        <v>50793</v>
      </c>
      <c r="N19803" t="str">
        <f>"8/2/2023 11:15:00 AM"</f>
        <v>8/2/2023 11:15:00 AM</v>
      </c>
      <c r="O19803" t="s">
        <v>60550</v>
      </c>
    </row>
    <row r="19804" spans="1:20" x14ac:dyDescent="0.25">
      <c r="A19804" t="str">
        <f>"3058519"</f>
        <v>3058519</v>
      </c>
      <c r="B19804" t="s">
        <v>60552</v>
      </c>
      <c r="C19804" t="str">
        <f>"82524475"</f>
        <v>82524475</v>
      </c>
      <c r="D19804" t="s">
        <v>60553</v>
      </c>
      <c r="E19804" t="s">
        <v>60554</v>
      </c>
      <c r="F19804" t="str">
        <f>"C/O THEBEAU &amp; ASSOCIATES PA"</f>
        <v>C/O THEBEAU &amp; ASSOCIATES PA</v>
      </c>
      <c r="G19804" t="s">
        <v>60555</v>
      </c>
      <c r="I19804" t="s">
        <v>14865</v>
      </c>
      <c r="J19804" t="s">
        <v>30</v>
      </c>
      <c r="K19804" t="s">
        <v>14866</v>
      </c>
      <c r="M19804" t="s">
        <v>50621</v>
      </c>
      <c r="N19804" t="str">
        <f>"8/2/2023 2:16:00 PM"</f>
        <v>8/2/2023 2:16:00 PM</v>
      </c>
      <c r="O19804" t="s">
        <v>60553</v>
      </c>
      <c r="T19804" t="s">
        <v>60554</v>
      </c>
    </row>
    <row r="19805" spans="1:20" x14ac:dyDescent="0.25">
      <c r="A19805" t="str">
        <f>"3040462"</f>
        <v>3040462</v>
      </c>
      <c r="B19805" t="s">
        <v>60556</v>
      </c>
      <c r="C19805" t="str">
        <f>"8314571"</f>
        <v>8314571</v>
      </c>
      <c r="D19805" t="s">
        <v>60557</v>
      </c>
      <c r="E19805" t="s">
        <v>60558</v>
      </c>
      <c r="F19805" t="s">
        <v>60559</v>
      </c>
      <c r="I19805" t="s">
        <v>29</v>
      </c>
      <c r="J19805" t="s">
        <v>30</v>
      </c>
      <c r="K19805" t="s">
        <v>43241</v>
      </c>
      <c r="M19805" t="s">
        <v>50621</v>
      </c>
      <c r="N19805" t="str">
        <f>"8/8/2023 2:56:00 PM"</f>
        <v>8/8/2023 2:56:00 PM</v>
      </c>
      <c r="O19805" t="s">
        <v>60557</v>
      </c>
      <c r="T19805" t="s">
        <v>60558</v>
      </c>
    </row>
    <row r="19806" spans="1:20" x14ac:dyDescent="0.25">
      <c r="A19806" t="str">
        <f>"3038906"</f>
        <v>3038906</v>
      </c>
      <c r="B19806" t="s">
        <v>60560</v>
      </c>
      <c r="C19806" t="str">
        <f>"8320726"</f>
        <v>8320726</v>
      </c>
      <c r="D19806" t="s">
        <v>60561</v>
      </c>
      <c r="F19806" t="s">
        <v>60562</v>
      </c>
      <c r="I19806" t="s">
        <v>29</v>
      </c>
      <c r="J19806" t="s">
        <v>30</v>
      </c>
      <c r="K19806" t="s">
        <v>1220</v>
      </c>
      <c r="M19806" t="s">
        <v>17861</v>
      </c>
      <c r="N19806" t="str">
        <f>"8/8/2023 2:59:00 PM"</f>
        <v>8/8/2023 2:59:00 PM</v>
      </c>
      <c r="O19806" t="s">
        <v>60561</v>
      </c>
    </row>
    <row r="19807" spans="1:20" x14ac:dyDescent="0.25">
      <c r="A19807" t="str">
        <f>"3040567"</f>
        <v>3040567</v>
      </c>
      <c r="B19807" t="s">
        <v>60563</v>
      </c>
      <c r="C19807" t="str">
        <f>"82524280"</f>
        <v>82524280</v>
      </c>
      <c r="D19807" t="s">
        <v>60564</v>
      </c>
      <c r="F19807" t="s">
        <v>60565</v>
      </c>
      <c r="I19807" t="s">
        <v>184</v>
      </c>
      <c r="J19807" t="s">
        <v>30</v>
      </c>
      <c r="K19807" t="s">
        <v>20128</v>
      </c>
      <c r="M19807" t="s">
        <v>50621</v>
      </c>
      <c r="N19807" t="str">
        <f>"8/8/2023 3:01:00 PM"</f>
        <v>8/8/2023 3:01:00 PM</v>
      </c>
      <c r="O19807" t="s">
        <v>60564</v>
      </c>
    </row>
    <row r="19808" spans="1:20" x14ac:dyDescent="0.25">
      <c r="A19808" t="str">
        <f>"3052668"</f>
        <v>3052668</v>
      </c>
      <c r="B19808" t="s">
        <v>60566</v>
      </c>
      <c r="C19808" t="str">
        <f>"8318161"</f>
        <v>8318161</v>
      </c>
      <c r="D19808" t="s">
        <v>60567</v>
      </c>
      <c r="F19808" t="s">
        <v>60568</v>
      </c>
      <c r="G19808" t="s">
        <v>60569</v>
      </c>
      <c r="I19808" t="s">
        <v>7365</v>
      </c>
      <c r="J19808" t="s">
        <v>30</v>
      </c>
      <c r="K19808" t="s">
        <v>60570</v>
      </c>
      <c r="M19808" t="s">
        <v>50621</v>
      </c>
      <c r="N19808" t="str">
        <f>"8/8/2023 3:04:00 PM"</f>
        <v>8/8/2023 3:04:00 PM</v>
      </c>
      <c r="O19808" t="s">
        <v>60567</v>
      </c>
    </row>
    <row r="19809" spans="1:20" x14ac:dyDescent="0.25">
      <c r="A19809" t="str">
        <f>"3052101"</f>
        <v>3052101</v>
      </c>
      <c r="B19809" t="s">
        <v>60571</v>
      </c>
      <c r="C19809" t="str">
        <f>"8315860"</f>
        <v>8315860</v>
      </c>
      <c r="D19809" t="s">
        <v>60572</v>
      </c>
      <c r="F19809" t="s">
        <v>60573</v>
      </c>
      <c r="G19809" t="s">
        <v>60574</v>
      </c>
      <c r="I19809" t="s">
        <v>471</v>
      </c>
      <c r="J19809" t="s">
        <v>30</v>
      </c>
      <c r="K19809" t="s">
        <v>60575</v>
      </c>
      <c r="M19809" t="s">
        <v>50621</v>
      </c>
      <c r="N19809" t="str">
        <f>"8/8/2023 3:06:00 PM"</f>
        <v>8/8/2023 3:06:00 PM</v>
      </c>
      <c r="O19809" t="s">
        <v>60572</v>
      </c>
    </row>
    <row r="19810" spans="1:20" x14ac:dyDescent="0.25">
      <c r="A19810" t="str">
        <f>"3062541"</f>
        <v>3062541</v>
      </c>
      <c r="B19810" t="s">
        <v>60576</v>
      </c>
      <c r="C19810" t="str">
        <f>"8320728"</f>
        <v>8320728</v>
      </c>
      <c r="D19810" t="s">
        <v>60577</v>
      </c>
      <c r="E19810" t="s">
        <v>60578</v>
      </c>
      <c r="F19810" t="s">
        <v>60579</v>
      </c>
      <c r="I19810" t="s">
        <v>29</v>
      </c>
      <c r="J19810" t="s">
        <v>30</v>
      </c>
      <c r="K19810" t="s">
        <v>19045</v>
      </c>
      <c r="M19810" t="s">
        <v>17861</v>
      </c>
      <c r="N19810" t="str">
        <f>"8/8/2023 3:07:00 PM"</f>
        <v>8/8/2023 3:07:00 PM</v>
      </c>
      <c r="O19810" t="s">
        <v>60577</v>
      </c>
      <c r="T19810" t="s">
        <v>60578</v>
      </c>
    </row>
    <row r="19811" spans="1:20" x14ac:dyDescent="0.25">
      <c r="A19811" t="str">
        <f>"3059215"</f>
        <v>3059215</v>
      </c>
      <c r="B19811" t="s">
        <v>60580</v>
      </c>
      <c r="C19811" t="str">
        <f>"8320729"</f>
        <v>8320729</v>
      </c>
      <c r="D19811" t="s">
        <v>60581</v>
      </c>
      <c r="E19811" t="s">
        <v>60582</v>
      </c>
      <c r="F19811" t="s">
        <v>60583</v>
      </c>
      <c r="I19811" t="s">
        <v>29</v>
      </c>
      <c r="J19811" t="s">
        <v>30</v>
      </c>
      <c r="K19811" t="s">
        <v>60584</v>
      </c>
      <c r="M19811" t="s">
        <v>17861</v>
      </c>
      <c r="N19811" t="str">
        <f>"8/8/2023 3:15:00 PM"</f>
        <v>8/8/2023 3:15:00 PM</v>
      </c>
      <c r="O19811" t="s">
        <v>60581</v>
      </c>
      <c r="T19811" t="s">
        <v>60582</v>
      </c>
    </row>
    <row r="19812" spans="1:20" x14ac:dyDescent="0.25">
      <c r="A19812" t="str">
        <f>"3060233"</f>
        <v>3060233</v>
      </c>
      <c r="B19812" t="s">
        <v>60585</v>
      </c>
      <c r="C19812" t="str">
        <f>"8311629"</f>
        <v>8311629</v>
      </c>
      <c r="D19812" t="s">
        <v>60586</v>
      </c>
      <c r="E19812" t="s">
        <v>60587</v>
      </c>
      <c r="F19812" t="s">
        <v>60588</v>
      </c>
      <c r="I19812" t="s">
        <v>184</v>
      </c>
      <c r="J19812" t="s">
        <v>30</v>
      </c>
      <c r="K19812" t="s">
        <v>38466</v>
      </c>
      <c r="M19812" t="s">
        <v>50621</v>
      </c>
      <c r="N19812" t="str">
        <f>"8/8/2023 3:19:00 PM"</f>
        <v>8/8/2023 3:19:00 PM</v>
      </c>
      <c r="O19812" t="s">
        <v>60586</v>
      </c>
      <c r="T19812" t="s">
        <v>60587</v>
      </c>
    </row>
    <row r="19813" spans="1:20" x14ac:dyDescent="0.25">
      <c r="A19813" t="str">
        <f>"3062252"</f>
        <v>3062252</v>
      </c>
      <c r="B19813" t="s">
        <v>60589</v>
      </c>
      <c r="C19813" t="str">
        <f>"8312215"</f>
        <v>8312215</v>
      </c>
      <c r="D19813" t="s">
        <v>60590</v>
      </c>
      <c r="E19813" t="s">
        <v>60591</v>
      </c>
      <c r="F19813" t="s">
        <v>60592</v>
      </c>
      <c r="I19813" t="s">
        <v>29</v>
      </c>
      <c r="J19813" t="s">
        <v>30</v>
      </c>
      <c r="K19813" t="s">
        <v>60142</v>
      </c>
      <c r="M19813" t="s">
        <v>50621</v>
      </c>
      <c r="N19813" t="str">
        <f>"8/8/2023 3:23:00 PM"</f>
        <v>8/8/2023 3:23:00 PM</v>
      </c>
      <c r="O19813" t="s">
        <v>60590</v>
      </c>
      <c r="T19813" t="s">
        <v>60591</v>
      </c>
    </row>
    <row r="19814" spans="1:20" x14ac:dyDescent="0.25">
      <c r="A19814" t="str">
        <f>"3057714"</f>
        <v>3057714</v>
      </c>
      <c r="B19814" t="s">
        <v>60593</v>
      </c>
      <c r="C19814" t="str">
        <f>"8318623"</f>
        <v>8318623</v>
      </c>
      <c r="D19814" t="s">
        <v>60594</v>
      </c>
      <c r="F19814" t="s">
        <v>60595</v>
      </c>
      <c r="I19814" t="s">
        <v>184</v>
      </c>
      <c r="J19814" t="s">
        <v>30</v>
      </c>
      <c r="K19814" t="s">
        <v>19873</v>
      </c>
      <c r="M19814" t="s">
        <v>50621</v>
      </c>
      <c r="N19814" t="str">
        <f>"8/2/2023 2:21:00 PM"</f>
        <v>8/2/2023 2:21:00 PM</v>
      </c>
      <c r="O19814" t="s">
        <v>60594</v>
      </c>
    </row>
    <row r="19815" spans="1:20" x14ac:dyDescent="0.25">
      <c r="A19815" t="str">
        <f>"3078098"</f>
        <v>3078098</v>
      </c>
      <c r="B19815" t="s">
        <v>60596</v>
      </c>
      <c r="C19815" t="str">
        <f>"8318694"</f>
        <v>8318694</v>
      </c>
      <c r="D19815" t="s">
        <v>60435</v>
      </c>
      <c r="F19815" t="s">
        <v>56934</v>
      </c>
      <c r="I19815" t="s">
        <v>29</v>
      </c>
      <c r="J19815" t="s">
        <v>30</v>
      </c>
      <c r="K19815" t="s">
        <v>52720</v>
      </c>
      <c r="M19815" t="s">
        <v>50621</v>
      </c>
      <c r="N19815" t="str">
        <f>"8/4/2023 3:27:00 PM"</f>
        <v>8/4/2023 3:27:00 PM</v>
      </c>
      <c r="O19815" t="s">
        <v>60435</v>
      </c>
    </row>
    <row r="19816" spans="1:20" x14ac:dyDescent="0.25">
      <c r="A19816" t="str">
        <f>"3078099"</f>
        <v>3078099</v>
      </c>
      <c r="B19816" t="s">
        <v>60597</v>
      </c>
      <c r="C19816" t="str">
        <f>"8318694"</f>
        <v>8318694</v>
      </c>
      <c r="D19816" t="s">
        <v>60435</v>
      </c>
      <c r="F19816" t="s">
        <v>56934</v>
      </c>
      <c r="I19816" t="s">
        <v>29</v>
      </c>
      <c r="J19816" t="s">
        <v>30</v>
      </c>
      <c r="K19816" t="s">
        <v>52720</v>
      </c>
      <c r="M19816" t="s">
        <v>50621</v>
      </c>
      <c r="N19816" t="str">
        <f>"8/4/2023 3:27:00 PM"</f>
        <v>8/4/2023 3:27:00 PM</v>
      </c>
      <c r="O19816" t="s">
        <v>60435</v>
      </c>
    </row>
    <row r="19817" spans="1:20" x14ac:dyDescent="0.25">
      <c r="A19817" t="str">
        <f>"3078100"</f>
        <v>3078100</v>
      </c>
      <c r="B19817" t="s">
        <v>60598</v>
      </c>
      <c r="C19817" t="str">
        <f>"8318694"</f>
        <v>8318694</v>
      </c>
      <c r="D19817" t="s">
        <v>60435</v>
      </c>
      <c r="F19817" t="s">
        <v>56934</v>
      </c>
      <c r="I19817" t="s">
        <v>29</v>
      </c>
      <c r="J19817" t="s">
        <v>30</v>
      </c>
      <c r="K19817" t="s">
        <v>52720</v>
      </c>
      <c r="M19817" t="s">
        <v>50621</v>
      </c>
      <c r="N19817" t="str">
        <f>"8/4/2023 3:27:00 PM"</f>
        <v>8/4/2023 3:27:00 PM</v>
      </c>
      <c r="O19817" t="s">
        <v>60435</v>
      </c>
    </row>
    <row r="19818" spans="1:20" x14ac:dyDescent="0.25">
      <c r="A19818" t="str">
        <f>"3066140"</f>
        <v>3066140</v>
      </c>
      <c r="B19818" t="s">
        <v>60599</v>
      </c>
      <c r="C19818" t="str">
        <f>"8319628"</f>
        <v>8319628</v>
      </c>
      <c r="D19818" t="s">
        <v>60600</v>
      </c>
      <c r="E19818" t="s">
        <v>60601</v>
      </c>
      <c r="F19818" t="s">
        <v>60602</v>
      </c>
      <c r="I19818" t="s">
        <v>29</v>
      </c>
      <c r="J19818" t="s">
        <v>30</v>
      </c>
      <c r="K19818" t="s">
        <v>49361</v>
      </c>
      <c r="M19818" t="s">
        <v>50793</v>
      </c>
      <c r="N19818" t="str">
        <f>"8/7/2023 1:59:00 PM"</f>
        <v>8/7/2023 1:59:00 PM</v>
      </c>
      <c r="O19818" t="s">
        <v>60600</v>
      </c>
      <c r="T19818" t="s">
        <v>60601</v>
      </c>
    </row>
    <row r="19819" spans="1:20" x14ac:dyDescent="0.25">
      <c r="A19819" t="str">
        <f>"3078693"</f>
        <v>3078693</v>
      </c>
      <c r="B19819" t="s">
        <v>60603</v>
      </c>
      <c r="C19819" t="str">
        <f>"8319628"</f>
        <v>8319628</v>
      </c>
      <c r="D19819" t="s">
        <v>60600</v>
      </c>
      <c r="E19819" t="s">
        <v>60601</v>
      </c>
      <c r="F19819" t="s">
        <v>60602</v>
      </c>
      <c r="I19819" t="s">
        <v>29</v>
      </c>
      <c r="J19819" t="s">
        <v>30</v>
      </c>
      <c r="K19819" t="s">
        <v>49361</v>
      </c>
      <c r="M19819" t="s">
        <v>50793</v>
      </c>
      <c r="N19819" t="str">
        <f>"8/7/2023 1:59:00 PM"</f>
        <v>8/7/2023 1:59:00 PM</v>
      </c>
      <c r="O19819" t="s">
        <v>60600</v>
      </c>
      <c r="T19819" t="s">
        <v>60601</v>
      </c>
    </row>
    <row r="19820" spans="1:20" x14ac:dyDescent="0.25">
      <c r="A19820" t="str">
        <f>"3076721"</f>
        <v>3076721</v>
      </c>
      <c r="B19820" t="s">
        <v>60604</v>
      </c>
      <c r="C19820" t="str">
        <f>"8320710"</f>
        <v>8320710</v>
      </c>
      <c r="D19820" t="s">
        <v>60605</v>
      </c>
      <c r="F19820" t="s">
        <v>60606</v>
      </c>
      <c r="I19820" t="s">
        <v>184</v>
      </c>
      <c r="J19820" t="s">
        <v>30</v>
      </c>
      <c r="K19820" t="s">
        <v>60607</v>
      </c>
      <c r="M19820" t="s">
        <v>17861</v>
      </c>
      <c r="N19820" t="str">
        <f>"8/7/2023 3:00:00 PM"</f>
        <v>8/7/2023 3:00:00 PM</v>
      </c>
      <c r="O19820" t="s">
        <v>60605</v>
      </c>
    </row>
    <row r="19821" spans="1:20" x14ac:dyDescent="0.25">
      <c r="A19821" t="str">
        <f>"3041290"</f>
        <v>3041290</v>
      </c>
      <c r="B19821" t="s">
        <v>60608</v>
      </c>
      <c r="C19821" t="str">
        <f>"8320711"</f>
        <v>8320711</v>
      </c>
      <c r="D19821" t="s">
        <v>60609</v>
      </c>
      <c r="E19821" t="s">
        <v>60610</v>
      </c>
      <c r="F19821" t="s">
        <v>60611</v>
      </c>
      <c r="I19821" t="s">
        <v>32716</v>
      </c>
      <c r="J19821" t="s">
        <v>30</v>
      </c>
      <c r="K19821" t="s">
        <v>60612</v>
      </c>
      <c r="M19821" t="s">
        <v>17861</v>
      </c>
      <c r="N19821" t="str">
        <f>"8/7/2023 3:23:00 PM"</f>
        <v>8/7/2023 3:23:00 PM</v>
      </c>
      <c r="O19821" t="s">
        <v>60609</v>
      </c>
      <c r="T19821" t="s">
        <v>60610</v>
      </c>
    </row>
    <row r="19822" spans="1:20" x14ac:dyDescent="0.25">
      <c r="A19822" t="str">
        <f>"3044394"</f>
        <v>3044394</v>
      </c>
      <c r="B19822" t="s">
        <v>60613</v>
      </c>
      <c r="C19822" t="str">
        <f>"8320712"</f>
        <v>8320712</v>
      </c>
      <c r="D19822" t="s">
        <v>60614</v>
      </c>
      <c r="E19822" t="s">
        <v>60615</v>
      </c>
      <c r="F19822" t="s">
        <v>60616</v>
      </c>
      <c r="I19822" t="s">
        <v>184</v>
      </c>
      <c r="J19822" t="s">
        <v>30</v>
      </c>
      <c r="K19822" t="s">
        <v>6103</v>
      </c>
      <c r="M19822" t="s">
        <v>17861</v>
      </c>
      <c r="N19822" t="str">
        <f>"8/7/2023 3:29:00 PM"</f>
        <v>8/7/2023 3:29:00 PM</v>
      </c>
      <c r="O19822" t="s">
        <v>60614</v>
      </c>
      <c r="T19822" t="s">
        <v>60615</v>
      </c>
    </row>
    <row r="19823" spans="1:20" x14ac:dyDescent="0.25">
      <c r="A19823" t="str">
        <f>"3053708"</f>
        <v>3053708</v>
      </c>
      <c r="B19823" t="s">
        <v>60617</v>
      </c>
      <c r="C19823" t="str">
        <f>"8309004"</f>
        <v>8309004</v>
      </c>
      <c r="D19823" t="s">
        <v>60618</v>
      </c>
      <c r="E19823" t="s">
        <v>60619</v>
      </c>
      <c r="F19823" t="s">
        <v>60620</v>
      </c>
      <c r="I19823" t="s">
        <v>184</v>
      </c>
      <c r="J19823" t="s">
        <v>30</v>
      </c>
      <c r="K19823" t="s">
        <v>41029</v>
      </c>
      <c r="M19823" t="s">
        <v>50621</v>
      </c>
      <c r="N19823" t="str">
        <f>"8/7/2023 3:29:00 PM"</f>
        <v>8/7/2023 3:29:00 PM</v>
      </c>
      <c r="O19823" t="s">
        <v>60618</v>
      </c>
      <c r="T19823" t="s">
        <v>60619</v>
      </c>
    </row>
    <row r="19824" spans="1:20" x14ac:dyDescent="0.25">
      <c r="A19824" t="str">
        <f>"3049338"</f>
        <v>3049338</v>
      </c>
      <c r="B19824" t="s">
        <v>60621</v>
      </c>
      <c r="C19824" t="str">
        <f>"8320718"</f>
        <v>8320718</v>
      </c>
      <c r="D19824" t="s">
        <v>60622</v>
      </c>
      <c r="E19824" t="s">
        <v>60623</v>
      </c>
      <c r="F19824" t="s">
        <v>60624</v>
      </c>
      <c r="I19824" t="s">
        <v>29</v>
      </c>
      <c r="J19824" t="s">
        <v>30</v>
      </c>
      <c r="K19824" t="s">
        <v>12057</v>
      </c>
      <c r="M19824" t="s">
        <v>17861</v>
      </c>
      <c r="N19824" t="str">
        <f>"8/7/2023 4:01:00 PM"</f>
        <v>8/7/2023 4:01:00 PM</v>
      </c>
      <c r="O19824" t="s">
        <v>60622</v>
      </c>
      <c r="T19824" t="s">
        <v>60623</v>
      </c>
    </row>
    <row r="19825" spans="1:20" x14ac:dyDescent="0.25">
      <c r="A19825" t="str">
        <f>"3062587"</f>
        <v>3062587</v>
      </c>
      <c r="B19825" t="s">
        <v>60625</v>
      </c>
      <c r="C19825" t="str">
        <f>"8320719"</f>
        <v>8320719</v>
      </c>
      <c r="D19825" t="s">
        <v>60626</v>
      </c>
      <c r="E19825" t="s">
        <v>60627</v>
      </c>
      <c r="F19825" t="s">
        <v>60628</v>
      </c>
      <c r="I19825" t="s">
        <v>29</v>
      </c>
      <c r="J19825" t="s">
        <v>30</v>
      </c>
      <c r="K19825" t="s">
        <v>48299</v>
      </c>
      <c r="M19825" t="s">
        <v>17861</v>
      </c>
      <c r="N19825" t="str">
        <f>"8/7/2023 4:04:00 PM"</f>
        <v>8/7/2023 4:04:00 PM</v>
      </c>
      <c r="O19825" t="s">
        <v>60626</v>
      </c>
      <c r="T19825" t="s">
        <v>60627</v>
      </c>
    </row>
    <row r="19826" spans="1:20" x14ac:dyDescent="0.25">
      <c r="A19826" t="str">
        <f>"3058369"</f>
        <v>3058369</v>
      </c>
      <c r="B19826" t="s">
        <v>60629</v>
      </c>
      <c r="C19826" t="str">
        <f>"8320720"</f>
        <v>8320720</v>
      </c>
      <c r="D19826" t="s">
        <v>60630</v>
      </c>
      <c r="E19826" t="s">
        <v>60631</v>
      </c>
      <c r="F19826" t="s">
        <v>60632</v>
      </c>
      <c r="I19826" t="s">
        <v>60633</v>
      </c>
      <c r="J19826" t="s">
        <v>12725</v>
      </c>
      <c r="K19826" t="s">
        <v>60634</v>
      </c>
      <c r="M19826" t="s">
        <v>17861</v>
      </c>
      <c r="N19826" t="str">
        <f>"8/7/2023 4:07:00 PM"</f>
        <v>8/7/2023 4:07:00 PM</v>
      </c>
      <c r="O19826" t="s">
        <v>60630</v>
      </c>
      <c r="T19826" t="s">
        <v>60631</v>
      </c>
    </row>
    <row r="19827" spans="1:20" x14ac:dyDescent="0.25">
      <c r="A19827" t="str">
        <f>"3061362"</f>
        <v>3061362</v>
      </c>
      <c r="B19827" t="s">
        <v>60635</v>
      </c>
      <c r="C19827" t="str">
        <f>"8320721"</f>
        <v>8320721</v>
      </c>
      <c r="D19827" t="s">
        <v>60636</v>
      </c>
      <c r="E19827" t="s">
        <v>60637</v>
      </c>
      <c r="F19827" t="s">
        <v>60638</v>
      </c>
      <c r="I19827" t="s">
        <v>184</v>
      </c>
      <c r="J19827" t="s">
        <v>30</v>
      </c>
      <c r="K19827" t="s">
        <v>39148</v>
      </c>
      <c r="M19827" t="s">
        <v>17861</v>
      </c>
      <c r="N19827" t="str">
        <f>"8/7/2023 4:18:00 PM"</f>
        <v>8/7/2023 4:18:00 PM</v>
      </c>
      <c r="O19827" t="s">
        <v>60636</v>
      </c>
      <c r="T19827" t="s">
        <v>60637</v>
      </c>
    </row>
    <row r="19828" spans="1:20" x14ac:dyDescent="0.25">
      <c r="A19828" t="str">
        <f>"3044919"</f>
        <v>3044919</v>
      </c>
      <c r="B19828" t="s">
        <v>60639</v>
      </c>
      <c r="C19828" t="str">
        <f>"8320722"</f>
        <v>8320722</v>
      </c>
      <c r="D19828" t="s">
        <v>60640</v>
      </c>
      <c r="E19828" t="s">
        <v>60641</v>
      </c>
      <c r="F19828" t="s">
        <v>60642</v>
      </c>
      <c r="I19828" t="s">
        <v>184</v>
      </c>
      <c r="J19828" t="s">
        <v>30</v>
      </c>
      <c r="K19828" t="s">
        <v>5531</v>
      </c>
      <c r="M19828" t="s">
        <v>17861</v>
      </c>
      <c r="N19828" t="str">
        <f>"8/8/2023 10:10:00 AM"</f>
        <v>8/8/2023 10:10:00 AM</v>
      </c>
      <c r="O19828" t="s">
        <v>60640</v>
      </c>
      <c r="T19828" t="s">
        <v>60641</v>
      </c>
    </row>
    <row r="19829" spans="1:20" x14ac:dyDescent="0.25">
      <c r="A19829" t="str">
        <f>"3040936"</f>
        <v>3040936</v>
      </c>
      <c r="B19829" t="s">
        <v>60643</v>
      </c>
      <c r="C19829" t="str">
        <f>"8307540"</f>
        <v>8307540</v>
      </c>
      <c r="D19829" t="s">
        <v>23888</v>
      </c>
      <c r="F19829" t="s">
        <v>60644</v>
      </c>
      <c r="I19829" t="s">
        <v>184</v>
      </c>
      <c r="J19829" t="s">
        <v>30</v>
      </c>
      <c r="K19829" t="str">
        <f>"27006"</f>
        <v>27006</v>
      </c>
      <c r="M19829" t="s">
        <v>50621</v>
      </c>
      <c r="N19829" t="str">
        <f>"8/8/2023 11:38:00 AM"</f>
        <v>8/8/2023 11:38:00 AM</v>
      </c>
      <c r="O19829" t="s">
        <v>23888</v>
      </c>
    </row>
    <row r="19830" spans="1:20" x14ac:dyDescent="0.25">
      <c r="A19830" t="str">
        <f>"3040360"</f>
        <v>3040360</v>
      </c>
      <c r="B19830" t="s">
        <v>60645</v>
      </c>
      <c r="C19830" t="str">
        <f>"8307540"</f>
        <v>8307540</v>
      </c>
      <c r="D19830" t="s">
        <v>23888</v>
      </c>
      <c r="F19830" t="s">
        <v>60644</v>
      </c>
      <c r="I19830" t="s">
        <v>184</v>
      </c>
      <c r="J19830" t="s">
        <v>30</v>
      </c>
      <c r="K19830" t="str">
        <f>"27006"</f>
        <v>27006</v>
      </c>
      <c r="M19830" t="s">
        <v>50621</v>
      </c>
      <c r="N19830" t="str">
        <f>"8/8/2023 11:38:00 AM"</f>
        <v>8/8/2023 11:38:00 AM</v>
      </c>
      <c r="O19830" t="s">
        <v>23888</v>
      </c>
    </row>
    <row r="19831" spans="1:20" x14ac:dyDescent="0.25">
      <c r="A19831" t="str">
        <f>"3077736"</f>
        <v>3077736</v>
      </c>
      <c r="B19831" t="s">
        <v>60646</v>
      </c>
      <c r="C19831" t="str">
        <f>"8320725"</f>
        <v>8320725</v>
      </c>
      <c r="D19831" t="s">
        <v>60647</v>
      </c>
      <c r="E19831" t="s">
        <v>60648</v>
      </c>
      <c r="F19831" t="s">
        <v>60649</v>
      </c>
      <c r="I19831" t="s">
        <v>184</v>
      </c>
      <c r="J19831" t="s">
        <v>30</v>
      </c>
      <c r="K19831" t="s">
        <v>60650</v>
      </c>
      <c r="M19831" t="s">
        <v>17861</v>
      </c>
      <c r="N19831" t="str">
        <f>"8/8/2023 2:45:00 PM"</f>
        <v>8/8/2023 2:45:00 PM</v>
      </c>
      <c r="O19831" t="s">
        <v>60647</v>
      </c>
      <c r="T19831" t="s">
        <v>60648</v>
      </c>
    </row>
    <row r="19832" spans="1:20" x14ac:dyDescent="0.25">
      <c r="A19832" t="str">
        <f>"3056124"</f>
        <v>3056124</v>
      </c>
      <c r="B19832" t="s">
        <v>60651</v>
      </c>
      <c r="C19832" t="str">
        <f>"8316167"</f>
        <v>8316167</v>
      </c>
      <c r="D19832" t="s">
        <v>60652</v>
      </c>
      <c r="E19832" t="s">
        <v>60653</v>
      </c>
      <c r="F19832" t="s">
        <v>50817</v>
      </c>
      <c r="I19832" t="s">
        <v>9580</v>
      </c>
      <c r="J19832" t="s">
        <v>30</v>
      </c>
      <c r="K19832" t="s">
        <v>60654</v>
      </c>
      <c r="M19832" t="s">
        <v>50621</v>
      </c>
      <c r="N19832" t="str">
        <f>"8/4/2023 3:18:00 PM"</f>
        <v>8/4/2023 3:18:00 PM</v>
      </c>
      <c r="O19832" t="s">
        <v>60652</v>
      </c>
      <c r="T19832" t="s">
        <v>60653</v>
      </c>
    </row>
    <row r="19833" spans="1:20" x14ac:dyDescent="0.25">
      <c r="A19833" t="str">
        <f>"3059497"</f>
        <v>3059497</v>
      </c>
      <c r="B19833" t="s">
        <v>60655</v>
      </c>
      <c r="C19833" t="str">
        <f>"82520088"</f>
        <v>82520088</v>
      </c>
      <c r="D19833" t="s">
        <v>60656</v>
      </c>
      <c r="F19833" t="s">
        <v>60657</v>
      </c>
      <c r="G19833" t="s">
        <v>60658</v>
      </c>
      <c r="I19833" t="s">
        <v>60659</v>
      </c>
      <c r="J19833" t="s">
        <v>11346</v>
      </c>
      <c r="K19833" t="s">
        <v>60660</v>
      </c>
      <c r="M19833" t="s">
        <v>50621</v>
      </c>
      <c r="N19833" t="str">
        <f>"8/8/2023 2:54:00 PM"</f>
        <v>8/8/2023 2:54:00 PM</v>
      </c>
      <c r="O19833" t="s">
        <v>60656</v>
      </c>
      <c r="T19833" t="s">
        <v>60656</v>
      </c>
    </row>
    <row r="19834" spans="1:20" x14ac:dyDescent="0.25">
      <c r="A19834" t="str">
        <f>"3049337"</f>
        <v>3049337</v>
      </c>
      <c r="B19834" t="s">
        <v>60661</v>
      </c>
      <c r="C19834" t="str">
        <f>"8317590"</f>
        <v>8317590</v>
      </c>
      <c r="D19834" t="s">
        <v>60662</v>
      </c>
      <c r="E19834" t="s">
        <v>60663</v>
      </c>
      <c r="F19834" t="s">
        <v>9094</v>
      </c>
      <c r="I19834" t="s">
        <v>29</v>
      </c>
      <c r="J19834" t="s">
        <v>30</v>
      </c>
      <c r="K19834" t="s">
        <v>60664</v>
      </c>
      <c r="M19834" t="s">
        <v>50621</v>
      </c>
      <c r="N19834" t="str">
        <f>"8/4/2023 3:21:00 PM"</f>
        <v>8/4/2023 3:21:00 PM</v>
      </c>
      <c r="O19834" t="s">
        <v>60662</v>
      </c>
      <c r="T19834" t="s">
        <v>60663</v>
      </c>
    </row>
    <row r="19835" spans="1:20" x14ac:dyDescent="0.25">
      <c r="A19835" t="str">
        <f>"3056953"</f>
        <v>3056953</v>
      </c>
      <c r="B19835" t="s">
        <v>60665</v>
      </c>
      <c r="C19835" t="str">
        <f>"8313716"</f>
        <v>8313716</v>
      </c>
      <c r="D19835" t="s">
        <v>60666</v>
      </c>
      <c r="F19835" t="s">
        <v>60667</v>
      </c>
      <c r="I19835" t="s">
        <v>29</v>
      </c>
      <c r="J19835" t="s">
        <v>30</v>
      </c>
      <c r="K19835" t="s">
        <v>60668</v>
      </c>
      <c r="M19835" t="s">
        <v>50621</v>
      </c>
      <c r="N19835" t="str">
        <f>"8/4/2023 3:23:00 PM"</f>
        <v>8/4/2023 3:23:00 PM</v>
      </c>
      <c r="O19835" t="s">
        <v>60666</v>
      </c>
    </row>
    <row r="19836" spans="1:20" x14ac:dyDescent="0.25">
      <c r="A19836" t="str">
        <f>"3040253"</f>
        <v>3040253</v>
      </c>
      <c r="B19836" t="s">
        <v>60669</v>
      </c>
      <c r="C19836" t="str">
        <f>"66414900"</f>
        <v>66414900</v>
      </c>
      <c r="D19836" t="s">
        <v>60670</v>
      </c>
      <c r="E19836" t="s">
        <v>60671</v>
      </c>
      <c r="F19836" t="s">
        <v>59032</v>
      </c>
      <c r="I19836" t="s">
        <v>184</v>
      </c>
      <c r="J19836" t="s">
        <v>30</v>
      </c>
      <c r="K19836" t="s">
        <v>26536</v>
      </c>
      <c r="M19836" t="s">
        <v>50621</v>
      </c>
      <c r="N19836" t="str">
        <f>"8/4/2023 3:24:00 PM"</f>
        <v>8/4/2023 3:24:00 PM</v>
      </c>
      <c r="O19836" t="s">
        <v>60670</v>
      </c>
      <c r="T19836" t="s">
        <v>60671</v>
      </c>
    </row>
    <row r="19837" spans="1:20" x14ac:dyDescent="0.25">
      <c r="A19837" t="str">
        <f>"3040789"</f>
        <v>3040789</v>
      </c>
      <c r="B19837" t="s">
        <v>60672</v>
      </c>
      <c r="C19837" t="str">
        <f>"66414900"</f>
        <v>66414900</v>
      </c>
      <c r="D19837" t="s">
        <v>60670</v>
      </c>
      <c r="E19837" t="s">
        <v>60671</v>
      </c>
      <c r="F19837" t="s">
        <v>59032</v>
      </c>
      <c r="I19837" t="s">
        <v>184</v>
      </c>
      <c r="J19837" t="s">
        <v>30</v>
      </c>
      <c r="K19837" t="s">
        <v>26536</v>
      </c>
      <c r="M19837" t="s">
        <v>50621</v>
      </c>
      <c r="N19837" t="str">
        <f>"8/4/2023 3:24:00 PM"</f>
        <v>8/4/2023 3:24:00 PM</v>
      </c>
      <c r="O19837" t="s">
        <v>60670</v>
      </c>
      <c r="T19837" t="s">
        <v>60671</v>
      </c>
    </row>
    <row r="19838" spans="1:20" x14ac:dyDescent="0.25">
      <c r="A19838" t="str">
        <f>"3077627"</f>
        <v>3077627</v>
      </c>
      <c r="B19838" t="s">
        <v>60673</v>
      </c>
      <c r="C19838" t="str">
        <f>"8316174"</f>
        <v>8316174</v>
      </c>
      <c r="D19838" t="s">
        <v>60674</v>
      </c>
      <c r="E19838" t="s">
        <v>60675</v>
      </c>
      <c r="F19838" t="s">
        <v>60676</v>
      </c>
      <c r="I19838" t="s">
        <v>184</v>
      </c>
      <c r="J19838" t="s">
        <v>30</v>
      </c>
      <c r="K19838" t="s">
        <v>60677</v>
      </c>
      <c r="M19838" t="s">
        <v>50621</v>
      </c>
      <c r="N19838" t="str">
        <f>"8/8/2023 3:40:00 PM"</f>
        <v>8/8/2023 3:40:00 PM</v>
      </c>
      <c r="O19838" t="s">
        <v>60674</v>
      </c>
      <c r="T19838" t="s">
        <v>60675</v>
      </c>
    </row>
    <row r="19839" spans="1:20" x14ac:dyDescent="0.25">
      <c r="A19839" t="str">
        <f>"3045458"</f>
        <v>3045458</v>
      </c>
      <c r="B19839" t="s">
        <v>60678</v>
      </c>
      <c r="C19839" t="str">
        <f>"8320740"</f>
        <v>8320740</v>
      </c>
      <c r="D19839" t="s">
        <v>60679</v>
      </c>
      <c r="F19839" t="s">
        <v>60680</v>
      </c>
      <c r="G19839" t="s">
        <v>60681</v>
      </c>
      <c r="I19839" t="s">
        <v>29</v>
      </c>
      <c r="J19839" t="s">
        <v>30</v>
      </c>
      <c r="K19839" t="s">
        <v>39393</v>
      </c>
      <c r="M19839" t="s">
        <v>17861</v>
      </c>
      <c r="N19839" t="str">
        <f>"8/9/2023 10:39:00 AM"</f>
        <v>8/9/2023 10:39:00 AM</v>
      </c>
      <c r="O19839" t="s">
        <v>60679</v>
      </c>
    </row>
    <row r="19840" spans="1:20" x14ac:dyDescent="0.25">
      <c r="A19840" t="str">
        <f>"3078945"</f>
        <v>3078945</v>
      </c>
      <c r="B19840" t="s">
        <v>60682</v>
      </c>
      <c r="C19840" t="str">
        <f>"8320740"</f>
        <v>8320740</v>
      </c>
      <c r="D19840" t="s">
        <v>60679</v>
      </c>
      <c r="F19840" t="s">
        <v>60680</v>
      </c>
      <c r="G19840" t="s">
        <v>60681</v>
      </c>
      <c r="I19840" t="s">
        <v>29</v>
      </c>
      <c r="J19840" t="s">
        <v>30</v>
      </c>
      <c r="K19840" t="s">
        <v>39393</v>
      </c>
      <c r="M19840" t="s">
        <v>17861</v>
      </c>
      <c r="N19840" t="str">
        <f>"8/9/2023 10:39:00 AM"</f>
        <v>8/9/2023 10:39:00 AM</v>
      </c>
      <c r="O19840" t="s">
        <v>60679</v>
      </c>
    </row>
    <row r="19841" spans="1:20" x14ac:dyDescent="0.25">
      <c r="A19841" t="str">
        <f>"3052989"</f>
        <v>3052989</v>
      </c>
      <c r="B19841" t="s">
        <v>60683</v>
      </c>
      <c r="C19841" t="str">
        <f>"82527667"</f>
        <v>82527667</v>
      </c>
      <c r="D19841" t="s">
        <v>60684</v>
      </c>
      <c r="E19841" t="s">
        <v>60685</v>
      </c>
      <c r="F19841" t="s">
        <v>60686</v>
      </c>
      <c r="I19841" t="s">
        <v>29</v>
      </c>
      <c r="J19841" t="s">
        <v>30</v>
      </c>
      <c r="K19841" t="s">
        <v>31</v>
      </c>
      <c r="M19841" t="s">
        <v>50621</v>
      </c>
      <c r="N19841" t="str">
        <f>"8/8/2023 3:55:00 PM"</f>
        <v>8/8/2023 3:55:00 PM</v>
      </c>
      <c r="O19841" t="s">
        <v>60684</v>
      </c>
      <c r="T19841" t="s">
        <v>60685</v>
      </c>
    </row>
    <row r="19842" spans="1:20" x14ac:dyDescent="0.25">
      <c r="A19842" t="str">
        <f>"3077931"</f>
        <v>3077931</v>
      </c>
      <c r="B19842" t="s">
        <v>60687</v>
      </c>
      <c r="C19842" t="str">
        <f>"8320743"</f>
        <v>8320743</v>
      </c>
      <c r="D19842" t="s">
        <v>60688</v>
      </c>
      <c r="E19842" t="s">
        <v>60689</v>
      </c>
      <c r="F19842" t="s">
        <v>60690</v>
      </c>
      <c r="I19842" t="s">
        <v>29</v>
      </c>
      <c r="J19842" t="s">
        <v>30</v>
      </c>
      <c r="K19842" t="s">
        <v>60691</v>
      </c>
      <c r="M19842" t="s">
        <v>17861</v>
      </c>
      <c r="N19842" t="str">
        <f>"8/9/2023 12:48:00 PM"</f>
        <v>8/9/2023 12:48:00 PM</v>
      </c>
      <c r="O19842" t="s">
        <v>60688</v>
      </c>
      <c r="T19842" t="s">
        <v>60689</v>
      </c>
    </row>
    <row r="19843" spans="1:20" x14ac:dyDescent="0.25">
      <c r="A19843" t="str">
        <f>"3050477"</f>
        <v>3050477</v>
      </c>
      <c r="B19843" t="s">
        <v>60692</v>
      </c>
      <c r="C19843" t="str">
        <f>"8320744"</f>
        <v>8320744</v>
      </c>
      <c r="D19843" t="s">
        <v>60693</v>
      </c>
      <c r="E19843" t="s">
        <v>60694</v>
      </c>
      <c r="F19843" t="s">
        <v>60695</v>
      </c>
      <c r="I19843" t="s">
        <v>184</v>
      </c>
      <c r="J19843" t="s">
        <v>30</v>
      </c>
      <c r="K19843" t="s">
        <v>60696</v>
      </c>
      <c r="M19843" t="s">
        <v>17861</v>
      </c>
      <c r="N19843" t="str">
        <f>"8/9/2023 12:52:00 PM"</f>
        <v>8/9/2023 12:52:00 PM</v>
      </c>
      <c r="O19843" t="s">
        <v>60693</v>
      </c>
      <c r="T19843" t="s">
        <v>60694</v>
      </c>
    </row>
    <row r="19844" spans="1:20" x14ac:dyDescent="0.25">
      <c r="A19844" t="str">
        <f>"3039888"</f>
        <v>3039888</v>
      </c>
      <c r="B19844" t="s">
        <v>60697</v>
      </c>
      <c r="C19844" t="str">
        <f>"8320745"</f>
        <v>8320745</v>
      </c>
      <c r="D19844" t="s">
        <v>60698</v>
      </c>
      <c r="E19844" t="str">
        <f>"GINTHER CINDY E/ROBERT E 1%"</f>
        <v>GINTHER CINDY E/ROBERT E 1%</v>
      </c>
      <c r="F19844" t="s">
        <v>60699</v>
      </c>
      <c r="I19844" t="s">
        <v>29</v>
      </c>
      <c r="J19844" t="s">
        <v>30</v>
      </c>
      <c r="K19844" t="s">
        <v>57412</v>
      </c>
      <c r="M19844" t="s">
        <v>17861</v>
      </c>
      <c r="N19844" t="str">
        <f>"8/9/2023 1:06:00 PM"</f>
        <v>8/9/2023 1:06:00 PM</v>
      </c>
      <c r="O19844" t="s">
        <v>60698</v>
      </c>
      <c r="T19844" t="str">
        <f>"GINTHER CINDY E/ROBERT E 1%"</f>
        <v>GINTHER CINDY E/ROBERT E 1%</v>
      </c>
    </row>
    <row r="19845" spans="1:20" x14ac:dyDescent="0.25">
      <c r="A19845" t="str">
        <f>"3039476"</f>
        <v>3039476</v>
      </c>
      <c r="B19845" t="s">
        <v>60700</v>
      </c>
      <c r="C19845" t="str">
        <f>"8320745"</f>
        <v>8320745</v>
      </c>
      <c r="D19845" t="s">
        <v>60698</v>
      </c>
      <c r="E19845" t="str">
        <f>"GINTHER CINDY E/ROBERT E 1%"</f>
        <v>GINTHER CINDY E/ROBERT E 1%</v>
      </c>
      <c r="F19845" t="s">
        <v>60699</v>
      </c>
      <c r="I19845" t="s">
        <v>29</v>
      </c>
      <c r="J19845" t="s">
        <v>30</v>
      </c>
      <c r="K19845" t="s">
        <v>57412</v>
      </c>
      <c r="M19845" t="s">
        <v>17861</v>
      </c>
      <c r="N19845" t="str">
        <f>"8/9/2023 1:06:00 PM"</f>
        <v>8/9/2023 1:06:00 PM</v>
      </c>
      <c r="O19845" t="s">
        <v>60698</v>
      </c>
      <c r="T19845" t="str">
        <f>"GINTHER CINDY E/ROBERT E 1%"</f>
        <v>GINTHER CINDY E/ROBERT E 1%</v>
      </c>
    </row>
    <row r="19846" spans="1:20" x14ac:dyDescent="0.25">
      <c r="A19846" t="str">
        <f>"3056136"</f>
        <v>3056136</v>
      </c>
      <c r="B19846" t="s">
        <v>60701</v>
      </c>
      <c r="C19846" t="str">
        <f>"8320746"</f>
        <v>8320746</v>
      </c>
      <c r="D19846" t="s">
        <v>60702</v>
      </c>
      <c r="E19846" t="s">
        <v>60703</v>
      </c>
      <c r="F19846" t="s">
        <v>60704</v>
      </c>
      <c r="I19846" t="s">
        <v>29</v>
      </c>
      <c r="J19846" t="s">
        <v>30</v>
      </c>
      <c r="K19846" t="s">
        <v>44624</v>
      </c>
      <c r="M19846" t="s">
        <v>17861</v>
      </c>
      <c r="N19846" t="str">
        <f>"8/9/2023 1:10:00 PM"</f>
        <v>8/9/2023 1:10:00 PM</v>
      </c>
      <c r="O19846" t="s">
        <v>60702</v>
      </c>
      <c r="T19846" t="s">
        <v>60703</v>
      </c>
    </row>
    <row r="19847" spans="1:20" x14ac:dyDescent="0.25">
      <c r="A19847" t="str">
        <f>"3050252"</f>
        <v>3050252</v>
      </c>
      <c r="B19847" t="s">
        <v>60705</v>
      </c>
      <c r="C19847" t="str">
        <f>"82524760"</f>
        <v>82524760</v>
      </c>
      <c r="D19847" t="s">
        <v>60706</v>
      </c>
      <c r="E19847" t="s">
        <v>60707</v>
      </c>
      <c r="F19847" t="s">
        <v>60708</v>
      </c>
      <c r="I19847" t="s">
        <v>29</v>
      </c>
      <c r="J19847" t="s">
        <v>30</v>
      </c>
      <c r="K19847" t="s">
        <v>60709</v>
      </c>
      <c r="M19847" t="s">
        <v>17861</v>
      </c>
      <c r="N19847" t="str">
        <f>"8/9/2023 2:25:00 PM"</f>
        <v>8/9/2023 2:25:00 PM</v>
      </c>
      <c r="O19847" t="s">
        <v>60706</v>
      </c>
      <c r="T19847" t="s">
        <v>60707</v>
      </c>
    </row>
    <row r="19848" spans="1:20" x14ac:dyDescent="0.25">
      <c r="A19848" t="str">
        <f>"3050191"</f>
        <v>3050191</v>
      </c>
      <c r="B19848" t="s">
        <v>60710</v>
      </c>
      <c r="C19848" t="str">
        <f>"82524760"</f>
        <v>82524760</v>
      </c>
      <c r="D19848" t="s">
        <v>60706</v>
      </c>
      <c r="E19848" t="s">
        <v>60707</v>
      </c>
      <c r="F19848" t="s">
        <v>60708</v>
      </c>
      <c r="I19848" t="s">
        <v>29</v>
      </c>
      <c r="J19848" t="s">
        <v>30</v>
      </c>
      <c r="K19848" t="s">
        <v>60709</v>
      </c>
      <c r="M19848" t="s">
        <v>17861</v>
      </c>
      <c r="N19848" t="str">
        <f>"8/9/2023 2:25:00 PM"</f>
        <v>8/9/2023 2:25:00 PM</v>
      </c>
      <c r="O19848" t="s">
        <v>60706</v>
      </c>
      <c r="T19848" t="s">
        <v>60707</v>
      </c>
    </row>
    <row r="19849" spans="1:20" x14ac:dyDescent="0.25">
      <c r="A19849" t="str">
        <f>"3042235"</f>
        <v>3042235</v>
      </c>
      <c r="B19849" t="s">
        <v>60711</v>
      </c>
      <c r="C19849" t="str">
        <f>"8320747"</f>
        <v>8320747</v>
      </c>
      <c r="D19849" t="s">
        <v>4157</v>
      </c>
      <c r="F19849" t="s">
        <v>60712</v>
      </c>
      <c r="I19849" t="s">
        <v>29</v>
      </c>
      <c r="J19849" t="s">
        <v>30</v>
      </c>
      <c r="K19849" t="s">
        <v>4159</v>
      </c>
      <c r="M19849" t="s">
        <v>17861</v>
      </c>
      <c r="N19849" t="str">
        <f>"8/9/2023 2:31:00 PM"</f>
        <v>8/9/2023 2:31:00 PM</v>
      </c>
      <c r="O19849" t="s">
        <v>4157</v>
      </c>
    </row>
    <row r="19850" spans="1:20" x14ac:dyDescent="0.25">
      <c r="A19850" t="str">
        <f>"3037955"</f>
        <v>3037955</v>
      </c>
      <c r="B19850" t="s">
        <v>60713</v>
      </c>
      <c r="C19850" t="str">
        <f>"8320748"</f>
        <v>8320748</v>
      </c>
      <c r="D19850" t="s">
        <v>60714</v>
      </c>
      <c r="F19850" t="s">
        <v>60715</v>
      </c>
      <c r="I19850" t="s">
        <v>29</v>
      </c>
      <c r="J19850" t="s">
        <v>30</v>
      </c>
      <c r="K19850" t="s">
        <v>19706</v>
      </c>
      <c r="M19850" t="s">
        <v>17861</v>
      </c>
      <c r="N19850" t="str">
        <f>"8/9/2023 3:58:00 PM"</f>
        <v>8/9/2023 3:58:00 PM</v>
      </c>
      <c r="O19850" t="s">
        <v>60714</v>
      </c>
    </row>
    <row r="19851" spans="1:20" x14ac:dyDescent="0.25">
      <c r="A19851" t="str">
        <f>"3056963"</f>
        <v>3056963</v>
      </c>
      <c r="B19851" t="s">
        <v>60716</v>
      </c>
      <c r="C19851" t="str">
        <f>"8301213"</f>
        <v>8301213</v>
      </c>
      <c r="D19851" t="s">
        <v>60717</v>
      </c>
      <c r="F19851" t="s">
        <v>10864</v>
      </c>
      <c r="I19851" t="s">
        <v>29</v>
      </c>
      <c r="J19851" t="s">
        <v>30</v>
      </c>
      <c r="K19851" t="str">
        <f>"27028"</f>
        <v>27028</v>
      </c>
      <c r="M19851" t="s">
        <v>17861</v>
      </c>
      <c r="N19851" t="str">
        <f>"8/9/2023 8:16:00 AM"</f>
        <v>8/9/2023 8:16:00 AM</v>
      </c>
      <c r="O19851" t="s">
        <v>60717</v>
      </c>
    </row>
    <row r="19852" spans="1:20" x14ac:dyDescent="0.25">
      <c r="A19852" t="str">
        <f>"3056998"</f>
        <v>3056998</v>
      </c>
      <c r="B19852" t="s">
        <v>60718</v>
      </c>
      <c r="C19852" t="str">
        <f>"8301213"</f>
        <v>8301213</v>
      </c>
      <c r="D19852" t="s">
        <v>60717</v>
      </c>
      <c r="F19852" t="s">
        <v>10864</v>
      </c>
      <c r="I19852" t="s">
        <v>29</v>
      </c>
      <c r="J19852" t="s">
        <v>30</v>
      </c>
      <c r="K19852" t="str">
        <f>"27028"</f>
        <v>27028</v>
      </c>
      <c r="M19852" t="s">
        <v>17861</v>
      </c>
      <c r="N19852" t="str">
        <f>"8/9/2023 8:16:00 AM"</f>
        <v>8/9/2023 8:16:00 AM</v>
      </c>
      <c r="O19852" t="s">
        <v>60717</v>
      </c>
    </row>
    <row r="19853" spans="1:20" x14ac:dyDescent="0.25">
      <c r="A19853" t="str">
        <f>"3056988"</f>
        <v>3056988</v>
      </c>
      <c r="B19853" t="s">
        <v>60719</v>
      </c>
      <c r="C19853" t="str">
        <f>"8301213"</f>
        <v>8301213</v>
      </c>
      <c r="D19853" t="s">
        <v>60717</v>
      </c>
      <c r="F19853" t="s">
        <v>10864</v>
      </c>
      <c r="I19853" t="s">
        <v>29</v>
      </c>
      <c r="J19853" t="s">
        <v>30</v>
      </c>
      <c r="K19853" t="str">
        <f>"27028"</f>
        <v>27028</v>
      </c>
      <c r="M19853" t="s">
        <v>17861</v>
      </c>
      <c r="N19853" t="str">
        <f>"8/9/2023 8:16:00 AM"</f>
        <v>8/9/2023 8:16:00 AM</v>
      </c>
      <c r="O19853" t="s">
        <v>60717</v>
      </c>
    </row>
    <row r="19854" spans="1:20" x14ac:dyDescent="0.25">
      <c r="A19854" t="str">
        <f>"3077963"</f>
        <v>3077963</v>
      </c>
      <c r="B19854" t="s">
        <v>60720</v>
      </c>
      <c r="C19854" t="str">
        <f>"8320731"</f>
        <v>8320731</v>
      </c>
      <c r="D19854" t="s">
        <v>60721</v>
      </c>
      <c r="E19854" t="s">
        <v>60722</v>
      </c>
      <c r="F19854" t="s">
        <v>60723</v>
      </c>
      <c r="I19854" t="s">
        <v>471</v>
      </c>
      <c r="J19854" t="s">
        <v>30</v>
      </c>
      <c r="K19854" t="s">
        <v>60724</v>
      </c>
      <c r="M19854" t="s">
        <v>17861</v>
      </c>
      <c r="N19854" t="str">
        <f>"8/9/2023 8:30:00 AM"</f>
        <v>8/9/2023 8:30:00 AM</v>
      </c>
      <c r="O19854" t="s">
        <v>60721</v>
      </c>
      <c r="T19854" t="s">
        <v>60722</v>
      </c>
    </row>
    <row r="19855" spans="1:20" x14ac:dyDescent="0.25">
      <c r="A19855" t="str">
        <f>"3059278"</f>
        <v>3059278</v>
      </c>
      <c r="B19855" t="s">
        <v>60725</v>
      </c>
      <c r="C19855" t="str">
        <f>"8320732"</f>
        <v>8320732</v>
      </c>
      <c r="D19855" t="s">
        <v>60726</v>
      </c>
      <c r="F19855" t="s">
        <v>36221</v>
      </c>
      <c r="I19855" t="s">
        <v>36222</v>
      </c>
      <c r="J19855" t="s">
        <v>3737</v>
      </c>
      <c r="K19855" t="s">
        <v>36223</v>
      </c>
      <c r="M19855" t="s">
        <v>17861</v>
      </c>
      <c r="N19855" t="str">
        <f>"8/9/2023 9:11:00 AM"</f>
        <v>8/9/2023 9:11:00 AM</v>
      </c>
      <c r="O19855" t="s">
        <v>60726</v>
      </c>
    </row>
    <row r="19856" spans="1:20" x14ac:dyDescent="0.25">
      <c r="A19856" t="str">
        <f>"3059301"</f>
        <v>3059301</v>
      </c>
      <c r="B19856" t="s">
        <v>60727</v>
      </c>
      <c r="C19856" t="str">
        <f>"8320732"</f>
        <v>8320732</v>
      </c>
      <c r="D19856" t="s">
        <v>60726</v>
      </c>
      <c r="F19856" t="s">
        <v>36221</v>
      </c>
      <c r="I19856" t="s">
        <v>36222</v>
      </c>
      <c r="J19856" t="s">
        <v>3737</v>
      </c>
      <c r="K19856" t="s">
        <v>36223</v>
      </c>
      <c r="M19856" t="s">
        <v>17861</v>
      </c>
      <c r="N19856" t="str">
        <f>"8/9/2023 9:11:00 AM"</f>
        <v>8/9/2023 9:11:00 AM</v>
      </c>
      <c r="O19856" t="s">
        <v>60726</v>
      </c>
    </row>
    <row r="19857" spans="1:20" x14ac:dyDescent="0.25">
      <c r="A19857" t="str">
        <f>"3059290"</f>
        <v>3059290</v>
      </c>
      <c r="B19857" t="s">
        <v>60728</v>
      </c>
      <c r="C19857" t="str">
        <f>"8320732"</f>
        <v>8320732</v>
      </c>
      <c r="D19857" t="s">
        <v>60726</v>
      </c>
      <c r="F19857" t="s">
        <v>36221</v>
      </c>
      <c r="I19857" t="s">
        <v>36222</v>
      </c>
      <c r="J19857" t="s">
        <v>3737</v>
      </c>
      <c r="K19857" t="s">
        <v>36223</v>
      </c>
      <c r="M19857" t="s">
        <v>17861</v>
      </c>
      <c r="N19857" t="str">
        <f>"8/9/2023 9:11:00 AM"</f>
        <v>8/9/2023 9:11:00 AM</v>
      </c>
      <c r="O19857" t="s">
        <v>60726</v>
      </c>
    </row>
    <row r="19858" spans="1:20" x14ac:dyDescent="0.25">
      <c r="A19858" t="str">
        <f>"3059280"</f>
        <v>3059280</v>
      </c>
      <c r="B19858" t="s">
        <v>60729</v>
      </c>
      <c r="C19858" t="str">
        <f>"8320732"</f>
        <v>8320732</v>
      </c>
      <c r="D19858" t="s">
        <v>60726</v>
      </c>
      <c r="F19858" t="s">
        <v>36221</v>
      </c>
      <c r="I19858" t="s">
        <v>36222</v>
      </c>
      <c r="J19858" t="s">
        <v>3737</v>
      </c>
      <c r="K19858" t="s">
        <v>36223</v>
      </c>
      <c r="M19858" t="s">
        <v>17861</v>
      </c>
      <c r="N19858" t="str">
        <f>"8/9/2023 9:11:00 AM"</f>
        <v>8/9/2023 9:11:00 AM</v>
      </c>
      <c r="O19858" t="s">
        <v>60726</v>
      </c>
    </row>
    <row r="19859" spans="1:20" x14ac:dyDescent="0.25">
      <c r="A19859" t="str">
        <f>"3053483"</f>
        <v>3053483</v>
      </c>
      <c r="B19859" t="s">
        <v>60730</v>
      </c>
      <c r="C19859" t="str">
        <f>"8320732"</f>
        <v>8320732</v>
      </c>
      <c r="D19859" t="s">
        <v>60726</v>
      </c>
      <c r="F19859" t="s">
        <v>36221</v>
      </c>
      <c r="I19859" t="s">
        <v>36222</v>
      </c>
      <c r="J19859" t="s">
        <v>3737</v>
      </c>
      <c r="K19859" t="s">
        <v>36223</v>
      </c>
      <c r="M19859" t="s">
        <v>17861</v>
      </c>
      <c r="N19859" t="str">
        <f>"8/9/2023 9:11:00 AM"</f>
        <v>8/9/2023 9:11:00 AM</v>
      </c>
      <c r="O19859" t="s">
        <v>60726</v>
      </c>
    </row>
    <row r="19860" spans="1:20" x14ac:dyDescent="0.25">
      <c r="A19860" t="str">
        <f>"3052764"</f>
        <v>3052764</v>
      </c>
      <c r="B19860" t="s">
        <v>60731</v>
      </c>
      <c r="C19860" t="str">
        <f>"8320733"</f>
        <v>8320733</v>
      </c>
      <c r="D19860" t="s">
        <v>60732</v>
      </c>
      <c r="F19860" t="s">
        <v>60733</v>
      </c>
      <c r="I19860" t="s">
        <v>39085</v>
      </c>
      <c r="J19860" t="s">
        <v>3737</v>
      </c>
      <c r="K19860" t="s">
        <v>60734</v>
      </c>
      <c r="M19860" t="s">
        <v>17861</v>
      </c>
      <c r="N19860" t="str">
        <f>"8/9/2023 9:21:00 AM"</f>
        <v>8/9/2023 9:21:00 AM</v>
      </c>
      <c r="O19860" t="s">
        <v>60732</v>
      </c>
    </row>
    <row r="19861" spans="1:20" x14ac:dyDescent="0.25">
      <c r="A19861" t="str">
        <f>"3050663"</f>
        <v>3050663</v>
      </c>
      <c r="B19861" t="s">
        <v>60735</v>
      </c>
      <c r="C19861" t="str">
        <f>"8320734"</f>
        <v>8320734</v>
      </c>
      <c r="D19861" t="s">
        <v>60736</v>
      </c>
      <c r="E19861" t="s">
        <v>60737</v>
      </c>
      <c r="F19861" t="s">
        <v>60738</v>
      </c>
      <c r="I19861" t="s">
        <v>29</v>
      </c>
      <c r="J19861" t="s">
        <v>30</v>
      </c>
      <c r="K19861" t="s">
        <v>60739</v>
      </c>
      <c r="M19861" t="s">
        <v>17861</v>
      </c>
      <c r="N19861" t="str">
        <f>"8/9/2023 9:37:00 AM"</f>
        <v>8/9/2023 9:37:00 AM</v>
      </c>
      <c r="O19861" t="s">
        <v>60736</v>
      </c>
      <c r="T19861" t="s">
        <v>60737</v>
      </c>
    </row>
    <row r="19862" spans="1:20" x14ac:dyDescent="0.25">
      <c r="A19862" t="str">
        <f>"3053559"</f>
        <v>3053559</v>
      </c>
      <c r="B19862" t="s">
        <v>60740</v>
      </c>
      <c r="C19862" t="str">
        <f>"8320734"</f>
        <v>8320734</v>
      </c>
      <c r="D19862" t="s">
        <v>60736</v>
      </c>
      <c r="E19862" t="s">
        <v>60737</v>
      </c>
      <c r="F19862" t="s">
        <v>60738</v>
      </c>
      <c r="I19862" t="s">
        <v>29</v>
      </c>
      <c r="J19862" t="s">
        <v>30</v>
      </c>
      <c r="K19862" t="s">
        <v>60739</v>
      </c>
      <c r="M19862" t="s">
        <v>17861</v>
      </c>
      <c r="N19862" t="str">
        <f>"8/9/2023 9:37:00 AM"</f>
        <v>8/9/2023 9:37:00 AM</v>
      </c>
      <c r="O19862" t="s">
        <v>60736</v>
      </c>
      <c r="T19862" t="s">
        <v>60737</v>
      </c>
    </row>
    <row r="19863" spans="1:20" x14ac:dyDescent="0.25">
      <c r="A19863" t="str">
        <f>"3078299"</f>
        <v>3078299</v>
      </c>
      <c r="B19863" t="s">
        <v>60741</v>
      </c>
      <c r="C19863" t="str">
        <f>"8320734"</f>
        <v>8320734</v>
      </c>
      <c r="D19863" t="s">
        <v>60736</v>
      </c>
      <c r="E19863" t="s">
        <v>60737</v>
      </c>
      <c r="F19863" t="s">
        <v>60738</v>
      </c>
      <c r="I19863" t="s">
        <v>29</v>
      </c>
      <c r="J19863" t="s">
        <v>30</v>
      </c>
      <c r="K19863" t="s">
        <v>60739</v>
      </c>
      <c r="M19863" t="s">
        <v>17861</v>
      </c>
      <c r="N19863" t="str">
        <f>"8/9/2023 9:37:00 AM"</f>
        <v>8/9/2023 9:37:00 AM</v>
      </c>
      <c r="O19863" t="s">
        <v>60736</v>
      </c>
      <c r="T19863" t="s">
        <v>60737</v>
      </c>
    </row>
    <row r="19864" spans="1:20" x14ac:dyDescent="0.25">
      <c r="A19864" t="str">
        <f>"3078575"</f>
        <v>3078575</v>
      </c>
      <c r="B19864" t="s">
        <v>60742</v>
      </c>
      <c r="C19864" t="str">
        <f>"8320735"</f>
        <v>8320735</v>
      </c>
      <c r="D19864" t="s">
        <v>60743</v>
      </c>
      <c r="E19864" t="s">
        <v>60744</v>
      </c>
      <c r="F19864" t="s">
        <v>60745</v>
      </c>
      <c r="I19864" t="s">
        <v>29</v>
      </c>
      <c r="J19864" t="s">
        <v>30</v>
      </c>
      <c r="K19864" t="s">
        <v>60746</v>
      </c>
      <c r="M19864" t="s">
        <v>17861</v>
      </c>
      <c r="N19864" t="str">
        <f>"8/9/2023 9:53:00 AM"</f>
        <v>8/9/2023 9:53:00 AM</v>
      </c>
      <c r="O19864" t="s">
        <v>60743</v>
      </c>
      <c r="T19864" t="s">
        <v>60744</v>
      </c>
    </row>
    <row r="19865" spans="1:20" x14ac:dyDescent="0.25">
      <c r="A19865" t="str">
        <f>"3051468"</f>
        <v>3051468</v>
      </c>
      <c r="B19865" t="s">
        <v>60747</v>
      </c>
      <c r="C19865" t="str">
        <f>"8320736"</f>
        <v>8320736</v>
      </c>
      <c r="D19865" t="s">
        <v>60748</v>
      </c>
      <c r="F19865" t="s">
        <v>60749</v>
      </c>
      <c r="I19865" t="s">
        <v>29</v>
      </c>
      <c r="J19865" t="s">
        <v>30</v>
      </c>
      <c r="K19865" t="s">
        <v>60750</v>
      </c>
      <c r="M19865" t="s">
        <v>17861</v>
      </c>
      <c r="N19865" t="str">
        <f>"8/9/2023 9:58:00 AM"</f>
        <v>8/9/2023 9:58:00 AM</v>
      </c>
      <c r="O19865" t="s">
        <v>60748</v>
      </c>
    </row>
    <row r="19866" spans="1:20" x14ac:dyDescent="0.25">
      <c r="A19866" t="str">
        <f>"3072908"</f>
        <v>3072908</v>
      </c>
      <c r="B19866" t="s">
        <v>60751</v>
      </c>
      <c r="C19866" t="str">
        <f>"8320738"</f>
        <v>8320738</v>
      </c>
      <c r="D19866" t="s">
        <v>60752</v>
      </c>
      <c r="F19866" t="s">
        <v>60753</v>
      </c>
      <c r="I19866" t="s">
        <v>29</v>
      </c>
      <c r="J19866" t="s">
        <v>30</v>
      </c>
      <c r="K19866" t="s">
        <v>60754</v>
      </c>
      <c r="M19866" t="s">
        <v>17861</v>
      </c>
      <c r="N19866" t="str">
        <f>"8/9/2023 10:05:00 AM"</f>
        <v>8/9/2023 10:05:00 AM</v>
      </c>
      <c r="O19866" t="s">
        <v>60752</v>
      </c>
    </row>
    <row r="19867" spans="1:20" x14ac:dyDescent="0.25">
      <c r="A19867" t="str">
        <f>"3038467"</f>
        <v>3038467</v>
      </c>
      <c r="B19867" t="s">
        <v>60755</v>
      </c>
      <c r="C19867" t="str">
        <f>"8320739"</f>
        <v>8320739</v>
      </c>
      <c r="D19867" t="s">
        <v>17184</v>
      </c>
      <c r="E19867" t="s">
        <v>60756</v>
      </c>
      <c r="F19867" t="s">
        <v>50388</v>
      </c>
      <c r="I19867" t="s">
        <v>29</v>
      </c>
      <c r="J19867" t="s">
        <v>30</v>
      </c>
      <c r="K19867" t="s">
        <v>50389</v>
      </c>
      <c r="M19867" t="s">
        <v>17861</v>
      </c>
      <c r="N19867" t="str">
        <f>"8/9/2023 10:24:00 AM"</f>
        <v>8/9/2023 10:24:00 AM</v>
      </c>
      <c r="O19867" t="s">
        <v>17184</v>
      </c>
      <c r="T19867" t="s">
        <v>60756</v>
      </c>
    </row>
    <row r="19868" spans="1:20" x14ac:dyDescent="0.25">
      <c r="A19868" t="str">
        <f>"3043337"</f>
        <v>3043337</v>
      </c>
      <c r="B19868" t="s">
        <v>60757</v>
      </c>
      <c r="C19868" t="str">
        <f>"8318365"</f>
        <v>8318365</v>
      </c>
      <c r="D19868" t="s">
        <v>60758</v>
      </c>
      <c r="E19868" t="s">
        <v>60759</v>
      </c>
      <c r="F19868" t="s">
        <v>60760</v>
      </c>
      <c r="I19868" t="s">
        <v>24359</v>
      </c>
      <c r="J19868" t="s">
        <v>30</v>
      </c>
      <c r="K19868" t="str">
        <f>"27006"</f>
        <v>27006</v>
      </c>
      <c r="M19868" t="s">
        <v>50621</v>
      </c>
      <c r="N19868" t="str">
        <f>"8/8/2023 3:28:00 PM"</f>
        <v>8/8/2023 3:28:00 PM</v>
      </c>
      <c r="O19868" t="s">
        <v>60758</v>
      </c>
      <c r="T19868" t="s">
        <v>60759</v>
      </c>
    </row>
    <row r="19869" spans="1:20" x14ac:dyDescent="0.25">
      <c r="A19869" t="str">
        <f>"3049552"</f>
        <v>3049552</v>
      </c>
      <c r="B19869" t="s">
        <v>60761</v>
      </c>
      <c r="C19869" t="str">
        <f>"8317596"</f>
        <v>8317596</v>
      </c>
      <c r="D19869" t="s">
        <v>60762</v>
      </c>
      <c r="F19869" t="s">
        <v>60763</v>
      </c>
      <c r="I19869" t="s">
        <v>1107</v>
      </c>
      <c r="J19869" t="s">
        <v>30</v>
      </c>
      <c r="K19869" t="s">
        <v>60764</v>
      </c>
      <c r="M19869" t="s">
        <v>50621</v>
      </c>
      <c r="N19869" t="str">
        <f>"8/8/2023 3:30:00 PM"</f>
        <v>8/8/2023 3:30:00 PM</v>
      </c>
      <c r="O19869" t="s">
        <v>60762</v>
      </c>
    </row>
    <row r="19870" spans="1:20" x14ac:dyDescent="0.25">
      <c r="A19870" t="str">
        <f>"3044940"</f>
        <v>3044940</v>
      </c>
      <c r="B19870" t="s">
        <v>60765</v>
      </c>
      <c r="C19870" t="str">
        <f>"8320740"</f>
        <v>8320740</v>
      </c>
      <c r="D19870" t="s">
        <v>60679</v>
      </c>
      <c r="F19870" t="s">
        <v>60680</v>
      </c>
      <c r="G19870" t="s">
        <v>60681</v>
      </c>
      <c r="I19870" t="s">
        <v>29</v>
      </c>
      <c r="J19870" t="s">
        <v>30</v>
      </c>
      <c r="K19870" t="s">
        <v>39393</v>
      </c>
      <c r="M19870" t="s">
        <v>17861</v>
      </c>
      <c r="N19870" t="str">
        <f>"8/9/2023 10:39:00 AM"</f>
        <v>8/9/2023 10:39:00 AM</v>
      </c>
      <c r="O19870" t="s">
        <v>60679</v>
      </c>
    </row>
    <row r="19871" spans="1:20" x14ac:dyDescent="0.25">
      <c r="A19871" t="str">
        <f>"3044959"</f>
        <v>3044959</v>
      </c>
      <c r="B19871" t="s">
        <v>60766</v>
      </c>
      <c r="C19871" t="str">
        <f>"8320740"</f>
        <v>8320740</v>
      </c>
      <c r="D19871" t="s">
        <v>60679</v>
      </c>
      <c r="F19871" t="s">
        <v>60680</v>
      </c>
      <c r="G19871" t="s">
        <v>60681</v>
      </c>
      <c r="I19871" t="s">
        <v>29</v>
      </c>
      <c r="J19871" t="s">
        <v>30</v>
      </c>
      <c r="K19871" t="s">
        <v>39393</v>
      </c>
      <c r="M19871" t="s">
        <v>17861</v>
      </c>
      <c r="N19871" t="str">
        <f>"8/9/2023 10:39:00 AM"</f>
        <v>8/9/2023 10:39:00 AM</v>
      </c>
      <c r="O19871" t="s">
        <v>60679</v>
      </c>
    </row>
    <row r="19872" spans="1:20" x14ac:dyDescent="0.25">
      <c r="A19872" t="str">
        <f>"3044982"</f>
        <v>3044982</v>
      </c>
      <c r="B19872" t="s">
        <v>60767</v>
      </c>
      <c r="C19872" t="str">
        <f>"8320740"</f>
        <v>8320740</v>
      </c>
      <c r="D19872" t="s">
        <v>60679</v>
      </c>
      <c r="F19872" t="s">
        <v>60680</v>
      </c>
      <c r="G19872" t="s">
        <v>60681</v>
      </c>
      <c r="I19872" t="s">
        <v>29</v>
      </c>
      <c r="J19872" t="s">
        <v>30</v>
      </c>
      <c r="K19872" t="s">
        <v>39393</v>
      </c>
      <c r="M19872" t="s">
        <v>17861</v>
      </c>
      <c r="N19872" t="str">
        <f>"8/9/2023 10:39:00 AM"</f>
        <v>8/9/2023 10:39:00 AM</v>
      </c>
      <c r="O19872" t="s">
        <v>60679</v>
      </c>
    </row>
    <row r="19873" spans="1:20" x14ac:dyDescent="0.25">
      <c r="A19873" t="str">
        <f>"3045457"</f>
        <v>3045457</v>
      </c>
      <c r="B19873" t="s">
        <v>60768</v>
      </c>
      <c r="C19873" t="str">
        <f>"8320740"</f>
        <v>8320740</v>
      </c>
      <c r="D19873" t="s">
        <v>60679</v>
      </c>
      <c r="F19873" t="s">
        <v>60680</v>
      </c>
      <c r="G19873" t="s">
        <v>60681</v>
      </c>
      <c r="I19873" t="s">
        <v>29</v>
      </c>
      <c r="J19873" t="s">
        <v>30</v>
      </c>
      <c r="K19873" t="s">
        <v>39393</v>
      </c>
      <c r="M19873" t="s">
        <v>17861</v>
      </c>
      <c r="N19873" t="str">
        <f>"8/9/2023 10:39:00 AM"</f>
        <v>8/9/2023 10:39:00 AM</v>
      </c>
      <c r="O19873" t="s">
        <v>60679</v>
      </c>
    </row>
    <row r="19874" spans="1:20" x14ac:dyDescent="0.25">
      <c r="A19874" t="str">
        <f>"3040502"</f>
        <v>3040502</v>
      </c>
      <c r="B19874" t="s">
        <v>60769</v>
      </c>
      <c r="C19874" t="str">
        <f>"8320742"</f>
        <v>8320742</v>
      </c>
      <c r="D19874" t="s">
        <v>60770</v>
      </c>
      <c r="E19874" t="s">
        <v>60771</v>
      </c>
      <c r="F19874" t="s">
        <v>60772</v>
      </c>
      <c r="I19874" t="s">
        <v>184</v>
      </c>
      <c r="J19874" t="s">
        <v>30</v>
      </c>
      <c r="K19874" t="s">
        <v>37863</v>
      </c>
      <c r="M19874" t="s">
        <v>17861</v>
      </c>
      <c r="N19874" t="str">
        <f>"8/9/2023 12:43:00 PM"</f>
        <v>8/9/2023 12:43:00 PM</v>
      </c>
      <c r="O19874" t="s">
        <v>60770</v>
      </c>
      <c r="T19874" t="s">
        <v>60771</v>
      </c>
    </row>
    <row r="19875" spans="1:20" x14ac:dyDescent="0.25">
      <c r="A19875" t="str">
        <f>"3078198"</f>
        <v>3078198</v>
      </c>
      <c r="B19875" t="s">
        <v>60773</v>
      </c>
      <c r="C19875" t="str">
        <f>"1156000"</f>
        <v>1156000</v>
      </c>
      <c r="D19875" t="s">
        <v>60774</v>
      </c>
      <c r="F19875" t="s">
        <v>60775</v>
      </c>
      <c r="I19875" t="s">
        <v>184</v>
      </c>
      <c r="J19875" t="s">
        <v>30</v>
      </c>
      <c r="K19875" t="s">
        <v>60776</v>
      </c>
      <c r="M19875" t="s">
        <v>17861</v>
      </c>
      <c r="N19875" t="str">
        <f>"8/10/2023 9:04:00 AM"</f>
        <v>8/10/2023 9:04:00 AM</v>
      </c>
      <c r="O19875" t="s">
        <v>60774</v>
      </c>
    </row>
    <row r="19876" spans="1:20" x14ac:dyDescent="0.25">
      <c r="A19876" t="str">
        <f>"3050187"</f>
        <v>3050187</v>
      </c>
      <c r="B19876" t="s">
        <v>60777</v>
      </c>
      <c r="C19876" t="str">
        <f>"8320798"</f>
        <v>8320798</v>
      </c>
      <c r="D19876" t="s">
        <v>60778</v>
      </c>
      <c r="E19876" t="s">
        <v>60779</v>
      </c>
      <c r="F19876" t="s">
        <v>60780</v>
      </c>
      <c r="I19876" t="s">
        <v>2275</v>
      </c>
      <c r="J19876" t="s">
        <v>30</v>
      </c>
      <c r="K19876" t="s">
        <v>60781</v>
      </c>
      <c r="M19876" t="s">
        <v>17861</v>
      </c>
      <c r="N19876" t="str">
        <f>"8/11/2023 1:18:00 PM"</f>
        <v>8/11/2023 1:18:00 PM</v>
      </c>
      <c r="O19876" t="s">
        <v>60778</v>
      </c>
      <c r="T19876" t="s">
        <v>60779</v>
      </c>
    </row>
    <row r="19877" spans="1:20" x14ac:dyDescent="0.25">
      <c r="A19877" t="str">
        <f>"3062143"</f>
        <v>3062143</v>
      </c>
      <c r="B19877" t="s">
        <v>60782</v>
      </c>
      <c r="C19877" t="str">
        <f>"8320800"</f>
        <v>8320800</v>
      </c>
      <c r="D19877" t="s">
        <v>60783</v>
      </c>
      <c r="F19877" t="s">
        <v>60784</v>
      </c>
      <c r="I19877" t="s">
        <v>29</v>
      </c>
      <c r="J19877" t="s">
        <v>30</v>
      </c>
      <c r="K19877" t="s">
        <v>56763</v>
      </c>
      <c r="M19877" t="s">
        <v>17861</v>
      </c>
      <c r="N19877" t="str">
        <f>"8/11/2023 1:45:00 PM"</f>
        <v>8/11/2023 1:45:00 PM</v>
      </c>
      <c r="O19877" t="s">
        <v>60783</v>
      </c>
    </row>
    <row r="19878" spans="1:20" x14ac:dyDescent="0.25">
      <c r="A19878" t="str">
        <f>"3044237"</f>
        <v>3044237</v>
      </c>
      <c r="B19878" t="s">
        <v>60785</v>
      </c>
      <c r="C19878" t="str">
        <f>"8320778"</f>
        <v>8320778</v>
      </c>
      <c r="D19878" t="s">
        <v>60786</v>
      </c>
      <c r="E19878" t="s">
        <v>60787</v>
      </c>
      <c r="F19878" t="s">
        <v>60788</v>
      </c>
      <c r="I19878" t="s">
        <v>184</v>
      </c>
      <c r="J19878" t="s">
        <v>30</v>
      </c>
      <c r="K19878" t="s">
        <v>21169</v>
      </c>
      <c r="M19878" t="s">
        <v>17861</v>
      </c>
      <c r="N19878" t="str">
        <f>"8/10/2023 3:38:00 PM"</f>
        <v>8/10/2023 3:38:00 PM</v>
      </c>
      <c r="O19878" t="s">
        <v>60786</v>
      </c>
      <c r="T19878" t="s">
        <v>60787</v>
      </c>
    </row>
    <row r="19879" spans="1:20" x14ac:dyDescent="0.25">
      <c r="A19879" t="str">
        <f>"3045336"</f>
        <v>3045336</v>
      </c>
      <c r="B19879" t="s">
        <v>60789</v>
      </c>
      <c r="C19879" t="str">
        <f>"8320806"</f>
        <v>8320806</v>
      </c>
      <c r="D19879" t="str">
        <f>"GROOMS WILLIAM D/NANCY S"</f>
        <v>GROOMS WILLIAM D/NANCY S</v>
      </c>
      <c r="E19879" t="s">
        <v>9460</v>
      </c>
      <c r="F19879" t="s">
        <v>60681</v>
      </c>
      <c r="I19879" t="s">
        <v>29</v>
      </c>
      <c r="J19879" t="s">
        <v>30</v>
      </c>
      <c r="K19879" t="s">
        <v>39393</v>
      </c>
      <c r="M19879" t="s">
        <v>17861</v>
      </c>
      <c r="N19879" t="str">
        <f>"8/14/2023 8:56:00 AM"</f>
        <v>8/14/2023 8:56:00 AM</v>
      </c>
      <c r="O19879" t="str">
        <f>"GROOMS WILLIAM D/NANCY S"</f>
        <v>GROOMS WILLIAM D/NANCY S</v>
      </c>
      <c r="T19879" t="s">
        <v>9460</v>
      </c>
    </row>
    <row r="19880" spans="1:20" x14ac:dyDescent="0.25">
      <c r="A19880" t="str">
        <f>"3045197"</f>
        <v>3045197</v>
      </c>
      <c r="B19880" t="s">
        <v>60790</v>
      </c>
      <c r="C19880" t="str">
        <f>"8320806"</f>
        <v>8320806</v>
      </c>
      <c r="D19880" t="str">
        <f>"GROOMS WILLIAM D/NANCY S"</f>
        <v>GROOMS WILLIAM D/NANCY S</v>
      </c>
      <c r="E19880" t="s">
        <v>9460</v>
      </c>
      <c r="F19880" t="s">
        <v>60681</v>
      </c>
      <c r="I19880" t="s">
        <v>29</v>
      </c>
      <c r="J19880" t="s">
        <v>30</v>
      </c>
      <c r="K19880" t="s">
        <v>39393</v>
      </c>
      <c r="M19880" t="s">
        <v>17861</v>
      </c>
      <c r="N19880" t="str">
        <f>"8/14/2023 8:56:00 AM"</f>
        <v>8/14/2023 8:56:00 AM</v>
      </c>
      <c r="O19880" t="str">
        <f>"GROOMS WILLIAM D/NANCY S"</f>
        <v>GROOMS WILLIAM D/NANCY S</v>
      </c>
      <c r="T19880" t="s">
        <v>9460</v>
      </c>
    </row>
    <row r="19881" spans="1:20" x14ac:dyDescent="0.25">
      <c r="A19881" t="str">
        <f>"3045194"</f>
        <v>3045194</v>
      </c>
      <c r="B19881" t="s">
        <v>60791</v>
      </c>
      <c r="C19881" t="str">
        <f>"8320806"</f>
        <v>8320806</v>
      </c>
      <c r="D19881" t="str">
        <f>"GROOMS WILLIAM D/NANCY S"</f>
        <v>GROOMS WILLIAM D/NANCY S</v>
      </c>
      <c r="E19881" t="s">
        <v>9460</v>
      </c>
      <c r="F19881" t="s">
        <v>60681</v>
      </c>
      <c r="I19881" t="s">
        <v>29</v>
      </c>
      <c r="J19881" t="s">
        <v>30</v>
      </c>
      <c r="K19881" t="s">
        <v>39393</v>
      </c>
      <c r="M19881" t="s">
        <v>17861</v>
      </c>
      <c r="N19881" t="str">
        <f>"8/14/2023 8:56:00 AM"</f>
        <v>8/14/2023 8:56:00 AM</v>
      </c>
      <c r="O19881" t="str">
        <f>"GROOMS WILLIAM D/NANCY S"</f>
        <v>GROOMS WILLIAM D/NANCY S</v>
      </c>
      <c r="T19881" t="s">
        <v>9460</v>
      </c>
    </row>
    <row r="19882" spans="1:20" x14ac:dyDescent="0.25">
      <c r="A19882" t="str">
        <f>"3042951"</f>
        <v>3042951</v>
      </c>
      <c r="B19882" t="s">
        <v>60792</v>
      </c>
      <c r="C19882" t="str">
        <f>"8320806"</f>
        <v>8320806</v>
      </c>
      <c r="D19882" t="str">
        <f>"GROOMS WILLIAM D/NANCY S"</f>
        <v>GROOMS WILLIAM D/NANCY S</v>
      </c>
      <c r="E19882" t="s">
        <v>9460</v>
      </c>
      <c r="F19882" t="s">
        <v>60681</v>
      </c>
      <c r="I19882" t="s">
        <v>29</v>
      </c>
      <c r="J19882" t="s">
        <v>30</v>
      </c>
      <c r="K19882" t="s">
        <v>39393</v>
      </c>
      <c r="M19882" t="s">
        <v>17861</v>
      </c>
      <c r="N19882" t="str">
        <f>"8/14/2023 8:56:00 AM"</f>
        <v>8/14/2023 8:56:00 AM</v>
      </c>
      <c r="O19882" t="str">
        <f>"GROOMS WILLIAM D/NANCY S"</f>
        <v>GROOMS WILLIAM D/NANCY S</v>
      </c>
      <c r="T19882" t="s">
        <v>9460</v>
      </c>
    </row>
    <row r="19883" spans="1:20" x14ac:dyDescent="0.25">
      <c r="A19883" t="str">
        <f>"3042702"</f>
        <v>3042702</v>
      </c>
      <c r="B19883" t="s">
        <v>60793</v>
      </c>
      <c r="C19883" t="str">
        <f>"8320806"</f>
        <v>8320806</v>
      </c>
      <c r="D19883" t="str">
        <f>"GROOMS WILLIAM D/NANCY S"</f>
        <v>GROOMS WILLIAM D/NANCY S</v>
      </c>
      <c r="E19883" t="s">
        <v>9460</v>
      </c>
      <c r="F19883" t="s">
        <v>60681</v>
      </c>
      <c r="I19883" t="s">
        <v>29</v>
      </c>
      <c r="J19883" t="s">
        <v>30</v>
      </c>
      <c r="K19883" t="s">
        <v>39393</v>
      </c>
      <c r="M19883" t="s">
        <v>17861</v>
      </c>
      <c r="N19883" t="str">
        <f>"8/14/2023 8:56:00 AM"</f>
        <v>8/14/2023 8:56:00 AM</v>
      </c>
      <c r="O19883" t="str">
        <f>"GROOMS WILLIAM D/NANCY S"</f>
        <v>GROOMS WILLIAM D/NANCY S</v>
      </c>
      <c r="T19883" t="s">
        <v>9460</v>
      </c>
    </row>
    <row r="19884" spans="1:20" x14ac:dyDescent="0.25">
      <c r="A19884" t="str">
        <f>"3039943"</f>
        <v>3039943</v>
      </c>
      <c r="B19884" t="s">
        <v>60794</v>
      </c>
      <c r="C19884" t="str">
        <f>"8320807"</f>
        <v>8320807</v>
      </c>
      <c r="D19884" t="s">
        <v>60795</v>
      </c>
      <c r="E19884" t="s">
        <v>60796</v>
      </c>
      <c r="F19884" t="s">
        <v>60797</v>
      </c>
      <c r="I19884" t="s">
        <v>29</v>
      </c>
      <c r="J19884" t="s">
        <v>30</v>
      </c>
      <c r="K19884" t="s">
        <v>60798</v>
      </c>
      <c r="M19884" t="s">
        <v>17861</v>
      </c>
      <c r="N19884" t="str">
        <f>"8/14/2023 1:14:00 PM"</f>
        <v>8/14/2023 1:14:00 PM</v>
      </c>
      <c r="O19884" t="s">
        <v>60795</v>
      </c>
      <c r="T19884" t="s">
        <v>60796</v>
      </c>
    </row>
    <row r="19885" spans="1:20" x14ac:dyDescent="0.25">
      <c r="A19885" t="str">
        <f>"3039938"</f>
        <v>3039938</v>
      </c>
      <c r="B19885" t="s">
        <v>60799</v>
      </c>
      <c r="C19885" t="str">
        <f>"8320808"</f>
        <v>8320808</v>
      </c>
      <c r="D19885" t="s">
        <v>60800</v>
      </c>
      <c r="E19885" t="s">
        <v>60801</v>
      </c>
      <c r="F19885" t="s">
        <v>60802</v>
      </c>
      <c r="I19885" t="s">
        <v>29</v>
      </c>
      <c r="J19885" t="s">
        <v>30</v>
      </c>
      <c r="K19885" t="s">
        <v>1374</v>
      </c>
      <c r="M19885" t="s">
        <v>17861</v>
      </c>
      <c r="N19885" t="str">
        <f>"8/14/2023 1:35:00 PM"</f>
        <v>8/14/2023 1:35:00 PM</v>
      </c>
      <c r="O19885" t="s">
        <v>60800</v>
      </c>
      <c r="T19885" t="s">
        <v>60801</v>
      </c>
    </row>
    <row r="19886" spans="1:20" x14ac:dyDescent="0.25">
      <c r="A19886" t="str">
        <f>"3070776"</f>
        <v>3070776</v>
      </c>
      <c r="B19886" t="s">
        <v>60803</v>
      </c>
      <c r="C19886" t="str">
        <f>"8320808"</f>
        <v>8320808</v>
      </c>
      <c r="D19886" t="s">
        <v>60800</v>
      </c>
      <c r="E19886" t="s">
        <v>60801</v>
      </c>
      <c r="F19886" t="s">
        <v>60802</v>
      </c>
      <c r="I19886" t="s">
        <v>29</v>
      </c>
      <c r="J19886" t="s">
        <v>30</v>
      </c>
      <c r="K19886" t="s">
        <v>1374</v>
      </c>
      <c r="M19886" t="s">
        <v>17861</v>
      </c>
      <c r="N19886" t="str">
        <f>"8/14/2023 1:35:00 PM"</f>
        <v>8/14/2023 1:35:00 PM</v>
      </c>
      <c r="O19886" t="s">
        <v>60800</v>
      </c>
      <c r="T19886" t="s">
        <v>60801</v>
      </c>
    </row>
    <row r="19887" spans="1:20" x14ac:dyDescent="0.25">
      <c r="A19887" t="str">
        <f>"3050749"</f>
        <v>3050749</v>
      </c>
      <c r="B19887" t="s">
        <v>60804</v>
      </c>
      <c r="C19887" t="str">
        <f>"8320809"</f>
        <v>8320809</v>
      </c>
      <c r="D19887" t="s">
        <v>60805</v>
      </c>
      <c r="E19887" t="s">
        <v>60806</v>
      </c>
      <c r="F19887" t="s">
        <v>60807</v>
      </c>
      <c r="I19887" t="s">
        <v>184</v>
      </c>
      <c r="J19887" t="s">
        <v>30</v>
      </c>
      <c r="K19887" t="s">
        <v>3201</v>
      </c>
      <c r="M19887" t="s">
        <v>17861</v>
      </c>
      <c r="N19887" t="str">
        <f>"8/14/2023 3:47:00 PM"</f>
        <v>8/14/2023 3:47:00 PM</v>
      </c>
      <c r="O19887" t="s">
        <v>60805</v>
      </c>
      <c r="T19887" t="s">
        <v>60806</v>
      </c>
    </row>
    <row r="19888" spans="1:20" x14ac:dyDescent="0.25">
      <c r="A19888" t="str">
        <f>"3050780"</f>
        <v>3050780</v>
      </c>
      <c r="B19888" t="s">
        <v>60808</v>
      </c>
      <c r="C19888" t="str">
        <f>"8320810"</f>
        <v>8320810</v>
      </c>
      <c r="D19888" t="s">
        <v>60809</v>
      </c>
      <c r="E19888" t="s">
        <v>60810</v>
      </c>
      <c r="F19888" t="s">
        <v>60811</v>
      </c>
      <c r="I19888" t="s">
        <v>184</v>
      </c>
      <c r="J19888" t="s">
        <v>30</v>
      </c>
      <c r="K19888" t="s">
        <v>10530</v>
      </c>
      <c r="M19888" t="s">
        <v>17861</v>
      </c>
      <c r="N19888" t="str">
        <f>"8/14/2023 3:50:00 PM"</f>
        <v>8/14/2023 3:50:00 PM</v>
      </c>
      <c r="O19888" t="s">
        <v>60809</v>
      </c>
      <c r="T19888" t="s">
        <v>60810</v>
      </c>
    </row>
    <row r="19889" spans="1:20" x14ac:dyDescent="0.25">
      <c r="A19889" t="str">
        <f>"3062925"</f>
        <v>3062925</v>
      </c>
      <c r="B19889" t="s">
        <v>60812</v>
      </c>
      <c r="C19889" t="str">
        <f>"8320811"</f>
        <v>8320811</v>
      </c>
      <c r="D19889" t="s">
        <v>60813</v>
      </c>
      <c r="F19889" t="s">
        <v>60814</v>
      </c>
      <c r="I19889" t="s">
        <v>29</v>
      </c>
      <c r="J19889" t="s">
        <v>30</v>
      </c>
      <c r="K19889" t="s">
        <v>36427</v>
      </c>
      <c r="M19889" t="s">
        <v>17861</v>
      </c>
      <c r="N19889" t="str">
        <f>"8/14/2023 4:14:00 PM"</f>
        <v>8/14/2023 4:14:00 PM</v>
      </c>
      <c r="O19889" t="s">
        <v>60813</v>
      </c>
    </row>
    <row r="19890" spans="1:20" x14ac:dyDescent="0.25">
      <c r="A19890" t="str">
        <f>"3049968"</f>
        <v>3049968</v>
      </c>
      <c r="B19890" t="s">
        <v>60815</v>
      </c>
      <c r="C19890" t="str">
        <f>"8320812"</f>
        <v>8320812</v>
      </c>
      <c r="D19890" t="s">
        <v>60816</v>
      </c>
      <c r="F19890" t="s">
        <v>60817</v>
      </c>
      <c r="I19890" t="s">
        <v>29</v>
      </c>
      <c r="J19890" t="s">
        <v>30</v>
      </c>
      <c r="K19890" t="s">
        <v>60818</v>
      </c>
      <c r="M19890" t="s">
        <v>17861</v>
      </c>
      <c r="N19890" t="str">
        <f>"8/14/2023 4:20:00 PM"</f>
        <v>8/14/2023 4:20:00 PM</v>
      </c>
      <c r="O19890" t="s">
        <v>60816</v>
      </c>
    </row>
    <row r="19891" spans="1:20" x14ac:dyDescent="0.25">
      <c r="A19891" t="str">
        <f>"3053536"</f>
        <v>3053536</v>
      </c>
      <c r="B19891" t="s">
        <v>60819</v>
      </c>
      <c r="C19891" t="str">
        <f>"8320780"</f>
        <v>8320780</v>
      </c>
      <c r="D19891" t="s">
        <v>60820</v>
      </c>
      <c r="E19891" t="s">
        <v>60821</v>
      </c>
      <c r="F19891" t="s">
        <v>60822</v>
      </c>
      <c r="I19891" t="s">
        <v>29</v>
      </c>
      <c r="J19891" t="s">
        <v>30</v>
      </c>
      <c r="K19891" t="s">
        <v>47956</v>
      </c>
      <c r="M19891" t="s">
        <v>17861</v>
      </c>
      <c r="N19891" t="str">
        <f>"8/10/2023 3:43:00 PM"</f>
        <v>8/10/2023 3:43:00 PM</v>
      </c>
      <c r="O19891" t="s">
        <v>60820</v>
      </c>
      <c r="T19891" t="s">
        <v>60821</v>
      </c>
    </row>
    <row r="19892" spans="1:20" x14ac:dyDescent="0.25">
      <c r="A19892" t="str">
        <f>"3057741"</f>
        <v>3057741</v>
      </c>
      <c r="B19892" t="s">
        <v>60823</v>
      </c>
      <c r="C19892" t="str">
        <f>"8320781"</f>
        <v>8320781</v>
      </c>
      <c r="D19892" t="s">
        <v>60824</v>
      </c>
      <c r="E19892" t="s">
        <v>60825</v>
      </c>
      <c r="F19892" t="s">
        <v>60826</v>
      </c>
      <c r="I19892" t="s">
        <v>29</v>
      </c>
      <c r="J19892" t="s">
        <v>30</v>
      </c>
      <c r="K19892" t="s">
        <v>49114</v>
      </c>
      <c r="M19892" t="s">
        <v>17861</v>
      </c>
      <c r="N19892" t="str">
        <f>"8/10/2023 3:47:00 PM"</f>
        <v>8/10/2023 3:47:00 PM</v>
      </c>
      <c r="O19892" t="s">
        <v>60824</v>
      </c>
      <c r="T19892" t="s">
        <v>60825</v>
      </c>
    </row>
    <row r="19893" spans="1:20" x14ac:dyDescent="0.25">
      <c r="A19893" t="str">
        <f>"3078686"</f>
        <v>3078686</v>
      </c>
      <c r="B19893" t="s">
        <v>60827</v>
      </c>
      <c r="C19893" t="str">
        <f>"8320782"</f>
        <v>8320782</v>
      </c>
      <c r="D19893" t="s">
        <v>60828</v>
      </c>
      <c r="F19893" t="s">
        <v>60829</v>
      </c>
      <c r="I19893" t="s">
        <v>17921</v>
      </c>
      <c r="J19893" t="s">
        <v>30</v>
      </c>
      <c r="K19893" t="str">
        <f>"27028"</f>
        <v>27028</v>
      </c>
      <c r="M19893" t="s">
        <v>17861</v>
      </c>
      <c r="N19893" t="str">
        <f>"8/11/2023 9:25:00 AM"</f>
        <v>8/11/2023 9:25:00 AM</v>
      </c>
      <c r="O19893" t="s">
        <v>60828</v>
      </c>
    </row>
    <row r="19894" spans="1:20" x14ac:dyDescent="0.25">
      <c r="A19894" t="str">
        <f>"3081293"</f>
        <v>3081293</v>
      </c>
      <c r="B19894" t="s">
        <v>60830</v>
      </c>
      <c r="C19894" t="str">
        <f t="shared" ref="C19894:C19899" si="300">"8320783"</f>
        <v>8320783</v>
      </c>
      <c r="D19894" t="s">
        <v>60831</v>
      </c>
      <c r="F19894" t="s">
        <v>60832</v>
      </c>
      <c r="I19894" t="s">
        <v>184</v>
      </c>
      <c r="J19894" t="s">
        <v>30</v>
      </c>
      <c r="K19894" t="str">
        <f t="shared" ref="K19894:K19899" si="301">"27006"</f>
        <v>27006</v>
      </c>
      <c r="M19894" t="s">
        <v>17861</v>
      </c>
      <c r="N19894" t="str">
        <f t="shared" ref="N19894:N19899" si="302">"8/11/2023 10:04:00 AM"</f>
        <v>8/11/2023 10:04:00 AM</v>
      </c>
      <c r="O19894" t="s">
        <v>60831</v>
      </c>
    </row>
    <row r="19895" spans="1:20" x14ac:dyDescent="0.25">
      <c r="A19895" t="str">
        <f>"3039519"</f>
        <v>3039519</v>
      </c>
      <c r="B19895" t="s">
        <v>60833</v>
      </c>
      <c r="C19895" t="str">
        <f t="shared" si="300"/>
        <v>8320783</v>
      </c>
      <c r="D19895" t="s">
        <v>60831</v>
      </c>
      <c r="F19895" t="s">
        <v>60832</v>
      </c>
      <c r="I19895" t="s">
        <v>184</v>
      </c>
      <c r="J19895" t="s">
        <v>30</v>
      </c>
      <c r="K19895" t="str">
        <f t="shared" si="301"/>
        <v>27006</v>
      </c>
      <c r="M19895" t="s">
        <v>17861</v>
      </c>
      <c r="N19895" t="str">
        <f t="shared" si="302"/>
        <v>8/11/2023 10:04:00 AM</v>
      </c>
      <c r="O19895" t="s">
        <v>60831</v>
      </c>
    </row>
    <row r="19896" spans="1:20" x14ac:dyDescent="0.25">
      <c r="A19896" t="str">
        <f>"3039426"</f>
        <v>3039426</v>
      </c>
      <c r="B19896" t="s">
        <v>60834</v>
      </c>
      <c r="C19896" t="str">
        <f t="shared" si="300"/>
        <v>8320783</v>
      </c>
      <c r="D19896" t="s">
        <v>60831</v>
      </c>
      <c r="F19896" t="s">
        <v>60832</v>
      </c>
      <c r="I19896" t="s">
        <v>184</v>
      </c>
      <c r="J19896" t="s">
        <v>30</v>
      </c>
      <c r="K19896" t="str">
        <f t="shared" si="301"/>
        <v>27006</v>
      </c>
      <c r="M19896" t="s">
        <v>17861</v>
      </c>
      <c r="N19896" t="str">
        <f t="shared" si="302"/>
        <v>8/11/2023 10:04:00 AM</v>
      </c>
      <c r="O19896" t="s">
        <v>60831</v>
      </c>
    </row>
    <row r="19897" spans="1:20" x14ac:dyDescent="0.25">
      <c r="A19897" t="str">
        <f>"3039282"</f>
        <v>3039282</v>
      </c>
      <c r="B19897" t="s">
        <v>60835</v>
      </c>
      <c r="C19897" t="str">
        <f t="shared" si="300"/>
        <v>8320783</v>
      </c>
      <c r="D19897" t="s">
        <v>60831</v>
      </c>
      <c r="F19897" t="s">
        <v>60832</v>
      </c>
      <c r="I19897" t="s">
        <v>184</v>
      </c>
      <c r="J19897" t="s">
        <v>30</v>
      </c>
      <c r="K19897" t="str">
        <f t="shared" si="301"/>
        <v>27006</v>
      </c>
      <c r="M19897" t="s">
        <v>17861</v>
      </c>
      <c r="N19897" t="str">
        <f t="shared" si="302"/>
        <v>8/11/2023 10:04:00 AM</v>
      </c>
      <c r="O19897" t="s">
        <v>60831</v>
      </c>
    </row>
    <row r="19898" spans="1:20" x14ac:dyDescent="0.25">
      <c r="A19898" t="str">
        <f>"3038633"</f>
        <v>3038633</v>
      </c>
      <c r="B19898" t="s">
        <v>60836</v>
      </c>
      <c r="C19898" t="str">
        <f t="shared" si="300"/>
        <v>8320783</v>
      </c>
      <c r="D19898" t="s">
        <v>60831</v>
      </c>
      <c r="F19898" t="s">
        <v>60832</v>
      </c>
      <c r="I19898" t="s">
        <v>184</v>
      </c>
      <c r="J19898" t="s">
        <v>30</v>
      </c>
      <c r="K19898" t="str">
        <f t="shared" si="301"/>
        <v>27006</v>
      </c>
      <c r="M19898" t="s">
        <v>17861</v>
      </c>
      <c r="N19898" t="str">
        <f t="shared" si="302"/>
        <v>8/11/2023 10:04:00 AM</v>
      </c>
      <c r="O19898" t="s">
        <v>60831</v>
      </c>
    </row>
    <row r="19899" spans="1:20" x14ac:dyDescent="0.25">
      <c r="A19899" t="str">
        <f>"3039952"</f>
        <v>3039952</v>
      </c>
      <c r="B19899" t="s">
        <v>60837</v>
      </c>
      <c r="C19899" t="str">
        <f t="shared" si="300"/>
        <v>8320783</v>
      </c>
      <c r="D19899" t="s">
        <v>60831</v>
      </c>
      <c r="F19899" t="s">
        <v>60832</v>
      </c>
      <c r="I19899" t="s">
        <v>184</v>
      </c>
      <c r="J19899" t="s">
        <v>30</v>
      </c>
      <c r="K19899" t="str">
        <f t="shared" si="301"/>
        <v>27006</v>
      </c>
      <c r="M19899" t="s">
        <v>17861</v>
      </c>
      <c r="N19899" t="str">
        <f t="shared" si="302"/>
        <v>8/11/2023 10:04:00 AM</v>
      </c>
      <c r="O19899" t="s">
        <v>60831</v>
      </c>
    </row>
    <row r="19900" spans="1:20" x14ac:dyDescent="0.25">
      <c r="A19900" t="str">
        <f>"3039375"</f>
        <v>3039375</v>
      </c>
      <c r="B19900" t="s">
        <v>60838</v>
      </c>
      <c r="C19900" t="str">
        <f>"8320785"</f>
        <v>8320785</v>
      </c>
      <c r="D19900" t="s">
        <v>60839</v>
      </c>
      <c r="F19900" t="s">
        <v>60840</v>
      </c>
      <c r="I19900" t="s">
        <v>184</v>
      </c>
      <c r="J19900" t="s">
        <v>30</v>
      </c>
      <c r="K19900" t="s">
        <v>60841</v>
      </c>
      <c r="M19900" t="s">
        <v>17861</v>
      </c>
      <c r="N19900" t="str">
        <f>"8/11/2023 10:22:00 AM"</f>
        <v>8/11/2023 10:22:00 AM</v>
      </c>
      <c r="O19900" t="s">
        <v>60839</v>
      </c>
    </row>
    <row r="19901" spans="1:20" x14ac:dyDescent="0.25">
      <c r="A19901" t="str">
        <f>"3048689"</f>
        <v>3048689</v>
      </c>
      <c r="B19901" t="s">
        <v>60842</v>
      </c>
      <c r="C19901" t="str">
        <f>"8306098"</f>
        <v>8306098</v>
      </c>
      <c r="D19901" t="s">
        <v>60843</v>
      </c>
      <c r="F19901" t="s">
        <v>60844</v>
      </c>
      <c r="G19901" t="s">
        <v>60845</v>
      </c>
      <c r="I19901" t="s">
        <v>60846</v>
      </c>
      <c r="J19901" t="s">
        <v>11994</v>
      </c>
      <c r="K19901" t="s">
        <v>60847</v>
      </c>
      <c r="M19901" t="s">
        <v>50621</v>
      </c>
      <c r="N19901" t="str">
        <f>"8/15/2023 11:16:00 AM"</f>
        <v>8/15/2023 11:16:00 AM</v>
      </c>
      <c r="O19901" t="s">
        <v>60843</v>
      </c>
    </row>
    <row r="19902" spans="1:20" x14ac:dyDescent="0.25">
      <c r="A19902" t="str">
        <f>"3041896"</f>
        <v>3041896</v>
      </c>
      <c r="B19902" t="s">
        <v>60848</v>
      </c>
      <c r="C19902" t="str">
        <f>"8318597"</f>
        <v>8318597</v>
      </c>
      <c r="D19902" t="s">
        <v>60849</v>
      </c>
      <c r="F19902" t="s">
        <v>54481</v>
      </c>
      <c r="G19902" t="s">
        <v>60850</v>
      </c>
      <c r="I19902" t="s">
        <v>2071</v>
      </c>
      <c r="J19902" t="s">
        <v>30</v>
      </c>
      <c r="K19902" t="s">
        <v>60851</v>
      </c>
      <c r="M19902" t="s">
        <v>50621</v>
      </c>
      <c r="N19902" t="str">
        <f>"8/15/2023 11:25:00 AM"</f>
        <v>8/15/2023 11:25:00 AM</v>
      </c>
      <c r="O19902" t="s">
        <v>60849</v>
      </c>
    </row>
    <row r="19903" spans="1:20" x14ac:dyDescent="0.25">
      <c r="A19903" t="str">
        <f>"3075845"</f>
        <v>3075845</v>
      </c>
      <c r="B19903" t="s">
        <v>60852</v>
      </c>
      <c r="C19903" t="str">
        <f>"8302532"</f>
        <v>8302532</v>
      </c>
      <c r="D19903" t="s">
        <v>60853</v>
      </c>
      <c r="E19903" t="str">
        <f>"C/O WILHOIT PROPERTIES"</f>
        <v>C/O WILHOIT PROPERTIES</v>
      </c>
      <c r="F19903" t="s">
        <v>60854</v>
      </c>
      <c r="I19903" t="s">
        <v>48702</v>
      </c>
      <c r="J19903" t="s">
        <v>28419</v>
      </c>
      <c r="K19903" t="s">
        <v>60855</v>
      </c>
      <c r="M19903" t="s">
        <v>50621</v>
      </c>
      <c r="N19903" t="str">
        <f>"8/15/2023 11:34:00 AM"</f>
        <v>8/15/2023 11:34:00 AM</v>
      </c>
      <c r="O19903" t="s">
        <v>60853</v>
      </c>
      <c r="T19903" t="str">
        <f>"C/O WILHOIT PROPERTIES"</f>
        <v>C/O WILHOIT PROPERTIES</v>
      </c>
    </row>
    <row r="19904" spans="1:20" x14ac:dyDescent="0.25">
      <c r="A19904" t="str">
        <f>"3055564"</f>
        <v>3055564</v>
      </c>
      <c r="B19904" t="s">
        <v>60856</v>
      </c>
      <c r="C19904" t="str">
        <f>"8314079"</f>
        <v>8314079</v>
      </c>
      <c r="D19904" t="s">
        <v>60857</v>
      </c>
      <c r="E19904" t="s">
        <v>60858</v>
      </c>
      <c r="F19904" t="s">
        <v>60859</v>
      </c>
      <c r="G19904" t="s">
        <v>60860</v>
      </c>
      <c r="I19904" t="s">
        <v>39085</v>
      </c>
      <c r="J19904" t="s">
        <v>3737</v>
      </c>
      <c r="K19904" t="s">
        <v>60861</v>
      </c>
      <c r="M19904" t="s">
        <v>50621</v>
      </c>
      <c r="N19904" t="str">
        <f>"8/15/2023 1:13:00 PM"</f>
        <v>8/15/2023 1:13:00 PM</v>
      </c>
      <c r="O19904" t="s">
        <v>60857</v>
      </c>
      <c r="T19904" t="s">
        <v>60858</v>
      </c>
    </row>
    <row r="19905" spans="1:20" x14ac:dyDescent="0.25">
      <c r="A19905" t="str">
        <f>"3060870"</f>
        <v>3060870</v>
      </c>
      <c r="B19905" t="s">
        <v>60862</v>
      </c>
      <c r="C19905" t="str">
        <f>"8320787"</f>
        <v>8320787</v>
      </c>
      <c r="D19905" t="s">
        <v>60863</v>
      </c>
      <c r="E19905" t="s">
        <v>60864</v>
      </c>
      <c r="F19905" t="s">
        <v>60865</v>
      </c>
      <c r="I19905" t="s">
        <v>2071</v>
      </c>
      <c r="J19905" t="s">
        <v>30</v>
      </c>
      <c r="K19905" t="s">
        <v>23610</v>
      </c>
      <c r="M19905" t="s">
        <v>17861</v>
      </c>
      <c r="N19905" t="str">
        <f>"8/11/2023 10:30:00 AM"</f>
        <v>8/11/2023 10:30:00 AM</v>
      </c>
      <c r="O19905" t="s">
        <v>60863</v>
      </c>
      <c r="T19905" t="s">
        <v>60864</v>
      </c>
    </row>
    <row r="19906" spans="1:20" x14ac:dyDescent="0.25">
      <c r="A19906" t="str">
        <f>"3058337"</f>
        <v>3058337</v>
      </c>
      <c r="B19906" t="s">
        <v>60866</v>
      </c>
      <c r="C19906" t="str">
        <f>"8320790"</f>
        <v>8320790</v>
      </c>
      <c r="D19906" t="s">
        <v>60867</v>
      </c>
      <c r="E19906" t="s">
        <v>60868</v>
      </c>
      <c r="F19906" t="s">
        <v>60869</v>
      </c>
      <c r="I19906" t="s">
        <v>29</v>
      </c>
      <c r="J19906" t="s">
        <v>30</v>
      </c>
      <c r="K19906" t="str">
        <f>"27028"</f>
        <v>27028</v>
      </c>
      <c r="M19906" t="s">
        <v>17861</v>
      </c>
      <c r="N19906" t="str">
        <f>"8/11/2023 10:50:00 AM"</f>
        <v>8/11/2023 10:50:00 AM</v>
      </c>
      <c r="O19906" t="s">
        <v>60867</v>
      </c>
      <c r="T19906" t="s">
        <v>60868</v>
      </c>
    </row>
    <row r="19907" spans="1:20" x14ac:dyDescent="0.25">
      <c r="A19907" t="str">
        <f>"3046908"</f>
        <v>3046908</v>
      </c>
      <c r="B19907" t="s">
        <v>60870</v>
      </c>
      <c r="C19907" t="str">
        <f>"8318140"</f>
        <v>8318140</v>
      </c>
      <c r="D19907" t="s">
        <v>60871</v>
      </c>
      <c r="F19907" t="s">
        <v>8607</v>
      </c>
      <c r="G19907" t="s">
        <v>60872</v>
      </c>
      <c r="I19907" t="s">
        <v>184</v>
      </c>
      <c r="J19907" t="s">
        <v>30</v>
      </c>
      <c r="K19907" t="s">
        <v>8608</v>
      </c>
      <c r="M19907" t="s">
        <v>52111</v>
      </c>
      <c r="N19907" t="str">
        <f>"8/11/2023 11:14:00 AM"</f>
        <v>8/11/2023 11:14:00 AM</v>
      </c>
      <c r="O19907" t="s">
        <v>60871</v>
      </c>
    </row>
    <row r="19908" spans="1:20" x14ac:dyDescent="0.25">
      <c r="A19908" t="str">
        <f>"3060152"</f>
        <v>3060152</v>
      </c>
      <c r="B19908" t="s">
        <v>60873</v>
      </c>
      <c r="C19908" t="str">
        <f>"8309331"</f>
        <v>8309331</v>
      </c>
      <c r="D19908" t="s">
        <v>42105</v>
      </c>
      <c r="F19908" t="s">
        <v>37813</v>
      </c>
      <c r="I19908" t="s">
        <v>2071</v>
      </c>
      <c r="J19908" t="s">
        <v>30</v>
      </c>
      <c r="K19908" t="s">
        <v>3605</v>
      </c>
      <c r="M19908" t="s">
        <v>50621</v>
      </c>
      <c r="N19908" t="str">
        <f>"8/15/2023 1:52:00 PM"</f>
        <v>8/15/2023 1:52:00 PM</v>
      </c>
      <c r="O19908" t="s">
        <v>42105</v>
      </c>
    </row>
    <row r="19909" spans="1:20" x14ac:dyDescent="0.25">
      <c r="A19909" t="str">
        <f>"3050050"</f>
        <v>3050050</v>
      </c>
      <c r="B19909" t="s">
        <v>60874</v>
      </c>
      <c r="C19909" t="str">
        <f>"8319376"</f>
        <v>8319376</v>
      </c>
      <c r="D19909" t="s">
        <v>60875</v>
      </c>
      <c r="F19909" t="s">
        <v>60876</v>
      </c>
      <c r="I19909" t="s">
        <v>29</v>
      </c>
      <c r="J19909" t="s">
        <v>30</v>
      </c>
      <c r="K19909" t="s">
        <v>60877</v>
      </c>
      <c r="M19909" t="s">
        <v>50621</v>
      </c>
      <c r="N19909" t="str">
        <f>"8/15/2023 1:54:00 PM"</f>
        <v>8/15/2023 1:54:00 PM</v>
      </c>
      <c r="O19909" t="s">
        <v>60875</v>
      </c>
    </row>
    <row r="19910" spans="1:20" x14ac:dyDescent="0.25">
      <c r="A19910" t="str">
        <f>"3049603"</f>
        <v>3049603</v>
      </c>
      <c r="B19910" t="s">
        <v>60878</v>
      </c>
      <c r="C19910" t="str">
        <f>"8319376"</f>
        <v>8319376</v>
      </c>
      <c r="D19910" t="s">
        <v>60875</v>
      </c>
      <c r="F19910" t="s">
        <v>60876</v>
      </c>
      <c r="I19910" t="s">
        <v>29</v>
      </c>
      <c r="J19910" t="s">
        <v>30</v>
      </c>
      <c r="K19910" t="s">
        <v>60877</v>
      </c>
      <c r="M19910" t="s">
        <v>50621</v>
      </c>
      <c r="N19910" t="str">
        <f>"8/15/2023 1:54:00 PM"</f>
        <v>8/15/2023 1:54:00 PM</v>
      </c>
      <c r="O19910" t="s">
        <v>60875</v>
      </c>
    </row>
    <row r="19911" spans="1:20" x14ac:dyDescent="0.25">
      <c r="A19911" t="str">
        <f>"3045613"</f>
        <v>3045613</v>
      </c>
      <c r="B19911" t="s">
        <v>60879</v>
      </c>
      <c r="C19911" t="str">
        <f>"8313749"</f>
        <v>8313749</v>
      </c>
      <c r="D19911" t="s">
        <v>60880</v>
      </c>
      <c r="E19911" t="s">
        <v>60881</v>
      </c>
      <c r="F19911" t="s">
        <v>60882</v>
      </c>
      <c r="I19911" t="s">
        <v>184</v>
      </c>
      <c r="J19911" t="s">
        <v>30</v>
      </c>
      <c r="K19911" t="s">
        <v>60883</v>
      </c>
      <c r="M19911" t="s">
        <v>50621</v>
      </c>
      <c r="N19911" t="str">
        <f>"8/15/2023 2:01:00 PM"</f>
        <v>8/15/2023 2:01:00 PM</v>
      </c>
      <c r="O19911" t="s">
        <v>60880</v>
      </c>
      <c r="T19911" t="s">
        <v>60881</v>
      </c>
    </row>
    <row r="19912" spans="1:20" x14ac:dyDescent="0.25">
      <c r="A19912" t="str">
        <f>"3038683"</f>
        <v>3038683</v>
      </c>
      <c r="B19912" t="s">
        <v>60884</v>
      </c>
      <c r="C19912" t="str">
        <f>"82531642"</f>
        <v>82531642</v>
      </c>
      <c r="D19912" t="s">
        <v>60885</v>
      </c>
      <c r="F19912" t="str">
        <f>"C/O BUNCH &amp; ASSOCIATES"</f>
        <v>C/O BUNCH &amp; ASSOCIATES</v>
      </c>
      <c r="G19912" t="s">
        <v>60886</v>
      </c>
      <c r="I19912" t="s">
        <v>60887</v>
      </c>
      <c r="J19912" t="s">
        <v>2109</v>
      </c>
      <c r="K19912" t="s">
        <v>60888</v>
      </c>
      <c r="M19912" t="s">
        <v>50621</v>
      </c>
      <c r="N19912" t="str">
        <f>"8/15/2023 2:03:00 PM"</f>
        <v>8/15/2023 2:03:00 PM</v>
      </c>
      <c r="O19912" t="s">
        <v>60885</v>
      </c>
    </row>
    <row r="19913" spans="1:20" x14ac:dyDescent="0.25">
      <c r="A19913" t="str">
        <f>"3061594"</f>
        <v>3061594</v>
      </c>
      <c r="B19913" t="s">
        <v>60889</v>
      </c>
      <c r="C19913" t="str">
        <f>"8320791"</f>
        <v>8320791</v>
      </c>
      <c r="D19913" t="s">
        <v>60890</v>
      </c>
      <c r="F19913" t="s">
        <v>60891</v>
      </c>
      <c r="I19913" t="s">
        <v>29</v>
      </c>
      <c r="J19913" t="s">
        <v>30</v>
      </c>
      <c r="K19913" t="s">
        <v>43323</v>
      </c>
      <c r="M19913" t="s">
        <v>17861</v>
      </c>
      <c r="N19913" t="str">
        <f>"8/11/2023 11:21:00 AM"</f>
        <v>8/11/2023 11:21:00 AM</v>
      </c>
      <c r="O19913" t="s">
        <v>60890</v>
      </c>
    </row>
    <row r="19914" spans="1:20" x14ac:dyDescent="0.25">
      <c r="A19914" t="str">
        <f>"3066363"</f>
        <v>3066363</v>
      </c>
      <c r="B19914" t="s">
        <v>60892</v>
      </c>
      <c r="C19914" t="str">
        <f>"8320792"</f>
        <v>8320792</v>
      </c>
      <c r="D19914" t="s">
        <v>60893</v>
      </c>
      <c r="E19914" t="s">
        <v>60894</v>
      </c>
      <c r="F19914" t="s">
        <v>60895</v>
      </c>
      <c r="I19914" t="s">
        <v>29</v>
      </c>
      <c r="J19914" t="s">
        <v>30</v>
      </c>
      <c r="K19914" t="s">
        <v>7178</v>
      </c>
      <c r="M19914" t="s">
        <v>17861</v>
      </c>
      <c r="N19914" t="str">
        <f>"8/11/2023 11:24:00 AM"</f>
        <v>8/11/2023 11:24:00 AM</v>
      </c>
      <c r="O19914" t="s">
        <v>60893</v>
      </c>
      <c r="T19914" t="s">
        <v>60894</v>
      </c>
    </row>
    <row r="19915" spans="1:20" x14ac:dyDescent="0.25">
      <c r="A19915" t="str">
        <f>"3049299"</f>
        <v>3049299</v>
      </c>
      <c r="B19915" t="s">
        <v>60896</v>
      </c>
      <c r="C19915" t="str">
        <f>"75040380"</f>
        <v>75040380</v>
      </c>
      <c r="D19915" t="s">
        <v>60897</v>
      </c>
      <c r="E19915" t="s">
        <v>60898</v>
      </c>
      <c r="F19915" t="s">
        <v>60899</v>
      </c>
      <c r="I19915" t="s">
        <v>184</v>
      </c>
      <c r="J19915" t="s">
        <v>30</v>
      </c>
      <c r="K19915" t="s">
        <v>60900</v>
      </c>
      <c r="M19915" t="s">
        <v>50621</v>
      </c>
      <c r="N19915" t="str">
        <f>"8/11/2023 11:45:00 AM"</f>
        <v>8/11/2023 11:45:00 AM</v>
      </c>
      <c r="O19915" t="s">
        <v>60897</v>
      </c>
      <c r="T19915" t="s">
        <v>60898</v>
      </c>
    </row>
    <row r="19916" spans="1:20" x14ac:dyDescent="0.25">
      <c r="A19916" t="str">
        <f>"3058434"</f>
        <v>3058434</v>
      </c>
      <c r="B19916" t="s">
        <v>60901</v>
      </c>
      <c r="C19916" t="str">
        <f>"8320793"</f>
        <v>8320793</v>
      </c>
      <c r="D19916" t="s">
        <v>60902</v>
      </c>
      <c r="E19916" t="s">
        <v>60903</v>
      </c>
      <c r="F19916" t="s">
        <v>60904</v>
      </c>
      <c r="I19916" t="s">
        <v>29</v>
      </c>
      <c r="J19916" t="s">
        <v>30</v>
      </c>
      <c r="K19916" t="s">
        <v>60905</v>
      </c>
      <c r="M19916" t="s">
        <v>17861</v>
      </c>
      <c r="N19916" t="str">
        <f>"8/11/2023 12:57:00 PM"</f>
        <v>8/11/2023 12:57:00 PM</v>
      </c>
      <c r="O19916" t="s">
        <v>60902</v>
      </c>
      <c r="T19916" t="s">
        <v>60903</v>
      </c>
    </row>
    <row r="19917" spans="1:20" x14ac:dyDescent="0.25">
      <c r="A19917" t="str">
        <f>"3053098"</f>
        <v>3053098</v>
      </c>
      <c r="B19917" t="s">
        <v>60906</v>
      </c>
      <c r="C19917" t="str">
        <f>"8320794"</f>
        <v>8320794</v>
      </c>
      <c r="D19917" t="s">
        <v>60907</v>
      </c>
      <c r="F19917" t="s">
        <v>60908</v>
      </c>
      <c r="I19917" t="s">
        <v>29</v>
      </c>
      <c r="J19917" t="s">
        <v>30</v>
      </c>
      <c r="K19917" t="s">
        <v>47214</v>
      </c>
      <c r="M19917" t="s">
        <v>17861</v>
      </c>
      <c r="N19917" t="str">
        <f>"8/11/2023 12:59:00 PM"</f>
        <v>8/11/2023 12:59:00 PM</v>
      </c>
      <c r="O19917" t="s">
        <v>60907</v>
      </c>
    </row>
    <row r="19918" spans="1:20" x14ac:dyDescent="0.25">
      <c r="A19918" t="str">
        <f>"3041146"</f>
        <v>3041146</v>
      </c>
      <c r="B19918" t="s">
        <v>60909</v>
      </c>
      <c r="C19918" t="str">
        <f>"8318637"</f>
        <v>8318637</v>
      </c>
      <c r="D19918" t="s">
        <v>60910</v>
      </c>
      <c r="F19918" t="s">
        <v>60911</v>
      </c>
      <c r="I19918" t="s">
        <v>3196</v>
      </c>
      <c r="J19918" t="s">
        <v>30</v>
      </c>
      <c r="K19918" t="s">
        <v>60912</v>
      </c>
      <c r="M19918" t="s">
        <v>50793</v>
      </c>
      <c r="N19918" t="str">
        <f>"8/11/2023 1:04:00 PM"</f>
        <v>8/11/2023 1:04:00 PM</v>
      </c>
      <c r="O19918" t="s">
        <v>60910</v>
      </c>
    </row>
    <row r="19919" spans="1:20" x14ac:dyDescent="0.25">
      <c r="A19919" t="str">
        <f>"3062119"</f>
        <v>3062119</v>
      </c>
      <c r="B19919" t="s">
        <v>60913</v>
      </c>
      <c r="C19919" t="str">
        <f>"8320795"</f>
        <v>8320795</v>
      </c>
      <c r="D19919" t="s">
        <v>60914</v>
      </c>
      <c r="E19919" t="s">
        <v>60915</v>
      </c>
      <c r="F19919" t="s">
        <v>60916</v>
      </c>
      <c r="I19919" t="s">
        <v>29</v>
      </c>
      <c r="J19919" t="s">
        <v>30</v>
      </c>
      <c r="K19919" t="s">
        <v>39975</v>
      </c>
      <c r="M19919" t="s">
        <v>17861</v>
      </c>
      <c r="N19919" t="str">
        <f>"8/11/2023 1:04:00 PM"</f>
        <v>8/11/2023 1:04:00 PM</v>
      </c>
      <c r="O19919" t="s">
        <v>60914</v>
      </c>
      <c r="T19919" t="s">
        <v>60915</v>
      </c>
    </row>
    <row r="19920" spans="1:20" x14ac:dyDescent="0.25">
      <c r="A19920" t="str">
        <f>"3039811"</f>
        <v>3039811</v>
      </c>
      <c r="B19920" t="s">
        <v>60917</v>
      </c>
      <c r="C19920" t="str">
        <f>"8320796"</f>
        <v>8320796</v>
      </c>
      <c r="D19920" t="s">
        <v>60918</v>
      </c>
      <c r="E19920" t="s">
        <v>60919</v>
      </c>
      <c r="F19920" t="s">
        <v>60920</v>
      </c>
      <c r="I19920" t="s">
        <v>184</v>
      </c>
      <c r="J19920" t="s">
        <v>30</v>
      </c>
      <c r="K19920" t="s">
        <v>50792</v>
      </c>
      <c r="M19920" t="s">
        <v>17861</v>
      </c>
      <c r="N19920" t="str">
        <f>"8/11/2023 1:06:00 PM"</f>
        <v>8/11/2023 1:06:00 PM</v>
      </c>
      <c r="O19920" t="s">
        <v>60918</v>
      </c>
      <c r="T19920" t="s">
        <v>60919</v>
      </c>
    </row>
    <row r="19921" spans="1:20" x14ac:dyDescent="0.25">
      <c r="A19921" t="str">
        <f>"3041701"</f>
        <v>3041701</v>
      </c>
      <c r="B19921" t="s">
        <v>60921</v>
      </c>
      <c r="C19921" t="str">
        <f>"8320797"</f>
        <v>8320797</v>
      </c>
      <c r="D19921" t="s">
        <v>60922</v>
      </c>
      <c r="E19921" t="s">
        <v>60923</v>
      </c>
      <c r="F19921" t="s">
        <v>60924</v>
      </c>
      <c r="I19921" t="s">
        <v>2071</v>
      </c>
      <c r="J19921" t="s">
        <v>30</v>
      </c>
      <c r="K19921" t="s">
        <v>60925</v>
      </c>
      <c r="M19921" t="s">
        <v>17861</v>
      </c>
      <c r="N19921" t="str">
        <f>"8/11/2023 1:11:00 PM"</f>
        <v>8/11/2023 1:11:00 PM</v>
      </c>
      <c r="O19921" t="s">
        <v>60922</v>
      </c>
      <c r="T19921" t="s">
        <v>60923</v>
      </c>
    </row>
    <row r="19922" spans="1:20" x14ac:dyDescent="0.25">
      <c r="A19922" t="str">
        <f>"3066039"</f>
        <v>3066039</v>
      </c>
      <c r="B19922" t="s">
        <v>60926</v>
      </c>
      <c r="C19922" t="str">
        <f>"8306582"</f>
        <v>8306582</v>
      </c>
      <c r="D19922" t="s">
        <v>60927</v>
      </c>
      <c r="F19922" t="s">
        <v>60928</v>
      </c>
      <c r="I19922" t="s">
        <v>29</v>
      </c>
      <c r="J19922" t="s">
        <v>30</v>
      </c>
      <c r="K19922" t="s">
        <v>60929</v>
      </c>
      <c r="M19922" t="s">
        <v>18479</v>
      </c>
      <c r="N19922" t="str">
        <f>"8/15/2023 3:40:00 PM"</f>
        <v>8/15/2023 3:40:00 PM</v>
      </c>
      <c r="O19922" t="s">
        <v>60927</v>
      </c>
    </row>
    <row r="19923" spans="1:20" x14ac:dyDescent="0.25">
      <c r="A19923" t="str">
        <f>"3037869"</f>
        <v>3037869</v>
      </c>
      <c r="B19923" t="s">
        <v>60930</v>
      </c>
      <c r="C19923" t="str">
        <f>"82532031"</f>
        <v>82532031</v>
      </c>
      <c r="D19923" t="s">
        <v>60931</v>
      </c>
      <c r="F19923" t="s">
        <v>34982</v>
      </c>
      <c r="I19923" t="s">
        <v>184</v>
      </c>
      <c r="J19923" t="s">
        <v>30</v>
      </c>
      <c r="K19923" t="s">
        <v>34983</v>
      </c>
      <c r="M19923" t="s">
        <v>50621</v>
      </c>
      <c r="N19923" t="str">
        <f>"8/16/2023 9:45:00 AM"</f>
        <v>8/16/2023 9:45:00 AM</v>
      </c>
      <c r="O19923" t="s">
        <v>60931</v>
      </c>
    </row>
    <row r="19924" spans="1:20" x14ac:dyDescent="0.25">
      <c r="A19924" t="str">
        <f>"3037813"</f>
        <v>3037813</v>
      </c>
      <c r="B19924" t="s">
        <v>60932</v>
      </c>
      <c r="C19924" t="str">
        <f>"82532031"</f>
        <v>82532031</v>
      </c>
      <c r="D19924" t="s">
        <v>60931</v>
      </c>
      <c r="F19924" t="s">
        <v>34982</v>
      </c>
      <c r="I19924" t="s">
        <v>184</v>
      </c>
      <c r="J19924" t="s">
        <v>30</v>
      </c>
      <c r="K19924" t="s">
        <v>34983</v>
      </c>
      <c r="M19924" t="s">
        <v>50621</v>
      </c>
      <c r="N19924" t="str">
        <f>"8/16/2023 9:45:00 AM"</f>
        <v>8/16/2023 9:45:00 AM</v>
      </c>
      <c r="O19924" t="s">
        <v>60931</v>
      </c>
    </row>
    <row r="19925" spans="1:20" x14ac:dyDescent="0.25">
      <c r="A19925" t="str">
        <f>"3067594"</f>
        <v>3067594</v>
      </c>
      <c r="B19925" t="s">
        <v>60933</v>
      </c>
      <c r="C19925" t="str">
        <f>"8320825"</f>
        <v>8320825</v>
      </c>
      <c r="D19925" t="s">
        <v>60934</v>
      </c>
      <c r="F19925" t="s">
        <v>60935</v>
      </c>
      <c r="I19925" t="s">
        <v>184</v>
      </c>
      <c r="J19925" t="s">
        <v>30</v>
      </c>
      <c r="K19925" t="s">
        <v>14178</v>
      </c>
      <c r="M19925" t="s">
        <v>17861</v>
      </c>
      <c r="N19925" t="str">
        <f>"8/16/2023 1:32:00 PM"</f>
        <v>8/16/2023 1:32:00 PM</v>
      </c>
      <c r="O19925" t="s">
        <v>60934</v>
      </c>
    </row>
    <row r="19926" spans="1:20" x14ac:dyDescent="0.25">
      <c r="A19926" t="str">
        <f>"3059712"</f>
        <v>3059712</v>
      </c>
      <c r="B19926" t="s">
        <v>60936</v>
      </c>
      <c r="C19926" t="str">
        <f>"8320826"</f>
        <v>8320826</v>
      </c>
      <c r="D19926" t="s">
        <v>60937</v>
      </c>
      <c r="E19926" t="s">
        <v>60938</v>
      </c>
      <c r="F19926" t="s">
        <v>60939</v>
      </c>
      <c r="I19926" t="s">
        <v>29</v>
      </c>
      <c r="J19926" t="s">
        <v>30</v>
      </c>
      <c r="K19926" t="s">
        <v>59759</v>
      </c>
      <c r="M19926" t="s">
        <v>17861</v>
      </c>
      <c r="N19926" t="str">
        <f>"8/16/2023 1:35:00 PM"</f>
        <v>8/16/2023 1:35:00 PM</v>
      </c>
      <c r="O19926" t="s">
        <v>60937</v>
      </c>
      <c r="T19926" t="s">
        <v>60938</v>
      </c>
    </row>
    <row r="19927" spans="1:20" x14ac:dyDescent="0.25">
      <c r="A19927" t="str">
        <f>"3040931"</f>
        <v>3040931</v>
      </c>
      <c r="B19927" t="s">
        <v>60940</v>
      </c>
      <c r="C19927" t="str">
        <f>"8320828"</f>
        <v>8320828</v>
      </c>
      <c r="D19927" t="s">
        <v>60941</v>
      </c>
      <c r="F19927" t="s">
        <v>60942</v>
      </c>
      <c r="I19927" t="s">
        <v>184</v>
      </c>
      <c r="J19927" t="s">
        <v>30</v>
      </c>
      <c r="K19927" t="s">
        <v>36307</v>
      </c>
      <c r="M19927" t="s">
        <v>17861</v>
      </c>
      <c r="N19927" t="str">
        <f>"8/16/2023 1:47:00 PM"</f>
        <v>8/16/2023 1:47:00 PM</v>
      </c>
      <c r="O19927" t="s">
        <v>60941</v>
      </c>
    </row>
    <row r="19928" spans="1:20" x14ac:dyDescent="0.25">
      <c r="A19928" t="str">
        <f>"3041001"</f>
        <v>3041001</v>
      </c>
      <c r="B19928" t="s">
        <v>60943</v>
      </c>
      <c r="C19928" t="str">
        <f>"8320828"</f>
        <v>8320828</v>
      </c>
      <c r="D19928" t="s">
        <v>60941</v>
      </c>
      <c r="F19928" t="s">
        <v>60942</v>
      </c>
      <c r="I19928" t="s">
        <v>184</v>
      </c>
      <c r="J19928" t="s">
        <v>30</v>
      </c>
      <c r="K19928" t="s">
        <v>36307</v>
      </c>
      <c r="M19928" t="s">
        <v>17861</v>
      </c>
      <c r="N19928" t="str">
        <f>"8/16/2023 1:47:00 PM"</f>
        <v>8/16/2023 1:47:00 PM</v>
      </c>
      <c r="O19928" t="s">
        <v>60941</v>
      </c>
    </row>
    <row r="19929" spans="1:20" x14ac:dyDescent="0.25">
      <c r="A19929" t="str">
        <f>"3051255"</f>
        <v>3051255</v>
      </c>
      <c r="B19929" t="s">
        <v>60944</v>
      </c>
      <c r="C19929" t="str">
        <f>"74268000"</f>
        <v>74268000</v>
      </c>
      <c r="D19929" t="s">
        <v>60945</v>
      </c>
      <c r="F19929" t="s">
        <v>60946</v>
      </c>
      <c r="I19929" t="s">
        <v>29</v>
      </c>
      <c r="J19929" t="s">
        <v>30</v>
      </c>
      <c r="K19929" t="s">
        <v>14537</v>
      </c>
      <c r="M19929" t="s">
        <v>17861</v>
      </c>
      <c r="N19929" t="str">
        <f>"8/16/2023 3:12:00 PM"</f>
        <v>8/16/2023 3:12:00 PM</v>
      </c>
      <c r="O19929" t="s">
        <v>60945</v>
      </c>
    </row>
    <row r="19930" spans="1:20" x14ac:dyDescent="0.25">
      <c r="A19930" t="str">
        <f>"3056382"</f>
        <v>3056382</v>
      </c>
      <c r="B19930" t="s">
        <v>60947</v>
      </c>
      <c r="C19930" t="str">
        <f>"8307462"</f>
        <v>8307462</v>
      </c>
      <c r="D19930" t="s">
        <v>60948</v>
      </c>
      <c r="F19930" t="s">
        <v>60949</v>
      </c>
      <c r="G19930" t="s">
        <v>60950</v>
      </c>
      <c r="I19930" t="s">
        <v>60951</v>
      </c>
      <c r="J19930" t="s">
        <v>35925</v>
      </c>
      <c r="K19930" t="s">
        <v>60952</v>
      </c>
      <c r="M19930" t="s">
        <v>50621</v>
      </c>
      <c r="N19930" t="str">
        <f>"8/16/2023 3:41:00 PM"</f>
        <v>8/16/2023 3:41:00 PM</v>
      </c>
      <c r="O19930" t="s">
        <v>60948</v>
      </c>
    </row>
    <row r="19931" spans="1:20" x14ac:dyDescent="0.25">
      <c r="A19931" t="str">
        <f>"3056383"</f>
        <v>3056383</v>
      </c>
      <c r="B19931" t="s">
        <v>60953</v>
      </c>
      <c r="C19931" t="str">
        <f>"8307462"</f>
        <v>8307462</v>
      </c>
      <c r="D19931" t="s">
        <v>60948</v>
      </c>
      <c r="F19931" t="s">
        <v>60949</v>
      </c>
      <c r="G19931" t="s">
        <v>60950</v>
      </c>
      <c r="I19931" t="s">
        <v>60951</v>
      </c>
      <c r="J19931" t="s">
        <v>35925</v>
      </c>
      <c r="K19931" t="s">
        <v>60952</v>
      </c>
      <c r="M19931" t="s">
        <v>50621</v>
      </c>
      <c r="N19931" t="str">
        <f>"8/16/2023 3:41:00 PM"</f>
        <v>8/16/2023 3:41:00 PM</v>
      </c>
      <c r="O19931" t="s">
        <v>60948</v>
      </c>
    </row>
    <row r="19932" spans="1:20" x14ac:dyDescent="0.25">
      <c r="A19932" t="str">
        <f>"3049556"</f>
        <v>3049556</v>
      </c>
      <c r="B19932" t="s">
        <v>60954</v>
      </c>
      <c r="C19932" t="str">
        <f>"8317066"</f>
        <v>8317066</v>
      </c>
      <c r="D19932" t="s">
        <v>60955</v>
      </c>
      <c r="F19932" t="s">
        <v>52656</v>
      </c>
      <c r="I19932" t="s">
        <v>19211</v>
      </c>
      <c r="J19932" t="s">
        <v>30</v>
      </c>
      <c r="K19932" t="s">
        <v>52657</v>
      </c>
      <c r="M19932" t="s">
        <v>50621</v>
      </c>
      <c r="N19932" t="str">
        <f>"8/17/2023 8:57:00 AM"</f>
        <v>8/17/2023 8:57:00 AM</v>
      </c>
      <c r="O19932" t="s">
        <v>60955</v>
      </c>
    </row>
    <row r="19933" spans="1:20" x14ac:dyDescent="0.25">
      <c r="A19933" t="str">
        <f>"3070088"</f>
        <v>3070088</v>
      </c>
      <c r="B19933" t="s">
        <v>60956</v>
      </c>
      <c r="C19933" t="str">
        <f>"8317689"</f>
        <v>8317689</v>
      </c>
      <c r="D19933" t="s">
        <v>60957</v>
      </c>
      <c r="F19933" t="s">
        <v>60958</v>
      </c>
      <c r="G19933" t="s">
        <v>60959</v>
      </c>
      <c r="I19933" t="s">
        <v>29</v>
      </c>
      <c r="J19933" t="s">
        <v>30</v>
      </c>
      <c r="K19933" t="s">
        <v>60960</v>
      </c>
      <c r="M19933" t="s">
        <v>51351</v>
      </c>
      <c r="N19933" t="str">
        <f>"8/17/2023 10:57:00 AM"</f>
        <v>8/17/2023 10:57:00 AM</v>
      </c>
      <c r="O19933" t="s">
        <v>60957</v>
      </c>
    </row>
    <row r="19934" spans="1:20" x14ac:dyDescent="0.25">
      <c r="A19934" t="str">
        <f>"3046961"</f>
        <v>3046961</v>
      </c>
      <c r="B19934" t="s">
        <v>60961</v>
      </c>
      <c r="C19934" t="str">
        <f>"8320802"</f>
        <v>8320802</v>
      </c>
      <c r="D19934" t="s">
        <v>60962</v>
      </c>
      <c r="E19934" t="s">
        <v>60963</v>
      </c>
      <c r="F19934" t="s">
        <v>60964</v>
      </c>
      <c r="I19934" t="s">
        <v>29</v>
      </c>
      <c r="J19934" t="s">
        <v>30</v>
      </c>
      <c r="K19934" t="s">
        <v>60965</v>
      </c>
      <c r="M19934" t="s">
        <v>17861</v>
      </c>
      <c r="N19934" t="str">
        <f>"8/11/2023 3:53:00 PM"</f>
        <v>8/11/2023 3:53:00 PM</v>
      </c>
      <c r="O19934" t="s">
        <v>60962</v>
      </c>
      <c r="T19934" t="s">
        <v>60963</v>
      </c>
    </row>
    <row r="19935" spans="1:20" x14ac:dyDescent="0.25">
      <c r="A19935" t="str">
        <f>"3054900"</f>
        <v>3054900</v>
      </c>
      <c r="B19935" t="s">
        <v>60966</v>
      </c>
      <c r="C19935" t="str">
        <f>"8320804"</f>
        <v>8320804</v>
      </c>
      <c r="D19935" t="s">
        <v>24767</v>
      </c>
      <c r="E19935" t="s">
        <v>60967</v>
      </c>
      <c r="F19935" t="s">
        <v>60968</v>
      </c>
      <c r="I19935" t="s">
        <v>29</v>
      </c>
      <c r="J19935" t="s">
        <v>30</v>
      </c>
      <c r="K19935" t="s">
        <v>16613</v>
      </c>
      <c r="M19935" t="s">
        <v>17861</v>
      </c>
      <c r="N19935" t="str">
        <f>"8/14/2023 8:28:00 AM"</f>
        <v>8/14/2023 8:28:00 AM</v>
      </c>
      <c r="O19935" t="s">
        <v>24767</v>
      </c>
      <c r="T19935" t="s">
        <v>60967</v>
      </c>
    </row>
    <row r="19936" spans="1:20" x14ac:dyDescent="0.25">
      <c r="A19936" t="str">
        <f>"3038596"</f>
        <v>3038596</v>
      </c>
      <c r="B19936" t="s">
        <v>60969</v>
      </c>
      <c r="C19936" t="str">
        <f>"8320813"</f>
        <v>8320813</v>
      </c>
      <c r="D19936" t="s">
        <v>60970</v>
      </c>
      <c r="F19936" t="s">
        <v>60971</v>
      </c>
      <c r="I19936" t="s">
        <v>29</v>
      </c>
      <c r="J19936" t="s">
        <v>30</v>
      </c>
      <c r="K19936" t="s">
        <v>55727</v>
      </c>
      <c r="M19936" t="s">
        <v>17861</v>
      </c>
      <c r="N19936" t="str">
        <f>"8/15/2023 9:19:00 AM"</f>
        <v>8/15/2023 9:19:00 AM</v>
      </c>
      <c r="O19936" t="s">
        <v>60970</v>
      </c>
    </row>
    <row r="19937" spans="1:20" x14ac:dyDescent="0.25">
      <c r="A19937" t="str">
        <f>"3078881"</f>
        <v>3078881</v>
      </c>
      <c r="B19937" t="s">
        <v>60972</v>
      </c>
      <c r="C19937" t="str">
        <f>"8320830"</f>
        <v>8320830</v>
      </c>
      <c r="D19937" t="s">
        <v>60973</v>
      </c>
      <c r="F19937" t="s">
        <v>57398</v>
      </c>
      <c r="I19937" t="s">
        <v>29</v>
      </c>
      <c r="J19937" t="s">
        <v>30</v>
      </c>
      <c r="K19937" t="s">
        <v>8511</v>
      </c>
      <c r="M19937" t="s">
        <v>17861</v>
      </c>
      <c r="N19937" t="str">
        <f>"8/18/2023 1:53:00 PM"</f>
        <v>8/18/2023 1:53:00 PM</v>
      </c>
      <c r="O19937" t="s">
        <v>60973</v>
      </c>
    </row>
    <row r="19938" spans="1:20" x14ac:dyDescent="0.25">
      <c r="A19938" t="str">
        <f>"3057783"</f>
        <v>3057783</v>
      </c>
      <c r="B19938" t="s">
        <v>60974</v>
      </c>
      <c r="C19938" t="str">
        <f>"8320831"</f>
        <v>8320831</v>
      </c>
      <c r="D19938" t="s">
        <v>60975</v>
      </c>
      <c r="E19938" t="s">
        <v>60976</v>
      </c>
      <c r="F19938" t="s">
        <v>60977</v>
      </c>
      <c r="I19938" t="s">
        <v>29</v>
      </c>
      <c r="J19938" t="s">
        <v>30</v>
      </c>
      <c r="K19938" t="s">
        <v>33337</v>
      </c>
      <c r="M19938" t="s">
        <v>17861</v>
      </c>
      <c r="N19938" t="str">
        <f>"8/18/2023 2:00:00 PM"</f>
        <v>8/18/2023 2:00:00 PM</v>
      </c>
      <c r="O19938" t="s">
        <v>60975</v>
      </c>
      <c r="T19938" t="s">
        <v>60976</v>
      </c>
    </row>
    <row r="19939" spans="1:20" x14ac:dyDescent="0.25">
      <c r="A19939" t="str">
        <f>"3052397"</f>
        <v>3052397</v>
      </c>
      <c r="B19939" t="s">
        <v>60978</v>
      </c>
      <c r="C19939" t="str">
        <f>"8320832"</f>
        <v>8320832</v>
      </c>
      <c r="D19939" t="s">
        <v>60979</v>
      </c>
      <c r="F19939" t="s">
        <v>60980</v>
      </c>
      <c r="I19939" t="s">
        <v>29</v>
      </c>
      <c r="J19939" t="s">
        <v>30</v>
      </c>
      <c r="K19939" t="str">
        <f>"27028"</f>
        <v>27028</v>
      </c>
      <c r="M19939" t="s">
        <v>17861</v>
      </c>
      <c r="N19939" t="str">
        <f>"8/18/2023 2:04:00 PM"</f>
        <v>8/18/2023 2:04:00 PM</v>
      </c>
      <c r="O19939" t="s">
        <v>60979</v>
      </c>
    </row>
    <row r="19940" spans="1:20" x14ac:dyDescent="0.25">
      <c r="A19940" t="str">
        <f>"3044050"</f>
        <v>3044050</v>
      </c>
      <c r="B19940" t="s">
        <v>60981</v>
      </c>
      <c r="C19940" t="str">
        <f>"8320833"</f>
        <v>8320833</v>
      </c>
      <c r="D19940" t="s">
        <v>60982</v>
      </c>
      <c r="E19940" t="str">
        <f>"BARBEE RUSSELL/MELANIE JR TRST"</f>
        <v>BARBEE RUSSELL/MELANIE JR TRST</v>
      </c>
      <c r="F19940" t="s">
        <v>60983</v>
      </c>
      <c r="I19940" t="s">
        <v>184</v>
      </c>
      <c r="J19940" t="s">
        <v>30</v>
      </c>
      <c r="K19940" t="s">
        <v>7438</v>
      </c>
      <c r="M19940" t="s">
        <v>17861</v>
      </c>
      <c r="N19940" t="str">
        <f>"8/18/2023 2:34:00 PM"</f>
        <v>8/18/2023 2:34:00 PM</v>
      </c>
      <c r="O19940" t="s">
        <v>60982</v>
      </c>
      <c r="T19940" t="str">
        <f>"BARBEE RUSSELL/MELANIE JR TRST"</f>
        <v>BARBEE RUSSELL/MELANIE JR TRST</v>
      </c>
    </row>
    <row r="19941" spans="1:20" x14ac:dyDescent="0.25">
      <c r="A19941" t="str">
        <f>"3057583"</f>
        <v>3057583</v>
      </c>
      <c r="B19941" t="s">
        <v>60984</v>
      </c>
      <c r="C19941" t="str">
        <f>"8308402"</f>
        <v>8308402</v>
      </c>
      <c r="D19941" t="s">
        <v>60985</v>
      </c>
      <c r="F19941" t="s">
        <v>60986</v>
      </c>
      <c r="I19941" t="s">
        <v>29</v>
      </c>
      <c r="J19941" t="s">
        <v>30</v>
      </c>
      <c r="K19941" t="str">
        <f>"27028"</f>
        <v>27028</v>
      </c>
      <c r="M19941" t="s">
        <v>50621</v>
      </c>
      <c r="N19941" t="str">
        <f>"8/21/2023 4:53:00 PM"</f>
        <v>8/21/2023 4:53:00 PM</v>
      </c>
      <c r="O19941" t="s">
        <v>60985</v>
      </c>
    </row>
    <row r="19942" spans="1:20" x14ac:dyDescent="0.25">
      <c r="A19942" t="str">
        <f>"3046209"</f>
        <v>3046209</v>
      </c>
      <c r="B19942" t="s">
        <v>60987</v>
      </c>
      <c r="C19942" t="str">
        <f>"14308000"</f>
        <v>14308000</v>
      </c>
      <c r="D19942" t="s">
        <v>60988</v>
      </c>
      <c r="E19942" t="s">
        <v>60989</v>
      </c>
      <c r="F19942" t="s">
        <v>60990</v>
      </c>
      <c r="G19942" t="s">
        <v>60991</v>
      </c>
      <c r="I19942" t="s">
        <v>29</v>
      </c>
      <c r="J19942" t="s">
        <v>30</v>
      </c>
      <c r="K19942" t="s">
        <v>8317</v>
      </c>
      <c r="M19942" t="s">
        <v>51351</v>
      </c>
      <c r="N19942" t="str">
        <f>"8/22/2023 9:30:00 AM"</f>
        <v>8/22/2023 9:30:00 AM</v>
      </c>
      <c r="O19942" t="s">
        <v>60988</v>
      </c>
      <c r="T19942" t="s">
        <v>60989</v>
      </c>
    </row>
    <row r="19943" spans="1:20" x14ac:dyDescent="0.25">
      <c r="A19943" t="str">
        <f>"3058736"</f>
        <v>3058736</v>
      </c>
      <c r="B19943" t="s">
        <v>60992</v>
      </c>
      <c r="C19943" t="str">
        <f>"8320836"</f>
        <v>8320836</v>
      </c>
      <c r="D19943" t="s">
        <v>60993</v>
      </c>
      <c r="F19943" t="s">
        <v>60994</v>
      </c>
      <c r="I19943" t="s">
        <v>29</v>
      </c>
      <c r="J19943" t="s">
        <v>30</v>
      </c>
      <c r="K19943" t="s">
        <v>40174</v>
      </c>
      <c r="M19943" t="s">
        <v>17861</v>
      </c>
      <c r="N19943" t="str">
        <f>"8/22/2023 9:37:00 AM"</f>
        <v>8/22/2023 9:37:00 AM</v>
      </c>
      <c r="O19943" t="s">
        <v>60993</v>
      </c>
    </row>
    <row r="19944" spans="1:20" x14ac:dyDescent="0.25">
      <c r="A19944" t="str">
        <f>"3053937"</f>
        <v>3053937</v>
      </c>
      <c r="B19944" t="s">
        <v>60995</v>
      </c>
      <c r="C19944" t="str">
        <f>"8320814"</f>
        <v>8320814</v>
      </c>
      <c r="D19944" t="s">
        <v>60996</v>
      </c>
      <c r="F19944" t="s">
        <v>60997</v>
      </c>
      <c r="I19944" t="s">
        <v>29</v>
      </c>
      <c r="J19944" t="s">
        <v>30</v>
      </c>
      <c r="K19944" t="s">
        <v>42575</v>
      </c>
      <c r="M19944" t="s">
        <v>17861</v>
      </c>
      <c r="N19944" t="str">
        <f>"8/15/2023 9:25:00 AM"</f>
        <v>8/15/2023 9:25:00 AM</v>
      </c>
      <c r="O19944" t="s">
        <v>60996</v>
      </c>
    </row>
    <row r="19945" spans="1:20" x14ac:dyDescent="0.25">
      <c r="A19945" t="str">
        <f>"3047261"</f>
        <v>3047261</v>
      </c>
      <c r="B19945" t="s">
        <v>60998</v>
      </c>
      <c r="C19945" t="str">
        <f>"8320815"</f>
        <v>8320815</v>
      </c>
      <c r="D19945" t="s">
        <v>60999</v>
      </c>
      <c r="E19945" t="s">
        <v>61000</v>
      </c>
      <c r="F19945" t="s">
        <v>61001</v>
      </c>
      <c r="I19945" t="s">
        <v>184</v>
      </c>
      <c r="J19945" t="s">
        <v>30</v>
      </c>
      <c r="K19945" t="s">
        <v>61002</v>
      </c>
      <c r="M19945" t="s">
        <v>17861</v>
      </c>
      <c r="N19945" t="str">
        <f>"8/15/2023 10:27:00 AM"</f>
        <v>8/15/2023 10:27:00 AM</v>
      </c>
      <c r="O19945" t="s">
        <v>60999</v>
      </c>
      <c r="T19945" t="s">
        <v>61000</v>
      </c>
    </row>
    <row r="19946" spans="1:20" x14ac:dyDescent="0.25">
      <c r="A19946" t="str">
        <f>"3053081"</f>
        <v>3053081</v>
      </c>
      <c r="B19946" t="s">
        <v>61003</v>
      </c>
      <c r="C19946" t="str">
        <f>"8320816"</f>
        <v>8320816</v>
      </c>
      <c r="D19946" t="s">
        <v>61004</v>
      </c>
      <c r="F19946" t="s">
        <v>61005</v>
      </c>
      <c r="I19946" t="s">
        <v>29</v>
      </c>
      <c r="J19946" t="s">
        <v>30</v>
      </c>
      <c r="K19946" t="s">
        <v>13860</v>
      </c>
      <c r="M19946" t="s">
        <v>17861</v>
      </c>
      <c r="N19946" t="str">
        <f>"8/15/2023 10:51:00 AM"</f>
        <v>8/15/2023 10:51:00 AM</v>
      </c>
      <c r="O19946" t="s">
        <v>61004</v>
      </c>
    </row>
    <row r="19947" spans="1:20" x14ac:dyDescent="0.25">
      <c r="A19947" t="str">
        <f>"3053200"</f>
        <v>3053200</v>
      </c>
      <c r="B19947" t="s">
        <v>61006</v>
      </c>
      <c r="C19947" t="str">
        <f>"8320816"</f>
        <v>8320816</v>
      </c>
      <c r="D19947" t="s">
        <v>61004</v>
      </c>
      <c r="F19947" t="s">
        <v>61005</v>
      </c>
      <c r="I19947" t="s">
        <v>29</v>
      </c>
      <c r="J19947" t="s">
        <v>30</v>
      </c>
      <c r="K19947" t="s">
        <v>13860</v>
      </c>
      <c r="M19947" t="s">
        <v>17861</v>
      </c>
      <c r="N19947" t="str">
        <f>"8/15/2023 10:51:00 AM"</f>
        <v>8/15/2023 10:51:00 AM</v>
      </c>
      <c r="O19947" t="s">
        <v>61004</v>
      </c>
    </row>
    <row r="19948" spans="1:20" x14ac:dyDescent="0.25">
      <c r="A19948" t="str">
        <f>"3053019"</f>
        <v>3053019</v>
      </c>
      <c r="B19948" t="s">
        <v>61007</v>
      </c>
      <c r="C19948" t="str">
        <f>"8320816"</f>
        <v>8320816</v>
      </c>
      <c r="D19948" t="s">
        <v>61004</v>
      </c>
      <c r="F19948" t="s">
        <v>61005</v>
      </c>
      <c r="I19948" t="s">
        <v>29</v>
      </c>
      <c r="J19948" t="s">
        <v>30</v>
      </c>
      <c r="K19948" t="s">
        <v>13860</v>
      </c>
      <c r="M19948" t="s">
        <v>17861</v>
      </c>
      <c r="N19948" t="str">
        <f>"8/15/2023 10:51:00 AM"</f>
        <v>8/15/2023 10:51:00 AM</v>
      </c>
      <c r="O19948" t="s">
        <v>61004</v>
      </c>
    </row>
    <row r="19949" spans="1:20" x14ac:dyDescent="0.25">
      <c r="A19949" t="str">
        <f>"3053020"</f>
        <v>3053020</v>
      </c>
      <c r="B19949" t="s">
        <v>61008</v>
      </c>
      <c r="C19949" t="str">
        <f>"8320816"</f>
        <v>8320816</v>
      </c>
      <c r="D19949" t="s">
        <v>61004</v>
      </c>
      <c r="F19949" t="s">
        <v>61005</v>
      </c>
      <c r="I19949" t="s">
        <v>29</v>
      </c>
      <c r="J19949" t="s">
        <v>30</v>
      </c>
      <c r="K19949" t="s">
        <v>13860</v>
      </c>
      <c r="M19949" t="s">
        <v>17861</v>
      </c>
      <c r="N19949" t="str">
        <f>"8/15/2023 10:51:00 AM"</f>
        <v>8/15/2023 10:51:00 AM</v>
      </c>
      <c r="O19949" t="s">
        <v>61004</v>
      </c>
    </row>
    <row r="19950" spans="1:20" x14ac:dyDescent="0.25">
      <c r="A19950" t="str">
        <f>"3054149"</f>
        <v>3054149</v>
      </c>
      <c r="B19950" t="s">
        <v>61009</v>
      </c>
      <c r="C19950" t="str">
        <f>"8320818"</f>
        <v>8320818</v>
      </c>
      <c r="D19950" t="s">
        <v>61010</v>
      </c>
      <c r="F19950" t="s">
        <v>61011</v>
      </c>
      <c r="I19950" t="s">
        <v>29</v>
      </c>
      <c r="J19950" t="s">
        <v>30</v>
      </c>
      <c r="K19950" t="s">
        <v>61012</v>
      </c>
      <c r="M19950" t="s">
        <v>17861</v>
      </c>
      <c r="N19950" t="str">
        <f>"8/15/2023 11:14:00 AM"</f>
        <v>8/15/2023 11:14:00 AM</v>
      </c>
      <c r="O19950" t="s">
        <v>61010</v>
      </c>
    </row>
    <row r="19951" spans="1:20" x14ac:dyDescent="0.25">
      <c r="A19951" t="str">
        <f>"3078806"</f>
        <v>3078806</v>
      </c>
      <c r="B19951" t="s">
        <v>61013</v>
      </c>
      <c r="C19951" t="str">
        <f>"8320818"</f>
        <v>8320818</v>
      </c>
      <c r="D19951" t="s">
        <v>61010</v>
      </c>
      <c r="F19951" t="s">
        <v>61011</v>
      </c>
      <c r="I19951" t="s">
        <v>29</v>
      </c>
      <c r="J19951" t="s">
        <v>30</v>
      </c>
      <c r="K19951" t="s">
        <v>61012</v>
      </c>
      <c r="M19951" t="s">
        <v>17861</v>
      </c>
      <c r="N19951" t="str">
        <f>"8/15/2023 11:14:00 AM"</f>
        <v>8/15/2023 11:14:00 AM</v>
      </c>
      <c r="O19951" t="s">
        <v>61010</v>
      </c>
    </row>
    <row r="19952" spans="1:20" x14ac:dyDescent="0.25">
      <c r="A19952" t="str">
        <f>"3078823"</f>
        <v>3078823</v>
      </c>
      <c r="B19952" t="s">
        <v>61014</v>
      </c>
      <c r="C19952" t="str">
        <f>"8320818"</f>
        <v>8320818</v>
      </c>
      <c r="D19952" t="s">
        <v>61010</v>
      </c>
      <c r="F19952" t="s">
        <v>61011</v>
      </c>
      <c r="I19952" t="s">
        <v>29</v>
      </c>
      <c r="J19952" t="s">
        <v>30</v>
      </c>
      <c r="K19952" t="s">
        <v>61012</v>
      </c>
      <c r="M19952" t="s">
        <v>17861</v>
      </c>
      <c r="N19952" t="str">
        <f>"8/15/2023 11:14:00 AM"</f>
        <v>8/15/2023 11:14:00 AM</v>
      </c>
      <c r="O19952" t="s">
        <v>61010</v>
      </c>
    </row>
    <row r="19953" spans="1:20" x14ac:dyDescent="0.25">
      <c r="A19953" t="str">
        <f>"3040476"</f>
        <v>3040476</v>
      </c>
      <c r="B19953" t="s">
        <v>61015</v>
      </c>
      <c r="C19953" t="str">
        <f>"61686500"</f>
        <v>61686500</v>
      </c>
      <c r="D19953" t="s">
        <v>61016</v>
      </c>
      <c r="F19953" t="s">
        <v>61017</v>
      </c>
      <c r="I19953" t="s">
        <v>402</v>
      </c>
      <c r="J19953" t="s">
        <v>30</v>
      </c>
      <c r="K19953" t="s">
        <v>61018</v>
      </c>
      <c r="M19953" t="s">
        <v>50621</v>
      </c>
      <c r="N19953" t="str">
        <f>"8/15/2023 1:38:00 PM"</f>
        <v>8/15/2023 1:38:00 PM</v>
      </c>
      <c r="O19953" t="s">
        <v>61016</v>
      </c>
    </row>
    <row r="19954" spans="1:20" x14ac:dyDescent="0.25">
      <c r="A19954" t="str">
        <f>"3065717"</f>
        <v>3065717</v>
      </c>
      <c r="B19954" t="s">
        <v>61019</v>
      </c>
      <c r="C19954" t="str">
        <f>"8311914"</f>
        <v>8311914</v>
      </c>
      <c r="D19954" t="s">
        <v>61020</v>
      </c>
      <c r="E19954" t="s">
        <v>61021</v>
      </c>
      <c r="F19954" t="s">
        <v>61022</v>
      </c>
      <c r="I19954" t="s">
        <v>29</v>
      </c>
      <c r="J19954" t="s">
        <v>30</v>
      </c>
      <c r="K19954" t="s">
        <v>12538</v>
      </c>
      <c r="M19954" t="s">
        <v>50621</v>
      </c>
      <c r="N19954" t="str">
        <f>"8/15/2023 1:41:00 PM"</f>
        <v>8/15/2023 1:41:00 PM</v>
      </c>
      <c r="O19954" t="s">
        <v>61020</v>
      </c>
      <c r="T19954" t="s">
        <v>61021</v>
      </c>
    </row>
    <row r="19955" spans="1:20" x14ac:dyDescent="0.25">
      <c r="A19955" t="str">
        <f>"3062160"</f>
        <v>3062160</v>
      </c>
      <c r="B19955" t="s">
        <v>61023</v>
      </c>
      <c r="C19955" t="str">
        <f>"8309331"</f>
        <v>8309331</v>
      </c>
      <c r="D19955" t="s">
        <v>42105</v>
      </c>
      <c r="F19955" t="s">
        <v>37813</v>
      </c>
      <c r="I19955" t="s">
        <v>2071</v>
      </c>
      <c r="J19955" t="s">
        <v>30</v>
      </c>
      <c r="K19955" t="s">
        <v>3605</v>
      </c>
      <c r="M19955" t="s">
        <v>50621</v>
      </c>
      <c r="N19955" t="str">
        <f>"8/15/2023 1:52:00 PM"</f>
        <v>8/15/2023 1:52:00 PM</v>
      </c>
      <c r="O19955" t="s">
        <v>42105</v>
      </c>
    </row>
    <row r="19956" spans="1:20" x14ac:dyDescent="0.25">
      <c r="A19956" t="str">
        <f>"3045873"</f>
        <v>3045873</v>
      </c>
      <c r="B19956" t="s">
        <v>61024</v>
      </c>
      <c r="C19956" t="str">
        <f>"8314036"</f>
        <v>8314036</v>
      </c>
      <c r="D19956" t="s">
        <v>61025</v>
      </c>
      <c r="F19956" t="s">
        <v>61026</v>
      </c>
      <c r="I19956" t="s">
        <v>61027</v>
      </c>
      <c r="J19956" t="s">
        <v>12725</v>
      </c>
      <c r="K19956" t="s">
        <v>61028</v>
      </c>
      <c r="M19956" t="s">
        <v>50621</v>
      </c>
      <c r="N19956" t="str">
        <f>"8/15/2023 2:07:00 PM"</f>
        <v>8/15/2023 2:07:00 PM</v>
      </c>
      <c r="O19956" t="s">
        <v>61025</v>
      </c>
    </row>
    <row r="19957" spans="1:20" x14ac:dyDescent="0.25">
      <c r="A19957" t="str">
        <f>"3065831"</f>
        <v>3065831</v>
      </c>
      <c r="B19957" t="s">
        <v>61029</v>
      </c>
      <c r="C19957" t="str">
        <f>"8320847"</f>
        <v>8320847</v>
      </c>
      <c r="D19957" t="s">
        <v>61030</v>
      </c>
      <c r="F19957" t="s">
        <v>26382</v>
      </c>
      <c r="I19957" t="s">
        <v>184</v>
      </c>
      <c r="J19957" t="s">
        <v>30</v>
      </c>
      <c r="K19957" t="s">
        <v>840</v>
      </c>
      <c r="M19957" t="s">
        <v>17861</v>
      </c>
      <c r="N19957" t="str">
        <f>"8/28/2023 9:50:00 AM"</f>
        <v>8/28/2023 9:50:00 AM</v>
      </c>
      <c r="O19957" t="s">
        <v>61030</v>
      </c>
    </row>
    <row r="19958" spans="1:20" x14ac:dyDescent="0.25">
      <c r="A19958" t="str">
        <f>"3062223"</f>
        <v>3062223</v>
      </c>
      <c r="B19958" t="s">
        <v>61031</v>
      </c>
      <c r="C19958" t="str">
        <f>"8311852"</f>
        <v>8311852</v>
      </c>
      <c r="D19958" t="s">
        <v>61032</v>
      </c>
      <c r="E19958" t="s">
        <v>61033</v>
      </c>
      <c r="F19958" t="s">
        <v>61034</v>
      </c>
      <c r="I19958" t="s">
        <v>29</v>
      </c>
      <c r="J19958" t="s">
        <v>30</v>
      </c>
      <c r="K19958" t="s">
        <v>39997</v>
      </c>
      <c r="M19958" t="s">
        <v>50621</v>
      </c>
      <c r="N19958" t="str">
        <f>"8/15/2023 2:09:00 PM"</f>
        <v>8/15/2023 2:09:00 PM</v>
      </c>
      <c r="O19958" t="s">
        <v>61032</v>
      </c>
      <c r="T19958" t="s">
        <v>61033</v>
      </c>
    </row>
    <row r="19959" spans="1:20" x14ac:dyDescent="0.25">
      <c r="A19959" t="str">
        <f>"3078675"</f>
        <v>3078675</v>
      </c>
      <c r="B19959" t="s">
        <v>61035</v>
      </c>
      <c r="C19959" t="str">
        <f>"8320822"</f>
        <v>8320822</v>
      </c>
      <c r="D19959" t="s">
        <v>61036</v>
      </c>
      <c r="F19959" t="s">
        <v>61037</v>
      </c>
      <c r="I19959" t="s">
        <v>29</v>
      </c>
      <c r="J19959" t="s">
        <v>30</v>
      </c>
      <c r="K19959" t="s">
        <v>14673</v>
      </c>
      <c r="M19959" t="s">
        <v>17861</v>
      </c>
      <c r="N19959" t="str">
        <f>"8/15/2023 3:15:00 PM"</f>
        <v>8/15/2023 3:15:00 PM</v>
      </c>
      <c r="O19959" t="s">
        <v>61036</v>
      </c>
    </row>
    <row r="19960" spans="1:20" x14ac:dyDescent="0.25">
      <c r="A19960" t="str">
        <f>"3050082"</f>
        <v>3050082</v>
      </c>
      <c r="B19960" t="s">
        <v>61038</v>
      </c>
      <c r="C19960" t="str">
        <f>"8320822"</f>
        <v>8320822</v>
      </c>
      <c r="D19960" t="s">
        <v>61036</v>
      </c>
      <c r="F19960" t="s">
        <v>61037</v>
      </c>
      <c r="I19960" t="s">
        <v>29</v>
      </c>
      <c r="J19960" t="s">
        <v>30</v>
      </c>
      <c r="K19960" t="s">
        <v>14673</v>
      </c>
      <c r="M19960" t="s">
        <v>17861</v>
      </c>
      <c r="N19960" t="str">
        <f>"8/15/2023 3:15:00 PM"</f>
        <v>8/15/2023 3:15:00 PM</v>
      </c>
      <c r="O19960" t="s">
        <v>61036</v>
      </c>
    </row>
    <row r="19961" spans="1:20" x14ac:dyDescent="0.25">
      <c r="A19961" t="str">
        <f>"3054553"</f>
        <v>3054553</v>
      </c>
      <c r="B19961" t="s">
        <v>61039</v>
      </c>
      <c r="C19961" t="str">
        <f>"8320823"</f>
        <v>8320823</v>
      </c>
      <c r="D19961" t="s">
        <v>61040</v>
      </c>
      <c r="F19961" t="s">
        <v>61041</v>
      </c>
      <c r="I19961" t="s">
        <v>29</v>
      </c>
      <c r="J19961" t="s">
        <v>30</v>
      </c>
      <c r="K19961" t="s">
        <v>29603</v>
      </c>
      <c r="M19961" t="s">
        <v>17861</v>
      </c>
      <c r="N19961" t="str">
        <f>"8/15/2023 3:36:00 PM"</f>
        <v>8/15/2023 3:36:00 PM</v>
      </c>
      <c r="O19961" t="s">
        <v>61040</v>
      </c>
    </row>
    <row r="19962" spans="1:20" x14ac:dyDescent="0.25">
      <c r="A19962" t="str">
        <f>"3055332"</f>
        <v>3055332</v>
      </c>
      <c r="B19962" t="s">
        <v>61042</v>
      </c>
      <c r="C19962" t="str">
        <f>"82523388"</f>
        <v>82523388</v>
      </c>
      <c r="D19962" t="s">
        <v>61043</v>
      </c>
      <c r="F19962" t="s">
        <v>60928</v>
      </c>
      <c r="I19962" t="s">
        <v>29</v>
      </c>
      <c r="J19962" t="s">
        <v>30</v>
      </c>
      <c r="K19962" t="s">
        <v>60929</v>
      </c>
      <c r="M19962" t="s">
        <v>18479</v>
      </c>
      <c r="N19962" t="str">
        <f>"8/15/2023 3:39:00 PM"</f>
        <v>8/15/2023 3:39:00 PM</v>
      </c>
      <c r="O19962" t="s">
        <v>61043</v>
      </c>
      <c r="T19962" t="s">
        <v>61043</v>
      </c>
    </row>
    <row r="19963" spans="1:20" x14ac:dyDescent="0.25">
      <c r="A19963" t="str">
        <f>"3055184"</f>
        <v>3055184</v>
      </c>
      <c r="B19963" t="s">
        <v>61044</v>
      </c>
      <c r="C19963" t="str">
        <f>"82523388"</f>
        <v>82523388</v>
      </c>
      <c r="D19963" t="s">
        <v>61043</v>
      </c>
      <c r="F19963" t="s">
        <v>60928</v>
      </c>
      <c r="I19963" t="s">
        <v>29</v>
      </c>
      <c r="J19963" t="s">
        <v>30</v>
      </c>
      <c r="K19963" t="s">
        <v>60929</v>
      </c>
      <c r="M19963" t="s">
        <v>18479</v>
      </c>
      <c r="N19963" t="str">
        <f>"8/15/2023 3:39:00 PM"</f>
        <v>8/15/2023 3:39:00 PM</v>
      </c>
      <c r="O19963" t="s">
        <v>61043</v>
      </c>
      <c r="T19963" t="s">
        <v>61043</v>
      </c>
    </row>
    <row r="19964" spans="1:20" x14ac:dyDescent="0.25">
      <c r="A19964" t="str">
        <f>"3055321"</f>
        <v>3055321</v>
      </c>
      <c r="B19964" t="s">
        <v>61045</v>
      </c>
      <c r="C19964" t="str">
        <f>"8306582"</f>
        <v>8306582</v>
      </c>
      <c r="D19964" t="s">
        <v>60927</v>
      </c>
      <c r="F19964" t="s">
        <v>60928</v>
      </c>
      <c r="I19964" t="s">
        <v>29</v>
      </c>
      <c r="J19964" t="s">
        <v>30</v>
      </c>
      <c r="K19964" t="s">
        <v>60929</v>
      </c>
      <c r="M19964" t="s">
        <v>18479</v>
      </c>
      <c r="N19964" t="str">
        <f>"8/15/2023 3:40:00 PM"</f>
        <v>8/15/2023 3:40:00 PM</v>
      </c>
      <c r="O19964" t="s">
        <v>60927</v>
      </c>
    </row>
    <row r="19965" spans="1:20" x14ac:dyDescent="0.25">
      <c r="A19965" t="str">
        <f>"3066164"</f>
        <v>3066164</v>
      </c>
      <c r="B19965" t="s">
        <v>61046</v>
      </c>
      <c r="C19965" t="str">
        <f>"8306582"</f>
        <v>8306582</v>
      </c>
      <c r="D19965" t="s">
        <v>60927</v>
      </c>
      <c r="F19965" t="s">
        <v>60928</v>
      </c>
      <c r="I19965" t="s">
        <v>29</v>
      </c>
      <c r="J19965" t="s">
        <v>30</v>
      </c>
      <c r="K19965" t="s">
        <v>60929</v>
      </c>
      <c r="M19965" t="s">
        <v>18479</v>
      </c>
      <c r="N19965" t="str">
        <f>"8/15/2023 3:40:00 PM"</f>
        <v>8/15/2023 3:40:00 PM</v>
      </c>
      <c r="O19965" t="s">
        <v>60927</v>
      </c>
    </row>
    <row r="19966" spans="1:20" x14ac:dyDescent="0.25">
      <c r="A19966" t="str">
        <f>"3057586"</f>
        <v>3057586</v>
      </c>
      <c r="B19966" t="s">
        <v>61047</v>
      </c>
      <c r="C19966" t="str">
        <f>"8300510"</f>
        <v>8300510</v>
      </c>
      <c r="D19966" t="s">
        <v>61048</v>
      </c>
      <c r="E19966" t="s">
        <v>61049</v>
      </c>
      <c r="F19966" t="s">
        <v>61050</v>
      </c>
      <c r="I19966" t="s">
        <v>184</v>
      </c>
      <c r="J19966" t="s">
        <v>30</v>
      </c>
      <c r="K19966" t="s">
        <v>52691</v>
      </c>
      <c r="M19966" t="s">
        <v>25733</v>
      </c>
      <c r="N19966" t="str">
        <f>"8/18/2023 10:08:00 AM"</f>
        <v>8/18/2023 10:08:00 AM</v>
      </c>
      <c r="O19966" t="s">
        <v>61048</v>
      </c>
      <c r="T19966" t="s">
        <v>61049</v>
      </c>
    </row>
    <row r="19967" spans="1:20" x14ac:dyDescent="0.25">
      <c r="A19967" t="str">
        <f>"3048837"</f>
        <v>3048837</v>
      </c>
      <c r="B19967" t="s">
        <v>61051</v>
      </c>
      <c r="C19967" t="str">
        <f>"8320830"</f>
        <v>8320830</v>
      </c>
      <c r="D19967" t="s">
        <v>60973</v>
      </c>
      <c r="F19967" t="s">
        <v>57398</v>
      </c>
      <c r="I19967" t="s">
        <v>29</v>
      </c>
      <c r="J19967" t="s">
        <v>30</v>
      </c>
      <c r="K19967" t="s">
        <v>8511</v>
      </c>
      <c r="M19967" t="s">
        <v>17861</v>
      </c>
      <c r="N19967" t="str">
        <f>"8/18/2023 1:53:00 PM"</f>
        <v>8/18/2023 1:53:00 PM</v>
      </c>
      <c r="O19967" t="s">
        <v>60973</v>
      </c>
    </row>
    <row r="19968" spans="1:20" x14ac:dyDescent="0.25">
      <c r="A19968" t="str">
        <f>"3061209"</f>
        <v>3061209</v>
      </c>
      <c r="B19968" t="s">
        <v>61052</v>
      </c>
      <c r="C19968" t="str">
        <f>"8320837"</f>
        <v>8320837</v>
      </c>
      <c r="D19968" t="s">
        <v>61053</v>
      </c>
      <c r="F19968" t="s">
        <v>61054</v>
      </c>
      <c r="I19968" t="s">
        <v>2071</v>
      </c>
      <c r="J19968" t="s">
        <v>30</v>
      </c>
      <c r="K19968" t="s">
        <v>53327</v>
      </c>
      <c r="M19968" t="s">
        <v>32801</v>
      </c>
      <c r="N19968" t="str">
        <f>"8/22/2023 10:40:00 AM"</f>
        <v>8/22/2023 10:40:00 AM</v>
      </c>
      <c r="O19968" t="s">
        <v>61053</v>
      </c>
    </row>
    <row r="19969" spans="1:20" x14ac:dyDescent="0.25">
      <c r="A19969" t="str">
        <f>"3052666"</f>
        <v>3052666</v>
      </c>
      <c r="B19969" t="s">
        <v>61055</v>
      </c>
      <c r="C19969" t="str">
        <f>"8320839"</f>
        <v>8320839</v>
      </c>
      <c r="D19969" t="s">
        <v>61056</v>
      </c>
      <c r="E19969" t="s">
        <v>61057</v>
      </c>
      <c r="F19969" t="s">
        <v>61058</v>
      </c>
      <c r="I19969" t="s">
        <v>29</v>
      </c>
      <c r="J19969" t="s">
        <v>30</v>
      </c>
      <c r="K19969" t="s">
        <v>12144</v>
      </c>
      <c r="M19969" t="s">
        <v>32801</v>
      </c>
      <c r="N19969" t="str">
        <f>"8/22/2023 11:12:00 AM"</f>
        <v>8/22/2023 11:12:00 AM</v>
      </c>
      <c r="O19969" t="s">
        <v>61056</v>
      </c>
      <c r="T19969" t="s">
        <v>61057</v>
      </c>
    </row>
    <row r="19970" spans="1:20" x14ac:dyDescent="0.25">
      <c r="A19970" t="str">
        <f>"3058217"</f>
        <v>3058217</v>
      </c>
      <c r="B19970" t="s">
        <v>61059</v>
      </c>
      <c r="C19970" t="str">
        <f>"8320840"</f>
        <v>8320840</v>
      </c>
      <c r="D19970" t="s">
        <v>61060</v>
      </c>
      <c r="F19970" t="s">
        <v>44078</v>
      </c>
      <c r="I19970" t="s">
        <v>29</v>
      </c>
      <c r="J19970" t="s">
        <v>30</v>
      </c>
      <c r="K19970" t="s">
        <v>8528</v>
      </c>
      <c r="M19970" t="s">
        <v>32801</v>
      </c>
      <c r="N19970" t="str">
        <f>"8/22/2023 11:24:00 AM"</f>
        <v>8/22/2023 11:24:00 AM</v>
      </c>
      <c r="O19970" t="s">
        <v>61060</v>
      </c>
    </row>
    <row r="19971" spans="1:20" x14ac:dyDescent="0.25">
      <c r="A19971" t="str">
        <f>"3078291"</f>
        <v>3078291</v>
      </c>
      <c r="B19971" t="s">
        <v>61061</v>
      </c>
      <c r="C19971" t="str">
        <f>"8320841"</f>
        <v>8320841</v>
      </c>
      <c r="D19971" t="s">
        <v>61062</v>
      </c>
      <c r="E19971" t="s">
        <v>61063</v>
      </c>
      <c r="F19971" t="s">
        <v>61064</v>
      </c>
      <c r="I19971" t="s">
        <v>184</v>
      </c>
      <c r="J19971" t="s">
        <v>30</v>
      </c>
      <c r="K19971" t="s">
        <v>31882</v>
      </c>
      <c r="M19971" t="s">
        <v>32801</v>
      </c>
      <c r="N19971" t="str">
        <f>"8/22/2023 11:46:00 AM"</f>
        <v>8/22/2023 11:46:00 AM</v>
      </c>
      <c r="O19971" t="s">
        <v>61062</v>
      </c>
      <c r="T19971" t="s">
        <v>61063</v>
      </c>
    </row>
    <row r="19972" spans="1:20" x14ac:dyDescent="0.25">
      <c r="A19972" t="str">
        <f>"3057504"</f>
        <v>3057504</v>
      </c>
      <c r="B19972" t="s">
        <v>61065</v>
      </c>
      <c r="C19972" t="str">
        <f>"8320860"</f>
        <v>8320860</v>
      </c>
      <c r="D19972" t="s">
        <v>61066</v>
      </c>
      <c r="F19972" t="s">
        <v>20430</v>
      </c>
      <c r="I19972" t="s">
        <v>29</v>
      </c>
      <c r="J19972" t="s">
        <v>30</v>
      </c>
      <c r="K19972" t="s">
        <v>20431</v>
      </c>
      <c r="M19972" t="s">
        <v>17861</v>
      </c>
      <c r="N19972" t="str">
        <f>"8/30/2023 2:01:00 PM"</f>
        <v>8/30/2023 2:01:00 PM</v>
      </c>
      <c r="O19972" t="s">
        <v>61066</v>
      </c>
    </row>
    <row r="19973" spans="1:20" x14ac:dyDescent="0.25">
      <c r="A19973" t="str">
        <f>"3046955"</f>
        <v>3046955</v>
      </c>
      <c r="B19973" t="s">
        <v>61067</v>
      </c>
      <c r="C19973" t="str">
        <f>"8320861"</f>
        <v>8320861</v>
      </c>
      <c r="D19973" t="s">
        <v>7000</v>
      </c>
      <c r="E19973" t="s">
        <v>61068</v>
      </c>
      <c r="F19973" t="s">
        <v>61069</v>
      </c>
      <c r="I19973" t="s">
        <v>6707</v>
      </c>
      <c r="J19973" t="s">
        <v>30</v>
      </c>
      <c r="K19973" t="s">
        <v>61070</v>
      </c>
      <c r="M19973" t="s">
        <v>17861</v>
      </c>
      <c r="N19973" t="str">
        <f>"8/30/2023 2:17:00 PM"</f>
        <v>8/30/2023 2:17:00 PM</v>
      </c>
      <c r="O19973" t="s">
        <v>7000</v>
      </c>
      <c r="T19973" t="s">
        <v>61068</v>
      </c>
    </row>
    <row r="19974" spans="1:20" x14ac:dyDescent="0.25">
      <c r="A19974" t="str">
        <f>"3045400"</f>
        <v>3045400</v>
      </c>
      <c r="B19974" t="s">
        <v>61071</v>
      </c>
      <c r="C19974" t="str">
        <f>"8320862"</f>
        <v>8320862</v>
      </c>
      <c r="D19974" t="s">
        <v>61072</v>
      </c>
      <c r="E19974" t="s">
        <v>61073</v>
      </c>
      <c r="F19974" t="s">
        <v>61074</v>
      </c>
      <c r="I19974" t="s">
        <v>29</v>
      </c>
      <c r="J19974" t="s">
        <v>30</v>
      </c>
      <c r="K19974" t="s">
        <v>29466</v>
      </c>
      <c r="M19974" t="s">
        <v>17861</v>
      </c>
      <c r="N19974" t="str">
        <f>"8/30/2023 2:24:00 PM"</f>
        <v>8/30/2023 2:24:00 PM</v>
      </c>
      <c r="O19974" t="s">
        <v>61072</v>
      </c>
      <c r="T19974" t="s">
        <v>61073</v>
      </c>
    </row>
    <row r="19975" spans="1:20" x14ac:dyDescent="0.25">
      <c r="A19975" t="str">
        <f>"3038028"</f>
        <v>3038028</v>
      </c>
      <c r="B19975" t="s">
        <v>61075</v>
      </c>
      <c r="C19975" t="str">
        <f>"8320863"</f>
        <v>8320863</v>
      </c>
      <c r="D19975" t="s">
        <v>61076</v>
      </c>
      <c r="F19975" t="s">
        <v>61077</v>
      </c>
      <c r="I19975" t="s">
        <v>49</v>
      </c>
      <c r="J19975" t="s">
        <v>30</v>
      </c>
      <c r="K19975" t="s">
        <v>61078</v>
      </c>
      <c r="M19975" t="s">
        <v>17861</v>
      </c>
      <c r="N19975" t="str">
        <f>"8/30/2023 2:27:00 PM"</f>
        <v>8/30/2023 2:27:00 PM</v>
      </c>
      <c r="O19975" t="s">
        <v>61076</v>
      </c>
    </row>
    <row r="19976" spans="1:20" x14ac:dyDescent="0.25">
      <c r="A19976" t="str">
        <f>"3061886"</f>
        <v>3061886</v>
      </c>
      <c r="B19976" t="s">
        <v>61079</v>
      </c>
      <c r="C19976" t="str">
        <f>"8320864"</f>
        <v>8320864</v>
      </c>
      <c r="D19976" t="s">
        <v>61080</v>
      </c>
      <c r="E19976" t="s">
        <v>61081</v>
      </c>
      <c r="F19976" t="s">
        <v>48390</v>
      </c>
      <c r="I19976" t="s">
        <v>29</v>
      </c>
      <c r="J19976" t="s">
        <v>30</v>
      </c>
      <c r="K19976" t="s">
        <v>61082</v>
      </c>
      <c r="M19976" t="s">
        <v>17861</v>
      </c>
      <c r="N19976" t="str">
        <f>"8/30/2023 2:35:00 PM"</f>
        <v>8/30/2023 2:35:00 PM</v>
      </c>
      <c r="O19976" t="s">
        <v>61080</v>
      </c>
      <c r="T19976" t="s">
        <v>61081</v>
      </c>
    </row>
    <row r="19977" spans="1:20" x14ac:dyDescent="0.25">
      <c r="A19977" t="str">
        <f>"3038727"</f>
        <v>3038727</v>
      </c>
      <c r="B19977" t="s">
        <v>61083</v>
      </c>
      <c r="C19977" t="str">
        <f>"82518847"</f>
        <v>82518847</v>
      </c>
      <c r="D19977" t="s">
        <v>61084</v>
      </c>
      <c r="F19977" t="s">
        <v>61085</v>
      </c>
      <c r="I19977" t="s">
        <v>402</v>
      </c>
      <c r="J19977" t="s">
        <v>30</v>
      </c>
      <c r="K19977" t="s">
        <v>403</v>
      </c>
      <c r="M19977" t="s">
        <v>50793</v>
      </c>
      <c r="N19977" t="str">
        <f>"8/30/2023 2:47:00 PM"</f>
        <v>8/30/2023 2:47:00 PM</v>
      </c>
      <c r="O19977" t="s">
        <v>61084</v>
      </c>
      <c r="T19977" t="s">
        <v>61084</v>
      </c>
    </row>
    <row r="19978" spans="1:20" x14ac:dyDescent="0.25">
      <c r="A19978" t="str">
        <f>"3078246"</f>
        <v>3078246</v>
      </c>
      <c r="B19978" t="s">
        <v>61086</v>
      </c>
      <c r="C19978" t="str">
        <f>"8320844"</f>
        <v>8320844</v>
      </c>
      <c r="D19978" t="s">
        <v>61087</v>
      </c>
      <c r="F19978" t="s">
        <v>56870</v>
      </c>
      <c r="I19978" t="s">
        <v>29</v>
      </c>
      <c r="J19978" t="s">
        <v>30</v>
      </c>
      <c r="K19978" t="s">
        <v>46963</v>
      </c>
      <c r="M19978" t="s">
        <v>17861</v>
      </c>
      <c r="N19978" t="str">
        <f>"8/23/2023 2:43:00 PM"</f>
        <v>8/23/2023 2:43:00 PM</v>
      </c>
      <c r="O19978" t="s">
        <v>61087</v>
      </c>
    </row>
    <row r="19979" spans="1:20" x14ac:dyDescent="0.25">
      <c r="A19979" t="str">
        <f>"3078247"</f>
        <v>3078247</v>
      </c>
      <c r="B19979" t="s">
        <v>61088</v>
      </c>
      <c r="C19979" t="str">
        <f>"8320844"</f>
        <v>8320844</v>
      </c>
      <c r="D19979" t="s">
        <v>61087</v>
      </c>
      <c r="F19979" t="s">
        <v>56870</v>
      </c>
      <c r="I19979" t="s">
        <v>29</v>
      </c>
      <c r="J19979" t="s">
        <v>30</v>
      </c>
      <c r="K19979" t="s">
        <v>46963</v>
      </c>
      <c r="M19979" t="s">
        <v>17861</v>
      </c>
      <c r="N19979" t="str">
        <f>"8/23/2023 2:43:00 PM"</f>
        <v>8/23/2023 2:43:00 PM</v>
      </c>
      <c r="O19979" t="s">
        <v>61087</v>
      </c>
    </row>
    <row r="19980" spans="1:20" x14ac:dyDescent="0.25">
      <c r="A19980" t="str">
        <f>"3043325"</f>
        <v>3043325</v>
      </c>
      <c r="B19980" t="s">
        <v>61089</v>
      </c>
      <c r="C19980" t="str">
        <f>"4188000"</f>
        <v>4188000</v>
      </c>
      <c r="D19980" t="s">
        <v>61090</v>
      </c>
      <c r="F19980" t="str">
        <f>"C/O JESSIE BARKER"</f>
        <v>C/O JESSIE BARKER</v>
      </c>
      <c r="G19980" t="s">
        <v>61091</v>
      </c>
      <c r="I19980" t="s">
        <v>55589</v>
      </c>
      <c r="J19980" t="s">
        <v>2738</v>
      </c>
      <c r="K19980" t="s">
        <v>61092</v>
      </c>
      <c r="M19980" t="s">
        <v>50621</v>
      </c>
      <c r="N19980" t="str">
        <f>"8/24/2023 10:25:00 AM"</f>
        <v>8/24/2023 10:25:00 AM</v>
      </c>
      <c r="O19980" t="s">
        <v>61090</v>
      </c>
    </row>
    <row r="19981" spans="1:20" x14ac:dyDescent="0.25">
      <c r="A19981" t="str">
        <f>"3046794"</f>
        <v>3046794</v>
      </c>
      <c r="B19981" t="s">
        <v>61093</v>
      </c>
      <c r="C19981" t="str">
        <f>"8320843"</f>
        <v>8320843</v>
      </c>
      <c r="D19981" t="s">
        <v>61094</v>
      </c>
      <c r="F19981" t="s">
        <v>37766</v>
      </c>
      <c r="I19981" t="s">
        <v>184</v>
      </c>
      <c r="J19981" t="s">
        <v>30</v>
      </c>
      <c r="K19981" t="s">
        <v>61095</v>
      </c>
      <c r="M19981" t="s">
        <v>51351</v>
      </c>
      <c r="N19981" t="str">
        <f>"8/24/2023 12:36:00 PM"</f>
        <v>8/24/2023 12:36:00 PM</v>
      </c>
      <c r="O19981" t="s">
        <v>61094</v>
      </c>
    </row>
    <row r="19982" spans="1:20" x14ac:dyDescent="0.25">
      <c r="A19982" t="str">
        <f>"3037743"</f>
        <v>3037743</v>
      </c>
      <c r="B19982" t="s">
        <v>61096</v>
      </c>
      <c r="C19982" t="str">
        <f>"8318478"</f>
        <v>8318478</v>
      </c>
      <c r="D19982" t="s">
        <v>61097</v>
      </c>
      <c r="E19982" t="s">
        <v>61098</v>
      </c>
      <c r="F19982" t="s">
        <v>61099</v>
      </c>
      <c r="I19982" t="s">
        <v>29</v>
      </c>
      <c r="J19982" t="s">
        <v>30</v>
      </c>
      <c r="K19982" t="s">
        <v>971</v>
      </c>
      <c r="M19982" t="s">
        <v>18479</v>
      </c>
      <c r="N19982" t="str">
        <f>"8/25/2023 8:51:00 AM"</f>
        <v>8/25/2023 8:51:00 AM</v>
      </c>
      <c r="O19982" t="s">
        <v>61097</v>
      </c>
      <c r="T19982" t="s">
        <v>61098</v>
      </c>
    </row>
    <row r="19983" spans="1:20" x14ac:dyDescent="0.25">
      <c r="A19983" t="str">
        <f>"3047056"</f>
        <v>3047056</v>
      </c>
      <c r="B19983" t="s">
        <v>61100</v>
      </c>
      <c r="C19983" t="str">
        <f>"8320873"</f>
        <v>8320873</v>
      </c>
      <c r="D19983" t="s">
        <v>61101</v>
      </c>
      <c r="F19983" t="s">
        <v>61102</v>
      </c>
      <c r="I19983" t="s">
        <v>29</v>
      </c>
      <c r="J19983" t="s">
        <v>30</v>
      </c>
      <c r="K19983" t="s">
        <v>10231</v>
      </c>
      <c r="M19983" t="s">
        <v>17861</v>
      </c>
      <c r="N19983" t="str">
        <f>"8/30/2023 3:26:00 PM"</f>
        <v>8/30/2023 3:26:00 PM</v>
      </c>
      <c r="O19983" t="s">
        <v>61101</v>
      </c>
    </row>
    <row r="19984" spans="1:20" x14ac:dyDescent="0.25">
      <c r="A19984" t="str">
        <f>"3078284"</f>
        <v>3078284</v>
      </c>
      <c r="B19984" t="s">
        <v>61103</v>
      </c>
      <c r="C19984" t="str">
        <f>"8320875"</f>
        <v>8320875</v>
      </c>
      <c r="D19984" t="s">
        <v>61104</v>
      </c>
      <c r="E19984" t="s">
        <v>61105</v>
      </c>
      <c r="F19984" t="s">
        <v>61106</v>
      </c>
      <c r="I19984" t="s">
        <v>29</v>
      </c>
      <c r="J19984" t="s">
        <v>30</v>
      </c>
      <c r="K19984" t="s">
        <v>12336</v>
      </c>
      <c r="M19984" t="s">
        <v>17861</v>
      </c>
      <c r="N19984" t="str">
        <f>"8/30/2023 3:31:00 PM"</f>
        <v>8/30/2023 3:31:00 PM</v>
      </c>
      <c r="O19984" t="s">
        <v>61104</v>
      </c>
      <c r="T19984" t="s">
        <v>61105</v>
      </c>
    </row>
    <row r="19985" spans="1:20" x14ac:dyDescent="0.25">
      <c r="A19985" t="str">
        <f>"3058346"</f>
        <v>3058346</v>
      </c>
      <c r="B19985" t="s">
        <v>61107</v>
      </c>
      <c r="C19985" t="str">
        <f>"8320877"</f>
        <v>8320877</v>
      </c>
      <c r="D19985" t="s">
        <v>61108</v>
      </c>
      <c r="E19985" t="s">
        <v>61109</v>
      </c>
      <c r="F19985" t="s">
        <v>61110</v>
      </c>
      <c r="I19985" t="s">
        <v>17921</v>
      </c>
      <c r="J19985" t="s">
        <v>30</v>
      </c>
      <c r="K19985" t="str">
        <f>"27028"</f>
        <v>27028</v>
      </c>
      <c r="M19985" t="s">
        <v>17861</v>
      </c>
      <c r="N19985" t="str">
        <f>"8/30/2023 3:38:00 PM"</f>
        <v>8/30/2023 3:38:00 PM</v>
      </c>
      <c r="O19985" t="s">
        <v>61108</v>
      </c>
      <c r="T19985" t="s">
        <v>61109</v>
      </c>
    </row>
    <row r="19986" spans="1:20" x14ac:dyDescent="0.25">
      <c r="A19986" t="str">
        <f>"3058327"</f>
        <v>3058327</v>
      </c>
      <c r="B19986" t="s">
        <v>61111</v>
      </c>
      <c r="C19986" t="str">
        <f>"8320878"</f>
        <v>8320878</v>
      </c>
      <c r="D19986" t="s">
        <v>61112</v>
      </c>
      <c r="E19986" t="s">
        <v>61113</v>
      </c>
      <c r="F19986" t="s">
        <v>61114</v>
      </c>
      <c r="I19986" t="s">
        <v>17921</v>
      </c>
      <c r="J19986" t="s">
        <v>30</v>
      </c>
      <c r="K19986" t="str">
        <f>"27028"</f>
        <v>27028</v>
      </c>
      <c r="M19986" t="s">
        <v>17861</v>
      </c>
      <c r="N19986" t="str">
        <f>"8/30/2023 3:40:00 PM"</f>
        <v>8/30/2023 3:40:00 PM</v>
      </c>
      <c r="O19986" t="s">
        <v>61112</v>
      </c>
      <c r="T19986" t="s">
        <v>61113</v>
      </c>
    </row>
    <row r="19987" spans="1:20" x14ac:dyDescent="0.25">
      <c r="A19987" t="str">
        <f>"3078295"</f>
        <v>3078295</v>
      </c>
      <c r="B19987" t="s">
        <v>61115</v>
      </c>
      <c r="C19987" t="str">
        <f>"8320879"</f>
        <v>8320879</v>
      </c>
      <c r="D19987" t="s">
        <v>61116</v>
      </c>
      <c r="E19987" t="s">
        <v>61117</v>
      </c>
      <c r="F19987" t="s">
        <v>23528</v>
      </c>
      <c r="I19987" t="s">
        <v>184</v>
      </c>
      <c r="J19987" t="s">
        <v>30</v>
      </c>
      <c r="K19987" t="s">
        <v>36453</v>
      </c>
      <c r="M19987" t="s">
        <v>17861</v>
      </c>
      <c r="N19987" t="str">
        <f>"8/30/2023 3:43:00 PM"</f>
        <v>8/30/2023 3:43:00 PM</v>
      </c>
      <c r="O19987" t="s">
        <v>61116</v>
      </c>
      <c r="T19987" t="s">
        <v>61117</v>
      </c>
    </row>
    <row r="19988" spans="1:20" x14ac:dyDescent="0.25">
      <c r="A19988" t="str">
        <f>"3050905"</f>
        <v>3050905</v>
      </c>
      <c r="B19988" t="s">
        <v>61118</v>
      </c>
      <c r="C19988" t="str">
        <f>"8320879"</f>
        <v>8320879</v>
      </c>
      <c r="D19988" t="s">
        <v>61116</v>
      </c>
      <c r="E19988" t="s">
        <v>61117</v>
      </c>
      <c r="F19988" t="s">
        <v>23528</v>
      </c>
      <c r="I19988" t="s">
        <v>184</v>
      </c>
      <c r="J19988" t="s">
        <v>30</v>
      </c>
      <c r="K19988" t="s">
        <v>36453</v>
      </c>
      <c r="M19988" t="s">
        <v>17861</v>
      </c>
      <c r="N19988" t="str">
        <f>"8/30/2023 3:43:00 PM"</f>
        <v>8/30/2023 3:43:00 PM</v>
      </c>
      <c r="O19988" t="s">
        <v>61116</v>
      </c>
      <c r="T19988" t="s">
        <v>61117</v>
      </c>
    </row>
    <row r="19989" spans="1:20" x14ac:dyDescent="0.25">
      <c r="A19989" t="str">
        <f>"3041393"</f>
        <v>3041393</v>
      </c>
      <c r="B19989" t="s">
        <v>61119</v>
      </c>
      <c r="C19989" t="str">
        <f>"8320882"</f>
        <v>8320882</v>
      </c>
      <c r="D19989" t="s">
        <v>61120</v>
      </c>
      <c r="F19989" t="s">
        <v>61121</v>
      </c>
      <c r="I19989" t="s">
        <v>2071</v>
      </c>
      <c r="J19989" t="s">
        <v>30</v>
      </c>
      <c r="K19989" t="s">
        <v>2200</v>
      </c>
      <c r="M19989" t="s">
        <v>17861</v>
      </c>
      <c r="N19989" t="str">
        <f>"8/30/2023 3:48:00 PM"</f>
        <v>8/30/2023 3:48:00 PM</v>
      </c>
      <c r="O19989" t="s">
        <v>61120</v>
      </c>
    </row>
    <row r="19990" spans="1:20" x14ac:dyDescent="0.25">
      <c r="A19990" t="str">
        <f>"3058308"</f>
        <v>3058308</v>
      </c>
      <c r="B19990" t="s">
        <v>61122</v>
      </c>
      <c r="C19990" t="str">
        <f>"8320883"</f>
        <v>8320883</v>
      </c>
      <c r="D19990" t="s">
        <v>61123</v>
      </c>
      <c r="E19990" t="s">
        <v>61124</v>
      </c>
      <c r="F19990" t="s">
        <v>61125</v>
      </c>
      <c r="I19990" t="s">
        <v>29</v>
      </c>
      <c r="J19990" t="s">
        <v>30</v>
      </c>
      <c r="K19990" t="s">
        <v>11836</v>
      </c>
      <c r="M19990" t="s">
        <v>17861</v>
      </c>
      <c r="N19990" t="str">
        <f>"8/30/2023 3:51:00 PM"</f>
        <v>8/30/2023 3:51:00 PM</v>
      </c>
      <c r="O19990" t="s">
        <v>61123</v>
      </c>
      <c r="T19990" t="s">
        <v>61124</v>
      </c>
    </row>
    <row r="19991" spans="1:20" x14ac:dyDescent="0.25">
      <c r="A19991" t="str">
        <f>"3039324"</f>
        <v>3039324</v>
      </c>
      <c r="B19991" t="s">
        <v>61126</v>
      </c>
      <c r="C19991" t="str">
        <f>"8320884"</f>
        <v>8320884</v>
      </c>
      <c r="D19991" t="s">
        <v>61127</v>
      </c>
      <c r="F19991" t="s">
        <v>61128</v>
      </c>
      <c r="I19991" t="s">
        <v>184</v>
      </c>
      <c r="J19991" t="s">
        <v>30</v>
      </c>
      <c r="K19991" t="s">
        <v>56502</v>
      </c>
      <c r="M19991" t="s">
        <v>17861</v>
      </c>
      <c r="N19991" t="str">
        <f>"8/31/2023 8:40:00 AM"</f>
        <v>8/31/2023 8:40:00 AM</v>
      </c>
      <c r="O19991" t="s">
        <v>61127</v>
      </c>
    </row>
    <row r="19992" spans="1:20" x14ac:dyDescent="0.25">
      <c r="A19992" t="str">
        <f>"3039517"</f>
        <v>3039517</v>
      </c>
      <c r="B19992" t="s">
        <v>61129</v>
      </c>
      <c r="C19992" t="str">
        <f>"8320884"</f>
        <v>8320884</v>
      </c>
      <c r="D19992" t="s">
        <v>61127</v>
      </c>
      <c r="F19992" t="s">
        <v>61128</v>
      </c>
      <c r="I19992" t="s">
        <v>184</v>
      </c>
      <c r="J19992" t="s">
        <v>30</v>
      </c>
      <c r="K19992" t="s">
        <v>56502</v>
      </c>
      <c r="M19992" t="s">
        <v>17861</v>
      </c>
      <c r="N19992" t="str">
        <f>"8/31/2023 8:40:00 AM"</f>
        <v>8/31/2023 8:40:00 AM</v>
      </c>
      <c r="O19992" t="s">
        <v>61127</v>
      </c>
    </row>
    <row r="19993" spans="1:20" x14ac:dyDescent="0.25">
      <c r="A19993" t="str">
        <f>"3037283"</f>
        <v>3037283</v>
      </c>
      <c r="B19993" t="s">
        <v>61130</v>
      </c>
      <c r="C19993" t="str">
        <f>"8320884"</f>
        <v>8320884</v>
      </c>
      <c r="D19993" t="s">
        <v>61127</v>
      </c>
      <c r="F19993" t="s">
        <v>61128</v>
      </c>
      <c r="I19993" t="s">
        <v>184</v>
      </c>
      <c r="J19993" t="s">
        <v>30</v>
      </c>
      <c r="K19993" t="s">
        <v>56502</v>
      </c>
      <c r="M19993" t="s">
        <v>17861</v>
      </c>
      <c r="N19993" t="str">
        <f>"8/31/2023 8:40:00 AM"</f>
        <v>8/31/2023 8:40:00 AM</v>
      </c>
      <c r="O19993" t="s">
        <v>61127</v>
      </c>
    </row>
    <row r="19994" spans="1:20" x14ac:dyDescent="0.25">
      <c r="A19994" t="str">
        <f>"3054445"</f>
        <v>3054445</v>
      </c>
      <c r="B19994" t="s">
        <v>61131</v>
      </c>
      <c r="C19994" t="str">
        <f>"8317449"</f>
        <v>8317449</v>
      </c>
      <c r="D19994" t="s">
        <v>61132</v>
      </c>
      <c r="E19994" t="s">
        <v>61133</v>
      </c>
      <c r="F19994" t="s">
        <v>61134</v>
      </c>
      <c r="I19994" t="s">
        <v>29</v>
      </c>
      <c r="J19994" t="s">
        <v>30</v>
      </c>
      <c r="K19994" t="s">
        <v>47921</v>
      </c>
      <c r="M19994" t="s">
        <v>50621</v>
      </c>
      <c r="N19994" t="str">
        <f>"8/31/2023 9:00:00 AM"</f>
        <v>8/31/2023 9:00:00 AM</v>
      </c>
      <c r="O19994" t="s">
        <v>61132</v>
      </c>
      <c r="T19994" t="s">
        <v>61133</v>
      </c>
    </row>
    <row r="19995" spans="1:20" x14ac:dyDescent="0.25">
      <c r="A19995" t="str">
        <f>"3047408"</f>
        <v>3047408</v>
      </c>
      <c r="B19995" t="s">
        <v>61135</v>
      </c>
      <c r="C19995" t="str">
        <f>"82515615"</f>
        <v>82515615</v>
      </c>
      <c r="D19995" t="s">
        <v>61136</v>
      </c>
      <c r="E19995" t="s">
        <v>61137</v>
      </c>
      <c r="F19995" t="s">
        <v>61138</v>
      </c>
      <c r="I19995" t="s">
        <v>44454</v>
      </c>
      <c r="J19995" t="s">
        <v>30</v>
      </c>
      <c r="K19995" t="s">
        <v>61139</v>
      </c>
      <c r="M19995" t="s">
        <v>50793</v>
      </c>
      <c r="N19995" t="str">
        <f>"8/25/2023 9:34:00 AM"</f>
        <v>8/25/2023 9:34:00 AM</v>
      </c>
      <c r="O19995" t="s">
        <v>61136</v>
      </c>
      <c r="T19995" t="s">
        <v>61137</v>
      </c>
    </row>
    <row r="19996" spans="1:20" x14ac:dyDescent="0.25">
      <c r="A19996" t="str">
        <f>"3077107"</f>
        <v>3077107</v>
      </c>
      <c r="B19996" t="s">
        <v>61140</v>
      </c>
      <c r="C19996" t="str">
        <f>"8320886"</f>
        <v>8320886</v>
      </c>
      <c r="D19996" t="s">
        <v>61141</v>
      </c>
      <c r="E19996" t="s">
        <v>61142</v>
      </c>
      <c r="F19996" t="s">
        <v>61143</v>
      </c>
      <c r="I19996" t="s">
        <v>29</v>
      </c>
      <c r="J19996" t="s">
        <v>30</v>
      </c>
      <c r="K19996" t="s">
        <v>26737</v>
      </c>
      <c r="M19996" t="s">
        <v>17861</v>
      </c>
      <c r="N19996" t="str">
        <f>"8/31/2023 9:16:00 AM"</f>
        <v>8/31/2023 9:16:00 AM</v>
      </c>
      <c r="O19996" t="s">
        <v>61141</v>
      </c>
      <c r="T19996" t="s">
        <v>61142</v>
      </c>
    </row>
    <row r="19997" spans="1:20" x14ac:dyDescent="0.25">
      <c r="A19997" t="str">
        <f>"3058129"</f>
        <v>3058129</v>
      </c>
      <c r="B19997" t="s">
        <v>61144</v>
      </c>
      <c r="C19997" t="str">
        <f>"8320887"</f>
        <v>8320887</v>
      </c>
      <c r="D19997" t="s">
        <v>61145</v>
      </c>
      <c r="E19997" t="s">
        <v>61146</v>
      </c>
      <c r="F19997" t="s">
        <v>61147</v>
      </c>
      <c r="I19997" t="s">
        <v>184</v>
      </c>
      <c r="J19997" t="s">
        <v>30</v>
      </c>
      <c r="K19997" t="s">
        <v>5369</v>
      </c>
      <c r="M19997" t="s">
        <v>17861</v>
      </c>
      <c r="N19997" t="str">
        <f>"8/31/2023 9:19:00 AM"</f>
        <v>8/31/2023 9:19:00 AM</v>
      </c>
      <c r="O19997" t="s">
        <v>61145</v>
      </c>
      <c r="T19997" t="s">
        <v>61146</v>
      </c>
    </row>
    <row r="19998" spans="1:20" x14ac:dyDescent="0.25">
      <c r="A19998" t="str">
        <f>"3061675"</f>
        <v>3061675</v>
      </c>
      <c r="B19998" t="s">
        <v>61148</v>
      </c>
      <c r="C19998" t="str">
        <f>"8320888"</f>
        <v>8320888</v>
      </c>
      <c r="D19998" t="s">
        <v>61149</v>
      </c>
      <c r="E19998" t="s">
        <v>61150</v>
      </c>
      <c r="F19998" t="s">
        <v>61151</v>
      </c>
      <c r="I19998" t="s">
        <v>2071</v>
      </c>
      <c r="J19998" t="s">
        <v>30</v>
      </c>
      <c r="K19998" t="s">
        <v>4124</v>
      </c>
      <c r="M19998" t="s">
        <v>17861</v>
      </c>
      <c r="N19998" t="str">
        <f>"8/31/2023 9:21:00 AM"</f>
        <v>8/31/2023 9:21:00 AM</v>
      </c>
      <c r="O19998" t="s">
        <v>61149</v>
      </c>
      <c r="T19998" t="s">
        <v>61150</v>
      </c>
    </row>
    <row r="19999" spans="1:20" x14ac:dyDescent="0.25">
      <c r="A19999" t="str">
        <f>"3047987"</f>
        <v>3047987</v>
      </c>
      <c r="B19999" t="s">
        <v>61152</v>
      </c>
      <c r="C19999" t="str">
        <f>"8320889"</f>
        <v>8320889</v>
      </c>
      <c r="D19999" t="s">
        <v>61153</v>
      </c>
      <c r="F19999" t="s">
        <v>61154</v>
      </c>
      <c r="I19999" t="s">
        <v>471</v>
      </c>
      <c r="J19999" t="s">
        <v>30</v>
      </c>
      <c r="K19999" t="s">
        <v>61155</v>
      </c>
      <c r="M19999" t="s">
        <v>17861</v>
      </c>
      <c r="N19999" t="str">
        <f>"8/31/2023 9:25:00 AM"</f>
        <v>8/31/2023 9:25:00 AM</v>
      </c>
      <c r="O19999" t="s">
        <v>61153</v>
      </c>
    </row>
    <row r="20000" spans="1:20" x14ac:dyDescent="0.25">
      <c r="A20000" t="str">
        <f>"3060167"</f>
        <v>3060167</v>
      </c>
      <c r="B20000" t="s">
        <v>61156</v>
      </c>
      <c r="C20000" t="str">
        <f>"8320890"</f>
        <v>8320890</v>
      </c>
      <c r="D20000" t="s">
        <v>61157</v>
      </c>
      <c r="E20000" t="s">
        <v>61158</v>
      </c>
      <c r="F20000" t="s">
        <v>61159</v>
      </c>
      <c r="I20000" t="s">
        <v>184</v>
      </c>
      <c r="J20000" t="s">
        <v>30</v>
      </c>
      <c r="K20000" t="s">
        <v>48651</v>
      </c>
      <c r="M20000" t="s">
        <v>17861</v>
      </c>
      <c r="N20000" t="str">
        <f>"8/31/2023 9:28:00 AM"</f>
        <v>8/31/2023 9:28:00 AM</v>
      </c>
      <c r="O20000" t="s">
        <v>61157</v>
      </c>
      <c r="T20000" t="s">
        <v>61158</v>
      </c>
    </row>
    <row r="20001" spans="1:20" x14ac:dyDescent="0.25">
      <c r="A20001" t="str">
        <f>"3045687"</f>
        <v>3045687</v>
      </c>
      <c r="B20001" t="s">
        <v>61160</v>
      </c>
      <c r="C20001" t="str">
        <f>"8320891"</f>
        <v>8320891</v>
      </c>
      <c r="D20001" t="s">
        <v>61161</v>
      </c>
      <c r="F20001" t="s">
        <v>22627</v>
      </c>
      <c r="I20001" t="s">
        <v>10172</v>
      </c>
      <c r="J20001" t="s">
        <v>30</v>
      </c>
      <c r="K20001" t="s">
        <v>61162</v>
      </c>
      <c r="M20001" t="s">
        <v>17861</v>
      </c>
      <c r="N20001" t="str">
        <f>"8/31/2023 9:30:00 AM"</f>
        <v>8/31/2023 9:30:00 AM</v>
      </c>
      <c r="O20001" t="s">
        <v>61161</v>
      </c>
    </row>
    <row r="20002" spans="1:20" x14ac:dyDescent="0.25">
      <c r="A20002" t="str">
        <f>"3045689"</f>
        <v>3045689</v>
      </c>
      <c r="B20002" t="s">
        <v>61163</v>
      </c>
      <c r="C20002" t="str">
        <f>"8320891"</f>
        <v>8320891</v>
      </c>
      <c r="D20002" t="s">
        <v>61161</v>
      </c>
      <c r="F20002" t="s">
        <v>22627</v>
      </c>
      <c r="I20002" t="s">
        <v>10172</v>
      </c>
      <c r="J20002" t="s">
        <v>30</v>
      </c>
      <c r="K20002" t="s">
        <v>61162</v>
      </c>
      <c r="M20002" t="s">
        <v>17861</v>
      </c>
      <c r="N20002" t="str">
        <f>"8/31/2023 9:30:00 AM"</f>
        <v>8/31/2023 9:30:00 AM</v>
      </c>
      <c r="O20002" t="s">
        <v>61161</v>
      </c>
    </row>
    <row r="20003" spans="1:20" x14ac:dyDescent="0.25">
      <c r="A20003" t="str">
        <f>"3047780"</f>
        <v>3047780</v>
      </c>
      <c r="B20003" t="s">
        <v>61164</v>
      </c>
      <c r="C20003" t="str">
        <f>"82515615"</f>
        <v>82515615</v>
      </c>
      <c r="D20003" t="s">
        <v>61136</v>
      </c>
      <c r="E20003" t="s">
        <v>61137</v>
      </c>
      <c r="F20003" t="s">
        <v>61138</v>
      </c>
      <c r="I20003" t="s">
        <v>44454</v>
      </c>
      <c r="J20003" t="s">
        <v>30</v>
      </c>
      <c r="K20003" t="s">
        <v>61139</v>
      </c>
      <c r="M20003" t="s">
        <v>50793</v>
      </c>
      <c r="N20003" t="str">
        <f>"8/25/2023 9:34:00 AM"</f>
        <v>8/25/2023 9:34:00 AM</v>
      </c>
      <c r="O20003" t="s">
        <v>61136</v>
      </c>
      <c r="T20003" t="s">
        <v>61137</v>
      </c>
    </row>
    <row r="20004" spans="1:20" x14ac:dyDescent="0.25">
      <c r="A20004" t="str">
        <f>"3038826"</f>
        <v>3038826</v>
      </c>
      <c r="B20004" t="s">
        <v>61165</v>
      </c>
      <c r="C20004" t="str">
        <f>"8318634"</f>
        <v>8318634</v>
      </c>
      <c r="D20004" t="s">
        <v>61166</v>
      </c>
      <c r="E20004" t="s">
        <v>61167</v>
      </c>
      <c r="F20004" t="s">
        <v>61168</v>
      </c>
      <c r="I20004" t="s">
        <v>184</v>
      </c>
      <c r="J20004" t="s">
        <v>30</v>
      </c>
      <c r="K20004" t="s">
        <v>7434</v>
      </c>
      <c r="M20004" t="s">
        <v>50621</v>
      </c>
      <c r="N20004" t="str">
        <f>"8/25/2023 10:22:00 AM"</f>
        <v>8/25/2023 10:22:00 AM</v>
      </c>
      <c r="O20004" t="s">
        <v>61166</v>
      </c>
      <c r="T20004" t="s">
        <v>61167</v>
      </c>
    </row>
    <row r="20005" spans="1:20" x14ac:dyDescent="0.25">
      <c r="A20005" t="str">
        <f>"3037662"</f>
        <v>3037662</v>
      </c>
      <c r="B20005" t="s">
        <v>61169</v>
      </c>
      <c r="C20005" t="str">
        <f>"21811500"</f>
        <v>21811500</v>
      </c>
      <c r="D20005" t="s">
        <v>61170</v>
      </c>
      <c r="E20005" t="s">
        <v>61171</v>
      </c>
      <c r="F20005" t="s">
        <v>61172</v>
      </c>
      <c r="I20005" t="s">
        <v>29</v>
      </c>
      <c r="J20005" t="s">
        <v>30</v>
      </c>
      <c r="K20005" t="s">
        <v>36410</v>
      </c>
      <c r="M20005" t="s">
        <v>50621</v>
      </c>
      <c r="N20005" t="str">
        <f>"8/28/2023 8:45:00 AM"</f>
        <v>8/28/2023 8:45:00 AM</v>
      </c>
      <c r="O20005" t="s">
        <v>61170</v>
      </c>
      <c r="T20005" t="s">
        <v>61171</v>
      </c>
    </row>
    <row r="20006" spans="1:20" x14ac:dyDescent="0.25">
      <c r="A20006" t="str">
        <f>"3048310"</f>
        <v>3048310</v>
      </c>
      <c r="B20006" t="s">
        <v>61173</v>
      </c>
      <c r="C20006" t="str">
        <f>"8316583"</f>
        <v>8316583</v>
      </c>
      <c r="D20006" t="s">
        <v>61174</v>
      </c>
      <c r="F20006" t="s">
        <v>61175</v>
      </c>
      <c r="I20006" t="s">
        <v>184</v>
      </c>
      <c r="J20006" t="s">
        <v>30</v>
      </c>
      <c r="K20006" t="s">
        <v>61176</v>
      </c>
      <c r="M20006" t="s">
        <v>50621</v>
      </c>
      <c r="N20006" t="str">
        <f>"8/18/2023 9:42:00 AM"</f>
        <v>8/18/2023 9:42:00 AM</v>
      </c>
      <c r="O20006" t="s">
        <v>61174</v>
      </c>
    </row>
    <row r="20007" spans="1:20" x14ac:dyDescent="0.25">
      <c r="A20007" t="str">
        <f>"3077159"</f>
        <v>3077159</v>
      </c>
      <c r="B20007" t="s">
        <v>61177</v>
      </c>
      <c r="C20007" t="str">
        <f>"8313356"</f>
        <v>8313356</v>
      </c>
      <c r="D20007" t="s">
        <v>61178</v>
      </c>
      <c r="E20007" t="s">
        <v>61179</v>
      </c>
      <c r="F20007" t="s">
        <v>56807</v>
      </c>
      <c r="I20007" t="s">
        <v>184</v>
      </c>
      <c r="J20007" t="s">
        <v>30</v>
      </c>
      <c r="K20007" t="str">
        <f>"27006"</f>
        <v>27006</v>
      </c>
      <c r="M20007" t="s">
        <v>18470</v>
      </c>
      <c r="N20007" t="str">
        <f>"8/29/2023 4:11:00 PM"</f>
        <v>8/29/2023 4:11:00 PM</v>
      </c>
      <c r="O20007" t="s">
        <v>61178</v>
      </c>
      <c r="T20007" t="s">
        <v>61179</v>
      </c>
    </row>
    <row r="20008" spans="1:20" x14ac:dyDescent="0.25">
      <c r="A20008" t="str">
        <f>"3050882"</f>
        <v>3050882</v>
      </c>
      <c r="B20008" t="s">
        <v>61180</v>
      </c>
      <c r="C20008" t="str">
        <f>"8320855"</f>
        <v>8320855</v>
      </c>
      <c r="D20008" t="s">
        <v>61181</v>
      </c>
      <c r="E20008" t="s">
        <v>15954</v>
      </c>
      <c r="F20008" t="s">
        <v>61182</v>
      </c>
      <c r="I20008" t="s">
        <v>184</v>
      </c>
      <c r="J20008" t="s">
        <v>30</v>
      </c>
      <c r="K20008" t="s">
        <v>12785</v>
      </c>
      <c r="M20008" t="s">
        <v>17861</v>
      </c>
      <c r="N20008" t="str">
        <f>"8/30/2023 11:13:00 AM"</f>
        <v>8/30/2023 11:13:00 AM</v>
      </c>
      <c r="O20008" t="s">
        <v>61181</v>
      </c>
      <c r="T20008" t="s">
        <v>15954</v>
      </c>
    </row>
    <row r="20009" spans="1:20" x14ac:dyDescent="0.25">
      <c r="A20009" t="str">
        <f>"3050756"</f>
        <v>3050756</v>
      </c>
      <c r="B20009" t="s">
        <v>61183</v>
      </c>
      <c r="C20009" t="str">
        <f>"8320856"</f>
        <v>8320856</v>
      </c>
      <c r="D20009" t="s">
        <v>61184</v>
      </c>
      <c r="F20009" t="s">
        <v>61185</v>
      </c>
      <c r="I20009" t="s">
        <v>184</v>
      </c>
      <c r="J20009" t="s">
        <v>30</v>
      </c>
      <c r="K20009" t="s">
        <v>10530</v>
      </c>
      <c r="M20009" t="s">
        <v>17861</v>
      </c>
      <c r="N20009" t="str">
        <f>"8/30/2023 11:21:00 AM"</f>
        <v>8/30/2023 11:21:00 AM</v>
      </c>
      <c r="O20009" t="s">
        <v>61184</v>
      </c>
    </row>
    <row r="20010" spans="1:20" x14ac:dyDescent="0.25">
      <c r="A20010" t="str">
        <f>"3039239"</f>
        <v>3039239</v>
      </c>
      <c r="B20010" t="s">
        <v>61186</v>
      </c>
      <c r="C20010" t="str">
        <f>"8320857"</f>
        <v>8320857</v>
      </c>
      <c r="D20010" t="s">
        <v>61187</v>
      </c>
      <c r="F20010" t="s">
        <v>61188</v>
      </c>
      <c r="I20010" t="s">
        <v>2291</v>
      </c>
      <c r="J20010" t="s">
        <v>30</v>
      </c>
      <c r="K20010" t="s">
        <v>61189</v>
      </c>
      <c r="M20010" t="s">
        <v>17861</v>
      </c>
      <c r="N20010" t="str">
        <f>"8/30/2023 1:53:00 PM"</f>
        <v>8/30/2023 1:53:00 PM</v>
      </c>
      <c r="O20010" t="s">
        <v>61187</v>
      </c>
    </row>
    <row r="20011" spans="1:20" x14ac:dyDescent="0.25">
      <c r="A20011" t="str">
        <f>"3057565"</f>
        <v>3057565</v>
      </c>
      <c r="B20011" t="s">
        <v>61190</v>
      </c>
      <c r="C20011" t="str">
        <f>"8320859"</f>
        <v>8320859</v>
      </c>
      <c r="D20011" t="s">
        <v>61191</v>
      </c>
      <c r="E20011" t="s">
        <v>61192</v>
      </c>
      <c r="F20011" t="s">
        <v>61193</v>
      </c>
      <c r="I20011" t="s">
        <v>29</v>
      </c>
      <c r="J20011" t="s">
        <v>30</v>
      </c>
      <c r="K20011" t="s">
        <v>41402</v>
      </c>
      <c r="M20011" t="s">
        <v>17861</v>
      </c>
      <c r="N20011" t="str">
        <f>"8/30/2023 1:58:00 PM"</f>
        <v>8/30/2023 1:58:00 PM</v>
      </c>
      <c r="O20011" t="s">
        <v>61191</v>
      </c>
      <c r="T20011" t="s">
        <v>61192</v>
      </c>
    </row>
    <row r="20012" spans="1:20" x14ac:dyDescent="0.25">
      <c r="A20012" t="str">
        <f>"3058897"</f>
        <v>3058897</v>
      </c>
      <c r="B20012" t="s">
        <v>61194</v>
      </c>
      <c r="C20012" t="str">
        <f>"8320865"</f>
        <v>8320865</v>
      </c>
      <c r="D20012" t="s">
        <v>61195</v>
      </c>
      <c r="E20012" t="s">
        <v>61196</v>
      </c>
      <c r="F20012" t="s">
        <v>61197</v>
      </c>
      <c r="I20012" t="s">
        <v>29</v>
      </c>
      <c r="J20012" t="s">
        <v>30</v>
      </c>
      <c r="K20012" t="s">
        <v>61198</v>
      </c>
      <c r="M20012" t="s">
        <v>17861</v>
      </c>
      <c r="N20012" t="str">
        <f>"8/30/2023 3:01:00 PM"</f>
        <v>8/30/2023 3:01:00 PM</v>
      </c>
      <c r="O20012" t="s">
        <v>61195</v>
      </c>
      <c r="T20012" t="s">
        <v>61196</v>
      </c>
    </row>
    <row r="20013" spans="1:20" x14ac:dyDescent="0.25">
      <c r="A20013" t="str">
        <f>"3056611"</f>
        <v>3056611</v>
      </c>
      <c r="B20013" t="s">
        <v>61199</v>
      </c>
      <c r="C20013" t="str">
        <f>"8320866"</f>
        <v>8320866</v>
      </c>
      <c r="D20013" t="s">
        <v>61200</v>
      </c>
      <c r="F20013" t="s">
        <v>61201</v>
      </c>
      <c r="I20013" t="s">
        <v>29</v>
      </c>
      <c r="J20013" t="s">
        <v>30</v>
      </c>
      <c r="K20013" t="s">
        <v>35237</v>
      </c>
      <c r="M20013" t="s">
        <v>17861</v>
      </c>
      <c r="N20013" t="str">
        <f>"8/30/2023 3:06:00 PM"</f>
        <v>8/30/2023 3:06:00 PM</v>
      </c>
      <c r="O20013" t="s">
        <v>61200</v>
      </c>
    </row>
    <row r="20014" spans="1:20" x14ac:dyDescent="0.25">
      <c r="A20014" t="str">
        <f>"3078768"</f>
        <v>3078768</v>
      </c>
      <c r="B20014" t="s">
        <v>61202</v>
      </c>
      <c r="C20014" t="str">
        <f>"8320867"</f>
        <v>8320867</v>
      </c>
      <c r="D20014" t="s">
        <v>61203</v>
      </c>
      <c r="F20014" t="s">
        <v>61204</v>
      </c>
      <c r="I20014" t="s">
        <v>29</v>
      </c>
      <c r="J20014" t="s">
        <v>30</v>
      </c>
      <c r="K20014" t="s">
        <v>60929</v>
      </c>
      <c r="M20014" t="s">
        <v>17861</v>
      </c>
      <c r="N20014" t="str">
        <f>"8/30/2023 3:07:00 PM"</f>
        <v>8/30/2023 3:07:00 PM</v>
      </c>
      <c r="O20014" t="s">
        <v>61203</v>
      </c>
    </row>
    <row r="20015" spans="1:20" x14ac:dyDescent="0.25">
      <c r="A20015" t="str">
        <f>"3051573"</f>
        <v>3051573</v>
      </c>
      <c r="B20015" t="s">
        <v>61205</v>
      </c>
      <c r="C20015" t="str">
        <f>"8320871"</f>
        <v>8320871</v>
      </c>
      <c r="D20015" t="s">
        <v>61206</v>
      </c>
      <c r="F20015" t="s">
        <v>61207</v>
      </c>
      <c r="I20015" t="s">
        <v>29</v>
      </c>
      <c r="J20015" t="s">
        <v>30</v>
      </c>
      <c r="K20015" t="s">
        <v>20039</v>
      </c>
      <c r="M20015" t="s">
        <v>17861</v>
      </c>
      <c r="N20015" t="str">
        <f>"8/30/2023 3:18:00 PM"</f>
        <v>8/30/2023 3:18:00 PM</v>
      </c>
      <c r="O20015" t="s">
        <v>61206</v>
      </c>
    </row>
    <row r="20016" spans="1:20" x14ac:dyDescent="0.25">
      <c r="A20016" t="str">
        <f>"3078432"</f>
        <v>3078432</v>
      </c>
      <c r="B20016" t="s">
        <v>61208</v>
      </c>
      <c r="C20016" t="str">
        <f>"8320872"</f>
        <v>8320872</v>
      </c>
      <c r="D20016" t="s">
        <v>61209</v>
      </c>
      <c r="E20016" t="s">
        <v>61210</v>
      </c>
      <c r="F20016" t="s">
        <v>61211</v>
      </c>
      <c r="I20016" t="s">
        <v>29</v>
      </c>
      <c r="J20016" t="s">
        <v>30</v>
      </c>
      <c r="K20016" t="s">
        <v>13386</v>
      </c>
      <c r="M20016" t="s">
        <v>17861</v>
      </c>
      <c r="N20016" t="str">
        <f>"8/30/2023 3:22:00 PM"</f>
        <v>8/30/2023 3:22:00 PM</v>
      </c>
      <c r="O20016" t="s">
        <v>61209</v>
      </c>
      <c r="T20016" t="s">
        <v>61210</v>
      </c>
    </row>
    <row r="20017" spans="1:20" x14ac:dyDescent="0.25">
      <c r="A20017" t="str">
        <f>"3057780"</f>
        <v>3057780</v>
      </c>
      <c r="B20017" t="s">
        <v>61212</v>
      </c>
      <c r="C20017" t="str">
        <f>"8320885"</f>
        <v>8320885</v>
      </c>
      <c r="D20017" t="s">
        <v>61213</v>
      </c>
      <c r="E20017" t="s">
        <v>61214</v>
      </c>
      <c r="F20017" t="s">
        <v>61215</v>
      </c>
      <c r="I20017" t="s">
        <v>1107</v>
      </c>
      <c r="J20017" t="s">
        <v>30</v>
      </c>
      <c r="K20017" t="s">
        <v>61216</v>
      </c>
      <c r="M20017" t="s">
        <v>17861</v>
      </c>
      <c r="N20017" t="str">
        <f>"8/31/2023 9:14:00 AM"</f>
        <v>8/31/2023 9:14:00 AM</v>
      </c>
      <c r="O20017" t="s">
        <v>61213</v>
      </c>
      <c r="T20017" t="s">
        <v>61214</v>
      </c>
    </row>
    <row r="20018" spans="1:20" x14ac:dyDescent="0.25">
      <c r="A20018" t="str">
        <f>"3037399"</f>
        <v>3037399</v>
      </c>
      <c r="B20018" t="s">
        <v>61217</v>
      </c>
      <c r="C20018" t="str">
        <f>"8315100"</f>
        <v>8315100</v>
      </c>
      <c r="D20018" t="s">
        <v>61218</v>
      </c>
      <c r="F20018" t="s">
        <v>61219</v>
      </c>
      <c r="I20018" t="s">
        <v>471</v>
      </c>
      <c r="J20018" t="s">
        <v>30</v>
      </c>
      <c r="K20018" t="s">
        <v>61220</v>
      </c>
      <c r="M20018" t="s">
        <v>50621</v>
      </c>
      <c r="N20018" t="str">
        <f>"8/28/2023 10:51:00 AM"</f>
        <v>8/28/2023 10:51:00 AM</v>
      </c>
      <c r="O20018" t="s">
        <v>61218</v>
      </c>
    </row>
    <row r="20019" spans="1:20" x14ac:dyDescent="0.25">
      <c r="A20019" t="str">
        <f>"3044063"</f>
        <v>3044063</v>
      </c>
      <c r="B20019" t="s">
        <v>61221</v>
      </c>
      <c r="C20019" t="str">
        <f>"8320849"</f>
        <v>8320849</v>
      </c>
      <c r="D20019" t="s">
        <v>61222</v>
      </c>
      <c r="F20019" t="s">
        <v>39873</v>
      </c>
      <c r="I20019" t="s">
        <v>2071</v>
      </c>
      <c r="J20019" t="s">
        <v>30</v>
      </c>
      <c r="K20019" t="s">
        <v>3872</v>
      </c>
      <c r="M20019" t="s">
        <v>17861</v>
      </c>
      <c r="N20019" t="str">
        <f>"8/28/2023 11:09:00 AM"</f>
        <v>8/28/2023 11:09:00 AM</v>
      </c>
      <c r="O20019" t="s">
        <v>61222</v>
      </c>
    </row>
    <row r="20020" spans="1:20" x14ac:dyDescent="0.25">
      <c r="A20020" t="str">
        <f>"3044435"</f>
        <v>3044435</v>
      </c>
      <c r="B20020" t="s">
        <v>61223</v>
      </c>
      <c r="C20020" t="str">
        <f>"5086500"</f>
        <v>5086500</v>
      </c>
      <c r="D20020" t="s">
        <v>61224</v>
      </c>
      <c r="E20020" t="s">
        <v>61225</v>
      </c>
      <c r="F20020" t="s">
        <v>61226</v>
      </c>
      <c r="I20020" t="s">
        <v>184</v>
      </c>
      <c r="J20020" t="s">
        <v>30</v>
      </c>
      <c r="K20020" t="s">
        <v>185</v>
      </c>
      <c r="M20020" t="s">
        <v>50793</v>
      </c>
      <c r="N20020" t="str">
        <f>"8/28/2023 11:29:00 AM"</f>
        <v>8/28/2023 11:29:00 AM</v>
      </c>
      <c r="O20020" t="s">
        <v>61224</v>
      </c>
      <c r="T20020" t="s">
        <v>61225</v>
      </c>
    </row>
    <row r="20021" spans="1:20" x14ac:dyDescent="0.25">
      <c r="A20021" t="str">
        <f>"3061703"</f>
        <v>3061703</v>
      </c>
      <c r="B20021" t="s">
        <v>61227</v>
      </c>
      <c r="C20021" t="str">
        <f>"8314194"</f>
        <v>8314194</v>
      </c>
      <c r="D20021" t="s">
        <v>61228</v>
      </c>
      <c r="F20021" t="s">
        <v>61229</v>
      </c>
      <c r="I20021" t="s">
        <v>2071</v>
      </c>
      <c r="J20021" t="s">
        <v>30</v>
      </c>
      <c r="K20021" t="s">
        <v>30968</v>
      </c>
      <c r="M20021" t="s">
        <v>50621</v>
      </c>
      <c r="N20021" t="str">
        <f>"8/28/2023 11:34:00 AM"</f>
        <v>8/28/2023 11:34:00 AM</v>
      </c>
      <c r="O20021" t="s">
        <v>61228</v>
      </c>
    </row>
    <row r="20022" spans="1:20" x14ac:dyDescent="0.25">
      <c r="A20022" t="str">
        <f>"3042814"</f>
        <v>3042814</v>
      </c>
      <c r="B20022" t="s">
        <v>61230</v>
      </c>
      <c r="C20022" t="str">
        <f>"8319663"</f>
        <v>8319663</v>
      </c>
      <c r="D20022" t="s">
        <v>61231</v>
      </c>
      <c r="E20022" t="s">
        <v>61232</v>
      </c>
      <c r="F20022" t="s">
        <v>61233</v>
      </c>
      <c r="I20022" t="s">
        <v>29</v>
      </c>
      <c r="J20022" t="s">
        <v>30</v>
      </c>
      <c r="K20022" t="s">
        <v>38538</v>
      </c>
      <c r="M20022" t="s">
        <v>51351</v>
      </c>
      <c r="N20022" t="str">
        <f>"8/28/2023 11:42:00 AM"</f>
        <v>8/28/2023 11:42:00 AM</v>
      </c>
      <c r="O20022" t="s">
        <v>61231</v>
      </c>
      <c r="T20022" t="s">
        <v>61232</v>
      </c>
    </row>
    <row r="20023" spans="1:20" x14ac:dyDescent="0.25">
      <c r="A20023" t="str">
        <f>"3038234"</f>
        <v>3038234</v>
      </c>
      <c r="B20023" t="s">
        <v>61234</v>
      </c>
      <c r="C20023" t="str">
        <f>"8319804"</f>
        <v>8319804</v>
      </c>
      <c r="D20023" t="s">
        <v>61235</v>
      </c>
      <c r="F20023" t="s">
        <v>61236</v>
      </c>
      <c r="I20023" t="s">
        <v>29</v>
      </c>
      <c r="J20023" t="s">
        <v>30</v>
      </c>
      <c r="K20023" t="s">
        <v>2747</v>
      </c>
      <c r="M20023" t="s">
        <v>50793</v>
      </c>
      <c r="N20023" t="str">
        <f>"8/28/2023 1:19:00 PM"</f>
        <v>8/28/2023 1:19:00 PM</v>
      </c>
      <c r="O20023" t="s">
        <v>61235</v>
      </c>
    </row>
    <row r="20024" spans="1:20" x14ac:dyDescent="0.25">
      <c r="A20024" t="str">
        <f>"3038324"</f>
        <v>3038324</v>
      </c>
      <c r="B20024" t="s">
        <v>61237</v>
      </c>
      <c r="C20024" t="str">
        <f>"8319804"</f>
        <v>8319804</v>
      </c>
      <c r="D20024" t="s">
        <v>61235</v>
      </c>
      <c r="F20024" t="s">
        <v>61236</v>
      </c>
      <c r="I20024" t="s">
        <v>29</v>
      </c>
      <c r="J20024" t="s">
        <v>30</v>
      </c>
      <c r="K20024" t="s">
        <v>2747</v>
      </c>
      <c r="M20024" t="s">
        <v>50793</v>
      </c>
      <c r="N20024" t="str">
        <f>"8/28/2023 1:19:00 PM"</f>
        <v>8/28/2023 1:19:00 PM</v>
      </c>
      <c r="O20024" t="s">
        <v>61235</v>
      </c>
    </row>
    <row r="20025" spans="1:20" x14ac:dyDescent="0.25">
      <c r="A20025" t="str">
        <f>"3044430"</f>
        <v>3044430</v>
      </c>
      <c r="B20025" t="s">
        <v>61238</v>
      </c>
      <c r="C20025" t="str">
        <f>"82525163"</f>
        <v>82525163</v>
      </c>
      <c r="D20025" t="s">
        <v>61239</v>
      </c>
      <c r="E20025" t="s">
        <v>61240</v>
      </c>
      <c r="F20025" t="s">
        <v>61241</v>
      </c>
      <c r="I20025" t="s">
        <v>184</v>
      </c>
      <c r="J20025" t="s">
        <v>30</v>
      </c>
      <c r="K20025" t="s">
        <v>17962</v>
      </c>
      <c r="M20025" t="s">
        <v>51351</v>
      </c>
      <c r="N20025" t="str">
        <f>"8/28/2023 3:35:00 PM"</f>
        <v>8/28/2023 3:35:00 PM</v>
      </c>
      <c r="O20025" t="s">
        <v>61239</v>
      </c>
      <c r="T20025" t="s">
        <v>61240</v>
      </c>
    </row>
    <row r="20026" spans="1:20" x14ac:dyDescent="0.25">
      <c r="A20026" t="str">
        <f>"3054369"</f>
        <v>3054369</v>
      </c>
      <c r="B20026" t="s">
        <v>61242</v>
      </c>
      <c r="C20026" t="str">
        <f>"57520000"</f>
        <v>57520000</v>
      </c>
      <c r="D20026" t="s">
        <v>61243</v>
      </c>
      <c r="E20026" t="s">
        <v>61244</v>
      </c>
      <c r="F20026" t="s">
        <v>61245</v>
      </c>
      <c r="I20026" t="s">
        <v>29</v>
      </c>
      <c r="J20026" t="s">
        <v>30</v>
      </c>
      <c r="K20026" t="s">
        <v>31</v>
      </c>
      <c r="M20026" t="s">
        <v>25733</v>
      </c>
      <c r="N20026" t="str">
        <f>"8/29/2023 10:27:00 AM"</f>
        <v>8/29/2023 10:27:00 AM</v>
      </c>
      <c r="O20026" t="s">
        <v>61243</v>
      </c>
      <c r="T20026" t="s">
        <v>61244</v>
      </c>
    </row>
    <row r="20027" spans="1:20" x14ac:dyDescent="0.25">
      <c r="A20027" t="str">
        <f>"3061749"</f>
        <v>3061749</v>
      </c>
      <c r="B20027" t="s">
        <v>61246</v>
      </c>
      <c r="C20027" t="str">
        <f>"8320898"</f>
        <v>8320898</v>
      </c>
      <c r="D20027" t="s">
        <v>61247</v>
      </c>
      <c r="F20027" t="s">
        <v>61248</v>
      </c>
      <c r="I20027" t="s">
        <v>2071</v>
      </c>
      <c r="J20027" t="s">
        <v>30</v>
      </c>
      <c r="K20027" t="s">
        <v>3885</v>
      </c>
      <c r="M20027" t="s">
        <v>17861</v>
      </c>
      <c r="N20027" t="str">
        <f>"8/31/2023 12:01:00 PM"</f>
        <v>8/31/2023 12:01:00 PM</v>
      </c>
      <c r="O20027" t="s">
        <v>61247</v>
      </c>
    </row>
    <row r="20028" spans="1:20" x14ac:dyDescent="0.25">
      <c r="A20028" t="str">
        <f>"3052113"</f>
        <v>3052113</v>
      </c>
      <c r="B20028" t="s">
        <v>61249</v>
      </c>
      <c r="C20028" t="str">
        <f>"8320922"</f>
        <v>8320922</v>
      </c>
      <c r="D20028" t="s">
        <v>61250</v>
      </c>
      <c r="F20028" t="s">
        <v>61251</v>
      </c>
      <c r="I20028" t="s">
        <v>29</v>
      </c>
      <c r="J20028" t="s">
        <v>30</v>
      </c>
      <c r="K20028" t="s">
        <v>20338</v>
      </c>
      <c r="M20028" t="s">
        <v>17861</v>
      </c>
      <c r="N20028" t="str">
        <f>"9/6/2023 9:48:00 AM"</f>
        <v>9/6/2023 9:48:00 AM</v>
      </c>
      <c r="O20028" t="s">
        <v>61250</v>
      </c>
    </row>
    <row r="20029" spans="1:20" x14ac:dyDescent="0.25">
      <c r="A20029" t="str">
        <f>"3050198"</f>
        <v>3050198</v>
      </c>
      <c r="B20029" t="s">
        <v>61252</v>
      </c>
      <c r="C20029" t="str">
        <f>"8320923"</f>
        <v>8320923</v>
      </c>
      <c r="D20029" t="s">
        <v>61253</v>
      </c>
      <c r="E20029" t="s">
        <v>61254</v>
      </c>
      <c r="F20029" t="s">
        <v>61255</v>
      </c>
      <c r="I20029" t="s">
        <v>61256</v>
      </c>
      <c r="J20029" t="s">
        <v>2738</v>
      </c>
      <c r="K20029" t="s">
        <v>61257</v>
      </c>
      <c r="M20029" t="s">
        <v>17861</v>
      </c>
      <c r="N20029" t="str">
        <f>"9/6/2023 10:41:00 AM"</f>
        <v>9/6/2023 10:41:00 AM</v>
      </c>
      <c r="O20029" t="s">
        <v>61253</v>
      </c>
      <c r="T20029" t="s">
        <v>61254</v>
      </c>
    </row>
    <row r="20030" spans="1:20" x14ac:dyDescent="0.25">
      <c r="A20030" t="str">
        <f>"3058896"</f>
        <v>3058896</v>
      </c>
      <c r="B20030" t="s">
        <v>61258</v>
      </c>
      <c r="C20030" t="str">
        <f>"8320899"</f>
        <v>8320899</v>
      </c>
      <c r="D20030" t="s">
        <v>61259</v>
      </c>
      <c r="F20030" t="s">
        <v>61260</v>
      </c>
      <c r="I20030" t="s">
        <v>29</v>
      </c>
      <c r="J20030" t="s">
        <v>30</v>
      </c>
      <c r="K20030" t="s">
        <v>61198</v>
      </c>
      <c r="M20030" t="s">
        <v>17861</v>
      </c>
      <c r="N20030" t="str">
        <f>"8/31/2023 12:03:00 PM"</f>
        <v>8/31/2023 12:03:00 PM</v>
      </c>
      <c r="O20030" t="s">
        <v>61259</v>
      </c>
    </row>
    <row r="20031" spans="1:20" x14ac:dyDescent="0.25">
      <c r="A20031" t="str">
        <f>"3040417"</f>
        <v>3040417</v>
      </c>
      <c r="B20031" t="s">
        <v>61261</v>
      </c>
      <c r="C20031" t="str">
        <f>"8312917"</f>
        <v>8312917</v>
      </c>
      <c r="D20031" t="s">
        <v>40696</v>
      </c>
      <c r="F20031" t="s">
        <v>40697</v>
      </c>
      <c r="I20031" t="s">
        <v>40698</v>
      </c>
      <c r="J20031" t="s">
        <v>4132</v>
      </c>
      <c r="K20031" t="s">
        <v>61262</v>
      </c>
      <c r="M20031" t="s">
        <v>52111</v>
      </c>
      <c r="N20031" t="str">
        <f>"8/31/2023 1:16:00 PM"</f>
        <v>8/31/2023 1:16:00 PM</v>
      </c>
      <c r="O20031" t="s">
        <v>40696</v>
      </c>
    </row>
    <row r="20032" spans="1:20" x14ac:dyDescent="0.25">
      <c r="A20032" t="str">
        <f>"3052091"</f>
        <v>3052091</v>
      </c>
      <c r="B20032" t="s">
        <v>61263</v>
      </c>
      <c r="C20032" t="str">
        <f t="shared" ref="C20032:C20039" si="303">"20115000"</f>
        <v>20115000</v>
      </c>
      <c r="D20032" t="s">
        <v>61264</v>
      </c>
      <c r="F20032" t="s">
        <v>61265</v>
      </c>
      <c r="I20032" t="s">
        <v>29</v>
      </c>
      <c r="J20032" t="s">
        <v>30</v>
      </c>
      <c r="K20032" t="s">
        <v>61266</v>
      </c>
      <c r="M20032" t="s">
        <v>50621</v>
      </c>
      <c r="N20032" t="str">
        <f t="shared" ref="N20032:N20039" si="304">"9/7/2023 10:58:00 AM"</f>
        <v>9/7/2023 10:58:00 AM</v>
      </c>
      <c r="O20032" t="s">
        <v>61264</v>
      </c>
    </row>
    <row r="20033" spans="1:20" x14ac:dyDescent="0.25">
      <c r="A20033" t="str">
        <f>"3066400"</f>
        <v>3066400</v>
      </c>
      <c r="B20033" t="s">
        <v>61267</v>
      </c>
      <c r="C20033" t="str">
        <f t="shared" si="303"/>
        <v>20115000</v>
      </c>
      <c r="D20033" t="s">
        <v>61264</v>
      </c>
      <c r="F20033" t="s">
        <v>61265</v>
      </c>
      <c r="I20033" t="s">
        <v>29</v>
      </c>
      <c r="J20033" t="s">
        <v>30</v>
      </c>
      <c r="K20033" t="s">
        <v>61266</v>
      </c>
      <c r="M20033" t="s">
        <v>50621</v>
      </c>
      <c r="N20033" t="str">
        <f t="shared" si="304"/>
        <v>9/7/2023 10:58:00 AM</v>
      </c>
      <c r="O20033" t="s">
        <v>61264</v>
      </c>
    </row>
    <row r="20034" spans="1:20" x14ac:dyDescent="0.25">
      <c r="A20034" t="str">
        <f>"3066402"</f>
        <v>3066402</v>
      </c>
      <c r="B20034" t="s">
        <v>61268</v>
      </c>
      <c r="C20034" t="str">
        <f t="shared" si="303"/>
        <v>20115000</v>
      </c>
      <c r="D20034" t="s">
        <v>61264</v>
      </c>
      <c r="F20034" t="s">
        <v>61265</v>
      </c>
      <c r="I20034" t="s">
        <v>29</v>
      </c>
      <c r="J20034" t="s">
        <v>30</v>
      </c>
      <c r="K20034" t="s">
        <v>61266</v>
      </c>
      <c r="M20034" t="s">
        <v>50621</v>
      </c>
      <c r="N20034" t="str">
        <f t="shared" si="304"/>
        <v>9/7/2023 10:58:00 AM</v>
      </c>
      <c r="O20034" t="s">
        <v>61264</v>
      </c>
    </row>
    <row r="20035" spans="1:20" x14ac:dyDescent="0.25">
      <c r="A20035" t="str">
        <f>"3066403"</f>
        <v>3066403</v>
      </c>
      <c r="B20035" t="s">
        <v>61269</v>
      </c>
      <c r="C20035" t="str">
        <f t="shared" si="303"/>
        <v>20115000</v>
      </c>
      <c r="D20035" t="s">
        <v>61264</v>
      </c>
      <c r="F20035" t="s">
        <v>61265</v>
      </c>
      <c r="I20035" t="s">
        <v>29</v>
      </c>
      <c r="J20035" t="s">
        <v>30</v>
      </c>
      <c r="K20035" t="s">
        <v>61266</v>
      </c>
      <c r="M20035" t="s">
        <v>50621</v>
      </c>
      <c r="N20035" t="str">
        <f t="shared" si="304"/>
        <v>9/7/2023 10:58:00 AM</v>
      </c>
      <c r="O20035" t="s">
        <v>61264</v>
      </c>
    </row>
    <row r="20036" spans="1:20" x14ac:dyDescent="0.25">
      <c r="A20036" t="str">
        <f>"3066404"</f>
        <v>3066404</v>
      </c>
      <c r="B20036" t="s">
        <v>61270</v>
      </c>
      <c r="C20036" t="str">
        <f t="shared" si="303"/>
        <v>20115000</v>
      </c>
      <c r="D20036" t="s">
        <v>61264</v>
      </c>
      <c r="F20036" t="s">
        <v>61265</v>
      </c>
      <c r="I20036" t="s">
        <v>29</v>
      </c>
      <c r="J20036" t="s">
        <v>30</v>
      </c>
      <c r="K20036" t="s">
        <v>61266</v>
      </c>
      <c r="M20036" t="s">
        <v>50621</v>
      </c>
      <c r="N20036" t="str">
        <f t="shared" si="304"/>
        <v>9/7/2023 10:58:00 AM</v>
      </c>
      <c r="O20036" t="s">
        <v>61264</v>
      </c>
    </row>
    <row r="20037" spans="1:20" x14ac:dyDescent="0.25">
      <c r="A20037" t="str">
        <f>"3066405"</f>
        <v>3066405</v>
      </c>
      <c r="B20037" t="s">
        <v>61271</v>
      </c>
      <c r="C20037" t="str">
        <f t="shared" si="303"/>
        <v>20115000</v>
      </c>
      <c r="D20037" t="s">
        <v>61264</v>
      </c>
      <c r="F20037" t="s">
        <v>61265</v>
      </c>
      <c r="I20037" t="s">
        <v>29</v>
      </c>
      <c r="J20037" t="s">
        <v>30</v>
      </c>
      <c r="K20037" t="s">
        <v>61266</v>
      </c>
      <c r="M20037" t="s">
        <v>50621</v>
      </c>
      <c r="N20037" t="str">
        <f t="shared" si="304"/>
        <v>9/7/2023 10:58:00 AM</v>
      </c>
      <c r="O20037" t="s">
        <v>61264</v>
      </c>
    </row>
    <row r="20038" spans="1:20" x14ac:dyDescent="0.25">
      <c r="A20038" t="str">
        <f>"3066406"</f>
        <v>3066406</v>
      </c>
      <c r="B20038" t="s">
        <v>61272</v>
      </c>
      <c r="C20038" t="str">
        <f t="shared" si="303"/>
        <v>20115000</v>
      </c>
      <c r="D20038" t="s">
        <v>61264</v>
      </c>
      <c r="F20038" t="s">
        <v>61265</v>
      </c>
      <c r="I20038" t="s">
        <v>29</v>
      </c>
      <c r="J20038" t="s">
        <v>30</v>
      </c>
      <c r="K20038" t="s">
        <v>61266</v>
      </c>
      <c r="M20038" t="s">
        <v>50621</v>
      </c>
      <c r="N20038" t="str">
        <f t="shared" si="304"/>
        <v>9/7/2023 10:58:00 AM</v>
      </c>
      <c r="O20038" t="s">
        <v>61264</v>
      </c>
    </row>
    <row r="20039" spans="1:20" x14ac:dyDescent="0.25">
      <c r="A20039" t="str">
        <f>"3066407"</f>
        <v>3066407</v>
      </c>
      <c r="B20039" t="s">
        <v>61273</v>
      </c>
      <c r="C20039" t="str">
        <f t="shared" si="303"/>
        <v>20115000</v>
      </c>
      <c r="D20039" t="s">
        <v>61264</v>
      </c>
      <c r="F20039" t="s">
        <v>61265</v>
      </c>
      <c r="I20039" t="s">
        <v>29</v>
      </c>
      <c r="J20039" t="s">
        <v>30</v>
      </c>
      <c r="K20039" t="s">
        <v>61266</v>
      </c>
      <c r="M20039" t="s">
        <v>50621</v>
      </c>
      <c r="N20039" t="str">
        <f t="shared" si="304"/>
        <v>9/7/2023 10:58:00 AM</v>
      </c>
      <c r="O20039" t="s">
        <v>61264</v>
      </c>
    </row>
    <row r="20040" spans="1:20" x14ac:dyDescent="0.25">
      <c r="A20040" t="str">
        <f>"3059690"</f>
        <v>3059690</v>
      </c>
      <c r="B20040" t="s">
        <v>61274</v>
      </c>
      <c r="C20040" t="str">
        <f>"82523077"</f>
        <v>82523077</v>
      </c>
      <c r="D20040" t="s">
        <v>52449</v>
      </c>
      <c r="E20040" t="s">
        <v>61275</v>
      </c>
      <c r="F20040" t="s">
        <v>61276</v>
      </c>
      <c r="I20040" t="s">
        <v>29</v>
      </c>
      <c r="J20040" t="s">
        <v>30</v>
      </c>
      <c r="K20040" t="s">
        <v>31</v>
      </c>
      <c r="M20040" t="s">
        <v>50621</v>
      </c>
      <c r="N20040" t="str">
        <f>"9/7/2023 10:59:00 AM"</f>
        <v>9/7/2023 10:59:00 AM</v>
      </c>
      <c r="O20040" t="s">
        <v>52449</v>
      </c>
      <c r="T20040" t="s">
        <v>61275</v>
      </c>
    </row>
    <row r="20041" spans="1:20" x14ac:dyDescent="0.25">
      <c r="A20041" t="str">
        <f>"3063008"</f>
        <v>3063008</v>
      </c>
      <c r="B20041" t="s">
        <v>61277</v>
      </c>
      <c r="C20041" t="str">
        <f>"82517541"</f>
        <v>82517541</v>
      </c>
      <c r="D20041" t="s">
        <v>61278</v>
      </c>
      <c r="E20041" t="str">
        <f>"C/O SHERRI M. SEALEY"</f>
        <v>C/O SHERRI M. SEALEY</v>
      </c>
      <c r="F20041" t="s">
        <v>61279</v>
      </c>
      <c r="I20041" t="s">
        <v>184</v>
      </c>
      <c r="J20041" t="s">
        <v>30</v>
      </c>
      <c r="K20041" t="s">
        <v>185</v>
      </c>
      <c r="M20041" t="s">
        <v>50621</v>
      </c>
      <c r="N20041" t="str">
        <f>"9/7/2023 10:59:00 AM"</f>
        <v>9/7/2023 10:59:00 AM</v>
      </c>
      <c r="O20041" t="s">
        <v>61278</v>
      </c>
      <c r="T20041" t="str">
        <f>"C/O SHERRI M. SEALEY"</f>
        <v>C/O SHERRI M. SEALEY</v>
      </c>
    </row>
    <row r="20042" spans="1:20" x14ac:dyDescent="0.25">
      <c r="A20042" t="str">
        <f>"3042655"</f>
        <v>3042655</v>
      </c>
      <c r="B20042" t="s">
        <v>61280</v>
      </c>
      <c r="C20042" t="str">
        <f>"8311161"</f>
        <v>8311161</v>
      </c>
      <c r="D20042" t="s">
        <v>61281</v>
      </c>
      <c r="F20042" t="s">
        <v>61282</v>
      </c>
      <c r="I20042" t="s">
        <v>24359</v>
      </c>
      <c r="J20042" t="s">
        <v>30</v>
      </c>
      <c r="K20042" t="s">
        <v>7477</v>
      </c>
      <c r="M20042" t="s">
        <v>50621</v>
      </c>
      <c r="N20042" t="str">
        <f>"9/7/2023 11:00:00 AM"</f>
        <v>9/7/2023 11:00:00 AM</v>
      </c>
      <c r="O20042" t="s">
        <v>61281</v>
      </c>
    </row>
    <row r="20043" spans="1:20" x14ac:dyDescent="0.25">
      <c r="A20043" t="str">
        <f>"3042078"</f>
        <v>3042078</v>
      </c>
      <c r="B20043" t="s">
        <v>61283</v>
      </c>
      <c r="C20043" t="str">
        <f>"8311161"</f>
        <v>8311161</v>
      </c>
      <c r="D20043" t="s">
        <v>61281</v>
      </c>
      <c r="F20043" t="s">
        <v>61282</v>
      </c>
      <c r="I20043" t="s">
        <v>24359</v>
      </c>
      <c r="J20043" t="s">
        <v>30</v>
      </c>
      <c r="K20043" t="s">
        <v>7477</v>
      </c>
      <c r="M20043" t="s">
        <v>50621</v>
      </c>
      <c r="N20043" t="str">
        <f>"9/7/2023 11:00:00 AM"</f>
        <v>9/7/2023 11:00:00 AM</v>
      </c>
      <c r="O20043" t="s">
        <v>61281</v>
      </c>
    </row>
    <row r="20044" spans="1:20" x14ac:dyDescent="0.25">
      <c r="A20044" t="str">
        <f>"3056435"</f>
        <v>3056435</v>
      </c>
      <c r="B20044" t="s">
        <v>61284</v>
      </c>
      <c r="C20044" t="str">
        <f>"15192000"</f>
        <v>15192000</v>
      </c>
      <c r="D20044" t="s">
        <v>61285</v>
      </c>
      <c r="F20044" t="s">
        <v>61286</v>
      </c>
      <c r="I20044" t="s">
        <v>964</v>
      </c>
      <c r="J20044" t="s">
        <v>30</v>
      </c>
      <c r="K20044" t="s">
        <v>28457</v>
      </c>
      <c r="M20044" t="s">
        <v>50621</v>
      </c>
      <c r="N20044" t="str">
        <f>"9/7/2023 11:01:00 AM"</f>
        <v>9/7/2023 11:01:00 AM</v>
      </c>
      <c r="O20044" t="s">
        <v>61285</v>
      </c>
    </row>
    <row r="20045" spans="1:20" x14ac:dyDescent="0.25">
      <c r="A20045" t="str">
        <f>"3046298"</f>
        <v>3046298</v>
      </c>
      <c r="B20045" t="s">
        <v>61287</v>
      </c>
      <c r="C20045" t="str">
        <f>"8306849"</f>
        <v>8306849</v>
      </c>
      <c r="D20045" t="s">
        <v>61288</v>
      </c>
      <c r="E20045" t="s">
        <v>61289</v>
      </c>
      <c r="F20045" t="s">
        <v>30458</v>
      </c>
      <c r="I20045" t="s">
        <v>29</v>
      </c>
      <c r="J20045" t="s">
        <v>30</v>
      </c>
      <c r="K20045" t="str">
        <f>"27028"</f>
        <v>27028</v>
      </c>
      <c r="M20045" t="s">
        <v>50621</v>
      </c>
      <c r="N20045" t="str">
        <f>"9/7/2023 11:02:00 AM"</f>
        <v>9/7/2023 11:02:00 AM</v>
      </c>
      <c r="O20045" t="s">
        <v>61288</v>
      </c>
      <c r="T20045" t="s">
        <v>61289</v>
      </c>
    </row>
    <row r="20046" spans="1:20" x14ac:dyDescent="0.25">
      <c r="A20046" t="str">
        <f>"3046040"</f>
        <v>3046040</v>
      </c>
      <c r="B20046" t="s">
        <v>61290</v>
      </c>
      <c r="C20046" t="str">
        <f>"8306849"</f>
        <v>8306849</v>
      </c>
      <c r="D20046" t="s">
        <v>61288</v>
      </c>
      <c r="E20046" t="s">
        <v>61289</v>
      </c>
      <c r="F20046" t="s">
        <v>30458</v>
      </c>
      <c r="I20046" t="s">
        <v>29</v>
      </c>
      <c r="J20046" t="s">
        <v>30</v>
      </c>
      <c r="K20046" t="str">
        <f>"27028"</f>
        <v>27028</v>
      </c>
      <c r="M20046" t="s">
        <v>50621</v>
      </c>
      <c r="N20046" t="str">
        <f>"9/7/2023 11:02:00 AM"</f>
        <v>9/7/2023 11:02:00 AM</v>
      </c>
      <c r="O20046" t="s">
        <v>61288</v>
      </c>
      <c r="T20046" t="s">
        <v>61289</v>
      </c>
    </row>
    <row r="20047" spans="1:20" x14ac:dyDescent="0.25">
      <c r="A20047" t="str">
        <f>"3063049"</f>
        <v>3063049</v>
      </c>
      <c r="B20047" t="s">
        <v>61291</v>
      </c>
      <c r="C20047" t="str">
        <f>"46339500"</f>
        <v>46339500</v>
      </c>
      <c r="D20047" t="s">
        <v>61292</v>
      </c>
      <c r="E20047" t="s">
        <v>61293</v>
      </c>
      <c r="F20047" t="s">
        <v>61294</v>
      </c>
      <c r="I20047" t="s">
        <v>184</v>
      </c>
      <c r="J20047" t="s">
        <v>30</v>
      </c>
      <c r="K20047" t="s">
        <v>49626</v>
      </c>
      <c r="M20047" t="s">
        <v>50621</v>
      </c>
      <c r="N20047" t="str">
        <f>"9/7/2023 11:03:00 AM"</f>
        <v>9/7/2023 11:03:00 AM</v>
      </c>
      <c r="O20047" t="s">
        <v>61292</v>
      </c>
      <c r="T20047" t="s">
        <v>61293</v>
      </c>
    </row>
    <row r="20048" spans="1:20" x14ac:dyDescent="0.25">
      <c r="A20048" t="str">
        <f>"3046354"</f>
        <v>3046354</v>
      </c>
      <c r="B20048" t="s">
        <v>61295</v>
      </c>
      <c r="C20048" t="str">
        <f>"8320892"</f>
        <v>8320892</v>
      </c>
      <c r="D20048" t="s">
        <v>61296</v>
      </c>
      <c r="E20048" t="s">
        <v>61297</v>
      </c>
      <c r="F20048" t="s">
        <v>61298</v>
      </c>
      <c r="I20048" t="s">
        <v>29</v>
      </c>
      <c r="J20048" t="s">
        <v>30</v>
      </c>
      <c r="K20048" t="s">
        <v>45272</v>
      </c>
      <c r="M20048" t="s">
        <v>17861</v>
      </c>
      <c r="N20048" t="str">
        <f>"8/31/2023 9:33:00 AM"</f>
        <v>8/31/2023 9:33:00 AM</v>
      </c>
      <c r="O20048" t="s">
        <v>61296</v>
      </c>
      <c r="T20048" t="s">
        <v>61297</v>
      </c>
    </row>
    <row r="20049" spans="1:20" x14ac:dyDescent="0.25">
      <c r="A20049" t="str">
        <f>"3048568"</f>
        <v>3048568</v>
      </c>
      <c r="B20049" t="s">
        <v>61299</v>
      </c>
      <c r="C20049" t="str">
        <f>"8317912"</f>
        <v>8317912</v>
      </c>
      <c r="D20049" t="s">
        <v>61300</v>
      </c>
      <c r="F20049" t="s">
        <v>60775</v>
      </c>
      <c r="I20049" t="s">
        <v>184</v>
      </c>
      <c r="J20049" t="s">
        <v>30</v>
      </c>
      <c r="K20049" t="s">
        <v>60776</v>
      </c>
      <c r="M20049" t="s">
        <v>50621</v>
      </c>
      <c r="N20049" t="str">
        <f>"8/31/2023 9:48:00 AM"</f>
        <v>8/31/2023 9:48:00 AM</v>
      </c>
      <c r="O20049" t="s">
        <v>61300</v>
      </c>
    </row>
    <row r="20050" spans="1:20" x14ac:dyDescent="0.25">
      <c r="A20050" t="str">
        <f>"3058359"</f>
        <v>3058359</v>
      </c>
      <c r="B20050" t="s">
        <v>61301</v>
      </c>
      <c r="C20050" t="str">
        <f>"8320894"</f>
        <v>8320894</v>
      </c>
      <c r="D20050" t="s">
        <v>61302</v>
      </c>
      <c r="F20050" t="s">
        <v>61303</v>
      </c>
      <c r="I20050" t="s">
        <v>17921</v>
      </c>
      <c r="J20050" t="s">
        <v>30</v>
      </c>
      <c r="K20050" t="str">
        <f>"27028"</f>
        <v>27028</v>
      </c>
      <c r="M20050" t="s">
        <v>17861</v>
      </c>
      <c r="N20050" t="str">
        <f>"8/31/2023 11:39:00 AM"</f>
        <v>8/31/2023 11:39:00 AM</v>
      </c>
      <c r="O20050" t="s">
        <v>61302</v>
      </c>
    </row>
    <row r="20051" spans="1:20" x14ac:dyDescent="0.25">
      <c r="A20051" t="str">
        <f>"3052664"</f>
        <v>3052664</v>
      </c>
      <c r="B20051" t="s">
        <v>61304</v>
      </c>
      <c r="C20051" t="str">
        <f>"8320895"</f>
        <v>8320895</v>
      </c>
      <c r="D20051" t="s">
        <v>61305</v>
      </c>
      <c r="E20051" t="s">
        <v>61306</v>
      </c>
      <c r="F20051" t="s">
        <v>61307</v>
      </c>
      <c r="I20051" t="s">
        <v>29</v>
      </c>
      <c r="J20051" t="s">
        <v>30</v>
      </c>
      <c r="K20051" t="s">
        <v>39812</v>
      </c>
      <c r="M20051" t="s">
        <v>17861</v>
      </c>
      <c r="N20051" t="str">
        <f>"8/31/2023 11:42:00 AM"</f>
        <v>8/31/2023 11:42:00 AM</v>
      </c>
      <c r="O20051" t="s">
        <v>61305</v>
      </c>
      <c r="T20051" t="s">
        <v>61306</v>
      </c>
    </row>
    <row r="20052" spans="1:20" x14ac:dyDescent="0.25">
      <c r="A20052" t="str">
        <f>"3077094"</f>
        <v>3077094</v>
      </c>
      <c r="B20052" t="s">
        <v>61308</v>
      </c>
      <c r="C20052" t="str">
        <f>"8320897"</f>
        <v>8320897</v>
      </c>
      <c r="D20052" t="s">
        <v>61309</v>
      </c>
      <c r="E20052" t="s">
        <v>61310</v>
      </c>
      <c r="F20052" t="s">
        <v>61311</v>
      </c>
      <c r="I20052" t="s">
        <v>29</v>
      </c>
      <c r="J20052" t="s">
        <v>30</v>
      </c>
      <c r="K20052" t="s">
        <v>43146</v>
      </c>
      <c r="M20052" t="s">
        <v>17861</v>
      </c>
      <c r="N20052" t="str">
        <f>"8/31/2023 11:58:00 AM"</f>
        <v>8/31/2023 11:58:00 AM</v>
      </c>
      <c r="O20052" t="s">
        <v>61309</v>
      </c>
      <c r="T20052" t="s">
        <v>61310</v>
      </c>
    </row>
    <row r="20053" spans="1:20" x14ac:dyDescent="0.25">
      <c r="A20053" t="str">
        <f>"3048983"</f>
        <v>3048983</v>
      </c>
      <c r="B20053" t="s">
        <v>61312</v>
      </c>
      <c r="C20053" t="str">
        <f>"8320954"</f>
        <v>8320954</v>
      </c>
      <c r="D20053" t="s">
        <v>61313</v>
      </c>
      <c r="E20053" t="s">
        <v>61314</v>
      </c>
      <c r="F20053" t="s">
        <v>61315</v>
      </c>
      <c r="I20053" t="s">
        <v>17921</v>
      </c>
      <c r="J20053" t="s">
        <v>30</v>
      </c>
      <c r="K20053" t="str">
        <f>"27028"</f>
        <v>27028</v>
      </c>
      <c r="M20053" t="s">
        <v>17861</v>
      </c>
      <c r="N20053" t="str">
        <f>"9/7/2023 9:04:00 AM"</f>
        <v>9/7/2023 9:04:00 AM</v>
      </c>
      <c r="O20053" t="s">
        <v>61313</v>
      </c>
      <c r="T20053" t="s">
        <v>61314</v>
      </c>
    </row>
    <row r="20054" spans="1:20" x14ac:dyDescent="0.25">
      <c r="A20054" t="str">
        <f>"3049203"</f>
        <v>3049203</v>
      </c>
      <c r="B20054" t="s">
        <v>61316</v>
      </c>
      <c r="C20054" t="str">
        <f>"20115000"</f>
        <v>20115000</v>
      </c>
      <c r="D20054" t="s">
        <v>61264</v>
      </c>
      <c r="F20054" t="s">
        <v>61265</v>
      </c>
      <c r="I20054" t="s">
        <v>29</v>
      </c>
      <c r="J20054" t="s">
        <v>30</v>
      </c>
      <c r="K20054" t="s">
        <v>61266</v>
      </c>
      <c r="M20054" t="s">
        <v>50621</v>
      </c>
      <c r="N20054" t="str">
        <f>"9/7/2023 10:58:00 AM"</f>
        <v>9/7/2023 10:58:00 AM</v>
      </c>
      <c r="O20054" t="s">
        <v>61264</v>
      </c>
    </row>
    <row r="20055" spans="1:20" x14ac:dyDescent="0.25">
      <c r="A20055" t="str">
        <f>"3078612"</f>
        <v>3078612</v>
      </c>
      <c r="B20055" t="s">
        <v>61317</v>
      </c>
      <c r="C20055" t="str">
        <f>"8320902"</f>
        <v>8320902</v>
      </c>
      <c r="D20055" t="s">
        <v>61318</v>
      </c>
      <c r="F20055" t="s">
        <v>61319</v>
      </c>
      <c r="I20055" t="s">
        <v>29</v>
      </c>
      <c r="J20055" t="s">
        <v>30</v>
      </c>
      <c r="K20055" t="s">
        <v>61320</v>
      </c>
      <c r="M20055" t="s">
        <v>17861</v>
      </c>
      <c r="N20055" t="str">
        <f>"9/1/2023 9:29:00 AM"</f>
        <v>9/1/2023 9:29:00 AM</v>
      </c>
      <c r="O20055" t="s">
        <v>61318</v>
      </c>
    </row>
    <row r="20056" spans="1:20" x14ac:dyDescent="0.25">
      <c r="A20056" t="str">
        <f>"3058902"</f>
        <v>3058902</v>
      </c>
      <c r="B20056" t="s">
        <v>61321</v>
      </c>
      <c r="C20056" t="str">
        <f>"8320903"</f>
        <v>8320903</v>
      </c>
      <c r="D20056" t="s">
        <v>61322</v>
      </c>
      <c r="F20056" t="s">
        <v>61323</v>
      </c>
      <c r="I20056" t="s">
        <v>29</v>
      </c>
      <c r="J20056" t="s">
        <v>30</v>
      </c>
      <c r="K20056" t="s">
        <v>61198</v>
      </c>
      <c r="M20056" t="s">
        <v>17861</v>
      </c>
      <c r="N20056" t="str">
        <f>"9/1/2023 9:31:00 AM"</f>
        <v>9/1/2023 9:31:00 AM</v>
      </c>
      <c r="O20056" t="s">
        <v>61322</v>
      </c>
    </row>
    <row r="20057" spans="1:20" x14ac:dyDescent="0.25">
      <c r="A20057" t="str">
        <f>"3058358"</f>
        <v>3058358</v>
      </c>
      <c r="B20057" t="s">
        <v>61324</v>
      </c>
      <c r="C20057" t="str">
        <f>"8320904"</f>
        <v>8320904</v>
      </c>
      <c r="D20057" t="s">
        <v>61325</v>
      </c>
      <c r="E20057" t="s">
        <v>61326</v>
      </c>
      <c r="F20057" t="s">
        <v>61327</v>
      </c>
      <c r="I20057" t="s">
        <v>29</v>
      </c>
      <c r="J20057" t="s">
        <v>30</v>
      </c>
      <c r="K20057" t="s">
        <v>11836</v>
      </c>
      <c r="M20057" t="s">
        <v>17861</v>
      </c>
      <c r="N20057" t="str">
        <f>"9/1/2023 9:38:00 AM"</f>
        <v>9/1/2023 9:38:00 AM</v>
      </c>
      <c r="O20057" t="s">
        <v>61325</v>
      </c>
      <c r="T20057" t="s">
        <v>61326</v>
      </c>
    </row>
    <row r="20058" spans="1:20" x14ac:dyDescent="0.25">
      <c r="A20058" t="str">
        <f>"3059238"</f>
        <v>3059238</v>
      </c>
      <c r="B20058" t="s">
        <v>61328</v>
      </c>
      <c r="C20058" t="str">
        <f>"8320905"</f>
        <v>8320905</v>
      </c>
      <c r="D20058" t="s">
        <v>61329</v>
      </c>
      <c r="E20058" t="s">
        <v>61330</v>
      </c>
      <c r="F20058" t="s">
        <v>61331</v>
      </c>
      <c r="I20058" t="s">
        <v>29</v>
      </c>
      <c r="J20058" t="s">
        <v>30</v>
      </c>
      <c r="K20058" t="s">
        <v>33498</v>
      </c>
      <c r="M20058" t="s">
        <v>17861</v>
      </c>
      <c r="N20058" t="str">
        <f>"9/1/2023 10:05:00 AM"</f>
        <v>9/1/2023 10:05:00 AM</v>
      </c>
      <c r="O20058" t="s">
        <v>61329</v>
      </c>
      <c r="T20058" t="s">
        <v>61330</v>
      </c>
    </row>
    <row r="20059" spans="1:20" x14ac:dyDescent="0.25">
      <c r="A20059" t="str">
        <f>"3055139"</f>
        <v>3055139</v>
      </c>
      <c r="B20059" t="s">
        <v>61332</v>
      </c>
      <c r="C20059" t="str">
        <f>"8320909"</f>
        <v>8320909</v>
      </c>
      <c r="D20059" t="s">
        <v>60721</v>
      </c>
      <c r="F20059" t="s">
        <v>60723</v>
      </c>
      <c r="I20059" t="s">
        <v>471</v>
      </c>
      <c r="J20059" t="s">
        <v>30</v>
      </c>
      <c r="K20059" t="s">
        <v>60724</v>
      </c>
      <c r="M20059" t="s">
        <v>17861</v>
      </c>
      <c r="N20059" t="str">
        <f>"9/1/2023 10:19:00 AM"</f>
        <v>9/1/2023 10:19:00 AM</v>
      </c>
      <c r="O20059" t="s">
        <v>60721</v>
      </c>
    </row>
    <row r="20060" spans="1:20" x14ac:dyDescent="0.25">
      <c r="A20060" t="str">
        <f>"3060718"</f>
        <v>3060718</v>
      </c>
      <c r="B20060" t="s">
        <v>61333</v>
      </c>
      <c r="C20060" t="str">
        <f>"8320910"</f>
        <v>8320910</v>
      </c>
      <c r="D20060" t="s">
        <v>61334</v>
      </c>
      <c r="E20060" t="s">
        <v>61335</v>
      </c>
      <c r="F20060" t="s">
        <v>61336</v>
      </c>
      <c r="I20060" t="s">
        <v>2071</v>
      </c>
      <c r="J20060" t="s">
        <v>30</v>
      </c>
      <c r="K20060" t="s">
        <v>4183</v>
      </c>
      <c r="M20060" t="s">
        <v>17861</v>
      </c>
      <c r="N20060" t="str">
        <f>"9/1/2023 10:39:00 AM"</f>
        <v>9/1/2023 10:39:00 AM</v>
      </c>
      <c r="O20060" t="s">
        <v>61334</v>
      </c>
      <c r="T20060" t="s">
        <v>61335</v>
      </c>
    </row>
    <row r="20061" spans="1:20" x14ac:dyDescent="0.25">
      <c r="A20061" t="str">
        <f>"3077752"</f>
        <v>3077752</v>
      </c>
      <c r="B20061" t="s">
        <v>61337</v>
      </c>
      <c r="C20061" t="str">
        <f>"8320834"</f>
        <v>8320834</v>
      </c>
      <c r="D20061" t="s">
        <v>61338</v>
      </c>
      <c r="E20061" t="s">
        <v>61339</v>
      </c>
      <c r="F20061" t="s">
        <v>61340</v>
      </c>
      <c r="I20061" t="s">
        <v>184</v>
      </c>
      <c r="J20061" t="s">
        <v>30</v>
      </c>
      <c r="K20061" t="str">
        <f>"27006"</f>
        <v>27006</v>
      </c>
      <c r="M20061" t="s">
        <v>18470</v>
      </c>
      <c r="N20061" t="str">
        <f>"9/1/2023 12:00:00 PM"</f>
        <v>9/1/2023 12:00:00 PM</v>
      </c>
      <c r="O20061" t="s">
        <v>61338</v>
      </c>
      <c r="T20061" t="s">
        <v>61339</v>
      </c>
    </row>
    <row r="20062" spans="1:20" x14ac:dyDescent="0.25">
      <c r="A20062" t="str">
        <f>"3038299"</f>
        <v>3038299</v>
      </c>
      <c r="B20062" t="s">
        <v>61341</v>
      </c>
      <c r="C20062" t="str">
        <f>"8316804"</f>
        <v>8316804</v>
      </c>
      <c r="D20062" t="s">
        <v>61342</v>
      </c>
      <c r="E20062" t="s">
        <v>61343</v>
      </c>
      <c r="F20062" t="s">
        <v>61344</v>
      </c>
      <c r="I20062" t="s">
        <v>29</v>
      </c>
      <c r="J20062" t="s">
        <v>30</v>
      </c>
      <c r="K20062" t="s">
        <v>453</v>
      </c>
      <c r="M20062" t="s">
        <v>17861</v>
      </c>
      <c r="N20062" t="str">
        <f>"9/1/2023 12:30:00 PM"</f>
        <v>9/1/2023 12:30:00 PM</v>
      </c>
      <c r="O20062" t="s">
        <v>61342</v>
      </c>
      <c r="T20062" t="s">
        <v>61343</v>
      </c>
    </row>
    <row r="20063" spans="1:20" x14ac:dyDescent="0.25">
      <c r="A20063" t="str">
        <f>"3059887"</f>
        <v>3059887</v>
      </c>
      <c r="B20063" t="s">
        <v>61345</v>
      </c>
      <c r="C20063" t="str">
        <f>"8320913"</f>
        <v>8320913</v>
      </c>
      <c r="D20063" t="s">
        <v>61346</v>
      </c>
      <c r="F20063" t="s">
        <v>61347</v>
      </c>
      <c r="I20063" t="s">
        <v>29</v>
      </c>
      <c r="J20063" t="s">
        <v>30</v>
      </c>
      <c r="K20063" t="s">
        <v>61348</v>
      </c>
      <c r="M20063" t="s">
        <v>17861</v>
      </c>
      <c r="N20063" t="str">
        <f>"9/1/2023 3:41:00 PM"</f>
        <v>9/1/2023 3:41:00 PM</v>
      </c>
      <c r="O20063" t="s">
        <v>61346</v>
      </c>
    </row>
    <row r="20064" spans="1:20" x14ac:dyDescent="0.25">
      <c r="A20064" t="str">
        <f>"3062505"</f>
        <v>3062505</v>
      </c>
      <c r="B20064" t="s">
        <v>61349</v>
      </c>
      <c r="C20064" t="str">
        <f>"48792670"</f>
        <v>48792670</v>
      </c>
      <c r="D20064" t="s">
        <v>61350</v>
      </c>
      <c r="E20064" t="s">
        <v>61351</v>
      </c>
      <c r="F20064" t="s">
        <v>61352</v>
      </c>
      <c r="I20064" t="s">
        <v>61353</v>
      </c>
      <c r="J20064" t="s">
        <v>2109</v>
      </c>
      <c r="K20064" t="str">
        <f>"24084"</f>
        <v>24084</v>
      </c>
      <c r="M20064" t="s">
        <v>50621</v>
      </c>
      <c r="N20064" t="str">
        <f>"9/7/2023 11:21:00 AM"</f>
        <v>9/7/2023 11:21:00 AM</v>
      </c>
      <c r="O20064" t="s">
        <v>61350</v>
      </c>
      <c r="T20064" t="s">
        <v>61351</v>
      </c>
    </row>
    <row r="20065" spans="1:20" x14ac:dyDescent="0.25">
      <c r="A20065" t="str">
        <f>"3041370"</f>
        <v>3041370</v>
      </c>
      <c r="B20065" t="s">
        <v>61354</v>
      </c>
      <c r="C20065" t="str">
        <f>"8309147"</f>
        <v>8309147</v>
      </c>
      <c r="D20065" t="s">
        <v>61355</v>
      </c>
      <c r="E20065" t="s">
        <v>61356</v>
      </c>
      <c r="F20065" t="s">
        <v>61357</v>
      </c>
      <c r="I20065" t="s">
        <v>2071</v>
      </c>
      <c r="J20065" t="s">
        <v>30</v>
      </c>
      <c r="K20065" t="str">
        <f>"27006"</f>
        <v>27006</v>
      </c>
      <c r="M20065" t="s">
        <v>50621</v>
      </c>
      <c r="N20065" t="str">
        <f>"9/7/2023 11:22:00 AM"</f>
        <v>9/7/2023 11:22:00 AM</v>
      </c>
      <c r="O20065" t="s">
        <v>61355</v>
      </c>
      <c r="T20065" t="s">
        <v>61356</v>
      </c>
    </row>
    <row r="20066" spans="1:20" x14ac:dyDescent="0.25">
      <c r="A20066" t="str">
        <f>"3058401"</f>
        <v>3058401</v>
      </c>
      <c r="B20066" t="s">
        <v>61358</v>
      </c>
      <c r="C20066" t="str">
        <f>"8305265"</f>
        <v>8305265</v>
      </c>
      <c r="D20066" t="s">
        <v>61359</v>
      </c>
      <c r="E20066" t="s">
        <v>61360</v>
      </c>
      <c r="F20066" t="s">
        <v>61361</v>
      </c>
      <c r="I20066" t="s">
        <v>2071</v>
      </c>
      <c r="J20066" t="s">
        <v>30</v>
      </c>
      <c r="K20066" t="str">
        <f>"27006"</f>
        <v>27006</v>
      </c>
      <c r="M20066" t="s">
        <v>50621</v>
      </c>
      <c r="N20066" t="str">
        <f>"9/7/2023 11:22:00 AM"</f>
        <v>9/7/2023 11:22:00 AM</v>
      </c>
      <c r="O20066" t="s">
        <v>61359</v>
      </c>
      <c r="T20066" t="s">
        <v>61360</v>
      </c>
    </row>
    <row r="20067" spans="1:20" x14ac:dyDescent="0.25">
      <c r="A20067" t="str">
        <f>"3060824"</f>
        <v>3060824</v>
      </c>
      <c r="B20067" t="s">
        <v>61362</v>
      </c>
      <c r="C20067" t="str">
        <f>"8320914"</f>
        <v>8320914</v>
      </c>
      <c r="D20067" t="s">
        <v>61363</v>
      </c>
      <c r="E20067" t="s">
        <v>61364</v>
      </c>
      <c r="F20067" t="s">
        <v>61365</v>
      </c>
      <c r="I20067" t="s">
        <v>184</v>
      </c>
      <c r="J20067" t="s">
        <v>30</v>
      </c>
      <c r="K20067" t="s">
        <v>34622</v>
      </c>
      <c r="M20067" t="s">
        <v>17861</v>
      </c>
      <c r="N20067" t="str">
        <f>"9/1/2023 3:52:00 PM"</f>
        <v>9/1/2023 3:52:00 PM</v>
      </c>
      <c r="O20067" t="s">
        <v>61363</v>
      </c>
      <c r="T20067" t="s">
        <v>61364</v>
      </c>
    </row>
    <row r="20068" spans="1:20" x14ac:dyDescent="0.25">
      <c r="A20068" t="str">
        <f>"3067194"</f>
        <v>3067194</v>
      </c>
      <c r="B20068" t="s">
        <v>61366</v>
      </c>
      <c r="C20068" t="str">
        <f>"8320915"</f>
        <v>8320915</v>
      </c>
      <c r="D20068" t="s">
        <v>61367</v>
      </c>
      <c r="E20068" t="s">
        <v>28482</v>
      </c>
      <c r="F20068" t="s">
        <v>61368</v>
      </c>
      <c r="I20068" t="s">
        <v>29</v>
      </c>
      <c r="J20068" t="s">
        <v>30</v>
      </c>
      <c r="K20068" t="s">
        <v>20316</v>
      </c>
      <c r="M20068" t="s">
        <v>17861</v>
      </c>
      <c r="N20068" t="str">
        <f>"9/1/2023 3:55:00 PM"</f>
        <v>9/1/2023 3:55:00 PM</v>
      </c>
      <c r="O20068" t="s">
        <v>61367</v>
      </c>
      <c r="T20068" t="s">
        <v>28482</v>
      </c>
    </row>
    <row r="20069" spans="1:20" x14ac:dyDescent="0.25">
      <c r="A20069" t="str">
        <f>"3041803"</f>
        <v>3041803</v>
      </c>
      <c r="B20069" t="s">
        <v>61369</v>
      </c>
      <c r="C20069" t="str">
        <f>"8320918"</f>
        <v>8320918</v>
      </c>
      <c r="D20069" t="s">
        <v>61370</v>
      </c>
      <c r="E20069" t="s">
        <v>61371</v>
      </c>
      <c r="F20069" t="s">
        <v>61372</v>
      </c>
      <c r="I20069" t="s">
        <v>184</v>
      </c>
      <c r="J20069" t="s">
        <v>30</v>
      </c>
      <c r="K20069" t="s">
        <v>4142</v>
      </c>
      <c r="M20069" t="s">
        <v>17861</v>
      </c>
      <c r="N20069" t="str">
        <f>"9/1/2023 4:16:00 PM"</f>
        <v>9/1/2023 4:16:00 PM</v>
      </c>
      <c r="O20069" t="s">
        <v>61370</v>
      </c>
      <c r="T20069" t="s">
        <v>61371</v>
      </c>
    </row>
    <row r="20070" spans="1:20" x14ac:dyDescent="0.25">
      <c r="A20070" t="str">
        <f>"3044642"</f>
        <v>3044642</v>
      </c>
      <c r="B20070" t="s">
        <v>61373</v>
      </c>
      <c r="C20070" t="str">
        <f>"8312057"</f>
        <v>8312057</v>
      </c>
      <c r="D20070" t="s">
        <v>61374</v>
      </c>
      <c r="E20070" t="s">
        <v>61375</v>
      </c>
      <c r="F20070" t="s">
        <v>61376</v>
      </c>
      <c r="I20070" t="s">
        <v>184</v>
      </c>
      <c r="J20070" t="s">
        <v>30</v>
      </c>
      <c r="K20070" t="s">
        <v>34047</v>
      </c>
      <c r="M20070" t="s">
        <v>50621</v>
      </c>
      <c r="N20070" t="str">
        <f>"9/7/2023 1:16:00 PM"</f>
        <v>9/7/2023 1:16:00 PM</v>
      </c>
      <c r="O20070" t="s">
        <v>61374</v>
      </c>
      <c r="T20070" t="s">
        <v>61375</v>
      </c>
    </row>
    <row r="20071" spans="1:20" x14ac:dyDescent="0.25">
      <c r="A20071" t="str">
        <f>"3041306"</f>
        <v>3041306</v>
      </c>
      <c r="B20071" t="s">
        <v>61377</v>
      </c>
      <c r="C20071" t="str">
        <f>"8302554"</f>
        <v>8302554</v>
      </c>
      <c r="D20071" t="s">
        <v>61378</v>
      </c>
      <c r="F20071" t="s">
        <v>61379</v>
      </c>
      <c r="I20071" t="s">
        <v>22335</v>
      </c>
      <c r="J20071" t="s">
        <v>30</v>
      </c>
      <c r="K20071" t="str">
        <f>"27006"</f>
        <v>27006</v>
      </c>
      <c r="M20071" t="s">
        <v>50621</v>
      </c>
      <c r="N20071" t="str">
        <f>"9/7/2023 1:16:00 PM"</f>
        <v>9/7/2023 1:16:00 PM</v>
      </c>
      <c r="O20071" t="s">
        <v>61378</v>
      </c>
    </row>
    <row r="20072" spans="1:20" x14ac:dyDescent="0.25">
      <c r="A20072" t="str">
        <f>"3058787"</f>
        <v>3058787</v>
      </c>
      <c r="B20072" t="s">
        <v>61380</v>
      </c>
      <c r="C20072" t="str">
        <f>"8315616"</f>
        <v>8315616</v>
      </c>
      <c r="D20072" t="s">
        <v>61381</v>
      </c>
      <c r="F20072" t="s">
        <v>61382</v>
      </c>
      <c r="I20072" t="s">
        <v>29</v>
      </c>
      <c r="J20072" t="s">
        <v>30</v>
      </c>
      <c r="K20072" t="s">
        <v>11912</v>
      </c>
      <c r="M20072" t="s">
        <v>50621</v>
      </c>
      <c r="N20072" t="str">
        <f>"9/7/2023 1:17:00 PM"</f>
        <v>9/7/2023 1:17:00 PM</v>
      </c>
      <c r="O20072" t="s">
        <v>61381</v>
      </c>
    </row>
    <row r="20073" spans="1:20" x14ac:dyDescent="0.25">
      <c r="A20073" t="str">
        <f>"3060641"</f>
        <v>3060641</v>
      </c>
      <c r="B20073" t="s">
        <v>61383</v>
      </c>
      <c r="C20073" t="str">
        <f>"8311337"</f>
        <v>8311337</v>
      </c>
      <c r="D20073" t="s">
        <v>61384</v>
      </c>
      <c r="E20073" t="s">
        <v>61385</v>
      </c>
      <c r="F20073" t="s">
        <v>61386</v>
      </c>
      <c r="I20073" t="s">
        <v>2071</v>
      </c>
      <c r="J20073" t="s">
        <v>30</v>
      </c>
      <c r="K20073" t="s">
        <v>6427</v>
      </c>
      <c r="M20073" t="s">
        <v>50621</v>
      </c>
      <c r="N20073" t="str">
        <f>"9/7/2023 1:19:00 PM"</f>
        <v>9/7/2023 1:19:00 PM</v>
      </c>
      <c r="O20073" t="s">
        <v>61384</v>
      </c>
      <c r="T20073" t="s">
        <v>61385</v>
      </c>
    </row>
    <row r="20074" spans="1:20" x14ac:dyDescent="0.25">
      <c r="A20074" t="str">
        <f>"3060146"</f>
        <v>3060146</v>
      </c>
      <c r="B20074" t="s">
        <v>61387</v>
      </c>
      <c r="C20074" t="str">
        <f>"8320919"</f>
        <v>8320919</v>
      </c>
      <c r="D20074" t="s">
        <v>61388</v>
      </c>
      <c r="E20074" t="s">
        <v>61389</v>
      </c>
      <c r="F20074" t="s">
        <v>61390</v>
      </c>
      <c r="I20074" t="s">
        <v>184</v>
      </c>
      <c r="J20074" t="s">
        <v>30</v>
      </c>
      <c r="K20074" t="s">
        <v>10767</v>
      </c>
      <c r="M20074" t="s">
        <v>17861</v>
      </c>
      <c r="N20074" t="str">
        <f>"9/5/2023 9:20:00 AM"</f>
        <v>9/5/2023 9:20:00 AM</v>
      </c>
      <c r="O20074" t="s">
        <v>61388</v>
      </c>
      <c r="T20074" t="s">
        <v>61389</v>
      </c>
    </row>
    <row r="20075" spans="1:20" x14ac:dyDescent="0.25">
      <c r="A20075" t="str">
        <f>"3076535"</f>
        <v>3076535</v>
      </c>
      <c r="B20075" t="s">
        <v>61391</v>
      </c>
      <c r="C20075" t="str">
        <f>"8318252"</f>
        <v>8318252</v>
      </c>
      <c r="D20075" t="s">
        <v>61392</v>
      </c>
      <c r="F20075" t="s">
        <v>53817</v>
      </c>
      <c r="I20075" t="s">
        <v>184</v>
      </c>
      <c r="J20075" t="s">
        <v>30</v>
      </c>
      <c r="K20075" t="s">
        <v>3313</v>
      </c>
      <c r="M20075" t="s">
        <v>50793</v>
      </c>
      <c r="N20075" t="str">
        <f>"9/5/2023 10:28:00 AM"</f>
        <v>9/5/2023 10:28:00 AM</v>
      </c>
      <c r="O20075" t="s">
        <v>61392</v>
      </c>
    </row>
    <row r="20076" spans="1:20" x14ac:dyDescent="0.25">
      <c r="A20076" t="str">
        <f>"3042772"</f>
        <v>3042772</v>
      </c>
      <c r="B20076" t="s">
        <v>61393</v>
      </c>
      <c r="C20076" t="str">
        <f>"22532000"</f>
        <v>22532000</v>
      </c>
      <c r="D20076" t="s">
        <v>37038</v>
      </c>
      <c r="F20076" t="s">
        <v>37039</v>
      </c>
      <c r="I20076" t="s">
        <v>29</v>
      </c>
      <c r="J20076" t="s">
        <v>30</v>
      </c>
      <c r="K20076" t="s">
        <v>37036</v>
      </c>
      <c r="M20076" t="s">
        <v>50793</v>
      </c>
      <c r="N20076" t="str">
        <f>"9/5/2023 11:19:00 AM"</f>
        <v>9/5/2023 11:19:00 AM</v>
      </c>
      <c r="O20076" t="s">
        <v>37038</v>
      </c>
    </row>
    <row r="20077" spans="1:20" x14ac:dyDescent="0.25">
      <c r="A20077" t="str">
        <f>"3045534"</f>
        <v>3045534</v>
      </c>
      <c r="B20077" t="s">
        <v>61394</v>
      </c>
      <c r="C20077" t="str">
        <f>"8319370"</f>
        <v>8319370</v>
      </c>
      <c r="D20077" t="s">
        <v>61395</v>
      </c>
      <c r="E20077" t="s">
        <v>61396</v>
      </c>
      <c r="F20077" t="s">
        <v>61397</v>
      </c>
      <c r="I20077" t="s">
        <v>29</v>
      </c>
      <c r="J20077" t="s">
        <v>30</v>
      </c>
      <c r="K20077" t="str">
        <f>"27028"</f>
        <v>27028</v>
      </c>
      <c r="M20077" t="s">
        <v>18470</v>
      </c>
      <c r="N20077" t="str">
        <f>"9/5/2023 4:51:00 PM"</f>
        <v>9/5/2023 4:51:00 PM</v>
      </c>
      <c r="O20077" t="s">
        <v>61395</v>
      </c>
      <c r="T20077" t="s">
        <v>61396</v>
      </c>
    </row>
    <row r="20078" spans="1:20" x14ac:dyDescent="0.25">
      <c r="A20078" t="str">
        <f>"3078076"</f>
        <v>3078076</v>
      </c>
      <c r="B20078" t="s">
        <v>61398</v>
      </c>
      <c r="C20078" t="str">
        <f>"8319370"</f>
        <v>8319370</v>
      </c>
      <c r="D20078" t="s">
        <v>61395</v>
      </c>
      <c r="E20078" t="s">
        <v>61396</v>
      </c>
      <c r="F20078" t="s">
        <v>61397</v>
      </c>
      <c r="I20078" t="s">
        <v>29</v>
      </c>
      <c r="J20078" t="s">
        <v>30</v>
      </c>
      <c r="K20078" t="str">
        <f>"27028"</f>
        <v>27028</v>
      </c>
      <c r="M20078" t="s">
        <v>18470</v>
      </c>
      <c r="N20078" t="str">
        <f>"9/5/2023 4:51:00 PM"</f>
        <v>9/5/2023 4:51:00 PM</v>
      </c>
      <c r="O20078" t="s">
        <v>61395</v>
      </c>
      <c r="T20078" t="s">
        <v>61396</v>
      </c>
    </row>
    <row r="20079" spans="1:20" x14ac:dyDescent="0.25">
      <c r="A20079" t="str">
        <f>"3061410"</f>
        <v>3061410</v>
      </c>
      <c r="B20079" t="s">
        <v>61399</v>
      </c>
      <c r="C20079" t="str">
        <f>"6660000"</f>
        <v>6660000</v>
      </c>
      <c r="D20079" t="s">
        <v>61400</v>
      </c>
      <c r="E20079" t="s">
        <v>61401</v>
      </c>
      <c r="F20079" t="s">
        <v>61402</v>
      </c>
      <c r="I20079" t="s">
        <v>184</v>
      </c>
      <c r="J20079" t="s">
        <v>30</v>
      </c>
      <c r="K20079" t="s">
        <v>185</v>
      </c>
      <c r="M20079" t="s">
        <v>50621</v>
      </c>
      <c r="N20079" t="str">
        <f>"9/7/2023 11:07:00 AM"</f>
        <v>9/7/2023 11:07:00 AM</v>
      </c>
      <c r="O20079" t="s">
        <v>61400</v>
      </c>
      <c r="T20079" t="s">
        <v>61401</v>
      </c>
    </row>
    <row r="20080" spans="1:20" x14ac:dyDescent="0.25">
      <c r="A20080" t="str">
        <f>"3061974"</f>
        <v>3061974</v>
      </c>
      <c r="B20080" t="s">
        <v>61403</v>
      </c>
      <c r="C20080" t="str">
        <f>"82515863"</f>
        <v>82515863</v>
      </c>
      <c r="D20080" t="s">
        <v>61404</v>
      </c>
      <c r="E20080" t="s">
        <v>55221</v>
      </c>
      <c r="F20080" t="s">
        <v>61405</v>
      </c>
      <c r="I20080" t="s">
        <v>29</v>
      </c>
      <c r="J20080" t="s">
        <v>30</v>
      </c>
      <c r="K20080" t="s">
        <v>36406</v>
      </c>
      <c r="M20080" t="s">
        <v>50621</v>
      </c>
      <c r="N20080" t="str">
        <f>"9/7/2023 1:26:00 PM"</f>
        <v>9/7/2023 1:26:00 PM</v>
      </c>
      <c r="O20080" t="s">
        <v>61404</v>
      </c>
      <c r="T20080" t="s">
        <v>55221</v>
      </c>
    </row>
    <row r="20081" spans="1:20" x14ac:dyDescent="0.25">
      <c r="A20081" t="str">
        <f>"3078418"</f>
        <v>3078418</v>
      </c>
      <c r="B20081" t="s">
        <v>61406</v>
      </c>
      <c r="C20081" t="str">
        <f>"82515863"</f>
        <v>82515863</v>
      </c>
      <c r="D20081" t="s">
        <v>61404</v>
      </c>
      <c r="E20081" t="s">
        <v>55221</v>
      </c>
      <c r="F20081" t="s">
        <v>61405</v>
      </c>
      <c r="I20081" t="s">
        <v>29</v>
      </c>
      <c r="J20081" t="s">
        <v>30</v>
      </c>
      <c r="K20081" t="s">
        <v>36406</v>
      </c>
      <c r="M20081" t="s">
        <v>50621</v>
      </c>
      <c r="N20081" t="str">
        <f>"9/7/2023 1:26:00 PM"</f>
        <v>9/7/2023 1:26:00 PM</v>
      </c>
      <c r="O20081" t="s">
        <v>61404</v>
      </c>
      <c r="T20081" t="s">
        <v>55221</v>
      </c>
    </row>
    <row r="20082" spans="1:20" x14ac:dyDescent="0.25">
      <c r="A20082" t="str">
        <f>"3061074"</f>
        <v>3061074</v>
      </c>
      <c r="B20082" t="s">
        <v>61407</v>
      </c>
      <c r="C20082" t="str">
        <f>"8310073"</f>
        <v>8310073</v>
      </c>
      <c r="D20082" t="s">
        <v>61408</v>
      </c>
      <c r="F20082" t="s">
        <v>61409</v>
      </c>
      <c r="I20082" t="s">
        <v>2071</v>
      </c>
      <c r="J20082" t="s">
        <v>30</v>
      </c>
      <c r="K20082" t="s">
        <v>38843</v>
      </c>
      <c r="M20082" t="s">
        <v>50621</v>
      </c>
      <c r="N20082" t="str">
        <f>"9/7/2023 1:27:00 PM"</f>
        <v>9/7/2023 1:27:00 PM</v>
      </c>
      <c r="O20082" t="s">
        <v>61408</v>
      </c>
    </row>
    <row r="20083" spans="1:20" x14ac:dyDescent="0.25">
      <c r="A20083" t="str">
        <f>"3060666"</f>
        <v>3060666</v>
      </c>
      <c r="B20083" t="s">
        <v>61410</v>
      </c>
      <c r="C20083" t="str">
        <f>"82526049"</f>
        <v>82526049</v>
      </c>
      <c r="D20083" t="s">
        <v>61411</v>
      </c>
      <c r="E20083" t="s">
        <v>61412</v>
      </c>
      <c r="F20083" t="s">
        <v>61413</v>
      </c>
      <c r="I20083" t="s">
        <v>2071</v>
      </c>
      <c r="J20083" t="s">
        <v>30</v>
      </c>
      <c r="K20083" t="s">
        <v>185</v>
      </c>
      <c r="M20083" t="s">
        <v>50621</v>
      </c>
      <c r="N20083" t="str">
        <f>"9/7/2023 1:27:00 PM"</f>
        <v>9/7/2023 1:27:00 PM</v>
      </c>
      <c r="O20083" t="s">
        <v>61411</v>
      </c>
      <c r="T20083" t="s">
        <v>61412</v>
      </c>
    </row>
    <row r="20084" spans="1:20" x14ac:dyDescent="0.25">
      <c r="A20084" t="str">
        <f>"3061124"</f>
        <v>3061124</v>
      </c>
      <c r="B20084" t="s">
        <v>61414</v>
      </c>
      <c r="C20084" t="str">
        <f>"82514196"</f>
        <v>82514196</v>
      </c>
      <c r="D20084" t="s">
        <v>61415</v>
      </c>
      <c r="E20084" t="s">
        <v>61416</v>
      </c>
      <c r="F20084" t="s">
        <v>61417</v>
      </c>
      <c r="I20084" t="s">
        <v>184</v>
      </c>
      <c r="J20084" t="s">
        <v>30</v>
      </c>
      <c r="K20084" t="s">
        <v>185</v>
      </c>
      <c r="M20084" t="s">
        <v>50621</v>
      </c>
      <c r="N20084" t="str">
        <f>"9/7/2023 1:28:00 PM"</f>
        <v>9/7/2023 1:28:00 PM</v>
      </c>
      <c r="O20084" t="s">
        <v>61415</v>
      </c>
      <c r="T20084" t="s">
        <v>61416</v>
      </c>
    </row>
    <row r="20085" spans="1:20" x14ac:dyDescent="0.25">
      <c r="A20085" t="str">
        <f>"3040165"</f>
        <v>3040165</v>
      </c>
      <c r="B20085" t="s">
        <v>61418</v>
      </c>
      <c r="C20085" t="str">
        <f>"47680000"</f>
        <v>47680000</v>
      </c>
      <c r="D20085" t="s">
        <v>61419</v>
      </c>
      <c r="E20085" t="s">
        <v>61420</v>
      </c>
      <c r="F20085" t="s">
        <v>61421</v>
      </c>
      <c r="I20085" t="s">
        <v>29</v>
      </c>
      <c r="J20085" t="s">
        <v>30</v>
      </c>
      <c r="K20085" t="s">
        <v>61422</v>
      </c>
      <c r="M20085" t="s">
        <v>50621</v>
      </c>
      <c r="N20085" t="str">
        <f>"9/7/2023 1:32:00 PM"</f>
        <v>9/7/2023 1:32:00 PM</v>
      </c>
      <c r="O20085" t="s">
        <v>61419</v>
      </c>
      <c r="T20085" t="s">
        <v>61420</v>
      </c>
    </row>
    <row r="20086" spans="1:20" x14ac:dyDescent="0.25">
      <c r="A20086" t="str">
        <f>"3051758"</f>
        <v>3051758</v>
      </c>
      <c r="B20086" t="s">
        <v>61423</v>
      </c>
      <c r="C20086" t="str">
        <f>"8309981"</f>
        <v>8309981</v>
      </c>
      <c r="D20086" t="s">
        <v>61424</v>
      </c>
      <c r="F20086" t="s">
        <v>46432</v>
      </c>
      <c r="I20086" t="s">
        <v>29</v>
      </c>
      <c r="J20086" t="s">
        <v>30</v>
      </c>
      <c r="K20086" t="s">
        <v>13347</v>
      </c>
      <c r="M20086" t="s">
        <v>50621</v>
      </c>
      <c r="N20086" t="str">
        <f>"9/7/2023 1:34:00 PM"</f>
        <v>9/7/2023 1:34:00 PM</v>
      </c>
      <c r="O20086" t="s">
        <v>61424</v>
      </c>
    </row>
    <row r="20087" spans="1:20" x14ac:dyDescent="0.25">
      <c r="A20087" t="str">
        <f>"3051760"</f>
        <v>3051760</v>
      </c>
      <c r="B20087" t="s">
        <v>61425</v>
      </c>
      <c r="C20087" t="str">
        <f>"8309981"</f>
        <v>8309981</v>
      </c>
      <c r="D20087" t="s">
        <v>61424</v>
      </c>
      <c r="F20087" t="s">
        <v>46432</v>
      </c>
      <c r="I20087" t="s">
        <v>29</v>
      </c>
      <c r="J20087" t="s">
        <v>30</v>
      </c>
      <c r="K20087" t="s">
        <v>13347</v>
      </c>
      <c r="M20087" t="s">
        <v>50621</v>
      </c>
      <c r="N20087" t="str">
        <f>"9/7/2023 1:34:00 PM"</f>
        <v>9/7/2023 1:34:00 PM</v>
      </c>
      <c r="O20087" t="s">
        <v>61424</v>
      </c>
    </row>
    <row r="20088" spans="1:20" x14ac:dyDescent="0.25">
      <c r="A20088" t="str">
        <f>"3076660"</f>
        <v>3076660</v>
      </c>
      <c r="B20088" t="s">
        <v>61426</v>
      </c>
      <c r="C20088" t="str">
        <f>"19092560"</f>
        <v>19092560</v>
      </c>
      <c r="D20088" t="s">
        <v>61427</v>
      </c>
      <c r="E20088" t="s">
        <v>61428</v>
      </c>
      <c r="F20088" t="s">
        <v>61429</v>
      </c>
      <c r="I20088" t="s">
        <v>29</v>
      </c>
      <c r="J20088" t="s">
        <v>30</v>
      </c>
      <c r="K20088" t="s">
        <v>61430</v>
      </c>
      <c r="M20088" t="s">
        <v>50621</v>
      </c>
      <c r="N20088" t="str">
        <f>"9/7/2023 1:35:00 PM"</f>
        <v>9/7/2023 1:35:00 PM</v>
      </c>
      <c r="O20088" t="s">
        <v>61427</v>
      </c>
      <c r="T20088" t="s">
        <v>61428</v>
      </c>
    </row>
    <row r="20089" spans="1:20" x14ac:dyDescent="0.25">
      <c r="A20089" t="str">
        <f>"3076670"</f>
        <v>3076670</v>
      </c>
      <c r="B20089" t="s">
        <v>61431</v>
      </c>
      <c r="C20089" t="str">
        <f>"19092560"</f>
        <v>19092560</v>
      </c>
      <c r="D20089" t="s">
        <v>61427</v>
      </c>
      <c r="E20089" t="s">
        <v>61428</v>
      </c>
      <c r="F20089" t="s">
        <v>61429</v>
      </c>
      <c r="I20089" t="s">
        <v>29</v>
      </c>
      <c r="J20089" t="s">
        <v>30</v>
      </c>
      <c r="K20089" t="s">
        <v>61430</v>
      </c>
      <c r="M20089" t="s">
        <v>50621</v>
      </c>
      <c r="N20089" t="str">
        <f>"9/7/2023 1:35:00 PM"</f>
        <v>9/7/2023 1:35:00 PM</v>
      </c>
      <c r="O20089" t="s">
        <v>61427</v>
      </c>
      <c r="T20089" t="s">
        <v>61428</v>
      </c>
    </row>
    <row r="20090" spans="1:20" x14ac:dyDescent="0.25">
      <c r="A20090" t="str">
        <f>"3042167"</f>
        <v>3042167</v>
      </c>
      <c r="B20090" t="s">
        <v>61432</v>
      </c>
      <c r="C20090" t="str">
        <f>"79860000"</f>
        <v>79860000</v>
      </c>
      <c r="D20090" t="s">
        <v>61433</v>
      </c>
      <c r="F20090" t="s">
        <v>61434</v>
      </c>
      <c r="I20090" t="s">
        <v>29</v>
      </c>
      <c r="J20090" t="s">
        <v>30</v>
      </c>
      <c r="K20090" t="s">
        <v>61435</v>
      </c>
      <c r="M20090" t="s">
        <v>50621</v>
      </c>
      <c r="N20090" t="str">
        <f>"9/7/2023 1:37:00 PM"</f>
        <v>9/7/2023 1:37:00 PM</v>
      </c>
      <c r="O20090" t="s">
        <v>61433</v>
      </c>
    </row>
    <row r="20091" spans="1:20" x14ac:dyDescent="0.25">
      <c r="A20091" t="str">
        <f>"3042185"</f>
        <v>3042185</v>
      </c>
      <c r="B20091" t="s">
        <v>61436</v>
      </c>
      <c r="C20091" t="str">
        <f>"79860000"</f>
        <v>79860000</v>
      </c>
      <c r="D20091" t="s">
        <v>61433</v>
      </c>
      <c r="F20091" t="s">
        <v>61434</v>
      </c>
      <c r="I20091" t="s">
        <v>29</v>
      </c>
      <c r="J20091" t="s">
        <v>30</v>
      </c>
      <c r="K20091" t="s">
        <v>61435</v>
      </c>
      <c r="M20091" t="s">
        <v>50621</v>
      </c>
      <c r="N20091" t="str">
        <f>"9/7/2023 1:37:00 PM"</f>
        <v>9/7/2023 1:37:00 PM</v>
      </c>
      <c r="O20091" t="s">
        <v>61433</v>
      </c>
    </row>
    <row r="20092" spans="1:20" x14ac:dyDescent="0.25">
      <c r="A20092" t="str">
        <f>"3056855"</f>
        <v>3056855</v>
      </c>
      <c r="B20092" t="s">
        <v>61437</v>
      </c>
      <c r="C20092" t="str">
        <f>"82531212"</f>
        <v>82531212</v>
      </c>
      <c r="D20092" t="s">
        <v>61438</v>
      </c>
      <c r="F20092" t="s">
        <v>46833</v>
      </c>
      <c r="I20092" t="s">
        <v>46834</v>
      </c>
      <c r="J20092" t="s">
        <v>1046</v>
      </c>
      <c r="K20092" t="s">
        <v>61439</v>
      </c>
      <c r="M20092" t="s">
        <v>50621</v>
      </c>
      <c r="N20092" t="str">
        <f>"9/7/2023 1:38:00 PM"</f>
        <v>9/7/2023 1:38:00 PM</v>
      </c>
      <c r="O20092" t="s">
        <v>61438</v>
      </c>
    </row>
    <row r="20093" spans="1:20" x14ac:dyDescent="0.25">
      <c r="A20093" t="str">
        <f>"3059796"</f>
        <v>3059796</v>
      </c>
      <c r="B20093" t="s">
        <v>61440</v>
      </c>
      <c r="C20093" t="str">
        <f>"82531212"</f>
        <v>82531212</v>
      </c>
      <c r="D20093" t="s">
        <v>61438</v>
      </c>
      <c r="F20093" t="s">
        <v>46833</v>
      </c>
      <c r="I20093" t="s">
        <v>46834</v>
      </c>
      <c r="J20093" t="s">
        <v>1046</v>
      </c>
      <c r="K20093" t="s">
        <v>61439</v>
      </c>
      <c r="M20093" t="s">
        <v>50621</v>
      </c>
      <c r="N20093" t="str">
        <f>"9/7/2023 1:38:00 PM"</f>
        <v>9/7/2023 1:38:00 PM</v>
      </c>
      <c r="O20093" t="s">
        <v>61438</v>
      </c>
    </row>
    <row r="20094" spans="1:20" x14ac:dyDescent="0.25">
      <c r="A20094" t="str">
        <f>"3078875"</f>
        <v>3078875</v>
      </c>
      <c r="B20094" t="s">
        <v>61441</v>
      </c>
      <c r="C20094" t="str">
        <f t="shared" ref="C20094:C20100" si="305">"82532486"</f>
        <v>82532486</v>
      </c>
      <c r="D20094" t="s">
        <v>48698</v>
      </c>
      <c r="F20094" t="s">
        <v>46432</v>
      </c>
      <c r="I20094" t="s">
        <v>29</v>
      </c>
      <c r="J20094" t="s">
        <v>30</v>
      </c>
      <c r="K20094" t="s">
        <v>31</v>
      </c>
      <c r="M20094" t="s">
        <v>50621</v>
      </c>
      <c r="N20094" t="str">
        <f t="shared" ref="N20094:N20100" si="306">"9/7/2023 1:39:00 PM"</f>
        <v>9/7/2023 1:39:00 PM</v>
      </c>
      <c r="O20094" t="s">
        <v>48698</v>
      </c>
    </row>
    <row r="20095" spans="1:20" x14ac:dyDescent="0.25">
      <c r="A20095" t="str">
        <f>"3096333"</f>
        <v>3096333</v>
      </c>
      <c r="B20095" t="s">
        <v>61442</v>
      </c>
      <c r="C20095" t="str">
        <f t="shared" si="305"/>
        <v>82532486</v>
      </c>
      <c r="D20095" t="s">
        <v>48698</v>
      </c>
      <c r="F20095" t="s">
        <v>46432</v>
      </c>
      <c r="I20095" t="s">
        <v>29</v>
      </c>
      <c r="J20095" t="s">
        <v>30</v>
      </c>
      <c r="K20095" t="s">
        <v>31</v>
      </c>
      <c r="M20095" t="s">
        <v>50621</v>
      </c>
      <c r="N20095" t="str">
        <f t="shared" si="306"/>
        <v>9/7/2023 1:39:00 PM</v>
      </c>
      <c r="O20095" t="s">
        <v>48698</v>
      </c>
    </row>
    <row r="20096" spans="1:20" x14ac:dyDescent="0.25">
      <c r="A20096" t="str">
        <f>"3057268"</f>
        <v>3057268</v>
      </c>
      <c r="B20096" t="s">
        <v>61443</v>
      </c>
      <c r="C20096" t="str">
        <f t="shared" si="305"/>
        <v>82532486</v>
      </c>
      <c r="D20096" t="s">
        <v>48698</v>
      </c>
      <c r="F20096" t="s">
        <v>46432</v>
      </c>
      <c r="I20096" t="s">
        <v>29</v>
      </c>
      <c r="J20096" t="s">
        <v>30</v>
      </c>
      <c r="K20096" t="s">
        <v>31</v>
      </c>
      <c r="M20096" t="s">
        <v>50621</v>
      </c>
      <c r="N20096" t="str">
        <f t="shared" si="306"/>
        <v>9/7/2023 1:39:00 PM</v>
      </c>
      <c r="O20096" t="s">
        <v>48698</v>
      </c>
    </row>
    <row r="20097" spans="1:20" x14ac:dyDescent="0.25">
      <c r="A20097" t="str">
        <f>"3053052"</f>
        <v>3053052</v>
      </c>
      <c r="B20097" t="s">
        <v>61444</v>
      </c>
      <c r="C20097" t="str">
        <f t="shared" si="305"/>
        <v>82532486</v>
      </c>
      <c r="D20097" t="s">
        <v>48698</v>
      </c>
      <c r="F20097" t="s">
        <v>46432</v>
      </c>
      <c r="I20097" t="s">
        <v>29</v>
      </c>
      <c r="J20097" t="s">
        <v>30</v>
      </c>
      <c r="K20097" t="s">
        <v>31</v>
      </c>
      <c r="M20097" t="s">
        <v>50621</v>
      </c>
      <c r="N20097" t="str">
        <f t="shared" si="306"/>
        <v>9/7/2023 1:39:00 PM</v>
      </c>
      <c r="O20097" t="s">
        <v>48698</v>
      </c>
    </row>
    <row r="20098" spans="1:20" x14ac:dyDescent="0.25">
      <c r="A20098" t="str">
        <f>"3049083"</f>
        <v>3049083</v>
      </c>
      <c r="B20098" t="s">
        <v>61445</v>
      </c>
      <c r="C20098" t="str">
        <f t="shared" si="305"/>
        <v>82532486</v>
      </c>
      <c r="D20098" t="s">
        <v>48698</v>
      </c>
      <c r="F20098" t="s">
        <v>46432</v>
      </c>
      <c r="I20098" t="s">
        <v>29</v>
      </c>
      <c r="J20098" t="s">
        <v>30</v>
      </c>
      <c r="K20098" t="s">
        <v>31</v>
      </c>
      <c r="M20098" t="s">
        <v>50621</v>
      </c>
      <c r="N20098" t="str">
        <f t="shared" si="306"/>
        <v>9/7/2023 1:39:00 PM</v>
      </c>
      <c r="O20098" t="s">
        <v>48698</v>
      </c>
    </row>
    <row r="20099" spans="1:20" x14ac:dyDescent="0.25">
      <c r="A20099" t="str">
        <f>"3049125"</f>
        <v>3049125</v>
      </c>
      <c r="B20099" t="s">
        <v>61446</v>
      </c>
      <c r="C20099" t="str">
        <f t="shared" si="305"/>
        <v>82532486</v>
      </c>
      <c r="D20099" t="s">
        <v>48698</v>
      </c>
      <c r="F20099" t="s">
        <v>46432</v>
      </c>
      <c r="I20099" t="s">
        <v>29</v>
      </c>
      <c r="J20099" t="s">
        <v>30</v>
      </c>
      <c r="K20099" t="s">
        <v>31</v>
      </c>
      <c r="M20099" t="s">
        <v>50621</v>
      </c>
      <c r="N20099" t="str">
        <f t="shared" si="306"/>
        <v>9/7/2023 1:39:00 PM</v>
      </c>
      <c r="O20099" t="s">
        <v>48698</v>
      </c>
    </row>
    <row r="20100" spans="1:20" x14ac:dyDescent="0.25">
      <c r="A20100" t="str">
        <f>"3049104"</f>
        <v>3049104</v>
      </c>
      <c r="B20100" t="s">
        <v>61447</v>
      </c>
      <c r="C20100" t="str">
        <f t="shared" si="305"/>
        <v>82532486</v>
      </c>
      <c r="D20100" t="s">
        <v>48698</v>
      </c>
      <c r="F20100" t="s">
        <v>46432</v>
      </c>
      <c r="I20100" t="s">
        <v>29</v>
      </c>
      <c r="J20100" t="s">
        <v>30</v>
      </c>
      <c r="K20100" t="s">
        <v>31</v>
      </c>
      <c r="M20100" t="s">
        <v>50621</v>
      </c>
      <c r="N20100" t="str">
        <f t="shared" si="306"/>
        <v>9/7/2023 1:39:00 PM</v>
      </c>
      <c r="O20100" t="s">
        <v>48698</v>
      </c>
    </row>
    <row r="20101" spans="1:20" x14ac:dyDescent="0.25">
      <c r="A20101" t="str">
        <f>"3037378"</f>
        <v>3037378</v>
      </c>
      <c r="B20101" t="s">
        <v>61448</v>
      </c>
      <c r="C20101" t="str">
        <f>"75900000"</f>
        <v>75900000</v>
      </c>
      <c r="D20101" t="s">
        <v>61449</v>
      </c>
      <c r="E20101" t="s">
        <v>61450</v>
      </c>
      <c r="F20101" t="s">
        <v>61451</v>
      </c>
      <c r="I20101" t="s">
        <v>184</v>
      </c>
      <c r="J20101" t="s">
        <v>30</v>
      </c>
      <c r="K20101" t="s">
        <v>61452</v>
      </c>
      <c r="M20101" t="s">
        <v>50621</v>
      </c>
      <c r="N20101" t="str">
        <f>"9/7/2023 1:40:00 PM"</f>
        <v>9/7/2023 1:40:00 PM</v>
      </c>
      <c r="O20101" t="s">
        <v>61449</v>
      </c>
      <c r="T20101" t="s">
        <v>61450</v>
      </c>
    </row>
    <row r="20102" spans="1:20" x14ac:dyDescent="0.25">
      <c r="A20102" t="str">
        <f>"3037410"</f>
        <v>3037410</v>
      </c>
      <c r="B20102" t="s">
        <v>61453</v>
      </c>
      <c r="C20102" t="str">
        <f>"75900000"</f>
        <v>75900000</v>
      </c>
      <c r="D20102" t="s">
        <v>61449</v>
      </c>
      <c r="E20102" t="s">
        <v>61450</v>
      </c>
      <c r="F20102" t="s">
        <v>61451</v>
      </c>
      <c r="I20102" t="s">
        <v>184</v>
      </c>
      <c r="J20102" t="s">
        <v>30</v>
      </c>
      <c r="K20102" t="s">
        <v>61452</v>
      </c>
      <c r="M20102" t="s">
        <v>50621</v>
      </c>
      <c r="N20102" t="str">
        <f>"9/7/2023 1:40:00 PM"</f>
        <v>9/7/2023 1:40:00 PM</v>
      </c>
      <c r="O20102" t="s">
        <v>61449</v>
      </c>
      <c r="T20102" t="s">
        <v>61450</v>
      </c>
    </row>
    <row r="20103" spans="1:20" x14ac:dyDescent="0.25">
      <c r="A20103" t="str">
        <f>"3061036"</f>
        <v>3061036</v>
      </c>
      <c r="B20103" t="s">
        <v>61454</v>
      </c>
      <c r="C20103" t="str">
        <f>"8318021"</f>
        <v>8318021</v>
      </c>
      <c r="D20103" t="s">
        <v>61455</v>
      </c>
      <c r="F20103" t="s">
        <v>61456</v>
      </c>
      <c r="I20103" t="s">
        <v>184</v>
      </c>
      <c r="J20103" t="s">
        <v>30</v>
      </c>
      <c r="K20103" t="s">
        <v>38843</v>
      </c>
      <c r="M20103" t="s">
        <v>50621</v>
      </c>
      <c r="N20103" t="str">
        <f>"9/7/2023 1:41:00 PM"</f>
        <v>9/7/2023 1:41:00 PM</v>
      </c>
      <c r="O20103" t="s">
        <v>61455</v>
      </c>
    </row>
    <row r="20104" spans="1:20" x14ac:dyDescent="0.25">
      <c r="A20104" t="str">
        <f>"3040338"</f>
        <v>3040338</v>
      </c>
      <c r="B20104" t="s">
        <v>61457</v>
      </c>
      <c r="C20104" t="str">
        <f>"8306333"</f>
        <v>8306333</v>
      </c>
      <c r="D20104" t="s">
        <v>61458</v>
      </c>
      <c r="E20104" t="s">
        <v>61459</v>
      </c>
      <c r="F20104" t="s">
        <v>61460</v>
      </c>
      <c r="I20104" t="s">
        <v>61461</v>
      </c>
      <c r="J20104" t="s">
        <v>30</v>
      </c>
      <c r="K20104" t="str">
        <f>"28619"</f>
        <v>28619</v>
      </c>
      <c r="M20104" t="s">
        <v>50621</v>
      </c>
      <c r="N20104" t="str">
        <f>"9/7/2023 1:42:00 PM"</f>
        <v>9/7/2023 1:42:00 PM</v>
      </c>
      <c r="O20104" t="s">
        <v>61458</v>
      </c>
      <c r="T20104" t="s">
        <v>61459</v>
      </c>
    </row>
    <row r="20105" spans="1:20" x14ac:dyDescent="0.25">
      <c r="A20105" t="str">
        <f>"3061818"</f>
        <v>3061818</v>
      </c>
      <c r="B20105" t="s">
        <v>61462</v>
      </c>
      <c r="C20105" t="str">
        <f>"8315733"</f>
        <v>8315733</v>
      </c>
      <c r="D20105" t="s">
        <v>61463</v>
      </c>
      <c r="F20105" t="s">
        <v>61464</v>
      </c>
      <c r="I20105" t="s">
        <v>2071</v>
      </c>
      <c r="J20105" t="s">
        <v>30</v>
      </c>
      <c r="K20105" t="s">
        <v>3960</v>
      </c>
      <c r="M20105" t="s">
        <v>50621</v>
      </c>
      <c r="N20105" t="str">
        <f>"9/7/2023 1:42:00 PM"</f>
        <v>9/7/2023 1:42:00 PM</v>
      </c>
      <c r="O20105" t="s">
        <v>61463</v>
      </c>
    </row>
    <row r="20106" spans="1:20" x14ac:dyDescent="0.25">
      <c r="A20106" t="str">
        <f>"3061554"</f>
        <v>3061554</v>
      </c>
      <c r="B20106" t="s">
        <v>61465</v>
      </c>
      <c r="C20106" t="str">
        <f>"82532162"</f>
        <v>82532162</v>
      </c>
      <c r="D20106" t="s">
        <v>61466</v>
      </c>
      <c r="E20106" t="s">
        <v>61467</v>
      </c>
      <c r="F20106" t="s">
        <v>61468</v>
      </c>
      <c r="I20106" t="s">
        <v>184</v>
      </c>
      <c r="J20106" t="s">
        <v>30</v>
      </c>
      <c r="K20106" t="s">
        <v>185</v>
      </c>
      <c r="M20106" t="s">
        <v>50621</v>
      </c>
      <c r="N20106" t="str">
        <f>"9/7/2023 11:09:00 AM"</f>
        <v>9/7/2023 11:09:00 AM</v>
      </c>
      <c r="O20106" t="s">
        <v>61466</v>
      </c>
      <c r="T20106" t="s">
        <v>61467</v>
      </c>
    </row>
    <row r="20107" spans="1:20" x14ac:dyDescent="0.25">
      <c r="A20107" t="str">
        <f>"3044683"</f>
        <v>3044683</v>
      </c>
      <c r="B20107" t="s">
        <v>61469</v>
      </c>
      <c r="C20107" t="str">
        <f>"8307564"</f>
        <v>8307564</v>
      </c>
      <c r="D20107" t="s">
        <v>61470</v>
      </c>
      <c r="E20107" t="s">
        <v>61471</v>
      </c>
      <c r="F20107" t="s">
        <v>61472</v>
      </c>
      <c r="I20107" t="s">
        <v>184</v>
      </c>
      <c r="J20107" t="s">
        <v>30</v>
      </c>
      <c r="K20107" t="str">
        <f>"27006"</f>
        <v>27006</v>
      </c>
      <c r="M20107" t="s">
        <v>50621</v>
      </c>
      <c r="N20107" t="str">
        <f>"9/7/2023 1:43:00 PM"</f>
        <v>9/7/2023 1:43:00 PM</v>
      </c>
      <c r="O20107" t="s">
        <v>61470</v>
      </c>
      <c r="T20107" t="s">
        <v>61471</v>
      </c>
    </row>
    <row r="20108" spans="1:20" x14ac:dyDescent="0.25">
      <c r="A20108" t="str">
        <f>"3043261"</f>
        <v>3043261</v>
      </c>
      <c r="B20108" t="s">
        <v>61473</v>
      </c>
      <c r="C20108" t="str">
        <f>"82526232"</f>
        <v>82526232</v>
      </c>
      <c r="D20108" t="s">
        <v>61474</v>
      </c>
      <c r="F20108" t="s">
        <v>61475</v>
      </c>
      <c r="I20108" t="s">
        <v>29</v>
      </c>
      <c r="J20108" t="s">
        <v>30</v>
      </c>
      <c r="K20108" t="s">
        <v>31</v>
      </c>
      <c r="M20108" t="s">
        <v>50621</v>
      </c>
      <c r="N20108" t="str">
        <f>"9/7/2023 1:46:00 PM"</f>
        <v>9/7/2023 1:46:00 PM</v>
      </c>
      <c r="O20108" t="s">
        <v>61474</v>
      </c>
    </row>
    <row r="20109" spans="1:20" x14ac:dyDescent="0.25">
      <c r="A20109" t="str">
        <f>"3043259"</f>
        <v>3043259</v>
      </c>
      <c r="B20109" t="s">
        <v>61476</v>
      </c>
      <c r="C20109" t="str">
        <f>"82526232"</f>
        <v>82526232</v>
      </c>
      <c r="D20109" t="s">
        <v>61474</v>
      </c>
      <c r="F20109" t="s">
        <v>61475</v>
      </c>
      <c r="I20109" t="s">
        <v>29</v>
      </c>
      <c r="J20109" t="s">
        <v>30</v>
      </c>
      <c r="K20109" t="s">
        <v>31</v>
      </c>
      <c r="M20109" t="s">
        <v>50621</v>
      </c>
      <c r="N20109" t="str">
        <f>"9/7/2023 1:46:00 PM"</f>
        <v>9/7/2023 1:46:00 PM</v>
      </c>
      <c r="O20109" t="s">
        <v>61474</v>
      </c>
    </row>
    <row r="20110" spans="1:20" x14ac:dyDescent="0.25">
      <c r="A20110" t="str">
        <f>"3043366"</f>
        <v>3043366</v>
      </c>
      <c r="B20110" t="s">
        <v>61477</v>
      </c>
      <c r="C20110" t="str">
        <f>"82526232"</f>
        <v>82526232</v>
      </c>
      <c r="D20110" t="s">
        <v>61474</v>
      </c>
      <c r="F20110" t="s">
        <v>61475</v>
      </c>
      <c r="I20110" t="s">
        <v>29</v>
      </c>
      <c r="J20110" t="s">
        <v>30</v>
      </c>
      <c r="K20110" t="s">
        <v>31</v>
      </c>
      <c r="M20110" t="s">
        <v>50621</v>
      </c>
      <c r="N20110" t="str">
        <f>"9/7/2023 1:46:00 PM"</f>
        <v>9/7/2023 1:46:00 PM</v>
      </c>
      <c r="O20110" t="s">
        <v>61474</v>
      </c>
    </row>
    <row r="20111" spans="1:20" x14ac:dyDescent="0.25">
      <c r="A20111" t="str">
        <f>"3038780"</f>
        <v>3038780</v>
      </c>
      <c r="B20111" t="s">
        <v>61478</v>
      </c>
      <c r="C20111" t="str">
        <f>"4424000"</f>
        <v>4424000</v>
      </c>
      <c r="D20111" t="s">
        <v>61479</v>
      </c>
      <c r="E20111" t="s">
        <v>61480</v>
      </c>
      <c r="F20111" t="s">
        <v>61481</v>
      </c>
      <c r="I20111" t="s">
        <v>29</v>
      </c>
      <c r="J20111" t="s">
        <v>30</v>
      </c>
      <c r="K20111" t="s">
        <v>40618</v>
      </c>
      <c r="M20111" t="s">
        <v>50621</v>
      </c>
      <c r="N20111" t="str">
        <f t="shared" ref="N20111:N20117" si="307">"9/7/2023 1:47:00 PM"</f>
        <v>9/7/2023 1:47:00 PM</v>
      </c>
      <c r="O20111" t="s">
        <v>61479</v>
      </c>
      <c r="T20111" t="s">
        <v>61480</v>
      </c>
    </row>
    <row r="20112" spans="1:20" x14ac:dyDescent="0.25">
      <c r="A20112" t="str">
        <f>"3072885"</f>
        <v>3072885</v>
      </c>
      <c r="B20112" t="s">
        <v>61482</v>
      </c>
      <c r="C20112" t="str">
        <f>"4424000"</f>
        <v>4424000</v>
      </c>
      <c r="D20112" t="s">
        <v>61479</v>
      </c>
      <c r="E20112" t="s">
        <v>61480</v>
      </c>
      <c r="F20112" t="s">
        <v>61481</v>
      </c>
      <c r="I20112" t="s">
        <v>29</v>
      </c>
      <c r="J20112" t="s">
        <v>30</v>
      </c>
      <c r="K20112" t="s">
        <v>40618</v>
      </c>
      <c r="M20112" t="s">
        <v>50621</v>
      </c>
      <c r="N20112" t="str">
        <f t="shared" si="307"/>
        <v>9/7/2023 1:47:00 PM</v>
      </c>
      <c r="O20112" t="s">
        <v>61479</v>
      </c>
      <c r="T20112" t="s">
        <v>61480</v>
      </c>
    </row>
    <row r="20113" spans="1:20" x14ac:dyDescent="0.25">
      <c r="A20113" t="str">
        <f>"3047673"</f>
        <v>3047673</v>
      </c>
      <c r="B20113" t="s">
        <v>61483</v>
      </c>
      <c r="C20113" t="str">
        <f>"1180000"</f>
        <v>1180000</v>
      </c>
      <c r="D20113" t="s">
        <v>61484</v>
      </c>
      <c r="E20113" t="s">
        <v>61485</v>
      </c>
      <c r="F20113" t="s">
        <v>61486</v>
      </c>
      <c r="I20113" t="s">
        <v>184</v>
      </c>
      <c r="J20113" t="s">
        <v>30</v>
      </c>
      <c r="K20113" t="s">
        <v>61487</v>
      </c>
      <c r="M20113" t="s">
        <v>50621</v>
      </c>
      <c r="N20113" t="str">
        <f t="shared" si="307"/>
        <v>9/7/2023 1:47:00 PM</v>
      </c>
      <c r="O20113" t="s">
        <v>61484</v>
      </c>
      <c r="T20113" t="s">
        <v>61485</v>
      </c>
    </row>
    <row r="20114" spans="1:20" x14ac:dyDescent="0.25">
      <c r="A20114" t="str">
        <f>"3047674"</f>
        <v>3047674</v>
      </c>
      <c r="B20114" t="s">
        <v>61488</v>
      </c>
      <c r="C20114" t="str">
        <f>"1180000"</f>
        <v>1180000</v>
      </c>
      <c r="D20114" t="s">
        <v>61484</v>
      </c>
      <c r="E20114" t="s">
        <v>61485</v>
      </c>
      <c r="F20114" t="s">
        <v>61486</v>
      </c>
      <c r="I20114" t="s">
        <v>184</v>
      </c>
      <c r="J20114" t="s">
        <v>30</v>
      </c>
      <c r="K20114" t="s">
        <v>61487</v>
      </c>
      <c r="M20114" t="s">
        <v>50621</v>
      </c>
      <c r="N20114" t="str">
        <f t="shared" si="307"/>
        <v>9/7/2023 1:47:00 PM</v>
      </c>
      <c r="O20114" t="s">
        <v>61484</v>
      </c>
      <c r="T20114" t="s">
        <v>61485</v>
      </c>
    </row>
    <row r="20115" spans="1:20" x14ac:dyDescent="0.25">
      <c r="A20115" t="str">
        <f>"3047675"</f>
        <v>3047675</v>
      </c>
      <c r="B20115" t="s">
        <v>61489</v>
      </c>
      <c r="C20115" t="str">
        <f>"1180000"</f>
        <v>1180000</v>
      </c>
      <c r="D20115" t="s">
        <v>61484</v>
      </c>
      <c r="E20115" t="s">
        <v>61485</v>
      </c>
      <c r="F20115" t="s">
        <v>61486</v>
      </c>
      <c r="I20115" t="s">
        <v>184</v>
      </c>
      <c r="J20115" t="s">
        <v>30</v>
      </c>
      <c r="K20115" t="s">
        <v>61487</v>
      </c>
      <c r="M20115" t="s">
        <v>50621</v>
      </c>
      <c r="N20115" t="str">
        <f t="shared" si="307"/>
        <v>9/7/2023 1:47:00 PM</v>
      </c>
      <c r="O20115" t="s">
        <v>61484</v>
      </c>
      <c r="T20115" t="s">
        <v>61485</v>
      </c>
    </row>
    <row r="20116" spans="1:20" x14ac:dyDescent="0.25">
      <c r="A20116" t="str">
        <f>"3047667"</f>
        <v>3047667</v>
      </c>
      <c r="B20116" t="s">
        <v>61490</v>
      </c>
      <c r="C20116" t="str">
        <f>"1180000"</f>
        <v>1180000</v>
      </c>
      <c r="D20116" t="s">
        <v>61484</v>
      </c>
      <c r="E20116" t="s">
        <v>61485</v>
      </c>
      <c r="F20116" t="s">
        <v>61486</v>
      </c>
      <c r="I20116" t="s">
        <v>184</v>
      </c>
      <c r="J20116" t="s">
        <v>30</v>
      </c>
      <c r="K20116" t="s">
        <v>61487</v>
      </c>
      <c r="M20116" t="s">
        <v>50621</v>
      </c>
      <c r="N20116" t="str">
        <f t="shared" si="307"/>
        <v>9/7/2023 1:47:00 PM</v>
      </c>
      <c r="O20116" t="s">
        <v>61484</v>
      </c>
      <c r="T20116" t="s">
        <v>61485</v>
      </c>
    </row>
    <row r="20117" spans="1:20" x14ac:dyDescent="0.25">
      <c r="A20117" t="str">
        <f>"3047944"</f>
        <v>3047944</v>
      </c>
      <c r="B20117" t="s">
        <v>61491</v>
      </c>
      <c r="C20117" t="str">
        <f>"1180000"</f>
        <v>1180000</v>
      </c>
      <c r="D20117" t="s">
        <v>61484</v>
      </c>
      <c r="E20117" t="s">
        <v>61485</v>
      </c>
      <c r="F20117" t="s">
        <v>61486</v>
      </c>
      <c r="I20117" t="s">
        <v>184</v>
      </c>
      <c r="J20117" t="s">
        <v>30</v>
      </c>
      <c r="K20117" t="s">
        <v>61487</v>
      </c>
      <c r="M20117" t="s">
        <v>50621</v>
      </c>
      <c r="N20117" t="str">
        <f t="shared" si="307"/>
        <v>9/7/2023 1:47:00 PM</v>
      </c>
      <c r="O20117" t="s">
        <v>61484</v>
      </c>
      <c r="T20117" t="s">
        <v>61485</v>
      </c>
    </row>
    <row r="20118" spans="1:20" x14ac:dyDescent="0.25">
      <c r="A20118" t="str">
        <f>"3050482"</f>
        <v>3050482</v>
      </c>
      <c r="B20118" t="s">
        <v>61492</v>
      </c>
      <c r="C20118" t="str">
        <f>"4398300"</f>
        <v>4398300</v>
      </c>
      <c r="D20118" t="s">
        <v>61493</v>
      </c>
      <c r="E20118" t="s">
        <v>27538</v>
      </c>
      <c r="F20118" t="s">
        <v>27539</v>
      </c>
      <c r="I20118" t="s">
        <v>29</v>
      </c>
      <c r="J20118" t="s">
        <v>30</v>
      </c>
      <c r="K20118" t="s">
        <v>11416</v>
      </c>
      <c r="M20118" t="s">
        <v>50621</v>
      </c>
      <c r="N20118" t="str">
        <f>"9/7/2023 1:48:00 PM"</f>
        <v>9/7/2023 1:48:00 PM</v>
      </c>
      <c r="O20118" t="s">
        <v>61493</v>
      </c>
      <c r="T20118" t="s">
        <v>27538</v>
      </c>
    </row>
    <row r="20119" spans="1:20" x14ac:dyDescent="0.25">
      <c r="A20119" t="str">
        <f>"3039817"</f>
        <v>3039817</v>
      </c>
      <c r="B20119" t="s">
        <v>61494</v>
      </c>
      <c r="C20119" t="str">
        <f>"38664000"</f>
        <v>38664000</v>
      </c>
      <c r="D20119" t="s">
        <v>61495</v>
      </c>
      <c r="E20119" t="s">
        <v>61496</v>
      </c>
      <c r="F20119" t="s">
        <v>61497</v>
      </c>
      <c r="I20119" t="s">
        <v>29</v>
      </c>
      <c r="J20119" t="s">
        <v>30</v>
      </c>
      <c r="K20119" t="s">
        <v>31</v>
      </c>
      <c r="M20119" t="s">
        <v>50621</v>
      </c>
      <c r="N20119" t="str">
        <f>"9/7/2023 1:52:00 PM"</f>
        <v>9/7/2023 1:52:00 PM</v>
      </c>
      <c r="O20119" t="s">
        <v>61495</v>
      </c>
      <c r="T20119" t="s">
        <v>61496</v>
      </c>
    </row>
    <row r="20120" spans="1:20" x14ac:dyDescent="0.25">
      <c r="A20120" t="str">
        <f>"3040264"</f>
        <v>3040264</v>
      </c>
      <c r="B20120" t="s">
        <v>61498</v>
      </c>
      <c r="C20120" t="str">
        <f>"8316470"</f>
        <v>8316470</v>
      </c>
      <c r="D20120" t="s">
        <v>61499</v>
      </c>
      <c r="F20120" t="s">
        <v>61500</v>
      </c>
      <c r="I20120" t="s">
        <v>964</v>
      </c>
      <c r="J20120" t="s">
        <v>30</v>
      </c>
      <c r="K20120" t="s">
        <v>61501</v>
      </c>
      <c r="M20120" t="s">
        <v>50621</v>
      </c>
      <c r="N20120" t="str">
        <f>"9/7/2023 1:52:00 PM"</f>
        <v>9/7/2023 1:52:00 PM</v>
      </c>
      <c r="O20120" t="s">
        <v>61499</v>
      </c>
    </row>
    <row r="20121" spans="1:20" x14ac:dyDescent="0.25">
      <c r="A20121" t="str">
        <f>"3047838"</f>
        <v>3047838</v>
      </c>
      <c r="B20121" t="s">
        <v>61502</v>
      </c>
      <c r="C20121" t="str">
        <f>"8300292"</f>
        <v>8300292</v>
      </c>
      <c r="D20121" t="s">
        <v>61503</v>
      </c>
      <c r="E20121" t="s">
        <v>61504</v>
      </c>
      <c r="F20121" t="s">
        <v>61505</v>
      </c>
      <c r="I20121" t="s">
        <v>184</v>
      </c>
      <c r="J20121" t="s">
        <v>30</v>
      </c>
      <c r="K20121" t="s">
        <v>185</v>
      </c>
      <c r="M20121" t="s">
        <v>50621</v>
      </c>
      <c r="N20121" t="str">
        <f>"9/7/2023 1:52:00 PM"</f>
        <v>9/7/2023 1:52:00 PM</v>
      </c>
      <c r="O20121" t="s">
        <v>61503</v>
      </c>
      <c r="T20121" t="s">
        <v>61504</v>
      </c>
    </row>
    <row r="20122" spans="1:20" x14ac:dyDescent="0.25">
      <c r="A20122" t="str">
        <f>"3040460"</f>
        <v>3040460</v>
      </c>
      <c r="B20122" t="s">
        <v>61506</v>
      </c>
      <c r="C20122" t="str">
        <f>"8311772"</f>
        <v>8311772</v>
      </c>
      <c r="D20122" t="s">
        <v>61507</v>
      </c>
      <c r="E20122" t="s">
        <v>61508</v>
      </c>
      <c r="F20122" t="s">
        <v>61509</v>
      </c>
      <c r="I20122" t="s">
        <v>29</v>
      </c>
      <c r="J20122" t="s">
        <v>30</v>
      </c>
      <c r="K20122" t="s">
        <v>61510</v>
      </c>
      <c r="M20122" t="s">
        <v>50621</v>
      </c>
      <c r="N20122" t="str">
        <f>"9/7/2023 1:53:00 PM"</f>
        <v>9/7/2023 1:53:00 PM</v>
      </c>
      <c r="O20122" t="s">
        <v>61507</v>
      </c>
      <c r="T20122" t="s">
        <v>61508</v>
      </c>
    </row>
    <row r="20123" spans="1:20" x14ac:dyDescent="0.25">
      <c r="A20123" t="str">
        <f>"3061940"</f>
        <v>3061940</v>
      </c>
      <c r="B20123" t="s">
        <v>61511</v>
      </c>
      <c r="C20123" t="str">
        <f>"82530977"</f>
        <v>82530977</v>
      </c>
      <c r="D20123" t="s">
        <v>61512</v>
      </c>
      <c r="E20123" t="s">
        <v>61513</v>
      </c>
      <c r="F20123" t="s">
        <v>61514</v>
      </c>
      <c r="I20123" t="s">
        <v>184</v>
      </c>
      <c r="J20123" t="s">
        <v>30</v>
      </c>
      <c r="K20123" t="s">
        <v>185</v>
      </c>
      <c r="M20123" t="s">
        <v>50621</v>
      </c>
      <c r="N20123" t="str">
        <f>"9/7/2023 1:54:00 PM"</f>
        <v>9/7/2023 1:54:00 PM</v>
      </c>
      <c r="O20123" t="s">
        <v>61512</v>
      </c>
      <c r="T20123" t="s">
        <v>61513</v>
      </c>
    </row>
    <row r="20124" spans="1:20" x14ac:dyDescent="0.25">
      <c r="A20124" t="str">
        <f>"3058805"</f>
        <v>3058805</v>
      </c>
      <c r="B20124" t="s">
        <v>61515</v>
      </c>
      <c r="C20124" t="str">
        <f>"8307925"</f>
        <v>8307925</v>
      </c>
      <c r="D20124" t="s">
        <v>61516</v>
      </c>
      <c r="F20124" t="s">
        <v>61517</v>
      </c>
      <c r="I20124" t="s">
        <v>29</v>
      </c>
      <c r="J20124" t="s">
        <v>30</v>
      </c>
      <c r="K20124" t="str">
        <f>"27028"</f>
        <v>27028</v>
      </c>
      <c r="M20124" t="s">
        <v>50621</v>
      </c>
      <c r="N20124" t="str">
        <f>"9/7/2023 1:55:00 PM"</f>
        <v>9/7/2023 1:55:00 PM</v>
      </c>
      <c r="O20124" t="s">
        <v>61516</v>
      </c>
    </row>
    <row r="20125" spans="1:20" x14ac:dyDescent="0.25">
      <c r="A20125" t="str">
        <f>"3059253"</f>
        <v>3059253</v>
      </c>
      <c r="B20125" t="s">
        <v>61518</v>
      </c>
      <c r="C20125" t="str">
        <f>"8306394"</f>
        <v>8306394</v>
      </c>
      <c r="D20125" t="s">
        <v>61519</v>
      </c>
      <c r="F20125" t="s">
        <v>61520</v>
      </c>
      <c r="I20125" t="s">
        <v>29</v>
      </c>
      <c r="J20125" t="s">
        <v>30</v>
      </c>
      <c r="K20125" t="str">
        <f>"27028"</f>
        <v>27028</v>
      </c>
      <c r="M20125" t="s">
        <v>50621</v>
      </c>
      <c r="N20125" t="str">
        <f>"9/7/2023 1:55:00 PM"</f>
        <v>9/7/2023 1:55:00 PM</v>
      </c>
      <c r="O20125" t="s">
        <v>61519</v>
      </c>
    </row>
    <row r="20126" spans="1:20" x14ac:dyDescent="0.25">
      <c r="A20126" t="str">
        <f>"3047811"</f>
        <v>3047811</v>
      </c>
      <c r="B20126" t="s">
        <v>61521</v>
      </c>
      <c r="C20126" t="str">
        <f>"66952500"</f>
        <v>66952500</v>
      </c>
      <c r="D20126" t="s">
        <v>61503</v>
      </c>
      <c r="F20126" t="s">
        <v>61505</v>
      </c>
      <c r="I20126" t="s">
        <v>184</v>
      </c>
      <c r="J20126" t="s">
        <v>30</v>
      </c>
      <c r="K20126" t="s">
        <v>185</v>
      </c>
      <c r="M20126" t="s">
        <v>50621</v>
      </c>
      <c r="N20126" t="str">
        <f>"9/7/2023 1:56:00 PM"</f>
        <v>9/7/2023 1:56:00 PM</v>
      </c>
      <c r="O20126" t="s">
        <v>61503</v>
      </c>
    </row>
    <row r="20127" spans="1:20" x14ac:dyDescent="0.25">
      <c r="A20127" t="str">
        <f>"3060484"</f>
        <v>3060484</v>
      </c>
      <c r="B20127" t="s">
        <v>61522</v>
      </c>
      <c r="C20127" t="str">
        <f>"8304879"</f>
        <v>8304879</v>
      </c>
      <c r="D20127" t="s">
        <v>61523</v>
      </c>
      <c r="E20127" t="s">
        <v>61524</v>
      </c>
      <c r="F20127" t="s">
        <v>61525</v>
      </c>
      <c r="I20127" t="s">
        <v>24359</v>
      </c>
      <c r="J20127" t="s">
        <v>30</v>
      </c>
      <c r="K20127" t="str">
        <f>"27006"</f>
        <v>27006</v>
      </c>
      <c r="M20127" t="s">
        <v>50621</v>
      </c>
      <c r="N20127" t="str">
        <f>"9/7/2023 1:56:00 PM"</f>
        <v>9/7/2023 1:56:00 PM</v>
      </c>
      <c r="O20127" t="s">
        <v>61523</v>
      </c>
      <c r="T20127" t="s">
        <v>61524</v>
      </c>
    </row>
    <row r="20128" spans="1:20" x14ac:dyDescent="0.25">
      <c r="A20128" t="str">
        <f>"3062571"</f>
        <v>3062571</v>
      </c>
      <c r="B20128" t="s">
        <v>61526</v>
      </c>
      <c r="C20128" t="str">
        <f>"39241000"</f>
        <v>39241000</v>
      </c>
      <c r="D20128" t="s">
        <v>61527</v>
      </c>
      <c r="E20128" t="s">
        <v>61528</v>
      </c>
      <c r="F20128" t="s">
        <v>61529</v>
      </c>
      <c r="I20128" t="s">
        <v>184</v>
      </c>
      <c r="J20128" t="s">
        <v>30</v>
      </c>
      <c r="K20128" t="s">
        <v>185</v>
      </c>
      <c r="M20128" t="s">
        <v>50621</v>
      </c>
      <c r="N20128" t="str">
        <f>"9/7/2023 1:57:00 PM"</f>
        <v>9/7/2023 1:57:00 PM</v>
      </c>
      <c r="O20128" t="s">
        <v>61527</v>
      </c>
      <c r="T20128" t="s">
        <v>61528</v>
      </c>
    </row>
    <row r="20129" spans="1:20" x14ac:dyDescent="0.25">
      <c r="A20129" t="str">
        <f>"3060289"</f>
        <v>3060289</v>
      </c>
      <c r="B20129" t="s">
        <v>61530</v>
      </c>
      <c r="C20129" t="str">
        <f>"8306714"</f>
        <v>8306714</v>
      </c>
      <c r="D20129" t="s">
        <v>61531</v>
      </c>
      <c r="E20129" t="s">
        <v>61532</v>
      </c>
      <c r="F20129" t="s">
        <v>61533</v>
      </c>
      <c r="I20129" t="s">
        <v>29</v>
      </c>
      <c r="J20129" t="s">
        <v>30</v>
      </c>
      <c r="K20129" t="str">
        <f>"27028"</f>
        <v>27028</v>
      </c>
      <c r="M20129" t="s">
        <v>50621</v>
      </c>
      <c r="N20129" t="str">
        <f>"9/7/2023 2:00:00 PM"</f>
        <v>9/7/2023 2:00:00 PM</v>
      </c>
      <c r="O20129" t="s">
        <v>61531</v>
      </c>
      <c r="T20129" t="s">
        <v>61532</v>
      </c>
    </row>
    <row r="20130" spans="1:20" x14ac:dyDescent="0.25">
      <c r="A20130" t="str">
        <f>"3057516"</f>
        <v>3057516</v>
      </c>
      <c r="B20130" t="s">
        <v>61534</v>
      </c>
      <c r="C20130" t="str">
        <f>"8306714"</f>
        <v>8306714</v>
      </c>
      <c r="D20130" t="s">
        <v>61531</v>
      </c>
      <c r="E20130" t="s">
        <v>61532</v>
      </c>
      <c r="F20130" t="s">
        <v>61533</v>
      </c>
      <c r="I20130" t="s">
        <v>29</v>
      </c>
      <c r="J20130" t="s">
        <v>30</v>
      </c>
      <c r="K20130" t="str">
        <f>"27028"</f>
        <v>27028</v>
      </c>
      <c r="M20130" t="s">
        <v>50621</v>
      </c>
      <c r="N20130" t="str">
        <f>"9/7/2023 2:00:00 PM"</f>
        <v>9/7/2023 2:00:00 PM</v>
      </c>
      <c r="O20130" t="s">
        <v>61531</v>
      </c>
      <c r="T20130" t="s">
        <v>61532</v>
      </c>
    </row>
    <row r="20131" spans="1:20" x14ac:dyDescent="0.25">
      <c r="A20131" t="str">
        <f>"3057341"</f>
        <v>3057341</v>
      </c>
      <c r="B20131" t="s">
        <v>61535</v>
      </c>
      <c r="C20131" t="str">
        <f>"64351000"</f>
        <v>64351000</v>
      </c>
      <c r="D20131" t="s">
        <v>61536</v>
      </c>
      <c r="E20131" t="s">
        <v>61537</v>
      </c>
      <c r="F20131" t="s">
        <v>61538</v>
      </c>
      <c r="I20131" t="s">
        <v>29</v>
      </c>
      <c r="J20131" t="s">
        <v>30</v>
      </c>
      <c r="K20131" t="s">
        <v>31</v>
      </c>
      <c r="M20131" t="s">
        <v>50621</v>
      </c>
      <c r="N20131" t="str">
        <f>"9/7/2023 2:01:00 PM"</f>
        <v>9/7/2023 2:01:00 PM</v>
      </c>
      <c r="O20131" t="s">
        <v>61536</v>
      </c>
      <c r="T20131" t="s">
        <v>61537</v>
      </c>
    </row>
    <row r="20132" spans="1:20" x14ac:dyDescent="0.25">
      <c r="A20132" t="str">
        <f>"3053915"</f>
        <v>3053915</v>
      </c>
      <c r="B20132" t="s">
        <v>61539</v>
      </c>
      <c r="C20132" t="str">
        <f>"64351000"</f>
        <v>64351000</v>
      </c>
      <c r="D20132" t="s">
        <v>61536</v>
      </c>
      <c r="E20132" t="s">
        <v>61537</v>
      </c>
      <c r="F20132" t="s">
        <v>61538</v>
      </c>
      <c r="I20132" t="s">
        <v>29</v>
      </c>
      <c r="J20132" t="s">
        <v>30</v>
      </c>
      <c r="K20132" t="s">
        <v>31</v>
      </c>
      <c r="M20132" t="s">
        <v>50621</v>
      </c>
      <c r="N20132" t="str">
        <f>"9/7/2023 2:01:00 PM"</f>
        <v>9/7/2023 2:01:00 PM</v>
      </c>
      <c r="O20132" t="s">
        <v>61536</v>
      </c>
      <c r="T20132" t="s">
        <v>61537</v>
      </c>
    </row>
    <row r="20133" spans="1:20" x14ac:dyDescent="0.25">
      <c r="A20133" t="str">
        <f>"3057671"</f>
        <v>3057671</v>
      </c>
      <c r="B20133" t="s">
        <v>61540</v>
      </c>
      <c r="C20133" t="str">
        <f>"8310485"</f>
        <v>8310485</v>
      </c>
      <c r="D20133" t="s">
        <v>61541</v>
      </c>
      <c r="E20133" t="s">
        <v>61542</v>
      </c>
      <c r="F20133" t="s">
        <v>61543</v>
      </c>
      <c r="I20133" t="s">
        <v>184</v>
      </c>
      <c r="J20133" t="s">
        <v>30</v>
      </c>
      <c r="K20133" t="s">
        <v>34622</v>
      </c>
      <c r="M20133" t="s">
        <v>50621</v>
      </c>
      <c r="N20133" t="str">
        <f>"9/7/2023 11:03:00 AM"</f>
        <v>9/7/2023 11:03:00 AM</v>
      </c>
      <c r="O20133" t="s">
        <v>61541</v>
      </c>
      <c r="T20133" t="s">
        <v>61542</v>
      </c>
    </row>
    <row r="20134" spans="1:20" x14ac:dyDescent="0.25">
      <c r="A20134" t="str">
        <f>"3060647"</f>
        <v>3060647</v>
      </c>
      <c r="B20134" t="s">
        <v>61544</v>
      </c>
      <c r="C20134" t="str">
        <f>"82526741"</f>
        <v>82526741</v>
      </c>
      <c r="D20134" t="s">
        <v>61545</v>
      </c>
      <c r="F20134" t="s">
        <v>61546</v>
      </c>
      <c r="I20134" t="s">
        <v>2071</v>
      </c>
      <c r="J20134" t="s">
        <v>30</v>
      </c>
      <c r="K20134" t="s">
        <v>185</v>
      </c>
      <c r="M20134" t="s">
        <v>50621</v>
      </c>
      <c r="N20134" t="str">
        <f>"9/7/2023 11:09:00 AM"</f>
        <v>9/7/2023 11:09:00 AM</v>
      </c>
      <c r="O20134" t="s">
        <v>61545</v>
      </c>
    </row>
    <row r="20135" spans="1:20" x14ac:dyDescent="0.25">
      <c r="A20135" t="str">
        <f>"3047642"</f>
        <v>3047642</v>
      </c>
      <c r="B20135" t="s">
        <v>61547</v>
      </c>
      <c r="C20135" t="str">
        <f>"56774000"</f>
        <v>56774000</v>
      </c>
      <c r="D20135" t="s">
        <v>61548</v>
      </c>
      <c r="F20135" t="s">
        <v>61549</v>
      </c>
      <c r="I20135" t="s">
        <v>2280</v>
      </c>
      <c r="J20135" t="s">
        <v>30</v>
      </c>
      <c r="K20135" t="s">
        <v>9897</v>
      </c>
      <c r="M20135" t="s">
        <v>50621</v>
      </c>
      <c r="N20135" t="str">
        <f>"9/7/2023 11:10:00 AM"</f>
        <v>9/7/2023 11:10:00 AM</v>
      </c>
      <c r="O20135" t="s">
        <v>61548</v>
      </c>
    </row>
    <row r="20136" spans="1:20" x14ac:dyDescent="0.25">
      <c r="A20136" t="str">
        <f>"3059221"</f>
        <v>3059221</v>
      </c>
      <c r="B20136" t="s">
        <v>61550</v>
      </c>
      <c r="C20136" t="str">
        <f>"8301177"</f>
        <v>8301177</v>
      </c>
      <c r="D20136" t="s">
        <v>61551</v>
      </c>
      <c r="E20136" t="s">
        <v>61552</v>
      </c>
      <c r="F20136" t="s">
        <v>61553</v>
      </c>
      <c r="I20136" t="s">
        <v>184</v>
      </c>
      <c r="J20136" t="s">
        <v>30</v>
      </c>
      <c r="K20136" t="str">
        <f>"27006"</f>
        <v>27006</v>
      </c>
      <c r="M20136" t="s">
        <v>50621</v>
      </c>
      <c r="N20136" t="str">
        <f>"9/7/2023 11:10:00 AM"</f>
        <v>9/7/2023 11:10:00 AM</v>
      </c>
      <c r="O20136" t="s">
        <v>61551</v>
      </c>
      <c r="T20136" t="s">
        <v>61552</v>
      </c>
    </row>
    <row r="20137" spans="1:20" x14ac:dyDescent="0.25">
      <c r="A20137" t="str">
        <f>"3054283"</f>
        <v>3054283</v>
      </c>
      <c r="B20137" t="s">
        <v>61554</v>
      </c>
      <c r="C20137" t="str">
        <f>"40058750"</f>
        <v>40058750</v>
      </c>
      <c r="D20137" t="s">
        <v>61555</v>
      </c>
      <c r="F20137" t="s">
        <v>61556</v>
      </c>
      <c r="G20137" t="s">
        <v>61557</v>
      </c>
      <c r="I20137" t="s">
        <v>61558</v>
      </c>
      <c r="J20137" t="s">
        <v>35925</v>
      </c>
      <c r="K20137" t="s">
        <v>61559</v>
      </c>
      <c r="M20137" t="s">
        <v>50621</v>
      </c>
      <c r="N20137" t="str">
        <f>"9/7/2023 11:14:00 AM"</f>
        <v>9/7/2023 11:14:00 AM</v>
      </c>
      <c r="O20137" t="s">
        <v>61555</v>
      </c>
    </row>
    <row r="20138" spans="1:20" x14ac:dyDescent="0.25">
      <c r="A20138" t="str">
        <f>"3039879"</f>
        <v>3039879</v>
      </c>
      <c r="B20138" t="s">
        <v>61560</v>
      </c>
      <c r="C20138" t="str">
        <f>"82532129"</f>
        <v>82532129</v>
      </c>
      <c r="D20138" t="s">
        <v>61561</v>
      </c>
      <c r="E20138" t="s">
        <v>61562</v>
      </c>
      <c r="F20138" t="s">
        <v>61563</v>
      </c>
      <c r="I20138" t="s">
        <v>29</v>
      </c>
      <c r="J20138" t="s">
        <v>30</v>
      </c>
      <c r="K20138" t="s">
        <v>31</v>
      </c>
      <c r="M20138" t="s">
        <v>50621</v>
      </c>
      <c r="N20138" t="str">
        <f>"9/7/2023 11:14:00 AM"</f>
        <v>9/7/2023 11:14:00 AM</v>
      </c>
      <c r="O20138" t="s">
        <v>61561</v>
      </c>
      <c r="T20138" t="s">
        <v>61562</v>
      </c>
    </row>
    <row r="20139" spans="1:20" x14ac:dyDescent="0.25">
      <c r="A20139" t="str">
        <f>"3051307"</f>
        <v>3051307</v>
      </c>
      <c r="B20139" t="s">
        <v>61564</v>
      </c>
      <c r="C20139" t="str">
        <f>"8307697"</f>
        <v>8307697</v>
      </c>
      <c r="D20139" t="s">
        <v>61565</v>
      </c>
      <c r="E20139" t="s">
        <v>61566</v>
      </c>
      <c r="F20139" t="s">
        <v>61567</v>
      </c>
      <c r="I20139" t="s">
        <v>29</v>
      </c>
      <c r="J20139" t="s">
        <v>30</v>
      </c>
      <c r="K20139" t="str">
        <f>"27028"</f>
        <v>27028</v>
      </c>
      <c r="M20139" t="s">
        <v>50621</v>
      </c>
      <c r="N20139" t="str">
        <f>"9/7/2023 11:15:00 AM"</f>
        <v>9/7/2023 11:15:00 AM</v>
      </c>
      <c r="O20139" t="s">
        <v>61565</v>
      </c>
      <c r="T20139" t="s">
        <v>61566</v>
      </c>
    </row>
    <row r="20140" spans="1:20" x14ac:dyDescent="0.25">
      <c r="A20140" t="str">
        <f>"3047565"</f>
        <v>3047565</v>
      </c>
      <c r="B20140" t="s">
        <v>61568</v>
      </c>
      <c r="C20140" t="str">
        <f>"29180000"</f>
        <v>29180000</v>
      </c>
      <c r="D20140" t="s">
        <v>61569</v>
      </c>
      <c r="F20140" t="s">
        <v>61570</v>
      </c>
      <c r="I20140" t="s">
        <v>61571</v>
      </c>
      <c r="J20140" t="s">
        <v>1543</v>
      </c>
      <c r="K20140" t="s">
        <v>61572</v>
      </c>
      <c r="M20140" t="s">
        <v>50621</v>
      </c>
      <c r="N20140" t="str">
        <f>"9/7/2023 11:15:00 AM"</f>
        <v>9/7/2023 11:15:00 AM</v>
      </c>
      <c r="O20140" t="s">
        <v>61569</v>
      </c>
    </row>
    <row r="20141" spans="1:20" x14ac:dyDescent="0.25">
      <c r="A20141" t="str">
        <f>"3043492"</f>
        <v>3043492</v>
      </c>
      <c r="B20141" t="s">
        <v>61573</v>
      </c>
      <c r="C20141" t="str">
        <f>"20364500"</f>
        <v>20364500</v>
      </c>
      <c r="D20141" t="s">
        <v>61574</v>
      </c>
      <c r="E20141" t="s">
        <v>61575</v>
      </c>
      <c r="F20141" t="s">
        <v>61576</v>
      </c>
      <c r="I20141" t="s">
        <v>29</v>
      </c>
      <c r="J20141" t="s">
        <v>30</v>
      </c>
      <c r="K20141" t="s">
        <v>31</v>
      </c>
      <c r="M20141" t="s">
        <v>50621</v>
      </c>
      <c r="N20141" t="str">
        <f>"9/7/2023 2:12:00 PM"</f>
        <v>9/7/2023 2:12:00 PM</v>
      </c>
      <c r="O20141" t="s">
        <v>61574</v>
      </c>
      <c r="T20141" t="s">
        <v>61575</v>
      </c>
    </row>
    <row r="20142" spans="1:20" x14ac:dyDescent="0.25">
      <c r="A20142" t="str">
        <f>"3041475"</f>
        <v>3041475</v>
      </c>
      <c r="B20142" t="s">
        <v>61577</v>
      </c>
      <c r="C20142" t="str">
        <f>"8313305"</f>
        <v>8313305</v>
      </c>
      <c r="D20142" t="s">
        <v>61578</v>
      </c>
      <c r="F20142" t="s">
        <v>61579</v>
      </c>
      <c r="I20142" t="s">
        <v>2071</v>
      </c>
      <c r="J20142" t="s">
        <v>30</v>
      </c>
      <c r="K20142" t="s">
        <v>34731</v>
      </c>
      <c r="M20142" t="s">
        <v>50621</v>
      </c>
      <c r="N20142" t="str">
        <f>"9/7/2023 2:14:00 PM"</f>
        <v>9/7/2023 2:14:00 PM</v>
      </c>
      <c r="O20142" t="s">
        <v>61578</v>
      </c>
    </row>
    <row r="20143" spans="1:20" x14ac:dyDescent="0.25">
      <c r="A20143" t="str">
        <f>"3047205"</f>
        <v>3047205</v>
      </c>
      <c r="B20143" t="s">
        <v>61580</v>
      </c>
      <c r="C20143" t="str">
        <f>"8301968"</f>
        <v>8301968</v>
      </c>
      <c r="D20143" t="s">
        <v>61581</v>
      </c>
      <c r="E20143" t="s">
        <v>61582</v>
      </c>
      <c r="F20143" t="s">
        <v>61583</v>
      </c>
      <c r="I20143" t="s">
        <v>29</v>
      </c>
      <c r="J20143" t="s">
        <v>30</v>
      </c>
      <c r="K20143" t="str">
        <f>"27028"</f>
        <v>27028</v>
      </c>
      <c r="M20143" t="s">
        <v>50621</v>
      </c>
      <c r="N20143" t="str">
        <f>"9/7/2023 2:15:00 PM"</f>
        <v>9/7/2023 2:15:00 PM</v>
      </c>
      <c r="O20143" t="s">
        <v>61581</v>
      </c>
      <c r="T20143" t="s">
        <v>61582</v>
      </c>
    </row>
    <row r="20144" spans="1:20" x14ac:dyDescent="0.25">
      <c r="A20144" t="str">
        <f>"3048372"</f>
        <v>3048372</v>
      </c>
      <c r="B20144" t="s">
        <v>61584</v>
      </c>
      <c r="C20144" t="str">
        <f>"8314624"</f>
        <v>8314624</v>
      </c>
      <c r="D20144" t="s">
        <v>61585</v>
      </c>
      <c r="E20144" t="s">
        <v>61586</v>
      </c>
      <c r="F20144" t="s">
        <v>15938</v>
      </c>
      <c r="I20144" t="s">
        <v>9580</v>
      </c>
      <c r="J20144" t="s">
        <v>30</v>
      </c>
      <c r="K20144" t="s">
        <v>15939</v>
      </c>
      <c r="M20144" t="s">
        <v>50621</v>
      </c>
      <c r="N20144" t="str">
        <f>"9/7/2023 2:15:00 PM"</f>
        <v>9/7/2023 2:15:00 PM</v>
      </c>
      <c r="O20144" t="s">
        <v>61585</v>
      </c>
      <c r="T20144" t="s">
        <v>61586</v>
      </c>
    </row>
    <row r="20145" spans="1:20" x14ac:dyDescent="0.25">
      <c r="A20145" t="str">
        <f>"3048581"</f>
        <v>3048581</v>
      </c>
      <c r="B20145" t="s">
        <v>61587</v>
      </c>
      <c r="C20145" t="str">
        <f>"3876000"</f>
        <v>3876000</v>
      </c>
      <c r="D20145" t="s">
        <v>61588</v>
      </c>
      <c r="E20145" t="s">
        <v>61589</v>
      </c>
      <c r="F20145" t="s">
        <v>61590</v>
      </c>
      <c r="I20145" t="s">
        <v>184</v>
      </c>
      <c r="J20145" t="s">
        <v>30</v>
      </c>
      <c r="K20145" t="s">
        <v>27904</v>
      </c>
      <c r="M20145" t="s">
        <v>50621</v>
      </c>
      <c r="N20145" t="str">
        <f>"9/7/2023 2:16:00 PM"</f>
        <v>9/7/2023 2:16:00 PM</v>
      </c>
      <c r="O20145" t="s">
        <v>61588</v>
      </c>
      <c r="T20145" t="s">
        <v>61589</v>
      </c>
    </row>
    <row r="20146" spans="1:20" x14ac:dyDescent="0.25">
      <c r="A20146" t="str">
        <f>"3057355"</f>
        <v>3057355</v>
      </c>
      <c r="B20146" t="s">
        <v>61591</v>
      </c>
      <c r="C20146" t="str">
        <f>"82515941"</f>
        <v>82515941</v>
      </c>
      <c r="D20146" t="s">
        <v>61592</v>
      </c>
      <c r="F20146" t="s">
        <v>42764</v>
      </c>
      <c r="I20146" t="s">
        <v>29</v>
      </c>
      <c r="J20146" t="s">
        <v>30</v>
      </c>
      <c r="K20146" t="s">
        <v>31</v>
      </c>
      <c r="M20146" t="s">
        <v>50621</v>
      </c>
      <c r="N20146" t="str">
        <f>"9/7/2023 2:18:00 PM"</f>
        <v>9/7/2023 2:18:00 PM</v>
      </c>
      <c r="O20146" t="s">
        <v>61592</v>
      </c>
    </row>
    <row r="20147" spans="1:20" x14ac:dyDescent="0.25">
      <c r="A20147" t="str">
        <f>"3069289"</f>
        <v>3069289</v>
      </c>
      <c r="B20147" t="s">
        <v>61593</v>
      </c>
      <c r="C20147" t="str">
        <f>"82515941"</f>
        <v>82515941</v>
      </c>
      <c r="D20147" t="s">
        <v>61592</v>
      </c>
      <c r="F20147" t="s">
        <v>42764</v>
      </c>
      <c r="I20147" t="s">
        <v>29</v>
      </c>
      <c r="J20147" t="s">
        <v>30</v>
      </c>
      <c r="K20147" t="s">
        <v>31</v>
      </c>
      <c r="M20147" t="s">
        <v>50621</v>
      </c>
      <c r="N20147" t="str">
        <f>"9/7/2023 2:18:00 PM"</f>
        <v>9/7/2023 2:18:00 PM</v>
      </c>
      <c r="O20147" t="s">
        <v>61592</v>
      </c>
    </row>
    <row r="20148" spans="1:20" x14ac:dyDescent="0.25">
      <c r="A20148" t="str">
        <f>"3069287"</f>
        <v>3069287</v>
      </c>
      <c r="B20148" t="s">
        <v>61594</v>
      </c>
      <c r="C20148" t="str">
        <f>"82515941"</f>
        <v>82515941</v>
      </c>
      <c r="D20148" t="s">
        <v>61592</v>
      </c>
      <c r="F20148" t="s">
        <v>42764</v>
      </c>
      <c r="I20148" t="s">
        <v>29</v>
      </c>
      <c r="J20148" t="s">
        <v>30</v>
      </c>
      <c r="K20148" t="s">
        <v>31</v>
      </c>
      <c r="M20148" t="s">
        <v>50621</v>
      </c>
      <c r="N20148" t="str">
        <f>"9/7/2023 2:18:00 PM"</f>
        <v>9/7/2023 2:18:00 PM</v>
      </c>
      <c r="O20148" t="s">
        <v>61592</v>
      </c>
    </row>
    <row r="20149" spans="1:20" x14ac:dyDescent="0.25">
      <c r="A20149" t="str">
        <f>"3069288"</f>
        <v>3069288</v>
      </c>
      <c r="B20149" t="s">
        <v>61595</v>
      </c>
      <c r="C20149" t="str">
        <f>"82515941"</f>
        <v>82515941</v>
      </c>
      <c r="D20149" t="s">
        <v>61592</v>
      </c>
      <c r="F20149" t="s">
        <v>42764</v>
      </c>
      <c r="I20149" t="s">
        <v>29</v>
      </c>
      <c r="J20149" t="s">
        <v>30</v>
      </c>
      <c r="K20149" t="s">
        <v>31</v>
      </c>
      <c r="M20149" t="s">
        <v>50621</v>
      </c>
      <c r="N20149" t="str">
        <f>"9/7/2023 2:18:00 PM"</f>
        <v>9/7/2023 2:18:00 PM</v>
      </c>
      <c r="O20149" t="s">
        <v>61592</v>
      </c>
    </row>
    <row r="20150" spans="1:20" x14ac:dyDescent="0.25">
      <c r="A20150" t="str">
        <f>"3078776"</f>
        <v>3078776</v>
      </c>
      <c r="B20150" t="s">
        <v>61596</v>
      </c>
      <c r="C20150" t="str">
        <f>"33102000"</f>
        <v>33102000</v>
      </c>
      <c r="D20150" t="s">
        <v>61597</v>
      </c>
      <c r="E20150" t="s">
        <v>61598</v>
      </c>
      <c r="F20150" t="s">
        <v>46432</v>
      </c>
      <c r="I20150" t="s">
        <v>29</v>
      </c>
      <c r="J20150" t="s">
        <v>30</v>
      </c>
      <c r="K20150" t="s">
        <v>13347</v>
      </c>
      <c r="M20150" t="s">
        <v>50621</v>
      </c>
      <c r="N20150" t="str">
        <f>"9/7/2023 2:19:00 PM"</f>
        <v>9/7/2023 2:19:00 PM</v>
      </c>
      <c r="O20150" t="s">
        <v>61597</v>
      </c>
      <c r="T20150" t="s">
        <v>61598</v>
      </c>
    </row>
    <row r="20151" spans="1:20" x14ac:dyDescent="0.25">
      <c r="A20151" t="str">
        <f>"3053077"</f>
        <v>3053077</v>
      </c>
      <c r="B20151" t="s">
        <v>61599</v>
      </c>
      <c r="C20151" t="str">
        <f>"33102000"</f>
        <v>33102000</v>
      </c>
      <c r="D20151" t="s">
        <v>61597</v>
      </c>
      <c r="E20151" t="s">
        <v>61598</v>
      </c>
      <c r="F20151" t="s">
        <v>46432</v>
      </c>
      <c r="I20151" t="s">
        <v>29</v>
      </c>
      <c r="J20151" t="s">
        <v>30</v>
      </c>
      <c r="K20151" t="s">
        <v>13347</v>
      </c>
      <c r="M20151" t="s">
        <v>50621</v>
      </c>
      <c r="N20151" t="str">
        <f>"9/7/2023 2:19:00 PM"</f>
        <v>9/7/2023 2:19:00 PM</v>
      </c>
      <c r="O20151" t="s">
        <v>61597</v>
      </c>
      <c r="T20151" t="s">
        <v>61598</v>
      </c>
    </row>
    <row r="20152" spans="1:20" x14ac:dyDescent="0.25">
      <c r="A20152" t="str">
        <f>"3053095"</f>
        <v>3053095</v>
      </c>
      <c r="B20152" t="s">
        <v>61600</v>
      </c>
      <c r="C20152" t="str">
        <f>"33102000"</f>
        <v>33102000</v>
      </c>
      <c r="D20152" t="s">
        <v>61597</v>
      </c>
      <c r="E20152" t="s">
        <v>61598</v>
      </c>
      <c r="F20152" t="s">
        <v>46432</v>
      </c>
      <c r="I20152" t="s">
        <v>29</v>
      </c>
      <c r="J20152" t="s">
        <v>30</v>
      </c>
      <c r="K20152" t="s">
        <v>13347</v>
      </c>
      <c r="M20152" t="s">
        <v>50621</v>
      </c>
      <c r="N20152" t="str">
        <f>"9/7/2023 2:19:00 PM"</f>
        <v>9/7/2023 2:19:00 PM</v>
      </c>
      <c r="O20152" t="s">
        <v>61597</v>
      </c>
      <c r="T20152" t="s">
        <v>61598</v>
      </c>
    </row>
    <row r="20153" spans="1:20" x14ac:dyDescent="0.25">
      <c r="A20153" t="str">
        <f>"3053033"</f>
        <v>3053033</v>
      </c>
      <c r="B20153" t="s">
        <v>61601</v>
      </c>
      <c r="C20153" t="str">
        <f>"33102000"</f>
        <v>33102000</v>
      </c>
      <c r="D20153" t="s">
        <v>61597</v>
      </c>
      <c r="E20153" t="s">
        <v>61598</v>
      </c>
      <c r="F20153" t="s">
        <v>46432</v>
      </c>
      <c r="I20153" t="s">
        <v>29</v>
      </c>
      <c r="J20153" t="s">
        <v>30</v>
      </c>
      <c r="K20153" t="s">
        <v>13347</v>
      </c>
      <c r="M20153" t="s">
        <v>50621</v>
      </c>
      <c r="N20153" t="str">
        <f>"9/7/2023 2:19:00 PM"</f>
        <v>9/7/2023 2:19:00 PM</v>
      </c>
      <c r="O20153" t="s">
        <v>61597</v>
      </c>
      <c r="T20153" t="s">
        <v>61598</v>
      </c>
    </row>
    <row r="20154" spans="1:20" x14ac:dyDescent="0.25">
      <c r="A20154" t="str">
        <f>"3037211"</f>
        <v>3037211</v>
      </c>
      <c r="B20154" t="s">
        <v>61602</v>
      </c>
      <c r="C20154" t="str">
        <f>"8313048"</f>
        <v>8313048</v>
      </c>
      <c r="D20154" t="s">
        <v>61603</v>
      </c>
      <c r="E20154" t="s">
        <v>61604</v>
      </c>
      <c r="F20154" t="s">
        <v>34337</v>
      </c>
      <c r="I20154" t="s">
        <v>184</v>
      </c>
      <c r="J20154" t="s">
        <v>30</v>
      </c>
      <c r="K20154" t="s">
        <v>34338</v>
      </c>
      <c r="M20154" t="s">
        <v>50621</v>
      </c>
      <c r="N20154" t="str">
        <f>"9/7/2023 2:19:00 PM"</f>
        <v>9/7/2023 2:19:00 PM</v>
      </c>
      <c r="O20154" t="s">
        <v>61603</v>
      </c>
      <c r="T20154" t="s">
        <v>61604</v>
      </c>
    </row>
    <row r="20155" spans="1:20" x14ac:dyDescent="0.25">
      <c r="A20155" t="str">
        <f>"3055573"</f>
        <v>3055573</v>
      </c>
      <c r="B20155" t="s">
        <v>61605</v>
      </c>
      <c r="C20155" t="str">
        <f>"19156000"</f>
        <v>19156000</v>
      </c>
      <c r="D20155" t="s">
        <v>61606</v>
      </c>
      <c r="E20155" t="s">
        <v>61607</v>
      </c>
      <c r="F20155" t="s">
        <v>61608</v>
      </c>
      <c r="I20155" t="s">
        <v>29</v>
      </c>
      <c r="J20155" t="s">
        <v>30</v>
      </c>
      <c r="K20155" t="s">
        <v>61609</v>
      </c>
      <c r="M20155" t="s">
        <v>50621</v>
      </c>
      <c r="N20155" t="str">
        <f>"9/7/2023 2:20:00 PM"</f>
        <v>9/7/2023 2:20:00 PM</v>
      </c>
      <c r="O20155" t="s">
        <v>61606</v>
      </c>
      <c r="T20155" t="s">
        <v>61607</v>
      </c>
    </row>
    <row r="20156" spans="1:20" x14ac:dyDescent="0.25">
      <c r="A20156" t="str">
        <f>"3054909"</f>
        <v>3054909</v>
      </c>
      <c r="B20156" t="s">
        <v>61610</v>
      </c>
      <c r="C20156" t="str">
        <f>"19156000"</f>
        <v>19156000</v>
      </c>
      <c r="D20156" t="s">
        <v>61606</v>
      </c>
      <c r="E20156" t="s">
        <v>61607</v>
      </c>
      <c r="F20156" t="s">
        <v>61608</v>
      </c>
      <c r="I20156" t="s">
        <v>29</v>
      </c>
      <c r="J20156" t="s">
        <v>30</v>
      </c>
      <c r="K20156" t="s">
        <v>61609</v>
      </c>
      <c r="M20156" t="s">
        <v>50621</v>
      </c>
      <c r="N20156" t="str">
        <f>"9/7/2023 2:20:00 PM"</f>
        <v>9/7/2023 2:20:00 PM</v>
      </c>
      <c r="O20156" t="s">
        <v>61606</v>
      </c>
      <c r="T20156" t="s">
        <v>61607</v>
      </c>
    </row>
    <row r="20157" spans="1:20" x14ac:dyDescent="0.25">
      <c r="A20157" t="str">
        <f>"3049554"</f>
        <v>3049554</v>
      </c>
      <c r="B20157" t="s">
        <v>61611</v>
      </c>
      <c r="C20157" t="str">
        <f>"82523439"</f>
        <v>82523439</v>
      </c>
      <c r="D20157" t="s">
        <v>61612</v>
      </c>
      <c r="F20157" t="s">
        <v>21313</v>
      </c>
      <c r="I20157" t="s">
        <v>402</v>
      </c>
      <c r="J20157" t="s">
        <v>30</v>
      </c>
      <c r="K20157" t="s">
        <v>55219</v>
      </c>
      <c r="M20157" t="s">
        <v>50793</v>
      </c>
      <c r="N20157" t="str">
        <f>"9/8/2023 9:41:00 AM"</f>
        <v>9/8/2023 9:41:00 AM</v>
      </c>
      <c r="O20157" t="s">
        <v>61612</v>
      </c>
    </row>
    <row r="20158" spans="1:20" x14ac:dyDescent="0.25">
      <c r="A20158" t="str">
        <f>"3059573"</f>
        <v>3059573</v>
      </c>
      <c r="B20158" t="s">
        <v>61613</v>
      </c>
      <c r="C20158" t="str">
        <f>"8302767"</f>
        <v>8302767</v>
      </c>
      <c r="D20158" t="s">
        <v>61614</v>
      </c>
      <c r="E20158" t="str">
        <f>"C/O AMERASIA ENTERPRISE"</f>
        <v>C/O AMERASIA ENTERPRISE</v>
      </c>
      <c r="F20158" t="s">
        <v>61615</v>
      </c>
      <c r="I20158" t="s">
        <v>29</v>
      </c>
      <c r="J20158" t="s">
        <v>30</v>
      </c>
      <c r="K20158" t="s">
        <v>61266</v>
      </c>
      <c r="M20158" t="s">
        <v>50621</v>
      </c>
      <c r="N20158" t="str">
        <f>"9/11/2023 9:56:00 AM"</f>
        <v>9/11/2023 9:56:00 AM</v>
      </c>
      <c r="O20158" t="s">
        <v>61614</v>
      </c>
      <c r="T20158" t="str">
        <f>"C/O AMERASIA ENTERPRISE"</f>
        <v>C/O AMERASIA ENTERPRISE</v>
      </c>
    </row>
    <row r="20159" spans="1:20" x14ac:dyDescent="0.25">
      <c r="A20159" t="str">
        <f>"3042770"</f>
        <v>3042770</v>
      </c>
      <c r="B20159" t="s">
        <v>61616</v>
      </c>
      <c r="C20159" t="str">
        <f>"82517609"</f>
        <v>82517609</v>
      </c>
      <c r="D20159" t="s">
        <v>61617</v>
      </c>
      <c r="F20159" t="s">
        <v>37039</v>
      </c>
      <c r="I20159" t="s">
        <v>29</v>
      </c>
      <c r="J20159" t="s">
        <v>30</v>
      </c>
      <c r="K20159" t="str">
        <f>"27028"</f>
        <v>27028</v>
      </c>
      <c r="M20159" t="s">
        <v>50621</v>
      </c>
      <c r="N20159" t="str">
        <f>"9/7/2023 11:21:00 AM"</f>
        <v>9/7/2023 11:21:00 AM</v>
      </c>
      <c r="O20159" t="s">
        <v>61617</v>
      </c>
    </row>
    <row r="20160" spans="1:20" x14ac:dyDescent="0.25">
      <c r="A20160" t="str">
        <f>"3053829"</f>
        <v>3053829</v>
      </c>
      <c r="B20160" t="s">
        <v>61618</v>
      </c>
      <c r="C20160" t="str">
        <f>"8317649"</f>
        <v>8317649</v>
      </c>
      <c r="D20160" t="s">
        <v>61619</v>
      </c>
      <c r="E20160" t="s">
        <v>61620</v>
      </c>
      <c r="F20160" t="s">
        <v>61621</v>
      </c>
      <c r="I20160" t="s">
        <v>29</v>
      </c>
      <c r="J20160" t="s">
        <v>30</v>
      </c>
      <c r="K20160" t="s">
        <v>49960</v>
      </c>
      <c r="M20160" t="s">
        <v>50621</v>
      </c>
      <c r="N20160" t="str">
        <f>"9/7/2023 11:04:00 AM"</f>
        <v>9/7/2023 11:04:00 AM</v>
      </c>
      <c r="O20160" t="s">
        <v>61619</v>
      </c>
      <c r="T20160" t="s">
        <v>61620</v>
      </c>
    </row>
    <row r="20161" spans="1:20" x14ac:dyDescent="0.25">
      <c r="A20161" t="str">
        <f>"3069530"</f>
        <v>3069530</v>
      </c>
      <c r="B20161" t="s">
        <v>61622</v>
      </c>
      <c r="C20161" t="str">
        <f>"34628000"</f>
        <v>34628000</v>
      </c>
      <c r="D20161" t="s">
        <v>61623</v>
      </c>
      <c r="F20161" t="s">
        <v>61624</v>
      </c>
      <c r="I20161" t="s">
        <v>29</v>
      </c>
      <c r="J20161" t="s">
        <v>30</v>
      </c>
      <c r="K20161" t="s">
        <v>31</v>
      </c>
      <c r="M20161" t="s">
        <v>50621</v>
      </c>
      <c r="N20161" t="str">
        <f>"9/7/2023 11:04:00 AM"</f>
        <v>9/7/2023 11:04:00 AM</v>
      </c>
      <c r="O20161" t="s">
        <v>61623</v>
      </c>
    </row>
    <row r="20162" spans="1:20" x14ac:dyDescent="0.25">
      <c r="A20162" t="str">
        <f>"3046579"</f>
        <v>3046579</v>
      </c>
      <c r="B20162" t="s">
        <v>61625</v>
      </c>
      <c r="C20162" t="str">
        <f>"17810000"</f>
        <v>17810000</v>
      </c>
      <c r="D20162" t="s">
        <v>61626</v>
      </c>
      <c r="F20162" t="s">
        <v>61627</v>
      </c>
      <c r="I20162" t="s">
        <v>184</v>
      </c>
      <c r="J20162" t="s">
        <v>30</v>
      </c>
      <c r="K20162" t="s">
        <v>52991</v>
      </c>
      <c r="M20162" t="s">
        <v>50621</v>
      </c>
      <c r="N20162" t="str">
        <f>"9/7/2023 11:04:00 AM"</f>
        <v>9/7/2023 11:04:00 AM</v>
      </c>
      <c r="O20162" t="s">
        <v>61626</v>
      </c>
    </row>
    <row r="20163" spans="1:20" x14ac:dyDescent="0.25">
      <c r="A20163" t="str">
        <f>"3043266"</f>
        <v>3043266</v>
      </c>
      <c r="B20163" t="s">
        <v>61628</v>
      </c>
      <c r="C20163" t="str">
        <f>"8300189"</f>
        <v>8300189</v>
      </c>
      <c r="D20163" t="s">
        <v>61629</v>
      </c>
      <c r="F20163" t="s">
        <v>29256</v>
      </c>
      <c r="I20163" t="s">
        <v>184</v>
      </c>
      <c r="J20163" t="s">
        <v>30</v>
      </c>
      <c r="K20163" t="s">
        <v>185</v>
      </c>
      <c r="M20163" t="s">
        <v>50621</v>
      </c>
      <c r="N20163" t="str">
        <f>"9/7/2023 11:05:00 AM"</f>
        <v>9/7/2023 11:05:00 AM</v>
      </c>
      <c r="O20163" t="s">
        <v>61629</v>
      </c>
    </row>
    <row r="20164" spans="1:20" x14ac:dyDescent="0.25">
      <c r="A20164" t="str">
        <f>"3061261"</f>
        <v>3061261</v>
      </c>
      <c r="B20164" t="s">
        <v>61630</v>
      </c>
      <c r="C20164" t="str">
        <f>"8309751"</f>
        <v>8309751</v>
      </c>
      <c r="D20164" t="s">
        <v>61631</v>
      </c>
      <c r="E20164" t="s">
        <v>61632</v>
      </c>
      <c r="F20164" t="s">
        <v>61633</v>
      </c>
      <c r="I20164" t="s">
        <v>2071</v>
      </c>
      <c r="J20164" t="s">
        <v>30</v>
      </c>
      <c r="K20164" t="str">
        <f>"27006"</f>
        <v>27006</v>
      </c>
      <c r="M20164" t="s">
        <v>50621</v>
      </c>
      <c r="N20164" t="str">
        <f>"9/7/2023 11:23:00 AM"</f>
        <v>9/7/2023 11:23:00 AM</v>
      </c>
      <c r="O20164" t="s">
        <v>61631</v>
      </c>
      <c r="T20164" t="s">
        <v>61632</v>
      </c>
    </row>
    <row r="20165" spans="1:20" x14ac:dyDescent="0.25">
      <c r="A20165" t="str">
        <f>"3060752"</f>
        <v>3060752</v>
      </c>
      <c r="B20165" t="s">
        <v>61634</v>
      </c>
      <c r="C20165" t="str">
        <f>"3917700"</f>
        <v>3917700</v>
      </c>
      <c r="D20165" t="s">
        <v>61635</v>
      </c>
      <c r="E20165" t="s">
        <v>61636</v>
      </c>
      <c r="F20165" t="s">
        <v>61637</v>
      </c>
      <c r="I20165" t="s">
        <v>184</v>
      </c>
      <c r="J20165" t="s">
        <v>30</v>
      </c>
      <c r="K20165" t="s">
        <v>5041</v>
      </c>
      <c r="M20165" t="s">
        <v>50621</v>
      </c>
      <c r="N20165" t="str">
        <f>"9/7/2023 11:27:00 AM"</f>
        <v>9/7/2023 11:27:00 AM</v>
      </c>
      <c r="O20165" t="s">
        <v>61635</v>
      </c>
      <c r="T20165" t="s">
        <v>61636</v>
      </c>
    </row>
    <row r="20166" spans="1:20" x14ac:dyDescent="0.25">
      <c r="A20166" t="str">
        <f>"3041750"</f>
        <v>3041750</v>
      </c>
      <c r="B20166" t="s">
        <v>61638</v>
      </c>
      <c r="C20166" t="str">
        <f>"82517701"</f>
        <v>82517701</v>
      </c>
      <c r="D20166" t="s">
        <v>61639</v>
      </c>
      <c r="E20166" t="s">
        <v>61640</v>
      </c>
      <c r="F20166" t="s">
        <v>61641</v>
      </c>
      <c r="I20166" t="s">
        <v>2071</v>
      </c>
      <c r="J20166" t="s">
        <v>30</v>
      </c>
      <c r="K20166" t="s">
        <v>185</v>
      </c>
      <c r="M20166" t="s">
        <v>50621</v>
      </c>
      <c r="N20166" t="str">
        <f>"9/7/2023 1:16:00 PM"</f>
        <v>9/7/2023 1:16:00 PM</v>
      </c>
      <c r="O20166" t="s">
        <v>61639</v>
      </c>
      <c r="T20166" t="s">
        <v>61640</v>
      </c>
    </row>
    <row r="20167" spans="1:20" x14ac:dyDescent="0.25">
      <c r="A20167" t="str">
        <f>"3043267"</f>
        <v>3043267</v>
      </c>
      <c r="B20167" t="s">
        <v>61642</v>
      </c>
      <c r="C20167" t="str">
        <f>"8300189"</f>
        <v>8300189</v>
      </c>
      <c r="D20167" t="s">
        <v>61629</v>
      </c>
      <c r="F20167" t="s">
        <v>29256</v>
      </c>
      <c r="I20167" t="s">
        <v>184</v>
      </c>
      <c r="J20167" t="s">
        <v>30</v>
      </c>
      <c r="K20167" t="s">
        <v>185</v>
      </c>
      <c r="M20167" t="s">
        <v>50621</v>
      </c>
      <c r="N20167" t="str">
        <f>"9/7/2023 11:05:00 AM"</f>
        <v>9/7/2023 11:05:00 AM</v>
      </c>
      <c r="O20167" t="s">
        <v>61629</v>
      </c>
    </row>
    <row r="20168" spans="1:20" x14ac:dyDescent="0.25">
      <c r="A20168" t="str">
        <f>"3041662"</f>
        <v>3041662</v>
      </c>
      <c r="B20168" t="s">
        <v>61643</v>
      </c>
      <c r="C20168" t="str">
        <f>"62286250"</f>
        <v>62286250</v>
      </c>
      <c r="D20168" t="s">
        <v>61644</v>
      </c>
      <c r="E20168" t="s">
        <v>61645</v>
      </c>
      <c r="F20168" t="s">
        <v>61646</v>
      </c>
      <c r="I20168" t="s">
        <v>2071</v>
      </c>
      <c r="J20168" t="s">
        <v>30</v>
      </c>
      <c r="K20168" t="s">
        <v>185</v>
      </c>
      <c r="M20168" t="s">
        <v>50621</v>
      </c>
      <c r="N20168" t="str">
        <f>"9/7/2023 1:43:00 PM"</f>
        <v>9/7/2023 1:43:00 PM</v>
      </c>
      <c r="O20168" t="s">
        <v>61644</v>
      </c>
      <c r="T20168" t="s">
        <v>61645</v>
      </c>
    </row>
    <row r="20169" spans="1:20" x14ac:dyDescent="0.25">
      <c r="A20169" t="str">
        <f>"3060998"</f>
        <v>3060998</v>
      </c>
      <c r="B20169" t="s">
        <v>61647</v>
      </c>
      <c r="C20169" t="str">
        <f>"8314496"</f>
        <v>8314496</v>
      </c>
      <c r="D20169" t="s">
        <v>61648</v>
      </c>
      <c r="F20169" t="s">
        <v>61649</v>
      </c>
      <c r="I20169" t="s">
        <v>2071</v>
      </c>
      <c r="J20169" t="s">
        <v>30</v>
      </c>
      <c r="K20169" t="s">
        <v>34629</v>
      </c>
      <c r="M20169" t="s">
        <v>50621</v>
      </c>
      <c r="N20169" t="str">
        <f>"9/7/2023 2:06:00 PM"</f>
        <v>9/7/2023 2:06:00 PM</v>
      </c>
      <c r="O20169" t="s">
        <v>61648</v>
      </c>
    </row>
    <row r="20170" spans="1:20" x14ac:dyDescent="0.25">
      <c r="A20170" t="str">
        <f>"3041111"</f>
        <v>3041111</v>
      </c>
      <c r="B20170" t="s">
        <v>61650</v>
      </c>
      <c r="C20170" t="str">
        <f>"8314842"</f>
        <v>8314842</v>
      </c>
      <c r="D20170" t="s">
        <v>61651</v>
      </c>
      <c r="F20170" t="s">
        <v>41120</v>
      </c>
      <c r="I20170" t="s">
        <v>471</v>
      </c>
      <c r="J20170" t="s">
        <v>30</v>
      </c>
      <c r="K20170" t="s">
        <v>41121</v>
      </c>
      <c r="M20170" t="s">
        <v>50621</v>
      </c>
      <c r="N20170" t="str">
        <f>"9/7/2023 2:08:00 PM"</f>
        <v>9/7/2023 2:08:00 PM</v>
      </c>
      <c r="O20170" t="s">
        <v>61651</v>
      </c>
    </row>
    <row r="20171" spans="1:20" x14ac:dyDescent="0.25">
      <c r="A20171" t="str">
        <f>"3055553"</f>
        <v>3055553</v>
      </c>
      <c r="B20171" t="s">
        <v>61652</v>
      </c>
      <c r="C20171" t="str">
        <f>"82524425"</f>
        <v>82524425</v>
      </c>
      <c r="D20171" t="s">
        <v>61653</v>
      </c>
      <c r="E20171" t="s">
        <v>61654</v>
      </c>
      <c r="F20171" t="s">
        <v>61655</v>
      </c>
      <c r="I20171" t="s">
        <v>29</v>
      </c>
      <c r="J20171" t="s">
        <v>30</v>
      </c>
      <c r="K20171" t="s">
        <v>31</v>
      </c>
      <c r="M20171" t="s">
        <v>50621</v>
      </c>
      <c r="N20171" t="str">
        <f>"9/7/2023 2:08:00 PM"</f>
        <v>9/7/2023 2:08:00 PM</v>
      </c>
      <c r="O20171" t="s">
        <v>61653</v>
      </c>
      <c r="T20171" t="s">
        <v>61654</v>
      </c>
    </row>
    <row r="20172" spans="1:20" x14ac:dyDescent="0.25">
      <c r="A20172" t="str">
        <f>"3060899"</f>
        <v>3060899</v>
      </c>
      <c r="B20172" t="s">
        <v>61656</v>
      </c>
      <c r="C20172" t="str">
        <f>"8316974"</f>
        <v>8316974</v>
      </c>
      <c r="D20172" t="s">
        <v>61657</v>
      </c>
      <c r="E20172" t="s">
        <v>61658</v>
      </c>
      <c r="F20172" t="s">
        <v>61659</v>
      </c>
      <c r="I20172" t="s">
        <v>2071</v>
      </c>
      <c r="J20172" t="s">
        <v>30</v>
      </c>
      <c r="K20172" t="s">
        <v>23610</v>
      </c>
      <c r="M20172" t="s">
        <v>50621</v>
      </c>
      <c r="N20172" t="str">
        <f>"9/7/2023 2:09:00 PM"</f>
        <v>9/7/2023 2:09:00 PM</v>
      </c>
      <c r="O20172" t="s">
        <v>61657</v>
      </c>
      <c r="T20172" t="s">
        <v>61658</v>
      </c>
    </row>
    <row r="20173" spans="1:20" x14ac:dyDescent="0.25">
      <c r="A20173" t="str">
        <f>"3062604"</f>
        <v>3062604</v>
      </c>
      <c r="B20173" t="s">
        <v>61660</v>
      </c>
      <c r="C20173" t="str">
        <f>"82513228"</f>
        <v>82513228</v>
      </c>
      <c r="D20173" t="s">
        <v>61661</v>
      </c>
      <c r="F20173" t="s">
        <v>61662</v>
      </c>
      <c r="I20173" t="s">
        <v>184</v>
      </c>
      <c r="J20173" t="s">
        <v>30</v>
      </c>
      <c r="K20173" t="s">
        <v>185</v>
      </c>
      <c r="M20173" t="s">
        <v>50621</v>
      </c>
      <c r="N20173" t="str">
        <f>"9/7/2023 2:10:00 PM"</f>
        <v>9/7/2023 2:10:00 PM</v>
      </c>
      <c r="O20173" t="s">
        <v>61661</v>
      </c>
    </row>
    <row r="20174" spans="1:20" x14ac:dyDescent="0.25">
      <c r="A20174" t="str">
        <f>"3060615"</f>
        <v>3060615</v>
      </c>
      <c r="B20174" t="s">
        <v>61663</v>
      </c>
      <c r="C20174" t="str">
        <f>"82524270"</f>
        <v>82524270</v>
      </c>
      <c r="D20174" t="s">
        <v>61664</v>
      </c>
      <c r="E20174" t="s">
        <v>61665</v>
      </c>
      <c r="F20174" t="s">
        <v>61666</v>
      </c>
      <c r="I20174" t="s">
        <v>2071</v>
      </c>
      <c r="J20174" t="s">
        <v>30</v>
      </c>
      <c r="K20174" t="s">
        <v>6459</v>
      </c>
      <c r="M20174" t="s">
        <v>50621</v>
      </c>
      <c r="N20174" t="str">
        <f>"9/7/2023 2:10:00 PM"</f>
        <v>9/7/2023 2:10:00 PM</v>
      </c>
      <c r="O20174" t="s">
        <v>61664</v>
      </c>
      <c r="T20174" t="s">
        <v>61665</v>
      </c>
    </row>
    <row r="20175" spans="1:20" x14ac:dyDescent="0.25">
      <c r="A20175" t="str">
        <f>"3053993"</f>
        <v>3053993</v>
      </c>
      <c r="B20175" t="s">
        <v>61667</v>
      </c>
      <c r="C20175" t="str">
        <f>"9319000"</f>
        <v>9319000</v>
      </c>
      <c r="D20175" t="s">
        <v>61668</v>
      </c>
      <c r="F20175" t="s">
        <v>61669</v>
      </c>
      <c r="I20175" t="s">
        <v>2071</v>
      </c>
      <c r="J20175" t="s">
        <v>30</v>
      </c>
      <c r="K20175" t="s">
        <v>185</v>
      </c>
      <c r="M20175" t="s">
        <v>50621</v>
      </c>
      <c r="N20175" t="str">
        <f>"9/7/2023 2:10:00 PM"</f>
        <v>9/7/2023 2:10:00 PM</v>
      </c>
      <c r="O20175" t="s">
        <v>61668</v>
      </c>
    </row>
    <row r="20176" spans="1:20" x14ac:dyDescent="0.25">
      <c r="A20176" t="str">
        <f>"3041799"</f>
        <v>3041799</v>
      </c>
      <c r="B20176" t="s">
        <v>61670</v>
      </c>
      <c r="C20176" t="str">
        <f>"9319000"</f>
        <v>9319000</v>
      </c>
      <c r="D20176" t="s">
        <v>61668</v>
      </c>
      <c r="F20176" t="s">
        <v>61669</v>
      </c>
      <c r="I20176" t="s">
        <v>2071</v>
      </c>
      <c r="J20176" t="s">
        <v>30</v>
      </c>
      <c r="K20176" t="s">
        <v>185</v>
      </c>
      <c r="M20176" t="s">
        <v>50621</v>
      </c>
      <c r="N20176" t="str">
        <f>"9/7/2023 2:10:00 PM"</f>
        <v>9/7/2023 2:10:00 PM</v>
      </c>
      <c r="O20176" t="s">
        <v>61668</v>
      </c>
    </row>
    <row r="20177" spans="1:20" x14ac:dyDescent="0.25">
      <c r="A20177" t="str">
        <f>"3056415"</f>
        <v>3056415</v>
      </c>
      <c r="B20177" t="s">
        <v>61671</v>
      </c>
      <c r="C20177" t="str">
        <f>"82519657"</f>
        <v>82519657</v>
      </c>
      <c r="D20177" t="s">
        <v>61672</v>
      </c>
      <c r="F20177" t="s">
        <v>61673</v>
      </c>
      <c r="I20177" t="s">
        <v>39980</v>
      </c>
      <c r="J20177" t="s">
        <v>30</v>
      </c>
      <c r="K20177" t="s">
        <v>61674</v>
      </c>
      <c r="M20177" t="s">
        <v>50793</v>
      </c>
      <c r="N20177" t="str">
        <f>"9/11/2023 10:15:00 AM"</f>
        <v>9/11/2023 10:15:00 AM</v>
      </c>
      <c r="O20177" t="s">
        <v>61672</v>
      </c>
    </row>
    <row r="20178" spans="1:20" x14ac:dyDescent="0.25">
      <c r="A20178" t="str">
        <f>"3044964"</f>
        <v>3044964</v>
      </c>
      <c r="B20178" t="s">
        <v>61675</v>
      </c>
      <c r="C20178" t="str">
        <f>"8320958"</f>
        <v>8320958</v>
      </c>
      <c r="D20178" t="s">
        <v>61676</v>
      </c>
      <c r="F20178" t="s">
        <v>61677</v>
      </c>
      <c r="I20178" t="s">
        <v>1149</v>
      </c>
      <c r="J20178" t="s">
        <v>30</v>
      </c>
      <c r="K20178" t="s">
        <v>6577</v>
      </c>
      <c r="M20178" t="s">
        <v>50500</v>
      </c>
      <c r="N20178" t="str">
        <f>"9/12/2023 10:24:00 AM"</f>
        <v>9/12/2023 10:24:00 AM</v>
      </c>
      <c r="O20178" t="s">
        <v>61676</v>
      </c>
    </row>
    <row r="20179" spans="1:20" x14ac:dyDescent="0.25">
      <c r="A20179" t="str">
        <f>"3044622"</f>
        <v>3044622</v>
      </c>
      <c r="B20179" t="s">
        <v>61678</v>
      </c>
      <c r="C20179" t="str">
        <f>"8320959"</f>
        <v>8320959</v>
      </c>
      <c r="D20179" t="s">
        <v>61679</v>
      </c>
      <c r="F20179" t="s">
        <v>61680</v>
      </c>
      <c r="I20179" t="s">
        <v>184</v>
      </c>
      <c r="J20179" t="s">
        <v>30</v>
      </c>
      <c r="K20179" t="s">
        <v>6274</v>
      </c>
      <c r="M20179" t="s">
        <v>50500</v>
      </c>
      <c r="N20179" t="str">
        <f>"9/12/2023 10:45:00 AM"</f>
        <v>9/12/2023 10:45:00 AM</v>
      </c>
      <c r="O20179" t="s">
        <v>61679</v>
      </c>
    </row>
    <row r="20180" spans="1:20" x14ac:dyDescent="0.25">
      <c r="A20180" t="str">
        <f>"3061100"</f>
        <v>3061100</v>
      </c>
      <c r="B20180" t="s">
        <v>61681</v>
      </c>
      <c r="C20180" t="str">
        <f>"36350500"</f>
        <v>36350500</v>
      </c>
      <c r="D20180" t="s">
        <v>61682</v>
      </c>
      <c r="E20180" t="s">
        <v>61683</v>
      </c>
      <c r="F20180" t="s">
        <v>61684</v>
      </c>
      <c r="I20180" t="s">
        <v>184</v>
      </c>
      <c r="J20180" t="s">
        <v>30</v>
      </c>
      <c r="K20180" t="s">
        <v>185</v>
      </c>
      <c r="M20180" t="s">
        <v>50621</v>
      </c>
      <c r="N20180" t="str">
        <f>"9/7/2023 1:20:00 PM"</f>
        <v>9/7/2023 1:20:00 PM</v>
      </c>
      <c r="O20180" t="s">
        <v>61682</v>
      </c>
      <c r="T20180" t="s">
        <v>61683</v>
      </c>
    </row>
    <row r="20181" spans="1:20" x14ac:dyDescent="0.25">
      <c r="A20181" t="str">
        <f>"3059097"</f>
        <v>3059097</v>
      </c>
      <c r="B20181" t="s">
        <v>61685</v>
      </c>
      <c r="C20181" t="str">
        <f>"8317270"</f>
        <v>8317270</v>
      </c>
      <c r="D20181" t="s">
        <v>61686</v>
      </c>
      <c r="F20181" t="s">
        <v>61687</v>
      </c>
      <c r="I20181" t="s">
        <v>29</v>
      </c>
      <c r="J20181" t="s">
        <v>30</v>
      </c>
      <c r="K20181" t="s">
        <v>61688</v>
      </c>
      <c r="M20181" t="s">
        <v>50621</v>
      </c>
      <c r="N20181" t="str">
        <f>"9/7/2023 1:21:00 PM"</f>
        <v>9/7/2023 1:21:00 PM</v>
      </c>
      <c r="O20181" t="s">
        <v>61686</v>
      </c>
    </row>
    <row r="20182" spans="1:20" x14ac:dyDescent="0.25">
      <c r="A20182" t="str">
        <f>"3044102"</f>
        <v>3044102</v>
      </c>
      <c r="B20182" t="s">
        <v>61689</v>
      </c>
      <c r="C20182" t="str">
        <f>"8305031"</f>
        <v>8305031</v>
      </c>
      <c r="D20182" t="s">
        <v>61690</v>
      </c>
      <c r="E20182" t="s">
        <v>61691</v>
      </c>
      <c r="F20182" t="s">
        <v>61692</v>
      </c>
      <c r="I20182" t="s">
        <v>184</v>
      </c>
      <c r="J20182" t="s">
        <v>30</v>
      </c>
      <c r="K20182" t="str">
        <f>"27006"</f>
        <v>27006</v>
      </c>
      <c r="M20182" t="s">
        <v>50621</v>
      </c>
      <c r="N20182" t="str">
        <f>"9/7/2023 1:22:00 PM"</f>
        <v>9/7/2023 1:22:00 PM</v>
      </c>
      <c r="O20182" t="s">
        <v>61690</v>
      </c>
      <c r="T20182" t="s">
        <v>61691</v>
      </c>
    </row>
    <row r="20183" spans="1:20" x14ac:dyDescent="0.25">
      <c r="A20183" t="str">
        <f>"3044120"</f>
        <v>3044120</v>
      </c>
      <c r="B20183" t="s">
        <v>61693</v>
      </c>
      <c r="C20183" t="str">
        <f>"8305031"</f>
        <v>8305031</v>
      </c>
      <c r="D20183" t="s">
        <v>61690</v>
      </c>
      <c r="E20183" t="s">
        <v>61691</v>
      </c>
      <c r="F20183" t="s">
        <v>61692</v>
      </c>
      <c r="I20183" t="s">
        <v>184</v>
      </c>
      <c r="J20183" t="s">
        <v>30</v>
      </c>
      <c r="K20183" t="str">
        <f>"27006"</f>
        <v>27006</v>
      </c>
      <c r="M20183" t="s">
        <v>50621</v>
      </c>
      <c r="N20183" t="str">
        <f>"9/7/2023 1:22:00 PM"</f>
        <v>9/7/2023 1:22:00 PM</v>
      </c>
      <c r="O20183" t="s">
        <v>61690</v>
      </c>
      <c r="T20183" t="s">
        <v>61691</v>
      </c>
    </row>
    <row r="20184" spans="1:20" x14ac:dyDescent="0.25">
      <c r="A20184" t="str">
        <f>"3057831"</f>
        <v>3057831</v>
      </c>
      <c r="B20184" t="s">
        <v>61694</v>
      </c>
      <c r="C20184" t="str">
        <f>"55413500"</f>
        <v>55413500</v>
      </c>
      <c r="D20184" t="s">
        <v>61695</v>
      </c>
      <c r="E20184" t="s">
        <v>61696</v>
      </c>
      <c r="F20184" t="s">
        <v>61697</v>
      </c>
      <c r="I20184" t="s">
        <v>184</v>
      </c>
      <c r="J20184" t="s">
        <v>30</v>
      </c>
      <c r="K20184" t="s">
        <v>185</v>
      </c>
      <c r="M20184" t="s">
        <v>50621</v>
      </c>
      <c r="N20184" t="str">
        <f>"9/7/2023 1:23:00 PM"</f>
        <v>9/7/2023 1:23:00 PM</v>
      </c>
      <c r="O20184" t="s">
        <v>61695</v>
      </c>
      <c r="T20184" t="s">
        <v>61696</v>
      </c>
    </row>
    <row r="20185" spans="1:20" x14ac:dyDescent="0.25">
      <c r="A20185" t="str">
        <f>"3047861"</f>
        <v>3047861</v>
      </c>
      <c r="B20185" t="s">
        <v>61698</v>
      </c>
      <c r="C20185" t="str">
        <f>"8309827"</f>
        <v>8309827</v>
      </c>
      <c r="D20185" t="s">
        <v>61699</v>
      </c>
      <c r="E20185" t="s">
        <v>61700</v>
      </c>
      <c r="F20185" t="s">
        <v>61701</v>
      </c>
      <c r="I20185" t="s">
        <v>184</v>
      </c>
      <c r="J20185" t="s">
        <v>30</v>
      </c>
      <c r="K20185" t="s">
        <v>43381</v>
      </c>
      <c r="M20185" t="s">
        <v>50621</v>
      </c>
      <c r="N20185" t="str">
        <f>"9/7/2023 1:24:00 PM"</f>
        <v>9/7/2023 1:24:00 PM</v>
      </c>
      <c r="O20185" t="s">
        <v>61699</v>
      </c>
      <c r="T20185" t="s">
        <v>61700</v>
      </c>
    </row>
    <row r="20186" spans="1:20" x14ac:dyDescent="0.25">
      <c r="A20186" t="str">
        <f>"3056256"</f>
        <v>3056256</v>
      </c>
      <c r="B20186" t="s">
        <v>61702</v>
      </c>
      <c r="C20186" t="str">
        <f>"15180000"</f>
        <v>15180000</v>
      </c>
      <c r="D20186" t="s">
        <v>61703</v>
      </c>
      <c r="F20186" t="str">
        <f>"C/O CONNIE NICHOLS"</f>
        <v>C/O CONNIE NICHOLS</v>
      </c>
      <c r="G20186" t="s">
        <v>61704</v>
      </c>
      <c r="I20186" t="s">
        <v>61027</v>
      </c>
      <c r="J20186" t="s">
        <v>12725</v>
      </c>
      <c r="K20186" t="s">
        <v>61705</v>
      </c>
      <c r="M20186" t="s">
        <v>50621</v>
      </c>
      <c r="N20186" t="str">
        <f>"9/14/2023 9:44:00 AM"</f>
        <v>9/14/2023 9:44:00 AM</v>
      </c>
      <c r="O20186" t="s">
        <v>61703</v>
      </c>
    </row>
    <row r="20187" spans="1:20" x14ac:dyDescent="0.25">
      <c r="A20187" t="str">
        <f>"3040900"</f>
        <v>3040900</v>
      </c>
      <c r="B20187" t="s">
        <v>61706</v>
      </c>
      <c r="C20187" t="str">
        <f>"8304121"</f>
        <v>8304121</v>
      </c>
      <c r="D20187" t="s">
        <v>61707</v>
      </c>
      <c r="F20187" t="s">
        <v>61708</v>
      </c>
      <c r="I20187" t="s">
        <v>184</v>
      </c>
      <c r="J20187" t="s">
        <v>30</v>
      </c>
      <c r="K20187" t="s">
        <v>185</v>
      </c>
      <c r="M20187" t="s">
        <v>50621</v>
      </c>
      <c r="N20187" t="str">
        <f>"9/14/2023 11:36:00 AM"</f>
        <v>9/14/2023 11:36:00 AM</v>
      </c>
      <c r="O20187" t="s">
        <v>61707</v>
      </c>
    </row>
    <row r="20188" spans="1:20" x14ac:dyDescent="0.25">
      <c r="A20188" t="str">
        <f>"3046010"</f>
        <v>3046010</v>
      </c>
      <c r="B20188" t="s">
        <v>61709</v>
      </c>
      <c r="C20188" t="str">
        <f>"8320964"</f>
        <v>8320964</v>
      </c>
      <c r="D20188" t="s">
        <v>61710</v>
      </c>
      <c r="F20188" t="s">
        <v>61711</v>
      </c>
      <c r="I20188" t="s">
        <v>1107</v>
      </c>
      <c r="J20188" t="s">
        <v>30</v>
      </c>
      <c r="K20188" t="s">
        <v>61712</v>
      </c>
      <c r="M20188" t="s">
        <v>17861</v>
      </c>
      <c r="N20188" t="str">
        <f>"9/14/2023 1:38:00 PM"</f>
        <v>9/14/2023 1:38:00 PM</v>
      </c>
      <c r="O20188" t="s">
        <v>61710</v>
      </c>
    </row>
    <row r="20189" spans="1:20" x14ac:dyDescent="0.25">
      <c r="A20189" t="str">
        <f>"3060416"</f>
        <v>3060416</v>
      </c>
      <c r="B20189" t="s">
        <v>61713</v>
      </c>
      <c r="C20189" t="str">
        <f>"8310445"</f>
        <v>8310445</v>
      </c>
      <c r="D20189" t="s">
        <v>61714</v>
      </c>
      <c r="F20189" t="s">
        <v>61715</v>
      </c>
      <c r="I20189" t="s">
        <v>2071</v>
      </c>
      <c r="J20189" t="s">
        <v>30</v>
      </c>
      <c r="K20189" t="s">
        <v>3728</v>
      </c>
      <c r="M20189" t="s">
        <v>50621</v>
      </c>
      <c r="N20189" t="str">
        <f>"9/12/2023 12:20:00 PM"</f>
        <v>9/12/2023 12:20:00 PM</v>
      </c>
      <c r="O20189" t="s">
        <v>61714</v>
      </c>
    </row>
    <row r="20190" spans="1:20" x14ac:dyDescent="0.25">
      <c r="A20190" t="str">
        <f>"3052218"</f>
        <v>3052218</v>
      </c>
      <c r="B20190" t="s">
        <v>61716</v>
      </c>
      <c r="C20190" t="str">
        <f>"8320961"</f>
        <v>8320961</v>
      </c>
      <c r="D20190" t="s">
        <v>61717</v>
      </c>
      <c r="E20190" t="s">
        <v>61718</v>
      </c>
      <c r="F20190" t="s">
        <v>36381</v>
      </c>
      <c r="I20190" t="s">
        <v>2280</v>
      </c>
      <c r="J20190" t="s">
        <v>30</v>
      </c>
      <c r="K20190" t="s">
        <v>61719</v>
      </c>
      <c r="M20190" t="s">
        <v>50500</v>
      </c>
      <c r="N20190" t="str">
        <f>"9/12/2023 3:00:00 PM"</f>
        <v>9/12/2023 3:00:00 PM</v>
      </c>
      <c r="O20190" t="s">
        <v>61717</v>
      </c>
      <c r="T20190" t="s">
        <v>61718</v>
      </c>
    </row>
    <row r="20191" spans="1:20" x14ac:dyDescent="0.25">
      <c r="A20191" t="str">
        <f>"3054882"</f>
        <v>3054882</v>
      </c>
      <c r="B20191" t="s">
        <v>61720</v>
      </c>
      <c r="C20191" t="str">
        <f>"30856000"</f>
        <v>30856000</v>
      </c>
      <c r="D20191" t="s">
        <v>61721</v>
      </c>
      <c r="K20191" t="s">
        <v>586</v>
      </c>
      <c r="M20191" t="s">
        <v>17861</v>
      </c>
      <c r="N20191" t="str">
        <f>"9/13/2023 8:29:00 AM"</f>
        <v>9/13/2023 8:29:00 AM</v>
      </c>
      <c r="O20191" t="s">
        <v>61721</v>
      </c>
    </row>
    <row r="20192" spans="1:20" x14ac:dyDescent="0.25">
      <c r="A20192" t="str">
        <f>"3037266"</f>
        <v>3037266</v>
      </c>
      <c r="B20192" t="s">
        <v>61722</v>
      </c>
      <c r="C20192" t="str">
        <f>"82524220"</f>
        <v>82524220</v>
      </c>
      <c r="D20192" t="s">
        <v>61723</v>
      </c>
      <c r="E20192" t="s">
        <v>61724</v>
      </c>
      <c r="F20192" t="s">
        <v>61725</v>
      </c>
      <c r="I20192" t="s">
        <v>184</v>
      </c>
      <c r="J20192" t="s">
        <v>30</v>
      </c>
      <c r="K20192" t="s">
        <v>50846</v>
      </c>
      <c r="M20192" t="s">
        <v>50621</v>
      </c>
      <c r="N20192" t="str">
        <f>"9/13/2023 9:28:00 AM"</f>
        <v>9/13/2023 9:28:00 AM</v>
      </c>
      <c r="O20192" t="s">
        <v>61723</v>
      </c>
      <c r="T20192" t="s">
        <v>61724</v>
      </c>
    </row>
    <row r="20193" spans="1:20" x14ac:dyDescent="0.25">
      <c r="A20193" t="str">
        <f>"3058881"</f>
        <v>3058881</v>
      </c>
      <c r="B20193" t="s">
        <v>61726</v>
      </c>
      <c r="C20193" t="str">
        <f>"8311574"</f>
        <v>8311574</v>
      </c>
      <c r="D20193" t="s">
        <v>61727</v>
      </c>
      <c r="E20193" t="s">
        <v>61728</v>
      </c>
      <c r="F20193" t="s">
        <v>61729</v>
      </c>
      <c r="I20193" t="s">
        <v>29</v>
      </c>
      <c r="J20193" t="s">
        <v>30</v>
      </c>
      <c r="K20193" t="str">
        <f>"27028"</f>
        <v>27028</v>
      </c>
      <c r="M20193" t="s">
        <v>50621</v>
      </c>
      <c r="N20193" t="str">
        <f>"9/13/2023 11:47:00 AM"</f>
        <v>9/13/2023 11:47:00 AM</v>
      </c>
      <c r="O20193" t="s">
        <v>61727</v>
      </c>
      <c r="T20193" t="s">
        <v>61728</v>
      </c>
    </row>
    <row r="20194" spans="1:20" x14ac:dyDescent="0.25">
      <c r="A20194" t="str">
        <f>"3052895"</f>
        <v>3052895</v>
      </c>
      <c r="B20194" t="s">
        <v>61730</v>
      </c>
      <c r="C20194" t="str">
        <f>"62986000"</f>
        <v>62986000</v>
      </c>
      <c r="D20194" t="s">
        <v>61731</v>
      </c>
      <c r="F20194" t="s">
        <v>61732</v>
      </c>
      <c r="I20194" t="s">
        <v>29</v>
      </c>
      <c r="J20194" t="s">
        <v>30</v>
      </c>
      <c r="K20194" t="s">
        <v>56323</v>
      </c>
      <c r="M20194" t="s">
        <v>50621</v>
      </c>
      <c r="N20194" t="str">
        <f>"9/13/2023 11:51:00 AM"</f>
        <v>9/13/2023 11:51:00 AM</v>
      </c>
      <c r="O20194" t="s">
        <v>61731</v>
      </c>
    </row>
    <row r="20195" spans="1:20" x14ac:dyDescent="0.25">
      <c r="A20195" t="str">
        <f>"3056722"</f>
        <v>3056722</v>
      </c>
      <c r="B20195" t="s">
        <v>61733</v>
      </c>
      <c r="C20195" t="str">
        <f>"15180000"</f>
        <v>15180000</v>
      </c>
      <c r="D20195" t="s">
        <v>61703</v>
      </c>
      <c r="F20195" t="str">
        <f>"C/O CONNIE NICHOLS"</f>
        <v>C/O CONNIE NICHOLS</v>
      </c>
      <c r="G20195" t="s">
        <v>61704</v>
      </c>
      <c r="I20195" t="s">
        <v>61027</v>
      </c>
      <c r="J20195" t="s">
        <v>12725</v>
      </c>
      <c r="K20195" t="s">
        <v>61705</v>
      </c>
      <c r="M20195" t="s">
        <v>50621</v>
      </c>
      <c r="N20195" t="str">
        <f>"9/14/2023 9:44:00 AM"</f>
        <v>9/14/2023 9:44:00 AM</v>
      </c>
      <c r="O20195" t="s">
        <v>61703</v>
      </c>
    </row>
    <row r="20196" spans="1:20" x14ac:dyDescent="0.25">
      <c r="A20196" t="str">
        <f>"3041023"</f>
        <v>3041023</v>
      </c>
      <c r="B20196" t="s">
        <v>61734</v>
      </c>
      <c r="C20196" t="str">
        <f>"8320983"</f>
        <v>8320983</v>
      </c>
      <c r="D20196" t="str">
        <f>"COE BRADLEY/ANNA"</f>
        <v>COE BRADLEY/ANNA</v>
      </c>
      <c r="E20196" t="str">
        <f>"COE STEPHEN/DONNA"</f>
        <v>COE STEPHEN/DONNA</v>
      </c>
      <c r="F20196" t="s">
        <v>61735</v>
      </c>
      <c r="I20196" t="s">
        <v>184</v>
      </c>
      <c r="J20196" t="s">
        <v>30</v>
      </c>
      <c r="K20196" t="s">
        <v>54010</v>
      </c>
      <c r="M20196" t="s">
        <v>50500</v>
      </c>
      <c r="N20196" t="str">
        <f>"9/20/2023 8:51:00 AM"</f>
        <v>9/20/2023 8:51:00 AM</v>
      </c>
      <c r="O20196" t="str">
        <f>"COE BRADLEY/ANNA"</f>
        <v>COE BRADLEY/ANNA</v>
      </c>
      <c r="T20196" t="str">
        <f>"COE STEPHEN/DONNA"</f>
        <v>COE STEPHEN/DONNA</v>
      </c>
    </row>
    <row r="20197" spans="1:20" x14ac:dyDescent="0.25">
      <c r="A20197" t="str">
        <f>"3046478"</f>
        <v>3046478</v>
      </c>
      <c r="B20197" t="s">
        <v>61736</v>
      </c>
      <c r="C20197" t="str">
        <f>"82517171"</f>
        <v>82517171</v>
      </c>
      <c r="D20197" t="s">
        <v>61737</v>
      </c>
      <c r="F20197" t="s">
        <v>61738</v>
      </c>
      <c r="I20197" t="s">
        <v>29</v>
      </c>
      <c r="J20197" t="s">
        <v>30</v>
      </c>
      <c r="K20197" t="s">
        <v>61739</v>
      </c>
      <c r="M20197" t="s">
        <v>17861</v>
      </c>
      <c r="N20197" t="str">
        <f>"9/20/2023 4:15:00 PM"</f>
        <v>9/20/2023 4:15:00 PM</v>
      </c>
      <c r="O20197" t="s">
        <v>61737</v>
      </c>
    </row>
    <row r="20198" spans="1:20" x14ac:dyDescent="0.25">
      <c r="A20198" t="str">
        <f>"3046929"</f>
        <v>3046929</v>
      </c>
      <c r="B20198" t="s">
        <v>61740</v>
      </c>
      <c r="C20198" t="str">
        <f>"82517171"</f>
        <v>82517171</v>
      </c>
      <c r="D20198" t="s">
        <v>61737</v>
      </c>
      <c r="F20198" t="s">
        <v>61738</v>
      </c>
      <c r="I20198" t="s">
        <v>29</v>
      </c>
      <c r="J20198" t="s">
        <v>30</v>
      </c>
      <c r="K20198" t="s">
        <v>61739</v>
      </c>
      <c r="M20198" t="s">
        <v>17861</v>
      </c>
      <c r="N20198" t="str">
        <f>"9/20/2023 4:15:00 PM"</f>
        <v>9/20/2023 4:15:00 PM</v>
      </c>
      <c r="O20198" t="s">
        <v>61737</v>
      </c>
    </row>
    <row r="20199" spans="1:20" x14ac:dyDescent="0.25">
      <c r="A20199" t="str">
        <f>"3078281"</f>
        <v>3078281</v>
      </c>
      <c r="B20199" t="s">
        <v>61741</v>
      </c>
      <c r="C20199" t="str">
        <f>"82517171"</f>
        <v>82517171</v>
      </c>
      <c r="D20199" t="s">
        <v>61737</v>
      </c>
      <c r="F20199" t="s">
        <v>61738</v>
      </c>
      <c r="I20199" t="s">
        <v>29</v>
      </c>
      <c r="J20199" t="s">
        <v>30</v>
      </c>
      <c r="K20199" t="s">
        <v>61739</v>
      </c>
      <c r="M20199" t="s">
        <v>17861</v>
      </c>
      <c r="N20199" t="str">
        <f>"9/20/2023 4:15:00 PM"</f>
        <v>9/20/2023 4:15:00 PM</v>
      </c>
      <c r="O20199" t="s">
        <v>61737</v>
      </c>
    </row>
    <row r="20200" spans="1:20" x14ac:dyDescent="0.25">
      <c r="A20200" t="str">
        <f>"3038572"</f>
        <v>3038572</v>
      </c>
      <c r="B20200" t="s">
        <v>61742</v>
      </c>
      <c r="C20200" t="str">
        <f>"8320984"</f>
        <v>8320984</v>
      </c>
      <c r="D20200" t="s">
        <v>61743</v>
      </c>
      <c r="E20200" t="s">
        <v>61744</v>
      </c>
      <c r="F20200" t="s">
        <v>61745</v>
      </c>
      <c r="I20200" t="s">
        <v>29</v>
      </c>
      <c r="J20200" t="s">
        <v>30</v>
      </c>
      <c r="K20200" t="s">
        <v>61746</v>
      </c>
      <c r="M20200" t="s">
        <v>50500</v>
      </c>
      <c r="N20200" t="str">
        <f>"9/20/2023 8:58:00 AM"</f>
        <v>9/20/2023 8:58:00 AM</v>
      </c>
      <c r="O20200" t="s">
        <v>61743</v>
      </c>
      <c r="T20200" t="s">
        <v>61744</v>
      </c>
    </row>
    <row r="20201" spans="1:20" x14ac:dyDescent="0.25">
      <c r="A20201" t="str">
        <f>"3062490"</f>
        <v>3062490</v>
      </c>
      <c r="B20201" t="s">
        <v>61747</v>
      </c>
      <c r="C20201" t="str">
        <f>"8307411"</f>
        <v>8307411</v>
      </c>
      <c r="D20201" t="s">
        <v>61748</v>
      </c>
      <c r="E20201" t="str">
        <f>"BEHR PATRICK D/KELLY L TRUSTEE"</f>
        <v>BEHR PATRICK D/KELLY L TRUSTEE</v>
      </c>
      <c r="F20201" t="s">
        <v>61749</v>
      </c>
      <c r="I20201" t="s">
        <v>16188</v>
      </c>
      <c r="J20201" t="s">
        <v>41184</v>
      </c>
      <c r="K20201" t="s">
        <v>61750</v>
      </c>
      <c r="M20201" t="s">
        <v>50621</v>
      </c>
      <c r="N20201" t="str">
        <f>"9/21/2023 9:32:00 AM"</f>
        <v>9/21/2023 9:32:00 AM</v>
      </c>
      <c r="O20201" t="s">
        <v>61748</v>
      </c>
      <c r="T20201" t="str">
        <f>"BEHR PATRICK D/KELLY L TRUSTEE"</f>
        <v>BEHR PATRICK D/KELLY L TRUSTEE</v>
      </c>
    </row>
    <row r="20202" spans="1:20" x14ac:dyDescent="0.25">
      <c r="A20202" t="str">
        <f>"3077679"</f>
        <v>3077679</v>
      </c>
      <c r="B20202" t="s">
        <v>61751</v>
      </c>
      <c r="C20202" t="str">
        <f>"82532334"</f>
        <v>82532334</v>
      </c>
      <c r="D20202" t="s">
        <v>61752</v>
      </c>
      <c r="E20202" t="s">
        <v>61753</v>
      </c>
      <c r="F20202" t="s">
        <v>61754</v>
      </c>
      <c r="I20202" t="s">
        <v>29</v>
      </c>
      <c r="J20202" t="s">
        <v>30</v>
      </c>
      <c r="K20202" t="s">
        <v>61755</v>
      </c>
      <c r="M20202" t="s">
        <v>51351</v>
      </c>
      <c r="N20202" t="str">
        <f>"9/21/2023 10:47:00 AM"</f>
        <v>9/21/2023 10:47:00 AM</v>
      </c>
      <c r="O20202" t="s">
        <v>61752</v>
      </c>
      <c r="T20202" t="s">
        <v>61753</v>
      </c>
    </row>
    <row r="20203" spans="1:20" x14ac:dyDescent="0.25">
      <c r="A20203" t="str">
        <f>"3054289"</f>
        <v>3054289</v>
      </c>
      <c r="B20203" t="s">
        <v>61756</v>
      </c>
      <c r="C20203" t="str">
        <f>"82530742"</f>
        <v>82530742</v>
      </c>
      <c r="D20203" t="s">
        <v>61757</v>
      </c>
      <c r="F20203" t="s">
        <v>61758</v>
      </c>
      <c r="I20203" t="s">
        <v>29</v>
      </c>
      <c r="J20203" t="s">
        <v>30</v>
      </c>
      <c r="K20203" t="s">
        <v>31</v>
      </c>
      <c r="M20203" t="s">
        <v>50793</v>
      </c>
      <c r="N20203" t="str">
        <f>"9/21/2023 10:50:00 AM"</f>
        <v>9/21/2023 10:50:00 AM</v>
      </c>
      <c r="O20203" t="s">
        <v>61757</v>
      </c>
    </row>
    <row r="20204" spans="1:20" x14ac:dyDescent="0.25">
      <c r="A20204" t="str">
        <f>"3040777"</f>
        <v>3040777</v>
      </c>
      <c r="B20204" t="s">
        <v>61759</v>
      </c>
      <c r="C20204" t="str">
        <f>"8320985"</f>
        <v>8320985</v>
      </c>
      <c r="D20204" t="s">
        <v>61760</v>
      </c>
      <c r="F20204" t="s">
        <v>61761</v>
      </c>
      <c r="I20204" t="s">
        <v>184</v>
      </c>
      <c r="J20204" t="s">
        <v>30</v>
      </c>
      <c r="K20204" t="s">
        <v>2984</v>
      </c>
      <c r="M20204" t="s">
        <v>50500</v>
      </c>
      <c r="N20204" t="str">
        <f>"9/20/2023 9:08:00 AM"</f>
        <v>9/20/2023 9:08:00 AM</v>
      </c>
      <c r="O20204" t="s">
        <v>61760</v>
      </c>
    </row>
    <row r="20205" spans="1:20" x14ac:dyDescent="0.25">
      <c r="A20205" t="str">
        <f>"3053841"</f>
        <v>3053841</v>
      </c>
      <c r="B20205" t="s">
        <v>61762</v>
      </c>
      <c r="C20205" t="str">
        <f>"8320962"</f>
        <v>8320962</v>
      </c>
      <c r="D20205" t="s">
        <v>61763</v>
      </c>
      <c r="E20205" t="s">
        <v>61764</v>
      </c>
      <c r="F20205" t="s">
        <v>61765</v>
      </c>
      <c r="I20205" t="s">
        <v>29</v>
      </c>
      <c r="J20205" t="s">
        <v>30</v>
      </c>
      <c r="K20205" t="s">
        <v>10082</v>
      </c>
      <c r="M20205" t="s">
        <v>17861</v>
      </c>
      <c r="N20205" t="str">
        <f>"9/14/2023 3:21:00 PM"</f>
        <v>9/14/2023 3:21:00 PM</v>
      </c>
      <c r="O20205" t="s">
        <v>61763</v>
      </c>
      <c r="T20205" t="s">
        <v>61764</v>
      </c>
    </row>
    <row r="20206" spans="1:20" x14ac:dyDescent="0.25">
      <c r="A20206" t="str">
        <f>"3052149"</f>
        <v>3052149</v>
      </c>
      <c r="B20206" t="s">
        <v>61766</v>
      </c>
      <c r="C20206" t="str">
        <f>"82532534"</f>
        <v>82532534</v>
      </c>
      <c r="D20206" t="s">
        <v>61767</v>
      </c>
      <c r="F20206" t="s">
        <v>61768</v>
      </c>
      <c r="I20206" t="s">
        <v>2275</v>
      </c>
      <c r="J20206" t="s">
        <v>30</v>
      </c>
      <c r="K20206" t="s">
        <v>61769</v>
      </c>
      <c r="M20206" t="s">
        <v>50621</v>
      </c>
      <c r="N20206" t="str">
        <f>"9/15/2023 10:04:00 AM"</f>
        <v>9/15/2023 10:04:00 AM</v>
      </c>
      <c r="O20206" t="s">
        <v>61767</v>
      </c>
    </row>
    <row r="20207" spans="1:20" x14ac:dyDescent="0.25">
      <c r="A20207" t="str">
        <f>"3053991"</f>
        <v>3053991</v>
      </c>
      <c r="B20207" t="s">
        <v>61770</v>
      </c>
      <c r="C20207" t="str">
        <f>"8320966"</f>
        <v>8320966</v>
      </c>
      <c r="D20207" t="s">
        <v>61771</v>
      </c>
      <c r="E20207" t="s">
        <v>61772</v>
      </c>
      <c r="F20207" t="s">
        <v>61773</v>
      </c>
      <c r="I20207" t="s">
        <v>29</v>
      </c>
      <c r="J20207" t="s">
        <v>30</v>
      </c>
      <c r="K20207" t="s">
        <v>20185</v>
      </c>
      <c r="M20207" t="s">
        <v>50500</v>
      </c>
      <c r="N20207" t="str">
        <f>"9/19/2023 9:23:00 AM"</f>
        <v>9/19/2023 9:23:00 AM</v>
      </c>
      <c r="O20207" t="s">
        <v>61771</v>
      </c>
      <c r="T20207" t="s">
        <v>61772</v>
      </c>
    </row>
    <row r="20208" spans="1:20" x14ac:dyDescent="0.25">
      <c r="A20208" t="str">
        <f>"3045043"</f>
        <v>3045043</v>
      </c>
      <c r="B20208" t="s">
        <v>61774</v>
      </c>
      <c r="C20208" t="str">
        <f>"8320968"</f>
        <v>8320968</v>
      </c>
      <c r="D20208" t="s">
        <v>61775</v>
      </c>
      <c r="E20208" t="s">
        <v>61776</v>
      </c>
      <c r="F20208" t="s">
        <v>61777</v>
      </c>
      <c r="I20208" t="s">
        <v>29</v>
      </c>
      <c r="J20208" t="s">
        <v>30</v>
      </c>
      <c r="K20208" t="s">
        <v>61778</v>
      </c>
      <c r="M20208" t="s">
        <v>50500</v>
      </c>
      <c r="N20208" t="str">
        <f>"9/19/2023 9:40:00 AM"</f>
        <v>9/19/2023 9:40:00 AM</v>
      </c>
      <c r="O20208" t="s">
        <v>61775</v>
      </c>
      <c r="T20208" t="s">
        <v>61776</v>
      </c>
    </row>
    <row r="20209" spans="1:20" x14ac:dyDescent="0.25">
      <c r="A20209" t="str">
        <f>"3045448"</f>
        <v>3045448</v>
      </c>
      <c r="B20209" t="s">
        <v>61779</v>
      </c>
      <c r="C20209" t="str">
        <f>"8320969"</f>
        <v>8320969</v>
      </c>
      <c r="D20209" t="s">
        <v>61780</v>
      </c>
      <c r="F20209" t="s">
        <v>61781</v>
      </c>
      <c r="I20209" t="s">
        <v>471</v>
      </c>
      <c r="J20209" t="s">
        <v>30</v>
      </c>
      <c r="K20209" t="s">
        <v>61782</v>
      </c>
      <c r="M20209" t="s">
        <v>50500</v>
      </c>
      <c r="N20209" t="str">
        <f>"9/19/2023 9:46:00 AM"</f>
        <v>9/19/2023 9:46:00 AM</v>
      </c>
      <c r="O20209" t="s">
        <v>61780</v>
      </c>
    </row>
    <row r="20210" spans="1:20" x14ac:dyDescent="0.25">
      <c r="A20210" t="str">
        <f>"3045177"</f>
        <v>3045177</v>
      </c>
      <c r="B20210" t="s">
        <v>61783</v>
      </c>
      <c r="C20210" t="str">
        <f>"8320967"</f>
        <v>8320967</v>
      </c>
      <c r="D20210" t="s">
        <v>61784</v>
      </c>
      <c r="E20210" t="s">
        <v>61785</v>
      </c>
      <c r="F20210" t="s">
        <v>61786</v>
      </c>
      <c r="I20210" t="s">
        <v>964</v>
      </c>
      <c r="J20210" t="s">
        <v>30</v>
      </c>
      <c r="K20210" t="s">
        <v>61787</v>
      </c>
      <c r="M20210" t="s">
        <v>50500</v>
      </c>
      <c r="N20210" t="str">
        <f>"9/19/2023 10:00:00 AM"</f>
        <v>9/19/2023 10:00:00 AM</v>
      </c>
      <c r="O20210" t="s">
        <v>61784</v>
      </c>
      <c r="T20210" t="s">
        <v>61785</v>
      </c>
    </row>
    <row r="20211" spans="1:20" x14ac:dyDescent="0.25">
      <c r="A20211" t="str">
        <f>"3045164"</f>
        <v>3045164</v>
      </c>
      <c r="B20211" t="s">
        <v>61788</v>
      </c>
      <c r="C20211" t="str">
        <f>"8320967"</f>
        <v>8320967</v>
      </c>
      <c r="D20211" t="s">
        <v>61784</v>
      </c>
      <c r="E20211" t="s">
        <v>61785</v>
      </c>
      <c r="F20211" t="s">
        <v>61786</v>
      </c>
      <c r="I20211" t="s">
        <v>964</v>
      </c>
      <c r="J20211" t="s">
        <v>30</v>
      </c>
      <c r="K20211" t="s">
        <v>61787</v>
      </c>
      <c r="M20211" t="s">
        <v>50500</v>
      </c>
      <c r="N20211" t="str">
        <f>"9/19/2023 10:00:00 AM"</f>
        <v>9/19/2023 10:00:00 AM</v>
      </c>
      <c r="O20211" t="s">
        <v>61784</v>
      </c>
      <c r="T20211" t="s">
        <v>61785</v>
      </c>
    </row>
    <row r="20212" spans="1:20" x14ac:dyDescent="0.25">
      <c r="A20212" t="str">
        <f>"3044481"</f>
        <v>3044481</v>
      </c>
      <c r="B20212" t="s">
        <v>61789</v>
      </c>
      <c r="C20212" t="str">
        <f>"8320970"</f>
        <v>8320970</v>
      </c>
      <c r="D20212" t="s">
        <v>61790</v>
      </c>
      <c r="E20212" t="s">
        <v>61791</v>
      </c>
      <c r="F20212" t="s">
        <v>61792</v>
      </c>
      <c r="I20212" t="s">
        <v>184</v>
      </c>
      <c r="J20212" t="s">
        <v>30</v>
      </c>
      <c r="K20212" t="s">
        <v>5629</v>
      </c>
      <c r="M20212" t="s">
        <v>50500</v>
      </c>
      <c r="N20212" t="str">
        <f>"9/19/2023 10:06:00 AM"</f>
        <v>9/19/2023 10:06:00 AM</v>
      </c>
      <c r="O20212" t="s">
        <v>61790</v>
      </c>
      <c r="T20212" t="s">
        <v>61791</v>
      </c>
    </row>
    <row r="20213" spans="1:20" x14ac:dyDescent="0.25">
      <c r="A20213" t="str">
        <f>"3040662"</f>
        <v>3040662</v>
      </c>
      <c r="B20213" t="s">
        <v>61793</v>
      </c>
      <c r="C20213" t="str">
        <f>"8320971"</f>
        <v>8320971</v>
      </c>
      <c r="D20213" t="s">
        <v>1777</v>
      </c>
      <c r="E20213" t="s">
        <v>1778</v>
      </c>
      <c r="F20213" t="s">
        <v>32812</v>
      </c>
      <c r="I20213" t="s">
        <v>184</v>
      </c>
      <c r="J20213" t="s">
        <v>30</v>
      </c>
      <c r="K20213" t="s">
        <v>33890</v>
      </c>
      <c r="M20213" t="s">
        <v>50500</v>
      </c>
      <c r="N20213" t="str">
        <f>"9/19/2023 10:14:00 AM"</f>
        <v>9/19/2023 10:14:00 AM</v>
      </c>
      <c r="O20213" t="s">
        <v>1777</v>
      </c>
      <c r="T20213" t="s">
        <v>1778</v>
      </c>
    </row>
    <row r="20214" spans="1:20" x14ac:dyDescent="0.25">
      <c r="A20214" t="str">
        <f>"3040392"</f>
        <v>3040392</v>
      </c>
      <c r="B20214" t="s">
        <v>61794</v>
      </c>
      <c r="C20214" t="str">
        <f>"8320985"</f>
        <v>8320985</v>
      </c>
      <c r="D20214" t="s">
        <v>61760</v>
      </c>
      <c r="F20214" t="s">
        <v>61761</v>
      </c>
      <c r="I20214" t="s">
        <v>184</v>
      </c>
      <c r="J20214" t="s">
        <v>30</v>
      </c>
      <c r="K20214" t="s">
        <v>2984</v>
      </c>
      <c r="M20214" t="s">
        <v>50500</v>
      </c>
      <c r="N20214" t="str">
        <f>"9/20/2023 9:08:00 AM"</f>
        <v>9/20/2023 9:08:00 AM</v>
      </c>
      <c r="O20214" t="s">
        <v>61760</v>
      </c>
    </row>
    <row r="20215" spans="1:20" x14ac:dyDescent="0.25">
      <c r="A20215" t="str">
        <f>"3040393"</f>
        <v>3040393</v>
      </c>
      <c r="B20215" t="s">
        <v>61795</v>
      </c>
      <c r="C20215" t="str">
        <f>"8320985"</f>
        <v>8320985</v>
      </c>
      <c r="D20215" t="s">
        <v>61760</v>
      </c>
      <c r="F20215" t="s">
        <v>61761</v>
      </c>
      <c r="I20215" t="s">
        <v>184</v>
      </c>
      <c r="J20215" t="s">
        <v>30</v>
      </c>
      <c r="K20215" t="s">
        <v>2984</v>
      </c>
      <c r="M20215" t="s">
        <v>50500</v>
      </c>
      <c r="N20215" t="str">
        <f>"9/20/2023 9:08:00 AM"</f>
        <v>9/20/2023 9:08:00 AM</v>
      </c>
      <c r="O20215" t="s">
        <v>61760</v>
      </c>
    </row>
    <row r="20216" spans="1:20" x14ac:dyDescent="0.25">
      <c r="A20216" t="str">
        <f>"3059109"</f>
        <v>3059109</v>
      </c>
      <c r="B20216" t="s">
        <v>61796</v>
      </c>
      <c r="C20216" t="str">
        <f>"8320986"</f>
        <v>8320986</v>
      </c>
      <c r="D20216" t="s">
        <v>61797</v>
      </c>
      <c r="F20216" t="s">
        <v>61798</v>
      </c>
      <c r="I20216" t="s">
        <v>29</v>
      </c>
      <c r="J20216" t="s">
        <v>30</v>
      </c>
      <c r="K20216" t="s">
        <v>40215</v>
      </c>
      <c r="M20216" t="s">
        <v>50500</v>
      </c>
      <c r="N20216" t="str">
        <f>"9/20/2023 9:30:00 AM"</f>
        <v>9/20/2023 9:30:00 AM</v>
      </c>
      <c r="O20216" t="s">
        <v>61797</v>
      </c>
    </row>
    <row r="20217" spans="1:20" x14ac:dyDescent="0.25">
      <c r="A20217" t="str">
        <f>"3041163"</f>
        <v>3041163</v>
      </c>
      <c r="B20217" t="s">
        <v>61799</v>
      </c>
      <c r="C20217" t="str">
        <f>"8300559"</f>
        <v>8300559</v>
      </c>
      <c r="D20217" t="s">
        <v>24136</v>
      </c>
      <c r="F20217" t="s">
        <v>21313</v>
      </c>
      <c r="I20217" t="s">
        <v>402</v>
      </c>
      <c r="J20217" t="s">
        <v>30</v>
      </c>
      <c r="K20217" t="s">
        <v>55219</v>
      </c>
      <c r="M20217" t="s">
        <v>50621</v>
      </c>
      <c r="N20217" t="str">
        <f>"9/20/2023 9:31:00 AM"</f>
        <v>9/20/2023 9:31:00 AM</v>
      </c>
      <c r="O20217" t="s">
        <v>24136</v>
      </c>
    </row>
    <row r="20218" spans="1:20" x14ac:dyDescent="0.25">
      <c r="A20218" t="str">
        <f>"3048358"</f>
        <v>3048358</v>
      </c>
      <c r="B20218" t="s">
        <v>61800</v>
      </c>
      <c r="C20218" t="str">
        <f>"8320988"</f>
        <v>8320988</v>
      </c>
      <c r="D20218" t="s">
        <v>61801</v>
      </c>
      <c r="E20218" t="s">
        <v>61802</v>
      </c>
      <c r="F20218" t="s">
        <v>61803</v>
      </c>
      <c r="I20218" t="s">
        <v>29</v>
      </c>
      <c r="J20218" t="s">
        <v>30</v>
      </c>
      <c r="K20218" t="s">
        <v>10826</v>
      </c>
      <c r="M20218" t="s">
        <v>50500</v>
      </c>
      <c r="N20218" t="str">
        <f>"9/20/2023 1:37:00 PM"</f>
        <v>9/20/2023 1:37:00 PM</v>
      </c>
      <c r="O20218" t="s">
        <v>61801</v>
      </c>
      <c r="T20218" t="s">
        <v>61802</v>
      </c>
    </row>
    <row r="20219" spans="1:20" x14ac:dyDescent="0.25">
      <c r="A20219" t="str">
        <f>"3037424"</f>
        <v>3037424</v>
      </c>
      <c r="B20219" t="s">
        <v>61804</v>
      </c>
      <c r="C20219" t="str">
        <f>"8320989"</f>
        <v>8320989</v>
      </c>
      <c r="D20219" t="s">
        <v>54845</v>
      </c>
      <c r="E20219" t="s">
        <v>61805</v>
      </c>
      <c r="F20219" t="s">
        <v>54846</v>
      </c>
      <c r="I20219" t="s">
        <v>8536</v>
      </c>
      <c r="J20219" t="s">
        <v>30</v>
      </c>
      <c r="K20219" t="s">
        <v>54847</v>
      </c>
      <c r="M20219" t="s">
        <v>50500</v>
      </c>
      <c r="N20219" t="str">
        <f>"9/20/2023 2:26:00 PM"</f>
        <v>9/20/2023 2:26:00 PM</v>
      </c>
      <c r="O20219" t="s">
        <v>54845</v>
      </c>
      <c r="T20219" t="s">
        <v>61805</v>
      </c>
    </row>
    <row r="20220" spans="1:20" x14ac:dyDescent="0.25">
      <c r="A20220" t="str">
        <f>"3048127"</f>
        <v>3048127</v>
      </c>
      <c r="B20220" t="s">
        <v>61806</v>
      </c>
      <c r="C20220" t="str">
        <f>"8318556"</f>
        <v>8318556</v>
      </c>
      <c r="D20220" t="s">
        <v>61807</v>
      </c>
      <c r="E20220" t="s">
        <v>61808</v>
      </c>
      <c r="F20220" t="s">
        <v>61809</v>
      </c>
      <c r="I20220" t="s">
        <v>184</v>
      </c>
      <c r="J20220" t="s">
        <v>30</v>
      </c>
      <c r="K20220" t="s">
        <v>52161</v>
      </c>
      <c r="M20220" t="s">
        <v>50621</v>
      </c>
      <c r="N20220" t="str">
        <f>"9/19/2023 11:10:00 AM"</f>
        <v>9/19/2023 11:10:00 AM</v>
      </c>
      <c r="O20220" t="s">
        <v>61807</v>
      </c>
      <c r="T20220" t="s">
        <v>61808</v>
      </c>
    </row>
    <row r="20221" spans="1:20" x14ac:dyDescent="0.25">
      <c r="A20221" t="str">
        <f>"3039989"</f>
        <v>3039989</v>
      </c>
      <c r="B20221" t="s">
        <v>61810</v>
      </c>
      <c r="C20221" t="str">
        <f>"8320975"</f>
        <v>8320975</v>
      </c>
      <c r="D20221" t="s">
        <v>61811</v>
      </c>
      <c r="F20221" t="s">
        <v>61812</v>
      </c>
      <c r="I20221" t="s">
        <v>29</v>
      </c>
      <c r="J20221" t="s">
        <v>30</v>
      </c>
      <c r="K20221" t="s">
        <v>48226</v>
      </c>
      <c r="M20221" t="s">
        <v>50500</v>
      </c>
      <c r="N20221" t="str">
        <f>"9/19/2023 11:36:00 AM"</f>
        <v>9/19/2023 11:36:00 AM</v>
      </c>
      <c r="O20221" t="s">
        <v>61811</v>
      </c>
    </row>
    <row r="20222" spans="1:20" x14ac:dyDescent="0.25">
      <c r="A20222" t="str">
        <f>"3076627"</f>
        <v>3076627</v>
      </c>
      <c r="B20222" t="s">
        <v>61813</v>
      </c>
      <c r="C20222" t="str">
        <f>"8320975"</f>
        <v>8320975</v>
      </c>
      <c r="D20222" t="s">
        <v>61811</v>
      </c>
      <c r="F20222" t="s">
        <v>61812</v>
      </c>
      <c r="I20222" t="s">
        <v>29</v>
      </c>
      <c r="J20222" t="s">
        <v>30</v>
      </c>
      <c r="K20222" t="s">
        <v>48226</v>
      </c>
      <c r="M20222" t="s">
        <v>50500</v>
      </c>
      <c r="N20222" t="str">
        <f>"9/19/2023 11:36:00 AM"</f>
        <v>9/19/2023 11:36:00 AM</v>
      </c>
      <c r="O20222" t="s">
        <v>61811</v>
      </c>
    </row>
    <row r="20223" spans="1:20" x14ac:dyDescent="0.25">
      <c r="A20223" t="str">
        <f>"3058895"</f>
        <v>3058895</v>
      </c>
      <c r="B20223" t="s">
        <v>61814</v>
      </c>
      <c r="C20223" t="str">
        <f>"8320977"</f>
        <v>8320977</v>
      </c>
      <c r="D20223" t="s">
        <v>61815</v>
      </c>
      <c r="E20223" t="s">
        <v>61816</v>
      </c>
      <c r="F20223" t="s">
        <v>61817</v>
      </c>
      <c r="I20223" t="s">
        <v>29</v>
      </c>
      <c r="J20223" t="s">
        <v>30</v>
      </c>
      <c r="K20223" t="s">
        <v>61198</v>
      </c>
      <c r="M20223" t="s">
        <v>50500</v>
      </c>
      <c r="N20223" t="str">
        <f>"9/19/2023 12:22:00 PM"</f>
        <v>9/19/2023 12:22:00 PM</v>
      </c>
      <c r="O20223" t="s">
        <v>61815</v>
      </c>
      <c r="T20223" t="s">
        <v>61816</v>
      </c>
    </row>
    <row r="20224" spans="1:20" x14ac:dyDescent="0.25">
      <c r="A20224" t="str">
        <f>"3058436"</f>
        <v>3058436</v>
      </c>
      <c r="B20224" t="s">
        <v>61818</v>
      </c>
      <c r="C20224" t="str">
        <f>"8320980"</f>
        <v>8320980</v>
      </c>
      <c r="D20224" t="s">
        <v>61819</v>
      </c>
      <c r="E20224" t="s">
        <v>61820</v>
      </c>
      <c r="F20224" t="s">
        <v>61821</v>
      </c>
      <c r="I20224" t="s">
        <v>29</v>
      </c>
      <c r="J20224" t="s">
        <v>30</v>
      </c>
      <c r="K20224" t="s">
        <v>60905</v>
      </c>
      <c r="M20224" t="s">
        <v>50500</v>
      </c>
      <c r="N20224" t="str">
        <f>"9/19/2023 2:30:00 PM"</f>
        <v>9/19/2023 2:30:00 PM</v>
      </c>
      <c r="O20224" t="s">
        <v>61819</v>
      </c>
      <c r="T20224" t="s">
        <v>61820</v>
      </c>
    </row>
    <row r="20225" spans="1:20" x14ac:dyDescent="0.25">
      <c r="A20225" t="str">
        <f>"3061792"</f>
        <v>3061792</v>
      </c>
      <c r="B20225" t="s">
        <v>61822</v>
      </c>
      <c r="C20225" t="str">
        <f>"8320982"</f>
        <v>8320982</v>
      </c>
      <c r="D20225" t="s">
        <v>61823</v>
      </c>
      <c r="F20225" t="s">
        <v>61824</v>
      </c>
      <c r="I20225" t="s">
        <v>2071</v>
      </c>
      <c r="J20225" t="s">
        <v>30</v>
      </c>
      <c r="K20225" t="s">
        <v>52021</v>
      </c>
      <c r="M20225" t="s">
        <v>50500</v>
      </c>
      <c r="N20225" t="str">
        <f>"9/20/2023 8:36:00 AM"</f>
        <v>9/20/2023 8:36:00 AM</v>
      </c>
      <c r="O20225" t="s">
        <v>61823</v>
      </c>
    </row>
    <row r="20226" spans="1:20" x14ac:dyDescent="0.25">
      <c r="A20226" t="str">
        <f>"3037502"</f>
        <v>3037502</v>
      </c>
      <c r="B20226" t="s">
        <v>61825</v>
      </c>
      <c r="C20226" t="str">
        <f>"8320989"</f>
        <v>8320989</v>
      </c>
      <c r="D20226" t="s">
        <v>54845</v>
      </c>
      <c r="E20226" t="s">
        <v>61805</v>
      </c>
      <c r="F20226" t="s">
        <v>54846</v>
      </c>
      <c r="I20226" t="s">
        <v>8536</v>
      </c>
      <c r="J20226" t="s">
        <v>30</v>
      </c>
      <c r="K20226" t="s">
        <v>54847</v>
      </c>
      <c r="M20226" t="s">
        <v>50500</v>
      </c>
      <c r="N20226" t="str">
        <f>"9/20/2023 2:26:00 PM"</f>
        <v>9/20/2023 2:26:00 PM</v>
      </c>
      <c r="O20226" t="s">
        <v>54845</v>
      </c>
      <c r="T20226" t="s">
        <v>61805</v>
      </c>
    </row>
    <row r="20227" spans="1:20" x14ac:dyDescent="0.25">
      <c r="A20227" t="str">
        <f>"3059503"</f>
        <v>3059503</v>
      </c>
      <c r="B20227" t="s">
        <v>61826</v>
      </c>
      <c r="C20227" t="str">
        <f>"8320992"</f>
        <v>8320992</v>
      </c>
      <c r="D20227" t="s">
        <v>61827</v>
      </c>
      <c r="F20227" t="s">
        <v>61828</v>
      </c>
      <c r="I20227" t="s">
        <v>29</v>
      </c>
      <c r="J20227" t="s">
        <v>30</v>
      </c>
      <c r="K20227" t="s">
        <v>13170</v>
      </c>
      <c r="M20227" t="s">
        <v>17861</v>
      </c>
      <c r="N20227" t="str">
        <f>"9/21/2023 9:27:00 AM"</f>
        <v>9/21/2023 9:27:00 AM</v>
      </c>
      <c r="O20227" t="s">
        <v>61827</v>
      </c>
    </row>
    <row r="20228" spans="1:20" x14ac:dyDescent="0.25">
      <c r="A20228" t="str">
        <f>"3061740"</f>
        <v>3061740</v>
      </c>
      <c r="B20228" t="s">
        <v>61829</v>
      </c>
      <c r="C20228" t="str">
        <f>"8320994"</f>
        <v>8320994</v>
      </c>
      <c r="D20228" t="s">
        <v>61830</v>
      </c>
      <c r="E20228" t="s">
        <v>61831</v>
      </c>
      <c r="F20228" t="s">
        <v>61832</v>
      </c>
      <c r="I20228" t="s">
        <v>2071</v>
      </c>
      <c r="J20228" t="s">
        <v>30</v>
      </c>
      <c r="K20228" t="s">
        <v>45717</v>
      </c>
      <c r="M20228" t="s">
        <v>17861</v>
      </c>
      <c r="N20228" t="str">
        <f>"9/21/2023 11:47:00 AM"</f>
        <v>9/21/2023 11:47:00 AM</v>
      </c>
      <c r="O20228" t="s">
        <v>61830</v>
      </c>
      <c r="T20228" t="s">
        <v>61831</v>
      </c>
    </row>
    <row r="20229" spans="1:20" x14ac:dyDescent="0.25">
      <c r="A20229" t="str">
        <f>"3039403"</f>
        <v>3039403</v>
      </c>
      <c r="B20229" t="s">
        <v>61833</v>
      </c>
      <c r="C20229" t="str">
        <f>"8314639"</f>
        <v>8314639</v>
      </c>
      <c r="D20229" t="s">
        <v>61834</v>
      </c>
      <c r="F20229" t="s">
        <v>45155</v>
      </c>
      <c r="I20229" t="s">
        <v>184</v>
      </c>
      <c r="J20229" t="s">
        <v>30</v>
      </c>
      <c r="K20229" t="s">
        <v>61835</v>
      </c>
      <c r="M20229" t="s">
        <v>50621</v>
      </c>
      <c r="N20229" t="str">
        <f>"9/22/2023 9:46:00 AM"</f>
        <v>9/22/2023 9:46:00 AM</v>
      </c>
      <c r="O20229" t="s">
        <v>61834</v>
      </c>
    </row>
    <row r="20230" spans="1:20" x14ac:dyDescent="0.25">
      <c r="A20230" t="str">
        <f>"3058872"</f>
        <v>3058872</v>
      </c>
      <c r="B20230" t="s">
        <v>61836</v>
      </c>
      <c r="C20230" t="str">
        <f>"8321015"</f>
        <v>8321015</v>
      </c>
      <c r="D20230" t="s">
        <v>61837</v>
      </c>
      <c r="E20230" t="s">
        <v>61838</v>
      </c>
      <c r="F20230" t="s">
        <v>61839</v>
      </c>
      <c r="I20230" t="s">
        <v>29</v>
      </c>
      <c r="J20230" t="s">
        <v>30</v>
      </c>
      <c r="K20230" t="s">
        <v>61198</v>
      </c>
      <c r="M20230" t="s">
        <v>17861</v>
      </c>
      <c r="N20230" t="str">
        <f>"9/29/2023 10:48:00 AM"</f>
        <v>9/29/2023 10:48:00 AM</v>
      </c>
      <c r="O20230" t="s">
        <v>61837</v>
      </c>
      <c r="T20230" t="s">
        <v>61838</v>
      </c>
    </row>
    <row r="20231" spans="1:20" x14ac:dyDescent="0.25">
      <c r="A20231" t="str">
        <f>"3078420"</f>
        <v>3078420</v>
      </c>
      <c r="B20231" t="s">
        <v>61840</v>
      </c>
      <c r="C20231" t="str">
        <f>"8321022"</f>
        <v>8321022</v>
      </c>
      <c r="D20231" t="s">
        <v>61841</v>
      </c>
      <c r="F20231" t="s">
        <v>61842</v>
      </c>
      <c r="I20231" t="s">
        <v>29</v>
      </c>
      <c r="J20231" t="s">
        <v>30</v>
      </c>
      <c r="K20231" t="s">
        <v>60818</v>
      </c>
      <c r="M20231" t="s">
        <v>17861</v>
      </c>
      <c r="N20231" t="str">
        <f>"9/29/2023 2:04:00 PM"</f>
        <v>9/29/2023 2:04:00 PM</v>
      </c>
      <c r="O20231" t="s">
        <v>61841</v>
      </c>
    </row>
    <row r="20232" spans="1:20" x14ac:dyDescent="0.25">
      <c r="A20232" t="str">
        <f>"3058433"</f>
        <v>3058433</v>
      </c>
      <c r="B20232" t="s">
        <v>61843</v>
      </c>
      <c r="C20232" t="str">
        <f>"8321023"</f>
        <v>8321023</v>
      </c>
      <c r="D20232" t="s">
        <v>61844</v>
      </c>
      <c r="E20232" t="s">
        <v>61845</v>
      </c>
      <c r="F20232" t="s">
        <v>61846</v>
      </c>
      <c r="I20232" t="s">
        <v>29</v>
      </c>
      <c r="J20232" t="s">
        <v>30</v>
      </c>
      <c r="K20232" t="s">
        <v>60905</v>
      </c>
      <c r="M20232" t="s">
        <v>17861</v>
      </c>
      <c r="N20232" t="str">
        <f>"9/29/2023 2:06:00 PM"</f>
        <v>9/29/2023 2:06:00 PM</v>
      </c>
      <c r="O20232" t="s">
        <v>61844</v>
      </c>
      <c r="T20232" t="s">
        <v>61845</v>
      </c>
    </row>
    <row r="20233" spans="1:20" x14ac:dyDescent="0.25">
      <c r="A20233" t="str">
        <f>"3045002"</f>
        <v>3045002</v>
      </c>
      <c r="B20233" t="s">
        <v>61847</v>
      </c>
      <c r="C20233" t="str">
        <f>"8321026"</f>
        <v>8321026</v>
      </c>
      <c r="D20233" t="s">
        <v>61848</v>
      </c>
      <c r="E20233" t="s">
        <v>61849</v>
      </c>
      <c r="F20233" t="s">
        <v>61850</v>
      </c>
      <c r="I20233" t="s">
        <v>2280</v>
      </c>
      <c r="J20233" t="s">
        <v>30</v>
      </c>
      <c r="K20233" t="s">
        <v>61851</v>
      </c>
      <c r="M20233" t="s">
        <v>17861</v>
      </c>
      <c r="N20233" t="str">
        <f>"9/29/2023 2:18:00 PM"</f>
        <v>9/29/2023 2:18:00 PM</v>
      </c>
      <c r="O20233" t="s">
        <v>61848</v>
      </c>
      <c r="T20233" t="s">
        <v>61849</v>
      </c>
    </row>
    <row r="20234" spans="1:20" x14ac:dyDescent="0.25">
      <c r="A20234" t="str">
        <f>"3038562"</f>
        <v>3038562</v>
      </c>
      <c r="B20234" t="s">
        <v>61852</v>
      </c>
      <c r="C20234" t="str">
        <f>"8321028"</f>
        <v>8321028</v>
      </c>
      <c r="D20234" t="s">
        <v>61853</v>
      </c>
      <c r="E20234" t="s">
        <v>61854</v>
      </c>
      <c r="F20234" t="s">
        <v>61855</v>
      </c>
      <c r="I20234" t="s">
        <v>29</v>
      </c>
      <c r="J20234" t="s">
        <v>30</v>
      </c>
      <c r="K20234" t="s">
        <v>61856</v>
      </c>
      <c r="M20234" t="s">
        <v>17861</v>
      </c>
      <c r="N20234" t="str">
        <f>"9/29/2023 2:24:00 PM"</f>
        <v>9/29/2023 2:24:00 PM</v>
      </c>
      <c r="O20234" t="s">
        <v>61853</v>
      </c>
      <c r="T20234" t="s">
        <v>61854</v>
      </c>
    </row>
    <row r="20235" spans="1:20" x14ac:dyDescent="0.25">
      <c r="A20235" t="str">
        <f>"3048818"</f>
        <v>3048818</v>
      </c>
      <c r="B20235" t="s">
        <v>61857</v>
      </c>
      <c r="C20235" t="str">
        <f>"8321029"</f>
        <v>8321029</v>
      </c>
      <c r="D20235" t="s">
        <v>41570</v>
      </c>
      <c r="E20235" t="s">
        <v>61858</v>
      </c>
      <c r="F20235" t="s">
        <v>41572</v>
      </c>
      <c r="I20235" t="s">
        <v>29</v>
      </c>
      <c r="J20235" t="s">
        <v>30</v>
      </c>
      <c r="K20235" t="s">
        <v>35172</v>
      </c>
      <c r="M20235" t="s">
        <v>17861</v>
      </c>
      <c r="N20235" t="str">
        <f>"9/29/2023 2:33:00 PM"</f>
        <v>9/29/2023 2:33:00 PM</v>
      </c>
      <c r="O20235" t="s">
        <v>41570</v>
      </c>
      <c r="T20235" t="s">
        <v>61858</v>
      </c>
    </row>
    <row r="20236" spans="1:20" x14ac:dyDescent="0.25">
      <c r="A20236" t="str">
        <f>"3058432"</f>
        <v>3058432</v>
      </c>
      <c r="B20236" t="s">
        <v>61859</v>
      </c>
      <c r="C20236" t="str">
        <f>"8321030"</f>
        <v>8321030</v>
      </c>
      <c r="D20236" t="s">
        <v>61860</v>
      </c>
      <c r="F20236" t="s">
        <v>61861</v>
      </c>
      <c r="I20236" t="s">
        <v>29</v>
      </c>
      <c r="J20236" t="s">
        <v>30</v>
      </c>
      <c r="K20236" t="s">
        <v>60905</v>
      </c>
      <c r="M20236" t="s">
        <v>17861</v>
      </c>
      <c r="N20236" t="str">
        <f>"9/29/2023 2:39:00 PM"</f>
        <v>9/29/2023 2:39:00 PM</v>
      </c>
      <c r="O20236" t="s">
        <v>61860</v>
      </c>
    </row>
    <row r="20237" spans="1:20" x14ac:dyDescent="0.25">
      <c r="A20237" t="str">
        <f>"3039808"</f>
        <v>3039808</v>
      </c>
      <c r="B20237" t="s">
        <v>61862</v>
      </c>
      <c r="C20237" t="str">
        <f>"8320674"</f>
        <v>8320674</v>
      </c>
      <c r="D20237" t="s">
        <v>61863</v>
      </c>
      <c r="F20237" t="s">
        <v>61864</v>
      </c>
      <c r="I20237" t="s">
        <v>184</v>
      </c>
      <c r="J20237" t="s">
        <v>30</v>
      </c>
      <c r="K20237" t="s">
        <v>61865</v>
      </c>
      <c r="M20237" t="s">
        <v>17861</v>
      </c>
      <c r="N20237" t="str">
        <f>"9/29/2023 2:47:00 PM"</f>
        <v>9/29/2023 2:47:00 PM</v>
      </c>
      <c r="O20237" t="s">
        <v>61863</v>
      </c>
    </row>
    <row r="20238" spans="1:20" x14ac:dyDescent="0.25">
      <c r="A20238" t="str">
        <f>"3058425"</f>
        <v>3058425</v>
      </c>
      <c r="B20238" t="s">
        <v>61866</v>
      </c>
      <c r="C20238" t="str">
        <f>"8321033"</f>
        <v>8321033</v>
      </c>
      <c r="D20238" t="s">
        <v>61867</v>
      </c>
      <c r="F20238" t="s">
        <v>61868</v>
      </c>
      <c r="I20238" t="s">
        <v>61869</v>
      </c>
      <c r="J20238" t="s">
        <v>3737</v>
      </c>
      <c r="K20238" t="s">
        <v>61870</v>
      </c>
      <c r="M20238" t="s">
        <v>17861</v>
      </c>
      <c r="N20238" t="str">
        <f>"9/29/2023 2:59:00 PM"</f>
        <v>9/29/2023 2:59:00 PM</v>
      </c>
      <c r="O20238" t="s">
        <v>61867</v>
      </c>
    </row>
    <row r="20239" spans="1:20" x14ac:dyDescent="0.25">
      <c r="A20239" t="str">
        <f>"3060348"</f>
        <v>3060348</v>
      </c>
      <c r="B20239" t="s">
        <v>61871</v>
      </c>
      <c r="C20239" t="str">
        <f>"8321034"</f>
        <v>8321034</v>
      </c>
      <c r="D20239" t="s">
        <v>61872</v>
      </c>
      <c r="F20239" t="s">
        <v>61873</v>
      </c>
      <c r="I20239" t="s">
        <v>29</v>
      </c>
      <c r="J20239" t="s">
        <v>30</v>
      </c>
      <c r="K20239" t="s">
        <v>48196</v>
      </c>
      <c r="M20239" t="s">
        <v>17861</v>
      </c>
      <c r="N20239" t="str">
        <f>"9/29/2023 3:03:00 PM"</f>
        <v>9/29/2023 3:03:00 PM</v>
      </c>
      <c r="O20239" t="s">
        <v>61872</v>
      </c>
    </row>
    <row r="20240" spans="1:20" x14ac:dyDescent="0.25">
      <c r="A20240" t="str">
        <f>"3057534"</f>
        <v>3057534</v>
      </c>
      <c r="B20240" t="s">
        <v>61874</v>
      </c>
      <c r="C20240" t="str">
        <f>"8321034"</f>
        <v>8321034</v>
      </c>
      <c r="D20240" t="s">
        <v>61872</v>
      </c>
      <c r="F20240" t="s">
        <v>61873</v>
      </c>
      <c r="I20240" t="s">
        <v>29</v>
      </c>
      <c r="J20240" t="s">
        <v>30</v>
      </c>
      <c r="K20240" t="s">
        <v>48196</v>
      </c>
      <c r="M20240" t="s">
        <v>17861</v>
      </c>
      <c r="N20240" t="str">
        <f>"9/29/2023 3:03:00 PM"</f>
        <v>9/29/2023 3:03:00 PM</v>
      </c>
      <c r="O20240" t="s">
        <v>61872</v>
      </c>
    </row>
    <row r="20241" spans="1:20" x14ac:dyDescent="0.25">
      <c r="A20241" t="str">
        <f>"3057463"</f>
        <v>3057463</v>
      </c>
      <c r="B20241" t="s">
        <v>61875</v>
      </c>
      <c r="C20241" t="str">
        <f>"8321034"</f>
        <v>8321034</v>
      </c>
      <c r="D20241" t="s">
        <v>61872</v>
      </c>
      <c r="F20241" t="s">
        <v>61873</v>
      </c>
      <c r="I20241" t="s">
        <v>29</v>
      </c>
      <c r="J20241" t="s">
        <v>30</v>
      </c>
      <c r="K20241" t="s">
        <v>48196</v>
      </c>
      <c r="M20241" t="s">
        <v>17861</v>
      </c>
      <c r="N20241" t="str">
        <f>"9/29/2023 3:03:00 PM"</f>
        <v>9/29/2023 3:03:00 PM</v>
      </c>
      <c r="O20241" t="s">
        <v>61872</v>
      </c>
    </row>
    <row r="20242" spans="1:20" x14ac:dyDescent="0.25">
      <c r="A20242" t="str">
        <f>"3060094"</f>
        <v>3060094</v>
      </c>
      <c r="B20242" t="s">
        <v>61876</v>
      </c>
      <c r="C20242" t="str">
        <f>"8321035"</f>
        <v>8321035</v>
      </c>
      <c r="D20242" t="s">
        <v>61877</v>
      </c>
      <c r="F20242" t="s">
        <v>61878</v>
      </c>
      <c r="I20242" t="s">
        <v>184</v>
      </c>
      <c r="J20242" t="s">
        <v>30</v>
      </c>
      <c r="K20242" t="s">
        <v>10721</v>
      </c>
      <c r="M20242" t="s">
        <v>17861</v>
      </c>
      <c r="N20242" t="str">
        <f>"9/29/2023 3:08:00 PM"</f>
        <v>9/29/2023 3:08:00 PM</v>
      </c>
      <c r="O20242" t="s">
        <v>61877</v>
      </c>
    </row>
    <row r="20243" spans="1:20" x14ac:dyDescent="0.25">
      <c r="A20243" t="str">
        <f>"3070948"</f>
        <v>3070948</v>
      </c>
      <c r="B20243" t="s">
        <v>61879</v>
      </c>
      <c r="C20243" t="str">
        <f>"8321036"</f>
        <v>8321036</v>
      </c>
      <c r="D20243" t="s">
        <v>61880</v>
      </c>
      <c r="F20243" t="s">
        <v>61881</v>
      </c>
      <c r="I20243" t="s">
        <v>17921</v>
      </c>
      <c r="J20243" t="s">
        <v>30</v>
      </c>
      <c r="K20243" t="str">
        <f>"27028"</f>
        <v>27028</v>
      </c>
      <c r="M20243" t="s">
        <v>17861</v>
      </c>
      <c r="N20243" t="str">
        <f>"9/29/2023 3:09:00 PM"</f>
        <v>9/29/2023 3:09:00 PM</v>
      </c>
      <c r="O20243" t="s">
        <v>61880</v>
      </c>
    </row>
    <row r="20244" spans="1:20" x14ac:dyDescent="0.25">
      <c r="A20244" t="str">
        <f>"3049246"</f>
        <v>3049246</v>
      </c>
      <c r="B20244" t="s">
        <v>61882</v>
      </c>
      <c r="C20244" t="str">
        <f>"8321018"</f>
        <v>8321018</v>
      </c>
      <c r="D20244" t="s">
        <v>61883</v>
      </c>
      <c r="E20244" t="s">
        <v>61884</v>
      </c>
      <c r="F20244" t="s">
        <v>61885</v>
      </c>
      <c r="I20244" t="s">
        <v>184</v>
      </c>
      <c r="J20244" t="s">
        <v>30</v>
      </c>
      <c r="K20244" t="s">
        <v>32261</v>
      </c>
      <c r="M20244" t="s">
        <v>17861</v>
      </c>
      <c r="N20244" t="str">
        <f>"9/29/2023 11:16:00 AM"</f>
        <v>9/29/2023 11:16:00 AM</v>
      </c>
      <c r="O20244" t="s">
        <v>61883</v>
      </c>
      <c r="T20244" t="s">
        <v>61884</v>
      </c>
    </row>
    <row r="20245" spans="1:20" x14ac:dyDescent="0.25">
      <c r="A20245" t="str">
        <f>"3045450"</f>
        <v>3045450</v>
      </c>
      <c r="B20245" t="s">
        <v>61886</v>
      </c>
      <c r="C20245" t="str">
        <f>"82514332"</f>
        <v>82514332</v>
      </c>
      <c r="D20245" t="s">
        <v>61887</v>
      </c>
      <c r="E20245" t="s">
        <v>61888</v>
      </c>
      <c r="F20245" t="s">
        <v>61889</v>
      </c>
      <c r="I20245" t="s">
        <v>29</v>
      </c>
      <c r="J20245" t="s">
        <v>30</v>
      </c>
      <c r="K20245" t="s">
        <v>9462</v>
      </c>
      <c r="M20245" t="s">
        <v>50793</v>
      </c>
      <c r="N20245" t="str">
        <f>"9/27/2023 9:39:00 AM"</f>
        <v>9/27/2023 9:39:00 AM</v>
      </c>
      <c r="O20245" t="s">
        <v>61887</v>
      </c>
      <c r="T20245" t="s">
        <v>61888</v>
      </c>
    </row>
    <row r="20246" spans="1:20" x14ac:dyDescent="0.25">
      <c r="A20246" t="str">
        <f>"3078666"</f>
        <v>3078666</v>
      </c>
      <c r="B20246" t="s">
        <v>61890</v>
      </c>
      <c r="C20246" t="str">
        <f>"8321043"</f>
        <v>8321043</v>
      </c>
      <c r="D20246" t="s">
        <v>61891</v>
      </c>
      <c r="F20246" t="s">
        <v>61892</v>
      </c>
      <c r="I20246" t="s">
        <v>29</v>
      </c>
      <c r="J20246" t="s">
        <v>30</v>
      </c>
      <c r="K20246" t="s">
        <v>61893</v>
      </c>
      <c r="M20246" t="s">
        <v>17861</v>
      </c>
      <c r="N20246" t="str">
        <f>"9/29/2023 3:27:00 PM"</f>
        <v>9/29/2023 3:27:00 PM</v>
      </c>
      <c r="O20246" t="s">
        <v>61891</v>
      </c>
    </row>
    <row r="20247" spans="1:20" x14ac:dyDescent="0.25">
      <c r="A20247" t="str">
        <f>"3058873"</f>
        <v>3058873</v>
      </c>
      <c r="B20247" t="s">
        <v>61894</v>
      </c>
      <c r="C20247" t="str">
        <f>"8321044"</f>
        <v>8321044</v>
      </c>
      <c r="D20247" t="s">
        <v>61895</v>
      </c>
      <c r="F20247" t="s">
        <v>61896</v>
      </c>
      <c r="I20247" t="s">
        <v>29</v>
      </c>
      <c r="J20247" t="s">
        <v>30</v>
      </c>
      <c r="K20247" t="s">
        <v>61198</v>
      </c>
      <c r="M20247" t="s">
        <v>17861</v>
      </c>
      <c r="N20247" t="str">
        <f>"9/29/2023 3:28:00 PM"</f>
        <v>9/29/2023 3:28:00 PM</v>
      </c>
      <c r="O20247" t="s">
        <v>61895</v>
      </c>
    </row>
    <row r="20248" spans="1:20" x14ac:dyDescent="0.25">
      <c r="A20248" t="str">
        <f>"3068232"</f>
        <v>3068232</v>
      </c>
      <c r="B20248" t="s">
        <v>61897</v>
      </c>
      <c r="C20248" t="str">
        <f>"8321045"</f>
        <v>8321045</v>
      </c>
      <c r="D20248" t="s">
        <v>61898</v>
      </c>
      <c r="F20248" t="s">
        <v>61899</v>
      </c>
      <c r="I20248" t="s">
        <v>184</v>
      </c>
      <c r="J20248" t="s">
        <v>30</v>
      </c>
      <c r="K20248" t="s">
        <v>35543</v>
      </c>
      <c r="M20248" t="s">
        <v>17861</v>
      </c>
      <c r="N20248" t="str">
        <f>"9/29/2023 3:37:00 PM"</f>
        <v>9/29/2023 3:37:00 PM</v>
      </c>
      <c r="O20248" t="s">
        <v>61898</v>
      </c>
    </row>
    <row r="20249" spans="1:20" x14ac:dyDescent="0.25">
      <c r="A20249" t="str">
        <f>"3060835"</f>
        <v>3060835</v>
      </c>
      <c r="B20249" t="s">
        <v>61900</v>
      </c>
      <c r="C20249" t="str">
        <f>"8321046"</f>
        <v>8321046</v>
      </c>
      <c r="D20249" t="s">
        <v>61901</v>
      </c>
      <c r="E20249" t="s">
        <v>61902</v>
      </c>
      <c r="F20249" t="s">
        <v>61903</v>
      </c>
      <c r="I20249" t="s">
        <v>184</v>
      </c>
      <c r="J20249" t="s">
        <v>30</v>
      </c>
      <c r="K20249" t="s">
        <v>61904</v>
      </c>
      <c r="M20249" t="s">
        <v>17861</v>
      </c>
      <c r="N20249" t="str">
        <f>"9/29/2023 3:38:00 PM"</f>
        <v>9/29/2023 3:38:00 PM</v>
      </c>
      <c r="O20249" t="s">
        <v>61901</v>
      </c>
      <c r="T20249" t="s">
        <v>61902</v>
      </c>
    </row>
    <row r="20250" spans="1:20" x14ac:dyDescent="0.25">
      <c r="A20250" t="str">
        <f>"3050515"</f>
        <v>3050515</v>
      </c>
      <c r="B20250" t="s">
        <v>61905</v>
      </c>
      <c r="C20250" t="str">
        <f>"8321047"</f>
        <v>8321047</v>
      </c>
      <c r="D20250" t="s">
        <v>61906</v>
      </c>
      <c r="E20250" t="s">
        <v>61907</v>
      </c>
      <c r="F20250" t="s">
        <v>44712</v>
      </c>
      <c r="I20250" t="s">
        <v>184</v>
      </c>
      <c r="J20250" t="s">
        <v>30</v>
      </c>
      <c r="K20250" t="s">
        <v>31882</v>
      </c>
      <c r="M20250" t="s">
        <v>17861</v>
      </c>
      <c r="N20250" t="str">
        <f>"9/29/2023 3:41:00 PM"</f>
        <v>9/29/2023 3:41:00 PM</v>
      </c>
      <c r="O20250" t="s">
        <v>61906</v>
      </c>
      <c r="T20250" t="s">
        <v>61907</v>
      </c>
    </row>
    <row r="20251" spans="1:20" x14ac:dyDescent="0.25">
      <c r="A20251" t="str">
        <f>"3078709"</f>
        <v>3078709</v>
      </c>
      <c r="B20251" t="s">
        <v>61908</v>
      </c>
      <c r="C20251" t="str">
        <f>"8321048"</f>
        <v>8321048</v>
      </c>
      <c r="D20251" t="s">
        <v>61909</v>
      </c>
      <c r="F20251" t="s">
        <v>61910</v>
      </c>
      <c r="I20251" t="s">
        <v>184</v>
      </c>
      <c r="J20251" t="s">
        <v>30</v>
      </c>
      <c r="K20251" t="s">
        <v>61911</v>
      </c>
      <c r="M20251" t="s">
        <v>17861</v>
      </c>
      <c r="N20251" t="str">
        <f>"9/29/2023 3:45:00 PM"</f>
        <v>9/29/2023 3:45:00 PM</v>
      </c>
      <c r="O20251" t="s">
        <v>61909</v>
      </c>
    </row>
    <row r="20252" spans="1:20" x14ac:dyDescent="0.25">
      <c r="A20252" t="str">
        <f>"3076877"</f>
        <v>3076877</v>
      </c>
      <c r="B20252" t="s">
        <v>61912</v>
      </c>
      <c r="C20252" t="str">
        <f>"8321049"</f>
        <v>8321049</v>
      </c>
      <c r="D20252" t="s">
        <v>61913</v>
      </c>
      <c r="F20252" t="s">
        <v>61914</v>
      </c>
      <c r="I20252" t="s">
        <v>37425</v>
      </c>
      <c r="J20252" t="s">
        <v>30</v>
      </c>
      <c r="K20252" t="s">
        <v>61915</v>
      </c>
      <c r="M20252" t="s">
        <v>17861</v>
      </c>
      <c r="N20252" t="str">
        <f>"9/29/2023 3:47:00 PM"</f>
        <v>9/29/2023 3:47:00 PM</v>
      </c>
      <c r="O20252" t="s">
        <v>61913</v>
      </c>
    </row>
    <row r="20253" spans="1:20" x14ac:dyDescent="0.25">
      <c r="A20253" t="str">
        <f>"3058875"</f>
        <v>3058875</v>
      </c>
      <c r="B20253" t="s">
        <v>61916</v>
      </c>
      <c r="C20253" t="str">
        <f>"8321050"</f>
        <v>8321050</v>
      </c>
      <c r="D20253" t="s">
        <v>61917</v>
      </c>
      <c r="E20253" t="s">
        <v>61918</v>
      </c>
      <c r="F20253" t="s">
        <v>61919</v>
      </c>
      <c r="I20253" t="s">
        <v>29</v>
      </c>
      <c r="J20253" t="s">
        <v>30</v>
      </c>
      <c r="K20253" t="s">
        <v>61198</v>
      </c>
      <c r="M20253" t="s">
        <v>17861</v>
      </c>
      <c r="N20253" t="str">
        <f>"9/29/2023 3:51:00 PM"</f>
        <v>9/29/2023 3:51:00 PM</v>
      </c>
      <c r="O20253" t="s">
        <v>61917</v>
      </c>
      <c r="T20253" t="s">
        <v>61918</v>
      </c>
    </row>
    <row r="20254" spans="1:20" x14ac:dyDescent="0.25">
      <c r="A20254" t="str">
        <f>"3049219"</f>
        <v>3049219</v>
      </c>
      <c r="B20254" t="s">
        <v>61920</v>
      </c>
      <c r="C20254" t="str">
        <f>"8321052"</f>
        <v>8321052</v>
      </c>
      <c r="D20254" t="s">
        <v>61921</v>
      </c>
      <c r="E20254" t="s">
        <v>61922</v>
      </c>
      <c r="F20254" t="s">
        <v>61923</v>
      </c>
      <c r="I20254" t="s">
        <v>29</v>
      </c>
      <c r="J20254" t="s">
        <v>30</v>
      </c>
      <c r="K20254" t="s">
        <v>9928</v>
      </c>
      <c r="M20254" t="s">
        <v>17861</v>
      </c>
      <c r="N20254" t="str">
        <f>"9/29/2023 3:55:00 PM"</f>
        <v>9/29/2023 3:55:00 PM</v>
      </c>
      <c r="O20254" t="s">
        <v>61921</v>
      </c>
      <c r="T20254" t="s">
        <v>61922</v>
      </c>
    </row>
    <row r="20255" spans="1:20" x14ac:dyDescent="0.25">
      <c r="A20255" t="str">
        <f>"3041837"</f>
        <v>3041837</v>
      </c>
      <c r="B20255" t="s">
        <v>61924</v>
      </c>
      <c r="C20255" t="str">
        <f>"8321053"</f>
        <v>8321053</v>
      </c>
      <c r="D20255" t="s">
        <v>61925</v>
      </c>
      <c r="F20255" t="s">
        <v>61926</v>
      </c>
      <c r="I20255" t="s">
        <v>2071</v>
      </c>
      <c r="J20255" t="s">
        <v>30</v>
      </c>
      <c r="K20255" t="s">
        <v>52021</v>
      </c>
      <c r="M20255" t="s">
        <v>17861</v>
      </c>
      <c r="N20255" t="str">
        <f>"9/29/2023 3:59:00 PM"</f>
        <v>9/29/2023 3:59:00 PM</v>
      </c>
      <c r="O20255" t="s">
        <v>61925</v>
      </c>
    </row>
    <row r="20256" spans="1:20" x14ac:dyDescent="0.25">
      <c r="A20256" t="str">
        <f>"3045196"</f>
        <v>3045196</v>
      </c>
      <c r="B20256" t="s">
        <v>61927</v>
      </c>
      <c r="C20256" t="str">
        <f>"8319360"</f>
        <v>8319360</v>
      </c>
      <c r="D20256" t="str">
        <f>"ROBERTSON EDWIN/JENNIFER"</f>
        <v>ROBERTSON EDWIN/JENNIFER</v>
      </c>
      <c r="E20256" t="str">
        <f>"ROBERTSON JASON M/KIMBERLEY J"</f>
        <v>ROBERTSON JASON M/KIMBERLEY J</v>
      </c>
      <c r="F20256" t="s">
        <v>61889</v>
      </c>
      <c r="I20256" t="s">
        <v>29</v>
      </c>
      <c r="J20256" t="s">
        <v>30</v>
      </c>
      <c r="K20256" t="s">
        <v>9462</v>
      </c>
      <c r="M20256" t="s">
        <v>50793</v>
      </c>
      <c r="N20256" t="str">
        <f>"9/27/2023 9:40:00 AM"</f>
        <v>9/27/2023 9:40:00 AM</v>
      </c>
      <c r="O20256" t="str">
        <f>"ROBERTSON EDWIN/JENNIFER"</f>
        <v>ROBERTSON EDWIN/JENNIFER</v>
      </c>
      <c r="T20256" t="str">
        <f>"ROBERTSON JASON M/KIMBERLEY J"</f>
        <v>ROBERTSON JASON M/KIMBERLEY J</v>
      </c>
    </row>
    <row r="20257" spans="1:20" x14ac:dyDescent="0.25">
      <c r="A20257" t="str">
        <f>"3047443"</f>
        <v>3047443</v>
      </c>
      <c r="B20257" t="s">
        <v>61928</v>
      </c>
      <c r="C20257" t="str">
        <f>"8320995"</f>
        <v>8320995</v>
      </c>
      <c r="D20257" t="s">
        <v>61929</v>
      </c>
      <c r="F20257" t="s">
        <v>61930</v>
      </c>
      <c r="I20257" t="s">
        <v>1149</v>
      </c>
      <c r="J20257" t="s">
        <v>30</v>
      </c>
      <c r="K20257" t="s">
        <v>31345</v>
      </c>
      <c r="M20257" t="s">
        <v>17861</v>
      </c>
      <c r="N20257" t="str">
        <f>"9/27/2023 3:20:00 PM"</f>
        <v>9/27/2023 3:20:00 PM</v>
      </c>
      <c r="O20257" t="s">
        <v>61929</v>
      </c>
    </row>
    <row r="20258" spans="1:20" x14ac:dyDescent="0.25">
      <c r="A20258" t="str">
        <f>"3078378"</f>
        <v>3078378</v>
      </c>
      <c r="B20258" t="s">
        <v>61931</v>
      </c>
      <c r="C20258" t="str">
        <f>"8320995"</f>
        <v>8320995</v>
      </c>
      <c r="D20258" t="s">
        <v>61929</v>
      </c>
      <c r="F20258" t="s">
        <v>61930</v>
      </c>
      <c r="I20258" t="s">
        <v>1149</v>
      </c>
      <c r="J20258" t="s">
        <v>30</v>
      </c>
      <c r="K20258" t="s">
        <v>31345</v>
      </c>
      <c r="M20258" t="s">
        <v>17861</v>
      </c>
      <c r="N20258" t="str">
        <f>"9/27/2023 3:20:00 PM"</f>
        <v>9/27/2023 3:20:00 PM</v>
      </c>
      <c r="O20258" t="s">
        <v>61929</v>
      </c>
    </row>
    <row r="20259" spans="1:20" x14ac:dyDescent="0.25">
      <c r="A20259" t="str">
        <f>"3059538"</f>
        <v>3059538</v>
      </c>
      <c r="B20259" t="s">
        <v>61932</v>
      </c>
      <c r="C20259" t="str">
        <f>"8320996"</f>
        <v>8320996</v>
      </c>
      <c r="D20259" t="s">
        <v>61933</v>
      </c>
      <c r="F20259" t="s">
        <v>61934</v>
      </c>
      <c r="I20259" t="s">
        <v>29</v>
      </c>
      <c r="J20259" t="s">
        <v>30</v>
      </c>
      <c r="K20259" t="s">
        <v>29862</v>
      </c>
      <c r="M20259" t="s">
        <v>17861</v>
      </c>
      <c r="N20259" t="str">
        <f>"9/27/2023 3:58:00 PM"</f>
        <v>9/27/2023 3:58:00 PM</v>
      </c>
      <c r="O20259" t="s">
        <v>61933</v>
      </c>
    </row>
    <row r="20260" spans="1:20" x14ac:dyDescent="0.25">
      <c r="A20260" t="str">
        <f>"3040215"</f>
        <v>3040215</v>
      </c>
      <c r="B20260" t="s">
        <v>61935</v>
      </c>
      <c r="C20260" t="str">
        <f>"8321060"</f>
        <v>8321060</v>
      </c>
      <c r="D20260" t="s">
        <v>61936</v>
      </c>
      <c r="E20260" t="s">
        <v>61937</v>
      </c>
      <c r="F20260" t="s">
        <v>61938</v>
      </c>
      <c r="I20260" t="s">
        <v>29</v>
      </c>
      <c r="J20260" t="s">
        <v>30</v>
      </c>
      <c r="K20260" t="s">
        <v>61939</v>
      </c>
      <c r="M20260" t="s">
        <v>17861</v>
      </c>
      <c r="N20260" t="str">
        <f>"9/29/2023 4:20:00 PM"</f>
        <v>9/29/2023 4:20:00 PM</v>
      </c>
      <c r="O20260" t="s">
        <v>61936</v>
      </c>
      <c r="T20260" t="s">
        <v>61937</v>
      </c>
    </row>
    <row r="20261" spans="1:20" x14ac:dyDescent="0.25">
      <c r="A20261" t="str">
        <f>"3052903"</f>
        <v>3052903</v>
      </c>
      <c r="B20261" t="s">
        <v>61940</v>
      </c>
      <c r="C20261" t="str">
        <f>"8321061"</f>
        <v>8321061</v>
      </c>
      <c r="D20261" t="s">
        <v>61941</v>
      </c>
      <c r="F20261" t="s">
        <v>61942</v>
      </c>
      <c r="I20261" t="s">
        <v>29</v>
      </c>
      <c r="J20261" t="s">
        <v>30</v>
      </c>
      <c r="K20261" t="s">
        <v>33878</v>
      </c>
      <c r="M20261" t="s">
        <v>17861</v>
      </c>
      <c r="N20261" t="str">
        <f>"10/2/2023 8:24:00 AM"</f>
        <v>10/2/2023 8:24:00 AM</v>
      </c>
      <c r="O20261" t="s">
        <v>61941</v>
      </c>
    </row>
    <row r="20262" spans="1:20" x14ac:dyDescent="0.25">
      <c r="A20262" t="str">
        <f>"3058362"</f>
        <v>3058362</v>
      </c>
      <c r="B20262" t="s">
        <v>61943</v>
      </c>
      <c r="C20262" t="str">
        <f>"8321062"</f>
        <v>8321062</v>
      </c>
      <c r="D20262" t="s">
        <v>61944</v>
      </c>
      <c r="E20262" t="s">
        <v>61945</v>
      </c>
      <c r="F20262" t="s">
        <v>61946</v>
      </c>
      <c r="I20262" t="s">
        <v>29</v>
      </c>
      <c r="J20262" t="s">
        <v>30</v>
      </c>
      <c r="K20262" t="s">
        <v>61947</v>
      </c>
      <c r="M20262" t="s">
        <v>17861</v>
      </c>
      <c r="N20262" t="str">
        <f>"10/2/2023 8:26:00 AM"</f>
        <v>10/2/2023 8:26:00 AM</v>
      </c>
      <c r="O20262" t="s">
        <v>61944</v>
      </c>
      <c r="T20262" t="s">
        <v>61945</v>
      </c>
    </row>
    <row r="20263" spans="1:20" x14ac:dyDescent="0.25">
      <c r="A20263" t="str">
        <f>"3046713"</f>
        <v>3046713</v>
      </c>
      <c r="B20263" t="s">
        <v>61948</v>
      </c>
      <c r="C20263" t="str">
        <f>"8321063"</f>
        <v>8321063</v>
      </c>
      <c r="D20263" t="s">
        <v>61949</v>
      </c>
      <c r="E20263" t="s">
        <v>61950</v>
      </c>
      <c r="F20263" t="s">
        <v>61951</v>
      </c>
      <c r="I20263" t="s">
        <v>184</v>
      </c>
      <c r="J20263" t="s">
        <v>30</v>
      </c>
      <c r="K20263" t="s">
        <v>7850</v>
      </c>
      <c r="M20263" t="s">
        <v>17861</v>
      </c>
      <c r="N20263" t="str">
        <f>"10/2/2023 8:29:00 AM"</f>
        <v>10/2/2023 8:29:00 AM</v>
      </c>
      <c r="O20263" t="s">
        <v>61949</v>
      </c>
      <c r="T20263" t="s">
        <v>61950</v>
      </c>
    </row>
    <row r="20264" spans="1:20" x14ac:dyDescent="0.25">
      <c r="A20264" t="str">
        <f>"3039429"</f>
        <v>3039429</v>
      </c>
      <c r="B20264" t="s">
        <v>61952</v>
      </c>
      <c r="C20264" t="str">
        <f>"8321065"</f>
        <v>8321065</v>
      </c>
      <c r="D20264" t="str">
        <f>"SMITH CHARLES L/ROBIN L CLARK REV LIV TRUST"</f>
        <v>SMITH CHARLES L/ROBIN L CLARK REV LIV TRUST</v>
      </c>
      <c r="F20264" t="s">
        <v>61953</v>
      </c>
      <c r="I20264" t="s">
        <v>29</v>
      </c>
      <c r="J20264" t="s">
        <v>30</v>
      </c>
      <c r="K20264" t="s">
        <v>27246</v>
      </c>
      <c r="M20264" t="s">
        <v>17861</v>
      </c>
      <c r="N20264" t="str">
        <f>"10/2/2023 8:40:00 AM"</f>
        <v>10/2/2023 8:40:00 AM</v>
      </c>
      <c r="O20264" t="str">
        <f>"SMITH CHARLES L/ROBIN L CLARK REV LIV TRUST"</f>
        <v>SMITH CHARLES L/ROBIN L CLARK REV LIV TRUST</v>
      </c>
    </row>
    <row r="20265" spans="1:20" x14ac:dyDescent="0.25">
      <c r="A20265" t="str">
        <f>"3039274"</f>
        <v>3039274</v>
      </c>
      <c r="B20265" t="s">
        <v>61954</v>
      </c>
      <c r="C20265" t="str">
        <f>"8321065"</f>
        <v>8321065</v>
      </c>
      <c r="D20265" t="str">
        <f>"SMITH CHARLES L/ROBIN L CLARK REV LIV TRUST"</f>
        <v>SMITH CHARLES L/ROBIN L CLARK REV LIV TRUST</v>
      </c>
      <c r="F20265" t="s">
        <v>61953</v>
      </c>
      <c r="I20265" t="s">
        <v>29</v>
      </c>
      <c r="J20265" t="s">
        <v>30</v>
      </c>
      <c r="K20265" t="s">
        <v>27246</v>
      </c>
      <c r="M20265" t="s">
        <v>17861</v>
      </c>
      <c r="N20265" t="str">
        <f>"10/2/2023 8:40:00 AM"</f>
        <v>10/2/2023 8:40:00 AM</v>
      </c>
      <c r="O20265" t="str">
        <f>"SMITH CHARLES L/ROBIN L CLARK REV LIV TRUST"</f>
        <v>SMITH CHARLES L/ROBIN L CLARK REV LIV TRUST</v>
      </c>
    </row>
    <row r="20266" spans="1:20" x14ac:dyDescent="0.25">
      <c r="A20266" t="str">
        <f>"3039575"</f>
        <v>3039575</v>
      </c>
      <c r="B20266" t="s">
        <v>61955</v>
      </c>
      <c r="C20266" t="str">
        <f>"8321065"</f>
        <v>8321065</v>
      </c>
      <c r="D20266" t="str">
        <f>"SMITH CHARLES L/ROBIN L CLARK REV LIV TRUST"</f>
        <v>SMITH CHARLES L/ROBIN L CLARK REV LIV TRUST</v>
      </c>
      <c r="F20266" t="s">
        <v>61953</v>
      </c>
      <c r="I20266" t="s">
        <v>29</v>
      </c>
      <c r="J20266" t="s">
        <v>30</v>
      </c>
      <c r="K20266" t="s">
        <v>27246</v>
      </c>
      <c r="M20266" t="s">
        <v>17861</v>
      </c>
      <c r="N20266" t="str">
        <f>"10/2/2023 8:40:00 AM"</f>
        <v>10/2/2023 8:40:00 AM</v>
      </c>
      <c r="O20266" t="str">
        <f>"SMITH CHARLES L/ROBIN L CLARK REV LIV TRUST"</f>
        <v>SMITH CHARLES L/ROBIN L CLARK REV LIV TRUST</v>
      </c>
    </row>
    <row r="20267" spans="1:20" x14ac:dyDescent="0.25">
      <c r="A20267" t="str">
        <f>"3058876"</f>
        <v>3058876</v>
      </c>
      <c r="B20267" t="s">
        <v>61956</v>
      </c>
      <c r="C20267" t="str">
        <f>"8321067"</f>
        <v>8321067</v>
      </c>
      <c r="D20267" t="s">
        <v>61957</v>
      </c>
      <c r="E20267" t="s">
        <v>61958</v>
      </c>
      <c r="F20267" t="s">
        <v>61959</v>
      </c>
      <c r="I20267" t="s">
        <v>29</v>
      </c>
      <c r="J20267" t="s">
        <v>30</v>
      </c>
      <c r="K20267" t="s">
        <v>61198</v>
      </c>
      <c r="M20267" t="s">
        <v>17861</v>
      </c>
      <c r="N20267" t="str">
        <f>"10/2/2023 8:58:00 AM"</f>
        <v>10/2/2023 8:58:00 AM</v>
      </c>
      <c r="O20267" t="s">
        <v>61957</v>
      </c>
      <c r="T20267" t="s">
        <v>61958</v>
      </c>
    </row>
    <row r="20268" spans="1:20" x14ac:dyDescent="0.25">
      <c r="A20268" t="str">
        <f>"3057548"</f>
        <v>3057548</v>
      </c>
      <c r="B20268" t="s">
        <v>61960</v>
      </c>
      <c r="C20268" t="str">
        <f>"8321068"</f>
        <v>8321068</v>
      </c>
      <c r="D20268" t="s">
        <v>61961</v>
      </c>
      <c r="E20268" t="s">
        <v>61962</v>
      </c>
      <c r="F20268" t="s">
        <v>61963</v>
      </c>
      <c r="I20268" t="s">
        <v>29</v>
      </c>
      <c r="J20268" t="s">
        <v>30</v>
      </c>
      <c r="K20268" t="str">
        <f>"27028"</f>
        <v>27028</v>
      </c>
      <c r="M20268" t="s">
        <v>17861</v>
      </c>
      <c r="N20268" t="str">
        <f>"10/2/2023 9:00:00 AM"</f>
        <v>10/2/2023 9:00:00 AM</v>
      </c>
      <c r="O20268" t="s">
        <v>61961</v>
      </c>
      <c r="T20268" t="s">
        <v>61962</v>
      </c>
    </row>
    <row r="20269" spans="1:20" x14ac:dyDescent="0.25">
      <c r="A20269" t="str">
        <f>"3042379"</f>
        <v>3042379</v>
      </c>
      <c r="B20269" t="s">
        <v>61964</v>
      </c>
      <c r="C20269" t="str">
        <f>"8321069"</f>
        <v>8321069</v>
      </c>
      <c r="D20269" t="s">
        <v>61965</v>
      </c>
      <c r="E20269" t="s">
        <v>61966</v>
      </c>
      <c r="F20269" t="s">
        <v>61967</v>
      </c>
      <c r="I20269" t="s">
        <v>184</v>
      </c>
      <c r="J20269" t="s">
        <v>30</v>
      </c>
      <c r="K20269" t="s">
        <v>3433</v>
      </c>
      <c r="M20269" t="s">
        <v>17861</v>
      </c>
      <c r="N20269" t="str">
        <f>"10/2/2023 9:02:00 AM"</f>
        <v>10/2/2023 9:02:00 AM</v>
      </c>
      <c r="O20269" t="s">
        <v>61965</v>
      </c>
      <c r="T20269" t="s">
        <v>61966</v>
      </c>
    </row>
    <row r="20270" spans="1:20" x14ac:dyDescent="0.25">
      <c r="A20270" t="str">
        <f>"3076845"</f>
        <v>3076845</v>
      </c>
      <c r="B20270" t="s">
        <v>61968</v>
      </c>
      <c r="C20270" t="str">
        <f>"8315209"</f>
        <v>8315209</v>
      </c>
      <c r="D20270" t="s">
        <v>47751</v>
      </c>
      <c r="F20270" t="s">
        <v>61969</v>
      </c>
      <c r="I20270" t="s">
        <v>1107</v>
      </c>
      <c r="J20270" t="s">
        <v>30</v>
      </c>
      <c r="K20270" t="s">
        <v>61970</v>
      </c>
      <c r="M20270" t="s">
        <v>17861</v>
      </c>
      <c r="N20270" t="str">
        <f>"9/29/2023 10:39:00 AM"</f>
        <v>9/29/2023 10:39:00 AM</v>
      </c>
      <c r="O20270" t="s">
        <v>47751</v>
      </c>
    </row>
    <row r="20271" spans="1:20" x14ac:dyDescent="0.25">
      <c r="A20271" t="str">
        <f>"3058366"</f>
        <v>3058366</v>
      </c>
      <c r="B20271" t="s">
        <v>61971</v>
      </c>
      <c r="C20271" t="str">
        <f>"8321071"</f>
        <v>8321071</v>
      </c>
      <c r="D20271" t="s">
        <v>61972</v>
      </c>
      <c r="E20271" t="s">
        <v>61973</v>
      </c>
      <c r="F20271" t="s">
        <v>61974</v>
      </c>
      <c r="I20271" t="s">
        <v>29</v>
      </c>
      <c r="J20271" t="s">
        <v>30</v>
      </c>
      <c r="K20271" t="s">
        <v>56884</v>
      </c>
      <c r="M20271" t="s">
        <v>17861</v>
      </c>
      <c r="N20271" t="str">
        <f>"10/2/2023 9:09:00 AM"</f>
        <v>10/2/2023 9:09:00 AM</v>
      </c>
      <c r="O20271" t="s">
        <v>61972</v>
      </c>
      <c r="T20271" t="s">
        <v>61973</v>
      </c>
    </row>
    <row r="20272" spans="1:20" x14ac:dyDescent="0.25">
      <c r="A20272" t="str">
        <f>"3061596"</f>
        <v>3061596</v>
      </c>
      <c r="B20272" t="s">
        <v>61975</v>
      </c>
      <c r="C20272" t="str">
        <f>"8301407"</f>
        <v>8301407</v>
      </c>
      <c r="D20272" t="s">
        <v>12445</v>
      </c>
      <c r="E20272" t="s">
        <v>12446</v>
      </c>
      <c r="F20272" t="s">
        <v>61976</v>
      </c>
      <c r="I20272" t="s">
        <v>184</v>
      </c>
      <c r="J20272" t="s">
        <v>30</v>
      </c>
      <c r="K20272" t="s">
        <v>61977</v>
      </c>
      <c r="M20272" t="s">
        <v>25733</v>
      </c>
      <c r="N20272" t="str">
        <f>"10/2/2023 9:49:00 AM"</f>
        <v>10/2/2023 9:49:00 AM</v>
      </c>
      <c r="O20272" t="s">
        <v>12445</v>
      </c>
      <c r="T20272" t="s">
        <v>12446</v>
      </c>
    </row>
    <row r="20273" spans="1:20" x14ac:dyDescent="0.25">
      <c r="A20273" t="str">
        <f>"3041903"</f>
        <v>3041903</v>
      </c>
      <c r="B20273" t="s">
        <v>61978</v>
      </c>
      <c r="C20273" t="str">
        <f>"8321013"</f>
        <v>8321013</v>
      </c>
      <c r="D20273" t="s">
        <v>61979</v>
      </c>
      <c r="F20273" t="s">
        <v>61980</v>
      </c>
      <c r="I20273" t="s">
        <v>184</v>
      </c>
      <c r="J20273" t="s">
        <v>30</v>
      </c>
      <c r="K20273" t="s">
        <v>61981</v>
      </c>
      <c r="M20273" t="s">
        <v>17861</v>
      </c>
      <c r="N20273" t="str">
        <f>"9/29/2023 10:44:00 AM"</f>
        <v>9/29/2023 10:44:00 AM</v>
      </c>
      <c r="O20273" t="s">
        <v>61979</v>
      </c>
    </row>
    <row r="20274" spans="1:20" x14ac:dyDescent="0.25">
      <c r="A20274" t="str">
        <f>"3041583"</f>
        <v>3041583</v>
      </c>
      <c r="B20274" t="s">
        <v>61982</v>
      </c>
      <c r="C20274" t="str">
        <f>"8321038"</f>
        <v>8321038</v>
      </c>
      <c r="D20274" t="s">
        <v>61983</v>
      </c>
      <c r="F20274" t="s">
        <v>61984</v>
      </c>
      <c r="I20274" t="s">
        <v>2071</v>
      </c>
      <c r="J20274" t="s">
        <v>30</v>
      </c>
      <c r="K20274" t="s">
        <v>40687</v>
      </c>
      <c r="M20274" t="s">
        <v>17861</v>
      </c>
      <c r="N20274" t="str">
        <f>"9/29/2023 3:18:00 PM"</f>
        <v>9/29/2023 3:18:00 PM</v>
      </c>
      <c r="O20274" t="s">
        <v>61983</v>
      </c>
    </row>
    <row r="20275" spans="1:20" x14ac:dyDescent="0.25">
      <c r="A20275" t="str">
        <f>"3063923"</f>
        <v>3063923</v>
      </c>
      <c r="B20275" t="s">
        <v>61985</v>
      </c>
      <c r="C20275" t="str">
        <f>"8321039"</f>
        <v>8321039</v>
      </c>
      <c r="D20275" t="str">
        <f>"HEAGGANS SUSAN DULIN (1/3 INT)"</f>
        <v>HEAGGANS SUSAN DULIN (1/3 INT)</v>
      </c>
      <c r="E20275" t="str">
        <f>"DULIN HENRY WATSON JR (2/3 INT"</f>
        <v>DULIN HENRY WATSON JR (2/3 INT</v>
      </c>
      <c r="F20275" t="s">
        <v>61986</v>
      </c>
      <c r="I20275" t="s">
        <v>184</v>
      </c>
      <c r="J20275" t="s">
        <v>30</v>
      </c>
      <c r="K20275" t="s">
        <v>56455</v>
      </c>
      <c r="M20275" t="s">
        <v>17861</v>
      </c>
      <c r="N20275" t="str">
        <f>"9/29/2023 3:20:00 PM"</f>
        <v>9/29/2023 3:20:00 PM</v>
      </c>
      <c r="O20275" t="str">
        <f>"HEAGGANS SUSAN DULIN (1/3 INT)"</f>
        <v>HEAGGANS SUSAN DULIN (1/3 INT)</v>
      </c>
      <c r="T20275" t="str">
        <f>"DULIN HENRY WATSON JR (2/3 INT"</f>
        <v>DULIN HENRY WATSON JR (2/3 INT</v>
      </c>
    </row>
    <row r="20276" spans="1:20" x14ac:dyDescent="0.25">
      <c r="A20276" t="str">
        <f>"3055982"</f>
        <v>3055982</v>
      </c>
      <c r="B20276" t="s">
        <v>61987</v>
      </c>
      <c r="C20276" t="str">
        <f>"8321021"</f>
        <v>8321021</v>
      </c>
      <c r="D20276" t="s">
        <v>61988</v>
      </c>
      <c r="F20276" t="s">
        <v>19091</v>
      </c>
      <c r="I20276" t="s">
        <v>9580</v>
      </c>
      <c r="J20276" t="s">
        <v>30</v>
      </c>
      <c r="K20276" t="s">
        <v>61989</v>
      </c>
      <c r="M20276" t="s">
        <v>17861</v>
      </c>
      <c r="N20276" t="str">
        <f>"9/29/2023 1:43:00 PM"</f>
        <v>9/29/2023 1:43:00 PM</v>
      </c>
      <c r="O20276" t="s">
        <v>61988</v>
      </c>
    </row>
    <row r="20277" spans="1:20" x14ac:dyDescent="0.25">
      <c r="A20277" t="str">
        <f>"3058151"</f>
        <v>3058151</v>
      </c>
      <c r="B20277" t="s">
        <v>61990</v>
      </c>
      <c r="C20277" t="str">
        <f>"8321054"</f>
        <v>8321054</v>
      </c>
      <c r="D20277" t="str">
        <f>"JOHNSON LUTHER CHARLES/FAYE WALL REV RESIDENCE TRU"</f>
        <v>JOHNSON LUTHER CHARLES/FAYE WALL REV RESIDENCE TRU</v>
      </c>
      <c r="F20277" t="s">
        <v>61991</v>
      </c>
      <c r="I20277" t="s">
        <v>184</v>
      </c>
      <c r="J20277" t="s">
        <v>30</v>
      </c>
      <c r="K20277" t="s">
        <v>22814</v>
      </c>
      <c r="M20277" t="s">
        <v>17861</v>
      </c>
      <c r="N20277" t="str">
        <f>"9/29/2023 4:02:00 PM"</f>
        <v>9/29/2023 4:02:00 PM</v>
      </c>
      <c r="O20277" t="str">
        <f>"JOHNSON LUTHER CHARLES/FAYE WALL REV RESIDENCE TRU"</f>
        <v>JOHNSON LUTHER CHARLES/FAYE WALL REV RESIDENCE TRU</v>
      </c>
    </row>
    <row r="20278" spans="1:20" x14ac:dyDescent="0.25">
      <c r="A20278" t="str">
        <f>"3051499"</f>
        <v>3051499</v>
      </c>
      <c r="B20278" t="s">
        <v>61992</v>
      </c>
      <c r="C20278" t="str">
        <f>"8316967"</f>
        <v>8316967</v>
      </c>
      <c r="D20278" t="s">
        <v>61993</v>
      </c>
      <c r="E20278" t="s">
        <v>61994</v>
      </c>
      <c r="F20278" t="s">
        <v>61995</v>
      </c>
      <c r="I20278" t="s">
        <v>1107</v>
      </c>
      <c r="J20278" t="s">
        <v>30</v>
      </c>
      <c r="K20278" t="s">
        <v>61996</v>
      </c>
      <c r="M20278" t="s">
        <v>17861</v>
      </c>
      <c r="N20278" t="str">
        <f>"9/29/2023 4:06:00 PM"</f>
        <v>9/29/2023 4:06:00 PM</v>
      </c>
      <c r="O20278" t="s">
        <v>61993</v>
      </c>
      <c r="T20278" t="s">
        <v>61994</v>
      </c>
    </row>
    <row r="20279" spans="1:20" x14ac:dyDescent="0.25">
      <c r="A20279" t="str">
        <f>"3058386"</f>
        <v>3058386</v>
      </c>
      <c r="B20279" t="s">
        <v>61997</v>
      </c>
      <c r="C20279" t="str">
        <f>"8321056"</f>
        <v>8321056</v>
      </c>
      <c r="D20279" t="s">
        <v>61998</v>
      </c>
      <c r="F20279" t="s">
        <v>61999</v>
      </c>
      <c r="I20279" t="s">
        <v>29</v>
      </c>
      <c r="J20279" t="s">
        <v>30</v>
      </c>
      <c r="K20279" t="s">
        <v>61947</v>
      </c>
      <c r="M20279" t="s">
        <v>17861</v>
      </c>
      <c r="N20279" t="str">
        <f>"9/29/2023 4:09:00 PM"</f>
        <v>9/29/2023 4:09:00 PM</v>
      </c>
      <c r="O20279" t="s">
        <v>61998</v>
      </c>
    </row>
    <row r="20280" spans="1:20" x14ac:dyDescent="0.25">
      <c r="A20280" t="str">
        <f>"3060657"</f>
        <v>3060657</v>
      </c>
      <c r="B20280" t="s">
        <v>62000</v>
      </c>
      <c r="C20280" t="str">
        <f>"8321057"</f>
        <v>8321057</v>
      </c>
      <c r="D20280" t="s">
        <v>62001</v>
      </c>
      <c r="F20280" t="s">
        <v>62002</v>
      </c>
      <c r="I20280" t="s">
        <v>2071</v>
      </c>
      <c r="J20280" t="s">
        <v>30</v>
      </c>
      <c r="K20280" t="s">
        <v>6776</v>
      </c>
      <c r="M20280" t="s">
        <v>17861</v>
      </c>
      <c r="N20280" t="str">
        <f>"9/29/2023 4:11:00 PM"</f>
        <v>9/29/2023 4:11:00 PM</v>
      </c>
      <c r="O20280" t="s">
        <v>62001</v>
      </c>
    </row>
    <row r="20281" spans="1:20" x14ac:dyDescent="0.25">
      <c r="A20281" t="str">
        <f>"3058326"</f>
        <v>3058326</v>
      </c>
      <c r="B20281" t="s">
        <v>62003</v>
      </c>
      <c r="C20281" t="str">
        <f>"8321070"</f>
        <v>8321070</v>
      </c>
      <c r="D20281" t="s">
        <v>62004</v>
      </c>
      <c r="E20281" t="s">
        <v>62005</v>
      </c>
      <c r="F20281" t="s">
        <v>62006</v>
      </c>
      <c r="I20281" t="s">
        <v>29</v>
      </c>
      <c r="J20281" t="s">
        <v>30</v>
      </c>
      <c r="K20281" t="s">
        <v>62007</v>
      </c>
      <c r="M20281" t="s">
        <v>17861</v>
      </c>
      <c r="N20281" t="str">
        <f>"10/2/2023 9:07:00 AM"</f>
        <v>10/2/2023 9:07:00 AM</v>
      </c>
      <c r="O20281" t="s">
        <v>62004</v>
      </c>
      <c r="T20281" t="s">
        <v>62005</v>
      </c>
    </row>
    <row r="20282" spans="1:20" x14ac:dyDescent="0.25">
      <c r="A20282" t="str">
        <f>"3058901"</f>
        <v>3058901</v>
      </c>
      <c r="B20282" t="s">
        <v>62008</v>
      </c>
      <c r="C20282" t="str">
        <f>"8321000"</f>
        <v>8321000</v>
      </c>
      <c r="D20282" t="s">
        <v>62009</v>
      </c>
      <c r="E20282" t="s">
        <v>62010</v>
      </c>
      <c r="F20282" t="s">
        <v>62011</v>
      </c>
      <c r="I20282" t="s">
        <v>29</v>
      </c>
      <c r="J20282" t="s">
        <v>30</v>
      </c>
      <c r="K20282" t="s">
        <v>61198</v>
      </c>
      <c r="M20282" t="s">
        <v>17861</v>
      </c>
      <c r="N20282" t="str">
        <f>"9/29/2023 9:20:00 AM"</f>
        <v>9/29/2023 9:20:00 AM</v>
      </c>
      <c r="O20282" t="s">
        <v>62009</v>
      </c>
      <c r="T20282" t="s">
        <v>62010</v>
      </c>
    </row>
    <row r="20283" spans="1:20" x14ac:dyDescent="0.25">
      <c r="A20283" t="str">
        <f>"3057782"</f>
        <v>3057782</v>
      </c>
      <c r="B20283" t="s">
        <v>62012</v>
      </c>
      <c r="C20283" t="str">
        <f>"8321001"</f>
        <v>8321001</v>
      </c>
      <c r="D20283" t="s">
        <v>62013</v>
      </c>
      <c r="F20283" t="s">
        <v>62014</v>
      </c>
      <c r="I20283" t="s">
        <v>29</v>
      </c>
      <c r="J20283" t="s">
        <v>30</v>
      </c>
      <c r="K20283" t="s">
        <v>33337</v>
      </c>
      <c r="M20283" t="s">
        <v>17861</v>
      </c>
      <c r="N20283" t="str">
        <f>"9/29/2023 9:29:00 AM"</f>
        <v>9/29/2023 9:29:00 AM</v>
      </c>
      <c r="O20283" t="s">
        <v>62013</v>
      </c>
    </row>
    <row r="20284" spans="1:20" x14ac:dyDescent="0.25">
      <c r="A20284" t="str">
        <f>"3060595"</f>
        <v>3060595</v>
      </c>
      <c r="B20284" t="s">
        <v>62015</v>
      </c>
      <c r="C20284" t="str">
        <f>"8321002"</f>
        <v>8321002</v>
      </c>
      <c r="D20284" t="s">
        <v>62016</v>
      </c>
      <c r="F20284" t="s">
        <v>62017</v>
      </c>
      <c r="I20284" t="s">
        <v>2071</v>
      </c>
      <c r="J20284" t="s">
        <v>30</v>
      </c>
      <c r="K20284" t="s">
        <v>6410</v>
      </c>
      <c r="M20284" t="s">
        <v>17861</v>
      </c>
      <c r="N20284" t="str">
        <f>"9/29/2023 9:31:00 AM"</f>
        <v>9/29/2023 9:31:00 AM</v>
      </c>
      <c r="O20284" t="s">
        <v>62016</v>
      </c>
    </row>
    <row r="20285" spans="1:20" x14ac:dyDescent="0.25">
      <c r="A20285" t="str">
        <f>"3046376"</f>
        <v>3046376</v>
      </c>
      <c r="B20285" t="s">
        <v>62018</v>
      </c>
      <c r="C20285" t="str">
        <f>"8321003"</f>
        <v>8321003</v>
      </c>
      <c r="D20285" t="s">
        <v>62019</v>
      </c>
      <c r="E20285" t="s">
        <v>62020</v>
      </c>
      <c r="F20285" t="s">
        <v>62021</v>
      </c>
      <c r="I20285" t="s">
        <v>29</v>
      </c>
      <c r="J20285" t="s">
        <v>30</v>
      </c>
      <c r="K20285" t="s">
        <v>44802</v>
      </c>
      <c r="M20285" t="s">
        <v>17861</v>
      </c>
      <c r="N20285" t="str">
        <f>"9/29/2023 9:33:00 AM"</f>
        <v>9/29/2023 9:33:00 AM</v>
      </c>
      <c r="O20285" t="s">
        <v>62019</v>
      </c>
      <c r="T20285" t="s">
        <v>62020</v>
      </c>
    </row>
    <row r="20286" spans="1:20" x14ac:dyDescent="0.25">
      <c r="A20286" t="str">
        <f>"3053381"</f>
        <v>3053381</v>
      </c>
      <c r="B20286" t="s">
        <v>62022</v>
      </c>
      <c r="C20286" t="str">
        <f>"8321004"</f>
        <v>8321004</v>
      </c>
      <c r="D20286" t="s">
        <v>62023</v>
      </c>
      <c r="E20286" t="s">
        <v>62024</v>
      </c>
      <c r="F20286" t="s">
        <v>62025</v>
      </c>
      <c r="I20286" t="s">
        <v>29</v>
      </c>
      <c r="J20286" t="s">
        <v>30</v>
      </c>
      <c r="K20286" t="s">
        <v>41718</v>
      </c>
      <c r="M20286" t="s">
        <v>17861</v>
      </c>
      <c r="N20286" t="str">
        <f>"9/29/2023 9:38:00 AM"</f>
        <v>9/29/2023 9:38:00 AM</v>
      </c>
      <c r="O20286" t="s">
        <v>62023</v>
      </c>
      <c r="T20286" t="s">
        <v>62024</v>
      </c>
    </row>
    <row r="20287" spans="1:20" x14ac:dyDescent="0.25">
      <c r="A20287" t="str">
        <f>"3047940"</f>
        <v>3047940</v>
      </c>
      <c r="B20287" t="s">
        <v>62026</v>
      </c>
      <c r="C20287" t="str">
        <f>"8321005"</f>
        <v>8321005</v>
      </c>
      <c r="D20287" t="s">
        <v>62027</v>
      </c>
      <c r="E20287" t="s">
        <v>62028</v>
      </c>
      <c r="F20287" t="s">
        <v>20451</v>
      </c>
      <c r="I20287" t="s">
        <v>1107</v>
      </c>
      <c r="J20287" t="s">
        <v>30</v>
      </c>
      <c r="K20287" t="s">
        <v>62029</v>
      </c>
      <c r="M20287" t="s">
        <v>17861</v>
      </c>
      <c r="N20287" t="str">
        <f>"9/29/2023 9:47:00 AM"</f>
        <v>9/29/2023 9:47:00 AM</v>
      </c>
      <c r="O20287" t="s">
        <v>62027</v>
      </c>
      <c r="T20287" t="s">
        <v>62028</v>
      </c>
    </row>
    <row r="20288" spans="1:20" x14ac:dyDescent="0.25">
      <c r="A20288" t="str">
        <f>"3040760"</f>
        <v>3040760</v>
      </c>
      <c r="B20288" t="s">
        <v>62030</v>
      </c>
      <c r="C20288" t="str">
        <f>"8321006"</f>
        <v>8321006</v>
      </c>
      <c r="D20288" t="str">
        <f>"COFFEY CARLA P/JAMES D(LIFE)"</f>
        <v>COFFEY CARLA P/JAMES D(LIFE)</v>
      </c>
      <c r="E20288" t="str">
        <f>"COFFEY JAMES D JR/LACY M (REM)"</f>
        <v>COFFEY JAMES D JR/LACY M (REM)</v>
      </c>
      <c r="F20288" t="s">
        <v>62031</v>
      </c>
      <c r="I20288" t="s">
        <v>184</v>
      </c>
      <c r="J20288" t="s">
        <v>30</v>
      </c>
      <c r="K20288" t="s">
        <v>27109</v>
      </c>
      <c r="M20288" t="s">
        <v>17861</v>
      </c>
      <c r="N20288" t="str">
        <f>"9/29/2023 10:12:00 AM"</f>
        <v>9/29/2023 10:12:00 AM</v>
      </c>
      <c r="O20288" t="str">
        <f>"COFFEY CARLA P/JAMES D(LIFE)"</f>
        <v>COFFEY CARLA P/JAMES D(LIFE)</v>
      </c>
      <c r="T20288" t="str">
        <f>"COFFEY JAMES D JR/LACY M (REM)"</f>
        <v>COFFEY JAMES D JR/LACY M (REM)</v>
      </c>
    </row>
    <row r="20289" spans="1:20" x14ac:dyDescent="0.25">
      <c r="A20289" t="str">
        <f>"3040869"</f>
        <v>3040869</v>
      </c>
      <c r="B20289" t="s">
        <v>62032</v>
      </c>
      <c r="C20289" t="str">
        <f>"8321006"</f>
        <v>8321006</v>
      </c>
      <c r="D20289" t="str">
        <f>"COFFEY CARLA P/JAMES D(LIFE)"</f>
        <v>COFFEY CARLA P/JAMES D(LIFE)</v>
      </c>
      <c r="E20289" t="str">
        <f>"COFFEY JAMES D JR/LACY M (REM)"</f>
        <v>COFFEY JAMES D JR/LACY M (REM)</v>
      </c>
      <c r="F20289" t="s">
        <v>62031</v>
      </c>
      <c r="I20289" t="s">
        <v>184</v>
      </c>
      <c r="J20289" t="s">
        <v>30</v>
      </c>
      <c r="K20289" t="s">
        <v>27109</v>
      </c>
      <c r="M20289" t="s">
        <v>17861</v>
      </c>
      <c r="N20289" t="str">
        <f>"9/29/2023 10:12:00 AM"</f>
        <v>9/29/2023 10:12:00 AM</v>
      </c>
      <c r="O20289" t="str">
        <f>"COFFEY CARLA P/JAMES D(LIFE)"</f>
        <v>COFFEY CARLA P/JAMES D(LIFE)</v>
      </c>
      <c r="T20289" t="str">
        <f>"COFFEY JAMES D JR/LACY M (REM)"</f>
        <v>COFFEY JAMES D JR/LACY M (REM)</v>
      </c>
    </row>
    <row r="20290" spans="1:20" x14ac:dyDescent="0.25">
      <c r="A20290" t="str">
        <f>"3046996"</f>
        <v>3046996</v>
      </c>
      <c r="B20290" t="s">
        <v>62033</v>
      </c>
      <c r="C20290" t="str">
        <f>"8321007"</f>
        <v>8321007</v>
      </c>
      <c r="D20290" t="s">
        <v>62034</v>
      </c>
      <c r="F20290" t="s">
        <v>62035</v>
      </c>
      <c r="I20290" t="s">
        <v>29</v>
      </c>
      <c r="J20290" t="s">
        <v>30</v>
      </c>
      <c r="K20290" t="s">
        <v>33089</v>
      </c>
      <c r="M20290" t="s">
        <v>17861</v>
      </c>
      <c r="N20290" t="str">
        <f>"9/29/2023 10:15:00 AM"</f>
        <v>9/29/2023 10:15:00 AM</v>
      </c>
      <c r="O20290" t="s">
        <v>62034</v>
      </c>
    </row>
    <row r="20291" spans="1:20" x14ac:dyDescent="0.25">
      <c r="A20291" t="str">
        <f>"3047625"</f>
        <v>3047625</v>
      </c>
      <c r="B20291" t="s">
        <v>62036</v>
      </c>
      <c r="C20291" t="str">
        <f>"8321008"</f>
        <v>8321008</v>
      </c>
      <c r="D20291" t="s">
        <v>21831</v>
      </c>
      <c r="E20291" t="s">
        <v>62037</v>
      </c>
      <c r="F20291" t="s">
        <v>62038</v>
      </c>
      <c r="I20291" t="s">
        <v>184</v>
      </c>
      <c r="J20291" t="s">
        <v>30</v>
      </c>
      <c r="K20291" t="s">
        <v>62039</v>
      </c>
      <c r="M20291" t="s">
        <v>17861</v>
      </c>
      <c r="N20291" t="str">
        <f>"9/29/2023 10:20:00 AM"</f>
        <v>9/29/2023 10:20:00 AM</v>
      </c>
      <c r="O20291" t="s">
        <v>21831</v>
      </c>
      <c r="T20291" t="s">
        <v>62037</v>
      </c>
    </row>
    <row r="20292" spans="1:20" x14ac:dyDescent="0.25">
      <c r="A20292" t="str">
        <f>"3053248"</f>
        <v>3053248</v>
      </c>
      <c r="B20292" t="s">
        <v>62040</v>
      </c>
      <c r="C20292" t="str">
        <f>"82517016"</f>
        <v>82517016</v>
      </c>
      <c r="D20292" t="s">
        <v>62041</v>
      </c>
      <c r="F20292" t="s">
        <v>39839</v>
      </c>
      <c r="I20292" t="s">
        <v>29</v>
      </c>
      <c r="J20292" t="s">
        <v>30</v>
      </c>
      <c r="K20292" t="s">
        <v>39840</v>
      </c>
      <c r="M20292" t="s">
        <v>50621</v>
      </c>
      <c r="N20292" t="str">
        <f>"9/29/2023 10:20:00 AM"</f>
        <v>9/29/2023 10:20:00 AM</v>
      </c>
      <c r="O20292" t="s">
        <v>62041</v>
      </c>
    </row>
    <row r="20293" spans="1:20" x14ac:dyDescent="0.25">
      <c r="A20293" t="str">
        <f>"3062337"</f>
        <v>3062337</v>
      </c>
      <c r="B20293" t="s">
        <v>62042</v>
      </c>
      <c r="C20293" t="str">
        <f>"8321009"</f>
        <v>8321009</v>
      </c>
      <c r="D20293" t="s">
        <v>62043</v>
      </c>
      <c r="E20293" t="s">
        <v>62044</v>
      </c>
      <c r="F20293" t="s">
        <v>62045</v>
      </c>
      <c r="I20293" t="s">
        <v>2525</v>
      </c>
      <c r="J20293" t="s">
        <v>30</v>
      </c>
      <c r="K20293" t="s">
        <v>62046</v>
      </c>
      <c r="M20293" t="s">
        <v>17861</v>
      </c>
      <c r="N20293" t="str">
        <f>"9/29/2023 10:26:00 AM"</f>
        <v>9/29/2023 10:26:00 AM</v>
      </c>
      <c r="O20293" t="s">
        <v>62043</v>
      </c>
      <c r="T20293" t="s">
        <v>62044</v>
      </c>
    </row>
    <row r="20294" spans="1:20" x14ac:dyDescent="0.25">
      <c r="A20294" t="str">
        <f>"3058899"</f>
        <v>3058899</v>
      </c>
      <c r="B20294" t="s">
        <v>62047</v>
      </c>
      <c r="C20294" t="str">
        <f>"8321010"</f>
        <v>8321010</v>
      </c>
      <c r="D20294" t="s">
        <v>62048</v>
      </c>
      <c r="E20294" t="s">
        <v>62049</v>
      </c>
      <c r="F20294" t="s">
        <v>62050</v>
      </c>
      <c r="I20294" t="s">
        <v>29</v>
      </c>
      <c r="J20294" t="s">
        <v>30</v>
      </c>
      <c r="K20294" t="s">
        <v>61198</v>
      </c>
      <c r="M20294" t="s">
        <v>17861</v>
      </c>
      <c r="N20294" t="str">
        <f>"9/29/2023 10:31:00 AM"</f>
        <v>9/29/2023 10:31:00 AM</v>
      </c>
      <c r="O20294" t="s">
        <v>62048</v>
      </c>
      <c r="T20294" t="s">
        <v>62049</v>
      </c>
    </row>
    <row r="20295" spans="1:20" x14ac:dyDescent="0.25">
      <c r="A20295" t="str">
        <f>"3058440"</f>
        <v>3058440</v>
      </c>
      <c r="B20295" t="s">
        <v>62051</v>
      </c>
      <c r="C20295" t="str">
        <f>"8321011"</f>
        <v>8321011</v>
      </c>
      <c r="D20295" t="s">
        <v>62052</v>
      </c>
      <c r="E20295" t="s">
        <v>62053</v>
      </c>
      <c r="F20295" t="s">
        <v>62054</v>
      </c>
      <c r="I20295" t="s">
        <v>29</v>
      </c>
      <c r="J20295" t="s">
        <v>30</v>
      </c>
      <c r="K20295" t="s">
        <v>57737</v>
      </c>
      <c r="M20295" t="s">
        <v>17861</v>
      </c>
      <c r="N20295" t="str">
        <f>"9/29/2023 10:33:00 AM"</f>
        <v>9/29/2023 10:33:00 AM</v>
      </c>
      <c r="O20295" t="s">
        <v>62052</v>
      </c>
      <c r="T20295" t="s">
        <v>62053</v>
      </c>
    </row>
    <row r="20296" spans="1:20" x14ac:dyDescent="0.25">
      <c r="A20296" t="str">
        <f>"3078482"</f>
        <v>3078482</v>
      </c>
      <c r="B20296" t="s">
        <v>62055</v>
      </c>
      <c r="C20296" t="str">
        <f>"8321012"</f>
        <v>8321012</v>
      </c>
      <c r="D20296" t="s">
        <v>62056</v>
      </c>
      <c r="E20296" t="s">
        <v>62057</v>
      </c>
      <c r="F20296" t="s">
        <v>39120</v>
      </c>
      <c r="I20296" t="s">
        <v>184</v>
      </c>
      <c r="J20296" t="s">
        <v>30</v>
      </c>
      <c r="K20296" t="s">
        <v>39121</v>
      </c>
      <c r="M20296" t="s">
        <v>17861</v>
      </c>
      <c r="N20296" t="str">
        <f>"9/29/2023 10:36:00 AM"</f>
        <v>9/29/2023 10:36:00 AM</v>
      </c>
      <c r="O20296" t="s">
        <v>62056</v>
      </c>
      <c r="T20296" t="s">
        <v>62057</v>
      </c>
    </row>
    <row r="20297" spans="1:20" x14ac:dyDescent="0.25">
      <c r="A20297" t="str">
        <f>"3046170"</f>
        <v>3046170</v>
      </c>
      <c r="B20297" t="s">
        <v>62058</v>
      </c>
      <c r="C20297" t="str">
        <f>"8321077"</f>
        <v>8321077</v>
      </c>
      <c r="D20297" t="s">
        <v>62059</v>
      </c>
      <c r="F20297" t="s">
        <v>62060</v>
      </c>
      <c r="I20297" t="s">
        <v>29</v>
      </c>
      <c r="J20297" t="s">
        <v>30</v>
      </c>
      <c r="K20297" t="s">
        <v>23689</v>
      </c>
      <c r="M20297" t="s">
        <v>17861</v>
      </c>
      <c r="N20297" t="str">
        <f>"10/3/2023 3:23:00 PM"</f>
        <v>10/3/2023 3:23:00 PM</v>
      </c>
      <c r="O20297" t="s">
        <v>62059</v>
      </c>
    </row>
    <row r="20298" spans="1:20" x14ac:dyDescent="0.25">
      <c r="A20298" t="str">
        <f>"3037279"</f>
        <v>3037279</v>
      </c>
      <c r="B20298" t="s">
        <v>62061</v>
      </c>
      <c r="C20298" t="str">
        <f>"8321130"</f>
        <v>8321130</v>
      </c>
      <c r="D20298" t="s">
        <v>62062</v>
      </c>
      <c r="F20298" t="s">
        <v>51682</v>
      </c>
      <c r="I20298" t="s">
        <v>184</v>
      </c>
      <c r="J20298" t="s">
        <v>30</v>
      </c>
      <c r="K20298" t="s">
        <v>51683</v>
      </c>
      <c r="M20298" t="s">
        <v>17861</v>
      </c>
      <c r="N20298" t="str">
        <f>"10/10/2023 3:55:00 PM"</f>
        <v>10/10/2023 3:55:00 PM</v>
      </c>
      <c r="O20298" t="s">
        <v>62062</v>
      </c>
    </row>
    <row r="20299" spans="1:20" x14ac:dyDescent="0.25">
      <c r="A20299" t="str">
        <f>"3062397"</f>
        <v>3062397</v>
      </c>
      <c r="B20299" t="s">
        <v>62063</v>
      </c>
      <c r="C20299" t="str">
        <f>"8321131"</f>
        <v>8321131</v>
      </c>
      <c r="D20299" t="s">
        <v>62064</v>
      </c>
      <c r="F20299" t="s">
        <v>62065</v>
      </c>
      <c r="I20299" t="s">
        <v>29</v>
      </c>
      <c r="J20299" t="s">
        <v>30</v>
      </c>
      <c r="K20299" t="s">
        <v>39024</v>
      </c>
      <c r="M20299" t="s">
        <v>17861</v>
      </c>
      <c r="N20299" t="str">
        <f>"10/10/2023 3:58:00 PM"</f>
        <v>10/10/2023 3:58:00 PM</v>
      </c>
      <c r="O20299" t="s">
        <v>62064</v>
      </c>
    </row>
    <row r="20300" spans="1:20" x14ac:dyDescent="0.25">
      <c r="A20300" t="str">
        <f>"3046148"</f>
        <v>3046148</v>
      </c>
      <c r="B20300" t="s">
        <v>62066</v>
      </c>
      <c r="C20300" t="str">
        <f>"82513743"</f>
        <v>82513743</v>
      </c>
      <c r="D20300" t="s">
        <v>62067</v>
      </c>
      <c r="F20300" t="s">
        <v>62068</v>
      </c>
      <c r="I20300" t="s">
        <v>29</v>
      </c>
      <c r="J20300" t="s">
        <v>30</v>
      </c>
      <c r="K20300" t="s">
        <v>31</v>
      </c>
      <c r="M20300" t="s">
        <v>62069</v>
      </c>
      <c r="N20300" t="str">
        <f>"10/11/2023 8:27:00 AM"</f>
        <v>10/11/2023 8:27:00 AM</v>
      </c>
      <c r="O20300" t="s">
        <v>62067</v>
      </c>
    </row>
    <row r="20301" spans="1:20" x14ac:dyDescent="0.25">
      <c r="A20301" t="str">
        <f>"3045841"</f>
        <v>3045841</v>
      </c>
      <c r="B20301" t="s">
        <v>62070</v>
      </c>
      <c r="C20301" t="str">
        <f>"82513743"</f>
        <v>82513743</v>
      </c>
      <c r="D20301" t="s">
        <v>62067</v>
      </c>
      <c r="F20301" t="s">
        <v>62068</v>
      </c>
      <c r="I20301" t="s">
        <v>29</v>
      </c>
      <c r="J20301" t="s">
        <v>30</v>
      </c>
      <c r="K20301" t="s">
        <v>31</v>
      </c>
      <c r="M20301" t="s">
        <v>62069</v>
      </c>
      <c r="N20301" t="str">
        <f>"10/11/2023 8:27:00 AM"</f>
        <v>10/11/2023 8:27:00 AM</v>
      </c>
      <c r="O20301" t="s">
        <v>62067</v>
      </c>
    </row>
    <row r="20302" spans="1:20" x14ac:dyDescent="0.25">
      <c r="A20302" t="str">
        <f>"3046224"</f>
        <v>3046224</v>
      </c>
      <c r="B20302" t="s">
        <v>62071</v>
      </c>
      <c r="C20302" t="str">
        <f>"82513743"</f>
        <v>82513743</v>
      </c>
      <c r="D20302" t="s">
        <v>62067</v>
      </c>
      <c r="F20302" t="s">
        <v>62068</v>
      </c>
      <c r="I20302" t="s">
        <v>29</v>
      </c>
      <c r="J20302" t="s">
        <v>30</v>
      </c>
      <c r="K20302" t="s">
        <v>31</v>
      </c>
      <c r="M20302" t="s">
        <v>62069</v>
      </c>
      <c r="N20302" t="str">
        <f>"10/11/2023 8:27:00 AM"</f>
        <v>10/11/2023 8:27:00 AM</v>
      </c>
      <c r="O20302" t="s">
        <v>62067</v>
      </c>
    </row>
    <row r="20303" spans="1:20" x14ac:dyDescent="0.25">
      <c r="A20303" t="str">
        <f>"3058636"</f>
        <v>3058636</v>
      </c>
      <c r="B20303" t="s">
        <v>62072</v>
      </c>
      <c r="C20303" t="str">
        <f>"8320999"</f>
        <v>8320999</v>
      </c>
      <c r="D20303" t="s">
        <v>62073</v>
      </c>
      <c r="F20303" t="s">
        <v>62074</v>
      </c>
      <c r="I20303" t="s">
        <v>24359</v>
      </c>
      <c r="J20303" t="s">
        <v>30</v>
      </c>
      <c r="K20303" t="str">
        <f>"27006"</f>
        <v>27006</v>
      </c>
      <c r="M20303" t="s">
        <v>17861</v>
      </c>
      <c r="N20303" t="str">
        <f>"10/11/2023 9:41:00 AM"</f>
        <v>10/11/2023 9:41:00 AM</v>
      </c>
      <c r="O20303" t="s">
        <v>62073</v>
      </c>
    </row>
    <row r="20304" spans="1:20" x14ac:dyDescent="0.25">
      <c r="A20304" t="str">
        <f>"3078506"</f>
        <v>3078506</v>
      </c>
      <c r="B20304" t="s">
        <v>62075</v>
      </c>
      <c r="C20304" t="str">
        <f>"8321132"</f>
        <v>8321132</v>
      </c>
      <c r="D20304" t="s">
        <v>62076</v>
      </c>
      <c r="F20304" t="str">
        <f>"119 1/2 E END AVE"</f>
        <v>119 1/2 E END AVE</v>
      </c>
      <c r="I20304" t="s">
        <v>1107</v>
      </c>
      <c r="J20304" t="s">
        <v>30</v>
      </c>
      <c r="K20304" t="s">
        <v>62077</v>
      </c>
      <c r="M20304" t="s">
        <v>17861</v>
      </c>
      <c r="N20304" t="str">
        <f>"10/11/2023 3:13:00 PM"</f>
        <v>10/11/2023 3:13:00 PM</v>
      </c>
      <c r="O20304" t="s">
        <v>62076</v>
      </c>
    </row>
    <row r="20305" spans="1:20" x14ac:dyDescent="0.25">
      <c r="A20305" t="str">
        <f>"3052966"</f>
        <v>3052966</v>
      </c>
      <c r="B20305" t="s">
        <v>62078</v>
      </c>
      <c r="C20305" t="str">
        <f>"8321133"</f>
        <v>8321133</v>
      </c>
      <c r="D20305" t="s">
        <v>62079</v>
      </c>
      <c r="F20305" t="s">
        <v>62080</v>
      </c>
      <c r="I20305" t="s">
        <v>29</v>
      </c>
      <c r="J20305" t="s">
        <v>30</v>
      </c>
      <c r="K20305" t="s">
        <v>33464</v>
      </c>
      <c r="M20305" t="s">
        <v>17861</v>
      </c>
      <c r="N20305" t="str">
        <f>"10/12/2023 9:40:00 AM"</f>
        <v>10/12/2023 9:40:00 AM</v>
      </c>
      <c r="O20305" t="s">
        <v>62079</v>
      </c>
    </row>
    <row r="20306" spans="1:20" x14ac:dyDescent="0.25">
      <c r="A20306" t="str">
        <f>"3043582"</f>
        <v>3043582</v>
      </c>
      <c r="B20306" t="s">
        <v>62081</v>
      </c>
      <c r="C20306" t="str">
        <f>"8302081"</f>
        <v>8302081</v>
      </c>
      <c r="D20306" t="s">
        <v>62082</v>
      </c>
      <c r="E20306" t="s">
        <v>62083</v>
      </c>
      <c r="F20306" t="s">
        <v>62084</v>
      </c>
      <c r="I20306" t="s">
        <v>51581</v>
      </c>
      <c r="J20306" t="s">
        <v>30</v>
      </c>
      <c r="K20306" t="s">
        <v>62085</v>
      </c>
      <c r="M20306" t="s">
        <v>50793</v>
      </c>
      <c r="N20306" t="str">
        <f>"10/12/2023 9:48:00 AM"</f>
        <v>10/12/2023 9:48:00 AM</v>
      </c>
      <c r="O20306" t="s">
        <v>62082</v>
      </c>
      <c r="T20306" t="s">
        <v>62083</v>
      </c>
    </row>
    <row r="20307" spans="1:20" x14ac:dyDescent="0.25">
      <c r="A20307" t="str">
        <f>"3040728"</f>
        <v>3040728</v>
      </c>
      <c r="B20307" t="s">
        <v>62086</v>
      </c>
      <c r="C20307" t="str">
        <f>"8321134"</f>
        <v>8321134</v>
      </c>
      <c r="D20307" t="s">
        <v>62087</v>
      </c>
      <c r="F20307" t="s">
        <v>62088</v>
      </c>
      <c r="I20307" t="s">
        <v>184</v>
      </c>
      <c r="J20307" t="s">
        <v>30</v>
      </c>
      <c r="K20307" t="s">
        <v>62089</v>
      </c>
      <c r="M20307" t="s">
        <v>17861</v>
      </c>
      <c r="N20307" t="str">
        <f>"10/12/2023 9:49:00 AM"</f>
        <v>10/12/2023 9:49:00 AM</v>
      </c>
      <c r="O20307" t="s">
        <v>62087</v>
      </c>
    </row>
    <row r="20308" spans="1:20" x14ac:dyDescent="0.25">
      <c r="A20308" t="str">
        <f>"3057234"</f>
        <v>3057234</v>
      </c>
      <c r="B20308" t="s">
        <v>62090</v>
      </c>
      <c r="C20308" t="str">
        <f>"8321077"</f>
        <v>8321077</v>
      </c>
      <c r="D20308" t="s">
        <v>62059</v>
      </c>
      <c r="F20308" t="s">
        <v>62060</v>
      </c>
      <c r="I20308" t="s">
        <v>29</v>
      </c>
      <c r="J20308" t="s">
        <v>30</v>
      </c>
      <c r="K20308" t="s">
        <v>23689</v>
      </c>
      <c r="M20308" t="s">
        <v>17861</v>
      </c>
      <c r="N20308" t="str">
        <f>"10/3/2023 3:23:00 PM"</f>
        <v>10/3/2023 3:23:00 PM</v>
      </c>
      <c r="O20308" t="s">
        <v>62059</v>
      </c>
    </row>
    <row r="20309" spans="1:20" x14ac:dyDescent="0.25">
      <c r="A20309" t="str">
        <f>"3049902"</f>
        <v>3049902</v>
      </c>
      <c r="B20309" t="s">
        <v>62091</v>
      </c>
      <c r="C20309" t="str">
        <f>"8321077"</f>
        <v>8321077</v>
      </c>
      <c r="D20309" t="s">
        <v>62059</v>
      </c>
      <c r="F20309" t="s">
        <v>62060</v>
      </c>
      <c r="I20309" t="s">
        <v>29</v>
      </c>
      <c r="J20309" t="s">
        <v>30</v>
      </c>
      <c r="K20309" t="s">
        <v>23689</v>
      </c>
      <c r="M20309" t="s">
        <v>17861</v>
      </c>
      <c r="N20309" t="str">
        <f>"10/3/2023 3:23:00 PM"</f>
        <v>10/3/2023 3:23:00 PM</v>
      </c>
      <c r="O20309" t="s">
        <v>62059</v>
      </c>
    </row>
    <row r="20310" spans="1:20" x14ac:dyDescent="0.25">
      <c r="A20310" t="str">
        <f>"3038489"</f>
        <v>3038489</v>
      </c>
      <c r="B20310" t="s">
        <v>62092</v>
      </c>
      <c r="C20310" t="str">
        <f>"8321078"</f>
        <v>8321078</v>
      </c>
      <c r="D20310" t="s">
        <v>62093</v>
      </c>
      <c r="E20310" t="s">
        <v>62094</v>
      </c>
      <c r="F20310" t="s">
        <v>62095</v>
      </c>
      <c r="I20310" t="s">
        <v>29</v>
      </c>
      <c r="J20310" t="s">
        <v>30</v>
      </c>
      <c r="K20310" t="s">
        <v>25067</v>
      </c>
      <c r="M20310" t="s">
        <v>17861</v>
      </c>
      <c r="N20310" t="str">
        <f>"10/3/2023 3:26:00 PM"</f>
        <v>10/3/2023 3:26:00 PM</v>
      </c>
      <c r="O20310" t="s">
        <v>62093</v>
      </c>
      <c r="T20310" t="s">
        <v>62094</v>
      </c>
    </row>
    <row r="20311" spans="1:20" x14ac:dyDescent="0.25">
      <c r="A20311" t="str">
        <f>"3052819"</f>
        <v>3052819</v>
      </c>
      <c r="B20311" t="s">
        <v>62096</v>
      </c>
      <c r="C20311" t="str">
        <f>"82529921"</f>
        <v>82529921</v>
      </c>
      <c r="D20311" t="s">
        <v>62097</v>
      </c>
      <c r="F20311" t="s">
        <v>62098</v>
      </c>
      <c r="I20311" t="s">
        <v>29</v>
      </c>
      <c r="J20311" t="s">
        <v>30</v>
      </c>
      <c r="K20311" t="s">
        <v>31</v>
      </c>
      <c r="M20311" t="s">
        <v>18470</v>
      </c>
      <c r="N20311" t="str">
        <f>"10/4/2023 11:35:00 AM"</f>
        <v>10/4/2023 11:35:00 AM</v>
      </c>
      <c r="O20311" t="s">
        <v>62097</v>
      </c>
    </row>
    <row r="20312" spans="1:20" x14ac:dyDescent="0.25">
      <c r="A20312" t="str">
        <f>"3050188"</f>
        <v>3050188</v>
      </c>
      <c r="B20312" t="s">
        <v>62099</v>
      </c>
      <c r="C20312" t="str">
        <f>"8321080"</f>
        <v>8321080</v>
      </c>
      <c r="D20312" t="s">
        <v>62100</v>
      </c>
      <c r="E20312" t="s">
        <v>62101</v>
      </c>
      <c r="F20312" t="s">
        <v>62102</v>
      </c>
      <c r="I20312" t="s">
        <v>471</v>
      </c>
      <c r="J20312" t="s">
        <v>30</v>
      </c>
      <c r="K20312" t="s">
        <v>62103</v>
      </c>
      <c r="M20312" t="s">
        <v>17861</v>
      </c>
      <c r="N20312" t="str">
        <f>"10/4/2023 2:57:00 PM"</f>
        <v>10/4/2023 2:57:00 PM</v>
      </c>
      <c r="O20312" t="s">
        <v>62100</v>
      </c>
      <c r="T20312" t="s">
        <v>62101</v>
      </c>
    </row>
    <row r="20313" spans="1:20" x14ac:dyDescent="0.25">
      <c r="A20313" t="str">
        <f>"3056776"</f>
        <v>3056776</v>
      </c>
      <c r="B20313" t="s">
        <v>62104</v>
      </c>
      <c r="C20313" t="str">
        <f>"82521442"</f>
        <v>82521442</v>
      </c>
      <c r="D20313" t="s">
        <v>62105</v>
      </c>
      <c r="E20313" t="s">
        <v>62106</v>
      </c>
      <c r="F20313" t="s">
        <v>62107</v>
      </c>
      <c r="I20313" t="s">
        <v>29</v>
      </c>
      <c r="J20313" t="s">
        <v>30</v>
      </c>
      <c r="K20313" t="s">
        <v>42498</v>
      </c>
      <c r="M20313" t="s">
        <v>25733</v>
      </c>
      <c r="N20313" t="str">
        <f>"10/4/2023 2:58:00 PM"</f>
        <v>10/4/2023 2:58:00 PM</v>
      </c>
      <c r="O20313" t="s">
        <v>62105</v>
      </c>
      <c r="T20313" t="s">
        <v>62106</v>
      </c>
    </row>
    <row r="20314" spans="1:20" x14ac:dyDescent="0.25">
      <c r="A20314" t="str">
        <f>"3039419"</f>
        <v>3039419</v>
      </c>
      <c r="B20314" t="s">
        <v>62108</v>
      </c>
      <c r="C20314" t="str">
        <f>"8321083"</f>
        <v>8321083</v>
      </c>
      <c r="D20314" t="s">
        <v>62109</v>
      </c>
      <c r="F20314" t="s">
        <v>62110</v>
      </c>
      <c r="I20314" t="s">
        <v>184</v>
      </c>
      <c r="J20314" t="s">
        <v>30</v>
      </c>
      <c r="K20314" t="s">
        <v>49304</v>
      </c>
      <c r="M20314" t="s">
        <v>17861</v>
      </c>
      <c r="N20314" t="str">
        <f>"10/5/2023 11:03:00 AM"</f>
        <v>10/5/2023 11:03:00 AM</v>
      </c>
      <c r="O20314" t="s">
        <v>62109</v>
      </c>
    </row>
    <row r="20315" spans="1:20" x14ac:dyDescent="0.25">
      <c r="A20315" t="str">
        <f>"3039304"</f>
        <v>3039304</v>
      </c>
      <c r="B20315" t="s">
        <v>62111</v>
      </c>
      <c r="C20315" t="str">
        <f>"8321083"</f>
        <v>8321083</v>
      </c>
      <c r="D20315" t="s">
        <v>62109</v>
      </c>
      <c r="F20315" t="s">
        <v>62110</v>
      </c>
      <c r="I20315" t="s">
        <v>184</v>
      </c>
      <c r="J20315" t="s">
        <v>30</v>
      </c>
      <c r="K20315" t="s">
        <v>49304</v>
      </c>
      <c r="M20315" t="s">
        <v>17861</v>
      </c>
      <c r="N20315" t="str">
        <f>"10/5/2023 11:03:00 AM"</f>
        <v>10/5/2023 11:03:00 AM</v>
      </c>
      <c r="O20315" t="s">
        <v>62109</v>
      </c>
    </row>
    <row r="20316" spans="1:20" x14ac:dyDescent="0.25">
      <c r="A20316" t="str">
        <f>"3037364"</f>
        <v>3037364</v>
      </c>
      <c r="B20316" t="s">
        <v>62112</v>
      </c>
      <c r="C20316" t="str">
        <f>"8321086"</f>
        <v>8321086</v>
      </c>
      <c r="D20316" t="s">
        <v>62113</v>
      </c>
      <c r="F20316" t="s">
        <v>62114</v>
      </c>
      <c r="I20316" t="s">
        <v>184</v>
      </c>
      <c r="J20316" t="s">
        <v>30</v>
      </c>
      <c r="K20316" t="s">
        <v>62115</v>
      </c>
      <c r="M20316" t="s">
        <v>17861</v>
      </c>
      <c r="N20316" t="str">
        <f>"10/5/2023 1:07:00 PM"</f>
        <v>10/5/2023 1:07:00 PM</v>
      </c>
      <c r="O20316" t="s">
        <v>62113</v>
      </c>
    </row>
    <row r="20317" spans="1:20" x14ac:dyDescent="0.25">
      <c r="A20317" t="str">
        <f>"3078494"</f>
        <v>3078494</v>
      </c>
      <c r="B20317" t="s">
        <v>62116</v>
      </c>
      <c r="C20317" t="str">
        <f>"8321087"</f>
        <v>8321087</v>
      </c>
      <c r="D20317" t="s">
        <v>62117</v>
      </c>
      <c r="F20317" t="s">
        <v>62118</v>
      </c>
      <c r="I20317" t="s">
        <v>29</v>
      </c>
      <c r="J20317" t="s">
        <v>30</v>
      </c>
      <c r="K20317" t="s">
        <v>11749</v>
      </c>
      <c r="M20317" t="s">
        <v>17861</v>
      </c>
      <c r="N20317" t="str">
        <f>"10/5/2023 1:51:00 PM"</f>
        <v>10/5/2023 1:51:00 PM</v>
      </c>
      <c r="O20317" t="s">
        <v>62117</v>
      </c>
    </row>
    <row r="20318" spans="1:20" x14ac:dyDescent="0.25">
      <c r="A20318" t="str">
        <f>"3039849"</f>
        <v>3039849</v>
      </c>
      <c r="B20318" t="s">
        <v>62119</v>
      </c>
      <c r="C20318" t="str">
        <f>"8314919"</f>
        <v>8314919</v>
      </c>
      <c r="D20318" t="s">
        <v>62120</v>
      </c>
      <c r="F20318" t="s">
        <v>31807</v>
      </c>
      <c r="I20318" t="s">
        <v>29</v>
      </c>
      <c r="J20318" t="s">
        <v>30</v>
      </c>
      <c r="K20318" t="s">
        <v>48862</v>
      </c>
      <c r="M20318" t="s">
        <v>18479</v>
      </c>
      <c r="N20318" t="str">
        <f>"10/2/2023 2:30:00 PM"</f>
        <v>10/2/2023 2:30:00 PM</v>
      </c>
      <c r="O20318" t="s">
        <v>62120</v>
      </c>
    </row>
    <row r="20319" spans="1:20" x14ac:dyDescent="0.25">
      <c r="A20319" t="str">
        <f>"3069911"</f>
        <v>3069911</v>
      </c>
      <c r="B20319" t="s">
        <v>62121</v>
      </c>
      <c r="C20319" t="str">
        <f>"8321076"</f>
        <v>8321076</v>
      </c>
      <c r="D20319" t="s">
        <v>62122</v>
      </c>
      <c r="E20319" t="s">
        <v>62123</v>
      </c>
      <c r="F20319" t="s">
        <v>62124</v>
      </c>
      <c r="I20319" t="s">
        <v>29</v>
      </c>
      <c r="J20319" t="s">
        <v>30</v>
      </c>
      <c r="K20319" t="s">
        <v>34387</v>
      </c>
      <c r="M20319" t="s">
        <v>17861</v>
      </c>
      <c r="N20319" t="str">
        <f>"10/3/2023 3:16:00 PM"</f>
        <v>10/3/2023 3:16:00 PM</v>
      </c>
      <c r="O20319" t="s">
        <v>62122</v>
      </c>
      <c r="T20319" t="s">
        <v>62123</v>
      </c>
    </row>
    <row r="20320" spans="1:20" x14ac:dyDescent="0.25">
      <c r="A20320" t="str">
        <f>"3040795"</f>
        <v>3040795</v>
      </c>
      <c r="B20320" t="s">
        <v>62125</v>
      </c>
      <c r="C20320" t="str">
        <f>"8321136"</f>
        <v>8321136</v>
      </c>
      <c r="D20320" t="s">
        <v>62126</v>
      </c>
      <c r="E20320" t="s">
        <v>62127</v>
      </c>
      <c r="F20320" t="s">
        <v>62128</v>
      </c>
      <c r="I20320" t="s">
        <v>184</v>
      </c>
      <c r="J20320" t="s">
        <v>30</v>
      </c>
      <c r="K20320" t="s">
        <v>3056</v>
      </c>
      <c r="M20320" t="s">
        <v>17861</v>
      </c>
      <c r="N20320" t="str">
        <f>"10/12/2023 10:20:00 AM"</f>
        <v>10/12/2023 10:20:00 AM</v>
      </c>
      <c r="O20320" t="s">
        <v>62126</v>
      </c>
      <c r="T20320" t="s">
        <v>62127</v>
      </c>
    </row>
    <row r="20321" spans="1:20" x14ac:dyDescent="0.25">
      <c r="A20321" t="str">
        <f>"3044495"</f>
        <v>3044495</v>
      </c>
      <c r="B20321" t="s">
        <v>62129</v>
      </c>
      <c r="C20321" t="str">
        <f>"8321139"</f>
        <v>8321139</v>
      </c>
      <c r="D20321" t="s">
        <v>62130</v>
      </c>
      <c r="F20321" t="s">
        <v>62131</v>
      </c>
      <c r="I20321" t="s">
        <v>8536</v>
      </c>
      <c r="J20321" t="s">
        <v>30</v>
      </c>
      <c r="K20321" t="s">
        <v>62132</v>
      </c>
      <c r="M20321" t="s">
        <v>17861</v>
      </c>
      <c r="N20321" t="str">
        <f>"10/12/2023 10:32:00 AM"</f>
        <v>10/12/2023 10:32:00 AM</v>
      </c>
      <c r="O20321" t="s">
        <v>62130</v>
      </c>
    </row>
    <row r="20322" spans="1:20" x14ac:dyDescent="0.25">
      <c r="A20322" t="str">
        <f>"3046550"</f>
        <v>3046550</v>
      </c>
      <c r="B20322" t="s">
        <v>62133</v>
      </c>
      <c r="C20322" t="str">
        <f>"8321141"</f>
        <v>8321141</v>
      </c>
      <c r="D20322" t="s">
        <v>62134</v>
      </c>
      <c r="F20322" t="s">
        <v>62135</v>
      </c>
      <c r="I20322" t="s">
        <v>184</v>
      </c>
      <c r="J20322" t="s">
        <v>30</v>
      </c>
      <c r="K20322" t="s">
        <v>57423</v>
      </c>
      <c r="M20322" t="s">
        <v>17861</v>
      </c>
      <c r="N20322" t="str">
        <f>"10/12/2023 1:52:00 PM"</f>
        <v>10/12/2023 1:52:00 PM</v>
      </c>
      <c r="O20322" t="s">
        <v>62134</v>
      </c>
    </row>
    <row r="20323" spans="1:20" x14ac:dyDescent="0.25">
      <c r="A20323" t="str">
        <f>"3043867"</f>
        <v>3043867</v>
      </c>
      <c r="B20323" t="s">
        <v>62136</v>
      </c>
      <c r="C20323" t="str">
        <f>"69164000"</f>
        <v>69164000</v>
      </c>
      <c r="D20323" t="s">
        <v>31172</v>
      </c>
      <c r="E20323" t="str">
        <f>"C/O KATHY SOFLEY PFEIFFER"</f>
        <v>C/O KATHY SOFLEY PFEIFFER</v>
      </c>
      <c r="F20323" t="s">
        <v>62137</v>
      </c>
      <c r="I20323" t="s">
        <v>184</v>
      </c>
      <c r="J20323" t="s">
        <v>30</v>
      </c>
      <c r="K20323" t="s">
        <v>19805</v>
      </c>
      <c r="M20323" t="s">
        <v>62069</v>
      </c>
      <c r="N20323" t="str">
        <f>"10/12/2023 2:04:00 PM"</f>
        <v>10/12/2023 2:04:00 PM</v>
      </c>
      <c r="O20323" t="s">
        <v>31172</v>
      </c>
      <c r="T20323" t="str">
        <f>"C/O KATHY SOFLEY PFEIFFER"</f>
        <v>C/O KATHY SOFLEY PFEIFFER</v>
      </c>
    </row>
    <row r="20324" spans="1:20" x14ac:dyDescent="0.25">
      <c r="A20324" t="str">
        <f>"3077743"</f>
        <v>3077743</v>
      </c>
      <c r="B20324" t="s">
        <v>62138</v>
      </c>
      <c r="C20324" t="str">
        <f>"69164000"</f>
        <v>69164000</v>
      </c>
      <c r="D20324" t="s">
        <v>31172</v>
      </c>
      <c r="E20324" t="str">
        <f>"C/O KATHY SOFLEY PFEIFFER"</f>
        <v>C/O KATHY SOFLEY PFEIFFER</v>
      </c>
      <c r="F20324" t="s">
        <v>62137</v>
      </c>
      <c r="I20324" t="s">
        <v>184</v>
      </c>
      <c r="J20324" t="s">
        <v>30</v>
      </c>
      <c r="K20324" t="s">
        <v>19805</v>
      </c>
      <c r="M20324" t="s">
        <v>62069</v>
      </c>
      <c r="N20324" t="str">
        <f>"10/12/2023 2:04:00 PM"</f>
        <v>10/12/2023 2:04:00 PM</v>
      </c>
      <c r="O20324" t="s">
        <v>31172</v>
      </c>
      <c r="T20324" t="str">
        <f>"C/O KATHY SOFLEY PFEIFFER"</f>
        <v>C/O KATHY SOFLEY PFEIFFER</v>
      </c>
    </row>
    <row r="20325" spans="1:20" x14ac:dyDescent="0.25">
      <c r="A20325" t="str">
        <f>"3050093"</f>
        <v>3050093</v>
      </c>
      <c r="B20325" t="s">
        <v>62139</v>
      </c>
      <c r="C20325" t="str">
        <f>"36544000"</f>
        <v>36544000</v>
      </c>
      <c r="D20325" t="s">
        <v>62140</v>
      </c>
      <c r="E20325" t="s">
        <v>62141</v>
      </c>
      <c r="F20325" t="s">
        <v>62142</v>
      </c>
      <c r="I20325" t="s">
        <v>29</v>
      </c>
      <c r="J20325" t="s">
        <v>30</v>
      </c>
      <c r="K20325" t="s">
        <v>31</v>
      </c>
      <c r="M20325" t="s">
        <v>51351</v>
      </c>
      <c r="N20325" t="str">
        <f>"10/5/2023 3:51:00 PM"</f>
        <v>10/5/2023 3:51:00 PM</v>
      </c>
      <c r="O20325" t="s">
        <v>62140</v>
      </c>
      <c r="T20325" t="s">
        <v>62141</v>
      </c>
    </row>
    <row r="20326" spans="1:20" x14ac:dyDescent="0.25">
      <c r="A20326" t="str">
        <f>"3046708"</f>
        <v>3046708</v>
      </c>
      <c r="B20326" t="s">
        <v>62143</v>
      </c>
      <c r="C20326" t="str">
        <f>"8321089"</f>
        <v>8321089</v>
      </c>
      <c r="D20326" t="s">
        <v>62144</v>
      </c>
      <c r="E20326" t="s">
        <v>62145</v>
      </c>
      <c r="F20326" t="s">
        <v>62146</v>
      </c>
      <c r="I20326" t="s">
        <v>184</v>
      </c>
      <c r="J20326" t="s">
        <v>30</v>
      </c>
      <c r="K20326" t="s">
        <v>7603</v>
      </c>
      <c r="M20326" t="s">
        <v>17861</v>
      </c>
      <c r="N20326" t="str">
        <f>"10/6/2023 8:53:00 AM"</f>
        <v>10/6/2023 8:53:00 AM</v>
      </c>
      <c r="O20326" t="s">
        <v>62144</v>
      </c>
      <c r="T20326" t="s">
        <v>62145</v>
      </c>
    </row>
    <row r="20327" spans="1:20" x14ac:dyDescent="0.25">
      <c r="A20327" t="str">
        <f>"3078664"</f>
        <v>3078664</v>
      </c>
      <c r="B20327" t="s">
        <v>62147</v>
      </c>
      <c r="C20327" t="str">
        <f>"8321090"</f>
        <v>8321090</v>
      </c>
      <c r="D20327" t="s">
        <v>62148</v>
      </c>
      <c r="E20327" t="s">
        <v>62149</v>
      </c>
      <c r="F20327" t="s">
        <v>62150</v>
      </c>
      <c r="I20327" t="s">
        <v>29</v>
      </c>
      <c r="J20327" t="s">
        <v>30</v>
      </c>
      <c r="K20327" t="s">
        <v>14453</v>
      </c>
      <c r="M20327" t="s">
        <v>17861</v>
      </c>
      <c r="N20327" t="str">
        <f>"10/6/2023 8:55:00 AM"</f>
        <v>10/6/2023 8:55:00 AM</v>
      </c>
      <c r="O20327" t="s">
        <v>62148</v>
      </c>
      <c r="T20327" t="s">
        <v>62149</v>
      </c>
    </row>
    <row r="20328" spans="1:20" x14ac:dyDescent="0.25">
      <c r="A20328" t="str">
        <f>"3048739"</f>
        <v>3048739</v>
      </c>
      <c r="B20328" t="s">
        <v>62151</v>
      </c>
      <c r="C20328" t="str">
        <f>"8321091"</f>
        <v>8321091</v>
      </c>
      <c r="D20328" t="s">
        <v>62152</v>
      </c>
      <c r="E20328" t="s">
        <v>62153</v>
      </c>
      <c r="F20328" t="s">
        <v>62154</v>
      </c>
      <c r="I20328" t="s">
        <v>29</v>
      </c>
      <c r="J20328" t="s">
        <v>30</v>
      </c>
      <c r="K20328" t="s">
        <v>58297</v>
      </c>
      <c r="M20328" t="s">
        <v>17861</v>
      </c>
      <c r="N20328" t="str">
        <f>"10/6/2023 9:53:00 AM"</f>
        <v>10/6/2023 9:53:00 AM</v>
      </c>
      <c r="O20328" t="s">
        <v>62152</v>
      </c>
      <c r="T20328" t="s">
        <v>62153</v>
      </c>
    </row>
    <row r="20329" spans="1:20" x14ac:dyDescent="0.25">
      <c r="A20329" t="str">
        <f>"3042269"</f>
        <v>3042269</v>
      </c>
      <c r="B20329" t="s">
        <v>62155</v>
      </c>
      <c r="C20329" t="str">
        <f>"8321092"</f>
        <v>8321092</v>
      </c>
      <c r="D20329" t="str">
        <f>"CLYNE JESSICA/TERENCE"</f>
        <v>CLYNE JESSICA/TERENCE</v>
      </c>
      <c r="E20329" t="str">
        <f>"WALLACE NIGEL/PATRICIA"</f>
        <v>WALLACE NIGEL/PATRICIA</v>
      </c>
      <c r="F20329" t="s">
        <v>62156</v>
      </c>
      <c r="I20329" t="s">
        <v>29</v>
      </c>
      <c r="J20329" t="s">
        <v>30</v>
      </c>
      <c r="K20329" t="s">
        <v>2648</v>
      </c>
      <c r="M20329" t="s">
        <v>17861</v>
      </c>
      <c r="N20329" t="str">
        <f>"10/6/2023 10:10:00 AM"</f>
        <v>10/6/2023 10:10:00 AM</v>
      </c>
      <c r="O20329" t="str">
        <f>"CLYNE JESSICA/TERENCE"</f>
        <v>CLYNE JESSICA/TERENCE</v>
      </c>
      <c r="T20329" t="str">
        <f>"WALLACE NIGEL/PATRICIA"</f>
        <v>WALLACE NIGEL/PATRICIA</v>
      </c>
    </row>
    <row r="20330" spans="1:20" x14ac:dyDescent="0.25">
      <c r="A20330" t="str">
        <f>"3062004"</f>
        <v>3062004</v>
      </c>
      <c r="B20330" t="s">
        <v>62157</v>
      </c>
      <c r="C20330" t="str">
        <f>"8321093"</f>
        <v>8321093</v>
      </c>
      <c r="D20330" t="s">
        <v>62158</v>
      </c>
      <c r="F20330" t="s">
        <v>62159</v>
      </c>
      <c r="I20330" t="s">
        <v>1107</v>
      </c>
      <c r="J20330" t="s">
        <v>30</v>
      </c>
      <c r="K20330" t="s">
        <v>62160</v>
      </c>
      <c r="M20330" t="s">
        <v>17861</v>
      </c>
      <c r="N20330" t="str">
        <f>"10/6/2023 10:14:00 AM"</f>
        <v>10/6/2023 10:14:00 AM</v>
      </c>
      <c r="O20330" t="s">
        <v>62158</v>
      </c>
    </row>
    <row r="20331" spans="1:20" x14ac:dyDescent="0.25">
      <c r="A20331" t="str">
        <f>"3078574"</f>
        <v>3078574</v>
      </c>
      <c r="B20331" t="s">
        <v>62161</v>
      </c>
      <c r="C20331" t="str">
        <f>"8321094"</f>
        <v>8321094</v>
      </c>
      <c r="D20331" t="s">
        <v>62162</v>
      </c>
      <c r="F20331" t="s">
        <v>62163</v>
      </c>
      <c r="I20331" t="s">
        <v>29</v>
      </c>
      <c r="J20331" t="s">
        <v>30</v>
      </c>
      <c r="K20331" t="s">
        <v>16560</v>
      </c>
      <c r="M20331" t="s">
        <v>17861</v>
      </c>
      <c r="N20331" t="str">
        <f>"10/6/2023 10:17:00 AM"</f>
        <v>10/6/2023 10:17:00 AM</v>
      </c>
      <c r="O20331" t="s">
        <v>62162</v>
      </c>
    </row>
    <row r="20332" spans="1:20" x14ac:dyDescent="0.25">
      <c r="A20332" t="str">
        <f>"3050266"</f>
        <v>3050266</v>
      </c>
      <c r="B20332" t="s">
        <v>62164</v>
      </c>
      <c r="C20332" t="str">
        <f>"8321095"</f>
        <v>8321095</v>
      </c>
      <c r="D20332" t="s">
        <v>62165</v>
      </c>
      <c r="E20332" t="s">
        <v>62166</v>
      </c>
      <c r="F20332" t="s">
        <v>62167</v>
      </c>
      <c r="I20332" t="s">
        <v>29</v>
      </c>
      <c r="J20332" t="s">
        <v>30</v>
      </c>
      <c r="K20332" t="s">
        <v>62168</v>
      </c>
      <c r="M20332" t="s">
        <v>17861</v>
      </c>
      <c r="N20332" t="str">
        <f>"10/6/2023 10:19:00 AM"</f>
        <v>10/6/2023 10:19:00 AM</v>
      </c>
      <c r="O20332" t="s">
        <v>62165</v>
      </c>
      <c r="T20332" t="s">
        <v>62166</v>
      </c>
    </row>
    <row r="20333" spans="1:20" x14ac:dyDescent="0.25">
      <c r="A20333" t="str">
        <f>"3059890"</f>
        <v>3059890</v>
      </c>
      <c r="B20333" t="s">
        <v>62169</v>
      </c>
      <c r="C20333" t="str">
        <f>"8321098"</f>
        <v>8321098</v>
      </c>
      <c r="D20333" t="s">
        <v>62170</v>
      </c>
      <c r="F20333" t="s">
        <v>62171</v>
      </c>
      <c r="I20333" t="s">
        <v>29</v>
      </c>
      <c r="J20333" t="s">
        <v>30</v>
      </c>
      <c r="K20333" t="s">
        <v>52720</v>
      </c>
      <c r="M20333" t="s">
        <v>17861</v>
      </c>
      <c r="N20333" t="str">
        <f>"10/6/2023 3:38:00 PM"</f>
        <v>10/6/2023 3:38:00 PM</v>
      </c>
      <c r="O20333" t="s">
        <v>62170</v>
      </c>
    </row>
    <row r="20334" spans="1:20" x14ac:dyDescent="0.25">
      <c r="A20334" t="str">
        <f>"3057639"</f>
        <v>3057639</v>
      </c>
      <c r="B20334" t="s">
        <v>62172</v>
      </c>
      <c r="C20334" t="str">
        <f>"8321099"</f>
        <v>8321099</v>
      </c>
      <c r="D20334" t="s">
        <v>62173</v>
      </c>
      <c r="F20334" t="s">
        <v>62174</v>
      </c>
      <c r="I20334" t="s">
        <v>402</v>
      </c>
      <c r="J20334" t="s">
        <v>30</v>
      </c>
      <c r="K20334" t="s">
        <v>62175</v>
      </c>
      <c r="M20334" t="s">
        <v>17861</v>
      </c>
      <c r="N20334" t="str">
        <f>"10/6/2023 3:42:00 PM"</f>
        <v>10/6/2023 3:42:00 PM</v>
      </c>
      <c r="O20334" t="s">
        <v>62173</v>
      </c>
    </row>
    <row r="20335" spans="1:20" x14ac:dyDescent="0.25">
      <c r="A20335" t="str">
        <f>"3072314"</f>
        <v>3072314</v>
      </c>
      <c r="B20335" t="s">
        <v>62176</v>
      </c>
      <c r="C20335" t="str">
        <f>"8313029"</f>
        <v>8313029</v>
      </c>
      <c r="D20335" t="s">
        <v>62177</v>
      </c>
      <c r="F20335" t="s">
        <v>62178</v>
      </c>
      <c r="I20335" t="s">
        <v>62179</v>
      </c>
      <c r="J20335" t="s">
        <v>30</v>
      </c>
      <c r="K20335" t="s">
        <v>62180</v>
      </c>
      <c r="M20335" t="s">
        <v>50793</v>
      </c>
      <c r="N20335" t="str">
        <f>"10/10/2023 10:28:00 AM"</f>
        <v>10/10/2023 10:28:00 AM</v>
      </c>
      <c r="O20335" t="s">
        <v>62177</v>
      </c>
    </row>
    <row r="20336" spans="1:20" x14ac:dyDescent="0.25">
      <c r="A20336" t="str">
        <f>"3043109"</f>
        <v>3043109</v>
      </c>
      <c r="B20336" t="s">
        <v>62181</v>
      </c>
      <c r="C20336" t="str">
        <f>"82529881"</f>
        <v>82529881</v>
      </c>
      <c r="D20336" t="s">
        <v>41838</v>
      </c>
      <c r="E20336" t="s">
        <v>62182</v>
      </c>
      <c r="F20336" t="s">
        <v>41840</v>
      </c>
      <c r="I20336" t="s">
        <v>29</v>
      </c>
      <c r="J20336" t="s">
        <v>30</v>
      </c>
      <c r="K20336" t="s">
        <v>39787</v>
      </c>
      <c r="M20336" t="s">
        <v>50793</v>
      </c>
      <c r="N20336" t="str">
        <f>"10/10/2023 10:30:00 AM"</f>
        <v>10/10/2023 10:30:00 AM</v>
      </c>
      <c r="O20336" t="s">
        <v>41838</v>
      </c>
      <c r="T20336" t="s">
        <v>62182</v>
      </c>
    </row>
    <row r="20337" spans="1:20" x14ac:dyDescent="0.25">
      <c r="A20337" t="str">
        <f>"3067281"</f>
        <v>3067281</v>
      </c>
      <c r="B20337" t="s">
        <v>62183</v>
      </c>
      <c r="C20337" t="str">
        <f>"8304657"</f>
        <v>8304657</v>
      </c>
      <c r="D20337" t="s">
        <v>62184</v>
      </c>
      <c r="F20337" t="s">
        <v>54767</v>
      </c>
      <c r="I20337" t="s">
        <v>29</v>
      </c>
      <c r="J20337" t="s">
        <v>30</v>
      </c>
      <c r="K20337" t="s">
        <v>16526</v>
      </c>
      <c r="M20337" t="s">
        <v>50793</v>
      </c>
      <c r="N20337" t="str">
        <f>"10/16/2023 10:30:00 AM"</f>
        <v>10/16/2023 10:30:00 AM</v>
      </c>
      <c r="O20337" t="s">
        <v>62184</v>
      </c>
    </row>
    <row r="20338" spans="1:20" x14ac:dyDescent="0.25">
      <c r="A20338" t="str">
        <f>"3050879"</f>
        <v>3050879</v>
      </c>
      <c r="B20338" t="s">
        <v>62185</v>
      </c>
      <c r="C20338" t="str">
        <f>"82527466"</f>
        <v>82527466</v>
      </c>
      <c r="D20338" t="s">
        <v>62186</v>
      </c>
      <c r="E20338" t="str">
        <f>"C/O STEPHEN C HEGE"</f>
        <v>C/O STEPHEN C HEGE</v>
      </c>
      <c r="F20338" t="s">
        <v>62187</v>
      </c>
      <c r="I20338" t="s">
        <v>184</v>
      </c>
      <c r="J20338" t="s">
        <v>30</v>
      </c>
      <c r="K20338" t="s">
        <v>12643</v>
      </c>
      <c r="M20338" t="s">
        <v>17861</v>
      </c>
      <c r="N20338" t="str">
        <f>"10/18/2023 11:07:00 AM"</f>
        <v>10/18/2023 11:07:00 AM</v>
      </c>
      <c r="O20338" t="s">
        <v>62186</v>
      </c>
      <c r="T20338" t="str">
        <f>"C/O STEPHEN C HEGE"</f>
        <v>C/O STEPHEN C HEGE</v>
      </c>
    </row>
    <row r="20339" spans="1:20" x14ac:dyDescent="0.25">
      <c r="A20339" t="str">
        <f>"3049054"</f>
        <v>3049054</v>
      </c>
      <c r="B20339" t="s">
        <v>62188</v>
      </c>
      <c r="C20339" t="str">
        <f>"75306000"</f>
        <v>75306000</v>
      </c>
      <c r="D20339" t="s">
        <v>62189</v>
      </c>
      <c r="F20339" t="str">
        <f>"C/O SARAH MADISON SHELTON"</f>
        <v>C/O SARAH MADISON SHELTON</v>
      </c>
      <c r="G20339" t="s">
        <v>54678</v>
      </c>
      <c r="I20339" t="s">
        <v>29</v>
      </c>
      <c r="J20339" t="s">
        <v>30</v>
      </c>
      <c r="K20339" t="s">
        <v>31</v>
      </c>
      <c r="M20339" t="s">
        <v>18470</v>
      </c>
      <c r="N20339" t="str">
        <f>"10/18/2023 12:23:00 PM"</f>
        <v>10/18/2023 12:23:00 PM</v>
      </c>
      <c r="O20339" t="s">
        <v>62189</v>
      </c>
    </row>
    <row r="20340" spans="1:20" x14ac:dyDescent="0.25">
      <c r="A20340" t="str">
        <f>"3078430"</f>
        <v>3078430</v>
      </c>
      <c r="B20340" t="s">
        <v>62190</v>
      </c>
      <c r="C20340" t="str">
        <f>"2868000"</f>
        <v>2868000</v>
      </c>
      <c r="D20340" t="s">
        <v>62191</v>
      </c>
      <c r="E20340" t="s">
        <v>62192</v>
      </c>
      <c r="F20340" t="str">
        <f>"C/O SARAH MADISON SHELTON"</f>
        <v>C/O SARAH MADISON SHELTON</v>
      </c>
      <c r="G20340" t="s">
        <v>54678</v>
      </c>
      <c r="I20340" t="s">
        <v>29</v>
      </c>
      <c r="J20340" t="s">
        <v>30</v>
      </c>
      <c r="K20340" t="str">
        <f>"27028"</f>
        <v>27028</v>
      </c>
      <c r="M20340" t="s">
        <v>18470</v>
      </c>
      <c r="N20340" t="str">
        <f>"10/18/2023 12:27:00 PM"</f>
        <v>10/18/2023 12:27:00 PM</v>
      </c>
      <c r="O20340" t="s">
        <v>62191</v>
      </c>
      <c r="T20340" t="s">
        <v>62192</v>
      </c>
    </row>
    <row r="20341" spans="1:20" x14ac:dyDescent="0.25">
      <c r="A20341" t="str">
        <f>"3048651"</f>
        <v>3048651</v>
      </c>
      <c r="B20341" t="s">
        <v>62193</v>
      </c>
      <c r="C20341" t="str">
        <f>"8316497"</f>
        <v>8316497</v>
      </c>
      <c r="D20341" t="s">
        <v>62194</v>
      </c>
      <c r="E20341" t="s">
        <v>62195</v>
      </c>
      <c r="F20341" t="s">
        <v>62196</v>
      </c>
      <c r="G20341" t="s">
        <v>62197</v>
      </c>
      <c r="M20341" t="s">
        <v>17861</v>
      </c>
      <c r="N20341" t="str">
        <f>"10/18/2023 3:36:00 PM"</f>
        <v>10/18/2023 3:36:00 PM</v>
      </c>
      <c r="O20341" t="s">
        <v>62194</v>
      </c>
      <c r="T20341" t="s">
        <v>62195</v>
      </c>
    </row>
    <row r="20342" spans="1:20" x14ac:dyDescent="0.25">
      <c r="A20342" t="str">
        <f>"3058118"</f>
        <v>3058118</v>
      </c>
      <c r="B20342" t="s">
        <v>62198</v>
      </c>
      <c r="C20342" t="str">
        <f>"82515767"</f>
        <v>82515767</v>
      </c>
      <c r="D20342" t="s">
        <v>62199</v>
      </c>
      <c r="E20342" t="s">
        <v>62200</v>
      </c>
      <c r="F20342" t="s">
        <v>62201</v>
      </c>
      <c r="I20342" t="s">
        <v>184</v>
      </c>
      <c r="J20342" t="s">
        <v>30</v>
      </c>
      <c r="K20342" t="s">
        <v>6203</v>
      </c>
      <c r="M20342" t="s">
        <v>25733</v>
      </c>
      <c r="N20342" t="str">
        <f>"10/23/2023 12:57:00 PM"</f>
        <v>10/23/2023 12:57:00 PM</v>
      </c>
      <c r="O20342" t="s">
        <v>62199</v>
      </c>
      <c r="T20342" t="s">
        <v>62200</v>
      </c>
    </row>
    <row r="20343" spans="1:20" x14ac:dyDescent="0.25">
      <c r="A20343" t="str">
        <f>"3056367"</f>
        <v>3056367</v>
      </c>
      <c r="B20343" t="s">
        <v>62202</v>
      </c>
      <c r="C20343" t="str">
        <f>"8321175"</f>
        <v>8321175</v>
      </c>
      <c r="D20343" t="s">
        <v>62203</v>
      </c>
      <c r="F20343" t="s">
        <v>62204</v>
      </c>
      <c r="I20343" t="s">
        <v>9580</v>
      </c>
      <c r="J20343" t="s">
        <v>30</v>
      </c>
      <c r="K20343" t="s">
        <v>62205</v>
      </c>
      <c r="M20343" t="s">
        <v>17861</v>
      </c>
      <c r="N20343" t="str">
        <f>"10/23/2023 3:49:00 PM"</f>
        <v>10/23/2023 3:49:00 PM</v>
      </c>
      <c r="O20343" t="s">
        <v>62203</v>
      </c>
    </row>
    <row r="20344" spans="1:20" x14ac:dyDescent="0.25">
      <c r="A20344" t="str">
        <f>"3078488"</f>
        <v>3078488</v>
      </c>
      <c r="B20344" t="s">
        <v>62206</v>
      </c>
      <c r="C20344" t="str">
        <f>"8321175"</f>
        <v>8321175</v>
      </c>
      <c r="D20344" t="s">
        <v>62203</v>
      </c>
      <c r="F20344" t="s">
        <v>62204</v>
      </c>
      <c r="I20344" t="s">
        <v>9580</v>
      </c>
      <c r="J20344" t="s">
        <v>30</v>
      </c>
      <c r="K20344" t="s">
        <v>62205</v>
      </c>
      <c r="M20344" t="s">
        <v>17861</v>
      </c>
      <c r="N20344" t="str">
        <f>"10/23/2023 3:49:00 PM"</f>
        <v>10/23/2023 3:49:00 PM</v>
      </c>
      <c r="O20344" t="s">
        <v>62203</v>
      </c>
    </row>
    <row r="20345" spans="1:20" x14ac:dyDescent="0.25">
      <c r="A20345" t="str">
        <f>"3051633"</f>
        <v>3051633</v>
      </c>
      <c r="B20345" t="s">
        <v>62207</v>
      </c>
      <c r="C20345" t="str">
        <f>"8314741"</f>
        <v>8314741</v>
      </c>
      <c r="D20345" t="str">
        <f>"HUNCKLER ROGER R/CLARE A"</f>
        <v>HUNCKLER ROGER R/CLARE A</v>
      </c>
      <c r="E20345" t="s">
        <v>61392</v>
      </c>
      <c r="F20345" t="s">
        <v>58308</v>
      </c>
      <c r="I20345" t="s">
        <v>29</v>
      </c>
      <c r="J20345" t="s">
        <v>30</v>
      </c>
      <c r="K20345" t="s">
        <v>39177</v>
      </c>
      <c r="M20345" t="s">
        <v>50793</v>
      </c>
      <c r="N20345" t="str">
        <f>"10/16/2023 10:40:00 AM"</f>
        <v>10/16/2023 10:40:00 AM</v>
      </c>
      <c r="O20345" t="str">
        <f>"HUNCKLER ROGER R/CLARE A"</f>
        <v>HUNCKLER ROGER R/CLARE A</v>
      </c>
      <c r="T20345" t="s">
        <v>61392</v>
      </c>
    </row>
    <row r="20346" spans="1:20" x14ac:dyDescent="0.25">
      <c r="A20346" t="str">
        <f>"3038517"</f>
        <v>3038517</v>
      </c>
      <c r="B20346" t="s">
        <v>62208</v>
      </c>
      <c r="C20346" t="str">
        <f>"8315617"</f>
        <v>8315617</v>
      </c>
      <c r="D20346" t="s">
        <v>55887</v>
      </c>
      <c r="F20346" t="s">
        <v>62209</v>
      </c>
      <c r="I20346" t="s">
        <v>2589</v>
      </c>
      <c r="J20346" t="s">
        <v>30</v>
      </c>
      <c r="K20346" t="s">
        <v>62210</v>
      </c>
      <c r="M20346" t="s">
        <v>50621</v>
      </c>
      <c r="N20346" t="str">
        <f>"10/16/2023 10:43:00 AM"</f>
        <v>10/16/2023 10:43:00 AM</v>
      </c>
      <c r="O20346" t="s">
        <v>55887</v>
      </c>
    </row>
    <row r="20347" spans="1:20" x14ac:dyDescent="0.25">
      <c r="A20347" t="str">
        <f>"3042972"</f>
        <v>3042972</v>
      </c>
      <c r="B20347" t="s">
        <v>62211</v>
      </c>
      <c r="C20347" t="str">
        <f>"8321158"</f>
        <v>8321158</v>
      </c>
      <c r="D20347" t="s">
        <v>59725</v>
      </c>
      <c r="F20347" t="s">
        <v>62212</v>
      </c>
      <c r="I20347" t="s">
        <v>29</v>
      </c>
      <c r="J20347" t="s">
        <v>30</v>
      </c>
      <c r="K20347" t="s">
        <v>4430</v>
      </c>
      <c r="M20347" t="s">
        <v>17861</v>
      </c>
      <c r="N20347" t="str">
        <f>"10/16/2023 10:59:00 AM"</f>
        <v>10/16/2023 10:59:00 AM</v>
      </c>
      <c r="O20347" t="s">
        <v>59725</v>
      </c>
    </row>
    <row r="20348" spans="1:20" x14ac:dyDescent="0.25">
      <c r="A20348" t="str">
        <f>"3060847"</f>
        <v>3060847</v>
      </c>
      <c r="B20348" t="s">
        <v>62213</v>
      </c>
      <c r="C20348" t="str">
        <f>"8305531"</f>
        <v>8305531</v>
      </c>
      <c r="D20348" t="s">
        <v>62214</v>
      </c>
      <c r="E20348" t="s">
        <v>62215</v>
      </c>
      <c r="F20348" t="s">
        <v>62216</v>
      </c>
      <c r="G20348" t="s">
        <v>44354</v>
      </c>
      <c r="I20348" t="s">
        <v>44355</v>
      </c>
      <c r="J20348" t="s">
        <v>11697</v>
      </c>
      <c r="K20348" t="s">
        <v>44356</v>
      </c>
      <c r="M20348" t="s">
        <v>50793</v>
      </c>
      <c r="N20348" t="str">
        <f>"10/25/2023 3:55:00 PM"</f>
        <v>10/25/2023 3:55:00 PM</v>
      </c>
      <c r="O20348" t="s">
        <v>62214</v>
      </c>
      <c r="T20348" t="s">
        <v>62215</v>
      </c>
    </row>
    <row r="20349" spans="1:20" x14ac:dyDescent="0.25">
      <c r="A20349" t="str">
        <f>"3049732"</f>
        <v>3049732</v>
      </c>
      <c r="B20349" t="s">
        <v>62217</v>
      </c>
      <c r="C20349" t="str">
        <f>"8305531"</f>
        <v>8305531</v>
      </c>
      <c r="D20349" t="s">
        <v>62214</v>
      </c>
      <c r="E20349" t="s">
        <v>62215</v>
      </c>
      <c r="F20349" t="s">
        <v>62216</v>
      </c>
      <c r="G20349" t="s">
        <v>44354</v>
      </c>
      <c r="I20349" t="s">
        <v>44355</v>
      </c>
      <c r="J20349" t="s">
        <v>11697</v>
      </c>
      <c r="K20349" t="s">
        <v>44356</v>
      </c>
      <c r="M20349" t="s">
        <v>50793</v>
      </c>
      <c r="N20349" t="str">
        <f>"10/25/2023 3:55:00 PM"</f>
        <v>10/25/2023 3:55:00 PM</v>
      </c>
      <c r="O20349" t="s">
        <v>62214</v>
      </c>
      <c r="T20349" t="s">
        <v>62215</v>
      </c>
    </row>
    <row r="20350" spans="1:20" x14ac:dyDescent="0.25">
      <c r="A20350" t="str">
        <f>"3041425"</f>
        <v>3041425</v>
      </c>
      <c r="B20350" t="s">
        <v>62218</v>
      </c>
      <c r="C20350" t="str">
        <f>"8305531"</f>
        <v>8305531</v>
      </c>
      <c r="D20350" t="s">
        <v>62214</v>
      </c>
      <c r="E20350" t="s">
        <v>62215</v>
      </c>
      <c r="F20350" t="s">
        <v>62216</v>
      </c>
      <c r="G20350" t="s">
        <v>44354</v>
      </c>
      <c r="I20350" t="s">
        <v>44355</v>
      </c>
      <c r="J20350" t="s">
        <v>11697</v>
      </c>
      <c r="K20350" t="s">
        <v>44356</v>
      </c>
      <c r="M20350" t="s">
        <v>50793</v>
      </c>
      <c r="N20350" t="str">
        <f>"10/25/2023 3:55:00 PM"</f>
        <v>10/25/2023 3:55:00 PM</v>
      </c>
      <c r="O20350" t="s">
        <v>62214</v>
      </c>
      <c r="T20350" t="s">
        <v>62215</v>
      </c>
    </row>
    <row r="20351" spans="1:20" x14ac:dyDescent="0.25">
      <c r="A20351" t="str">
        <f>"3077045"</f>
        <v>3077045</v>
      </c>
      <c r="B20351" t="s">
        <v>62219</v>
      </c>
      <c r="C20351" t="str">
        <f>"8321159"</f>
        <v>8321159</v>
      </c>
      <c r="D20351" t="s">
        <v>62220</v>
      </c>
      <c r="E20351" t="s">
        <v>4364</v>
      </c>
      <c r="F20351" t="s">
        <v>62221</v>
      </c>
      <c r="I20351" t="s">
        <v>29</v>
      </c>
      <c r="J20351" t="s">
        <v>30</v>
      </c>
      <c r="K20351" t="s">
        <v>4159</v>
      </c>
      <c r="M20351" t="s">
        <v>17861</v>
      </c>
      <c r="N20351" t="str">
        <f>"10/16/2023 11:01:00 AM"</f>
        <v>10/16/2023 11:01:00 AM</v>
      </c>
      <c r="O20351" t="s">
        <v>62220</v>
      </c>
      <c r="T20351" t="s">
        <v>4364</v>
      </c>
    </row>
    <row r="20352" spans="1:20" x14ac:dyDescent="0.25">
      <c r="A20352" t="str">
        <f>"3053484"</f>
        <v>3053484</v>
      </c>
      <c r="B20352" t="s">
        <v>62222</v>
      </c>
      <c r="C20352" t="str">
        <f>"8321142"</f>
        <v>8321142</v>
      </c>
      <c r="D20352" t="s">
        <v>62223</v>
      </c>
      <c r="E20352" t="s">
        <v>62224</v>
      </c>
      <c r="F20352" t="s">
        <v>62225</v>
      </c>
      <c r="I20352" t="s">
        <v>29</v>
      </c>
      <c r="J20352" t="s">
        <v>30</v>
      </c>
      <c r="K20352" t="s">
        <v>62226</v>
      </c>
      <c r="M20352" t="s">
        <v>17861</v>
      </c>
      <c r="N20352" t="str">
        <f>"10/12/2023 2:11:00 PM"</f>
        <v>10/12/2023 2:11:00 PM</v>
      </c>
      <c r="O20352" t="s">
        <v>62223</v>
      </c>
      <c r="T20352" t="s">
        <v>62224</v>
      </c>
    </row>
    <row r="20353" spans="1:20" x14ac:dyDescent="0.25">
      <c r="A20353" t="str">
        <f>"3058874"</f>
        <v>3058874</v>
      </c>
      <c r="B20353" t="s">
        <v>62227</v>
      </c>
      <c r="C20353" t="str">
        <f>"8321145"</f>
        <v>8321145</v>
      </c>
      <c r="D20353" t="s">
        <v>62228</v>
      </c>
      <c r="F20353" t="s">
        <v>62229</v>
      </c>
      <c r="I20353" t="s">
        <v>29</v>
      </c>
      <c r="J20353" t="s">
        <v>30</v>
      </c>
      <c r="K20353" t="s">
        <v>61198</v>
      </c>
      <c r="M20353" t="s">
        <v>17861</v>
      </c>
      <c r="N20353" t="str">
        <f>"10/12/2023 2:50:00 PM"</f>
        <v>10/12/2023 2:50:00 PM</v>
      </c>
      <c r="O20353" t="s">
        <v>62228</v>
      </c>
    </row>
    <row r="20354" spans="1:20" x14ac:dyDescent="0.25">
      <c r="A20354" t="str">
        <f>"3041523"</f>
        <v>3041523</v>
      </c>
      <c r="B20354" t="s">
        <v>62230</v>
      </c>
      <c r="C20354" t="str">
        <f>"8321147"</f>
        <v>8321147</v>
      </c>
      <c r="D20354" t="s">
        <v>62231</v>
      </c>
      <c r="F20354" t="s">
        <v>62232</v>
      </c>
      <c r="I20354" t="s">
        <v>29543</v>
      </c>
      <c r="J20354" t="s">
        <v>2738</v>
      </c>
      <c r="K20354" t="s">
        <v>62233</v>
      </c>
      <c r="M20354" t="s">
        <v>17861</v>
      </c>
      <c r="N20354" t="str">
        <f>"10/12/2023 3:31:00 PM"</f>
        <v>10/12/2023 3:31:00 PM</v>
      </c>
      <c r="O20354" t="s">
        <v>62231</v>
      </c>
    </row>
    <row r="20355" spans="1:20" x14ac:dyDescent="0.25">
      <c r="A20355" t="str">
        <f>"3077943"</f>
        <v>3077943</v>
      </c>
      <c r="B20355" t="s">
        <v>62234</v>
      </c>
      <c r="C20355" t="str">
        <f>"8321151"</f>
        <v>8321151</v>
      </c>
      <c r="D20355" t="s">
        <v>24959</v>
      </c>
      <c r="E20355" t="s">
        <v>62235</v>
      </c>
      <c r="F20355" t="s">
        <v>62236</v>
      </c>
      <c r="I20355" t="s">
        <v>29</v>
      </c>
      <c r="J20355" t="s">
        <v>30</v>
      </c>
      <c r="K20355" t="s">
        <v>24962</v>
      </c>
      <c r="M20355" t="s">
        <v>17861</v>
      </c>
      <c r="N20355" t="str">
        <f>"10/16/2023 8:52:00 AM"</f>
        <v>10/16/2023 8:52:00 AM</v>
      </c>
      <c r="O20355" t="s">
        <v>24959</v>
      </c>
      <c r="T20355" t="s">
        <v>62235</v>
      </c>
    </row>
    <row r="20356" spans="1:20" x14ac:dyDescent="0.25">
      <c r="A20356" t="str">
        <f>"3038949"</f>
        <v>3038949</v>
      </c>
      <c r="B20356" t="s">
        <v>62237</v>
      </c>
      <c r="C20356" t="str">
        <f>"8321222"</f>
        <v>8321222</v>
      </c>
      <c r="D20356" t="s">
        <v>62238</v>
      </c>
      <c r="F20356" t="s">
        <v>62239</v>
      </c>
      <c r="I20356" t="s">
        <v>29</v>
      </c>
      <c r="J20356" t="s">
        <v>30</v>
      </c>
      <c r="K20356" t="s">
        <v>232</v>
      </c>
      <c r="M20356" t="s">
        <v>17861</v>
      </c>
      <c r="N20356" t="str">
        <f>"10/30/2023 11:16:00 AM"</f>
        <v>10/30/2023 11:16:00 AM</v>
      </c>
      <c r="O20356" t="s">
        <v>62238</v>
      </c>
    </row>
    <row r="20357" spans="1:20" x14ac:dyDescent="0.25">
      <c r="A20357" t="str">
        <f>"3062365"</f>
        <v>3062365</v>
      </c>
      <c r="B20357" t="s">
        <v>62240</v>
      </c>
      <c r="C20357" t="str">
        <f>"8321225"</f>
        <v>8321225</v>
      </c>
      <c r="D20357" t="s">
        <v>62241</v>
      </c>
      <c r="E20357" t="s">
        <v>62242</v>
      </c>
      <c r="F20357" t="s">
        <v>62243</v>
      </c>
      <c r="I20357" t="s">
        <v>29</v>
      </c>
      <c r="J20357" t="s">
        <v>30</v>
      </c>
      <c r="K20357" t="s">
        <v>39024</v>
      </c>
      <c r="M20357" t="s">
        <v>17861</v>
      </c>
      <c r="N20357" t="str">
        <f>"10/30/2023 11:22:00 AM"</f>
        <v>10/30/2023 11:22:00 AM</v>
      </c>
      <c r="O20357" t="s">
        <v>62241</v>
      </c>
      <c r="T20357" t="s">
        <v>62242</v>
      </c>
    </row>
    <row r="20358" spans="1:20" x14ac:dyDescent="0.25">
      <c r="A20358" t="str">
        <f>"3053917"</f>
        <v>3053917</v>
      </c>
      <c r="B20358" t="s">
        <v>62244</v>
      </c>
      <c r="C20358" t="str">
        <f>"8321227"</f>
        <v>8321227</v>
      </c>
      <c r="D20358" t="s">
        <v>62245</v>
      </c>
      <c r="F20358" t="s">
        <v>62246</v>
      </c>
      <c r="I20358" t="s">
        <v>29</v>
      </c>
      <c r="J20358" t="s">
        <v>30</v>
      </c>
      <c r="K20358" t="s">
        <v>18825</v>
      </c>
      <c r="M20358" t="s">
        <v>17861</v>
      </c>
      <c r="N20358" t="str">
        <f>"10/30/2023 11:29:00 AM"</f>
        <v>10/30/2023 11:29:00 AM</v>
      </c>
      <c r="O20358" t="s">
        <v>62245</v>
      </c>
    </row>
    <row r="20359" spans="1:20" x14ac:dyDescent="0.25">
      <c r="A20359" t="str">
        <f>"3077110"</f>
        <v>3077110</v>
      </c>
      <c r="B20359" t="s">
        <v>62247</v>
      </c>
      <c r="C20359" t="str">
        <f>"8321228"</f>
        <v>8321228</v>
      </c>
      <c r="D20359" t="s">
        <v>62248</v>
      </c>
      <c r="E20359" t="s">
        <v>62249</v>
      </c>
      <c r="F20359" t="s">
        <v>62250</v>
      </c>
      <c r="I20359" t="s">
        <v>184</v>
      </c>
      <c r="J20359" t="s">
        <v>30</v>
      </c>
      <c r="K20359" t="s">
        <v>62251</v>
      </c>
      <c r="M20359" t="s">
        <v>17861</v>
      </c>
      <c r="N20359" t="str">
        <f>"10/30/2023 11:31:00 AM"</f>
        <v>10/30/2023 11:31:00 AM</v>
      </c>
      <c r="O20359" t="s">
        <v>62248</v>
      </c>
      <c r="T20359" t="s">
        <v>62249</v>
      </c>
    </row>
    <row r="20360" spans="1:20" x14ac:dyDescent="0.25">
      <c r="A20360" t="str">
        <f>"3060994"</f>
        <v>3060994</v>
      </c>
      <c r="B20360" t="s">
        <v>62252</v>
      </c>
      <c r="C20360" t="str">
        <f>"8321231"</f>
        <v>8321231</v>
      </c>
      <c r="D20360" t="s">
        <v>62253</v>
      </c>
      <c r="E20360" t="str">
        <f>"BUSH KEVIN J/KAREN L"</f>
        <v>BUSH KEVIN J/KAREN L</v>
      </c>
      <c r="F20360" t="s">
        <v>62254</v>
      </c>
      <c r="I20360" t="s">
        <v>2071</v>
      </c>
      <c r="J20360" t="s">
        <v>30</v>
      </c>
      <c r="K20360" t="s">
        <v>34629</v>
      </c>
      <c r="M20360" t="s">
        <v>17861</v>
      </c>
      <c r="N20360" t="str">
        <f>"10/30/2023 12:37:00 PM"</f>
        <v>10/30/2023 12:37:00 PM</v>
      </c>
      <c r="O20360" t="s">
        <v>62253</v>
      </c>
      <c r="T20360" t="str">
        <f>"BUSH KEVIN J/KAREN L"</f>
        <v>BUSH KEVIN J/KAREN L</v>
      </c>
    </row>
    <row r="20361" spans="1:20" x14ac:dyDescent="0.25">
      <c r="A20361" t="str">
        <f>"3064555"</f>
        <v>3064555</v>
      </c>
      <c r="B20361" t="s">
        <v>62255</v>
      </c>
      <c r="C20361" t="str">
        <f>"8321233"</f>
        <v>8321233</v>
      </c>
      <c r="D20361" t="s">
        <v>62256</v>
      </c>
      <c r="F20361" t="s">
        <v>44894</v>
      </c>
      <c r="I20361" t="s">
        <v>29</v>
      </c>
      <c r="J20361" t="s">
        <v>30</v>
      </c>
      <c r="K20361" t="s">
        <v>62257</v>
      </c>
      <c r="M20361" t="s">
        <v>17861</v>
      </c>
      <c r="N20361" t="str">
        <f>"10/30/2023 12:40:00 PM"</f>
        <v>10/30/2023 12:40:00 PM</v>
      </c>
      <c r="O20361" t="s">
        <v>62256</v>
      </c>
    </row>
    <row r="20362" spans="1:20" x14ac:dyDescent="0.25">
      <c r="A20362" t="str">
        <f>"3058340"</f>
        <v>3058340</v>
      </c>
      <c r="B20362" t="s">
        <v>62258</v>
      </c>
      <c r="C20362" t="str">
        <f>"8321234"</f>
        <v>8321234</v>
      </c>
      <c r="D20362" t="s">
        <v>62259</v>
      </c>
      <c r="E20362" t="s">
        <v>62260</v>
      </c>
      <c r="F20362" t="s">
        <v>62261</v>
      </c>
      <c r="I20362" t="s">
        <v>29</v>
      </c>
      <c r="J20362" t="s">
        <v>30</v>
      </c>
      <c r="K20362" t="s">
        <v>62007</v>
      </c>
      <c r="M20362" t="s">
        <v>17861</v>
      </c>
      <c r="N20362" t="str">
        <f>"10/30/2023 12:47:00 PM"</f>
        <v>10/30/2023 12:47:00 PM</v>
      </c>
      <c r="O20362" t="s">
        <v>62259</v>
      </c>
      <c r="T20362" t="s">
        <v>62260</v>
      </c>
    </row>
    <row r="20363" spans="1:20" x14ac:dyDescent="0.25">
      <c r="A20363" t="str">
        <f>"3057014"</f>
        <v>3057014</v>
      </c>
      <c r="B20363" t="s">
        <v>62262</v>
      </c>
      <c r="C20363" t="str">
        <f>"8321236"</f>
        <v>8321236</v>
      </c>
      <c r="D20363" t="s">
        <v>62263</v>
      </c>
      <c r="E20363" t="s">
        <v>62264</v>
      </c>
      <c r="F20363" t="s">
        <v>62265</v>
      </c>
      <c r="I20363" t="s">
        <v>184</v>
      </c>
      <c r="J20363" t="s">
        <v>30</v>
      </c>
      <c r="K20363" t="s">
        <v>4697</v>
      </c>
      <c r="M20363" t="s">
        <v>17861</v>
      </c>
      <c r="N20363" t="str">
        <f>"10/30/2023 12:52:00 PM"</f>
        <v>10/30/2023 12:52:00 PM</v>
      </c>
      <c r="O20363" t="s">
        <v>62263</v>
      </c>
      <c r="T20363" t="s">
        <v>62264</v>
      </c>
    </row>
    <row r="20364" spans="1:20" x14ac:dyDescent="0.25">
      <c r="A20364" t="str">
        <f>"3058019"</f>
        <v>3058019</v>
      </c>
      <c r="B20364" t="s">
        <v>62266</v>
      </c>
      <c r="C20364" t="str">
        <f>"8321236"</f>
        <v>8321236</v>
      </c>
      <c r="D20364" t="s">
        <v>62263</v>
      </c>
      <c r="E20364" t="s">
        <v>62264</v>
      </c>
      <c r="F20364" t="s">
        <v>62265</v>
      </c>
      <c r="I20364" t="s">
        <v>184</v>
      </c>
      <c r="J20364" t="s">
        <v>30</v>
      </c>
      <c r="K20364" t="s">
        <v>4697</v>
      </c>
      <c r="M20364" t="s">
        <v>17861</v>
      </c>
      <c r="N20364" t="str">
        <f>"10/30/2023 12:52:00 PM"</f>
        <v>10/30/2023 12:52:00 PM</v>
      </c>
      <c r="O20364" t="s">
        <v>62263</v>
      </c>
      <c r="T20364" t="s">
        <v>62264</v>
      </c>
    </row>
    <row r="20365" spans="1:20" x14ac:dyDescent="0.25">
      <c r="A20365" t="str">
        <f>"3056764"</f>
        <v>3056764</v>
      </c>
      <c r="B20365" t="s">
        <v>62267</v>
      </c>
      <c r="C20365" t="str">
        <f>"8321153"</f>
        <v>8321153</v>
      </c>
      <c r="D20365" t="s">
        <v>62268</v>
      </c>
      <c r="F20365" t="s">
        <v>62269</v>
      </c>
      <c r="I20365" t="s">
        <v>29</v>
      </c>
      <c r="J20365" t="s">
        <v>30</v>
      </c>
      <c r="K20365" t="s">
        <v>19673</v>
      </c>
      <c r="M20365" t="s">
        <v>17861</v>
      </c>
      <c r="N20365" t="str">
        <f>"10/16/2023 9:41:00 AM"</f>
        <v>10/16/2023 9:41:00 AM</v>
      </c>
      <c r="O20365" t="s">
        <v>62268</v>
      </c>
    </row>
    <row r="20366" spans="1:20" x14ac:dyDescent="0.25">
      <c r="A20366" t="str">
        <f>"3060407"</f>
        <v>3060407</v>
      </c>
      <c r="B20366" t="s">
        <v>62270</v>
      </c>
      <c r="C20366" t="str">
        <f>"8321154"</f>
        <v>8321154</v>
      </c>
      <c r="D20366" t="s">
        <v>62271</v>
      </c>
      <c r="F20366" t="s">
        <v>62272</v>
      </c>
      <c r="I20366" t="s">
        <v>29</v>
      </c>
      <c r="J20366" t="s">
        <v>30</v>
      </c>
      <c r="K20366" t="s">
        <v>19061</v>
      </c>
      <c r="M20366" t="s">
        <v>17861</v>
      </c>
      <c r="N20366" t="str">
        <f>"10/16/2023 9:43:00 AM"</f>
        <v>10/16/2023 9:43:00 AM</v>
      </c>
      <c r="O20366" t="s">
        <v>62271</v>
      </c>
    </row>
    <row r="20367" spans="1:20" x14ac:dyDescent="0.25">
      <c r="A20367" t="str">
        <f>"3051872"</f>
        <v>3051872</v>
      </c>
      <c r="B20367" t="s">
        <v>62273</v>
      </c>
      <c r="C20367" t="str">
        <f>"8321161"</f>
        <v>8321161</v>
      </c>
      <c r="D20367" t="s">
        <v>62274</v>
      </c>
      <c r="F20367" t="s">
        <v>62275</v>
      </c>
      <c r="I20367" t="s">
        <v>29</v>
      </c>
      <c r="J20367" t="s">
        <v>30</v>
      </c>
      <c r="K20367" t="s">
        <v>13782</v>
      </c>
      <c r="M20367" t="s">
        <v>17861</v>
      </c>
      <c r="N20367" t="str">
        <f>"10/16/2023 2:27:00 PM"</f>
        <v>10/16/2023 2:27:00 PM</v>
      </c>
      <c r="O20367" t="s">
        <v>62274</v>
      </c>
    </row>
    <row r="20368" spans="1:20" x14ac:dyDescent="0.25">
      <c r="A20368" t="str">
        <f>"3059322"</f>
        <v>3059322</v>
      </c>
      <c r="B20368" t="s">
        <v>62276</v>
      </c>
      <c r="C20368" t="str">
        <f>"8321162"</f>
        <v>8321162</v>
      </c>
      <c r="D20368" t="s">
        <v>62277</v>
      </c>
      <c r="E20368" t="s">
        <v>62278</v>
      </c>
      <c r="F20368" t="s">
        <v>62279</v>
      </c>
      <c r="I20368" t="s">
        <v>29</v>
      </c>
      <c r="J20368" t="s">
        <v>30</v>
      </c>
      <c r="K20368" t="s">
        <v>62280</v>
      </c>
      <c r="M20368" t="s">
        <v>17861</v>
      </c>
      <c r="N20368" t="str">
        <f>"10/16/2023 3:24:00 PM"</f>
        <v>10/16/2023 3:24:00 PM</v>
      </c>
      <c r="O20368" t="s">
        <v>62277</v>
      </c>
      <c r="T20368" t="s">
        <v>62278</v>
      </c>
    </row>
    <row r="20369" spans="1:20" x14ac:dyDescent="0.25">
      <c r="A20369" t="str">
        <f>"3058360"</f>
        <v>3058360</v>
      </c>
      <c r="B20369" t="s">
        <v>62281</v>
      </c>
      <c r="C20369" t="str">
        <f>"8321247"</f>
        <v>8321247</v>
      </c>
      <c r="D20369" t="s">
        <v>62282</v>
      </c>
      <c r="F20369" t="s">
        <v>62283</v>
      </c>
      <c r="I20369" t="s">
        <v>29</v>
      </c>
      <c r="J20369" t="s">
        <v>30</v>
      </c>
      <c r="K20369" t="s">
        <v>56884</v>
      </c>
      <c r="M20369" t="s">
        <v>17861</v>
      </c>
      <c r="N20369" t="str">
        <f>"10/30/2023 2:57:00 PM"</f>
        <v>10/30/2023 2:57:00 PM</v>
      </c>
      <c r="O20369" t="s">
        <v>62282</v>
      </c>
    </row>
    <row r="20370" spans="1:20" x14ac:dyDescent="0.25">
      <c r="A20370" t="str">
        <f>"3049860"</f>
        <v>3049860</v>
      </c>
      <c r="B20370" t="s">
        <v>62284</v>
      </c>
      <c r="C20370" t="str">
        <f>"8321163"</f>
        <v>8321163</v>
      </c>
      <c r="D20370" t="s">
        <v>62285</v>
      </c>
      <c r="E20370" t="s">
        <v>62286</v>
      </c>
      <c r="F20370" t="s">
        <v>62287</v>
      </c>
      <c r="I20370" t="s">
        <v>29</v>
      </c>
      <c r="J20370" t="s">
        <v>30</v>
      </c>
      <c r="K20370" t="s">
        <v>10017</v>
      </c>
      <c r="M20370" t="s">
        <v>17861</v>
      </c>
      <c r="N20370" t="str">
        <f>"10/16/2023 3:27:00 PM"</f>
        <v>10/16/2023 3:27:00 PM</v>
      </c>
      <c r="O20370" t="s">
        <v>62285</v>
      </c>
      <c r="T20370" t="s">
        <v>62286</v>
      </c>
    </row>
    <row r="20371" spans="1:20" x14ac:dyDescent="0.25">
      <c r="A20371" t="str">
        <f>"3057515"</f>
        <v>3057515</v>
      </c>
      <c r="B20371" t="s">
        <v>62288</v>
      </c>
      <c r="C20371" t="str">
        <f>"8321156"</f>
        <v>8321156</v>
      </c>
      <c r="D20371" t="s">
        <v>62289</v>
      </c>
      <c r="E20371" t="s">
        <v>62290</v>
      </c>
      <c r="F20371" t="s">
        <v>62291</v>
      </c>
      <c r="I20371" t="s">
        <v>29</v>
      </c>
      <c r="J20371" t="s">
        <v>30</v>
      </c>
      <c r="K20371" t="s">
        <v>62292</v>
      </c>
      <c r="M20371" t="s">
        <v>17861</v>
      </c>
      <c r="N20371" t="str">
        <f>"10/16/2023 10:01:00 AM"</f>
        <v>10/16/2023 10:01:00 AM</v>
      </c>
      <c r="O20371" t="s">
        <v>62289</v>
      </c>
      <c r="T20371" t="s">
        <v>62290</v>
      </c>
    </row>
    <row r="20372" spans="1:20" x14ac:dyDescent="0.25">
      <c r="A20372" t="str">
        <f>"3072504"</f>
        <v>3072504</v>
      </c>
      <c r="B20372" t="s">
        <v>62293</v>
      </c>
      <c r="C20372" t="str">
        <f>"82530944"</f>
        <v>82530944</v>
      </c>
      <c r="D20372" t="s">
        <v>62294</v>
      </c>
      <c r="F20372" t="s">
        <v>62295</v>
      </c>
      <c r="I20372" t="s">
        <v>62296</v>
      </c>
      <c r="J20372" t="s">
        <v>1543</v>
      </c>
      <c r="K20372" t="s">
        <v>62297</v>
      </c>
      <c r="M20372" t="s">
        <v>18470</v>
      </c>
      <c r="N20372" t="str">
        <f>"10/16/2023 10:29:00 AM"</f>
        <v>10/16/2023 10:29:00 AM</v>
      </c>
      <c r="O20372" t="s">
        <v>62294</v>
      </c>
    </row>
    <row r="20373" spans="1:20" x14ac:dyDescent="0.25">
      <c r="A20373" t="str">
        <f>"3060139"</f>
        <v>3060139</v>
      </c>
      <c r="B20373" t="s">
        <v>62298</v>
      </c>
      <c r="C20373" t="str">
        <f>"8305531"</f>
        <v>8305531</v>
      </c>
      <c r="D20373" t="s">
        <v>62214</v>
      </c>
      <c r="E20373" t="s">
        <v>62215</v>
      </c>
      <c r="F20373" t="s">
        <v>62216</v>
      </c>
      <c r="G20373" t="s">
        <v>44354</v>
      </c>
      <c r="I20373" t="s">
        <v>44355</v>
      </c>
      <c r="J20373" t="s">
        <v>11697</v>
      </c>
      <c r="K20373" t="s">
        <v>44356</v>
      </c>
      <c r="M20373" t="s">
        <v>50793</v>
      </c>
      <c r="N20373" t="str">
        <f>"10/25/2023 3:55:00 PM"</f>
        <v>10/25/2023 3:55:00 PM</v>
      </c>
      <c r="O20373" t="s">
        <v>62214</v>
      </c>
      <c r="T20373" t="s">
        <v>62215</v>
      </c>
    </row>
    <row r="20374" spans="1:20" x14ac:dyDescent="0.25">
      <c r="A20374" t="str">
        <f>"3059543"</f>
        <v>3059543</v>
      </c>
      <c r="B20374" t="s">
        <v>62299</v>
      </c>
      <c r="C20374" t="str">
        <f>"8305531"</f>
        <v>8305531</v>
      </c>
      <c r="D20374" t="s">
        <v>62214</v>
      </c>
      <c r="E20374" t="s">
        <v>62215</v>
      </c>
      <c r="F20374" t="s">
        <v>62216</v>
      </c>
      <c r="G20374" t="s">
        <v>44354</v>
      </c>
      <c r="I20374" t="s">
        <v>44355</v>
      </c>
      <c r="J20374" t="s">
        <v>11697</v>
      </c>
      <c r="K20374" t="s">
        <v>44356</v>
      </c>
      <c r="M20374" t="s">
        <v>50793</v>
      </c>
      <c r="N20374" t="str">
        <f>"10/25/2023 3:55:00 PM"</f>
        <v>10/25/2023 3:55:00 PM</v>
      </c>
      <c r="O20374" t="s">
        <v>62214</v>
      </c>
      <c r="T20374" t="s">
        <v>62215</v>
      </c>
    </row>
    <row r="20375" spans="1:20" x14ac:dyDescent="0.25">
      <c r="A20375" t="str">
        <f>"3058841"</f>
        <v>3058841</v>
      </c>
      <c r="B20375" t="s">
        <v>62300</v>
      </c>
      <c r="C20375" t="str">
        <f>"8305531"</f>
        <v>8305531</v>
      </c>
      <c r="D20375" t="s">
        <v>62214</v>
      </c>
      <c r="E20375" t="s">
        <v>62215</v>
      </c>
      <c r="F20375" t="s">
        <v>62216</v>
      </c>
      <c r="G20375" t="s">
        <v>44354</v>
      </c>
      <c r="I20375" t="s">
        <v>44355</v>
      </c>
      <c r="J20375" t="s">
        <v>11697</v>
      </c>
      <c r="K20375" t="s">
        <v>44356</v>
      </c>
      <c r="M20375" t="s">
        <v>50793</v>
      </c>
      <c r="N20375" t="str">
        <f>"10/25/2023 3:55:00 PM"</f>
        <v>10/25/2023 3:55:00 PM</v>
      </c>
      <c r="O20375" t="s">
        <v>62214</v>
      </c>
      <c r="T20375" t="s">
        <v>62215</v>
      </c>
    </row>
    <row r="20376" spans="1:20" x14ac:dyDescent="0.25">
      <c r="A20376" t="str">
        <f>"3060900"</f>
        <v>3060900</v>
      </c>
      <c r="B20376" t="s">
        <v>62301</v>
      </c>
      <c r="C20376" t="str">
        <f>"8321217"</f>
        <v>8321217</v>
      </c>
      <c r="D20376" t="s">
        <v>62302</v>
      </c>
      <c r="E20376" t="s">
        <v>62303</v>
      </c>
      <c r="F20376" t="s">
        <v>62304</v>
      </c>
      <c r="I20376" t="s">
        <v>184</v>
      </c>
      <c r="J20376" t="s">
        <v>30</v>
      </c>
      <c r="K20376" t="s">
        <v>33837</v>
      </c>
      <c r="M20376" t="s">
        <v>17861</v>
      </c>
      <c r="N20376" t="str">
        <f>"10/30/2023 10:06:00 AM"</f>
        <v>10/30/2023 10:06:00 AM</v>
      </c>
      <c r="O20376" t="s">
        <v>62302</v>
      </c>
      <c r="T20376" t="s">
        <v>62303</v>
      </c>
    </row>
    <row r="20377" spans="1:20" x14ac:dyDescent="0.25">
      <c r="A20377" t="str">
        <f>"3054901"</f>
        <v>3054901</v>
      </c>
      <c r="B20377" t="s">
        <v>62305</v>
      </c>
      <c r="C20377" t="str">
        <f>"8321259"</f>
        <v>8321259</v>
      </c>
      <c r="D20377" t="s">
        <v>62306</v>
      </c>
      <c r="F20377" t="s">
        <v>62307</v>
      </c>
      <c r="I20377" t="s">
        <v>29</v>
      </c>
      <c r="J20377" t="s">
        <v>30</v>
      </c>
      <c r="K20377" t="s">
        <v>42324</v>
      </c>
      <c r="M20377" t="s">
        <v>17861</v>
      </c>
      <c r="N20377" t="str">
        <f>"10/31/2023 10:42:00 AM"</f>
        <v>10/31/2023 10:42:00 AM</v>
      </c>
      <c r="O20377" t="s">
        <v>62306</v>
      </c>
    </row>
    <row r="20378" spans="1:20" x14ac:dyDescent="0.25">
      <c r="A20378" t="str">
        <f>"3062323"</f>
        <v>3062323</v>
      </c>
      <c r="B20378" t="s">
        <v>62308</v>
      </c>
      <c r="C20378" t="str">
        <f>"8321264"</f>
        <v>8321264</v>
      </c>
      <c r="D20378" t="s">
        <v>62309</v>
      </c>
      <c r="F20378" t="s">
        <v>62310</v>
      </c>
      <c r="I20378" t="s">
        <v>3196</v>
      </c>
      <c r="J20378" t="s">
        <v>30</v>
      </c>
      <c r="K20378" t="s">
        <v>62311</v>
      </c>
      <c r="M20378" t="s">
        <v>17861</v>
      </c>
      <c r="N20378" t="str">
        <f>"10/31/2023 11:10:00 AM"</f>
        <v>10/31/2023 11:10:00 AM</v>
      </c>
      <c r="O20378" t="s">
        <v>62309</v>
      </c>
    </row>
    <row r="20379" spans="1:20" x14ac:dyDescent="0.25">
      <c r="A20379" t="str">
        <f>"3062324"</f>
        <v>3062324</v>
      </c>
      <c r="B20379" t="s">
        <v>62312</v>
      </c>
      <c r="C20379" t="str">
        <f>"8321264"</f>
        <v>8321264</v>
      </c>
      <c r="D20379" t="s">
        <v>62309</v>
      </c>
      <c r="F20379" t="s">
        <v>62310</v>
      </c>
      <c r="I20379" t="s">
        <v>3196</v>
      </c>
      <c r="J20379" t="s">
        <v>30</v>
      </c>
      <c r="K20379" t="s">
        <v>62311</v>
      </c>
      <c r="M20379" t="s">
        <v>17861</v>
      </c>
      <c r="N20379" t="str">
        <f>"10/31/2023 11:10:00 AM"</f>
        <v>10/31/2023 11:10:00 AM</v>
      </c>
      <c r="O20379" t="s">
        <v>62309</v>
      </c>
    </row>
    <row r="20380" spans="1:20" x14ac:dyDescent="0.25">
      <c r="A20380" t="str">
        <f>"3062325"</f>
        <v>3062325</v>
      </c>
      <c r="B20380" t="s">
        <v>62313</v>
      </c>
      <c r="C20380" t="str">
        <f>"8321264"</f>
        <v>8321264</v>
      </c>
      <c r="D20380" t="s">
        <v>62309</v>
      </c>
      <c r="F20380" t="s">
        <v>62310</v>
      </c>
      <c r="I20380" t="s">
        <v>3196</v>
      </c>
      <c r="J20380" t="s">
        <v>30</v>
      </c>
      <c r="K20380" t="s">
        <v>62311</v>
      </c>
      <c r="M20380" t="s">
        <v>17861</v>
      </c>
      <c r="N20380" t="str">
        <f>"10/31/2023 11:10:00 AM"</f>
        <v>10/31/2023 11:10:00 AM</v>
      </c>
      <c r="O20380" t="s">
        <v>62309</v>
      </c>
    </row>
    <row r="20381" spans="1:20" x14ac:dyDescent="0.25">
      <c r="A20381" t="str">
        <f>"3043735"</f>
        <v>3043735</v>
      </c>
      <c r="B20381" t="s">
        <v>62314</v>
      </c>
      <c r="C20381" t="str">
        <f>"8321265"</f>
        <v>8321265</v>
      </c>
      <c r="D20381" t="s">
        <v>62315</v>
      </c>
      <c r="E20381" t="s">
        <v>62316</v>
      </c>
      <c r="F20381" t="s">
        <v>62317</v>
      </c>
      <c r="I20381" t="s">
        <v>29</v>
      </c>
      <c r="J20381" t="s">
        <v>30</v>
      </c>
      <c r="K20381" t="s">
        <v>7089</v>
      </c>
      <c r="M20381" t="s">
        <v>17861</v>
      </c>
      <c r="N20381" t="str">
        <f>"10/31/2023 11:12:00 AM"</f>
        <v>10/31/2023 11:12:00 AM</v>
      </c>
      <c r="O20381" t="s">
        <v>62315</v>
      </c>
      <c r="T20381" t="s">
        <v>62316</v>
      </c>
    </row>
    <row r="20382" spans="1:20" x14ac:dyDescent="0.25">
      <c r="A20382" t="str">
        <f>"3057388"</f>
        <v>3057388</v>
      </c>
      <c r="B20382" t="s">
        <v>62318</v>
      </c>
      <c r="C20382" t="str">
        <f>"8321266"</f>
        <v>8321266</v>
      </c>
      <c r="D20382" t="s">
        <v>62319</v>
      </c>
      <c r="E20382" t="s">
        <v>62320</v>
      </c>
      <c r="F20382" t="s">
        <v>62321</v>
      </c>
      <c r="I20382" t="s">
        <v>184</v>
      </c>
      <c r="J20382" t="s">
        <v>30</v>
      </c>
      <c r="K20382" t="s">
        <v>38676</v>
      </c>
      <c r="M20382" t="s">
        <v>17861</v>
      </c>
      <c r="N20382" t="str">
        <f>"10/31/2023 11:15:00 AM"</f>
        <v>10/31/2023 11:15:00 AM</v>
      </c>
      <c r="O20382" t="s">
        <v>62319</v>
      </c>
      <c r="T20382" t="s">
        <v>62320</v>
      </c>
    </row>
    <row r="20383" spans="1:20" x14ac:dyDescent="0.25">
      <c r="A20383" t="str">
        <f>"3060218"</f>
        <v>3060218</v>
      </c>
      <c r="B20383" t="s">
        <v>62322</v>
      </c>
      <c r="C20383" t="str">
        <f>"8321266"</f>
        <v>8321266</v>
      </c>
      <c r="D20383" t="s">
        <v>62319</v>
      </c>
      <c r="E20383" t="s">
        <v>62320</v>
      </c>
      <c r="F20383" t="s">
        <v>62321</v>
      </c>
      <c r="I20383" t="s">
        <v>184</v>
      </c>
      <c r="J20383" t="s">
        <v>30</v>
      </c>
      <c r="K20383" t="s">
        <v>38676</v>
      </c>
      <c r="M20383" t="s">
        <v>17861</v>
      </c>
      <c r="N20383" t="str">
        <f>"10/31/2023 11:15:00 AM"</f>
        <v>10/31/2023 11:15:00 AM</v>
      </c>
      <c r="O20383" t="s">
        <v>62319</v>
      </c>
      <c r="T20383" t="s">
        <v>62320</v>
      </c>
    </row>
    <row r="20384" spans="1:20" x14ac:dyDescent="0.25">
      <c r="A20384" t="str">
        <f>"3058562"</f>
        <v>3058562</v>
      </c>
      <c r="B20384" t="s">
        <v>62323</v>
      </c>
      <c r="C20384" t="str">
        <f>"8321268"</f>
        <v>8321268</v>
      </c>
      <c r="D20384" t="s">
        <v>62324</v>
      </c>
      <c r="F20384" t="s">
        <v>62325</v>
      </c>
      <c r="I20384" t="s">
        <v>29</v>
      </c>
      <c r="J20384" t="s">
        <v>30</v>
      </c>
      <c r="K20384" t="s">
        <v>60905</v>
      </c>
      <c r="M20384" t="s">
        <v>17861</v>
      </c>
      <c r="N20384" t="str">
        <f>"10/31/2023 11:22:00 AM"</f>
        <v>10/31/2023 11:22:00 AM</v>
      </c>
      <c r="O20384" t="s">
        <v>62324</v>
      </c>
    </row>
    <row r="20385" spans="1:20" x14ac:dyDescent="0.25">
      <c r="A20385" t="str">
        <f>"3078459"</f>
        <v>3078459</v>
      </c>
      <c r="B20385" t="s">
        <v>62326</v>
      </c>
      <c r="C20385" t="str">
        <f>"8321270"</f>
        <v>8321270</v>
      </c>
      <c r="D20385" t="s">
        <v>62327</v>
      </c>
      <c r="F20385" t="s">
        <v>62328</v>
      </c>
      <c r="I20385" t="s">
        <v>29</v>
      </c>
      <c r="J20385" t="s">
        <v>30</v>
      </c>
      <c r="K20385" t="s">
        <v>13914</v>
      </c>
      <c r="M20385" t="s">
        <v>17861</v>
      </c>
      <c r="N20385" t="str">
        <f>"10/31/2023 11:25:00 AM"</f>
        <v>10/31/2023 11:25:00 AM</v>
      </c>
      <c r="O20385" t="s">
        <v>62327</v>
      </c>
    </row>
    <row r="20386" spans="1:20" x14ac:dyDescent="0.25">
      <c r="A20386" t="str">
        <f>"3058342"</f>
        <v>3058342</v>
      </c>
      <c r="B20386" t="s">
        <v>62329</v>
      </c>
      <c r="C20386" t="str">
        <f>"8321274"</f>
        <v>8321274</v>
      </c>
      <c r="D20386" t="s">
        <v>62330</v>
      </c>
      <c r="F20386" t="s">
        <v>62331</v>
      </c>
      <c r="I20386" t="s">
        <v>29</v>
      </c>
      <c r="J20386" t="s">
        <v>30</v>
      </c>
      <c r="K20386" t="s">
        <v>61947</v>
      </c>
      <c r="M20386" t="s">
        <v>17861</v>
      </c>
      <c r="N20386" t="str">
        <f>"10/31/2023 12:53:00 PM"</f>
        <v>10/31/2023 12:53:00 PM</v>
      </c>
      <c r="O20386" t="s">
        <v>62330</v>
      </c>
    </row>
    <row r="20387" spans="1:20" x14ac:dyDescent="0.25">
      <c r="A20387" t="str">
        <f>"3067178"</f>
        <v>3067178</v>
      </c>
      <c r="B20387" t="s">
        <v>62332</v>
      </c>
      <c r="C20387" t="str">
        <f>"8321218"</f>
        <v>8321218</v>
      </c>
      <c r="D20387" t="s">
        <v>62333</v>
      </c>
      <c r="E20387" t="s">
        <v>62334</v>
      </c>
      <c r="F20387" t="s">
        <v>62335</v>
      </c>
      <c r="I20387" t="s">
        <v>29</v>
      </c>
      <c r="J20387" t="s">
        <v>30</v>
      </c>
      <c r="K20387" t="s">
        <v>13235</v>
      </c>
      <c r="M20387" t="s">
        <v>17861</v>
      </c>
      <c r="N20387" t="str">
        <f>"10/30/2023 10:13:00 AM"</f>
        <v>10/30/2023 10:13:00 AM</v>
      </c>
      <c r="O20387" t="s">
        <v>62333</v>
      </c>
      <c r="T20387" t="s">
        <v>62334</v>
      </c>
    </row>
    <row r="20388" spans="1:20" x14ac:dyDescent="0.25">
      <c r="A20388" t="str">
        <f>"3041424"</f>
        <v>3041424</v>
      </c>
      <c r="B20388" t="s">
        <v>62336</v>
      </c>
      <c r="C20388" t="str">
        <f>"8321220"</f>
        <v>8321220</v>
      </c>
      <c r="D20388" t="s">
        <v>62337</v>
      </c>
      <c r="E20388" t="s">
        <v>62338</v>
      </c>
      <c r="F20388" t="s">
        <v>62339</v>
      </c>
      <c r="I20388" t="s">
        <v>2071</v>
      </c>
      <c r="J20388" t="s">
        <v>30</v>
      </c>
      <c r="K20388" t="s">
        <v>2361</v>
      </c>
      <c r="M20388" t="s">
        <v>17861</v>
      </c>
      <c r="N20388" t="str">
        <f>"10/30/2023 10:52:00 AM"</f>
        <v>10/30/2023 10:52:00 AM</v>
      </c>
      <c r="O20388" t="s">
        <v>62337</v>
      </c>
      <c r="T20388" t="s">
        <v>62338</v>
      </c>
    </row>
    <row r="20389" spans="1:20" x14ac:dyDescent="0.25">
      <c r="A20389" t="str">
        <f>"3057142"</f>
        <v>3057142</v>
      </c>
      <c r="B20389" t="s">
        <v>62340</v>
      </c>
      <c r="C20389" t="str">
        <f>"8320819"</f>
        <v>8320819</v>
      </c>
      <c r="D20389" t="s">
        <v>62341</v>
      </c>
      <c r="E20389" t="s">
        <v>62342</v>
      </c>
      <c r="F20389" t="s">
        <v>62343</v>
      </c>
      <c r="I20389" t="s">
        <v>184</v>
      </c>
      <c r="J20389" t="s">
        <v>30</v>
      </c>
      <c r="K20389" t="s">
        <v>34813</v>
      </c>
      <c r="M20389" t="s">
        <v>17861</v>
      </c>
      <c r="N20389" t="str">
        <f>"10/30/2023 11:00:00 AM"</f>
        <v>10/30/2023 11:00:00 AM</v>
      </c>
      <c r="O20389" t="s">
        <v>62341</v>
      </c>
      <c r="T20389" t="s">
        <v>62342</v>
      </c>
    </row>
    <row r="20390" spans="1:20" x14ac:dyDescent="0.25">
      <c r="A20390" t="str">
        <f>"3061441"</f>
        <v>3061441</v>
      </c>
      <c r="B20390" t="s">
        <v>62344</v>
      </c>
      <c r="C20390" t="str">
        <f>"8320819"</f>
        <v>8320819</v>
      </c>
      <c r="D20390" t="s">
        <v>62341</v>
      </c>
      <c r="E20390" t="s">
        <v>62342</v>
      </c>
      <c r="F20390" t="s">
        <v>62343</v>
      </c>
      <c r="I20390" t="s">
        <v>184</v>
      </c>
      <c r="J20390" t="s">
        <v>30</v>
      </c>
      <c r="K20390" t="s">
        <v>34813</v>
      </c>
      <c r="M20390" t="s">
        <v>17861</v>
      </c>
      <c r="N20390" t="str">
        <f>"10/30/2023 11:00:00 AM"</f>
        <v>10/30/2023 11:00:00 AM</v>
      </c>
      <c r="O20390" t="s">
        <v>62341</v>
      </c>
      <c r="T20390" t="s">
        <v>62342</v>
      </c>
    </row>
    <row r="20391" spans="1:20" x14ac:dyDescent="0.25">
      <c r="A20391" t="str">
        <f>"3059607"</f>
        <v>3059607</v>
      </c>
      <c r="B20391" t="s">
        <v>62345</v>
      </c>
      <c r="C20391" t="str">
        <f>"8321239"</f>
        <v>8321239</v>
      </c>
      <c r="D20391" t="s">
        <v>62346</v>
      </c>
      <c r="F20391" t="s">
        <v>62347</v>
      </c>
      <c r="I20391" t="s">
        <v>29</v>
      </c>
      <c r="J20391" t="s">
        <v>30</v>
      </c>
      <c r="K20391" t="s">
        <v>39498</v>
      </c>
      <c r="M20391" t="s">
        <v>17861</v>
      </c>
      <c r="N20391" t="str">
        <f>"10/30/2023 1:13:00 PM"</f>
        <v>10/30/2023 1:13:00 PM</v>
      </c>
      <c r="O20391" t="s">
        <v>62346</v>
      </c>
    </row>
    <row r="20392" spans="1:20" x14ac:dyDescent="0.25">
      <c r="A20392" t="str">
        <f>"3069014"</f>
        <v>3069014</v>
      </c>
      <c r="B20392" t="s">
        <v>62348</v>
      </c>
      <c r="C20392" t="str">
        <f>"8321241"</f>
        <v>8321241</v>
      </c>
      <c r="D20392" t="s">
        <v>51005</v>
      </c>
      <c r="F20392" t="s">
        <v>62349</v>
      </c>
      <c r="I20392" t="s">
        <v>29</v>
      </c>
      <c r="J20392" t="s">
        <v>30</v>
      </c>
      <c r="K20392" t="s">
        <v>25108</v>
      </c>
      <c r="M20392" t="s">
        <v>17861</v>
      </c>
      <c r="N20392" t="str">
        <f>"10/30/2023 1:21:00 PM"</f>
        <v>10/30/2023 1:21:00 PM</v>
      </c>
      <c r="O20392" t="s">
        <v>51005</v>
      </c>
    </row>
    <row r="20393" spans="1:20" x14ac:dyDescent="0.25">
      <c r="A20393" t="str">
        <f>"3057483"</f>
        <v>3057483</v>
      </c>
      <c r="B20393" t="s">
        <v>62350</v>
      </c>
      <c r="C20393" t="str">
        <f>"8321243"</f>
        <v>8321243</v>
      </c>
      <c r="D20393" t="s">
        <v>62351</v>
      </c>
      <c r="F20393" t="s">
        <v>62352</v>
      </c>
      <c r="I20393" t="s">
        <v>184</v>
      </c>
      <c r="J20393" t="s">
        <v>30</v>
      </c>
      <c r="K20393" t="s">
        <v>35177</v>
      </c>
      <c r="M20393" t="s">
        <v>17861</v>
      </c>
      <c r="N20393" t="str">
        <f>"10/30/2023 1:25:00 PM"</f>
        <v>10/30/2023 1:25:00 PM</v>
      </c>
      <c r="O20393" t="s">
        <v>62351</v>
      </c>
    </row>
    <row r="20394" spans="1:20" x14ac:dyDescent="0.25">
      <c r="A20394" t="str">
        <f>"3052880"</f>
        <v>3052880</v>
      </c>
      <c r="B20394" t="s">
        <v>62353</v>
      </c>
      <c r="C20394" t="str">
        <f>"8320625"</f>
        <v>8320625</v>
      </c>
      <c r="D20394" t="s">
        <v>62354</v>
      </c>
      <c r="E20394" t="s">
        <v>62355</v>
      </c>
      <c r="F20394" t="s">
        <v>62356</v>
      </c>
      <c r="I20394" t="s">
        <v>29</v>
      </c>
      <c r="J20394" t="s">
        <v>30</v>
      </c>
      <c r="K20394" t="s">
        <v>14829</v>
      </c>
      <c r="M20394" t="s">
        <v>17861</v>
      </c>
      <c r="N20394" t="str">
        <f>"10/30/2023 1:40:00 PM"</f>
        <v>10/30/2023 1:40:00 PM</v>
      </c>
      <c r="O20394" t="s">
        <v>62354</v>
      </c>
      <c r="T20394" t="s">
        <v>62355</v>
      </c>
    </row>
    <row r="20395" spans="1:20" x14ac:dyDescent="0.25">
      <c r="A20395" t="str">
        <f>"3053878"</f>
        <v>3053878</v>
      </c>
      <c r="B20395" t="s">
        <v>62357</v>
      </c>
      <c r="C20395" t="str">
        <f>"8321164"</f>
        <v>8321164</v>
      </c>
      <c r="D20395" t="s">
        <v>62358</v>
      </c>
      <c r="E20395" t="s">
        <v>62359</v>
      </c>
      <c r="F20395" t="s">
        <v>62360</v>
      </c>
      <c r="I20395" t="s">
        <v>29</v>
      </c>
      <c r="J20395" t="s">
        <v>30</v>
      </c>
      <c r="K20395" t="s">
        <v>62361</v>
      </c>
      <c r="M20395" t="s">
        <v>17861</v>
      </c>
      <c r="N20395" t="str">
        <f>"10/17/2023 10:05:00 AM"</f>
        <v>10/17/2023 10:05:00 AM</v>
      </c>
      <c r="O20395" t="s">
        <v>62358</v>
      </c>
      <c r="T20395" t="s">
        <v>62359</v>
      </c>
    </row>
    <row r="20396" spans="1:20" x14ac:dyDescent="0.25">
      <c r="A20396" t="str">
        <f>"3041545"</f>
        <v>3041545</v>
      </c>
      <c r="B20396" t="s">
        <v>62362</v>
      </c>
      <c r="C20396" t="str">
        <f>"8321301"</f>
        <v>8321301</v>
      </c>
      <c r="D20396" t="s">
        <v>62363</v>
      </c>
      <c r="E20396" t="s">
        <v>62364</v>
      </c>
      <c r="F20396" t="s">
        <v>62365</v>
      </c>
      <c r="I20396" t="s">
        <v>62366</v>
      </c>
      <c r="J20396" t="s">
        <v>11346</v>
      </c>
      <c r="K20396" t="s">
        <v>62367</v>
      </c>
      <c r="M20396" t="s">
        <v>17861</v>
      </c>
      <c r="N20396" t="str">
        <f>"11/1/2023 12:18:00 PM"</f>
        <v>11/1/2023 12:18:00 PM</v>
      </c>
      <c r="O20396" t="s">
        <v>62363</v>
      </c>
      <c r="T20396" t="s">
        <v>62364</v>
      </c>
    </row>
    <row r="20397" spans="1:20" x14ac:dyDescent="0.25">
      <c r="A20397" t="str">
        <f>"3057724"</f>
        <v>3057724</v>
      </c>
      <c r="B20397" t="s">
        <v>62368</v>
      </c>
      <c r="C20397" t="str">
        <f>"8321304"</f>
        <v>8321304</v>
      </c>
      <c r="D20397" t="s">
        <v>62369</v>
      </c>
      <c r="E20397" t="s">
        <v>62370</v>
      </c>
      <c r="F20397" t="s">
        <v>62371</v>
      </c>
      <c r="I20397" t="s">
        <v>29</v>
      </c>
      <c r="J20397" t="s">
        <v>30</v>
      </c>
      <c r="K20397" t="s">
        <v>15867</v>
      </c>
      <c r="M20397" t="s">
        <v>17861</v>
      </c>
      <c r="N20397" t="str">
        <f>"11/1/2023 12:41:00 PM"</f>
        <v>11/1/2023 12:41:00 PM</v>
      </c>
      <c r="O20397" t="s">
        <v>62369</v>
      </c>
      <c r="T20397" t="s">
        <v>62370</v>
      </c>
    </row>
    <row r="20398" spans="1:20" x14ac:dyDescent="0.25">
      <c r="A20398" t="str">
        <f>"3073998"</f>
        <v>3073998</v>
      </c>
      <c r="B20398" t="s">
        <v>62372</v>
      </c>
      <c r="C20398" t="str">
        <f>"8321305"</f>
        <v>8321305</v>
      </c>
      <c r="D20398" t="s">
        <v>62373</v>
      </c>
      <c r="F20398" t="s">
        <v>62374</v>
      </c>
      <c r="I20398" t="s">
        <v>184</v>
      </c>
      <c r="J20398" t="s">
        <v>30</v>
      </c>
      <c r="K20398" t="s">
        <v>62375</v>
      </c>
      <c r="M20398" t="s">
        <v>17861</v>
      </c>
      <c r="N20398" t="str">
        <f>"11/1/2023 2:07:00 PM"</f>
        <v>11/1/2023 2:07:00 PM</v>
      </c>
      <c r="O20398" t="s">
        <v>62373</v>
      </c>
    </row>
    <row r="20399" spans="1:20" x14ac:dyDescent="0.25">
      <c r="A20399" t="str">
        <f>"3059832"</f>
        <v>3059832</v>
      </c>
      <c r="B20399" t="s">
        <v>62376</v>
      </c>
      <c r="C20399" t="str">
        <f>"8321309"</f>
        <v>8321309</v>
      </c>
      <c r="D20399" t="s">
        <v>62377</v>
      </c>
      <c r="F20399" t="s">
        <v>62378</v>
      </c>
      <c r="I20399" t="s">
        <v>29</v>
      </c>
      <c r="J20399" t="s">
        <v>30</v>
      </c>
      <c r="K20399" t="s">
        <v>38800</v>
      </c>
      <c r="M20399" t="s">
        <v>17861</v>
      </c>
      <c r="N20399" t="str">
        <f>"11/1/2023 2:51:00 PM"</f>
        <v>11/1/2023 2:51:00 PM</v>
      </c>
      <c r="O20399" t="s">
        <v>62377</v>
      </c>
    </row>
    <row r="20400" spans="1:20" x14ac:dyDescent="0.25">
      <c r="A20400" t="str">
        <f>"3058275"</f>
        <v>3058275</v>
      </c>
      <c r="B20400" t="s">
        <v>62379</v>
      </c>
      <c r="C20400" t="str">
        <f>"8321310"</f>
        <v>8321310</v>
      </c>
      <c r="D20400" t="s">
        <v>62380</v>
      </c>
      <c r="E20400" t="s">
        <v>62381</v>
      </c>
      <c r="F20400" t="s">
        <v>62382</v>
      </c>
      <c r="I20400" t="s">
        <v>29</v>
      </c>
      <c r="J20400" t="s">
        <v>30</v>
      </c>
      <c r="K20400" t="s">
        <v>20338</v>
      </c>
      <c r="M20400" t="s">
        <v>17861</v>
      </c>
      <c r="N20400" t="str">
        <f>"11/1/2023 2:56:00 PM"</f>
        <v>11/1/2023 2:56:00 PM</v>
      </c>
      <c r="O20400" t="s">
        <v>62380</v>
      </c>
      <c r="T20400" t="s">
        <v>62381</v>
      </c>
    </row>
    <row r="20401" spans="1:20" x14ac:dyDescent="0.25">
      <c r="A20401" t="str">
        <f>"3058563"</f>
        <v>3058563</v>
      </c>
      <c r="B20401" t="s">
        <v>62383</v>
      </c>
      <c r="C20401" t="str">
        <f>"8321312"</f>
        <v>8321312</v>
      </c>
      <c r="D20401" t="s">
        <v>62384</v>
      </c>
      <c r="F20401" t="s">
        <v>62385</v>
      </c>
      <c r="I20401" t="s">
        <v>29</v>
      </c>
      <c r="J20401" t="s">
        <v>30</v>
      </c>
      <c r="K20401" t="s">
        <v>60905</v>
      </c>
      <c r="M20401" t="s">
        <v>17861</v>
      </c>
      <c r="N20401" t="str">
        <f>"11/1/2023 3:03:00 PM"</f>
        <v>11/1/2023 3:03:00 PM</v>
      </c>
      <c r="O20401" t="s">
        <v>62384</v>
      </c>
    </row>
    <row r="20402" spans="1:20" x14ac:dyDescent="0.25">
      <c r="A20402" t="str">
        <f>"3039183"</f>
        <v>3039183</v>
      </c>
      <c r="B20402" t="s">
        <v>62386</v>
      </c>
      <c r="C20402" t="str">
        <f>"8321165"</f>
        <v>8321165</v>
      </c>
      <c r="D20402" t="s">
        <v>62387</v>
      </c>
      <c r="E20402" t="s">
        <v>62388</v>
      </c>
      <c r="F20402" t="s">
        <v>62389</v>
      </c>
      <c r="I20402" t="s">
        <v>49</v>
      </c>
      <c r="J20402" t="s">
        <v>30</v>
      </c>
      <c r="K20402" t="str">
        <f>"27055"</f>
        <v>27055</v>
      </c>
      <c r="M20402" t="s">
        <v>17861</v>
      </c>
      <c r="N20402" t="str">
        <f>"10/17/2023 10:09:00 AM"</f>
        <v>10/17/2023 10:09:00 AM</v>
      </c>
      <c r="O20402" t="s">
        <v>62387</v>
      </c>
      <c r="T20402" t="s">
        <v>62388</v>
      </c>
    </row>
    <row r="20403" spans="1:20" x14ac:dyDescent="0.25">
      <c r="A20403" t="str">
        <f>"3062120"</f>
        <v>3062120</v>
      </c>
      <c r="B20403" t="s">
        <v>62390</v>
      </c>
      <c r="C20403" t="str">
        <f>"8321166"</f>
        <v>8321166</v>
      </c>
      <c r="D20403" t="s">
        <v>62391</v>
      </c>
      <c r="E20403" t="s">
        <v>62392</v>
      </c>
      <c r="F20403" t="s">
        <v>62393</v>
      </c>
      <c r="I20403" t="s">
        <v>29</v>
      </c>
      <c r="J20403" t="s">
        <v>30</v>
      </c>
      <c r="K20403" t="s">
        <v>36170</v>
      </c>
      <c r="M20403" t="s">
        <v>17861</v>
      </c>
      <c r="N20403" t="str">
        <f>"10/17/2023 10:18:00 AM"</f>
        <v>10/17/2023 10:18:00 AM</v>
      </c>
      <c r="O20403" t="s">
        <v>62391</v>
      </c>
      <c r="T20403" t="s">
        <v>62392</v>
      </c>
    </row>
    <row r="20404" spans="1:20" x14ac:dyDescent="0.25">
      <c r="A20404" t="str">
        <f>"3053460"</f>
        <v>3053460</v>
      </c>
      <c r="B20404" t="s">
        <v>62394</v>
      </c>
      <c r="C20404" t="str">
        <f>"8305101"</f>
        <v>8305101</v>
      </c>
      <c r="D20404" t="s">
        <v>62395</v>
      </c>
      <c r="E20404" t="s">
        <v>62396</v>
      </c>
      <c r="F20404" t="s">
        <v>62397</v>
      </c>
      <c r="I20404" t="s">
        <v>29</v>
      </c>
      <c r="J20404" t="s">
        <v>30</v>
      </c>
      <c r="K20404" t="str">
        <f>"27028"</f>
        <v>27028</v>
      </c>
      <c r="M20404" t="s">
        <v>25733</v>
      </c>
      <c r="N20404" t="str">
        <f>"10/17/2023 1:46:00 PM"</f>
        <v>10/17/2023 1:46:00 PM</v>
      </c>
      <c r="O20404" t="s">
        <v>62395</v>
      </c>
      <c r="T20404" t="s">
        <v>62396</v>
      </c>
    </row>
    <row r="20405" spans="1:20" x14ac:dyDescent="0.25">
      <c r="A20405" t="str">
        <f>"3052662"</f>
        <v>3052662</v>
      </c>
      <c r="B20405" t="s">
        <v>62398</v>
      </c>
      <c r="C20405" t="str">
        <f>"8320554"</f>
        <v>8320554</v>
      </c>
      <c r="D20405" t="s">
        <v>62399</v>
      </c>
      <c r="F20405" t="s">
        <v>62400</v>
      </c>
      <c r="I20405" t="s">
        <v>29</v>
      </c>
      <c r="J20405" t="s">
        <v>30</v>
      </c>
      <c r="K20405" t="s">
        <v>8096</v>
      </c>
      <c r="M20405" t="s">
        <v>17861</v>
      </c>
      <c r="N20405" t="str">
        <f>"11/1/2023 3:50:00 PM"</f>
        <v>11/1/2023 3:50:00 PM</v>
      </c>
      <c r="O20405" t="s">
        <v>62399</v>
      </c>
    </row>
    <row r="20406" spans="1:20" x14ac:dyDescent="0.25">
      <c r="A20406" t="str">
        <f>"3060368"</f>
        <v>3060368</v>
      </c>
      <c r="B20406" t="s">
        <v>62401</v>
      </c>
      <c r="C20406" t="str">
        <f>"8320555"</f>
        <v>8320555</v>
      </c>
      <c r="D20406" t="s">
        <v>62399</v>
      </c>
      <c r="E20406" t="s">
        <v>62402</v>
      </c>
      <c r="F20406" t="s">
        <v>62400</v>
      </c>
      <c r="I20406" t="s">
        <v>29</v>
      </c>
      <c r="J20406" t="s">
        <v>30</v>
      </c>
      <c r="K20406" t="s">
        <v>8096</v>
      </c>
      <c r="M20406" t="s">
        <v>17861</v>
      </c>
      <c r="N20406" t="str">
        <f>"11/1/2023 3:53:00 PM"</f>
        <v>11/1/2023 3:53:00 PM</v>
      </c>
      <c r="O20406" t="s">
        <v>62399</v>
      </c>
      <c r="T20406" t="s">
        <v>62402</v>
      </c>
    </row>
    <row r="20407" spans="1:20" x14ac:dyDescent="0.25">
      <c r="A20407" t="str">
        <f>"3053162"</f>
        <v>3053162</v>
      </c>
      <c r="B20407" t="s">
        <v>62403</v>
      </c>
      <c r="C20407" t="str">
        <f>"8321316"</f>
        <v>8321316</v>
      </c>
      <c r="D20407" t="s">
        <v>62404</v>
      </c>
      <c r="E20407" t="s">
        <v>62405</v>
      </c>
      <c r="F20407" t="s">
        <v>62406</v>
      </c>
      <c r="I20407" t="s">
        <v>29</v>
      </c>
      <c r="J20407" t="s">
        <v>30</v>
      </c>
      <c r="K20407" t="s">
        <v>42942</v>
      </c>
      <c r="M20407" t="s">
        <v>17861</v>
      </c>
      <c r="N20407" t="str">
        <f>"11/1/2023 3:57:00 PM"</f>
        <v>11/1/2023 3:57:00 PM</v>
      </c>
      <c r="O20407" t="s">
        <v>62404</v>
      </c>
      <c r="T20407" t="s">
        <v>62405</v>
      </c>
    </row>
    <row r="20408" spans="1:20" x14ac:dyDescent="0.25">
      <c r="A20408" t="str">
        <f>"3060383"</f>
        <v>3060383</v>
      </c>
      <c r="B20408" t="s">
        <v>62407</v>
      </c>
      <c r="C20408" t="str">
        <f>"8309788"</f>
        <v>8309788</v>
      </c>
      <c r="D20408" t="s">
        <v>62408</v>
      </c>
      <c r="E20408" t="s">
        <v>62409</v>
      </c>
      <c r="F20408" t="s">
        <v>62410</v>
      </c>
      <c r="I20408" t="s">
        <v>29</v>
      </c>
      <c r="J20408" t="s">
        <v>30</v>
      </c>
      <c r="K20408" t="s">
        <v>62411</v>
      </c>
      <c r="M20408" t="s">
        <v>51351</v>
      </c>
      <c r="N20408" t="str">
        <f>"10/17/2023 2:39:00 PM"</f>
        <v>10/17/2023 2:39:00 PM</v>
      </c>
      <c r="O20408" t="s">
        <v>62408</v>
      </c>
      <c r="T20408" t="s">
        <v>62409</v>
      </c>
    </row>
    <row r="20409" spans="1:20" x14ac:dyDescent="0.25">
      <c r="A20409" t="str">
        <f>"3056421"</f>
        <v>3056421</v>
      </c>
      <c r="B20409" t="s">
        <v>62412</v>
      </c>
      <c r="C20409" t="str">
        <f>"82515897"</f>
        <v>82515897</v>
      </c>
      <c r="D20409" t="s">
        <v>62413</v>
      </c>
      <c r="F20409" t="s">
        <v>62414</v>
      </c>
      <c r="I20409" t="s">
        <v>29</v>
      </c>
      <c r="J20409" t="s">
        <v>30</v>
      </c>
      <c r="K20409" t="s">
        <v>31</v>
      </c>
      <c r="M20409" t="s">
        <v>50621</v>
      </c>
      <c r="N20409" t="str">
        <f>"10/18/2023 9:38:00 AM"</f>
        <v>10/18/2023 9:38:00 AM</v>
      </c>
      <c r="O20409" t="s">
        <v>62413</v>
      </c>
    </row>
    <row r="20410" spans="1:20" x14ac:dyDescent="0.25">
      <c r="A20410" t="str">
        <f>"3053653"</f>
        <v>3053653</v>
      </c>
      <c r="B20410" t="s">
        <v>62415</v>
      </c>
      <c r="C20410" t="str">
        <f>"8321167"</f>
        <v>8321167</v>
      </c>
      <c r="D20410" t="s">
        <v>62416</v>
      </c>
      <c r="F20410" t="s">
        <v>62417</v>
      </c>
      <c r="I20410" t="s">
        <v>471</v>
      </c>
      <c r="J20410" t="s">
        <v>30</v>
      </c>
      <c r="K20410" t="s">
        <v>62418</v>
      </c>
      <c r="M20410" t="s">
        <v>17861</v>
      </c>
      <c r="N20410" t="str">
        <f>"10/18/2023 10:21:00 AM"</f>
        <v>10/18/2023 10:21:00 AM</v>
      </c>
      <c r="O20410" t="s">
        <v>62416</v>
      </c>
    </row>
    <row r="20411" spans="1:20" x14ac:dyDescent="0.25">
      <c r="A20411" t="str">
        <f>"3053264"</f>
        <v>3053264</v>
      </c>
      <c r="B20411" t="s">
        <v>62419</v>
      </c>
      <c r="C20411" t="str">
        <f>"8321167"</f>
        <v>8321167</v>
      </c>
      <c r="D20411" t="s">
        <v>62416</v>
      </c>
      <c r="F20411" t="s">
        <v>62417</v>
      </c>
      <c r="I20411" t="s">
        <v>471</v>
      </c>
      <c r="J20411" t="s">
        <v>30</v>
      </c>
      <c r="K20411" t="s">
        <v>62418</v>
      </c>
      <c r="M20411" t="s">
        <v>17861</v>
      </c>
      <c r="N20411" t="str">
        <f>"10/18/2023 10:21:00 AM"</f>
        <v>10/18/2023 10:21:00 AM</v>
      </c>
      <c r="O20411" t="s">
        <v>62416</v>
      </c>
    </row>
    <row r="20412" spans="1:20" x14ac:dyDescent="0.25">
      <c r="A20412" t="str">
        <f>"3077010"</f>
        <v>3077010</v>
      </c>
      <c r="B20412" t="s">
        <v>62420</v>
      </c>
      <c r="C20412" t="str">
        <f>"8321168"</f>
        <v>8321168</v>
      </c>
      <c r="D20412" t="s">
        <v>62421</v>
      </c>
      <c r="F20412" t="s">
        <v>62422</v>
      </c>
      <c r="I20412" t="s">
        <v>37425</v>
      </c>
      <c r="J20412" t="s">
        <v>30</v>
      </c>
      <c r="K20412" t="s">
        <v>62423</v>
      </c>
      <c r="M20412" t="s">
        <v>17861</v>
      </c>
      <c r="N20412" t="str">
        <f>"10/18/2023 10:32:00 AM"</f>
        <v>10/18/2023 10:32:00 AM</v>
      </c>
      <c r="O20412" t="s">
        <v>62421</v>
      </c>
    </row>
    <row r="20413" spans="1:20" x14ac:dyDescent="0.25">
      <c r="A20413" t="str">
        <f>"3050222"</f>
        <v>3050222</v>
      </c>
      <c r="B20413" t="s">
        <v>62424</v>
      </c>
      <c r="C20413" t="str">
        <f>"8321255"</f>
        <v>8321255</v>
      </c>
      <c r="D20413" t="s">
        <v>62425</v>
      </c>
      <c r="E20413" t="s">
        <v>62426</v>
      </c>
      <c r="F20413" t="s">
        <v>62427</v>
      </c>
      <c r="I20413" t="s">
        <v>50856</v>
      </c>
      <c r="J20413" t="s">
        <v>30</v>
      </c>
      <c r="K20413" t="s">
        <v>62428</v>
      </c>
      <c r="M20413" t="s">
        <v>17861</v>
      </c>
      <c r="N20413" t="str">
        <f>"10/31/2023 10:28:00 AM"</f>
        <v>10/31/2023 10:28:00 AM</v>
      </c>
      <c r="O20413" t="s">
        <v>62425</v>
      </c>
      <c r="T20413" t="s">
        <v>62426</v>
      </c>
    </row>
    <row r="20414" spans="1:20" x14ac:dyDescent="0.25">
      <c r="A20414" t="str">
        <f>"3050388"</f>
        <v>3050388</v>
      </c>
      <c r="B20414" t="s">
        <v>62429</v>
      </c>
      <c r="C20414" t="str">
        <f>"82531235"</f>
        <v>82531235</v>
      </c>
      <c r="D20414" t="s">
        <v>62430</v>
      </c>
      <c r="F20414" t="s">
        <v>62431</v>
      </c>
      <c r="I20414" t="s">
        <v>29</v>
      </c>
      <c r="J20414" t="s">
        <v>30</v>
      </c>
      <c r="K20414" t="s">
        <v>22691</v>
      </c>
      <c r="M20414" t="s">
        <v>51351</v>
      </c>
      <c r="N20414" t="str">
        <f>"10/31/2023 10:29:00 AM"</f>
        <v>10/31/2023 10:29:00 AM</v>
      </c>
      <c r="O20414" t="s">
        <v>62430</v>
      </c>
    </row>
    <row r="20415" spans="1:20" x14ac:dyDescent="0.25">
      <c r="A20415" t="str">
        <f>"3058891"</f>
        <v>3058891</v>
      </c>
      <c r="B20415" t="s">
        <v>62432</v>
      </c>
      <c r="C20415" t="str">
        <f>"8321257"</f>
        <v>8321257</v>
      </c>
      <c r="D20415" t="s">
        <v>62433</v>
      </c>
      <c r="E20415" t="s">
        <v>62434</v>
      </c>
      <c r="F20415" t="s">
        <v>62435</v>
      </c>
      <c r="I20415" t="s">
        <v>29</v>
      </c>
      <c r="J20415" t="s">
        <v>30</v>
      </c>
      <c r="K20415" t="s">
        <v>61198</v>
      </c>
      <c r="M20415" t="s">
        <v>17861</v>
      </c>
      <c r="N20415" t="str">
        <f>"10/31/2023 10:37:00 AM"</f>
        <v>10/31/2023 10:37:00 AM</v>
      </c>
      <c r="O20415" t="s">
        <v>62433</v>
      </c>
      <c r="T20415" t="s">
        <v>62434</v>
      </c>
    </row>
    <row r="20416" spans="1:20" x14ac:dyDescent="0.25">
      <c r="A20416" t="str">
        <f>"3039680"</f>
        <v>3039680</v>
      </c>
      <c r="B20416" t="s">
        <v>62436</v>
      </c>
      <c r="C20416" t="str">
        <f>"8321278"</f>
        <v>8321278</v>
      </c>
      <c r="D20416" t="s">
        <v>62437</v>
      </c>
      <c r="F20416" t="s">
        <v>62438</v>
      </c>
      <c r="I20416" t="s">
        <v>184</v>
      </c>
      <c r="J20416" t="s">
        <v>30</v>
      </c>
      <c r="K20416" t="s">
        <v>1664</v>
      </c>
      <c r="M20416" t="s">
        <v>17861</v>
      </c>
      <c r="N20416" t="str">
        <f>"10/31/2023 1:32:00 PM"</f>
        <v>10/31/2023 1:32:00 PM</v>
      </c>
      <c r="O20416" t="s">
        <v>62437</v>
      </c>
    </row>
    <row r="20417" spans="1:20" x14ac:dyDescent="0.25">
      <c r="A20417" t="str">
        <f>"3052148"</f>
        <v>3052148</v>
      </c>
      <c r="B20417" t="s">
        <v>62439</v>
      </c>
      <c r="C20417" t="str">
        <f>"8320108"</f>
        <v>8320108</v>
      </c>
      <c r="D20417" t="s">
        <v>62440</v>
      </c>
      <c r="F20417" t="s">
        <v>62441</v>
      </c>
      <c r="I20417" t="s">
        <v>62442</v>
      </c>
      <c r="J20417" t="s">
        <v>2738</v>
      </c>
      <c r="K20417" t="s">
        <v>62443</v>
      </c>
      <c r="M20417" t="s">
        <v>50621</v>
      </c>
      <c r="N20417" t="str">
        <f>"10/31/2023 2:49:00 PM"</f>
        <v>10/31/2023 2:49:00 PM</v>
      </c>
      <c r="O20417" t="s">
        <v>62440</v>
      </c>
    </row>
    <row r="20418" spans="1:20" x14ac:dyDescent="0.25">
      <c r="A20418" t="str">
        <f>"3037326"</f>
        <v>3037326</v>
      </c>
      <c r="B20418" t="s">
        <v>62444</v>
      </c>
      <c r="C20418" t="str">
        <f>"8321285"</f>
        <v>8321285</v>
      </c>
      <c r="D20418" t="s">
        <v>62445</v>
      </c>
      <c r="F20418" t="s">
        <v>62446</v>
      </c>
      <c r="I20418" t="s">
        <v>184</v>
      </c>
      <c r="J20418" t="s">
        <v>30</v>
      </c>
      <c r="K20418" t="s">
        <v>32261</v>
      </c>
      <c r="M20418" t="s">
        <v>17861</v>
      </c>
      <c r="N20418" t="str">
        <f>"11/1/2023 8:38:00 AM"</f>
        <v>11/1/2023 8:38:00 AM</v>
      </c>
      <c r="O20418" t="s">
        <v>62445</v>
      </c>
    </row>
    <row r="20419" spans="1:20" x14ac:dyDescent="0.25">
      <c r="A20419" t="str">
        <f>"3045319"</f>
        <v>3045319</v>
      </c>
      <c r="B20419" t="s">
        <v>62447</v>
      </c>
      <c r="C20419" t="str">
        <f>"8321286"</f>
        <v>8321286</v>
      </c>
      <c r="D20419" t="s">
        <v>62448</v>
      </c>
      <c r="F20419" t="s">
        <v>62449</v>
      </c>
      <c r="I20419" t="s">
        <v>29</v>
      </c>
      <c r="J20419" t="s">
        <v>30</v>
      </c>
      <c r="K20419" t="s">
        <v>62450</v>
      </c>
      <c r="M20419" t="s">
        <v>17861</v>
      </c>
      <c r="N20419" t="str">
        <f>"11/1/2023 8:55:00 AM"</f>
        <v>11/1/2023 8:55:00 AM</v>
      </c>
      <c r="O20419" t="s">
        <v>62448</v>
      </c>
    </row>
    <row r="20420" spans="1:20" x14ac:dyDescent="0.25">
      <c r="A20420" t="str">
        <f>"3051574"</f>
        <v>3051574</v>
      </c>
      <c r="B20420" t="s">
        <v>62451</v>
      </c>
      <c r="C20420" t="str">
        <f>"8321287"</f>
        <v>8321287</v>
      </c>
      <c r="D20420" t="s">
        <v>62452</v>
      </c>
      <c r="E20420" t="s">
        <v>62453</v>
      </c>
      <c r="F20420" t="s">
        <v>62454</v>
      </c>
      <c r="I20420" t="s">
        <v>29</v>
      </c>
      <c r="J20420" t="s">
        <v>30</v>
      </c>
      <c r="K20420" t="s">
        <v>39112</v>
      </c>
      <c r="M20420" t="s">
        <v>17861</v>
      </c>
      <c r="N20420" t="str">
        <f>"11/1/2023 9:00:00 AM"</f>
        <v>11/1/2023 9:00:00 AM</v>
      </c>
      <c r="O20420" t="s">
        <v>62452</v>
      </c>
      <c r="T20420" t="s">
        <v>62453</v>
      </c>
    </row>
    <row r="20421" spans="1:20" x14ac:dyDescent="0.25">
      <c r="A20421" t="str">
        <f>"3060932"</f>
        <v>3060932</v>
      </c>
      <c r="B20421" t="s">
        <v>62455</v>
      </c>
      <c r="C20421" t="str">
        <f>"8321289"</f>
        <v>8321289</v>
      </c>
      <c r="D20421" t="s">
        <v>62456</v>
      </c>
      <c r="F20421" t="s">
        <v>62457</v>
      </c>
      <c r="I20421" t="s">
        <v>2071</v>
      </c>
      <c r="J20421" t="s">
        <v>30</v>
      </c>
      <c r="K20421" t="s">
        <v>62458</v>
      </c>
      <c r="M20421" t="s">
        <v>17861</v>
      </c>
      <c r="N20421" t="str">
        <f>"11/1/2023 10:05:00 AM"</f>
        <v>11/1/2023 10:05:00 AM</v>
      </c>
      <c r="O20421" t="s">
        <v>62456</v>
      </c>
    </row>
    <row r="20422" spans="1:20" x14ac:dyDescent="0.25">
      <c r="A20422" t="str">
        <f>"3060927"</f>
        <v>3060927</v>
      </c>
      <c r="B20422" t="s">
        <v>62459</v>
      </c>
      <c r="C20422" t="str">
        <f>"8321290"</f>
        <v>8321290</v>
      </c>
      <c r="D20422" t="s">
        <v>62460</v>
      </c>
      <c r="E20422" t="s">
        <v>62461</v>
      </c>
      <c r="F20422" t="s">
        <v>62462</v>
      </c>
      <c r="I20422" t="s">
        <v>2071</v>
      </c>
      <c r="J20422" t="s">
        <v>30</v>
      </c>
      <c r="K20422" t="s">
        <v>33837</v>
      </c>
      <c r="M20422" t="s">
        <v>17861</v>
      </c>
      <c r="N20422" t="str">
        <f>"11/1/2023 10:08:00 AM"</f>
        <v>11/1/2023 10:08:00 AM</v>
      </c>
      <c r="O20422" t="s">
        <v>62460</v>
      </c>
      <c r="T20422" t="s">
        <v>62461</v>
      </c>
    </row>
    <row r="20423" spans="1:20" x14ac:dyDescent="0.25">
      <c r="A20423" t="str">
        <f>"3048296"</f>
        <v>3048296</v>
      </c>
      <c r="B20423" t="s">
        <v>62463</v>
      </c>
      <c r="C20423" t="str">
        <f>"8321297"</f>
        <v>8321297</v>
      </c>
      <c r="D20423" t="s">
        <v>62464</v>
      </c>
      <c r="F20423" t="s">
        <v>62465</v>
      </c>
      <c r="I20423" t="s">
        <v>1149</v>
      </c>
      <c r="J20423" t="s">
        <v>30</v>
      </c>
      <c r="K20423" t="s">
        <v>26062</v>
      </c>
      <c r="M20423" t="s">
        <v>17861</v>
      </c>
      <c r="N20423" t="str">
        <f>"11/1/2023 11:44:00 AM"</f>
        <v>11/1/2023 11:44:00 AM</v>
      </c>
      <c r="O20423" t="s">
        <v>62464</v>
      </c>
    </row>
    <row r="20424" spans="1:20" x14ac:dyDescent="0.25">
      <c r="A20424" t="str">
        <f>"3058365"</f>
        <v>3058365</v>
      </c>
      <c r="B20424" t="s">
        <v>62466</v>
      </c>
      <c r="C20424" t="str">
        <f>"8321299"</f>
        <v>8321299</v>
      </c>
      <c r="D20424" t="s">
        <v>62467</v>
      </c>
      <c r="F20424" t="s">
        <v>62468</v>
      </c>
      <c r="I20424" t="s">
        <v>29</v>
      </c>
      <c r="J20424" t="s">
        <v>30</v>
      </c>
      <c r="K20424" t="str">
        <f>"27028"</f>
        <v>27028</v>
      </c>
      <c r="M20424" t="s">
        <v>17861</v>
      </c>
      <c r="N20424" t="str">
        <f>"11/1/2023 11:59:00 AM"</f>
        <v>11/1/2023 11:59:00 AM</v>
      </c>
      <c r="O20424" t="s">
        <v>62467</v>
      </c>
    </row>
    <row r="20425" spans="1:20" x14ac:dyDescent="0.25">
      <c r="A20425" t="str">
        <f>"3068836"</f>
        <v>3068836</v>
      </c>
      <c r="B20425" t="s">
        <v>62469</v>
      </c>
      <c r="C20425" t="str">
        <f>"8321248"</f>
        <v>8321248</v>
      </c>
      <c r="D20425" t="s">
        <v>62470</v>
      </c>
      <c r="F20425" t="s">
        <v>62471</v>
      </c>
      <c r="I20425" t="s">
        <v>184</v>
      </c>
      <c r="J20425" t="s">
        <v>30</v>
      </c>
      <c r="K20425" t="s">
        <v>43343</v>
      </c>
      <c r="M20425" t="s">
        <v>17861</v>
      </c>
      <c r="N20425" t="str">
        <f>"10/30/2023 4:06:00 PM"</f>
        <v>10/30/2023 4:06:00 PM</v>
      </c>
      <c r="O20425" t="s">
        <v>62470</v>
      </c>
    </row>
    <row r="20426" spans="1:20" x14ac:dyDescent="0.25">
      <c r="A20426" t="str">
        <f>"3060169"</f>
        <v>3060169</v>
      </c>
      <c r="B20426" t="s">
        <v>62472</v>
      </c>
      <c r="C20426" t="str">
        <f>"8321250"</f>
        <v>8321250</v>
      </c>
      <c r="D20426" t="s">
        <v>62473</v>
      </c>
      <c r="E20426" t="s">
        <v>62474</v>
      </c>
      <c r="F20426" t="s">
        <v>62475</v>
      </c>
      <c r="I20426" t="s">
        <v>184</v>
      </c>
      <c r="J20426" t="s">
        <v>30</v>
      </c>
      <c r="K20426" t="s">
        <v>48651</v>
      </c>
      <c r="M20426" t="s">
        <v>17861</v>
      </c>
      <c r="N20426" t="str">
        <f>"10/30/2023 4:17:00 PM"</f>
        <v>10/30/2023 4:17:00 PM</v>
      </c>
      <c r="O20426" t="s">
        <v>62473</v>
      </c>
      <c r="T20426" t="s">
        <v>62474</v>
      </c>
    </row>
    <row r="20427" spans="1:20" x14ac:dyDescent="0.25">
      <c r="A20427" t="str">
        <f>"3041372"</f>
        <v>3041372</v>
      </c>
      <c r="B20427" t="s">
        <v>62476</v>
      </c>
      <c r="C20427" t="str">
        <f>"8321313"</f>
        <v>8321313</v>
      </c>
      <c r="D20427" t="s">
        <v>62477</v>
      </c>
      <c r="E20427" t="s">
        <v>62478</v>
      </c>
      <c r="F20427" t="s">
        <v>62479</v>
      </c>
      <c r="I20427" t="s">
        <v>2071</v>
      </c>
      <c r="J20427" t="s">
        <v>30</v>
      </c>
      <c r="K20427" t="s">
        <v>43307</v>
      </c>
      <c r="M20427" t="s">
        <v>17861</v>
      </c>
      <c r="N20427" t="str">
        <f>"11/1/2023 3:06:00 PM"</f>
        <v>11/1/2023 3:06:00 PM</v>
      </c>
      <c r="O20427" t="s">
        <v>62477</v>
      </c>
      <c r="T20427" t="s">
        <v>62478</v>
      </c>
    </row>
    <row r="20428" spans="1:20" x14ac:dyDescent="0.25">
      <c r="A20428" t="str">
        <f>"3058684"</f>
        <v>3058684</v>
      </c>
      <c r="B20428" t="s">
        <v>62480</v>
      </c>
      <c r="C20428" t="str">
        <f>"8321314"</f>
        <v>8321314</v>
      </c>
      <c r="D20428" t="s">
        <v>62481</v>
      </c>
      <c r="F20428" t="s">
        <v>62482</v>
      </c>
      <c r="I20428" t="s">
        <v>29</v>
      </c>
      <c r="J20428" t="s">
        <v>30</v>
      </c>
      <c r="K20428" t="s">
        <v>59681</v>
      </c>
      <c r="M20428" t="s">
        <v>17861</v>
      </c>
      <c r="N20428" t="str">
        <f>"11/1/2023 3:22:00 PM"</f>
        <v>11/1/2023 3:22:00 PM</v>
      </c>
      <c r="O20428" t="s">
        <v>62481</v>
      </c>
    </row>
    <row r="20429" spans="1:20" x14ac:dyDescent="0.25">
      <c r="A20429" t="str">
        <f>"3052675"</f>
        <v>3052675</v>
      </c>
      <c r="B20429" t="s">
        <v>62483</v>
      </c>
      <c r="C20429" t="str">
        <f>"8320554"</f>
        <v>8320554</v>
      </c>
      <c r="D20429" t="s">
        <v>62399</v>
      </c>
      <c r="F20429" t="s">
        <v>62400</v>
      </c>
      <c r="I20429" t="s">
        <v>29</v>
      </c>
      <c r="J20429" t="s">
        <v>30</v>
      </c>
      <c r="K20429" t="s">
        <v>8096</v>
      </c>
      <c r="M20429" t="s">
        <v>17861</v>
      </c>
      <c r="N20429" t="str">
        <f>"11/1/2023 3:50:00 PM"</f>
        <v>11/1/2023 3:50:00 PM</v>
      </c>
      <c r="O20429" t="s">
        <v>62399</v>
      </c>
    </row>
    <row r="20430" spans="1:20" x14ac:dyDescent="0.25">
      <c r="A20430" t="str">
        <f>"3039784"</f>
        <v>3039784</v>
      </c>
      <c r="B20430" t="s">
        <v>62484</v>
      </c>
      <c r="C20430" t="str">
        <f>"8304356"</f>
        <v>8304356</v>
      </c>
      <c r="D20430" t="s">
        <v>62485</v>
      </c>
      <c r="E20430" t="s">
        <v>62486</v>
      </c>
      <c r="F20430" t="s">
        <v>62487</v>
      </c>
      <c r="I20430" t="s">
        <v>471</v>
      </c>
      <c r="J20430" t="s">
        <v>30</v>
      </c>
      <c r="K20430" t="str">
        <f>"27103"</f>
        <v>27103</v>
      </c>
      <c r="M20430" t="s">
        <v>50621</v>
      </c>
      <c r="N20430" t="str">
        <f>"10/31/2023 9:21:00 AM"</f>
        <v>10/31/2023 9:21:00 AM</v>
      </c>
      <c r="O20430" t="s">
        <v>62485</v>
      </c>
      <c r="T20430" t="s">
        <v>62486</v>
      </c>
    </row>
    <row r="20431" spans="1:20" x14ac:dyDescent="0.25">
      <c r="A20431" t="str">
        <f>"3051755"</f>
        <v>3051755</v>
      </c>
      <c r="B20431" t="s">
        <v>62488</v>
      </c>
      <c r="C20431" t="str">
        <f>"8321252"</f>
        <v>8321252</v>
      </c>
      <c r="D20431" t="s">
        <v>62489</v>
      </c>
      <c r="F20431" t="s">
        <v>51287</v>
      </c>
      <c r="I20431" t="s">
        <v>29</v>
      </c>
      <c r="J20431" t="s">
        <v>30</v>
      </c>
      <c r="K20431" t="s">
        <v>51288</v>
      </c>
      <c r="M20431" t="s">
        <v>17861</v>
      </c>
      <c r="N20431" t="str">
        <f>"10/31/2023 9:45:00 AM"</f>
        <v>10/31/2023 9:45:00 AM</v>
      </c>
      <c r="O20431" t="s">
        <v>62489</v>
      </c>
    </row>
    <row r="20432" spans="1:20" x14ac:dyDescent="0.25">
      <c r="A20432" t="str">
        <f>"3068061"</f>
        <v>3068061</v>
      </c>
      <c r="B20432" t="s">
        <v>62490</v>
      </c>
      <c r="C20432" t="str">
        <f>"8321333"</f>
        <v>8321333</v>
      </c>
      <c r="D20432" t="s">
        <v>62491</v>
      </c>
      <c r="E20432" t="s">
        <v>62492</v>
      </c>
      <c r="F20432" t="s">
        <v>62493</v>
      </c>
      <c r="I20432" t="s">
        <v>1149</v>
      </c>
      <c r="J20432" t="s">
        <v>30</v>
      </c>
      <c r="K20432" t="s">
        <v>62494</v>
      </c>
      <c r="M20432" t="s">
        <v>17861</v>
      </c>
      <c r="N20432" t="str">
        <f>"11/2/2023 2:35:00 PM"</f>
        <v>11/2/2023 2:35:00 PM</v>
      </c>
      <c r="O20432" t="s">
        <v>62491</v>
      </c>
      <c r="T20432" t="s">
        <v>62492</v>
      </c>
    </row>
    <row r="20433" spans="1:20" x14ac:dyDescent="0.25">
      <c r="A20433" t="str">
        <f>"3040080"</f>
        <v>3040080</v>
      </c>
      <c r="B20433" t="s">
        <v>62495</v>
      </c>
      <c r="C20433" t="str">
        <f>"8321390"</f>
        <v>8321390</v>
      </c>
      <c r="D20433" t="s">
        <v>62496</v>
      </c>
      <c r="E20433" t="s">
        <v>62497</v>
      </c>
      <c r="F20433" t="s">
        <v>62498</v>
      </c>
      <c r="I20433" t="s">
        <v>29</v>
      </c>
      <c r="J20433" t="s">
        <v>30</v>
      </c>
      <c r="K20433" t="s">
        <v>62499</v>
      </c>
      <c r="M20433" t="s">
        <v>17861</v>
      </c>
      <c r="N20433" t="str">
        <f>"11/6/2023 3:20:00 PM"</f>
        <v>11/6/2023 3:20:00 PM</v>
      </c>
      <c r="O20433" t="s">
        <v>62496</v>
      </c>
      <c r="T20433" t="s">
        <v>62497</v>
      </c>
    </row>
    <row r="20434" spans="1:20" x14ac:dyDescent="0.25">
      <c r="A20434" t="str">
        <f>"3038377"</f>
        <v>3038377</v>
      </c>
      <c r="B20434" t="s">
        <v>62500</v>
      </c>
      <c r="C20434" t="str">
        <f>"8321391"</f>
        <v>8321391</v>
      </c>
      <c r="D20434" t="s">
        <v>62501</v>
      </c>
      <c r="F20434" t="s">
        <v>49746</v>
      </c>
      <c r="I20434" t="s">
        <v>29</v>
      </c>
      <c r="J20434" t="s">
        <v>30</v>
      </c>
      <c r="K20434" t="s">
        <v>49747</v>
      </c>
      <c r="M20434" t="s">
        <v>17861</v>
      </c>
      <c r="N20434" t="str">
        <f>"11/6/2023 3:24:00 PM"</f>
        <v>11/6/2023 3:24:00 PM</v>
      </c>
      <c r="O20434" t="s">
        <v>62501</v>
      </c>
    </row>
    <row r="20435" spans="1:20" x14ac:dyDescent="0.25">
      <c r="A20435" t="str">
        <f>"3078689"</f>
        <v>3078689</v>
      </c>
      <c r="B20435" t="s">
        <v>62502</v>
      </c>
      <c r="C20435" t="str">
        <f>"8321341"</f>
        <v>8321341</v>
      </c>
      <c r="D20435" t="s">
        <v>62503</v>
      </c>
      <c r="F20435" t="s">
        <v>62504</v>
      </c>
      <c r="I20435" t="s">
        <v>29</v>
      </c>
      <c r="J20435" t="s">
        <v>30</v>
      </c>
      <c r="K20435" t="s">
        <v>62505</v>
      </c>
      <c r="M20435" t="s">
        <v>17861</v>
      </c>
      <c r="N20435" t="str">
        <f>"11/3/2023 9:32:00 AM"</f>
        <v>11/3/2023 9:32:00 AM</v>
      </c>
      <c r="O20435" t="s">
        <v>62503</v>
      </c>
    </row>
    <row r="20436" spans="1:20" x14ac:dyDescent="0.25">
      <c r="A20436" t="str">
        <f>"3041812"</f>
        <v>3041812</v>
      </c>
      <c r="B20436" t="s">
        <v>62506</v>
      </c>
      <c r="C20436" t="str">
        <f>"8321403"</f>
        <v>8321403</v>
      </c>
      <c r="D20436" t="s">
        <v>62507</v>
      </c>
      <c r="F20436" t="s">
        <v>62508</v>
      </c>
      <c r="I20436" t="s">
        <v>2071</v>
      </c>
      <c r="J20436" t="s">
        <v>30</v>
      </c>
      <c r="K20436" t="s">
        <v>20267</v>
      </c>
      <c r="M20436" t="s">
        <v>17861</v>
      </c>
      <c r="N20436" t="str">
        <f>"11/7/2023 10:19:00 AM"</f>
        <v>11/7/2023 10:19:00 AM</v>
      </c>
      <c r="O20436" t="s">
        <v>62507</v>
      </c>
    </row>
    <row r="20437" spans="1:20" x14ac:dyDescent="0.25">
      <c r="A20437" t="str">
        <f>"3078690"</f>
        <v>3078690</v>
      </c>
      <c r="B20437" t="s">
        <v>62509</v>
      </c>
      <c r="C20437" t="str">
        <f t="shared" ref="C20437:C20443" si="308">"8321341"</f>
        <v>8321341</v>
      </c>
      <c r="D20437" t="s">
        <v>62503</v>
      </c>
      <c r="F20437" t="s">
        <v>62504</v>
      </c>
      <c r="I20437" t="s">
        <v>29</v>
      </c>
      <c r="J20437" t="s">
        <v>30</v>
      </c>
      <c r="K20437" t="s">
        <v>62505</v>
      </c>
      <c r="M20437" t="s">
        <v>17861</v>
      </c>
      <c r="N20437" t="str">
        <f t="shared" ref="N20437:N20443" si="309">"11/3/2023 9:32:00 AM"</f>
        <v>11/3/2023 9:32:00 AM</v>
      </c>
      <c r="O20437" t="s">
        <v>62503</v>
      </c>
    </row>
    <row r="20438" spans="1:20" x14ac:dyDescent="0.25">
      <c r="A20438" t="str">
        <f>"3059499"</f>
        <v>3059499</v>
      </c>
      <c r="B20438" t="s">
        <v>62510</v>
      </c>
      <c r="C20438" t="str">
        <f t="shared" si="308"/>
        <v>8321341</v>
      </c>
      <c r="D20438" t="s">
        <v>62503</v>
      </c>
      <c r="F20438" t="s">
        <v>62504</v>
      </c>
      <c r="I20438" t="s">
        <v>29</v>
      </c>
      <c r="J20438" t="s">
        <v>30</v>
      </c>
      <c r="K20438" t="s">
        <v>62505</v>
      </c>
      <c r="M20438" t="s">
        <v>17861</v>
      </c>
      <c r="N20438" t="str">
        <f t="shared" si="309"/>
        <v>11/3/2023 9:32:00 AM</v>
      </c>
      <c r="O20438" t="s">
        <v>62503</v>
      </c>
    </row>
    <row r="20439" spans="1:20" x14ac:dyDescent="0.25">
      <c r="A20439" t="str">
        <f>"3055783"</f>
        <v>3055783</v>
      </c>
      <c r="B20439" t="s">
        <v>62511</v>
      </c>
      <c r="C20439" t="str">
        <f t="shared" si="308"/>
        <v>8321341</v>
      </c>
      <c r="D20439" t="s">
        <v>62503</v>
      </c>
      <c r="F20439" t="s">
        <v>62504</v>
      </c>
      <c r="I20439" t="s">
        <v>29</v>
      </c>
      <c r="J20439" t="s">
        <v>30</v>
      </c>
      <c r="K20439" t="s">
        <v>62505</v>
      </c>
      <c r="M20439" t="s">
        <v>17861</v>
      </c>
      <c r="N20439" t="str">
        <f t="shared" si="309"/>
        <v>11/3/2023 9:32:00 AM</v>
      </c>
      <c r="O20439" t="s">
        <v>62503</v>
      </c>
    </row>
    <row r="20440" spans="1:20" x14ac:dyDescent="0.25">
      <c r="A20440" t="str">
        <f>"3055154"</f>
        <v>3055154</v>
      </c>
      <c r="B20440" t="s">
        <v>62512</v>
      </c>
      <c r="C20440" t="str">
        <f t="shared" si="308"/>
        <v>8321341</v>
      </c>
      <c r="D20440" t="s">
        <v>62503</v>
      </c>
      <c r="F20440" t="s">
        <v>62504</v>
      </c>
      <c r="I20440" t="s">
        <v>29</v>
      </c>
      <c r="J20440" t="s">
        <v>30</v>
      </c>
      <c r="K20440" t="s">
        <v>62505</v>
      </c>
      <c r="M20440" t="s">
        <v>17861</v>
      </c>
      <c r="N20440" t="str">
        <f t="shared" si="309"/>
        <v>11/3/2023 9:32:00 AM</v>
      </c>
      <c r="O20440" t="s">
        <v>62503</v>
      </c>
    </row>
    <row r="20441" spans="1:20" x14ac:dyDescent="0.25">
      <c r="A20441" t="str">
        <f>"3055311"</f>
        <v>3055311</v>
      </c>
      <c r="B20441" t="s">
        <v>62513</v>
      </c>
      <c r="C20441" t="str">
        <f t="shared" si="308"/>
        <v>8321341</v>
      </c>
      <c r="D20441" t="s">
        <v>62503</v>
      </c>
      <c r="F20441" t="s">
        <v>62504</v>
      </c>
      <c r="I20441" t="s">
        <v>29</v>
      </c>
      <c r="J20441" t="s">
        <v>30</v>
      </c>
      <c r="K20441" t="s">
        <v>62505</v>
      </c>
      <c r="M20441" t="s">
        <v>17861</v>
      </c>
      <c r="N20441" t="str">
        <f t="shared" si="309"/>
        <v>11/3/2023 9:32:00 AM</v>
      </c>
      <c r="O20441" t="s">
        <v>62503</v>
      </c>
    </row>
    <row r="20442" spans="1:20" x14ac:dyDescent="0.25">
      <c r="A20442" t="str">
        <f>"3055205"</f>
        <v>3055205</v>
      </c>
      <c r="B20442" t="s">
        <v>62514</v>
      </c>
      <c r="C20442" t="str">
        <f t="shared" si="308"/>
        <v>8321341</v>
      </c>
      <c r="D20442" t="s">
        <v>62503</v>
      </c>
      <c r="F20442" t="s">
        <v>62504</v>
      </c>
      <c r="I20442" t="s">
        <v>29</v>
      </c>
      <c r="J20442" t="s">
        <v>30</v>
      </c>
      <c r="K20442" t="s">
        <v>62505</v>
      </c>
      <c r="M20442" t="s">
        <v>17861</v>
      </c>
      <c r="N20442" t="str">
        <f t="shared" si="309"/>
        <v>11/3/2023 9:32:00 AM</v>
      </c>
      <c r="O20442" t="s">
        <v>62503</v>
      </c>
    </row>
    <row r="20443" spans="1:20" x14ac:dyDescent="0.25">
      <c r="A20443" t="str">
        <f>"3053401"</f>
        <v>3053401</v>
      </c>
      <c r="B20443" t="s">
        <v>62515</v>
      </c>
      <c r="C20443" t="str">
        <f t="shared" si="308"/>
        <v>8321341</v>
      </c>
      <c r="D20443" t="s">
        <v>62503</v>
      </c>
      <c r="F20443" t="s">
        <v>62504</v>
      </c>
      <c r="I20443" t="s">
        <v>29</v>
      </c>
      <c r="J20443" t="s">
        <v>30</v>
      </c>
      <c r="K20443" t="s">
        <v>62505</v>
      </c>
      <c r="M20443" t="s">
        <v>17861</v>
      </c>
      <c r="N20443" t="str">
        <f t="shared" si="309"/>
        <v>11/3/2023 9:32:00 AM</v>
      </c>
      <c r="O20443" t="s">
        <v>62503</v>
      </c>
    </row>
    <row r="20444" spans="1:20" x14ac:dyDescent="0.25">
      <c r="A20444" t="str">
        <f>"3038656"</f>
        <v>3038656</v>
      </c>
      <c r="B20444" t="s">
        <v>62516</v>
      </c>
      <c r="C20444" t="str">
        <f>"8305925"</f>
        <v>8305925</v>
      </c>
      <c r="D20444" t="s">
        <v>62517</v>
      </c>
      <c r="E20444" t="s">
        <v>62518</v>
      </c>
      <c r="F20444" t="s">
        <v>62519</v>
      </c>
      <c r="I20444" t="s">
        <v>29</v>
      </c>
      <c r="J20444" t="s">
        <v>30</v>
      </c>
      <c r="K20444" t="str">
        <f>"27028"</f>
        <v>27028</v>
      </c>
      <c r="M20444" t="s">
        <v>50793</v>
      </c>
      <c r="N20444" t="str">
        <f>"11/3/2023 9:43:00 AM"</f>
        <v>11/3/2023 9:43:00 AM</v>
      </c>
      <c r="O20444" t="s">
        <v>62517</v>
      </c>
      <c r="T20444" t="s">
        <v>62518</v>
      </c>
    </row>
    <row r="20445" spans="1:20" x14ac:dyDescent="0.25">
      <c r="A20445" t="str">
        <f>"3061040"</f>
        <v>3061040</v>
      </c>
      <c r="B20445" t="s">
        <v>62520</v>
      </c>
      <c r="C20445" t="str">
        <f>"8321343"</f>
        <v>8321343</v>
      </c>
      <c r="D20445" t="s">
        <v>62521</v>
      </c>
      <c r="F20445" t="s">
        <v>62522</v>
      </c>
      <c r="I20445" t="s">
        <v>2071</v>
      </c>
      <c r="J20445" t="s">
        <v>30</v>
      </c>
      <c r="K20445" t="s">
        <v>34629</v>
      </c>
      <c r="M20445" t="s">
        <v>17861</v>
      </c>
      <c r="N20445" t="str">
        <f>"11/3/2023 11:03:00 AM"</f>
        <v>11/3/2023 11:03:00 AM</v>
      </c>
      <c r="O20445" t="s">
        <v>62521</v>
      </c>
    </row>
    <row r="20446" spans="1:20" x14ac:dyDescent="0.25">
      <c r="A20446" t="str">
        <f>"3055376"</f>
        <v>3055376</v>
      </c>
      <c r="B20446" t="s">
        <v>62523</v>
      </c>
      <c r="C20446" t="str">
        <f>"8321318"</f>
        <v>8321318</v>
      </c>
      <c r="D20446" t="s">
        <v>62524</v>
      </c>
      <c r="E20446" t="s">
        <v>62525</v>
      </c>
      <c r="F20446" t="s">
        <v>62526</v>
      </c>
      <c r="I20446" t="s">
        <v>29</v>
      </c>
      <c r="J20446" t="s">
        <v>30</v>
      </c>
      <c r="K20446" t="s">
        <v>8242</v>
      </c>
      <c r="M20446" t="s">
        <v>17861</v>
      </c>
      <c r="N20446" t="str">
        <f>"11/1/2023 4:03:00 PM"</f>
        <v>11/1/2023 4:03:00 PM</v>
      </c>
      <c r="O20446" t="s">
        <v>62524</v>
      </c>
      <c r="T20446" t="s">
        <v>62525</v>
      </c>
    </row>
    <row r="20447" spans="1:20" x14ac:dyDescent="0.25">
      <c r="A20447" t="str">
        <f>"3061892"</f>
        <v>3061892</v>
      </c>
      <c r="B20447" t="s">
        <v>62527</v>
      </c>
      <c r="C20447" t="str">
        <f>"8321319"</f>
        <v>8321319</v>
      </c>
      <c r="D20447" t="s">
        <v>62528</v>
      </c>
      <c r="E20447" t="s">
        <v>62529</v>
      </c>
      <c r="F20447" t="s">
        <v>62530</v>
      </c>
      <c r="I20447" t="s">
        <v>184</v>
      </c>
      <c r="J20447" t="s">
        <v>30</v>
      </c>
      <c r="K20447" t="s">
        <v>62531</v>
      </c>
      <c r="M20447" t="s">
        <v>17861</v>
      </c>
      <c r="N20447" t="str">
        <f>"11/1/2023 4:05:00 PM"</f>
        <v>11/1/2023 4:05:00 PM</v>
      </c>
      <c r="O20447" t="s">
        <v>62528</v>
      </c>
      <c r="T20447" t="s">
        <v>62529</v>
      </c>
    </row>
    <row r="20448" spans="1:20" x14ac:dyDescent="0.25">
      <c r="A20448" t="str">
        <f>"3067328"</f>
        <v>3067328</v>
      </c>
      <c r="B20448" t="s">
        <v>62532</v>
      </c>
      <c r="C20448" t="str">
        <f>"8321423"</f>
        <v>8321423</v>
      </c>
      <c r="D20448" t="s">
        <v>62533</v>
      </c>
      <c r="E20448" t="s">
        <v>62534</v>
      </c>
      <c r="F20448" t="s">
        <v>62535</v>
      </c>
      <c r="I20448" t="s">
        <v>29</v>
      </c>
      <c r="J20448" t="s">
        <v>30</v>
      </c>
      <c r="K20448" t="s">
        <v>11836</v>
      </c>
      <c r="M20448" t="s">
        <v>17861</v>
      </c>
      <c r="N20448" t="str">
        <f>"11/9/2023 4:21:00 PM"</f>
        <v>11/9/2023 4:21:00 PM</v>
      </c>
      <c r="O20448" t="s">
        <v>62533</v>
      </c>
      <c r="T20448" t="s">
        <v>62534</v>
      </c>
    </row>
    <row r="20449" spans="1:20" x14ac:dyDescent="0.25">
      <c r="A20449" t="str">
        <f>"3064099"</f>
        <v>3064099</v>
      </c>
      <c r="B20449" t="s">
        <v>62536</v>
      </c>
      <c r="C20449" t="str">
        <f>"8321424"</f>
        <v>8321424</v>
      </c>
      <c r="D20449" t="s">
        <v>62537</v>
      </c>
      <c r="F20449" t="s">
        <v>62538</v>
      </c>
      <c r="I20449" t="s">
        <v>184</v>
      </c>
      <c r="J20449" t="s">
        <v>30</v>
      </c>
      <c r="K20449" t="str">
        <f>"27006"</f>
        <v>27006</v>
      </c>
      <c r="M20449" t="s">
        <v>17861</v>
      </c>
      <c r="N20449" t="str">
        <f>"11/13/2023 9:05:00 AM"</f>
        <v>11/13/2023 9:05:00 AM</v>
      </c>
      <c r="O20449" t="s">
        <v>62537</v>
      </c>
    </row>
    <row r="20450" spans="1:20" x14ac:dyDescent="0.25">
      <c r="A20450" t="str">
        <f>"3062576"</f>
        <v>3062576</v>
      </c>
      <c r="B20450" t="s">
        <v>62539</v>
      </c>
      <c r="C20450" t="str">
        <f>"8321425"</f>
        <v>8321425</v>
      </c>
      <c r="D20450" t="s">
        <v>62540</v>
      </c>
      <c r="F20450" t="s">
        <v>62541</v>
      </c>
      <c r="I20450" t="s">
        <v>184</v>
      </c>
      <c r="J20450" t="s">
        <v>30</v>
      </c>
      <c r="K20450" t="s">
        <v>34098</v>
      </c>
      <c r="M20450" t="s">
        <v>17861</v>
      </c>
      <c r="N20450" t="str">
        <f>"11/13/2023 9:09:00 AM"</f>
        <v>11/13/2023 9:09:00 AM</v>
      </c>
      <c r="O20450" t="s">
        <v>62540</v>
      </c>
    </row>
    <row r="20451" spans="1:20" x14ac:dyDescent="0.25">
      <c r="A20451" t="str">
        <f>"3078876"</f>
        <v>3078876</v>
      </c>
      <c r="B20451" t="s">
        <v>62542</v>
      </c>
      <c r="C20451" t="str">
        <f>"8321426"</f>
        <v>8321426</v>
      </c>
      <c r="D20451" t="str">
        <f>"SAMMONS DWIGHT R/ELSIE A JANE REV LIV TRUST"</f>
        <v>SAMMONS DWIGHT R/ELSIE A JANE REV LIV TRUST</v>
      </c>
      <c r="E20451" t="s">
        <v>62543</v>
      </c>
      <c r="F20451" t="s">
        <v>62544</v>
      </c>
      <c r="I20451" t="s">
        <v>964</v>
      </c>
      <c r="J20451" t="s">
        <v>30</v>
      </c>
      <c r="K20451" t="s">
        <v>62545</v>
      </c>
      <c r="M20451" t="s">
        <v>17861</v>
      </c>
      <c r="N20451" t="str">
        <f>"11/13/2023 9:33:00 AM"</f>
        <v>11/13/2023 9:33:00 AM</v>
      </c>
      <c r="O20451" t="str">
        <f>"SAMMONS DWIGHT R/ELSIE A JANE REV LIV TRUST"</f>
        <v>SAMMONS DWIGHT R/ELSIE A JANE REV LIV TRUST</v>
      </c>
      <c r="T20451" t="s">
        <v>62543</v>
      </c>
    </row>
    <row r="20452" spans="1:20" x14ac:dyDescent="0.25">
      <c r="A20452" t="str">
        <f>"3056342"</f>
        <v>3056342</v>
      </c>
      <c r="B20452" t="s">
        <v>62546</v>
      </c>
      <c r="C20452" t="str">
        <f>"8321426"</f>
        <v>8321426</v>
      </c>
      <c r="D20452" t="str">
        <f>"SAMMONS DWIGHT R/ELSIE A JANE REV LIV TRUST"</f>
        <v>SAMMONS DWIGHT R/ELSIE A JANE REV LIV TRUST</v>
      </c>
      <c r="E20452" t="s">
        <v>62543</v>
      </c>
      <c r="F20452" t="s">
        <v>62544</v>
      </c>
      <c r="I20452" t="s">
        <v>964</v>
      </c>
      <c r="J20452" t="s">
        <v>30</v>
      </c>
      <c r="K20452" t="s">
        <v>62545</v>
      </c>
      <c r="M20452" t="s">
        <v>17861</v>
      </c>
      <c r="N20452" t="str">
        <f>"11/13/2023 9:33:00 AM"</f>
        <v>11/13/2023 9:33:00 AM</v>
      </c>
      <c r="O20452" t="str">
        <f>"SAMMONS DWIGHT R/ELSIE A JANE REV LIV TRUST"</f>
        <v>SAMMONS DWIGHT R/ELSIE A JANE REV LIV TRUST</v>
      </c>
      <c r="T20452" t="s">
        <v>62543</v>
      </c>
    </row>
    <row r="20453" spans="1:20" x14ac:dyDescent="0.25">
      <c r="A20453" t="str">
        <f>"3056474"</f>
        <v>3056474</v>
      </c>
      <c r="B20453" t="s">
        <v>62547</v>
      </c>
      <c r="C20453" t="str">
        <f>"8321426"</f>
        <v>8321426</v>
      </c>
      <c r="D20453" t="str">
        <f>"SAMMONS DWIGHT R/ELSIE A JANE REV LIV TRUST"</f>
        <v>SAMMONS DWIGHT R/ELSIE A JANE REV LIV TRUST</v>
      </c>
      <c r="E20453" t="s">
        <v>62543</v>
      </c>
      <c r="F20453" t="s">
        <v>62544</v>
      </c>
      <c r="I20453" t="s">
        <v>964</v>
      </c>
      <c r="J20453" t="s">
        <v>30</v>
      </c>
      <c r="K20453" t="s">
        <v>62545</v>
      </c>
      <c r="M20453" t="s">
        <v>17861</v>
      </c>
      <c r="N20453" t="str">
        <f>"11/13/2023 9:33:00 AM"</f>
        <v>11/13/2023 9:33:00 AM</v>
      </c>
      <c r="O20453" t="str">
        <f>"SAMMONS DWIGHT R/ELSIE A JANE REV LIV TRUST"</f>
        <v>SAMMONS DWIGHT R/ELSIE A JANE REV LIV TRUST</v>
      </c>
      <c r="T20453" t="s">
        <v>62543</v>
      </c>
    </row>
    <row r="20454" spans="1:20" x14ac:dyDescent="0.25">
      <c r="A20454" t="str">
        <f>"3047233"</f>
        <v>3047233</v>
      </c>
      <c r="B20454" t="s">
        <v>62548</v>
      </c>
      <c r="C20454" t="str">
        <f>"8316897"</f>
        <v>8316897</v>
      </c>
      <c r="D20454" t="s">
        <v>62549</v>
      </c>
      <c r="E20454" t="s">
        <v>62550</v>
      </c>
      <c r="F20454" t="s">
        <v>62551</v>
      </c>
      <c r="I20454" t="s">
        <v>29</v>
      </c>
      <c r="J20454" t="s">
        <v>30</v>
      </c>
      <c r="K20454" t="str">
        <f>"27028"</f>
        <v>27028</v>
      </c>
      <c r="M20454" t="s">
        <v>50621</v>
      </c>
      <c r="N20454" t="str">
        <f>"11/13/2023 9:42:00 AM"</f>
        <v>11/13/2023 9:42:00 AM</v>
      </c>
      <c r="O20454" t="s">
        <v>62549</v>
      </c>
      <c r="T20454" t="s">
        <v>62550</v>
      </c>
    </row>
    <row r="20455" spans="1:20" x14ac:dyDescent="0.25">
      <c r="A20455" t="str">
        <f>"3067253"</f>
        <v>3067253</v>
      </c>
      <c r="B20455" t="s">
        <v>62552</v>
      </c>
      <c r="C20455" t="str">
        <f>"8309113"</f>
        <v>8309113</v>
      </c>
      <c r="D20455" t="s">
        <v>54765</v>
      </c>
      <c r="E20455" t="s">
        <v>54766</v>
      </c>
      <c r="F20455" t="s">
        <v>54767</v>
      </c>
      <c r="I20455" t="s">
        <v>29</v>
      </c>
      <c r="J20455" t="s">
        <v>30</v>
      </c>
      <c r="K20455" t="s">
        <v>16526</v>
      </c>
      <c r="M20455" t="s">
        <v>50621</v>
      </c>
      <c r="N20455" t="str">
        <f>"11/13/2023 10:30:00 AM"</f>
        <v>11/13/2023 10:30:00 AM</v>
      </c>
      <c r="O20455" t="s">
        <v>54765</v>
      </c>
      <c r="T20455" t="s">
        <v>54766</v>
      </c>
    </row>
    <row r="20456" spans="1:20" x14ac:dyDescent="0.25">
      <c r="A20456" t="str">
        <f>"3043073"</f>
        <v>3043073</v>
      </c>
      <c r="B20456" t="s">
        <v>62553</v>
      </c>
      <c r="C20456" t="str">
        <f>"8321427"</f>
        <v>8321427</v>
      </c>
      <c r="D20456" t="s">
        <v>62554</v>
      </c>
      <c r="F20456" t="s">
        <v>62555</v>
      </c>
      <c r="I20456" t="s">
        <v>29</v>
      </c>
      <c r="J20456" t="s">
        <v>30</v>
      </c>
      <c r="K20456" t="s">
        <v>33977</v>
      </c>
      <c r="M20456" t="s">
        <v>17861</v>
      </c>
      <c r="N20456" t="str">
        <f>"11/13/2023 11:00:00 AM"</f>
        <v>11/13/2023 11:00:00 AM</v>
      </c>
      <c r="O20456" t="s">
        <v>62554</v>
      </c>
    </row>
    <row r="20457" spans="1:20" x14ac:dyDescent="0.25">
      <c r="A20457" t="str">
        <f>"3063722"</f>
        <v>3063722</v>
      </c>
      <c r="B20457" t="s">
        <v>62556</v>
      </c>
      <c r="C20457" t="str">
        <f>"8321429"</f>
        <v>8321429</v>
      </c>
      <c r="D20457" t="s">
        <v>62557</v>
      </c>
      <c r="F20457" t="s">
        <v>62558</v>
      </c>
      <c r="I20457" t="s">
        <v>29</v>
      </c>
      <c r="J20457" t="s">
        <v>30</v>
      </c>
      <c r="K20457" t="s">
        <v>47978</v>
      </c>
      <c r="M20457" t="s">
        <v>17861</v>
      </c>
      <c r="N20457" t="str">
        <f>"11/13/2023 11:27:00 AM"</f>
        <v>11/13/2023 11:27:00 AM</v>
      </c>
      <c r="O20457" t="s">
        <v>62557</v>
      </c>
    </row>
    <row r="20458" spans="1:20" x14ac:dyDescent="0.25">
      <c r="A20458" t="str">
        <f>"3043158"</f>
        <v>3043158</v>
      </c>
      <c r="B20458" t="s">
        <v>62559</v>
      </c>
      <c r="C20458" t="str">
        <f>"8300012"</f>
        <v>8300012</v>
      </c>
      <c r="D20458" t="s">
        <v>62560</v>
      </c>
      <c r="E20458" t="s">
        <v>62561</v>
      </c>
      <c r="F20458" t="s">
        <v>62562</v>
      </c>
      <c r="I20458" t="s">
        <v>7917</v>
      </c>
      <c r="J20458" t="s">
        <v>30</v>
      </c>
      <c r="K20458" t="s">
        <v>7918</v>
      </c>
      <c r="M20458" t="s">
        <v>51351</v>
      </c>
      <c r="N20458" t="str">
        <f>"11/2/2023 9:52:00 AM"</f>
        <v>11/2/2023 9:52:00 AM</v>
      </c>
      <c r="O20458" t="s">
        <v>62560</v>
      </c>
      <c r="T20458" t="s">
        <v>62561</v>
      </c>
    </row>
    <row r="20459" spans="1:20" x14ac:dyDescent="0.25">
      <c r="A20459" t="str">
        <f>"3043196"</f>
        <v>3043196</v>
      </c>
      <c r="B20459" t="s">
        <v>62563</v>
      </c>
      <c r="C20459" t="str">
        <f>"8300012"</f>
        <v>8300012</v>
      </c>
      <c r="D20459" t="s">
        <v>62560</v>
      </c>
      <c r="E20459" t="s">
        <v>62561</v>
      </c>
      <c r="F20459" t="s">
        <v>62562</v>
      </c>
      <c r="I20459" t="s">
        <v>7917</v>
      </c>
      <c r="J20459" t="s">
        <v>30</v>
      </c>
      <c r="K20459" t="s">
        <v>7918</v>
      </c>
      <c r="M20459" t="s">
        <v>51351</v>
      </c>
      <c r="N20459" t="str">
        <f>"11/2/2023 9:52:00 AM"</f>
        <v>11/2/2023 9:52:00 AM</v>
      </c>
      <c r="O20459" t="s">
        <v>62560</v>
      </c>
      <c r="T20459" t="s">
        <v>62561</v>
      </c>
    </row>
    <row r="20460" spans="1:20" x14ac:dyDescent="0.25">
      <c r="A20460" t="str">
        <f>"3058124"</f>
        <v>3058124</v>
      </c>
      <c r="B20460" t="s">
        <v>62564</v>
      </c>
      <c r="C20460" t="str">
        <f>"8321331"</f>
        <v>8321331</v>
      </c>
      <c r="D20460" t="s">
        <v>62565</v>
      </c>
      <c r="E20460" t="s">
        <v>62566</v>
      </c>
      <c r="F20460" t="s">
        <v>62567</v>
      </c>
      <c r="I20460" t="s">
        <v>29</v>
      </c>
      <c r="J20460" t="s">
        <v>30</v>
      </c>
      <c r="K20460" t="s">
        <v>13727</v>
      </c>
      <c r="M20460" t="s">
        <v>17861</v>
      </c>
      <c r="N20460" t="str">
        <f>"11/2/2023 2:00:00 PM"</f>
        <v>11/2/2023 2:00:00 PM</v>
      </c>
      <c r="O20460" t="s">
        <v>62565</v>
      </c>
      <c r="T20460" t="s">
        <v>62566</v>
      </c>
    </row>
    <row r="20461" spans="1:20" x14ac:dyDescent="0.25">
      <c r="A20461" t="str">
        <f>"3059029"</f>
        <v>3059029</v>
      </c>
      <c r="B20461" t="s">
        <v>62568</v>
      </c>
      <c r="C20461" t="str">
        <f t="shared" ref="C20461:C20492" si="310">"8321432"</f>
        <v>8321432</v>
      </c>
      <c r="D20461" t="s">
        <v>62569</v>
      </c>
      <c r="F20461" t="s">
        <v>62570</v>
      </c>
      <c r="G20461" t="s">
        <v>17543</v>
      </c>
      <c r="I20461" t="s">
        <v>3196</v>
      </c>
      <c r="J20461" t="s">
        <v>30</v>
      </c>
      <c r="K20461" t="s">
        <v>62571</v>
      </c>
      <c r="M20461" t="s">
        <v>17861</v>
      </c>
      <c r="N20461" t="str">
        <f t="shared" ref="N20461:N20492" si="311">"11/13/2023 2:42:00 PM"</f>
        <v>11/13/2023 2:42:00 PM</v>
      </c>
      <c r="O20461" t="s">
        <v>62569</v>
      </c>
    </row>
    <row r="20462" spans="1:20" x14ac:dyDescent="0.25">
      <c r="A20462" t="str">
        <f>"3059030"</f>
        <v>3059030</v>
      </c>
      <c r="B20462" t="s">
        <v>62572</v>
      </c>
      <c r="C20462" t="str">
        <f t="shared" si="310"/>
        <v>8321432</v>
      </c>
      <c r="D20462" t="s">
        <v>62569</v>
      </c>
      <c r="F20462" t="s">
        <v>62570</v>
      </c>
      <c r="G20462" t="s">
        <v>17543</v>
      </c>
      <c r="I20462" t="s">
        <v>3196</v>
      </c>
      <c r="J20462" t="s">
        <v>30</v>
      </c>
      <c r="K20462" t="s">
        <v>62571</v>
      </c>
      <c r="M20462" t="s">
        <v>17861</v>
      </c>
      <c r="N20462" t="str">
        <f t="shared" si="311"/>
        <v>11/13/2023 2:42:00 PM</v>
      </c>
      <c r="O20462" t="s">
        <v>62569</v>
      </c>
    </row>
    <row r="20463" spans="1:20" x14ac:dyDescent="0.25">
      <c r="A20463" t="str">
        <f>"3059031"</f>
        <v>3059031</v>
      </c>
      <c r="B20463" t="s">
        <v>62573</v>
      </c>
      <c r="C20463" t="str">
        <f t="shared" si="310"/>
        <v>8321432</v>
      </c>
      <c r="D20463" t="s">
        <v>62569</v>
      </c>
      <c r="F20463" t="s">
        <v>62570</v>
      </c>
      <c r="G20463" t="s">
        <v>17543</v>
      </c>
      <c r="I20463" t="s">
        <v>3196</v>
      </c>
      <c r="J20463" t="s">
        <v>30</v>
      </c>
      <c r="K20463" t="s">
        <v>62571</v>
      </c>
      <c r="M20463" t="s">
        <v>17861</v>
      </c>
      <c r="N20463" t="str">
        <f t="shared" si="311"/>
        <v>11/13/2023 2:42:00 PM</v>
      </c>
      <c r="O20463" t="s">
        <v>62569</v>
      </c>
    </row>
    <row r="20464" spans="1:20" x14ac:dyDescent="0.25">
      <c r="A20464" t="str">
        <f>"3059032"</f>
        <v>3059032</v>
      </c>
      <c r="B20464" t="s">
        <v>62574</v>
      </c>
      <c r="C20464" t="str">
        <f t="shared" si="310"/>
        <v>8321432</v>
      </c>
      <c r="D20464" t="s">
        <v>62569</v>
      </c>
      <c r="F20464" t="s">
        <v>62570</v>
      </c>
      <c r="G20464" t="s">
        <v>17543</v>
      </c>
      <c r="I20464" t="s">
        <v>3196</v>
      </c>
      <c r="J20464" t="s">
        <v>30</v>
      </c>
      <c r="K20464" t="s">
        <v>62571</v>
      </c>
      <c r="M20464" t="s">
        <v>17861</v>
      </c>
      <c r="N20464" t="str">
        <f t="shared" si="311"/>
        <v>11/13/2023 2:42:00 PM</v>
      </c>
      <c r="O20464" t="s">
        <v>62569</v>
      </c>
    </row>
    <row r="20465" spans="1:15" x14ac:dyDescent="0.25">
      <c r="A20465" t="str">
        <f>"3059033"</f>
        <v>3059033</v>
      </c>
      <c r="B20465" t="s">
        <v>62575</v>
      </c>
      <c r="C20465" t="str">
        <f t="shared" si="310"/>
        <v>8321432</v>
      </c>
      <c r="D20465" t="s">
        <v>62569</v>
      </c>
      <c r="F20465" t="s">
        <v>62570</v>
      </c>
      <c r="G20465" t="s">
        <v>17543</v>
      </c>
      <c r="I20465" t="s">
        <v>3196</v>
      </c>
      <c r="J20465" t="s">
        <v>30</v>
      </c>
      <c r="K20465" t="s">
        <v>62571</v>
      </c>
      <c r="M20465" t="s">
        <v>17861</v>
      </c>
      <c r="N20465" t="str">
        <f t="shared" si="311"/>
        <v>11/13/2023 2:42:00 PM</v>
      </c>
      <c r="O20465" t="s">
        <v>62569</v>
      </c>
    </row>
    <row r="20466" spans="1:15" x14ac:dyDescent="0.25">
      <c r="A20466" t="str">
        <f>"3059034"</f>
        <v>3059034</v>
      </c>
      <c r="B20466" t="s">
        <v>62576</v>
      </c>
      <c r="C20466" t="str">
        <f t="shared" si="310"/>
        <v>8321432</v>
      </c>
      <c r="D20466" t="s">
        <v>62569</v>
      </c>
      <c r="F20466" t="s">
        <v>62570</v>
      </c>
      <c r="G20466" t="s">
        <v>17543</v>
      </c>
      <c r="I20466" t="s">
        <v>3196</v>
      </c>
      <c r="J20466" t="s">
        <v>30</v>
      </c>
      <c r="K20466" t="s">
        <v>62571</v>
      </c>
      <c r="M20466" t="s">
        <v>17861</v>
      </c>
      <c r="N20466" t="str">
        <f t="shared" si="311"/>
        <v>11/13/2023 2:42:00 PM</v>
      </c>
      <c r="O20466" t="s">
        <v>62569</v>
      </c>
    </row>
    <row r="20467" spans="1:15" x14ac:dyDescent="0.25">
      <c r="A20467" t="str">
        <f>"3058991"</f>
        <v>3058991</v>
      </c>
      <c r="B20467" t="s">
        <v>62577</v>
      </c>
      <c r="C20467" t="str">
        <f t="shared" si="310"/>
        <v>8321432</v>
      </c>
      <c r="D20467" t="s">
        <v>62569</v>
      </c>
      <c r="F20467" t="s">
        <v>62570</v>
      </c>
      <c r="G20467" t="s">
        <v>17543</v>
      </c>
      <c r="I20467" t="s">
        <v>3196</v>
      </c>
      <c r="J20467" t="s">
        <v>30</v>
      </c>
      <c r="K20467" t="s">
        <v>62571</v>
      </c>
      <c r="M20467" t="s">
        <v>17861</v>
      </c>
      <c r="N20467" t="str">
        <f t="shared" si="311"/>
        <v>11/13/2023 2:42:00 PM</v>
      </c>
      <c r="O20467" t="s">
        <v>62569</v>
      </c>
    </row>
    <row r="20468" spans="1:15" x14ac:dyDescent="0.25">
      <c r="A20468" t="str">
        <f>"3058992"</f>
        <v>3058992</v>
      </c>
      <c r="B20468" t="s">
        <v>62578</v>
      </c>
      <c r="C20468" t="str">
        <f t="shared" si="310"/>
        <v>8321432</v>
      </c>
      <c r="D20468" t="s">
        <v>62569</v>
      </c>
      <c r="F20468" t="s">
        <v>62570</v>
      </c>
      <c r="G20468" t="s">
        <v>17543</v>
      </c>
      <c r="I20468" t="s">
        <v>3196</v>
      </c>
      <c r="J20468" t="s">
        <v>30</v>
      </c>
      <c r="K20468" t="s">
        <v>62571</v>
      </c>
      <c r="M20468" t="s">
        <v>17861</v>
      </c>
      <c r="N20468" t="str">
        <f t="shared" si="311"/>
        <v>11/13/2023 2:42:00 PM</v>
      </c>
      <c r="O20468" t="s">
        <v>62569</v>
      </c>
    </row>
    <row r="20469" spans="1:15" x14ac:dyDescent="0.25">
      <c r="A20469" t="str">
        <f>"3059090"</f>
        <v>3059090</v>
      </c>
      <c r="B20469" t="s">
        <v>62579</v>
      </c>
      <c r="C20469" t="str">
        <f t="shared" si="310"/>
        <v>8321432</v>
      </c>
      <c r="D20469" t="s">
        <v>62569</v>
      </c>
      <c r="F20469" t="s">
        <v>62570</v>
      </c>
      <c r="G20469" t="s">
        <v>17543</v>
      </c>
      <c r="I20469" t="s">
        <v>3196</v>
      </c>
      <c r="J20469" t="s">
        <v>30</v>
      </c>
      <c r="K20469" t="s">
        <v>62571</v>
      </c>
      <c r="M20469" t="s">
        <v>17861</v>
      </c>
      <c r="N20469" t="str">
        <f t="shared" si="311"/>
        <v>11/13/2023 2:42:00 PM</v>
      </c>
      <c r="O20469" t="s">
        <v>62569</v>
      </c>
    </row>
    <row r="20470" spans="1:15" x14ac:dyDescent="0.25">
      <c r="A20470" t="str">
        <f>"3059086"</f>
        <v>3059086</v>
      </c>
      <c r="B20470" t="s">
        <v>62580</v>
      </c>
      <c r="C20470" t="str">
        <f t="shared" si="310"/>
        <v>8321432</v>
      </c>
      <c r="D20470" t="s">
        <v>62569</v>
      </c>
      <c r="F20470" t="s">
        <v>62570</v>
      </c>
      <c r="G20470" t="s">
        <v>17543</v>
      </c>
      <c r="I20470" t="s">
        <v>3196</v>
      </c>
      <c r="J20470" t="s">
        <v>30</v>
      </c>
      <c r="K20470" t="s">
        <v>62571</v>
      </c>
      <c r="M20470" t="s">
        <v>17861</v>
      </c>
      <c r="N20470" t="str">
        <f t="shared" si="311"/>
        <v>11/13/2023 2:42:00 PM</v>
      </c>
      <c r="O20470" t="s">
        <v>62569</v>
      </c>
    </row>
    <row r="20471" spans="1:15" x14ac:dyDescent="0.25">
      <c r="A20471" t="str">
        <f>"3059087"</f>
        <v>3059087</v>
      </c>
      <c r="B20471" t="s">
        <v>62581</v>
      </c>
      <c r="C20471" t="str">
        <f t="shared" si="310"/>
        <v>8321432</v>
      </c>
      <c r="D20471" t="s">
        <v>62569</v>
      </c>
      <c r="F20471" t="s">
        <v>62570</v>
      </c>
      <c r="G20471" t="s">
        <v>17543</v>
      </c>
      <c r="I20471" t="s">
        <v>3196</v>
      </c>
      <c r="J20471" t="s">
        <v>30</v>
      </c>
      <c r="K20471" t="s">
        <v>62571</v>
      </c>
      <c r="M20471" t="s">
        <v>17861</v>
      </c>
      <c r="N20471" t="str">
        <f t="shared" si="311"/>
        <v>11/13/2023 2:42:00 PM</v>
      </c>
      <c r="O20471" t="s">
        <v>62569</v>
      </c>
    </row>
    <row r="20472" spans="1:15" x14ac:dyDescent="0.25">
      <c r="A20472" t="str">
        <f>"3059088"</f>
        <v>3059088</v>
      </c>
      <c r="B20472" t="s">
        <v>62582</v>
      </c>
      <c r="C20472" t="str">
        <f t="shared" si="310"/>
        <v>8321432</v>
      </c>
      <c r="D20472" t="s">
        <v>62569</v>
      </c>
      <c r="F20472" t="s">
        <v>62570</v>
      </c>
      <c r="G20472" t="s">
        <v>17543</v>
      </c>
      <c r="I20472" t="s">
        <v>3196</v>
      </c>
      <c r="J20472" t="s">
        <v>30</v>
      </c>
      <c r="K20472" t="s">
        <v>62571</v>
      </c>
      <c r="M20472" t="s">
        <v>17861</v>
      </c>
      <c r="N20472" t="str">
        <f t="shared" si="311"/>
        <v>11/13/2023 2:42:00 PM</v>
      </c>
      <c r="O20472" t="s">
        <v>62569</v>
      </c>
    </row>
    <row r="20473" spans="1:15" x14ac:dyDescent="0.25">
      <c r="A20473" t="str">
        <f>"3059089"</f>
        <v>3059089</v>
      </c>
      <c r="B20473" t="s">
        <v>62583</v>
      </c>
      <c r="C20473" t="str">
        <f t="shared" si="310"/>
        <v>8321432</v>
      </c>
      <c r="D20473" t="s">
        <v>62569</v>
      </c>
      <c r="F20473" t="s">
        <v>62570</v>
      </c>
      <c r="G20473" t="s">
        <v>17543</v>
      </c>
      <c r="I20473" t="s">
        <v>3196</v>
      </c>
      <c r="J20473" t="s">
        <v>30</v>
      </c>
      <c r="K20473" t="s">
        <v>62571</v>
      </c>
      <c r="M20473" t="s">
        <v>17861</v>
      </c>
      <c r="N20473" t="str">
        <f t="shared" si="311"/>
        <v>11/13/2023 2:42:00 PM</v>
      </c>
      <c r="O20473" t="s">
        <v>62569</v>
      </c>
    </row>
    <row r="20474" spans="1:15" x14ac:dyDescent="0.25">
      <c r="A20474" t="str">
        <f>"3059063"</f>
        <v>3059063</v>
      </c>
      <c r="B20474" t="s">
        <v>62584</v>
      </c>
      <c r="C20474" t="str">
        <f t="shared" si="310"/>
        <v>8321432</v>
      </c>
      <c r="D20474" t="s">
        <v>62569</v>
      </c>
      <c r="F20474" t="s">
        <v>62570</v>
      </c>
      <c r="G20474" t="s">
        <v>17543</v>
      </c>
      <c r="I20474" t="s">
        <v>3196</v>
      </c>
      <c r="J20474" t="s">
        <v>30</v>
      </c>
      <c r="K20474" t="s">
        <v>62571</v>
      </c>
      <c r="M20474" t="s">
        <v>17861</v>
      </c>
      <c r="N20474" t="str">
        <f t="shared" si="311"/>
        <v>11/13/2023 2:42:00 PM</v>
      </c>
      <c r="O20474" t="s">
        <v>62569</v>
      </c>
    </row>
    <row r="20475" spans="1:15" x14ac:dyDescent="0.25">
      <c r="A20475" t="str">
        <f>"3059064"</f>
        <v>3059064</v>
      </c>
      <c r="B20475" t="s">
        <v>62585</v>
      </c>
      <c r="C20475" t="str">
        <f t="shared" si="310"/>
        <v>8321432</v>
      </c>
      <c r="D20475" t="s">
        <v>62569</v>
      </c>
      <c r="F20475" t="s">
        <v>62570</v>
      </c>
      <c r="G20475" t="s">
        <v>17543</v>
      </c>
      <c r="I20475" t="s">
        <v>3196</v>
      </c>
      <c r="J20475" t="s">
        <v>30</v>
      </c>
      <c r="K20475" t="s">
        <v>62571</v>
      </c>
      <c r="M20475" t="s">
        <v>17861</v>
      </c>
      <c r="N20475" t="str">
        <f t="shared" si="311"/>
        <v>11/13/2023 2:42:00 PM</v>
      </c>
      <c r="O20475" t="s">
        <v>62569</v>
      </c>
    </row>
    <row r="20476" spans="1:15" x14ac:dyDescent="0.25">
      <c r="A20476" t="str">
        <f>"3059008"</f>
        <v>3059008</v>
      </c>
      <c r="B20476" t="s">
        <v>62586</v>
      </c>
      <c r="C20476" t="str">
        <f t="shared" si="310"/>
        <v>8321432</v>
      </c>
      <c r="D20476" t="s">
        <v>62569</v>
      </c>
      <c r="F20476" t="s">
        <v>62570</v>
      </c>
      <c r="G20476" t="s">
        <v>17543</v>
      </c>
      <c r="I20476" t="s">
        <v>3196</v>
      </c>
      <c r="J20476" t="s">
        <v>30</v>
      </c>
      <c r="K20476" t="s">
        <v>62571</v>
      </c>
      <c r="M20476" t="s">
        <v>17861</v>
      </c>
      <c r="N20476" t="str">
        <f t="shared" si="311"/>
        <v>11/13/2023 2:42:00 PM</v>
      </c>
      <c r="O20476" t="s">
        <v>62569</v>
      </c>
    </row>
    <row r="20477" spans="1:15" x14ac:dyDescent="0.25">
      <c r="A20477" t="str">
        <f>"3059083"</f>
        <v>3059083</v>
      </c>
      <c r="B20477" t="s">
        <v>62587</v>
      </c>
      <c r="C20477" t="str">
        <f t="shared" si="310"/>
        <v>8321432</v>
      </c>
      <c r="D20477" t="s">
        <v>62569</v>
      </c>
      <c r="F20477" t="s">
        <v>62570</v>
      </c>
      <c r="G20477" t="s">
        <v>17543</v>
      </c>
      <c r="I20477" t="s">
        <v>3196</v>
      </c>
      <c r="J20477" t="s">
        <v>30</v>
      </c>
      <c r="K20477" t="s">
        <v>62571</v>
      </c>
      <c r="M20477" t="s">
        <v>17861</v>
      </c>
      <c r="N20477" t="str">
        <f t="shared" si="311"/>
        <v>11/13/2023 2:42:00 PM</v>
      </c>
      <c r="O20477" t="s">
        <v>62569</v>
      </c>
    </row>
    <row r="20478" spans="1:15" x14ac:dyDescent="0.25">
      <c r="A20478" t="str">
        <f>"3059084"</f>
        <v>3059084</v>
      </c>
      <c r="B20478" t="s">
        <v>62588</v>
      </c>
      <c r="C20478" t="str">
        <f t="shared" si="310"/>
        <v>8321432</v>
      </c>
      <c r="D20478" t="s">
        <v>62569</v>
      </c>
      <c r="F20478" t="s">
        <v>62570</v>
      </c>
      <c r="G20478" t="s">
        <v>17543</v>
      </c>
      <c r="I20478" t="s">
        <v>3196</v>
      </c>
      <c r="J20478" t="s">
        <v>30</v>
      </c>
      <c r="K20478" t="s">
        <v>62571</v>
      </c>
      <c r="M20478" t="s">
        <v>17861</v>
      </c>
      <c r="N20478" t="str">
        <f t="shared" si="311"/>
        <v>11/13/2023 2:42:00 PM</v>
      </c>
      <c r="O20478" t="s">
        <v>62569</v>
      </c>
    </row>
    <row r="20479" spans="1:15" x14ac:dyDescent="0.25">
      <c r="A20479" t="str">
        <f>"3059085"</f>
        <v>3059085</v>
      </c>
      <c r="B20479" t="s">
        <v>62589</v>
      </c>
      <c r="C20479" t="str">
        <f t="shared" si="310"/>
        <v>8321432</v>
      </c>
      <c r="D20479" t="s">
        <v>62569</v>
      </c>
      <c r="F20479" t="s">
        <v>62570</v>
      </c>
      <c r="G20479" t="s">
        <v>17543</v>
      </c>
      <c r="I20479" t="s">
        <v>3196</v>
      </c>
      <c r="J20479" t="s">
        <v>30</v>
      </c>
      <c r="K20479" t="s">
        <v>62571</v>
      </c>
      <c r="M20479" t="s">
        <v>17861</v>
      </c>
      <c r="N20479" t="str">
        <f t="shared" si="311"/>
        <v>11/13/2023 2:42:00 PM</v>
      </c>
      <c r="O20479" t="s">
        <v>62569</v>
      </c>
    </row>
    <row r="20480" spans="1:15" x14ac:dyDescent="0.25">
      <c r="A20480" t="str">
        <f>"3059065"</f>
        <v>3059065</v>
      </c>
      <c r="B20480" t="s">
        <v>62590</v>
      </c>
      <c r="C20480" t="str">
        <f t="shared" si="310"/>
        <v>8321432</v>
      </c>
      <c r="D20480" t="s">
        <v>62569</v>
      </c>
      <c r="F20480" t="s">
        <v>62570</v>
      </c>
      <c r="G20480" t="s">
        <v>17543</v>
      </c>
      <c r="I20480" t="s">
        <v>3196</v>
      </c>
      <c r="J20480" t="s">
        <v>30</v>
      </c>
      <c r="K20480" t="s">
        <v>62571</v>
      </c>
      <c r="M20480" t="s">
        <v>17861</v>
      </c>
      <c r="N20480" t="str">
        <f t="shared" si="311"/>
        <v>11/13/2023 2:42:00 PM</v>
      </c>
      <c r="O20480" t="s">
        <v>62569</v>
      </c>
    </row>
    <row r="20481" spans="1:20" x14ac:dyDescent="0.25">
      <c r="A20481" t="str">
        <f>"3059066"</f>
        <v>3059066</v>
      </c>
      <c r="B20481" t="s">
        <v>62591</v>
      </c>
      <c r="C20481" t="str">
        <f t="shared" si="310"/>
        <v>8321432</v>
      </c>
      <c r="D20481" t="s">
        <v>62569</v>
      </c>
      <c r="F20481" t="s">
        <v>62570</v>
      </c>
      <c r="G20481" t="s">
        <v>17543</v>
      </c>
      <c r="I20481" t="s">
        <v>3196</v>
      </c>
      <c r="J20481" t="s">
        <v>30</v>
      </c>
      <c r="K20481" t="s">
        <v>62571</v>
      </c>
      <c r="M20481" t="s">
        <v>17861</v>
      </c>
      <c r="N20481" t="str">
        <f t="shared" si="311"/>
        <v>11/13/2023 2:42:00 PM</v>
      </c>
      <c r="O20481" t="s">
        <v>62569</v>
      </c>
    </row>
    <row r="20482" spans="1:20" x14ac:dyDescent="0.25">
      <c r="A20482" t="str">
        <f>"3059067"</f>
        <v>3059067</v>
      </c>
      <c r="B20482" t="s">
        <v>62592</v>
      </c>
      <c r="C20482" t="str">
        <f t="shared" si="310"/>
        <v>8321432</v>
      </c>
      <c r="D20482" t="s">
        <v>62569</v>
      </c>
      <c r="F20482" t="s">
        <v>62570</v>
      </c>
      <c r="G20482" t="s">
        <v>17543</v>
      </c>
      <c r="I20482" t="s">
        <v>3196</v>
      </c>
      <c r="J20482" t="s">
        <v>30</v>
      </c>
      <c r="K20482" t="s">
        <v>62571</v>
      </c>
      <c r="M20482" t="s">
        <v>17861</v>
      </c>
      <c r="N20482" t="str">
        <f t="shared" si="311"/>
        <v>11/13/2023 2:42:00 PM</v>
      </c>
      <c r="O20482" t="s">
        <v>62569</v>
      </c>
    </row>
    <row r="20483" spans="1:20" x14ac:dyDescent="0.25">
      <c r="A20483" t="str">
        <f>"3059068"</f>
        <v>3059068</v>
      </c>
      <c r="B20483" t="s">
        <v>62593</v>
      </c>
      <c r="C20483" t="str">
        <f t="shared" si="310"/>
        <v>8321432</v>
      </c>
      <c r="D20483" t="s">
        <v>62569</v>
      </c>
      <c r="F20483" t="s">
        <v>62570</v>
      </c>
      <c r="G20483" t="s">
        <v>17543</v>
      </c>
      <c r="I20483" t="s">
        <v>3196</v>
      </c>
      <c r="J20483" t="s">
        <v>30</v>
      </c>
      <c r="K20483" t="s">
        <v>62571</v>
      </c>
      <c r="M20483" t="s">
        <v>17861</v>
      </c>
      <c r="N20483" t="str">
        <f t="shared" si="311"/>
        <v>11/13/2023 2:42:00 PM</v>
      </c>
      <c r="O20483" t="s">
        <v>62569</v>
      </c>
    </row>
    <row r="20484" spans="1:20" x14ac:dyDescent="0.25">
      <c r="A20484" t="str">
        <f>"3059069"</f>
        <v>3059069</v>
      </c>
      <c r="B20484" t="s">
        <v>62594</v>
      </c>
      <c r="C20484" t="str">
        <f t="shared" si="310"/>
        <v>8321432</v>
      </c>
      <c r="D20484" t="s">
        <v>62569</v>
      </c>
      <c r="F20484" t="s">
        <v>62570</v>
      </c>
      <c r="G20484" t="s">
        <v>17543</v>
      </c>
      <c r="I20484" t="s">
        <v>3196</v>
      </c>
      <c r="J20484" t="s">
        <v>30</v>
      </c>
      <c r="K20484" t="s">
        <v>62571</v>
      </c>
      <c r="M20484" t="s">
        <v>17861</v>
      </c>
      <c r="N20484" t="str">
        <f t="shared" si="311"/>
        <v>11/13/2023 2:42:00 PM</v>
      </c>
      <c r="O20484" t="s">
        <v>62569</v>
      </c>
    </row>
    <row r="20485" spans="1:20" x14ac:dyDescent="0.25">
      <c r="A20485" t="str">
        <f>"3059070"</f>
        <v>3059070</v>
      </c>
      <c r="B20485" t="s">
        <v>62595</v>
      </c>
      <c r="C20485" t="str">
        <f t="shared" si="310"/>
        <v>8321432</v>
      </c>
      <c r="D20485" t="s">
        <v>62569</v>
      </c>
      <c r="F20485" t="s">
        <v>62570</v>
      </c>
      <c r="G20485" t="s">
        <v>17543</v>
      </c>
      <c r="I20485" t="s">
        <v>3196</v>
      </c>
      <c r="J20485" t="s">
        <v>30</v>
      </c>
      <c r="K20485" t="s">
        <v>62571</v>
      </c>
      <c r="M20485" t="s">
        <v>17861</v>
      </c>
      <c r="N20485" t="str">
        <f t="shared" si="311"/>
        <v>11/13/2023 2:42:00 PM</v>
      </c>
      <c r="O20485" t="s">
        <v>62569</v>
      </c>
    </row>
    <row r="20486" spans="1:20" x14ac:dyDescent="0.25">
      <c r="A20486" t="str">
        <f>"3059071"</f>
        <v>3059071</v>
      </c>
      <c r="B20486" t="s">
        <v>62596</v>
      </c>
      <c r="C20486" t="str">
        <f t="shared" si="310"/>
        <v>8321432</v>
      </c>
      <c r="D20486" t="s">
        <v>62569</v>
      </c>
      <c r="F20486" t="s">
        <v>62570</v>
      </c>
      <c r="G20486" t="s">
        <v>17543</v>
      </c>
      <c r="I20486" t="s">
        <v>3196</v>
      </c>
      <c r="J20486" t="s">
        <v>30</v>
      </c>
      <c r="K20486" t="s">
        <v>62571</v>
      </c>
      <c r="M20486" t="s">
        <v>17861</v>
      </c>
      <c r="N20486" t="str">
        <f t="shared" si="311"/>
        <v>11/13/2023 2:42:00 PM</v>
      </c>
      <c r="O20486" t="s">
        <v>62569</v>
      </c>
    </row>
    <row r="20487" spans="1:20" x14ac:dyDescent="0.25">
      <c r="A20487" t="str">
        <f>"3059018"</f>
        <v>3059018</v>
      </c>
      <c r="B20487" t="s">
        <v>62597</v>
      </c>
      <c r="C20487" t="str">
        <f t="shared" si="310"/>
        <v>8321432</v>
      </c>
      <c r="D20487" t="s">
        <v>62569</v>
      </c>
      <c r="F20487" t="s">
        <v>62570</v>
      </c>
      <c r="G20487" t="s">
        <v>17543</v>
      </c>
      <c r="I20487" t="s">
        <v>3196</v>
      </c>
      <c r="J20487" t="s">
        <v>30</v>
      </c>
      <c r="K20487" t="s">
        <v>62571</v>
      </c>
      <c r="M20487" t="s">
        <v>17861</v>
      </c>
      <c r="N20487" t="str">
        <f t="shared" si="311"/>
        <v>11/13/2023 2:42:00 PM</v>
      </c>
      <c r="O20487" t="s">
        <v>62569</v>
      </c>
    </row>
    <row r="20488" spans="1:20" x14ac:dyDescent="0.25">
      <c r="A20488" t="str">
        <f>"3059019"</f>
        <v>3059019</v>
      </c>
      <c r="B20488" t="s">
        <v>62598</v>
      </c>
      <c r="C20488" t="str">
        <f t="shared" si="310"/>
        <v>8321432</v>
      </c>
      <c r="D20488" t="s">
        <v>62569</v>
      </c>
      <c r="F20488" t="s">
        <v>62570</v>
      </c>
      <c r="G20488" t="s">
        <v>17543</v>
      </c>
      <c r="I20488" t="s">
        <v>3196</v>
      </c>
      <c r="J20488" t="s">
        <v>30</v>
      </c>
      <c r="K20488" t="s">
        <v>62571</v>
      </c>
      <c r="M20488" t="s">
        <v>17861</v>
      </c>
      <c r="N20488" t="str">
        <f t="shared" si="311"/>
        <v>11/13/2023 2:42:00 PM</v>
      </c>
      <c r="O20488" t="s">
        <v>62569</v>
      </c>
    </row>
    <row r="20489" spans="1:20" x14ac:dyDescent="0.25">
      <c r="A20489" t="str">
        <f>"3059020"</f>
        <v>3059020</v>
      </c>
      <c r="B20489" t="s">
        <v>62599</v>
      </c>
      <c r="C20489" t="str">
        <f t="shared" si="310"/>
        <v>8321432</v>
      </c>
      <c r="D20489" t="s">
        <v>62569</v>
      </c>
      <c r="F20489" t="s">
        <v>62570</v>
      </c>
      <c r="G20489" t="s">
        <v>17543</v>
      </c>
      <c r="I20489" t="s">
        <v>3196</v>
      </c>
      <c r="J20489" t="s">
        <v>30</v>
      </c>
      <c r="K20489" t="s">
        <v>62571</v>
      </c>
      <c r="M20489" t="s">
        <v>17861</v>
      </c>
      <c r="N20489" t="str">
        <f t="shared" si="311"/>
        <v>11/13/2023 2:42:00 PM</v>
      </c>
      <c r="O20489" t="s">
        <v>62569</v>
      </c>
    </row>
    <row r="20490" spans="1:20" x14ac:dyDescent="0.25">
      <c r="A20490" t="str">
        <f>"3059021"</f>
        <v>3059021</v>
      </c>
      <c r="B20490" t="s">
        <v>62600</v>
      </c>
      <c r="C20490" t="str">
        <f t="shared" si="310"/>
        <v>8321432</v>
      </c>
      <c r="D20490" t="s">
        <v>62569</v>
      </c>
      <c r="F20490" t="s">
        <v>62570</v>
      </c>
      <c r="G20490" t="s">
        <v>17543</v>
      </c>
      <c r="I20490" t="s">
        <v>3196</v>
      </c>
      <c r="J20490" t="s">
        <v>30</v>
      </c>
      <c r="K20490" t="s">
        <v>62571</v>
      </c>
      <c r="M20490" t="s">
        <v>17861</v>
      </c>
      <c r="N20490" t="str">
        <f t="shared" si="311"/>
        <v>11/13/2023 2:42:00 PM</v>
      </c>
      <c r="O20490" t="s">
        <v>62569</v>
      </c>
    </row>
    <row r="20491" spans="1:20" x14ac:dyDescent="0.25">
      <c r="A20491" t="str">
        <f>"3059022"</f>
        <v>3059022</v>
      </c>
      <c r="B20491" t="s">
        <v>62601</v>
      </c>
      <c r="C20491" t="str">
        <f t="shared" si="310"/>
        <v>8321432</v>
      </c>
      <c r="D20491" t="s">
        <v>62569</v>
      </c>
      <c r="F20491" t="s">
        <v>62570</v>
      </c>
      <c r="G20491" t="s">
        <v>17543</v>
      </c>
      <c r="I20491" t="s">
        <v>3196</v>
      </c>
      <c r="J20491" t="s">
        <v>30</v>
      </c>
      <c r="K20491" t="s">
        <v>62571</v>
      </c>
      <c r="M20491" t="s">
        <v>17861</v>
      </c>
      <c r="N20491" t="str">
        <f t="shared" si="311"/>
        <v>11/13/2023 2:42:00 PM</v>
      </c>
      <c r="O20491" t="s">
        <v>62569</v>
      </c>
    </row>
    <row r="20492" spans="1:20" x14ac:dyDescent="0.25">
      <c r="A20492" t="str">
        <f>"3059023"</f>
        <v>3059023</v>
      </c>
      <c r="B20492" t="s">
        <v>62602</v>
      </c>
      <c r="C20492" t="str">
        <f t="shared" si="310"/>
        <v>8321432</v>
      </c>
      <c r="D20492" t="s">
        <v>62569</v>
      </c>
      <c r="F20492" t="s">
        <v>62570</v>
      </c>
      <c r="G20492" t="s">
        <v>17543</v>
      </c>
      <c r="I20492" t="s">
        <v>3196</v>
      </c>
      <c r="J20492" t="s">
        <v>30</v>
      </c>
      <c r="K20492" t="s">
        <v>62571</v>
      </c>
      <c r="M20492" t="s">
        <v>17861</v>
      </c>
      <c r="N20492" t="str">
        <f t="shared" si="311"/>
        <v>11/13/2023 2:42:00 PM</v>
      </c>
      <c r="O20492" t="s">
        <v>62569</v>
      </c>
    </row>
    <row r="20493" spans="1:20" x14ac:dyDescent="0.25">
      <c r="A20493" t="str">
        <f>"3045146"</f>
        <v>3045146</v>
      </c>
      <c r="B20493" t="s">
        <v>62603</v>
      </c>
      <c r="C20493" t="str">
        <f>"8321333"</f>
        <v>8321333</v>
      </c>
      <c r="D20493" t="s">
        <v>62491</v>
      </c>
      <c r="E20493" t="s">
        <v>62492</v>
      </c>
      <c r="F20493" t="s">
        <v>62493</v>
      </c>
      <c r="I20493" t="s">
        <v>1149</v>
      </c>
      <c r="J20493" t="s">
        <v>30</v>
      </c>
      <c r="K20493" t="s">
        <v>62494</v>
      </c>
      <c r="M20493" t="s">
        <v>17861</v>
      </c>
      <c r="N20493" t="str">
        <f>"11/2/2023 2:35:00 PM"</f>
        <v>11/2/2023 2:35:00 PM</v>
      </c>
      <c r="O20493" t="s">
        <v>62491</v>
      </c>
      <c r="T20493" t="s">
        <v>62492</v>
      </c>
    </row>
    <row r="20494" spans="1:20" x14ac:dyDescent="0.25">
      <c r="A20494" t="str">
        <f>"3060482"</f>
        <v>3060482</v>
      </c>
      <c r="B20494" t="s">
        <v>62604</v>
      </c>
      <c r="C20494" t="str">
        <f>"8321400"</f>
        <v>8321400</v>
      </c>
      <c r="D20494" t="s">
        <v>62605</v>
      </c>
      <c r="E20494" t="s">
        <v>62606</v>
      </c>
      <c r="F20494" t="s">
        <v>62607</v>
      </c>
      <c r="I20494" t="s">
        <v>184</v>
      </c>
      <c r="J20494" t="s">
        <v>30</v>
      </c>
      <c r="K20494" t="s">
        <v>9218</v>
      </c>
      <c r="M20494" t="s">
        <v>17861</v>
      </c>
      <c r="N20494" t="str">
        <f>"11/7/2023 9:00:00 AM"</f>
        <v>11/7/2023 9:00:00 AM</v>
      </c>
      <c r="O20494" t="s">
        <v>62605</v>
      </c>
      <c r="T20494" t="s">
        <v>62606</v>
      </c>
    </row>
    <row r="20495" spans="1:20" x14ac:dyDescent="0.25">
      <c r="A20495" t="str">
        <f>"3062892"</f>
        <v>3062892</v>
      </c>
      <c r="B20495" t="s">
        <v>62608</v>
      </c>
      <c r="C20495" t="str">
        <f>"8321407"</f>
        <v>8321407</v>
      </c>
      <c r="D20495" t="s">
        <v>62609</v>
      </c>
      <c r="E20495" t="str">
        <f>"HOLCOMB JUDY Q/TAYLOR MARANDA"</f>
        <v>HOLCOMB JUDY Q/TAYLOR MARANDA</v>
      </c>
      <c r="F20495" t="s">
        <v>62610</v>
      </c>
      <c r="I20495" t="s">
        <v>29</v>
      </c>
      <c r="J20495" t="s">
        <v>30</v>
      </c>
      <c r="K20495" t="s">
        <v>51782</v>
      </c>
      <c r="M20495" t="s">
        <v>17861</v>
      </c>
      <c r="N20495" t="str">
        <f>"11/7/2023 12:58:00 PM"</f>
        <v>11/7/2023 12:58:00 PM</v>
      </c>
      <c r="O20495" t="s">
        <v>62609</v>
      </c>
      <c r="T20495" t="str">
        <f>"HOLCOMB JUDY Q/TAYLOR MARANDA"</f>
        <v>HOLCOMB JUDY Q/TAYLOR MARANDA</v>
      </c>
    </row>
    <row r="20496" spans="1:20" x14ac:dyDescent="0.25">
      <c r="A20496" t="str">
        <f>"3045599"</f>
        <v>3045599</v>
      </c>
      <c r="B20496" t="s">
        <v>62611</v>
      </c>
      <c r="C20496" t="str">
        <f>"8321415"</f>
        <v>8321415</v>
      </c>
      <c r="D20496" t="s">
        <v>62612</v>
      </c>
      <c r="E20496" t="s">
        <v>62613</v>
      </c>
      <c r="F20496" t="s">
        <v>62614</v>
      </c>
      <c r="I20496" t="s">
        <v>29</v>
      </c>
      <c r="J20496" t="s">
        <v>30</v>
      </c>
      <c r="K20496" t="s">
        <v>41900</v>
      </c>
      <c r="M20496" t="s">
        <v>17861</v>
      </c>
      <c r="N20496" t="str">
        <f>"11/8/2023 3:18:00 PM"</f>
        <v>11/8/2023 3:18:00 PM</v>
      </c>
      <c r="O20496" t="s">
        <v>62612</v>
      </c>
      <c r="T20496" t="s">
        <v>62613</v>
      </c>
    </row>
    <row r="20497" spans="1:20" x14ac:dyDescent="0.25">
      <c r="A20497" t="str">
        <f>"3049412"</f>
        <v>3049412</v>
      </c>
      <c r="B20497" t="s">
        <v>62615</v>
      </c>
      <c r="C20497" t="str">
        <f>"8321416"</f>
        <v>8321416</v>
      </c>
      <c r="D20497" t="s">
        <v>62616</v>
      </c>
      <c r="F20497" t="s">
        <v>62617</v>
      </c>
      <c r="I20497" t="s">
        <v>471</v>
      </c>
      <c r="J20497" t="s">
        <v>30</v>
      </c>
      <c r="K20497" t="s">
        <v>62618</v>
      </c>
      <c r="M20497" t="s">
        <v>17861</v>
      </c>
      <c r="N20497" t="str">
        <f>"11/8/2023 3:23:00 PM"</f>
        <v>11/8/2023 3:23:00 PM</v>
      </c>
      <c r="O20497" t="s">
        <v>62616</v>
      </c>
    </row>
    <row r="20498" spans="1:20" x14ac:dyDescent="0.25">
      <c r="A20498" t="str">
        <f>"3047855"</f>
        <v>3047855</v>
      </c>
      <c r="B20498" t="s">
        <v>62619</v>
      </c>
      <c r="C20498" t="str">
        <f>"8301448"</f>
        <v>8301448</v>
      </c>
      <c r="D20498" t="s">
        <v>62620</v>
      </c>
      <c r="F20498" t="s">
        <v>62621</v>
      </c>
      <c r="I20498" t="s">
        <v>35924</v>
      </c>
      <c r="J20498" t="s">
        <v>30</v>
      </c>
      <c r="K20498" t="s">
        <v>62622</v>
      </c>
      <c r="M20498" t="s">
        <v>17861</v>
      </c>
      <c r="N20498" t="str">
        <f>"11/9/2023 10:02:00 AM"</f>
        <v>11/9/2023 10:02:00 AM</v>
      </c>
      <c r="O20498" t="s">
        <v>62620</v>
      </c>
    </row>
    <row r="20499" spans="1:20" x14ac:dyDescent="0.25">
      <c r="A20499" t="str">
        <f>"3045662"</f>
        <v>3045662</v>
      </c>
      <c r="B20499" t="s">
        <v>62623</v>
      </c>
      <c r="C20499" t="str">
        <f>"8321417"</f>
        <v>8321417</v>
      </c>
      <c r="D20499" t="s">
        <v>62624</v>
      </c>
      <c r="E20499" t="s">
        <v>62625</v>
      </c>
      <c r="F20499" t="s">
        <v>62626</v>
      </c>
      <c r="I20499" t="s">
        <v>29</v>
      </c>
      <c r="J20499" t="s">
        <v>30</v>
      </c>
      <c r="K20499" t="s">
        <v>57569</v>
      </c>
      <c r="M20499" t="s">
        <v>17861</v>
      </c>
      <c r="N20499" t="str">
        <f>"11/9/2023 10:08:00 AM"</f>
        <v>11/9/2023 10:08:00 AM</v>
      </c>
      <c r="O20499" t="s">
        <v>62624</v>
      </c>
      <c r="T20499" t="s">
        <v>62625</v>
      </c>
    </row>
    <row r="20500" spans="1:20" x14ac:dyDescent="0.25">
      <c r="A20500" t="str">
        <f>"3077912"</f>
        <v>3077912</v>
      </c>
      <c r="B20500" t="s">
        <v>62627</v>
      </c>
      <c r="C20500" t="str">
        <f>"8321417"</f>
        <v>8321417</v>
      </c>
      <c r="D20500" t="s">
        <v>62624</v>
      </c>
      <c r="E20500" t="s">
        <v>62625</v>
      </c>
      <c r="F20500" t="s">
        <v>62626</v>
      </c>
      <c r="I20500" t="s">
        <v>29</v>
      </c>
      <c r="J20500" t="s">
        <v>30</v>
      </c>
      <c r="K20500" t="s">
        <v>57569</v>
      </c>
      <c r="M20500" t="s">
        <v>17861</v>
      </c>
      <c r="N20500" t="str">
        <f>"11/9/2023 10:08:00 AM"</f>
        <v>11/9/2023 10:08:00 AM</v>
      </c>
      <c r="O20500" t="s">
        <v>62624</v>
      </c>
      <c r="T20500" t="s">
        <v>62625</v>
      </c>
    </row>
    <row r="20501" spans="1:20" x14ac:dyDescent="0.25">
      <c r="A20501" t="str">
        <f>"3053004"</f>
        <v>3053004</v>
      </c>
      <c r="B20501" t="s">
        <v>62628</v>
      </c>
      <c r="C20501" t="str">
        <f>"8321418"</f>
        <v>8321418</v>
      </c>
      <c r="D20501" t="s">
        <v>62629</v>
      </c>
      <c r="E20501" t="s">
        <v>62630</v>
      </c>
      <c r="F20501" t="s">
        <v>62631</v>
      </c>
      <c r="I20501" t="s">
        <v>62632</v>
      </c>
      <c r="J20501" t="s">
        <v>30</v>
      </c>
      <c r="K20501" t="s">
        <v>62633</v>
      </c>
      <c r="M20501" t="s">
        <v>17861</v>
      </c>
      <c r="N20501" t="str">
        <f>"11/9/2023 11:12:00 AM"</f>
        <v>11/9/2023 11:12:00 AM</v>
      </c>
      <c r="O20501" t="s">
        <v>62629</v>
      </c>
      <c r="T20501" t="s">
        <v>62630</v>
      </c>
    </row>
    <row r="20502" spans="1:20" x14ac:dyDescent="0.25">
      <c r="A20502" t="str">
        <f>"3076712"</f>
        <v>3076712</v>
      </c>
      <c r="B20502" t="s">
        <v>62634</v>
      </c>
      <c r="C20502" t="str">
        <f>"8321419"</f>
        <v>8321419</v>
      </c>
      <c r="D20502" t="s">
        <v>62635</v>
      </c>
      <c r="E20502" t="s">
        <v>62636</v>
      </c>
      <c r="F20502" t="s">
        <v>62637</v>
      </c>
      <c r="I20502" t="s">
        <v>49</v>
      </c>
      <c r="J20502" t="s">
        <v>30</v>
      </c>
      <c r="K20502" t="s">
        <v>62638</v>
      </c>
      <c r="M20502" t="s">
        <v>17861</v>
      </c>
      <c r="N20502" t="str">
        <f>"11/9/2023 2:43:00 PM"</f>
        <v>11/9/2023 2:43:00 PM</v>
      </c>
      <c r="O20502" t="s">
        <v>62635</v>
      </c>
      <c r="T20502" t="s">
        <v>62636</v>
      </c>
    </row>
    <row r="20503" spans="1:20" x14ac:dyDescent="0.25">
      <c r="A20503" t="str">
        <f>"3061734"</f>
        <v>3061734</v>
      </c>
      <c r="B20503" t="s">
        <v>62639</v>
      </c>
      <c r="C20503" t="str">
        <f>"8321420"</f>
        <v>8321420</v>
      </c>
      <c r="D20503" t="s">
        <v>62640</v>
      </c>
      <c r="E20503" t="s">
        <v>62641</v>
      </c>
      <c r="F20503" t="s">
        <v>62642</v>
      </c>
      <c r="I20503" t="s">
        <v>184</v>
      </c>
      <c r="J20503" t="s">
        <v>30</v>
      </c>
      <c r="K20503" t="s">
        <v>3885</v>
      </c>
      <c r="M20503" t="s">
        <v>17861</v>
      </c>
      <c r="N20503" t="str">
        <f>"11/9/2023 2:48:00 PM"</f>
        <v>11/9/2023 2:48:00 PM</v>
      </c>
      <c r="O20503" t="s">
        <v>62640</v>
      </c>
      <c r="T20503" t="s">
        <v>62641</v>
      </c>
    </row>
    <row r="20504" spans="1:20" x14ac:dyDescent="0.25">
      <c r="A20504" t="str">
        <f>"3058905"</f>
        <v>3058905</v>
      </c>
      <c r="B20504" t="s">
        <v>62643</v>
      </c>
      <c r="C20504" t="str">
        <f>"8321421"</f>
        <v>8321421</v>
      </c>
      <c r="D20504" t="s">
        <v>62644</v>
      </c>
      <c r="E20504" t="s">
        <v>62645</v>
      </c>
      <c r="F20504" t="s">
        <v>62646</v>
      </c>
      <c r="I20504" t="s">
        <v>29</v>
      </c>
      <c r="J20504" t="s">
        <v>30</v>
      </c>
      <c r="K20504" t="s">
        <v>61198</v>
      </c>
      <c r="M20504" t="s">
        <v>17861</v>
      </c>
      <c r="N20504" t="str">
        <f>"11/9/2023 2:50:00 PM"</f>
        <v>11/9/2023 2:50:00 PM</v>
      </c>
      <c r="O20504" t="s">
        <v>62644</v>
      </c>
      <c r="T20504" t="s">
        <v>62645</v>
      </c>
    </row>
    <row r="20505" spans="1:20" x14ac:dyDescent="0.25">
      <c r="A20505" t="str">
        <f>"3042734"</f>
        <v>3042734</v>
      </c>
      <c r="B20505" t="s">
        <v>62647</v>
      </c>
      <c r="C20505" t="str">
        <f>"8321369"</f>
        <v>8321369</v>
      </c>
      <c r="D20505" t="s">
        <v>62648</v>
      </c>
      <c r="F20505" t="s">
        <v>62649</v>
      </c>
      <c r="I20505" t="s">
        <v>62650</v>
      </c>
      <c r="J20505" t="s">
        <v>12725</v>
      </c>
      <c r="K20505" t="s">
        <v>62651</v>
      </c>
      <c r="M20505" t="s">
        <v>17861</v>
      </c>
      <c r="N20505" t="str">
        <f>"11/3/2023 1:55:00 PM"</f>
        <v>11/3/2023 1:55:00 PM</v>
      </c>
      <c r="O20505" t="s">
        <v>62648</v>
      </c>
    </row>
    <row r="20506" spans="1:20" x14ac:dyDescent="0.25">
      <c r="A20506" t="str">
        <f>"3059881"</f>
        <v>3059881</v>
      </c>
      <c r="B20506" t="s">
        <v>62652</v>
      </c>
      <c r="C20506" t="str">
        <f>"8317110"</f>
        <v>8317110</v>
      </c>
      <c r="D20506" t="s">
        <v>62653</v>
      </c>
      <c r="E20506" t="s">
        <v>62654</v>
      </c>
      <c r="F20506" t="s">
        <v>62655</v>
      </c>
      <c r="I20506" t="s">
        <v>62656</v>
      </c>
      <c r="J20506" t="s">
        <v>2738</v>
      </c>
      <c r="K20506" t="s">
        <v>62657</v>
      </c>
      <c r="M20506" t="s">
        <v>17861</v>
      </c>
      <c r="N20506" t="str">
        <f>"11/3/2023 2:19:00 PM"</f>
        <v>11/3/2023 2:19:00 PM</v>
      </c>
      <c r="O20506" t="s">
        <v>62653</v>
      </c>
      <c r="T20506" t="s">
        <v>62654</v>
      </c>
    </row>
    <row r="20507" spans="1:20" x14ac:dyDescent="0.25">
      <c r="A20507" t="str">
        <f>"3077967"</f>
        <v>3077967</v>
      </c>
      <c r="B20507" t="s">
        <v>62658</v>
      </c>
      <c r="C20507" t="str">
        <f>"8321378"</f>
        <v>8321378</v>
      </c>
      <c r="D20507" t="s">
        <v>62659</v>
      </c>
      <c r="E20507" t="s">
        <v>62660</v>
      </c>
      <c r="F20507" t="s">
        <v>62661</v>
      </c>
      <c r="I20507" t="s">
        <v>29</v>
      </c>
      <c r="J20507" t="s">
        <v>30</v>
      </c>
      <c r="K20507" t="s">
        <v>8445</v>
      </c>
      <c r="M20507" t="s">
        <v>17861</v>
      </c>
      <c r="N20507" t="str">
        <f>"11/6/2023 10:42:00 AM"</f>
        <v>11/6/2023 10:42:00 AM</v>
      </c>
      <c r="O20507" t="s">
        <v>62659</v>
      </c>
      <c r="T20507" t="s">
        <v>62660</v>
      </c>
    </row>
    <row r="20508" spans="1:20" x14ac:dyDescent="0.25">
      <c r="A20508" t="str">
        <f>"3053427"</f>
        <v>3053427</v>
      </c>
      <c r="B20508" t="s">
        <v>62662</v>
      </c>
      <c r="C20508" t="str">
        <f>"8321381"</f>
        <v>8321381</v>
      </c>
      <c r="D20508" t="str">
        <f>"DYER BRANDON B/LORI O REV LIV TRUST"</f>
        <v>DYER BRANDON B/LORI O REV LIV TRUST</v>
      </c>
      <c r="E20508" t="str">
        <f>"DYER BRANDON B/LORI O TRUSTEES"</f>
        <v>DYER BRANDON B/LORI O TRUSTEES</v>
      </c>
      <c r="F20508" t="s">
        <v>62663</v>
      </c>
      <c r="I20508" t="s">
        <v>29</v>
      </c>
      <c r="J20508" t="s">
        <v>30</v>
      </c>
      <c r="K20508" t="s">
        <v>62664</v>
      </c>
      <c r="M20508" t="s">
        <v>17861</v>
      </c>
      <c r="N20508" t="str">
        <f>"11/6/2023 11:18:00 AM"</f>
        <v>11/6/2023 11:18:00 AM</v>
      </c>
      <c r="O20508" t="str">
        <f>"DYER BRANDON B/LORI O REV LIV TRUST"</f>
        <v>DYER BRANDON B/LORI O REV LIV TRUST</v>
      </c>
      <c r="T20508" t="str">
        <f>"DYER BRANDON B/LORI O TRUSTEES"</f>
        <v>DYER BRANDON B/LORI O TRUSTEES</v>
      </c>
    </row>
    <row r="20509" spans="1:20" x14ac:dyDescent="0.25">
      <c r="A20509" t="str">
        <f>"3038985"</f>
        <v>3038985</v>
      </c>
      <c r="B20509" t="s">
        <v>62665</v>
      </c>
      <c r="C20509" t="str">
        <f>"8321386"</f>
        <v>8321386</v>
      </c>
      <c r="D20509" t="s">
        <v>62666</v>
      </c>
      <c r="E20509" t="s">
        <v>62667</v>
      </c>
      <c r="F20509" t="s">
        <v>62668</v>
      </c>
      <c r="I20509" t="s">
        <v>29</v>
      </c>
      <c r="J20509" t="s">
        <v>30</v>
      </c>
      <c r="K20509" t="s">
        <v>42343</v>
      </c>
      <c r="M20509" t="s">
        <v>17861</v>
      </c>
      <c r="N20509" t="str">
        <f>"11/6/2023 1:07:00 PM"</f>
        <v>11/6/2023 1:07:00 PM</v>
      </c>
      <c r="O20509" t="s">
        <v>62666</v>
      </c>
      <c r="T20509" t="s">
        <v>62667</v>
      </c>
    </row>
    <row r="20510" spans="1:20" x14ac:dyDescent="0.25">
      <c r="A20510" t="str">
        <f>"3048685"</f>
        <v>3048685</v>
      </c>
      <c r="B20510" t="s">
        <v>62669</v>
      </c>
      <c r="C20510" t="str">
        <f>"54331970"</f>
        <v>54331970</v>
      </c>
      <c r="D20510" t="s">
        <v>62670</v>
      </c>
      <c r="F20510" t="s">
        <v>62671</v>
      </c>
      <c r="I20510" t="s">
        <v>21270</v>
      </c>
      <c r="J20510" t="s">
        <v>30</v>
      </c>
      <c r="K20510" t="s">
        <v>62672</v>
      </c>
      <c r="M20510" t="s">
        <v>50621</v>
      </c>
      <c r="N20510" t="str">
        <f>"11/6/2023 2:15:00 PM"</f>
        <v>11/6/2023 2:15:00 PM</v>
      </c>
      <c r="O20510" t="s">
        <v>62670</v>
      </c>
    </row>
    <row r="20511" spans="1:20" x14ac:dyDescent="0.25">
      <c r="A20511" t="str">
        <f>"3050775"</f>
        <v>3050775</v>
      </c>
      <c r="B20511" t="s">
        <v>62673</v>
      </c>
      <c r="C20511" t="str">
        <f>"8321422"</f>
        <v>8321422</v>
      </c>
      <c r="D20511" t="s">
        <v>62674</v>
      </c>
      <c r="E20511" t="s">
        <v>62675</v>
      </c>
      <c r="F20511" t="s">
        <v>62676</v>
      </c>
      <c r="I20511" t="s">
        <v>184</v>
      </c>
      <c r="J20511" t="s">
        <v>30</v>
      </c>
      <c r="K20511" t="str">
        <f>"27006"</f>
        <v>27006</v>
      </c>
      <c r="M20511" t="s">
        <v>17861</v>
      </c>
      <c r="N20511" t="str">
        <f>"11/9/2023 3:50:00 PM"</f>
        <v>11/9/2023 3:50:00 PM</v>
      </c>
      <c r="O20511" t="s">
        <v>62674</v>
      </c>
      <c r="T20511" t="s">
        <v>62675</v>
      </c>
    </row>
    <row r="20512" spans="1:20" x14ac:dyDescent="0.25">
      <c r="A20512" t="str">
        <f>"3047770"</f>
        <v>3047770</v>
      </c>
      <c r="B20512" t="s">
        <v>62677</v>
      </c>
      <c r="C20512" t="str">
        <f>"8321430"</f>
        <v>8321430</v>
      </c>
      <c r="D20512" t="s">
        <v>62678</v>
      </c>
      <c r="F20512" t="s">
        <v>62679</v>
      </c>
      <c r="I20512" t="s">
        <v>184</v>
      </c>
      <c r="J20512" t="s">
        <v>30</v>
      </c>
      <c r="K20512" t="s">
        <v>10608</v>
      </c>
      <c r="M20512" t="s">
        <v>17861</v>
      </c>
      <c r="N20512" t="str">
        <f>"11/13/2023 11:30:00 AM"</f>
        <v>11/13/2023 11:30:00 AM</v>
      </c>
      <c r="O20512" t="s">
        <v>62678</v>
      </c>
    </row>
    <row r="20513" spans="1:15" x14ac:dyDescent="0.25">
      <c r="A20513" t="str">
        <f>"3062009"</f>
        <v>3062009</v>
      </c>
      <c r="B20513" t="s">
        <v>62680</v>
      </c>
      <c r="C20513" t="str">
        <f>"8321432"</f>
        <v>8321432</v>
      </c>
      <c r="D20513" t="s">
        <v>62569</v>
      </c>
      <c r="F20513" t="s">
        <v>62570</v>
      </c>
      <c r="G20513" t="s">
        <v>17543</v>
      </c>
      <c r="I20513" t="s">
        <v>3196</v>
      </c>
      <c r="J20513" t="s">
        <v>30</v>
      </c>
      <c r="K20513" t="s">
        <v>62571</v>
      </c>
      <c r="M20513" t="s">
        <v>17861</v>
      </c>
      <c r="N20513" t="str">
        <f>"11/13/2023 2:42:00 PM"</f>
        <v>11/13/2023 2:42:00 PM</v>
      </c>
      <c r="O20513" t="s">
        <v>62569</v>
      </c>
    </row>
    <row r="20514" spans="1:15" x14ac:dyDescent="0.25">
      <c r="A20514" t="str">
        <f>"3059017"</f>
        <v>3059017</v>
      </c>
      <c r="B20514" t="s">
        <v>62681</v>
      </c>
      <c r="C20514" t="str">
        <f>"8321432"</f>
        <v>8321432</v>
      </c>
      <c r="D20514" t="s">
        <v>62569</v>
      </c>
      <c r="F20514" t="s">
        <v>62570</v>
      </c>
      <c r="G20514" t="s">
        <v>17543</v>
      </c>
      <c r="I20514" t="s">
        <v>3196</v>
      </c>
      <c r="J20514" t="s">
        <v>30</v>
      </c>
      <c r="K20514" t="s">
        <v>62571</v>
      </c>
      <c r="M20514" t="s">
        <v>17861</v>
      </c>
      <c r="N20514" t="str">
        <f>"11/13/2023 2:42:00 PM"</f>
        <v>11/13/2023 2:42:00 PM</v>
      </c>
      <c r="O20514" t="s">
        <v>62569</v>
      </c>
    </row>
    <row r="20515" spans="1:15" x14ac:dyDescent="0.25">
      <c r="A20515" t="str">
        <f>"3048567"</f>
        <v>3048567</v>
      </c>
      <c r="B20515" t="s">
        <v>62682</v>
      </c>
      <c r="C20515" t="str">
        <f>"54331970"</f>
        <v>54331970</v>
      </c>
      <c r="D20515" t="s">
        <v>62670</v>
      </c>
      <c r="F20515" t="s">
        <v>62671</v>
      </c>
      <c r="I20515" t="s">
        <v>21270</v>
      </c>
      <c r="J20515" t="s">
        <v>30</v>
      </c>
      <c r="K20515" t="s">
        <v>62672</v>
      </c>
      <c r="M20515" t="s">
        <v>50621</v>
      </c>
      <c r="N20515" t="str">
        <f>"11/6/2023 2:15:00 PM"</f>
        <v>11/6/2023 2:15:00 PM</v>
      </c>
      <c r="O20515" t="s">
        <v>62670</v>
      </c>
    </row>
    <row r="20516" spans="1:15" x14ac:dyDescent="0.25">
      <c r="A20516" t="str">
        <f>"3044241"</f>
        <v>3044241</v>
      </c>
      <c r="B20516" t="s">
        <v>62683</v>
      </c>
      <c r="C20516" t="str">
        <f>"8321389"</f>
        <v>8321389</v>
      </c>
      <c r="D20516" t="s">
        <v>62684</v>
      </c>
      <c r="F20516" t="s">
        <v>62685</v>
      </c>
      <c r="I20516" t="s">
        <v>184</v>
      </c>
      <c r="J20516" t="s">
        <v>30</v>
      </c>
      <c r="K20516" t="str">
        <f>"27006"</f>
        <v>27006</v>
      </c>
      <c r="M20516" t="s">
        <v>17861</v>
      </c>
      <c r="N20516" t="str">
        <f>"11/6/2023 3:18:00 PM"</f>
        <v>11/6/2023 3:18:00 PM</v>
      </c>
      <c r="O20516" t="s">
        <v>62684</v>
      </c>
    </row>
    <row r="20517" spans="1:15" x14ac:dyDescent="0.25">
      <c r="A20517" t="str">
        <f>"3059024"</f>
        <v>3059024</v>
      </c>
      <c r="B20517" t="s">
        <v>62686</v>
      </c>
      <c r="C20517" t="str">
        <f t="shared" ref="C20517:C20543" si="312">"8321432"</f>
        <v>8321432</v>
      </c>
      <c r="D20517" t="s">
        <v>62569</v>
      </c>
      <c r="F20517" t="s">
        <v>62570</v>
      </c>
      <c r="G20517" t="s">
        <v>17543</v>
      </c>
      <c r="I20517" t="s">
        <v>3196</v>
      </c>
      <c r="J20517" t="s">
        <v>30</v>
      </c>
      <c r="K20517" t="s">
        <v>62571</v>
      </c>
      <c r="M20517" t="s">
        <v>17861</v>
      </c>
      <c r="N20517" t="str">
        <f t="shared" ref="N20517:N20543" si="313">"11/13/2023 2:42:00 PM"</f>
        <v>11/13/2023 2:42:00 PM</v>
      </c>
      <c r="O20517" t="s">
        <v>62569</v>
      </c>
    </row>
    <row r="20518" spans="1:15" x14ac:dyDescent="0.25">
      <c r="A20518" t="str">
        <f>"3059025"</f>
        <v>3059025</v>
      </c>
      <c r="B20518" t="s">
        <v>62687</v>
      </c>
      <c r="C20518" t="str">
        <f t="shared" si="312"/>
        <v>8321432</v>
      </c>
      <c r="D20518" t="s">
        <v>62569</v>
      </c>
      <c r="F20518" t="s">
        <v>62570</v>
      </c>
      <c r="G20518" t="s">
        <v>17543</v>
      </c>
      <c r="I20518" t="s">
        <v>3196</v>
      </c>
      <c r="J20518" t="s">
        <v>30</v>
      </c>
      <c r="K20518" t="s">
        <v>62571</v>
      </c>
      <c r="M20518" t="s">
        <v>17861</v>
      </c>
      <c r="N20518" t="str">
        <f t="shared" si="313"/>
        <v>11/13/2023 2:42:00 PM</v>
      </c>
      <c r="O20518" t="s">
        <v>62569</v>
      </c>
    </row>
    <row r="20519" spans="1:15" x14ac:dyDescent="0.25">
      <c r="A20519" t="str">
        <f>"3059026"</f>
        <v>3059026</v>
      </c>
      <c r="B20519" t="s">
        <v>62688</v>
      </c>
      <c r="C20519" t="str">
        <f t="shared" si="312"/>
        <v>8321432</v>
      </c>
      <c r="D20519" t="s">
        <v>62569</v>
      </c>
      <c r="F20519" t="s">
        <v>62570</v>
      </c>
      <c r="G20519" t="s">
        <v>17543</v>
      </c>
      <c r="I20519" t="s">
        <v>3196</v>
      </c>
      <c r="J20519" t="s">
        <v>30</v>
      </c>
      <c r="K20519" t="s">
        <v>62571</v>
      </c>
      <c r="M20519" t="s">
        <v>17861</v>
      </c>
      <c r="N20519" t="str">
        <f t="shared" si="313"/>
        <v>11/13/2023 2:42:00 PM</v>
      </c>
      <c r="O20519" t="s">
        <v>62569</v>
      </c>
    </row>
    <row r="20520" spans="1:15" x14ac:dyDescent="0.25">
      <c r="A20520" t="str">
        <f>"3059027"</f>
        <v>3059027</v>
      </c>
      <c r="B20520" t="s">
        <v>62689</v>
      </c>
      <c r="C20520" t="str">
        <f t="shared" si="312"/>
        <v>8321432</v>
      </c>
      <c r="D20520" t="s">
        <v>62569</v>
      </c>
      <c r="F20520" t="s">
        <v>62570</v>
      </c>
      <c r="G20520" t="s">
        <v>17543</v>
      </c>
      <c r="I20520" t="s">
        <v>3196</v>
      </c>
      <c r="J20520" t="s">
        <v>30</v>
      </c>
      <c r="K20520" t="s">
        <v>62571</v>
      </c>
      <c r="M20520" t="s">
        <v>17861</v>
      </c>
      <c r="N20520" t="str">
        <f t="shared" si="313"/>
        <v>11/13/2023 2:42:00 PM</v>
      </c>
      <c r="O20520" t="s">
        <v>62569</v>
      </c>
    </row>
    <row r="20521" spans="1:15" x14ac:dyDescent="0.25">
      <c r="A20521" t="str">
        <f>"3059028"</f>
        <v>3059028</v>
      </c>
      <c r="B20521" t="s">
        <v>62690</v>
      </c>
      <c r="C20521" t="str">
        <f t="shared" si="312"/>
        <v>8321432</v>
      </c>
      <c r="D20521" t="s">
        <v>62569</v>
      </c>
      <c r="F20521" t="s">
        <v>62570</v>
      </c>
      <c r="G20521" t="s">
        <v>17543</v>
      </c>
      <c r="I20521" t="s">
        <v>3196</v>
      </c>
      <c r="J20521" t="s">
        <v>30</v>
      </c>
      <c r="K20521" t="s">
        <v>62571</v>
      </c>
      <c r="M20521" t="s">
        <v>17861</v>
      </c>
      <c r="N20521" t="str">
        <f t="shared" si="313"/>
        <v>11/13/2023 2:42:00 PM</v>
      </c>
      <c r="O20521" t="s">
        <v>62569</v>
      </c>
    </row>
    <row r="20522" spans="1:15" x14ac:dyDescent="0.25">
      <c r="A20522" t="str">
        <f>"3059035"</f>
        <v>3059035</v>
      </c>
      <c r="B20522" t="s">
        <v>62691</v>
      </c>
      <c r="C20522" t="str">
        <f t="shared" si="312"/>
        <v>8321432</v>
      </c>
      <c r="D20522" t="s">
        <v>62569</v>
      </c>
      <c r="F20522" t="s">
        <v>62570</v>
      </c>
      <c r="G20522" t="s">
        <v>17543</v>
      </c>
      <c r="I20522" t="s">
        <v>3196</v>
      </c>
      <c r="J20522" t="s">
        <v>30</v>
      </c>
      <c r="K20522" t="s">
        <v>62571</v>
      </c>
      <c r="M20522" t="s">
        <v>17861</v>
      </c>
      <c r="N20522" t="str">
        <f t="shared" si="313"/>
        <v>11/13/2023 2:42:00 PM</v>
      </c>
      <c r="O20522" t="s">
        <v>62569</v>
      </c>
    </row>
    <row r="20523" spans="1:15" x14ac:dyDescent="0.25">
      <c r="A20523" t="str">
        <f>"3059036"</f>
        <v>3059036</v>
      </c>
      <c r="B20523" t="s">
        <v>62692</v>
      </c>
      <c r="C20523" t="str">
        <f t="shared" si="312"/>
        <v>8321432</v>
      </c>
      <c r="D20523" t="s">
        <v>62569</v>
      </c>
      <c r="F20523" t="s">
        <v>62570</v>
      </c>
      <c r="G20523" t="s">
        <v>17543</v>
      </c>
      <c r="I20523" t="s">
        <v>3196</v>
      </c>
      <c r="J20523" t="s">
        <v>30</v>
      </c>
      <c r="K20523" t="s">
        <v>62571</v>
      </c>
      <c r="M20523" t="s">
        <v>17861</v>
      </c>
      <c r="N20523" t="str">
        <f t="shared" si="313"/>
        <v>11/13/2023 2:42:00 PM</v>
      </c>
      <c r="O20523" t="s">
        <v>62569</v>
      </c>
    </row>
    <row r="20524" spans="1:15" x14ac:dyDescent="0.25">
      <c r="A20524" t="str">
        <f>"3059037"</f>
        <v>3059037</v>
      </c>
      <c r="B20524" t="s">
        <v>62693</v>
      </c>
      <c r="C20524" t="str">
        <f t="shared" si="312"/>
        <v>8321432</v>
      </c>
      <c r="D20524" t="s">
        <v>62569</v>
      </c>
      <c r="F20524" t="s">
        <v>62570</v>
      </c>
      <c r="G20524" t="s">
        <v>17543</v>
      </c>
      <c r="I20524" t="s">
        <v>3196</v>
      </c>
      <c r="J20524" t="s">
        <v>30</v>
      </c>
      <c r="K20524" t="s">
        <v>62571</v>
      </c>
      <c r="M20524" t="s">
        <v>17861</v>
      </c>
      <c r="N20524" t="str">
        <f t="shared" si="313"/>
        <v>11/13/2023 2:42:00 PM</v>
      </c>
      <c r="O20524" t="s">
        <v>62569</v>
      </c>
    </row>
    <row r="20525" spans="1:15" x14ac:dyDescent="0.25">
      <c r="A20525" t="str">
        <f>"3059038"</f>
        <v>3059038</v>
      </c>
      <c r="B20525" t="s">
        <v>62694</v>
      </c>
      <c r="C20525" t="str">
        <f t="shared" si="312"/>
        <v>8321432</v>
      </c>
      <c r="D20525" t="s">
        <v>62569</v>
      </c>
      <c r="F20525" t="s">
        <v>62570</v>
      </c>
      <c r="G20525" t="s">
        <v>17543</v>
      </c>
      <c r="I20525" t="s">
        <v>3196</v>
      </c>
      <c r="J20525" t="s">
        <v>30</v>
      </c>
      <c r="K20525" t="s">
        <v>62571</v>
      </c>
      <c r="M20525" t="s">
        <v>17861</v>
      </c>
      <c r="N20525" t="str">
        <f t="shared" si="313"/>
        <v>11/13/2023 2:42:00 PM</v>
      </c>
      <c r="O20525" t="s">
        <v>62569</v>
      </c>
    </row>
    <row r="20526" spans="1:15" x14ac:dyDescent="0.25">
      <c r="A20526" t="str">
        <f>"3059039"</f>
        <v>3059039</v>
      </c>
      <c r="B20526" t="s">
        <v>62695</v>
      </c>
      <c r="C20526" t="str">
        <f t="shared" si="312"/>
        <v>8321432</v>
      </c>
      <c r="D20526" t="s">
        <v>62569</v>
      </c>
      <c r="F20526" t="s">
        <v>62570</v>
      </c>
      <c r="G20526" t="s">
        <v>17543</v>
      </c>
      <c r="I20526" t="s">
        <v>3196</v>
      </c>
      <c r="J20526" t="s">
        <v>30</v>
      </c>
      <c r="K20526" t="s">
        <v>62571</v>
      </c>
      <c r="M20526" t="s">
        <v>17861</v>
      </c>
      <c r="N20526" t="str">
        <f t="shared" si="313"/>
        <v>11/13/2023 2:42:00 PM</v>
      </c>
      <c r="O20526" t="s">
        <v>62569</v>
      </c>
    </row>
    <row r="20527" spans="1:15" x14ac:dyDescent="0.25">
      <c r="A20527" t="str">
        <f>"3059040"</f>
        <v>3059040</v>
      </c>
      <c r="B20527" t="s">
        <v>62696</v>
      </c>
      <c r="C20527" t="str">
        <f t="shared" si="312"/>
        <v>8321432</v>
      </c>
      <c r="D20527" t="s">
        <v>62569</v>
      </c>
      <c r="F20527" t="s">
        <v>62570</v>
      </c>
      <c r="G20527" t="s">
        <v>17543</v>
      </c>
      <c r="I20527" t="s">
        <v>3196</v>
      </c>
      <c r="J20527" t="s">
        <v>30</v>
      </c>
      <c r="K20527" t="s">
        <v>62571</v>
      </c>
      <c r="M20527" t="s">
        <v>17861</v>
      </c>
      <c r="N20527" t="str">
        <f t="shared" si="313"/>
        <v>11/13/2023 2:42:00 PM</v>
      </c>
      <c r="O20527" t="s">
        <v>62569</v>
      </c>
    </row>
    <row r="20528" spans="1:15" x14ac:dyDescent="0.25">
      <c r="A20528" t="str">
        <f>"3059041"</f>
        <v>3059041</v>
      </c>
      <c r="B20528" t="s">
        <v>62697</v>
      </c>
      <c r="C20528" t="str">
        <f t="shared" si="312"/>
        <v>8321432</v>
      </c>
      <c r="D20528" t="s">
        <v>62569</v>
      </c>
      <c r="F20528" t="s">
        <v>62570</v>
      </c>
      <c r="G20528" t="s">
        <v>17543</v>
      </c>
      <c r="I20528" t="s">
        <v>3196</v>
      </c>
      <c r="J20528" t="s">
        <v>30</v>
      </c>
      <c r="K20528" t="s">
        <v>62571</v>
      </c>
      <c r="M20528" t="s">
        <v>17861</v>
      </c>
      <c r="N20528" t="str">
        <f t="shared" si="313"/>
        <v>11/13/2023 2:42:00 PM</v>
      </c>
      <c r="O20528" t="s">
        <v>62569</v>
      </c>
    </row>
    <row r="20529" spans="1:15" x14ac:dyDescent="0.25">
      <c r="A20529" t="str">
        <f>"3059042"</f>
        <v>3059042</v>
      </c>
      <c r="B20529" t="s">
        <v>62698</v>
      </c>
      <c r="C20529" t="str">
        <f t="shared" si="312"/>
        <v>8321432</v>
      </c>
      <c r="D20529" t="s">
        <v>62569</v>
      </c>
      <c r="F20529" t="s">
        <v>62570</v>
      </c>
      <c r="G20529" t="s">
        <v>17543</v>
      </c>
      <c r="I20529" t="s">
        <v>3196</v>
      </c>
      <c r="J20529" t="s">
        <v>30</v>
      </c>
      <c r="K20529" t="s">
        <v>62571</v>
      </c>
      <c r="M20529" t="s">
        <v>17861</v>
      </c>
      <c r="N20529" t="str">
        <f t="shared" si="313"/>
        <v>11/13/2023 2:42:00 PM</v>
      </c>
      <c r="O20529" t="s">
        <v>62569</v>
      </c>
    </row>
    <row r="20530" spans="1:15" x14ac:dyDescent="0.25">
      <c r="A20530" t="str">
        <f>"3059043"</f>
        <v>3059043</v>
      </c>
      <c r="B20530" t="s">
        <v>62699</v>
      </c>
      <c r="C20530" t="str">
        <f t="shared" si="312"/>
        <v>8321432</v>
      </c>
      <c r="D20530" t="s">
        <v>62569</v>
      </c>
      <c r="F20530" t="s">
        <v>62570</v>
      </c>
      <c r="G20530" t="s">
        <v>17543</v>
      </c>
      <c r="I20530" t="s">
        <v>3196</v>
      </c>
      <c r="J20530" t="s">
        <v>30</v>
      </c>
      <c r="K20530" t="s">
        <v>62571</v>
      </c>
      <c r="M20530" t="s">
        <v>17861</v>
      </c>
      <c r="N20530" t="str">
        <f t="shared" si="313"/>
        <v>11/13/2023 2:42:00 PM</v>
      </c>
      <c r="O20530" t="s">
        <v>62569</v>
      </c>
    </row>
    <row r="20531" spans="1:15" x14ac:dyDescent="0.25">
      <c r="A20531" t="str">
        <f>"3059044"</f>
        <v>3059044</v>
      </c>
      <c r="B20531" t="s">
        <v>62700</v>
      </c>
      <c r="C20531" t="str">
        <f t="shared" si="312"/>
        <v>8321432</v>
      </c>
      <c r="D20531" t="s">
        <v>62569</v>
      </c>
      <c r="F20531" t="s">
        <v>62570</v>
      </c>
      <c r="G20531" t="s">
        <v>17543</v>
      </c>
      <c r="I20531" t="s">
        <v>3196</v>
      </c>
      <c r="J20531" t="s">
        <v>30</v>
      </c>
      <c r="K20531" t="s">
        <v>62571</v>
      </c>
      <c r="M20531" t="s">
        <v>17861</v>
      </c>
      <c r="N20531" t="str">
        <f t="shared" si="313"/>
        <v>11/13/2023 2:42:00 PM</v>
      </c>
      <c r="O20531" t="s">
        <v>62569</v>
      </c>
    </row>
    <row r="20532" spans="1:15" x14ac:dyDescent="0.25">
      <c r="A20532" t="str">
        <f>"3059045"</f>
        <v>3059045</v>
      </c>
      <c r="B20532" t="s">
        <v>62701</v>
      </c>
      <c r="C20532" t="str">
        <f t="shared" si="312"/>
        <v>8321432</v>
      </c>
      <c r="D20532" t="s">
        <v>62569</v>
      </c>
      <c r="F20532" t="s">
        <v>62570</v>
      </c>
      <c r="G20532" t="s">
        <v>17543</v>
      </c>
      <c r="I20532" t="s">
        <v>3196</v>
      </c>
      <c r="J20532" t="s">
        <v>30</v>
      </c>
      <c r="K20532" t="s">
        <v>62571</v>
      </c>
      <c r="M20532" t="s">
        <v>17861</v>
      </c>
      <c r="N20532" t="str">
        <f t="shared" si="313"/>
        <v>11/13/2023 2:42:00 PM</v>
      </c>
      <c r="O20532" t="s">
        <v>62569</v>
      </c>
    </row>
    <row r="20533" spans="1:15" x14ac:dyDescent="0.25">
      <c r="A20533" t="str">
        <f>"3059046"</f>
        <v>3059046</v>
      </c>
      <c r="B20533" t="s">
        <v>62702</v>
      </c>
      <c r="C20533" t="str">
        <f t="shared" si="312"/>
        <v>8321432</v>
      </c>
      <c r="D20533" t="s">
        <v>62569</v>
      </c>
      <c r="F20533" t="s">
        <v>62570</v>
      </c>
      <c r="G20533" t="s">
        <v>17543</v>
      </c>
      <c r="I20533" t="s">
        <v>3196</v>
      </c>
      <c r="J20533" t="s">
        <v>30</v>
      </c>
      <c r="K20533" t="s">
        <v>62571</v>
      </c>
      <c r="M20533" t="s">
        <v>17861</v>
      </c>
      <c r="N20533" t="str">
        <f t="shared" si="313"/>
        <v>11/13/2023 2:42:00 PM</v>
      </c>
      <c r="O20533" t="s">
        <v>62569</v>
      </c>
    </row>
    <row r="20534" spans="1:15" x14ac:dyDescent="0.25">
      <c r="A20534" t="str">
        <f>"3059047"</f>
        <v>3059047</v>
      </c>
      <c r="B20534" t="s">
        <v>62703</v>
      </c>
      <c r="C20534" t="str">
        <f t="shared" si="312"/>
        <v>8321432</v>
      </c>
      <c r="D20534" t="s">
        <v>62569</v>
      </c>
      <c r="F20534" t="s">
        <v>62570</v>
      </c>
      <c r="G20534" t="s">
        <v>17543</v>
      </c>
      <c r="I20534" t="s">
        <v>3196</v>
      </c>
      <c r="J20534" t="s">
        <v>30</v>
      </c>
      <c r="K20534" t="s">
        <v>62571</v>
      </c>
      <c r="M20534" t="s">
        <v>17861</v>
      </c>
      <c r="N20534" t="str">
        <f t="shared" si="313"/>
        <v>11/13/2023 2:42:00 PM</v>
      </c>
      <c r="O20534" t="s">
        <v>62569</v>
      </c>
    </row>
    <row r="20535" spans="1:15" x14ac:dyDescent="0.25">
      <c r="A20535" t="str">
        <f>"3059048"</f>
        <v>3059048</v>
      </c>
      <c r="B20535" t="s">
        <v>62704</v>
      </c>
      <c r="C20535" t="str">
        <f t="shared" si="312"/>
        <v>8321432</v>
      </c>
      <c r="D20535" t="s">
        <v>62569</v>
      </c>
      <c r="F20535" t="s">
        <v>62570</v>
      </c>
      <c r="G20535" t="s">
        <v>17543</v>
      </c>
      <c r="I20535" t="s">
        <v>3196</v>
      </c>
      <c r="J20535" t="s">
        <v>30</v>
      </c>
      <c r="K20535" t="s">
        <v>62571</v>
      </c>
      <c r="M20535" t="s">
        <v>17861</v>
      </c>
      <c r="N20535" t="str">
        <f t="shared" si="313"/>
        <v>11/13/2023 2:42:00 PM</v>
      </c>
      <c r="O20535" t="s">
        <v>62569</v>
      </c>
    </row>
    <row r="20536" spans="1:15" x14ac:dyDescent="0.25">
      <c r="A20536" t="str">
        <f>"3059049"</f>
        <v>3059049</v>
      </c>
      <c r="B20536" t="s">
        <v>62705</v>
      </c>
      <c r="C20536" t="str">
        <f t="shared" si="312"/>
        <v>8321432</v>
      </c>
      <c r="D20536" t="s">
        <v>62569</v>
      </c>
      <c r="F20536" t="s">
        <v>62570</v>
      </c>
      <c r="G20536" t="s">
        <v>17543</v>
      </c>
      <c r="I20536" t="s">
        <v>3196</v>
      </c>
      <c r="J20536" t="s">
        <v>30</v>
      </c>
      <c r="K20536" t="s">
        <v>62571</v>
      </c>
      <c r="M20536" t="s">
        <v>17861</v>
      </c>
      <c r="N20536" t="str">
        <f t="shared" si="313"/>
        <v>11/13/2023 2:42:00 PM</v>
      </c>
      <c r="O20536" t="s">
        <v>62569</v>
      </c>
    </row>
    <row r="20537" spans="1:15" x14ac:dyDescent="0.25">
      <c r="A20537" t="str">
        <f>"3059050"</f>
        <v>3059050</v>
      </c>
      <c r="B20537" t="s">
        <v>62706</v>
      </c>
      <c r="C20537" t="str">
        <f t="shared" si="312"/>
        <v>8321432</v>
      </c>
      <c r="D20537" t="s">
        <v>62569</v>
      </c>
      <c r="F20537" t="s">
        <v>62570</v>
      </c>
      <c r="G20537" t="s">
        <v>17543</v>
      </c>
      <c r="I20537" t="s">
        <v>3196</v>
      </c>
      <c r="J20537" t="s">
        <v>30</v>
      </c>
      <c r="K20537" t="s">
        <v>62571</v>
      </c>
      <c r="M20537" t="s">
        <v>17861</v>
      </c>
      <c r="N20537" t="str">
        <f t="shared" si="313"/>
        <v>11/13/2023 2:42:00 PM</v>
      </c>
      <c r="O20537" t="s">
        <v>62569</v>
      </c>
    </row>
    <row r="20538" spans="1:15" x14ac:dyDescent="0.25">
      <c r="A20538" t="str">
        <f>"3059051"</f>
        <v>3059051</v>
      </c>
      <c r="B20538" t="s">
        <v>62707</v>
      </c>
      <c r="C20538" t="str">
        <f t="shared" si="312"/>
        <v>8321432</v>
      </c>
      <c r="D20538" t="s">
        <v>62569</v>
      </c>
      <c r="F20538" t="s">
        <v>62570</v>
      </c>
      <c r="G20538" t="s">
        <v>17543</v>
      </c>
      <c r="I20538" t="s">
        <v>3196</v>
      </c>
      <c r="J20538" t="s">
        <v>30</v>
      </c>
      <c r="K20538" t="s">
        <v>62571</v>
      </c>
      <c r="M20538" t="s">
        <v>17861</v>
      </c>
      <c r="N20538" t="str">
        <f t="shared" si="313"/>
        <v>11/13/2023 2:42:00 PM</v>
      </c>
      <c r="O20538" t="s">
        <v>62569</v>
      </c>
    </row>
    <row r="20539" spans="1:15" x14ac:dyDescent="0.25">
      <c r="A20539" t="str">
        <f>"3059052"</f>
        <v>3059052</v>
      </c>
      <c r="B20539" t="s">
        <v>62708</v>
      </c>
      <c r="C20539" t="str">
        <f t="shared" si="312"/>
        <v>8321432</v>
      </c>
      <c r="D20539" t="s">
        <v>62569</v>
      </c>
      <c r="F20539" t="s">
        <v>62570</v>
      </c>
      <c r="G20539" t="s">
        <v>17543</v>
      </c>
      <c r="I20539" t="s">
        <v>3196</v>
      </c>
      <c r="J20539" t="s">
        <v>30</v>
      </c>
      <c r="K20539" t="s">
        <v>62571</v>
      </c>
      <c r="M20539" t="s">
        <v>17861</v>
      </c>
      <c r="N20539" t="str">
        <f t="shared" si="313"/>
        <v>11/13/2023 2:42:00 PM</v>
      </c>
      <c r="O20539" t="s">
        <v>62569</v>
      </c>
    </row>
    <row r="20540" spans="1:15" x14ac:dyDescent="0.25">
      <c r="A20540" t="str">
        <f>"3059053"</f>
        <v>3059053</v>
      </c>
      <c r="B20540" t="s">
        <v>62709</v>
      </c>
      <c r="C20540" t="str">
        <f t="shared" si="312"/>
        <v>8321432</v>
      </c>
      <c r="D20540" t="s">
        <v>62569</v>
      </c>
      <c r="F20540" t="s">
        <v>62570</v>
      </c>
      <c r="G20540" t="s">
        <v>17543</v>
      </c>
      <c r="I20540" t="s">
        <v>3196</v>
      </c>
      <c r="J20540" t="s">
        <v>30</v>
      </c>
      <c r="K20540" t="s">
        <v>62571</v>
      </c>
      <c r="M20540" t="s">
        <v>17861</v>
      </c>
      <c r="N20540" t="str">
        <f t="shared" si="313"/>
        <v>11/13/2023 2:42:00 PM</v>
      </c>
      <c r="O20540" t="s">
        <v>62569</v>
      </c>
    </row>
    <row r="20541" spans="1:15" x14ac:dyDescent="0.25">
      <c r="A20541" t="str">
        <f>"3059054"</f>
        <v>3059054</v>
      </c>
      <c r="B20541" t="s">
        <v>62710</v>
      </c>
      <c r="C20541" t="str">
        <f t="shared" si="312"/>
        <v>8321432</v>
      </c>
      <c r="D20541" t="s">
        <v>62569</v>
      </c>
      <c r="F20541" t="s">
        <v>62570</v>
      </c>
      <c r="G20541" t="s">
        <v>17543</v>
      </c>
      <c r="I20541" t="s">
        <v>3196</v>
      </c>
      <c r="J20541" t="s">
        <v>30</v>
      </c>
      <c r="K20541" t="s">
        <v>62571</v>
      </c>
      <c r="M20541" t="s">
        <v>17861</v>
      </c>
      <c r="N20541" t="str">
        <f t="shared" si="313"/>
        <v>11/13/2023 2:42:00 PM</v>
      </c>
      <c r="O20541" t="s">
        <v>62569</v>
      </c>
    </row>
    <row r="20542" spans="1:15" x14ac:dyDescent="0.25">
      <c r="A20542" t="str">
        <f>"3059055"</f>
        <v>3059055</v>
      </c>
      <c r="B20542" t="s">
        <v>62711</v>
      </c>
      <c r="C20542" t="str">
        <f t="shared" si="312"/>
        <v>8321432</v>
      </c>
      <c r="D20542" t="s">
        <v>62569</v>
      </c>
      <c r="F20542" t="s">
        <v>62570</v>
      </c>
      <c r="G20542" t="s">
        <v>17543</v>
      </c>
      <c r="I20542" t="s">
        <v>3196</v>
      </c>
      <c r="J20542" t="s">
        <v>30</v>
      </c>
      <c r="K20542" t="s">
        <v>62571</v>
      </c>
      <c r="M20542" t="s">
        <v>17861</v>
      </c>
      <c r="N20542" t="str">
        <f t="shared" si="313"/>
        <v>11/13/2023 2:42:00 PM</v>
      </c>
      <c r="O20542" t="s">
        <v>62569</v>
      </c>
    </row>
    <row r="20543" spans="1:15" x14ac:dyDescent="0.25">
      <c r="A20543" t="str">
        <f>"3059056"</f>
        <v>3059056</v>
      </c>
      <c r="B20543" t="s">
        <v>62712</v>
      </c>
      <c r="C20543" t="str">
        <f t="shared" si="312"/>
        <v>8321432</v>
      </c>
      <c r="D20543" t="s">
        <v>62569</v>
      </c>
      <c r="F20543" t="s">
        <v>62570</v>
      </c>
      <c r="G20543" t="s">
        <v>17543</v>
      </c>
      <c r="I20543" t="s">
        <v>3196</v>
      </c>
      <c r="J20543" t="s">
        <v>30</v>
      </c>
      <c r="K20543" t="s">
        <v>62571</v>
      </c>
      <c r="M20543" t="s">
        <v>17861</v>
      </c>
      <c r="N20543" t="str">
        <f t="shared" si="313"/>
        <v>11/13/2023 2:42:00 PM</v>
      </c>
      <c r="O20543" t="s">
        <v>62569</v>
      </c>
    </row>
    <row r="20544" spans="1:15" x14ac:dyDescent="0.25">
      <c r="A20544" t="str">
        <f>"3037689"</f>
        <v>3037689</v>
      </c>
      <c r="B20544" t="s">
        <v>62713</v>
      </c>
      <c r="C20544" t="str">
        <f>"60638000"</f>
        <v>60638000</v>
      </c>
      <c r="D20544" t="s">
        <v>62714</v>
      </c>
      <c r="F20544" t="s">
        <v>62715</v>
      </c>
      <c r="I20544" t="s">
        <v>29</v>
      </c>
      <c r="J20544" t="s">
        <v>30</v>
      </c>
      <c r="K20544" t="str">
        <f>"27028"</f>
        <v>27028</v>
      </c>
      <c r="M20544" t="s">
        <v>51351</v>
      </c>
      <c r="N20544" t="str">
        <f>"11/13/2023 3:15:00 PM"</f>
        <v>11/13/2023 3:15:00 PM</v>
      </c>
      <c r="O20544" t="s">
        <v>62714</v>
      </c>
    </row>
    <row r="20545" spans="1:20" x14ac:dyDescent="0.25">
      <c r="A20545" t="str">
        <f>"3058561"</f>
        <v>3058561</v>
      </c>
      <c r="B20545" t="s">
        <v>62716</v>
      </c>
      <c r="C20545" t="str">
        <f>"8321436"</f>
        <v>8321436</v>
      </c>
      <c r="D20545" t="s">
        <v>62717</v>
      </c>
      <c r="E20545" t="s">
        <v>62718</v>
      </c>
      <c r="F20545" t="s">
        <v>62719</v>
      </c>
      <c r="I20545" t="s">
        <v>29</v>
      </c>
      <c r="J20545" t="s">
        <v>30</v>
      </c>
      <c r="K20545" t="s">
        <v>60905</v>
      </c>
      <c r="M20545" t="s">
        <v>17861</v>
      </c>
      <c r="N20545" t="str">
        <f>"11/13/2023 3:24:00 PM"</f>
        <v>11/13/2023 3:24:00 PM</v>
      </c>
      <c r="O20545" t="s">
        <v>62717</v>
      </c>
      <c r="T20545" t="s">
        <v>62718</v>
      </c>
    </row>
    <row r="20546" spans="1:20" x14ac:dyDescent="0.25">
      <c r="A20546" t="str">
        <f>"3062368"</f>
        <v>3062368</v>
      </c>
      <c r="B20546" t="s">
        <v>62720</v>
      </c>
      <c r="C20546" t="str">
        <f>"8321437"</f>
        <v>8321437</v>
      </c>
      <c r="D20546" t="s">
        <v>62721</v>
      </c>
      <c r="E20546" t="s">
        <v>62722</v>
      </c>
      <c r="F20546" t="s">
        <v>62723</v>
      </c>
      <c r="I20546" t="s">
        <v>29</v>
      </c>
      <c r="J20546" t="s">
        <v>30</v>
      </c>
      <c r="K20546" t="s">
        <v>14250</v>
      </c>
      <c r="M20546" t="s">
        <v>17861</v>
      </c>
      <c r="N20546" t="str">
        <f>"11/13/2023 3:31:00 PM"</f>
        <v>11/13/2023 3:31:00 PM</v>
      </c>
      <c r="O20546" t="s">
        <v>62721</v>
      </c>
      <c r="T20546" t="s">
        <v>62722</v>
      </c>
    </row>
    <row r="20547" spans="1:20" x14ac:dyDescent="0.25">
      <c r="A20547" t="str">
        <f>"3046917"</f>
        <v>3046917</v>
      </c>
      <c r="B20547" t="s">
        <v>62724</v>
      </c>
      <c r="C20547" t="str">
        <f>"8321438"</f>
        <v>8321438</v>
      </c>
      <c r="D20547" t="s">
        <v>62725</v>
      </c>
      <c r="E20547" t="s">
        <v>62726</v>
      </c>
      <c r="F20547" t="s">
        <v>62727</v>
      </c>
      <c r="I20547" t="s">
        <v>402</v>
      </c>
      <c r="J20547" t="s">
        <v>30</v>
      </c>
      <c r="K20547" t="s">
        <v>62728</v>
      </c>
      <c r="M20547" t="s">
        <v>17861</v>
      </c>
      <c r="N20547" t="str">
        <f>"11/14/2023 10:17:00 AM"</f>
        <v>11/14/2023 10:17:00 AM</v>
      </c>
      <c r="O20547" t="s">
        <v>62725</v>
      </c>
      <c r="T20547" t="s">
        <v>62726</v>
      </c>
    </row>
    <row r="20548" spans="1:20" x14ac:dyDescent="0.25">
      <c r="A20548" t="str">
        <f>"3038507"</f>
        <v>3038507</v>
      </c>
      <c r="B20548" t="s">
        <v>62729</v>
      </c>
      <c r="C20548" t="str">
        <f>"8321439"</f>
        <v>8321439</v>
      </c>
      <c r="D20548" t="s">
        <v>62730</v>
      </c>
      <c r="F20548" t="s">
        <v>62731</v>
      </c>
      <c r="I20548" t="s">
        <v>29</v>
      </c>
      <c r="J20548" t="s">
        <v>30</v>
      </c>
      <c r="K20548" t="s">
        <v>1257</v>
      </c>
      <c r="M20548" t="s">
        <v>17861</v>
      </c>
      <c r="N20548" t="str">
        <f>"11/14/2023 10:24:00 AM"</f>
        <v>11/14/2023 10:24:00 AM</v>
      </c>
      <c r="O20548" t="s">
        <v>62730</v>
      </c>
    </row>
    <row r="20549" spans="1:20" x14ac:dyDescent="0.25">
      <c r="A20549" t="str">
        <f>"3062507"</f>
        <v>3062507</v>
      </c>
      <c r="B20549" t="s">
        <v>62732</v>
      </c>
      <c r="C20549" t="str">
        <f>"8321441"</f>
        <v>8321441</v>
      </c>
      <c r="D20549" t="s">
        <v>62733</v>
      </c>
      <c r="E20549" t="s">
        <v>62734</v>
      </c>
      <c r="F20549" t="s">
        <v>62735</v>
      </c>
      <c r="I20549" t="s">
        <v>62736</v>
      </c>
      <c r="J20549" t="s">
        <v>4132</v>
      </c>
      <c r="K20549" t="s">
        <v>62737</v>
      </c>
      <c r="M20549" t="s">
        <v>17861</v>
      </c>
      <c r="N20549" t="str">
        <f>"11/14/2023 11:13:00 AM"</f>
        <v>11/14/2023 11:13:00 AM</v>
      </c>
      <c r="O20549" t="s">
        <v>62733</v>
      </c>
      <c r="T20549" t="s">
        <v>62734</v>
      </c>
    </row>
    <row r="20550" spans="1:20" x14ac:dyDescent="0.25">
      <c r="A20550" t="str">
        <f>"3058906"</f>
        <v>3058906</v>
      </c>
      <c r="B20550" t="s">
        <v>62738</v>
      </c>
      <c r="C20550" t="str">
        <f>"8321442"</f>
        <v>8321442</v>
      </c>
      <c r="D20550" t="s">
        <v>62739</v>
      </c>
      <c r="E20550" t="s">
        <v>62740</v>
      </c>
      <c r="F20550" t="s">
        <v>62741</v>
      </c>
      <c r="I20550" t="s">
        <v>29</v>
      </c>
      <c r="J20550" t="s">
        <v>30</v>
      </c>
      <c r="K20550" t="s">
        <v>61198</v>
      </c>
      <c r="M20550" t="s">
        <v>17861</v>
      </c>
      <c r="N20550" t="str">
        <f>"11/14/2023 2:26:00 PM"</f>
        <v>11/14/2023 2:26:00 PM</v>
      </c>
      <c r="O20550" t="s">
        <v>62739</v>
      </c>
      <c r="T20550" t="s">
        <v>62740</v>
      </c>
    </row>
    <row r="20551" spans="1:20" x14ac:dyDescent="0.25">
      <c r="A20551" t="str">
        <f>"3041874"</f>
        <v>3041874</v>
      </c>
      <c r="B20551" t="s">
        <v>62742</v>
      </c>
      <c r="C20551" t="str">
        <f>"8313900"</f>
        <v>8313900</v>
      </c>
      <c r="D20551" t="s">
        <v>62743</v>
      </c>
      <c r="F20551" t="s">
        <v>62744</v>
      </c>
      <c r="G20551" t="s">
        <v>62745</v>
      </c>
      <c r="I20551" t="s">
        <v>11345</v>
      </c>
      <c r="J20551" t="s">
        <v>11346</v>
      </c>
      <c r="K20551" t="s">
        <v>62746</v>
      </c>
      <c r="M20551" t="s">
        <v>50621</v>
      </c>
      <c r="N20551" t="str">
        <f>"11/15/2023 11:30:00 AM"</f>
        <v>11/15/2023 11:30:00 AM</v>
      </c>
      <c r="O20551" t="s">
        <v>62743</v>
      </c>
    </row>
    <row r="20552" spans="1:20" x14ac:dyDescent="0.25">
      <c r="A20552" t="str">
        <f>"3078438"</f>
        <v>3078438</v>
      </c>
      <c r="B20552" t="s">
        <v>62747</v>
      </c>
      <c r="C20552" t="str">
        <f>"8311765"</f>
        <v>8311765</v>
      </c>
      <c r="D20552" t="s">
        <v>62748</v>
      </c>
      <c r="F20552" t="s">
        <v>62749</v>
      </c>
      <c r="I20552" t="s">
        <v>29</v>
      </c>
      <c r="J20552" t="s">
        <v>30</v>
      </c>
      <c r="K20552" t="s">
        <v>62750</v>
      </c>
      <c r="M20552" t="s">
        <v>50793</v>
      </c>
      <c r="N20552" t="str">
        <f>"11/15/2023 1:57:00 PM"</f>
        <v>11/15/2023 1:57:00 PM</v>
      </c>
      <c r="O20552" t="s">
        <v>62748</v>
      </c>
    </row>
    <row r="20553" spans="1:20" x14ac:dyDescent="0.25">
      <c r="A20553" t="str">
        <f>"3054952"</f>
        <v>3054952</v>
      </c>
      <c r="B20553" t="s">
        <v>62751</v>
      </c>
      <c r="C20553" t="str">
        <f>"8305430"</f>
        <v>8305430</v>
      </c>
      <c r="D20553" t="s">
        <v>62752</v>
      </c>
      <c r="E20553" t="s">
        <v>62753</v>
      </c>
      <c r="F20553" t="s">
        <v>62754</v>
      </c>
      <c r="I20553" t="s">
        <v>29</v>
      </c>
      <c r="J20553" t="s">
        <v>30</v>
      </c>
      <c r="K20553" t="str">
        <f>"27028"</f>
        <v>27028</v>
      </c>
      <c r="M20553" t="s">
        <v>50793</v>
      </c>
      <c r="N20553" t="str">
        <f>"11/15/2023 2:02:00 PM"</f>
        <v>11/15/2023 2:02:00 PM</v>
      </c>
      <c r="O20553" t="s">
        <v>62752</v>
      </c>
      <c r="T20553" t="s">
        <v>62753</v>
      </c>
    </row>
    <row r="20554" spans="1:20" x14ac:dyDescent="0.25">
      <c r="A20554" t="str">
        <f>"3053543"</f>
        <v>3053543</v>
      </c>
      <c r="B20554" t="s">
        <v>62755</v>
      </c>
      <c r="C20554" t="str">
        <f>"8316817"</f>
        <v>8316817</v>
      </c>
      <c r="D20554" t="s">
        <v>62756</v>
      </c>
      <c r="E20554" t="s">
        <v>62757</v>
      </c>
      <c r="F20554" t="s">
        <v>62758</v>
      </c>
      <c r="I20554" t="s">
        <v>29</v>
      </c>
      <c r="J20554" t="s">
        <v>30</v>
      </c>
      <c r="K20554" t="s">
        <v>13978</v>
      </c>
      <c r="M20554" t="s">
        <v>50621</v>
      </c>
      <c r="N20554" t="str">
        <f>"11/15/2023 2:15:00 PM"</f>
        <v>11/15/2023 2:15:00 PM</v>
      </c>
      <c r="O20554" t="s">
        <v>62756</v>
      </c>
      <c r="T20554" t="s">
        <v>62757</v>
      </c>
    </row>
    <row r="20555" spans="1:20" x14ac:dyDescent="0.25">
      <c r="A20555" t="str">
        <f>"3062584"</f>
        <v>3062584</v>
      </c>
      <c r="B20555" t="s">
        <v>62759</v>
      </c>
      <c r="C20555" t="str">
        <f>"82517639"</f>
        <v>82517639</v>
      </c>
      <c r="D20555" t="s">
        <v>62760</v>
      </c>
      <c r="F20555" t="s">
        <v>62761</v>
      </c>
      <c r="G20555" t="s">
        <v>62762</v>
      </c>
      <c r="I20555" t="s">
        <v>29</v>
      </c>
      <c r="J20555" t="s">
        <v>30</v>
      </c>
      <c r="K20555" t="s">
        <v>59005</v>
      </c>
      <c r="M20555" t="s">
        <v>50793</v>
      </c>
      <c r="N20555" t="str">
        <f>"11/15/2023 2:29:00 PM"</f>
        <v>11/15/2023 2:29:00 PM</v>
      </c>
      <c r="O20555" t="s">
        <v>62760</v>
      </c>
    </row>
    <row r="20556" spans="1:20" x14ac:dyDescent="0.25">
      <c r="A20556" t="str">
        <f>"3062064"</f>
        <v>3062064</v>
      </c>
      <c r="B20556" t="s">
        <v>62763</v>
      </c>
      <c r="C20556" t="str">
        <f>"82517639"</f>
        <v>82517639</v>
      </c>
      <c r="D20556" t="s">
        <v>62760</v>
      </c>
      <c r="F20556" t="s">
        <v>62761</v>
      </c>
      <c r="G20556" t="s">
        <v>62762</v>
      </c>
      <c r="I20556" t="s">
        <v>29</v>
      </c>
      <c r="J20556" t="s">
        <v>30</v>
      </c>
      <c r="K20556" t="s">
        <v>59005</v>
      </c>
      <c r="M20556" t="s">
        <v>50793</v>
      </c>
      <c r="N20556" t="str">
        <f>"11/15/2023 2:29:00 PM"</f>
        <v>11/15/2023 2:29:00 PM</v>
      </c>
      <c r="O20556" t="s">
        <v>62760</v>
      </c>
    </row>
    <row r="20557" spans="1:20" x14ac:dyDescent="0.25">
      <c r="A20557" t="str">
        <f>"3043686"</f>
        <v>3043686</v>
      </c>
      <c r="B20557" t="s">
        <v>62764</v>
      </c>
      <c r="C20557" t="str">
        <f>"82525028"</f>
        <v>82525028</v>
      </c>
      <c r="D20557" t="s">
        <v>62765</v>
      </c>
      <c r="E20557" t="s">
        <v>62766</v>
      </c>
      <c r="F20557" t="s">
        <v>62767</v>
      </c>
      <c r="I20557" t="s">
        <v>29</v>
      </c>
      <c r="J20557" t="s">
        <v>30</v>
      </c>
      <c r="K20557" t="s">
        <v>4834</v>
      </c>
      <c r="M20557" t="s">
        <v>50793</v>
      </c>
      <c r="N20557" t="str">
        <f>"11/15/2023 3:26:00 PM"</f>
        <v>11/15/2023 3:26:00 PM</v>
      </c>
      <c r="O20557" t="s">
        <v>62765</v>
      </c>
      <c r="T20557" t="s">
        <v>62766</v>
      </c>
    </row>
    <row r="20558" spans="1:20" x14ac:dyDescent="0.25">
      <c r="A20558" t="str">
        <f>"3056864"</f>
        <v>3056864</v>
      </c>
      <c r="B20558" t="s">
        <v>62768</v>
      </c>
      <c r="C20558" t="str">
        <f>"32516000"</f>
        <v>32516000</v>
      </c>
      <c r="D20558" t="s">
        <v>62769</v>
      </c>
      <c r="F20558" t="s">
        <v>62770</v>
      </c>
      <c r="G20558" t="s">
        <v>62771</v>
      </c>
      <c r="I20558" t="s">
        <v>17337</v>
      </c>
      <c r="J20558" t="s">
        <v>2738</v>
      </c>
      <c r="K20558" t="s">
        <v>62772</v>
      </c>
      <c r="M20558" t="s">
        <v>50621</v>
      </c>
      <c r="N20558" t="str">
        <f>"11/15/2023 3:30:00 PM"</f>
        <v>11/15/2023 3:30:00 PM</v>
      </c>
      <c r="O20558" t="s">
        <v>62769</v>
      </c>
    </row>
    <row r="20559" spans="1:20" x14ac:dyDescent="0.25">
      <c r="A20559" t="str">
        <f>"3054096"</f>
        <v>3054096</v>
      </c>
      <c r="B20559" t="s">
        <v>62773</v>
      </c>
      <c r="C20559" t="str">
        <f>"55356000"</f>
        <v>55356000</v>
      </c>
      <c r="D20559" t="s">
        <v>62774</v>
      </c>
      <c r="F20559" t="str">
        <f>"C/O GENOLIA HARISTON"</f>
        <v>C/O GENOLIA HARISTON</v>
      </c>
      <c r="G20559" t="s">
        <v>62775</v>
      </c>
      <c r="I20559" t="s">
        <v>2280</v>
      </c>
      <c r="J20559" t="s">
        <v>30</v>
      </c>
      <c r="K20559" t="s">
        <v>9897</v>
      </c>
      <c r="M20559" t="s">
        <v>50793</v>
      </c>
      <c r="N20559" t="str">
        <f>"11/15/2023 3:30:00 PM"</f>
        <v>11/15/2023 3:30:00 PM</v>
      </c>
      <c r="O20559" t="s">
        <v>62774</v>
      </c>
    </row>
    <row r="20560" spans="1:20" x14ac:dyDescent="0.25">
      <c r="A20560" t="str">
        <f>"3066163"</f>
        <v>3066163</v>
      </c>
      <c r="B20560" t="s">
        <v>62776</v>
      </c>
      <c r="C20560" t="str">
        <f>"8321443"</f>
        <v>8321443</v>
      </c>
      <c r="D20560" t="s">
        <v>60831</v>
      </c>
      <c r="E20560" t="s">
        <v>630</v>
      </c>
      <c r="F20560" t="s">
        <v>62777</v>
      </c>
      <c r="I20560" t="s">
        <v>184</v>
      </c>
      <c r="J20560" t="s">
        <v>30</v>
      </c>
      <c r="K20560" t="s">
        <v>672</v>
      </c>
      <c r="M20560" t="s">
        <v>17861</v>
      </c>
      <c r="N20560" t="str">
        <f>"11/15/2023 3:56:00 PM"</f>
        <v>11/15/2023 3:56:00 PM</v>
      </c>
      <c r="O20560" t="s">
        <v>60831</v>
      </c>
      <c r="T20560" t="s">
        <v>630</v>
      </c>
    </row>
    <row r="20561" spans="1:20" x14ac:dyDescent="0.25">
      <c r="A20561" t="str">
        <f>"3053409"</f>
        <v>3053409</v>
      </c>
      <c r="B20561" t="s">
        <v>62778</v>
      </c>
      <c r="C20561" t="str">
        <f>"82521434"</f>
        <v>82521434</v>
      </c>
      <c r="D20561" t="s">
        <v>62779</v>
      </c>
      <c r="E20561" t="str">
        <f>"C/O STEPHANIE MAYES -EXECUTOR"</f>
        <v>C/O STEPHANIE MAYES -EXECUTOR</v>
      </c>
      <c r="F20561" t="s">
        <v>62780</v>
      </c>
      <c r="I20561" t="s">
        <v>62781</v>
      </c>
      <c r="J20561" t="s">
        <v>3737</v>
      </c>
      <c r="K20561" t="s">
        <v>62782</v>
      </c>
      <c r="M20561" t="s">
        <v>50793</v>
      </c>
      <c r="N20561" t="str">
        <f>"11/15/2023 4:03:00 PM"</f>
        <v>11/15/2023 4:03:00 PM</v>
      </c>
      <c r="O20561" t="s">
        <v>62779</v>
      </c>
      <c r="T20561" t="str">
        <f>"C/O STEPHANIE MAYES -EXECUTOR"</f>
        <v>C/O STEPHANIE MAYES -EXECUTOR</v>
      </c>
    </row>
    <row r="20562" spans="1:20" x14ac:dyDescent="0.25">
      <c r="A20562" t="str">
        <f>"3048456"</f>
        <v>3048456</v>
      </c>
      <c r="B20562" t="s">
        <v>62783</v>
      </c>
      <c r="C20562" t="str">
        <f>"8308915"</f>
        <v>8308915</v>
      </c>
      <c r="D20562" t="s">
        <v>58110</v>
      </c>
      <c r="F20562" t="s">
        <v>62784</v>
      </c>
      <c r="I20562" t="s">
        <v>29</v>
      </c>
      <c r="J20562" t="s">
        <v>30</v>
      </c>
      <c r="K20562" t="s">
        <v>58297</v>
      </c>
      <c r="M20562" t="s">
        <v>50621</v>
      </c>
      <c r="N20562" t="str">
        <f>"11/15/2023 4:09:00 PM"</f>
        <v>11/15/2023 4:09:00 PM</v>
      </c>
      <c r="O20562" t="s">
        <v>58110</v>
      </c>
    </row>
    <row r="20563" spans="1:20" x14ac:dyDescent="0.25">
      <c r="A20563" t="str">
        <f>"3040341"</f>
        <v>3040341</v>
      </c>
      <c r="B20563" t="s">
        <v>62785</v>
      </c>
      <c r="C20563" t="str">
        <f>"68500000"</f>
        <v>68500000</v>
      </c>
      <c r="D20563" t="s">
        <v>62786</v>
      </c>
      <c r="F20563" t="s">
        <v>62787</v>
      </c>
      <c r="I20563" t="s">
        <v>184</v>
      </c>
      <c r="J20563" t="s">
        <v>30</v>
      </c>
      <c r="K20563" t="s">
        <v>185</v>
      </c>
      <c r="M20563" t="s">
        <v>50793</v>
      </c>
      <c r="N20563" t="str">
        <f>"11/16/2023 8:53:00 AM"</f>
        <v>11/16/2023 8:53:00 AM</v>
      </c>
      <c r="O20563" t="s">
        <v>62786</v>
      </c>
    </row>
    <row r="20564" spans="1:20" x14ac:dyDescent="0.25">
      <c r="A20564" t="str">
        <f>"3052803"</f>
        <v>3052803</v>
      </c>
      <c r="B20564" t="s">
        <v>62788</v>
      </c>
      <c r="C20564" t="str">
        <f>"8321466"</f>
        <v>8321466</v>
      </c>
      <c r="D20564" t="s">
        <v>62789</v>
      </c>
      <c r="F20564" t="s">
        <v>62790</v>
      </c>
      <c r="I20564" t="s">
        <v>62791</v>
      </c>
      <c r="J20564" t="s">
        <v>2738</v>
      </c>
      <c r="K20564" t="s">
        <v>62792</v>
      </c>
      <c r="M20564" t="s">
        <v>17861</v>
      </c>
      <c r="N20564" t="str">
        <f>"11/17/2023 1:45:00 PM"</f>
        <v>11/17/2023 1:45:00 PM</v>
      </c>
      <c r="O20564" t="s">
        <v>62789</v>
      </c>
    </row>
    <row r="20565" spans="1:20" x14ac:dyDescent="0.25">
      <c r="A20565" t="str">
        <f>"3061748"</f>
        <v>3061748</v>
      </c>
      <c r="B20565" t="s">
        <v>62793</v>
      </c>
      <c r="C20565" t="str">
        <f>"8321467"</f>
        <v>8321467</v>
      </c>
      <c r="D20565" t="s">
        <v>62794</v>
      </c>
      <c r="E20565" t="s">
        <v>62795</v>
      </c>
      <c r="F20565" t="s">
        <v>62796</v>
      </c>
      <c r="I20565" t="s">
        <v>2071</v>
      </c>
      <c r="J20565" t="s">
        <v>30</v>
      </c>
      <c r="K20565" t="s">
        <v>4124</v>
      </c>
      <c r="M20565" t="s">
        <v>17861</v>
      </c>
      <c r="N20565" t="str">
        <f>"11/17/2023 2:05:00 PM"</f>
        <v>11/17/2023 2:05:00 PM</v>
      </c>
      <c r="O20565" t="s">
        <v>62794</v>
      </c>
      <c r="T20565" t="s">
        <v>62795</v>
      </c>
    </row>
    <row r="20566" spans="1:20" x14ac:dyDescent="0.25">
      <c r="A20566" t="str">
        <f>"3078021"</f>
        <v>3078021</v>
      </c>
      <c r="B20566" t="s">
        <v>62797</v>
      </c>
      <c r="C20566" t="str">
        <f>"8321468"</f>
        <v>8321468</v>
      </c>
      <c r="D20566" t="s">
        <v>62798</v>
      </c>
      <c r="E20566" t="s">
        <v>62799</v>
      </c>
      <c r="F20566" t="s">
        <v>62800</v>
      </c>
      <c r="G20566" t="s">
        <v>8607</v>
      </c>
      <c r="I20566" t="s">
        <v>184</v>
      </c>
      <c r="J20566" t="s">
        <v>30</v>
      </c>
      <c r="K20566" t="s">
        <v>8608</v>
      </c>
      <c r="M20566" t="s">
        <v>17861</v>
      </c>
      <c r="N20566" t="str">
        <f>"11/17/2023 2:08:00 PM"</f>
        <v>11/17/2023 2:08:00 PM</v>
      </c>
      <c r="O20566" t="s">
        <v>62798</v>
      </c>
      <c r="T20566" t="s">
        <v>62799</v>
      </c>
    </row>
    <row r="20567" spans="1:20" x14ac:dyDescent="0.25">
      <c r="A20567" t="str">
        <f>"3078620"</f>
        <v>3078620</v>
      </c>
      <c r="B20567" t="s">
        <v>62801</v>
      </c>
      <c r="C20567" t="str">
        <f>"82525352"</f>
        <v>82525352</v>
      </c>
      <c r="D20567" t="s">
        <v>62802</v>
      </c>
      <c r="E20567" t="s">
        <v>62803</v>
      </c>
      <c r="F20567" t="s">
        <v>62804</v>
      </c>
      <c r="I20567" t="s">
        <v>1176</v>
      </c>
      <c r="J20567" t="s">
        <v>30</v>
      </c>
      <c r="K20567" t="s">
        <v>62805</v>
      </c>
      <c r="M20567" t="s">
        <v>52111</v>
      </c>
      <c r="N20567" t="str">
        <f>"11/17/2023 3:06:00 PM"</f>
        <v>11/17/2023 3:06:00 PM</v>
      </c>
      <c r="O20567" t="s">
        <v>62802</v>
      </c>
      <c r="T20567" t="s">
        <v>62803</v>
      </c>
    </row>
    <row r="20568" spans="1:20" x14ac:dyDescent="0.25">
      <c r="A20568" t="str">
        <f>"3039489"</f>
        <v>3039489</v>
      </c>
      <c r="B20568" t="s">
        <v>62806</v>
      </c>
      <c r="C20568" t="str">
        <f>"8321469"</f>
        <v>8321469</v>
      </c>
      <c r="D20568" t="s">
        <v>62807</v>
      </c>
      <c r="F20568" t="s">
        <v>62808</v>
      </c>
      <c r="I20568" t="s">
        <v>184</v>
      </c>
      <c r="J20568" t="s">
        <v>30</v>
      </c>
      <c r="K20568" t="s">
        <v>3098</v>
      </c>
      <c r="M20568" t="s">
        <v>17861</v>
      </c>
      <c r="N20568" t="str">
        <f>"11/17/2023 3:58:00 PM"</f>
        <v>11/17/2023 3:58:00 PM</v>
      </c>
      <c r="O20568" t="s">
        <v>62807</v>
      </c>
    </row>
    <row r="20569" spans="1:20" x14ac:dyDescent="0.25">
      <c r="A20569" t="str">
        <f>"3038259"</f>
        <v>3038259</v>
      </c>
      <c r="B20569" t="s">
        <v>62809</v>
      </c>
      <c r="C20569" t="str">
        <f t="shared" ref="C20569:C20577" si="314">"8321470"</f>
        <v>8321470</v>
      </c>
      <c r="D20569" t="s">
        <v>62810</v>
      </c>
      <c r="E20569" t="str">
        <f t="shared" ref="E20569:E20577" si="315">"HOWELL CHARLES R/SANDRA B TRST"</f>
        <v>HOWELL CHARLES R/SANDRA B TRST</v>
      </c>
      <c r="F20569" t="s">
        <v>62811</v>
      </c>
      <c r="I20569" t="s">
        <v>29</v>
      </c>
      <c r="J20569" t="s">
        <v>30</v>
      </c>
      <c r="K20569" t="s">
        <v>49291</v>
      </c>
      <c r="M20569" t="s">
        <v>17861</v>
      </c>
      <c r="N20569" t="str">
        <f t="shared" ref="N20569:N20577" si="316">"11/17/2023 4:07:00 PM"</f>
        <v>11/17/2023 4:07:00 PM</v>
      </c>
      <c r="O20569" t="s">
        <v>62810</v>
      </c>
      <c r="T20569" t="str">
        <f t="shared" ref="T20569:T20577" si="317">"HOWELL CHARLES R/SANDRA B TRST"</f>
        <v>HOWELL CHARLES R/SANDRA B TRST</v>
      </c>
    </row>
    <row r="20570" spans="1:20" x14ac:dyDescent="0.25">
      <c r="A20570" t="str">
        <f>"3038250"</f>
        <v>3038250</v>
      </c>
      <c r="B20570" t="s">
        <v>62812</v>
      </c>
      <c r="C20570" t="str">
        <f t="shared" si="314"/>
        <v>8321470</v>
      </c>
      <c r="D20570" t="s">
        <v>62810</v>
      </c>
      <c r="E20570" t="str">
        <f t="shared" si="315"/>
        <v>HOWELL CHARLES R/SANDRA B TRST</v>
      </c>
      <c r="F20570" t="s">
        <v>62811</v>
      </c>
      <c r="I20570" t="s">
        <v>29</v>
      </c>
      <c r="J20570" t="s">
        <v>30</v>
      </c>
      <c r="K20570" t="s">
        <v>49291</v>
      </c>
      <c r="M20570" t="s">
        <v>17861</v>
      </c>
      <c r="N20570" t="str">
        <f t="shared" si="316"/>
        <v>11/17/2023 4:07:00 PM</v>
      </c>
      <c r="O20570" t="s">
        <v>62810</v>
      </c>
      <c r="T20570" t="str">
        <f t="shared" si="317"/>
        <v>HOWELL CHARLES R/SANDRA B TRST</v>
      </c>
    </row>
    <row r="20571" spans="1:20" x14ac:dyDescent="0.25">
      <c r="A20571" t="str">
        <f>"3037959"</f>
        <v>3037959</v>
      </c>
      <c r="B20571" t="s">
        <v>62813</v>
      </c>
      <c r="C20571" t="str">
        <f t="shared" si="314"/>
        <v>8321470</v>
      </c>
      <c r="D20571" t="s">
        <v>62810</v>
      </c>
      <c r="E20571" t="str">
        <f t="shared" si="315"/>
        <v>HOWELL CHARLES R/SANDRA B TRST</v>
      </c>
      <c r="F20571" t="s">
        <v>62811</v>
      </c>
      <c r="I20571" t="s">
        <v>29</v>
      </c>
      <c r="J20571" t="s">
        <v>30</v>
      </c>
      <c r="K20571" t="s">
        <v>49291</v>
      </c>
      <c r="M20571" t="s">
        <v>17861</v>
      </c>
      <c r="N20571" t="str">
        <f t="shared" si="316"/>
        <v>11/17/2023 4:07:00 PM</v>
      </c>
      <c r="O20571" t="s">
        <v>62810</v>
      </c>
      <c r="T20571" t="str">
        <f t="shared" si="317"/>
        <v>HOWELL CHARLES R/SANDRA B TRST</v>
      </c>
    </row>
    <row r="20572" spans="1:20" x14ac:dyDescent="0.25">
      <c r="A20572" t="str">
        <f>"3037823"</f>
        <v>3037823</v>
      </c>
      <c r="B20572" t="s">
        <v>62814</v>
      </c>
      <c r="C20572" t="str">
        <f t="shared" si="314"/>
        <v>8321470</v>
      </c>
      <c r="D20572" t="s">
        <v>62810</v>
      </c>
      <c r="E20572" t="str">
        <f t="shared" si="315"/>
        <v>HOWELL CHARLES R/SANDRA B TRST</v>
      </c>
      <c r="F20572" t="s">
        <v>62811</v>
      </c>
      <c r="I20572" t="s">
        <v>29</v>
      </c>
      <c r="J20572" t="s">
        <v>30</v>
      </c>
      <c r="K20572" t="s">
        <v>49291</v>
      </c>
      <c r="M20572" t="s">
        <v>17861</v>
      </c>
      <c r="N20572" t="str">
        <f t="shared" si="316"/>
        <v>11/17/2023 4:07:00 PM</v>
      </c>
      <c r="O20572" t="s">
        <v>62810</v>
      </c>
      <c r="T20572" t="str">
        <f t="shared" si="317"/>
        <v>HOWELL CHARLES R/SANDRA B TRST</v>
      </c>
    </row>
    <row r="20573" spans="1:20" x14ac:dyDescent="0.25">
      <c r="A20573" t="str">
        <f>"3052721"</f>
        <v>3052721</v>
      </c>
      <c r="B20573" t="s">
        <v>62815</v>
      </c>
      <c r="C20573" t="str">
        <f t="shared" si="314"/>
        <v>8321470</v>
      </c>
      <c r="D20573" t="s">
        <v>62810</v>
      </c>
      <c r="E20573" t="str">
        <f t="shared" si="315"/>
        <v>HOWELL CHARLES R/SANDRA B TRST</v>
      </c>
      <c r="F20573" t="s">
        <v>62811</v>
      </c>
      <c r="I20573" t="s">
        <v>29</v>
      </c>
      <c r="J20573" t="s">
        <v>30</v>
      </c>
      <c r="K20573" t="s">
        <v>49291</v>
      </c>
      <c r="M20573" t="s">
        <v>17861</v>
      </c>
      <c r="N20573" t="str">
        <f t="shared" si="316"/>
        <v>11/17/2023 4:07:00 PM</v>
      </c>
      <c r="O20573" t="s">
        <v>62810</v>
      </c>
      <c r="T20573" t="str">
        <f t="shared" si="317"/>
        <v>HOWELL CHARLES R/SANDRA B TRST</v>
      </c>
    </row>
    <row r="20574" spans="1:20" x14ac:dyDescent="0.25">
      <c r="A20574" t="str">
        <f>"3048765"</f>
        <v>3048765</v>
      </c>
      <c r="B20574" t="s">
        <v>62816</v>
      </c>
      <c r="C20574" t="str">
        <f t="shared" si="314"/>
        <v>8321470</v>
      </c>
      <c r="D20574" t="s">
        <v>62810</v>
      </c>
      <c r="E20574" t="str">
        <f t="shared" si="315"/>
        <v>HOWELL CHARLES R/SANDRA B TRST</v>
      </c>
      <c r="F20574" t="s">
        <v>62811</v>
      </c>
      <c r="I20574" t="s">
        <v>29</v>
      </c>
      <c r="J20574" t="s">
        <v>30</v>
      </c>
      <c r="K20574" t="s">
        <v>49291</v>
      </c>
      <c r="M20574" t="s">
        <v>17861</v>
      </c>
      <c r="N20574" t="str">
        <f t="shared" si="316"/>
        <v>11/17/2023 4:07:00 PM</v>
      </c>
      <c r="O20574" t="s">
        <v>62810</v>
      </c>
      <c r="T20574" t="str">
        <f t="shared" si="317"/>
        <v>HOWELL CHARLES R/SANDRA B TRST</v>
      </c>
    </row>
    <row r="20575" spans="1:20" x14ac:dyDescent="0.25">
      <c r="A20575" t="str">
        <f>"3053896"</f>
        <v>3053896</v>
      </c>
      <c r="B20575" t="s">
        <v>62817</v>
      </c>
      <c r="C20575" t="str">
        <f t="shared" si="314"/>
        <v>8321470</v>
      </c>
      <c r="D20575" t="s">
        <v>62810</v>
      </c>
      <c r="E20575" t="str">
        <f t="shared" si="315"/>
        <v>HOWELL CHARLES R/SANDRA B TRST</v>
      </c>
      <c r="F20575" t="s">
        <v>62811</v>
      </c>
      <c r="I20575" t="s">
        <v>29</v>
      </c>
      <c r="J20575" t="s">
        <v>30</v>
      </c>
      <c r="K20575" t="s">
        <v>49291</v>
      </c>
      <c r="M20575" t="s">
        <v>17861</v>
      </c>
      <c r="N20575" t="str">
        <f t="shared" si="316"/>
        <v>11/17/2023 4:07:00 PM</v>
      </c>
      <c r="O20575" t="s">
        <v>62810</v>
      </c>
      <c r="T20575" t="str">
        <f t="shared" si="317"/>
        <v>HOWELL CHARLES R/SANDRA B TRST</v>
      </c>
    </row>
    <row r="20576" spans="1:20" x14ac:dyDescent="0.25">
      <c r="A20576" t="str">
        <f>"3085835"</f>
        <v>3085835</v>
      </c>
      <c r="B20576" t="s">
        <v>62818</v>
      </c>
      <c r="C20576" t="str">
        <f t="shared" si="314"/>
        <v>8321470</v>
      </c>
      <c r="D20576" t="s">
        <v>62810</v>
      </c>
      <c r="E20576" t="str">
        <f t="shared" si="315"/>
        <v>HOWELL CHARLES R/SANDRA B TRST</v>
      </c>
      <c r="F20576" t="s">
        <v>62811</v>
      </c>
      <c r="I20576" t="s">
        <v>29</v>
      </c>
      <c r="J20576" t="s">
        <v>30</v>
      </c>
      <c r="K20576" t="s">
        <v>49291</v>
      </c>
      <c r="M20576" t="s">
        <v>17861</v>
      </c>
      <c r="N20576" t="str">
        <f t="shared" si="316"/>
        <v>11/17/2023 4:07:00 PM</v>
      </c>
      <c r="O20576" t="s">
        <v>62810</v>
      </c>
      <c r="T20576" t="str">
        <f t="shared" si="317"/>
        <v>HOWELL CHARLES R/SANDRA B TRST</v>
      </c>
    </row>
    <row r="20577" spans="1:20" x14ac:dyDescent="0.25">
      <c r="A20577" t="str">
        <f>"3077100"</f>
        <v>3077100</v>
      </c>
      <c r="B20577" t="s">
        <v>62819</v>
      </c>
      <c r="C20577" t="str">
        <f t="shared" si="314"/>
        <v>8321470</v>
      </c>
      <c r="D20577" t="s">
        <v>62810</v>
      </c>
      <c r="E20577" t="str">
        <f t="shared" si="315"/>
        <v>HOWELL CHARLES R/SANDRA B TRST</v>
      </c>
      <c r="F20577" t="s">
        <v>62811</v>
      </c>
      <c r="I20577" t="s">
        <v>29</v>
      </c>
      <c r="J20577" t="s">
        <v>30</v>
      </c>
      <c r="K20577" t="s">
        <v>49291</v>
      </c>
      <c r="M20577" t="s">
        <v>17861</v>
      </c>
      <c r="N20577" t="str">
        <f t="shared" si="316"/>
        <v>11/17/2023 4:07:00 PM</v>
      </c>
      <c r="O20577" t="s">
        <v>62810</v>
      </c>
      <c r="T20577" t="str">
        <f t="shared" si="317"/>
        <v>HOWELL CHARLES R/SANDRA B TRST</v>
      </c>
    </row>
    <row r="20578" spans="1:20" x14ac:dyDescent="0.25">
      <c r="A20578" t="str">
        <f>"3054831"</f>
        <v>3054831</v>
      </c>
      <c r="B20578" t="s">
        <v>62820</v>
      </c>
      <c r="C20578" t="str">
        <f>"8321471"</f>
        <v>8321471</v>
      </c>
      <c r="D20578" t="s">
        <v>62821</v>
      </c>
      <c r="F20578" t="s">
        <v>62822</v>
      </c>
      <c r="I20578" t="s">
        <v>29</v>
      </c>
      <c r="J20578" t="s">
        <v>30</v>
      </c>
      <c r="K20578" t="s">
        <v>62823</v>
      </c>
      <c r="M20578" t="s">
        <v>17861</v>
      </c>
      <c r="N20578" t="str">
        <f>"11/17/2023 4:18:00 PM"</f>
        <v>11/17/2023 4:18:00 PM</v>
      </c>
      <c r="O20578" t="s">
        <v>62821</v>
      </c>
    </row>
    <row r="20579" spans="1:20" x14ac:dyDescent="0.25">
      <c r="A20579" t="str">
        <f>"3055100"</f>
        <v>3055100</v>
      </c>
      <c r="B20579" t="s">
        <v>62824</v>
      </c>
      <c r="C20579" t="str">
        <f>"8321471"</f>
        <v>8321471</v>
      </c>
      <c r="D20579" t="s">
        <v>62821</v>
      </c>
      <c r="F20579" t="s">
        <v>62822</v>
      </c>
      <c r="I20579" t="s">
        <v>29</v>
      </c>
      <c r="J20579" t="s">
        <v>30</v>
      </c>
      <c r="K20579" t="s">
        <v>62823</v>
      </c>
      <c r="M20579" t="s">
        <v>17861</v>
      </c>
      <c r="N20579" t="str">
        <f>"11/17/2023 4:18:00 PM"</f>
        <v>11/17/2023 4:18:00 PM</v>
      </c>
      <c r="O20579" t="s">
        <v>62821</v>
      </c>
    </row>
    <row r="20580" spans="1:20" x14ac:dyDescent="0.25">
      <c r="A20580" t="str">
        <f>"3053099"</f>
        <v>3053099</v>
      </c>
      <c r="B20580" t="s">
        <v>62825</v>
      </c>
      <c r="C20580" t="str">
        <f>"8321473"</f>
        <v>8321473</v>
      </c>
      <c r="D20580" t="str">
        <f>"DYER JAMES H/JANICE G REV LIV TRUST"</f>
        <v>DYER JAMES H/JANICE G REV LIV TRUST</v>
      </c>
      <c r="E20580" t="str">
        <f>"DYER JAMES H/JANICE TRUSTEES"</f>
        <v>DYER JAMES H/JANICE TRUSTEES</v>
      </c>
      <c r="F20580" t="s">
        <v>62826</v>
      </c>
      <c r="I20580" t="s">
        <v>29</v>
      </c>
      <c r="J20580" t="s">
        <v>30</v>
      </c>
      <c r="K20580" t="s">
        <v>13814</v>
      </c>
      <c r="M20580" t="s">
        <v>17861</v>
      </c>
      <c r="N20580" t="str">
        <f>"11/20/2023 10:17:00 AM"</f>
        <v>11/20/2023 10:17:00 AM</v>
      </c>
      <c r="O20580" t="str">
        <f>"DYER JAMES H/JANICE G REV LIV TRUST"</f>
        <v>DYER JAMES H/JANICE G REV LIV TRUST</v>
      </c>
      <c r="T20580" t="str">
        <f>"DYER JAMES H/JANICE TRUSTEES"</f>
        <v>DYER JAMES H/JANICE TRUSTEES</v>
      </c>
    </row>
    <row r="20581" spans="1:20" x14ac:dyDescent="0.25">
      <c r="A20581" t="str">
        <f>"3056730"</f>
        <v>3056730</v>
      </c>
      <c r="B20581" t="s">
        <v>62827</v>
      </c>
      <c r="C20581" t="str">
        <f>"8321474"</f>
        <v>8321474</v>
      </c>
      <c r="D20581" t="s">
        <v>62828</v>
      </c>
      <c r="F20581" t="s">
        <v>57001</v>
      </c>
      <c r="I20581" t="s">
        <v>29</v>
      </c>
      <c r="J20581" t="s">
        <v>30</v>
      </c>
      <c r="K20581" t="s">
        <v>43248</v>
      </c>
      <c r="M20581" t="s">
        <v>17861</v>
      </c>
      <c r="N20581" t="str">
        <f>"11/20/2023 10:33:00 AM"</f>
        <v>11/20/2023 10:33:00 AM</v>
      </c>
      <c r="O20581" t="s">
        <v>62828</v>
      </c>
    </row>
    <row r="20582" spans="1:20" x14ac:dyDescent="0.25">
      <c r="A20582" t="str">
        <f>"3060943"</f>
        <v>3060943</v>
      </c>
      <c r="B20582" t="s">
        <v>62829</v>
      </c>
      <c r="C20582" t="str">
        <f>"8321475"</f>
        <v>8321475</v>
      </c>
      <c r="D20582" t="s">
        <v>62830</v>
      </c>
      <c r="E20582" t="s">
        <v>62831</v>
      </c>
      <c r="F20582" t="s">
        <v>62832</v>
      </c>
      <c r="I20582" t="s">
        <v>2071</v>
      </c>
      <c r="J20582" t="s">
        <v>30</v>
      </c>
      <c r="K20582" t="s">
        <v>4308</v>
      </c>
      <c r="M20582" t="s">
        <v>17861</v>
      </c>
      <c r="N20582" t="str">
        <f>"11/20/2023 10:36:00 AM"</f>
        <v>11/20/2023 10:36:00 AM</v>
      </c>
      <c r="O20582" t="s">
        <v>62830</v>
      </c>
      <c r="T20582" t="s">
        <v>62831</v>
      </c>
    </row>
    <row r="20583" spans="1:20" x14ac:dyDescent="0.25">
      <c r="A20583" t="str">
        <f>"3053492"</f>
        <v>3053492</v>
      </c>
      <c r="B20583" t="s">
        <v>62833</v>
      </c>
      <c r="C20583" t="str">
        <f>"68788000"</f>
        <v>68788000</v>
      </c>
      <c r="D20583" t="s">
        <v>62834</v>
      </c>
      <c r="F20583" t="s">
        <v>62835</v>
      </c>
      <c r="I20583" t="s">
        <v>29</v>
      </c>
      <c r="J20583" t="s">
        <v>30</v>
      </c>
      <c r="K20583" t="s">
        <v>13914</v>
      </c>
      <c r="M20583" t="s">
        <v>50621</v>
      </c>
      <c r="N20583" t="str">
        <f>"11/20/2023 10:50:00 AM"</f>
        <v>11/20/2023 10:50:00 AM</v>
      </c>
      <c r="O20583" t="s">
        <v>62834</v>
      </c>
    </row>
    <row r="20584" spans="1:20" x14ac:dyDescent="0.25">
      <c r="A20584" t="str">
        <f>"3060541"</f>
        <v>3060541</v>
      </c>
      <c r="B20584" t="s">
        <v>62836</v>
      </c>
      <c r="C20584" t="str">
        <f>"8321476"</f>
        <v>8321476</v>
      </c>
      <c r="D20584" t="s">
        <v>62837</v>
      </c>
      <c r="E20584" t="s">
        <v>62838</v>
      </c>
      <c r="F20584" t="s">
        <v>62839</v>
      </c>
      <c r="I20584" t="s">
        <v>184</v>
      </c>
      <c r="J20584" t="s">
        <v>30</v>
      </c>
      <c r="K20584" t="s">
        <v>9123</v>
      </c>
      <c r="M20584" t="s">
        <v>17861</v>
      </c>
      <c r="N20584" t="str">
        <f>"11/20/2023 12:18:00 PM"</f>
        <v>11/20/2023 12:18:00 PM</v>
      </c>
      <c r="O20584" t="s">
        <v>62837</v>
      </c>
      <c r="T20584" t="s">
        <v>62838</v>
      </c>
    </row>
    <row r="20585" spans="1:20" x14ac:dyDescent="0.25">
      <c r="A20585" t="str">
        <f>"3041260"</f>
        <v>3041260</v>
      </c>
      <c r="B20585" t="s">
        <v>62840</v>
      </c>
      <c r="C20585" t="str">
        <f>"8321477"</f>
        <v>8321477</v>
      </c>
      <c r="D20585" t="s">
        <v>62841</v>
      </c>
      <c r="E20585" t="s">
        <v>62842</v>
      </c>
      <c r="F20585" t="s">
        <v>62843</v>
      </c>
      <c r="I20585" t="s">
        <v>184</v>
      </c>
      <c r="J20585" t="s">
        <v>30</v>
      </c>
      <c r="K20585" t="s">
        <v>34351</v>
      </c>
      <c r="M20585" t="s">
        <v>17861</v>
      </c>
      <c r="N20585" t="str">
        <f>"11/20/2023 12:27:00 PM"</f>
        <v>11/20/2023 12:27:00 PM</v>
      </c>
      <c r="O20585" t="s">
        <v>62841</v>
      </c>
      <c r="T20585" t="s">
        <v>62842</v>
      </c>
    </row>
    <row r="20586" spans="1:20" x14ac:dyDescent="0.25">
      <c r="A20586" t="str">
        <f>"3041286"</f>
        <v>3041286</v>
      </c>
      <c r="B20586" t="s">
        <v>62844</v>
      </c>
      <c r="C20586" t="str">
        <f>"8321478"</f>
        <v>8321478</v>
      </c>
      <c r="D20586" t="s">
        <v>62845</v>
      </c>
      <c r="F20586" t="s">
        <v>62846</v>
      </c>
      <c r="I20586" t="s">
        <v>2071</v>
      </c>
      <c r="J20586" t="s">
        <v>30</v>
      </c>
      <c r="K20586" t="s">
        <v>22356</v>
      </c>
      <c r="M20586" t="s">
        <v>17861</v>
      </c>
      <c r="N20586" t="str">
        <f>"11/20/2023 1:23:00 PM"</f>
        <v>11/20/2023 1:23:00 PM</v>
      </c>
      <c r="O20586" t="s">
        <v>62845</v>
      </c>
    </row>
    <row r="20587" spans="1:20" x14ac:dyDescent="0.25">
      <c r="A20587" t="str">
        <f>"3049288"</f>
        <v>3049288</v>
      </c>
      <c r="B20587" t="s">
        <v>62847</v>
      </c>
      <c r="C20587" t="str">
        <f>"8321465"</f>
        <v>8321465</v>
      </c>
      <c r="D20587" t="s">
        <v>34709</v>
      </c>
      <c r="E20587" t="s">
        <v>34712</v>
      </c>
      <c r="F20587" t="s">
        <v>62848</v>
      </c>
      <c r="I20587" t="s">
        <v>1149</v>
      </c>
      <c r="J20587" t="s">
        <v>30</v>
      </c>
      <c r="K20587" t="s">
        <v>62849</v>
      </c>
      <c r="M20587" t="s">
        <v>17861</v>
      </c>
      <c r="N20587" t="str">
        <f>"11/17/2023 1:06:00 PM"</f>
        <v>11/17/2023 1:06:00 PM</v>
      </c>
      <c r="O20587" t="s">
        <v>34709</v>
      </c>
      <c r="T20587" t="s">
        <v>34712</v>
      </c>
    </row>
    <row r="20588" spans="1:20" x14ac:dyDescent="0.25">
      <c r="A20588" t="str">
        <f>"3066018"</f>
        <v>3066018</v>
      </c>
      <c r="B20588" t="s">
        <v>62850</v>
      </c>
      <c r="C20588" t="str">
        <f>"8321479"</f>
        <v>8321479</v>
      </c>
      <c r="D20588" t="s">
        <v>62851</v>
      </c>
      <c r="F20588" t="s">
        <v>62852</v>
      </c>
      <c r="I20588" t="s">
        <v>29</v>
      </c>
      <c r="J20588" t="s">
        <v>30</v>
      </c>
      <c r="K20588" t="s">
        <v>1449</v>
      </c>
      <c r="M20588" t="s">
        <v>17861</v>
      </c>
      <c r="N20588" t="str">
        <f>"11/20/2023 2:37:00 PM"</f>
        <v>11/20/2023 2:37:00 PM</v>
      </c>
      <c r="O20588" t="s">
        <v>62851</v>
      </c>
    </row>
    <row r="20589" spans="1:20" x14ac:dyDescent="0.25">
      <c r="A20589" t="str">
        <f>"3061233"</f>
        <v>3061233</v>
      </c>
      <c r="B20589" t="s">
        <v>62853</v>
      </c>
      <c r="C20589" t="str">
        <f>"8321480"</f>
        <v>8321480</v>
      </c>
      <c r="D20589" t="s">
        <v>62854</v>
      </c>
      <c r="E20589" t="s">
        <v>62855</v>
      </c>
      <c r="F20589" t="s">
        <v>62856</v>
      </c>
      <c r="I20589" t="s">
        <v>2071</v>
      </c>
      <c r="J20589" t="s">
        <v>30</v>
      </c>
      <c r="K20589" t="s">
        <v>62857</v>
      </c>
      <c r="M20589" t="s">
        <v>17861</v>
      </c>
      <c r="N20589" t="str">
        <f>"11/20/2023 2:42:00 PM"</f>
        <v>11/20/2023 2:42:00 PM</v>
      </c>
      <c r="O20589" t="s">
        <v>62854</v>
      </c>
      <c r="T20589" t="s">
        <v>62855</v>
      </c>
    </row>
    <row r="20590" spans="1:20" x14ac:dyDescent="0.25">
      <c r="A20590" t="str">
        <f>"3078154"</f>
        <v>3078154</v>
      </c>
      <c r="B20590" t="s">
        <v>62858</v>
      </c>
      <c r="C20590" t="str">
        <f>"48500000"</f>
        <v>48500000</v>
      </c>
      <c r="D20590" t="s">
        <v>62859</v>
      </c>
      <c r="F20590" t="s">
        <v>62860</v>
      </c>
      <c r="I20590" t="s">
        <v>29</v>
      </c>
      <c r="J20590" t="s">
        <v>30</v>
      </c>
      <c r="K20590" t="s">
        <v>31</v>
      </c>
      <c r="M20590" t="s">
        <v>62069</v>
      </c>
      <c r="N20590" t="str">
        <f>"11/20/2023 3:12:00 PM"</f>
        <v>11/20/2023 3:12:00 PM</v>
      </c>
      <c r="O20590" t="s">
        <v>62859</v>
      </c>
    </row>
    <row r="20591" spans="1:20" x14ac:dyDescent="0.25">
      <c r="A20591" t="str">
        <f>"3078156"</f>
        <v>3078156</v>
      </c>
      <c r="B20591" t="s">
        <v>62861</v>
      </c>
      <c r="C20591" t="str">
        <f>"48500000"</f>
        <v>48500000</v>
      </c>
      <c r="D20591" t="s">
        <v>62859</v>
      </c>
      <c r="F20591" t="s">
        <v>62860</v>
      </c>
      <c r="I20591" t="s">
        <v>29</v>
      </c>
      <c r="J20591" t="s">
        <v>30</v>
      </c>
      <c r="K20591" t="s">
        <v>31</v>
      </c>
      <c r="M20591" t="s">
        <v>62069</v>
      </c>
      <c r="N20591" t="str">
        <f>"11/20/2023 3:12:00 PM"</f>
        <v>11/20/2023 3:12:00 PM</v>
      </c>
      <c r="O20591" t="s">
        <v>62859</v>
      </c>
    </row>
    <row r="20592" spans="1:20" x14ac:dyDescent="0.25">
      <c r="A20592" t="str">
        <f>"3063532"</f>
        <v>3063532</v>
      </c>
      <c r="B20592" t="s">
        <v>62862</v>
      </c>
      <c r="C20592" t="str">
        <f>"8316663"</f>
        <v>8316663</v>
      </c>
      <c r="D20592" t="s">
        <v>62863</v>
      </c>
      <c r="E20592" t="s">
        <v>62864</v>
      </c>
      <c r="F20592" t="s">
        <v>62865</v>
      </c>
      <c r="I20592" t="s">
        <v>29</v>
      </c>
      <c r="J20592" t="s">
        <v>30</v>
      </c>
      <c r="K20592" t="s">
        <v>16621</v>
      </c>
      <c r="M20592" t="s">
        <v>50793</v>
      </c>
      <c r="N20592" t="str">
        <f>"11/21/2023 9:51:00 AM"</f>
        <v>11/21/2023 9:51:00 AM</v>
      </c>
      <c r="O20592" t="s">
        <v>62863</v>
      </c>
      <c r="T20592" t="s">
        <v>62864</v>
      </c>
    </row>
    <row r="20593" spans="1:20" x14ac:dyDescent="0.25">
      <c r="A20593" t="str">
        <f>"3061047"</f>
        <v>3061047</v>
      </c>
      <c r="B20593" t="s">
        <v>62866</v>
      </c>
      <c r="C20593" t="str">
        <f>"8321481"</f>
        <v>8321481</v>
      </c>
      <c r="D20593" t="s">
        <v>62867</v>
      </c>
      <c r="E20593" t="s">
        <v>62868</v>
      </c>
      <c r="F20593" t="s">
        <v>62869</v>
      </c>
      <c r="I20593" t="s">
        <v>2071</v>
      </c>
      <c r="J20593" t="s">
        <v>30</v>
      </c>
      <c r="K20593" t="s">
        <v>38843</v>
      </c>
      <c r="M20593" t="s">
        <v>17861</v>
      </c>
      <c r="N20593" t="str">
        <f>"11/21/2023 10:12:00 AM"</f>
        <v>11/21/2023 10:12:00 AM</v>
      </c>
      <c r="O20593" t="s">
        <v>62867</v>
      </c>
      <c r="T20593" t="s">
        <v>62868</v>
      </c>
    </row>
    <row r="20594" spans="1:20" x14ac:dyDescent="0.25">
      <c r="A20594" t="str">
        <f>"3038122"</f>
        <v>3038122</v>
      </c>
      <c r="B20594" t="s">
        <v>62870</v>
      </c>
      <c r="C20594" t="str">
        <f>"8321483"</f>
        <v>8321483</v>
      </c>
      <c r="D20594" t="s">
        <v>62871</v>
      </c>
      <c r="F20594" t="s">
        <v>62872</v>
      </c>
      <c r="I20594" t="s">
        <v>1149</v>
      </c>
      <c r="J20594" t="s">
        <v>30</v>
      </c>
      <c r="K20594" t="s">
        <v>62873</v>
      </c>
      <c r="M20594" t="s">
        <v>17861</v>
      </c>
      <c r="N20594" t="str">
        <f>"11/21/2023 10:44:00 AM"</f>
        <v>11/21/2023 10:44:00 AM</v>
      </c>
      <c r="O20594" t="s">
        <v>62871</v>
      </c>
    </row>
    <row r="20595" spans="1:20" x14ac:dyDescent="0.25">
      <c r="A20595" t="str">
        <f>"3039697"</f>
        <v>3039697</v>
      </c>
      <c r="B20595" t="s">
        <v>62874</v>
      </c>
      <c r="C20595" t="str">
        <f>"8321484"</f>
        <v>8321484</v>
      </c>
      <c r="D20595" t="s">
        <v>62875</v>
      </c>
      <c r="E20595" t="s">
        <v>62876</v>
      </c>
      <c r="F20595" t="s">
        <v>51793</v>
      </c>
      <c r="I20595" t="s">
        <v>29</v>
      </c>
      <c r="J20595" t="s">
        <v>30</v>
      </c>
      <c r="K20595" t="s">
        <v>51794</v>
      </c>
      <c r="M20595" t="s">
        <v>17861</v>
      </c>
      <c r="N20595" t="str">
        <f>"11/21/2023 10:46:00 AM"</f>
        <v>11/21/2023 10:46:00 AM</v>
      </c>
      <c r="O20595" t="s">
        <v>62875</v>
      </c>
      <c r="T20595" t="s">
        <v>62876</v>
      </c>
    </row>
    <row r="20596" spans="1:20" x14ac:dyDescent="0.25">
      <c r="A20596" t="str">
        <f>"3058325"</f>
        <v>3058325</v>
      </c>
      <c r="B20596" t="s">
        <v>62877</v>
      </c>
      <c r="C20596" t="str">
        <f>"8321458"</f>
        <v>8321458</v>
      </c>
      <c r="D20596" t="s">
        <v>62878</v>
      </c>
      <c r="E20596" t="s">
        <v>62879</v>
      </c>
      <c r="F20596" t="s">
        <v>62880</v>
      </c>
      <c r="I20596" t="s">
        <v>29</v>
      </c>
      <c r="J20596" t="s">
        <v>30</v>
      </c>
      <c r="K20596" t="s">
        <v>61947</v>
      </c>
      <c r="M20596" t="s">
        <v>17861</v>
      </c>
      <c r="N20596" t="str">
        <f>"11/16/2023 1:13:00 PM"</f>
        <v>11/16/2023 1:13:00 PM</v>
      </c>
      <c r="O20596" t="s">
        <v>62878</v>
      </c>
      <c r="T20596" t="s">
        <v>62879</v>
      </c>
    </row>
    <row r="20597" spans="1:20" x14ac:dyDescent="0.25">
      <c r="A20597" t="str">
        <f>"3061751"</f>
        <v>3061751</v>
      </c>
      <c r="B20597" t="s">
        <v>62881</v>
      </c>
      <c r="C20597" t="str">
        <f>"8321488"</f>
        <v>8321488</v>
      </c>
      <c r="D20597" t="s">
        <v>62882</v>
      </c>
      <c r="F20597" t="s">
        <v>62883</v>
      </c>
      <c r="I20597" t="s">
        <v>2071</v>
      </c>
      <c r="J20597" t="s">
        <v>30</v>
      </c>
      <c r="K20597" t="s">
        <v>4124</v>
      </c>
      <c r="M20597" t="s">
        <v>17861</v>
      </c>
      <c r="N20597" t="str">
        <f>"11/21/2023 1:43:00 PM"</f>
        <v>11/21/2023 1:43:00 PM</v>
      </c>
      <c r="O20597" t="s">
        <v>62882</v>
      </c>
    </row>
    <row r="20598" spans="1:20" x14ac:dyDescent="0.25">
      <c r="A20598" t="str">
        <f>"3075252"</f>
        <v>3075252</v>
      </c>
      <c r="B20598" t="s">
        <v>62884</v>
      </c>
      <c r="C20598" t="str">
        <f>"8321489"</f>
        <v>8321489</v>
      </c>
      <c r="D20598" t="s">
        <v>62885</v>
      </c>
      <c r="E20598" t="s">
        <v>62886</v>
      </c>
      <c r="F20598" t="s">
        <v>62887</v>
      </c>
      <c r="I20598" t="s">
        <v>29</v>
      </c>
      <c r="J20598" t="s">
        <v>30</v>
      </c>
      <c r="K20598" t="s">
        <v>41402</v>
      </c>
      <c r="M20598" t="s">
        <v>17861</v>
      </c>
      <c r="N20598" t="str">
        <f>"11/21/2023 1:47:00 PM"</f>
        <v>11/21/2023 1:47:00 PM</v>
      </c>
      <c r="O20598" t="s">
        <v>62885</v>
      </c>
      <c r="T20598" t="s">
        <v>62886</v>
      </c>
    </row>
    <row r="20599" spans="1:20" x14ac:dyDescent="0.25">
      <c r="A20599" t="str">
        <f>"3041854"</f>
        <v>3041854</v>
      </c>
      <c r="B20599" t="s">
        <v>62888</v>
      </c>
      <c r="C20599" t="str">
        <f>"8321490"</f>
        <v>8321490</v>
      </c>
      <c r="D20599" t="s">
        <v>62889</v>
      </c>
      <c r="E20599" t="s">
        <v>62890</v>
      </c>
      <c r="F20599" t="s">
        <v>62891</v>
      </c>
      <c r="I20599" t="s">
        <v>2071</v>
      </c>
      <c r="J20599" t="s">
        <v>30</v>
      </c>
      <c r="K20599" t="s">
        <v>41795</v>
      </c>
      <c r="M20599" t="s">
        <v>17861</v>
      </c>
      <c r="N20599" t="str">
        <f>"11/21/2023 1:49:00 PM"</f>
        <v>11/21/2023 1:49:00 PM</v>
      </c>
      <c r="O20599" t="s">
        <v>62889</v>
      </c>
      <c r="T20599" t="s">
        <v>62890</v>
      </c>
    </row>
    <row r="20600" spans="1:20" x14ac:dyDescent="0.25">
      <c r="A20600" t="str">
        <f>"3041855"</f>
        <v>3041855</v>
      </c>
      <c r="B20600" t="s">
        <v>62892</v>
      </c>
      <c r="C20600" t="str">
        <f>"8321490"</f>
        <v>8321490</v>
      </c>
      <c r="D20600" t="s">
        <v>62889</v>
      </c>
      <c r="E20600" t="s">
        <v>62890</v>
      </c>
      <c r="F20600" t="s">
        <v>62891</v>
      </c>
      <c r="I20600" t="s">
        <v>2071</v>
      </c>
      <c r="J20600" t="s">
        <v>30</v>
      </c>
      <c r="K20600" t="s">
        <v>41795</v>
      </c>
      <c r="M20600" t="s">
        <v>17861</v>
      </c>
      <c r="N20600" t="str">
        <f>"11/21/2023 1:49:00 PM"</f>
        <v>11/21/2023 1:49:00 PM</v>
      </c>
      <c r="O20600" t="s">
        <v>62889</v>
      </c>
      <c r="T20600" t="s">
        <v>62890</v>
      </c>
    </row>
    <row r="20601" spans="1:20" x14ac:dyDescent="0.25">
      <c r="A20601" t="str">
        <f>"3058435"</f>
        <v>3058435</v>
      </c>
      <c r="B20601" t="s">
        <v>62893</v>
      </c>
      <c r="C20601" t="str">
        <f>"8321491"</f>
        <v>8321491</v>
      </c>
      <c r="D20601" t="s">
        <v>62894</v>
      </c>
      <c r="F20601" t="s">
        <v>62895</v>
      </c>
      <c r="I20601" t="s">
        <v>29</v>
      </c>
      <c r="J20601" t="s">
        <v>30</v>
      </c>
      <c r="K20601" t="s">
        <v>60905</v>
      </c>
      <c r="M20601" t="s">
        <v>17861</v>
      </c>
      <c r="N20601" t="str">
        <f>"11/21/2023 1:51:00 PM"</f>
        <v>11/21/2023 1:51:00 PM</v>
      </c>
      <c r="O20601" t="s">
        <v>62894</v>
      </c>
    </row>
    <row r="20602" spans="1:20" x14ac:dyDescent="0.25">
      <c r="A20602" t="str">
        <f>"3041086"</f>
        <v>3041086</v>
      </c>
      <c r="B20602" t="s">
        <v>62896</v>
      </c>
      <c r="C20602" t="str">
        <f>"8307202"</f>
        <v>8307202</v>
      </c>
      <c r="D20602" t="s">
        <v>62897</v>
      </c>
      <c r="F20602" t="s">
        <v>62898</v>
      </c>
      <c r="G20602" t="s">
        <v>62899</v>
      </c>
      <c r="I20602" t="s">
        <v>471</v>
      </c>
      <c r="J20602" t="s">
        <v>30</v>
      </c>
      <c r="K20602" t="s">
        <v>62900</v>
      </c>
      <c r="M20602" t="s">
        <v>25733</v>
      </c>
      <c r="N20602" t="str">
        <f>"11/22/2023 12:58:00 PM"</f>
        <v>11/22/2023 12:58:00 PM</v>
      </c>
      <c r="O20602" t="s">
        <v>62897</v>
      </c>
    </row>
    <row r="20603" spans="1:20" x14ac:dyDescent="0.25">
      <c r="A20603" t="str">
        <f>"3039739"</f>
        <v>3039739</v>
      </c>
      <c r="B20603" t="s">
        <v>62901</v>
      </c>
      <c r="C20603" t="str">
        <f>"8321492"</f>
        <v>8321492</v>
      </c>
      <c r="D20603" t="s">
        <v>62902</v>
      </c>
      <c r="F20603" t="s">
        <v>62903</v>
      </c>
      <c r="I20603" t="s">
        <v>29</v>
      </c>
      <c r="J20603" t="s">
        <v>30</v>
      </c>
      <c r="K20603" t="s">
        <v>62904</v>
      </c>
      <c r="M20603" t="s">
        <v>17861</v>
      </c>
      <c r="N20603" t="str">
        <f>"11/27/2023 10:46:00 AM"</f>
        <v>11/27/2023 10:46:00 AM</v>
      </c>
      <c r="O20603" t="s">
        <v>62902</v>
      </c>
    </row>
    <row r="20604" spans="1:20" x14ac:dyDescent="0.25">
      <c r="A20604" t="str">
        <f>"3050545"</f>
        <v>3050545</v>
      </c>
      <c r="B20604" t="s">
        <v>62905</v>
      </c>
      <c r="C20604" t="str">
        <f>"8311517"</f>
        <v>8311517</v>
      </c>
      <c r="D20604" t="s">
        <v>62906</v>
      </c>
      <c r="F20604" t="s">
        <v>62907</v>
      </c>
      <c r="I20604" t="s">
        <v>29</v>
      </c>
      <c r="J20604" t="s">
        <v>30</v>
      </c>
      <c r="K20604" t="s">
        <v>47214</v>
      </c>
      <c r="M20604" t="s">
        <v>52111</v>
      </c>
      <c r="N20604" t="str">
        <f>"11/27/2023 11:55:00 AM"</f>
        <v>11/27/2023 11:55:00 AM</v>
      </c>
      <c r="O20604" t="s">
        <v>62906</v>
      </c>
    </row>
    <row r="20605" spans="1:20" x14ac:dyDescent="0.25">
      <c r="A20605" t="str">
        <f>"3070260"</f>
        <v>3070260</v>
      </c>
      <c r="B20605" t="s">
        <v>62908</v>
      </c>
      <c r="C20605" t="str">
        <f>"8311517"</f>
        <v>8311517</v>
      </c>
      <c r="D20605" t="s">
        <v>62906</v>
      </c>
      <c r="F20605" t="s">
        <v>62907</v>
      </c>
      <c r="I20605" t="s">
        <v>29</v>
      </c>
      <c r="J20605" t="s">
        <v>30</v>
      </c>
      <c r="K20605" t="s">
        <v>47214</v>
      </c>
      <c r="M20605" t="s">
        <v>52111</v>
      </c>
      <c r="N20605" t="str">
        <f>"11/27/2023 11:55:00 AM"</f>
        <v>11/27/2023 11:55:00 AM</v>
      </c>
      <c r="O20605" t="s">
        <v>62906</v>
      </c>
    </row>
    <row r="20606" spans="1:20" x14ac:dyDescent="0.25">
      <c r="A20606" t="str">
        <f>"3069955"</f>
        <v>3069955</v>
      </c>
      <c r="B20606" t="s">
        <v>62909</v>
      </c>
      <c r="C20606" t="str">
        <f>"8311517"</f>
        <v>8311517</v>
      </c>
      <c r="D20606" t="s">
        <v>62906</v>
      </c>
      <c r="F20606" t="s">
        <v>62907</v>
      </c>
      <c r="I20606" t="s">
        <v>29</v>
      </c>
      <c r="J20606" t="s">
        <v>30</v>
      </c>
      <c r="K20606" t="s">
        <v>47214</v>
      </c>
      <c r="M20606" t="s">
        <v>52111</v>
      </c>
      <c r="N20606" t="str">
        <f>"11/27/2023 11:55:00 AM"</f>
        <v>11/27/2023 11:55:00 AM</v>
      </c>
      <c r="O20606" t="s">
        <v>62906</v>
      </c>
    </row>
    <row r="20607" spans="1:20" x14ac:dyDescent="0.25">
      <c r="A20607" t="str">
        <f>"3049639"</f>
        <v>3049639</v>
      </c>
      <c r="B20607" t="s">
        <v>62910</v>
      </c>
      <c r="C20607" t="str">
        <f>"82517410"</f>
        <v>82517410</v>
      </c>
      <c r="D20607" t="s">
        <v>62911</v>
      </c>
      <c r="F20607" t="s">
        <v>62907</v>
      </c>
      <c r="I20607" t="s">
        <v>29</v>
      </c>
      <c r="J20607" t="s">
        <v>30</v>
      </c>
      <c r="K20607" t="s">
        <v>47214</v>
      </c>
      <c r="M20607" t="s">
        <v>52111</v>
      </c>
      <c r="N20607" t="str">
        <f>"11/27/2023 11:56:00 AM"</f>
        <v>11/27/2023 11:56:00 AM</v>
      </c>
      <c r="O20607" t="s">
        <v>62911</v>
      </c>
    </row>
    <row r="20608" spans="1:20" x14ac:dyDescent="0.25">
      <c r="A20608" t="str">
        <f>"3058907"</f>
        <v>3058907</v>
      </c>
      <c r="B20608" t="s">
        <v>62912</v>
      </c>
      <c r="C20608" t="str">
        <f>"8321493"</f>
        <v>8321493</v>
      </c>
      <c r="D20608" t="s">
        <v>62913</v>
      </c>
      <c r="E20608" t="s">
        <v>62914</v>
      </c>
      <c r="F20608" t="s">
        <v>62915</v>
      </c>
      <c r="I20608" t="s">
        <v>29</v>
      </c>
      <c r="J20608" t="s">
        <v>30</v>
      </c>
      <c r="K20608" t="s">
        <v>61198</v>
      </c>
      <c r="M20608" t="s">
        <v>17861</v>
      </c>
      <c r="N20608" t="str">
        <f>"11/27/2023 2:18:00 PM"</f>
        <v>11/27/2023 2:18:00 PM</v>
      </c>
      <c r="O20608" t="s">
        <v>62913</v>
      </c>
      <c r="T20608" t="s">
        <v>62914</v>
      </c>
    </row>
    <row r="20609" spans="1:20" x14ac:dyDescent="0.25">
      <c r="A20609" t="str">
        <f>"3058921"</f>
        <v>3058921</v>
      </c>
      <c r="B20609" t="s">
        <v>62916</v>
      </c>
      <c r="C20609" t="str">
        <f>"8321494"</f>
        <v>8321494</v>
      </c>
      <c r="D20609" t="s">
        <v>62917</v>
      </c>
      <c r="F20609" t="s">
        <v>62918</v>
      </c>
      <c r="I20609" t="s">
        <v>29</v>
      </c>
      <c r="J20609" t="s">
        <v>30</v>
      </c>
      <c r="K20609" t="s">
        <v>61198</v>
      </c>
      <c r="M20609" t="s">
        <v>17861</v>
      </c>
      <c r="N20609" t="str">
        <f>"11/27/2023 2:21:00 PM"</f>
        <v>11/27/2023 2:21:00 PM</v>
      </c>
      <c r="O20609" t="s">
        <v>62917</v>
      </c>
    </row>
    <row r="20610" spans="1:20" x14ac:dyDescent="0.25">
      <c r="A20610" t="str">
        <f>"3078237"</f>
        <v>3078237</v>
      </c>
      <c r="B20610" t="s">
        <v>62919</v>
      </c>
      <c r="C20610" t="str">
        <f>"8321495"</f>
        <v>8321495</v>
      </c>
      <c r="D20610" t="s">
        <v>62920</v>
      </c>
      <c r="F20610" t="s">
        <v>62921</v>
      </c>
      <c r="I20610" t="s">
        <v>29</v>
      </c>
      <c r="J20610" t="s">
        <v>30</v>
      </c>
      <c r="K20610" t="s">
        <v>62922</v>
      </c>
      <c r="M20610" t="s">
        <v>17861</v>
      </c>
      <c r="N20610" t="str">
        <f>"11/27/2023 2:25:00 PM"</f>
        <v>11/27/2023 2:25:00 PM</v>
      </c>
      <c r="O20610" t="s">
        <v>62920</v>
      </c>
    </row>
    <row r="20611" spans="1:20" x14ac:dyDescent="0.25">
      <c r="A20611" t="str">
        <f>"3051439"</f>
        <v>3051439</v>
      </c>
      <c r="B20611" t="s">
        <v>62923</v>
      </c>
      <c r="C20611" t="str">
        <f>"8321495"</f>
        <v>8321495</v>
      </c>
      <c r="D20611" t="s">
        <v>62920</v>
      </c>
      <c r="F20611" t="s">
        <v>62921</v>
      </c>
      <c r="I20611" t="s">
        <v>29</v>
      </c>
      <c r="J20611" t="s">
        <v>30</v>
      </c>
      <c r="K20611" t="s">
        <v>62922</v>
      </c>
      <c r="M20611" t="s">
        <v>17861</v>
      </c>
      <c r="N20611" t="str">
        <f>"11/27/2023 2:25:00 PM"</f>
        <v>11/27/2023 2:25:00 PM</v>
      </c>
      <c r="O20611" t="s">
        <v>62920</v>
      </c>
    </row>
    <row r="20612" spans="1:20" x14ac:dyDescent="0.25">
      <c r="A20612" t="str">
        <f>"3061188"</f>
        <v>3061188</v>
      </c>
      <c r="B20612" t="s">
        <v>62924</v>
      </c>
      <c r="C20612" t="str">
        <f>"8321496"</f>
        <v>8321496</v>
      </c>
      <c r="D20612" t="s">
        <v>62925</v>
      </c>
      <c r="E20612" t="s">
        <v>62926</v>
      </c>
      <c r="F20612" t="s">
        <v>62927</v>
      </c>
      <c r="I20612" t="s">
        <v>184</v>
      </c>
      <c r="J20612" t="s">
        <v>30</v>
      </c>
      <c r="K20612" t="s">
        <v>53327</v>
      </c>
      <c r="M20612" t="s">
        <v>17861</v>
      </c>
      <c r="N20612" t="str">
        <f>"11/27/2023 2:28:00 PM"</f>
        <v>11/27/2023 2:28:00 PM</v>
      </c>
      <c r="O20612" t="s">
        <v>62925</v>
      </c>
      <c r="T20612" t="s">
        <v>62926</v>
      </c>
    </row>
    <row r="20613" spans="1:20" x14ac:dyDescent="0.25">
      <c r="A20613" t="str">
        <f>"3058578"</f>
        <v>3058578</v>
      </c>
      <c r="B20613" t="s">
        <v>62928</v>
      </c>
      <c r="C20613" t="str">
        <f>"8321497"</f>
        <v>8321497</v>
      </c>
      <c r="D20613" t="s">
        <v>62929</v>
      </c>
      <c r="E20613" t="s">
        <v>62930</v>
      </c>
      <c r="F20613" t="s">
        <v>62931</v>
      </c>
      <c r="I20613" t="s">
        <v>29</v>
      </c>
      <c r="J20613" t="s">
        <v>30</v>
      </c>
      <c r="K20613" t="s">
        <v>59681</v>
      </c>
      <c r="M20613" t="s">
        <v>17861</v>
      </c>
      <c r="N20613" t="str">
        <f>"11/27/2023 2:30:00 PM"</f>
        <v>11/27/2023 2:30:00 PM</v>
      </c>
      <c r="O20613" t="s">
        <v>62929</v>
      </c>
      <c r="T20613" t="s">
        <v>62930</v>
      </c>
    </row>
    <row r="20614" spans="1:20" x14ac:dyDescent="0.25">
      <c r="A20614" t="str">
        <f>"3051853"</f>
        <v>3051853</v>
      </c>
      <c r="B20614" t="s">
        <v>62932</v>
      </c>
      <c r="C20614" t="str">
        <f>"8321457"</f>
        <v>8321457</v>
      </c>
      <c r="D20614" t="s">
        <v>62933</v>
      </c>
      <c r="F20614" t="s">
        <v>62934</v>
      </c>
      <c r="I20614" t="s">
        <v>29</v>
      </c>
      <c r="J20614" t="s">
        <v>30</v>
      </c>
      <c r="K20614" t="s">
        <v>62935</v>
      </c>
      <c r="M20614" t="s">
        <v>17861</v>
      </c>
      <c r="N20614" t="str">
        <f>"11/16/2023 12:33:00 PM"</f>
        <v>11/16/2023 12:33:00 PM</v>
      </c>
      <c r="O20614" t="s">
        <v>62933</v>
      </c>
    </row>
    <row r="20615" spans="1:20" x14ac:dyDescent="0.25">
      <c r="A20615" t="str">
        <f>"3053671"</f>
        <v>3053671</v>
      </c>
      <c r="B20615" t="s">
        <v>62936</v>
      </c>
      <c r="C20615" t="str">
        <f>"8307968"</f>
        <v>8307968</v>
      </c>
      <c r="D20615" t="s">
        <v>62937</v>
      </c>
      <c r="E20615" t="s">
        <v>62938</v>
      </c>
      <c r="F20615" t="s">
        <v>62939</v>
      </c>
      <c r="I20615" t="s">
        <v>184</v>
      </c>
      <c r="J20615" t="s">
        <v>30</v>
      </c>
      <c r="K20615" t="s">
        <v>32525</v>
      </c>
      <c r="M20615" t="s">
        <v>50621</v>
      </c>
      <c r="N20615" t="str">
        <f>"11/16/2023 12:24:00 PM"</f>
        <v>11/16/2023 12:24:00 PM</v>
      </c>
      <c r="O20615" t="s">
        <v>62937</v>
      </c>
      <c r="T20615" t="s">
        <v>62938</v>
      </c>
    </row>
    <row r="20616" spans="1:20" x14ac:dyDescent="0.25">
      <c r="A20616" t="str">
        <f>"3058354"</f>
        <v>3058354</v>
      </c>
      <c r="B20616" t="s">
        <v>62940</v>
      </c>
      <c r="C20616" t="str">
        <f>"8321499"</f>
        <v>8321499</v>
      </c>
      <c r="D20616" t="s">
        <v>62941</v>
      </c>
      <c r="F20616" t="s">
        <v>62942</v>
      </c>
      <c r="I20616" t="s">
        <v>29</v>
      </c>
      <c r="J20616" t="s">
        <v>30</v>
      </c>
      <c r="K20616" t="s">
        <v>62943</v>
      </c>
      <c r="M20616" t="s">
        <v>17861</v>
      </c>
      <c r="N20616" t="str">
        <f>"11/27/2023 3:23:00 PM"</f>
        <v>11/27/2023 3:23:00 PM</v>
      </c>
      <c r="O20616" t="s">
        <v>62941</v>
      </c>
    </row>
    <row r="20617" spans="1:20" x14ac:dyDescent="0.25">
      <c r="A20617" t="str">
        <f>"3058431"</f>
        <v>3058431</v>
      </c>
      <c r="B20617" t="s">
        <v>62944</v>
      </c>
      <c r="C20617" t="str">
        <f>"8321500"</f>
        <v>8321500</v>
      </c>
      <c r="D20617" t="s">
        <v>62945</v>
      </c>
      <c r="F20617" t="s">
        <v>62946</v>
      </c>
      <c r="I20617" t="s">
        <v>29</v>
      </c>
      <c r="J20617" t="s">
        <v>30</v>
      </c>
      <c r="K20617" t="s">
        <v>60905</v>
      </c>
      <c r="M20617" t="s">
        <v>17861</v>
      </c>
      <c r="N20617" t="str">
        <f>"11/27/2023 3:26:00 PM"</f>
        <v>11/27/2023 3:26:00 PM</v>
      </c>
      <c r="O20617" t="s">
        <v>62945</v>
      </c>
    </row>
    <row r="20618" spans="1:20" x14ac:dyDescent="0.25">
      <c r="A20618" t="str">
        <f>"3058888"</f>
        <v>3058888</v>
      </c>
      <c r="B20618" t="s">
        <v>62947</v>
      </c>
      <c r="C20618" t="str">
        <f>"8321501"</f>
        <v>8321501</v>
      </c>
      <c r="D20618" t="s">
        <v>62948</v>
      </c>
      <c r="F20618" t="s">
        <v>62949</v>
      </c>
      <c r="I20618" t="s">
        <v>29</v>
      </c>
      <c r="J20618" t="s">
        <v>30</v>
      </c>
      <c r="K20618" t="s">
        <v>61198</v>
      </c>
      <c r="M20618" t="s">
        <v>17861</v>
      </c>
      <c r="N20618" t="str">
        <f>"11/27/2023 3:35:00 PM"</f>
        <v>11/27/2023 3:35:00 PM</v>
      </c>
      <c r="O20618" t="s">
        <v>62948</v>
      </c>
    </row>
    <row r="20619" spans="1:20" x14ac:dyDescent="0.25">
      <c r="A20619" t="str">
        <f>"3058361"</f>
        <v>3058361</v>
      </c>
      <c r="B20619" t="s">
        <v>62950</v>
      </c>
      <c r="C20619" t="str">
        <f>"8321502"</f>
        <v>8321502</v>
      </c>
      <c r="D20619" t="s">
        <v>62951</v>
      </c>
      <c r="E20619" t="s">
        <v>62952</v>
      </c>
      <c r="F20619" t="s">
        <v>62953</v>
      </c>
      <c r="I20619" t="s">
        <v>29</v>
      </c>
      <c r="J20619" t="s">
        <v>30</v>
      </c>
      <c r="K20619" t="s">
        <v>62943</v>
      </c>
      <c r="M20619" t="s">
        <v>17861</v>
      </c>
      <c r="N20619" t="str">
        <f>"11/27/2023 3:40:00 PM"</f>
        <v>11/27/2023 3:40:00 PM</v>
      </c>
      <c r="O20619" t="s">
        <v>62951</v>
      </c>
      <c r="T20619" t="s">
        <v>62952</v>
      </c>
    </row>
    <row r="20620" spans="1:20" x14ac:dyDescent="0.25">
      <c r="A20620" t="str">
        <f>"3058922"</f>
        <v>3058922</v>
      </c>
      <c r="B20620" t="s">
        <v>62954</v>
      </c>
      <c r="C20620" t="str">
        <f>"8321503"</f>
        <v>8321503</v>
      </c>
      <c r="D20620" t="s">
        <v>62955</v>
      </c>
      <c r="E20620" t="s">
        <v>62956</v>
      </c>
      <c r="F20620" t="s">
        <v>62957</v>
      </c>
      <c r="I20620" t="s">
        <v>29</v>
      </c>
      <c r="J20620" t="s">
        <v>30</v>
      </c>
      <c r="K20620" t="s">
        <v>61198</v>
      </c>
      <c r="M20620" t="s">
        <v>17861</v>
      </c>
      <c r="N20620" t="str">
        <f>"11/27/2023 3:44:00 PM"</f>
        <v>11/27/2023 3:44:00 PM</v>
      </c>
      <c r="O20620" t="s">
        <v>62955</v>
      </c>
      <c r="T20620" t="s">
        <v>62956</v>
      </c>
    </row>
    <row r="20621" spans="1:20" x14ac:dyDescent="0.25">
      <c r="A20621" t="str">
        <f>"3054628"</f>
        <v>3054628</v>
      </c>
      <c r="B20621" t="s">
        <v>62958</v>
      </c>
      <c r="C20621" t="str">
        <f>"8321504"</f>
        <v>8321504</v>
      </c>
      <c r="D20621" t="s">
        <v>62959</v>
      </c>
      <c r="F20621" t="s">
        <v>60168</v>
      </c>
      <c r="I20621" t="s">
        <v>29</v>
      </c>
      <c r="J20621" t="s">
        <v>30</v>
      </c>
      <c r="K20621" t="s">
        <v>38490</v>
      </c>
      <c r="M20621" t="s">
        <v>17861</v>
      </c>
      <c r="N20621" t="str">
        <f>"11/29/2023 8:45:00 AM"</f>
        <v>11/29/2023 8:45:00 AM</v>
      </c>
      <c r="O20621" t="s">
        <v>62959</v>
      </c>
    </row>
    <row r="20622" spans="1:20" x14ac:dyDescent="0.25">
      <c r="A20622" t="str">
        <f>"3043415"</f>
        <v>3043415</v>
      </c>
      <c r="B20622" t="s">
        <v>62960</v>
      </c>
      <c r="C20622" t="str">
        <f>"8321505"</f>
        <v>8321505</v>
      </c>
      <c r="D20622" t="s">
        <v>62961</v>
      </c>
      <c r="F20622" t="s">
        <v>62962</v>
      </c>
      <c r="I20622" t="s">
        <v>35470</v>
      </c>
      <c r="J20622" t="s">
        <v>30</v>
      </c>
      <c r="K20622" t="s">
        <v>62963</v>
      </c>
      <c r="M20622" t="s">
        <v>17861</v>
      </c>
      <c r="N20622" t="str">
        <f>"11/29/2023 8:58:00 AM"</f>
        <v>11/29/2023 8:58:00 AM</v>
      </c>
      <c r="O20622" t="s">
        <v>62961</v>
      </c>
    </row>
    <row r="20623" spans="1:20" x14ac:dyDescent="0.25">
      <c r="A20623" t="str">
        <f>"3077711"</f>
        <v>3077711</v>
      </c>
      <c r="B20623" t="s">
        <v>62964</v>
      </c>
      <c r="C20623" t="str">
        <f>"8321505"</f>
        <v>8321505</v>
      </c>
      <c r="D20623" t="s">
        <v>62961</v>
      </c>
      <c r="F20623" t="s">
        <v>62962</v>
      </c>
      <c r="I20623" t="s">
        <v>35470</v>
      </c>
      <c r="J20623" t="s">
        <v>30</v>
      </c>
      <c r="K20623" t="s">
        <v>62963</v>
      </c>
      <c r="M20623" t="s">
        <v>17861</v>
      </c>
      <c r="N20623" t="str">
        <f>"11/29/2023 8:58:00 AM"</f>
        <v>11/29/2023 8:58:00 AM</v>
      </c>
      <c r="O20623" t="s">
        <v>62961</v>
      </c>
    </row>
    <row r="20624" spans="1:20" x14ac:dyDescent="0.25">
      <c r="A20624" t="str">
        <f>"3058877"</f>
        <v>3058877</v>
      </c>
      <c r="B20624" t="s">
        <v>62965</v>
      </c>
      <c r="C20624" t="str">
        <f>"8321506"</f>
        <v>8321506</v>
      </c>
      <c r="D20624" t="s">
        <v>62966</v>
      </c>
      <c r="E20624" t="s">
        <v>62967</v>
      </c>
      <c r="F20624" t="s">
        <v>62968</v>
      </c>
      <c r="I20624" t="s">
        <v>29</v>
      </c>
      <c r="J20624" t="s">
        <v>30</v>
      </c>
      <c r="K20624" t="s">
        <v>61198</v>
      </c>
      <c r="M20624" t="s">
        <v>17861</v>
      </c>
      <c r="N20624" t="str">
        <f>"11/29/2023 9:14:00 AM"</f>
        <v>11/29/2023 9:14:00 AM</v>
      </c>
      <c r="O20624" t="s">
        <v>62966</v>
      </c>
      <c r="T20624" t="s">
        <v>62967</v>
      </c>
    </row>
    <row r="20625" spans="1:20" x14ac:dyDescent="0.25">
      <c r="A20625" t="str">
        <f>"3053920"</f>
        <v>3053920</v>
      </c>
      <c r="B20625" t="s">
        <v>62969</v>
      </c>
      <c r="C20625" t="str">
        <f>"8321507"</f>
        <v>8321507</v>
      </c>
      <c r="D20625" t="s">
        <v>62970</v>
      </c>
      <c r="E20625" t="s">
        <v>62971</v>
      </c>
      <c r="F20625" t="s">
        <v>62972</v>
      </c>
      <c r="I20625" t="s">
        <v>29</v>
      </c>
      <c r="J20625" t="s">
        <v>30</v>
      </c>
      <c r="K20625" t="s">
        <v>13295</v>
      </c>
      <c r="M20625" t="s">
        <v>17861</v>
      </c>
      <c r="N20625" t="str">
        <f>"11/29/2023 9:17:00 AM"</f>
        <v>11/29/2023 9:17:00 AM</v>
      </c>
      <c r="O20625" t="s">
        <v>62970</v>
      </c>
      <c r="T20625" t="s">
        <v>62971</v>
      </c>
    </row>
    <row r="20626" spans="1:20" x14ac:dyDescent="0.25">
      <c r="A20626" t="str">
        <f>"3058353"</f>
        <v>3058353</v>
      </c>
      <c r="B20626" t="s">
        <v>62973</v>
      </c>
      <c r="C20626" t="str">
        <f>"8321508"</f>
        <v>8321508</v>
      </c>
      <c r="D20626" t="s">
        <v>62974</v>
      </c>
      <c r="F20626" t="s">
        <v>62975</v>
      </c>
      <c r="I20626" t="s">
        <v>29</v>
      </c>
      <c r="J20626" t="s">
        <v>30</v>
      </c>
      <c r="K20626" t="s">
        <v>62976</v>
      </c>
      <c r="M20626" t="s">
        <v>17861</v>
      </c>
      <c r="N20626" t="str">
        <f>"11/29/2023 9:35:00 AM"</f>
        <v>11/29/2023 9:35:00 AM</v>
      </c>
      <c r="O20626" t="s">
        <v>62974</v>
      </c>
    </row>
    <row r="20627" spans="1:20" x14ac:dyDescent="0.25">
      <c r="A20627" t="str">
        <f>"3060374"</f>
        <v>3060374</v>
      </c>
      <c r="B20627" t="s">
        <v>62977</v>
      </c>
      <c r="C20627" t="str">
        <f>"80420000"</f>
        <v>80420000</v>
      </c>
      <c r="D20627" t="s">
        <v>62978</v>
      </c>
      <c r="E20627" t="str">
        <f>"C/O PATRICIA SULLIVAN"</f>
        <v>C/O PATRICIA SULLIVAN</v>
      </c>
      <c r="F20627" t="s">
        <v>62979</v>
      </c>
      <c r="I20627" t="s">
        <v>2291</v>
      </c>
      <c r="J20627" t="s">
        <v>30</v>
      </c>
      <c r="K20627" t="s">
        <v>62980</v>
      </c>
      <c r="M20627" t="s">
        <v>50793</v>
      </c>
      <c r="N20627" t="str">
        <f>"11/16/2023 10:10:00 AM"</f>
        <v>11/16/2023 10:10:00 AM</v>
      </c>
      <c r="O20627" t="s">
        <v>62978</v>
      </c>
      <c r="T20627" t="str">
        <f>"C/O PATRICIA SULLIVAN"</f>
        <v>C/O PATRICIA SULLIVAN</v>
      </c>
    </row>
    <row r="20628" spans="1:20" x14ac:dyDescent="0.25">
      <c r="A20628" t="str">
        <f>"3043873"</f>
        <v>3043873</v>
      </c>
      <c r="B20628" t="s">
        <v>62981</v>
      </c>
      <c r="C20628" t="str">
        <f>"82531012"</f>
        <v>82531012</v>
      </c>
      <c r="D20628" t="s">
        <v>62982</v>
      </c>
      <c r="E20628" t="s">
        <v>47733</v>
      </c>
      <c r="F20628" t="s">
        <v>47734</v>
      </c>
      <c r="I20628" t="s">
        <v>184</v>
      </c>
      <c r="J20628" t="s">
        <v>30</v>
      </c>
      <c r="K20628" t="s">
        <v>29911</v>
      </c>
      <c r="M20628" t="s">
        <v>50793</v>
      </c>
      <c r="N20628" t="str">
        <f>"11/29/2023 10:03:00 AM"</f>
        <v>11/29/2023 10:03:00 AM</v>
      </c>
      <c r="O20628" t="s">
        <v>62982</v>
      </c>
      <c r="T20628" t="s">
        <v>47733</v>
      </c>
    </row>
    <row r="20629" spans="1:20" x14ac:dyDescent="0.25">
      <c r="A20629" t="str">
        <f>"3046650"</f>
        <v>3046650</v>
      </c>
      <c r="B20629" t="s">
        <v>62983</v>
      </c>
      <c r="C20629" t="str">
        <f>"17808000"</f>
        <v>17808000</v>
      </c>
      <c r="D20629" t="s">
        <v>62984</v>
      </c>
      <c r="E20629" t="s">
        <v>62985</v>
      </c>
      <c r="F20629" t="s">
        <v>62986</v>
      </c>
      <c r="I20629" t="s">
        <v>29</v>
      </c>
      <c r="J20629" t="s">
        <v>30</v>
      </c>
      <c r="K20629" t="s">
        <v>31</v>
      </c>
      <c r="M20629" t="s">
        <v>50793</v>
      </c>
      <c r="N20629" t="str">
        <f>"11/29/2023 10:30:00 AM"</f>
        <v>11/29/2023 10:30:00 AM</v>
      </c>
      <c r="O20629" t="s">
        <v>62984</v>
      </c>
      <c r="T20629" t="s">
        <v>62985</v>
      </c>
    </row>
    <row r="20630" spans="1:20" x14ac:dyDescent="0.25">
      <c r="A20630" t="str">
        <f>"3053640"</f>
        <v>3053640</v>
      </c>
      <c r="B20630" t="s">
        <v>62987</v>
      </c>
      <c r="C20630" t="str">
        <f>"17808000"</f>
        <v>17808000</v>
      </c>
      <c r="D20630" t="s">
        <v>62984</v>
      </c>
      <c r="E20630" t="s">
        <v>62985</v>
      </c>
      <c r="F20630" t="s">
        <v>62986</v>
      </c>
      <c r="I20630" t="s">
        <v>29</v>
      </c>
      <c r="J20630" t="s">
        <v>30</v>
      </c>
      <c r="K20630" t="s">
        <v>31</v>
      </c>
      <c r="M20630" t="s">
        <v>50793</v>
      </c>
      <c r="N20630" t="str">
        <f>"11/29/2023 10:30:00 AM"</f>
        <v>11/29/2023 10:30:00 AM</v>
      </c>
      <c r="O20630" t="s">
        <v>62984</v>
      </c>
      <c r="T20630" t="s">
        <v>62985</v>
      </c>
    </row>
    <row r="20631" spans="1:20" x14ac:dyDescent="0.25">
      <c r="A20631" t="str">
        <f>"3045301"</f>
        <v>3045301</v>
      </c>
      <c r="B20631" t="s">
        <v>62988</v>
      </c>
      <c r="C20631" t="str">
        <f>"8314579"</f>
        <v>8314579</v>
      </c>
      <c r="D20631" t="s">
        <v>62989</v>
      </c>
      <c r="F20631" t="s">
        <v>62990</v>
      </c>
      <c r="I20631" t="s">
        <v>29</v>
      </c>
      <c r="J20631" t="s">
        <v>30</v>
      </c>
      <c r="K20631" t="s">
        <v>62991</v>
      </c>
      <c r="M20631" t="s">
        <v>50621</v>
      </c>
      <c r="N20631" t="str">
        <f>"11/16/2023 10:03:00 AM"</f>
        <v>11/16/2023 10:03:00 AM</v>
      </c>
      <c r="O20631" t="s">
        <v>62989</v>
      </c>
    </row>
    <row r="20632" spans="1:20" x14ac:dyDescent="0.25">
      <c r="A20632" t="str">
        <f>"3044081"</f>
        <v>3044081</v>
      </c>
      <c r="B20632" t="s">
        <v>62992</v>
      </c>
      <c r="C20632" t="str">
        <f>"75452000"</f>
        <v>75452000</v>
      </c>
      <c r="D20632" t="s">
        <v>62993</v>
      </c>
      <c r="F20632" t="s">
        <v>62994</v>
      </c>
      <c r="I20632" t="s">
        <v>184</v>
      </c>
      <c r="J20632" t="s">
        <v>30</v>
      </c>
      <c r="K20632" t="s">
        <v>32897</v>
      </c>
      <c r="M20632" t="s">
        <v>52111</v>
      </c>
      <c r="N20632" t="str">
        <f>"11/29/2023 1:09:00 PM"</f>
        <v>11/29/2023 1:09:00 PM</v>
      </c>
      <c r="O20632" t="s">
        <v>62993</v>
      </c>
    </row>
    <row r="20633" spans="1:20" x14ac:dyDescent="0.25">
      <c r="A20633" t="str">
        <f>"3063000"</f>
        <v>3063000</v>
      </c>
      <c r="B20633" t="s">
        <v>62995</v>
      </c>
      <c r="C20633" t="str">
        <f>"8321511"</f>
        <v>8321511</v>
      </c>
      <c r="D20633" t="s">
        <v>62996</v>
      </c>
      <c r="E20633" t="s">
        <v>62997</v>
      </c>
      <c r="F20633" t="s">
        <v>62998</v>
      </c>
      <c r="I20633" t="s">
        <v>29</v>
      </c>
      <c r="J20633" t="s">
        <v>30</v>
      </c>
      <c r="K20633" t="s">
        <v>36427</v>
      </c>
      <c r="M20633" t="s">
        <v>17861</v>
      </c>
      <c r="N20633" t="str">
        <f>"11/29/2023 1:51:00 PM"</f>
        <v>11/29/2023 1:51:00 PM</v>
      </c>
      <c r="O20633" t="s">
        <v>62996</v>
      </c>
      <c r="T20633" t="s">
        <v>62997</v>
      </c>
    </row>
    <row r="20634" spans="1:20" x14ac:dyDescent="0.25">
      <c r="A20634" t="str">
        <f>"3049285"</f>
        <v>3049285</v>
      </c>
      <c r="B20634" t="s">
        <v>62999</v>
      </c>
      <c r="C20634" t="str">
        <f>"8321512"</f>
        <v>8321512</v>
      </c>
      <c r="D20634" t="s">
        <v>63000</v>
      </c>
      <c r="E20634" t="s">
        <v>63001</v>
      </c>
      <c r="F20634" t="s">
        <v>63002</v>
      </c>
      <c r="I20634" t="s">
        <v>184</v>
      </c>
      <c r="J20634" t="s">
        <v>30</v>
      </c>
      <c r="K20634" t="s">
        <v>63003</v>
      </c>
      <c r="M20634" t="s">
        <v>17861</v>
      </c>
      <c r="N20634" t="str">
        <f>"11/29/2023 1:53:00 PM"</f>
        <v>11/29/2023 1:53:00 PM</v>
      </c>
      <c r="O20634" t="s">
        <v>63000</v>
      </c>
      <c r="T20634" t="s">
        <v>63001</v>
      </c>
    </row>
    <row r="20635" spans="1:20" x14ac:dyDescent="0.25">
      <c r="A20635" t="str">
        <f>"3067176"</f>
        <v>3067176</v>
      </c>
      <c r="B20635" t="s">
        <v>63004</v>
      </c>
      <c r="C20635" t="str">
        <f>"8321513"</f>
        <v>8321513</v>
      </c>
      <c r="D20635" t="s">
        <v>63005</v>
      </c>
      <c r="E20635" t="s">
        <v>63006</v>
      </c>
      <c r="F20635" t="s">
        <v>63007</v>
      </c>
      <c r="I20635" t="s">
        <v>29</v>
      </c>
      <c r="J20635" t="s">
        <v>30</v>
      </c>
      <c r="K20635" t="s">
        <v>48846</v>
      </c>
      <c r="M20635" t="s">
        <v>17861</v>
      </c>
      <c r="N20635" t="str">
        <f>"11/29/2023 1:56:00 PM"</f>
        <v>11/29/2023 1:56:00 PM</v>
      </c>
      <c r="O20635" t="s">
        <v>63005</v>
      </c>
      <c r="T20635" t="s">
        <v>63006</v>
      </c>
    </row>
    <row r="20636" spans="1:20" x14ac:dyDescent="0.25">
      <c r="A20636" t="str">
        <f>"3057946"</f>
        <v>3057946</v>
      </c>
      <c r="B20636" t="s">
        <v>63008</v>
      </c>
      <c r="C20636" t="str">
        <f>"8321515"</f>
        <v>8321515</v>
      </c>
      <c r="D20636" t="s">
        <v>63009</v>
      </c>
      <c r="E20636" t="s">
        <v>63010</v>
      </c>
      <c r="F20636" t="s">
        <v>63011</v>
      </c>
      <c r="I20636" t="s">
        <v>184</v>
      </c>
      <c r="J20636" t="s">
        <v>30</v>
      </c>
      <c r="K20636" t="s">
        <v>61904</v>
      </c>
      <c r="M20636" t="s">
        <v>17861</v>
      </c>
      <c r="N20636" t="str">
        <f>"11/29/2023 2:06:00 PM"</f>
        <v>11/29/2023 2:06:00 PM</v>
      </c>
      <c r="O20636" t="s">
        <v>63009</v>
      </c>
      <c r="T20636" t="s">
        <v>63010</v>
      </c>
    </row>
    <row r="20637" spans="1:20" x14ac:dyDescent="0.25">
      <c r="A20637" t="str">
        <f>"3053146"</f>
        <v>3053146</v>
      </c>
      <c r="B20637" t="s">
        <v>63012</v>
      </c>
      <c r="C20637" t="str">
        <f>"8321516"</f>
        <v>8321516</v>
      </c>
      <c r="D20637" t="s">
        <v>63013</v>
      </c>
      <c r="F20637" t="s">
        <v>63014</v>
      </c>
      <c r="I20637" t="s">
        <v>29</v>
      </c>
      <c r="J20637" t="s">
        <v>30</v>
      </c>
      <c r="K20637" t="s">
        <v>11227</v>
      </c>
      <c r="M20637" t="s">
        <v>17861</v>
      </c>
      <c r="N20637" t="str">
        <f>"11/29/2023 2:09:00 PM"</f>
        <v>11/29/2023 2:09:00 PM</v>
      </c>
      <c r="O20637" t="s">
        <v>63013</v>
      </c>
    </row>
    <row r="20638" spans="1:20" x14ac:dyDescent="0.25">
      <c r="A20638" t="str">
        <f>"3049934"</f>
        <v>3049934</v>
      </c>
      <c r="B20638" t="s">
        <v>63015</v>
      </c>
      <c r="C20638" t="str">
        <f>"8321517"</f>
        <v>8321517</v>
      </c>
      <c r="D20638" t="s">
        <v>63016</v>
      </c>
      <c r="E20638" t="s">
        <v>63017</v>
      </c>
      <c r="F20638" t="s">
        <v>63018</v>
      </c>
      <c r="I20638" t="s">
        <v>29</v>
      </c>
      <c r="J20638" t="s">
        <v>30</v>
      </c>
      <c r="K20638" t="str">
        <f>"27028"</f>
        <v>27028</v>
      </c>
      <c r="M20638" t="s">
        <v>17861</v>
      </c>
      <c r="N20638" t="str">
        <f>"11/29/2023 2:54:00 PM"</f>
        <v>11/29/2023 2:54:00 PM</v>
      </c>
      <c r="O20638" t="s">
        <v>63016</v>
      </c>
      <c r="T20638" t="s">
        <v>63017</v>
      </c>
    </row>
    <row r="20639" spans="1:20" x14ac:dyDescent="0.25">
      <c r="A20639" t="str">
        <f>"3061695"</f>
        <v>3061695</v>
      </c>
      <c r="B20639" t="s">
        <v>63019</v>
      </c>
      <c r="C20639" t="str">
        <f>"8321518"</f>
        <v>8321518</v>
      </c>
      <c r="D20639" t="s">
        <v>63020</v>
      </c>
      <c r="E20639" t="s">
        <v>63021</v>
      </c>
      <c r="F20639" t="s">
        <v>63022</v>
      </c>
      <c r="I20639" t="s">
        <v>2071</v>
      </c>
      <c r="J20639" t="s">
        <v>30</v>
      </c>
      <c r="K20639" t="s">
        <v>4010</v>
      </c>
      <c r="M20639" t="s">
        <v>17861</v>
      </c>
      <c r="N20639" t="str">
        <f>"11/29/2023 2:58:00 PM"</f>
        <v>11/29/2023 2:58:00 PM</v>
      </c>
      <c r="O20639" t="s">
        <v>63020</v>
      </c>
      <c r="T20639" t="s">
        <v>63021</v>
      </c>
    </row>
    <row r="20640" spans="1:20" x14ac:dyDescent="0.25">
      <c r="A20640" t="str">
        <f>"3058387"</f>
        <v>3058387</v>
      </c>
      <c r="B20640" t="s">
        <v>63023</v>
      </c>
      <c r="C20640" t="str">
        <f>"8321521"</f>
        <v>8321521</v>
      </c>
      <c r="D20640" t="s">
        <v>63024</v>
      </c>
      <c r="F20640" t="s">
        <v>63025</v>
      </c>
      <c r="I20640" t="s">
        <v>29</v>
      </c>
      <c r="J20640" t="s">
        <v>30</v>
      </c>
      <c r="K20640" t="s">
        <v>62976</v>
      </c>
      <c r="M20640" t="s">
        <v>17861</v>
      </c>
      <c r="N20640" t="str">
        <f>"11/29/2023 3:54:00 PM"</f>
        <v>11/29/2023 3:54:00 PM</v>
      </c>
      <c r="O20640" t="s">
        <v>63024</v>
      </c>
    </row>
    <row r="20641" spans="1:20" x14ac:dyDescent="0.25">
      <c r="A20641" t="str">
        <f>"3066089"</f>
        <v>3066089</v>
      </c>
      <c r="B20641" t="s">
        <v>63026</v>
      </c>
      <c r="C20641" t="str">
        <f>"8321522"</f>
        <v>8321522</v>
      </c>
      <c r="D20641" t="s">
        <v>63027</v>
      </c>
      <c r="F20641" t="s">
        <v>63028</v>
      </c>
      <c r="I20641" t="s">
        <v>29</v>
      </c>
      <c r="J20641" t="s">
        <v>30</v>
      </c>
      <c r="K20641" t="s">
        <v>63029</v>
      </c>
      <c r="M20641" t="s">
        <v>17861</v>
      </c>
      <c r="N20641" t="str">
        <f>"11/29/2023 3:57:00 PM"</f>
        <v>11/29/2023 3:57:00 PM</v>
      </c>
      <c r="O20641" t="s">
        <v>63027</v>
      </c>
    </row>
    <row r="20642" spans="1:20" x14ac:dyDescent="0.25">
      <c r="A20642" t="str">
        <f>"3072551"</f>
        <v>3072551</v>
      </c>
      <c r="B20642" t="s">
        <v>63030</v>
      </c>
      <c r="C20642" t="str">
        <f>"8321066"</f>
        <v>8321066</v>
      </c>
      <c r="D20642" t="s">
        <v>63031</v>
      </c>
      <c r="F20642" t="s">
        <v>63032</v>
      </c>
      <c r="I20642" t="s">
        <v>2071</v>
      </c>
      <c r="J20642" t="s">
        <v>30</v>
      </c>
      <c r="K20642" t="s">
        <v>33423</v>
      </c>
      <c r="M20642" t="s">
        <v>17861</v>
      </c>
      <c r="N20642" t="str">
        <f>"11/30/2023 9:00:00 AM"</f>
        <v>11/30/2023 9:00:00 AM</v>
      </c>
      <c r="O20642" t="s">
        <v>63031</v>
      </c>
    </row>
    <row r="20643" spans="1:20" x14ac:dyDescent="0.25">
      <c r="A20643" t="str">
        <f>"3042607"</f>
        <v>3042607</v>
      </c>
      <c r="B20643" t="s">
        <v>63033</v>
      </c>
      <c r="C20643" t="str">
        <f>"8321523"</f>
        <v>8321523</v>
      </c>
      <c r="D20643" t="s">
        <v>63034</v>
      </c>
      <c r="E20643" t="s">
        <v>63035</v>
      </c>
      <c r="F20643" t="s">
        <v>63036</v>
      </c>
      <c r="I20643" t="s">
        <v>29</v>
      </c>
      <c r="J20643" t="s">
        <v>30</v>
      </c>
      <c r="K20643" t="s">
        <v>24345</v>
      </c>
      <c r="M20643" t="s">
        <v>17861</v>
      </c>
      <c r="N20643" t="str">
        <f>"11/30/2023 9:01:00 AM"</f>
        <v>11/30/2023 9:01:00 AM</v>
      </c>
      <c r="O20643" t="s">
        <v>63034</v>
      </c>
      <c r="T20643" t="s">
        <v>63035</v>
      </c>
    </row>
    <row r="20644" spans="1:20" x14ac:dyDescent="0.25">
      <c r="A20644" t="str">
        <f>"3058583"</f>
        <v>3058583</v>
      </c>
      <c r="B20644" t="s">
        <v>63037</v>
      </c>
      <c r="C20644" t="str">
        <f>"8321524"</f>
        <v>8321524</v>
      </c>
      <c r="D20644" t="s">
        <v>63038</v>
      </c>
      <c r="E20644" t="s">
        <v>63039</v>
      </c>
      <c r="F20644" t="s">
        <v>63040</v>
      </c>
      <c r="I20644" t="s">
        <v>29</v>
      </c>
      <c r="J20644" t="s">
        <v>30</v>
      </c>
      <c r="K20644" t="s">
        <v>60905</v>
      </c>
      <c r="M20644" t="s">
        <v>17861</v>
      </c>
      <c r="N20644" t="str">
        <f>"11/30/2023 9:04:00 AM"</f>
        <v>11/30/2023 9:04:00 AM</v>
      </c>
      <c r="O20644" t="s">
        <v>63038</v>
      </c>
      <c r="T20644" t="s">
        <v>63039</v>
      </c>
    </row>
    <row r="20645" spans="1:20" x14ac:dyDescent="0.25">
      <c r="A20645" t="str">
        <f>"3078981"</f>
        <v>3078981</v>
      </c>
      <c r="B20645" t="s">
        <v>63041</v>
      </c>
      <c r="C20645" t="str">
        <f>"8306505"</f>
        <v>8306505</v>
      </c>
      <c r="D20645" t="s">
        <v>63042</v>
      </c>
      <c r="F20645" t="s">
        <v>63043</v>
      </c>
      <c r="I20645" t="s">
        <v>1107</v>
      </c>
      <c r="J20645" t="s">
        <v>30</v>
      </c>
      <c r="K20645" t="str">
        <f>"28677"</f>
        <v>28677</v>
      </c>
      <c r="M20645" t="s">
        <v>50621</v>
      </c>
      <c r="N20645" t="str">
        <f>"11/16/2023 10:00:00 AM"</f>
        <v>11/16/2023 10:00:00 AM</v>
      </c>
      <c r="O20645" t="s">
        <v>63042</v>
      </c>
    </row>
    <row r="20646" spans="1:20" x14ac:dyDescent="0.25">
      <c r="A20646" t="str">
        <f>"3060949"</f>
        <v>3060949</v>
      </c>
      <c r="B20646" t="s">
        <v>63044</v>
      </c>
      <c r="C20646" t="str">
        <f>"8321527"</f>
        <v>8321527</v>
      </c>
      <c r="D20646" t="s">
        <v>63045</v>
      </c>
      <c r="F20646" t="s">
        <v>63046</v>
      </c>
      <c r="I20646" t="s">
        <v>2071</v>
      </c>
      <c r="J20646" t="s">
        <v>30</v>
      </c>
      <c r="K20646" t="s">
        <v>56053</v>
      </c>
      <c r="M20646" t="s">
        <v>17861</v>
      </c>
      <c r="N20646" t="str">
        <f>"11/30/2023 11:33:00 AM"</f>
        <v>11/30/2023 11:33:00 AM</v>
      </c>
      <c r="O20646" t="s">
        <v>63045</v>
      </c>
    </row>
    <row r="20647" spans="1:20" x14ac:dyDescent="0.25">
      <c r="A20647" t="str">
        <f>"3049656"</f>
        <v>3049656</v>
      </c>
      <c r="B20647" t="s">
        <v>63047</v>
      </c>
      <c r="C20647" t="str">
        <f>"8321528"</f>
        <v>8321528</v>
      </c>
      <c r="D20647" t="s">
        <v>63048</v>
      </c>
      <c r="F20647" t="s">
        <v>63049</v>
      </c>
      <c r="G20647" t="s">
        <v>3782</v>
      </c>
      <c r="I20647" t="s">
        <v>29</v>
      </c>
      <c r="J20647" t="s">
        <v>30</v>
      </c>
      <c r="K20647" t="s">
        <v>63050</v>
      </c>
      <c r="M20647" t="s">
        <v>17861</v>
      </c>
      <c r="N20647" t="str">
        <f>"11/30/2023 11:37:00 AM"</f>
        <v>11/30/2023 11:37:00 AM</v>
      </c>
      <c r="O20647" t="s">
        <v>63048</v>
      </c>
    </row>
    <row r="20648" spans="1:20" x14ac:dyDescent="0.25">
      <c r="A20648" t="str">
        <f>"3061829"</f>
        <v>3061829</v>
      </c>
      <c r="B20648" t="s">
        <v>63051</v>
      </c>
      <c r="C20648" t="str">
        <f>"8314653"</f>
        <v>8314653</v>
      </c>
      <c r="D20648" t="s">
        <v>63052</v>
      </c>
      <c r="F20648" t="s">
        <v>63053</v>
      </c>
      <c r="I20648" t="s">
        <v>471</v>
      </c>
      <c r="J20648" t="s">
        <v>30</v>
      </c>
      <c r="K20648" t="s">
        <v>63054</v>
      </c>
      <c r="M20648" t="s">
        <v>17861</v>
      </c>
      <c r="N20648" t="str">
        <f>"11/30/2023 12:07:00 PM"</f>
        <v>11/30/2023 12:07:00 PM</v>
      </c>
      <c r="O20648" t="s">
        <v>63052</v>
      </c>
    </row>
    <row r="20649" spans="1:20" x14ac:dyDescent="0.25">
      <c r="A20649" t="str">
        <f>"3069365"</f>
        <v>3069365</v>
      </c>
      <c r="B20649" t="s">
        <v>63055</v>
      </c>
      <c r="C20649" t="str">
        <f>"8321529"</f>
        <v>8321529</v>
      </c>
      <c r="D20649" t="s">
        <v>63056</v>
      </c>
      <c r="F20649" t="s">
        <v>63057</v>
      </c>
      <c r="I20649" t="s">
        <v>2071</v>
      </c>
      <c r="J20649" t="s">
        <v>30</v>
      </c>
      <c r="K20649" t="s">
        <v>33257</v>
      </c>
      <c r="M20649" t="s">
        <v>17861</v>
      </c>
      <c r="N20649" t="str">
        <f>"11/30/2023 12:11:00 PM"</f>
        <v>11/30/2023 12:11:00 PM</v>
      </c>
      <c r="O20649" t="s">
        <v>63056</v>
      </c>
    </row>
    <row r="20650" spans="1:20" x14ac:dyDescent="0.25">
      <c r="A20650" t="str">
        <f>"3058348"</f>
        <v>3058348</v>
      </c>
      <c r="B20650" t="s">
        <v>63058</v>
      </c>
      <c r="C20650" t="str">
        <f>"8321530"</f>
        <v>8321530</v>
      </c>
      <c r="D20650" t="s">
        <v>63059</v>
      </c>
      <c r="E20650" t="s">
        <v>63060</v>
      </c>
      <c r="F20650" t="s">
        <v>63061</v>
      </c>
      <c r="I20650" t="s">
        <v>29</v>
      </c>
      <c r="J20650" t="s">
        <v>30</v>
      </c>
      <c r="K20650" t="s">
        <v>62976</v>
      </c>
      <c r="M20650" t="s">
        <v>17861</v>
      </c>
      <c r="N20650" t="str">
        <f>"11/30/2023 12:32:00 PM"</f>
        <v>11/30/2023 12:32:00 PM</v>
      </c>
      <c r="O20650" t="s">
        <v>63059</v>
      </c>
      <c r="T20650" t="s">
        <v>63060</v>
      </c>
    </row>
    <row r="20651" spans="1:20" x14ac:dyDescent="0.25">
      <c r="A20651" t="str">
        <f>"3060904"</f>
        <v>3060904</v>
      </c>
      <c r="B20651" t="s">
        <v>63062</v>
      </c>
      <c r="C20651" t="str">
        <f>"8321531"</f>
        <v>8321531</v>
      </c>
      <c r="D20651" t="s">
        <v>63063</v>
      </c>
      <c r="E20651" t="s">
        <v>63064</v>
      </c>
      <c r="F20651" t="s">
        <v>63065</v>
      </c>
      <c r="I20651" t="s">
        <v>2071</v>
      </c>
      <c r="J20651" t="s">
        <v>30</v>
      </c>
      <c r="K20651" t="s">
        <v>23610</v>
      </c>
      <c r="M20651" t="s">
        <v>17861</v>
      </c>
      <c r="N20651" t="str">
        <f>"11/30/2023 12:38:00 PM"</f>
        <v>11/30/2023 12:38:00 PM</v>
      </c>
      <c r="O20651" t="s">
        <v>63063</v>
      </c>
      <c r="T20651" t="s">
        <v>63064</v>
      </c>
    </row>
    <row r="20652" spans="1:20" x14ac:dyDescent="0.25">
      <c r="A20652" t="str">
        <f>"3050375"</f>
        <v>3050375</v>
      </c>
      <c r="B20652" t="s">
        <v>63066</v>
      </c>
      <c r="C20652" t="str">
        <f>"8313995"</f>
        <v>8313995</v>
      </c>
      <c r="D20652" t="s">
        <v>63067</v>
      </c>
      <c r="F20652" t="s">
        <v>63068</v>
      </c>
      <c r="I20652" t="s">
        <v>2280</v>
      </c>
      <c r="J20652" t="s">
        <v>30</v>
      </c>
      <c r="K20652" t="s">
        <v>63069</v>
      </c>
      <c r="M20652" t="s">
        <v>52111</v>
      </c>
      <c r="N20652" t="str">
        <f>"11/30/2023 3:51:00 PM"</f>
        <v>11/30/2023 3:51:00 PM</v>
      </c>
      <c r="O20652" t="s">
        <v>63067</v>
      </c>
    </row>
    <row r="20653" spans="1:20" x14ac:dyDescent="0.25">
      <c r="A20653" t="str">
        <f>"3046438"</f>
        <v>3046438</v>
      </c>
      <c r="B20653" t="s">
        <v>63070</v>
      </c>
      <c r="C20653" t="str">
        <f>"8321455"</f>
        <v>8321455</v>
      </c>
      <c r="D20653" t="s">
        <v>63071</v>
      </c>
      <c r="E20653" t="s">
        <v>63072</v>
      </c>
      <c r="F20653" t="s">
        <v>63073</v>
      </c>
      <c r="I20653" t="s">
        <v>29</v>
      </c>
      <c r="J20653" t="s">
        <v>30</v>
      </c>
      <c r="K20653" t="s">
        <v>42690</v>
      </c>
      <c r="M20653" t="s">
        <v>17861</v>
      </c>
      <c r="N20653" t="str">
        <f>"11/16/2023 9:58:00 AM"</f>
        <v>11/16/2023 9:58:00 AM</v>
      </c>
      <c r="O20653" t="s">
        <v>63071</v>
      </c>
      <c r="T20653" t="s">
        <v>63072</v>
      </c>
    </row>
    <row r="20654" spans="1:20" x14ac:dyDescent="0.25">
      <c r="A20654" t="str">
        <f>"3078145"</f>
        <v>3078145</v>
      </c>
      <c r="B20654" t="s">
        <v>63074</v>
      </c>
      <c r="C20654" t="str">
        <f>"8321454"</f>
        <v>8321454</v>
      </c>
      <c r="D20654" t="s">
        <v>30916</v>
      </c>
      <c r="F20654" t="s">
        <v>63075</v>
      </c>
      <c r="I20654" t="s">
        <v>29</v>
      </c>
      <c r="J20654" t="s">
        <v>30</v>
      </c>
      <c r="K20654" t="s">
        <v>53464</v>
      </c>
      <c r="M20654" t="s">
        <v>17861</v>
      </c>
      <c r="N20654" t="str">
        <f>"11/16/2023 9:46:00 AM"</f>
        <v>11/16/2023 9:46:00 AM</v>
      </c>
      <c r="O20654" t="s">
        <v>30916</v>
      </c>
    </row>
    <row r="20655" spans="1:20" x14ac:dyDescent="0.25">
      <c r="A20655" t="str">
        <f>"3056866"</f>
        <v>3056866</v>
      </c>
      <c r="B20655" t="s">
        <v>63076</v>
      </c>
      <c r="C20655" t="str">
        <f>"8321454"</f>
        <v>8321454</v>
      </c>
      <c r="D20655" t="s">
        <v>30916</v>
      </c>
      <c r="F20655" t="s">
        <v>63075</v>
      </c>
      <c r="I20655" t="s">
        <v>29</v>
      </c>
      <c r="J20655" t="s">
        <v>30</v>
      </c>
      <c r="K20655" t="s">
        <v>53464</v>
      </c>
      <c r="M20655" t="s">
        <v>17861</v>
      </c>
      <c r="N20655" t="str">
        <f>"11/16/2023 9:46:00 AM"</f>
        <v>11/16/2023 9:46:00 AM</v>
      </c>
      <c r="O20655" t="s">
        <v>30916</v>
      </c>
    </row>
    <row r="20656" spans="1:20" x14ac:dyDescent="0.25">
      <c r="A20656" t="str">
        <f>"3050778"</f>
        <v>3050778</v>
      </c>
      <c r="B20656" t="s">
        <v>63077</v>
      </c>
      <c r="C20656" t="str">
        <f>"8321453"</f>
        <v>8321453</v>
      </c>
      <c r="D20656" t="s">
        <v>44751</v>
      </c>
      <c r="E20656" t="s">
        <v>63078</v>
      </c>
      <c r="F20656" t="s">
        <v>63079</v>
      </c>
      <c r="I20656" t="s">
        <v>184</v>
      </c>
      <c r="J20656" t="s">
        <v>30</v>
      </c>
      <c r="K20656" t="s">
        <v>10584</v>
      </c>
      <c r="M20656" t="s">
        <v>17861</v>
      </c>
      <c r="N20656" t="str">
        <f>"11/16/2023 9:38:00 AM"</f>
        <v>11/16/2023 9:38:00 AM</v>
      </c>
      <c r="O20656" t="s">
        <v>44751</v>
      </c>
      <c r="T20656" t="s">
        <v>63078</v>
      </c>
    </row>
    <row r="20657" spans="1:20" x14ac:dyDescent="0.25">
      <c r="A20657" t="str">
        <f>"3058878"</f>
        <v>3058878</v>
      </c>
      <c r="B20657" t="s">
        <v>63080</v>
      </c>
      <c r="C20657" t="str">
        <f>"8321452"</f>
        <v>8321452</v>
      </c>
      <c r="D20657" t="s">
        <v>63081</v>
      </c>
      <c r="E20657" t="s">
        <v>29259</v>
      </c>
      <c r="F20657" t="s">
        <v>63082</v>
      </c>
      <c r="I20657" t="s">
        <v>29</v>
      </c>
      <c r="J20657" t="s">
        <v>30</v>
      </c>
      <c r="K20657" t="s">
        <v>61198</v>
      </c>
      <c r="M20657" t="s">
        <v>17861</v>
      </c>
      <c r="N20657" t="str">
        <f>"11/16/2023 9:29:00 AM"</f>
        <v>11/16/2023 9:29:00 AM</v>
      </c>
      <c r="O20657" t="s">
        <v>63081</v>
      </c>
      <c r="T20657" t="s">
        <v>29259</v>
      </c>
    </row>
    <row r="20658" spans="1:20" x14ac:dyDescent="0.25">
      <c r="A20658" t="str">
        <f>"3058328"</f>
        <v>3058328</v>
      </c>
      <c r="B20658" t="s">
        <v>63083</v>
      </c>
      <c r="C20658" t="str">
        <f>"8321451"</f>
        <v>8321451</v>
      </c>
      <c r="D20658" t="s">
        <v>63084</v>
      </c>
      <c r="E20658" t="s">
        <v>63085</v>
      </c>
      <c r="F20658" t="s">
        <v>63086</v>
      </c>
      <c r="I20658" t="s">
        <v>29</v>
      </c>
      <c r="J20658" t="s">
        <v>30</v>
      </c>
      <c r="K20658" t="s">
        <v>11836</v>
      </c>
      <c r="M20658" t="s">
        <v>17861</v>
      </c>
      <c r="N20658" t="str">
        <f>"11/16/2023 9:25:00 AM"</f>
        <v>11/16/2023 9:25:00 AM</v>
      </c>
      <c r="O20658" t="s">
        <v>63084</v>
      </c>
      <c r="T20658" t="s">
        <v>63085</v>
      </c>
    </row>
    <row r="20659" spans="1:20" x14ac:dyDescent="0.25">
      <c r="A20659" t="str">
        <f>"3047304"</f>
        <v>3047304</v>
      </c>
      <c r="B20659" t="s">
        <v>63087</v>
      </c>
      <c r="C20659" t="str">
        <f>"8302509"</f>
        <v>8302509</v>
      </c>
      <c r="D20659" t="s">
        <v>63088</v>
      </c>
      <c r="F20659" t="s">
        <v>63089</v>
      </c>
      <c r="I20659" t="s">
        <v>184</v>
      </c>
      <c r="J20659" t="s">
        <v>30</v>
      </c>
      <c r="K20659" t="str">
        <f>"27006"</f>
        <v>27006</v>
      </c>
      <c r="M20659" t="s">
        <v>50793</v>
      </c>
      <c r="N20659" t="str">
        <f>"11/16/2023 9:22:00 AM"</f>
        <v>11/16/2023 9:22:00 AM</v>
      </c>
      <c r="O20659" t="s">
        <v>63088</v>
      </c>
    </row>
    <row r="20660" spans="1:20" x14ac:dyDescent="0.25">
      <c r="A20660" t="str">
        <f>"3053703"</f>
        <v>3053703</v>
      </c>
      <c r="B20660" t="s">
        <v>63090</v>
      </c>
      <c r="C20660" t="str">
        <f>"8321449"</f>
        <v>8321449</v>
      </c>
      <c r="D20660" t="s">
        <v>63091</v>
      </c>
      <c r="F20660" t="s">
        <v>63092</v>
      </c>
      <c r="I20660" t="s">
        <v>63093</v>
      </c>
      <c r="J20660" t="s">
        <v>1046</v>
      </c>
      <c r="K20660" t="s">
        <v>63094</v>
      </c>
      <c r="M20660" t="s">
        <v>17861</v>
      </c>
      <c r="N20660" t="str">
        <f>"11/16/2023 9:16:00 AM"</f>
        <v>11/16/2023 9:16:00 AM</v>
      </c>
      <c r="O20660" t="s">
        <v>63091</v>
      </c>
    </row>
    <row r="20661" spans="1:20" x14ac:dyDescent="0.25">
      <c r="A20661" t="str">
        <f>"3058341"</f>
        <v>3058341</v>
      </c>
      <c r="B20661" t="s">
        <v>63095</v>
      </c>
      <c r="C20661" t="str">
        <f>"8321448"</f>
        <v>8321448</v>
      </c>
      <c r="D20661" t="s">
        <v>63096</v>
      </c>
      <c r="E20661" t="str">
        <f>"RICHMOND JUDY/VEDA"</f>
        <v>RICHMOND JUDY/VEDA</v>
      </c>
      <c r="F20661" t="s">
        <v>63097</v>
      </c>
      <c r="I20661" t="s">
        <v>29</v>
      </c>
      <c r="J20661" t="s">
        <v>30</v>
      </c>
      <c r="K20661" t="s">
        <v>62943</v>
      </c>
      <c r="M20661" t="s">
        <v>17861</v>
      </c>
      <c r="N20661" t="str">
        <f>"11/16/2023 9:13:00 AM"</f>
        <v>11/16/2023 9:13:00 AM</v>
      </c>
      <c r="O20661" t="s">
        <v>63096</v>
      </c>
      <c r="T20661" t="str">
        <f>"RICHMOND JUDY/VEDA"</f>
        <v>RICHMOND JUDY/VEDA</v>
      </c>
    </row>
    <row r="20662" spans="1:20" x14ac:dyDescent="0.25">
      <c r="A20662" t="str">
        <f>"3052511"</f>
        <v>3052511</v>
      </c>
      <c r="B20662" t="s">
        <v>63098</v>
      </c>
      <c r="C20662" t="str">
        <f>"8302146"</f>
        <v>8302146</v>
      </c>
      <c r="D20662" t="s">
        <v>63099</v>
      </c>
      <c r="F20662" t="s">
        <v>63100</v>
      </c>
      <c r="I20662" t="s">
        <v>29</v>
      </c>
      <c r="J20662" t="s">
        <v>30</v>
      </c>
      <c r="K20662" t="str">
        <f>"27028"</f>
        <v>27028</v>
      </c>
      <c r="M20662" t="s">
        <v>50793</v>
      </c>
      <c r="N20662" t="str">
        <f>"11/16/2023 9:02:00 AM"</f>
        <v>11/16/2023 9:02:00 AM</v>
      </c>
      <c r="O20662" t="s">
        <v>63099</v>
      </c>
    </row>
    <row r="20663" spans="1:20" x14ac:dyDescent="0.25">
      <c r="A20663" t="str">
        <f>"3054192"</f>
        <v>3054192</v>
      </c>
      <c r="B20663" t="s">
        <v>63101</v>
      </c>
      <c r="C20663" t="str">
        <f>"82524348"</f>
        <v>82524348</v>
      </c>
      <c r="D20663" t="s">
        <v>63102</v>
      </c>
      <c r="F20663" t="s">
        <v>63103</v>
      </c>
      <c r="I20663" t="s">
        <v>29</v>
      </c>
      <c r="J20663" t="s">
        <v>30</v>
      </c>
      <c r="K20663" t="s">
        <v>63104</v>
      </c>
      <c r="M20663" t="s">
        <v>50793</v>
      </c>
      <c r="N20663" t="str">
        <f>"11/16/2023 8:59:00 AM"</f>
        <v>11/16/2023 8:59:00 AM</v>
      </c>
      <c r="O20663" t="s">
        <v>63102</v>
      </c>
    </row>
    <row r="20664" spans="1:20" x14ac:dyDescent="0.25">
      <c r="A20664" t="str">
        <f>"3057369"</f>
        <v>3057369</v>
      </c>
      <c r="B20664" t="s">
        <v>63105</v>
      </c>
      <c r="C20664" t="str">
        <f>"8321446"</f>
        <v>8321446</v>
      </c>
      <c r="D20664" t="s">
        <v>63106</v>
      </c>
      <c r="E20664" t="s">
        <v>63107</v>
      </c>
      <c r="F20664" t="s">
        <v>63108</v>
      </c>
      <c r="I20664" t="s">
        <v>184</v>
      </c>
      <c r="J20664" t="s">
        <v>30</v>
      </c>
      <c r="K20664" t="s">
        <v>52675</v>
      </c>
      <c r="M20664" t="s">
        <v>17861</v>
      </c>
      <c r="N20664" t="str">
        <f>"11/16/2023 8:59:00 AM"</f>
        <v>11/16/2023 8:59:00 AM</v>
      </c>
      <c r="O20664" t="s">
        <v>63106</v>
      </c>
      <c r="T20664" t="s">
        <v>63107</v>
      </c>
    </row>
    <row r="20665" spans="1:20" x14ac:dyDescent="0.25">
      <c r="A20665" t="str">
        <f>"3039043"</f>
        <v>3039043</v>
      </c>
      <c r="B20665" t="s">
        <v>63109</v>
      </c>
      <c r="C20665" t="str">
        <f>"8321479"</f>
        <v>8321479</v>
      </c>
      <c r="D20665" t="s">
        <v>62851</v>
      </c>
      <c r="F20665" t="s">
        <v>62852</v>
      </c>
      <c r="I20665" t="s">
        <v>29</v>
      </c>
      <c r="J20665" t="s">
        <v>30</v>
      </c>
      <c r="K20665" t="s">
        <v>1449</v>
      </c>
      <c r="M20665" t="s">
        <v>17861</v>
      </c>
      <c r="N20665" t="str">
        <f>"11/20/2023 2:37:00 PM"</f>
        <v>11/20/2023 2:37:00 PM</v>
      </c>
      <c r="O20665" t="s">
        <v>62851</v>
      </c>
    </row>
    <row r="20666" spans="1:20" x14ac:dyDescent="0.25">
      <c r="A20666" t="str">
        <f>"3058621"</f>
        <v>3058621</v>
      </c>
      <c r="B20666" t="s">
        <v>63110</v>
      </c>
      <c r="C20666" t="str">
        <f>"8321487"</f>
        <v>8321487</v>
      </c>
      <c r="D20666" t="s">
        <v>63111</v>
      </c>
      <c r="E20666" t="s">
        <v>63112</v>
      </c>
      <c r="F20666" t="s">
        <v>63113</v>
      </c>
      <c r="I20666" t="s">
        <v>29</v>
      </c>
      <c r="J20666" t="s">
        <v>30</v>
      </c>
      <c r="K20666" t="s">
        <v>62976</v>
      </c>
      <c r="M20666" t="s">
        <v>17861</v>
      </c>
      <c r="N20666" t="str">
        <f>"11/21/2023 1:36:00 PM"</f>
        <v>11/21/2023 1:36:00 PM</v>
      </c>
      <c r="O20666" t="s">
        <v>63111</v>
      </c>
      <c r="T20666" t="s">
        <v>63112</v>
      </c>
    </row>
    <row r="20667" spans="1:20" x14ac:dyDescent="0.25">
      <c r="A20667" t="str">
        <f>"3046428"</f>
        <v>3046428</v>
      </c>
      <c r="B20667" t="s">
        <v>63114</v>
      </c>
      <c r="C20667" t="str">
        <f>"8321464"</f>
        <v>8321464</v>
      </c>
      <c r="D20667" t="s">
        <v>63115</v>
      </c>
      <c r="E20667" t="s">
        <v>63116</v>
      </c>
      <c r="F20667" t="s">
        <v>63117</v>
      </c>
      <c r="I20667" t="s">
        <v>29</v>
      </c>
      <c r="J20667" t="s">
        <v>30</v>
      </c>
      <c r="K20667" t="s">
        <v>37534</v>
      </c>
      <c r="M20667" t="s">
        <v>17861</v>
      </c>
      <c r="N20667" t="str">
        <f>"11/17/2023 1:03:00 PM"</f>
        <v>11/17/2023 1:03:00 PM</v>
      </c>
      <c r="O20667" t="s">
        <v>63115</v>
      </c>
      <c r="T20667" t="s">
        <v>63116</v>
      </c>
    </row>
    <row r="20668" spans="1:20" x14ac:dyDescent="0.25">
      <c r="A20668" t="str">
        <f>"3058900"</f>
        <v>3058900</v>
      </c>
      <c r="B20668" t="s">
        <v>63118</v>
      </c>
      <c r="C20668" t="str">
        <f>"8321463"</f>
        <v>8321463</v>
      </c>
      <c r="D20668" t="s">
        <v>63119</v>
      </c>
      <c r="F20668" t="s">
        <v>63120</v>
      </c>
      <c r="I20668" t="s">
        <v>29</v>
      </c>
      <c r="J20668" t="s">
        <v>30</v>
      </c>
      <c r="K20668" t="s">
        <v>61198</v>
      </c>
      <c r="M20668" t="s">
        <v>17861</v>
      </c>
      <c r="N20668" t="str">
        <f>"11/17/2023 1:01:00 PM"</f>
        <v>11/17/2023 1:01:00 PM</v>
      </c>
      <c r="O20668" t="s">
        <v>63119</v>
      </c>
    </row>
    <row r="20669" spans="1:20" x14ac:dyDescent="0.25">
      <c r="A20669" t="str">
        <f>"3060751"</f>
        <v>3060751</v>
      </c>
      <c r="B20669" t="s">
        <v>63121</v>
      </c>
      <c r="C20669" t="str">
        <f>"8321462"</f>
        <v>8321462</v>
      </c>
      <c r="D20669" t="s">
        <v>63122</v>
      </c>
      <c r="E20669" t="s">
        <v>63123</v>
      </c>
      <c r="F20669" t="s">
        <v>63124</v>
      </c>
      <c r="I20669" t="s">
        <v>184</v>
      </c>
      <c r="J20669" t="s">
        <v>30</v>
      </c>
      <c r="K20669" t="s">
        <v>5041</v>
      </c>
      <c r="M20669" t="s">
        <v>17861</v>
      </c>
      <c r="N20669" t="str">
        <f>"11/17/2023 11:12:00 AM"</f>
        <v>11/17/2023 11:12:00 AM</v>
      </c>
      <c r="O20669" t="s">
        <v>63122</v>
      </c>
      <c r="T20669" t="s">
        <v>63123</v>
      </c>
    </row>
    <row r="20670" spans="1:20" x14ac:dyDescent="0.25">
      <c r="A20670" t="str">
        <f>"3053717"</f>
        <v>3053717</v>
      </c>
      <c r="B20670" t="s">
        <v>63125</v>
      </c>
      <c r="C20670" t="str">
        <f>"82526257"</f>
        <v>82526257</v>
      </c>
      <c r="D20670" t="s">
        <v>63126</v>
      </c>
      <c r="E20670" t="s">
        <v>63127</v>
      </c>
      <c r="F20670" t="s">
        <v>63128</v>
      </c>
      <c r="I20670" t="s">
        <v>47566</v>
      </c>
      <c r="J20670" t="s">
        <v>1046</v>
      </c>
      <c r="K20670" t="s">
        <v>63129</v>
      </c>
      <c r="M20670" t="s">
        <v>17861</v>
      </c>
      <c r="N20670" t="str">
        <f>"11/17/2023 10:43:00 AM"</f>
        <v>11/17/2023 10:43:00 AM</v>
      </c>
      <c r="O20670" t="s">
        <v>63126</v>
      </c>
      <c r="T20670" t="s">
        <v>63127</v>
      </c>
    </row>
    <row r="20671" spans="1:20" x14ac:dyDescent="0.25">
      <c r="A20671" t="str">
        <f>"3056109"</f>
        <v>3056109</v>
      </c>
      <c r="B20671" t="s">
        <v>63130</v>
      </c>
      <c r="C20671" t="str">
        <f>"8321459"</f>
        <v>8321459</v>
      </c>
      <c r="D20671" t="s">
        <v>63131</v>
      </c>
      <c r="E20671" t="s">
        <v>63132</v>
      </c>
      <c r="F20671" t="s">
        <v>63133</v>
      </c>
      <c r="I20671" t="s">
        <v>9580</v>
      </c>
      <c r="J20671" t="s">
        <v>30</v>
      </c>
      <c r="K20671" t="str">
        <f>"27014"</f>
        <v>27014</v>
      </c>
      <c r="M20671" t="s">
        <v>17861</v>
      </c>
      <c r="N20671" t="str">
        <f>"11/17/2023 8:48:00 AM"</f>
        <v>11/17/2023 8:48:00 AM</v>
      </c>
      <c r="O20671" t="s">
        <v>63131</v>
      </c>
      <c r="T20671" t="s">
        <v>63132</v>
      </c>
    </row>
    <row r="20672" spans="1:20" x14ac:dyDescent="0.25">
      <c r="A20672" t="str">
        <f>"3046134"</f>
        <v>3046134</v>
      </c>
      <c r="B20672" t="s">
        <v>63134</v>
      </c>
      <c r="C20672" t="str">
        <f>"8302040"</f>
        <v>8302040</v>
      </c>
      <c r="D20672" t="s">
        <v>63135</v>
      </c>
      <c r="E20672" t="s">
        <v>63136</v>
      </c>
      <c r="F20672" t="s">
        <v>63137</v>
      </c>
      <c r="I20672" t="s">
        <v>29</v>
      </c>
      <c r="J20672" t="s">
        <v>30</v>
      </c>
      <c r="K20672" t="s">
        <v>21059</v>
      </c>
      <c r="M20672" t="s">
        <v>25733</v>
      </c>
      <c r="N20672" t="str">
        <f>"11/27/2023 2:43:00 PM"</f>
        <v>11/27/2023 2:43:00 PM</v>
      </c>
      <c r="O20672" t="s">
        <v>63135</v>
      </c>
      <c r="T20672" t="s">
        <v>63136</v>
      </c>
    </row>
    <row r="20673" spans="1:20" x14ac:dyDescent="0.25">
      <c r="A20673" t="str">
        <f>"3061542"</f>
        <v>3061542</v>
      </c>
      <c r="B20673" t="s">
        <v>63138</v>
      </c>
      <c r="C20673" t="str">
        <f>"8321498"</f>
        <v>8321498</v>
      </c>
      <c r="D20673" t="s">
        <v>63139</v>
      </c>
      <c r="E20673" t="s">
        <v>63140</v>
      </c>
      <c r="F20673" t="s">
        <v>63141</v>
      </c>
      <c r="I20673" t="s">
        <v>184</v>
      </c>
      <c r="J20673" t="s">
        <v>30</v>
      </c>
      <c r="K20673" t="s">
        <v>25769</v>
      </c>
      <c r="M20673" t="s">
        <v>17861</v>
      </c>
      <c r="N20673" t="str">
        <f>"11/27/2023 3:08:00 PM"</f>
        <v>11/27/2023 3:08:00 PM</v>
      </c>
      <c r="O20673" t="s">
        <v>63139</v>
      </c>
      <c r="T20673" t="s">
        <v>63140</v>
      </c>
    </row>
    <row r="20674" spans="1:20" x14ac:dyDescent="0.25">
      <c r="A20674" t="str">
        <f>"3038298"</f>
        <v>3038298</v>
      </c>
      <c r="B20674" t="s">
        <v>63142</v>
      </c>
      <c r="C20674" t="str">
        <f>"8311196"</f>
        <v>8311196</v>
      </c>
      <c r="D20674" t="s">
        <v>63143</v>
      </c>
      <c r="E20674" t="s">
        <v>63144</v>
      </c>
      <c r="F20674" t="s">
        <v>63145</v>
      </c>
      <c r="I20674" t="s">
        <v>29</v>
      </c>
      <c r="J20674" t="s">
        <v>30</v>
      </c>
      <c r="K20674" t="s">
        <v>63146</v>
      </c>
      <c r="M20674" t="s">
        <v>17861</v>
      </c>
      <c r="N20674" t="str">
        <f>"11/29/2023 9:43:00 AM"</f>
        <v>11/29/2023 9:43:00 AM</v>
      </c>
      <c r="O20674" t="s">
        <v>63143</v>
      </c>
      <c r="T20674" t="s">
        <v>63144</v>
      </c>
    </row>
    <row r="20675" spans="1:20" x14ac:dyDescent="0.25">
      <c r="A20675" t="str">
        <f>"3058579"</f>
        <v>3058579</v>
      </c>
      <c r="B20675" t="s">
        <v>63147</v>
      </c>
      <c r="C20675" t="str">
        <f>"8321510"</f>
        <v>8321510</v>
      </c>
      <c r="D20675" t="s">
        <v>63148</v>
      </c>
      <c r="E20675" t="s">
        <v>63149</v>
      </c>
      <c r="F20675" t="s">
        <v>63150</v>
      </c>
      <c r="I20675" t="s">
        <v>29</v>
      </c>
      <c r="J20675" t="s">
        <v>30</v>
      </c>
      <c r="K20675" t="s">
        <v>59681</v>
      </c>
      <c r="M20675" t="s">
        <v>17861</v>
      </c>
      <c r="N20675" t="str">
        <f>"11/29/2023 12:59:00 PM"</f>
        <v>11/29/2023 12:59:00 PM</v>
      </c>
      <c r="O20675" t="s">
        <v>63148</v>
      </c>
      <c r="T20675" t="s">
        <v>63149</v>
      </c>
    </row>
    <row r="20676" spans="1:20" x14ac:dyDescent="0.25">
      <c r="A20676" t="str">
        <f>"3060896"</f>
        <v>3060896</v>
      </c>
      <c r="B20676" t="s">
        <v>63151</v>
      </c>
      <c r="C20676" t="str">
        <f>"8321526"</f>
        <v>8321526</v>
      </c>
      <c r="D20676" t="s">
        <v>63152</v>
      </c>
      <c r="F20676" t="s">
        <v>63153</v>
      </c>
      <c r="I20676" t="s">
        <v>184</v>
      </c>
      <c r="J20676" t="s">
        <v>30</v>
      </c>
      <c r="K20676" t="s">
        <v>41683</v>
      </c>
      <c r="M20676" t="s">
        <v>17861</v>
      </c>
      <c r="N20676" t="str">
        <f>"11/30/2023 11:29:00 AM"</f>
        <v>11/30/2023 11:29:00 AM</v>
      </c>
      <c r="O20676" t="s">
        <v>63152</v>
      </c>
    </row>
    <row r="20677" spans="1:20" x14ac:dyDescent="0.25">
      <c r="A20677" t="str">
        <f>"3057296"</f>
        <v>3057296</v>
      </c>
      <c r="B20677" t="s">
        <v>63154</v>
      </c>
      <c r="C20677" t="str">
        <f t="shared" ref="C20677:C20708" si="318">"82516538"</f>
        <v>82516538</v>
      </c>
      <c r="D20677" t="s">
        <v>49702</v>
      </c>
      <c r="F20677" t="s">
        <v>9579</v>
      </c>
      <c r="I20677" t="s">
        <v>9580</v>
      </c>
      <c r="J20677" t="s">
        <v>30</v>
      </c>
      <c r="K20677" t="s">
        <v>9581</v>
      </c>
      <c r="M20677" t="s">
        <v>50621</v>
      </c>
      <c r="N20677" t="str">
        <f t="shared" ref="N20677:N20708" si="319">"12/1/2023 9:23:00 AM"</f>
        <v>12/1/2023 9:23:00 AM</v>
      </c>
      <c r="O20677" t="s">
        <v>49702</v>
      </c>
    </row>
    <row r="20678" spans="1:20" x14ac:dyDescent="0.25">
      <c r="A20678" t="str">
        <f>"3056898"</f>
        <v>3056898</v>
      </c>
      <c r="B20678" t="s">
        <v>63155</v>
      </c>
      <c r="C20678" t="str">
        <f t="shared" si="318"/>
        <v>82516538</v>
      </c>
      <c r="D20678" t="s">
        <v>49702</v>
      </c>
      <c r="F20678" t="s">
        <v>9579</v>
      </c>
      <c r="I20678" t="s">
        <v>9580</v>
      </c>
      <c r="J20678" t="s">
        <v>30</v>
      </c>
      <c r="K20678" t="s">
        <v>9581</v>
      </c>
      <c r="M20678" t="s">
        <v>50621</v>
      </c>
      <c r="N20678" t="str">
        <f t="shared" si="319"/>
        <v>12/1/2023 9:23:00 AM</v>
      </c>
      <c r="O20678" t="s">
        <v>49702</v>
      </c>
    </row>
    <row r="20679" spans="1:20" x14ac:dyDescent="0.25">
      <c r="A20679" t="str">
        <f>"3056899"</f>
        <v>3056899</v>
      </c>
      <c r="B20679" t="s">
        <v>63156</v>
      </c>
      <c r="C20679" t="str">
        <f t="shared" si="318"/>
        <v>82516538</v>
      </c>
      <c r="D20679" t="s">
        <v>49702</v>
      </c>
      <c r="F20679" t="s">
        <v>9579</v>
      </c>
      <c r="I20679" t="s">
        <v>9580</v>
      </c>
      <c r="J20679" t="s">
        <v>30</v>
      </c>
      <c r="K20679" t="s">
        <v>9581</v>
      </c>
      <c r="M20679" t="s">
        <v>50621</v>
      </c>
      <c r="N20679" t="str">
        <f t="shared" si="319"/>
        <v>12/1/2023 9:23:00 AM</v>
      </c>
      <c r="O20679" t="s">
        <v>49702</v>
      </c>
    </row>
    <row r="20680" spans="1:20" x14ac:dyDescent="0.25">
      <c r="A20680" t="str">
        <f>"3056900"</f>
        <v>3056900</v>
      </c>
      <c r="B20680" t="s">
        <v>63157</v>
      </c>
      <c r="C20680" t="str">
        <f t="shared" si="318"/>
        <v>82516538</v>
      </c>
      <c r="D20680" t="s">
        <v>49702</v>
      </c>
      <c r="F20680" t="s">
        <v>9579</v>
      </c>
      <c r="I20680" t="s">
        <v>9580</v>
      </c>
      <c r="J20680" t="s">
        <v>30</v>
      </c>
      <c r="K20680" t="s">
        <v>9581</v>
      </c>
      <c r="M20680" t="s">
        <v>50621</v>
      </c>
      <c r="N20680" t="str">
        <f t="shared" si="319"/>
        <v>12/1/2023 9:23:00 AM</v>
      </c>
      <c r="O20680" t="s">
        <v>49702</v>
      </c>
    </row>
    <row r="20681" spans="1:20" x14ac:dyDescent="0.25">
      <c r="A20681" t="str">
        <f>"3056896"</f>
        <v>3056896</v>
      </c>
      <c r="B20681" t="s">
        <v>63158</v>
      </c>
      <c r="C20681" t="str">
        <f t="shared" si="318"/>
        <v>82516538</v>
      </c>
      <c r="D20681" t="s">
        <v>49702</v>
      </c>
      <c r="F20681" t="s">
        <v>9579</v>
      </c>
      <c r="I20681" t="s">
        <v>9580</v>
      </c>
      <c r="J20681" t="s">
        <v>30</v>
      </c>
      <c r="K20681" t="s">
        <v>9581</v>
      </c>
      <c r="M20681" t="s">
        <v>50621</v>
      </c>
      <c r="N20681" t="str">
        <f t="shared" si="319"/>
        <v>12/1/2023 9:23:00 AM</v>
      </c>
      <c r="O20681" t="s">
        <v>49702</v>
      </c>
    </row>
    <row r="20682" spans="1:20" x14ac:dyDescent="0.25">
      <c r="A20682" t="str">
        <f>"3056897"</f>
        <v>3056897</v>
      </c>
      <c r="B20682" t="s">
        <v>63159</v>
      </c>
      <c r="C20682" t="str">
        <f t="shared" si="318"/>
        <v>82516538</v>
      </c>
      <c r="D20682" t="s">
        <v>49702</v>
      </c>
      <c r="F20682" t="s">
        <v>9579</v>
      </c>
      <c r="I20682" t="s">
        <v>9580</v>
      </c>
      <c r="J20682" t="s">
        <v>30</v>
      </c>
      <c r="K20682" t="s">
        <v>9581</v>
      </c>
      <c r="M20682" t="s">
        <v>50621</v>
      </c>
      <c r="N20682" t="str">
        <f t="shared" si="319"/>
        <v>12/1/2023 9:23:00 AM</v>
      </c>
      <c r="O20682" t="s">
        <v>49702</v>
      </c>
    </row>
    <row r="20683" spans="1:20" x14ac:dyDescent="0.25">
      <c r="A20683" t="str">
        <f>"3056909"</f>
        <v>3056909</v>
      </c>
      <c r="B20683" t="s">
        <v>63160</v>
      </c>
      <c r="C20683" t="str">
        <f t="shared" si="318"/>
        <v>82516538</v>
      </c>
      <c r="D20683" t="s">
        <v>49702</v>
      </c>
      <c r="F20683" t="s">
        <v>9579</v>
      </c>
      <c r="I20683" t="s">
        <v>9580</v>
      </c>
      <c r="J20683" t="s">
        <v>30</v>
      </c>
      <c r="K20683" t="s">
        <v>9581</v>
      </c>
      <c r="M20683" t="s">
        <v>50621</v>
      </c>
      <c r="N20683" t="str">
        <f t="shared" si="319"/>
        <v>12/1/2023 9:23:00 AM</v>
      </c>
      <c r="O20683" t="s">
        <v>49702</v>
      </c>
    </row>
    <row r="20684" spans="1:20" x14ac:dyDescent="0.25">
      <c r="A20684" t="str">
        <f>"3056351"</f>
        <v>3056351</v>
      </c>
      <c r="B20684" t="s">
        <v>63161</v>
      </c>
      <c r="C20684" t="str">
        <f t="shared" si="318"/>
        <v>82516538</v>
      </c>
      <c r="D20684" t="s">
        <v>49702</v>
      </c>
      <c r="F20684" t="s">
        <v>9579</v>
      </c>
      <c r="I20684" t="s">
        <v>9580</v>
      </c>
      <c r="J20684" t="s">
        <v>30</v>
      </c>
      <c r="K20684" t="s">
        <v>9581</v>
      </c>
      <c r="M20684" t="s">
        <v>50621</v>
      </c>
      <c r="N20684" t="str">
        <f t="shared" si="319"/>
        <v>12/1/2023 9:23:00 AM</v>
      </c>
      <c r="O20684" t="s">
        <v>49702</v>
      </c>
    </row>
    <row r="20685" spans="1:20" x14ac:dyDescent="0.25">
      <c r="A20685" t="str">
        <f>"3056627"</f>
        <v>3056627</v>
      </c>
      <c r="B20685" t="s">
        <v>63162</v>
      </c>
      <c r="C20685" t="str">
        <f t="shared" si="318"/>
        <v>82516538</v>
      </c>
      <c r="D20685" t="s">
        <v>49702</v>
      </c>
      <c r="F20685" t="s">
        <v>9579</v>
      </c>
      <c r="I20685" t="s">
        <v>9580</v>
      </c>
      <c r="J20685" t="s">
        <v>30</v>
      </c>
      <c r="K20685" t="s">
        <v>9581</v>
      </c>
      <c r="M20685" t="s">
        <v>50621</v>
      </c>
      <c r="N20685" t="str">
        <f t="shared" si="319"/>
        <v>12/1/2023 9:23:00 AM</v>
      </c>
      <c r="O20685" t="s">
        <v>49702</v>
      </c>
    </row>
    <row r="20686" spans="1:20" x14ac:dyDescent="0.25">
      <c r="A20686" t="str">
        <f>"3056030"</f>
        <v>3056030</v>
      </c>
      <c r="B20686" t="s">
        <v>63163</v>
      </c>
      <c r="C20686" t="str">
        <f t="shared" si="318"/>
        <v>82516538</v>
      </c>
      <c r="D20686" t="s">
        <v>49702</v>
      </c>
      <c r="F20686" t="s">
        <v>9579</v>
      </c>
      <c r="I20686" t="s">
        <v>9580</v>
      </c>
      <c r="J20686" t="s">
        <v>30</v>
      </c>
      <c r="K20686" t="s">
        <v>9581</v>
      </c>
      <c r="M20686" t="s">
        <v>50621</v>
      </c>
      <c r="N20686" t="str">
        <f t="shared" si="319"/>
        <v>12/1/2023 9:23:00 AM</v>
      </c>
      <c r="O20686" t="s">
        <v>49702</v>
      </c>
    </row>
    <row r="20687" spans="1:20" x14ac:dyDescent="0.25">
      <c r="A20687" t="str">
        <f>"3055683"</f>
        <v>3055683</v>
      </c>
      <c r="B20687" t="s">
        <v>63164</v>
      </c>
      <c r="C20687" t="str">
        <f t="shared" si="318"/>
        <v>82516538</v>
      </c>
      <c r="D20687" t="s">
        <v>49702</v>
      </c>
      <c r="F20687" t="s">
        <v>9579</v>
      </c>
      <c r="I20687" t="s">
        <v>9580</v>
      </c>
      <c r="J20687" t="s">
        <v>30</v>
      </c>
      <c r="K20687" t="s">
        <v>9581</v>
      </c>
      <c r="M20687" t="s">
        <v>50621</v>
      </c>
      <c r="N20687" t="str">
        <f t="shared" si="319"/>
        <v>12/1/2023 9:23:00 AM</v>
      </c>
      <c r="O20687" t="s">
        <v>49702</v>
      </c>
    </row>
    <row r="20688" spans="1:20" x14ac:dyDescent="0.25">
      <c r="A20688" t="str">
        <f>"3043128"</f>
        <v>3043128</v>
      </c>
      <c r="B20688" t="s">
        <v>63165</v>
      </c>
      <c r="C20688" t="str">
        <f t="shared" si="318"/>
        <v>82516538</v>
      </c>
      <c r="D20688" t="s">
        <v>49702</v>
      </c>
      <c r="F20688" t="s">
        <v>9579</v>
      </c>
      <c r="I20688" t="s">
        <v>9580</v>
      </c>
      <c r="J20688" t="s">
        <v>30</v>
      </c>
      <c r="K20688" t="s">
        <v>9581</v>
      </c>
      <c r="M20688" t="s">
        <v>50621</v>
      </c>
      <c r="N20688" t="str">
        <f t="shared" si="319"/>
        <v>12/1/2023 9:23:00 AM</v>
      </c>
      <c r="O20688" t="s">
        <v>49702</v>
      </c>
    </row>
    <row r="20689" spans="1:15" x14ac:dyDescent="0.25">
      <c r="A20689" t="str">
        <f>"3044984"</f>
        <v>3044984</v>
      </c>
      <c r="B20689" t="s">
        <v>63166</v>
      </c>
      <c r="C20689" t="str">
        <f t="shared" si="318"/>
        <v>82516538</v>
      </c>
      <c r="D20689" t="s">
        <v>49702</v>
      </c>
      <c r="F20689" t="s">
        <v>9579</v>
      </c>
      <c r="I20689" t="s">
        <v>9580</v>
      </c>
      <c r="J20689" t="s">
        <v>30</v>
      </c>
      <c r="K20689" t="s">
        <v>9581</v>
      </c>
      <c r="M20689" t="s">
        <v>50621</v>
      </c>
      <c r="N20689" t="str">
        <f t="shared" si="319"/>
        <v>12/1/2023 9:23:00 AM</v>
      </c>
      <c r="O20689" t="s">
        <v>49702</v>
      </c>
    </row>
    <row r="20690" spans="1:15" x14ac:dyDescent="0.25">
      <c r="A20690" t="str">
        <f>"3062185"</f>
        <v>3062185</v>
      </c>
      <c r="B20690" t="s">
        <v>63167</v>
      </c>
      <c r="C20690" t="str">
        <f t="shared" si="318"/>
        <v>82516538</v>
      </c>
      <c r="D20690" t="s">
        <v>49702</v>
      </c>
      <c r="F20690" t="s">
        <v>9579</v>
      </c>
      <c r="I20690" t="s">
        <v>9580</v>
      </c>
      <c r="J20690" t="s">
        <v>30</v>
      </c>
      <c r="K20690" t="s">
        <v>9581</v>
      </c>
      <c r="M20690" t="s">
        <v>50621</v>
      </c>
      <c r="N20690" t="str">
        <f t="shared" si="319"/>
        <v>12/1/2023 9:23:00 AM</v>
      </c>
      <c r="O20690" t="s">
        <v>49702</v>
      </c>
    </row>
    <row r="20691" spans="1:15" x14ac:dyDescent="0.25">
      <c r="A20691" t="str">
        <f>"3059161"</f>
        <v>3059161</v>
      </c>
      <c r="B20691" t="s">
        <v>63168</v>
      </c>
      <c r="C20691" t="str">
        <f t="shared" si="318"/>
        <v>82516538</v>
      </c>
      <c r="D20691" t="s">
        <v>49702</v>
      </c>
      <c r="F20691" t="s">
        <v>9579</v>
      </c>
      <c r="I20691" t="s">
        <v>9580</v>
      </c>
      <c r="J20691" t="s">
        <v>30</v>
      </c>
      <c r="K20691" t="s">
        <v>9581</v>
      </c>
      <c r="M20691" t="s">
        <v>50621</v>
      </c>
      <c r="N20691" t="str">
        <f t="shared" si="319"/>
        <v>12/1/2023 9:23:00 AM</v>
      </c>
      <c r="O20691" t="s">
        <v>49702</v>
      </c>
    </row>
    <row r="20692" spans="1:15" x14ac:dyDescent="0.25">
      <c r="A20692" t="str">
        <f>"3059883"</f>
        <v>3059883</v>
      </c>
      <c r="B20692" t="s">
        <v>63169</v>
      </c>
      <c r="C20692" t="str">
        <f t="shared" si="318"/>
        <v>82516538</v>
      </c>
      <c r="D20692" t="s">
        <v>49702</v>
      </c>
      <c r="F20692" t="s">
        <v>9579</v>
      </c>
      <c r="I20692" t="s">
        <v>9580</v>
      </c>
      <c r="J20692" t="s">
        <v>30</v>
      </c>
      <c r="K20692" t="s">
        <v>9581</v>
      </c>
      <c r="M20692" t="s">
        <v>50621</v>
      </c>
      <c r="N20692" t="str">
        <f t="shared" si="319"/>
        <v>12/1/2023 9:23:00 AM</v>
      </c>
      <c r="O20692" t="s">
        <v>49702</v>
      </c>
    </row>
    <row r="20693" spans="1:15" x14ac:dyDescent="0.25">
      <c r="A20693" t="str">
        <f>"3059849"</f>
        <v>3059849</v>
      </c>
      <c r="B20693" t="s">
        <v>63170</v>
      </c>
      <c r="C20693" t="str">
        <f t="shared" si="318"/>
        <v>82516538</v>
      </c>
      <c r="D20693" t="s">
        <v>49702</v>
      </c>
      <c r="F20693" t="s">
        <v>9579</v>
      </c>
      <c r="I20693" t="s">
        <v>9580</v>
      </c>
      <c r="J20693" t="s">
        <v>30</v>
      </c>
      <c r="K20693" t="s">
        <v>9581</v>
      </c>
      <c r="M20693" t="s">
        <v>50621</v>
      </c>
      <c r="N20693" t="str">
        <f t="shared" si="319"/>
        <v>12/1/2023 9:23:00 AM</v>
      </c>
      <c r="O20693" t="s">
        <v>49702</v>
      </c>
    </row>
    <row r="20694" spans="1:15" x14ac:dyDescent="0.25">
      <c r="A20694" t="str">
        <f>"3059808"</f>
        <v>3059808</v>
      </c>
      <c r="B20694" t="s">
        <v>63171</v>
      </c>
      <c r="C20694" t="str">
        <f t="shared" si="318"/>
        <v>82516538</v>
      </c>
      <c r="D20694" t="s">
        <v>49702</v>
      </c>
      <c r="F20694" t="s">
        <v>9579</v>
      </c>
      <c r="I20694" t="s">
        <v>9580</v>
      </c>
      <c r="J20694" t="s">
        <v>30</v>
      </c>
      <c r="K20694" t="s">
        <v>9581</v>
      </c>
      <c r="M20694" t="s">
        <v>50621</v>
      </c>
      <c r="N20694" t="str">
        <f t="shared" si="319"/>
        <v>12/1/2023 9:23:00 AM</v>
      </c>
      <c r="O20694" t="s">
        <v>49702</v>
      </c>
    </row>
    <row r="20695" spans="1:15" x14ac:dyDescent="0.25">
      <c r="A20695" t="str">
        <f>"3073039"</f>
        <v>3073039</v>
      </c>
      <c r="B20695" t="s">
        <v>63172</v>
      </c>
      <c r="C20695" t="str">
        <f t="shared" si="318"/>
        <v>82516538</v>
      </c>
      <c r="D20695" t="s">
        <v>49702</v>
      </c>
      <c r="F20695" t="s">
        <v>9579</v>
      </c>
      <c r="I20695" t="s">
        <v>9580</v>
      </c>
      <c r="J20695" t="s">
        <v>30</v>
      </c>
      <c r="K20695" t="s">
        <v>9581</v>
      </c>
      <c r="M20695" t="s">
        <v>50621</v>
      </c>
      <c r="N20695" t="str">
        <f t="shared" si="319"/>
        <v>12/1/2023 9:23:00 AM</v>
      </c>
      <c r="O20695" t="s">
        <v>49702</v>
      </c>
    </row>
    <row r="20696" spans="1:15" x14ac:dyDescent="0.25">
      <c r="A20696" t="str">
        <f>"3074583"</f>
        <v>3074583</v>
      </c>
      <c r="B20696" t="s">
        <v>63173</v>
      </c>
      <c r="C20696" t="str">
        <f t="shared" si="318"/>
        <v>82516538</v>
      </c>
      <c r="D20696" t="s">
        <v>49702</v>
      </c>
      <c r="F20696" t="s">
        <v>9579</v>
      </c>
      <c r="I20696" t="s">
        <v>9580</v>
      </c>
      <c r="J20696" t="s">
        <v>30</v>
      </c>
      <c r="K20696" t="s">
        <v>9581</v>
      </c>
      <c r="M20696" t="s">
        <v>50621</v>
      </c>
      <c r="N20696" t="str">
        <f t="shared" si="319"/>
        <v>12/1/2023 9:23:00 AM</v>
      </c>
      <c r="O20696" t="s">
        <v>49702</v>
      </c>
    </row>
    <row r="20697" spans="1:15" x14ac:dyDescent="0.25">
      <c r="A20697" t="str">
        <f>"3074577"</f>
        <v>3074577</v>
      </c>
      <c r="B20697" t="s">
        <v>63174</v>
      </c>
      <c r="C20697" t="str">
        <f t="shared" si="318"/>
        <v>82516538</v>
      </c>
      <c r="D20697" t="s">
        <v>49702</v>
      </c>
      <c r="F20697" t="s">
        <v>9579</v>
      </c>
      <c r="I20697" t="s">
        <v>9580</v>
      </c>
      <c r="J20697" t="s">
        <v>30</v>
      </c>
      <c r="K20697" t="s">
        <v>9581</v>
      </c>
      <c r="M20697" t="s">
        <v>50621</v>
      </c>
      <c r="N20697" t="str">
        <f t="shared" si="319"/>
        <v>12/1/2023 9:23:00 AM</v>
      </c>
      <c r="O20697" t="s">
        <v>49702</v>
      </c>
    </row>
    <row r="20698" spans="1:15" x14ac:dyDescent="0.25">
      <c r="A20698" t="str">
        <f>"3074578"</f>
        <v>3074578</v>
      </c>
      <c r="B20698" t="s">
        <v>63175</v>
      </c>
      <c r="C20698" t="str">
        <f t="shared" si="318"/>
        <v>82516538</v>
      </c>
      <c r="D20698" t="s">
        <v>49702</v>
      </c>
      <c r="F20698" t="s">
        <v>9579</v>
      </c>
      <c r="I20698" t="s">
        <v>9580</v>
      </c>
      <c r="J20698" t="s">
        <v>30</v>
      </c>
      <c r="K20698" t="s">
        <v>9581</v>
      </c>
      <c r="M20698" t="s">
        <v>50621</v>
      </c>
      <c r="N20698" t="str">
        <f t="shared" si="319"/>
        <v>12/1/2023 9:23:00 AM</v>
      </c>
      <c r="O20698" t="s">
        <v>49702</v>
      </c>
    </row>
    <row r="20699" spans="1:15" x14ac:dyDescent="0.25">
      <c r="A20699" t="str">
        <f>"3074580"</f>
        <v>3074580</v>
      </c>
      <c r="B20699" t="s">
        <v>63176</v>
      </c>
      <c r="C20699" t="str">
        <f t="shared" si="318"/>
        <v>82516538</v>
      </c>
      <c r="D20699" t="s">
        <v>49702</v>
      </c>
      <c r="F20699" t="s">
        <v>9579</v>
      </c>
      <c r="I20699" t="s">
        <v>9580</v>
      </c>
      <c r="J20699" t="s">
        <v>30</v>
      </c>
      <c r="K20699" t="s">
        <v>9581</v>
      </c>
      <c r="M20699" t="s">
        <v>50621</v>
      </c>
      <c r="N20699" t="str">
        <f t="shared" si="319"/>
        <v>12/1/2023 9:23:00 AM</v>
      </c>
      <c r="O20699" t="s">
        <v>49702</v>
      </c>
    </row>
    <row r="20700" spans="1:15" x14ac:dyDescent="0.25">
      <c r="A20700" t="str">
        <f>"3074581"</f>
        <v>3074581</v>
      </c>
      <c r="B20700" t="s">
        <v>63177</v>
      </c>
      <c r="C20700" t="str">
        <f t="shared" si="318"/>
        <v>82516538</v>
      </c>
      <c r="D20700" t="s">
        <v>49702</v>
      </c>
      <c r="F20700" t="s">
        <v>9579</v>
      </c>
      <c r="I20700" t="s">
        <v>9580</v>
      </c>
      <c r="J20700" t="s">
        <v>30</v>
      </c>
      <c r="K20700" t="s">
        <v>9581</v>
      </c>
      <c r="M20700" t="s">
        <v>50621</v>
      </c>
      <c r="N20700" t="str">
        <f t="shared" si="319"/>
        <v>12/1/2023 9:23:00 AM</v>
      </c>
      <c r="O20700" t="s">
        <v>49702</v>
      </c>
    </row>
    <row r="20701" spans="1:15" x14ac:dyDescent="0.25">
      <c r="A20701" t="str">
        <f>"3074597"</f>
        <v>3074597</v>
      </c>
      <c r="B20701" t="s">
        <v>63178</v>
      </c>
      <c r="C20701" t="str">
        <f t="shared" si="318"/>
        <v>82516538</v>
      </c>
      <c r="D20701" t="s">
        <v>49702</v>
      </c>
      <c r="F20701" t="s">
        <v>9579</v>
      </c>
      <c r="I20701" t="s">
        <v>9580</v>
      </c>
      <c r="J20701" t="s">
        <v>30</v>
      </c>
      <c r="K20701" t="s">
        <v>9581</v>
      </c>
      <c r="M20701" t="s">
        <v>50621</v>
      </c>
      <c r="N20701" t="str">
        <f t="shared" si="319"/>
        <v>12/1/2023 9:23:00 AM</v>
      </c>
      <c r="O20701" t="s">
        <v>49702</v>
      </c>
    </row>
    <row r="20702" spans="1:15" x14ac:dyDescent="0.25">
      <c r="A20702" t="str">
        <f>"3074582"</f>
        <v>3074582</v>
      </c>
      <c r="B20702" t="s">
        <v>63179</v>
      </c>
      <c r="C20702" t="str">
        <f t="shared" si="318"/>
        <v>82516538</v>
      </c>
      <c r="D20702" t="s">
        <v>49702</v>
      </c>
      <c r="F20702" t="s">
        <v>9579</v>
      </c>
      <c r="I20702" t="s">
        <v>9580</v>
      </c>
      <c r="J20702" t="s">
        <v>30</v>
      </c>
      <c r="K20702" t="s">
        <v>9581</v>
      </c>
      <c r="M20702" t="s">
        <v>50621</v>
      </c>
      <c r="N20702" t="str">
        <f t="shared" si="319"/>
        <v>12/1/2023 9:23:00 AM</v>
      </c>
      <c r="O20702" t="s">
        <v>49702</v>
      </c>
    </row>
    <row r="20703" spans="1:15" x14ac:dyDescent="0.25">
      <c r="A20703" t="str">
        <f>"3074618"</f>
        <v>3074618</v>
      </c>
      <c r="B20703" t="s">
        <v>63180</v>
      </c>
      <c r="C20703" t="str">
        <f t="shared" si="318"/>
        <v>82516538</v>
      </c>
      <c r="D20703" t="s">
        <v>49702</v>
      </c>
      <c r="F20703" t="s">
        <v>9579</v>
      </c>
      <c r="I20703" t="s">
        <v>9580</v>
      </c>
      <c r="J20703" t="s">
        <v>30</v>
      </c>
      <c r="K20703" t="s">
        <v>9581</v>
      </c>
      <c r="M20703" t="s">
        <v>50621</v>
      </c>
      <c r="N20703" t="str">
        <f t="shared" si="319"/>
        <v>12/1/2023 9:23:00 AM</v>
      </c>
      <c r="O20703" t="s">
        <v>49702</v>
      </c>
    </row>
    <row r="20704" spans="1:15" x14ac:dyDescent="0.25">
      <c r="A20704" t="str">
        <f>"3074605"</f>
        <v>3074605</v>
      </c>
      <c r="B20704" t="s">
        <v>63181</v>
      </c>
      <c r="C20704" t="str">
        <f t="shared" si="318"/>
        <v>82516538</v>
      </c>
      <c r="D20704" t="s">
        <v>49702</v>
      </c>
      <c r="F20704" t="s">
        <v>9579</v>
      </c>
      <c r="I20704" t="s">
        <v>9580</v>
      </c>
      <c r="J20704" t="s">
        <v>30</v>
      </c>
      <c r="K20704" t="s">
        <v>9581</v>
      </c>
      <c r="M20704" t="s">
        <v>50621</v>
      </c>
      <c r="N20704" t="str">
        <f t="shared" si="319"/>
        <v>12/1/2023 9:23:00 AM</v>
      </c>
      <c r="O20704" t="s">
        <v>49702</v>
      </c>
    </row>
    <row r="20705" spans="1:15" x14ac:dyDescent="0.25">
      <c r="A20705" t="str">
        <f>"3074607"</f>
        <v>3074607</v>
      </c>
      <c r="B20705" t="s">
        <v>63182</v>
      </c>
      <c r="C20705" t="str">
        <f t="shared" si="318"/>
        <v>82516538</v>
      </c>
      <c r="D20705" t="s">
        <v>49702</v>
      </c>
      <c r="F20705" t="s">
        <v>9579</v>
      </c>
      <c r="I20705" t="s">
        <v>9580</v>
      </c>
      <c r="J20705" t="s">
        <v>30</v>
      </c>
      <c r="K20705" t="s">
        <v>9581</v>
      </c>
      <c r="M20705" t="s">
        <v>50621</v>
      </c>
      <c r="N20705" t="str">
        <f t="shared" si="319"/>
        <v>12/1/2023 9:23:00 AM</v>
      </c>
      <c r="O20705" t="s">
        <v>49702</v>
      </c>
    </row>
    <row r="20706" spans="1:15" x14ac:dyDescent="0.25">
      <c r="A20706" t="str">
        <f>"3074608"</f>
        <v>3074608</v>
      </c>
      <c r="B20706" t="s">
        <v>63183</v>
      </c>
      <c r="C20706" t="str">
        <f t="shared" si="318"/>
        <v>82516538</v>
      </c>
      <c r="D20706" t="s">
        <v>49702</v>
      </c>
      <c r="F20706" t="s">
        <v>9579</v>
      </c>
      <c r="I20706" t="s">
        <v>9580</v>
      </c>
      <c r="J20706" t="s">
        <v>30</v>
      </c>
      <c r="K20706" t="s">
        <v>9581</v>
      </c>
      <c r="M20706" t="s">
        <v>50621</v>
      </c>
      <c r="N20706" t="str">
        <f t="shared" si="319"/>
        <v>12/1/2023 9:23:00 AM</v>
      </c>
      <c r="O20706" t="s">
        <v>49702</v>
      </c>
    </row>
    <row r="20707" spans="1:15" x14ac:dyDescent="0.25">
      <c r="A20707" t="str">
        <f>"3074609"</f>
        <v>3074609</v>
      </c>
      <c r="B20707" t="s">
        <v>63184</v>
      </c>
      <c r="C20707" t="str">
        <f t="shared" si="318"/>
        <v>82516538</v>
      </c>
      <c r="D20707" t="s">
        <v>49702</v>
      </c>
      <c r="F20707" t="s">
        <v>9579</v>
      </c>
      <c r="I20707" t="s">
        <v>9580</v>
      </c>
      <c r="J20707" t="s">
        <v>30</v>
      </c>
      <c r="K20707" t="s">
        <v>9581</v>
      </c>
      <c r="M20707" t="s">
        <v>50621</v>
      </c>
      <c r="N20707" t="str">
        <f t="shared" si="319"/>
        <v>12/1/2023 9:23:00 AM</v>
      </c>
      <c r="O20707" t="s">
        <v>49702</v>
      </c>
    </row>
    <row r="20708" spans="1:15" x14ac:dyDescent="0.25">
      <c r="A20708" t="str">
        <f>"3074611"</f>
        <v>3074611</v>
      </c>
      <c r="B20708" t="s">
        <v>63185</v>
      </c>
      <c r="C20708" t="str">
        <f t="shared" si="318"/>
        <v>82516538</v>
      </c>
      <c r="D20708" t="s">
        <v>49702</v>
      </c>
      <c r="F20708" t="s">
        <v>9579</v>
      </c>
      <c r="I20708" t="s">
        <v>9580</v>
      </c>
      <c r="J20708" t="s">
        <v>30</v>
      </c>
      <c r="K20708" t="s">
        <v>9581</v>
      </c>
      <c r="M20708" t="s">
        <v>50621</v>
      </c>
      <c r="N20708" t="str">
        <f t="shared" si="319"/>
        <v>12/1/2023 9:23:00 AM</v>
      </c>
      <c r="O20708" t="s">
        <v>49702</v>
      </c>
    </row>
    <row r="20709" spans="1:15" x14ac:dyDescent="0.25">
      <c r="A20709" t="str">
        <f>"3077937"</f>
        <v>3077937</v>
      </c>
      <c r="B20709" t="s">
        <v>63186</v>
      </c>
      <c r="C20709" t="str">
        <f t="shared" ref="C20709:C20736" si="320">"82516538"</f>
        <v>82516538</v>
      </c>
      <c r="D20709" t="s">
        <v>49702</v>
      </c>
      <c r="F20709" t="s">
        <v>9579</v>
      </c>
      <c r="I20709" t="s">
        <v>9580</v>
      </c>
      <c r="J20709" t="s">
        <v>30</v>
      </c>
      <c r="K20709" t="s">
        <v>9581</v>
      </c>
      <c r="M20709" t="s">
        <v>50621</v>
      </c>
      <c r="N20709" t="str">
        <f t="shared" ref="N20709:N20736" si="321">"12/1/2023 9:23:00 AM"</f>
        <v>12/1/2023 9:23:00 AM</v>
      </c>
      <c r="O20709" t="s">
        <v>49702</v>
      </c>
    </row>
    <row r="20710" spans="1:15" x14ac:dyDescent="0.25">
      <c r="A20710" t="str">
        <f>"3057251"</f>
        <v>3057251</v>
      </c>
      <c r="B20710" t="s">
        <v>63187</v>
      </c>
      <c r="C20710" t="str">
        <f t="shared" si="320"/>
        <v>82516538</v>
      </c>
      <c r="D20710" t="s">
        <v>49702</v>
      </c>
      <c r="F20710" t="s">
        <v>9579</v>
      </c>
      <c r="I20710" t="s">
        <v>9580</v>
      </c>
      <c r="J20710" t="s">
        <v>30</v>
      </c>
      <c r="K20710" t="s">
        <v>9581</v>
      </c>
      <c r="M20710" t="s">
        <v>50621</v>
      </c>
      <c r="N20710" t="str">
        <f t="shared" si="321"/>
        <v>12/1/2023 9:23:00 AM</v>
      </c>
      <c r="O20710" t="s">
        <v>49702</v>
      </c>
    </row>
    <row r="20711" spans="1:15" x14ac:dyDescent="0.25">
      <c r="A20711" t="str">
        <f>"3056881"</f>
        <v>3056881</v>
      </c>
      <c r="B20711" t="s">
        <v>63188</v>
      </c>
      <c r="C20711" t="str">
        <f t="shared" si="320"/>
        <v>82516538</v>
      </c>
      <c r="D20711" t="s">
        <v>49702</v>
      </c>
      <c r="F20711" t="s">
        <v>9579</v>
      </c>
      <c r="I20711" t="s">
        <v>9580</v>
      </c>
      <c r="J20711" t="s">
        <v>30</v>
      </c>
      <c r="K20711" t="s">
        <v>9581</v>
      </c>
      <c r="M20711" t="s">
        <v>50621</v>
      </c>
      <c r="N20711" t="str">
        <f t="shared" si="321"/>
        <v>12/1/2023 9:23:00 AM</v>
      </c>
      <c r="O20711" t="s">
        <v>49702</v>
      </c>
    </row>
    <row r="20712" spans="1:15" x14ac:dyDescent="0.25">
      <c r="A20712" t="str">
        <f>"3056884"</f>
        <v>3056884</v>
      </c>
      <c r="B20712" t="s">
        <v>63189</v>
      </c>
      <c r="C20712" t="str">
        <f t="shared" si="320"/>
        <v>82516538</v>
      </c>
      <c r="D20712" t="s">
        <v>49702</v>
      </c>
      <c r="F20712" t="s">
        <v>9579</v>
      </c>
      <c r="I20712" t="s">
        <v>9580</v>
      </c>
      <c r="J20712" t="s">
        <v>30</v>
      </c>
      <c r="K20712" t="s">
        <v>9581</v>
      </c>
      <c r="M20712" t="s">
        <v>50621</v>
      </c>
      <c r="N20712" t="str">
        <f t="shared" si="321"/>
        <v>12/1/2023 9:23:00 AM</v>
      </c>
      <c r="O20712" t="s">
        <v>49702</v>
      </c>
    </row>
    <row r="20713" spans="1:15" x14ac:dyDescent="0.25">
      <c r="A20713" t="str">
        <f>"3056885"</f>
        <v>3056885</v>
      </c>
      <c r="B20713" t="s">
        <v>63190</v>
      </c>
      <c r="C20713" t="str">
        <f t="shared" si="320"/>
        <v>82516538</v>
      </c>
      <c r="D20713" t="s">
        <v>49702</v>
      </c>
      <c r="F20713" t="s">
        <v>9579</v>
      </c>
      <c r="I20713" t="s">
        <v>9580</v>
      </c>
      <c r="J20713" t="s">
        <v>30</v>
      </c>
      <c r="K20713" t="s">
        <v>9581</v>
      </c>
      <c r="M20713" t="s">
        <v>50621</v>
      </c>
      <c r="N20713" t="str">
        <f t="shared" si="321"/>
        <v>12/1/2023 9:23:00 AM</v>
      </c>
      <c r="O20713" t="s">
        <v>49702</v>
      </c>
    </row>
    <row r="20714" spans="1:15" x14ac:dyDescent="0.25">
      <c r="A20714" t="str">
        <f>"3056886"</f>
        <v>3056886</v>
      </c>
      <c r="B20714" t="s">
        <v>63191</v>
      </c>
      <c r="C20714" t="str">
        <f t="shared" si="320"/>
        <v>82516538</v>
      </c>
      <c r="D20714" t="s">
        <v>49702</v>
      </c>
      <c r="F20714" t="s">
        <v>9579</v>
      </c>
      <c r="I20714" t="s">
        <v>9580</v>
      </c>
      <c r="J20714" t="s">
        <v>30</v>
      </c>
      <c r="K20714" t="s">
        <v>9581</v>
      </c>
      <c r="M20714" t="s">
        <v>50621</v>
      </c>
      <c r="N20714" t="str">
        <f t="shared" si="321"/>
        <v>12/1/2023 9:23:00 AM</v>
      </c>
      <c r="O20714" t="s">
        <v>49702</v>
      </c>
    </row>
    <row r="20715" spans="1:15" x14ac:dyDescent="0.25">
      <c r="A20715" t="str">
        <f>"3056929"</f>
        <v>3056929</v>
      </c>
      <c r="B20715" t="s">
        <v>63192</v>
      </c>
      <c r="C20715" t="str">
        <f t="shared" si="320"/>
        <v>82516538</v>
      </c>
      <c r="D20715" t="s">
        <v>49702</v>
      </c>
      <c r="F20715" t="s">
        <v>9579</v>
      </c>
      <c r="I20715" t="s">
        <v>9580</v>
      </c>
      <c r="J20715" t="s">
        <v>30</v>
      </c>
      <c r="K20715" t="s">
        <v>9581</v>
      </c>
      <c r="M20715" t="s">
        <v>50621</v>
      </c>
      <c r="N20715" t="str">
        <f t="shared" si="321"/>
        <v>12/1/2023 9:23:00 AM</v>
      </c>
      <c r="O20715" t="s">
        <v>49702</v>
      </c>
    </row>
    <row r="20716" spans="1:15" x14ac:dyDescent="0.25">
      <c r="A20716" t="str">
        <f>"3056912"</f>
        <v>3056912</v>
      </c>
      <c r="B20716" t="s">
        <v>63193</v>
      </c>
      <c r="C20716" t="str">
        <f t="shared" si="320"/>
        <v>82516538</v>
      </c>
      <c r="D20716" t="s">
        <v>49702</v>
      </c>
      <c r="F20716" t="s">
        <v>9579</v>
      </c>
      <c r="I20716" t="s">
        <v>9580</v>
      </c>
      <c r="J20716" t="s">
        <v>30</v>
      </c>
      <c r="K20716" t="s">
        <v>9581</v>
      </c>
      <c r="M20716" t="s">
        <v>50621</v>
      </c>
      <c r="N20716" t="str">
        <f t="shared" si="321"/>
        <v>12/1/2023 9:23:00 AM</v>
      </c>
      <c r="O20716" t="s">
        <v>49702</v>
      </c>
    </row>
    <row r="20717" spans="1:15" x14ac:dyDescent="0.25">
      <c r="A20717" t="str">
        <f>"3056913"</f>
        <v>3056913</v>
      </c>
      <c r="B20717" t="s">
        <v>63194</v>
      </c>
      <c r="C20717" t="str">
        <f t="shared" si="320"/>
        <v>82516538</v>
      </c>
      <c r="D20717" t="s">
        <v>49702</v>
      </c>
      <c r="F20717" t="s">
        <v>9579</v>
      </c>
      <c r="I20717" t="s">
        <v>9580</v>
      </c>
      <c r="J20717" t="s">
        <v>30</v>
      </c>
      <c r="K20717" t="s">
        <v>9581</v>
      </c>
      <c r="M20717" t="s">
        <v>50621</v>
      </c>
      <c r="N20717" t="str">
        <f t="shared" si="321"/>
        <v>12/1/2023 9:23:00 AM</v>
      </c>
      <c r="O20717" t="s">
        <v>49702</v>
      </c>
    </row>
    <row r="20718" spans="1:15" x14ac:dyDescent="0.25">
      <c r="A20718" t="str">
        <f>"3056905"</f>
        <v>3056905</v>
      </c>
      <c r="B20718" t="s">
        <v>63195</v>
      </c>
      <c r="C20718" t="str">
        <f t="shared" si="320"/>
        <v>82516538</v>
      </c>
      <c r="D20718" t="s">
        <v>49702</v>
      </c>
      <c r="F20718" t="s">
        <v>9579</v>
      </c>
      <c r="I20718" t="s">
        <v>9580</v>
      </c>
      <c r="J20718" t="s">
        <v>30</v>
      </c>
      <c r="K20718" t="s">
        <v>9581</v>
      </c>
      <c r="M20718" t="s">
        <v>50621</v>
      </c>
      <c r="N20718" t="str">
        <f t="shared" si="321"/>
        <v>12/1/2023 9:23:00 AM</v>
      </c>
      <c r="O20718" t="s">
        <v>49702</v>
      </c>
    </row>
    <row r="20719" spans="1:15" x14ac:dyDescent="0.25">
      <c r="A20719" t="str">
        <f>"3056906"</f>
        <v>3056906</v>
      </c>
      <c r="B20719" t="s">
        <v>63196</v>
      </c>
      <c r="C20719" t="str">
        <f t="shared" si="320"/>
        <v>82516538</v>
      </c>
      <c r="D20719" t="s">
        <v>49702</v>
      </c>
      <c r="F20719" t="s">
        <v>9579</v>
      </c>
      <c r="I20719" t="s">
        <v>9580</v>
      </c>
      <c r="J20719" t="s">
        <v>30</v>
      </c>
      <c r="K20719" t="s">
        <v>9581</v>
      </c>
      <c r="M20719" t="s">
        <v>50621</v>
      </c>
      <c r="N20719" t="str">
        <f t="shared" si="321"/>
        <v>12/1/2023 9:23:00 AM</v>
      </c>
      <c r="O20719" t="s">
        <v>49702</v>
      </c>
    </row>
    <row r="20720" spans="1:15" x14ac:dyDescent="0.25">
      <c r="A20720" t="str">
        <f>"3056907"</f>
        <v>3056907</v>
      </c>
      <c r="B20720" t="s">
        <v>63197</v>
      </c>
      <c r="C20720" t="str">
        <f t="shared" si="320"/>
        <v>82516538</v>
      </c>
      <c r="D20720" t="s">
        <v>49702</v>
      </c>
      <c r="F20720" t="s">
        <v>9579</v>
      </c>
      <c r="I20720" t="s">
        <v>9580</v>
      </c>
      <c r="J20720" t="s">
        <v>30</v>
      </c>
      <c r="K20720" t="s">
        <v>9581</v>
      </c>
      <c r="M20720" t="s">
        <v>50621</v>
      </c>
      <c r="N20720" t="str">
        <f t="shared" si="321"/>
        <v>12/1/2023 9:23:00 AM</v>
      </c>
      <c r="O20720" t="s">
        <v>49702</v>
      </c>
    </row>
    <row r="20721" spans="1:15" x14ac:dyDescent="0.25">
      <c r="A20721" t="str">
        <f>"3049537"</f>
        <v>3049537</v>
      </c>
      <c r="B20721" t="s">
        <v>63198</v>
      </c>
      <c r="C20721" t="str">
        <f t="shared" si="320"/>
        <v>82516538</v>
      </c>
      <c r="D20721" t="s">
        <v>49702</v>
      </c>
      <c r="F20721" t="s">
        <v>9579</v>
      </c>
      <c r="I20721" t="s">
        <v>9580</v>
      </c>
      <c r="J20721" t="s">
        <v>30</v>
      </c>
      <c r="K20721" t="s">
        <v>9581</v>
      </c>
      <c r="M20721" t="s">
        <v>50621</v>
      </c>
      <c r="N20721" t="str">
        <f t="shared" si="321"/>
        <v>12/1/2023 9:23:00 AM</v>
      </c>
      <c r="O20721" t="s">
        <v>49702</v>
      </c>
    </row>
    <row r="20722" spans="1:15" x14ac:dyDescent="0.25">
      <c r="A20722" t="str">
        <f>"3048686"</f>
        <v>3048686</v>
      </c>
      <c r="B20722" t="s">
        <v>63199</v>
      </c>
      <c r="C20722" t="str">
        <f t="shared" si="320"/>
        <v>82516538</v>
      </c>
      <c r="D20722" t="s">
        <v>49702</v>
      </c>
      <c r="F20722" t="s">
        <v>9579</v>
      </c>
      <c r="I20722" t="s">
        <v>9580</v>
      </c>
      <c r="J20722" t="s">
        <v>30</v>
      </c>
      <c r="K20722" t="s">
        <v>9581</v>
      </c>
      <c r="M20722" t="s">
        <v>50621</v>
      </c>
      <c r="N20722" t="str">
        <f t="shared" si="321"/>
        <v>12/1/2023 9:23:00 AM</v>
      </c>
      <c r="O20722" t="s">
        <v>49702</v>
      </c>
    </row>
    <row r="20723" spans="1:15" x14ac:dyDescent="0.25">
      <c r="A20723" t="str">
        <f>"3052840"</f>
        <v>3052840</v>
      </c>
      <c r="B20723" t="s">
        <v>63200</v>
      </c>
      <c r="C20723" t="str">
        <f t="shared" si="320"/>
        <v>82516538</v>
      </c>
      <c r="D20723" t="s">
        <v>49702</v>
      </c>
      <c r="F20723" t="s">
        <v>9579</v>
      </c>
      <c r="I20723" t="s">
        <v>9580</v>
      </c>
      <c r="J20723" t="s">
        <v>30</v>
      </c>
      <c r="K20723" t="s">
        <v>9581</v>
      </c>
      <c r="M20723" t="s">
        <v>50621</v>
      </c>
      <c r="N20723" t="str">
        <f t="shared" si="321"/>
        <v>12/1/2023 9:23:00 AM</v>
      </c>
      <c r="O20723" t="s">
        <v>49702</v>
      </c>
    </row>
    <row r="20724" spans="1:15" x14ac:dyDescent="0.25">
      <c r="A20724" t="str">
        <f>"3054023"</f>
        <v>3054023</v>
      </c>
      <c r="B20724" t="s">
        <v>63201</v>
      </c>
      <c r="C20724" t="str">
        <f t="shared" si="320"/>
        <v>82516538</v>
      </c>
      <c r="D20724" t="s">
        <v>49702</v>
      </c>
      <c r="F20724" t="s">
        <v>9579</v>
      </c>
      <c r="I20724" t="s">
        <v>9580</v>
      </c>
      <c r="J20724" t="s">
        <v>30</v>
      </c>
      <c r="K20724" t="s">
        <v>9581</v>
      </c>
      <c r="M20724" t="s">
        <v>50621</v>
      </c>
      <c r="N20724" t="str">
        <f t="shared" si="321"/>
        <v>12/1/2023 9:23:00 AM</v>
      </c>
      <c r="O20724" t="s">
        <v>49702</v>
      </c>
    </row>
    <row r="20725" spans="1:15" x14ac:dyDescent="0.25">
      <c r="A20725" t="str">
        <f>"3054016"</f>
        <v>3054016</v>
      </c>
      <c r="B20725" t="s">
        <v>63202</v>
      </c>
      <c r="C20725" t="str">
        <f t="shared" si="320"/>
        <v>82516538</v>
      </c>
      <c r="D20725" t="s">
        <v>49702</v>
      </c>
      <c r="F20725" t="s">
        <v>9579</v>
      </c>
      <c r="I20725" t="s">
        <v>9580</v>
      </c>
      <c r="J20725" t="s">
        <v>30</v>
      </c>
      <c r="K20725" t="s">
        <v>9581</v>
      </c>
      <c r="M20725" t="s">
        <v>50621</v>
      </c>
      <c r="N20725" t="str">
        <f t="shared" si="321"/>
        <v>12/1/2023 9:23:00 AM</v>
      </c>
      <c r="O20725" t="s">
        <v>49702</v>
      </c>
    </row>
    <row r="20726" spans="1:15" x14ac:dyDescent="0.25">
      <c r="A20726" t="str">
        <f>"3054043"</f>
        <v>3054043</v>
      </c>
      <c r="B20726" t="s">
        <v>63203</v>
      </c>
      <c r="C20726" t="str">
        <f t="shared" si="320"/>
        <v>82516538</v>
      </c>
      <c r="D20726" t="s">
        <v>49702</v>
      </c>
      <c r="F20726" t="s">
        <v>9579</v>
      </c>
      <c r="I20726" t="s">
        <v>9580</v>
      </c>
      <c r="J20726" t="s">
        <v>30</v>
      </c>
      <c r="K20726" t="s">
        <v>9581</v>
      </c>
      <c r="M20726" t="s">
        <v>50621</v>
      </c>
      <c r="N20726" t="str">
        <f t="shared" si="321"/>
        <v>12/1/2023 9:23:00 AM</v>
      </c>
      <c r="O20726" t="s">
        <v>49702</v>
      </c>
    </row>
    <row r="20727" spans="1:15" x14ac:dyDescent="0.25">
      <c r="A20727" t="str">
        <f>"3057297"</f>
        <v>3057297</v>
      </c>
      <c r="B20727" t="s">
        <v>63204</v>
      </c>
      <c r="C20727" t="str">
        <f t="shared" si="320"/>
        <v>82516538</v>
      </c>
      <c r="D20727" t="s">
        <v>49702</v>
      </c>
      <c r="F20727" t="s">
        <v>9579</v>
      </c>
      <c r="I20727" t="s">
        <v>9580</v>
      </c>
      <c r="J20727" t="s">
        <v>30</v>
      </c>
      <c r="K20727" t="s">
        <v>9581</v>
      </c>
      <c r="M20727" t="s">
        <v>50621</v>
      </c>
      <c r="N20727" t="str">
        <f t="shared" si="321"/>
        <v>12/1/2023 9:23:00 AM</v>
      </c>
      <c r="O20727" t="s">
        <v>49702</v>
      </c>
    </row>
    <row r="20728" spans="1:15" x14ac:dyDescent="0.25">
      <c r="A20728" t="str">
        <f>"3057298"</f>
        <v>3057298</v>
      </c>
      <c r="B20728" t="s">
        <v>63205</v>
      </c>
      <c r="C20728" t="str">
        <f t="shared" si="320"/>
        <v>82516538</v>
      </c>
      <c r="D20728" t="s">
        <v>49702</v>
      </c>
      <c r="F20728" t="s">
        <v>9579</v>
      </c>
      <c r="I20728" t="s">
        <v>9580</v>
      </c>
      <c r="J20728" t="s">
        <v>30</v>
      </c>
      <c r="K20728" t="s">
        <v>9581</v>
      </c>
      <c r="M20728" t="s">
        <v>50621</v>
      </c>
      <c r="N20728" t="str">
        <f t="shared" si="321"/>
        <v>12/1/2023 9:23:00 AM</v>
      </c>
      <c r="O20728" t="s">
        <v>49702</v>
      </c>
    </row>
    <row r="20729" spans="1:15" x14ac:dyDescent="0.25">
      <c r="A20729" t="str">
        <f>"3057305"</f>
        <v>3057305</v>
      </c>
      <c r="B20729" t="s">
        <v>63206</v>
      </c>
      <c r="C20729" t="str">
        <f t="shared" si="320"/>
        <v>82516538</v>
      </c>
      <c r="D20729" t="s">
        <v>49702</v>
      </c>
      <c r="F20729" t="s">
        <v>9579</v>
      </c>
      <c r="I20729" t="s">
        <v>9580</v>
      </c>
      <c r="J20729" t="s">
        <v>30</v>
      </c>
      <c r="K20729" t="s">
        <v>9581</v>
      </c>
      <c r="M20729" t="s">
        <v>50621</v>
      </c>
      <c r="N20729" t="str">
        <f t="shared" si="321"/>
        <v>12/1/2023 9:23:00 AM</v>
      </c>
      <c r="O20729" t="s">
        <v>49702</v>
      </c>
    </row>
    <row r="20730" spans="1:15" x14ac:dyDescent="0.25">
      <c r="A20730" t="str">
        <f>"3057306"</f>
        <v>3057306</v>
      </c>
      <c r="B20730" t="s">
        <v>63207</v>
      </c>
      <c r="C20730" t="str">
        <f t="shared" si="320"/>
        <v>82516538</v>
      </c>
      <c r="D20730" t="s">
        <v>49702</v>
      </c>
      <c r="F20730" t="s">
        <v>9579</v>
      </c>
      <c r="I20730" t="s">
        <v>9580</v>
      </c>
      <c r="J20730" t="s">
        <v>30</v>
      </c>
      <c r="K20730" t="s">
        <v>9581</v>
      </c>
      <c r="M20730" t="s">
        <v>50621</v>
      </c>
      <c r="N20730" t="str">
        <f t="shared" si="321"/>
        <v>12/1/2023 9:23:00 AM</v>
      </c>
      <c r="O20730" t="s">
        <v>49702</v>
      </c>
    </row>
    <row r="20731" spans="1:15" x14ac:dyDescent="0.25">
      <c r="A20731" t="str">
        <f>"3057307"</f>
        <v>3057307</v>
      </c>
      <c r="B20731" t="s">
        <v>63208</v>
      </c>
      <c r="C20731" t="str">
        <f t="shared" si="320"/>
        <v>82516538</v>
      </c>
      <c r="D20731" t="s">
        <v>49702</v>
      </c>
      <c r="F20731" t="s">
        <v>9579</v>
      </c>
      <c r="I20731" t="s">
        <v>9580</v>
      </c>
      <c r="J20731" t="s">
        <v>30</v>
      </c>
      <c r="K20731" t="s">
        <v>9581</v>
      </c>
      <c r="M20731" t="s">
        <v>50621</v>
      </c>
      <c r="N20731" t="str">
        <f t="shared" si="321"/>
        <v>12/1/2023 9:23:00 AM</v>
      </c>
      <c r="O20731" t="s">
        <v>49702</v>
      </c>
    </row>
    <row r="20732" spans="1:15" x14ac:dyDescent="0.25">
      <c r="A20732" t="str">
        <f>"3057294"</f>
        <v>3057294</v>
      </c>
      <c r="B20732" t="s">
        <v>63209</v>
      </c>
      <c r="C20732" t="str">
        <f t="shared" si="320"/>
        <v>82516538</v>
      </c>
      <c r="D20732" t="s">
        <v>49702</v>
      </c>
      <c r="F20732" t="s">
        <v>9579</v>
      </c>
      <c r="I20732" t="s">
        <v>9580</v>
      </c>
      <c r="J20732" t="s">
        <v>30</v>
      </c>
      <c r="K20732" t="s">
        <v>9581</v>
      </c>
      <c r="M20732" t="s">
        <v>50621</v>
      </c>
      <c r="N20732" t="str">
        <f t="shared" si="321"/>
        <v>12/1/2023 9:23:00 AM</v>
      </c>
      <c r="O20732" t="s">
        <v>49702</v>
      </c>
    </row>
    <row r="20733" spans="1:15" x14ac:dyDescent="0.25">
      <c r="A20733" t="str">
        <f>"3057295"</f>
        <v>3057295</v>
      </c>
      <c r="B20733" t="s">
        <v>63210</v>
      </c>
      <c r="C20733" t="str">
        <f t="shared" si="320"/>
        <v>82516538</v>
      </c>
      <c r="D20733" t="s">
        <v>49702</v>
      </c>
      <c r="F20733" t="s">
        <v>9579</v>
      </c>
      <c r="I20733" t="s">
        <v>9580</v>
      </c>
      <c r="J20733" t="s">
        <v>30</v>
      </c>
      <c r="K20733" t="s">
        <v>9581</v>
      </c>
      <c r="M20733" t="s">
        <v>50621</v>
      </c>
      <c r="N20733" t="str">
        <f t="shared" si="321"/>
        <v>12/1/2023 9:23:00 AM</v>
      </c>
      <c r="O20733" t="s">
        <v>49702</v>
      </c>
    </row>
    <row r="20734" spans="1:15" x14ac:dyDescent="0.25">
      <c r="A20734" t="str">
        <f>"3078891"</f>
        <v>3078891</v>
      </c>
      <c r="B20734" t="s">
        <v>63211</v>
      </c>
      <c r="C20734" t="str">
        <f t="shared" si="320"/>
        <v>82516538</v>
      </c>
      <c r="D20734" t="s">
        <v>49702</v>
      </c>
      <c r="F20734" t="s">
        <v>9579</v>
      </c>
      <c r="I20734" t="s">
        <v>9580</v>
      </c>
      <c r="J20734" t="s">
        <v>30</v>
      </c>
      <c r="K20734" t="s">
        <v>9581</v>
      </c>
      <c r="M20734" t="s">
        <v>50621</v>
      </c>
      <c r="N20734" t="str">
        <f t="shared" si="321"/>
        <v>12/1/2023 9:23:00 AM</v>
      </c>
      <c r="O20734" t="s">
        <v>49702</v>
      </c>
    </row>
    <row r="20735" spans="1:15" x14ac:dyDescent="0.25">
      <c r="A20735" t="str">
        <f>"3078817"</f>
        <v>3078817</v>
      </c>
      <c r="B20735" t="s">
        <v>63212</v>
      </c>
      <c r="C20735" t="str">
        <f t="shared" si="320"/>
        <v>82516538</v>
      </c>
      <c r="D20735" t="s">
        <v>49702</v>
      </c>
      <c r="F20735" t="s">
        <v>9579</v>
      </c>
      <c r="I20735" t="s">
        <v>9580</v>
      </c>
      <c r="J20735" t="s">
        <v>30</v>
      </c>
      <c r="K20735" t="s">
        <v>9581</v>
      </c>
      <c r="M20735" t="s">
        <v>50621</v>
      </c>
      <c r="N20735" t="str">
        <f t="shared" si="321"/>
        <v>12/1/2023 9:23:00 AM</v>
      </c>
      <c r="O20735" t="s">
        <v>49702</v>
      </c>
    </row>
    <row r="20736" spans="1:15" x14ac:dyDescent="0.25">
      <c r="A20736" t="str">
        <f>"3078821"</f>
        <v>3078821</v>
      </c>
      <c r="B20736" t="s">
        <v>63213</v>
      </c>
      <c r="C20736" t="str">
        <f t="shared" si="320"/>
        <v>82516538</v>
      </c>
      <c r="D20736" t="s">
        <v>49702</v>
      </c>
      <c r="F20736" t="s">
        <v>9579</v>
      </c>
      <c r="I20736" t="s">
        <v>9580</v>
      </c>
      <c r="J20736" t="s">
        <v>30</v>
      </c>
      <c r="K20736" t="s">
        <v>9581</v>
      </c>
      <c r="M20736" t="s">
        <v>50621</v>
      </c>
      <c r="N20736" t="str">
        <f t="shared" si="321"/>
        <v>12/1/2023 9:23:00 AM</v>
      </c>
      <c r="O20736" t="s">
        <v>49702</v>
      </c>
    </row>
    <row r="20737" spans="1:20" x14ac:dyDescent="0.25">
      <c r="A20737" t="str">
        <f>"3048684"</f>
        <v>3048684</v>
      </c>
      <c r="B20737" t="s">
        <v>63214</v>
      </c>
      <c r="C20737" t="str">
        <f>"8320443"</f>
        <v>8320443</v>
      </c>
      <c r="D20737" t="s">
        <v>63215</v>
      </c>
      <c r="F20737" t="s">
        <v>63216</v>
      </c>
      <c r="I20737" t="s">
        <v>29</v>
      </c>
      <c r="J20737" t="s">
        <v>30</v>
      </c>
      <c r="K20737" t="s">
        <v>63217</v>
      </c>
      <c r="M20737" t="s">
        <v>50793</v>
      </c>
      <c r="N20737" t="str">
        <f>"12/4/2023 9:32:00 AM"</f>
        <v>12/4/2023 9:32:00 AM</v>
      </c>
      <c r="O20737" t="s">
        <v>63215</v>
      </c>
    </row>
    <row r="20738" spans="1:20" x14ac:dyDescent="0.25">
      <c r="A20738" t="str">
        <f>"3059237"</f>
        <v>3059237</v>
      </c>
      <c r="B20738" t="s">
        <v>63218</v>
      </c>
      <c r="C20738" t="str">
        <f>"8321534"</f>
        <v>8321534</v>
      </c>
      <c r="D20738" t="s">
        <v>63219</v>
      </c>
      <c r="E20738" t="s">
        <v>63220</v>
      </c>
      <c r="F20738" t="s">
        <v>63221</v>
      </c>
      <c r="I20738" t="s">
        <v>184</v>
      </c>
      <c r="J20738" t="s">
        <v>30</v>
      </c>
      <c r="K20738" t="s">
        <v>36136</v>
      </c>
      <c r="M20738" t="s">
        <v>17861</v>
      </c>
      <c r="N20738" t="str">
        <f>"12/4/2023 9:48:00 AM"</f>
        <v>12/4/2023 9:48:00 AM</v>
      </c>
      <c r="O20738" t="s">
        <v>63219</v>
      </c>
      <c r="T20738" t="s">
        <v>63220</v>
      </c>
    </row>
    <row r="20739" spans="1:20" x14ac:dyDescent="0.25">
      <c r="A20739" t="str">
        <f>"3058974"</f>
        <v>3058974</v>
      </c>
      <c r="B20739" t="s">
        <v>63222</v>
      </c>
      <c r="C20739" t="str">
        <f>"8317819"</f>
        <v>8317819</v>
      </c>
      <c r="D20739" t="str">
        <f>"GROFF CHRISTOPHER F/MARCELA G TRUSTEES"</f>
        <v>GROFF CHRISTOPHER F/MARCELA G TRUSTEES</v>
      </c>
      <c r="E20739" t="s">
        <v>63223</v>
      </c>
      <c r="F20739" t="s">
        <v>63224</v>
      </c>
      <c r="I20739" t="s">
        <v>49787</v>
      </c>
      <c r="J20739" t="s">
        <v>28425</v>
      </c>
      <c r="K20739" t="s">
        <v>63225</v>
      </c>
      <c r="M20739" t="s">
        <v>17861</v>
      </c>
      <c r="N20739" t="str">
        <f>"12/4/2023 9:57:00 AM"</f>
        <v>12/4/2023 9:57:00 AM</v>
      </c>
      <c r="O20739" t="str">
        <f>"GROFF CHRISTOPHER F/MARCELA G TRUSTEES"</f>
        <v>GROFF CHRISTOPHER F/MARCELA G TRUSTEES</v>
      </c>
      <c r="T20739" t="s">
        <v>63223</v>
      </c>
    </row>
    <row r="20740" spans="1:20" x14ac:dyDescent="0.25">
      <c r="A20740" t="str">
        <f>"3058950"</f>
        <v>3058950</v>
      </c>
      <c r="B20740" t="s">
        <v>63226</v>
      </c>
      <c r="C20740" t="str">
        <f>"8317819"</f>
        <v>8317819</v>
      </c>
      <c r="D20740" t="str">
        <f>"GROFF CHRISTOPHER F/MARCELA G TRUSTEES"</f>
        <v>GROFF CHRISTOPHER F/MARCELA G TRUSTEES</v>
      </c>
      <c r="E20740" t="s">
        <v>63223</v>
      </c>
      <c r="F20740" t="s">
        <v>63224</v>
      </c>
      <c r="I20740" t="s">
        <v>49787</v>
      </c>
      <c r="J20740" t="s">
        <v>28425</v>
      </c>
      <c r="K20740" t="s">
        <v>63225</v>
      </c>
      <c r="M20740" t="s">
        <v>17861</v>
      </c>
      <c r="N20740" t="str">
        <f>"12/4/2023 9:57:00 AM"</f>
        <v>12/4/2023 9:57:00 AM</v>
      </c>
      <c r="O20740" t="str">
        <f>"GROFF CHRISTOPHER F/MARCELA G TRUSTEES"</f>
        <v>GROFF CHRISTOPHER F/MARCELA G TRUSTEES</v>
      </c>
      <c r="T20740" t="s">
        <v>63223</v>
      </c>
    </row>
    <row r="20741" spans="1:20" x14ac:dyDescent="0.25">
      <c r="A20741" t="str">
        <f>"3058886"</f>
        <v>3058886</v>
      </c>
      <c r="B20741" t="s">
        <v>63227</v>
      </c>
      <c r="C20741" t="str">
        <f>"8321535"</f>
        <v>8321535</v>
      </c>
      <c r="D20741" t="s">
        <v>63228</v>
      </c>
      <c r="E20741" t="s">
        <v>63229</v>
      </c>
      <c r="F20741" t="s">
        <v>63230</v>
      </c>
      <c r="I20741" t="s">
        <v>29</v>
      </c>
      <c r="J20741" t="s">
        <v>30</v>
      </c>
      <c r="K20741" t="s">
        <v>61198</v>
      </c>
      <c r="M20741" t="s">
        <v>17861</v>
      </c>
      <c r="N20741" t="str">
        <f>"12/4/2023 10:08:00 AM"</f>
        <v>12/4/2023 10:08:00 AM</v>
      </c>
      <c r="O20741" t="s">
        <v>63228</v>
      </c>
      <c r="T20741" t="s">
        <v>63229</v>
      </c>
    </row>
    <row r="20742" spans="1:20" x14ac:dyDescent="0.25">
      <c r="A20742" t="str">
        <f>"3049619"</f>
        <v>3049619</v>
      </c>
      <c r="B20742" t="s">
        <v>63231</v>
      </c>
      <c r="C20742" t="str">
        <f>"28402000"</f>
        <v>28402000</v>
      </c>
      <c r="D20742" t="s">
        <v>63232</v>
      </c>
      <c r="F20742" t="s">
        <v>63233</v>
      </c>
      <c r="I20742" t="s">
        <v>29</v>
      </c>
      <c r="J20742" t="s">
        <v>30</v>
      </c>
      <c r="K20742" t="s">
        <v>14386</v>
      </c>
      <c r="M20742" t="s">
        <v>50621</v>
      </c>
      <c r="N20742" t="str">
        <f>"12/4/2023 10:19:00 AM"</f>
        <v>12/4/2023 10:19:00 AM</v>
      </c>
      <c r="O20742" t="s">
        <v>63232</v>
      </c>
    </row>
    <row r="20743" spans="1:20" x14ac:dyDescent="0.25">
      <c r="A20743" t="str">
        <f>"3061813"</f>
        <v>3061813</v>
      </c>
      <c r="B20743" t="s">
        <v>63234</v>
      </c>
      <c r="C20743" t="str">
        <f>"82525205"</f>
        <v>82525205</v>
      </c>
      <c r="D20743" t="s">
        <v>63235</v>
      </c>
      <c r="F20743" t="s">
        <v>63236</v>
      </c>
      <c r="I20743" t="s">
        <v>402</v>
      </c>
      <c r="J20743" t="s">
        <v>30</v>
      </c>
      <c r="K20743" t="s">
        <v>63237</v>
      </c>
      <c r="M20743" t="s">
        <v>50793</v>
      </c>
      <c r="N20743" t="str">
        <f>"12/4/2023 10:30:00 AM"</f>
        <v>12/4/2023 10:30:00 AM</v>
      </c>
      <c r="O20743" t="s">
        <v>63235</v>
      </c>
    </row>
    <row r="20744" spans="1:20" x14ac:dyDescent="0.25">
      <c r="A20744" t="str">
        <f>"3052897"</f>
        <v>3052897</v>
      </c>
      <c r="B20744" t="s">
        <v>63238</v>
      </c>
      <c r="C20744" t="str">
        <f>"8321537"</f>
        <v>8321537</v>
      </c>
      <c r="D20744" t="s">
        <v>63239</v>
      </c>
      <c r="E20744" t="s">
        <v>63240</v>
      </c>
      <c r="F20744" t="s">
        <v>63241</v>
      </c>
      <c r="I20744" t="s">
        <v>29</v>
      </c>
      <c r="J20744" t="s">
        <v>30</v>
      </c>
      <c r="K20744" t="s">
        <v>38671</v>
      </c>
      <c r="M20744" t="s">
        <v>17861</v>
      </c>
      <c r="N20744" t="str">
        <f>"12/4/2023 10:35:00 AM"</f>
        <v>12/4/2023 10:35:00 AM</v>
      </c>
      <c r="O20744" t="s">
        <v>63239</v>
      </c>
      <c r="T20744" t="s">
        <v>63240</v>
      </c>
    </row>
    <row r="20745" spans="1:20" x14ac:dyDescent="0.25">
      <c r="A20745" t="str">
        <f>"3054028"</f>
        <v>3054028</v>
      </c>
      <c r="B20745" t="s">
        <v>63242</v>
      </c>
      <c r="C20745" t="str">
        <f>"8321538"</f>
        <v>8321538</v>
      </c>
      <c r="D20745" t="s">
        <v>63243</v>
      </c>
      <c r="F20745" t="s">
        <v>63244</v>
      </c>
      <c r="I20745" t="s">
        <v>29</v>
      </c>
      <c r="J20745" t="s">
        <v>30</v>
      </c>
      <c r="K20745" t="s">
        <v>63245</v>
      </c>
      <c r="M20745" t="s">
        <v>17861</v>
      </c>
      <c r="N20745" t="str">
        <f>"12/4/2023 10:37:00 AM"</f>
        <v>12/4/2023 10:37:00 AM</v>
      </c>
      <c r="O20745" t="s">
        <v>63243</v>
      </c>
    </row>
    <row r="20746" spans="1:20" x14ac:dyDescent="0.25">
      <c r="A20746" t="str">
        <f>"3054012"</f>
        <v>3054012</v>
      </c>
      <c r="B20746" t="s">
        <v>63246</v>
      </c>
      <c r="C20746" t="str">
        <f>"8321538"</f>
        <v>8321538</v>
      </c>
      <c r="D20746" t="s">
        <v>63243</v>
      </c>
      <c r="F20746" t="s">
        <v>63244</v>
      </c>
      <c r="I20746" t="s">
        <v>29</v>
      </c>
      <c r="J20746" t="s">
        <v>30</v>
      </c>
      <c r="K20746" t="s">
        <v>63245</v>
      </c>
      <c r="M20746" t="s">
        <v>17861</v>
      </c>
      <c r="N20746" t="str">
        <f>"12/4/2023 10:37:00 AM"</f>
        <v>12/4/2023 10:37:00 AM</v>
      </c>
      <c r="O20746" t="s">
        <v>63243</v>
      </c>
    </row>
    <row r="20747" spans="1:20" x14ac:dyDescent="0.25">
      <c r="A20747" t="str">
        <f>"3078618"</f>
        <v>3078618</v>
      </c>
      <c r="B20747" t="s">
        <v>63247</v>
      </c>
      <c r="C20747" t="str">
        <f>"8321538"</f>
        <v>8321538</v>
      </c>
      <c r="D20747" t="s">
        <v>63243</v>
      </c>
      <c r="F20747" t="s">
        <v>63244</v>
      </c>
      <c r="I20747" t="s">
        <v>29</v>
      </c>
      <c r="J20747" t="s">
        <v>30</v>
      </c>
      <c r="K20747" t="s">
        <v>63245</v>
      </c>
      <c r="M20747" t="s">
        <v>17861</v>
      </c>
      <c r="N20747" t="str">
        <f>"12/4/2023 10:37:00 AM"</f>
        <v>12/4/2023 10:37:00 AM</v>
      </c>
      <c r="O20747" t="s">
        <v>63243</v>
      </c>
    </row>
    <row r="20748" spans="1:20" x14ac:dyDescent="0.25">
      <c r="A20748" t="str">
        <f>"3068149"</f>
        <v>3068149</v>
      </c>
      <c r="B20748" t="s">
        <v>63248</v>
      </c>
      <c r="C20748" t="str">
        <f>"8321538"</f>
        <v>8321538</v>
      </c>
      <c r="D20748" t="s">
        <v>63243</v>
      </c>
      <c r="F20748" t="s">
        <v>63244</v>
      </c>
      <c r="I20748" t="s">
        <v>29</v>
      </c>
      <c r="J20748" t="s">
        <v>30</v>
      </c>
      <c r="K20748" t="s">
        <v>63245</v>
      </c>
      <c r="M20748" t="s">
        <v>17861</v>
      </c>
      <c r="N20748" t="str">
        <f>"12/4/2023 10:37:00 AM"</f>
        <v>12/4/2023 10:37:00 AM</v>
      </c>
      <c r="O20748" t="s">
        <v>63243</v>
      </c>
    </row>
    <row r="20749" spans="1:20" x14ac:dyDescent="0.25">
      <c r="A20749" t="str">
        <f>"3038289"</f>
        <v>3038289</v>
      </c>
      <c r="B20749" t="s">
        <v>63249</v>
      </c>
      <c r="C20749" t="str">
        <f>"8321553"</f>
        <v>8321553</v>
      </c>
      <c r="D20749" t="s">
        <v>63250</v>
      </c>
      <c r="F20749" t="s">
        <v>36377</v>
      </c>
      <c r="I20749" t="s">
        <v>29</v>
      </c>
      <c r="J20749" t="s">
        <v>30</v>
      </c>
      <c r="K20749" t="s">
        <v>40158</v>
      </c>
      <c r="M20749" t="s">
        <v>50500</v>
      </c>
      <c r="N20749" t="str">
        <f>"12/7/2023 12:24:00 PM"</f>
        <v>12/7/2023 12:24:00 PM</v>
      </c>
      <c r="O20749" t="s">
        <v>63250</v>
      </c>
    </row>
    <row r="20750" spans="1:20" x14ac:dyDescent="0.25">
      <c r="A20750" t="str">
        <f>"3054109"</f>
        <v>3054109</v>
      </c>
      <c r="B20750" t="s">
        <v>63251</v>
      </c>
      <c r="C20750" t="str">
        <f>"82527689"</f>
        <v>82527689</v>
      </c>
      <c r="D20750" t="s">
        <v>63252</v>
      </c>
      <c r="F20750" t="s">
        <v>63253</v>
      </c>
      <c r="I20750" t="s">
        <v>184</v>
      </c>
      <c r="J20750" t="s">
        <v>30</v>
      </c>
      <c r="K20750" t="s">
        <v>63254</v>
      </c>
      <c r="M20750" t="s">
        <v>52111</v>
      </c>
      <c r="N20750" t="str">
        <f>"12/7/2023 1:17:00 PM"</f>
        <v>12/7/2023 1:17:00 PM</v>
      </c>
      <c r="O20750" t="s">
        <v>63252</v>
      </c>
    </row>
    <row r="20751" spans="1:20" x14ac:dyDescent="0.25">
      <c r="A20751" t="str">
        <f>"3059717"</f>
        <v>3059717</v>
      </c>
      <c r="B20751" t="s">
        <v>63255</v>
      </c>
      <c r="C20751" t="str">
        <f>"82527689"</f>
        <v>82527689</v>
      </c>
      <c r="D20751" t="s">
        <v>63252</v>
      </c>
      <c r="F20751" t="s">
        <v>63253</v>
      </c>
      <c r="I20751" t="s">
        <v>184</v>
      </c>
      <c r="J20751" t="s">
        <v>30</v>
      </c>
      <c r="K20751" t="s">
        <v>63254</v>
      </c>
      <c r="M20751" t="s">
        <v>52111</v>
      </c>
      <c r="N20751" t="str">
        <f>"12/7/2023 1:17:00 PM"</f>
        <v>12/7/2023 1:17:00 PM</v>
      </c>
      <c r="O20751" t="s">
        <v>63252</v>
      </c>
    </row>
    <row r="20752" spans="1:20" x14ac:dyDescent="0.25">
      <c r="A20752" t="str">
        <f>"3078966"</f>
        <v>3078966</v>
      </c>
      <c r="B20752" t="s">
        <v>63256</v>
      </c>
      <c r="C20752" t="str">
        <f>"8321550"</f>
        <v>8321550</v>
      </c>
      <c r="D20752" t="s">
        <v>63257</v>
      </c>
      <c r="F20752" t="s">
        <v>14239</v>
      </c>
      <c r="I20752" t="s">
        <v>29</v>
      </c>
      <c r="J20752" t="s">
        <v>30</v>
      </c>
      <c r="K20752" t="s">
        <v>63258</v>
      </c>
      <c r="M20752" t="s">
        <v>50500</v>
      </c>
      <c r="N20752" t="str">
        <f>"12/7/2023 10:50:00 AM"</f>
        <v>12/7/2023 10:50:00 AM</v>
      </c>
      <c r="O20752" t="s">
        <v>63257</v>
      </c>
    </row>
    <row r="20753" spans="1:20" x14ac:dyDescent="0.25">
      <c r="A20753" t="str">
        <f>"3055744"</f>
        <v>3055744</v>
      </c>
      <c r="B20753" t="s">
        <v>63259</v>
      </c>
      <c r="C20753" t="str">
        <f>"8305222"</f>
        <v>8305222</v>
      </c>
      <c r="D20753" t="s">
        <v>63260</v>
      </c>
      <c r="E20753" t="s">
        <v>63252</v>
      </c>
      <c r="F20753" t="s">
        <v>63253</v>
      </c>
      <c r="I20753" t="s">
        <v>184</v>
      </c>
      <c r="J20753" t="s">
        <v>30</v>
      </c>
      <c r="K20753" t="s">
        <v>63254</v>
      </c>
      <c r="M20753" t="s">
        <v>51351</v>
      </c>
      <c r="N20753" t="str">
        <f>"12/7/2023 1:26:00 PM"</f>
        <v>12/7/2023 1:26:00 PM</v>
      </c>
      <c r="O20753" t="s">
        <v>63260</v>
      </c>
      <c r="T20753" t="s">
        <v>63252</v>
      </c>
    </row>
    <row r="20754" spans="1:20" x14ac:dyDescent="0.25">
      <c r="A20754" t="str">
        <f>"3055824"</f>
        <v>3055824</v>
      </c>
      <c r="B20754" t="s">
        <v>63261</v>
      </c>
      <c r="C20754" t="str">
        <f>"8305222"</f>
        <v>8305222</v>
      </c>
      <c r="D20754" t="s">
        <v>63260</v>
      </c>
      <c r="E20754" t="s">
        <v>63252</v>
      </c>
      <c r="F20754" t="s">
        <v>63253</v>
      </c>
      <c r="I20754" t="s">
        <v>184</v>
      </c>
      <c r="J20754" t="s">
        <v>30</v>
      </c>
      <c r="K20754" t="s">
        <v>63254</v>
      </c>
      <c r="M20754" t="s">
        <v>51351</v>
      </c>
      <c r="N20754" t="str">
        <f>"12/7/2023 1:26:00 PM"</f>
        <v>12/7/2023 1:26:00 PM</v>
      </c>
      <c r="O20754" t="s">
        <v>63260</v>
      </c>
      <c r="T20754" t="s">
        <v>63252</v>
      </c>
    </row>
    <row r="20755" spans="1:20" x14ac:dyDescent="0.25">
      <c r="A20755" t="str">
        <f>"3038106"</f>
        <v>3038106</v>
      </c>
      <c r="B20755" t="s">
        <v>63262</v>
      </c>
      <c r="C20755" t="str">
        <f>"8305222"</f>
        <v>8305222</v>
      </c>
      <c r="D20755" t="s">
        <v>63260</v>
      </c>
      <c r="E20755" t="s">
        <v>63252</v>
      </c>
      <c r="F20755" t="s">
        <v>63253</v>
      </c>
      <c r="I20755" t="s">
        <v>184</v>
      </c>
      <c r="J20755" t="s">
        <v>30</v>
      </c>
      <c r="K20755" t="s">
        <v>63254</v>
      </c>
      <c r="M20755" t="s">
        <v>51351</v>
      </c>
      <c r="N20755" t="str">
        <f>"12/7/2023 1:26:00 PM"</f>
        <v>12/7/2023 1:26:00 PM</v>
      </c>
      <c r="O20755" t="s">
        <v>63260</v>
      </c>
      <c r="T20755" t="s">
        <v>63252</v>
      </c>
    </row>
    <row r="20756" spans="1:20" x14ac:dyDescent="0.25">
      <c r="A20756" t="str">
        <f>"3039075"</f>
        <v>3039075</v>
      </c>
      <c r="B20756" t="s">
        <v>63263</v>
      </c>
      <c r="C20756" t="str">
        <f>"8305222"</f>
        <v>8305222</v>
      </c>
      <c r="D20756" t="s">
        <v>63260</v>
      </c>
      <c r="E20756" t="s">
        <v>63252</v>
      </c>
      <c r="F20756" t="s">
        <v>63253</v>
      </c>
      <c r="I20756" t="s">
        <v>184</v>
      </c>
      <c r="J20756" t="s">
        <v>30</v>
      </c>
      <c r="K20756" t="s">
        <v>63254</v>
      </c>
      <c r="M20756" t="s">
        <v>51351</v>
      </c>
      <c r="N20756" t="str">
        <f>"12/7/2023 1:26:00 PM"</f>
        <v>12/7/2023 1:26:00 PM</v>
      </c>
      <c r="O20756" t="s">
        <v>63260</v>
      </c>
      <c r="T20756" t="s">
        <v>63252</v>
      </c>
    </row>
    <row r="20757" spans="1:20" x14ac:dyDescent="0.25">
      <c r="A20757" t="str">
        <f>"3061801"</f>
        <v>3061801</v>
      </c>
      <c r="B20757" t="s">
        <v>63264</v>
      </c>
      <c r="C20757" t="str">
        <f>"8305222"</f>
        <v>8305222</v>
      </c>
      <c r="D20757" t="s">
        <v>63260</v>
      </c>
      <c r="E20757" t="s">
        <v>63252</v>
      </c>
      <c r="F20757" t="s">
        <v>63253</v>
      </c>
      <c r="I20757" t="s">
        <v>184</v>
      </c>
      <c r="J20757" t="s">
        <v>30</v>
      </c>
      <c r="K20757" t="s">
        <v>63254</v>
      </c>
      <c r="M20757" t="s">
        <v>51351</v>
      </c>
      <c r="N20757" t="str">
        <f>"12/7/2023 1:26:00 PM"</f>
        <v>12/7/2023 1:26:00 PM</v>
      </c>
      <c r="O20757" t="s">
        <v>63260</v>
      </c>
      <c r="T20757" t="s">
        <v>63252</v>
      </c>
    </row>
    <row r="20758" spans="1:20" x14ac:dyDescent="0.25">
      <c r="A20758" t="str">
        <f>"3039041"</f>
        <v>3039041</v>
      </c>
      <c r="B20758" t="s">
        <v>63265</v>
      </c>
      <c r="C20758" t="str">
        <f t="shared" ref="C20758:C20769" si="322">"21182000"</f>
        <v>21182000</v>
      </c>
      <c r="D20758" t="s">
        <v>63266</v>
      </c>
      <c r="E20758" t="s">
        <v>63267</v>
      </c>
      <c r="F20758" t="s">
        <v>63253</v>
      </c>
      <c r="I20758" t="s">
        <v>184</v>
      </c>
      <c r="J20758" t="s">
        <v>30</v>
      </c>
      <c r="K20758" t="s">
        <v>63254</v>
      </c>
      <c r="M20758" t="s">
        <v>51351</v>
      </c>
      <c r="N20758" t="str">
        <f t="shared" ref="N20758:N20769" si="323">"12/7/2023 1:27:00 PM"</f>
        <v>12/7/2023 1:27:00 PM</v>
      </c>
      <c r="O20758" t="s">
        <v>63266</v>
      </c>
      <c r="T20758" t="s">
        <v>63267</v>
      </c>
    </row>
    <row r="20759" spans="1:20" x14ac:dyDescent="0.25">
      <c r="A20759" t="str">
        <f>"3038996"</f>
        <v>3038996</v>
      </c>
      <c r="B20759" t="s">
        <v>63268</v>
      </c>
      <c r="C20759" t="str">
        <f t="shared" si="322"/>
        <v>21182000</v>
      </c>
      <c r="D20759" t="s">
        <v>63266</v>
      </c>
      <c r="E20759" t="s">
        <v>63267</v>
      </c>
      <c r="F20759" t="s">
        <v>63253</v>
      </c>
      <c r="I20759" t="s">
        <v>184</v>
      </c>
      <c r="J20759" t="s">
        <v>30</v>
      </c>
      <c r="K20759" t="s">
        <v>63254</v>
      </c>
      <c r="M20759" t="s">
        <v>51351</v>
      </c>
      <c r="N20759" t="str">
        <f t="shared" si="323"/>
        <v>12/7/2023 1:27:00 PM</v>
      </c>
      <c r="O20759" t="s">
        <v>63266</v>
      </c>
      <c r="T20759" t="s">
        <v>63267</v>
      </c>
    </row>
    <row r="20760" spans="1:20" x14ac:dyDescent="0.25">
      <c r="A20760" t="str">
        <f>"3038528"</f>
        <v>3038528</v>
      </c>
      <c r="B20760" t="s">
        <v>63269</v>
      </c>
      <c r="C20760" t="str">
        <f t="shared" si="322"/>
        <v>21182000</v>
      </c>
      <c r="D20760" t="s">
        <v>63266</v>
      </c>
      <c r="E20760" t="s">
        <v>63267</v>
      </c>
      <c r="F20760" t="s">
        <v>63253</v>
      </c>
      <c r="I20760" t="s">
        <v>184</v>
      </c>
      <c r="J20760" t="s">
        <v>30</v>
      </c>
      <c r="K20760" t="s">
        <v>63254</v>
      </c>
      <c r="M20760" t="s">
        <v>51351</v>
      </c>
      <c r="N20760" t="str">
        <f t="shared" si="323"/>
        <v>12/7/2023 1:27:00 PM</v>
      </c>
      <c r="O20760" t="s">
        <v>63266</v>
      </c>
      <c r="T20760" t="s">
        <v>63267</v>
      </c>
    </row>
    <row r="20761" spans="1:20" x14ac:dyDescent="0.25">
      <c r="A20761" t="str">
        <f>"3039750"</f>
        <v>3039750</v>
      </c>
      <c r="B20761" t="s">
        <v>63270</v>
      </c>
      <c r="C20761" t="str">
        <f t="shared" si="322"/>
        <v>21182000</v>
      </c>
      <c r="D20761" t="s">
        <v>63266</v>
      </c>
      <c r="E20761" t="s">
        <v>63267</v>
      </c>
      <c r="F20761" t="s">
        <v>63253</v>
      </c>
      <c r="I20761" t="s">
        <v>184</v>
      </c>
      <c r="J20761" t="s">
        <v>30</v>
      </c>
      <c r="K20761" t="s">
        <v>63254</v>
      </c>
      <c r="M20761" t="s">
        <v>51351</v>
      </c>
      <c r="N20761" t="str">
        <f t="shared" si="323"/>
        <v>12/7/2023 1:27:00 PM</v>
      </c>
      <c r="O20761" t="s">
        <v>63266</v>
      </c>
      <c r="T20761" t="s">
        <v>63267</v>
      </c>
    </row>
    <row r="20762" spans="1:20" x14ac:dyDescent="0.25">
      <c r="A20762" t="str">
        <f>"3038083"</f>
        <v>3038083</v>
      </c>
      <c r="B20762" t="s">
        <v>63271</v>
      </c>
      <c r="C20762" t="str">
        <f t="shared" si="322"/>
        <v>21182000</v>
      </c>
      <c r="D20762" t="s">
        <v>63266</v>
      </c>
      <c r="E20762" t="s">
        <v>63267</v>
      </c>
      <c r="F20762" t="s">
        <v>63253</v>
      </c>
      <c r="I20762" t="s">
        <v>184</v>
      </c>
      <c r="J20762" t="s">
        <v>30</v>
      </c>
      <c r="K20762" t="s">
        <v>63254</v>
      </c>
      <c r="M20762" t="s">
        <v>51351</v>
      </c>
      <c r="N20762" t="str">
        <f t="shared" si="323"/>
        <v>12/7/2023 1:27:00 PM</v>
      </c>
      <c r="O20762" t="s">
        <v>63266</v>
      </c>
      <c r="T20762" t="s">
        <v>63267</v>
      </c>
    </row>
    <row r="20763" spans="1:20" x14ac:dyDescent="0.25">
      <c r="A20763" t="str">
        <f>"3042873"</f>
        <v>3042873</v>
      </c>
      <c r="B20763" t="s">
        <v>63272</v>
      </c>
      <c r="C20763" t="str">
        <f t="shared" si="322"/>
        <v>21182000</v>
      </c>
      <c r="D20763" t="s">
        <v>63266</v>
      </c>
      <c r="E20763" t="s">
        <v>63267</v>
      </c>
      <c r="F20763" t="s">
        <v>63253</v>
      </c>
      <c r="I20763" t="s">
        <v>184</v>
      </c>
      <c r="J20763" t="s">
        <v>30</v>
      </c>
      <c r="K20763" t="s">
        <v>63254</v>
      </c>
      <c r="M20763" t="s">
        <v>51351</v>
      </c>
      <c r="N20763" t="str">
        <f t="shared" si="323"/>
        <v>12/7/2023 1:27:00 PM</v>
      </c>
      <c r="O20763" t="s">
        <v>63266</v>
      </c>
      <c r="T20763" t="s">
        <v>63267</v>
      </c>
    </row>
    <row r="20764" spans="1:20" x14ac:dyDescent="0.25">
      <c r="A20764" t="str">
        <f>"3043220"</f>
        <v>3043220</v>
      </c>
      <c r="B20764" t="s">
        <v>63273</v>
      </c>
      <c r="C20764" t="str">
        <f t="shared" si="322"/>
        <v>21182000</v>
      </c>
      <c r="D20764" t="s">
        <v>63266</v>
      </c>
      <c r="E20764" t="s">
        <v>63267</v>
      </c>
      <c r="F20764" t="s">
        <v>63253</v>
      </c>
      <c r="I20764" t="s">
        <v>184</v>
      </c>
      <c r="J20764" t="s">
        <v>30</v>
      </c>
      <c r="K20764" t="s">
        <v>63254</v>
      </c>
      <c r="M20764" t="s">
        <v>51351</v>
      </c>
      <c r="N20764" t="str">
        <f t="shared" si="323"/>
        <v>12/7/2023 1:27:00 PM</v>
      </c>
      <c r="O20764" t="s">
        <v>63266</v>
      </c>
      <c r="T20764" t="s">
        <v>63267</v>
      </c>
    </row>
    <row r="20765" spans="1:20" x14ac:dyDescent="0.25">
      <c r="A20765" t="str">
        <f>"3043564"</f>
        <v>3043564</v>
      </c>
      <c r="B20765" t="s">
        <v>63274</v>
      </c>
      <c r="C20765" t="str">
        <f t="shared" si="322"/>
        <v>21182000</v>
      </c>
      <c r="D20765" t="s">
        <v>63266</v>
      </c>
      <c r="E20765" t="s">
        <v>63267</v>
      </c>
      <c r="F20765" t="s">
        <v>63253</v>
      </c>
      <c r="I20765" t="s">
        <v>184</v>
      </c>
      <c r="J20765" t="s">
        <v>30</v>
      </c>
      <c r="K20765" t="s">
        <v>63254</v>
      </c>
      <c r="M20765" t="s">
        <v>51351</v>
      </c>
      <c r="N20765" t="str">
        <f t="shared" si="323"/>
        <v>12/7/2023 1:27:00 PM</v>
      </c>
      <c r="O20765" t="s">
        <v>63266</v>
      </c>
      <c r="T20765" t="s">
        <v>63267</v>
      </c>
    </row>
    <row r="20766" spans="1:20" x14ac:dyDescent="0.25">
      <c r="A20766" t="str">
        <f>"3055983"</f>
        <v>3055983</v>
      </c>
      <c r="B20766" t="s">
        <v>63275</v>
      </c>
      <c r="C20766" t="str">
        <f t="shared" si="322"/>
        <v>21182000</v>
      </c>
      <c r="D20766" t="s">
        <v>63266</v>
      </c>
      <c r="E20766" t="s">
        <v>63267</v>
      </c>
      <c r="F20766" t="s">
        <v>63253</v>
      </c>
      <c r="I20766" t="s">
        <v>184</v>
      </c>
      <c r="J20766" t="s">
        <v>30</v>
      </c>
      <c r="K20766" t="s">
        <v>63254</v>
      </c>
      <c r="M20766" t="s">
        <v>51351</v>
      </c>
      <c r="N20766" t="str">
        <f t="shared" si="323"/>
        <v>12/7/2023 1:27:00 PM</v>
      </c>
      <c r="O20766" t="s">
        <v>63266</v>
      </c>
      <c r="T20766" t="s">
        <v>63267</v>
      </c>
    </row>
    <row r="20767" spans="1:20" x14ac:dyDescent="0.25">
      <c r="A20767" t="str">
        <f>"3052775"</f>
        <v>3052775</v>
      </c>
      <c r="B20767" t="s">
        <v>63276</v>
      </c>
      <c r="C20767" t="str">
        <f t="shared" si="322"/>
        <v>21182000</v>
      </c>
      <c r="D20767" t="s">
        <v>63266</v>
      </c>
      <c r="E20767" t="s">
        <v>63267</v>
      </c>
      <c r="F20767" t="s">
        <v>63253</v>
      </c>
      <c r="I20767" t="s">
        <v>184</v>
      </c>
      <c r="J20767" t="s">
        <v>30</v>
      </c>
      <c r="K20767" t="s">
        <v>63254</v>
      </c>
      <c r="M20767" t="s">
        <v>51351</v>
      </c>
      <c r="N20767" t="str">
        <f t="shared" si="323"/>
        <v>12/7/2023 1:27:00 PM</v>
      </c>
      <c r="O20767" t="s">
        <v>63266</v>
      </c>
      <c r="T20767" t="s">
        <v>63267</v>
      </c>
    </row>
    <row r="20768" spans="1:20" x14ac:dyDescent="0.25">
      <c r="A20768" t="str">
        <f>"3048014"</f>
        <v>3048014</v>
      </c>
      <c r="B20768" t="s">
        <v>63277</v>
      </c>
      <c r="C20768" t="str">
        <f t="shared" si="322"/>
        <v>21182000</v>
      </c>
      <c r="D20768" t="s">
        <v>63266</v>
      </c>
      <c r="E20768" t="s">
        <v>63267</v>
      </c>
      <c r="F20768" t="s">
        <v>63253</v>
      </c>
      <c r="I20768" t="s">
        <v>184</v>
      </c>
      <c r="J20768" t="s">
        <v>30</v>
      </c>
      <c r="K20768" t="s">
        <v>63254</v>
      </c>
      <c r="M20768" t="s">
        <v>51351</v>
      </c>
      <c r="N20768" t="str">
        <f t="shared" si="323"/>
        <v>12/7/2023 1:27:00 PM</v>
      </c>
      <c r="O20768" t="s">
        <v>63266</v>
      </c>
      <c r="T20768" t="s">
        <v>63267</v>
      </c>
    </row>
    <row r="20769" spans="1:20" x14ac:dyDescent="0.25">
      <c r="A20769" t="str">
        <f>"3050426"</f>
        <v>3050426</v>
      </c>
      <c r="B20769" t="s">
        <v>63278</v>
      </c>
      <c r="C20769" t="str">
        <f t="shared" si="322"/>
        <v>21182000</v>
      </c>
      <c r="D20769" t="s">
        <v>63266</v>
      </c>
      <c r="E20769" t="s">
        <v>63267</v>
      </c>
      <c r="F20769" t="s">
        <v>63253</v>
      </c>
      <c r="I20769" t="s">
        <v>184</v>
      </c>
      <c r="J20769" t="s">
        <v>30</v>
      </c>
      <c r="K20769" t="s">
        <v>63254</v>
      </c>
      <c r="M20769" t="s">
        <v>51351</v>
      </c>
      <c r="N20769" t="str">
        <f t="shared" si="323"/>
        <v>12/7/2023 1:27:00 PM</v>
      </c>
      <c r="O20769" t="s">
        <v>63266</v>
      </c>
      <c r="T20769" t="s">
        <v>63267</v>
      </c>
    </row>
    <row r="20770" spans="1:20" x14ac:dyDescent="0.25">
      <c r="A20770" t="str">
        <f>"3039460"</f>
        <v>3039460</v>
      </c>
      <c r="B20770" t="s">
        <v>63279</v>
      </c>
      <c r="C20770" t="str">
        <f>"8321556"</f>
        <v>8321556</v>
      </c>
      <c r="D20770" t="s">
        <v>63280</v>
      </c>
      <c r="F20770" t="s">
        <v>63281</v>
      </c>
      <c r="I20770" t="s">
        <v>184</v>
      </c>
      <c r="J20770" t="s">
        <v>30</v>
      </c>
      <c r="K20770" t="s">
        <v>32983</v>
      </c>
      <c r="M20770" t="s">
        <v>17861</v>
      </c>
      <c r="N20770" t="str">
        <f>"12/7/2023 2:28:00 PM"</f>
        <v>12/7/2023 2:28:00 PM</v>
      </c>
      <c r="O20770" t="s">
        <v>63280</v>
      </c>
    </row>
    <row r="20771" spans="1:20" x14ac:dyDescent="0.25">
      <c r="A20771" t="str">
        <f>"3077113"</f>
        <v>3077113</v>
      </c>
      <c r="B20771" t="s">
        <v>63282</v>
      </c>
      <c r="C20771" t="str">
        <f>"8321556"</f>
        <v>8321556</v>
      </c>
      <c r="D20771" t="s">
        <v>63280</v>
      </c>
      <c r="F20771" t="s">
        <v>63281</v>
      </c>
      <c r="I20771" t="s">
        <v>184</v>
      </c>
      <c r="J20771" t="s">
        <v>30</v>
      </c>
      <c r="K20771" t="s">
        <v>32983</v>
      </c>
      <c r="M20771" t="s">
        <v>17861</v>
      </c>
      <c r="N20771" t="str">
        <f>"12/7/2023 2:28:00 PM"</f>
        <v>12/7/2023 2:28:00 PM</v>
      </c>
      <c r="O20771" t="s">
        <v>63280</v>
      </c>
    </row>
    <row r="20772" spans="1:20" x14ac:dyDescent="0.25">
      <c r="A20772" t="str">
        <f>"3077111"</f>
        <v>3077111</v>
      </c>
      <c r="B20772" t="s">
        <v>63283</v>
      </c>
      <c r="C20772" t="str">
        <f>"8321556"</f>
        <v>8321556</v>
      </c>
      <c r="D20772" t="s">
        <v>63280</v>
      </c>
      <c r="F20772" t="s">
        <v>63281</v>
      </c>
      <c r="I20772" t="s">
        <v>184</v>
      </c>
      <c r="J20772" t="s">
        <v>30</v>
      </c>
      <c r="K20772" t="s">
        <v>32983</v>
      </c>
      <c r="M20772" t="s">
        <v>17861</v>
      </c>
      <c r="N20772" t="str">
        <f>"12/7/2023 2:28:00 PM"</f>
        <v>12/7/2023 2:28:00 PM</v>
      </c>
      <c r="O20772" t="s">
        <v>63280</v>
      </c>
    </row>
    <row r="20773" spans="1:20" x14ac:dyDescent="0.25">
      <c r="A20773" t="str">
        <f>"3044068"</f>
        <v>3044068</v>
      </c>
      <c r="B20773" t="s">
        <v>63284</v>
      </c>
      <c r="C20773" t="str">
        <f>"8321557"</f>
        <v>8321557</v>
      </c>
      <c r="D20773" t="s">
        <v>63285</v>
      </c>
      <c r="E20773" t="s">
        <v>63286</v>
      </c>
      <c r="F20773" t="s">
        <v>63287</v>
      </c>
      <c r="I20773" t="s">
        <v>402</v>
      </c>
      <c r="J20773" t="s">
        <v>30</v>
      </c>
      <c r="K20773" t="s">
        <v>63288</v>
      </c>
      <c r="M20773" t="s">
        <v>50500</v>
      </c>
      <c r="N20773" t="str">
        <f>"12/7/2023 3:34:00 PM"</f>
        <v>12/7/2023 3:34:00 PM</v>
      </c>
      <c r="O20773" t="s">
        <v>63285</v>
      </c>
      <c r="T20773" t="s">
        <v>63286</v>
      </c>
    </row>
    <row r="20774" spans="1:20" x14ac:dyDescent="0.25">
      <c r="A20774" t="str">
        <f>"3044069"</f>
        <v>3044069</v>
      </c>
      <c r="B20774" t="s">
        <v>63289</v>
      </c>
      <c r="C20774" t="str">
        <f>"8321557"</f>
        <v>8321557</v>
      </c>
      <c r="D20774" t="s">
        <v>63285</v>
      </c>
      <c r="E20774" t="s">
        <v>63286</v>
      </c>
      <c r="F20774" t="s">
        <v>63287</v>
      </c>
      <c r="I20774" t="s">
        <v>402</v>
      </c>
      <c r="J20774" t="s">
        <v>30</v>
      </c>
      <c r="K20774" t="s">
        <v>63288</v>
      </c>
      <c r="M20774" t="s">
        <v>50500</v>
      </c>
      <c r="N20774" t="str">
        <f>"12/7/2023 3:34:00 PM"</f>
        <v>12/7/2023 3:34:00 PM</v>
      </c>
      <c r="O20774" t="s">
        <v>63285</v>
      </c>
      <c r="T20774" t="s">
        <v>63286</v>
      </c>
    </row>
    <row r="20775" spans="1:20" x14ac:dyDescent="0.25">
      <c r="A20775" t="str">
        <f>"3062298"</f>
        <v>3062298</v>
      </c>
      <c r="B20775" t="s">
        <v>63290</v>
      </c>
      <c r="C20775" t="str">
        <f>"8321559"</f>
        <v>8321559</v>
      </c>
      <c r="D20775" t="s">
        <v>63291</v>
      </c>
      <c r="F20775" t="s">
        <v>63292</v>
      </c>
      <c r="G20775" t="s">
        <v>63293</v>
      </c>
      <c r="I20775" t="s">
        <v>17902</v>
      </c>
      <c r="J20775" t="s">
        <v>30</v>
      </c>
      <c r="K20775" t="s">
        <v>63294</v>
      </c>
      <c r="M20775" t="s">
        <v>50500</v>
      </c>
      <c r="N20775" t="str">
        <f>"12/8/2023 9:17:00 AM"</f>
        <v>12/8/2023 9:17:00 AM</v>
      </c>
      <c r="O20775" t="s">
        <v>63291</v>
      </c>
    </row>
    <row r="20776" spans="1:20" x14ac:dyDescent="0.25">
      <c r="A20776" t="str">
        <f>"3051624"</f>
        <v>3051624</v>
      </c>
      <c r="B20776" t="s">
        <v>63295</v>
      </c>
      <c r="C20776" t="str">
        <f>"8321549"</f>
        <v>8321549</v>
      </c>
      <c r="D20776" t="s">
        <v>63296</v>
      </c>
      <c r="E20776" t="s">
        <v>63297</v>
      </c>
      <c r="F20776" t="s">
        <v>63298</v>
      </c>
      <c r="I20776" t="s">
        <v>402</v>
      </c>
      <c r="J20776" t="s">
        <v>30</v>
      </c>
      <c r="K20776" t="s">
        <v>63299</v>
      </c>
      <c r="M20776" t="s">
        <v>50500</v>
      </c>
      <c r="N20776" t="str">
        <f>"12/7/2023 10:45:00 AM"</f>
        <v>12/7/2023 10:45:00 AM</v>
      </c>
      <c r="O20776" t="s">
        <v>63296</v>
      </c>
      <c r="T20776" t="s">
        <v>63297</v>
      </c>
    </row>
    <row r="20777" spans="1:20" x14ac:dyDescent="0.25">
      <c r="A20777" t="str">
        <f>"3059666"</f>
        <v>3059666</v>
      </c>
      <c r="B20777" t="s">
        <v>63300</v>
      </c>
      <c r="C20777" t="str">
        <f>"8321548"</f>
        <v>8321548</v>
      </c>
      <c r="D20777" t="s">
        <v>63301</v>
      </c>
      <c r="F20777" t="s">
        <v>63302</v>
      </c>
      <c r="I20777" t="s">
        <v>29</v>
      </c>
      <c r="J20777" t="s">
        <v>30</v>
      </c>
      <c r="K20777" t="s">
        <v>13608</v>
      </c>
      <c r="M20777" t="s">
        <v>50500</v>
      </c>
      <c r="N20777" t="str">
        <f>"12/6/2023 11:45:00 AM"</f>
        <v>12/6/2023 11:45:00 AM</v>
      </c>
      <c r="O20777" t="s">
        <v>63301</v>
      </c>
    </row>
    <row r="20778" spans="1:20" x14ac:dyDescent="0.25">
      <c r="A20778" t="str">
        <f>"3051538"</f>
        <v>3051538</v>
      </c>
      <c r="B20778" t="s">
        <v>63303</v>
      </c>
      <c r="C20778" t="str">
        <f>"8321546"</f>
        <v>8321546</v>
      </c>
      <c r="D20778" t="s">
        <v>63304</v>
      </c>
      <c r="E20778" t="s">
        <v>63305</v>
      </c>
      <c r="F20778" t="s">
        <v>63306</v>
      </c>
      <c r="I20778" t="s">
        <v>29</v>
      </c>
      <c r="J20778" t="s">
        <v>30</v>
      </c>
      <c r="K20778" t="s">
        <v>41742</v>
      </c>
      <c r="M20778" t="s">
        <v>50500</v>
      </c>
      <c r="N20778" t="str">
        <f>"12/6/2023 11:21:00 AM"</f>
        <v>12/6/2023 11:21:00 AM</v>
      </c>
      <c r="O20778" t="s">
        <v>63304</v>
      </c>
      <c r="T20778" t="s">
        <v>63305</v>
      </c>
    </row>
    <row r="20779" spans="1:20" x14ac:dyDescent="0.25">
      <c r="A20779" t="str">
        <f>"3046761"</f>
        <v>3046761</v>
      </c>
      <c r="B20779" t="s">
        <v>63307</v>
      </c>
      <c r="C20779" t="str">
        <f>"8321563"</f>
        <v>8321563</v>
      </c>
      <c r="D20779" t="s">
        <v>63308</v>
      </c>
      <c r="F20779" t="s">
        <v>63309</v>
      </c>
      <c r="I20779" t="s">
        <v>184</v>
      </c>
      <c r="J20779" t="s">
        <v>30</v>
      </c>
      <c r="K20779" t="s">
        <v>47132</v>
      </c>
      <c r="M20779" t="s">
        <v>50500</v>
      </c>
      <c r="N20779" t="str">
        <f>"12/8/2023 10:17:00 AM"</f>
        <v>12/8/2023 10:17:00 AM</v>
      </c>
      <c r="O20779" t="s">
        <v>63308</v>
      </c>
    </row>
    <row r="20780" spans="1:20" x14ac:dyDescent="0.25">
      <c r="A20780" t="str">
        <f>"3056432"</f>
        <v>3056432</v>
      </c>
      <c r="B20780" t="s">
        <v>63310</v>
      </c>
      <c r="C20780" t="str">
        <f>"8321565"</f>
        <v>8321565</v>
      </c>
      <c r="D20780" t="s">
        <v>63311</v>
      </c>
      <c r="E20780" t="s">
        <v>63312</v>
      </c>
      <c r="F20780" t="s">
        <v>31443</v>
      </c>
      <c r="I20780" t="s">
        <v>29</v>
      </c>
      <c r="J20780" t="s">
        <v>30</v>
      </c>
      <c r="K20780" t="s">
        <v>63313</v>
      </c>
      <c r="M20780" t="s">
        <v>50500</v>
      </c>
      <c r="N20780" t="str">
        <f>"12/8/2023 10:47:00 AM"</f>
        <v>12/8/2023 10:47:00 AM</v>
      </c>
      <c r="O20780" t="s">
        <v>63311</v>
      </c>
      <c r="T20780" t="s">
        <v>63312</v>
      </c>
    </row>
    <row r="20781" spans="1:20" x14ac:dyDescent="0.25">
      <c r="A20781" t="str">
        <f>"3069425"</f>
        <v>3069425</v>
      </c>
      <c r="B20781" t="s">
        <v>63314</v>
      </c>
      <c r="C20781" t="str">
        <f>"8321566"</f>
        <v>8321566</v>
      </c>
      <c r="D20781" t="s">
        <v>63311</v>
      </c>
      <c r="E20781" t="s">
        <v>63312</v>
      </c>
      <c r="F20781" t="s">
        <v>31443</v>
      </c>
      <c r="I20781" t="s">
        <v>29</v>
      </c>
      <c r="J20781" t="s">
        <v>30</v>
      </c>
      <c r="K20781" t="s">
        <v>63313</v>
      </c>
      <c r="M20781" t="s">
        <v>50500</v>
      </c>
      <c r="N20781" t="str">
        <f>"12/8/2023 10:52:00 AM"</f>
        <v>12/8/2023 10:52:00 AM</v>
      </c>
      <c r="O20781" t="s">
        <v>63311</v>
      </c>
      <c r="T20781" t="s">
        <v>63312</v>
      </c>
    </row>
    <row r="20782" spans="1:20" x14ac:dyDescent="0.25">
      <c r="A20782" t="str">
        <f>"3077934"</f>
        <v>3077934</v>
      </c>
      <c r="B20782" t="s">
        <v>63315</v>
      </c>
      <c r="C20782" t="str">
        <f>"8317615"</f>
        <v>8317615</v>
      </c>
      <c r="D20782" t="s">
        <v>63316</v>
      </c>
      <c r="F20782" t="s">
        <v>63317</v>
      </c>
      <c r="I20782" t="s">
        <v>29</v>
      </c>
      <c r="J20782" t="s">
        <v>30</v>
      </c>
      <c r="K20782" t="s">
        <v>30931</v>
      </c>
      <c r="M20782" t="s">
        <v>50621</v>
      </c>
      <c r="N20782" t="str">
        <f>"12/8/2023 10:51:00 AM"</f>
        <v>12/8/2023 10:51:00 AM</v>
      </c>
      <c r="O20782" t="s">
        <v>63316</v>
      </c>
    </row>
    <row r="20783" spans="1:20" x14ac:dyDescent="0.25">
      <c r="A20783" t="str">
        <f>"3046433"</f>
        <v>3046433</v>
      </c>
      <c r="B20783" t="s">
        <v>63318</v>
      </c>
      <c r="C20783" t="str">
        <f>"8317615"</f>
        <v>8317615</v>
      </c>
      <c r="D20783" t="s">
        <v>63316</v>
      </c>
      <c r="F20783" t="s">
        <v>63317</v>
      </c>
      <c r="I20783" t="s">
        <v>29</v>
      </c>
      <c r="J20783" t="s">
        <v>30</v>
      </c>
      <c r="K20783" t="s">
        <v>30931</v>
      </c>
      <c r="M20783" t="s">
        <v>50621</v>
      </c>
      <c r="N20783" t="str">
        <f>"12/8/2023 10:51:00 AM"</f>
        <v>12/8/2023 10:51:00 AM</v>
      </c>
      <c r="O20783" t="s">
        <v>63316</v>
      </c>
    </row>
    <row r="20784" spans="1:20" x14ac:dyDescent="0.25">
      <c r="A20784" t="str">
        <f>"3046315"</f>
        <v>3046315</v>
      </c>
      <c r="B20784" t="s">
        <v>63319</v>
      </c>
      <c r="C20784" t="str">
        <f>"8317615"</f>
        <v>8317615</v>
      </c>
      <c r="D20784" t="s">
        <v>63316</v>
      </c>
      <c r="F20784" t="s">
        <v>63317</v>
      </c>
      <c r="I20784" t="s">
        <v>29</v>
      </c>
      <c r="J20784" t="s">
        <v>30</v>
      </c>
      <c r="K20784" t="s">
        <v>30931</v>
      </c>
      <c r="M20784" t="s">
        <v>50621</v>
      </c>
      <c r="N20784" t="str">
        <f>"12/8/2023 10:51:00 AM"</f>
        <v>12/8/2023 10:51:00 AM</v>
      </c>
      <c r="O20784" t="s">
        <v>63316</v>
      </c>
    </row>
    <row r="20785" spans="1:20" x14ac:dyDescent="0.25">
      <c r="A20785" t="str">
        <f>"3038566"</f>
        <v>3038566</v>
      </c>
      <c r="B20785" t="s">
        <v>63320</v>
      </c>
      <c r="C20785" t="str">
        <f>"8321568"</f>
        <v>8321568</v>
      </c>
      <c r="D20785" t="s">
        <v>63321</v>
      </c>
      <c r="F20785" t="s">
        <v>63322</v>
      </c>
      <c r="I20785" t="s">
        <v>29</v>
      </c>
      <c r="J20785" t="s">
        <v>30</v>
      </c>
      <c r="K20785" t="s">
        <v>63323</v>
      </c>
      <c r="M20785" t="s">
        <v>17861</v>
      </c>
      <c r="N20785" t="str">
        <f>"12/8/2023 11:44:00 AM"</f>
        <v>12/8/2023 11:44:00 AM</v>
      </c>
      <c r="O20785" t="s">
        <v>63321</v>
      </c>
    </row>
    <row r="20786" spans="1:20" x14ac:dyDescent="0.25">
      <c r="A20786" t="str">
        <f>"3057533"</f>
        <v>3057533</v>
      </c>
      <c r="B20786" t="s">
        <v>63324</v>
      </c>
      <c r="C20786" t="str">
        <f>"8321568"</f>
        <v>8321568</v>
      </c>
      <c r="D20786" t="s">
        <v>63321</v>
      </c>
      <c r="F20786" t="s">
        <v>63322</v>
      </c>
      <c r="I20786" t="s">
        <v>29</v>
      </c>
      <c r="J20786" t="s">
        <v>30</v>
      </c>
      <c r="K20786" t="s">
        <v>63323</v>
      </c>
      <c r="M20786" t="s">
        <v>17861</v>
      </c>
      <c r="N20786" t="str">
        <f>"12/8/2023 11:44:00 AM"</f>
        <v>12/8/2023 11:44:00 AM</v>
      </c>
      <c r="O20786" t="s">
        <v>63321</v>
      </c>
    </row>
    <row r="20787" spans="1:20" x14ac:dyDescent="0.25">
      <c r="A20787" t="str">
        <f>"3039486"</f>
        <v>3039486</v>
      </c>
      <c r="B20787" t="s">
        <v>63325</v>
      </c>
      <c r="C20787" t="str">
        <f>"8321570"</f>
        <v>8321570</v>
      </c>
      <c r="D20787" t="s">
        <v>63326</v>
      </c>
      <c r="E20787" t="s">
        <v>63327</v>
      </c>
      <c r="F20787" t="s">
        <v>63328</v>
      </c>
      <c r="I20787" t="s">
        <v>184</v>
      </c>
      <c r="J20787" t="s">
        <v>30</v>
      </c>
      <c r="K20787" t="s">
        <v>9123</v>
      </c>
      <c r="M20787" t="s">
        <v>50500</v>
      </c>
      <c r="N20787" t="str">
        <f>"12/8/2023 12:14:00 PM"</f>
        <v>12/8/2023 12:14:00 PM</v>
      </c>
      <c r="O20787" t="s">
        <v>63326</v>
      </c>
      <c r="T20787" t="s">
        <v>63327</v>
      </c>
    </row>
    <row r="20788" spans="1:20" x14ac:dyDescent="0.25">
      <c r="A20788" t="str">
        <f>"3068266"</f>
        <v>3068266</v>
      </c>
      <c r="B20788" t="s">
        <v>63329</v>
      </c>
      <c r="C20788" t="str">
        <f>"8321571"</f>
        <v>8321571</v>
      </c>
      <c r="D20788" t="s">
        <v>63330</v>
      </c>
      <c r="E20788" t="s">
        <v>63331</v>
      </c>
      <c r="F20788" t="s">
        <v>58526</v>
      </c>
      <c r="I20788" t="s">
        <v>29</v>
      </c>
      <c r="J20788" t="s">
        <v>30</v>
      </c>
      <c r="K20788" t="s">
        <v>26719</v>
      </c>
      <c r="M20788" t="s">
        <v>50500</v>
      </c>
      <c r="N20788" t="str">
        <f>"12/8/2023 12:56:00 PM"</f>
        <v>12/8/2023 12:56:00 PM</v>
      </c>
      <c r="O20788" t="s">
        <v>63330</v>
      </c>
      <c r="T20788" t="s">
        <v>63331</v>
      </c>
    </row>
    <row r="20789" spans="1:20" x14ac:dyDescent="0.25">
      <c r="A20789" t="str">
        <f>"3037540"</f>
        <v>3037540</v>
      </c>
      <c r="B20789" t="s">
        <v>63332</v>
      </c>
      <c r="C20789" t="str">
        <f>"8321572"</f>
        <v>8321572</v>
      </c>
      <c r="D20789" t="s">
        <v>63333</v>
      </c>
      <c r="E20789" t="s">
        <v>63334</v>
      </c>
      <c r="F20789" t="s">
        <v>63335</v>
      </c>
      <c r="I20789" t="s">
        <v>1149</v>
      </c>
      <c r="J20789" t="s">
        <v>30</v>
      </c>
      <c r="K20789" t="s">
        <v>63336</v>
      </c>
      <c r="M20789" t="s">
        <v>50500</v>
      </c>
      <c r="N20789" t="str">
        <f>"12/8/2023 1:02:00 PM"</f>
        <v>12/8/2023 1:02:00 PM</v>
      </c>
      <c r="O20789" t="s">
        <v>63333</v>
      </c>
      <c r="T20789" t="s">
        <v>63334</v>
      </c>
    </row>
    <row r="20790" spans="1:20" x14ac:dyDescent="0.25">
      <c r="A20790" t="str">
        <f>"3078159"</f>
        <v>3078159</v>
      </c>
      <c r="B20790" t="s">
        <v>63337</v>
      </c>
      <c r="C20790" t="str">
        <f>"8321573"</f>
        <v>8321573</v>
      </c>
      <c r="D20790" t="s">
        <v>63338</v>
      </c>
      <c r="E20790" t="s">
        <v>63339</v>
      </c>
      <c r="F20790" t="s">
        <v>59997</v>
      </c>
      <c r="I20790" t="s">
        <v>29</v>
      </c>
      <c r="J20790" t="s">
        <v>30</v>
      </c>
      <c r="K20790" t="s">
        <v>31489</v>
      </c>
      <c r="M20790" t="s">
        <v>50500</v>
      </c>
      <c r="N20790" t="str">
        <f>"12/8/2023 1:05:00 PM"</f>
        <v>12/8/2023 1:05:00 PM</v>
      </c>
      <c r="O20790" t="s">
        <v>63338</v>
      </c>
      <c r="T20790" t="s">
        <v>63339</v>
      </c>
    </row>
    <row r="20791" spans="1:20" x14ac:dyDescent="0.25">
      <c r="A20791" t="str">
        <f>"3043212"</f>
        <v>3043212</v>
      </c>
      <c r="B20791" t="s">
        <v>63340</v>
      </c>
      <c r="C20791" t="str">
        <f>"8311373"</f>
        <v>8311373</v>
      </c>
      <c r="D20791" t="s">
        <v>63341</v>
      </c>
      <c r="F20791" t="s">
        <v>63342</v>
      </c>
      <c r="I20791" t="s">
        <v>471</v>
      </c>
      <c r="J20791" t="s">
        <v>30</v>
      </c>
      <c r="K20791" t="s">
        <v>63343</v>
      </c>
      <c r="M20791" t="s">
        <v>52111</v>
      </c>
      <c r="N20791" t="str">
        <f>"12/8/2023 1:36:00 PM"</f>
        <v>12/8/2023 1:36:00 PM</v>
      </c>
      <c r="O20791" t="s">
        <v>63341</v>
      </c>
    </row>
    <row r="20792" spans="1:20" x14ac:dyDescent="0.25">
      <c r="A20792" t="str">
        <f>"3058481"</f>
        <v>3058481</v>
      </c>
      <c r="B20792" t="s">
        <v>63344</v>
      </c>
      <c r="C20792" t="str">
        <f>"8321545"</f>
        <v>8321545</v>
      </c>
      <c r="D20792" t="s">
        <v>63345</v>
      </c>
      <c r="F20792" t="s">
        <v>63346</v>
      </c>
      <c r="I20792" t="s">
        <v>29</v>
      </c>
      <c r="J20792" t="s">
        <v>30</v>
      </c>
      <c r="K20792" t="s">
        <v>26003</v>
      </c>
      <c r="M20792" t="s">
        <v>50500</v>
      </c>
      <c r="N20792" t="str">
        <f>"12/6/2023 11:06:00 AM"</f>
        <v>12/6/2023 11:06:00 AM</v>
      </c>
      <c r="O20792" t="s">
        <v>63345</v>
      </c>
    </row>
    <row r="20793" spans="1:20" x14ac:dyDescent="0.25">
      <c r="A20793" t="str">
        <f>"3048725"</f>
        <v>3048725</v>
      </c>
      <c r="B20793" t="s">
        <v>63347</v>
      </c>
      <c r="C20793" t="str">
        <f>"8321543"</f>
        <v>8321543</v>
      </c>
      <c r="D20793" t="s">
        <v>63348</v>
      </c>
      <c r="F20793" t="s">
        <v>63349</v>
      </c>
      <c r="I20793" t="s">
        <v>471</v>
      </c>
      <c r="J20793" t="s">
        <v>30</v>
      </c>
      <c r="K20793" t="s">
        <v>63350</v>
      </c>
      <c r="M20793" t="s">
        <v>50500</v>
      </c>
      <c r="N20793" t="str">
        <f>"12/6/2023 10:04:00 AM"</f>
        <v>12/6/2023 10:04:00 AM</v>
      </c>
      <c r="O20793" t="s">
        <v>63348</v>
      </c>
    </row>
    <row r="20794" spans="1:20" x14ac:dyDescent="0.25">
      <c r="A20794" t="str">
        <f>"3048680"</f>
        <v>3048680</v>
      </c>
      <c r="B20794" t="s">
        <v>63351</v>
      </c>
      <c r="C20794" t="str">
        <f>"8321543"</f>
        <v>8321543</v>
      </c>
      <c r="D20794" t="s">
        <v>63348</v>
      </c>
      <c r="F20794" t="s">
        <v>63349</v>
      </c>
      <c r="I20794" t="s">
        <v>471</v>
      </c>
      <c r="J20794" t="s">
        <v>30</v>
      </c>
      <c r="K20794" t="s">
        <v>63350</v>
      </c>
      <c r="M20794" t="s">
        <v>50500</v>
      </c>
      <c r="N20794" t="str">
        <f>"12/6/2023 10:04:00 AM"</f>
        <v>12/6/2023 10:04:00 AM</v>
      </c>
      <c r="O20794" t="s">
        <v>63348</v>
      </c>
    </row>
    <row r="20795" spans="1:20" x14ac:dyDescent="0.25">
      <c r="A20795" t="str">
        <f>"3070535"</f>
        <v>3070535</v>
      </c>
      <c r="B20795" t="s">
        <v>63352</v>
      </c>
      <c r="C20795" t="str">
        <f>"8321543"</f>
        <v>8321543</v>
      </c>
      <c r="D20795" t="s">
        <v>63348</v>
      </c>
      <c r="F20795" t="s">
        <v>63349</v>
      </c>
      <c r="I20795" t="s">
        <v>471</v>
      </c>
      <c r="J20795" t="s">
        <v>30</v>
      </c>
      <c r="K20795" t="s">
        <v>63350</v>
      </c>
      <c r="M20795" t="s">
        <v>50500</v>
      </c>
      <c r="N20795" t="str">
        <f>"12/6/2023 10:04:00 AM"</f>
        <v>12/6/2023 10:04:00 AM</v>
      </c>
      <c r="O20795" t="s">
        <v>63348</v>
      </c>
    </row>
    <row r="20796" spans="1:20" x14ac:dyDescent="0.25">
      <c r="A20796" t="str">
        <f>"3070459"</f>
        <v>3070459</v>
      </c>
      <c r="B20796" t="s">
        <v>63353</v>
      </c>
      <c r="C20796" t="str">
        <f>"8321543"</f>
        <v>8321543</v>
      </c>
      <c r="D20796" t="s">
        <v>63348</v>
      </c>
      <c r="F20796" t="s">
        <v>63349</v>
      </c>
      <c r="I20796" t="s">
        <v>471</v>
      </c>
      <c r="J20796" t="s">
        <v>30</v>
      </c>
      <c r="K20796" t="s">
        <v>63350</v>
      </c>
      <c r="M20796" t="s">
        <v>50500</v>
      </c>
      <c r="N20796" t="str">
        <f>"12/6/2023 10:04:00 AM"</f>
        <v>12/6/2023 10:04:00 AM</v>
      </c>
      <c r="O20796" t="s">
        <v>63348</v>
      </c>
    </row>
    <row r="20797" spans="1:20" x14ac:dyDescent="0.25">
      <c r="A20797" t="str">
        <f>"3078129"</f>
        <v>3078129</v>
      </c>
      <c r="B20797" t="s">
        <v>63354</v>
      </c>
      <c r="C20797" t="str">
        <f>"8306093"</f>
        <v>8306093</v>
      </c>
      <c r="D20797" t="s">
        <v>63355</v>
      </c>
      <c r="F20797" t="s">
        <v>63356</v>
      </c>
      <c r="I20797" t="s">
        <v>29</v>
      </c>
      <c r="J20797" t="s">
        <v>30</v>
      </c>
      <c r="K20797" t="s">
        <v>11584</v>
      </c>
      <c r="M20797" t="s">
        <v>51351</v>
      </c>
      <c r="N20797" t="str">
        <f>"12/6/2023 9:34:00 AM"</f>
        <v>12/6/2023 9:34:00 AM</v>
      </c>
      <c r="O20797" t="s">
        <v>63355</v>
      </c>
    </row>
    <row r="20798" spans="1:20" x14ac:dyDescent="0.25">
      <c r="A20798" t="str">
        <f>"3067297"</f>
        <v>3067297</v>
      </c>
      <c r="B20798" t="s">
        <v>63357</v>
      </c>
      <c r="C20798" t="str">
        <f>"8306094"</f>
        <v>8306094</v>
      </c>
      <c r="D20798" t="str">
        <f>"GINTHER ROBERT C/SANDRA K REV LIV TRST"</f>
        <v>GINTHER ROBERT C/SANDRA K REV LIV TRST</v>
      </c>
      <c r="F20798" t="s">
        <v>63356</v>
      </c>
      <c r="I20798" t="s">
        <v>29</v>
      </c>
      <c r="J20798" t="s">
        <v>30</v>
      </c>
      <c r="K20798" t="s">
        <v>11584</v>
      </c>
      <c r="M20798" t="s">
        <v>51351</v>
      </c>
      <c r="N20798" t="str">
        <f>"12/6/2023 9:33:00 AM"</f>
        <v>12/6/2023 9:33:00 AM</v>
      </c>
      <c r="O20798" t="str">
        <f>"GINTHER ROBERT C/SANDRA K REV LIV TRST"</f>
        <v>GINTHER ROBERT C/SANDRA K REV LIV TRST</v>
      </c>
    </row>
    <row r="20799" spans="1:20" x14ac:dyDescent="0.25">
      <c r="A20799" t="str">
        <f>"3051677"</f>
        <v>3051677</v>
      </c>
      <c r="B20799" t="s">
        <v>63358</v>
      </c>
      <c r="C20799" t="str">
        <f>"8310155"</f>
        <v>8310155</v>
      </c>
      <c r="D20799" t="s">
        <v>63359</v>
      </c>
      <c r="F20799" t="s">
        <v>63356</v>
      </c>
      <c r="I20799" t="s">
        <v>29</v>
      </c>
      <c r="J20799" t="s">
        <v>30</v>
      </c>
      <c r="K20799" t="s">
        <v>11584</v>
      </c>
      <c r="M20799" t="s">
        <v>51351</v>
      </c>
      <c r="N20799" t="str">
        <f>"12/6/2023 9:33:00 AM"</f>
        <v>12/6/2023 9:33:00 AM</v>
      </c>
      <c r="O20799" t="s">
        <v>63359</v>
      </c>
    </row>
    <row r="20800" spans="1:20" x14ac:dyDescent="0.25">
      <c r="A20800" t="str">
        <f>"3050787"</f>
        <v>3050787</v>
      </c>
      <c r="B20800" t="s">
        <v>63360</v>
      </c>
      <c r="C20800" t="str">
        <f>"8321585"</f>
        <v>8321585</v>
      </c>
      <c r="D20800" t="s">
        <v>63361</v>
      </c>
      <c r="E20800" t="s">
        <v>63362</v>
      </c>
      <c r="F20800" t="s">
        <v>63363</v>
      </c>
      <c r="I20800" t="s">
        <v>24359</v>
      </c>
      <c r="J20800" t="s">
        <v>30</v>
      </c>
      <c r="K20800" t="str">
        <f>"27006"</f>
        <v>27006</v>
      </c>
      <c r="M20800" t="s">
        <v>50500</v>
      </c>
      <c r="N20800" t="str">
        <f>"12/12/2023 8:48:00 AM"</f>
        <v>12/12/2023 8:48:00 AM</v>
      </c>
      <c r="O20800" t="s">
        <v>63361</v>
      </c>
      <c r="T20800" t="s">
        <v>63362</v>
      </c>
    </row>
    <row r="20801" spans="1:20" x14ac:dyDescent="0.25">
      <c r="A20801" t="str">
        <f>"3060286"</f>
        <v>3060286</v>
      </c>
      <c r="B20801" t="s">
        <v>63364</v>
      </c>
      <c r="C20801" t="str">
        <f>"8321587"</f>
        <v>8321587</v>
      </c>
      <c r="D20801" t="s">
        <v>63365</v>
      </c>
      <c r="E20801" t="s">
        <v>63366</v>
      </c>
      <c r="F20801" t="s">
        <v>63367</v>
      </c>
      <c r="I20801" t="s">
        <v>184</v>
      </c>
      <c r="J20801" t="s">
        <v>30</v>
      </c>
      <c r="K20801" t="s">
        <v>33744</v>
      </c>
      <c r="M20801" t="s">
        <v>50500</v>
      </c>
      <c r="N20801" t="str">
        <f>"12/12/2023 9:27:00 AM"</f>
        <v>12/12/2023 9:27:00 AM</v>
      </c>
      <c r="O20801" t="s">
        <v>63365</v>
      </c>
      <c r="T20801" t="s">
        <v>63366</v>
      </c>
    </row>
    <row r="20802" spans="1:20" x14ac:dyDescent="0.25">
      <c r="A20802" t="str">
        <f>"3038147"</f>
        <v>3038147</v>
      </c>
      <c r="B20802" t="s">
        <v>63368</v>
      </c>
      <c r="C20802" t="str">
        <f>"8321589"</f>
        <v>8321589</v>
      </c>
      <c r="D20802" t="s">
        <v>63369</v>
      </c>
      <c r="F20802" t="s">
        <v>63370</v>
      </c>
      <c r="I20802" t="s">
        <v>471</v>
      </c>
      <c r="J20802" t="s">
        <v>30</v>
      </c>
      <c r="K20802" t="s">
        <v>63371</v>
      </c>
      <c r="M20802" t="s">
        <v>50500</v>
      </c>
      <c r="N20802" t="str">
        <f>"12/12/2023 9:39:00 AM"</f>
        <v>12/12/2023 9:39:00 AM</v>
      </c>
      <c r="O20802" t="s">
        <v>63369</v>
      </c>
    </row>
    <row r="20803" spans="1:20" x14ac:dyDescent="0.25">
      <c r="A20803" t="str">
        <f>"3060918"</f>
        <v>3060918</v>
      </c>
      <c r="B20803" t="s">
        <v>63372</v>
      </c>
      <c r="C20803" t="str">
        <f>"8321591"</f>
        <v>8321591</v>
      </c>
      <c r="D20803" t="s">
        <v>63373</v>
      </c>
      <c r="F20803" t="s">
        <v>63374</v>
      </c>
      <c r="I20803" t="s">
        <v>184</v>
      </c>
      <c r="J20803" t="s">
        <v>30</v>
      </c>
      <c r="K20803" t="s">
        <v>34675</v>
      </c>
      <c r="M20803" t="s">
        <v>50500</v>
      </c>
      <c r="N20803" t="str">
        <f>"12/12/2023 10:55:00 AM"</f>
        <v>12/12/2023 10:55:00 AM</v>
      </c>
      <c r="O20803" t="s">
        <v>63373</v>
      </c>
    </row>
    <row r="20804" spans="1:20" x14ac:dyDescent="0.25">
      <c r="A20804" t="str">
        <f>"3051676"</f>
        <v>3051676</v>
      </c>
      <c r="B20804" t="s">
        <v>63375</v>
      </c>
      <c r="C20804" t="str">
        <f t="shared" ref="C20804:C20810" si="324">"8310155"</f>
        <v>8310155</v>
      </c>
      <c r="D20804" t="s">
        <v>63359</v>
      </c>
      <c r="F20804" t="s">
        <v>63356</v>
      </c>
      <c r="I20804" t="s">
        <v>29</v>
      </c>
      <c r="J20804" t="s">
        <v>30</v>
      </c>
      <c r="K20804" t="s">
        <v>11584</v>
      </c>
      <c r="M20804" t="s">
        <v>51351</v>
      </c>
      <c r="N20804" t="str">
        <f t="shared" ref="N20804:N20810" si="325">"12/6/2023 9:33:00 AM"</f>
        <v>12/6/2023 9:33:00 AM</v>
      </c>
      <c r="O20804" t="s">
        <v>63359</v>
      </c>
    </row>
    <row r="20805" spans="1:20" x14ac:dyDescent="0.25">
      <c r="A20805" t="str">
        <f>"3051984"</f>
        <v>3051984</v>
      </c>
      <c r="B20805" t="s">
        <v>63376</v>
      </c>
      <c r="C20805" t="str">
        <f t="shared" si="324"/>
        <v>8310155</v>
      </c>
      <c r="D20805" t="s">
        <v>63359</v>
      </c>
      <c r="F20805" t="s">
        <v>63356</v>
      </c>
      <c r="I20805" t="s">
        <v>29</v>
      </c>
      <c r="J20805" t="s">
        <v>30</v>
      </c>
      <c r="K20805" t="s">
        <v>11584</v>
      </c>
      <c r="M20805" t="s">
        <v>51351</v>
      </c>
      <c r="N20805" t="str">
        <f t="shared" si="325"/>
        <v>12/6/2023 9:33:00 AM</v>
      </c>
      <c r="O20805" t="s">
        <v>63359</v>
      </c>
    </row>
    <row r="20806" spans="1:20" x14ac:dyDescent="0.25">
      <c r="A20806" t="str">
        <f>"3052002"</f>
        <v>3052002</v>
      </c>
      <c r="B20806" t="s">
        <v>63377</v>
      </c>
      <c r="C20806" t="str">
        <f t="shared" si="324"/>
        <v>8310155</v>
      </c>
      <c r="D20806" t="s">
        <v>63359</v>
      </c>
      <c r="F20806" t="s">
        <v>63356</v>
      </c>
      <c r="I20806" t="s">
        <v>29</v>
      </c>
      <c r="J20806" t="s">
        <v>30</v>
      </c>
      <c r="K20806" t="s">
        <v>11584</v>
      </c>
      <c r="M20806" t="s">
        <v>51351</v>
      </c>
      <c r="N20806" t="str">
        <f t="shared" si="325"/>
        <v>12/6/2023 9:33:00 AM</v>
      </c>
      <c r="O20806" t="s">
        <v>63359</v>
      </c>
    </row>
    <row r="20807" spans="1:20" x14ac:dyDescent="0.25">
      <c r="A20807" t="str">
        <f>"3052001"</f>
        <v>3052001</v>
      </c>
      <c r="B20807" t="s">
        <v>63378</v>
      </c>
      <c r="C20807" t="str">
        <f t="shared" si="324"/>
        <v>8310155</v>
      </c>
      <c r="D20807" t="s">
        <v>63359</v>
      </c>
      <c r="F20807" t="s">
        <v>63356</v>
      </c>
      <c r="I20807" t="s">
        <v>29</v>
      </c>
      <c r="J20807" t="s">
        <v>30</v>
      </c>
      <c r="K20807" t="s">
        <v>11584</v>
      </c>
      <c r="M20807" t="s">
        <v>51351</v>
      </c>
      <c r="N20807" t="str">
        <f t="shared" si="325"/>
        <v>12/6/2023 9:33:00 AM</v>
      </c>
      <c r="O20807" t="s">
        <v>63359</v>
      </c>
    </row>
    <row r="20808" spans="1:20" x14ac:dyDescent="0.25">
      <c r="A20808" t="str">
        <f>"3067686"</f>
        <v>3067686</v>
      </c>
      <c r="B20808" t="s">
        <v>63379</v>
      </c>
      <c r="C20808" t="str">
        <f t="shared" si="324"/>
        <v>8310155</v>
      </c>
      <c r="D20808" t="s">
        <v>63359</v>
      </c>
      <c r="F20808" t="s">
        <v>63356</v>
      </c>
      <c r="I20808" t="s">
        <v>29</v>
      </c>
      <c r="J20808" t="s">
        <v>30</v>
      </c>
      <c r="K20808" t="s">
        <v>11584</v>
      </c>
      <c r="M20808" t="s">
        <v>51351</v>
      </c>
      <c r="N20808" t="str">
        <f t="shared" si="325"/>
        <v>12/6/2023 9:33:00 AM</v>
      </c>
      <c r="O20808" t="s">
        <v>63359</v>
      </c>
    </row>
    <row r="20809" spans="1:20" x14ac:dyDescent="0.25">
      <c r="A20809" t="str">
        <f>"3067315"</f>
        <v>3067315</v>
      </c>
      <c r="B20809" t="s">
        <v>63380</v>
      </c>
      <c r="C20809" t="str">
        <f t="shared" si="324"/>
        <v>8310155</v>
      </c>
      <c r="D20809" t="s">
        <v>63359</v>
      </c>
      <c r="F20809" t="s">
        <v>63356</v>
      </c>
      <c r="I20809" t="s">
        <v>29</v>
      </c>
      <c r="J20809" t="s">
        <v>30</v>
      </c>
      <c r="K20809" t="s">
        <v>11584</v>
      </c>
      <c r="M20809" t="s">
        <v>51351</v>
      </c>
      <c r="N20809" t="str">
        <f t="shared" si="325"/>
        <v>12/6/2023 9:33:00 AM</v>
      </c>
      <c r="O20809" t="s">
        <v>63359</v>
      </c>
    </row>
    <row r="20810" spans="1:20" x14ac:dyDescent="0.25">
      <c r="A20810" t="str">
        <f>"3067313"</f>
        <v>3067313</v>
      </c>
      <c r="B20810" t="s">
        <v>63381</v>
      </c>
      <c r="C20810" t="str">
        <f t="shared" si="324"/>
        <v>8310155</v>
      </c>
      <c r="D20810" t="s">
        <v>63359</v>
      </c>
      <c r="F20810" t="s">
        <v>63356</v>
      </c>
      <c r="I20810" t="s">
        <v>29</v>
      </c>
      <c r="J20810" t="s">
        <v>30</v>
      </c>
      <c r="K20810" t="s">
        <v>11584</v>
      </c>
      <c r="M20810" t="s">
        <v>51351</v>
      </c>
      <c r="N20810" t="str">
        <f t="shared" si="325"/>
        <v>12/6/2023 9:33:00 AM</v>
      </c>
      <c r="O20810" t="s">
        <v>63359</v>
      </c>
    </row>
    <row r="20811" spans="1:20" x14ac:dyDescent="0.25">
      <c r="A20811" t="str">
        <f>"3067330"</f>
        <v>3067330</v>
      </c>
      <c r="B20811" t="s">
        <v>63382</v>
      </c>
      <c r="C20811" t="str">
        <f>"8310154"</f>
        <v>8310154</v>
      </c>
      <c r="D20811" t="s">
        <v>63383</v>
      </c>
      <c r="F20811" t="s">
        <v>63356</v>
      </c>
      <c r="I20811" t="s">
        <v>29</v>
      </c>
      <c r="J20811" t="s">
        <v>30</v>
      </c>
      <c r="K20811" t="s">
        <v>11584</v>
      </c>
      <c r="M20811" t="s">
        <v>51351</v>
      </c>
      <c r="N20811" t="str">
        <f>"12/6/2023 9:32:00 AM"</f>
        <v>12/6/2023 9:32:00 AM</v>
      </c>
      <c r="O20811" t="s">
        <v>63383</v>
      </c>
    </row>
    <row r="20812" spans="1:20" x14ac:dyDescent="0.25">
      <c r="A20812" t="str">
        <f>"3046919"</f>
        <v>3046919</v>
      </c>
      <c r="B20812" t="s">
        <v>63384</v>
      </c>
      <c r="C20812" t="str">
        <f>"8318081"</f>
        <v>8318081</v>
      </c>
      <c r="D20812" t="s">
        <v>63385</v>
      </c>
      <c r="E20812" t="s">
        <v>63386</v>
      </c>
      <c r="F20812" t="s">
        <v>63387</v>
      </c>
      <c r="G20812" t="s">
        <v>63388</v>
      </c>
      <c r="I20812" t="s">
        <v>29543</v>
      </c>
      <c r="J20812" t="s">
        <v>2738</v>
      </c>
      <c r="K20812" t="s">
        <v>63389</v>
      </c>
      <c r="M20812" t="s">
        <v>25733</v>
      </c>
      <c r="N20812" t="str">
        <f>"12/5/2023 3:02:00 PM"</f>
        <v>12/5/2023 3:02:00 PM</v>
      </c>
      <c r="O20812" t="s">
        <v>63385</v>
      </c>
      <c r="T20812" t="s">
        <v>63386</v>
      </c>
    </row>
    <row r="20813" spans="1:20" x14ac:dyDescent="0.25">
      <c r="A20813" t="str">
        <f>"3078413"</f>
        <v>3078413</v>
      </c>
      <c r="B20813" t="s">
        <v>63390</v>
      </c>
      <c r="C20813" t="str">
        <f>"8320438"</f>
        <v>8320438</v>
      </c>
      <c r="D20813" t="s">
        <v>63391</v>
      </c>
      <c r="F20813" t="s">
        <v>63392</v>
      </c>
      <c r="I20813" t="s">
        <v>29</v>
      </c>
      <c r="J20813" t="s">
        <v>30</v>
      </c>
      <c r="K20813" t="s">
        <v>63393</v>
      </c>
      <c r="M20813" t="s">
        <v>25733</v>
      </c>
      <c r="N20813" t="str">
        <f>"12/5/2023 1:15:00 PM"</f>
        <v>12/5/2023 1:15:00 PM</v>
      </c>
      <c r="O20813" t="s">
        <v>63391</v>
      </c>
    </row>
    <row r="20814" spans="1:20" x14ac:dyDescent="0.25">
      <c r="A20814" t="str">
        <f>"3045619"</f>
        <v>3045619</v>
      </c>
      <c r="B20814" t="s">
        <v>63394</v>
      </c>
      <c r="C20814" t="str">
        <f>"8315508"</f>
        <v>8315508</v>
      </c>
      <c r="D20814" t="s">
        <v>63395</v>
      </c>
      <c r="F20814" t="s">
        <v>63396</v>
      </c>
      <c r="I20814" t="s">
        <v>4546</v>
      </c>
      <c r="J20814" t="s">
        <v>30</v>
      </c>
      <c r="K20814" t="s">
        <v>63397</v>
      </c>
      <c r="M20814" t="s">
        <v>50621</v>
      </c>
      <c r="N20814" t="str">
        <f>"12/5/2023 11:29:00 AM"</f>
        <v>12/5/2023 11:29:00 AM</v>
      </c>
      <c r="O20814" t="s">
        <v>63395</v>
      </c>
    </row>
    <row r="20815" spans="1:20" x14ac:dyDescent="0.25">
      <c r="A20815" t="str">
        <f>"3048925"</f>
        <v>3048925</v>
      </c>
      <c r="B20815" t="s">
        <v>63398</v>
      </c>
      <c r="C20815" t="str">
        <f>"42035750"</f>
        <v>42035750</v>
      </c>
      <c r="D20815" t="s">
        <v>24929</v>
      </c>
      <c r="F20815" t="s">
        <v>17989</v>
      </c>
      <c r="I20815" t="s">
        <v>29</v>
      </c>
      <c r="J20815" t="s">
        <v>30</v>
      </c>
      <c r="K20815" t="s">
        <v>37090</v>
      </c>
      <c r="L20815" t="s">
        <v>2497</v>
      </c>
      <c r="M20815" t="s">
        <v>18470</v>
      </c>
      <c r="N20815" t="str">
        <f>"12/13/2023 11:48:00 AM"</f>
        <v>12/13/2023 11:48:00 AM</v>
      </c>
      <c r="O20815" t="s">
        <v>24929</v>
      </c>
    </row>
    <row r="20816" spans="1:20" x14ac:dyDescent="0.25">
      <c r="A20816" t="str">
        <f>"3056231"</f>
        <v>3056231</v>
      </c>
      <c r="B20816" t="s">
        <v>63399</v>
      </c>
      <c r="C20816" t="str">
        <f>"8321599"</f>
        <v>8321599</v>
      </c>
      <c r="D20816" t="s">
        <v>63400</v>
      </c>
      <c r="F20816" t="s">
        <v>63401</v>
      </c>
      <c r="I20816" t="s">
        <v>9580</v>
      </c>
      <c r="J20816" t="s">
        <v>30</v>
      </c>
      <c r="K20816" t="s">
        <v>63402</v>
      </c>
      <c r="M20816" t="s">
        <v>50500</v>
      </c>
      <c r="N20816" t="str">
        <f>"12/13/2023 12:13:00 PM"</f>
        <v>12/13/2023 12:13:00 PM</v>
      </c>
      <c r="O20816" t="s">
        <v>63400</v>
      </c>
    </row>
    <row r="20817" spans="1:20" x14ac:dyDescent="0.25">
      <c r="A20817" t="str">
        <f>"3065314"</f>
        <v>3065314</v>
      </c>
      <c r="B20817" t="s">
        <v>63403</v>
      </c>
      <c r="C20817" t="str">
        <f>"8321599"</f>
        <v>8321599</v>
      </c>
      <c r="D20817" t="s">
        <v>63400</v>
      </c>
      <c r="F20817" t="s">
        <v>63401</v>
      </c>
      <c r="I20817" t="s">
        <v>9580</v>
      </c>
      <c r="J20817" t="s">
        <v>30</v>
      </c>
      <c r="K20817" t="s">
        <v>63402</v>
      </c>
      <c r="M20817" t="s">
        <v>50500</v>
      </c>
      <c r="N20817" t="str">
        <f>"12/13/2023 12:13:00 PM"</f>
        <v>12/13/2023 12:13:00 PM</v>
      </c>
      <c r="O20817" t="s">
        <v>63400</v>
      </c>
    </row>
    <row r="20818" spans="1:20" x14ac:dyDescent="0.25">
      <c r="A20818" t="str">
        <f>"3078084"</f>
        <v>3078084</v>
      </c>
      <c r="B20818" t="s">
        <v>63404</v>
      </c>
      <c r="C20818" t="str">
        <f>"8321547"</f>
        <v>8321547</v>
      </c>
      <c r="D20818" t="s">
        <v>63405</v>
      </c>
      <c r="F20818" t="s">
        <v>63406</v>
      </c>
      <c r="I20818" t="s">
        <v>29</v>
      </c>
      <c r="J20818" t="s">
        <v>30</v>
      </c>
      <c r="K20818" t="s">
        <v>46628</v>
      </c>
      <c r="M20818" t="s">
        <v>17861</v>
      </c>
      <c r="N20818" t="str">
        <f>"12/14/2023 8:28:00 AM"</f>
        <v>12/14/2023 8:28:00 AM</v>
      </c>
      <c r="O20818" t="s">
        <v>63405</v>
      </c>
    </row>
    <row r="20819" spans="1:20" x14ac:dyDescent="0.25">
      <c r="A20819" t="str">
        <f>"3040921"</f>
        <v>3040921</v>
      </c>
      <c r="B20819" t="s">
        <v>63407</v>
      </c>
      <c r="C20819" t="str">
        <f>"82532309"</f>
        <v>82532309</v>
      </c>
      <c r="D20819" t="s">
        <v>63408</v>
      </c>
      <c r="F20819" t="s">
        <v>63409</v>
      </c>
      <c r="I20819" t="s">
        <v>184</v>
      </c>
      <c r="J20819" t="s">
        <v>30</v>
      </c>
      <c r="K20819" t="s">
        <v>42489</v>
      </c>
      <c r="M20819" t="s">
        <v>50793</v>
      </c>
      <c r="N20819" t="str">
        <f>"12/14/2023 9:56:00 AM"</f>
        <v>12/14/2023 9:56:00 AM</v>
      </c>
      <c r="O20819" t="s">
        <v>63408</v>
      </c>
    </row>
    <row r="20820" spans="1:20" x14ac:dyDescent="0.25">
      <c r="A20820" t="str">
        <f>"3077714"</f>
        <v>3077714</v>
      </c>
      <c r="B20820" t="s">
        <v>63410</v>
      </c>
      <c r="C20820" t="str">
        <f>"8321601"</f>
        <v>8321601</v>
      </c>
      <c r="D20820" t="s">
        <v>63411</v>
      </c>
      <c r="E20820" t="s">
        <v>63412</v>
      </c>
      <c r="F20820" t="s">
        <v>63413</v>
      </c>
      <c r="I20820" t="s">
        <v>29</v>
      </c>
      <c r="J20820" t="s">
        <v>30</v>
      </c>
      <c r="K20820" t="s">
        <v>26737</v>
      </c>
      <c r="M20820" t="s">
        <v>50500</v>
      </c>
      <c r="N20820" t="str">
        <f>"12/14/2023 10:58:00 AM"</f>
        <v>12/14/2023 10:58:00 AM</v>
      </c>
      <c r="O20820" t="s">
        <v>63411</v>
      </c>
      <c r="T20820" t="s">
        <v>63412</v>
      </c>
    </row>
    <row r="20821" spans="1:20" x14ac:dyDescent="0.25">
      <c r="A20821" t="str">
        <f>"3077942"</f>
        <v>3077942</v>
      </c>
      <c r="B20821" t="s">
        <v>63414</v>
      </c>
      <c r="C20821" t="str">
        <f>"8321602"</f>
        <v>8321602</v>
      </c>
      <c r="D20821" t="s">
        <v>63415</v>
      </c>
      <c r="E20821" t="s">
        <v>63416</v>
      </c>
      <c r="F20821" t="s">
        <v>63417</v>
      </c>
      <c r="I20821" t="s">
        <v>29</v>
      </c>
      <c r="J20821" t="s">
        <v>30</v>
      </c>
      <c r="K20821" t="s">
        <v>51992</v>
      </c>
      <c r="M20821" t="s">
        <v>50500</v>
      </c>
      <c r="N20821" t="str">
        <f>"12/14/2023 11:05:00 AM"</f>
        <v>12/14/2023 11:05:00 AM</v>
      </c>
      <c r="O20821" t="s">
        <v>63415</v>
      </c>
      <c r="T20821" t="s">
        <v>63416</v>
      </c>
    </row>
    <row r="20822" spans="1:20" x14ac:dyDescent="0.25">
      <c r="A20822" t="str">
        <f>"3058558"</f>
        <v>3058558</v>
      </c>
      <c r="B20822" t="s">
        <v>63418</v>
      </c>
      <c r="C20822" t="str">
        <f>"8316302"</f>
        <v>8316302</v>
      </c>
      <c r="D20822" t="s">
        <v>63419</v>
      </c>
      <c r="F20822" t="s">
        <v>63420</v>
      </c>
      <c r="I20822" t="s">
        <v>964</v>
      </c>
      <c r="J20822" t="s">
        <v>30</v>
      </c>
      <c r="K20822" t="s">
        <v>63421</v>
      </c>
      <c r="M20822" t="s">
        <v>50793</v>
      </c>
      <c r="N20822" t="str">
        <f>"12/14/2023 11:50:00 AM"</f>
        <v>12/14/2023 11:50:00 AM</v>
      </c>
      <c r="O20822" t="s">
        <v>63419</v>
      </c>
    </row>
    <row r="20823" spans="1:20" x14ac:dyDescent="0.25">
      <c r="A20823" t="str">
        <f>"3043531"</f>
        <v>3043531</v>
      </c>
      <c r="B20823" t="s">
        <v>63422</v>
      </c>
      <c r="C20823" t="str">
        <f>"8321604"</f>
        <v>8321604</v>
      </c>
      <c r="D20823" t="s">
        <v>63423</v>
      </c>
      <c r="F20823" t="s">
        <v>63424</v>
      </c>
      <c r="I20823" t="s">
        <v>29</v>
      </c>
      <c r="J20823" t="s">
        <v>30</v>
      </c>
      <c r="K20823" t="s">
        <v>63425</v>
      </c>
      <c r="M20823" t="s">
        <v>50500</v>
      </c>
      <c r="N20823" t="str">
        <f>"12/14/2023 11:31:00 AM"</f>
        <v>12/14/2023 11:31:00 AM</v>
      </c>
      <c r="O20823" t="s">
        <v>63423</v>
      </c>
    </row>
    <row r="20824" spans="1:20" x14ac:dyDescent="0.25">
      <c r="A20824" t="str">
        <f>"3045355"</f>
        <v>3045355</v>
      </c>
      <c r="B20824" t="s">
        <v>63426</v>
      </c>
      <c r="C20824" t="str">
        <f>"8321607"</f>
        <v>8321607</v>
      </c>
      <c r="D20824" t="s">
        <v>63427</v>
      </c>
      <c r="F20824" t="s">
        <v>63428</v>
      </c>
      <c r="I20824" t="s">
        <v>29</v>
      </c>
      <c r="J20824" t="s">
        <v>30</v>
      </c>
      <c r="K20824" t="s">
        <v>63429</v>
      </c>
      <c r="M20824" t="s">
        <v>50500</v>
      </c>
      <c r="N20824" t="str">
        <f>"12/14/2023 12:15:00 PM"</f>
        <v>12/14/2023 12:15:00 PM</v>
      </c>
      <c r="O20824" t="s">
        <v>63427</v>
      </c>
    </row>
    <row r="20825" spans="1:20" x14ac:dyDescent="0.25">
      <c r="A20825" t="str">
        <f>"3038857"</f>
        <v>3038857</v>
      </c>
      <c r="B20825" t="s">
        <v>63430</v>
      </c>
      <c r="C20825" t="str">
        <f>"8321608"</f>
        <v>8321608</v>
      </c>
      <c r="D20825" t="s">
        <v>63431</v>
      </c>
      <c r="F20825" t="s">
        <v>63432</v>
      </c>
      <c r="I20825" t="s">
        <v>29</v>
      </c>
      <c r="J20825" t="s">
        <v>30</v>
      </c>
      <c r="K20825" t="s">
        <v>1103</v>
      </c>
      <c r="M20825" t="s">
        <v>50500</v>
      </c>
      <c r="N20825" t="str">
        <f>"12/14/2023 12:26:00 PM"</f>
        <v>12/14/2023 12:26:00 PM</v>
      </c>
      <c r="O20825" t="s">
        <v>63431</v>
      </c>
    </row>
    <row r="20826" spans="1:20" x14ac:dyDescent="0.25">
      <c r="A20826" t="str">
        <f>"3039009"</f>
        <v>3039009</v>
      </c>
      <c r="B20826" t="s">
        <v>63433</v>
      </c>
      <c r="C20826" t="str">
        <f>"8314744"</f>
        <v>8314744</v>
      </c>
      <c r="D20826" t="s">
        <v>63434</v>
      </c>
      <c r="F20826" t="s">
        <v>42668</v>
      </c>
      <c r="I20826" t="s">
        <v>29</v>
      </c>
      <c r="J20826" t="s">
        <v>30</v>
      </c>
      <c r="K20826" t="s">
        <v>42669</v>
      </c>
      <c r="M20826" t="s">
        <v>51351</v>
      </c>
      <c r="N20826" t="str">
        <f>"12/4/2023 2:34:00 PM"</f>
        <v>12/4/2023 2:34:00 PM</v>
      </c>
      <c r="O20826" t="s">
        <v>63434</v>
      </c>
    </row>
    <row r="20827" spans="1:20" x14ac:dyDescent="0.25">
      <c r="A20827" t="str">
        <f>"3054671"</f>
        <v>3054671</v>
      </c>
      <c r="B20827" t="s">
        <v>63435</v>
      </c>
      <c r="C20827" t="str">
        <f>"8310314"</f>
        <v>8310314</v>
      </c>
      <c r="D20827" t="s">
        <v>63436</v>
      </c>
      <c r="F20827" t="s">
        <v>63253</v>
      </c>
      <c r="I20827" t="s">
        <v>184</v>
      </c>
      <c r="J20827" t="s">
        <v>30</v>
      </c>
      <c r="K20827" t="s">
        <v>63254</v>
      </c>
      <c r="M20827" t="s">
        <v>52111</v>
      </c>
      <c r="N20827" t="str">
        <f>"12/7/2023 1:19:00 PM"</f>
        <v>12/7/2023 1:19:00 PM</v>
      </c>
      <c r="O20827" t="s">
        <v>63436</v>
      </c>
    </row>
    <row r="20828" spans="1:20" x14ac:dyDescent="0.25">
      <c r="A20828" t="str">
        <f>"3060872"</f>
        <v>3060872</v>
      </c>
      <c r="B20828" t="s">
        <v>63437</v>
      </c>
      <c r="C20828" t="str">
        <f>"8321560"</f>
        <v>8321560</v>
      </c>
      <c r="D20828" t="s">
        <v>63438</v>
      </c>
      <c r="F20828" t="s">
        <v>63439</v>
      </c>
      <c r="I20828" t="s">
        <v>184</v>
      </c>
      <c r="J20828" t="s">
        <v>30</v>
      </c>
      <c r="K20828" t="s">
        <v>4789</v>
      </c>
      <c r="M20828" t="s">
        <v>17861</v>
      </c>
      <c r="N20828" t="str">
        <f>"12/8/2023 9:16:00 AM"</f>
        <v>12/8/2023 9:16:00 AM</v>
      </c>
      <c r="O20828" t="s">
        <v>63438</v>
      </c>
    </row>
    <row r="20829" spans="1:20" x14ac:dyDescent="0.25">
      <c r="A20829" t="str">
        <f>"3039749"</f>
        <v>3039749</v>
      </c>
      <c r="B20829" t="s">
        <v>63440</v>
      </c>
      <c r="C20829" t="str">
        <f>"8321561"</f>
        <v>8321561</v>
      </c>
      <c r="D20829" t="s">
        <v>63441</v>
      </c>
      <c r="F20829" t="s">
        <v>63442</v>
      </c>
      <c r="I20829" t="s">
        <v>163</v>
      </c>
      <c r="J20829" t="s">
        <v>30</v>
      </c>
      <c r="K20829" t="s">
        <v>63443</v>
      </c>
      <c r="M20829" t="s">
        <v>50500</v>
      </c>
      <c r="N20829" t="str">
        <f>"12/8/2023 9:29:00 AM"</f>
        <v>12/8/2023 9:29:00 AM</v>
      </c>
      <c r="O20829" t="s">
        <v>63441</v>
      </c>
    </row>
    <row r="20830" spans="1:20" x14ac:dyDescent="0.25">
      <c r="A20830" t="str">
        <f>"3069506"</f>
        <v>3069506</v>
      </c>
      <c r="B20830" t="s">
        <v>63444</v>
      </c>
      <c r="C20830" t="str">
        <f>"8314330"</f>
        <v>8314330</v>
      </c>
      <c r="D20830" t="s">
        <v>63445</v>
      </c>
      <c r="E20830" t="s">
        <v>63446</v>
      </c>
      <c r="F20830" t="s">
        <v>63447</v>
      </c>
      <c r="I20830" t="s">
        <v>184</v>
      </c>
      <c r="J20830" t="s">
        <v>30</v>
      </c>
      <c r="K20830" t="s">
        <v>63448</v>
      </c>
      <c r="M20830" t="s">
        <v>50621</v>
      </c>
      <c r="N20830" t="str">
        <f>"12/8/2023 9:49:00 AM"</f>
        <v>12/8/2023 9:49:00 AM</v>
      </c>
      <c r="O20830" t="s">
        <v>63445</v>
      </c>
      <c r="T20830" t="s">
        <v>63446</v>
      </c>
    </row>
    <row r="20831" spans="1:20" x14ac:dyDescent="0.25">
      <c r="A20831" t="str">
        <f>"3058889"</f>
        <v>3058889</v>
      </c>
      <c r="B20831" t="s">
        <v>63449</v>
      </c>
      <c r="C20831" t="str">
        <f>"8321574"</f>
        <v>8321574</v>
      </c>
      <c r="D20831" t="s">
        <v>63450</v>
      </c>
      <c r="E20831" t="s">
        <v>63451</v>
      </c>
      <c r="F20831" t="s">
        <v>63452</v>
      </c>
      <c r="I20831" t="s">
        <v>29</v>
      </c>
      <c r="J20831" t="s">
        <v>30</v>
      </c>
      <c r="K20831" t="s">
        <v>61198</v>
      </c>
      <c r="M20831" t="s">
        <v>50500</v>
      </c>
      <c r="N20831" t="str">
        <f>"12/11/2023 9:08:00 AM"</f>
        <v>12/11/2023 9:08:00 AM</v>
      </c>
      <c r="O20831" t="s">
        <v>63450</v>
      </c>
      <c r="T20831" t="s">
        <v>63451</v>
      </c>
    </row>
    <row r="20832" spans="1:20" x14ac:dyDescent="0.25">
      <c r="A20832" t="str">
        <f>"3052704"</f>
        <v>3052704</v>
      </c>
      <c r="B20832" t="s">
        <v>63453</v>
      </c>
      <c r="C20832" t="str">
        <f>"8321616"</f>
        <v>8321616</v>
      </c>
      <c r="D20832" t="s">
        <v>63454</v>
      </c>
      <c r="F20832" t="s">
        <v>63455</v>
      </c>
      <c r="I20832" t="s">
        <v>29</v>
      </c>
      <c r="J20832" t="s">
        <v>30</v>
      </c>
      <c r="K20832" t="s">
        <v>63456</v>
      </c>
      <c r="M20832" t="s">
        <v>50500</v>
      </c>
      <c r="N20832" t="str">
        <f>"12/15/2023 12:04:00 PM"</f>
        <v>12/15/2023 12:04:00 PM</v>
      </c>
      <c r="O20832" t="s">
        <v>63454</v>
      </c>
    </row>
    <row r="20833" spans="1:20" x14ac:dyDescent="0.25">
      <c r="A20833" t="str">
        <f>"3058910"</f>
        <v>3058910</v>
      </c>
      <c r="B20833" t="s">
        <v>63457</v>
      </c>
      <c r="C20833" t="str">
        <f>"8321618"</f>
        <v>8321618</v>
      </c>
      <c r="D20833" t="s">
        <v>63458</v>
      </c>
      <c r="E20833" t="s">
        <v>63459</v>
      </c>
      <c r="F20833" t="s">
        <v>63460</v>
      </c>
      <c r="I20833" t="s">
        <v>29</v>
      </c>
      <c r="J20833" t="s">
        <v>30</v>
      </c>
      <c r="K20833" t="s">
        <v>61198</v>
      </c>
      <c r="M20833" t="s">
        <v>50500</v>
      </c>
      <c r="N20833" t="str">
        <f>"12/15/2023 12:13:00 PM"</f>
        <v>12/15/2023 12:13:00 PM</v>
      </c>
      <c r="O20833" t="s">
        <v>63458</v>
      </c>
      <c r="T20833" t="s">
        <v>63459</v>
      </c>
    </row>
    <row r="20834" spans="1:20" x14ac:dyDescent="0.25">
      <c r="A20834" t="str">
        <f>"3066971"</f>
        <v>3066971</v>
      </c>
      <c r="B20834" t="s">
        <v>63461</v>
      </c>
      <c r="C20834" t="str">
        <f>"8321619"</f>
        <v>8321619</v>
      </c>
      <c r="D20834" t="str">
        <f>"ESCHE JOHN M/DEBORAH S REV TRU"</f>
        <v>ESCHE JOHN M/DEBORAH S REV TRU</v>
      </c>
      <c r="F20834" t="s">
        <v>63462</v>
      </c>
      <c r="I20834" t="s">
        <v>184</v>
      </c>
      <c r="J20834" t="s">
        <v>30</v>
      </c>
      <c r="K20834" t="s">
        <v>37164</v>
      </c>
      <c r="M20834" t="s">
        <v>50500</v>
      </c>
      <c r="N20834" t="str">
        <f>"12/15/2023 12:21:00 PM"</f>
        <v>12/15/2023 12:21:00 PM</v>
      </c>
      <c r="O20834" t="str">
        <f>"ESCHE JOHN M/DEBORAH S REV TRU"</f>
        <v>ESCHE JOHN M/DEBORAH S REV TRU</v>
      </c>
    </row>
    <row r="20835" spans="1:20" x14ac:dyDescent="0.25">
      <c r="A20835" t="str">
        <f>"3039303"</f>
        <v>3039303</v>
      </c>
      <c r="B20835" t="s">
        <v>63463</v>
      </c>
      <c r="C20835" t="str">
        <f>"8321621"</f>
        <v>8321621</v>
      </c>
      <c r="D20835" t="s">
        <v>63464</v>
      </c>
      <c r="E20835" t="s">
        <v>63465</v>
      </c>
      <c r="F20835" t="s">
        <v>63466</v>
      </c>
      <c r="I20835" t="s">
        <v>2280</v>
      </c>
      <c r="J20835" t="s">
        <v>30</v>
      </c>
      <c r="K20835" t="s">
        <v>63467</v>
      </c>
      <c r="M20835" t="s">
        <v>50500</v>
      </c>
      <c r="N20835" t="str">
        <f>"12/15/2023 2:21:00 PM"</f>
        <v>12/15/2023 2:21:00 PM</v>
      </c>
      <c r="O20835" t="s">
        <v>63464</v>
      </c>
      <c r="T20835" t="s">
        <v>63465</v>
      </c>
    </row>
    <row r="20836" spans="1:20" x14ac:dyDescent="0.25">
      <c r="A20836" t="str">
        <f>"3051265"</f>
        <v>3051265</v>
      </c>
      <c r="B20836" t="s">
        <v>63468</v>
      </c>
      <c r="C20836" t="str">
        <f>"8321577"</f>
        <v>8321577</v>
      </c>
      <c r="D20836" t="s">
        <v>63469</v>
      </c>
      <c r="F20836" t="s">
        <v>63470</v>
      </c>
      <c r="I20836" t="s">
        <v>1107</v>
      </c>
      <c r="J20836" t="s">
        <v>30</v>
      </c>
      <c r="K20836" t="s">
        <v>63471</v>
      </c>
      <c r="M20836" t="s">
        <v>50500</v>
      </c>
      <c r="N20836" t="str">
        <f>"12/11/2023 10:39:00 AM"</f>
        <v>12/11/2023 10:39:00 AM</v>
      </c>
      <c r="O20836" t="s">
        <v>63469</v>
      </c>
    </row>
    <row r="20837" spans="1:20" x14ac:dyDescent="0.25">
      <c r="A20837" t="str">
        <f>"3078484"</f>
        <v>3078484</v>
      </c>
      <c r="B20837" t="s">
        <v>63472</v>
      </c>
      <c r="C20837" t="str">
        <f>"8321581"</f>
        <v>8321581</v>
      </c>
      <c r="D20837" t="s">
        <v>63473</v>
      </c>
      <c r="F20837" t="s">
        <v>63474</v>
      </c>
      <c r="I20837" t="s">
        <v>2280</v>
      </c>
      <c r="J20837" t="s">
        <v>30</v>
      </c>
      <c r="K20837" t="s">
        <v>63475</v>
      </c>
      <c r="M20837" t="s">
        <v>17861</v>
      </c>
      <c r="N20837" t="str">
        <f>"12/11/2023 2:50:00 PM"</f>
        <v>12/11/2023 2:50:00 PM</v>
      </c>
      <c r="O20837" t="s">
        <v>63473</v>
      </c>
    </row>
    <row r="20838" spans="1:20" x14ac:dyDescent="0.25">
      <c r="A20838" t="str">
        <f>"3058915"</f>
        <v>3058915</v>
      </c>
      <c r="B20838" t="s">
        <v>63476</v>
      </c>
      <c r="C20838" t="str">
        <f>"8321626"</f>
        <v>8321626</v>
      </c>
      <c r="D20838" t="s">
        <v>63477</v>
      </c>
      <c r="E20838" t="s">
        <v>63478</v>
      </c>
      <c r="F20838" t="s">
        <v>63479</v>
      </c>
      <c r="I20838" t="s">
        <v>29</v>
      </c>
      <c r="J20838" t="s">
        <v>30</v>
      </c>
      <c r="K20838" t="s">
        <v>63480</v>
      </c>
      <c r="M20838" t="s">
        <v>50500</v>
      </c>
      <c r="N20838" t="str">
        <f>"12/18/2023 10:53:00 AM"</f>
        <v>12/18/2023 10:53:00 AM</v>
      </c>
      <c r="O20838" t="s">
        <v>63477</v>
      </c>
      <c r="T20838" t="s">
        <v>63478</v>
      </c>
    </row>
    <row r="20839" spans="1:20" x14ac:dyDescent="0.25">
      <c r="A20839" t="str">
        <f>"3078485"</f>
        <v>3078485</v>
      </c>
      <c r="B20839" t="s">
        <v>63481</v>
      </c>
      <c r="C20839" t="str">
        <f>"8321581"</f>
        <v>8321581</v>
      </c>
      <c r="D20839" t="s">
        <v>63473</v>
      </c>
      <c r="F20839" t="s">
        <v>63474</v>
      </c>
      <c r="I20839" t="s">
        <v>2280</v>
      </c>
      <c r="J20839" t="s">
        <v>30</v>
      </c>
      <c r="K20839" t="s">
        <v>63475</v>
      </c>
      <c r="M20839" t="s">
        <v>17861</v>
      </c>
      <c r="N20839" t="str">
        <f>"12/11/2023 2:50:00 PM"</f>
        <v>12/11/2023 2:50:00 PM</v>
      </c>
      <c r="O20839" t="s">
        <v>63473</v>
      </c>
    </row>
    <row r="20840" spans="1:20" x14ac:dyDescent="0.25">
      <c r="A20840" t="str">
        <f>"3040660"</f>
        <v>3040660</v>
      </c>
      <c r="B20840" t="s">
        <v>63482</v>
      </c>
      <c r="C20840" t="str">
        <f>"8321582"</f>
        <v>8321582</v>
      </c>
      <c r="D20840" t="s">
        <v>63483</v>
      </c>
      <c r="F20840" t="s">
        <v>45385</v>
      </c>
      <c r="I20840" t="s">
        <v>184</v>
      </c>
      <c r="J20840" t="s">
        <v>30</v>
      </c>
      <c r="K20840" t="s">
        <v>840</v>
      </c>
      <c r="M20840" t="s">
        <v>50500</v>
      </c>
      <c r="N20840" t="str">
        <f>"12/11/2023 3:36:00 PM"</f>
        <v>12/11/2023 3:36:00 PM</v>
      </c>
      <c r="O20840" t="s">
        <v>63483</v>
      </c>
    </row>
    <row r="20841" spans="1:20" x14ac:dyDescent="0.25">
      <c r="A20841" t="str">
        <f>"3058832"</f>
        <v>3058832</v>
      </c>
      <c r="B20841" t="s">
        <v>63484</v>
      </c>
      <c r="C20841" t="str">
        <f>"8321583"</f>
        <v>8321583</v>
      </c>
      <c r="D20841" t="s">
        <v>40592</v>
      </c>
      <c r="E20841" t="s">
        <v>63485</v>
      </c>
      <c r="F20841" t="s">
        <v>40594</v>
      </c>
      <c r="I20841" t="s">
        <v>29</v>
      </c>
      <c r="J20841" t="s">
        <v>30</v>
      </c>
      <c r="K20841" t="s">
        <v>34090</v>
      </c>
      <c r="M20841" t="s">
        <v>50500</v>
      </c>
      <c r="N20841" t="str">
        <f>"12/12/2023 8:12:00 AM"</f>
        <v>12/12/2023 8:12:00 AM</v>
      </c>
      <c r="O20841" t="s">
        <v>40592</v>
      </c>
      <c r="T20841" t="s">
        <v>63485</v>
      </c>
    </row>
    <row r="20842" spans="1:20" x14ac:dyDescent="0.25">
      <c r="A20842" t="str">
        <f>"3058837"</f>
        <v>3058837</v>
      </c>
      <c r="B20842" t="s">
        <v>63486</v>
      </c>
      <c r="C20842" t="str">
        <f>"8321583"</f>
        <v>8321583</v>
      </c>
      <c r="D20842" t="s">
        <v>40592</v>
      </c>
      <c r="E20842" t="s">
        <v>63485</v>
      </c>
      <c r="F20842" t="s">
        <v>40594</v>
      </c>
      <c r="I20842" t="s">
        <v>29</v>
      </c>
      <c r="J20842" t="s">
        <v>30</v>
      </c>
      <c r="K20842" t="s">
        <v>34090</v>
      </c>
      <c r="M20842" t="s">
        <v>50500</v>
      </c>
      <c r="N20842" t="str">
        <f>"12/12/2023 8:12:00 AM"</f>
        <v>12/12/2023 8:12:00 AM</v>
      </c>
      <c r="O20842" t="s">
        <v>40592</v>
      </c>
      <c r="T20842" t="s">
        <v>63485</v>
      </c>
    </row>
    <row r="20843" spans="1:20" x14ac:dyDescent="0.25">
      <c r="A20843" t="str">
        <f>"3062431"</f>
        <v>3062431</v>
      </c>
      <c r="B20843" t="s">
        <v>63487</v>
      </c>
      <c r="C20843" t="str">
        <f>"8321584"</f>
        <v>8321584</v>
      </c>
      <c r="D20843" t="s">
        <v>63488</v>
      </c>
      <c r="E20843" t="s">
        <v>63489</v>
      </c>
      <c r="F20843" t="s">
        <v>63490</v>
      </c>
      <c r="I20843" t="s">
        <v>184</v>
      </c>
      <c r="J20843" t="s">
        <v>30</v>
      </c>
      <c r="K20843" t="s">
        <v>3872</v>
      </c>
      <c r="M20843" t="s">
        <v>50500</v>
      </c>
      <c r="N20843" t="str">
        <f>"12/12/2023 8:41:00 AM"</f>
        <v>12/12/2023 8:41:00 AM</v>
      </c>
      <c r="O20843" t="s">
        <v>63488</v>
      </c>
      <c r="T20843" t="s">
        <v>63489</v>
      </c>
    </row>
    <row r="20844" spans="1:20" x14ac:dyDescent="0.25">
      <c r="A20844" t="str">
        <f>"3058620"</f>
        <v>3058620</v>
      </c>
      <c r="B20844" t="s">
        <v>63491</v>
      </c>
      <c r="C20844" t="str">
        <f>"8321592"</f>
        <v>8321592</v>
      </c>
      <c r="D20844" t="s">
        <v>63492</v>
      </c>
      <c r="F20844" t="s">
        <v>63493</v>
      </c>
      <c r="I20844" t="s">
        <v>29</v>
      </c>
      <c r="J20844" t="s">
        <v>30</v>
      </c>
      <c r="K20844" t="s">
        <v>62976</v>
      </c>
      <c r="M20844" t="s">
        <v>50500</v>
      </c>
      <c r="N20844" t="str">
        <f>"12/12/2023 11:01:00 AM"</f>
        <v>12/12/2023 11:01:00 AM</v>
      </c>
      <c r="O20844" t="s">
        <v>63492</v>
      </c>
    </row>
    <row r="20845" spans="1:20" x14ac:dyDescent="0.25">
      <c r="A20845" t="str">
        <f>"3077160"</f>
        <v>3077160</v>
      </c>
      <c r="B20845" t="s">
        <v>63494</v>
      </c>
      <c r="C20845" t="str">
        <f>"8321593"</f>
        <v>8321593</v>
      </c>
      <c r="D20845" t="s">
        <v>63495</v>
      </c>
      <c r="E20845" t="s">
        <v>63496</v>
      </c>
      <c r="F20845" t="s">
        <v>63497</v>
      </c>
      <c r="I20845" t="s">
        <v>184</v>
      </c>
      <c r="J20845" t="s">
        <v>30</v>
      </c>
      <c r="K20845" t="s">
        <v>40247</v>
      </c>
      <c r="M20845" t="s">
        <v>50500</v>
      </c>
      <c r="N20845" t="str">
        <f>"12/12/2023 11:07:00 AM"</f>
        <v>12/12/2023 11:07:00 AM</v>
      </c>
      <c r="O20845" t="s">
        <v>63495</v>
      </c>
      <c r="T20845" t="s">
        <v>63496</v>
      </c>
    </row>
    <row r="20846" spans="1:20" x14ac:dyDescent="0.25">
      <c r="A20846" t="str">
        <f>"3058352"</f>
        <v>3058352</v>
      </c>
      <c r="B20846" t="s">
        <v>63498</v>
      </c>
      <c r="C20846" t="str">
        <f>"8321596"</f>
        <v>8321596</v>
      </c>
      <c r="D20846" t="s">
        <v>63499</v>
      </c>
      <c r="F20846" t="s">
        <v>63500</v>
      </c>
      <c r="I20846" t="s">
        <v>29</v>
      </c>
      <c r="J20846" t="s">
        <v>30</v>
      </c>
      <c r="K20846" t="s">
        <v>62943</v>
      </c>
      <c r="M20846" t="s">
        <v>50500</v>
      </c>
      <c r="N20846" t="str">
        <f>"12/12/2023 11:34:00 AM"</f>
        <v>12/12/2023 11:34:00 AM</v>
      </c>
      <c r="O20846" t="s">
        <v>63499</v>
      </c>
    </row>
    <row r="20847" spans="1:20" x14ac:dyDescent="0.25">
      <c r="A20847" t="str">
        <f>"3058868"</f>
        <v>3058868</v>
      </c>
      <c r="B20847" t="s">
        <v>63501</v>
      </c>
      <c r="C20847" t="str">
        <f>"8321638"</f>
        <v>8321638</v>
      </c>
      <c r="D20847" t="s">
        <v>63502</v>
      </c>
      <c r="F20847" t="s">
        <v>63503</v>
      </c>
      <c r="I20847" t="s">
        <v>29</v>
      </c>
      <c r="J20847" t="s">
        <v>30</v>
      </c>
      <c r="K20847" t="s">
        <v>41630</v>
      </c>
      <c r="M20847" t="s">
        <v>50500</v>
      </c>
      <c r="N20847" t="str">
        <f>"12/18/2023 2:58:00 PM"</f>
        <v>12/18/2023 2:58:00 PM</v>
      </c>
      <c r="O20847" t="s">
        <v>63502</v>
      </c>
    </row>
    <row r="20848" spans="1:20" x14ac:dyDescent="0.25">
      <c r="A20848" t="str">
        <f>"3048647"</f>
        <v>3048647</v>
      </c>
      <c r="B20848" t="s">
        <v>63504</v>
      </c>
      <c r="C20848" t="str">
        <f>"8321639"</f>
        <v>8321639</v>
      </c>
      <c r="D20848" t="s">
        <v>63505</v>
      </c>
      <c r="E20848" t="s">
        <v>63506</v>
      </c>
      <c r="F20848" t="s">
        <v>63507</v>
      </c>
      <c r="I20848" t="s">
        <v>184</v>
      </c>
      <c r="J20848" t="s">
        <v>30</v>
      </c>
      <c r="K20848" t="s">
        <v>63508</v>
      </c>
      <c r="M20848" t="s">
        <v>50500</v>
      </c>
      <c r="N20848" t="str">
        <f>"12/18/2023 3:10:00 PM"</f>
        <v>12/18/2023 3:10:00 PM</v>
      </c>
      <c r="O20848" t="s">
        <v>63505</v>
      </c>
      <c r="T20848" t="s">
        <v>63506</v>
      </c>
    </row>
    <row r="20849" spans="1:20" x14ac:dyDescent="0.25">
      <c r="A20849" t="str">
        <f>"3050967"</f>
        <v>3050967</v>
      </c>
      <c r="B20849" t="s">
        <v>63509</v>
      </c>
      <c r="C20849" t="str">
        <f>"82527831"</f>
        <v>82527831</v>
      </c>
      <c r="D20849" t="s">
        <v>63510</v>
      </c>
      <c r="F20849" t="s">
        <v>63511</v>
      </c>
      <c r="I20849" t="s">
        <v>184</v>
      </c>
      <c r="J20849" t="s">
        <v>30</v>
      </c>
      <c r="K20849" t="s">
        <v>12441</v>
      </c>
      <c r="M20849" t="s">
        <v>18479</v>
      </c>
      <c r="N20849" t="str">
        <f>"12/19/2023 8:41:00 AM"</f>
        <v>12/19/2023 8:41:00 AM</v>
      </c>
      <c r="O20849" t="s">
        <v>63510</v>
      </c>
    </row>
    <row r="20850" spans="1:20" x14ac:dyDescent="0.25">
      <c r="A20850" t="str">
        <f>"3050667"</f>
        <v>3050667</v>
      </c>
      <c r="B20850" t="s">
        <v>63512</v>
      </c>
      <c r="C20850" t="str">
        <f>"82527831"</f>
        <v>82527831</v>
      </c>
      <c r="D20850" t="s">
        <v>63510</v>
      </c>
      <c r="F20850" t="s">
        <v>63511</v>
      </c>
      <c r="I20850" t="s">
        <v>184</v>
      </c>
      <c r="J20850" t="s">
        <v>30</v>
      </c>
      <c r="K20850" t="s">
        <v>12441</v>
      </c>
      <c r="M20850" t="s">
        <v>18479</v>
      </c>
      <c r="N20850" t="str">
        <f>"12/19/2023 8:41:00 AM"</f>
        <v>12/19/2023 8:41:00 AM</v>
      </c>
      <c r="O20850" t="s">
        <v>63510</v>
      </c>
    </row>
    <row r="20851" spans="1:20" x14ac:dyDescent="0.25">
      <c r="A20851" t="str">
        <f>"3053349"</f>
        <v>3053349</v>
      </c>
      <c r="B20851" t="s">
        <v>63513</v>
      </c>
      <c r="C20851" t="str">
        <f>"82527831"</f>
        <v>82527831</v>
      </c>
      <c r="D20851" t="s">
        <v>63510</v>
      </c>
      <c r="F20851" t="s">
        <v>63511</v>
      </c>
      <c r="I20851" t="s">
        <v>184</v>
      </c>
      <c r="J20851" t="s">
        <v>30</v>
      </c>
      <c r="K20851" t="s">
        <v>12441</v>
      </c>
      <c r="M20851" t="s">
        <v>18479</v>
      </c>
      <c r="N20851" t="str">
        <f>"12/19/2023 8:41:00 AM"</f>
        <v>12/19/2023 8:41:00 AM</v>
      </c>
      <c r="O20851" t="s">
        <v>63510</v>
      </c>
    </row>
    <row r="20852" spans="1:20" x14ac:dyDescent="0.25">
      <c r="A20852" t="str">
        <f>"3039679"</f>
        <v>3039679</v>
      </c>
      <c r="B20852" t="s">
        <v>63514</v>
      </c>
      <c r="C20852" t="str">
        <f>"8321640"</f>
        <v>8321640</v>
      </c>
      <c r="D20852" t="str">
        <f>"HADLEY JACOB M JR/HADLEY CAROL"</f>
        <v>HADLEY JACOB M JR/HADLEY CAROL</v>
      </c>
      <c r="E20852" t="s">
        <v>63515</v>
      </c>
      <c r="F20852" t="s">
        <v>63516</v>
      </c>
      <c r="I20852" t="s">
        <v>63517</v>
      </c>
      <c r="J20852" t="s">
        <v>30</v>
      </c>
      <c r="K20852" t="s">
        <v>63518</v>
      </c>
      <c r="M20852" t="s">
        <v>50500</v>
      </c>
      <c r="N20852" t="str">
        <f>"12/19/2023 8:49:00 AM"</f>
        <v>12/19/2023 8:49:00 AM</v>
      </c>
      <c r="O20852" t="str">
        <f>"HADLEY JACOB M JR/HADLEY CAROL"</f>
        <v>HADLEY JACOB M JR/HADLEY CAROL</v>
      </c>
      <c r="T20852" t="s">
        <v>63515</v>
      </c>
    </row>
    <row r="20853" spans="1:20" x14ac:dyDescent="0.25">
      <c r="A20853" t="str">
        <f>"3081019"</f>
        <v>3081019</v>
      </c>
      <c r="B20853" t="s">
        <v>63519</v>
      </c>
      <c r="C20853" t="str">
        <f>"8321640"</f>
        <v>8321640</v>
      </c>
      <c r="D20853" t="str">
        <f>"HADLEY JACOB M JR/HADLEY CAROL"</f>
        <v>HADLEY JACOB M JR/HADLEY CAROL</v>
      </c>
      <c r="E20853" t="s">
        <v>63515</v>
      </c>
      <c r="F20853" t="s">
        <v>63516</v>
      </c>
      <c r="I20853" t="s">
        <v>63517</v>
      </c>
      <c r="J20853" t="s">
        <v>30</v>
      </c>
      <c r="K20853" t="s">
        <v>63518</v>
      </c>
      <c r="M20853" t="s">
        <v>50500</v>
      </c>
      <c r="N20853" t="str">
        <f>"12/19/2023 8:49:00 AM"</f>
        <v>12/19/2023 8:49:00 AM</v>
      </c>
      <c r="O20853" t="str">
        <f>"HADLEY JACOB M JR/HADLEY CAROL"</f>
        <v>HADLEY JACOB M JR/HADLEY CAROL</v>
      </c>
      <c r="T20853" t="s">
        <v>63515</v>
      </c>
    </row>
    <row r="20854" spans="1:20" x14ac:dyDescent="0.25">
      <c r="A20854" t="str">
        <f>"3078549"</f>
        <v>3078549</v>
      </c>
      <c r="B20854" t="s">
        <v>63520</v>
      </c>
      <c r="C20854" t="str">
        <f>"8321598"</f>
        <v>8321598</v>
      </c>
      <c r="D20854" t="s">
        <v>63400</v>
      </c>
      <c r="E20854" t="s">
        <v>63521</v>
      </c>
      <c r="F20854" t="s">
        <v>63401</v>
      </c>
      <c r="I20854" t="s">
        <v>9580</v>
      </c>
      <c r="J20854" t="s">
        <v>30</v>
      </c>
      <c r="K20854" t="s">
        <v>63402</v>
      </c>
      <c r="M20854" t="s">
        <v>50500</v>
      </c>
      <c r="N20854" t="str">
        <f>"12/12/2023 12:00:00 PM"</f>
        <v>12/12/2023 12:00:00 PM</v>
      </c>
      <c r="O20854" t="s">
        <v>63400</v>
      </c>
      <c r="T20854" t="s">
        <v>63521</v>
      </c>
    </row>
    <row r="20855" spans="1:20" x14ac:dyDescent="0.25">
      <c r="A20855" t="str">
        <f>"3057351"</f>
        <v>3057351</v>
      </c>
      <c r="B20855" t="s">
        <v>63522</v>
      </c>
      <c r="C20855" t="str">
        <f>"82529885"</f>
        <v>82529885</v>
      </c>
      <c r="D20855" t="s">
        <v>63523</v>
      </c>
      <c r="E20855" t="str">
        <f>"C/O JOHN PATERSON"</f>
        <v>C/O JOHN PATERSON</v>
      </c>
      <c r="F20855" t="s">
        <v>46802</v>
      </c>
      <c r="I20855" t="s">
        <v>29</v>
      </c>
      <c r="J20855" t="s">
        <v>30</v>
      </c>
      <c r="K20855" t="s">
        <v>63524</v>
      </c>
      <c r="M20855" t="s">
        <v>51351</v>
      </c>
      <c r="N20855" t="str">
        <f>"12/12/2023 3:45:00 PM"</f>
        <v>12/12/2023 3:45:00 PM</v>
      </c>
      <c r="O20855" t="s">
        <v>63523</v>
      </c>
      <c r="T20855" t="str">
        <f>"C/O JOHN PATERSON"</f>
        <v>C/O JOHN PATERSON</v>
      </c>
    </row>
    <row r="20856" spans="1:20" x14ac:dyDescent="0.25">
      <c r="A20856" t="str">
        <f>"3056363"</f>
        <v>3056363</v>
      </c>
      <c r="B20856" t="s">
        <v>63525</v>
      </c>
      <c r="C20856" t="str">
        <f>"15348000"</f>
        <v>15348000</v>
      </c>
      <c r="D20856" t="s">
        <v>63526</v>
      </c>
      <c r="F20856" t="s">
        <v>63527</v>
      </c>
      <c r="I20856" t="s">
        <v>184</v>
      </c>
      <c r="J20856" t="s">
        <v>30</v>
      </c>
      <c r="K20856" t="s">
        <v>40298</v>
      </c>
      <c r="M20856" t="s">
        <v>51351</v>
      </c>
      <c r="N20856" t="str">
        <f>"12/13/2023 10:17:00 AM"</f>
        <v>12/13/2023 10:17:00 AM</v>
      </c>
      <c r="O20856" t="s">
        <v>63526</v>
      </c>
    </row>
    <row r="20857" spans="1:20" x14ac:dyDescent="0.25">
      <c r="A20857" t="str">
        <f>"3056391"</f>
        <v>3056391</v>
      </c>
      <c r="B20857" t="s">
        <v>63528</v>
      </c>
      <c r="C20857" t="str">
        <f>"15356000"</f>
        <v>15356000</v>
      </c>
      <c r="D20857" t="s">
        <v>63529</v>
      </c>
      <c r="F20857" t="str">
        <f>"C/O FRANK CLARK"</f>
        <v>C/O FRANK CLARK</v>
      </c>
      <c r="G20857" t="s">
        <v>63527</v>
      </c>
      <c r="I20857" t="s">
        <v>184</v>
      </c>
      <c r="J20857" t="s">
        <v>30</v>
      </c>
      <c r="K20857" t="s">
        <v>40298</v>
      </c>
      <c r="M20857" t="s">
        <v>51351</v>
      </c>
      <c r="N20857" t="str">
        <f>"12/13/2023 10:17:00 AM"</f>
        <v>12/13/2023 10:17:00 AM</v>
      </c>
      <c r="O20857" t="s">
        <v>63529</v>
      </c>
    </row>
    <row r="20858" spans="1:20" x14ac:dyDescent="0.25">
      <c r="A20858" t="str">
        <f>"3069190"</f>
        <v>3069190</v>
      </c>
      <c r="B20858" t="s">
        <v>63530</v>
      </c>
      <c r="C20858" t="str">
        <f>"15356000"</f>
        <v>15356000</v>
      </c>
      <c r="D20858" t="s">
        <v>63529</v>
      </c>
      <c r="F20858" t="str">
        <f>"C/O FRANK CLARK"</f>
        <v>C/O FRANK CLARK</v>
      </c>
      <c r="G20858" t="s">
        <v>63527</v>
      </c>
      <c r="I20858" t="s">
        <v>184</v>
      </c>
      <c r="J20858" t="s">
        <v>30</v>
      </c>
      <c r="K20858" t="s">
        <v>40298</v>
      </c>
      <c r="M20858" t="s">
        <v>51351</v>
      </c>
      <c r="N20858" t="str">
        <f>"12/13/2023 10:17:00 AM"</f>
        <v>12/13/2023 10:17:00 AM</v>
      </c>
      <c r="O20858" t="s">
        <v>63529</v>
      </c>
    </row>
    <row r="20859" spans="1:20" x14ac:dyDescent="0.25">
      <c r="A20859" t="str">
        <f>"3068655"</f>
        <v>3068655</v>
      </c>
      <c r="B20859" t="s">
        <v>63531</v>
      </c>
      <c r="C20859" t="str">
        <f>"42035750"</f>
        <v>42035750</v>
      </c>
      <c r="D20859" t="s">
        <v>24929</v>
      </c>
      <c r="F20859" t="s">
        <v>17989</v>
      </c>
      <c r="I20859" t="s">
        <v>29</v>
      </c>
      <c r="J20859" t="s">
        <v>30</v>
      </c>
      <c r="K20859" t="s">
        <v>37090</v>
      </c>
      <c r="L20859" t="s">
        <v>2497</v>
      </c>
      <c r="M20859" t="s">
        <v>18470</v>
      </c>
      <c r="N20859" t="str">
        <f>"12/13/2023 11:48:00 AM"</f>
        <v>12/13/2023 11:48:00 AM</v>
      </c>
      <c r="O20859" t="s">
        <v>24929</v>
      </c>
    </row>
    <row r="20860" spans="1:20" x14ac:dyDescent="0.25">
      <c r="A20860" t="str">
        <f>"3052161"</f>
        <v>3052161</v>
      </c>
      <c r="B20860" t="s">
        <v>63532</v>
      </c>
      <c r="C20860" t="str">
        <f>"42035750"</f>
        <v>42035750</v>
      </c>
      <c r="D20860" t="s">
        <v>24929</v>
      </c>
      <c r="F20860" t="s">
        <v>17989</v>
      </c>
      <c r="I20860" t="s">
        <v>29</v>
      </c>
      <c r="J20860" t="s">
        <v>30</v>
      </c>
      <c r="K20860" t="s">
        <v>37090</v>
      </c>
      <c r="L20860" t="s">
        <v>2497</v>
      </c>
      <c r="M20860" t="s">
        <v>18470</v>
      </c>
      <c r="N20860" t="str">
        <f>"12/13/2023 11:48:00 AM"</f>
        <v>12/13/2023 11:48:00 AM</v>
      </c>
      <c r="O20860" t="s">
        <v>24929</v>
      </c>
    </row>
    <row r="20861" spans="1:20" x14ac:dyDescent="0.25">
      <c r="A20861" t="str">
        <f>"3048897"</f>
        <v>3048897</v>
      </c>
      <c r="B20861" t="s">
        <v>63533</v>
      </c>
      <c r="C20861" t="str">
        <f>"42035750"</f>
        <v>42035750</v>
      </c>
      <c r="D20861" t="s">
        <v>24929</v>
      </c>
      <c r="F20861" t="s">
        <v>17989</v>
      </c>
      <c r="I20861" t="s">
        <v>29</v>
      </c>
      <c r="J20861" t="s">
        <v>30</v>
      </c>
      <c r="K20861" t="s">
        <v>37090</v>
      </c>
      <c r="L20861" t="s">
        <v>2497</v>
      </c>
      <c r="M20861" t="s">
        <v>18470</v>
      </c>
      <c r="N20861" t="str">
        <f>"12/13/2023 11:48:00 AM"</f>
        <v>12/13/2023 11:48:00 AM</v>
      </c>
      <c r="O20861" t="s">
        <v>24929</v>
      </c>
    </row>
    <row r="20862" spans="1:20" x14ac:dyDescent="0.25">
      <c r="A20862" t="str">
        <f>"3044094"</f>
        <v>3044094</v>
      </c>
      <c r="B20862" t="s">
        <v>63534</v>
      </c>
      <c r="C20862" t="str">
        <f>"8321611"</f>
        <v>8321611</v>
      </c>
      <c r="D20862" t="s">
        <v>63535</v>
      </c>
      <c r="F20862" t="s">
        <v>63536</v>
      </c>
      <c r="I20862" t="s">
        <v>184</v>
      </c>
      <c r="J20862" t="s">
        <v>30</v>
      </c>
      <c r="K20862" t="s">
        <v>32889</v>
      </c>
      <c r="M20862" t="s">
        <v>50500</v>
      </c>
      <c r="N20862" t="str">
        <f>"12/14/2023 3:34:00 PM"</f>
        <v>12/14/2023 3:34:00 PM</v>
      </c>
      <c r="O20862" t="s">
        <v>63535</v>
      </c>
    </row>
    <row r="20863" spans="1:20" x14ac:dyDescent="0.25">
      <c r="A20863" t="str">
        <f>"3056129"</f>
        <v>3056129</v>
      </c>
      <c r="B20863" t="s">
        <v>63537</v>
      </c>
      <c r="C20863" t="str">
        <f>"8321613"</f>
        <v>8321613</v>
      </c>
      <c r="D20863" t="s">
        <v>63538</v>
      </c>
      <c r="F20863" t="s">
        <v>63539</v>
      </c>
      <c r="I20863" t="s">
        <v>25280</v>
      </c>
      <c r="J20863" t="s">
        <v>30</v>
      </c>
      <c r="K20863" t="str">
        <f>"27014"</f>
        <v>27014</v>
      </c>
      <c r="M20863" t="s">
        <v>50500</v>
      </c>
      <c r="N20863" t="str">
        <f>"12/14/2023 4:03:00 PM"</f>
        <v>12/14/2023 4:03:00 PM</v>
      </c>
      <c r="O20863" t="s">
        <v>63538</v>
      </c>
    </row>
    <row r="20864" spans="1:20" x14ac:dyDescent="0.25">
      <c r="A20864" t="str">
        <f>"3058351"</f>
        <v>3058351</v>
      </c>
      <c r="B20864" t="s">
        <v>63540</v>
      </c>
      <c r="C20864" t="str">
        <f>"8321614"</f>
        <v>8321614</v>
      </c>
      <c r="D20864" t="s">
        <v>63541</v>
      </c>
      <c r="F20864" t="s">
        <v>63542</v>
      </c>
      <c r="I20864" t="s">
        <v>29</v>
      </c>
      <c r="J20864" t="s">
        <v>30</v>
      </c>
      <c r="K20864" t="s">
        <v>62976</v>
      </c>
      <c r="M20864" t="s">
        <v>50500</v>
      </c>
      <c r="N20864" t="str">
        <f>"12/15/2023 10:18:00 AM"</f>
        <v>12/15/2023 10:18:00 AM</v>
      </c>
      <c r="O20864" t="s">
        <v>63541</v>
      </c>
    </row>
    <row r="20865" spans="1:20" x14ac:dyDescent="0.25">
      <c r="A20865" t="str">
        <f>"3058347"</f>
        <v>3058347</v>
      </c>
      <c r="B20865" t="s">
        <v>63543</v>
      </c>
      <c r="C20865" t="str">
        <f>"8321615"</f>
        <v>8321615</v>
      </c>
      <c r="D20865" t="s">
        <v>63544</v>
      </c>
      <c r="F20865" t="s">
        <v>63545</v>
      </c>
      <c r="I20865" t="s">
        <v>29</v>
      </c>
      <c r="J20865" t="s">
        <v>30</v>
      </c>
      <c r="K20865" t="s">
        <v>62976</v>
      </c>
      <c r="M20865" t="s">
        <v>50500</v>
      </c>
      <c r="N20865" t="str">
        <f>"12/15/2023 11:51:00 AM"</f>
        <v>12/15/2023 11:51:00 AM</v>
      </c>
      <c r="O20865" t="s">
        <v>63544</v>
      </c>
    </row>
    <row r="20866" spans="1:20" x14ac:dyDescent="0.25">
      <c r="A20866" t="str">
        <f>"3070268"</f>
        <v>3070268</v>
      </c>
      <c r="B20866" t="s">
        <v>63546</v>
      </c>
      <c r="C20866" t="str">
        <f>"82532890"</f>
        <v>82532890</v>
      </c>
      <c r="D20866" t="s">
        <v>63547</v>
      </c>
      <c r="F20866" t="s">
        <v>63548</v>
      </c>
      <c r="I20866" t="s">
        <v>184</v>
      </c>
      <c r="J20866" t="s">
        <v>30</v>
      </c>
      <c r="K20866" t="s">
        <v>63549</v>
      </c>
      <c r="M20866" t="s">
        <v>50621</v>
      </c>
      <c r="N20866" t="str">
        <f>"12/18/2023 10:23:00 AM"</f>
        <v>12/18/2023 10:23:00 AM</v>
      </c>
      <c r="O20866" t="s">
        <v>63547</v>
      </c>
    </row>
    <row r="20867" spans="1:20" x14ac:dyDescent="0.25">
      <c r="A20867" t="str">
        <f>"3081294"</f>
        <v>3081294</v>
      </c>
      <c r="B20867" t="s">
        <v>63550</v>
      </c>
      <c r="C20867" t="str">
        <f>"8300848"</f>
        <v>8300848</v>
      </c>
      <c r="D20867" t="s">
        <v>63551</v>
      </c>
      <c r="F20867" t="s">
        <v>63552</v>
      </c>
      <c r="I20867" t="s">
        <v>184</v>
      </c>
      <c r="J20867" t="s">
        <v>30</v>
      </c>
      <c r="K20867" t="s">
        <v>55333</v>
      </c>
      <c r="M20867" t="s">
        <v>50621</v>
      </c>
      <c r="N20867" t="str">
        <f>"12/18/2023 10:45:00 AM"</f>
        <v>12/18/2023 10:45:00 AM</v>
      </c>
      <c r="O20867" t="s">
        <v>63551</v>
      </c>
    </row>
    <row r="20868" spans="1:20" x14ac:dyDescent="0.25">
      <c r="A20868" t="str">
        <f>"3053811"</f>
        <v>3053811</v>
      </c>
      <c r="B20868" t="s">
        <v>63553</v>
      </c>
      <c r="C20868" t="str">
        <f>"8321628"</f>
        <v>8321628</v>
      </c>
      <c r="D20868" t="s">
        <v>63554</v>
      </c>
      <c r="E20868" t="s">
        <v>63555</v>
      </c>
      <c r="F20868" t="s">
        <v>63556</v>
      </c>
      <c r="I20868" t="s">
        <v>29</v>
      </c>
      <c r="J20868" t="s">
        <v>30</v>
      </c>
      <c r="K20868" t="s">
        <v>10082</v>
      </c>
      <c r="M20868" t="s">
        <v>50500</v>
      </c>
      <c r="N20868" t="str">
        <f>"12/18/2023 11:01:00 AM"</f>
        <v>12/18/2023 11:01:00 AM</v>
      </c>
      <c r="O20868" t="s">
        <v>63554</v>
      </c>
      <c r="T20868" t="s">
        <v>63555</v>
      </c>
    </row>
    <row r="20869" spans="1:20" x14ac:dyDescent="0.25">
      <c r="A20869" t="str">
        <f>"3042644"</f>
        <v>3042644</v>
      </c>
      <c r="B20869" t="s">
        <v>63557</v>
      </c>
      <c r="C20869" t="str">
        <f>"8321654"</f>
        <v>8321654</v>
      </c>
      <c r="D20869" t="s">
        <v>63558</v>
      </c>
      <c r="F20869" t="s">
        <v>63559</v>
      </c>
      <c r="I20869" t="s">
        <v>29</v>
      </c>
      <c r="J20869" t="s">
        <v>30</v>
      </c>
      <c r="K20869" t="s">
        <v>37265</v>
      </c>
      <c r="M20869" t="s">
        <v>50500</v>
      </c>
      <c r="N20869" t="str">
        <f>"12/20/2023 3:47:00 PM"</f>
        <v>12/20/2023 3:47:00 PM</v>
      </c>
      <c r="O20869" t="s">
        <v>63558</v>
      </c>
    </row>
    <row r="20870" spans="1:20" x14ac:dyDescent="0.25">
      <c r="A20870" t="str">
        <f>"3051107"</f>
        <v>3051107</v>
      </c>
      <c r="B20870" t="s">
        <v>63560</v>
      </c>
      <c r="C20870" t="str">
        <f>"8321654"</f>
        <v>8321654</v>
      </c>
      <c r="D20870" t="s">
        <v>63558</v>
      </c>
      <c r="F20870" t="s">
        <v>63559</v>
      </c>
      <c r="I20870" t="s">
        <v>29</v>
      </c>
      <c r="J20870" t="s">
        <v>30</v>
      </c>
      <c r="K20870" t="s">
        <v>37265</v>
      </c>
      <c r="M20870" t="s">
        <v>50500</v>
      </c>
      <c r="N20870" t="str">
        <f>"12/20/2023 3:47:00 PM"</f>
        <v>12/20/2023 3:47:00 PM</v>
      </c>
      <c r="O20870" t="s">
        <v>63558</v>
      </c>
    </row>
    <row r="20871" spans="1:20" x14ac:dyDescent="0.25">
      <c r="A20871" t="str">
        <f>"3056429"</f>
        <v>3056429</v>
      </c>
      <c r="B20871" t="s">
        <v>63561</v>
      </c>
      <c r="C20871" t="str">
        <f>"66530000"</f>
        <v>66530000</v>
      </c>
      <c r="D20871" t="s">
        <v>63562</v>
      </c>
      <c r="F20871" t="str">
        <f>"C/O JUDY HOSKINS"</f>
        <v>C/O JUDY HOSKINS</v>
      </c>
      <c r="G20871" t="s">
        <v>63563</v>
      </c>
      <c r="I20871" t="s">
        <v>63564</v>
      </c>
      <c r="J20871" t="s">
        <v>30</v>
      </c>
      <c r="K20871" t="s">
        <v>63565</v>
      </c>
      <c r="M20871" t="s">
        <v>25733</v>
      </c>
      <c r="N20871" t="str">
        <f>"12/20/2023 3:56:00 PM"</f>
        <v>12/20/2023 3:56:00 PM</v>
      </c>
      <c r="O20871" t="s">
        <v>63562</v>
      </c>
    </row>
    <row r="20872" spans="1:20" x14ac:dyDescent="0.25">
      <c r="A20872" t="str">
        <f>"3055086"</f>
        <v>3055086</v>
      </c>
      <c r="B20872" t="s">
        <v>63566</v>
      </c>
      <c r="C20872" t="str">
        <f>"66530000"</f>
        <v>66530000</v>
      </c>
      <c r="D20872" t="s">
        <v>63562</v>
      </c>
      <c r="F20872" t="str">
        <f>"C/O JUDY HOSKINS"</f>
        <v>C/O JUDY HOSKINS</v>
      </c>
      <c r="G20872" t="s">
        <v>63563</v>
      </c>
      <c r="I20872" t="s">
        <v>63564</v>
      </c>
      <c r="J20872" t="s">
        <v>30</v>
      </c>
      <c r="K20872" t="s">
        <v>63565</v>
      </c>
      <c r="M20872" t="s">
        <v>25733</v>
      </c>
      <c r="N20872" t="str">
        <f>"12/20/2023 3:56:00 PM"</f>
        <v>12/20/2023 3:56:00 PM</v>
      </c>
      <c r="O20872" t="s">
        <v>63562</v>
      </c>
    </row>
    <row r="20873" spans="1:20" x14ac:dyDescent="0.25">
      <c r="A20873" t="str">
        <f>"3063877"</f>
        <v>3063877</v>
      </c>
      <c r="B20873" t="s">
        <v>63567</v>
      </c>
      <c r="C20873" t="str">
        <f>"8307710"</f>
        <v>8307710</v>
      </c>
      <c r="D20873" t="s">
        <v>63568</v>
      </c>
      <c r="E20873" t="s">
        <v>63569</v>
      </c>
      <c r="F20873" t="s">
        <v>63570</v>
      </c>
      <c r="I20873" t="s">
        <v>184</v>
      </c>
      <c r="J20873" t="s">
        <v>30</v>
      </c>
      <c r="K20873" t="str">
        <f>"27006"</f>
        <v>27006</v>
      </c>
      <c r="M20873" t="s">
        <v>18470</v>
      </c>
      <c r="N20873" t="str">
        <f>"12/18/2023 11:13:00 AM"</f>
        <v>12/18/2023 11:13:00 AM</v>
      </c>
      <c r="O20873" t="s">
        <v>63568</v>
      </c>
      <c r="T20873" t="s">
        <v>63569</v>
      </c>
    </row>
    <row r="20874" spans="1:20" x14ac:dyDescent="0.25">
      <c r="A20874" t="str">
        <f>"3047960"</f>
        <v>3047960</v>
      </c>
      <c r="B20874" t="s">
        <v>63571</v>
      </c>
      <c r="C20874" t="str">
        <f>"8321657"</f>
        <v>8321657</v>
      </c>
      <c r="D20874" t="s">
        <v>63572</v>
      </c>
      <c r="F20874" t="s">
        <v>63573</v>
      </c>
      <c r="I20874" t="s">
        <v>29</v>
      </c>
      <c r="J20874" t="s">
        <v>30</v>
      </c>
      <c r="K20874" t="s">
        <v>39803</v>
      </c>
      <c r="M20874" t="s">
        <v>50500</v>
      </c>
      <c r="N20874" t="str">
        <f>"12/22/2023 8:47:00 AM"</f>
        <v>12/22/2023 8:47:00 AM</v>
      </c>
      <c r="O20874" t="s">
        <v>63572</v>
      </c>
    </row>
    <row r="20875" spans="1:20" x14ac:dyDescent="0.25">
      <c r="A20875" t="str">
        <f>"3041422"</f>
        <v>3041422</v>
      </c>
      <c r="B20875" t="s">
        <v>63574</v>
      </c>
      <c r="C20875" t="str">
        <f>"8321658"</f>
        <v>8321658</v>
      </c>
      <c r="D20875" t="s">
        <v>63575</v>
      </c>
      <c r="E20875" t="s">
        <v>63576</v>
      </c>
      <c r="F20875" t="s">
        <v>63577</v>
      </c>
      <c r="I20875" t="s">
        <v>184</v>
      </c>
      <c r="J20875" t="s">
        <v>30</v>
      </c>
      <c r="K20875" t="s">
        <v>38176</v>
      </c>
      <c r="M20875" t="s">
        <v>50500</v>
      </c>
      <c r="N20875" t="str">
        <f>"12/22/2023 9:36:00 AM"</f>
        <v>12/22/2023 9:36:00 AM</v>
      </c>
      <c r="O20875" t="s">
        <v>63575</v>
      </c>
      <c r="T20875" t="s">
        <v>63576</v>
      </c>
    </row>
    <row r="20876" spans="1:20" x14ac:dyDescent="0.25">
      <c r="A20876" t="str">
        <f>"3058332"</f>
        <v>3058332</v>
      </c>
      <c r="B20876" t="s">
        <v>63578</v>
      </c>
      <c r="C20876" t="str">
        <f>"8321659"</f>
        <v>8321659</v>
      </c>
      <c r="D20876" t="s">
        <v>63579</v>
      </c>
      <c r="F20876" t="s">
        <v>63580</v>
      </c>
      <c r="I20876" t="s">
        <v>29</v>
      </c>
      <c r="J20876" t="s">
        <v>30</v>
      </c>
      <c r="K20876" t="s">
        <v>62976</v>
      </c>
      <c r="M20876" t="s">
        <v>50500</v>
      </c>
      <c r="N20876" t="str">
        <f>"12/22/2023 9:43:00 AM"</f>
        <v>12/22/2023 9:43:00 AM</v>
      </c>
      <c r="O20876" t="s">
        <v>63579</v>
      </c>
    </row>
    <row r="20877" spans="1:20" x14ac:dyDescent="0.25">
      <c r="A20877" t="str">
        <f>"3057470"</f>
        <v>3057470</v>
      </c>
      <c r="B20877" t="s">
        <v>63581</v>
      </c>
      <c r="C20877" t="str">
        <f>"82529419"</f>
        <v>82529419</v>
      </c>
      <c r="D20877" t="s">
        <v>63582</v>
      </c>
      <c r="F20877" t="s">
        <v>46316</v>
      </c>
      <c r="I20877" t="s">
        <v>23790</v>
      </c>
      <c r="J20877" t="s">
        <v>30</v>
      </c>
      <c r="K20877" t="s">
        <v>40030</v>
      </c>
      <c r="L20877" t="s">
        <v>2497</v>
      </c>
      <c r="M20877" t="s">
        <v>62069</v>
      </c>
      <c r="N20877" t="str">
        <f>"12/22/2023 10:39:00 AM"</f>
        <v>12/22/2023 10:39:00 AM</v>
      </c>
      <c r="O20877" t="s">
        <v>63582</v>
      </c>
    </row>
    <row r="20878" spans="1:20" x14ac:dyDescent="0.25">
      <c r="A20878" t="str">
        <f>"3069047"</f>
        <v>3069047</v>
      </c>
      <c r="B20878" t="s">
        <v>63583</v>
      </c>
      <c r="C20878" t="str">
        <f>"8302106"</f>
        <v>8302106</v>
      </c>
      <c r="D20878" t="s">
        <v>63584</v>
      </c>
      <c r="E20878" t="s">
        <v>63585</v>
      </c>
      <c r="F20878" t="s">
        <v>63586</v>
      </c>
      <c r="I20878" t="s">
        <v>29</v>
      </c>
      <c r="J20878" t="s">
        <v>30</v>
      </c>
      <c r="K20878" t="s">
        <v>38854</v>
      </c>
      <c r="M20878" t="s">
        <v>50500</v>
      </c>
      <c r="N20878" t="str">
        <f>"12/22/2023 11:40:00 AM"</f>
        <v>12/22/2023 11:40:00 AM</v>
      </c>
      <c r="O20878" t="s">
        <v>63584</v>
      </c>
      <c r="T20878" t="s">
        <v>63585</v>
      </c>
    </row>
    <row r="20879" spans="1:20" x14ac:dyDescent="0.25">
      <c r="A20879" t="str">
        <f>"3057514"</f>
        <v>3057514</v>
      </c>
      <c r="B20879" t="s">
        <v>63587</v>
      </c>
      <c r="C20879" t="str">
        <f>"8321661"</f>
        <v>8321661</v>
      </c>
      <c r="D20879" t="s">
        <v>63588</v>
      </c>
      <c r="F20879" t="s">
        <v>63589</v>
      </c>
      <c r="I20879" t="s">
        <v>471</v>
      </c>
      <c r="J20879" t="s">
        <v>30</v>
      </c>
      <c r="K20879" t="s">
        <v>63590</v>
      </c>
      <c r="M20879" t="s">
        <v>50500</v>
      </c>
      <c r="N20879" t="str">
        <f>"12/28/2023 10:32:00 AM"</f>
        <v>12/28/2023 10:32:00 AM</v>
      </c>
      <c r="O20879" t="s">
        <v>63588</v>
      </c>
    </row>
    <row r="20880" spans="1:20" x14ac:dyDescent="0.25">
      <c r="A20880" t="str">
        <f>"3061817"</f>
        <v>3061817</v>
      </c>
      <c r="B20880" t="s">
        <v>63591</v>
      </c>
      <c r="C20880" t="str">
        <f>"8321629"</f>
        <v>8321629</v>
      </c>
      <c r="D20880" t="s">
        <v>63592</v>
      </c>
      <c r="E20880" t="s">
        <v>63593</v>
      </c>
      <c r="F20880" t="s">
        <v>63594</v>
      </c>
      <c r="I20880" t="s">
        <v>184</v>
      </c>
      <c r="J20880" t="s">
        <v>30</v>
      </c>
      <c r="K20880" t="s">
        <v>3885</v>
      </c>
      <c r="M20880" t="s">
        <v>50500</v>
      </c>
      <c r="N20880" t="str">
        <f>"12/18/2023 11:14:00 AM"</f>
        <v>12/18/2023 11:14:00 AM</v>
      </c>
      <c r="O20880" t="s">
        <v>63592</v>
      </c>
      <c r="T20880" t="s">
        <v>63593</v>
      </c>
    </row>
    <row r="20881" spans="1:20" x14ac:dyDescent="0.25">
      <c r="A20881" t="str">
        <f>"3060052"</f>
        <v>3060052</v>
      </c>
      <c r="B20881" t="s">
        <v>63595</v>
      </c>
      <c r="C20881" t="str">
        <f>"8321630"</f>
        <v>8321630</v>
      </c>
      <c r="D20881" t="s">
        <v>63596</v>
      </c>
      <c r="E20881" t="s">
        <v>63597</v>
      </c>
      <c r="F20881" t="s">
        <v>63598</v>
      </c>
      <c r="I20881" t="s">
        <v>184</v>
      </c>
      <c r="J20881" t="s">
        <v>30</v>
      </c>
      <c r="K20881" t="s">
        <v>38874</v>
      </c>
      <c r="M20881" t="s">
        <v>50500</v>
      </c>
      <c r="N20881" t="str">
        <f>"12/18/2023 11:30:00 AM"</f>
        <v>12/18/2023 11:30:00 AM</v>
      </c>
      <c r="O20881" t="s">
        <v>63596</v>
      </c>
      <c r="T20881" t="s">
        <v>63597</v>
      </c>
    </row>
    <row r="20882" spans="1:20" x14ac:dyDescent="0.25">
      <c r="A20882" t="str">
        <f>"3058333"</f>
        <v>3058333</v>
      </c>
      <c r="B20882" t="s">
        <v>63599</v>
      </c>
      <c r="C20882" t="str">
        <f>"8321631"</f>
        <v>8321631</v>
      </c>
      <c r="D20882" t="s">
        <v>63600</v>
      </c>
      <c r="E20882" t="s">
        <v>63601</v>
      </c>
      <c r="F20882" t="s">
        <v>63602</v>
      </c>
      <c r="I20882" t="s">
        <v>29</v>
      </c>
      <c r="J20882" t="s">
        <v>30</v>
      </c>
      <c r="K20882" t="s">
        <v>62976</v>
      </c>
      <c r="M20882" t="s">
        <v>50500</v>
      </c>
      <c r="N20882" t="str">
        <f>"12/18/2023 11:36:00 AM"</f>
        <v>12/18/2023 11:36:00 AM</v>
      </c>
      <c r="O20882" t="s">
        <v>63600</v>
      </c>
      <c r="T20882" t="s">
        <v>63601</v>
      </c>
    </row>
    <row r="20883" spans="1:20" x14ac:dyDescent="0.25">
      <c r="A20883" t="str">
        <f>"3058350"</f>
        <v>3058350</v>
      </c>
      <c r="B20883" t="s">
        <v>63603</v>
      </c>
      <c r="C20883" t="str">
        <f>"8321632"</f>
        <v>8321632</v>
      </c>
      <c r="D20883" t="s">
        <v>63604</v>
      </c>
      <c r="E20883" t="s">
        <v>63605</v>
      </c>
      <c r="F20883" t="s">
        <v>63606</v>
      </c>
      <c r="I20883" t="s">
        <v>29</v>
      </c>
      <c r="J20883" t="s">
        <v>30</v>
      </c>
      <c r="K20883" t="s">
        <v>62976</v>
      </c>
      <c r="M20883" t="s">
        <v>50500</v>
      </c>
      <c r="N20883" t="str">
        <f>"12/18/2023 11:42:00 AM"</f>
        <v>12/18/2023 11:42:00 AM</v>
      </c>
      <c r="O20883" t="s">
        <v>63604</v>
      </c>
      <c r="T20883" t="s">
        <v>63605</v>
      </c>
    </row>
    <row r="20884" spans="1:20" x14ac:dyDescent="0.25">
      <c r="A20884" t="str">
        <f>"3046404"</f>
        <v>3046404</v>
      </c>
      <c r="B20884" t="s">
        <v>63607</v>
      </c>
      <c r="C20884" t="str">
        <f>"8307593"</f>
        <v>8307593</v>
      </c>
      <c r="D20884" t="s">
        <v>63608</v>
      </c>
      <c r="E20884" t="s">
        <v>63609</v>
      </c>
      <c r="F20884" t="s">
        <v>63610</v>
      </c>
      <c r="I20884" t="s">
        <v>29</v>
      </c>
      <c r="J20884" t="s">
        <v>30</v>
      </c>
      <c r="K20884" t="s">
        <v>63611</v>
      </c>
      <c r="M20884" t="s">
        <v>62069</v>
      </c>
      <c r="N20884" t="str">
        <f>"12/18/2023 1:53:00 PM"</f>
        <v>12/18/2023 1:53:00 PM</v>
      </c>
      <c r="O20884" t="s">
        <v>63608</v>
      </c>
      <c r="T20884" t="s">
        <v>63609</v>
      </c>
    </row>
    <row r="20885" spans="1:20" x14ac:dyDescent="0.25">
      <c r="A20885" t="str">
        <f>"3058887"</f>
        <v>3058887</v>
      </c>
      <c r="B20885" t="s">
        <v>63612</v>
      </c>
      <c r="C20885" t="str">
        <f>"8321636"</f>
        <v>8321636</v>
      </c>
      <c r="D20885" t="s">
        <v>63613</v>
      </c>
      <c r="E20885" t="s">
        <v>63614</v>
      </c>
      <c r="F20885" t="s">
        <v>63615</v>
      </c>
      <c r="I20885" t="s">
        <v>29</v>
      </c>
      <c r="J20885" t="s">
        <v>30</v>
      </c>
      <c r="K20885" t="s">
        <v>61198</v>
      </c>
      <c r="M20885" t="s">
        <v>50500</v>
      </c>
      <c r="N20885" t="str">
        <f>"12/18/2023 2:48:00 PM"</f>
        <v>12/18/2023 2:48:00 PM</v>
      </c>
      <c r="O20885" t="s">
        <v>63613</v>
      </c>
      <c r="T20885" t="s">
        <v>63614</v>
      </c>
    </row>
    <row r="20886" spans="1:20" x14ac:dyDescent="0.25">
      <c r="A20886" t="str">
        <f>"3077961"</f>
        <v>3077961</v>
      </c>
      <c r="B20886" t="s">
        <v>63616</v>
      </c>
      <c r="C20886" t="str">
        <f>"8321609"</f>
        <v>8321609</v>
      </c>
      <c r="D20886" t="s">
        <v>63617</v>
      </c>
      <c r="E20886" t="s">
        <v>63618</v>
      </c>
      <c r="F20886" t="s">
        <v>63619</v>
      </c>
      <c r="I20886" t="s">
        <v>29</v>
      </c>
      <c r="J20886" t="s">
        <v>30</v>
      </c>
      <c r="K20886" t="s">
        <v>50365</v>
      </c>
      <c r="M20886" t="s">
        <v>50500</v>
      </c>
      <c r="N20886" t="str">
        <f>"12/14/2023 2:13:00 PM"</f>
        <v>12/14/2023 2:13:00 PM</v>
      </c>
      <c r="O20886" t="s">
        <v>63617</v>
      </c>
      <c r="T20886" t="s">
        <v>63618</v>
      </c>
    </row>
    <row r="20887" spans="1:20" x14ac:dyDescent="0.25">
      <c r="A20887" t="str">
        <f>"3060134"</f>
        <v>3060134</v>
      </c>
      <c r="B20887" t="s">
        <v>63620</v>
      </c>
      <c r="C20887" t="str">
        <f>"8321610"</f>
        <v>8321610</v>
      </c>
      <c r="D20887" t="s">
        <v>44755</v>
      </c>
      <c r="E20887" t="s">
        <v>44754</v>
      </c>
      <c r="F20887" t="s">
        <v>63621</v>
      </c>
      <c r="I20887" t="s">
        <v>184</v>
      </c>
      <c r="J20887" t="s">
        <v>30</v>
      </c>
      <c r="K20887" t="s">
        <v>35635</v>
      </c>
      <c r="M20887" t="s">
        <v>50500</v>
      </c>
      <c r="N20887" t="str">
        <f>"12/14/2023 3:27:00 PM"</f>
        <v>12/14/2023 3:27:00 PM</v>
      </c>
      <c r="O20887" t="s">
        <v>44755</v>
      </c>
      <c r="T20887" t="s">
        <v>44754</v>
      </c>
    </row>
    <row r="20888" spans="1:20" x14ac:dyDescent="0.25">
      <c r="A20888" t="str">
        <f>"3044033"</f>
        <v>3044033</v>
      </c>
      <c r="B20888" t="s">
        <v>63622</v>
      </c>
      <c r="C20888" t="str">
        <f>"8310857"</f>
        <v>8310857</v>
      </c>
      <c r="D20888" t="s">
        <v>63623</v>
      </c>
      <c r="E20888" t="s">
        <v>63624</v>
      </c>
      <c r="F20888" t="s">
        <v>63625</v>
      </c>
      <c r="I20888" t="s">
        <v>184</v>
      </c>
      <c r="J20888" t="s">
        <v>30</v>
      </c>
      <c r="K20888" t="s">
        <v>63626</v>
      </c>
      <c r="M20888" t="s">
        <v>50500</v>
      </c>
      <c r="N20888" t="str">
        <f>"12/19/2023 4:07:00 PM"</f>
        <v>12/19/2023 4:07:00 PM</v>
      </c>
      <c r="O20888" t="s">
        <v>63623</v>
      </c>
      <c r="T20888" t="s">
        <v>63624</v>
      </c>
    </row>
    <row r="20889" spans="1:20" x14ac:dyDescent="0.25">
      <c r="A20889" t="str">
        <f>"3045675"</f>
        <v>3045675</v>
      </c>
      <c r="B20889" t="s">
        <v>63627</v>
      </c>
      <c r="C20889" t="str">
        <f>"8321670"</f>
        <v>8321670</v>
      </c>
      <c r="D20889" t="s">
        <v>63628</v>
      </c>
      <c r="E20889" t="s">
        <v>35442</v>
      </c>
      <c r="F20889" t="s">
        <v>63629</v>
      </c>
      <c r="I20889" t="s">
        <v>17921</v>
      </c>
      <c r="J20889" t="s">
        <v>30</v>
      </c>
      <c r="K20889" t="str">
        <f>"27028"</f>
        <v>27028</v>
      </c>
      <c r="M20889" t="s">
        <v>50500</v>
      </c>
      <c r="N20889" t="str">
        <f>"12/28/2023 12:21:00 PM"</f>
        <v>12/28/2023 12:21:00 PM</v>
      </c>
      <c r="O20889" t="s">
        <v>63628</v>
      </c>
      <c r="T20889" t="s">
        <v>35442</v>
      </c>
    </row>
    <row r="20890" spans="1:20" x14ac:dyDescent="0.25">
      <c r="A20890" t="str">
        <f>"3049052"</f>
        <v>3049052</v>
      </c>
      <c r="B20890" t="s">
        <v>63630</v>
      </c>
      <c r="C20890" t="str">
        <f>"8304939"</f>
        <v>8304939</v>
      </c>
      <c r="D20890" t="s">
        <v>63631</v>
      </c>
      <c r="F20890" t="s">
        <v>61344</v>
      </c>
      <c r="I20890" t="s">
        <v>29</v>
      </c>
      <c r="J20890" t="s">
        <v>30</v>
      </c>
      <c r="K20890" t="s">
        <v>453</v>
      </c>
      <c r="M20890" t="s">
        <v>49684</v>
      </c>
      <c r="N20890" t="str">
        <f>"12/28/2023 1:30:00 PM"</f>
        <v>12/28/2023 1:30:00 PM</v>
      </c>
      <c r="O20890" t="s">
        <v>63631</v>
      </c>
    </row>
    <row r="20891" spans="1:20" x14ac:dyDescent="0.25">
      <c r="A20891" t="str">
        <f>"3075464"</f>
        <v>3075464</v>
      </c>
      <c r="B20891" t="s">
        <v>63632</v>
      </c>
      <c r="C20891" t="str">
        <f>"8304939"</f>
        <v>8304939</v>
      </c>
      <c r="D20891" t="s">
        <v>63631</v>
      </c>
      <c r="F20891" t="s">
        <v>61344</v>
      </c>
      <c r="I20891" t="s">
        <v>29</v>
      </c>
      <c r="J20891" t="s">
        <v>30</v>
      </c>
      <c r="K20891" t="s">
        <v>453</v>
      </c>
      <c r="M20891" t="s">
        <v>49684</v>
      </c>
      <c r="N20891" t="str">
        <f>"12/28/2023 1:30:00 PM"</f>
        <v>12/28/2023 1:30:00 PM</v>
      </c>
      <c r="O20891" t="s">
        <v>63631</v>
      </c>
    </row>
    <row r="20892" spans="1:20" x14ac:dyDescent="0.25">
      <c r="A20892" t="str">
        <f>"3058132"</f>
        <v>3058132</v>
      </c>
      <c r="B20892" t="s">
        <v>63633</v>
      </c>
      <c r="C20892" t="str">
        <f>"8321649"</f>
        <v>8321649</v>
      </c>
      <c r="D20892" t="s">
        <v>63634</v>
      </c>
      <c r="E20892" t="s">
        <v>63635</v>
      </c>
      <c r="F20892" t="s">
        <v>63636</v>
      </c>
      <c r="I20892" t="s">
        <v>29</v>
      </c>
      <c r="J20892" t="s">
        <v>30</v>
      </c>
      <c r="K20892" t="s">
        <v>13727</v>
      </c>
      <c r="M20892" t="s">
        <v>50500</v>
      </c>
      <c r="N20892" t="str">
        <f>"12/20/2023 9:10:00 AM"</f>
        <v>12/20/2023 9:10:00 AM</v>
      </c>
      <c r="O20892" t="s">
        <v>63634</v>
      </c>
      <c r="T20892" t="s">
        <v>63635</v>
      </c>
    </row>
    <row r="20893" spans="1:20" x14ac:dyDescent="0.25">
      <c r="A20893" t="str">
        <f>"3050922"</f>
        <v>3050922</v>
      </c>
      <c r="B20893" t="s">
        <v>63637</v>
      </c>
      <c r="C20893" t="str">
        <f>"8321650"</f>
        <v>8321650</v>
      </c>
      <c r="D20893" t="s">
        <v>63638</v>
      </c>
      <c r="E20893" t="s">
        <v>63639</v>
      </c>
      <c r="F20893" t="s">
        <v>63640</v>
      </c>
      <c r="I20893" t="s">
        <v>24359</v>
      </c>
      <c r="J20893" t="s">
        <v>30</v>
      </c>
      <c r="K20893" t="str">
        <f>"27006"</f>
        <v>27006</v>
      </c>
      <c r="M20893" t="s">
        <v>50500</v>
      </c>
      <c r="N20893" t="str">
        <f>"12/20/2023 9:17:00 AM"</f>
        <v>12/20/2023 9:17:00 AM</v>
      </c>
      <c r="O20893" t="s">
        <v>63638</v>
      </c>
      <c r="T20893" t="s">
        <v>63639</v>
      </c>
    </row>
    <row r="20894" spans="1:20" x14ac:dyDescent="0.25">
      <c r="A20894" t="str">
        <f>"3058289"</f>
        <v>3058289</v>
      </c>
      <c r="B20894" t="s">
        <v>63641</v>
      </c>
      <c r="C20894" t="str">
        <f>"8321651"</f>
        <v>8321651</v>
      </c>
      <c r="D20894" t="str">
        <f>"ROSE TIMOTHY CECIL/ROSE ANDREA W TRUSTEES"</f>
        <v>ROSE TIMOTHY CECIL/ROSE ANDREA W TRUSTEES</v>
      </c>
      <c r="E20894" t="s">
        <v>63642</v>
      </c>
      <c r="F20894" t="s">
        <v>63643</v>
      </c>
      <c r="I20894" t="s">
        <v>29</v>
      </c>
      <c r="J20894" t="s">
        <v>30</v>
      </c>
      <c r="K20894" t="s">
        <v>27281</v>
      </c>
      <c r="M20894" t="s">
        <v>50500</v>
      </c>
      <c r="N20894" t="str">
        <f>"12/20/2023 10:04:00 AM"</f>
        <v>12/20/2023 10:04:00 AM</v>
      </c>
      <c r="O20894" t="str">
        <f>"ROSE TIMOTHY CECIL/ROSE ANDREA W TRUSTEES"</f>
        <v>ROSE TIMOTHY CECIL/ROSE ANDREA W TRUSTEES</v>
      </c>
      <c r="T20894" t="s">
        <v>63642</v>
      </c>
    </row>
    <row r="20895" spans="1:20" x14ac:dyDescent="0.25">
      <c r="A20895" t="str">
        <f>"3039832"</f>
        <v>3039832</v>
      </c>
      <c r="B20895" t="s">
        <v>63644</v>
      </c>
      <c r="C20895" t="str">
        <f>"14476000"</f>
        <v>14476000</v>
      </c>
      <c r="D20895" t="s">
        <v>63645</v>
      </c>
      <c r="F20895" t="s">
        <v>63646</v>
      </c>
      <c r="I20895" t="s">
        <v>29</v>
      </c>
      <c r="J20895" t="s">
        <v>30</v>
      </c>
      <c r="K20895" t="s">
        <v>31</v>
      </c>
      <c r="M20895" t="s">
        <v>50500</v>
      </c>
      <c r="N20895" t="str">
        <f>"12/20/2023 12:12:00 PM"</f>
        <v>12/20/2023 12:12:00 PM</v>
      </c>
      <c r="O20895" t="s">
        <v>63645</v>
      </c>
    </row>
    <row r="20896" spans="1:20" x14ac:dyDescent="0.25">
      <c r="A20896" t="str">
        <f>"3039889"</f>
        <v>3039889</v>
      </c>
      <c r="B20896" t="s">
        <v>63647</v>
      </c>
      <c r="C20896" t="str">
        <f>"8321653"</f>
        <v>8321653</v>
      </c>
      <c r="D20896" t="s">
        <v>63648</v>
      </c>
      <c r="F20896" t="s">
        <v>63649</v>
      </c>
      <c r="I20896" t="s">
        <v>184</v>
      </c>
      <c r="J20896" t="s">
        <v>30</v>
      </c>
      <c r="K20896" t="s">
        <v>32790</v>
      </c>
      <c r="M20896" t="s">
        <v>50500</v>
      </c>
      <c r="N20896" t="str">
        <f>"12/20/2023 3:21:00 PM"</f>
        <v>12/20/2023 3:21:00 PM</v>
      </c>
      <c r="O20896" t="s">
        <v>63648</v>
      </c>
    </row>
    <row r="20897" spans="1:20" x14ac:dyDescent="0.25">
      <c r="A20897" t="str">
        <f>"3056133"</f>
        <v>3056133</v>
      </c>
      <c r="B20897" t="s">
        <v>63650</v>
      </c>
      <c r="C20897" t="str">
        <f>"8321656"</f>
        <v>8321656</v>
      </c>
      <c r="D20897" t="s">
        <v>63651</v>
      </c>
      <c r="E20897" t="s">
        <v>63652</v>
      </c>
      <c r="F20897" t="s">
        <v>63653</v>
      </c>
      <c r="I20897" t="s">
        <v>17921</v>
      </c>
      <c r="J20897" t="s">
        <v>30</v>
      </c>
      <c r="K20897" t="str">
        <f>"27028"</f>
        <v>27028</v>
      </c>
      <c r="M20897" t="s">
        <v>50500</v>
      </c>
      <c r="N20897" t="str">
        <f>"12/22/2023 8:40:00 AM"</f>
        <v>12/22/2023 8:40:00 AM</v>
      </c>
      <c r="O20897" t="s">
        <v>63651</v>
      </c>
      <c r="T20897" t="s">
        <v>63652</v>
      </c>
    </row>
    <row r="20898" spans="1:20" x14ac:dyDescent="0.25">
      <c r="A20898" t="str">
        <f>"3058826"</f>
        <v>3058826</v>
      </c>
      <c r="B20898" t="s">
        <v>63654</v>
      </c>
      <c r="C20898" t="str">
        <f>"8321641"</f>
        <v>8321641</v>
      </c>
      <c r="D20898" t="s">
        <v>63655</v>
      </c>
      <c r="F20898" t="s">
        <v>63656</v>
      </c>
      <c r="I20898" t="s">
        <v>29</v>
      </c>
      <c r="J20898" t="s">
        <v>30</v>
      </c>
      <c r="K20898" t="s">
        <v>41630</v>
      </c>
      <c r="M20898" t="s">
        <v>50500</v>
      </c>
      <c r="N20898" t="str">
        <f>"12/19/2023 9:52:00 AM"</f>
        <v>12/19/2023 9:52:00 AM</v>
      </c>
      <c r="O20898" t="s">
        <v>63655</v>
      </c>
    </row>
    <row r="20899" spans="1:20" x14ac:dyDescent="0.25">
      <c r="A20899" t="str">
        <f>"3058867"</f>
        <v>3058867</v>
      </c>
      <c r="B20899" t="s">
        <v>63657</v>
      </c>
      <c r="C20899" t="str">
        <f>"8321642"</f>
        <v>8321642</v>
      </c>
      <c r="D20899" t="s">
        <v>63658</v>
      </c>
      <c r="F20899" t="s">
        <v>63659</v>
      </c>
      <c r="I20899" t="s">
        <v>29</v>
      </c>
      <c r="J20899" t="s">
        <v>30</v>
      </c>
      <c r="K20899" t="s">
        <v>41630</v>
      </c>
      <c r="M20899" t="s">
        <v>50500</v>
      </c>
      <c r="N20899" t="str">
        <f>"12/19/2023 10:10:00 AM"</f>
        <v>12/19/2023 10:10:00 AM</v>
      </c>
      <c r="O20899" t="s">
        <v>63658</v>
      </c>
    </row>
    <row r="20900" spans="1:20" x14ac:dyDescent="0.25">
      <c r="A20900" t="str">
        <f>"3078458"</f>
        <v>3078458</v>
      </c>
      <c r="B20900" t="s">
        <v>63660</v>
      </c>
      <c r="C20900" t="str">
        <f>"8321644"</f>
        <v>8321644</v>
      </c>
      <c r="D20900" t="s">
        <v>63661</v>
      </c>
      <c r="E20900" t="s">
        <v>63662</v>
      </c>
      <c r="F20900" t="s">
        <v>63663</v>
      </c>
      <c r="I20900" t="s">
        <v>29</v>
      </c>
      <c r="J20900" t="s">
        <v>30</v>
      </c>
      <c r="K20900" t="s">
        <v>13772</v>
      </c>
      <c r="M20900" t="s">
        <v>50500</v>
      </c>
      <c r="N20900" t="str">
        <f>"12/19/2023 10:42:00 AM"</f>
        <v>12/19/2023 10:42:00 AM</v>
      </c>
      <c r="O20900" t="s">
        <v>63661</v>
      </c>
      <c r="T20900" t="s">
        <v>63662</v>
      </c>
    </row>
    <row r="20901" spans="1:20" x14ac:dyDescent="0.25">
      <c r="A20901" t="str">
        <f>"3059544"</f>
        <v>3059544</v>
      </c>
      <c r="B20901" t="s">
        <v>63664</v>
      </c>
      <c r="C20901" t="str">
        <f>"8321645"</f>
        <v>8321645</v>
      </c>
      <c r="D20901" t="s">
        <v>63665</v>
      </c>
      <c r="E20901" t="s">
        <v>63666</v>
      </c>
      <c r="F20901" t="s">
        <v>13428</v>
      </c>
      <c r="I20901" t="s">
        <v>29</v>
      </c>
      <c r="J20901" t="s">
        <v>30</v>
      </c>
      <c r="K20901" t="s">
        <v>33302</v>
      </c>
      <c r="M20901" t="s">
        <v>50500</v>
      </c>
      <c r="N20901" t="str">
        <f>"12/19/2023 10:50:00 AM"</f>
        <v>12/19/2023 10:50:00 AM</v>
      </c>
      <c r="O20901" t="s">
        <v>63665</v>
      </c>
      <c r="T20901" t="s">
        <v>63666</v>
      </c>
    </row>
    <row r="20902" spans="1:20" x14ac:dyDescent="0.25">
      <c r="A20902" t="str">
        <f>"3058626"</f>
        <v>3058626</v>
      </c>
      <c r="B20902" t="s">
        <v>63667</v>
      </c>
      <c r="C20902" t="str">
        <f>"8321646"</f>
        <v>8321646</v>
      </c>
      <c r="D20902" t="s">
        <v>63668</v>
      </c>
      <c r="E20902" t="s">
        <v>63669</v>
      </c>
      <c r="F20902" t="s">
        <v>63670</v>
      </c>
      <c r="I20902" t="s">
        <v>184</v>
      </c>
      <c r="J20902" t="s">
        <v>30</v>
      </c>
      <c r="K20902" t="s">
        <v>63671</v>
      </c>
      <c r="M20902" t="s">
        <v>50500</v>
      </c>
      <c r="N20902" t="str">
        <f>"12/19/2023 10:59:00 AM"</f>
        <v>12/19/2023 10:59:00 AM</v>
      </c>
      <c r="O20902" t="s">
        <v>63668</v>
      </c>
      <c r="T20902" t="s">
        <v>63669</v>
      </c>
    </row>
    <row r="20903" spans="1:20" x14ac:dyDescent="0.25">
      <c r="A20903" t="str">
        <f>"3039065"</f>
        <v>3039065</v>
      </c>
      <c r="B20903" t="s">
        <v>63672</v>
      </c>
      <c r="C20903" t="str">
        <f>"8321647"</f>
        <v>8321647</v>
      </c>
      <c r="D20903" t="s">
        <v>63673</v>
      </c>
      <c r="E20903" t="s">
        <v>63674</v>
      </c>
      <c r="F20903" t="s">
        <v>63675</v>
      </c>
      <c r="I20903" t="s">
        <v>29</v>
      </c>
      <c r="J20903" t="s">
        <v>30</v>
      </c>
      <c r="K20903" t="s">
        <v>63676</v>
      </c>
      <c r="M20903" t="s">
        <v>50500</v>
      </c>
      <c r="N20903" t="str">
        <f>"12/19/2023 11:27:00 AM"</f>
        <v>12/19/2023 11:27:00 AM</v>
      </c>
      <c r="O20903" t="s">
        <v>63673</v>
      </c>
      <c r="T20903" t="s">
        <v>63674</v>
      </c>
    </row>
    <row r="20904" spans="1:20" x14ac:dyDescent="0.25">
      <c r="A20904" t="str">
        <f>"3048878"</f>
        <v>3048878</v>
      </c>
      <c r="B20904" t="s">
        <v>63677</v>
      </c>
      <c r="C20904" t="str">
        <f>"8321648"</f>
        <v>8321648</v>
      </c>
      <c r="D20904" t="s">
        <v>63678</v>
      </c>
      <c r="F20904" t="s">
        <v>42743</v>
      </c>
      <c r="I20904" t="s">
        <v>29</v>
      </c>
      <c r="J20904" t="s">
        <v>30</v>
      </c>
      <c r="K20904" t="s">
        <v>28730</v>
      </c>
      <c r="M20904" t="s">
        <v>50500</v>
      </c>
      <c r="N20904" t="str">
        <f>"12/19/2023 11:36:00 AM"</f>
        <v>12/19/2023 11:36:00 AM</v>
      </c>
      <c r="O20904" t="s">
        <v>63678</v>
      </c>
    </row>
    <row r="20905" spans="1:20" x14ac:dyDescent="0.25">
      <c r="A20905" t="str">
        <f>"3068635"</f>
        <v>3068635</v>
      </c>
      <c r="B20905" t="s">
        <v>63679</v>
      </c>
      <c r="C20905" t="str">
        <f>"8321648"</f>
        <v>8321648</v>
      </c>
      <c r="D20905" t="s">
        <v>63678</v>
      </c>
      <c r="F20905" t="s">
        <v>42743</v>
      </c>
      <c r="I20905" t="s">
        <v>29</v>
      </c>
      <c r="J20905" t="s">
        <v>30</v>
      </c>
      <c r="K20905" t="s">
        <v>28730</v>
      </c>
      <c r="M20905" t="s">
        <v>50500</v>
      </c>
      <c r="N20905" t="str">
        <f>"12/19/2023 11:36:00 AM"</f>
        <v>12/19/2023 11:36:00 AM</v>
      </c>
      <c r="O20905" t="s">
        <v>63678</v>
      </c>
    </row>
    <row r="20906" spans="1:20" x14ac:dyDescent="0.25">
      <c r="A20906" t="str">
        <f>"3078093"</f>
        <v>3078093</v>
      </c>
      <c r="B20906" t="s">
        <v>63680</v>
      </c>
      <c r="C20906" t="str">
        <f>"8321648"</f>
        <v>8321648</v>
      </c>
      <c r="D20906" t="s">
        <v>63678</v>
      </c>
      <c r="F20906" t="s">
        <v>42743</v>
      </c>
      <c r="I20906" t="s">
        <v>29</v>
      </c>
      <c r="J20906" t="s">
        <v>30</v>
      </c>
      <c r="K20906" t="s">
        <v>28730</v>
      </c>
      <c r="M20906" t="s">
        <v>50500</v>
      </c>
      <c r="N20906" t="str">
        <f>"12/19/2023 11:36:00 AM"</f>
        <v>12/19/2023 11:36:00 AM</v>
      </c>
      <c r="O20906" t="s">
        <v>63678</v>
      </c>
    </row>
    <row r="20907" spans="1:20" x14ac:dyDescent="0.25">
      <c r="A20907" t="str">
        <f>"3037541"</f>
        <v>3037541</v>
      </c>
      <c r="B20907" t="s">
        <v>63681</v>
      </c>
      <c r="C20907" t="str">
        <f>"77007000"</f>
        <v>77007000</v>
      </c>
      <c r="D20907" t="s">
        <v>63682</v>
      </c>
      <c r="F20907" t="s">
        <v>63683</v>
      </c>
      <c r="I20907" t="s">
        <v>63684</v>
      </c>
      <c r="J20907" t="s">
        <v>12725</v>
      </c>
      <c r="K20907" t="s">
        <v>63685</v>
      </c>
      <c r="M20907" t="s">
        <v>50621</v>
      </c>
      <c r="N20907" t="str">
        <f>"12/28/2023 3:12:00 PM"</f>
        <v>12/28/2023 3:12:00 PM</v>
      </c>
      <c r="O20907" t="s">
        <v>63682</v>
      </c>
    </row>
    <row r="20908" spans="1:20" x14ac:dyDescent="0.25">
      <c r="A20908" t="str">
        <f>"3037691"</f>
        <v>3037691</v>
      </c>
      <c r="B20908" t="s">
        <v>63686</v>
      </c>
      <c r="C20908" t="str">
        <f>"77007000"</f>
        <v>77007000</v>
      </c>
      <c r="D20908" t="s">
        <v>63682</v>
      </c>
      <c r="F20908" t="s">
        <v>63683</v>
      </c>
      <c r="I20908" t="s">
        <v>63684</v>
      </c>
      <c r="J20908" t="s">
        <v>12725</v>
      </c>
      <c r="K20908" t="s">
        <v>63685</v>
      </c>
      <c r="M20908" t="s">
        <v>50621</v>
      </c>
      <c r="N20908" t="str">
        <f>"12/28/2023 3:12:00 PM"</f>
        <v>12/28/2023 3:12:00 PM</v>
      </c>
      <c r="O20908" t="s">
        <v>63682</v>
      </c>
    </row>
    <row r="20909" spans="1:20" x14ac:dyDescent="0.25">
      <c r="A20909" t="str">
        <f>"3039082"</f>
        <v>3039082</v>
      </c>
      <c r="B20909" t="s">
        <v>63687</v>
      </c>
      <c r="C20909" t="str">
        <f>"8321569"</f>
        <v>8321569</v>
      </c>
      <c r="D20909" t="s">
        <v>63688</v>
      </c>
      <c r="E20909" t="s">
        <v>63689</v>
      </c>
      <c r="F20909" t="s">
        <v>63690</v>
      </c>
      <c r="I20909" t="s">
        <v>29</v>
      </c>
      <c r="J20909" t="s">
        <v>30</v>
      </c>
      <c r="K20909" t="s">
        <v>63691</v>
      </c>
      <c r="M20909" t="s">
        <v>25733</v>
      </c>
      <c r="N20909" t="str">
        <f>"12/28/2023 3:24:00 PM"</f>
        <v>12/28/2023 3:24:00 PM</v>
      </c>
      <c r="O20909" t="s">
        <v>63688</v>
      </c>
      <c r="T20909" t="s">
        <v>63689</v>
      </c>
    </row>
    <row r="20910" spans="1:20" x14ac:dyDescent="0.25">
      <c r="A20910" t="str">
        <f>"3052427"</f>
        <v>3052427</v>
      </c>
      <c r="B20910" t="s">
        <v>63692</v>
      </c>
      <c r="C20910" t="str">
        <f>"82519083"</f>
        <v>82519083</v>
      </c>
      <c r="D20910" t="s">
        <v>63693</v>
      </c>
      <c r="E20910" t="s">
        <v>63694</v>
      </c>
      <c r="F20910" t="str">
        <f>"C/O HABITAT FOR HUMANITY"</f>
        <v>C/O HABITAT FOR HUMANITY</v>
      </c>
      <c r="G20910" t="s">
        <v>63695</v>
      </c>
      <c r="I20910" t="s">
        <v>29</v>
      </c>
      <c r="J20910" t="s">
        <v>30</v>
      </c>
      <c r="K20910" t="s">
        <v>63696</v>
      </c>
      <c r="M20910" t="s">
        <v>50621</v>
      </c>
      <c r="N20910" t="str">
        <f>"1/2/2024 10:03:00 AM"</f>
        <v>1/2/2024 10:03:00 AM</v>
      </c>
      <c r="O20910" t="s">
        <v>63693</v>
      </c>
      <c r="T20910" t="s">
        <v>63694</v>
      </c>
    </row>
    <row r="20911" spans="1:20" x14ac:dyDescent="0.25">
      <c r="A20911" t="str">
        <f>"3066327"</f>
        <v>3066327</v>
      </c>
      <c r="B20911" t="s">
        <v>63697</v>
      </c>
      <c r="C20911" t="str">
        <f>"82532553"</f>
        <v>82532553</v>
      </c>
      <c r="D20911" t="s">
        <v>63698</v>
      </c>
      <c r="F20911" t="s">
        <v>63699</v>
      </c>
      <c r="I20911" t="s">
        <v>29</v>
      </c>
      <c r="J20911" t="s">
        <v>30</v>
      </c>
      <c r="K20911" t="s">
        <v>31</v>
      </c>
      <c r="M20911" t="s">
        <v>51351</v>
      </c>
      <c r="N20911" t="str">
        <f>"1/2/2024 11:32:00 AM"</f>
        <v>1/2/2024 11:32:00 AM</v>
      </c>
      <c r="O20911" t="s">
        <v>63698</v>
      </c>
    </row>
    <row r="20912" spans="1:20" x14ac:dyDescent="0.25">
      <c r="A20912" t="str">
        <f>"3058611"</f>
        <v>3058611</v>
      </c>
      <c r="B20912" t="s">
        <v>63700</v>
      </c>
      <c r="C20912" t="str">
        <f>"8321672"</f>
        <v>8321672</v>
      </c>
      <c r="D20912" t="s">
        <v>63701</v>
      </c>
      <c r="E20912" t="s">
        <v>63702</v>
      </c>
      <c r="F20912" t="s">
        <v>63703</v>
      </c>
      <c r="I20912" t="s">
        <v>184</v>
      </c>
      <c r="J20912" t="s">
        <v>30</v>
      </c>
      <c r="K20912" t="s">
        <v>63671</v>
      </c>
      <c r="M20912" t="s">
        <v>50500</v>
      </c>
      <c r="N20912" t="str">
        <f>"12/28/2023 3:29:00 PM"</f>
        <v>12/28/2023 3:29:00 PM</v>
      </c>
      <c r="O20912" t="s">
        <v>63701</v>
      </c>
      <c r="T20912" t="s">
        <v>63702</v>
      </c>
    </row>
    <row r="20913" spans="1:20" x14ac:dyDescent="0.25">
      <c r="A20913" t="str">
        <f>"3058426"</f>
        <v>3058426</v>
      </c>
      <c r="B20913" t="s">
        <v>63704</v>
      </c>
      <c r="C20913" t="str">
        <f>"8321683"</f>
        <v>8321683</v>
      </c>
      <c r="D20913" t="s">
        <v>63705</v>
      </c>
      <c r="E20913" t="s">
        <v>63706</v>
      </c>
      <c r="F20913" t="s">
        <v>63707</v>
      </c>
      <c r="I20913" t="s">
        <v>29</v>
      </c>
      <c r="J20913" t="s">
        <v>30</v>
      </c>
      <c r="K20913" t="s">
        <v>60905</v>
      </c>
      <c r="M20913" t="s">
        <v>50500</v>
      </c>
      <c r="N20913" t="str">
        <f>"1/3/2024 8:08:00 AM"</f>
        <v>1/3/2024 8:08:00 AM</v>
      </c>
      <c r="O20913" t="s">
        <v>63705</v>
      </c>
      <c r="T20913" t="s">
        <v>63706</v>
      </c>
    </row>
    <row r="20914" spans="1:20" x14ac:dyDescent="0.25">
      <c r="A20914" t="str">
        <f>"3054219"</f>
        <v>3054219</v>
      </c>
      <c r="B20914" t="s">
        <v>63708</v>
      </c>
      <c r="C20914" t="str">
        <f>"8321684"</f>
        <v>8321684</v>
      </c>
      <c r="D20914" t="s">
        <v>63709</v>
      </c>
      <c r="F20914" t="s">
        <v>63710</v>
      </c>
      <c r="I20914" t="s">
        <v>49</v>
      </c>
      <c r="J20914" t="s">
        <v>30</v>
      </c>
      <c r="K20914" t="s">
        <v>63711</v>
      </c>
      <c r="M20914" t="s">
        <v>50500</v>
      </c>
      <c r="N20914" t="str">
        <f>"1/3/2024 8:14:00 AM"</f>
        <v>1/3/2024 8:14:00 AM</v>
      </c>
      <c r="O20914" t="s">
        <v>63709</v>
      </c>
    </row>
    <row r="20915" spans="1:20" x14ac:dyDescent="0.25">
      <c r="A20915" t="str">
        <f>"3058909"</f>
        <v>3058909</v>
      </c>
      <c r="B20915" t="s">
        <v>63712</v>
      </c>
      <c r="C20915" t="str">
        <f>"8321686"</f>
        <v>8321686</v>
      </c>
      <c r="D20915" t="s">
        <v>63713</v>
      </c>
      <c r="E20915" t="s">
        <v>63714</v>
      </c>
      <c r="F20915" t="s">
        <v>63715</v>
      </c>
      <c r="I20915" t="s">
        <v>29</v>
      </c>
      <c r="J20915" t="s">
        <v>30</v>
      </c>
      <c r="K20915" t="s">
        <v>61198</v>
      </c>
      <c r="M20915" t="s">
        <v>50500</v>
      </c>
      <c r="N20915" t="str">
        <f>"1/3/2024 8:25:00 AM"</f>
        <v>1/3/2024 8:25:00 AM</v>
      </c>
      <c r="O20915" t="s">
        <v>63713</v>
      </c>
      <c r="T20915" t="s">
        <v>63714</v>
      </c>
    </row>
    <row r="20916" spans="1:20" x14ac:dyDescent="0.25">
      <c r="A20916" t="str">
        <f>"3078765"</f>
        <v>3078765</v>
      </c>
      <c r="B20916" t="s">
        <v>63716</v>
      </c>
      <c r="C20916" t="str">
        <f>"8321687"</f>
        <v>8321687</v>
      </c>
      <c r="D20916" t="s">
        <v>63717</v>
      </c>
      <c r="F20916" t="s">
        <v>63718</v>
      </c>
      <c r="I20916" t="s">
        <v>29</v>
      </c>
      <c r="J20916" t="s">
        <v>30</v>
      </c>
      <c r="K20916" t="s">
        <v>21292</v>
      </c>
      <c r="M20916" t="s">
        <v>50500</v>
      </c>
      <c r="N20916" t="str">
        <f>"1/3/2024 8:30:00 AM"</f>
        <v>1/3/2024 8:30:00 AM</v>
      </c>
      <c r="O20916" t="s">
        <v>63717</v>
      </c>
    </row>
    <row r="20917" spans="1:20" x14ac:dyDescent="0.25">
      <c r="A20917" t="str">
        <f>"3041362"</f>
        <v>3041362</v>
      </c>
      <c r="B20917" t="s">
        <v>63719</v>
      </c>
      <c r="C20917" t="str">
        <f>"8321688"</f>
        <v>8321688</v>
      </c>
      <c r="D20917" t="s">
        <v>63720</v>
      </c>
      <c r="F20917" t="s">
        <v>63721</v>
      </c>
      <c r="I20917" t="s">
        <v>184</v>
      </c>
      <c r="J20917" t="s">
        <v>30</v>
      </c>
      <c r="K20917" t="s">
        <v>32945</v>
      </c>
      <c r="M20917" t="s">
        <v>50500</v>
      </c>
      <c r="N20917" t="str">
        <f>"1/3/2024 8:37:00 AM"</f>
        <v>1/3/2024 8:37:00 AM</v>
      </c>
      <c r="O20917" t="s">
        <v>63720</v>
      </c>
    </row>
    <row r="20918" spans="1:20" x14ac:dyDescent="0.25">
      <c r="A20918" t="str">
        <f>"3065059"</f>
        <v>3065059</v>
      </c>
      <c r="B20918" t="s">
        <v>63722</v>
      </c>
      <c r="C20918" t="str">
        <f>"8321690"</f>
        <v>8321690</v>
      </c>
      <c r="D20918" t="s">
        <v>63723</v>
      </c>
      <c r="E20918" t="s">
        <v>63724</v>
      </c>
      <c r="F20918" t="s">
        <v>63725</v>
      </c>
      <c r="I20918" t="s">
        <v>184</v>
      </c>
      <c r="J20918" t="s">
        <v>30</v>
      </c>
      <c r="K20918" t="s">
        <v>9056</v>
      </c>
      <c r="M20918" t="s">
        <v>50500</v>
      </c>
      <c r="N20918" t="str">
        <f>"1/3/2024 8:53:00 AM"</f>
        <v>1/3/2024 8:53:00 AM</v>
      </c>
      <c r="O20918" t="s">
        <v>63723</v>
      </c>
      <c r="T20918" t="s">
        <v>63724</v>
      </c>
    </row>
    <row r="20919" spans="1:20" x14ac:dyDescent="0.25">
      <c r="A20919" t="str">
        <f>"3058349"</f>
        <v>3058349</v>
      </c>
      <c r="B20919" t="s">
        <v>63726</v>
      </c>
      <c r="C20919" t="str">
        <f>"8321692"</f>
        <v>8321692</v>
      </c>
      <c r="D20919" t="s">
        <v>63727</v>
      </c>
      <c r="F20919" t="s">
        <v>63728</v>
      </c>
      <c r="I20919" t="s">
        <v>29</v>
      </c>
      <c r="J20919" t="s">
        <v>30</v>
      </c>
      <c r="K20919" t="s">
        <v>62976</v>
      </c>
      <c r="M20919" t="s">
        <v>50500</v>
      </c>
      <c r="N20919" t="str">
        <f>"1/3/2024 9:14:00 AM"</f>
        <v>1/3/2024 9:14:00 AM</v>
      </c>
      <c r="O20919" t="s">
        <v>63727</v>
      </c>
    </row>
    <row r="20920" spans="1:20" x14ac:dyDescent="0.25">
      <c r="A20920" t="str">
        <f>"3042115"</f>
        <v>3042115</v>
      </c>
      <c r="B20920" t="s">
        <v>63729</v>
      </c>
      <c r="C20920" t="str">
        <f>"8321693"</f>
        <v>8321693</v>
      </c>
      <c r="D20920" t="s">
        <v>41604</v>
      </c>
      <c r="E20920" t="s">
        <v>63730</v>
      </c>
      <c r="F20920" t="s">
        <v>41606</v>
      </c>
      <c r="I20920" t="s">
        <v>29</v>
      </c>
      <c r="J20920" t="s">
        <v>30</v>
      </c>
      <c r="K20920" t="s">
        <v>4354</v>
      </c>
      <c r="M20920" t="s">
        <v>50500</v>
      </c>
      <c r="N20920" t="str">
        <f>"1/3/2024 9:20:00 AM"</f>
        <v>1/3/2024 9:20:00 AM</v>
      </c>
      <c r="O20920" t="s">
        <v>41604</v>
      </c>
      <c r="T20920" t="s">
        <v>63730</v>
      </c>
    </row>
    <row r="20921" spans="1:20" x14ac:dyDescent="0.25">
      <c r="A20921" t="str">
        <f>"3062259"</f>
        <v>3062259</v>
      </c>
      <c r="B20921" t="s">
        <v>63731</v>
      </c>
      <c r="C20921" t="str">
        <f>"8321695"</f>
        <v>8321695</v>
      </c>
      <c r="D20921" t="s">
        <v>63732</v>
      </c>
      <c r="E20921" t="s">
        <v>63733</v>
      </c>
      <c r="F20921" t="s">
        <v>63734</v>
      </c>
      <c r="I20921" t="s">
        <v>29</v>
      </c>
      <c r="J20921" t="s">
        <v>30</v>
      </c>
      <c r="K20921" t="s">
        <v>60142</v>
      </c>
      <c r="M20921" t="s">
        <v>50500</v>
      </c>
      <c r="N20921" t="str">
        <f>"1/3/2024 9:37:00 AM"</f>
        <v>1/3/2024 9:37:00 AM</v>
      </c>
      <c r="O20921" t="s">
        <v>63732</v>
      </c>
      <c r="T20921" t="s">
        <v>63733</v>
      </c>
    </row>
    <row r="20922" spans="1:20" x14ac:dyDescent="0.25">
      <c r="A20922" t="str">
        <f>"3040547"</f>
        <v>3040547</v>
      </c>
      <c r="B20922" t="s">
        <v>63735</v>
      </c>
      <c r="C20922" t="str">
        <f>"82516385"</f>
        <v>82516385</v>
      </c>
      <c r="D20922" t="s">
        <v>63736</v>
      </c>
      <c r="F20922" t="s">
        <v>63737</v>
      </c>
      <c r="I20922" t="s">
        <v>184</v>
      </c>
      <c r="J20922" t="s">
        <v>30</v>
      </c>
      <c r="K20922" t="s">
        <v>41734</v>
      </c>
      <c r="M20922" t="s">
        <v>50793</v>
      </c>
      <c r="N20922" t="str">
        <f>"12/28/2023 3:35:00 PM"</f>
        <v>12/28/2023 3:35:00 PM</v>
      </c>
      <c r="O20922" t="s">
        <v>63736</v>
      </c>
    </row>
    <row r="20923" spans="1:20" x14ac:dyDescent="0.25">
      <c r="A20923" t="str">
        <f>"3040539"</f>
        <v>3040539</v>
      </c>
      <c r="B20923" t="s">
        <v>63738</v>
      </c>
      <c r="C20923" t="str">
        <f>"8321673"</f>
        <v>8321673</v>
      </c>
      <c r="D20923" t="s">
        <v>63739</v>
      </c>
      <c r="E20923" t="s">
        <v>63740</v>
      </c>
      <c r="F20923" t="s">
        <v>63741</v>
      </c>
      <c r="I20923" t="s">
        <v>184</v>
      </c>
      <c r="J20923" t="s">
        <v>30</v>
      </c>
      <c r="K20923" t="s">
        <v>3313</v>
      </c>
      <c r="M20923" t="s">
        <v>50500</v>
      </c>
      <c r="N20923" t="str">
        <f>"12/28/2023 3:47:00 PM"</f>
        <v>12/28/2023 3:47:00 PM</v>
      </c>
      <c r="O20923" t="s">
        <v>63739</v>
      </c>
      <c r="T20923" t="s">
        <v>63740</v>
      </c>
    </row>
    <row r="20924" spans="1:20" x14ac:dyDescent="0.25">
      <c r="A20924" t="str">
        <f>"3058918"</f>
        <v>3058918</v>
      </c>
      <c r="B20924" t="s">
        <v>63742</v>
      </c>
      <c r="C20924" t="str">
        <f>"8321674"</f>
        <v>8321674</v>
      </c>
      <c r="D20924" t="s">
        <v>63743</v>
      </c>
      <c r="F20924" t="s">
        <v>63744</v>
      </c>
      <c r="I20924" t="s">
        <v>29</v>
      </c>
      <c r="J20924" t="s">
        <v>30</v>
      </c>
      <c r="K20924" t="s">
        <v>63480</v>
      </c>
      <c r="M20924" t="s">
        <v>50500</v>
      </c>
      <c r="N20924" t="str">
        <f>"12/28/2023 3:54:00 PM"</f>
        <v>12/28/2023 3:54:00 PM</v>
      </c>
      <c r="O20924" t="s">
        <v>63743</v>
      </c>
    </row>
    <row r="20925" spans="1:20" x14ac:dyDescent="0.25">
      <c r="A20925" t="str">
        <f>"3039936"</f>
        <v>3039936</v>
      </c>
      <c r="B20925" t="s">
        <v>63745</v>
      </c>
      <c r="C20925" t="str">
        <f>"8321662"</f>
        <v>8321662</v>
      </c>
      <c r="D20925" t="s">
        <v>63746</v>
      </c>
      <c r="F20925" t="s">
        <v>63747</v>
      </c>
      <c r="I20925" t="s">
        <v>29</v>
      </c>
      <c r="J20925" t="s">
        <v>30</v>
      </c>
      <c r="K20925" t="s">
        <v>63748</v>
      </c>
      <c r="M20925" t="s">
        <v>50500</v>
      </c>
      <c r="N20925" t="str">
        <f>"12/28/2023 11:17:00 AM"</f>
        <v>12/28/2023 11:17:00 AM</v>
      </c>
      <c r="O20925" t="s">
        <v>63746</v>
      </c>
    </row>
    <row r="20926" spans="1:20" x14ac:dyDescent="0.25">
      <c r="A20926" t="str">
        <f>"3041867"</f>
        <v>3041867</v>
      </c>
      <c r="B20926" t="s">
        <v>63749</v>
      </c>
      <c r="C20926" t="str">
        <f>"8321663"</f>
        <v>8321663</v>
      </c>
      <c r="D20926" t="s">
        <v>63750</v>
      </c>
      <c r="F20926" t="s">
        <v>63751</v>
      </c>
      <c r="I20926" t="s">
        <v>471</v>
      </c>
      <c r="J20926" t="s">
        <v>30</v>
      </c>
      <c r="K20926" t="s">
        <v>63752</v>
      </c>
      <c r="M20926" t="s">
        <v>50500</v>
      </c>
      <c r="N20926" t="str">
        <f>"12/28/2023 11:26:00 AM"</f>
        <v>12/28/2023 11:26:00 AM</v>
      </c>
      <c r="O20926" t="s">
        <v>63750</v>
      </c>
    </row>
    <row r="20927" spans="1:20" x14ac:dyDescent="0.25">
      <c r="A20927" t="str">
        <f>"3056232"</f>
        <v>3056232</v>
      </c>
      <c r="B20927" t="s">
        <v>63753</v>
      </c>
      <c r="C20927" t="str">
        <f>"8321665"</f>
        <v>8321665</v>
      </c>
      <c r="D20927" t="s">
        <v>63754</v>
      </c>
      <c r="E20927" t="s">
        <v>63755</v>
      </c>
      <c r="F20927" t="s">
        <v>63756</v>
      </c>
      <c r="I20927" t="s">
        <v>29</v>
      </c>
      <c r="J20927" t="s">
        <v>30</v>
      </c>
      <c r="K20927" t="s">
        <v>57108</v>
      </c>
      <c r="M20927" t="s">
        <v>50500</v>
      </c>
      <c r="N20927" t="str">
        <f>"12/28/2023 11:41:00 AM"</f>
        <v>12/28/2023 11:41:00 AM</v>
      </c>
      <c r="O20927" t="s">
        <v>63754</v>
      </c>
      <c r="T20927" t="s">
        <v>63755</v>
      </c>
    </row>
    <row r="20928" spans="1:20" x14ac:dyDescent="0.25">
      <c r="A20928" t="str">
        <f>"3077933"</f>
        <v>3077933</v>
      </c>
      <c r="B20928" t="s">
        <v>63757</v>
      </c>
      <c r="C20928" t="str">
        <f>"8321701"</f>
        <v>8321701</v>
      </c>
      <c r="D20928" t="s">
        <v>63758</v>
      </c>
      <c r="E20928" t="s">
        <v>63759</v>
      </c>
      <c r="F20928" t="s">
        <v>63760</v>
      </c>
      <c r="I20928" t="s">
        <v>29</v>
      </c>
      <c r="J20928" t="s">
        <v>30</v>
      </c>
      <c r="K20928" t="s">
        <v>20201</v>
      </c>
      <c r="M20928" t="s">
        <v>50500</v>
      </c>
      <c r="N20928" t="str">
        <f>"1/3/2024 2:23:00 PM"</f>
        <v>1/3/2024 2:23:00 PM</v>
      </c>
      <c r="O20928" t="s">
        <v>63758</v>
      </c>
      <c r="T20928" t="s">
        <v>63759</v>
      </c>
    </row>
    <row r="20929" spans="1:20" x14ac:dyDescent="0.25">
      <c r="A20929" t="str">
        <f>"3040203"</f>
        <v>3040203</v>
      </c>
      <c r="B20929" t="s">
        <v>63761</v>
      </c>
      <c r="C20929" t="str">
        <f>"8321703"</f>
        <v>8321703</v>
      </c>
      <c r="D20929" t="s">
        <v>63762</v>
      </c>
      <c r="E20929" t="str">
        <f>"ADAM MOORE/JOSHUA CURTIS REV T"</f>
        <v>ADAM MOORE/JOSHUA CURTIS REV T</v>
      </c>
      <c r="F20929" t="s">
        <v>63763</v>
      </c>
      <c r="I20929" t="s">
        <v>29</v>
      </c>
      <c r="J20929" t="s">
        <v>30</v>
      </c>
      <c r="K20929" t="s">
        <v>1014</v>
      </c>
      <c r="M20929" t="s">
        <v>50500</v>
      </c>
      <c r="N20929" t="str">
        <f>"1/3/2024 2:52:00 PM"</f>
        <v>1/3/2024 2:52:00 PM</v>
      </c>
      <c r="O20929" t="s">
        <v>63762</v>
      </c>
      <c r="T20929" t="str">
        <f>"ADAM MOORE/JOSHUA CURTIS REV T"</f>
        <v>ADAM MOORE/JOSHUA CURTIS REV T</v>
      </c>
    </row>
    <row r="20930" spans="1:20" x14ac:dyDescent="0.25">
      <c r="A20930" t="str">
        <f>"3043134"</f>
        <v>3043134</v>
      </c>
      <c r="B20930" t="s">
        <v>63764</v>
      </c>
      <c r="C20930" t="str">
        <f>"8321705"</f>
        <v>8321705</v>
      </c>
      <c r="D20930" t="s">
        <v>63765</v>
      </c>
      <c r="F20930" t="s">
        <v>63766</v>
      </c>
      <c r="I20930" t="s">
        <v>19211</v>
      </c>
      <c r="J20930" t="s">
        <v>30</v>
      </c>
      <c r="K20930" t="s">
        <v>63767</v>
      </c>
      <c r="M20930" t="s">
        <v>50500</v>
      </c>
      <c r="N20930" t="str">
        <f>"1/3/2024 3:46:00 PM"</f>
        <v>1/3/2024 3:46:00 PM</v>
      </c>
      <c r="O20930" t="s">
        <v>63765</v>
      </c>
    </row>
    <row r="20931" spans="1:20" x14ac:dyDescent="0.25">
      <c r="A20931" t="str">
        <f>"3056408"</f>
        <v>3056408</v>
      </c>
      <c r="B20931" t="s">
        <v>63768</v>
      </c>
      <c r="C20931" t="str">
        <f>"8321665"</f>
        <v>8321665</v>
      </c>
      <c r="D20931" t="s">
        <v>63754</v>
      </c>
      <c r="E20931" t="s">
        <v>63755</v>
      </c>
      <c r="F20931" t="s">
        <v>63756</v>
      </c>
      <c r="I20931" t="s">
        <v>29</v>
      </c>
      <c r="J20931" t="s">
        <v>30</v>
      </c>
      <c r="K20931" t="s">
        <v>57108</v>
      </c>
      <c r="M20931" t="s">
        <v>50500</v>
      </c>
      <c r="N20931" t="str">
        <f>"12/28/2023 11:41:00 AM"</f>
        <v>12/28/2023 11:41:00 AM</v>
      </c>
      <c r="O20931" t="s">
        <v>63754</v>
      </c>
      <c r="T20931" t="s">
        <v>63755</v>
      </c>
    </row>
    <row r="20932" spans="1:20" x14ac:dyDescent="0.25">
      <c r="A20932" t="str">
        <f>"3047488"</f>
        <v>3047488</v>
      </c>
      <c r="B20932" t="s">
        <v>63769</v>
      </c>
      <c r="C20932" t="str">
        <f>"8321666"</f>
        <v>8321666</v>
      </c>
      <c r="D20932" t="s">
        <v>63770</v>
      </c>
      <c r="E20932" t="s">
        <v>63771</v>
      </c>
      <c r="F20932" t="s">
        <v>63772</v>
      </c>
      <c r="I20932" t="s">
        <v>1176</v>
      </c>
      <c r="J20932" t="s">
        <v>30</v>
      </c>
      <c r="K20932" t="s">
        <v>63773</v>
      </c>
      <c r="M20932" t="s">
        <v>50500</v>
      </c>
      <c r="N20932" t="str">
        <f>"12/28/2023 11:51:00 AM"</f>
        <v>12/28/2023 11:51:00 AM</v>
      </c>
      <c r="O20932" t="s">
        <v>63770</v>
      </c>
      <c r="T20932" t="s">
        <v>63771</v>
      </c>
    </row>
    <row r="20933" spans="1:20" x14ac:dyDescent="0.25">
      <c r="A20933" t="str">
        <f>"3050391"</f>
        <v>3050391</v>
      </c>
      <c r="B20933" t="s">
        <v>63774</v>
      </c>
      <c r="C20933" t="str">
        <f>"8321667"</f>
        <v>8321667</v>
      </c>
      <c r="D20933" t="s">
        <v>63775</v>
      </c>
      <c r="E20933" t="s">
        <v>63776</v>
      </c>
      <c r="F20933" t="s">
        <v>63777</v>
      </c>
      <c r="I20933" t="s">
        <v>184</v>
      </c>
      <c r="J20933" t="s">
        <v>30</v>
      </c>
      <c r="K20933" t="s">
        <v>12476</v>
      </c>
      <c r="M20933" t="s">
        <v>50500</v>
      </c>
      <c r="N20933" t="str">
        <f>"12/28/2023 11:59:00 AM"</f>
        <v>12/28/2023 11:59:00 AM</v>
      </c>
      <c r="O20933" t="s">
        <v>63775</v>
      </c>
      <c r="T20933" t="s">
        <v>63776</v>
      </c>
    </row>
    <row r="20934" spans="1:20" x14ac:dyDescent="0.25">
      <c r="A20934" t="str">
        <f>"3050540"</f>
        <v>3050540</v>
      </c>
      <c r="B20934" t="s">
        <v>63778</v>
      </c>
      <c r="C20934" t="str">
        <f>"8321668"</f>
        <v>8321668</v>
      </c>
      <c r="D20934" t="s">
        <v>63779</v>
      </c>
      <c r="F20934" t="s">
        <v>63780</v>
      </c>
      <c r="I20934" t="s">
        <v>402</v>
      </c>
      <c r="J20934" t="s">
        <v>30</v>
      </c>
      <c r="K20934" t="s">
        <v>63781</v>
      </c>
      <c r="M20934" t="s">
        <v>50500</v>
      </c>
      <c r="N20934" t="str">
        <f>"12/28/2023 12:06:00 PM"</f>
        <v>12/28/2023 12:06:00 PM</v>
      </c>
      <c r="O20934" t="s">
        <v>63779</v>
      </c>
    </row>
    <row r="20935" spans="1:20" x14ac:dyDescent="0.25">
      <c r="A20935" t="str">
        <f>"3051244"</f>
        <v>3051244</v>
      </c>
      <c r="B20935" t="s">
        <v>63782</v>
      </c>
      <c r="C20935" t="str">
        <f>"8311919"</f>
        <v>8311919</v>
      </c>
      <c r="D20935" t="s">
        <v>63783</v>
      </c>
      <c r="F20935" t="s">
        <v>63784</v>
      </c>
      <c r="I20935" t="s">
        <v>29</v>
      </c>
      <c r="J20935" t="s">
        <v>30</v>
      </c>
      <c r="K20935" t="s">
        <v>11082</v>
      </c>
      <c r="M20935" t="s">
        <v>50621</v>
      </c>
      <c r="N20935" t="str">
        <f>"12/28/2023 4:00:00 PM"</f>
        <v>12/28/2023 4:00:00 PM</v>
      </c>
      <c r="O20935" t="s">
        <v>63783</v>
      </c>
    </row>
    <row r="20936" spans="1:20" x14ac:dyDescent="0.25">
      <c r="A20936" t="str">
        <f>"3058617"</f>
        <v>3058617</v>
      </c>
      <c r="B20936" t="s">
        <v>63785</v>
      </c>
      <c r="C20936" t="str">
        <f>"8321675"</f>
        <v>8321675</v>
      </c>
      <c r="D20936" t="s">
        <v>63786</v>
      </c>
      <c r="F20936" t="s">
        <v>63787</v>
      </c>
      <c r="I20936" t="s">
        <v>29</v>
      </c>
      <c r="J20936" t="s">
        <v>30</v>
      </c>
      <c r="K20936" t="s">
        <v>62976</v>
      </c>
      <c r="M20936" t="s">
        <v>50500</v>
      </c>
      <c r="N20936" t="str">
        <f>"12/28/2023 4:09:00 PM"</f>
        <v>12/28/2023 4:09:00 PM</v>
      </c>
      <c r="O20936" t="s">
        <v>63786</v>
      </c>
    </row>
    <row r="20937" spans="1:20" x14ac:dyDescent="0.25">
      <c r="A20937" t="str">
        <f>"3050541"</f>
        <v>3050541</v>
      </c>
      <c r="B20937" t="s">
        <v>63788</v>
      </c>
      <c r="C20937" t="str">
        <f>"8321668"</f>
        <v>8321668</v>
      </c>
      <c r="D20937" t="s">
        <v>63779</v>
      </c>
      <c r="F20937" t="s">
        <v>63780</v>
      </c>
      <c r="I20937" t="s">
        <v>402</v>
      </c>
      <c r="J20937" t="s">
        <v>30</v>
      </c>
      <c r="K20937" t="s">
        <v>63781</v>
      </c>
      <c r="M20937" t="s">
        <v>50500</v>
      </c>
      <c r="N20937" t="str">
        <f>"12/28/2023 12:06:00 PM"</f>
        <v>12/28/2023 12:06:00 PM</v>
      </c>
      <c r="O20937" t="s">
        <v>63779</v>
      </c>
    </row>
    <row r="20938" spans="1:20" x14ac:dyDescent="0.25">
      <c r="A20938" t="str">
        <f>"3058355"</f>
        <v>3058355</v>
      </c>
      <c r="B20938" t="s">
        <v>63789</v>
      </c>
      <c r="C20938" t="str">
        <f>"8321669"</f>
        <v>8321669</v>
      </c>
      <c r="D20938" t="s">
        <v>63790</v>
      </c>
      <c r="E20938" t="s">
        <v>63059</v>
      </c>
      <c r="F20938" t="s">
        <v>63791</v>
      </c>
      <c r="I20938" t="s">
        <v>29</v>
      </c>
      <c r="J20938" t="s">
        <v>30</v>
      </c>
      <c r="K20938" t="s">
        <v>62976</v>
      </c>
      <c r="M20938" t="s">
        <v>50500</v>
      </c>
      <c r="N20938" t="str">
        <f>"12/28/2023 12:11:00 PM"</f>
        <v>12/28/2023 12:11:00 PM</v>
      </c>
      <c r="O20938" t="s">
        <v>63790</v>
      </c>
      <c r="T20938" t="s">
        <v>63059</v>
      </c>
    </row>
    <row r="20939" spans="1:20" x14ac:dyDescent="0.25">
      <c r="A20939" t="str">
        <f>"3058904"</f>
        <v>3058904</v>
      </c>
      <c r="B20939" t="s">
        <v>63792</v>
      </c>
      <c r="C20939" t="str">
        <f>"8321679"</f>
        <v>8321679</v>
      </c>
      <c r="D20939" t="s">
        <v>63793</v>
      </c>
      <c r="E20939" t="s">
        <v>63794</v>
      </c>
      <c r="F20939" t="s">
        <v>63795</v>
      </c>
      <c r="I20939" t="s">
        <v>29</v>
      </c>
      <c r="J20939" t="s">
        <v>30</v>
      </c>
      <c r="K20939" t="s">
        <v>61198</v>
      </c>
      <c r="M20939" t="s">
        <v>50500</v>
      </c>
      <c r="N20939" t="str">
        <f>"12/29/2023 2:44:00 PM"</f>
        <v>12/29/2023 2:44:00 PM</v>
      </c>
      <c r="O20939" t="s">
        <v>63793</v>
      </c>
      <c r="T20939" t="s">
        <v>63794</v>
      </c>
    </row>
    <row r="20940" spans="1:20" x14ac:dyDescent="0.25">
      <c r="A20940" t="str">
        <f>"3048302"</f>
        <v>3048302</v>
      </c>
      <c r="B20940" t="s">
        <v>63796</v>
      </c>
      <c r="C20940" t="str">
        <f>"82527934"</f>
        <v>82527934</v>
      </c>
      <c r="D20940" t="s">
        <v>63797</v>
      </c>
      <c r="E20940" t="s">
        <v>63798</v>
      </c>
      <c r="F20940" t="s">
        <v>63799</v>
      </c>
      <c r="I20940" t="s">
        <v>29</v>
      </c>
      <c r="J20940" t="s">
        <v>30</v>
      </c>
      <c r="K20940" t="s">
        <v>46927</v>
      </c>
      <c r="M20940" t="s">
        <v>18470</v>
      </c>
      <c r="N20940" t="str">
        <f>"12/29/2023 4:03:00 PM"</f>
        <v>12/29/2023 4:03:00 PM</v>
      </c>
      <c r="O20940" t="s">
        <v>63797</v>
      </c>
      <c r="T20940" t="s">
        <v>63798</v>
      </c>
    </row>
    <row r="20941" spans="1:20" x14ac:dyDescent="0.25">
      <c r="A20941" t="str">
        <f>"3055745"</f>
        <v>3055745</v>
      </c>
      <c r="B20941" t="s">
        <v>63800</v>
      </c>
      <c r="C20941" t="str">
        <f>"8320653"</f>
        <v>8320653</v>
      </c>
      <c r="D20941" t="s">
        <v>60973</v>
      </c>
      <c r="F20941" t="s">
        <v>57398</v>
      </c>
      <c r="I20941" t="s">
        <v>29</v>
      </c>
      <c r="J20941" t="s">
        <v>30</v>
      </c>
      <c r="K20941" t="s">
        <v>8511</v>
      </c>
      <c r="M20941" t="s">
        <v>18479</v>
      </c>
      <c r="N20941" t="str">
        <f>"1/2/2024 4:05:00 PM"</f>
        <v>1/2/2024 4:05:00 PM</v>
      </c>
      <c r="O20941" t="s">
        <v>60973</v>
      </c>
    </row>
    <row r="20942" spans="1:20" x14ac:dyDescent="0.25">
      <c r="A20942" t="str">
        <f>"3042828"</f>
        <v>3042828</v>
      </c>
      <c r="B20942" t="s">
        <v>63801</v>
      </c>
      <c r="C20942" t="str">
        <f>"8310665"</f>
        <v>8310665</v>
      </c>
      <c r="D20942" t="s">
        <v>63802</v>
      </c>
      <c r="E20942" t="s">
        <v>63803</v>
      </c>
      <c r="F20942" t="s">
        <v>63804</v>
      </c>
      <c r="I20942" t="s">
        <v>29</v>
      </c>
      <c r="J20942" t="s">
        <v>30</v>
      </c>
      <c r="K20942" t="s">
        <v>63805</v>
      </c>
      <c r="M20942" t="s">
        <v>18479</v>
      </c>
      <c r="N20942" t="str">
        <f>"1/3/2024 9:43:00 AM"</f>
        <v>1/3/2024 9:43:00 AM</v>
      </c>
      <c r="O20942" t="s">
        <v>63802</v>
      </c>
      <c r="T20942" t="s">
        <v>63803</v>
      </c>
    </row>
    <row r="20943" spans="1:20" x14ac:dyDescent="0.25">
      <c r="A20943" t="str">
        <f>"3058105"</f>
        <v>3058105</v>
      </c>
      <c r="B20943" t="s">
        <v>63806</v>
      </c>
      <c r="C20943" t="str">
        <f>"8321696"</f>
        <v>8321696</v>
      </c>
      <c r="D20943" t="s">
        <v>63807</v>
      </c>
      <c r="E20943" t="s">
        <v>63808</v>
      </c>
      <c r="F20943" t="s">
        <v>63809</v>
      </c>
      <c r="I20943" t="s">
        <v>29</v>
      </c>
      <c r="J20943" t="s">
        <v>30</v>
      </c>
      <c r="K20943" t="s">
        <v>13727</v>
      </c>
      <c r="M20943" t="s">
        <v>50500</v>
      </c>
      <c r="N20943" t="str">
        <f>"1/3/2024 9:44:00 AM"</f>
        <v>1/3/2024 9:44:00 AM</v>
      </c>
      <c r="O20943" t="s">
        <v>63807</v>
      </c>
      <c r="T20943" t="s">
        <v>63808</v>
      </c>
    </row>
    <row r="20944" spans="1:20" x14ac:dyDescent="0.25">
      <c r="A20944" t="str">
        <f>"3058414"</f>
        <v>3058414</v>
      </c>
      <c r="B20944" t="s">
        <v>63810</v>
      </c>
      <c r="C20944" t="str">
        <f>"8321697"</f>
        <v>8321697</v>
      </c>
      <c r="D20944" t="s">
        <v>63811</v>
      </c>
      <c r="F20944" t="s">
        <v>63812</v>
      </c>
      <c r="I20944" t="s">
        <v>29</v>
      </c>
      <c r="J20944" t="s">
        <v>30</v>
      </c>
      <c r="K20944" t="s">
        <v>59681</v>
      </c>
      <c r="M20944" t="s">
        <v>50500</v>
      </c>
      <c r="N20944" t="str">
        <f>"1/3/2024 9:58:00 AM"</f>
        <v>1/3/2024 9:58:00 AM</v>
      </c>
      <c r="O20944" t="s">
        <v>63811</v>
      </c>
    </row>
    <row r="20945" spans="1:20" x14ac:dyDescent="0.25">
      <c r="A20945" t="str">
        <f>"3078252"</f>
        <v>3078252</v>
      </c>
      <c r="B20945" t="s">
        <v>63813</v>
      </c>
      <c r="C20945" t="str">
        <f>"8321698"</f>
        <v>8321698</v>
      </c>
      <c r="D20945" t="s">
        <v>63814</v>
      </c>
      <c r="F20945" t="s">
        <v>63815</v>
      </c>
      <c r="I20945" t="s">
        <v>184</v>
      </c>
      <c r="J20945" t="s">
        <v>30</v>
      </c>
      <c r="K20945" t="s">
        <v>36586</v>
      </c>
      <c r="M20945" t="s">
        <v>50500</v>
      </c>
      <c r="N20945" t="str">
        <f>"1/3/2024 10:04:00 AM"</f>
        <v>1/3/2024 10:04:00 AM</v>
      </c>
      <c r="O20945" t="s">
        <v>63814</v>
      </c>
    </row>
    <row r="20946" spans="1:20" x14ac:dyDescent="0.25">
      <c r="A20946" t="str">
        <f>"3044814"</f>
        <v>3044814</v>
      </c>
      <c r="B20946" t="s">
        <v>63816</v>
      </c>
      <c r="C20946" t="str">
        <f>"8321719"</f>
        <v>8321719</v>
      </c>
      <c r="D20946" t="s">
        <v>63817</v>
      </c>
      <c r="E20946" t="s">
        <v>63818</v>
      </c>
      <c r="F20946" t="s">
        <v>63819</v>
      </c>
      <c r="I20946" t="s">
        <v>184</v>
      </c>
      <c r="J20946" t="s">
        <v>30</v>
      </c>
      <c r="K20946" t="s">
        <v>6606</v>
      </c>
      <c r="M20946" t="s">
        <v>50500</v>
      </c>
      <c r="N20946" t="str">
        <f>"1/8/2024 12:18:00 PM"</f>
        <v>1/8/2024 12:18:00 PM</v>
      </c>
      <c r="O20946" t="s">
        <v>63817</v>
      </c>
      <c r="T20946" t="s">
        <v>63818</v>
      </c>
    </row>
    <row r="20947" spans="1:20" x14ac:dyDescent="0.25">
      <c r="A20947" t="str">
        <f>"3042717"</f>
        <v>3042717</v>
      </c>
      <c r="B20947" t="s">
        <v>63820</v>
      </c>
      <c r="C20947" t="str">
        <f>"8321720"</f>
        <v>8321720</v>
      </c>
      <c r="D20947" t="s">
        <v>63821</v>
      </c>
      <c r="E20947" t="s">
        <v>63822</v>
      </c>
      <c r="F20947" t="s">
        <v>47097</v>
      </c>
      <c r="I20947" t="s">
        <v>29</v>
      </c>
      <c r="J20947" t="s">
        <v>30</v>
      </c>
      <c r="K20947" t="s">
        <v>47098</v>
      </c>
      <c r="M20947" t="s">
        <v>50500</v>
      </c>
      <c r="N20947" t="str">
        <f>"1/8/2024 12:29:00 PM"</f>
        <v>1/8/2024 12:29:00 PM</v>
      </c>
      <c r="O20947" t="s">
        <v>63821</v>
      </c>
      <c r="T20947" t="s">
        <v>63822</v>
      </c>
    </row>
    <row r="20948" spans="1:20" x14ac:dyDescent="0.25">
      <c r="A20948" t="str">
        <f>"3058919"</f>
        <v>3058919</v>
      </c>
      <c r="B20948" t="s">
        <v>63823</v>
      </c>
      <c r="C20948" t="str">
        <f>"8321699"</f>
        <v>8321699</v>
      </c>
      <c r="D20948" t="s">
        <v>63824</v>
      </c>
      <c r="E20948" t="s">
        <v>63825</v>
      </c>
      <c r="F20948" t="s">
        <v>63826</v>
      </c>
      <c r="I20948" t="s">
        <v>63827</v>
      </c>
      <c r="J20948" t="s">
        <v>39245</v>
      </c>
      <c r="K20948" t="s">
        <v>63828</v>
      </c>
      <c r="M20948" t="s">
        <v>50500</v>
      </c>
      <c r="N20948" t="str">
        <f>"1/3/2024 10:11:00 AM"</f>
        <v>1/3/2024 10:11:00 AM</v>
      </c>
      <c r="O20948" t="s">
        <v>63824</v>
      </c>
      <c r="T20948" t="s">
        <v>63825</v>
      </c>
    </row>
    <row r="20949" spans="1:20" x14ac:dyDescent="0.25">
      <c r="A20949" t="str">
        <f>"3077932"</f>
        <v>3077932</v>
      </c>
      <c r="B20949" t="s">
        <v>63829</v>
      </c>
      <c r="C20949" t="str">
        <f>"8321701"</f>
        <v>8321701</v>
      </c>
      <c r="D20949" t="s">
        <v>63758</v>
      </c>
      <c r="E20949" t="s">
        <v>63759</v>
      </c>
      <c r="F20949" t="s">
        <v>63760</v>
      </c>
      <c r="I20949" t="s">
        <v>29</v>
      </c>
      <c r="J20949" t="s">
        <v>30</v>
      </c>
      <c r="K20949" t="s">
        <v>20201</v>
      </c>
      <c r="M20949" t="s">
        <v>50500</v>
      </c>
      <c r="N20949" t="str">
        <f>"1/3/2024 2:23:00 PM"</f>
        <v>1/3/2024 2:23:00 PM</v>
      </c>
      <c r="O20949" t="s">
        <v>63758</v>
      </c>
      <c r="T20949" t="s">
        <v>63759</v>
      </c>
    </row>
    <row r="20950" spans="1:20" x14ac:dyDescent="0.25">
      <c r="A20950" t="str">
        <f>"3041117"</f>
        <v>3041117</v>
      </c>
      <c r="B20950" t="s">
        <v>63830</v>
      </c>
      <c r="C20950" t="str">
        <f>"82532267"</f>
        <v>82532267</v>
      </c>
      <c r="D20950" t="s">
        <v>63831</v>
      </c>
      <c r="F20950" t="s">
        <v>41120</v>
      </c>
      <c r="I20950" t="s">
        <v>471</v>
      </c>
      <c r="J20950" t="s">
        <v>30</v>
      </c>
      <c r="K20950" t="s">
        <v>41121</v>
      </c>
      <c r="M20950" t="s">
        <v>51351</v>
      </c>
      <c r="N20950" t="str">
        <f>"12/29/2023 9:27:00 AM"</f>
        <v>12/29/2023 9:27:00 AM</v>
      </c>
      <c r="O20950" t="s">
        <v>63831</v>
      </c>
    </row>
    <row r="20951" spans="1:20" x14ac:dyDescent="0.25">
      <c r="A20951" t="str">
        <f>"3041901"</f>
        <v>3041901</v>
      </c>
      <c r="B20951" t="s">
        <v>63832</v>
      </c>
      <c r="C20951" t="str">
        <f>"82529406"</f>
        <v>82529406</v>
      </c>
      <c r="D20951" t="s">
        <v>63831</v>
      </c>
      <c r="F20951" t="s">
        <v>41120</v>
      </c>
      <c r="I20951" t="s">
        <v>471</v>
      </c>
      <c r="J20951" t="s">
        <v>30</v>
      </c>
      <c r="K20951" t="s">
        <v>41121</v>
      </c>
      <c r="M20951" t="s">
        <v>51351</v>
      </c>
      <c r="N20951" t="str">
        <f>"12/29/2023 9:27:00 AM"</f>
        <v>12/29/2023 9:27:00 AM</v>
      </c>
      <c r="O20951" t="s">
        <v>63831</v>
      </c>
    </row>
    <row r="20952" spans="1:20" x14ac:dyDescent="0.25">
      <c r="A20952" t="str">
        <f>"3056568"</f>
        <v>3056568</v>
      </c>
      <c r="B20952" t="s">
        <v>63833</v>
      </c>
      <c r="C20952" t="str">
        <f>"65776000"</f>
        <v>65776000</v>
      </c>
      <c r="D20952" t="s">
        <v>63834</v>
      </c>
      <c r="F20952" t="s">
        <v>63835</v>
      </c>
      <c r="I20952" t="s">
        <v>17921</v>
      </c>
      <c r="J20952" t="s">
        <v>30</v>
      </c>
      <c r="K20952" t="s">
        <v>31</v>
      </c>
      <c r="M20952" t="s">
        <v>50621</v>
      </c>
      <c r="N20952" t="str">
        <f>"12/29/2023 10:34:00 AM"</f>
        <v>12/29/2023 10:34:00 AM</v>
      </c>
      <c r="O20952" t="s">
        <v>63834</v>
      </c>
    </row>
    <row r="20953" spans="1:20" x14ac:dyDescent="0.25">
      <c r="A20953" t="str">
        <f>"3056216"</f>
        <v>3056216</v>
      </c>
      <c r="B20953" t="s">
        <v>63836</v>
      </c>
      <c r="C20953" t="str">
        <f>"65776000"</f>
        <v>65776000</v>
      </c>
      <c r="D20953" t="s">
        <v>63834</v>
      </c>
      <c r="F20953" t="s">
        <v>63835</v>
      </c>
      <c r="I20953" t="s">
        <v>17921</v>
      </c>
      <c r="J20953" t="s">
        <v>30</v>
      </c>
      <c r="K20953" t="s">
        <v>31</v>
      </c>
      <c r="M20953" t="s">
        <v>50621</v>
      </c>
      <c r="N20953" t="str">
        <f>"12/29/2023 10:34:00 AM"</f>
        <v>12/29/2023 10:34:00 AM</v>
      </c>
      <c r="O20953" t="s">
        <v>63834</v>
      </c>
    </row>
    <row r="20954" spans="1:20" x14ac:dyDescent="0.25">
      <c r="A20954" t="str">
        <f>"3058903"</f>
        <v>3058903</v>
      </c>
      <c r="B20954" t="s">
        <v>63837</v>
      </c>
      <c r="C20954" t="str">
        <f>"8321676"</f>
        <v>8321676</v>
      </c>
      <c r="D20954" t="s">
        <v>63838</v>
      </c>
      <c r="F20954" t="s">
        <v>63839</v>
      </c>
      <c r="I20954" t="s">
        <v>29</v>
      </c>
      <c r="J20954" t="s">
        <v>30</v>
      </c>
      <c r="K20954" t="s">
        <v>61198</v>
      </c>
      <c r="M20954" t="s">
        <v>50500</v>
      </c>
      <c r="N20954" t="str">
        <f>"12/29/2023 10:35:00 AM"</f>
        <v>12/29/2023 10:35:00 AM</v>
      </c>
      <c r="O20954" t="s">
        <v>63838</v>
      </c>
    </row>
    <row r="20955" spans="1:20" x14ac:dyDescent="0.25">
      <c r="A20955" t="str">
        <f>"3038413"</f>
        <v>3038413</v>
      </c>
      <c r="B20955" t="s">
        <v>63840</v>
      </c>
      <c r="C20955" t="str">
        <f>"8302476"</f>
        <v>8302476</v>
      </c>
      <c r="D20955" t="s">
        <v>63841</v>
      </c>
      <c r="F20955" t="s">
        <v>63842</v>
      </c>
      <c r="I20955" t="s">
        <v>17921</v>
      </c>
      <c r="J20955" t="s">
        <v>30</v>
      </c>
      <c r="K20955" t="str">
        <f>"27028"</f>
        <v>27028</v>
      </c>
      <c r="M20955" t="s">
        <v>25733</v>
      </c>
      <c r="N20955" t="str">
        <f>"12/29/2023 10:48:00 AM"</f>
        <v>12/29/2023 10:48:00 AM</v>
      </c>
      <c r="O20955" t="s">
        <v>63841</v>
      </c>
    </row>
    <row r="20956" spans="1:20" x14ac:dyDescent="0.25">
      <c r="A20956" t="str">
        <f>"3040998"</f>
        <v>3040998</v>
      </c>
      <c r="B20956" t="s">
        <v>63843</v>
      </c>
      <c r="C20956" t="str">
        <f>"8321764"</f>
        <v>8321764</v>
      </c>
      <c r="D20956" t="s">
        <v>63844</v>
      </c>
      <c r="E20956" t="s">
        <v>63845</v>
      </c>
      <c r="F20956" t="s">
        <v>63846</v>
      </c>
      <c r="I20956" t="s">
        <v>184</v>
      </c>
      <c r="J20956" t="s">
        <v>30</v>
      </c>
      <c r="K20956" t="s">
        <v>42489</v>
      </c>
      <c r="M20956" t="s">
        <v>50500</v>
      </c>
      <c r="N20956" t="str">
        <f>"1/10/2024 8:43:00 AM"</f>
        <v>1/10/2024 8:43:00 AM</v>
      </c>
      <c r="O20956" t="s">
        <v>63844</v>
      </c>
      <c r="T20956" t="s">
        <v>63845</v>
      </c>
    </row>
    <row r="20957" spans="1:20" x14ac:dyDescent="0.25">
      <c r="A20957" t="str">
        <f>"3052879"</f>
        <v>3052879</v>
      </c>
      <c r="B20957" t="s">
        <v>63847</v>
      </c>
      <c r="C20957" t="str">
        <f>"8321770"</f>
        <v>8321770</v>
      </c>
      <c r="D20957" t="s">
        <v>63848</v>
      </c>
      <c r="F20957" t="s">
        <v>63849</v>
      </c>
      <c r="I20957" t="s">
        <v>29</v>
      </c>
      <c r="J20957" t="s">
        <v>30</v>
      </c>
      <c r="K20957" t="s">
        <v>33383</v>
      </c>
      <c r="M20957" t="s">
        <v>50500</v>
      </c>
      <c r="N20957" t="str">
        <f>"1/10/2024 9:35:00 AM"</f>
        <v>1/10/2024 9:35:00 AM</v>
      </c>
      <c r="O20957" t="s">
        <v>63848</v>
      </c>
    </row>
    <row r="20958" spans="1:20" x14ac:dyDescent="0.25">
      <c r="A20958" t="str">
        <f>"3056201"</f>
        <v>3056201</v>
      </c>
      <c r="B20958" t="s">
        <v>63850</v>
      </c>
      <c r="C20958" t="str">
        <f>"8321771"</f>
        <v>8321771</v>
      </c>
      <c r="D20958" t="s">
        <v>63851</v>
      </c>
      <c r="F20958" t="s">
        <v>63852</v>
      </c>
      <c r="I20958" t="s">
        <v>14865</v>
      </c>
      <c r="J20958" t="s">
        <v>30</v>
      </c>
      <c r="K20958" t="s">
        <v>63853</v>
      </c>
      <c r="M20958" t="s">
        <v>50500</v>
      </c>
      <c r="N20958" t="str">
        <f>"1/10/2024 9:52:00 AM"</f>
        <v>1/10/2024 9:52:00 AM</v>
      </c>
      <c r="O20958" t="s">
        <v>63851</v>
      </c>
    </row>
    <row r="20959" spans="1:20" x14ac:dyDescent="0.25">
      <c r="A20959" t="str">
        <f>"3058729"</f>
        <v>3058729</v>
      </c>
      <c r="B20959" t="s">
        <v>63854</v>
      </c>
      <c r="C20959" t="str">
        <f>"8321772"</f>
        <v>8321772</v>
      </c>
      <c r="D20959" t="s">
        <v>63855</v>
      </c>
      <c r="E20959" t="s">
        <v>63856</v>
      </c>
      <c r="F20959" t="s">
        <v>63857</v>
      </c>
      <c r="I20959" t="s">
        <v>184</v>
      </c>
      <c r="J20959" t="s">
        <v>30</v>
      </c>
      <c r="K20959" t="s">
        <v>63671</v>
      </c>
      <c r="M20959" t="s">
        <v>50500</v>
      </c>
      <c r="N20959" t="str">
        <f>"1/10/2024 10:16:00 AM"</f>
        <v>1/10/2024 10:16:00 AM</v>
      </c>
      <c r="O20959" t="s">
        <v>63855</v>
      </c>
      <c r="T20959" t="s">
        <v>63856</v>
      </c>
    </row>
    <row r="20960" spans="1:20" x14ac:dyDescent="0.25">
      <c r="A20960" t="str">
        <f>"3041214"</f>
        <v>3041214</v>
      </c>
      <c r="B20960" t="s">
        <v>63858</v>
      </c>
      <c r="C20960" t="str">
        <f>"8321774"</f>
        <v>8321774</v>
      </c>
      <c r="D20960" t="s">
        <v>63859</v>
      </c>
      <c r="F20960" t="s">
        <v>63860</v>
      </c>
      <c r="I20960" t="s">
        <v>184</v>
      </c>
      <c r="J20960" t="s">
        <v>30</v>
      </c>
      <c r="K20960" t="s">
        <v>36586</v>
      </c>
      <c r="M20960" t="s">
        <v>50500</v>
      </c>
      <c r="N20960" t="str">
        <f>"1/10/2024 11:42:00 AM"</f>
        <v>1/10/2024 11:42:00 AM</v>
      </c>
      <c r="O20960" t="s">
        <v>63859</v>
      </c>
    </row>
    <row r="20961" spans="1:20" x14ac:dyDescent="0.25">
      <c r="A20961" t="str">
        <f>"3063072"</f>
        <v>3063072</v>
      </c>
      <c r="B20961" t="s">
        <v>63861</v>
      </c>
      <c r="C20961" t="str">
        <f>"8321775"</f>
        <v>8321775</v>
      </c>
      <c r="D20961" t="str">
        <f>"JONES ANCIL T TR/JONES NANCIE CAROL TR"</f>
        <v>JONES ANCIL T TR/JONES NANCIE CAROL TR</v>
      </c>
      <c r="E20961" t="s">
        <v>63862</v>
      </c>
      <c r="F20961" t="s">
        <v>63863</v>
      </c>
      <c r="I20961" t="s">
        <v>184</v>
      </c>
      <c r="J20961" t="s">
        <v>30</v>
      </c>
      <c r="K20961" t="s">
        <v>48651</v>
      </c>
      <c r="M20961" t="s">
        <v>50500</v>
      </c>
      <c r="N20961" t="str">
        <f>"1/10/2024 11:53:00 AM"</f>
        <v>1/10/2024 11:53:00 AM</v>
      </c>
      <c r="O20961" t="str">
        <f>"JONES ANCIL T TR/JONES NANCIE CAROL TR"</f>
        <v>JONES ANCIL T TR/JONES NANCIE CAROL TR</v>
      </c>
      <c r="T20961" t="s">
        <v>63862</v>
      </c>
    </row>
    <row r="20962" spans="1:20" x14ac:dyDescent="0.25">
      <c r="A20962" t="str">
        <f>"3058908"</f>
        <v>3058908</v>
      </c>
      <c r="B20962" t="s">
        <v>63864</v>
      </c>
      <c r="C20962" t="str">
        <f>"8321678"</f>
        <v>8321678</v>
      </c>
      <c r="D20962" t="s">
        <v>63865</v>
      </c>
      <c r="F20962" t="s">
        <v>63866</v>
      </c>
      <c r="I20962" t="s">
        <v>29</v>
      </c>
      <c r="J20962" t="s">
        <v>30</v>
      </c>
      <c r="K20962" t="s">
        <v>61198</v>
      </c>
      <c r="M20962" t="s">
        <v>50500</v>
      </c>
      <c r="N20962" t="str">
        <f>"12/29/2023 2:38:00 PM"</f>
        <v>12/29/2023 2:38:00 PM</v>
      </c>
      <c r="O20962" t="s">
        <v>63865</v>
      </c>
    </row>
    <row r="20963" spans="1:20" x14ac:dyDescent="0.25">
      <c r="A20963" t="str">
        <f>"3050381"</f>
        <v>3050381</v>
      </c>
      <c r="B20963" t="s">
        <v>63867</v>
      </c>
      <c r="C20963" t="str">
        <f>"8307890"</f>
        <v>8307890</v>
      </c>
      <c r="D20963" t="s">
        <v>63868</v>
      </c>
      <c r="F20963" t="s">
        <v>63869</v>
      </c>
      <c r="I20963" t="s">
        <v>184</v>
      </c>
      <c r="J20963" t="s">
        <v>30</v>
      </c>
      <c r="K20963" t="str">
        <f>"27006"</f>
        <v>27006</v>
      </c>
      <c r="M20963" t="s">
        <v>52111</v>
      </c>
      <c r="N20963" t="str">
        <f>"1/5/2024 1:40:00 PM"</f>
        <v>1/5/2024 1:40:00 PM</v>
      </c>
      <c r="O20963" t="s">
        <v>63868</v>
      </c>
    </row>
    <row r="20964" spans="1:20" x14ac:dyDescent="0.25">
      <c r="A20964" t="str">
        <f>"3048917"</f>
        <v>3048917</v>
      </c>
      <c r="B20964" t="s">
        <v>63870</v>
      </c>
      <c r="C20964" t="str">
        <f>"8315377"</f>
        <v>8315377</v>
      </c>
      <c r="D20964" t="s">
        <v>63871</v>
      </c>
      <c r="E20964" t="s">
        <v>63872</v>
      </c>
      <c r="F20964" t="s">
        <v>63873</v>
      </c>
      <c r="I20964" t="s">
        <v>2732</v>
      </c>
      <c r="J20964" t="s">
        <v>1046</v>
      </c>
      <c r="K20964" t="s">
        <v>63874</v>
      </c>
      <c r="M20964" t="s">
        <v>50621</v>
      </c>
      <c r="N20964" t="str">
        <f>"1/11/2024 10:21:00 AM"</f>
        <v>1/11/2024 10:21:00 AM</v>
      </c>
      <c r="O20964" t="s">
        <v>63871</v>
      </c>
      <c r="T20964" t="s">
        <v>63872</v>
      </c>
    </row>
    <row r="20965" spans="1:20" x14ac:dyDescent="0.25">
      <c r="A20965" t="str">
        <f>"3065190"</f>
        <v>3065190</v>
      </c>
      <c r="B20965" t="s">
        <v>63875</v>
      </c>
      <c r="C20965" t="str">
        <f>"8316697"</f>
        <v>8316697</v>
      </c>
      <c r="D20965" t="s">
        <v>63876</v>
      </c>
      <c r="F20965" t="s">
        <v>63877</v>
      </c>
      <c r="I20965" t="s">
        <v>184</v>
      </c>
      <c r="J20965" t="s">
        <v>30</v>
      </c>
      <c r="K20965" t="s">
        <v>43629</v>
      </c>
      <c r="M20965" t="s">
        <v>52111</v>
      </c>
      <c r="N20965" t="str">
        <f>"1/5/2024 3:36:00 PM"</f>
        <v>1/5/2024 3:36:00 PM</v>
      </c>
      <c r="O20965" t="s">
        <v>63876</v>
      </c>
    </row>
    <row r="20966" spans="1:20" x14ac:dyDescent="0.25">
      <c r="A20966" t="str">
        <f>"3078233"</f>
        <v>3078233</v>
      </c>
      <c r="B20966" t="s">
        <v>63878</v>
      </c>
      <c r="C20966" t="str">
        <f>"8321781"</f>
        <v>8321781</v>
      </c>
      <c r="D20966" t="s">
        <v>63879</v>
      </c>
      <c r="F20966" t="s">
        <v>63880</v>
      </c>
      <c r="I20966" t="s">
        <v>29</v>
      </c>
      <c r="J20966" t="s">
        <v>30</v>
      </c>
      <c r="K20966" t="s">
        <v>60378</v>
      </c>
      <c r="M20966" t="s">
        <v>50500</v>
      </c>
      <c r="N20966" t="str">
        <f>"1/12/2024 10:11:00 AM"</f>
        <v>1/12/2024 10:11:00 AM</v>
      </c>
      <c r="O20966" t="s">
        <v>63879</v>
      </c>
    </row>
    <row r="20967" spans="1:20" x14ac:dyDescent="0.25">
      <c r="A20967" t="str">
        <f>"3051369"</f>
        <v>3051369</v>
      </c>
      <c r="B20967" t="s">
        <v>63881</v>
      </c>
      <c r="C20967" t="str">
        <f>"8321781"</f>
        <v>8321781</v>
      </c>
      <c r="D20967" t="s">
        <v>63879</v>
      </c>
      <c r="F20967" t="s">
        <v>63880</v>
      </c>
      <c r="I20967" t="s">
        <v>29</v>
      </c>
      <c r="J20967" t="s">
        <v>30</v>
      </c>
      <c r="K20967" t="s">
        <v>60378</v>
      </c>
      <c r="M20967" t="s">
        <v>50500</v>
      </c>
      <c r="N20967" t="str">
        <f>"1/12/2024 10:11:00 AM"</f>
        <v>1/12/2024 10:11:00 AM</v>
      </c>
      <c r="O20967" t="s">
        <v>63879</v>
      </c>
    </row>
    <row r="20968" spans="1:20" x14ac:dyDescent="0.25">
      <c r="A20968" t="str">
        <f>"3045118"</f>
        <v>3045118</v>
      </c>
      <c r="B20968" t="s">
        <v>63882</v>
      </c>
      <c r="C20968" t="str">
        <f>"8321781"</f>
        <v>8321781</v>
      </c>
      <c r="D20968" t="s">
        <v>63879</v>
      </c>
      <c r="F20968" t="s">
        <v>63880</v>
      </c>
      <c r="I20968" t="s">
        <v>29</v>
      </c>
      <c r="J20968" t="s">
        <v>30</v>
      </c>
      <c r="K20968" t="s">
        <v>60378</v>
      </c>
      <c r="M20968" t="s">
        <v>50500</v>
      </c>
      <c r="N20968" t="str">
        <f>"1/12/2024 10:11:00 AM"</f>
        <v>1/12/2024 10:11:00 AM</v>
      </c>
      <c r="O20968" t="s">
        <v>63879</v>
      </c>
    </row>
    <row r="20969" spans="1:20" x14ac:dyDescent="0.25">
      <c r="A20969" t="str">
        <f>"3057106"</f>
        <v>3057106</v>
      </c>
      <c r="B20969" t="s">
        <v>63883</v>
      </c>
      <c r="C20969" t="str">
        <f>"78516000"</f>
        <v>78516000</v>
      </c>
      <c r="D20969" t="s">
        <v>63884</v>
      </c>
      <c r="F20969" t="str">
        <f>"C/O MICHAEL WHITE"</f>
        <v>C/O MICHAEL WHITE</v>
      </c>
      <c r="G20969" t="s">
        <v>20426</v>
      </c>
      <c r="I20969" t="s">
        <v>2280</v>
      </c>
      <c r="J20969" t="s">
        <v>30</v>
      </c>
      <c r="K20969" t="s">
        <v>63885</v>
      </c>
      <c r="M20969" t="s">
        <v>52111</v>
      </c>
      <c r="N20969" t="str">
        <f>"1/12/2024 1:13:00 PM"</f>
        <v>1/12/2024 1:13:00 PM</v>
      </c>
      <c r="O20969" t="s">
        <v>63884</v>
      </c>
    </row>
    <row r="20970" spans="1:20" x14ac:dyDescent="0.25">
      <c r="A20970" t="str">
        <f>"3037783"</f>
        <v>3037783</v>
      </c>
      <c r="B20970" t="s">
        <v>63886</v>
      </c>
      <c r="C20970" t="str">
        <f>"8321784"</f>
        <v>8321784</v>
      </c>
      <c r="D20970" t="s">
        <v>63887</v>
      </c>
      <c r="F20970" t="s">
        <v>63888</v>
      </c>
      <c r="I20970" t="s">
        <v>29</v>
      </c>
      <c r="J20970" t="s">
        <v>30</v>
      </c>
      <c r="K20970" t="s">
        <v>917</v>
      </c>
      <c r="M20970" t="s">
        <v>50500</v>
      </c>
      <c r="N20970" t="str">
        <f>"1/12/2024 3:33:00 PM"</f>
        <v>1/12/2024 3:33:00 PM</v>
      </c>
      <c r="O20970" t="s">
        <v>63887</v>
      </c>
    </row>
    <row r="20971" spans="1:20" x14ac:dyDescent="0.25">
      <c r="A20971" t="str">
        <f>"3037730"</f>
        <v>3037730</v>
      </c>
      <c r="B20971" t="s">
        <v>63889</v>
      </c>
      <c r="C20971" t="str">
        <f>"56329900"</f>
        <v>56329900</v>
      </c>
      <c r="D20971" t="s">
        <v>63890</v>
      </c>
      <c r="E20971" t="str">
        <f>"C/O DANNY ODELL PERRELL"</f>
        <v>C/O DANNY ODELL PERRELL</v>
      </c>
      <c r="F20971" t="s">
        <v>63891</v>
      </c>
      <c r="I20971" t="s">
        <v>6801</v>
      </c>
      <c r="J20971" t="s">
        <v>30</v>
      </c>
      <c r="K20971" t="s">
        <v>63892</v>
      </c>
      <c r="M20971" t="s">
        <v>25625</v>
      </c>
      <c r="N20971" t="str">
        <f>"1/12/2024 3:55:00 PM"</f>
        <v>1/12/2024 3:55:00 PM</v>
      </c>
      <c r="O20971" t="s">
        <v>63890</v>
      </c>
      <c r="T20971" t="str">
        <f>"C/O DANNY ODELL PERRELL"</f>
        <v>C/O DANNY ODELL PERRELL</v>
      </c>
    </row>
    <row r="20972" spans="1:20" x14ac:dyDescent="0.25">
      <c r="A20972" t="str">
        <f>"3046203"</f>
        <v>3046203</v>
      </c>
      <c r="B20972" t="s">
        <v>63893</v>
      </c>
      <c r="C20972" t="str">
        <f>"8316983"</f>
        <v>8316983</v>
      </c>
      <c r="D20972" t="s">
        <v>63894</v>
      </c>
      <c r="E20972" t="s">
        <v>63895</v>
      </c>
      <c r="F20972" t="s">
        <v>63896</v>
      </c>
      <c r="I20972" t="s">
        <v>63897</v>
      </c>
      <c r="J20972" t="s">
        <v>30</v>
      </c>
      <c r="K20972" t="s">
        <v>63898</v>
      </c>
      <c r="M20972" t="s">
        <v>50621</v>
      </c>
      <c r="N20972" t="str">
        <f>"1/16/2024 12:11:00 PM"</f>
        <v>1/16/2024 12:11:00 PM</v>
      </c>
      <c r="O20972" t="s">
        <v>63894</v>
      </c>
      <c r="T20972" t="s">
        <v>63895</v>
      </c>
    </row>
    <row r="20973" spans="1:20" x14ac:dyDescent="0.25">
      <c r="A20973" t="str">
        <f>"3046188"</f>
        <v>3046188</v>
      </c>
      <c r="B20973" t="s">
        <v>63899</v>
      </c>
      <c r="C20973" t="str">
        <f>"8316983"</f>
        <v>8316983</v>
      </c>
      <c r="D20973" t="s">
        <v>63894</v>
      </c>
      <c r="E20973" t="s">
        <v>63895</v>
      </c>
      <c r="F20973" t="s">
        <v>63896</v>
      </c>
      <c r="I20973" t="s">
        <v>63897</v>
      </c>
      <c r="J20973" t="s">
        <v>30</v>
      </c>
      <c r="K20973" t="s">
        <v>63898</v>
      </c>
      <c r="M20973" t="s">
        <v>50621</v>
      </c>
      <c r="N20973" t="str">
        <f>"1/16/2024 12:11:00 PM"</f>
        <v>1/16/2024 12:11:00 PM</v>
      </c>
      <c r="O20973" t="s">
        <v>63894</v>
      </c>
      <c r="T20973" t="s">
        <v>63895</v>
      </c>
    </row>
    <row r="20974" spans="1:20" x14ac:dyDescent="0.25">
      <c r="A20974" t="str">
        <f>"3054009"</f>
        <v>3054009</v>
      </c>
      <c r="B20974" t="s">
        <v>63900</v>
      </c>
      <c r="C20974" t="str">
        <f>"8319760"</f>
        <v>8319760</v>
      </c>
      <c r="D20974" t="s">
        <v>63901</v>
      </c>
      <c r="E20974" t="s">
        <v>63902</v>
      </c>
      <c r="F20974" t="s">
        <v>63903</v>
      </c>
      <c r="G20974" t="s">
        <v>63904</v>
      </c>
      <c r="I20974" t="s">
        <v>9580</v>
      </c>
      <c r="J20974" t="s">
        <v>30</v>
      </c>
      <c r="K20974" t="s">
        <v>63905</v>
      </c>
      <c r="M20974" t="s">
        <v>51351</v>
      </c>
      <c r="N20974" t="str">
        <f>"1/16/2024 1:03:00 PM"</f>
        <v>1/16/2024 1:03:00 PM</v>
      </c>
      <c r="O20974" t="s">
        <v>63901</v>
      </c>
      <c r="T20974" t="s">
        <v>63902</v>
      </c>
    </row>
    <row r="20975" spans="1:20" x14ac:dyDescent="0.25">
      <c r="A20975" t="str">
        <f>"3058437"</f>
        <v>3058437</v>
      </c>
      <c r="B20975" t="s">
        <v>63906</v>
      </c>
      <c r="C20975" t="str">
        <f>"8321715"</f>
        <v>8321715</v>
      </c>
      <c r="D20975" t="s">
        <v>63907</v>
      </c>
      <c r="F20975" t="s">
        <v>63908</v>
      </c>
      <c r="I20975" t="s">
        <v>29</v>
      </c>
      <c r="J20975" t="s">
        <v>30</v>
      </c>
      <c r="K20975" t="s">
        <v>60905</v>
      </c>
      <c r="M20975" t="s">
        <v>50500</v>
      </c>
      <c r="N20975" t="str">
        <f>"1/8/2024 9:55:00 AM"</f>
        <v>1/8/2024 9:55:00 AM</v>
      </c>
      <c r="O20975" t="s">
        <v>63907</v>
      </c>
    </row>
    <row r="20976" spans="1:20" x14ac:dyDescent="0.25">
      <c r="A20976" t="str">
        <f>"3052767"</f>
        <v>3052767</v>
      </c>
      <c r="B20976" t="s">
        <v>63909</v>
      </c>
      <c r="C20976" t="str">
        <f>"8321716"</f>
        <v>8321716</v>
      </c>
      <c r="D20976" t="s">
        <v>63910</v>
      </c>
      <c r="F20976" t="s">
        <v>63911</v>
      </c>
      <c r="I20976" t="s">
        <v>29</v>
      </c>
      <c r="J20976" t="s">
        <v>30</v>
      </c>
      <c r="K20976" t="s">
        <v>37876</v>
      </c>
      <c r="M20976" t="s">
        <v>50500</v>
      </c>
      <c r="N20976" t="str">
        <f>"1/8/2024 10:38:00 AM"</f>
        <v>1/8/2024 10:38:00 AM</v>
      </c>
      <c r="O20976" t="s">
        <v>63910</v>
      </c>
    </row>
    <row r="20977" spans="1:20" x14ac:dyDescent="0.25">
      <c r="A20977" t="str">
        <f>"3056188"</f>
        <v>3056188</v>
      </c>
      <c r="B20977" t="s">
        <v>63912</v>
      </c>
      <c r="C20977" t="str">
        <f>"8321717"</f>
        <v>8321717</v>
      </c>
      <c r="D20977" t="s">
        <v>63913</v>
      </c>
      <c r="E20977" t="s">
        <v>63914</v>
      </c>
      <c r="F20977" t="s">
        <v>63915</v>
      </c>
      <c r="G20977" t="s">
        <v>63916</v>
      </c>
      <c r="I20977" t="s">
        <v>29</v>
      </c>
      <c r="J20977" t="s">
        <v>30</v>
      </c>
      <c r="K20977" t="s">
        <v>63917</v>
      </c>
      <c r="M20977" t="s">
        <v>50500</v>
      </c>
      <c r="N20977" t="str">
        <f>"1/8/2024 12:00:00 PM"</f>
        <v>1/8/2024 12:00:00 PM</v>
      </c>
      <c r="O20977" t="s">
        <v>63913</v>
      </c>
      <c r="T20977" t="s">
        <v>63914</v>
      </c>
    </row>
    <row r="20978" spans="1:20" x14ac:dyDescent="0.25">
      <c r="A20978" t="str">
        <f>"3059842"</f>
        <v>3059842</v>
      </c>
      <c r="B20978" t="s">
        <v>63918</v>
      </c>
      <c r="C20978" t="str">
        <f>"8321718"</f>
        <v>8321718</v>
      </c>
      <c r="D20978" t="s">
        <v>63914</v>
      </c>
      <c r="E20978" t="s">
        <v>63913</v>
      </c>
      <c r="F20978" t="s">
        <v>63915</v>
      </c>
      <c r="G20978" t="s">
        <v>63916</v>
      </c>
      <c r="I20978" t="s">
        <v>29</v>
      </c>
      <c r="J20978" t="s">
        <v>30</v>
      </c>
      <c r="K20978" t="s">
        <v>63917</v>
      </c>
      <c r="M20978" t="s">
        <v>50500</v>
      </c>
      <c r="N20978" t="str">
        <f>"1/8/2024 12:10:00 PM"</f>
        <v>1/8/2024 12:10:00 PM</v>
      </c>
      <c r="O20978" t="s">
        <v>63914</v>
      </c>
      <c r="T20978" t="s">
        <v>63913</v>
      </c>
    </row>
    <row r="20979" spans="1:20" x14ac:dyDescent="0.25">
      <c r="A20979" t="str">
        <f>"3044428"</f>
        <v>3044428</v>
      </c>
      <c r="B20979" t="s">
        <v>63919</v>
      </c>
      <c r="C20979" t="str">
        <f>"8321722"</f>
        <v>8321722</v>
      </c>
      <c r="D20979" t="s">
        <v>63920</v>
      </c>
      <c r="E20979" t="s">
        <v>63921</v>
      </c>
      <c r="F20979" t="s">
        <v>63922</v>
      </c>
      <c r="I20979" t="s">
        <v>184</v>
      </c>
      <c r="J20979" t="s">
        <v>30</v>
      </c>
      <c r="K20979" t="s">
        <v>5557</v>
      </c>
      <c r="M20979" t="s">
        <v>50500</v>
      </c>
      <c r="N20979" t="str">
        <f>"1/9/2024 9:12:00 AM"</f>
        <v>1/9/2024 9:12:00 AM</v>
      </c>
      <c r="O20979" t="s">
        <v>63920</v>
      </c>
      <c r="T20979" t="s">
        <v>63921</v>
      </c>
    </row>
    <row r="20980" spans="1:20" x14ac:dyDescent="0.25">
      <c r="A20980" t="str">
        <f>"3046967"</f>
        <v>3046967</v>
      </c>
      <c r="B20980" t="s">
        <v>63923</v>
      </c>
      <c r="C20980" t="str">
        <f>"8317216"</f>
        <v>8317216</v>
      </c>
      <c r="D20980" t="s">
        <v>63924</v>
      </c>
      <c r="E20980" t="s">
        <v>63925</v>
      </c>
      <c r="F20980" t="s">
        <v>63926</v>
      </c>
      <c r="I20980" t="s">
        <v>63927</v>
      </c>
      <c r="J20980" t="s">
        <v>1046</v>
      </c>
      <c r="K20980" t="s">
        <v>63928</v>
      </c>
      <c r="M20980" t="s">
        <v>50793</v>
      </c>
      <c r="N20980" t="str">
        <f>"1/17/2024 11:08:00 AM"</f>
        <v>1/17/2024 11:08:00 AM</v>
      </c>
      <c r="O20980" t="s">
        <v>63924</v>
      </c>
      <c r="T20980" t="s">
        <v>63925</v>
      </c>
    </row>
    <row r="20981" spans="1:20" x14ac:dyDescent="0.25">
      <c r="A20981" t="str">
        <f>"3076595"</f>
        <v>3076595</v>
      </c>
      <c r="B20981" t="s">
        <v>63929</v>
      </c>
      <c r="C20981" t="str">
        <f>"8321792"</f>
        <v>8321792</v>
      </c>
      <c r="D20981" t="s">
        <v>63930</v>
      </c>
      <c r="F20981" t="s">
        <v>63931</v>
      </c>
      <c r="I20981" t="s">
        <v>63932</v>
      </c>
      <c r="J20981" t="s">
        <v>11994</v>
      </c>
      <c r="K20981" t="s">
        <v>63933</v>
      </c>
      <c r="M20981" t="s">
        <v>50500</v>
      </c>
      <c r="N20981" t="str">
        <f>"1/17/2024 11:09:00 AM"</f>
        <v>1/17/2024 11:09:00 AM</v>
      </c>
      <c r="O20981" t="s">
        <v>63930</v>
      </c>
    </row>
    <row r="20982" spans="1:20" x14ac:dyDescent="0.25">
      <c r="A20982" t="str">
        <f>"3066988"</f>
        <v>3066988</v>
      </c>
      <c r="B20982" t="s">
        <v>63934</v>
      </c>
      <c r="C20982" t="str">
        <f>"8316575"</f>
        <v>8316575</v>
      </c>
      <c r="D20982" t="s">
        <v>63935</v>
      </c>
      <c r="E20982" t="s">
        <v>63936</v>
      </c>
      <c r="F20982" t="s">
        <v>63937</v>
      </c>
      <c r="I20982" t="s">
        <v>29</v>
      </c>
      <c r="J20982" t="s">
        <v>30</v>
      </c>
      <c r="K20982" t="str">
        <f>"27028"</f>
        <v>27028</v>
      </c>
      <c r="M20982" t="s">
        <v>18470</v>
      </c>
      <c r="N20982" t="str">
        <f>"1/17/2024 11:12:00 AM"</f>
        <v>1/17/2024 11:12:00 AM</v>
      </c>
      <c r="O20982" t="s">
        <v>63935</v>
      </c>
      <c r="T20982" t="s">
        <v>63936</v>
      </c>
    </row>
    <row r="20983" spans="1:20" x14ac:dyDescent="0.25">
      <c r="A20983" t="str">
        <f>"3078089"</f>
        <v>3078089</v>
      </c>
      <c r="B20983" t="s">
        <v>63938</v>
      </c>
      <c r="C20983" t="str">
        <f>"8321793"</f>
        <v>8321793</v>
      </c>
      <c r="D20983" t="s">
        <v>63939</v>
      </c>
      <c r="E20983" t="s">
        <v>63940</v>
      </c>
      <c r="F20983" t="s">
        <v>63941</v>
      </c>
      <c r="I20983" t="s">
        <v>29</v>
      </c>
      <c r="J20983" t="s">
        <v>30</v>
      </c>
      <c r="K20983" t="s">
        <v>9462</v>
      </c>
      <c r="M20983" t="s">
        <v>50500</v>
      </c>
      <c r="N20983" t="str">
        <f>"1/17/2024 11:18:00 AM"</f>
        <v>1/17/2024 11:18:00 AM</v>
      </c>
      <c r="O20983" t="s">
        <v>63939</v>
      </c>
      <c r="T20983" t="s">
        <v>63940</v>
      </c>
    </row>
    <row r="20984" spans="1:20" x14ac:dyDescent="0.25">
      <c r="A20984" t="str">
        <f>"3062962"</f>
        <v>3062962</v>
      </c>
      <c r="B20984" t="s">
        <v>63942</v>
      </c>
      <c r="C20984" t="str">
        <f>"8321723"</f>
        <v>8321723</v>
      </c>
      <c r="D20984" t="s">
        <v>63943</v>
      </c>
      <c r="F20984" t="s">
        <v>63944</v>
      </c>
      <c r="I20984" t="s">
        <v>29</v>
      </c>
      <c r="J20984" t="s">
        <v>30</v>
      </c>
      <c r="K20984" t="s">
        <v>8004</v>
      </c>
      <c r="M20984" t="s">
        <v>50500</v>
      </c>
      <c r="N20984" t="str">
        <f>"1/9/2024 9:24:00 AM"</f>
        <v>1/9/2024 9:24:00 AM</v>
      </c>
      <c r="O20984" t="s">
        <v>63943</v>
      </c>
    </row>
    <row r="20985" spans="1:20" x14ac:dyDescent="0.25">
      <c r="A20985" t="str">
        <f>"3050765"</f>
        <v>3050765</v>
      </c>
      <c r="B20985" t="s">
        <v>63945</v>
      </c>
      <c r="C20985" t="str">
        <f>"8321724"</f>
        <v>8321724</v>
      </c>
      <c r="D20985" t="s">
        <v>63946</v>
      </c>
      <c r="E20985" t="s">
        <v>63947</v>
      </c>
      <c r="F20985" t="s">
        <v>63948</v>
      </c>
      <c r="I20985" t="s">
        <v>184</v>
      </c>
      <c r="J20985" t="s">
        <v>30</v>
      </c>
      <c r="K20985" t="s">
        <v>49239</v>
      </c>
      <c r="M20985" t="s">
        <v>50500</v>
      </c>
      <c r="N20985" t="str">
        <f>"1/9/2024 9:29:00 AM"</f>
        <v>1/9/2024 9:29:00 AM</v>
      </c>
      <c r="O20985" t="s">
        <v>63946</v>
      </c>
      <c r="T20985" t="s">
        <v>63947</v>
      </c>
    </row>
    <row r="20986" spans="1:20" x14ac:dyDescent="0.25">
      <c r="A20986" t="str">
        <f>"3058920"</f>
        <v>3058920</v>
      </c>
      <c r="B20986" t="s">
        <v>63949</v>
      </c>
      <c r="C20986" t="str">
        <f>"8321706"</f>
        <v>8321706</v>
      </c>
      <c r="D20986" t="s">
        <v>63950</v>
      </c>
      <c r="E20986" t="s">
        <v>63951</v>
      </c>
      <c r="F20986" t="s">
        <v>63952</v>
      </c>
      <c r="I20986" t="s">
        <v>29</v>
      </c>
      <c r="J20986" t="s">
        <v>30</v>
      </c>
      <c r="K20986" t="s">
        <v>63480</v>
      </c>
      <c r="M20986" t="s">
        <v>50500</v>
      </c>
      <c r="N20986" t="str">
        <f>"1/3/2024 3:56:00 PM"</f>
        <v>1/3/2024 3:56:00 PM</v>
      </c>
      <c r="O20986" t="s">
        <v>63950</v>
      </c>
      <c r="T20986" t="s">
        <v>63951</v>
      </c>
    </row>
    <row r="20987" spans="1:20" x14ac:dyDescent="0.25">
      <c r="A20987" t="str">
        <f>"3058713"</f>
        <v>3058713</v>
      </c>
      <c r="B20987" t="s">
        <v>63953</v>
      </c>
      <c r="C20987" t="str">
        <f>"8321708"</f>
        <v>8321708</v>
      </c>
      <c r="D20987" t="s">
        <v>63954</v>
      </c>
      <c r="E20987" t="s">
        <v>63955</v>
      </c>
      <c r="F20987" t="s">
        <v>63956</v>
      </c>
      <c r="I20987" t="s">
        <v>29</v>
      </c>
      <c r="J20987" t="s">
        <v>30</v>
      </c>
      <c r="K20987" t="str">
        <f>"27028"</f>
        <v>27028</v>
      </c>
      <c r="M20987" t="s">
        <v>50500</v>
      </c>
      <c r="N20987" t="str">
        <f>"1/3/2024 4:08:00 PM"</f>
        <v>1/3/2024 4:08:00 PM</v>
      </c>
      <c r="O20987" t="s">
        <v>63954</v>
      </c>
      <c r="T20987" t="s">
        <v>63955</v>
      </c>
    </row>
    <row r="20988" spans="1:20" x14ac:dyDescent="0.25">
      <c r="A20988" t="str">
        <f>"3049990"</f>
        <v>3049990</v>
      </c>
      <c r="B20988" t="s">
        <v>63957</v>
      </c>
      <c r="C20988" t="str">
        <f>"8321710"</f>
        <v>8321710</v>
      </c>
      <c r="D20988" t="s">
        <v>63958</v>
      </c>
      <c r="F20988" t="s">
        <v>63959</v>
      </c>
      <c r="I20988" t="s">
        <v>29</v>
      </c>
      <c r="J20988" t="s">
        <v>30</v>
      </c>
      <c r="K20988" t="s">
        <v>63960</v>
      </c>
      <c r="M20988" t="s">
        <v>50500</v>
      </c>
      <c r="N20988" t="str">
        <f>"1/4/2024 9:59:00 AM"</f>
        <v>1/4/2024 9:59:00 AM</v>
      </c>
      <c r="O20988" t="s">
        <v>63958</v>
      </c>
    </row>
    <row r="20989" spans="1:20" x14ac:dyDescent="0.25">
      <c r="A20989" t="str">
        <f>"3037963"</f>
        <v>3037963</v>
      </c>
      <c r="B20989" t="s">
        <v>63961</v>
      </c>
      <c r="C20989" t="str">
        <f>"82516010"</f>
        <v>82516010</v>
      </c>
      <c r="D20989" t="s">
        <v>47632</v>
      </c>
      <c r="F20989" t="s">
        <v>47633</v>
      </c>
      <c r="I20989" t="s">
        <v>29</v>
      </c>
      <c r="J20989" t="s">
        <v>30</v>
      </c>
      <c r="K20989" t="s">
        <v>47634</v>
      </c>
      <c r="M20989" t="s">
        <v>50621</v>
      </c>
      <c r="N20989" t="str">
        <f>"1/4/2024 10:18:00 AM"</f>
        <v>1/4/2024 10:18:00 AM</v>
      </c>
      <c r="O20989" t="s">
        <v>47632</v>
      </c>
    </row>
    <row r="20990" spans="1:20" x14ac:dyDescent="0.25">
      <c r="A20990" t="str">
        <f>"3069818"</f>
        <v>3069818</v>
      </c>
      <c r="B20990" t="s">
        <v>63962</v>
      </c>
      <c r="C20990" t="str">
        <f>"8321712"</f>
        <v>8321712</v>
      </c>
      <c r="D20990" t="s">
        <v>51494</v>
      </c>
      <c r="F20990" t="s">
        <v>63963</v>
      </c>
      <c r="I20990" t="s">
        <v>9580</v>
      </c>
      <c r="J20990" t="s">
        <v>30</v>
      </c>
      <c r="K20990" t="str">
        <f>"27014"</f>
        <v>27014</v>
      </c>
      <c r="M20990" t="s">
        <v>50500</v>
      </c>
      <c r="N20990" t="str">
        <f>"1/4/2024 10:20:00 AM"</f>
        <v>1/4/2024 10:20:00 AM</v>
      </c>
      <c r="O20990" t="s">
        <v>51494</v>
      </c>
    </row>
    <row r="20991" spans="1:20" x14ac:dyDescent="0.25">
      <c r="A20991" t="str">
        <f>"3060391"</f>
        <v>3060391</v>
      </c>
      <c r="B20991" t="s">
        <v>63964</v>
      </c>
      <c r="C20991" t="str">
        <f>"8315925"</f>
        <v>8315925</v>
      </c>
      <c r="D20991" t="s">
        <v>63965</v>
      </c>
      <c r="F20991" t="s">
        <v>63966</v>
      </c>
      <c r="I20991" t="s">
        <v>29</v>
      </c>
      <c r="J20991" t="s">
        <v>30</v>
      </c>
      <c r="K20991" t="str">
        <f>"27028"</f>
        <v>27028</v>
      </c>
      <c r="M20991" t="s">
        <v>51351</v>
      </c>
      <c r="N20991" t="str">
        <f>"1/4/2024 12:42:00 PM"</f>
        <v>1/4/2024 12:42:00 PM</v>
      </c>
      <c r="O20991" t="s">
        <v>63965</v>
      </c>
    </row>
    <row r="20992" spans="1:20" x14ac:dyDescent="0.25">
      <c r="A20992" t="str">
        <f>"3043736"</f>
        <v>3043736</v>
      </c>
      <c r="B20992" t="s">
        <v>63967</v>
      </c>
      <c r="C20992" t="str">
        <f>"8319365"</f>
        <v>8319365</v>
      </c>
      <c r="D20992" t="s">
        <v>63968</v>
      </c>
      <c r="E20992" t="s">
        <v>63969</v>
      </c>
      <c r="F20992" t="s">
        <v>63970</v>
      </c>
      <c r="I20992" t="s">
        <v>29</v>
      </c>
      <c r="J20992" t="s">
        <v>30</v>
      </c>
      <c r="K20992" t="s">
        <v>63971</v>
      </c>
      <c r="M20992" t="s">
        <v>51351</v>
      </c>
      <c r="N20992" t="str">
        <f>"1/4/2024 2:23:00 PM"</f>
        <v>1/4/2024 2:23:00 PM</v>
      </c>
      <c r="O20992" t="s">
        <v>63968</v>
      </c>
      <c r="T20992" t="s">
        <v>63969</v>
      </c>
    </row>
    <row r="20993" spans="1:20" x14ac:dyDescent="0.25">
      <c r="A20993" t="str">
        <f>"3064732"</f>
        <v>3064732</v>
      </c>
      <c r="B20993" t="s">
        <v>63972</v>
      </c>
      <c r="C20993" t="str">
        <f>"8321725"</f>
        <v>8321725</v>
      </c>
      <c r="D20993" t="s">
        <v>63973</v>
      </c>
      <c r="F20993" t="s">
        <v>63974</v>
      </c>
      <c r="I20993" t="s">
        <v>29</v>
      </c>
      <c r="J20993" t="s">
        <v>30</v>
      </c>
      <c r="K20993" t="s">
        <v>44685</v>
      </c>
      <c r="M20993" t="s">
        <v>50500</v>
      </c>
      <c r="N20993" t="str">
        <f>"1/9/2024 11:06:00 AM"</f>
        <v>1/9/2024 11:06:00 AM</v>
      </c>
      <c r="O20993" t="s">
        <v>63973</v>
      </c>
    </row>
    <row r="20994" spans="1:20" x14ac:dyDescent="0.25">
      <c r="A20994" t="str">
        <f>"3053170"</f>
        <v>3053170</v>
      </c>
      <c r="B20994" t="s">
        <v>63975</v>
      </c>
      <c r="C20994" t="str">
        <f>"8321726"</f>
        <v>8321726</v>
      </c>
      <c r="D20994" t="s">
        <v>63976</v>
      </c>
      <c r="F20994" t="s">
        <v>63977</v>
      </c>
      <c r="I20994" t="s">
        <v>29</v>
      </c>
      <c r="J20994" t="s">
        <v>30</v>
      </c>
      <c r="K20994" t="s">
        <v>42439</v>
      </c>
      <c r="M20994" t="s">
        <v>50500</v>
      </c>
      <c r="N20994" t="str">
        <f>"1/9/2024 11:32:00 AM"</f>
        <v>1/9/2024 11:32:00 AM</v>
      </c>
      <c r="O20994" t="s">
        <v>63976</v>
      </c>
    </row>
    <row r="20995" spans="1:20" x14ac:dyDescent="0.25">
      <c r="A20995" t="str">
        <f>"3038504"</f>
        <v>3038504</v>
      </c>
      <c r="B20995" t="s">
        <v>63978</v>
      </c>
      <c r="C20995" t="str">
        <f>"82515857"</f>
        <v>82515857</v>
      </c>
      <c r="D20995" t="s">
        <v>63979</v>
      </c>
      <c r="F20995" t="s">
        <v>63980</v>
      </c>
      <c r="I20995" t="s">
        <v>29</v>
      </c>
      <c r="J20995" t="s">
        <v>30</v>
      </c>
      <c r="K20995" t="s">
        <v>31</v>
      </c>
      <c r="M20995" t="s">
        <v>50621</v>
      </c>
      <c r="N20995" t="str">
        <f>"1/9/2024 12:16:00 PM"</f>
        <v>1/9/2024 12:16:00 PM</v>
      </c>
      <c r="O20995" t="s">
        <v>63979</v>
      </c>
    </row>
    <row r="20996" spans="1:20" x14ac:dyDescent="0.25">
      <c r="A20996" t="str">
        <f>"3059271"</f>
        <v>3059271</v>
      </c>
      <c r="B20996" t="s">
        <v>63981</v>
      </c>
      <c r="C20996" t="str">
        <f>"8321762"</f>
        <v>8321762</v>
      </c>
      <c r="D20996" t="s">
        <v>63982</v>
      </c>
      <c r="E20996" t="s">
        <v>63983</v>
      </c>
      <c r="F20996" t="s">
        <v>63984</v>
      </c>
      <c r="I20996" t="s">
        <v>29</v>
      </c>
      <c r="J20996" t="s">
        <v>30</v>
      </c>
      <c r="K20996" t="s">
        <v>44948</v>
      </c>
      <c r="M20996" t="s">
        <v>50500</v>
      </c>
      <c r="N20996" t="str">
        <f>"1/9/2024 3:35:00 PM"</f>
        <v>1/9/2024 3:35:00 PM</v>
      </c>
      <c r="O20996" t="s">
        <v>63982</v>
      </c>
      <c r="T20996" t="s">
        <v>63983</v>
      </c>
    </row>
    <row r="20997" spans="1:20" x14ac:dyDescent="0.25">
      <c r="A20997" t="str">
        <f>"3052864"</f>
        <v>3052864</v>
      </c>
      <c r="B20997" t="s">
        <v>63985</v>
      </c>
      <c r="C20997" t="str">
        <f>"8309225"</f>
        <v>8309225</v>
      </c>
      <c r="D20997" t="s">
        <v>63986</v>
      </c>
      <c r="E20997" t="s">
        <v>63987</v>
      </c>
      <c r="F20997" t="s">
        <v>63988</v>
      </c>
      <c r="I20997" t="s">
        <v>29</v>
      </c>
      <c r="J20997" t="s">
        <v>30</v>
      </c>
      <c r="K20997" t="s">
        <v>15044</v>
      </c>
      <c r="M20997" t="s">
        <v>50500</v>
      </c>
      <c r="N20997" t="str">
        <f>"1/9/2024 4:00:00 PM"</f>
        <v>1/9/2024 4:00:00 PM</v>
      </c>
      <c r="O20997" t="s">
        <v>63986</v>
      </c>
      <c r="T20997" t="s">
        <v>63987</v>
      </c>
    </row>
    <row r="20998" spans="1:20" x14ac:dyDescent="0.25">
      <c r="A20998" t="str">
        <f>"3044003"</f>
        <v>3044003</v>
      </c>
      <c r="B20998" t="s">
        <v>63989</v>
      </c>
      <c r="C20998" t="str">
        <f>"8321713"</f>
        <v>8321713</v>
      </c>
      <c r="D20998" t="s">
        <v>63990</v>
      </c>
      <c r="E20998" t="str">
        <f>"YOUNTS CALVIN A JR/YOUNTS PATS"</f>
        <v>YOUNTS CALVIN A JR/YOUNTS PATS</v>
      </c>
      <c r="F20998" t="s">
        <v>63625</v>
      </c>
      <c r="I20998" t="s">
        <v>184</v>
      </c>
      <c r="J20998" t="s">
        <v>30</v>
      </c>
      <c r="K20998" t="s">
        <v>63626</v>
      </c>
      <c r="M20998" t="s">
        <v>50500</v>
      </c>
      <c r="N20998" t="str">
        <f>"1/4/2024 3:44:00 PM"</f>
        <v>1/4/2024 3:44:00 PM</v>
      </c>
      <c r="O20998" t="s">
        <v>63990</v>
      </c>
      <c r="T20998" t="str">
        <f>"YOUNTS CALVIN A JR/YOUNTS PATS"</f>
        <v>YOUNTS CALVIN A JR/YOUNTS PATS</v>
      </c>
    </row>
    <row r="20999" spans="1:20" x14ac:dyDescent="0.25">
      <c r="A20999" t="str">
        <f>"3047482"</f>
        <v>3047482</v>
      </c>
      <c r="B20999" t="s">
        <v>63991</v>
      </c>
      <c r="C20999" t="str">
        <f>"8321714"</f>
        <v>8321714</v>
      </c>
      <c r="D20999" t="s">
        <v>22222</v>
      </c>
      <c r="E20999" t="s">
        <v>63992</v>
      </c>
      <c r="F20999" t="s">
        <v>22224</v>
      </c>
      <c r="I20999" t="s">
        <v>29</v>
      </c>
      <c r="J20999" t="s">
        <v>30</v>
      </c>
      <c r="K20999" t="s">
        <v>52084</v>
      </c>
      <c r="M20999" t="s">
        <v>50500</v>
      </c>
      <c r="N20999" t="str">
        <f>"1/5/2024 11:28:00 AM"</f>
        <v>1/5/2024 11:28:00 AM</v>
      </c>
      <c r="O20999" t="s">
        <v>22222</v>
      </c>
      <c r="T20999" t="s">
        <v>63992</v>
      </c>
    </row>
    <row r="21000" spans="1:20" x14ac:dyDescent="0.25">
      <c r="A21000" t="str">
        <f>"3061043"</f>
        <v>3061043</v>
      </c>
      <c r="B21000" t="s">
        <v>63993</v>
      </c>
      <c r="C21000" t="str">
        <f>"8309517"</f>
        <v>8309517</v>
      </c>
      <c r="D21000" t="s">
        <v>63994</v>
      </c>
      <c r="E21000" t="s">
        <v>63995</v>
      </c>
      <c r="F21000" t="s">
        <v>63996</v>
      </c>
      <c r="I21000" t="s">
        <v>402</v>
      </c>
      <c r="J21000" t="s">
        <v>30</v>
      </c>
      <c r="K21000" t="s">
        <v>63997</v>
      </c>
      <c r="M21000" t="s">
        <v>52111</v>
      </c>
      <c r="N21000" t="str">
        <f>"1/11/2024 1:29:00 PM"</f>
        <v>1/11/2024 1:29:00 PM</v>
      </c>
      <c r="O21000" t="s">
        <v>63994</v>
      </c>
      <c r="T21000" t="s">
        <v>63995</v>
      </c>
    </row>
    <row r="21001" spans="1:20" x14ac:dyDescent="0.25">
      <c r="A21001" t="str">
        <f>"3061923"</f>
        <v>3061923</v>
      </c>
      <c r="B21001" t="s">
        <v>63998</v>
      </c>
      <c r="C21001" t="str">
        <f>"8321786"</f>
        <v>8321786</v>
      </c>
      <c r="D21001" t="s">
        <v>63999</v>
      </c>
      <c r="E21001" t="s">
        <v>64000</v>
      </c>
      <c r="F21001" t="s">
        <v>64001</v>
      </c>
      <c r="I21001" t="s">
        <v>2071</v>
      </c>
      <c r="J21001" t="s">
        <v>30</v>
      </c>
      <c r="K21001" t="s">
        <v>20078</v>
      </c>
      <c r="M21001" t="s">
        <v>50500</v>
      </c>
      <c r="N21001" t="str">
        <f>"1/17/2024 9:58:00 AM"</f>
        <v>1/17/2024 9:58:00 AM</v>
      </c>
      <c r="O21001" t="s">
        <v>63999</v>
      </c>
      <c r="T21001" t="s">
        <v>64000</v>
      </c>
    </row>
    <row r="21002" spans="1:20" x14ac:dyDescent="0.25">
      <c r="A21002" t="str">
        <f>"3066239"</f>
        <v>3066239</v>
      </c>
      <c r="B21002" t="s">
        <v>64002</v>
      </c>
      <c r="C21002" t="str">
        <f>"8321788"</f>
        <v>8321788</v>
      </c>
      <c r="D21002" t="s">
        <v>64003</v>
      </c>
      <c r="E21002" t="s">
        <v>51318</v>
      </c>
      <c r="F21002" t="s">
        <v>51320</v>
      </c>
      <c r="I21002" t="s">
        <v>29</v>
      </c>
      <c r="J21002" t="s">
        <v>30</v>
      </c>
      <c r="K21002" t="s">
        <v>33977</v>
      </c>
      <c r="M21002" t="s">
        <v>50500</v>
      </c>
      <c r="N21002" t="str">
        <f>"1/17/2024 10:08:00 AM"</f>
        <v>1/17/2024 10:08:00 AM</v>
      </c>
      <c r="O21002" t="s">
        <v>64003</v>
      </c>
      <c r="T21002" t="s">
        <v>51318</v>
      </c>
    </row>
    <row r="21003" spans="1:20" x14ac:dyDescent="0.25">
      <c r="A21003" t="str">
        <f>"3050788"</f>
        <v>3050788</v>
      </c>
      <c r="B21003" t="s">
        <v>64004</v>
      </c>
      <c r="C21003" t="str">
        <f>"8321789"</f>
        <v>8321789</v>
      </c>
      <c r="D21003" t="s">
        <v>64005</v>
      </c>
      <c r="E21003" t="s">
        <v>64006</v>
      </c>
      <c r="F21003" t="s">
        <v>64007</v>
      </c>
      <c r="I21003" t="s">
        <v>184</v>
      </c>
      <c r="J21003" t="s">
        <v>30</v>
      </c>
      <c r="K21003" t="s">
        <v>26784</v>
      </c>
      <c r="M21003" t="s">
        <v>50500</v>
      </c>
      <c r="N21003" t="str">
        <f>"1/17/2024 10:12:00 AM"</f>
        <v>1/17/2024 10:12:00 AM</v>
      </c>
      <c r="O21003" t="s">
        <v>64005</v>
      </c>
      <c r="T21003" t="s">
        <v>64006</v>
      </c>
    </row>
    <row r="21004" spans="1:20" x14ac:dyDescent="0.25">
      <c r="A21004" t="str">
        <f>"3039206"</f>
        <v>3039206</v>
      </c>
      <c r="B21004" t="s">
        <v>64008</v>
      </c>
      <c r="C21004" t="str">
        <f>"8321790"</f>
        <v>8321790</v>
      </c>
      <c r="D21004" t="s">
        <v>64009</v>
      </c>
      <c r="E21004" t="s">
        <v>64010</v>
      </c>
      <c r="F21004" t="s">
        <v>64011</v>
      </c>
      <c r="I21004" t="s">
        <v>49</v>
      </c>
      <c r="J21004" t="s">
        <v>30</v>
      </c>
      <c r="K21004" t="s">
        <v>55357</v>
      </c>
      <c r="M21004" t="s">
        <v>50500</v>
      </c>
      <c r="N21004" t="str">
        <f>"1/17/2024 10:42:00 AM"</f>
        <v>1/17/2024 10:42:00 AM</v>
      </c>
      <c r="O21004" t="s">
        <v>64009</v>
      </c>
      <c r="T21004" t="s">
        <v>64010</v>
      </c>
    </row>
    <row r="21005" spans="1:20" x14ac:dyDescent="0.25">
      <c r="A21005" t="str">
        <f>"3052128"</f>
        <v>3052128</v>
      </c>
      <c r="B21005" t="s">
        <v>64012</v>
      </c>
      <c r="C21005" t="str">
        <f>"8321791"</f>
        <v>8321791</v>
      </c>
      <c r="D21005" t="s">
        <v>64013</v>
      </c>
      <c r="E21005" t="s">
        <v>50150</v>
      </c>
      <c r="F21005" t="s">
        <v>64014</v>
      </c>
      <c r="I21005" t="s">
        <v>29</v>
      </c>
      <c r="J21005" t="s">
        <v>30</v>
      </c>
      <c r="K21005" t="s">
        <v>59189</v>
      </c>
      <c r="M21005" t="s">
        <v>50500</v>
      </c>
      <c r="N21005" t="str">
        <f>"1/17/2024 10:52:00 AM"</f>
        <v>1/17/2024 10:52:00 AM</v>
      </c>
      <c r="O21005" t="s">
        <v>64013</v>
      </c>
      <c r="T21005" t="s">
        <v>50150</v>
      </c>
    </row>
    <row r="21006" spans="1:20" x14ac:dyDescent="0.25">
      <c r="A21006" t="str">
        <f>"3062484"</f>
        <v>3062484</v>
      </c>
      <c r="B21006" t="s">
        <v>64015</v>
      </c>
      <c r="C21006" t="str">
        <f>"8301832"</f>
        <v>8301832</v>
      </c>
      <c r="D21006" t="s">
        <v>64016</v>
      </c>
      <c r="E21006" t="s">
        <v>64017</v>
      </c>
      <c r="F21006" t="s">
        <v>64018</v>
      </c>
      <c r="I21006" t="s">
        <v>184</v>
      </c>
      <c r="J21006" t="s">
        <v>30</v>
      </c>
      <c r="K21006" t="s">
        <v>35875</v>
      </c>
      <c r="M21006" t="s">
        <v>50500</v>
      </c>
      <c r="N21006" t="str">
        <f>"1/10/2024 12:17:00 PM"</f>
        <v>1/10/2024 12:17:00 PM</v>
      </c>
      <c r="O21006" t="s">
        <v>64016</v>
      </c>
      <c r="T21006" t="s">
        <v>64017</v>
      </c>
    </row>
    <row r="21007" spans="1:20" x14ac:dyDescent="0.25">
      <c r="A21007" t="str">
        <f>"3048981"</f>
        <v>3048981</v>
      </c>
      <c r="B21007" t="s">
        <v>64019</v>
      </c>
      <c r="C21007" t="str">
        <f>"8315377"</f>
        <v>8315377</v>
      </c>
      <c r="D21007" t="s">
        <v>63871</v>
      </c>
      <c r="E21007" t="s">
        <v>63872</v>
      </c>
      <c r="F21007" t="s">
        <v>63873</v>
      </c>
      <c r="I21007" t="s">
        <v>2732</v>
      </c>
      <c r="J21007" t="s">
        <v>1046</v>
      </c>
      <c r="K21007" t="s">
        <v>63874</v>
      </c>
      <c r="M21007" t="s">
        <v>50621</v>
      </c>
      <c r="N21007" t="str">
        <f>"1/11/2024 10:21:00 AM"</f>
        <v>1/11/2024 10:21:00 AM</v>
      </c>
      <c r="O21007" t="s">
        <v>63871</v>
      </c>
      <c r="T21007" t="s">
        <v>63872</v>
      </c>
    </row>
    <row r="21008" spans="1:20" x14ac:dyDescent="0.25">
      <c r="A21008" t="str">
        <f>"3048950"</f>
        <v>3048950</v>
      </c>
      <c r="B21008" t="s">
        <v>64020</v>
      </c>
      <c r="C21008" t="str">
        <f>"8305830"</f>
        <v>8305830</v>
      </c>
      <c r="D21008" t="s">
        <v>64021</v>
      </c>
      <c r="F21008" t="s">
        <v>64022</v>
      </c>
      <c r="I21008" t="s">
        <v>39164</v>
      </c>
      <c r="J21008" t="s">
        <v>30</v>
      </c>
      <c r="K21008" t="str">
        <f>"28655"</f>
        <v>28655</v>
      </c>
      <c r="M21008" t="s">
        <v>50621</v>
      </c>
      <c r="N21008" t="str">
        <f>"1/22/2024 12:06:00 PM"</f>
        <v>1/22/2024 12:06:00 PM</v>
      </c>
      <c r="O21008" t="s">
        <v>64021</v>
      </c>
    </row>
    <row r="21009" spans="1:15" x14ac:dyDescent="0.25">
      <c r="A21009" t="str">
        <f>"3064510"</f>
        <v>3064510</v>
      </c>
      <c r="B21009" t="s">
        <v>64023</v>
      </c>
      <c r="C21009" t="str">
        <f>"8309148"</f>
        <v>8309148</v>
      </c>
      <c r="D21009" t="s">
        <v>64024</v>
      </c>
      <c r="F21009" t="s">
        <v>64025</v>
      </c>
      <c r="I21009" t="s">
        <v>964</v>
      </c>
      <c r="J21009" t="s">
        <v>30</v>
      </c>
      <c r="K21009" t="s">
        <v>64026</v>
      </c>
      <c r="M21009" t="s">
        <v>50621</v>
      </c>
      <c r="N21009" t="str">
        <f>"1/22/2024 12:07:00 PM"</f>
        <v>1/22/2024 12:07:00 PM</v>
      </c>
      <c r="O21009" t="s">
        <v>64024</v>
      </c>
    </row>
    <row r="21010" spans="1:15" x14ac:dyDescent="0.25">
      <c r="A21010" t="str">
        <f>"3064509"</f>
        <v>3064509</v>
      </c>
      <c r="B21010" t="s">
        <v>64027</v>
      </c>
      <c r="C21010" t="str">
        <f>"8309148"</f>
        <v>8309148</v>
      </c>
      <c r="D21010" t="s">
        <v>64024</v>
      </c>
      <c r="F21010" t="s">
        <v>64025</v>
      </c>
      <c r="I21010" t="s">
        <v>964</v>
      </c>
      <c r="J21010" t="s">
        <v>30</v>
      </c>
      <c r="K21010" t="s">
        <v>64026</v>
      </c>
      <c r="M21010" t="s">
        <v>50621</v>
      </c>
      <c r="N21010" t="str">
        <f>"1/22/2024 12:07:00 PM"</f>
        <v>1/22/2024 12:07:00 PM</v>
      </c>
      <c r="O21010" t="s">
        <v>64024</v>
      </c>
    </row>
    <row r="21011" spans="1:15" x14ac:dyDescent="0.25">
      <c r="A21011" t="str">
        <f>"3064511"</f>
        <v>3064511</v>
      </c>
      <c r="B21011" t="s">
        <v>64028</v>
      </c>
      <c r="C21011" t="str">
        <f>"8309148"</f>
        <v>8309148</v>
      </c>
      <c r="D21011" t="s">
        <v>64024</v>
      </c>
      <c r="F21011" t="s">
        <v>64025</v>
      </c>
      <c r="I21011" t="s">
        <v>964</v>
      </c>
      <c r="J21011" t="s">
        <v>30</v>
      </c>
      <c r="K21011" t="s">
        <v>64026</v>
      </c>
      <c r="M21011" t="s">
        <v>50621</v>
      </c>
      <c r="N21011" t="str">
        <f>"1/22/2024 12:07:00 PM"</f>
        <v>1/22/2024 12:07:00 PM</v>
      </c>
      <c r="O21011" t="s">
        <v>64024</v>
      </c>
    </row>
    <row r="21012" spans="1:15" x14ac:dyDescent="0.25">
      <c r="A21012" t="str">
        <f>"3048921"</f>
        <v>3048921</v>
      </c>
      <c r="B21012" t="s">
        <v>64029</v>
      </c>
      <c r="C21012" t="str">
        <f>"8310903"</f>
        <v>8310903</v>
      </c>
      <c r="D21012" t="s">
        <v>64030</v>
      </c>
      <c r="F21012" t="s">
        <v>64031</v>
      </c>
      <c r="I21012" t="s">
        <v>471</v>
      </c>
      <c r="J21012" t="s">
        <v>30</v>
      </c>
      <c r="K21012" t="str">
        <f>"27127"</f>
        <v>27127</v>
      </c>
      <c r="M21012" t="s">
        <v>50621</v>
      </c>
      <c r="N21012" t="str">
        <f>"1/22/2024 12:17:00 PM"</f>
        <v>1/22/2024 12:17:00 PM</v>
      </c>
      <c r="O21012" t="s">
        <v>64030</v>
      </c>
    </row>
    <row r="21013" spans="1:15" x14ac:dyDescent="0.25">
      <c r="A21013" t="str">
        <f>"3048885"</f>
        <v>3048885</v>
      </c>
      <c r="B21013" t="s">
        <v>64032</v>
      </c>
      <c r="C21013" t="str">
        <f>"8310903"</f>
        <v>8310903</v>
      </c>
      <c r="D21013" t="s">
        <v>64030</v>
      </c>
      <c r="F21013" t="s">
        <v>64031</v>
      </c>
      <c r="I21013" t="s">
        <v>471</v>
      </c>
      <c r="J21013" t="s">
        <v>30</v>
      </c>
      <c r="K21013" t="str">
        <f>"27127"</f>
        <v>27127</v>
      </c>
      <c r="M21013" t="s">
        <v>50621</v>
      </c>
      <c r="N21013" t="str">
        <f>"1/22/2024 12:17:00 PM"</f>
        <v>1/22/2024 12:17:00 PM</v>
      </c>
      <c r="O21013" t="s">
        <v>64030</v>
      </c>
    </row>
    <row r="21014" spans="1:15" x14ac:dyDescent="0.25">
      <c r="A21014" t="str">
        <f>"3048886"</f>
        <v>3048886</v>
      </c>
      <c r="B21014" t="s">
        <v>64033</v>
      </c>
      <c r="C21014" t="str">
        <f>"8310903"</f>
        <v>8310903</v>
      </c>
      <c r="D21014" t="s">
        <v>64030</v>
      </c>
      <c r="F21014" t="s">
        <v>64031</v>
      </c>
      <c r="I21014" t="s">
        <v>471</v>
      </c>
      <c r="J21014" t="s">
        <v>30</v>
      </c>
      <c r="K21014" t="str">
        <f>"27127"</f>
        <v>27127</v>
      </c>
      <c r="M21014" t="s">
        <v>50621</v>
      </c>
      <c r="N21014" t="str">
        <f>"1/22/2024 12:17:00 PM"</f>
        <v>1/22/2024 12:17:00 PM</v>
      </c>
      <c r="O21014" t="s">
        <v>64030</v>
      </c>
    </row>
    <row r="21015" spans="1:15" x14ac:dyDescent="0.25">
      <c r="A21015" t="str">
        <f>"3048876"</f>
        <v>3048876</v>
      </c>
      <c r="B21015" t="s">
        <v>64034</v>
      </c>
      <c r="C21015" t="str">
        <f>"8310903"</f>
        <v>8310903</v>
      </c>
      <c r="D21015" t="s">
        <v>64030</v>
      </c>
      <c r="F21015" t="s">
        <v>64031</v>
      </c>
      <c r="I21015" t="s">
        <v>471</v>
      </c>
      <c r="J21015" t="s">
        <v>30</v>
      </c>
      <c r="K21015" t="str">
        <f>"27127"</f>
        <v>27127</v>
      </c>
      <c r="M21015" t="s">
        <v>50621</v>
      </c>
      <c r="N21015" t="str">
        <f>"1/22/2024 12:17:00 PM"</f>
        <v>1/22/2024 12:17:00 PM</v>
      </c>
      <c r="O21015" t="s">
        <v>64030</v>
      </c>
    </row>
    <row r="21016" spans="1:15" x14ac:dyDescent="0.25">
      <c r="A21016" t="str">
        <f>"3039245"</f>
        <v>3039245</v>
      </c>
      <c r="B21016" t="s">
        <v>64035</v>
      </c>
      <c r="C21016" t="str">
        <f>"82526447"</f>
        <v>82526447</v>
      </c>
      <c r="D21016" t="s">
        <v>64036</v>
      </c>
      <c r="F21016" t="s">
        <v>64037</v>
      </c>
      <c r="I21016" t="s">
        <v>2280</v>
      </c>
      <c r="J21016" t="s">
        <v>30</v>
      </c>
      <c r="K21016" t="s">
        <v>9897</v>
      </c>
      <c r="M21016" t="s">
        <v>50621</v>
      </c>
      <c r="N21016" t="str">
        <f>"1/22/2024 12:22:00 PM"</f>
        <v>1/22/2024 12:22:00 PM</v>
      </c>
      <c r="O21016" t="s">
        <v>64036</v>
      </c>
    </row>
    <row r="21017" spans="1:15" x14ac:dyDescent="0.25">
      <c r="A21017" t="str">
        <f>"3041151"</f>
        <v>3041151</v>
      </c>
      <c r="B21017" t="s">
        <v>64038</v>
      </c>
      <c r="C21017" t="str">
        <f>"82521209"</f>
        <v>82521209</v>
      </c>
      <c r="D21017" t="s">
        <v>64039</v>
      </c>
      <c r="F21017" t="s">
        <v>8749</v>
      </c>
      <c r="I21017" t="s">
        <v>402</v>
      </c>
      <c r="J21017" t="s">
        <v>30</v>
      </c>
      <c r="K21017" t="s">
        <v>403</v>
      </c>
      <c r="M21017" t="s">
        <v>50621</v>
      </c>
      <c r="N21017" t="str">
        <f>"1/22/2024 12:22:00 PM"</f>
        <v>1/22/2024 12:22:00 PM</v>
      </c>
      <c r="O21017" t="s">
        <v>64039</v>
      </c>
    </row>
    <row r="21018" spans="1:15" x14ac:dyDescent="0.25">
      <c r="A21018" t="str">
        <f>"3041088"</f>
        <v>3041088</v>
      </c>
      <c r="B21018" t="s">
        <v>64040</v>
      </c>
      <c r="C21018" t="str">
        <f>"82521209"</f>
        <v>82521209</v>
      </c>
      <c r="D21018" t="s">
        <v>64039</v>
      </c>
      <c r="F21018" t="s">
        <v>8749</v>
      </c>
      <c r="I21018" t="s">
        <v>402</v>
      </c>
      <c r="J21018" t="s">
        <v>30</v>
      </c>
      <c r="K21018" t="s">
        <v>403</v>
      </c>
      <c r="M21018" t="s">
        <v>50621</v>
      </c>
      <c r="N21018" t="str">
        <f>"1/22/2024 12:22:00 PM"</f>
        <v>1/22/2024 12:22:00 PM</v>
      </c>
      <c r="O21018" t="s">
        <v>64039</v>
      </c>
    </row>
    <row r="21019" spans="1:15" x14ac:dyDescent="0.25">
      <c r="A21019" t="str">
        <f>"3056044"</f>
        <v>3056044</v>
      </c>
      <c r="B21019" t="s">
        <v>64041</v>
      </c>
      <c r="C21019" t="str">
        <f>"69231000"</f>
        <v>69231000</v>
      </c>
      <c r="D21019" t="s">
        <v>64042</v>
      </c>
      <c r="F21019" t="s">
        <v>64043</v>
      </c>
      <c r="I21019" t="s">
        <v>64044</v>
      </c>
      <c r="J21019" t="s">
        <v>30</v>
      </c>
      <c r="K21019" t="s">
        <v>64045</v>
      </c>
      <c r="M21019" t="s">
        <v>50621</v>
      </c>
      <c r="N21019" t="str">
        <f>"1/22/2024 12:26:00 PM"</f>
        <v>1/22/2024 12:26:00 PM</v>
      </c>
      <c r="O21019" t="s">
        <v>64042</v>
      </c>
    </row>
    <row r="21020" spans="1:15" x14ac:dyDescent="0.25">
      <c r="A21020" t="str">
        <f>"3048951"</f>
        <v>3048951</v>
      </c>
      <c r="B21020" t="s">
        <v>64046</v>
      </c>
      <c r="C21020" t="str">
        <f>"8305830"</f>
        <v>8305830</v>
      </c>
      <c r="D21020" t="s">
        <v>64021</v>
      </c>
      <c r="F21020" t="s">
        <v>64022</v>
      </c>
      <c r="I21020" t="s">
        <v>39164</v>
      </c>
      <c r="J21020" t="s">
        <v>30</v>
      </c>
      <c r="K21020" t="str">
        <f>"28655"</f>
        <v>28655</v>
      </c>
      <c r="M21020" t="s">
        <v>50621</v>
      </c>
      <c r="N21020" t="str">
        <f>"1/22/2024 12:06:00 PM"</f>
        <v>1/22/2024 12:06:00 PM</v>
      </c>
      <c r="O21020" t="s">
        <v>64021</v>
      </c>
    </row>
    <row r="21021" spans="1:15" x14ac:dyDescent="0.25">
      <c r="A21021" t="str">
        <f>"3064504"</f>
        <v>3064504</v>
      </c>
      <c r="B21021" t="s">
        <v>64047</v>
      </c>
      <c r="C21021" t="str">
        <f>"8309148"</f>
        <v>8309148</v>
      </c>
      <c r="D21021" t="s">
        <v>64024</v>
      </c>
      <c r="F21021" t="s">
        <v>64025</v>
      </c>
      <c r="I21021" t="s">
        <v>964</v>
      </c>
      <c r="J21021" t="s">
        <v>30</v>
      </c>
      <c r="K21021" t="s">
        <v>64026</v>
      </c>
      <c r="M21021" t="s">
        <v>50621</v>
      </c>
      <c r="N21021" t="str">
        <f>"1/22/2024 12:07:00 PM"</f>
        <v>1/22/2024 12:07:00 PM</v>
      </c>
      <c r="O21021" t="s">
        <v>64024</v>
      </c>
    </row>
    <row r="21022" spans="1:15" x14ac:dyDescent="0.25">
      <c r="A21022" t="str">
        <f>"3064505"</f>
        <v>3064505</v>
      </c>
      <c r="B21022" t="s">
        <v>64048</v>
      </c>
      <c r="C21022" t="str">
        <f>"8309148"</f>
        <v>8309148</v>
      </c>
      <c r="D21022" t="s">
        <v>64024</v>
      </c>
      <c r="F21022" t="s">
        <v>64025</v>
      </c>
      <c r="I21022" t="s">
        <v>964</v>
      </c>
      <c r="J21022" t="s">
        <v>30</v>
      </c>
      <c r="K21022" t="s">
        <v>64026</v>
      </c>
      <c r="M21022" t="s">
        <v>50621</v>
      </c>
      <c r="N21022" t="str">
        <f>"1/22/2024 12:07:00 PM"</f>
        <v>1/22/2024 12:07:00 PM</v>
      </c>
      <c r="O21022" t="s">
        <v>64024</v>
      </c>
    </row>
    <row r="21023" spans="1:15" x14ac:dyDescent="0.25">
      <c r="A21023" t="str">
        <f>"3064506"</f>
        <v>3064506</v>
      </c>
      <c r="B21023" t="s">
        <v>64049</v>
      </c>
      <c r="C21023" t="str">
        <f>"8309148"</f>
        <v>8309148</v>
      </c>
      <c r="D21023" t="s">
        <v>64024</v>
      </c>
      <c r="F21023" t="s">
        <v>64025</v>
      </c>
      <c r="I21023" t="s">
        <v>964</v>
      </c>
      <c r="J21023" t="s">
        <v>30</v>
      </c>
      <c r="K21023" t="s">
        <v>64026</v>
      </c>
      <c r="M21023" t="s">
        <v>50621</v>
      </c>
      <c r="N21023" t="str">
        <f>"1/22/2024 12:07:00 PM"</f>
        <v>1/22/2024 12:07:00 PM</v>
      </c>
      <c r="O21023" t="s">
        <v>64024</v>
      </c>
    </row>
    <row r="21024" spans="1:15" x14ac:dyDescent="0.25">
      <c r="A21024" t="str">
        <f>"3064507"</f>
        <v>3064507</v>
      </c>
      <c r="B21024" t="s">
        <v>64050</v>
      </c>
      <c r="C21024" t="str">
        <f>"8309148"</f>
        <v>8309148</v>
      </c>
      <c r="D21024" t="s">
        <v>64024</v>
      </c>
      <c r="F21024" t="s">
        <v>64025</v>
      </c>
      <c r="I21024" t="s">
        <v>964</v>
      </c>
      <c r="J21024" t="s">
        <v>30</v>
      </c>
      <c r="K21024" t="s">
        <v>64026</v>
      </c>
      <c r="M21024" t="s">
        <v>50621</v>
      </c>
      <c r="N21024" t="str">
        <f>"1/22/2024 12:07:00 PM"</f>
        <v>1/22/2024 12:07:00 PM</v>
      </c>
      <c r="O21024" t="s">
        <v>64024</v>
      </c>
    </row>
    <row r="21025" spans="1:20" x14ac:dyDescent="0.25">
      <c r="A21025" t="str">
        <f>"3052090"</f>
        <v>3052090</v>
      </c>
      <c r="B21025" t="s">
        <v>64051</v>
      </c>
      <c r="C21025" t="str">
        <f>"8320539"</f>
        <v>8320539</v>
      </c>
      <c r="D21025" t="s">
        <v>64052</v>
      </c>
      <c r="F21025" t="s">
        <v>36426</v>
      </c>
      <c r="I21025" t="s">
        <v>29</v>
      </c>
      <c r="J21025" t="s">
        <v>30</v>
      </c>
      <c r="K21025" t="s">
        <v>36427</v>
      </c>
      <c r="M21025" t="s">
        <v>50500</v>
      </c>
      <c r="N21025" t="str">
        <f>"1/18/2024 9:07:00 AM"</f>
        <v>1/18/2024 9:07:00 AM</v>
      </c>
      <c r="O21025" t="s">
        <v>64052</v>
      </c>
    </row>
    <row r="21026" spans="1:20" x14ac:dyDescent="0.25">
      <c r="A21026" t="str">
        <f>"3049414"</f>
        <v>3049414</v>
      </c>
      <c r="B21026" t="s">
        <v>64053</v>
      </c>
      <c r="C21026" t="str">
        <f>"8320539"</f>
        <v>8320539</v>
      </c>
      <c r="D21026" t="s">
        <v>64052</v>
      </c>
      <c r="F21026" t="s">
        <v>36426</v>
      </c>
      <c r="I21026" t="s">
        <v>29</v>
      </c>
      <c r="J21026" t="s">
        <v>30</v>
      </c>
      <c r="K21026" t="s">
        <v>36427</v>
      </c>
      <c r="M21026" t="s">
        <v>50500</v>
      </c>
      <c r="N21026" t="str">
        <f>"1/18/2024 9:07:00 AM"</f>
        <v>1/18/2024 9:07:00 AM</v>
      </c>
      <c r="O21026" t="s">
        <v>64052</v>
      </c>
    </row>
    <row r="21027" spans="1:20" x14ac:dyDescent="0.25">
      <c r="A21027" t="str">
        <f>"3058662"</f>
        <v>3058662</v>
      </c>
      <c r="B21027" t="s">
        <v>64054</v>
      </c>
      <c r="C21027" t="str">
        <f>"8321795"</f>
        <v>8321795</v>
      </c>
      <c r="D21027" t="s">
        <v>64055</v>
      </c>
      <c r="E21027" t="s">
        <v>64056</v>
      </c>
      <c r="F21027" t="s">
        <v>64057</v>
      </c>
      <c r="I21027" t="s">
        <v>184</v>
      </c>
      <c r="J21027" t="s">
        <v>30</v>
      </c>
      <c r="K21027" t="s">
        <v>64058</v>
      </c>
      <c r="M21027" t="s">
        <v>50500</v>
      </c>
      <c r="N21027" t="str">
        <f>"1/18/2024 9:13:00 AM"</f>
        <v>1/18/2024 9:13:00 AM</v>
      </c>
      <c r="O21027" t="s">
        <v>64055</v>
      </c>
      <c r="T21027" t="s">
        <v>64056</v>
      </c>
    </row>
    <row r="21028" spans="1:20" x14ac:dyDescent="0.25">
      <c r="A21028" t="str">
        <f>"3062291"</f>
        <v>3062291</v>
      </c>
      <c r="B21028" t="s">
        <v>64059</v>
      </c>
      <c r="C21028" t="str">
        <f>"8321797"</f>
        <v>8321797</v>
      </c>
      <c r="D21028" t="s">
        <v>64060</v>
      </c>
      <c r="E21028" t="s">
        <v>64061</v>
      </c>
      <c r="F21028" t="s">
        <v>64062</v>
      </c>
      <c r="I21028" t="s">
        <v>2280</v>
      </c>
      <c r="J21028" t="s">
        <v>30</v>
      </c>
      <c r="K21028" t="s">
        <v>64063</v>
      </c>
      <c r="M21028" t="s">
        <v>50500</v>
      </c>
      <c r="N21028" t="str">
        <f>"1/18/2024 9:30:00 AM"</f>
        <v>1/18/2024 9:30:00 AM</v>
      </c>
      <c r="O21028" t="s">
        <v>64060</v>
      </c>
      <c r="T21028" t="s">
        <v>64061</v>
      </c>
    </row>
    <row r="21029" spans="1:20" x14ac:dyDescent="0.25">
      <c r="A21029" t="str">
        <f>"3039775"</f>
        <v>3039775</v>
      </c>
      <c r="B21029" t="s">
        <v>64064</v>
      </c>
      <c r="C21029" t="str">
        <f>"8321798"</f>
        <v>8321798</v>
      </c>
      <c r="D21029" t="s">
        <v>64065</v>
      </c>
      <c r="E21029" t="s">
        <v>64066</v>
      </c>
      <c r="F21029" t="s">
        <v>64067</v>
      </c>
      <c r="I21029" t="s">
        <v>402</v>
      </c>
      <c r="J21029" t="s">
        <v>30</v>
      </c>
      <c r="K21029" t="s">
        <v>64068</v>
      </c>
      <c r="M21029" t="s">
        <v>50500</v>
      </c>
      <c r="N21029" t="str">
        <f>"1/18/2024 9:39:00 AM"</f>
        <v>1/18/2024 9:39:00 AM</v>
      </c>
      <c r="O21029" t="s">
        <v>64065</v>
      </c>
      <c r="T21029" t="s">
        <v>64066</v>
      </c>
    </row>
    <row r="21030" spans="1:20" x14ac:dyDescent="0.25">
      <c r="A21030" t="str">
        <f>"3062750"</f>
        <v>3062750</v>
      </c>
      <c r="B21030" t="s">
        <v>64069</v>
      </c>
      <c r="C21030" t="str">
        <f>"8321799"</f>
        <v>8321799</v>
      </c>
      <c r="D21030" t="s">
        <v>64070</v>
      </c>
      <c r="E21030" t="s">
        <v>64071</v>
      </c>
      <c r="F21030" t="s">
        <v>64072</v>
      </c>
      <c r="I21030" t="s">
        <v>184</v>
      </c>
      <c r="J21030" t="s">
        <v>30</v>
      </c>
      <c r="K21030" t="s">
        <v>42092</v>
      </c>
      <c r="M21030" t="s">
        <v>50500</v>
      </c>
      <c r="N21030" t="str">
        <f>"1/18/2024 9:44:00 AM"</f>
        <v>1/18/2024 9:44:00 AM</v>
      </c>
      <c r="O21030" t="s">
        <v>64070</v>
      </c>
      <c r="T21030" t="s">
        <v>64071</v>
      </c>
    </row>
    <row r="21031" spans="1:20" x14ac:dyDescent="0.25">
      <c r="A21031" t="str">
        <f>"3058799"</f>
        <v>3058799</v>
      </c>
      <c r="B21031" t="s">
        <v>64073</v>
      </c>
      <c r="C21031" t="str">
        <f>"8321800"</f>
        <v>8321800</v>
      </c>
      <c r="D21031" t="s">
        <v>64074</v>
      </c>
      <c r="E21031" t="s">
        <v>64075</v>
      </c>
      <c r="F21031" t="s">
        <v>64076</v>
      </c>
      <c r="I21031" t="s">
        <v>29</v>
      </c>
      <c r="J21031" t="s">
        <v>30</v>
      </c>
      <c r="K21031" t="s">
        <v>64077</v>
      </c>
      <c r="M21031" t="s">
        <v>50500</v>
      </c>
      <c r="N21031" t="str">
        <f>"1/18/2024 9:48:00 AM"</f>
        <v>1/18/2024 9:48:00 AM</v>
      </c>
      <c r="O21031" t="s">
        <v>64074</v>
      </c>
      <c r="T21031" t="s">
        <v>64075</v>
      </c>
    </row>
    <row r="21032" spans="1:20" x14ac:dyDescent="0.25">
      <c r="A21032" t="str">
        <f>"3057487"</f>
        <v>3057487</v>
      </c>
      <c r="B21032" t="s">
        <v>64078</v>
      </c>
      <c r="C21032" t="str">
        <f>"8321801"</f>
        <v>8321801</v>
      </c>
      <c r="D21032" t="s">
        <v>64079</v>
      </c>
      <c r="E21032" t="s">
        <v>475</v>
      </c>
      <c r="F21032" t="s">
        <v>64080</v>
      </c>
      <c r="I21032" t="s">
        <v>29</v>
      </c>
      <c r="J21032" t="s">
        <v>30</v>
      </c>
      <c r="K21032" t="s">
        <v>477</v>
      </c>
      <c r="M21032" t="s">
        <v>50500</v>
      </c>
      <c r="N21032" t="str">
        <f>"1/18/2024 9:54:00 AM"</f>
        <v>1/18/2024 9:54:00 AM</v>
      </c>
      <c r="O21032" t="s">
        <v>64079</v>
      </c>
      <c r="T21032" t="s">
        <v>475</v>
      </c>
    </row>
    <row r="21033" spans="1:20" x14ac:dyDescent="0.25">
      <c r="A21033" t="str">
        <f>"3043858"</f>
        <v>3043858</v>
      </c>
      <c r="B21033" t="s">
        <v>64081</v>
      </c>
      <c r="C21033" t="str">
        <f>"8321804"</f>
        <v>8321804</v>
      </c>
      <c r="D21033" t="s">
        <v>64082</v>
      </c>
      <c r="F21033" t="s">
        <v>45964</v>
      </c>
      <c r="I21033" t="s">
        <v>184</v>
      </c>
      <c r="J21033" t="s">
        <v>30</v>
      </c>
      <c r="K21033" t="s">
        <v>4269</v>
      </c>
      <c r="M21033" t="s">
        <v>50500</v>
      </c>
      <c r="N21033" t="str">
        <f>"1/19/2024 1:32:00 PM"</f>
        <v>1/19/2024 1:32:00 PM</v>
      </c>
      <c r="O21033" t="s">
        <v>64082</v>
      </c>
    </row>
    <row r="21034" spans="1:20" x14ac:dyDescent="0.25">
      <c r="A21034" t="str">
        <f>"3062743"</f>
        <v>3062743</v>
      </c>
      <c r="B21034" t="s">
        <v>64083</v>
      </c>
      <c r="C21034" t="str">
        <f>"8321805"</f>
        <v>8321805</v>
      </c>
      <c r="D21034" t="s">
        <v>64084</v>
      </c>
      <c r="E21034" t="s">
        <v>64085</v>
      </c>
      <c r="F21034" t="s">
        <v>64086</v>
      </c>
      <c r="I21034" t="s">
        <v>29</v>
      </c>
      <c r="J21034" t="s">
        <v>30</v>
      </c>
      <c r="K21034" t="s">
        <v>64087</v>
      </c>
      <c r="M21034" t="s">
        <v>50500</v>
      </c>
      <c r="N21034" t="str">
        <f>"1/19/2024 1:43:00 PM"</f>
        <v>1/19/2024 1:43:00 PM</v>
      </c>
      <c r="O21034" t="s">
        <v>64084</v>
      </c>
      <c r="T21034" t="s">
        <v>64085</v>
      </c>
    </row>
    <row r="21035" spans="1:20" x14ac:dyDescent="0.25">
      <c r="A21035" t="str">
        <f>"3049264"</f>
        <v>3049264</v>
      </c>
      <c r="B21035" t="s">
        <v>64088</v>
      </c>
      <c r="C21035" t="str">
        <f>"8321806"</f>
        <v>8321806</v>
      </c>
      <c r="D21035" t="str">
        <f>"YAMAOKA LARRY H TR/YAMAOKA ESTHER L TR"</f>
        <v>YAMAOKA LARRY H TR/YAMAOKA ESTHER L TR</v>
      </c>
      <c r="E21035" t="s">
        <v>64089</v>
      </c>
      <c r="F21035" t="s">
        <v>41182</v>
      </c>
      <c r="I21035" t="s">
        <v>41183</v>
      </c>
      <c r="J21035" t="s">
        <v>41184</v>
      </c>
      <c r="K21035" t="s">
        <v>41185</v>
      </c>
      <c r="M21035" t="s">
        <v>50500</v>
      </c>
      <c r="N21035" t="str">
        <f>"1/19/2024 1:55:00 PM"</f>
        <v>1/19/2024 1:55:00 PM</v>
      </c>
      <c r="O21035" t="str">
        <f>"YAMAOKA LARRY H TR/YAMAOKA ESTHER L TR"</f>
        <v>YAMAOKA LARRY H TR/YAMAOKA ESTHER L TR</v>
      </c>
      <c r="T21035" t="s">
        <v>64089</v>
      </c>
    </row>
    <row r="21036" spans="1:20" x14ac:dyDescent="0.25">
      <c r="A21036" t="str">
        <f>"3037557"</f>
        <v>3037557</v>
      </c>
      <c r="B21036" t="s">
        <v>64090</v>
      </c>
      <c r="C21036" t="str">
        <f>"8321807"</f>
        <v>8321807</v>
      </c>
      <c r="D21036" t="s">
        <v>64091</v>
      </c>
      <c r="E21036" t="s">
        <v>64092</v>
      </c>
      <c r="F21036" t="s">
        <v>64093</v>
      </c>
      <c r="I21036" t="s">
        <v>49</v>
      </c>
      <c r="J21036" t="s">
        <v>30</v>
      </c>
      <c r="K21036" t="s">
        <v>64094</v>
      </c>
      <c r="M21036" t="s">
        <v>50500</v>
      </c>
      <c r="N21036" t="str">
        <f>"1/19/2024 2:02:00 PM"</f>
        <v>1/19/2024 2:02:00 PM</v>
      </c>
      <c r="O21036" t="s">
        <v>64091</v>
      </c>
      <c r="T21036" t="s">
        <v>64092</v>
      </c>
    </row>
    <row r="21037" spans="1:20" x14ac:dyDescent="0.25">
      <c r="A21037" t="str">
        <f>"3076837"</f>
        <v>3076837</v>
      </c>
      <c r="B21037" t="s">
        <v>64095</v>
      </c>
      <c r="C21037" t="str">
        <f>"8321809"</f>
        <v>8321809</v>
      </c>
      <c r="D21037" t="s">
        <v>64096</v>
      </c>
      <c r="F21037" t="s">
        <v>64097</v>
      </c>
      <c r="I21037" t="s">
        <v>50856</v>
      </c>
      <c r="J21037" t="s">
        <v>30</v>
      </c>
      <c r="K21037" t="s">
        <v>64098</v>
      </c>
      <c r="M21037" t="s">
        <v>50500</v>
      </c>
      <c r="N21037" t="str">
        <f>"1/22/2024 11:02:00 AM"</f>
        <v>1/22/2024 11:02:00 AM</v>
      </c>
      <c r="O21037" t="s">
        <v>64096</v>
      </c>
    </row>
    <row r="21038" spans="1:20" x14ac:dyDescent="0.25">
      <c r="A21038" t="str">
        <f>"3060970"</f>
        <v>3060970</v>
      </c>
      <c r="B21038" t="s">
        <v>64099</v>
      </c>
      <c r="C21038" t="str">
        <f>"8317278"</f>
        <v>8317278</v>
      </c>
      <c r="D21038" t="s">
        <v>64100</v>
      </c>
      <c r="E21038" t="s">
        <v>64101</v>
      </c>
      <c r="F21038" t="s">
        <v>64102</v>
      </c>
      <c r="I21038" t="s">
        <v>2071</v>
      </c>
      <c r="J21038" t="s">
        <v>30</v>
      </c>
      <c r="K21038" t="s">
        <v>23610</v>
      </c>
      <c r="M21038" t="s">
        <v>50500</v>
      </c>
      <c r="N21038" t="str">
        <f>"1/22/2024 11:12:00 AM"</f>
        <v>1/22/2024 11:12:00 AM</v>
      </c>
      <c r="O21038" t="s">
        <v>64100</v>
      </c>
      <c r="T21038" t="s">
        <v>64101</v>
      </c>
    </row>
    <row r="21039" spans="1:20" x14ac:dyDescent="0.25">
      <c r="A21039" t="str">
        <f>"3066946"</f>
        <v>3066946</v>
      </c>
      <c r="B21039" t="s">
        <v>64103</v>
      </c>
      <c r="C21039" t="str">
        <f>"8321810"</f>
        <v>8321810</v>
      </c>
      <c r="D21039" t="s">
        <v>64104</v>
      </c>
      <c r="E21039" t="s">
        <v>64105</v>
      </c>
      <c r="F21039" t="s">
        <v>64106</v>
      </c>
      <c r="I21039" t="s">
        <v>29</v>
      </c>
      <c r="J21039" t="s">
        <v>30</v>
      </c>
      <c r="K21039" t="s">
        <v>13727</v>
      </c>
      <c r="M21039" t="s">
        <v>50500</v>
      </c>
      <c r="N21039" t="str">
        <f>"1/22/2024 11:20:00 AM"</f>
        <v>1/22/2024 11:20:00 AM</v>
      </c>
      <c r="O21039" t="s">
        <v>64104</v>
      </c>
      <c r="T21039" t="s">
        <v>64105</v>
      </c>
    </row>
    <row r="21040" spans="1:20" x14ac:dyDescent="0.25">
      <c r="A21040" t="str">
        <f>"3064508"</f>
        <v>3064508</v>
      </c>
      <c r="B21040" t="s">
        <v>64107</v>
      </c>
      <c r="C21040" t="str">
        <f>"8309148"</f>
        <v>8309148</v>
      </c>
      <c r="D21040" t="s">
        <v>64024</v>
      </c>
      <c r="F21040" t="s">
        <v>64025</v>
      </c>
      <c r="I21040" t="s">
        <v>964</v>
      </c>
      <c r="J21040" t="s">
        <v>30</v>
      </c>
      <c r="K21040" t="s">
        <v>64026</v>
      </c>
      <c r="M21040" t="s">
        <v>50621</v>
      </c>
      <c r="N21040" t="str">
        <f>"1/22/2024 12:07:00 PM"</f>
        <v>1/22/2024 12:07:00 PM</v>
      </c>
      <c r="O21040" t="s">
        <v>64024</v>
      </c>
    </row>
    <row r="21041" spans="1:20" x14ac:dyDescent="0.25">
      <c r="A21041" t="str">
        <f>"3064503"</f>
        <v>3064503</v>
      </c>
      <c r="B21041" t="s">
        <v>64108</v>
      </c>
      <c r="C21041" t="str">
        <f>"8309148"</f>
        <v>8309148</v>
      </c>
      <c r="D21041" t="s">
        <v>64024</v>
      </c>
      <c r="F21041" t="s">
        <v>64025</v>
      </c>
      <c r="I21041" t="s">
        <v>964</v>
      </c>
      <c r="J21041" t="s">
        <v>30</v>
      </c>
      <c r="K21041" t="s">
        <v>64026</v>
      </c>
      <c r="M21041" t="s">
        <v>50621</v>
      </c>
      <c r="N21041" t="str">
        <f>"1/22/2024 12:07:00 PM"</f>
        <v>1/22/2024 12:07:00 PM</v>
      </c>
      <c r="O21041" t="s">
        <v>64024</v>
      </c>
    </row>
    <row r="21042" spans="1:20" x14ac:dyDescent="0.25">
      <c r="A21042" t="str">
        <f>"3062746"</f>
        <v>3062746</v>
      </c>
      <c r="B21042" t="s">
        <v>64109</v>
      </c>
      <c r="C21042" t="str">
        <f>"8321811"</f>
        <v>8321811</v>
      </c>
      <c r="D21042" t="s">
        <v>64110</v>
      </c>
      <c r="F21042" t="s">
        <v>64111</v>
      </c>
      <c r="I21042" t="s">
        <v>184</v>
      </c>
      <c r="J21042" t="s">
        <v>30</v>
      </c>
      <c r="K21042" t="s">
        <v>48423</v>
      </c>
      <c r="M21042" t="s">
        <v>50500</v>
      </c>
      <c r="N21042" t="str">
        <f>"1/22/2024 11:27:00 AM"</f>
        <v>1/22/2024 11:27:00 AM</v>
      </c>
      <c r="O21042" t="s">
        <v>64110</v>
      </c>
    </row>
    <row r="21043" spans="1:20" x14ac:dyDescent="0.25">
      <c r="A21043" t="str">
        <f>"3058917"</f>
        <v>3058917</v>
      </c>
      <c r="B21043" t="s">
        <v>64112</v>
      </c>
      <c r="C21043" t="str">
        <f>"8321812"</f>
        <v>8321812</v>
      </c>
      <c r="D21043" t="s">
        <v>64113</v>
      </c>
      <c r="F21043" t="s">
        <v>64114</v>
      </c>
      <c r="I21043" t="s">
        <v>29</v>
      </c>
      <c r="J21043" t="s">
        <v>30</v>
      </c>
      <c r="K21043" t="s">
        <v>63480</v>
      </c>
      <c r="M21043" t="s">
        <v>50500</v>
      </c>
      <c r="N21043" t="str">
        <f>"1/22/2024 11:35:00 AM"</f>
        <v>1/22/2024 11:35:00 AM</v>
      </c>
      <c r="O21043" t="s">
        <v>64113</v>
      </c>
    </row>
    <row r="21044" spans="1:20" x14ac:dyDescent="0.25">
      <c r="A21044" t="str">
        <f>"3076572"</f>
        <v>3076572</v>
      </c>
      <c r="B21044" t="s">
        <v>64115</v>
      </c>
      <c r="C21044" t="str">
        <f>"8305885"</f>
        <v>8305885</v>
      </c>
      <c r="D21044" t="s">
        <v>64116</v>
      </c>
      <c r="F21044" t="s">
        <v>64117</v>
      </c>
      <c r="I21044" t="s">
        <v>471</v>
      </c>
      <c r="J21044" t="s">
        <v>30</v>
      </c>
      <c r="K21044" t="str">
        <f>"27103"</f>
        <v>27103</v>
      </c>
      <c r="M21044" t="s">
        <v>50621</v>
      </c>
      <c r="N21044" t="str">
        <f>"1/22/2024 12:29:00 PM"</f>
        <v>1/22/2024 12:29:00 PM</v>
      </c>
      <c r="O21044" t="s">
        <v>64116</v>
      </c>
    </row>
    <row r="21045" spans="1:20" x14ac:dyDescent="0.25">
      <c r="A21045" t="str">
        <f>"3041555"</f>
        <v>3041555</v>
      </c>
      <c r="B21045" t="s">
        <v>64118</v>
      </c>
      <c r="C21045" t="str">
        <f>"82526355"</f>
        <v>82526355</v>
      </c>
      <c r="D21045" t="s">
        <v>64119</v>
      </c>
      <c r="E21045" t="s">
        <v>64120</v>
      </c>
      <c r="F21045" t="s">
        <v>64121</v>
      </c>
      <c r="I21045" t="s">
        <v>2071</v>
      </c>
      <c r="J21045" t="s">
        <v>30</v>
      </c>
      <c r="K21045" t="s">
        <v>185</v>
      </c>
      <c r="M21045" t="s">
        <v>50621</v>
      </c>
      <c r="N21045" t="str">
        <f>"1/22/2024 12:29:00 PM"</f>
        <v>1/22/2024 12:29:00 PM</v>
      </c>
      <c r="O21045" t="s">
        <v>64119</v>
      </c>
      <c r="T21045" t="s">
        <v>64120</v>
      </c>
    </row>
    <row r="21046" spans="1:20" x14ac:dyDescent="0.25">
      <c r="A21046" t="str">
        <f>"3072022"</f>
        <v>3072022</v>
      </c>
      <c r="B21046" t="s">
        <v>64122</v>
      </c>
      <c r="C21046" t="str">
        <f>"8304834"</f>
        <v>8304834</v>
      </c>
      <c r="D21046" t="s">
        <v>64123</v>
      </c>
      <c r="F21046" t="s">
        <v>64124</v>
      </c>
      <c r="I21046" t="s">
        <v>64125</v>
      </c>
      <c r="J21046" t="s">
        <v>39245</v>
      </c>
      <c r="K21046" t="str">
        <f>"55416"</f>
        <v>55416</v>
      </c>
      <c r="M21046" t="s">
        <v>50621</v>
      </c>
      <c r="N21046" t="str">
        <f>"1/22/2024 12:31:00 PM"</f>
        <v>1/22/2024 12:31:00 PM</v>
      </c>
      <c r="O21046" t="s">
        <v>64123</v>
      </c>
    </row>
    <row r="21047" spans="1:20" x14ac:dyDescent="0.25">
      <c r="A21047" t="str">
        <f>"3049131"</f>
        <v>3049131</v>
      </c>
      <c r="B21047" t="s">
        <v>64126</v>
      </c>
      <c r="C21047" t="str">
        <f>"82533002"</f>
        <v>82533002</v>
      </c>
      <c r="D21047" t="s">
        <v>64127</v>
      </c>
      <c r="F21047" t="s">
        <v>23764</v>
      </c>
      <c r="I21047" t="s">
        <v>29</v>
      </c>
      <c r="J21047" t="s">
        <v>30</v>
      </c>
      <c r="K21047" t="s">
        <v>31</v>
      </c>
      <c r="M21047" t="s">
        <v>50621</v>
      </c>
      <c r="N21047" t="str">
        <f>"1/22/2024 1:50:00 PM"</f>
        <v>1/22/2024 1:50:00 PM</v>
      </c>
      <c r="O21047" t="s">
        <v>64127</v>
      </c>
    </row>
    <row r="21048" spans="1:20" x14ac:dyDescent="0.25">
      <c r="A21048" t="str">
        <f>"3038107"</f>
        <v>3038107</v>
      </c>
      <c r="B21048" t="s">
        <v>64128</v>
      </c>
      <c r="C21048" t="str">
        <f>"8301700"</f>
        <v>8301700</v>
      </c>
      <c r="D21048" t="s">
        <v>64129</v>
      </c>
      <c r="F21048" t="s">
        <v>23130</v>
      </c>
      <c r="I21048" t="s">
        <v>29</v>
      </c>
      <c r="J21048" t="s">
        <v>30</v>
      </c>
      <c r="K21048" t="str">
        <f>"27028"</f>
        <v>27028</v>
      </c>
      <c r="M21048" t="s">
        <v>50621</v>
      </c>
      <c r="N21048" t="str">
        <f>"1/22/2024 3:43:00 PM"</f>
        <v>1/22/2024 3:43:00 PM</v>
      </c>
      <c r="O21048" t="s">
        <v>64129</v>
      </c>
    </row>
    <row r="21049" spans="1:20" x14ac:dyDescent="0.25">
      <c r="A21049" t="str">
        <f>"3040219"</f>
        <v>3040219</v>
      </c>
      <c r="B21049" t="s">
        <v>64130</v>
      </c>
      <c r="C21049" t="str">
        <f>"8301700"</f>
        <v>8301700</v>
      </c>
      <c r="D21049" t="s">
        <v>64129</v>
      </c>
      <c r="F21049" t="s">
        <v>23130</v>
      </c>
      <c r="I21049" t="s">
        <v>29</v>
      </c>
      <c r="J21049" t="s">
        <v>30</v>
      </c>
      <c r="K21049" t="str">
        <f>"27028"</f>
        <v>27028</v>
      </c>
      <c r="M21049" t="s">
        <v>50621</v>
      </c>
      <c r="N21049" t="str">
        <f>"1/22/2024 3:43:00 PM"</f>
        <v>1/22/2024 3:43:00 PM</v>
      </c>
      <c r="O21049" t="s">
        <v>64129</v>
      </c>
    </row>
    <row r="21050" spans="1:20" x14ac:dyDescent="0.25">
      <c r="A21050" t="str">
        <f>"3040099"</f>
        <v>3040099</v>
      </c>
      <c r="B21050" t="s">
        <v>64131</v>
      </c>
      <c r="C21050" t="str">
        <f>"8301700"</f>
        <v>8301700</v>
      </c>
      <c r="D21050" t="s">
        <v>64129</v>
      </c>
      <c r="F21050" t="s">
        <v>23130</v>
      </c>
      <c r="I21050" t="s">
        <v>29</v>
      </c>
      <c r="J21050" t="s">
        <v>30</v>
      </c>
      <c r="K21050" t="str">
        <f>"27028"</f>
        <v>27028</v>
      </c>
      <c r="M21050" t="s">
        <v>50621</v>
      </c>
      <c r="N21050" t="str">
        <f>"1/22/2024 3:43:00 PM"</f>
        <v>1/22/2024 3:43:00 PM</v>
      </c>
      <c r="O21050" t="s">
        <v>64129</v>
      </c>
    </row>
    <row r="21051" spans="1:20" x14ac:dyDescent="0.25">
      <c r="A21051" t="str">
        <f>"3056377"</f>
        <v>3056377</v>
      </c>
      <c r="B21051" t="s">
        <v>64132</v>
      </c>
      <c r="C21051" t="str">
        <f>"31850000"</f>
        <v>31850000</v>
      </c>
      <c r="D21051" t="s">
        <v>64133</v>
      </c>
      <c r="F21051" t="s">
        <v>64134</v>
      </c>
      <c r="I21051" t="s">
        <v>14865</v>
      </c>
      <c r="J21051" t="s">
        <v>30</v>
      </c>
      <c r="K21051" t="s">
        <v>64135</v>
      </c>
      <c r="M21051" t="s">
        <v>50500</v>
      </c>
      <c r="N21051" t="str">
        <f>"1/23/2024 10:14:00 AM"</f>
        <v>1/23/2024 10:14:00 AM</v>
      </c>
      <c r="O21051" t="s">
        <v>64133</v>
      </c>
    </row>
    <row r="21052" spans="1:20" x14ac:dyDescent="0.25">
      <c r="A21052" t="str">
        <f>"3051600"</f>
        <v>3051600</v>
      </c>
      <c r="B21052" t="s">
        <v>64136</v>
      </c>
      <c r="C21052" t="str">
        <f>"8321816"</f>
        <v>8321816</v>
      </c>
      <c r="D21052" t="s">
        <v>40960</v>
      </c>
      <c r="E21052" t="s">
        <v>64137</v>
      </c>
      <c r="F21052" t="s">
        <v>64138</v>
      </c>
      <c r="I21052" t="s">
        <v>29</v>
      </c>
      <c r="J21052" t="s">
        <v>30</v>
      </c>
      <c r="K21052" t="s">
        <v>54835</v>
      </c>
      <c r="M21052" t="s">
        <v>50500</v>
      </c>
      <c r="N21052" t="str">
        <f>"1/23/2024 2:54:00 PM"</f>
        <v>1/23/2024 2:54:00 PM</v>
      </c>
      <c r="O21052" t="s">
        <v>40960</v>
      </c>
      <c r="T21052" t="s">
        <v>64137</v>
      </c>
    </row>
    <row r="21053" spans="1:20" x14ac:dyDescent="0.25">
      <c r="A21053" t="str">
        <f>"3051601"</f>
        <v>3051601</v>
      </c>
      <c r="B21053" t="s">
        <v>64139</v>
      </c>
      <c r="C21053" t="str">
        <f>"8321816"</f>
        <v>8321816</v>
      </c>
      <c r="D21053" t="s">
        <v>40960</v>
      </c>
      <c r="E21053" t="s">
        <v>64137</v>
      </c>
      <c r="F21053" t="s">
        <v>64138</v>
      </c>
      <c r="I21053" t="s">
        <v>29</v>
      </c>
      <c r="J21053" t="s">
        <v>30</v>
      </c>
      <c r="K21053" t="s">
        <v>54835</v>
      </c>
      <c r="M21053" t="s">
        <v>50500</v>
      </c>
      <c r="N21053" t="str">
        <f>"1/23/2024 2:54:00 PM"</f>
        <v>1/23/2024 2:54:00 PM</v>
      </c>
      <c r="O21053" t="s">
        <v>40960</v>
      </c>
      <c r="T21053" t="s">
        <v>64137</v>
      </c>
    </row>
    <row r="21054" spans="1:20" x14ac:dyDescent="0.25">
      <c r="A21054" t="str">
        <f>"3055845"</f>
        <v>3055845</v>
      </c>
      <c r="B21054" t="s">
        <v>64140</v>
      </c>
      <c r="C21054" t="str">
        <f>"8321817"</f>
        <v>8321817</v>
      </c>
      <c r="D21054" t="s">
        <v>64141</v>
      </c>
      <c r="E21054" t="s">
        <v>64142</v>
      </c>
      <c r="F21054" t="s">
        <v>54019</v>
      </c>
      <c r="I21054" t="s">
        <v>9580</v>
      </c>
      <c r="J21054" t="s">
        <v>30</v>
      </c>
      <c r="K21054" t="s">
        <v>54020</v>
      </c>
      <c r="M21054" t="s">
        <v>50500</v>
      </c>
      <c r="N21054" t="str">
        <f>"1/24/2024 8:20:00 AM"</f>
        <v>1/24/2024 8:20:00 AM</v>
      </c>
      <c r="O21054" t="s">
        <v>64141</v>
      </c>
      <c r="T21054" t="s">
        <v>64142</v>
      </c>
    </row>
    <row r="21055" spans="1:20" x14ac:dyDescent="0.25">
      <c r="A21055" t="str">
        <f>"3078890"</f>
        <v>3078890</v>
      </c>
      <c r="B21055" t="s">
        <v>64143</v>
      </c>
      <c r="C21055" t="str">
        <f>"8321817"</f>
        <v>8321817</v>
      </c>
      <c r="D21055" t="s">
        <v>64141</v>
      </c>
      <c r="E21055" t="s">
        <v>64142</v>
      </c>
      <c r="F21055" t="s">
        <v>54019</v>
      </c>
      <c r="I21055" t="s">
        <v>9580</v>
      </c>
      <c r="J21055" t="s">
        <v>30</v>
      </c>
      <c r="K21055" t="s">
        <v>54020</v>
      </c>
      <c r="M21055" t="s">
        <v>50500</v>
      </c>
      <c r="N21055" t="str">
        <f>"1/24/2024 8:20:00 AM"</f>
        <v>1/24/2024 8:20:00 AM</v>
      </c>
      <c r="O21055" t="s">
        <v>64141</v>
      </c>
      <c r="T21055" t="s">
        <v>64142</v>
      </c>
    </row>
    <row r="21056" spans="1:20" x14ac:dyDescent="0.25">
      <c r="A21056" t="str">
        <f>"3038555"</f>
        <v>3038555</v>
      </c>
      <c r="B21056" t="s">
        <v>64144</v>
      </c>
      <c r="C21056" t="str">
        <f>"8321818"</f>
        <v>8321818</v>
      </c>
      <c r="D21056" t="s">
        <v>64145</v>
      </c>
      <c r="F21056" t="s">
        <v>64146</v>
      </c>
      <c r="I21056" t="s">
        <v>29</v>
      </c>
      <c r="J21056" t="s">
        <v>30</v>
      </c>
      <c r="K21056" t="s">
        <v>57135</v>
      </c>
      <c r="M21056" t="s">
        <v>50500</v>
      </c>
      <c r="N21056" t="str">
        <f>"1/24/2024 8:34:00 AM"</f>
        <v>1/24/2024 8:34:00 AM</v>
      </c>
      <c r="O21056" t="s">
        <v>64145</v>
      </c>
    </row>
    <row r="21057" spans="1:20" x14ac:dyDescent="0.25">
      <c r="A21057" t="str">
        <f>"3054015"</f>
        <v>3054015</v>
      </c>
      <c r="B21057" t="s">
        <v>64147</v>
      </c>
      <c r="C21057" t="str">
        <f>"8310831"</f>
        <v>8310831</v>
      </c>
      <c r="D21057" t="s">
        <v>64148</v>
      </c>
      <c r="F21057" t="s">
        <v>64149</v>
      </c>
      <c r="I21057" t="s">
        <v>3196</v>
      </c>
      <c r="J21057" t="s">
        <v>30</v>
      </c>
      <c r="K21057" t="str">
        <f>"28227"</f>
        <v>28227</v>
      </c>
      <c r="M21057" t="s">
        <v>18470</v>
      </c>
      <c r="N21057" t="str">
        <f>"1/24/2024 12:35:00 PM"</f>
        <v>1/24/2024 12:35:00 PM</v>
      </c>
      <c r="O21057" t="s">
        <v>64148</v>
      </c>
    </row>
    <row r="21058" spans="1:20" x14ac:dyDescent="0.25">
      <c r="A21058" t="str">
        <f>"3062653"</f>
        <v>3062653</v>
      </c>
      <c r="B21058" t="s">
        <v>64150</v>
      </c>
      <c r="C21058" t="str">
        <f>"8321819"</f>
        <v>8321819</v>
      </c>
      <c r="D21058" t="s">
        <v>64151</v>
      </c>
      <c r="F21058" t="s">
        <v>64152</v>
      </c>
      <c r="I21058" t="s">
        <v>184</v>
      </c>
      <c r="J21058" t="s">
        <v>30</v>
      </c>
      <c r="K21058" t="s">
        <v>64153</v>
      </c>
      <c r="M21058" t="s">
        <v>50500</v>
      </c>
      <c r="N21058" t="str">
        <f>"1/24/2024 2:58:00 PM"</f>
        <v>1/24/2024 2:58:00 PM</v>
      </c>
      <c r="O21058" t="s">
        <v>64151</v>
      </c>
    </row>
    <row r="21059" spans="1:20" x14ac:dyDescent="0.25">
      <c r="A21059" t="str">
        <f>"3063496"</f>
        <v>3063496</v>
      </c>
      <c r="B21059" t="s">
        <v>64154</v>
      </c>
      <c r="C21059" t="str">
        <f>"8321820"</f>
        <v>8321820</v>
      </c>
      <c r="D21059" t="s">
        <v>64155</v>
      </c>
      <c r="E21059" t="s">
        <v>64156</v>
      </c>
      <c r="F21059" t="s">
        <v>64157</v>
      </c>
      <c r="I21059" t="s">
        <v>29</v>
      </c>
      <c r="J21059" t="s">
        <v>30</v>
      </c>
      <c r="K21059" t="s">
        <v>53637</v>
      </c>
      <c r="M21059" t="s">
        <v>50500</v>
      </c>
      <c r="N21059" t="str">
        <f>"1/24/2024 3:04:00 PM"</f>
        <v>1/24/2024 3:04:00 PM</v>
      </c>
      <c r="O21059" t="s">
        <v>64155</v>
      </c>
      <c r="T21059" t="s">
        <v>64156</v>
      </c>
    </row>
    <row r="21060" spans="1:20" x14ac:dyDescent="0.25">
      <c r="A21060" t="str">
        <f>"3041094"</f>
        <v>3041094</v>
      </c>
      <c r="B21060" t="s">
        <v>64158</v>
      </c>
      <c r="C21060" t="str">
        <f>"8318089"</f>
        <v>8318089</v>
      </c>
      <c r="D21060" t="str">
        <f>"FORMAN MICHAEL H/STEPHANIE T"</f>
        <v>FORMAN MICHAEL H/STEPHANIE T</v>
      </c>
      <c r="E21060" t="s">
        <v>64159</v>
      </c>
      <c r="F21060" t="s">
        <v>64160</v>
      </c>
      <c r="I21060" t="s">
        <v>64161</v>
      </c>
      <c r="J21060" t="s">
        <v>11697</v>
      </c>
      <c r="K21060" t="s">
        <v>64162</v>
      </c>
      <c r="M21060" t="s">
        <v>50621</v>
      </c>
      <c r="N21060" t="str">
        <f>"1/22/2024 2:03:00 PM"</f>
        <v>1/22/2024 2:03:00 PM</v>
      </c>
      <c r="O21060" t="str">
        <f>"FORMAN MICHAEL H/STEPHANIE T"</f>
        <v>FORMAN MICHAEL H/STEPHANIE T</v>
      </c>
      <c r="T21060" t="s">
        <v>64159</v>
      </c>
    </row>
    <row r="21061" spans="1:20" x14ac:dyDescent="0.25">
      <c r="A21061" t="str">
        <f>"3049399"</f>
        <v>3049399</v>
      </c>
      <c r="B21061" t="s">
        <v>64163</v>
      </c>
      <c r="C21061" t="str">
        <f>"8317114"</f>
        <v>8317114</v>
      </c>
      <c r="D21061" t="s">
        <v>64164</v>
      </c>
      <c r="F21061" t="s">
        <v>64165</v>
      </c>
      <c r="I21061" t="s">
        <v>49972</v>
      </c>
      <c r="J21061" t="s">
        <v>11346</v>
      </c>
      <c r="K21061" t="s">
        <v>64166</v>
      </c>
      <c r="M21061" t="s">
        <v>50621</v>
      </c>
      <c r="N21061" t="str">
        <f>"1/22/2024 2:12:00 PM"</f>
        <v>1/22/2024 2:12:00 PM</v>
      </c>
      <c r="O21061" t="s">
        <v>64164</v>
      </c>
    </row>
    <row r="21062" spans="1:20" x14ac:dyDescent="0.25">
      <c r="A21062" t="str">
        <f>"3049324"</f>
        <v>3049324</v>
      </c>
      <c r="B21062" t="s">
        <v>64167</v>
      </c>
      <c r="C21062" t="str">
        <f t="shared" ref="C21062:C21071" si="326">"8317471"</f>
        <v>8317471</v>
      </c>
      <c r="D21062" t="s">
        <v>64168</v>
      </c>
      <c r="F21062" t="s">
        <v>51260</v>
      </c>
      <c r="I21062" t="s">
        <v>29</v>
      </c>
      <c r="J21062" t="s">
        <v>30</v>
      </c>
      <c r="K21062" t="s">
        <v>45871</v>
      </c>
      <c r="M21062" t="s">
        <v>50621</v>
      </c>
      <c r="N21062" t="str">
        <f t="shared" ref="N21062:N21071" si="327">"1/22/2024 2:16:00 PM"</f>
        <v>1/22/2024 2:16:00 PM</v>
      </c>
      <c r="O21062" t="s">
        <v>64168</v>
      </c>
    </row>
    <row r="21063" spans="1:20" x14ac:dyDescent="0.25">
      <c r="A21063" t="str">
        <f>"3048772"</f>
        <v>3048772</v>
      </c>
      <c r="B21063" t="s">
        <v>64169</v>
      </c>
      <c r="C21063" t="str">
        <f t="shared" si="326"/>
        <v>8317471</v>
      </c>
      <c r="D21063" t="s">
        <v>64168</v>
      </c>
      <c r="F21063" t="s">
        <v>51260</v>
      </c>
      <c r="I21063" t="s">
        <v>29</v>
      </c>
      <c r="J21063" t="s">
        <v>30</v>
      </c>
      <c r="K21063" t="s">
        <v>45871</v>
      </c>
      <c r="M21063" t="s">
        <v>50621</v>
      </c>
      <c r="N21063" t="str">
        <f t="shared" si="327"/>
        <v>1/22/2024 2:16:00 PM</v>
      </c>
      <c r="O21063" t="s">
        <v>64168</v>
      </c>
    </row>
    <row r="21064" spans="1:20" x14ac:dyDescent="0.25">
      <c r="A21064" t="str">
        <f>"3048435"</f>
        <v>3048435</v>
      </c>
      <c r="B21064" t="s">
        <v>64170</v>
      </c>
      <c r="C21064" t="str">
        <f t="shared" si="326"/>
        <v>8317471</v>
      </c>
      <c r="D21064" t="s">
        <v>64168</v>
      </c>
      <c r="F21064" t="s">
        <v>51260</v>
      </c>
      <c r="I21064" t="s">
        <v>29</v>
      </c>
      <c r="J21064" t="s">
        <v>30</v>
      </c>
      <c r="K21064" t="s">
        <v>45871</v>
      </c>
      <c r="M21064" t="s">
        <v>50621</v>
      </c>
      <c r="N21064" t="str">
        <f t="shared" si="327"/>
        <v>1/22/2024 2:16:00 PM</v>
      </c>
      <c r="O21064" t="s">
        <v>64168</v>
      </c>
    </row>
    <row r="21065" spans="1:20" x14ac:dyDescent="0.25">
      <c r="A21065" t="str">
        <f>"3048453"</f>
        <v>3048453</v>
      </c>
      <c r="B21065" t="s">
        <v>64171</v>
      </c>
      <c r="C21065" t="str">
        <f t="shared" si="326"/>
        <v>8317471</v>
      </c>
      <c r="D21065" t="s">
        <v>64168</v>
      </c>
      <c r="F21065" t="s">
        <v>51260</v>
      </c>
      <c r="I21065" t="s">
        <v>29</v>
      </c>
      <c r="J21065" t="s">
        <v>30</v>
      </c>
      <c r="K21065" t="s">
        <v>45871</v>
      </c>
      <c r="M21065" t="s">
        <v>50621</v>
      </c>
      <c r="N21065" t="str">
        <f t="shared" si="327"/>
        <v>1/22/2024 2:16:00 PM</v>
      </c>
      <c r="O21065" t="s">
        <v>64168</v>
      </c>
    </row>
    <row r="21066" spans="1:20" x14ac:dyDescent="0.25">
      <c r="A21066" t="str">
        <f>"3048464"</f>
        <v>3048464</v>
      </c>
      <c r="B21066" t="s">
        <v>64172</v>
      </c>
      <c r="C21066" t="str">
        <f t="shared" si="326"/>
        <v>8317471</v>
      </c>
      <c r="D21066" t="s">
        <v>64168</v>
      </c>
      <c r="F21066" t="s">
        <v>51260</v>
      </c>
      <c r="I21066" t="s">
        <v>29</v>
      </c>
      <c r="J21066" t="s">
        <v>30</v>
      </c>
      <c r="K21066" t="s">
        <v>45871</v>
      </c>
      <c r="M21066" t="s">
        <v>50621</v>
      </c>
      <c r="N21066" t="str">
        <f t="shared" si="327"/>
        <v>1/22/2024 2:16:00 PM</v>
      </c>
      <c r="O21066" t="s">
        <v>64168</v>
      </c>
    </row>
    <row r="21067" spans="1:20" x14ac:dyDescent="0.25">
      <c r="A21067" t="str">
        <f>"3052189"</f>
        <v>3052189</v>
      </c>
      <c r="B21067" t="s">
        <v>64173</v>
      </c>
      <c r="C21067" t="str">
        <f t="shared" si="326"/>
        <v>8317471</v>
      </c>
      <c r="D21067" t="s">
        <v>64168</v>
      </c>
      <c r="F21067" t="s">
        <v>51260</v>
      </c>
      <c r="I21067" t="s">
        <v>29</v>
      </c>
      <c r="J21067" t="s">
        <v>30</v>
      </c>
      <c r="K21067" t="s">
        <v>45871</v>
      </c>
      <c r="M21067" t="s">
        <v>50621</v>
      </c>
      <c r="N21067" t="str">
        <f t="shared" si="327"/>
        <v>1/22/2024 2:16:00 PM</v>
      </c>
      <c r="O21067" t="s">
        <v>64168</v>
      </c>
    </row>
    <row r="21068" spans="1:20" x14ac:dyDescent="0.25">
      <c r="A21068" t="str">
        <f>"3052934"</f>
        <v>3052934</v>
      </c>
      <c r="B21068" t="s">
        <v>64174</v>
      </c>
      <c r="C21068" t="str">
        <f t="shared" si="326"/>
        <v>8317471</v>
      </c>
      <c r="D21068" t="s">
        <v>64168</v>
      </c>
      <c r="F21068" t="s">
        <v>51260</v>
      </c>
      <c r="I21068" t="s">
        <v>29</v>
      </c>
      <c r="J21068" t="s">
        <v>30</v>
      </c>
      <c r="K21068" t="s">
        <v>45871</v>
      </c>
      <c r="M21068" t="s">
        <v>50621</v>
      </c>
      <c r="N21068" t="str">
        <f t="shared" si="327"/>
        <v>1/22/2024 2:16:00 PM</v>
      </c>
      <c r="O21068" t="s">
        <v>64168</v>
      </c>
    </row>
    <row r="21069" spans="1:20" x14ac:dyDescent="0.25">
      <c r="A21069" t="str">
        <f>"3058642"</f>
        <v>3058642</v>
      </c>
      <c r="B21069" t="s">
        <v>64175</v>
      </c>
      <c r="C21069" t="str">
        <f t="shared" si="326"/>
        <v>8317471</v>
      </c>
      <c r="D21069" t="s">
        <v>64168</v>
      </c>
      <c r="F21069" t="s">
        <v>51260</v>
      </c>
      <c r="I21069" t="s">
        <v>29</v>
      </c>
      <c r="J21069" t="s">
        <v>30</v>
      </c>
      <c r="K21069" t="s">
        <v>45871</v>
      </c>
      <c r="M21069" t="s">
        <v>50621</v>
      </c>
      <c r="N21069" t="str">
        <f t="shared" si="327"/>
        <v>1/22/2024 2:16:00 PM</v>
      </c>
      <c r="O21069" t="s">
        <v>64168</v>
      </c>
    </row>
    <row r="21070" spans="1:20" x14ac:dyDescent="0.25">
      <c r="A21070" t="str">
        <f>"3058677"</f>
        <v>3058677</v>
      </c>
      <c r="B21070" t="s">
        <v>64176</v>
      </c>
      <c r="C21070" t="str">
        <f t="shared" si="326"/>
        <v>8317471</v>
      </c>
      <c r="D21070" t="s">
        <v>64168</v>
      </c>
      <c r="F21070" t="s">
        <v>51260</v>
      </c>
      <c r="I21070" t="s">
        <v>29</v>
      </c>
      <c r="J21070" t="s">
        <v>30</v>
      </c>
      <c r="K21070" t="s">
        <v>45871</v>
      </c>
      <c r="M21070" t="s">
        <v>50621</v>
      </c>
      <c r="N21070" t="str">
        <f t="shared" si="327"/>
        <v>1/22/2024 2:16:00 PM</v>
      </c>
      <c r="O21070" t="s">
        <v>64168</v>
      </c>
    </row>
    <row r="21071" spans="1:20" x14ac:dyDescent="0.25">
      <c r="A21071" t="str">
        <f>"3062047"</f>
        <v>3062047</v>
      </c>
      <c r="B21071" t="s">
        <v>64177</v>
      </c>
      <c r="C21071" t="str">
        <f t="shared" si="326"/>
        <v>8317471</v>
      </c>
      <c r="D21071" t="s">
        <v>64168</v>
      </c>
      <c r="F21071" t="s">
        <v>51260</v>
      </c>
      <c r="I21071" t="s">
        <v>29</v>
      </c>
      <c r="J21071" t="s">
        <v>30</v>
      </c>
      <c r="K21071" t="s">
        <v>45871</v>
      </c>
      <c r="M21071" t="s">
        <v>50621</v>
      </c>
      <c r="N21071" t="str">
        <f t="shared" si="327"/>
        <v>1/22/2024 2:16:00 PM</v>
      </c>
      <c r="O21071" t="s">
        <v>64168</v>
      </c>
    </row>
    <row r="21072" spans="1:20" x14ac:dyDescent="0.25">
      <c r="A21072" t="str">
        <f>"3043304"</f>
        <v>3043304</v>
      </c>
      <c r="B21072" t="s">
        <v>64178</v>
      </c>
      <c r="C21072" t="str">
        <f>"82527377"</f>
        <v>82527377</v>
      </c>
      <c r="D21072" t="s">
        <v>64179</v>
      </c>
      <c r="F21072" t="s">
        <v>64180</v>
      </c>
      <c r="I21072" t="s">
        <v>29</v>
      </c>
      <c r="J21072" t="s">
        <v>30</v>
      </c>
      <c r="K21072" t="s">
        <v>31</v>
      </c>
      <c r="M21072" t="s">
        <v>50621</v>
      </c>
      <c r="N21072" t="str">
        <f>"1/22/2024 2:21:00 PM"</f>
        <v>1/22/2024 2:21:00 PM</v>
      </c>
      <c r="O21072" t="s">
        <v>64179</v>
      </c>
    </row>
    <row r="21073" spans="1:20" x14ac:dyDescent="0.25">
      <c r="A21073" t="str">
        <f>"3038352"</f>
        <v>3038352</v>
      </c>
      <c r="B21073" t="s">
        <v>64181</v>
      </c>
      <c r="C21073" t="str">
        <f>"8305426"</f>
        <v>8305426</v>
      </c>
      <c r="D21073" t="s">
        <v>64182</v>
      </c>
      <c r="F21073" t="s">
        <v>58730</v>
      </c>
      <c r="I21073" t="s">
        <v>29</v>
      </c>
      <c r="J21073" t="s">
        <v>30</v>
      </c>
      <c r="K21073" t="s">
        <v>42356</v>
      </c>
      <c r="M21073" t="s">
        <v>50500</v>
      </c>
      <c r="N21073" t="str">
        <f>"1/29/2024 11:27:00 AM"</f>
        <v>1/29/2024 11:27:00 AM</v>
      </c>
      <c r="O21073" t="s">
        <v>64182</v>
      </c>
    </row>
    <row r="21074" spans="1:20" x14ac:dyDescent="0.25">
      <c r="A21074" t="str">
        <f>"3038560"</f>
        <v>3038560</v>
      </c>
      <c r="B21074" t="s">
        <v>64183</v>
      </c>
      <c r="C21074" t="str">
        <f>"8305426"</f>
        <v>8305426</v>
      </c>
      <c r="D21074" t="s">
        <v>64182</v>
      </c>
      <c r="F21074" t="s">
        <v>58730</v>
      </c>
      <c r="I21074" t="s">
        <v>29</v>
      </c>
      <c r="J21074" t="s">
        <v>30</v>
      </c>
      <c r="K21074" t="s">
        <v>42356</v>
      </c>
      <c r="M21074" t="s">
        <v>50500</v>
      </c>
      <c r="N21074" t="str">
        <f>"1/29/2024 11:27:00 AM"</f>
        <v>1/29/2024 11:27:00 AM</v>
      </c>
      <c r="O21074" t="s">
        <v>64182</v>
      </c>
    </row>
    <row r="21075" spans="1:20" x14ac:dyDescent="0.25">
      <c r="A21075" t="str">
        <f>"3039176"</f>
        <v>3039176</v>
      </c>
      <c r="B21075" t="s">
        <v>64184</v>
      </c>
      <c r="C21075" t="str">
        <f>"8305426"</f>
        <v>8305426</v>
      </c>
      <c r="D21075" t="s">
        <v>64182</v>
      </c>
      <c r="F21075" t="s">
        <v>58730</v>
      </c>
      <c r="I21075" t="s">
        <v>29</v>
      </c>
      <c r="J21075" t="s">
        <v>30</v>
      </c>
      <c r="K21075" t="s">
        <v>42356</v>
      </c>
      <c r="M21075" t="s">
        <v>50500</v>
      </c>
      <c r="N21075" t="str">
        <f>"1/29/2024 11:27:00 AM"</f>
        <v>1/29/2024 11:27:00 AM</v>
      </c>
      <c r="O21075" t="s">
        <v>64182</v>
      </c>
    </row>
    <row r="21076" spans="1:20" x14ac:dyDescent="0.25">
      <c r="A21076" t="str">
        <f>"3040356"</f>
        <v>3040356</v>
      </c>
      <c r="B21076" t="s">
        <v>64185</v>
      </c>
      <c r="C21076" t="str">
        <f>"8305426"</f>
        <v>8305426</v>
      </c>
      <c r="D21076" t="s">
        <v>64182</v>
      </c>
      <c r="F21076" t="s">
        <v>58730</v>
      </c>
      <c r="I21076" t="s">
        <v>29</v>
      </c>
      <c r="J21076" t="s">
        <v>30</v>
      </c>
      <c r="K21076" t="s">
        <v>42356</v>
      </c>
      <c r="M21076" t="s">
        <v>50500</v>
      </c>
      <c r="N21076" t="str">
        <f>"1/29/2024 11:27:00 AM"</f>
        <v>1/29/2024 11:27:00 AM</v>
      </c>
      <c r="O21076" t="s">
        <v>64182</v>
      </c>
    </row>
    <row r="21077" spans="1:20" x14ac:dyDescent="0.25">
      <c r="A21077" t="str">
        <f>"3043290"</f>
        <v>3043290</v>
      </c>
      <c r="B21077" t="s">
        <v>64186</v>
      </c>
      <c r="C21077" t="str">
        <f>"82527377"</f>
        <v>82527377</v>
      </c>
      <c r="D21077" t="s">
        <v>64179</v>
      </c>
      <c r="F21077" t="s">
        <v>64180</v>
      </c>
      <c r="I21077" t="s">
        <v>29</v>
      </c>
      <c r="J21077" t="s">
        <v>30</v>
      </c>
      <c r="K21077" t="s">
        <v>31</v>
      </c>
      <c r="M21077" t="s">
        <v>50621</v>
      </c>
      <c r="N21077" t="str">
        <f>"1/22/2024 2:21:00 PM"</f>
        <v>1/22/2024 2:21:00 PM</v>
      </c>
      <c r="O21077" t="s">
        <v>64179</v>
      </c>
    </row>
    <row r="21078" spans="1:20" x14ac:dyDescent="0.25">
      <c r="A21078" t="str">
        <f>"3041808"</f>
        <v>3041808</v>
      </c>
      <c r="B21078" t="s">
        <v>64187</v>
      </c>
      <c r="C21078" t="str">
        <f>"8314025"</f>
        <v>8314025</v>
      </c>
      <c r="D21078" t="s">
        <v>64188</v>
      </c>
      <c r="F21078" t="s">
        <v>64189</v>
      </c>
      <c r="I21078" t="s">
        <v>2071</v>
      </c>
      <c r="J21078" t="s">
        <v>30</v>
      </c>
      <c r="K21078" t="s">
        <v>36557</v>
      </c>
      <c r="M21078" t="s">
        <v>50621</v>
      </c>
      <c r="N21078" t="str">
        <f>"1/22/2024 2:26:00 PM"</f>
        <v>1/22/2024 2:26:00 PM</v>
      </c>
      <c r="O21078" t="s">
        <v>64188</v>
      </c>
    </row>
    <row r="21079" spans="1:20" x14ac:dyDescent="0.25">
      <c r="A21079" t="str">
        <f>"3056530"</f>
        <v>3056530</v>
      </c>
      <c r="B21079" t="s">
        <v>64190</v>
      </c>
      <c r="C21079" t="str">
        <f>"8318887"</f>
        <v>8318887</v>
      </c>
      <c r="D21079" t="s">
        <v>64191</v>
      </c>
      <c r="F21079" t="s">
        <v>64192</v>
      </c>
      <c r="I21079" t="s">
        <v>964</v>
      </c>
      <c r="J21079" t="s">
        <v>30</v>
      </c>
      <c r="K21079" t="s">
        <v>64193</v>
      </c>
      <c r="M21079" t="s">
        <v>50500</v>
      </c>
      <c r="N21079" t="str">
        <f>"1/30/2024 9:17:00 AM"</f>
        <v>1/30/2024 9:17:00 AM</v>
      </c>
      <c r="O21079" t="s">
        <v>64191</v>
      </c>
    </row>
    <row r="21080" spans="1:20" x14ac:dyDescent="0.25">
      <c r="A21080" t="str">
        <f>"3055613"</f>
        <v>3055613</v>
      </c>
      <c r="B21080" t="s">
        <v>64194</v>
      </c>
      <c r="C21080" t="str">
        <f>"8318887"</f>
        <v>8318887</v>
      </c>
      <c r="D21080" t="s">
        <v>64191</v>
      </c>
      <c r="F21080" t="s">
        <v>64192</v>
      </c>
      <c r="I21080" t="s">
        <v>964</v>
      </c>
      <c r="J21080" t="s">
        <v>30</v>
      </c>
      <c r="K21080" t="s">
        <v>64193</v>
      </c>
      <c r="M21080" t="s">
        <v>50500</v>
      </c>
      <c r="N21080" t="str">
        <f>"1/30/2024 9:17:00 AM"</f>
        <v>1/30/2024 9:17:00 AM</v>
      </c>
      <c r="O21080" t="s">
        <v>64191</v>
      </c>
    </row>
    <row r="21081" spans="1:20" x14ac:dyDescent="0.25">
      <c r="A21081" t="str">
        <f>"3078283"</f>
        <v>3078283</v>
      </c>
      <c r="B21081" t="s">
        <v>64195</v>
      </c>
      <c r="C21081" t="str">
        <f>"8321835"</f>
        <v>8321835</v>
      </c>
      <c r="D21081" t="s">
        <v>47985</v>
      </c>
      <c r="E21081" t="s">
        <v>15361</v>
      </c>
      <c r="F21081" t="s">
        <v>47986</v>
      </c>
      <c r="I21081" t="s">
        <v>29</v>
      </c>
      <c r="J21081" t="s">
        <v>30</v>
      </c>
      <c r="K21081" t="s">
        <v>1124</v>
      </c>
      <c r="M21081" t="s">
        <v>50500</v>
      </c>
      <c r="N21081" t="str">
        <f>"1/30/2024 9:29:00 AM"</f>
        <v>1/30/2024 9:29:00 AM</v>
      </c>
      <c r="O21081" t="s">
        <v>47985</v>
      </c>
      <c r="T21081" t="s">
        <v>15361</v>
      </c>
    </row>
    <row r="21082" spans="1:20" x14ac:dyDescent="0.25">
      <c r="A21082" t="str">
        <f>"3044871"</f>
        <v>3044871</v>
      </c>
      <c r="B21082" t="s">
        <v>64196</v>
      </c>
      <c r="C21082" t="str">
        <f>"8321836"</f>
        <v>8321836</v>
      </c>
      <c r="D21082" t="s">
        <v>64197</v>
      </c>
      <c r="E21082" t="s">
        <v>64198</v>
      </c>
      <c r="F21082" t="s">
        <v>64199</v>
      </c>
      <c r="I21082" t="s">
        <v>184</v>
      </c>
      <c r="J21082" t="s">
        <v>30</v>
      </c>
      <c r="K21082" t="s">
        <v>6136</v>
      </c>
      <c r="M21082" t="s">
        <v>50500</v>
      </c>
      <c r="N21082" t="str">
        <f>"1/30/2024 9:43:00 AM"</f>
        <v>1/30/2024 9:43:00 AM</v>
      </c>
      <c r="O21082" t="s">
        <v>64197</v>
      </c>
      <c r="T21082" t="s">
        <v>64198</v>
      </c>
    </row>
    <row r="21083" spans="1:20" x14ac:dyDescent="0.25">
      <c r="A21083" t="str">
        <f>"3049832"</f>
        <v>3049832</v>
      </c>
      <c r="B21083" t="s">
        <v>64200</v>
      </c>
      <c r="C21083" t="str">
        <f>"8321837"</f>
        <v>8321837</v>
      </c>
      <c r="D21083" t="s">
        <v>64201</v>
      </c>
      <c r="F21083" t="s">
        <v>64202</v>
      </c>
      <c r="I21083" t="s">
        <v>29</v>
      </c>
      <c r="J21083" t="s">
        <v>30</v>
      </c>
      <c r="K21083" t="s">
        <v>17132</v>
      </c>
      <c r="M21083" t="s">
        <v>50500</v>
      </c>
      <c r="N21083" t="str">
        <f>"1/30/2024 9:47:00 AM"</f>
        <v>1/30/2024 9:47:00 AM</v>
      </c>
      <c r="O21083" t="s">
        <v>64201</v>
      </c>
    </row>
    <row r="21084" spans="1:20" x14ac:dyDescent="0.25">
      <c r="A21084" t="str">
        <f>"3041688"</f>
        <v>3041688</v>
      </c>
      <c r="B21084" t="s">
        <v>64203</v>
      </c>
      <c r="C21084" t="str">
        <f>"82514811"</f>
        <v>82514811</v>
      </c>
      <c r="D21084" t="s">
        <v>64204</v>
      </c>
      <c r="E21084" t="s">
        <v>64205</v>
      </c>
      <c r="F21084" t="s">
        <v>64206</v>
      </c>
      <c r="I21084" t="s">
        <v>2071</v>
      </c>
      <c r="J21084" t="s">
        <v>30</v>
      </c>
      <c r="K21084" t="s">
        <v>64207</v>
      </c>
      <c r="M21084" t="s">
        <v>50621</v>
      </c>
      <c r="N21084" t="str">
        <f>"1/22/2024 2:37:00 PM"</f>
        <v>1/22/2024 2:37:00 PM</v>
      </c>
      <c r="O21084" t="s">
        <v>64204</v>
      </c>
      <c r="T21084" t="s">
        <v>64205</v>
      </c>
    </row>
    <row r="21085" spans="1:20" x14ac:dyDescent="0.25">
      <c r="A21085" t="str">
        <f>"3076742"</f>
        <v>3076742</v>
      </c>
      <c r="B21085" t="s">
        <v>64208</v>
      </c>
      <c r="C21085" t="str">
        <f>"8317157"</f>
        <v>8317157</v>
      </c>
      <c r="D21085" t="s">
        <v>64209</v>
      </c>
      <c r="F21085" t="s">
        <v>64210</v>
      </c>
      <c r="I21085" t="s">
        <v>184</v>
      </c>
      <c r="J21085" t="s">
        <v>30</v>
      </c>
      <c r="K21085" t="s">
        <v>64211</v>
      </c>
      <c r="M21085" t="s">
        <v>50621</v>
      </c>
      <c r="N21085" t="str">
        <f>"1/22/2024 2:38:00 PM"</f>
        <v>1/22/2024 2:38:00 PM</v>
      </c>
      <c r="O21085" t="s">
        <v>64209</v>
      </c>
    </row>
    <row r="21086" spans="1:20" x14ac:dyDescent="0.25">
      <c r="A21086" t="str">
        <f>"3103408"</f>
        <v>3103408</v>
      </c>
      <c r="B21086" t="s">
        <v>64212</v>
      </c>
      <c r="C21086" t="str">
        <f>"24073500"</f>
        <v>24073500</v>
      </c>
      <c r="D21086" t="s">
        <v>64213</v>
      </c>
      <c r="F21086" t="s">
        <v>15666</v>
      </c>
      <c r="I21086" t="s">
        <v>9580</v>
      </c>
      <c r="J21086" t="s">
        <v>30</v>
      </c>
      <c r="K21086" t="s">
        <v>9581</v>
      </c>
      <c r="M21086" t="s">
        <v>50621</v>
      </c>
      <c r="N21086" t="str">
        <f>"1/22/2024 3:33:00 PM"</f>
        <v>1/22/2024 3:33:00 PM</v>
      </c>
      <c r="O21086" t="s">
        <v>64213</v>
      </c>
    </row>
    <row r="21087" spans="1:20" x14ac:dyDescent="0.25">
      <c r="A21087" t="str">
        <f>"3038405"</f>
        <v>3038405</v>
      </c>
      <c r="B21087" t="s">
        <v>64214</v>
      </c>
      <c r="C21087" t="str">
        <f>"8314337"</f>
        <v>8314337</v>
      </c>
      <c r="D21087" t="s">
        <v>64215</v>
      </c>
      <c r="F21087" t="s">
        <v>64216</v>
      </c>
      <c r="I21087" t="s">
        <v>29</v>
      </c>
      <c r="J21087" t="s">
        <v>30</v>
      </c>
      <c r="K21087" t="s">
        <v>43146</v>
      </c>
      <c r="M21087" t="s">
        <v>50621</v>
      </c>
      <c r="N21087" t="str">
        <f>"1/22/2024 3:40:00 PM"</f>
        <v>1/22/2024 3:40:00 PM</v>
      </c>
      <c r="O21087" t="s">
        <v>64215</v>
      </c>
    </row>
    <row r="21088" spans="1:20" x14ac:dyDescent="0.25">
      <c r="A21088" t="str">
        <f>"3038233"</f>
        <v>3038233</v>
      </c>
      <c r="B21088" t="s">
        <v>64217</v>
      </c>
      <c r="C21088" t="str">
        <f>"8314337"</f>
        <v>8314337</v>
      </c>
      <c r="D21088" t="s">
        <v>64215</v>
      </c>
      <c r="F21088" t="s">
        <v>64216</v>
      </c>
      <c r="I21088" t="s">
        <v>29</v>
      </c>
      <c r="J21088" t="s">
        <v>30</v>
      </c>
      <c r="K21088" t="s">
        <v>43146</v>
      </c>
      <c r="M21088" t="s">
        <v>50621</v>
      </c>
      <c r="N21088" t="str">
        <f>"1/22/2024 3:40:00 PM"</f>
        <v>1/22/2024 3:40:00 PM</v>
      </c>
      <c r="O21088" t="s">
        <v>64215</v>
      </c>
    </row>
    <row r="21089" spans="1:20" x14ac:dyDescent="0.25">
      <c r="A21089" t="str">
        <f>"3038251"</f>
        <v>3038251</v>
      </c>
      <c r="B21089" t="s">
        <v>64218</v>
      </c>
      <c r="C21089" t="str">
        <f>"8301700"</f>
        <v>8301700</v>
      </c>
      <c r="D21089" t="s">
        <v>64129</v>
      </c>
      <c r="F21089" t="s">
        <v>23130</v>
      </c>
      <c r="I21089" t="s">
        <v>29</v>
      </c>
      <c r="J21089" t="s">
        <v>30</v>
      </c>
      <c r="K21089" t="str">
        <f>"27028"</f>
        <v>27028</v>
      </c>
      <c r="M21089" t="s">
        <v>50621</v>
      </c>
      <c r="N21089" t="str">
        <f>"1/22/2024 3:43:00 PM"</f>
        <v>1/22/2024 3:43:00 PM</v>
      </c>
      <c r="O21089" t="s">
        <v>64129</v>
      </c>
    </row>
    <row r="21090" spans="1:20" x14ac:dyDescent="0.25">
      <c r="A21090" t="str">
        <f>"3051597"</f>
        <v>3051597</v>
      </c>
      <c r="B21090" t="s">
        <v>64219</v>
      </c>
      <c r="C21090" t="str">
        <f>"8321816"</f>
        <v>8321816</v>
      </c>
      <c r="D21090" t="s">
        <v>40960</v>
      </c>
      <c r="E21090" t="s">
        <v>64137</v>
      </c>
      <c r="F21090" t="s">
        <v>64138</v>
      </c>
      <c r="I21090" t="s">
        <v>29</v>
      </c>
      <c r="J21090" t="s">
        <v>30</v>
      </c>
      <c r="K21090" t="s">
        <v>54835</v>
      </c>
      <c r="M21090" t="s">
        <v>50500</v>
      </c>
      <c r="N21090" t="str">
        <f>"1/23/2024 2:54:00 PM"</f>
        <v>1/23/2024 2:54:00 PM</v>
      </c>
      <c r="O21090" t="s">
        <v>40960</v>
      </c>
      <c r="T21090" t="s">
        <v>64137</v>
      </c>
    </row>
    <row r="21091" spans="1:20" x14ac:dyDescent="0.25">
      <c r="A21091" t="str">
        <f>"3051598"</f>
        <v>3051598</v>
      </c>
      <c r="B21091" t="s">
        <v>64220</v>
      </c>
      <c r="C21091" t="str">
        <f>"8321816"</f>
        <v>8321816</v>
      </c>
      <c r="D21091" t="s">
        <v>40960</v>
      </c>
      <c r="E21091" t="s">
        <v>64137</v>
      </c>
      <c r="F21091" t="s">
        <v>64138</v>
      </c>
      <c r="I21091" t="s">
        <v>29</v>
      </c>
      <c r="J21091" t="s">
        <v>30</v>
      </c>
      <c r="K21091" t="s">
        <v>54835</v>
      </c>
      <c r="M21091" t="s">
        <v>50500</v>
      </c>
      <c r="N21091" t="str">
        <f>"1/23/2024 2:54:00 PM"</f>
        <v>1/23/2024 2:54:00 PM</v>
      </c>
      <c r="O21091" t="s">
        <v>40960</v>
      </c>
      <c r="T21091" t="s">
        <v>64137</v>
      </c>
    </row>
    <row r="21092" spans="1:20" x14ac:dyDescent="0.25">
      <c r="A21092" t="str">
        <f>"3051599"</f>
        <v>3051599</v>
      </c>
      <c r="B21092" t="s">
        <v>64221</v>
      </c>
      <c r="C21092" t="str">
        <f>"8321816"</f>
        <v>8321816</v>
      </c>
      <c r="D21092" t="s">
        <v>40960</v>
      </c>
      <c r="E21092" t="s">
        <v>64137</v>
      </c>
      <c r="F21092" t="s">
        <v>64138</v>
      </c>
      <c r="I21092" t="s">
        <v>29</v>
      </c>
      <c r="J21092" t="s">
        <v>30</v>
      </c>
      <c r="K21092" t="s">
        <v>54835</v>
      </c>
      <c r="M21092" t="s">
        <v>50500</v>
      </c>
      <c r="N21092" t="str">
        <f>"1/23/2024 2:54:00 PM"</f>
        <v>1/23/2024 2:54:00 PM</v>
      </c>
      <c r="O21092" t="s">
        <v>40960</v>
      </c>
      <c r="T21092" t="s">
        <v>64137</v>
      </c>
    </row>
    <row r="21093" spans="1:20" x14ac:dyDescent="0.25">
      <c r="A21093" t="str">
        <f>"3049020"</f>
        <v>3049020</v>
      </c>
      <c r="B21093" t="s">
        <v>64222</v>
      </c>
      <c r="C21093" t="str">
        <f>"8321821"</f>
        <v>8321821</v>
      </c>
      <c r="D21093" t="s">
        <v>64223</v>
      </c>
      <c r="F21093" t="s">
        <v>64224</v>
      </c>
      <c r="I21093" t="s">
        <v>1107</v>
      </c>
      <c r="J21093" t="s">
        <v>30</v>
      </c>
      <c r="K21093" t="s">
        <v>64225</v>
      </c>
      <c r="M21093" t="s">
        <v>50500</v>
      </c>
      <c r="N21093" t="str">
        <f>"1/24/2024 3:26:00 PM"</f>
        <v>1/24/2024 3:26:00 PM</v>
      </c>
      <c r="O21093" t="s">
        <v>64223</v>
      </c>
    </row>
    <row r="21094" spans="1:20" x14ac:dyDescent="0.25">
      <c r="A21094" t="str">
        <f>"3053093"</f>
        <v>3053093</v>
      </c>
      <c r="B21094" t="s">
        <v>64226</v>
      </c>
      <c r="C21094" t="str">
        <f>"8316614"</f>
        <v>8316614</v>
      </c>
      <c r="D21094" t="s">
        <v>64227</v>
      </c>
      <c r="E21094" t="s">
        <v>64228</v>
      </c>
      <c r="F21094" t="s">
        <v>64229</v>
      </c>
      <c r="I21094" t="s">
        <v>29</v>
      </c>
      <c r="J21094" t="s">
        <v>30</v>
      </c>
      <c r="K21094" t="s">
        <v>8242</v>
      </c>
      <c r="M21094" t="s">
        <v>33845</v>
      </c>
      <c r="N21094" t="str">
        <f>"1/25/2024 12:35:00 PM"</f>
        <v>1/25/2024 12:35:00 PM</v>
      </c>
      <c r="O21094" t="s">
        <v>64227</v>
      </c>
      <c r="T21094" t="s">
        <v>64228</v>
      </c>
    </row>
    <row r="21095" spans="1:20" x14ac:dyDescent="0.25">
      <c r="A21095" t="str">
        <f>"3061782"</f>
        <v>3061782</v>
      </c>
      <c r="B21095" t="s">
        <v>64230</v>
      </c>
      <c r="C21095" t="str">
        <f>"8321850"</f>
        <v>8321850</v>
      </c>
      <c r="D21095" t="s">
        <v>64231</v>
      </c>
      <c r="E21095" t="s">
        <v>64232</v>
      </c>
      <c r="F21095" t="s">
        <v>64233</v>
      </c>
      <c r="I21095" t="s">
        <v>402</v>
      </c>
      <c r="J21095" t="s">
        <v>30</v>
      </c>
      <c r="K21095" t="s">
        <v>64234</v>
      </c>
      <c r="M21095" t="s">
        <v>50500</v>
      </c>
      <c r="N21095" t="str">
        <f>"2/1/2024 2:41:00 PM"</f>
        <v>2/1/2024 2:41:00 PM</v>
      </c>
      <c r="O21095" t="s">
        <v>64231</v>
      </c>
      <c r="T21095" t="s">
        <v>64232</v>
      </c>
    </row>
    <row r="21096" spans="1:20" x14ac:dyDescent="0.25">
      <c r="A21096" t="str">
        <f>"3037400"</f>
        <v>3037400</v>
      </c>
      <c r="B21096" t="s">
        <v>64235</v>
      </c>
      <c r="C21096" t="str">
        <f>"8321852"</f>
        <v>8321852</v>
      </c>
      <c r="D21096" t="s">
        <v>64236</v>
      </c>
      <c r="F21096" t="s">
        <v>64237</v>
      </c>
      <c r="I21096" t="s">
        <v>184</v>
      </c>
      <c r="J21096" t="s">
        <v>30</v>
      </c>
      <c r="K21096" t="s">
        <v>1915</v>
      </c>
      <c r="M21096" t="s">
        <v>50500</v>
      </c>
      <c r="N21096" t="str">
        <f>"2/1/2024 3:30:00 PM"</f>
        <v>2/1/2024 3:30:00 PM</v>
      </c>
      <c r="O21096" t="s">
        <v>64236</v>
      </c>
    </row>
    <row r="21097" spans="1:20" x14ac:dyDescent="0.25">
      <c r="A21097" t="str">
        <f>"3038040"</f>
        <v>3038040</v>
      </c>
      <c r="B21097" t="s">
        <v>64238</v>
      </c>
      <c r="C21097" t="str">
        <f>"8315308"</f>
        <v>8315308</v>
      </c>
      <c r="D21097" t="s">
        <v>64239</v>
      </c>
      <c r="F21097" t="s">
        <v>64240</v>
      </c>
      <c r="I21097" t="s">
        <v>59389</v>
      </c>
      <c r="J21097" t="s">
        <v>3737</v>
      </c>
      <c r="K21097" t="str">
        <f>"77433"</f>
        <v>77433</v>
      </c>
      <c r="M21097" t="s">
        <v>18470</v>
      </c>
      <c r="N21097" t="str">
        <f>"2/2/2024 3:48:00 PM"</f>
        <v>2/2/2024 3:48:00 PM</v>
      </c>
      <c r="O21097" t="s">
        <v>64239</v>
      </c>
    </row>
    <row r="21098" spans="1:20" x14ac:dyDescent="0.25">
      <c r="A21098" t="str">
        <f>"3047124"</f>
        <v>3047124</v>
      </c>
      <c r="B21098" t="s">
        <v>64241</v>
      </c>
      <c r="C21098" t="str">
        <f>"82530128"</f>
        <v>82530128</v>
      </c>
      <c r="D21098" t="s">
        <v>64242</v>
      </c>
      <c r="F21098" t="str">
        <f>"c/o KEN MCDANIEL"</f>
        <v>c/o KEN MCDANIEL</v>
      </c>
      <c r="G21098" t="s">
        <v>64243</v>
      </c>
      <c r="I21098" t="s">
        <v>29</v>
      </c>
      <c r="J21098" t="s">
        <v>30</v>
      </c>
      <c r="K21098" t="s">
        <v>4638</v>
      </c>
      <c r="M21098" t="s">
        <v>18479</v>
      </c>
      <c r="N21098" t="str">
        <f>"1/25/2024 1:59:00 PM"</f>
        <v>1/25/2024 1:59:00 PM</v>
      </c>
      <c r="O21098" t="s">
        <v>64242</v>
      </c>
    </row>
    <row r="21099" spans="1:20" x14ac:dyDescent="0.25">
      <c r="A21099" t="str">
        <f>"3046666"</f>
        <v>3046666</v>
      </c>
      <c r="B21099" t="s">
        <v>64244</v>
      </c>
      <c r="C21099" t="str">
        <f>"82530128"</f>
        <v>82530128</v>
      </c>
      <c r="D21099" t="s">
        <v>64242</v>
      </c>
      <c r="F21099" t="str">
        <f>"c/o KEN MCDANIEL"</f>
        <v>c/o KEN MCDANIEL</v>
      </c>
      <c r="G21099" t="s">
        <v>64243</v>
      </c>
      <c r="I21099" t="s">
        <v>29</v>
      </c>
      <c r="J21099" t="s">
        <v>30</v>
      </c>
      <c r="K21099" t="s">
        <v>4638</v>
      </c>
      <c r="M21099" t="s">
        <v>18479</v>
      </c>
      <c r="N21099" t="str">
        <f>"1/25/2024 1:59:00 PM"</f>
        <v>1/25/2024 1:59:00 PM</v>
      </c>
      <c r="O21099" t="s">
        <v>64242</v>
      </c>
    </row>
    <row r="21100" spans="1:20" x14ac:dyDescent="0.25">
      <c r="A21100" t="str">
        <f>"3048748"</f>
        <v>3048748</v>
      </c>
      <c r="B21100" t="s">
        <v>64245</v>
      </c>
      <c r="C21100" t="str">
        <f>"8321828"</f>
        <v>8321828</v>
      </c>
      <c r="D21100" t="s">
        <v>64246</v>
      </c>
      <c r="F21100" t="s">
        <v>64247</v>
      </c>
      <c r="I21100" t="s">
        <v>29</v>
      </c>
      <c r="J21100" t="s">
        <v>30</v>
      </c>
      <c r="K21100" t="s">
        <v>64248</v>
      </c>
      <c r="M21100" t="s">
        <v>50500</v>
      </c>
      <c r="N21100" t="str">
        <f>"1/25/2024 2:54:00 PM"</f>
        <v>1/25/2024 2:54:00 PM</v>
      </c>
      <c r="O21100" t="s">
        <v>64246</v>
      </c>
    </row>
    <row r="21101" spans="1:20" x14ac:dyDescent="0.25">
      <c r="A21101" t="str">
        <f>"3061636"</f>
        <v>3061636</v>
      </c>
      <c r="B21101" t="s">
        <v>64249</v>
      </c>
      <c r="C21101" t="str">
        <f>"8321829"</f>
        <v>8321829</v>
      </c>
      <c r="D21101" t="s">
        <v>64250</v>
      </c>
      <c r="E21101" t="s">
        <v>64251</v>
      </c>
      <c r="F21101" t="s">
        <v>64252</v>
      </c>
      <c r="I21101" t="s">
        <v>29</v>
      </c>
      <c r="J21101" t="s">
        <v>30</v>
      </c>
      <c r="K21101" t="s">
        <v>59970</v>
      </c>
      <c r="M21101" t="s">
        <v>50500</v>
      </c>
      <c r="N21101" t="str">
        <f>"1/25/2024 3:30:00 PM"</f>
        <v>1/25/2024 3:30:00 PM</v>
      </c>
      <c r="O21101" t="s">
        <v>64250</v>
      </c>
      <c r="T21101" t="s">
        <v>64251</v>
      </c>
    </row>
    <row r="21102" spans="1:20" x14ac:dyDescent="0.25">
      <c r="A21102" t="str">
        <f>"3054301"</f>
        <v>3054301</v>
      </c>
      <c r="B21102" t="s">
        <v>64253</v>
      </c>
      <c r="C21102" t="str">
        <f>"8321831"</f>
        <v>8321831</v>
      </c>
      <c r="D21102" t="s">
        <v>64254</v>
      </c>
      <c r="E21102" t="s">
        <v>64255</v>
      </c>
      <c r="F21102" t="s">
        <v>64256</v>
      </c>
      <c r="I21102" t="s">
        <v>29</v>
      </c>
      <c r="J21102" t="s">
        <v>30</v>
      </c>
      <c r="K21102" t="s">
        <v>20825</v>
      </c>
      <c r="M21102" t="s">
        <v>50500</v>
      </c>
      <c r="N21102" t="str">
        <f>"1/26/2024 8:42:00 AM"</f>
        <v>1/26/2024 8:42:00 AM</v>
      </c>
      <c r="O21102" t="s">
        <v>64254</v>
      </c>
      <c r="T21102" t="s">
        <v>64255</v>
      </c>
    </row>
    <row r="21103" spans="1:20" x14ac:dyDescent="0.25">
      <c r="A21103" t="str">
        <f>"3053179"</f>
        <v>3053179</v>
      </c>
      <c r="B21103" t="s">
        <v>64257</v>
      </c>
      <c r="C21103" t="str">
        <f>"8321859"</f>
        <v>8321859</v>
      </c>
      <c r="D21103" t="s">
        <v>64258</v>
      </c>
      <c r="F21103" t="s">
        <v>64259</v>
      </c>
      <c r="I21103" t="s">
        <v>402</v>
      </c>
      <c r="J21103" t="s">
        <v>30</v>
      </c>
      <c r="K21103" t="s">
        <v>64260</v>
      </c>
      <c r="M21103" t="s">
        <v>50500</v>
      </c>
      <c r="N21103" t="str">
        <f>"2/5/2024 3:09:00 PM"</f>
        <v>2/5/2024 3:09:00 PM</v>
      </c>
      <c r="O21103" t="s">
        <v>64258</v>
      </c>
    </row>
    <row r="21104" spans="1:20" x14ac:dyDescent="0.25">
      <c r="A21104" t="str">
        <f>"3041099"</f>
        <v>3041099</v>
      </c>
      <c r="B21104" t="s">
        <v>64261</v>
      </c>
      <c r="C21104" t="str">
        <f>"8321859"</f>
        <v>8321859</v>
      </c>
      <c r="D21104" t="s">
        <v>64258</v>
      </c>
      <c r="F21104" t="s">
        <v>64259</v>
      </c>
      <c r="I21104" t="s">
        <v>402</v>
      </c>
      <c r="J21104" t="s">
        <v>30</v>
      </c>
      <c r="K21104" t="s">
        <v>64260</v>
      </c>
      <c r="M21104" t="s">
        <v>50500</v>
      </c>
      <c r="N21104" t="str">
        <f>"2/5/2024 3:09:00 PM"</f>
        <v>2/5/2024 3:09:00 PM</v>
      </c>
      <c r="O21104" t="s">
        <v>64258</v>
      </c>
    </row>
    <row r="21105" spans="1:20" x14ac:dyDescent="0.25">
      <c r="A21105" t="str">
        <f>"3050961"</f>
        <v>3050961</v>
      </c>
      <c r="B21105" t="s">
        <v>64262</v>
      </c>
      <c r="C21105" t="str">
        <f>"8321552"</f>
        <v>8321552</v>
      </c>
      <c r="D21105" t="s">
        <v>64263</v>
      </c>
      <c r="F21105" t="s">
        <v>64264</v>
      </c>
      <c r="I21105" t="s">
        <v>184</v>
      </c>
      <c r="J21105" t="s">
        <v>30</v>
      </c>
      <c r="K21105" t="s">
        <v>12585</v>
      </c>
      <c r="M21105" t="s">
        <v>50500</v>
      </c>
      <c r="N21105" t="str">
        <f>"2/5/2024 3:35:00 PM"</f>
        <v>2/5/2024 3:35:00 PM</v>
      </c>
      <c r="O21105" t="s">
        <v>64263</v>
      </c>
    </row>
    <row r="21106" spans="1:20" x14ac:dyDescent="0.25">
      <c r="A21106" t="str">
        <f>"3055277"</f>
        <v>3055277</v>
      </c>
      <c r="B21106" t="s">
        <v>64265</v>
      </c>
      <c r="C21106" t="str">
        <f>"8321860"</f>
        <v>8321860</v>
      </c>
      <c r="D21106" t="s">
        <v>64266</v>
      </c>
      <c r="F21106" t="s">
        <v>64267</v>
      </c>
      <c r="I21106" t="s">
        <v>2525</v>
      </c>
      <c r="J21106" t="s">
        <v>30</v>
      </c>
      <c r="K21106" t="s">
        <v>64268</v>
      </c>
      <c r="M21106" t="s">
        <v>50500</v>
      </c>
      <c r="N21106" t="str">
        <f>"2/5/2024 4:15:00 PM"</f>
        <v>2/5/2024 4:15:00 PM</v>
      </c>
      <c r="O21106" t="s">
        <v>64266</v>
      </c>
    </row>
    <row r="21107" spans="1:20" x14ac:dyDescent="0.25">
      <c r="A21107" t="str">
        <f>"3056135"</f>
        <v>3056135</v>
      </c>
      <c r="B21107" t="s">
        <v>64269</v>
      </c>
      <c r="C21107" t="str">
        <f>"8321832"</f>
        <v>8321832</v>
      </c>
      <c r="D21107" t="s">
        <v>64270</v>
      </c>
      <c r="F21107" t="s">
        <v>64271</v>
      </c>
      <c r="G21107" t="s">
        <v>64272</v>
      </c>
      <c r="I21107" t="s">
        <v>3196</v>
      </c>
      <c r="J21107" t="s">
        <v>30</v>
      </c>
      <c r="K21107" t="s">
        <v>64273</v>
      </c>
      <c r="M21107" t="s">
        <v>50500</v>
      </c>
      <c r="N21107" t="str">
        <f>"1/26/2024 9:13:00 AM"</f>
        <v>1/26/2024 9:13:00 AM</v>
      </c>
      <c r="O21107" t="s">
        <v>64270</v>
      </c>
    </row>
    <row r="21108" spans="1:20" x14ac:dyDescent="0.25">
      <c r="A21108" t="str">
        <f>"3038805"</f>
        <v>3038805</v>
      </c>
      <c r="B21108" t="s">
        <v>64274</v>
      </c>
      <c r="C21108" t="str">
        <f>"8307544"</f>
        <v>8307544</v>
      </c>
      <c r="D21108" t="s">
        <v>64275</v>
      </c>
      <c r="E21108" t="s">
        <v>64276</v>
      </c>
      <c r="F21108" t="s">
        <v>64277</v>
      </c>
      <c r="I21108" t="s">
        <v>29</v>
      </c>
      <c r="J21108" t="s">
        <v>30</v>
      </c>
      <c r="K21108" t="s">
        <v>64278</v>
      </c>
      <c r="M21108" t="s">
        <v>50621</v>
      </c>
      <c r="N21108" t="str">
        <f>"1/29/2024 11:12:00 AM"</f>
        <v>1/29/2024 11:12:00 AM</v>
      </c>
      <c r="O21108" t="s">
        <v>64275</v>
      </c>
      <c r="T21108" t="s">
        <v>64276</v>
      </c>
    </row>
    <row r="21109" spans="1:20" x14ac:dyDescent="0.25">
      <c r="A21109" t="str">
        <f>"3038042"</f>
        <v>3038042</v>
      </c>
      <c r="B21109" t="s">
        <v>64279</v>
      </c>
      <c r="C21109" t="str">
        <f>"54140000"</f>
        <v>54140000</v>
      </c>
      <c r="D21109" t="s">
        <v>64280</v>
      </c>
      <c r="E21109" t="s">
        <v>64281</v>
      </c>
      <c r="F21109" t="s">
        <v>64277</v>
      </c>
      <c r="I21109" t="s">
        <v>29</v>
      </c>
      <c r="J21109" t="s">
        <v>30</v>
      </c>
      <c r="K21109" t="s">
        <v>31</v>
      </c>
      <c r="M21109" t="s">
        <v>50621</v>
      </c>
      <c r="N21109" t="str">
        <f>"1/29/2024 11:14:00 AM"</f>
        <v>1/29/2024 11:14:00 AM</v>
      </c>
      <c r="O21109" t="s">
        <v>64280</v>
      </c>
      <c r="T21109" t="s">
        <v>64281</v>
      </c>
    </row>
    <row r="21110" spans="1:20" x14ac:dyDescent="0.25">
      <c r="A21110" t="str">
        <f>"3047048"</f>
        <v>3047048</v>
      </c>
      <c r="B21110" t="s">
        <v>64282</v>
      </c>
      <c r="C21110" t="str">
        <f>"54140000"</f>
        <v>54140000</v>
      </c>
      <c r="D21110" t="s">
        <v>64280</v>
      </c>
      <c r="E21110" t="s">
        <v>64281</v>
      </c>
      <c r="F21110" t="s">
        <v>64277</v>
      </c>
      <c r="I21110" t="s">
        <v>29</v>
      </c>
      <c r="J21110" t="s">
        <v>30</v>
      </c>
      <c r="K21110" t="s">
        <v>31</v>
      </c>
      <c r="M21110" t="s">
        <v>50621</v>
      </c>
      <c r="N21110" t="str">
        <f>"1/29/2024 11:14:00 AM"</f>
        <v>1/29/2024 11:14:00 AM</v>
      </c>
      <c r="O21110" t="s">
        <v>64280</v>
      </c>
      <c r="T21110" t="s">
        <v>64281</v>
      </c>
    </row>
    <row r="21111" spans="1:20" x14ac:dyDescent="0.25">
      <c r="A21111" t="str">
        <f>"3047022"</f>
        <v>3047022</v>
      </c>
      <c r="B21111" t="s">
        <v>64283</v>
      </c>
      <c r="C21111" t="str">
        <f>"54140000"</f>
        <v>54140000</v>
      </c>
      <c r="D21111" t="s">
        <v>64280</v>
      </c>
      <c r="E21111" t="s">
        <v>64281</v>
      </c>
      <c r="F21111" t="s">
        <v>64277</v>
      </c>
      <c r="I21111" t="s">
        <v>29</v>
      </c>
      <c r="J21111" t="s">
        <v>30</v>
      </c>
      <c r="K21111" t="s">
        <v>31</v>
      </c>
      <c r="M21111" t="s">
        <v>50621</v>
      </c>
      <c r="N21111" t="str">
        <f>"1/29/2024 11:14:00 AM"</f>
        <v>1/29/2024 11:14:00 AM</v>
      </c>
      <c r="O21111" t="s">
        <v>64280</v>
      </c>
      <c r="T21111" t="s">
        <v>64281</v>
      </c>
    </row>
    <row r="21112" spans="1:20" x14ac:dyDescent="0.25">
      <c r="A21112" t="str">
        <f>"3038129"</f>
        <v>3038129</v>
      </c>
      <c r="B21112" t="s">
        <v>64284</v>
      </c>
      <c r="C21112" t="str">
        <f>"8305426"</f>
        <v>8305426</v>
      </c>
      <c r="D21112" t="s">
        <v>64182</v>
      </c>
      <c r="F21112" t="s">
        <v>58730</v>
      </c>
      <c r="I21112" t="s">
        <v>29</v>
      </c>
      <c r="J21112" t="s">
        <v>30</v>
      </c>
      <c r="K21112" t="s">
        <v>42356</v>
      </c>
      <c r="M21112" t="s">
        <v>50500</v>
      </c>
      <c r="N21112" t="str">
        <f>"1/29/2024 11:27:00 AM"</f>
        <v>1/29/2024 11:27:00 AM</v>
      </c>
      <c r="O21112" t="s">
        <v>64182</v>
      </c>
    </row>
    <row r="21113" spans="1:20" x14ac:dyDescent="0.25">
      <c r="A21113" t="str">
        <f>"3037767"</f>
        <v>3037767</v>
      </c>
      <c r="B21113" t="s">
        <v>64285</v>
      </c>
      <c r="C21113" t="str">
        <f>"82524581"</f>
        <v>82524581</v>
      </c>
      <c r="D21113" t="s">
        <v>64286</v>
      </c>
      <c r="E21113" t="s">
        <v>50392</v>
      </c>
      <c r="F21113" t="s">
        <v>64287</v>
      </c>
      <c r="I21113" t="s">
        <v>29</v>
      </c>
      <c r="J21113" t="s">
        <v>30</v>
      </c>
      <c r="K21113" t="s">
        <v>70</v>
      </c>
      <c r="M21113" t="s">
        <v>52111</v>
      </c>
      <c r="N21113" t="str">
        <f>"1/29/2024 1:27:00 PM"</f>
        <v>1/29/2024 1:27:00 PM</v>
      </c>
      <c r="O21113" t="s">
        <v>64286</v>
      </c>
      <c r="T21113" t="s">
        <v>50392</v>
      </c>
    </row>
    <row r="21114" spans="1:20" x14ac:dyDescent="0.25">
      <c r="A21114" t="str">
        <f>"3056271"</f>
        <v>3056271</v>
      </c>
      <c r="B21114" t="s">
        <v>64288</v>
      </c>
      <c r="C21114" t="str">
        <f>"8318887"</f>
        <v>8318887</v>
      </c>
      <c r="D21114" t="s">
        <v>64191</v>
      </c>
      <c r="F21114" t="s">
        <v>64192</v>
      </c>
      <c r="I21114" t="s">
        <v>964</v>
      </c>
      <c r="J21114" t="s">
        <v>30</v>
      </c>
      <c r="K21114" t="s">
        <v>64193</v>
      </c>
      <c r="M21114" t="s">
        <v>50500</v>
      </c>
      <c r="N21114" t="str">
        <f>"1/30/2024 9:17:00 AM"</f>
        <v>1/30/2024 9:17:00 AM</v>
      </c>
      <c r="O21114" t="s">
        <v>64191</v>
      </c>
    </row>
    <row r="21115" spans="1:20" x14ac:dyDescent="0.25">
      <c r="A21115" t="str">
        <f>"3074421"</f>
        <v>3074421</v>
      </c>
      <c r="B21115" t="s">
        <v>64289</v>
      </c>
      <c r="C21115" t="str">
        <f>"8321844"</f>
        <v>8321844</v>
      </c>
      <c r="D21115" t="s">
        <v>64290</v>
      </c>
      <c r="E21115" t="s">
        <v>64291</v>
      </c>
      <c r="F21115" t="s">
        <v>64292</v>
      </c>
      <c r="I21115" t="s">
        <v>184</v>
      </c>
      <c r="J21115" t="s">
        <v>30</v>
      </c>
      <c r="K21115" t="s">
        <v>58030</v>
      </c>
      <c r="M21115" t="s">
        <v>50500</v>
      </c>
      <c r="N21115" t="str">
        <f>"1/31/2024 10:11:00 AM"</f>
        <v>1/31/2024 10:11:00 AM</v>
      </c>
      <c r="O21115" t="s">
        <v>64290</v>
      </c>
      <c r="T21115" t="s">
        <v>64291</v>
      </c>
    </row>
    <row r="21116" spans="1:20" x14ac:dyDescent="0.25">
      <c r="A21116" t="str">
        <f>"3054550"</f>
        <v>3054550</v>
      </c>
      <c r="B21116" t="s">
        <v>64293</v>
      </c>
      <c r="C21116" t="str">
        <f>"8317297"</f>
        <v>8317297</v>
      </c>
      <c r="D21116" t="s">
        <v>36497</v>
      </c>
      <c r="E21116" t="s">
        <v>64294</v>
      </c>
      <c r="F21116" t="s">
        <v>64295</v>
      </c>
      <c r="I21116" t="s">
        <v>29</v>
      </c>
      <c r="J21116" t="s">
        <v>30</v>
      </c>
      <c r="K21116" t="s">
        <v>36499</v>
      </c>
      <c r="M21116" t="s">
        <v>50793</v>
      </c>
      <c r="N21116" t="str">
        <f>"2/8/2024 10:26:00 AM"</f>
        <v>2/8/2024 10:26:00 AM</v>
      </c>
      <c r="O21116" t="s">
        <v>36497</v>
      </c>
      <c r="T21116" t="s">
        <v>64294</v>
      </c>
    </row>
    <row r="21117" spans="1:20" x14ac:dyDescent="0.25">
      <c r="A21117" t="str">
        <f>"3054061"</f>
        <v>3054061</v>
      </c>
      <c r="B21117" t="s">
        <v>64296</v>
      </c>
      <c r="C21117" t="str">
        <f>"8317297"</f>
        <v>8317297</v>
      </c>
      <c r="D21117" t="s">
        <v>36497</v>
      </c>
      <c r="E21117" t="s">
        <v>64294</v>
      </c>
      <c r="F21117" t="s">
        <v>64295</v>
      </c>
      <c r="I21117" t="s">
        <v>29</v>
      </c>
      <c r="J21117" t="s">
        <v>30</v>
      </c>
      <c r="K21117" t="s">
        <v>36499</v>
      </c>
      <c r="M21117" t="s">
        <v>50793</v>
      </c>
      <c r="N21117" t="str">
        <f>"2/8/2024 10:26:00 AM"</f>
        <v>2/8/2024 10:26:00 AM</v>
      </c>
      <c r="O21117" t="s">
        <v>36497</v>
      </c>
      <c r="T21117" t="s">
        <v>64294</v>
      </c>
    </row>
    <row r="21118" spans="1:20" x14ac:dyDescent="0.25">
      <c r="A21118" t="str">
        <f>"3077731"</f>
        <v>3077731</v>
      </c>
      <c r="B21118" t="s">
        <v>64297</v>
      </c>
      <c r="C21118" t="str">
        <f>"8321845"</f>
        <v>8321845</v>
      </c>
      <c r="D21118" t="s">
        <v>64298</v>
      </c>
      <c r="F21118" t="s">
        <v>64299</v>
      </c>
      <c r="I21118" t="s">
        <v>184</v>
      </c>
      <c r="J21118" t="s">
        <v>30</v>
      </c>
      <c r="K21118" t="s">
        <v>64300</v>
      </c>
      <c r="M21118" t="s">
        <v>50500</v>
      </c>
      <c r="N21118" t="str">
        <f>"1/31/2024 10:32:00 AM"</f>
        <v>1/31/2024 10:32:00 AM</v>
      </c>
      <c r="O21118" t="s">
        <v>64298</v>
      </c>
    </row>
    <row r="21119" spans="1:20" x14ac:dyDescent="0.25">
      <c r="A21119" t="str">
        <f>"3077061"</f>
        <v>3077061</v>
      </c>
      <c r="B21119" t="s">
        <v>64301</v>
      </c>
      <c r="C21119" t="str">
        <f>"69073120"</f>
        <v>69073120</v>
      </c>
      <c r="D21119" t="s">
        <v>64302</v>
      </c>
      <c r="F21119" t="s">
        <v>64303</v>
      </c>
      <c r="I21119" t="s">
        <v>29</v>
      </c>
      <c r="J21119" t="s">
        <v>30</v>
      </c>
      <c r="K21119" t="s">
        <v>36679</v>
      </c>
      <c r="M21119" t="s">
        <v>22002</v>
      </c>
      <c r="N21119" t="str">
        <f>"1/31/2024 10:30:00 AM"</f>
        <v>1/31/2024 10:30:00 AM</v>
      </c>
      <c r="O21119" t="s">
        <v>64302</v>
      </c>
    </row>
    <row r="21120" spans="1:20" x14ac:dyDescent="0.25">
      <c r="A21120" t="str">
        <f>"3054866"</f>
        <v>3054866</v>
      </c>
      <c r="B21120" t="s">
        <v>64304</v>
      </c>
      <c r="C21120" t="str">
        <f>"75135200"</f>
        <v>75135200</v>
      </c>
      <c r="D21120" t="s">
        <v>64305</v>
      </c>
      <c r="E21120" t="str">
        <f>"C/O KAREN LUX"</f>
        <v>C/O KAREN LUX</v>
      </c>
      <c r="F21120" t="s">
        <v>38013</v>
      </c>
      <c r="I21120" t="s">
        <v>184</v>
      </c>
      <c r="J21120" t="s">
        <v>30</v>
      </c>
      <c r="K21120" t="s">
        <v>1698</v>
      </c>
      <c r="M21120" t="s">
        <v>25625</v>
      </c>
      <c r="N21120" t="str">
        <f>"2/1/2024 10:43:00 AM"</f>
        <v>2/1/2024 10:43:00 AM</v>
      </c>
      <c r="O21120" t="s">
        <v>64305</v>
      </c>
      <c r="T21120" t="str">
        <f>"C/O KAREN LUX"</f>
        <v>C/O KAREN LUX</v>
      </c>
    </row>
    <row r="21121" spans="1:20" x14ac:dyDescent="0.25">
      <c r="A21121" t="str">
        <f>"3054798"</f>
        <v>3054798</v>
      </c>
      <c r="B21121" t="s">
        <v>64306</v>
      </c>
      <c r="C21121" t="str">
        <f>"8317489"</f>
        <v>8317489</v>
      </c>
      <c r="D21121" t="s">
        <v>62152</v>
      </c>
      <c r="E21121" t="s">
        <v>64307</v>
      </c>
      <c r="F21121" t="s">
        <v>62154</v>
      </c>
      <c r="I21121" t="s">
        <v>29</v>
      </c>
      <c r="J21121" t="s">
        <v>30</v>
      </c>
      <c r="K21121" t="str">
        <f>"27028"</f>
        <v>27028</v>
      </c>
      <c r="M21121" t="s">
        <v>18470</v>
      </c>
      <c r="N21121" t="str">
        <f>"2/2/2024 3:52:00 PM"</f>
        <v>2/2/2024 3:52:00 PM</v>
      </c>
      <c r="O21121" t="s">
        <v>62152</v>
      </c>
      <c r="T21121" t="s">
        <v>64307</v>
      </c>
    </row>
    <row r="21122" spans="1:20" x14ac:dyDescent="0.25">
      <c r="A21122" t="str">
        <f>"3061254"</f>
        <v>3061254</v>
      </c>
      <c r="B21122" t="s">
        <v>64308</v>
      </c>
      <c r="C21122" t="str">
        <f>"8320838"</f>
        <v>8320838</v>
      </c>
      <c r="D21122" t="s">
        <v>64309</v>
      </c>
      <c r="E21122" t="s">
        <v>64310</v>
      </c>
      <c r="F21122" t="s">
        <v>64311</v>
      </c>
      <c r="I21122" t="s">
        <v>37599</v>
      </c>
      <c r="J21122" t="s">
        <v>30</v>
      </c>
      <c r="K21122" t="s">
        <v>64312</v>
      </c>
      <c r="M21122" t="s">
        <v>18479</v>
      </c>
      <c r="N21122" t="str">
        <f>"2/5/2024 9:20:00 AM"</f>
        <v>2/5/2024 9:20:00 AM</v>
      </c>
      <c r="O21122" t="s">
        <v>64309</v>
      </c>
      <c r="T21122" t="s">
        <v>64310</v>
      </c>
    </row>
    <row r="21123" spans="1:20" x14ac:dyDescent="0.25">
      <c r="A21123" t="str">
        <f>"3060414"</f>
        <v>3060414</v>
      </c>
      <c r="B21123" t="s">
        <v>64313</v>
      </c>
      <c r="C21123" t="str">
        <f>"8321854"</f>
        <v>8321854</v>
      </c>
      <c r="D21123" t="s">
        <v>64314</v>
      </c>
      <c r="E21123" t="s">
        <v>64315</v>
      </c>
      <c r="F21123" t="s">
        <v>64316</v>
      </c>
      <c r="I21123" t="s">
        <v>184</v>
      </c>
      <c r="J21123" t="s">
        <v>30</v>
      </c>
      <c r="K21123" t="s">
        <v>3728</v>
      </c>
      <c r="M21123" t="s">
        <v>50500</v>
      </c>
      <c r="N21123" t="str">
        <f>"2/5/2024 10:45:00 AM"</f>
        <v>2/5/2024 10:45:00 AM</v>
      </c>
      <c r="O21123" t="s">
        <v>64314</v>
      </c>
      <c r="T21123" t="s">
        <v>64315</v>
      </c>
    </row>
    <row r="21124" spans="1:20" x14ac:dyDescent="0.25">
      <c r="A21124" t="str">
        <f>"3061654"</f>
        <v>3061654</v>
      </c>
      <c r="B21124" t="s">
        <v>64317</v>
      </c>
      <c r="C21124" t="str">
        <f>"8321856"</f>
        <v>8321856</v>
      </c>
      <c r="D21124" t="str">
        <f>"DELUCIA RICHARD SR/LEILA LOUISE HUIET"</f>
        <v>DELUCIA RICHARD SR/LEILA LOUISE HUIET</v>
      </c>
      <c r="E21124" t="s">
        <v>64318</v>
      </c>
      <c r="F21124" t="s">
        <v>64319</v>
      </c>
      <c r="I21124" t="s">
        <v>29</v>
      </c>
      <c r="J21124" t="s">
        <v>30</v>
      </c>
      <c r="K21124" t="s">
        <v>38638</v>
      </c>
      <c r="M21124" t="s">
        <v>50500</v>
      </c>
      <c r="N21124" t="str">
        <f>"2/5/2024 11:44:00 AM"</f>
        <v>2/5/2024 11:44:00 AM</v>
      </c>
      <c r="O21124" t="str">
        <f>"DELUCIA RICHARD SR/LEILA LOUISE HUIET"</f>
        <v>DELUCIA RICHARD SR/LEILA LOUISE HUIET</v>
      </c>
      <c r="T21124" t="s">
        <v>64318</v>
      </c>
    </row>
    <row r="21125" spans="1:20" x14ac:dyDescent="0.25">
      <c r="A21125" t="str">
        <f>"3076944"</f>
        <v>3076944</v>
      </c>
      <c r="B21125" t="s">
        <v>64320</v>
      </c>
      <c r="C21125" t="str">
        <f>"8321859"</f>
        <v>8321859</v>
      </c>
      <c r="D21125" t="s">
        <v>64258</v>
      </c>
      <c r="F21125" t="s">
        <v>64259</v>
      </c>
      <c r="I21125" t="s">
        <v>402</v>
      </c>
      <c r="J21125" t="s">
        <v>30</v>
      </c>
      <c r="K21125" t="s">
        <v>64260</v>
      </c>
      <c r="M21125" t="s">
        <v>50500</v>
      </c>
      <c r="N21125" t="str">
        <f>"2/5/2024 3:09:00 PM"</f>
        <v>2/5/2024 3:09:00 PM</v>
      </c>
      <c r="O21125" t="s">
        <v>64258</v>
      </c>
    </row>
    <row r="21126" spans="1:20" x14ac:dyDescent="0.25">
      <c r="A21126" t="str">
        <f>"3051226"</f>
        <v>3051226</v>
      </c>
      <c r="B21126" t="s">
        <v>64321</v>
      </c>
      <c r="C21126" t="str">
        <f>"8319813"</f>
        <v>8319813</v>
      </c>
      <c r="D21126" t="s">
        <v>64322</v>
      </c>
      <c r="E21126" t="s">
        <v>64323</v>
      </c>
      <c r="F21126" t="s">
        <v>60788</v>
      </c>
      <c r="I21126" t="s">
        <v>184</v>
      </c>
      <c r="J21126" t="s">
        <v>30</v>
      </c>
      <c r="K21126" t="s">
        <v>21169</v>
      </c>
      <c r="M21126" t="s">
        <v>18479</v>
      </c>
      <c r="N21126" t="str">
        <f>"1/30/2024 3:57:00 PM"</f>
        <v>1/30/2024 3:57:00 PM</v>
      </c>
      <c r="O21126" t="s">
        <v>64322</v>
      </c>
      <c r="T21126" t="s">
        <v>64323</v>
      </c>
    </row>
    <row r="21127" spans="1:20" x14ac:dyDescent="0.25">
      <c r="A21127" t="str">
        <f>"3048399"</f>
        <v>3048399</v>
      </c>
      <c r="B21127" t="s">
        <v>64324</v>
      </c>
      <c r="C21127" t="str">
        <f>"8318402"</f>
        <v>8318402</v>
      </c>
      <c r="D21127" t="s">
        <v>64325</v>
      </c>
      <c r="F21127" t="s">
        <v>64326</v>
      </c>
      <c r="I21127" t="s">
        <v>184</v>
      </c>
      <c r="J21127" t="s">
        <v>30</v>
      </c>
      <c r="K21127" t="s">
        <v>63508</v>
      </c>
      <c r="M21127" t="s">
        <v>50621</v>
      </c>
      <c r="N21127" t="str">
        <f>"2/8/2024 10:40:00 AM"</f>
        <v>2/8/2024 10:40:00 AM</v>
      </c>
      <c r="O21127" t="s">
        <v>64325</v>
      </c>
    </row>
    <row r="21128" spans="1:20" x14ac:dyDescent="0.25">
      <c r="A21128" t="str">
        <f>"3048408"</f>
        <v>3048408</v>
      </c>
      <c r="B21128" t="s">
        <v>64327</v>
      </c>
      <c r="C21128" t="str">
        <f>"8318402"</f>
        <v>8318402</v>
      </c>
      <c r="D21128" t="s">
        <v>64325</v>
      </c>
      <c r="F21128" t="s">
        <v>64326</v>
      </c>
      <c r="I21128" t="s">
        <v>184</v>
      </c>
      <c r="J21128" t="s">
        <v>30</v>
      </c>
      <c r="K21128" t="s">
        <v>63508</v>
      </c>
      <c r="M21128" t="s">
        <v>50621</v>
      </c>
      <c r="N21128" t="str">
        <f>"2/8/2024 10:40:00 AM"</f>
        <v>2/8/2024 10:40:00 AM</v>
      </c>
      <c r="O21128" t="s">
        <v>64325</v>
      </c>
    </row>
    <row r="21129" spans="1:20" x14ac:dyDescent="0.25">
      <c r="A21129" t="str">
        <f>"3049301"</f>
        <v>3049301</v>
      </c>
      <c r="B21129" t="s">
        <v>64328</v>
      </c>
      <c r="C21129" t="str">
        <f>"8318402"</f>
        <v>8318402</v>
      </c>
      <c r="D21129" t="s">
        <v>64325</v>
      </c>
      <c r="F21129" t="s">
        <v>64326</v>
      </c>
      <c r="I21129" t="s">
        <v>184</v>
      </c>
      <c r="J21129" t="s">
        <v>30</v>
      </c>
      <c r="K21129" t="s">
        <v>63508</v>
      </c>
      <c r="M21129" t="s">
        <v>50621</v>
      </c>
      <c r="N21129" t="str">
        <f>"2/8/2024 10:40:00 AM"</f>
        <v>2/8/2024 10:40:00 AM</v>
      </c>
      <c r="O21129" t="s">
        <v>64325</v>
      </c>
    </row>
    <row r="21130" spans="1:20" x14ac:dyDescent="0.25">
      <c r="A21130" t="str">
        <f>"3038994"</f>
        <v>3038994</v>
      </c>
      <c r="B21130" t="s">
        <v>64329</v>
      </c>
      <c r="C21130" t="str">
        <f>"8318948"</f>
        <v>8318948</v>
      </c>
      <c r="D21130" t="str">
        <f>"LASHMIT HENRY/CHRISTINA"</f>
        <v>LASHMIT HENRY/CHRISTINA</v>
      </c>
      <c r="E21130" t="s">
        <v>64330</v>
      </c>
      <c r="F21130" t="s">
        <v>64331</v>
      </c>
      <c r="I21130" t="s">
        <v>29</v>
      </c>
      <c r="J21130" t="s">
        <v>30</v>
      </c>
      <c r="K21130" t="s">
        <v>64332</v>
      </c>
      <c r="M21130" t="s">
        <v>50793</v>
      </c>
      <c r="N21130" t="str">
        <f>"2/8/2024 10:40:00 AM"</f>
        <v>2/8/2024 10:40:00 AM</v>
      </c>
      <c r="O21130" t="str">
        <f>"LASHMIT HENRY/CHRISTINA"</f>
        <v>LASHMIT HENRY/CHRISTINA</v>
      </c>
      <c r="T21130" t="s">
        <v>64330</v>
      </c>
    </row>
    <row r="21131" spans="1:20" x14ac:dyDescent="0.25">
      <c r="A21131" t="str">
        <f>"3039040"</f>
        <v>3039040</v>
      </c>
      <c r="B21131" t="s">
        <v>64333</v>
      </c>
      <c r="C21131" t="str">
        <f>"8311060"</f>
        <v>8311060</v>
      </c>
      <c r="D21131" t="str">
        <f>"LASHMIT THOMAS F/LORI NORMAN"</f>
        <v>LASHMIT THOMAS F/LORI NORMAN</v>
      </c>
      <c r="E21131" t="str">
        <f>"LASHMIT HENRY K/CHRISTINA"</f>
        <v>LASHMIT HENRY K/CHRISTINA</v>
      </c>
      <c r="F21131" t="s">
        <v>64331</v>
      </c>
      <c r="I21131" t="s">
        <v>29</v>
      </c>
      <c r="J21131" t="s">
        <v>30</v>
      </c>
      <c r="K21131" t="s">
        <v>64332</v>
      </c>
      <c r="M21131" t="s">
        <v>50793</v>
      </c>
      <c r="N21131" t="str">
        <f>"2/8/2024 10:41:00 AM"</f>
        <v>2/8/2024 10:41:00 AM</v>
      </c>
      <c r="O21131" t="str">
        <f>"LASHMIT THOMAS F/LORI NORMAN"</f>
        <v>LASHMIT THOMAS F/LORI NORMAN</v>
      </c>
      <c r="T21131" t="str">
        <f>"LASHMIT HENRY K/CHRISTINA"</f>
        <v>LASHMIT HENRY K/CHRISTINA</v>
      </c>
    </row>
    <row r="21132" spans="1:20" x14ac:dyDescent="0.25">
      <c r="A21132" t="str">
        <f>"3055605"</f>
        <v>3055605</v>
      </c>
      <c r="B21132" t="s">
        <v>64334</v>
      </c>
      <c r="C21132" t="str">
        <f>"8321840"</f>
        <v>8321840</v>
      </c>
      <c r="D21132" t="s">
        <v>64335</v>
      </c>
      <c r="E21132" t="s">
        <v>64336</v>
      </c>
      <c r="F21132" t="s">
        <v>64337</v>
      </c>
      <c r="I21132" t="s">
        <v>29</v>
      </c>
      <c r="J21132" t="s">
        <v>30</v>
      </c>
      <c r="K21132" t="s">
        <v>42625</v>
      </c>
      <c r="M21132" t="s">
        <v>50500</v>
      </c>
      <c r="N21132" t="str">
        <f>"1/30/2024 4:04:00 PM"</f>
        <v>1/30/2024 4:04:00 PM</v>
      </c>
      <c r="O21132" t="s">
        <v>64335</v>
      </c>
      <c r="T21132" t="s">
        <v>64336</v>
      </c>
    </row>
    <row r="21133" spans="1:20" x14ac:dyDescent="0.25">
      <c r="A21133" t="str">
        <f>"3058658"</f>
        <v>3058658</v>
      </c>
      <c r="B21133" t="s">
        <v>64338</v>
      </c>
      <c r="C21133" t="str">
        <f>"8321841"</f>
        <v>8321841</v>
      </c>
      <c r="D21133" t="s">
        <v>64339</v>
      </c>
      <c r="E21133" t="s">
        <v>64340</v>
      </c>
      <c r="F21133" t="s">
        <v>64341</v>
      </c>
      <c r="I21133" t="s">
        <v>184</v>
      </c>
      <c r="J21133" t="s">
        <v>30</v>
      </c>
      <c r="K21133" t="s">
        <v>64153</v>
      </c>
      <c r="M21133" t="s">
        <v>50500</v>
      </c>
      <c r="N21133" t="str">
        <f>"1/31/2024 8:17:00 AM"</f>
        <v>1/31/2024 8:17:00 AM</v>
      </c>
      <c r="O21133" t="s">
        <v>64339</v>
      </c>
      <c r="T21133" t="s">
        <v>64340</v>
      </c>
    </row>
    <row r="21134" spans="1:20" x14ac:dyDescent="0.25">
      <c r="A21134" t="str">
        <f>"3064862"</f>
        <v>3064862</v>
      </c>
      <c r="B21134" t="s">
        <v>64342</v>
      </c>
      <c r="C21134" t="str">
        <f>"8321842"</f>
        <v>8321842</v>
      </c>
      <c r="D21134" t="s">
        <v>64343</v>
      </c>
      <c r="E21134" t="s">
        <v>64344</v>
      </c>
      <c r="F21134" t="s">
        <v>64345</v>
      </c>
      <c r="I21134" t="s">
        <v>29</v>
      </c>
      <c r="J21134" t="s">
        <v>30</v>
      </c>
      <c r="K21134" t="s">
        <v>64346</v>
      </c>
      <c r="M21134" t="s">
        <v>50500</v>
      </c>
      <c r="N21134" t="str">
        <f>"1/31/2024 8:31:00 AM"</f>
        <v>1/31/2024 8:31:00 AM</v>
      </c>
      <c r="O21134" t="s">
        <v>64343</v>
      </c>
      <c r="T21134" t="s">
        <v>64344</v>
      </c>
    </row>
    <row r="21135" spans="1:20" x14ac:dyDescent="0.25">
      <c r="A21135" t="str">
        <f>"3055476"</f>
        <v>3055476</v>
      </c>
      <c r="B21135" t="s">
        <v>64347</v>
      </c>
      <c r="C21135" t="str">
        <f>"82518967"</f>
        <v>82518967</v>
      </c>
      <c r="D21135" t="s">
        <v>64348</v>
      </c>
      <c r="E21135" t="s">
        <v>64349</v>
      </c>
      <c r="F21135" t="s">
        <v>64350</v>
      </c>
      <c r="I21135" t="s">
        <v>29</v>
      </c>
      <c r="J21135" t="s">
        <v>30</v>
      </c>
      <c r="K21135" t="s">
        <v>31</v>
      </c>
      <c r="M21135" t="s">
        <v>18470</v>
      </c>
      <c r="N21135" t="str">
        <f>"1/31/2024 9:36:00 AM"</f>
        <v>1/31/2024 9:36:00 AM</v>
      </c>
      <c r="O21135" t="s">
        <v>64348</v>
      </c>
      <c r="T21135" t="s">
        <v>64349</v>
      </c>
    </row>
    <row r="21136" spans="1:20" x14ac:dyDescent="0.25">
      <c r="A21136" t="str">
        <f>"3045344"</f>
        <v>3045344</v>
      </c>
      <c r="B21136" t="s">
        <v>64351</v>
      </c>
      <c r="C21136" t="str">
        <f>"8303290"</f>
        <v>8303290</v>
      </c>
      <c r="D21136" t="s">
        <v>64352</v>
      </c>
      <c r="E21136" t="s">
        <v>64353</v>
      </c>
      <c r="F21136" t="s">
        <v>64354</v>
      </c>
      <c r="I21136" t="s">
        <v>29</v>
      </c>
      <c r="J21136" t="s">
        <v>30</v>
      </c>
      <c r="K21136" t="str">
        <f>"27028"</f>
        <v>27028</v>
      </c>
      <c r="M21136" t="s">
        <v>50621</v>
      </c>
      <c r="N21136" t="str">
        <f>"2/8/2024 10:45:00 AM"</f>
        <v>2/8/2024 10:45:00 AM</v>
      </c>
      <c r="O21136" t="s">
        <v>64352</v>
      </c>
      <c r="T21136" t="s">
        <v>64353</v>
      </c>
    </row>
    <row r="21137" spans="1:20" x14ac:dyDescent="0.25">
      <c r="A21137" t="str">
        <f>"3055124"</f>
        <v>3055124</v>
      </c>
      <c r="B21137" t="s">
        <v>64355</v>
      </c>
      <c r="C21137" t="str">
        <f>"8313033"</f>
        <v>8313033</v>
      </c>
      <c r="D21137" t="s">
        <v>64356</v>
      </c>
      <c r="E21137" t="s">
        <v>64357</v>
      </c>
      <c r="F21137" t="s">
        <v>64358</v>
      </c>
      <c r="I21137" t="s">
        <v>29</v>
      </c>
      <c r="J21137" t="s">
        <v>30</v>
      </c>
      <c r="K21137" t="s">
        <v>64359</v>
      </c>
      <c r="M21137" t="s">
        <v>50793</v>
      </c>
      <c r="N21137" t="str">
        <f>"2/8/2024 10:49:00 AM"</f>
        <v>2/8/2024 10:49:00 AM</v>
      </c>
      <c r="O21137" t="s">
        <v>64356</v>
      </c>
      <c r="T21137" t="s">
        <v>64357</v>
      </c>
    </row>
    <row r="21138" spans="1:20" x14ac:dyDescent="0.25">
      <c r="A21138" t="str">
        <f>"3055528"</f>
        <v>3055528</v>
      </c>
      <c r="B21138" t="s">
        <v>64360</v>
      </c>
      <c r="C21138" t="str">
        <f>"1197500"</f>
        <v>1197500</v>
      </c>
      <c r="D21138" t="s">
        <v>64361</v>
      </c>
      <c r="E21138" t="s">
        <v>64362</v>
      </c>
      <c r="F21138" t="s">
        <v>64363</v>
      </c>
      <c r="I21138" t="s">
        <v>29</v>
      </c>
      <c r="J21138" t="s">
        <v>30</v>
      </c>
      <c r="K21138" t="s">
        <v>31</v>
      </c>
      <c r="M21138" t="s">
        <v>50621</v>
      </c>
      <c r="N21138" t="str">
        <f>"2/8/2024 10:45:00 AM"</f>
        <v>2/8/2024 10:45:00 AM</v>
      </c>
      <c r="O21138" t="s">
        <v>64361</v>
      </c>
      <c r="T21138" t="s">
        <v>64362</v>
      </c>
    </row>
    <row r="21139" spans="1:20" x14ac:dyDescent="0.25">
      <c r="A21139" t="str">
        <f>"3061586"</f>
        <v>3061586</v>
      </c>
      <c r="B21139" t="s">
        <v>64364</v>
      </c>
      <c r="C21139" t="str">
        <f>"82526547"</f>
        <v>82526547</v>
      </c>
      <c r="D21139" t="s">
        <v>64365</v>
      </c>
      <c r="F21139" t="s">
        <v>64366</v>
      </c>
      <c r="I21139" t="s">
        <v>29</v>
      </c>
      <c r="J21139" t="s">
        <v>30</v>
      </c>
      <c r="K21139" t="s">
        <v>31</v>
      </c>
      <c r="M21139" t="s">
        <v>50793</v>
      </c>
      <c r="N21139" t="str">
        <f>"2/8/2024 10:51:00 AM"</f>
        <v>2/8/2024 10:51:00 AM</v>
      </c>
      <c r="O21139" t="s">
        <v>64365</v>
      </c>
    </row>
    <row r="21140" spans="1:20" x14ac:dyDescent="0.25">
      <c r="A21140" t="str">
        <f>"3058690"</f>
        <v>3058690</v>
      </c>
      <c r="B21140" t="s">
        <v>64367</v>
      </c>
      <c r="C21140" t="str">
        <f>"8321843"</f>
        <v>8321843</v>
      </c>
      <c r="D21140" t="s">
        <v>64368</v>
      </c>
      <c r="E21140" t="s">
        <v>64369</v>
      </c>
      <c r="F21140" t="s">
        <v>64370</v>
      </c>
      <c r="I21140" t="s">
        <v>29</v>
      </c>
      <c r="J21140" t="s">
        <v>30</v>
      </c>
      <c r="K21140" t="s">
        <v>9871</v>
      </c>
      <c r="M21140" t="s">
        <v>50500</v>
      </c>
      <c r="N21140" t="str">
        <f>"1/31/2024 9:37:00 AM"</f>
        <v>1/31/2024 9:37:00 AM</v>
      </c>
      <c r="O21140" t="s">
        <v>64368</v>
      </c>
      <c r="T21140" t="s">
        <v>64369</v>
      </c>
    </row>
    <row r="21141" spans="1:20" x14ac:dyDescent="0.25">
      <c r="A21141" t="str">
        <f>"3046161"</f>
        <v>3046161</v>
      </c>
      <c r="B21141" t="s">
        <v>64371</v>
      </c>
      <c r="C21141" t="str">
        <f>"13532000"</f>
        <v>13532000</v>
      </c>
      <c r="D21141" t="s">
        <v>64372</v>
      </c>
      <c r="E21141" t="s">
        <v>64373</v>
      </c>
      <c r="F21141" t="str">
        <f>"C/O LADEANA WYRICK"</f>
        <v>C/O LADEANA WYRICK</v>
      </c>
      <c r="G21141" t="s">
        <v>64374</v>
      </c>
      <c r="I21141" t="s">
        <v>42980</v>
      </c>
      <c r="J21141" t="s">
        <v>30</v>
      </c>
      <c r="K21141" t="str">
        <f>"28173"</f>
        <v>28173</v>
      </c>
      <c r="M21141" t="s">
        <v>18470</v>
      </c>
      <c r="N21141" t="str">
        <f>"1/31/2024 9:56:00 AM"</f>
        <v>1/31/2024 9:56:00 AM</v>
      </c>
      <c r="O21141" t="s">
        <v>64372</v>
      </c>
      <c r="T21141" t="s">
        <v>64373</v>
      </c>
    </row>
    <row r="21142" spans="1:20" x14ac:dyDescent="0.25">
      <c r="A21142" t="str">
        <f>"3046891"</f>
        <v>3046891</v>
      </c>
      <c r="B21142" t="s">
        <v>64375</v>
      </c>
      <c r="C21142" t="str">
        <f>"8309345"</f>
        <v>8309345</v>
      </c>
      <c r="D21142" t="s">
        <v>64376</v>
      </c>
      <c r="F21142" t="s">
        <v>64377</v>
      </c>
      <c r="I21142" t="s">
        <v>17921</v>
      </c>
      <c r="J21142" t="s">
        <v>30</v>
      </c>
      <c r="K21142" t="str">
        <f>"27028"</f>
        <v>27028</v>
      </c>
      <c r="M21142" t="s">
        <v>50793</v>
      </c>
      <c r="N21142" t="str">
        <f>"2/8/2024 10:27:00 AM"</f>
        <v>2/8/2024 10:27:00 AM</v>
      </c>
      <c r="O21142" t="s">
        <v>64376</v>
      </c>
    </row>
    <row r="21143" spans="1:20" x14ac:dyDescent="0.25">
      <c r="A21143" t="str">
        <f>"3049833"</f>
        <v>3049833</v>
      </c>
      <c r="B21143" t="s">
        <v>64378</v>
      </c>
      <c r="C21143" t="str">
        <f>"8306456"</f>
        <v>8306456</v>
      </c>
      <c r="D21143" t="s">
        <v>64379</v>
      </c>
      <c r="E21143" t="s">
        <v>64380</v>
      </c>
      <c r="F21143" t="s">
        <v>64381</v>
      </c>
      <c r="I21143" t="s">
        <v>29</v>
      </c>
      <c r="J21143" t="s">
        <v>30</v>
      </c>
      <c r="K21143" t="str">
        <f>"27028"</f>
        <v>27028</v>
      </c>
      <c r="M21143" t="s">
        <v>50793</v>
      </c>
      <c r="N21143" t="str">
        <f>"2/8/2024 10:30:00 AM"</f>
        <v>2/8/2024 10:30:00 AM</v>
      </c>
      <c r="O21143" t="s">
        <v>64379</v>
      </c>
      <c r="T21143" t="s">
        <v>64380</v>
      </c>
    </row>
    <row r="21144" spans="1:20" x14ac:dyDescent="0.25">
      <c r="A21144" t="str">
        <f>"3054873"</f>
        <v>3054873</v>
      </c>
      <c r="B21144" t="s">
        <v>64382</v>
      </c>
      <c r="C21144" t="str">
        <f>"8317402"</f>
        <v>8317402</v>
      </c>
      <c r="D21144" t="s">
        <v>64383</v>
      </c>
      <c r="F21144" t="s">
        <v>64384</v>
      </c>
      <c r="I21144" t="s">
        <v>29</v>
      </c>
      <c r="J21144" t="s">
        <v>30</v>
      </c>
      <c r="K21144" t="s">
        <v>46272</v>
      </c>
      <c r="M21144" t="s">
        <v>50621</v>
      </c>
      <c r="N21144" t="str">
        <f>"2/8/2024 11:09:00 AM"</f>
        <v>2/8/2024 11:09:00 AM</v>
      </c>
      <c r="O21144" t="s">
        <v>64383</v>
      </c>
    </row>
    <row r="21145" spans="1:20" x14ac:dyDescent="0.25">
      <c r="A21145" t="str">
        <f>"3055189"</f>
        <v>3055189</v>
      </c>
      <c r="B21145" t="s">
        <v>64385</v>
      </c>
      <c r="C21145" t="str">
        <f>"8317402"</f>
        <v>8317402</v>
      </c>
      <c r="D21145" t="s">
        <v>64383</v>
      </c>
      <c r="F21145" t="s">
        <v>64384</v>
      </c>
      <c r="I21145" t="s">
        <v>29</v>
      </c>
      <c r="J21145" t="s">
        <v>30</v>
      </c>
      <c r="K21145" t="s">
        <v>46272</v>
      </c>
      <c r="M21145" t="s">
        <v>50621</v>
      </c>
      <c r="N21145" t="str">
        <f>"2/8/2024 11:09:00 AM"</f>
        <v>2/8/2024 11:09:00 AM</v>
      </c>
      <c r="O21145" t="s">
        <v>64383</v>
      </c>
    </row>
    <row r="21146" spans="1:20" x14ac:dyDescent="0.25">
      <c r="A21146" t="str">
        <f>"3059490"</f>
        <v>3059490</v>
      </c>
      <c r="B21146" t="s">
        <v>64386</v>
      </c>
      <c r="C21146" t="str">
        <f>"8306456"</f>
        <v>8306456</v>
      </c>
      <c r="D21146" t="s">
        <v>64379</v>
      </c>
      <c r="E21146" t="s">
        <v>64380</v>
      </c>
      <c r="F21146" t="s">
        <v>64381</v>
      </c>
      <c r="I21146" t="s">
        <v>29</v>
      </c>
      <c r="J21146" t="s">
        <v>30</v>
      </c>
      <c r="K21146" t="str">
        <f>"27028"</f>
        <v>27028</v>
      </c>
      <c r="M21146" t="s">
        <v>50793</v>
      </c>
      <c r="N21146" t="str">
        <f>"2/8/2024 10:30:00 AM"</f>
        <v>2/8/2024 10:30:00 AM</v>
      </c>
      <c r="O21146" t="s">
        <v>64379</v>
      </c>
      <c r="T21146" t="s">
        <v>64380</v>
      </c>
    </row>
    <row r="21147" spans="1:20" x14ac:dyDescent="0.25">
      <c r="A21147" t="str">
        <f>"3040559"</f>
        <v>3040559</v>
      </c>
      <c r="B21147" t="s">
        <v>64387</v>
      </c>
      <c r="C21147" t="str">
        <f>"44175000"</f>
        <v>44175000</v>
      </c>
      <c r="D21147" t="s">
        <v>64388</v>
      </c>
      <c r="E21147" t="s">
        <v>64389</v>
      </c>
      <c r="F21147" t="s">
        <v>64390</v>
      </c>
      <c r="I21147" t="s">
        <v>184</v>
      </c>
      <c r="J21147" t="s">
        <v>30</v>
      </c>
      <c r="K21147" t="s">
        <v>3550</v>
      </c>
      <c r="M21147" t="s">
        <v>50793</v>
      </c>
      <c r="N21147" t="str">
        <f>"2/8/2024 10:31:00 AM"</f>
        <v>2/8/2024 10:31:00 AM</v>
      </c>
      <c r="O21147" t="s">
        <v>64388</v>
      </c>
      <c r="T21147" t="s">
        <v>64389</v>
      </c>
    </row>
    <row r="21148" spans="1:20" x14ac:dyDescent="0.25">
      <c r="A21148" t="str">
        <f>"3047176"</f>
        <v>3047176</v>
      </c>
      <c r="B21148" t="s">
        <v>64391</v>
      </c>
      <c r="C21148" t="str">
        <f>"324000"</f>
        <v>324000</v>
      </c>
      <c r="D21148" t="s">
        <v>64392</v>
      </c>
      <c r="E21148" t="s">
        <v>64393</v>
      </c>
      <c r="F21148" t="s">
        <v>64394</v>
      </c>
      <c r="I21148" t="s">
        <v>29</v>
      </c>
      <c r="J21148" t="s">
        <v>30</v>
      </c>
      <c r="K21148" t="s">
        <v>31</v>
      </c>
      <c r="M21148" t="s">
        <v>50621</v>
      </c>
      <c r="N21148" t="str">
        <f>"2/8/2024 10:31:00 AM"</f>
        <v>2/8/2024 10:31:00 AM</v>
      </c>
      <c r="O21148" t="s">
        <v>64392</v>
      </c>
      <c r="T21148" t="s">
        <v>64393</v>
      </c>
    </row>
    <row r="21149" spans="1:20" x14ac:dyDescent="0.25">
      <c r="A21149" t="str">
        <f>"3040823"</f>
        <v>3040823</v>
      </c>
      <c r="B21149" t="s">
        <v>64395</v>
      </c>
      <c r="C21149" t="str">
        <f>"572000"</f>
        <v>572000</v>
      </c>
      <c r="D21149" t="s">
        <v>64396</v>
      </c>
      <c r="E21149" t="s">
        <v>64397</v>
      </c>
      <c r="F21149" t="s">
        <v>64398</v>
      </c>
      <c r="G21149" t="s">
        <v>64399</v>
      </c>
      <c r="I21149" t="s">
        <v>48879</v>
      </c>
      <c r="J21149" t="s">
        <v>11994</v>
      </c>
      <c r="K21149" t="s">
        <v>64400</v>
      </c>
      <c r="M21149" t="s">
        <v>50621</v>
      </c>
      <c r="N21149" t="str">
        <f>"2/8/2024 10:36:00 AM"</f>
        <v>2/8/2024 10:36:00 AM</v>
      </c>
      <c r="O21149" t="s">
        <v>64396</v>
      </c>
      <c r="T21149" t="s">
        <v>64397</v>
      </c>
    </row>
    <row r="21150" spans="1:20" x14ac:dyDescent="0.25">
      <c r="A21150" t="str">
        <f>"3055127"</f>
        <v>3055127</v>
      </c>
      <c r="B21150" t="s">
        <v>64401</v>
      </c>
      <c r="C21150" t="str">
        <f>"2565500"</f>
        <v>2565500</v>
      </c>
      <c r="D21150" t="s">
        <v>64402</v>
      </c>
      <c r="F21150" t="s">
        <v>64403</v>
      </c>
      <c r="I21150" t="s">
        <v>64404</v>
      </c>
      <c r="J21150" t="s">
        <v>30</v>
      </c>
      <c r="K21150" t="str">
        <f>"28107"</f>
        <v>28107</v>
      </c>
      <c r="M21150" t="s">
        <v>50621</v>
      </c>
      <c r="N21150" t="str">
        <f>"2/8/2024 11:22:00 AM"</f>
        <v>2/8/2024 11:22:00 AM</v>
      </c>
      <c r="O21150" t="s">
        <v>64402</v>
      </c>
    </row>
    <row r="21151" spans="1:20" x14ac:dyDescent="0.25">
      <c r="A21151" t="str">
        <f>"3043208"</f>
        <v>3043208</v>
      </c>
      <c r="B21151" t="s">
        <v>64405</v>
      </c>
      <c r="C21151" t="str">
        <f>"768000"</f>
        <v>768000</v>
      </c>
      <c r="D21151" t="s">
        <v>64406</v>
      </c>
      <c r="F21151" t="s">
        <v>64407</v>
      </c>
      <c r="I21151" t="s">
        <v>29</v>
      </c>
      <c r="J21151" t="s">
        <v>30</v>
      </c>
      <c r="K21151" t="s">
        <v>7262</v>
      </c>
      <c r="M21151" t="s">
        <v>50621</v>
      </c>
      <c r="N21151" t="str">
        <f>"2/8/2024 10:38:00 AM"</f>
        <v>2/8/2024 10:38:00 AM</v>
      </c>
      <c r="O21151" t="s">
        <v>64406</v>
      </c>
    </row>
    <row r="21152" spans="1:20" x14ac:dyDescent="0.25">
      <c r="A21152" t="str">
        <f>"3048648"</f>
        <v>3048648</v>
      </c>
      <c r="B21152" t="s">
        <v>64408</v>
      </c>
      <c r="C21152" t="str">
        <f>"953000"</f>
        <v>953000</v>
      </c>
      <c r="D21152" t="s">
        <v>64325</v>
      </c>
      <c r="E21152" t="s">
        <v>64409</v>
      </c>
      <c r="F21152" t="s">
        <v>64410</v>
      </c>
      <c r="I21152" t="s">
        <v>184</v>
      </c>
      <c r="J21152" t="s">
        <v>30</v>
      </c>
      <c r="K21152" t="s">
        <v>185</v>
      </c>
      <c r="M21152" t="s">
        <v>50621</v>
      </c>
      <c r="N21152" t="str">
        <f>"2/8/2024 10:40:00 AM"</f>
        <v>2/8/2024 10:40:00 AM</v>
      </c>
      <c r="O21152" t="s">
        <v>64325</v>
      </c>
      <c r="T21152" t="s">
        <v>64409</v>
      </c>
    </row>
    <row r="21153" spans="1:20" x14ac:dyDescent="0.25">
      <c r="A21153" t="str">
        <f>"3048415"</f>
        <v>3048415</v>
      </c>
      <c r="B21153" t="s">
        <v>64411</v>
      </c>
      <c r="C21153" t="str">
        <f>"8318402"</f>
        <v>8318402</v>
      </c>
      <c r="D21153" t="s">
        <v>64325</v>
      </c>
      <c r="F21153" t="s">
        <v>64326</v>
      </c>
      <c r="I21153" t="s">
        <v>184</v>
      </c>
      <c r="J21153" t="s">
        <v>30</v>
      </c>
      <c r="K21153" t="s">
        <v>63508</v>
      </c>
      <c r="M21153" t="s">
        <v>50621</v>
      </c>
      <c r="N21153" t="str">
        <f>"2/8/2024 10:40:00 AM"</f>
        <v>2/8/2024 10:40:00 AM</v>
      </c>
      <c r="O21153" t="s">
        <v>64325</v>
      </c>
    </row>
    <row r="21154" spans="1:20" x14ac:dyDescent="0.25">
      <c r="A21154" t="str">
        <f>"3046312"</f>
        <v>3046312</v>
      </c>
      <c r="B21154" t="s">
        <v>64412</v>
      </c>
      <c r="C21154" t="str">
        <f>"8321873"</f>
        <v>8321873</v>
      </c>
      <c r="D21154" t="s">
        <v>64413</v>
      </c>
      <c r="F21154" t="s">
        <v>7082</v>
      </c>
      <c r="I21154" t="s">
        <v>17921</v>
      </c>
      <c r="J21154" t="s">
        <v>30</v>
      </c>
      <c r="K21154" t="s">
        <v>52737</v>
      </c>
      <c r="M21154" t="s">
        <v>50500</v>
      </c>
      <c r="N21154" t="str">
        <f>"2/6/2024 11:25:00 AM"</f>
        <v>2/6/2024 11:25:00 AM</v>
      </c>
      <c r="O21154" t="s">
        <v>64413</v>
      </c>
    </row>
    <row r="21155" spans="1:20" x14ac:dyDescent="0.25">
      <c r="A21155" t="str">
        <f>"3052170"</f>
        <v>3052170</v>
      </c>
      <c r="B21155" t="s">
        <v>64414</v>
      </c>
      <c r="C21155" t="str">
        <f>"45785000"</f>
        <v>45785000</v>
      </c>
      <c r="D21155" t="s">
        <v>64415</v>
      </c>
      <c r="F21155" t="s">
        <v>64416</v>
      </c>
      <c r="I21155" t="s">
        <v>29</v>
      </c>
      <c r="J21155" t="s">
        <v>30</v>
      </c>
      <c r="K21155" t="s">
        <v>44400</v>
      </c>
      <c r="M21155" t="s">
        <v>50793</v>
      </c>
      <c r="N21155" t="str">
        <f>"2/8/2024 11:26:00 AM"</f>
        <v>2/8/2024 11:26:00 AM</v>
      </c>
      <c r="O21155" t="s">
        <v>64415</v>
      </c>
    </row>
    <row r="21156" spans="1:20" x14ac:dyDescent="0.25">
      <c r="A21156" t="str">
        <f>"3043598"</f>
        <v>3043598</v>
      </c>
      <c r="B21156" t="s">
        <v>64417</v>
      </c>
      <c r="C21156" t="str">
        <f>"82521899"</f>
        <v>82521899</v>
      </c>
      <c r="D21156" t="s">
        <v>64418</v>
      </c>
      <c r="F21156" t="s">
        <v>64416</v>
      </c>
      <c r="I21156" t="s">
        <v>29</v>
      </c>
      <c r="J21156" t="s">
        <v>30</v>
      </c>
      <c r="K21156" t="s">
        <v>31</v>
      </c>
      <c r="M21156" t="s">
        <v>50793</v>
      </c>
      <c r="N21156" t="str">
        <f>"2/8/2024 11:27:00 AM"</f>
        <v>2/8/2024 11:27:00 AM</v>
      </c>
      <c r="O21156" t="s">
        <v>64418</v>
      </c>
    </row>
    <row r="21157" spans="1:20" x14ac:dyDescent="0.25">
      <c r="A21157" t="str">
        <f>"3077694"</f>
        <v>3077694</v>
      </c>
      <c r="B21157" t="s">
        <v>64419</v>
      </c>
      <c r="C21157" t="str">
        <f>"8321873"</f>
        <v>8321873</v>
      </c>
      <c r="D21157" t="s">
        <v>64413</v>
      </c>
      <c r="F21157" t="s">
        <v>7082</v>
      </c>
      <c r="I21157" t="s">
        <v>17921</v>
      </c>
      <c r="J21157" t="s">
        <v>30</v>
      </c>
      <c r="K21157" t="s">
        <v>52737</v>
      </c>
      <c r="M21157" t="s">
        <v>50500</v>
      </c>
      <c r="N21157" t="str">
        <f>"2/6/2024 11:25:00 AM"</f>
        <v>2/6/2024 11:25:00 AM</v>
      </c>
      <c r="O21157" t="s">
        <v>64413</v>
      </c>
    </row>
    <row r="21158" spans="1:20" x14ac:dyDescent="0.25">
      <c r="A21158" t="str">
        <f>"3056653"</f>
        <v>3056653</v>
      </c>
      <c r="B21158" t="s">
        <v>64420</v>
      </c>
      <c r="C21158" t="str">
        <f>"8321901"</f>
        <v>8321901</v>
      </c>
      <c r="D21158" t="s">
        <v>64421</v>
      </c>
      <c r="F21158" t="s">
        <v>11908</v>
      </c>
      <c r="I21158" t="s">
        <v>25280</v>
      </c>
      <c r="J21158" t="s">
        <v>30</v>
      </c>
      <c r="K21158" t="s">
        <v>64422</v>
      </c>
      <c r="M21158" t="s">
        <v>50500</v>
      </c>
      <c r="N21158" t="str">
        <f>"2/7/2024 1:15:00 PM"</f>
        <v>2/7/2024 1:15:00 PM</v>
      </c>
      <c r="O21158" t="s">
        <v>64421</v>
      </c>
    </row>
    <row r="21159" spans="1:20" x14ac:dyDescent="0.25">
      <c r="A21159" t="str">
        <f>"3050847"</f>
        <v>3050847</v>
      </c>
      <c r="B21159" t="s">
        <v>64423</v>
      </c>
      <c r="C21159" t="str">
        <f>"8315997"</f>
        <v>8315997</v>
      </c>
      <c r="D21159" t="s">
        <v>64424</v>
      </c>
      <c r="E21159" t="s">
        <v>47329</v>
      </c>
      <c r="F21159" t="s">
        <v>64425</v>
      </c>
      <c r="I21159" t="s">
        <v>184</v>
      </c>
      <c r="J21159" t="s">
        <v>30</v>
      </c>
      <c r="K21159" t="s">
        <v>46342</v>
      </c>
      <c r="M21159" t="s">
        <v>50621</v>
      </c>
      <c r="N21159" t="str">
        <f>"2/8/2024 11:35:00 AM"</f>
        <v>2/8/2024 11:35:00 AM</v>
      </c>
      <c r="O21159" t="s">
        <v>64424</v>
      </c>
      <c r="T21159" t="s">
        <v>47329</v>
      </c>
    </row>
    <row r="21160" spans="1:20" x14ac:dyDescent="0.25">
      <c r="A21160" t="str">
        <f>"3050692"</f>
        <v>3050692</v>
      </c>
      <c r="B21160" t="s">
        <v>64426</v>
      </c>
      <c r="C21160" t="str">
        <f>"8315997"</f>
        <v>8315997</v>
      </c>
      <c r="D21160" t="s">
        <v>64424</v>
      </c>
      <c r="E21160" t="s">
        <v>47329</v>
      </c>
      <c r="F21160" t="s">
        <v>64425</v>
      </c>
      <c r="I21160" t="s">
        <v>184</v>
      </c>
      <c r="J21160" t="s">
        <v>30</v>
      </c>
      <c r="K21160" t="s">
        <v>46342</v>
      </c>
      <c r="M21160" t="s">
        <v>50621</v>
      </c>
      <c r="N21160" t="str">
        <f>"2/8/2024 11:35:00 AM"</f>
        <v>2/8/2024 11:35:00 AM</v>
      </c>
      <c r="O21160" t="s">
        <v>64424</v>
      </c>
      <c r="T21160" t="s">
        <v>47329</v>
      </c>
    </row>
    <row r="21161" spans="1:20" x14ac:dyDescent="0.25">
      <c r="A21161" t="str">
        <f>"3050681"</f>
        <v>3050681</v>
      </c>
      <c r="B21161" t="s">
        <v>64427</v>
      </c>
      <c r="C21161" t="str">
        <f>"8315997"</f>
        <v>8315997</v>
      </c>
      <c r="D21161" t="s">
        <v>64424</v>
      </c>
      <c r="E21161" t="s">
        <v>47329</v>
      </c>
      <c r="F21161" t="s">
        <v>64425</v>
      </c>
      <c r="I21161" t="s">
        <v>184</v>
      </c>
      <c r="J21161" t="s">
        <v>30</v>
      </c>
      <c r="K21161" t="s">
        <v>46342</v>
      </c>
      <c r="M21161" t="s">
        <v>50621</v>
      </c>
      <c r="N21161" t="str">
        <f>"2/8/2024 11:35:00 AM"</f>
        <v>2/8/2024 11:35:00 AM</v>
      </c>
      <c r="O21161" t="s">
        <v>64424</v>
      </c>
      <c r="T21161" t="s">
        <v>47329</v>
      </c>
    </row>
    <row r="21162" spans="1:20" x14ac:dyDescent="0.25">
      <c r="A21162" t="str">
        <f>"3037651"</f>
        <v>3037651</v>
      </c>
      <c r="B21162" t="s">
        <v>64428</v>
      </c>
      <c r="C21162" t="str">
        <f>"82531127"</f>
        <v>82531127</v>
      </c>
      <c r="D21162" t="s">
        <v>64429</v>
      </c>
      <c r="E21162" t="s">
        <v>64430</v>
      </c>
      <c r="F21162" t="s">
        <v>64431</v>
      </c>
      <c r="I21162" t="s">
        <v>29</v>
      </c>
      <c r="J21162" t="s">
        <v>30</v>
      </c>
      <c r="K21162" t="s">
        <v>64432</v>
      </c>
      <c r="M21162" t="s">
        <v>50621</v>
      </c>
      <c r="N21162" t="str">
        <f>"2/8/2024 11:35:00 AM"</f>
        <v>2/8/2024 11:35:00 AM</v>
      </c>
      <c r="O21162" t="s">
        <v>64429</v>
      </c>
      <c r="T21162" t="s">
        <v>64430</v>
      </c>
    </row>
    <row r="21163" spans="1:20" x14ac:dyDescent="0.25">
      <c r="A21163" t="str">
        <f>"3061997"</f>
        <v>3061997</v>
      </c>
      <c r="B21163" t="s">
        <v>64433</v>
      </c>
      <c r="C21163" t="str">
        <f>"8302484"</f>
        <v>8302484</v>
      </c>
      <c r="D21163" t="s">
        <v>64434</v>
      </c>
      <c r="E21163" t="s">
        <v>64435</v>
      </c>
      <c r="F21163" t="s">
        <v>64436</v>
      </c>
      <c r="I21163" t="s">
        <v>184</v>
      </c>
      <c r="J21163" t="s">
        <v>30</v>
      </c>
      <c r="K21163" t="s">
        <v>34271</v>
      </c>
      <c r="M21163" t="s">
        <v>50621</v>
      </c>
      <c r="N21163" t="str">
        <f>"2/8/2024 11:36:00 AM"</f>
        <v>2/8/2024 11:36:00 AM</v>
      </c>
      <c r="O21163" t="s">
        <v>64434</v>
      </c>
      <c r="T21163" t="s">
        <v>64435</v>
      </c>
    </row>
    <row r="21164" spans="1:20" x14ac:dyDescent="0.25">
      <c r="A21164" t="str">
        <f>"3040568"</f>
        <v>3040568</v>
      </c>
      <c r="B21164" t="s">
        <v>64437</v>
      </c>
      <c r="C21164" t="str">
        <f>"46248800"</f>
        <v>46248800</v>
      </c>
      <c r="D21164" t="s">
        <v>64438</v>
      </c>
      <c r="E21164" t="s">
        <v>64439</v>
      </c>
      <c r="F21164" t="s">
        <v>64440</v>
      </c>
      <c r="I21164" t="s">
        <v>184</v>
      </c>
      <c r="J21164" t="s">
        <v>30</v>
      </c>
      <c r="K21164" t="s">
        <v>185</v>
      </c>
      <c r="M21164" t="s">
        <v>50793</v>
      </c>
      <c r="N21164" t="str">
        <f>"2/8/2024 11:36:00 AM"</f>
        <v>2/8/2024 11:36:00 AM</v>
      </c>
      <c r="O21164" t="s">
        <v>64438</v>
      </c>
      <c r="T21164" t="s">
        <v>64439</v>
      </c>
    </row>
    <row r="21165" spans="1:20" x14ac:dyDescent="0.25">
      <c r="A21165" t="str">
        <f>"3038015"</f>
        <v>3038015</v>
      </c>
      <c r="B21165" t="s">
        <v>64441</v>
      </c>
      <c r="C21165" t="str">
        <f>"8319432"</f>
        <v>8319432</v>
      </c>
      <c r="D21165" t="s">
        <v>64442</v>
      </c>
      <c r="F21165" t="s">
        <v>64443</v>
      </c>
      <c r="I21165" t="s">
        <v>49</v>
      </c>
      <c r="J21165" t="s">
        <v>30</v>
      </c>
      <c r="K21165" t="s">
        <v>55348</v>
      </c>
      <c r="M21165" t="s">
        <v>50621</v>
      </c>
      <c r="N21165" t="str">
        <f>"2/8/2024 11:39:00 AM"</f>
        <v>2/8/2024 11:39:00 AM</v>
      </c>
      <c r="O21165" t="s">
        <v>64442</v>
      </c>
    </row>
    <row r="21166" spans="1:20" x14ac:dyDescent="0.25">
      <c r="A21166" t="str">
        <f>"3039119"</f>
        <v>3039119</v>
      </c>
      <c r="B21166" t="s">
        <v>64444</v>
      </c>
      <c r="C21166" t="str">
        <f>"8308999"</f>
        <v>8308999</v>
      </c>
      <c r="D21166" t="s">
        <v>64445</v>
      </c>
      <c r="E21166" t="s">
        <v>64446</v>
      </c>
      <c r="F21166" t="s">
        <v>64447</v>
      </c>
      <c r="I21166" t="s">
        <v>964</v>
      </c>
      <c r="J21166" t="s">
        <v>30</v>
      </c>
      <c r="K21166" t="str">
        <f>"28146"</f>
        <v>28146</v>
      </c>
      <c r="M21166" t="s">
        <v>50793</v>
      </c>
      <c r="N21166" t="str">
        <f>"2/8/2024 11:40:00 AM"</f>
        <v>2/8/2024 11:40:00 AM</v>
      </c>
      <c r="O21166" t="s">
        <v>64445</v>
      </c>
      <c r="T21166" t="s">
        <v>64446</v>
      </c>
    </row>
    <row r="21167" spans="1:20" x14ac:dyDescent="0.25">
      <c r="A21167" t="str">
        <f>"3049498"</f>
        <v>3049498</v>
      </c>
      <c r="B21167" t="s">
        <v>64448</v>
      </c>
      <c r="C21167" t="str">
        <f>"8321902"</f>
        <v>8321902</v>
      </c>
      <c r="D21167" t="s">
        <v>64449</v>
      </c>
      <c r="F21167" t="s">
        <v>64450</v>
      </c>
      <c r="I21167" t="s">
        <v>29</v>
      </c>
      <c r="J21167" t="s">
        <v>30</v>
      </c>
      <c r="K21167" t="s">
        <v>18825</v>
      </c>
      <c r="M21167" t="s">
        <v>50500</v>
      </c>
      <c r="N21167" t="str">
        <f>"2/7/2024 4:24:00 PM"</f>
        <v>2/7/2024 4:24:00 PM</v>
      </c>
      <c r="O21167" t="s">
        <v>64449</v>
      </c>
    </row>
    <row r="21168" spans="1:20" x14ac:dyDescent="0.25">
      <c r="A21168" t="str">
        <f>"3070179"</f>
        <v>3070179</v>
      </c>
      <c r="B21168" t="s">
        <v>64451</v>
      </c>
      <c r="C21168" t="str">
        <f>"8321902"</f>
        <v>8321902</v>
      </c>
      <c r="D21168" t="s">
        <v>64449</v>
      </c>
      <c r="F21168" t="s">
        <v>64450</v>
      </c>
      <c r="I21168" t="s">
        <v>29</v>
      </c>
      <c r="J21168" t="s">
        <v>30</v>
      </c>
      <c r="K21168" t="s">
        <v>18825</v>
      </c>
      <c r="M21168" t="s">
        <v>50500</v>
      </c>
      <c r="N21168" t="str">
        <f>"2/7/2024 4:24:00 PM"</f>
        <v>2/7/2024 4:24:00 PM</v>
      </c>
      <c r="O21168" t="s">
        <v>64449</v>
      </c>
    </row>
    <row r="21169" spans="1:20" x14ac:dyDescent="0.25">
      <c r="A21169" t="str">
        <f>"3051642"</f>
        <v>3051642</v>
      </c>
      <c r="B21169" t="s">
        <v>64452</v>
      </c>
      <c r="C21169" t="str">
        <f>"170000"</f>
        <v>170000</v>
      </c>
      <c r="D21169" t="s">
        <v>64453</v>
      </c>
      <c r="F21169" t="s">
        <v>64454</v>
      </c>
      <c r="I21169" t="s">
        <v>29</v>
      </c>
      <c r="J21169" t="s">
        <v>30</v>
      </c>
      <c r="K21169" t="s">
        <v>58998</v>
      </c>
      <c r="M21169" t="s">
        <v>50621</v>
      </c>
      <c r="N21169" t="str">
        <f>"2/8/2024 10:24:00 AM"</f>
        <v>2/8/2024 10:24:00 AM</v>
      </c>
      <c r="O21169" t="s">
        <v>64453</v>
      </c>
    </row>
    <row r="21170" spans="1:20" x14ac:dyDescent="0.25">
      <c r="A21170" t="str">
        <f>"3049696"</f>
        <v>3049696</v>
      </c>
      <c r="B21170" t="s">
        <v>64455</v>
      </c>
      <c r="C21170" t="str">
        <f>"46483000"</f>
        <v>46483000</v>
      </c>
      <c r="D21170" t="s">
        <v>64456</v>
      </c>
      <c r="F21170" t="s">
        <v>64457</v>
      </c>
      <c r="I21170" t="s">
        <v>29</v>
      </c>
      <c r="J21170" t="s">
        <v>30</v>
      </c>
      <c r="K21170" t="s">
        <v>36120</v>
      </c>
      <c r="M21170" t="s">
        <v>50793</v>
      </c>
      <c r="N21170" t="str">
        <f>"2/8/2024 11:44:00 AM"</f>
        <v>2/8/2024 11:44:00 AM</v>
      </c>
      <c r="O21170" t="s">
        <v>64456</v>
      </c>
      <c r="T21170" t="s">
        <v>64456</v>
      </c>
    </row>
    <row r="21171" spans="1:20" x14ac:dyDescent="0.25">
      <c r="A21171" t="str">
        <f>"3052141"</f>
        <v>3052141</v>
      </c>
      <c r="B21171" t="s">
        <v>64458</v>
      </c>
      <c r="C21171" t="str">
        <f>"170000"</f>
        <v>170000</v>
      </c>
      <c r="D21171" t="s">
        <v>64453</v>
      </c>
      <c r="F21171" t="s">
        <v>64454</v>
      </c>
      <c r="I21171" t="s">
        <v>29</v>
      </c>
      <c r="J21171" t="s">
        <v>30</v>
      </c>
      <c r="K21171" t="s">
        <v>58998</v>
      </c>
      <c r="M21171" t="s">
        <v>50621</v>
      </c>
      <c r="N21171" t="str">
        <f>"2/8/2024 10:24:00 AM"</f>
        <v>2/8/2024 10:24:00 AM</v>
      </c>
      <c r="O21171" t="s">
        <v>64453</v>
      </c>
    </row>
    <row r="21172" spans="1:20" x14ac:dyDescent="0.25">
      <c r="A21172" t="str">
        <f>"3054563"</f>
        <v>3054563</v>
      </c>
      <c r="B21172" t="s">
        <v>64459</v>
      </c>
      <c r="C21172" t="str">
        <f>"8316548"</f>
        <v>8316548</v>
      </c>
      <c r="D21172" t="s">
        <v>64460</v>
      </c>
      <c r="F21172" t="s">
        <v>64461</v>
      </c>
      <c r="I21172" t="s">
        <v>29</v>
      </c>
      <c r="J21172" t="s">
        <v>30</v>
      </c>
      <c r="K21172" t="s">
        <v>36499</v>
      </c>
      <c r="M21172" t="s">
        <v>50793</v>
      </c>
      <c r="N21172" t="str">
        <f>"2/8/2024 10:24:00 AM"</f>
        <v>2/8/2024 10:24:00 AM</v>
      </c>
      <c r="O21172" t="s">
        <v>64460</v>
      </c>
    </row>
    <row r="21173" spans="1:20" x14ac:dyDescent="0.25">
      <c r="A21173" t="str">
        <f>"3049682"</f>
        <v>3049682</v>
      </c>
      <c r="B21173" t="s">
        <v>64462</v>
      </c>
      <c r="C21173" t="str">
        <f>"46636000"</f>
        <v>46636000</v>
      </c>
      <c r="D21173" t="s">
        <v>64463</v>
      </c>
      <c r="F21173" t="s">
        <v>64464</v>
      </c>
      <c r="I21173" t="s">
        <v>63897</v>
      </c>
      <c r="J21173" t="s">
        <v>30</v>
      </c>
      <c r="K21173" t="s">
        <v>64465</v>
      </c>
      <c r="M21173" t="s">
        <v>50793</v>
      </c>
      <c r="N21173" t="str">
        <f>"2/8/2024 11:48:00 AM"</f>
        <v>2/8/2024 11:48:00 AM</v>
      </c>
      <c r="O21173" t="s">
        <v>64463</v>
      </c>
    </row>
    <row r="21174" spans="1:20" x14ac:dyDescent="0.25">
      <c r="A21174" t="str">
        <f>"3050180"</f>
        <v>3050180</v>
      </c>
      <c r="B21174" t="s">
        <v>64466</v>
      </c>
      <c r="C21174" t="str">
        <f>"46636000"</f>
        <v>46636000</v>
      </c>
      <c r="D21174" t="s">
        <v>64463</v>
      </c>
      <c r="F21174" t="s">
        <v>64464</v>
      </c>
      <c r="I21174" t="s">
        <v>63897</v>
      </c>
      <c r="J21174" t="s">
        <v>30</v>
      </c>
      <c r="K21174" t="s">
        <v>64465</v>
      </c>
      <c r="M21174" t="s">
        <v>50793</v>
      </c>
      <c r="N21174" t="str">
        <f>"2/8/2024 11:48:00 AM"</f>
        <v>2/8/2024 11:48:00 AM</v>
      </c>
      <c r="O21174" t="s">
        <v>64463</v>
      </c>
    </row>
    <row r="21175" spans="1:20" x14ac:dyDescent="0.25">
      <c r="A21175" t="str">
        <f>"3076724"</f>
        <v>3076724</v>
      </c>
      <c r="B21175" t="s">
        <v>64467</v>
      </c>
      <c r="C21175" t="str">
        <f>"8321620"</f>
        <v>8321620</v>
      </c>
      <c r="D21175" t="s">
        <v>64468</v>
      </c>
      <c r="F21175" t="s">
        <v>64469</v>
      </c>
      <c r="I21175" t="s">
        <v>184</v>
      </c>
      <c r="J21175" t="s">
        <v>30</v>
      </c>
      <c r="K21175" t="s">
        <v>1835</v>
      </c>
      <c r="M21175" t="s">
        <v>50621</v>
      </c>
      <c r="N21175" t="str">
        <f>"2/8/2024 11:49:00 AM"</f>
        <v>2/8/2024 11:49:00 AM</v>
      </c>
      <c r="O21175" t="s">
        <v>64468</v>
      </c>
    </row>
    <row r="21176" spans="1:20" x14ac:dyDescent="0.25">
      <c r="A21176" t="str">
        <f>"3050406"</f>
        <v>3050406</v>
      </c>
      <c r="B21176" t="s">
        <v>64470</v>
      </c>
      <c r="C21176" t="str">
        <f>"46661750"</f>
        <v>46661750</v>
      </c>
      <c r="D21176" t="s">
        <v>64471</v>
      </c>
      <c r="E21176" t="s">
        <v>64472</v>
      </c>
      <c r="F21176" t="s">
        <v>64473</v>
      </c>
      <c r="I21176" t="s">
        <v>184</v>
      </c>
      <c r="J21176" t="s">
        <v>30</v>
      </c>
      <c r="K21176" t="s">
        <v>12471</v>
      </c>
      <c r="M21176" t="s">
        <v>50793</v>
      </c>
      <c r="N21176" t="str">
        <f>"2/8/2024 11:50:00 AM"</f>
        <v>2/8/2024 11:50:00 AM</v>
      </c>
      <c r="O21176" t="s">
        <v>64471</v>
      </c>
      <c r="T21176" t="s">
        <v>64472</v>
      </c>
    </row>
    <row r="21177" spans="1:20" x14ac:dyDescent="0.25">
      <c r="A21177" t="str">
        <f>"3050364"</f>
        <v>3050364</v>
      </c>
      <c r="B21177" t="s">
        <v>64474</v>
      </c>
      <c r="C21177" t="str">
        <f>"46661750"</f>
        <v>46661750</v>
      </c>
      <c r="D21177" t="s">
        <v>64471</v>
      </c>
      <c r="E21177" t="s">
        <v>64472</v>
      </c>
      <c r="F21177" t="s">
        <v>64473</v>
      </c>
      <c r="I21177" t="s">
        <v>184</v>
      </c>
      <c r="J21177" t="s">
        <v>30</v>
      </c>
      <c r="K21177" t="s">
        <v>12471</v>
      </c>
      <c r="M21177" t="s">
        <v>50793</v>
      </c>
      <c r="N21177" t="str">
        <f>"2/8/2024 11:50:00 AM"</f>
        <v>2/8/2024 11:50:00 AM</v>
      </c>
      <c r="O21177" t="s">
        <v>64471</v>
      </c>
      <c r="T21177" t="s">
        <v>64472</v>
      </c>
    </row>
    <row r="21178" spans="1:20" x14ac:dyDescent="0.25">
      <c r="A21178" t="str">
        <f>"3063869"</f>
        <v>3063869</v>
      </c>
      <c r="B21178" t="s">
        <v>64475</v>
      </c>
      <c r="C21178" t="str">
        <f>"82532214"</f>
        <v>82532214</v>
      </c>
      <c r="D21178" t="s">
        <v>64476</v>
      </c>
      <c r="E21178" t="s">
        <v>64477</v>
      </c>
      <c r="F21178" t="s">
        <v>64478</v>
      </c>
      <c r="I21178" t="s">
        <v>184</v>
      </c>
      <c r="J21178" t="s">
        <v>30</v>
      </c>
      <c r="K21178" t="s">
        <v>185</v>
      </c>
      <c r="M21178" t="s">
        <v>50621</v>
      </c>
      <c r="N21178" t="str">
        <f>"2/8/2024 10:24:00 AM"</f>
        <v>2/8/2024 10:24:00 AM</v>
      </c>
      <c r="O21178" t="s">
        <v>64476</v>
      </c>
      <c r="T21178" t="s">
        <v>64477</v>
      </c>
    </row>
    <row r="21179" spans="1:20" x14ac:dyDescent="0.25">
      <c r="A21179" t="str">
        <f>"3043167"</f>
        <v>3043167</v>
      </c>
      <c r="B21179" t="s">
        <v>64479</v>
      </c>
      <c r="C21179" t="str">
        <f>"8317145"</f>
        <v>8317145</v>
      </c>
      <c r="D21179" t="s">
        <v>64480</v>
      </c>
      <c r="F21179" t="s">
        <v>64481</v>
      </c>
      <c r="I21179" t="s">
        <v>29</v>
      </c>
      <c r="J21179" t="s">
        <v>30</v>
      </c>
      <c r="K21179" t="s">
        <v>64482</v>
      </c>
      <c r="M21179" t="s">
        <v>50621</v>
      </c>
      <c r="N21179" t="str">
        <f>"2/8/2024 10:42:00 AM"</f>
        <v>2/8/2024 10:42:00 AM</v>
      </c>
      <c r="O21179" t="s">
        <v>64480</v>
      </c>
    </row>
    <row r="21180" spans="1:20" x14ac:dyDescent="0.25">
      <c r="A21180" t="str">
        <f>"3046135"</f>
        <v>3046135</v>
      </c>
      <c r="B21180" t="s">
        <v>64483</v>
      </c>
      <c r="C21180" t="str">
        <f>"4928000"</f>
        <v>4928000</v>
      </c>
      <c r="D21180" t="s">
        <v>64484</v>
      </c>
      <c r="E21180" t="s">
        <v>64485</v>
      </c>
      <c r="F21180" t="s">
        <v>64486</v>
      </c>
      <c r="I21180" t="s">
        <v>29</v>
      </c>
      <c r="J21180" t="s">
        <v>30</v>
      </c>
      <c r="K21180" t="s">
        <v>21544</v>
      </c>
      <c r="M21180" t="s">
        <v>50621</v>
      </c>
      <c r="N21180" t="str">
        <f>"2/8/2024 11:50:00 AM"</f>
        <v>2/8/2024 11:50:00 AM</v>
      </c>
      <c r="O21180" t="s">
        <v>64484</v>
      </c>
      <c r="T21180" t="s">
        <v>64485</v>
      </c>
    </row>
    <row r="21181" spans="1:20" x14ac:dyDescent="0.25">
      <c r="A21181" t="str">
        <f>"3043400"</f>
        <v>3043400</v>
      </c>
      <c r="B21181" t="s">
        <v>64487</v>
      </c>
      <c r="C21181" t="str">
        <f>"4928000"</f>
        <v>4928000</v>
      </c>
      <c r="D21181" t="s">
        <v>64484</v>
      </c>
      <c r="E21181" t="s">
        <v>64485</v>
      </c>
      <c r="F21181" t="s">
        <v>64486</v>
      </c>
      <c r="I21181" t="s">
        <v>29</v>
      </c>
      <c r="J21181" t="s">
        <v>30</v>
      </c>
      <c r="K21181" t="s">
        <v>21544</v>
      </c>
      <c r="M21181" t="s">
        <v>50621</v>
      </c>
      <c r="N21181" t="str">
        <f>"2/8/2024 11:50:00 AM"</f>
        <v>2/8/2024 11:50:00 AM</v>
      </c>
      <c r="O21181" t="s">
        <v>64484</v>
      </c>
      <c r="T21181" t="s">
        <v>64485</v>
      </c>
    </row>
    <row r="21182" spans="1:20" x14ac:dyDescent="0.25">
      <c r="A21182" t="str">
        <f>"3043503"</f>
        <v>3043503</v>
      </c>
      <c r="B21182" t="s">
        <v>64488</v>
      </c>
      <c r="C21182" t="str">
        <f>"4928000"</f>
        <v>4928000</v>
      </c>
      <c r="D21182" t="s">
        <v>64484</v>
      </c>
      <c r="E21182" t="s">
        <v>64485</v>
      </c>
      <c r="F21182" t="s">
        <v>64486</v>
      </c>
      <c r="I21182" t="s">
        <v>29</v>
      </c>
      <c r="J21182" t="s">
        <v>30</v>
      </c>
      <c r="K21182" t="s">
        <v>21544</v>
      </c>
      <c r="M21182" t="s">
        <v>50621</v>
      </c>
      <c r="N21182" t="str">
        <f>"2/8/2024 11:50:00 AM"</f>
        <v>2/8/2024 11:50:00 AM</v>
      </c>
      <c r="O21182" t="s">
        <v>64484</v>
      </c>
      <c r="T21182" t="s">
        <v>64485</v>
      </c>
    </row>
    <row r="21183" spans="1:20" x14ac:dyDescent="0.25">
      <c r="A21183" t="str">
        <f>"3043155"</f>
        <v>3043155</v>
      </c>
      <c r="B21183" t="s">
        <v>64489</v>
      </c>
      <c r="C21183" t="str">
        <f>"4928000"</f>
        <v>4928000</v>
      </c>
      <c r="D21183" t="s">
        <v>64484</v>
      </c>
      <c r="E21183" t="s">
        <v>64485</v>
      </c>
      <c r="F21183" t="s">
        <v>64486</v>
      </c>
      <c r="I21183" t="s">
        <v>29</v>
      </c>
      <c r="J21183" t="s">
        <v>30</v>
      </c>
      <c r="K21183" t="s">
        <v>21544</v>
      </c>
      <c r="M21183" t="s">
        <v>50621</v>
      </c>
      <c r="N21183" t="str">
        <f>"2/8/2024 11:50:00 AM"</f>
        <v>2/8/2024 11:50:00 AM</v>
      </c>
      <c r="O21183" t="s">
        <v>64484</v>
      </c>
      <c r="T21183" t="s">
        <v>64485</v>
      </c>
    </row>
    <row r="21184" spans="1:20" x14ac:dyDescent="0.25">
      <c r="A21184" t="str">
        <f>"3063968"</f>
        <v>3063968</v>
      </c>
      <c r="B21184" t="s">
        <v>64490</v>
      </c>
      <c r="C21184" t="str">
        <f>"46701500"</f>
        <v>46701500</v>
      </c>
      <c r="D21184" t="s">
        <v>64491</v>
      </c>
      <c r="F21184" t="s">
        <v>64492</v>
      </c>
      <c r="I21184" t="s">
        <v>184</v>
      </c>
      <c r="J21184" t="s">
        <v>30</v>
      </c>
      <c r="K21184" t="s">
        <v>185</v>
      </c>
      <c r="M21184" t="s">
        <v>50793</v>
      </c>
      <c r="N21184" t="str">
        <f>"2/8/2024 11:50:00 AM"</f>
        <v>2/8/2024 11:50:00 AM</v>
      </c>
      <c r="O21184" t="s">
        <v>64491</v>
      </c>
    </row>
    <row r="21185" spans="1:20" x14ac:dyDescent="0.25">
      <c r="A21185" t="str">
        <f>"3047849"</f>
        <v>3047849</v>
      </c>
      <c r="B21185" t="s">
        <v>64493</v>
      </c>
      <c r="C21185" t="str">
        <f>"8303986"</f>
        <v>8303986</v>
      </c>
      <c r="D21185" t="s">
        <v>64494</v>
      </c>
      <c r="F21185" t="s">
        <v>64495</v>
      </c>
      <c r="I21185" t="s">
        <v>184</v>
      </c>
      <c r="J21185" t="s">
        <v>30</v>
      </c>
      <c r="K21185" t="str">
        <f>"27006"</f>
        <v>27006</v>
      </c>
      <c r="M21185" t="s">
        <v>50793</v>
      </c>
      <c r="N21185" t="str">
        <f>"2/8/2024 11:51:00 AM"</f>
        <v>2/8/2024 11:51:00 AM</v>
      </c>
      <c r="O21185" t="s">
        <v>64494</v>
      </c>
    </row>
    <row r="21186" spans="1:20" x14ac:dyDescent="0.25">
      <c r="A21186" t="str">
        <f>"3044115"</f>
        <v>3044115</v>
      </c>
      <c r="B21186" t="s">
        <v>64496</v>
      </c>
      <c r="C21186" t="str">
        <f>"8320154"</f>
        <v>8320154</v>
      </c>
      <c r="D21186" t="s">
        <v>64497</v>
      </c>
      <c r="F21186" t="s">
        <v>64498</v>
      </c>
      <c r="I21186" t="s">
        <v>184</v>
      </c>
      <c r="J21186" t="s">
        <v>30</v>
      </c>
      <c r="K21186" t="s">
        <v>64499</v>
      </c>
      <c r="M21186" t="s">
        <v>50621</v>
      </c>
      <c r="N21186" t="str">
        <f>"2/8/2024 11:52:00 AM"</f>
        <v>2/8/2024 11:52:00 AM</v>
      </c>
      <c r="O21186" t="s">
        <v>64497</v>
      </c>
    </row>
    <row r="21187" spans="1:20" x14ac:dyDescent="0.25">
      <c r="A21187" t="str">
        <f>"3041607"</f>
        <v>3041607</v>
      </c>
      <c r="B21187" t="s">
        <v>64500</v>
      </c>
      <c r="C21187" t="str">
        <f>"8309589"</f>
        <v>8309589</v>
      </c>
      <c r="D21187" t="s">
        <v>64501</v>
      </c>
      <c r="E21187" t="s">
        <v>64502</v>
      </c>
      <c r="F21187" t="s">
        <v>64503</v>
      </c>
      <c r="I21187" t="s">
        <v>2071</v>
      </c>
      <c r="J21187" t="s">
        <v>30</v>
      </c>
      <c r="K21187" t="str">
        <f>"27006"</f>
        <v>27006</v>
      </c>
      <c r="M21187" t="s">
        <v>50621</v>
      </c>
      <c r="N21187" t="str">
        <f>"2/8/2024 10:43:00 AM"</f>
        <v>2/8/2024 10:43:00 AM</v>
      </c>
      <c r="O21187" t="s">
        <v>64501</v>
      </c>
      <c r="T21187" t="s">
        <v>64502</v>
      </c>
    </row>
    <row r="21188" spans="1:20" x14ac:dyDescent="0.25">
      <c r="A21188" t="str">
        <f>"3048870"</f>
        <v>3048870</v>
      </c>
      <c r="B21188" t="s">
        <v>64504</v>
      </c>
      <c r="C21188" t="str">
        <f>"8309960"</f>
        <v>8309960</v>
      </c>
      <c r="D21188" t="s">
        <v>64505</v>
      </c>
      <c r="E21188" t="s">
        <v>64506</v>
      </c>
      <c r="F21188" t="s">
        <v>64507</v>
      </c>
      <c r="I21188" t="s">
        <v>29</v>
      </c>
      <c r="J21188" t="s">
        <v>30</v>
      </c>
      <c r="K21188" t="s">
        <v>35172</v>
      </c>
      <c r="M21188" t="s">
        <v>50793</v>
      </c>
      <c r="N21188" t="str">
        <f>"2/8/2024 11:59:00 AM"</f>
        <v>2/8/2024 11:59:00 AM</v>
      </c>
      <c r="O21188" t="s">
        <v>64505</v>
      </c>
      <c r="T21188" t="s">
        <v>64506</v>
      </c>
    </row>
    <row r="21189" spans="1:20" x14ac:dyDescent="0.25">
      <c r="A21189" t="str">
        <f>"3047049"</f>
        <v>3047049</v>
      </c>
      <c r="B21189" t="s">
        <v>64508</v>
      </c>
      <c r="C21189" t="str">
        <f>"5214000"</f>
        <v>5214000</v>
      </c>
      <c r="D21189" t="s">
        <v>64509</v>
      </c>
      <c r="F21189" t="s">
        <v>64510</v>
      </c>
      <c r="I21189" t="s">
        <v>29</v>
      </c>
      <c r="J21189" t="s">
        <v>30</v>
      </c>
      <c r="K21189" t="s">
        <v>31</v>
      </c>
      <c r="M21189" t="s">
        <v>50621</v>
      </c>
      <c r="N21189" t="str">
        <f>"2/8/2024 11:59:00 AM"</f>
        <v>2/8/2024 11:59:00 AM</v>
      </c>
      <c r="O21189" t="s">
        <v>64509</v>
      </c>
    </row>
    <row r="21190" spans="1:20" x14ac:dyDescent="0.25">
      <c r="A21190" t="str">
        <f>"3047549"</f>
        <v>3047549</v>
      </c>
      <c r="B21190" t="s">
        <v>64511</v>
      </c>
      <c r="C21190" t="str">
        <f>"44909000"</f>
        <v>44909000</v>
      </c>
      <c r="D21190" t="s">
        <v>64512</v>
      </c>
      <c r="E21190" t="s">
        <v>64513</v>
      </c>
      <c r="F21190" t="s">
        <v>8621</v>
      </c>
      <c r="I21190" t="s">
        <v>8536</v>
      </c>
      <c r="J21190" t="s">
        <v>30</v>
      </c>
      <c r="K21190" t="s">
        <v>64514</v>
      </c>
      <c r="M21190" t="s">
        <v>50793</v>
      </c>
      <c r="N21190" t="str">
        <f>"2/8/2024 10:45:00 AM"</f>
        <v>2/8/2024 10:45:00 AM</v>
      </c>
      <c r="O21190" t="s">
        <v>64512</v>
      </c>
      <c r="T21190" t="s">
        <v>64513</v>
      </c>
    </row>
    <row r="21191" spans="1:20" x14ac:dyDescent="0.25">
      <c r="A21191" t="str">
        <f>"3040302"</f>
        <v>3040302</v>
      </c>
      <c r="B21191" t="s">
        <v>64515</v>
      </c>
      <c r="C21191" t="str">
        <f>"1124000"</f>
        <v>1124000</v>
      </c>
      <c r="D21191" t="s">
        <v>64516</v>
      </c>
      <c r="F21191" t="s">
        <v>64398</v>
      </c>
      <c r="G21191" t="s">
        <v>64399</v>
      </c>
      <c r="I21191" t="s">
        <v>48879</v>
      </c>
      <c r="J21191" t="s">
        <v>11994</v>
      </c>
      <c r="K21191" t="s">
        <v>64517</v>
      </c>
      <c r="M21191" t="s">
        <v>50621</v>
      </c>
      <c r="N21191" t="str">
        <f>"2/8/2024 10:45:00 AM"</f>
        <v>2/8/2024 10:45:00 AM</v>
      </c>
      <c r="O21191" t="s">
        <v>64516</v>
      </c>
    </row>
    <row r="21192" spans="1:20" x14ac:dyDescent="0.25">
      <c r="A21192" t="str">
        <f>"3042019"</f>
        <v>3042019</v>
      </c>
      <c r="B21192" t="s">
        <v>64518</v>
      </c>
      <c r="C21192" t="str">
        <f>"1602000"</f>
        <v>1602000</v>
      </c>
      <c r="D21192" t="s">
        <v>64519</v>
      </c>
      <c r="E21192" t="s">
        <v>64520</v>
      </c>
      <c r="F21192" t="s">
        <v>64180</v>
      </c>
      <c r="I21192" t="s">
        <v>29</v>
      </c>
      <c r="J21192" t="s">
        <v>30</v>
      </c>
      <c r="K21192" t="s">
        <v>31</v>
      </c>
      <c r="M21192" t="s">
        <v>50621</v>
      </c>
      <c r="N21192" t="str">
        <f>"2/8/2024 11:07:00 AM"</f>
        <v>2/8/2024 11:07:00 AM</v>
      </c>
      <c r="O21192" t="s">
        <v>64519</v>
      </c>
      <c r="T21192" t="s">
        <v>64520</v>
      </c>
    </row>
    <row r="21193" spans="1:20" x14ac:dyDescent="0.25">
      <c r="A21193" t="str">
        <f>"3043590"</f>
        <v>3043590</v>
      </c>
      <c r="B21193" t="s">
        <v>64521</v>
      </c>
      <c r="C21193" t="str">
        <f>"82521966"</f>
        <v>82521966</v>
      </c>
      <c r="D21193" t="s">
        <v>64522</v>
      </c>
      <c r="F21193" t="s">
        <v>64523</v>
      </c>
      <c r="I21193" t="s">
        <v>29</v>
      </c>
      <c r="J21193" t="s">
        <v>30</v>
      </c>
      <c r="K21193" t="s">
        <v>64524</v>
      </c>
      <c r="M21193" t="s">
        <v>50621</v>
      </c>
      <c r="N21193" t="str">
        <f>"2/8/2024 12:06:00 PM"</f>
        <v>2/8/2024 12:06:00 PM</v>
      </c>
      <c r="O21193" t="s">
        <v>64522</v>
      </c>
    </row>
    <row r="21194" spans="1:20" x14ac:dyDescent="0.25">
      <c r="A21194" t="str">
        <f>"3042757"</f>
        <v>3042757</v>
      </c>
      <c r="B21194" t="s">
        <v>64525</v>
      </c>
      <c r="C21194" t="str">
        <f>"8315333"</f>
        <v>8315333</v>
      </c>
      <c r="D21194" t="s">
        <v>64526</v>
      </c>
      <c r="F21194" t="s">
        <v>64527</v>
      </c>
      <c r="I21194" t="s">
        <v>1107</v>
      </c>
      <c r="J21194" t="s">
        <v>30</v>
      </c>
      <c r="K21194" t="s">
        <v>64528</v>
      </c>
      <c r="M21194" t="s">
        <v>50621</v>
      </c>
      <c r="N21194" t="str">
        <f>"2/8/2024 11:19:00 AM"</f>
        <v>2/8/2024 11:19:00 AM</v>
      </c>
      <c r="O21194" t="s">
        <v>64526</v>
      </c>
    </row>
    <row r="21195" spans="1:20" x14ac:dyDescent="0.25">
      <c r="A21195" t="str">
        <f>"3037270"</f>
        <v>3037270</v>
      </c>
      <c r="B21195" t="s">
        <v>64529</v>
      </c>
      <c r="C21195" t="str">
        <f>"82523685"</f>
        <v>82523685</v>
      </c>
      <c r="D21195" t="s">
        <v>64530</v>
      </c>
      <c r="E21195" t="s">
        <v>64531</v>
      </c>
      <c r="F21195" t="s">
        <v>64532</v>
      </c>
      <c r="I21195" t="s">
        <v>49</v>
      </c>
      <c r="J21195" t="s">
        <v>30</v>
      </c>
      <c r="K21195" t="s">
        <v>64533</v>
      </c>
      <c r="M21195" t="s">
        <v>50793</v>
      </c>
      <c r="N21195" t="str">
        <f>"2/8/2024 11:20:00 AM"</f>
        <v>2/8/2024 11:20:00 AM</v>
      </c>
      <c r="O21195" t="s">
        <v>64530</v>
      </c>
      <c r="T21195" t="s">
        <v>64531</v>
      </c>
    </row>
    <row r="21196" spans="1:20" x14ac:dyDescent="0.25">
      <c r="A21196" t="str">
        <f>"3055160"</f>
        <v>3055160</v>
      </c>
      <c r="B21196" t="s">
        <v>64534</v>
      </c>
      <c r="C21196" t="str">
        <f>"15672000"</f>
        <v>15672000</v>
      </c>
      <c r="D21196" t="s">
        <v>64535</v>
      </c>
      <c r="E21196" t="s">
        <v>64536</v>
      </c>
      <c r="F21196" t="str">
        <f>"C/O BEATRICE ARNOLD CLEMENT"</f>
        <v>C/O BEATRICE ARNOLD CLEMENT</v>
      </c>
      <c r="G21196" t="s">
        <v>64537</v>
      </c>
      <c r="I21196" t="s">
        <v>29</v>
      </c>
      <c r="J21196" t="s">
        <v>30</v>
      </c>
      <c r="K21196" t="s">
        <v>64538</v>
      </c>
      <c r="M21196" t="s">
        <v>50621</v>
      </c>
      <c r="N21196" t="str">
        <f>"2/8/2024 11:21:00 AM"</f>
        <v>2/8/2024 11:21:00 AM</v>
      </c>
      <c r="O21196" t="s">
        <v>64535</v>
      </c>
      <c r="T21196" t="s">
        <v>64536</v>
      </c>
    </row>
    <row r="21197" spans="1:20" x14ac:dyDescent="0.25">
      <c r="A21197" t="str">
        <f>"3055095"</f>
        <v>3055095</v>
      </c>
      <c r="B21197" t="s">
        <v>64539</v>
      </c>
      <c r="C21197" t="str">
        <f>"8300682"</f>
        <v>8300682</v>
      </c>
      <c r="D21197" t="s">
        <v>64540</v>
      </c>
      <c r="F21197" t="s">
        <v>64541</v>
      </c>
      <c r="I21197" t="s">
        <v>964</v>
      </c>
      <c r="J21197" t="s">
        <v>30</v>
      </c>
      <c r="K21197" t="str">
        <f>"28144"</f>
        <v>28144</v>
      </c>
      <c r="M21197" t="s">
        <v>50621</v>
      </c>
      <c r="N21197" t="str">
        <f>"2/8/2024 12:36:00 PM"</f>
        <v>2/8/2024 12:36:00 PM</v>
      </c>
      <c r="O21197" t="s">
        <v>64540</v>
      </c>
    </row>
    <row r="21198" spans="1:20" x14ac:dyDescent="0.25">
      <c r="A21198" t="str">
        <f>"3054183"</f>
        <v>3054183</v>
      </c>
      <c r="B21198" t="s">
        <v>64542</v>
      </c>
      <c r="C21198" t="str">
        <f>"8300790"</f>
        <v>8300790</v>
      </c>
      <c r="D21198" t="s">
        <v>64543</v>
      </c>
      <c r="F21198" t="s">
        <v>64544</v>
      </c>
      <c r="I21198" t="s">
        <v>471</v>
      </c>
      <c r="J21198" t="s">
        <v>30</v>
      </c>
      <c r="K21198" t="str">
        <f>"27106"</f>
        <v>27106</v>
      </c>
      <c r="M21198" t="s">
        <v>50793</v>
      </c>
      <c r="N21198" t="str">
        <f>"2/8/2024 11:22:00 AM"</f>
        <v>2/8/2024 11:22:00 AM</v>
      </c>
      <c r="O21198" t="s">
        <v>64543</v>
      </c>
    </row>
    <row r="21199" spans="1:20" x14ac:dyDescent="0.25">
      <c r="A21199" t="str">
        <f>"3069487"</f>
        <v>3069487</v>
      </c>
      <c r="B21199" t="s">
        <v>64545</v>
      </c>
      <c r="C21199" t="str">
        <f>"8316954"</f>
        <v>8316954</v>
      </c>
      <c r="D21199" t="s">
        <v>62752</v>
      </c>
      <c r="F21199" t="s">
        <v>64546</v>
      </c>
      <c r="I21199" t="s">
        <v>29</v>
      </c>
      <c r="J21199" t="s">
        <v>30</v>
      </c>
      <c r="K21199" t="s">
        <v>64547</v>
      </c>
      <c r="M21199" t="s">
        <v>50793</v>
      </c>
      <c r="N21199" t="str">
        <f>"2/8/2024 11:23:00 AM"</f>
        <v>2/8/2024 11:23:00 AM</v>
      </c>
      <c r="O21199" t="s">
        <v>62752</v>
      </c>
    </row>
    <row r="21200" spans="1:20" x14ac:dyDescent="0.25">
      <c r="A21200" t="str">
        <f>"3069489"</f>
        <v>3069489</v>
      </c>
      <c r="B21200" t="s">
        <v>64548</v>
      </c>
      <c r="C21200" t="str">
        <f>"8316954"</f>
        <v>8316954</v>
      </c>
      <c r="D21200" t="s">
        <v>62752</v>
      </c>
      <c r="F21200" t="s">
        <v>64546</v>
      </c>
      <c r="I21200" t="s">
        <v>29</v>
      </c>
      <c r="J21200" t="s">
        <v>30</v>
      </c>
      <c r="K21200" t="s">
        <v>64547</v>
      </c>
      <c r="M21200" t="s">
        <v>50793</v>
      </c>
      <c r="N21200" t="str">
        <f>"2/8/2024 11:23:00 AM"</f>
        <v>2/8/2024 11:23:00 AM</v>
      </c>
      <c r="O21200" t="s">
        <v>62752</v>
      </c>
    </row>
    <row r="21201" spans="1:20" x14ac:dyDescent="0.25">
      <c r="A21201" t="str">
        <f>"3053925"</f>
        <v>3053925</v>
      </c>
      <c r="B21201" t="s">
        <v>64549</v>
      </c>
      <c r="C21201" t="str">
        <f>"45754000"</f>
        <v>45754000</v>
      </c>
      <c r="D21201" t="s">
        <v>64550</v>
      </c>
      <c r="E21201" t="s">
        <v>64551</v>
      </c>
      <c r="F21201" t="s">
        <v>64552</v>
      </c>
      <c r="I21201" t="s">
        <v>29</v>
      </c>
      <c r="J21201" t="s">
        <v>30</v>
      </c>
      <c r="K21201" t="s">
        <v>31</v>
      </c>
      <c r="M21201" t="s">
        <v>50793</v>
      </c>
      <c r="N21201" t="str">
        <f>"2/8/2024 11:26:00 AM"</f>
        <v>2/8/2024 11:26:00 AM</v>
      </c>
      <c r="O21201" t="s">
        <v>64550</v>
      </c>
      <c r="T21201" t="s">
        <v>64551</v>
      </c>
    </row>
    <row r="21202" spans="1:20" x14ac:dyDescent="0.25">
      <c r="A21202" t="str">
        <f>"3050272"</f>
        <v>3050272</v>
      </c>
      <c r="B21202" t="s">
        <v>64553</v>
      </c>
      <c r="C21202" t="str">
        <f>"2824000"</f>
        <v>2824000</v>
      </c>
      <c r="D21202" t="s">
        <v>64554</v>
      </c>
      <c r="F21202" t="s">
        <v>64555</v>
      </c>
      <c r="I21202" t="s">
        <v>29</v>
      </c>
      <c r="J21202" t="s">
        <v>30</v>
      </c>
      <c r="K21202" t="s">
        <v>22200</v>
      </c>
      <c r="M21202" t="s">
        <v>50621</v>
      </c>
      <c r="N21202" t="str">
        <f>"2/8/2024 11:26:00 AM"</f>
        <v>2/8/2024 11:26:00 AM</v>
      </c>
      <c r="O21202" t="s">
        <v>64554</v>
      </c>
    </row>
    <row r="21203" spans="1:20" x14ac:dyDescent="0.25">
      <c r="A21203" t="str">
        <f>"3047594"</f>
        <v>3047594</v>
      </c>
      <c r="B21203" t="s">
        <v>64556</v>
      </c>
      <c r="C21203" t="str">
        <f>"8306733"</f>
        <v>8306733</v>
      </c>
      <c r="D21203" t="s">
        <v>64557</v>
      </c>
      <c r="F21203" t="s">
        <v>64558</v>
      </c>
      <c r="I21203" t="s">
        <v>29</v>
      </c>
      <c r="J21203" t="s">
        <v>30</v>
      </c>
      <c r="K21203" t="str">
        <f>"27028"</f>
        <v>27028</v>
      </c>
      <c r="M21203" t="s">
        <v>50793</v>
      </c>
      <c r="N21203" t="str">
        <f>"2/8/2024 11:31:00 AM"</f>
        <v>2/8/2024 11:31:00 AM</v>
      </c>
      <c r="O21203" t="s">
        <v>64557</v>
      </c>
    </row>
    <row r="21204" spans="1:20" x14ac:dyDescent="0.25">
      <c r="A21204" t="str">
        <f>"3052700"</f>
        <v>3052700</v>
      </c>
      <c r="B21204" t="s">
        <v>64559</v>
      </c>
      <c r="C21204" t="str">
        <f>"8318476"</f>
        <v>8318476</v>
      </c>
      <c r="D21204" t="s">
        <v>64560</v>
      </c>
      <c r="F21204" t="s">
        <v>64561</v>
      </c>
      <c r="I21204" t="s">
        <v>1149</v>
      </c>
      <c r="J21204" t="s">
        <v>30</v>
      </c>
      <c r="K21204" t="s">
        <v>64562</v>
      </c>
      <c r="M21204" t="s">
        <v>50793</v>
      </c>
      <c r="N21204" t="str">
        <f>"2/8/2024 11:35:00 AM"</f>
        <v>2/8/2024 11:35:00 AM</v>
      </c>
      <c r="O21204" t="s">
        <v>64560</v>
      </c>
    </row>
    <row r="21205" spans="1:20" x14ac:dyDescent="0.25">
      <c r="A21205" t="str">
        <f>"3039455"</f>
        <v>3039455</v>
      </c>
      <c r="B21205" t="s">
        <v>64563</v>
      </c>
      <c r="C21205" t="str">
        <f>"8318175"</f>
        <v>8318175</v>
      </c>
      <c r="D21205" t="s">
        <v>64564</v>
      </c>
      <c r="E21205" t="s">
        <v>64565</v>
      </c>
      <c r="F21205" t="s">
        <v>64566</v>
      </c>
      <c r="I21205" t="s">
        <v>29</v>
      </c>
      <c r="J21205" t="s">
        <v>30</v>
      </c>
      <c r="K21205" t="s">
        <v>621</v>
      </c>
      <c r="M21205" t="s">
        <v>50793</v>
      </c>
      <c r="N21205" t="str">
        <f>"2/8/2024 11:40:00 AM"</f>
        <v>2/8/2024 11:40:00 AM</v>
      </c>
      <c r="O21205" t="s">
        <v>64564</v>
      </c>
      <c r="T21205" t="s">
        <v>64565</v>
      </c>
    </row>
    <row r="21206" spans="1:20" x14ac:dyDescent="0.25">
      <c r="A21206" t="str">
        <f>"3055273"</f>
        <v>3055273</v>
      </c>
      <c r="B21206" t="s">
        <v>64567</v>
      </c>
      <c r="C21206" t="str">
        <f>"46482000"</f>
        <v>46482000</v>
      </c>
      <c r="D21206" t="s">
        <v>64568</v>
      </c>
      <c r="E21206" t="s">
        <v>36117</v>
      </c>
      <c r="F21206" t="s">
        <v>64457</v>
      </c>
      <c r="I21206" t="s">
        <v>29</v>
      </c>
      <c r="J21206" t="s">
        <v>30</v>
      </c>
      <c r="K21206" t="s">
        <v>36120</v>
      </c>
      <c r="M21206" t="s">
        <v>50793</v>
      </c>
      <c r="N21206" t="str">
        <f>"2/8/2024 11:44:00 AM"</f>
        <v>2/8/2024 11:44:00 AM</v>
      </c>
      <c r="O21206" t="s">
        <v>64568</v>
      </c>
      <c r="T21206" t="s">
        <v>36117</v>
      </c>
    </row>
    <row r="21207" spans="1:20" x14ac:dyDescent="0.25">
      <c r="A21207" t="str">
        <f>"3056798"</f>
        <v>3056798</v>
      </c>
      <c r="B21207" t="s">
        <v>64569</v>
      </c>
      <c r="C21207" t="str">
        <f>"4197250"</f>
        <v>4197250</v>
      </c>
      <c r="D21207" t="s">
        <v>64570</v>
      </c>
      <c r="E21207" t="s">
        <v>64571</v>
      </c>
      <c r="F21207" t="s">
        <v>64572</v>
      </c>
      <c r="I21207" t="s">
        <v>29</v>
      </c>
      <c r="J21207" t="s">
        <v>30</v>
      </c>
      <c r="K21207" t="s">
        <v>31</v>
      </c>
      <c r="M21207" t="s">
        <v>50621</v>
      </c>
      <c r="N21207" t="str">
        <f>"2/8/2024 11:44:00 AM"</f>
        <v>2/8/2024 11:44:00 AM</v>
      </c>
      <c r="O21207" t="s">
        <v>64570</v>
      </c>
      <c r="T21207" t="s">
        <v>64571</v>
      </c>
    </row>
    <row r="21208" spans="1:20" x14ac:dyDescent="0.25">
      <c r="A21208" t="str">
        <f>"3050590"</f>
        <v>3050590</v>
      </c>
      <c r="B21208" t="s">
        <v>64573</v>
      </c>
      <c r="C21208" t="str">
        <f>"82528736"</f>
        <v>82528736</v>
      </c>
      <c r="D21208" t="s">
        <v>20846</v>
      </c>
      <c r="F21208" t="s">
        <v>20848</v>
      </c>
      <c r="I21208" t="s">
        <v>184</v>
      </c>
      <c r="J21208" t="s">
        <v>30</v>
      </c>
      <c r="K21208" t="s">
        <v>185</v>
      </c>
      <c r="M21208" t="s">
        <v>50621</v>
      </c>
      <c r="N21208" t="str">
        <f>"2/8/2024 11:46:00 AM"</f>
        <v>2/8/2024 11:46:00 AM</v>
      </c>
      <c r="O21208" t="s">
        <v>20846</v>
      </c>
    </row>
    <row r="21209" spans="1:20" x14ac:dyDescent="0.25">
      <c r="A21209" t="str">
        <f>"3040033"</f>
        <v>3040033</v>
      </c>
      <c r="B21209" t="s">
        <v>64574</v>
      </c>
      <c r="C21209" t="str">
        <f>"46577750"</f>
        <v>46577750</v>
      </c>
      <c r="D21209" t="s">
        <v>64575</v>
      </c>
      <c r="F21209" t="s">
        <v>64576</v>
      </c>
      <c r="I21209" t="s">
        <v>29</v>
      </c>
      <c r="J21209" t="s">
        <v>30</v>
      </c>
      <c r="K21209" t="s">
        <v>64577</v>
      </c>
      <c r="M21209" t="s">
        <v>50793</v>
      </c>
      <c r="N21209" t="str">
        <f>"2/8/2024 11:46:00 AM"</f>
        <v>2/8/2024 11:46:00 AM</v>
      </c>
      <c r="O21209" t="s">
        <v>64575</v>
      </c>
    </row>
    <row r="21210" spans="1:20" x14ac:dyDescent="0.25">
      <c r="A21210" t="str">
        <f>"3039157"</f>
        <v>3039157</v>
      </c>
      <c r="B21210" t="s">
        <v>64578</v>
      </c>
      <c r="C21210" t="str">
        <f>"4928000"</f>
        <v>4928000</v>
      </c>
      <c r="D21210" t="s">
        <v>64484</v>
      </c>
      <c r="E21210" t="s">
        <v>64485</v>
      </c>
      <c r="F21210" t="s">
        <v>64486</v>
      </c>
      <c r="I21210" t="s">
        <v>29</v>
      </c>
      <c r="J21210" t="s">
        <v>30</v>
      </c>
      <c r="K21210" t="s">
        <v>21544</v>
      </c>
      <c r="M21210" t="s">
        <v>50621</v>
      </c>
      <c r="N21210" t="str">
        <f>"2/8/2024 11:50:00 AM"</f>
        <v>2/8/2024 11:50:00 AM</v>
      </c>
      <c r="O21210" t="s">
        <v>64484</v>
      </c>
      <c r="T21210" t="s">
        <v>64485</v>
      </c>
    </row>
    <row r="21211" spans="1:20" x14ac:dyDescent="0.25">
      <c r="A21211" t="str">
        <f>"3046200"</f>
        <v>3046200</v>
      </c>
      <c r="B21211" t="s">
        <v>64579</v>
      </c>
      <c r="C21211" t="str">
        <f>"4928000"</f>
        <v>4928000</v>
      </c>
      <c r="D21211" t="s">
        <v>64484</v>
      </c>
      <c r="E21211" t="s">
        <v>64485</v>
      </c>
      <c r="F21211" t="s">
        <v>64486</v>
      </c>
      <c r="I21211" t="s">
        <v>29</v>
      </c>
      <c r="J21211" t="s">
        <v>30</v>
      </c>
      <c r="K21211" t="s">
        <v>21544</v>
      </c>
      <c r="M21211" t="s">
        <v>50621</v>
      </c>
      <c r="N21211" t="str">
        <f>"2/8/2024 11:50:00 AM"</f>
        <v>2/8/2024 11:50:00 AM</v>
      </c>
      <c r="O21211" t="s">
        <v>64484</v>
      </c>
      <c r="T21211" t="s">
        <v>64485</v>
      </c>
    </row>
    <row r="21212" spans="1:20" x14ac:dyDescent="0.25">
      <c r="A21212" t="str">
        <f>"3054153"</f>
        <v>3054153</v>
      </c>
      <c r="B21212" t="s">
        <v>64580</v>
      </c>
      <c r="C21212" t="str">
        <f>"82521679"</f>
        <v>82521679</v>
      </c>
      <c r="D21212" t="s">
        <v>64581</v>
      </c>
      <c r="F21212" t="s">
        <v>64582</v>
      </c>
      <c r="I21212" t="s">
        <v>29</v>
      </c>
      <c r="J21212" t="s">
        <v>30</v>
      </c>
      <c r="K21212" t="s">
        <v>31</v>
      </c>
      <c r="M21212" t="s">
        <v>50793</v>
      </c>
      <c r="N21212" t="str">
        <f>"2/8/2024 11:58:00 AM"</f>
        <v>2/8/2024 11:58:00 AM</v>
      </c>
      <c r="O21212" t="s">
        <v>64581</v>
      </c>
    </row>
    <row r="21213" spans="1:20" x14ac:dyDescent="0.25">
      <c r="A21213" t="str">
        <f>"3054416"</f>
        <v>3054416</v>
      </c>
      <c r="B21213" t="s">
        <v>64583</v>
      </c>
      <c r="C21213" t="str">
        <f>"45281500"</f>
        <v>45281500</v>
      </c>
      <c r="D21213" t="s">
        <v>64584</v>
      </c>
      <c r="F21213" t="s">
        <v>64585</v>
      </c>
      <c r="I21213" t="s">
        <v>29</v>
      </c>
      <c r="J21213" t="s">
        <v>30</v>
      </c>
      <c r="K21213" t="s">
        <v>31</v>
      </c>
      <c r="M21213" t="s">
        <v>50793</v>
      </c>
      <c r="N21213" t="str">
        <f>"2/8/2024 10:53:00 AM"</f>
        <v>2/8/2024 10:53:00 AM</v>
      </c>
      <c r="O21213" t="s">
        <v>64584</v>
      </c>
    </row>
    <row r="21214" spans="1:20" x14ac:dyDescent="0.25">
      <c r="A21214" t="str">
        <f>"3062274"</f>
        <v>3062274</v>
      </c>
      <c r="B21214" t="s">
        <v>64586</v>
      </c>
      <c r="C21214" t="str">
        <f>"8315538"</f>
        <v>8315538</v>
      </c>
      <c r="D21214" t="s">
        <v>64587</v>
      </c>
      <c r="F21214" t="s">
        <v>64588</v>
      </c>
      <c r="I21214" t="s">
        <v>184</v>
      </c>
      <c r="J21214" t="s">
        <v>30</v>
      </c>
      <c r="K21214" t="s">
        <v>64589</v>
      </c>
      <c r="M21214" t="s">
        <v>50793</v>
      </c>
      <c r="N21214" t="str">
        <f>"2/8/2024 11:05:00 AM"</f>
        <v>2/8/2024 11:05:00 AM</v>
      </c>
      <c r="O21214" t="s">
        <v>64587</v>
      </c>
    </row>
    <row r="21215" spans="1:20" x14ac:dyDescent="0.25">
      <c r="A21215" t="str">
        <f>"3038455"</f>
        <v>3038455</v>
      </c>
      <c r="B21215" t="s">
        <v>64590</v>
      </c>
      <c r="C21215" t="str">
        <f>"82531084"</f>
        <v>82531084</v>
      </c>
      <c r="D21215" t="s">
        <v>64591</v>
      </c>
      <c r="E21215" t="s">
        <v>64592</v>
      </c>
      <c r="F21215" t="s">
        <v>64593</v>
      </c>
      <c r="I21215" t="s">
        <v>29</v>
      </c>
      <c r="J21215" t="s">
        <v>30</v>
      </c>
      <c r="K21215" t="s">
        <v>31</v>
      </c>
      <c r="M21215" t="s">
        <v>50793</v>
      </c>
      <c r="N21215" t="str">
        <f>"2/8/2024 1:20:00 PM"</f>
        <v>2/8/2024 1:20:00 PM</v>
      </c>
      <c r="O21215" t="s">
        <v>64591</v>
      </c>
      <c r="T21215" t="s">
        <v>64592</v>
      </c>
    </row>
    <row r="21216" spans="1:20" x14ac:dyDescent="0.25">
      <c r="A21216" t="str">
        <f>"3046059"</f>
        <v>3046059</v>
      </c>
      <c r="B21216" t="s">
        <v>64594</v>
      </c>
      <c r="C21216" t="str">
        <f>"8320698"</f>
        <v>8320698</v>
      </c>
      <c r="D21216" t="s">
        <v>64595</v>
      </c>
      <c r="F21216" t="s">
        <v>64596</v>
      </c>
      <c r="I21216" t="s">
        <v>29</v>
      </c>
      <c r="J21216" t="s">
        <v>30</v>
      </c>
      <c r="K21216" t="str">
        <f>"27028"</f>
        <v>27028</v>
      </c>
      <c r="M21216" t="s">
        <v>25625</v>
      </c>
      <c r="N21216" t="str">
        <f>"2/8/2024 1:38:00 PM"</f>
        <v>2/8/2024 1:38:00 PM</v>
      </c>
      <c r="O21216" t="s">
        <v>64595</v>
      </c>
    </row>
    <row r="21217" spans="1:20" x14ac:dyDescent="0.25">
      <c r="A21217" t="str">
        <f>"3043737"</f>
        <v>3043737</v>
      </c>
      <c r="B21217" t="s">
        <v>64597</v>
      </c>
      <c r="C21217" t="str">
        <f>"8320698"</f>
        <v>8320698</v>
      </c>
      <c r="D21217" t="s">
        <v>64595</v>
      </c>
      <c r="F21217" t="s">
        <v>64596</v>
      </c>
      <c r="I21217" t="s">
        <v>29</v>
      </c>
      <c r="J21217" t="s">
        <v>30</v>
      </c>
      <c r="K21217" t="str">
        <f>"27028"</f>
        <v>27028</v>
      </c>
      <c r="M21217" t="s">
        <v>25625</v>
      </c>
      <c r="N21217" t="str">
        <f>"2/8/2024 1:38:00 PM"</f>
        <v>2/8/2024 1:38:00 PM</v>
      </c>
      <c r="O21217" t="s">
        <v>64595</v>
      </c>
    </row>
    <row r="21218" spans="1:20" x14ac:dyDescent="0.25">
      <c r="A21218" t="str">
        <f>"3042990"</f>
        <v>3042990</v>
      </c>
      <c r="B21218" t="s">
        <v>64598</v>
      </c>
      <c r="C21218" t="str">
        <f>"1602000"</f>
        <v>1602000</v>
      </c>
      <c r="D21218" t="s">
        <v>64519</v>
      </c>
      <c r="E21218" t="s">
        <v>64520</v>
      </c>
      <c r="F21218" t="s">
        <v>64180</v>
      </c>
      <c r="I21218" t="s">
        <v>29</v>
      </c>
      <c r="J21218" t="s">
        <v>30</v>
      </c>
      <c r="K21218" t="s">
        <v>31</v>
      </c>
      <c r="M21218" t="s">
        <v>50621</v>
      </c>
      <c r="N21218" t="str">
        <f>"2/8/2024 11:07:00 AM"</f>
        <v>2/8/2024 11:07:00 AM</v>
      </c>
      <c r="O21218" t="s">
        <v>64519</v>
      </c>
      <c r="T21218" t="s">
        <v>64520</v>
      </c>
    </row>
    <row r="21219" spans="1:20" x14ac:dyDescent="0.25">
      <c r="A21219" t="str">
        <f>"3045581"</f>
        <v>3045581</v>
      </c>
      <c r="B21219" t="s">
        <v>64599</v>
      </c>
      <c r="C21219" t="str">
        <f>"8317922"</f>
        <v>8317922</v>
      </c>
      <c r="D21219" t="s">
        <v>64600</v>
      </c>
      <c r="F21219" t="s">
        <v>64601</v>
      </c>
      <c r="I21219" t="s">
        <v>1149</v>
      </c>
      <c r="J21219" t="s">
        <v>30</v>
      </c>
      <c r="K21219" t="s">
        <v>64602</v>
      </c>
      <c r="M21219" t="s">
        <v>50621</v>
      </c>
      <c r="N21219" t="str">
        <f>"2/8/2024 12:17:00 PM"</f>
        <v>2/8/2024 12:17:00 PM</v>
      </c>
      <c r="O21219" t="s">
        <v>64600</v>
      </c>
    </row>
    <row r="21220" spans="1:20" x14ac:dyDescent="0.25">
      <c r="A21220" t="str">
        <f>"3050533"</f>
        <v>3050533</v>
      </c>
      <c r="B21220" t="s">
        <v>64603</v>
      </c>
      <c r="C21220" t="str">
        <f>"8684000"</f>
        <v>8684000</v>
      </c>
      <c r="D21220" t="s">
        <v>64604</v>
      </c>
      <c r="E21220" t="s">
        <v>30883</v>
      </c>
      <c r="F21220" t="s">
        <v>64605</v>
      </c>
      <c r="I21220" t="s">
        <v>184</v>
      </c>
      <c r="J21220" t="s">
        <v>30</v>
      </c>
      <c r="K21220" t="s">
        <v>185</v>
      </c>
      <c r="M21220" t="s">
        <v>50621</v>
      </c>
      <c r="N21220" t="str">
        <f>"2/8/2024 2:09:00 PM"</f>
        <v>2/8/2024 2:09:00 PM</v>
      </c>
      <c r="O21220" t="s">
        <v>64604</v>
      </c>
      <c r="T21220" t="s">
        <v>30883</v>
      </c>
    </row>
    <row r="21221" spans="1:20" x14ac:dyDescent="0.25">
      <c r="A21221" t="str">
        <f>"3045967"</f>
        <v>3045967</v>
      </c>
      <c r="B21221" t="s">
        <v>64606</v>
      </c>
      <c r="C21221" t="str">
        <f>"82525391"</f>
        <v>82525391</v>
      </c>
      <c r="D21221" t="s">
        <v>64607</v>
      </c>
      <c r="F21221" t="s">
        <v>64608</v>
      </c>
      <c r="I21221" t="s">
        <v>29</v>
      </c>
      <c r="J21221" t="s">
        <v>30</v>
      </c>
      <c r="K21221" t="s">
        <v>31</v>
      </c>
      <c r="M21221" t="s">
        <v>50621</v>
      </c>
      <c r="N21221" t="str">
        <f>"2/8/2024 2:10:00 PM"</f>
        <v>2/8/2024 2:10:00 PM</v>
      </c>
      <c r="O21221" t="s">
        <v>64607</v>
      </c>
    </row>
    <row r="21222" spans="1:20" x14ac:dyDescent="0.25">
      <c r="A21222" t="str">
        <f>"3046450"</f>
        <v>3046450</v>
      </c>
      <c r="B21222" t="s">
        <v>64609</v>
      </c>
      <c r="C21222" t="str">
        <f>"82525391"</f>
        <v>82525391</v>
      </c>
      <c r="D21222" t="s">
        <v>64607</v>
      </c>
      <c r="F21222" t="s">
        <v>64608</v>
      </c>
      <c r="I21222" t="s">
        <v>29</v>
      </c>
      <c r="J21222" t="s">
        <v>30</v>
      </c>
      <c r="K21222" t="s">
        <v>31</v>
      </c>
      <c r="M21222" t="s">
        <v>50621</v>
      </c>
      <c r="N21222" t="str">
        <f>"2/8/2024 2:10:00 PM"</f>
        <v>2/8/2024 2:10:00 PM</v>
      </c>
      <c r="O21222" t="s">
        <v>64607</v>
      </c>
    </row>
    <row r="21223" spans="1:20" x14ac:dyDescent="0.25">
      <c r="A21223" t="str">
        <f>"3051527"</f>
        <v>3051527</v>
      </c>
      <c r="B21223" t="s">
        <v>64610</v>
      </c>
      <c r="C21223" t="str">
        <f>"8734500"</f>
        <v>8734500</v>
      </c>
      <c r="D21223" t="s">
        <v>64611</v>
      </c>
      <c r="E21223" t="s">
        <v>64612</v>
      </c>
      <c r="F21223" t="s">
        <v>64613</v>
      </c>
      <c r="I21223" t="s">
        <v>29</v>
      </c>
      <c r="J21223" t="s">
        <v>30</v>
      </c>
      <c r="K21223" t="s">
        <v>21250</v>
      </c>
      <c r="M21223" t="s">
        <v>50621</v>
      </c>
      <c r="N21223" t="str">
        <f>"2/8/2024 2:13:00 PM"</f>
        <v>2/8/2024 2:13:00 PM</v>
      </c>
      <c r="O21223" t="s">
        <v>64611</v>
      </c>
      <c r="T21223" t="s">
        <v>64612</v>
      </c>
    </row>
    <row r="21224" spans="1:20" x14ac:dyDescent="0.25">
      <c r="A21224" t="str">
        <f>"3041638"</f>
        <v>3041638</v>
      </c>
      <c r="B21224" t="s">
        <v>64614</v>
      </c>
      <c r="C21224" t="str">
        <f>"8316082"</f>
        <v>8316082</v>
      </c>
      <c r="D21224" t="s">
        <v>64615</v>
      </c>
      <c r="E21224" t="s">
        <v>64616</v>
      </c>
      <c r="F21224" t="s">
        <v>64617</v>
      </c>
      <c r="I21224" t="s">
        <v>2071</v>
      </c>
      <c r="J21224" t="s">
        <v>30</v>
      </c>
      <c r="K21224" t="s">
        <v>4142</v>
      </c>
      <c r="M21224" t="s">
        <v>50621</v>
      </c>
      <c r="N21224" t="str">
        <f>"2/8/2024 2:14:00 PM"</f>
        <v>2/8/2024 2:14:00 PM</v>
      </c>
      <c r="O21224" t="s">
        <v>64615</v>
      </c>
      <c r="T21224" t="s">
        <v>64616</v>
      </c>
    </row>
    <row r="21225" spans="1:20" x14ac:dyDescent="0.25">
      <c r="A21225" t="str">
        <f>"3061592"</f>
        <v>3061592</v>
      </c>
      <c r="B21225" t="s">
        <v>64618</v>
      </c>
      <c r="C21225" t="str">
        <f>"82515602"</f>
        <v>82515602</v>
      </c>
      <c r="D21225" t="s">
        <v>23432</v>
      </c>
      <c r="F21225" t="s">
        <v>64619</v>
      </c>
      <c r="I21225" t="s">
        <v>29</v>
      </c>
      <c r="J21225" t="s">
        <v>30</v>
      </c>
      <c r="K21225" t="s">
        <v>31</v>
      </c>
      <c r="M21225" t="s">
        <v>50621</v>
      </c>
      <c r="N21225" t="str">
        <f>"2/8/2024 12:30:00 PM"</f>
        <v>2/8/2024 12:30:00 PM</v>
      </c>
      <c r="O21225" t="s">
        <v>23432</v>
      </c>
    </row>
    <row r="21226" spans="1:20" x14ac:dyDescent="0.25">
      <c r="A21226" t="str">
        <f>"3041976"</f>
        <v>3041976</v>
      </c>
      <c r="B21226" t="s">
        <v>64620</v>
      </c>
      <c r="C21226" t="str">
        <f>"9420000"</f>
        <v>9420000</v>
      </c>
      <c r="D21226" t="s">
        <v>64621</v>
      </c>
      <c r="E21226" t="s">
        <v>64622</v>
      </c>
      <c r="F21226" t="s">
        <v>64623</v>
      </c>
      <c r="I21226" t="s">
        <v>29</v>
      </c>
      <c r="J21226" t="s">
        <v>30</v>
      </c>
      <c r="K21226" t="s">
        <v>2665</v>
      </c>
      <c r="M21226" t="s">
        <v>50621</v>
      </c>
      <c r="N21226" t="str">
        <f>"2/8/2024 2:26:00 PM"</f>
        <v>2/8/2024 2:26:00 PM</v>
      </c>
      <c r="O21226" t="s">
        <v>64621</v>
      </c>
      <c r="T21226" t="s">
        <v>64622</v>
      </c>
    </row>
    <row r="21227" spans="1:20" x14ac:dyDescent="0.25">
      <c r="A21227" t="str">
        <f>"3043043"</f>
        <v>3043043</v>
      </c>
      <c r="B21227" t="s">
        <v>64624</v>
      </c>
      <c r="C21227" t="str">
        <f>"9420000"</f>
        <v>9420000</v>
      </c>
      <c r="D21227" t="s">
        <v>64621</v>
      </c>
      <c r="E21227" t="s">
        <v>64622</v>
      </c>
      <c r="F21227" t="s">
        <v>64623</v>
      </c>
      <c r="I21227" t="s">
        <v>29</v>
      </c>
      <c r="J21227" t="s">
        <v>30</v>
      </c>
      <c r="K21227" t="s">
        <v>2665</v>
      </c>
      <c r="M21227" t="s">
        <v>50621</v>
      </c>
      <c r="N21227" t="str">
        <f>"2/8/2024 2:26:00 PM"</f>
        <v>2/8/2024 2:26:00 PM</v>
      </c>
      <c r="O21227" t="s">
        <v>64621</v>
      </c>
      <c r="T21227" t="s">
        <v>64622</v>
      </c>
    </row>
    <row r="21228" spans="1:20" x14ac:dyDescent="0.25">
      <c r="A21228" t="str">
        <f>"3042992"</f>
        <v>3042992</v>
      </c>
      <c r="B21228" t="s">
        <v>64625</v>
      </c>
      <c r="C21228" t="str">
        <f>"9420000"</f>
        <v>9420000</v>
      </c>
      <c r="D21228" t="s">
        <v>64621</v>
      </c>
      <c r="E21228" t="s">
        <v>64622</v>
      </c>
      <c r="F21228" t="s">
        <v>64623</v>
      </c>
      <c r="I21228" t="s">
        <v>29</v>
      </c>
      <c r="J21228" t="s">
        <v>30</v>
      </c>
      <c r="K21228" t="s">
        <v>2665</v>
      </c>
      <c r="M21228" t="s">
        <v>50621</v>
      </c>
      <c r="N21228" t="str">
        <f>"2/8/2024 2:26:00 PM"</f>
        <v>2/8/2024 2:26:00 PM</v>
      </c>
      <c r="O21228" t="s">
        <v>64621</v>
      </c>
      <c r="T21228" t="s">
        <v>64622</v>
      </c>
    </row>
    <row r="21229" spans="1:20" x14ac:dyDescent="0.25">
      <c r="A21229" t="str">
        <f>"3056738"</f>
        <v>3056738</v>
      </c>
      <c r="B21229" t="s">
        <v>64626</v>
      </c>
      <c r="C21229" t="str">
        <f>"8318181"</f>
        <v>8318181</v>
      </c>
      <c r="D21229" t="s">
        <v>64627</v>
      </c>
      <c r="F21229" t="s">
        <v>64628</v>
      </c>
      <c r="I21229" t="s">
        <v>29</v>
      </c>
      <c r="J21229" t="s">
        <v>30</v>
      </c>
      <c r="K21229" t="s">
        <v>16560</v>
      </c>
      <c r="M21229" t="s">
        <v>50621</v>
      </c>
      <c r="N21229" t="str">
        <f>"2/8/2024 12:35:00 PM"</f>
        <v>2/8/2024 12:35:00 PM</v>
      </c>
      <c r="O21229" t="s">
        <v>64627</v>
      </c>
    </row>
    <row r="21230" spans="1:20" x14ac:dyDescent="0.25">
      <c r="A21230" t="str">
        <f>"3048233"</f>
        <v>3048233</v>
      </c>
      <c r="B21230" t="s">
        <v>64629</v>
      </c>
      <c r="C21230" t="str">
        <f>"82514131"</f>
        <v>82514131</v>
      </c>
      <c r="D21230" t="s">
        <v>64630</v>
      </c>
      <c r="F21230" t="s">
        <v>64631</v>
      </c>
      <c r="I21230" t="s">
        <v>1149</v>
      </c>
      <c r="J21230" t="s">
        <v>30</v>
      </c>
      <c r="K21230" t="s">
        <v>1150</v>
      </c>
      <c r="L21230" t="s">
        <v>30190</v>
      </c>
      <c r="M21230" t="s">
        <v>50621</v>
      </c>
      <c r="N21230" t="str">
        <f>"2/8/2024 2:27:00 PM"</f>
        <v>2/8/2024 2:27:00 PM</v>
      </c>
      <c r="O21230" t="s">
        <v>64630</v>
      </c>
    </row>
    <row r="21231" spans="1:20" x14ac:dyDescent="0.25">
      <c r="A21231" t="str">
        <f>"3063729"</f>
        <v>3063729</v>
      </c>
      <c r="B21231" t="s">
        <v>64632</v>
      </c>
      <c r="C21231" t="str">
        <f>"82519869"</f>
        <v>82519869</v>
      </c>
      <c r="D21231" t="s">
        <v>64633</v>
      </c>
      <c r="F21231" t="s">
        <v>64634</v>
      </c>
      <c r="I21231" t="s">
        <v>29</v>
      </c>
      <c r="J21231" t="s">
        <v>30</v>
      </c>
      <c r="K21231" t="s">
        <v>31</v>
      </c>
      <c r="M21231" t="s">
        <v>50621</v>
      </c>
      <c r="N21231" t="str">
        <f>"2/8/2024 2:28:00 PM"</f>
        <v>2/8/2024 2:28:00 PM</v>
      </c>
      <c r="O21231" t="s">
        <v>64633</v>
      </c>
    </row>
    <row r="21232" spans="1:20" x14ac:dyDescent="0.25">
      <c r="A21232" t="str">
        <f>"3047133"</f>
        <v>3047133</v>
      </c>
      <c r="B21232" t="s">
        <v>64635</v>
      </c>
      <c r="C21232" t="str">
        <f>"8300441"</f>
        <v>8300441</v>
      </c>
      <c r="D21232" t="s">
        <v>64636</v>
      </c>
      <c r="E21232" t="s">
        <v>64637</v>
      </c>
      <c r="F21232" t="s">
        <v>64638</v>
      </c>
      <c r="I21232" t="s">
        <v>29</v>
      </c>
      <c r="J21232" t="s">
        <v>30</v>
      </c>
      <c r="K21232" t="s">
        <v>31</v>
      </c>
      <c r="M21232" t="s">
        <v>50621</v>
      </c>
      <c r="N21232" t="str">
        <f>"2/8/2024 2:35:00 PM"</f>
        <v>2/8/2024 2:35:00 PM</v>
      </c>
      <c r="O21232" t="s">
        <v>64636</v>
      </c>
      <c r="T21232" t="s">
        <v>64637</v>
      </c>
    </row>
    <row r="21233" spans="1:20" x14ac:dyDescent="0.25">
      <c r="A21233" t="str">
        <f>"3046702"</f>
        <v>3046702</v>
      </c>
      <c r="B21233" t="s">
        <v>64639</v>
      </c>
      <c r="C21233" t="str">
        <f>"8300441"</f>
        <v>8300441</v>
      </c>
      <c r="D21233" t="s">
        <v>64636</v>
      </c>
      <c r="E21233" t="s">
        <v>64637</v>
      </c>
      <c r="F21233" t="s">
        <v>64638</v>
      </c>
      <c r="I21233" t="s">
        <v>29</v>
      </c>
      <c r="J21233" t="s">
        <v>30</v>
      </c>
      <c r="K21233" t="s">
        <v>31</v>
      </c>
      <c r="M21233" t="s">
        <v>50621</v>
      </c>
      <c r="N21233" t="str">
        <f>"2/8/2024 2:35:00 PM"</f>
        <v>2/8/2024 2:35:00 PM</v>
      </c>
      <c r="O21233" t="s">
        <v>64636</v>
      </c>
      <c r="T21233" t="s">
        <v>64637</v>
      </c>
    </row>
    <row r="21234" spans="1:20" x14ac:dyDescent="0.25">
      <c r="A21234" t="str">
        <f>"3052544"</f>
        <v>3052544</v>
      </c>
      <c r="B21234" t="s">
        <v>64640</v>
      </c>
      <c r="C21234" t="str">
        <f>"82517184"</f>
        <v>82517184</v>
      </c>
      <c r="D21234" t="s">
        <v>64641</v>
      </c>
      <c r="F21234" t="s">
        <v>64642</v>
      </c>
      <c r="I21234" t="s">
        <v>29</v>
      </c>
      <c r="J21234" t="s">
        <v>30</v>
      </c>
      <c r="K21234" t="s">
        <v>31</v>
      </c>
      <c r="M21234" t="s">
        <v>50621</v>
      </c>
      <c r="N21234" t="str">
        <f>"2/8/2024 12:37:00 PM"</f>
        <v>2/8/2024 12:37:00 PM</v>
      </c>
      <c r="O21234" t="s">
        <v>64641</v>
      </c>
    </row>
    <row r="21235" spans="1:20" x14ac:dyDescent="0.25">
      <c r="A21235" t="str">
        <f>"3038010"</f>
        <v>3038010</v>
      </c>
      <c r="B21235" t="s">
        <v>64643</v>
      </c>
      <c r="C21235" t="str">
        <f>"82516579"</f>
        <v>82516579</v>
      </c>
      <c r="D21235" t="s">
        <v>64644</v>
      </c>
      <c r="F21235" t="str">
        <f>"C/O NANCY GILLESPIE"</f>
        <v>C/O NANCY GILLESPIE</v>
      </c>
      <c r="G21235" t="s">
        <v>64645</v>
      </c>
      <c r="I21235" t="s">
        <v>64646</v>
      </c>
      <c r="J21235" t="s">
        <v>12725</v>
      </c>
      <c r="K21235" t="s">
        <v>64647</v>
      </c>
      <c r="M21235" t="s">
        <v>18470</v>
      </c>
      <c r="N21235" t="str">
        <f>"2/8/2024 12:40:00 PM"</f>
        <v>2/8/2024 12:40:00 PM</v>
      </c>
      <c r="O21235" t="s">
        <v>64644</v>
      </c>
    </row>
    <row r="21236" spans="1:20" x14ac:dyDescent="0.25">
      <c r="A21236" t="str">
        <f>"3056553"</f>
        <v>3056553</v>
      </c>
      <c r="B21236" t="s">
        <v>64648</v>
      </c>
      <c r="C21236" t="str">
        <f>"8317197"</f>
        <v>8317197</v>
      </c>
      <c r="D21236" t="s">
        <v>64649</v>
      </c>
      <c r="F21236" t="s">
        <v>64650</v>
      </c>
      <c r="I21236" t="s">
        <v>29</v>
      </c>
      <c r="J21236" t="s">
        <v>30</v>
      </c>
      <c r="K21236" t="s">
        <v>16489</v>
      </c>
      <c r="M21236" t="s">
        <v>50621</v>
      </c>
      <c r="N21236" t="str">
        <f>"2/8/2024 2:41:00 PM"</f>
        <v>2/8/2024 2:41:00 PM</v>
      </c>
      <c r="O21236" t="s">
        <v>64649</v>
      </c>
    </row>
    <row r="21237" spans="1:20" x14ac:dyDescent="0.25">
      <c r="A21237" t="str">
        <f>"3050000"</f>
        <v>3050000</v>
      </c>
      <c r="B21237" t="s">
        <v>64651</v>
      </c>
      <c r="C21237" t="str">
        <f>"10196000"</f>
        <v>10196000</v>
      </c>
      <c r="D21237" t="s">
        <v>64652</v>
      </c>
      <c r="E21237" t="s">
        <v>26520</v>
      </c>
      <c r="F21237" t="s">
        <v>17907</v>
      </c>
      <c r="I21237" t="s">
        <v>29</v>
      </c>
      <c r="J21237" t="s">
        <v>30</v>
      </c>
      <c r="K21237" t="s">
        <v>64653</v>
      </c>
      <c r="M21237" t="s">
        <v>50621</v>
      </c>
      <c r="N21237" t="str">
        <f>"2/8/2024 2:41:00 PM"</f>
        <v>2/8/2024 2:41:00 PM</v>
      </c>
      <c r="O21237" t="s">
        <v>64652</v>
      </c>
      <c r="T21237" t="s">
        <v>26520</v>
      </c>
    </row>
    <row r="21238" spans="1:20" x14ac:dyDescent="0.25">
      <c r="A21238" t="str">
        <f>"3049502"</f>
        <v>3049502</v>
      </c>
      <c r="B21238" t="s">
        <v>64654</v>
      </c>
      <c r="C21238" t="str">
        <f>"8304816"</f>
        <v>8304816</v>
      </c>
      <c r="D21238" t="s">
        <v>64652</v>
      </c>
      <c r="F21238" t="s">
        <v>17907</v>
      </c>
      <c r="I21238" t="s">
        <v>17921</v>
      </c>
      <c r="J21238" t="s">
        <v>30</v>
      </c>
      <c r="K21238" t="str">
        <f>"27028"</f>
        <v>27028</v>
      </c>
      <c r="M21238" t="s">
        <v>50621</v>
      </c>
      <c r="N21238" t="str">
        <f>"2/8/2024 2:41:00 PM"</f>
        <v>2/8/2024 2:41:00 PM</v>
      </c>
      <c r="O21238" t="s">
        <v>64652</v>
      </c>
    </row>
    <row r="21239" spans="1:20" x14ac:dyDescent="0.25">
      <c r="A21239" t="str">
        <f>"3038493"</f>
        <v>3038493</v>
      </c>
      <c r="B21239" t="s">
        <v>64655</v>
      </c>
      <c r="C21239" t="str">
        <f>"10274000"</f>
        <v>10274000</v>
      </c>
      <c r="D21239" t="s">
        <v>20544</v>
      </c>
      <c r="F21239" t="s">
        <v>20546</v>
      </c>
      <c r="I21239" t="s">
        <v>29</v>
      </c>
      <c r="J21239" t="s">
        <v>30</v>
      </c>
      <c r="K21239" t="s">
        <v>31</v>
      </c>
      <c r="M21239" t="s">
        <v>50621</v>
      </c>
      <c r="N21239" t="str">
        <f>"2/8/2024 2:42:00 PM"</f>
        <v>2/8/2024 2:42:00 PM</v>
      </c>
      <c r="O21239" t="s">
        <v>20544</v>
      </c>
    </row>
    <row r="21240" spans="1:20" x14ac:dyDescent="0.25">
      <c r="A21240" t="str">
        <f>"3038439"</f>
        <v>3038439</v>
      </c>
      <c r="B21240" t="s">
        <v>64656</v>
      </c>
      <c r="C21240" t="str">
        <f>"10274000"</f>
        <v>10274000</v>
      </c>
      <c r="D21240" t="s">
        <v>20544</v>
      </c>
      <c r="F21240" t="s">
        <v>20546</v>
      </c>
      <c r="I21240" t="s">
        <v>29</v>
      </c>
      <c r="J21240" t="s">
        <v>30</v>
      </c>
      <c r="K21240" t="s">
        <v>31</v>
      </c>
      <c r="M21240" t="s">
        <v>50621</v>
      </c>
      <c r="N21240" t="str">
        <f>"2/8/2024 2:42:00 PM"</f>
        <v>2/8/2024 2:42:00 PM</v>
      </c>
      <c r="O21240" t="s">
        <v>20544</v>
      </c>
    </row>
    <row r="21241" spans="1:20" x14ac:dyDescent="0.25">
      <c r="A21241" t="str">
        <f>"3056331"</f>
        <v>3056331</v>
      </c>
      <c r="B21241" t="s">
        <v>64657</v>
      </c>
      <c r="C21241" t="str">
        <f>"8305092"</f>
        <v>8305092</v>
      </c>
      <c r="D21241" t="s">
        <v>64658</v>
      </c>
      <c r="F21241" t="s">
        <v>41664</v>
      </c>
      <c r="I21241" t="s">
        <v>29</v>
      </c>
      <c r="J21241" t="s">
        <v>30</v>
      </c>
      <c r="K21241" t="str">
        <f>"27028"</f>
        <v>27028</v>
      </c>
      <c r="M21241" t="s">
        <v>50621</v>
      </c>
      <c r="N21241" t="str">
        <f>"2/8/2024 2:42:00 PM"</f>
        <v>2/8/2024 2:42:00 PM</v>
      </c>
      <c r="O21241" t="s">
        <v>64658</v>
      </c>
    </row>
    <row r="21242" spans="1:20" x14ac:dyDescent="0.25">
      <c r="A21242" t="str">
        <f>"3075228"</f>
        <v>3075228</v>
      </c>
      <c r="B21242" t="s">
        <v>64659</v>
      </c>
      <c r="C21242" t="str">
        <f>"8304636"</f>
        <v>8304636</v>
      </c>
      <c r="D21242" t="s">
        <v>64660</v>
      </c>
      <c r="F21242" t="s">
        <v>35407</v>
      </c>
      <c r="I21242" t="s">
        <v>29</v>
      </c>
      <c r="J21242" t="s">
        <v>30</v>
      </c>
      <c r="K21242" t="s">
        <v>22691</v>
      </c>
      <c r="M21242" t="s">
        <v>50621</v>
      </c>
      <c r="N21242" t="str">
        <f>"2/8/2024 12:42:00 PM"</f>
        <v>2/8/2024 12:42:00 PM</v>
      </c>
      <c r="O21242" t="s">
        <v>64660</v>
      </c>
    </row>
    <row r="21243" spans="1:20" x14ac:dyDescent="0.25">
      <c r="A21243" t="str">
        <f>"3039338"</f>
        <v>3039338</v>
      </c>
      <c r="B21243" t="s">
        <v>64661</v>
      </c>
      <c r="C21243" t="str">
        <f>"8302654"</f>
        <v>8302654</v>
      </c>
      <c r="D21243" t="s">
        <v>64662</v>
      </c>
      <c r="F21243" t="s">
        <v>64663</v>
      </c>
      <c r="I21243" t="s">
        <v>29</v>
      </c>
      <c r="J21243" t="s">
        <v>30</v>
      </c>
      <c r="K21243" t="str">
        <f>"27028"</f>
        <v>27028</v>
      </c>
      <c r="M21243" t="s">
        <v>50621</v>
      </c>
      <c r="N21243" t="str">
        <f>"2/8/2024 12:47:00 PM"</f>
        <v>2/8/2024 12:47:00 PM</v>
      </c>
      <c r="O21243" t="s">
        <v>64662</v>
      </c>
    </row>
    <row r="21244" spans="1:20" x14ac:dyDescent="0.25">
      <c r="A21244" t="str">
        <f>"3052571"</f>
        <v>3052571</v>
      </c>
      <c r="B21244" t="s">
        <v>64664</v>
      </c>
      <c r="C21244" t="str">
        <f>"10676000"</f>
        <v>10676000</v>
      </c>
      <c r="D21244" t="s">
        <v>64665</v>
      </c>
      <c r="F21244" t="s">
        <v>64666</v>
      </c>
      <c r="I21244" t="s">
        <v>29</v>
      </c>
      <c r="J21244" t="s">
        <v>30</v>
      </c>
      <c r="K21244" t="s">
        <v>31</v>
      </c>
      <c r="M21244" t="s">
        <v>50621</v>
      </c>
      <c r="N21244" t="str">
        <f>"2/8/2024 2:45:00 PM"</f>
        <v>2/8/2024 2:45:00 PM</v>
      </c>
      <c r="O21244" t="s">
        <v>64665</v>
      </c>
    </row>
    <row r="21245" spans="1:20" x14ac:dyDescent="0.25">
      <c r="A21245" t="str">
        <f>"3050921"</f>
        <v>3050921</v>
      </c>
      <c r="B21245" t="s">
        <v>64667</v>
      </c>
      <c r="C21245" t="str">
        <f t="shared" ref="C21245:C21250" si="328">"47012000"</f>
        <v>47012000</v>
      </c>
      <c r="D21245" t="s">
        <v>64668</v>
      </c>
      <c r="E21245" t="s">
        <v>64669</v>
      </c>
      <c r="F21245" t="s">
        <v>64670</v>
      </c>
      <c r="I21245" t="s">
        <v>184</v>
      </c>
      <c r="J21245" t="s">
        <v>30</v>
      </c>
      <c r="K21245" t="s">
        <v>185</v>
      </c>
      <c r="M21245" t="s">
        <v>50793</v>
      </c>
      <c r="N21245" t="str">
        <f t="shared" ref="N21245:N21250" si="329">"2/8/2024 2:51:00 PM"</f>
        <v>2/8/2024 2:51:00 PM</v>
      </c>
      <c r="O21245" t="s">
        <v>64668</v>
      </c>
      <c r="T21245" t="s">
        <v>64669</v>
      </c>
    </row>
    <row r="21246" spans="1:20" x14ac:dyDescent="0.25">
      <c r="A21246" t="str">
        <f>"3048183"</f>
        <v>3048183</v>
      </c>
      <c r="B21246" t="s">
        <v>64671</v>
      </c>
      <c r="C21246" t="str">
        <f t="shared" si="328"/>
        <v>47012000</v>
      </c>
      <c r="D21246" t="s">
        <v>64668</v>
      </c>
      <c r="E21246" t="s">
        <v>64669</v>
      </c>
      <c r="F21246" t="s">
        <v>64670</v>
      </c>
      <c r="I21246" t="s">
        <v>184</v>
      </c>
      <c r="J21246" t="s">
        <v>30</v>
      </c>
      <c r="K21246" t="s">
        <v>185</v>
      </c>
      <c r="M21246" t="s">
        <v>50793</v>
      </c>
      <c r="N21246" t="str">
        <f t="shared" si="329"/>
        <v>2/8/2024 2:51:00 PM</v>
      </c>
      <c r="O21246" t="s">
        <v>64668</v>
      </c>
      <c r="T21246" t="s">
        <v>64669</v>
      </c>
    </row>
    <row r="21247" spans="1:20" x14ac:dyDescent="0.25">
      <c r="A21247" t="str">
        <f>"3047837"</f>
        <v>3047837</v>
      </c>
      <c r="B21247" t="s">
        <v>64672</v>
      </c>
      <c r="C21247" t="str">
        <f t="shared" si="328"/>
        <v>47012000</v>
      </c>
      <c r="D21247" t="s">
        <v>64668</v>
      </c>
      <c r="E21247" t="s">
        <v>64669</v>
      </c>
      <c r="F21247" t="s">
        <v>64670</v>
      </c>
      <c r="I21247" t="s">
        <v>184</v>
      </c>
      <c r="J21247" t="s">
        <v>30</v>
      </c>
      <c r="K21247" t="s">
        <v>185</v>
      </c>
      <c r="M21247" t="s">
        <v>50793</v>
      </c>
      <c r="N21247" t="str">
        <f t="shared" si="329"/>
        <v>2/8/2024 2:51:00 PM</v>
      </c>
      <c r="O21247" t="s">
        <v>64668</v>
      </c>
      <c r="T21247" t="s">
        <v>64669</v>
      </c>
    </row>
    <row r="21248" spans="1:20" x14ac:dyDescent="0.25">
      <c r="A21248" t="str">
        <f>"3047857"</f>
        <v>3047857</v>
      </c>
      <c r="B21248" t="s">
        <v>64673</v>
      </c>
      <c r="C21248" t="str">
        <f t="shared" si="328"/>
        <v>47012000</v>
      </c>
      <c r="D21248" t="s">
        <v>64668</v>
      </c>
      <c r="E21248" t="s">
        <v>64669</v>
      </c>
      <c r="F21248" t="s">
        <v>64670</v>
      </c>
      <c r="I21248" t="s">
        <v>184</v>
      </c>
      <c r="J21248" t="s">
        <v>30</v>
      </c>
      <c r="K21248" t="s">
        <v>185</v>
      </c>
      <c r="M21248" t="s">
        <v>50793</v>
      </c>
      <c r="N21248" t="str">
        <f t="shared" si="329"/>
        <v>2/8/2024 2:51:00 PM</v>
      </c>
      <c r="O21248" t="s">
        <v>64668</v>
      </c>
      <c r="T21248" t="s">
        <v>64669</v>
      </c>
    </row>
    <row r="21249" spans="1:20" x14ac:dyDescent="0.25">
      <c r="A21249" t="str">
        <f>"3047761"</f>
        <v>3047761</v>
      </c>
      <c r="B21249" t="s">
        <v>64674</v>
      </c>
      <c r="C21249" t="str">
        <f t="shared" si="328"/>
        <v>47012000</v>
      </c>
      <c r="D21249" t="s">
        <v>64668</v>
      </c>
      <c r="E21249" t="s">
        <v>64669</v>
      </c>
      <c r="F21249" t="s">
        <v>64670</v>
      </c>
      <c r="I21249" t="s">
        <v>184</v>
      </c>
      <c r="J21249" t="s">
        <v>30</v>
      </c>
      <c r="K21249" t="s">
        <v>185</v>
      </c>
      <c r="M21249" t="s">
        <v>50793</v>
      </c>
      <c r="N21249" t="str">
        <f t="shared" si="329"/>
        <v>2/8/2024 2:51:00 PM</v>
      </c>
      <c r="O21249" t="s">
        <v>64668</v>
      </c>
      <c r="T21249" t="s">
        <v>64669</v>
      </c>
    </row>
    <row r="21250" spans="1:20" x14ac:dyDescent="0.25">
      <c r="A21250" t="str">
        <f>"3047377"</f>
        <v>3047377</v>
      </c>
      <c r="B21250" t="s">
        <v>64675</v>
      </c>
      <c r="C21250" t="str">
        <f t="shared" si="328"/>
        <v>47012000</v>
      </c>
      <c r="D21250" t="s">
        <v>64668</v>
      </c>
      <c r="E21250" t="s">
        <v>64669</v>
      </c>
      <c r="F21250" t="s">
        <v>64670</v>
      </c>
      <c r="I21250" t="s">
        <v>184</v>
      </c>
      <c r="J21250" t="s">
        <v>30</v>
      </c>
      <c r="K21250" t="s">
        <v>185</v>
      </c>
      <c r="M21250" t="s">
        <v>50793</v>
      </c>
      <c r="N21250" t="str">
        <f t="shared" si="329"/>
        <v>2/8/2024 2:51:00 PM</v>
      </c>
      <c r="O21250" t="s">
        <v>64668</v>
      </c>
      <c r="T21250" t="s">
        <v>64669</v>
      </c>
    </row>
    <row r="21251" spans="1:20" x14ac:dyDescent="0.25">
      <c r="A21251" t="str">
        <f>"3039971"</f>
        <v>3039971</v>
      </c>
      <c r="B21251" t="s">
        <v>64676</v>
      </c>
      <c r="C21251" t="str">
        <f>"8302654"</f>
        <v>8302654</v>
      </c>
      <c r="D21251" t="s">
        <v>64662</v>
      </c>
      <c r="F21251" t="s">
        <v>64663</v>
      </c>
      <c r="I21251" t="s">
        <v>29</v>
      </c>
      <c r="J21251" t="s">
        <v>30</v>
      </c>
      <c r="K21251" t="str">
        <f>"27028"</f>
        <v>27028</v>
      </c>
      <c r="M21251" t="s">
        <v>50621</v>
      </c>
      <c r="N21251" t="str">
        <f>"2/8/2024 12:47:00 PM"</f>
        <v>2/8/2024 12:47:00 PM</v>
      </c>
      <c r="O21251" t="s">
        <v>64662</v>
      </c>
    </row>
    <row r="21252" spans="1:20" x14ac:dyDescent="0.25">
      <c r="A21252" t="str">
        <f>"3039174"</f>
        <v>3039174</v>
      </c>
      <c r="B21252" t="s">
        <v>64677</v>
      </c>
      <c r="C21252" t="str">
        <f>"8311336"</f>
        <v>8311336</v>
      </c>
      <c r="D21252" t="s">
        <v>64678</v>
      </c>
      <c r="F21252" t="s">
        <v>64679</v>
      </c>
      <c r="I21252" t="s">
        <v>29</v>
      </c>
      <c r="J21252" t="s">
        <v>30</v>
      </c>
      <c r="K21252" t="s">
        <v>1056</v>
      </c>
      <c r="M21252" t="s">
        <v>50621</v>
      </c>
      <c r="N21252" t="str">
        <f>"2/8/2024 12:47:00 PM"</f>
        <v>2/8/2024 12:47:00 PM</v>
      </c>
      <c r="O21252" t="s">
        <v>64678</v>
      </c>
    </row>
    <row r="21253" spans="1:20" x14ac:dyDescent="0.25">
      <c r="A21253" t="str">
        <f>"3039257"</f>
        <v>3039257</v>
      </c>
      <c r="B21253" t="s">
        <v>64680</v>
      </c>
      <c r="C21253" t="str">
        <f>"7364000"</f>
        <v>7364000</v>
      </c>
      <c r="D21253" t="s">
        <v>64681</v>
      </c>
      <c r="E21253" t="s">
        <v>64682</v>
      </c>
      <c r="F21253" t="s">
        <v>64683</v>
      </c>
      <c r="I21253" t="s">
        <v>29</v>
      </c>
      <c r="J21253" t="s">
        <v>30</v>
      </c>
      <c r="K21253" t="s">
        <v>1056</v>
      </c>
      <c r="M21253" t="s">
        <v>50621</v>
      </c>
      <c r="N21253" t="str">
        <f>"2/8/2024 12:47:00 PM"</f>
        <v>2/8/2024 12:47:00 PM</v>
      </c>
      <c r="O21253" t="s">
        <v>64681</v>
      </c>
      <c r="T21253" t="s">
        <v>64682</v>
      </c>
    </row>
    <row r="21254" spans="1:20" x14ac:dyDescent="0.25">
      <c r="A21254" t="str">
        <f>"3066588"</f>
        <v>3066588</v>
      </c>
      <c r="B21254" t="s">
        <v>64684</v>
      </c>
      <c r="C21254" t="str">
        <f>"7732000"</f>
        <v>7732000</v>
      </c>
      <c r="D21254" t="s">
        <v>64685</v>
      </c>
      <c r="E21254" t="s">
        <v>64686</v>
      </c>
      <c r="F21254" t="s">
        <v>64687</v>
      </c>
      <c r="I21254" t="s">
        <v>29</v>
      </c>
      <c r="J21254" t="s">
        <v>30</v>
      </c>
      <c r="K21254" t="s">
        <v>31</v>
      </c>
      <c r="M21254" t="s">
        <v>50621</v>
      </c>
      <c r="N21254" t="str">
        <f>"2/8/2024 12:52:00 PM"</f>
        <v>2/8/2024 12:52:00 PM</v>
      </c>
      <c r="O21254" t="s">
        <v>64685</v>
      </c>
      <c r="T21254" t="s">
        <v>64686</v>
      </c>
    </row>
    <row r="21255" spans="1:20" x14ac:dyDescent="0.25">
      <c r="A21255" t="str">
        <f>"3066589"</f>
        <v>3066589</v>
      </c>
      <c r="B21255" t="s">
        <v>64688</v>
      </c>
      <c r="C21255" t="str">
        <f>"7732000"</f>
        <v>7732000</v>
      </c>
      <c r="D21255" t="s">
        <v>64685</v>
      </c>
      <c r="E21255" t="s">
        <v>64686</v>
      </c>
      <c r="F21255" t="s">
        <v>64687</v>
      </c>
      <c r="I21255" t="s">
        <v>29</v>
      </c>
      <c r="J21255" t="s">
        <v>30</v>
      </c>
      <c r="K21255" t="s">
        <v>31</v>
      </c>
      <c r="M21255" t="s">
        <v>50621</v>
      </c>
      <c r="N21255" t="str">
        <f>"2/8/2024 12:52:00 PM"</f>
        <v>2/8/2024 12:52:00 PM</v>
      </c>
      <c r="O21255" t="s">
        <v>64685</v>
      </c>
      <c r="T21255" t="s">
        <v>64686</v>
      </c>
    </row>
    <row r="21256" spans="1:20" x14ac:dyDescent="0.25">
      <c r="A21256" t="str">
        <f>"3059177"</f>
        <v>3059177</v>
      </c>
      <c r="B21256" t="s">
        <v>64689</v>
      </c>
      <c r="C21256" t="str">
        <f>"7732000"</f>
        <v>7732000</v>
      </c>
      <c r="D21256" t="s">
        <v>64685</v>
      </c>
      <c r="E21256" t="s">
        <v>64686</v>
      </c>
      <c r="F21256" t="s">
        <v>64687</v>
      </c>
      <c r="I21256" t="s">
        <v>29</v>
      </c>
      <c r="J21256" t="s">
        <v>30</v>
      </c>
      <c r="K21256" t="s">
        <v>31</v>
      </c>
      <c r="M21256" t="s">
        <v>50621</v>
      </c>
      <c r="N21256" t="str">
        <f>"2/8/2024 12:52:00 PM"</f>
        <v>2/8/2024 12:52:00 PM</v>
      </c>
      <c r="O21256" t="s">
        <v>64685</v>
      </c>
      <c r="T21256" t="s">
        <v>64686</v>
      </c>
    </row>
    <row r="21257" spans="1:20" x14ac:dyDescent="0.25">
      <c r="A21257" t="str">
        <f>"3063004"</f>
        <v>3063004</v>
      </c>
      <c r="B21257" t="s">
        <v>64690</v>
      </c>
      <c r="C21257" t="str">
        <f>"8306713"</f>
        <v>8306713</v>
      </c>
      <c r="D21257" t="s">
        <v>64691</v>
      </c>
      <c r="F21257" t="s">
        <v>64692</v>
      </c>
      <c r="I21257" t="s">
        <v>184</v>
      </c>
      <c r="J21257" t="s">
        <v>30</v>
      </c>
      <c r="K21257" t="str">
        <f>"27006"</f>
        <v>27006</v>
      </c>
      <c r="M21257" t="s">
        <v>50793</v>
      </c>
      <c r="N21257" t="str">
        <f>"2/8/2024 1:06:00 PM"</f>
        <v>2/8/2024 1:06:00 PM</v>
      </c>
      <c r="O21257" t="s">
        <v>64691</v>
      </c>
    </row>
    <row r="21258" spans="1:20" x14ac:dyDescent="0.25">
      <c r="A21258" t="str">
        <f>"3059702"</f>
        <v>3059702</v>
      </c>
      <c r="B21258" t="s">
        <v>64693</v>
      </c>
      <c r="C21258" t="str">
        <f>"46889650"</f>
        <v>46889650</v>
      </c>
      <c r="D21258" t="s">
        <v>64694</v>
      </c>
      <c r="E21258" t="s">
        <v>64695</v>
      </c>
      <c r="F21258" t="s">
        <v>64696</v>
      </c>
      <c r="I21258" t="s">
        <v>29</v>
      </c>
      <c r="J21258" t="s">
        <v>30</v>
      </c>
      <c r="K21258" t="s">
        <v>31</v>
      </c>
      <c r="M21258" t="s">
        <v>50793</v>
      </c>
      <c r="N21258" t="str">
        <f>"2/8/2024 1:09:00 PM"</f>
        <v>2/8/2024 1:09:00 PM</v>
      </c>
      <c r="O21258" t="s">
        <v>64694</v>
      </c>
      <c r="T21258" t="s">
        <v>64695</v>
      </c>
    </row>
    <row r="21259" spans="1:20" x14ac:dyDescent="0.25">
      <c r="A21259" t="str">
        <f>"3071040"</f>
        <v>3071040</v>
      </c>
      <c r="B21259" t="s">
        <v>64697</v>
      </c>
      <c r="C21259" t="str">
        <f>"46889650"</f>
        <v>46889650</v>
      </c>
      <c r="D21259" t="s">
        <v>64694</v>
      </c>
      <c r="E21259" t="s">
        <v>64695</v>
      </c>
      <c r="F21259" t="s">
        <v>64696</v>
      </c>
      <c r="I21259" t="s">
        <v>29</v>
      </c>
      <c r="J21259" t="s">
        <v>30</v>
      </c>
      <c r="K21259" t="s">
        <v>31</v>
      </c>
      <c r="M21259" t="s">
        <v>50793</v>
      </c>
      <c r="N21259" t="str">
        <f>"2/8/2024 1:09:00 PM"</f>
        <v>2/8/2024 1:09:00 PM</v>
      </c>
      <c r="O21259" t="s">
        <v>64694</v>
      </c>
      <c r="T21259" t="s">
        <v>64695</v>
      </c>
    </row>
    <row r="21260" spans="1:20" x14ac:dyDescent="0.25">
      <c r="A21260" t="str">
        <f>"3048018"</f>
        <v>3048018</v>
      </c>
      <c r="B21260" t="s">
        <v>64698</v>
      </c>
      <c r="C21260" t="str">
        <f>"8309230"</f>
        <v>8309230</v>
      </c>
      <c r="D21260" t="s">
        <v>64699</v>
      </c>
      <c r="F21260" t="s">
        <v>64700</v>
      </c>
      <c r="I21260" t="s">
        <v>184</v>
      </c>
      <c r="J21260" t="s">
        <v>30</v>
      </c>
      <c r="K21260" t="s">
        <v>20272</v>
      </c>
      <c r="M21260" t="s">
        <v>50793</v>
      </c>
      <c r="N21260" t="str">
        <f>"2/8/2024 1:14:00 PM"</f>
        <v>2/8/2024 1:14:00 PM</v>
      </c>
      <c r="O21260" t="s">
        <v>64699</v>
      </c>
    </row>
    <row r="21261" spans="1:20" x14ac:dyDescent="0.25">
      <c r="A21261" t="str">
        <f>"3048419"</f>
        <v>3048419</v>
      </c>
      <c r="B21261" t="s">
        <v>64701</v>
      </c>
      <c r="C21261" t="str">
        <f>"8309230"</f>
        <v>8309230</v>
      </c>
      <c r="D21261" t="s">
        <v>64699</v>
      </c>
      <c r="F21261" t="s">
        <v>64700</v>
      </c>
      <c r="I21261" t="s">
        <v>184</v>
      </c>
      <c r="J21261" t="s">
        <v>30</v>
      </c>
      <c r="K21261" t="s">
        <v>20272</v>
      </c>
      <c r="M21261" t="s">
        <v>50793</v>
      </c>
      <c r="N21261" t="str">
        <f>"2/8/2024 1:14:00 PM"</f>
        <v>2/8/2024 1:14:00 PM</v>
      </c>
      <c r="O21261" t="s">
        <v>64699</v>
      </c>
    </row>
    <row r="21262" spans="1:20" x14ac:dyDescent="0.25">
      <c r="A21262" t="str">
        <f>"3063785"</f>
        <v>3063785</v>
      </c>
      <c r="B21262" t="s">
        <v>64702</v>
      </c>
      <c r="C21262" t="str">
        <f>"82532184"</f>
        <v>82532184</v>
      </c>
      <c r="D21262" t="s">
        <v>64703</v>
      </c>
      <c r="E21262" t="s">
        <v>64704</v>
      </c>
      <c r="F21262" t="s">
        <v>64705</v>
      </c>
      <c r="I21262" t="s">
        <v>29</v>
      </c>
      <c r="J21262" t="s">
        <v>30</v>
      </c>
      <c r="K21262" t="s">
        <v>31</v>
      </c>
      <c r="M21262" t="s">
        <v>50793</v>
      </c>
      <c r="N21262" t="str">
        <f>"2/8/2024 1:16:00 PM"</f>
        <v>2/8/2024 1:16:00 PM</v>
      </c>
      <c r="O21262" t="s">
        <v>64703</v>
      </c>
      <c r="T21262" t="s">
        <v>64704</v>
      </c>
    </row>
    <row r="21263" spans="1:20" x14ac:dyDescent="0.25">
      <c r="A21263" t="str">
        <f>"3067834"</f>
        <v>3067834</v>
      </c>
      <c r="B21263" t="s">
        <v>64706</v>
      </c>
      <c r="C21263" t="str">
        <f>"5530000"</f>
        <v>5530000</v>
      </c>
      <c r="D21263" t="s">
        <v>64707</v>
      </c>
      <c r="F21263" t="s">
        <v>64708</v>
      </c>
      <c r="I21263" t="s">
        <v>29</v>
      </c>
      <c r="J21263" t="s">
        <v>30</v>
      </c>
      <c r="K21263" t="s">
        <v>31</v>
      </c>
      <c r="M21263" t="s">
        <v>50621</v>
      </c>
      <c r="N21263" t="str">
        <f>"2/8/2024 12:02:00 PM"</f>
        <v>2/8/2024 12:02:00 PM</v>
      </c>
      <c r="O21263" t="s">
        <v>64707</v>
      </c>
    </row>
    <row r="21264" spans="1:20" x14ac:dyDescent="0.25">
      <c r="A21264" t="str">
        <f>"3042726"</f>
        <v>3042726</v>
      </c>
      <c r="B21264" t="s">
        <v>64709</v>
      </c>
      <c r="C21264" t="str">
        <f>"82514241"</f>
        <v>82514241</v>
      </c>
      <c r="D21264" t="s">
        <v>64710</v>
      </c>
      <c r="E21264" t="s">
        <v>64711</v>
      </c>
      <c r="F21264" t="s">
        <v>64712</v>
      </c>
      <c r="I21264" t="s">
        <v>29</v>
      </c>
      <c r="J21264" t="s">
        <v>30</v>
      </c>
      <c r="K21264" t="s">
        <v>31</v>
      </c>
      <c r="M21264" t="s">
        <v>50621</v>
      </c>
      <c r="N21264" t="str">
        <f>"2/8/2024 12:05:00 PM"</f>
        <v>2/8/2024 12:05:00 PM</v>
      </c>
      <c r="O21264" t="s">
        <v>64710</v>
      </c>
      <c r="T21264" t="s">
        <v>64711</v>
      </c>
    </row>
    <row r="21265" spans="1:20" x14ac:dyDescent="0.25">
      <c r="A21265" t="str">
        <f>"3042002"</f>
        <v>3042002</v>
      </c>
      <c r="B21265" t="s">
        <v>64713</v>
      </c>
      <c r="C21265" t="str">
        <f>"82514241"</f>
        <v>82514241</v>
      </c>
      <c r="D21265" t="s">
        <v>64710</v>
      </c>
      <c r="E21265" t="s">
        <v>64711</v>
      </c>
      <c r="F21265" t="s">
        <v>64712</v>
      </c>
      <c r="I21265" t="s">
        <v>29</v>
      </c>
      <c r="J21265" t="s">
        <v>30</v>
      </c>
      <c r="K21265" t="s">
        <v>31</v>
      </c>
      <c r="M21265" t="s">
        <v>50621</v>
      </c>
      <c r="N21265" t="str">
        <f>"2/8/2024 12:05:00 PM"</f>
        <v>2/8/2024 12:05:00 PM</v>
      </c>
      <c r="O21265" t="s">
        <v>64710</v>
      </c>
      <c r="T21265" t="s">
        <v>64711</v>
      </c>
    </row>
    <row r="21266" spans="1:20" x14ac:dyDescent="0.25">
      <c r="A21266" t="str">
        <f>"3063789"</f>
        <v>3063789</v>
      </c>
      <c r="B21266" t="s">
        <v>64714</v>
      </c>
      <c r="C21266" t="str">
        <f>"82532184"</f>
        <v>82532184</v>
      </c>
      <c r="D21266" t="s">
        <v>64703</v>
      </c>
      <c r="E21266" t="s">
        <v>64704</v>
      </c>
      <c r="F21266" t="s">
        <v>64705</v>
      </c>
      <c r="I21266" t="s">
        <v>29</v>
      </c>
      <c r="J21266" t="s">
        <v>30</v>
      </c>
      <c r="K21266" t="s">
        <v>31</v>
      </c>
      <c r="M21266" t="s">
        <v>50793</v>
      </c>
      <c r="N21266" t="str">
        <f>"2/8/2024 1:16:00 PM"</f>
        <v>2/8/2024 1:16:00 PM</v>
      </c>
      <c r="O21266" t="s">
        <v>64703</v>
      </c>
      <c r="T21266" t="s">
        <v>64704</v>
      </c>
    </row>
    <row r="21267" spans="1:20" x14ac:dyDescent="0.25">
      <c r="A21267" t="str">
        <f>"3061080"</f>
        <v>3061080</v>
      </c>
      <c r="B21267" t="s">
        <v>64715</v>
      </c>
      <c r="C21267" t="str">
        <f>"8301366"</f>
        <v>8301366</v>
      </c>
      <c r="D21267" t="s">
        <v>64716</v>
      </c>
      <c r="E21267" t="s">
        <v>64717</v>
      </c>
      <c r="F21267" t="s">
        <v>64718</v>
      </c>
      <c r="I21267" t="s">
        <v>184</v>
      </c>
      <c r="J21267" t="s">
        <v>30</v>
      </c>
      <c r="K21267" t="str">
        <f>"27006"</f>
        <v>27006</v>
      </c>
      <c r="M21267" t="s">
        <v>50621</v>
      </c>
      <c r="N21267" t="str">
        <f>"2/8/2024 2:25:00 PM"</f>
        <v>2/8/2024 2:25:00 PM</v>
      </c>
      <c r="O21267" t="s">
        <v>64716</v>
      </c>
      <c r="T21267" t="s">
        <v>64717</v>
      </c>
    </row>
    <row r="21268" spans="1:20" x14ac:dyDescent="0.25">
      <c r="A21268" t="str">
        <f>"3042310"</f>
        <v>3042310</v>
      </c>
      <c r="B21268" t="s">
        <v>64719</v>
      </c>
      <c r="C21268" t="str">
        <f>"82530232"</f>
        <v>82530232</v>
      </c>
      <c r="D21268" t="s">
        <v>64720</v>
      </c>
      <c r="E21268" t="str">
        <f>"C/O ALBERT T BRACKEN"</f>
        <v>C/O ALBERT T BRACKEN</v>
      </c>
      <c r="F21268" t="s">
        <v>64721</v>
      </c>
      <c r="I21268" t="s">
        <v>29</v>
      </c>
      <c r="J21268" t="s">
        <v>30</v>
      </c>
      <c r="K21268" t="s">
        <v>31</v>
      </c>
      <c r="M21268" t="s">
        <v>50621</v>
      </c>
      <c r="N21268" t="str">
        <f>"2/8/2024 2:26:00 PM"</f>
        <v>2/8/2024 2:26:00 PM</v>
      </c>
      <c r="O21268" t="s">
        <v>64720</v>
      </c>
      <c r="T21268" t="str">
        <f>"C/O ALBERT T BRACKEN"</f>
        <v>C/O ALBERT T BRACKEN</v>
      </c>
    </row>
    <row r="21269" spans="1:20" x14ac:dyDescent="0.25">
      <c r="A21269" t="str">
        <f>"3043713"</f>
        <v>3043713</v>
      </c>
      <c r="B21269" t="s">
        <v>64722</v>
      </c>
      <c r="C21269" t="str">
        <f>"9864000"</f>
        <v>9864000</v>
      </c>
      <c r="D21269" t="s">
        <v>64723</v>
      </c>
      <c r="E21269" t="s">
        <v>64724</v>
      </c>
      <c r="F21269" t="s">
        <v>64725</v>
      </c>
      <c r="I21269" t="s">
        <v>29</v>
      </c>
      <c r="J21269" t="s">
        <v>30</v>
      </c>
      <c r="K21269" t="s">
        <v>49191</v>
      </c>
      <c r="M21269" t="s">
        <v>50621</v>
      </c>
      <c r="N21269" t="str">
        <f>"2/8/2024 2:39:00 PM"</f>
        <v>2/8/2024 2:39:00 PM</v>
      </c>
      <c r="O21269" t="s">
        <v>64723</v>
      </c>
      <c r="T21269" t="s">
        <v>64724</v>
      </c>
    </row>
    <row r="21270" spans="1:20" x14ac:dyDescent="0.25">
      <c r="A21270" t="str">
        <f>"3041982"</f>
        <v>3041982</v>
      </c>
      <c r="B21270" t="s">
        <v>64726</v>
      </c>
      <c r="C21270" t="str">
        <f>"9864000"</f>
        <v>9864000</v>
      </c>
      <c r="D21270" t="s">
        <v>64723</v>
      </c>
      <c r="E21270" t="s">
        <v>64724</v>
      </c>
      <c r="F21270" t="s">
        <v>64725</v>
      </c>
      <c r="I21270" t="s">
        <v>29</v>
      </c>
      <c r="J21270" t="s">
        <v>30</v>
      </c>
      <c r="K21270" t="s">
        <v>49191</v>
      </c>
      <c r="M21270" t="s">
        <v>50621</v>
      </c>
      <c r="N21270" t="str">
        <f>"2/8/2024 2:39:00 PM"</f>
        <v>2/8/2024 2:39:00 PM</v>
      </c>
      <c r="O21270" t="s">
        <v>64723</v>
      </c>
      <c r="T21270" t="s">
        <v>64724</v>
      </c>
    </row>
    <row r="21271" spans="1:20" x14ac:dyDescent="0.25">
      <c r="A21271" t="str">
        <f>"3049119"</f>
        <v>3049119</v>
      </c>
      <c r="B21271" t="s">
        <v>64727</v>
      </c>
      <c r="C21271" t="str">
        <f>"82513116"</f>
        <v>82513116</v>
      </c>
      <c r="D21271" t="s">
        <v>64728</v>
      </c>
      <c r="F21271" t="s">
        <v>64729</v>
      </c>
      <c r="I21271" t="s">
        <v>29</v>
      </c>
      <c r="J21271" t="s">
        <v>30</v>
      </c>
      <c r="K21271" t="s">
        <v>64730</v>
      </c>
      <c r="M21271" t="s">
        <v>50621</v>
      </c>
      <c r="N21271" t="str">
        <f>"2/8/2024 2:43:00 PM"</f>
        <v>2/8/2024 2:43:00 PM</v>
      </c>
      <c r="O21271" t="s">
        <v>64728</v>
      </c>
    </row>
    <row r="21272" spans="1:20" x14ac:dyDescent="0.25">
      <c r="A21272" t="str">
        <f>"3047568"</f>
        <v>3047568</v>
      </c>
      <c r="B21272" t="s">
        <v>64731</v>
      </c>
      <c r="C21272" t="str">
        <f>"8300690"</f>
        <v>8300690</v>
      </c>
      <c r="D21272" t="s">
        <v>64732</v>
      </c>
      <c r="F21272" t="s">
        <v>64733</v>
      </c>
      <c r="I21272" t="s">
        <v>14865</v>
      </c>
      <c r="J21272" t="s">
        <v>30</v>
      </c>
      <c r="K21272" t="str">
        <f>"28078"</f>
        <v>28078</v>
      </c>
      <c r="M21272" t="s">
        <v>50621</v>
      </c>
      <c r="N21272" t="str">
        <f>"2/8/2024 2:45:00 PM"</f>
        <v>2/8/2024 2:45:00 PM</v>
      </c>
      <c r="O21272" t="s">
        <v>64732</v>
      </c>
    </row>
    <row r="21273" spans="1:20" x14ac:dyDescent="0.25">
      <c r="A21273" t="str">
        <f>"3038584"</f>
        <v>3038584</v>
      </c>
      <c r="B21273" t="s">
        <v>64734</v>
      </c>
      <c r="C21273" t="str">
        <f>"8300075"</f>
        <v>8300075</v>
      </c>
      <c r="D21273" t="s">
        <v>56833</v>
      </c>
      <c r="F21273" t="s">
        <v>56834</v>
      </c>
      <c r="I21273" t="s">
        <v>29</v>
      </c>
      <c r="J21273" t="s">
        <v>30</v>
      </c>
      <c r="K21273" t="str">
        <f>"27028"</f>
        <v>27028</v>
      </c>
      <c r="M21273" t="s">
        <v>50621</v>
      </c>
      <c r="N21273" t="str">
        <f>"2/8/2024 2:05:00 PM"</f>
        <v>2/8/2024 2:05:00 PM</v>
      </c>
      <c r="O21273" t="s">
        <v>56833</v>
      </c>
    </row>
    <row r="21274" spans="1:20" x14ac:dyDescent="0.25">
      <c r="A21274" t="str">
        <f>"3048742"</f>
        <v>3048742</v>
      </c>
      <c r="B21274" t="s">
        <v>64735</v>
      </c>
      <c r="C21274" t="str">
        <f>"8312795"</f>
        <v>8312795</v>
      </c>
      <c r="D21274" t="s">
        <v>64736</v>
      </c>
      <c r="F21274" t="s">
        <v>59964</v>
      </c>
      <c r="I21274" t="s">
        <v>29</v>
      </c>
      <c r="J21274" t="s">
        <v>30</v>
      </c>
      <c r="K21274" t="s">
        <v>59965</v>
      </c>
      <c r="M21274" t="s">
        <v>50621</v>
      </c>
      <c r="N21274" t="str">
        <f>"2/8/2024 2:09:00 PM"</f>
        <v>2/8/2024 2:09:00 PM</v>
      </c>
      <c r="O21274" t="s">
        <v>64736</v>
      </c>
    </row>
    <row r="21275" spans="1:20" x14ac:dyDescent="0.25">
      <c r="A21275" t="str">
        <f>"3052123"</f>
        <v>3052123</v>
      </c>
      <c r="B21275" t="s">
        <v>64737</v>
      </c>
      <c r="C21275" t="str">
        <f>"47838000"</f>
        <v>47838000</v>
      </c>
      <c r="D21275" t="s">
        <v>64738</v>
      </c>
      <c r="F21275" t="s">
        <v>64739</v>
      </c>
      <c r="I21275" t="s">
        <v>29</v>
      </c>
      <c r="J21275" t="s">
        <v>30</v>
      </c>
      <c r="K21275" t="s">
        <v>31</v>
      </c>
      <c r="M21275" t="s">
        <v>50793</v>
      </c>
      <c r="N21275" t="str">
        <f>"2/8/2024 3:34:00 PM"</f>
        <v>2/8/2024 3:34:00 PM</v>
      </c>
      <c r="O21275" t="s">
        <v>64738</v>
      </c>
    </row>
    <row r="21276" spans="1:20" x14ac:dyDescent="0.25">
      <c r="A21276" t="str">
        <f>"3038194"</f>
        <v>3038194</v>
      </c>
      <c r="B21276" t="s">
        <v>64740</v>
      </c>
      <c r="C21276" t="str">
        <f>"82517020"</f>
        <v>82517020</v>
      </c>
      <c r="D21276" t="s">
        <v>64741</v>
      </c>
      <c r="E21276" t="s">
        <v>42829</v>
      </c>
      <c r="F21276" t="s">
        <v>64742</v>
      </c>
      <c r="I21276" t="s">
        <v>29</v>
      </c>
      <c r="J21276" t="s">
        <v>30</v>
      </c>
      <c r="K21276" t="s">
        <v>19543</v>
      </c>
      <c r="M21276" t="s">
        <v>50793</v>
      </c>
      <c r="N21276" t="str">
        <f>"2/8/2024 3:55:00 PM"</f>
        <v>2/8/2024 3:55:00 PM</v>
      </c>
      <c r="O21276" t="s">
        <v>64741</v>
      </c>
      <c r="T21276" t="s">
        <v>42829</v>
      </c>
    </row>
    <row r="21277" spans="1:20" x14ac:dyDescent="0.25">
      <c r="A21277" t="str">
        <f>"3038578"</f>
        <v>3038578</v>
      </c>
      <c r="B21277" t="s">
        <v>64743</v>
      </c>
      <c r="C21277" t="str">
        <f>"82517020"</f>
        <v>82517020</v>
      </c>
      <c r="D21277" t="s">
        <v>64741</v>
      </c>
      <c r="E21277" t="s">
        <v>42829</v>
      </c>
      <c r="F21277" t="s">
        <v>64742</v>
      </c>
      <c r="I21277" t="s">
        <v>29</v>
      </c>
      <c r="J21277" t="s">
        <v>30</v>
      </c>
      <c r="K21277" t="s">
        <v>19543</v>
      </c>
      <c r="M21277" t="s">
        <v>50793</v>
      </c>
      <c r="N21277" t="str">
        <f>"2/8/2024 3:55:00 PM"</f>
        <v>2/8/2024 3:55:00 PM</v>
      </c>
      <c r="O21277" t="s">
        <v>64741</v>
      </c>
      <c r="T21277" t="s">
        <v>42829</v>
      </c>
    </row>
    <row r="21278" spans="1:20" x14ac:dyDescent="0.25">
      <c r="A21278" t="str">
        <f>"3057037"</f>
        <v>3057037</v>
      </c>
      <c r="B21278" t="s">
        <v>64744</v>
      </c>
      <c r="C21278" t="str">
        <f>"82527442"</f>
        <v>82527442</v>
      </c>
      <c r="D21278" t="s">
        <v>64745</v>
      </c>
      <c r="F21278" t="s">
        <v>64746</v>
      </c>
      <c r="I21278" t="s">
        <v>184</v>
      </c>
      <c r="J21278" t="s">
        <v>30</v>
      </c>
      <c r="K21278" t="s">
        <v>185</v>
      </c>
      <c r="M21278" t="s">
        <v>50793</v>
      </c>
      <c r="N21278" t="str">
        <f>"2/8/2024 4:00:00 PM"</f>
        <v>2/8/2024 4:00:00 PM</v>
      </c>
      <c r="O21278" t="s">
        <v>64745</v>
      </c>
    </row>
    <row r="21279" spans="1:20" x14ac:dyDescent="0.25">
      <c r="A21279" t="str">
        <f>"3057980"</f>
        <v>3057980</v>
      </c>
      <c r="B21279" t="s">
        <v>64747</v>
      </c>
      <c r="C21279" t="str">
        <f>"82527442"</f>
        <v>82527442</v>
      </c>
      <c r="D21279" t="s">
        <v>64745</v>
      </c>
      <c r="F21279" t="s">
        <v>64746</v>
      </c>
      <c r="I21279" t="s">
        <v>184</v>
      </c>
      <c r="J21279" t="s">
        <v>30</v>
      </c>
      <c r="K21279" t="s">
        <v>185</v>
      </c>
      <c r="M21279" t="s">
        <v>50793</v>
      </c>
      <c r="N21279" t="str">
        <f>"2/8/2024 4:00:00 PM"</f>
        <v>2/8/2024 4:00:00 PM</v>
      </c>
      <c r="O21279" t="s">
        <v>64745</v>
      </c>
    </row>
    <row r="21280" spans="1:20" x14ac:dyDescent="0.25">
      <c r="A21280" t="str">
        <f>"3052592"</f>
        <v>3052592</v>
      </c>
      <c r="B21280" t="s">
        <v>64748</v>
      </c>
      <c r="C21280" t="str">
        <f>"13287250"</f>
        <v>13287250</v>
      </c>
      <c r="D21280" t="s">
        <v>64749</v>
      </c>
      <c r="F21280" t="s">
        <v>64750</v>
      </c>
      <c r="I21280" t="s">
        <v>29</v>
      </c>
      <c r="J21280" t="s">
        <v>30</v>
      </c>
      <c r="K21280" t="s">
        <v>31</v>
      </c>
      <c r="M21280" t="s">
        <v>50621</v>
      </c>
      <c r="N21280" t="str">
        <f>"2/8/2024 3:34:00 PM"</f>
        <v>2/8/2024 3:34:00 PM</v>
      </c>
      <c r="O21280" t="s">
        <v>64749</v>
      </c>
    </row>
    <row r="21281" spans="1:20" x14ac:dyDescent="0.25">
      <c r="A21281" t="str">
        <f>"3040300"</f>
        <v>3040300</v>
      </c>
      <c r="B21281" t="s">
        <v>64751</v>
      </c>
      <c r="C21281" t="str">
        <f>"47845500"</f>
        <v>47845500</v>
      </c>
      <c r="D21281" t="s">
        <v>64752</v>
      </c>
      <c r="F21281" t="s">
        <v>64753</v>
      </c>
      <c r="I21281" t="s">
        <v>64754</v>
      </c>
      <c r="J21281" t="s">
        <v>30</v>
      </c>
      <c r="K21281" t="s">
        <v>17085</v>
      </c>
      <c r="M21281" t="s">
        <v>50793</v>
      </c>
      <c r="N21281" t="str">
        <f>"2/8/2024 3:37:00 PM"</f>
        <v>2/8/2024 3:37:00 PM</v>
      </c>
      <c r="O21281" t="s">
        <v>64752</v>
      </c>
    </row>
    <row r="21282" spans="1:20" x14ac:dyDescent="0.25">
      <c r="A21282" t="str">
        <f>"3054678"</f>
        <v>3054678</v>
      </c>
      <c r="B21282" t="s">
        <v>64755</v>
      </c>
      <c r="C21282" t="str">
        <f>"82531743"</f>
        <v>82531743</v>
      </c>
      <c r="D21282" t="s">
        <v>64756</v>
      </c>
      <c r="E21282" t="s">
        <v>64757</v>
      </c>
      <c r="F21282" t="s">
        <v>64758</v>
      </c>
      <c r="I21282" t="s">
        <v>29</v>
      </c>
      <c r="J21282" t="s">
        <v>30</v>
      </c>
      <c r="K21282" t="s">
        <v>31</v>
      </c>
      <c r="M21282" t="s">
        <v>50793</v>
      </c>
      <c r="N21282" t="str">
        <f>"2/8/2024 3:37:00 PM"</f>
        <v>2/8/2024 3:37:00 PM</v>
      </c>
      <c r="O21282" t="s">
        <v>64756</v>
      </c>
      <c r="T21282" t="s">
        <v>64757</v>
      </c>
    </row>
    <row r="21283" spans="1:20" x14ac:dyDescent="0.25">
      <c r="A21283" t="str">
        <f>"3056585"</f>
        <v>3056585</v>
      </c>
      <c r="B21283" t="s">
        <v>64759</v>
      </c>
      <c r="C21283" t="str">
        <f>"8300331"</f>
        <v>8300331</v>
      </c>
      <c r="D21283" t="s">
        <v>46499</v>
      </c>
      <c r="E21283" t="s">
        <v>64760</v>
      </c>
      <c r="F21283" t="s">
        <v>64761</v>
      </c>
      <c r="I21283" t="s">
        <v>29</v>
      </c>
      <c r="J21283" t="s">
        <v>30</v>
      </c>
      <c r="K21283" t="s">
        <v>31</v>
      </c>
      <c r="M21283" t="s">
        <v>50793</v>
      </c>
      <c r="N21283" t="str">
        <f>"2/8/2024 3:41:00 PM"</f>
        <v>2/8/2024 3:41:00 PM</v>
      </c>
      <c r="O21283" t="s">
        <v>46499</v>
      </c>
      <c r="T21283" t="s">
        <v>64760</v>
      </c>
    </row>
    <row r="21284" spans="1:20" x14ac:dyDescent="0.25">
      <c r="A21284" t="str">
        <f>"3057064"</f>
        <v>3057064</v>
      </c>
      <c r="B21284" t="s">
        <v>64762</v>
      </c>
      <c r="C21284" t="str">
        <f>"8310425"</f>
        <v>8310425</v>
      </c>
      <c r="D21284" t="s">
        <v>64763</v>
      </c>
      <c r="E21284" t="s">
        <v>64764</v>
      </c>
      <c r="F21284" t="s">
        <v>64765</v>
      </c>
      <c r="I21284" t="s">
        <v>184</v>
      </c>
      <c r="J21284" t="s">
        <v>30</v>
      </c>
      <c r="K21284" t="s">
        <v>4697</v>
      </c>
      <c r="M21284" t="s">
        <v>50793</v>
      </c>
      <c r="N21284" t="str">
        <f>"2/9/2024 8:42:00 AM"</f>
        <v>2/9/2024 8:42:00 AM</v>
      </c>
      <c r="O21284" t="s">
        <v>64763</v>
      </c>
      <c r="T21284" t="s">
        <v>64764</v>
      </c>
    </row>
    <row r="21285" spans="1:20" x14ac:dyDescent="0.25">
      <c r="A21285" t="str">
        <f>"3057028"</f>
        <v>3057028</v>
      </c>
      <c r="B21285" t="s">
        <v>64766</v>
      </c>
      <c r="C21285" t="str">
        <f>"8310425"</f>
        <v>8310425</v>
      </c>
      <c r="D21285" t="s">
        <v>64763</v>
      </c>
      <c r="E21285" t="s">
        <v>64764</v>
      </c>
      <c r="F21285" t="s">
        <v>64765</v>
      </c>
      <c r="I21285" t="s">
        <v>184</v>
      </c>
      <c r="J21285" t="s">
        <v>30</v>
      </c>
      <c r="K21285" t="s">
        <v>4697</v>
      </c>
      <c r="M21285" t="s">
        <v>50793</v>
      </c>
      <c r="N21285" t="str">
        <f>"2/9/2024 8:42:00 AM"</f>
        <v>2/9/2024 8:42:00 AM</v>
      </c>
      <c r="O21285" t="s">
        <v>64763</v>
      </c>
      <c r="T21285" t="s">
        <v>64764</v>
      </c>
    </row>
    <row r="21286" spans="1:20" x14ac:dyDescent="0.25">
      <c r="A21286" t="str">
        <f>"3043870"</f>
        <v>3043870</v>
      </c>
      <c r="B21286" t="s">
        <v>64767</v>
      </c>
      <c r="C21286" t="str">
        <f>"82527534"</f>
        <v>82527534</v>
      </c>
      <c r="D21286" t="s">
        <v>64768</v>
      </c>
      <c r="F21286" t="s">
        <v>64769</v>
      </c>
      <c r="I21286" t="s">
        <v>184</v>
      </c>
      <c r="J21286" t="s">
        <v>30</v>
      </c>
      <c r="K21286" t="s">
        <v>185</v>
      </c>
      <c r="M21286" t="s">
        <v>50793</v>
      </c>
      <c r="N21286" t="str">
        <f>"2/9/2024 8:43:00 AM"</f>
        <v>2/9/2024 8:43:00 AM</v>
      </c>
      <c r="O21286" t="s">
        <v>64768</v>
      </c>
    </row>
    <row r="21287" spans="1:20" x14ac:dyDescent="0.25">
      <c r="A21287" t="str">
        <f>"3060360"</f>
        <v>3060360</v>
      </c>
      <c r="B21287" t="s">
        <v>64770</v>
      </c>
      <c r="C21287" t="str">
        <f>"8321909"</f>
        <v>8321909</v>
      </c>
      <c r="D21287" t="s">
        <v>64771</v>
      </c>
      <c r="F21287" t="s">
        <v>64772</v>
      </c>
      <c r="I21287" t="s">
        <v>29</v>
      </c>
      <c r="J21287" t="s">
        <v>30</v>
      </c>
      <c r="K21287" t="s">
        <v>21626</v>
      </c>
      <c r="M21287" t="s">
        <v>50500</v>
      </c>
      <c r="N21287" t="str">
        <f>"2/9/2024 8:46:00 AM"</f>
        <v>2/9/2024 8:46:00 AM</v>
      </c>
      <c r="O21287" t="s">
        <v>64771</v>
      </c>
    </row>
    <row r="21288" spans="1:20" x14ac:dyDescent="0.25">
      <c r="A21288" t="str">
        <f>"3056008"</f>
        <v>3056008</v>
      </c>
      <c r="B21288" t="s">
        <v>64773</v>
      </c>
      <c r="C21288" t="str">
        <f>"48340000"</f>
        <v>48340000</v>
      </c>
      <c r="D21288" t="s">
        <v>64774</v>
      </c>
      <c r="E21288" t="s">
        <v>64775</v>
      </c>
      <c r="F21288" t="s">
        <v>29219</v>
      </c>
      <c r="I21288" t="s">
        <v>9580</v>
      </c>
      <c r="J21288" t="s">
        <v>30</v>
      </c>
      <c r="K21288" t="s">
        <v>9581</v>
      </c>
      <c r="M21288" t="s">
        <v>50793</v>
      </c>
      <c r="N21288" t="str">
        <f>"2/8/2024 3:46:00 PM"</f>
        <v>2/8/2024 3:46:00 PM</v>
      </c>
      <c r="O21288" t="s">
        <v>64774</v>
      </c>
      <c r="T21288" t="s">
        <v>64775</v>
      </c>
    </row>
    <row r="21289" spans="1:20" x14ac:dyDescent="0.25">
      <c r="A21289" t="str">
        <f>"3055576"</f>
        <v>3055576</v>
      </c>
      <c r="B21289" t="s">
        <v>64776</v>
      </c>
      <c r="C21289" t="str">
        <f>"82529555"</f>
        <v>82529555</v>
      </c>
      <c r="D21289" t="s">
        <v>64777</v>
      </c>
      <c r="F21289" t="s">
        <v>19410</v>
      </c>
      <c r="I21289" t="s">
        <v>29</v>
      </c>
      <c r="J21289" t="s">
        <v>30</v>
      </c>
      <c r="K21289" t="s">
        <v>31</v>
      </c>
      <c r="M21289" t="s">
        <v>50621</v>
      </c>
      <c r="N21289" t="str">
        <f>"2/8/2024 2:52:00 PM"</f>
        <v>2/8/2024 2:52:00 PM</v>
      </c>
      <c r="O21289" t="s">
        <v>64777</v>
      </c>
    </row>
    <row r="21290" spans="1:20" x14ac:dyDescent="0.25">
      <c r="A21290" t="str">
        <f>"3064331"</f>
        <v>3064331</v>
      </c>
      <c r="B21290" t="s">
        <v>64778</v>
      </c>
      <c r="C21290" t="str">
        <f>"8318384"</f>
        <v>8318384</v>
      </c>
      <c r="D21290" t="s">
        <v>64779</v>
      </c>
      <c r="E21290" t="s">
        <v>64780</v>
      </c>
      <c r="F21290" t="s">
        <v>64781</v>
      </c>
      <c r="I21290" t="s">
        <v>29</v>
      </c>
      <c r="J21290" t="s">
        <v>30</v>
      </c>
      <c r="K21290" t="s">
        <v>33383</v>
      </c>
      <c r="M21290" t="s">
        <v>25625</v>
      </c>
      <c r="N21290" t="str">
        <f>"2/9/2024 8:57:00 AM"</f>
        <v>2/9/2024 8:57:00 AM</v>
      </c>
      <c r="O21290" t="s">
        <v>64779</v>
      </c>
      <c r="T21290" t="s">
        <v>64780</v>
      </c>
    </row>
    <row r="21291" spans="1:20" x14ac:dyDescent="0.25">
      <c r="A21291" t="str">
        <f>"3046463"</f>
        <v>3046463</v>
      </c>
      <c r="B21291" t="s">
        <v>64782</v>
      </c>
      <c r="C21291" t="str">
        <f>"8318519"</f>
        <v>8318519</v>
      </c>
      <c r="D21291" t="s">
        <v>64783</v>
      </c>
      <c r="E21291" t="s">
        <v>64784</v>
      </c>
      <c r="F21291" t="s">
        <v>64785</v>
      </c>
      <c r="I21291" t="s">
        <v>29</v>
      </c>
      <c r="J21291" t="s">
        <v>30</v>
      </c>
      <c r="K21291" t="s">
        <v>35846</v>
      </c>
      <c r="M21291" t="s">
        <v>25625</v>
      </c>
      <c r="N21291" t="str">
        <f>"2/9/2024 8:58:00 AM"</f>
        <v>2/9/2024 8:58:00 AM</v>
      </c>
      <c r="O21291" t="s">
        <v>64783</v>
      </c>
      <c r="T21291" t="s">
        <v>64784</v>
      </c>
    </row>
    <row r="21292" spans="1:20" x14ac:dyDescent="0.25">
      <c r="A21292" t="str">
        <f>"3046388"</f>
        <v>3046388</v>
      </c>
      <c r="B21292" t="s">
        <v>64786</v>
      </c>
      <c r="C21292" t="str">
        <f>"8318519"</f>
        <v>8318519</v>
      </c>
      <c r="D21292" t="s">
        <v>64783</v>
      </c>
      <c r="E21292" t="s">
        <v>64784</v>
      </c>
      <c r="F21292" t="s">
        <v>64785</v>
      </c>
      <c r="I21292" t="s">
        <v>29</v>
      </c>
      <c r="J21292" t="s">
        <v>30</v>
      </c>
      <c r="K21292" t="s">
        <v>35846</v>
      </c>
      <c r="M21292" t="s">
        <v>25625</v>
      </c>
      <c r="N21292" t="str">
        <f>"2/9/2024 8:58:00 AM"</f>
        <v>2/9/2024 8:58:00 AM</v>
      </c>
      <c r="O21292" t="s">
        <v>64783</v>
      </c>
      <c r="T21292" t="s">
        <v>64784</v>
      </c>
    </row>
    <row r="21293" spans="1:20" x14ac:dyDescent="0.25">
      <c r="A21293" t="str">
        <f>"3047659"</f>
        <v>3047659</v>
      </c>
      <c r="B21293" t="s">
        <v>64787</v>
      </c>
      <c r="C21293" t="str">
        <f>"13388000"</f>
        <v>13388000</v>
      </c>
      <c r="D21293" t="s">
        <v>64788</v>
      </c>
      <c r="E21293" t="s">
        <v>64789</v>
      </c>
      <c r="F21293" t="s">
        <v>64790</v>
      </c>
      <c r="I21293" t="s">
        <v>184</v>
      </c>
      <c r="J21293" t="s">
        <v>30</v>
      </c>
      <c r="K21293" t="s">
        <v>64791</v>
      </c>
      <c r="M21293" t="s">
        <v>50621</v>
      </c>
      <c r="N21293" t="str">
        <f>"2/9/2024 9:00:00 AM"</f>
        <v>2/9/2024 9:00:00 AM</v>
      </c>
      <c r="O21293" t="s">
        <v>64788</v>
      </c>
      <c r="T21293" t="s">
        <v>64789</v>
      </c>
    </row>
    <row r="21294" spans="1:20" x14ac:dyDescent="0.25">
      <c r="A21294" t="str">
        <f>"3069663"</f>
        <v>3069663</v>
      </c>
      <c r="B21294" t="s">
        <v>64792</v>
      </c>
      <c r="C21294" t="str">
        <f>"13388000"</f>
        <v>13388000</v>
      </c>
      <c r="D21294" t="s">
        <v>64788</v>
      </c>
      <c r="E21294" t="s">
        <v>64789</v>
      </c>
      <c r="F21294" t="s">
        <v>64790</v>
      </c>
      <c r="I21294" t="s">
        <v>184</v>
      </c>
      <c r="J21294" t="s">
        <v>30</v>
      </c>
      <c r="K21294" t="s">
        <v>64791</v>
      </c>
      <c r="M21294" t="s">
        <v>50621</v>
      </c>
      <c r="N21294" t="str">
        <f>"2/9/2024 9:00:00 AM"</f>
        <v>2/9/2024 9:00:00 AM</v>
      </c>
      <c r="O21294" t="s">
        <v>64788</v>
      </c>
      <c r="T21294" t="s">
        <v>64789</v>
      </c>
    </row>
    <row r="21295" spans="1:20" x14ac:dyDescent="0.25">
      <c r="A21295" t="str">
        <f>"3069740"</f>
        <v>3069740</v>
      </c>
      <c r="B21295" t="s">
        <v>64793</v>
      </c>
      <c r="C21295" t="str">
        <f>"13388000"</f>
        <v>13388000</v>
      </c>
      <c r="D21295" t="s">
        <v>64788</v>
      </c>
      <c r="E21295" t="s">
        <v>64789</v>
      </c>
      <c r="F21295" t="s">
        <v>64790</v>
      </c>
      <c r="I21295" t="s">
        <v>184</v>
      </c>
      <c r="J21295" t="s">
        <v>30</v>
      </c>
      <c r="K21295" t="s">
        <v>64791</v>
      </c>
      <c r="M21295" t="s">
        <v>50621</v>
      </c>
      <c r="N21295" t="str">
        <f>"2/9/2024 9:00:00 AM"</f>
        <v>2/9/2024 9:00:00 AM</v>
      </c>
      <c r="O21295" t="s">
        <v>64788</v>
      </c>
      <c r="T21295" t="s">
        <v>64789</v>
      </c>
    </row>
    <row r="21296" spans="1:20" x14ac:dyDescent="0.25">
      <c r="A21296" t="str">
        <f>"3069676"</f>
        <v>3069676</v>
      </c>
      <c r="B21296" t="s">
        <v>64794</v>
      </c>
      <c r="C21296" t="str">
        <f>"13388000"</f>
        <v>13388000</v>
      </c>
      <c r="D21296" t="s">
        <v>64788</v>
      </c>
      <c r="E21296" t="s">
        <v>64789</v>
      </c>
      <c r="F21296" t="s">
        <v>64790</v>
      </c>
      <c r="I21296" t="s">
        <v>184</v>
      </c>
      <c r="J21296" t="s">
        <v>30</v>
      </c>
      <c r="K21296" t="s">
        <v>64791</v>
      </c>
      <c r="M21296" t="s">
        <v>50621</v>
      </c>
      <c r="N21296" t="str">
        <f>"2/9/2024 9:00:00 AM"</f>
        <v>2/9/2024 9:00:00 AM</v>
      </c>
      <c r="O21296" t="s">
        <v>64788</v>
      </c>
      <c r="T21296" t="s">
        <v>64789</v>
      </c>
    </row>
    <row r="21297" spans="1:20" x14ac:dyDescent="0.25">
      <c r="A21297" t="str">
        <f>"3055610"</f>
        <v>3055610</v>
      </c>
      <c r="B21297" t="s">
        <v>64795</v>
      </c>
      <c r="C21297" t="str">
        <f>"82529555"</f>
        <v>82529555</v>
      </c>
      <c r="D21297" t="s">
        <v>64777</v>
      </c>
      <c r="F21297" t="s">
        <v>19410</v>
      </c>
      <c r="I21297" t="s">
        <v>29</v>
      </c>
      <c r="J21297" t="s">
        <v>30</v>
      </c>
      <c r="K21297" t="s">
        <v>31</v>
      </c>
      <c r="M21297" t="s">
        <v>50621</v>
      </c>
      <c r="N21297" t="str">
        <f>"2/8/2024 2:52:00 PM"</f>
        <v>2/8/2024 2:52:00 PM</v>
      </c>
      <c r="O21297" t="s">
        <v>64777</v>
      </c>
    </row>
    <row r="21298" spans="1:20" x14ac:dyDescent="0.25">
      <c r="A21298" t="str">
        <f>"3043915"</f>
        <v>3043915</v>
      </c>
      <c r="B21298" t="s">
        <v>64796</v>
      </c>
      <c r="C21298" t="str">
        <f>"82528412"</f>
        <v>82528412</v>
      </c>
      <c r="D21298" t="s">
        <v>64797</v>
      </c>
      <c r="F21298" t="s">
        <v>64798</v>
      </c>
      <c r="I21298" t="s">
        <v>184</v>
      </c>
      <c r="J21298" t="s">
        <v>30</v>
      </c>
      <c r="K21298" t="s">
        <v>185</v>
      </c>
      <c r="M21298" t="s">
        <v>50793</v>
      </c>
      <c r="N21298" t="str">
        <f>"2/8/2024 2:52:00 PM"</f>
        <v>2/8/2024 2:52:00 PM</v>
      </c>
      <c r="O21298" t="s">
        <v>64797</v>
      </c>
    </row>
    <row r="21299" spans="1:20" x14ac:dyDescent="0.25">
      <c r="A21299" t="str">
        <f>"3051271"</f>
        <v>3051271</v>
      </c>
      <c r="B21299" t="s">
        <v>64799</v>
      </c>
      <c r="C21299" t="str">
        <f>"8311283"</f>
        <v>8311283</v>
      </c>
      <c r="D21299" t="s">
        <v>64800</v>
      </c>
      <c r="E21299" t="s">
        <v>64801</v>
      </c>
      <c r="F21299" t="s">
        <v>64802</v>
      </c>
      <c r="I21299" t="s">
        <v>29</v>
      </c>
      <c r="J21299" t="s">
        <v>30</v>
      </c>
      <c r="K21299" t="s">
        <v>48677</v>
      </c>
      <c r="M21299" t="s">
        <v>50793</v>
      </c>
      <c r="N21299" t="str">
        <f>"2/8/2024 2:57:00 PM"</f>
        <v>2/8/2024 2:57:00 PM</v>
      </c>
      <c r="O21299" t="s">
        <v>64800</v>
      </c>
      <c r="T21299" t="s">
        <v>64801</v>
      </c>
    </row>
    <row r="21300" spans="1:20" x14ac:dyDescent="0.25">
      <c r="A21300" t="str">
        <f>"3046739"</f>
        <v>3046739</v>
      </c>
      <c r="B21300" t="s">
        <v>64803</v>
      </c>
      <c r="C21300" t="str">
        <f>"8307878"</f>
        <v>8307878</v>
      </c>
      <c r="D21300" t="str">
        <f>"MELENDEZ DAVID/BERSIS L"</f>
        <v>MELENDEZ DAVID/BERSIS L</v>
      </c>
      <c r="E21300" t="s">
        <v>64804</v>
      </c>
      <c r="F21300" t="s">
        <v>64805</v>
      </c>
      <c r="I21300" t="s">
        <v>184</v>
      </c>
      <c r="J21300" t="s">
        <v>30</v>
      </c>
      <c r="K21300" t="str">
        <f>"27006"</f>
        <v>27006</v>
      </c>
      <c r="M21300" t="s">
        <v>50793</v>
      </c>
      <c r="N21300" t="str">
        <f>"2/9/2024 9:02:00 AM"</f>
        <v>2/9/2024 9:02:00 AM</v>
      </c>
      <c r="O21300" t="str">
        <f>"MELENDEZ DAVID/BERSIS L"</f>
        <v>MELENDEZ DAVID/BERSIS L</v>
      </c>
      <c r="T21300" t="s">
        <v>64804</v>
      </c>
    </row>
    <row r="21301" spans="1:20" x14ac:dyDescent="0.25">
      <c r="A21301" t="str">
        <f>"3046509"</f>
        <v>3046509</v>
      </c>
      <c r="B21301" t="s">
        <v>64806</v>
      </c>
      <c r="C21301" t="str">
        <f>"82519595"</f>
        <v>82519595</v>
      </c>
      <c r="D21301" t="s">
        <v>42163</v>
      </c>
      <c r="F21301" t="s">
        <v>42165</v>
      </c>
      <c r="I21301" t="s">
        <v>184</v>
      </c>
      <c r="J21301" t="s">
        <v>30</v>
      </c>
      <c r="K21301" t="s">
        <v>185</v>
      </c>
      <c r="M21301" t="s">
        <v>50621</v>
      </c>
      <c r="N21301" t="str">
        <f>"2/9/2024 9:03:00 AM"</f>
        <v>2/9/2024 9:03:00 AM</v>
      </c>
      <c r="O21301" t="s">
        <v>42163</v>
      </c>
    </row>
    <row r="21302" spans="1:20" x14ac:dyDescent="0.25">
      <c r="A21302" t="str">
        <f>"3046511"</f>
        <v>3046511</v>
      </c>
      <c r="B21302" t="s">
        <v>64807</v>
      </c>
      <c r="C21302" t="str">
        <f>"82519595"</f>
        <v>82519595</v>
      </c>
      <c r="D21302" t="s">
        <v>42163</v>
      </c>
      <c r="F21302" t="s">
        <v>42165</v>
      </c>
      <c r="I21302" t="s">
        <v>184</v>
      </c>
      <c r="J21302" t="s">
        <v>30</v>
      </c>
      <c r="K21302" t="s">
        <v>185</v>
      </c>
      <c r="M21302" t="s">
        <v>50621</v>
      </c>
      <c r="N21302" t="str">
        <f>"2/9/2024 9:03:00 AM"</f>
        <v>2/9/2024 9:03:00 AM</v>
      </c>
      <c r="O21302" t="s">
        <v>42163</v>
      </c>
    </row>
    <row r="21303" spans="1:20" x14ac:dyDescent="0.25">
      <c r="A21303" t="str">
        <f>"3060710"</f>
        <v>3060710</v>
      </c>
      <c r="B21303" t="s">
        <v>64808</v>
      </c>
      <c r="C21303" t="str">
        <f>"8318738"</f>
        <v>8318738</v>
      </c>
      <c r="D21303" t="s">
        <v>64809</v>
      </c>
      <c r="E21303" t="s">
        <v>64810</v>
      </c>
      <c r="F21303" t="s">
        <v>64811</v>
      </c>
      <c r="I21303" t="s">
        <v>2071</v>
      </c>
      <c r="J21303" t="s">
        <v>30</v>
      </c>
      <c r="K21303" t="s">
        <v>4269</v>
      </c>
      <c r="M21303" t="s">
        <v>25625</v>
      </c>
      <c r="N21303" t="str">
        <f>"2/9/2024 9:04:00 AM"</f>
        <v>2/9/2024 9:04:00 AM</v>
      </c>
      <c r="O21303" t="s">
        <v>64809</v>
      </c>
      <c r="T21303" t="s">
        <v>64810</v>
      </c>
    </row>
    <row r="21304" spans="1:20" x14ac:dyDescent="0.25">
      <c r="A21304" t="str">
        <f>"3043970"</f>
        <v>3043970</v>
      </c>
      <c r="B21304" t="s">
        <v>64812</v>
      </c>
      <c r="C21304" t="str">
        <f>"8308074"</f>
        <v>8308074</v>
      </c>
      <c r="D21304" t="s">
        <v>64813</v>
      </c>
      <c r="F21304" t="s">
        <v>64814</v>
      </c>
      <c r="I21304" t="s">
        <v>184</v>
      </c>
      <c r="J21304" t="s">
        <v>30</v>
      </c>
      <c r="K21304" t="str">
        <f>"27006"</f>
        <v>27006</v>
      </c>
      <c r="M21304" t="s">
        <v>50621</v>
      </c>
      <c r="N21304" t="str">
        <f>"2/8/2024 2:58:00 PM"</f>
        <v>2/8/2024 2:58:00 PM</v>
      </c>
      <c r="O21304" t="s">
        <v>64813</v>
      </c>
    </row>
    <row r="21305" spans="1:20" x14ac:dyDescent="0.25">
      <c r="A21305" t="str">
        <f>"3043389"</f>
        <v>3043389</v>
      </c>
      <c r="B21305" t="s">
        <v>64815</v>
      </c>
      <c r="C21305" t="str">
        <f>"82520883"</f>
        <v>82520883</v>
      </c>
      <c r="D21305" t="s">
        <v>64816</v>
      </c>
      <c r="E21305" t="s">
        <v>64817</v>
      </c>
      <c r="F21305" t="s">
        <v>64818</v>
      </c>
      <c r="I21305" t="s">
        <v>29</v>
      </c>
      <c r="J21305" t="s">
        <v>30</v>
      </c>
      <c r="K21305" t="s">
        <v>24269</v>
      </c>
      <c r="M21305" t="s">
        <v>50621</v>
      </c>
      <c r="N21305" t="str">
        <f>"2/8/2024 3:03:00 PM"</f>
        <v>2/8/2024 3:03:00 PM</v>
      </c>
      <c r="O21305" t="s">
        <v>64816</v>
      </c>
      <c r="T21305" t="s">
        <v>64817</v>
      </c>
    </row>
    <row r="21306" spans="1:20" x14ac:dyDescent="0.25">
      <c r="A21306" t="str">
        <f>"3046933"</f>
        <v>3046933</v>
      </c>
      <c r="B21306" t="s">
        <v>64819</v>
      </c>
      <c r="C21306" t="str">
        <f>"82516906"</f>
        <v>82516906</v>
      </c>
      <c r="D21306" t="s">
        <v>64820</v>
      </c>
      <c r="E21306" t="s">
        <v>64821</v>
      </c>
      <c r="F21306" t="s">
        <v>64822</v>
      </c>
      <c r="I21306" t="s">
        <v>29</v>
      </c>
      <c r="J21306" t="s">
        <v>30</v>
      </c>
      <c r="K21306" t="s">
        <v>31</v>
      </c>
      <c r="M21306" t="s">
        <v>50793</v>
      </c>
      <c r="N21306" t="str">
        <f>"2/9/2024 9:07:00 AM"</f>
        <v>2/9/2024 9:07:00 AM</v>
      </c>
      <c r="O21306" t="s">
        <v>64820</v>
      </c>
      <c r="T21306" t="s">
        <v>64821</v>
      </c>
    </row>
    <row r="21307" spans="1:20" x14ac:dyDescent="0.25">
      <c r="A21307" t="str">
        <f>"3056796"</f>
        <v>3056796</v>
      </c>
      <c r="B21307" t="s">
        <v>64823</v>
      </c>
      <c r="C21307" t="str">
        <f>"82532169"</f>
        <v>82532169</v>
      </c>
      <c r="D21307" t="s">
        <v>64824</v>
      </c>
      <c r="F21307" t="s">
        <v>64825</v>
      </c>
      <c r="I21307" t="s">
        <v>29</v>
      </c>
      <c r="J21307" t="s">
        <v>30</v>
      </c>
      <c r="K21307" t="s">
        <v>20825</v>
      </c>
      <c r="M21307" t="s">
        <v>50793</v>
      </c>
      <c r="N21307" t="str">
        <f>"2/9/2024 9:11:00 AM"</f>
        <v>2/9/2024 9:11:00 AM</v>
      </c>
      <c r="O21307" t="s">
        <v>64824</v>
      </c>
    </row>
    <row r="21308" spans="1:20" x14ac:dyDescent="0.25">
      <c r="A21308" t="str">
        <f>"3054397"</f>
        <v>3054397</v>
      </c>
      <c r="B21308" t="s">
        <v>64826</v>
      </c>
      <c r="C21308" t="str">
        <f>"50908000"</f>
        <v>50908000</v>
      </c>
      <c r="D21308" t="s">
        <v>64827</v>
      </c>
      <c r="F21308" t="s">
        <v>64828</v>
      </c>
      <c r="I21308" t="s">
        <v>29</v>
      </c>
      <c r="J21308" t="s">
        <v>30</v>
      </c>
      <c r="K21308" t="s">
        <v>31</v>
      </c>
      <c r="M21308" t="s">
        <v>50793</v>
      </c>
      <c r="N21308" t="str">
        <f>"2/9/2024 9:13:00 AM"</f>
        <v>2/9/2024 9:13:00 AM</v>
      </c>
      <c r="O21308" t="s">
        <v>64827</v>
      </c>
    </row>
    <row r="21309" spans="1:20" x14ac:dyDescent="0.25">
      <c r="A21309" t="str">
        <f>"3060825"</f>
        <v>3060825</v>
      </c>
      <c r="B21309" t="s">
        <v>64829</v>
      </c>
      <c r="C21309" t="str">
        <f>"82523390"</f>
        <v>82523390</v>
      </c>
      <c r="D21309" t="s">
        <v>64830</v>
      </c>
      <c r="E21309" t="s">
        <v>64831</v>
      </c>
      <c r="F21309" t="s">
        <v>64832</v>
      </c>
      <c r="I21309" t="s">
        <v>184</v>
      </c>
      <c r="J21309" t="s">
        <v>30</v>
      </c>
      <c r="K21309" t="s">
        <v>45773</v>
      </c>
      <c r="M21309" t="s">
        <v>50793</v>
      </c>
      <c r="N21309" t="str">
        <f>"2/8/2024 3:06:00 PM"</f>
        <v>2/8/2024 3:06:00 PM</v>
      </c>
      <c r="O21309" t="s">
        <v>64830</v>
      </c>
      <c r="T21309" t="s">
        <v>64831</v>
      </c>
    </row>
    <row r="21310" spans="1:20" x14ac:dyDescent="0.25">
      <c r="A21310" t="str">
        <f>"3037421"</f>
        <v>3037421</v>
      </c>
      <c r="B21310" t="s">
        <v>64833</v>
      </c>
      <c r="C21310" t="str">
        <f>"12132000"</f>
        <v>12132000</v>
      </c>
      <c r="D21310" t="s">
        <v>64834</v>
      </c>
      <c r="E21310" t="s">
        <v>64835</v>
      </c>
      <c r="F21310" t="s">
        <v>64836</v>
      </c>
      <c r="I21310" t="s">
        <v>21749</v>
      </c>
      <c r="J21310" t="s">
        <v>30</v>
      </c>
      <c r="K21310" t="str">
        <f>"27216"</f>
        <v>27216</v>
      </c>
      <c r="M21310" t="s">
        <v>50621</v>
      </c>
      <c r="N21310" t="str">
        <f>"2/8/2024 3:08:00 PM"</f>
        <v>2/8/2024 3:08:00 PM</v>
      </c>
      <c r="O21310" t="s">
        <v>64834</v>
      </c>
      <c r="T21310" t="s">
        <v>64835</v>
      </c>
    </row>
    <row r="21311" spans="1:20" x14ac:dyDescent="0.25">
      <c r="A21311" t="str">
        <f>"3052186"</f>
        <v>3052186</v>
      </c>
      <c r="B21311" t="s">
        <v>64837</v>
      </c>
      <c r="C21311" t="str">
        <f>"82529155"</f>
        <v>82529155</v>
      </c>
      <c r="D21311" t="s">
        <v>64838</v>
      </c>
      <c r="F21311" t="s">
        <v>64839</v>
      </c>
      <c r="I21311" t="s">
        <v>29</v>
      </c>
      <c r="J21311" t="s">
        <v>30</v>
      </c>
      <c r="K21311" t="s">
        <v>31</v>
      </c>
      <c r="M21311" t="s">
        <v>50621</v>
      </c>
      <c r="N21311" t="str">
        <f>"2/9/2024 9:21:00 AM"</f>
        <v>2/9/2024 9:21:00 AM</v>
      </c>
      <c r="O21311" t="s">
        <v>64838</v>
      </c>
      <c r="T21311" t="s">
        <v>64838</v>
      </c>
    </row>
    <row r="21312" spans="1:20" x14ac:dyDescent="0.25">
      <c r="A21312" t="str">
        <f>"3045926"</f>
        <v>3045926</v>
      </c>
      <c r="B21312" t="s">
        <v>64840</v>
      </c>
      <c r="C21312" t="str">
        <f>"8314803"</f>
        <v>8314803</v>
      </c>
      <c r="D21312" t="s">
        <v>64841</v>
      </c>
      <c r="F21312" t="s">
        <v>64842</v>
      </c>
      <c r="I21312" t="s">
        <v>471</v>
      </c>
      <c r="J21312" t="s">
        <v>30</v>
      </c>
      <c r="K21312" t="s">
        <v>64843</v>
      </c>
      <c r="M21312" t="s">
        <v>50621</v>
      </c>
      <c r="N21312" t="str">
        <f>"2/8/2024 3:12:00 PM"</f>
        <v>2/8/2024 3:12:00 PM</v>
      </c>
      <c r="O21312" t="s">
        <v>64841</v>
      </c>
    </row>
    <row r="21313" spans="1:20" x14ac:dyDescent="0.25">
      <c r="A21313" t="str">
        <f>"3047290"</f>
        <v>3047290</v>
      </c>
      <c r="B21313" t="s">
        <v>64844</v>
      </c>
      <c r="C21313" t="str">
        <f>"8310341"</f>
        <v>8310341</v>
      </c>
      <c r="D21313" t="s">
        <v>64845</v>
      </c>
      <c r="F21313" t="s">
        <v>64846</v>
      </c>
      <c r="I21313" t="s">
        <v>184</v>
      </c>
      <c r="J21313" t="s">
        <v>30</v>
      </c>
      <c r="K21313" t="s">
        <v>40497</v>
      </c>
      <c r="M21313" t="s">
        <v>50793</v>
      </c>
      <c r="N21313" t="str">
        <f>"2/9/2024 9:27:00 AM"</f>
        <v>2/9/2024 9:27:00 AM</v>
      </c>
      <c r="O21313" t="s">
        <v>64845</v>
      </c>
    </row>
    <row r="21314" spans="1:20" x14ac:dyDescent="0.25">
      <c r="A21314" t="str">
        <f>"3062583"</f>
        <v>3062583</v>
      </c>
      <c r="B21314" t="s">
        <v>64847</v>
      </c>
      <c r="C21314" t="str">
        <f>"8320417"</f>
        <v>8320417</v>
      </c>
      <c r="D21314" t="s">
        <v>64848</v>
      </c>
      <c r="F21314" t="s">
        <v>64849</v>
      </c>
      <c r="I21314" t="s">
        <v>29</v>
      </c>
      <c r="J21314" t="s">
        <v>30</v>
      </c>
      <c r="K21314" t="s">
        <v>64850</v>
      </c>
      <c r="M21314" t="s">
        <v>50793</v>
      </c>
      <c r="N21314" t="str">
        <f>"2/9/2024 9:33:00 AM"</f>
        <v>2/9/2024 9:33:00 AM</v>
      </c>
      <c r="O21314" t="s">
        <v>64848</v>
      </c>
    </row>
    <row r="21315" spans="1:20" x14ac:dyDescent="0.25">
      <c r="A21315" t="str">
        <f>"3078220"</f>
        <v>3078220</v>
      </c>
      <c r="B21315" t="s">
        <v>64851</v>
      </c>
      <c r="C21315" t="str">
        <f>"8320417"</f>
        <v>8320417</v>
      </c>
      <c r="D21315" t="s">
        <v>64848</v>
      </c>
      <c r="F21315" t="s">
        <v>64849</v>
      </c>
      <c r="I21315" t="s">
        <v>29</v>
      </c>
      <c r="J21315" t="s">
        <v>30</v>
      </c>
      <c r="K21315" t="s">
        <v>64850</v>
      </c>
      <c r="M21315" t="s">
        <v>50793</v>
      </c>
      <c r="N21315" t="str">
        <f>"2/9/2024 9:33:00 AM"</f>
        <v>2/9/2024 9:33:00 AM</v>
      </c>
      <c r="O21315" t="s">
        <v>64848</v>
      </c>
    </row>
    <row r="21316" spans="1:20" x14ac:dyDescent="0.25">
      <c r="A21316" t="str">
        <f>"3043918"</f>
        <v>3043918</v>
      </c>
      <c r="B21316" t="s">
        <v>64852</v>
      </c>
      <c r="C21316" t="str">
        <f>"82522278"</f>
        <v>82522278</v>
      </c>
      <c r="D21316" t="s">
        <v>64853</v>
      </c>
      <c r="F21316" t="s">
        <v>64854</v>
      </c>
      <c r="I21316" t="s">
        <v>29</v>
      </c>
      <c r="J21316" t="s">
        <v>30</v>
      </c>
      <c r="K21316" t="s">
        <v>31</v>
      </c>
      <c r="M21316" t="s">
        <v>50793</v>
      </c>
      <c r="N21316" t="str">
        <f>"2/9/2024 9:34:00 AM"</f>
        <v>2/9/2024 9:34:00 AM</v>
      </c>
      <c r="O21316" t="s">
        <v>64853</v>
      </c>
    </row>
    <row r="21317" spans="1:20" x14ac:dyDescent="0.25">
      <c r="A21317" t="str">
        <f>"3046089"</f>
        <v>3046089</v>
      </c>
      <c r="B21317" t="s">
        <v>64855</v>
      </c>
      <c r="C21317" t="str">
        <f>"51347500"</f>
        <v>51347500</v>
      </c>
      <c r="D21317" t="s">
        <v>64853</v>
      </c>
      <c r="E21317" t="s">
        <v>64856</v>
      </c>
      <c r="F21317" t="s">
        <v>64854</v>
      </c>
      <c r="I21317" t="s">
        <v>29</v>
      </c>
      <c r="J21317" t="s">
        <v>30</v>
      </c>
      <c r="K21317" t="s">
        <v>31</v>
      </c>
      <c r="M21317" t="s">
        <v>50793</v>
      </c>
      <c r="N21317" t="str">
        <f>"2/9/2024 9:34:00 AM"</f>
        <v>2/9/2024 9:34:00 AM</v>
      </c>
      <c r="O21317" t="s">
        <v>64853</v>
      </c>
      <c r="T21317" t="s">
        <v>64856</v>
      </c>
    </row>
    <row r="21318" spans="1:20" x14ac:dyDescent="0.25">
      <c r="A21318" t="str">
        <f>"3052490"</f>
        <v>3052490</v>
      </c>
      <c r="B21318" t="s">
        <v>64857</v>
      </c>
      <c r="C21318" t="str">
        <f>"12674000"</f>
        <v>12674000</v>
      </c>
      <c r="D21318" t="s">
        <v>64858</v>
      </c>
      <c r="F21318" t="s">
        <v>64859</v>
      </c>
      <c r="I21318" t="s">
        <v>29</v>
      </c>
      <c r="J21318" t="s">
        <v>30</v>
      </c>
      <c r="K21318" t="s">
        <v>58626</v>
      </c>
      <c r="M21318" t="s">
        <v>50621</v>
      </c>
      <c r="N21318" t="str">
        <f>"2/8/2024 3:14:00 PM"</f>
        <v>2/8/2024 3:14:00 PM</v>
      </c>
      <c r="O21318" t="s">
        <v>64858</v>
      </c>
    </row>
    <row r="21319" spans="1:20" x14ac:dyDescent="0.25">
      <c r="A21319" t="str">
        <f>"3045885"</f>
        <v>3045885</v>
      </c>
      <c r="B21319" t="s">
        <v>64860</v>
      </c>
      <c r="C21319" t="str">
        <f>"51384000"</f>
        <v>51384000</v>
      </c>
      <c r="D21319" t="s">
        <v>64861</v>
      </c>
      <c r="E21319" t="s">
        <v>64862</v>
      </c>
      <c r="F21319" t="s">
        <v>64863</v>
      </c>
      <c r="I21319" t="s">
        <v>29</v>
      </c>
      <c r="J21319" t="s">
        <v>30</v>
      </c>
      <c r="K21319" t="s">
        <v>31</v>
      </c>
      <c r="M21319" t="s">
        <v>50793</v>
      </c>
      <c r="N21319" t="str">
        <f>"2/9/2024 9:35:00 AM"</f>
        <v>2/9/2024 9:35:00 AM</v>
      </c>
      <c r="O21319" t="s">
        <v>64861</v>
      </c>
      <c r="T21319" t="s">
        <v>64862</v>
      </c>
    </row>
    <row r="21320" spans="1:20" x14ac:dyDescent="0.25">
      <c r="A21320" t="str">
        <f>"3038078"</f>
        <v>3038078</v>
      </c>
      <c r="B21320" t="s">
        <v>64864</v>
      </c>
      <c r="C21320" t="str">
        <f>"8312317"</f>
        <v>8312317</v>
      </c>
      <c r="D21320" t="s">
        <v>64865</v>
      </c>
      <c r="E21320" t="s">
        <v>64866</v>
      </c>
      <c r="F21320" t="s">
        <v>64867</v>
      </c>
      <c r="I21320" t="s">
        <v>24359</v>
      </c>
      <c r="J21320" t="s">
        <v>30</v>
      </c>
      <c r="K21320" t="str">
        <f>"27006"</f>
        <v>27006</v>
      </c>
      <c r="M21320" t="s">
        <v>50793</v>
      </c>
      <c r="N21320" t="str">
        <f>"2/9/2024 9:46:00 AM"</f>
        <v>2/9/2024 9:46:00 AM</v>
      </c>
      <c r="O21320" t="s">
        <v>64865</v>
      </c>
      <c r="T21320" t="s">
        <v>64866</v>
      </c>
    </row>
    <row r="21321" spans="1:20" x14ac:dyDescent="0.25">
      <c r="A21321" t="str">
        <f>"3060821"</f>
        <v>3060821</v>
      </c>
      <c r="B21321" t="s">
        <v>64868</v>
      </c>
      <c r="C21321" t="str">
        <f>"8312317"</f>
        <v>8312317</v>
      </c>
      <c r="D21321" t="s">
        <v>64865</v>
      </c>
      <c r="E21321" t="s">
        <v>64866</v>
      </c>
      <c r="F21321" t="s">
        <v>64867</v>
      </c>
      <c r="I21321" t="s">
        <v>24359</v>
      </c>
      <c r="J21321" t="s">
        <v>30</v>
      </c>
      <c r="K21321" t="str">
        <f>"27006"</f>
        <v>27006</v>
      </c>
      <c r="M21321" t="s">
        <v>50793</v>
      </c>
      <c r="N21321" t="str">
        <f>"2/9/2024 9:46:00 AM"</f>
        <v>2/9/2024 9:46:00 AM</v>
      </c>
      <c r="O21321" t="s">
        <v>64865</v>
      </c>
      <c r="T21321" t="s">
        <v>64866</v>
      </c>
    </row>
    <row r="21322" spans="1:20" x14ac:dyDescent="0.25">
      <c r="A21322" t="str">
        <f>"3047699"</f>
        <v>3047699</v>
      </c>
      <c r="B21322" t="s">
        <v>64869</v>
      </c>
      <c r="C21322" t="str">
        <f>"82518802"</f>
        <v>82518802</v>
      </c>
      <c r="D21322" t="s">
        <v>64870</v>
      </c>
      <c r="F21322" t="s">
        <v>64871</v>
      </c>
      <c r="I21322" t="s">
        <v>1149</v>
      </c>
      <c r="J21322" t="s">
        <v>30</v>
      </c>
      <c r="K21322" t="s">
        <v>9441</v>
      </c>
      <c r="M21322" t="s">
        <v>50621</v>
      </c>
      <c r="N21322" t="str">
        <f>"2/8/2024 3:14:00 PM"</f>
        <v>2/8/2024 3:14:00 PM</v>
      </c>
      <c r="O21322" t="s">
        <v>64870</v>
      </c>
    </row>
    <row r="21323" spans="1:20" x14ac:dyDescent="0.25">
      <c r="A21323" t="str">
        <f>"3052277"</f>
        <v>3052277</v>
      </c>
      <c r="B21323" t="s">
        <v>64872</v>
      </c>
      <c r="C21323" t="str">
        <f>"12689000"</f>
        <v>12689000</v>
      </c>
      <c r="D21323" t="s">
        <v>64873</v>
      </c>
      <c r="F21323" t="s">
        <v>64874</v>
      </c>
      <c r="I21323" t="s">
        <v>29</v>
      </c>
      <c r="J21323" t="s">
        <v>30</v>
      </c>
      <c r="K21323" t="s">
        <v>31</v>
      </c>
      <c r="M21323" t="s">
        <v>50621</v>
      </c>
      <c r="N21323" t="str">
        <f>"2/8/2024 3:22:00 PM"</f>
        <v>2/8/2024 3:22:00 PM</v>
      </c>
      <c r="O21323" t="s">
        <v>64873</v>
      </c>
    </row>
    <row r="21324" spans="1:20" x14ac:dyDescent="0.25">
      <c r="A21324" t="str">
        <f>"3037451"</f>
        <v>3037451</v>
      </c>
      <c r="B21324" t="s">
        <v>64875</v>
      </c>
      <c r="C21324" t="str">
        <f>"100000185"</f>
        <v>100000185</v>
      </c>
      <c r="D21324" t="s">
        <v>64876</v>
      </c>
      <c r="F21324" t="s">
        <v>64877</v>
      </c>
      <c r="I21324" t="s">
        <v>29</v>
      </c>
      <c r="J21324" t="s">
        <v>30</v>
      </c>
      <c r="K21324" t="s">
        <v>45094</v>
      </c>
      <c r="M21324" t="s">
        <v>50793</v>
      </c>
      <c r="N21324" t="str">
        <f>"2/8/2024 3:22:00 PM"</f>
        <v>2/8/2024 3:22:00 PM</v>
      </c>
      <c r="O21324" t="s">
        <v>64876</v>
      </c>
    </row>
    <row r="21325" spans="1:20" x14ac:dyDescent="0.25">
      <c r="A21325" t="str">
        <f>"3049506"</f>
        <v>3049506</v>
      </c>
      <c r="B21325" t="s">
        <v>64878</v>
      </c>
      <c r="C21325" t="str">
        <f>"47698500"</f>
        <v>47698500</v>
      </c>
      <c r="D21325" t="s">
        <v>64879</v>
      </c>
      <c r="F21325" t="s">
        <v>64880</v>
      </c>
      <c r="I21325" t="s">
        <v>29</v>
      </c>
      <c r="J21325" t="s">
        <v>30</v>
      </c>
      <c r="K21325" t="s">
        <v>19074</v>
      </c>
      <c r="M21325" t="s">
        <v>50793</v>
      </c>
      <c r="N21325" t="str">
        <f>"2/8/2024 3:30:00 PM"</f>
        <v>2/8/2024 3:30:00 PM</v>
      </c>
      <c r="O21325" t="s">
        <v>64879</v>
      </c>
    </row>
    <row r="21326" spans="1:20" x14ac:dyDescent="0.25">
      <c r="A21326" t="str">
        <f>"3050327"</f>
        <v>3050327</v>
      </c>
      <c r="B21326" t="s">
        <v>64881</v>
      </c>
      <c r="C21326" t="str">
        <f>"47698500"</f>
        <v>47698500</v>
      </c>
      <c r="D21326" t="s">
        <v>64879</v>
      </c>
      <c r="F21326" t="s">
        <v>64880</v>
      </c>
      <c r="I21326" t="s">
        <v>29</v>
      </c>
      <c r="J21326" t="s">
        <v>30</v>
      </c>
      <c r="K21326" t="s">
        <v>19074</v>
      </c>
      <c r="M21326" t="s">
        <v>50793</v>
      </c>
      <c r="N21326" t="str">
        <f>"2/8/2024 3:30:00 PM"</f>
        <v>2/8/2024 3:30:00 PM</v>
      </c>
      <c r="O21326" t="s">
        <v>64879</v>
      </c>
    </row>
    <row r="21327" spans="1:20" x14ac:dyDescent="0.25">
      <c r="A21327" t="str">
        <f>"3048802"</f>
        <v>3048802</v>
      </c>
      <c r="B21327" t="s">
        <v>64882</v>
      </c>
      <c r="C21327" t="str">
        <f>"8309466"</f>
        <v>8309466</v>
      </c>
      <c r="D21327" t="s">
        <v>57999</v>
      </c>
      <c r="F21327" t="s">
        <v>58001</v>
      </c>
      <c r="I21327" t="s">
        <v>29</v>
      </c>
      <c r="J21327" t="s">
        <v>30</v>
      </c>
      <c r="K21327" t="s">
        <v>58002</v>
      </c>
      <c r="M21327" t="s">
        <v>50621</v>
      </c>
      <c r="N21327" t="str">
        <f>"2/8/2024 3:32:00 PM"</f>
        <v>2/8/2024 3:32:00 PM</v>
      </c>
      <c r="O21327" t="s">
        <v>57999</v>
      </c>
    </row>
    <row r="21328" spans="1:20" x14ac:dyDescent="0.25">
      <c r="A21328" t="str">
        <f>"3048776"</f>
        <v>3048776</v>
      </c>
      <c r="B21328" t="s">
        <v>64883</v>
      </c>
      <c r="C21328" t="str">
        <f>"8309466"</f>
        <v>8309466</v>
      </c>
      <c r="D21328" t="s">
        <v>57999</v>
      </c>
      <c r="F21328" t="s">
        <v>58001</v>
      </c>
      <c r="I21328" t="s">
        <v>29</v>
      </c>
      <c r="J21328" t="s">
        <v>30</v>
      </c>
      <c r="K21328" t="s">
        <v>58002</v>
      </c>
      <c r="M21328" t="s">
        <v>50621</v>
      </c>
      <c r="N21328" t="str">
        <f>"2/8/2024 3:32:00 PM"</f>
        <v>2/8/2024 3:32:00 PM</v>
      </c>
      <c r="O21328" t="s">
        <v>57999</v>
      </c>
    </row>
    <row r="21329" spans="1:20" x14ac:dyDescent="0.25">
      <c r="A21329" t="str">
        <f>"3046593"</f>
        <v>3046593</v>
      </c>
      <c r="B21329" t="s">
        <v>64884</v>
      </c>
      <c r="C21329" t="str">
        <f>"8308764"</f>
        <v>8308764</v>
      </c>
      <c r="D21329" t="s">
        <v>64885</v>
      </c>
      <c r="E21329" t="s">
        <v>64886</v>
      </c>
      <c r="F21329" t="s">
        <v>64887</v>
      </c>
      <c r="I21329" t="s">
        <v>29</v>
      </c>
      <c r="J21329" t="s">
        <v>30</v>
      </c>
      <c r="K21329" t="s">
        <v>64888</v>
      </c>
      <c r="M21329" t="s">
        <v>50793</v>
      </c>
      <c r="N21329" t="str">
        <f>"2/8/2024 3:50:00 PM"</f>
        <v>2/8/2024 3:50:00 PM</v>
      </c>
      <c r="O21329" t="s">
        <v>64885</v>
      </c>
      <c r="T21329" t="s">
        <v>64886</v>
      </c>
    </row>
    <row r="21330" spans="1:20" x14ac:dyDescent="0.25">
      <c r="A21330" t="str">
        <f>"3047107"</f>
        <v>3047107</v>
      </c>
      <c r="B21330" t="s">
        <v>64889</v>
      </c>
      <c r="C21330" t="str">
        <f>"8308764"</f>
        <v>8308764</v>
      </c>
      <c r="D21330" t="s">
        <v>64885</v>
      </c>
      <c r="E21330" t="s">
        <v>64886</v>
      </c>
      <c r="F21330" t="s">
        <v>64887</v>
      </c>
      <c r="I21330" t="s">
        <v>29</v>
      </c>
      <c r="J21330" t="s">
        <v>30</v>
      </c>
      <c r="K21330" t="s">
        <v>64888</v>
      </c>
      <c r="M21330" t="s">
        <v>50793</v>
      </c>
      <c r="N21330" t="str">
        <f>"2/8/2024 3:50:00 PM"</f>
        <v>2/8/2024 3:50:00 PM</v>
      </c>
      <c r="O21330" t="s">
        <v>64885</v>
      </c>
      <c r="T21330" t="s">
        <v>64886</v>
      </c>
    </row>
    <row r="21331" spans="1:20" x14ac:dyDescent="0.25">
      <c r="A21331" t="str">
        <f>"3054892"</f>
        <v>3054892</v>
      </c>
      <c r="B21331" t="s">
        <v>64890</v>
      </c>
      <c r="C21331" t="str">
        <f>"8316413"</f>
        <v>8316413</v>
      </c>
      <c r="D21331" t="s">
        <v>64891</v>
      </c>
      <c r="E21331" t="s">
        <v>64892</v>
      </c>
      <c r="F21331" t="s">
        <v>64893</v>
      </c>
      <c r="I21331" t="s">
        <v>29</v>
      </c>
      <c r="J21331" t="s">
        <v>30</v>
      </c>
      <c r="K21331" t="s">
        <v>47940</v>
      </c>
      <c r="M21331" t="s">
        <v>50793</v>
      </c>
      <c r="N21331" t="str">
        <f>"2/8/2024 4:09:00 PM"</f>
        <v>2/8/2024 4:09:00 PM</v>
      </c>
      <c r="O21331" t="s">
        <v>64891</v>
      </c>
      <c r="T21331" t="s">
        <v>64892</v>
      </c>
    </row>
    <row r="21332" spans="1:20" x14ac:dyDescent="0.25">
      <c r="A21332" t="str">
        <f>"3055038"</f>
        <v>3055038</v>
      </c>
      <c r="B21332" t="s">
        <v>64894</v>
      </c>
      <c r="C21332" t="str">
        <f>"8316413"</f>
        <v>8316413</v>
      </c>
      <c r="D21332" t="s">
        <v>64891</v>
      </c>
      <c r="E21332" t="s">
        <v>64892</v>
      </c>
      <c r="F21332" t="s">
        <v>64893</v>
      </c>
      <c r="I21332" t="s">
        <v>29</v>
      </c>
      <c r="J21332" t="s">
        <v>30</v>
      </c>
      <c r="K21332" t="s">
        <v>47940</v>
      </c>
      <c r="M21332" t="s">
        <v>50793</v>
      </c>
      <c r="N21332" t="str">
        <f>"2/8/2024 4:09:00 PM"</f>
        <v>2/8/2024 4:09:00 PM</v>
      </c>
      <c r="O21332" t="s">
        <v>64891</v>
      </c>
      <c r="T21332" t="s">
        <v>64892</v>
      </c>
    </row>
    <row r="21333" spans="1:20" x14ac:dyDescent="0.25">
      <c r="A21333" t="str">
        <f>"3049275"</f>
        <v>3049275</v>
      </c>
      <c r="B21333" t="s">
        <v>64895</v>
      </c>
      <c r="C21333" t="str">
        <f>"82519823"</f>
        <v>82519823</v>
      </c>
      <c r="D21333" t="s">
        <v>64896</v>
      </c>
      <c r="F21333" t="s">
        <v>64897</v>
      </c>
      <c r="I21333" t="s">
        <v>184</v>
      </c>
      <c r="J21333" t="s">
        <v>30</v>
      </c>
      <c r="K21333" t="s">
        <v>185</v>
      </c>
      <c r="M21333" t="s">
        <v>50500</v>
      </c>
      <c r="N21333" t="str">
        <f>"2/9/2024 8:27:00 AM"</f>
        <v>2/9/2024 8:27:00 AM</v>
      </c>
      <c r="O21333" t="s">
        <v>64896</v>
      </c>
    </row>
    <row r="21334" spans="1:20" x14ac:dyDescent="0.25">
      <c r="A21334" t="str">
        <f>"3057981"</f>
        <v>3057981</v>
      </c>
      <c r="B21334" t="s">
        <v>64898</v>
      </c>
      <c r="C21334" t="str">
        <f>"8310425"</f>
        <v>8310425</v>
      </c>
      <c r="D21334" t="s">
        <v>64763</v>
      </c>
      <c r="E21334" t="s">
        <v>64764</v>
      </c>
      <c r="F21334" t="s">
        <v>64765</v>
      </c>
      <c r="I21334" t="s">
        <v>184</v>
      </c>
      <c r="J21334" t="s">
        <v>30</v>
      </c>
      <c r="K21334" t="s">
        <v>4697</v>
      </c>
      <c r="M21334" t="s">
        <v>50793</v>
      </c>
      <c r="N21334" t="str">
        <f>"2/9/2024 8:42:00 AM"</f>
        <v>2/9/2024 8:42:00 AM</v>
      </c>
      <c r="O21334" t="s">
        <v>64763</v>
      </c>
      <c r="T21334" t="s">
        <v>64764</v>
      </c>
    </row>
    <row r="21335" spans="1:20" x14ac:dyDescent="0.25">
      <c r="A21335" t="str">
        <f>"3040370"</f>
        <v>3040370</v>
      </c>
      <c r="B21335" t="s">
        <v>64899</v>
      </c>
      <c r="C21335" t="str">
        <f>"50045750"</f>
        <v>50045750</v>
      </c>
      <c r="D21335" t="s">
        <v>64900</v>
      </c>
      <c r="E21335" t="s">
        <v>64901</v>
      </c>
      <c r="F21335" t="s">
        <v>64902</v>
      </c>
      <c r="I21335" t="s">
        <v>184</v>
      </c>
      <c r="J21335" t="s">
        <v>30</v>
      </c>
      <c r="K21335" t="s">
        <v>185</v>
      </c>
      <c r="M21335" t="s">
        <v>50793</v>
      </c>
      <c r="N21335" t="str">
        <f>"2/9/2024 8:53:00 AM"</f>
        <v>2/9/2024 8:53:00 AM</v>
      </c>
      <c r="O21335" t="s">
        <v>64900</v>
      </c>
      <c r="T21335" t="s">
        <v>64901</v>
      </c>
    </row>
    <row r="21336" spans="1:20" x14ac:dyDescent="0.25">
      <c r="A21336" t="str">
        <f>"3039651"</f>
        <v>3039651</v>
      </c>
      <c r="B21336" t="s">
        <v>64903</v>
      </c>
      <c r="C21336" t="str">
        <f>"8320784"</f>
        <v>8320784</v>
      </c>
      <c r="D21336" t="s">
        <v>64904</v>
      </c>
      <c r="F21336" t="s">
        <v>64905</v>
      </c>
      <c r="I21336" t="s">
        <v>184</v>
      </c>
      <c r="J21336" t="s">
        <v>30</v>
      </c>
      <c r="K21336" t="s">
        <v>672</v>
      </c>
      <c r="M21336" t="s">
        <v>25625</v>
      </c>
      <c r="N21336" t="str">
        <f>"2/9/2024 8:56:00 AM"</f>
        <v>2/9/2024 8:56:00 AM</v>
      </c>
      <c r="O21336" t="s">
        <v>64904</v>
      </c>
    </row>
    <row r="21337" spans="1:20" x14ac:dyDescent="0.25">
      <c r="A21337" t="str">
        <f>"3044936"</f>
        <v>3044936</v>
      </c>
      <c r="B21337" t="s">
        <v>64906</v>
      </c>
      <c r="C21337" t="str">
        <f>"82530422"</f>
        <v>82530422</v>
      </c>
      <c r="D21337" t="s">
        <v>64907</v>
      </c>
      <c r="F21337" t="s">
        <v>64790</v>
      </c>
      <c r="I21337" t="s">
        <v>184</v>
      </c>
      <c r="J21337" t="s">
        <v>30</v>
      </c>
      <c r="K21337" t="s">
        <v>185</v>
      </c>
      <c r="M21337" t="s">
        <v>50621</v>
      </c>
      <c r="N21337" t="str">
        <f>"2/9/2024 9:00:00 AM"</f>
        <v>2/9/2024 9:00:00 AM</v>
      </c>
      <c r="O21337" t="s">
        <v>64907</v>
      </c>
    </row>
    <row r="21338" spans="1:20" x14ac:dyDescent="0.25">
      <c r="A21338" t="str">
        <f>"3047027"</f>
        <v>3047027</v>
      </c>
      <c r="B21338" t="s">
        <v>64908</v>
      </c>
      <c r="C21338" t="str">
        <f>"13790000"</f>
        <v>13790000</v>
      </c>
      <c r="D21338" t="s">
        <v>64909</v>
      </c>
      <c r="F21338" t="s">
        <v>64910</v>
      </c>
      <c r="I21338" t="s">
        <v>29</v>
      </c>
      <c r="J21338" t="s">
        <v>30</v>
      </c>
      <c r="K21338" t="s">
        <v>8708</v>
      </c>
      <c r="M21338" t="s">
        <v>50621</v>
      </c>
      <c r="N21338" t="str">
        <f>"2/9/2024 9:02:00 AM"</f>
        <v>2/9/2024 9:02:00 AM</v>
      </c>
      <c r="O21338" t="s">
        <v>64909</v>
      </c>
    </row>
    <row r="21339" spans="1:20" x14ac:dyDescent="0.25">
      <c r="A21339" t="str">
        <f>"3046605"</f>
        <v>3046605</v>
      </c>
      <c r="B21339" t="s">
        <v>64911</v>
      </c>
      <c r="C21339" t="str">
        <f>"13790000"</f>
        <v>13790000</v>
      </c>
      <c r="D21339" t="s">
        <v>64909</v>
      </c>
      <c r="F21339" t="s">
        <v>64910</v>
      </c>
      <c r="I21339" t="s">
        <v>29</v>
      </c>
      <c r="J21339" t="s">
        <v>30</v>
      </c>
      <c r="K21339" t="s">
        <v>8708</v>
      </c>
      <c r="M21339" t="s">
        <v>50621</v>
      </c>
      <c r="N21339" t="str">
        <f>"2/9/2024 9:02:00 AM"</f>
        <v>2/9/2024 9:02:00 AM</v>
      </c>
      <c r="O21339" t="s">
        <v>64909</v>
      </c>
    </row>
    <row r="21340" spans="1:20" x14ac:dyDescent="0.25">
      <c r="A21340" t="str">
        <f>"3056154"</f>
        <v>3056154</v>
      </c>
      <c r="B21340" t="s">
        <v>64912</v>
      </c>
      <c r="C21340" t="str">
        <f>"8319506"</f>
        <v>8319506</v>
      </c>
      <c r="D21340" t="s">
        <v>64913</v>
      </c>
      <c r="F21340" t="s">
        <v>64914</v>
      </c>
      <c r="I21340" t="s">
        <v>25280</v>
      </c>
      <c r="J21340" t="s">
        <v>30</v>
      </c>
      <c r="K21340" t="str">
        <f>"27014"</f>
        <v>27014</v>
      </c>
      <c r="M21340" t="s">
        <v>25625</v>
      </c>
      <c r="N21340" t="str">
        <f>"2/9/2024 9:06:00 AM"</f>
        <v>2/9/2024 9:06:00 AM</v>
      </c>
      <c r="O21340" t="s">
        <v>64913</v>
      </c>
    </row>
    <row r="21341" spans="1:20" x14ac:dyDescent="0.25">
      <c r="A21341" t="str">
        <f>"3050156"</f>
        <v>3050156</v>
      </c>
      <c r="B21341" t="s">
        <v>64915</v>
      </c>
      <c r="C21341" t="str">
        <f>"8319069"</f>
        <v>8319069</v>
      </c>
      <c r="D21341" t="s">
        <v>64916</v>
      </c>
      <c r="E21341" t="s">
        <v>64917</v>
      </c>
      <c r="F21341" t="s">
        <v>64918</v>
      </c>
      <c r="I21341" t="s">
        <v>17921</v>
      </c>
      <c r="J21341" t="s">
        <v>30</v>
      </c>
      <c r="K21341" t="str">
        <f>"27028"</f>
        <v>27028</v>
      </c>
      <c r="M21341" t="s">
        <v>25625</v>
      </c>
      <c r="N21341" t="str">
        <f>"2/9/2024 9:07:00 AM"</f>
        <v>2/9/2024 9:07:00 AM</v>
      </c>
      <c r="O21341" t="s">
        <v>64916</v>
      </c>
      <c r="T21341" t="s">
        <v>64917</v>
      </c>
    </row>
    <row r="21342" spans="1:20" x14ac:dyDescent="0.25">
      <c r="A21342" t="str">
        <f>"3039406"</f>
        <v>3039406</v>
      </c>
      <c r="B21342" t="s">
        <v>64919</v>
      </c>
      <c r="C21342" t="str">
        <f>"8302425"</f>
        <v>8302425</v>
      </c>
      <c r="D21342" t="s">
        <v>64920</v>
      </c>
      <c r="F21342" t="s">
        <v>64921</v>
      </c>
      <c r="I21342" t="s">
        <v>64922</v>
      </c>
      <c r="J21342" t="s">
        <v>35925</v>
      </c>
      <c r="K21342" t="str">
        <f>"54140"</f>
        <v>54140</v>
      </c>
      <c r="M21342" t="s">
        <v>50793</v>
      </c>
      <c r="N21342" t="str">
        <f>"2/9/2024 9:18:00 AM"</f>
        <v>2/9/2024 9:18:00 AM</v>
      </c>
      <c r="O21342" t="s">
        <v>64920</v>
      </c>
    </row>
    <row r="21343" spans="1:20" x14ac:dyDescent="0.25">
      <c r="A21343" t="str">
        <f>"3053719"</f>
        <v>3053719</v>
      </c>
      <c r="B21343" t="s">
        <v>64923</v>
      </c>
      <c r="C21343" t="str">
        <f>"82529155"</f>
        <v>82529155</v>
      </c>
      <c r="D21343" t="s">
        <v>64838</v>
      </c>
      <c r="F21343" t="s">
        <v>64839</v>
      </c>
      <c r="I21343" t="s">
        <v>29</v>
      </c>
      <c r="J21343" t="s">
        <v>30</v>
      </c>
      <c r="K21343" t="s">
        <v>31</v>
      </c>
      <c r="M21343" t="s">
        <v>50621</v>
      </c>
      <c r="N21343" t="str">
        <f>"2/9/2024 9:21:00 AM"</f>
        <v>2/9/2024 9:21:00 AM</v>
      </c>
      <c r="O21343" t="s">
        <v>64838</v>
      </c>
      <c r="T21343" t="s">
        <v>64838</v>
      </c>
    </row>
    <row r="21344" spans="1:20" x14ac:dyDescent="0.25">
      <c r="A21344" t="str">
        <f>"3060098"</f>
        <v>3060098</v>
      </c>
      <c r="B21344" t="s">
        <v>64924</v>
      </c>
      <c r="C21344" t="str">
        <f>"82522193"</f>
        <v>82522193</v>
      </c>
      <c r="D21344" t="s">
        <v>64925</v>
      </c>
      <c r="E21344" t="s">
        <v>64926</v>
      </c>
      <c r="F21344" t="s">
        <v>64927</v>
      </c>
      <c r="I21344" t="s">
        <v>184</v>
      </c>
      <c r="J21344" t="s">
        <v>30</v>
      </c>
      <c r="K21344" t="s">
        <v>10737</v>
      </c>
      <c r="M21344" t="s">
        <v>50793</v>
      </c>
      <c r="N21344" t="str">
        <f>"2/9/2024 9:25:00 AM"</f>
        <v>2/9/2024 9:25:00 AM</v>
      </c>
      <c r="O21344" t="s">
        <v>64925</v>
      </c>
      <c r="T21344" t="s">
        <v>64926</v>
      </c>
    </row>
    <row r="21345" spans="1:20" x14ac:dyDescent="0.25">
      <c r="A21345" t="str">
        <f>"3066699"</f>
        <v>3066699</v>
      </c>
      <c r="B21345" t="s">
        <v>64928</v>
      </c>
      <c r="C21345" t="str">
        <f>"82521349"</f>
        <v>82521349</v>
      </c>
      <c r="D21345" t="s">
        <v>64929</v>
      </c>
      <c r="E21345" t="s">
        <v>64930</v>
      </c>
      <c r="F21345" t="s">
        <v>64931</v>
      </c>
      <c r="I21345" t="s">
        <v>2071</v>
      </c>
      <c r="J21345" t="s">
        <v>30</v>
      </c>
      <c r="K21345" t="s">
        <v>185</v>
      </c>
      <c r="M21345" t="s">
        <v>50793</v>
      </c>
      <c r="N21345" t="str">
        <f>"2/9/2024 9:35:00 AM"</f>
        <v>2/9/2024 9:35:00 AM</v>
      </c>
      <c r="O21345" t="s">
        <v>64929</v>
      </c>
      <c r="T21345" t="s">
        <v>64930</v>
      </c>
    </row>
    <row r="21346" spans="1:20" x14ac:dyDescent="0.25">
      <c r="A21346" t="str">
        <f>"3051056"</f>
        <v>3051056</v>
      </c>
      <c r="B21346" t="s">
        <v>64932</v>
      </c>
      <c r="C21346" t="str">
        <f>"15816000"</f>
        <v>15816000</v>
      </c>
      <c r="D21346" t="s">
        <v>46609</v>
      </c>
      <c r="F21346" t="s">
        <v>64933</v>
      </c>
      <c r="I21346" t="s">
        <v>29</v>
      </c>
      <c r="J21346" t="s">
        <v>30</v>
      </c>
      <c r="K21346" t="s">
        <v>29228</v>
      </c>
      <c r="M21346" t="s">
        <v>50621</v>
      </c>
      <c r="N21346" t="str">
        <f>"2/9/2024 10:06:00 AM"</f>
        <v>2/9/2024 10:06:00 AM</v>
      </c>
      <c r="O21346" t="s">
        <v>46609</v>
      </c>
    </row>
    <row r="21347" spans="1:20" x14ac:dyDescent="0.25">
      <c r="A21347" t="str">
        <f>"3047704"</f>
        <v>3047704</v>
      </c>
      <c r="B21347" t="s">
        <v>64934</v>
      </c>
      <c r="C21347" t="str">
        <f>"51656000"</f>
        <v>51656000</v>
      </c>
      <c r="D21347" t="s">
        <v>64935</v>
      </c>
      <c r="E21347" t="s">
        <v>64936</v>
      </c>
      <c r="F21347" t="s">
        <v>64937</v>
      </c>
      <c r="I21347" t="s">
        <v>184</v>
      </c>
      <c r="J21347" t="s">
        <v>30</v>
      </c>
      <c r="K21347" t="s">
        <v>185</v>
      </c>
      <c r="M21347" t="s">
        <v>50793</v>
      </c>
      <c r="N21347" t="str">
        <f>"2/9/2024 9:55:00 AM"</f>
        <v>2/9/2024 9:55:00 AM</v>
      </c>
      <c r="O21347" t="s">
        <v>64935</v>
      </c>
      <c r="T21347" t="s">
        <v>64936</v>
      </c>
    </row>
    <row r="21348" spans="1:20" x14ac:dyDescent="0.25">
      <c r="A21348" t="str">
        <f>"3056504"</f>
        <v>3056504</v>
      </c>
      <c r="B21348" t="s">
        <v>64938</v>
      </c>
      <c r="C21348" t="str">
        <f>"82530665"</f>
        <v>82530665</v>
      </c>
      <c r="D21348" t="s">
        <v>64939</v>
      </c>
      <c r="E21348" t="s">
        <v>64940</v>
      </c>
      <c r="F21348" t="s">
        <v>64941</v>
      </c>
      <c r="I21348" t="s">
        <v>29</v>
      </c>
      <c r="J21348" t="s">
        <v>30</v>
      </c>
      <c r="K21348" t="s">
        <v>31</v>
      </c>
      <c r="M21348" t="s">
        <v>50793</v>
      </c>
      <c r="N21348" t="str">
        <f>"2/9/2024 10:44:00 AM"</f>
        <v>2/9/2024 10:44:00 AM</v>
      </c>
      <c r="O21348" t="s">
        <v>64939</v>
      </c>
      <c r="T21348" t="s">
        <v>64940</v>
      </c>
    </row>
    <row r="21349" spans="1:20" x14ac:dyDescent="0.25">
      <c r="A21349" t="str">
        <f>"3050219"</f>
        <v>3050219</v>
      </c>
      <c r="B21349" t="s">
        <v>64942</v>
      </c>
      <c r="C21349" t="str">
        <f>"53580000"</f>
        <v>53580000</v>
      </c>
      <c r="D21349" t="s">
        <v>64943</v>
      </c>
      <c r="E21349" t="s">
        <v>64944</v>
      </c>
      <c r="F21349" t="s">
        <v>64945</v>
      </c>
      <c r="I21349" t="s">
        <v>29</v>
      </c>
      <c r="J21349" t="s">
        <v>30</v>
      </c>
      <c r="K21349" t="s">
        <v>31</v>
      </c>
      <c r="M21349" t="s">
        <v>50793</v>
      </c>
      <c r="N21349" t="str">
        <f>"2/9/2024 10:48:00 AM"</f>
        <v>2/9/2024 10:48:00 AM</v>
      </c>
      <c r="O21349" t="s">
        <v>64943</v>
      </c>
      <c r="T21349" t="s">
        <v>64944</v>
      </c>
    </row>
    <row r="21350" spans="1:20" x14ac:dyDescent="0.25">
      <c r="A21350" t="str">
        <f>"3046551"</f>
        <v>3046551</v>
      </c>
      <c r="B21350" t="s">
        <v>64946</v>
      </c>
      <c r="C21350" t="str">
        <f>"8311775"</f>
        <v>8311775</v>
      </c>
      <c r="D21350" t="s">
        <v>64947</v>
      </c>
      <c r="F21350" t="s">
        <v>64948</v>
      </c>
      <c r="I21350" t="s">
        <v>184</v>
      </c>
      <c r="J21350" t="s">
        <v>30</v>
      </c>
      <c r="K21350" t="s">
        <v>57423</v>
      </c>
      <c r="M21350" t="s">
        <v>50793</v>
      </c>
      <c r="N21350" t="str">
        <f>"2/9/2024 10:53:00 AM"</f>
        <v>2/9/2024 10:53:00 AM</v>
      </c>
      <c r="O21350" t="s">
        <v>64947</v>
      </c>
    </row>
    <row r="21351" spans="1:20" x14ac:dyDescent="0.25">
      <c r="A21351" t="str">
        <f>"3046549"</f>
        <v>3046549</v>
      </c>
      <c r="B21351" t="s">
        <v>64949</v>
      </c>
      <c r="C21351" t="str">
        <f>"8311775"</f>
        <v>8311775</v>
      </c>
      <c r="D21351" t="s">
        <v>64947</v>
      </c>
      <c r="F21351" t="s">
        <v>64948</v>
      </c>
      <c r="I21351" t="s">
        <v>184</v>
      </c>
      <c r="J21351" t="s">
        <v>30</v>
      </c>
      <c r="K21351" t="s">
        <v>57423</v>
      </c>
      <c r="M21351" t="s">
        <v>50793</v>
      </c>
      <c r="N21351" t="str">
        <f>"2/9/2024 10:53:00 AM"</f>
        <v>2/9/2024 10:53:00 AM</v>
      </c>
      <c r="O21351" t="s">
        <v>64947</v>
      </c>
    </row>
    <row r="21352" spans="1:20" x14ac:dyDescent="0.25">
      <c r="A21352" t="str">
        <f>"3046808"</f>
        <v>3046808</v>
      </c>
      <c r="B21352" t="s">
        <v>64950</v>
      </c>
      <c r="C21352" t="str">
        <f>"82530956"</f>
        <v>82530956</v>
      </c>
      <c r="D21352" t="s">
        <v>64947</v>
      </c>
      <c r="E21352" t="s">
        <v>64951</v>
      </c>
      <c r="F21352" t="s">
        <v>64952</v>
      </c>
      <c r="I21352" t="s">
        <v>184</v>
      </c>
      <c r="J21352" t="s">
        <v>30</v>
      </c>
      <c r="K21352" t="s">
        <v>185</v>
      </c>
      <c r="M21352" t="s">
        <v>50793</v>
      </c>
      <c r="N21352" t="str">
        <f>"2/9/2024 10:53:00 AM"</f>
        <v>2/9/2024 10:53:00 AM</v>
      </c>
      <c r="O21352" t="s">
        <v>64947</v>
      </c>
      <c r="T21352" t="s">
        <v>64951</v>
      </c>
    </row>
    <row r="21353" spans="1:20" x14ac:dyDescent="0.25">
      <c r="A21353" t="str">
        <f>"3041478"</f>
        <v>3041478</v>
      </c>
      <c r="B21353" t="s">
        <v>64953</v>
      </c>
      <c r="C21353" t="str">
        <f>"8311685"</f>
        <v>8311685</v>
      </c>
      <c r="D21353" t="s">
        <v>64954</v>
      </c>
      <c r="F21353" t="s">
        <v>64955</v>
      </c>
      <c r="I21353" t="s">
        <v>2071</v>
      </c>
      <c r="J21353" t="s">
        <v>30</v>
      </c>
      <c r="K21353" t="str">
        <f>"27006"</f>
        <v>27006</v>
      </c>
      <c r="M21353" t="s">
        <v>50793</v>
      </c>
      <c r="N21353" t="str">
        <f>"2/9/2024 9:58:00 AM"</f>
        <v>2/9/2024 9:58:00 AM</v>
      </c>
      <c r="O21353" t="s">
        <v>64954</v>
      </c>
    </row>
    <row r="21354" spans="1:20" x14ac:dyDescent="0.25">
      <c r="A21354" t="str">
        <f>"3039792"</f>
        <v>3039792</v>
      </c>
      <c r="B21354" t="s">
        <v>64956</v>
      </c>
      <c r="C21354" t="str">
        <f>"82522731"</f>
        <v>82522731</v>
      </c>
      <c r="D21354" t="s">
        <v>64957</v>
      </c>
      <c r="E21354" t="s">
        <v>64958</v>
      </c>
      <c r="F21354" t="s">
        <v>64959</v>
      </c>
      <c r="I21354" t="s">
        <v>29</v>
      </c>
      <c r="J21354" t="s">
        <v>30</v>
      </c>
      <c r="K21354" t="s">
        <v>3215</v>
      </c>
      <c r="M21354" t="s">
        <v>50793</v>
      </c>
      <c r="N21354" t="str">
        <f>"2/9/2024 10:00:00 AM"</f>
        <v>2/9/2024 10:00:00 AM</v>
      </c>
      <c r="O21354" t="s">
        <v>64957</v>
      </c>
      <c r="T21354" t="s">
        <v>64958</v>
      </c>
    </row>
    <row r="21355" spans="1:20" x14ac:dyDescent="0.25">
      <c r="A21355" t="str">
        <f>"3056623"</f>
        <v>3056623</v>
      </c>
      <c r="B21355" t="s">
        <v>64960</v>
      </c>
      <c r="C21355" t="str">
        <f>"8319188"</f>
        <v>8319188</v>
      </c>
      <c r="D21355" t="s">
        <v>64961</v>
      </c>
      <c r="E21355" t="s">
        <v>64962</v>
      </c>
      <c r="F21355" t="s">
        <v>64963</v>
      </c>
      <c r="I21355" t="s">
        <v>29</v>
      </c>
      <c r="J21355" t="s">
        <v>30</v>
      </c>
      <c r="K21355" t="s">
        <v>64964</v>
      </c>
      <c r="M21355" t="s">
        <v>50621</v>
      </c>
      <c r="N21355" t="str">
        <f>"2/9/2024 10:01:00 AM"</f>
        <v>2/9/2024 10:01:00 AM</v>
      </c>
      <c r="O21355" t="s">
        <v>64961</v>
      </c>
      <c r="T21355" t="s">
        <v>64962</v>
      </c>
    </row>
    <row r="21356" spans="1:20" x14ac:dyDescent="0.25">
      <c r="A21356" t="str">
        <f>"3056370"</f>
        <v>3056370</v>
      </c>
      <c r="B21356" t="s">
        <v>64965</v>
      </c>
      <c r="C21356" t="str">
        <f>"8319188"</f>
        <v>8319188</v>
      </c>
      <c r="D21356" t="s">
        <v>64961</v>
      </c>
      <c r="E21356" t="s">
        <v>64962</v>
      </c>
      <c r="F21356" t="s">
        <v>64963</v>
      </c>
      <c r="I21356" t="s">
        <v>29</v>
      </c>
      <c r="J21356" t="s">
        <v>30</v>
      </c>
      <c r="K21356" t="s">
        <v>64964</v>
      </c>
      <c r="M21356" t="s">
        <v>50621</v>
      </c>
      <c r="N21356" t="str">
        <f>"2/9/2024 10:01:00 AM"</f>
        <v>2/9/2024 10:01:00 AM</v>
      </c>
      <c r="O21356" t="s">
        <v>64961</v>
      </c>
      <c r="T21356" t="s">
        <v>64962</v>
      </c>
    </row>
    <row r="21357" spans="1:20" x14ac:dyDescent="0.25">
      <c r="A21357" t="str">
        <f>"3054713"</f>
        <v>3054713</v>
      </c>
      <c r="B21357" t="s">
        <v>64966</v>
      </c>
      <c r="C21357" t="str">
        <f>"51767000"</f>
        <v>51767000</v>
      </c>
      <c r="D21357" t="s">
        <v>64967</v>
      </c>
      <c r="F21357" t="str">
        <f>"C/O ROBIN LUNDY"</f>
        <v>C/O ROBIN LUNDY</v>
      </c>
      <c r="G21357" t="s">
        <v>31475</v>
      </c>
      <c r="I21357" t="s">
        <v>29</v>
      </c>
      <c r="J21357" t="s">
        <v>30</v>
      </c>
      <c r="K21357" t="s">
        <v>31</v>
      </c>
      <c r="M21357" t="s">
        <v>50793</v>
      </c>
      <c r="N21357" t="str">
        <f>"2/9/2024 10:02:00 AM"</f>
        <v>2/9/2024 10:02:00 AM</v>
      </c>
      <c r="O21357" t="s">
        <v>64967</v>
      </c>
    </row>
    <row r="21358" spans="1:20" x14ac:dyDescent="0.25">
      <c r="A21358" t="str">
        <f>"3046661"</f>
        <v>3046661</v>
      </c>
      <c r="B21358" t="s">
        <v>64968</v>
      </c>
      <c r="C21358" t="str">
        <f>"8308602"</f>
        <v>8308602</v>
      </c>
      <c r="D21358" t="s">
        <v>64969</v>
      </c>
      <c r="E21358" t="s">
        <v>64970</v>
      </c>
      <c r="F21358" t="s">
        <v>64971</v>
      </c>
      <c r="I21358" t="s">
        <v>471</v>
      </c>
      <c r="J21358" t="s">
        <v>30</v>
      </c>
      <c r="K21358" t="s">
        <v>64972</v>
      </c>
      <c r="M21358" t="s">
        <v>50793</v>
      </c>
      <c r="N21358" t="str">
        <f>"2/9/2024 10:03:00 AM"</f>
        <v>2/9/2024 10:03:00 AM</v>
      </c>
      <c r="O21358" t="s">
        <v>64969</v>
      </c>
      <c r="T21358" t="s">
        <v>64970</v>
      </c>
    </row>
    <row r="21359" spans="1:20" x14ac:dyDescent="0.25">
      <c r="A21359" t="str">
        <f>"3054679"</f>
        <v>3054679</v>
      </c>
      <c r="B21359" t="s">
        <v>64973</v>
      </c>
      <c r="C21359" t="str">
        <f>"82525937"</f>
        <v>82525937</v>
      </c>
      <c r="D21359" t="s">
        <v>64974</v>
      </c>
      <c r="F21359" t="s">
        <v>64975</v>
      </c>
      <c r="I21359" t="s">
        <v>29</v>
      </c>
      <c r="J21359" t="s">
        <v>30</v>
      </c>
      <c r="K21359" t="s">
        <v>31</v>
      </c>
      <c r="M21359" t="s">
        <v>50621</v>
      </c>
      <c r="N21359" t="str">
        <f>"2/9/2024 10:03:00 AM"</f>
        <v>2/9/2024 10:03:00 AM</v>
      </c>
      <c r="O21359" t="s">
        <v>64974</v>
      </c>
    </row>
    <row r="21360" spans="1:20" x14ac:dyDescent="0.25">
      <c r="A21360" t="str">
        <f>"3078946"</f>
        <v>3078946</v>
      </c>
      <c r="B21360" t="s">
        <v>64976</v>
      </c>
      <c r="C21360" t="str">
        <f>"8316326"</f>
        <v>8316326</v>
      </c>
      <c r="D21360" t="s">
        <v>64977</v>
      </c>
      <c r="E21360" t="s">
        <v>64978</v>
      </c>
      <c r="F21360" t="s">
        <v>64979</v>
      </c>
      <c r="I21360" t="s">
        <v>29</v>
      </c>
      <c r="J21360" t="s">
        <v>30</v>
      </c>
      <c r="K21360" t="s">
        <v>45272</v>
      </c>
      <c r="M21360" t="s">
        <v>50621</v>
      </c>
      <c r="N21360" t="str">
        <f>"2/9/2024 10:06:00 AM"</f>
        <v>2/9/2024 10:06:00 AM</v>
      </c>
      <c r="O21360" t="s">
        <v>64977</v>
      </c>
      <c r="T21360" t="s">
        <v>64978</v>
      </c>
    </row>
    <row r="21361" spans="1:20" x14ac:dyDescent="0.25">
      <c r="A21361" t="str">
        <f>"3051392"</f>
        <v>3051392</v>
      </c>
      <c r="B21361" t="s">
        <v>64980</v>
      </c>
      <c r="C21361" t="str">
        <f>"15732000"</f>
        <v>15732000</v>
      </c>
      <c r="D21361" t="s">
        <v>49161</v>
      </c>
      <c r="F21361" t="s">
        <v>64981</v>
      </c>
      <c r="I21361" t="s">
        <v>29</v>
      </c>
      <c r="J21361" t="s">
        <v>30</v>
      </c>
      <c r="K21361" t="s">
        <v>31</v>
      </c>
      <c r="M21361" t="s">
        <v>50621</v>
      </c>
      <c r="N21361" t="str">
        <f>"2/9/2024 10:06:00 AM"</f>
        <v>2/9/2024 10:06:00 AM</v>
      </c>
      <c r="O21361" t="s">
        <v>49161</v>
      </c>
    </row>
    <row r="21362" spans="1:20" x14ac:dyDescent="0.25">
      <c r="A21362" t="str">
        <f>"3056361"</f>
        <v>3056361</v>
      </c>
      <c r="B21362" t="s">
        <v>64982</v>
      </c>
      <c r="C21362" t="str">
        <f>"8317919"</f>
        <v>8317919</v>
      </c>
      <c r="D21362" t="s">
        <v>64983</v>
      </c>
      <c r="E21362" t="s">
        <v>64984</v>
      </c>
      <c r="F21362" t="s">
        <v>64985</v>
      </c>
      <c r="I21362" t="s">
        <v>29</v>
      </c>
      <c r="J21362" t="s">
        <v>30</v>
      </c>
      <c r="K21362" t="s">
        <v>52165</v>
      </c>
      <c r="M21362" t="s">
        <v>50621</v>
      </c>
      <c r="N21362" t="str">
        <f>"2/9/2024 10:41:00 AM"</f>
        <v>2/9/2024 10:41:00 AM</v>
      </c>
      <c r="O21362" t="s">
        <v>64983</v>
      </c>
      <c r="T21362" t="s">
        <v>64984</v>
      </c>
    </row>
    <row r="21363" spans="1:20" x14ac:dyDescent="0.25">
      <c r="A21363" t="str">
        <f>"3042893"</f>
        <v>3042893</v>
      </c>
      <c r="B21363" t="s">
        <v>64986</v>
      </c>
      <c r="C21363" t="str">
        <f>"82514305"</f>
        <v>82514305</v>
      </c>
      <c r="D21363" t="s">
        <v>64987</v>
      </c>
      <c r="E21363" t="s">
        <v>64988</v>
      </c>
      <c r="F21363" t="s">
        <v>64989</v>
      </c>
      <c r="I21363" t="s">
        <v>29</v>
      </c>
      <c r="J21363" t="s">
        <v>30</v>
      </c>
      <c r="K21363" t="s">
        <v>31</v>
      </c>
      <c r="M21363" t="s">
        <v>50793</v>
      </c>
      <c r="N21363" t="str">
        <f>"2/9/2024 10:10:00 AM"</f>
        <v>2/9/2024 10:10:00 AM</v>
      </c>
      <c r="O21363" t="s">
        <v>64987</v>
      </c>
      <c r="T21363" t="s">
        <v>64988</v>
      </c>
    </row>
    <row r="21364" spans="1:20" x14ac:dyDescent="0.25">
      <c r="A21364" t="str">
        <f>"3042705"</f>
        <v>3042705</v>
      </c>
      <c r="B21364" t="s">
        <v>64990</v>
      </c>
      <c r="C21364" t="str">
        <f>"82530859"</f>
        <v>82530859</v>
      </c>
      <c r="D21364" t="s">
        <v>64991</v>
      </c>
      <c r="F21364" t="s">
        <v>64992</v>
      </c>
      <c r="I21364" t="s">
        <v>29</v>
      </c>
      <c r="J21364" t="s">
        <v>30</v>
      </c>
      <c r="K21364" t="s">
        <v>31</v>
      </c>
      <c r="M21364" t="s">
        <v>50621</v>
      </c>
      <c r="N21364" t="str">
        <f>"2/9/2024 10:11:00 AM"</f>
        <v>2/9/2024 10:11:00 AM</v>
      </c>
      <c r="O21364" t="s">
        <v>64991</v>
      </c>
    </row>
    <row r="21365" spans="1:20" x14ac:dyDescent="0.25">
      <c r="A21365" t="str">
        <f>"3045443"</f>
        <v>3045443</v>
      </c>
      <c r="B21365" t="s">
        <v>64993</v>
      </c>
      <c r="C21365" t="str">
        <f>"8306040"</f>
        <v>8306040</v>
      </c>
      <c r="D21365" t="s">
        <v>64994</v>
      </c>
      <c r="F21365" t="s">
        <v>64995</v>
      </c>
      <c r="I21365" t="s">
        <v>17921</v>
      </c>
      <c r="J21365" t="s">
        <v>30</v>
      </c>
      <c r="K21365" t="str">
        <f>"27028"</f>
        <v>27028</v>
      </c>
      <c r="M21365" t="s">
        <v>50621</v>
      </c>
      <c r="N21365" t="str">
        <f>"2/9/2024 10:12:00 AM"</f>
        <v>2/9/2024 10:12:00 AM</v>
      </c>
      <c r="O21365" t="s">
        <v>64994</v>
      </c>
    </row>
    <row r="21366" spans="1:20" x14ac:dyDescent="0.25">
      <c r="A21366" t="str">
        <f>"3043677"</f>
        <v>3043677</v>
      </c>
      <c r="B21366" t="s">
        <v>64996</v>
      </c>
      <c r="C21366" t="str">
        <f>"82529482"</f>
        <v>82529482</v>
      </c>
      <c r="D21366" t="s">
        <v>64997</v>
      </c>
      <c r="E21366" t="s">
        <v>64998</v>
      </c>
      <c r="F21366" t="s">
        <v>64999</v>
      </c>
      <c r="I21366" t="s">
        <v>65000</v>
      </c>
      <c r="J21366" t="s">
        <v>12725</v>
      </c>
      <c r="K21366" t="s">
        <v>65001</v>
      </c>
      <c r="M21366" t="s">
        <v>50793</v>
      </c>
      <c r="N21366" t="str">
        <f>"2/9/2024 10:13:00 AM"</f>
        <v>2/9/2024 10:13:00 AM</v>
      </c>
      <c r="O21366" t="s">
        <v>64997</v>
      </c>
      <c r="T21366" t="s">
        <v>64998</v>
      </c>
    </row>
    <row r="21367" spans="1:20" x14ac:dyDescent="0.25">
      <c r="A21367" t="str">
        <f>"3040669"</f>
        <v>3040669</v>
      </c>
      <c r="B21367" t="s">
        <v>65002</v>
      </c>
      <c r="C21367" t="str">
        <f>"8315813"</f>
        <v>8315813</v>
      </c>
      <c r="D21367" t="s">
        <v>65003</v>
      </c>
      <c r="E21367" t="s">
        <v>65004</v>
      </c>
      <c r="F21367" t="s">
        <v>65005</v>
      </c>
      <c r="I21367" t="s">
        <v>184</v>
      </c>
      <c r="J21367" t="s">
        <v>30</v>
      </c>
      <c r="K21367" t="s">
        <v>65006</v>
      </c>
      <c r="M21367" t="s">
        <v>50793</v>
      </c>
      <c r="N21367" t="str">
        <f>"2/9/2024 10:18:00 AM"</f>
        <v>2/9/2024 10:18:00 AM</v>
      </c>
      <c r="O21367" t="s">
        <v>65003</v>
      </c>
      <c r="T21367" t="s">
        <v>65004</v>
      </c>
    </row>
    <row r="21368" spans="1:20" x14ac:dyDescent="0.25">
      <c r="A21368" t="str">
        <f>"3040829"</f>
        <v>3040829</v>
      </c>
      <c r="B21368" t="s">
        <v>65007</v>
      </c>
      <c r="C21368" t="str">
        <f>"8315813"</f>
        <v>8315813</v>
      </c>
      <c r="D21368" t="s">
        <v>65003</v>
      </c>
      <c r="E21368" t="s">
        <v>65004</v>
      </c>
      <c r="F21368" t="s">
        <v>65005</v>
      </c>
      <c r="I21368" t="s">
        <v>184</v>
      </c>
      <c r="J21368" t="s">
        <v>30</v>
      </c>
      <c r="K21368" t="s">
        <v>65006</v>
      </c>
      <c r="M21368" t="s">
        <v>50793</v>
      </c>
      <c r="N21368" t="str">
        <f>"2/9/2024 10:18:00 AM"</f>
        <v>2/9/2024 10:18:00 AM</v>
      </c>
      <c r="O21368" t="s">
        <v>65003</v>
      </c>
      <c r="T21368" t="s">
        <v>65004</v>
      </c>
    </row>
    <row r="21369" spans="1:20" x14ac:dyDescent="0.25">
      <c r="A21369" t="str">
        <f>"3054951"</f>
        <v>3054951</v>
      </c>
      <c r="B21369" t="s">
        <v>65008</v>
      </c>
      <c r="C21369" t="str">
        <f>"8309872"</f>
        <v>8309872</v>
      </c>
      <c r="D21369" t="s">
        <v>65009</v>
      </c>
      <c r="F21369" t="s">
        <v>65010</v>
      </c>
      <c r="I21369" t="s">
        <v>29</v>
      </c>
      <c r="J21369" t="s">
        <v>30</v>
      </c>
      <c r="K21369" t="s">
        <v>48846</v>
      </c>
      <c r="M21369" t="s">
        <v>50793</v>
      </c>
      <c r="N21369" t="str">
        <f>"2/9/2024 10:20:00 AM"</f>
        <v>2/9/2024 10:20:00 AM</v>
      </c>
      <c r="O21369" t="s">
        <v>65009</v>
      </c>
    </row>
    <row r="21370" spans="1:20" x14ac:dyDescent="0.25">
      <c r="A21370" t="str">
        <f>"3046146"</f>
        <v>3046146</v>
      </c>
      <c r="B21370" t="s">
        <v>65011</v>
      </c>
      <c r="C21370" t="str">
        <f>"82529516"</f>
        <v>82529516</v>
      </c>
      <c r="D21370" t="s">
        <v>65012</v>
      </c>
      <c r="F21370" t="s">
        <v>65013</v>
      </c>
      <c r="I21370" t="s">
        <v>29</v>
      </c>
      <c r="J21370" t="s">
        <v>30</v>
      </c>
      <c r="K21370" t="s">
        <v>31</v>
      </c>
      <c r="M21370" t="s">
        <v>50793</v>
      </c>
      <c r="N21370" t="str">
        <f>"2/9/2024 10:28:00 AM"</f>
        <v>2/9/2024 10:28:00 AM</v>
      </c>
      <c r="O21370" t="s">
        <v>65012</v>
      </c>
    </row>
    <row r="21371" spans="1:20" x14ac:dyDescent="0.25">
      <c r="A21371" t="str">
        <f>"3054331"</f>
        <v>3054331</v>
      </c>
      <c r="B21371" t="s">
        <v>65014</v>
      </c>
      <c r="C21371" t="str">
        <f>"8316414"</f>
        <v>8316414</v>
      </c>
      <c r="D21371" t="s">
        <v>65015</v>
      </c>
      <c r="F21371" t="s">
        <v>65016</v>
      </c>
      <c r="I21371" t="s">
        <v>4502</v>
      </c>
      <c r="J21371" t="s">
        <v>30</v>
      </c>
      <c r="K21371" t="s">
        <v>65017</v>
      </c>
      <c r="M21371" t="s">
        <v>50793</v>
      </c>
      <c r="N21371" t="str">
        <f>"2/9/2024 10:28:00 AM"</f>
        <v>2/9/2024 10:28:00 AM</v>
      </c>
      <c r="O21371" t="s">
        <v>65015</v>
      </c>
    </row>
    <row r="21372" spans="1:20" x14ac:dyDescent="0.25">
      <c r="A21372" t="str">
        <f>"3054747"</f>
        <v>3054747</v>
      </c>
      <c r="B21372" t="s">
        <v>65018</v>
      </c>
      <c r="C21372" t="str">
        <f>"8312898"</f>
        <v>8312898</v>
      </c>
      <c r="D21372" t="s">
        <v>65019</v>
      </c>
      <c r="E21372" t="s">
        <v>65020</v>
      </c>
      <c r="F21372" t="s">
        <v>65021</v>
      </c>
      <c r="I21372" t="s">
        <v>29</v>
      </c>
      <c r="J21372" t="s">
        <v>30</v>
      </c>
      <c r="K21372" t="s">
        <v>16419</v>
      </c>
      <c r="M21372" t="s">
        <v>50793</v>
      </c>
      <c r="N21372" t="str">
        <f>"2/9/2024 10:33:00 AM"</f>
        <v>2/9/2024 10:33:00 AM</v>
      </c>
      <c r="O21372" t="s">
        <v>65019</v>
      </c>
      <c r="T21372" t="s">
        <v>65020</v>
      </c>
    </row>
    <row r="21373" spans="1:20" x14ac:dyDescent="0.25">
      <c r="A21373" t="str">
        <f>"3044088"</f>
        <v>3044088</v>
      </c>
      <c r="B21373" t="s">
        <v>65022</v>
      </c>
      <c r="C21373" t="str">
        <f>"8315343"</f>
        <v>8315343</v>
      </c>
      <c r="D21373" t="s">
        <v>65023</v>
      </c>
      <c r="F21373" t="s">
        <v>65024</v>
      </c>
      <c r="I21373" t="s">
        <v>184</v>
      </c>
      <c r="J21373" t="s">
        <v>30</v>
      </c>
      <c r="K21373" t="s">
        <v>46654</v>
      </c>
      <c r="M21373" t="s">
        <v>50793</v>
      </c>
      <c r="N21373" t="str">
        <f>"2/9/2024 10:36:00 AM"</f>
        <v>2/9/2024 10:36:00 AM</v>
      </c>
      <c r="O21373" t="s">
        <v>65023</v>
      </c>
    </row>
    <row r="21374" spans="1:20" x14ac:dyDescent="0.25">
      <c r="A21374" t="str">
        <f>"3048481"</f>
        <v>3048481</v>
      </c>
      <c r="B21374" t="s">
        <v>65025</v>
      </c>
      <c r="C21374" t="str">
        <f>"16290000"</f>
        <v>16290000</v>
      </c>
      <c r="D21374" t="s">
        <v>65026</v>
      </c>
      <c r="F21374" t="s">
        <v>65027</v>
      </c>
      <c r="I21374" t="s">
        <v>65028</v>
      </c>
      <c r="J21374" t="s">
        <v>30708</v>
      </c>
      <c r="K21374" t="s">
        <v>65029</v>
      </c>
      <c r="M21374" t="s">
        <v>50621</v>
      </c>
      <c r="N21374" t="str">
        <f>"2/9/2024 10:37:00 AM"</f>
        <v>2/9/2024 10:37:00 AM</v>
      </c>
      <c r="O21374" t="s">
        <v>65026</v>
      </c>
    </row>
    <row r="21375" spans="1:20" x14ac:dyDescent="0.25">
      <c r="A21375" t="str">
        <f>"3055522"</f>
        <v>3055522</v>
      </c>
      <c r="B21375" t="s">
        <v>65030</v>
      </c>
      <c r="C21375" t="str">
        <f>"8314631"</f>
        <v>8314631</v>
      </c>
      <c r="D21375" t="s">
        <v>65031</v>
      </c>
      <c r="E21375" t="s">
        <v>65032</v>
      </c>
      <c r="F21375" t="s">
        <v>14002</v>
      </c>
      <c r="I21375" t="s">
        <v>17921</v>
      </c>
      <c r="J21375" t="s">
        <v>30</v>
      </c>
      <c r="K21375" t="str">
        <f>"27028"</f>
        <v>27028</v>
      </c>
      <c r="M21375" t="s">
        <v>50621</v>
      </c>
      <c r="N21375" t="str">
        <f>"2/9/2024 10:39:00 AM"</f>
        <v>2/9/2024 10:39:00 AM</v>
      </c>
      <c r="O21375" t="s">
        <v>65031</v>
      </c>
      <c r="T21375" t="s">
        <v>65032</v>
      </c>
    </row>
    <row r="21376" spans="1:20" x14ac:dyDescent="0.25">
      <c r="A21376" t="str">
        <f>"3048090"</f>
        <v>3048090</v>
      </c>
      <c r="B21376" t="s">
        <v>65033</v>
      </c>
      <c r="C21376" t="str">
        <f>"82514187"</f>
        <v>82514187</v>
      </c>
      <c r="D21376" t="s">
        <v>65034</v>
      </c>
      <c r="E21376" t="s">
        <v>65035</v>
      </c>
      <c r="F21376" t="s">
        <v>65036</v>
      </c>
      <c r="I21376" t="s">
        <v>184</v>
      </c>
      <c r="K21376" t="s">
        <v>65037</v>
      </c>
      <c r="M21376" t="s">
        <v>50621</v>
      </c>
      <c r="N21376" t="str">
        <f>"2/9/2024 10:40:00 AM"</f>
        <v>2/9/2024 10:40:00 AM</v>
      </c>
      <c r="O21376" t="s">
        <v>65034</v>
      </c>
      <c r="T21376" t="s">
        <v>65035</v>
      </c>
    </row>
    <row r="21377" spans="1:20" x14ac:dyDescent="0.25">
      <c r="A21377" t="str">
        <f>"3048398"</f>
        <v>3048398</v>
      </c>
      <c r="B21377" t="s">
        <v>65038</v>
      </c>
      <c r="C21377" t="str">
        <f>"8306695"</f>
        <v>8306695</v>
      </c>
      <c r="D21377" t="s">
        <v>65039</v>
      </c>
      <c r="E21377" t="s">
        <v>65040</v>
      </c>
      <c r="F21377" t="s">
        <v>25365</v>
      </c>
      <c r="I21377" t="s">
        <v>184</v>
      </c>
      <c r="J21377" t="s">
        <v>30</v>
      </c>
      <c r="K21377" t="str">
        <f>"27006"</f>
        <v>27006</v>
      </c>
      <c r="M21377" t="s">
        <v>50793</v>
      </c>
      <c r="N21377" t="str">
        <f>"2/9/2024 11:20:00 AM"</f>
        <v>2/9/2024 11:20:00 AM</v>
      </c>
      <c r="O21377" t="s">
        <v>65039</v>
      </c>
      <c r="T21377" t="s">
        <v>65040</v>
      </c>
    </row>
    <row r="21378" spans="1:20" x14ac:dyDescent="0.25">
      <c r="A21378" t="str">
        <f>"3061422"</f>
        <v>3061422</v>
      </c>
      <c r="B21378" t="s">
        <v>65041</v>
      </c>
      <c r="C21378" t="str">
        <f>"54004000"</f>
        <v>54004000</v>
      </c>
      <c r="D21378" t="s">
        <v>65042</v>
      </c>
      <c r="F21378" t="s">
        <v>65043</v>
      </c>
      <c r="I21378" t="s">
        <v>184</v>
      </c>
      <c r="J21378" t="s">
        <v>30</v>
      </c>
      <c r="K21378" t="s">
        <v>185</v>
      </c>
      <c r="M21378" t="s">
        <v>50793</v>
      </c>
      <c r="N21378" t="str">
        <f>"2/9/2024 10:54:00 AM"</f>
        <v>2/9/2024 10:54:00 AM</v>
      </c>
      <c r="O21378" t="s">
        <v>65042</v>
      </c>
    </row>
    <row r="21379" spans="1:20" x14ac:dyDescent="0.25">
      <c r="A21379" t="str">
        <f>"3046729"</f>
        <v>3046729</v>
      </c>
      <c r="B21379" t="s">
        <v>65044</v>
      </c>
      <c r="C21379" t="str">
        <f>"82531471"</f>
        <v>82531471</v>
      </c>
      <c r="D21379" t="s">
        <v>65045</v>
      </c>
      <c r="E21379" t="s">
        <v>65046</v>
      </c>
      <c r="F21379" t="s">
        <v>65047</v>
      </c>
      <c r="I21379" t="s">
        <v>184</v>
      </c>
      <c r="J21379" t="s">
        <v>30</v>
      </c>
      <c r="K21379" t="s">
        <v>185</v>
      </c>
      <c r="M21379" t="s">
        <v>50793</v>
      </c>
      <c r="N21379" t="str">
        <f>"2/9/2024 10:58:00 AM"</f>
        <v>2/9/2024 10:58:00 AM</v>
      </c>
      <c r="O21379" t="s">
        <v>65045</v>
      </c>
      <c r="T21379" t="s">
        <v>65046</v>
      </c>
    </row>
    <row r="21380" spans="1:20" x14ac:dyDescent="0.25">
      <c r="A21380" t="str">
        <f>"3044227"</f>
        <v>3044227</v>
      </c>
      <c r="B21380" t="s">
        <v>65048</v>
      </c>
      <c r="C21380" t="str">
        <f>"8302256"</f>
        <v>8302256</v>
      </c>
      <c r="D21380" t="s">
        <v>65049</v>
      </c>
      <c r="F21380" t="s">
        <v>65050</v>
      </c>
      <c r="I21380" t="s">
        <v>184</v>
      </c>
      <c r="J21380" t="s">
        <v>30</v>
      </c>
      <c r="K21380" t="str">
        <f>"27028"</f>
        <v>27028</v>
      </c>
      <c r="M21380" t="s">
        <v>50793</v>
      </c>
      <c r="N21380" t="str">
        <f>"2/9/2024 10:59:00 AM"</f>
        <v>2/9/2024 10:59:00 AM</v>
      </c>
      <c r="O21380" t="s">
        <v>65049</v>
      </c>
    </row>
    <row r="21381" spans="1:20" x14ac:dyDescent="0.25">
      <c r="A21381" t="str">
        <f>"3046943"</f>
        <v>3046943</v>
      </c>
      <c r="B21381" t="s">
        <v>65051</v>
      </c>
      <c r="C21381" t="str">
        <f>"82522316"</f>
        <v>82522316</v>
      </c>
      <c r="D21381" t="s">
        <v>65052</v>
      </c>
      <c r="F21381" t="s">
        <v>65053</v>
      </c>
      <c r="I21381" t="s">
        <v>29</v>
      </c>
      <c r="J21381" t="s">
        <v>30</v>
      </c>
      <c r="K21381" t="s">
        <v>31</v>
      </c>
      <c r="M21381" t="s">
        <v>50793</v>
      </c>
      <c r="N21381" t="str">
        <f>"2/9/2024 11:01:00 AM"</f>
        <v>2/9/2024 11:01:00 AM</v>
      </c>
      <c r="O21381" t="s">
        <v>65052</v>
      </c>
    </row>
    <row r="21382" spans="1:20" x14ac:dyDescent="0.25">
      <c r="A21382" t="str">
        <f>"3053516"</f>
        <v>3053516</v>
      </c>
      <c r="B21382" t="s">
        <v>65054</v>
      </c>
      <c r="C21382" t="str">
        <f>"54268700"</f>
        <v>54268700</v>
      </c>
      <c r="D21382" t="s">
        <v>65055</v>
      </c>
      <c r="E21382" t="s">
        <v>65056</v>
      </c>
      <c r="F21382" t="s">
        <v>65057</v>
      </c>
      <c r="I21382" t="s">
        <v>29</v>
      </c>
      <c r="J21382" t="s">
        <v>30</v>
      </c>
      <c r="K21382" t="s">
        <v>31</v>
      </c>
      <c r="M21382" t="s">
        <v>50793</v>
      </c>
      <c r="N21382" t="str">
        <f>"2/9/2024 11:01:00 AM"</f>
        <v>2/9/2024 11:01:00 AM</v>
      </c>
      <c r="O21382" t="s">
        <v>65055</v>
      </c>
      <c r="T21382" t="s">
        <v>65056</v>
      </c>
    </row>
    <row r="21383" spans="1:20" x14ac:dyDescent="0.25">
      <c r="A21383" t="str">
        <f>"3057359"</f>
        <v>3057359</v>
      </c>
      <c r="B21383" t="s">
        <v>65058</v>
      </c>
      <c r="C21383" t="str">
        <f>"54297750"</f>
        <v>54297750</v>
      </c>
      <c r="D21383" t="s">
        <v>65059</v>
      </c>
      <c r="F21383" t="s">
        <v>65060</v>
      </c>
      <c r="I21383" t="s">
        <v>184</v>
      </c>
      <c r="J21383" t="s">
        <v>30</v>
      </c>
      <c r="K21383" t="s">
        <v>48131</v>
      </c>
      <c r="M21383" t="s">
        <v>50793</v>
      </c>
      <c r="N21383" t="str">
        <f>"2/9/2024 11:04:00 AM"</f>
        <v>2/9/2024 11:04:00 AM</v>
      </c>
      <c r="O21383" t="s">
        <v>65059</v>
      </c>
    </row>
    <row r="21384" spans="1:20" x14ac:dyDescent="0.25">
      <c r="A21384" t="str">
        <f>"3037357"</f>
        <v>3037357</v>
      </c>
      <c r="B21384" t="s">
        <v>65061</v>
      </c>
      <c r="C21384" t="str">
        <f>"54320580"</f>
        <v>54320580</v>
      </c>
      <c r="D21384" t="s">
        <v>65062</v>
      </c>
      <c r="F21384" t="s">
        <v>65063</v>
      </c>
      <c r="I21384" t="s">
        <v>65064</v>
      </c>
      <c r="J21384" t="s">
        <v>30</v>
      </c>
      <c r="K21384" t="s">
        <v>65065</v>
      </c>
      <c r="M21384" t="s">
        <v>50793</v>
      </c>
      <c r="N21384" t="str">
        <f>"2/9/2024 11:09:00 AM"</f>
        <v>2/9/2024 11:09:00 AM</v>
      </c>
      <c r="O21384" t="s">
        <v>65062</v>
      </c>
    </row>
    <row r="21385" spans="1:20" x14ac:dyDescent="0.25">
      <c r="A21385" t="str">
        <f>"3047297"</f>
        <v>3047297</v>
      </c>
      <c r="B21385" t="s">
        <v>65066</v>
      </c>
      <c r="C21385" t="str">
        <f>"8317167"</f>
        <v>8317167</v>
      </c>
      <c r="D21385" t="s">
        <v>65067</v>
      </c>
      <c r="F21385" t="s">
        <v>65068</v>
      </c>
      <c r="I21385" t="s">
        <v>184</v>
      </c>
      <c r="J21385" t="s">
        <v>30</v>
      </c>
      <c r="K21385" t="s">
        <v>65069</v>
      </c>
      <c r="M21385" t="s">
        <v>50793</v>
      </c>
      <c r="N21385" t="str">
        <f>"2/9/2024 11:13:00 AM"</f>
        <v>2/9/2024 11:13:00 AM</v>
      </c>
      <c r="O21385" t="s">
        <v>65067</v>
      </c>
    </row>
    <row r="21386" spans="1:20" x14ac:dyDescent="0.25">
      <c r="A21386" t="str">
        <f>"3049679"</f>
        <v>3049679</v>
      </c>
      <c r="B21386" t="s">
        <v>65070</v>
      </c>
      <c r="C21386" t="str">
        <f>"82530289"</f>
        <v>82530289</v>
      </c>
      <c r="D21386" t="s">
        <v>65071</v>
      </c>
      <c r="F21386" t="s">
        <v>65072</v>
      </c>
      <c r="I21386" t="s">
        <v>65073</v>
      </c>
      <c r="J21386" t="s">
        <v>30</v>
      </c>
      <c r="K21386" t="s">
        <v>65074</v>
      </c>
      <c r="M21386" t="s">
        <v>50793</v>
      </c>
      <c r="N21386" t="str">
        <f>"2/9/2024 11:15:00 AM"</f>
        <v>2/9/2024 11:15:00 AM</v>
      </c>
      <c r="O21386" t="s">
        <v>65071</v>
      </c>
    </row>
    <row r="21387" spans="1:20" x14ac:dyDescent="0.25">
      <c r="A21387" t="str">
        <f>"3078440"</f>
        <v>3078440</v>
      </c>
      <c r="B21387" t="s">
        <v>65075</v>
      </c>
      <c r="C21387" t="str">
        <f>"8314818"</f>
        <v>8314818</v>
      </c>
      <c r="D21387" t="s">
        <v>65076</v>
      </c>
      <c r="E21387" t="s">
        <v>65077</v>
      </c>
      <c r="F21387" t="s">
        <v>65078</v>
      </c>
      <c r="I21387" t="s">
        <v>29</v>
      </c>
      <c r="J21387" t="s">
        <v>30</v>
      </c>
      <c r="K21387" t="s">
        <v>65079</v>
      </c>
      <c r="M21387" t="s">
        <v>50793</v>
      </c>
      <c r="N21387" t="str">
        <f>"2/9/2024 11:18:00 AM"</f>
        <v>2/9/2024 11:18:00 AM</v>
      </c>
      <c r="O21387" t="s">
        <v>65076</v>
      </c>
      <c r="T21387" t="s">
        <v>65077</v>
      </c>
    </row>
    <row r="21388" spans="1:20" x14ac:dyDescent="0.25">
      <c r="A21388" t="str">
        <f>"3062261"</f>
        <v>3062261</v>
      </c>
      <c r="B21388" t="s">
        <v>65080</v>
      </c>
      <c r="C21388" t="str">
        <f>"17468000"</f>
        <v>17468000</v>
      </c>
      <c r="D21388" t="s">
        <v>21448</v>
      </c>
      <c r="F21388" t="s">
        <v>65081</v>
      </c>
      <c r="I21388" t="s">
        <v>184</v>
      </c>
      <c r="J21388" t="s">
        <v>30</v>
      </c>
      <c r="K21388" t="s">
        <v>65082</v>
      </c>
      <c r="M21388" t="s">
        <v>50621</v>
      </c>
      <c r="N21388" t="str">
        <f>"2/9/2024 1:28:00 PM"</f>
        <v>2/9/2024 1:28:00 PM</v>
      </c>
      <c r="O21388" t="s">
        <v>21448</v>
      </c>
    </row>
    <row r="21389" spans="1:20" x14ac:dyDescent="0.25">
      <c r="A21389" t="str">
        <f>"3057267"</f>
        <v>3057267</v>
      </c>
      <c r="B21389" t="s">
        <v>65083</v>
      </c>
      <c r="C21389" t="str">
        <f>"8314768"</f>
        <v>8314768</v>
      </c>
      <c r="D21389" t="s">
        <v>65084</v>
      </c>
      <c r="F21389" t="s">
        <v>65085</v>
      </c>
      <c r="I21389" t="s">
        <v>29</v>
      </c>
      <c r="J21389" t="s">
        <v>30</v>
      </c>
      <c r="K21389" t="s">
        <v>59608</v>
      </c>
      <c r="M21389" t="s">
        <v>50621</v>
      </c>
      <c r="N21389" t="str">
        <f>"2/9/2024 1:34:00 PM"</f>
        <v>2/9/2024 1:34:00 PM</v>
      </c>
      <c r="O21389" t="s">
        <v>65084</v>
      </c>
    </row>
    <row r="21390" spans="1:20" x14ac:dyDescent="0.25">
      <c r="A21390" t="str">
        <f>"3043581"</f>
        <v>3043581</v>
      </c>
      <c r="B21390" t="s">
        <v>65086</v>
      </c>
      <c r="C21390" t="str">
        <f>"8306857"</f>
        <v>8306857</v>
      </c>
      <c r="D21390" t="s">
        <v>65087</v>
      </c>
      <c r="E21390" t="s">
        <v>65088</v>
      </c>
      <c r="F21390" t="s">
        <v>65089</v>
      </c>
      <c r="I21390" t="s">
        <v>29</v>
      </c>
      <c r="J21390" t="s">
        <v>30</v>
      </c>
      <c r="K21390" t="str">
        <f>"27028"</f>
        <v>27028</v>
      </c>
      <c r="M21390" t="s">
        <v>50793</v>
      </c>
      <c r="N21390" t="str">
        <f>"2/9/2024 12:12:00 PM"</f>
        <v>2/9/2024 12:12:00 PM</v>
      </c>
      <c r="O21390" t="s">
        <v>65087</v>
      </c>
      <c r="T21390" t="s">
        <v>65088</v>
      </c>
    </row>
    <row r="21391" spans="1:20" x14ac:dyDescent="0.25">
      <c r="A21391" t="str">
        <f>"3046163"</f>
        <v>3046163</v>
      </c>
      <c r="B21391" t="s">
        <v>65090</v>
      </c>
      <c r="C21391" t="str">
        <f>"8317607"</f>
        <v>8317607</v>
      </c>
      <c r="D21391" t="s">
        <v>65091</v>
      </c>
      <c r="F21391" t="s">
        <v>65092</v>
      </c>
      <c r="I21391" t="s">
        <v>29</v>
      </c>
      <c r="J21391" t="s">
        <v>30</v>
      </c>
      <c r="K21391" t="s">
        <v>44802</v>
      </c>
      <c r="M21391" t="s">
        <v>50621</v>
      </c>
      <c r="N21391" t="str">
        <f>"2/9/2024 1:42:00 PM"</f>
        <v>2/9/2024 1:42:00 PM</v>
      </c>
      <c r="O21391" t="s">
        <v>65091</v>
      </c>
    </row>
    <row r="21392" spans="1:20" x14ac:dyDescent="0.25">
      <c r="A21392" t="str">
        <f>"3057393"</f>
        <v>3057393</v>
      </c>
      <c r="B21392" t="s">
        <v>65093</v>
      </c>
      <c r="C21392" t="str">
        <f>"8315671"</f>
        <v>8315671</v>
      </c>
      <c r="D21392" t="s">
        <v>65094</v>
      </c>
      <c r="F21392" t="s">
        <v>65095</v>
      </c>
      <c r="I21392" t="s">
        <v>184</v>
      </c>
      <c r="J21392" t="s">
        <v>30</v>
      </c>
      <c r="K21392" t="s">
        <v>33177</v>
      </c>
      <c r="M21392" t="s">
        <v>50793</v>
      </c>
      <c r="N21392" t="str">
        <f>"2/9/2024 12:17:00 PM"</f>
        <v>2/9/2024 12:17:00 PM</v>
      </c>
      <c r="O21392" t="s">
        <v>65094</v>
      </c>
    </row>
    <row r="21393" spans="1:20" x14ac:dyDescent="0.25">
      <c r="A21393" t="str">
        <f>"3060225"</f>
        <v>3060225</v>
      </c>
      <c r="B21393" t="s">
        <v>65096</v>
      </c>
      <c r="C21393" t="str">
        <f>"8315671"</f>
        <v>8315671</v>
      </c>
      <c r="D21393" t="s">
        <v>65094</v>
      </c>
      <c r="F21393" t="s">
        <v>65095</v>
      </c>
      <c r="I21393" t="s">
        <v>184</v>
      </c>
      <c r="J21393" t="s">
        <v>30</v>
      </c>
      <c r="K21393" t="s">
        <v>33177</v>
      </c>
      <c r="M21393" t="s">
        <v>50793</v>
      </c>
      <c r="N21393" t="str">
        <f>"2/9/2024 12:17:00 PM"</f>
        <v>2/9/2024 12:17:00 PM</v>
      </c>
      <c r="O21393" t="s">
        <v>65094</v>
      </c>
    </row>
    <row r="21394" spans="1:20" x14ac:dyDescent="0.25">
      <c r="A21394" t="str">
        <f>"3049296"</f>
        <v>3049296</v>
      </c>
      <c r="B21394" t="s">
        <v>65097</v>
      </c>
      <c r="C21394" t="str">
        <f>"8309838"</f>
        <v>8309838</v>
      </c>
      <c r="D21394" t="s">
        <v>65098</v>
      </c>
      <c r="F21394" t="s">
        <v>65099</v>
      </c>
      <c r="I21394" t="s">
        <v>184</v>
      </c>
      <c r="J21394" t="s">
        <v>30</v>
      </c>
      <c r="K21394" t="s">
        <v>60900</v>
      </c>
      <c r="M21394" t="s">
        <v>50793</v>
      </c>
      <c r="N21394" t="str">
        <f>"2/9/2024 12:19:00 PM"</f>
        <v>2/9/2024 12:19:00 PM</v>
      </c>
      <c r="O21394" t="s">
        <v>65098</v>
      </c>
    </row>
    <row r="21395" spans="1:20" x14ac:dyDescent="0.25">
      <c r="A21395" t="str">
        <f>"3055225"</f>
        <v>3055225</v>
      </c>
      <c r="B21395" t="s">
        <v>65100</v>
      </c>
      <c r="C21395" t="str">
        <f>"19140000"</f>
        <v>19140000</v>
      </c>
      <c r="D21395" t="s">
        <v>65101</v>
      </c>
      <c r="F21395" t="s">
        <v>65102</v>
      </c>
      <c r="I21395" t="s">
        <v>29</v>
      </c>
      <c r="J21395" t="s">
        <v>30</v>
      </c>
      <c r="K21395" t="s">
        <v>15631</v>
      </c>
      <c r="M21395" t="s">
        <v>50621</v>
      </c>
      <c r="N21395" t="str">
        <f>"2/9/2024 1:51:00 PM"</f>
        <v>2/9/2024 1:51:00 PM</v>
      </c>
      <c r="O21395" t="s">
        <v>65101</v>
      </c>
    </row>
    <row r="21396" spans="1:20" x14ac:dyDescent="0.25">
      <c r="A21396" t="str">
        <f>"3078486"</f>
        <v>3078486</v>
      </c>
      <c r="B21396" t="s">
        <v>65103</v>
      </c>
      <c r="C21396" t="str">
        <f>"19140000"</f>
        <v>19140000</v>
      </c>
      <c r="D21396" t="s">
        <v>65101</v>
      </c>
      <c r="F21396" t="s">
        <v>65102</v>
      </c>
      <c r="I21396" t="s">
        <v>29</v>
      </c>
      <c r="J21396" t="s">
        <v>30</v>
      </c>
      <c r="K21396" t="s">
        <v>15631</v>
      </c>
      <c r="M21396" t="s">
        <v>50621</v>
      </c>
      <c r="N21396" t="str">
        <f>"2/9/2024 1:51:00 PM"</f>
        <v>2/9/2024 1:51:00 PM</v>
      </c>
      <c r="O21396" t="s">
        <v>65101</v>
      </c>
    </row>
    <row r="21397" spans="1:20" x14ac:dyDescent="0.25">
      <c r="A21397" t="str">
        <f>"3078779"</f>
        <v>3078779</v>
      </c>
      <c r="B21397" t="s">
        <v>65104</v>
      </c>
      <c r="C21397" t="str">
        <f>"19140000"</f>
        <v>19140000</v>
      </c>
      <c r="D21397" t="s">
        <v>65101</v>
      </c>
      <c r="F21397" t="s">
        <v>65102</v>
      </c>
      <c r="I21397" t="s">
        <v>29</v>
      </c>
      <c r="J21397" t="s">
        <v>30</v>
      </c>
      <c r="K21397" t="s">
        <v>15631</v>
      </c>
      <c r="M21397" t="s">
        <v>50621</v>
      </c>
      <c r="N21397" t="str">
        <f>"2/9/2024 1:51:00 PM"</f>
        <v>2/9/2024 1:51:00 PM</v>
      </c>
      <c r="O21397" t="s">
        <v>65101</v>
      </c>
    </row>
    <row r="21398" spans="1:20" x14ac:dyDescent="0.25">
      <c r="A21398" t="str">
        <f>"3056050"</f>
        <v>3056050</v>
      </c>
      <c r="B21398" t="s">
        <v>65105</v>
      </c>
      <c r="C21398" t="str">
        <f>"82514182"</f>
        <v>82514182</v>
      </c>
      <c r="D21398" t="s">
        <v>65106</v>
      </c>
      <c r="E21398" t="s">
        <v>65107</v>
      </c>
      <c r="F21398" t="s">
        <v>65108</v>
      </c>
      <c r="I21398" t="s">
        <v>7209</v>
      </c>
      <c r="J21398" t="s">
        <v>30</v>
      </c>
      <c r="K21398" t="s">
        <v>7210</v>
      </c>
      <c r="M21398" t="s">
        <v>50793</v>
      </c>
      <c r="N21398" t="str">
        <f>"2/9/2024 12:24:00 PM"</f>
        <v>2/9/2024 12:24:00 PM</v>
      </c>
      <c r="O21398" t="s">
        <v>65106</v>
      </c>
      <c r="T21398" t="s">
        <v>65107</v>
      </c>
    </row>
    <row r="21399" spans="1:20" x14ac:dyDescent="0.25">
      <c r="A21399" t="str">
        <f>"3044222"</f>
        <v>3044222</v>
      </c>
      <c r="B21399" t="s">
        <v>65109</v>
      </c>
      <c r="C21399" t="str">
        <f>"8303561"</f>
        <v>8303561</v>
      </c>
      <c r="D21399" t="s">
        <v>65110</v>
      </c>
      <c r="F21399" t="s">
        <v>65111</v>
      </c>
      <c r="I21399" t="s">
        <v>184</v>
      </c>
      <c r="J21399" t="s">
        <v>30</v>
      </c>
      <c r="K21399" t="str">
        <f>"27006"</f>
        <v>27006</v>
      </c>
      <c r="M21399" t="s">
        <v>50793</v>
      </c>
      <c r="N21399" t="str">
        <f>"2/9/2024 12:37:00 PM"</f>
        <v>2/9/2024 12:37:00 PM</v>
      </c>
      <c r="O21399" t="s">
        <v>65110</v>
      </c>
    </row>
    <row r="21400" spans="1:20" x14ac:dyDescent="0.25">
      <c r="A21400" t="str">
        <f>"3052498"</f>
        <v>3052498</v>
      </c>
      <c r="B21400" t="s">
        <v>65112</v>
      </c>
      <c r="C21400" t="str">
        <f>"55470000"</f>
        <v>55470000</v>
      </c>
      <c r="D21400" t="s">
        <v>65113</v>
      </c>
      <c r="F21400" t="s">
        <v>65114</v>
      </c>
      <c r="I21400" t="s">
        <v>29</v>
      </c>
      <c r="J21400" t="s">
        <v>30</v>
      </c>
      <c r="K21400" t="s">
        <v>31</v>
      </c>
      <c r="M21400" t="s">
        <v>50793</v>
      </c>
      <c r="N21400" t="str">
        <f>"2/9/2024 12:39:00 PM"</f>
        <v>2/9/2024 12:39:00 PM</v>
      </c>
      <c r="O21400" t="s">
        <v>65113</v>
      </c>
    </row>
    <row r="21401" spans="1:20" x14ac:dyDescent="0.25">
      <c r="A21401" t="str">
        <f>"3051267"</f>
        <v>3051267</v>
      </c>
      <c r="B21401" t="s">
        <v>65115</v>
      </c>
      <c r="C21401" t="str">
        <f>"55501000"</f>
        <v>55501000</v>
      </c>
      <c r="D21401" t="s">
        <v>65116</v>
      </c>
      <c r="F21401" t="s">
        <v>65117</v>
      </c>
      <c r="I21401" t="s">
        <v>29</v>
      </c>
      <c r="J21401" t="s">
        <v>30</v>
      </c>
      <c r="K21401" t="s">
        <v>65118</v>
      </c>
      <c r="M21401" t="s">
        <v>50793</v>
      </c>
      <c r="N21401" t="str">
        <f>"2/9/2024 12:40:00 PM"</f>
        <v>2/9/2024 12:40:00 PM</v>
      </c>
      <c r="O21401" t="s">
        <v>65116</v>
      </c>
    </row>
    <row r="21402" spans="1:20" x14ac:dyDescent="0.25">
      <c r="A21402" t="str">
        <f>"3061434"</f>
        <v>3061434</v>
      </c>
      <c r="B21402" t="s">
        <v>65119</v>
      </c>
      <c r="C21402" t="str">
        <f>"8318705"</f>
        <v>8318705</v>
      </c>
      <c r="D21402" t="s">
        <v>65120</v>
      </c>
      <c r="E21402" t="s">
        <v>65121</v>
      </c>
      <c r="F21402" t="s">
        <v>65122</v>
      </c>
      <c r="I21402" t="s">
        <v>402</v>
      </c>
      <c r="J21402" t="s">
        <v>30</v>
      </c>
      <c r="K21402" t="s">
        <v>65123</v>
      </c>
      <c r="M21402" t="s">
        <v>50621</v>
      </c>
      <c r="N21402" t="str">
        <f>"2/9/2024 1:24:00 PM"</f>
        <v>2/9/2024 1:24:00 PM</v>
      </c>
      <c r="O21402" t="s">
        <v>65120</v>
      </c>
      <c r="T21402" t="s">
        <v>65121</v>
      </c>
    </row>
    <row r="21403" spans="1:20" x14ac:dyDescent="0.25">
      <c r="A21403" t="str">
        <f>"3044211"</f>
        <v>3044211</v>
      </c>
      <c r="B21403" t="s">
        <v>65124</v>
      </c>
      <c r="C21403" t="str">
        <f>"8305229"</f>
        <v>8305229</v>
      </c>
      <c r="D21403" t="s">
        <v>65125</v>
      </c>
      <c r="F21403" t="s">
        <v>65126</v>
      </c>
      <c r="I21403" t="s">
        <v>184</v>
      </c>
      <c r="J21403" t="s">
        <v>30</v>
      </c>
      <c r="K21403" t="str">
        <f>"27006"</f>
        <v>27006</v>
      </c>
      <c r="M21403" t="s">
        <v>50621</v>
      </c>
      <c r="N21403" t="str">
        <f>"2/9/2024 1:25:00 PM"</f>
        <v>2/9/2024 1:25:00 PM</v>
      </c>
      <c r="O21403" t="s">
        <v>65125</v>
      </c>
    </row>
    <row r="21404" spans="1:20" x14ac:dyDescent="0.25">
      <c r="A21404" t="str">
        <f>"3048269"</f>
        <v>3048269</v>
      </c>
      <c r="B21404" t="s">
        <v>65127</v>
      </c>
      <c r="C21404" t="str">
        <f>"16978250"</f>
        <v>16978250</v>
      </c>
      <c r="D21404" t="s">
        <v>65128</v>
      </c>
      <c r="E21404" t="s">
        <v>65129</v>
      </c>
      <c r="F21404" t="s">
        <v>65130</v>
      </c>
      <c r="I21404" t="s">
        <v>29</v>
      </c>
      <c r="J21404" t="s">
        <v>30</v>
      </c>
      <c r="K21404" t="s">
        <v>31</v>
      </c>
      <c r="M21404" t="s">
        <v>50621</v>
      </c>
      <c r="N21404" t="str">
        <f>"2/9/2024 1:27:00 PM"</f>
        <v>2/9/2024 1:27:00 PM</v>
      </c>
      <c r="O21404" t="s">
        <v>65128</v>
      </c>
      <c r="T21404" t="s">
        <v>65129</v>
      </c>
    </row>
    <row r="21405" spans="1:20" x14ac:dyDescent="0.25">
      <c r="A21405" t="str">
        <f>"3077190"</f>
        <v>3077190</v>
      </c>
      <c r="B21405" t="s">
        <v>65131</v>
      </c>
      <c r="C21405" t="str">
        <f>"8318861"</f>
        <v>8318861</v>
      </c>
      <c r="D21405" t="s">
        <v>21448</v>
      </c>
      <c r="E21405" t="s">
        <v>5184</v>
      </c>
      <c r="F21405" t="s">
        <v>65132</v>
      </c>
      <c r="I21405" t="s">
        <v>184</v>
      </c>
      <c r="J21405" t="s">
        <v>30</v>
      </c>
      <c r="K21405" t="s">
        <v>65082</v>
      </c>
      <c r="M21405" t="s">
        <v>50621</v>
      </c>
      <c r="N21405" t="str">
        <f>"2/9/2024 1:29:00 PM"</f>
        <v>2/9/2024 1:29:00 PM</v>
      </c>
      <c r="O21405" t="s">
        <v>21448</v>
      </c>
      <c r="T21405" t="s">
        <v>5184</v>
      </c>
    </row>
    <row r="21406" spans="1:20" x14ac:dyDescent="0.25">
      <c r="A21406" t="str">
        <f>"3077185"</f>
        <v>3077185</v>
      </c>
      <c r="B21406" t="s">
        <v>65133</v>
      </c>
      <c r="C21406" t="str">
        <f>"8318861"</f>
        <v>8318861</v>
      </c>
      <c r="D21406" t="s">
        <v>21448</v>
      </c>
      <c r="E21406" t="s">
        <v>5184</v>
      </c>
      <c r="F21406" t="s">
        <v>65132</v>
      </c>
      <c r="I21406" t="s">
        <v>184</v>
      </c>
      <c r="J21406" t="s">
        <v>30</v>
      </c>
      <c r="K21406" t="s">
        <v>65082</v>
      </c>
      <c r="M21406" t="s">
        <v>50621</v>
      </c>
      <c r="N21406" t="str">
        <f>"2/9/2024 1:29:00 PM"</f>
        <v>2/9/2024 1:29:00 PM</v>
      </c>
      <c r="O21406" t="s">
        <v>21448</v>
      </c>
      <c r="T21406" t="s">
        <v>5184</v>
      </c>
    </row>
    <row r="21407" spans="1:20" x14ac:dyDescent="0.25">
      <c r="A21407" t="str">
        <f>"3064046"</f>
        <v>3064046</v>
      </c>
      <c r="B21407" t="s">
        <v>65134</v>
      </c>
      <c r="C21407" t="str">
        <f>"17468000"</f>
        <v>17468000</v>
      </c>
      <c r="D21407" t="s">
        <v>21448</v>
      </c>
      <c r="F21407" t="s">
        <v>65081</v>
      </c>
      <c r="I21407" t="s">
        <v>184</v>
      </c>
      <c r="J21407" t="s">
        <v>30</v>
      </c>
      <c r="K21407" t="s">
        <v>65082</v>
      </c>
      <c r="M21407" t="s">
        <v>50621</v>
      </c>
      <c r="N21407" t="str">
        <f>"2/9/2024 1:28:00 PM"</f>
        <v>2/9/2024 1:28:00 PM</v>
      </c>
      <c r="O21407" t="s">
        <v>21448</v>
      </c>
    </row>
    <row r="21408" spans="1:20" x14ac:dyDescent="0.25">
      <c r="A21408" t="str">
        <f>"3062262"</f>
        <v>3062262</v>
      </c>
      <c r="B21408" t="s">
        <v>65135</v>
      </c>
      <c r="C21408" t="str">
        <f>"17468000"</f>
        <v>17468000</v>
      </c>
      <c r="D21408" t="s">
        <v>21448</v>
      </c>
      <c r="F21408" t="s">
        <v>65081</v>
      </c>
      <c r="I21408" t="s">
        <v>184</v>
      </c>
      <c r="J21408" t="s">
        <v>30</v>
      </c>
      <c r="K21408" t="s">
        <v>65082</v>
      </c>
      <c r="M21408" t="s">
        <v>50621</v>
      </c>
      <c r="N21408" t="str">
        <f>"2/9/2024 1:28:00 PM"</f>
        <v>2/9/2024 1:28:00 PM</v>
      </c>
      <c r="O21408" t="s">
        <v>21448</v>
      </c>
    </row>
    <row r="21409" spans="1:20" x14ac:dyDescent="0.25">
      <c r="A21409" t="str">
        <f>"3047638"</f>
        <v>3047638</v>
      </c>
      <c r="B21409" t="s">
        <v>65136</v>
      </c>
      <c r="C21409" t="str">
        <f>"8304814"</f>
        <v>8304814</v>
      </c>
      <c r="D21409" t="s">
        <v>65137</v>
      </c>
      <c r="F21409" t="s">
        <v>65138</v>
      </c>
      <c r="I21409" t="s">
        <v>24359</v>
      </c>
      <c r="J21409" t="s">
        <v>30</v>
      </c>
      <c r="K21409" t="str">
        <f>"27006"</f>
        <v>27006</v>
      </c>
      <c r="M21409" t="s">
        <v>50621</v>
      </c>
      <c r="N21409" t="str">
        <f>"2/9/2024 1:30:00 PM"</f>
        <v>2/9/2024 1:30:00 PM</v>
      </c>
      <c r="O21409" t="s">
        <v>65137</v>
      </c>
    </row>
    <row r="21410" spans="1:20" x14ac:dyDescent="0.25">
      <c r="A21410" t="str">
        <f>"3062357"</f>
        <v>3062357</v>
      </c>
      <c r="B21410" t="s">
        <v>65139</v>
      </c>
      <c r="C21410" t="str">
        <f>"82532425"</f>
        <v>82532425</v>
      </c>
      <c r="D21410" t="s">
        <v>65140</v>
      </c>
      <c r="E21410" t="s">
        <v>65141</v>
      </c>
      <c r="F21410" t="s">
        <v>65142</v>
      </c>
      <c r="I21410" t="s">
        <v>29</v>
      </c>
      <c r="J21410" t="s">
        <v>30</v>
      </c>
      <c r="K21410" t="s">
        <v>31</v>
      </c>
      <c r="M21410" t="s">
        <v>50621</v>
      </c>
      <c r="N21410" t="str">
        <f>"2/9/2024 1:32:00 PM"</f>
        <v>2/9/2024 1:32:00 PM</v>
      </c>
      <c r="O21410" t="s">
        <v>65140</v>
      </c>
      <c r="T21410" t="s">
        <v>65141</v>
      </c>
    </row>
    <row r="21411" spans="1:20" x14ac:dyDescent="0.25">
      <c r="A21411" t="str">
        <f>"3055058"</f>
        <v>3055058</v>
      </c>
      <c r="B21411" t="s">
        <v>65143</v>
      </c>
      <c r="C21411" t="str">
        <f>"17947500"</f>
        <v>17947500</v>
      </c>
      <c r="D21411" t="s">
        <v>65144</v>
      </c>
      <c r="F21411" t="s">
        <v>65145</v>
      </c>
      <c r="I21411" t="s">
        <v>29</v>
      </c>
      <c r="J21411" t="s">
        <v>30</v>
      </c>
      <c r="K21411" t="s">
        <v>31</v>
      </c>
      <c r="M21411" t="s">
        <v>50621</v>
      </c>
      <c r="N21411" t="str">
        <f>"2/9/2024 1:32:00 PM"</f>
        <v>2/9/2024 1:32:00 PM</v>
      </c>
      <c r="O21411" t="s">
        <v>65144</v>
      </c>
    </row>
    <row r="21412" spans="1:20" x14ac:dyDescent="0.25">
      <c r="A21412" t="str">
        <f>"3055190"</f>
        <v>3055190</v>
      </c>
      <c r="B21412" t="s">
        <v>65146</v>
      </c>
      <c r="C21412" t="str">
        <f>"17947500"</f>
        <v>17947500</v>
      </c>
      <c r="D21412" t="s">
        <v>65144</v>
      </c>
      <c r="F21412" t="s">
        <v>65145</v>
      </c>
      <c r="I21412" t="s">
        <v>29</v>
      </c>
      <c r="J21412" t="s">
        <v>30</v>
      </c>
      <c r="K21412" t="s">
        <v>31</v>
      </c>
      <c r="M21412" t="s">
        <v>50621</v>
      </c>
      <c r="N21412" t="str">
        <f>"2/9/2024 1:32:00 PM"</f>
        <v>2/9/2024 1:32:00 PM</v>
      </c>
      <c r="O21412" t="s">
        <v>65144</v>
      </c>
    </row>
    <row r="21413" spans="1:20" x14ac:dyDescent="0.25">
      <c r="A21413" t="str">
        <f>"3057558"</f>
        <v>3057558</v>
      </c>
      <c r="B21413" t="s">
        <v>65147</v>
      </c>
      <c r="C21413" t="str">
        <f>"82513268"</f>
        <v>82513268</v>
      </c>
      <c r="D21413" t="s">
        <v>65148</v>
      </c>
      <c r="E21413" t="s">
        <v>65149</v>
      </c>
      <c r="F21413" t="s">
        <v>65150</v>
      </c>
      <c r="I21413" t="s">
        <v>29</v>
      </c>
      <c r="J21413" t="s">
        <v>30</v>
      </c>
      <c r="K21413" t="s">
        <v>31</v>
      </c>
      <c r="M21413" t="s">
        <v>50621</v>
      </c>
      <c r="N21413" t="str">
        <f>"2/9/2024 1:33:00 PM"</f>
        <v>2/9/2024 1:33:00 PM</v>
      </c>
      <c r="O21413" t="s">
        <v>65148</v>
      </c>
      <c r="T21413" t="s">
        <v>65149</v>
      </c>
    </row>
    <row r="21414" spans="1:20" x14ac:dyDescent="0.25">
      <c r="A21414" t="str">
        <f>"3046830"</f>
        <v>3046830</v>
      </c>
      <c r="B21414" t="s">
        <v>65151</v>
      </c>
      <c r="C21414" t="str">
        <f>"8311588"</f>
        <v>8311588</v>
      </c>
      <c r="D21414" t="s">
        <v>65152</v>
      </c>
      <c r="F21414" t="s">
        <v>65153</v>
      </c>
      <c r="I21414" t="s">
        <v>29</v>
      </c>
      <c r="J21414" t="s">
        <v>30</v>
      </c>
      <c r="K21414" t="s">
        <v>64278</v>
      </c>
      <c r="M21414" t="s">
        <v>50793</v>
      </c>
      <c r="N21414" t="str">
        <f>"2/9/2024 1:33:00 PM"</f>
        <v>2/9/2024 1:33:00 PM</v>
      </c>
      <c r="O21414" t="s">
        <v>65152</v>
      </c>
    </row>
    <row r="21415" spans="1:20" x14ac:dyDescent="0.25">
      <c r="A21415" t="str">
        <f>"3054313"</f>
        <v>3054313</v>
      </c>
      <c r="B21415" t="s">
        <v>65154</v>
      </c>
      <c r="C21415" t="str">
        <f>"55698500"</f>
        <v>55698500</v>
      </c>
      <c r="D21415" t="s">
        <v>65155</v>
      </c>
      <c r="E21415" t="s">
        <v>65156</v>
      </c>
      <c r="F21415" t="s">
        <v>65157</v>
      </c>
      <c r="I21415" t="s">
        <v>29</v>
      </c>
      <c r="J21415" t="s">
        <v>30</v>
      </c>
      <c r="K21415" t="s">
        <v>65158</v>
      </c>
      <c r="M21415" t="s">
        <v>50793</v>
      </c>
      <c r="N21415" t="str">
        <f>"2/9/2024 1:34:00 PM"</f>
        <v>2/9/2024 1:34:00 PM</v>
      </c>
      <c r="O21415" t="s">
        <v>65155</v>
      </c>
      <c r="T21415" t="s">
        <v>65156</v>
      </c>
    </row>
    <row r="21416" spans="1:20" x14ac:dyDescent="0.25">
      <c r="A21416" t="str">
        <f>"3070864"</f>
        <v>3070864</v>
      </c>
      <c r="B21416" t="s">
        <v>65159</v>
      </c>
      <c r="C21416" t="str">
        <f>"55698500"</f>
        <v>55698500</v>
      </c>
      <c r="D21416" t="s">
        <v>65155</v>
      </c>
      <c r="E21416" t="s">
        <v>65156</v>
      </c>
      <c r="F21416" t="s">
        <v>65157</v>
      </c>
      <c r="I21416" t="s">
        <v>29</v>
      </c>
      <c r="J21416" t="s">
        <v>30</v>
      </c>
      <c r="K21416" t="s">
        <v>65158</v>
      </c>
      <c r="M21416" t="s">
        <v>50793</v>
      </c>
      <c r="N21416" t="str">
        <f>"2/9/2024 1:34:00 PM"</f>
        <v>2/9/2024 1:34:00 PM</v>
      </c>
      <c r="O21416" t="s">
        <v>65155</v>
      </c>
      <c r="T21416" t="s">
        <v>65156</v>
      </c>
    </row>
    <row r="21417" spans="1:20" x14ac:dyDescent="0.25">
      <c r="A21417" t="str">
        <f>"3055437"</f>
        <v>3055437</v>
      </c>
      <c r="B21417" t="s">
        <v>65160</v>
      </c>
      <c r="C21417" t="str">
        <f>"8315013"</f>
        <v>8315013</v>
      </c>
      <c r="D21417" t="s">
        <v>65161</v>
      </c>
      <c r="F21417" t="s">
        <v>65162</v>
      </c>
      <c r="I21417" t="s">
        <v>29</v>
      </c>
      <c r="J21417" t="s">
        <v>30</v>
      </c>
      <c r="K21417" t="s">
        <v>43787</v>
      </c>
      <c r="M21417" t="s">
        <v>50621</v>
      </c>
      <c r="N21417" t="str">
        <f>"2/9/2024 1:34:00 PM"</f>
        <v>2/9/2024 1:34:00 PM</v>
      </c>
      <c r="O21417" t="s">
        <v>65161</v>
      </c>
    </row>
    <row r="21418" spans="1:20" x14ac:dyDescent="0.25">
      <c r="A21418" t="str">
        <f>"3047787"</f>
        <v>3047787</v>
      </c>
      <c r="B21418" t="s">
        <v>65163</v>
      </c>
      <c r="C21418" t="str">
        <f>"8319624"</f>
        <v>8319624</v>
      </c>
      <c r="D21418" t="s">
        <v>65164</v>
      </c>
      <c r="F21418" t="s">
        <v>65165</v>
      </c>
      <c r="I21418" t="s">
        <v>184</v>
      </c>
      <c r="J21418" t="s">
        <v>30</v>
      </c>
      <c r="K21418" t="s">
        <v>52161</v>
      </c>
      <c r="M21418" t="s">
        <v>50621</v>
      </c>
      <c r="N21418" t="str">
        <f>"2/9/2024 1:39:00 PM"</f>
        <v>2/9/2024 1:39:00 PM</v>
      </c>
      <c r="O21418" t="s">
        <v>65164</v>
      </c>
    </row>
    <row r="21419" spans="1:20" x14ac:dyDescent="0.25">
      <c r="A21419" t="str">
        <f>"3054872"</f>
        <v>3054872</v>
      </c>
      <c r="B21419" t="s">
        <v>65166</v>
      </c>
      <c r="C21419" t="str">
        <f>"8300171"</f>
        <v>8300171</v>
      </c>
      <c r="D21419" t="s">
        <v>65167</v>
      </c>
      <c r="F21419" t="s">
        <v>65168</v>
      </c>
      <c r="I21419" t="s">
        <v>29</v>
      </c>
      <c r="J21419" t="s">
        <v>30</v>
      </c>
      <c r="K21419" t="s">
        <v>31</v>
      </c>
      <c r="M21419" t="s">
        <v>50621</v>
      </c>
      <c r="N21419" t="str">
        <f>"2/9/2024 1:45:00 PM"</f>
        <v>2/9/2024 1:45:00 PM</v>
      </c>
      <c r="O21419" t="s">
        <v>65167</v>
      </c>
    </row>
    <row r="21420" spans="1:20" x14ac:dyDescent="0.25">
      <c r="A21420" t="str">
        <f>"3054868"</f>
        <v>3054868</v>
      </c>
      <c r="B21420" t="s">
        <v>65169</v>
      </c>
      <c r="C21420" t="str">
        <f>"19140000"</f>
        <v>19140000</v>
      </c>
      <c r="D21420" t="s">
        <v>65101</v>
      </c>
      <c r="F21420" t="s">
        <v>65102</v>
      </c>
      <c r="I21420" t="s">
        <v>29</v>
      </c>
      <c r="J21420" t="s">
        <v>30</v>
      </c>
      <c r="K21420" t="s">
        <v>15631</v>
      </c>
      <c r="M21420" t="s">
        <v>50621</v>
      </c>
      <c r="N21420" t="str">
        <f>"2/9/2024 1:51:00 PM"</f>
        <v>2/9/2024 1:51:00 PM</v>
      </c>
      <c r="O21420" t="s">
        <v>65101</v>
      </c>
    </row>
    <row r="21421" spans="1:20" x14ac:dyDescent="0.25">
      <c r="A21421" t="str">
        <f>"3054960"</f>
        <v>3054960</v>
      </c>
      <c r="B21421" t="s">
        <v>65170</v>
      </c>
      <c r="C21421" t="str">
        <f>"19140000"</f>
        <v>19140000</v>
      </c>
      <c r="D21421" t="s">
        <v>65101</v>
      </c>
      <c r="F21421" t="s">
        <v>65102</v>
      </c>
      <c r="I21421" t="s">
        <v>29</v>
      </c>
      <c r="J21421" t="s">
        <v>30</v>
      </c>
      <c r="K21421" t="s">
        <v>15631</v>
      </c>
      <c r="M21421" t="s">
        <v>50621</v>
      </c>
      <c r="N21421" t="str">
        <f>"2/9/2024 1:51:00 PM"</f>
        <v>2/9/2024 1:51:00 PM</v>
      </c>
      <c r="O21421" t="s">
        <v>65101</v>
      </c>
    </row>
    <row r="21422" spans="1:20" x14ac:dyDescent="0.25">
      <c r="A21422" t="str">
        <f>"3043318"</f>
        <v>3043318</v>
      </c>
      <c r="B21422" t="s">
        <v>65171</v>
      </c>
      <c r="C21422" t="str">
        <f>"8321911"</f>
        <v>8321911</v>
      </c>
      <c r="D21422" t="s">
        <v>65172</v>
      </c>
      <c r="E21422" t="s">
        <v>65173</v>
      </c>
      <c r="F21422" t="s">
        <v>65174</v>
      </c>
      <c r="I21422" t="s">
        <v>29</v>
      </c>
      <c r="J21422" t="s">
        <v>30</v>
      </c>
      <c r="K21422" t="s">
        <v>65175</v>
      </c>
      <c r="M21422" t="s">
        <v>50500</v>
      </c>
      <c r="N21422" t="str">
        <f>"2/12/2024 8:44:00 AM"</f>
        <v>2/12/2024 8:44:00 AM</v>
      </c>
      <c r="O21422" t="s">
        <v>65172</v>
      </c>
      <c r="T21422" t="s">
        <v>65173</v>
      </c>
    </row>
    <row r="21423" spans="1:20" x14ac:dyDescent="0.25">
      <c r="A21423" t="str">
        <f>"3043126"</f>
        <v>3043126</v>
      </c>
      <c r="B21423" t="s">
        <v>65176</v>
      </c>
      <c r="C21423" t="str">
        <f>"8309725"</f>
        <v>8309725</v>
      </c>
      <c r="D21423" t="s">
        <v>65177</v>
      </c>
      <c r="E21423" t="s">
        <v>65178</v>
      </c>
      <c r="F21423" t="s">
        <v>65179</v>
      </c>
      <c r="I21423" t="s">
        <v>29</v>
      </c>
      <c r="J21423" t="s">
        <v>30</v>
      </c>
      <c r="K21423" t="s">
        <v>65180</v>
      </c>
      <c r="M21423" t="s">
        <v>50621</v>
      </c>
      <c r="N21423" t="str">
        <f>"2/12/2024 9:35:00 AM"</f>
        <v>2/12/2024 9:35:00 AM</v>
      </c>
      <c r="O21423" t="s">
        <v>65177</v>
      </c>
      <c r="T21423" t="s">
        <v>65178</v>
      </c>
    </row>
    <row r="21424" spans="1:20" x14ac:dyDescent="0.25">
      <c r="A21424" t="str">
        <f>"3043122"</f>
        <v>3043122</v>
      </c>
      <c r="B21424" t="s">
        <v>65181</v>
      </c>
      <c r="C21424" t="str">
        <f>"8309725"</f>
        <v>8309725</v>
      </c>
      <c r="D21424" t="s">
        <v>65177</v>
      </c>
      <c r="E21424" t="s">
        <v>65178</v>
      </c>
      <c r="F21424" t="s">
        <v>65179</v>
      </c>
      <c r="I21424" t="s">
        <v>29</v>
      </c>
      <c r="J21424" t="s">
        <v>30</v>
      </c>
      <c r="K21424" t="s">
        <v>65180</v>
      </c>
      <c r="M21424" t="s">
        <v>50621</v>
      </c>
      <c r="N21424" t="str">
        <f>"2/12/2024 9:35:00 AM"</f>
        <v>2/12/2024 9:35:00 AM</v>
      </c>
      <c r="O21424" t="s">
        <v>65177</v>
      </c>
      <c r="T21424" t="s">
        <v>65178</v>
      </c>
    </row>
    <row r="21425" spans="1:20" x14ac:dyDescent="0.25">
      <c r="A21425" t="str">
        <f>"3041373"</f>
        <v>3041373</v>
      </c>
      <c r="B21425" t="s">
        <v>65182</v>
      </c>
      <c r="C21425" t="str">
        <f>"21033000"</f>
        <v>21033000</v>
      </c>
      <c r="D21425" t="s">
        <v>65183</v>
      </c>
      <c r="E21425" t="s">
        <v>65184</v>
      </c>
      <c r="F21425" t="s">
        <v>65185</v>
      </c>
      <c r="I21425" t="s">
        <v>2071</v>
      </c>
      <c r="J21425" t="s">
        <v>30</v>
      </c>
      <c r="K21425" t="s">
        <v>185</v>
      </c>
      <c r="M21425" t="s">
        <v>50621</v>
      </c>
      <c r="N21425" t="str">
        <f>"2/12/2024 9:35:00 AM"</f>
        <v>2/12/2024 9:35:00 AM</v>
      </c>
      <c r="O21425" t="s">
        <v>65183</v>
      </c>
      <c r="T21425" t="s">
        <v>65184</v>
      </c>
    </row>
    <row r="21426" spans="1:20" x14ac:dyDescent="0.25">
      <c r="A21426" t="str">
        <f>"3038502"</f>
        <v>3038502</v>
      </c>
      <c r="B21426" t="s">
        <v>65186</v>
      </c>
      <c r="C21426" t="str">
        <f>"82525738"</f>
        <v>82525738</v>
      </c>
      <c r="D21426" t="s">
        <v>65187</v>
      </c>
      <c r="F21426" t="str">
        <f>"C/O JASON ROBERT DILL"</f>
        <v>C/O JASON ROBERT DILL</v>
      </c>
      <c r="G21426" t="s">
        <v>65188</v>
      </c>
      <c r="I21426" t="s">
        <v>29</v>
      </c>
      <c r="J21426" t="s">
        <v>30</v>
      </c>
      <c r="K21426" t="s">
        <v>31</v>
      </c>
      <c r="M21426" t="s">
        <v>50621</v>
      </c>
      <c r="N21426" t="str">
        <f>"2/12/2024 9:37:00 AM"</f>
        <v>2/12/2024 9:37:00 AM</v>
      </c>
      <c r="O21426" t="s">
        <v>65187</v>
      </c>
    </row>
    <row r="21427" spans="1:20" x14ac:dyDescent="0.25">
      <c r="A21427" t="str">
        <f>"3041386"</f>
        <v>3041386</v>
      </c>
      <c r="B21427" t="s">
        <v>65189</v>
      </c>
      <c r="C21427" t="str">
        <f>"8321914"</f>
        <v>8321914</v>
      </c>
      <c r="D21427" t="s">
        <v>65190</v>
      </c>
      <c r="F21427" t="s">
        <v>65191</v>
      </c>
      <c r="I21427" t="s">
        <v>2071</v>
      </c>
      <c r="J21427" t="s">
        <v>30</v>
      </c>
      <c r="K21427" t="s">
        <v>2200</v>
      </c>
      <c r="M21427" t="s">
        <v>50500</v>
      </c>
      <c r="N21427" t="str">
        <f>"2/12/2024 9:12:00 AM"</f>
        <v>2/12/2024 9:12:00 AM</v>
      </c>
      <c r="O21427" t="s">
        <v>65190</v>
      </c>
    </row>
    <row r="21428" spans="1:20" x14ac:dyDescent="0.25">
      <c r="A21428" t="str">
        <f>"3052393"</f>
        <v>3052393</v>
      </c>
      <c r="B21428" t="s">
        <v>65192</v>
      </c>
      <c r="C21428" t="str">
        <f>"8321915"</f>
        <v>8321915</v>
      </c>
      <c r="D21428" t="s">
        <v>65193</v>
      </c>
      <c r="F21428" t="s">
        <v>44894</v>
      </c>
      <c r="I21428" t="s">
        <v>29</v>
      </c>
      <c r="J21428" t="s">
        <v>30</v>
      </c>
      <c r="K21428" t="s">
        <v>62257</v>
      </c>
      <c r="M21428" t="s">
        <v>50500</v>
      </c>
      <c r="N21428" t="str">
        <f>"2/12/2024 9:22:00 AM"</f>
        <v>2/12/2024 9:22:00 AM</v>
      </c>
      <c r="O21428" t="s">
        <v>65193</v>
      </c>
    </row>
    <row r="21429" spans="1:20" x14ac:dyDescent="0.25">
      <c r="A21429" t="str">
        <f>"3043663"</f>
        <v>3043663</v>
      </c>
      <c r="B21429" t="s">
        <v>65194</v>
      </c>
      <c r="C21429" t="str">
        <f>"8309725"</f>
        <v>8309725</v>
      </c>
      <c r="D21429" t="s">
        <v>65177</v>
      </c>
      <c r="E21429" t="s">
        <v>65178</v>
      </c>
      <c r="F21429" t="s">
        <v>65179</v>
      </c>
      <c r="I21429" t="s">
        <v>29</v>
      </c>
      <c r="J21429" t="s">
        <v>30</v>
      </c>
      <c r="K21429" t="s">
        <v>65180</v>
      </c>
      <c r="M21429" t="s">
        <v>50621</v>
      </c>
      <c r="N21429" t="str">
        <f>"2/12/2024 9:35:00 AM"</f>
        <v>2/12/2024 9:35:00 AM</v>
      </c>
      <c r="O21429" t="s">
        <v>65177</v>
      </c>
      <c r="T21429" t="s">
        <v>65178</v>
      </c>
    </row>
    <row r="21430" spans="1:20" x14ac:dyDescent="0.25">
      <c r="A21430" t="str">
        <f>"3057452"</f>
        <v>3057452</v>
      </c>
      <c r="B21430" t="s">
        <v>65195</v>
      </c>
      <c r="C21430" t="str">
        <f>"19404000"</f>
        <v>19404000</v>
      </c>
      <c r="D21430" t="s">
        <v>65196</v>
      </c>
      <c r="F21430" t="str">
        <f>"C/O WILLIAM T WHARTON"</f>
        <v>C/O WILLIAM T WHARTON</v>
      </c>
      <c r="G21430" t="s">
        <v>65197</v>
      </c>
      <c r="I21430" t="s">
        <v>29</v>
      </c>
      <c r="J21430" t="s">
        <v>30</v>
      </c>
      <c r="K21430" t="s">
        <v>31</v>
      </c>
      <c r="M21430" t="s">
        <v>50621</v>
      </c>
      <c r="N21430" t="str">
        <f>"2/9/2024 1:54:00 PM"</f>
        <v>2/9/2024 1:54:00 PM</v>
      </c>
      <c r="O21430" t="s">
        <v>65196</v>
      </c>
    </row>
    <row r="21431" spans="1:20" x14ac:dyDescent="0.25">
      <c r="A21431" t="str">
        <f>"3047507"</f>
        <v>3047507</v>
      </c>
      <c r="B21431" t="s">
        <v>65198</v>
      </c>
      <c r="C21431" t="str">
        <f>"8309160"</f>
        <v>8309160</v>
      </c>
      <c r="D21431" t="s">
        <v>65199</v>
      </c>
      <c r="F21431" t="s">
        <v>65200</v>
      </c>
      <c r="I21431" t="s">
        <v>1149</v>
      </c>
      <c r="J21431" t="s">
        <v>30</v>
      </c>
      <c r="K21431" t="str">
        <f>"28634"</f>
        <v>28634</v>
      </c>
      <c r="M21431" t="s">
        <v>50621</v>
      </c>
      <c r="N21431" t="str">
        <f>"2/12/2024 9:40:00 AM"</f>
        <v>2/12/2024 9:40:00 AM</v>
      </c>
      <c r="O21431" t="s">
        <v>65199</v>
      </c>
    </row>
    <row r="21432" spans="1:20" x14ac:dyDescent="0.25">
      <c r="A21432" t="str">
        <f>"3063712"</f>
        <v>3063712</v>
      </c>
      <c r="B21432" t="s">
        <v>65201</v>
      </c>
      <c r="C21432" t="str">
        <f>"19604250"</f>
        <v>19604250</v>
      </c>
      <c r="D21432" t="s">
        <v>65202</v>
      </c>
      <c r="E21432" t="s">
        <v>65203</v>
      </c>
      <c r="F21432" t="s">
        <v>65204</v>
      </c>
      <c r="I21432" t="s">
        <v>29</v>
      </c>
      <c r="J21432" t="s">
        <v>30</v>
      </c>
      <c r="K21432" t="s">
        <v>31</v>
      </c>
      <c r="M21432" t="s">
        <v>50621</v>
      </c>
      <c r="N21432" t="str">
        <f>"2/9/2024 1:57:00 PM"</f>
        <v>2/9/2024 1:57:00 PM</v>
      </c>
      <c r="O21432" t="s">
        <v>65202</v>
      </c>
      <c r="T21432" t="s">
        <v>65203</v>
      </c>
    </row>
    <row r="21433" spans="1:20" x14ac:dyDescent="0.25">
      <c r="A21433" t="str">
        <f>"3048223"</f>
        <v>3048223</v>
      </c>
      <c r="B21433" t="s">
        <v>65205</v>
      </c>
      <c r="C21433" t="str">
        <f>"82529153"</f>
        <v>82529153</v>
      </c>
      <c r="D21433" t="s">
        <v>65206</v>
      </c>
      <c r="E21433" t="s">
        <v>65207</v>
      </c>
      <c r="F21433" t="s">
        <v>65208</v>
      </c>
      <c r="I21433" t="s">
        <v>29</v>
      </c>
      <c r="J21433" t="s">
        <v>30</v>
      </c>
      <c r="K21433" t="s">
        <v>31</v>
      </c>
      <c r="M21433" t="s">
        <v>50621</v>
      </c>
      <c r="N21433" t="str">
        <f>"2/9/2024 2:04:00 PM"</f>
        <v>2/9/2024 2:04:00 PM</v>
      </c>
      <c r="O21433" t="s">
        <v>65206</v>
      </c>
      <c r="T21433" t="s">
        <v>65207</v>
      </c>
    </row>
    <row r="21434" spans="1:20" x14ac:dyDescent="0.25">
      <c r="A21434" t="str">
        <f>"3048889"</f>
        <v>3048889</v>
      </c>
      <c r="B21434" t="s">
        <v>65209</v>
      </c>
      <c r="C21434" t="str">
        <f>"20008180"</f>
        <v>20008180</v>
      </c>
      <c r="D21434" t="s">
        <v>65210</v>
      </c>
      <c r="E21434" t="s">
        <v>65211</v>
      </c>
      <c r="F21434" t="s">
        <v>65212</v>
      </c>
      <c r="I21434" t="s">
        <v>471</v>
      </c>
      <c r="J21434" t="s">
        <v>30</v>
      </c>
      <c r="K21434" t="s">
        <v>472</v>
      </c>
      <c r="M21434" t="s">
        <v>50621</v>
      </c>
      <c r="N21434" t="str">
        <f>"2/9/2024 2:04:00 PM"</f>
        <v>2/9/2024 2:04:00 PM</v>
      </c>
      <c r="O21434" t="s">
        <v>65210</v>
      </c>
      <c r="T21434" t="s">
        <v>65211</v>
      </c>
    </row>
    <row r="21435" spans="1:20" x14ac:dyDescent="0.25">
      <c r="A21435" t="str">
        <f>"3055901"</f>
        <v>3055901</v>
      </c>
      <c r="B21435" t="s">
        <v>65213</v>
      </c>
      <c r="C21435" t="str">
        <f>"82513108"</f>
        <v>82513108</v>
      </c>
      <c r="D21435" t="s">
        <v>65214</v>
      </c>
      <c r="E21435" t="s">
        <v>65215</v>
      </c>
      <c r="F21435" t="s">
        <v>65216</v>
      </c>
      <c r="G21435" t="s">
        <v>65217</v>
      </c>
      <c r="I21435" t="s">
        <v>9580</v>
      </c>
      <c r="J21435" t="s">
        <v>30</v>
      </c>
      <c r="K21435" t="s">
        <v>65218</v>
      </c>
      <c r="M21435" t="s">
        <v>50621</v>
      </c>
      <c r="N21435" t="str">
        <f>"2/9/2024 2:06:00 PM"</f>
        <v>2/9/2024 2:06:00 PM</v>
      </c>
      <c r="O21435" t="s">
        <v>65214</v>
      </c>
      <c r="T21435" t="s">
        <v>65215</v>
      </c>
    </row>
    <row r="21436" spans="1:20" x14ac:dyDescent="0.25">
      <c r="A21436" t="str">
        <f>"3056461"</f>
        <v>3056461</v>
      </c>
      <c r="B21436" t="s">
        <v>65219</v>
      </c>
      <c r="C21436" t="str">
        <f>"8314975"</f>
        <v>8314975</v>
      </c>
      <c r="D21436" t="s">
        <v>65220</v>
      </c>
      <c r="F21436" t="s">
        <v>65221</v>
      </c>
      <c r="I21436" t="s">
        <v>29</v>
      </c>
      <c r="J21436" t="s">
        <v>30</v>
      </c>
      <c r="K21436" t="s">
        <v>65222</v>
      </c>
      <c r="M21436" t="s">
        <v>50621</v>
      </c>
      <c r="N21436" t="str">
        <f>"2/12/2024 10:05:00 AM"</f>
        <v>2/12/2024 10:05:00 AM</v>
      </c>
      <c r="O21436" t="s">
        <v>65220</v>
      </c>
    </row>
    <row r="21437" spans="1:20" x14ac:dyDescent="0.25">
      <c r="A21437" t="str">
        <f>"3055941"</f>
        <v>3055941</v>
      </c>
      <c r="B21437" t="s">
        <v>65223</v>
      </c>
      <c r="C21437" t="str">
        <f>"8309713"</f>
        <v>8309713</v>
      </c>
      <c r="D21437" t="s">
        <v>65224</v>
      </c>
      <c r="F21437" t="s">
        <v>65225</v>
      </c>
      <c r="I21437" t="s">
        <v>9580</v>
      </c>
      <c r="J21437" t="s">
        <v>30</v>
      </c>
      <c r="K21437" t="s">
        <v>65226</v>
      </c>
      <c r="M21437" t="s">
        <v>50621</v>
      </c>
      <c r="N21437" t="str">
        <f>"2/9/2024 2:07:00 PM"</f>
        <v>2/9/2024 2:07:00 PM</v>
      </c>
      <c r="O21437" t="s">
        <v>65224</v>
      </c>
    </row>
    <row r="21438" spans="1:20" x14ac:dyDescent="0.25">
      <c r="A21438" t="str">
        <f>"3056161"</f>
        <v>3056161</v>
      </c>
      <c r="B21438" t="s">
        <v>65227</v>
      </c>
      <c r="C21438" t="str">
        <f>"8309713"</f>
        <v>8309713</v>
      </c>
      <c r="D21438" t="s">
        <v>65224</v>
      </c>
      <c r="F21438" t="s">
        <v>65225</v>
      </c>
      <c r="I21438" t="s">
        <v>9580</v>
      </c>
      <c r="J21438" t="s">
        <v>30</v>
      </c>
      <c r="K21438" t="s">
        <v>65226</v>
      </c>
      <c r="M21438" t="s">
        <v>50621</v>
      </c>
      <c r="N21438" t="str">
        <f>"2/9/2024 2:07:00 PM"</f>
        <v>2/9/2024 2:07:00 PM</v>
      </c>
      <c r="O21438" t="s">
        <v>65224</v>
      </c>
    </row>
    <row r="21439" spans="1:20" x14ac:dyDescent="0.25">
      <c r="A21439" t="str">
        <f>"3053086"</f>
        <v>3053086</v>
      </c>
      <c r="B21439" t="s">
        <v>65228</v>
      </c>
      <c r="C21439" t="str">
        <f>"8316244"</f>
        <v>8316244</v>
      </c>
      <c r="D21439" t="s">
        <v>65229</v>
      </c>
      <c r="F21439" t="s">
        <v>65230</v>
      </c>
      <c r="I21439" t="s">
        <v>29</v>
      </c>
      <c r="J21439" t="s">
        <v>30</v>
      </c>
      <c r="K21439" t="s">
        <v>42016</v>
      </c>
      <c r="M21439" t="s">
        <v>50621</v>
      </c>
      <c r="N21439" t="str">
        <f>"2/9/2024 2:08:00 PM"</f>
        <v>2/9/2024 2:08:00 PM</v>
      </c>
      <c r="O21439" t="s">
        <v>65229</v>
      </c>
    </row>
    <row r="21440" spans="1:20" x14ac:dyDescent="0.25">
      <c r="A21440" t="str">
        <f>"3054606"</f>
        <v>3054606</v>
      </c>
      <c r="B21440" t="s">
        <v>65231</v>
      </c>
      <c r="C21440" t="str">
        <f>"8321174"</f>
        <v>8321174</v>
      </c>
      <c r="D21440" t="s">
        <v>65232</v>
      </c>
      <c r="F21440" t="s">
        <v>65233</v>
      </c>
      <c r="I21440" t="s">
        <v>29</v>
      </c>
      <c r="J21440" t="s">
        <v>30</v>
      </c>
      <c r="K21440" t="s">
        <v>15459</v>
      </c>
      <c r="M21440" t="s">
        <v>50621</v>
      </c>
      <c r="N21440" t="str">
        <f>"2/12/2024 2:36:00 PM"</f>
        <v>2/12/2024 2:36:00 PM</v>
      </c>
      <c r="O21440" t="s">
        <v>65232</v>
      </c>
    </row>
    <row r="21441" spans="1:20" x14ac:dyDescent="0.25">
      <c r="A21441" t="str">
        <f>"3057255"</f>
        <v>3057255</v>
      </c>
      <c r="B21441" t="s">
        <v>65234</v>
      </c>
      <c r="C21441" t="str">
        <f>"8311153"</f>
        <v>8311153</v>
      </c>
      <c r="D21441" t="s">
        <v>65235</v>
      </c>
      <c r="E21441" t="s">
        <v>65236</v>
      </c>
      <c r="F21441" t="s">
        <v>65237</v>
      </c>
      <c r="I21441" t="s">
        <v>29</v>
      </c>
      <c r="J21441" t="s">
        <v>30</v>
      </c>
      <c r="K21441" t="s">
        <v>65238</v>
      </c>
      <c r="M21441" t="s">
        <v>50621</v>
      </c>
      <c r="N21441" t="str">
        <f>"2/9/2024 2:10:00 PM"</f>
        <v>2/9/2024 2:10:00 PM</v>
      </c>
      <c r="O21441" t="s">
        <v>65235</v>
      </c>
      <c r="T21441" t="s">
        <v>65236</v>
      </c>
    </row>
    <row r="21442" spans="1:20" x14ac:dyDescent="0.25">
      <c r="A21442" t="str">
        <f>"3037578"</f>
        <v>3037578</v>
      </c>
      <c r="B21442" t="s">
        <v>65239</v>
      </c>
      <c r="C21442" t="str">
        <f>"23845000"</f>
        <v>23845000</v>
      </c>
      <c r="D21442" t="s">
        <v>65240</v>
      </c>
      <c r="F21442" t="s">
        <v>65241</v>
      </c>
      <c r="I21442" t="s">
        <v>49</v>
      </c>
      <c r="J21442" t="s">
        <v>30</v>
      </c>
      <c r="K21442" t="s">
        <v>50</v>
      </c>
      <c r="M21442" t="s">
        <v>50621</v>
      </c>
      <c r="N21442" t="str">
        <f>"2/12/2024 2:55:00 PM"</f>
        <v>2/12/2024 2:55:00 PM</v>
      </c>
      <c r="O21442" t="s">
        <v>65240</v>
      </c>
    </row>
    <row r="21443" spans="1:20" x14ac:dyDescent="0.25">
      <c r="A21443" t="str">
        <f>"3055424"</f>
        <v>3055424</v>
      </c>
      <c r="B21443" t="s">
        <v>65242</v>
      </c>
      <c r="C21443" t="str">
        <f>"24076000"</f>
        <v>24076000</v>
      </c>
      <c r="D21443" t="s">
        <v>64213</v>
      </c>
      <c r="E21443" t="s">
        <v>32302</v>
      </c>
      <c r="F21443" t="s">
        <v>15666</v>
      </c>
      <c r="I21443" t="s">
        <v>9580</v>
      </c>
      <c r="J21443" t="s">
        <v>30</v>
      </c>
      <c r="K21443" t="s">
        <v>65243</v>
      </c>
      <c r="M21443" t="s">
        <v>50621</v>
      </c>
      <c r="N21443" t="str">
        <f>"2/12/2024 2:55:00 PM"</f>
        <v>2/12/2024 2:55:00 PM</v>
      </c>
      <c r="O21443" t="s">
        <v>64213</v>
      </c>
      <c r="T21443" t="s">
        <v>32302</v>
      </c>
    </row>
    <row r="21444" spans="1:20" x14ac:dyDescent="0.25">
      <c r="A21444" t="str">
        <f>"3055461"</f>
        <v>3055461</v>
      </c>
      <c r="B21444" t="s">
        <v>65244</v>
      </c>
      <c r="C21444" t="str">
        <f>"24076000"</f>
        <v>24076000</v>
      </c>
      <c r="D21444" t="s">
        <v>64213</v>
      </c>
      <c r="E21444" t="s">
        <v>32302</v>
      </c>
      <c r="F21444" t="s">
        <v>15666</v>
      </c>
      <c r="I21444" t="s">
        <v>9580</v>
      </c>
      <c r="J21444" t="s">
        <v>30</v>
      </c>
      <c r="K21444" t="s">
        <v>65243</v>
      </c>
      <c r="M21444" t="s">
        <v>50621</v>
      </c>
      <c r="N21444" t="str">
        <f>"2/12/2024 2:55:00 PM"</f>
        <v>2/12/2024 2:55:00 PM</v>
      </c>
      <c r="O21444" t="s">
        <v>64213</v>
      </c>
      <c r="T21444" t="s">
        <v>32302</v>
      </c>
    </row>
    <row r="21445" spans="1:20" x14ac:dyDescent="0.25">
      <c r="A21445" t="str">
        <f>"3054089"</f>
        <v>3054089</v>
      </c>
      <c r="B21445" t="s">
        <v>65245</v>
      </c>
      <c r="C21445" t="str">
        <f>"24076000"</f>
        <v>24076000</v>
      </c>
      <c r="D21445" t="s">
        <v>64213</v>
      </c>
      <c r="E21445" t="s">
        <v>32302</v>
      </c>
      <c r="F21445" t="s">
        <v>15666</v>
      </c>
      <c r="I21445" t="s">
        <v>9580</v>
      </c>
      <c r="J21445" t="s">
        <v>30</v>
      </c>
      <c r="K21445" t="s">
        <v>65243</v>
      </c>
      <c r="M21445" t="s">
        <v>50621</v>
      </c>
      <c r="N21445" t="str">
        <f>"2/12/2024 2:55:00 PM"</f>
        <v>2/12/2024 2:55:00 PM</v>
      </c>
      <c r="O21445" t="s">
        <v>64213</v>
      </c>
      <c r="T21445" t="s">
        <v>32302</v>
      </c>
    </row>
    <row r="21446" spans="1:20" x14ac:dyDescent="0.25">
      <c r="A21446" t="str">
        <f>"3057127"</f>
        <v>3057127</v>
      </c>
      <c r="B21446" t="s">
        <v>65246</v>
      </c>
      <c r="C21446" t="str">
        <f>"24076000"</f>
        <v>24076000</v>
      </c>
      <c r="D21446" t="s">
        <v>64213</v>
      </c>
      <c r="E21446" t="s">
        <v>32302</v>
      </c>
      <c r="F21446" t="s">
        <v>15666</v>
      </c>
      <c r="I21446" t="s">
        <v>9580</v>
      </c>
      <c r="J21446" t="s">
        <v>30</v>
      </c>
      <c r="K21446" t="s">
        <v>65243</v>
      </c>
      <c r="M21446" t="s">
        <v>50621</v>
      </c>
      <c r="N21446" t="str">
        <f>"2/12/2024 2:55:00 PM"</f>
        <v>2/12/2024 2:55:00 PM</v>
      </c>
      <c r="O21446" t="s">
        <v>64213</v>
      </c>
      <c r="T21446" t="s">
        <v>32302</v>
      </c>
    </row>
    <row r="21447" spans="1:20" x14ac:dyDescent="0.25">
      <c r="A21447" t="str">
        <f>"3039291"</f>
        <v>3039291</v>
      </c>
      <c r="B21447" t="s">
        <v>65247</v>
      </c>
      <c r="C21447" t="str">
        <f>"82519122"</f>
        <v>82519122</v>
      </c>
      <c r="D21447" t="s">
        <v>65248</v>
      </c>
      <c r="F21447" t="s">
        <v>231</v>
      </c>
      <c r="I21447" t="s">
        <v>29</v>
      </c>
      <c r="J21447" t="s">
        <v>30</v>
      </c>
      <c r="K21447" t="s">
        <v>31</v>
      </c>
      <c r="M21447" t="s">
        <v>50621</v>
      </c>
      <c r="N21447" t="str">
        <f>"2/12/2024 3:06:00 PM"</f>
        <v>2/12/2024 3:06:00 PM</v>
      </c>
      <c r="O21447" t="s">
        <v>65248</v>
      </c>
    </row>
    <row r="21448" spans="1:20" x14ac:dyDescent="0.25">
      <c r="A21448" t="str">
        <f>"3069974"</f>
        <v>3069974</v>
      </c>
      <c r="B21448" t="s">
        <v>65249</v>
      </c>
      <c r="C21448" t="str">
        <f>"8310882"</f>
        <v>8310882</v>
      </c>
      <c r="D21448" t="s">
        <v>65250</v>
      </c>
      <c r="F21448" t="s">
        <v>65251</v>
      </c>
      <c r="I21448" t="s">
        <v>29</v>
      </c>
      <c r="J21448" t="s">
        <v>30</v>
      </c>
      <c r="K21448" t="s">
        <v>38854</v>
      </c>
      <c r="M21448" t="s">
        <v>50621</v>
      </c>
      <c r="N21448" t="str">
        <f>"2/12/2024 3:07:00 PM"</f>
        <v>2/12/2024 3:07:00 PM</v>
      </c>
      <c r="O21448" t="s">
        <v>65250</v>
      </c>
    </row>
    <row r="21449" spans="1:20" x14ac:dyDescent="0.25">
      <c r="A21449" t="str">
        <f>"3057253"</f>
        <v>3057253</v>
      </c>
      <c r="B21449" t="s">
        <v>65252</v>
      </c>
      <c r="C21449" t="str">
        <f t="shared" ref="C21449:C21455" si="330">"8311153"</f>
        <v>8311153</v>
      </c>
      <c r="D21449" t="s">
        <v>65235</v>
      </c>
      <c r="E21449" t="s">
        <v>65236</v>
      </c>
      <c r="F21449" t="s">
        <v>65237</v>
      </c>
      <c r="I21449" t="s">
        <v>29</v>
      </c>
      <c r="J21449" t="s">
        <v>30</v>
      </c>
      <c r="K21449" t="s">
        <v>65238</v>
      </c>
      <c r="M21449" t="s">
        <v>50621</v>
      </c>
      <c r="N21449" t="str">
        <f t="shared" ref="N21449:N21455" si="331">"2/9/2024 2:10:00 PM"</f>
        <v>2/9/2024 2:10:00 PM</v>
      </c>
      <c r="O21449" t="s">
        <v>65235</v>
      </c>
      <c r="T21449" t="s">
        <v>65236</v>
      </c>
    </row>
    <row r="21450" spans="1:20" x14ac:dyDescent="0.25">
      <c r="A21450" t="str">
        <f>"3057254"</f>
        <v>3057254</v>
      </c>
      <c r="B21450" t="s">
        <v>65253</v>
      </c>
      <c r="C21450" t="str">
        <f t="shared" si="330"/>
        <v>8311153</v>
      </c>
      <c r="D21450" t="s">
        <v>65235</v>
      </c>
      <c r="E21450" t="s">
        <v>65236</v>
      </c>
      <c r="F21450" t="s">
        <v>65237</v>
      </c>
      <c r="I21450" t="s">
        <v>29</v>
      </c>
      <c r="J21450" t="s">
        <v>30</v>
      </c>
      <c r="K21450" t="s">
        <v>65238</v>
      </c>
      <c r="M21450" t="s">
        <v>50621</v>
      </c>
      <c r="N21450" t="str">
        <f t="shared" si="331"/>
        <v>2/9/2024 2:10:00 PM</v>
      </c>
      <c r="O21450" t="s">
        <v>65235</v>
      </c>
      <c r="T21450" t="s">
        <v>65236</v>
      </c>
    </row>
    <row r="21451" spans="1:20" x14ac:dyDescent="0.25">
      <c r="A21451" t="str">
        <f>"3057217"</f>
        <v>3057217</v>
      </c>
      <c r="B21451" t="s">
        <v>65254</v>
      </c>
      <c r="C21451" t="str">
        <f t="shared" si="330"/>
        <v>8311153</v>
      </c>
      <c r="D21451" t="s">
        <v>65235</v>
      </c>
      <c r="E21451" t="s">
        <v>65236</v>
      </c>
      <c r="F21451" t="s">
        <v>65237</v>
      </c>
      <c r="I21451" t="s">
        <v>29</v>
      </c>
      <c r="J21451" t="s">
        <v>30</v>
      </c>
      <c r="K21451" t="s">
        <v>65238</v>
      </c>
      <c r="M21451" t="s">
        <v>50621</v>
      </c>
      <c r="N21451" t="str">
        <f t="shared" si="331"/>
        <v>2/9/2024 2:10:00 PM</v>
      </c>
      <c r="O21451" t="s">
        <v>65235</v>
      </c>
      <c r="T21451" t="s">
        <v>65236</v>
      </c>
    </row>
    <row r="21452" spans="1:20" x14ac:dyDescent="0.25">
      <c r="A21452" t="str">
        <f>"3057203"</f>
        <v>3057203</v>
      </c>
      <c r="B21452" t="s">
        <v>65255</v>
      </c>
      <c r="C21452" t="str">
        <f t="shared" si="330"/>
        <v>8311153</v>
      </c>
      <c r="D21452" t="s">
        <v>65235</v>
      </c>
      <c r="E21452" t="s">
        <v>65236</v>
      </c>
      <c r="F21452" t="s">
        <v>65237</v>
      </c>
      <c r="I21452" t="s">
        <v>29</v>
      </c>
      <c r="J21452" t="s">
        <v>30</v>
      </c>
      <c r="K21452" t="s">
        <v>65238</v>
      </c>
      <c r="M21452" t="s">
        <v>50621</v>
      </c>
      <c r="N21452" t="str">
        <f t="shared" si="331"/>
        <v>2/9/2024 2:10:00 PM</v>
      </c>
      <c r="O21452" t="s">
        <v>65235</v>
      </c>
      <c r="T21452" t="s">
        <v>65236</v>
      </c>
    </row>
    <row r="21453" spans="1:20" x14ac:dyDescent="0.25">
      <c r="A21453" t="str">
        <f>"3062190"</f>
        <v>3062190</v>
      </c>
      <c r="B21453" t="s">
        <v>65256</v>
      </c>
      <c r="C21453" t="str">
        <f t="shared" si="330"/>
        <v>8311153</v>
      </c>
      <c r="D21453" t="s">
        <v>65235</v>
      </c>
      <c r="E21453" t="s">
        <v>65236</v>
      </c>
      <c r="F21453" t="s">
        <v>65237</v>
      </c>
      <c r="I21453" t="s">
        <v>29</v>
      </c>
      <c r="J21453" t="s">
        <v>30</v>
      </c>
      <c r="K21453" t="s">
        <v>65238</v>
      </c>
      <c r="M21453" t="s">
        <v>50621</v>
      </c>
      <c r="N21453" t="str">
        <f t="shared" si="331"/>
        <v>2/9/2024 2:10:00 PM</v>
      </c>
      <c r="O21453" t="s">
        <v>65235</v>
      </c>
      <c r="T21453" t="s">
        <v>65236</v>
      </c>
    </row>
    <row r="21454" spans="1:20" x14ac:dyDescent="0.25">
      <c r="A21454" t="str">
        <f>"3062189"</f>
        <v>3062189</v>
      </c>
      <c r="B21454" t="s">
        <v>65257</v>
      </c>
      <c r="C21454" t="str">
        <f t="shared" si="330"/>
        <v>8311153</v>
      </c>
      <c r="D21454" t="s">
        <v>65235</v>
      </c>
      <c r="E21454" t="s">
        <v>65236</v>
      </c>
      <c r="F21454" t="s">
        <v>65237</v>
      </c>
      <c r="I21454" t="s">
        <v>29</v>
      </c>
      <c r="J21454" t="s">
        <v>30</v>
      </c>
      <c r="K21454" t="s">
        <v>65238</v>
      </c>
      <c r="M21454" t="s">
        <v>50621</v>
      </c>
      <c r="N21454" t="str">
        <f t="shared" si="331"/>
        <v>2/9/2024 2:10:00 PM</v>
      </c>
      <c r="O21454" t="s">
        <v>65235</v>
      </c>
      <c r="T21454" t="s">
        <v>65236</v>
      </c>
    </row>
    <row r="21455" spans="1:20" x14ac:dyDescent="0.25">
      <c r="A21455" t="str">
        <f>"3062137"</f>
        <v>3062137</v>
      </c>
      <c r="B21455" t="s">
        <v>65258</v>
      </c>
      <c r="C21455" t="str">
        <f t="shared" si="330"/>
        <v>8311153</v>
      </c>
      <c r="D21455" t="s">
        <v>65235</v>
      </c>
      <c r="E21455" t="s">
        <v>65236</v>
      </c>
      <c r="F21455" t="s">
        <v>65237</v>
      </c>
      <c r="I21455" t="s">
        <v>29</v>
      </c>
      <c r="J21455" t="s">
        <v>30</v>
      </c>
      <c r="K21455" t="s">
        <v>65238</v>
      </c>
      <c r="M21455" t="s">
        <v>50621</v>
      </c>
      <c r="N21455" t="str">
        <f t="shared" si="331"/>
        <v>2/9/2024 2:10:00 PM</v>
      </c>
      <c r="O21455" t="s">
        <v>65235</v>
      </c>
      <c r="T21455" t="s">
        <v>65236</v>
      </c>
    </row>
    <row r="21456" spans="1:20" x14ac:dyDescent="0.25">
      <c r="A21456" t="str">
        <f>"3096598"</f>
        <v>3096598</v>
      </c>
      <c r="B21456" t="s">
        <v>65259</v>
      </c>
      <c r="C21456" t="str">
        <f>"71396750"</f>
        <v>71396750</v>
      </c>
      <c r="D21456" t="s">
        <v>65260</v>
      </c>
      <c r="F21456" t="s">
        <v>65261</v>
      </c>
      <c r="I21456" t="s">
        <v>29</v>
      </c>
      <c r="J21456" t="s">
        <v>30</v>
      </c>
      <c r="K21456" t="s">
        <v>31</v>
      </c>
      <c r="M21456" t="s">
        <v>62069</v>
      </c>
      <c r="N21456" t="str">
        <f>"2/9/2024 2:11:00 PM"</f>
        <v>2/9/2024 2:11:00 PM</v>
      </c>
      <c r="O21456" t="s">
        <v>65260</v>
      </c>
    </row>
    <row r="21457" spans="1:20" x14ac:dyDescent="0.25">
      <c r="A21457" t="str">
        <f>"3096599"</f>
        <v>3096599</v>
      </c>
      <c r="B21457" t="s">
        <v>65262</v>
      </c>
      <c r="C21457" t="str">
        <f>"71396750"</f>
        <v>71396750</v>
      </c>
      <c r="D21457" t="s">
        <v>65260</v>
      </c>
      <c r="F21457" t="s">
        <v>65261</v>
      </c>
      <c r="I21457" t="s">
        <v>29</v>
      </c>
      <c r="J21457" t="s">
        <v>30</v>
      </c>
      <c r="K21457" t="s">
        <v>31</v>
      </c>
      <c r="M21457" t="s">
        <v>62069</v>
      </c>
      <c r="N21457" t="str">
        <f>"2/9/2024 2:11:00 PM"</f>
        <v>2/9/2024 2:11:00 PM</v>
      </c>
      <c r="O21457" t="s">
        <v>65260</v>
      </c>
    </row>
    <row r="21458" spans="1:20" x14ac:dyDescent="0.25">
      <c r="A21458" t="str">
        <f>"3051977"</f>
        <v>3051977</v>
      </c>
      <c r="B21458" t="s">
        <v>65263</v>
      </c>
      <c r="C21458" t="str">
        <f>"71396750"</f>
        <v>71396750</v>
      </c>
      <c r="D21458" t="s">
        <v>65260</v>
      </c>
      <c r="F21458" t="s">
        <v>65261</v>
      </c>
      <c r="I21458" t="s">
        <v>29</v>
      </c>
      <c r="J21458" t="s">
        <v>30</v>
      </c>
      <c r="K21458" t="s">
        <v>31</v>
      </c>
      <c r="M21458" t="s">
        <v>62069</v>
      </c>
      <c r="N21458" t="str">
        <f>"2/9/2024 2:11:00 PM"</f>
        <v>2/9/2024 2:11:00 PM</v>
      </c>
      <c r="O21458" t="s">
        <v>65260</v>
      </c>
    </row>
    <row r="21459" spans="1:20" x14ac:dyDescent="0.25">
      <c r="A21459" t="str">
        <f>"3057252"</f>
        <v>3057252</v>
      </c>
      <c r="B21459" t="s">
        <v>65264</v>
      </c>
      <c r="C21459" t="str">
        <f>"8315245"</f>
        <v>8315245</v>
      </c>
      <c r="D21459" t="s">
        <v>65265</v>
      </c>
      <c r="E21459" t="s">
        <v>65236</v>
      </c>
      <c r="F21459" t="s">
        <v>65237</v>
      </c>
      <c r="I21459" t="s">
        <v>17921</v>
      </c>
      <c r="J21459" t="s">
        <v>30</v>
      </c>
      <c r="K21459" t="str">
        <f>"27028"</f>
        <v>27028</v>
      </c>
      <c r="M21459" t="s">
        <v>50621</v>
      </c>
      <c r="N21459" t="str">
        <f>"2/9/2024 2:12:00 PM"</f>
        <v>2/9/2024 2:12:00 PM</v>
      </c>
      <c r="O21459" t="s">
        <v>65265</v>
      </c>
      <c r="T21459" t="s">
        <v>65236</v>
      </c>
    </row>
    <row r="21460" spans="1:20" x14ac:dyDescent="0.25">
      <c r="A21460" t="str">
        <f>"3046228"</f>
        <v>3046228</v>
      </c>
      <c r="B21460" t="s">
        <v>65266</v>
      </c>
      <c r="C21460" t="str">
        <f>"8321910"</f>
        <v>8321910</v>
      </c>
      <c r="D21460" t="s">
        <v>65267</v>
      </c>
      <c r="E21460" t="s">
        <v>65268</v>
      </c>
      <c r="F21460" t="s">
        <v>40932</v>
      </c>
      <c r="I21460" t="s">
        <v>29</v>
      </c>
      <c r="J21460" t="s">
        <v>30</v>
      </c>
      <c r="K21460" t="s">
        <v>8342</v>
      </c>
      <c r="M21460" t="s">
        <v>50500</v>
      </c>
      <c r="N21460" t="str">
        <f>"2/12/2024 8:36:00 AM"</f>
        <v>2/12/2024 8:36:00 AM</v>
      </c>
      <c r="O21460" t="s">
        <v>65267</v>
      </c>
      <c r="T21460" t="s">
        <v>65268</v>
      </c>
    </row>
    <row r="21461" spans="1:20" x14ac:dyDescent="0.25">
      <c r="A21461" t="str">
        <f>"3058461"</f>
        <v>3058461</v>
      </c>
      <c r="B21461" t="s">
        <v>65269</v>
      </c>
      <c r="C21461" t="str">
        <f>"8321916"</f>
        <v>8321916</v>
      </c>
      <c r="D21461" t="s">
        <v>65270</v>
      </c>
      <c r="E21461" t="s">
        <v>65271</v>
      </c>
      <c r="F21461" t="s">
        <v>65272</v>
      </c>
      <c r="I21461" t="s">
        <v>29</v>
      </c>
      <c r="J21461" t="s">
        <v>30</v>
      </c>
      <c r="K21461" t="s">
        <v>52622</v>
      </c>
      <c r="M21461" t="s">
        <v>50500</v>
      </c>
      <c r="N21461" t="str">
        <f>"2/12/2024 9:38:00 AM"</f>
        <v>2/12/2024 9:38:00 AM</v>
      </c>
      <c r="O21461" t="s">
        <v>65270</v>
      </c>
      <c r="T21461" t="s">
        <v>65271</v>
      </c>
    </row>
    <row r="21462" spans="1:20" x14ac:dyDescent="0.25">
      <c r="A21462" t="str">
        <f>"3046219"</f>
        <v>3046219</v>
      </c>
      <c r="B21462" t="s">
        <v>65273</v>
      </c>
      <c r="C21462" t="str">
        <f>"82515757"</f>
        <v>82515757</v>
      </c>
      <c r="D21462" t="s">
        <v>65274</v>
      </c>
      <c r="E21462" t="s">
        <v>65275</v>
      </c>
      <c r="F21462" t="s">
        <v>65276</v>
      </c>
      <c r="I21462" t="s">
        <v>29</v>
      </c>
      <c r="J21462" t="s">
        <v>30</v>
      </c>
      <c r="K21462" t="s">
        <v>8342</v>
      </c>
      <c r="M21462" t="s">
        <v>50621</v>
      </c>
      <c r="N21462" t="str">
        <f>"2/12/2024 9:38:00 AM"</f>
        <v>2/12/2024 9:38:00 AM</v>
      </c>
      <c r="O21462" t="s">
        <v>65274</v>
      </c>
      <c r="T21462" t="s">
        <v>65275</v>
      </c>
    </row>
    <row r="21463" spans="1:20" x14ac:dyDescent="0.25">
      <c r="A21463" t="str">
        <f>"3047744"</f>
        <v>3047744</v>
      </c>
      <c r="B21463" t="s">
        <v>65277</v>
      </c>
      <c r="C21463" t="str">
        <f>"8313171"</f>
        <v>8313171</v>
      </c>
      <c r="D21463" t="s">
        <v>65278</v>
      </c>
      <c r="F21463" t="s">
        <v>65279</v>
      </c>
      <c r="I21463" t="s">
        <v>184</v>
      </c>
      <c r="J21463" t="s">
        <v>30</v>
      </c>
      <c r="K21463" t="s">
        <v>46327</v>
      </c>
      <c r="M21463" t="s">
        <v>50621</v>
      </c>
      <c r="N21463" t="str">
        <f>"2/12/2024 9:39:00 AM"</f>
        <v>2/12/2024 9:39:00 AM</v>
      </c>
      <c r="O21463" t="s">
        <v>65278</v>
      </c>
    </row>
    <row r="21464" spans="1:20" x14ac:dyDescent="0.25">
      <c r="A21464" t="str">
        <f>"3047422"</f>
        <v>3047422</v>
      </c>
      <c r="B21464" t="s">
        <v>65280</v>
      </c>
      <c r="C21464" t="str">
        <f>"8306732"</f>
        <v>8306732</v>
      </c>
      <c r="D21464" t="s">
        <v>65281</v>
      </c>
      <c r="F21464" t="s">
        <v>65279</v>
      </c>
      <c r="I21464" t="s">
        <v>184</v>
      </c>
      <c r="J21464" t="s">
        <v>30</v>
      </c>
      <c r="K21464" t="str">
        <f>"27006"</f>
        <v>27006</v>
      </c>
      <c r="M21464" t="s">
        <v>50621</v>
      </c>
      <c r="N21464" t="str">
        <f>"2/12/2024 9:39:00 AM"</f>
        <v>2/12/2024 9:39:00 AM</v>
      </c>
      <c r="O21464" t="s">
        <v>65281</v>
      </c>
    </row>
    <row r="21465" spans="1:20" x14ac:dyDescent="0.25">
      <c r="A21465" t="str">
        <f>"3060313"</f>
        <v>3060313</v>
      </c>
      <c r="B21465" t="s">
        <v>65282</v>
      </c>
      <c r="C21465" t="str">
        <f>"21426000"</f>
        <v>21426000</v>
      </c>
      <c r="D21465" t="s">
        <v>65283</v>
      </c>
      <c r="E21465" t="s">
        <v>65284</v>
      </c>
      <c r="F21465" t="s">
        <v>65285</v>
      </c>
      <c r="I21465" t="s">
        <v>29</v>
      </c>
      <c r="J21465" t="s">
        <v>30</v>
      </c>
      <c r="K21465" t="s">
        <v>31</v>
      </c>
      <c r="M21465" t="s">
        <v>50621</v>
      </c>
      <c r="N21465" t="str">
        <f>"2/12/2024 9:45:00 AM"</f>
        <v>2/12/2024 9:45:00 AM</v>
      </c>
      <c r="O21465" t="s">
        <v>65283</v>
      </c>
      <c r="T21465" t="s">
        <v>65284</v>
      </c>
    </row>
    <row r="21466" spans="1:20" x14ac:dyDescent="0.25">
      <c r="A21466" t="str">
        <f>"3043998"</f>
        <v>3043998</v>
      </c>
      <c r="B21466" t="s">
        <v>65286</v>
      </c>
      <c r="C21466" t="str">
        <f>"8315009"</f>
        <v>8315009</v>
      </c>
      <c r="D21466" t="s">
        <v>65287</v>
      </c>
      <c r="F21466" t="s">
        <v>65288</v>
      </c>
      <c r="I21466" t="s">
        <v>471</v>
      </c>
      <c r="J21466" t="s">
        <v>30</v>
      </c>
      <c r="K21466" t="s">
        <v>65289</v>
      </c>
      <c r="M21466" t="s">
        <v>50621</v>
      </c>
      <c r="N21466" t="str">
        <f>"2/13/2024 8:55:00 AM"</f>
        <v>2/13/2024 8:55:00 AM</v>
      </c>
      <c r="O21466" t="s">
        <v>65287</v>
      </c>
    </row>
    <row r="21467" spans="1:20" x14ac:dyDescent="0.25">
      <c r="A21467" t="str">
        <f>"3040839"</f>
        <v>3040839</v>
      </c>
      <c r="B21467" t="s">
        <v>65290</v>
      </c>
      <c r="C21467" t="str">
        <f>"8302838"</f>
        <v>8302838</v>
      </c>
      <c r="D21467" t="s">
        <v>65291</v>
      </c>
      <c r="F21467" t="s">
        <v>65292</v>
      </c>
      <c r="I21467" t="s">
        <v>184</v>
      </c>
      <c r="J21467" t="s">
        <v>30</v>
      </c>
      <c r="K21467" t="str">
        <f>"27006"</f>
        <v>27006</v>
      </c>
      <c r="M21467" t="s">
        <v>50621</v>
      </c>
      <c r="N21467" t="str">
        <f>"2/13/2024 9:03:00 AM"</f>
        <v>2/13/2024 9:03:00 AM</v>
      </c>
      <c r="O21467" t="s">
        <v>65291</v>
      </c>
    </row>
    <row r="21468" spans="1:20" x14ac:dyDescent="0.25">
      <c r="A21468" t="str">
        <f>"3040325"</f>
        <v>3040325</v>
      </c>
      <c r="B21468" t="s">
        <v>65293</v>
      </c>
      <c r="C21468" t="str">
        <f>"8302838"</f>
        <v>8302838</v>
      </c>
      <c r="D21468" t="s">
        <v>65291</v>
      </c>
      <c r="F21468" t="s">
        <v>65292</v>
      </c>
      <c r="I21468" t="s">
        <v>184</v>
      </c>
      <c r="J21468" t="s">
        <v>30</v>
      </c>
      <c r="K21468" t="str">
        <f>"27006"</f>
        <v>27006</v>
      </c>
      <c r="M21468" t="s">
        <v>50621</v>
      </c>
      <c r="N21468" t="str">
        <f>"2/13/2024 9:03:00 AM"</f>
        <v>2/13/2024 9:03:00 AM</v>
      </c>
      <c r="O21468" t="s">
        <v>65291</v>
      </c>
    </row>
    <row r="21469" spans="1:20" x14ac:dyDescent="0.25">
      <c r="A21469" t="str">
        <f>"3060390"</f>
        <v>3060390</v>
      </c>
      <c r="B21469" t="s">
        <v>65294</v>
      </c>
      <c r="C21469" t="str">
        <f>"10233330"</f>
        <v>10233330</v>
      </c>
      <c r="D21469" t="s">
        <v>65295</v>
      </c>
      <c r="F21469" t="s">
        <v>65296</v>
      </c>
      <c r="I21469" t="s">
        <v>29</v>
      </c>
      <c r="J21469" t="s">
        <v>30</v>
      </c>
      <c r="K21469" t="s">
        <v>25587</v>
      </c>
      <c r="M21469" t="s">
        <v>50621</v>
      </c>
      <c r="N21469" t="str">
        <f>"2/13/2024 9:13:00 AM"</f>
        <v>2/13/2024 9:13:00 AM</v>
      </c>
      <c r="O21469" t="s">
        <v>65295</v>
      </c>
    </row>
    <row r="21470" spans="1:20" x14ac:dyDescent="0.25">
      <c r="A21470" t="str">
        <f>"3053795"</f>
        <v>3053795</v>
      </c>
      <c r="B21470" t="s">
        <v>65297</v>
      </c>
      <c r="C21470" t="str">
        <f>"8321918"</f>
        <v>8321918</v>
      </c>
      <c r="D21470" t="s">
        <v>65298</v>
      </c>
      <c r="F21470" t="s">
        <v>21313</v>
      </c>
      <c r="I21470" t="s">
        <v>402</v>
      </c>
      <c r="J21470" t="s">
        <v>30</v>
      </c>
      <c r="K21470" t="s">
        <v>55219</v>
      </c>
      <c r="M21470" t="s">
        <v>50500</v>
      </c>
      <c r="N21470" t="str">
        <f>"2/12/2024 9:49:00 AM"</f>
        <v>2/12/2024 9:49:00 AM</v>
      </c>
      <c r="O21470" t="s">
        <v>65298</v>
      </c>
    </row>
    <row r="21471" spans="1:20" x14ac:dyDescent="0.25">
      <c r="A21471" t="str">
        <f>"3053166"</f>
        <v>3053166</v>
      </c>
      <c r="B21471" t="s">
        <v>65299</v>
      </c>
      <c r="C21471" t="str">
        <f>"8316520"</f>
        <v>8316520</v>
      </c>
      <c r="D21471" t="s">
        <v>65300</v>
      </c>
      <c r="E21471" t="s">
        <v>65301</v>
      </c>
      <c r="F21471" t="s">
        <v>65302</v>
      </c>
      <c r="I21471" t="s">
        <v>29</v>
      </c>
      <c r="J21471" t="s">
        <v>30</v>
      </c>
      <c r="K21471" t="s">
        <v>42016</v>
      </c>
      <c r="M21471" t="s">
        <v>50621</v>
      </c>
      <c r="N21471" t="str">
        <f>"2/13/2024 9:17:00 AM"</f>
        <v>2/13/2024 9:17:00 AM</v>
      </c>
      <c r="O21471" t="s">
        <v>65300</v>
      </c>
      <c r="T21471" t="s">
        <v>65301</v>
      </c>
    </row>
    <row r="21472" spans="1:20" x14ac:dyDescent="0.25">
      <c r="A21472" t="str">
        <f>"3042657"</f>
        <v>3042657</v>
      </c>
      <c r="B21472" t="s">
        <v>65303</v>
      </c>
      <c r="C21472" t="str">
        <f>"8319978"</f>
        <v>8319978</v>
      </c>
      <c r="D21472" t="s">
        <v>65304</v>
      </c>
      <c r="E21472" t="str">
        <f>"c/o: DONALD GRAY PAYNE"</f>
        <v>c/o: DONALD GRAY PAYNE</v>
      </c>
      <c r="F21472" t="s">
        <v>65305</v>
      </c>
      <c r="I21472" t="s">
        <v>29</v>
      </c>
      <c r="J21472" t="s">
        <v>30</v>
      </c>
      <c r="K21472" t="s">
        <v>51384</v>
      </c>
      <c r="M21472" t="s">
        <v>50793</v>
      </c>
      <c r="N21472" t="str">
        <f>"2/13/2024 9:37:00 AM"</f>
        <v>2/13/2024 9:37:00 AM</v>
      </c>
      <c r="O21472" t="s">
        <v>65304</v>
      </c>
      <c r="T21472" t="str">
        <f>"c/o: DONALD GRAY PAYNE"</f>
        <v>c/o: DONALD GRAY PAYNE</v>
      </c>
    </row>
    <row r="21473" spans="1:20" x14ac:dyDescent="0.25">
      <c r="A21473" t="str">
        <f>"3042074"</f>
        <v>3042074</v>
      </c>
      <c r="B21473" t="s">
        <v>65306</v>
      </c>
      <c r="C21473" t="str">
        <f>"8303018"</f>
        <v>8303018</v>
      </c>
      <c r="D21473" t="s">
        <v>65307</v>
      </c>
      <c r="E21473" t="s">
        <v>65308</v>
      </c>
      <c r="F21473" t="s">
        <v>65309</v>
      </c>
      <c r="I21473" t="s">
        <v>29</v>
      </c>
      <c r="J21473" t="s">
        <v>30</v>
      </c>
      <c r="K21473" t="str">
        <f>"27028"</f>
        <v>27028</v>
      </c>
      <c r="M21473" t="s">
        <v>50793</v>
      </c>
      <c r="N21473" t="str">
        <f>"2/13/2024 9:37:00 AM"</f>
        <v>2/13/2024 9:37:00 AM</v>
      </c>
      <c r="O21473" t="s">
        <v>65307</v>
      </c>
      <c r="T21473" t="s">
        <v>65308</v>
      </c>
    </row>
    <row r="21474" spans="1:20" x14ac:dyDescent="0.25">
      <c r="A21474" t="str">
        <f>"3048487"</f>
        <v>3048487</v>
      </c>
      <c r="B21474" t="s">
        <v>65310</v>
      </c>
      <c r="C21474" t="str">
        <f>"82522580"</f>
        <v>82522580</v>
      </c>
      <c r="D21474" t="s">
        <v>65311</v>
      </c>
      <c r="F21474" t="s">
        <v>25485</v>
      </c>
      <c r="I21474" t="s">
        <v>29</v>
      </c>
      <c r="J21474" t="s">
        <v>30</v>
      </c>
      <c r="K21474" t="s">
        <v>65312</v>
      </c>
      <c r="M21474" t="s">
        <v>50621</v>
      </c>
      <c r="N21474" t="str">
        <f>"2/12/2024 9:51:00 AM"</f>
        <v>2/12/2024 9:51:00 AM</v>
      </c>
      <c r="O21474" t="s">
        <v>65311</v>
      </c>
    </row>
    <row r="21475" spans="1:20" x14ac:dyDescent="0.25">
      <c r="A21475" t="str">
        <f>"3044142"</f>
        <v>3044142</v>
      </c>
      <c r="B21475" t="s">
        <v>65313</v>
      </c>
      <c r="C21475" t="str">
        <f>"82528177"</f>
        <v>82528177</v>
      </c>
      <c r="D21475" t="s">
        <v>65314</v>
      </c>
      <c r="F21475" t="s">
        <v>65315</v>
      </c>
      <c r="I21475" t="s">
        <v>184</v>
      </c>
      <c r="J21475" t="s">
        <v>30</v>
      </c>
      <c r="K21475" t="s">
        <v>185</v>
      </c>
      <c r="M21475" t="s">
        <v>50793</v>
      </c>
      <c r="N21475" t="str">
        <f>"2/13/2024 9:41:00 AM"</f>
        <v>2/13/2024 9:41:00 AM</v>
      </c>
      <c r="O21475" t="s">
        <v>65314</v>
      </c>
    </row>
    <row r="21476" spans="1:20" x14ac:dyDescent="0.25">
      <c r="A21476" t="str">
        <f>"3050804"</f>
        <v>3050804</v>
      </c>
      <c r="B21476" t="s">
        <v>65316</v>
      </c>
      <c r="C21476" t="str">
        <f>"82528177"</f>
        <v>82528177</v>
      </c>
      <c r="D21476" t="s">
        <v>65314</v>
      </c>
      <c r="F21476" t="s">
        <v>65315</v>
      </c>
      <c r="I21476" t="s">
        <v>184</v>
      </c>
      <c r="J21476" t="s">
        <v>30</v>
      </c>
      <c r="K21476" t="s">
        <v>185</v>
      </c>
      <c r="M21476" t="s">
        <v>50793</v>
      </c>
      <c r="N21476" t="str">
        <f>"2/13/2024 9:41:00 AM"</f>
        <v>2/13/2024 9:41:00 AM</v>
      </c>
      <c r="O21476" t="s">
        <v>65314</v>
      </c>
    </row>
    <row r="21477" spans="1:20" x14ac:dyDescent="0.25">
      <c r="A21477" t="str">
        <f>"3047245"</f>
        <v>3047245</v>
      </c>
      <c r="B21477" t="s">
        <v>65317</v>
      </c>
      <c r="C21477" t="str">
        <f>"56292000"</f>
        <v>56292000</v>
      </c>
      <c r="D21477" t="s">
        <v>50865</v>
      </c>
      <c r="E21477" t="s">
        <v>65318</v>
      </c>
      <c r="F21477" t="s">
        <v>56449</v>
      </c>
      <c r="I21477" t="s">
        <v>29</v>
      </c>
      <c r="J21477" t="s">
        <v>30</v>
      </c>
      <c r="K21477" t="s">
        <v>31</v>
      </c>
      <c r="M21477" t="s">
        <v>50793</v>
      </c>
      <c r="N21477" t="str">
        <f>"2/13/2024 9:45:00 AM"</f>
        <v>2/13/2024 9:45:00 AM</v>
      </c>
      <c r="O21477" t="s">
        <v>50865</v>
      </c>
      <c r="T21477" t="s">
        <v>65318</v>
      </c>
    </row>
    <row r="21478" spans="1:20" x14ac:dyDescent="0.25">
      <c r="A21478" t="str">
        <f>"3047246"</f>
        <v>3047246</v>
      </c>
      <c r="B21478" t="s">
        <v>65319</v>
      </c>
      <c r="C21478" t="str">
        <f>"56292000"</f>
        <v>56292000</v>
      </c>
      <c r="D21478" t="s">
        <v>50865</v>
      </c>
      <c r="E21478" t="s">
        <v>65318</v>
      </c>
      <c r="F21478" t="s">
        <v>56449</v>
      </c>
      <c r="I21478" t="s">
        <v>29</v>
      </c>
      <c r="J21478" t="s">
        <v>30</v>
      </c>
      <c r="K21478" t="s">
        <v>31</v>
      </c>
      <c r="M21478" t="s">
        <v>50793</v>
      </c>
      <c r="N21478" t="str">
        <f>"2/13/2024 9:45:00 AM"</f>
        <v>2/13/2024 9:45:00 AM</v>
      </c>
      <c r="O21478" t="s">
        <v>50865</v>
      </c>
      <c r="T21478" t="s">
        <v>65318</v>
      </c>
    </row>
    <row r="21479" spans="1:20" x14ac:dyDescent="0.25">
      <c r="A21479" t="str">
        <f>"3057806"</f>
        <v>3057806</v>
      </c>
      <c r="B21479" t="s">
        <v>65320</v>
      </c>
      <c r="C21479" t="str">
        <f>"56298000"</f>
        <v>56298000</v>
      </c>
      <c r="D21479" t="s">
        <v>65321</v>
      </c>
      <c r="F21479" t="s">
        <v>65322</v>
      </c>
      <c r="I21479" t="s">
        <v>29</v>
      </c>
      <c r="J21479" t="s">
        <v>30</v>
      </c>
      <c r="K21479" t="s">
        <v>31</v>
      </c>
      <c r="M21479" t="s">
        <v>50793</v>
      </c>
      <c r="N21479" t="str">
        <f>"2/13/2024 9:46:00 AM"</f>
        <v>2/13/2024 9:46:00 AM</v>
      </c>
      <c r="O21479" t="s">
        <v>65321</v>
      </c>
    </row>
    <row r="21480" spans="1:20" x14ac:dyDescent="0.25">
      <c r="A21480" t="str">
        <f>"3050115"</f>
        <v>3050115</v>
      </c>
      <c r="B21480" t="s">
        <v>65323</v>
      </c>
      <c r="C21480" t="str">
        <f>"8301119"</f>
        <v>8301119</v>
      </c>
      <c r="D21480" t="s">
        <v>65324</v>
      </c>
      <c r="F21480" t="s">
        <v>65325</v>
      </c>
      <c r="I21480" t="s">
        <v>29</v>
      </c>
      <c r="J21480" t="s">
        <v>30</v>
      </c>
      <c r="K21480" t="s">
        <v>65326</v>
      </c>
      <c r="M21480" t="s">
        <v>50793</v>
      </c>
      <c r="N21480" t="str">
        <f>"2/13/2024 9:48:00 AM"</f>
        <v>2/13/2024 9:48:00 AM</v>
      </c>
      <c r="O21480" t="s">
        <v>65324</v>
      </c>
    </row>
    <row r="21481" spans="1:20" x14ac:dyDescent="0.25">
      <c r="A21481" t="str">
        <f>"3052650"</f>
        <v>3052650</v>
      </c>
      <c r="B21481" t="s">
        <v>65327</v>
      </c>
      <c r="C21481" t="str">
        <f>"8312869"</f>
        <v>8312869</v>
      </c>
      <c r="D21481" t="s">
        <v>65328</v>
      </c>
      <c r="E21481" t="s">
        <v>65329</v>
      </c>
      <c r="F21481" t="s">
        <v>65330</v>
      </c>
      <c r="I21481" t="s">
        <v>29</v>
      </c>
      <c r="J21481" t="s">
        <v>30</v>
      </c>
      <c r="K21481" t="s">
        <v>16858</v>
      </c>
      <c r="M21481" t="s">
        <v>50793</v>
      </c>
      <c r="N21481" t="str">
        <f>"2/13/2024 9:51:00 AM"</f>
        <v>2/13/2024 9:51:00 AM</v>
      </c>
      <c r="O21481" t="s">
        <v>65328</v>
      </c>
      <c r="T21481" t="s">
        <v>65329</v>
      </c>
    </row>
    <row r="21482" spans="1:20" x14ac:dyDescent="0.25">
      <c r="A21482" t="str">
        <f>"3055395"</f>
        <v>3055395</v>
      </c>
      <c r="B21482" t="s">
        <v>65331</v>
      </c>
      <c r="C21482" t="str">
        <f>"8320223"</f>
        <v>8320223</v>
      </c>
      <c r="D21482" t="s">
        <v>65332</v>
      </c>
      <c r="E21482" t="s">
        <v>65333</v>
      </c>
      <c r="F21482" t="s">
        <v>65334</v>
      </c>
      <c r="I21482" t="s">
        <v>184</v>
      </c>
      <c r="J21482" t="s">
        <v>30</v>
      </c>
      <c r="K21482" t="s">
        <v>55182</v>
      </c>
      <c r="M21482" t="s">
        <v>50621</v>
      </c>
      <c r="N21482" t="str">
        <f>"2/12/2024 10:03:00 AM"</f>
        <v>2/12/2024 10:03:00 AM</v>
      </c>
      <c r="O21482" t="s">
        <v>65332</v>
      </c>
      <c r="T21482" t="s">
        <v>65333</v>
      </c>
    </row>
    <row r="21483" spans="1:20" x14ac:dyDescent="0.25">
      <c r="A21483" t="str">
        <f>"3048055"</f>
        <v>3048055</v>
      </c>
      <c r="B21483" t="s">
        <v>65335</v>
      </c>
      <c r="C21483" t="str">
        <f>"8307798"</f>
        <v>8307798</v>
      </c>
      <c r="D21483" t="s">
        <v>65336</v>
      </c>
      <c r="E21483" t="s">
        <v>65337</v>
      </c>
      <c r="F21483" t="s">
        <v>65338</v>
      </c>
      <c r="I21483" t="s">
        <v>184</v>
      </c>
      <c r="J21483" t="s">
        <v>30</v>
      </c>
      <c r="K21483" t="str">
        <f>"27006"</f>
        <v>27006</v>
      </c>
      <c r="M21483" t="s">
        <v>50793</v>
      </c>
      <c r="N21483" t="str">
        <f>"2/13/2024 9:58:00 AM"</f>
        <v>2/13/2024 9:58:00 AM</v>
      </c>
      <c r="O21483" t="s">
        <v>65336</v>
      </c>
      <c r="T21483" t="s">
        <v>65337</v>
      </c>
    </row>
    <row r="21484" spans="1:20" x14ac:dyDescent="0.25">
      <c r="A21484" t="str">
        <f>"3047380"</f>
        <v>3047380</v>
      </c>
      <c r="B21484" t="s">
        <v>65339</v>
      </c>
      <c r="C21484" t="str">
        <f>"8307798"</f>
        <v>8307798</v>
      </c>
      <c r="D21484" t="s">
        <v>65336</v>
      </c>
      <c r="E21484" t="s">
        <v>65337</v>
      </c>
      <c r="F21484" t="s">
        <v>65338</v>
      </c>
      <c r="I21484" t="s">
        <v>184</v>
      </c>
      <c r="J21484" t="s">
        <v>30</v>
      </c>
      <c r="K21484" t="str">
        <f>"27006"</f>
        <v>27006</v>
      </c>
      <c r="M21484" t="s">
        <v>50793</v>
      </c>
      <c r="N21484" t="str">
        <f>"2/13/2024 9:58:00 AM"</f>
        <v>2/13/2024 9:58:00 AM</v>
      </c>
      <c r="O21484" t="s">
        <v>65336</v>
      </c>
      <c r="T21484" t="s">
        <v>65337</v>
      </c>
    </row>
    <row r="21485" spans="1:20" x14ac:dyDescent="0.25">
      <c r="A21485" t="str">
        <f>"3037255"</f>
        <v>3037255</v>
      </c>
      <c r="B21485" t="s">
        <v>65340</v>
      </c>
      <c r="C21485" t="str">
        <f>"82531819"</f>
        <v>82531819</v>
      </c>
      <c r="D21485" t="s">
        <v>65341</v>
      </c>
      <c r="E21485" t="s">
        <v>65342</v>
      </c>
      <c r="F21485" t="s">
        <v>65343</v>
      </c>
      <c r="I21485" t="s">
        <v>184</v>
      </c>
      <c r="J21485" t="s">
        <v>30</v>
      </c>
      <c r="K21485" t="s">
        <v>185</v>
      </c>
      <c r="M21485" t="s">
        <v>50793</v>
      </c>
      <c r="N21485" t="str">
        <f>"2/13/2024 10:00:00 AM"</f>
        <v>2/13/2024 10:00:00 AM</v>
      </c>
      <c r="O21485" t="s">
        <v>65341</v>
      </c>
      <c r="T21485" t="s">
        <v>65342</v>
      </c>
    </row>
    <row r="21486" spans="1:20" x14ac:dyDescent="0.25">
      <c r="A21486" t="str">
        <f>"3055840"</f>
        <v>3055840</v>
      </c>
      <c r="B21486" t="s">
        <v>65344</v>
      </c>
      <c r="C21486" t="str">
        <f>"56647750"</f>
        <v>56647750</v>
      </c>
      <c r="D21486" t="s">
        <v>65345</v>
      </c>
      <c r="E21486" t="str">
        <f>"C/O JILL HEWITT"</f>
        <v>C/O JILL HEWITT</v>
      </c>
      <c r="F21486" t="s">
        <v>65346</v>
      </c>
      <c r="I21486" t="s">
        <v>9580</v>
      </c>
      <c r="J21486" t="s">
        <v>30</v>
      </c>
      <c r="K21486" t="s">
        <v>65347</v>
      </c>
      <c r="M21486" t="s">
        <v>50793</v>
      </c>
      <c r="N21486" t="str">
        <f>"2/13/2024 10:01:00 AM"</f>
        <v>2/13/2024 10:01:00 AM</v>
      </c>
      <c r="O21486" t="s">
        <v>65345</v>
      </c>
      <c r="T21486" t="str">
        <f>"C/O JILL HEWITT"</f>
        <v>C/O JILL HEWITT</v>
      </c>
    </row>
    <row r="21487" spans="1:20" x14ac:dyDescent="0.25">
      <c r="A21487" t="str">
        <f>"3052481"</f>
        <v>3052481</v>
      </c>
      <c r="B21487" t="s">
        <v>65348</v>
      </c>
      <c r="C21487" t="str">
        <f>"56662000"</f>
        <v>56662000</v>
      </c>
      <c r="D21487" t="s">
        <v>65349</v>
      </c>
      <c r="F21487" t="s">
        <v>65350</v>
      </c>
      <c r="I21487" t="s">
        <v>29</v>
      </c>
      <c r="J21487" t="s">
        <v>30</v>
      </c>
      <c r="K21487" t="s">
        <v>31</v>
      </c>
      <c r="M21487" t="s">
        <v>50793</v>
      </c>
      <c r="N21487" t="str">
        <f>"2/13/2024 10:01:00 AM"</f>
        <v>2/13/2024 10:01:00 AM</v>
      </c>
      <c r="O21487" t="s">
        <v>65349</v>
      </c>
    </row>
    <row r="21488" spans="1:20" x14ac:dyDescent="0.25">
      <c r="A21488" t="str">
        <f>"3054653"</f>
        <v>3054653</v>
      </c>
      <c r="B21488" t="s">
        <v>65351</v>
      </c>
      <c r="C21488" t="str">
        <f>"8315246"</f>
        <v>8315246</v>
      </c>
      <c r="D21488" t="s">
        <v>65352</v>
      </c>
      <c r="F21488" t="s">
        <v>65353</v>
      </c>
      <c r="I21488" t="s">
        <v>29</v>
      </c>
      <c r="J21488" t="s">
        <v>30</v>
      </c>
      <c r="K21488" t="s">
        <v>65354</v>
      </c>
      <c r="M21488" t="s">
        <v>50793</v>
      </c>
      <c r="N21488" t="str">
        <f>"2/13/2024 10:02:00 AM"</f>
        <v>2/13/2024 10:02:00 AM</v>
      </c>
      <c r="O21488" t="s">
        <v>65352</v>
      </c>
    </row>
    <row r="21489" spans="1:20" x14ac:dyDescent="0.25">
      <c r="A21489" t="str">
        <f>"3046100"</f>
        <v>3046100</v>
      </c>
      <c r="B21489" t="s">
        <v>65355</v>
      </c>
      <c r="C21489" t="str">
        <f>"82531525"</f>
        <v>82531525</v>
      </c>
      <c r="D21489" t="s">
        <v>65356</v>
      </c>
      <c r="F21489" t="s">
        <v>65357</v>
      </c>
      <c r="I21489" t="s">
        <v>29</v>
      </c>
      <c r="J21489" t="s">
        <v>30</v>
      </c>
      <c r="K21489" t="s">
        <v>31</v>
      </c>
      <c r="M21489" t="s">
        <v>50793</v>
      </c>
      <c r="N21489" t="str">
        <f>"2/13/2024 10:02:00 AM"</f>
        <v>2/13/2024 10:02:00 AM</v>
      </c>
      <c r="O21489" t="s">
        <v>65356</v>
      </c>
    </row>
    <row r="21490" spans="1:20" x14ac:dyDescent="0.25">
      <c r="A21490" t="str">
        <f>"3050052"</f>
        <v>3050052</v>
      </c>
      <c r="B21490" t="s">
        <v>65358</v>
      </c>
      <c r="C21490" t="str">
        <f>"56828500"</f>
        <v>56828500</v>
      </c>
      <c r="D21490" t="s">
        <v>65359</v>
      </c>
      <c r="E21490" t="s">
        <v>65360</v>
      </c>
      <c r="F21490" t="s">
        <v>65361</v>
      </c>
      <c r="I21490" t="s">
        <v>29</v>
      </c>
      <c r="J21490" t="s">
        <v>30</v>
      </c>
      <c r="K21490" t="s">
        <v>18928</v>
      </c>
      <c r="M21490" t="s">
        <v>50793</v>
      </c>
      <c r="N21490" t="str">
        <f>"2/13/2024 10:13:00 AM"</f>
        <v>2/13/2024 10:13:00 AM</v>
      </c>
      <c r="O21490" t="s">
        <v>65359</v>
      </c>
      <c r="T21490" t="s">
        <v>65360</v>
      </c>
    </row>
    <row r="21491" spans="1:20" x14ac:dyDescent="0.25">
      <c r="A21491" t="str">
        <f>"3037423"</f>
        <v>3037423</v>
      </c>
      <c r="B21491" t="s">
        <v>65362</v>
      </c>
      <c r="C21491" t="str">
        <f>"22890000"</f>
        <v>22890000</v>
      </c>
      <c r="D21491" t="s">
        <v>65363</v>
      </c>
      <c r="E21491" t="s">
        <v>65364</v>
      </c>
      <c r="F21491" t="s">
        <v>65365</v>
      </c>
      <c r="I21491" t="s">
        <v>8536</v>
      </c>
      <c r="J21491" t="s">
        <v>30</v>
      </c>
      <c r="K21491" t="s">
        <v>65366</v>
      </c>
      <c r="M21491" t="s">
        <v>50621</v>
      </c>
      <c r="N21491" t="str">
        <f>"2/12/2024 2:34:00 PM"</f>
        <v>2/12/2024 2:34:00 PM</v>
      </c>
      <c r="O21491" t="s">
        <v>65363</v>
      </c>
      <c r="T21491" t="s">
        <v>65364</v>
      </c>
    </row>
    <row r="21492" spans="1:20" x14ac:dyDescent="0.25">
      <c r="A21492" t="str">
        <f>"3042064"</f>
        <v>3042064</v>
      </c>
      <c r="B21492" t="s">
        <v>65367</v>
      </c>
      <c r="C21492" t="str">
        <f>"8316988"</f>
        <v>8316988</v>
      </c>
      <c r="D21492" t="s">
        <v>4084</v>
      </c>
      <c r="F21492" t="s">
        <v>65368</v>
      </c>
      <c r="I21492" t="s">
        <v>29</v>
      </c>
      <c r="J21492" t="s">
        <v>30</v>
      </c>
      <c r="K21492" t="s">
        <v>4087</v>
      </c>
      <c r="M21492" t="s">
        <v>50621</v>
      </c>
      <c r="N21492" t="str">
        <f>"2/12/2024 2:35:00 PM"</f>
        <v>2/12/2024 2:35:00 PM</v>
      </c>
      <c r="O21492" t="s">
        <v>4084</v>
      </c>
    </row>
    <row r="21493" spans="1:20" x14ac:dyDescent="0.25">
      <c r="A21493" t="str">
        <f>"3042050"</f>
        <v>3042050</v>
      </c>
      <c r="B21493" t="s">
        <v>65369</v>
      </c>
      <c r="C21493" t="str">
        <f>"82527386"</f>
        <v>82527386</v>
      </c>
      <c r="D21493" t="s">
        <v>4084</v>
      </c>
      <c r="F21493" t="s">
        <v>65370</v>
      </c>
      <c r="I21493" t="s">
        <v>29</v>
      </c>
      <c r="J21493" t="s">
        <v>30</v>
      </c>
      <c r="K21493" t="s">
        <v>31</v>
      </c>
      <c r="M21493" t="s">
        <v>50621</v>
      </c>
      <c r="N21493" t="str">
        <f>"2/12/2024 2:35:00 PM"</f>
        <v>2/12/2024 2:35:00 PM</v>
      </c>
      <c r="O21493" t="s">
        <v>4084</v>
      </c>
    </row>
    <row r="21494" spans="1:20" x14ac:dyDescent="0.25">
      <c r="A21494" t="str">
        <f>"3038041"</f>
        <v>3038041</v>
      </c>
      <c r="B21494" t="s">
        <v>65371</v>
      </c>
      <c r="C21494" t="str">
        <f>"23250000"</f>
        <v>23250000</v>
      </c>
      <c r="D21494" t="s">
        <v>65372</v>
      </c>
      <c r="F21494" t="s">
        <v>65373</v>
      </c>
      <c r="I21494" t="s">
        <v>65374</v>
      </c>
      <c r="J21494" t="s">
        <v>11697</v>
      </c>
      <c r="K21494" t="s">
        <v>65375</v>
      </c>
      <c r="M21494" t="s">
        <v>50621</v>
      </c>
      <c r="N21494" t="str">
        <f>"2/12/2024 2:41:00 PM"</f>
        <v>2/12/2024 2:41:00 PM</v>
      </c>
      <c r="O21494" t="s">
        <v>65372</v>
      </c>
      <c r="T21494" t="s">
        <v>65372</v>
      </c>
    </row>
    <row r="21495" spans="1:20" x14ac:dyDescent="0.25">
      <c r="A21495" t="str">
        <f>"3053825"</f>
        <v>3053825</v>
      </c>
      <c r="B21495" t="s">
        <v>65376</v>
      </c>
      <c r="C21495" t="str">
        <f>"82524200"</f>
        <v>82524200</v>
      </c>
      <c r="D21495" t="s">
        <v>65377</v>
      </c>
      <c r="E21495" t="s">
        <v>65378</v>
      </c>
      <c r="F21495" t="s">
        <v>65379</v>
      </c>
      <c r="I21495" t="s">
        <v>184</v>
      </c>
      <c r="J21495" t="s">
        <v>30</v>
      </c>
      <c r="K21495" t="s">
        <v>41029</v>
      </c>
      <c r="M21495" t="s">
        <v>50621</v>
      </c>
      <c r="N21495" t="str">
        <f>"2/13/2024 10:47:00 AM"</f>
        <v>2/13/2024 10:47:00 AM</v>
      </c>
      <c r="O21495" t="s">
        <v>65377</v>
      </c>
      <c r="T21495" t="s">
        <v>65378</v>
      </c>
    </row>
    <row r="21496" spans="1:20" x14ac:dyDescent="0.25">
      <c r="A21496" t="str">
        <f>"3053472"</f>
        <v>3053472</v>
      </c>
      <c r="B21496" t="s">
        <v>65380</v>
      </c>
      <c r="C21496" t="str">
        <f>"28370000"</f>
        <v>28370000</v>
      </c>
      <c r="D21496" t="s">
        <v>65381</v>
      </c>
      <c r="F21496" t="s">
        <v>65379</v>
      </c>
      <c r="I21496" t="s">
        <v>184</v>
      </c>
      <c r="J21496" t="s">
        <v>30</v>
      </c>
      <c r="K21496" t="s">
        <v>41029</v>
      </c>
      <c r="M21496" t="s">
        <v>50621</v>
      </c>
      <c r="N21496" t="str">
        <f>"2/13/2024 10:47:00 AM"</f>
        <v>2/13/2024 10:47:00 AM</v>
      </c>
      <c r="O21496" t="s">
        <v>65381</v>
      </c>
    </row>
    <row r="21497" spans="1:20" x14ac:dyDescent="0.25">
      <c r="A21497" t="str">
        <f>"3053552"</f>
        <v>3053552</v>
      </c>
      <c r="B21497" t="s">
        <v>65382</v>
      </c>
      <c r="C21497" t="str">
        <f>"28370000"</f>
        <v>28370000</v>
      </c>
      <c r="D21497" t="s">
        <v>65381</v>
      </c>
      <c r="F21497" t="s">
        <v>65379</v>
      </c>
      <c r="I21497" t="s">
        <v>184</v>
      </c>
      <c r="J21497" t="s">
        <v>30</v>
      </c>
      <c r="K21497" t="s">
        <v>41029</v>
      </c>
      <c r="M21497" t="s">
        <v>50621</v>
      </c>
      <c r="N21497" t="str">
        <f>"2/13/2024 10:47:00 AM"</f>
        <v>2/13/2024 10:47:00 AM</v>
      </c>
      <c r="O21497" t="s">
        <v>65381</v>
      </c>
    </row>
    <row r="21498" spans="1:20" x14ac:dyDescent="0.25">
      <c r="A21498" t="str">
        <f>"3102656"</f>
        <v>3102656</v>
      </c>
      <c r="B21498" t="s">
        <v>65383</v>
      </c>
      <c r="C21498" t="str">
        <f>"28370000"</f>
        <v>28370000</v>
      </c>
      <c r="D21498" t="s">
        <v>65381</v>
      </c>
      <c r="F21498" t="s">
        <v>65379</v>
      </c>
      <c r="I21498" t="s">
        <v>184</v>
      </c>
      <c r="J21498" t="s">
        <v>30</v>
      </c>
      <c r="K21498" t="s">
        <v>41029</v>
      </c>
      <c r="M21498" t="s">
        <v>50621</v>
      </c>
      <c r="N21498" t="str">
        <f>"2/13/2024 10:47:00 AM"</f>
        <v>2/13/2024 10:47:00 AM</v>
      </c>
      <c r="O21498" t="s">
        <v>65381</v>
      </c>
    </row>
    <row r="21499" spans="1:20" x14ac:dyDescent="0.25">
      <c r="A21499" t="str">
        <f>"3102659"</f>
        <v>3102659</v>
      </c>
      <c r="B21499" t="s">
        <v>65384</v>
      </c>
      <c r="C21499" t="str">
        <f>"28370000"</f>
        <v>28370000</v>
      </c>
      <c r="D21499" t="s">
        <v>65381</v>
      </c>
      <c r="F21499" t="s">
        <v>65379</v>
      </c>
      <c r="I21499" t="s">
        <v>184</v>
      </c>
      <c r="J21499" t="s">
        <v>30</v>
      </c>
      <c r="K21499" t="s">
        <v>41029</v>
      </c>
      <c r="M21499" t="s">
        <v>50621</v>
      </c>
      <c r="N21499" t="str">
        <f>"2/13/2024 10:47:00 AM"</f>
        <v>2/13/2024 10:47:00 AM</v>
      </c>
      <c r="O21499" t="s">
        <v>65381</v>
      </c>
    </row>
    <row r="21500" spans="1:20" x14ac:dyDescent="0.25">
      <c r="A21500" t="str">
        <f>"3056724"</f>
        <v>3056724</v>
      </c>
      <c r="B21500" t="s">
        <v>65385</v>
      </c>
      <c r="C21500" t="str">
        <f>"82520601"</f>
        <v>82520601</v>
      </c>
      <c r="D21500" t="s">
        <v>65386</v>
      </c>
      <c r="E21500" t="s">
        <v>65387</v>
      </c>
      <c r="F21500" t="s">
        <v>65388</v>
      </c>
      <c r="I21500" t="s">
        <v>9580</v>
      </c>
      <c r="J21500" t="s">
        <v>30</v>
      </c>
      <c r="K21500" t="s">
        <v>65389</v>
      </c>
      <c r="M21500" t="s">
        <v>51351</v>
      </c>
      <c r="N21500" t="str">
        <f>"2/12/2024 3:34:00 PM"</f>
        <v>2/12/2024 3:34:00 PM</v>
      </c>
      <c r="O21500" t="s">
        <v>65386</v>
      </c>
      <c r="T21500" t="s">
        <v>65387</v>
      </c>
    </row>
    <row r="21501" spans="1:20" x14ac:dyDescent="0.25">
      <c r="A21501" t="str">
        <f>"3048499"</f>
        <v>3048499</v>
      </c>
      <c r="B21501" t="s">
        <v>65390</v>
      </c>
      <c r="C21501" t="str">
        <f>"28482000"</f>
        <v>28482000</v>
      </c>
      <c r="D21501" t="s">
        <v>65391</v>
      </c>
      <c r="F21501" t="s">
        <v>65392</v>
      </c>
      <c r="G21501" t="s">
        <v>9336</v>
      </c>
      <c r="I21501" t="s">
        <v>29</v>
      </c>
      <c r="J21501" t="s">
        <v>30</v>
      </c>
      <c r="K21501" t="s">
        <v>31</v>
      </c>
      <c r="M21501" t="s">
        <v>50621</v>
      </c>
      <c r="N21501" t="str">
        <f>"2/13/2024 10:48:00 AM"</f>
        <v>2/13/2024 10:48:00 AM</v>
      </c>
      <c r="O21501" t="s">
        <v>65391</v>
      </c>
    </row>
    <row r="21502" spans="1:20" x14ac:dyDescent="0.25">
      <c r="A21502" t="str">
        <f>"3048518"</f>
        <v>3048518</v>
      </c>
      <c r="B21502" t="s">
        <v>65393</v>
      </c>
      <c r="C21502" t="str">
        <f>"28592000"</f>
        <v>28592000</v>
      </c>
      <c r="D21502" t="s">
        <v>65394</v>
      </c>
      <c r="F21502" t="s">
        <v>65395</v>
      </c>
      <c r="I21502" t="s">
        <v>65396</v>
      </c>
      <c r="J21502" t="s">
        <v>30</v>
      </c>
      <c r="K21502" t="str">
        <f>"27284"</f>
        <v>27284</v>
      </c>
      <c r="M21502" t="s">
        <v>50621</v>
      </c>
      <c r="N21502" t="str">
        <f>"2/13/2024 10:48:00 AM"</f>
        <v>2/13/2024 10:48:00 AM</v>
      </c>
      <c r="O21502" t="s">
        <v>65394</v>
      </c>
    </row>
    <row r="21503" spans="1:20" x14ac:dyDescent="0.25">
      <c r="A21503" t="str">
        <f>"3045587"</f>
        <v>3045587</v>
      </c>
      <c r="B21503" t="s">
        <v>65397</v>
      </c>
      <c r="C21503" t="str">
        <f>"8312881"</f>
        <v>8312881</v>
      </c>
      <c r="D21503" t="s">
        <v>65398</v>
      </c>
      <c r="E21503" t="str">
        <f>"GAITHER CURTIS CALVIN/RETHA CR"</f>
        <v>GAITHER CURTIS CALVIN/RETHA CR</v>
      </c>
      <c r="F21503" t="s">
        <v>65399</v>
      </c>
      <c r="I21503" t="s">
        <v>29</v>
      </c>
      <c r="J21503" t="s">
        <v>30</v>
      </c>
      <c r="K21503" t="s">
        <v>65400</v>
      </c>
      <c r="M21503" t="s">
        <v>50621</v>
      </c>
      <c r="N21503" t="str">
        <f>"2/13/2024 10:49:00 AM"</f>
        <v>2/13/2024 10:49:00 AM</v>
      </c>
      <c r="O21503" t="s">
        <v>65398</v>
      </c>
      <c r="T21503" t="str">
        <f>"GAITHER CURTIS CALVIN/RETHA CR"</f>
        <v>GAITHER CURTIS CALVIN/RETHA CR</v>
      </c>
    </row>
    <row r="21504" spans="1:20" x14ac:dyDescent="0.25">
      <c r="A21504" t="str">
        <f>"3052876"</f>
        <v>3052876</v>
      </c>
      <c r="B21504" t="s">
        <v>65401</v>
      </c>
      <c r="C21504" t="str">
        <f>"28732000"</f>
        <v>28732000</v>
      </c>
      <c r="D21504" t="s">
        <v>65402</v>
      </c>
      <c r="E21504" t="s">
        <v>65403</v>
      </c>
      <c r="F21504" t="s">
        <v>65404</v>
      </c>
      <c r="I21504" t="s">
        <v>29</v>
      </c>
      <c r="J21504" t="s">
        <v>30</v>
      </c>
      <c r="K21504" t="s">
        <v>31</v>
      </c>
      <c r="M21504" t="s">
        <v>50621</v>
      </c>
      <c r="N21504" t="str">
        <f>"2/13/2024 10:51:00 AM"</f>
        <v>2/13/2024 10:51:00 AM</v>
      </c>
      <c r="O21504" t="s">
        <v>65402</v>
      </c>
      <c r="T21504" t="s">
        <v>65403</v>
      </c>
    </row>
    <row r="21505" spans="1:20" x14ac:dyDescent="0.25">
      <c r="A21505" t="str">
        <f>"3045845"</f>
        <v>3045845</v>
      </c>
      <c r="B21505" t="s">
        <v>65405</v>
      </c>
      <c r="C21505" t="str">
        <f>"8313614"</f>
        <v>8313614</v>
      </c>
      <c r="D21505" t="s">
        <v>65406</v>
      </c>
      <c r="E21505" t="s">
        <v>65407</v>
      </c>
      <c r="F21505" t="s">
        <v>65408</v>
      </c>
      <c r="I21505" t="s">
        <v>29</v>
      </c>
      <c r="J21505" t="s">
        <v>30</v>
      </c>
      <c r="K21505" t="s">
        <v>48406</v>
      </c>
      <c r="M21505" t="s">
        <v>50621</v>
      </c>
      <c r="N21505" t="str">
        <f>"2/13/2024 8:31:00 AM"</f>
        <v>2/13/2024 8:31:00 AM</v>
      </c>
      <c r="O21505" t="s">
        <v>65406</v>
      </c>
      <c r="T21505" t="s">
        <v>65407</v>
      </c>
    </row>
    <row r="21506" spans="1:20" x14ac:dyDescent="0.25">
      <c r="A21506" t="str">
        <f>"3051420"</f>
        <v>3051420</v>
      </c>
      <c r="B21506" t="s">
        <v>65409</v>
      </c>
      <c r="C21506" t="str">
        <f>"8309836"</f>
        <v>8309836</v>
      </c>
      <c r="D21506" t="s">
        <v>65410</v>
      </c>
      <c r="F21506" t="s">
        <v>65411</v>
      </c>
      <c r="I21506" t="s">
        <v>29</v>
      </c>
      <c r="J21506" t="s">
        <v>30</v>
      </c>
      <c r="K21506" t="s">
        <v>60537</v>
      </c>
      <c r="M21506" t="s">
        <v>50621</v>
      </c>
      <c r="N21506" t="str">
        <f>"2/13/2024 8:32:00 AM"</f>
        <v>2/13/2024 8:32:00 AM</v>
      </c>
      <c r="O21506" t="s">
        <v>65410</v>
      </c>
    </row>
    <row r="21507" spans="1:20" x14ac:dyDescent="0.25">
      <c r="A21507" t="str">
        <f>"3062562"</f>
        <v>3062562</v>
      </c>
      <c r="B21507" t="s">
        <v>65412</v>
      </c>
      <c r="C21507" t="str">
        <f>"24898000"</f>
        <v>24898000</v>
      </c>
      <c r="D21507" t="s">
        <v>65413</v>
      </c>
      <c r="E21507" t="s">
        <v>65414</v>
      </c>
      <c r="F21507" t="s">
        <v>65415</v>
      </c>
      <c r="I21507" t="s">
        <v>2071</v>
      </c>
      <c r="J21507" t="s">
        <v>30</v>
      </c>
      <c r="K21507" t="s">
        <v>185</v>
      </c>
      <c r="M21507" t="s">
        <v>50621</v>
      </c>
      <c r="N21507" t="str">
        <f>"2/13/2024 8:32:00 AM"</f>
        <v>2/13/2024 8:32:00 AM</v>
      </c>
      <c r="O21507" t="s">
        <v>65413</v>
      </c>
      <c r="T21507" t="s">
        <v>65414</v>
      </c>
    </row>
    <row r="21508" spans="1:20" x14ac:dyDescent="0.25">
      <c r="A21508" t="str">
        <f>"3037519"</f>
        <v>3037519</v>
      </c>
      <c r="B21508" t="s">
        <v>65416</v>
      </c>
      <c r="C21508" t="str">
        <f>"82530224"</f>
        <v>82530224</v>
      </c>
      <c r="D21508" t="s">
        <v>65417</v>
      </c>
      <c r="F21508" t="s">
        <v>65418</v>
      </c>
      <c r="I21508" t="s">
        <v>29</v>
      </c>
      <c r="J21508" t="s">
        <v>30</v>
      </c>
      <c r="K21508" t="s">
        <v>31</v>
      </c>
      <c r="M21508" t="s">
        <v>50621</v>
      </c>
      <c r="N21508" t="str">
        <f>"2/13/2024 8:34:00 AM"</f>
        <v>2/13/2024 8:34:00 AM</v>
      </c>
      <c r="O21508" t="s">
        <v>65417</v>
      </c>
    </row>
    <row r="21509" spans="1:20" x14ac:dyDescent="0.25">
      <c r="A21509" t="str">
        <f>"3044462"</f>
        <v>3044462</v>
      </c>
      <c r="B21509" t="s">
        <v>65419</v>
      </c>
      <c r="C21509" t="str">
        <f>"8307733"</f>
        <v>8307733</v>
      </c>
      <c r="D21509" t="s">
        <v>65420</v>
      </c>
      <c r="F21509" t="s">
        <v>65421</v>
      </c>
      <c r="I21509" t="s">
        <v>184</v>
      </c>
      <c r="J21509" t="s">
        <v>30</v>
      </c>
      <c r="K21509" t="str">
        <f>"27006"</f>
        <v>27006</v>
      </c>
      <c r="M21509" t="s">
        <v>50793</v>
      </c>
      <c r="N21509" t="str">
        <f>"2/13/2024 11:18:00 AM"</f>
        <v>2/13/2024 11:18:00 AM</v>
      </c>
      <c r="O21509" t="s">
        <v>65420</v>
      </c>
    </row>
    <row r="21510" spans="1:20" x14ac:dyDescent="0.25">
      <c r="A21510" t="str">
        <f>"3041818"</f>
        <v>3041818</v>
      </c>
      <c r="B21510" t="s">
        <v>65422</v>
      </c>
      <c r="C21510" t="str">
        <f>"8306293"</f>
        <v>8306293</v>
      </c>
      <c r="D21510" t="s">
        <v>65423</v>
      </c>
      <c r="E21510" t="s">
        <v>65424</v>
      </c>
      <c r="F21510" t="s">
        <v>65425</v>
      </c>
      <c r="I21510" t="s">
        <v>2071</v>
      </c>
      <c r="J21510" t="s">
        <v>30</v>
      </c>
      <c r="K21510" t="str">
        <f>"27006"</f>
        <v>27006</v>
      </c>
      <c r="M21510" t="s">
        <v>50793</v>
      </c>
      <c r="N21510" t="str">
        <f>"2/13/2024 11:19:00 AM"</f>
        <v>2/13/2024 11:19:00 AM</v>
      </c>
      <c r="O21510" t="s">
        <v>65423</v>
      </c>
      <c r="T21510" t="s">
        <v>65424</v>
      </c>
    </row>
    <row r="21511" spans="1:20" x14ac:dyDescent="0.25">
      <c r="A21511" t="str">
        <f>"3037499"</f>
        <v>3037499</v>
      </c>
      <c r="B21511" t="s">
        <v>65426</v>
      </c>
      <c r="C21511" t="str">
        <f>"82530224"</f>
        <v>82530224</v>
      </c>
      <c r="D21511" t="s">
        <v>65417</v>
      </c>
      <c r="F21511" t="s">
        <v>65418</v>
      </c>
      <c r="I21511" t="s">
        <v>29</v>
      </c>
      <c r="J21511" t="s">
        <v>30</v>
      </c>
      <c r="K21511" t="s">
        <v>31</v>
      </c>
      <c r="M21511" t="s">
        <v>50621</v>
      </c>
      <c r="N21511" t="str">
        <f>"2/13/2024 8:34:00 AM"</f>
        <v>2/13/2024 8:34:00 AM</v>
      </c>
      <c r="O21511" t="s">
        <v>65417</v>
      </c>
    </row>
    <row r="21512" spans="1:20" x14ac:dyDescent="0.25">
      <c r="A21512" t="str">
        <f>"3041993"</f>
        <v>3041993</v>
      </c>
      <c r="B21512" t="s">
        <v>65427</v>
      </c>
      <c r="C21512" t="str">
        <f>"82530396"</f>
        <v>82530396</v>
      </c>
      <c r="D21512" t="s">
        <v>65428</v>
      </c>
      <c r="F21512" t="s">
        <v>4375</v>
      </c>
      <c r="I21512" t="s">
        <v>29</v>
      </c>
      <c r="J21512" t="s">
        <v>30</v>
      </c>
      <c r="K21512" t="s">
        <v>31</v>
      </c>
      <c r="M21512" t="s">
        <v>50621</v>
      </c>
      <c r="N21512" t="str">
        <f>"2/13/2024 8:36:00 AM"</f>
        <v>2/13/2024 8:36:00 AM</v>
      </c>
      <c r="O21512" t="s">
        <v>65428</v>
      </c>
    </row>
    <row r="21513" spans="1:20" x14ac:dyDescent="0.25">
      <c r="A21513" t="str">
        <f>"3053690"</f>
        <v>3053690</v>
      </c>
      <c r="B21513" t="s">
        <v>65429</v>
      </c>
      <c r="C21513" t="str">
        <f>"8305681"</f>
        <v>8305681</v>
      </c>
      <c r="D21513" t="s">
        <v>65430</v>
      </c>
      <c r="E21513" t="s">
        <v>65431</v>
      </c>
      <c r="F21513" t="s">
        <v>65432</v>
      </c>
      <c r="I21513" t="s">
        <v>184</v>
      </c>
      <c r="J21513" t="s">
        <v>30</v>
      </c>
      <c r="K21513" t="str">
        <f>"27006"</f>
        <v>27006</v>
      </c>
      <c r="M21513" t="s">
        <v>50793</v>
      </c>
      <c r="N21513" t="str">
        <f>"2/13/2024 11:27:00 AM"</f>
        <v>2/13/2024 11:27:00 AM</v>
      </c>
      <c r="O21513" t="s">
        <v>65430</v>
      </c>
      <c r="T21513" t="s">
        <v>65431</v>
      </c>
    </row>
    <row r="21514" spans="1:20" x14ac:dyDescent="0.25">
      <c r="A21514" t="str">
        <f>"3051264"</f>
        <v>3051264</v>
      </c>
      <c r="B21514" t="s">
        <v>65433</v>
      </c>
      <c r="C21514" t="str">
        <f>"8319594"</f>
        <v>8319594</v>
      </c>
      <c r="D21514" t="s">
        <v>51549</v>
      </c>
      <c r="F21514" t="s">
        <v>51551</v>
      </c>
      <c r="I21514" t="s">
        <v>184</v>
      </c>
      <c r="J21514" t="s">
        <v>30</v>
      </c>
      <c r="K21514" t="s">
        <v>37351</v>
      </c>
      <c r="M21514" t="s">
        <v>50500</v>
      </c>
      <c r="N21514" t="str">
        <f>"2/13/2024 11:34:00 AM"</f>
        <v>2/13/2024 11:34:00 AM</v>
      </c>
      <c r="O21514" t="s">
        <v>51549</v>
      </c>
    </row>
    <row r="21515" spans="1:20" x14ac:dyDescent="0.25">
      <c r="A21515" t="str">
        <f>"3037468"</f>
        <v>3037468</v>
      </c>
      <c r="B21515" t="s">
        <v>65434</v>
      </c>
      <c r="C21515" t="str">
        <f>"82516707"</f>
        <v>82516707</v>
      </c>
      <c r="D21515" t="s">
        <v>65435</v>
      </c>
      <c r="E21515" t="s">
        <v>65436</v>
      </c>
      <c r="F21515" t="s">
        <v>65437</v>
      </c>
      <c r="I21515" t="s">
        <v>2275</v>
      </c>
      <c r="J21515" t="s">
        <v>30</v>
      </c>
      <c r="K21515" t="s">
        <v>65438</v>
      </c>
      <c r="M21515" t="s">
        <v>50793</v>
      </c>
      <c r="N21515" t="str">
        <f>"2/13/2024 11:38:00 AM"</f>
        <v>2/13/2024 11:38:00 AM</v>
      </c>
      <c r="O21515" t="s">
        <v>65435</v>
      </c>
      <c r="T21515" t="s">
        <v>65436</v>
      </c>
    </row>
    <row r="21516" spans="1:20" x14ac:dyDescent="0.25">
      <c r="A21516" t="str">
        <f>"3058214"</f>
        <v>3058214</v>
      </c>
      <c r="B21516" t="s">
        <v>65439</v>
      </c>
      <c r="C21516" t="str">
        <f>"60083000"</f>
        <v>60083000</v>
      </c>
      <c r="D21516" t="s">
        <v>65440</v>
      </c>
      <c r="F21516" t="s">
        <v>65441</v>
      </c>
      <c r="I21516" t="s">
        <v>29</v>
      </c>
      <c r="J21516" t="s">
        <v>30</v>
      </c>
      <c r="K21516" t="s">
        <v>31</v>
      </c>
      <c r="M21516" t="s">
        <v>50793</v>
      </c>
      <c r="N21516" t="str">
        <f>"2/13/2024 11:39:00 AM"</f>
        <v>2/13/2024 11:39:00 AM</v>
      </c>
      <c r="O21516" t="s">
        <v>65440</v>
      </c>
    </row>
    <row r="21517" spans="1:20" x14ac:dyDescent="0.25">
      <c r="A21517" t="str">
        <f>"3044040"</f>
        <v>3044040</v>
      </c>
      <c r="B21517" t="s">
        <v>65442</v>
      </c>
      <c r="C21517" t="str">
        <f>"8311961"</f>
        <v>8311961</v>
      </c>
      <c r="D21517" t="s">
        <v>65443</v>
      </c>
      <c r="E21517" t="s">
        <v>65444</v>
      </c>
      <c r="F21517" t="s">
        <v>65445</v>
      </c>
      <c r="I21517" t="s">
        <v>184</v>
      </c>
      <c r="J21517" t="s">
        <v>30</v>
      </c>
      <c r="K21517" t="str">
        <f>"27006"</f>
        <v>27006</v>
      </c>
      <c r="M21517" t="s">
        <v>50621</v>
      </c>
      <c r="N21517" t="str">
        <f>"2/13/2024 8:38:00 AM"</f>
        <v>2/13/2024 8:38:00 AM</v>
      </c>
      <c r="O21517" t="s">
        <v>65443</v>
      </c>
      <c r="T21517" t="s">
        <v>65444</v>
      </c>
    </row>
    <row r="21518" spans="1:20" x14ac:dyDescent="0.25">
      <c r="A21518" t="str">
        <f>"3054703"</f>
        <v>3054703</v>
      </c>
      <c r="B21518" t="s">
        <v>65446</v>
      </c>
      <c r="C21518" t="str">
        <f>"8309715"</f>
        <v>8309715</v>
      </c>
      <c r="D21518" t="s">
        <v>65447</v>
      </c>
      <c r="F21518" t="s">
        <v>65448</v>
      </c>
      <c r="I21518" t="s">
        <v>29</v>
      </c>
      <c r="J21518" t="s">
        <v>30</v>
      </c>
      <c r="K21518" t="s">
        <v>65449</v>
      </c>
      <c r="M21518" t="s">
        <v>50793</v>
      </c>
      <c r="N21518" t="str">
        <f>"2/13/2024 11:44:00 AM"</f>
        <v>2/13/2024 11:44:00 AM</v>
      </c>
      <c r="O21518" t="s">
        <v>65447</v>
      </c>
    </row>
    <row r="21519" spans="1:20" x14ac:dyDescent="0.25">
      <c r="A21519" t="str">
        <f>"3042150"</f>
        <v>3042150</v>
      </c>
      <c r="B21519" t="s">
        <v>65450</v>
      </c>
      <c r="C21519" t="str">
        <f>"82525557"</f>
        <v>82525557</v>
      </c>
      <c r="D21519" t="s">
        <v>65451</v>
      </c>
      <c r="F21519" t="s">
        <v>65452</v>
      </c>
      <c r="I21519" t="s">
        <v>29</v>
      </c>
      <c r="J21519" t="s">
        <v>30</v>
      </c>
      <c r="K21519" t="s">
        <v>31</v>
      </c>
      <c r="M21519" t="s">
        <v>50793</v>
      </c>
      <c r="N21519" t="str">
        <f>"2/13/2024 11:44:00 AM"</f>
        <v>2/13/2024 11:44:00 AM</v>
      </c>
      <c r="O21519" t="s">
        <v>65451</v>
      </c>
    </row>
    <row r="21520" spans="1:20" x14ac:dyDescent="0.25">
      <c r="A21520" t="str">
        <f>"3057181"</f>
        <v>3057181</v>
      </c>
      <c r="B21520" t="s">
        <v>65453</v>
      </c>
      <c r="C21520" t="str">
        <f>"82514805"</f>
        <v>82514805</v>
      </c>
      <c r="D21520" t="s">
        <v>65454</v>
      </c>
      <c r="E21520" t="s">
        <v>65455</v>
      </c>
      <c r="F21520" t="s">
        <v>65456</v>
      </c>
      <c r="I21520" t="s">
        <v>29</v>
      </c>
      <c r="J21520" t="s">
        <v>30</v>
      </c>
      <c r="K21520" t="s">
        <v>31</v>
      </c>
      <c r="M21520" t="s">
        <v>50793</v>
      </c>
      <c r="N21520" t="str">
        <f>"2/13/2024 11:51:00 AM"</f>
        <v>2/13/2024 11:51:00 AM</v>
      </c>
      <c r="O21520" t="s">
        <v>65454</v>
      </c>
      <c r="T21520" t="s">
        <v>65455</v>
      </c>
    </row>
    <row r="21521" spans="1:20" x14ac:dyDescent="0.25">
      <c r="A21521" t="str">
        <f>"3059916"</f>
        <v>3059916</v>
      </c>
      <c r="B21521" t="s">
        <v>65457</v>
      </c>
      <c r="C21521" t="str">
        <f>"82514805"</f>
        <v>82514805</v>
      </c>
      <c r="D21521" t="s">
        <v>65454</v>
      </c>
      <c r="E21521" t="s">
        <v>65455</v>
      </c>
      <c r="F21521" t="s">
        <v>65456</v>
      </c>
      <c r="I21521" t="s">
        <v>29</v>
      </c>
      <c r="J21521" t="s">
        <v>30</v>
      </c>
      <c r="K21521" t="s">
        <v>31</v>
      </c>
      <c r="M21521" t="s">
        <v>50793</v>
      </c>
      <c r="N21521" t="str">
        <f>"2/13/2024 11:51:00 AM"</f>
        <v>2/13/2024 11:51:00 AM</v>
      </c>
      <c r="O21521" t="s">
        <v>65454</v>
      </c>
      <c r="T21521" t="s">
        <v>65455</v>
      </c>
    </row>
    <row r="21522" spans="1:20" x14ac:dyDescent="0.25">
      <c r="A21522" t="str">
        <f>"3055735"</f>
        <v>3055735</v>
      </c>
      <c r="B21522" t="s">
        <v>65458</v>
      </c>
      <c r="C21522" t="str">
        <f>"82529337"</f>
        <v>82529337</v>
      </c>
      <c r="D21522" t="s">
        <v>65455</v>
      </c>
      <c r="E21522" t="s">
        <v>65459</v>
      </c>
      <c r="F21522" t="s">
        <v>65456</v>
      </c>
      <c r="I21522" t="s">
        <v>29</v>
      </c>
      <c r="J21522" t="s">
        <v>30</v>
      </c>
      <c r="K21522" t="s">
        <v>31</v>
      </c>
      <c r="M21522" t="s">
        <v>50793</v>
      </c>
      <c r="N21522" t="str">
        <f>"2/13/2024 11:51:00 AM"</f>
        <v>2/13/2024 11:51:00 AM</v>
      </c>
      <c r="O21522" t="s">
        <v>65455</v>
      </c>
      <c r="T21522" t="s">
        <v>65459</v>
      </c>
    </row>
    <row r="21523" spans="1:20" x14ac:dyDescent="0.25">
      <c r="A21523" t="str">
        <f>"3055951"</f>
        <v>3055951</v>
      </c>
      <c r="B21523" t="s">
        <v>65460</v>
      </c>
      <c r="C21523" t="str">
        <f>"82529337"</f>
        <v>82529337</v>
      </c>
      <c r="D21523" t="s">
        <v>65455</v>
      </c>
      <c r="E21523" t="s">
        <v>65459</v>
      </c>
      <c r="F21523" t="s">
        <v>65456</v>
      </c>
      <c r="I21523" t="s">
        <v>29</v>
      </c>
      <c r="J21523" t="s">
        <v>30</v>
      </c>
      <c r="K21523" t="s">
        <v>31</v>
      </c>
      <c r="M21523" t="s">
        <v>50793</v>
      </c>
      <c r="N21523" t="str">
        <f>"2/13/2024 11:51:00 AM"</f>
        <v>2/13/2024 11:51:00 AM</v>
      </c>
      <c r="O21523" t="s">
        <v>65455</v>
      </c>
      <c r="T21523" t="s">
        <v>65459</v>
      </c>
    </row>
    <row r="21524" spans="1:20" x14ac:dyDescent="0.25">
      <c r="A21524" t="str">
        <f>"3055881"</f>
        <v>3055881</v>
      </c>
      <c r="B21524" t="s">
        <v>65461</v>
      </c>
      <c r="C21524" t="str">
        <f>"82529337"</f>
        <v>82529337</v>
      </c>
      <c r="D21524" t="s">
        <v>65455</v>
      </c>
      <c r="E21524" t="s">
        <v>65459</v>
      </c>
      <c r="F21524" t="s">
        <v>65456</v>
      </c>
      <c r="I21524" t="s">
        <v>29</v>
      </c>
      <c r="J21524" t="s">
        <v>30</v>
      </c>
      <c r="K21524" t="s">
        <v>31</v>
      </c>
      <c r="M21524" t="s">
        <v>50793</v>
      </c>
      <c r="N21524" t="str">
        <f>"2/13/2024 11:51:00 AM"</f>
        <v>2/13/2024 11:51:00 AM</v>
      </c>
      <c r="O21524" t="s">
        <v>65455</v>
      </c>
      <c r="T21524" t="s">
        <v>65459</v>
      </c>
    </row>
    <row r="21525" spans="1:20" x14ac:dyDescent="0.25">
      <c r="A21525" t="str">
        <f>"3039318"</f>
        <v>3039318</v>
      </c>
      <c r="B21525" t="s">
        <v>65462</v>
      </c>
      <c r="C21525" t="str">
        <f>"25522000"</f>
        <v>25522000</v>
      </c>
      <c r="D21525" t="s">
        <v>65463</v>
      </c>
      <c r="E21525" t="s">
        <v>65464</v>
      </c>
      <c r="F21525" t="s">
        <v>65465</v>
      </c>
      <c r="I21525" t="s">
        <v>184</v>
      </c>
      <c r="J21525" t="s">
        <v>30</v>
      </c>
      <c r="K21525" t="s">
        <v>32790</v>
      </c>
      <c r="M21525" t="s">
        <v>50621</v>
      </c>
      <c r="N21525" t="str">
        <f>"2/13/2024 8:40:00 AM"</f>
        <v>2/13/2024 8:40:00 AM</v>
      </c>
      <c r="O21525" t="s">
        <v>65463</v>
      </c>
      <c r="T21525" t="s">
        <v>65464</v>
      </c>
    </row>
    <row r="21526" spans="1:20" x14ac:dyDescent="0.25">
      <c r="A21526" t="str">
        <f>"3039342"</f>
        <v>3039342</v>
      </c>
      <c r="B21526" t="s">
        <v>65466</v>
      </c>
      <c r="C21526" t="str">
        <f>"25522000"</f>
        <v>25522000</v>
      </c>
      <c r="D21526" t="s">
        <v>65463</v>
      </c>
      <c r="E21526" t="s">
        <v>65464</v>
      </c>
      <c r="F21526" t="s">
        <v>65465</v>
      </c>
      <c r="I21526" t="s">
        <v>184</v>
      </c>
      <c r="J21526" t="s">
        <v>30</v>
      </c>
      <c r="K21526" t="s">
        <v>32790</v>
      </c>
      <c r="M21526" t="s">
        <v>50621</v>
      </c>
      <c r="N21526" t="str">
        <f>"2/13/2024 8:40:00 AM"</f>
        <v>2/13/2024 8:40:00 AM</v>
      </c>
      <c r="O21526" t="s">
        <v>65463</v>
      </c>
      <c r="T21526" t="s">
        <v>65464</v>
      </c>
    </row>
    <row r="21527" spans="1:20" x14ac:dyDescent="0.25">
      <c r="A21527" t="str">
        <f>"3039570"</f>
        <v>3039570</v>
      </c>
      <c r="B21527" t="s">
        <v>65467</v>
      </c>
      <c r="C21527" t="str">
        <f>"25522000"</f>
        <v>25522000</v>
      </c>
      <c r="D21527" t="s">
        <v>65463</v>
      </c>
      <c r="E21527" t="s">
        <v>65464</v>
      </c>
      <c r="F21527" t="s">
        <v>65465</v>
      </c>
      <c r="I21527" t="s">
        <v>184</v>
      </c>
      <c r="J21527" t="s">
        <v>30</v>
      </c>
      <c r="K21527" t="s">
        <v>32790</v>
      </c>
      <c r="M21527" t="s">
        <v>50621</v>
      </c>
      <c r="N21527" t="str">
        <f>"2/13/2024 8:40:00 AM"</f>
        <v>2/13/2024 8:40:00 AM</v>
      </c>
      <c r="O21527" t="s">
        <v>65463</v>
      </c>
      <c r="T21527" t="s">
        <v>65464</v>
      </c>
    </row>
    <row r="21528" spans="1:20" x14ac:dyDescent="0.25">
      <c r="A21528" t="str">
        <f>"3072033"</f>
        <v>3072033</v>
      </c>
      <c r="B21528" t="s">
        <v>65468</v>
      </c>
      <c r="C21528" t="str">
        <f>"25692000"</f>
        <v>25692000</v>
      </c>
      <c r="D21528" t="s">
        <v>65469</v>
      </c>
      <c r="E21528" t="s">
        <v>65470</v>
      </c>
      <c r="F21528" t="s">
        <v>65471</v>
      </c>
      <c r="I21528" t="s">
        <v>29</v>
      </c>
      <c r="J21528" t="s">
        <v>30</v>
      </c>
      <c r="K21528" t="s">
        <v>31</v>
      </c>
      <c r="M21528" t="s">
        <v>50621</v>
      </c>
      <c r="N21528" t="str">
        <f>"2/13/2024 8:47:00 AM"</f>
        <v>2/13/2024 8:47:00 AM</v>
      </c>
      <c r="O21528" t="s">
        <v>65469</v>
      </c>
      <c r="T21528" t="s">
        <v>65470</v>
      </c>
    </row>
    <row r="21529" spans="1:20" x14ac:dyDescent="0.25">
      <c r="A21529" t="str">
        <f>"3043361"</f>
        <v>3043361</v>
      </c>
      <c r="B21529" t="s">
        <v>65472</v>
      </c>
      <c r="C21529" t="str">
        <f>"8308394"</f>
        <v>8308394</v>
      </c>
      <c r="D21529" t="s">
        <v>65473</v>
      </c>
      <c r="E21529" t="s">
        <v>65474</v>
      </c>
      <c r="F21529" t="s">
        <v>65475</v>
      </c>
      <c r="I21529" t="s">
        <v>29</v>
      </c>
      <c r="J21529" t="s">
        <v>30</v>
      </c>
      <c r="K21529" t="str">
        <f>"27028"</f>
        <v>27028</v>
      </c>
      <c r="M21529" t="s">
        <v>50621</v>
      </c>
      <c r="N21529" t="str">
        <f>"2/13/2024 1:16:00 PM"</f>
        <v>2/13/2024 1:16:00 PM</v>
      </c>
      <c r="O21529" t="s">
        <v>65473</v>
      </c>
      <c r="T21529" t="s">
        <v>65474</v>
      </c>
    </row>
    <row r="21530" spans="1:20" x14ac:dyDescent="0.25">
      <c r="A21530" t="str">
        <f>"3056434"</f>
        <v>3056434</v>
      </c>
      <c r="B21530" t="s">
        <v>65476</v>
      </c>
      <c r="C21530" t="str">
        <f>"8308394"</f>
        <v>8308394</v>
      </c>
      <c r="D21530" t="s">
        <v>65473</v>
      </c>
      <c r="E21530" t="s">
        <v>65474</v>
      </c>
      <c r="F21530" t="s">
        <v>65475</v>
      </c>
      <c r="I21530" t="s">
        <v>29</v>
      </c>
      <c r="J21530" t="s">
        <v>30</v>
      </c>
      <c r="K21530" t="str">
        <f>"27028"</f>
        <v>27028</v>
      </c>
      <c r="M21530" t="s">
        <v>50621</v>
      </c>
      <c r="N21530" t="str">
        <f>"2/13/2024 1:16:00 PM"</f>
        <v>2/13/2024 1:16:00 PM</v>
      </c>
      <c r="O21530" t="s">
        <v>65473</v>
      </c>
      <c r="T21530" t="s">
        <v>65474</v>
      </c>
    </row>
    <row r="21531" spans="1:20" x14ac:dyDescent="0.25">
      <c r="A21531" t="str">
        <f>"3056802"</f>
        <v>3056802</v>
      </c>
      <c r="B21531" t="s">
        <v>65477</v>
      </c>
      <c r="C21531" t="str">
        <f>"8308394"</f>
        <v>8308394</v>
      </c>
      <c r="D21531" t="s">
        <v>65473</v>
      </c>
      <c r="E21531" t="s">
        <v>65474</v>
      </c>
      <c r="F21531" t="s">
        <v>65475</v>
      </c>
      <c r="I21531" t="s">
        <v>29</v>
      </c>
      <c r="J21531" t="s">
        <v>30</v>
      </c>
      <c r="K21531" t="str">
        <f>"27028"</f>
        <v>27028</v>
      </c>
      <c r="M21531" t="s">
        <v>50621</v>
      </c>
      <c r="N21531" t="str">
        <f>"2/13/2024 1:16:00 PM"</f>
        <v>2/13/2024 1:16:00 PM</v>
      </c>
      <c r="O21531" t="s">
        <v>65473</v>
      </c>
      <c r="T21531" t="s">
        <v>65474</v>
      </c>
    </row>
    <row r="21532" spans="1:20" x14ac:dyDescent="0.25">
      <c r="A21532" t="str">
        <f>"3044440"</f>
        <v>3044440</v>
      </c>
      <c r="B21532" t="s">
        <v>65478</v>
      </c>
      <c r="C21532" t="str">
        <f>"82523213"</f>
        <v>82523213</v>
      </c>
      <c r="D21532" t="s">
        <v>65479</v>
      </c>
      <c r="E21532" t="s">
        <v>65480</v>
      </c>
      <c r="F21532" t="s">
        <v>65481</v>
      </c>
      <c r="I21532" t="s">
        <v>184</v>
      </c>
      <c r="J21532" t="s">
        <v>30</v>
      </c>
      <c r="K21532" t="s">
        <v>5557</v>
      </c>
      <c r="M21532" t="s">
        <v>50621</v>
      </c>
      <c r="N21532" t="str">
        <f>"2/13/2024 1:17:00 PM"</f>
        <v>2/13/2024 1:17:00 PM</v>
      </c>
      <c r="O21532" t="s">
        <v>65479</v>
      </c>
      <c r="T21532" t="s">
        <v>65480</v>
      </c>
    </row>
    <row r="21533" spans="1:20" x14ac:dyDescent="0.25">
      <c r="A21533" t="str">
        <f>"3047333"</f>
        <v>3047333</v>
      </c>
      <c r="B21533" t="s">
        <v>65482</v>
      </c>
      <c r="C21533" t="str">
        <f>"8307620"</f>
        <v>8307620</v>
      </c>
      <c r="D21533" t="s">
        <v>65483</v>
      </c>
      <c r="F21533" t="s">
        <v>22627</v>
      </c>
      <c r="I21533" t="s">
        <v>29</v>
      </c>
      <c r="J21533" t="s">
        <v>30</v>
      </c>
      <c r="K21533" t="str">
        <f>"27028"</f>
        <v>27028</v>
      </c>
      <c r="M21533" t="s">
        <v>50621</v>
      </c>
      <c r="N21533" t="str">
        <f>"2/13/2024 1:25:00 PM"</f>
        <v>2/13/2024 1:25:00 PM</v>
      </c>
      <c r="O21533" t="s">
        <v>65483</v>
      </c>
    </row>
    <row r="21534" spans="1:20" x14ac:dyDescent="0.25">
      <c r="A21534" t="str">
        <f>"3042859"</f>
        <v>3042859</v>
      </c>
      <c r="B21534" t="s">
        <v>65484</v>
      </c>
      <c r="C21534" t="str">
        <f>"29463500"</f>
        <v>29463500</v>
      </c>
      <c r="D21534" t="s">
        <v>65485</v>
      </c>
      <c r="F21534" t="str">
        <f>"C/O DONALD GOBBLE"</f>
        <v>C/O DONALD GOBBLE</v>
      </c>
      <c r="G21534" t="s">
        <v>65486</v>
      </c>
      <c r="I21534" t="s">
        <v>29</v>
      </c>
      <c r="J21534" t="s">
        <v>30</v>
      </c>
      <c r="K21534" t="s">
        <v>31</v>
      </c>
      <c r="M21534" t="s">
        <v>50621</v>
      </c>
      <c r="N21534" t="str">
        <f>"2/13/2024 1:27:00 PM"</f>
        <v>2/13/2024 1:27:00 PM</v>
      </c>
      <c r="O21534" t="s">
        <v>65485</v>
      </c>
    </row>
    <row r="21535" spans="1:20" x14ac:dyDescent="0.25">
      <c r="A21535" t="str">
        <f>"3058081"</f>
        <v>3058081</v>
      </c>
      <c r="B21535" t="s">
        <v>65487</v>
      </c>
      <c r="C21535" t="str">
        <f>"8311429"</f>
        <v>8311429</v>
      </c>
      <c r="D21535" t="s">
        <v>65488</v>
      </c>
      <c r="E21535" t="s">
        <v>65489</v>
      </c>
      <c r="F21535" t="s">
        <v>65490</v>
      </c>
      <c r="I21535" t="s">
        <v>184</v>
      </c>
      <c r="J21535" t="s">
        <v>30</v>
      </c>
      <c r="K21535" t="s">
        <v>35466</v>
      </c>
      <c r="M21535" t="s">
        <v>50621</v>
      </c>
      <c r="N21535" t="str">
        <f>"2/13/2024 8:53:00 AM"</f>
        <v>2/13/2024 8:53:00 AM</v>
      </c>
      <c r="O21535" t="s">
        <v>65488</v>
      </c>
      <c r="T21535" t="s">
        <v>65489</v>
      </c>
    </row>
    <row r="21536" spans="1:20" x14ac:dyDescent="0.25">
      <c r="A21536" t="str">
        <f>"3062086"</f>
        <v>3062086</v>
      </c>
      <c r="B21536" t="s">
        <v>65491</v>
      </c>
      <c r="C21536" t="str">
        <f>"29665000"</f>
        <v>29665000</v>
      </c>
      <c r="D21536" t="s">
        <v>65492</v>
      </c>
      <c r="E21536" t="s">
        <v>65493</v>
      </c>
      <c r="F21536" t="s">
        <v>65494</v>
      </c>
      <c r="I21536" t="s">
        <v>29</v>
      </c>
      <c r="J21536" t="s">
        <v>30</v>
      </c>
      <c r="K21536" t="s">
        <v>31</v>
      </c>
      <c r="M21536" t="s">
        <v>50621</v>
      </c>
      <c r="N21536" t="str">
        <f>"2/13/2024 1:27:00 PM"</f>
        <v>2/13/2024 1:27:00 PM</v>
      </c>
      <c r="O21536" t="s">
        <v>65492</v>
      </c>
      <c r="T21536" t="s">
        <v>65493</v>
      </c>
    </row>
    <row r="21537" spans="1:20" x14ac:dyDescent="0.25">
      <c r="A21537" t="str">
        <f>"3045593"</f>
        <v>3045593</v>
      </c>
      <c r="B21537" t="s">
        <v>65495</v>
      </c>
      <c r="C21537" t="str">
        <f>"82518508"</f>
        <v>82518508</v>
      </c>
      <c r="D21537" t="s">
        <v>65496</v>
      </c>
      <c r="F21537" t="s">
        <v>65497</v>
      </c>
      <c r="I21537" t="s">
        <v>29</v>
      </c>
      <c r="J21537" t="s">
        <v>30</v>
      </c>
      <c r="K21537" t="s">
        <v>48817</v>
      </c>
      <c r="M21537" t="s">
        <v>50621</v>
      </c>
      <c r="N21537" t="str">
        <f>"2/13/2024 1:27:00 PM"</f>
        <v>2/13/2024 1:27:00 PM</v>
      </c>
      <c r="O21537" t="s">
        <v>65496</v>
      </c>
    </row>
    <row r="21538" spans="1:20" x14ac:dyDescent="0.25">
      <c r="A21538" t="str">
        <f>"3058508"</f>
        <v>3058508</v>
      </c>
      <c r="B21538" t="s">
        <v>65498</v>
      </c>
      <c r="C21538" t="str">
        <f>"29730000"</f>
        <v>29730000</v>
      </c>
      <c r="D21538" t="s">
        <v>65499</v>
      </c>
      <c r="F21538" t="s">
        <v>65500</v>
      </c>
      <c r="I21538" t="s">
        <v>29</v>
      </c>
      <c r="J21538" t="s">
        <v>30</v>
      </c>
      <c r="K21538" t="s">
        <v>31</v>
      </c>
      <c r="M21538" t="s">
        <v>50621</v>
      </c>
      <c r="N21538" t="str">
        <f>"2/13/2024 1:28:00 PM"</f>
        <v>2/13/2024 1:28:00 PM</v>
      </c>
      <c r="O21538" t="s">
        <v>65499</v>
      </c>
    </row>
    <row r="21539" spans="1:20" x14ac:dyDescent="0.25">
      <c r="A21539" t="str">
        <f>"3052669"</f>
        <v>3052669</v>
      </c>
      <c r="B21539" t="s">
        <v>65501</v>
      </c>
      <c r="C21539" t="str">
        <f>"8310964"</f>
        <v>8310964</v>
      </c>
      <c r="D21539" t="s">
        <v>65502</v>
      </c>
      <c r="F21539" t="s">
        <v>65503</v>
      </c>
      <c r="I21539" t="s">
        <v>2280</v>
      </c>
      <c r="J21539" t="s">
        <v>30</v>
      </c>
      <c r="K21539" t="s">
        <v>65504</v>
      </c>
      <c r="M21539" t="s">
        <v>50621</v>
      </c>
      <c r="N21539" t="str">
        <f>"2/13/2024 1:29:00 PM"</f>
        <v>2/13/2024 1:29:00 PM</v>
      </c>
      <c r="O21539" t="s">
        <v>65502</v>
      </c>
    </row>
    <row r="21540" spans="1:20" x14ac:dyDescent="0.25">
      <c r="A21540" t="str">
        <f>"3042771"</f>
        <v>3042771</v>
      </c>
      <c r="B21540" t="s">
        <v>65505</v>
      </c>
      <c r="C21540" t="str">
        <f>"82517442"</f>
        <v>82517442</v>
      </c>
      <c r="D21540" t="s">
        <v>65506</v>
      </c>
      <c r="F21540" t="s">
        <v>65507</v>
      </c>
      <c r="I21540" t="s">
        <v>29</v>
      </c>
      <c r="J21540" t="s">
        <v>30</v>
      </c>
      <c r="K21540" t="s">
        <v>65508</v>
      </c>
      <c r="M21540" t="s">
        <v>50621</v>
      </c>
      <c r="N21540" t="str">
        <f>"2/13/2024 1:29:00 PM"</f>
        <v>2/13/2024 1:29:00 PM</v>
      </c>
      <c r="O21540" t="s">
        <v>65506</v>
      </c>
    </row>
    <row r="21541" spans="1:20" x14ac:dyDescent="0.25">
      <c r="A21541" t="str">
        <f>"3046462"</f>
        <v>3046462</v>
      </c>
      <c r="B21541" t="s">
        <v>65509</v>
      </c>
      <c r="C21541" t="str">
        <f>"8317218"</f>
        <v>8317218</v>
      </c>
      <c r="D21541" t="s">
        <v>65510</v>
      </c>
      <c r="F21541" t="s">
        <v>65511</v>
      </c>
      <c r="I21541" t="s">
        <v>3196</v>
      </c>
      <c r="J21541" t="s">
        <v>30</v>
      </c>
      <c r="K21541" t="s">
        <v>65512</v>
      </c>
      <c r="M21541" t="s">
        <v>50621</v>
      </c>
      <c r="N21541" t="str">
        <f>"2/13/2024 1:30:00 PM"</f>
        <v>2/13/2024 1:30:00 PM</v>
      </c>
      <c r="O21541" t="s">
        <v>65510</v>
      </c>
    </row>
    <row r="21542" spans="1:20" x14ac:dyDescent="0.25">
      <c r="A21542" t="str">
        <f>"3037902"</f>
        <v>3037902</v>
      </c>
      <c r="B21542" t="s">
        <v>65513</v>
      </c>
      <c r="C21542" t="str">
        <f>"8302392"</f>
        <v>8302392</v>
      </c>
      <c r="D21542" t="s">
        <v>65514</v>
      </c>
      <c r="F21542" t="s">
        <v>65515</v>
      </c>
      <c r="I21542" t="s">
        <v>29</v>
      </c>
      <c r="J21542" t="s">
        <v>30</v>
      </c>
      <c r="K21542" t="str">
        <f>"27028"</f>
        <v>27028</v>
      </c>
      <c r="M21542" t="s">
        <v>50621</v>
      </c>
      <c r="N21542" t="str">
        <f>"2/13/2024 1:32:00 PM"</f>
        <v>2/13/2024 1:32:00 PM</v>
      </c>
      <c r="O21542" t="s">
        <v>65514</v>
      </c>
    </row>
    <row r="21543" spans="1:20" x14ac:dyDescent="0.25">
      <c r="A21543" t="str">
        <f>"3055280"</f>
        <v>3055280</v>
      </c>
      <c r="B21543" t="s">
        <v>65516</v>
      </c>
      <c r="C21543" t="str">
        <f>"8313416"</f>
        <v>8313416</v>
      </c>
      <c r="D21543" t="s">
        <v>65517</v>
      </c>
      <c r="E21543" t="s">
        <v>65518</v>
      </c>
      <c r="F21543" t="s">
        <v>65519</v>
      </c>
      <c r="I21543" t="s">
        <v>29</v>
      </c>
      <c r="J21543" t="s">
        <v>30</v>
      </c>
      <c r="K21543" t="s">
        <v>56535</v>
      </c>
      <c r="M21543" t="s">
        <v>50621</v>
      </c>
      <c r="N21543" t="str">
        <f>"2/13/2024 1:35:00 PM"</f>
        <v>2/13/2024 1:35:00 PM</v>
      </c>
      <c r="O21543" t="s">
        <v>65517</v>
      </c>
      <c r="T21543" t="s">
        <v>65518</v>
      </c>
    </row>
    <row r="21544" spans="1:20" x14ac:dyDescent="0.25">
      <c r="A21544" t="str">
        <f>"3056801"</f>
        <v>3056801</v>
      </c>
      <c r="B21544" t="s">
        <v>65520</v>
      </c>
      <c r="C21544" t="str">
        <f>"8317745"</f>
        <v>8317745</v>
      </c>
      <c r="D21544" t="s">
        <v>65521</v>
      </c>
      <c r="F21544" t="s">
        <v>65522</v>
      </c>
      <c r="I21544" t="s">
        <v>29</v>
      </c>
      <c r="J21544" t="s">
        <v>30</v>
      </c>
      <c r="K21544" t="s">
        <v>16678</v>
      </c>
      <c r="M21544" t="s">
        <v>50621</v>
      </c>
      <c r="N21544" t="str">
        <f>"2/13/2024 8:54:00 AM"</f>
        <v>2/13/2024 8:54:00 AM</v>
      </c>
      <c r="O21544" t="s">
        <v>65521</v>
      </c>
    </row>
    <row r="21545" spans="1:20" x14ac:dyDescent="0.25">
      <c r="A21545" t="str">
        <f>"3061278"</f>
        <v>3061278</v>
      </c>
      <c r="B21545" t="s">
        <v>65523</v>
      </c>
      <c r="C21545" t="str">
        <f>"8320978"</f>
        <v>8320978</v>
      </c>
      <c r="D21545" t="s">
        <v>65524</v>
      </c>
      <c r="E21545" t="s">
        <v>65525</v>
      </c>
      <c r="F21545" t="s">
        <v>65526</v>
      </c>
      <c r="I21545" t="s">
        <v>2071</v>
      </c>
      <c r="J21545" t="s">
        <v>30</v>
      </c>
      <c r="K21545" t="str">
        <f>"27006"</f>
        <v>27006</v>
      </c>
      <c r="M21545" t="s">
        <v>18470</v>
      </c>
      <c r="N21545" t="str">
        <f>"2/13/2024 8:56:00 AM"</f>
        <v>2/13/2024 8:56:00 AM</v>
      </c>
      <c r="O21545" t="s">
        <v>65524</v>
      </c>
      <c r="T21545" t="s">
        <v>65525</v>
      </c>
    </row>
    <row r="21546" spans="1:20" x14ac:dyDescent="0.25">
      <c r="A21546" t="str">
        <f>"3045636"</f>
        <v>3045636</v>
      </c>
      <c r="B21546" t="s">
        <v>65527</v>
      </c>
      <c r="C21546" t="str">
        <f>"82530816"</f>
        <v>82530816</v>
      </c>
      <c r="D21546" t="s">
        <v>65528</v>
      </c>
      <c r="F21546" t="s">
        <v>65529</v>
      </c>
      <c r="I21546" t="s">
        <v>1149</v>
      </c>
      <c r="J21546" t="s">
        <v>30</v>
      </c>
      <c r="K21546" t="s">
        <v>1150</v>
      </c>
      <c r="M21546" t="s">
        <v>50621</v>
      </c>
      <c r="N21546" t="str">
        <f>"2/13/2024 9:15:00 AM"</f>
        <v>2/13/2024 9:15:00 AM</v>
      </c>
      <c r="O21546" t="s">
        <v>65528</v>
      </c>
    </row>
    <row r="21547" spans="1:20" x14ac:dyDescent="0.25">
      <c r="A21547" t="str">
        <f>"3043920"</f>
        <v>3043920</v>
      </c>
      <c r="B21547" t="s">
        <v>65530</v>
      </c>
      <c r="C21547" t="str">
        <f>"82528177"</f>
        <v>82528177</v>
      </c>
      <c r="D21547" t="s">
        <v>65314</v>
      </c>
      <c r="F21547" t="s">
        <v>65315</v>
      </c>
      <c r="I21547" t="s">
        <v>184</v>
      </c>
      <c r="J21547" t="s">
        <v>30</v>
      </c>
      <c r="K21547" t="s">
        <v>185</v>
      </c>
      <c r="M21547" t="s">
        <v>50793</v>
      </c>
      <c r="N21547" t="str">
        <f>"2/13/2024 9:41:00 AM"</f>
        <v>2/13/2024 9:41:00 AM</v>
      </c>
      <c r="O21547" t="s">
        <v>65314</v>
      </c>
    </row>
    <row r="21548" spans="1:20" x14ac:dyDescent="0.25">
      <c r="A21548" t="str">
        <f>"3054322"</f>
        <v>3054322</v>
      </c>
      <c r="B21548" t="s">
        <v>65531</v>
      </c>
      <c r="C21548" t="str">
        <f>"8306702"</f>
        <v>8306702</v>
      </c>
      <c r="D21548" t="s">
        <v>65532</v>
      </c>
      <c r="F21548" t="s">
        <v>65533</v>
      </c>
      <c r="I21548" t="s">
        <v>2280</v>
      </c>
      <c r="J21548" t="s">
        <v>30</v>
      </c>
      <c r="K21548" t="str">
        <f>"27292"</f>
        <v>27292</v>
      </c>
      <c r="M21548" t="s">
        <v>50793</v>
      </c>
      <c r="N21548" t="str">
        <f>"2/13/2024 9:56:00 AM"</f>
        <v>2/13/2024 9:56:00 AM</v>
      </c>
      <c r="O21548" t="s">
        <v>65532</v>
      </c>
    </row>
    <row r="21549" spans="1:20" x14ac:dyDescent="0.25">
      <c r="A21549" t="str">
        <f>"3057708"</f>
        <v>3057708</v>
      </c>
      <c r="B21549" t="s">
        <v>65534</v>
      </c>
      <c r="C21549" t="str">
        <f>"8309116"</f>
        <v>8309116</v>
      </c>
      <c r="D21549" t="s">
        <v>65535</v>
      </c>
      <c r="F21549" t="s">
        <v>50764</v>
      </c>
      <c r="I21549" t="s">
        <v>29</v>
      </c>
      <c r="J21549" t="s">
        <v>30</v>
      </c>
      <c r="K21549" t="s">
        <v>15867</v>
      </c>
      <c r="M21549" t="s">
        <v>50793</v>
      </c>
      <c r="N21549" t="str">
        <f>"2/13/2024 10:21:00 AM"</f>
        <v>2/13/2024 10:21:00 AM</v>
      </c>
      <c r="O21549" t="s">
        <v>65535</v>
      </c>
    </row>
    <row r="21550" spans="1:20" x14ac:dyDescent="0.25">
      <c r="A21550" t="str">
        <f>"3057500"</f>
        <v>3057500</v>
      </c>
      <c r="B21550" t="s">
        <v>65536</v>
      </c>
      <c r="C21550" t="str">
        <f>"82519615"</f>
        <v>82519615</v>
      </c>
      <c r="D21550" t="s">
        <v>65537</v>
      </c>
      <c r="E21550" t="s">
        <v>65538</v>
      </c>
      <c r="F21550" t="s">
        <v>65539</v>
      </c>
      <c r="I21550" t="s">
        <v>49</v>
      </c>
      <c r="J21550" t="s">
        <v>30</v>
      </c>
      <c r="K21550" t="s">
        <v>65540</v>
      </c>
      <c r="M21550" t="s">
        <v>50621</v>
      </c>
      <c r="N21550" t="str">
        <f>"2/13/2024 1:44:00 PM"</f>
        <v>2/13/2024 1:44:00 PM</v>
      </c>
      <c r="O21550" t="s">
        <v>65537</v>
      </c>
      <c r="T21550" t="s">
        <v>65538</v>
      </c>
    </row>
    <row r="21551" spans="1:20" x14ac:dyDescent="0.25">
      <c r="A21551" t="str">
        <f>"3060385"</f>
        <v>3060385</v>
      </c>
      <c r="B21551" t="s">
        <v>65541</v>
      </c>
      <c r="C21551" t="str">
        <f>"82519615"</f>
        <v>82519615</v>
      </c>
      <c r="D21551" t="s">
        <v>65537</v>
      </c>
      <c r="E21551" t="s">
        <v>65538</v>
      </c>
      <c r="F21551" t="s">
        <v>65539</v>
      </c>
      <c r="I21551" t="s">
        <v>49</v>
      </c>
      <c r="J21551" t="s">
        <v>30</v>
      </c>
      <c r="K21551" t="s">
        <v>65540</v>
      </c>
      <c r="M21551" t="s">
        <v>50621</v>
      </c>
      <c r="N21551" t="str">
        <f>"2/13/2024 1:44:00 PM"</f>
        <v>2/13/2024 1:44:00 PM</v>
      </c>
      <c r="O21551" t="s">
        <v>65537</v>
      </c>
      <c r="T21551" t="s">
        <v>65538</v>
      </c>
    </row>
    <row r="21552" spans="1:20" x14ac:dyDescent="0.25">
      <c r="A21552" t="str">
        <f>"3045511"</f>
        <v>3045511</v>
      </c>
      <c r="B21552" t="s">
        <v>65542</v>
      </c>
      <c r="C21552" t="str">
        <f>"82526263"</f>
        <v>82526263</v>
      </c>
      <c r="D21552" t="s">
        <v>65543</v>
      </c>
      <c r="F21552" t="s">
        <v>65544</v>
      </c>
      <c r="I21552" t="s">
        <v>29</v>
      </c>
      <c r="J21552" t="s">
        <v>30</v>
      </c>
      <c r="K21552" t="s">
        <v>31</v>
      </c>
      <c r="M21552" t="s">
        <v>50621</v>
      </c>
      <c r="N21552" t="str">
        <f>"2/13/2024 1:45:00 PM"</f>
        <v>2/13/2024 1:45:00 PM</v>
      </c>
      <c r="O21552" t="s">
        <v>65543</v>
      </c>
      <c r="T21552" t="s">
        <v>65543</v>
      </c>
    </row>
    <row r="21553" spans="1:20" x14ac:dyDescent="0.25">
      <c r="A21553" t="str">
        <f>"3050141"</f>
        <v>3050141</v>
      </c>
      <c r="B21553" t="s">
        <v>65545</v>
      </c>
      <c r="C21553" t="str">
        <f>"57459440"</f>
        <v>57459440</v>
      </c>
      <c r="D21553" t="s">
        <v>65546</v>
      </c>
      <c r="E21553" t="s">
        <v>65547</v>
      </c>
      <c r="F21553" t="s">
        <v>65548</v>
      </c>
      <c r="I21553" t="s">
        <v>29</v>
      </c>
      <c r="J21553" t="s">
        <v>30</v>
      </c>
      <c r="K21553" t="s">
        <v>65549</v>
      </c>
      <c r="M21553" t="s">
        <v>50793</v>
      </c>
      <c r="N21553" t="str">
        <f>"2/13/2024 10:22:00 AM"</f>
        <v>2/13/2024 10:22:00 AM</v>
      </c>
      <c r="O21553" t="s">
        <v>65546</v>
      </c>
      <c r="T21553" t="s">
        <v>65547</v>
      </c>
    </row>
    <row r="21554" spans="1:20" x14ac:dyDescent="0.25">
      <c r="A21554" t="str">
        <f>"3053222"</f>
        <v>3053222</v>
      </c>
      <c r="B21554" t="s">
        <v>65550</v>
      </c>
      <c r="C21554" t="str">
        <f>"8304983"</f>
        <v>8304983</v>
      </c>
      <c r="D21554" t="s">
        <v>65551</v>
      </c>
      <c r="F21554" t="s">
        <v>65552</v>
      </c>
      <c r="I21554" t="s">
        <v>29</v>
      </c>
      <c r="J21554" t="s">
        <v>30</v>
      </c>
      <c r="K21554" t="str">
        <f>"27028"</f>
        <v>27028</v>
      </c>
      <c r="M21554" t="s">
        <v>50793</v>
      </c>
      <c r="N21554" t="str">
        <f>"2/13/2024 10:25:00 AM"</f>
        <v>2/13/2024 10:25:00 AM</v>
      </c>
      <c r="O21554" t="s">
        <v>65551</v>
      </c>
    </row>
    <row r="21555" spans="1:20" x14ac:dyDescent="0.25">
      <c r="A21555" t="str">
        <f>"3040783"</f>
        <v>3040783</v>
      </c>
      <c r="B21555" t="s">
        <v>65553</v>
      </c>
      <c r="C21555" t="str">
        <f>"31304000"</f>
        <v>31304000</v>
      </c>
      <c r="D21555" t="s">
        <v>65554</v>
      </c>
      <c r="E21555" t="s">
        <v>65555</v>
      </c>
      <c r="F21555" t="s">
        <v>65556</v>
      </c>
      <c r="I21555" t="s">
        <v>184</v>
      </c>
      <c r="J21555" t="s">
        <v>30</v>
      </c>
      <c r="K21555" t="s">
        <v>185</v>
      </c>
      <c r="M21555" t="s">
        <v>50621</v>
      </c>
      <c r="N21555" t="str">
        <f>"2/13/2024 1:46:00 PM"</f>
        <v>2/13/2024 1:46:00 PM</v>
      </c>
      <c r="O21555" t="s">
        <v>65554</v>
      </c>
      <c r="T21555" t="s">
        <v>65555</v>
      </c>
    </row>
    <row r="21556" spans="1:20" x14ac:dyDescent="0.25">
      <c r="A21556" t="str">
        <f>"3042681"</f>
        <v>3042681</v>
      </c>
      <c r="B21556" t="s">
        <v>65557</v>
      </c>
      <c r="C21556" t="str">
        <f>"31333000"</f>
        <v>31333000</v>
      </c>
      <c r="D21556" t="s">
        <v>65558</v>
      </c>
      <c r="E21556" t="s">
        <v>65559</v>
      </c>
      <c r="F21556" t="s">
        <v>65560</v>
      </c>
      <c r="I21556" t="s">
        <v>29</v>
      </c>
      <c r="J21556" t="s">
        <v>30</v>
      </c>
      <c r="K21556" t="s">
        <v>46227</v>
      </c>
      <c r="M21556" t="s">
        <v>50621</v>
      </c>
      <c r="N21556" t="str">
        <f>"2/13/2024 1:47:00 PM"</f>
        <v>2/13/2024 1:47:00 PM</v>
      </c>
      <c r="O21556" t="s">
        <v>65558</v>
      </c>
      <c r="T21556" t="s">
        <v>65559</v>
      </c>
    </row>
    <row r="21557" spans="1:20" x14ac:dyDescent="0.25">
      <c r="A21557" t="str">
        <f>"3046810"</f>
        <v>3046810</v>
      </c>
      <c r="B21557" t="s">
        <v>65561</v>
      </c>
      <c r="C21557" t="str">
        <f>"31336000"</f>
        <v>31336000</v>
      </c>
      <c r="D21557" t="s">
        <v>65562</v>
      </c>
      <c r="E21557" t="s">
        <v>65563</v>
      </c>
      <c r="F21557" t="s">
        <v>65564</v>
      </c>
      <c r="I21557" t="s">
        <v>184</v>
      </c>
      <c r="J21557" t="s">
        <v>30</v>
      </c>
      <c r="K21557" t="s">
        <v>38474</v>
      </c>
      <c r="M21557" t="s">
        <v>50621</v>
      </c>
      <c r="N21557" t="str">
        <f>"2/13/2024 1:47:00 PM"</f>
        <v>2/13/2024 1:47:00 PM</v>
      </c>
      <c r="O21557" t="s">
        <v>65562</v>
      </c>
      <c r="T21557" t="s">
        <v>65563</v>
      </c>
    </row>
    <row r="21558" spans="1:20" x14ac:dyDescent="0.25">
      <c r="A21558" t="str">
        <f>"3038591"</f>
        <v>3038591</v>
      </c>
      <c r="B21558" t="s">
        <v>65565</v>
      </c>
      <c r="C21558" t="str">
        <f>"8320071"</f>
        <v>8320071</v>
      </c>
      <c r="D21558" t="s">
        <v>65566</v>
      </c>
      <c r="E21558" t="s">
        <v>65567</v>
      </c>
      <c r="F21558" t="s">
        <v>65568</v>
      </c>
      <c r="I21558" t="s">
        <v>17510</v>
      </c>
      <c r="J21558" t="s">
        <v>17511</v>
      </c>
      <c r="K21558" t="s">
        <v>65569</v>
      </c>
      <c r="M21558" t="s">
        <v>50621</v>
      </c>
      <c r="N21558" t="str">
        <f>"2/13/2024 1:49:00 PM"</f>
        <v>2/13/2024 1:49:00 PM</v>
      </c>
      <c r="O21558" t="s">
        <v>65566</v>
      </c>
      <c r="T21558" t="s">
        <v>65567</v>
      </c>
    </row>
    <row r="21559" spans="1:20" x14ac:dyDescent="0.25">
      <c r="A21559" t="str">
        <f>"3053718"</f>
        <v>3053718</v>
      </c>
      <c r="B21559" t="s">
        <v>65570</v>
      </c>
      <c r="C21559" t="str">
        <f>"82530909"</f>
        <v>82530909</v>
      </c>
      <c r="D21559" t="s">
        <v>65571</v>
      </c>
      <c r="E21559" t="s">
        <v>65572</v>
      </c>
      <c r="F21559" t="s">
        <v>65573</v>
      </c>
      <c r="I21559" t="s">
        <v>29</v>
      </c>
      <c r="J21559" t="s">
        <v>30</v>
      </c>
      <c r="K21559" t="s">
        <v>31</v>
      </c>
      <c r="M21559" t="s">
        <v>50621</v>
      </c>
      <c r="N21559" t="str">
        <f>"2/13/2024 1:51:00 PM"</f>
        <v>2/13/2024 1:51:00 PM</v>
      </c>
      <c r="O21559" t="s">
        <v>65571</v>
      </c>
      <c r="T21559" t="s">
        <v>65572</v>
      </c>
    </row>
    <row r="21560" spans="1:20" x14ac:dyDescent="0.25">
      <c r="A21560" t="str">
        <f>"3053566"</f>
        <v>3053566</v>
      </c>
      <c r="B21560" t="s">
        <v>65574</v>
      </c>
      <c r="C21560" t="str">
        <f>"31460000"</f>
        <v>31460000</v>
      </c>
      <c r="D21560" t="s">
        <v>65575</v>
      </c>
      <c r="E21560" t="s">
        <v>65576</v>
      </c>
      <c r="F21560" t="s">
        <v>41292</v>
      </c>
      <c r="I21560" t="s">
        <v>29</v>
      </c>
      <c r="K21560" t="s">
        <v>31</v>
      </c>
      <c r="M21560" t="s">
        <v>50621</v>
      </c>
      <c r="N21560" t="str">
        <f>"2/13/2024 1:52:00 PM"</f>
        <v>2/13/2024 1:52:00 PM</v>
      </c>
      <c r="O21560" t="s">
        <v>65575</v>
      </c>
      <c r="T21560" t="s">
        <v>65576</v>
      </c>
    </row>
    <row r="21561" spans="1:20" x14ac:dyDescent="0.25">
      <c r="A21561" t="str">
        <f>"3053372"</f>
        <v>3053372</v>
      </c>
      <c r="B21561" t="s">
        <v>65577</v>
      </c>
      <c r="C21561" t="str">
        <f>"8304983"</f>
        <v>8304983</v>
      </c>
      <c r="D21561" t="s">
        <v>65551</v>
      </c>
      <c r="F21561" t="s">
        <v>65552</v>
      </c>
      <c r="I21561" t="s">
        <v>29</v>
      </c>
      <c r="J21561" t="s">
        <v>30</v>
      </c>
      <c r="K21561" t="str">
        <f>"27028"</f>
        <v>27028</v>
      </c>
      <c r="M21561" t="s">
        <v>50793</v>
      </c>
      <c r="N21561" t="str">
        <f>"2/13/2024 10:25:00 AM"</f>
        <v>2/13/2024 10:25:00 AM</v>
      </c>
      <c r="O21561" t="s">
        <v>65551</v>
      </c>
    </row>
    <row r="21562" spans="1:20" x14ac:dyDescent="0.25">
      <c r="A21562" t="str">
        <f>"3048474"</f>
        <v>3048474</v>
      </c>
      <c r="B21562" t="s">
        <v>65578</v>
      </c>
      <c r="C21562" t="str">
        <f>"28482000"</f>
        <v>28482000</v>
      </c>
      <c r="D21562" t="s">
        <v>65391</v>
      </c>
      <c r="F21562" t="s">
        <v>65392</v>
      </c>
      <c r="G21562" t="s">
        <v>9336</v>
      </c>
      <c r="I21562" t="s">
        <v>29</v>
      </c>
      <c r="J21562" t="s">
        <v>30</v>
      </c>
      <c r="K21562" t="s">
        <v>31</v>
      </c>
      <c r="M21562" t="s">
        <v>50621</v>
      </c>
      <c r="N21562" t="str">
        <f>"2/13/2024 10:48:00 AM"</f>
        <v>2/13/2024 10:48:00 AM</v>
      </c>
      <c r="O21562" t="s">
        <v>65391</v>
      </c>
    </row>
    <row r="21563" spans="1:20" x14ac:dyDescent="0.25">
      <c r="A21563" t="str">
        <f>"3045397"</f>
        <v>3045397</v>
      </c>
      <c r="B21563" t="s">
        <v>65579</v>
      </c>
      <c r="C21563" t="str">
        <f>"58568000"</f>
        <v>58568000</v>
      </c>
      <c r="D21563" t="s">
        <v>65580</v>
      </c>
      <c r="E21563" t="s">
        <v>65581</v>
      </c>
      <c r="F21563" t="s">
        <v>65582</v>
      </c>
      <c r="I21563" t="s">
        <v>964</v>
      </c>
      <c r="J21563" t="s">
        <v>30</v>
      </c>
      <c r="K21563" t="s">
        <v>11521</v>
      </c>
      <c r="M21563" t="s">
        <v>50793</v>
      </c>
      <c r="N21563" t="str">
        <f>"2/13/2024 11:06:00 AM"</f>
        <v>2/13/2024 11:06:00 AM</v>
      </c>
      <c r="O21563" t="s">
        <v>65580</v>
      </c>
      <c r="T21563" t="s">
        <v>65581</v>
      </c>
    </row>
    <row r="21564" spans="1:20" x14ac:dyDescent="0.25">
      <c r="A21564" t="str">
        <f>"3054953"</f>
        <v>3054953</v>
      </c>
      <c r="B21564" t="s">
        <v>65583</v>
      </c>
      <c r="C21564" t="str">
        <f>"8310462"</f>
        <v>8310462</v>
      </c>
      <c r="D21564" t="s">
        <v>65584</v>
      </c>
      <c r="E21564" t="s">
        <v>65585</v>
      </c>
      <c r="F21564" t="s">
        <v>65586</v>
      </c>
      <c r="I21564" t="s">
        <v>30550</v>
      </c>
      <c r="J21564" t="s">
        <v>30</v>
      </c>
      <c r="K21564" t="str">
        <f>"28801"</f>
        <v>28801</v>
      </c>
      <c r="M21564" t="s">
        <v>50621</v>
      </c>
      <c r="N21564" t="str">
        <f>"2/13/2024 1:59:00 PM"</f>
        <v>2/13/2024 1:59:00 PM</v>
      </c>
      <c r="O21564" t="s">
        <v>65584</v>
      </c>
      <c r="T21564" t="s">
        <v>65585</v>
      </c>
    </row>
    <row r="21565" spans="1:20" x14ac:dyDescent="0.25">
      <c r="A21565" t="str">
        <f>"3078083"</f>
        <v>3078083</v>
      </c>
      <c r="B21565" t="s">
        <v>65587</v>
      </c>
      <c r="C21565" t="str">
        <f>"8321926"</f>
        <v>8321926</v>
      </c>
      <c r="D21565" t="s">
        <v>65588</v>
      </c>
      <c r="F21565" t="s">
        <v>65589</v>
      </c>
      <c r="I21565" t="s">
        <v>29</v>
      </c>
      <c r="J21565" t="s">
        <v>30</v>
      </c>
      <c r="K21565" t="s">
        <v>9626</v>
      </c>
      <c r="M21565" t="s">
        <v>50500</v>
      </c>
      <c r="N21565" t="str">
        <f>"2/13/2024 3:11:00 PM"</f>
        <v>2/13/2024 3:11:00 PM</v>
      </c>
      <c r="O21565" t="s">
        <v>65588</v>
      </c>
    </row>
    <row r="21566" spans="1:20" x14ac:dyDescent="0.25">
      <c r="A21566" t="str">
        <f>"3058624"</f>
        <v>3058624</v>
      </c>
      <c r="B21566" t="s">
        <v>65590</v>
      </c>
      <c r="C21566" t="str">
        <f>"8321927"</f>
        <v>8321927</v>
      </c>
      <c r="D21566" t="s">
        <v>65591</v>
      </c>
      <c r="F21566" t="s">
        <v>65592</v>
      </c>
      <c r="I21566" t="s">
        <v>184</v>
      </c>
      <c r="J21566" t="s">
        <v>30</v>
      </c>
      <c r="K21566" t="s">
        <v>63671</v>
      </c>
      <c r="M21566" t="s">
        <v>50500</v>
      </c>
      <c r="N21566" t="str">
        <f>"2/13/2024 3:22:00 PM"</f>
        <v>2/13/2024 3:22:00 PM</v>
      </c>
      <c r="O21566" t="s">
        <v>65591</v>
      </c>
    </row>
    <row r="21567" spans="1:20" x14ac:dyDescent="0.25">
      <c r="A21567" t="str">
        <f>"3041936"</f>
        <v>3041936</v>
      </c>
      <c r="B21567" t="s">
        <v>65593</v>
      </c>
      <c r="C21567" t="str">
        <f>"8310826"</f>
        <v>8310826</v>
      </c>
      <c r="D21567" t="s">
        <v>65594</v>
      </c>
      <c r="E21567" t="s">
        <v>65595</v>
      </c>
      <c r="F21567" t="s">
        <v>65596</v>
      </c>
      <c r="I21567" t="s">
        <v>2071</v>
      </c>
      <c r="J21567" t="s">
        <v>30</v>
      </c>
      <c r="K21567" t="s">
        <v>64207</v>
      </c>
      <c r="M21567" t="s">
        <v>50500</v>
      </c>
      <c r="N21567" t="str">
        <f>"2/13/2024 3:56:00 PM"</f>
        <v>2/13/2024 3:56:00 PM</v>
      </c>
      <c r="O21567" t="s">
        <v>65594</v>
      </c>
      <c r="T21567" t="s">
        <v>65595</v>
      </c>
    </row>
    <row r="21568" spans="1:20" x14ac:dyDescent="0.25">
      <c r="A21568" t="str">
        <f>"3040232"</f>
        <v>3040232</v>
      </c>
      <c r="B21568" t="s">
        <v>65597</v>
      </c>
      <c r="C21568" t="str">
        <f t="shared" ref="C21568:C21573" si="332">"8301096"</f>
        <v>8301096</v>
      </c>
      <c r="D21568" t="s">
        <v>65598</v>
      </c>
      <c r="F21568" t="s">
        <v>65599</v>
      </c>
      <c r="I21568" t="s">
        <v>65600</v>
      </c>
      <c r="J21568" t="s">
        <v>11346</v>
      </c>
      <c r="K21568" t="str">
        <f t="shared" ref="K21568:K21573" si="333">"37804"</f>
        <v>37804</v>
      </c>
      <c r="M21568" t="s">
        <v>50500</v>
      </c>
      <c r="N21568" t="str">
        <f t="shared" ref="N21568:N21573" si="334">"2/13/2024 4:03:00 PM"</f>
        <v>2/13/2024 4:03:00 PM</v>
      </c>
      <c r="O21568" t="s">
        <v>65598</v>
      </c>
    </row>
    <row r="21569" spans="1:20" x14ac:dyDescent="0.25">
      <c r="A21569" t="str">
        <f>"3046838"</f>
        <v>3046838</v>
      </c>
      <c r="B21569" t="s">
        <v>65601</v>
      </c>
      <c r="C21569" t="str">
        <f t="shared" si="332"/>
        <v>8301096</v>
      </c>
      <c r="D21569" t="s">
        <v>65598</v>
      </c>
      <c r="F21569" t="s">
        <v>65599</v>
      </c>
      <c r="I21569" t="s">
        <v>65600</v>
      </c>
      <c r="J21569" t="s">
        <v>11346</v>
      </c>
      <c r="K21569" t="str">
        <f t="shared" si="333"/>
        <v>37804</v>
      </c>
      <c r="M21569" t="s">
        <v>50500</v>
      </c>
      <c r="N21569" t="str">
        <f t="shared" si="334"/>
        <v>2/13/2024 4:03:00 PM</v>
      </c>
      <c r="O21569" t="s">
        <v>65598</v>
      </c>
    </row>
    <row r="21570" spans="1:20" x14ac:dyDescent="0.25">
      <c r="A21570" t="str">
        <f>"3045220"</f>
        <v>3045220</v>
      </c>
      <c r="B21570" t="s">
        <v>65602</v>
      </c>
      <c r="C21570" t="str">
        <f t="shared" si="332"/>
        <v>8301096</v>
      </c>
      <c r="D21570" t="s">
        <v>65598</v>
      </c>
      <c r="F21570" t="s">
        <v>65599</v>
      </c>
      <c r="I21570" t="s">
        <v>65600</v>
      </c>
      <c r="J21570" t="s">
        <v>11346</v>
      </c>
      <c r="K21570" t="str">
        <f t="shared" si="333"/>
        <v>37804</v>
      </c>
      <c r="M21570" t="s">
        <v>50500</v>
      </c>
      <c r="N21570" t="str">
        <f t="shared" si="334"/>
        <v>2/13/2024 4:03:00 PM</v>
      </c>
      <c r="O21570" t="s">
        <v>65598</v>
      </c>
    </row>
    <row r="21571" spans="1:20" x14ac:dyDescent="0.25">
      <c r="A21571" t="str">
        <f>"3046413"</f>
        <v>3046413</v>
      </c>
      <c r="B21571" t="s">
        <v>65603</v>
      </c>
      <c r="C21571" t="str">
        <f t="shared" si="332"/>
        <v>8301096</v>
      </c>
      <c r="D21571" t="s">
        <v>65598</v>
      </c>
      <c r="F21571" t="s">
        <v>65599</v>
      </c>
      <c r="I21571" t="s">
        <v>65600</v>
      </c>
      <c r="J21571" t="s">
        <v>11346</v>
      </c>
      <c r="K21571" t="str">
        <f t="shared" si="333"/>
        <v>37804</v>
      </c>
      <c r="M21571" t="s">
        <v>50500</v>
      </c>
      <c r="N21571" t="str">
        <f t="shared" si="334"/>
        <v>2/13/2024 4:03:00 PM</v>
      </c>
      <c r="O21571" t="s">
        <v>65598</v>
      </c>
    </row>
    <row r="21572" spans="1:20" x14ac:dyDescent="0.25">
      <c r="A21572" t="str">
        <f>"3048922"</f>
        <v>3048922</v>
      </c>
      <c r="B21572" t="s">
        <v>65604</v>
      </c>
      <c r="C21572" t="str">
        <f t="shared" si="332"/>
        <v>8301096</v>
      </c>
      <c r="D21572" t="s">
        <v>65598</v>
      </c>
      <c r="F21572" t="s">
        <v>65599</v>
      </c>
      <c r="I21572" t="s">
        <v>65600</v>
      </c>
      <c r="J21572" t="s">
        <v>11346</v>
      </c>
      <c r="K21572" t="str">
        <f t="shared" si="333"/>
        <v>37804</v>
      </c>
      <c r="M21572" t="s">
        <v>50500</v>
      </c>
      <c r="N21572" t="str">
        <f t="shared" si="334"/>
        <v>2/13/2024 4:03:00 PM</v>
      </c>
      <c r="O21572" t="s">
        <v>65598</v>
      </c>
    </row>
    <row r="21573" spans="1:20" x14ac:dyDescent="0.25">
      <c r="A21573" t="str">
        <f>"3078784"</f>
        <v>3078784</v>
      </c>
      <c r="B21573" t="s">
        <v>65605</v>
      </c>
      <c r="C21573" t="str">
        <f t="shared" si="332"/>
        <v>8301096</v>
      </c>
      <c r="D21573" t="s">
        <v>65598</v>
      </c>
      <c r="F21573" t="s">
        <v>65599</v>
      </c>
      <c r="I21573" t="s">
        <v>65600</v>
      </c>
      <c r="J21573" t="s">
        <v>11346</v>
      </c>
      <c r="K21573" t="str">
        <f t="shared" si="333"/>
        <v>37804</v>
      </c>
      <c r="M21573" t="s">
        <v>50500</v>
      </c>
      <c r="N21573" t="str">
        <f t="shared" si="334"/>
        <v>2/13/2024 4:03:00 PM</v>
      </c>
      <c r="O21573" t="s">
        <v>65598</v>
      </c>
    </row>
    <row r="21574" spans="1:20" x14ac:dyDescent="0.25">
      <c r="A21574" t="str">
        <f>"3078661"</f>
        <v>3078661</v>
      </c>
      <c r="B21574" t="s">
        <v>65606</v>
      </c>
      <c r="C21574" t="str">
        <f>"8321928"</f>
        <v>8321928</v>
      </c>
      <c r="D21574" t="s">
        <v>65607</v>
      </c>
      <c r="E21574" t="s">
        <v>65608</v>
      </c>
      <c r="F21574" t="s">
        <v>65609</v>
      </c>
      <c r="I21574" t="s">
        <v>29</v>
      </c>
      <c r="J21574" t="s">
        <v>30</v>
      </c>
      <c r="K21574" t="s">
        <v>27246</v>
      </c>
      <c r="M21574" t="s">
        <v>50500</v>
      </c>
      <c r="N21574" t="str">
        <f>"2/13/2024 4:12:00 PM"</f>
        <v>2/13/2024 4:12:00 PM</v>
      </c>
      <c r="O21574" t="s">
        <v>65607</v>
      </c>
      <c r="T21574" t="s">
        <v>65608</v>
      </c>
    </row>
    <row r="21575" spans="1:20" x14ac:dyDescent="0.25">
      <c r="A21575" t="str">
        <f>"3059217"</f>
        <v>3059217</v>
      </c>
      <c r="B21575" t="s">
        <v>65610</v>
      </c>
      <c r="C21575" t="str">
        <f>"8307051"</f>
        <v>8307051</v>
      </c>
      <c r="D21575" t="s">
        <v>65611</v>
      </c>
      <c r="E21575" t="s">
        <v>65612</v>
      </c>
      <c r="F21575" t="s">
        <v>65613</v>
      </c>
      <c r="I21575" t="s">
        <v>29</v>
      </c>
      <c r="J21575" t="s">
        <v>30</v>
      </c>
      <c r="K21575" t="str">
        <f>"27028"</f>
        <v>27028</v>
      </c>
      <c r="M21575" t="s">
        <v>50793</v>
      </c>
      <c r="N21575" t="str">
        <f>"2/13/2024 11:10:00 AM"</f>
        <v>2/13/2024 11:10:00 AM</v>
      </c>
      <c r="O21575" t="s">
        <v>65611</v>
      </c>
      <c r="T21575" t="s">
        <v>65612</v>
      </c>
    </row>
    <row r="21576" spans="1:20" x14ac:dyDescent="0.25">
      <c r="A21576" t="str">
        <f>"3042640"</f>
        <v>3042640</v>
      </c>
      <c r="B21576" t="s">
        <v>65614</v>
      </c>
      <c r="C21576" t="str">
        <f>"32605650"</f>
        <v>32605650</v>
      </c>
      <c r="D21576" t="s">
        <v>65615</v>
      </c>
      <c r="E21576" t="s">
        <v>65616</v>
      </c>
      <c r="F21576" t="s">
        <v>65617</v>
      </c>
      <c r="I21576" t="s">
        <v>29</v>
      </c>
      <c r="J21576" t="s">
        <v>30</v>
      </c>
      <c r="K21576" t="s">
        <v>65618</v>
      </c>
      <c r="M21576" t="s">
        <v>50621</v>
      </c>
      <c r="N21576" t="str">
        <f>"2/14/2024 8:34:00 AM"</f>
        <v>2/14/2024 8:34:00 AM</v>
      </c>
      <c r="O21576" t="s">
        <v>65615</v>
      </c>
      <c r="T21576" t="s">
        <v>65616</v>
      </c>
    </row>
    <row r="21577" spans="1:20" x14ac:dyDescent="0.25">
      <c r="A21577" t="str">
        <f>"3042641"</f>
        <v>3042641</v>
      </c>
      <c r="B21577" t="s">
        <v>65619</v>
      </c>
      <c r="C21577" t="str">
        <f>"32605650"</f>
        <v>32605650</v>
      </c>
      <c r="D21577" t="s">
        <v>65615</v>
      </c>
      <c r="E21577" t="s">
        <v>65616</v>
      </c>
      <c r="F21577" t="s">
        <v>65617</v>
      </c>
      <c r="I21577" t="s">
        <v>29</v>
      </c>
      <c r="J21577" t="s">
        <v>30</v>
      </c>
      <c r="K21577" t="s">
        <v>65618</v>
      </c>
      <c r="M21577" t="s">
        <v>50621</v>
      </c>
      <c r="N21577" t="str">
        <f>"2/14/2024 8:34:00 AM"</f>
        <v>2/14/2024 8:34:00 AM</v>
      </c>
      <c r="O21577" t="s">
        <v>65615</v>
      </c>
      <c r="T21577" t="s">
        <v>65616</v>
      </c>
    </row>
    <row r="21578" spans="1:20" x14ac:dyDescent="0.25">
      <c r="A21578" t="str">
        <f>"3042849"</f>
        <v>3042849</v>
      </c>
      <c r="B21578" t="s">
        <v>65620</v>
      </c>
      <c r="C21578" t="str">
        <f>"32605650"</f>
        <v>32605650</v>
      </c>
      <c r="D21578" t="s">
        <v>65615</v>
      </c>
      <c r="E21578" t="s">
        <v>65616</v>
      </c>
      <c r="F21578" t="s">
        <v>65617</v>
      </c>
      <c r="I21578" t="s">
        <v>29</v>
      </c>
      <c r="J21578" t="s">
        <v>30</v>
      </c>
      <c r="K21578" t="s">
        <v>65618</v>
      </c>
      <c r="M21578" t="s">
        <v>50621</v>
      </c>
      <c r="N21578" t="str">
        <f>"2/14/2024 8:34:00 AM"</f>
        <v>2/14/2024 8:34:00 AM</v>
      </c>
      <c r="O21578" t="s">
        <v>65615</v>
      </c>
      <c r="T21578" t="s">
        <v>65616</v>
      </c>
    </row>
    <row r="21579" spans="1:20" x14ac:dyDescent="0.25">
      <c r="A21579" t="str">
        <f>"3040123"</f>
        <v>3040123</v>
      </c>
      <c r="B21579" t="s">
        <v>65621</v>
      </c>
      <c r="C21579" t="str">
        <f>"82512891"</f>
        <v>82512891</v>
      </c>
      <c r="D21579" t="s">
        <v>65622</v>
      </c>
      <c r="F21579" t="str">
        <f>"C/O BRENDA KAY SHORE"</f>
        <v>C/O BRENDA KAY SHORE</v>
      </c>
      <c r="G21579" t="s">
        <v>65623</v>
      </c>
      <c r="I21579" t="s">
        <v>29</v>
      </c>
      <c r="J21579" t="s">
        <v>30</v>
      </c>
      <c r="K21579" t="s">
        <v>31</v>
      </c>
      <c r="M21579" t="s">
        <v>50621</v>
      </c>
      <c r="N21579" t="str">
        <f>"2/14/2024 8:37:00 AM"</f>
        <v>2/14/2024 8:37:00 AM</v>
      </c>
      <c r="O21579" t="s">
        <v>65622</v>
      </c>
    </row>
    <row r="21580" spans="1:20" x14ac:dyDescent="0.25">
      <c r="A21580" t="str">
        <f>"3046218"</f>
        <v>3046218</v>
      </c>
      <c r="B21580" t="s">
        <v>65624</v>
      </c>
      <c r="C21580" t="str">
        <f>"8305838"</f>
        <v>8305838</v>
      </c>
      <c r="D21580" t="s">
        <v>65625</v>
      </c>
      <c r="E21580" t="s">
        <v>65626</v>
      </c>
      <c r="F21580" t="s">
        <v>65627</v>
      </c>
      <c r="I21580" t="s">
        <v>29</v>
      </c>
      <c r="J21580" t="s">
        <v>30</v>
      </c>
      <c r="K21580" t="str">
        <f>"27028"</f>
        <v>27028</v>
      </c>
      <c r="M21580" t="s">
        <v>50621</v>
      </c>
      <c r="N21580" t="str">
        <f>"2/14/2024 8:37:00 AM"</f>
        <v>2/14/2024 8:37:00 AM</v>
      </c>
      <c r="O21580" t="s">
        <v>65625</v>
      </c>
      <c r="T21580" t="s">
        <v>65626</v>
      </c>
    </row>
    <row r="21581" spans="1:20" x14ac:dyDescent="0.25">
      <c r="A21581" t="str">
        <f>"3060859"</f>
        <v>3060859</v>
      </c>
      <c r="B21581" t="s">
        <v>65628</v>
      </c>
      <c r="C21581" t="str">
        <f>"8318282"</f>
        <v>8318282</v>
      </c>
      <c r="D21581" t="s">
        <v>65629</v>
      </c>
      <c r="F21581" t="s">
        <v>65630</v>
      </c>
      <c r="I21581" t="s">
        <v>2071</v>
      </c>
      <c r="J21581" t="s">
        <v>30</v>
      </c>
      <c r="K21581" t="s">
        <v>41683</v>
      </c>
      <c r="M21581" t="s">
        <v>50621</v>
      </c>
      <c r="N21581" t="str">
        <f>"2/14/2024 8:38:00 AM"</f>
        <v>2/14/2024 8:38:00 AM</v>
      </c>
      <c r="O21581" t="s">
        <v>65629</v>
      </c>
    </row>
    <row r="21582" spans="1:20" x14ac:dyDescent="0.25">
      <c r="A21582" t="str">
        <f>"3070921"</f>
        <v>3070921</v>
      </c>
      <c r="B21582" t="s">
        <v>65631</v>
      </c>
      <c r="C21582" t="str">
        <f>"8311458"</f>
        <v>8311458</v>
      </c>
      <c r="D21582" t="s">
        <v>65632</v>
      </c>
      <c r="F21582" t="s">
        <v>65633</v>
      </c>
      <c r="I21582" t="s">
        <v>29</v>
      </c>
      <c r="J21582" t="s">
        <v>30</v>
      </c>
      <c r="K21582" t="s">
        <v>65634</v>
      </c>
      <c r="M21582" t="s">
        <v>50621</v>
      </c>
      <c r="N21582" t="str">
        <f>"2/14/2024 8:38:00 AM"</f>
        <v>2/14/2024 8:38:00 AM</v>
      </c>
      <c r="O21582" t="s">
        <v>65632</v>
      </c>
    </row>
    <row r="21583" spans="1:20" x14ac:dyDescent="0.25">
      <c r="A21583" t="str">
        <f>"3056324"</f>
        <v>3056324</v>
      </c>
      <c r="B21583" t="s">
        <v>65635</v>
      </c>
      <c r="C21583" t="str">
        <f>"8311715"</f>
        <v>8311715</v>
      </c>
      <c r="D21583" t="s">
        <v>65636</v>
      </c>
      <c r="E21583" t="s">
        <v>65637</v>
      </c>
      <c r="F21583" t="s">
        <v>65638</v>
      </c>
      <c r="I21583" t="s">
        <v>964</v>
      </c>
      <c r="J21583" t="s">
        <v>30</v>
      </c>
      <c r="K21583" t="s">
        <v>65639</v>
      </c>
      <c r="M21583" t="s">
        <v>50621</v>
      </c>
      <c r="N21583" t="str">
        <f>"2/14/2024 8:38:00 AM"</f>
        <v>2/14/2024 8:38:00 AM</v>
      </c>
      <c r="O21583" t="s">
        <v>65636</v>
      </c>
      <c r="T21583" t="s">
        <v>65637</v>
      </c>
    </row>
    <row r="21584" spans="1:20" x14ac:dyDescent="0.25">
      <c r="A21584" t="str">
        <f>"3057461"</f>
        <v>3057461</v>
      </c>
      <c r="B21584" t="s">
        <v>65640</v>
      </c>
      <c r="C21584" t="str">
        <f>"8300269"</f>
        <v>8300269</v>
      </c>
      <c r="D21584" t="s">
        <v>65641</v>
      </c>
      <c r="F21584" t="s">
        <v>65642</v>
      </c>
      <c r="I21584" t="s">
        <v>29</v>
      </c>
      <c r="J21584" t="s">
        <v>30</v>
      </c>
      <c r="K21584" t="s">
        <v>31</v>
      </c>
      <c r="M21584" t="s">
        <v>50793</v>
      </c>
      <c r="N21584" t="str">
        <f>"2/13/2024 11:12:00 AM"</f>
        <v>2/13/2024 11:12:00 AM</v>
      </c>
      <c r="O21584" t="s">
        <v>65641</v>
      </c>
    </row>
    <row r="21585" spans="1:20" x14ac:dyDescent="0.25">
      <c r="A21585" t="str">
        <f>"3050173"</f>
        <v>3050173</v>
      </c>
      <c r="B21585" t="s">
        <v>65643</v>
      </c>
      <c r="C21585" t="str">
        <f>"8300135"</f>
        <v>8300135</v>
      </c>
      <c r="D21585" t="s">
        <v>65644</v>
      </c>
      <c r="F21585" t="s">
        <v>65645</v>
      </c>
      <c r="I21585" t="s">
        <v>29</v>
      </c>
      <c r="J21585" t="s">
        <v>30</v>
      </c>
      <c r="K21585" t="s">
        <v>31</v>
      </c>
      <c r="M21585" t="s">
        <v>50621</v>
      </c>
      <c r="N21585" t="str">
        <f>"2/14/2024 8:40:00 AM"</f>
        <v>2/14/2024 8:40:00 AM</v>
      </c>
      <c r="O21585" t="s">
        <v>65644</v>
      </c>
    </row>
    <row r="21586" spans="1:20" x14ac:dyDescent="0.25">
      <c r="A21586" t="str">
        <f>"3048602"</f>
        <v>3048602</v>
      </c>
      <c r="B21586" t="s">
        <v>65646</v>
      </c>
      <c r="C21586" t="str">
        <f>"8318379"</f>
        <v>8318379</v>
      </c>
      <c r="D21586" t="s">
        <v>65647</v>
      </c>
      <c r="E21586" t="s">
        <v>65648</v>
      </c>
      <c r="F21586" t="s">
        <v>65649</v>
      </c>
      <c r="I21586" t="s">
        <v>184</v>
      </c>
      <c r="J21586" t="s">
        <v>30</v>
      </c>
      <c r="K21586" t="s">
        <v>46254</v>
      </c>
      <c r="M21586" t="s">
        <v>50621</v>
      </c>
      <c r="N21586" t="str">
        <f>"2/14/2024 8:45:00 AM"</f>
        <v>2/14/2024 8:45:00 AM</v>
      </c>
      <c r="O21586" t="s">
        <v>65647</v>
      </c>
      <c r="T21586" t="s">
        <v>65648</v>
      </c>
    </row>
    <row r="21587" spans="1:20" x14ac:dyDescent="0.25">
      <c r="A21587" t="str">
        <f>"3046096"</f>
        <v>3046096</v>
      </c>
      <c r="B21587" t="s">
        <v>65650</v>
      </c>
      <c r="C21587" t="str">
        <f>"8310444"</f>
        <v>8310444</v>
      </c>
      <c r="D21587" t="s">
        <v>65651</v>
      </c>
      <c r="F21587" t="s">
        <v>65652</v>
      </c>
      <c r="I21587" t="s">
        <v>29</v>
      </c>
      <c r="J21587" t="s">
        <v>30</v>
      </c>
      <c r="K21587" t="s">
        <v>51992</v>
      </c>
      <c r="M21587" t="s">
        <v>50621</v>
      </c>
      <c r="N21587" t="str">
        <f>"2/14/2024 8:45:00 AM"</f>
        <v>2/14/2024 8:45:00 AM</v>
      </c>
      <c r="O21587" t="s">
        <v>65651</v>
      </c>
    </row>
    <row r="21588" spans="1:20" x14ac:dyDescent="0.25">
      <c r="A21588" t="str">
        <f>"3072263"</f>
        <v>3072263</v>
      </c>
      <c r="B21588" t="s">
        <v>65653</v>
      </c>
      <c r="C21588" t="str">
        <f>"8310644"</f>
        <v>8310644</v>
      </c>
      <c r="D21588" t="s">
        <v>65654</v>
      </c>
      <c r="F21588" t="s">
        <v>65655</v>
      </c>
      <c r="I21588" t="s">
        <v>184</v>
      </c>
      <c r="J21588" t="s">
        <v>30</v>
      </c>
      <c r="K21588" t="s">
        <v>39438</v>
      </c>
      <c r="M21588" t="s">
        <v>50621</v>
      </c>
      <c r="N21588" t="str">
        <f>"2/14/2024 8:47:00 AM"</f>
        <v>2/14/2024 8:47:00 AM</v>
      </c>
      <c r="O21588" t="s">
        <v>65654</v>
      </c>
    </row>
    <row r="21589" spans="1:20" x14ac:dyDescent="0.25">
      <c r="A21589" t="str">
        <f>"3037293"</f>
        <v>3037293</v>
      </c>
      <c r="B21589" t="s">
        <v>65656</v>
      </c>
      <c r="C21589" t="str">
        <f>"82520326"</f>
        <v>82520326</v>
      </c>
      <c r="D21589" t="s">
        <v>65657</v>
      </c>
      <c r="F21589" t="s">
        <v>65658</v>
      </c>
      <c r="I21589" t="s">
        <v>9345</v>
      </c>
      <c r="J21589" t="s">
        <v>30</v>
      </c>
      <c r="K21589" t="s">
        <v>65659</v>
      </c>
      <c r="M21589" t="s">
        <v>50621</v>
      </c>
      <c r="N21589" t="str">
        <f>"2/14/2024 8:49:00 AM"</f>
        <v>2/14/2024 8:49:00 AM</v>
      </c>
      <c r="O21589" t="s">
        <v>65657</v>
      </c>
    </row>
    <row r="21590" spans="1:20" x14ac:dyDescent="0.25">
      <c r="A21590" t="str">
        <f>"3037232"</f>
        <v>3037232</v>
      </c>
      <c r="B21590" t="s">
        <v>65660</v>
      </c>
      <c r="C21590" t="str">
        <f>"82520326"</f>
        <v>82520326</v>
      </c>
      <c r="D21590" t="s">
        <v>65657</v>
      </c>
      <c r="F21590" t="s">
        <v>65658</v>
      </c>
      <c r="I21590" t="s">
        <v>9345</v>
      </c>
      <c r="J21590" t="s">
        <v>30</v>
      </c>
      <c r="K21590" t="s">
        <v>65659</v>
      </c>
      <c r="M21590" t="s">
        <v>50621</v>
      </c>
      <c r="N21590" t="str">
        <f>"2/14/2024 8:49:00 AM"</f>
        <v>2/14/2024 8:49:00 AM</v>
      </c>
      <c r="O21590" t="s">
        <v>65657</v>
      </c>
    </row>
    <row r="21591" spans="1:20" x14ac:dyDescent="0.25">
      <c r="A21591" t="str">
        <f>"3038677"</f>
        <v>3038677</v>
      </c>
      <c r="B21591" t="s">
        <v>65661</v>
      </c>
      <c r="C21591" t="str">
        <f>"8317647"</f>
        <v>8317647</v>
      </c>
      <c r="D21591" t="s">
        <v>65662</v>
      </c>
      <c r="E21591" t="s">
        <v>65663</v>
      </c>
      <c r="F21591" t="s">
        <v>65664</v>
      </c>
      <c r="I21591" t="s">
        <v>29</v>
      </c>
      <c r="J21591" t="s">
        <v>30</v>
      </c>
      <c r="K21591" t="s">
        <v>1220</v>
      </c>
      <c r="M21591" t="s">
        <v>50621</v>
      </c>
      <c r="N21591" t="str">
        <f>"2/14/2024 8:50:00 AM"</f>
        <v>2/14/2024 8:50:00 AM</v>
      </c>
      <c r="O21591" t="s">
        <v>65662</v>
      </c>
      <c r="T21591" t="s">
        <v>65663</v>
      </c>
    </row>
    <row r="21592" spans="1:20" x14ac:dyDescent="0.25">
      <c r="A21592" t="str">
        <f>"3054225"</f>
        <v>3054225</v>
      </c>
      <c r="B21592" t="s">
        <v>65665</v>
      </c>
      <c r="C21592" t="str">
        <f>"58807000"</f>
        <v>58807000</v>
      </c>
      <c r="D21592" t="s">
        <v>65666</v>
      </c>
      <c r="F21592" t="s">
        <v>58101</v>
      </c>
      <c r="I21592" t="s">
        <v>9580</v>
      </c>
      <c r="J21592" t="s">
        <v>30</v>
      </c>
      <c r="K21592" t="s">
        <v>9581</v>
      </c>
      <c r="M21592" t="s">
        <v>50793</v>
      </c>
      <c r="N21592" t="str">
        <f>"2/13/2024 11:13:00 AM"</f>
        <v>2/13/2024 11:13:00 AM</v>
      </c>
      <c r="O21592" t="s">
        <v>65666</v>
      </c>
    </row>
    <row r="21593" spans="1:20" x14ac:dyDescent="0.25">
      <c r="A21593" t="str">
        <f>"3049487"</f>
        <v>3049487</v>
      </c>
      <c r="B21593" t="s">
        <v>65667</v>
      </c>
      <c r="C21593" t="str">
        <f>"82527464"</f>
        <v>82527464</v>
      </c>
      <c r="D21593" t="s">
        <v>65668</v>
      </c>
      <c r="E21593" t="s">
        <v>65669</v>
      </c>
      <c r="F21593" t="s">
        <v>65670</v>
      </c>
      <c r="I21593" t="s">
        <v>65671</v>
      </c>
      <c r="J21593" t="s">
        <v>30</v>
      </c>
      <c r="K21593" t="s">
        <v>65672</v>
      </c>
      <c r="M21593" t="s">
        <v>50793</v>
      </c>
      <c r="N21593" t="str">
        <f>"2/13/2024 11:23:00 AM"</f>
        <v>2/13/2024 11:23:00 AM</v>
      </c>
      <c r="O21593" t="s">
        <v>65668</v>
      </c>
      <c r="T21593" t="s">
        <v>65669</v>
      </c>
    </row>
    <row r="21594" spans="1:20" x14ac:dyDescent="0.25">
      <c r="A21594" t="str">
        <f>"3053797"</f>
        <v>3053797</v>
      </c>
      <c r="B21594" t="s">
        <v>65673</v>
      </c>
      <c r="C21594" t="str">
        <f>"8305681"</f>
        <v>8305681</v>
      </c>
      <c r="D21594" t="s">
        <v>65430</v>
      </c>
      <c r="E21594" t="s">
        <v>65431</v>
      </c>
      <c r="F21594" t="s">
        <v>65432</v>
      </c>
      <c r="I21594" t="s">
        <v>184</v>
      </c>
      <c r="J21594" t="s">
        <v>30</v>
      </c>
      <c r="K21594" t="str">
        <f>"27006"</f>
        <v>27006</v>
      </c>
      <c r="M21594" t="s">
        <v>50793</v>
      </c>
      <c r="N21594" t="str">
        <f>"2/13/2024 11:27:00 AM"</f>
        <v>2/13/2024 11:27:00 AM</v>
      </c>
      <c r="O21594" t="s">
        <v>65430</v>
      </c>
      <c r="T21594" t="s">
        <v>65431</v>
      </c>
    </row>
    <row r="21595" spans="1:20" x14ac:dyDescent="0.25">
      <c r="A21595" t="str">
        <f>"3047441"</f>
        <v>3047441</v>
      </c>
      <c r="B21595" t="s">
        <v>65674</v>
      </c>
      <c r="C21595" t="str">
        <f>"8311296"</f>
        <v>8311296</v>
      </c>
      <c r="D21595" t="s">
        <v>65675</v>
      </c>
      <c r="F21595" t="s">
        <v>65676</v>
      </c>
      <c r="I21595" t="s">
        <v>471</v>
      </c>
      <c r="J21595" t="s">
        <v>30</v>
      </c>
      <c r="K21595" t="s">
        <v>65677</v>
      </c>
      <c r="M21595" t="s">
        <v>50793</v>
      </c>
      <c r="N21595" t="str">
        <f>"2/13/2024 11:40:00 AM"</f>
        <v>2/13/2024 11:40:00 AM</v>
      </c>
      <c r="O21595" t="s">
        <v>65675</v>
      </c>
    </row>
    <row r="21596" spans="1:20" x14ac:dyDescent="0.25">
      <c r="A21596" t="str">
        <f>"3076678"</f>
        <v>3076678</v>
      </c>
      <c r="B21596" t="s">
        <v>65678</v>
      </c>
      <c r="C21596" t="str">
        <f>"25566250"</f>
        <v>25566250</v>
      </c>
      <c r="D21596" t="s">
        <v>65679</v>
      </c>
      <c r="E21596" t="s">
        <v>65680</v>
      </c>
      <c r="F21596" t="s">
        <v>65681</v>
      </c>
      <c r="I21596" t="s">
        <v>29</v>
      </c>
      <c r="J21596" t="s">
        <v>30</v>
      </c>
      <c r="K21596" t="s">
        <v>65682</v>
      </c>
      <c r="M21596" t="s">
        <v>50621</v>
      </c>
      <c r="N21596" t="str">
        <f>"2/13/2024 8:42:00 AM"</f>
        <v>2/13/2024 8:42:00 AM</v>
      </c>
      <c r="O21596" t="s">
        <v>65679</v>
      </c>
      <c r="T21596" t="s">
        <v>65680</v>
      </c>
    </row>
    <row r="21597" spans="1:20" x14ac:dyDescent="0.25">
      <c r="A21597" t="str">
        <f>"3050621"</f>
        <v>3050621</v>
      </c>
      <c r="B21597" t="s">
        <v>65683</v>
      </c>
      <c r="C21597" t="str">
        <f>"35296000"</f>
        <v>35296000</v>
      </c>
      <c r="D21597" t="s">
        <v>65684</v>
      </c>
      <c r="F21597" t="s">
        <v>65685</v>
      </c>
      <c r="I21597" t="s">
        <v>184</v>
      </c>
      <c r="J21597" t="s">
        <v>30</v>
      </c>
      <c r="K21597" t="s">
        <v>26962</v>
      </c>
      <c r="M21597" t="s">
        <v>50621</v>
      </c>
      <c r="N21597" t="str">
        <f>"2/14/2024 12:51:00 PM"</f>
        <v>2/14/2024 12:51:00 PM</v>
      </c>
      <c r="O21597" t="s">
        <v>65684</v>
      </c>
    </row>
    <row r="21598" spans="1:20" x14ac:dyDescent="0.25">
      <c r="A21598" t="str">
        <f>"3039227"</f>
        <v>3039227</v>
      </c>
      <c r="B21598" t="s">
        <v>65686</v>
      </c>
      <c r="C21598" t="str">
        <f>"8311160"</f>
        <v>8311160</v>
      </c>
      <c r="D21598" t="s">
        <v>65687</v>
      </c>
      <c r="F21598" t="s">
        <v>65688</v>
      </c>
      <c r="I21598" t="s">
        <v>29</v>
      </c>
      <c r="J21598" t="s">
        <v>30</v>
      </c>
      <c r="K21598" t="s">
        <v>27246</v>
      </c>
      <c r="M21598" t="s">
        <v>50621</v>
      </c>
      <c r="N21598" t="str">
        <f>"2/14/2024 12:52:00 PM"</f>
        <v>2/14/2024 12:52:00 PM</v>
      </c>
      <c r="O21598" t="s">
        <v>65687</v>
      </c>
    </row>
    <row r="21599" spans="1:20" x14ac:dyDescent="0.25">
      <c r="A21599" t="str">
        <f>"3059998"</f>
        <v>3059998</v>
      </c>
      <c r="B21599" t="s">
        <v>65689</v>
      </c>
      <c r="C21599" t="str">
        <f>"82519330"</f>
        <v>82519330</v>
      </c>
      <c r="D21599" t="s">
        <v>65690</v>
      </c>
      <c r="F21599" t="s">
        <v>65691</v>
      </c>
      <c r="I21599" t="s">
        <v>184</v>
      </c>
      <c r="J21599" t="s">
        <v>30</v>
      </c>
      <c r="K21599" t="s">
        <v>10312</v>
      </c>
      <c r="M21599" t="s">
        <v>50621</v>
      </c>
      <c r="N21599" t="str">
        <f>"2/14/2024 12:53:00 PM"</f>
        <v>2/14/2024 12:53:00 PM</v>
      </c>
      <c r="O21599" t="s">
        <v>65690</v>
      </c>
    </row>
    <row r="21600" spans="1:20" x14ac:dyDescent="0.25">
      <c r="A21600" t="str">
        <f>"3064347"</f>
        <v>3064347</v>
      </c>
      <c r="B21600" t="s">
        <v>65692</v>
      </c>
      <c r="C21600" t="str">
        <f>"8319417"</f>
        <v>8319417</v>
      </c>
      <c r="D21600" t="s">
        <v>65693</v>
      </c>
      <c r="E21600" t="s">
        <v>65694</v>
      </c>
      <c r="F21600" t="s">
        <v>65695</v>
      </c>
      <c r="I21600" t="s">
        <v>29</v>
      </c>
      <c r="J21600" t="s">
        <v>30</v>
      </c>
      <c r="K21600" t="s">
        <v>65696</v>
      </c>
      <c r="M21600" t="s">
        <v>50621</v>
      </c>
      <c r="N21600" t="str">
        <f>"2/14/2024 12:54:00 PM"</f>
        <v>2/14/2024 12:54:00 PM</v>
      </c>
      <c r="O21600" t="s">
        <v>65693</v>
      </c>
      <c r="T21600" t="s">
        <v>65694</v>
      </c>
    </row>
    <row r="21601" spans="1:20" x14ac:dyDescent="0.25">
      <c r="A21601" t="str">
        <f>"3064350"</f>
        <v>3064350</v>
      </c>
      <c r="B21601" t="s">
        <v>65697</v>
      </c>
      <c r="C21601" t="str">
        <f>"8319417"</f>
        <v>8319417</v>
      </c>
      <c r="D21601" t="s">
        <v>65693</v>
      </c>
      <c r="E21601" t="s">
        <v>65694</v>
      </c>
      <c r="F21601" t="s">
        <v>65695</v>
      </c>
      <c r="I21601" t="s">
        <v>29</v>
      </c>
      <c r="J21601" t="s">
        <v>30</v>
      </c>
      <c r="K21601" t="s">
        <v>65696</v>
      </c>
      <c r="M21601" t="s">
        <v>50621</v>
      </c>
      <c r="N21601" t="str">
        <f>"2/14/2024 12:54:00 PM"</f>
        <v>2/14/2024 12:54:00 PM</v>
      </c>
      <c r="O21601" t="s">
        <v>65693</v>
      </c>
      <c r="T21601" t="s">
        <v>65694</v>
      </c>
    </row>
    <row r="21602" spans="1:20" x14ac:dyDescent="0.25">
      <c r="A21602" t="str">
        <f>"3043779"</f>
        <v>3043779</v>
      </c>
      <c r="B21602" t="s">
        <v>65698</v>
      </c>
      <c r="C21602" t="str">
        <f>"8312047"</f>
        <v>8312047</v>
      </c>
      <c r="D21602" t="s">
        <v>65699</v>
      </c>
      <c r="E21602" t="s">
        <v>65700</v>
      </c>
      <c r="F21602" t="s">
        <v>65701</v>
      </c>
      <c r="I21602" t="s">
        <v>29</v>
      </c>
      <c r="J21602" t="s">
        <v>30</v>
      </c>
      <c r="K21602" t="s">
        <v>65702</v>
      </c>
      <c r="M21602" t="s">
        <v>50621</v>
      </c>
      <c r="N21602" t="str">
        <f>"2/14/2024 2:11:00 PM"</f>
        <v>2/14/2024 2:11:00 PM</v>
      </c>
      <c r="O21602" t="s">
        <v>65699</v>
      </c>
      <c r="T21602" t="s">
        <v>65700</v>
      </c>
    </row>
    <row r="21603" spans="1:20" x14ac:dyDescent="0.25">
      <c r="A21603" t="str">
        <f>"3060755"</f>
        <v>3060755</v>
      </c>
      <c r="B21603" t="s">
        <v>65703</v>
      </c>
      <c r="C21603" t="str">
        <f>"8315598"</f>
        <v>8315598</v>
      </c>
      <c r="D21603" t="s">
        <v>65704</v>
      </c>
      <c r="E21603" t="s">
        <v>65705</v>
      </c>
      <c r="F21603" t="s">
        <v>65706</v>
      </c>
      <c r="I21603" t="s">
        <v>29</v>
      </c>
      <c r="J21603" t="s">
        <v>30</v>
      </c>
      <c r="K21603" t="s">
        <v>1505</v>
      </c>
      <c r="M21603" t="s">
        <v>50621</v>
      </c>
      <c r="N21603" t="str">
        <f>"2/13/2024 8:43:00 AM"</f>
        <v>2/13/2024 8:43:00 AM</v>
      </c>
      <c r="O21603" t="s">
        <v>65704</v>
      </c>
      <c r="T21603" t="s">
        <v>65705</v>
      </c>
    </row>
    <row r="21604" spans="1:20" x14ac:dyDescent="0.25">
      <c r="A21604" t="str">
        <f>"3062075"</f>
        <v>3062075</v>
      </c>
      <c r="B21604" t="s">
        <v>65707</v>
      </c>
      <c r="C21604" t="str">
        <f>"29665000"</f>
        <v>29665000</v>
      </c>
      <c r="D21604" t="s">
        <v>65492</v>
      </c>
      <c r="E21604" t="s">
        <v>65493</v>
      </c>
      <c r="F21604" t="s">
        <v>65494</v>
      </c>
      <c r="I21604" t="s">
        <v>29</v>
      </c>
      <c r="J21604" t="s">
        <v>30</v>
      </c>
      <c r="K21604" t="s">
        <v>31</v>
      </c>
      <c r="M21604" t="s">
        <v>50621</v>
      </c>
      <c r="N21604" t="str">
        <f>"2/13/2024 1:27:00 PM"</f>
        <v>2/13/2024 1:27:00 PM</v>
      </c>
      <c r="O21604" t="s">
        <v>65492</v>
      </c>
      <c r="T21604" t="s">
        <v>65493</v>
      </c>
    </row>
    <row r="21605" spans="1:20" x14ac:dyDescent="0.25">
      <c r="A21605" t="str">
        <f>"3046675"</f>
        <v>3046675</v>
      </c>
      <c r="B21605" t="s">
        <v>65708</v>
      </c>
      <c r="C21605" t="str">
        <f>"30664000"</f>
        <v>30664000</v>
      </c>
      <c r="D21605" t="s">
        <v>65709</v>
      </c>
      <c r="F21605" t="str">
        <f>"C/O JANE C FOSTER"</f>
        <v>C/O JANE C FOSTER</v>
      </c>
      <c r="G21605" t="s">
        <v>65710</v>
      </c>
      <c r="I21605" t="s">
        <v>29</v>
      </c>
      <c r="J21605" t="s">
        <v>30</v>
      </c>
      <c r="K21605" t="s">
        <v>31</v>
      </c>
      <c r="M21605" t="s">
        <v>50621</v>
      </c>
      <c r="N21605" t="str">
        <f>"2/13/2024 1:39:00 PM"</f>
        <v>2/13/2024 1:39:00 PM</v>
      </c>
      <c r="O21605" t="s">
        <v>65709</v>
      </c>
    </row>
    <row r="21606" spans="1:20" x14ac:dyDescent="0.25">
      <c r="A21606" t="str">
        <f>"3070229"</f>
        <v>3070229</v>
      </c>
      <c r="B21606" t="s">
        <v>65711</v>
      </c>
      <c r="C21606" t="str">
        <f>"35650000"</f>
        <v>35650000</v>
      </c>
      <c r="D21606" t="s">
        <v>65712</v>
      </c>
      <c r="E21606" t="s">
        <v>65713</v>
      </c>
      <c r="F21606" t="s">
        <v>65714</v>
      </c>
      <c r="I21606" t="s">
        <v>184</v>
      </c>
      <c r="J21606" t="s">
        <v>30</v>
      </c>
      <c r="K21606" t="s">
        <v>185</v>
      </c>
      <c r="M21606" t="s">
        <v>50621</v>
      </c>
      <c r="N21606" t="str">
        <f>"2/14/2024 2:19:00 PM"</f>
        <v>2/14/2024 2:19:00 PM</v>
      </c>
      <c r="O21606" t="s">
        <v>65712</v>
      </c>
      <c r="T21606" t="s">
        <v>65713</v>
      </c>
    </row>
    <row r="21607" spans="1:20" x14ac:dyDescent="0.25">
      <c r="A21607" t="str">
        <f>"3052494"</f>
        <v>3052494</v>
      </c>
      <c r="B21607" t="s">
        <v>65715</v>
      </c>
      <c r="C21607" t="str">
        <f>"8319838"</f>
        <v>8319838</v>
      </c>
      <c r="D21607" t="s">
        <v>65716</v>
      </c>
      <c r="F21607" t="s">
        <v>65717</v>
      </c>
      <c r="I21607" t="s">
        <v>29</v>
      </c>
      <c r="J21607" t="s">
        <v>30</v>
      </c>
      <c r="K21607" t="s">
        <v>45089</v>
      </c>
      <c r="M21607" t="s">
        <v>50621</v>
      </c>
      <c r="N21607" t="str">
        <f>"2/14/2024 2:20:00 PM"</f>
        <v>2/14/2024 2:20:00 PM</v>
      </c>
      <c r="O21607" t="s">
        <v>65716</v>
      </c>
    </row>
    <row r="21608" spans="1:20" x14ac:dyDescent="0.25">
      <c r="A21608" t="str">
        <f>"3076518"</f>
        <v>3076518</v>
      </c>
      <c r="B21608" t="s">
        <v>65718</v>
      </c>
      <c r="C21608" t="str">
        <f>"82523826"</f>
        <v>82523826</v>
      </c>
      <c r="D21608" t="s">
        <v>65719</v>
      </c>
      <c r="F21608" t="s">
        <v>65720</v>
      </c>
      <c r="I21608" t="s">
        <v>29</v>
      </c>
      <c r="J21608" t="s">
        <v>30</v>
      </c>
      <c r="K21608" t="s">
        <v>65721</v>
      </c>
      <c r="M21608" t="s">
        <v>50621</v>
      </c>
      <c r="N21608" t="str">
        <f>"2/13/2024 1:39:00 PM"</f>
        <v>2/13/2024 1:39:00 PM</v>
      </c>
      <c r="O21608" t="s">
        <v>65719</v>
      </c>
    </row>
    <row r="21609" spans="1:20" x14ac:dyDescent="0.25">
      <c r="A21609" t="str">
        <f>"3046332"</f>
        <v>3046332</v>
      </c>
      <c r="B21609" t="s">
        <v>65722</v>
      </c>
      <c r="C21609" t="str">
        <f>"8300033"</f>
        <v>8300033</v>
      </c>
      <c r="D21609" t="s">
        <v>65723</v>
      </c>
      <c r="F21609" t="s">
        <v>65724</v>
      </c>
      <c r="I21609" t="s">
        <v>29</v>
      </c>
      <c r="J21609" t="s">
        <v>30</v>
      </c>
      <c r="K21609" t="s">
        <v>31</v>
      </c>
      <c r="M21609" t="s">
        <v>50621</v>
      </c>
      <c r="N21609" t="str">
        <f>"2/14/2024 2:39:00 PM"</f>
        <v>2/14/2024 2:39:00 PM</v>
      </c>
      <c r="O21609" t="s">
        <v>65723</v>
      </c>
    </row>
    <row r="21610" spans="1:20" x14ac:dyDescent="0.25">
      <c r="A21610" t="str">
        <f>"3043484"</f>
        <v>3043484</v>
      </c>
      <c r="B21610" t="s">
        <v>65725</v>
      </c>
      <c r="C21610" t="str">
        <f>"36960000"</f>
        <v>36960000</v>
      </c>
      <c r="D21610" t="s">
        <v>65726</v>
      </c>
      <c r="F21610" t="s">
        <v>65727</v>
      </c>
      <c r="I21610" t="s">
        <v>29</v>
      </c>
      <c r="J21610" t="s">
        <v>30</v>
      </c>
      <c r="K21610" t="s">
        <v>31</v>
      </c>
      <c r="M21610" t="s">
        <v>50621</v>
      </c>
      <c r="N21610" t="str">
        <f>"2/14/2024 2:39:00 PM"</f>
        <v>2/14/2024 2:39:00 PM</v>
      </c>
      <c r="O21610" t="s">
        <v>65726</v>
      </c>
    </row>
    <row r="21611" spans="1:20" x14ac:dyDescent="0.25">
      <c r="A21611" t="str">
        <f>"3046175"</f>
        <v>3046175</v>
      </c>
      <c r="B21611" t="s">
        <v>65728</v>
      </c>
      <c r="C21611" t="str">
        <f>"8311219"</f>
        <v>8311219</v>
      </c>
      <c r="D21611" t="s">
        <v>65726</v>
      </c>
      <c r="E21611" t="s">
        <v>65729</v>
      </c>
      <c r="F21611" t="s">
        <v>65730</v>
      </c>
      <c r="I21611" t="s">
        <v>29</v>
      </c>
      <c r="J21611" t="s">
        <v>30</v>
      </c>
      <c r="K21611" t="s">
        <v>65731</v>
      </c>
      <c r="M21611" t="s">
        <v>50621</v>
      </c>
      <c r="N21611" t="str">
        <f>"2/14/2024 2:39:00 PM"</f>
        <v>2/14/2024 2:39:00 PM</v>
      </c>
      <c r="O21611" t="s">
        <v>65726</v>
      </c>
      <c r="T21611" t="s">
        <v>65729</v>
      </c>
    </row>
    <row r="21612" spans="1:20" x14ac:dyDescent="0.25">
      <c r="A21612" t="str">
        <f>"3048122"</f>
        <v>3048122</v>
      </c>
      <c r="B21612" t="s">
        <v>65732</v>
      </c>
      <c r="C21612" t="str">
        <f>"82512986"</f>
        <v>82512986</v>
      </c>
      <c r="D21612" t="s">
        <v>65733</v>
      </c>
      <c r="F21612" t="s">
        <v>17131</v>
      </c>
      <c r="I21612" t="s">
        <v>29</v>
      </c>
      <c r="J21612" t="s">
        <v>30</v>
      </c>
      <c r="K21612" t="str">
        <f>"27028"</f>
        <v>27028</v>
      </c>
      <c r="M21612" t="s">
        <v>50621</v>
      </c>
      <c r="N21612" t="str">
        <f>"2/13/2024 1:44:00 PM"</f>
        <v>2/13/2024 1:44:00 PM</v>
      </c>
      <c r="O21612" t="s">
        <v>65733</v>
      </c>
    </row>
    <row r="21613" spans="1:20" x14ac:dyDescent="0.25">
      <c r="A21613" t="str">
        <f>"3057445"</f>
        <v>3057445</v>
      </c>
      <c r="B21613" t="s">
        <v>65734</v>
      </c>
      <c r="C21613" t="str">
        <f>"82519615"</f>
        <v>82519615</v>
      </c>
      <c r="D21613" t="s">
        <v>65537</v>
      </c>
      <c r="E21613" t="s">
        <v>65538</v>
      </c>
      <c r="F21613" t="s">
        <v>65539</v>
      </c>
      <c r="I21613" t="s">
        <v>49</v>
      </c>
      <c r="J21613" t="s">
        <v>30</v>
      </c>
      <c r="K21613" t="s">
        <v>65540</v>
      </c>
      <c r="M21613" t="s">
        <v>50621</v>
      </c>
      <c r="N21613" t="str">
        <f>"2/13/2024 1:44:00 PM"</f>
        <v>2/13/2024 1:44:00 PM</v>
      </c>
      <c r="O21613" t="s">
        <v>65537</v>
      </c>
      <c r="T21613" t="s">
        <v>65538</v>
      </c>
    </row>
    <row r="21614" spans="1:20" x14ac:dyDescent="0.25">
      <c r="A21614" t="str">
        <f>"3057485"</f>
        <v>3057485</v>
      </c>
      <c r="B21614" t="s">
        <v>65735</v>
      </c>
      <c r="C21614" t="str">
        <f>"82519615"</f>
        <v>82519615</v>
      </c>
      <c r="D21614" t="s">
        <v>65537</v>
      </c>
      <c r="E21614" t="s">
        <v>65538</v>
      </c>
      <c r="F21614" t="s">
        <v>65539</v>
      </c>
      <c r="I21614" t="s">
        <v>49</v>
      </c>
      <c r="J21614" t="s">
        <v>30</v>
      </c>
      <c r="K21614" t="s">
        <v>65540</v>
      </c>
      <c r="M21614" t="s">
        <v>50621</v>
      </c>
      <c r="N21614" t="str">
        <f>"2/13/2024 1:44:00 PM"</f>
        <v>2/13/2024 1:44:00 PM</v>
      </c>
      <c r="O21614" t="s">
        <v>65537</v>
      </c>
      <c r="T21614" t="s">
        <v>65538</v>
      </c>
    </row>
    <row r="21615" spans="1:20" x14ac:dyDescent="0.25">
      <c r="A21615" t="str">
        <f>"3057486"</f>
        <v>3057486</v>
      </c>
      <c r="B21615" t="s">
        <v>65736</v>
      </c>
      <c r="C21615" t="str">
        <f>"82519615"</f>
        <v>82519615</v>
      </c>
      <c r="D21615" t="s">
        <v>65537</v>
      </c>
      <c r="E21615" t="s">
        <v>65538</v>
      </c>
      <c r="F21615" t="s">
        <v>65539</v>
      </c>
      <c r="I21615" t="s">
        <v>49</v>
      </c>
      <c r="J21615" t="s">
        <v>30</v>
      </c>
      <c r="K21615" t="s">
        <v>65540</v>
      </c>
      <c r="M21615" t="s">
        <v>50621</v>
      </c>
      <c r="N21615" t="str">
        <f>"2/13/2024 1:44:00 PM"</f>
        <v>2/13/2024 1:44:00 PM</v>
      </c>
      <c r="O21615" t="s">
        <v>65537</v>
      </c>
      <c r="T21615" t="s">
        <v>65538</v>
      </c>
    </row>
    <row r="21616" spans="1:20" x14ac:dyDescent="0.25">
      <c r="A21616" t="str">
        <f>"3057391"</f>
        <v>3057391</v>
      </c>
      <c r="B21616" t="s">
        <v>65737</v>
      </c>
      <c r="C21616" t="str">
        <f>"8319249"</f>
        <v>8319249</v>
      </c>
      <c r="D21616" t="s">
        <v>65738</v>
      </c>
      <c r="E21616" t="s">
        <v>65739</v>
      </c>
      <c r="F21616" t="s">
        <v>65740</v>
      </c>
      <c r="I21616" t="s">
        <v>184</v>
      </c>
      <c r="J21616" t="s">
        <v>30</v>
      </c>
      <c r="K21616" t="s">
        <v>33014</v>
      </c>
      <c r="M21616" t="s">
        <v>50621</v>
      </c>
      <c r="N21616" t="str">
        <f>"2/13/2024 1:46:00 PM"</f>
        <v>2/13/2024 1:46:00 PM</v>
      </c>
      <c r="O21616" t="s">
        <v>65738</v>
      </c>
      <c r="T21616" t="s">
        <v>65739</v>
      </c>
    </row>
    <row r="21617" spans="1:20" x14ac:dyDescent="0.25">
      <c r="A21617" t="str">
        <f>"3060282"</f>
        <v>3060282</v>
      </c>
      <c r="B21617" t="s">
        <v>65741</v>
      </c>
      <c r="C21617" t="str">
        <f>"8319249"</f>
        <v>8319249</v>
      </c>
      <c r="D21617" t="s">
        <v>65738</v>
      </c>
      <c r="E21617" t="s">
        <v>65739</v>
      </c>
      <c r="F21617" t="s">
        <v>65740</v>
      </c>
      <c r="I21617" t="s">
        <v>184</v>
      </c>
      <c r="J21617" t="s">
        <v>30</v>
      </c>
      <c r="K21617" t="s">
        <v>33014</v>
      </c>
      <c r="M21617" t="s">
        <v>50621</v>
      </c>
      <c r="N21617" t="str">
        <f>"2/13/2024 1:46:00 PM"</f>
        <v>2/13/2024 1:46:00 PM</v>
      </c>
      <c r="O21617" t="s">
        <v>65738</v>
      </c>
      <c r="T21617" t="s">
        <v>65739</v>
      </c>
    </row>
    <row r="21618" spans="1:20" x14ac:dyDescent="0.25">
      <c r="A21618" t="str">
        <f>"3068646"</f>
        <v>3068646</v>
      </c>
      <c r="B21618" t="s">
        <v>65742</v>
      </c>
      <c r="C21618" t="str">
        <f>"31734000"</f>
        <v>31734000</v>
      </c>
      <c r="D21618" t="s">
        <v>65743</v>
      </c>
      <c r="F21618" t="s">
        <v>65744</v>
      </c>
      <c r="I21618" t="s">
        <v>29</v>
      </c>
      <c r="J21618" t="s">
        <v>30</v>
      </c>
      <c r="K21618" t="str">
        <f>"27028"</f>
        <v>27028</v>
      </c>
      <c r="M21618" t="s">
        <v>50621</v>
      </c>
      <c r="N21618" t="str">
        <f>"2/13/2024 1:55:00 PM"</f>
        <v>2/13/2024 1:55:00 PM</v>
      </c>
      <c r="O21618" t="s">
        <v>65743</v>
      </c>
    </row>
    <row r="21619" spans="1:20" x14ac:dyDescent="0.25">
      <c r="A21619" t="str">
        <f>"3072961"</f>
        <v>3072961</v>
      </c>
      <c r="B21619" t="s">
        <v>65745</v>
      </c>
      <c r="C21619" t="str">
        <f>"32112000"</f>
        <v>32112000</v>
      </c>
      <c r="D21619" t="s">
        <v>65746</v>
      </c>
      <c r="E21619" t="s">
        <v>65747</v>
      </c>
      <c r="F21619" t="s">
        <v>65748</v>
      </c>
      <c r="I21619" t="s">
        <v>29</v>
      </c>
      <c r="J21619" t="s">
        <v>30</v>
      </c>
      <c r="K21619" t="s">
        <v>42324</v>
      </c>
      <c r="M21619" t="s">
        <v>50621</v>
      </c>
      <c r="N21619" t="str">
        <f>"2/13/2024 1:57:00 PM"</f>
        <v>2/13/2024 1:57:00 PM</v>
      </c>
      <c r="O21619" t="s">
        <v>65746</v>
      </c>
      <c r="T21619" t="s">
        <v>65747</v>
      </c>
    </row>
    <row r="21620" spans="1:20" x14ac:dyDescent="0.25">
      <c r="A21620" t="str">
        <f>"3054727"</f>
        <v>3054727</v>
      </c>
      <c r="B21620" t="s">
        <v>65749</v>
      </c>
      <c r="C21620" t="str">
        <f>"32112000"</f>
        <v>32112000</v>
      </c>
      <c r="D21620" t="s">
        <v>65746</v>
      </c>
      <c r="E21620" t="s">
        <v>65747</v>
      </c>
      <c r="F21620" t="s">
        <v>65748</v>
      </c>
      <c r="I21620" t="s">
        <v>29</v>
      </c>
      <c r="J21620" t="s">
        <v>30</v>
      </c>
      <c r="K21620" t="s">
        <v>42324</v>
      </c>
      <c r="M21620" t="s">
        <v>50621</v>
      </c>
      <c r="N21620" t="str">
        <f>"2/13/2024 1:57:00 PM"</f>
        <v>2/13/2024 1:57:00 PM</v>
      </c>
      <c r="O21620" t="s">
        <v>65746</v>
      </c>
      <c r="T21620" t="s">
        <v>65747</v>
      </c>
    </row>
    <row r="21621" spans="1:20" x14ac:dyDescent="0.25">
      <c r="A21621" t="str">
        <f>"3042660"</f>
        <v>3042660</v>
      </c>
      <c r="B21621" t="s">
        <v>65750</v>
      </c>
      <c r="C21621" t="str">
        <f>"32605650"</f>
        <v>32605650</v>
      </c>
      <c r="D21621" t="s">
        <v>65615</v>
      </c>
      <c r="E21621" t="s">
        <v>65616</v>
      </c>
      <c r="F21621" t="s">
        <v>65617</v>
      </c>
      <c r="I21621" t="s">
        <v>29</v>
      </c>
      <c r="J21621" t="s">
        <v>30</v>
      </c>
      <c r="K21621" t="s">
        <v>65618</v>
      </c>
      <c r="M21621" t="s">
        <v>50621</v>
      </c>
      <c r="N21621" t="str">
        <f>"2/14/2024 8:34:00 AM"</f>
        <v>2/14/2024 8:34:00 AM</v>
      </c>
      <c r="O21621" t="s">
        <v>65615</v>
      </c>
      <c r="T21621" t="s">
        <v>65616</v>
      </c>
    </row>
    <row r="21622" spans="1:20" x14ac:dyDescent="0.25">
      <c r="A21622" t="str">
        <f>"3049534"</f>
        <v>3049534</v>
      </c>
      <c r="B21622" t="s">
        <v>65751</v>
      </c>
      <c r="C21622" t="str">
        <f>"8300135"</f>
        <v>8300135</v>
      </c>
      <c r="D21622" t="s">
        <v>65644</v>
      </c>
      <c r="F21622" t="s">
        <v>65645</v>
      </c>
      <c r="I21622" t="s">
        <v>29</v>
      </c>
      <c r="J21622" t="s">
        <v>30</v>
      </c>
      <c r="K21622" t="s">
        <v>31</v>
      </c>
      <c r="M21622" t="s">
        <v>50621</v>
      </c>
      <c r="N21622" t="str">
        <f>"2/14/2024 8:40:00 AM"</f>
        <v>2/14/2024 8:40:00 AM</v>
      </c>
      <c r="O21622" t="s">
        <v>65644</v>
      </c>
    </row>
    <row r="21623" spans="1:20" x14ac:dyDescent="0.25">
      <c r="A21623" t="str">
        <f>"3057928"</f>
        <v>3057928</v>
      </c>
      <c r="B21623" t="s">
        <v>65752</v>
      </c>
      <c r="C21623" t="str">
        <f>"82529794"</f>
        <v>82529794</v>
      </c>
      <c r="D21623" t="s">
        <v>65753</v>
      </c>
      <c r="F21623" t="s">
        <v>65754</v>
      </c>
      <c r="I21623" t="s">
        <v>184</v>
      </c>
      <c r="J21623" t="s">
        <v>30</v>
      </c>
      <c r="K21623" t="s">
        <v>185</v>
      </c>
      <c r="M21623" t="s">
        <v>50621</v>
      </c>
      <c r="N21623" t="str">
        <f>"2/14/2024 8:52:00 AM"</f>
        <v>2/14/2024 8:52:00 AM</v>
      </c>
      <c r="O21623" t="s">
        <v>65753</v>
      </c>
    </row>
    <row r="21624" spans="1:20" x14ac:dyDescent="0.25">
      <c r="A21624" t="str">
        <f>"3059296"</f>
        <v>3059296</v>
      </c>
      <c r="B21624" t="s">
        <v>65755</v>
      </c>
      <c r="C21624" t="str">
        <f>"38058000"</f>
        <v>38058000</v>
      </c>
      <c r="D21624" t="s">
        <v>65756</v>
      </c>
      <c r="E21624" t="s">
        <v>65757</v>
      </c>
      <c r="F21624" t="s">
        <v>65758</v>
      </c>
      <c r="I21624" t="s">
        <v>29</v>
      </c>
      <c r="J21624" t="s">
        <v>30</v>
      </c>
      <c r="K21624" t="s">
        <v>31</v>
      </c>
      <c r="M21624" t="s">
        <v>50621</v>
      </c>
      <c r="N21624" t="str">
        <f>"2/14/2024 2:47:00 PM"</f>
        <v>2/14/2024 2:47:00 PM</v>
      </c>
      <c r="O21624" t="s">
        <v>65756</v>
      </c>
      <c r="T21624" t="s">
        <v>65757</v>
      </c>
    </row>
    <row r="21625" spans="1:20" x14ac:dyDescent="0.25">
      <c r="A21625" t="str">
        <f>"3044320"</f>
        <v>3044320</v>
      </c>
      <c r="B21625" t="s">
        <v>65759</v>
      </c>
      <c r="C21625" t="str">
        <f>"8308756"</f>
        <v>8308756</v>
      </c>
      <c r="D21625" t="s">
        <v>65760</v>
      </c>
      <c r="F21625" t="s">
        <v>65761</v>
      </c>
      <c r="I21625" t="s">
        <v>184</v>
      </c>
      <c r="J21625" t="s">
        <v>30</v>
      </c>
      <c r="K21625" t="s">
        <v>65762</v>
      </c>
      <c r="M21625" t="s">
        <v>50621</v>
      </c>
      <c r="N21625" t="str">
        <f>"2/14/2024 8:55:00 AM"</f>
        <v>2/14/2024 8:55:00 AM</v>
      </c>
      <c r="O21625" t="s">
        <v>65760</v>
      </c>
    </row>
    <row r="21626" spans="1:20" x14ac:dyDescent="0.25">
      <c r="A21626" t="str">
        <f>"3048103"</f>
        <v>3048103</v>
      </c>
      <c r="B21626" t="s">
        <v>65763</v>
      </c>
      <c r="C21626" t="str">
        <f>"82521536"</f>
        <v>82521536</v>
      </c>
      <c r="D21626" t="s">
        <v>65764</v>
      </c>
      <c r="F21626" t="s">
        <v>65765</v>
      </c>
      <c r="I21626" t="s">
        <v>184</v>
      </c>
      <c r="J21626" t="s">
        <v>30</v>
      </c>
      <c r="K21626" t="s">
        <v>185</v>
      </c>
      <c r="M21626" t="s">
        <v>50621</v>
      </c>
      <c r="N21626" t="str">
        <f>"2/14/2024 2:52:00 PM"</f>
        <v>2/14/2024 2:52:00 PM</v>
      </c>
      <c r="O21626" t="s">
        <v>65764</v>
      </c>
    </row>
    <row r="21627" spans="1:20" x14ac:dyDescent="0.25">
      <c r="A21627" t="str">
        <f>"3040955"</f>
        <v>3040955</v>
      </c>
      <c r="B21627" t="s">
        <v>65766</v>
      </c>
      <c r="C21627" t="str">
        <f>"8305417"</f>
        <v>8305417</v>
      </c>
      <c r="D21627" t="s">
        <v>65767</v>
      </c>
      <c r="E21627" t="s">
        <v>27344</v>
      </c>
      <c r="F21627" t="s">
        <v>65768</v>
      </c>
      <c r="I21627" t="s">
        <v>184</v>
      </c>
      <c r="J21627" t="s">
        <v>30</v>
      </c>
      <c r="K21627" t="str">
        <f>"27006"</f>
        <v>27006</v>
      </c>
      <c r="M21627" t="s">
        <v>50621</v>
      </c>
      <c r="N21627" t="str">
        <f>"2/14/2024 2:54:00 PM"</f>
        <v>2/14/2024 2:54:00 PM</v>
      </c>
      <c r="O21627" t="s">
        <v>65767</v>
      </c>
      <c r="T21627" t="s">
        <v>27344</v>
      </c>
    </row>
    <row r="21628" spans="1:20" x14ac:dyDescent="0.25">
      <c r="A21628" t="str">
        <f>"3052115"</f>
        <v>3052115</v>
      </c>
      <c r="B21628" t="s">
        <v>65769</v>
      </c>
      <c r="C21628" t="str">
        <f>"8321933"</f>
        <v>8321933</v>
      </c>
      <c r="D21628" t="s">
        <v>65770</v>
      </c>
      <c r="E21628" t="s">
        <v>65771</v>
      </c>
      <c r="F21628" t="s">
        <v>65772</v>
      </c>
      <c r="I21628" t="s">
        <v>29</v>
      </c>
      <c r="J21628" t="s">
        <v>30</v>
      </c>
      <c r="K21628" t="s">
        <v>65773</v>
      </c>
      <c r="M21628" t="s">
        <v>50500</v>
      </c>
      <c r="N21628" t="str">
        <f>"2/14/2024 2:56:00 PM"</f>
        <v>2/14/2024 2:56:00 PM</v>
      </c>
      <c r="O21628" t="s">
        <v>65770</v>
      </c>
      <c r="T21628" t="s">
        <v>65771</v>
      </c>
    </row>
    <row r="21629" spans="1:20" x14ac:dyDescent="0.25">
      <c r="A21629" t="str">
        <f>"3042039"</f>
        <v>3042039</v>
      </c>
      <c r="B21629" t="s">
        <v>65774</v>
      </c>
      <c r="C21629" t="str">
        <f>"82529793"</f>
        <v>82529793</v>
      </c>
      <c r="D21629" t="s">
        <v>65775</v>
      </c>
      <c r="E21629" t="s">
        <v>65776</v>
      </c>
      <c r="F21629" t="s">
        <v>65777</v>
      </c>
      <c r="I21629" t="s">
        <v>29</v>
      </c>
      <c r="J21629" t="s">
        <v>30</v>
      </c>
      <c r="K21629" t="s">
        <v>6642</v>
      </c>
      <c r="M21629" t="s">
        <v>50621</v>
      </c>
      <c r="N21629" t="str">
        <f>"2/14/2024 2:55:00 PM"</f>
        <v>2/14/2024 2:55:00 PM</v>
      </c>
      <c r="O21629" t="s">
        <v>65775</v>
      </c>
      <c r="T21629" t="s">
        <v>65776</v>
      </c>
    </row>
    <row r="21630" spans="1:20" x14ac:dyDescent="0.25">
      <c r="A21630" t="str">
        <f>"3040011"</f>
        <v>3040011</v>
      </c>
      <c r="B21630" t="s">
        <v>65778</v>
      </c>
      <c r="C21630" t="str">
        <f>"8311691"</f>
        <v>8311691</v>
      </c>
      <c r="D21630" t="s">
        <v>65779</v>
      </c>
      <c r="E21630" t="s">
        <v>65780</v>
      </c>
      <c r="F21630" t="s">
        <v>65781</v>
      </c>
      <c r="I21630" t="s">
        <v>29</v>
      </c>
      <c r="J21630" t="s">
        <v>30</v>
      </c>
      <c r="K21630" t="str">
        <f>"27028"</f>
        <v>27028</v>
      </c>
      <c r="M21630" t="s">
        <v>50621</v>
      </c>
      <c r="N21630" t="str">
        <f>"2/14/2024 12:42:00 PM"</f>
        <v>2/14/2024 12:42:00 PM</v>
      </c>
      <c r="O21630" t="s">
        <v>65779</v>
      </c>
      <c r="T21630" t="s">
        <v>65780</v>
      </c>
    </row>
    <row r="21631" spans="1:20" x14ac:dyDescent="0.25">
      <c r="A21631" t="str">
        <f>"3054593"</f>
        <v>3054593</v>
      </c>
      <c r="B21631" t="s">
        <v>65782</v>
      </c>
      <c r="C21631" t="str">
        <f>"38643018"</f>
        <v>38643018</v>
      </c>
      <c r="D21631" t="s">
        <v>65783</v>
      </c>
      <c r="E21631" t="s">
        <v>65784</v>
      </c>
      <c r="F21631" t="s">
        <v>65785</v>
      </c>
      <c r="I21631" t="s">
        <v>29</v>
      </c>
      <c r="J21631" t="s">
        <v>30</v>
      </c>
      <c r="K21631" t="s">
        <v>31</v>
      </c>
      <c r="M21631" t="s">
        <v>50621</v>
      </c>
      <c r="N21631" t="str">
        <f>"2/14/2024 2:59:00 PM"</f>
        <v>2/14/2024 2:59:00 PM</v>
      </c>
      <c r="O21631" t="s">
        <v>65783</v>
      </c>
      <c r="T21631" t="s">
        <v>65784</v>
      </c>
    </row>
    <row r="21632" spans="1:20" x14ac:dyDescent="0.25">
      <c r="A21632" t="str">
        <f>"3040810"</f>
        <v>3040810</v>
      </c>
      <c r="B21632" t="s">
        <v>65786</v>
      </c>
      <c r="C21632" t="str">
        <f>"38754000"</f>
        <v>38754000</v>
      </c>
      <c r="D21632" t="s">
        <v>65787</v>
      </c>
      <c r="F21632" t="s">
        <v>65788</v>
      </c>
      <c r="I21632" t="s">
        <v>184</v>
      </c>
      <c r="J21632" t="s">
        <v>30</v>
      </c>
      <c r="K21632" t="s">
        <v>185</v>
      </c>
      <c r="M21632" t="s">
        <v>50621</v>
      </c>
      <c r="N21632" t="str">
        <f>"2/15/2024 9:25:00 AM"</f>
        <v>2/15/2024 9:25:00 AM</v>
      </c>
      <c r="O21632" t="s">
        <v>65787</v>
      </c>
    </row>
    <row r="21633" spans="1:20" x14ac:dyDescent="0.25">
      <c r="A21633" t="str">
        <f>"3054374"</f>
        <v>3054374</v>
      </c>
      <c r="B21633" t="s">
        <v>65789</v>
      </c>
      <c r="C21633" t="str">
        <f>"82523339"</f>
        <v>82523339</v>
      </c>
      <c r="D21633" t="s">
        <v>65790</v>
      </c>
      <c r="E21633" t="s">
        <v>65791</v>
      </c>
      <c r="F21633" t="s">
        <v>65792</v>
      </c>
      <c r="I21633" t="s">
        <v>29</v>
      </c>
      <c r="J21633" t="s">
        <v>30</v>
      </c>
      <c r="K21633" t="s">
        <v>65793</v>
      </c>
      <c r="M21633" t="s">
        <v>50621</v>
      </c>
      <c r="N21633" t="str">
        <f>"2/15/2024 9:27:00 AM"</f>
        <v>2/15/2024 9:27:00 AM</v>
      </c>
      <c r="O21633" t="s">
        <v>65790</v>
      </c>
      <c r="T21633" t="s">
        <v>65791</v>
      </c>
    </row>
    <row r="21634" spans="1:20" x14ac:dyDescent="0.25">
      <c r="A21634" t="str">
        <f>"3045015"</f>
        <v>3045015</v>
      </c>
      <c r="B21634" t="s">
        <v>65794</v>
      </c>
      <c r="C21634" t="str">
        <f>"8320237"</f>
        <v>8320237</v>
      </c>
      <c r="D21634" t="s">
        <v>65795</v>
      </c>
      <c r="F21634" t="s">
        <v>65796</v>
      </c>
      <c r="I21634" t="s">
        <v>1149</v>
      </c>
      <c r="J21634" t="s">
        <v>30</v>
      </c>
      <c r="K21634" t="s">
        <v>6577</v>
      </c>
      <c r="M21634" t="s">
        <v>50621</v>
      </c>
      <c r="N21634" t="str">
        <f>"2/14/2024 12:51:00 PM"</f>
        <v>2/14/2024 12:51:00 PM</v>
      </c>
      <c r="O21634" t="s">
        <v>65795</v>
      </c>
    </row>
    <row r="21635" spans="1:20" x14ac:dyDescent="0.25">
      <c r="A21635" t="str">
        <f>"3050646"</f>
        <v>3050646</v>
      </c>
      <c r="B21635" t="s">
        <v>65797</v>
      </c>
      <c r="C21635" t="str">
        <f>"8315600"</f>
        <v>8315600</v>
      </c>
      <c r="D21635" t="s">
        <v>65798</v>
      </c>
      <c r="E21635" t="s">
        <v>65799</v>
      </c>
      <c r="F21635" t="s">
        <v>65800</v>
      </c>
      <c r="I21635" t="s">
        <v>184</v>
      </c>
      <c r="J21635" t="s">
        <v>30</v>
      </c>
      <c r="K21635" t="s">
        <v>26962</v>
      </c>
      <c r="M21635" t="s">
        <v>50621</v>
      </c>
      <c r="N21635" t="str">
        <f>"2/14/2024 12:51:00 PM"</f>
        <v>2/14/2024 12:51:00 PM</v>
      </c>
      <c r="O21635" t="s">
        <v>65798</v>
      </c>
      <c r="T21635" t="s">
        <v>65799</v>
      </c>
    </row>
    <row r="21636" spans="1:20" x14ac:dyDescent="0.25">
      <c r="A21636" t="str">
        <f>"3048190"</f>
        <v>3048190</v>
      </c>
      <c r="B21636" t="s">
        <v>65801</v>
      </c>
      <c r="C21636" t="str">
        <f>"8303630"</f>
        <v>8303630</v>
      </c>
      <c r="D21636" t="s">
        <v>65802</v>
      </c>
      <c r="F21636" t="s">
        <v>65803</v>
      </c>
      <c r="I21636" t="s">
        <v>29</v>
      </c>
      <c r="J21636" t="s">
        <v>30</v>
      </c>
      <c r="K21636" t="str">
        <f>"27028"</f>
        <v>27028</v>
      </c>
      <c r="M21636" t="s">
        <v>50793</v>
      </c>
      <c r="N21636" t="str">
        <f>"2/13/2024 11:54:00 AM"</f>
        <v>2/13/2024 11:54:00 AM</v>
      </c>
      <c r="O21636" t="s">
        <v>65802</v>
      </c>
    </row>
    <row r="21637" spans="1:20" x14ac:dyDescent="0.25">
      <c r="A21637" t="str">
        <f>"3057375"</f>
        <v>3057375</v>
      </c>
      <c r="B21637" t="s">
        <v>65804</v>
      </c>
      <c r="C21637" t="str">
        <f>"39292000"</f>
        <v>39292000</v>
      </c>
      <c r="D21637" t="s">
        <v>65805</v>
      </c>
      <c r="E21637" t="s">
        <v>65806</v>
      </c>
      <c r="F21637" t="s">
        <v>65807</v>
      </c>
      <c r="I21637" t="s">
        <v>184</v>
      </c>
      <c r="J21637" t="s">
        <v>30</v>
      </c>
      <c r="K21637" t="s">
        <v>48640</v>
      </c>
      <c r="M21637" t="s">
        <v>50621</v>
      </c>
      <c r="N21637" t="str">
        <f>"2/15/2024 9:35:00 AM"</f>
        <v>2/15/2024 9:35:00 AM</v>
      </c>
      <c r="O21637" t="s">
        <v>65805</v>
      </c>
      <c r="T21637" t="s">
        <v>65806</v>
      </c>
    </row>
    <row r="21638" spans="1:20" x14ac:dyDescent="0.25">
      <c r="A21638" t="str">
        <f>"3059966"</f>
        <v>3059966</v>
      </c>
      <c r="B21638" t="s">
        <v>65808</v>
      </c>
      <c r="C21638" t="str">
        <f>"39292000"</f>
        <v>39292000</v>
      </c>
      <c r="D21638" t="s">
        <v>65805</v>
      </c>
      <c r="E21638" t="s">
        <v>65806</v>
      </c>
      <c r="F21638" t="s">
        <v>65807</v>
      </c>
      <c r="I21638" t="s">
        <v>184</v>
      </c>
      <c r="J21638" t="s">
        <v>30</v>
      </c>
      <c r="K21638" t="s">
        <v>48640</v>
      </c>
      <c r="M21638" t="s">
        <v>50621</v>
      </c>
      <c r="N21638" t="str">
        <f>"2/15/2024 9:35:00 AM"</f>
        <v>2/15/2024 9:35:00 AM</v>
      </c>
      <c r="O21638" t="s">
        <v>65805</v>
      </c>
      <c r="T21638" t="s">
        <v>65806</v>
      </c>
    </row>
    <row r="21639" spans="1:20" x14ac:dyDescent="0.25">
      <c r="A21639" t="str">
        <f>"3076914"</f>
        <v>3076914</v>
      </c>
      <c r="B21639" t="s">
        <v>65809</v>
      </c>
      <c r="C21639" t="str">
        <f>"39449570"</f>
        <v>39449570</v>
      </c>
      <c r="D21639" t="s">
        <v>65810</v>
      </c>
      <c r="E21639" t="s">
        <v>65811</v>
      </c>
      <c r="F21639" t="s">
        <v>65812</v>
      </c>
      <c r="G21639" t="s">
        <v>49824</v>
      </c>
      <c r="I21639" t="s">
        <v>184</v>
      </c>
      <c r="J21639" t="s">
        <v>30</v>
      </c>
      <c r="K21639" t="s">
        <v>65813</v>
      </c>
      <c r="M21639" t="s">
        <v>50621</v>
      </c>
      <c r="N21639" t="str">
        <f>"2/15/2024 9:42:00 AM"</f>
        <v>2/15/2024 9:42:00 AM</v>
      </c>
      <c r="O21639" t="s">
        <v>65810</v>
      </c>
      <c r="T21639" t="s">
        <v>65811</v>
      </c>
    </row>
    <row r="21640" spans="1:20" x14ac:dyDescent="0.25">
      <c r="A21640" t="str">
        <f>"3056493"</f>
        <v>3056493</v>
      </c>
      <c r="B21640" t="s">
        <v>65814</v>
      </c>
      <c r="C21640" t="str">
        <f>"8318544"</f>
        <v>8318544</v>
      </c>
      <c r="D21640" t="s">
        <v>65815</v>
      </c>
      <c r="E21640" t="s">
        <v>65816</v>
      </c>
      <c r="F21640" t="s">
        <v>56626</v>
      </c>
      <c r="I21640" t="s">
        <v>29</v>
      </c>
      <c r="J21640" t="s">
        <v>30</v>
      </c>
      <c r="K21640" t="s">
        <v>56627</v>
      </c>
      <c r="M21640" t="s">
        <v>50793</v>
      </c>
      <c r="N21640" t="str">
        <f>"2/13/2024 11:58:00 AM"</f>
        <v>2/13/2024 11:58:00 AM</v>
      </c>
      <c r="O21640" t="s">
        <v>65815</v>
      </c>
      <c r="T21640" t="s">
        <v>65816</v>
      </c>
    </row>
    <row r="21641" spans="1:20" x14ac:dyDescent="0.25">
      <c r="A21641" t="str">
        <f>"3040848"</f>
        <v>3040848</v>
      </c>
      <c r="B21641" t="s">
        <v>65817</v>
      </c>
      <c r="C21641" t="str">
        <f>"61192000"</f>
        <v>61192000</v>
      </c>
      <c r="D21641" t="s">
        <v>65818</v>
      </c>
      <c r="E21641" t="s">
        <v>65819</v>
      </c>
      <c r="F21641" t="s">
        <v>65820</v>
      </c>
      <c r="I21641" t="s">
        <v>184</v>
      </c>
      <c r="J21641" t="s">
        <v>30</v>
      </c>
      <c r="K21641" t="s">
        <v>3019</v>
      </c>
      <c r="M21641" t="s">
        <v>50793</v>
      </c>
      <c r="N21641" t="str">
        <f>"2/13/2024 12:00:00 PM"</f>
        <v>2/13/2024 12:00:00 PM</v>
      </c>
      <c r="O21641" t="s">
        <v>65818</v>
      </c>
      <c r="T21641" t="s">
        <v>65819</v>
      </c>
    </row>
    <row r="21642" spans="1:20" x14ac:dyDescent="0.25">
      <c r="A21642" t="str">
        <f>"3060205"</f>
        <v>3060205</v>
      </c>
      <c r="B21642" t="s">
        <v>65821</v>
      </c>
      <c r="C21642" t="str">
        <f>"39986750"</f>
        <v>39986750</v>
      </c>
      <c r="D21642" t="s">
        <v>65822</v>
      </c>
      <c r="E21642" t="s">
        <v>65823</v>
      </c>
      <c r="F21642" t="s">
        <v>65824</v>
      </c>
      <c r="I21642" t="s">
        <v>29</v>
      </c>
      <c r="J21642" t="s">
        <v>30</v>
      </c>
      <c r="K21642" t="s">
        <v>1511</v>
      </c>
      <c r="M21642" t="s">
        <v>50621</v>
      </c>
      <c r="N21642" t="str">
        <f>"2/15/2024 9:51:00 AM"</f>
        <v>2/15/2024 9:51:00 AM</v>
      </c>
      <c r="O21642" t="s">
        <v>65822</v>
      </c>
      <c r="T21642" t="s">
        <v>65823</v>
      </c>
    </row>
    <row r="21643" spans="1:20" x14ac:dyDescent="0.25">
      <c r="A21643" t="str">
        <f>"3048603"</f>
        <v>3048603</v>
      </c>
      <c r="B21643" t="s">
        <v>65825</v>
      </c>
      <c r="C21643" t="str">
        <f>"8318745"</f>
        <v>8318745</v>
      </c>
      <c r="D21643" t="s">
        <v>65826</v>
      </c>
      <c r="F21643" t="s">
        <v>65827</v>
      </c>
      <c r="I21643" t="s">
        <v>184</v>
      </c>
      <c r="J21643" t="s">
        <v>30</v>
      </c>
      <c r="K21643" t="s">
        <v>46254</v>
      </c>
      <c r="M21643" t="s">
        <v>50621</v>
      </c>
      <c r="N21643" t="str">
        <f>"2/15/2024 9:52:00 AM"</f>
        <v>2/15/2024 9:52:00 AM</v>
      </c>
      <c r="O21643" t="s">
        <v>65826</v>
      </c>
    </row>
    <row r="21644" spans="1:20" x14ac:dyDescent="0.25">
      <c r="A21644" t="str">
        <f>"3046584"</f>
        <v>3046584</v>
      </c>
      <c r="B21644" t="s">
        <v>65828</v>
      </c>
      <c r="C21644" t="str">
        <f>"8315948"</f>
        <v>8315948</v>
      </c>
      <c r="D21644" t="s">
        <v>65829</v>
      </c>
      <c r="E21644" t="s">
        <v>65830</v>
      </c>
      <c r="F21644" t="s">
        <v>65831</v>
      </c>
      <c r="I21644" t="s">
        <v>29</v>
      </c>
      <c r="J21644" t="s">
        <v>30</v>
      </c>
      <c r="K21644" t="s">
        <v>7356</v>
      </c>
      <c r="M21644" t="s">
        <v>50621</v>
      </c>
      <c r="N21644" t="str">
        <f>"2/15/2024 9:55:00 AM"</f>
        <v>2/15/2024 9:55:00 AM</v>
      </c>
      <c r="O21644" t="s">
        <v>65829</v>
      </c>
      <c r="T21644" t="s">
        <v>65830</v>
      </c>
    </row>
    <row r="21645" spans="1:20" x14ac:dyDescent="0.25">
      <c r="A21645" t="str">
        <f>"3047132"</f>
        <v>3047132</v>
      </c>
      <c r="B21645" t="s">
        <v>65832</v>
      </c>
      <c r="C21645" t="str">
        <f>"8315948"</f>
        <v>8315948</v>
      </c>
      <c r="D21645" t="s">
        <v>65829</v>
      </c>
      <c r="E21645" t="s">
        <v>65830</v>
      </c>
      <c r="F21645" t="s">
        <v>65831</v>
      </c>
      <c r="I21645" t="s">
        <v>29</v>
      </c>
      <c r="J21645" t="s">
        <v>30</v>
      </c>
      <c r="K21645" t="s">
        <v>7356</v>
      </c>
      <c r="M21645" t="s">
        <v>50621</v>
      </c>
      <c r="N21645" t="str">
        <f>"2/15/2024 9:55:00 AM"</f>
        <v>2/15/2024 9:55:00 AM</v>
      </c>
      <c r="O21645" t="s">
        <v>65829</v>
      </c>
      <c r="T21645" t="s">
        <v>65830</v>
      </c>
    </row>
    <row r="21646" spans="1:20" x14ac:dyDescent="0.25">
      <c r="A21646" t="str">
        <f>"3077962"</f>
        <v>3077962</v>
      </c>
      <c r="B21646" t="s">
        <v>65833</v>
      </c>
      <c r="C21646" t="str">
        <f>"8315948"</f>
        <v>8315948</v>
      </c>
      <c r="D21646" t="s">
        <v>65829</v>
      </c>
      <c r="E21646" t="s">
        <v>65830</v>
      </c>
      <c r="F21646" t="s">
        <v>65831</v>
      </c>
      <c r="I21646" t="s">
        <v>29</v>
      </c>
      <c r="J21646" t="s">
        <v>30</v>
      </c>
      <c r="K21646" t="s">
        <v>7356</v>
      </c>
      <c r="M21646" t="s">
        <v>50621</v>
      </c>
      <c r="N21646" t="str">
        <f>"2/15/2024 9:55:00 AM"</f>
        <v>2/15/2024 9:55:00 AM</v>
      </c>
      <c r="O21646" t="s">
        <v>65829</v>
      </c>
      <c r="T21646" t="s">
        <v>65830</v>
      </c>
    </row>
    <row r="21647" spans="1:20" x14ac:dyDescent="0.25">
      <c r="A21647" t="str">
        <f>"3043218"</f>
        <v>3043218</v>
      </c>
      <c r="B21647" t="s">
        <v>65834</v>
      </c>
      <c r="C21647" t="str">
        <f>"8308394"</f>
        <v>8308394</v>
      </c>
      <c r="D21647" t="s">
        <v>65473</v>
      </c>
      <c r="E21647" t="s">
        <v>65474</v>
      </c>
      <c r="F21647" t="s">
        <v>65475</v>
      </c>
      <c r="I21647" t="s">
        <v>29</v>
      </c>
      <c r="J21647" t="s">
        <v>30</v>
      </c>
      <c r="K21647" t="str">
        <f>"27028"</f>
        <v>27028</v>
      </c>
      <c r="M21647" t="s">
        <v>50621</v>
      </c>
      <c r="N21647" t="str">
        <f>"2/13/2024 1:16:00 PM"</f>
        <v>2/13/2024 1:16:00 PM</v>
      </c>
      <c r="O21647" t="s">
        <v>65473</v>
      </c>
      <c r="T21647" t="s">
        <v>65474</v>
      </c>
    </row>
    <row r="21648" spans="1:20" x14ac:dyDescent="0.25">
      <c r="A21648" t="str">
        <f>"3064733"</f>
        <v>3064733</v>
      </c>
      <c r="B21648" t="s">
        <v>65835</v>
      </c>
      <c r="C21648" t="str">
        <f>"82518719"</f>
        <v>82518719</v>
      </c>
      <c r="D21648" t="s">
        <v>65836</v>
      </c>
      <c r="E21648" t="s">
        <v>65837</v>
      </c>
      <c r="F21648" t="s">
        <v>65838</v>
      </c>
      <c r="I21648" t="s">
        <v>29</v>
      </c>
      <c r="J21648" t="s">
        <v>30</v>
      </c>
      <c r="K21648" t="s">
        <v>31</v>
      </c>
      <c r="M21648" t="s">
        <v>50621</v>
      </c>
      <c r="N21648" t="str">
        <f>"2/14/2024 2:17:00 PM"</f>
        <v>2/14/2024 2:17:00 PM</v>
      </c>
      <c r="O21648" t="s">
        <v>65836</v>
      </c>
      <c r="T21648" t="s">
        <v>65837</v>
      </c>
    </row>
    <row r="21649" spans="1:20" x14ac:dyDescent="0.25">
      <c r="A21649" t="str">
        <f>"3045948"</f>
        <v>3045948</v>
      </c>
      <c r="B21649" t="s">
        <v>65839</v>
      </c>
      <c r="C21649" t="str">
        <f>"40480500"</f>
        <v>40480500</v>
      </c>
      <c r="D21649" t="s">
        <v>65840</v>
      </c>
      <c r="E21649" t="s">
        <v>65841</v>
      </c>
      <c r="F21649" t="s">
        <v>65842</v>
      </c>
      <c r="I21649" t="s">
        <v>29</v>
      </c>
      <c r="J21649" t="s">
        <v>30</v>
      </c>
      <c r="K21649" t="s">
        <v>55070</v>
      </c>
      <c r="M21649" t="s">
        <v>50621</v>
      </c>
      <c r="N21649" t="str">
        <f>"2/15/2024 10:19:00 AM"</f>
        <v>2/15/2024 10:19:00 AM</v>
      </c>
      <c r="O21649" t="s">
        <v>65840</v>
      </c>
      <c r="T21649" t="s">
        <v>65841</v>
      </c>
    </row>
    <row r="21650" spans="1:20" x14ac:dyDescent="0.25">
      <c r="A21650" t="str">
        <f>"3051989"</f>
        <v>3051989</v>
      </c>
      <c r="B21650" t="s">
        <v>65843</v>
      </c>
      <c r="C21650" t="str">
        <f>"36547500"</f>
        <v>36547500</v>
      </c>
      <c r="D21650" t="s">
        <v>65844</v>
      </c>
      <c r="F21650" t="str">
        <f>"C/O DONNA H JONES"</f>
        <v>C/O DONNA H JONES</v>
      </c>
      <c r="G21650" t="s">
        <v>65845</v>
      </c>
      <c r="I21650" t="s">
        <v>184</v>
      </c>
      <c r="J21650" t="s">
        <v>30</v>
      </c>
      <c r="K21650" t="s">
        <v>2013</v>
      </c>
      <c r="M21650" t="s">
        <v>50621</v>
      </c>
      <c r="N21650" t="str">
        <f>"2/14/2024 2:38:00 PM"</f>
        <v>2/14/2024 2:38:00 PM</v>
      </c>
      <c r="O21650" t="s">
        <v>65844</v>
      </c>
    </row>
    <row r="21651" spans="1:20" x14ac:dyDescent="0.25">
      <c r="A21651" t="str">
        <f>"3038534"</f>
        <v>3038534</v>
      </c>
      <c r="B21651" t="s">
        <v>65846</v>
      </c>
      <c r="C21651" t="str">
        <f>"37191000"</f>
        <v>37191000</v>
      </c>
      <c r="D21651" t="s">
        <v>65847</v>
      </c>
      <c r="E21651" t="s">
        <v>65848</v>
      </c>
      <c r="F21651" t="s">
        <v>65849</v>
      </c>
      <c r="I21651" t="s">
        <v>29</v>
      </c>
      <c r="J21651" t="s">
        <v>30</v>
      </c>
      <c r="K21651" t="s">
        <v>65850</v>
      </c>
      <c r="M21651" t="s">
        <v>50621</v>
      </c>
      <c r="N21651" t="str">
        <f>"2/14/2024 2:41:00 PM"</f>
        <v>2/14/2024 2:41:00 PM</v>
      </c>
      <c r="O21651" t="s">
        <v>65847</v>
      </c>
      <c r="T21651" t="s">
        <v>65848</v>
      </c>
    </row>
    <row r="21652" spans="1:20" x14ac:dyDescent="0.25">
      <c r="A21652" t="str">
        <f>"3056666"</f>
        <v>3056666</v>
      </c>
      <c r="B21652" t="s">
        <v>65851</v>
      </c>
      <c r="C21652" t="str">
        <f>"51052000"</f>
        <v>51052000</v>
      </c>
      <c r="D21652" t="s">
        <v>65852</v>
      </c>
      <c r="E21652" t="s">
        <v>65853</v>
      </c>
      <c r="F21652" t="s">
        <v>65854</v>
      </c>
      <c r="I21652" t="s">
        <v>29</v>
      </c>
      <c r="J21652" t="s">
        <v>30</v>
      </c>
      <c r="K21652" t="s">
        <v>65855</v>
      </c>
      <c r="M21652" t="s">
        <v>50500</v>
      </c>
      <c r="N21652" t="str">
        <f>"2/14/2024 2:44:00 PM"</f>
        <v>2/14/2024 2:44:00 PM</v>
      </c>
      <c r="O21652" t="s">
        <v>65852</v>
      </c>
      <c r="T21652" t="s">
        <v>65853</v>
      </c>
    </row>
    <row r="21653" spans="1:20" x14ac:dyDescent="0.25">
      <c r="A21653" t="str">
        <f>"3054249"</f>
        <v>3054249</v>
      </c>
      <c r="B21653" t="s">
        <v>65856</v>
      </c>
      <c r="C21653" t="str">
        <f>"82523990"</f>
        <v>82523990</v>
      </c>
      <c r="D21653" t="s">
        <v>65857</v>
      </c>
      <c r="F21653" t="s">
        <v>65858</v>
      </c>
      <c r="I21653" t="s">
        <v>29</v>
      </c>
      <c r="J21653" t="s">
        <v>30</v>
      </c>
      <c r="K21653" t="s">
        <v>31</v>
      </c>
      <c r="M21653" t="s">
        <v>50621</v>
      </c>
      <c r="N21653" t="str">
        <f>"2/15/2024 2:43:00 PM"</f>
        <v>2/15/2024 2:43:00 PM</v>
      </c>
      <c r="O21653" t="s">
        <v>65857</v>
      </c>
    </row>
    <row r="21654" spans="1:20" x14ac:dyDescent="0.25">
      <c r="A21654" t="str">
        <f>"3054047"</f>
        <v>3054047</v>
      </c>
      <c r="B21654" t="s">
        <v>65859</v>
      </c>
      <c r="C21654" t="str">
        <f>"82523990"</f>
        <v>82523990</v>
      </c>
      <c r="D21654" t="s">
        <v>65857</v>
      </c>
      <c r="F21654" t="s">
        <v>65858</v>
      </c>
      <c r="I21654" t="s">
        <v>29</v>
      </c>
      <c r="J21654" t="s">
        <v>30</v>
      </c>
      <c r="K21654" t="s">
        <v>31</v>
      </c>
      <c r="M21654" t="s">
        <v>50621</v>
      </c>
      <c r="N21654" t="str">
        <f>"2/15/2024 2:43:00 PM"</f>
        <v>2/15/2024 2:43:00 PM</v>
      </c>
      <c r="O21654" t="s">
        <v>65857</v>
      </c>
    </row>
    <row r="21655" spans="1:20" x14ac:dyDescent="0.25">
      <c r="A21655" t="str">
        <f>"3055647"</f>
        <v>3055647</v>
      </c>
      <c r="B21655" t="s">
        <v>65860</v>
      </c>
      <c r="C21655" t="str">
        <f>"51052000"</f>
        <v>51052000</v>
      </c>
      <c r="D21655" t="s">
        <v>65852</v>
      </c>
      <c r="E21655" t="s">
        <v>65853</v>
      </c>
      <c r="F21655" t="s">
        <v>65854</v>
      </c>
      <c r="I21655" t="s">
        <v>29</v>
      </c>
      <c r="J21655" t="s">
        <v>30</v>
      </c>
      <c r="K21655" t="s">
        <v>65855</v>
      </c>
      <c r="M21655" t="s">
        <v>50500</v>
      </c>
      <c r="N21655" t="str">
        <f>"2/14/2024 2:44:00 PM"</f>
        <v>2/14/2024 2:44:00 PM</v>
      </c>
      <c r="O21655" t="s">
        <v>65852</v>
      </c>
      <c r="T21655" t="s">
        <v>65853</v>
      </c>
    </row>
    <row r="21656" spans="1:20" x14ac:dyDescent="0.25">
      <c r="A21656" t="str">
        <f>"3046586"</f>
        <v>3046586</v>
      </c>
      <c r="B21656" t="s">
        <v>65861</v>
      </c>
      <c r="C21656" t="str">
        <f>"37408000"</f>
        <v>37408000</v>
      </c>
      <c r="D21656" t="s">
        <v>65862</v>
      </c>
      <c r="F21656" t="s">
        <v>65863</v>
      </c>
      <c r="I21656" t="s">
        <v>184</v>
      </c>
      <c r="J21656" t="s">
        <v>30</v>
      </c>
      <c r="K21656" t="s">
        <v>8654</v>
      </c>
      <c r="M21656" t="s">
        <v>50621</v>
      </c>
      <c r="N21656" t="str">
        <f>"2/14/2024 2:44:00 PM"</f>
        <v>2/14/2024 2:44:00 PM</v>
      </c>
      <c r="O21656" t="s">
        <v>65862</v>
      </c>
    </row>
    <row r="21657" spans="1:20" x14ac:dyDescent="0.25">
      <c r="A21657" t="str">
        <f>"3050643"</f>
        <v>3050643</v>
      </c>
      <c r="B21657" t="s">
        <v>65864</v>
      </c>
      <c r="C21657" t="str">
        <f>"41482000"</f>
        <v>41482000</v>
      </c>
      <c r="D21657" t="s">
        <v>65865</v>
      </c>
      <c r="E21657" t="s">
        <v>65866</v>
      </c>
      <c r="F21657" t="s">
        <v>65867</v>
      </c>
      <c r="I21657" t="s">
        <v>184</v>
      </c>
      <c r="J21657" t="s">
        <v>30</v>
      </c>
      <c r="K21657" t="s">
        <v>12590</v>
      </c>
      <c r="M21657" t="s">
        <v>50621</v>
      </c>
      <c r="N21657" t="str">
        <f>"2/15/2024 2:47:00 PM"</f>
        <v>2/15/2024 2:47:00 PM</v>
      </c>
      <c r="O21657" t="s">
        <v>65865</v>
      </c>
      <c r="T21657" t="s">
        <v>65866</v>
      </c>
    </row>
    <row r="21658" spans="1:20" x14ac:dyDescent="0.25">
      <c r="A21658" t="str">
        <f>"3050651"</f>
        <v>3050651</v>
      </c>
      <c r="B21658" t="s">
        <v>65868</v>
      </c>
      <c r="C21658" t="str">
        <f>"41482000"</f>
        <v>41482000</v>
      </c>
      <c r="D21658" t="s">
        <v>65865</v>
      </c>
      <c r="E21658" t="s">
        <v>65866</v>
      </c>
      <c r="F21658" t="s">
        <v>65867</v>
      </c>
      <c r="I21658" t="s">
        <v>184</v>
      </c>
      <c r="J21658" t="s">
        <v>30</v>
      </c>
      <c r="K21658" t="s">
        <v>12590</v>
      </c>
      <c r="M21658" t="s">
        <v>50621</v>
      </c>
      <c r="N21658" t="str">
        <f>"2/15/2024 2:47:00 PM"</f>
        <v>2/15/2024 2:47:00 PM</v>
      </c>
      <c r="O21658" t="s">
        <v>65865</v>
      </c>
      <c r="T21658" t="s">
        <v>65866</v>
      </c>
    </row>
    <row r="21659" spans="1:20" x14ac:dyDescent="0.25">
      <c r="A21659" t="str">
        <f>"3050652"</f>
        <v>3050652</v>
      </c>
      <c r="B21659" t="s">
        <v>65869</v>
      </c>
      <c r="C21659" t="str">
        <f>"41482000"</f>
        <v>41482000</v>
      </c>
      <c r="D21659" t="s">
        <v>65865</v>
      </c>
      <c r="E21659" t="s">
        <v>65866</v>
      </c>
      <c r="F21659" t="s">
        <v>65867</v>
      </c>
      <c r="I21659" t="s">
        <v>184</v>
      </c>
      <c r="J21659" t="s">
        <v>30</v>
      </c>
      <c r="K21659" t="s">
        <v>12590</v>
      </c>
      <c r="M21659" t="s">
        <v>50621</v>
      </c>
      <c r="N21659" t="str">
        <f>"2/15/2024 2:47:00 PM"</f>
        <v>2/15/2024 2:47:00 PM</v>
      </c>
      <c r="O21659" t="s">
        <v>65865</v>
      </c>
      <c r="T21659" t="s">
        <v>65866</v>
      </c>
    </row>
    <row r="21660" spans="1:20" x14ac:dyDescent="0.25">
      <c r="A21660" t="str">
        <f>"3050664"</f>
        <v>3050664</v>
      </c>
      <c r="B21660" t="s">
        <v>65870</v>
      </c>
      <c r="C21660" t="str">
        <f>"41482000"</f>
        <v>41482000</v>
      </c>
      <c r="D21660" t="s">
        <v>65865</v>
      </c>
      <c r="E21660" t="s">
        <v>65866</v>
      </c>
      <c r="F21660" t="s">
        <v>65867</v>
      </c>
      <c r="I21660" t="s">
        <v>184</v>
      </c>
      <c r="J21660" t="s">
        <v>30</v>
      </c>
      <c r="K21660" t="s">
        <v>12590</v>
      </c>
      <c r="M21660" t="s">
        <v>50621</v>
      </c>
      <c r="N21660" t="str">
        <f>"2/15/2024 2:47:00 PM"</f>
        <v>2/15/2024 2:47:00 PM</v>
      </c>
      <c r="O21660" t="s">
        <v>65865</v>
      </c>
      <c r="T21660" t="s">
        <v>65866</v>
      </c>
    </row>
    <row r="21661" spans="1:20" x14ac:dyDescent="0.25">
      <c r="A21661" t="str">
        <f>"3061485"</f>
        <v>3061485</v>
      </c>
      <c r="B21661" t="s">
        <v>65871</v>
      </c>
      <c r="C21661" t="str">
        <f>"41514000"</f>
        <v>41514000</v>
      </c>
      <c r="D21661" t="s">
        <v>65872</v>
      </c>
      <c r="E21661" t="s">
        <v>65873</v>
      </c>
      <c r="F21661" t="s">
        <v>65845</v>
      </c>
      <c r="I21661" t="s">
        <v>184</v>
      </c>
      <c r="J21661" t="s">
        <v>30</v>
      </c>
      <c r="K21661" t="s">
        <v>185</v>
      </c>
      <c r="M21661" t="s">
        <v>50621</v>
      </c>
      <c r="N21661" t="str">
        <f>"2/15/2024 2:48:00 PM"</f>
        <v>2/15/2024 2:48:00 PM</v>
      </c>
      <c r="O21661" t="s">
        <v>65872</v>
      </c>
      <c r="T21661" t="s">
        <v>65873</v>
      </c>
    </row>
    <row r="21662" spans="1:20" x14ac:dyDescent="0.25">
      <c r="A21662" t="str">
        <f>"3056863"</f>
        <v>3056863</v>
      </c>
      <c r="B21662" t="s">
        <v>65874</v>
      </c>
      <c r="C21662" t="str">
        <f>"8306290"</f>
        <v>8306290</v>
      </c>
      <c r="D21662" t="s">
        <v>65875</v>
      </c>
      <c r="F21662" t="s">
        <v>65876</v>
      </c>
      <c r="I21662" t="s">
        <v>65877</v>
      </c>
      <c r="J21662" t="s">
        <v>12725</v>
      </c>
      <c r="K21662" t="s">
        <v>65878</v>
      </c>
      <c r="M21662" t="s">
        <v>50621</v>
      </c>
      <c r="N21662" t="str">
        <f>"2/15/2024 2:49:00 PM"</f>
        <v>2/15/2024 2:49:00 PM</v>
      </c>
      <c r="O21662" t="s">
        <v>65875</v>
      </c>
    </row>
    <row r="21663" spans="1:20" x14ac:dyDescent="0.25">
      <c r="A21663" t="str">
        <f>"3056847"</f>
        <v>3056847</v>
      </c>
      <c r="B21663" t="s">
        <v>65879</v>
      </c>
      <c r="C21663" t="str">
        <f>"8306290"</f>
        <v>8306290</v>
      </c>
      <c r="D21663" t="s">
        <v>65875</v>
      </c>
      <c r="F21663" t="s">
        <v>65876</v>
      </c>
      <c r="I21663" t="s">
        <v>65877</v>
      </c>
      <c r="J21663" t="s">
        <v>12725</v>
      </c>
      <c r="K21663" t="s">
        <v>65878</v>
      </c>
      <c r="M21663" t="s">
        <v>50621</v>
      </c>
      <c r="N21663" t="str">
        <f>"2/15/2024 2:49:00 PM"</f>
        <v>2/15/2024 2:49:00 PM</v>
      </c>
      <c r="O21663" t="s">
        <v>65875</v>
      </c>
    </row>
    <row r="21664" spans="1:20" x14ac:dyDescent="0.25">
      <c r="A21664" t="str">
        <f>"3048560"</f>
        <v>3048560</v>
      </c>
      <c r="B21664" t="s">
        <v>65880</v>
      </c>
      <c r="C21664" t="str">
        <f>"61927750"</f>
        <v>61927750</v>
      </c>
      <c r="D21664" t="s">
        <v>65881</v>
      </c>
      <c r="F21664" t="s">
        <v>65882</v>
      </c>
      <c r="I21664" t="s">
        <v>184</v>
      </c>
      <c r="J21664" t="s">
        <v>30</v>
      </c>
      <c r="K21664" t="s">
        <v>185</v>
      </c>
      <c r="M21664" t="s">
        <v>50793</v>
      </c>
      <c r="N21664" t="str">
        <f>"2/15/2024 2:51:00 PM"</f>
        <v>2/15/2024 2:51:00 PM</v>
      </c>
      <c r="O21664" t="s">
        <v>65881</v>
      </c>
    </row>
    <row r="21665" spans="1:20" x14ac:dyDescent="0.25">
      <c r="A21665" t="str">
        <f>"3048428"</f>
        <v>3048428</v>
      </c>
      <c r="B21665" t="s">
        <v>65883</v>
      </c>
      <c r="C21665" t="str">
        <f>"61927750"</f>
        <v>61927750</v>
      </c>
      <c r="D21665" t="s">
        <v>65881</v>
      </c>
      <c r="F21665" t="s">
        <v>65882</v>
      </c>
      <c r="I21665" t="s">
        <v>184</v>
      </c>
      <c r="J21665" t="s">
        <v>30</v>
      </c>
      <c r="K21665" t="s">
        <v>185</v>
      </c>
      <c r="M21665" t="s">
        <v>50793</v>
      </c>
      <c r="N21665" t="str">
        <f>"2/15/2024 2:51:00 PM"</f>
        <v>2/15/2024 2:51:00 PM</v>
      </c>
      <c r="O21665" t="s">
        <v>65881</v>
      </c>
    </row>
    <row r="21666" spans="1:20" x14ac:dyDescent="0.25">
      <c r="A21666" t="str">
        <f>"3047831"</f>
        <v>3047831</v>
      </c>
      <c r="B21666" t="s">
        <v>65884</v>
      </c>
      <c r="C21666" t="str">
        <f>"61927750"</f>
        <v>61927750</v>
      </c>
      <c r="D21666" t="s">
        <v>65881</v>
      </c>
      <c r="F21666" t="s">
        <v>65882</v>
      </c>
      <c r="I21666" t="s">
        <v>184</v>
      </c>
      <c r="J21666" t="s">
        <v>30</v>
      </c>
      <c r="K21666" t="s">
        <v>185</v>
      </c>
      <c r="M21666" t="s">
        <v>50793</v>
      </c>
      <c r="N21666" t="str">
        <f>"2/15/2024 2:51:00 PM"</f>
        <v>2/15/2024 2:51:00 PM</v>
      </c>
      <c r="O21666" t="s">
        <v>65881</v>
      </c>
    </row>
    <row r="21667" spans="1:20" x14ac:dyDescent="0.25">
      <c r="A21667" t="str">
        <f>"3050569"</f>
        <v>3050569</v>
      </c>
      <c r="B21667" t="s">
        <v>65885</v>
      </c>
      <c r="C21667" t="str">
        <f>"8308911"</f>
        <v>8308911</v>
      </c>
      <c r="D21667" t="s">
        <v>65886</v>
      </c>
      <c r="F21667" t="s">
        <v>65887</v>
      </c>
      <c r="I21667" t="s">
        <v>184</v>
      </c>
      <c r="J21667" t="s">
        <v>30</v>
      </c>
      <c r="K21667" t="s">
        <v>40481</v>
      </c>
      <c r="M21667" t="s">
        <v>50621</v>
      </c>
      <c r="N21667" t="str">
        <f>"2/14/2024 2:44:00 PM"</f>
        <v>2/14/2024 2:44:00 PM</v>
      </c>
      <c r="O21667" t="s">
        <v>65886</v>
      </c>
    </row>
    <row r="21668" spans="1:20" x14ac:dyDescent="0.25">
      <c r="A21668" t="str">
        <f>"3078300"</f>
        <v>3078300</v>
      </c>
      <c r="B21668" t="s">
        <v>65888</v>
      </c>
      <c r="C21668" t="str">
        <f>"8308911"</f>
        <v>8308911</v>
      </c>
      <c r="D21668" t="s">
        <v>65886</v>
      </c>
      <c r="F21668" t="s">
        <v>65887</v>
      </c>
      <c r="I21668" t="s">
        <v>184</v>
      </c>
      <c r="J21668" t="s">
        <v>30</v>
      </c>
      <c r="K21668" t="s">
        <v>40481</v>
      </c>
      <c r="M21668" t="s">
        <v>50621</v>
      </c>
      <c r="N21668" t="str">
        <f>"2/14/2024 2:44:00 PM"</f>
        <v>2/14/2024 2:44:00 PM</v>
      </c>
      <c r="O21668" t="s">
        <v>65886</v>
      </c>
    </row>
    <row r="21669" spans="1:20" x14ac:dyDescent="0.25">
      <c r="A21669" t="str">
        <f>"3062498"</f>
        <v>3062498</v>
      </c>
      <c r="B21669" t="s">
        <v>65889</v>
      </c>
      <c r="C21669" t="str">
        <f>"82523829"</f>
        <v>82523829</v>
      </c>
      <c r="D21669" t="s">
        <v>65890</v>
      </c>
      <c r="F21669" t="s">
        <v>65891</v>
      </c>
      <c r="I21669" t="s">
        <v>29</v>
      </c>
      <c r="J21669" t="s">
        <v>30</v>
      </c>
      <c r="K21669" t="s">
        <v>31</v>
      </c>
      <c r="M21669" t="s">
        <v>50621</v>
      </c>
      <c r="N21669" t="str">
        <f>"2/14/2024 2:45:00 PM"</f>
        <v>2/14/2024 2:45:00 PM</v>
      </c>
      <c r="O21669" t="s">
        <v>65890</v>
      </c>
    </row>
    <row r="21670" spans="1:20" x14ac:dyDescent="0.25">
      <c r="A21670" t="str">
        <f>"3038139"</f>
        <v>3038139</v>
      </c>
      <c r="B21670" t="s">
        <v>65892</v>
      </c>
      <c r="C21670" t="str">
        <f>"82523829"</f>
        <v>82523829</v>
      </c>
      <c r="D21670" t="s">
        <v>65890</v>
      </c>
      <c r="F21670" t="s">
        <v>65891</v>
      </c>
      <c r="I21670" t="s">
        <v>29</v>
      </c>
      <c r="J21670" t="s">
        <v>30</v>
      </c>
      <c r="K21670" t="s">
        <v>31</v>
      </c>
      <c r="M21670" t="s">
        <v>50621</v>
      </c>
      <c r="N21670" t="str">
        <f>"2/14/2024 2:45:00 PM"</f>
        <v>2/14/2024 2:45:00 PM</v>
      </c>
      <c r="O21670" t="s">
        <v>65890</v>
      </c>
    </row>
    <row r="21671" spans="1:20" x14ac:dyDescent="0.25">
      <c r="A21671" t="str">
        <f>"3082772"</f>
        <v>3082772</v>
      </c>
      <c r="B21671" t="s">
        <v>65893</v>
      </c>
      <c r="C21671" t="str">
        <f>"37689000"</f>
        <v>37689000</v>
      </c>
      <c r="D21671" t="s">
        <v>65894</v>
      </c>
      <c r="F21671" t="s">
        <v>11313</v>
      </c>
      <c r="I21671" t="s">
        <v>29</v>
      </c>
      <c r="J21671" t="s">
        <v>30</v>
      </c>
      <c r="K21671" t="s">
        <v>31</v>
      </c>
      <c r="M21671" t="s">
        <v>50621</v>
      </c>
      <c r="N21671" t="str">
        <f>"2/14/2024 2:45:00 PM"</f>
        <v>2/14/2024 2:45:00 PM</v>
      </c>
      <c r="O21671" t="s">
        <v>65894</v>
      </c>
    </row>
    <row r="21672" spans="1:20" x14ac:dyDescent="0.25">
      <c r="A21672" t="str">
        <f>"3078443"</f>
        <v>3078443</v>
      </c>
      <c r="B21672" t="s">
        <v>65895</v>
      </c>
      <c r="C21672" t="str">
        <f>"8301523"</f>
        <v>8301523</v>
      </c>
      <c r="D21672" t="s">
        <v>65896</v>
      </c>
      <c r="F21672" t="s">
        <v>65758</v>
      </c>
      <c r="I21672" t="s">
        <v>29</v>
      </c>
      <c r="J21672" t="s">
        <v>30</v>
      </c>
      <c r="K21672" t="str">
        <f>"27028"</f>
        <v>27028</v>
      </c>
      <c r="M21672" t="s">
        <v>50621</v>
      </c>
      <c r="N21672" t="str">
        <f>"2/14/2024 2:46:00 PM"</f>
        <v>2/14/2024 2:46:00 PM</v>
      </c>
      <c r="O21672" t="s">
        <v>65896</v>
      </c>
    </row>
    <row r="21673" spans="1:20" x14ac:dyDescent="0.25">
      <c r="A21673" t="str">
        <f>"3052896"</f>
        <v>3052896</v>
      </c>
      <c r="B21673" t="s">
        <v>65897</v>
      </c>
      <c r="C21673" t="str">
        <f>"8301523"</f>
        <v>8301523</v>
      </c>
      <c r="D21673" t="s">
        <v>65896</v>
      </c>
      <c r="F21673" t="s">
        <v>65758</v>
      </c>
      <c r="I21673" t="s">
        <v>29</v>
      </c>
      <c r="J21673" t="s">
        <v>30</v>
      </c>
      <c r="K21673" t="str">
        <f>"27028"</f>
        <v>27028</v>
      </c>
      <c r="M21673" t="s">
        <v>50621</v>
      </c>
      <c r="N21673" t="str">
        <f>"2/14/2024 2:46:00 PM"</f>
        <v>2/14/2024 2:46:00 PM</v>
      </c>
      <c r="O21673" t="s">
        <v>65896</v>
      </c>
    </row>
    <row r="21674" spans="1:20" x14ac:dyDescent="0.25">
      <c r="A21674" t="str">
        <f>"3056932"</f>
        <v>3056932</v>
      </c>
      <c r="B21674" t="s">
        <v>65898</v>
      </c>
      <c r="C21674" t="str">
        <f>"38058000"</f>
        <v>38058000</v>
      </c>
      <c r="D21674" t="s">
        <v>65756</v>
      </c>
      <c r="E21674" t="s">
        <v>65757</v>
      </c>
      <c r="F21674" t="s">
        <v>65758</v>
      </c>
      <c r="I21674" t="s">
        <v>29</v>
      </c>
      <c r="J21674" t="s">
        <v>30</v>
      </c>
      <c r="K21674" t="s">
        <v>31</v>
      </c>
      <c r="M21674" t="s">
        <v>50621</v>
      </c>
      <c r="N21674" t="str">
        <f>"2/14/2024 2:47:00 PM"</f>
        <v>2/14/2024 2:47:00 PM</v>
      </c>
      <c r="O21674" t="s">
        <v>65756</v>
      </c>
      <c r="T21674" t="s">
        <v>65757</v>
      </c>
    </row>
    <row r="21675" spans="1:20" x14ac:dyDescent="0.25">
      <c r="A21675" t="str">
        <f>"3060398"</f>
        <v>3060398</v>
      </c>
      <c r="B21675" t="s">
        <v>65899</v>
      </c>
      <c r="C21675" t="str">
        <f>"38348000"</f>
        <v>38348000</v>
      </c>
      <c r="D21675" t="s">
        <v>65900</v>
      </c>
      <c r="F21675" t="s">
        <v>65901</v>
      </c>
      <c r="I21675" t="s">
        <v>29</v>
      </c>
      <c r="J21675" t="s">
        <v>30</v>
      </c>
      <c r="K21675" t="s">
        <v>65902</v>
      </c>
      <c r="M21675" t="s">
        <v>50621</v>
      </c>
      <c r="N21675" t="str">
        <f>"2/14/2024 2:48:00 PM"</f>
        <v>2/14/2024 2:48:00 PM</v>
      </c>
      <c r="O21675" t="s">
        <v>65900</v>
      </c>
    </row>
    <row r="21676" spans="1:20" x14ac:dyDescent="0.25">
      <c r="A21676" t="str">
        <f>"3048157"</f>
        <v>3048157</v>
      </c>
      <c r="B21676" t="s">
        <v>65903</v>
      </c>
      <c r="C21676" t="str">
        <f>"82527212"</f>
        <v>82527212</v>
      </c>
      <c r="D21676" t="s">
        <v>65904</v>
      </c>
      <c r="F21676" t="s">
        <v>65905</v>
      </c>
      <c r="I21676" t="s">
        <v>184</v>
      </c>
      <c r="J21676" t="s">
        <v>30</v>
      </c>
      <c r="K21676" t="s">
        <v>185</v>
      </c>
      <c r="M21676" t="s">
        <v>50621</v>
      </c>
      <c r="N21676" t="str">
        <f>"2/14/2024 2:58:00 PM"</f>
        <v>2/14/2024 2:58:00 PM</v>
      </c>
      <c r="O21676" t="s">
        <v>65904</v>
      </c>
    </row>
    <row r="21677" spans="1:20" x14ac:dyDescent="0.25">
      <c r="A21677" t="str">
        <f>"3052538"</f>
        <v>3052538</v>
      </c>
      <c r="B21677" t="s">
        <v>65906</v>
      </c>
      <c r="C21677" t="str">
        <f>"39010000"</f>
        <v>39010000</v>
      </c>
      <c r="D21677" t="s">
        <v>65907</v>
      </c>
      <c r="F21677" t="s">
        <v>65908</v>
      </c>
      <c r="I21677" t="s">
        <v>29</v>
      </c>
      <c r="J21677" t="s">
        <v>30</v>
      </c>
      <c r="K21677" t="s">
        <v>31</v>
      </c>
      <c r="M21677" t="s">
        <v>50621</v>
      </c>
      <c r="N21677" t="str">
        <f>"2/15/2024 9:30:00 AM"</f>
        <v>2/15/2024 9:30:00 AM</v>
      </c>
      <c r="O21677" t="s">
        <v>65907</v>
      </c>
    </row>
    <row r="21678" spans="1:20" x14ac:dyDescent="0.25">
      <c r="A21678" t="str">
        <f>"3062452"</f>
        <v>3062452</v>
      </c>
      <c r="B21678" t="s">
        <v>65909</v>
      </c>
      <c r="C21678" t="str">
        <f>"8310472"</f>
        <v>8310472</v>
      </c>
      <c r="D21678" t="s">
        <v>65910</v>
      </c>
      <c r="E21678" t="s">
        <v>65911</v>
      </c>
      <c r="F21678" t="s">
        <v>65912</v>
      </c>
      <c r="I21678" t="s">
        <v>2071</v>
      </c>
      <c r="J21678" t="s">
        <v>30</v>
      </c>
      <c r="K21678" t="str">
        <f>"27006"</f>
        <v>27006</v>
      </c>
      <c r="M21678" t="s">
        <v>50621</v>
      </c>
      <c r="N21678" t="str">
        <f>"2/15/2024 3:05:00 PM"</f>
        <v>2/15/2024 3:05:00 PM</v>
      </c>
      <c r="O21678" t="s">
        <v>65910</v>
      </c>
      <c r="T21678" t="s">
        <v>65911</v>
      </c>
    </row>
    <row r="21679" spans="1:20" x14ac:dyDescent="0.25">
      <c r="A21679" t="str">
        <f>"3056299"</f>
        <v>3056299</v>
      </c>
      <c r="B21679" t="s">
        <v>65913</v>
      </c>
      <c r="C21679" t="str">
        <f>"39007000"</f>
        <v>39007000</v>
      </c>
      <c r="D21679" t="s">
        <v>65914</v>
      </c>
      <c r="F21679" t="s">
        <v>65915</v>
      </c>
      <c r="I21679" t="s">
        <v>29</v>
      </c>
      <c r="J21679" t="s">
        <v>30</v>
      </c>
      <c r="K21679" t="s">
        <v>57108</v>
      </c>
      <c r="M21679" t="s">
        <v>50621</v>
      </c>
      <c r="N21679" t="str">
        <f>"2/15/2024 9:30:00 AM"</f>
        <v>2/15/2024 9:30:00 AM</v>
      </c>
      <c r="O21679" t="s">
        <v>65914</v>
      </c>
    </row>
    <row r="21680" spans="1:20" x14ac:dyDescent="0.25">
      <c r="A21680" t="str">
        <f>"3056165"</f>
        <v>3056165</v>
      </c>
      <c r="B21680" t="s">
        <v>65916</v>
      </c>
      <c r="C21680" t="str">
        <f>"39100000"</f>
        <v>39100000</v>
      </c>
      <c r="D21680" t="s">
        <v>65917</v>
      </c>
      <c r="F21680" t="s">
        <v>65918</v>
      </c>
      <c r="I21680" t="s">
        <v>29</v>
      </c>
      <c r="J21680" t="s">
        <v>30</v>
      </c>
      <c r="K21680" t="s">
        <v>33878</v>
      </c>
      <c r="M21680" t="s">
        <v>50621</v>
      </c>
      <c r="N21680" t="str">
        <f>"2/15/2024 9:31:00 AM"</f>
        <v>2/15/2024 9:31:00 AM</v>
      </c>
      <c r="O21680" t="s">
        <v>65917</v>
      </c>
    </row>
    <row r="21681" spans="1:20" x14ac:dyDescent="0.25">
      <c r="A21681" t="str">
        <f>"3061300"</f>
        <v>3061300</v>
      </c>
      <c r="B21681" t="s">
        <v>65919</v>
      </c>
      <c r="C21681" t="str">
        <f>"39459180"</f>
        <v>39459180</v>
      </c>
      <c r="D21681" t="s">
        <v>65920</v>
      </c>
      <c r="E21681" t="s">
        <v>65921</v>
      </c>
      <c r="F21681" t="s">
        <v>65922</v>
      </c>
      <c r="I21681" t="s">
        <v>184</v>
      </c>
      <c r="J21681" t="s">
        <v>30</v>
      </c>
      <c r="K21681" t="s">
        <v>5214</v>
      </c>
      <c r="M21681" t="s">
        <v>50621</v>
      </c>
      <c r="N21681" t="str">
        <f>"2/15/2024 9:47:00 AM"</f>
        <v>2/15/2024 9:47:00 AM</v>
      </c>
      <c r="O21681" t="s">
        <v>65920</v>
      </c>
      <c r="T21681" t="s">
        <v>65921</v>
      </c>
    </row>
    <row r="21682" spans="1:20" x14ac:dyDescent="0.25">
      <c r="A21682" t="str">
        <f>"3042955"</f>
        <v>3042955</v>
      </c>
      <c r="B21682" t="s">
        <v>65923</v>
      </c>
      <c r="C21682" t="str">
        <f>"8312379"</f>
        <v>8312379</v>
      </c>
      <c r="D21682" t="s">
        <v>65924</v>
      </c>
      <c r="E21682" t="s">
        <v>65925</v>
      </c>
      <c r="F21682" t="s">
        <v>65926</v>
      </c>
      <c r="I21682" t="s">
        <v>29</v>
      </c>
      <c r="J21682" t="s">
        <v>30</v>
      </c>
      <c r="K21682" t="s">
        <v>65927</v>
      </c>
      <c r="M21682" t="s">
        <v>50793</v>
      </c>
      <c r="N21682" t="str">
        <f>"2/15/2024 3:14:00 PM"</f>
        <v>2/15/2024 3:14:00 PM</v>
      </c>
      <c r="O21682" t="s">
        <v>65924</v>
      </c>
      <c r="T21682" t="s">
        <v>65925</v>
      </c>
    </row>
    <row r="21683" spans="1:20" x14ac:dyDescent="0.25">
      <c r="A21683" t="str">
        <f>"3047794"</f>
        <v>3047794</v>
      </c>
      <c r="B21683" t="s">
        <v>65928</v>
      </c>
      <c r="C21683" t="str">
        <f>"8309019"</f>
        <v>8309019</v>
      </c>
      <c r="D21683" t="s">
        <v>65929</v>
      </c>
      <c r="E21683" t="str">
        <f>"PRYOR TINA J/MOONEYHAM SANDRA"</f>
        <v>PRYOR TINA J/MOONEYHAM SANDRA</v>
      </c>
      <c r="F21683" t="s">
        <v>65930</v>
      </c>
      <c r="I21683" t="s">
        <v>184</v>
      </c>
      <c r="J21683" t="s">
        <v>30</v>
      </c>
      <c r="K21683" t="s">
        <v>8848</v>
      </c>
      <c r="M21683" t="s">
        <v>50621</v>
      </c>
      <c r="N21683" t="str">
        <f>"2/15/2024 9:49:00 AM"</f>
        <v>2/15/2024 9:49:00 AM</v>
      </c>
      <c r="O21683" t="s">
        <v>65929</v>
      </c>
      <c r="T21683" t="str">
        <f>"PRYOR TINA J/MOONEYHAM SANDRA"</f>
        <v>PRYOR TINA J/MOONEYHAM SANDRA</v>
      </c>
    </row>
    <row r="21684" spans="1:20" x14ac:dyDescent="0.25">
      <c r="A21684" t="str">
        <f>"3061152"</f>
        <v>3061152</v>
      </c>
      <c r="B21684" t="s">
        <v>65931</v>
      </c>
      <c r="C21684" t="str">
        <f>"8302507"</f>
        <v>8302507</v>
      </c>
      <c r="D21684" t="s">
        <v>65932</v>
      </c>
      <c r="E21684" t="s">
        <v>65933</v>
      </c>
      <c r="F21684" t="s">
        <v>65934</v>
      </c>
      <c r="I21684" t="s">
        <v>2071</v>
      </c>
      <c r="J21684" t="s">
        <v>30</v>
      </c>
      <c r="K21684" t="str">
        <f>"27006"</f>
        <v>27006</v>
      </c>
      <c r="M21684" t="s">
        <v>50621</v>
      </c>
      <c r="N21684" t="str">
        <f>"2/14/2024 2:13:00 PM"</f>
        <v>2/14/2024 2:13:00 PM</v>
      </c>
      <c r="O21684" t="s">
        <v>65932</v>
      </c>
      <c r="T21684" t="s">
        <v>65933</v>
      </c>
    </row>
    <row r="21685" spans="1:20" x14ac:dyDescent="0.25">
      <c r="A21685" t="str">
        <f>"3039051"</f>
        <v>3039051</v>
      </c>
      <c r="B21685" t="s">
        <v>65935</v>
      </c>
      <c r="C21685" t="str">
        <f>"62424000"</f>
        <v>62424000</v>
      </c>
      <c r="D21685" t="s">
        <v>65936</v>
      </c>
      <c r="E21685" t="s">
        <v>65937</v>
      </c>
      <c r="F21685" t="s">
        <v>65938</v>
      </c>
      <c r="I21685" t="s">
        <v>29</v>
      </c>
      <c r="J21685" t="s">
        <v>30</v>
      </c>
      <c r="K21685" t="s">
        <v>65939</v>
      </c>
      <c r="M21685" t="s">
        <v>50793</v>
      </c>
      <c r="N21685" t="str">
        <f>"2/15/2024 3:21:00 PM"</f>
        <v>2/15/2024 3:21:00 PM</v>
      </c>
      <c r="O21685" t="s">
        <v>65936</v>
      </c>
      <c r="T21685" t="s">
        <v>65937</v>
      </c>
    </row>
    <row r="21686" spans="1:20" x14ac:dyDescent="0.25">
      <c r="A21686" t="str">
        <f>"3052756"</f>
        <v>3052756</v>
      </c>
      <c r="B21686" t="s">
        <v>65940</v>
      </c>
      <c r="C21686" t="str">
        <f>"8315358"</f>
        <v>8315358</v>
      </c>
      <c r="D21686" t="s">
        <v>65941</v>
      </c>
      <c r="F21686" t="s">
        <v>65942</v>
      </c>
      <c r="I21686" t="s">
        <v>29</v>
      </c>
      <c r="J21686" t="s">
        <v>30</v>
      </c>
      <c r="K21686" t="s">
        <v>33621</v>
      </c>
      <c r="M21686" t="s">
        <v>50793</v>
      </c>
      <c r="N21686" t="str">
        <f>"2/15/2024 3:22:00 PM"</f>
        <v>2/15/2024 3:22:00 PM</v>
      </c>
      <c r="O21686" t="s">
        <v>65941</v>
      </c>
    </row>
    <row r="21687" spans="1:20" x14ac:dyDescent="0.25">
      <c r="A21687" t="str">
        <f>"3054125"</f>
        <v>3054125</v>
      </c>
      <c r="B21687" t="s">
        <v>65943</v>
      </c>
      <c r="C21687" t="str">
        <f>"8315865"</f>
        <v>8315865</v>
      </c>
      <c r="D21687" t="s">
        <v>65941</v>
      </c>
      <c r="F21687" t="s">
        <v>65942</v>
      </c>
      <c r="I21687" t="s">
        <v>29</v>
      </c>
      <c r="J21687" t="s">
        <v>30</v>
      </c>
      <c r="K21687" t="s">
        <v>33621</v>
      </c>
      <c r="M21687" t="s">
        <v>50793</v>
      </c>
      <c r="N21687" t="str">
        <f>"2/15/2024 3:23:00 PM"</f>
        <v>2/15/2024 3:23:00 PM</v>
      </c>
      <c r="O21687" t="s">
        <v>65941</v>
      </c>
    </row>
    <row r="21688" spans="1:20" x14ac:dyDescent="0.25">
      <c r="A21688" t="str">
        <f>"3057613"</f>
        <v>3057613</v>
      </c>
      <c r="B21688" t="s">
        <v>65944</v>
      </c>
      <c r="C21688" t="str">
        <f>"62466000"</f>
        <v>62466000</v>
      </c>
      <c r="D21688" t="s">
        <v>65945</v>
      </c>
      <c r="F21688" t="s">
        <v>65946</v>
      </c>
      <c r="I21688" t="s">
        <v>29</v>
      </c>
      <c r="J21688" t="s">
        <v>30</v>
      </c>
      <c r="K21688" t="s">
        <v>31</v>
      </c>
      <c r="M21688" t="s">
        <v>50793</v>
      </c>
      <c r="N21688" t="str">
        <f>"2/15/2024 3:23:00 PM"</f>
        <v>2/15/2024 3:23:00 PM</v>
      </c>
      <c r="O21688" t="s">
        <v>65945</v>
      </c>
    </row>
    <row r="21689" spans="1:20" x14ac:dyDescent="0.25">
      <c r="A21689" t="str">
        <f>"3049786"</f>
        <v>3049786</v>
      </c>
      <c r="B21689" t="s">
        <v>65947</v>
      </c>
      <c r="C21689" t="str">
        <f>"62466000"</f>
        <v>62466000</v>
      </c>
      <c r="D21689" t="s">
        <v>65945</v>
      </c>
      <c r="F21689" t="s">
        <v>65946</v>
      </c>
      <c r="I21689" t="s">
        <v>29</v>
      </c>
      <c r="J21689" t="s">
        <v>30</v>
      </c>
      <c r="K21689" t="s">
        <v>31</v>
      </c>
      <c r="M21689" t="s">
        <v>50793</v>
      </c>
      <c r="N21689" t="str">
        <f>"2/15/2024 3:23:00 PM"</f>
        <v>2/15/2024 3:23:00 PM</v>
      </c>
      <c r="O21689" t="s">
        <v>65945</v>
      </c>
    </row>
    <row r="21690" spans="1:20" x14ac:dyDescent="0.25">
      <c r="A21690" t="str">
        <f>"3039431"</f>
        <v>3039431</v>
      </c>
      <c r="B21690" t="s">
        <v>65948</v>
      </c>
      <c r="C21690" t="str">
        <f>"8316019"</f>
        <v>8316019</v>
      </c>
      <c r="D21690" t="s">
        <v>65949</v>
      </c>
      <c r="E21690" t="s">
        <v>65950</v>
      </c>
      <c r="F21690" t="s">
        <v>65951</v>
      </c>
      <c r="I21690" t="s">
        <v>29</v>
      </c>
      <c r="J21690" t="s">
        <v>30</v>
      </c>
      <c r="K21690" t="s">
        <v>40808</v>
      </c>
      <c r="M21690" t="s">
        <v>50793</v>
      </c>
      <c r="N21690" t="str">
        <f>"2/15/2024 3:25:00 PM"</f>
        <v>2/15/2024 3:25:00 PM</v>
      </c>
      <c r="O21690" t="s">
        <v>65949</v>
      </c>
      <c r="T21690" t="s">
        <v>65950</v>
      </c>
    </row>
    <row r="21691" spans="1:20" x14ac:dyDescent="0.25">
      <c r="A21691" t="str">
        <f>"3039599"</f>
        <v>3039599</v>
      </c>
      <c r="B21691" t="s">
        <v>65952</v>
      </c>
      <c r="C21691" t="str">
        <f>"8316019"</f>
        <v>8316019</v>
      </c>
      <c r="D21691" t="s">
        <v>65949</v>
      </c>
      <c r="E21691" t="s">
        <v>65950</v>
      </c>
      <c r="F21691" t="s">
        <v>65951</v>
      </c>
      <c r="I21691" t="s">
        <v>29</v>
      </c>
      <c r="J21691" t="s">
        <v>30</v>
      </c>
      <c r="K21691" t="s">
        <v>40808</v>
      </c>
      <c r="M21691" t="s">
        <v>50793</v>
      </c>
      <c r="N21691" t="str">
        <f>"2/15/2024 3:25:00 PM"</f>
        <v>2/15/2024 3:25:00 PM</v>
      </c>
      <c r="O21691" t="s">
        <v>65949</v>
      </c>
      <c r="T21691" t="s">
        <v>65950</v>
      </c>
    </row>
    <row r="21692" spans="1:20" x14ac:dyDescent="0.25">
      <c r="A21692" t="str">
        <f>"3039471"</f>
        <v>3039471</v>
      </c>
      <c r="B21692" t="s">
        <v>65953</v>
      </c>
      <c r="C21692" t="str">
        <f>"8316019"</f>
        <v>8316019</v>
      </c>
      <c r="D21692" t="s">
        <v>65949</v>
      </c>
      <c r="E21692" t="s">
        <v>65950</v>
      </c>
      <c r="F21692" t="s">
        <v>65951</v>
      </c>
      <c r="I21692" t="s">
        <v>29</v>
      </c>
      <c r="J21692" t="s">
        <v>30</v>
      </c>
      <c r="K21692" t="s">
        <v>40808</v>
      </c>
      <c r="M21692" t="s">
        <v>50793</v>
      </c>
      <c r="N21692" t="str">
        <f>"2/15/2024 3:25:00 PM"</f>
        <v>2/15/2024 3:25:00 PM</v>
      </c>
      <c r="O21692" t="s">
        <v>65949</v>
      </c>
      <c r="T21692" t="s">
        <v>65950</v>
      </c>
    </row>
    <row r="21693" spans="1:20" x14ac:dyDescent="0.25">
      <c r="A21693" t="str">
        <f>"3043422"</f>
        <v>3043422</v>
      </c>
      <c r="B21693" t="s">
        <v>65954</v>
      </c>
      <c r="C21693" t="str">
        <f>"35570000"</f>
        <v>35570000</v>
      </c>
      <c r="D21693" t="s">
        <v>65955</v>
      </c>
      <c r="F21693" t="s">
        <v>65956</v>
      </c>
      <c r="I21693" t="s">
        <v>29</v>
      </c>
      <c r="J21693" t="s">
        <v>30</v>
      </c>
      <c r="K21693" t="s">
        <v>7995</v>
      </c>
      <c r="M21693" t="s">
        <v>50621</v>
      </c>
      <c r="N21693" t="str">
        <f>"2/14/2024 2:17:00 PM"</f>
        <v>2/14/2024 2:17:00 PM</v>
      </c>
      <c r="O21693" t="s">
        <v>65955</v>
      </c>
    </row>
    <row r="21694" spans="1:20" x14ac:dyDescent="0.25">
      <c r="A21694" t="str">
        <f>"3042979"</f>
        <v>3042979</v>
      </c>
      <c r="B21694" t="s">
        <v>65957</v>
      </c>
      <c r="C21694" t="str">
        <f>"40644000"</f>
        <v>40644000</v>
      </c>
      <c r="D21694" t="s">
        <v>65958</v>
      </c>
      <c r="F21694" t="s">
        <v>65959</v>
      </c>
      <c r="I21694" t="s">
        <v>29</v>
      </c>
      <c r="J21694" t="s">
        <v>30</v>
      </c>
      <c r="K21694" t="s">
        <v>65960</v>
      </c>
      <c r="M21694" t="s">
        <v>50621</v>
      </c>
      <c r="N21694" t="str">
        <f>"2/15/2024 10:22:00 AM"</f>
        <v>2/15/2024 10:22:00 AM</v>
      </c>
      <c r="O21694" t="s">
        <v>65958</v>
      </c>
      <c r="T21694" t="s">
        <v>65958</v>
      </c>
    </row>
    <row r="21695" spans="1:20" x14ac:dyDescent="0.25">
      <c r="A21695" t="str">
        <f>"3039142"</f>
        <v>3039142</v>
      </c>
      <c r="B21695" t="s">
        <v>65961</v>
      </c>
      <c r="C21695" t="str">
        <f>"82517039"</f>
        <v>82517039</v>
      </c>
      <c r="D21695" t="s">
        <v>65962</v>
      </c>
      <c r="E21695" t="s">
        <v>65963</v>
      </c>
      <c r="F21695" t="s">
        <v>65964</v>
      </c>
      <c r="I21695" t="s">
        <v>29</v>
      </c>
      <c r="J21695" t="s">
        <v>30</v>
      </c>
      <c r="K21695" t="s">
        <v>31</v>
      </c>
      <c r="M21695" t="s">
        <v>50621</v>
      </c>
      <c r="N21695" t="str">
        <f>"2/15/2024 3:26:00 PM"</f>
        <v>2/15/2024 3:26:00 PM</v>
      </c>
      <c r="O21695" t="s">
        <v>65962</v>
      </c>
      <c r="T21695" t="s">
        <v>65963</v>
      </c>
    </row>
    <row r="21696" spans="1:20" x14ac:dyDescent="0.25">
      <c r="A21696" t="str">
        <f>"3049522"</f>
        <v>3049522</v>
      </c>
      <c r="B21696" t="s">
        <v>65965</v>
      </c>
      <c r="C21696" t="str">
        <f t="shared" ref="C21696:C21701" si="335">"43280000"</f>
        <v>43280000</v>
      </c>
      <c r="D21696" t="s">
        <v>65966</v>
      </c>
      <c r="F21696" t="s">
        <v>52656</v>
      </c>
      <c r="I21696" t="s">
        <v>19211</v>
      </c>
      <c r="J21696" t="s">
        <v>30</v>
      </c>
      <c r="K21696" t="s">
        <v>65967</v>
      </c>
      <c r="M21696" t="s">
        <v>50621</v>
      </c>
      <c r="N21696" t="str">
        <f t="shared" ref="N21696:N21701" si="336">"2/15/2024 3:28:00 PM"</f>
        <v>2/15/2024 3:28:00 PM</v>
      </c>
      <c r="O21696" t="s">
        <v>65966</v>
      </c>
    </row>
    <row r="21697" spans="1:20" x14ac:dyDescent="0.25">
      <c r="A21697" t="str">
        <f>"3049513"</f>
        <v>3049513</v>
      </c>
      <c r="B21697" t="s">
        <v>65968</v>
      </c>
      <c r="C21697" t="str">
        <f t="shared" si="335"/>
        <v>43280000</v>
      </c>
      <c r="D21697" t="s">
        <v>65966</v>
      </c>
      <c r="F21697" t="s">
        <v>52656</v>
      </c>
      <c r="I21697" t="s">
        <v>19211</v>
      </c>
      <c r="J21697" t="s">
        <v>30</v>
      </c>
      <c r="K21697" t="s">
        <v>65967</v>
      </c>
      <c r="M21697" t="s">
        <v>50621</v>
      </c>
      <c r="N21697" t="str">
        <f t="shared" si="336"/>
        <v>2/15/2024 3:28:00 PM</v>
      </c>
      <c r="O21697" t="s">
        <v>65966</v>
      </c>
    </row>
    <row r="21698" spans="1:20" x14ac:dyDescent="0.25">
      <c r="A21698" t="str">
        <f>"3051179"</f>
        <v>3051179</v>
      </c>
      <c r="B21698" t="s">
        <v>65969</v>
      </c>
      <c r="C21698" t="str">
        <f t="shared" si="335"/>
        <v>43280000</v>
      </c>
      <c r="D21698" t="s">
        <v>65966</v>
      </c>
      <c r="F21698" t="s">
        <v>52656</v>
      </c>
      <c r="I21698" t="s">
        <v>19211</v>
      </c>
      <c r="J21698" t="s">
        <v>30</v>
      </c>
      <c r="K21698" t="s">
        <v>65967</v>
      </c>
      <c r="M21698" t="s">
        <v>50621</v>
      </c>
      <c r="N21698" t="str">
        <f t="shared" si="336"/>
        <v>2/15/2024 3:28:00 PM</v>
      </c>
      <c r="O21698" t="s">
        <v>65966</v>
      </c>
    </row>
    <row r="21699" spans="1:20" x14ac:dyDescent="0.25">
      <c r="A21699" t="str">
        <f>"3078638"</f>
        <v>3078638</v>
      </c>
      <c r="B21699" t="s">
        <v>65970</v>
      </c>
      <c r="C21699" t="str">
        <f t="shared" si="335"/>
        <v>43280000</v>
      </c>
      <c r="D21699" t="s">
        <v>65966</v>
      </c>
      <c r="F21699" t="s">
        <v>52656</v>
      </c>
      <c r="I21699" t="s">
        <v>19211</v>
      </c>
      <c r="J21699" t="s">
        <v>30</v>
      </c>
      <c r="K21699" t="s">
        <v>65967</v>
      </c>
      <c r="M21699" t="s">
        <v>50621</v>
      </c>
      <c r="N21699" t="str">
        <f t="shared" si="336"/>
        <v>2/15/2024 3:28:00 PM</v>
      </c>
      <c r="O21699" t="s">
        <v>65966</v>
      </c>
    </row>
    <row r="21700" spans="1:20" x14ac:dyDescent="0.25">
      <c r="A21700" t="str">
        <f>"3078632"</f>
        <v>3078632</v>
      </c>
      <c r="B21700" t="s">
        <v>65971</v>
      </c>
      <c r="C21700" t="str">
        <f t="shared" si="335"/>
        <v>43280000</v>
      </c>
      <c r="D21700" t="s">
        <v>65966</v>
      </c>
      <c r="F21700" t="s">
        <v>52656</v>
      </c>
      <c r="I21700" t="s">
        <v>19211</v>
      </c>
      <c r="J21700" t="s">
        <v>30</v>
      </c>
      <c r="K21700" t="s">
        <v>65967</v>
      </c>
      <c r="M21700" t="s">
        <v>50621</v>
      </c>
      <c r="N21700" t="str">
        <f t="shared" si="336"/>
        <v>2/15/2024 3:28:00 PM</v>
      </c>
      <c r="O21700" t="s">
        <v>65966</v>
      </c>
    </row>
    <row r="21701" spans="1:20" x14ac:dyDescent="0.25">
      <c r="A21701" t="str">
        <f>"3078630"</f>
        <v>3078630</v>
      </c>
      <c r="B21701" t="s">
        <v>65972</v>
      </c>
      <c r="C21701" t="str">
        <f t="shared" si="335"/>
        <v>43280000</v>
      </c>
      <c r="D21701" t="s">
        <v>65966</v>
      </c>
      <c r="F21701" t="s">
        <v>52656</v>
      </c>
      <c r="I21701" t="s">
        <v>19211</v>
      </c>
      <c r="J21701" t="s">
        <v>30</v>
      </c>
      <c r="K21701" t="s">
        <v>65967</v>
      </c>
      <c r="M21701" t="s">
        <v>50621</v>
      </c>
      <c r="N21701" t="str">
        <f t="shared" si="336"/>
        <v>2/15/2024 3:28:00 PM</v>
      </c>
      <c r="O21701" t="s">
        <v>65966</v>
      </c>
    </row>
    <row r="21702" spans="1:20" x14ac:dyDescent="0.25">
      <c r="A21702" t="str">
        <f>"3042699"</f>
        <v>3042699</v>
      </c>
      <c r="B21702" t="s">
        <v>65973</v>
      </c>
      <c r="C21702" t="str">
        <f>"40644000"</f>
        <v>40644000</v>
      </c>
      <c r="D21702" t="s">
        <v>65958</v>
      </c>
      <c r="F21702" t="s">
        <v>65959</v>
      </c>
      <c r="I21702" t="s">
        <v>29</v>
      </c>
      <c r="J21702" t="s">
        <v>30</v>
      </c>
      <c r="K21702" t="s">
        <v>65960</v>
      </c>
      <c r="M21702" t="s">
        <v>50621</v>
      </c>
      <c r="N21702" t="str">
        <f>"2/15/2024 10:22:00 AM"</f>
        <v>2/15/2024 10:22:00 AM</v>
      </c>
      <c r="O21702" t="s">
        <v>65958</v>
      </c>
      <c r="T21702" t="s">
        <v>65958</v>
      </c>
    </row>
    <row r="21703" spans="1:20" x14ac:dyDescent="0.25">
      <c r="A21703" t="str">
        <f>"3041667"</f>
        <v>3041667</v>
      </c>
      <c r="B21703" t="s">
        <v>65974</v>
      </c>
      <c r="C21703" t="str">
        <f>"8309651"</f>
        <v>8309651</v>
      </c>
      <c r="D21703" t="s">
        <v>65975</v>
      </c>
      <c r="E21703" t="s">
        <v>65976</v>
      </c>
      <c r="F21703" t="s">
        <v>65977</v>
      </c>
      <c r="I21703" t="s">
        <v>2071</v>
      </c>
      <c r="J21703" t="s">
        <v>30</v>
      </c>
      <c r="K21703" t="s">
        <v>3605</v>
      </c>
      <c r="M21703" t="s">
        <v>50793</v>
      </c>
      <c r="N21703" t="str">
        <f>"2/15/2024 2:43:00 PM"</f>
        <v>2/15/2024 2:43:00 PM</v>
      </c>
      <c r="O21703" t="s">
        <v>65975</v>
      </c>
      <c r="T21703" t="s">
        <v>65976</v>
      </c>
    </row>
    <row r="21704" spans="1:20" x14ac:dyDescent="0.25">
      <c r="A21704" t="str">
        <f>"3050571"</f>
        <v>3050571</v>
      </c>
      <c r="B21704" t="s">
        <v>65978</v>
      </c>
      <c r="C21704" t="str">
        <f>"41482000"</f>
        <v>41482000</v>
      </c>
      <c r="D21704" t="s">
        <v>65865</v>
      </c>
      <c r="E21704" t="s">
        <v>65866</v>
      </c>
      <c r="F21704" t="s">
        <v>65867</v>
      </c>
      <c r="I21704" t="s">
        <v>184</v>
      </c>
      <c r="J21704" t="s">
        <v>30</v>
      </c>
      <c r="K21704" t="s">
        <v>12590</v>
      </c>
      <c r="M21704" t="s">
        <v>50621</v>
      </c>
      <c r="N21704" t="str">
        <f>"2/15/2024 2:47:00 PM"</f>
        <v>2/15/2024 2:47:00 PM</v>
      </c>
      <c r="O21704" t="s">
        <v>65865</v>
      </c>
      <c r="T21704" t="s">
        <v>65866</v>
      </c>
    </row>
    <row r="21705" spans="1:20" x14ac:dyDescent="0.25">
      <c r="A21705" t="str">
        <f>"3050639"</f>
        <v>3050639</v>
      </c>
      <c r="B21705" t="s">
        <v>65979</v>
      </c>
      <c r="C21705" t="str">
        <f>"41482000"</f>
        <v>41482000</v>
      </c>
      <c r="D21705" t="s">
        <v>65865</v>
      </c>
      <c r="E21705" t="s">
        <v>65866</v>
      </c>
      <c r="F21705" t="s">
        <v>65867</v>
      </c>
      <c r="I21705" t="s">
        <v>184</v>
      </c>
      <c r="J21705" t="s">
        <v>30</v>
      </c>
      <c r="K21705" t="s">
        <v>12590</v>
      </c>
      <c r="M21705" t="s">
        <v>50621</v>
      </c>
      <c r="N21705" t="str">
        <f>"2/15/2024 2:47:00 PM"</f>
        <v>2/15/2024 2:47:00 PM</v>
      </c>
      <c r="O21705" t="s">
        <v>65865</v>
      </c>
      <c r="T21705" t="s">
        <v>65866</v>
      </c>
    </row>
    <row r="21706" spans="1:20" x14ac:dyDescent="0.25">
      <c r="A21706" t="str">
        <f>"3054755"</f>
        <v>3054755</v>
      </c>
      <c r="B21706" t="s">
        <v>65980</v>
      </c>
      <c r="C21706" t="str">
        <f>"8300028"</f>
        <v>8300028</v>
      </c>
      <c r="D21706" t="s">
        <v>65981</v>
      </c>
      <c r="E21706" t="s">
        <v>48521</v>
      </c>
      <c r="F21706" t="s">
        <v>33867</v>
      </c>
      <c r="I21706" t="s">
        <v>29</v>
      </c>
      <c r="J21706" t="s">
        <v>30</v>
      </c>
      <c r="K21706" t="s">
        <v>31</v>
      </c>
      <c r="M21706" t="s">
        <v>50793</v>
      </c>
      <c r="N21706" t="str">
        <f>"2/15/2024 2:52:00 PM"</f>
        <v>2/15/2024 2:52:00 PM</v>
      </c>
      <c r="O21706" t="s">
        <v>65981</v>
      </c>
      <c r="T21706" t="s">
        <v>48521</v>
      </c>
    </row>
    <row r="21707" spans="1:20" x14ac:dyDescent="0.25">
      <c r="A21707" t="str">
        <f>"3054754"</f>
        <v>3054754</v>
      </c>
      <c r="B21707" t="s">
        <v>65982</v>
      </c>
      <c r="C21707" t="str">
        <f>"8300028"</f>
        <v>8300028</v>
      </c>
      <c r="D21707" t="s">
        <v>65981</v>
      </c>
      <c r="E21707" t="s">
        <v>48521</v>
      </c>
      <c r="F21707" t="s">
        <v>33867</v>
      </c>
      <c r="I21707" t="s">
        <v>29</v>
      </c>
      <c r="J21707" t="s">
        <v>30</v>
      </c>
      <c r="K21707" t="s">
        <v>31</v>
      </c>
      <c r="M21707" t="s">
        <v>50793</v>
      </c>
      <c r="N21707" t="str">
        <f>"2/15/2024 2:52:00 PM"</f>
        <v>2/15/2024 2:52:00 PM</v>
      </c>
      <c r="O21707" t="s">
        <v>65981</v>
      </c>
      <c r="T21707" t="s">
        <v>48521</v>
      </c>
    </row>
    <row r="21708" spans="1:20" x14ac:dyDescent="0.25">
      <c r="A21708" t="str">
        <f>"3055327"</f>
        <v>3055327</v>
      </c>
      <c r="B21708" t="s">
        <v>65983</v>
      </c>
      <c r="C21708" t="str">
        <f>"8300028"</f>
        <v>8300028</v>
      </c>
      <c r="D21708" t="s">
        <v>65981</v>
      </c>
      <c r="E21708" t="s">
        <v>48521</v>
      </c>
      <c r="F21708" t="s">
        <v>33867</v>
      </c>
      <c r="I21708" t="s">
        <v>29</v>
      </c>
      <c r="J21708" t="s">
        <v>30</v>
      </c>
      <c r="K21708" t="s">
        <v>31</v>
      </c>
      <c r="M21708" t="s">
        <v>50793</v>
      </c>
      <c r="N21708" t="str">
        <f>"2/15/2024 2:52:00 PM"</f>
        <v>2/15/2024 2:52:00 PM</v>
      </c>
      <c r="O21708" t="s">
        <v>65981</v>
      </c>
      <c r="T21708" t="s">
        <v>48521</v>
      </c>
    </row>
    <row r="21709" spans="1:20" x14ac:dyDescent="0.25">
      <c r="A21709" t="str">
        <f>"3043197"</f>
        <v>3043197</v>
      </c>
      <c r="B21709" t="s">
        <v>65984</v>
      </c>
      <c r="C21709" t="str">
        <f>"82525712"</f>
        <v>82525712</v>
      </c>
      <c r="D21709" t="s">
        <v>65985</v>
      </c>
      <c r="F21709" t="s">
        <v>65986</v>
      </c>
      <c r="I21709" t="s">
        <v>65987</v>
      </c>
      <c r="J21709" t="s">
        <v>1046</v>
      </c>
      <c r="K21709" t="s">
        <v>65988</v>
      </c>
      <c r="M21709" t="s">
        <v>50793</v>
      </c>
      <c r="N21709" t="str">
        <f>"2/15/2024 2:52:00 PM"</f>
        <v>2/15/2024 2:52:00 PM</v>
      </c>
      <c r="O21709" t="s">
        <v>65985</v>
      </c>
    </row>
    <row r="21710" spans="1:20" x14ac:dyDescent="0.25">
      <c r="A21710" t="str">
        <f>"3062429"</f>
        <v>3062429</v>
      </c>
      <c r="B21710" t="s">
        <v>65989</v>
      </c>
      <c r="C21710" t="str">
        <f>"8313354"</f>
        <v>8313354</v>
      </c>
      <c r="D21710" t="s">
        <v>65990</v>
      </c>
      <c r="E21710" t="s">
        <v>65991</v>
      </c>
      <c r="F21710" t="s">
        <v>65992</v>
      </c>
      <c r="I21710" t="s">
        <v>2071</v>
      </c>
      <c r="J21710" t="s">
        <v>30</v>
      </c>
      <c r="K21710" t="s">
        <v>3872</v>
      </c>
      <c r="M21710" t="s">
        <v>50793</v>
      </c>
      <c r="N21710" t="str">
        <f>"2/15/2024 2:54:00 PM"</f>
        <v>2/15/2024 2:54:00 PM</v>
      </c>
      <c r="O21710" t="s">
        <v>65990</v>
      </c>
      <c r="T21710" t="s">
        <v>65991</v>
      </c>
    </row>
    <row r="21711" spans="1:20" x14ac:dyDescent="0.25">
      <c r="A21711" t="str">
        <f>"3037463"</f>
        <v>3037463</v>
      </c>
      <c r="B21711" t="s">
        <v>65993</v>
      </c>
      <c r="C21711" t="str">
        <f>"82525089"</f>
        <v>82525089</v>
      </c>
      <c r="D21711" t="s">
        <v>65994</v>
      </c>
      <c r="F21711" t="s">
        <v>65418</v>
      </c>
      <c r="I21711" t="s">
        <v>29</v>
      </c>
      <c r="J21711" t="s">
        <v>30</v>
      </c>
      <c r="K21711" t="s">
        <v>65995</v>
      </c>
      <c r="M21711" t="s">
        <v>50793</v>
      </c>
      <c r="N21711" t="str">
        <f>"2/15/2024 3:50:00 PM"</f>
        <v>2/15/2024 3:50:00 PM</v>
      </c>
      <c r="O21711" t="s">
        <v>65994</v>
      </c>
    </row>
    <row r="21712" spans="1:20" x14ac:dyDescent="0.25">
      <c r="A21712" t="str">
        <f>"3037438"</f>
        <v>3037438</v>
      </c>
      <c r="B21712" t="s">
        <v>65996</v>
      </c>
      <c r="C21712" t="str">
        <f>"82525089"</f>
        <v>82525089</v>
      </c>
      <c r="D21712" t="s">
        <v>65994</v>
      </c>
      <c r="F21712" t="s">
        <v>65418</v>
      </c>
      <c r="I21712" t="s">
        <v>29</v>
      </c>
      <c r="J21712" t="s">
        <v>30</v>
      </c>
      <c r="K21712" t="s">
        <v>65995</v>
      </c>
      <c r="M21712" t="s">
        <v>50793</v>
      </c>
      <c r="N21712" t="str">
        <f>"2/15/2024 3:50:00 PM"</f>
        <v>2/15/2024 3:50:00 PM</v>
      </c>
      <c r="O21712" t="s">
        <v>65994</v>
      </c>
    </row>
    <row r="21713" spans="1:20" x14ac:dyDescent="0.25">
      <c r="A21713" t="str">
        <f>"3037520"</f>
        <v>3037520</v>
      </c>
      <c r="B21713" t="s">
        <v>65997</v>
      </c>
      <c r="C21713" t="str">
        <f>"82525089"</f>
        <v>82525089</v>
      </c>
      <c r="D21713" t="s">
        <v>65994</v>
      </c>
      <c r="F21713" t="s">
        <v>65418</v>
      </c>
      <c r="I21713" t="s">
        <v>29</v>
      </c>
      <c r="J21713" t="s">
        <v>30</v>
      </c>
      <c r="K21713" t="s">
        <v>65995</v>
      </c>
      <c r="M21713" t="s">
        <v>50793</v>
      </c>
      <c r="N21713" t="str">
        <f>"2/15/2024 3:50:00 PM"</f>
        <v>2/15/2024 3:50:00 PM</v>
      </c>
      <c r="O21713" t="s">
        <v>65994</v>
      </c>
    </row>
    <row r="21714" spans="1:20" x14ac:dyDescent="0.25">
      <c r="A21714" t="str">
        <f>"3037681"</f>
        <v>3037681</v>
      </c>
      <c r="B21714" t="s">
        <v>65998</v>
      </c>
      <c r="C21714" t="str">
        <f>"82525089"</f>
        <v>82525089</v>
      </c>
      <c r="D21714" t="s">
        <v>65994</v>
      </c>
      <c r="F21714" t="s">
        <v>65418</v>
      </c>
      <c r="I21714" t="s">
        <v>29</v>
      </c>
      <c r="J21714" t="s">
        <v>30</v>
      </c>
      <c r="K21714" t="s">
        <v>65995</v>
      </c>
      <c r="M21714" t="s">
        <v>50793</v>
      </c>
      <c r="N21714" t="str">
        <f>"2/15/2024 3:50:00 PM"</f>
        <v>2/15/2024 3:50:00 PM</v>
      </c>
      <c r="O21714" t="s">
        <v>65994</v>
      </c>
    </row>
    <row r="21715" spans="1:20" x14ac:dyDescent="0.25">
      <c r="A21715" t="str">
        <f>"3051151"</f>
        <v>3051151</v>
      </c>
      <c r="B21715" t="s">
        <v>65999</v>
      </c>
      <c r="C21715" t="str">
        <f>"82527373"</f>
        <v>82527373</v>
      </c>
      <c r="D21715" t="s">
        <v>66000</v>
      </c>
      <c r="F21715" t="s">
        <v>66001</v>
      </c>
      <c r="I21715" t="s">
        <v>29</v>
      </c>
      <c r="J21715" t="s">
        <v>30</v>
      </c>
      <c r="K21715" t="s">
        <v>31</v>
      </c>
      <c r="M21715" t="s">
        <v>50793</v>
      </c>
      <c r="N21715" t="str">
        <f>"2/15/2024 3:54:00 PM"</f>
        <v>2/15/2024 3:54:00 PM</v>
      </c>
      <c r="O21715" t="s">
        <v>66000</v>
      </c>
    </row>
    <row r="21716" spans="1:20" x14ac:dyDescent="0.25">
      <c r="A21716" t="str">
        <f>"3040855"</f>
        <v>3040855</v>
      </c>
      <c r="B21716" t="s">
        <v>66002</v>
      </c>
      <c r="C21716" t="str">
        <f>"82512989"</f>
        <v>82512989</v>
      </c>
      <c r="D21716" t="s">
        <v>66003</v>
      </c>
      <c r="F21716" t="s">
        <v>60033</v>
      </c>
      <c r="I21716" t="s">
        <v>29</v>
      </c>
      <c r="J21716" t="s">
        <v>30</v>
      </c>
      <c r="K21716" t="s">
        <v>38021</v>
      </c>
      <c r="M21716" t="s">
        <v>50621</v>
      </c>
      <c r="N21716" t="str">
        <f>"2/15/2024 2:56:00 PM"</f>
        <v>2/15/2024 2:56:00 PM</v>
      </c>
      <c r="O21716" t="s">
        <v>66003</v>
      </c>
    </row>
    <row r="21717" spans="1:20" x14ac:dyDescent="0.25">
      <c r="A21717" t="str">
        <f>"3052780"</f>
        <v>3052780</v>
      </c>
      <c r="B21717" t="s">
        <v>66004</v>
      </c>
      <c r="C21717" t="str">
        <f>"64123000"</f>
        <v>64123000</v>
      </c>
      <c r="D21717" t="s">
        <v>66005</v>
      </c>
      <c r="F21717" t="s">
        <v>66006</v>
      </c>
      <c r="I21717" t="s">
        <v>14378</v>
      </c>
      <c r="J21717" t="s">
        <v>30</v>
      </c>
      <c r="K21717" t="s">
        <v>17014</v>
      </c>
      <c r="M21717" t="s">
        <v>50793</v>
      </c>
      <c r="N21717" t="str">
        <f>"2/16/2024 8:20:00 AM"</f>
        <v>2/16/2024 8:20:00 AM</v>
      </c>
      <c r="O21717" t="s">
        <v>66005</v>
      </c>
    </row>
    <row r="21718" spans="1:20" x14ac:dyDescent="0.25">
      <c r="A21718" t="str">
        <f>"3052204"</f>
        <v>3052204</v>
      </c>
      <c r="B21718" t="s">
        <v>66007</v>
      </c>
      <c r="C21718" t="str">
        <f>"64123000"</f>
        <v>64123000</v>
      </c>
      <c r="D21718" t="s">
        <v>66005</v>
      </c>
      <c r="F21718" t="s">
        <v>66006</v>
      </c>
      <c r="I21718" t="s">
        <v>14378</v>
      </c>
      <c r="J21718" t="s">
        <v>30</v>
      </c>
      <c r="K21718" t="s">
        <v>17014</v>
      </c>
      <c r="M21718" t="s">
        <v>50793</v>
      </c>
      <c r="N21718" t="str">
        <f>"2/16/2024 8:20:00 AM"</f>
        <v>2/16/2024 8:20:00 AM</v>
      </c>
      <c r="O21718" t="s">
        <v>66005</v>
      </c>
    </row>
    <row r="21719" spans="1:20" x14ac:dyDescent="0.25">
      <c r="A21719" t="str">
        <f>"3054949"</f>
        <v>3054949</v>
      </c>
      <c r="B21719" t="s">
        <v>66008</v>
      </c>
      <c r="C21719" t="str">
        <f>"8319894"</f>
        <v>8319894</v>
      </c>
      <c r="D21719" t="s">
        <v>66009</v>
      </c>
      <c r="F21719" t="s">
        <v>66010</v>
      </c>
      <c r="I21719" t="s">
        <v>29</v>
      </c>
      <c r="J21719" t="s">
        <v>30</v>
      </c>
      <c r="K21719" t="s">
        <v>15531</v>
      </c>
      <c r="M21719" t="s">
        <v>50793</v>
      </c>
      <c r="N21719" t="str">
        <f>"2/16/2024 8:22:00 AM"</f>
        <v>2/16/2024 8:22:00 AM</v>
      </c>
      <c r="O21719" t="s">
        <v>66009</v>
      </c>
    </row>
    <row r="21720" spans="1:20" x14ac:dyDescent="0.25">
      <c r="A21720" t="str">
        <f>"3061784"</f>
        <v>3061784</v>
      </c>
      <c r="B21720" t="s">
        <v>66011</v>
      </c>
      <c r="C21720" t="str">
        <f>"8308393"</f>
        <v>8308393</v>
      </c>
      <c r="D21720" t="s">
        <v>66012</v>
      </c>
      <c r="E21720" t="s">
        <v>66013</v>
      </c>
      <c r="F21720" t="s">
        <v>66014</v>
      </c>
      <c r="I21720" t="s">
        <v>2071</v>
      </c>
      <c r="J21720" t="s">
        <v>30</v>
      </c>
      <c r="K21720" t="str">
        <f>"27006"</f>
        <v>27006</v>
      </c>
      <c r="M21720" t="s">
        <v>50621</v>
      </c>
      <c r="N21720" t="str">
        <f>"2/15/2024 2:58:00 PM"</f>
        <v>2/15/2024 2:58:00 PM</v>
      </c>
      <c r="O21720" t="s">
        <v>66012</v>
      </c>
      <c r="T21720" t="s">
        <v>66013</v>
      </c>
    </row>
    <row r="21721" spans="1:20" x14ac:dyDescent="0.25">
      <c r="A21721" t="str">
        <f>"3054871"</f>
        <v>3054871</v>
      </c>
      <c r="B21721" t="s">
        <v>66015</v>
      </c>
      <c r="C21721" t="str">
        <f>"64515500"</f>
        <v>64515500</v>
      </c>
      <c r="D21721" t="s">
        <v>19990</v>
      </c>
      <c r="F21721" t="str">
        <f>"C/O DELORSES COLLIER"</f>
        <v>C/O DELORSES COLLIER</v>
      </c>
      <c r="G21721" t="s">
        <v>19991</v>
      </c>
      <c r="I21721" t="s">
        <v>19992</v>
      </c>
      <c r="J21721" t="s">
        <v>12725</v>
      </c>
      <c r="K21721" t="s">
        <v>19993</v>
      </c>
      <c r="M21721" t="s">
        <v>50793</v>
      </c>
      <c r="N21721" t="str">
        <f>"2/16/2024 8:40:00 AM"</f>
        <v>2/16/2024 8:40:00 AM</v>
      </c>
      <c r="O21721" t="s">
        <v>19990</v>
      </c>
    </row>
    <row r="21722" spans="1:20" x14ac:dyDescent="0.25">
      <c r="A21722" t="str">
        <f>"3054862"</f>
        <v>3054862</v>
      </c>
      <c r="B21722" t="s">
        <v>66016</v>
      </c>
      <c r="C21722" t="str">
        <f>"64515500"</f>
        <v>64515500</v>
      </c>
      <c r="D21722" t="s">
        <v>19990</v>
      </c>
      <c r="F21722" t="str">
        <f>"C/O DELORSES COLLIER"</f>
        <v>C/O DELORSES COLLIER</v>
      </c>
      <c r="G21722" t="s">
        <v>19991</v>
      </c>
      <c r="I21722" t="s">
        <v>19992</v>
      </c>
      <c r="J21722" t="s">
        <v>12725</v>
      </c>
      <c r="K21722" t="s">
        <v>19993</v>
      </c>
      <c r="M21722" t="s">
        <v>50793</v>
      </c>
      <c r="N21722" t="str">
        <f>"2/16/2024 8:40:00 AM"</f>
        <v>2/16/2024 8:40:00 AM</v>
      </c>
      <c r="O21722" t="s">
        <v>19990</v>
      </c>
    </row>
    <row r="21723" spans="1:20" x14ac:dyDescent="0.25">
      <c r="A21723" t="str">
        <f>"3057303"</f>
        <v>3057303</v>
      </c>
      <c r="B21723" t="s">
        <v>66017</v>
      </c>
      <c r="C21723" t="str">
        <f>"8315705"</f>
        <v>8315705</v>
      </c>
      <c r="D21723" t="s">
        <v>66018</v>
      </c>
      <c r="E21723" t="s">
        <v>66019</v>
      </c>
      <c r="F21723" t="s">
        <v>66020</v>
      </c>
      <c r="I21723" t="s">
        <v>29</v>
      </c>
      <c r="J21723" t="s">
        <v>30</v>
      </c>
      <c r="K21723" t="s">
        <v>33951</v>
      </c>
      <c r="M21723" t="s">
        <v>50793</v>
      </c>
      <c r="N21723" t="str">
        <f>"2/16/2024 8:48:00 AM"</f>
        <v>2/16/2024 8:48:00 AM</v>
      </c>
      <c r="O21723" t="s">
        <v>66018</v>
      </c>
      <c r="T21723" t="s">
        <v>66019</v>
      </c>
    </row>
    <row r="21724" spans="1:20" x14ac:dyDescent="0.25">
      <c r="A21724" t="str">
        <f>"3045727"</f>
        <v>3045727</v>
      </c>
      <c r="B21724" t="s">
        <v>66021</v>
      </c>
      <c r="C21724" t="str">
        <f>"8305295"</f>
        <v>8305295</v>
      </c>
      <c r="D21724" t="s">
        <v>66022</v>
      </c>
      <c r="F21724" t="s">
        <v>66023</v>
      </c>
      <c r="I21724" t="s">
        <v>29</v>
      </c>
      <c r="J21724" t="s">
        <v>30</v>
      </c>
      <c r="K21724" t="str">
        <f>"27028"</f>
        <v>27028</v>
      </c>
      <c r="M21724" t="s">
        <v>50793</v>
      </c>
      <c r="N21724" t="str">
        <f>"2/16/2024 8:51:00 AM"</f>
        <v>2/16/2024 8:51:00 AM</v>
      </c>
      <c r="O21724" t="s">
        <v>66022</v>
      </c>
    </row>
    <row r="21725" spans="1:20" x14ac:dyDescent="0.25">
      <c r="A21725" t="str">
        <f>"3048799"</f>
        <v>3048799</v>
      </c>
      <c r="B21725" t="s">
        <v>66024</v>
      </c>
      <c r="C21725" t="str">
        <f>"64870500"</f>
        <v>64870500</v>
      </c>
      <c r="D21725" t="s">
        <v>66025</v>
      </c>
      <c r="E21725" t="s">
        <v>66026</v>
      </c>
      <c r="F21725" t="s">
        <v>66027</v>
      </c>
      <c r="I21725" t="s">
        <v>29</v>
      </c>
      <c r="J21725" t="s">
        <v>30</v>
      </c>
      <c r="K21725" t="s">
        <v>31</v>
      </c>
      <c r="M21725" t="s">
        <v>50793</v>
      </c>
      <c r="N21725" t="str">
        <f>"2/16/2024 8:51:00 AM"</f>
        <v>2/16/2024 8:51:00 AM</v>
      </c>
      <c r="O21725" t="s">
        <v>66025</v>
      </c>
      <c r="T21725" t="s">
        <v>66026</v>
      </c>
    </row>
    <row r="21726" spans="1:20" x14ac:dyDescent="0.25">
      <c r="A21726" t="str">
        <f>"3054401"</f>
        <v>3054401</v>
      </c>
      <c r="B21726" t="s">
        <v>66028</v>
      </c>
      <c r="C21726" t="str">
        <f>"82515492"</f>
        <v>82515492</v>
      </c>
      <c r="D21726" t="s">
        <v>66029</v>
      </c>
      <c r="F21726" t="s">
        <v>66030</v>
      </c>
      <c r="I21726" t="s">
        <v>29</v>
      </c>
      <c r="J21726" t="s">
        <v>30</v>
      </c>
      <c r="K21726" t="s">
        <v>29603</v>
      </c>
      <c r="M21726" t="s">
        <v>50793</v>
      </c>
      <c r="N21726" t="str">
        <f>"2/16/2024 8:52:00 AM"</f>
        <v>2/16/2024 8:52:00 AM</v>
      </c>
      <c r="O21726" t="s">
        <v>66029</v>
      </c>
    </row>
    <row r="21727" spans="1:20" x14ac:dyDescent="0.25">
      <c r="A21727" t="str">
        <f>"3054298"</f>
        <v>3054298</v>
      </c>
      <c r="B21727" t="s">
        <v>66031</v>
      </c>
      <c r="C21727" t="str">
        <f>"82515492"</f>
        <v>82515492</v>
      </c>
      <c r="D21727" t="s">
        <v>66029</v>
      </c>
      <c r="F21727" t="s">
        <v>66030</v>
      </c>
      <c r="I21727" t="s">
        <v>29</v>
      </c>
      <c r="J21727" t="s">
        <v>30</v>
      </c>
      <c r="K21727" t="s">
        <v>29603</v>
      </c>
      <c r="M21727" t="s">
        <v>50793</v>
      </c>
      <c r="N21727" t="str">
        <f>"2/16/2024 8:52:00 AM"</f>
        <v>2/16/2024 8:52:00 AM</v>
      </c>
      <c r="O21727" t="s">
        <v>66029</v>
      </c>
    </row>
    <row r="21728" spans="1:20" x14ac:dyDescent="0.25">
      <c r="A21728" t="str">
        <f>"3061921"</f>
        <v>3061921</v>
      </c>
      <c r="B21728" t="s">
        <v>66032</v>
      </c>
      <c r="C21728" t="str">
        <f>"64892000"</f>
        <v>64892000</v>
      </c>
      <c r="D21728" t="s">
        <v>66033</v>
      </c>
      <c r="E21728" t="s">
        <v>66034</v>
      </c>
      <c r="F21728" t="s">
        <v>66035</v>
      </c>
      <c r="I21728" t="s">
        <v>29</v>
      </c>
      <c r="J21728" t="s">
        <v>30</v>
      </c>
      <c r="K21728" t="s">
        <v>31</v>
      </c>
      <c r="M21728" t="s">
        <v>50793</v>
      </c>
      <c r="N21728" t="str">
        <f>"2/16/2024 8:52:00 AM"</f>
        <v>2/16/2024 8:52:00 AM</v>
      </c>
      <c r="O21728" t="s">
        <v>66033</v>
      </c>
      <c r="T21728" t="s">
        <v>66034</v>
      </c>
    </row>
    <row r="21729" spans="1:20" x14ac:dyDescent="0.25">
      <c r="A21729" t="str">
        <f>"3047354"</f>
        <v>3047354</v>
      </c>
      <c r="B21729" t="s">
        <v>66036</v>
      </c>
      <c r="C21729" t="str">
        <f>"64974000"</f>
        <v>64974000</v>
      </c>
      <c r="D21729" t="s">
        <v>66037</v>
      </c>
      <c r="E21729" t="s">
        <v>66038</v>
      </c>
      <c r="F21729" t="s">
        <v>66039</v>
      </c>
      <c r="I21729" t="s">
        <v>184</v>
      </c>
      <c r="J21729" t="s">
        <v>30</v>
      </c>
      <c r="K21729" t="s">
        <v>9004</v>
      </c>
      <c r="M21729" t="s">
        <v>50793</v>
      </c>
      <c r="N21729" t="str">
        <f>"2/16/2024 8:55:00 AM"</f>
        <v>2/16/2024 8:55:00 AM</v>
      </c>
      <c r="O21729" t="s">
        <v>66037</v>
      </c>
      <c r="T21729" t="s">
        <v>66038</v>
      </c>
    </row>
    <row r="21730" spans="1:20" x14ac:dyDescent="0.25">
      <c r="A21730" t="str">
        <f>"3047346"</f>
        <v>3047346</v>
      </c>
      <c r="B21730" t="s">
        <v>66040</v>
      </c>
      <c r="C21730" t="str">
        <f>"64974000"</f>
        <v>64974000</v>
      </c>
      <c r="D21730" t="s">
        <v>66037</v>
      </c>
      <c r="E21730" t="s">
        <v>66038</v>
      </c>
      <c r="F21730" t="s">
        <v>66039</v>
      </c>
      <c r="I21730" t="s">
        <v>184</v>
      </c>
      <c r="J21730" t="s">
        <v>30</v>
      </c>
      <c r="K21730" t="s">
        <v>9004</v>
      </c>
      <c r="M21730" t="s">
        <v>50793</v>
      </c>
      <c r="N21730" t="str">
        <f>"2/16/2024 8:55:00 AM"</f>
        <v>2/16/2024 8:55:00 AM</v>
      </c>
      <c r="O21730" t="s">
        <v>66037</v>
      </c>
      <c r="T21730" t="s">
        <v>66038</v>
      </c>
    </row>
    <row r="21731" spans="1:20" x14ac:dyDescent="0.25">
      <c r="A21731" t="str">
        <f>"3054608"</f>
        <v>3054608</v>
      </c>
      <c r="B21731" t="s">
        <v>66041</v>
      </c>
      <c r="C21731" t="str">
        <f>"82531368"</f>
        <v>82531368</v>
      </c>
      <c r="D21731" t="s">
        <v>66042</v>
      </c>
      <c r="F21731" t="s">
        <v>66043</v>
      </c>
      <c r="I21731" t="s">
        <v>29</v>
      </c>
      <c r="J21731" t="s">
        <v>30</v>
      </c>
      <c r="K21731" t="s">
        <v>31</v>
      </c>
      <c r="M21731" t="s">
        <v>50793</v>
      </c>
      <c r="N21731" t="str">
        <f>"2/15/2024 2:59:00 PM"</f>
        <v>2/15/2024 2:59:00 PM</v>
      </c>
      <c r="O21731" t="s">
        <v>66042</v>
      </c>
    </row>
    <row r="21732" spans="1:20" x14ac:dyDescent="0.25">
      <c r="A21732" t="str">
        <f>"3063937"</f>
        <v>3063937</v>
      </c>
      <c r="B21732" t="s">
        <v>66044</v>
      </c>
      <c r="C21732" t="str">
        <f>"8315944"</f>
        <v>8315944</v>
      </c>
      <c r="D21732" t="s">
        <v>66045</v>
      </c>
      <c r="F21732" t="s">
        <v>66046</v>
      </c>
      <c r="I21732" t="s">
        <v>184</v>
      </c>
      <c r="J21732" t="s">
        <v>30</v>
      </c>
      <c r="K21732" t="s">
        <v>46807</v>
      </c>
      <c r="M21732" t="s">
        <v>50793</v>
      </c>
      <c r="N21732" t="str">
        <f>"2/15/2024 3:00:00 PM"</f>
        <v>2/15/2024 3:00:00 PM</v>
      </c>
      <c r="O21732" t="s">
        <v>66045</v>
      </c>
    </row>
    <row r="21733" spans="1:20" x14ac:dyDescent="0.25">
      <c r="A21733" t="str">
        <f>"3062335"</f>
        <v>3062335</v>
      </c>
      <c r="B21733" t="s">
        <v>66047</v>
      </c>
      <c r="C21733" t="str">
        <f>"66332000"</f>
        <v>66332000</v>
      </c>
      <c r="D21733" t="s">
        <v>66048</v>
      </c>
      <c r="F21733" t="str">
        <f>"C/O LILLIAN A CAIN"</f>
        <v>C/O LILLIAN A CAIN</v>
      </c>
      <c r="G21733" t="s">
        <v>66049</v>
      </c>
      <c r="I21733" t="s">
        <v>51419</v>
      </c>
      <c r="J21733" t="s">
        <v>30</v>
      </c>
      <c r="K21733" t="s">
        <v>66050</v>
      </c>
      <c r="M21733" t="s">
        <v>50793</v>
      </c>
      <c r="N21733" t="str">
        <f>"2/16/2024 9:20:00 AM"</f>
        <v>2/16/2024 9:20:00 AM</v>
      </c>
      <c r="O21733" t="s">
        <v>66048</v>
      </c>
    </row>
    <row r="21734" spans="1:20" x14ac:dyDescent="0.25">
      <c r="A21734" t="str">
        <f>"3078758"</f>
        <v>3078758</v>
      </c>
      <c r="B21734" t="s">
        <v>66051</v>
      </c>
      <c r="C21734" t="str">
        <f>"8307410"</f>
        <v>8307410</v>
      </c>
      <c r="D21734" t="s">
        <v>66052</v>
      </c>
      <c r="F21734" t="s">
        <v>66053</v>
      </c>
      <c r="I21734" t="s">
        <v>1107</v>
      </c>
      <c r="J21734" t="s">
        <v>30</v>
      </c>
      <c r="K21734" t="s">
        <v>66054</v>
      </c>
      <c r="M21734" t="s">
        <v>50793</v>
      </c>
      <c r="N21734" t="str">
        <f>"2/16/2024 9:21:00 AM"</f>
        <v>2/16/2024 9:21:00 AM</v>
      </c>
      <c r="O21734" t="s">
        <v>66052</v>
      </c>
    </row>
    <row r="21735" spans="1:20" x14ac:dyDescent="0.25">
      <c r="A21735" t="str">
        <f>"3050855"</f>
        <v>3050855</v>
      </c>
      <c r="B21735" t="s">
        <v>66055</v>
      </c>
      <c r="C21735" t="str">
        <f>"66398000"</f>
        <v>66398000</v>
      </c>
      <c r="D21735" t="s">
        <v>66056</v>
      </c>
      <c r="F21735" t="s">
        <v>66057</v>
      </c>
      <c r="I21735" t="s">
        <v>184</v>
      </c>
      <c r="J21735" t="s">
        <v>30</v>
      </c>
      <c r="K21735" t="s">
        <v>54655</v>
      </c>
      <c r="M21735" t="s">
        <v>50793</v>
      </c>
      <c r="N21735" t="str">
        <f>"2/16/2024 9:21:00 AM"</f>
        <v>2/16/2024 9:21:00 AM</v>
      </c>
      <c r="O21735" t="s">
        <v>66056</v>
      </c>
    </row>
    <row r="21736" spans="1:20" x14ac:dyDescent="0.25">
      <c r="A21736" t="str">
        <f>"3055145"</f>
        <v>3055145</v>
      </c>
      <c r="B21736" t="s">
        <v>66058</v>
      </c>
      <c r="C21736" t="str">
        <f>"8314410"</f>
        <v>8314410</v>
      </c>
      <c r="D21736" t="s">
        <v>66059</v>
      </c>
      <c r="E21736" t="s">
        <v>66060</v>
      </c>
      <c r="F21736" t="s">
        <v>66061</v>
      </c>
      <c r="I21736" t="s">
        <v>29</v>
      </c>
      <c r="J21736" t="s">
        <v>30</v>
      </c>
      <c r="K21736" t="s">
        <v>49361</v>
      </c>
      <c r="M21736" t="s">
        <v>50793</v>
      </c>
      <c r="N21736" t="str">
        <f>"2/15/2024 3:02:00 PM"</f>
        <v>2/15/2024 3:02:00 PM</v>
      </c>
      <c r="O21736" t="s">
        <v>66059</v>
      </c>
      <c r="T21736" t="s">
        <v>66060</v>
      </c>
    </row>
    <row r="21737" spans="1:20" x14ac:dyDescent="0.25">
      <c r="A21737" t="str">
        <f>"3037675"</f>
        <v>3037675</v>
      </c>
      <c r="B21737" t="s">
        <v>66062</v>
      </c>
      <c r="C21737" t="str">
        <f>"66434000"</f>
        <v>66434000</v>
      </c>
      <c r="D21737" t="s">
        <v>66063</v>
      </c>
      <c r="F21737" t="s">
        <v>66064</v>
      </c>
      <c r="I21737" t="s">
        <v>29</v>
      </c>
      <c r="J21737" t="s">
        <v>30</v>
      </c>
      <c r="K21737" t="s">
        <v>31</v>
      </c>
      <c r="M21737" t="s">
        <v>50793</v>
      </c>
      <c r="N21737" t="str">
        <f>"2/16/2024 9:25:00 AM"</f>
        <v>2/16/2024 9:25:00 AM</v>
      </c>
      <c r="O21737" t="s">
        <v>66063</v>
      </c>
    </row>
    <row r="21738" spans="1:20" x14ac:dyDescent="0.25">
      <c r="A21738" t="str">
        <f>"3050062"</f>
        <v>3050062</v>
      </c>
      <c r="B21738" t="s">
        <v>66065</v>
      </c>
      <c r="C21738" t="str">
        <f>"8304313"</f>
        <v>8304313</v>
      </c>
      <c r="D21738" t="s">
        <v>66066</v>
      </c>
      <c r="E21738" t="s">
        <v>66067</v>
      </c>
      <c r="F21738" t="s">
        <v>66068</v>
      </c>
      <c r="I21738" t="s">
        <v>29</v>
      </c>
      <c r="J21738" t="s">
        <v>30</v>
      </c>
      <c r="K21738" t="str">
        <f>"27028"</f>
        <v>27028</v>
      </c>
      <c r="M21738" t="s">
        <v>50793</v>
      </c>
      <c r="N21738" t="str">
        <f>"2/16/2024 9:27:00 AM"</f>
        <v>2/16/2024 9:27:00 AM</v>
      </c>
      <c r="O21738" t="s">
        <v>66066</v>
      </c>
      <c r="T21738" t="s">
        <v>66067</v>
      </c>
    </row>
    <row r="21739" spans="1:20" x14ac:dyDescent="0.25">
      <c r="A21739" t="str">
        <f>"3037669"</f>
        <v>3037669</v>
      </c>
      <c r="B21739" t="s">
        <v>66069</v>
      </c>
      <c r="C21739" t="str">
        <f>"8321936"</f>
        <v>8321936</v>
      </c>
      <c r="D21739" t="s">
        <v>66070</v>
      </c>
      <c r="E21739" t="s">
        <v>66071</v>
      </c>
      <c r="F21739" t="s">
        <v>48419</v>
      </c>
      <c r="I21739" t="s">
        <v>29</v>
      </c>
      <c r="J21739" t="s">
        <v>30</v>
      </c>
      <c r="K21739" t="str">
        <f>"27028"</f>
        <v>27028</v>
      </c>
      <c r="M21739" t="s">
        <v>50500</v>
      </c>
      <c r="N21739" t="str">
        <f>"2/16/2024 9:32:00 AM"</f>
        <v>2/16/2024 9:32:00 AM</v>
      </c>
      <c r="O21739" t="s">
        <v>66070</v>
      </c>
      <c r="T21739" t="s">
        <v>66071</v>
      </c>
    </row>
    <row r="21740" spans="1:20" x14ac:dyDescent="0.25">
      <c r="A21740" t="str">
        <f>"3062263"</f>
        <v>3062263</v>
      </c>
      <c r="B21740" t="s">
        <v>66072</v>
      </c>
      <c r="C21740" t="str">
        <f>"66632220"</f>
        <v>66632220</v>
      </c>
      <c r="D21740" t="s">
        <v>66073</v>
      </c>
      <c r="F21740" t="s">
        <v>66074</v>
      </c>
      <c r="I21740" t="s">
        <v>184</v>
      </c>
      <c r="J21740" t="s">
        <v>30</v>
      </c>
      <c r="K21740" t="s">
        <v>19175</v>
      </c>
      <c r="M21740" t="s">
        <v>50793</v>
      </c>
      <c r="N21740" t="str">
        <f>"2/16/2024 9:32:00 AM"</f>
        <v>2/16/2024 9:32:00 AM</v>
      </c>
      <c r="O21740" t="s">
        <v>66073</v>
      </c>
    </row>
    <row r="21741" spans="1:20" x14ac:dyDescent="0.25">
      <c r="A21741" t="str">
        <f>"3062264"</f>
        <v>3062264</v>
      </c>
      <c r="B21741" t="s">
        <v>66075</v>
      </c>
      <c r="C21741" t="str">
        <f>"66632220"</f>
        <v>66632220</v>
      </c>
      <c r="D21741" t="s">
        <v>66073</v>
      </c>
      <c r="F21741" t="s">
        <v>66074</v>
      </c>
      <c r="I21741" t="s">
        <v>184</v>
      </c>
      <c r="J21741" t="s">
        <v>30</v>
      </c>
      <c r="K21741" t="s">
        <v>19175</v>
      </c>
      <c r="M21741" t="s">
        <v>50793</v>
      </c>
      <c r="N21741" t="str">
        <f>"2/16/2024 9:32:00 AM"</f>
        <v>2/16/2024 9:32:00 AM</v>
      </c>
      <c r="O21741" t="s">
        <v>66073</v>
      </c>
    </row>
    <row r="21742" spans="1:20" x14ac:dyDescent="0.25">
      <c r="A21742" t="str">
        <f>"3062265"</f>
        <v>3062265</v>
      </c>
      <c r="B21742" t="s">
        <v>66076</v>
      </c>
      <c r="C21742" t="str">
        <f>"66632220"</f>
        <v>66632220</v>
      </c>
      <c r="D21742" t="s">
        <v>66073</v>
      </c>
      <c r="F21742" t="s">
        <v>66074</v>
      </c>
      <c r="I21742" t="s">
        <v>184</v>
      </c>
      <c r="J21742" t="s">
        <v>30</v>
      </c>
      <c r="K21742" t="s">
        <v>19175</v>
      </c>
      <c r="M21742" t="s">
        <v>50793</v>
      </c>
      <c r="N21742" t="str">
        <f>"2/16/2024 9:32:00 AM"</f>
        <v>2/16/2024 9:32:00 AM</v>
      </c>
      <c r="O21742" t="s">
        <v>66073</v>
      </c>
    </row>
    <row r="21743" spans="1:20" x14ac:dyDescent="0.25">
      <c r="A21743" t="str">
        <f>"3058260"</f>
        <v>3058260</v>
      </c>
      <c r="B21743" t="s">
        <v>66077</v>
      </c>
      <c r="C21743" t="str">
        <f>"66632220"</f>
        <v>66632220</v>
      </c>
      <c r="D21743" t="s">
        <v>66073</v>
      </c>
      <c r="F21743" t="s">
        <v>66074</v>
      </c>
      <c r="I21743" t="s">
        <v>184</v>
      </c>
      <c r="J21743" t="s">
        <v>30</v>
      </c>
      <c r="K21743" t="s">
        <v>19175</v>
      </c>
      <c r="M21743" t="s">
        <v>50793</v>
      </c>
      <c r="N21743" t="str">
        <f>"2/16/2024 9:32:00 AM"</f>
        <v>2/16/2024 9:32:00 AM</v>
      </c>
      <c r="O21743" t="s">
        <v>66073</v>
      </c>
    </row>
    <row r="21744" spans="1:20" x14ac:dyDescent="0.25">
      <c r="A21744" t="str">
        <f>"3051009"</f>
        <v>3051009</v>
      </c>
      <c r="B21744" t="s">
        <v>66078</v>
      </c>
      <c r="C21744" t="str">
        <f>"8309655"</f>
        <v>8309655</v>
      </c>
      <c r="D21744" t="s">
        <v>66079</v>
      </c>
      <c r="E21744" t="s">
        <v>66080</v>
      </c>
      <c r="F21744" t="s">
        <v>66081</v>
      </c>
      <c r="I21744" t="s">
        <v>184</v>
      </c>
      <c r="J21744" t="s">
        <v>30</v>
      </c>
      <c r="K21744" t="s">
        <v>66082</v>
      </c>
      <c r="M21744" t="s">
        <v>50621</v>
      </c>
      <c r="N21744" t="str">
        <f>"2/16/2024 9:36:00 AM"</f>
        <v>2/16/2024 9:36:00 AM</v>
      </c>
      <c r="O21744" t="s">
        <v>66079</v>
      </c>
      <c r="T21744" t="s">
        <v>66080</v>
      </c>
    </row>
    <row r="21745" spans="1:20" x14ac:dyDescent="0.25">
      <c r="A21745" t="str">
        <f>"3053006"</f>
        <v>3053006</v>
      </c>
      <c r="B21745" t="s">
        <v>66083</v>
      </c>
      <c r="C21745" t="str">
        <f>"82530732"</f>
        <v>82530732</v>
      </c>
      <c r="D21745" t="s">
        <v>66084</v>
      </c>
      <c r="E21745" t="s">
        <v>66085</v>
      </c>
      <c r="F21745" t="s">
        <v>66086</v>
      </c>
      <c r="I21745" t="s">
        <v>29</v>
      </c>
      <c r="K21745" t="s">
        <v>66087</v>
      </c>
      <c r="M21745" t="s">
        <v>50621</v>
      </c>
      <c r="N21745" t="str">
        <f>"2/16/2024 9:37:00 AM"</f>
        <v>2/16/2024 9:37:00 AM</v>
      </c>
      <c r="O21745" t="s">
        <v>66084</v>
      </c>
      <c r="T21745" t="s">
        <v>66085</v>
      </c>
    </row>
    <row r="21746" spans="1:20" x14ac:dyDescent="0.25">
      <c r="A21746" t="str">
        <f>"3053172"</f>
        <v>3053172</v>
      </c>
      <c r="B21746" t="s">
        <v>66088</v>
      </c>
      <c r="C21746" t="str">
        <f>"82530732"</f>
        <v>82530732</v>
      </c>
      <c r="D21746" t="s">
        <v>66084</v>
      </c>
      <c r="E21746" t="s">
        <v>66085</v>
      </c>
      <c r="F21746" t="s">
        <v>66086</v>
      </c>
      <c r="I21746" t="s">
        <v>29</v>
      </c>
      <c r="K21746" t="s">
        <v>66087</v>
      </c>
      <c r="M21746" t="s">
        <v>50621</v>
      </c>
      <c r="N21746" t="str">
        <f>"2/16/2024 9:37:00 AM"</f>
        <v>2/16/2024 9:37:00 AM</v>
      </c>
      <c r="O21746" t="s">
        <v>66084</v>
      </c>
      <c r="T21746" t="s">
        <v>66085</v>
      </c>
    </row>
    <row r="21747" spans="1:20" x14ac:dyDescent="0.25">
      <c r="A21747" t="str">
        <f>"3046872"</f>
        <v>3046872</v>
      </c>
      <c r="B21747" t="s">
        <v>66089</v>
      </c>
      <c r="C21747" t="str">
        <f>"66836000"</f>
        <v>66836000</v>
      </c>
      <c r="D21747" t="s">
        <v>57747</v>
      </c>
      <c r="F21747" t="s">
        <v>57749</v>
      </c>
      <c r="I21747" t="s">
        <v>29</v>
      </c>
      <c r="J21747" t="s">
        <v>30</v>
      </c>
      <c r="K21747" t="s">
        <v>31</v>
      </c>
      <c r="M21747" t="s">
        <v>50793</v>
      </c>
      <c r="N21747" t="str">
        <f>"2/16/2024 9:38:00 AM"</f>
        <v>2/16/2024 9:38:00 AM</v>
      </c>
      <c r="O21747" t="s">
        <v>57747</v>
      </c>
    </row>
    <row r="21748" spans="1:20" x14ac:dyDescent="0.25">
      <c r="A21748" t="str">
        <f>"3055834"</f>
        <v>3055834</v>
      </c>
      <c r="B21748" t="s">
        <v>66090</v>
      </c>
      <c r="C21748" t="str">
        <f>"82528509"</f>
        <v>82528509</v>
      </c>
      <c r="D21748" t="s">
        <v>66091</v>
      </c>
      <c r="F21748" t="s">
        <v>66092</v>
      </c>
      <c r="I21748" t="s">
        <v>9580</v>
      </c>
      <c r="J21748" t="s">
        <v>30</v>
      </c>
      <c r="K21748" t="s">
        <v>66093</v>
      </c>
      <c r="M21748" t="s">
        <v>50621</v>
      </c>
      <c r="N21748" t="str">
        <f>"2/16/2024 9:39:00 AM"</f>
        <v>2/16/2024 9:39:00 AM</v>
      </c>
      <c r="O21748" t="s">
        <v>66091</v>
      </c>
    </row>
    <row r="21749" spans="1:20" x14ac:dyDescent="0.25">
      <c r="A21749" t="str">
        <f>"3061148"</f>
        <v>3061148</v>
      </c>
      <c r="B21749" t="s">
        <v>66094</v>
      </c>
      <c r="C21749" t="str">
        <f>"8318142"</f>
        <v>8318142</v>
      </c>
      <c r="D21749" t="s">
        <v>66095</v>
      </c>
      <c r="F21749" t="s">
        <v>66096</v>
      </c>
      <c r="I21749" t="s">
        <v>2071</v>
      </c>
      <c r="J21749" t="s">
        <v>30</v>
      </c>
      <c r="K21749" t="s">
        <v>39090</v>
      </c>
      <c r="M21749" t="s">
        <v>50621</v>
      </c>
      <c r="N21749" t="str">
        <f>"2/15/2024 3:03:00 PM"</f>
        <v>2/15/2024 3:03:00 PM</v>
      </c>
      <c r="O21749" t="s">
        <v>66095</v>
      </c>
    </row>
    <row r="21750" spans="1:20" x14ac:dyDescent="0.25">
      <c r="A21750" t="str">
        <f>"3056758"</f>
        <v>3056758</v>
      </c>
      <c r="B21750" t="s">
        <v>66097</v>
      </c>
      <c r="C21750" t="str">
        <f>"8310982"</f>
        <v>8310982</v>
      </c>
      <c r="D21750" t="s">
        <v>66098</v>
      </c>
      <c r="E21750" t="s">
        <v>66099</v>
      </c>
      <c r="F21750" t="s">
        <v>66100</v>
      </c>
      <c r="I21750" t="s">
        <v>29</v>
      </c>
      <c r="J21750" t="s">
        <v>30</v>
      </c>
      <c r="K21750" t="s">
        <v>38025</v>
      </c>
      <c r="M21750" t="s">
        <v>50621</v>
      </c>
      <c r="N21750" t="str">
        <f>"2/15/2024 3:10:00 PM"</f>
        <v>2/15/2024 3:10:00 PM</v>
      </c>
      <c r="O21750" t="s">
        <v>66098</v>
      </c>
      <c r="T21750" t="s">
        <v>66099</v>
      </c>
    </row>
    <row r="21751" spans="1:20" x14ac:dyDescent="0.25">
      <c r="A21751" t="str">
        <f>"3063726"</f>
        <v>3063726</v>
      </c>
      <c r="B21751" t="s">
        <v>66101</v>
      </c>
      <c r="C21751" t="str">
        <f>"77012810"</f>
        <v>77012810</v>
      </c>
      <c r="D21751" t="s">
        <v>66102</v>
      </c>
      <c r="F21751" t="s">
        <v>66103</v>
      </c>
      <c r="I21751" t="s">
        <v>29</v>
      </c>
      <c r="J21751" t="s">
        <v>30</v>
      </c>
      <c r="K21751" t="s">
        <v>31</v>
      </c>
      <c r="M21751" t="s">
        <v>50621</v>
      </c>
      <c r="N21751" t="str">
        <f>"2/16/2024 9:41:00 AM"</f>
        <v>2/16/2024 9:41:00 AM</v>
      </c>
      <c r="O21751" t="s">
        <v>66102</v>
      </c>
    </row>
    <row r="21752" spans="1:20" x14ac:dyDescent="0.25">
      <c r="A21752" t="str">
        <f>"3055493"</f>
        <v>3055493</v>
      </c>
      <c r="B21752" t="s">
        <v>66104</v>
      </c>
      <c r="C21752" t="str">
        <f>"67477500"</f>
        <v>67477500</v>
      </c>
      <c r="D21752" t="s">
        <v>66105</v>
      </c>
      <c r="E21752" t="s">
        <v>66106</v>
      </c>
      <c r="F21752" t="s">
        <v>66107</v>
      </c>
      <c r="I21752" t="s">
        <v>29</v>
      </c>
      <c r="J21752" t="s">
        <v>30</v>
      </c>
      <c r="K21752" t="s">
        <v>31</v>
      </c>
      <c r="M21752" t="s">
        <v>50793</v>
      </c>
      <c r="N21752" t="str">
        <f>"2/16/2024 9:43:00 AM"</f>
        <v>2/16/2024 9:43:00 AM</v>
      </c>
      <c r="O21752" t="s">
        <v>66105</v>
      </c>
      <c r="T21752" t="s">
        <v>66106</v>
      </c>
    </row>
    <row r="21753" spans="1:20" x14ac:dyDescent="0.25">
      <c r="A21753" t="str">
        <f>"3042868"</f>
        <v>3042868</v>
      </c>
      <c r="B21753" t="s">
        <v>66108</v>
      </c>
      <c r="C21753" t="str">
        <f>"82532855"</f>
        <v>82532855</v>
      </c>
      <c r="D21753" t="s">
        <v>66109</v>
      </c>
      <c r="F21753" t="s">
        <v>66110</v>
      </c>
      <c r="I21753" t="s">
        <v>29</v>
      </c>
      <c r="J21753" t="s">
        <v>30</v>
      </c>
      <c r="K21753" t="s">
        <v>31</v>
      </c>
      <c r="M21753" t="s">
        <v>50621</v>
      </c>
      <c r="N21753" t="str">
        <f>"2/16/2024 9:43:00 AM"</f>
        <v>2/16/2024 9:43:00 AM</v>
      </c>
      <c r="O21753" t="s">
        <v>66109</v>
      </c>
    </row>
    <row r="21754" spans="1:20" x14ac:dyDescent="0.25">
      <c r="A21754" t="str">
        <f>"3054757"</f>
        <v>3054757</v>
      </c>
      <c r="B21754" t="s">
        <v>66111</v>
      </c>
      <c r="C21754" t="str">
        <f>"8302957"</f>
        <v>8302957</v>
      </c>
      <c r="D21754" t="s">
        <v>66112</v>
      </c>
      <c r="E21754" t="s">
        <v>66113</v>
      </c>
      <c r="F21754" t="s">
        <v>66114</v>
      </c>
      <c r="I21754" t="s">
        <v>29</v>
      </c>
      <c r="J21754" t="s">
        <v>30</v>
      </c>
      <c r="K21754" t="str">
        <f>"27028"</f>
        <v>27028</v>
      </c>
      <c r="M21754" t="s">
        <v>50621</v>
      </c>
      <c r="N21754" t="str">
        <f>"2/15/2024 3:10:00 PM"</f>
        <v>2/15/2024 3:10:00 PM</v>
      </c>
      <c r="O21754" t="s">
        <v>66112</v>
      </c>
      <c r="T21754" t="s">
        <v>66113</v>
      </c>
    </row>
    <row r="21755" spans="1:20" x14ac:dyDescent="0.25">
      <c r="A21755" t="str">
        <f>"3052614"</f>
        <v>3052614</v>
      </c>
      <c r="B21755" t="s">
        <v>66115</v>
      </c>
      <c r="C21755" t="str">
        <f>"42837000"</f>
        <v>42837000</v>
      </c>
      <c r="D21755" t="s">
        <v>66116</v>
      </c>
      <c r="E21755" t="s">
        <v>66117</v>
      </c>
      <c r="F21755" t="s">
        <v>66118</v>
      </c>
      <c r="I21755" t="s">
        <v>29</v>
      </c>
      <c r="J21755" t="s">
        <v>30</v>
      </c>
      <c r="K21755" t="s">
        <v>31</v>
      </c>
      <c r="M21755" t="s">
        <v>50621</v>
      </c>
      <c r="N21755" t="str">
        <f>"2/15/2024 3:11:00 PM"</f>
        <v>2/15/2024 3:11:00 PM</v>
      </c>
      <c r="O21755" t="s">
        <v>66116</v>
      </c>
      <c r="T21755" t="s">
        <v>66117</v>
      </c>
    </row>
    <row r="21756" spans="1:20" x14ac:dyDescent="0.25">
      <c r="A21756" t="str">
        <f>"3043796"</f>
        <v>3043796</v>
      </c>
      <c r="B21756" t="s">
        <v>66119</v>
      </c>
      <c r="C21756" t="str">
        <f>"8309150"</f>
        <v>8309150</v>
      </c>
      <c r="D21756" t="s">
        <v>46077</v>
      </c>
      <c r="F21756" t="s">
        <v>46079</v>
      </c>
      <c r="I21756" t="s">
        <v>29</v>
      </c>
      <c r="J21756" t="s">
        <v>30</v>
      </c>
      <c r="K21756" t="s">
        <v>7114</v>
      </c>
      <c r="M21756" t="s">
        <v>50621</v>
      </c>
      <c r="N21756" t="str">
        <f>"2/15/2024 3:15:00 PM"</f>
        <v>2/15/2024 3:15:00 PM</v>
      </c>
      <c r="O21756" t="s">
        <v>46077</v>
      </c>
    </row>
    <row r="21757" spans="1:20" x14ac:dyDescent="0.25">
      <c r="A21757" t="str">
        <f>"3043803"</f>
        <v>3043803</v>
      </c>
      <c r="B21757" t="s">
        <v>66120</v>
      </c>
      <c r="C21757" t="str">
        <f>"8308867"</f>
        <v>8308867</v>
      </c>
      <c r="D21757" t="s">
        <v>66121</v>
      </c>
      <c r="E21757" t="s">
        <v>66122</v>
      </c>
      <c r="F21757" t="s">
        <v>46079</v>
      </c>
      <c r="I21757" t="s">
        <v>29</v>
      </c>
      <c r="J21757" t="s">
        <v>30</v>
      </c>
      <c r="K21757" t="s">
        <v>7114</v>
      </c>
      <c r="M21757" t="s">
        <v>50621</v>
      </c>
      <c r="N21757" t="str">
        <f>"2/15/2024 3:15:00 PM"</f>
        <v>2/15/2024 3:15:00 PM</v>
      </c>
      <c r="O21757" t="s">
        <v>66121</v>
      </c>
      <c r="T21757" t="s">
        <v>66122</v>
      </c>
    </row>
    <row r="21758" spans="1:20" x14ac:dyDescent="0.25">
      <c r="A21758" t="str">
        <f>"3058641"</f>
        <v>3058641</v>
      </c>
      <c r="B21758" t="s">
        <v>66123</v>
      </c>
      <c r="C21758" t="str">
        <f>"8311167"</f>
        <v>8311167</v>
      </c>
      <c r="D21758" t="s">
        <v>66124</v>
      </c>
      <c r="F21758" t="s">
        <v>66125</v>
      </c>
      <c r="I21758" t="s">
        <v>29</v>
      </c>
      <c r="J21758" t="s">
        <v>30</v>
      </c>
      <c r="K21758" t="s">
        <v>62750</v>
      </c>
      <c r="M21758" t="s">
        <v>50621</v>
      </c>
      <c r="N21758" t="str">
        <f>"2/15/2024 10:11:00 AM"</f>
        <v>2/15/2024 10:11:00 AM</v>
      </c>
      <c r="O21758" t="s">
        <v>66124</v>
      </c>
    </row>
    <row r="21759" spans="1:20" x14ac:dyDescent="0.25">
      <c r="A21759" t="str">
        <f>"3043211"</f>
        <v>3043211</v>
      </c>
      <c r="B21759" t="s">
        <v>66126</v>
      </c>
      <c r="C21759" t="str">
        <f>"77660000"</f>
        <v>77660000</v>
      </c>
      <c r="D21759" t="s">
        <v>66127</v>
      </c>
      <c r="F21759" t="s">
        <v>66128</v>
      </c>
      <c r="I21759" t="s">
        <v>29</v>
      </c>
      <c r="J21759" t="s">
        <v>30</v>
      </c>
      <c r="K21759" t="s">
        <v>31</v>
      </c>
      <c r="M21759" t="s">
        <v>50621</v>
      </c>
      <c r="N21759" t="str">
        <f>"2/16/2024 9:50:00 AM"</f>
        <v>2/16/2024 9:50:00 AM</v>
      </c>
      <c r="O21759" t="s">
        <v>66127</v>
      </c>
    </row>
    <row r="21760" spans="1:20" x14ac:dyDescent="0.25">
      <c r="A21760" t="str">
        <f>"3045310"</f>
        <v>3045310</v>
      </c>
      <c r="B21760" t="s">
        <v>66129</v>
      </c>
      <c r="C21760" t="str">
        <f>"77780000"</f>
        <v>77780000</v>
      </c>
      <c r="D21760" t="s">
        <v>66130</v>
      </c>
      <c r="E21760" t="s">
        <v>66131</v>
      </c>
      <c r="F21760" t="s">
        <v>65197</v>
      </c>
      <c r="I21760" t="s">
        <v>29</v>
      </c>
      <c r="J21760" t="s">
        <v>30</v>
      </c>
      <c r="K21760" t="s">
        <v>31</v>
      </c>
      <c r="M21760" t="s">
        <v>50621</v>
      </c>
      <c r="N21760" t="str">
        <f>"2/16/2024 9:50:00 AM"</f>
        <v>2/16/2024 9:50:00 AM</v>
      </c>
      <c r="O21760" t="s">
        <v>66130</v>
      </c>
      <c r="T21760" t="s">
        <v>66131</v>
      </c>
    </row>
    <row r="21761" spans="1:20" x14ac:dyDescent="0.25">
      <c r="A21761" t="str">
        <f>"3055331"</f>
        <v>3055331</v>
      </c>
      <c r="B21761" t="s">
        <v>66132</v>
      </c>
      <c r="C21761" t="str">
        <f>"67809500"</f>
        <v>67809500</v>
      </c>
      <c r="D21761" t="s">
        <v>66133</v>
      </c>
      <c r="F21761" t="s">
        <v>66134</v>
      </c>
      <c r="I21761" t="s">
        <v>29</v>
      </c>
      <c r="J21761" t="s">
        <v>30</v>
      </c>
      <c r="K21761" t="s">
        <v>31</v>
      </c>
      <c r="M21761" t="s">
        <v>50793</v>
      </c>
      <c r="N21761" t="str">
        <f>"2/16/2024 9:52:00 AM"</f>
        <v>2/16/2024 9:52:00 AM</v>
      </c>
      <c r="O21761" t="s">
        <v>66133</v>
      </c>
    </row>
    <row r="21762" spans="1:20" x14ac:dyDescent="0.25">
      <c r="A21762" t="str">
        <f>"3038698"</f>
        <v>3038698</v>
      </c>
      <c r="B21762" t="s">
        <v>66135</v>
      </c>
      <c r="C21762" t="str">
        <f>"82518551"</f>
        <v>82518551</v>
      </c>
      <c r="D21762" t="s">
        <v>66136</v>
      </c>
      <c r="F21762" t="s">
        <v>66137</v>
      </c>
      <c r="I21762" t="s">
        <v>49</v>
      </c>
      <c r="J21762" t="s">
        <v>30</v>
      </c>
      <c r="K21762" t="s">
        <v>50</v>
      </c>
      <c r="M21762" t="s">
        <v>50621</v>
      </c>
      <c r="N21762" t="str">
        <f>"2/16/2024 9:52:00 AM"</f>
        <v>2/16/2024 9:52:00 AM</v>
      </c>
      <c r="O21762" t="s">
        <v>66136</v>
      </c>
    </row>
    <row r="21763" spans="1:20" x14ac:dyDescent="0.25">
      <c r="A21763" t="str">
        <f>"3049987"</f>
        <v>3049987</v>
      </c>
      <c r="B21763" t="s">
        <v>66138</v>
      </c>
      <c r="C21763" t="str">
        <f>"78044000"</f>
        <v>78044000</v>
      </c>
      <c r="D21763" t="s">
        <v>66139</v>
      </c>
      <c r="F21763" t="s">
        <v>66140</v>
      </c>
      <c r="I21763" t="s">
        <v>29</v>
      </c>
      <c r="J21763" t="s">
        <v>30</v>
      </c>
      <c r="K21763" t="s">
        <v>20780</v>
      </c>
      <c r="M21763" t="s">
        <v>50621</v>
      </c>
      <c r="N21763" t="str">
        <f>"2/16/2024 9:52:00 AM"</f>
        <v>2/16/2024 9:52:00 AM</v>
      </c>
      <c r="O21763" t="s">
        <v>66139</v>
      </c>
    </row>
    <row r="21764" spans="1:20" x14ac:dyDescent="0.25">
      <c r="A21764" t="str">
        <f>"3049704"</f>
        <v>3049704</v>
      </c>
      <c r="B21764" t="s">
        <v>66141</v>
      </c>
      <c r="C21764" t="str">
        <f>"78044000"</f>
        <v>78044000</v>
      </c>
      <c r="D21764" t="s">
        <v>66139</v>
      </c>
      <c r="F21764" t="s">
        <v>66140</v>
      </c>
      <c r="I21764" t="s">
        <v>29</v>
      </c>
      <c r="J21764" t="s">
        <v>30</v>
      </c>
      <c r="K21764" t="s">
        <v>20780</v>
      </c>
      <c r="M21764" t="s">
        <v>50621</v>
      </c>
      <c r="N21764" t="str">
        <f>"2/16/2024 9:52:00 AM"</f>
        <v>2/16/2024 9:52:00 AM</v>
      </c>
      <c r="O21764" t="s">
        <v>66139</v>
      </c>
    </row>
    <row r="21765" spans="1:20" x14ac:dyDescent="0.25">
      <c r="A21765" t="str">
        <f>"3043000"</f>
        <v>3043000</v>
      </c>
      <c r="B21765" t="s">
        <v>66142</v>
      </c>
      <c r="C21765" t="str">
        <f>"8321937"</f>
        <v>8321937</v>
      </c>
      <c r="D21765" t="s">
        <v>66143</v>
      </c>
      <c r="F21765" t="s">
        <v>66144</v>
      </c>
      <c r="I21765" t="s">
        <v>471</v>
      </c>
      <c r="J21765" t="s">
        <v>30</v>
      </c>
      <c r="K21765" t="s">
        <v>66145</v>
      </c>
      <c r="M21765" t="s">
        <v>50500</v>
      </c>
      <c r="N21765" t="str">
        <f t="shared" ref="N21765:N21771" si="337">"2/16/2024 9:53:00 AM"</f>
        <v>2/16/2024 9:53:00 AM</v>
      </c>
      <c r="O21765" t="s">
        <v>66143</v>
      </c>
    </row>
    <row r="21766" spans="1:20" x14ac:dyDescent="0.25">
      <c r="A21766" t="str">
        <f>"3043001"</f>
        <v>3043001</v>
      </c>
      <c r="B21766" t="s">
        <v>66146</v>
      </c>
      <c r="C21766" t="str">
        <f>"8321937"</f>
        <v>8321937</v>
      </c>
      <c r="D21766" t="s">
        <v>66143</v>
      </c>
      <c r="F21766" t="s">
        <v>66144</v>
      </c>
      <c r="I21766" t="s">
        <v>471</v>
      </c>
      <c r="J21766" t="s">
        <v>30</v>
      </c>
      <c r="K21766" t="s">
        <v>66145</v>
      </c>
      <c r="M21766" t="s">
        <v>50500</v>
      </c>
      <c r="N21766" t="str">
        <f t="shared" si="337"/>
        <v>2/16/2024 9:53:00 AM</v>
      </c>
      <c r="O21766" t="s">
        <v>66143</v>
      </c>
    </row>
    <row r="21767" spans="1:20" x14ac:dyDescent="0.25">
      <c r="A21767" t="str">
        <f>"3063970"</f>
        <v>3063970</v>
      </c>
      <c r="B21767" t="s">
        <v>66147</v>
      </c>
      <c r="C21767" t="str">
        <f>"67828000"</f>
        <v>67828000</v>
      </c>
      <c r="D21767" t="s">
        <v>66148</v>
      </c>
      <c r="F21767" t="s">
        <v>66149</v>
      </c>
      <c r="I21767" t="s">
        <v>184</v>
      </c>
      <c r="J21767" t="s">
        <v>30</v>
      </c>
      <c r="K21767" t="s">
        <v>185</v>
      </c>
      <c r="M21767" t="s">
        <v>50793</v>
      </c>
      <c r="N21767" t="str">
        <f t="shared" si="337"/>
        <v>2/16/2024 9:53:00 AM</v>
      </c>
      <c r="O21767" t="s">
        <v>66148</v>
      </c>
    </row>
    <row r="21768" spans="1:20" x14ac:dyDescent="0.25">
      <c r="A21768" t="str">
        <f>"3040187"</f>
        <v>3040187</v>
      </c>
      <c r="B21768" t="s">
        <v>66150</v>
      </c>
      <c r="C21768" t="str">
        <f>"78349800"</f>
        <v>78349800</v>
      </c>
      <c r="D21768" t="s">
        <v>66151</v>
      </c>
      <c r="E21768" t="s">
        <v>66152</v>
      </c>
      <c r="F21768" t="s">
        <v>66153</v>
      </c>
      <c r="I21768" t="s">
        <v>17921</v>
      </c>
      <c r="J21768" t="s">
        <v>30</v>
      </c>
      <c r="K21768" t="s">
        <v>41261</v>
      </c>
      <c r="M21768" t="s">
        <v>50621</v>
      </c>
      <c r="N21768" t="str">
        <f t="shared" si="337"/>
        <v>2/16/2024 9:53:00 AM</v>
      </c>
      <c r="O21768" t="s">
        <v>66151</v>
      </c>
      <c r="T21768" t="s">
        <v>66152</v>
      </c>
    </row>
    <row r="21769" spans="1:20" x14ac:dyDescent="0.25">
      <c r="A21769" t="str">
        <f>"3059782"</f>
        <v>3059782</v>
      </c>
      <c r="B21769" t="s">
        <v>66154</v>
      </c>
      <c r="C21769" t="str">
        <f>"78395750"</f>
        <v>78395750</v>
      </c>
      <c r="D21769" t="s">
        <v>66155</v>
      </c>
      <c r="E21769" t="s">
        <v>66156</v>
      </c>
      <c r="F21769" t="s">
        <v>66157</v>
      </c>
      <c r="I21769" t="s">
        <v>29</v>
      </c>
      <c r="J21769" t="s">
        <v>30</v>
      </c>
      <c r="K21769" t="s">
        <v>10301</v>
      </c>
      <c r="M21769" t="s">
        <v>50621</v>
      </c>
      <c r="N21769" t="str">
        <f t="shared" si="337"/>
        <v>2/16/2024 9:53:00 AM</v>
      </c>
      <c r="O21769" t="s">
        <v>66155</v>
      </c>
      <c r="T21769" t="s">
        <v>66156</v>
      </c>
    </row>
    <row r="21770" spans="1:20" x14ac:dyDescent="0.25">
      <c r="A21770" t="str">
        <f>"3053247"</f>
        <v>3053247</v>
      </c>
      <c r="B21770" t="s">
        <v>66158</v>
      </c>
      <c r="C21770" t="str">
        <f>"8313999"</f>
        <v>8313999</v>
      </c>
      <c r="D21770" t="s">
        <v>66159</v>
      </c>
      <c r="F21770" t="s">
        <v>66160</v>
      </c>
      <c r="I21770" t="s">
        <v>184</v>
      </c>
      <c r="J21770" t="s">
        <v>30</v>
      </c>
      <c r="K21770" t="s">
        <v>66161</v>
      </c>
      <c r="M21770" t="s">
        <v>50621</v>
      </c>
      <c r="N21770" t="str">
        <f t="shared" si="337"/>
        <v>2/16/2024 9:53:00 AM</v>
      </c>
      <c r="O21770" t="s">
        <v>66162</v>
      </c>
    </row>
    <row r="21771" spans="1:20" x14ac:dyDescent="0.25">
      <c r="A21771" t="str">
        <f>"3053683"</f>
        <v>3053683</v>
      </c>
      <c r="B21771" t="s">
        <v>66163</v>
      </c>
      <c r="C21771" t="str">
        <f>"8313999"</f>
        <v>8313999</v>
      </c>
      <c r="D21771" t="s">
        <v>66159</v>
      </c>
      <c r="F21771" t="s">
        <v>66160</v>
      </c>
      <c r="I21771" t="s">
        <v>184</v>
      </c>
      <c r="J21771" t="s">
        <v>30</v>
      </c>
      <c r="K21771" t="s">
        <v>66161</v>
      </c>
      <c r="M21771" t="s">
        <v>50621</v>
      </c>
      <c r="N21771" t="str">
        <f t="shared" si="337"/>
        <v>2/16/2024 9:53:00 AM</v>
      </c>
      <c r="O21771" t="s">
        <v>66162</v>
      </c>
    </row>
    <row r="21772" spans="1:20" x14ac:dyDescent="0.25">
      <c r="A21772" t="str">
        <f>"3059510"</f>
        <v>3059510</v>
      </c>
      <c r="B21772" t="s">
        <v>66164</v>
      </c>
      <c r="C21772" t="str">
        <f>"40480500"</f>
        <v>40480500</v>
      </c>
      <c r="D21772" t="s">
        <v>65840</v>
      </c>
      <c r="E21772" t="s">
        <v>65841</v>
      </c>
      <c r="F21772" t="s">
        <v>65842</v>
      </c>
      <c r="I21772" t="s">
        <v>29</v>
      </c>
      <c r="J21772" t="s">
        <v>30</v>
      </c>
      <c r="K21772" t="s">
        <v>55070</v>
      </c>
      <c r="M21772" t="s">
        <v>50621</v>
      </c>
      <c r="N21772" t="str">
        <f>"2/15/2024 10:19:00 AM"</f>
        <v>2/15/2024 10:19:00 AM</v>
      </c>
      <c r="O21772" t="s">
        <v>65840</v>
      </c>
      <c r="T21772" t="s">
        <v>65841</v>
      </c>
    </row>
    <row r="21773" spans="1:20" x14ac:dyDescent="0.25">
      <c r="A21773" t="str">
        <f>"3044418"</f>
        <v>3044418</v>
      </c>
      <c r="B21773" t="s">
        <v>66165</v>
      </c>
      <c r="C21773" t="str">
        <f>"43562500"</f>
        <v>43562500</v>
      </c>
      <c r="D21773" t="s">
        <v>66166</v>
      </c>
      <c r="E21773" t="s">
        <v>66167</v>
      </c>
      <c r="F21773" t="s">
        <v>66168</v>
      </c>
      <c r="I21773" t="s">
        <v>184</v>
      </c>
      <c r="J21773" t="s">
        <v>30</v>
      </c>
      <c r="K21773" t="s">
        <v>185</v>
      </c>
      <c r="M21773" t="s">
        <v>50621</v>
      </c>
      <c r="N21773" t="str">
        <f>"2/15/2024 3:30:00 PM"</f>
        <v>2/15/2024 3:30:00 PM</v>
      </c>
      <c r="O21773" t="s">
        <v>66166</v>
      </c>
      <c r="T21773" t="s">
        <v>66167</v>
      </c>
    </row>
    <row r="21774" spans="1:20" x14ac:dyDescent="0.25">
      <c r="A21774" t="str">
        <f>"3077670"</f>
        <v>3077670</v>
      </c>
      <c r="B21774" t="s">
        <v>66169</v>
      </c>
      <c r="C21774" t="str">
        <f>"78540000"</f>
        <v>78540000</v>
      </c>
      <c r="D21774" t="s">
        <v>66170</v>
      </c>
      <c r="F21774" t="s">
        <v>66171</v>
      </c>
      <c r="I21774" t="s">
        <v>29</v>
      </c>
      <c r="J21774" t="s">
        <v>30</v>
      </c>
      <c r="K21774" t="s">
        <v>66172</v>
      </c>
      <c r="M21774" t="s">
        <v>50621</v>
      </c>
      <c r="N21774" t="str">
        <f>"2/16/2024 9:54:00 AM"</f>
        <v>2/16/2024 9:54:00 AM</v>
      </c>
      <c r="O21774" t="s">
        <v>66170</v>
      </c>
    </row>
    <row r="21775" spans="1:20" x14ac:dyDescent="0.25">
      <c r="A21775" t="str">
        <f>"3040077"</f>
        <v>3040077</v>
      </c>
      <c r="B21775" t="s">
        <v>66173</v>
      </c>
      <c r="C21775" t="str">
        <f>"82532143"</f>
        <v>82532143</v>
      </c>
      <c r="D21775" t="s">
        <v>66174</v>
      </c>
      <c r="E21775" t="s">
        <v>66175</v>
      </c>
      <c r="F21775" t="s">
        <v>66176</v>
      </c>
      <c r="I21775" t="s">
        <v>18331</v>
      </c>
      <c r="J21775" t="s">
        <v>30</v>
      </c>
      <c r="K21775" t="s">
        <v>31</v>
      </c>
      <c r="M21775" t="s">
        <v>50621</v>
      </c>
      <c r="N21775" t="str">
        <f>"2/16/2024 9:54:00 AM"</f>
        <v>2/16/2024 9:54:00 AM</v>
      </c>
      <c r="O21775" t="s">
        <v>66174</v>
      </c>
      <c r="T21775" t="s">
        <v>66175</v>
      </c>
    </row>
    <row r="21776" spans="1:20" x14ac:dyDescent="0.25">
      <c r="A21776" t="str">
        <f>"3040023"</f>
        <v>3040023</v>
      </c>
      <c r="B21776" t="s">
        <v>66177</v>
      </c>
      <c r="C21776" t="str">
        <f>"82532143"</f>
        <v>82532143</v>
      </c>
      <c r="D21776" t="s">
        <v>66174</v>
      </c>
      <c r="E21776" t="s">
        <v>66175</v>
      </c>
      <c r="F21776" t="s">
        <v>66176</v>
      </c>
      <c r="I21776" t="s">
        <v>18331</v>
      </c>
      <c r="J21776" t="s">
        <v>30</v>
      </c>
      <c r="K21776" t="s">
        <v>31</v>
      </c>
      <c r="M21776" t="s">
        <v>50621</v>
      </c>
      <c r="N21776" t="str">
        <f>"2/16/2024 9:54:00 AM"</f>
        <v>2/16/2024 9:54:00 AM</v>
      </c>
      <c r="O21776" t="s">
        <v>66174</v>
      </c>
      <c r="T21776" t="s">
        <v>66175</v>
      </c>
    </row>
    <row r="21777" spans="1:20" x14ac:dyDescent="0.25">
      <c r="A21777" t="str">
        <f>"3039632"</f>
        <v>3039632</v>
      </c>
      <c r="B21777" t="s">
        <v>66178</v>
      </c>
      <c r="C21777" t="str">
        <f>"67996000"</f>
        <v>67996000</v>
      </c>
      <c r="D21777" t="s">
        <v>66179</v>
      </c>
      <c r="F21777" t="s">
        <v>66180</v>
      </c>
      <c r="I21777" t="s">
        <v>184</v>
      </c>
      <c r="J21777" t="s">
        <v>30</v>
      </c>
      <c r="K21777" t="s">
        <v>185</v>
      </c>
      <c r="M21777" t="s">
        <v>50793</v>
      </c>
      <c r="N21777" t="str">
        <f>"2/16/2024 9:55:00 AM"</f>
        <v>2/16/2024 9:55:00 AM</v>
      </c>
      <c r="O21777" t="s">
        <v>66179</v>
      </c>
    </row>
    <row r="21778" spans="1:20" x14ac:dyDescent="0.25">
      <c r="A21778" t="str">
        <f>"3061048"</f>
        <v>3061048</v>
      </c>
      <c r="B21778" t="s">
        <v>66181</v>
      </c>
      <c r="C21778" t="str">
        <f>"8315863"</f>
        <v>8315863</v>
      </c>
      <c r="D21778" t="s">
        <v>66182</v>
      </c>
      <c r="F21778" t="s">
        <v>66183</v>
      </c>
      <c r="I21778" t="s">
        <v>2071</v>
      </c>
      <c r="J21778" t="s">
        <v>30</v>
      </c>
      <c r="K21778" t="s">
        <v>39090</v>
      </c>
      <c r="M21778" t="s">
        <v>50793</v>
      </c>
      <c r="N21778" t="str">
        <f>"2/16/2024 9:58:00 AM"</f>
        <v>2/16/2024 9:58:00 AM</v>
      </c>
      <c r="O21778" t="s">
        <v>66182</v>
      </c>
    </row>
    <row r="21779" spans="1:20" x14ac:dyDescent="0.25">
      <c r="A21779" t="str">
        <f>"3061899"</f>
        <v>3061899</v>
      </c>
      <c r="B21779" t="s">
        <v>66184</v>
      </c>
      <c r="C21779" t="str">
        <f>"8321938"</f>
        <v>8321938</v>
      </c>
      <c r="D21779" t="s">
        <v>66185</v>
      </c>
      <c r="E21779" t="s">
        <v>66186</v>
      </c>
      <c r="F21779" t="s">
        <v>66187</v>
      </c>
      <c r="I21779" t="s">
        <v>184</v>
      </c>
      <c r="J21779" t="s">
        <v>30</v>
      </c>
      <c r="K21779" t="s">
        <v>42092</v>
      </c>
      <c r="M21779" t="s">
        <v>50500</v>
      </c>
      <c r="N21779" t="str">
        <f>"2/16/2024 10:41:00 AM"</f>
        <v>2/16/2024 10:41:00 AM</v>
      </c>
      <c r="O21779" t="s">
        <v>66185</v>
      </c>
      <c r="T21779" t="s">
        <v>66186</v>
      </c>
    </row>
    <row r="21780" spans="1:20" x14ac:dyDescent="0.25">
      <c r="A21780" t="str">
        <f>"3097343"</f>
        <v>3097343</v>
      </c>
      <c r="B21780" t="s">
        <v>66188</v>
      </c>
      <c r="C21780" t="str">
        <f>"8321939"</f>
        <v>8321939</v>
      </c>
      <c r="D21780" t="s">
        <v>66189</v>
      </c>
      <c r="F21780" t="s">
        <v>66190</v>
      </c>
      <c r="I21780" t="s">
        <v>29</v>
      </c>
      <c r="J21780" t="s">
        <v>30</v>
      </c>
      <c r="K21780" t="s">
        <v>66191</v>
      </c>
      <c r="M21780" t="s">
        <v>50500</v>
      </c>
      <c r="N21780" t="str">
        <f>"2/16/2024 10:54:00 AM"</f>
        <v>2/16/2024 10:54:00 AM</v>
      </c>
      <c r="O21780" t="s">
        <v>66189</v>
      </c>
    </row>
    <row r="21781" spans="1:20" x14ac:dyDescent="0.25">
      <c r="A21781" t="str">
        <f>"3050220"</f>
        <v>3050220</v>
      </c>
      <c r="B21781" t="s">
        <v>66192</v>
      </c>
      <c r="C21781" t="str">
        <f>"8321940"</f>
        <v>8321940</v>
      </c>
      <c r="D21781" t="s">
        <v>66193</v>
      </c>
      <c r="E21781" t="s">
        <v>66194</v>
      </c>
      <c r="F21781" t="s">
        <v>66195</v>
      </c>
      <c r="I21781" t="s">
        <v>29</v>
      </c>
      <c r="J21781" t="s">
        <v>30</v>
      </c>
      <c r="K21781" t="s">
        <v>9732</v>
      </c>
      <c r="M21781" t="s">
        <v>50500</v>
      </c>
      <c r="N21781" t="str">
        <f>"2/16/2024 10:59:00 AM"</f>
        <v>2/16/2024 10:59:00 AM</v>
      </c>
      <c r="O21781" t="s">
        <v>66193</v>
      </c>
      <c r="T21781" t="s">
        <v>66194</v>
      </c>
    </row>
    <row r="21782" spans="1:20" x14ac:dyDescent="0.25">
      <c r="A21782" t="str">
        <f>"3039590"</f>
        <v>3039590</v>
      </c>
      <c r="B21782" t="s">
        <v>66196</v>
      </c>
      <c r="C21782" t="str">
        <f>"8302058"</f>
        <v>8302058</v>
      </c>
      <c r="D21782" t="s">
        <v>66197</v>
      </c>
      <c r="F21782" t="s">
        <v>66198</v>
      </c>
      <c r="I21782" t="s">
        <v>402</v>
      </c>
      <c r="J21782" t="s">
        <v>30</v>
      </c>
      <c r="K21782" t="s">
        <v>66199</v>
      </c>
      <c r="M21782" t="s">
        <v>50793</v>
      </c>
      <c r="N21782" t="str">
        <f>"2/16/2024 11:21:00 AM"</f>
        <v>2/16/2024 11:21:00 AM</v>
      </c>
      <c r="O21782" t="s">
        <v>66197</v>
      </c>
    </row>
    <row r="21783" spans="1:20" x14ac:dyDescent="0.25">
      <c r="A21783" t="str">
        <f>"3064638"</f>
        <v>3064638</v>
      </c>
      <c r="B21783" t="s">
        <v>66200</v>
      </c>
      <c r="C21783" t="str">
        <f>"82514593"</f>
        <v>82514593</v>
      </c>
      <c r="D21783" t="s">
        <v>66201</v>
      </c>
      <c r="F21783" t="s">
        <v>66202</v>
      </c>
      <c r="I21783" t="s">
        <v>184</v>
      </c>
      <c r="J21783" t="s">
        <v>30</v>
      </c>
      <c r="K21783" t="s">
        <v>66203</v>
      </c>
      <c r="M21783" t="s">
        <v>50793</v>
      </c>
      <c r="N21783" t="str">
        <f>"2/16/2024 11:22:00 AM"</f>
        <v>2/16/2024 11:22:00 AM</v>
      </c>
      <c r="O21783" t="s">
        <v>66201</v>
      </c>
    </row>
    <row r="21784" spans="1:20" x14ac:dyDescent="0.25">
      <c r="A21784" t="str">
        <f>"3050591"</f>
        <v>3050591</v>
      </c>
      <c r="B21784" t="s">
        <v>66204</v>
      </c>
      <c r="C21784" t="str">
        <f>"68320120"</f>
        <v>68320120</v>
      </c>
      <c r="D21784" t="s">
        <v>66205</v>
      </c>
      <c r="E21784" t="s">
        <v>66206</v>
      </c>
      <c r="F21784" t="s">
        <v>66202</v>
      </c>
      <c r="I21784" t="s">
        <v>184</v>
      </c>
      <c r="J21784" t="s">
        <v>30</v>
      </c>
      <c r="K21784" t="s">
        <v>66203</v>
      </c>
      <c r="M21784" t="s">
        <v>50793</v>
      </c>
      <c r="N21784" t="str">
        <f>"2/16/2024 11:22:00 AM"</f>
        <v>2/16/2024 11:22:00 AM</v>
      </c>
      <c r="O21784" t="s">
        <v>66205</v>
      </c>
      <c r="T21784" t="s">
        <v>66206</v>
      </c>
    </row>
    <row r="21785" spans="1:20" x14ac:dyDescent="0.25">
      <c r="A21785" t="str">
        <f>"3050594"</f>
        <v>3050594</v>
      </c>
      <c r="B21785" t="s">
        <v>66207</v>
      </c>
      <c r="C21785" t="str">
        <f>"68320120"</f>
        <v>68320120</v>
      </c>
      <c r="D21785" t="s">
        <v>66205</v>
      </c>
      <c r="E21785" t="s">
        <v>66206</v>
      </c>
      <c r="F21785" t="s">
        <v>66202</v>
      </c>
      <c r="I21785" t="s">
        <v>184</v>
      </c>
      <c r="J21785" t="s">
        <v>30</v>
      </c>
      <c r="K21785" t="s">
        <v>66203</v>
      </c>
      <c r="M21785" t="s">
        <v>50793</v>
      </c>
      <c r="N21785" t="str">
        <f>"2/16/2024 11:22:00 AM"</f>
        <v>2/16/2024 11:22:00 AM</v>
      </c>
      <c r="O21785" t="s">
        <v>66205</v>
      </c>
      <c r="T21785" t="s">
        <v>66206</v>
      </c>
    </row>
    <row r="21786" spans="1:20" x14ac:dyDescent="0.25">
      <c r="A21786" t="str">
        <f>"3059387"</f>
        <v>3059387</v>
      </c>
      <c r="B21786" t="s">
        <v>66208</v>
      </c>
      <c r="C21786" t="str">
        <f>"68352000"</f>
        <v>68352000</v>
      </c>
      <c r="D21786" t="s">
        <v>66209</v>
      </c>
      <c r="E21786" t="s">
        <v>66210</v>
      </c>
      <c r="F21786" t="s">
        <v>66211</v>
      </c>
      <c r="I21786" t="s">
        <v>29</v>
      </c>
      <c r="J21786" t="s">
        <v>30</v>
      </c>
      <c r="K21786" t="s">
        <v>31</v>
      </c>
      <c r="M21786" t="s">
        <v>50793</v>
      </c>
      <c r="N21786" t="str">
        <f>"2/16/2024 11:22:00 AM"</f>
        <v>2/16/2024 11:22:00 AM</v>
      </c>
      <c r="O21786" t="s">
        <v>66209</v>
      </c>
      <c r="T21786" t="s">
        <v>66210</v>
      </c>
    </row>
    <row r="21787" spans="1:20" x14ac:dyDescent="0.25">
      <c r="A21787" t="str">
        <f>"3052881"</f>
        <v>3052881</v>
      </c>
      <c r="B21787" t="s">
        <v>66212</v>
      </c>
      <c r="C21787" t="str">
        <f>"8303387"</f>
        <v>8303387</v>
      </c>
      <c r="D21787" t="s">
        <v>31647</v>
      </c>
      <c r="F21787" t="s">
        <v>31649</v>
      </c>
      <c r="I21787" t="s">
        <v>29</v>
      </c>
      <c r="J21787" t="s">
        <v>30</v>
      </c>
      <c r="K21787" t="str">
        <f>"27028"</f>
        <v>27028</v>
      </c>
      <c r="M21787" t="s">
        <v>50793</v>
      </c>
      <c r="N21787" t="str">
        <f>"2/15/2024 3:31:00 PM"</f>
        <v>2/15/2024 3:31:00 PM</v>
      </c>
      <c r="O21787" t="s">
        <v>31647</v>
      </c>
    </row>
    <row r="21788" spans="1:20" x14ac:dyDescent="0.25">
      <c r="A21788" t="str">
        <f>"3041145"</f>
        <v>3041145</v>
      </c>
      <c r="B21788" t="s">
        <v>66213</v>
      </c>
      <c r="C21788" t="str">
        <f>"62805550"</f>
        <v>62805550</v>
      </c>
      <c r="D21788" t="s">
        <v>66214</v>
      </c>
      <c r="F21788" t="s">
        <v>66215</v>
      </c>
      <c r="I21788" t="s">
        <v>184</v>
      </c>
      <c r="J21788" t="s">
        <v>30</v>
      </c>
      <c r="K21788" t="s">
        <v>185</v>
      </c>
      <c r="M21788" t="s">
        <v>50793</v>
      </c>
      <c r="N21788" t="str">
        <f>"2/15/2024 3:32:00 PM"</f>
        <v>2/15/2024 3:32:00 PM</v>
      </c>
      <c r="O21788" t="s">
        <v>66214</v>
      </c>
    </row>
    <row r="21789" spans="1:20" x14ac:dyDescent="0.25">
      <c r="A21789" t="str">
        <f>"3076983"</f>
        <v>3076983</v>
      </c>
      <c r="B21789" t="s">
        <v>66216</v>
      </c>
      <c r="C21789" t="str">
        <f>"69129500"</f>
        <v>69129500</v>
      </c>
      <c r="D21789" t="s">
        <v>66217</v>
      </c>
      <c r="F21789" t="s">
        <v>66218</v>
      </c>
      <c r="I21789" t="s">
        <v>29</v>
      </c>
      <c r="J21789" t="s">
        <v>30</v>
      </c>
      <c r="K21789" t="s">
        <v>51384</v>
      </c>
      <c r="M21789" t="s">
        <v>50793</v>
      </c>
      <c r="N21789" t="str">
        <f>"2/16/2024 11:32:00 AM"</f>
        <v>2/16/2024 11:32:00 AM</v>
      </c>
      <c r="O21789" t="s">
        <v>66217</v>
      </c>
    </row>
    <row r="21790" spans="1:20" x14ac:dyDescent="0.25">
      <c r="A21790" t="str">
        <f>"3056298"</f>
        <v>3056298</v>
      </c>
      <c r="B21790" t="s">
        <v>66219</v>
      </c>
      <c r="C21790" t="str">
        <f>"82517891"</f>
        <v>82517891</v>
      </c>
      <c r="D21790" t="s">
        <v>66220</v>
      </c>
      <c r="F21790" t="s">
        <v>66221</v>
      </c>
      <c r="I21790" t="s">
        <v>41174</v>
      </c>
      <c r="J21790" t="s">
        <v>12725</v>
      </c>
      <c r="K21790" t="s">
        <v>66222</v>
      </c>
      <c r="M21790" t="s">
        <v>50793</v>
      </c>
      <c r="N21790" t="str">
        <f>"2/16/2024 11:32:00 AM"</f>
        <v>2/16/2024 11:32:00 AM</v>
      </c>
      <c r="O21790" t="s">
        <v>66220</v>
      </c>
    </row>
    <row r="21791" spans="1:20" x14ac:dyDescent="0.25">
      <c r="A21791" t="str">
        <f>"3051612"</f>
        <v>3051612</v>
      </c>
      <c r="B21791" t="s">
        <v>66223</v>
      </c>
      <c r="C21791" t="str">
        <f>"8318897"</f>
        <v>8318897</v>
      </c>
      <c r="D21791" t="s">
        <v>66224</v>
      </c>
      <c r="E21791" t="s">
        <v>66225</v>
      </c>
      <c r="F21791" t="s">
        <v>66226</v>
      </c>
      <c r="I21791" t="s">
        <v>29</v>
      </c>
      <c r="J21791" t="s">
        <v>30</v>
      </c>
      <c r="K21791" t="s">
        <v>66227</v>
      </c>
      <c r="M21791" t="s">
        <v>50793</v>
      </c>
      <c r="N21791" t="str">
        <f>"2/16/2024 11:34:00 AM"</f>
        <v>2/16/2024 11:34:00 AM</v>
      </c>
      <c r="O21791" t="s">
        <v>66224</v>
      </c>
      <c r="T21791" t="s">
        <v>66225</v>
      </c>
    </row>
    <row r="21792" spans="1:20" x14ac:dyDescent="0.25">
      <c r="A21792" t="str">
        <f>"3054489"</f>
        <v>3054489</v>
      </c>
      <c r="B21792" t="s">
        <v>66228</v>
      </c>
      <c r="C21792" t="str">
        <f>"82513180"</f>
        <v>82513180</v>
      </c>
      <c r="D21792" t="s">
        <v>66229</v>
      </c>
      <c r="E21792" t="s">
        <v>66230</v>
      </c>
      <c r="F21792" t="s">
        <v>66231</v>
      </c>
      <c r="I21792" t="s">
        <v>29</v>
      </c>
      <c r="J21792" t="s">
        <v>30</v>
      </c>
      <c r="K21792" t="s">
        <v>39156</v>
      </c>
      <c r="M21792" t="s">
        <v>50793</v>
      </c>
      <c r="N21792" t="str">
        <f>"2/16/2024 11:35:00 AM"</f>
        <v>2/16/2024 11:35:00 AM</v>
      </c>
      <c r="O21792" t="s">
        <v>66229</v>
      </c>
      <c r="T21792" t="s">
        <v>66230</v>
      </c>
    </row>
    <row r="21793" spans="1:20" x14ac:dyDescent="0.25">
      <c r="A21793" t="str">
        <f>"3072951"</f>
        <v>3072951</v>
      </c>
      <c r="B21793" t="s">
        <v>66232</v>
      </c>
      <c r="C21793" t="str">
        <f>"8301273"</f>
        <v>8301273</v>
      </c>
      <c r="D21793" t="s">
        <v>66233</v>
      </c>
      <c r="F21793" t="s">
        <v>66234</v>
      </c>
      <c r="I21793" t="s">
        <v>29</v>
      </c>
      <c r="J21793" t="s">
        <v>30</v>
      </c>
      <c r="K21793" t="str">
        <f>"27028"</f>
        <v>27028</v>
      </c>
      <c r="M21793" t="s">
        <v>50793</v>
      </c>
      <c r="N21793" t="str">
        <f>"2/16/2024 11:35:00 AM"</f>
        <v>2/16/2024 11:35:00 AM</v>
      </c>
      <c r="O21793" t="s">
        <v>66233</v>
      </c>
    </row>
    <row r="21794" spans="1:20" x14ac:dyDescent="0.25">
      <c r="A21794" t="str">
        <f>"3047061"</f>
        <v>3047061</v>
      </c>
      <c r="B21794" t="s">
        <v>66235</v>
      </c>
      <c r="C21794" t="str">
        <f>"62905000"</f>
        <v>62905000</v>
      </c>
      <c r="D21794" t="s">
        <v>56517</v>
      </c>
      <c r="E21794" t="s">
        <v>66236</v>
      </c>
      <c r="F21794" t="s">
        <v>66237</v>
      </c>
      <c r="I21794" t="s">
        <v>29</v>
      </c>
      <c r="J21794" t="s">
        <v>30</v>
      </c>
      <c r="K21794" t="s">
        <v>34021</v>
      </c>
      <c r="M21794" t="s">
        <v>50793</v>
      </c>
      <c r="N21794" t="str">
        <f>"2/15/2024 3:33:00 PM"</f>
        <v>2/15/2024 3:33:00 PM</v>
      </c>
      <c r="O21794" t="s">
        <v>56517</v>
      </c>
      <c r="T21794" t="s">
        <v>66236</v>
      </c>
    </row>
    <row r="21795" spans="1:20" x14ac:dyDescent="0.25">
      <c r="A21795" t="str">
        <f>"3058764"</f>
        <v>3058764</v>
      </c>
      <c r="B21795" t="s">
        <v>66238</v>
      </c>
      <c r="C21795" t="str">
        <f>"8315620"</f>
        <v>8315620</v>
      </c>
      <c r="D21795" t="s">
        <v>66239</v>
      </c>
      <c r="F21795" t="s">
        <v>66240</v>
      </c>
      <c r="I21795" t="s">
        <v>29</v>
      </c>
      <c r="J21795" t="s">
        <v>30</v>
      </c>
      <c r="K21795" t="s">
        <v>11644</v>
      </c>
      <c r="M21795" t="s">
        <v>50793</v>
      </c>
      <c r="N21795" t="str">
        <f>"2/15/2024 3:34:00 PM"</f>
        <v>2/15/2024 3:34:00 PM</v>
      </c>
      <c r="O21795" t="s">
        <v>66239</v>
      </c>
    </row>
    <row r="21796" spans="1:20" x14ac:dyDescent="0.25">
      <c r="A21796" t="str">
        <f>"3055952"</f>
        <v>3055952</v>
      </c>
      <c r="B21796" t="s">
        <v>66241</v>
      </c>
      <c r="C21796" t="str">
        <f>"8313651"</f>
        <v>8313651</v>
      </c>
      <c r="D21796" t="s">
        <v>66242</v>
      </c>
      <c r="E21796" t="s">
        <v>66243</v>
      </c>
      <c r="F21796" t="s">
        <v>9336</v>
      </c>
      <c r="I21796" t="s">
        <v>25280</v>
      </c>
      <c r="J21796" t="s">
        <v>30</v>
      </c>
      <c r="K21796" t="str">
        <f>"27014"</f>
        <v>27014</v>
      </c>
      <c r="M21796" t="s">
        <v>50793</v>
      </c>
      <c r="N21796" t="str">
        <f>"2/15/2024 3:36:00 PM"</f>
        <v>2/15/2024 3:36:00 PM</v>
      </c>
      <c r="O21796" t="s">
        <v>66242</v>
      </c>
      <c r="T21796" t="s">
        <v>66243</v>
      </c>
    </row>
    <row r="21797" spans="1:20" x14ac:dyDescent="0.25">
      <c r="A21797" t="str">
        <f>"3050278"</f>
        <v>3050278</v>
      </c>
      <c r="B21797" t="s">
        <v>66244</v>
      </c>
      <c r="C21797" t="str">
        <f>"8318169"</f>
        <v>8318169</v>
      </c>
      <c r="D21797" t="s">
        <v>66245</v>
      </c>
      <c r="F21797" t="s">
        <v>66246</v>
      </c>
      <c r="I21797" t="s">
        <v>29</v>
      </c>
      <c r="J21797" t="s">
        <v>30</v>
      </c>
      <c r="K21797" t="s">
        <v>66247</v>
      </c>
      <c r="M21797" t="s">
        <v>50793</v>
      </c>
      <c r="N21797" t="str">
        <f>"2/16/2024 11:45:00 AM"</f>
        <v>2/16/2024 11:45:00 AM</v>
      </c>
      <c r="O21797" t="s">
        <v>66245</v>
      </c>
    </row>
    <row r="21798" spans="1:20" x14ac:dyDescent="0.25">
      <c r="A21798" t="str">
        <f>"3050279"</f>
        <v>3050279</v>
      </c>
      <c r="B21798" t="s">
        <v>66248</v>
      </c>
      <c r="C21798" t="str">
        <f>"8318169"</f>
        <v>8318169</v>
      </c>
      <c r="D21798" t="s">
        <v>66245</v>
      </c>
      <c r="F21798" t="s">
        <v>66246</v>
      </c>
      <c r="I21798" t="s">
        <v>29</v>
      </c>
      <c r="J21798" t="s">
        <v>30</v>
      </c>
      <c r="K21798" t="s">
        <v>66247</v>
      </c>
      <c r="M21798" t="s">
        <v>50793</v>
      </c>
      <c r="N21798" t="str">
        <f>"2/16/2024 11:45:00 AM"</f>
        <v>2/16/2024 11:45:00 AM</v>
      </c>
      <c r="O21798" t="s">
        <v>66245</v>
      </c>
    </row>
    <row r="21799" spans="1:20" x14ac:dyDescent="0.25">
      <c r="A21799" t="str">
        <f>"3050280"</f>
        <v>3050280</v>
      </c>
      <c r="B21799" t="s">
        <v>66249</v>
      </c>
      <c r="C21799" t="str">
        <f>"8318169"</f>
        <v>8318169</v>
      </c>
      <c r="D21799" t="s">
        <v>66245</v>
      </c>
      <c r="F21799" t="s">
        <v>66246</v>
      </c>
      <c r="I21799" t="s">
        <v>29</v>
      </c>
      <c r="J21799" t="s">
        <v>30</v>
      </c>
      <c r="K21799" t="s">
        <v>66247</v>
      </c>
      <c r="M21799" t="s">
        <v>50793</v>
      </c>
      <c r="N21799" t="str">
        <f>"2/16/2024 11:45:00 AM"</f>
        <v>2/16/2024 11:45:00 AM</v>
      </c>
      <c r="O21799" t="s">
        <v>66245</v>
      </c>
    </row>
    <row r="21800" spans="1:20" x14ac:dyDescent="0.25">
      <c r="A21800" t="str">
        <f>"3037907"</f>
        <v>3037907</v>
      </c>
      <c r="B21800" t="s">
        <v>66250</v>
      </c>
      <c r="C21800" t="str">
        <f>"8304437"</f>
        <v>8304437</v>
      </c>
      <c r="D21800" t="s">
        <v>66251</v>
      </c>
      <c r="F21800" t="s">
        <v>66252</v>
      </c>
      <c r="I21800" t="s">
        <v>29</v>
      </c>
      <c r="J21800" t="s">
        <v>30</v>
      </c>
      <c r="K21800" t="str">
        <f>"27028"</f>
        <v>27028</v>
      </c>
      <c r="M21800" t="s">
        <v>50793</v>
      </c>
      <c r="N21800" t="str">
        <f>"2/16/2024 11:52:00 AM"</f>
        <v>2/16/2024 11:52:00 AM</v>
      </c>
      <c r="O21800" t="s">
        <v>66251</v>
      </c>
    </row>
    <row r="21801" spans="1:20" x14ac:dyDescent="0.25">
      <c r="A21801" t="str">
        <f>"3052213"</f>
        <v>3052213</v>
      </c>
      <c r="B21801" t="s">
        <v>66253</v>
      </c>
      <c r="C21801" t="str">
        <f>"8321244"</f>
        <v>8321244</v>
      </c>
      <c r="D21801" t="s">
        <v>66254</v>
      </c>
      <c r="F21801" t="s">
        <v>43519</v>
      </c>
      <c r="I21801" t="s">
        <v>17921</v>
      </c>
      <c r="J21801" t="s">
        <v>30</v>
      </c>
      <c r="K21801" t="str">
        <f>"27028"</f>
        <v>27028</v>
      </c>
      <c r="M21801" t="s">
        <v>50793</v>
      </c>
      <c r="N21801" t="str">
        <f>"2/16/2024 11:53:00 AM"</f>
        <v>2/16/2024 11:53:00 AM</v>
      </c>
      <c r="O21801" t="s">
        <v>66254</v>
      </c>
    </row>
    <row r="21802" spans="1:20" x14ac:dyDescent="0.25">
      <c r="A21802" t="str">
        <f>"3054555"</f>
        <v>3054555</v>
      </c>
      <c r="B21802" t="s">
        <v>66255</v>
      </c>
      <c r="C21802" t="str">
        <f t="shared" ref="C21802:C21828" si="338">"69976000"</f>
        <v>69976000</v>
      </c>
      <c r="D21802" t="s">
        <v>66256</v>
      </c>
      <c r="F21802" t="s">
        <v>9579</v>
      </c>
      <c r="I21802" t="s">
        <v>9580</v>
      </c>
      <c r="J21802" t="s">
        <v>30</v>
      </c>
      <c r="K21802" t="s">
        <v>16893</v>
      </c>
      <c r="M21802" t="s">
        <v>50793</v>
      </c>
      <c r="N21802" t="str">
        <f t="shared" ref="N21802:N21828" si="339">"2/16/2024 11:54:00 AM"</f>
        <v>2/16/2024 11:54:00 AM</v>
      </c>
      <c r="O21802" t="s">
        <v>66256</v>
      </c>
    </row>
    <row r="21803" spans="1:20" x14ac:dyDescent="0.25">
      <c r="A21803" t="str">
        <f>"3054573"</f>
        <v>3054573</v>
      </c>
      <c r="B21803" t="s">
        <v>66257</v>
      </c>
      <c r="C21803" t="str">
        <f t="shared" si="338"/>
        <v>69976000</v>
      </c>
      <c r="D21803" t="s">
        <v>66256</v>
      </c>
      <c r="F21803" t="s">
        <v>9579</v>
      </c>
      <c r="I21803" t="s">
        <v>9580</v>
      </c>
      <c r="J21803" t="s">
        <v>30</v>
      </c>
      <c r="K21803" t="s">
        <v>16893</v>
      </c>
      <c r="M21803" t="s">
        <v>50793</v>
      </c>
      <c r="N21803" t="str">
        <f t="shared" si="339"/>
        <v>2/16/2024 11:54:00 AM</v>
      </c>
      <c r="O21803" t="s">
        <v>66256</v>
      </c>
    </row>
    <row r="21804" spans="1:20" x14ac:dyDescent="0.25">
      <c r="A21804" t="str">
        <f>"3054594"</f>
        <v>3054594</v>
      </c>
      <c r="B21804" t="s">
        <v>66258</v>
      </c>
      <c r="C21804" t="str">
        <f t="shared" si="338"/>
        <v>69976000</v>
      </c>
      <c r="D21804" t="s">
        <v>66256</v>
      </c>
      <c r="F21804" t="s">
        <v>9579</v>
      </c>
      <c r="I21804" t="s">
        <v>9580</v>
      </c>
      <c r="J21804" t="s">
        <v>30</v>
      </c>
      <c r="K21804" t="s">
        <v>16893</v>
      </c>
      <c r="M21804" t="s">
        <v>50793</v>
      </c>
      <c r="N21804" t="str">
        <f t="shared" si="339"/>
        <v>2/16/2024 11:54:00 AM</v>
      </c>
      <c r="O21804" t="s">
        <v>66256</v>
      </c>
    </row>
    <row r="21805" spans="1:20" x14ac:dyDescent="0.25">
      <c r="A21805" t="str">
        <f>"3054618"</f>
        <v>3054618</v>
      </c>
      <c r="B21805" t="s">
        <v>66259</v>
      </c>
      <c r="C21805" t="str">
        <f t="shared" si="338"/>
        <v>69976000</v>
      </c>
      <c r="D21805" t="s">
        <v>66256</v>
      </c>
      <c r="F21805" t="s">
        <v>9579</v>
      </c>
      <c r="I21805" t="s">
        <v>9580</v>
      </c>
      <c r="J21805" t="s">
        <v>30</v>
      </c>
      <c r="K21805" t="s">
        <v>16893</v>
      </c>
      <c r="M21805" t="s">
        <v>50793</v>
      </c>
      <c r="N21805" t="str">
        <f t="shared" si="339"/>
        <v>2/16/2024 11:54:00 AM</v>
      </c>
      <c r="O21805" t="s">
        <v>66256</v>
      </c>
    </row>
    <row r="21806" spans="1:20" x14ac:dyDescent="0.25">
      <c r="A21806" t="str">
        <f>"3054642"</f>
        <v>3054642</v>
      </c>
      <c r="B21806" t="s">
        <v>66260</v>
      </c>
      <c r="C21806" t="str">
        <f t="shared" si="338"/>
        <v>69976000</v>
      </c>
      <c r="D21806" t="s">
        <v>66256</v>
      </c>
      <c r="F21806" t="s">
        <v>9579</v>
      </c>
      <c r="I21806" t="s">
        <v>9580</v>
      </c>
      <c r="J21806" t="s">
        <v>30</v>
      </c>
      <c r="K21806" t="s">
        <v>16893</v>
      </c>
      <c r="M21806" t="s">
        <v>50793</v>
      </c>
      <c r="N21806" t="str">
        <f t="shared" si="339"/>
        <v>2/16/2024 11:54:00 AM</v>
      </c>
      <c r="O21806" t="s">
        <v>66256</v>
      </c>
    </row>
    <row r="21807" spans="1:20" x14ac:dyDescent="0.25">
      <c r="A21807" t="str">
        <f>"3054813"</f>
        <v>3054813</v>
      </c>
      <c r="B21807" t="s">
        <v>66261</v>
      </c>
      <c r="C21807" t="str">
        <f t="shared" si="338"/>
        <v>69976000</v>
      </c>
      <c r="D21807" t="s">
        <v>66256</v>
      </c>
      <c r="F21807" t="s">
        <v>9579</v>
      </c>
      <c r="I21807" t="s">
        <v>9580</v>
      </c>
      <c r="J21807" t="s">
        <v>30</v>
      </c>
      <c r="K21807" t="s">
        <v>16893</v>
      </c>
      <c r="M21807" t="s">
        <v>50793</v>
      </c>
      <c r="N21807" t="str">
        <f t="shared" si="339"/>
        <v>2/16/2024 11:54:00 AM</v>
      </c>
      <c r="O21807" t="s">
        <v>66256</v>
      </c>
    </row>
    <row r="21808" spans="1:20" x14ac:dyDescent="0.25">
      <c r="A21808" t="str">
        <f>"3054814"</f>
        <v>3054814</v>
      </c>
      <c r="B21808" t="s">
        <v>66262</v>
      </c>
      <c r="C21808" t="str">
        <f t="shared" si="338"/>
        <v>69976000</v>
      </c>
      <c r="D21808" t="s">
        <v>66256</v>
      </c>
      <c r="F21808" t="s">
        <v>9579</v>
      </c>
      <c r="I21808" t="s">
        <v>9580</v>
      </c>
      <c r="J21808" t="s">
        <v>30</v>
      </c>
      <c r="K21808" t="s">
        <v>16893</v>
      </c>
      <c r="M21808" t="s">
        <v>50793</v>
      </c>
      <c r="N21808" t="str">
        <f t="shared" si="339"/>
        <v>2/16/2024 11:54:00 AM</v>
      </c>
      <c r="O21808" t="s">
        <v>66256</v>
      </c>
    </row>
    <row r="21809" spans="1:15" x14ac:dyDescent="0.25">
      <c r="A21809" t="str">
        <f>"3054230"</f>
        <v>3054230</v>
      </c>
      <c r="B21809" t="s">
        <v>66263</v>
      </c>
      <c r="C21809" t="str">
        <f t="shared" si="338"/>
        <v>69976000</v>
      </c>
      <c r="D21809" t="s">
        <v>66256</v>
      </c>
      <c r="F21809" t="s">
        <v>9579</v>
      </c>
      <c r="I21809" t="s">
        <v>9580</v>
      </c>
      <c r="J21809" t="s">
        <v>30</v>
      </c>
      <c r="K21809" t="s">
        <v>16893</v>
      </c>
      <c r="M21809" t="s">
        <v>50793</v>
      </c>
      <c r="N21809" t="str">
        <f t="shared" si="339"/>
        <v>2/16/2024 11:54:00 AM</v>
      </c>
      <c r="O21809" t="s">
        <v>66256</v>
      </c>
    </row>
    <row r="21810" spans="1:15" x14ac:dyDescent="0.25">
      <c r="A21810" t="str">
        <f>"3054178"</f>
        <v>3054178</v>
      </c>
      <c r="B21810" t="s">
        <v>66264</v>
      </c>
      <c r="C21810" t="str">
        <f t="shared" si="338"/>
        <v>69976000</v>
      </c>
      <c r="D21810" t="s">
        <v>66256</v>
      </c>
      <c r="F21810" t="s">
        <v>9579</v>
      </c>
      <c r="I21810" t="s">
        <v>9580</v>
      </c>
      <c r="J21810" t="s">
        <v>30</v>
      </c>
      <c r="K21810" t="s">
        <v>16893</v>
      </c>
      <c r="M21810" t="s">
        <v>50793</v>
      </c>
      <c r="N21810" t="str">
        <f t="shared" si="339"/>
        <v>2/16/2024 11:54:00 AM</v>
      </c>
      <c r="O21810" t="s">
        <v>66256</v>
      </c>
    </row>
    <row r="21811" spans="1:15" x14ac:dyDescent="0.25">
      <c r="A21811" t="str">
        <f>"3054185"</f>
        <v>3054185</v>
      </c>
      <c r="B21811" t="s">
        <v>66265</v>
      </c>
      <c r="C21811" t="str">
        <f t="shared" si="338"/>
        <v>69976000</v>
      </c>
      <c r="D21811" t="s">
        <v>66256</v>
      </c>
      <c r="F21811" t="s">
        <v>9579</v>
      </c>
      <c r="I21811" t="s">
        <v>9580</v>
      </c>
      <c r="J21811" t="s">
        <v>30</v>
      </c>
      <c r="K21811" t="s">
        <v>16893</v>
      </c>
      <c r="M21811" t="s">
        <v>50793</v>
      </c>
      <c r="N21811" t="str">
        <f t="shared" si="339"/>
        <v>2/16/2024 11:54:00 AM</v>
      </c>
      <c r="O21811" t="s">
        <v>66256</v>
      </c>
    </row>
    <row r="21812" spans="1:15" x14ac:dyDescent="0.25">
      <c r="A21812" t="str">
        <f>"3054180"</f>
        <v>3054180</v>
      </c>
      <c r="B21812" t="s">
        <v>66266</v>
      </c>
      <c r="C21812" t="str">
        <f t="shared" si="338"/>
        <v>69976000</v>
      </c>
      <c r="D21812" t="s">
        <v>66256</v>
      </c>
      <c r="F21812" t="s">
        <v>9579</v>
      </c>
      <c r="I21812" t="s">
        <v>9580</v>
      </c>
      <c r="J21812" t="s">
        <v>30</v>
      </c>
      <c r="K21812" t="s">
        <v>16893</v>
      </c>
      <c r="M21812" t="s">
        <v>50793</v>
      </c>
      <c r="N21812" t="str">
        <f t="shared" si="339"/>
        <v>2/16/2024 11:54:00 AM</v>
      </c>
      <c r="O21812" t="s">
        <v>66256</v>
      </c>
    </row>
    <row r="21813" spans="1:15" x14ac:dyDescent="0.25">
      <c r="A21813" t="str">
        <f>"3054182"</f>
        <v>3054182</v>
      </c>
      <c r="B21813" t="s">
        <v>66267</v>
      </c>
      <c r="C21813" t="str">
        <f t="shared" si="338"/>
        <v>69976000</v>
      </c>
      <c r="D21813" t="s">
        <v>66256</v>
      </c>
      <c r="F21813" t="s">
        <v>9579</v>
      </c>
      <c r="I21813" t="s">
        <v>9580</v>
      </c>
      <c r="J21813" t="s">
        <v>30</v>
      </c>
      <c r="K21813" t="s">
        <v>16893</v>
      </c>
      <c r="M21813" t="s">
        <v>50793</v>
      </c>
      <c r="N21813" t="str">
        <f t="shared" si="339"/>
        <v>2/16/2024 11:54:00 AM</v>
      </c>
      <c r="O21813" t="s">
        <v>66256</v>
      </c>
    </row>
    <row r="21814" spans="1:15" x14ac:dyDescent="0.25">
      <c r="A21814" t="str">
        <f>"3054151"</f>
        <v>3054151</v>
      </c>
      <c r="B21814" t="s">
        <v>66268</v>
      </c>
      <c r="C21814" t="str">
        <f t="shared" si="338"/>
        <v>69976000</v>
      </c>
      <c r="D21814" t="s">
        <v>66256</v>
      </c>
      <c r="F21814" t="s">
        <v>9579</v>
      </c>
      <c r="I21814" t="s">
        <v>9580</v>
      </c>
      <c r="J21814" t="s">
        <v>30</v>
      </c>
      <c r="K21814" t="s">
        <v>16893</v>
      </c>
      <c r="M21814" t="s">
        <v>50793</v>
      </c>
      <c r="N21814" t="str">
        <f t="shared" si="339"/>
        <v>2/16/2024 11:54:00 AM</v>
      </c>
      <c r="O21814" t="s">
        <v>66256</v>
      </c>
    </row>
    <row r="21815" spans="1:15" x14ac:dyDescent="0.25">
      <c r="A21815" t="str">
        <f>"3054170"</f>
        <v>3054170</v>
      </c>
      <c r="B21815" t="s">
        <v>66269</v>
      </c>
      <c r="C21815" t="str">
        <f t="shared" si="338"/>
        <v>69976000</v>
      </c>
      <c r="D21815" t="s">
        <v>66256</v>
      </c>
      <c r="F21815" t="s">
        <v>9579</v>
      </c>
      <c r="I21815" t="s">
        <v>9580</v>
      </c>
      <c r="J21815" t="s">
        <v>30</v>
      </c>
      <c r="K21815" t="s">
        <v>16893</v>
      </c>
      <c r="M21815" t="s">
        <v>50793</v>
      </c>
      <c r="N21815" t="str">
        <f t="shared" si="339"/>
        <v>2/16/2024 11:54:00 AM</v>
      </c>
      <c r="O21815" t="s">
        <v>66256</v>
      </c>
    </row>
    <row r="21816" spans="1:15" x14ac:dyDescent="0.25">
      <c r="A21816" t="str">
        <f>"3054161"</f>
        <v>3054161</v>
      </c>
      <c r="B21816" t="s">
        <v>66270</v>
      </c>
      <c r="C21816" t="str">
        <f t="shared" si="338"/>
        <v>69976000</v>
      </c>
      <c r="D21816" t="s">
        <v>66256</v>
      </c>
      <c r="F21816" t="s">
        <v>9579</v>
      </c>
      <c r="I21816" t="s">
        <v>9580</v>
      </c>
      <c r="J21816" t="s">
        <v>30</v>
      </c>
      <c r="K21816" t="s">
        <v>16893</v>
      </c>
      <c r="M21816" t="s">
        <v>50793</v>
      </c>
      <c r="N21816" t="str">
        <f t="shared" si="339"/>
        <v>2/16/2024 11:54:00 AM</v>
      </c>
      <c r="O21816" t="s">
        <v>66256</v>
      </c>
    </row>
    <row r="21817" spans="1:15" x14ac:dyDescent="0.25">
      <c r="A21817" t="str">
        <f>"3054162"</f>
        <v>3054162</v>
      </c>
      <c r="B21817" t="s">
        <v>66271</v>
      </c>
      <c r="C21817" t="str">
        <f t="shared" si="338"/>
        <v>69976000</v>
      </c>
      <c r="D21817" t="s">
        <v>66256</v>
      </c>
      <c r="F21817" t="s">
        <v>9579</v>
      </c>
      <c r="I21817" t="s">
        <v>9580</v>
      </c>
      <c r="J21817" t="s">
        <v>30</v>
      </c>
      <c r="K21817" t="s">
        <v>16893</v>
      </c>
      <c r="M21817" t="s">
        <v>50793</v>
      </c>
      <c r="N21817" t="str">
        <f t="shared" si="339"/>
        <v>2/16/2024 11:54:00 AM</v>
      </c>
      <c r="O21817" t="s">
        <v>66256</v>
      </c>
    </row>
    <row r="21818" spans="1:15" x14ac:dyDescent="0.25">
      <c r="A21818" t="str">
        <f>"3054171"</f>
        <v>3054171</v>
      </c>
      <c r="B21818" t="s">
        <v>66272</v>
      </c>
      <c r="C21818" t="str">
        <f t="shared" si="338"/>
        <v>69976000</v>
      </c>
      <c r="D21818" t="s">
        <v>66256</v>
      </c>
      <c r="F21818" t="s">
        <v>9579</v>
      </c>
      <c r="I21818" t="s">
        <v>9580</v>
      </c>
      <c r="J21818" t="s">
        <v>30</v>
      </c>
      <c r="K21818" t="s">
        <v>16893</v>
      </c>
      <c r="M21818" t="s">
        <v>50793</v>
      </c>
      <c r="N21818" t="str">
        <f t="shared" si="339"/>
        <v>2/16/2024 11:54:00 AM</v>
      </c>
      <c r="O21818" t="s">
        <v>66256</v>
      </c>
    </row>
    <row r="21819" spans="1:15" x14ac:dyDescent="0.25">
      <c r="A21819" t="str">
        <f>"3054172"</f>
        <v>3054172</v>
      </c>
      <c r="B21819" t="s">
        <v>66273</v>
      </c>
      <c r="C21819" t="str">
        <f t="shared" si="338"/>
        <v>69976000</v>
      </c>
      <c r="D21819" t="s">
        <v>66256</v>
      </c>
      <c r="F21819" t="s">
        <v>9579</v>
      </c>
      <c r="I21819" t="s">
        <v>9580</v>
      </c>
      <c r="J21819" t="s">
        <v>30</v>
      </c>
      <c r="K21819" t="s">
        <v>16893</v>
      </c>
      <c r="M21819" t="s">
        <v>50793</v>
      </c>
      <c r="N21819" t="str">
        <f t="shared" si="339"/>
        <v>2/16/2024 11:54:00 AM</v>
      </c>
      <c r="O21819" t="s">
        <v>66256</v>
      </c>
    </row>
    <row r="21820" spans="1:15" x14ac:dyDescent="0.25">
      <c r="A21820" t="str">
        <f>"3054173"</f>
        <v>3054173</v>
      </c>
      <c r="B21820" t="s">
        <v>66274</v>
      </c>
      <c r="C21820" t="str">
        <f t="shared" si="338"/>
        <v>69976000</v>
      </c>
      <c r="D21820" t="s">
        <v>66256</v>
      </c>
      <c r="F21820" t="s">
        <v>9579</v>
      </c>
      <c r="I21820" t="s">
        <v>9580</v>
      </c>
      <c r="J21820" t="s">
        <v>30</v>
      </c>
      <c r="K21820" t="s">
        <v>16893</v>
      </c>
      <c r="M21820" t="s">
        <v>50793</v>
      </c>
      <c r="N21820" t="str">
        <f t="shared" si="339"/>
        <v>2/16/2024 11:54:00 AM</v>
      </c>
      <c r="O21820" t="s">
        <v>66256</v>
      </c>
    </row>
    <row r="21821" spans="1:15" x14ac:dyDescent="0.25">
      <c r="A21821" t="str">
        <f>"3054228"</f>
        <v>3054228</v>
      </c>
      <c r="B21821" t="s">
        <v>66275</v>
      </c>
      <c r="C21821" t="str">
        <f t="shared" si="338"/>
        <v>69976000</v>
      </c>
      <c r="D21821" t="s">
        <v>66256</v>
      </c>
      <c r="F21821" t="s">
        <v>9579</v>
      </c>
      <c r="I21821" t="s">
        <v>9580</v>
      </c>
      <c r="J21821" t="s">
        <v>30</v>
      </c>
      <c r="K21821" t="s">
        <v>16893</v>
      </c>
      <c r="M21821" t="s">
        <v>50793</v>
      </c>
      <c r="N21821" t="str">
        <f t="shared" si="339"/>
        <v>2/16/2024 11:54:00 AM</v>
      </c>
      <c r="O21821" t="s">
        <v>66256</v>
      </c>
    </row>
    <row r="21822" spans="1:15" x14ac:dyDescent="0.25">
      <c r="A21822" t="str">
        <f>"3054224"</f>
        <v>3054224</v>
      </c>
      <c r="B21822" t="s">
        <v>66276</v>
      </c>
      <c r="C21822" t="str">
        <f t="shared" si="338"/>
        <v>69976000</v>
      </c>
      <c r="D21822" t="s">
        <v>66256</v>
      </c>
      <c r="F21822" t="s">
        <v>9579</v>
      </c>
      <c r="I21822" t="s">
        <v>9580</v>
      </c>
      <c r="J21822" t="s">
        <v>30</v>
      </c>
      <c r="K21822" t="s">
        <v>16893</v>
      </c>
      <c r="M21822" t="s">
        <v>50793</v>
      </c>
      <c r="N21822" t="str">
        <f t="shared" si="339"/>
        <v>2/16/2024 11:54:00 AM</v>
      </c>
      <c r="O21822" t="s">
        <v>66256</v>
      </c>
    </row>
    <row r="21823" spans="1:15" x14ac:dyDescent="0.25">
      <c r="A21823" t="str">
        <f>"3054216"</f>
        <v>3054216</v>
      </c>
      <c r="B21823" t="s">
        <v>66277</v>
      </c>
      <c r="C21823" t="str">
        <f t="shared" si="338"/>
        <v>69976000</v>
      </c>
      <c r="D21823" t="s">
        <v>66256</v>
      </c>
      <c r="F21823" t="s">
        <v>9579</v>
      </c>
      <c r="I21823" t="s">
        <v>9580</v>
      </c>
      <c r="J21823" t="s">
        <v>30</v>
      </c>
      <c r="K21823" t="s">
        <v>16893</v>
      </c>
      <c r="M21823" t="s">
        <v>50793</v>
      </c>
      <c r="N21823" t="str">
        <f t="shared" si="339"/>
        <v>2/16/2024 11:54:00 AM</v>
      </c>
      <c r="O21823" t="s">
        <v>66256</v>
      </c>
    </row>
    <row r="21824" spans="1:15" x14ac:dyDescent="0.25">
      <c r="A21824" t="str">
        <f>"3054194"</f>
        <v>3054194</v>
      </c>
      <c r="B21824" t="s">
        <v>66278</v>
      </c>
      <c r="C21824" t="str">
        <f t="shared" si="338"/>
        <v>69976000</v>
      </c>
      <c r="D21824" t="s">
        <v>66256</v>
      </c>
      <c r="F21824" t="s">
        <v>9579</v>
      </c>
      <c r="I21824" t="s">
        <v>9580</v>
      </c>
      <c r="J21824" t="s">
        <v>30</v>
      </c>
      <c r="K21824" t="s">
        <v>16893</v>
      </c>
      <c r="M21824" t="s">
        <v>50793</v>
      </c>
      <c r="N21824" t="str">
        <f t="shared" si="339"/>
        <v>2/16/2024 11:54:00 AM</v>
      </c>
      <c r="O21824" t="s">
        <v>66256</v>
      </c>
    </row>
    <row r="21825" spans="1:20" x14ac:dyDescent="0.25">
      <c r="A21825" t="str">
        <f>"3054027"</f>
        <v>3054027</v>
      </c>
      <c r="B21825" t="s">
        <v>66279</v>
      </c>
      <c r="C21825" t="str">
        <f t="shared" si="338"/>
        <v>69976000</v>
      </c>
      <c r="D21825" t="s">
        <v>66256</v>
      </c>
      <c r="F21825" t="s">
        <v>9579</v>
      </c>
      <c r="I21825" t="s">
        <v>9580</v>
      </c>
      <c r="J21825" t="s">
        <v>30</v>
      </c>
      <c r="K21825" t="s">
        <v>16893</v>
      </c>
      <c r="M21825" t="s">
        <v>50793</v>
      </c>
      <c r="N21825" t="str">
        <f t="shared" si="339"/>
        <v>2/16/2024 11:54:00 AM</v>
      </c>
      <c r="O21825" t="s">
        <v>66256</v>
      </c>
    </row>
    <row r="21826" spans="1:20" x14ac:dyDescent="0.25">
      <c r="A21826" t="str">
        <f>"3055813"</f>
        <v>3055813</v>
      </c>
      <c r="B21826" t="s">
        <v>66280</v>
      </c>
      <c r="C21826" t="str">
        <f t="shared" si="338"/>
        <v>69976000</v>
      </c>
      <c r="D21826" t="s">
        <v>66256</v>
      </c>
      <c r="F21826" t="s">
        <v>9579</v>
      </c>
      <c r="I21826" t="s">
        <v>9580</v>
      </c>
      <c r="J21826" t="s">
        <v>30</v>
      </c>
      <c r="K21826" t="s">
        <v>16893</v>
      </c>
      <c r="M21826" t="s">
        <v>50793</v>
      </c>
      <c r="N21826" t="str">
        <f t="shared" si="339"/>
        <v>2/16/2024 11:54:00 AM</v>
      </c>
      <c r="O21826" t="s">
        <v>66256</v>
      </c>
    </row>
    <row r="21827" spans="1:20" x14ac:dyDescent="0.25">
      <c r="A21827" t="str">
        <f>"3055831"</f>
        <v>3055831</v>
      </c>
      <c r="B21827" t="s">
        <v>66281</v>
      </c>
      <c r="C21827" t="str">
        <f t="shared" si="338"/>
        <v>69976000</v>
      </c>
      <c r="D21827" t="s">
        <v>66256</v>
      </c>
      <c r="F21827" t="s">
        <v>9579</v>
      </c>
      <c r="I21827" t="s">
        <v>9580</v>
      </c>
      <c r="J21827" t="s">
        <v>30</v>
      </c>
      <c r="K21827" t="s">
        <v>16893</v>
      </c>
      <c r="M21827" t="s">
        <v>50793</v>
      </c>
      <c r="N21827" t="str">
        <f t="shared" si="339"/>
        <v>2/16/2024 11:54:00 AM</v>
      </c>
      <c r="O21827" t="s">
        <v>66256</v>
      </c>
    </row>
    <row r="21828" spans="1:20" x14ac:dyDescent="0.25">
      <c r="A21828" t="str">
        <f>"3055682"</f>
        <v>3055682</v>
      </c>
      <c r="B21828" t="s">
        <v>66282</v>
      </c>
      <c r="C21828" t="str">
        <f t="shared" si="338"/>
        <v>69976000</v>
      </c>
      <c r="D21828" t="s">
        <v>66256</v>
      </c>
      <c r="F21828" t="s">
        <v>9579</v>
      </c>
      <c r="I21828" t="s">
        <v>9580</v>
      </c>
      <c r="J21828" t="s">
        <v>30</v>
      </c>
      <c r="K21828" t="s">
        <v>16893</v>
      </c>
      <c r="M21828" t="s">
        <v>50793</v>
      </c>
      <c r="N21828" t="str">
        <f t="shared" si="339"/>
        <v>2/16/2024 11:54:00 AM</v>
      </c>
      <c r="O21828" t="s">
        <v>66256</v>
      </c>
    </row>
    <row r="21829" spans="1:20" x14ac:dyDescent="0.25">
      <c r="A21829" t="str">
        <f>"3043274"</f>
        <v>3043274</v>
      </c>
      <c r="B21829" t="s">
        <v>66283</v>
      </c>
      <c r="C21829" t="str">
        <f>"8303125"</f>
        <v>8303125</v>
      </c>
      <c r="D21829" t="s">
        <v>66284</v>
      </c>
      <c r="F21829" t="s">
        <v>66285</v>
      </c>
      <c r="I21829" t="s">
        <v>29</v>
      </c>
      <c r="J21829" t="s">
        <v>30</v>
      </c>
      <c r="K21829" t="str">
        <f>"27028"</f>
        <v>27028</v>
      </c>
      <c r="M21829" t="s">
        <v>50793</v>
      </c>
      <c r="N21829" t="str">
        <f>"2/15/2024 3:40:00 PM"</f>
        <v>2/15/2024 3:40:00 PM</v>
      </c>
      <c r="O21829" t="s">
        <v>66284</v>
      </c>
    </row>
    <row r="21830" spans="1:20" x14ac:dyDescent="0.25">
      <c r="A21830" t="str">
        <f>"3048714"</f>
        <v>3048714</v>
      </c>
      <c r="B21830" t="s">
        <v>66286</v>
      </c>
      <c r="C21830" t="str">
        <f>"8318513"</f>
        <v>8318513</v>
      </c>
      <c r="D21830" t="s">
        <v>66287</v>
      </c>
      <c r="F21830" t="s">
        <v>66288</v>
      </c>
      <c r="I21830" t="s">
        <v>29</v>
      </c>
      <c r="J21830" t="s">
        <v>30</v>
      </c>
      <c r="K21830" t="s">
        <v>66289</v>
      </c>
      <c r="M21830" t="s">
        <v>50793</v>
      </c>
      <c r="N21830" t="str">
        <f>"2/15/2024 3:44:00 PM"</f>
        <v>2/15/2024 3:44:00 PM</v>
      </c>
      <c r="O21830" t="s">
        <v>66287</v>
      </c>
    </row>
    <row r="21831" spans="1:20" x14ac:dyDescent="0.25">
      <c r="A21831" t="str">
        <f>"3052918"</f>
        <v>3052918</v>
      </c>
      <c r="B21831" t="s">
        <v>66290</v>
      </c>
      <c r="C21831" t="str">
        <f>"63478000"</f>
        <v>63478000</v>
      </c>
      <c r="D21831" t="s">
        <v>66291</v>
      </c>
      <c r="E21831" t="s">
        <v>66292</v>
      </c>
      <c r="F21831" t="s">
        <v>66293</v>
      </c>
      <c r="I21831" t="s">
        <v>29</v>
      </c>
      <c r="J21831" t="s">
        <v>30</v>
      </c>
      <c r="K21831" t="s">
        <v>31</v>
      </c>
      <c r="M21831" t="s">
        <v>50793</v>
      </c>
      <c r="N21831" t="str">
        <f>"2/15/2024 3:49:00 PM"</f>
        <v>2/15/2024 3:49:00 PM</v>
      </c>
      <c r="O21831" t="s">
        <v>66291</v>
      </c>
      <c r="T21831" t="s">
        <v>66292</v>
      </c>
    </row>
    <row r="21832" spans="1:20" x14ac:dyDescent="0.25">
      <c r="A21832" t="str">
        <f>"3045981"</f>
        <v>3045981</v>
      </c>
      <c r="B21832" t="s">
        <v>66294</v>
      </c>
      <c r="C21832" t="str">
        <f>"8315571"</f>
        <v>8315571</v>
      </c>
      <c r="D21832" t="str">
        <f>"SCOTT JOHN C/MARTHA P"</f>
        <v>SCOTT JOHN C/MARTHA P</v>
      </c>
      <c r="E21832" t="s">
        <v>66295</v>
      </c>
      <c r="F21832" t="s">
        <v>66296</v>
      </c>
      <c r="I21832" t="s">
        <v>17921</v>
      </c>
      <c r="J21832" t="s">
        <v>30</v>
      </c>
      <c r="K21832" t="str">
        <f>"27028"</f>
        <v>27028</v>
      </c>
      <c r="M21832" t="s">
        <v>50793</v>
      </c>
      <c r="N21832" t="str">
        <f>"2/16/2024 8:15:00 AM"</f>
        <v>2/16/2024 8:15:00 AM</v>
      </c>
      <c r="O21832" t="str">
        <f>"SCOTT JOHN C/MARTHA P"</f>
        <v>SCOTT JOHN C/MARTHA P</v>
      </c>
      <c r="T21832" t="s">
        <v>66295</v>
      </c>
    </row>
    <row r="21833" spans="1:20" x14ac:dyDescent="0.25">
      <c r="A21833" t="str">
        <f>"3054950"</f>
        <v>3054950</v>
      </c>
      <c r="B21833" t="s">
        <v>66297</v>
      </c>
      <c r="C21833" t="str">
        <f>"64515500"</f>
        <v>64515500</v>
      </c>
      <c r="D21833" t="s">
        <v>19990</v>
      </c>
      <c r="F21833" t="str">
        <f>"C/O DELORSES COLLIER"</f>
        <v>C/O DELORSES COLLIER</v>
      </c>
      <c r="G21833" t="s">
        <v>19991</v>
      </c>
      <c r="I21833" t="s">
        <v>19992</v>
      </c>
      <c r="J21833" t="s">
        <v>12725</v>
      </c>
      <c r="K21833" t="s">
        <v>19993</v>
      </c>
      <c r="M21833" t="s">
        <v>50793</v>
      </c>
      <c r="N21833" t="str">
        <f>"2/16/2024 8:40:00 AM"</f>
        <v>2/16/2024 8:40:00 AM</v>
      </c>
      <c r="O21833" t="s">
        <v>19990</v>
      </c>
    </row>
    <row r="21834" spans="1:20" x14ac:dyDescent="0.25">
      <c r="A21834" t="str">
        <f>"3055306"</f>
        <v>3055306</v>
      </c>
      <c r="B21834" t="s">
        <v>66298</v>
      </c>
      <c r="C21834" t="str">
        <f>"8310461"</f>
        <v>8310461</v>
      </c>
      <c r="D21834" t="s">
        <v>66299</v>
      </c>
      <c r="F21834" t="s">
        <v>66300</v>
      </c>
      <c r="I21834" t="s">
        <v>29</v>
      </c>
      <c r="J21834" t="s">
        <v>30</v>
      </c>
      <c r="K21834" t="s">
        <v>54857</v>
      </c>
      <c r="M21834" t="s">
        <v>50793</v>
      </c>
      <c r="N21834" t="str">
        <f>"2/16/2024 9:17:00 AM"</f>
        <v>2/16/2024 9:17:00 AM</v>
      </c>
      <c r="O21834" t="s">
        <v>66299</v>
      </c>
    </row>
    <row r="21835" spans="1:20" x14ac:dyDescent="0.25">
      <c r="A21835" t="str">
        <f>"3052452"</f>
        <v>3052452</v>
      </c>
      <c r="B21835" t="s">
        <v>66301</v>
      </c>
      <c r="C21835" t="str">
        <f>"66328250"</f>
        <v>66328250</v>
      </c>
      <c r="D21835" t="s">
        <v>66302</v>
      </c>
      <c r="F21835" t="s">
        <v>66303</v>
      </c>
      <c r="I21835" t="s">
        <v>29</v>
      </c>
      <c r="J21835" t="s">
        <v>30</v>
      </c>
      <c r="K21835" t="s">
        <v>31</v>
      </c>
      <c r="M21835" t="s">
        <v>50793</v>
      </c>
      <c r="N21835" t="str">
        <f>"2/16/2024 9:20:00 AM"</f>
        <v>2/16/2024 9:20:00 AM</v>
      </c>
      <c r="O21835" t="s">
        <v>66302</v>
      </c>
    </row>
    <row r="21836" spans="1:20" x14ac:dyDescent="0.25">
      <c r="A21836" t="str">
        <f>"3042953"</f>
        <v>3042953</v>
      </c>
      <c r="B21836" t="s">
        <v>66304</v>
      </c>
      <c r="C21836" t="str">
        <f>"8312181"</f>
        <v>8312181</v>
      </c>
      <c r="D21836" t="s">
        <v>57488</v>
      </c>
      <c r="E21836" t="s">
        <v>66305</v>
      </c>
      <c r="F21836" t="s">
        <v>57490</v>
      </c>
      <c r="I21836" t="s">
        <v>29</v>
      </c>
      <c r="J21836" t="s">
        <v>30</v>
      </c>
      <c r="K21836" t="s">
        <v>4515</v>
      </c>
      <c r="M21836" t="s">
        <v>50793</v>
      </c>
      <c r="N21836" t="str">
        <f>"2/16/2024 9:25:00 AM"</f>
        <v>2/16/2024 9:25:00 AM</v>
      </c>
      <c r="O21836" t="s">
        <v>57488</v>
      </c>
      <c r="T21836" t="s">
        <v>66305</v>
      </c>
    </row>
    <row r="21837" spans="1:20" x14ac:dyDescent="0.25">
      <c r="A21837" t="str">
        <f>"3043742"</f>
        <v>3043742</v>
      </c>
      <c r="B21837" t="s">
        <v>66306</v>
      </c>
      <c r="C21837" t="str">
        <f>"66880000"</f>
        <v>66880000</v>
      </c>
      <c r="D21837" t="s">
        <v>66307</v>
      </c>
      <c r="F21837" t="s">
        <v>66308</v>
      </c>
      <c r="I21837" t="s">
        <v>29</v>
      </c>
      <c r="J21837" t="s">
        <v>30</v>
      </c>
      <c r="K21837" t="s">
        <v>31</v>
      </c>
      <c r="M21837" t="s">
        <v>50793</v>
      </c>
      <c r="N21837" t="str">
        <f>"2/16/2024 9:40:00 AM"</f>
        <v>2/16/2024 9:40:00 AM</v>
      </c>
      <c r="O21837" t="s">
        <v>66307</v>
      </c>
    </row>
    <row r="21838" spans="1:20" x14ac:dyDescent="0.25">
      <c r="A21838" t="str">
        <f>"3048764"</f>
        <v>3048764</v>
      </c>
      <c r="B21838" t="s">
        <v>66309</v>
      </c>
      <c r="C21838" t="str">
        <f>"67004000"</f>
        <v>67004000</v>
      </c>
      <c r="D21838" t="s">
        <v>66310</v>
      </c>
      <c r="F21838" t="s">
        <v>66311</v>
      </c>
      <c r="I21838" t="s">
        <v>29</v>
      </c>
      <c r="J21838" t="s">
        <v>30</v>
      </c>
      <c r="K21838" t="s">
        <v>39588</v>
      </c>
      <c r="M21838" t="s">
        <v>50793</v>
      </c>
      <c r="N21838" t="str">
        <f>"2/16/2024 9:40:00 AM"</f>
        <v>2/16/2024 9:40:00 AM</v>
      </c>
      <c r="O21838" t="s">
        <v>66310</v>
      </c>
    </row>
    <row r="21839" spans="1:20" x14ac:dyDescent="0.25">
      <c r="A21839" t="str">
        <f>"3052834"</f>
        <v>3052834</v>
      </c>
      <c r="B21839" t="s">
        <v>66312</v>
      </c>
      <c r="C21839" t="str">
        <f>"67761000"</f>
        <v>67761000</v>
      </c>
      <c r="D21839" t="s">
        <v>66313</v>
      </c>
      <c r="E21839" t="s">
        <v>66314</v>
      </c>
      <c r="F21839" t="s">
        <v>66315</v>
      </c>
      <c r="I21839" t="s">
        <v>66316</v>
      </c>
      <c r="J21839" t="s">
        <v>30708</v>
      </c>
      <c r="K21839" t="s">
        <v>66317</v>
      </c>
      <c r="M21839" t="s">
        <v>50793</v>
      </c>
      <c r="N21839" t="str">
        <f>"2/16/2024 9:46:00 AM"</f>
        <v>2/16/2024 9:46:00 AM</v>
      </c>
      <c r="O21839" t="s">
        <v>66313</v>
      </c>
      <c r="T21839" t="s">
        <v>66314</v>
      </c>
    </row>
    <row r="21840" spans="1:20" x14ac:dyDescent="0.25">
      <c r="A21840" t="str">
        <f>"3037999"</f>
        <v>3037999</v>
      </c>
      <c r="B21840" t="s">
        <v>66318</v>
      </c>
      <c r="C21840" t="str">
        <f>"8311367"</f>
        <v>8311367</v>
      </c>
      <c r="D21840" t="s">
        <v>66319</v>
      </c>
      <c r="F21840" t="s">
        <v>61344</v>
      </c>
      <c r="I21840" t="s">
        <v>29</v>
      </c>
      <c r="J21840" t="s">
        <v>30</v>
      </c>
      <c r="K21840" t="s">
        <v>453</v>
      </c>
      <c r="M21840" t="s">
        <v>50793</v>
      </c>
      <c r="N21840" t="str">
        <f>"2/16/2024 9:47:00 AM"</f>
        <v>2/16/2024 9:47:00 AM</v>
      </c>
      <c r="O21840" t="s">
        <v>66319</v>
      </c>
    </row>
    <row r="21841" spans="1:20" x14ac:dyDescent="0.25">
      <c r="A21841" t="str">
        <f>"3046419"</f>
        <v>3046419</v>
      </c>
      <c r="B21841" t="s">
        <v>66320</v>
      </c>
      <c r="C21841" t="str">
        <f>"77318620"</f>
        <v>77318620</v>
      </c>
      <c r="D21841" t="s">
        <v>66321</v>
      </c>
      <c r="E21841" t="s">
        <v>66322</v>
      </c>
      <c r="F21841" t="s">
        <v>66323</v>
      </c>
      <c r="I21841" t="s">
        <v>29</v>
      </c>
      <c r="J21841" t="s">
        <v>30</v>
      </c>
      <c r="K21841" t="s">
        <v>31</v>
      </c>
      <c r="M21841" t="s">
        <v>50621</v>
      </c>
      <c r="N21841" t="str">
        <f>"2/16/2024 9:47:00 AM"</f>
        <v>2/16/2024 9:47:00 AM</v>
      </c>
      <c r="O21841" t="s">
        <v>66321</v>
      </c>
      <c r="T21841" t="s">
        <v>66322</v>
      </c>
    </row>
    <row r="21842" spans="1:20" x14ac:dyDescent="0.25">
      <c r="A21842" t="str">
        <f>"3052732"</f>
        <v>3052732</v>
      </c>
      <c r="B21842" t="s">
        <v>66324</v>
      </c>
      <c r="C21842" t="str">
        <f>"8318477"</f>
        <v>8318477</v>
      </c>
      <c r="D21842" t="s">
        <v>52563</v>
      </c>
      <c r="E21842" t="s">
        <v>64560</v>
      </c>
      <c r="F21842" t="s">
        <v>66325</v>
      </c>
      <c r="I21842" t="s">
        <v>964</v>
      </c>
      <c r="J21842" t="s">
        <v>30</v>
      </c>
      <c r="K21842" t="s">
        <v>66326</v>
      </c>
      <c r="M21842" t="s">
        <v>50793</v>
      </c>
      <c r="N21842" t="str">
        <f>"2/16/2024 9:51:00 AM"</f>
        <v>2/16/2024 9:51:00 AM</v>
      </c>
      <c r="O21842" t="s">
        <v>52563</v>
      </c>
      <c r="T21842" t="s">
        <v>64560</v>
      </c>
    </row>
    <row r="21843" spans="1:20" x14ac:dyDescent="0.25">
      <c r="A21843" t="str">
        <f>"3052408"</f>
        <v>3052408</v>
      </c>
      <c r="B21843" t="s">
        <v>66327</v>
      </c>
      <c r="C21843" t="str">
        <f>"8318477"</f>
        <v>8318477</v>
      </c>
      <c r="D21843" t="s">
        <v>52563</v>
      </c>
      <c r="E21843" t="s">
        <v>64560</v>
      </c>
      <c r="F21843" t="s">
        <v>66325</v>
      </c>
      <c r="I21843" t="s">
        <v>964</v>
      </c>
      <c r="J21843" t="s">
        <v>30</v>
      </c>
      <c r="K21843" t="s">
        <v>66326</v>
      </c>
      <c r="M21843" t="s">
        <v>50793</v>
      </c>
      <c r="N21843" t="str">
        <f>"2/16/2024 9:51:00 AM"</f>
        <v>2/16/2024 9:51:00 AM</v>
      </c>
      <c r="O21843" t="s">
        <v>52563</v>
      </c>
      <c r="T21843" t="s">
        <v>64560</v>
      </c>
    </row>
    <row r="21844" spans="1:20" x14ac:dyDescent="0.25">
      <c r="A21844" t="str">
        <f>"3057420"</f>
        <v>3057420</v>
      </c>
      <c r="B21844" t="s">
        <v>66328</v>
      </c>
      <c r="C21844" t="str">
        <f>"82514832"</f>
        <v>82514832</v>
      </c>
      <c r="D21844" t="s">
        <v>66329</v>
      </c>
      <c r="F21844" t="s">
        <v>66330</v>
      </c>
      <c r="I21844" t="s">
        <v>184</v>
      </c>
      <c r="J21844" t="s">
        <v>30</v>
      </c>
      <c r="K21844" t="s">
        <v>10318</v>
      </c>
      <c r="M21844" t="s">
        <v>50793</v>
      </c>
      <c r="N21844" t="str">
        <f>"2/15/2024 3:26:00 PM"</f>
        <v>2/15/2024 3:26:00 PM</v>
      </c>
      <c r="O21844" t="s">
        <v>66329</v>
      </c>
    </row>
    <row r="21845" spans="1:20" x14ac:dyDescent="0.25">
      <c r="A21845" t="str">
        <f>"3073012"</f>
        <v>3073012</v>
      </c>
      <c r="B21845" t="s">
        <v>66331</v>
      </c>
      <c r="C21845" t="str">
        <f>"82514832"</f>
        <v>82514832</v>
      </c>
      <c r="D21845" t="s">
        <v>66329</v>
      </c>
      <c r="F21845" t="s">
        <v>66330</v>
      </c>
      <c r="I21845" t="s">
        <v>184</v>
      </c>
      <c r="J21845" t="s">
        <v>30</v>
      </c>
      <c r="K21845" t="s">
        <v>10318</v>
      </c>
      <c r="M21845" t="s">
        <v>50793</v>
      </c>
      <c r="N21845" t="str">
        <f>"2/15/2024 3:26:00 PM"</f>
        <v>2/15/2024 3:26:00 PM</v>
      </c>
      <c r="O21845" t="s">
        <v>66329</v>
      </c>
    </row>
    <row r="21846" spans="1:20" x14ac:dyDescent="0.25">
      <c r="A21846" t="str">
        <f>"3051306"</f>
        <v>3051306</v>
      </c>
      <c r="B21846" t="s">
        <v>66332</v>
      </c>
      <c r="C21846" t="str">
        <f>"82515848"</f>
        <v>82515848</v>
      </c>
      <c r="D21846" t="s">
        <v>66333</v>
      </c>
      <c r="E21846" t="s">
        <v>34477</v>
      </c>
      <c r="F21846" t="s">
        <v>66334</v>
      </c>
      <c r="I21846" t="s">
        <v>1107</v>
      </c>
      <c r="J21846" t="s">
        <v>30</v>
      </c>
      <c r="K21846" t="s">
        <v>4147</v>
      </c>
      <c r="M21846" t="s">
        <v>50793</v>
      </c>
      <c r="N21846" t="str">
        <f>"2/16/2024 11:29:00 AM"</f>
        <v>2/16/2024 11:29:00 AM</v>
      </c>
      <c r="O21846" t="s">
        <v>66333</v>
      </c>
      <c r="T21846" t="s">
        <v>34477</v>
      </c>
    </row>
    <row r="21847" spans="1:20" x14ac:dyDescent="0.25">
      <c r="A21847" t="str">
        <f>"3055785"</f>
        <v>3055785</v>
      </c>
      <c r="B21847" t="s">
        <v>66335</v>
      </c>
      <c r="C21847" t="str">
        <f>"8319919"</f>
        <v>8319919</v>
      </c>
      <c r="D21847" t="s">
        <v>66336</v>
      </c>
      <c r="F21847" t="s">
        <v>66337</v>
      </c>
      <c r="I21847" t="s">
        <v>9580</v>
      </c>
      <c r="J21847" t="s">
        <v>30</v>
      </c>
      <c r="K21847" t="s">
        <v>66093</v>
      </c>
      <c r="M21847" t="s">
        <v>50793</v>
      </c>
      <c r="N21847" t="str">
        <f>"2/16/2024 11:31:00 AM"</f>
        <v>2/16/2024 11:31:00 AM</v>
      </c>
      <c r="O21847" t="s">
        <v>66336</v>
      </c>
    </row>
    <row r="21848" spans="1:20" x14ac:dyDescent="0.25">
      <c r="A21848" t="str">
        <f>"3044335"</f>
        <v>3044335</v>
      </c>
      <c r="B21848" t="s">
        <v>66338</v>
      </c>
      <c r="C21848" t="str">
        <f>"69660000"</f>
        <v>69660000</v>
      </c>
      <c r="D21848" t="s">
        <v>66339</v>
      </c>
      <c r="E21848" t="s">
        <v>66340</v>
      </c>
      <c r="F21848" t="s">
        <v>66341</v>
      </c>
      <c r="I21848" t="s">
        <v>184</v>
      </c>
      <c r="J21848" t="s">
        <v>30</v>
      </c>
      <c r="K21848" t="s">
        <v>7434</v>
      </c>
      <c r="M21848" t="s">
        <v>50793</v>
      </c>
      <c r="N21848" t="str">
        <f>"2/16/2024 11:39:00 AM"</f>
        <v>2/16/2024 11:39:00 AM</v>
      </c>
      <c r="O21848" t="s">
        <v>66339</v>
      </c>
      <c r="T21848" t="s">
        <v>66340</v>
      </c>
    </row>
    <row r="21849" spans="1:20" x14ac:dyDescent="0.25">
      <c r="A21849" t="str">
        <f>"3059476"</f>
        <v>3059476</v>
      </c>
      <c r="B21849" t="s">
        <v>66342</v>
      </c>
      <c r="C21849" t="str">
        <f>"69709000"</f>
        <v>69709000</v>
      </c>
      <c r="D21849" t="s">
        <v>66343</v>
      </c>
      <c r="F21849" t="s">
        <v>66344</v>
      </c>
      <c r="I21849" t="s">
        <v>29</v>
      </c>
      <c r="J21849" t="s">
        <v>30</v>
      </c>
      <c r="K21849" t="s">
        <v>42187</v>
      </c>
      <c r="M21849" t="s">
        <v>50793</v>
      </c>
      <c r="N21849" t="str">
        <f>"2/16/2024 11:41:00 AM"</f>
        <v>2/16/2024 11:41:00 AM</v>
      </c>
      <c r="O21849" t="s">
        <v>66343</v>
      </c>
    </row>
    <row r="21850" spans="1:20" x14ac:dyDescent="0.25">
      <c r="A21850" t="str">
        <f>"3062317"</f>
        <v>3062317</v>
      </c>
      <c r="B21850" t="s">
        <v>66345</v>
      </c>
      <c r="C21850" t="str">
        <f>"8318169"</f>
        <v>8318169</v>
      </c>
      <c r="D21850" t="s">
        <v>66245</v>
      </c>
      <c r="F21850" t="s">
        <v>66246</v>
      </c>
      <c r="I21850" t="s">
        <v>29</v>
      </c>
      <c r="J21850" t="s">
        <v>30</v>
      </c>
      <c r="K21850" t="s">
        <v>66247</v>
      </c>
      <c r="M21850" t="s">
        <v>50793</v>
      </c>
      <c r="N21850" t="str">
        <f>"2/16/2024 11:45:00 AM"</f>
        <v>2/16/2024 11:45:00 AM</v>
      </c>
      <c r="O21850" t="s">
        <v>66245</v>
      </c>
    </row>
    <row r="21851" spans="1:20" x14ac:dyDescent="0.25">
      <c r="A21851" t="str">
        <f>"3072786"</f>
        <v>3072786</v>
      </c>
      <c r="B21851" t="s">
        <v>66346</v>
      </c>
      <c r="C21851" t="str">
        <f>"78540000"</f>
        <v>78540000</v>
      </c>
      <c r="D21851" t="s">
        <v>66170</v>
      </c>
      <c r="F21851" t="s">
        <v>66171</v>
      </c>
      <c r="I21851" t="s">
        <v>29</v>
      </c>
      <c r="J21851" t="s">
        <v>30</v>
      </c>
      <c r="K21851" t="s">
        <v>66172</v>
      </c>
      <c r="M21851" t="s">
        <v>50621</v>
      </c>
      <c r="N21851" t="str">
        <f>"2/16/2024 9:54:00 AM"</f>
        <v>2/16/2024 9:54:00 AM</v>
      </c>
      <c r="O21851" t="s">
        <v>66170</v>
      </c>
    </row>
    <row r="21852" spans="1:20" x14ac:dyDescent="0.25">
      <c r="A21852" t="str">
        <f>"3077900"</f>
        <v>3077900</v>
      </c>
      <c r="B21852" t="s">
        <v>66347</v>
      </c>
      <c r="C21852" t="str">
        <f>"78540000"</f>
        <v>78540000</v>
      </c>
      <c r="D21852" t="s">
        <v>66170</v>
      </c>
      <c r="F21852" t="s">
        <v>66171</v>
      </c>
      <c r="I21852" t="s">
        <v>29</v>
      </c>
      <c r="J21852" t="s">
        <v>30</v>
      </c>
      <c r="K21852" t="s">
        <v>66172</v>
      </c>
      <c r="M21852" t="s">
        <v>50621</v>
      </c>
      <c r="N21852" t="str">
        <f>"2/16/2024 9:54:00 AM"</f>
        <v>2/16/2024 9:54:00 AM</v>
      </c>
      <c r="O21852" t="s">
        <v>66170</v>
      </c>
    </row>
    <row r="21853" spans="1:20" x14ac:dyDescent="0.25">
      <c r="A21853" t="str">
        <f>"3055676"</f>
        <v>3055676</v>
      </c>
      <c r="B21853" t="s">
        <v>66348</v>
      </c>
      <c r="C21853" t="str">
        <f t="shared" ref="C21853:C21877" si="340">"69976000"</f>
        <v>69976000</v>
      </c>
      <c r="D21853" t="s">
        <v>66256</v>
      </c>
      <c r="F21853" t="s">
        <v>9579</v>
      </c>
      <c r="I21853" t="s">
        <v>9580</v>
      </c>
      <c r="J21853" t="s">
        <v>30</v>
      </c>
      <c r="K21853" t="s">
        <v>16893</v>
      </c>
      <c r="M21853" t="s">
        <v>50793</v>
      </c>
      <c r="N21853" t="str">
        <f t="shared" ref="N21853:N21877" si="341">"2/16/2024 11:54:00 AM"</f>
        <v>2/16/2024 11:54:00 AM</v>
      </c>
      <c r="O21853" t="s">
        <v>66256</v>
      </c>
    </row>
    <row r="21854" spans="1:20" x14ac:dyDescent="0.25">
      <c r="A21854" t="str">
        <f>"3055933"</f>
        <v>3055933</v>
      </c>
      <c r="B21854" t="s">
        <v>66349</v>
      </c>
      <c r="C21854" t="str">
        <f t="shared" si="340"/>
        <v>69976000</v>
      </c>
      <c r="D21854" t="s">
        <v>66256</v>
      </c>
      <c r="F21854" t="s">
        <v>9579</v>
      </c>
      <c r="I21854" t="s">
        <v>9580</v>
      </c>
      <c r="J21854" t="s">
        <v>30</v>
      </c>
      <c r="K21854" t="s">
        <v>16893</v>
      </c>
      <c r="M21854" t="s">
        <v>50793</v>
      </c>
      <c r="N21854" t="str">
        <f t="shared" si="341"/>
        <v>2/16/2024 11:54:00 AM</v>
      </c>
      <c r="O21854" t="s">
        <v>66256</v>
      </c>
    </row>
    <row r="21855" spans="1:20" x14ac:dyDescent="0.25">
      <c r="A21855" t="str">
        <f>"3056160"</f>
        <v>3056160</v>
      </c>
      <c r="B21855" t="s">
        <v>66350</v>
      </c>
      <c r="C21855" t="str">
        <f t="shared" si="340"/>
        <v>69976000</v>
      </c>
      <c r="D21855" t="s">
        <v>66256</v>
      </c>
      <c r="F21855" t="s">
        <v>9579</v>
      </c>
      <c r="I21855" t="s">
        <v>9580</v>
      </c>
      <c r="J21855" t="s">
        <v>30</v>
      </c>
      <c r="K21855" t="s">
        <v>16893</v>
      </c>
      <c r="M21855" t="s">
        <v>50793</v>
      </c>
      <c r="N21855" t="str">
        <f t="shared" si="341"/>
        <v>2/16/2024 11:54:00 AM</v>
      </c>
      <c r="O21855" t="s">
        <v>66256</v>
      </c>
    </row>
    <row r="21856" spans="1:20" x14ac:dyDescent="0.25">
      <c r="A21856" t="str">
        <f>"3056204"</f>
        <v>3056204</v>
      </c>
      <c r="B21856" t="s">
        <v>66351</v>
      </c>
      <c r="C21856" t="str">
        <f t="shared" si="340"/>
        <v>69976000</v>
      </c>
      <c r="D21856" t="s">
        <v>66256</v>
      </c>
      <c r="F21856" t="s">
        <v>9579</v>
      </c>
      <c r="I21856" t="s">
        <v>9580</v>
      </c>
      <c r="J21856" t="s">
        <v>30</v>
      </c>
      <c r="K21856" t="s">
        <v>16893</v>
      </c>
      <c r="M21856" t="s">
        <v>50793</v>
      </c>
      <c r="N21856" t="str">
        <f t="shared" si="341"/>
        <v>2/16/2024 11:54:00 AM</v>
      </c>
      <c r="O21856" t="s">
        <v>66256</v>
      </c>
    </row>
    <row r="21857" spans="1:15" x14ac:dyDescent="0.25">
      <c r="A21857" t="str">
        <f>"3056203"</f>
        <v>3056203</v>
      </c>
      <c r="B21857" t="s">
        <v>66352</v>
      </c>
      <c r="C21857" t="str">
        <f t="shared" si="340"/>
        <v>69976000</v>
      </c>
      <c r="D21857" t="s">
        <v>66256</v>
      </c>
      <c r="F21857" t="s">
        <v>9579</v>
      </c>
      <c r="I21857" t="s">
        <v>9580</v>
      </c>
      <c r="J21857" t="s">
        <v>30</v>
      </c>
      <c r="K21857" t="s">
        <v>16893</v>
      </c>
      <c r="M21857" t="s">
        <v>50793</v>
      </c>
      <c r="N21857" t="str">
        <f t="shared" si="341"/>
        <v>2/16/2024 11:54:00 AM</v>
      </c>
      <c r="O21857" t="s">
        <v>66256</v>
      </c>
    </row>
    <row r="21858" spans="1:15" x14ac:dyDescent="0.25">
      <c r="A21858" t="str">
        <f>"3057108"</f>
        <v>3057108</v>
      </c>
      <c r="B21858" t="s">
        <v>66353</v>
      </c>
      <c r="C21858" t="str">
        <f t="shared" si="340"/>
        <v>69976000</v>
      </c>
      <c r="D21858" t="s">
        <v>66256</v>
      </c>
      <c r="F21858" t="s">
        <v>9579</v>
      </c>
      <c r="I21858" t="s">
        <v>9580</v>
      </c>
      <c r="J21858" t="s">
        <v>30</v>
      </c>
      <c r="K21858" t="s">
        <v>16893</v>
      </c>
      <c r="M21858" t="s">
        <v>50793</v>
      </c>
      <c r="N21858" t="str">
        <f t="shared" si="341"/>
        <v>2/16/2024 11:54:00 AM</v>
      </c>
      <c r="O21858" t="s">
        <v>66256</v>
      </c>
    </row>
    <row r="21859" spans="1:15" x14ac:dyDescent="0.25">
      <c r="A21859" t="str">
        <f>"3042209"</f>
        <v>3042209</v>
      </c>
      <c r="B21859" t="s">
        <v>66354</v>
      </c>
      <c r="C21859" t="str">
        <f t="shared" si="340"/>
        <v>69976000</v>
      </c>
      <c r="D21859" t="s">
        <v>66256</v>
      </c>
      <c r="F21859" t="s">
        <v>9579</v>
      </c>
      <c r="I21859" t="s">
        <v>9580</v>
      </c>
      <c r="J21859" t="s">
        <v>30</v>
      </c>
      <c r="K21859" t="s">
        <v>16893</v>
      </c>
      <c r="M21859" t="s">
        <v>50793</v>
      </c>
      <c r="N21859" t="str">
        <f t="shared" si="341"/>
        <v>2/16/2024 11:54:00 AM</v>
      </c>
      <c r="O21859" t="s">
        <v>66256</v>
      </c>
    </row>
    <row r="21860" spans="1:15" x14ac:dyDescent="0.25">
      <c r="A21860" t="str">
        <f>"3042418"</f>
        <v>3042418</v>
      </c>
      <c r="B21860" t="s">
        <v>66355</v>
      </c>
      <c r="C21860" t="str">
        <f t="shared" si="340"/>
        <v>69976000</v>
      </c>
      <c r="D21860" t="s">
        <v>66256</v>
      </c>
      <c r="F21860" t="s">
        <v>9579</v>
      </c>
      <c r="I21860" t="s">
        <v>9580</v>
      </c>
      <c r="J21860" t="s">
        <v>30</v>
      </c>
      <c r="K21860" t="s">
        <v>16893</v>
      </c>
      <c r="M21860" t="s">
        <v>50793</v>
      </c>
      <c r="N21860" t="str">
        <f t="shared" si="341"/>
        <v>2/16/2024 11:54:00 AM</v>
      </c>
      <c r="O21860" t="s">
        <v>66256</v>
      </c>
    </row>
    <row r="21861" spans="1:15" x14ac:dyDescent="0.25">
      <c r="A21861" t="str">
        <f>"3059841"</f>
        <v>3059841</v>
      </c>
      <c r="B21861" t="s">
        <v>66356</v>
      </c>
      <c r="C21861" t="str">
        <f t="shared" si="340"/>
        <v>69976000</v>
      </c>
      <c r="D21861" t="s">
        <v>66256</v>
      </c>
      <c r="F21861" t="s">
        <v>9579</v>
      </c>
      <c r="I21861" t="s">
        <v>9580</v>
      </c>
      <c r="J21861" t="s">
        <v>30</v>
      </c>
      <c r="K21861" t="s">
        <v>16893</v>
      </c>
      <c r="M21861" t="s">
        <v>50793</v>
      </c>
      <c r="N21861" t="str">
        <f t="shared" si="341"/>
        <v>2/16/2024 11:54:00 AM</v>
      </c>
      <c r="O21861" t="s">
        <v>66256</v>
      </c>
    </row>
    <row r="21862" spans="1:15" x14ac:dyDescent="0.25">
      <c r="A21862" t="str">
        <f>"3059836"</f>
        <v>3059836</v>
      </c>
      <c r="B21862" t="s">
        <v>66357</v>
      </c>
      <c r="C21862" t="str">
        <f t="shared" si="340"/>
        <v>69976000</v>
      </c>
      <c r="D21862" t="s">
        <v>66256</v>
      </c>
      <c r="F21862" t="s">
        <v>9579</v>
      </c>
      <c r="I21862" t="s">
        <v>9580</v>
      </c>
      <c r="J21862" t="s">
        <v>30</v>
      </c>
      <c r="K21862" t="s">
        <v>16893</v>
      </c>
      <c r="M21862" t="s">
        <v>50793</v>
      </c>
      <c r="N21862" t="str">
        <f t="shared" si="341"/>
        <v>2/16/2024 11:54:00 AM</v>
      </c>
      <c r="O21862" t="s">
        <v>66256</v>
      </c>
    </row>
    <row r="21863" spans="1:15" x14ac:dyDescent="0.25">
      <c r="A21863" t="str">
        <f>"3074585"</f>
        <v>3074585</v>
      </c>
      <c r="B21863" t="s">
        <v>66358</v>
      </c>
      <c r="C21863" t="str">
        <f t="shared" si="340"/>
        <v>69976000</v>
      </c>
      <c r="D21863" t="s">
        <v>66256</v>
      </c>
      <c r="F21863" t="s">
        <v>9579</v>
      </c>
      <c r="I21863" t="s">
        <v>9580</v>
      </c>
      <c r="J21863" t="s">
        <v>30</v>
      </c>
      <c r="K21863" t="s">
        <v>16893</v>
      </c>
      <c r="M21863" t="s">
        <v>50793</v>
      </c>
      <c r="N21863" t="str">
        <f t="shared" si="341"/>
        <v>2/16/2024 11:54:00 AM</v>
      </c>
      <c r="O21863" t="s">
        <v>66256</v>
      </c>
    </row>
    <row r="21864" spans="1:15" x14ac:dyDescent="0.25">
      <c r="A21864" t="str">
        <f>"3074615"</f>
        <v>3074615</v>
      </c>
      <c r="B21864" t="s">
        <v>66359</v>
      </c>
      <c r="C21864" t="str">
        <f t="shared" si="340"/>
        <v>69976000</v>
      </c>
      <c r="D21864" t="s">
        <v>66256</v>
      </c>
      <c r="F21864" t="s">
        <v>9579</v>
      </c>
      <c r="I21864" t="s">
        <v>9580</v>
      </c>
      <c r="J21864" t="s">
        <v>30</v>
      </c>
      <c r="K21864" t="s">
        <v>16893</v>
      </c>
      <c r="M21864" t="s">
        <v>50793</v>
      </c>
      <c r="N21864" t="str">
        <f t="shared" si="341"/>
        <v>2/16/2024 11:54:00 AM</v>
      </c>
      <c r="O21864" t="s">
        <v>66256</v>
      </c>
    </row>
    <row r="21865" spans="1:15" x14ac:dyDescent="0.25">
      <c r="A21865" t="str">
        <f>"3074606"</f>
        <v>3074606</v>
      </c>
      <c r="B21865" t="s">
        <v>66360</v>
      </c>
      <c r="C21865" t="str">
        <f t="shared" si="340"/>
        <v>69976000</v>
      </c>
      <c r="D21865" t="s">
        <v>66256</v>
      </c>
      <c r="F21865" t="s">
        <v>9579</v>
      </c>
      <c r="I21865" t="s">
        <v>9580</v>
      </c>
      <c r="J21865" t="s">
        <v>30</v>
      </c>
      <c r="K21865" t="s">
        <v>16893</v>
      </c>
      <c r="M21865" t="s">
        <v>50793</v>
      </c>
      <c r="N21865" t="str">
        <f t="shared" si="341"/>
        <v>2/16/2024 11:54:00 AM</v>
      </c>
      <c r="O21865" t="s">
        <v>66256</v>
      </c>
    </row>
    <row r="21866" spans="1:15" x14ac:dyDescent="0.25">
      <c r="A21866" t="str">
        <f>"3078833"</f>
        <v>3078833</v>
      </c>
      <c r="B21866" t="s">
        <v>66361</v>
      </c>
      <c r="C21866" t="str">
        <f t="shared" si="340"/>
        <v>69976000</v>
      </c>
      <c r="D21866" t="s">
        <v>66256</v>
      </c>
      <c r="F21866" t="s">
        <v>9579</v>
      </c>
      <c r="I21866" t="s">
        <v>9580</v>
      </c>
      <c r="J21866" t="s">
        <v>30</v>
      </c>
      <c r="K21866" t="s">
        <v>16893</v>
      </c>
      <c r="M21866" t="s">
        <v>50793</v>
      </c>
      <c r="N21866" t="str">
        <f t="shared" si="341"/>
        <v>2/16/2024 11:54:00 AM</v>
      </c>
      <c r="O21866" t="s">
        <v>66256</v>
      </c>
    </row>
    <row r="21867" spans="1:15" x14ac:dyDescent="0.25">
      <c r="A21867" t="str">
        <f>"3078834"</f>
        <v>3078834</v>
      </c>
      <c r="B21867" t="s">
        <v>66362</v>
      </c>
      <c r="C21867" t="str">
        <f t="shared" si="340"/>
        <v>69976000</v>
      </c>
      <c r="D21867" t="s">
        <v>66256</v>
      </c>
      <c r="F21867" t="s">
        <v>9579</v>
      </c>
      <c r="I21867" t="s">
        <v>9580</v>
      </c>
      <c r="J21867" t="s">
        <v>30</v>
      </c>
      <c r="K21867" t="s">
        <v>16893</v>
      </c>
      <c r="M21867" t="s">
        <v>50793</v>
      </c>
      <c r="N21867" t="str">
        <f t="shared" si="341"/>
        <v>2/16/2024 11:54:00 AM</v>
      </c>
      <c r="O21867" t="s">
        <v>66256</v>
      </c>
    </row>
    <row r="21868" spans="1:15" x14ac:dyDescent="0.25">
      <c r="A21868" t="str">
        <f>"3078835"</f>
        <v>3078835</v>
      </c>
      <c r="B21868" t="s">
        <v>66363</v>
      </c>
      <c r="C21868" t="str">
        <f t="shared" si="340"/>
        <v>69976000</v>
      </c>
      <c r="D21868" t="s">
        <v>66256</v>
      </c>
      <c r="F21868" t="s">
        <v>9579</v>
      </c>
      <c r="I21868" t="s">
        <v>9580</v>
      </c>
      <c r="J21868" t="s">
        <v>30</v>
      </c>
      <c r="K21868" t="s">
        <v>16893</v>
      </c>
      <c r="M21868" t="s">
        <v>50793</v>
      </c>
      <c r="N21868" t="str">
        <f t="shared" si="341"/>
        <v>2/16/2024 11:54:00 AM</v>
      </c>
      <c r="O21868" t="s">
        <v>66256</v>
      </c>
    </row>
    <row r="21869" spans="1:15" x14ac:dyDescent="0.25">
      <c r="A21869" t="str">
        <f>"3078836"</f>
        <v>3078836</v>
      </c>
      <c r="B21869" t="s">
        <v>66364</v>
      </c>
      <c r="C21869" t="str">
        <f t="shared" si="340"/>
        <v>69976000</v>
      </c>
      <c r="D21869" t="s">
        <v>66256</v>
      </c>
      <c r="F21869" t="s">
        <v>9579</v>
      </c>
      <c r="I21869" t="s">
        <v>9580</v>
      </c>
      <c r="J21869" t="s">
        <v>30</v>
      </c>
      <c r="K21869" t="s">
        <v>16893</v>
      </c>
      <c r="M21869" t="s">
        <v>50793</v>
      </c>
      <c r="N21869" t="str">
        <f t="shared" si="341"/>
        <v>2/16/2024 11:54:00 AM</v>
      </c>
      <c r="O21869" t="s">
        <v>66256</v>
      </c>
    </row>
    <row r="21870" spans="1:15" x14ac:dyDescent="0.25">
      <c r="A21870" t="str">
        <f>"3078837"</f>
        <v>3078837</v>
      </c>
      <c r="B21870" t="s">
        <v>66365</v>
      </c>
      <c r="C21870" t="str">
        <f t="shared" si="340"/>
        <v>69976000</v>
      </c>
      <c r="D21870" t="s">
        <v>66256</v>
      </c>
      <c r="F21870" t="s">
        <v>9579</v>
      </c>
      <c r="I21870" t="s">
        <v>9580</v>
      </c>
      <c r="J21870" t="s">
        <v>30</v>
      </c>
      <c r="K21870" t="s">
        <v>16893</v>
      </c>
      <c r="M21870" t="s">
        <v>50793</v>
      </c>
      <c r="N21870" t="str">
        <f t="shared" si="341"/>
        <v>2/16/2024 11:54:00 AM</v>
      </c>
      <c r="O21870" t="s">
        <v>66256</v>
      </c>
    </row>
    <row r="21871" spans="1:15" x14ac:dyDescent="0.25">
      <c r="A21871" t="str">
        <f>"3078838"</f>
        <v>3078838</v>
      </c>
      <c r="B21871" t="s">
        <v>66366</v>
      </c>
      <c r="C21871" t="str">
        <f t="shared" si="340"/>
        <v>69976000</v>
      </c>
      <c r="D21871" t="s">
        <v>66256</v>
      </c>
      <c r="F21871" t="s">
        <v>9579</v>
      </c>
      <c r="I21871" t="s">
        <v>9580</v>
      </c>
      <c r="J21871" t="s">
        <v>30</v>
      </c>
      <c r="K21871" t="s">
        <v>16893</v>
      </c>
      <c r="M21871" t="s">
        <v>50793</v>
      </c>
      <c r="N21871" t="str">
        <f t="shared" si="341"/>
        <v>2/16/2024 11:54:00 AM</v>
      </c>
      <c r="O21871" t="s">
        <v>66256</v>
      </c>
    </row>
    <row r="21872" spans="1:15" x14ac:dyDescent="0.25">
      <c r="A21872" t="str">
        <f>"3078867"</f>
        <v>3078867</v>
      </c>
      <c r="B21872" t="s">
        <v>66367</v>
      </c>
      <c r="C21872" t="str">
        <f t="shared" si="340"/>
        <v>69976000</v>
      </c>
      <c r="D21872" t="s">
        <v>66256</v>
      </c>
      <c r="F21872" t="s">
        <v>9579</v>
      </c>
      <c r="I21872" t="s">
        <v>9580</v>
      </c>
      <c r="J21872" t="s">
        <v>30</v>
      </c>
      <c r="K21872" t="s">
        <v>16893</v>
      </c>
      <c r="M21872" t="s">
        <v>50793</v>
      </c>
      <c r="N21872" t="str">
        <f t="shared" si="341"/>
        <v>2/16/2024 11:54:00 AM</v>
      </c>
      <c r="O21872" t="s">
        <v>66256</v>
      </c>
    </row>
    <row r="21873" spans="1:20" x14ac:dyDescent="0.25">
      <c r="A21873" t="str">
        <f>"3078868"</f>
        <v>3078868</v>
      </c>
      <c r="B21873" t="s">
        <v>66368</v>
      </c>
      <c r="C21873" t="str">
        <f t="shared" si="340"/>
        <v>69976000</v>
      </c>
      <c r="D21873" t="s">
        <v>66256</v>
      </c>
      <c r="F21873" t="s">
        <v>9579</v>
      </c>
      <c r="I21873" t="s">
        <v>9580</v>
      </c>
      <c r="J21873" t="s">
        <v>30</v>
      </c>
      <c r="K21873" t="s">
        <v>16893</v>
      </c>
      <c r="M21873" t="s">
        <v>50793</v>
      </c>
      <c r="N21873" t="str">
        <f t="shared" si="341"/>
        <v>2/16/2024 11:54:00 AM</v>
      </c>
      <c r="O21873" t="s">
        <v>66256</v>
      </c>
    </row>
    <row r="21874" spans="1:20" x14ac:dyDescent="0.25">
      <c r="A21874" t="str">
        <f>"3078869"</f>
        <v>3078869</v>
      </c>
      <c r="B21874" t="s">
        <v>66369</v>
      </c>
      <c r="C21874" t="str">
        <f t="shared" si="340"/>
        <v>69976000</v>
      </c>
      <c r="D21874" t="s">
        <v>66256</v>
      </c>
      <c r="F21874" t="s">
        <v>9579</v>
      </c>
      <c r="I21874" t="s">
        <v>9580</v>
      </c>
      <c r="J21874" t="s">
        <v>30</v>
      </c>
      <c r="K21874" t="s">
        <v>16893</v>
      </c>
      <c r="M21874" t="s">
        <v>50793</v>
      </c>
      <c r="N21874" t="str">
        <f t="shared" si="341"/>
        <v>2/16/2024 11:54:00 AM</v>
      </c>
      <c r="O21874" t="s">
        <v>66256</v>
      </c>
    </row>
    <row r="21875" spans="1:20" x14ac:dyDescent="0.25">
      <c r="A21875" t="str">
        <f>"3078870"</f>
        <v>3078870</v>
      </c>
      <c r="B21875" t="s">
        <v>66370</v>
      </c>
      <c r="C21875" t="str">
        <f t="shared" si="340"/>
        <v>69976000</v>
      </c>
      <c r="D21875" t="s">
        <v>66256</v>
      </c>
      <c r="F21875" t="s">
        <v>9579</v>
      </c>
      <c r="I21875" t="s">
        <v>9580</v>
      </c>
      <c r="J21875" t="s">
        <v>30</v>
      </c>
      <c r="K21875" t="s">
        <v>16893</v>
      </c>
      <c r="M21875" t="s">
        <v>50793</v>
      </c>
      <c r="N21875" t="str">
        <f t="shared" si="341"/>
        <v>2/16/2024 11:54:00 AM</v>
      </c>
      <c r="O21875" t="s">
        <v>66256</v>
      </c>
    </row>
    <row r="21876" spans="1:20" x14ac:dyDescent="0.25">
      <c r="A21876" t="str">
        <f>"3078871"</f>
        <v>3078871</v>
      </c>
      <c r="B21876" t="s">
        <v>66371</v>
      </c>
      <c r="C21876" t="str">
        <f t="shared" si="340"/>
        <v>69976000</v>
      </c>
      <c r="D21876" t="s">
        <v>66256</v>
      </c>
      <c r="F21876" t="s">
        <v>9579</v>
      </c>
      <c r="I21876" t="s">
        <v>9580</v>
      </c>
      <c r="J21876" t="s">
        <v>30</v>
      </c>
      <c r="K21876" t="s">
        <v>16893</v>
      </c>
      <c r="M21876" t="s">
        <v>50793</v>
      </c>
      <c r="N21876" t="str">
        <f t="shared" si="341"/>
        <v>2/16/2024 11:54:00 AM</v>
      </c>
      <c r="O21876" t="s">
        <v>66256</v>
      </c>
    </row>
    <row r="21877" spans="1:20" x14ac:dyDescent="0.25">
      <c r="A21877" t="str">
        <f>"3078872"</f>
        <v>3078872</v>
      </c>
      <c r="B21877" t="s">
        <v>66372</v>
      </c>
      <c r="C21877" t="str">
        <f t="shared" si="340"/>
        <v>69976000</v>
      </c>
      <c r="D21877" t="s">
        <v>66256</v>
      </c>
      <c r="F21877" t="s">
        <v>9579</v>
      </c>
      <c r="I21877" t="s">
        <v>9580</v>
      </c>
      <c r="J21877" t="s">
        <v>30</v>
      </c>
      <c r="K21877" t="s">
        <v>16893</v>
      </c>
      <c r="M21877" t="s">
        <v>50793</v>
      </c>
      <c r="N21877" t="str">
        <f t="shared" si="341"/>
        <v>2/16/2024 11:54:00 AM</v>
      </c>
      <c r="O21877" t="s">
        <v>66256</v>
      </c>
    </row>
    <row r="21878" spans="1:20" x14ac:dyDescent="0.25">
      <c r="A21878" t="str">
        <f>"3059859"</f>
        <v>3059859</v>
      </c>
      <c r="B21878" t="s">
        <v>66373</v>
      </c>
      <c r="C21878" t="str">
        <f>"70480000"</f>
        <v>70480000</v>
      </c>
      <c r="D21878" t="s">
        <v>66374</v>
      </c>
      <c r="F21878" t="s">
        <v>66375</v>
      </c>
      <c r="I21878" t="s">
        <v>9580</v>
      </c>
      <c r="J21878" t="s">
        <v>30</v>
      </c>
      <c r="K21878" t="s">
        <v>9581</v>
      </c>
      <c r="M21878" t="s">
        <v>50793</v>
      </c>
      <c r="N21878" t="str">
        <f>"2/16/2024 11:57:00 AM"</f>
        <v>2/16/2024 11:57:00 AM</v>
      </c>
      <c r="O21878" t="s">
        <v>66374</v>
      </c>
    </row>
    <row r="21879" spans="1:20" x14ac:dyDescent="0.25">
      <c r="A21879" t="str">
        <f>"3055657"</f>
        <v>3055657</v>
      </c>
      <c r="B21879" t="s">
        <v>66376</v>
      </c>
      <c r="C21879" t="str">
        <f>"8321612"</f>
        <v>8321612</v>
      </c>
      <c r="D21879" t="s">
        <v>66377</v>
      </c>
      <c r="E21879" t="s">
        <v>66378</v>
      </c>
      <c r="F21879" t="s">
        <v>31633</v>
      </c>
      <c r="I21879" t="s">
        <v>17921</v>
      </c>
      <c r="J21879" t="s">
        <v>30</v>
      </c>
      <c r="K21879" t="str">
        <f>"27028"</f>
        <v>27028</v>
      </c>
      <c r="M21879" t="s">
        <v>50793</v>
      </c>
      <c r="N21879" t="str">
        <f>"2/16/2024 12:00:00 PM"</f>
        <v>2/16/2024 12:00:00 PM</v>
      </c>
      <c r="O21879" t="s">
        <v>66377</v>
      </c>
      <c r="T21879" t="s">
        <v>66378</v>
      </c>
    </row>
    <row r="21880" spans="1:20" x14ac:dyDescent="0.25">
      <c r="A21880" t="str">
        <f>"3075456"</f>
        <v>3075456</v>
      </c>
      <c r="B21880" t="s">
        <v>66379</v>
      </c>
      <c r="C21880" t="str">
        <f>"78628000"</f>
        <v>78628000</v>
      </c>
      <c r="D21880" t="s">
        <v>66380</v>
      </c>
      <c r="F21880" t="s">
        <v>66381</v>
      </c>
      <c r="I21880" t="s">
        <v>29</v>
      </c>
      <c r="J21880" t="s">
        <v>30</v>
      </c>
      <c r="K21880" t="s">
        <v>10942</v>
      </c>
      <c r="M21880" t="s">
        <v>50621</v>
      </c>
      <c r="N21880" t="str">
        <f>"2/16/2024 12:27:00 PM"</f>
        <v>2/16/2024 12:27:00 PM</v>
      </c>
      <c r="O21880" t="s">
        <v>66380</v>
      </c>
    </row>
    <row r="21881" spans="1:20" x14ac:dyDescent="0.25">
      <c r="A21881" t="str">
        <f>"3054453"</f>
        <v>3054453</v>
      </c>
      <c r="B21881" t="s">
        <v>66382</v>
      </c>
      <c r="C21881" t="str">
        <f>"78672000"</f>
        <v>78672000</v>
      </c>
      <c r="D21881" t="s">
        <v>66383</v>
      </c>
      <c r="F21881" t="s">
        <v>66384</v>
      </c>
      <c r="I21881" t="s">
        <v>29</v>
      </c>
      <c r="J21881" t="s">
        <v>30</v>
      </c>
      <c r="K21881" t="s">
        <v>43107</v>
      </c>
      <c r="M21881" t="s">
        <v>50621</v>
      </c>
      <c r="N21881" t="str">
        <f>"2/16/2024 12:28:00 PM"</f>
        <v>2/16/2024 12:28:00 PM</v>
      </c>
      <c r="O21881" t="s">
        <v>66383</v>
      </c>
    </row>
    <row r="21882" spans="1:20" x14ac:dyDescent="0.25">
      <c r="A21882" t="str">
        <f>"3054058"</f>
        <v>3054058</v>
      </c>
      <c r="B21882" t="s">
        <v>66385</v>
      </c>
      <c r="C21882" t="str">
        <f>"78709800"</f>
        <v>78709800</v>
      </c>
      <c r="D21882" t="s">
        <v>66386</v>
      </c>
      <c r="F21882" t="s">
        <v>66387</v>
      </c>
      <c r="I21882" t="s">
        <v>14378</v>
      </c>
      <c r="J21882" t="s">
        <v>30</v>
      </c>
      <c r="K21882" t="str">
        <f>"27013"</f>
        <v>27013</v>
      </c>
      <c r="M21882" t="s">
        <v>50621</v>
      </c>
      <c r="N21882" t="str">
        <f>"2/16/2024 12:29:00 PM"</f>
        <v>2/16/2024 12:29:00 PM</v>
      </c>
      <c r="O21882" t="s">
        <v>66386</v>
      </c>
    </row>
    <row r="21883" spans="1:20" x14ac:dyDescent="0.25">
      <c r="A21883" t="str">
        <f>"3043099"</f>
        <v>3043099</v>
      </c>
      <c r="B21883" t="s">
        <v>66388</v>
      </c>
      <c r="C21883" t="str">
        <f>"82529271"</f>
        <v>82529271</v>
      </c>
      <c r="D21883" t="s">
        <v>66389</v>
      </c>
      <c r="E21883" t="s">
        <v>66390</v>
      </c>
      <c r="F21883" t="s">
        <v>66391</v>
      </c>
      <c r="I21883" t="s">
        <v>29</v>
      </c>
      <c r="J21883" t="s">
        <v>30</v>
      </c>
      <c r="K21883" t="s">
        <v>31</v>
      </c>
      <c r="M21883" t="s">
        <v>50621</v>
      </c>
      <c r="N21883" t="str">
        <f>"2/16/2024 12:31:00 PM"</f>
        <v>2/16/2024 12:31:00 PM</v>
      </c>
      <c r="O21883" t="s">
        <v>66389</v>
      </c>
      <c r="T21883" t="s">
        <v>66390</v>
      </c>
    </row>
    <row r="21884" spans="1:20" x14ac:dyDescent="0.25">
      <c r="A21884" t="str">
        <f>"3043419"</f>
        <v>3043419</v>
      </c>
      <c r="B21884" t="s">
        <v>66392</v>
      </c>
      <c r="C21884" t="str">
        <f>"82529271"</f>
        <v>82529271</v>
      </c>
      <c r="D21884" t="s">
        <v>66389</v>
      </c>
      <c r="E21884" t="s">
        <v>66390</v>
      </c>
      <c r="F21884" t="s">
        <v>66391</v>
      </c>
      <c r="I21884" t="s">
        <v>29</v>
      </c>
      <c r="J21884" t="s">
        <v>30</v>
      </c>
      <c r="K21884" t="s">
        <v>31</v>
      </c>
      <c r="M21884" t="s">
        <v>50621</v>
      </c>
      <c r="N21884" t="str">
        <f>"2/16/2024 12:31:00 PM"</f>
        <v>2/16/2024 12:31:00 PM</v>
      </c>
      <c r="O21884" t="s">
        <v>66389</v>
      </c>
      <c r="T21884" t="s">
        <v>66390</v>
      </c>
    </row>
    <row r="21885" spans="1:20" x14ac:dyDescent="0.25">
      <c r="A21885" t="str">
        <f>"3057088"</f>
        <v>3057088</v>
      </c>
      <c r="B21885" t="s">
        <v>66393</v>
      </c>
      <c r="C21885" t="str">
        <f>"78879470"</f>
        <v>78879470</v>
      </c>
      <c r="D21885" t="s">
        <v>66394</v>
      </c>
      <c r="F21885" t="s">
        <v>66395</v>
      </c>
      <c r="I21885" t="s">
        <v>184</v>
      </c>
      <c r="J21885" t="s">
        <v>30</v>
      </c>
      <c r="K21885" t="s">
        <v>185</v>
      </c>
      <c r="M21885" t="s">
        <v>50621</v>
      </c>
      <c r="N21885" t="str">
        <f t="shared" ref="N21885:N21890" si="342">"2/16/2024 12:32:00 PM"</f>
        <v>2/16/2024 12:32:00 PM</v>
      </c>
      <c r="O21885" t="s">
        <v>66394</v>
      </c>
    </row>
    <row r="21886" spans="1:20" x14ac:dyDescent="0.25">
      <c r="A21886" t="str">
        <f>"3057091"</f>
        <v>3057091</v>
      </c>
      <c r="B21886" t="s">
        <v>66396</v>
      </c>
      <c r="C21886" t="str">
        <f>"78879470"</f>
        <v>78879470</v>
      </c>
      <c r="D21886" t="s">
        <v>66394</v>
      </c>
      <c r="F21886" t="s">
        <v>66395</v>
      </c>
      <c r="I21886" t="s">
        <v>184</v>
      </c>
      <c r="J21886" t="s">
        <v>30</v>
      </c>
      <c r="K21886" t="s">
        <v>185</v>
      </c>
      <c r="M21886" t="s">
        <v>50621</v>
      </c>
      <c r="N21886" t="str">
        <f t="shared" si="342"/>
        <v>2/16/2024 12:32:00 PM</v>
      </c>
      <c r="O21886" t="s">
        <v>66394</v>
      </c>
    </row>
    <row r="21887" spans="1:20" x14ac:dyDescent="0.25">
      <c r="A21887" t="str">
        <f>"3061319"</f>
        <v>3061319</v>
      </c>
      <c r="B21887" t="s">
        <v>66397</v>
      </c>
      <c r="C21887" t="str">
        <f>"78879470"</f>
        <v>78879470</v>
      </c>
      <c r="D21887" t="s">
        <v>66394</v>
      </c>
      <c r="F21887" t="s">
        <v>66395</v>
      </c>
      <c r="I21887" t="s">
        <v>184</v>
      </c>
      <c r="J21887" t="s">
        <v>30</v>
      </c>
      <c r="K21887" t="s">
        <v>185</v>
      </c>
      <c r="M21887" t="s">
        <v>50621</v>
      </c>
      <c r="N21887" t="str">
        <f t="shared" si="342"/>
        <v>2/16/2024 12:32:00 PM</v>
      </c>
      <c r="O21887" t="s">
        <v>66394</v>
      </c>
    </row>
    <row r="21888" spans="1:20" x14ac:dyDescent="0.25">
      <c r="A21888" t="str">
        <f>"3047352"</f>
        <v>3047352</v>
      </c>
      <c r="B21888" t="s">
        <v>66398</v>
      </c>
      <c r="C21888" t="str">
        <f>"8316883"</f>
        <v>8316883</v>
      </c>
      <c r="D21888" t="s">
        <v>66399</v>
      </c>
      <c r="F21888" t="s">
        <v>66400</v>
      </c>
      <c r="I21888" t="s">
        <v>184</v>
      </c>
      <c r="J21888" t="s">
        <v>30</v>
      </c>
      <c r="K21888" t="s">
        <v>65069</v>
      </c>
      <c r="M21888" t="s">
        <v>50621</v>
      </c>
      <c r="N21888" t="str">
        <f t="shared" si="342"/>
        <v>2/16/2024 12:32:00 PM</v>
      </c>
      <c r="O21888" t="s">
        <v>66399</v>
      </c>
    </row>
    <row r="21889" spans="1:20" x14ac:dyDescent="0.25">
      <c r="A21889" t="str">
        <f>"3047296"</f>
        <v>3047296</v>
      </c>
      <c r="B21889" t="s">
        <v>66401</v>
      </c>
      <c r="C21889" t="str">
        <f>"8316883"</f>
        <v>8316883</v>
      </c>
      <c r="D21889" t="s">
        <v>66399</v>
      </c>
      <c r="F21889" t="s">
        <v>66400</v>
      </c>
      <c r="I21889" t="s">
        <v>184</v>
      </c>
      <c r="J21889" t="s">
        <v>30</v>
      </c>
      <c r="K21889" t="s">
        <v>65069</v>
      </c>
      <c r="M21889" t="s">
        <v>50621</v>
      </c>
      <c r="N21889" t="str">
        <f t="shared" si="342"/>
        <v>2/16/2024 12:32:00 PM</v>
      </c>
      <c r="O21889" t="s">
        <v>66399</v>
      </c>
    </row>
    <row r="21890" spans="1:20" x14ac:dyDescent="0.25">
      <c r="A21890" t="str">
        <f>"3047345"</f>
        <v>3047345</v>
      </c>
      <c r="B21890" t="s">
        <v>66402</v>
      </c>
      <c r="C21890" t="str">
        <f>"8312398"</f>
        <v>8312398</v>
      </c>
      <c r="D21890" t="s">
        <v>66399</v>
      </c>
      <c r="E21890" t="s">
        <v>66403</v>
      </c>
      <c r="F21890" t="s">
        <v>66404</v>
      </c>
      <c r="I21890" t="s">
        <v>184</v>
      </c>
      <c r="J21890" t="s">
        <v>30</v>
      </c>
      <c r="K21890" t="str">
        <f>"27006"</f>
        <v>27006</v>
      </c>
      <c r="M21890" t="s">
        <v>50621</v>
      </c>
      <c r="N21890" t="str">
        <f t="shared" si="342"/>
        <v>2/16/2024 12:32:00 PM</v>
      </c>
      <c r="O21890" t="s">
        <v>66399</v>
      </c>
      <c r="T21890" t="s">
        <v>66403</v>
      </c>
    </row>
    <row r="21891" spans="1:20" x14ac:dyDescent="0.25">
      <c r="A21891" t="str">
        <f>"3051873"</f>
        <v>3051873</v>
      </c>
      <c r="B21891" t="s">
        <v>66405</v>
      </c>
      <c r="C21891" t="str">
        <f>"78910500"</f>
        <v>78910500</v>
      </c>
      <c r="D21891" t="s">
        <v>66406</v>
      </c>
      <c r="F21891" t="s">
        <v>66407</v>
      </c>
      <c r="I21891" t="s">
        <v>36675</v>
      </c>
      <c r="J21891" t="s">
        <v>30</v>
      </c>
      <c r="K21891" t="s">
        <v>66408</v>
      </c>
      <c r="M21891" t="s">
        <v>50621</v>
      </c>
      <c r="N21891" t="str">
        <f>"2/16/2024 12:33:00 PM"</f>
        <v>2/16/2024 12:33:00 PM</v>
      </c>
      <c r="O21891" t="s">
        <v>66406</v>
      </c>
    </row>
    <row r="21892" spans="1:20" x14ac:dyDescent="0.25">
      <c r="A21892" t="str">
        <f>"3063029"</f>
        <v>3063029</v>
      </c>
      <c r="B21892" t="s">
        <v>66409</v>
      </c>
      <c r="C21892" t="str">
        <f>"82518087"</f>
        <v>82518087</v>
      </c>
      <c r="D21892" t="s">
        <v>66410</v>
      </c>
      <c r="F21892" t="s">
        <v>66411</v>
      </c>
      <c r="I21892" t="s">
        <v>184</v>
      </c>
      <c r="J21892" t="s">
        <v>30</v>
      </c>
      <c r="K21892" t="s">
        <v>185</v>
      </c>
      <c r="M21892" t="s">
        <v>50621</v>
      </c>
      <c r="N21892" t="str">
        <f>"2/16/2024 12:33:00 PM"</f>
        <v>2/16/2024 12:33:00 PM</v>
      </c>
      <c r="O21892" t="s">
        <v>66410</v>
      </c>
    </row>
    <row r="21893" spans="1:20" x14ac:dyDescent="0.25">
      <c r="A21893" t="str">
        <f>"3065075"</f>
        <v>3065075</v>
      </c>
      <c r="B21893" t="s">
        <v>66412</v>
      </c>
      <c r="C21893" t="str">
        <f>"8300591"</f>
        <v>8300591</v>
      </c>
      <c r="D21893" t="s">
        <v>66413</v>
      </c>
      <c r="E21893" t="s">
        <v>66414</v>
      </c>
      <c r="F21893" t="s">
        <v>66415</v>
      </c>
      <c r="I21893" t="s">
        <v>29</v>
      </c>
      <c r="J21893" t="s">
        <v>30</v>
      </c>
      <c r="K21893" t="str">
        <f>"27028"</f>
        <v>27028</v>
      </c>
      <c r="M21893" t="s">
        <v>50621</v>
      </c>
      <c r="N21893" t="str">
        <f>"2/16/2024 12:34:00 PM"</f>
        <v>2/16/2024 12:34:00 PM</v>
      </c>
      <c r="O21893" t="s">
        <v>66413</v>
      </c>
      <c r="T21893" t="s">
        <v>66414</v>
      </c>
    </row>
    <row r="21894" spans="1:20" x14ac:dyDescent="0.25">
      <c r="A21894" t="str">
        <f>"3051396"</f>
        <v>3051396</v>
      </c>
      <c r="B21894" t="s">
        <v>66416</v>
      </c>
      <c r="C21894" t="str">
        <f>"8314974"</f>
        <v>8314974</v>
      </c>
      <c r="D21894" t="s">
        <v>66417</v>
      </c>
      <c r="F21894" t="s">
        <v>66418</v>
      </c>
      <c r="I21894" t="s">
        <v>29</v>
      </c>
      <c r="J21894" t="s">
        <v>30</v>
      </c>
      <c r="K21894" t="s">
        <v>14361</v>
      </c>
      <c r="M21894" t="s">
        <v>50621</v>
      </c>
      <c r="N21894" t="str">
        <f>"2/16/2024 12:35:00 PM"</f>
        <v>2/16/2024 12:35:00 PM</v>
      </c>
      <c r="O21894" t="s">
        <v>66417</v>
      </c>
    </row>
    <row r="21895" spans="1:20" x14ac:dyDescent="0.25">
      <c r="A21895" t="str">
        <f>"3051438"</f>
        <v>3051438</v>
      </c>
      <c r="B21895" t="s">
        <v>66419</v>
      </c>
      <c r="C21895" t="str">
        <f>"8314974"</f>
        <v>8314974</v>
      </c>
      <c r="D21895" t="s">
        <v>66417</v>
      </c>
      <c r="F21895" t="s">
        <v>66418</v>
      </c>
      <c r="I21895" t="s">
        <v>29</v>
      </c>
      <c r="J21895" t="s">
        <v>30</v>
      </c>
      <c r="K21895" t="s">
        <v>14361</v>
      </c>
      <c r="M21895" t="s">
        <v>50621</v>
      </c>
      <c r="N21895" t="str">
        <f>"2/16/2024 12:35:00 PM"</f>
        <v>2/16/2024 12:35:00 PM</v>
      </c>
      <c r="O21895" t="s">
        <v>66417</v>
      </c>
    </row>
    <row r="21896" spans="1:20" x14ac:dyDescent="0.25">
      <c r="A21896" t="str">
        <f>"3039806"</f>
        <v>3039806</v>
      </c>
      <c r="B21896" t="s">
        <v>66420</v>
      </c>
      <c r="C21896" t="str">
        <f>"8313114"</f>
        <v>8313114</v>
      </c>
      <c r="D21896" t="s">
        <v>66421</v>
      </c>
      <c r="F21896" t="s">
        <v>66422</v>
      </c>
      <c r="I21896" t="s">
        <v>402</v>
      </c>
      <c r="J21896" t="s">
        <v>30</v>
      </c>
      <c r="K21896" t="s">
        <v>66423</v>
      </c>
      <c r="M21896" t="s">
        <v>50621</v>
      </c>
      <c r="N21896" t="str">
        <f>"2/16/2024 12:35:00 PM"</f>
        <v>2/16/2024 12:35:00 PM</v>
      </c>
      <c r="O21896" t="s">
        <v>66421</v>
      </c>
    </row>
    <row r="21897" spans="1:20" x14ac:dyDescent="0.25">
      <c r="A21897" t="str">
        <f>"3062504"</f>
        <v>3062504</v>
      </c>
      <c r="B21897" t="s">
        <v>66424</v>
      </c>
      <c r="C21897" t="str">
        <f>"8316158"</f>
        <v>8316158</v>
      </c>
      <c r="D21897" t="s">
        <v>66425</v>
      </c>
      <c r="E21897" t="s">
        <v>23857</v>
      </c>
      <c r="F21897" t="s">
        <v>66426</v>
      </c>
      <c r="I21897" t="s">
        <v>2071</v>
      </c>
      <c r="J21897" t="s">
        <v>30</v>
      </c>
      <c r="K21897" t="s">
        <v>38104</v>
      </c>
      <c r="M21897" t="s">
        <v>50621</v>
      </c>
      <c r="N21897" t="str">
        <f>"2/16/2024 12:37:00 PM"</f>
        <v>2/16/2024 12:37:00 PM</v>
      </c>
      <c r="O21897" t="s">
        <v>66425</v>
      </c>
      <c r="T21897" t="s">
        <v>23857</v>
      </c>
    </row>
    <row r="21898" spans="1:20" x14ac:dyDescent="0.25">
      <c r="A21898" t="str">
        <f>"3054886"</f>
        <v>3054886</v>
      </c>
      <c r="B21898" t="s">
        <v>66427</v>
      </c>
      <c r="C21898" t="str">
        <f>"8309731"</f>
        <v>8309731</v>
      </c>
      <c r="D21898" t="s">
        <v>66428</v>
      </c>
      <c r="F21898" t="s">
        <v>66429</v>
      </c>
      <c r="I21898" t="s">
        <v>29</v>
      </c>
      <c r="J21898" t="s">
        <v>30</v>
      </c>
      <c r="K21898" t="s">
        <v>16279</v>
      </c>
      <c r="M21898" t="s">
        <v>50621</v>
      </c>
      <c r="N21898" t="str">
        <f>"2/16/2024 12:37:00 PM"</f>
        <v>2/16/2024 12:37:00 PM</v>
      </c>
      <c r="O21898" t="s">
        <v>66428</v>
      </c>
    </row>
    <row r="21899" spans="1:20" x14ac:dyDescent="0.25">
      <c r="A21899" t="str">
        <f>"3055540"</f>
        <v>3055540</v>
      </c>
      <c r="B21899" t="s">
        <v>66430</v>
      </c>
      <c r="C21899" t="str">
        <f>"8309731"</f>
        <v>8309731</v>
      </c>
      <c r="D21899" t="s">
        <v>66428</v>
      </c>
      <c r="F21899" t="s">
        <v>66429</v>
      </c>
      <c r="I21899" t="s">
        <v>29</v>
      </c>
      <c r="J21899" t="s">
        <v>30</v>
      </c>
      <c r="K21899" t="s">
        <v>16279</v>
      </c>
      <c r="M21899" t="s">
        <v>50621</v>
      </c>
      <c r="N21899" t="str">
        <f>"2/16/2024 12:37:00 PM"</f>
        <v>2/16/2024 12:37:00 PM</v>
      </c>
      <c r="O21899" t="s">
        <v>66428</v>
      </c>
    </row>
    <row r="21900" spans="1:20" x14ac:dyDescent="0.25">
      <c r="A21900" t="str">
        <f>"3060507"</f>
        <v>3060507</v>
      </c>
      <c r="B21900" t="s">
        <v>66431</v>
      </c>
      <c r="C21900" t="str">
        <f>"82523703"</f>
        <v>82523703</v>
      </c>
      <c r="D21900" t="s">
        <v>66432</v>
      </c>
      <c r="E21900" t="s">
        <v>66433</v>
      </c>
      <c r="F21900" t="s">
        <v>66434</v>
      </c>
      <c r="I21900" t="s">
        <v>184</v>
      </c>
      <c r="J21900" t="s">
        <v>30</v>
      </c>
      <c r="K21900" t="s">
        <v>185</v>
      </c>
      <c r="M21900" t="s">
        <v>50621</v>
      </c>
      <c r="N21900" t="str">
        <f>"2/16/2024 1:11:00 PM"</f>
        <v>2/16/2024 1:11:00 PM</v>
      </c>
      <c r="O21900" t="s">
        <v>66432</v>
      </c>
      <c r="T21900" t="s">
        <v>66433</v>
      </c>
    </row>
    <row r="21901" spans="1:20" x14ac:dyDescent="0.25">
      <c r="A21901" t="str">
        <f>"3047327"</f>
        <v>3047327</v>
      </c>
      <c r="B21901" t="s">
        <v>66435</v>
      </c>
      <c r="C21901" t="str">
        <f>"82519747"</f>
        <v>82519747</v>
      </c>
      <c r="D21901" t="s">
        <v>66436</v>
      </c>
      <c r="F21901" t="s">
        <v>66437</v>
      </c>
      <c r="I21901" t="s">
        <v>184</v>
      </c>
      <c r="J21901" t="s">
        <v>30</v>
      </c>
      <c r="K21901" t="s">
        <v>66438</v>
      </c>
      <c r="M21901" t="s">
        <v>50793</v>
      </c>
      <c r="N21901" t="str">
        <f>"2/16/2024 1:08:00 PM"</f>
        <v>2/16/2024 1:08:00 PM</v>
      </c>
      <c r="O21901" t="s">
        <v>66436</v>
      </c>
    </row>
    <row r="21902" spans="1:20" x14ac:dyDescent="0.25">
      <c r="A21902" t="str">
        <f>"3060955"</f>
        <v>3060955</v>
      </c>
      <c r="B21902" t="s">
        <v>66439</v>
      </c>
      <c r="C21902" t="str">
        <f>"8306248"</f>
        <v>8306248</v>
      </c>
      <c r="D21902" t="s">
        <v>66440</v>
      </c>
      <c r="F21902" t="s">
        <v>66441</v>
      </c>
      <c r="I21902" t="s">
        <v>2071</v>
      </c>
      <c r="J21902" t="s">
        <v>30</v>
      </c>
      <c r="K21902" t="str">
        <f>"27006"</f>
        <v>27006</v>
      </c>
      <c r="M21902" t="s">
        <v>50793</v>
      </c>
      <c r="N21902" t="str">
        <f>"2/16/2024 1:15:00 PM"</f>
        <v>2/16/2024 1:15:00 PM</v>
      </c>
      <c r="O21902" t="s">
        <v>66440</v>
      </c>
    </row>
    <row r="21903" spans="1:20" x14ac:dyDescent="0.25">
      <c r="A21903" t="str">
        <f>"3052852"</f>
        <v>3052852</v>
      </c>
      <c r="B21903" t="s">
        <v>66442</v>
      </c>
      <c r="C21903" t="str">
        <f>"70756000"</f>
        <v>70756000</v>
      </c>
      <c r="D21903" t="s">
        <v>66443</v>
      </c>
      <c r="F21903" t="s">
        <v>66444</v>
      </c>
      <c r="I21903" t="s">
        <v>29</v>
      </c>
      <c r="J21903" t="s">
        <v>30</v>
      </c>
      <c r="K21903" t="s">
        <v>31</v>
      </c>
      <c r="M21903" t="s">
        <v>50793</v>
      </c>
      <c r="N21903" t="str">
        <f>"2/16/2024 1:16:00 PM"</f>
        <v>2/16/2024 1:16:00 PM</v>
      </c>
      <c r="O21903" t="s">
        <v>66443</v>
      </c>
    </row>
    <row r="21904" spans="1:20" x14ac:dyDescent="0.25">
      <c r="A21904" t="str">
        <f>"3076696"</f>
        <v>3076696</v>
      </c>
      <c r="B21904" t="s">
        <v>66445</v>
      </c>
      <c r="C21904" t="str">
        <f>"82514753"</f>
        <v>82514753</v>
      </c>
      <c r="D21904" t="s">
        <v>66446</v>
      </c>
      <c r="F21904" t="s">
        <v>66447</v>
      </c>
      <c r="I21904" t="s">
        <v>29</v>
      </c>
      <c r="J21904" t="s">
        <v>30</v>
      </c>
      <c r="K21904" t="s">
        <v>31</v>
      </c>
      <c r="M21904" t="s">
        <v>50621</v>
      </c>
      <c r="N21904" t="str">
        <f>"2/16/2024 1:16:00 PM"</f>
        <v>2/16/2024 1:16:00 PM</v>
      </c>
      <c r="O21904" t="s">
        <v>66446</v>
      </c>
    </row>
    <row r="21905" spans="1:20" x14ac:dyDescent="0.25">
      <c r="A21905" t="str">
        <f>"3052774"</f>
        <v>3052774</v>
      </c>
      <c r="B21905" t="s">
        <v>66448</v>
      </c>
      <c r="C21905" t="str">
        <f>"70836000"</f>
        <v>70836000</v>
      </c>
      <c r="D21905" t="s">
        <v>66449</v>
      </c>
      <c r="E21905" t="s">
        <v>66450</v>
      </c>
      <c r="F21905" t="s">
        <v>66451</v>
      </c>
      <c r="I21905" t="s">
        <v>29</v>
      </c>
      <c r="J21905" t="s">
        <v>30</v>
      </c>
      <c r="K21905" t="s">
        <v>31</v>
      </c>
      <c r="M21905" t="s">
        <v>50793</v>
      </c>
      <c r="N21905" t="str">
        <f>"2/16/2024 1:17:00 PM"</f>
        <v>2/16/2024 1:17:00 PM</v>
      </c>
      <c r="O21905" t="s">
        <v>66449</v>
      </c>
      <c r="T21905" t="s">
        <v>66450</v>
      </c>
    </row>
    <row r="21906" spans="1:20" x14ac:dyDescent="0.25">
      <c r="A21906" t="str">
        <f>"3054588"</f>
        <v>3054588</v>
      </c>
      <c r="B21906" t="s">
        <v>66452</v>
      </c>
      <c r="C21906" t="str">
        <f>"70872500"</f>
        <v>70872500</v>
      </c>
      <c r="D21906" t="s">
        <v>66453</v>
      </c>
      <c r="E21906" t="s">
        <v>66454</v>
      </c>
      <c r="F21906" t="s">
        <v>66455</v>
      </c>
      <c r="I21906" t="s">
        <v>29</v>
      </c>
      <c r="J21906" t="s">
        <v>30</v>
      </c>
      <c r="K21906" t="s">
        <v>40861</v>
      </c>
      <c r="M21906" t="s">
        <v>50793</v>
      </c>
      <c r="N21906" t="str">
        <f>"2/16/2024 1:18:00 PM"</f>
        <v>2/16/2024 1:18:00 PM</v>
      </c>
      <c r="O21906" t="s">
        <v>66453</v>
      </c>
      <c r="T21906" t="s">
        <v>66454</v>
      </c>
    </row>
    <row r="21907" spans="1:20" x14ac:dyDescent="0.25">
      <c r="A21907" t="str">
        <f>"3054520"</f>
        <v>3054520</v>
      </c>
      <c r="B21907" t="s">
        <v>66456</v>
      </c>
      <c r="C21907" t="str">
        <f>"70872500"</f>
        <v>70872500</v>
      </c>
      <c r="D21907" t="s">
        <v>66453</v>
      </c>
      <c r="E21907" t="s">
        <v>66454</v>
      </c>
      <c r="F21907" t="s">
        <v>66455</v>
      </c>
      <c r="I21907" t="s">
        <v>29</v>
      </c>
      <c r="J21907" t="s">
        <v>30</v>
      </c>
      <c r="K21907" t="s">
        <v>40861</v>
      </c>
      <c r="M21907" t="s">
        <v>50793</v>
      </c>
      <c r="N21907" t="str">
        <f>"2/16/2024 1:18:00 PM"</f>
        <v>2/16/2024 1:18:00 PM</v>
      </c>
      <c r="O21907" t="s">
        <v>66453</v>
      </c>
      <c r="T21907" t="s">
        <v>66454</v>
      </c>
    </row>
    <row r="21908" spans="1:20" x14ac:dyDescent="0.25">
      <c r="A21908" t="str">
        <f>"3054011"</f>
        <v>3054011</v>
      </c>
      <c r="B21908" t="s">
        <v>66457</v>
      </c>
      <c r="C21908" t="str">
        <f>"70872500"</f>
        <v>70872500</v>
      </c>
      <c r="D21908" t="s">
        <v>66453</v>
      </c>
      <c r="E21908" t="s">
        <v>66454</v>
      </c>
      <c r="F21908" t="s">
        <v>66455</v>
      </c>
      <c r="I21908" t="s">
        <v>29</v>
      </c>
      <c r="J21908" t="s">
        <v>30</v>
      </c>
      <c r="K21908" t="s">
        <v>40861</v>
      </c>
      <c r="M21908" t="s">
        <v>50793</v>
      </c>
      <c r="N21908" t="str">
        <f>"2/16/2024 1:18:00 PM"</f>
        <v>2/16/2024 1:18:00 PM</v>
      </c>
      <c r="O21908" t="s">
        <v>66453</v>
      </c>
      <c r="T21908" t="s">
        <v>66454</v>
      </c>
    </row>
    <row r="21909" spans="1:20" x14ac:dyDescent="0.25">
      <c r="A21909" t="str">
        <f>"3054740"</f>
        <v>3054740</v>
      </c>
      <c r="B21909" t="s">
        <v>66458</v>
      </c>
      <c r="C21909" t="str">
        <f>"82527305"</f>
        <v>82527305</v>
      </c>
      <c r="D21909" t="s">
        <v>66459</v>
      </c>
      <c r="E21909" t="s">
        <v>66460</v>
      </c>
      <c r="F21909" t="s">
        <v>66461</v>
      </c>
      <c r="I21909" t="s">
        <v>29</v>
      </c>
      <c r="J21909" t="s">
        <v>30</v>
      </c>
      <c r="K21909" t="s">
        <v>31</v>
      </c>
      <c r="M21909" t="s">
        <v>50621</v>
      </c>
      <c r="N21909" t="str">
        <f>"2/16/2024 1:20:00 PM"</f>
        <v>2/16/2024 1:20:00 PM</v>
      </c>
      <c r="O21909" t="s">
        <v>66459</v>
      </c>
      <c r="T21909" t="s">
        <v>66460</v>
      </c>
    </row>
    <row r="21910" spans="1:20" x14ac:dyDescent="0.25">
      <c r="A21910" t="str">
        <f>"3056260"</f>
        <v>3056260</v>
      </c>
      <c r="B21910" t="s">
        <v>66462</v>
      </c>
      <c r="C21910" t="str">
        <f>"8310803"</f>
        <v>8310803</v>
      </c>
      <c r="D21910" t="s">
        <v>66463</v>
      </c>
      <c r="F21910" t="s">
        <v>66464</v>
      </c>
      <c r="I21910" t="s">
        <v>29</v>
      </c>
      <c r="J21910" t="s">
        <v>30</v>
      </c>
      <c r="K21910" t="s">
        <v>39735</v>
      </c>
      <c r="M21910" t="s">
        <v>50793</v>
      </c>
      <c r="N21910" t="str">
        <f>"2/16/2024 1:20:00 PM"</f>
        <v>2/16/2024 1:20:00 PM</v>
      </c>
      <c r="O21910" t="s">
        <v>66463</v>
      </c>
    </row>
    <row r="21911" spans="1:20" x14ac:dyDescent="0.25">
      <c r="A21911" t="str">
        <f>"3075552"</f>
        <v>3075552</v>
      </c>
      <c r="B21911" t="s">
        <v>66465</v>
      </c>
      <c r="C21911" t="str">
        <f>"8310803"</f>
        <v>8310803</v>
      </c>
      <c r="D21911" t="s">
        <v>66463</v>
      </c>
      <c r="F21911" t="s">
        <v>66464</v>
      </c>
      <c r="I21911" t="s">
        <v>29</v>
      </c>
      <c r="J21911" t="s">
        <v>30</v>
      </c>
      <c r="K21911" t="s">
        <v>39735</v>
      </c>
      <c r="M21911" t="s">
        <v>50793</v>
      </c>
      <c r="N21911" t="str">
        <f>"2/16/2024 1:20:00 PM"</f>
        <v>2/16/2024 1:20:00 PM</v>
      </c>
      <c r="O21911" t="s">
        <v>66463</v>
      </c>
    </row>
    <row r="21912" spans="1:20" x14ac:dyDescent="0.25">
      <c r="A21912" t="str">
        <f>"3047274"</f>
        <v>3047274</v>
      </c>
      <c r="B21912" t="s">
        <v>66466</v>
      </c>
      <c r="C21912" t="str">
        <f>"82519747"</f>
        <v>82519747</v>
      </c>
      <c r="D21912" t="s">
        <v>66436</v>
      </c>
      <c r="F21912" t="s">
        <v>66437</v>
      </c>
      <c r="I21912" t="s">
        <v>184</v>
      </c>
      <c r="J21912" t="s">
        <v>30</v>
      </c>
      <c r="K21912" t="s">
        <v>66438</v>
      </c>
      <c r="M21912" t="s">
        <v>50793</v>
      </c>
      <c r="N21912" t="str">
        <f>"2/16/2024 1:08:00 PM"</f>
        <v>2/16/2024 1:08:00 PM</v>
      </c>
      <c r="O21912" t="s">
        <v>66436</v>
      </c>
    </row>
    <row r="21913" spans="1:20" x14ac:dyDescent="0.25">
      <c r="A21913" t="str">
        <f>"3058548"</f>
        <v>3058548</v>
      </c>
      <c r="B21913" t="s">
        <v>66467</v>
      </c>
      <c r="C21913" t="str">
        <f>"70681500"</f>
        <v>70681500</v>
      </c>
      <c r="D21913" t="s">
        <v>66468</v>
      </c>
      <c r="E21913" t="s">
        <v>66469</v>
      </c>
      <c r="F21913" t="s">
        <v>66470</v>
      </c>
      <c r="I21913" t="s">
        <v>29</v>
      </c>
      <c r="J21913" t="s">
        <v>30</v>
      </c>
      <c r="K21913" t="s">
        <v>66471</v>
      </c>
      <c r="M21913" t="s">
        <v>50793</v>
      </c>
      <c r="N21913" t="str">
        <f>"2/16/2024 1:07:00 PM"</f>
        <v>2/16/2024 1:07:00 PM</v>
      </c>
      <c r="O21913" t="s">
        <v>66468</v>
      </c>
      <c r="T21913" t="s">
        <v>66469</v>
      </c>
    </row>
    <row r="21914" spans="1:20" x14ac:dyDescent="0.25">
      <c r="A21914" t="str">
        <f>"3067872"</f>
        <v>3067872</v>
      </c>
      <c r="B21914" t="s">
        <v>66472</v>
      </c>
      <c r="C21914" t="str">
        <f>"70681500"</f>
        <v>70681500</v>
      </c>
      <c r="D21914" t="s">
        <v>66468</v>
      </c>
      <c r="E21914" t="s">
        <v>66469</v>
      </c>
      <c r="F21914" t="s">
        <v>66470</v>
      </c>
      <c r="I21914" t="s">
        <v>29</v>
      </c>
      <c r="J21914" t="s">
        <v>30</v>
      </c>
      <c r="K21914" t="s">
        <v>66471</v>
      </c>
      <c r="M21914" t="s">
        <v>50793</v>
      </c>
      <c r="N21914" t="str">
        <f>"2/16/2024 1:07:00 PM"</f>
        <v>2/16/2024 1:07:00 PM</v>
      </c>
      <c r="O21914" t="s">
        <v>66468</v>
      </c>
      <c r="T21914" t="s">
        <v>66469</v>
      </c>
    </row>
    <row r="21915" spans="1:20" x14ac:dyDescent="0.25">
      <c r="A21915" t="str">
        <f>"3048731"</f>
        <v>3048731</v>
      </c>
      <c r="B21915" t="s">
        <v>66473</v>
      </c>
      <c r="C21915" t="str">
        <f>"70681500"</f>
        <v>70681500</v>
      </c>
      <c r="D21915" t="s">
        <v>66468</v>
      </c>
      <c r="E21915" t="s">
        <v>66469</v>
      </c>
      <c r="F21915" t="s">
        <v>66470</v>
      </c>
      <c r="I21915" t="s">
        <v>29</v>
      </c>
      <c r="J21915" t="s">
        <v>30</v>
      </c>
      <c r="K21915" t="s">
        <v>66471</v>
      </c>
      <c r="M21915" t="s">
        <v>50793</v>
      </c>
      <c r="N21915" t="str">
        <f>"2/16/2024 1:07:00 PM"</f>
        <v>2/16/2024 1:07:00 PM</v>
      </c>
      <c r="O21915" t="s">
        <v>66468</v>
      </c>
      <c r="T21915" t="s">
        <v>66469</v>
      </c>
    </row>
    <row r="21916" spans="1:20" x14ac:dyDescent="0.25">
      <c r="A21916" t="str">
        <f>"3054648"</f>
        <v>3054648</v>
      </c>
      <c r="B21916" t="s">
        <v>66474</v>
      </c>
      <c r="C21916" t="str">
        <f>"8310828"</f>
        <v>8310828</v>
      </c>
      <c r="D21916" t="s">
        <v>66475</v>
      </c>
      <c r="F21916" t="s">
        <v>66476</v>
      </c>
      <c r="I21916" t="s">
        <v>29</v>
      </c>
      <c r="J21916" t="s">
        <v>30</v>
      </c>
      <c r="K21916" t="s">
        <v>38108</v>
      </c>
      <c r="M21916" t="s">
        <v>50621</v>
      </c>
      <c r="N21916" t="str">
        <f>"2/16/2024 1:03:00 PM"</f>
        <v>2/16/2024 1:03:00 PM</v>
      </c>
      <c r="O21916" t="s">
        <v>66475</v>
      </c>
    </row>
    <row r="21917" spans="1:20" x14ac:dyDescent="0.25">
      <c r="A21917" t="str">
        <f>"3048130"</f>
        <v>3048130</v>
      </c>
      <c r="B21917" t="s">
        <v>66477</v>
      </c>
      <c r="C21917" t="str">
        <f>"8320921"</f>
        <v>8320921</v>
      </c>
      <c r="D21917" t="s">
        <v>66478</v>
      </c>
      <c r="E21917" t="s">
        <v>66479</v>
      </c>
      <c r="F21917" t="s">
        <v>66480</v>
      </c>
      <c r="I21917" t="s">
        <v>184</v>
      </c>
      <c r="J21917" t="s">
        <v>30</v>
      </c>
      <c r="K21917" t="s">
        <v>66481</v>
      </c>
      <c r="M21917" t="s">
        <v>50793</v>
      </c>
      <c r="N21917" t="str">
        <f>"2/16/2024 1:34:00 PM"</f>
        <v>2/16/2024 1:34:00 PM</v>
      </c>
      <c r="O21917" t="s">
        <v>66478</v>
      </c>
      <c r="T21917" t="s">
        <v>66479</v>
      </c>
    </row>
    <row r="21918" spans="1:20" x14ac:dyDescent="0.25">
      <c r="A21918" t="str">
        <f>"3048258"</f>
        <v>3048258</v>
      </c>
      <c r="B21918" t="s">
        <v>66482</v>
      </c>
      <c r="C21918" t="str">
        <f>"71638000"</f>
        <v>71638000</v>
      </c>
      <c r="D21918" t="s">
        <v>66483</v>
      </c>
      <c r="E21918" t="s">
        <v>66484</v>
      </c>
      <c r="F21918" t="s">
        <v>66485</v>
      </c>
      <c r="I21918" t="s">
        <v>1149</v>
      </c>
      <c r="J21918" t="s">
        <v>30</v>
      </c>
      <c r="K21918" t="s">
        <v>1150</v>
      </c>
      <c r="M21918" t="s">
        <v>50793</v>
      </c>
      <c r="N21918" t="str">
        <f>"2/16/2024 1:35:00 PM"</f>
        <v>2/16/2024 1:35:00 PM</v>
      </c>
      <c r="O21918" t="s">
        <v>66483</v>
      </c>
      <c r="T21918" t="s">
        <v>66484</v>
      </c>
    </row>
    <row r="21919" spans="1:20" x14ac:dyDescent="0.25">
      <c r="A21919" t="str">
        <f>"3053987"</f>
        <v>3053987</v>
      </c>
      <c r="B21919" t="s">
        <v>66486</v>
      </c>
      <c r="C21919" t="str">
        <f>"8304336"</f>
        <v>8304336</v>
      </c>
      <c r="D21919" t="s">
        <v>66487</v>
      </c>
      <c r="F21919" t="s">
        <v>66488</v>
      </c>
      <c r="I21919" t="s">
        <v>471</v>
      </c>
      <c r="J21919" t="s">
        <v>30</v>
      </c>
      <c r="K21919" t="str">
        <f>"27103"</f>
        <v>27103</v>
      </c>
      <c r="M21919" t="s">
        <v>50793</v>
      </c>
      <c r="N21919" t="str">
        <f>"2/16/2024 1:36:00 PM"</f>
        <v>2/16/2024 1:36:00 PM</v>
      </c>
      <c r="O21919" t="s">
        <v>66487</v>
      </c>
    </row>
    <row r="21920" spans="1:20" x14ac:dyDescent="0.25">
      <c r="A21920" t="str">
        <f>"3063967"</f>
        <v>3063967</v>
      </c>
      <c r="B21920" t="s">
        <v>66489</v>
      </c>
      <c r="C21920" t="str">
        <f>"71880000"</f>
        <v>71880000</v>
      </c>
      <c r="D21920" t="s">
        <v>66490</v>
      </c>
      <c r="F21920" t="s">
        <v>66491</v>
      </c>
      <c r="I21920" t="s">
        <v>184</v>
      </c>
      <c r="J21920" t="s">
        <v>30</v>
      </c>
      <c r="K21920" t="s">
        <v>185</v>
      </c>
      <c r="M21920" t="s">
        <v>50793</v>
      </c>
      <c r="N21920" t="str">
        <f>"2/16/2024 1:37:00 PM"</f>
        <v>2/16/2024 1:37:00 PM</v>
      </c>
      <c r="O21920" t="s">
        <v>66490</v>
      </c>
    </row>
    <row r="21921" spans="1:20" x14ac:dyDescent="0.25">
      <c r="A21921" t="str">
        <f>"3039399"</f>
        <v>3039399</v>
      </c>
      <c r="B21921" t="s">
        <v>66492</v>
      </c>
      <c r="C21921" t="str">
        <f>"82529135"</f>
        <v>82529135</v>
      </c>
      <c r="D21921" t="s">
        <v>66493</v>
      </c>
      <c r="F21921" t="s">
        <v>66494</v>
      </c>
      <c r="I21921" t="s">
        <v>184</v>
      </c>
      <c r="J21921" t="s">
        <v>30</v>
      </c>
      <c r="K21921" t="s">
        <v>18645</v>
      </c>
      <c r="M21921" t="s">
        <v>50793</v>
      </c>
      <c r="N21921" t="str">
        <f>"2/16/2024 1:38:00 PM"</f>
        <v>2/16/2024 1:38:00 PM</v>
      </c>
      <c r="O21921" t="s">
        <v>66493</v>
      </c>
    </row>
    <row r="21922" spans="1:20" x14ac:dyDescent="0.25">
      <c r="A21922" t="str">
        <f>"3039913"</f>
        <v>3039913</v>
      </c>
      <c r="B21922" t="s">
        <v>66495</v>
      </c>
      <c r="C21922" t="str">
        <f>"82529135"</f>
        <v>82529135</v>
      </c>
      <c r="D21922" t="s">
        <v>66493</v>
      </c>
      <c r="F21922" t="s">
        <v>66494</v>
      </c>
      <c r="I21922" t="s">
        <v>184</v>
      </c>
      <c r="J21922" t="s">
        <v>30</v>
      </c>
      <c r="K21922" t="s">
        <v>18645</v>
      </c>
      <c r="M21922" t="s">
        <v>50793</v>
      </c>
      <c r="N21922" t="str">
        <f>"2/16/2024 1:38:00 PM"</f>
        <v>2/16/2024 1:38:00 PM</v>
      </c>
      <c r="O21922" t="s">
        <v>66493</v>
      </c>
    </row>
    <row r="21923" spans="1:20" x14ac:dyDescent="0.25">
      <c r="A21923" t="str">
        <f>"3044444"</f>
        <v>3044444</v>
      </c>
      <c r="B21923" t="s">
        <v>66496</v>
      </c>
      <c r="C21923" t="str">
        <f>"82525243"</f>
        <v>82525243</v>
      </c>
      <c r="D21923" t="s">
        <v>66497</v>
      </c>
      <c r="E21923" t="s">
        <v>66498</v>
      </c>
      <c r="F21923" t="s">
        <v>66499</v>
      </c>
      <c r="I21923" t="s">
        <v>184</v>
      </c>
      <c r="J21923" t="s">
        <v>30</v>
      </c>
      <c r="K21923" t="s">
        <v>185</v>
      </c>
      <c r="M21923" t="s">
        <v>50793</v>
      </c>
      <c r="N21923" t="str">
        <f>"2/16/2024 1:41:00 PM"</f>
        <v>2/16/2024 1:41:00 PM</v>
      </c>
      <c r="O21923" t="s">
        <v>66497</v>
      </c>
      <c r="T21923" t="s">
        <v>66498</v>
      </c>
    </row>
    <row r="21924" spans="1:20" x14ac:dyDescent="0.25">
      <c r="A21924" t="str">
        <f>"3057471"</f>
        <v>3057471</v>
      </c>
      <c r="B21924" t="s">
        <v>66500</v>
      </c>
      <c r="C21924" t="str">
        <f>"82527632"</f>
        <v>82527632</v>
      </c>
      <c r="D21924" t="s">
        <v>66501</v>
      </c>
      <c r="E21924" t="s">
        <v>66502</v>
      </c>
      <c r="F21924" t="str">
        <f>"C/O BOB DONLEY"</f>
        <v>C/O BOB DONLEY</v>
      </c>
      <c r="G21924" t="s">
        <v>66503</v>
      </c>
      <c r="I21924" t="s">
        <v>29</v>
      </c>
      <c r="J21924" t="s">
        <v>30</v>
      </c>
      <c r="K21924" t="s">
        <v>31</v>
      </c>
      <c r="M21924" t="s">
        <v>50793</v>
      </c>
      <c r="N21924" t="str">
        <f>"2/16/2024 1:43:00 PM"</f>
        <v>2/16/2024 1:43:00 PM</v>
      </c>
      <c r="O21924" t="s">
        <v>66501</v>
      </c>
      <c r="T21924" t="s">
        <v>66502</v>
      </c>
    </row>
    <row r="21925" spans="1:20" x14ac:dyDescent="0.25">
      <c r="A21925" t="str">
        <f>"3038056"</f>
        <v>3038056</v>
      </c>
      <c r="B21925" t="s">
        <v>66504</v>
      </c>
      <c r="C21925" t="str">
        <f>"72192500"</f>
        <v>72192500</v>
      </c>
      <c r="D21925" t="s">
        <v>66505</v>
      </c>
      <c r="F21925" t="s">
        <v>66506</v>
      </c>
      <c r="I21925" t="s">
        <v>29</v>
      </c>
      <c r="J21925" t="s">
        <v>30</v>
      </c>
      <c r="K21925" t="s">
        <v>66507</v>
      </c>
      <c r="M21925" t="s">
        <v>50793</v>
      </c>
      <c r="N21925" t="str">
        <f>"2/16/2024 1:43:00 PM"</f>
        <v>2/16/2024 1:43:00 PM</v>
      </c>
      <c r="O21925" t="s">
        <v>66505</v>
      </c>
    </row>
    <row r="21926" spans="1:20" x14ac:dyDescent="0.25">
      <c r="A21926" t="str">
        <f>"3037332"</f>
        <v>3037332</v>
      </c>
      <c r="B21926" t="s">
        <v>66508</v>
      </c>
      <c r="C21926" t="str">
        <f>"80512000"</f>
        <v>80512000</v>
      </c>
      <c r="D21926" t="s">
        <v>66509</v>
      </c>
      <c r="F21926" t="s">
        <v>66510</v>
      </c>
      <c r="I21926" t="s">
        <v>184</v>
      </c>
      <c r="J21926" t="s">
        <v>30</v>
      </c>
      <c r="K21926" t="s">
        <v>185</v>
      </c>
      <c r="M21926" t="s">
        <v>50621</v>
      </c>
      <c r="N21926" t="str">
        <f>"2/16/2024 1:03:00 PM"</f>
        <v>2/16/2024 1:03:00 PM</v>
      </c>
      <c r="O21926" t="s">
        <v>66509</v>
      </c>
    </row>
    <row r="21927" spans="1:20" x14ac:dyDescent="0.25">
      <c r="A21927" t="str">
        <f>"3039611"</f>
        <v>3039611</v>
      </c>
      <c r="B21927" t="s">
        <v>66511</v>
      </c>
      <c r="C21927" t="str">
        <f>"80512000"</f>
        <v>80512000</v>
      </c>
      <c r="D21927" t="s">
        <v>66509</v>
      </c>
      <c r="F21927" t="s">
        <v>66510</v>
      </c>
      <c r="I21927" t="s">
        <v>184</v>
      </c>
      <c r="J21927" t="s">
        <v>30</v>
      </c>
      <c r="K21927" t="s">
        <v>185</v>
      </c>
      <c r="M21927" t="s">
        <v>50621</v>
      </c>
      <c r="N21927" t="str">
        <f>"2/16/2024 1:03:00 PM"</f>
        <v>2/16/2024 1:03:00 PM</v>
      </c>
      <c r="O21927" t="s">
        <v>66509</v>
      </c>
    </row>
    <row r="21928" spans="1:20" x14ac:dyDescent="0.25">
      <c r="A21928" t="str">
        <f>"3057360"</f>
        <v>3057360</v>
      </c>
      <c r="B21928" t="s">
        <v>66512</v>
      </c>
      <c r="C21928" t="str">
        <f>"8306980"</f>
        <v>8306980</v>
      </c>
      <c r="D21928" t="s">
        <v>66513</v>
      </c>
      <c r="E21928" t="s">
        <v>66514</v>
      </c>
      <c r="F21928" t="s">
        <v>66515</v>
      </c>
      <c r="I21928" t="s">
        <v>184</v>
      </c>
      <c r="J21928" t="s">
        <v>30</v>
      </c>
      <c r="K21928" t="str">
        <f>"27006"</f>
        <v>27006</v>
      </c>
      <c r="M21928" t="s">
        <v>50621</v>
      </c>
      <c r="N21928" t="str">
        <f>"2/16/2024 1:02:00 PM"</f>
        <v>2/16/2024 1:02:00 PM</v>
      </c>
      <c r="O21928" t="s">
        <v>66513</v>
      </c>
      <c r="T21928" t="s">
        <v>66514</v>
      </c>
    </row>
    <row r="21929" spans="1:20" x14ac:dyDescent="0.25">
      <c r="A21929" t="str">
        <f>"3064392"</f>
        <v>3064392</v>
      </c>
      <c r="B21929" t="s">
        <v>66516</v>
      </c>
      <c r="C21929" t="str">
        <f>"80401060"</f>
        <v>80401060</v>
      </c>
      <c r="D21929" t="s">
        <v>66517</v>
      </c>
      <c r="E21929" t="s">
        <v>66518</v>
      </c>
      <c r="F21929" t="s">
        <v>66519</v>
      </c>
      <c r="I21929" t="s">
        <v>29</v>
      </c>
      <c r="J21929" t="s">
        <v>30</v>
      </c>
      <c r="K21929" t="s">
        <v>66520</v>
      </c>
      <c r="M21929" t="s">
        <v>50621</v>
      </c>
      <c r="N21929" t="str">
        <f>"2/16/2024 1:02:00 PM"</f>
        <v>2/16/2024 1:02:00 PM</v>
      </c>
      <c r="O21929" t="s">
        <v>66517</v>
      </c>
      <c r="T21929" t="s">
        <v>66518</v>
      </c>
    </row>
    <row r="21930" spans="1:20" x14ac:dyDescent="0.25">
      <c r="A21930" t="str">
        <f>"3050889"</f>
        <v>3050889</v>
      </c>
      <c r="B21930" t="s">
        <v>66521</v>
      </c>
      <c r="C21930" t="str">
        <f>"80401060"</f>
        <v>80401060</v>
      </c>
      <c r="D21930" t="s">
        <v>66517</v>
      </c>
      <c r="E21930" t="s">
        <v>66518</v>
      </c>
      <c r="F21930" t="s">
        <v>66519</v>
      </c>
      <c r="I21930" t="s">
        <v>29</v>
      </c>
      <c r="J21930" t="s">
        <v>30</v>
      </c>
      <c r="K21930" t="s">
        <v>66520</v>
      </c>
      <c r="M21930" t="s">
        <v>50621</v>
      </c>
      <c r="N21930" t="str">
        <f>"2/16/2024 1:02:00 PM"</f>
        <v>2/16/2024 1:02:00 PM</v>
      </c>
      <c r="O21930" t="s">
        <v>66517</v>
      </c>
      <c r="T21930" t="s">
        <v>66518</v>
      </c>
    </row>
    <row r="21931" spans="1:20" x14ac:dyDescent="0.25">
      <c r="A21931" t="str">
        <f>"3043989"</f>
        <v>3043989</v>
      </c>
      <c r="B21931" t="s">
        <v>66522</v>
      </c>
      <c r="C21931" t="str">
        <f>"82525197"</f>
        <v>82525197</v>
      </c>
      <c r="D21931" t="s">
        <v>66523</v>
      </c>
      <c r="F21931" t="s">
        <v>66524</v>
      </c>
      <c r="I21931" t="s">
        <v>184</v>
      </c>
      <c r="J21931" t="s">
        <v>30</v>
      </c>
      <c r="K21931" t="s">
        <v>41058</v>
      </c>
      <c r="M21931" t="s">
        <v>50621</v>
      </c>
      <c r="N21931" t="str">
        <f>"2/16/2024 1:01:00 PM"</f>
        <v>2/16/2024 1:01:00 PM</v>
      </c>
      <c r="O21931" t="s">
        <v>66523</v>
      </c>
    </row>
    <row r="21932" spans="1:20" x14ac:dyDescent="0.25">
      <c r="A21932" t="str">
        <f>"3055608"</f>
        <v>3055608</v>
      </c>
      <c r="B21932" t="s">
        <v>66525</v>
      </c>
      <c r="C21932" t="str">
        <f>"8317125"</f>
        <v>8317125</v>
      </c>
      <c r="D21932" t="s">
        <v>66526</v>
      </c>
      <c r="E21932" t="s">
        <v>66527</v>
      </c>
      <c r="F21932" t="s">
        <v>66528</v>
      </c>
      <c r="I21932" t="s">
        <v>29</v>
      </c>
      <c r="J21932" t="s">
        <v>30</v>
      </c>
      <c r="K21932" t="s">
        <v>53574</v>
      </c>
      <c r="M21932" t="s">
        <v>50621</v>
      </c>
      <c r="N21932" t="str">
        <f>"2/16/2024 1:00:00 PM"</f>
        <v>2/16/2024 1:00:00 PM</v>
      </c>
      <c r="O21932" t="s">
        <v>66526</v>
      </c>
      <c r="T21932" t="s">
        <v>66527</v>
      </c>
    </row>
    <row r="21933" spans="1:20" x14ac:dyDescent="0.25">
      <c r="A21933" t="str">
        <f>"3061729"</f>
        <v>3061729</v>
      </c>
      <c r="B21933" t="s">
        <v>66529</v>
      </c>
      <c r="C21933" t="str">
        <f>"8304933"</f>
        <v>8304933</v>
      </c>
      <c r="D21933" t="s">
        <v>66530</v>
      </c>
      <c r="E21933" t="s">
        <v>66531</v>
      </c>
      <c r="F21933" t="s">
        <v>66532</v>
      </c>
      <c r="I21933" t="s">
        <v>2071</v>
      </c>
      <c r="J21933" t="s">
        <v>30</v>
      </c>
      <c r="K21933" t="str">
        <f>"27006"</f>
        <v>27006</v>
      </c>
      <c r="M21933" t="s">
        <v>50793</v>
      </c>
      <c r="N21933" t="str">
        <f>"2/19/2024 8:57:00 AM"</f>
        <v>2/19/2024 8:57:00 AM</v>
      </c>
      <c r="O21933" t="s">
        <v>66530</v>
      </c>
      <c r="T21933" t="s">
        <v>66531</v>
      </c>
    </row>
    <row r="21934" spans="1:20" x14ac:dyDescent="0.25">
      <c r="A21934" t="str">
        <f>"3055978"</f>
        <v>3055978</v>
      </c>
      <c r="B21934" t="s">
        <v>66533</v>
      </c>
      <c r="C21934" t="str">
        <f>"72697130"</f>
        <v>72697130</v>
      </c>
      <c r="D21934" t="s">
        <v>66534</v>
      </c>
      <c r="E21934" t="s">
        <v>66535</v>
      </c>
      <c r="F21934" t="s">
        <v>66536</v>
      </c>
      <c r="I21934" t="s">
        <v>29</v>
      </c>
      <c r="J21934" t="s">
        <v>30</v>
      </c>
      <c r="K21934" t="s">
        <v>10004</v>
      </c>
      <c r="M21934" t="s">
        <v>50793</v>
      </c>
      <c r="N21934" t="str">
        <f>"2/19/2024 8:57:00 AM"</f>
        <v>2/19/2024 8:57:00 AM</v>
      </c>
      <c r="O21934" t="s">
        <v>66534</v>
      </c>
      <c r="T21934" t="s">
        <v>66535</v>
      </c>
    </row>
    <row r="21935" spans="1:20" x14ac:dyDescent="0.25">
      <c r="A21935" t="str">
        <f>"3049452"</f>
        <v>3049452</v>
      </c>
      <c r="B21935" t="s">
        <v>66537</v>
      </c>
      <c r="C21935" t="str">
        <f>"8311229"</f>
        <v>8311229</v>
      </c>
      <c r="D21935" t="s">
        <v>66538</v>
      </c>
      <c r="F21935" t="s">
        <v>48961</v>
      </c>
      <c r="I21935" t="s">
        <v>184</v>
      </c>
      <c r="J21935" t="s">
        <v>30</v>
      </c>
      <c r="K21935" t="s">
        <v>45462</v>
      </c>
      <c r="M21935" t="s">
        <v>50621</v>
      </c>
      <c r="N21935" t="str">
        <f>"2/16/2024 12:41:00 PM"</f>
        <v>2/16/2024 12:41:00 PM</v>
      </c>
      <c r="O21935" t="s">
        <v>66538</v>
      </c>
    </row>
    <row r="21936" spans="1:20" x14ac:dyDescent="0.25">
      <c r="A21936" t="str">
        <f>"3055537"</f>
        <v>3055537</v>
      </c>
      <c r="B21936" t="s">
        <v>66539</v>
      </c>
      <c r="C21936" t="str">
        <f>"8318406"</f>
        <v>8318406</v>
      </c>
      <c r="D21936" t="s">
        <v>66540</v>
      </c>
      <c r="F21936" t="s">
        <v>66541</v>
      </c>
      <c r="I21936" t="s">
        <v>29</v>
      </c>
      <c r="J21936" t="s">
        <v>30</v>
      </c>
      <c r="K21936" t="s">
        <v>16621</v>
      </c>
      <c r="M21936" t="s">
        <v>50793</v>
      </c>
      <c r="N21936" t="str">
        <f>"2/19/2024 9:04:00 AM"</f>
        <v>2/19/2024 9:04:00 AM</v>
      </c>
      <c r="O21936" t="s">
        <v>66540</v>
      </c>
    </row>
    <row r="21937" spans="1:20" x14ac:dyDescent="0.25">
      <c r="A21937" t="str">
        <f>"3037417"</f>
        <v>3037417</v>
      </c>
      <c r="B21937" t="s">
        <v>66542</v>
      </c>
      <c r="C21937" t="str">
        <f>"8305565"</f>
        <v>8305565</v>
      </c>
      <c r="D21937" t="s">
        <v>66543</v>
      </c>
      <c r="F21937" t="s">
        <v>66544</v>
      </c>
      <c r="I21937" t="s">
        <v>66545</v>
      </c>
      <c r="J21937" t="s">
        <v>4132</v>
      </c>
      <c r="K21937" t="str">
        <f>"29575"</f>
        <v>29575</v>
      </c>
      <c r="M21937" t="s">
        <v>50793</v>
      </c>
      <c r="N21937" t="str">
        <f>"2/19/2024 9:05:00 AM"</f>
        <v>2/19/2024 9:05:00 AM</v>
      </c>
      <c r="O21937" t="s">
        <v>66543</v>
      </c>
    </row>
    <row r="21938" spans="1:20" x14ac:dyDescent="0.25">
      <c r="A21938" t="str">
        <f>"3067631"</f>
        <v>3067631</v>
      </c>
      <c r="B21938" t="s">
        <v>66546</v>
      </c>
      <c r="C21938" t="str">
        <f>"8319258"</f>
        <v>8319258</v>
      </c>
      <c r="D21938" t="s">
        <v>66547</v>
      </c>
      <c r="F21938" t="s">
        <v>66548</v>
      </c>
      <c r="I21938" t="s">
        <v>964</v>
      </c>
      <c r="J21938" t="s">
        <v>30</v>
      </c>
      <c r="K21938" t="s">
        <v>66549</v>
      </c>
      <c r="M21938" t="s">
        <v>50793</v>
      </c>
      <c r="N21938" t="str">
        <f>"2/19/2024 9:15:00 AM"</f>
        <v>2/19/2024 9:15:00 AM</v>
      </c>
      <c r="O21938" t="s">
        <v>66547</v>
      </c>
    </row>
    <row r="21939" spans="1:20" x14ac:dyDescent="0.25">
      <c r="A21939" t="str">
        <f>"3050167"</f>
        <v>3050167</v>
      </c>
      <c r="B21939" t="s">
        <v>66550</v>
      </c>
      <c r="C21939" t="str">
        <f>"82518537"</f>
        <v>82518537</v>
      </c>
      <c r="D21939" t="s">
        <v>66551</v>
      </c>
      <c r="F21939" t="s">
        <v>58518</v>
      </c>
      <c r="I21939" t="s">
        <v>29</v>
      </c>
      <c r="J21939" t="s">
        <v>30</v>
      </c>
      <c r="K21939" t="s">
        <v>22200</v>
      </c>
      <c r="M21939" t="s">
        <v>50793</v>
      </c>
      <c r="N21939" t="str">
        <f>"2/19/2024 9:16:00 AM"</f>
        <v>2/19/2024 9:16:00 AM</v>
      </c>
      <c r="O21939" t="s">
        <v>66551</v>
      </c>
    </row>
    <row r="21940" spans="1:20" x14ac:dyDescent="0.25">
      <c r="A21940" t="str">
        <f>"3049664"</f>
        <v>3049664</v>
      </c>
      <c r="B21940" t="s">
        <v>66552</v>
      </c>
      <c r="C21940" t="str">
        <f>"82518537"</f>
        <v>82518537</v>
      </c>
      <c r="D21940" t="s">
        <v>66551</v>
      </c>
      <c r="F21940" t="s">
        <v>58518</v>
      </c>
      <c r="I21940" t="s">
        <v>29</v>
      </c>
      <c r="J21940" t="s">
        <v>30</v>
      </c>
      <c r="K21940" t="s">
        <v>22200</v>
      </c>
      <c r="M21940" t="s">
        <v>50793</v>
      </c>
      <c r="N21940" t="str">
        <f>"2/19/2024 9:16:00 AM"</f>
        <v>2/19/2024 9:16:00 AM</v>
      </c>
      <c r="O21940" t="s">
        <v>66551</v>
      </c>
    </row>
    <row r="21941" spans="1:20" x14ac:dyDescent="0.25">
      <c r="A21941" t="str">
        <f>"3041164"</f>
        <v>3041164</v>
      </c>
      <c r="B21941" t="s">
        <v>66553</v>
      </c>
      <c r="C21941" t="str">
        <f>"82527122"</f>
        <v>82527122</v>
      </c>
      <c r="D21941" t="s">
        <v>66554</v>
      </c>
      <c r="F21941" t="s">
        <v>66555</v>
      </c>
      <c r="I21941" t="s">
        <v>2589</v>
      </c>
      <c r="J21941" t="s">
        <v>30</v>
      </c>
      <c r="K21941" t="s">
        <v>24253</v>
      </c>
      <c r="M21941" t="s">
        <v>50793</v>
      </c>
      <c r="N21941" t="str">
        <f>"2/19/2024 9:17:00 AM"</f>
        <v>2/19/2024 9:17:00 AM</v>
      </c>
      <c r="O21941" t="s">
        <v>66554</v>
      </c>
    </row>
    <row r="21942" spans="1:20" x14ac:dyDescent="0.25">
      <c r="A21942" t="str">
        <f>"3049586"</f>
        <v>3049586</v>
      </c>
      <c r="B21942" t="s">
        <v>66556</v>
      </c>
      <c r="C21942" t="str">
        <f>"8311229"</f>
        <v>8311229</v>
      </c>
      <c r="D21942" t="s">
        <v>66538</v>
      </c>
      <c r="F21942" t="s">
        <v>48961</v>
      </c>
      <c r="I21942" t="s">
        <v>184</v>
      </c>
      <c r="J21942" t="s">
        <v>30</v>
      </c>
      <c r="K21942" t="s">
        <v>45462</v>
      </c>
      <c r="M21942" t="s">
        <v>50621</v>
      </c>
      <c r="N21942" t="str">
        <f>"2/16/2024 12:41:00 PM"</f>
        <v>2/16/2024 12:41:00 PM</v>
      </c>
      <c r="O21942" t="s">
        <v>66538</v>
      </c>
    </row>
    <row r="21943" spans="1:20" x14ac:dyDescent="0.25">
      <c r="A21943" t="str">
        <f>"3104750"</f>
        <v>3104750</v>
      </c>
      <c r="B21943" t="s">
        <v>66557</v>
      </c>
      <c r="C21943" t="str">
        <f>"8321941"</f>
        <v>8321941</v>
      </c>
      <c r="D21943" t="s">
        <v>66558</v>
      </c>
      <c r="F21943" t="s">
        <v>66559</v>
      </c>
      <c r="I21943" t="s">
        <v>29</v>
      </c>
      <c r="J21943" t="s">
        <v>30</v>
      </c>
      <c r="K21943" t="s">
        <v>40065</v>
      </c>
      <c r="M21943" t="s">
        <v>50500</v>
      </c>
      <c r="N21943" t="str">
        <f>"2/16/2024 12:41:00 PM"</f>
        <v>2/16/2024 12:41:00 PM</v>
      </c>
      <c r="O21943" t="s">
        <v>66558</v>
      </c>
    </row>
    <row r="21944" spans="1:20" x14ac:dyDescent="0.25">
      <c r="A21944" t="str">
        <f>"3056237"</f>
        <v>3056237</v>
      </c>
      <c r="B21944" t="s">
        <v>66560</v>
      </c>
      <c r="C21944" t="str">
        <f>"8321941"</f>
        <v>8321941</v>
      </c>
      <c r="D21944" t="s">
        <v>66558</v>
      </c>
      <c r="F21944" t="s">
        <v>66559</v>
      </c>
      <c r="I21944" t="s">
        <v>29</v>
      </c>
      <c r="J21944" t="s">
        <v>30</v>
      </c>
      <c r="K21944" t="s">
        <v>40065</v>
      </c>
      <c r="M21944" t="s">
        <v>50500</v>
      </c>
      <c r="N21944" t="str">
        <f>"2/16/2024 12:41:00 PM"</f>
        <v>2/16/2024 12:41:00 PM</v>
      </c>
      <c r="O21944" t="s">
        <v>66558</v>
      </c>
    </row>
    <row r="21945" spans="1:20" x14ac:dyDescent="0.25">
      <c r="A21945" t="str">
        <f>"3045353"</f>
        <v>3045353</v>
      </c>
      <c r="B21945" t="s">
        <v>66561</v>
      </c>
      <c r="C21945" t="str">
        <f>"8310262"</f>
        <v>8310262</v>
      </c>
      <c r="D21945" t="s">
        <v>66562</v>
      </c>
      <c r="F21945" t="s">
        <v>66563</v>
      </c>
      <c r="I21945" t="s">
        <v>29</v>
      </c>
      <c r="J21945" t="s">
        <v>30</v>
      </c>
      <c r="K21945" t="s">
        <v>66564</v>
      </c>
      <c r="M21945" t="s">
        <v>50621</v>
      </c>
      <c r="N21945" t="str">
        <f>"2/16/2024 12:40:00 PM"</f>
        <v>2/16/2024 12:40:00 PM</v>
      </c>
      <c r="O21945" t="s">
        <v>66562</v>
      </c>
    </row>
    <row r="21946" spans="1:20" x14ac:dyDescent="0.25">
      <c r="A21946" t="str">
        <f>"3076619"</f>
        <v>3076619</v>
      </c>
      <c r="B21946" t="s">
        <v>66565</v>
      </c>
      <c r="C21946" t="str">
        <f>"82521421"</f>
        <v>82521421</v>
      </c>
      <c r="D21946" t="s">
        <v>66566</v>
      </c>
      <c r="F21946" t="s">
        <v>66567</v>
      </c>
      <c r="I21946" t="s">
        <v>49</v>
      </c>
      <c r="J21946" t="s">
        <v>30</v>
      </c>
      <c r="K21946" t="s">
        <v>50</v>
      </c>
      <c r="M21946" t="s">
        <v>50793</v>
      </c>
      <c r="N21946" t="str">
        <f>"2/19/2024 9:27:00 AM"</f>
        <v>2/19/2024 9:27:00 AM</v>
      </c>
      <c r="O21946" t="s">
        <v>66566</v>
      </c>
    </row>
    <row r="21947" spans="1:20" x14ac:dyDescent="0.25">
      <c r="A21947" t="str">
        <f>"3076984"</f>
        <v>3076984</v>
      </c>
      <c r="B21947" t="s">
        <v>66568</v>
      </c>
      <c r="C21947" t="str">
        <f>"82521421"</f>
        <v>82521421</v>
      </c>
      <c r="D21947" t="s">
        <v>66566</v>
      </c>
      <c r="F21947" t="s">
        <v>66567</v>
      </c>
      <c r="I21947" t="s">
        <v>49</v>
      </c>
      <c r="J21947" t="s">
        <v>30</v>
      </c>
      <c r="K21947" t="s">
        <v>50</v>
      </c>
      <c r="M21947" t="s">
        <v>50793</v>
      </c>
      <c r="N21947" t="str">
        <f>"2/19/2024 9:27:00 AM"</f>
        <v>2/19/2024 9:27:00 AM</v>
      </c>
      <c r="O21947" t="s">
        <v>66566</v>
      </c>
    </row>
    <row r="21948" spans="1:20" x14ac:dyDescent="0.25">
      <c r="A21948" t="str">
        <f>"3076986"</f>
        <v>3076986</v>
      </c>
      <c r="B21948" t="s">
        <v>66569</v>
      </c>
      <c r="C21948" t="str">
        <f>"82521421"</f>
        <v>82521421</v>
      </c>
      <c r="D21948" t="s">
        <v>66566</v>
      </c>
      <c r="F21948" t="s">
        <v>66567</v>
      </c>
      <c r="I21948" t="s">
        <v>49</v>
      </c>
      <c r="J21948" t="s">
        <v>30</v>
      </c>
      <c r="K21948" t="s">
        <v>50</v>
      </c>
      <c r="M21948" t="s">
        <v>50793</v>
      </c>
      <c r="N21948" t="str">
        <f>"2/19/2024 9:27:00 AM"</f>
        <v>2/19/2024 9:27:00 AM</v>
      </c>
      <c r="O21948" t="s">
        <v>66566</v>
      </c>
    </row>
    <row r="21949" spans="1:20" x14ac:dyDescent="0.25">
      <c r="A21949" t="str">
        <f>"3039453"</f>
        <v>3039453</v>
      </c>
      <c r="B21949" t="s">
        <v>66570</v>
      </c>
      <c r="C21949" t="str">
        <f>"8315628"</f>
        <v>8315628</v>
      </c>
      <c r="D21949" t="s">
        <v>66571</v>
      </c>
      <c r="E21949" t="s">
        <v>66572</v>
      </c>
      <c r="F21949" t="s">
        <v>66573</v>
      </c>
      <c r="I21949" t="s">
        <v>29</v>
      </c>
      <c r="J21949" t="s">
        <v>30</v>
      </c>
      <c r="K21949" t="s">
        <v>1479</v>
      </c>
      <c r="M21949" t="s">
        <v>50621</v>
      </c>
      <c r="N21949" t="str">
        <f>"2/16/2024 12:39:00 PM"</f>
        <v>2/16/2024 12:39:00 PM</v>
      </c>
      <c r="O21949" t="s">
        <v>66571</v>
      </c>
      <c r="T21949" t="s">
        <v>66572</v>
      </c>
    </row>
    <row r="21950" spans="1:20" x14ac:dyDescent="0.25">
      <c r="A21950" t="str">
        <f>"3076894"</f>
        <v>3076894</v>
      </c>
      <c r="B21950" t="s">
        <v>66574</v>
      </c>
      <c r="C21950" t="str">
        <f>"8303215"</f>
        <v>8303215</v>
      </c>
      <c r="D21950" t="s">
        <v>66575</v>
      </c>
      <c r="E21950" t="s">
        <v>66572</v>
      </c>
      <c r="F21950" t="s">
        <v>66576</v>
      </c>
      <c r="I21950" t="s">
        <v>29</v>
      </c>
      <c r="J21950" t="s">
        <v>30</v>
      </c>
      <c r="K21950" t="str">
        <f>"27028"</f>
        <v>27028</v>
      </c>
      <c r="M21950" t="s">
        <v>50621</v>
      </c>
      <c r="N21950" t="str">
        <f>"2/16/2024 12:39:00 PM"</f>
        <v>2/16/2024 12:39:00 PM</v>
      </c>
      <c r="O21950" t="s">
        <v>66575</v>
      </c>
      <c r="T21950" t="s">
        <v>66572</v>
      </c>
    </row>
    <row r="21951" spans="1:20" x14ac:dyDescent="0.25">
      <c r="A21951" t="str">
        <f>"3056982"</f>
        <v>3056982</v>
      </c>
      <c r="B21951" t="s">
        <v>66577</v>
      </c>
      <c r="C21951" t="str">
        <f>"8313694"</f>
        <v>8313694</v>
      </c>
      <c r="D21951" t="s">
        <v>66578</v>
      </c>
      <c r="E21951" t="s">
        <v>66579</v>
      </c>
      <c r="F21951" t="s">
        <v>66580</v>
      </c>
      <c r="I21951" t="s">
        <v>29</v>
      </c>
      <c r="J21951" t="s">
        <v>30</v>
      </c>
      <c r="K21951" t="s">
        <v>11032</v>
      </c>
      <c r="M21951" t="s">
        <v>50621</v>
      </c>
      <c r="N21951" t="str">
        <f>"2/16/2024 1:14:00 PM"</f>
        <v>2/16/2024 1:14:00 PM</v>
      </c>
      <c r="O21951" t="s">
        <v>66578</v>
      </c>
      <c r="T21951" t="s">
        <v>66579</v>
      </c>
    </row>
    <row r="21952" spans="1:20" x14ac:dyDescent="0.25">
      <c r="A21952" t="str">
        <f>"3039492"</f>
        <v>3039492</v>
      </c>
      <c r="B21952" t="s">
        <v>66581</v>
      </c>
      <c r="C21952" t="str">
        <f>"8316736"</f>
        <v>8316736</v>
      </c>
      <c r="D21952" t="s">
        <v>66582</v>
      </c>
      <c r="E21952" t="s">
        <v>66583</v>
      </c>
      <c r="F21952" t="s">
        <v>66584</v>
      </c>
      <c r="I21952" t="s">
        <v>29</v>
      </c>
      <c r="J21952" t="s">
        <v>30</v>
      </c>
      <c r="K21952" t="s">
        <v>605</v>
      </c>
      <c r="M21952" t="s">
        <v>50793</v>
      </c>
      <c r="N21952" t="str">
        <f>"2/19/2024 9:34:00 AM"</f>
        <v>2/19/2024 9:34:00 AM</v>
      </c>
      <c r="O21952" t="s">
        <v>66582</v>
      </c>
      <c r="T21952" t="s">
        <v>66583</v>
      </c>
    </row>
    <row r="21953" spans="1:20" x14ac:dyDescent="0.25">
      <c r="A21953" t="str">
        <f>"3039694"</f>
        <v>3039694</v>
      </c>
      <c r="B21953" t="s">
        <v>66585</v>
      </c>
      <c r="C21953" t="str">
        <f>"8316736"</f>
        <v>8316736</v>
      </c>
      <c r="D21953" t="s">
        <v>66582</v>
      </c>
      <c r="E21953" t="s">
        <v>66583</v>
      </c>
      <c r="F21953" t="s">
        <v>66584</v>
      </c>
      <c r="I21953" t="s">
        <v>29</v>
      </c>
      <c r="J21953" t="s">
        <v>30</v>
      </c>
      <c r="K21953" t="s">
        <v>605</v>
      </c>
      <c r="M21953" t="s">
        <v>50793</v>
      </c>
      <c r="N21953" t="str">
        <f>"2/19/2024 9:34:00 AM"</f>
        <v>2/19/2024 9:34:00 AM</v>
      </c>
      <c r="O21953" t="s">
        <v>66582</v>
      </c>
      <c r="T21953" t="s">
        <v>66583</v>
      </c>
    </row>
    <row r="21954" spans="1:20" x14ac:dyDescent="0.25">
      <c r="A21954" t="str">
        <f>"3055795"</f>
        <v>3055795</v>
      </c>
      <c r="B21954" t="s">
        <v>66586</v>
      </c>
      <c r="C21954" t="str">
        <f>"8314606"</f>
        <v>8314606</v>
      </c>
      <c r="D21954" t="s">
        <v>66587</v>
      </c>
      <c r="F21954" t="s">
        <v>66588</v>
      </c>
      <c r="I21954" t="s">
        <v>9580</v>
      </c>
      <c r="J21954" t="s">
        <v>30</v>
      </c>
      <c r="K21954" t="s">
        <v>66589</v>
      </c>
      <c r="M21954" t="s">
        <v>50793</v>
      </c>
      <c r="N21954" t="str">
        <f>"2/19/2024 9:38:00 AM"</f>
        <v>2/19/2024 9:38:00 AM</v>
      </c>
      <c r="O21954" t="s">
        <v>66587</v>
      </c>
    </row>
    <row r="21955" spans="1:20" x14ac:dyDescent="0.25">
      <c r="A21955" t="str">
        <f>"3060934"</f>
        <v>3060934</v>
      </c>
      <c r="B21955" t="s">
        <v>66590</v>
      </c>
      <c r="C21955" t="str">
        <f>"8302550"</f>
        <v>8302550</v>
      </c>
      <c r="D21955" t="s">
        <v>66591</v>
      </c>
      <c r="F21955" t="s">
        <v>66592</v>
      </c>
      <c r="I21955" t="s">
        <v>184</v>
      </c>
      <c r="J21955" t="s">
        <v>30</v>
      </c>
      <c r="K21955" t="str">
        <f>"27006"</f>
        <v>27006</v>
      </c>
      <c r="M21955" t="s">
        <v>50793</v>
      </c>
      <c r="N21955" t="str">
        <f>"2/19/2024 9:39:00 AM"</f>
        <v>2/19/2024 9:39:00 AM</v>
      </c>
      <c r="O21955" t="s">
        <v>66591</v>
      </c>
    </row>
    <row r="21956" spans="1:20" x14ac:dyDescent="0.25">
      <c r="A21956" t="str">
        <f>"3049635"</f>
        <v>3049635</v>
      </c>
      <c r="B21956" t="s">
        <v>66593</v>
      </c>
      <c r="C21956" t="str">
        <f>"71024285"</f>
        <v>71024285</v>
      </c>
      <c r="D21956" t="s">
        <v>66594</v>
      </c>
      <c r="F21956" t="s">
        <v>66595</v>
      </c>
      <c r="I21956" t="s">
        <v>29</v>
      </c>
      <c r="J21956" t="s">
        <v>30</v>
      </c>
      <c r="K21956" t="s">
        <v>11416</v>
      </c>
      <c r="M21956" t="s">
        <v>50793</v>
      </c>
      <c r="N21956" t="str">
        <f>"2/16/2024 1:22:00 PM"</f>
        <v>2/16/2024 1:22:00 PM</v>
      </c>
      <c r="O21956" t="s">
        <v>66594</v>
      </c>
    </row>
    <row r="21957" spans="1:20" x14ac:dyDescent="0.25">
      <c r="A21957" t="str">
        <f>"3050295"</f>
        <v>3050295</v>
      </c>
      <c r="B21957" t="s">
        <v>66596</v>
      </c>
      <c r="C21957" t="str">
        <f>"71024285"</f>
        <v>71024285</v>
      </c>
      <c r="D21957" t="s">
        <v>66594</v>
      </c>
      <c r="F21957" t="s">
        <v>66595</v>
      </c>
      <c r="I21957" t="s">
        <v>29</v>
      </c>
      <c r="J21957" t="s">
        <v>30</v>
      </c>
      <c r="K21957" t="s">
        <v>11416</v>
      </c>
      <c r="M21957" t="s">
        <v>50793</v>
      </c>
      <c r="N21957" t="str">
        <f>"2/16/2024 1:22:00 PM"</f>
        <v>2/16/2024 1:22:00 PM</v>
      </c>
      <c r="O21957" t="s">
        <v>66594</v>
      </c>
    </row>
    <row r="21958" spans="1:20" x14ac:dyDescent="0.25">
      <c r="A21958" t="str">
        <f>"3050092"</f>
        <v>3050092</v>
      </c>
      <c r="B21958" t="s">
        <v>66597</v>
      </c>
      <c r="C21958" t="str">
        <f>"8319872"</f>
        <v>8319872</v>
      </c>
      <c r="D21958" t="s">
        <v>66598</v>
      </c>
      <c r="F21958" t="s">
        <v>9241</v>
      </c>
      <c r="I21958" t="s">
        <v>9580</v>
      </c>
      <c r="J21958" t="s">
        <v>30</v>
      </c>
      <c r="K21958" t="s">
        <v>56562</v>
      </c>
      <c r="M21958" t="s">
        <v>50793</v>
      </c>
      <c r="N21958" t="str">
        <f>"2/16/2024 1:28:00 PM"</f>
        <v>2/16/2024 1:28:00 PM</v>
      </c>
      <c r="O21958" t="s">
        <v>66598</v>
      </c>
    </row>
    <row r="21959" spans="1:20" x14ac:dyDescent="0.25">
      <c r="A21959" t="str">
        <f>"3050164"</f>
        <v>3050164</v>
      </c>
      <c r="B21959" t="s">
        <v>66599</v>
      </c>
      <c r="C21959" t="str">
        <f>"82527365"</f>
        <v>82527365</v>
      </c>
      <c r="D21959" t="s">
        <v>66600</v>
      </c>
      <c r="E21959" t="s">
        <v>66601</v>
      </c>
      <c r="F21959" t="s">
        <v>56028</v>
      </c>
      <c r="I21959" t="s">
        <v>29</v>
      </c>
      <c r="J21959" t="s">
        <v>30</v>
      </c>
      <c r="K21959" t="s">
        <v>22200</v>
      </c>
      <c r="M21959" t="s">
        <v>50793</v>
      </c>
      <c r="N21959" t="str">
        <f>"2/19/2024 9:55:00 AM"</f>
        <v>2/19/2024 9:55:00 AM</v>
      </c>
      <c r="O21959" t="s">
        <v>66600</v>
      </c>
      <c r="T21959" t="s">
        <v>66601</v>
      </c>
    </row>
    <row r="21960" spans="1:20" x14ac:dyDescent="0.25">
      <c r="A21960" t="str">
        <f>"3060962"</f>
        <v>3060962</v>
      </c>
      <c r="B21960" t="s">
        <v>66602</v>
      </c>
      <c r="C21960" t="str">
        <f>"8315787"</f>
        <v>8315787</v>
      </c>
      <c r="D21960" t="s">
        <v>66603</v>
      </c>
      <c r="F21960" t="s">
        <v>66604</v>
      </c>
      <c r="I21960" t="s">
        <v>2071</v>
      </c>
      <c r="J21960" t="s">
        <v>30</v>
      </c>
      <c r="K21960" t="s">
        <v>37473</v>
      </c>
      <c r="M21960" t="s">
        <v>50793</v>
      </c>
      <c r="N21960" t="str">
        <f>"2/19/2024 9:57:00 AM"</f>
        <v>2/19/2024 9:57:00 AM</v>
      </c>
      <c r="O21960" t="s">
        <v>66603</v>
      </c>
    </row>
    <row r="21961" spans="1:20" x14ac:dyDescent="0.25">
      <c r="A21961" t="str">
        <f>"3059205"</f>
        <v>3059205</v>
      </c>
      <c r="B21961" t="s">
        <v>66605</v>
      </c>
      <c r="C21961" t="str">
        <f>"8319391"</f>
        <v>8319391</v>
      </c>
      <c r="D21961" t="s">
        <v>66606</v>
      </c>
      <c r="F21961" t="s">
        <v>66607</v>
      </c>
      <c r="I21961" t="s">
        <v>1149</v>
      </c>
      <c r="J21961" t="s">
        <v>30</v>
      </c>
      <c r="K21961" t="str">
        <f>"28634"</f>
        <v>28634</v>
      </c>
      <c r="M21961" t="s">
        <v>50793</v>
      </c>
      <c r="N21961" t="str">
        <f>"2/16/2024 1:30:00 PM"</f>
        <v>2/16/2024 1:30:00 PM</v>
      </c>
      <c r="O21961" t="s">
        <v>66606</v>
      </c>
    </row>
    <row r="21962" spans="1:20" x14ac:dyDescent="0.25">
      <c r="A21962" t="str">
        <f>"3042918"</f>
        <v>3042918</v>
      </c>
      <c r="B21962" t="s">
        <v>66608</v>
      </c>
      <c r="C21962" t="str">
        <f>"75832000"</f>
        <v>75832000</v>
      </c>
      <c r="D21962" t="s">
        <v>66609</v>
      </c>
      <c r="F21962" t="s">
        <v>66610</v>
      </c>
      <c r="I21962" t="s">
        <v>29</v>
      </c>
      <c r="J21962" t="s">
        <v>30</v>
      </c>
      <c r="K21962" t="s">
        <v>7026</v>
      </c>
      <c r="M21962" t="s">
        <v>50793</v>
      </c>
      <c r="N21962" t="str">
        <f>"2/19/2024 10:00:00 AM"</f>
        <v>2/19/2024 10:00:00 AM</v>
      </c>
      <c r="O21962" t="s">
        <v>66609</v>
      </c>
    </row>
    <row r="21963" spans="1:20" x14ac:dyDescent="0.25">
      <c r="A21963" t="str">
        <f>"3037402"</f>
        <v>3037402</v>
      </c>
      <c r="B21963" t="s">
        <v>66611</v>
      </c>
      <c r="C21963" t="str">
        <f>"8300575"</f>
        <v>8300575</v>
      </c>
      <c r="D21963" t="s">
        <v>66612</v>
      </c>
      <c r="F21963" t="s">
        <v>66613</v>
      </c>
      <c r="I21963" t="s">
        <v>184</v>
      </c>
      <c r="J21963" t="s">
        <v>30</v>
      </c>
      <c r="K21963" t="str">
        <f>"27006"</f>
        <v>27006</v>
      </c>
      <c r="M21963" t="s">
        <v>50793</v>
      </c>
      <c r="N21963" t="str">
        <f>"2/19/2024 10:03:00 AM"</f>
        <v>2/19/2024 10:03:00 AM</v>
      </c>
      <c r="O21963" t="s">
        <v>66612</v>
      </c>
    </row>
    <row r="21964" spans="1:20" x14ac:dyDescent="0.25">
      <c r="A21964" t="str">
        <f>"3039047"</f>
        <v>3039047</v>
      </c>
      <c r="B21964" t="s">
        <v>66614</v>
      </c>
      <c r="C21964" t="str">
        <f>"82522379"</f>
        <v>82522379</v>
      </c>
      <c r="D21964" t="s">
        <v>22621</v>
      </c>
      <c r="F21964" t="s">
        <v>66615</v>
      </c>
      <c r="I21964" t="s">
        <v>29</v>
      </c>
      <c r="J21964" t="s">
        <v>30</v>
      </c>
      <c r="K21964" t="s">
        <v>31</v>
      </c>
      <c r="M21964" t="s">
        <v>50793</v>
      </c>
      <c r="N21964" t="str">
        <f>"2/19/2024 10:03:00 AM"</f>
        <v>2/19/2024 10:03:00 AM</v>
      </c>
      <c r="O21964" t="s">
        <v>22621</v>
      </c>
    </row>
    <row r="21965" spans="1:20" x14ac:dyDescent="0.25">
      <c r="A21965" t="str">
        <f>"3055391"</f>
        <v>3055391</v>
      </c>
      <c r="B21965" t="s">
        <v>66616</v>
      </c>
      <c r="C21965" t="str">
        <f>"82532843"</f>
        <v>82532843</v>
      </c>
      <c r="D21965" t="s">
        <v>66617</v>
      </c>
      <c r="F21965" t="s">
        <v>66618</v>
      </c>
      <c r="I21965" t="s">
        <v>29</v>
      </c>
      <c r="J21965" t="s">
        <v>30</v>
      </c>
      <c r="K21965" t="s">
        <v>66619</v>
      </c>
      <c r="M21965" t="s">
        <v>50621</v>
      </c>
      <c r="N21965" t="str">
        <f>"2/20/2024 11:19:00 AM"</f>
        <v>2/20/2024 11:19:00 AM</v>
      </c>
      <c r="O21965" t="s">
        <v>66617</v>
      </c>
    </row>
    <row r="21966" spans="1:20" x14ac:dyDescent="0.25">
      <c r="A21966" t="str">
        <f>"3104512"</f>
        <v>3104512</v>
      </c>
      <c r="B21966" t="s">
        <v>66620</v>
      </c>
      <c r="C21966" t="str">
        <f>"8305206"</f>
        <v>8305206</v>
      </c>
      <c r="D21966" t="s">
        <v>66621</v>
      </c>
      <c r="F21966" t="s">
        <v>66618</v>
      </c>
      <c r="I21966" t="s">
        <v>29</v>
      </c>
      <c r="J21966" t="s">
        <v>30</v>
      </c>
      <c r="K21966" t="s">
        <v>66619</v>
      </c>
      <c r="M21966" t="s">
        <v>50621</v>
      </c>
      <c r="N21966" t="str">
        <f>"2/20/2024 11:20:00 AM"</f>
        <v>2/20/2024 11:20:00 AM</v>
      </c>
      <c r="O21966" t="s">
        <v>66621</v>
      </c>
    </row>
    <row r="21967" spans="1:20" x14ac:dyDescent="0.25">
      <c r="A21967" t="str">
        <f>"3078914"</f>
        <v>3078914</v>
      </c>
      <c r="B21967" t="s">
        <v>66622</v>
      </c>
      <c r="C21967" t="str">
        <f>"82519194"</f>
        <v>82519194</v>
      </c>
      <c r="D21967" t="s">
        <v>66623</v>
      </c>
      <c r="F21967" t="s">
        <v>66624</v>
      </c>
      <c r="I21967" t="s">
        <v>184</v>
      </c>
      <c r="J21967" t="s">
        <v>30</v>
      </c>
      <c r="K21967" t="s">
        <v>6285</v>
      </c>
      <c r="M21967" t="s">
        <v>52111</v>
      </c>
      <c r="N21967" t="str">
        <f>"2/20/2024 1:59:00 PM"</f>
        <v>2/20/2024 1:59:00 PM</v>
      </c>
      <c r="O21967" t="s">
        <v>66623</v>
      </c>
    </row>
    <row r="21968" spans="1:20" x14ac:dyDescent="0.25">
      <c r="A21968" t="str">
        <f>"3045032"</f>
        <v>3045032</v>
      </c>
      <c r="B21968" t="s">
        <v>66625</v>
      </c>
      <c r="C21968" t="str">
        <f>"8300251"</f>
        <v>8300251</v>
      </c>
      <c r="D21968" t="s">
        <v>66626</v>
      </c>
      <c r="F21968" t="s">
        <v>66627</v>
      </c>
      <c r="I21968" t="s">
        <v>2280</v>
      </c>
      <c r="J21968" t="s">
        <v>30</v>
      </c>
      <c r="K21968" t="s">
        <v>66628</v>
      </c>
      <c r="M21968" t="s">
        <v>51351</v>
      </c>
      <c r="N21968" t="str">
        <f>"2/20/2024 3:50:00 PM"</f>
        <v>2/20/2024 3:50:00 PM</v>
      </c>
      <c r="O21968" t="s">
        <v>66626</v>
      </c>
    </row>
    <row r="21969" spans="1:15" x14ac:dyDescent="0.25">
      <c r="A21969" t="str">
        <f>"3052848"</f>
        <v>3052848</v>
      </c>
      <c r="B21969" t="s">
        <v>66629</v>
      </c>
      <c r="C21969" t="str">
        <f>"8321944"</f>
        <v>8321944</v>
      </c>
      <c r="D21969" t="s">
        <v>66630</v>
      </c>
      <c r="F21969" t="s">
        <v>66631</v>
      </c>
      <c r="I21969" t="s">
        <v>29</v>
      </c>
      <c r="J21969" t="s">
        <v>30</v>
      </c>
      <c r="K21969" t="s">
        <v>33464</v>
      </c>
      <c r="M21969" t="s">
        <v>50500</v>
      </c>
      <c r="N21969" t="str">
        <f>"2/21/2024 8:12:00 AM"</f>
        <v>2/21/2024 8:12:00 AM</v>
      </c>
      <c r="O21969" t="s">
        <v>66630</v>
      </c>
    </row>
    <row r="21970" spans="1:15" x14ac:dyDescent="0.25">
      <c r="A21970" t="str">
        <f>"3057405"</f>
        <v>3057405</v>
      </c>
      <c r="B21970" t="s">
        <v>66632</v>
      </c>
      <c r="C21970" t="str">
        <f t="shared" ref="C21970:C21990" si="343">"8320289"</f>
        <v>8320289</v>
      </c>
      <c r="D21970" t="s">
        <v>49148</v>
      </c>
      <c r="F21970" t="s">
        <v>36687</v>
      </c>
      <c r="I21970" t="s">
        <v>2525</v>
      </c>
      <c r="J21970" t="s">
        <v>30</v>
      </c>
      <c r="K21970" t="s">
        <v>36688</v>
      </c>
      <c r="M21970" t="s">
        <v>50500</v>
      </c>
      <c r="N21970" t="str">
        <f t="shared" ref="N21970:N21990" si="344">"2/21/2024 9:44:00 AM"</f>
        <v>2/21/2024 9:44:00 AM</v>
      </c>
      <c r="O21970" t="s">
        <v>49148</v>
      </c>
    </row>
    <row r="21971" spans="1:15" x14ac:dyDescent="0.25">
      <c r="A21971" t="str">
        <f>"3058962"</f>
        <v>3058962</v>
      </c>
      <c r="B21971" t="s">
        <v>66633</v>
      </c>
      <c r="C21971" t="str">
        <f t="shared" si="343"/>
        <v>8320289</v>
      </c>
      <c r="D21971" t="s">
        <v>49148</v>
      </c>
      <c r="F21971" t="s">
        <v>36687</v>
      </c>
      <c r="I21971" t="s">
        <v>2525</v>
      </c>
      <c r="J21971" t="s">
        <v>30</v>
      </c>
      <c r="K21971" t="s">
        <v>36688</v>
      </c>
      <c r="M21971" t="s">
        <v>50500</v>
      </c>
      <c r="N21971" t="str">
        <f t="shared" si="344"/>
        <v>2/21/2024 9:44:00 AM</v>
      </c>
      <c r="O21971" t="s">
        <v>49148</v>
      </c>
    </row>
    <row r="21972" spans="1:15" x14ac:dyDescent="0.25">
      <c r="A21972" t="str">
        <f>"3058963"</f>
        <v>3058963</v>
      </c>
      <c r="B21972" t="s">
        <v>66634</v>
      </c>
      <c r="C21972" t="str">
        <f t="shared" si="343"/>
        <v>8320289</v>
      </c>
      <c r="D21972" t="s">
        <v>49148</v>
      </c>
      <c r="F21972" t="s">
        <v>36687</v>
      </c>
      <c r="I21972" t="s">
        <v>2525</v>
      </c>
      <c r="J21972" t="s">
        <v>30</v>
      </c>
      <c r="K21972" t="s">
        <v>36688</v>
      </c>
      <c r="M21972" t="s">
        <v>50500</v>
      </c>
      <c r="N21972" t="str">
        <f t="shared" si="344"/>
        <v>2/21/2024 9:44:00 AM</v>
      </c>
      <c r="O21972" t="s">
        <v>49148</v>
      </c>
    </row>
    <row r="21973" spans="1:15" x14ac:dyDescent="0.25">
      <c r="A21973" t="str">
        <f>"3058752"</f>
        <v>3058752</v>
      </c>
      <c r="B21973" t="s">
        <v>66635</v>
      </c>
      <c r="C21973" t="str">
        <f t="shared" si="343"/>
        <v>8320289</v>
      </c>
      <c r="D21973" t="s">
        <v>49148</v>
      </c>
      <c r="F21973" t="s">
        <v>36687</v>
      </c>
      <c r="I21973" t="s">
        <v>2525</v>
      </c>
      <c r="J21973" t="s">
        <v>30</v>
      </c>
      <c r="K21973" t="s">
        <v>36688</v>
      </c>
      <c r="M21973" t="s">
        <v>50500</v>
      </c>
      <c r="N21973" t="str">
        <f t="shared" si="344"/>
        <v>2/21/2024 9:44:00 AM</v>
      </c>
      <c r="O21973" t="s">
        <v>49148</v>
      </c>
    </row>
    <row r="21974" spans="1:15" x14ac:dyDescent="0.25">
      <c r="A21974" t="str">
        <f>"3058753"</f>
        <v>3058753</v>
      </c>
      <c r="B21974" t="s">
        <v>66636</v>
      </c>
      <c r="C21974" t="str">
        <f t="shared" si="343"/>
        <v>8320289</v>
      </c>
      <c r="D21974" t="s">
        <v>49148</v>
      </c>
      <c r="F21974" t="s">
        <v>36687</v>
      </c>
      <c r="I21974" t="s">
        <v>2525</v>
      </c>
      <c r="J21974" t="s">
        <v>30</v>
      </c>
      <c r="K21974" t="s">
        <v>36688</v>
      </c>
      <c r="M21974" t="s">
        <v>50500</v>
      </c>
      <c r="N21974" t="str">
        <f t="shared" si="344"/>
        <v>2/21/2024 9:44:00 AM</v>
      </c>
      <c r="O21974" t="s">
        <v>49148</v>
      </c>
    </row>
    <row r="21975" spans="1:15" x14ac:dyDescent="0.25">
      <c r="A21975" t="str">
        <f>"3058754"</f>
        <v>3058754</v>
      </c>
      <c r="B21975" t="s">
        <v>66637</v>
      </c>
      <c r="C21975" t="str">
        <f t="shared" si="343"/>
        <v>8320289</v>
      </c>
      <c r="D21975" t="s">
        <v>49148</v>
      </c>
      <c r="F21975" t="s">
        <v>36687</v>
      </c>
      <c r="I21975" t="s">
        <v>2525</v>
      </c>
      <c r="J21975" t="s">
        <v>30</v>
      </c>
      <c r="K21975" t="s">
        <v>36688</v>
      </c>
      <c r="M21975" t="s">
        <v>50500</v>
      </c>
      <c r="N21975" t="str">
        <f t="shared" si="344"/>
        <v>2/21/2024 9:44:00 AM</v>
      </c>
      <c r="O21975" t="s">
        <v>49148</v>
      </c>
    </row>
    <row r="21976" spans="1:15" x14ac:dyDescent="0.25">
      <c r="A21976" t="str">
        <f>"3058755"</f>
        <v>3058755</v>
      </c>
      <c r="B21976" t="s">
        <v>66638</v>
      </c>
      <c r="C21976" t="str">
        <f t="shared" si="343"/>
        <v>8320289</v>
      </c>
      <c r="D21976" t="s">
        <v>49148</v>
      </c>
      <c r="F21976" t="s">
        <v>36687</v>
      </c>
      <c r="I21976" t="s">
        <v>2525</v>
      </c>
      <c r="J21976" t="s">
        <v>30</v>
      </c>
      <c r="K21976" t="s">
        <v>36688</v>
      </c>
      <c r="M21976" t="s">
        <v>50500</v>
      </c>
      <c r="N21976" t="str">
        <f t="shared" si="344"/>
        <v>2/21/2024 9:44:00 AM</v>
      </c>
      <c r="O21976" t="s">
        <v>49148</v>
      </c>
    </row>
    <row r="21977" spans="1:15" x14ac:dyDescent="0.25">
      <c r="A21977" t="str">
        <f>"3058756"</f>
        <v>3058756</v>
      </c>
      <c r="B21977" t="s">
        <v>66639</v>
      </c>
      <c r="C21977" t="str">
        <f t="shared" si="343"/>
        <v>8320289</v>
      </c>
      <c r="D21977" t="s">
        <v>49148</v>
      </c>
      <c r="F21977" t="s">
        <v>36687</v>
      </c>
      <c r="I21977" t="s">
        <v>2525</v>
      </c>
      <c r="J21977" t="s">
        <v>30</v>
      </c>
      <c r="K21977" t="s">
        <v>36688</v>
      </c>
      <c r="M21977" t="s">
        <v>50500</v>
      </c>
      <c r="N21977" t="str">
        <f t="shared" si="344"/>
        <v>2/21/2024 9:44:00 AM</v>
      </c>
      <c r="O21977" t="s">
        <v>49148</v>
      </c>
    </row>
    <row r="21978" spans="1:15" x14ac:dyDescent="0.25">
      <c r="A21978" t="str">
        <f>"3058731"</f>
        <v>3058731</v>
      </c>
      <c r="B21978" t="s">
        <v>66640</v>
      </c>
      <c r="C21978" t="str">
        <f t="shared" si="343"/>
        <v>8320289</v>
      </c>
      <c r="D21978" t="s">
        <v>49148</v>
      </c>
      <c r="F21978" t="s">
        <v>36687</v>
      </c>
      <c r="I21978" t="s">
        <v>2525</v>
      </c>
      <c r="J21978" t="s">
        <v>30</v>
      </c>
      <c r="K21978" t="s">
        <v>36688</v>
      </c>
      <c r="M21978" t="s">
        <v>50500</v>
      </c>
      <c r="N21978" t="str">
        <f t="shared" si="344"/>
        <v>2/21/2024 9:44:00 AM</v>
      </c>
      <c r="O21978" t="s">
        <v>49148</v>
      </c>
    </row>
    <row r="21979" spans="1:15" x14ac:dyDescent="0.25">
      <c r="A21979" t="str">
        <f>"3058726"</f>
        <v>3058726</v>
      </c>
      <c r="B21979" t="s">
        <v>66641</v>
      </c>
      <c r="C21979" t="str">
        <f t="shared" si="343"/>
        <v>8320289</v>
      </c>
      <c r="D21979" t="s">
        <v>49148</v>
      </c>
      <c r="F21979" t="s">
        <v>36687</v>
      </c>
      <c r="I21979" t="s">
        <v>2525</v>
      </c>
      <c r="J21979" t="s">
        <v>30</v>
      </c>
      <c r="K21979" t="s">
        <v>36688</v>
      </c>
      <c r="M21979" t="s">
        <v>50500</v>
      </c>
      <c r="N21979" t="str">
        <f t="shared" si="344"/>
        <v>2/21/2024 9:44:00 AM</v>
      </c>
      <c r="O21979" t="s">
        <v>49148</v>
      </c>
    </row>
    <row r="21980" spans="1:15" x14ac:dyDescent="0.25">
      <c r="A21980" t="str">
        <f>"3058727"</f>
        <v>3058727</v>
      </c>
      <c r="B21980" t="s">
        <v>66642</v>
      </c>
      <c r="C21980" t="str">
        <f t="shared" si="343"/>
        <v>8320289</v>
      </c>
      <c r="D21980" t="s">
        <v>49148</v>
      </c>
      <c r="F21980" t="s">
        <v>36687</v>
      </c>
      <c r="I21980" t="s">
        <v>2525</v>
      </c>
      <c r="J21980" t="s">
        <v>30</v>
      </c>
      <c r="K21980" t="s">
        <v>36688</v>
      </c>
      <c r="M21980" t="s">
        <v>50500</v>
      </c>
      <c r="N21980" t="str">
        <f t="shared" si="344"/>
        <v>2/21/2024 9:44:00 AM</v>
      </c>
      <c r="O21980" t="s">
        <v>49148</v>
      </c>
    </row>
    <row r="21981" spans="1:15" x14ac:dyDescent="0.25">
      <c r="A21981" t="str">
        <f>"3058655"</f>
        <v>3058655</v>
      </c>
      <c r="B21981" t="s">
        <v>66643</v>
      </c>
      <c r="C21981" t="str">
        <f t="shared" si="343"/>
        <v>8320289</v>
      </c>
      <c r="D21981" t="s">
        <v>49148</v>
      </c>
      <c r="F21981" t="s">
        <v>36687</v>
      </c>
      <c r="I21981" t="s">
        <v>2525</v>
      </c>
      <c r="J21981" t="s">
        <v>30</v>
      </c>
      <c r="K21981" t="s">
        <v>36688</v>
      </c>
      <c r="M21981" t="s">
        <v>50500</v>
      </c>
      <c r="N21981" t="str">
        <f t="shared" si="344"/>
        <v>2/21/2024 9:44:00 AM</v>
      </c>
      <c r="O21981" t="s">
        <v>49148</v>
      </c>
    </row>
    <row r="21982" spans="1:15" x14ac:dyDescent="0.25">
      <c r="A21982" t="str">
        <f>"3058656"</f>
        <v>3058656</v>
      </c>
      <c r="B21982" t="s">
        <v>66644</v>
      </c>
      <c r="C21982" t="str">
        <f t="shared" si="343"/>
        <v>8320289</v>
      </c>
      <c r="D21982" t="s">
        <v>49148</v>
      </c>
      <c r="F21982" t="s">
        <v>36687</v>
      </c>
      <c r="I21982" t="s">
        <v>2525</v>
      </c>
      <c r="J21982" t="s">
        <v>30</v>
      </c>
      <c r="K21982" t="s">
        <v>36688</v>
      </c>
      <c r="M21982" t="s">
        <v>50500</v>
      </c>
      <c r="N21982" t="str">
        <f t="shared" si="344"/>
        <v>2/21/2024 9:44:00 AM</v>
      </c>
      <c r="O21982" t="s">
        <v>49148</v>
      </c>
    </row>
    <row r="21983" spans="1:15" x14ac:dyDescent="0.25">
      <c r="A21983" t="str">
        <f>"3058654"</f>
        <v>3058654</v>
      </c>
      <c r="B21983" t="s">
        <v>66645</v>
      </c>
      <c r="C21983" t="str">
        <f t="shared" si="343"/>
        <v>8320289</v>
      </c>
      <c r="D21983" t="s">
        <v>49148</v>
      </c>
      <c r="F21983" t="s">
        <v>36687</v>
      </c>
      <c r="I21983" t="s">
        <v>2525</v>
      </c>
      <c r="J21983" t="s">
        <v>30</v>
      </c>
      <c r="K21983" t="s">
        <v>36688</v>
      </c>
      <c r="M21983" t="s">
        <v>50500</v>
      </c>
      <c r="N21983" t="str">
        <f t="shared" si="344"/>
        <v>2/21/2024 9:44:00 AM</v>
      </c>
      <c r="O21983" t="s">
        <v>49148</v>
      </c>
    </row>
    <row r="21984" spans="1:15" x14ac:dyDescent="0.25">
      <c r="A21984" t="str">
        <f>"3058691"</f>
        <v>3058691</v>
      </c>
      <c r="B21984" t="s">
        <v>66646</v>
      </c>
      <c r="C21984" t="str">
        <f t="shared" si="343"/>
        <v>8320289</v>
      </c>
      <c r="D21984" t="s">
        <v>49148</v>
      </c>
      <c r="F21984" t="s">
        <v>36687</v>
      </c>
      <c r="I21984" t="s">
        <v>2525</v>
      </c>
      <c r="J21984" t="s">
        <v>30</v>
      </c>
      <c r="K21984" t="s">
        <v>36688</v>
      </c>
      <c r="M21984" t="s">
        <v>50500</v>
      </c>
      <c r="N21984" t="str">
        <f t="shared" si="344"/>
        <v>2/21/2024 9:44:00 AM</v>
      </c>
      <c r="O21984" t="s">
        <v>49148</v>
      </c>
    </row>
    <row r="21985" spans="1:20" x14ac:dyDescent="0.25">
      <c r="A21985" t="str">
        <f>"3058688"</f>
        <v>3058688</v>
      </c>
      <c r="B21985" t="s">
        <v>66647</v>
      </c>
      <c r="C21985" t="str">
        <f t="shared" si="343"/>
        <v>8320289</v>
      </c>
      <c r="D21985" t="s">
        <v>49148</v>
      </c>
      <c r="F21985" t="s">
        <v>36687</v>
      </c>
      <c r="I21985" t="s">
        <v>2525</v>
      </c>
      <c r="J21985" t="s">
        <v>30</v>
      </c>
      <c r="K21985" t="s">
        <v>36688</v>
      </c>
      <c r="M21985" t="s">
        <v>50500</v>
      </c>
      <c r="N21985" t="str">
        <f t="shared" si="344"/>
        <v>2/21/2024 9:44:00 AM</v>
      </c>
      <c r="O21985" t="s">
        <v>49148</v>
      </c>
    </row>
    <row r="21986" spans="1:20" x14ac:dyDescent="0.25">
      <c r="A21986" t="str">
        <f>"3058694"</f>
        <v>3058694</v>
      </c>
      <c r="B21986" t="s">
        <v>66648</v>
      </c>
      <c r="C21986" t="str">
        <f t="shared" si="343"/>
        <v>8320289</v>
      </c>
      <c r="D21986" t="s">
        <v>49148</v>
      </c>
      <c r="F21986" t="s">
        <v>36687</v>
      </c>
      <c r="I21986" t="s">
        <v>2525</v>
      </c>
      <c r="J21986" t="s">
        <v>30</v>
      </c>
      <c r="K21986" t="s">
        <v>36688</v>
      </c>
      <c r="M21986" t="s">
        <v>50500</v>
      </c>
      <c r="N21986" t="str">
        <f t="shared" si="344"/>
        <v>2/21/2024 9:44:00 AM</v>
      </c>
      <c r="O21986" t="s">
        <v>49148</v>
      </c>
    </row>
    <row r="21987" spans="1:20" x14ac:dyDescent="0.25">
      <c r="A21987" t="str">
        <f>"3058695"</f>
        <v>3058695</v>
      </c>
      <c r="B21987" t="s">
        <v>66649</v>
      </c>
      <c r="C21987" t="str">
        <f t="shared" si="343"/>
        <v>8320289</v>
      </c>
      <c r="D21987" t="s">
        <v>49148</v>
      </c>
      <c r="F21987" t="s">
        <v>36687</v>
      </c>
      <c r="I21987" t="s">
        <v>2525</v>
      </c>
      <c r="J21987" t="s">
        <v>30</v>
      </c>
      <c r="K21987" t="s">
        <v>36688</v>
      </c>
      <c r="M21987" t="s">
        <v>50500</v>
      </c>
      <c r="N21987" t="str">
        <f t="shared" si="344"/>
        <v>2/21/2024 9:44:00 AM</v>
      </c>
      <c r="O21987" t="s">
        <v>49148</v>
      </c>
    </row>
    <row r="21988" spans="1:20" x14ac:dyDescent="0.25">
      <c r="A21988" t="str">
        <f>"3058687"</f>
        <v>3058687</v>
      </c>
      <c r="B21988" t="s">
        <v>66650</v>
      </c>
      <c r="C21988" t="str">
        <f t="shared" si="343"/>
        <v>8320289</v>
      </c>
      <c r="D21988" t="s">
        <v>49148</v>
      </c>
      <c r="F21988" t="s">
        <v>36687</v>
      </c>
      <c r="I21988" t="s">
        <v>2525</v>
      </c>
      <c r="J21988" t="s">
        <v>30</v>
      </c>
      <c r="K21988" t="s">
        <v>36688</v>
      </c>
      <c r="M21988" t="s">
        <v>50500</v>
      </c>
      <c r="N21988" t="str">
        <f t="shared" si="344"/>
        <v>2/21/2024 9:44:00 AM</v>
      </c>
      <c r="O21988" t="s">
        <v>49148</v>
      </c>
    </row>
    <row r="21989" spans="1:20" x14ac:dyDescent="0.25">
      <c r="A21989" t="str">
        <f>"3058672"</f>
        <v>3058672</v>
      </c>
      <c r="B21989" t="s">
        <v>66651</v>
      </c>
      <c r="C21989" t="str">
        <f t="shared" si="343"/>
        <v>8320289</v>
      </c>
      <c r="D21989" t="s">
        <v>49148</v>
      </c>
      <c r="F21989" t="s">
        <v>36687</v>
      </c>
      <c r="I21989" t="s">
        <v>2525</v>
      </c>
      <c r="J21989" t="s">
        <v>30</v>
      </c>
      <c r="K21989" t="s">
        <v>36688</v>
      </c>
      <c r="M21989" t="s">
        <v>50500</v>
      </c>
      <c r="N21989" t="str">
        <f t="shared" si="344"/>
        <v>2/21/2024 9:44:00 AM</v>
      </c>
      <c r="O21989" t="s">
        <v>49148</v>
      </c>
    </row>
    <row r="21990" spans="1:20" x14ac:dyDescent="0.25">
      <c r="A21990" t="str">
        <f>"3058673"</f>
        <v>3058673</v>
      </c>
      <c r="B21990" t="s">
        <v>66652</v>
      </c>
      <c r="C21990" t="str">
        <f t="shared" si="343"/>
        <v>8320289</v>
      </c>
      <c r="D21990" t="s">
        <v>49148</v>
      </c>
      <c r="F21990" t="s">
        <v>36687</v>
      </c>
      <c r="I21990" t="s">
        <v>2525</v>
      </c>
      <c r="J21990" t="s">
        <v>30</v>
      </c>
      <c r="K21990" t="s">
        <v>36688</v>
      </c>
      <c r="M21990" t="s">
        <v>50500</v>
      </c>
      <c r="N21990" t="str">
        <f t="shared" si="344"/>
        <v>2/21/2024 9:44:00 AM</v>
      </c>
      <c r="O21990" t="s">
        <v>49148</v>
      </c>
    </row>
    <row r="21991" spans="1:20" x14ac:dyDescent="0.25">
      <c r="A21991" t="str">
        <f>"3047362"</f>
        <v>3047362</v>
      </c>
      <c r="B21991" t="s">
        <v>66653</v>
      </c>
      <c r="C21991" t="str">
        <f>"8321946"</f>
        <v>8321946</v>
      </c>
      <c r="D21991" t="s">
        <v>66654</v>
      </c>
      <c r="E21991" t="s">
        <v>12279</v>
      </c>
      <c r="F21991" t="s">
        <v>66655</v>
      </c>
      <c r="I21991" t="s">
        <v>184</v>
      </c>
      <c r="J21991" t="s">
        <v>30</v>
      </c>
      <c r="K21991" t="s">
        <v>7850</v>
      </c>
      <c r="M21991" t="s">
        <v>50500</v>
      </c>
      <c r="N21991" t="str">
        <f>"2/21/2024 11:56:00 AM"</f>
        <v>2/21/2024 11:56:00 AM</v>
      </c>
      <c r="O21991" t="s">
        <v>66654</v>
      </c>
      <c r="T21991" t="s">
        <v>12279</v>
      </c>
    </row>
    <row r="21992" spans="1:20" x14ac:dyDescent="0.25">
      <c r="A21992" t="str">
        <f>"3038715"</f>
        <v>3038715</v>
      </c>
      <c r="B21992" t="s">
        <v>66656</v>
      </c>
      <c r="C21992" t="str">
        <f>"8301450"</f>
        <v>8301450</v>
      </c>
      <c r="D21992" t="s">
        <v>66657</v>
      </c>
      <c r="F21992" t="s">
        <v>66658</v>
      </c>
      <c r="I21992" t="s">
        <v>29</v>
      </c>
      <c r="J21992" t="s">
        <v>30</v>
      </c>
      <c r="K21992" t="str">
        <f>"27028"</f>
        <v>27028</v>
      </c>
      <c r="M21992" t="s">
        <v>50793</v>
      </c>
      <c r="N21992" t="str">
        <f>"2/16/2024 1:32:00 PM"</f>
        <v>2/16/2024 1:32:00 PM</v>
      </c>
      <c r="O21992" t="s">
        <v>66657</v>
      </c>
    </row>
    <row r="21993" spans="1:20" x14ac:dyDescent="0.25">
      <c r="A21993" t="str">
        <f>"3053618"</f>
        <v>3053618</v>
      </c>
      <c r="B21993" t="s">
        <v>66659</v>
      </c>
      <c r="C21993" t="str">
        <f>"8321943"</f>
        <v>8321943</v>
      </c>
      <c r="D21993" t="s">
        <v>66660</v>
      </c>
      <c r="E21993" t="s">
        <v>66661</v>
      </c>
      <c r="F21993" t="s">
        <v>66662</v>
      </c>
      <c r="I21993" t="s">
        <v>184</v>
      </c>
      <c r="J21993" t="s">
        <v>30</v>
      </c>
      <c r="K21993" t="s">
        <v>15712</v>
      </c>
      <c r="M21993" t="s">
        <v>50500</v>
      </c>
      <c r="N21993" t="str">
        <f>"2/16/2024 2:57:00 PM"</f>
        <v>2/16/2024 2:57:00 PM</v>
      </c>
      <c r="O21993" t="s">
        <v>66660</v>
      </c>
      <c r="T21993" t="s">
        <v>66661</v>
      </c>
    </row>
    <row r="21994" spans="1:20" x14ac:dyDescent="0.25">
      <c r="A21994" t="str">
        <f>"3054111"</f>
        <v>3054111</v>
      </c>
      <c r="B21994" t="s">
        <v>66663</v>
      </c>
      <c r="C21994" t="str">
        <f>"82527184"</f>
        <v>82527184</v>
      </c>
      <c r="D21994" t="s">
        <v>66664</v>
      </c>
      <c r="E21994" t="s">
        <v>66665</v>
      </c>
      <c r="F21994" t="s">
        <v>66666</v>
      </c>
      <c r="I21994" t="s">
        <v>29</v>
      </c>
      <c r="J21994" t="s">
        <v>30</v>
      </c>
      <c r="K21994" t="s">
        <v>31</v>
      </c>
      <c r="M21994" t="s">
        <v>18470</v>
      </c>
      <c r="N21994" t="str">
        <f>"2/16/2024 4:00:00 PM"</f>
        <v>2/16/2024 4:00:00 PM</v>
      </c>
      <c r="O21994" t="s">
        <v>66664</v>
      </c>
      <c r="T21994" t="s">
        <v>66665</v>
      </c>
    </row>
    <row r="21995" spans="1:20" x14ac:dyDescent="0.25">
      <c r="A21995" t="str">
        <f>"3046459"</f>
        <v>3046459</v>
      </c>
      <c r="B21995" t="s">
        <v>66667</v>
      </c>
      <c r="C21995" t="str">
        <f>"82527184"</f>
        <v>82527184</v>
      </c>
      <c r="D21995" t="s">
        <v>66664</v>
      </c>
      <c r="E21995" t="s">
        <v>66665</v>
      </c>
      <c r="F21995" t="s">
        <v>66666</v>
      </c>
      <c r="I21995" t="s">
        <v>29</v>
      </c>
      <c r="J21995" t="s">
        <v>30</v>
      </c>
      <c r="K21995" t="s">
        <v>31</v>
      </c>
      <c r="M21995" t="s">
        <v>18470</v>
      </c>
      <c r="N21995" t="str">
        <f>"2/16/2024 4:00:00 PM"</f>
        <v>2/16/2024 4:00:00 PM</v>
      </c>
      <c r="O21995" t="s">
        <v>66664</v>
      </c>
      <c r="T21995" t="s">
        <v>66665</v>
      </c>
    </row>
    <row r="21996" spans="1:20" x14ac:dyDescent="0.25">
      <c r="A21996" t="str">
        <f>"3046279"</f>
        <v>3046279</v>
      </c>
      <c r="B21996" t="s">
        <v>66668</v>
      </c>
      <c r="C21996" t="str">
        <f>"82527184"</f>
        <v>82527184</v>
      </c>
      <c r="D21996" t="s">
        <v>66664</v>
      </c>
      <c r="E21996" t="s">
        <v>66665</v>
      </c>
      <c r="F21996" t="s">
        <v>66666</v>
      </c>
      <c r="I21996" t="s">
        <v>29</v>
      </c>
      <c r="J21996" t="s">
        <v>30</v>
      </c>
      <c r="K21996" t="s">
        <v>31</v>
      </c>
      <c r="M21996" t="s">
        <v>18470</v>
      </c>
      <c r="N21996" t="str">
        <f>"2/16/2024 4:00:00 PM"</f>
        <v>2/16/2024 4:00:00 PM</v>
      </c>
      <c r="O21996" t="s">
        <v>66664</v>
      </c>
      <c r="T21996" t="s">
        <v>66665</v>
      </c>
    </row>
    <row r="21997" spans="1:20" x14ac:dyDescent="0.25">
      <c r="A21997" t="str">
        <f>"3045843"</f>
        <v>3045843</v>
      </c>
      <c r="B21997" t="s">
        <v>66669</v>
      </c>
      <c r="C21997" t="str">
        <f>"82527184"</f>
        <v>82527184</v>
      </c>
      <c r="D21997" t="s">
        <v>66664</v>
      </c>
      <c r="E21997" t="s">
        <v>66665</v>
      </c>
      <c r="F21997" t="s">
        <v>66666</v>
      </c>
      <c r="I21997" t="s">
        <v>29</v>
      </c>
      <c r="J21997" t="s">
        <v>30</v>
      </c>
      <c r="K21997" t="s">
        <v>31</v>
      </c>
      <c r="M21997" t="s">
        <v>18470</v>
      </c>
      <c r="N21997" t="str">
        <f>"2/16/2024 4:00:00 PM"</f>
        <v>2/16/2024 4:00:00 PM</v>
      </c>
      <c r="O21997" t="s">
        <v>66664</v>
      </c>
      <c r="T21997" t="s">
        <v>66665</v>
      </c>
    </row>
    <row r="21998" spans="1:20" x14ac:dyDescent="0.25">
      <c r="A21998" t="str">
        <f>"3059400"</f>
        <v>3059400</v>
      </c>
      <c r="B21998" t="s">
        <v>66670</v>
      </c>
      <c r="C21998" t="str">
        <f>"82527184"</f>
        <v>82527184</v>
      </c>
      <c r="D21998" t="s">
        <v>66664</v>
      </c>
      <c r="E21998" t="s">
        <v>66665</v>
      </c>
      <c r="F21998" t="s">
        <v>66666</v>
      </c>
      <c r="I21998" t="s">
        <v>29</v>
      </c>
      <c r="J21998" t="s">
        <v>30</v>
      </c>
      <c r="K21998" t="s">
        <v>31</v>
      </c>
      <c r="M21998" t="s">
        <v>18470</v>
      </c>
      <c r="N21998" t="str">
        <f>"2/16/2024 4:00:00 PM"</f>
        <v>2/16/2024 4:00:00 PM</v>
      </c>
      <c r="O21998" t="s">
        <v>66664</v>
      </c>
      <c r="T21998" t="s">
        <v>66665</v>
      </c>
    </row>
    <row r="21999" spans="1:20" x14ac:dyDescent="0.25">
      <c r="A21999" t="str">
        <f>"3047303"</f>
        <v>3047303</v>
      </c>
      <c r="B21999" t="s">
        <v>66671</v>
      </c>
      <c r="C21999" t="str">
        <f>"8308766"</f>
        <v>8308766</v>
      </c>
      <c r="D21999" t="s">
        <v>66672</v>
      </c>
      <c r="E21999" t="s">
        <v>66673</v>
      </c>
      <c r="F21999" t="s">
        <v>66674</v>
      </c>
      <c r="I21999" t="s">
        <v>184</v>
      </c>
      <c r="J21999" t="s">
        <v>30</v>
      </c>
      <c r="K21999" t="s">
        <v>8970</v>
      </c>
      <c r="M21999" t="s">
        <v>50793</v>
      </c>
      <c r="N21999" t="str">
        <f>"2/19/2024 8:48:00 AM"</f>
        <v>2/19/2024 8:48:00 AM</v>
      </c>
      <c r="O21999" t="s">
        <v>66672</v>
      </c>
      <c r="T21999" t="s">
        <v>66673</v>
      </c>
    </row>
    <row r="22000" spans="1:20" x14ac:dyDescent="0.25">
      <c r="A22000" t="str">
        <f>"3054428"</f>
        <v>3054428</v>
      </c>
      <c r="B22000" t="s">
        <v>66675</v>
      </c>
      <c r="C22000" t="str">
        <f>"82521931"</f>
        <v>82521931</v>
      </c>
      <c r="D22000" t="s">
        <v>66676</v>
      </c>
      <c r="E22000" t="s">
        <v>15881</v>
      </c>
      <c r="F22000" t="s">
        <v>15882</v>
      </c>
      <c r="I22000" t="s">
        <v>9580</v>
      </c>
      <c r="J22000" t="s">
        <v>30</v>
      </c>
      <c r="K22000" t="s">
        <v>9581</v>
      </c>
      <c r="M22000" t="s">
        <v>50793</v>
      </c>
      <c r="N22000" t="str">
        <f>"2/19/2024 9:02:00 AM"</f>
        <v>2/19/2024 9:02:00 AM</v>
      </c>
      <c r="O22000" t="s">
        <v>66676</v>
      </c>
      <c r="T22000" t="s">
        <v>15881</v>
      </c>
    </row>
    <row r="22001" spans="1:20" x14ac:dyDescent="0.25">
      <c r="A22001" t="str">
        <f>"3059820"</f>
        <v>3059820</v>
      </c>
      <c r="B22001" t="s">
        <v>66677</v>
      </c>
      <c r="C22001" t="str">
        <f>"80126000"</f>
        <v>80126000</v>
      </c>
      <c r="D22001" t="s">
        <v>66678</v>
      </c>
      <c r="F22001" t="s">
        <v>66679</v>
      </c>
      <c r="I22001" t="s">
        <v>9580</v>
      </c>
      <c r="J22001" t="s">
        <v>30</v>
      </c>
      <c r="K22001" t="s">
        <v>66680</v>
      </c>
      <c r="M22001" t="s">
        <v>50621</v>
      </c>
      <c r="N22001" t="str">
        <f>"2/16/2024 12:53:00 PM"</f>
        <v>2/16/2024 12:53:00 PM</v>
      </c>
      <c r="O22001" t="s">
        <v>66678</v>
      </c>
    </row>
    <row r="22002" spans="1:20" x14ac:dyDescent="0.25">
      <c r="A22002" t="str">
        <f>"3078931"</f>
        <v>3078931</v>
      </c>
      <c r="B22002" t="s">
        <v>66681</v>
      </c>
      <c r="C22002" t="str">
        <f>"8319177"</f>
        <v>8319177</v>
      </c>
      <c r="D22002" t="s">
        <v>66682</v>
      </c>
      <c r="F22002" t="s">
        <v>66683</v>
      </c>
      <c r="I22002" t="s">
        <v>29</v>
      </c>
      <c r="J22002" t="s">
        <v>30</v>
      </c>
      <c r="K22002" t="s">
        <v>10915</v>
      </c>
      <c r="M22002" t="s">
        <v>50621</v>
      </c>
      <c r="N22002" t="str">
        <f>"2/16/2024 12:51:00 PM"</f>
        <v>2/16/2024 12:51:00 PM</v>
      </c>
      <c r="O22002" t="s">
        <v>66682</v>
      </c>
    </row>
    <row r="22003" spans="1:20" x14ac:dyDescent="0.25">
      <c r="A22003" t="str">
        <f>"3042298"</f>
        <v>3042298</v>
      </c>
      <c r="B22003" t="s">
        <v>66684</v>
      </c>
      <c r="C22003" t="str">
        <f>"8304772"</f>
        <v>8304772</v>
      </c>
      <c r="D22003" t="s">
        <v>64082</v>
      </c>
      <c r="F22003" t="s">
        <v>66685</v>
      </c>
      <c r="I22003" t="s">
        <v>37425</v>
      </c>
      <c r="J22003" t="s">
        <v>30</v>
      </c>
      <c r="K22003" t="s">
        <v>66686</v>
      </c>
      <c r="M22003" t="s">
        <v>50621</v>
      </c>
      <c r="N22003" t="str">
        <f>"2/26/2024 9:26:00 AM"</f>
        <v>2/26/2024 9:26:00 AM</v>
      </c>
      <c r="O22003" t="s">
        <v>64082</v>
      </c>
    </row>
    <row r="22004" spans="1:20" x14ac:dyDescent="0.25">
      <c r="A22004" t="str">
        <f>"3061998"</f>
        <v>3061998</v>
      </c>
      <c r="B22004" t="s">
        <v>66687</v>
      </c>
      <c r="C22004" t="str">
        <f>"8304772"</f>
        <v>8304772</v>
      </c>
      <c r="D22004" t="s">
        <v>64082</v>
      </c>
      <c r="F22004" t="s">
        <v>66685</v>
      </c>
      <c r="I22004" t="s">
        <v>37425</v>
      </c>
      <c r="J22004" t="s">
        <v>30</v>
      </c>
      <c r="K22004" t="s">
        <v>66686</v>
      </c>
      <c r="M22004" t="s">
        <v>50621</v>
      </c>
      <c r="N22004" t="str">
        <f>"2/26/2024 9:26:00 AM"</f>
        <v>2/26/2024 9:26:00 AM</v>
      </c>
      <c r="O22004" t="s">
        <v>64082</v>
      </c>
    </row>
    <row r="22005" spans="1:20" x14ac:dyDescent="0.25">
      <c r="A22005" t="str">
        <f>"3063829"</f>
        <v>3063829</v>
      </c>
      <c r="B22005" t="s">
        <v>66688</v>
      </c>
      <c r="C22005" t="str">
        <f>"8304772"</f>
        <v>8304772</v>
      </c>
      <c r="D22005" t="s">
        <v>64082</v>
      </c>
      <c r="F22005" t="s">
        <v>66685</v>
      </c>
      <c r="I22005" t="s">
        <v>37425</v>
      </c>
      <c r="J22005" t="s">
        <v>30</v>
      </c>
      <c r="K22005" t="s">
        <v>66686</v>
      </c>
      <c r="M22005" t="s">
        <v>50621</v>
      </c>
      <c r="N22005" t="str">
        <f>"2/26/2024 9:26:00 AM"</f>
        <v>2/26/2024 9:26:00 AM</v>
      </c>
      <c r="O22005" t="s">
        <v>64082</v>
      </c>
    </row>
    <row r="22006" spans="1:20" x14ac:dyDescent="0.25">
      <c r="A22006" t="str">
        <f>"3043500"</f>
        <v>3043500</v>
      </c>
      <c r="B22006" t="s">
        <v>66689</v>
      </c>
      <c r="C22006" t="str">
        <f>"8319386"</f>
        <v>8319386</v>
      </c>
      <c r="D22006" t="s">
        <v>66690</v>
      </c>
      <c r="E22006" t="s">
        <v>66691</v>
      </c>
      <c r="F22006" t="s">
        <v>66692</v>
      </c>
      <c r="I22006" t="s">
        <v>29</v>
      </c>
      <c r="J22006" t="s">
        <v>30</v>
      </c>
      <c r="K22006" t="s">
        <v>52239</v>
      </c>
      <c r="M22006" t="s">
        <v>50621</v>
      </c>
      <c r="N22006" t="str">
        <f>"2/26/2024 3:50:00 PM"</f>
        <v>2/26/2024 3:50:00 PM</v>
      </c>
      <c r="O22006" t="s">
        <v>66690</v>
      </c>
      <c r="T22006" t="s">
        <v>66691</v>
      </c>
    </row>
    <row r="22007" spans="1:20" x14ac:dyDescent="0.25">
      <c r="A22007" t="str">
        <f>"3055172"</f>
        <v>3055172</v>
      </c>
      <c r="B22007" t="s">
        <v>66693</v>
      </c>
      <c r="C22007" t="str">
        <f>"8319733"</f>
        <v>8319733</v>
      </c>
      <c r="D22007" t="s">
        <v>66694</v>
      </c>
      <c r="E22007" t="s">
        <v>66695</v>
      </c>
      <c r="F22007" t="s">
        <v>66696</v>
      </c>
      <c r="I22007" t="s">
        <v>29</v>
      </c>
      <c r="J22007" t="s">
        <v>30</v>
      </c>
      <c r="K22007" t="str">
        <f>"27028"</f>
        <v>27028</v>
      </c>
      <c r="M22007" t="s">
        <v>18470</v>
      </c>
      <c r="N22007" t="str">
        <f>"2/27/2024 12:19:00 PM"</f>
        <v>2/27/2024 12:19:00 PM</v>
      </c>
      <c r="O22007" t="s">
        <v>66694</v>
      </c>
      <c r="T22007" t="s">
        <v>66695</v>
      </c>
    </row>
    <row r="22008" spans="1:20" x14ac:dyDescent="0.25">
      <c r="A22008" t="str">
        <f>"3052185"</f>
        <v>3052185</v>
      </c>
      <c r="B22008" t="s">
        <v>66697</v>
      </c>
      <c r="C22008" t="str">
        <f>"8314549"</f>
        <v>8314549</v>
      </c>
      <c r="D22008" t="s">
        <v>66698</v>
      </c>
      <c r="F22008" t="s">
        <v>66699</v>
      </c>
      <c r="I22008" t="s">
        <v>29</v>
      </c>
      <c r="J22008" t="s">
        <v>30</v>
      </c>
      <c r="K22008" t="s">
        <v>11873</v>
      </c>
      <c r="M22008" t="s">
        <v>50621</v>
      </c>
      <c r="N22008" t="str">
        <f>"2/16/2024 12:47:00 PM"</f>
        <v>2/16/2024 12:47:00 PM</v>
      </c>
      <c r="O22008" t="s">
        <v>66698</v>
      </c>
    </row>
    <row r="22009" spans="1:20" x14ac:dyDescent="0.25">
      <c r="A22009" t="str">
        <f>"3050952"</f>
        <v>3050952</v>
      </c>
      <c r="B22009" t="s">
        <v>66700</v>
      </c>
      <c r="C22009" t="str">
        <f>"8319814"</f>
        <v>8319814</v>
      </c>
      <c r="D22009" t="s">
        <v>66701</v>
      </c>
      <c r="F22009" t="s">
        <v>66702</v>
      </c>
      <c r="I22009" t="s">
        <v>184</v>
      </c>
      <c r="J22009" t="s">
        <v>30</v>
      </c>
      <c r="K22009" t="s">
        <v>21298</v>
      </c>
      <c r="M22009" t="s">
        <v>18470</v>
      </c>
      <c r="N22009" t="str">
        <f>"2/28/2024 12:49:00 PM"</f>
        <v>2/28/2024 12:49:00 PM</v>
      </c>
      <c r="O22009" t="s">
        <v>66701</v>
      </c>
    </row>
    <row r="22010" spans="1:20" x14ac:dyDescent="0.25">
      <c r="A22010" t="str">
        <f>"3077957"</f>
        <v>3077957</v>
      </c>
      <c r="B22010" t="s">
        <v>66703</v>
      </c>
      <c r="C22010" t="str">
        <f>"8321965"</f>
        <v>8321965</v>
      </c>
      <c r="D22010" t="s">
        <v>66704</v>
      </c>
      <c r="E22010" t="s">
        <v>66705</v>
      </c>
      <c r="F22010" t="s">
        <v>66706</v>
      </c>
      <c r="I22010" t="s">
        <v>29</v>
      </c>
      <c r="J22010" t="s">
        <v>30</v>
      </c>
      <c r="K22010" t="s">
        <v>60691</v>
      </c>
      <c r="M22010" t="s">
        <v>50500</v>
      </c>
      <c r="N22010" t="str">
        <f>"2/28/2024 1:20:00 PM"</f>
        <v>2/28/2024 1:20:00 PM</v>
      </c>
      <c r="O22010" t="s">
        <v>66704</v>
      </c>
      <c r="T22010" t="s">
        <v>66705</v>
      </c>
    </row>
    <row r="22011" spans="1:20" x14ac:dyDescent="0.25">
      <c r="A22011" t="str">
        <f>"3047791"</f>
        <v>3047791</v>
      </c>
      <c r="B22011" t="s">
        <v>66707</v>
      </c>
      <c r="C22011" t="str">
        <f>"8318190"</f>
        <v>8318190</v>
      </c>
      <c r="D22011" t="s">
        <v>66708</v>
      </c>
      <c r="F22011" t="s">
        <v>66709</v>
      </c>
      <c r="I22011" t="s">
        <v>184</v>
      </c>
      <c r="J22011" t="s">
        <v>30</v>
      </c>
      <c r="K22011" t="s">
        <v>30900</v>
      </c>
      <c r="M22011" t="s">
        <v>50621</v>
      </c>
      <c r="N22011" t="str">
        <f>"2/16/2024 12:41:00 PM"</f>
        <v>2/16/2024 12:41:00 PM</v>
      </c>
      <c r="O22011" t="s">
        <v>66708</v>
      </c>
    </row>
    <row r="22012" spans="1:20" x14ac:dyDescent="0.25">
      <c r="A22012" t="str">
        <f>"3054133"</f>
        <v>3054133</v>
      </c>
      <c r="B22012" t="s">
        <v>66710</v>
      </c>
      <c r="C22012" t="str">
        <f>"73752000"</f>
        <v>73752000</v>
      </c>
      <c r="D22012" t="s">
        <v>66711</v>
      </c>
      <c r="E22012" t="s">
        <v>66712</v>
      </c>
      <c r="F22012" t="s">
        <v>66713</v>
      </c>
      <c r="I22012" t="s">
        <v>29</v>
      </c>
      <c r="J22012" t="s">
        <v>30</v>
      </c>
      <c r="K22012" t="str">
        <f>"27028"</f>
        <v>27028</v>
      </c>
      <c r="M22012" t="s">
        <v>50793</v>
      </c>
      <c r="N22012" t="str">
        <f>"2/19/2024 9:23:00 AM"</f>
        <v>2/19/2024 9:23:00 AM</v>
      </c>
      <c r="O22012" t="s">
        <v>66711</v>
      </c>
      <c r="T22012" t="s">
        <v>66712</v>
      </c>
    </row>
    <row r="22013" spans="1:20" x14ac:dyDescent="0.25">
      <c r="A22013" t="str">
        <f>"3058692"</f>
        <v>3058692</v>
      </c>
      <c r="B22013" t="s">
        <v>66714</v>
      </c>
      <c r="C22013" t="str">
        <f>"8321969"</f>
        <v>8321969</v>
      </c>
      <c r="D22013" t="s">
        <v>66715</v>
      </c>
      <c r="E22013" t="s">
        <v>66716</v>
      </c>
      <c r="F22013" t="s">
        <v>66717</v>
      </c>
      <c r="I22013" t="s">
        <v>184</v>
      </c>
      <c r="J22013" t="s">
        <v>30</v>
      </c>
      <c r="K22013" t="s">
        <v>63671</v>
      </c>
      <c r="M22013" t="s">
        <v>50500</v>
      </c>
      <c r="N22013" t="str">
        <f>"2/28/2024 1:51:00 PM"</f>
        <v>2/28/2024 1:51:00 PM</v>
      </c>
      <c r="O22013" t="s">
        <v>66715</v>
      </c>
      <c r="T22013" t="s">
        <v>66716</v>
      </c>
    </row>
    <row r="22014" spans="1:20" x14ac:dyDescent="0.25">
      <c r="A22014" t="str">
        <f>"3049416"</f>
        <v>3049416</v>
      </c>
      <c r="B22014" t="s">
        <v>66718</v>
      </c>
      <c r="C22014" t="str">
        <f>"8321970"</f>
        <v>8321970</v>
      </c>
      <c r="D22014" t="s">
        <v>66719</v>
      </c>
      <c r="E22014" t="s">
        <v>66720</v>
      </c>
      <c r="F22014" t="s">
        <v>66721</v>
      </c>
      <c r="I22014" t="s">
        <v>184</v>
      </c>
      <c r="J22014" t="s">
        <v>30</v>
      </c>
      <c r="K22014" t="s">
        <v>66722</v>
      </c>
      <c r="M22014" t="s">
        <v>50500</v>
      </c>
      <c r="N22014" t="str">
        <f>"2/28/2024 1:57:00 PM"</f>
        <v>2/28/2024 1:57:00 PM</v>
      </c>
      <c r="O22014" t="s">
        <v>66719</v>
      </c>
      <c r="T22014" t="s">
        <v>66720</v>
      </c>
    </row>
    <row r="22015" spans="1:20" x14ac:dyDescent="0.25">
      <c r="A22015" t="str">
        <f>"3074685"</f>
        <v>3074685</v>
      </c>
      <c r="B22015" t="s">
        <v>66723</v>
      </c>
      <c r="C22015" t="str">
        <f>"8320070"</f>
        <v>8320070</v>
      </c>
      <c r="D22015" t="s">
        <v>58943</v>
      </c>
      <c r="F22015" t="s">
        <v>58944</v>
      </c>
      <c r="I22015" t="s">
        <v>184</v>
      </c>
      <c r="J22015" t="s">
        <v>30</v>
      </c>
      <c r="K22015" t="str">
        <f>"27006"</f>
        <v>27006</v>
      </c>
      <c r="M22015" t="s">
        <v>18470</v>
      </c>
      <c r="N22015" t="str">
        <f>"2/28/2024 4:42:00 PM"</f>
        <v>2/28/2024 4:42:00 PM</v>
      </c>
      <c r="O22015" t="s">
        <v>58943</v>
      </c>
    </row>
    <row r="22016" spans="1:20" x14ac:dyDescent="0.25">
      <c r="A22016" t="str">
        <f>"3049474"</f>
        <v>3049474</v>
      </c>
      <c r="B22016" t="s">
        <v>66724</v>
      </c>
      <c r="C22016" t="str">
        <f>"8321971"</f>
        <v>8321971</v>
      </c>
      <c r="D22016" t="s">
        <v>66725</v>
      </c>
      <c r="F22016" t="s">
        <v>66726</v>
      </c>
      <c r="I22016" t="s">
        <v>471</v>
      </c>
      <c r="J22016" t="s">
        <v>30</v>
      </c>
      <c r="K22016" t="s">
        <v>66727</v>
      </c>
      <c r="M22016" t="s">
        <v>50500</v>
      </c>
      <c r="N22016" t="str">
        <f>"2/29/2024 10:10:00 AM"</f>
        <v>2/29/2024 10:10:00 AM</v>
      </c>
      <c r="O22016" t="s">
        <v>66725</v>
      </c>
    </row>
    <row r="22017" spans="1:20" x14ac:dyDescent="0.25">
      <c r="A22017" t="str">
        <f>"3049494"</f>
        <v>3049494</v>
      </c>
      <c r="B22017" t="s">
        <v>66728</v>
      </c>
      <c r="C22017" t="str">
        <f>"8321972"</f>
        <v>8321972</v>
      </c>
      <c r="D22017" t="s">
        <v>13049</v>
      </c>
      <c r="F22017" t="s">
        <v>66729</v>
      </c>
      <c r="I22017" t="s">
        <v>29</v>
      </c>
      <c r="J22017" t="s">
        <v>30</v>
      </c>
      <c r="K22017" t="s">
        <v>13052</v>
      </c>
      <c r="M22017" t="s">
        <v>50500</v>
      </c>
      <c r="N22017" t="str">
        <f>"2/29/2024 10:15:00 AM"</f>
        <v>2/29/2024 10:15:00 AM</v>
      </c>
      <c r="O22017" t="s">
        <v>13049</v>
      </c>
    </row>
    <row r="22018" spans="1:20" x14ac:dyDescent="0.25">
      <c r="A22018" t="str">
        <f>"3050152"</f>
        <v>3050152</v>
      </c>
      <c r="B22018" t="s">
        <v>66730</v>
      </c>
      <c r="C22018" t="str">
        <f>"8321972"</f>
        <v>8321972</v>
      </c>
      <c r="D22018" t="s">
        <v>13049</v>
      </c>
      <c r="F22018" t="s">
        <v>66729</v>
      </c>
      <c r="I22018" t="s">
        <v>29</v>
      </c>
      <c r="J22018" t="s">
        <v>30</v>
      </c>
      <c r="K22018" t="s">
        <v>13052</v>
      </c>
      <c r="M22018" t="s">
        <v>50500</v>
      </c>
      <c r="N22018" t="str">
        <f>"2/29/2024 10:15:00 AM"</f>
        <v>2/29/2024 10:15:00 AM</v>
      </c>
      <c r="O22018" t="s">
        <v>13049</v>
      </c>
    </row>
    <row r="22019" spans="1:20" x14ac:dyDescent="0.25">
      <c r="A22019" t="str">
        <f>"3061807"</f>
        <v>3061807</v>
      </c>
      <c r="B22019" t="s">
        <v>66731</v>
      </c>
      <c r="C22019" t="str">
        <f>"8321974"</f>
        <v>8321974</v>
      </c>
      <c r="D22019" t="s">
        <v>66732</v>
      </c>
      <c r="E22019" t="s">
        <v>66733</v>
      </c>
      <c r="F22019" t="s">
        <v>66734</v>
      </c>
      <c r="I22019" t="s">
        <v>184</v>
      </c>
      <c r="J22019" t="s">
        <v>30</v>
      </c>
      <c r="K22019" t="s">
        <v>58030</v>
      </c>
      <c r="M22019" t="s">
        <v>50500</v>
      </c>
      <c r="N22019" t="str">
        <f>"2/29/2024 10:47:00 AM"</f>
        <v>2/29/2024 10:47:00 AM</v>
      </c>
      <c r="O22019" t="s">
        <v>66732</v>
      </c>
      <c r="T22019" t="s">
        <v>66733</v>
      </c>
    </row>
    <row r="22020" spans="1:20" x14ac:dyDescent="0.25">
      <c r="A22020" t="str">
        <f>"3037425"</f>
        <v>3037425</v>
      </c>
      <c r="B22020" t="s">
        <v>66735</v>
      </c>
      <c r="C22020" t="str">
        <f>"82521421"</f>
        <v>82521421</v>
      </c>
      <c r="D22020" t="s">
        <v>66566</v>
      </c>
      <c r="F22020" t="s">
        <v>66567</v>
      </c>
      <c r="I22020" t="s">
        <v>49</v>
      </c>
      <c r="J22020" t="s">
        <v>30</v>
      </c>
      <c r="K22020" t="s">
        <v>50</v>
      </c>
      <c r="M22020" t="s">
        <v>50793</v>
      </c>
      <c r="N22020" t="str">
        <f>"2/19/2024 9:27:00 AM"</f>
        <v>2/19/2024 9:27:00 AM</v>
      </c>
      <c r="O22020" t="s">
        <v>66566</v>
      </c>
    </row>
    <row r="22021" spans="1:20" x14ac:dyDescent="0.25">
      <c r="A22021" t="str">
        <f>"3037469"</f>
        <v>3037469</v>
      </c>
      <c r="B22021" t="s">
        <v>66736</v>
      </c>
      <c r="C22021" t="str">
        <f>"82521421"</f>
        <v>82521421</v>
      </c>
      <c r="D22021" t="s">
        <v>66566</v>
      </c>
      <c r="F22021" t="s">
        <v>66567</v>
      </c>
      <c r="I22021" t="s">
        <v>49</v>
      </c>
      <c r="J22021" t="s">
        <v>30</v>
      </c>
      <c r="K22021" t="s">
        <v>50</v>
      </c>
      <c r="M22021" t="s">
        <v>50793</v>
      </c>
      <c r="N22021" t="str">
        <f>"2/19/2024 9:27:00 AM"</f>
        <v>2/19/2024 9:27:00 AM</v>
      </c>
      <c r="O22021" t="s">
        <v>66566</v>
      </c>
    </row>
    <row r="22022" spans="1:20" x14ac:dyDescent="0.25">
      <c r="A22022" t="str">
        <f>"3037619"</f>
        <v>3037619</v>
      </c>
      <c r="B22022" t="s">
        <v>66737</v>
      </c>
      <c r="C22022" t="str">
        <f>"82521421"</f>
        <v>82521421</v>
      </c>
      <c r="D22022" t="s">
        <v>66566</v>
      </c>
      <c r="F22022" t="s">
        <v>66567</v>
      </c>
      <c r="I22022" t="s">
        <v>49</v>
      </c>
      <c r="J22022" t="s">
        <v>30</v>
      </c>
      <c r="K22022" t="s">
        <v>50</v>
      </c>
      <c r="M22022" t="s">
        <v>50793</v>
      </c>
      <c r="N22022" t="str">
        <f>"2/19/2024 9:27:00 AM"</f>
        <v>2/19/2024 9:27:00 AM</v>
      </c>
      <c r="O22022" t="s">
        <v>66566</v>
      </c>
    </row>
    <row r="22023" spans="1:20" x14ac:dyDescent="0.25">
      <c r="A22023" t="str">
        <f>"3052117"</f>
        <v>3052117</v>
      </c>
      <c r="B22023" t="s">
        <v>66738</v>
      </c>
      <c r="C22023" t="str">
        <f>"8307943"</f>
        <v>8307943</v>
      </c>
      <c r="D22023" t="s">
        <v>66739</v>
      </c>
      <c r="F22023" t="s">
        <v>66740</v>
      </c>
      <c r="I22023" t="s">
        <v>964</v>
      </c>
      <c r="J22023" t="s">
        <v>30</v>
      </c>
      <c r="K22023" t="s">
        <v>66741</v>
      </c>
      <c r="M22023" t="s">
        <v>50793</v>
      </c>
      <c r="N22023" t="str">
        <f>"2/19/2024 9:46:00 AM"</f>
        <v>2/19/2024 9:46:00 AM</v>
      </c>
      <c r="O22023" t="s">
        <v>66739</v>
      </c>
    </row>
    <row r="22024" spans="1:20" x14ac:dyDescent="0.25">
      <c r="A22024" t="str">
        <f>"3055749"</f>
        <v>3055749</v>
      </c>
      <c r="B22024" t="s">
        <v>66742</v>
      </c>
      <c r="C22024" t="str">
        <f>"8321978"</f>
        <v>8321978</v>
      </c>
      <c r="D22024" t="s">
        <v>66743</v>
      </c>
      <c r="F22024" t="s">
        <v>66744</v>
      </c>
      <c r="I22024" t="s">
        <v>29</v>
      </c>
      <c r="J22024" t="s">
        <v>30</v>
      </c>
      <c r="K22024" t="s">
        <v>51324</v>
      </c>
      <c r="M22024" t="s">
        <v>50500</v>
      </c>
      <c r="N22024" t="str">
        <f>"2/29/2024 12:30:00 PM"</f>
        <v>2/29/2024 12:30:00 PM</v>
      </c>
      <c r="O22024" t="s">
        <v>66743</v>
      </c>
    </row>
    <row r="22025" spans="1:20" x14ac:dyDescent="0.25">
      <c r="A22025" t="str">
        <f>"3058683"</f>
        <v>3058683</v>
      </c>
      <c r="B22025" t="s">
        <v>66745</v>
      </c>
      <c r="C22025" t="str">
        <f>"8321979"</f>
        <v>8321979</v>
      </c>
      <c r="D22025" t="s">
        <v>66746</v>
      </c>
      <c r="E22025" t="s">
        <v>66747</v>
      </c>
      <c r="F22025" t="s">
        <v>66748</v>
      </c>
      <c r="I22025" t="s">
        <v>29</v>
      </c>
      <c r="J22025" t="s">
        <v>30</v>
      </c>
      <c r="K22025" t="s">
        <v>59681</v>
      </c>
      <c r="M22025" t="s">
        <v>50500</v>
      </c>
      <c r="N22025" t="str">
        <f>"2/29/2024 12:38:00 PM"</f>
        <v>2/29/2024 12:38:00 PM</v>
      </c>
      <c r="O22025" t="s">
        <v>66746</v>
      </c>
      <c r="T22025" t="s">
        <v>66747</v>
      </c>
    </row>
    <row r="22026" spans="1:20" x14ac:dyDescent="0.25">
      <c r="A22026" t="str">
        <f>"3052981"</f>
        <v>3052981</v>
      </c>
      <c r="B22026" t="s">
        <v>66749</v>
      </c>
      <c r="C22026" t="str">
        <f>"8316956"</f>
        <v>8316956</v>
      </c>
      <c r="D22026" t="s">
        <v>66750</v>
      </c>
      <c r="F22026" t="s">
        <v>66751</v>
      </c>
      <c r="I22026" t="s">
        <v>29</v>
      </c>
      <c r="J22026" t="s">
        <v>30</v>
      </c>
      <c r="K22026" t="s">
        <v>38671</v>
      </c>
      <c r="M22026" t="s">
        <v>50793</v>
      </c>
      <c r="N22026" t="str">
        <f>"2/19/2024 9:52:00 AM"</f>
        <v>2/19/2024 9:52:00 AM</v>
      </c>
      <c r="O22026" t="s">
        <v>66750</v>
      </c>
    </row>
    <row r="22027" spans="1:20" x14ac:dyDescent="0.25">
      <c r="A22027" t="str">
        <f>"3045218"</f>
        <v>3045218</v>
      </c>
      <c r="B22027" t="s">
        <v>66752</v>
      </c>
      <c r="C22027" t="str">
        <f>"8321980"</f>
        <v>8321980</v>
      </c>
      <c r="D22027" t="s">
        <v>66753</v>
      </c>
      <c r="E22027" t="s">
        <v>66754</v>
      </c>
      <c r="F22027" t="s">
        <v>66755</v>
      </c>
      <c r="I22027" t="s">
        <v>3196</v>
      </c>
      <c r="J22027" t="s">
        <v>30</v>
      </c>
      <c r="K22027" t="s">
        <v>66756</v>
      </c>
      <c r="M22027" t="s">
        <v>50500</v>
      </c>
      <c r="N22027" t="str">
        <f>"2/29/2024 12:55:00 PM"</f>
        <v>2/29/2024 12:55:00 PM</v>
      </c>
      <c r="O22027" t="s">
        <v>66753</v>
      </c>
      <c r="T22027" t="s">
        <v>66754</v>
      </c>
    </row>
    <row r="22028" spans="1:20" x14ac:dyDescent="0.25">
      <c r="A22028" t="str">
        <f>"3038099"</f>
        <v>3038099</v>
      </c>
      <c r="B22028" t="s">
        <v>66757</v>
      </c>
      <c r="C22028" t="str">
        <f>"8308790"</f>
        <v>8308790</v>
      </c>
      <c r="D22028" t="s">
        <v>66758</v>
      </c>
      <c r="E22028" t="s">
        <v>66759</v>
      </c>
      <c r="F22028" t="s">
        <v>66760</v>
      </c>
      <c r="I22028" t="s">
        <v>29</v>
      </c>
      <c r="J22028" t="s">
        <v>30</v>
      </c>
      <c r="K22028" t="s">
        <v>15656</v>
      </c>
      <c r="M22028" t="s">
        <v>25625</v>
      </c>
      <c r="N22028" t="str">
        <f>"2/29/2024 2:02:00 PM"</f>
        <v>2/29/2024 2:02:00 PM</v>
      </c>
      <c r="O22028" t="s">
        <v>66758</v>
      </c>
      <c r="T22028" t="s">
        <v>66759</v>
      </c>
    </row>
    <row r="22029" spans="1:20" x14ac:dyDescent="0.25">
      <c r="A22029" t="str">
        <f>"3038003"</f>
        <v>3038003</v>
      </c>
      <c r="B22029" t="s">
        <v>66761</v>
      </c>
      <c r="C22029" t="str">
        <f>"8308790"</f>
        <v>8308790</v>
      </c>
      <c r="D22029" t="s">
        <v>66758</v>
      </c>
      <c r="E22029" t="s">
        <v>66759</v>
      </c>
      <c r="F22029" t="s">
        <v>66760</v>
      </c>
      <c r="I22029" t="s">
        <v>29</v>
      </c>
      <c r="J22029" t="s">
        <v>30</v>
      </c>
      <c r="K22029" t="s">
        <v>15656</v>
      </c>
      <c r="M22029" t="s">
        <v>25625</v>
      </c>
      <c r="N22029" t="str">
        <f>"2/29/2024 2:02:00 PM"</f>
        <v>2/29/2024 2:02:00 PM</v>
      </c>
      <c r="O22029" t="s">
        <v>66758</v>
      </c>
      <c r="T22029" t="s">
        <v>66759</v>
      </c>
    </row>
    <row r="22030" spans="1:20" x14ac:dyDescent="0.25">
      <c r="A22030" t="str">
        <f>"3038321"</f>
        <v>3038321</v>
      </c>
      <c r="B22030" t="s">
        <v>66762</v>
      </c>
      <c r="C22030" t="str">
        <f>"8308790"</f>
        <v>8308790</v>
      </c>
      <c r="D22030" t="s">
        <v>66758</v>
      </c>
      <c r="E22030" t="s">
        <v>66759</v>
      </c>
      <c r="F22030" t="s">
        <v>66760</v>
      </c>
      <c r="I22030" t="s">
        <v>29</v>
      </c>
      <c r="J22030" t="s">
        <v>30</v>
      </c>
      <c r="K22030" t="s">
        <v>15656</v>
      </c>
      <c r="M22030" t="s">
        <v>25625</v>
      </c>
      <c r="N22030" t="str">
        <f>"2/29/2024 2:02:00 PM"</f>
        <v>2/29/2024 2:02:00 PM</v>
      </c>
      <c r="O22030" t="s">
        <v>66758</v>
      </c>
      <c r="T22030" t="s">
        <v>66759</v>
      </c>
    </row>
    <row r="22031" spans="1:20" x14ac:dyDescent="0.25">
      <c r="A22031" t="str">
        <f>"3054030"</f>
        <v>3054030</v>
      </c>
      <c r="B22031" t="s">
        <v>66763</v>
      </c>
      <c r="C22031" t="str">
        <f>"8321982"</f>
        <v>8321982</v>
      </c>
      <c r="D22031" t="s">
        <v>66764</v>
      </c>
      <c r="F22031" t="s">
        <v>66592</v>
      </c>
      <c r="I22031" t="s">
        <v>9580</v>
      </c>
      <c r="J22031" t="s">
        <v>30</v>
      </c>
      <c r="K22031" t="s">
        <v>66765</v>
      </c>
      <c r="M22031" t="s">
        <v>50500</v>
      </c>
      <c r="N22031" t="str">
        <f>"3/1/2024 9:22:00 AM"</f>
        <v>3/1/2024 9:22:00 AM</v>
      </c>
      <c r="O22031" t="s">
        <v>66764</v>
      </c>
    </row>
    <row r="22032" spans="1:20" x14ac:dyDescent="0.25">
      <c r="A22032" t="str">
        <f>"3056132"</f>
        <v>3056132</v>
      </c>
      <c r="B22032" t="s">
        <v>66766</v>
      </c>
      <c r="C22032" t="str">
        <f>"8320303"</f>
        <v>8320303</v>
      </c>
      <c r="D22032" t="s">
        <v>66767</v>
      </c>
      <c r="F22032" t="s">
        <v>66768</v>
      </c>
      <c r="I22032" t="s">
        <v>9580</v>
      </c>
      <c r="J22032" t="s">
        <v>30</v>
      </c>
      <c r="K22032" t="str">
        <f>"27014"</f>
        <v>27014</v>
      </c>
      <c r="M22032" t="s">
        <v>18470</v>
      </c>
      <c r="N22032" t="str">
        <f>"3/1/2024 11:11:00 AM"</f>
        <v>3/1/2024 11:11:00 AM</v>
      </c>
      <c r="O22032" t="s">
        <v>66767</v>
      </c>
    </row>
    <row r="22033" spans="1:20" x14ac:dyDescent="0.25">
      <c r="A22033" t="str">
        <f>"3053152"</f>
        <v>3053152</v>
      </c>
      <c r="B22033" t="s">
        <v>66769</v>
      </c>
      <c r="C22033" t="str">
        <f>"8321985"</f>
        <v>8321985</v>
      </c>
      <c r="D22033" t="s">
        <v>66770</v>
      </c>
      <c r="E22033" t="s">
        <v>66771</v>
      </c>
      <c r="F22033" t="s">
        <v>66772</v>
      </c>
      <c r="I22033" t="s">
        <v>184</v>
      </c>
      <c r="J22033" t="s">
        <v>30</v>
      </c>
      <c r="K22033" t="s">
        <v>10399</v>
      </c>
      <c r="M22033" t="s">
        <v>50500</v>
      </c>
      <c r="N22033" t="str">
        <f>"3/4/2024 9:54:00 AM"</f>
        <v>3/4/2024 9:54:00 AM</v>
      </c>
      <c r="O22033" t="s">
        <v>66770</v>
      </c>
      <c r="T22033" t="s">
        <v>66771</v>
      </c>
    </row>
    <row r="22034" spans="1:20" x14ac:dyDescent="0.25">
      <c r="A22034" t="str">
        <f>"3059987"</f>
        <v>3059987</v>
      </c>
      <c r="B22034" t="s">
        <v>66773</v>
      </c>
      <c r="C22034" t="str">
        <f>"8321985"</f>
        <v>8321985</v>
      </c>
      <c r="D22034" t="s">
        <v>66770</v>
      </c>
      <c r="E22034" t="s">
        <v>66771</v>
      </c>
      <c r="F22034" t="s">
        <v>66772</v>
      </c>
      <c r="I22034" t="s">
        <v>184</v>
      </c>
      <c r="J22034" t="s">
        <v>30</v>
      </c>
      <c r="K22034" t="s">
        <v>10399</v>
      </c>
      <c r="M22034" t="s">
        <v>50500</v>
      </c>
      <c r="N22034" t="str">
        <f>"3/4/2024 9:54:00 AM"</f>
        <v>3/4/2024 9:54:00 AM</v>
      </c>
      <c r="O22034" t="s">
        <v>66770</v>
      </c>
      <c r="T22034" t="s">
        <v>66771</v>
      </c>
    </row>
    <row r="22035" spans="1:20" x14ac:dyDescent="0.25">
      <c r="A22035" t="str">
        <f>"3044672"</f>
        <v>3044672</v>
      </c>
      <c r="B22035" t="s">
        <v>66774</v>
      </c>
      <c r="C22035" t="str">
        <f>"28779000"</f>
        <v>28779000</v>
      </c>
      <c r="D22035" t="s">
        <v>66775</v>
      </c>
      <c r="F22035" t="s">
        <v>66776</v>
      </c>
      <c r="I22035" t="s">
        <v>66777</v>
      </c>
      <c r="J22035" t="s">
        <v>12725</v>
      </c>
      <c r="K22035" t="s">
        <v>66778</v>
      </c>
      <c r="M22035" t="s">
        <v>50621</v>
      </c>
      <c r="N22035" t="str">
        <f>"3/4/2024 11:09:00 AM"</f>
        <v>3/4/2024 11:09:00 AM</v>
      </c>
      <c r="O22035" t="s">
        <v>66775</v>
      </c>
    </row>
    <row r="22036" spans="1:20" x14ac:dyDescent="0.25">
      <c r="A22036" t="str">
        <f>"3043938"</f>
        <v>3043938</v>
      </c>
      <c r="B22036" t="s">
        <v>66779</v>
      </c>
      <c r="C22036" t="str">
        <f>"28779000"</f>
        <v>28779000</v>
      </c>
      <c r="D22036" t="s">
        <v>66775</v>
      </c>
      <c r="F22036" t="s">
        <v>66776</v>
      </c>
      <c r="I22036" t="s">
        <v>66777</v>
      </c>
      <c r="J22036" t="s">
        <v>12725</v>
      </c>
      <c r="K22036" t="s">
        <v>66778</v>
      </c>
      <c r="M22036" t="s">
        <v>50621</v>
      </c>
      <c r="N22036" t="str">
        <f>"3/4/2024 11:09:00 AM"</f>
        <v>3/4/2024 11:09:00 AM</v>
      </c>
      <c r="O22036" t="s">
        <v>66775</v>
      </c>
    </row>
    <row r="22037" spans="1:20" x14ac:dyDescent="0.25">
      <c r="A22037" t="str">
        <f>"3101924"</f>
        <v>3101924</v>
      </c>
      <c r="B22037" t="s">
        <v>66780</v>
      </c>
      <c r="C22037" t="str">
        <f>"8316956"</f>
        <v>8316956</v>
      </c>
      <c r="D22037" t="s">
        <v>66750</v>
      </c>
      <c r="F22037" t="s">
        <v>66751</v>
      </c>
      <c r="I22037" t="s">
        <v>29</v>
      </c>
      <c r="J22037" t="s">
        <v>30</v>
      </c>
      <c r="K22037" t="s">
        <v>38671</v>
      </c>
      <c r="M22037" t="s">
        <v>50793</v>
      </c>
      <c r="N22037" t="str">
        <f>"2/19/2024 9:52:00 AM"</f>
        <v>2/19/2024 9:52:00 AM</v>
      </c>
      <c r="O22037" t="s">
        <v>66750</v>
      </c>
    </row>
    <row r="22038" spans="1:20" x14ac:dyDescent="0.25">
      <c r="A22038" t="str">
        <f>"3078713"</f>
        <v>3078713</v>
      </c>
      <c r="B22038" t="s">
        <v>66781</v>
      </c>
      <c r="C22038" t="str">
        <f>"8317420"</f>
        <v>8317420</v>
      </c>
      <c r="D22038" t="s">
        <v>66782</v>
      </c>
      <c r="F22038" t="s">
        <v>66783</v>
      </c>
      <c r="I22038" t="s">
        <v>184</v>
      </c>
      <c r="J22038" t="s">
        <v>30</v>
      </c>
      <c r="K22038" t="s">
        <v>66784</v>
      </c>
      <c r="M22038" t="s">
        <v>50793</v>
      </c>
      <c r="N22038" t="str">
        <f>"2/19/2024 9:58:00 AM"</f>
        <v>2/19/2024 9:58:00 AM</v>
      </c>
      <c r="O22038" t="s">
        <v>66782</v>
      </c>
    </row>
    <row r="22039" spans="1:20" x14ac:dyDescent="0.25">
      <c r="A22039" t="str">
        <f>"3092091"</f>
        <v>3092091</v>
      </c>
      <c r="B22039" t="s">
        <v>66785</v>
      </c>
      <c r="C22039" t="str">
        <f>"8321947"</f>
        <v>8321947</v>
      </c>
      <c r="D22039" t="s">
        <v>66786</v>
      </c>
      <c r="E22039" t="s">
        <v>62800</v>
      </c>
      <c r="F22039" t="s">
        <v>8607</v>
      </c>
      <c r="I22039" t="s">
        <v>184</v>
      </c>
      <c r="J22039" t="s">
        <v>30</v>
      </c>
      <c r="K22039" t="s">
        <v>8608</v>
      </c>
      <c r="M22039" t="s">
        <v>50500</v>
      </c>
      <c r="N22039" t="str">
        <f>"2/21/2024 2:32:00 PM"</f>
        <v>2/21/2024 2:32:00 PM</v>
      </c>
      <c r="O22039" t="s">
        <v>66786</v>
      </c>
      <c r="T22039" t="s">
        <v>62800</v>
      </c>
    </row>
    <row r="22040" spans="1:20" x14ac:dyDescent="0.25">
      <c r="A22040" t="str">
        <f>"3042985"</f>
        <v>3042985</v>
      </c>
      <c r="B22040" t="s">
        <v>66787</v>
      </c>
      <c r="C22040" t="str">
        <f>"8321948"</f>
        <v>8321948</v>
      </c>
      <c r="D22040" t="s">
        <v>66788</v>
      </c>
      <c r="E22040" t="s">
        <v>66789</v>
      </c>
      <c r="F22040" t="s">
        <v>66790</v>
      </c>
      <c r="I22040" t="s">
        <v>29</v>
      </c>
      <c r="J22040" t="s">
        <v>30</v>
      </c>
      <c r="K22040" t="s">
        <v>66791</v>
      </c>
      <c r="M22040" t="s">
        <v>50500</v>
      </c>
      <c r="N22040" t="str">
        <f>"2/21/2024 3:16:00 PM"</f>
        <v>2/21/2024 3:16:00 PM</v>
      </c>
      <c r="O22040" t="s">
        <v>66788</v>
      </c>
      <c r="T22040" t="s">
        <v>66789</v>
      </c>
    </row>
    <row r="22041" spans="1:20" x14ac:dyDescent="0.25">
      <c r="A22041" t="str">
        <f>"3058599"</f>
        <v>3058599</v>
      </c>
      <c r="B22041" t="s">
        <v>66792</v>
      </c>
      <c r="C22041" t="str">
        <f>"8321949"</f>
        <v>8321949</v>
      </c>
      <c r="D22041" t="s">
        <v>66793</v>
      </c>
      <c r="E22041" t="s">
        <v>66794</v>
      </c>
      <c r="F22041" t="s">
        <v>66795</v>
      </c>
      <c r="I22041" t="s">
        <v>184</v>
      </c>
      <c r="J22041" t="s">
        <v>30</v>
      </c>
      <c r="K22041" t="s">
        <v>64058</v>
      </c>
      <c r="M22041" t="s">
        <v>50500</v>
      </c>
      <c r="N22041" t="str">
        <f>"2/21/2024 3:44:00 PM"</f>
        <v>2/21/2024 3:44:00 PM</v>
      </c>
      <c r="O22041" t="s">
        <v>66793</v>
      </c>
      <c r="T22041" t="s">
        <v>66794</v>
      </c>
    </row>
    <row r="22042" spans="1:20" x14ac:dyDescent="0.25">
      <c r="A22042" t="str">
        <f>"3042778"</f>
        <v>3042778</v>
      </c>
      <c r="B22042" t="s">
        <v>66796</v>
      </c>
      <c r="C22042" t="str">
        <f>"82525148"</f>
        <v>82525148</v>
      </c>
      <c r="D22042" t="s">
        <v>66797</v>
      </c>
      <c r="E22042" t="s">
        <v>66798</v>
      </c>
      <c r="F22042" t="s">
        <v>66799</v>
      </c>
      <c r="I22042" t="s">
        <v>29</v>
      </c>
      <c r="J22042" t="s">
        <v>30</v>
      </c>
      <c r="K22042" t="s">
        <v>31</v>
      </c>
      <c r="M22042" t="s">
        <v>51351</v>
      </c>
      <c r="N22042" t="str">
        <f>"3/4/2024 3:55:00 PM"</f>
        <v>3/4/2024 3:55:00 PM</v>
      </c>
      <c r="O22042" t="s">
        <v>66797</v>
      </c>
      <c r="T22042" t="s">
        <v>66798</v>
      </c>
    </row>
    <row r="22043" spans="1:20" x14ac:dyDescent="0.25">
      <c r="A22043" t="str">
        <f>"3049585"</f>
        <v>3049585</v>
      </c>
      <c r="B22043" t="s">
        <v>66800</v>
      </c>
      <c r="C22043" t="str">
        <f>"56329000"</f>
        <v>56329000</v>
      </c>
      <c r="D22043" t="s">
        <v>66801</v>
      </c>
      <c r="E22043" t="s">
        <v>66802</v>
      </c>
      <c r="F22043" t="s">
        <v>66803</v>
      </c>
      <c r="I22043" t="s">
        <v>66804</v>
      </c>
      <c r="J22043" t="s">
        <v>30</v>
      </c>
      <c r="K22043" t="s">
        <v>66805</v>
      </c>
      <c r="M22043" t="s">
        <v>50621</v>
      </c>
      <c r="N22043" t="str">
        <f>"3/4/2024 4:38:00 PM"</f>
        <v>3/4/2024 4:38:00 PM</v>
      </c>
      <c r="O22043" t="s">
        <v>66801</v>
      </c>
      <c r="T22043" t="s">
        <v>66802</v>
      </c>
    </row>
    <row r="22044" spans="1:20" x14ac:dyDescent="0.25">
      <c r="A22044" t="str">
        <f>"3039427"</f>
        <v>3039427</v>
      </c>
      <c r="B22044" t="s">
        <v>66806</v>
      </c>
      <c r="C22044" t="str">
        <f>"8306899"</f>
        <v>8306899</v>
      </c>
      <c r="D22044" t="s">
        <v>66807</v>
      </c>
      <c r="E22044" t="s">
        <v>66808</v>
      </c>
      <c r="F22044" t="s">
        <v>66809</v>
      </c>
      <c r="I22044" t="s">
        <v>66810</v>
      </c>
      <c r="J22044" t="s">
        <v>30</v>
      </c>
      <c r="K22044" t="str">
        <f>"27262"</f>
        <v>27262</v>
      </c>
      <c r="M22044" t="s">
        <v>55757</v>
      </c>
      <c r="N22044" t="str">
        <f>"3/5/2024 6:17:00 AM"</f>
        <v>3/5/2024 6:17:00 AM</v>
      </c>
      <c r="O22044" t="s">
        <v>66807</v>
      </c>
      <c r="T22044" t="s">
        <v>66808</v>
      </c>
    </row>
    <row r="22045" spans="1:20" x14ac:dyDescent="0.25">
      <c r="A22045" t="str">
        <f>"3046130"</f>
        <v>3046130</v>
      </c>
      <c r="B22045" t="s">
        <v>66811</v>
      </c>
      <c r="C22045" t="str">
        <f>"8307800"</f>
        <v>8307800</v>
      </c>
      <c r="D22045" t="s">
        <v>66812</v>
      </c>
      <c r="F22045" t="s">
        <v>66813</v>
      </c>
      <c r="I22045" t="s">
        <v>29</v>
      </c>
      <c r="J22045" t="s">
        <v>30</v>
      </c>
      <c r="K22045" t="str">
        <f>"27028"</f>
        <v>27028</v>
      </c>
      <c r="M22045" t="s">
        <v>51351</v>
      </c>
      <c r="N22045" t="str">
        <f>"3/5/2024 12:18:00 PM"</f>
        <v>3/5/2024 12:18:00 PM</v>
      </c>
      <c r="O22045" t="s">
        <v>66812</v>
      </c>
    </row>
    <row r="22046" spans="1:20" x14ac:dyDescent="0.25">
      <c r="A22046" t="str">
        <f>"3077988"</f>
        <v>3077988</v>
      </c>
      <c r="B22046" t="s">
        <v>66814</v>
      </c>
      <c r="C22046" t="str">
        <f>"8320330"</f>
        <v>8320330</v>
      </c>
      <c r="D22046" t="s">
        <v>66815</v>
      </c>
      <c r="F22046" t="s">
        <v>66816</v>
      </c>
      <c r="I22046" t="s">
        <v>29</v>
      </c>
      <c r="J22046" t="s">
        <v>30</v>
      </c>
      <c r="K22046" t="str">
        <f>"27028"</f>
        <v>27028</v>
      </c>
      <c r="M22046" t="s">
        <v>18470</v>
      </c>
      <c r="N22046" t="str">
        <f>"2/22/2024 1:29:00 PM"</f>
        <v>2/22/2024 1:29:00 PM</v>
      </c>
      <c r="O22046" t="s">
        <v>66815</v>
      </c>
    </row>
    <row r="22047" spans="1:20" x14ac:dyDescent="0.25">
      <c r="A22047" t="str">
        <f>"3047037"</f>
        <v>3047037</v>
      </c>
      <c r="B22047" t="s">
        <v>66817</v>
      </c>
      <c r="C22047" t="str">
        <f>"8320330"</f>
        <v>8320330</v>
      </c>
      <c r="D22047" t="s">
        <v>66815</v>
      </c>
      <c r="F22047" t="s">
        <v>66816</v>
      </c>
      <c r="I22047" t="s">
        <v>29</v>
      </c>
      <c r="J22047" t="s">
        <v>30</v>
      </c>
      <c r="K22047" t="str">
        <f>"27028"</f>
        <v>27028</v>
      </c>
      <c r="M22047" t="s">
        <v>18470</v>
      </c>
      <c r="N22047" t="str">
        <f>"2/22/2024 1:29:00 PM"</f>
        <v>2/22/2024 1:29:00 PM</v>
      </c>
      <c r="O22047" t="s">
        <v>66815</v>
      </c>
    </row>
    <row r="22048" spans="1:20" x14ac:dyDescent="0.25">
      <c r="A22048" t="str">
        <f>"3044839"</f>
        <v>3044839</v>
      </c>
      <c r="B22048" t="s">
        <v>66818</v>
      </c>
      <c r="C22048" t="str">
        <f>"8321950"</f>
        <v>8321950</v>
      </c>
      <c r="D22048" t="s">
        <v>66819</v>
      </c>
      <c r="E22048" t="s">
        <v>66820</v>
      </c>
      <c r="F22048" t="s">
        <v>66821</v>
      </c>
      <c r="I22048" t="s">
        <v>184</v>
      </c>
      <c r="J22048" t="s">
        <v>30</v>
      </c>
      <c r="K22048" t="s">
        <v>37974</v>
      </c>
      <c r="M22048" t="s">
        <v>50500</v>
      </c>
      <c r="N22048" t="str">
        <f>"2/22/2024 3:02:00 PM"</f>
        <v>2/22/2024 3:02:00 PM</v>
      </c>
      <c r="O22048" t="s">
        <v>66819</v>
      </c>
      <c r="T22048" t="s">
        <v>66820</v>
      </c>
    </row>
    <row r="22049" spans="1:20" x14ac:dyDescent="0.25">
      <c r="A22049" t="str">
        <f>"3057983"</f>
        <v>3057983</v>
      </c>
      <c r="B22049" t="s">
        <v>66822</v>
      </c>
      <c r="C22049" t="str">
        <f>"8321951"</f>
        <v>8321951</v>
      </c>
      <c r="D22049" t="s">
        <v>66823</v>
      </c>
      <c r="E22049" t="s">
        <v>66824</v>
      </c>
      <c r="F22049" t="s">
        <v>66825</v>
      </c>
      <c r="I22049" t="s">
        <v>184</v>
      </c>
      <c r="J22049" t="s">
        <v>30</v>
      </c>
      <c r="K22049" t="s">
        <v>44648</v>
      </c>
      <c r="M22049" t="s">
        <v>50500</v>
      </c>
      <c r="N22049" t="str">
        <f>"2/22/2024 3:28:00 PM"</f>
        <v>2/22/2024 3:28:00 PM</v>
      </c>
      <c r="O22049" t="s">
        <v>66823</v>
      </c>
      <c r="T22049" t="s">
        <v>66824</v>
      </c>
    </row>
    <row r="22050" spans="1:20" x14ac:dyDescent="0.25">
      <c r="A22050" t="str">
        <f>"3062735"</f>
        <v>3062735</v>
      </c>
      <c r="B22050" t="s">
        <v>66826</v>
      </c>
      <c r="C22050" t="str">
        <f>"8321954"</f>
        <v>8321954</v>
      </c>
      <c r="D22050" t="s">
        <v>66827</v>
      </c>
      <c r="E22050" t="s">
        <v>66828</v>
      </c>
      <c r="F22050" t="s">
        <v>66829</v>
      </c>
      <c r="I22050" t="s">
        <v>184</v>
      </c>
      <c r="J22050" t="s">
        <v>30</v>
      </c>
      <c r="K22050" t="s">
        <v>5026</v>
      </c>
      <c r="M22050" t="s">
        <v>50500</v>
      </c>
      <c r="N22050" t="str">
        <f>"2/23/2024 8:50:00 AM"</f>
        <v>2/23/2024 8:50:00 AM</v>
      </c>
      <c r="O22050" t="s">
        <v>66827</v>
      </c>
      <c r="T22050" t="s">
        <v>66828</v>
      </c>
    </row>
    <row r="22051" spans="1:20" x14ac:dyDescent="0.25">
      <c r="A22051" t="str">
        <f>"3039539"</f>
        <v>3039539</v>
      </c>
      <c r="B22051" t="s">
        <v>66830</v>
      </c>
      <c r="C22051" t="str">
        <f>"8310787"</f>
        <v>8310787</v>
      </c>
      <c r="D22051" t="s">
        <v>66831</v>
      </c>
      <c r="E22051" t="s">
        <v>66832</v>
      </c>
      <c r="F22051" t="s">
        <v>66833</v>
      </c>
      <c r="I22051" t="s">
        <v>184</v>
      </c>
      <c r="J22051" t="s">
        <v>30</v>
      </c>
      <c r="K22051" t="str">
        <f>"27006"</f>
        <v>27006</v>
      </c>
      <c r="M22051" t="s">
        <v>18470</v>
      </c>
      <c r="N22051" t="str">
        <f>"2/23/2024 10:12:00 AM"</f>
        <v>2/23/2024 10:12:00 AM</v>
      </c>
      <c r="O22051" t="s">
        <v>66831</v>
      </c>
      <c r="T22051" t="s">
        <v>66832</v>
      </c>
    </row>
    <row r="22052" spans="1:20" x14ac:dyDescent="0.25">
      <c r="A22052" t="str">
        <f>"3053180"</f>
        <v>3053180</v>
      </c>
      <c r="B22052" t="s">
        <v>66834</v>
      </c>
      <c r="C22052" t="str">
        <f>"8319482"</f>
        <v>8319482</v>
      </c>
      <c r="D22052" t="s">
        <v>66835</v>
      </c>
      <c r="E22052" t="s">
        <v>66836</v>
      </c>
      <c r="F22052" t="s">
        <v>66837</v>
      </c>
      <c r="I22052" t="s">
        <v>29</v>
      </c>
      <c r="J22052" t="s">
        <v>30</v>
      </c>
      <c r="K22052" t="str">
        <f>"27028"</f>
        <v>27028</v>
      </c>
      <c r="M22052" t="s">
        <v>18470</v>
      </c>
      <c r="N22052" t="str">
        <f>"2/26/2024 9:21:00 AM"</f>
        <v>2/26/2024 9:21:00 AM</v>
      </c>
      <c r="O22052" t="s">
        <v>66835</v>
      </c>
      <c r="T22052" t="s">
        <v>66836</v>
      </c>
    </row>
    <row r="22053" spans="1:20" x14ac:dyDescent="0.25">
      <c r="A22053" t="str">
        <f>"3042258"</f>
        <v>3042258</v>
      </c>
      <c r="B22053" t="s">
        <v>66838</v>
      </c>
      <c r="C22053" t="str">
        <f>"8304772"</f>
        <v>8304772</v>
      </c>
      <c r="D22053" t="s">
        <v>64082</v>
      </c>
      <c r="F22053" t="s">
        <v>66685</v>
      </c>
      <c r="I22053" t="s">
        <v>37425</v>
      </c>
      <c r="J22053" t="s">
        <v>30</v>
      </c>
      <c r="K22053" t="s">
        <v>66686</v>
      </c>
      <c r="M22053" t="s">
        <v>50621</v>
      </c>
      <c r="N22053" t="str">
        <f>"2/26/2024 9:26:00 AM"</f>
        <v>2/26/2024 9:26:00 AM</v>
      </c>
      <c r="O22053" t="s">
        <v>64082</v>
      </c>
    </row>
    <row r="22054" spans="1:20" x14ac:dyDescent="0.25">
      <c r="A22054" t="str">
        <f>"3051312"</f>
        <v>3051312</v>
      </c>
      <c r="B22054" t="s">
        <v>66839</v>
      </c>
      <c r="C22054" t="str">
        <f>"8300338"</f>
        <v>8300338</v>
      </c>
      <c r="D22054" t="s">
        <v>66840</v>
      </c>
      <c r="F22054" t="s">
        <v>66841</v>
      </c>
      <c r="I22054" t="s">
        <v>66842</v>
      </c>
      <c r="J22054" t="s">
        <v>30</v>
      </c>
      <c r="K22054" t="s">
        <v>66843</v>
      </c>
      <c r="M22054" t="s">
        <v>51351</v>
      </c>
      <c r="N22054" t="str">
        <f>"2/28/2024 9:23:00 AM"</f>
        <v>2/28/2024 9:23:00 AM</v>
      </c>
      <c r="O22054" t="s">
        <v>66840</v>
      </c>
    </row>
    <row r="22055" spans="1:20" x14ac:dyDescent="0.25">
      <c r="A22055" t="str">
        <f>"3043731"</f>
        <v>3043731</v>
      </c>
      <c r="B22055" t="s">
        <v>66844</v>
      </c>
      <c r="C22055" t="str">
        <f>"8321967"</f>
        <v>8321967</v>
      </c>
      <c r="D22055" t="s">
        <v>66845</v>
      </c>
      <c r="E22055" t="s">
        <v>66846</v>
      </c>
      <c r="F22055" t="s">
        <v>66847</v>
      </c>
      <c r="I22055" t="s">
        <v>29</v>
      </c>
      <c r="J22055" t="s">
        <v>30</v>
      </c>
      <c r="K22055" t="str">
        <f>"27028"</f>
        <v>27028</v>
      </c>
      <c r="M22055" t="s">
        <v>50500</v>
      </c>
      <c r="N22055" t="str">
        <f>"2/28/2024 1:40:00 PM"</f>
        <v>2/28/2024 1:40:00 PM</v>
      </c>
      <c r="O22055" t="s">
        <v>66845</v>
      </c>
      <c r="T22055" t="s">
        <v>66846</v>
      </c>
    </row>
    <row r="22056" spans="1:20" x14ac:dyDescent="0.25">
      <c r="A22056" t="str">
        <f>"3059111"</f>
        <v>3059111</v>
      </c>
      <c r="B22056" t="s">
        <v>66848</v>
      </c>
      <c r="C22056" t="str">
        <f>"8321968"</f>
        <v>8321968</v>
      </c>
      <c r="D22056" t="s">
        <v>66849</v>
      </c>
      <c r="E22056" t="s">
        <v>66850</v>
      </c>
      <c r="F22056" t="s">
        <v>66851</v>
      </c>
      <c r="I22056" t="s">
        <v>184</v>
      </c>
      <c r="J22056" t="s">
        <v>30</v>
      </c>
      <c r="K22056" t="s">
        <v>36136</v>
      </c>
      <c r="M22056" t="s">
        <v>50500</v>
      </c>
      <c r="N22056" t="str">
        <f>"2/28/2024 1:44:00 PM"</f>
        <v>2/28/2024 1:44:00 PM</v>
      </c>
      <c r="O22056" t="s">
        <v>66849</v>
      </c>
      <c r="T22056" t="s">
        <v>66850</v>
      </c>
    </row>
    <row r="22057" spans="1:20" x14ac:dyDescent="0.25">
      <c r="A22057" t="str">
        <f>"3061809"</f>
        <v>3061809</v>
      </c>
      <c r="B22057" t="s">
        <v>66852</v>
      </c>
      <c r="C22057" t="str">
        <f>"8319700"</f>
        <v>8319700</v>
      </c>
      <c r="D22057" t="s">
        <v>66853</v>
      </c>
      <c r="F22057" t="s">
        <v>66854</v>
      </c>
      <c r="I22057" t="s">
        <v>402</v>
      </c>
      <c r="J22057" t="s">
        <v>30</v>
      </c>
      <c r="K22057" t="s">
        <v>66855</v>
      </c>
      <c r="M22057" t="s">
        <v>50793</v>
      </c>
      <c r="N22057" t="str">
        <f>"2/19/2024 9:32:00 AM"</f>
        <v>2/19/2024 9:32:00 AM</v>
      </c>
      <c r="O22057" t="s">
        <v>66853</v>
      </c>
    </row>
    <row r="22058" spans="1:20" x14ac:dyDescent="0.25">
      <c r="A22058" t="str">
        <f>"3070363"</f>
        <v>3070363</v>
      </c>
      <c r="B22058" t="s">
        <v>66856</v>
      </c>
      <c r="C22058" t="str">
        <f>"82533121"</f>
        <v>82533121</v>
      </c>
      <c r="D22058" t="s">
        <v>66857</v>
      </c>
      <c r="F22058" t="s">
        <v>66858</v>
      </c>
      <c r="I22058" t="s">
        <v>29</v>
      </c>
      <c r="J22058" t="s">
        <v>30</v>
      </c>
      <c r="K22058" t="str">
        <f>"27028"</f>
        <v>27028</v>
      </c>
      <c r="M22058" t="s">
        <v>50793</v>
      </c>
      <c r="N22058" t="str">
        <f>"2/19/2024 9:33:00 AM"</f>
        <v>2/19/2024 9:33:00 AM</v>
      </c>
      <c r="O22058" t="s">
        <v>66857</v>
      </c>
    </row>
    <row r="22059" spans="1:20" x14ac:dyDescent="0.25">
      <c r="A22059" t="str">
        <f>"3078704"</f>
        <v>3078704</v>
      </c>
      <c r="B22059" t="s">
        <v>66859</v>
      </c>
      <c r="C22059" t="str">
        <f>"8322031"</f>
        <v>8322031</v>
      </c>
      <c r="D22059" t="s">
        <v>8187</v>
      </c>
      <c r="E22059" t="s">
        <v>66860</v>
      </c>
      <c r="F22059" t="s">
        <v>66861</v>
      </c>
      <c r="I22059" t="s">
        <v>402</v>
      </c>
      <c r="J22059" t="s">
        <v>30</v>
      </c>
      <c r="K22059" t="s">
        <v>66862</v>
      </c>
      <c r="M22059" t="s">
        <v>50500</v>
      </c>
      <c r="N22059" t="str">
        <f>"3/7/2024 9:36:00 AM"</f>
        <v>3/7/2024 9:36:00 AM</v>
      </c>
      <c r="O22059" t="s">
        <v>8187</v>
      </c>
      <c r="T22059" t="s">
        <v>66860</v>
      </c>
    </row>
    <row r="22060" spans="1:20" x14ac:dyDescent="0.25">
      <c r="A22060" t="str">
        <f>"3077709"</f>
        <v>3077709</v>
      </c>
      <c r="B22060" t="s">
        <v>66863</v>
      </c>
      <c r="C22060" t="str">
        <f>"8322032"</f>
        <v>8322032</v>
      </c>
      <c r="D22060" t="s">
        <v>66864</v>
      </c>
      <c r="E22060" t="s">
        <v>66865</v>
      </c>
      <c r="F22060" t="s">
        <v>66866</v>
      </c>
      <c r="I22060" t="s">
        <v>29</v>
      </c>
      <c r="J22060" t="s">
        <v>30</v>
      </c>
      <c r="K22060" t="s">
        <v>7146</v>
      </c>
      <c r="M22060" t="s">
        <v>50500</v>
      </c>
      <c r="N22060" t="str">
        <f>"3/7/2024 9:42:00 AM"</f>
        <v>3/7/2024 9:42:00 AM</v>
      </c>
      <c r="O22060" t="s">
        <v>66864</v>
      </c>
      <c r="T22060" t="s">
        <v>66865</v>
      </c>
    </row>
    <row r="22061" spans="1:20" x14ac:dyDescent="0.25">
      <c r="A22061" t="str">
        <f>"3051243"</f>
        <v>3051243</v>
      </c>
      <c r="B22061" t="s">
        <v>66867</v>
      </c>
      <c r="C22061" t="str">
        <f>"8322033"</f>
        <v>8322033</v>
      </c>
      <c r="D22061" t="s">
        <v>66868</v>
      </c>
      <c r="E22061" t="s">
        <v>14278</v>
      </c>
      <c r="F22061" t="s">
        <v>66869</v>
      </c>
      <c r="I22061" t="s">
        <v>29</v>
      </c>
      <c r="J22061" t="s">
        <v>30</v>
      </c>
      <c r="K22061" t="s">
        <v>14280</v>
      </c>
      <c r="M22061" t="s">
        <v>50500</v>
      </c>
      <c r="N22061" t="str">
        <f>"3/7/2024 9:47:00 AM"</f>
        <v>3/7/2024 9:47:00 AM</v>
      </c>
      <c r="O22061" t="s">
        <v>66868</v>
      </c>
      <c r="T22061" t="s">
        <v>14278</v>
      </c>
    </row>
    <row r="22062" spans="1:20" x14ac:dyDescent="0.25">
      <c r="A22062" t="str">
        <f>"3055943"</f>
        <v>3055943</v>
      </c>
      <c r="B22062" t="s">
        <v>66870</v>
      </c>
      <c r="C22062" t="str">
        <f>"8322034"</f>
        <v>8322034</v>
      </c>
      <c r="D22062" t="s">
        <v>66871</v>
      </c>
      <c r="F22062" t="s">
        <v>66872</v>
      </c>
      <c r="I22062" t="s">
        <v>14397</v>
      </c>
      <c r="J22062" t="s">
        <v>4132</v>
      </c>
      <c r="K22062" t="s">
        <v>66873</v>
      </c>
      <c r="M22062" t="s">
        <v>50500</v>
      </c>
      <c r="N22062" t="str">
        <f>"3/7/2024 9:54:00 AM"</f>
        <v>3/7/2024 9:54:00 AM</v>
      </c>
      <c r="O22062" t="s">
        <v>66871</v>
      </c>
    </row>
    <row r="22063" spans="1:20" x14ac:dyDescent="0.25">
      <c r="A22063" t="str">
        <f>"3055645"</f>
        <v>3055645</v>
      </c>
      <c r="B22063" t="s">
        <v>66874</v>
      </c>
      <c r="C22063" t="str">
        <f>"8322035"</f>
        <v>8322035</v>
      </c>
      <c r="D22063" t="s">
        <v>66875</v>
      </c>
      <c r="E22063" t="s">
        <v>66876</v>
      </c>
      <c r="F22063" t="s">
        <v>27140</v>
      </c>
      <c r="I22063" t="s">
        <v>9580</v>
      </c>
      <c r="J22063" t="s">
        <v>30</v>
      </c>
      <c r="K22063" t="s">
        <v>66877</v>
      </c>
      <c r="M22063" t="s">
        <v>50500</v>
      </c>
      <c r="N22063" t="str">
        <f>"3/7/2024 9:59:00 AM"</f>
        <v>3/7/2024 9:59:00 AM</v>
      </c>
      <c r="O22063" t="s">
        <v>66875</v>
      </c>
      <c r="T22063" t="s">
        <v>66876</v>
      </c>
    </row>
    <row r="22064" spans="1:20" x14ac:dyDescent="0.25">
      <c r="A22064" t="str">
        <f>"3042594"</f>
        <v>3042594</v>
      </c>
      <c r="B22064" t="s">
        <v>66878</v>
      </c>
      <c r="C22064" t="str">
        <f>"8307881"</f>
        <v>8307881</v>
      </c>
      <c r="D22064" t="s">
        <v>66879</v>
      </c>
      <c r="F22064" t="s">
        <v>66880</v>
      </c>
      <c r="I22064" t="s">
        <v>66881</v>
      </c>
      <c r="J22064" t="s">
        <v>3990</v>
      </c>
      <c r="K22064" t="s">
        <v>66882</v>
      </c>
      <c r="M22064" t="s">
        <v>50793</v>
      </c>
      <c r="N22064" t="str">
        <f>"2/19/2024 9:33:00 AM"</f>
        <v>2/19/2024 9:33:00 AM</v>
      </c>
      <c r="O22064" t="s">
        <v>66879</v>
      </c>
    </row>
    <row r="22065" spans="1:20" x14ac:dyDescent="0.25">
      <c r="A22065" t="str">
        <f>"3045217"</f>
        <v>3045217</v>
      </c>
      <c r="B22065" t="s">
        <v>66883</v>
      </c>
      <c r="C22065" t="str">
        <f>"8321981"</f>
        <v>8321981</v>
      </c>
      <c r="D22065" t="s">
        <v>66884</v>
      </c>
      <c r="E22065" t="s">
        <v>66885</v>
      </c>
      <c r="F22065" t="s">
        <v>66886</v>
      </c>
      <c r="I22065" t="s">
        <v>3196</v>
      </c>
      <c r="J22065" t="s">
        <v>30</v>
      </c>
      <c r="K22065" t="s">
        <v>66756</v>
      </c>
      <c r="M22065" t="s">
        <v>50500</v>
      </c>
      <c r="N22065" t="str">
        <f>"2/29/2024 12:53:00 PM"</f>
        <v>2/29/2024 12:53:00 PM</v>
      </c>
      <c r="O22065" t="s">
        <v>66884</v>
      </c>
      <c r="T22065" t="s">
        <v>66885</v>
      </c>
    </row>
    <row r="22066" spans="1:20" x14ac:dyDescent="0.25">
      <c r="A22066" t="str">
        <f>"3057518"</f>
        <v>3057518</v>
      </c>
      <c r="B22066" t="s">
        <v>66887</v>
      </c>
      <c r="C22066" t="str">
        <f>"30680000"</f>
        <v>30680000</v>
      </c>
      <c r="D22066" t="s">
        <v>66888</v>
      </c>
      <c r="E22066" t="s">
        <v>66889</v>
      </c>
      <c r="F22066" t="s">
        <v>66890</v>
      </c>
      <c r="I22066" t="s">
        <v>32716</v>
      </c>
      <c r="J22066" t="s">
        <v>30</v>
      </c>
      <c r="K22066" t="s">
        <v>66891</v>
      </c>
      <c r="M22066" t="s">
        <v>50621</v>
      </c>
      <c r="N22066" t="str">
        <f>"3/4/2024 11:16:00 AM"</f>
        <v>3/4/2024 11:16:00 AM</v>
      </c>
      <c r="O22066" t="s">
        <v>66888</v>
      </c>
      <c r="T22066" t="s">
        <v>66889</v>
      </c>
    </row>
    <row r="22067" spans="1:20" x14ac:dyDescent="0.25">
      <c r="A22067" t="str">
        <f>"3040703"</f>
        <v>3040703</v>
      </c>
      <c r="B22067" t="s">
        <v>66892</v>
      </c>
      <c r="C22067" t="str">
        <f>"82532709"</f>
        <v>82532709</v>
      </c>
      <c r="D22067" t="s">
        <v>66893</v>
      </c>
      <c r="F22067" t="s">
        <v>32977</v>
      </c>
      <c r="I22067" t="s">
        <v>184</v>
      </c>
      <c r="J22067" t="s">
        <v>30</v>
      </c>
      <c r="K22067" t="s">
        <v>185</v>
      </c>
      <c r="M22067" t="s">
        <v>50793</v>
      </c>
      <c r="N22067" t="str">
        <f>"3/8/2024 9:30:00 AM"</f>
        <v>3/8/2024 9:30:00 AM</v>
      </c>
      <c r="O22067" t="s">
        <v>66893</v>
      </c>
    </row>
    <row r="22068" spans="1:20" x14ac:dyDescent="0.25">
      <c r="A22068" t="str">
        <f>"3056517"</f>
        <v>3056517</v>
      </c>
      <c r="B22068" t="s">
        <v>66894</v>
      </c>
      <c r="C22068" t="str">
        <f>"8322040"</f>
        <v>8322040</v>
      </c>
      <c r="D22068" t="s">
        <v>66895</v>
      </c>
      <c r="F22068" t="s">
        <v>66896</v>
      </c>
      <c r="I22068" t="s">
        <v>29</v>
      </c>
      <c r="J22068" t="s">
        <v>30</v>
      </c>
      <c r="K22068" t="s">
        <v>16498</v>
      </c>
      <c r="M22068" t="s">
        <v>50500</v>
      </c>
      <c r="N22068" t="str">
        <f>"3/8/2024 10:08:00 AM"</f>
        <v>3/8/2024 10:08:00 AM</v>
      </c>
      <c r="O22068" t="s">
        <v>66895</v>
      </c>
    </row>
    <row r="22069" spans="1:20" x14ac:dyDescent="0.25">
      <c r="A22069" t="str">
        <f>"3044923"</f>
        <v>3044923</v>
      </c>
      <c r="B22069" t="s">
        <v>66897</v>
      </c>
      <c r="C22069" t="str">
        <f>"8322041"</f>
        <v>8322041</v>
      </c>
      <c r="D22069" t="s">
        <v>66898</v>
      </c>
      <c r="E22069" t="s">
        <v>66899</v>
      </c>
      <c r="F22069" t="s">
        <v>66900</v>
      </c>
      <c r="I22069" t="s">
        <v>184</v>
      </c>
      <c r="J22069" t="s">
        <v>30</v>
      </c>
      <c r="K22069" t="s">
        <v>6036</v>
      </c>
      <c r="M22069" t="s">
        <v>50500</v>
      </c>
      <c r="N22069" t="str">
        <f>"3/8/2024 10:58:00 AM"</f>
        <v>3/8/2024 10:58:00 AM</v>
      </c>
      <c r="O22069" t="s">
        <v>66898</v>
      </c>
      <c r="T22069" t="s">
        <v>66899</v>
      </c>
    </row>
    <row r="22070" spans="1:20" x14ac:dyDescent="0.25">
      <c r="A22070" t="str">
        <f>"3041087"</f>
        <v>3041087</v>
      </c>
      <c r="B22070" t="s">
        <v>66901</v>
      </c>
      <c r="C22070" t="str">
        <f>"82514100"</f>
        <v>82514100</v>
      </c>
      <c r="D22070" t="s">
        <v>66902</v>
      </c>
      <c r="F22070" t="s">
        <v>66903</v>
      </c>
      <c r="I22070" t="s">
        <v>23790</v>
      </c>
      <c r="J22070" t="s">
        <v>30</v>
      </c>
      <c r="K22070" t="s">
        <v>66904</v>
      </c>
      <c r="M22070" t="s">
        <v>52111</v>
      </c>
      <c r="N22070" t="str">
        <f>"3/8/2024 11:47:00 AM"</f>
        <v>3/8/2024 11:47:00 AM</v>
      </c>
      <c r="O22070" t="s">
        <v>66902</v>
      </c>
    </row>
    <row r="22071" spans="1:20" x14ac:dyDescent="0.25">
      <c r="A22071" t="str">
        <f>"3041089"</f>
        <v>3041089</v>
      </c>
      <c r="B22071" t="s">
        <v>66905</v>
      </c>
      <c r="C22071" t="str">
        <f>"82514100"</f>
        <v>82514100</v>
      </c>
      <c r="D22071" t="s">
        <v>66902</v>
      </c>
      <c r="F22071" t="s">
        <v>66903</v>
      </c>
      <c r="I22071" t="s">
        <v>23790</v>
      </c>
      <c r="J22071" t="s">
        <v>30</v>
      </c>
      <c r="K22071" t="s">
        <v>66904</v>
      </c>
      <c r="M22071" t="s">
        <v>52111</v>
      </c>
      <c r="N22071" t="str">
        <f>"3/8/2024 11:47:00 AM"</f>
        <v>3/8/2024 11:47:00 AM</v>
      </c>
      <c r="O22071" t="s">
        <v>66902</v>
      </c>
    </row>
    <row r="22072" spans="1:20" x14ac:dyDescent="0.25">
      <c r="A22072" t="str">
        <f>"3062658"</f>
        <v>3062658</v>
      </c>
      <c r="B22072" t="s">
        <v>66906</v>
      </c>
      <c r="C22072" t="str">
        <f>"8322042"</f>
        <v>8322042</v>
      </c>
      <c r="D22072" t="s">
        <v>66907</v>
      </c>
      <c r="E22072" t="s">
        <v>66908</v>
      </c>
      <c r="F22072" t="s">
        <v>66909</v>
      </c>
      <c r="I22072" t="s">
        <v>29</v>
      </c>
      <c r="J22072" t="s">
        <v>30</v>
      </c>
      <c r="K22072" t="s">
        <v>39735</v>
      </c>
      <c r="M22072" t="s">
        <v>50500</v>
      </c>
      <c r="N22072" t="str">
        <f>"3/8/2024 12:41:00 PM"</f>
        <v>3/8/2024 12:41:00 PM</v>
      </c>
      <c r="O22072" t="s">
        <v>66907</v>
      </c>
      <c r="T22072" t="s">
        <v>66908</v>
      </c>
    </row>
    <row r="22073" spans="1:20" x14ac:dyDescent="0.25">
      <c r="A22073" t="str">
        <f>"3056052"</f>
        <v>3056052</v>
      </c>
      <c r="B22073" t="s">
        <v>66910</v>
      </c>
      <c r="C22073" t="str">
        <f>"8314894"</f>
        <v>8314894</v>
      </c>
      <c r="D22073" t="s">
        <v>66911</v>
      </c>
      <c r="F22073" t="s">
        <v>66912</v>
      </c>
      <c r="I22073" t="s">
        <v>184</v>
      </c>
      <c r="J22073" t="s">
        <v>30</v>
      </c>
      <c r="K22073" t="s">
        <v>61981</v>
      </c>
      <c r="M22073" t="s">
        <v>50621</v>
      </c>
      <c r="N22073" t="str">
        <f>"3/4/2024 11:25:00 AM"</f>
        <v>3/4/2024 11:25:00 AM</v>
      </c>
      <c r="O22073" t="s">
        <v>66911</v>
      </c>
    </row>
    <row r="22074" spans="1:20" x14ac:dyDescent="0.25">
      <c r="A22074" t="str">
        <f>"3044905"</f>
        <v>3044905</v>
      </c>
      <c r="B22074" t="s">
        <v>66913</v>
      </c>
      <c r="C22074" t="str">
        <f>"8322046"</f>
        <v>8322046</v>
      </c>
      <c r="D22074" t="s">
        <v>66914</v>
      </c>
      <c r="E22074" t="s">
        <v>66915</v>
      </c>
      <c r="F22074" t="s">
        <v>66916</v>
      </c>
      <c r="I22074" t="s">
        <v>184</v>
      </c>
      <c r="J22074" t="s">
        <v>30</v>
      </c>
      <c r="K22074" t="s">
        <v>34047</v>
      </c>
      <c r="M22074" t="s">
        <v>50500</v>
      </c>
      <c r="N22074" t="str">
        <f>"3/11/2024 9:49:00 AM"</f>
        <v>3/11/2024 9:49:00 AM</v>
      </c>
      <c r="O22074" t="s">
        <v>66914</v>
      </c>
      <c r="T22074" t="s">
        <v>66915</v>
      </c>
    </row>
    <row r="22075" spans="1:20" x14ac:dyDescent="0.25">
      <c r="A22075" t="str">
        <f>"3068178"</f>
        <v>3068178</v>
      </c>
      <c r="B22075" t="s">
        <v>66917</v>
      </c>
      <c r="C22075" t="str">
        <f>"8314894"</f>
        <v>8314894</v>
      </c>
      <c r="D22075" t="s">
        <v>66911</v>
      </c>
      <c r="F22075" t="s">
        <v>66912</v>
      </c>
      <c r="I22075" t="s">
        <v>184</v>
      </c>
      <c r="J22075" t="s">
        <v>30</v>
      </c>
      <c r="K22075" t="s">
        <v>61981</v>
      </c>
      <c r="M22075" t="s">
        <v>50621</v>
      </c>
      <c r="N22075" t="str">
        <f>"3/4/2024 11:25:00 AM"</f>
        <v>3/4/2024 11:25:00 AM</v>
      </c>
      <c r="O22075" t="s">
        <v>66911</v>
      </c>
    </row>
    <row r="22076" spans="1:20" x14ac:dyDescent="0.25">
      <c r="A22076" t="str">
        <f>"3037892"</f>
        <v>3037892</v>
      </c>
      <c r="B22076" t="s">
        <v>66918</v>
      </c>
      <c r="C22076" t="str">
        <f>"8309072"</f>
        <v>8309072</v>
      </c>
      <c r="D22076" t="s">
        <v>66919</v>
      </c>
      <c r="E22076" t="s">
        <v>66920</v>
      </c>
      <c r="F22076" t="s">
        <v>48758</v>
      </c>
      <c r="I22076" t="s">
        <v>29</v>
      </c>
      <c r="J22076" t="s">
        <v>30</v>
      </c>
      <c r="K22076" t="s">
        <v>38830</v>
      </c>
      <c r="M22076" t="s">
        <v>51351</v>
      </c>
      <c r="N22076" t="str">
        <f>"3/4/2024 11:55:00 AM"</f>
        <v>3/4/2024 11:55:00 AM</v>
      </c>
      <c r="O22076" t="s">
        <v>66919</v>
      </c>
      <c r="T22076" t="s">
        <v>66920</v>
      </c>
    </row>
    <row r="22077" spans="1:20" x14ac:dyDescent="0.25">
      <c r="A22077" t="str">
        <f>"3056009"</f>
        <v>3056009</v>
      </c>
      <c r="B22077" t="s">
        <v>66921</v>
      </c>
      <c r="C22077" t="str">
        <f>"10017750"</f>
        <v>10017750</v>
      </c>
      <c r="D22077" t="s">
        <v>66922</v>
      </c>
      <c r="F22077" t="str">
        <f>"C/O JUDITH F BRITTAIN"</f>
        <v>C/O JUDITH F BRITTAIN</v>
      </c>
      <c r="G22077" t="s">
        <v>66923</v>
      </c>
      <c r="I22077" t="s">
        <v>9580</v>
      </c>
      <c r="J22077" t="s">
        <v>30</v>
      </c>
      <c r="K22077" t="s">
        <v>9581</v>
      </c>
      <c r="M22077" t="s">
        <v>50621</v>
      </c>
      <c r="N22077" t="str">
        <f>"3/11/2024 10:21:00 AM"</f>
        <v>3/11/2024 10:21:00 AM</v>
      </c>
      <c r="O22077" t="s">
        <v>66922</v>
      </c>
    </row>
    <row r="22078" spans="1:20" x14ac:dyDescent="0.25">
      <c r="A22078" t="str">
        <f>"3041292"</f>
        <v>3041292</v>
      </c>
      <c r="B22078" t="s">
        <v>66924</v>
      </c>
      <c r="C22078" t="str">
        <f>"8318485"</f>
        <v>8318485</v>
      </c>
      <c r="D22078" t="s">
        <v>66925</v>
      </c>
      <c r="E22078" t="s">
        <v>66926</v>
      </c>
      <c r="F22078" t="s">
        <v>66927</v>
      </c>
      <c r="G22078" t="s">
        <v>66928</v>
      </c>
      <c r="I22078" t="s">
        <v>46412</v>
      </c>
      <c r="J22078" t="s">
        <v>30</v>
      </c>
      <c r="K22078" t="str">
        <f>"27330"</f>
        <v>27330</v>
      </c>
      <c r="M22078" t="s">
        <v>25625</v>
      </c>
      <c r="N22078" t="str">
        <f>"3/11/2024 10:53:00 AM"</f>
        <v>3/11/2024 10:53:00 AM</v>
      </c>
      <c r="O22078" t="s">
        <v>66925</v>
      </c>
      <c r="T22078" t="s">
        <v>66926</v>
      </c>
    </row>
    <row r="22079" spans="1:20" x14ac:dyDescent="0.25">
      <c r="A22079" t="str">
        <f>"3055269"</f>
        <v>3055269</v>
      </c>
      <c r="B22079" t="s">
        <v>66929</v>
      </c>
      <c r="C22079" t="str">
        <f>"45678430"</f>
        <v>45678430</v>
      </c>
      <c r="D22079" t="s">
        <v>66930</v>
      </c>
      <c r="E22079" t="s">
        <v>66931</v>
      </c>
      <c r="F22079" t="s">
        <v>66932</v>
      </c>
      <c r="I22079" t="s">
        <v>29</v>
      </c>
      <c r="J22079" t="s">
        <v>30</v>
      </c>
      <c r="K22079" t="s">
        <v>31</v>
      </c>
      <c r="M22079" t="s">
        <v>51351</v>
      </c>
      <c r="N22079" t="str">
        <f>"3/11/2024 1:51:00 PM"</f>
        <v>3/11/2024 1:51:00 PM</v>
      </c>
      <c r="O22079" t="s">
        <v>66930</v>
      </c>
      <c r="T22079" t="s">
        <v>66931</v>
      </c>
    </row>
    <row r="22080" spans="1:20" x14ac:dyDescent="0.25">
      <c r="A22080" t="str">
        <f>"3060295"</f>
        <v>3060295</v>
      </c>
      <c r="B22080" t="s">
        <v>66933</v>
      </c>
      <c r="C22080" t="str">
        <f>"8312205"</f>
        <v>8312205</v>
      </c>
      <c r="D22080" t="s">
        <v>66934</v>
      </c>
      <c r="E22080" t="s">
        <v>66935</v>
      </c>
      <c r="F22080" t="s">
        <v>66936</v>
      </c>
      <c r="I22080" t="s">
        <v>29</v>
      </c>
      <c r="J22080" t="s">
        <v>30</v>
      </c>
      <c r="K22080" t="s">
        <v>63676</v>
      </c>
      <c r="M22080" t="s">
        <v>25733</v>
      </c>
      <c r="N22080" t="str">
        <f>"3/4/2024 3:03:00 PM"</f>
        <v>3/4/2024 3:03:00 PM</v>
      </c>
      <c r="O22080" t="s">
        <v>66934</v>
      </c>
      <c r="T22080" t="s">
        <v>66935</v>
      </c>
    </row>
    <row r="22081" spans="1:20" x14ac:dyDescent="0.25">
      <c r="A22081" t="str">
        <f>"3078164"</f>
        <v>3078164</v>
      </c>
      <c r="B22081" t="s">
        <v>66937</v>
      </c>
      <c r="C22081" t="str">
        <f>"8322017"</f>
        <v>8322017</v>
      </c>
      <c r="D22081" t="s">
        <v>66938</v>
      </c>
      <c r="F22081" t="s">
        <v>66939</v>
      </c>
      <c r="I22081" t="s">
        <v>29</v>
      </c>
      <c r="J22081" t="s">
        <v>30</v>
      </c>
      <c r="K22081" t="s">
        <v>66940</v>
      </c>
      <c r="M22081" t="s">
        <v>50500</v>
      </c>
      <c r="N22081" t="str">
        <f>"3/5/2024 2:45:00 PM"</f>
        <v>3/5/2024 2:45:00 PM</v>
      </c>
      <c r="O22081" t="s">
        <v>66938</v>
      </c>
    </row>
    <row r="22082" spans="1:20" x14ac:dyDescent="0.25">
      <c r="A22082" t="str">
        <f>"3040738"</f>
        <v>3040738</v>
      </c>
      <c r="B22082" t="s">
        <v>66941</v>
      </c>
      <c r="C22082" t="str">
        <f>"8322052"</f>
        <v>8322052</v>
      </c>
      <c r="D22082" t="s">
        <v>66942</v>
      </c>
      <c r="F22082" t="s">
        <v>66943</v>
      </c>
      <c r="I22082" t="s">
        <v>184</v>
      </c>
      <c r="J22082" t="s">
        <v>30</v>
      </c>
      <c r="K22082" t="s">
        <v>1885</v>
      </c>
      <c r="M22082" t="s">
        <v>50500</v>
      </c>
      <c r="N22082" t="str">
        <f>"3/12/2024 8:41:00 AM"</f>
        <v>3/12/2024 8:41:00 AM</v>
      </c>
      <c r="O22082" t="s">
        <v>66942</v>
      </c>
    </row>
    <row r="22083" spans="1:20" x14ac:dyDescent="0.25">
      <c r="A22083" t="str">
        <f>"3056644"</f>
        <v>3056644</v>
      </c>
      <c r="B22083" t="s">
        <v>66944</v>
      </c>
      <c r="C22083" t="str">
        <f>"8322054"</f>
        <v>8322054</v>
      </c>
      <c r="D22083" t="str">
        <f>"MARTIN WILLIAM JOSEPH TR/FALLER NANCY I TR"</f>
        <v>MARTIN WILLIAM JOSEPH TR/FALLER NANCY I TR</v>
      </c>
      <c r="E22083" t="s">
        <v>66945</v>
      </c>
      <c r="F22083" t="s">
        <v>56092</v>
      </c>
      <c r="I22083" t="s">
        <v>29</v>
      </c>
      <c r="J22083" t="s">
        <v>30</v>
      </c>
      <c r="K22083" t="s">
        <v>16035</v>
      </c>
      <c r="M22083" t="s">
        <v>50500</v>
      </c>
      <c r="N22083" t="str">
        <f>"3/12/2024 8:48:00 AM"</f>
        <v>3/12/2024 8:48:00 AM</v>
      </c>
      <c r="O22083" t="str">
        <f>"MARTIN WILLIAM JOSEPH TR/FALLER NANCY I TR"</f>
        <v>MARTIN WILLIAM JOSEPH TR/FALLER NANCY I TR</v>
      </c>
      <c r="T22083" t="s">
        <v>66945</v>
      </c>
    </row>
    <row r="22084" spans="1:20" x14ac:dyDescent="0.25">
      <c r="A22084" t="str">
        <f>"3068235"</f>
        <v>3068235</v>
      </c>
      <c r="B22084" t="s">
        <v>66946</v>
      </c>
      <c r="C22084" t="str">
        <f>"8322055"</f>
        <v>8322055</v>
      </c>
      <c r="D22084" t="s">
        <v>66947</v>
      </c>
      <c r="E22084" t="s">
        <v>66948</v>
      </c>
      <c r="F22084" t="s">
        <v>66949</v>
      </c>
      <c r="I22084" t="s">
        <v>184</v>
      </c>
      <c r="J22084" t="s">
        <v>30</v>
      </c>
      <c r="K22084" t="s">
        <v>64153</v>
      </c>
      <c r="M22084" t="s">
        <v>50500</v>
      </c>
      <c r="N22084" t="str">
        <f>"3/12/2024 8:58:00 AM"</f>
        <v>3/12/2024 8:58:00 AM</v>
      </c>
      <c r="O22084" t="s">
        <v>66947</v>
      </c>
      <c r="T22084" t="s">
        <v>66948</v>
      </c>
    </row>
    <row r="22085" spans="1:20" x14ac:dyDescent="0.25">
      <c r="A22085" t="str">
        <f>"3078264"</f>
        <v>3078264</v>
      </c>
      <c r="B22085" t="s">
        <v>66950</v>
      </c>
      <c r="C22085" t="str">
        <f>"8322056"</f>
        <v>8322056</v>
      </c>
      <c r="D22085" t="s">
        <v>66951</v>
      </c>
      <c r="F22085" t="s">
        <v>66952</v>
      </c>
      <c r="I22085" t="s">
        <v>66953</v>
      </c>
      <c r="J22085" t="s">
        <v>30</v>
      </c>
      <c r="K22085" t="s">
        <v>66954</v>
      </c>
      <c r="M22085" t="s">
        <v>50500</v>
      </c>
      <c r="N22085" t="str">
        <f>"3/12/2024 9:09:00 AM"</f>
        <v>3/12/2024 9:09:00 AM</v>
      </c>
      <c r="O22085" t="s">
        <v>66951</v>
      </c>
    </row>
    <row r="22086" spans="1:20" x14ac:dyDescent="0.25">
      <c r="A22086" t="str">
        <f>"3048426"</f>
        <v>3048426</v>
      </c>
      <c r="B22086" t="s">
        <v>66955</v>
      </c>
      <c r="C22086" t="str">
        <f>"8322056"</f>
        <v>8322056</v>
      </c>
      <c r="D22086" t="s">
        <v>66951</v>
      </c>
      <c r="F22086" t="s">
        <v>66952</v>
      </c>
      <c r="I22086" t="s">
        <v>66953</v>
      </c>
      <c r="J22086" t="s">
        <v>30</v>
      </c>
      <c r="K22086" t="s">
        <v>66954</v>
      </c>
      <c r="M22086" t="s">
        <v>50500</v>
      </c>
      <c r="N22086" t="str">
        <f>"3/12/2024 9:09:00 AM"</f>
        <v>3/12/2024 9:09:00 AM</v>
      </c>
      <c r="O22086" t="s">
        <v>66951</v>
      </c>
    </row>
    <row r="22087" spans="1:20" x14ac:dyDescent="0.25">
      <c r="A22087" t="str">
        <f>"3051001"</f>
        <v>3051001</v>
      </c>
      <c r="B22087" t="s">
        <v>66956</v>
      </c>
      <c r="C22087" t="str">
        <f>"8322057"</f>
        <v>8322057</v>
      </c>
      <c r="D22087" t="s">
        <v>66957</v>
      </c>
      <c r="E22087" t="s">
        <v>66958</v>
      </c>
      <c r="F22087" t="s">
        <v>66959</v>
      </c>
      <c r="I22087" t="s">
        <v>184</v>
      </c>
      <c r="J22087" t="s">
        <v>30</v>
      </c>
      <c r="K22087" t="s">
        <v>10464</v>
      </c>
      <c r="M22087" t="s">
        <v>50500</v>
      </c>
      <c r="N22087" t="str">
        <f>"3/12/2024 9:31:00 AM"</f>
        <v>3/12/2024 9:31:00 AM</v>
      </c>
      <c r="O22087" t="s">
        <v>66957</v>
      </c>
      <c r="T22087" t="s">
        <v>66958</v>
      </c>
    </row>
    <row r="22088" spans="1:20" x14ac:dyDescent="0.25">
      <c r="A22088" t="str">
        <f>"3062712"</f>
        <v>3062712</v>
      </c>
      <c r="B22088" t="s">
        <v>66960</v>
      </c>
      <c r="C22088" t="str">
        <f>"8322058"</f>
        <v>8322058</v>
      </c>
      <c r="D22088" t="s">
        <v>66961</v>
      </c>
      <c r="E22088" t="s">
        <v>66962</v>
      </c>
      <c r="F22088" t="s">
        <v>66963</v>
      </c>
      <c r="I22088" t="s">
        <v>29</v>
      </c>
      <c r="J22088" t="s">
        <v>30</v>
      </c>
      <c r="K22088" t="s">
        <v>15135</v>
      </c>
      <c r="M22088" t="s">
        <v>50500</v>
      </c>
      <c r="N22088" t="str">
        <f>"3/12/2024 9:36:00 AM"</f>
        <v>3/12/2024 9:36:00 AM</v>
      </c>
      <c r="O22088" t="s">
        <v>66961</v>
      </c>
      <c r="T22088" t="s">
        <v>66962</v>
      </c>
    </row>
    <row r="22089" spans="1:20" x14ac:dyDescent="0.25">
      <c r="A22089" t="str">
        <f>"3037512"</f>
        <v>3037512</v>
      </c>
      <c r="B22089" t="s">
        <v>66964</v>
      </c>
      <c r="C22089" t="str">
        <f>"204000"</f>
        <v>204000</v>
      </c>
      <c r="D22089" t="s">
        <v>66965</v>
      </c>
      <c r="E22089" t="s">
        <v>66966</v>
      </c>
      <c r="F22089" t="s">
        <v>66967</v>
      </c>
      <c r="I22089" t="s">
        <v>66968</v>
      </c>
      <c r="J22089" t="s">
        <v>1543</v>
      </c>
      <c r="K22089" t="s">
        <v>66969</v>
      </c>
      <c r="M22089" t="s">
        <v>50621</v>
      </c>
      <c r="N22089" t="str">
        <f>"3/12/2024 10:39:00 AM"</f>
        <v>3/12/2024 10:39:00 AM</v>
      </c>
      <c r="O22089" t="s">
        <v>66965</v>
      </c>
      <c r="T22089" t="s">
        <v>66966</v>
      </c>
    </row>
    <row r="22090" spans="1:20" x14ac:dyDescent="0.25">
      <c r="A22090" t="str">
        <f>"3048455"</f>
        <v>3048455</v>
      </c>
      <c r="B22090" t="s">
        <v>66970</v>
      </c>
      <c r="C22090" t="str">
        <f>"8318262"</f>
        <v>8318262</v>
      </c>
      <c r="D22090" t="s">
        <v>66971</v>
      </c>
      <c r="E22090" t="s">
        <v>66972</v>
      </c>
      <c r="F22090" t="s">
        <v>66973</v>
      </c>
      <c r="I22090" t="s">
        <v>29</v>
      </c>
      <c r="J22090" t="s">
        <v>30</v>
      </c>
      <c r="K22090" t="str">
        <f>"27028"</f>
        <v>27028</v>
      </c>
      <c r="M22090" t="s">
        <v>50621</v>
      </c>
      <c r="N22090" t="str">
        <f>"3/6/2024 9:38:00 AM"</f>
        <v>3/6/2024 9:38:00 AM</v>
      </c>
      <c r="O22090" t="s">
        <v>66971</v>
      </c>
      <c r="T22090" t="s">
        <v>66972</v>
      </c>
    </row>
    <row r="22091" spans="1:20" x14ac:dyDescent="0.25">
      <c r="A22091" t="str">
        <f>"3043093"</f>
        <v>3043093</v>
      </c>
      <c r="B22091" t="s">
        <v>66974</v>
      </c>
      <c r="C22091" t="str">
        <f>"82526585"</f>
        <v>82526585</v>
      </c>
      <c r="D22091" t="s">
        <v>66975</v>
      </c>
      <c r="E22091" t="s">
        <v>66976</v>
      </c>
      <c r="F22091" t="s">
        <v>66977</v>
      </c>
      <c r="I22091" t="s">
        <v>29</v>
      </c>
      <c r="J22091" t="s">
        <v>30</v>
      </c>
      <c r="K22091" t="s">
        <v>31</v>
      </c>
      <c r="M22091" t="s">
        <v>50621</v>
      </c>
      <c r="N22091" t="str">
        <f>"3/12/2024 11:22:00 AM"</f>
        <v>3/12/2024 11:22:00 AM</v>
      </c>
      <c r="O22091" t="s">
        <v>66975</v>
      </c>
      <c r="T22091" t="s">
        <v>66976</v>
      </c>
    </row>
    <row r="22092" spans="1:20" x14ac:dyDescent="0.25">
      <c r="A22092" t="str">
        <f>"3043654"</f>
        <v>3043654</v>
      </c>
      <c r="B22092" t="s">
        <v>66978</v>
      </c>
      <c r="C22092" t="str">
        <f>"82526585"</f>
        <v>82526585</v>
      </c>
      <c r="D22092" t="s">
        <v>66975</v>
      </c>
      <c r="E22092" t="s">
        <v>66976</v>
      </c>
      <c r="F22092" t="s">
        <v>66977</v>
      </c>
      <c r="I22092" t="s">
        <v>29</v>
      </c>
      <c r="J22092" t="s">
        <v>30</v>
      </c>
      <c r="K22092" t="s">
        <v>31</v>
      </c>
      <c r="M22092" t="s">
        <v>50621</v>
      </c>
      <c r="N22092" t="str">
        <f>"3/12/2024 11:22:00 AM"</f>
        <v>3/12/2024 11:22:00 AM</v>
      </c>
      <c r="O22092" t="s">
        <v>66975</v>
      </c>
      <c r="T22092" t="s">
        <v>66976</v>
      </c>
    </row>
    <row r="22093" spans="1:20" x14ac:dyDescent="0.25">
      <c r="A22093" t="str">
        <f>"3048745"</f>
        <v>3048745</v>
      </c>
      <c r="B22093" t="s">
        <v>66979</v>
      </c>
      <c r="C22093" t="str">
        <f>"8318262"</f>
        <v>8318262</v>
      </c>
      <c r="D22093" t="s">
        <v>66971</v>
      </c>
      <c r="E22093" t="s">
        <v>66972</v>
      </c>
      <c r="F22093" t="s">
        <v>66973</v>
      </c>
      <c r="I22093" t="s">
        <v>29</v>
      </c>
      <c r="J22093" t="s">
        <v>30</v>
      </c>
      <c r="K22093" t="str">
        <f>"27028"</f>
        <v>27028</v>
      </c>
      <c r="M22093" t="s">
        <v>50621</v>
      </c>
      <c r="N22093" t="str">
        <f>"3/6/2024 9:38:00 AM"</f>
        <v>3/6/2024 9:38:00 AM</v>
      </c>
      <c r="O22093" t="s">
        <v>66971</v>
      </c>
      <c r="T22093" t="s">
        <v>66972</v>
      </c>
    </row>
    <row r="22094" spans="1:20" x14ac:dyDescent="0.25">
      <c r="A22094" t="str">
        <f>"3039942"</f>
        <v>3039942</v>
      </c>
      <c r="B22094" t="s">
        <v>66980</v>
      </c>
      <c r="C22094" t="str">
        <f>"8316962"</f>
        <v>8316962</v>
      </c>
      <c r="D22094" t="s">
        <v>66981</v>
      </c>
      <c r="E22094" t="s">
        <v>66982</v>
      </c>
      <c r="F22094" t="s">
        <v>66983</v>
      </c>
      <c r="I22094" t="s">
        <v>17921</v>
      </c>
      <c r="J22094" t="s">
        <v>30</v>
      </c>
      <c r="K22094" t="str">
        <f>"27028"</f>
        <v>27028</v>
      </c>
      <c r="M22094" t="s">
        <v>33845</v>
      </c>
      <c r="N22094" t="str">
        <f>"3/6/2024 10:06:00 AM"</f>
        <v>3/6/2024 10:06:00 AM</v>
      </c>
      <c r="O22094" t="s">
        <v>66981</v>
      </c>
      <c r="T22094" t="s">
        <v>66982</v>
      </c>
    </row>
    <row r="22095" spans="1:20" x14ac:dyDescent="0.25">
      <c r="A22095" t="str">
        <f>"3041553"</f>
        <v>3041553</v>
      </c>
      <c r="B22095" t="s">
        <v>66984</v>
      </c>
      <c r="C22095" t="str">
        <f>"8322021"</f>
        <v>8322021</v>
      </c>
      <c r="D22095" t="s">
        <v>66985</v>
      </c>
      <c r="E22095" t="s">
        <v>66986</v>
      </c>
      <c r="F22095" t="s">
        <v>66987</v>
      </c>
      <c r="I22095" t="s">
        <v>184</v>
      </c>
      <c r="J22095" t="s">
        <v>30</v>
      </c>
      <c r="K22095" t="s">
        <v>3666</v>
      </c>
      <c r="M22095" t="s">
        <v>50500</v>
      </c>
      <c r="N22095" t="str">
        <f>"3/7/2024 8:16:00 AM"</f>
        <v>3/7/2024 8:16:00 AM</v>
      </c>
      <c r="O22095" t="s">
        <v>66985</v>
      </c>
      <c r="T22095" t="s">
        <v>66986</v>
      </c>
    </row>
    <row r="22096" spans="1:20" x14ac:dyDescent="0.25">
      <c r="A22096" t="str">
        <f>"3045605"</f>
        <v>3045605</v>
      </c>
      <c r="B22096" t="s">
        <v>66988</v>
      </c>
      <c r="C22096" t="str">
        <f>"82529361"</f>
        <v>82529361</v>
      </c>
      <c r="D22096" t="s">
        <v>66989</v>
      </c>
      <c r="F22096" t="s">
        <v>66990</v>
      </c>
      <c r="I22096" t="s">
        <v>1149</v>
      </c>
      <c r="J22096" t="s">
        <v>30</v>
      </c>
      <c r="K22096" t="s">
        <v>37558</v>
      </c>
      <c r="M22096" t="s">
        <v>50621</v>
      </c>
      <c r="N22096" t="str">
        <f>"3/12/2024 1:33:00 PM"</f>
        <v>3/12/2024 1:33:00 PM</v>
      </c>
      <c r="O22096" t="s">
        <v>66989</v>
      </c>
    </row>
    <row r="22097" spans="1:20" x14ac:dyDescent="0.25">
      <c r="A22097" t="str">
        <f>"3050837"</f>
        <v>3050837</v>
      </c>
      <c r="B22097" t="s">
        <v>66991</v>
      </c>
      <c r="C22097" t="str">
        <f>"1412000"</f>
        <v>1412000</v>
      </c>
      <c r="D22097" t="s">
        <v>66992</v>
      </c>
      <c r="E22097" t="str">
        <f>"C/O SHANNON YALE"</f>
        <v>C/O SHANNON YALE</v>
      </c>
      <c r="F22097" t="s">
        <v>66927</v>
      </c>
      <c r="G22097" t="s">
        <v>66993</v>
      </c>
      <c r="I22097" t="s">
        <v>46412</v>
      </c>
      <c r="J22097" t="s">
        <v>30</v>
      </c>
      <c r="K22097" t="s">
        <v>66994</v>
      </c>
      <c r="M22097" t="s">
        <v>50621</v>
      </c>
      <c r="N22097" t="str">
        <f>"3/12/2024 1:42:00 PM"</f>
        <v>3/12/2024 1:42:00 PM</v>
      </c>
      <c r="O22097" t="s">
        <v>66992</v>
      </c>
      <c r="T22097" t="str">
        <f>"C/O SHANNON YALE"</f>
        <v>C/O SHANNON YALE</v>
      </c>
    </row>
    <row r="22098" spans="1:20" x14ac:dyDescent="0.25">
      <c r="A22098" t="str">
        <f>"3065729"</f>
        <v>3065729</v>
      </c>
      <c r="B22098" t="s">
        <v>66995</v>
      </c>
      <c r="C22098" t="str">
        <f>"8322022"</f>
        <v>8322022</v>
      </c>
      <c r="D22098" t="s">
        <v>66996</v>
      </c>
      <c r="E22098" t="s">
        <v>66997</v>
      </c>
      <c r="F22098" t="s">
        <v>66998</v>
      </c>
      <c r="I22098" t="s">
        <v>29</v>
      </c>
      <c r="J22098" t="s">
        <v>30</v>
      </c>
      <c r="K22098" t="s">
        <v>13727</v>
      </c>
      <c r="M22098" t="s">
        <v>50500</v>
      </c>
      <c r="N22098" t="str">
        <f>"3/7/2024 8:20:00 AM"</f>
        <v>3/7/2024 8:20:00 AM</v>
      </c>
      <c r="O22098" t="s">
        <v>66996</v>
      </c>
      <c r="T22098" t="s">
        <v>66997</v>
      </c>
    </row>
    <row r="22099" spans="1:20" x14ac:dyDescent="0.25">
      <c r="A22099" t="str">
        <f>"3047265"</f>
        <v>3047265</v>
      </c>
      <c r="B22099" t="s">
        <v>66999</v>
      </c>
      <c r="C22099" t="str">
        <f>"8322023"</f>
        <v>8322023</v>
      </c>
      <c r="D22099" t="s">
        <v>67000</v>
      </c>
      <c r="E22099" t="s">
        <v>67001</v>
      </c>
      <c r="F22099" t="s">
        <v>67002</v>
      </c>
      <c r="I22099" t="s">
        <v>471</v>
      </c>
      <c r="J22099" t="s">
        <v>30</v>
      </c>
      <c r="K22099" t="s">
        <v>67003</v>
      </c>
      <c r="M22099" t="s">
        <v>50500</v>
      </c>
      <c r="N22099" t="str">
        <f>"3/7/2024 8:25:00 AM"</f>
        <v>3/7/2024 8:25:00 AM</v>
      </c>
      <c r="O22099" t="s">
        <v>67000</v>
      </c>
      <c r="T22099" t="s">
        <v>67001</v>
      </c>
    </row>
    <row r="22100" spans="1:20" x14ac:dyDescent="0.25">
      <c r="A22100" t="str">
        <f>"3040382"</f>
        <v>3040382</v>
      </c>
      <c r="B22100" t="s">
        <v>67004</v>
      </c>
      <c r="C22100" t="str">
        <f>"8322024"</f>
        <v>8322024</v>
      </c>
      <c r="D22100" t="s">
        <v>67005</v>
      </c>
      <c r="F22100" t="s">
        <v>67006</v>
      </c>
      <c r="I22100" t="s">
        <v>184</v>
      </c>
      <c r="J22100" t="s">
        <v>30</v>
      </c>
      <c r="K22100" t="s">
        <v>67007</v>
      </c>
      <c r="M22100" t="s">
        <v>50500</v>
      </c>
      <c r="N22100" t="str">
        <f>"3/7/2024 8:29:00 AM"</f>
        <v>3/7/2024 8:29:00 AM</v>
      </c>
      <c r="O22100" t="s">
        <v>67005</v>
      </c>
    </row>
    <row r="22101" spans="1:20" x14ac:dyDescent="0.25">
      <c r="A22101" t="str">
        <f>"3039026"</f>
        <v>3039026</v>
      </c>
      <c r="B22101" t="s">
        <v>67008</v>
      </c>
      <c r="C22101" t="str">
        <f>"8322025"</f>
        <v>8322025</v>
      </c>
      <c r="D22101" t="s">
        <v>67009</v>
      </c>
      <c r="E22101" t="s">
        <v>67010</v>
      </c>
      <c r="F22101" t="s">
        <v>67011</v>
      </c>
      <c r="I22101" t="s">
        <v>29</v>
      </c>
      <c r="J22101" t="s">
        <v>30</v>
      </c>
      <c r="K22101" t="s">
        <v>572</v>
      </c>
      <c r="M22101" t="s">
        <v>50500</v>
      </c>
      <c r="N22101" t="str">
        <f>"3/7/2024 8:33:00 AM"</f>
        <v>3/7/2024 8:33:00 AM</v>
      </c>
      <c r="O22101" t="s">
        <v>67009</v>
      </c>
      <c r="T22101" t="s">
        <v>67010</v>
      </c>
    </row>
    <row r="22102" spans="1:20" x14ac:dyDescent="0.25">
      <c r="A22102" t="str">
        <f>"3051575"</f>
        <v>3051575</v>
      </c>
      <c r="B22102" t="s">
        <v>67012</v>
      </c>
      <c r="C22102" t="str">
        <f>"8322026"</f>
        <v>8322026</v>
      </c>
      <c r="D22102" t="s">
        <v>67013</v>
      </c>
      <c r="E22102" t="s">
        <v>67014</v>
      </c>
      <c r="F22102" t="s">
        <v>67015</v>
      </c>
      <c r="I22102" t="s">
        <v>29</v>
      </c>
      <c r="J22102" t="s">
        <v>30</v>
      </c>
      <c r="K22102" t="s">
        <v>9401</v>
      </c>
      <c r="M22102" t="s">
        <v>50500</v>
      </c>
      <c r="N22102" t="str">
        <f>"3/7/2024 8:47:00 AM"</f>
        <v>3/7/2024 8:47:00 AM</v>
      </c>
      <c r="O22102" t="s">
        <v>67013</v>
      </c>
      <c r="T22102" t="s">
        <v>67014</v>
      </c>
    </row>
    <row r="22103" spans="1:20" x14ac:dyDescent="0.25">
      <c r="A22103" t="str">
        <f>"3060438"</f>
        <v>3060438</v>
      </c>
      <c r="B22103" t="s">
        <v>67016</v>
      </c>
      <c r="C22103" t="str">
        <f>"8322028"</f>
        <v>8322028</v>
      </c>
      <c r="D22103" t="s">
        <v>67017</v>
      </c>
      <c r="E22103" t="s">
        <v>67018</v>
      </c>
      <c r="F22103" t="s">
        <v>67019</v>
      </c>
      <c r="I22103" t="s">
        <v>29</v>
      </c>
      <c r="J22103" t="s">
        <v>30</v>
      </c>
      <c r="K22103" t="s">
        <v>43161</v>
      </c>
      <c r="M22103" t="s">
        <v>50500</v>
      </c>
      <c r="N22103" t="str">
        <f>"3/7/2024 8:58:00 AM"</f>
        <v>3/7/2024 8:58:00 AM</v>
      </c>
      <c r="O22103" t="s">
        <v>67017</v>
      </c>
      <c r="T22103" t="s">
        <v>67018</v>
      </c>
    </row>
    <row r="22104" spans="1:20" x14ac:dyDescent="0.25">
      <c r="A22104" t="str">
        <f>"3062591"</f>
        <v>3062591</v>
      </c>
      <c r="B22104" t="s">
        <v>67020</v>
      </c>
      <c r="C22104" t="str">
        <f>"8322029"</f>
        <v>8322029</v>
      </c>
      <c r="D22104" t="s">
        <v>67021</v>
      </c>
      <c r="E22104" t="s">
        <v>67022</v>
      </c>
      <c r="F22104" t="s">
        <v>67023</v>
      </c>
      <c r="I22104" t="s">
        <v>29</v>
      </c>
      <c r="J22104" t="s">
        <v>30</v>
      </c>
      <c r="K22104" t="s">
        <v>16112</v>
      </c>
      <c r="M22104" t="s">
        <v>50500</v>
      </c>
      <c r="N22104" t="str">
        <f>"3/7/2024 9:04:00 AM"</f>
        <v>3/7/2024 9:04:00 AM</v>
      </c>
      <c r="O22104" t="s">
        <v>67021</v>
      </c>
      <c r="T22104" t="s">
        <v>67022</v>
      </c>
    </row>
    <row r="22105" spans="1:20" x14ac:dyDescent="0.25">
      <c r="A22105" t="str">
        <f>"3070377"</f>
        <v>3070377</v>
      </c>
      <c r="B22105" t="s">
        <v>67024</v>
      </c>
      <c r="C22105" t="str">
        <f>"8321976"</f>
        <v>8321976</v>
      </c>
      <c r="D22105" t="s">
        <v>67025</v>
      </c>
      <c r="E22105" t="s">
        <v>67026</v>
      </c>
      <c r="F22105" t="s">
        <v>67027</v>
      </c>
      <c r="I22105" t="s">
        <v>184</v>
      </c>
      <c r="J22105" t="s">
        <v>30</v>
      </c>
      <c r="K22105" t="s">
        <v>5976</v>
      </c>
      <c r="M22105" t="s">
        <v>50500</v>
      </c>
      <c r="N22105" t="str">
        <f>"2/29/2024 11:27:00 AM"</f>
        <v>2/29/2024 11:27:00 AM</v>
      </c>
      <c r="O22105" t="s">
        <v>67025</v>
      </c>
      <c r="T22105" t="s">
        <v>67026</v>
      </c>
    </row>
    <row r="22106" spans="1:20" x14ac:dyDescent="0.25">
      <c r="A22106" t="str">
        <f>"3067037"</f>
        <v>3067037</v>
      </c>
      <c r="B22106" t="s">
        <v>67028</v>
      </c>
      <c r="C22106" t="str">
        <f>"8309338"</f>
        <v>8309338</v>
      </c>
      <c r="D22106" t="s">
        <v>67029</v>
      </c>
      <c r="F22106" t="s">
        <v>49286</v>
      </c>
      <c r="I22106" t="s">
        <v>29</v>
      </c>
      <c r="J22106" t="s">
        <v>30</v>
      </c>
      <c r="K22106" t="s">
        <v>49287</v>
      </c>
      <c r="M22106" t="s">
        <v>50500</v>
      </c>
      <c r="N22106" t="str">
        <f>"2/29/2024 11:33:00 AM"</f>
        <v>2/29/2024 11:33:00 AM</v>
      </c>
      <c r="O22106" t="s">
        <v>67029</v>
      </c>
    </row>
    <row r="22107" spans="1:20" x14ac:dyDescent="0.25">
      <c r="A22107" t="str">
        <f>"3058398"</f>
        <v>3058398</v>
      </c>
      <c r="B22107" t="s">
        <v>67030</v>
      </c>
      <c r="C22107" t="str">
        <f>"8309338"</f>
        <v>8309338</v>
      </c>
      <c r="D22107" t="s">
        <v>67029</v>
      </c>
      <c r="F22107" t="s">
        <v>49286</v>
      </c>
      <c r="I22107" t="s">
        <v>29</v>
      </c>
      <c r="J22107" t="s">
        <v>30</v>
      </c>
      <c r="K22107" t="s">
        <v>49287</v>
      </c>
      <c r="M22107" t="s">
        <v>50500</v>
      </c>
      <c r="N22107" t="str">
        <f>"2/29/2024 11:33:00 AM"</f>
        <v>2/29/2024 11:33:00 AM</v>
      </c>
      <c r="O22107" t="s">
        <v>67029</v>
      </c>
    </row>
    <row r="22108" spans="1:20" x14ac:dyDescent="0.25">
      <c r="A22108" t="str">
        <f>"3078828"</f>
        <v>3078828</v>
      </c>
      <c r="B22108" t="s">
        <v>67031</v>
      </c>
      <c r="C22108" t="str">
        <f>"8321978"</f>
        <v>8321978</v>
      </c>
      <c r="D22108" t="s">
        <v>66743</v>
      </c>
      <c r="F22108" t="s">
        <v>66744</v>
      </c>
      <c r="I22108" t="s">
        <v>29</v>
      </c>
      <c r="J22108" t="s">
        <v>30</v>
      </c>
      <c r="K22108" t="s">
        <v>51324</v>
      </c>
      <c r="M22108" t="s">
        <v>50500</v>
      </c>
      <c r="N22108" t="str">
        <f>"2/29/2024 12:30:00 PM"</f>
        <v>2/29/2024 12:30:00 PM</v>
      </c>
      <c r="O22108" t="s">
        <v>66743</v>
      </c>
    </row>
    <row r="22109" spans="1:20" x14ac:dyDescent="0.25">
      <c r="A22109" t="str">
        <f>"3078736"</f>
        <v>3078736</v>
      </c>
      <c r="B22109" t="s">
        <v>67032</v>
      </c>
      <c r="C22109" t="str">
        <f>"8322030"</f>
        <v>8322030</v>
      </c>
      <c r="D22109" t="s">
        <v>67033</v>
      </c>
      <c r="E22109" t="s">
        <v>67034</v>
      </c>
      <c r="F22109" t="s">
        <v>67035</v>
      </c>
      <c r="I22109" t="s">
        <v>29</v>
      </c>
      <c r="J22109" t="s">
        <v>30</v>
      </c>
      <c r="K22109" t="s">
        <v>36046</v>
      </c>
      <c r="M22109" t="s">
        <v>50500</v>
      </c>
      <c r="N22109" t="str">
        <f>"3/7/2024 9:32:00 AM"</f>
        <v>3/7/2024 9:32:00 AM</v>
      </c>
      <c r="O22109" t="s">
        <v>67033</v>
      </c>
      <c r="T22109" t="s">
        <v>67034</v>
      </c>
    </row>
    <row r="22110" spans="1:20" x14ac:dyDescent="0.25">
      <c r="A22110" t="str">
        <f>"3039956"</f>
        <v>3039956</v>
      </c>
      <c r="B22110" t="s">
        <v>67036</v>
      </c>
      <c r="C22110" t="str">
        <f>"82532709"</f>
        <v>82532709</v>
      </c>
      <c r="D22110" t="s">
        <v>66893</v>
      </c>
      <c r="F22110" t="s">
        <v>32977</v>
      </c>
      <c r="I22110" t="s">
        <v>184</v>
      </c>
      <c r="J22110" t="s">
        <v>30</v>
      </c>
      <c r="K22110" t="s">
        <v>185</v>
      </c>
      <c r="M22110" t="s">
        <v>50793</v>
      </c>
      <c r="N22110" t="str">
        <f>"3/8/2024 9:30:00 AM"</f>
        <v>3/8/2024 9:30:00 AM</v>
      </c>
      <c r="O22110" t="s">
        <v>66893</v>
      </c>
    </row>
    <row r="22111" spans="1:20" x14ac:dyDescent="0.25">
      <c r="A22111" t="str">
        <f>"3077058"</f>
        <v>3077058</v>
      </c>
      <c r="B22111" t="s">
        <v>67037</v>
      </c>
      <c r="C22111" t="str">
        <f>"8322045"</f>
        <v>8322045</v>
      </c>
      <c r="D22111" t="s">
        <v>67038</v>
      </c>
      <c r="F22111" t="s">
        <v>67039</v>
      </c>
      <c r="I22111" t="s">
        <v>29</v>
      </c>
      <c r="J22111" t="s">
        <v>30</v>
      </c>
      <c r="K22111" t="s">
        <v>67040</v>
      </c>
      <c r="M22111" t="s">
        <v>50500</v>
      </c>
      <c r="N22111" t="str">
        <f>"3/11/2024 9:43:00 AM"</f>
        <v>3/11/2024 9:43:00 AM</v>
      </c>
      <c r="O22111" t="s">
        <v>67038</v>
      </c>
    </row>
    <row r="22112" spans="1:20" x14ac:dyDescent="0.25">
      <c r="A22112" t="str">
        <f>"3037485"</f>
        <v>3037485</v>
      </c>
      <c r="B22112" t="s">
        <v>67041</v>
      </c>
      <c r="C22112" t="str">
        <f>"8319422"</f>
        <v>8319422</v>
      </c>
      <c r="D22112" t="s">
        <v>67042</v>
      </c>
      <c r="E22112" t="s">
        <v>67043</v>
      </c>
      <c r="F22112" t="s">
        <v>67044</v>
      </c>
      <c r="I22112" t="s">
        <v>49</v>
      </c>
      <c r="J22112" t="s">
        <v>30</v>
      </c>
      <c r="K22112" t="s">
        <v>67045</v>
      </c>
      <c r="M22112" t="s">
        <v>50621</v>
      </c>
      <c r="N22112" t="str">
        <f>"3/11/2024 10:11:00 AM"</f>
        <v>3/11/2024 10:11:00 AM</v>
      </c>
      <c r="O22112" t="s">
        <v>67042</v>
      </c>
      <c r="T22112" t="s">
        <v>67043</v>
      </c>
    </row>
    <row r="22113" spans="1:20" x14ac:dyDescent="0.25">
      <c r="A22113" t="str">
        <f>"3040275"</f>
        <v>3040275</v>
      </c>
      <c r="B22113" t="s">
        <v>67046</v>
      </c>
      <c r="C22113" t="str">
        <f>"82525605"</f>
        <v>82525605</v>
      </c>
      <c r="D22113" t="s">
        <v>67047</v>
      </c>
      <c r="F22113" t="s">
        <v>67048</v>
      </c>
      <c r="I22113" t="s">
        <v>184</v>
      </c>
      <c r="J22113" t="s">
        <v>30</v>
      </c>
      <c r="K22113" t="s">
        <v>35605</v>
      </c>
      <c r="M22113" t="s">
        <v>50621</v>
      </c>
      <c r="N22113" t="str">
        <f>"3/11/2024 10:12:00 AM"</f>
        <v>3/11/2024 10:12:00 AM</v>
      </c>
      <c r="O22113" t="s">
        <v>67047</v>
      </c>
    </row>
    <row r="22114" spans="1:20" x14ac:dyDescent="0.25">
      <c r="A22114" t="str">
        <f>"3074635"</f>
        <v>3074635</v>
      </c>
      <c r="B22114" t="s">
        <v>67049</v>
      </c>
      <c r="C22114" t="str">
        <f>"8322049"</f>
        <v>8322049</v>
      </c>
      <c r="D22114" t="s">
        <v>67050</v>
      </c>
      <c r="E22114" t="s">
        <v>67051</v>
      </c>
      <c r="F22114" t="s">
        <v>67052</v>
      </c>
      <c r="I22114" t="s">
        <v>184</v>
      </c>
      <c r="J22114" t="s">
        <v>30</v>
      </c>
      <c r="K22114" t="s">
        <v>10595</v>
      </c>
      <c r="M22114" t="s">
        <v>50500</v>
      </c>
      <c r="N22114" t="str">
        <f>"3/12/2024 8:21:00 AM"</f>
        <v>3/12/2024 8:21:00 AM</v>
      </c>
      <c r="O22114" t="s">
        <v>67050</v>
      </c>
      <c r="T22114" t="s">
        <v>67051</v>
      </c>
    </row>
    <row r="22115" spans="1:20" x14ac:dyDescent="0.25">
      <c r="A22115" t="str">
        <f>"3058732"</f>
        <v>3058732</v>
      </c>
      <c r="B22115" t="s">
        <v>67053</v>
      </c>
      <c r="C22115" t="str">
        <f>"8322050"</f>
        <v>8322050</v>
      </c>
      <c r="D22115" t="s">
        <v>67054</v>
      </c>
      <c r="E22115" t="s">
        <v>67055</v>
      </c>
      <c r="F22115" t="s">
        <v>67056</v>
      </c>
      <c r="I22115" t="s">
        <v>184</v>
      </c>
      <c r="J22115" t="s">
        <v>30</v>
      </c>
      <c r="K22115" t="s">
        <v>63671</v>
      </c>
      <c r="M22115" t="s">
        <v>50500</v>
      </c>
      <c r="N22115" t="str">
        <f>"3/12/2024 8:29:00 AM"</f>
        <v>3/12/2024 8:29:00 AM</v>
      </c>
      <c r="O22115" t="s">
        <v>67054</v>
      </c>
      <c r="T22115" t="s">
        <v>67055</v>
      </c>
    </row>
    <row r="22116" spans="1:20" x14ac:dyDescent="0.25">
      <c r="A22116" t="str">
        <f>"3062979"</f>
        <v>3062979</v>
      </c>
      <c r="B22116" t="s">
        <v>67057</v>
      </c>
      <c r="C22116" t="str">
        <f>"8314400"</f>
        <v>8314400</v>
      </c>
      <c r="D22116" t="s">
        <v>67058</v>
      </c>
      <c r="F22116" t="s">
        <v>67059</v>
      </c>
      <c r="I22116" t="s">
        <v>184</v>
      </c>
      <c r="J22116" t="s">
        <v>30</v>
      </c>
      <c r="K22116" t="s">
        <v>8745</v>
      </c>
      <c r="M22116" t="s">
        <v>50621</v>
      </c>
      <c r="N22116" t="str">
        <f>"3/12/2024 11:09:00 AM"</f>
        <v>3/12/2024 11:09:00 AM</v>
      </c>
      <c r="O22116" t="s">
        <v>67058</v>
      </c>
    </row>
    <row r="22117" spans="1:20" x14ac:dyDescent="0.25">
      <c r="A22117" t="str">
        <f>"3045141"</f>
        <v>3045141</v>
      </c>
      <c r="B22117" t="s">
        <v>67060</v>
      </c>
      <c r="C22117" t="str">
        <f>"82517491"</f>
        <v>82517491</v>
      </c>
      <c r="D22117" t="s">
        <v>67061</v>
      </c>
      <c r="F22117" t="s">
        <v>67062</v>
      </c>
      <c r="I22117" t="s">
        <v>29</v>
      </c>
      <c r="J22117" t="s">
        <v>30</v>
      </c>
      <c r="K22117" t="s">
        <v>31</v>
      </c>
      <c r="M22117" t="s">
        <v>50621</v>
      </c>
      <c r="N22117" t="str">
        <f>"3/12/2024 11:31:00 AM"</f>
        <v>3/12/2024 11:31:00 AM</v>
      </c>
      <c r="O22117" t="s">
        <v>67061</v>
      </c>
    </row>
    <row r="22118" spans="1:20" x14ac:dyDescent="0.25">
      <c r="A22118" t="str">
        <f>"3039402"</f>
        <v>3039402</v>
      </c>
      <c r="B22118" t="s">
        <v>67063</v>
      </c>
      <c r="C22118" t="str">
        <f>"5530100"</f>
        <v>5530100</v>
      </c>
      <c r="D22118" t="s">
        <v>67064</v>
      </c>
      <c r="E22118" t="s">
        <v>40923</v>
      </c>
      <c r="F22118" t="s">
        <v>64708</v>
      </c>
      <c r="I22118" t="s">
        <v>29</v>
      </c>
      <c r="J22118" t="s">
        <v>30</v>
      </c>
      <c r="K22118" t="s">
        <v>31</v>
      </c>
      <c r="M22118" t="s">
        <v>50621</v>
      </c>
      <c r="N22118" t="str">
        <f>"3/14/2024 10:31:00 AM"</f>
        <v>3/14/2024 10:31:00 AM</v>
      </c>
      <c r="O22118" t="s">
        <v>67064</v>
      </c>
      <c r="T22118" t="s">
        <v>40923</v>
      </c>
    </row>
    <row r="22119" spans="1:20" x14ac:dyDescent="0.25">
      <c r="A22119" t="str">
        <f>"3054590"</f>
        <v>3054590</v>
      </c>
      <c r="B22119" t="s">
        <v>67065</v>
      </c>
      <c r="C22119" t="str">
        <f>"5617120"</f>
        <v>5617120</v>
      </c>
      <c r="D22119" t="s">
        <v>67066</v>
      </c>
      <c r="F22119" t="s">
        <v>67067</v>
      </c>
      <c r="I22119" t="s">
        <v>29</v>
      </c>
      <c r="J22119" t="s">
        <v>30</v>
      </c>
      <c r="K22119" t="s">
        <v>31</v>
      </c>
      <c r="M22119" t="s">
        <v>50621</v>
      </c>
      <c r="N22119" t="str">
        <f>"3/14/2024 10:34:00 AM"</f>
        <v>3/14/2024 10:34:00 AM</v>
      </c>
      <c r="O22119" t="s">
        <v>67066</v>
      </c>
    </row>
    <row r="22120" spans="1:20" x14ac:dyDescent="0.25">
      <c r="A22120" t="str">
        <f>"3042886"</f>
        <v>3042886</v>
      </c>
      <c r="B22120" t="s">
        <v>67068</v>
      </c>
      <c r="C22120" t="str">
        <f>"5672750"</f>
        <v>5672750</v>
      </c>
      <c r="D22120" t="s">
        <v>67069</v>
      </c>
      <c r="F22120" t="s">
        <v>67070</v>
      </c>
      <c r="I22120" t="s">
        <v>29</v>
      </c>
      <c r="J22120" t="s">
        <v>30</v>
      </c>
      <c r="K22120" t="s">
        <v>31</v>
      </c>
      <c r="M22120" t="s">
        <v>50621</v>
      </c>
      <c r="N22120" t="str">
        <f>"3/14/2024 10:36:00 AM"</f>
        <v>3/14/2024 10:36:00 AM</v>
      </c>
      <c r="O22120" t="s">
        <v>67069</v>
      </c>
    </row>
    <row r="22121" spans="1:20" x14ac:dyDescent="0.25">
      <c r="A22121" t="str">
        <f>"3045444"</f>
        <v>3045444</v>
      </c>
      <c r="B22121" t="s">
        <v>67071</v>
      </c>
      <c r="C22121" t="str">
        <f>"82517491"</f>
        <v>82517491</v>
      </c>
      <c r="D22121" t="s">
        <v>67061</v>
      </c>
      <c r="F22121" t="s">
        <v>67062</v>
      </c>
      <c r="I22121" t="s">
        <v>29</v>
      </c>
      <c r="J22121" t="s">
        <v>30</v>
      </c>
      <c r="K22121" t="s">
        <v>31</v>
      </c>
      <c r="M22121" t="s">
        <v>50621</v>
      </c>
      <c r="N22121" t="str">
        <f>"3/12/2024 11:31:00 AM"</f>
        <v>3/12/2024 11:31:00 AM</v>
      </c>
      <c r="O22121" t="s">
        <v>67061</v>
      </c>
    </row>
    <row r="22122" spans="1:20" x14ac:dyDescent="0.25">
      <c r="A22122" t="str">
        <f>"3051245"</f>
        <v>3051245</v>
      </c>
      <c r="B22122" t="s">
        <v>67072</v>
      </c>
      <c r="C22122" t="str">
        <f>"8311920"</f>
        <v>8311920</v>
      </c>
      <c r="D22122" t="s">
        <v>67073</v>
      </c>
      <c r="F22122" t="s">
        <v>67074</v>
      </c>
      <c r="I22122" t="s">
        <v>29</v>
      </c>
      <c r="J22122" t="s">
        <v>30</v>
      </c>
      <c r="K22122" t="str">
        <f>"27028"</f>
        <v>27028</v>
      </c>
      <c r="M22122" t="s">
        <v>51351</v>
      </c>
      <c r="N22122" t="str">
        <f>"3/12/2024 1:12:00 PM"</f>
        <v>3/12/2024 1:12:00 PM</v>
      </c>
      <c r="O22122" t="s">
        <v>67073</v>
      </c>
    </row>
    <row r="22123" spans="1:20" x14ac:dyDescent="0.25">
      <c r="A22123" t="str">
        <f>"3054019"</f>
        <v>3054019</v>
      </c>
      <c r="B22123" t="s">
        <v>67075</v>
      </c>
      <c r="C22123" t="str">
        <f>"8313676"</f>
        <v>8313676</v>
      </c>
      <c r="D22123" t="s">
        <v>67076</v>
      </c>
      <c r="F22123" t="s">
        <v>67077</v>
      </c>
      <c r="I22123" t="s">
        <v>29</v>
      </c>
      <c r="J22123" t="s">
        <v>30</v>
      </c>
      <c r="K22123" t="s">
        <v>67078</v>
      </c>
      <c r="M22123" t="s">
        <v>50621</v>
      </c>
      <c r="N22123" t="str">
        <f>"3/12/2024 1:47:00 PM"</f>
        <v>3/12/2024 1:47:00 PM</v>
      </c>
      <c r="O22123" t="s">
        <v>67076</v>
      </c>
    </row>
    <row r="22124" spans="1:20" x14ac:dyDescent="0.25">
      <c r="A22124" t="str">
        <f>"3041979"</f>
        <v>3041979</v>
      </c>
      <c r="B22124" t="s">
        <v>67079</v>
      </c>
      <c r="C22124" t="str">
        <f>"8315361"</f>
        <v>8315361</v>
      </c>
      <c r="D22124" t="s">
        <v>67080</v>
      </c>
      <c r="F22124" t="s">
        <v>67081</v>
      </c>
      <c r="I22124" t="s">
        <v>29</v>
      </c>
      <c r="J22124" t="s">
        <v>30</v>
      </c>
      <c r="K22124" t="s">
        <v>58037</v>
      </c>
      <c r="M22124" t="s">
        <v>50621</v>
      </c>
      <c r="N22124" t="str">
        <f>"3/14/2024 10:46:00 AM"</f>
        <v>3/14/2024 10:46:00 AM</v>
      </c>
      <c r="O22124" t="s">
        <v>67080</v>
      </c>
    </row>
    <row r="22125" spans="1:20" x14ac:dyDescent="0.25">
      <c r="A22125" t="str">
        <f>"3054430"</f>
        <v>3054430</v>
      </c>
      <c r="B22125" t="s">
        <v>67082</v>
      </c>
      <c r="C22125" t="str">
        <f>"8312314"</f>
        <v>8312314</v>
      </c>
      <c r="D22125" t="s">
        <v>67083</v>
      </c>
      <c r="F22125" t="s">
        <v>67084</v>
      </c>
      <c r="I22125" t="s">
        <v>29</v>
      </c>
      <c r="J22125" t="s">
        <v>30</v>
      </c>
      <c r="K22125" t="s">
        <v>43107</v>
      </c>
      <c r="M22125" t="s">
        <v>50621</v>
      </c>
      <c r="N22125" t="str">
        <f>"3/14/2024 11:04:00 AM"</f>
        <v>3/14/2024 11:04:00 AM</v>
      </c>
      <c r="O22125" t="s">
        <v>67083</v>
      </c>
    </row>
    <row r="22126" spans="1:20" x14ac:dyDescent="0.25">
      <c r="A22126" t="str">
        <f>"3047520"</f>
        <v>3047520</v>
      </c>
      <c r="B22126" t="s">
        <v>67085</v>
      </c>
      <c r="C22126" t="str">
        <f>"82531633"</f>
        <v>82531633</v>
      </c>
      <c r="D22126" t="s">
        <v>67086</v>
      </c>
      <c r="E22126" t="s">
        <v>67087</v>
      </c>
      <c r="F22126" t="s">
        <v>67088</v>
      </c>
      <c r="I22126" t="s">
        <v>1149</v>
      </c>
      <c r="J22126" t="s">
        <v>30</v>
      </c>
      <c r="K22126" t="s">
        <v>1150</v>
      </c>
      <c r="M22126" t="s">
        <v>50621</v>
      </c>
      <c r="N22126" t="str">
        <f>"3/14/2024 11:08:00 AM"</f>
        <v>3/14/2024 11:08:00 AM</v>
      </c>
      <c r="O22126" t="s">
        <v>67086</v>
      </c>
      <c r="T22126" t="s">
        <v>67087</v>
      </c>
    </row>
    <row r="22127" spans="1:20" x14ac:dyDescent="0.25">
      <c r="A22127" t="str">
        <f>"3045671"</f>
        <v>3045671</v>
      </c>
      <c r="B22127" t="s">
        <v>67089</v>
      </c>
      <c r="C22127" t="str">
        <f>"82531633"</f>
        <v>82531633</v>
      </c>
      <c r="D22127" t="s">
        <v>67086</v>
      </c>
      <c r="E22127" t="s">
        <v>67087</v>
      </c>
      <c r="F22127" t="s">
        <v>67088</v>
      </c>
      <c r="I22127" t="s">
        <v>1149</v>
      </c>
      <c r="J22127" t="s">
        <v>30</v>
      </c>
      <c r="K22127" t="s">
        <v>1150</v>
      </c>
      <c r="M22127" t="s">
        <v>50621</v>
      </c>
      <c r="N22127" t="str">
        <f>"3/14/2024 11:08:00 AM"</f>
        <v>3/14/2024 11:08:00 AM</v>
      </c>
      <c r="O22127" t="s">
        <v>67086</v>
      </c>
      <c r="T22127" t="s">
        <v>67087</v>
      </c>
    </row>
    <row r="22128" spans="1:20" x14ac:dyDescent="0.25">
      <c r="A22128" t="str">
        <f>"3046904"</f>
        <v>3046904</v>
      </c>
      <c r="B22128" t="s">
        <v>67090</v>
      </c>
      <c r="C22128" t="str">
        <f>"82514988"</f>
        <v>82514988</v>
      </c>
      <c r="D22128" t="s">
        <v>67091</v>
      </c>
      <c r="E22128" t="s">
        <v>67092</v>
      </c>
      <c r="F22128" t="s">
        <v>67093</v>
      </c>
      <c r="I22128" t="s">
        <v>184</v>
      </c>
      <c r="J22128" t="s">
        <v>30</v>
      </c>
      <c r="K22128" t="s">
        <v>185</v>
      </c>
      <c r="M22128" t="s">
        <v>50621</v>
      </c>
      <c r="N22128" t="str">
        <f>"3/14/2024 11:33:00 AM"</f>
        <v>3/14/2024 11:33:00 AM</v>
      </c>
      <c r="O22128" t="s">
        <v>67091</v>
      </c>
      <c r="T22128" t="s">
        <v>67092</v>
      </c>
    </row>
    <row r="22129" spans="1:20" x14ac:dyDescent="0.25">
      <c r="A22129" t="str">
        <f>"3046814"</f>
        <v>3046814</v>
      </c>
      <c r="B22129" t="s">
        <v>67094</v>
      </c>
      <c r="C22129" t="str">
        <f>"82514988"</f>
        <v>82514988</v>
      </c>
      <c r="D22129" t="s">
        <v>67091</v>
      </c>
      <c r="E22129" t="s">
        <v>67092</v>
      </c>
      <c r="F22129" t="s">
        <v>67093</v>
      </c>
      <c r="I22129" t="s">
        <v>184</v>
      </c>
      <c r="J22129" t="s">
        <v>30</v>
      </c>
      <c r="K22129" t="s">
        <v>185</v>
      </c>
      <c r="M22129" t="s">
        <v>50621</v>
      </c>
      <c r="N22129" t="str">
        <f>"3/14/2024 11:33:00 AM"</f>
        <v>3/14/2024 11:33:00 AM</v>
      </c>
      <c r="O22129" t="s">
        <v>67091</v>
      </c>
      <c r="T22129" t="s">
        <v>67092</v>
      </c>
    </row>
    <row r="22130" spans="1:20" x14ac:dyDescent="0.25">
      <c r="A22130" t="str">
        <f>"3048842"</f>
        <v>3048842</v>
      </c>
      <c r="B22130" t="s">
        <v>67095</v>
      </c>
      <c r="C22130" t="str">
        <f>"8318147"</f>
        <v>8318147</v>
      </c>
      <c r="D22130" t="s">
        <v>67096</v>
      </c>
      <c r="F22130" t="s">
        <v>67097</v>
      </c>
      <c r="I22130" t="s">
        <v>9580</v>
      </c>
      <c r="J22130" t="s">
        <v>30</v>
      </c>
      <c r="K22130" t="str">
        <f>"27014"</f>
        <v>27014</v>
      </c>
      <c r="M22130" t="s">
        <v>50621</v>
      </c>
      <c r="N22130" t="str">
        <f>"3/12/2024 1:55:00 PM"</f>
        <v>3/12/2024 1:55:00 PM</v>
      </c>
      <c r="O22130" t="s">
        <v>67096</v>
      </c>
    </row>
    <row r="22131" spans="1:20" x14ac:dyDescent="0.25">
      <c r="A22131" t="str">
        <f>"3046076"</f>
        <v>3046076</v>
      </c>
      <c r="B22131" t="s">
        <v>67098</v>
      </c>
      <c r="C22131" t="str">
        <f>"8317494"</f>
        <v>8317494</v>
      </c>
      <c r="D22131" t="s">
        <v>67099</v>
      </c>
      <c r="E22131" t="s">
        <v>67100</v>
      </c>
      <c r="F22131" t="s">
        <v>67101</v>
      </c>
      <c r="I22131" t="s">
        <v>29</v>
      </c>
      <c r="J22131" t="s">
        <v>30</v>
      </c>
      <c r="K22131" t="s">
        <v>53464</v>
      </c>
      <c r="M22131" t="s">
        <v>50621</v>
      </c>
      <c r="N22131" t="str">
        <f>"3/12/2024 2:25:00 PM"</f>
        <v>3/12/2024 2:25:00 PM</v>
      </c>
      <c r="O22131" t="s">
        <v>67099</v>
      </c>
      <c r="T22131" t="s">
        <v>67100</v>
      </c>
    </row>
    <row r="22132" spans="1:20" x14ac:dyDescent="0.25">
      <c r="A22132" t="str">
        <f>"3046386"</f>
        <v>3046386</v>
      </c>
      <c r="B22132" t="s">
        <v>67102</v>
      </c>
      <c r="C22132" t="str">
        <f>"82531864"</f>
        <v>82531864</v>
      </c>
      <c r="D22132" t="s">
        <v>67103</v>
      </c>
      <c r="F22132" t="s">
        <v>67104</v>
      </c>
      <c r="I22132" t="s">
        <v>29</v>
      </c>
      <c r="J22132" t="s">
        <v>30</v>
      </c>
      <c r="K22132" t="s">
        <v>31</v>
      </c>
      <c r="M22132" t="s">
        <v>50621</v>
      </c>
      <c r="N22132" t="str">
        <f>"3/14/2024 1:12:00 PM"</f>
        <v>3/14/2024 1:12:00 PM</v>
      </c>
      <c r="O22132" t="s">
        <v>67103</v>
      </c>
    </row>
    <row r="22133" spans="1:20" x14ac:dyDescent="0.25">
      <c r="A22133" t="str">
        <f>"3039233"</f>
        <v>3039233</v>
      </c>
      <c r="B22133" t="s">
        <v>67105</v>
      </c>
      <c r="C22133" t="str">
        <f>"8310771"</f>
        <v>8310771</v>
      </c>
      <c r="D22133" t="s">
        <v>67106</v>
      </c>
      <c r="F22133" t="s">
        <v>67107</v>
      </c>
      <c r="I22133" t="s">
        <v>471</v>
      </c>
      <c r="J22133" t="s">
        <v>30</v>
      </c>
      <c r="K22133" t="str">
        <f>"27127"</f>
        <v>27127</v>
      </c>
      <c r="M22133" t="s">
        <v>50621</v>
      </c>
      <c r="N22133" t="str">
        <f>"3/14/2024 1:15:00 PM"</f>
        <v>3/14/2024 1:15:00 PM</v>
      </c>
      <c r="O22133" t="s">
        <v>67106</v>
      </c>
    </row>
    <row r="22134" spans="1:20" x14ac:dyDescent="0.25">
      <c r="A22134" t="str">
        <f>"3048194"</f>
        <v>3048194</v>
      </c>
      <c r="B22134" t="s">
        <v>67108</v>
      </c>
      <c r="C22134" t="str">
        <f>"8321555"</f>
        <v>8321555</v>
      </c>
      <c r="D22134" t="s">
        <v>67109</v>
      </c>
      <c r="F22134" t="s">
        <v>67110</v>
      </c>
      <c r="I22134" t="s">
        <v>184</v>
      </c>
      <c r="J22134" t="s">
        <v>30</v>
      </c>
      <c r="K22134" t="s">
        <v>24196</v>
      </c>
      <c r="M22134" t="s">
        <v>18479</v>
      </c>
      <c r="N22134" t="str">
        <f>"3/14/2024 1:19:00 PM"</f>
        <v>3/14/2024 1:19:00 PM</v>
      </c>
      <c r="O22134" t="s">
        <v>67109</v>
      </c>
    </row>
    <row r="22135" spans="1:20" x14ac:dyDescent="0.25">
      <c r="A22135" t="str">
        <f>"3048138"</f>
        <v>3048138</v>
      </c>
      <c r="B22135" t="s">
        <v>67111</v>
      </c>
      <c r="C22135" t="str">
        <f>"8321555"</f>
        <v>8321555</v>
      </c>
      <c r="D22135" t="s">
        <v>67109</v>
      </c>
      <c r="F22135" t="s">
        <v>67110</v>
      </c>
      <c r="I22135" t="s">
        <v>184</v>
      </c>
      <c r="J22135" t="s">
        <v>30</v>
      </c>
      <c r="K22135" t="s">
        <v>24196</v>
      </c>
      <c r="M22135" t="s">
        <v>18479</v>
      </c>
      <c r="N22135" t="str">
        <f>"3/14/2024 1:19:00 PM"</f>
        <v>3/14/2024 1:19:00 PM</v>
      </c>
      <c r="O22135" t="s">
        <v>67109</v>
      </c>
    </row>
    <row r="22136" spans="1:20" x14ac:dyDescent="0.25">
      <c r="A22136" t="str">
        <f>"3050345"</f>
        <v>3050345</v>
      </c>
      <c r="B22136" t="s">
        <v>67112</v>
      </c>
      <c r="C22136" t="str">
        <f>"82524910"</f>
        <v>82524910</v>
      </c>
      <c r="D22136" t="s">
        <v>67113</v>
      </c>
      <c r="E22136" t="s">
        <v>67114</v>
      </c>
      <c r="F22136" t="s">
        <v>67115</v>
      </c>
      <c r="I22136" t="s">
        <v>29</v>
      </c>
      <c r="J22136" t="s">
        <v>30</v>
      </c>
      <c r="K22136" t="s">
        <v>31</v>
      </c>
      <c r="M22136" t="s">
        <v>50621</v>
      </c>
      <c r="N22136" t="str">
        <f>"3/14/2024 1:27:00 PM"</f>
        <v>3/14/2024 1:27:00 PM</v>
      </c>
      <c r="O22136" t="s">
        <v>67113</v>
      </c>
      <c r="T22136" t="s">
        <v>67114</v>
      </c>
    </row>
    <row r="22137" spans="1:20" x14ac:dyDescent="0.25">
      <c r="A22137" t="str">
        <f>"3061572"</f>
        <v>3061572</v>
      </c>
      <c r="B22137" t="s">
        <v>67116</v>
      </c>
      <c r="C22137" t="str">
        <f>"82524910"</f>
        <v>82524910</v>
      </c>
      <c r="D22137" t="s">
        <v>67113</v>
      </c>
      <c r="E22137" t="s">
        <v>67114</v>
      </c>
      <c r="F22137" t="s">
        <v>67115</v>
      </c>
      <c r="I22137" t="s">
        <v>29</v>
      </c>
      <c r="J22137" t="s">
        <v>30</v>
      </c>
      <c r="K22137" t="s">
        <v>31</v>
      </c>
      <c r="M22137" t="s">
        <v>50621</v>
      </c>
      <c r="N22137" t="str">
        <f>"3/14/2024 1:27:00 PM"</f>
        <v>3/14/2024 1:27:00 PM</v>
      </c>
      <c r="O22137" t="s">
        <v>67113</v>
      </c>
      <c r="T22137" t="s">
        <v>67114</v>
      </c>
    </row>
    <row r="22138" spans="1:20" x14ac:dyDescent="0.25">
      <c r="A22138" t="str">
        <f>"3059900"</f>
        <v>3059900</v>
      </c>
      <c r="B22138" t="s">
        <v>67117</v>
      </c>
      <c r="C22138" t="str">
        <f>"7032000"</f>
        <v>7032000</v>
      </c>
      <c r="D22138" t="s">
        <v>67118</v>
      </c>
      <c r="F22138" t="s">
        <v>67119</v>
      </c>
      <c r="I22138" t="s">
        <v>29</v>
      </c>
      <c r="J22138" t="s">
        <v>30</v>
      </c>
      <c r="K22138" t="s">
        <v>31</v>
      </c>
      <c r="M22138" t="s">
        <v>50621</v>
      </c>
      <c r="N22138" t="str">
        <f>"3/14/2024 1:38:00 PM"</f>
        <v>3/14/2024 1:38:00 PM</v>
      </c>
      <c r="O22138" t="s">
        <v>67118</v>
      </c>
    </row>
    <row r="22139" spans="1:20" x14ac:dyDescent="0.25">
      <c r="A22139" t="str">
        <f>"3057228"</f>
        <v>3057228</v>
      </c>
      <c r="B22139" t="s">
        <v>67120</v>
      </c>
      <c r="C22139" t="str">
        <f>"7032000"</f>
        <v>7032000</v>
      </c>
      <c r="D22139" t="s">
        <v>67118</v>
      </c>
      <c r="F22139" t="s">
        <v>67119</v>
      </c>
      <c r="I22139" t="s">
        <v>29</v>
      </c>
      <c r="J22139" t="s">
        <v>30</v>
      </c>
      <c r="K22139" t="s">
        <v>31</v>
      </c>
      <c r="M22139" t="s">
        <v>50621</v>
      </c>
      <c r="N22139" t="str">
        <f>"3/14/2024 1:38:00 PM"</f>
        <v>3/14/2024 1:38:00 PM</v>
      </c>
      <c r="O22139" t="s">
        <v>67118</v>
      </c>
    </row>
    <row r="22140" spans="1:20" x14ac:dyDescent="0.25">
      <c r="A22140" t="str">
        <f>"3067787"</f>
        <v>3067787</v>
      </c>
      <c r="B22140" t="s">
        <v>67121</v>
      </c>
      <c r="C22140" t="str">
        <f>"8318699"</f>
        <v>8318699</v>
      </c>
      <c r="D22140" t="s">
        <v>67122</v>
      </c>
      <c r="F22140" t="s">
        <v>67123</v>
      </c>
      <c r="I22140" t="s">
        <v>49</v>
      </c>
      <c r="J22140" t="s">
        <v>30</v>
      </c>
      <c r="K22140" t="s">
        <v>67124</v>
      </c>
      <c r="M22140" t="s">
        <v>25733</v>
      </c>
      <c r="N22140" t="str">
        <f>"3/12/2024 3:23:00 PM"</f>
        <v>3/12/2024 3:23:00 PM</v>
      </c>
      <c r="O22140" t="s">
        <v>67122</v>
      </c>
    </row>
    <row r="22141" spans="1:20" x14ac:dyDescent="0.25">
      <c r="A22141" t="str">
        <f>"3054344"</f>
        <v>3054344</v>
      </c>
      <c r="B22141" t="s">
        <v>67125</v>
      </c>
      <c r="C22141" t="str">
        <f>"8304464"</f>
        <v>8304464</v>
      </c>
      <c r="D22141" t="s">
        <v>67126</v>
      </c>
      <c r="F22141" t="s">
        <v>52300</v>
      </c>
      <c r="I22141" t="s">
        <v>29</v>
      </c>
      <c r="J22141" t="s">
        <v>30</v>
      </c>
      <c r="K22141" t="s">
        <v>52301</v>
      </c>
      <c r="M22141" t="s">
        <v>25733</v>
      </c>
      <c r="N22141" t="str">
        <f>"3/8/2024 9:18:00 AM"</f>
        <v>3/8/2024 9:18:00 AM</v>
      </c>
      <c r="O22141" t="s">
        <v>67126</v>
      </c>
    </row>
    <row r="22142" spans="1:20" x14ac:dyDescent="0.25">
      <c r="A22142" t="str">
        <f>"3039777"</f>
        <v>3039777</v>
      </c>
      <c r="B22142" t="s">
        <v>67127</v>
      </c>
      <c r="C22142" t="str">
        <f>"82532709"</f>
        <v>82532709</v>
      </c>
      <c r="D22142" t="s">
        <v>66893</v>
      </c>
      <c r="F22142" t="s">
        <v>32977</v>
      </c>
      <c r="I22142" t="s">
        <v>184</v>
      </c>
      <c r="J22142" t="s">
        <v>30</v>
      </c>
      <c r="K22142" t="s">
        <v>185</v>
      </c>
      <c r="M22142" t="s">
        <v>50793</v>
      </c>
      <c r="N22142" t="str">
        <f>"3/8/2024 9:30:00 AM"</f>
        <v>3/8/2024 9:30:00 AM</v>
      </c>
      <c r="O22142" t="s">
        <v>66893</v>
      </c>
    </row>
    <row r="22143" spans="1:20" x14ac:dyDescent="0.25">
      <c r="A22143" t="str">
        <f>"3038111"</f>
        <v>3038111</v>
      </c>
      <c r="B22143" t="s">
        <v>67128</v>
      </c>
      <c r="C22143" t="str">
        <f>"82520806"</f>
        <v>82520806</v>
      </c>
      <c r="D22143" t="s">
        <v>67129</v>
      </c>
      <c r="E22143" t="s">
        <v>67130</v>
      </c>
      <c r="F22143" t="s">
        <v>67131</v>
      </c>
      <c r="I22143" t="s">
        <v>8729</v>
      </c>
      <c r="J22143" t="s">
        <v>4132</v>
      </c>
      <c r="K22143" t="str">
        <f>"29212"</f>
        <v>29212</v>
      </c>
      <c r="M22143" t="s">
        <v>50621</v>
      </c>
      <c r="N22143" t="str">
        <f>"3/13/2024 1:21:00 PM"</f>
        <v>3/13/2024 1:21:00 PM</v>
      </c>
      <c r="O22143" t="s">
        <v>67129</v>
      </c>
      <c r="T22143" t="s">
        <v>67130</v>
      </c>
    </row>
    <row r="22144" spans="1:20" x14ac:dyDescent="0.25">
      <c r="A22144" t="str">
        <f>"3043141"</f>
        <v>3043141</v>
      </c>
      <c r="B22144" t="s">
        <v>67132</v>
      </c>
      <c r="C22144" t="str">
        <f>"8300123"</f>
        <v>8300123</v>
      </c>
      <c r="D22144" t="s">
        <v>67133</v>
      </c>
      <c r="F22144" t="s">
        <v>67134</v>
      </c>
      <c r="I22144" t="s">
        <v>964</v>
      </c>
      <c r="J22144" t="s">
        <v>30</v>
      </c>
      <c r="K22144" t="s">
        <v>965</v>
      </c>
      <c r="M22144" t="s">
        <v>50621</v>
      </c>
      <c r="N22144" t="str">
        <f>"3/14/2024 2:10:00 PM"</f>
        <v>3/14/2024 2:10:00 PM</v>
      </c>
      <c r="O22144" t="s">
        <v>67133</v>
      </c>
    </row>
    <row r="22145" spans="1:20" x14ac:dyDescent="0.25">
      <c r="A22145" t="str">
        <f>"3055971"</f>
        <v>3055971</v>
      </c>
      <c r="B22145" t="s">
        <v>67135</v>
      </c>
      <c r="C22145" t="str">
        <f>"82527603"</f>
        <v>82527603</v>
      </c>
      <c r="D22145" t="s">
        <v>67136</v>
      </c>
      <c r="E22145" t="s">
        <v>67137</v>
      </c>
      <c r="F22145" t="s">
        <v>67138</v>
      </c>
      <c r="I22145" t="s">
        <v>9580</v>
      </c>
      <c r="J22145" t="s">
        <v>30</v>
      </c>
      <c r="K22145" t="s">
        <v>67139</v>
      </c>
      <c r="M22145" t="s">
        <v>50621</v>
      </c>
      <c r="N22145" t="str">
        <f>"3/14/2024 2:12:00 PM"</f>
        <v>3/14/2024 2:12:00 PM</v>
      </c>
      <c r="O22145" t="s">
        <v>67136</v>
      </c>
      <c r="T22145" t="s">
        <v>67137</v>
      </c>
    </row>
    <row r="22146" spans="1:20" x14ac:dyDescent="0.25">
      <c r="A22146" t="str">
        <f>"3040087"</f>
        <v>3040087</v>
      </c>
      <c r="B22146" t="s">
        <v>67140</v>
      </c>
      <c r="C22146" t="str">
        <f>"8305523"</f>
        <v>8305523</v>
      </c>
      <c r="D22146" t="s">
        <v>67141</v>
      </c>
      <c r="F22146" t="s">
        <v>67142</v>
      </c>
      <c r="I22146" t="s">
        <v>29</v>
      </c>
      <c r="J22146" t="s">
        <v>30</v>
      </c>
      <c r="K22146" t="str">
        <f>"27028"</f>
        <v>27028</v>
      </c>
      <c r="M22146" t="s">
        <v>50621</v>
      </c>
      <c r="N22146" t="str">
        <f>"3/14/2024 2:16:00 PM"</f>
        <v>3/14/2024 2:16:00 PM</v>
      </c>
      <c r="O22146" t="s">
        <v>67141</v>
      </c>
    </row>
    <row r="22147" spans="1:20" x14ac:dyDescent="0.25">
      <c r="A22147" t="str">
        <f>"3050181"</f>
        <v>3050181</v>
      </c>
      <c r="B22147" t="s">
        <v>67143</v>
      </c>
      <c r="C22147" t="str">
        <f>"8315831"</f>
        <v>8315831</v>
      </c>
      <c r="D22147" t="s">
        <v>14926</v>
      </c>
      <c r="E22147" t="s">
        <v>67144</v>
      </c>
      <c r="F22147" t="s">
        <v>67145</v>
      </c>
      <c r="I22147" t="s">
        <v>29</v>
      </c>
      <c r="J22147" t="s">
        <v>30</v>
      </c>
      <c r="K22147" t="s">
        <v>38626</v>
      </c>
      <c r="M22147" t="s">
        <v>25733</v>
      </c>
      <c r="N22147" t="str">
        <f>"3/13/2024 1:41:00 PM"</f>
        <v>3/13/2024 1:41:00 PM</v>
      </c>
      <c r="O22147" t="s">
        <v>14926</v>
      </c>
      <c r="T22147" t="s">
        <v>67144</v>
      </c>
    </row>
    <row r="22148" spans="1:20" x14ac:dyDescent="0.25">
      <c r="A22148" t="str">
        <f>"3040903"</f>
        <v>3040903</v>
      </c>
      <c r="B22148" t="s">
        <v>67146</v>
      </c>
      <c r="C22148" t="str">
        <f>"30787220"</f>
        <v>30787220</v>
      </c>
      <c r="D22148" t="s">
        <v>67147</v>
      </c>
      <c r="F22148" t="s">
        <v>44009</v>
      </c>
      <c r="I22148" t="s">
        <v>184</v>
      </c>
      <c r="J22148" t="s">
        <v>30</v>
      </c>
      <c r="K22148" t="s">
        <v>9009</v>
      </c>
      <c r="M22148" t="s">
        <v>51351</v>
      </c>
      <c r="N22148" t="str">
        <f>"3/14/2024 3:06:00 PM"</f>
        <v>3/14/2024 3:06:00 PM</v>
      </c>
      <c r="O22148" t="s">
        <v>67147</v>
      </c>
    </row>
    <row r="22149" spans="1:20" x14ac:dyDescent="0.25">
      <c r="A22149" t="str">
        <f>"3054237"</f>
        <v>3054237</v>
      </c>
      <c r="B22149" t="s">
        <v>67148</v>
      </c>
      <c r="C22149" t="str">
        <f>"33702750"</f>
        <v>33702750</v>
      </c>
      <c r="D22149" t="s">
        <v>67149</v>
      </c>
      <c r="E22149" t="s">
        <v>67150</v>
      </c>
      <c r="F22149" t="s">
        <v>67151</v>
      </c>
      <c r="I22149" t="s">
        <v>29</v>
      </c>
      <c r="J22149" t="s">
        <v>30</v>
      </c>
      <c r="K22149" t="s">
        <v>31</v>
      </c>
      <c r="M22149" t="s">
        <v>51351</v>
      </c>
      <c r="N22149" t="str">
        <f>"3/14/2024 4:32:00 PM"</f>
        <v>3/14/2024 4:32:00 PM</v>
      </c>
      <c r="O22149" t="s">
        <v>67149</v>
      </c>
      <c r="T22149" t="s">
        <v>67150</v>
      </c>
    </row>
    <row r="22150" spans="1:20" x14ac:dyDescent="0.25">
      <c r="A22150" t="str">
        <f>"3050903"</f>
        <v>3050903</v>
      </c>
      <c r="B22150" t="s">
        <v>67152</v>
      </c>
      <c r="C22150" t="str">
        <f>"4356000"</f>
        <v>4356000</v>
      </c>
      <c r="D22150" t="s">
        <v>67153</v>
      </c>
      <c r="E22150" t="s">
        <v>67154</v>
      </c>
      <c r="F22150" t="s">
        <v>67155</v>
      </c>
      <c r="I22150" t="s">
        <v>184</v>
      </c>
      <c r="J22150" t="s">
        <v>30</v>
      </c>
      <c r="K22150" t="s">
        <v>67156</v>
      </c>
      <c r="M22150" t="s">
        <v>50621</v>
      </c>
      <c r="N22150" t="str">
        <f>"3/13/2024 2:11:00 PM"</f>
        <v>3/13/2024 2:11:00 PM</v>
      </c>
      <c r="O22150" t="s">
        <v>67153</v>
      </c>
      <c r="T22150" t="s">
        <v>67154</v>
      </c>
    </row>
    <row r="22151" spans="1:20" x14ac:dyDescent="0.25">
      <c r="A22151" t="str">
        <f>"3047385"</f>
        <v>3047385</v>
      </c>
      <c r="B22151" t="s">
        <v>67157</v>
      </c>
      <c r="C22151" t="str">
        <f>"4356000"</f>
        <v>4356000</v>
      </c>
      <c r="D22151" t="s">
        <v>67153</v>
      </c>
      <c r="E22151" t="s">
        <v>67154</v>
      </c>
      <c r="F22151" t="s">
        <v>67155</v>
      </c>
      <c r="I22151" t="s">
        <v>184</v>
      </c>
      <c r="J22151" t="s">
        <v>30</v>
      </c>
      <c r="K22151" t="s">
        <v>67156</v>
      </c>
      <c r="M22151" t="s">
        <v>50621</v>
      </c>
      <c r="N22151" t="str">
        <f>"3/13/2024 2:11:00 PM"</f>
        <v>3/13/2024 2:11:00 PM</v>
      </c>
      <c r="O22151" t="s">
        <v>67153</v>
      </c>
      <c r="T22151" t="s">
        <v>67154</v>
      </c>
    </row>
    <row r="22152" spans="1:20" x14ac:dyDescent="0.25">
      <c r="A22152" t="str">
        <f>"3047167"</f>
        <v>3047167</v>
      </c>
      <c r="B22152" t="s">
        <v>67158</v>
      </c>
      <c r="C22152" t="str">
        <f>"82517604"</f>
        <v>82517604</v>
      </c>
      <c r="D22152" t="s">
        <v>67159</v>
      </c>
      <c r="E22152" t="s">
        <v>67160</v>
      </c>
      <c r="F22152" t="s">
        <v>67161</v>
      </c>
      <c r="I22152" t="s">
        <v>29</v>
      </c>
      <c r="J22152" t="s">
        <v>30</v>
      </c>
      <c r="K22152" t="s">
        <v>10181</v>
      </c>
      <c r="M22152" t="s">
        <v>50621</v>
      </c>
      <c r="N22152" t="str">
        <f>"3/13/2024 2:26:00 PM"</f>
        <v>3/13/2024 2:26:00 PM</v>
      </c>
      <c r="O22152" t="s">
        <v>67159</v>
      </c>
      <c r="T22152" t="s">
        <v>67160</v>
      </c>
    </row>
    <row r="22153" spans="1:20" x14ac:dyDescent="0.25">
      <c r="A22153" t="str">
        <f>"3053203"</f>
        <v>3053203</v>
      </c>
      <c r="B22153" t="s">
        <v>67162</v>
      </c>
      <c r="C22153" t="str">
        <f>"82524295"</f>
        <v>82524295</v>
      </c>
      <c r="D22153" t="s">
        <v>67163</v>
      </c>
      <c r="E22153" t="s">
        <v>67164</v>
      </c>
      <c r="F22153" t="s">
        <v>67165</v>
      </c>
      <c r="I22153" t="s">
        <v>2280</v>
      </c>
      <c r="J22153" t="s">
        <v>30</v>
      </c>
      <c r="K22153" t="s">
        <v>67166</v>
      </c>
      <c r="M22153" t="s">
        <v>50621</v>
      </c>
      <c r="N22153" t="str">
        <f>"3/15/2024 1:40:00 PM"</f>
        <v>3/15/2024 1:40:00 PM</v>
      </c>
      <c r="O22153" t="s">
        <v>67163</v>
      </c>
      <c r="T22153" t="s">
        <v>67164</v>
      </c>
    </row>
    <row r="22154" spans="1:20" x14ac:dyDescent="0.25">
      <c r="A22154" t="str">
        <f>"3038069"</f>
        <v>3038069</v>
      </c>
      <c r="B22154" t="s">
        <v>67167</v>
      </c>
      <c r="C22154" t="str">
        <f>"9723000"</f>
        <v>9723000</v>
      </c>
      <c r="D22154" t="s">
        <v>67168</v>
      </c>
      <c r="F22154" t="s">
        <v>67169</v>
      </c>
      <c r="I22154" t="s">
        <v>49</v>
      </c>
      <c r="J22154" t="s">
        <v>30</v>
      </c>
      <c r="K22154" t="s">
        <v>67170</v>
      </c>
      <c r="M22154" t="s">
        <v>50621</v>
      </c>
      <c r="N22154" t="str">
        <f>"3/15/2024 1:49:00 PM"</f>
        <v>3/15/2024 1:49:00 PM</v>
      </c>
      <c r="O22154" t="s">
        <v>67168</v>
      </c>
    </row>
    <row r="22155" spans="1:20" x14ac:dyDescent="0.25">
      <c r="A22155" t="str">
        <f>"3047776"</f>
        <v>3047776</v>
      </c>
      <c r="B22155" t="s">
        <v>67171</v>
      </c>
      <c r="C22155" t="str">
        <f>"8305061"</f>
        <v>8305061</v>
      </c>
      <c r="D22155" t="s">
        <v>67172</v>
      </c>
      <c r="E22155" t="s">
        <v>67173</v>
      </c>
      <c r="F22155" t="s">
        <v>67174</v>
      </c>
      <c r="I22155" t="s">
        <v>184</v>
      </c>
      <c r="J22155" t="s">
        <v>30</v>
      </c>
      <c r="K22155" t="str">
        <f>"27006"</f>
        <v>27006</v>
      </c>
      <c r="M22155" t="s">
        <v>51351</v>
      </c>
      <c r="N22155" t="str">
        <f>"3/14/2024 9:33:00 AM"</f>
        <v>3/14/2024 9:33:00 AM</v>
      </c>
      <c r="O22155" t="s">
        <v>67172</v>
      </c>
      <c r="T22155" t="s">
        <v>67173</v>
      </c>
    </row>
    <row r="22156" spans="1:20" x14ac:dyDescent="0.25">
      <c r="A22156" t="str">
        <f>"3043166"</f>
        <v>3043166</v>
      </c>
      <c r="B22156" t="s">
        <v>67175</v>
      </c>
      <c r="C22156" t="str">
        <f>"8321682"</f>
        <v>8321682</v>
      </c>
      <c r="D22156" t="s">
        <v>67176</v>
      </c>
      <c r="F22156" t="s">
        <v>67177</v>
      </c>
      <c r="I22156" t="s">
        <v>29</v>
      </c>
      <c r="J22156" t="s">
        <v>30</v>
      </c>
      <c r="K22156" t="s">
        <v>7349</v>
      </c>
      <c r="M22156" t="s">
        <v>32801</v>
      </c>
      <c r="N22156" t="str">
        <f>"3/15/2024 2:21:00 PM"</f>
        <v>3/15/2024 2:21:00 PM</v>
      </c>
      <c r="O22156" t="s">
        <v>67176</v>
      </c>
    </row>
    <row r="22157" spans="1:20" x14ac:dyDescent="0.25">
      <c r="A22157" t="str">
        <f>"3077706"</f>
        <v>3077706</v>
      </c>
      <c r="B22157" t="s">
        <v>67178</v>
      </c>
      <c r="C22157" t="str">
        <f>"8321682"</f>
        <v>8321682</v>
      </c>
      <c r="D22157" t="s">
        <v>67176</v>
      </c>
      <c r="F22157" t="s">
        <v>67177</v>
      </c>
      <c r="I22157" t="s">
        <v>29</v>
      </c>
      <c r="J22157" t="s">
        <v>30</v>
      </c>
      <c r="K22157" t="s">
        <v>7349</v>
      </c>
      <c r="M22157" t="s">
        <v>32801</v>
      </c>
      <c r="N22157" t="str">
        <f>"3/15/2024 2:21:00 PM"</f>
        <v>3/15/2024 2:21:00 PM</v>
      </c>
      <c r="O22157" t="s">
        <v>67176</v>
      </c>
    </row>
    <row r="22158" spans="1:20" x14ac:dyDescent="0.25">
      <c r="A22158" t="str">
        <f>"3077707"</f>
        <v>3077707</v>
      </c>
      <c r="B22158" t="s">
        <v>67179</v>
      </c>
      <c r="C22158" t="str">
        <f>"8321682"</f>
        <v>8321682</v>
      </c>
      <c r="D22158" t="s">
        <v>67176</v>
      </c>
      <c r="F22158" t="s">
        <v>67177</v>
      </c>
      <c r="I22158" t="s">
        <v>29</v>
      </c>
      <c r="J22158" t="s">
        <v>30</v>
      </c>
      <c r="K22158" t="s">
        <v>7349</v>
      </c>
      <c r="M22158" t="s">
        <v>32801</v>
      </c>
      <c r="N22158" t="str">
        <f>"3/15/2024 2:21:00 PM"</f>
        <v>3/15/2024 2:21:00 PM</v>
      </c>
      <c r="O22158" t="s">
        <v>67176</v>
      </c>
    </row>
    <row r="22159" spans="1:20" x14ac:dyDescent="0.25">
      <c r="A22159" t="str">
        <f>"3056424"</f>
        <v>3056424</v>
      </c>
      <c r="B22159" t="s">
        <v>67180</v>
      </c>
      <c r="C22159" t="str">
        <f>"82517677"</f>
        <v>82517677</v>
      </c>
      <c r="D22159" t="s">
        <v>67181</v>
      </c>
      <c r="E22159" t="s">
        <v>67182</v>
      </c>
      <c r="F22159" t="s">
        <v>67183</v>
      </c>
      <c r="I22159" t="s">
        <v>29</v>
      </c>
      <c r="J22159" t="s">
        <v>30</v>
      </c>
      <c r="K22159" t="s">
        <v>31</v>
      </c>
      <c r="M22159" t="s">
        <v>50621</v>
      </c>
      <c r="N22159" t="str">
        <f>"3/15/2024 2:30:00 PM"</f>
        <v>3/15/2024 2:30:00 PM</v>
      </c>
      <c r="O22159" t="s">
        <v>67181</v>
      </c>
      <c r="T22159" t="s">
        <v>67182</v>
      </c>
    </row>
    <row r="22160" spans="1:20" x14ac:dyDescent="0.25">
      <c r="A22160" t="str">
        <f>"3069665"</f>
        <v>3069665</v>
      </c>
      <c r="B22160" t="s">
        <v>67184</v>
      </c>
      <c r="C22160" t="str">
        <f>"5377560"</f>
        <v>5377560</v>
      </c>
      <c r="D22160" t="s">
        <v>67185</v>
      </c>
      <c r="F22160" t="s">
        <v>67186</v>
      </c>
      <c r="I22160" t="s">
        <v>184</v>
      </c>
      <c r="J22160" t="s">
        <v>30</v>
      </c>
      <c r="K22160" t="s">
        <v>185</v>
      </c>
      <c r="M22160" t="s">
        <v>50621</v>
      </c>
      <c r="N22160" t="str">
        <f>"3/14/2024 10:27:00 AM"</f>
        <v>3/14/2024 10:27:00 AM</v>
      </c>
      <c r="O22160" t="s">
        <v>67185</v>
      </c>
    </row>
    <row r="22161" spans="1:20" x14ac:dyDescent="0.25">
      <c r="A22161" t="str">
        <f>"3054084"</f>
        <v>3054084</v>
      </c>
      <c r="B22161" t="s">
        <v>67187</v>
      </c>
      <c r="C22161" t="str">
        <f>"8305559"</f>
        <v>8305559</v>
      </c>
      <c r="D22161" t="s">
        <v>67188</v>
      </c>
      <c r="F22161" t="s">
        <v>67189</v>
      </c>
      <c r="I22161" t="s">
        <v>29</v>
      </c>
      <c r="J22161" t="s">
        <v>30</v>
      </c>
      <c r="K22161" t="str">
        <f>"27028"</f>
        <v>27028</v>
      </c>
      <c r="M22161" t="s">
        <v>50621</v>
      </c>
      <c r="N22161" t="str">
        <f>"3/14/2024 10:41:00 AM"</f>
        <v>3/14/2024 10:41:00 AM</v>
      </c>
      <c r="O22161" t="s">
        <v>67188</v>
      </c>
    </row>
    <row r="22162" spans="1:20" x14ac:dyDescent="0.25">
      <c r="A22162" t="str">
        <f>"3039524"</f>
        <v>3039524</v>
      </c>
      <c r="B22162" t="s">
        <v>67190</v>
      </c>
      <c r="C22162" t="str">
        <f>"82526740"</f>
        <v>82526740</v>
      </c>
      <c r="D22162" t="s">
        <v>48008</v>
      </c>
      <c r="E22162" t="s">
        <v>67191</v>
      </c>
      <c r="F22162" t="s">
        <v>48010</v>
      </c>
      <c r="I22162" t="s">
        <v>29</v>
      </c>
      <c r="J22162" t="s">
        <v>30</v>
      </c>
      <c r="K22162" t="s">
        <v>48011</v>
      </c>
      <c r="M22162" t="s">
        <v>50621</v>
      </c>
      <c r="N22162" t="str">
        <f>"3/14/2024 10:43:00 AM"</f>
        <v>3/14/2024 10:43:00 AM</v>
      </c>
      <c r="O22162" t="s">
        <v>48008</v>
      </c>
      <c r="T22162" t="s">
        <v>67191</v>
      </c>
    </row>
    <row r="22163" spans="1:20" x14ac:dyDescent="0.25">
      <c r="A22163" t="str">
        <f>"3078897"</f>
        <v>3078897</v>
      </c>
      <c r="B22163" t="s">
        <v>67192</v>
      </c>
      <c r="C22163" t="str">
        <f>"8302074"</f>
        <v>8302074</v>
      </c>
      <c r="D22163" t="s">
        <v>38764</v>
      </c>
      <c r="F22163" t="s">
        <v>67193</v>
      </c>
      <c r="I22163" t="s">
        <v>29</v>
      </c>
      <c r="J22163" t="s">
        <v>30</v>
      </c>
      <c r="K22163" t="str">
        <f>"27028"</f>
        <v>27028</v>
      </c>
      <c r="M22163" t="s">
        <v>50621</v>
      </c>
      <c r="N22163" t="str">
        <f>"3/14/2024 10:45:00 AM"</f>
        <v>3/14/2024 10:45:00 AM</v>
      </c>
      <c r="O22163" t="s">
        <v>38764</v>
      </c>
    </row>
    <row r="22164" spans="1:20" x14ac:dyDescent="0.25">
      <c r="A22164" t="str">
        <f>"3037515"</f>
        <v>3037515</v>
      </c>
      <c r="B22164" t="s">
        <v>67194</v>
      </c>
      <c r="C22164" t="str">
        <f>"8315539"</f>
        <v>8315539</v>
      </c>
      <c r="D22164" t="s">
        <v>67195</v>
      </c>
      <c r="E22164" t="s">
        <v>67196</v>
      </c>
      <c r="F22164" t="s">
        <v>67197</v>
      </c>
      <c r="I22164" t="s">
        <v>34608</v>
      </c>
      <c r="J22164" t="s">
        <v>30</v>
      </c>
      <c r="K22164" t="s">
        <v>67198</v>
      </c>
      <c r="M22164" t="s">
        <v>50621</v>
      </c>
      <c r="N22164" t="str">
        <f>"3/14/2024 11:41:00 AM"</f>
        <v>3/14/2024 11:41:00 AM</v>
      </c>
      <c r="O22164" t="s">
        <v>67195</v>
      </c>
      <c r="T22164" t="s">
        <v>67196</v>
      </c>
    </row>
    <row r="22165" spans="1:20" x14ac:dyDescent="0.25">
      <c r="A22165" t="str">
        <f>"3046149"</f>
        <v>3046149</v>
      </c>
      <c r="B22165" t="s">
        <v>67199</v>
      </c>
      <c r="C22165" t="str">
        <f>"82531864"</f>
        <v>82531864</v>
      </c>
      <c r="D22165" t="s">
        <v>67103</v>
      </c>
      <c r="F22165" t="s">
        <v>67104</v>
      </c>
      <c r="I22165" t="s">
        <v>29</v>
      </c>
      <c r="J22165" t="s">
        <v>30</v>
      </c>
      <c r="K22165" t="s">
        <v>31</v>
      </c>
      <c r="M22165" t="s">
        <v>50621</v>
      </c>
      <c r="N22165" t="str">
        <f>"3/14/2024 1:12:00 PM"</f>
        <v>3/14/2024 1:12:00 PM</v>
      </c>
      <c r="O22165" t="s">
        <v>67103</v>
      </c>
    </row>
    <row r="22166" spans="1:20" x14ac:dyDescent="0.25">
      <c r="A22166" t="str">
        <f>"3047130"</f>
        <v>3047130</v>
      </c>
      <c r="B22166" t="s">
        <v>67200</v>
      </c>
      <c r="C22166" t="str">
        <f>"82531966"</f>
        <v>82531966</v>
      </c>
      <c r="D22166" t="s">
        <v>67201</v>
      </c>
      <c r="F22166" t="s">
        <v>67202</v>
      </c>
      <c r="I22166" t="s">
        <v>29</v>
      </c>
      <c r="J22166" t="s">
        <v>30</v>
      </c>
      <c r="K22166" t="s">
        <v>31</v>
      </c>
      <c r="M22166" t="s">
        <v>50621</v>
      </c>
      <c r="N22166" t="str">
        <f>"3/13/2024 9:34:00 AM"</f>
        <v>3/13/2024 9:34:00 AM</v>
      </c>
      <c r="O22166" t="s">
        <v>67201</v>
      </c>
    </row>
    <row r="22167" spans="1:20" x14ac:dyDescent="0.25">
      <c r="A22167" t="str">
        <f>"3039011"</f>
        <v>3039011</v>
      </c>
      <c r="B22167" t="s">
        <v>67203</v>
      </c>
      <c r="C22167" t="str">
        <f>"8315211"</f>
        <v>8315211</v>
      </c>
      <c r="D22167" t="s">
        <v>67204</v>
      </c>
      <c r="E22167" t="s">
        <v>67205</v>
      </c>
      <c r="F22167" t="s">
        <v>67206</v>
      </c>
      <c r="I22167" t="s">
        <v>29</v>
      </c>
      <c r="J22167" t="s">
        <v>30</v>
      </c>
      <c r="K22167" t="s">
        <v>40374</v>
      </c>
      <c r="M22167" t="s">
        <v>50793</v>
      </c>
      <c r="N22167" t="str">
        <f>"3/18/2024 10:35:00 AM"</f>
        <v>3/18/2024 10:35:00 AM</v>
      </c>
      <c r="O22167" t="s">
        <v>67204</v>
      </c>
      <c r="T22167" t="s">
        <v>67205</v>
      </c>
    </row>
    <row r="22168" spans="1:20" x14ac:dyDescent="0.25">
      <c r="A22168" t="str">
        <f>"3053215"</f>
        <v>3053215</v>
      </c>
      <c r="B22168" t="s">
        <v>67207</v>
      </c>
      <c r="C22168" t="str">
        <f>"8319679"</f>
        <v>8319679</v>
      </c>
      <c r="D22168" t="s">
        <v>67208</v>
      </c>
      <c r="F22168" t="s">
        <v>67209</v>
      </c>
      <c r="I22168" t="s">
        <v>17921</v>
      </c>
      <c r="J22168" t="s">
        <v>30</v>
      </c>
      <c r="K22168" t="str">
        <f>"27028"</f>
        <v>27028</v>
      </c>
      <c r="M22168" t="s">
        <v>67210</v>
      </c>
      <c r="N22168" t="str">
        <f>"3/13/2024 10:22:00 AM"</f>
        <v>3/13/2024 10:22:00 AM</v>
      </c>
      <c r="O22168" t="s">
        <v>67208</v>
      </c>
    </row>
    <row r="22169" spans="1:20" x14ac:dyDescent="0.25">
      <c r="A22169" t="str">
        <f>"3055035"</f>
        <v>3055035</v>
      </c>
      <c r="B22169" t="s">
        <v>67211</v>
      </c>
      <c r="C22169" t="str">
        <f>"8311324"</f>
        <v>8311324</v>
      </c>
      <c r="D22169" t="s">
        <v>67212</v>
      </c>
      <c r="E22169" t="s">
        <v>67213</v>
      </c>
      <c r="F22169" t="s">
        <v>67214</v>
      </c>
      <c r="I22169" t="s">
        <v>29</v>
      </c>
      <c r="J22169" t="s">
        <v>30</v>
      </c>
      <c r="K22169" t="s">
        <v>67215</v>
      </c>
      <c r="M22169" t="s">
        <v>50621</v>
      </c>
      <c r="N22169" t="str">
        <f>"3/18/2024 11:40:00 AM"</f>
        <v>3/18/2024 11:40:00 AM</v>
      </c>
      <c r="O22169" t="s">
        <v>67212</v>
      </c>
      <c r="T22169" t="s">
        <v>67213</v>
      </c>
    </row>
    <row r="22170" spans="1:20" x14ac:dyDescent="0.25">
      <c r="A22170" t="str">
        <f>"3055399"</f>
        <v>3055399</v>
      </c>
      <c r="B22170" t="s">
        <v>67216</v>
      </c>
      <c r="C22170" t="str">
        <f>"12092000"</f>
        <v>12092000</v>
      </c>
      <c r="D22170" t="s">
        <v>67217</v>
      </c>
      <c r="E22170" t="s">
        <v>67218</v>
      </c>
      <c r="F22170" t="s">
        <v>67219</v>
      </c>
      <c r="I22170" t="s">
        <v>29</v>
      </c>
      <c r="J22170" t="s">
        <v>30</v>
      </c>
      <c r="K22170" t="s">
        <v>31</v>
      </c>
      <c r="M22170" t="s">
        <v>50621</v>
      </c>
      <c r="N22170" t="str">
        <f>"3/18/2024 11:42:00 AM"</f>
        <v>3/18/2024 11:42:00 AM</v>
      </c>
      <c r="O22170" t="s">
        <v>67217</v>
      </c>
      <c r="T22170" t="s">
        <v>67218</v>
      </c>
    </row>
    <row r="22171" spans="1:20" x14ac:dyDescent="0.25">
      <c r="A22171" t="str">
        <f>"3075993"</f>
        <v>3075993</v>
      </c>
      <c r="B22171" t="s">
        <v>67220</v>
      </c>
      <c r="C22171" t="str">
        <f>"8320239"</f>
        <v>8320239</v>
      </c>
      <c r="D22171" t="s">
        <v>67221</v>
      </c>
      <c r="E22171" t="s">
        <v>67222</v>
      </c>
      <c r="F22171" t="s">
        <v>67223</v>
      </c>
      <c r="I22171" t="s">
        <v>184</v>
      </c>
      <c r="J22171" t="s">
        <v>30</v>
      </c>
      <c r="K22171" t="s">
        <v>51529</v>
      </c>
      <c r="M22171" t="s">
        <v>50621</v>
      </c>
      <c r="N22171" t="str">
        <f>"3/13/2024 11:10:00 AM"</f>
        <v>3/13/2024 11:10:00 AM</v>
      </c>
      <c r="O22171" t="s">
        <v>67221</v>
      </c>
      <c r="T22171" t="s">
        <v>67222</v>
      </c>
    </row>
    <row r="22172" spans="1:20" x14ac:dyDescent="0.25">
      <c r="A22172" t="str">
        <f>"3054204"</f>
        <v>3054204</v>
      </c>
      <c r="B22172" t="s">
        <v>67224</v>
      </c>
      <c r="C22172" t="str">
        <f>"24252000"</f>
        <v>24252000</v>
      </c>
      <c r="D22172" t="s">
        <v>15665</v>
      </c>
      <c r="E22172" t="s">
        <v>64213</v>
      </c>
      <c r="F22172" t="s">
        <v>15666</v>
      </c>
      <c r="I22172" t="s">
        <v>9580</v>
      </c>
      <c r="J22172" t="s">
        <v>30</v>
      </c>
      <c r="K22172" t="s">
        <v>9581</v>
      </c>
      <c r="M22172" t="s">
        <v>50793</v>
      </c>
      <c r="N22172" t="str">
        <f>"3/18/2024 1:44:00 PM"</f>
        <v>3/18/2024 1:44:00 PM</v>
      </c>
      <c r="O22172" t="s">
        <v>15665</v>
      </c>
      <c r="T22172" t="s">
        <v>64213</v>
      </c>
    </row>
    <row r="22173" spans="1:20" x14ac:dyDescent="0.25">
      <c r="A22173" t="str">
        <f>"3050330"</f>
        <v>3050330</v>
      </c>
      <c r="B22173" t="s">
        <v>67225</v>
      </c>
      <c r="C22173" t="str">
        <f>"79460000"</f>
        <v>79460000</v>
      </c>
      <c r="D22173" t="s">
        <v>67226</v>
      </c>
      <c r="F22173" t="s">
        <v>67227</v>
      </c>
      <c r="I22173" t="s">
        <v>184</v>
      </c>
      <c r="J22173" t="s">
        <v>30</v>
      </c>
      <c r="K22173" t="str">
        <f>"27006"</f>
        <v>27006</v>
      </c>
      <c r="M22173" t="s">
        <v>51351</v>
      </c>
      <c r="N22173" t="str">
        <f>"3/13/2024 11:28:00 AM"</f>
        <v>3/13/2024 11:28:00 AM</v>
      </c>
      <c r="O22173" t="s">
        <v>67226</v>
      </c>
    </row>
    <row r="22174" spans="1:20" x14ac:dyDescent="0.25">
      <c r="A22174" t="str">
        <f>"3038541"</f>
        <v>3038541</v>
      </c>
      <c r="B22174" t="s">
        <v>67228</v>
      </c>
      <c r="C22174" t="str">
        <f>"8307093"</f>
        <v>8307093</v>
      </c>
      <c r="D22174" t="s">
        <v>67229</v>
      </c>
      <c r="F22174" t="s">
        <v>67230</v>
      </c>
      <c r="I22174" t="s">
        <v>49</v>
      </c>
      <c r="J22174" t="s">
        <v>30</v>
      </c>
      <c r="K22174" t="str">
        <f>"27055"</f>
        <v>27055</v>
      </c>
      <c r="M22174" t="s">
        <v>50621</v>
      </c>
      <c r="N22174" t="str">
        <f>"3/18/2024 1:51:00 PM"</f>
        <v>3/18/2024 1:51:00 PM</v>
      </c>
      <c r="O22174" t="s">
        <v>67229</v>
      </c>
    </row>
    <row r="22175" spans="1:20" x14ac:dyDescent="0.25">
      <c r="A22175" t="str">
        <f>"3038478"</f>
        <v>3038478</v>
      </c>
      <c r="B22175" t="s">
        <v>67231</v>
      </c>
      <c r="C22175" t="str">
        <f>"8307093"</f>
        <v>8307093</v>
      </c>
      <c r="D22175" t="s">
        <v>67229</v>
      </c>
      <c r="F22175" t="s">
        <v>67230</v>
      </c>
      <c r="I22175" t="s">
        <v>49</v>
      </c>
      <c r="J22175" t="s">
        <v>30</v>
      </c>
      <c r="K22175" t="str">
        <f>"27055"</f>
        <v>27055</v>
      </c>
      <c r="M22175" t="s">
        <v>50621</v>
      </c>
      <c r="N22175" t="str">
        <f>"3/18/2024 1:51:00 PM"</f>
        <v>3/18/2024 1:51:00 PM</v>
      </c>
      <c r="O22175" t="s">
        <v>67229</v>
      </c>
    </row>
    <row r="22176" spans="1:20" x14ac:dyDescent="0.25">
      <c r="A22176" t="str">
        <f>"3043897"</f>
        <v>3043897</v>
      </c>
      <c r="B22176" t="s">
        <v>67232</v>
      </c>
      <c r="C22176" t="str">
        <f>"82525188"</f>
        <v>82525188</v>
      </c>
      <c r="D22176" t="s">
        <v>67233</v>
      </c>
      <c r="F22176" t="s">
        <v>67234</v>
      </c>
      <c r="I22176" t="s">
        <v>184</v>
      </c>
      <c r="J22176" t="s">
        <v>30</v>
      </c>
      <c r="K22176" t="s">
        <v>49554</v>
      </c>
      <c r="M22176" t="s">
        <v>50621</v>
      </c>
      <c r="N22176" t="str">
        <f>"3/18/2024 1:52:00 PM"</f>
        <v>3/18/2024 1:52:00 PM</v>
      </c>
      <c r="O22176" t="s">
        <v>67233</v>
      </c>
    </row>
    <row r="22177" spans="1:20" x14ac:dyDescent="0.25">
      <c r="A22177" t="str">
        <f>"3052292"</f>
        <v>3052292</v>
      </c>
      <c r="B22177" t="s">
        <v>67235</v>
      </c>
      <c r="C22177" t="str">
        <f>"14070000"</f>
        <v>14070000</v>
      </c>
      <c r="D22177" t="s">
        <v>67236</v>
      </c>
      <c r="F22177" t="s">
        <v>20614</v>
      </c>
      <c r="I22177" t="s">
        <v>3196</v>
      </c>
      <c r="J22177" t="s">
        <v>30</v>
      </c>
      <c r="K22177" t="s">
        <v>67237</v>
      </c>
      <c r="M22177" t="s">
        <v>50621</v>
      </c>
      <c r="N22177" t="str">
        <f>"3/18/2024 2:08:00 PM"</f>
        <v>3/18/2024 2:08:00 PM</v>
      </c>
      <c r="O22177" t="s">
        <v>67236</v>
      </c>
    </row>
    <row r="22178" spans="1:20" x14ac:dyDescent="0.25">
      <c r="A22178" t="str">
        <f>"3051652"</f>
        <v>3051652</v>
      </c>
      <c r="B22178" t="s">
        <v>67238</v>
      </c>
      <c r="C22178" t="str">
        <f>"14070000"</f>
        <v>14070000</v>
      </c>
      <c r="D22178" t="s">
        <v>67236</v>
      </c>
      <c r="F22178" t="s">
        <v>20614</v>
      </c>
      <c r="I22178" t="s">
        <v>3196</v>
      </c>
      <c r="J22178" t="s">
        <v>30</v>
      </c>
      <c r="K22178" t="s">
        <v>67237</v>
      </c>
      <c r="M22178" t="s">
        <v>50621</v>
      </c>
      <c r="N22178" t="str">
        <f>"3/18/2024 2:08:00 PM"</f>
        <v>3/18/2024 2:08:00 PM</v>
      </c>
      <c r="O22178" t="s">
        <v>67236</v>
      </c>
    </row>
    <row r="22179" spans="1:20" x14ac:dyDescent="0.25">
      <c r="A22179" t="str">
        <f>"3042027"</f>
        <v>3042027</v>
      </c>
      <c r="B22179" t="s">
        <v>67239</v>
      </c>
      <c r="C22179" t="str">
        <f>"21900780"</f>
        <v>21900780</v>
      </c>
      <c r="D22179" t="s">
        <v>67240</v>
      </c>
      <c r="E22179" t="s">
        <v>67241</v>
      </c>
      <c r="F22179" t="s">
        <v>67242</v>
      </c>
      <c r="I22179" t="s">
        <v>29</v>
      </c>
      <c r="J22179" t="s">
        <v>30</v>
      </c>
      <c r="K22179" t="s">
        <v>41568</v>
      </c>
      <c r="M22179" t="s">
        <v>50793</v>
      </c>
      <c r="N22179" t="str">
        <f>"3/13/2024 11:59:00 AM"</f>
        <v>3/13/2024 11:59:00 AM</v>
      </c>
      <c r="O22179" t="s">
        <v>67240</v>
      </c>
      <c r="T22179" t="s">
        <v>67241</v>
      </c>
    </row>
    <row r="22180" spans="1:20" x14ac:dyDescent="0.25">
      <c r="A22180" t="str">
        <f>"3042597"</f>
        <v>3042597</v>
      </c>
      <c r="B22180" t="s">
        <v>67243</v>
      </c>
      <c r="C22180" t="str">
        <f>"8321041"</f>
        <v>8321041</v>
      </c>
      <c r="D22180" t="s">
        <v>67244</v>
      </c>
      <c r="F22180" t="s">
        <v>67245</v>
      </c>
      <c r="I22180" t="s">
        <v>184</v>
      </c>
      <c r="J22180" t="s">
        <v>30</v>
      </c>
      <c r="K22180" t="s">
        <v>45443</v>
      </c>
      <c r="M22180" t="s">
        <v>50793</v>
      </c>
      <c r="N22180" t="str">
        <f>"3/13/2024 12:33:00 PM"</f>
        <v>3/13/2024 12:33:00 PM</v>
      </c>
      <c r="O22180" t="s">
        <v>67244</v>
      </c>
    </row>
    <row r="22181" spans="1:20" x14ac:dyDescent="0.25">
      <c r="A22181" t="str">
        <f>"3086339"</f>
        <v>3086339</v>
      </c>
      <c r="B22181" t="s">
        <v>67246</v>
      </c>
      <c r="C22181" t="str">
        <f>"8321040"</f>
        <v>8321040</v>
      </c>
      <c r="D22181" t="s">
        <v>67247</v>
      </c>
      <c r="F22181" t="s">
        <v>61986</v>
      </c>
      <c r="I22181" t="s">
        <v>184</v>
      </c>
      <c r="J22181" t="s">
        <v>30</v>
      </c>
      <c r="K22181" t="s">
        <v>56455</v>
      </c>
      <c r="M22181" t="s">
        <v>50793</v>
      </c>
      <c r="N22181" t="str">
        <f>"3/13/2024 12:39:00 PM"</f>
        <v>3/13/2024 12:39:00 PM</v>
      </c>
      <c r="O22181" t="s">
        <v>67247</v>
      </c>
    </row>
    <row r="22182" spans="1:20" x14ac:dyDescent="0.25">
      <c r="A22182" t="str">
        <f>"3062046"</f>
        <v>3062046</v>
      </c>
      <c r="B22182" t="s">
        <v>67248</v>
      </c>
      <c r="C22182" t="str">
        <f>"8320135"</f>
        <v>8320135</v>
      </c>
      <c r="D22182" t="s">
        <v>67249</v>
      </c>
      <c r="F22182" t="s">
        <v>29541</v>
      </c>
      <c r="I22182" t="s">
        <v>29</v>
      </c>
      <c r="J22182" t="s">
        <v>30</v>
      </c>
      <c r="K22182" t="s">
        <v>67250</v>
      </c>
      <c r="M22182" t="s">
        <v>51351</v>
      </c>
      <c r="N22182" t="str">
        <f>"3/13/2024 12:52:00 PM"</f>
        <v>3/13/2024 12:52:00 PM</v>
      </c>
      <c r="O22182" t="s">
        <v>67249</v>
      </c>
    </row>
    <row r="22183" spans="1:20" x14ac:dyDescent="0.25">
      <c r="A22183" t="str">
        <f>"3045620"</f>
        <v>3045620</v>
      </c>
      <c r="B22183" t="s">
        <v>67251</v>
      </c>
      <c r="C22183" t="str">
        <f>"4016500"</f>
        <v>4016500</v>
      </c>
      <c r="D22183" t="s">
        <v>67252</v>
      </c>
      <c r="E22183" t="s">
        <v>67253</v>
      </c>
      <c r="F22183" t="s">
        <v>67254</v>
      </c>
      <c r="I22183" t="s">
        <v>29</v>
      </c>
      <c r="J22183" t="s">
        <v>30</v>
      </c>
      <c r="K22183" t="s">
        <v>67255</v>
      </c>
      <c r="M22183" t="s">
        <v>50621</v>
      </c>
      <c r="N22183" t="str">
        <f>"3/13/2024 1:17:00 PM"</f>
        <v>3/13/2024 1:17:00 PM</v>
      </c>
      <c r="O22183" t="s">
        <v>67252</v>
      </c>
      <c r="T22183" t="s">
        <v>67253</v>
      </c>
    </row>
    <row r="22184" spans="1:20" x14ac:dyDescent="0.25">
      <c r="A22184" t="str">
        <f>"3068831"</f>
        <v>3068831</v>
      </c>
      <c r="B22184" t="s">
        <v>67256</v>
      </c>
      <c r="C22184" t="str">
        <f>"8304111"</f>
        <v>8304111</v>
      </c>
      <c r="D22184" t="s">
        <v>67257</v>
      </c>
      <c r="F22184" t="s">
        <v>67258</v>
      </c>
      <c r="I22184" t="s">
        <v>29</v>
      </c>
      <c r="J22184" t="s">
        <v>30</v>
      </c>
      <c r="K22184" t="str">
        <f>"27028"</f>
        <v>27028</v>
      </c>
      <c r="M22184" t="s">
        <v>50621</v>
      </c>
      <c r="N22184" t="str">
        <f>"3/14/2024 2:49:00 PM"</f>
        <v>3/14/2024 2:49:00 PM</v>
      </c>
      <c r="O22184" t="s">
        <v>67257</v>
      </c>
    </row>
    <row r="22185" spans="1:20" x14ac:dyDescent="0.25">
      <c r="A22185" t="str">
        <f>"3046606"</f>
        <v>3046606</v>
      </c>
      <c r="B22185" t="s">
        <v>67259</v>
      </c>
      <c r="C22185" t="str">
        <f>"27722000"</f>
        <v>27722000</v>
      </c>
      <c r="D22185" t="s">
        <v>67260</v>
      </c>
      <c r="F22185" t="s">
        <v>65710</v>
      </c>
      <c r="I22185" t="s">
        <v>29</v>
      </c>
      <c r="J22185" t="s">
        <v>30</v>
      </c>
      <c r="K22185" t="s">
        <v>51547</v>
      </c>
      <c r="M22185" t="s">
        <v>50621</v>
      </c>
      <c r="N22185" t="str">
        <f>"3/15/2024 10:55:00 AM"</f>
        <v>3/15/2024 10:55:00 AM</v>
      </c>
      <c r="O22185" t="s">
        <v>67260</v>
      </c>
    </row>
    <row r="22186" spans="1:20" x14ac:dyDescent="0.25">
      <c r="A22186" t="str">
        <f>"3056246"</f>
        <v>3056246</v>
      </c>
      <c r="B22186" t="s">
        <v>67261</v>
      </c>
      <c r="C22186" t="str">
        <f>"8306622"</f>
        <v>8306622</v>
      </c>
      <c r="D22186" t="s">
        <v>67262</v>
      </c>
      <c r="E22186" t="s">
        <v>67263</v>
      </c>
      <c r="F22186" t="s">
        <v>56626</v>
      </c>
      <c r="I22186" t="s">
        <v>29</v>
      </c>
      <c r="J22186" t="s">
        <v>30</v>
      </c>
      <c r="K22186" t="str">
        <f>"27028"</f>
        <v>27028</v>
      </c>
      <c r="M22186" t="s">
        <v>50621</v>
      </c>
      <c r="N22186" t="str">
        <f>"3/15/2024 1:33:00 PM"</f>
        <v>3/15/2024 1:33:00 PM</v>
      </c>
      <c r="O22186" t="s">
        <v>67262</v>
      </c>
      <c r="T22186" t="s">
        <v>67263</v>
      </c>
    </row>
    <row r="22187" spans="1:20" x14ac:dyDescent="0.25">
      <c r="A22187" t="str">
        <f>"3056664"</f>
        <v>3056664</v>
      </c>
      <c r="B22187" t="s">
        <v>67264</v>
      </c>
      <c r="C22187" t="str">
        <f>"8306622"</f>
        <v>8306622</v>
      </c>
      <c r="D22187" t="s">
        <v>67262</v>
      </c>
      <c r="E22187" t="s">
        <v>67263</v>
      </c>
      <c r="F22187" t="s">
        <v>56626</v>
      </c>
      <c r="I22187" t="s">
        <v>29</v>
      </c>
      <c r="J22187" t="s">
        <v>30</v>
      </c>
      <c r="K22187" t="str">
        <f>"27028"</f>
        <v>27028</v>
      </c>
      <c r="M22187" t="s">
        <v>50621</v>
      </c>
      <c r="N22187" t="str">
        <f>"3/15/2024 1:33:00 PM"</f>
        <v>3/15/2024 1:33:00 PM</v>
      </c>
      <c r="O22187" t="s">
        <v>67262</v>
      </c>
      <c r="T22187" t="s">
        <v>67263</v>
      </c>
    </row>
    <row r="22188" spans="1:20" x14ac:dyDescent="0.25">
      <c r="A22188" t="str">
        <f>"3039147"</f>
        <v>3039147</v>
      </c>
      <c r="B22188" t="s">
        <v>67265</v>
      </c>
      <c r="C22188" t="str">
        <f>"9840000"</f>
        <v>9840000</v>
      </c>
      <c r="D22188" t="s">
        <v>67266</v>
      </c>
      <c r="E22188" t="s">
        <v>67267</v>
      </c>
      <c r="F22188" t="s">
        <v>67268</v>
      </c>
      <c r="I22188" t="s">
        <v>29</v>
      </c>
      <c r="J22188" t="s">
        <v>30</v>
      </c>
      <c r="K22188" t="s">
        <v>31</v>
      </c>
      <c r="M22188" t="s">
        <v>50621</v>
      </c>
      <c r="N22188" t="str">
        <f>"3/15/2024 2:07:00 PM"</f>
        <v>3/15/2024 2:07:00 PM</v>
      </c>
      <c r="O22188" t="s">
        <v>67266</v>
      </c>
      <c r="T22188" t="s">
        <v>67267</v>
      </c>
    </row>
    <row r="22189" spans="1:20" x14ac:dyDescent="0.25">
      <c r="A22189" t="str">
        <f>"3053727"</f>
        <v>3053727</v>
      </c>
      <c r="B22189" t="s">
        <v>67269</v>
      </c>
      <c r="C22189" t="str">
        <f>"8313388"</f>
        <v>8313388</v>
      </c>
      <c r="D22189" t="s">
        <v>67270</v>
      </c>
      <c r="F22189" t="s">
        <v>67271</v>
      </c>
      <c r="I22189" t="s">
        <v>29</v>
      </c>
      <c r="J22189" t="s">
        <v>30</v>
      </c>
      <c r="K22189" t="s">
        <v>33328</v>
      </c>
      <c r="M22189" t="s">
        <v>50621</v>
      </c>
      <c r="N22189" t="str">
        <f>"3/15/2024 2:50:00 PM"</f>
        <v>3/15/2024 2:50:00 PM</v>
      </c>
      <c r="O22189" t="s">
        <v>67270</v>
      </c>
    </row>
    <row r="22190" spans="1:20" x14ac:dyDescent="0.25">
      <c r="A22190" t="str">
        <f>"3055165"</f>
        <v>3055165</v>
      </c>
      <c r="B22190" t="s">
        <v>67272</v>
      </c>
      <c r="C22190" t="str">
        <f>"22815000"</f>
        <v>22815000</v>
      </c>
      <c r="D22190" t="s">
        <v>67273</v>
      </c>
      <c r="E22190" t="s">
        <v>67274</v>
      </c>
      <c r="F22190" t="s">
        <v>67275</v>
      </c>
      <c r="I22190" t="s">
        <v>29</v>
      </c>
      <c r="J22190" t="s">
        <v>30</v>
      </c>
      <c r="K22190" t="s">
        <v>31</v>
      </c>
      <c r="M22190" t="s">
        <v>50793</v>
      </c>
      <c r="N22190" t="str">
        <f>"3/15/2024 2:51:00 PM"</f>
        <v>3/15/2024 2:51:00 PM</v>
      </c>
      <c r="O22190" t="s">
        <v>67273</v>
      </c>
      <c r="T22190" t="s">
        <v>67274</v>
      </c>
    </row>
    <row r="22191" spans="1:20" x14ac:dyDescent="0.25">
      <c r="A22191" t="str">
        <f>"3052575"</f>
        <v>3052575</v>
      </c>
      <c r="B22191" t="s">
        <v>67276</v>
      </c>
      <c r="C22191" t="str">
        <f>"8309411"</f>
        <v>8309411</v>
      </c>
      <c r="D22191" t="s">
        <v>67277</v>
      </c>
      <c r="E22191" t="s">
        <v>67278</v>
      </c>
      <c r="F22191" t="s">
        <v>67279</v>
      </c>
      <c r="I22191" t="s">
        <v>29</v>
      </c>
      <c r="J22191" t="s">
        <v>30</v>
      </c>
      <c r="K22191" t="s">
        <v>55310</v>
      </c>
      <c r="M22191" t="s">
        <v>50621</v>
      </c>
      <c r="N22191" t="str">
        <f>"3/15/2024 3:02:00 PM"</f>
        <v>3/15/2024 3:02:00 PM</v>
      </c>
      <c r="O22191" t="s">
        <v>67277</v>
      </c>
      <c r="T22191" t="s">
        <v>67278</v>
      </c>
    </row>
    <row r="22192" spans="1:20" x14ac:dyDescent="0.25">
      <c r="A22192" t="str">
        <f>"3063912"</f>
        <v>3063912</v>
      </c>
      <c r="B22192" t="s">
        <v>67280</v>
      </c>
      <c r="C22192" t="str">
        <f>"11129380"</f>
        <v>11129380</v>
      </c>
      <c r="D22192" t="s">
        <v>67281</v>
      </c>
      <c r="F22192" t="s">
        <v>67282</v>
      </c>
      <c r="I22192" t="s">
        <v>184</v>
      </c>
      <c r="J22192" t="s">
        <v>30</v>
      </c>
      <c r="K22192" t="s">
        <v>185</v>
      </c>
      <c r="M22192" t="s">
        <v>50621</v>
      </c>
      <c r="N22192" t="str">
        <f>"3/18/2024 9:38:00 AM"</f>
        <v>3/18/2024 9:38:00 AM</v>
      </c>
      <c r="O22192" t="s">
        <v>67281</v>
      </c>
    </row>
    <row r="22193" spans="1:20" x14ac:dyDescent="0.25">
      <c r="A22193" t="str">
        <f>"3058706"</f>
        <v>3058706</v>
      </c>
      <c r="B22193" t="s">
        <v>67283</v>
      </c>
      <c r="C22193" t="str">
        <f>"82521560"</f>
        <v>82521560</v>
      </c>
      <c r="D22193" t="s">
        <v>67284</v>
      </c>
      <c r="F22193" t="s">
        <v>67285</v>
      </c>
      <c r="I22193" t="s">
        <v>29</v>
      </c>
      <c r="J22193" t="s">
        <v>30</v>
      </c>
      <c r="K22193" t="s">
        <v>31</v>
      </c>
      <c r="M22193" t="s">
        <v>50621</v>
      </c>
      <c r="N22193" t="str">
        <f>"3/18/2024 9:56:00 AM"</f>
        <v>3/18/2024 9:56:00 AM</v>
      </c>
      <c r="O22193" t="s">
        <v>67284</v>
      </c>
    </row>
    <row r="22194" spans="1:20" x14ac:dyDescent="0.25">
      <c r="A22194" t="str">
        <f>"3054381"</f>
        <v>3054381</v>
      </c>
      <c r="B22194" t="s">
        <v>67286</v>
      </c>
      <c r="C22194" t="str">
        <f>"8318101"</f>
        <v>8318101</v>
      </c>
      <c r="D22194" t="s">
        <v>67287</v>
      </c>
      <c r="F22194" t="s">
        <v>67288</v>
      </c>
      <c r="I22194" t="s">
        <v>67289</v>
      </c>
      <c r="J22194" t="s">
        <v>2738</v>
      </c>
      <c r="K22194" t="s">
        <v>67290</v>
      </c>
      <c r="M22194" t="s">
        <v>25733</v>
      </c>
      <c r="N22194" t="str">
        <f>"3/18/2024 10:12:00 AM"</f>
        <v>3/18/2024 10:12:00 AM</v>
      </c>
      <c r="O22194" t="s">
        <v>67287</v>
      </c>
    </row>
    <row r="22195" spans="1:20" x14ac:dyDescent="0.25">
      <c r="A22195" t="str">
        <f>"3043622"</f>
        <v>3043622</v>
      </c>
      <c r="B22195" t="s">
        <v>67291</v>
      </c>
      <c r="C22195" t="str">
        <f>"8300276"</f>
        <v>8300276</v>
      </c>
      <c r="D22195" t="s">
        <v>67292</v>
      </c>
      <c r="F22195" t="s">
        <v>67293</v>
      </c>
      <c r="I22195" t="s">
        <v>29</v>
      </c>
      <c r="J22195" t="s">
        <v>30</v>
      </c>
      <c r="K22195" t="s">
        <v>31</v>
      </c>
      <c r="M22195" t="s">
        <v>50621</v>
      </c>
      <c r="N22195" t="str">
        <f>"3/18/2024 10:27:00 AM"</f>
        <v>3/18/2024 10:27:00 AM</v>
      </c>
      <c r="O22195" t="s">
        <v>67292</v>
      </c>
    </row>
    <row r="22196" spans="1:20" x14ac:dyDescent="0.25">
      <c r="A22196" t="str">
        <f>"3054067"</f>
        <v>3054067</v>
      </c>
      <c r="B22196" t="s">
        <v>67294</v>
      </c>
      <c r="C22196" t="str">
        <f>"7425500"</f>
        <v>7425500</v>
      </c>
      <c r="D22196" t="s">
        <v>67295</v>
      </c>
      <c r="E22196" t="s">
        <v>67296</v>
      </c>
      <c r="F22196" t="str">
        <f>"C/O MARY GADSON"</f>
        <v>C/O MARY GADSON</v>
      </c>
      <c r="G22196" t="s">
        <v>67297</v>
      </c>
      <c r="I22196" t="s">
        <v>29</v>
      </c>
      <c r="J22196" t="s">
        <v>30</v>
      </c>
      <c r="K22196" t="s">
        <v>16678</v>
      </c>
      <c r="M22196" t="s">
        <v>50621</v>
      </c>
      <c r="N22196" t="str">
        <f>"3/14/2024 2:00:00 PM"</f>
        <v>3/14/2024 2:00:00 PM</v>
      </c>
      <c r="O22196" t="s">
        <v>67295</v>
      </c>
      <c r="T22196" t="s">
        <v>67296</v>
      </c>
    </row>
    <row r="22197" spans="1:20" x14ac:dyDescent="0.25">
      <c r="A22197" t="str">
        <f>"3048782"</f>
        <v>3048782</v>
      </c>
      <c r="B22197" t="s">
        <v>67298</v>
      </c>
      <c r="C22197" t="str">
        <f>"8301861"</f>
        <v>8301861</v>
      </c>
      <c r="D22197" t="s">
        <v>67299</v>
      </c>
      <c r="E22197" t="s">
        <v>67300</v>
      </c>
      <c r="F22197" t="s">
        <v>67301</v>
      </c>
      <c r="I22197" t="s">
        <v>29</v>
      </c>
      <c r="J22197" t="s">
        <v>30</v>
      </c>
      <c r="K22197" t="str">
        <f>"27028"</f>
        <v>27028</v>
      </c>
      <c r="M22197" t="s">
        <v>50621</v>
      </c>
      <c r="N22197" t="str">
        <f>"3/14/2024 2:02:00 PM"</f>
        <v>3/14/2024 2:02:00 PM</v>
      </c>
      <c r="O22197" t="s">
        <v>67299</v>
      </c>
      <c r="T22197" t="s">
        <v>67300</v>
      </c>
    </row>
    <row r="22198" spans="1:20" x14ac:dyDescent="0.25">
      <c r="A22198" t="str">
        <f>"3054774"</f>
        <v>3054774</v>
      </c>
      <c r="B22198" t="s">
        <v>67302</v>
      </c>
      <c r="C22198" t="str">
        <f>"8311324"</f>
        <v>8311324</v>
      </c>
      <c r="D22198" t="s">
        <v>67212</v>
      </c>
      <c r="E22198" t="s">
        <v>67213</v>
      </c>
      <c r="F22198" t="s">
        <v>67214</v>
      </c>
      <c r="I22198" t="s">
        <v>29</v>
      </c>
      <c r="J22198" t="s">
        <v>30</v>
      </c>
      <c r="K22198" t="s">
        <v>67215</v>
      </c>
      <c r="M22198" t="s">
        <v>50621</v>
      </c>
      <c r="N22198" t="str">
        <f>"3/18/2024 11:40:00 AM"</f>
        <v>3/18/2024 11:40:00 AM</v>
      </c>
      <c r="O22198" t="s">
        <v>67212</v>
      </c>
      <c r="T22198" t="s">
        <v>67213</v>
      </c>
    </row>
    <row r="22199" spans="1:20" x14ac:dyDescent="0.25">
      <c r="A22199" t="str">
        <f>"3055996"</f>
        <v>3055996</v>
      </c>
      <c r="B22199" t="s">
        <v>67303</v>
      </c>
      <c r="C22199" t="str">
        <f>"82523621"</f>
        <v>82523621</v>
      </c>
      <c r="D22199" t="s">
        <v>67304</v>
      </c>
      <c r="F22199" t="s">
        <v>41849</v>
      </c>
      <c r="I22199" t="s">
        <v>9580</v>
      </c>
      <c r="J22199" t="s">
        <v>30</v>
      </c>
      <c r="K22199" t="s">
        <v>9581</v>
      </c>
      <c r="M22199" t="s">
        <v>50621</v>
      </c>
      <c r="N22199" t="str">
        <f>"3/18/2024 12:04:00 PM"</f>
        <v>3/18/2024 12:04:00 PM</v>
      </c>
      <c r="O22199" t="s">
        <v>67304</v>
      </c>
    </row>
    <row r="22200" spans="1:20" x14ac:dyDescent="0.25">
      <c r="A22200" t="str">
        <f>"3047949"</f>
        <v>3047949</v>
      </c>
      <c r="B22200" t="s">
        <v>67305</v>
      </c>
      <c r="C22200" t="str">
        <f>"8321031"</f>
        <v>8321031</v>
      </c>
      <c r="D22200" t="s">
        <v>67306</v>
      </c>
      <c r="F22200" t="s">
        <v>67307</v>
      </c>
      <c r="I22200" t="s">
        <v>402</v>
      </c>
      <c r="J22200" t="s">
        <v>30</v>
      </c>
      <c r="K22200" t="s">
        <v>67308</v>
      </c>
      <c r="M22200" t="s">
        <v>50793</v>
      </c>
      <c r="N22200" t="str">
        <f>"3/18/2024 1:48:00 PM"</f>
        <v>3/18/2024 1:48:00 PM</v>
      </c>
      <c r="O22200" t="s">
        <v>67306</v>
      </c>
    </row>
    <row r="22201" spans="1:20" x14ac:dyDescent="0.25">
      <c r="A22201" t="str">
        <f>"3054054"</f>
        <v>3054054</v>
      </c>
      <c r="B22201" t="s">
        <v>67309</v>
      </c>
      <c r="C22201" t="str">
        <f>"8302756"</f>
        <v>8302756</v>
      </c>
      <c r="D22201" t="s">
        <v>67310</v>
      </c>
      <c r="F22201" t="s">
        <v>67311</v>
      </c>
      <c r="I22201" t="s">
        <v>184</v>
      </c>
      <c r="J22201" t="s">
        <v>30</v>
      </c>
      <c r="K22201" t="s">
        <v>2984</v>
      </c>
      <c r="M22201" t="s">
        <v>50621</v>
      </c>
      <c r="N22201" t="str">
        <f>"3/14/2024 2:06:00 PM"</f>
        <v>3/14/2024 2:06:00 PM</v>
      </c>
      <c r="O22201" t="s">
        <v>67310</v>
      </c>
    </row>
    <row r="22202" spans="1:20" x14ac:dyDescent="0.25">
      <c r="A22202" t="str">
        <f>"3054333"</f>
        <v>3054333</v>
      </c>
      <c r="B22202" t="s">
        <v>67312</v>
      </c>
      <c r="C22202" t="str">
        <f>"8302756"</f>
        <v>8302756</v>
      </c>
      <c r="D22202" t="s">
        <v>67310</v>
      </c>
      <c r="F22202" t="s">
        <v>67311</v>
      </c>
      <c r="I22202" t="s">
        <v>184</v>
      </c>
      <c r="J22202" t="s">
        <v>30</v>
      </c>
      <c r="K22202" t="s">
        <v>2984</v>
      </c>
      <c r="M22202" t="s">
        <v>50621</v>
      </c>
      <c r="N22202" t="str">
        <f>"3/14/2024 2:06:00 PM"</f>
        <v>3/14/2024 2:06:00 PM</v>
      </c>
      <c r="O22202" t="s">
        <v>67310</v>
      </c>
    </row>
    <row r="22203" spans="1:20" x14ac:dyDescent="0.25">
      <c r="A22203" t="str">
        <f>"3039332"</f>
        <v>3039332</v>
      </c>
      <c r="B22203" t="s">
        <v>67313</v>
      </c>
      <c r="C22203" t="str">
        <f>"8311868"</f>
        <v>8311868</v>
      </c>
      <c r="D22203" t="s">
        <v>67314</v>
      </c>
      <c r="E22203" t="s">
        <v>67315</v>
      </c>
      <c r="F22203" t="s">
        <v>67316</v>
      </c>
      <c r="I22203" t="s">
        <v>29</v>
      </c>
      <c r="J22203" t="s">
        <v>30</v>
      </c>
      <c r="K22203" t="s">
        <v>61939</v>
      </c>
      <c r="M22203" t="s">
        <v>50621</v>
      </c>
      <c r="N22203" t="str">
        <f>"3/19/2024 9:52:00 AM"</f>
        <v>3/19/2024 9:52:00 AM</v>
      </c>
      <c r="O22203" t="s">
        <v>67314</v>
      </c>
      <c r="T22203" t="s">
        <v>67315</v>
      </c>
    </row>
    <row r="22204" spans="1:20" x14ac:dyDescent="0.25">
      <c r="A22204" t="str">
        <f>"3049086"</f>
        <v>3049086</v>
      </c>
      <c r="B22204" t="s">
        <v>67317</v>
      </c>
      <c r="C22204" t="str">
        <f t="shared" ref="C22204:C22210" si="345">"23212000"</f>
        <v>23212000</v>
      </c>
      <c r="D22204" t="s">
        <v>67318</v>
      </c>
      <c r="F22204" t="s">
        <v>67319</v>
      </c>
      <c r="I22204" t="s">
        <v>29</v>
      </c>
      <c r="J22204" t="s">
        <v>30</v>
      </c>
      <c r="K22204" t="s">
        <v>18030</v>
      </c>
      <c r="M22204" t="s">
        <v>51351</v>
      </c>
      <c r="N22204" t="str">
        <f t="shared" ref="N22204:N22210" si="346">"3/20/2024 9:51:00 AM"</f>
        <v>3/20/2024 9:51:00 AM</v>
      </c>
      <c r="O22204" t="s">
        <v>67318</v>
      </c>
    </row>
    <row r="22205" spans="1:20" x14ac:dyDescent="0.25">
      <c r="A22205" t="str">
        <f>"3037967"</f>
        <v>3037967</v>
      </c>
      <c r="B22205" t="s">
        <v>67320</v>
      </c>
      <c r="C22205" t="str">
        <f t="shared" si="345"/>
        <v>23212000</v>
      </c>
      <c r="D22205" t="s">
        <v>67318</v>
      </c>
      <c r="F22205" t="s">
        <v>67319</v>
      </c>
      <c r="I22205" t="s">
        <v>29</v>
      </c>
      <c r="J22205" t="s">
        <v>30</v>
      </c>
      <c r="K22205" t="s">
        <v>18030</v>
      </c>
      <c r="M22205" t="s">
        <v>51351</v>
      </c>
      <c r="N22205" t="str">
        <f t="shared" si="346"/>
        <v>3/20/2024 9:51:00 AM</v>
      </c>
      <c r="O22205" t="s">
        <v>67318</v>
      </c>
    </row>
    <row r="22206" spans="1:20" x14ac:dyDescent="0.25">
      <c r="A22206" t="str">
        <f>"3037861"</f>
        <v>3037861</v>
      </c>
      <c r="B22206" t="s">
        <v>67321</v>
      </c>
      <c r="C22206" t="str">
        <f t="shared" si="345"/>
        <v>23212000</v>
      </c>
      <c r="D22206" t="s">
        <v>67318</v>
      </c>
      <c r="F22206" t="s">
        <v>67319</v>
      </c>
      <c r="I22206" t="s">
        <v>29</v>
      </c>
      <c r="J22206" t="s">
        <v>30</v>
      </c>
      <c r="K22206" t="s">
        <v>18030</v>
      </c>
      <c r="M22206" t="s">
        <v>51351</v>
      </c>
      <c r="N22206" t="str">
        <f t="shared" si="346"/>
        <v>3/20/2024 9:51:00 AM</v>
      </c>
      <c r="O22206" t="s">
        <v>67318</v>
      </c>
    </row>
    <row r="22207" spans="1:20" x14ac:dyDescent="0.25">
      <c r="A22207" t="str">
        <f>"3069634"</f>
        <v>3069634</v>
      </c>
      <c r="B22207" t="s">
        <v>67322</v>
      </c>
      <c r="C22207" t="str">
        <f t="shared" si="345"/>
        <v>23212000</v>
      </c>
      <c r="D22207" t="s">
        <v>67318</v>
      </c>
      <c r="F22207" t="s">
        <v>67319</v>
      </c>
      <c r="I22207" t="s">
        <v>29</v>
      </c>
      <c r="J22207" t="s">
        <v>30</v>
      </c>
      <c r="K22207" t="s">
        <v>18030</v>
      </c>
      <c r="M22207" t="s">
        <v>51351</v>
      </c>
      <c r="N22207" t="str">
        <f t="shared" si="346"/>
        <v>3/20/2024 9:51:00 AM</v>
      </c>
      <c r="O22207" t="s">
        <v>67318</v>
      </c>
    </row>
    <row r="22208" spans="1:20" x14ac:dyDescent="0.25">
      <c r="A22208" t="str">
        <f>"3077063"</f>
        <v>3077063</v>
      </c>
      <c r="B22208" t="s">
        <v>67323</v>
      </c>
      <c r="C22208" t="str">
        <f t="shared" si="345"/>
        <v>23212000</v>
      </c>
      <c r="D22208" t="s">
        <v>67318</v>
      </c>
      <c r="F22208" t="s">
        <v>67319</v>
      </c>
      <c r="I22208" t="s">
        <v>29</v>
      </c>
      <c r="J22208" t="s">
        <v>30</v>
      </c>
      <c r="K22208" t="s">
        <v>18030</v>
      </c>
      <c r="M22208" t="s">
        <v>51351</v>
      </c>
      <c r="N22208" t="str">
        <f t="shared" si="346"/>
        <v>3/20/2024 9:51:00 AM</v>
      </c>
      <c r="O22208" t="s">
        <v>67318</v>
      </c>
    </row>
    <row r="22209" spans="1:20" x14ac:dyDescent="0.25">
      <c r="A22209" t="str">
        <f>"3077081"</f>
        <v>3077081</v>
      </c>
      <c r="B22209" t="s">
        <v>67324</v>
      </c>
      <c r="C22209" t="str">
        <f t="shared" si="345"/>
        <v>23212000</v>
      </c>
      <c r="D22209" t="s">
        <v>67318</v>
      </c>
      <c r="F22209" t="s">
        <v>67319</v>
      </c>
      <c r="I22209" t="s">
        <v>29</v>
      </c>
      <c r="J22209" t="s">
        <v>30</v>
      </c>
      <c r="K22209" t="s">
        <v>18030</v>
      </c>
      <c r="M22209" t="s">
        <v>51351</v>
      </c>
      <c r="N22209" t="str">
        <f t="shared" si="346"/>
        <v>3/20/2024 9:51:00 AM</v>
      </c>
      <c r="O22209" t="s">
        <v>67318</v>
      </c>
    </row>
    <row r="22210" spans="1:20" x14ac:dyDescent="0.25">
      <c r="A22210" t="str">
        <f>"3077082"</f>
        <v>3077082</v>
      </c>
      <c r="B22210" t="s">
        <v>67325</v>
      </c>
      <c r="C22210" t="str">
        <f t="shared" si="345"/>
        <v>23212000</v>
      </c>
      <c r="D22210" t="s">
        <v>67318</v>
      </c>
      <c r="F22210" t="s">
        <v>67319</v>
      </c>
      <c r="I22210" t="s">
        <v>29</v>
      </c>
      <c r="J22210" t="s">
        <v>30</v>
      </c>
      <c r="K22210" t="s">
        <v>18030</v>
      </c>
      <c r="M22210" t="s">
        <v>51351</v>
      </c>
      <c r="N22210" t="str">
        <f t="shared" si="346"/>
        <v>3/20/2024 9:51:00 AM</v>
      </c>
      <c r="O22210" t="s">
        <v>67318</v>
      </c>
    </row>
    <row r="22211" spans="1:20" x14ac:dyDescent="0.25">
      <c r="A22211" t="str">
        <f>"3040016"</f>
        <v>3040016</v>
      </c>
      <c r="B22211" t="s">
        <v>67326</v>
      </c>
      <c r="C22211" t="str">
        <f>"8311868"</f>
        <v>8311868</v>
      </c>
      <c r="D22211" t="s">
        <v>67314</v>
      </c>
      <c r="E22211" t="s">
        <v>67315</v>
      </c>
      <c r="F22211" t="s">
        <v>67316</v>
      </c>
      <c r="I22211" t="s">
        <v>29</v>
      </c>
      <c r="J22211" t="s">
        <v>30</v>
      </c>
      <c r="K22211" t="s">
        <v>61939</v>
      </c>
      <c r="M22211" t="s">
        <v>50621</v>
      </c>
      <c r="N22211" t="str">
        <f>"3/19/2024 9:52:00 AM"</f>
        <v>3/19/2024 9:52:00 AM</v>
      </c>
      <c r="O22211" t="s">
        <v>67314</v>
      </c>
      <c r="T22211" t="s">
        <v>67315</v>
      </c>
    </row>
    <row r="22212" spans="1:20" x14ac:dyDescent="0.25">
      <c r="A22212" t="str">
        <f>"3039824"</f>
        <v>3039824</v>
      </c>
      <c r="B22212" t="s">
        <v>67327</v>
      </c>
      <c r="C22212" t="str">
        <f>"25227250"</f>
        <v>25227250</v>
      </c>
      <c r="D22212" t="s">
        <v>67328</v>
      </c>
      <c r="F22212" t="s">
        <v>52064</v>
      </c>
      <c r="I22212" t="s">
        <v>29</v>
      </c>
      <c r="J22212" t="s">
        <v>30</v>
      </c>
      <c r="K22212" t="s">
        <v>63029</v>
      </c>
      <c r="M22212" t="s">
        <v>50793</v>
      </c>
      <c r="N22212" t="str">
        <f>"3/19/2024 10:15:00 AM"</f>
        <v>3/19/2024 10:15:00 AM</v>
      </c>
      <c r="O22212" t="s">
        <v>67328</v>
      </c>
    </row>
    <row r="22213" spans="1:20" x14ac:dyDescent="0.25">
      <c r="A22213" t="str">
        <f>"3037742"</f>
        <v>3037742</v>
      </c>
      <c r="B22213" t="s">
        <v>67329</v>
      </c>
      <c r="C22213" t="str">
        <f>"18251900"</f>
        <v>18251900</v>
      </c>
      <c r="D22213" t="s">
        <v>67330</v>
      </c>
      <c r="E22213" t="s">
        <v>67331</v>
      </c>
      <c r="F22213" t="str">
        <f>"C/O BONNIE TROUTMAN"</f>
        <v>C/O BONNIE TROUTMAN</v>
      </c>
      <c r="G22213" t="s">
        <v>67332</v>
      </c>
      <c r="I22213" t="s">
        <v>49</v>
      </c>
      <c r="J22213" t="s">
        <v>30</v>
      </c>
      <c r="K22213" t="s">
        <v>50</v>
      </c>
      <c r="M22213" t="s">
        <v>50621</v>
      </c>
      <c r="N22213" t="str">
        <f>"3/20/2024 10:31:00 AM"</f>
        <v>3/20/2024 10:31:00 AM</v>
      </c>
      <c r="O22213" t="s">
        <v>67330</v>
      </c>
      <c r="T22213" t="s">
        <v>67331</v>
      </c>
    </row>
    <row r="22214" spans="1:20" x14ac:dyDescent="0.25">
      <c r="A22214" t="str">
        <f>"3037453"</f>
        <v>3037453</v>
      </c>
      <c r="B22214" t="s">
        <v>67333</v>
      </c>
      <c r="C22214" t="str">
        <f>"18251900"</f>
        <v>18251900</v>
      </c>
      <c r="D22214" t="s">
        <v>67330</v>
      </c>
      <c r="E22214" t="s">
        <v>67331</v>
      </c>
      <c r="F22214" t="str">
        <f>"C/O BONNIE TROUTMAN"</f>
        <v>C/O BONNIE TROUTMAN</v>
      </c>
      <c r="G22214" t="s">
        <v>67332</v>
      </c>
      <c r="I22214" t="s">
        <v>49</v>
      </c>
      <c r="J22214" t="s">
        <v>30</v>
      </c>
      <c r="K22214" t="s">
        <v>50</v>
      </c>
      <c r="M22214" t="s">
        <v>50621</v>
      </c>
      <c r="N22214" t="str">
        <f>"3/20/2024 10:31:00 AM"</f>
        <v>3/20/2024 10:31:00 AM</v>
      </c>
      <c r="O22214" t="s">
        <v>67330</v>
      </c>
      <c r="T22214" t="s">
        <v>67331</v>
      </c>
    </row>
    <row r="22215" spans="1:20" x14ac:dyDescent="0.25">
      <c r="A22215" t="str">
        <f>"3054760"</f>
        <v>3054760</v>
      </c>
      <c r="B22215" t="s">
        <v>67334</v>
      </c>
      <c r="C22215" t="str">
        <f>"8307162"</f>
        <v>8307162</v>
      </c>
      <c r="D22215" t="s">
        <v>59931</v>
      </c>
      <c r="E22215" t="s">
        <v>67335</v>
      </c>
      <c r="F22215" t="s">
        <v>45358</v>
      </c>
      <c r="I22215" t="s">
        <v>29</v>
      </c>
      <c r="J22215" t="s">
        <v>30</v>
      </c>
      <c r="K22215" t="s">
        <v>45359</v>
      </c>
      <c r="M22215" t="s">
        <v>50621</v>
      </c>
      <c r="N22215" t="str">
        <f>"3/20/2024 10:47:00 AM"</f>
        <v>3/20/2024 10:47:00 AM</v>
      </c>
      <c r="O22215" t="s">
        <v>59931</v>
      </c>
      <c r="T22215" t="s">
        <v>67335</v>
      </c>
    </row>
    <row r="22216" spans="1:20" x14ac:dyDescent="0.25">
      <c r="A22216" t="str">
        <f>"3054908"</f>
        <v>3054908</v>
      </c>
      <c r="B22216" t="s">
        <v>67336</v>
      </c>
      <c r="C22216" t="str">
        <f>"8307162"</f>
        <v>8307162</v>
      </c>
      <c r="D22216" t="s">
        <v>59931</v>
      </c>
      <c r="E22216" t="s">
        <v>67335</v>
      </c>
      <c r="F22216" t="s">
        <v>45358</v>
      </c>
      <c r="I22216" t="s">
        <v>29</v>
      </c>
      <c r="J22216" t="s">
        <v>30</v>
      </c>
      <c r="K22216" t="s">
        <v>45359</v>
      </c>
      <c r="M22216" t="s">
        <v>50621</v>
      </c>
      <c r="N22216" t="str">
        <f>"3/20/2024 10:47:00 AM"</f>
        <v>3/20/2024 10:47:00 AM</v>
      </c>
      <c r="O22216" t="s">
        <v>59931</v>
      </c>
      <c r="T22216" t="s">
        <v>67335</v>
      </c>
    </row>
    <row r="22217" spans="1:20" x14ac:dyDescent="0.25">
      <c r="A22217" t="str">
        <f>"3054976"</f>
        <v>3054976</v>
      </c>
      <c r="B22217" t="s">
        <v>67337</v>
      </c>
      <c r="C22217" t="str">
        <f>"8317961"</f>
        <v>8317961</v>
      </c>
      <c r="D22217" t="s">
        <v>67338</v>
      </c>
      <c r="E22217" t="s">
        <v>67339</v>
      </c>
      <c r="F22217" t="s">
        <v>57530</v>
      </c>
      <c r="I22217" t="s">
        <v>29</v>
      </c>
      <c r="J22217" t="s">
        <v>30</v>
      </c>
      <c r="K22217" t="s">
        <v>57531</v>
      </c>
      <c r="M22217" t="s">
        <v>50621</v>
      </c>
      <c r="N22217" t="str">
        <f>"3/20/2024 10:50:00 AM"</f>
        <v>3/20/2024 10:50:00 AM</v>
      </c>
      <c r="O22217" t="s">
        <v>67338</v>
      </c>
      <c r="T22217" t="s">
        <v>67339</v>
      </c>
    </row>
    <row r="22218" spans="1:20" x14ac:dyDescent="0.25">
      <c r="A22218" t="str">
        <f>"3055525"</f>
        <v>3055525</v>
      </c>
      <c r="B22218" t="s">
        <v>67340</v>
      </c>
      <c r="C22218" t="str">
        <f>"8317961"</f>
        <v>8317961</v>
      </c>
      <c r="D22218" t="s">
        <v>67338</v>
      </c>
      <c r="E22218" t="s">
        <v>67339</v>
      </c>
      <c r="F22218" t="s">
        <v>57530</v>
      </c>
      <c r="I22218" t="s">
        <v>29</v>
      </c>
      <c r="J22218" t="s">
        <v>30</v>
      </c>
      <c r="K22218" t="s">
        <v>57531</v>
      </c>
      <c r="M22218" t="s">
        <v>50621</v>
      </c>
      <c r="N22218" t="str">
        <f>"3/20/2024 10:50:00 AM"</f>
        <v>3/20/2024 10:50:00 AM</v>
      </c>
      <c r="O22218" t="s">
        <v>67338</v>
      </c>
      <c r="T22218" t="s">
        <v>67339</v>
      </c>
    </row>
    <row r="22219" spans="1:20" x14ac:dyDescent="0.25">
      <c r="A22219" t="str">
        <f>"3054830"</f>
        <v>3054830</v>
      </c>
      <c r="B22219" t="s">
        <v>67341</v>
      </c>
      <c r="C22219" t="str">
        <f>"8317759"</f>
        <v>8317759</v>
      </c>
      <c r="D22219" t="s">
        <v>67342</v>
      </c>
      <c r="E22219" t="s">
        <v>67343</v>
      </c>
      <c r="F22219" t="s">
        <v>40906</v>
      </c>
      <c r="I22219" t="s">
        <v>29</v>
      </c>
      <c r="J22219" t="s">
        <v>30</v>
      </c>
      <c r="K22219" t="s">
        <v>16621</v>
      </c>
      <c r="M22219" t="s">
        <v>50621</v>
      </c>
      <c r="N22219" t="str">
        <f>"3/19/2024 10:30:00 AM"</f>
        <v>3/19/2024 10:30:00 AM</v>
      </c>
      <c r="O22219" t="s">
        <v>67342</v>
      </c>
      <c r="T22219" t="s">
        <v>67343</v>
      </c>
    </row>
    <row r="22220" spans="1:20" x14ac:dyDescent="0.25">
      <c r="A22220" t="str">
        <f>"3052258"</f>
        <v>3052258</v>
      </c>
      <c r="B22220" t="s">
        <v>67344</v>
      </c>
      <c r="C22220" t="str">
        <f>"19551000"</f>
        <v>19551000</v>
      </c>
      <c r="D22220" t="s">
        <v>67345</v>
      </c>
      <c r="F22220" t="s">
        <v>67346</v>
      </c>
      <c r="I22220" t="s">
        <v>29</v>
      </c>
      <c r="J22220" t="s">
        <v>30</v>
      </c>
      <c r="K22220" t="s">
        <v>67347</v>
      </c>
      <c r="M22220" t="s">
        <v>50621</v>
      </c>
      <c r="N22220" t="str">
        <f>"3/20/2024 11:45:00 AM"</f>
        <v>3/20/2024 11:45:00 AM</v>
      </c>
      <c r="O22220" t="s">
        <v>67345</v>
      </c>
    </row>
    <row r="22221" spans="1:20" x14ac:dyDescent="0.25">
      <c r="A22221" t="str">
        <f>"3052257"</f>
        <v>3052257</v>
      </c>
      <c r="B22221" t="s">
        <v>67348</v>
      </c>
      <c r="C22221" t="str">
        <f>"19551000"</f>
        <v>19551000</v>
      </c>
      <c r="D22221" t="s">
        <v>67345</v>
      </c>
      <c r="F22221" t="s">
        <v>67346</v>
      </c>
      <c r="I22221" t="s">
        <v>29</v>
      </c>
      <c r="J22221" t="s">
        <v>30</v>
      </c>
      <c r="K22221" t="s">
        <v>67347</v>
      </c>
      <c r="M22221" t="s">
        <v>50621</v>
      </c>
      <c r="N22221" t="str">
        <f>"3/20/2024 11:45:00 AM"</f>
        <v>3/20/2024 11:45:00 AM</v>
      </c>
      <c r="O22221" t="s">
        <v>67345</v>
      </c>
    </row>
    <row r="22222" spans="1:20" x14ac:dyDescent="0.25">
      <c r="A22222" t="str">
        <f>"3068225"</f>
        <v>3068225</v>
      </c>
      <c r="B22222" t="s">
        <v>67349</v>
      </c>
      <c r="C22222" t="str">
        <f>"8310621"</f>
        <v>8310621</v>
      </c>
      <c r="D22222" t="s">
        <v>67350</v>
      </c>
      <c r="E22222" t="s">
        <v>67351</v>
      </c>
      <c r="F22222" t="s">
        <v>67352</v>
      </c>
      <c r="I22222" t="s">
        <v>29</v>
      </c>
      <c r="J22222" t="s">
        <v>30</v>
      </c>
      <c r="K22222" t="s">
        <v>41935</v>
      </c>
      <c r="M22222" t="s">
        <v>51351</v>
      </c>
      <c r="N22222" t="str">
        <f>"3/20/2024 11:47:00 AM"</f>
        <v>3/20/2024 11:47:00 AM</v>
      </c>
      <c r="O22222" t="s">
        <v>67350</v>
      </c>
      <c r="T22222" t="s">
        <v>67351</v>
      </c>
    </row>
    <row r="22223" spans="1:20" x14ac:dyDescent="0.25">
      <c r="A22223" t="str">
        <f>"3048477"</f>
        <v>3048477</v>
      </c>
      <c r="B22223" t="s">
        <v>67353</v>
      </c>
      <c r="C22223" t="str">
        <f>"82532899"</f>
        <v>82532899</v>
      </c>
      <c r="D22223" t="s">
        <v>67354</v>
      </c>
      <c r="F22223" t="s">
        <v>67355</v>
      </c>
      <c r="I22223" t="s">
        <v>471</v>
      </c>
      <c r="J22223" t="s">
        <v>30</v>
      </c>
      <c r="K22223" t="s">
        <v>3169</v>
      </c>
      <c r="M22223" t="s">
        <v>25733</v>
      </c>
      <c r="N22223" t="str">
        <f>"3/20/2024 12:32:00 PM"</f>
        <v>3/20/2024 12:32:00 PM</v>
      </c>
      <c r="O22223" t="s">
        <v>67354</v>
      </c>
    </row>
    <row r="22224" spans="1:20" x14ac:dyDescent="0.25">
      <c r="A22224" t="str">
        <f>"3063993"</f>
        <v>3063993</v>
      </c>
      <c r="B22224" t="s">
        <v>67356</v>
      </c>
      <c r="C22224" t="str">
        <f>"15704000"</f>
        <v>15704000</v>
      </c>
      <c r="D22224" t="s">
        <v>67357</v>
      </c>
      <c r="F22224" t="s">
        <v>67358</v>
      </c>
      <c r="I22224" t="s">
        <v>184</v>
      </c>
      <c r="J22224" t="s">
        <v>30</v>
      </c>
      <c r="K22224" t="s">
        <v>185</v>
      </c>
      <c r="M22224" t="s">
        <v>50621</v>
      </c>
      <c r="N22224" t="str">
        <f>"3/19/2024 10:48:00 AM"</f>
        <v>3/19/2024 10:48:00 AM</v>
      </c>
      <c r="O22224" t="s">
        <v>67357</v>
      </c>
    </row>
    <row r="22225" spans="1:20" x14ac:dyDescent="0.25">
      <c r="A22225" t="str">
        <f>"3059776"</f>
        <v>3059776</v>
      </c>
      <c r="B22225" t="s">
        <v>67359</v>
      </c>
      <c r="C22225" t="str">
        <f>"15802000"</f>
        <v>15802000</v>
      </c>
      <c r="D22225" t="s">
        <v>67360</v>
      </c>
      <c r="F22225" t="s">
        <v>67361</v>
      </c>
      <c r="I22225" t="s">
        <v>9580</v>
      </c>
      <c r="J22225" t="s">
        <v>30</v>
      </c>
      <c r="K22225" t="s">
        <v>9581</v>
      </c>
      <c r="M22225" t="s">
        <v>50621</v>
      </c>
      <c r="N22225" t="str">
        <f>"3/19/2024 10:51:00 AM"</f>
        <v>3/19/2024 10:51:00 AM</v>
      </c>
      <c r="O22225" t="s">
        <v>67360</v>
      </c>
    </row>
    <row r="22226" spans="1:20" x14ac:dyDescent="0.25">
      <c r="A22226" t="str">
        <f>"3058666"</f>
        <v>3058666</v>
      </c>
      <c r="B22226" t="s">
        <v>67362</v>
      </c>
      <c r="C22226" t="str">
        <f>"8306627"</f>
        <v>8306627</v>
      </c>
      <c r="D22226" t="s">
        <v>67363</v>
      </c>
      <c r="F22226" t="s">
        <v>67364</v>
      </c>
      <c r="G22226" t="s">
        <v>67365</v>
      </c>
      <c r="I22226" t="s">
        <v>29</v>
      </c>
      <c r="J22226" t="s">
        <v>30</v>
      </c>
      <c r="K22226" t="str">
        <f>"27028"</f>
        <v>27028</v>
      </c>
      <c r="M22226" t="s">
        <v>50621</v>
      </c>
      <c r="N22226" t="str">
        <f>"3/19/2024 11:17:00 AM"</f>
        <v>3/19/2024 11:17:00 AM</v>
      </c>
      <c r="O22226" t="s">
        <v>67363</v>
      </c>
    </row>
    <row r="22227" spans="1:20" x14ac:dyDescent="0.25">
      <c r="A22227" t="str">
        <f>"3039948"</f>
        <v>3039948</v>
      </c>
      <c r="B22227" t="s">
        <v>67366</v>
      </c>
      <c r="C22227" t="str">
        <f>"8320276"</f>
        <v>8320276</v>
      </c>
      <c r="D22227" t="s">
        <v>67367</v>
      </c>
      <c r="E22227" t="s">
        <v>67368</v>
      </c>
      <c r="F22227" t="s">
        <v>67369</v>
      </c>
      <c r="I22227" t="s">
        <v>29</v>
      </c>
      <c r="J22227" t="s">
        <v>30</v>
      </c>
      <c r="K22227" t="s">
        <v>1567</v>
      </c>
      <c r="M22227" t="s">
        <v>50793</v>
      </c>
      <c r="N22227" t="str">
        <f>"3/19/2024 11:18:00 AM"</f>
        <v>3/19/2024 11:18:00 AM</v>
      </c>
      <c r="O22227" t="s">
        <v>67367</v>
      </c>
      <c r="T22227" t="s">
        <v>67368</v>
      </c>
    </row>
    <row r="22228" spans="1:20" x14ac:dyDescent="0.25">
      <c r="A22228" t="str">
        <f>"3078262"</f>
        <v>3078262</v>
      </c>
      <c r="B22228" t="s">
        <v>67370</v>
      </c>
      <c r="C22228" t="str">
        <f>"8317561"</f>
        <v>8317561</v>
      </c>
      <c r="D22228" t="s">
        <v>67371</v>
      </c>
      <c r="F22228" t="s">
        <v>67372</v>
      </c>
      <c r="I22228" t="s">
        <v>29</v>
      </c>
      <c r="J22228" t="s">
        <v>30</v>
      </c>
      <c r="K22228" t="s">
        <v>67373</v>
      </c>
      <c r="M22228" t="s">
        <v>50621</v>
      </c>
      <c r="N22228" t="str">
        <f>"3/19/2024 11:38:00 AM"</f>
        <v>3/19/2024 11:38:00 AM</v>
      </c>
      <c r="O22228" t="s">
        <v>67371</v>
      </c>
    </row>
    <row r="22229" spans="1:20" x14ac:dyDescent="0.25">
      <c r="A22229" t="str">
        <f>"3054210"</f>
        <v>3054210</v>
      </c>
      <c r="B22229" t="s">
        <v>67374</v>
      </c>
      <c r="C22229" t="str">
        <f>"16490800"</f>
        <v>16490800</v>
      </c>
      <c r="D22229" t="s">
        <v>67375</v>
      </c>
      <c r="E22229" t="s">
        <v>67376</v>
      </c>
      <c r="F22229" t="s">
        <v>67377</v>
      </c>
      <c r="I22229" t="s">
        <v>29</v>
      </c>
      <c r="J22229" t="s">
        <v>30</v>
      </c>
      <c r="K22229" t="s">
        <v>31</v>
      </c>
      <c r="M22229" t="s">
        <v>50621</v>
      </c>
      <c r="N22229" t="str">
        <f>"3/19/2024 2:16:00 PM"</f>
        <v>3/19/2024 2:16:00 PM</v>
      </c>
      <c r="O22229" t="s">
        <v>67375</v>
      </c>
      <c r="T22229" t="s">
        <v>67376</v>
      </c>
    </row>
    <row r="22230" spans="1:20" x14ac:dyDescent="0.25">
      <c r="A22230" t="str">
        <f>"3078260"</f>
        <v>3078260</v>
      </c>
      <c r="B22230" t="s">
        <v>67378</v>
      </c>
      <c r="C22230" t="str">
        <f>"82526019"</f>
        <v>82526019</v>
      </c>
      <c r="D22230" t="s">
        <v>67379</v>
      </c>
      <c r="F22230" t="s">
        <v>67380</v>
      </c>
      <c r="I22230" t="s">
        <v>29</v>
      </c>
      <c r="J22230" t="s">
        <v>30</v>
      </c>
      <c r="K22230" t="s">
        <v>67381</v>
      </c>
      <c r="M22230" t="s">
        <v>50793</v>
      </c>
      <c r="N22230" t="str">
        <f>"3/19/2024 2:24:00 PM"</f>
        <v>3/19/2024 2:24:00 PM</v>
      </c>
      <c r="O22230" t="s">
        <v>67379</v>
      </c>
    </row>
    <row r="22231" spans="1:20" x14ac:dyDescent="0.25">
      <c r="A22231" t="str">
        <f>"3054729"</f>
        <v>3054729</v>
      </c>
      <c r="B22231" t="s">
        <v>67382</v>
      </c>
      <c r="C22231" t="str">
        <f>"14449000"</f>
        <v>14449000</v>
      </c>
      <c r="D22231" t="s">
        <v>67383</v>
      </c>
      <c r="F22231" t="s">
        <v>67384</v>
      </c>
      <c r="I22231" t="s">
        <v>49</v>
      </c>
      <c r="J22231" t="s">
        <v>30</v>
      </c>
      <c r="K22231" t="s">
        <v>67385</v>
      </c>
      <c r="M22231" t="s">
        <v>50621</v>
      </c>
      <c r="N22231" t="str">
        <f>"3/18/2024 2:16:00 PM"</f>
        <v>3/18/2024 2:16:00 PM</v>
      </c>
      <c r="O22231" t="s">
        <v>67383</v>
      </c>
    </row>
    <row r="22232" spans="1:20" x14ac:dyDescent="0.25">
      <c r="A22232" t="str">
        <f>"3042924"</f>
        <v>3042924</v>
      </c>
      <c r="B22232" t="s">
        <v>67386</v>
      </c>
      <c r="C22232" t="str">
        <f>"8314029"</f>
        <v>8314029</v>
      </c>
      <c r="D22232" t="s">
        <v>67387</v>
      </c>
      <c r="F22232" t="s">
        <v>67388</v>
      </c>
      <c r="I22232" t="s">
        <v>29</v>
      </c>
      <c r="J22232" t="s">
        <v>30</v>
      </c>
      <c r="K22232" t="s">
        <v>41568</v>
      </c>
      <c r="M22232" t="s">
        <v>50621</v>
      </c>
      <c r="N22232" t="str">
        <f>"3/18/2024 2:17:00 PM"</f>
        <v>3/18/2024 2:17:00 PM</v>
      </c>
      <c r="O22232" t="s">
        <v>67387</v>
      </c>
    </row>
    <row r="22233" spans="1:20" x14ac:dyDescent="0.25">
      <c r="A22233" t="str">
        <f>"3045927"</f>
        <v>3045927</v>
      </c>
      <c r="B22233" t="s">
        <v>67389</v>
      </c>
      <c r="C22233" t="str">
        <f>"8316249"</f>
        <v>8316249</v>
      </c>
      <c r="D22233" t="s">
        <v>67390</v>
      </c>
      <c r="F22233" t="s">
        <v>67391</v>
      </c>
      <c r="I22233" t="s">
        <v>29</v>
      </c>
      <c r="J22233" t="s">
        <v>30</v>
      </c>
      <c r="K22233" t="s">
        <v>63456</v>
      </c>
      <c r="M22233" t="s">
        <v>50621</v>
      </c>
      <c r="N22233" t="str">
        <f>"3/18/2024 2:39:00 PM"</f>
        <v>3/18/2024 2:39:00 PM</v>
      </c>
      <c r="O22233" t="s">
        <v>67390</v>
      </c>
    </row>
    <row r="22234" spans="1:20" x14ac:dyDescent="0.25">
      <c r="A22234" t="str">
        <f>"3055378"</f>
        <v>3055378</v>
      </c>
      <c r="B22234" t="s">
        <v>67392</v>
      </c>
      <c r="C22234" t="str">
        <f>"8312890"</f>
        <v>8312890</v>
      </c>
      <c r="D22234" t="s">
        <v>67393</v>
      </c>
      <c r="E22234" t="s">
        <v>67394</v>
      </c>
      <c r="F22234" t="s">
        <v>67395</v>
      </c>
      <c r="I22234" t="s">
        <v>29</v>
      </c>
      <c r="J22234" t="s">
        <v>30</v>
      </c>
      <c r="K22234" t="s">
        <v>36120</v>
      </c>
      <c r="M22234" t="s">
        <v>50621</v>
      </c>
      <c r="N22234" t="str">
        <f>"3/18/2024 2:40:00 PM"</f>
        <v>3/18/2024 2:40:00 PM</v>
      </c>
      <c r="O22234" t="s">
        <v>67393</v>
      </c>
      <c r="T22234" t="s">
        <v>67394</v>
      </c>
    </row>
    <row r="22235" spans="1:20" x14ac:dyDescent="0.25">
      <c r="A22235" t="str">
        <f>"3057908"</f>
        <v>3057908</v>
      </c>
      <c r="B22235" t="s">
        <v>67396</v>
      </c>
      <c r="C22235" t="str">
        <f>"15047550"</f>
        <v>15047550</v>
      </c>
      <c r="D22235" t="s">
        <v>67397</v>
      </c>
      <c r="F22235" t="s">
        <v>67398</v>
      </c>
      <c r="G22235" t="s">
        <v>67399</v>
      </c>
      <c r="I22235" t="s">
        <v>184</v>
      </c>
      <c r="J22235" t="s">
        <v>30</v>
      </c>
      <c r="K22235" t="s">
        <v>185</v>
      </c>
      <c r="M22235" t="s">
        <v>50621</v>
      </c>
      <c r="N22235" t="str">
        <f>"3/19/2024 9:27:00 AM"</f>
        <v>3/19/2024 9:27:00 AM</v>
      </c>
      <c r="O22235" t="s">
        <v>67397</v>
      </c>
    </row>
    <row r="22236" spans="1:20" x14ac:dyDescent="0.25">
      <c r="A22236" t="str">
        <f>"3069039"</f>
        <v>3069039</v>
      </c>
      <c r="B22236" t="s">
        <v>67400</v>
      </c>
      <c r="C22236" t="str">
        <f>"8315402"</f>
        <v>8315402</v>
      </c>
      <c r="D22236" t="s">
        <v>1777</v>
      </c>
      <c r="E22236" t="s">
        <v>1778</v>
      </c>
      <c r="F22236" t="s">
        <v>32812</v>
      </c>
      <c r="I22236" t="s">
        <v>184</v>
      </c>
      <c r="J22236" t="s">
        <v>30</v>
      </c>
      <c r="K22236" t="s">
        <v>33890</v>
      </c>
      <c r="M22236" t="s">
        <v>50621</v>
      </c>
      <c r="N22236" t="str">
        <f>"3/25/2024 9:10:00 AM"</f>
        <v>3/25/2024 9:10:00 AM</v>
      </c>
      <c r="O22236" t="s">
        <v>1777</v>
      </c>
      <c r="T22236" t="s">
        <v>1778</v>
      </c>
    </row>
    <row r="22237" spans="1:20" x14ac:dyDescent="0.25">
      <c r="A22237" t="str">
        <f>"3038146"</f>
        <v>3038146</v>
      </c>
      <c r="B22237" t="s">
        <v>67401</v>
      </c>
      <c r="C22237" t="str">
        <f>"37820000"</f>
        <v>37820000</v>
      </c>
      <c r="D22237" t="s">
        <v>67402</v>
      </c>
      <c r="F22237" t="str">
        <f>"C/O GILBERT HOWELL"</f>
        <v>C/O GILBERT HOWELL</v>
      </c>
      <c r="G22237" t="s">
        <v>67403</v>
      </c>
      <c r="I22237" t="s">
        <v>29</v>
      </c>
      <c r="J22237" t="s">
        <v>30</v>
      </c>
      <c r="K22237" t="s">
        <v>1051</v>
      </c>
      <c r="M22237" t="s">
        <v>50621</v>
      </c>
      <c r="N22237" t="str">
        <f>"3/25/2024 9:17:00 AM"</f>
        <v>3/25/2024 9:17:00 AM</v>
      </c>
      <c r="O22237" t="s">
        <v>67402</v>
      </c>
    </row>
    <row r="22238" spans="1:20" x14ac:dyDescent="0.25">
      <c r="A22238" t="str">
        <f>"3049476"</f>
        <v>3049476</v>
      </c>
      <c r="B22238" t="s">
        <v>67404</v>
      </c>
      <c r="C22238" t="str">
        <f>"37980000"</f>
        <v>37980000</v>
      </c>
      <c r="D22238" t="s">
        <v>67405</v>
      </c>
      <c r="E22238" t="s">
        <v>67406</v>
      </c>
      <c r="F22238" t="s">
        <v>67407</v>
      </c>
      <c r="I22238" t="s">
        <v>29</v>
      </c>
      <c r="J22238" t="s">
        <v>30</v>
      </c>
      <c r="K22238" t="s">
        <v>31</v>
      </c>
      <c r="M22238" t="s">
        <v>50621</v>
      </c>
      <c r="N22238" t="str">
        <f>"3/25/2024 9:20:00 AM"</f>
        <v>3/25/2024 9:20:00 AM</v>
      </c>
      <c r="O22238" t="s">
        <v>67405</v>
      </c>
      <c r="T22238" t="s">
        <v>67406</v>
      </c>
    </row>
    <row r="22239" spans="1:20" x14ac:dyDescent="0.25">
      <c r="A22239" t="str">
        <f>"3061567"</f>
        <v>3061567</v>
      </c>
      <c r="B22239" t="s">
        <v>67408</v>
      </c>
      <c r="C22239" t="str">
        <f>"37980000"</f>
        <v>37980000</v>
      </c>
      <c r="D22239" t="s">
        <v>67405</v>
      </c>
      <c r="E22239" t="s">
        <v>67406</v>
      </c>
      <c r="F22239" t="s">
        <v>67407</v>
      </c>
      <c r="I22239" t="s">
        <v>29</v>
      </c>
      <c r="J22239" t="s">
        <v>30</v>
      </c>
      <c r="K22239" t="s">
        <v>31</v>
      </c>
      <c r="M22239" t="s">
        <v>50621</v>
      </c>
      <c r="N22239" t="str">
        <f>"3/25/2024 9:20:00 AM"</f>
        <v>3/25/2024 9:20:00 AM</v>
      </c>
      <c r="O22239" t="s">
        <v>67405</v>
      </c>
      <c r="T22239" t="s">
        <v>67406</v>
      </c>
    </row>
    <row r="22240" spans="1:20" x14ac:dyDescent="0.25">
      <c r="A22240" t="str">
        <f>"3054893"</f>
        <v>3054893</v>
      </c>
      <c r="B22240" t="s">
        <v>67409</v>
      </c>
      <c r="C22240" t="str">
        <f>"8311868"</f>
        <v>8311868</v>
      </c>
      <c r="D22240" t="s">
        <v>67314</v>
      </c>
      <c r="E22240" t="s">
        <v>67315</v>
      </c>
      <c r="F22240" t="s">
        <v>67316</v>
      </c>
      <c r="I22240" t="s">
        <v>29</v>
      </c>
      <c r="J22240" t="s">
        <v>30</v>
      </c>
      <c r="K22240" t="s">
        <v>61939</v>
      </c>
      <c r="M22240" t="s">
        <v>50621</v>
      </c>
      <c r="N22240" t="str">
        <f>"3/19/2024 9:52:00 AM"</f>
        <v>3/19/2024 9:52:00 AM</v>
      </c>
      <c r="O22240" t="s">
        <v>67314</v>
      </c>
      <c r="T22240" t="s">
        <v>67315</v>
      </c>
    </row>
    <row r="22241" spans="1:20" x14ac:dyDescent="0.25">
      <c r="A22241" t="str">
        <f>"3050063"</f>
        <v>3050063</v>
      </c>
      <c r="B22241" t="s">
        <v>67410</v>
      </c>
      <c r="C22241" t="str">
        <f>"8319740"</f>
        <v>8319740</v>
      </c>
      <c r="D22241" t="s">
        <v>67411</v>
      </c>
      <c r="E22241" t="s">
        <v>67412</v>
      </c>
      <c r="F22241" t="s">
        <v>67413</v>
      </c>
      <c r="I22241" t="s">
        <v>29</v>
      </c>
      <c r="J22241" t="s">
        <v>30</v>
      </c>
      <c r="K22241" t="s">
        <v>60234</v>
      </c>
      <c r="M22241" t="s">
        <v>50621</v>
      </c>
      <c r="N22241" t="str">
        <f>"3/20/2024 10:23:00 AM"</f>
        <v>3/20/2024 10:23:00 AM</v>
      </c>
      <c r="O22241" t="s">
        <v>67411</v>
      </c>
      <c r="T22241" t="s">
        <v>67412</v>
      </c>
    </row>
    <row r="22242" spans="1:20" x14ac:dyDescent="0.25">
      <c r="A22242" t="str">
        <f>"3056576"</f>
        <v>3056576</v>
      </c>
      <c r="B22242" t="s">
        <v>67414</v>
      </c>
      <c r="C22242" t="str">
        <f>"8303664"</f>
        <v>8303664</v>
      </c>
      <c r="D22242" t="s">
        <v>67415</v>
      </c>
      <c r="F22242" t="s">
        <v>67416</v>
      </c>
      <c r="I22242" t="s">
        <v>29</v>
      </c>
      <c r="J22242" t="s">
        <v>30</v>
      </c>
      <c r="K22242" t="str">
        <f>"27028"</f>
        <v>27028</v>
      </c>
      <c r="M22242" t="s">
        <v>50793</v>
      </c>
      <c r="N22242" t="str">
        <f>"3/25/2024 9:54:00 AM"</f>
        <v>3/25/2024 9:54:00 AM</v>
      </c>
      <c r="O22242" t="s">
        <v>67415</v>
      </c>
    </row>
    <row r="22243" spans="1:20" x14ac:dyDescent="0.25">
      <c r="A22243" t="str">
        <f>"3038091"</f>
        <v>3038091</v>
      </c>
      <c r="B22243" t="s">
        <v>67417</v>
      </c>
      <c r="C22243" t="str">
        <f>"18139500"</f>
        <v>18139500</v>
      </c>
      <c r="D22243" t="s">
        <v>67418</v>
      </c>
      <c r="E22243" t="s">
        <v>67419</v>
      </c>
      <c r="F22243" t="s">
        <v>67420</v>
      </c>
      <c r="I22243" t="s">
        <v>29</v>
      </c>
      <c r="J22243" t="s">
        <v>30</v>
      </c>
      <c r="K22243" t="s">
        <v>23550</v>
      </c>
      <c r="M22243" t="s">
        <v>51351</v>
      </c>
      <c r="N22243" t="str">
        <f>"3/25/2024 10:03:00 AM"</f>
        <v>3/25/2024 10:03:00 AM</v>
      </c>
      <c r="O22243" t="s">
        <v>67418</v>
      </c>
      <c r="T22243" t="s">
        <v>67419</v>
      </c>
    </row>
    <row r="22244" spans="1:20" x14ac:dyDescent="0.25">
      <c r="A22244" t="str">
        <f>"3038974"</f>
        <v>3038974</v>
      </c>
      <c r="B22244" t="s">
        <v>67421</v>
      </c>
      <c r="C22244" t="str">
        <f>"18139500"</f>
        <v>18139500</v>
      </c>
      <c r="D22244" t="s">
        <v>67418</v>
      </c>
      <c r="E22244" t="s">
        <v>67419</v>
      </c>
      <c r="F22244" t="s">
        <v>67420</v>
      </c>
      <c r="I22244" t="s">
        <v>29</v>
      </c>
      <c r="J22244" t="s">
        <v>30</v>
      </c>
      <c r="K22244" t="s">
        <v>23550</v>
      </c>
      <c r="M22244" t="s">
        <v>51351</v>
      </c>
      <c r="N22244" t="str">
        <f>"3/25/2024 10:03:00 AM"</f>
        <v>3/25/2024 10:03:00 AM</v>
      </c>
      <c r="O22244" t="s">
        <v>67418</v>
      </c>
      <c r="T22244" t="s">
        <v>67419</v>
      </c>
    </row>
    <row r="22245" spans="1:20" x14ac:dyDescent="0.25">
      <c r="A22245" t="str">
        <f>"3037504"</f>
        <v>3037504</v>
      </c>
      <c r="B22245" t="s">
        <v>67422</v>
      </c>
      <c r="C22245" t="str">
        <f>"18251900"</f>
        <v>18251900</v>
      </c>
      <c r="D22245" t="s">
        <v>67330</v>
      </c>
      <c r="E22245" t="s">
        <v>67331</v>
      </c>
      <c r="F22245" t="str">
        <f>"C/O BONNIE TROUTMAN"</f>
        <v>C/O BONNIE TROUTMAN</v>
      </c>
      <c r="G22245" t="s">
        <v>67332</v>
      </c>
      <c r="I22245" t="s">
        <v>49</v>
      </c>
      <c r="J22245" t="s">
        <v>30</v>
      </c>
      <c r="K22245" t="s">
        <v>50</v>
      </c>
      <c r="M22245" t="s">
        <v>50621</v>
      </c>
      <c r="N22245" t="str">
        <f>"3/20/2024 10:31:00 AM"</f>
        <v>3/20/2024 10:31:00 AM</v>
      </c>
      <c r="O22245" t="s">
        <v>67330</v>
      </c>
      <c r="T22245" t="s">
        <v>67331</v>
      </c>
    </row>
    <row r="22246" spans="1:20" x14ac:dyDescent="0.25">
      <c r="A22246" t="str">
        <f>"3052182"</f>
        <v>3052182</v>
      </c>
      <c r="B22246" t="s">
        <v>67423</v>
      </c>
      <c r="C22246" t="str">
        <f>"19551000"</f>
        <v>19551000</v>
      </c>
      <c r="D22246" t="s">
        <v>67345</v>
      </c>
      <c r="F22246" t="s">
        <v>67346</v>
      </c>
      <c r="I22246" t="s">
        <v>29</v>
      </c>
      <c r="J22246" t="s">
        <v>30</v>
      </c>
      <c r="K22246" t="s">
        <v>67347</v>
      </c>
      <c r="M22246" t="s">
        <v>50621</v>
      </c>
      <c r="N22246" t="str">
        <f>"3/20/2024 11:45:00 AM"</f>
        <v>3/20/2024 11:45:00 AM</v>
      </c>
      <c r="O22246" t="s">
        <v>67345</v>
      </c>
    </row>
    <row r="22247" spans="1:20" x14ac:dyDescent="0.25">
      <c r="A22247" t="str">
        <f>"3043470"</f>
        <v>3043470</v>
      </c>
      <c r="B22247" t="s">
        <v>67424</v>
      </c>
      <c r="C22247" t="str">
        <f>"20090500"</f>
        <v>20090500</v>
      </c>
      <c r="D22247" t="s">
        <v>67425</v>
      </c>
      <c r="E22247" t="s">
        <v>67426</v>
      </c>
      <c r="F22247" t="s">
        <v>67427</v>
      </c>
      <c r="I22247" t="s">
        <v>29</v>
      </c>
      <c r="J22247" t="s">
        <v>30</v>
      </c>
      <c r="K22247" t="s">
        <v>31</v>
      </c>
      <c r="M22247" t="s">
        <v>50621</v>
      </c>
      <c r="N22247" t="str">
        <f>"3/20/2024 1:35:00 PM"</f>
        <v>3/20/2024 1:35:00 PM</v>
      </c>
      <c r="O22247" t="s">
        <v>67425</v>
      </c>
      <c r="T22247" t="s">
        <v>67426</v>
      </c>
    </row>
    <row r="22248" spans="1:20" x14ac:dyDescent="0.25">
      <c r="A22248" t="str">
        <f>"3057199"</f>
        <v>3057199</v>
      </c>
      <c r="B22248" t="s">
        <v>67428</v>
      </c>
      <c r="C22248" t="str">
        <f>"8318565"</f>
        <v>8318565</v>
      </c>
      <c r="D22248" t="s">
        <v>67429</v>
      </c>
      <c r="E22248" t="s">
        <v>67430</v>
      </c>
      <c r="F22248" t="s">
        <v>67431</v>
      </c>
      <c r="I22248" t="s">
        <v>67432</v>
      </c>
      <c r="J22248" t="s">
        <v>67433</v>
      </c>
      <c r="K22248" t="s">
        <v>67434</v>
      </c>
      <c r="M22248" t="s">
        <v>50621</v>
      </c>
      <c r="N22248" t="str">
        <f>"3/25/2024 10:57:00 AM"</f>
        <v>3/25/2024 10:57:00 AM</v>
      </c>
      <c r="O22248" t="s">
        <v>67429</v>
      </c>
      <c r="T22248" t="s">
        <v>67430</v>
      </c>
    </row>
    <row r="22249" spans="1:20" x14ac:dyDescent="0.25">
      <c r="A22249" t="str">
        <f>"3059825"</f>
        <v>3059825</v>
      </c>
      <c r="B22249" t="s">
        <v>67435</v>
      </c>
      <c r="C22249" t="str">
        <f>"27420000"</f>
        <v>27420000</v>
      </c>
      <c r="D22249" t="s">
        <v>67436</v>
      </c>
      <c r="E22249" t="s">
        <v>67437</v>
      </c>
      <c r="F22249" t="s">
        <v>56357</v>
      </c>
      <c r="I22249" t="s">
        <v>9580</v>
      </c>
      <c r="J22249" t="s">
        <v>30</v>
      </c>
      <c r="K22249" t="s">
        <v>9581</v>
      </c>
      <c r="M22249" t="s">
        <v>50793</v>
      </c>
      <c r="N22249" t="str">
        <f>"3/21/2024 9:00:00 AM"</f>
        <v>3/21/2024 9:00:00 AM</v>
      </c>
      <c r="O22249" t="s">
        <v>67436</v>
      </c>
      <c r="T22249" t="s">
        <v>67437</v>
      </c>
    </row>
    <row r="22250" spans="1:20" x14ac:dyDescent="0.25">
      <c r="A22250" t="str">
        <f>"3046595"</f>
        <v>3046595</v>
      </c>
      <c r="B22250" t="s">
        <v>67438</v>
      </c>
      <c r="C22250" t="str">
        <f>"27565750"</f>
        <v>27565750</v>
      </c>
      <c r="D22250" t="s">
        <v>67439</v>
      </c>
      <c r="F22250" t="s">
        <v>29219</v>
      </c>
      <c r="I22250" t="s">
        <v>184</v>
      </c>
      <c r="J22250" t="s">
        <v>30</v>
      </c>
      <c r="K22250" t="s">
        <v>67440</v>
      </c>
      <c r="M22250" t="s">
        <v>50793</v>
      </c>
      <c r="N22250" t="str">
        <f>"3/21/2024 10:30:00 AM"</f>
        <v>3/21/2024 10:30:00 AM</v>
      </c>
      <c r="O22250" t="s">
        <v>67439</v>
      </c>
    </row>
    <row r="22251" spans="1:20" x14ac:dyDescent="0.25">
      <c r="A22251" t="str">
        <f>"3060452"</f>
        <v>3060452</v>
      </c>
      <c r="B22251" t="s">
        <v>67441</v>
      </c>
      <c r="C22251" t="str">
        <f>"21401000"</f>
        <v>21401000</v>
      </c>
      <c r="D22251" t="s">
        <v>67442</v>
      </c>
      <c r="F22251" t="s">
        <v>67443</v>
      </c>
      <c r="I22251" t="s">
        <v>2071</v>
      </c>
      <c r="J22251" t="s">
        <v>30</v>
      </c>
      <c r="K22251" t="s">
        <v>3728</v>
      </c>
      <c r="M22251" t="s">
        <v>50621</v>
      </c>
      <c r="N22251" t="str">
        <f>"3/21/2024 10:52:00 AM"</f>
        <v>3/21/2024 10:52:00 AM</v>
      </c>
      <c r="O22251" t="s">
        <v>67442</v>
      </c>
    </row>
    <row r="22252" spans="1:20" x14ac:dyDescent="0.25">
      <c r="A22252" t="str">
        <f>"3048757"</f>
        <v>3048757</v>
      </c>
      <c r="B22252" t="s">
        <v>67444</v>
      </c>
      <c r="C22252" t="str">
        <f>"8309014"</f>
        <v>8309014</v>
      </c>
      <c r="D22252" t="s">
        <v>67445</v>
      </c>
      <c r="F22252" t="s">
        <v>67446</v>
      </c>
      <c r="I22252" t="s">
        <v>1149</v>
      </c>
      <c r="J22252" t="s">
        <v>30</v>
      </c>
      <c r="K22252" t="s">
        <v>67447</v>
      </c>
      <c r="M22252" t="s">
        <v>50621</v>
      </c>
      <c r="N22252" t="str">
        <f>"3/21/2024 11:10:00 AM"</f>
        <v>3/21/2024 11:10:00 AM</v>
      </c>
      <c r="O22252" t="s">
        <v>67445</v>
      </c>
    </row>
    <row r="22253" spans="1:20" x14ac:dyDescent="0.25">
      <c r="A22253" t="str">
        <f>"3075587"</f>
        <v>3075587</v>
      </c>
      <c r="B22253" t="s">
        <v>67448</v>
      </c>
      <c r="C22253" t="str">
        <f>"82522911"</f>
        <v>82522911</v>
      </c>
      <c r="D22253" t="s">
        <v>67449</v>
      </c>
      <c r="E22253" t="s">
        <v>67450</v>
      </c>
      <c r="F22253" t="s">
        <v>67451</v>
      </c>
      <c r="I22253" t="s">
        <v>29</v>
      </c>
      <c r="J22253" t="s">
        <v>30</v>
      </c>
      <c r="K22253" t="s">
        <v>60090</v>
      </c>
      <c r="M22253" t="s">
        <v>50793</v>
      </c>
      <c r="N22253" t="str">
        <f>"3/21/2024 11:19:00 AM"</f>
        <v>3/21/2024 11:19:00 AM</v>
      </c>
      <c r="O22253" t="s">
        <v>67449</v>
      </c>
      <c r="T22253" t="s">
        <v>67450</v>
      </c>
    </row>
    <row r="22254" spans="1:20" x14ac:dyDescent="0.25">
      <c r="A22254" t="str">
        <f>"3055427"</f>
        <v>3055427</v>
      </c>
      <c r="B22254" t="s">
        <v>67452</v>
      </c>
      <c r="C22254" t="str">
        <f>"8304310"</f>
        <v>8304310</v>
      </c>
      <c r="D22254" t="s">
        <v>67453</v>
      </c>
      <c r="F22254" t="s">
        <v>21631</v>
      </c>
      <c r="I22254" t="s">
        <v>29</v>
      </c>
      <c r="J22254" t="s">
        <v>30</v>
      </c>
      <c r="K22254" t="str">
        <f>"27028"</f>
        <v>27028</v>
      </c>
      <c r="M22254" t="s">
        <v>50621</v>
      </c>
      <c r="N22254" t="str">
        <f>"3/21/2024 12:01:00 PM"</f>
        <v>3/21/2024 12:01:00 PM</v>
      </c>
      <c r="O22254" t="s">
        <v>67453</v>
      </c>
    </row>
    <row r="22255" spans="1:20" x14ac:dyDescent="0.25">
      <c r="A22255" t="str">
        <f>"3056247"</f>
        <v>3056247</v>
      </c>
      <c r="B22255" t="s">
        <v>67454</v>
      </c>
      <c r="C22255" t="str">
        <f>"37214800"</f>
        <v>37214800</v>
      </c>
      <c r="D22255" t="s">
        <v>67455</v>
      </c>
      <c r="E22255" t="s">
        <v>67456</v>
      </c>
      <c r="F22255" t="s">
        <v>67457</v>
      </c>
      <c r="I22255" t="s">
        <v>54577</v>
      </c>
      <c r="J22255" t="s">
        <v>11697</v>
      </c>
      <c r="K22255" t="s">
        <v>67458</v>
      </c>
      <c r="M22255" t="s">
        <v>50621</v>
      </c>
      <c r="N22255" t="str">
        <f>"3/21/2024 2:31:00 PM"</f>
        <v>3/21/2024 2:31:00 PM</v>
      </c>
      <c r="O22255" t="s">
        <v>67455</v>
      </c>
      <c r="T22255" t="s">
        <v>67456</v>
      </c>
    </row>
    <row r="22256" spans="1:20" x14ac:dyDescent="0.25">
      <c r="A22256" t="str">
        <f>"3066953"</f>
        <v>3066953</v>
      </c>
      <c r="B22256" t="s">
        <v>67459</v>
      </c>
      <c r="C22256" t="str">
        <f>"8315472"</f>
        <v>8315472</v>
      </c>
      <c r="D22256" t="s">
        <v>67460</v>
      </c>
      <c r="E22256" t="s">
        <v>67461</v>
      </c>
      <c r="F22256" t="s">
        <v>67462</v>
      </c>
      <c r="I22256" t="s">
        <v>29</v>
      </c>
      <c r="J22256" t="s">
        <v>30</v>
      </c>
      <c r="K22256" t="s">
        <v>55177</v>
      </c>
      <c r="M22256" t="s">
        <v>50621</v>
      </c>
      <c r="N22256" t="str">
        <f>"3/19/2024 2:52:00 PM"</f>
        <v>3/19/2024 2:52:00 PM</v>
      </c>
      <c r="O22256" t="s">
        <v>67460</v>
      </c>
      <c r="T22256" t="s">
        <v>67461</v>
      </c>
    </row>
    <row r="22257" spans="1:20" x14ac:dyDescent="0.25">
      <c r="A22257" t="str">
        <f>"3070414"</f>
        <v>3070414</v>
      </c>
      <c r="B22257" t="s">
        <v>67463</v>
      </c>
      <c r="C22257" t="str">
        <f>"8313453"</f>
        <v>8313453</v>
      </c>
      <c r="D22257" t="s">
        <v>67464</v>
      </c>
      <c r="E22257" t="s">
        <v>67465</v>
      </c>
      <c r="F22257" t="s">
        <v>67466</v>
      </c>
      <c r="I22257" t="s">
        <v>29</v>
      </c>
      <c r="J22257" t="s">
        <v>30</v>
      </c>
      <c r="K22257" t="s">
        <v>66227</v>
      </c>
      <c r="M22257" t="s">
        <v>52111</v>
      </c>
      <c r="N22257" t="str">
        <f>"3/19/2024 3:06:00 PM"</f>
        <v>3/19/2024 3:06:00 PM</v>
      </c>
      <c r="O22257" t="s">
        <v>67464</v>
      </c>
      <c r="T22257" t="s">
        <v>67465</v>
      </c>
    </row>
    <row r="22258" spans="1:20" x14ac:dyDescent="0.25">
      <c r="A22258" t="str">
        <f>"3054720"</f>
        <v>3054720</v>
      </c>
      <c r="B22258" t="s">
        <v>67467</v>
      </c>
      <c r="C22258" t="str">
        <f>"82530211"</f>
        <v>82530211</v>
      </c>
      <c r="D22258" t="s">
        <v>67468</v>
      </c>
      <c r="E22258" t="s">
        <v>67469</v>
      </c>
      <c r="F22258" t="s">
        <v>67470</v>
      </c>
      <c r="I22258" t="s">
        <v>29</v>
      </c>
      <c r="J22258" t="s">
        <v>30</v>
      </c>
      <c r="K22258" t="s">
        <v>40583</v>
      </c>
      <c r="M22258" t="s">
        <v>50621</v>
      </c>
      <c r="N22258" t="str">
        <f>"3/20/2024 9:05:00 AM"</f>
        <v>3/20/2024 9:05:00 AM</v>
      </c>
      <c r="O22258" t="s">
        <v>67468</v>
      </c>
      <c r="T22258" t="s">
        <v>67469</v>
      </c>
    </row>
    <row r="22259" spans="1:20" x14ac:dyDescent="0.25">
      <c r="A22259" t="str">
        <f>"3055176"</f>
        <v>3055176</v>
      </c>
      <c r="B22259" t="s">
        <v>67471</v>
      </c>
      <c r="C22259" t="str">
        <f>"82530211"</f>
        <v>82530211</v>
      </c>
      <c r="D22259" t="s">
        <v>67468</v>
      </c>
      <c r="E22259" t="s">
        <v>67469</v>
      </c>
      <c r="F22259" t="s">
        <v>67470</v>
      </c>
      <c r="I22259" t="s">
        <v>29</v>
      </c>
      <c r="J22259" t="s">
        <v>30</v>
      </c>
      <c r="K22259" t="s">
        <v>40583</v>
      </c>
      <c r="M22259" t="s">
        <v>50621</v>
      </c>
      <c r="N22259" t="str">
        <f>"3/20/2024 9:05:00 AM"</f>
        <v>3/20/2024 9:05:00 AM</v>
      </c>
      <c r="O22259" t="s">
        <v>67468</v>
      </c>
      <c r="T22259" t="s">
        <v>67469</v>
      </c>
    </row>
    <row r="22260" spans="1:20" x14ac:dyDescent="0.25">
      <c r="A22260" t="str">
        <f>"3056411"</f>
        <v>3056411</v>
      </c>
      <c r="B22260" t="s">
        <v>67472</v>
      </c>
      <c r="C22260" t="str">
        <f>"82530211"</f>
        <v>82530211</v>
      </c>
      <c r="D22260" t="s">
        <v>67468</v>
      </c>
      <c r="E22260" t="s">
        <v>67469</v>
      </c>
      <c r="F22260" t="s">
        <v>67470</v>
      </c>
      <c r="I22260" t="s">
        <v>29</v>
      </c>
      <c r="J22260" t="s">
        <v>30</v>
      </c>
      <c r="K22260" t="s">
        <v>40583</v>
      </c>
      <c r="M22260" t="s">
        <v>50621</v>
      </c>
      <c r="N22260" t="str">
        <f>"3/20/2024 9:05:00 AM"</f>
        <v>3/20/2024 9:05:00 AM</v>
      </c>
      <c r="O22260" t="s">
        <v>67468</v>
      </c>
      <c r="T22260" t="s">
        <v>67469</v>
      </c>
    </row>
    <row r="22261" spans="1:20" x14ac:dyDescent="0.25">
      <c r="A22261" t="str">
        <f>"3052714"</f>
        <v>3052714</v>
      </c>
      <c r="B22261" t="s">
        <v>67473</v>
      </c>
      <c r="C22261" t="str">
        <f>"82530211"</f>
        <v>82530211</v>
      </c>
      <c r="D22261" t="s">
        <v>67468</v>
      </c>
      <c r="E22261" t="s">
        <v>67469</v>
      </c>
      <c r="F22261" t="s">
        <v>67470</v>
      </c>
      <c r="I22261" t="s">
        <v>29</v>
      </c>
      <c r="J22261" t="s">
        <v>30</v>
      </c>
      <c r="K22261" t="s">
        <v>40583</v>
      </c>
      <c r="M22261" t="s">
        <v>50621</v>
      </c>
      <c r="N22261" t="str">
        <f>"3/20/2024 9:05:00 AM"</f>
        <v>3/20/2024 9:05:00 AM</v>
      </c>
      <c r="O22261" t="s">
        <v>67468</v>
      </c>
      <c r="T22261" t="s">
        <v>67469</v>
      </c>
    </row>
    <row r="22262" spans="1:20" x14ac:dyDescent="0.25">
      <c r="A22262" t="str">
        <f>"3056277"</f>
        <v>3056277</v>
      </c>
      <c r="B22262" t="s">
        <v>67474</v>
      </c>
      <c r="C22262" t="str">
        <f>"37214800"</f>
        <v>37214800</v>
      </c>
      <c r="D22262" t="s">
        <v>67455</v>
      </c>
      <c r="E22262" t="s">
        <v>67456</v>
      </c>
      <c r="F22262" t="s">
        <v>67457</v>
      </c>
      <c r="I22262" t="s">
        <v>54577</v>
      </c>
      <c r="J22262" t="s">
        <v>11697</v>
      </c>
      <c r="K22262" t="s">
        <v>67458</v>
      </c>
      <c r="M22262" t="s">
        <v>50621</v>
      </c>
      <c r="N22262" t="str">
        <f>"3/21/2024 2:31:00 PM"</f>
        <v>3/21/2024 2:31:00 PM</v>
      </c>
      <c r="O22262" t="s">
        <v>67455</v>
      </c>
      <c r="T22262" t="s">
        <v>67456</v>
      </c>
    </row>
    <row r="22263" spans="1:20" x14ac:dyDescent="0.25">
      <c r="A22263" t="str">
        <f>"3061816"</f>
        <v>3061816</v>
      </c>
      <c r="B22263" t="s">
        <v>67475</v>
      </c>
      <c r="C22263" t="str">
        <f>"8321913"</f>
        <v>8321913</v>
      </c>
      <c r="D22263" t="s">
        <v>67476</v>
      </c>
      <c r="E22263" t="s">
        <v>67477</v>
      </c>
      <c r="F22263" t="s">
        <v>67478</v>
      </c>
      <c r="I22263" t="s">
        <v>184</v>
      </c>
      <c r="J22263" t="s">
        <v>30</v>
      </c>
      <c r="K22263" t="s">
        <v>58030</v>
      </c>
      <c r="M22263" t="s">
        <v>50621</v>
      </c>
      <c r="N22263" t="str">
        <f>"3/21/2024 2:34:00 PM"</f>
        <v>3/21/2024 2:34:00 PM</v>
      </c>
      <c r="O22263" t="s">
        <v>67476</v>
      </c>
      <c r="T22263" t="s">
        <v>67477</v>
      </c>
    </row>
    <row r="22264" spans="1:20" x14ac:dyDescent="0.25">
      <c r="A22264" t="str">
        <f>"3057961"</f>
        <v>3057961</v>
      </c>
      <c r="B22264" t="s">
        <v>67479</v>
      </c>
      <c r="C22264" t="str">
        <f>"8319578"</f>
        <v>8319578</v>
      </c>
      <c r="D22264" t="s">
        <v>67480</v>
      </c>
      <c r="F22264" t="s">
        <v>67481</v>
      </c>
      <c r="I22264" t="s">
        <v>29</v>
      </c>
      <c r="J22264" t="s">
        <v>30</v>
      </c>
      <c r="K22264" t="s">
        <v>19108</v>
      </c>
      <c r="M22264" t="s">
        <v>50793</v>
      </c>
      <c r="N22264" t="str">
        <f>"3/22/2024 10:25:00 AM"</f>
        <v>3/22/2024 10:25:00 AM</v>
      </c>
      <c r="O22264" t="s">
        <v>67480</v>
      </c>
    </row>
    <row r="22265" spans="1:20" x14ac:dyDescent="0.25">
      <c r="A22265" t="str">
        <f>"3040286"</f>
        <v>3040286</v>
      </c>
      <c r="B22265" t="s">
        <v>67482</v>
      </c>
      <c r="C22265" t="str">
        <f>"8315402"</f>
        <v>8315402</v>
      </c>
      <c r="D22265" t="s">
        <v>1777</v>
      </c>
      <c r="E22265" t="s">
        <v>1778</v>
      </c>
      <c r="F22265" t="s">
        <v>32812</v>
      </c>
      <c r="I22265" t="s">
        <v>184</v>
      </c>
      <c r="J22265" t="s">
        <v>30</v>
      </c>
      <c r="K22265" t="s">
        <v>33890</v>
      </c>
      <c r="M22265" t="s">
        <v>50621</v>
      </c>
      <c r="N22265" t="str">
        <f>"3/25/2024 9:10:00 AM"</f>
        <v>3/25/2024 9:10:00 AM</v>
      </c>
      <c r="O22265" t="s">
        <v>1777</v>
      </c>
      <c r="T22265" t="s">
        <v>1778</v>
      </c>
    </row>
    <row r="22266" spans="1:20" x14ac:dyDescent="0.25">
      <c r="A22266" t="str">
        <f>"3102179"</f>
        <v>3102179</v>
      </c>
      <c r="B22266" t="s">
        <v>67483</v>
      </c>
      <c r="C22266" t="str">
        <f>"82513196"</f>
        <v>82513196</v>
      </c>
      <c r="D22266" t="s">
        <v>67484</v>
      </c>
      <c r="E22266" t="s">
        <v>67469</v>
      </c>
      <c r="F22266" t="s">
        <v>67470</v>
      </c>
      <c r="I22266" t="s">
        <v>29</v>
      </c>
      <c r="J22266" t="s">
        <v>30</v>
      </c>
      <c r="K22266" t="s">
        <v>40583</v>
      </c>
      <c r="M22266" t="s">
        <v>50621</v>
      </c>
      <c r="N22266" t="str">
        <f>"3/20/2024 9:06:00 AM"</f>
        <v>3/20/2024 9:06:00 AM</v>
      </c>
      <c r="O22266" t="s">
        <v>67484</v>
      </c>
      <c r="T22266" t="s">
        <v>67469</v>
      </c>
    </row>
    <row r="22267" spans="1:20" x14ac:dyDescent="0.25">
      <c r="A22267" t="str">
        <f>"3054245"</f>
        <v>3054245</v>
      </c>
      <c r="B22267" t="s">
        <v>67485</v>
      </c>
      <c r="C22267" t="str">
        <f>"8311163"</f>
        <v>8311163</v>
      </c>
      <c r="D22267" t="s">
        <v>67486</v>
      </c>
      <c r="E22267" t="s">
        <v>67487</v>
      </c>
      <c r="F22267" t="s">
        <v>67470</v>
      </c>
      <c r="I22267" t="s">
        <v>29</v>
      </c>
      <c r="J22267" t="s">
        <v>30</v>
      </c>
      <c r="K22267" t="s">
        <v>40583</v>
      </c>
      <c r="M22267" t="s">
        <v>50621</v>
      </c>
      <c r="N22267" t="str">
        <f>"3/20/2024 9:06:00 AM"</f>
        <v>3/20/2024 9:06:00 AM</v>
      </c>
      <c r="O22267" t="s">
        <v>67486</v>
      </c>
      <c r="T22267" t="s">
        <v>67487</v>
      </c>
    </row>
    <row r="22268" spans="1:20" x14ac:dyDescent="0.25">
      <c r="A22268" t="str">
        <f>"3040419"</f>
        <v>3040419</v>
      </c>
      <c r="B22268" t="s">
        <v>67488</v>
      </c>
      <c r="C22268" t="str">
        <f>"8300605"</f>
        <v>8300605</v>
      </c>
      <c r="D22268" t="s">
        <v>67489</v>
      </c>
      <c r="F22268" t="s">
        <v>67490</v>
      </c>
      <c r="I22268" t="s">
        <v>184</v>
      </c>
      <c r="J22268" t="s">
        <v>30</v>
      </c>
      <c r="K22268" t="s">
        <v>67491</v>
      </c>
      <c r="M22268" t="s">
        <v>50621</v>
      </c>
      <c r="N22268" t="str">
        <f>"3/25/2024 10:24:00 AM"</f>
        <v>3/25/2024 10:24:00 AM</v>
      </c>
      <c r="O22268" t="s">
        <v>67489</v>
      </c>
    </row>
    <row r="22269" spans="1:20" x14ac:dyDescent="0.25">
      <c r="A22269" t="str">
        <f>"3062339"</f>
        <v>3062339</v>
      </c>
      <c r="B22269" t="s">
        <v>67492</v>
      </c>
      <c r="C22269" t="str">
        <f>"82527573"</f>
        <v>82527573</v>
      </c>
      <c r="D22269" t="s">
        <v>67493</v>
      </c>
      <c r="F22269" t="str">
        <f>"C/O EVELYN F JOHNSON"</f>
        <v>C/O EVELYN F JOHNSON</v>
      </c>
      <c r="G22269" t="s">
        <v>67494</v>
      </c>
      <c r="I22269" t="s">
        <v>13918</v>
      </c>
      <c r="J22269" t="s">
        <v>13919</v>
      </c>
      <c r="K22269" t="s">
        <v>13920</v>
      </c>
      <c r="M22269" t="s">
        <v>50621</v>
      </c>
      <c r="N22269" t="str">
        <f>"3/25/2024 10:27:00 AM"</f>
        <v>3/25/2024 10:27:00 AM</v>
      </c>
      <c r="O22269" t="s">
        <v>67493</v>
      </c>
    </row>
    <row r="22270" spans="1:20" x14ac:dyDescent="0.25">
      <c r="A22270" t="str">
        <f>"3059495"</f>
        <v>3059495</v>
      </c>
      <c r="B22270" t="s">
        <v>67495</v>
      </c>
      <c r="C22270" t="str">
        <f>"8318565"</f>
        <v>8318565</v>
      </c>
      <c r="D22270" t="s">
        <v>67429</v>
      </c>
      <c r="E22270" t="s">
        <v>67430</v>
      </c>
      <c r="F22270" t="s">
        <v>67431</v>
      </c>
      <c r="I22270" t="s">
        <v>67432</v>
      </c>
      <c r="J22270" t="s">
        <v>67433</v>
      </c>
      <c r="K22270" t="s">
        <v>67434</v>
      </c>
      <c r="M22270" t="s">
        <v>50621</v>
      </c>
      <c r="N22270" t="str">
        <f>"3/25/2024 10:57:00 AM"</f>
        <v>3/25/2024 10:57:00 AM</v>
      </c>
      <c r="O22270" t="s">
        <v>67429</v>
      </c>
      <c r="T22270" t="s">
        <v>67430</v>
      </c>
    </row>
    <row r="22271" spans="1:20" x14ac:dyDescent="0.25">
      <c r="A22271" t="str">
        <f>"3062627"</f>
        <v>3062627</v>
      </c>
      <c r="B22271" t="s">
        <v>67496</v>
      </c>
      <c r="C22271" t="str">
        <f>"8319905"</f>
        <v>8319905</v>
      </c>
      <c r="D22271" t="s">
        <v>67497</v>
      </c>
      <c r="F22271" t="s">
        <v>46786</v>
      </c>
      <c r="I22271" t="s">
        <v>29</v>
      </c>
      <c r="J22271" t="s">
        <v>30</v>
      </c>
      <c r="K22271" t="s">
        <v>42131</v>
      </c>
      <c r="M22271" t="s">
        <v>50793</v>
      </c>
      <c r="N22271" t="str">
        <f>"3/25/2024 9:38:00 AM"</f>
        <v>3/25/2024 9:38:00 AM</v>
      </c>
      <c r="O22271" t="s">
        <v>67497</v>
      </c>
    </row>
    <row r="22272" spans="1:20" x14ac:dyDescent="0.25">
      <c r="A22272" t="str">
        <f>"3056279"</f>
        <v>3056279</v>
      </c>
      <c r="B22272" t="s">
        <v>67498</v>
      </c>
      <c r="C22272" t="str">
        <f>"38464000"</f>
        <v>38464000</v>
      </c>
      <c r="D22272" t="s">
        <v>67499</v>
      </c>
      <c r="F22272" t="str">
        <f>"C/O RUFUS HOSCH"</f>
        <v>C/O RUFUS HOSCH</v>
      </c>
      <c r="G22272" t="s">
        <v>67500</v>
      </c>
      <c r="I22272" t="s">
        <v>17921</v>
      </c>
      <c r="J22272" t="s">
        <v>30</v>
      </c>
      <c r="K22272" t="str">
        <f>"27028"</f>
        <v>27028</v>
      </c>
      <c r="M22272" t="s">
        <v>50621</v>
      </c>
      <c r="N22272" t="str">
        <f>"3/25/2024 9:42:00 AM"</f>
        <v>3/25/2024 9:42:00 AM</v>
      </c>
      <c r="O22272" t="s">
        <v>67499</v>
      </c>
    </row>
    <row r="22273" spans="1:20" x14ac:dyDescent="0.25">
      <c r="A22273" t="str">
        <f>"3052072"</f>
        <v>3052072</v>
      </c>
      <c r="B22273" t="s">
        <v>67501</v>
      </c>
      <c r="C22273" t="str">
        <f>"8322081"</f>
        <v>8322081</v>
      </c>
      <c r="D22273" t="s">
        <v>58511</v>
      </c>
      <c r="F22273" t="s">
        <v>67502</v>
      </c>
      <c r="I22273" t="s">
        <v>67503</v>
      </c>
      <c r="J22273" t="s">
        <v>1046</v>
      </c>
      <c r="K22273" t="s">
        <v>67504</v>
      </c>
      <c r="M22273" t="s">
        <v>50500</v>
      </c>
      <c r="N22273" t="str">
        <f>"3/26/2024 10:25:00 AM"</f>
        <v>3/26/2024 10:25:00 AM</v>
      </c>
      <c r="O22273" t="s">
        <v>58511</v>
      </c>
    </row>
    <row r="22274" spans="1:20" x14ac:dyDescent="0.25">
      <c r="A22274" t="str">
        <f>"3051807"</f>
        <v>3051807</v>
      </c>
      <c r="B22274" t="s">
        <v>67505</v>
      </c>
      <c r="C22274" t="str">
        <f>"8322081"</f>
        <v>8322081</v>
      </c>
      <c r="D22274" t="s">
        <v>58511</v>
      </c>
      <c r="F22274" t="s">
        <v>67502</v>
      </c>
      <c r="I22274" t="s">
        <v>67503</v>
      </c>
      <c r="J22274" t="s">
        <v>1046</v>
      </c>
      <c r="K22274" t="s">
        <v>67504</v>
      </c>
      <c r="M22274" t="s">
        <v>50500</v>
      </c>
      <c r="N22274" t="str">
        <f>"3/26/2024 10:25:00 AM"</f>
        <v>3/26/2024 10:25:00 AM</v>
      </c>
      <c r="O22274" t="s">
        <v>58511</v>
      </c>
    </row>
    <row r="22275" spans="1:20" x14ac:dyDescent="0.25">
      <c r="A22275" t="str">
        <f>"3066283"</f>
        <v>3066283</v>
      </c>
      <c r="B22275" t="s">
        <v>67506</v>
      </c>
      <c r="C22275" t="str">
        <f>"8316500"</f>
        <v>8316500</v>
      </c>
      <c r="D22275" t="s">
        <v>41466</v>
      </c>
      <c r="E22275" t="s">
        <v>67507</v>
      </c>
      <c r="F22275" t="s">
        <v>67508</v>
      </c>
      <c r="I22275" t="s">
        <v>29</v>
      </c>
      <c r="J22275" t="s">
        <v>30</v>
      </c>
      <c r="K22275" t="s">
        <v>34883</v>
      </c>
      <c r="M22275" t="s">
        <v>50621</v>
      </c>
      <c r="N22275" t="str">
        <f>"3/26/2024 10:29:00 AM"</f>
        <v>3/26/2024 10:29:00 AM</v>
      </c>
      <c r="O22275" t="s">
        <v>41466</v>
      </c>
      <c r="T22275" t="s">
        <v>67507</v>
      </c>
    </row>
    <row r="22276" spans="1:20" x14ac:dyDescent="0.25">
      <c r="A22276" t="str">
        <f>"3058916"</f>
        <v>3058916</v>
      </c>
      <c r="B22276" t="s">
        <v>67509</v>
      </c>
      <c r="C22276" t="str">
        <f>"8321773"</f>
        <v>8321773</v>
      </c>
      <c r="D22276" t="s">
        <v>67510</v>
      </c>
      <c r="E22276" t="s">
        <v>67511</v>
      </c>
      <c r="F22276" t="s">
        <v>67512</v>
      </c>
      <c r="I22276" t="s">
        <v>67513</v>
      </c>
      <c r="J22276" t="s">
        <v>12725</v>
      </c>
      <c r="K22276" t="str">
        <f>"32703"</f>
        <v>32703</v>
      </c>
      <c r="M22276" t="s">
        <v>18470</v>
      </c>
      <c r="N22276" t="str">
        <f>"3/26/2024 12:05:00 PM"</f>
        <v>3/26/2024 12:05:00 PM</v>
      </c>
      <c r="O22276" t="s">
        <v>67510</v>
      </c>
      <c r="T22276" t="s">
        <v>67511</v>
      </c>
    </row>
    <row r="22277" spans="1:20" x14ac:dyDescent="0.25">
      <c r="A22277" t="str">
        <f>"3052568"</f>
        <v>3052568</v>
      </c>
      <c r="B22277" t="s">
        <v>67514</v>
      </c>
      <c r="C22277" t="str">
        <f>"39004000"</f>
        <v>39004000</v>
      </c>
      <c r="D22277" t="s">
        <v>67515</v>
      </c>
      <c r="F22277" t="s">
        <v>67516</v>
      </c>
      <c r="I22277" t="s">
        <v>29</v>
      </c>
      <c r="J22277" t="s">
        <v>30</v>
      </c>
      <c r="K22277" t="s">
        <v>31</v>
      </c>
      <c r="M22277" t="s">
        <v>50621</v>
      </c>
      <c r="N22277" t="str">
        <f>"3/25/2024 1:32:00 PM"</f>
        <v>3/25/2024 1:32:00 PM</v>
      </c>
      <c r="O22277" t="s">
        <v>67515</v>
      </c>
    </row>
    <row r="22278" spans="1:20" x14ac:dyDescent="0.25">
      <c r="A22278" t="str">
        <f>"3056144"</f>
        <v>3056144</v>
      </c>
      <c r="B22278" t="s">
        <v>67517</v>
      </c>
      <c r="C22278" t="str">
        <f>"8322083"</f>
        <v>8322083</v>
      </c>
      <c r="D22278" t="s">
        <v>67518</v>
      </c>
      <c r="E22278" t="s">
        <v>13486</v>
      </c>
      <c r="F22278" t="s">
        <v>67519</v>
      </c>
      <c r="I22278" t="s">
        <v>29</v>
      </c>
      <c r="J22278" t="s">
        <v>30</v>
      </c>
      <c r="K22278" t="s">
        <v>42575</v>
      </c>
      <c r="M22278" t="s">
        <v>50500</v>
      </c>
      <c r="N22278" t="str">
        <f>"3/26/2024 2:37:00 PM"</f>
        <v>3/26/2024 2:37:00 PM</v>
      </c>
      <c r="O22278" t="s">
        <v>67518</v>
      </c>
      <c r="T22278" t="s">
        <v>13486</v>
      </c>
    </row>
    <row r="22279" spans="1:20" x14ac:dyDescent="0.25">
      <c r="A22279" t="str">
        <f>"3056806"</f>
        <v>3056806</v>
      </c>
      <c r="B22279" t="s">
        <v>67520</v>
      </c>
      <c r="C22279" t="str">
        <f>"8307297"</f>
        <v>8307297</v>
      </c>
      <c r="D22279" t="s">
        <v>67521</v>
      </c>
      <c r="F22279" t="s">
        <v>65915</v>
      </c>
      <c r="I22279" t="s">
        <v>29</v>
      </c>
      <c r="J22279" t="s">
        <v>30</v>
      </c>
      <c r="K22279" t="s">
        <v>57108</v>
      </c>
      <c r="M22279" t="s">
        <v>50621</v>
      </c>
      <c r="N22279" t="str">
        <f>"3/25/2024 1:30:00 PM"</f>
        <v>3/25/2024 1:30:00 PM</v>
      </c>
      <c r="O22279" t="s">
        <v>67521</v>
      </c>
    </row>
    <row r="22280" spans="1:20" x14ac:dyDescent="0.25">
      <c r="A22280" t="str">
        <f>"3042173"</f>
        <v>3042173</v>
      </c>
      <c r="B22280" t="s">
        <v>67522</v>
      </c>
      <c r="C22280" t="str">
        <f>"39069000"</f>
        <v>39069000</v>
      </c>
      <c r="D22280" t="s">
        <v>67523</v>
      </c>
      <c r="F22280" t="s">
        <v>67524</v>
      </c>
      <c r="I22280" t="s">
        <v>1107</v>
      </c>
      <c r="J22280" t="s">
        <v>30</v>
      </c>
      <c r="K22280" t="s">
        <v>13026</v>
      </c>
      <c r="M22280" t="s">
        <v>50621</v>
      </c>
      <c r="N22280" t="str">
        <f>"3/25/2024 1:34:00 PM"</f>
        <v>3/25/2024 1:34:00 PM</v>
      </c>
      <c r="O22280" t="s">
        <v>67523</v>
      </c>
    </row>
    <row r="22281" spans="1:20" x14ac:dyDescent="0.25">
      <c r="A22281" t="str">
        <f>"3038746"</f>
        <v>3038746</v>
      </c>
      <c r="B22281" t="s">
        <v>67525</v>
      </c>
      <c r="C22281" t="str">
        <f>"8305460"</f>
        <v>8305460</v>
      </c>
      <c r="D22281" t="s">
        <v>67526</v>
      </c>
      <c r="F22281" t="s">
        <v>67527</v>
      </c>
      <c r="I22281" t="s">
        <v>29</v>
      </c>
      <c r="J22281" t="s">
        <v>30</v>
      </c>
      <c r="K22281" t="str">
        <f>"27028"</f>
        <v>27028</v>
      </c>
      <c r="M22281" t="s">
        <v>50621</v>
      </c>
      <c r="N22281" t="str">
        <f>"3/25/2024 1:59:00 PM"</f>
        <v>3/25/2024 1:59:00 PM</v>
      </c>
      <c r="O22281" t="s">
        <v>67526</v>
      </c>
    </row>
    <row r="22282" spans="1:20" x14ac:dyDescent="0.25">
      <c r="A22282" t="str">
        <f>"3037860"</f>
        <v>3037860</v>
      </c>
      <c r="B22282" t="s">
        <v>67528</v>
      </c>
      <c r="C22282" t="str">
        <f>"8305460"</f>
        <v>8305460</v>
      </c>
      <c r="D22282" t="s">
        <v>67526</v>
      </c>
      <c r="F22282" t="s">
        <v>67527</v>
      </c>
      <c r="I22282" t="s">
        <v>29</v>
      </c>
      <c r="J22282" t="s">
        <v>30</v>
      </c>
      <c r="K22282" t="str">
        <f>"27028"</f>
        <v>27028</v>
      </c>
      <c r="M22282" t="s">
        <v>50621</v>
      </c>
      <c r="N22282" t="str">
        <f>"3/25/2024 1:59:00 PM"</f>
        <v>3/25/2024 1:59:00 PM</v>
      </c>
      <c r="O22282" t="s">
        <v>67526</v>
      </c>
    </row>
    <row r="22283" spans="1:20" x14ac:dyDescent="0.25">
      <c r="A22283" t="str">
        <f>"3061180"</f>
        <v>3061180</v>
      </c>
      <c r="B22283" t="s">
        <v>67529</v>
      </c>
      <c r="C22283" t="str">
        <f>"8314677"</f>
        <v>8314677</v>
      </c>
      <c r="D22283" t="s">
        <v>67530</v>
      </c>
      <c r="E22283" t="s">
        <v>67531</v>
      </c>
      <c r="F22283" t="s">
        <v>67532</v>
      </c>
      <c r="I22283" t="s">
        <v>184</v>
      </c>
      <c r="J22283" t="s">
        <v>30</v>
      </c>
      <c r="K22283" t="s">
        <v>6297</v>
      </c>
      <c r="M22283" t="s">
        <v>50621</v>
      </c>
      <c r="N22283" t="str">
        <f>"3/25/2024 2:19:00 PM"</f>
        <v>3/25/2024 2:19:00 PM</v>
      </c>
      <c r="O22283" t="s">
        <v>67530</v>
      </c>
      <c r="T22283" t="s">
        <v>67531</v>
      </c>
    </row>
    <row r="22284" spans="1:20" x14ac:dyDescent="0.25">
      <c r="A22284" t="str">
        <f>"3077099"</f>
        <v>3077099</v>
      </c>
      <c r="B22284" t="s">
        <v>67533</v>
      </c>
      <c r="C22284" t="str">
        <f>"8322087"</f>
        <v>8322087</v>
      </c>
      <c r="D22284" t="str">
        <f>"VERNON DONALD GRAY TR/VERNON SUSAN KAY TR"</f>
        <v>VERNON DONALD GRAY TR/VERNON SUSAN KAY TR</v>
      </c>
      <c r="E22284" t="str">
        <f>"DONALD/SUSAN VERNON REV LIV TR"</f>
        <v>DONALD/SUSAN VERNON REV LIV TR</v>
      </c>
      <c r="F22284" t="s">
        <v>67534</v>
      </c>
      <c r="I22284" t="s">
        <v>29</v>
      </c>
      <c r="J22284" t="s">
        <v>30</v>
      </c>
      <c r="K22284" t="s">
        <v>2803</v>
      </c>
      <c r="M22284" t="s">
        <v>50500</v>
      </c>
      <c r="N22284" t="str">
        <f>"3/27/2024 2:36:00 PM"</f>
        <v>3/27/2024 2:36:00 PM</v>
      </c>
      <c r="O22284" t="str">
        <f>"VERNON DONALD GRAY TR/VERNON SUSAN KAY TR"</f>
        <v>VERNON DONALD GRAY TR/VERNON SUSAN KAY TR</v>
      </c>
      <c r="T22284" t="str">
        <f>"DONALD/SUSAN VERNON REV LIV TR"</f>
        <v>DONALD/SUSAN VERNON REV LIV TR</v>
      </c>
    </row>
    <row r="22285" spans="1:20" x14ac:dyDescent="0.25">
      <c r="A22285" t="str">
        <f>"3065339"</f>
        <v>3065339</v>
      </c>
      <c r="B22285" t="s">
        <v>67535</v>
      </c>
      <c r="C22285" t="str">
        <f>"8322088"</f>
        <v>8322088</v>
      </c>
      <c r="D22285" t="s">
        <v>67536</v>
      </c>
      <c r="F22285" t="s">
        <v>67537</v>
      </c>
      <c r="G22285" t="s">
        <v>67538</v>
      </c>
      <c r="I22285" t="s">
        <v>471</v>
      </c>
      <c r="J22285" t="s">
        <v>30</v>
      </c>
      <c r="K22285" t="s">
        <v>67539</v>
      </c>
      <c r="M22285" t="s">
        <v>50500</v>
      </c>
      <c r="N22285" t="str">
        <f>"3/27/2024 2:54:00 PM"</f>
        <v>3/27/2024 2:54:00 PM</v>
      </c>
      <c r="O22285" t="s">
        <v>67536</v>
      </c>
    </row>
    <row r="22286" spans="1:20" x14ac:dyDescent="0.25">
      <c r="A22286" t="str">
        <f>"3063713"</f>
        <v>3063713</v>
      </c>
      <c r="B22286" t="s">
        <v>67540</v>
      </c>
      <c r="C22286" t="str">
        <f>"82526589"</f>
        <v>82526589</v>
      </c>
      <c r="D22286" t="s">
        <v>67541</v>
      </c>
      <c r="E22286" t="s">
        <v>67542</v>
      </c>
      <c r="F22286" t="s">
        <v>67543</v>
      </c>
      <c r="I22286" t="s">
        <v>29</v>
      </c>
      <c r="J22286" t="s">
        <v>30</v>
      </c>
      <c r="K22286" t="s">
        <v>31</v>
      </c>
      <c r="M22286" t="s">
        <v>25733</v>
      </c>
      <c r="N22286" t="str">
        <f>"3/27/2024 3:01:00 PM"</f>
        <v>3/27/2024 3:01:00 PM</v>
      </c>
      <c r="O22286" t="s">
        <v>67541</v>
      </c>
      <c r="T22286" t="s">
        <v>67542</v>
      </c>
    </row>
    <row r="22287" spans="1:20" x14ac:dyDescent="0.25">
      <c r="A22287" t="str">
        <f>"3045324"</f>
        <v>3045324</v>
      </c>
      <c r="B22287" t="s">
        <v>67544</v>
      </c>
      <c r="C22287" t="str">
        <f>"8306796"</f>
        <v>8306796</v>
      </c>
      <c r="D22287" t="s">
        <v>67545</v>
      </c>
      <c r="F22287" t="s">
        <v>67546</v>
      </c>
      <c r="I22287" t="s">
        <v>29</v>
      </c>
      <c r="J22287" t="s">
        <v>30</v>
      </c>
      <c r="K22287" t="s">
        <v>67547</v>
      </c>
      <c r="M22287" t="s">
        <v>50621</v>
      </c>
      <c r="N22287" t="str">
        <f>"3/28/2024 8:50:00 AM"</f>
        <v>3/28/2024 8:50:00 AM</v>
      </c>
      <c r="O22287" t="s">
        <v>67545</v>
      </c>
    </row>
    <row r="22288" spans="1:20" x14ac:dyDescent="0.25">
      <c r="A22288" t="str">
        <f>"3058651"</f>
        <v>3058651</v>
      </c>
      <c r="B22288" t="s">
        <v>67548</v>
      </c>
      <c r="C22288" t="str">
        <f>"8322068"</f>
        <v>8322068</v>
      </c>
      <c r="D22288" t="s">
        <v>67549</v>
      </c>
      <c r="E22288" t="s">
        <v>67550</v>
      </c>
      <c r="F22288" t="s">
        <v>67551</v>
      </c>
      <c r="I22288" t="s">
        <v>184</v>
      </c>
      <c r="J22288" t="s">
        <v>30</v>
      </c>
      <c r="K22288" t="s">
        <v>64153</v>
      </c>
      <c r="M22288" t="s">
        <v>50500</v>
      </c>
      <c r="N22288" t="str">
        <f>"3/26/2024 8:18:00 AM"</f>
        <v>3/26/2024 8:18:00 AM</v>
      </c>
      <c r="O22288" t="s">
        <v>67549</v>
      </c>
      <c r="T22288" t="s">
        <v>67550</v>
      </c>
    </row>
    <row r="22289" spans="1:20" x14ac:dyDescent="0.25">
      <c r="A22289" t="str">
        <f>"3077914"</f>
        <v>3077914</v>
      </c>
      <c r="B22289" t="s">
        <v>67552</v>
      </c>
      <c r="C22289" t="str">
        <f>"8322069"</f>
        <v>8322069</v>
      </c>
      <c r="D22289" t="s">
        <v>67553</v>
      </c>
      <c r="F22289" t="s">
        <v>44396</v>
      </c>
      <c r="I22289" t="s">
        <v>29</v>
      </c>
      <c r="J22289" t="s">
        <v>30</v>
      </c>
      <c r="K22289" t="s">
        <v>16882</v>
      </c>
      <c r="M22289" t="s">
        <v>50500</v>
      </c>
      <c r="N22289" t="str">
        <f>"3/26/2024 8:30:00 AM"</f>
        <v>3/26/2024 8:30:00 AM</v>
      </c>
      <c r="O22289" t="s">
        <v>67553</v>
      </c>
    </row>
    <row r="22290" spans="1:20" x14ac:dyDescent="0.25">
      <c r="A22290" t="str">
        <f>"3052109"</f>
        <v>3052109</v>
      </c>
      <c r="B22290" t="s">
        <v>67554</v>
      </c>
      <c r="C22290" t="str">
        <f>"8322070"</f>
        <v>8322070</v>
      </c>
      <c r="D22290" t="s">
        <v>67555</v>
      </c>
      <c r="E22290" t="s">
        <v>67556</v>
      </c>
      <c r="F22290" t="s">
        <v>67557</v>
      </c>
      <c r="I22290" t="s">
        <v>29</v>
      </c>
      <c r="J22290" t="s">
        <v>30</v>
      </c>
      <c r="K22290" t="s">
        <v>67558</v>
      </c>
      <c r="M22290" t="s">
        <v>50500</v>
      </c>
      <c r="N22290" t="str">
        <f>"3/26/2024 8:37:00 AM"</f>
        <v>3/26/2024 8:37:00 AM</v>
      </c>
      <c r="O22290" t="s">
        <v>67555</v>
      </c>
      <c r="T22290" t="s">
        <v>67556</v>
      </c>
    </row>
    <row r="22291" spans="1:20" x14ac:dyDescent="0.25">
      <c r="A22291" t="str">
        <f>"3051701"</f>
        <v>3051701</v>
      </c>
      <c r="B22291" t="s">
        <v>67559</v>
      </c>
      <c r="C22291" t="str">
        <f>"8310994"</f>
        <v>8310994</v>
      </c>
      <c r="D22291" t="s">
        <v>67560</v>
      </c>
      <c r="F22291" t="s">
        <v>67561</v>
      </c>
      <c r="I22291" t="s">
        <v>67562</v>
      </c>
      <c r="J22291" t="s">
        <v>30</v>
      </c>
      <c r="K22291" t="s">
        <v>67563</v>
      </c>
      <c r="M22291" t="s">
        <v>50793</v>
      </c>
      <c r="N22291" t="str">
        <f>"3/26/2024 8:48:00 AM"</f>
        <v>3/26/2024 8:48:00 AM</v>
      </c>
      <c r="O22291" t="s">
        <v>67560</v>
      </c>
    </row>
    <row r="22292" spans="1:20" x14ac:dyDescent="0.25">
      <c r="A22292" t="str">
        <f>"3045050"</f>
        <v>3045050</v>
      </c>
      <c r="B22292" t="s">
        <v>67564</v>
      </c>
      <c r="C22292" t="str">
        <f>"8319511"</f>
        <v>8319511</v>
      </c>
      <c r="D22292" t="s">
        <v>67565</v>
      </c>
      <c r="F22292" t="s">
        <v>67566</v>
      </c>
      <c r="I22292" t="s">
        <v>29</v>
      </c>
      <c r="J22292" t="s">
        <v>30</v>
      </c>
      <c r="K22292" t="s">
        <v>67567</v>
      </c>
      <c r="M22292" t="s">
        <v>50793</v>
      </c>
      <c r="N22292" t="str">
        <f>"3/26/2024 8:54:00 AM"</f>
        <v>3/26/2024 8:54:00 AM</v>
      </c>
      <c r="O22292" t="s">
        <v>67565</v>
      </c>
    </row>
    <row r="22293" spans="1:20" x14ac:dyDescent="0.25">
      <c r="A22293" t="str">
        <f>"3054699"</f>
        <v>3054699</v>
      </c>
      <c r="B22293" t="s">
        <v>67568</v>
      </c>
      <c r="C22293" t="str">
        <f>"8316083"</f>
        <v>8316083</v>
      </c>
      <c r="D22293" t="s">
        <v>67569</v>
      </c>
      <c r="F22293" t="s">
        <v>67570</v>
      </c>
      <c r="I22293" t="s">
        <v>33019</v>
      </c>
      <c r="J22293" t="s">
        <v>30</v>
      </c>
      <c r="K22293" t="s">
        <v>67571</v>
      </c>
      <c r="M22293" t="s">
        <v>50793</v>
      </c>
      <c r="N22293" t="str">
        <f>"3/26/2024 9:07:00 AM"</f>
        <v>3/26/2024 9:07:00 AM</v>
      </c>
      <c r="O22293" t="s">
        <v>67569</v>
      </c>
    </row>
    <row r="22294" spans="1:20" x14ac:dyDescent="0.25">
      <c r="A22294" t="str">
        <f>"3040801"</f>
        <v>3040801</v>
      </c>
      <c r="B22294" t="s">
        <v>67572</v>
      </c>
      <c r="C22294" t="str">
        <f>"8322071"</f>
        <v>8322071</v>
      </c>
      <c r="D22294" t="s">
        <v>67573</v>
      </c>
      <c r="E22294" t="s">
        <v>67574</v>
      </c>
      <c r="F22294" t="s">
        <v>67575</v>
      </c>
      <c r="I22294" t="s">
        <v>184</v>
      </c>
      <c r="J22294" t="s">
        <v>30</v>
      </c>
      <c r="K22294" t="s">
        <v>2984</v>
      </c>
      <c r="M22294" t="s">
        <v>50500</v>
      </c>
      <c r="N22294" t="str">
        <f>"3/26/2024 9:02:00 AM"</f>
        <v>3/26/2024 9:02:00 AM</v>
      </c>
      <c r="O22294" t="s">
        <v>67573</v>
      </c>
      <c r="T22294" t="s">
        <v>67574</v>
      </c>
    </row>
    <row r="22295" spans="1:20" x14ac:dyDescent="0.25">
      <c r="A22295" t="str">
        <f>"3046885"</f>
        <v>3046885</v>
      </c>
      <c r="B22295" t="s">
        <v>67576</v>
      </c>
      <c r="C22295" t="str">
        <f>"8322072"</f>
        <v>8322072</v>
      </c>
      <c r="D22295" t="str">
        <f>"MCDANIEL BILLIE E JR TR/MCDANIEL LONNA H TR"</f>
        <v>MCDANIEL BILLIE E JR TR/MCDANIEL LONNA H TR</v>
      </c>
      <c r="E22295" t="s">
        <v>67577</v>
      </c>
      <c r="F22295" t="s">
        <v>67578</v>
      </c>
      <c r="I22295" t="s">
        <v>29</v>
      </c>
      <c r="J22295" t="s">
        <v>30</v>
      </c>
      <c r="K22295" t="s">
        <v>36256</v>
      </c>
      <c r="M22295" t="s">
        <v>50500</v>
      </c>
      <c r="N22295" t="str">
        <f>"3/26/2024 9:11:00 AM"</f>
        <v>3/26/2024 9:11:00 AM</v>
      </c>
      <c r="O22295" t="str">
        <f>"MCDANIEL BILLIE E JR TR/MCDANIEL LONNA H TR"</f>
        <v>MCDANIEL BILLIE E JR TR/MCDANIEL LONNA H TR</v>
      </c>
      <c r="T22295" t="s">
        <v>67577</v>
      </c>
    </row>
    <row r="22296" spans="1:20" x14ac:dyDescent="0.25">
      <c r="A22296" t="str">
        <f>"3076596"</f>
        <v>3076596</v>
      </c>
      <c r="B22296" t="s">
        <v>67579</v>
      </c>
      <c r="C22296" t="str">
        <f>"8322073"</f>
        <v>8322073</v>
      </c>
      <c r="D22296" t="s">
        <v>67580</v>
      </c>
      <c r="F22296" t="s">
        <v>67581</v>
      </c>
      <c r="I22296" t="s">
        <v>29</v>
      </c>
      <c r="J22296" t="s">
        <v>30</v>
      </c>
      <c r="K22296" t="s">
        <v>67582</v>
      </c>
      <c r="M22296" t="s">
        <v>50500</v>
      </c>
      <c r="N22296" t="str">
        <f>"3/26/2024 9:18:00 AM"</f>
        <v>3/26/2024 9:18:00 AM</v>
      </c>
      <c r="O22296" t="s">
        <v>67580</v>
      </c>
    </row>
    <row r="22297" spans="1:20" x14ac:dyDescent="0.25">
      <c r="A22297" t="str">
        <f>"3062831"</f>
        <v>3062831</v>
      </c>
      <c r="B22297" t="s">
        <v>67583</v>
      </c>
      <c r="C22297" t="str">
        <f>"8318055"</f>
        <v>8318055</v>
      </c>
      <c r="D22297" t="s">
        <v>67584</v>
      </c>
      <c r="F22297" t="s">
        <v>67585</v>
      </c>
      <c r="I22297" t="s">
        <v>402</v>
      </c>
      <c r="J22297" t="s">
        <v>30</v>
      </c>
      <c r="K22297" t="s">
        <v>67586</v>
      </c>
      <c r="M22297" t="s">
        <v>50621</v>
      </c>
      <c r="N22297" t="str">
        <f>"4/1/2024 9:42:00 AM"</f>
        <v>4/1/2024 9:42:00 AM</v>
      </c>
      <c r="O22297" t="s">
        <v>67584</v>
      </c>
    </row>
    <row r="22298" spans="1:20" x14ac:dyDescent="0.25">
      <c r="A22298" t="str">
        <f>"3062678"</f>
        <v>3062678</v>
      </c>
      <c r="B22298" t="s">
        <v>67587</v>
      </c>
      <c r="C22298" t="str">
        <f>"8322074"</f>
        <v>8322074</v>
      </c>
      <c r="D22298" t="s">
        <v>67588</v>
      </c>
      <c r="E22298" t="s">
        <v>67589</v>
      </c>
      <c r="F22298" t="s">
        <v>67590</v>
      </c>
      <c r="I22298" t="s">
        <v>184</v>
      </c>
      <c r="J22298" t="s">
        <v>30</v>
      </c>
      <c r="K22298" t="s">
        <v>41987</v>
      </c>
      <c r="M22298" t="s">
        <v>50500</v>
      </c>
      <c r="N22298" t="str">
        <f>"3/26/2024 9:23:00 AM"</f>
        <v>3/26/2024 9:23:00 AM</v>
      </c>
      <c r="O22298" t="s">
        <v>67588</v>
      </c>
      <c r="T22298" t="s">
        <v>67589</v>
      </c>
    </row>
    <row r="22299" spans="1:20" x14ac:dyDescent="0.25">
      <c r="A22299" t="str">
        <f>"3058486"</f>
        <v>3058486</v>
      </c>
      <c r="B22299" t="s">
        <v>67591</v>
      </c>
      <c r="C22299" t="str">
        <f>"8322077"</f>
        <v>8322077</v>
      </c>
      <c r="D22299" t="s">
        <v>67592</v>
      </c>
      <c r="E22299" t="s">
        <v>67593</v>
      </c>
      <c r="F22299" t="s">
        <v>67594</v>
      </c>
      <c r="I22299" t="s">
        <v>29</v>
      </c>
      <c r="J22299" t="s">
        <v>30</v>
      </c>
      <c r="K22299" t="s">
        <v>39454</v>
      </c>
      <c r="M22299" t="s">
        <v>50500</v>
      </c>
      <c r="N22299" t="str">
        <f>"3/26/2024 9:50:00 AM"</f>
        <v>3/26/2024 9:50:00 AM</v>
      </c>
      <c r="O22299" t="s">
        <v>67592</v>
      </c>
      <c r="T22299" t="s">
        <v>67593</v>
      </c>
    </row>
    <row r="22300" spans="1:20" x14ac:dyDescent="0.25">
      <c r="A22300" t="str">
        <f>"3054276"</f>
        <v>3054276</v>
      </c>
      <c r="B22300" t="s">
        <v>67595</v>
      </c>
      <c r="C22300" t="str">
        <f>"8322078"</f>
        <v>8322078</v>
      </c>
      <c r="D22300" t="s">
        <v>67596</v>
      </c>
      <c r="E22300" t="s">
        <v>67597</v>
      </c>
      <c r="F22300" t="s">
        <v>67598</v>
      </c>
      <c r="I22300" t="s">
        <v>29</v>
      </c>
      <c r="J22300" t="s">
        <v>30</v>
      </c>
      <c r="K22300" t="s">
        <v>15246</v>
      </c>
      <c r="M22300" t="s">
        <v>50500</v>
      </c>
      <c r="N22300" t="str">
        <f>"3/26/2024 9:58:00 AM"</f>
        <v>3/26/2024 9:58:00 AM</v>
      </c>
      <c r="O22300" t="s">
        <v>67596</v>
      </c>
      <c r="T22300" t="s">
        <v>67597</v>
      </c>
    </row>
    <row r="22301" spans="1:20" x14ac:dyDescent="0.25">
      <c r="A22301" t="str">
        <f>"3064024"</f>
        <v>3064024</v>
      </c>
      <c r="B22301" t="s">
        <v>67599</v>
      </c>
      <c r="C22301" t="str">
        <f>"8300926"</f>
        <v>8300926</v>
      </c>
      <c r="D22301" t="s">
        <v>67600</v>
      </c>
      <c r="E22301" t="s">
        <v>67601</v>
      </c>
      <c r="F22301" t="s">
        <v>67602</v>
      </c>
      <c r="I22301" t="s">
        <v>29</v>
      </c>
      <c r="J22301" t="s">
        <v>30</v>
      </c>
      <c r="K22301" t="str">
        <f>"27028"</f>
        <v>27028</v>
      </c>
      <c r="M22301" t="s">
        <v>50621</v>
      </c>
      <c r="N22301" t="str">
        <f>"3/26/2024 10:38:00 AM"</f>
        <v>3/26/2024 10:38:00 AM</v>
      </c>
      <c r="O22301" t="s">
        <v>67600</v>
      </c>
      <c r="T22301" t="s">
        <v>67601</v>
      </c>
    </row>
    <row r="22302" spans="1:20" x14ac:dyDescent="0.25">
      <c r="A22302" t="str">
        <f>"3043078"</f>
        <v>3043078</v>
      </c>
      <c r="B22302" t="s">
        <v>67603</v>
      </c>
      <c r="C22302" t="str">
        <f>"8300926"</f>
        <v>8300926</v>
      </c>
      <c r="D22302" t="s">
        <v>67600</v>
      </c>
      <c r="E22302" t="s">
        <v>67601</v>
      </c>
      <c r="F22302" t="s">
        <v>67602</v>
      </c>
      <c r="I22302" t="s">
        <v>29</v>
      </c>
      <c r="J22302" t="s">
        <v>30</v>
      </c>
      <c r="K22302" t="str">
        <f>"27028"</f>
        <v>27028</v>
      </c>
      <c r="M22302" t="s">
        <v>50621</v>
      </c>
      <c r="N22302" t="str">
        <f>"3/26/2024 10:38:00 AM"</f>
        <v>3/26/2024 10:38:00 AM</v>
      </c>
      <c r="O22302" t="s">
        <v>67600</v>
      </c>
      <c r="T22302" t="s">
        <v>67601</v>
      </c>
    </row>
    <row r="22303" spans="1:20" x14ac:dyDescent="0.25">
      <c r="A22303" t="str">
        <f>"3049749"</f>
        <v>3049749</v>
      </c>
      <c r="B22303" t="s">
        <v>67604</v>
      </c>
      <c r="C22303" t="str">
        <f>"8322079"</f>
        <v>8322079</v>
      </c>
      <c r="D22303" t="str">
        <f>"SCHLARP CHARLES J TR/SCHLARP NANCY L TR"</f>
        <v>SCHLARP CHARLES J TR/SCHLARP NANCY L TR</v>
      </c>
      <c r="E22303" t="s">
        <v>67605</v>
      </c>
      <c r="F22303" t="s">
        <v>67606</v>
      </c>
      <c r="I22303" t="s">
        <v>29</v>
      </c>
      <c r="J22303" t="s">
        <v>30</v>
      </c>
      <c r="K22303" t="s">
        <v>24345</v>
      </c>
      <c r="M22303" t="s">
        <v>50500</v>
      </c>
      <c r="N22303" t="str">
        <f>"3/26/2024 10:12:00 AM"</f>
        <v>3/26/2024 10:12:00 AM</v>
      </c>
      <c r="O22303" t="str">
        <f>"SCHLARP CHARLES J TR/SCHLARP NANCY L TR"</f>
        <v>SCHLARP CHARLES J TR/SCHLARP NANCY L TR</v>
      </c>
      <c r="T22303" t="s">
        <v>67605</v>
      </c>
    </row>
    <row r="22304" spans="1:20" x14ac:dyDescent="0.25">
      <c r="A22304" t="str">
        <f>"3053765"</f>
        <v>3053765</v>
      </c>
      <c r="B22304" t="s">
        <v>67607</v>
      </c>
      <c r="C22304" t="str">
        <f>"8322095"</f>
        <v>8322095</v>
      </c>
      <c r="D22304" t="s">
        <v>67608</v>
      </c>
      <c r="F22304" t="s">
        <v>67609</v>
      </c>
      <c r="I22304" t="s">
        <v>29</v>
      </c>
      <c r="J22304" t="s">
        <v>30</v>
      </c>
      <c r="K22304" t="s">
        <v>18425</v>
      </c>
      <c r="M22304" t="s">
        <v>50500</v>
      </c>
      <c r="N22304" t="str">
        <f>"4/1/2024 10:12:00 AM"</f>
        <v>4/1/2024 10:12:00 AM</v>
      </c>
      <c r="O22304" t="s">
        <v>67608</v>
      </c>
    </row>
    <row r="22305" spans="1:20" x14ac:dyDescent="0.25">
      <c r="A22305" t="str">
        <f>"3052184"</f>
        <v>3052184</v>
      </c>
      <c r="B22305" t="s">
        <v>67610</v>
      </c>
      <c r="C22305" t="str">
        <f>"8308772"</f>
        <v>8308772</v>
      </c>
      <c r="D22305" t="s">
        <v>67611</v>
      </c>
      <c r="E22305" t="s">
        <v>67612</v>
      </c>
      <c r="F22305" t="s">
        <v>67613</v>
      </c>
      <c r="I22305" t="s">
        <v>29</v>
      </c>
      <c r="J22305" t="s">
        <v>30</v>
      </c>
      <c r="K22305" t="str">
        <f>"27028"</f>
        <v>27028</v>
      </c>
      <c r="M22305" t="s">
        <v>50621</v>
      </c>
      <c r="N22305" t="str">
        <f>"4/1/2024 10:26:00 AM"</f>
        <v>4/1/2024 10:26:00 AM</v>
      </c>
      <c r="O22305" t="s">
        <v>67611</v>
      </c>
      <c r="T22305" t="s">
        <v>67612</v>
      </c>
    </row>
    <row r="22306" spans="1:20" x14ac:dyDescent="0.25">
      <c r="A22306" t="str">
        <f>"3052839"</f>
        <v>3052839</v>
      </c>
      <c r="B22306" t="s">
        <v>67614</v>
      </c>
      <c r="C22306" t="str">
        <f>"8308772"</f>
        <v>8308772</v>
      </c>
      <c r="D22306" t="s">
        <v>67611</v>
      </c>
      <c r="E22306" t="s">
        <v>67612</v>
      </c>
      <c r="F22306" t="s">
        <v>67613</v>
      </c>
      <c r="I22306" t="s">
        <v>29</v>
      </c>
      <c r="J22306" t="s">
        <v>30</v>
      </c>
      <c r="K22306" t="str">
        <f>"27028"</f>
        <v>27028</v>
      </c>
      <c r="M22306" t="s">
        <v>50621</v>
      </c>
      <c r="N22306" t="str">
        <f>"4/1/2024 10:26:00 AM"</f>
        <v>4/1/2024 10:26:00 AM</v>
      </c>
      <c r="O22306" t="s">
        <v>67611</v>
      </c>
      <c r="T22306" t="s">
        <v>67612</v>
      </c>
    </row>
    <row r="22307" spans="1:20" x14ac:dyDescent="0.25">
      <c r="A22307" t="str">
        <f>"3058664"</f>
        <v>3058664</v>
      </c>
      <c r="B22307" t="s">
        <v>67615</v>
      </c>
      <c r="C22307" t="str">
        <f>"8322097"</f>
        <v>8322097</v>
      </c>
      <c r="D22307" t="s">
        <v>67616</v>
      </c>
      <c r="F22307" t="s">
        <v>67617</v>
      </c>
      <c r="I22307" t="s">
        <v>29</v>
      </c>
      <c r="J22307" t="s">
        <v>30</v>
      </c>
      <c r="K22307" t="s">
        <v>59681</v>
      </c>
      <c r="M22307" t="s">
        <v>50500</v>
      </c>
      <c r="N22307" t="str">
        <f>"4/1/2024 10:27:00 AM"</f>
        <v>4/1/2024 10:27:00 AM</v>
      </c>
      <c r="O22307" t="s">
        <v>67616</v>
      </c>
    </row>
    <row r="22308" spans="1:20" x14ac:dyDescent="0.25">
      <c r="A22308" t="str">
        <f>"3047830"</f>
        <v>3047830</v>
      </c>
      <c r="B22308" t="s">
        <v>67618</v>
      </c>
      <c r="C22308" t="str">
        <f>"42829000"</f>
        <v>42829000</v>
      </c>
      <c r="D22308" t="s">
        <v>67619</v>
      </c>
      <c r="F22308" t="s">
        <v>67620</v>
      </c>
      <c r="I22308" t="s">
        <v>184</v>
      </c>
      <c r="J22308" t="s">
        <v>30</v>
      </c>
      <c r="K22308" t="s">
        <v>185</v>
      </c>
      <c r="M22308" t="s">
        <v>50621</v>
      </c>
      <c r="N22308" t="str">
        <f>"4/1/2024 10:30:00 AM"</f>
        <v>4/1/2024 10:30:00 AM</v>
      </c>
      <c r="O22308" t="s">
        <v>67619</v>
      </c>
    </row>
    <row r="22309" spans="1:20" x14ac:dyDescent="0.25">
      <c r="A22309" t="str">
        <f>"3047628"</f>
        <v>3047628</v>
      </c>
      <c r="B22309" t="s">
        <v>67621</v>
      </c>
      <c r="C22309" t="str">
        <f>"42829000"</f>
        <v>42829000</v>
      </c>
      <c r="D22309" t="s">
        <v>67619</v>
      </c>
      <c r="F22309" t="s">
        <v>67620</v>
      </c>
      <c r="I22309" t="s">
        <v>184</v>
      </c>
      <c r="J22309" t="s">
        <v>30</v>
      </c>
      <c r="K22309" t="s">
        <v>185</v>
      </c>
      <c r="M22309" t="s">
        <v>50621</v>
      </c>
      <c r="N22309" t="str">
        <f>"4/1/2024 10:30:00 AM"</f>
        <v>4/1/2024 10:30:00 AM</v>
      </c>
      <c r="O22309" t="s">
        <v>67619</v>
      </c>
    </row>
    <row r="22310" spans="1:20" x14ac:dyDescent="0.25">
      <c r="A22310" t="str">
        <f>"3049780"</f>
        <v>3049780</v>
      </c>
      <c r="B22310" t="s">
        <v>67622</v>
      </c>
      <c r="C22310" t="str">
        <f>"8304282"</f>
        <v>8304282</v>
      </c>
      <c r="D22310" t="s">
        <v>67623</v>
      </c>
      <c r="E22310" t="s">
        <v>67624</v>
      </c>
      <c r="F22310" t="s">
        <v>67625</v>
      </c>
      <c r="I22310" t="s">
        <v>29</v>
      </c>
      <c r="J22310" t="s">
        <v>30</v>
      </c>
      <c r="K22310" t="str">
        <f>"27028"</f>
        <v>27028</v>
      </c>
      <c r="M22310" t="s">
        <v>50621</v>
      </c>
      <c r="N22310" t="str">
        <f>"4/1/2024 10:33:00 AM"</f>
        <v>4/1/2024 10:33:00 AM</v>
      </c>
      <c r="O22310" t="s">
        <v>67623</v>
      </c>
      <c r="T22310" t="s">
        <v>67624</v>
      </c>
    </row>
    <row r="22311" spans="1:20" x14ac:dyDescent="0.25">
      <c r="A22311" t="str">
        <f>"3064981"</f>
        <v>3064981</v>
      </c>
      <c r="B22311" t="s">
        <v>67626</v>
      </c>
      <c r="C22311" t="str">
        <f>"8304282"</f>
        <v>8304282</v>
      </c>
      <c r="D22311" t="s">
        <v>67623</v>
      </c>
      <c r="E22311" t="s">
        <v>67624</v>
      </c>
      <c r="F22311" t="s">
        <v>67625</v>
      </c>
      <c r="I22311" t="s">
        <v>29</v>
      </c>
      <c r="J22311" t="s">
        <v>30</v>
      </c>
      <c r="K22311" t="str">
        <f>"27028"</f>
        <v>27028</v>
      </c>
      <c r="M22311" t="s">
        <v>50621</v>
      </c>
      <c r="N22311" t="str">
        <f>"4/1/2024 10:33:00 AM"</f>
        <v>4/1/2024 10:33:00 AM</v>
      </c>
      <c r="O22311" t="s">
        <v>67623</v>
      </c>
      <c r="T22311" t="s">
        <v>67624</v>
      </c>
    </row>
    <row r="22312" spans="1:20" x14ac:dyDescent="0.25">
      <c r="A22312" t="str">
        <f>"3038973"</f>
        <v>3038973</v>
      </c>
      <c r="B22312" t="s">
        <v>67627</v>
      </c>
      <c r="C22312" t="str">
        <f>"8322098"</f>
        <v>8322098</v>
      </c>
      <c r="D22312" t="s">
        <v>67628</v>
      </c>
      <c r="E22312" t="s">
        <v>67629</v>
      </c>
      <c r="F22312" t="s">
        <v>67630</v>
      </c>
      <c r="I22312" t="s">
        <v>402</v>
      </c>
      <c r="J22312" t="s">
        <v>30</v>
      </c>
      <c r="K22312" t="s">
        <v>67631</v>
      </c>
      <c r="M22312" t="s">
        <v>50500</v>
      </c>
      <c r="N22312" t="str">
        <f>"4/1/2024 10:35:00 AM"</f>
        <v>4/1/2024 10:35:00 AM</v>
      </c>
      <c r="O22312" t="s">
        <v>67628</v>
      </c>
      <c r="T22312" t="s">
        <v>67629</v>
      </c>
    </row>
    <row r="22313" spans="1:20" x14ac:dyDescent="0.25">
      <c r="A22313" t="str">
        <f>"3058733"</f>
        <v>3058733</v>
      </c>
      <c r="B22313" t="s">
        <v>67632</v>
      </c>
      <c r="C22313" t="str">
        <f>"8322080"</f>
        <v>8322080</v>
      </c>
      <c r="D22313" t="s">
        <v>67633</v>
      </c>
      <c r="E22313" t="s">
        <v>67634</v>
      </c>
      <c r="F22313" t="s">
        <v>67635</v>
      </c>
      <c r="I22313" t="s">
        <v>29</v>
      </c>
      <c r="J22313" t="s">
        <v>30</v>
      </c>
      <c r="K22313" t="s">
        <v>37218</v>
      </c>
      <c r="M22313" t="s">
        <v>50500</v>
      </c>
      <c r="N22313" t="str">
        <f>"3/26/2024 10:18:00 AM"</f>
        <v>3/26/2024 10:18:00 AM</v>
      </c>
      <c r="O22313" t="s">
        <v>67633</v>
      </c>
      <c r="T22313" t="s">
        <v>67634</v>
      </c>
    </row>
    <row r="22314" spans="1:20" x14ac:dyDescent="0.25">
      <c r="A22314" t="str">
        <f>"3039006"</f>
        <v>3039006</v>
      </c>
      <c r="B22314" t="s">
        <v>67636</v>
      </c>
      <c r="C22314" t="str">
        <f>"8301332"</f>
        <v>8301332</v>
      </c>
      <c r="D22314" t="s">
        <v>67637</v>
      </c>
      <c r="E22314" t="s">
        <v>67638</v>
      </c>
      <c r="F22314" t="s">
        <v>67639</v>
      </c>
      <c r="I22314" t="s">
        <v>29</v>
      </c>
      <c r="J22314" t="s">
        <v>30</v>
      </c>
      <c r="K22314" t="str">
        <f>"27028"</f>
        <v>27028</v>
      </c>
      <c r="M22314" t="s">
        <v>50793</v>
      </c>
      <c r="N22314" t="str">
        <f>"3/26/2024 11:01:00 AM"</f>
        <v>3/26/2024 11:01:00 AM</v>
      </c>
      <c r="O22314" t="s">
        <v>67637</v>
      </c>
      <c r="T22314" t="s">
        <v>67638</v>
      </c>
    </row>
    <row r="22315" spans="1:20" x14ac:dyDescent="0.25">
      <c r="A22315" t="str">
        <f>"3040262"</f>
        <v>3040262</v>
      </c>
      <c r="B22315" t="s">
        <v>67640</v>
      </c>
      <c r="C22315" t="str">
        <f>"40008000"</f>
        <v>40008000</v>
      </c>
      <c r="D22315" t="s">
        <v>67641</v>
      </c>
      <c r="E22315" t="s">
        <v>67642</v>
      </c>
      <c r="F22315" t="s">
        <v>67643</v>
      </c>
      <c r="I22315" t="s">
        <v>184</v>
      </c>
      <c r="J22315" t="s">
        <v>30</v>
      </c>
      <c r="K22315" t="s">
        <v>185</v>
      </c>
      <c r="M22315" t="s">
        <v>50621</v>
      </c>
      <c r="N22315" t="str">
        <f>"3/26/2024 11:37:00 AM"</f>
        <v>3/26/2024 11:37:00 AM</v>
      </c>
      <c r="O22315" t="s">
        <v>67641</v>
      </c>
      <c r="T22315" t="s">
        <v>67642</v>
      </c>
    </row>
    <row r="22316" spans="1:20" x14ac:dyDescent="0.25">
      <c r="A22316" t="str">
        <f>"3068812"</f>
        <v>3068812</v>
      </c>
      <c r="B22316" t="s">
        <v>67644</v>
      </c>
      <c r="C22316" t="str">
        <f>"8322102"</f>
        <v>8322102</v>
      </c>
      <c r="D22316" t="s">
        <v>67645</v>
      </c>
      <c r="F22316" t="s">
        <v>67646</v>
      </c>
      <c r="I22316" t="s">
        <v>29</v>
      </c>
      <c r="J22316" t="s">
        <v>30</v>
      </c>
      <c r="K22316" t="s">
        <v>16228</v>
      </c>
      <c r="M22316" t="s">
        <v>50500</v>
      </c>
      <c r="N22316" t="str">
        <f>"4/1/2024 11:11:00 AM"</f>
        <v>4/1/2024 11:11:00 AM</v>
      </c>
      <c r="O22316" t="s">
        <v>67645</v>
      </c>
    </row>
    <row r="22317" spans="1:20" x14ac:dyDescent="0.25">
      <c r="A22317" t="str">
        <f>"3058759"</f>
        <v>3058759</v>
      </c>
      <c r="B22317" t="s">
        <v>67647</v>
      </c>
      <c r="C22317" t="str">
        <f>"8322103"</f>
        <v>8322103</v>
      </c>
      <c r="D22317" t="s">
        <v>67648</v>
      </c>
      <c r="E22317" t="s">
        <v>67649</v>
      </c>
      <c r="F22317" t="s">
        <v>67650</v>
      </c>
      <c r="I22317" t="s">
        <v>29</v>
      </c>
      <c r="J22317" t="s">
        <v>30</v>
      </c>
      <c r="K22317" t="s">
        <v>37218</v>
      </c>
      <c r="M22317" t="s">
        <v>50500</v>
      </c>
      <c r="N22317" t="str">
        <f>"4/1/2024 11:18:00 AM"</f>
        <v>4/1/2024 11:18:00 AM</v>
      </c>
      <c r="O22317" t="s">
        <v>67648</v>
      </c>
      <c r="T22317" t="s">
        <v>67649</v>
      </c>
    </row>
    <row r="22318" spans="1:20" x14ac:dyDescent="0.25">
      <c r="A22318" t="str">
        <f>"3062208"</f>
        <v>3062208</v>
      </c>
      <c r="B22318" t="s">
        <v>67651</v>
      </c>
      <c r="C22318" t="str">
        <f>"8322105"</f>
        <v>8322105</v>
      </c>
      <c r="D22318" t="s">
        <v>67652</v>
      </c>
      <c r="E22318" t="s">
        <v>67653</v>
      </c>
      <c r="F22318" t="s">
        <v>67654</v>
      </c>
      <c r="I22318" t="s">
        <v>29</v>
      </c>
      <c r="J22318" t="s">
        <v>30</v>
      </c>
      <c r="K22318" t="s">
        <v>15656</v>
      </c>
      <c r="M22318" t="s">
        <v>50500</v>
      </c>
      <c r="N22318" t="str">
        <f>"4/1/2024 12:07:00 PM"</f>
        <v>4/1/2024 12:07:00 PM</v>
      </c>
      <c r="O22318" t="s">
        <v>67652</v>
      </c>
      <c r="T22318" t="s">
        <v>67653</v>
      </c>
    </row>
    <row r="22319" spans="1:20" x14ac:dyDescent="0.25">
      <c r="A22319" t="str">
        <f>"3047412"</f>
        <v>3047412</v>
      </c>
      <c r="B22319" t="s">
        <v>67655</v>
      </c>
      <c r="C22319" t="str">
        <f>"82525556"</f>
        <v>82525556</v>
      </c>
      <c r="D22319" t="s">
        <v>67656</v>
      </c>
      <c r="F22319" t="s">
        <v>67657</v>
      </c>
      <c r="I22319" t="s">
        <v>184</v>
      </c>
      <c r="J22319" t="s">
        <v>30</v>
      </c>
      <c r="K22319" t="str">
        <f>"27006"</f>
        <v>27006</v>
      </c>
      <c r="M22319" t="s">
        <v>50621</v>
      </c>
      <c r="N22319" t="str">
        <f>"4/1/2024 12:23:00 PM"</f>
        <v>4/1/2024 12:23:00 PM</v>
      </c>
      <c r="O22319" t="s">
        <v>67656</v>
      </c>
    </row>
    <row r="22320" spans="1:20" x14ac:dyDescent="0.25">
      <c r="A22320" t="str">
        <f>"3041754"</f>
        <v>3041754</v>
      </c>
      <c r="B22320" t="s">
        <v>67658</v>
      </c>
      <c r="C22320" t="str">
        <f>"8322082"</f>
        <v>8322082</v>
      </c>
      <c r="D22320" t="s">
        <v>67659</v>
      </c>
      <c r="F22320" t="s">
        <v>67660</v>
      </c>
      <c r="I22320" t="s">
        <v>2071</v>
      </c>
      <c r="J22320" t="s">
        <v>30</v>
      </c>
      <c r="K22320" t="s">
        <v>3837</v>
      </c>
      <c r="M22320" t="s">
        <v>50500</v>
      </c>
      <c r="N22320" t="str">
        <f>"3/26/2024 1:14:00 PM"</f>
        <v>3/26/2024 1:14:00 PM</v>
      </c>
      <c r="O22320" t="s">
        <v>67659</v>
      </c>
    </row>
    <row r="22321" spans="1:20" x14ac:dyDescent="0.25">
      <c r="A22321" t="str">
        <f>"3055953"</f>
        <v>3055953</v>
      </c>
      <c r="B22321" t="s">
        <v>67661</v>
      </c>
      <c r="C22321" t="str">
        <f>"8310611"</f>
        <v>8310611</v>
      </c>
      <c r="D22321" t="s">
        <v>67662</v>
      </c>
      <c r="F22321" t="s">
        <v>67663</v>
      </c>
      <c r="I22321" t="s">
        <v>5235</v>
      </c>
      <c r="J22321" t="s">
        <v>30</v>
      </c>
      <c r="K22321" t="s">
        <v>67664</v>
      </c>
      <c r="M22321" t="s">
        <v>50793</v>
      </c>
      <c r="N22321" t="str">
        <f>"3/27/2024 9:04:00 AM"</f>
        <v>3/27/2024 9:04:00 AM</v>
      </c>
      <c r="O22321" t="s">
        <v>67662</v>
      </c>
    </row>
    <row r="22322" spans="1:20" x14ac:dyDescent="0.25">
      <c r="A22322" t="str">
        <f>"3075088"</f>
        <v>3075088</v>
      </c>
      <c r="B22322" t="s">
        <v>67665</v>
      </c>
      <c r="C22322" t="str">
        <f>"8320573"</f>
        <v>8320573</v>
      </c>
      <c r="D22322" t="s">
        <v>67666</v>
      </c>
      <c r="F22322" t="s">
        <v>67667</v>
      </c>
      <c r="I22322" t="s">
        <v>29</v>
      </c>
      <c r="J22322" t="s">
        <v>30</v>
      </c>
      <c r="K22322" t="s">
        <v>24245</v>
      </c>
      <c r="M22322" t="s">
        <v>50793</v>
      </c>
      <c r="N22322" t="str">
        <f>"3/27/2024 9:10:00 AM"</f>
        <v>3/27/2024 9:10:00 AM</v>
      </c>
      <c r="O22322" t="s">
        <v>67666</v>
      </c>
    </row>
    <row r="22323" spans="1:20" x14ac:dyDescent="0.25">
      <c r="A22323" t="str">
        <f>"3055912"</f>
        <v>3055912</v>
      </c>
      <c r="B22323" t="s">
        <v>67668</v>
      </c>
      <c r="C22323" t="str">
        <f>"31561000"</f>
        <v>31561000</v>
      </c>
      <c r="D22323" t="s">
        <v>67669</v>
      </c>
      <c r="F22323" t="s">
        <v>54664</v>
      </c>
      <c r="I22323" t="s">
        <v>9580</v>
      </c>
      <c r="J22323" t="s">
        <v>30</v>
      </c>
      <c r="K22323" t="s">
        <v>9581</v>
      </c>
      <c r="M22323" t="s">
        <v>50793</v>
      </c>
      <c r="N22323" t="str">
        <f>"3/27/2024 11:31:00 AM"</f>
        <v>3/27/2024 11:31:00 AM</v>
      </c>
      <c r="O22323" t="s">
        <v>67669</v>
      </c>
    </row>
    <row r="22324" spans="1:20" x14ac:dyDescent="0.25">
      <c r="A22324" t="str">
        <f>"3049421"</f>
        <v>3049421</v>
      </c>
      <c r="B22324" t="s">
        <v>67670</v>
      </c>
      <c r="C22324" t="str">
        <f>"8322109"</f>
        <v>8322109</v>
      </c>
      <c r="D22324" t="s">
        <v>67671</v>
      </c>
      <c r="F22324" t="s">
        <v>67672</v>
      </c>
      <c r="I22324" t="s">
        <v>67673</v>
      </c>
      <c r="J22324" t="s">
        <v>40889</v>
      </c>
      <c r="K22324" t="s">
        <v>67674</v>
      </c>
      <c r="M22324" t="s">
        <v>50500</v>
      </c>
      <c r="N22324" t="str">
        <f>"4/1/2024 4:03:00 PM"</f>
        <v>4/1/2024 4:03:00 PM</v>
      </c>
      <c r="O22324" t="s">
        <v>67671</v>
      </c>
    </row>
    <row r="22325" spans="1:20" x14ac:dyDescent="0.25">
      <c r="A22325" t="str">
        <f>"3037601"</f>
        <v>3037601</v>
      </c>
      <c r="B22325" t="s">
        <v>67675</v>
      </c>
      <c r="C22325" t="str">
        <f>"29048500"</f>
        <v>29048500</v>
      </c>
      <c r="D22325" t="s">
        <v>67676</v>
      </c>
      <c r="E22325" t="s">
        <v>67677</v>
      </c>
      <c r="F22325" t="str">
        <f>"C/O WILLIAM &amp; KATHERINE GENTRY"</f>
        <v>C/O WILLIAM &amp; KATHERINE GENTRY</v>
      </c>
      <c r="G22325" t="s">
        <v>67678</v>
      </c>
      <c r="I22325" t="s">
        <v>29</v>
      </c>
      <c r="J22325" t="s">
        <v>30</v>
      </c>
      <c r="K22325" t="s">
        <v>44450</v>
      </c>
      <c r="M22325" t="s">
        <v>51351</v>
      </c>
      <c r="N22325" t="str">
        <f>"4/2/2024 8:45:00 AM"</f>
        <v>4/2/2024 8:45:00 AM</v>
      </c>
      <c r="O22325" t="s">
        <v>67676</v>
      </c>
      <c r="T22325" t="s">
        <v>67677</v>
      </c>
    </row>
    <row r="22326" spans="1:20" x14ac:dyDescent="0.25">
      <c r="A22326" t="str">
        <f>"3054532"</f>
        <v>3054532</v>
      </c>
      <c r="B22326" t="s">
        <v>67679</v>
      </c>
      <c r="C22326" t="str">
        <f>"43794000"</f>
        <v>43794000</v>
      </c>
      <c r="D22326" t="s">
        <v>67680</v>
      </c>
      <c r="F22326" t="str">
        <f>"C/O SUSAN LAGLE EASTER"</f>
        <v>C/O SUSAN LAGLE EASTER</v>
      </c>
      <c r="G22326" t="s">
        <v>67681</v>
      </c>
      <c r="I22326" t="s">
        <v>29</v>
      </c>
      <c r="J22326" t="s">
        <v>30</v>
      </c>
      <c r="K22326" t="s">
        <v>31</v>
      </c>
      <c r="M22326" t="s">
        <v>50621</v>
      </c>
      <c r="N22326" t="str">
        <f>"4/2/2024 9:59:00 AM"</f>
        <v>4/2/2024 9:59:00 AM</v>
      </c>
      <c r="O22326" t="s">
        <v>67680</v>
      </c>
      <c r="T22326" t="s">
        <v>67680</v>
      </c>
    </row>
    <row r="22327" spans="1:20" x14ac:dyDescent="0.25">
      <c r="A22327" t="str">
        <f>"3037897"</f>
        <v>3037897</v>
      </c>
      <c r="B22327" t="s">
        <v>67682</v>
      </c>
      <c r="C22327" t="str">
        <f>"8322087"</f>
        <v>8322087</v>
      </c>
      <c r="D22327" t="str">
        <f>"VERNON DONALD GRAY TR/VERNON SUSAN KAY TR"</f>
        <v>VERNON DONALD GRAY TR/VERNON SUSAN KAY TR</v>
      </c>
      <c r="E22327" t="str">
        <f>"DONALD/SUSAN VERNON REV LIV TR"</f>
        <v>DONALD/SUSAN VERNON REV LIV TR</v>
      </c>
      <c r="F22327" t="s">
        <v>67534</v>
      </c>
      <c r="I22327" t="s">
        <v>29</v>
      </c>
      <c r="J22327" t="s">
        <v>30</v>
      </c>
      <c r="K22327" t="s">
        <v>2803</v>
      </c>
      <c r="M22327" t="s">
        <v>50500</v>
      </c>
      <c r="N22327" t="str">
        <f>"3/27/2024 2:36:00 PM"</f>
        <v>3/27/2024 2:36:00 PM</v>
      </c>
      <c r="O22327" t="str">
        <f>"VERNON DONALD GRAY TR/VERNON SUSAN KAY TR"</f>
        <v>VERNON DONALD GRAY TR/VERNON SUSAN KAY TR</v>
      </c>
      <c r="T22327" t="str">
        <f>"DONALD/SUSAN VERNON REV LIV TR"</f>
        <v>DONALD/SUSAN VERNON REV LIV TR</v>
      </c>
    </row>
    <row r="22328" spans="1:20" x14ac:dyDescent="0.25">
      <c r="A22328" t="str">
        <f>"3037982"</f>
        <v>3037982</v>
      </c>
      <c r="B22328" t="s">
        <v>67683</v>
      </c>
      <c r="C22328" t="str">
        <f>"8322087"</f>
        <v>8322087</v>
      </c>
      <c r="D22328" t="str">
        <f>"VERNON DONALD GRAY TR/VERNON SUSAN KAY TR"</f>
        <v>VERNON DONALD GRAY TR/VERNON SUSAN KAY TR</v>
      </c>
      <c r="E22328" t="str">
        <f>"DONALD/SUSAN VERNON REV LIV TR"</f>
        <v>DONALD/SUSAN VERNON REV LIV TR</v>
      </c>
      <c r="F22328" t="s">
        <v>67534</v>
      </c>
      <c r="I22328" t="s">
        <v>29</v>
      </c>
      <c r="J22328" t="s">
        <v>30</v>
      </c>
      <c r="K22328" t="s">
        <v>2803</v>
      </c>
      <c r="M22328" t="s">
        <v>50500</v>
      </c>
      <c r="N22328" t="str">
        <f>"3/27/2024 2:36:00 PM"</f>
        <v>3/27/2024 2:36:00 PM</v>
      </c>
      <c r="O22328" t="str">
        <f>"VERNON DONALD GRAY TR/VERNON SUSAN KAY TR"</f>
        <v>VERNON DONALD GRAY TR/VERNON SUSAN KAY TR</v>
      </c>
      <c r="T22328" t="str">
        <f>"DONALD/SUSAN VERNON REV LIV TR"</f>
        <v>DONALD/SUSAN VERNON REV LIV TR</v>
      </c>
    </row>
    <row r="22329" spans="1:20" x14ac:dyDescent="0.25">
      <c r="A22329" t="str">
        <f>"3039890"</f>
        <v>3039890</v>
      </c>
      <c r="B22329" t="s">
        <v>67684</v>
      </c>
      <c r="C22329" t="str">
        <f>"8310239"</f>
        <v>8310239</v>
      </c>
      <c r="D22329" t="s">
        <v>67685</v>
      </c>
      <c r="F22329" t="s">
        <v>67686</v>
      </c>
      <c r="I22329" t="s">
        <v>184</v>
      </c>
      <c r="J22329" t="s">
        <v>30</v>
      </c>
      <c r="K22329" t="s">
        <v>50792</v>
      </c>
      <c r="M22329" t="s">
        <v>50793</v>
      </c>
      <c r="N22329" t="str">
        <f>"3/28/2024 9:40:00 AM"</f>
        <v>3/28/2024 9:40:00 AM</v>
      </c>
      <c r="O22329" t="s">
        <v>67685</v>
      </c>
    </row>
    <row r="22330" spans="1:20" x14ac:dyDescent="0.25">
      <c r="A22330" t="str">
        <f>"3060224"</f>
        <v>3060224</v>
      </c>
      <c r="B22330" t="s">
        <v>67687</v>
      </c>
      <c r="C22330" t="str">
        <f>"8312574"</f>
        <v>8312574</v>
      </c>
      <c r="D22330" t="s">
        <v>67688</v>
      </c>
      <c r="E22330" t="s">
        <v>67689</v>
      </c>
      <c r="F22330" t="s">
        <v>67690</v>
      </c>
      <c r="I22330" t="s">
        <v>184</v>
      </c>
      <c r="J22330" t="s">
        <v>30</v>
      </c>
      <c r="K22330" t="s">
        <v>33177</v>
      </c>
      <c r="M22330" t="s">
        <v>50621</v>
      </c>
      <c r="N22330" t="str">
        <f>"4/2/2024 10:54:00 AM"</f>
        <v>4/2/2024 10:54:00 AM</v>
      </c>
      <c r="O22330" t="s">
        <v>67688</v>
      </c>
      <c r="T22330" t="s">
        <v>67689</v>
      </c>
    </row>
    <row r="22331" spans="1:20" x14ac:dyDescent="0.25">
      <c r="A22331" t="str">
        <f>"3052547"</f>
        <v>3052547</v>
      </c>
      <c r="B22331" t="s">
        <v>67691</v>
      </c>
      <c r="C22331" t="str">
        <f>"8304405"</f>
        <v>8304405</v>
      </c>
      <c r="D22331" t="s">
        <v>67692</v>
      </c>
      <c r="F22331" t="s">
        <v>67693</v>
      </c>
      <c r="I22331" t="s">
        <v>29</v>
      </c>
      <c r="J22331" t="s">
        <v>30</v>
      </c>
      <c r="K22331" t="str">
        <f>"27028"</f>
        <v>27028</v>
      </c>
      <c r="M22331" t="s">
        <v>50621</v>
      </c>
      <c r="N22331" t="str">
        <f>"4/2/2024 11:06:00 AM"</f>
        <v>4/2/2024 11:06:00 AM</v>
      </c>
      <c r="O22331" t="s">
        <v>67692</v>
      </c>
    </row>
    <row r="22332" spans="1:20" x14ac:dyDescent="0.25">
      <c r="A22332" t="str">
        <f>"3048434"</f>
        <v>3048434</v>
      </c>
      <c r="B22332" t="s">
        <v>67694</v>
      </c>
      <c r="C22332" t="str">
        <f>"8317472"</f>
        <v>8317472</v>
      </c>
      <c r="D22332" t="s">
        <v>67695</v>
      </c>
      <c r="E22332" t="s">
        <v>28826</v>
      </c>
      <c r="F22332" t="s">
        <v>67696</v>
      </c>
      <c r="I22332" t="s">
        <v>29</v>
      </c>
      <c r="J22332" t="s">
        <v>30</v>
      </c>
      <c r="K22332" t="s">
        <v>60754</v>
      </c>
      <c r="M22332" t="s">
        <v>50621</v>
      </c>
      <c r="N22332" t="str">
        <f>"3/28/2024 9:58:00 AM"</f>
        <v>3/28/2024 9:58:00 AM</v>
      </c>
      <c r="O22332" t="s">
        <v>67695</v>
      </c>
      <c r="T22332" t="s">
        <v>28826</v>
      </c>
    </row>
    <row r="22333" spans="1:20" x14ac:dyDescent="0.25">
      <c r="A22333" t="str">
        <f>"3048137"</f>
        <v>3048137</v>
      </c>
      <c r="B22333" t="s">
        <v>67697</v>
      </c>
      <c r="C22333" t="str">
        <f>"46176000"</f>
        <v>46176000</v>
      </c>
      <c r="D22333" t="s">
        <v>67698</v>
      </c>
      <c r="E22333" t="s">
        <v>67699</v>
      </c>
      <c r="F22333" t="s">
        <v>67700</v>
      </c>
      <c r="I22333" t="s">
        <v>184</v>
      </c>
      <c r="J22333" t="s">
        <v>30</v>
      </c>
      <c r="K22333" t="s">
        <v>185</v>
      </c>
      <c r="M22333" t="s">
        <v>50621</v>
      </c>
      <c r="N22333" t="str">
        <f>"4/2/2024 11:49:00 AM"</f>
        <v>4/2/2024 11:49:00 AM</v>
      </c>
      <c r="O22333" t="s">
        <v>67698</v>
      </c>
      <c r="T22333" t="s">
        <v>67699</v>
      </c>
    </row>
    <row r="22334" spans="1:20" x14ac:dyDescent="0.25">
      <c r="A22334" t="str">
        <f>"3056734"</f>
        <v>3056734</v>
      </c>
      <c r="B22334" t="s">
        <v>67701</v>
      </c>
      <c r="C22334" t="str">
        <f>"82530210"</f>
        <v>82530210</v>
      </c>
      <c r="D22334" t="s">
        <v>67702</v>
      </c>
      <c r="E22334" t="s">
        <v>67703</v>
      </c>
      <c r="F22334" t="s">
        <v>67704</v>
      </c>
      <c r="I22334" t="s">
        <v>29</v>
      </c>
      <c r="J22334" t="s">
        <v>30</v>
      </c>
      <c r="K22334" t="s">
        <v>65855</v>
      </c>
      <c r="M22334" t="s">
        <v>50793</v>
      </c>
      <c r="N22334" t="str">
        <f>"3/28/2024 10:24:00 AM"</f>
        <v>3/28/2024 10:24:00 AM</v>
      </c>
      <c r="O22334" t="s">
        <v>67702</v>
      </c>
      <c r="T22334" t="s">
        <v>67703</v>
      </c>
    </row>
    <row r="22335" spans="1:20" x14ac:dyDescent="0.25">
      <c r="A22335" t="str">
        <f>"3064468"</f>
        <v>3064468</v>
      </c>
      <c r="B22335" t="s">
        <v>67705</v>
      </c>
      <c r="C22335" t="str">
        <f>"11274000"</f>
        <v>11274000</v>
      </c>
      <c r="D22335" t="s">
        <v>67706</v>
      </c>
      <c r="F22335" t="s">
        <v>67707</v>
      </c>
      <c r="I22335" t="s">
        <v>184</v>
      </c>
      <c r="J22335" t="s">
        <v>30</v>
      </c>
      <c r="K22335" t="s">
        <v>36030</v>
      </c>
      <c r="M22335" t="s">
        <v>50793</v>
      </c>
      <c r="N22335" t="str">
        <f>"4/2/2024 1:18:00 PM"</f>
        <v>4/2/2024 1:18:00 PM</v>
      </c>
      <c r="O22335" t="s">
        <v>67706</v>
      </c>
    </row>
    <row r="22336" spans="1:20" x14ac:dyDescent="0.25">
      <c r="A22336" t="str">
        <f>"3063518"</f>
        <v>3063518</v>
      </c>
      <c r="B22336" t="s">
        <v>67708</v>
      </c>
      <c r="C22336" t="str">
        <f>"11274000"</f>
        <v>11274000</v>
      </c>
      <c r="D22336" t="s">
        <v>67706</v>
      </c>
      <c r="F22336" t="s">
        <v>67707</v>
      </c>
      <c r="I22336" t="s">
        <v>184</v>
      </c>
      <c r="J22336" t="s">
        <v>30</v>
      </c>
      <c r="K22336" t="s">
        <v>36030</v>
      </c>
      <c r="M22336" t="s">
        <v>50793</v>
      </c>
      <c r="N22336" t="str">
        <f>"4/2/2024 1:18:00 PM"</f>
        <v>4/2/2024 1:18:00 PM</v>
      </c>
      <c r="O22336" t="s">
        <v>67706</v>
      </c>
    </row>
    <row r="22337" spans="1:20" x14ac:dyDescent="0.25">
      <c r="A22337" t="str">
        <f>"3047007"</f>
        <v>3047007</v>
      </c>
      <c r="B22337" t="s">
        <v>67709</v>
      </c>
      <c r="C22337" t="str">
        <f>"8303106"</f>
        <v>8303106</v>
      </c>
      <c r="D22337" t="s">
        <v>67710</v>
      </c>
      <c r="E22337" t="s">
        <v>67711</v>
      </c>
      <c r="F22337" t="s">
        <v>67712</v>
      </c>
      <c r="I22337" t="s">
        <v>29</v>
      </c>
      <c r="J22337" t="s">
        <v>30</v>
      </c>
      <c r="K22337" t="str">
        <f>"27028"</f>
        <v>27028</v>
      </c>
      <c r="M22337" t="s">
        <v>50793</v>
      </c>
      <c r="N22337" t="str">
        <f>"4/2/2024 1:35:00 PM"</f>
        <v>4/2/2024 1:35:00 PM</v>
      </c>
      <c r="O22337" t="s">
        <v>67710</v>
      </c>
      <c r="T22337" t="s">
        <v>67711</v>
      </c>
    </row>
    <row r="22338" spans="1:20" x14ac:dyDescent="0.25">
      <c r="A22338" t="str">
        <f>"3057410"</f>
        <v>3057410</v>
      </c>
      <c r="B22338" t="s">
        <v>67713</v>
      </c>
      <c r="C22338" t="str">
        <f>"46444430"</f>
        <v>46444430</v>
      </c>
      <c r="D22338" t="s">
        <v>67714</v>
      </c>
      <c r="F22338" t="s">
        <v>67715</v>
      </c>
      <c r="I22338" t="s">
        <v>29</v>
      </c>
      <c r="J22338" t="s">
        <v>30</v>
      </c>
      <c r="K22338" t="s">
        <v>31</v>
      </c>
      <c r="M22338" t="s">
        <v>50621</v>
      </c>
      <c r="N22338" t="str">
        <f>"4/2/2024 2:15:00 PM"</f>
        <v>4/2/2024 2:15:00 PM</v>
      </c>
      <c r="O22338" t="s">
        <v>67714</v>
      </c>
    </row>
    <row r="22339" spans="1:20" x14ac:dyDescent="0.25">
      <c r="A22339" t="str">
        <f>"3058911"</f>
        <v>3058911</v>
      </c>
      <c r="B22339" t="s">
        <v>67716</v>
      </c>
      <c r="C22339" t="str">
        <f>"46444430"</f>
        <v>46444430</v>
      </c>
      <c r="D22339" t="s">
        <v>67714</v>
      </c>
      <c r="F22339" t="s">
        <v>67715</v>
      </c>
      <c r="I22339" t="s">
        <v>29</v>
      </c>
      <c r="J22339" t="s">
        <v>30</v>
      </c>
      <c r="K22339" t="s">
        <v>31</v>
      </c>
      <c r="M22339" t="s">
        <v>50621</v>
      </c>
      <c r="N22339" t="str">
        <f>"4/2/2024 2:15:00 PM"</f>
        <v>4/2/2024 2:15:00 PM</v>
      </c>
      <c r="O22339" t="s">
        <v>67714</v>
      </c>
    </row>
    <row r="22340" spans="1:20" x14ac:dyDescent="0.25">
      <c r="A22340" t="str">
        <f>"3045409"</f>
        <v>3045409</v>
      </c>
      <c r="B22340" t="s">
        <v>67717</v>
      </c>
      <c r="C22340" t="str">
        <f>"8311295"</f>
        <v>8311295</v>
      </c>
      <c r="D22340" t="s">
        <v>67718</v>
      </c>
      <c r="E22340" t="s">
        <v>67719</v>
      </c>
      <c r="F22340" t="s">
        <v>67720</v>
      </c>
      <c r="I22340" t="s">
        <v>29</v>
      </c>
      <c r="J22340" t="s">
        <v>30</v>
      </c>
      <c r="K22340" t="s">
        <v>42528</v>
      </c>
      <c r="M22340" t="s">
        <v>50621</v>
      </c>
      <c r="N22340" t="str">
        <f>"4/2/2024 2:22:00 PM"</f>
        <v>4/2/2024 2:22:00 PM</v>
      </c>
      <c r="O22340" t="s">
        <v>67718</v>
      </c>
      <c r="T22340" t="s">
        <v>67719</v>
      </c>
    </row>
    <row r="22341" spans="1:20" x14ac:dyDescent="0.25">
      <c r="A22341" t="str">
        <f>"3045117"</f>
        <v>3045117</v>
      </c>
      <c r="B22341" t="s">
        <v>67721</v>
      </c>
      <c r="C22341" t="str">
        <f>"8311295"</f>
        <v>8311295</v>
      </c>
      <c r="D22341" t="s">
        <v>67718</v>
      </c>
      <c r="E22341" t="s">
        <v>67719</v>
      </c>
      <c r="F22341" t="s">
        <v>67720</v>
      </c>
      <c r="I22341" t="s">
        <v>29</v>
      </c>
      <c r="J22341" t="s">
        <v>30</v>
      </c>
      <c r="K22341" t="s">
        <v>42528</v>
      </c>
      <c r="M22341" t="s">
        <v>50621</v>
      </c>
      <c r="N22341" t="str">
        <f>"4/2/2024 2:22:00 PM"</f>
        <v>4/2/2024 2:22:00 PM</v>
      </c>
      <c r="O22341" t="s">
        <v>67718</v>
      </c>
      <c r="T22341" t="s">
        <v>67719</v>
      </c>
    </row>
    <row r="22342" spans="1:20" x14ac:dyDescent="0.25">
      <c r="A22342" t="str">
        <f>"3041918"</f>
        <v>3041918</v>
      </c>
      <c r="B22342" t="s">
        <v>67722</v>
      </c>
      <c r="C22342" t="str">
        <f>"8322089"</f>
        <v>8322089</v>
      </c>
      <c r="D22342" t="s">
        <v>67723</v>
      </c>
      <c r="F22342" t="s">
        <v>67724</v>
      </c>
      <c r="I22342" t="s">
        <v>184</v>
      </c>
      <c r="J22342" t="s">
        <v>30</v>
      </c>
      <c r="K22342" t="s">
        <v>36215</v>
      </c>
      <c r="M22342" t="s">
        <v>50500</v>
      </c>
      <c r="N22342" t="str">
        <f>"3/28/2024 10:55:00 AM"</f>
        <v>3/28/2024 10:55:00 AM</v>
      </c>
      <c r="O22342" t="s">
        <v>67723</v>
      </c>
    </row>
    <row r="22343" spans="1:20" x14ac:dyDescent="0.25">
      <c r="A22343" t="str">
        <f>"3051450"</f>
        <v>3051450</v>
      </c>
      <c r="B22343" t="s">
        <v>67725</v>
      </c>
      <c r="C22343" t="str">
        <f>"8304382"</f>
        <v>8304382</v>
      </c>
      <c r="D22343" t="s">
        <v>67726</v>
      </c>
      <c r="F22343" t="s">
        <v>67727</v>
      </c>
      <c r="I22343" t="s">
        <v>29</v>
      </c>
      <c r="J22343" t="s">
        <v>30</v>
      </c>
      <c r="K22343" t="str">
        <f>"27028"</f>
        <v>27028</v>
      </c>
      <c r="M22343" t="s">
        <v>51351</v>
      </c>
      <c r="N22343" t="str">
        <f>"4/2/2024 4:24:00 PM"</f>
        <v>4/2/2024 4:24:00 PM</v>
      </c>
      <c r="O22343" t="s">
        <v>67726</v>
      </c>
    </row>
    <row r="22344" spans="1:20" x14ac:dyDescent="0.25">
      <c r="A22344" t="str">
        <f>"3050891"</f>
        <v>3050891</v>
      </c>
      <c r="B22344" t="s">
        <v>67728</v>
      </c>
      <c r="C22344" t="str">
        <f>"47077770"</f>
        <v>47077770</v>
      </c>
      <c r="D22344" t="s">
        <v>67729</v>
      </c>
      <c r="F22344" t="s">
        <v>67730</v>
      </c>
      <c r="I22344" t="s">
        <v>184</v>
      </c>
      <c r="J22344" t="s">
        <v>30</v>
      </c>
      <c r="K22344" t="s">
        <v>185</v>
      </c>
      <c r="M22344" t="s">
        <v>50621</v>
      </c>
      <c r="N22344" t="str">
        <f>"4/3/2024 11:25:00 AM"</f>
        <v>4/3/2024 11:25:00 AM</v>
      </c>
      <c r="O22344" t="s">
        <v>67729</v>
      </c>
    </row>
    <row r="22345" spans="1:20" x14ac:dyDescent="0.25">
      <c r="A22345" t="str">
        <f>"3050615"</f>
        <v>3050615</v>
      </c>
      <c r="B22345" t="s">
        <v>67731</v>
      </c>
      <c r="C22345" t="str">
        <f>"47077770"</f>
        <v>47077770</v>
      </c>
      <c r="D22345" t="s">
        <v>67729</v>
      </c>
      <c r="F22345" t="s">
        <v>67730</v>
      </c>
      <c r="I22345" t="s">
        <v>184</v>
      </c>
      <c r="J22345" t="s">
        <v>30</v>
      </c>
      <c r="K22345" t="s">
        <v>185</v>
      </c>
      <c r="M22345" t="s">
        <v>50621</v>
      </c>
      <c r="N22345" t="str">
        <f>"4/3/2024 11:25:00 AM"</f>
        <v>4/3/2024 11:25:00 AM</v>
      </c>
      <c r="O22345" t="s">
        <v>67729</v>
      </c>
    </row>
    <row r="22346" spans="1:20" x14ac:dyDescent="0.25">
      <c r="A22346" t="str">
        <f>"3078614"</f>
        <v>3078614</v>
      </c>
      <c r="B22346" t="s">
        <v>67732</v>
      </c>
      <c r="C22346" t="str">
        <f>"8305288"</f>
        <v>8305288</v>
      </c>
      <c r="D22346" t="s">
        <v>67733</v>
      </c>
      <c r="E22346" t="s">
        <v>67734</v>
      </c>
      <c r="F22346" t="s">
        <v>67735</v>
      </c>
      <c r="I22346" t="s">
        <v>29</v>
      </c>
      <c r="J22346" t="s">
        <v>30</v>
      </c>
      <c r="K22346" t="str">
        <f>"27028"</f>
        <v>27028</v>
      </c>
      <c r="M22346" t="s">
        <v>50621</v>
      </c>
      <c r="N22346" t="str">
        <f>"3/28/2024 11:04:00 AM"</f>
        <v>3/28/2024 11:04:00 AM</v>
      </c>
      <c r="O22346" t="s">
        <v>67733</v>
      </c>
      <c r="T22346" t="s">
        <v>67734</v>
      </c>
    </row>
    <row r="22347" spans="1:20" x14ac:dyDescent="0.25">
      <c r="A22347" t="str">
        <f>"3078610"</f>
        <v>3078610</v>
      </c>
      <c r="B22347" t="s">
        <v>67736</v>
      </c>
      <c r="C22347" t="str">
        <f>"8305288"</f>
        <v>8305288</v>
      </c>
      <c r="D22347" t="s">
        <v>67733</v>
      </c>
      <c r="E22347" t="s">
        <v>67734</v>
      </c>
      <c r="F22347" t="s">
        <v>67735</v>
      </c>
      <c r="I22347" t="s">
        <v>29</v>
      </c>
      <c r="J22347" t="s">
        <v>30</v>
      </c>
      <c r="K22347" t="str">
        <f>"27028"</f>
        <v>27028</v>
      </c>
      <c r="M22347" t="s">
        <v>50621</v>
      </c>
      <c r="N22347" t="str">
        <f>"3/28/2024 11:04:00 AM"</f>
        <v>3/28/2024 11:04:00 AM</v>
      </c>
      <c r="O22347" t="s">
        <v>67733</v>
      </c>
      <c r="T22347" t="s">
        <v>67734</v>
      </c>
    </row>
    <row r="22348" spans="1:20" x14ac:dyDescent="0.25">
      <c r="A22348" t="str">
        <f>"3037491"</f>
        <v>3037491</v>
      </c>
      <c r="B22348" t="s">
        <v>67737</v>
      </c>
      <c r="C22348" t="str">
        <f>"8316913"</f>
        <v>8316913</v>
      </c>
      <c r="D22348" t="s">
        <v>67738</v>
      </c>
      <c r="E22348" t="s">
        <v>67739</v>
      </c>
      <c r="F22348" t="s">
        <v>67740</v>
      </c>
      <c r="I22348" t="s">
        <v>1149</v>
      </c>
      <c r="J22348" t="s">
        <v>30</v>
      </c>
      <c r="K22348" t="s">
        <v>6577</v>
      </c>
      <c r="M22348" t="s">
        <v>50621</v>
      </c>
      <c r="N22348" t="str">
        <f>"3/28/2024 11:38:00 AM"</f>
        <v>3/28/2024 11:38:00 AM</v>
      </c>
      <c r="O22348" t="s">
        <v>67738</v>
      </c>
      <c r="T22348" t="s">
        <v>67739</v>
      </c>
    </row>
    <row r="22349" spans="1:20" x14ac:dyDescent="0.25">
      <c r="A22349" t="str">
        <f>"3046377"</f>
        <v>3046377</v>
      </c>
      <c r="B22349" t="s">
        <v>67741</v>
      </c>
      <c r="C22349" t="str">
        <f>"8317786"</f>
        <v>8317786</v>
      </c>
      <c r="D22349" t="s">
        <v>67742</v>
      </c>
      <c r="E22349" t="s">
        <v>67743</v>
      </c>
      <c r="F22349" t="s">
        <v>67744</v>
      </c>
      <c r="I22349" t="s">
        <v>29</v>
      </c>
      <c r="J22349" t="s">
        <v>30</v>
      </c>
      <c r="K22349" t="s">
        <v>45272</v>
      </c>
      <c r="M22349" t="s">
        <v>18470</v>
      </c>
      <c r="N22349" t="str">
        <f>"3/28/2024 2:19:00 PM"</f>
        <v>3/28/2024 2:19:00 PM</v>
      </c>
      <c r="O22349" t="s">
        <v>67742</v>
      </c>
      <c r="T22349" t="s">
        <v>67743</v>
      </c>
    </row>
    <row r="22350" spans="1:20" x14ac:dyDescent="0.25">
      <c r="A22350" t="str">
        <f>"3055118"</f>
        <v>3055118</v>
      </c>
      <c r="B22350" t="s">
        <v>67745</v>
      </c>
      <c r="C22350" t="str">
        <f>"47600000"</f>
        <v>47600000</v>
      </c>
      <c r="D22350" t="s">
        <v>67746</v>
      </c>
      <c r="E22350" t="s">
        <v>67747</v>
      </c>
      <c r="F22350" t="s">
        <v>67748</v>
      </c>
      <c r="I22350" t="s">
        <v>29</v>
      </c>
      <c r="J22350" t="s">
        <v>30</v>
      </c>
      <c r="K22350" t="s">
        <v>48891</v>
      </c>
      <c r="M22350" t="s">
        <v>50621</v>
      </c>
      <c r="N22350" t="str">
        <f>"4/3/2024 11:58:00 AM"</f>
        <v>4/3/2024 11:58:00 AM</v>
      </c>
      <c r="O22350" t="s">
        <v>67746</v>
      </c>
      <c r="T22350" t="s">
        <v>67747</v>
      </c>
    </row>
    <row r="22351" spans="1:20" x14ac:dyDescent="0.25">
      <c r="A22351" t="str">
        <f>"3063060"</f>
        <v>3063060</v>
      </c>
      <c r="B22351" t="s">
        <v>67749</v>
      </c>
      <c r="C22351" t="str">
        <f>"8322113"</f>
        <v>8322113</v>
      </c>
      <c r="D22351" t="s">
        <v>67750</v>
      </c>
      <c r="F22351" t="s">
        <v>67751</v>
      </c>
      <c r="I22351" t="s">
        <v>184</v>
      </c>
      <c r="J22351" t="s">
        <v>30</v>
      </c>
      <c r="K22351" t="s">
        <v>67752</v>
      </c>
      <c r="M22351" t="s">
        <v>50500</v>
      </c>
      <c r="N22351" t="str">
        <f>"4/3/2024 4:24:00 PM"</f>
        <v>4/3/2024 4:24:00 PM</v>
      </c>
      <c r="O22351" t="s">
        <v>67750</v>
      </c>
    </row>
    <row r="22352" spans="1:20" x14ac:dyDescent="0.25">
      <c r="A22352" t="str">
        <f>"3042797"</f>
        <v>3042797</v>
      </c>
      <c r="B22352" t="s">
        <v>67753</v>
      </c>
      <c r="C22352" t="str">
        <f>"8304455"</f>
        <v>8304455</v>
      </c>
      <c r="D22352" t="s">
        <v>67754</v>
      </c>
      <c r="F22352" t="s">
        <v>50384</v>
      </c>
      <c r="I22352" t="s">
        <v>29</v>
      </c>
      <c r="J22352" t="s">
        <v>30</v>
      </c>
      <c r="K22352" t="s">
        <v>50385</v>
      </c>
      <c r="M22352" t="s">
        <v>52111</v>
      </c>
      <c r="N22352" t="str">
        <f>"3/28/2024 4:28:00 PM"</f>
        <v>3/28/2024 4:28:00 PM</v>
      </c>
      <c r="O22352" t="s">
        <v>67754</v>
      </c>
    </row>
    <row r="22353" spans="1:20" x14ac:dyDescent="0.25">
      <c r="A22353" t="str">
        <f>"3042841"</f>
        <v>3042841</v>
      </c>
      <c r="B22353" t="s">
        <v>67755</v>
      </c>
      <c r="C22353" t="str">
        <f>"8304324"</f>
        <v>8304324</v>
      </c>
      <c r="D22353" t="s">
        <v>67756</v>
      </c>
      <c r="F22353" t="s">
        <v>67757</v>
      </c>
      <c r="I22353" t="s">
        <v>29</v>
      </c>
      <c r="J22353" t="s">
        <v>30</v>
      </c>
      <c r="K22353" t="str">
        <f>"27028"</f>
        <v>27028</v>
      </c>
      <c r="M22353" t="s">
        <v>50621</v>
      </c>
      <c r="N22353" t="str">
        <f>"4/3/2024 2:04:00 PM"</f>
        <v>4/3/2024 2:04:00 PM</v>
      </c>
      <c r="O22353" t="s">
        <v>67756</v>
      </c>
    </row>
    <row r="22354" spans="1:20" x14ac:dyDescent="0.25">
      <c r="A22354" t="str">
        <f>"3042136"</f>
        <v>3042136</v>
      </c>
      <c r="B22354" t="s">
        <v>67758</v>
      </c>
      <c r="C22354" t="str">
        <f>"8304324"</f>
        <v>8304324</v>
      </c>
      <c r="D22354" t="s">
        <v>67756</v>
      </c>
      <c r="F22354" t="s">
        <v>67757</v>
      </c>
      <c r="I22354" t="s">
        <v>29</v>
      </c>
      <c r="J22354" t="s">
        <v>30</v>
      </c>
      <c r="K22354" t="str">
        <f>"27028"</f>
        <v>27028</v>
      </c>
      <c r="M22354" t="s">
        <v>50621</v>
      </c>
      <c r="N22354" t="str">
        <f>"4/3/2024 2:04:00 PM"</f>
        <v>4/3/2024 2:04:00 PM</v>
      </c>
      <c r="O22354" t="s">
        <v>67756</v>
      </c>
    </row>
    <row r="22355" spans="1:20" x14ac:dyDescent="0.25">
      <c r="A22355" t="str">
        <f>"3078194"</f>
        <v>3078194</v>
      </c>
      <c r="B22355" t="s">
        <v>67759</v>
      </c>
      <c r="C22355" t="str">
        <f>"8320661"</f>
        <v>8320661</v>
      </c>
      <c r="D22355" t="s">
        <v>67760</v>
      </c>
      <c r="F22355" t="s">
        <v>67761</v>
      </c>
      <c r="I22355" t="s">
        <v>184</v>
      </c>
      <c r="J22355" t="s">
        <v>30</v>
      </c>
      <c r="K22355" t="s">
        <v>20253</v>
      </c>
      <c r="M22355" t="s">
        <v>51351</v>
      </c>
      <c r="N22355" t="str">
        <f>"4/3/2024 2:25:00 PM"</f>
        <v>4/3/2024 2:25:00 PM</v>
      </c>
      <c r="O22355" t="s">
        <v>67760</v>
      </c>
    </row>
    <row r="22356" spans="1:20" x14ac:dyDescent="0.25">
      <c r="A22356" t="str">
        <f>"3051898"</f>
        <v>3051898</v>
      </c>
      <c r="B22356" t="s">
        <v>67762</v>
      </c>
      <c r="C22356" t="str">
        <f>"8319843"</f>
        <v>8319843</v>
      </c>
      <c r="D22356" t="s">
        <v>48212</v>
      </c>
      <c r="F22356" t="s">
        <v>67763</v>
      </c>
      <c r="I22356" t="s">
        <v>17510</v>
      </c>
      <c r="J22356" t="s">
        <v>17511</v>
      </c>
      <c r="K22356" t="s">
        <v>67764</v>
      </c>
      <c r="M22356" t="s">
        <v>50621</v>
      </c>
      <c r="N22356" t="str">
        <f>"4/3/2024 2:33:00 PM"</f>
        <v>4/3/2024 2:33:00 PM</v>
      </c>
      <c r="O22356" t="s">
        <v>48212</v>
      </c>
    </row>
    <row r="22357" spans="1:20" x14ac:dyDescent="0.25">
      <c r="A22357" t="str">
        <f>"3070230"</f>
        <v>3070230</v>
      </c>
      <c r="B22357" t="s">
        <v>67765</v>
      </c>
      <c r="C22357" t="str">
        <f>"8304606"</f>
        <v>8304606</v>
      </c>
      <c r="D22357" t="s">
        <v>67766</v>
      </c>
      <c r="E22357" t="s">
        <v>67767</v>
      </c>
      <c r="F22357" t="s">
        <v>67768</v>
      </c>
      <c r="I22357" t="s">
        <v>29</v>
      </c>
      <c r="J22357" t="s">
        <v>30</v>
      </c>
      <c r="K22357" t="str">
        <f>"27028"</f>
        <v>27028</v>
      </c>
      <c r="M22357" t="s">
        <v>50621</v>
      </c>
      <c r="N22357" t="str">
        <f>"4/3/2024 2:35:00 PM"</f>
        <v>4/3/2024 2:35:00 PM</v>
      </c>
      <c r="O22357" t="s">
        <v>67766</v>
      </c>
      <c r="T22357" t="s">
        <v>67767</v>
      </c>
    </row>
    <row r="22358" spans="1:20" x14ac:dyDescent="0.25">
      <c r="A22358" t="str">
        <f>"3056619"</f>
        <v>3056619</v>
      </c>
      <c r="B22358" t="s">
        <v>67769</v>
      </c>
      <c r="C22358" t="str">
        <f>"8316894"</f>
        <v>8316894</v>
      </c>
      <c r="D22358" t="s">
        <v>67770</v>
      </c>
      <c r="F22358" t="s">
        <v>67771</v>
      </c>
      <c r="I22358" t="s">
        <v>29</v>
      </c>
      <c r="J22358" t="s">
        <v>30</v>
      </c>
      <c r="K22358" t="s">
        <v>67772</v>
      </c>
      <c r="M22358" t="s">
        <v>50621</v>
      </c>
      <c r="N22358" t="str">
        <f>"4/3/2024 2:39:00 PM"</f>
        <v>4/3/2024 2:39:00 PM</v>
      </c>
      <c r="O22358" t="s">
        <v>67770</v>
      </c>
    </row>
    <row r="22359" spans="1:20" x14ac:dyDescent="0.25">
      <c r="A22359" t="str">
        <f>"3077921"</f>
        <v>3077921</v>
      </c>
      <c r="B22359" t="s">
        <v>67773</v>
      </c>
      <c r="C22359" t="str">
        <f>"8322092"</f>
        <v>8322092</v>
      </c>
      <c r="D22359" t="s">
        <v>67774</v>
      </c>
      <c r="E22359" t="s">
        <v>67775</v>
      </c>
      <c r="F22359" t="s">
        <v>67776</v>
      </c>
      <c r="I22359" t="s">
        <v>471</v>
      </c>
      <c r="J22359" t="s">
        <v>30</v>
      </c>
      <c r="K22359" t="s">
        <v>67777</v>
      </c>
      <c r="M22359" t="s">
        <v>50500</v>
      </c>
      <c r="N22359" t="str">
        <f>"4/1/2024 9:56:00 AM"</f>
        <v>4/1/2024 9:56:00 AM</v>
      </c>
      <c r="O22359" t="s">
        <v>67774</v>
      </c>
      <c r="T22359" t="s">
        <v>67775</v>
      </c>
    </row>
    <row r="22360" spans="1:20" x14ac:dyDescent="0.25">
      <c r="A22360" t="str">
        <f>"3057654"</f>
        <v>3057654</v>
      </c>
      <c r="B22360" t="s">
        <v>67778</v>
      </c>
      <c r="C22360" t="str">
        <f>"8322093"</f>
        <v>8322093</v>
      </c>
      <c r="D22360" t="s">
        <v>67779</v>
      </c>
      <c r="E22360" t="s">
        <v>67780</v>
      </c>
      <c r="F22360" t="s">
        <v>67781</v>
      </c>
      <c r="I22360" t="s">
        <v>184</v>
      </c>
      <c r="J22360" t="s">
        <v>30</v>
      </c>
      <c r="K22360" t="s">
        <v>41079</v>
      </c>
      <c r="M22360" t="s">
        <v>50500</v>
      </c>
      <c r="N22360" t="str">
        <f>"4/1/2024 10:02:00 AM"</f>
        <v>4/1/2024 10:02:00 AM</v>
      </c>
      <c r="O22360" t="s">
        <v>67779</v>
      </c>
      <c r="T22360" t="s">
        <v>67780</v>
      </c>
    </row>
    <row r="22361" spans="1:20" x14ac:dyDescent="0.25">
      <c r="A22361" t="str">
        <f>"3062080"</f>
        <v>3062080</v>
      </c>
      <c r="B22361" t="s">
        <v>67782</v>
      </c>
      <c r="C22361" t="str">
        <f>"12968000"</f>
        <v>12968000</v>
      </c>
      <c r="D22361" t="s">
        <v>67783</v>
      </c>
      <c r="E22361" t="s">
        <v>67784</v>
      </c>
      <c r="F22361" t="s">
        <v>67785</v>
      </c>
      <c r="I22361" t="s">
        <v>29</v>
      </c>
      <c r="J22361" t="s">
        <v>30</v>
      </c>
      <c r="K22361" t="s">
        <v>31</v>
      </c>
      <c r="M22361" t="s">
        <v>51351</v>
      </c>
      <c r="N22361" t="str">
        <f>"4/1/2024 10:04:00 AM"</f>
        <v>4/1/2024 10:04:00 AM</v>
      </c>
      <c r="O22361" t="s">
        <v>67783</v>
      </c>
      <c r="T22361" t="s">
        <v>67784</v>
      </c>
    </row>
    <row r="22362" spans="1:20" x14ac:dyDescent="0.25">
      <c r="A22362" t="str">
        <f>"3062055"</f>
        <v>3062055</v>
      </c>
      <c r="B22362" t="s">
        <v>67786</v>
      </c>
      <c r="C22362" t="str">
        <f>"12968000"</f>
        <v>12968000</v>
      </c>
      <c r="D22362" t="s">
        <v>67783</v>
      </c>
      <c r="E22362" t="s">
        <v>67784</v>
      </c>
      <c r="F22362" t="s">
        <v>67785</v>
      </c>
      <c r="I22362" t="s">
        <v>29</v>
      </c>
      <c r="J22362" t="s">
        <v>30</v>
      </c>
      <c r="K22362" t="s">
        <v>31</v>
      </c>
      <c r="M22362" t="s">
        <v>51351</v>
      </c>
      <c r="N22362" t="str">
        <f>"4/1/2024 10:04:00 AM"</f>
        <v>4/1/2024 10:04:00 AM</v>
      </c>
      <c r="O22362" t="s">
        <v>67783</v>
      </c>
      <c r="T22362" t="s">
        <v>67784</v>
      </c>
    </row>
    <row r="22363" spans="1:20" x14ac:dyDescent="0.25">
      <c r="A22363" t="str">
        <f>"3062056"</f>
        <v>3062056</v>
      </c>
      <c r="B22363" t="s">
        <v>67787</v>
      </c>
      <c r="C22363" t="str">
        <f>"12968000"</f>
        <v>12968000</v>
      </c>
      <c r="D22363" t="s">
        <v>67783</v>
      </c>
      <c r="E22363" t="s">
        <v>67784</v>
      </c>
      <c r="F22363" t="s">
        <v>67785</v>
      </c>
      <c r="I22363" t="s">
        <v>29</v>
      </c>
      <c r="J22363" t="s">
        <v>30</v>
      </c>
      <c r="K22363" t="s">
        <v>31</v>
      </c>
      <c r="M22363" t="s">
        <v>51351</v>
      </c>
      <c r="N22363" t="str">
        <f>"4/1/2024 10:04:00 AM"</f>
        <v>4/1/2024 10:04:00 AM</v>
      </c>
      <c r="O22363" t="s">
        <v>67783</v>
      </c>
      <c r="T22363" t="s">
        <v>67784</v>
      </c>
    </row>
    <row r="22364" spans="1:20" x14ac:dyDescent="0.25">
      <c r="A22364" t="str">
        <f>"3048110"</f>
        <v>3048110</v>
      </c>
      <c r="B22364" t="s">
        <v>67788</v>
      </c>
      <c r="C22364" t="str">
        <f>"8322094"</f>
        <v>8322094</v>
      </c>
      <c r="D22364" t="s">
        <v>67789</v>
      </c>
      <c r="F22364" t="s">
        <v>67790</v>
      </c>
      <c r="I22364" t="s">
        <v>184</v>
      </c>
      <c r="J22364" t="s">
        <v>30</v>
      </c>
      <c r="K22364" t="s">
        <v>17758</v>
      </c>
      <c r="M22364" t="s">
        <v>50500</v>
      </c>
      <c r="N22364" t="str">
        <f>"4/1/2024 10:07:00 AM"</f>
        <v>4/1/2024 10:07:00 AM</v>
      </c>
      <c r="O22364" t="s">
        <v>67789</v>
      </c>
    </row>
    <row r="22365" spans="1:20" x14ac:dyDescent="0.25">
      <c r="A22365" t="str">
        <f>"3041941"</f>
        <v>3041941</v>
      </c>
      <c r="B22365" t="s">
        <v>67791</v>
      </c>
      <c r="C22365" t="str">
        <f>"8322101"</f>
        <v>8322101</v>
      </c>
      <c r="D22365" t="s">
        <v>67792</v>
      </c>
      <c r="F22365" t="s">
        <v>67793</v>
      </c>
      <c r="I22365" t="s">
        <v>2071</v>
      </c>
      <c r="J22365" t="s">
        <v>30</v>
      </c>
      <c r="K22365" t="s">
        <v>2342</v>
      </c>
      <c r="M22365" t="s">
        <v>50500</v>
      </c>
      <c r="N22365" t="str">
        <f>"4/1/2024 11:04:00 AM"</f>
        <v>4/1/2024 11:04:00 AM</v>
      </c>
      <c r="O22365" t="s">
        <v>67792</v>
      </c>
    </row>
    <row r="22366" spans="1:20" x14ac:dyDescent="0.25">
      <c r="A22366" t="str">
        <f>"3045308"</f>
        <v>3045308</v>
      </c>
      <c r="B22366" t="s">
        <v>67794</v>
      </c>
      <c r="C22366" t="str">
        <f>"8322107"</f>
        <v>8322107</v>
      </c>
      <c r="D22366" t="s">
        <v>67795</v>
      </c>
      <c r="F22366" t="s">
        <v>67796</v>
      </c>
      <c r="I22366" t="s">
        <v>402</v>
      </c>
      <c r="J22366" t="s">
        <v>30</v>
      </c>
      <c r="K22366" t="s">
        <v>67797</v>
      </c>
      <c r="M22366" t="s">
        <v>50500</v>
      </c>
      <c r="N22366" t="str">
        <f>"4/1/2024 2:26:00 PM"</f>
        <v>4/1/2024 2:26:00 PM</v>
      </c>
      <c r="O22366" t="s">
        <v>67795</v>
      </c>
    </row>
    <row r="22367" spans="1:20" x14ac:dyDescent="0.25">
      <c r="A22367" t="str">
        <f>"3067533"</f>
        <v>3067533</v>
      </c>
      <c r="B22367" t="s">
        <v>67798</v>
      </c>
      <c r="C22367" t="str">
        <f>"8322107"</f>
        <v>8322107</v>
      </c>
      <c r="D22367" t="s">
        <v>67795</v>
      </c>
      <c r="F22367" t="s">
        <v>67796</v>
      </c>
      <c r="I22367" t="s">
        <v>402</v>
      </c>
      <c r="J22367" t="s">
        <v>30</v>
      </c>
      <c r="K22367" t="s">
        <v>67797</v>
      </c>
      <c r="M22367" t="s">
        <v>50500</v>
      </c>
      <c r="N22367" t="str">
        <f>"4/1/2024 2:26:00 PM"</f>
        <v>4/1/2024 2:26:00 PM</v>
      </c>
      <c r="O22367" t="s">
        <v>67795</v>
      </c>
    </row>
    <row r="22368" spans="1:20" x14ac:dyDescent="0.25">
      <c r="A22368" t="str">
        <f>"3078030"</f>
        <v>3078030</v>
      </c>
      <c r="B22368" t="s">
        <v>67799</v>
      </c>
      <c r="C22368" t="str">
        <f>"8322108"</f>
        <v>8322108</v>
      </c>
      <c r="D22368" t="s">
        <v>67800</v>
      </c>
      <c r="E22368" t="s">
        <v>67801</v>
      </c>
      <c r="F22368" t="s">
        <v>67802</v>
      </c>
      <c r="I22368" t="s">
        <v>184</v>
      </c>
      <c r="J22368" t="s">
        <v>30</v>
      </c>
      <c r="K22368" t="s">
        <v>58499</v>
      </c>
      <c r="M22368" t="s">
        <v>50500</v>
      </c>
      <c r="N22368" t="str">
        <f>"4/1/2024 2:55:00 PM"</f>
        <v>4/1/2024 2:55:00 PM</v>
      </c>
      <c r="O22368" t="s">
        <v>67800</v>
      </c>
      <c r="T22368" t="s">
        <v>67801</v>
      </c>
    </row>
    <row r="22369" spans="1:20" x14ac:dyDescent="0.25">
      <c r="A22369" t="str">
        <f>"3056323"</f>
        <v>3056323</v>
      </c>
      <c r="B22369" t="s">
        <v>67803</v>
      </c>
      <c r="C22369" t="str">
        <f>"79852000"</f>
        <v>79852000</v>
      </c>
      <c r="D22369" t="s">
        <v>67804</v>
      </c>
      <c r="E22369" t="s">
        <v>67805</v>
      </c>
      <c r="F22369" t="s">
        <v>67806</v>
      </c>
      <c r="I22369" t="s">
        <v>67807</v>
      </c>
      <c r="J22369" t="s">
        <v>12725</v>
      </c>
      <c r="K22369" t="s">
        <v>67808</v>
      </c>
      <c r="M22369" t="s">
        <v>50793</v>
      </c>
      <c r="N22369" t="str">
        <f>"4/1/2024 3:06:00 PM"</f>
        <v>4/1/2024 3:06:00 PM</v>
      </c>
      <c r="O22369" t="s">
        <v>67804</v>
      </c>
      <c r="T22369" t="s">
        <v>67805</v>
      </c>
    </row>
    <row r="22370" spans="1:20" x14ac:dyDescent="0.25">
      <c r="A22370" t="str">
        <f>"3071810"</f>
        <v>3071810</v>
      </c>
      <c r="B22370" t="s">
        <v>67809</v>
      </c>
      <c r="C22370" t="str">
        <f>"8317620"</f>
        <v>8317620</v>
      </c>
      <c r="D22370" t="s">
        <v>67810</v>
      </c>
      <c r="E22370" t="s">
        <v>56810</v>
      </c>
      <c r="F22370" t="s">
        <v>67811</v>
      </c>
      <c r="I22370" t="s">
        <v>29</v>
      </c>
      <c r="J22370" t="s">
        <v>30</v>
      </c>
      <c r="K22370" t="s">
        <v>15727</v>
      </c>
      <c r="M22370" t="s">
        <v>50793</v>
      </c>
      <c r="N22370" t="str">
        <f>"4/2/2024 10:16:00 AM"</f>
        <v>4/2/2024 10:16:00 AM</v>
      </c>
      <c r="O22370" t="s">
        <v>67810</v>
      </c>
      <c r="T22370" t="s">
        <v>56810</v>
      </c>
    </row>
    <row r="22371" spans="1:20" x14ac:dyDescent="0.25">
      <c r="A22371" t="str">
        <f>"3052987"</f>
        <v>3052987</v>
      </c>
      <c r="B22371" t="s">
        <v>67812</v>
      </c>
      <c r="C22371" t="str">
        <f>"43816000"</f>
        <v>43816000</v>
      </c>
      <c r="D22371" t="s">
        <v>67813</v>
      </c>
      <c r="E22371" t="s">
        <v>67814</v>
      </c>
      <c r="F22371" t="s">
        <v>67815</v>
      </c>
      <c r="I22371" t="s">
        <v>29</v>
      </c>
      <c r="J22371" t="s">
        <v>30</v>
      </c>
      <c r="K22371" t="s">
        <v>31</v>
      </c>
      <c r="M22371" t="s">
        <v>50621</v>
      </c>
      <c r="N22371" t="str">
        <f>"4/2/2024 10:36:00 AM"</f>
        <v>4/2/2024 10:36:00 AM</v>
      </c>
      <c r="O22371" t="s">
        <v>67813</v>
      </c>
      <c r="T22371" t="s">
        <v>67814</v>
      </c>
    </row>
    <row r="22372" spans="1:20" x14ac:dyDescent="0.25">
      <c r="A22372" t="str">
        <f>"3057428"</f>
        <v>3057428</v>
      </c>
      <c r="B22372" t="s">
        <v>67816</v>
      </c>
      <c r="C22372" t="str">
        <f>"8312574"</f>
        <v>8312574</v>
      </c>
      <c r="D22372" t="s">
        <v>67688</v>
      </c>
      <c r="E22372" t="s">
        <v>67689</v>
      </c>
      <c r="F22372" t="s">
        <v>67690</v>
      </c>
      <c r="I22372" t="s">
        <v>184</v>
      </c>
      <c r="J22372" t="s">
        <v>30</v>
      </c>
      <c r="K22372" t="s">
        <v>33177</v>
      </c>
      <c r="M22372" t="s">
        <v>50621</v>
      </c>
      <c r="N22372" t="str">
        <f>"4/2/2024 10:54:00 AM"</f>
        <v>4/2/2024 10:54:00 AM</v>
      </c>
      <c r="O22372" t="s">
        <v>67688</v>
      </c>
      <c r="T22372" t="s">
        <v>67689</v>
      </c>
    </row>
    <row r="22373" spans="1:20" x14ac:dyDescent="0.25">
      <c r="A22373" t="str">
        <f>"3041360"</f>
        <v>3041360</v>
      </c>
      <c r="B22373" t="s">
        <v>67817</v>
      </c>
      <c r="C22373" t="str">
        <f>"8310459"</f>
        <v>8310459</v>
      </c>
      <c r="D22373" t="s">
        <v>67818</v>
      </c>
      <c r="F22373" t="s">
        <v>67819</v>
      </c>
      <c r="I22373" t="s">
        <v>184</v>
      </c>
      <c r="J22373" t="s">
        <v>30</v>
      </c>
      <c r="K22373" t="s">
        <v>36396</v>
      </c>
      <c r="M22373" t="s">
        <v>50621</v>
      </c>
      <c r="N22373" t="str">
        <f>"4/2/2024 11:40:00 AM"</f>
        <v>4/2/2024 11:40:00 AM</v>
      </c>
      <c r="O22373" t="s">
        <v>67818</v>
      </c>
    </row>
    <row r="22374" spans="1:20" x14ac:dyDescent="0.25">
      <c r="A22374" t="str">
        <f>"3043879"</f>
        <v>3043879</v>
      </c>
      <c r="B22374" t="s">
        <v>67820</v>
      </c>
      <c r="C22374" t="str">
        <f>"11274000"</f>
        <v>11274000</v>
      </c>
      <c r="D22374" t="s">
        <v>67706</v>
      </c>
      <c r="F22374" t="s">
        <v>67707</v>
      </c>
      <c r="I22374" t="s">
        <v>184</v>
      </c>
      <c r="J22374" t="s">
        <v>30</v>
      </c>
      <c r="K22374" t="s">
        <v>36030</v>
      </c>
      <c r="M22374" t="s">
        <v>50793</v>
      </c>
      <c r="N22374" t="str">
        <f>"4/2/2024 1:18:00 PM"</f>
        <v>4/2/2024 1:18:00 PM</v>
      </c>
      <c r="O22374" t="s">
        <v>67706</v>
      </c>
    </row>
    <row r="22375" spans="1:20" x14ac:dyDescent="0.25">
      <c r="A22375" t="str">
        <f>"3043363"</f>
        <v>3043363</v>
      </c>
      <c r="B22375" t="s">
        <v>67821</v>
      </c>
      <c r="C22375" t="str">
        <f>"8313273"</f>
        <v>8313273</v>
      </c>
      <c r="D22375" t="s">
        <v>67822</v>
      </c>
      <c r="E22375" t="s">
        <v>67823</v>
      </c>
      <c r="F22375" t="s">
        <v>67824</v>
      </c>
      <c r="I22375" t="s">
        <v>29</v>
      </c>
      <c r="J22375" t="s">
        <v>30</v>
      </c>
      <c r="K22375" t="s">
        <v>41556</v>
      </c>
      <c r="M22375" t="s">
        <v>50793</v>
      </c>
      <c r="N22375" t="str">
        <f>"4/2/2024 3:18:00 PM"</f>
        <v>4/2/2024 3:18:00 PM</v>
      </c>
      <c r="O22375" t="s">
        <v>67822</v>
      </c>
      <c r="T22375" t="s">
        <v>67823</v>
      </c>
    </row>
    <row r="22376" spans="1:20" x14ac:dyDescent="0.25">
      <c r="A22376" t="str">
        <f>"3056850"</f>
        <v>3056850</v>
      </c>
      <c r="B22376" t="s">
        <v>67825</v>
      </c>
      <c r="C22376" t="str">
        <f>"8321298"</f>
        <v>8321298</v>
      </c>
      <c r="D22376" t="s">
        <v>30033</v>
      </c>
      <c r="E22376" t="s">
        <v>67826</v>
      </c>
      <c r="F22376" t="s">
        <v>67827</v>
      </c>
      <c r="I22376" t="s">
        <v>29</v>
      </c>
      <c r="J22376" t="s">
        <v>30</v>
      </c>
      <c r="K22376" t="s">
        <v>36218</v>
      </c>
      <c r="M22376" t="s">
        <v>50621</v>
      </c>
      <c r="N22376" t="str">
        <f>"4/3/2024 11:36:00 AM"</f>
        <v>4/3/2024 11:36:00 AM</v>
      </c>
      <c r="O22376" t="s">
        <v>30033</v>
      </c>
      <c r="T22376" t="s">
        <v>67826</v>
      </c>
    </row>
    <row r="22377" spans="1:20" x14ac:dyDescent="0.25">
      <c r="A22377" t="str">
        <f>"3040373"</f>
        <v>3040373</v>
      </c>
      <c r="B22377" t="s">
        <v>67828</v>
      </c>
      <c r="C22377" t="str">
        <f>"82529275"</f>
        <v>82529275</v>
      </c>
      <c r="D22377" t="s">
        <v>67829</v>
      </c>
      <c r="F22377" t="s">
        <v>67830</v>
      </c>
      <c r="I22377" t="s">
        <v>184</v>
      </c>
      <c r="J22377" t="s">
        <v>30</v>
      </c>
      <c r="K22377" t="s">
        <v>185</v>
      </c>
      <c r="M22377" t="s">
        <v>50621</v>
      </c>
      <c r="N22377" t="str">
        <f>"4/3/2024 11:38:00 AM"</f>
        <v>4/3/2024 11:38:00 AM</v>
      </c>
      <c r="O22377" t="s">
        <v>67829</v>
      </c>
    </row>
    <row r="22378" spans="1:20" x14ac:dyDescent="0.25">
      <c r="A22378" t="str">
        <f>"3040828"</f>
        <v>3040828</v>
      </c>
      <c r="B22378" t="s">
        <v>67831</v>
      </c>
      <c r="C22378" t="str">
        <f>"82529275"</f>
        <v>82529275</v>
      </c>
      <c r="D22378" t="s">
        <v>67829</v>
      </c>
      <c r="F22378" t="s">
        <v>67830</v>
      </c>
      <c r="I22378" t="s">
        <v>184</v>
      </c>
      <c r="J22378" t="s">
        <v>30</v>
      </c>
      <c r="K22378" t="s">
        <v>185</v>
      </c>
      <c r="M22378" t="s">
        <v>50621</v>
      </c>
      <c r="N22378" t="str">
        <f>"4/3/2024 11:38:00 AM"</f>
        <v>4/3/2024 11:38:00 AM</v>
      </c>
      <c r="O22378" t="s">
        <v>67829</v>
      </c>
    </row>
    <row r="22379" spans="1:20" x14ac:dyDescent="0.25">
      <c r="A22379" t="str">
        <f>"3045235"</f>
        <v>3045235</v>
      </c>
      <c r="B22379" t="s">
        <v>67832</v>
      </c>
      <c r="C22379" t="str">
        <f>"47600000"</f>
        <v>47600000</v>
      </c>
      <c r="D22379" t="s">
        <v>67746</v>
      </c>
      <c r="E22379" t="s">
        <v>67747</v>
      </c>
      <c r="F22379" t="s">
        <v>67748</v>
      </c>
      <c r="I22379" t="s">
        <v>29</v>
      </c>
      <c r="J22379" t="s">
        <v>30</v>
      </c>
      <c r="K22379" t="s">
        <v>48891</v>
      </c>
      <c r="M22379" t="s">
        <v>50621</v>
      </c>
      <c r="N22379" t="str">
        <f>"4/3/2024 11:58:00 AM"</f>
        <v>4/3/2024 11:58:00 AM</v>
      </c>
      <c r="O22379" t="s">
        <v>67746</v>
      </c>
      <c r="T22379" t="s">
        <v>67747</v>
      </c>
    </row>
    <row r="22380" spans="1:20" x14ac:dyDescent="0.25">
      <c r="A22380" t="str">
        <f>"3055992"</f>
        <v>3055992</v>
      </c>
      <c r="B22380" t="s">
        <v>67833</v>
      </c>
      <c r="C22380" t="str">
        <f>"82519279"</f>
        <v>82519279</v>
      </c>
      <c r="D22380" t="s">
        <v>67834</v>
      </c>
      <c r="F22380" t="s">
        <v>19477</v>
      </c>
      <c r="I22380" t="s">
        <v>9580</v>
      </c>
      <c r="J22380" t="s">
        <v>30</v>
      </c>
      <c r="K22380" t="s">
        <v>9581</v>
      </c>
      <c r="M22380" t="s">
        <v>50621</v>
      </c>
      <c r="N22380" t="str">
        <f>"4/3/2024 2:00:00 PM"</f>
        <v>4/3/2024 2:00:00 PM</v>
      </c>
      <c r="O22380" t="s">
        <v>67834</v>
      </c>
    </row>
    <row r="22381" spans="1:20" x14ac:dyDescent="0.25">
      <c r="A22381" t="str">
        <f>"3061098"</f>
        <v>3061098</v>
      </c>
      <c r="B22381" t="s">
        <v>67835</v>
      </c>
      <c r="C22381" t="str">
        <f>"8322099"</f>
        <v>8322099</v>
      </c>
      <c r="D22381" t="s">
        <v>67836</v>
      </c>
      <c r="F22381" t="s">
        <v>67837</v>
      </c>
      <c r="I22381" t="s">
        <v>184</v>
      </c>
      <c r="J22381" t="s">
        <v>30</v>
      </c>
      <c r="K22381" t="s">
        <v>35543</v>
      </c>
      <c r="M22381" t="s">
        <v>50500</v>
      </c>
      <c r="N22381" t="str">
        <f>"4/1/2024 10:42:00 AM"</f>
        <v>4/1/2024 10:42:00 AM</v>
      </c>
      <c r="O22381" t="s">
        <v>67836</v>
      </c>
    </row>
    <row r="22382" spans="1:20" x14ac:dyDescent="0.25">
      <c r="A22382" t="str">
        <f>"3058758"</f>
        <v>3058758</v>
      </c>
      <c r="B22382" t="s">
        <v>67838</v>
      </c>
      <c r="C22382" t="str">
        <f>"8322100"</f>
        <v>8322100</v>
      </c>
      <c r="D22382" t="s">
        <v>67839</v>
      </c>
      <c r="F22382" t="s">
        <v>67840</v>
      </c>
      <c r="I22382" t="s">
        <v>29</v>
      </c>
      <c r="J22382" t="s">
        <v>30</v>
      </c>
      <c r="K22382" t="s">
        <v>37218</v>
      </c>
      <c r="M22382" t="s">
        <v>50500</v>
      </c>
      <c r="N22382" t="str">
        <f>"4/1/2024 10:57:00 AM"</f>
        <v>4/1/2024 10:57:00 AM</v>
      </c>
      <c r="O22382" t="s">
        <v>67839</v>
      </c>
    </row>
    <row r="22383" spans="1:20" x14ac:dyDescent="0.25">
      <c r="A22383" t="str">
        <f>"3048715"</f>
        <v>3048715</v>
      </c>
      <c r="B22383" t="s">
        <v>67841</v>
      </c>
      <c r="C22383" t="str">
        <f>"49980000"</f>
        <v>49980000</v>
      </c>
      <c r="D22383" t="s">
        <v>67842</v>
      </c>
      <c r="F22383" t="s">
        <v>67843</v>
      </c>
      <c r="G22383" t="s">
        <v>67844</v>
      </c>
      <c r="I22383" t="s">
        <v>471</v>
      </c>
      <c r="J22383" t="s">
        <v>30</v>
      </c>
      <c r="K22383" t="s">
        <v>67845</v>
      </c>
      <c r="M22383" t="s">
        <v>50621</v>
      </c>
      <c r="N22383" t="str">
        <f>"4/3/2024 2:40:00 PM"</f>
        <v>4/3/2024 2:40:00 PM</v>
      </c>
      <c r="O22383" t="s">
        <v>67842</v>
      </c>
    </row>
    <row r="22384" spans="1:20" x14ac:dyDescent="0.25">
      <c r="A22384" t="str">
        <f>"3038152"</f>
        <v>3038152</v>
      </c>
      <c r="B22384" t="s">
        <v>67846</v>
      </c>
      <c r="C22384" t="str">
        <f>"82525938"</f>
        <v>82525938</v>
      </c>
      <c r="D22384" t="s">
        <v>67847</v>
      </c>
      <c r="F22384" t="s">
        <v>67848</v>
      </c>
      <c r="I22384" t="s">
        <v>29</v>
      </c>
      <c r="J22384" t="s">
        <v>30</v>
      </c>
      <c r="K22384" t="s">
        <v>1056</v>
      </c>
      <c r="M22384" t="s">
        <v>50793</v>
      </c>
      <c r="N22384" t="str">
        <f>"4/3/2024 2:54:00 PM"</f>
        <v>4/3/2024 2:54:00 PM</v>
      </c>
      <c r="O22384" t="s">
        <v>67847</v>
      </c>
    </row>
    <row r="22385" spans="1:20" x14ac:dyDescent="0.25">
      <c r="A22385" t="str">
        <f>"3048263"</f>
        <v>3048263</v>
      </c>
      <c r="B22385" t="s">
        <v>67849</v>
      </c>
      <c r="C22385" t="str">
        <f>"82530737"</f>
        <v>82530737</v>
      </c>
      <c r="D22385" t="s">
        <v>67850</v>
      </c>
      <c r="F22385" t="s">
        <v>67851</v>
      </c>
      <c r="I22385" t="s">
        <v>1149</v>
      </c>
      <c r="J22385" t="s">
        <v>30</v>
      </c>
      <c r="K22385" t="s">
        <v>1150</v>
      </c>
      <c r="M22385" t="s">
        <v>50793</v>
      </c>
      <c r="N22385" t="str">
        <f>"4/4/2024 8:27:00 AM"</f>
        <v>4/4/2024 8:27:00 AM</v>
      </c>
      <c r="O22385" t="s">
        <v>67850</v>
      </c>
    </row>
    <row r="22386" spans="1:20" x14ac:dyDescent="0.25">
      <c r="A22386" t="str">
        <f>"3062679"</f>
        <v>3062679</v>
      </c>
      <c r="B22386" t="s">
        <v>67852</v>
      </c>
      <c r="C22386" t="str">
        <f>"8322125"</f>
        <v>8322125</v>
      </c>
      <c r="D22386" t="s">
        <v>67853</v>
      </c>
      <c r="E22386" t="s">
        <v>67854</v>
      </c>
      <c r="F22386" t="s">
        <v>67855</v>
      </c>
      <c r="I22386" t="s">
        <v>2071</v>
      </c>
      <c r="J22386" t="s">
        <v>30</v>
      </c>
      <c r="K22386" t="s">
        <v>41683</v>
      </c>
      <c r="M22386" t="s">
        <v>50500</v>
      </c>
      <c r="N22386" t="str">
        <f>"4/4/2024 2:56:00 PM"</f>
        <v>4/4/2024 2:56:00 PM</v>
      </c>
      <c r="O22386" t="s">
        <v>67853</v>
      </c>
      <c r="T22386" t="s">
        <v>67854</v>
      </c>
    </row>
    <row r="22387" spans="1:20" x14ac:dyDescent="0.25">
      <c r="A22387" t="str">
        <f>"3058256"</f>
        <v>3058256</v>
      </c>
      <c r="B22387" t="s">
        <v>67856</v>
      </c>
      <c r="C22387" t="str">
        <f>"8309383"</f>
        <v>8309383</v>
      </c>
      <c r="D22387" t="s">
        <v>67857</v>
      </c>
      <c r="F22387" t="s">
        <v>67858</v>
      </c>
      <c r="I22387" t="s">
        <v>184</v>
      </c>
      <c r="J22387" t="s">
        <v>30</v>
      </c>
      <c r="K22387" t="s">
        <v>48640</v>
      </c>
      <c r="M22387" t="s">
        <v>50793</v>
      </c>
      <c r="N22387" t="str">
        <f>"4/4/2024 8:46:00 AM"</f>
        <v>4/4/2024 8:46:00 AM</v>
      </c>
      <c r="O22387" t="s">
        <v>67857</v>
      </c>
    </row>
    <row r="22388" spans="1:20" x14ac:dyDescent="0.25">
      <c r="A22388" t="str">
        <f>"3040449"</f>
        <v>3040449</v>
      </c>
      <c r="B22388" t="s">
        <v>67859</v>
      </c>
      <c r="C22388" t="str">
        <f>"8309689"</f>
        <v>8309689</v>
      </c>
      <c r="D22388" t="s">
        <v>67860</v>
      </c>
      <c r="E22388" t="s">
        <v>67861</v>
      </c>
      <c r="F22388" t="s">
        <v>67862</v>
      </c>
      <c r="I22388" t="s">
        <v>29</v>
      </c>
      <c r="J22388" t="s">
        <v>30</v>
      </c>
      <c r="K22388" t="s">
        <v>1335</v>
      </c>
      <c r="M22388" t="s">
        <v>50621</v>
      </c>
      <c r="N22388" t="str">
        <f>"4/4/2024 9:52:00 AM"</f>
        <v>4/4/2024 9:52:00 AM</v>
      </c>
      <c r="O22388" t="s">
        <v>67860</v>
      </c>
      <c r="T22388" t="s">
        <v>67861</v>
      </c>
    </row>
    <row r="22389" spans="1:20" x14ac:dyDescent="0.25">
      <c r="A22389" t="str">
        <f>"3059928"</f>
        <v>3059928</v>
      </c>
      <c r="B22389" t="s">
        <v>67863</v>
      </c>
      <c r="C22389" t="str">
        <f>"8322129"</f>
        <v>8322129</v>
      </c>
      <c r="D22389" t="s">
        <v>67864</v>
      </c>
      <c r="F22389" t="s">
        <v>67865</v>
      </c>
      <c r="I22389" t="s">
        <v>184</v>
      </c>
      <c r="J22389" t="s">
        <v>30</v>
      </c>
      <c r="K22389" t="s">
        <v>33001</v>
      </c>
      <c r="M22389" t="s">
        <v>50500</v>
      </c>
      <c r="N22389" t="str">
        <f>"4/4/2024 3:59:00 PM"</f>
        <v>4/4/2024 3:59:00 PM</v>
      </c>
      <c r="O22389" t="s">
        <v>67864</v>
      </c>
    </row>
    <row r="22390" spans="1:20" x14ac:dyDescent="0.25">
      <c r="A22390" t="str">
        <f>"3062640"</f>
        <v>3062640</v>
      </c>
      <c r="B22390" t="s">
        <v>67866</v>
      </c>
      <c r="C22390" t="str">
        <f>"8322130"</f>
        <v>8322130</v>
      </c>
      <c r="D22390" t="s">
        <v>67867</v>
      </c>
      <c r="E22390" t="s">
        <v>67868</v>
      </c>
      <c r="F22390" t="s">
        <v>67869</v>
      </c>
      <c r="I22390" t="s">
        <v>29</v>
      </c>
      <c r="J22390" t="s">
        <v>30</v>
      </c>
      <c r="K22390" t="s">
        <v>37218</v>
      </c>
      <c r="M22390" t="s">
        <v>50500</v>
      </c>
      <c r="N22390" t="str">
        <f>"4/5/2024 8:08:00 AM"</f>
        <v>4/5/2024 8:08:00 AM</v>
      </c>
      <c r="O22390" t="s">
        <v>67867</v>
      </c>
      <c r="T22390" t="s">
        <v>67868</v>
      </c>
    </row>
    <row r="22391" spans="1:20" x14ac:dyDescent="0.25">
      <c r="A22391" t="str">
        <f>"3062209"</f>
        <v>3062209</v>
      </c>
      <c r="B22391" t="s">
        <v>67870</v>
      </c>
      <c r="C22391" t="str">
        <f>"8322131"</f>
        <v>8322131</v>
      </c>
      <c r="D22391" t="s">
        <v>67871</v>
      </c>
      <c r="E22391" t="s">
        <v>67872</v>
      </c>
      <c r="F22391" t="s">
        <v>67873</v>
      </c>
      <c r="I22391" t="s">
        <v>29</v>
      </c>
      <c r="J22391" t="s">
        <v>30</v>
      </c>
      <c r="K22391" t="s">
        <v>15656</v>
      </c>
      <c r="M22391" t="s">
        <v>50500</v>
      </c>
      <c r="N22391" t="str">
        <f>"4/5/2024 8:11:00 AM"</f>
        <v>4/5/2024 8:11:00 AM</v>
      </c>
      <c r="O22391" t="s">
        <v>67871</v>
      </c>
      <c r="T22391" t="s">
        <v>67872</v>
      </c>
    </row>
    <row r="22392" spans="1:20" x14ac:dyDescent="0.25">
      <c r="A22392" t="str">
        <f>"3062714"</f>
        <v>3062714</v>
      </c>
      <c r="B22392" t="s">
        <v>67874</v>
      </c>
      <c r="C22392" t="str">
        <f>"8322132"</f>
        <v>8322132</v>
      </c>
      <c r="D22392" t="s">
        <v>67875</v>
      </c>
      <c r="E22392" t="s">
        <v>67876</v>
      </c>
      <c r="F22392" t="s">
        <v>67877</v>
      </c>
      <c r="I22392" t="s">
        <v>29</v>
      </c>
      <c r="J22392" t="s">
        <v>30</v>
      </c>
      <c r="K22392" t="s">
        <v>39024</v>
      </c>
      <c r="M22392" t="s">
        <v>50500</v>
      </c>
      <c r="N22392" t="str">
        <f>"4/5/2024 8:16:00 AM"</f>
        <v>4/5/2024 8:16:00 AM</v>
      </c>
      <c r="O22392" t="s">
        <v>67875</v>
      </c>
      <c r="T22392" t="s">
        <v>67876</v>
      </c>
    </row>
    <row r="22393" spans="1:20" x14ac:dyDescent="0.25">
      <c r="A22393" t="str">
        <f>"3044058"</f>
        <v>3044058</v>
      </c>
      <c r="B22393" t="s">
        <v>67878</v>
      </c>
      <c r="C22393" t="str">
        <f>"8322133"</f>
        <v>8322133</v>
      </c>
      <c r="D22393" t="s">
        <v>67879</v>
      </c>
      <c r="F22393" t="s">
        <v>67880</v>
      </c>
      <c r="I22393" t="s">
        <v>67881</v>
      </c>
      <c r="J22393" t="s">
        <v>4132</v>
      </c>
      <c r="K22393" t="s">
        <v>67882</v>
      </c>
      <c r="M22393" t="s">
        <v>50500</v>
      </c>
      <c r="N22393" t="str">
        <f>"4/5/2024 8:33:00 AM"</f>
        <v>4/5/2024 8:33:00 AM</v>
      </c>
      <c r="O22393" t="s">
        <v>67879</v>
      </c>
    </row>
    <row r="22394" spans="1:20" x14ac:dyDescent="0.25">
      <c r="A22394" t="str">
        <f>"3056720"</f>
        <v>3056720</v>
      </c>
      <c r="B22394" t="s">
        <v>67883</v>
      </c>
      <c r="C22394" t="str">
        <f>"8322134"</f>
        <v>8322134</v>
      </c>
      <c r="D22394" t="s">
        <v>67884</v>
      </c>
      <c r="E22394" t="s">
        <v>67885</v>
      </c>
      <c r="F22394" t="s">
        <v>67886</v>
      </c>
      <c r="I22394" t="s">
        <v>29</v>
      </c>
      <c r="J22394" t="s">
        <v>30</v>
      </c>
      <c r="K22394" t="s">
        <v>67887</v>
      </c>
      <c r="M22394" t="s">
        <v>50500</v>
      </c>
      <c r="N22394" t="str">
        <f>"4/5/2024 8:43:00 AM"</f>
        <v>4/5/2024 8:43:00 AM</v>
      </c>
      <c r="O22394" t="s">
        <v>67884</v>
      </c>
      <c r="T22394" t="s">
        <v>67885</v>
      </c>
    </row>
    <row r="22395" spans="1:20" x14ac:dyDescent="0.25">
      <c r="A22395" t="str">
        <f>"3053174"</f>
        <v>3053174</v>
      </c>
      <c r="B22395" t="s">
        <v>67888</v>
      </c>
      <c r="C22395" t="str">
        <f>"8300417"</f>
        <v>8300417</v>
      </c>
      <c r="D22395" t="s">
        <v>64343</v>
      </c>
      <c r="E22395" t="s">
        <v>67889</v>
      </c>
      <c r="F22395" t="s">
        <v>64345</v>
      </c>
      <c r="I22395" t="s">
        <v>29</v>
      </c>
      <c r="J22395" t="s">
        <v>30</v>
      </c>
      <c r="K22395" t="s">
        <v>64346</v>
      </c>
      <c r="M22395" t="s">
        <v>50500</v>
      </c>
      <c r="N22395" t="str">
        <f>"4/5/2024 8:49:00 AM"</f>
        <v>4/5/2024 8:49:00 AM</v>
      </c>
      <c r="O22395" t="s">
        <v>64343</v>
      </c>
      <c r="T22395" t="s">
        <v>67889</v>
      </c>
    </row>
    <row r="22396" spans="1:20" x14ac:dyDescent="0.25">
      <c r="A22396" t="str">
        <f>"3053063"</f>
        <v>3053063</v>
      </c>
      <c r="B22396" t="s">
        <v>67890</v>
      </c>
      <c r="C22396" t="str">
        <f>"8300417"</f>
        <v>8300417</v>
      </c>
      <c r="D22396" t="s">
        <v>64343</v>
      </c>
      <c r="E22396" t="s">
        <v>67889</v>
      </c>
      <c r="F22396" t="s">
        <v>64345</v>
      </c>
      <c r="I22396" t="s">
        <v>29</v>
      </c>
      <c r="J22396" t="s">
        <v>30</v>
      </c>
      <c r="K22396" t="s">
        <v>64346</v>
      </c>
      <c r="M22396" t="s">
        <v>50500</v>
      </c>
      <c r="N22396" t="str">
        <f>"4/5/2024 8:49:00 AM"</f>
        <v>4/5/2024 8:49:00 AM</v>
      </c>
      <c r="O22396" t="s">
        <v>64343</v>
      </c>
      <c r="T22396" t="s">
        <v>67889</v>
      </c>
    </row>
    <row r="22397" spans="1:20" x14ac:dyDescent="0.25">
      <c r="A22397" t="str">
        <f>"3050536"</f>
        <v>3050536</v>
      </c>
      <c r="B22397" t="s">
        <v>67891</v>
      </c>
      <c r="C22397" t="str">
        <f>"8300417"</f>
        <v>8300417</v>
      </c>
      <c r="D22397" t="s">
        <v>64343</v>
      </c>
      <c r="E22397" t="s">
        <v>67889</v>
      </c>
      <c r="F22397" t="s">
        <v>64345</v>
      </c>
      <c r="I22397" t="s">
        <v>29</v>
      </c>
      <c r="J22397" t="s">
        <v>30</v>
      </c>
      <c r="K22397" t="s">
        <v>64346</v>
      </c>
      <c r="M22397" t="s">
        <v>50500</v>
      </c>
      <c r="N22397" t="str">
        <f>"4/5/2024 8:49:00 AM"</f>
        <v>4/5/2024 8:49:00 AM</v>
      </c>
      <c r="O22397" t="s">
        <v>64343</v>
      </c>
      <c r="T22397" t="s">
        <v>67889</v>
      </c>
    </row>
    <row r="22398" spans="1:20" x14ac:dyDescent="0.25">
      <c r="A22398" t="str">
        <f>"3046479"</f>
        <v>3046479</v>
      </c>
      <c r="B22398" t="s">
        <v>67892</v>
      </c>
      <c r="C22398" t="str">
        <f>"8300417"</f>
        <v>8300417</v>
      </c>
      <c r="D22398" t="s">
        <v>64343</v>
      </c>
      <c r="E22398" t="s">
        <v>67889</v>
      </c>
      <c r="F22398" t="s">
        <v>64345</v>
      </c>
      <c r="I22398" t="s">
        <v>29</v>
      </c>
      <c r="J22398" t="s">
        <v>30</v>
      </c>
      <c r="K22398" t="s">
        <v>64346</v>
      </c>
      <c r="M22398" t="s">
        <v>50500</v>
      </c>
      <c r="N22398" t="str">
        <f>"4/5/2024 8:49:00 AM"</f>
        <v>4/5/2024 8:49:00 AM</v>
      </c>
      <c r="O22398" t="s">
        <v>64343</v>
      </c>
      <c r="T22398" t="s">
        <v>67889</v>
      </c>
    </row>
    <row r="22399" spans="1:20" x14ac:dyDescent="0.25">
      <c r="A22399" t="str">
        <f>"3046527"</f>
        <v>3046527</v>
      </c>
      <c r="B22399" t="s">
        <v>67893</v>
      </c>
      <c r="C22399" t="str">
        <f>"8300417"</f>
        <v>8300417</v>
      </c>
      <c r="D22399" t="s">
        <v>64343</v>
      </c>
      <c r="E22399" t="s">
        <v>67889</v>
      </c>
      <c r="F22399" t="s">
        <v>64345</v>
      </c>
      <c r="I22399" t="s">
        <v>29</v>
      </c>
      <c r="J22399" t="s">
        <v>30</v>
      </c>
      <c r="K22399" t="s">
        <v>64346</v>
      </c>
      <c r="M22399" t="s">
        <v>50500</v>
      </c>
      <c r="N22399" t="str">
        <f>"4/5/2024 8:49:00 AM"</f>
        <v>4/5/2024 8:49:00 AM</v>
      </c>
      <c r="O22399" t="s">
        <v>64343</v>
      </c>
      <c r="T22399" t="s">
        <v>67889</v>
      </c>
    </row>
    <row r="22400" spans="1:20" x14ac:dyDescent="0.25">
      <c r="A22400" t="str">
        <f>"3040332"</f>
        <v>3040332</v>
      </c>
      <c r="B22400" t="s">
        <v>67894</v>
      </c>
      <c r="C22400" t="str">
        <f>"8309689"</f>
        <v>8309689</v>
      </c>
      <c r="D22400" t="s">
        <v>67860</v>
      </c>
      <c r="E22400" t="s">
        <v>67861</v>
      </c>
      <c r="F22400" t="s">
        <v>67862</v>
      </c>
      <c r="I22400" t="s">
        <v>29</v>
      </c>
      <c r="J22400" t="s">
        <v>30</v>
      </c>
      <c r="K22400" t="s">
        <v>1335</v>
      </c>
      <c r="M22400" t="s">
        <v>50621</v>
      </c>
      <c r="N22400" t="str">
        <f>"4/4/2024 9:52:00 AM"</f>
        <v>4/4/2024 9:52:00 AM</v>
      </c>
      <c r="O22400" t="s">
        <v>67860</v>
      </c>
      <c r="T22400" t="s">
        <v>67861</v>
      </c>
    </row>
    <row r="22401" spans="1:20" x14ac:dyDescent="0.25">
      <c r="A22401" t="str">
        <f>"3058739"</f>
        <v>3058739</v>
      </c>
      <c r="B22401" t="s">
        <v>67895</v>
      </c>
      <c r="C22401" t="str">
        <f>"8322116"</f>
        <v>8322116</v>
      </c>
      <c r="D22401" t="s">
        <v>67896</v>
      </c>
      <c r="E22401" t="s">
        <v>67897</v>
      </c>
      <c r="F22401" t="s">
        <v>67898</v>
      </c>
      <c r="I22401" t="s">
        <v>29</v>
      </c>
      <c r="J22401" t="s">
        <v>30</v>
      </c>
      <c r="K22401" t="s">
        <v>37218</v>
      </c>
      <c r="M22401" t="s">
        <v>50500</v>
      </c>
      <c r="N22401" t="str">
        <f>"4/4/2024 10:06:00 AM"</f>
        <v>4/4/2024 10:06:00 AM</v>
      </c>
      <c r="O22401" t="s">
        <v>67896</v>
      </c>
      <c r="T22401" t="s">
        <v>67897</v>
      </c>
    </row>
    <row r="22402" spans="1:20" x14ac:dyDescent="0.25">
      <c r="A22402" t="str">
        <f>"3058700"</f>
        <v>3058700</v>
      </c>
      <c r="B22402" t="s">
        <v>67899</v>
      </c>
      <c r="C22402" t="str">
        <f>"8322138"</f>
        <v>8322138</v>
      </c>
      <c r="D22402" t="s">
        <v>67900</v>
      </c>
      <c r="E22402" t="s">
        <v>67901</v>
      </c>
      <c r="F22402" t="s">
        <v>67902</v>
      </c>
      <c r="I22402" t="s">
        <v>29</v>
      </c>
      <c r="J22402" t="s">
        <v>30</v>
      </c>
      <c r="K22402" t="s">
        <v>37218</v>
      </c>
      <c r="M22402" t="s">
        <v>50500</v>
      </c>
      <c r="N22402" t="str">
        <f>"4/5/2024 9:02:00 AM"</f>
        <v>4/5/2024 9:02:00 AM</v>
      </c>
      <c r="O22402" t="s">
        <v>67900</v>
      </c>
      <c r="T22402" t="s">
        <v>67901</v>
      </c>
    </row>
    <row r="22403" spans="1:20" x14ac:dyDescent="0.25">
      <c r="A22403" t="str">
        <f>"3059162"</f>
        <v>3059162</v>
      </c>
      <c r="B22403" t="s">
        <v>67903</v>
      </c>
      <c r="C22403" t="str">
        <f>"8322139"</f>
        <v>8322139</v>
      </c>
      <c r="D22403" t="s">
        <v>67904</v>
      </c>
      <c r="F22403" t="s">
        <v>67905</v>
      </c>
      <c r="I22403" t="s">
        <v>29</v>
      </c>
      <c r="J22403" t="s">
        <v>30</v>
      </c>
      <c r="K22403" t="s">
        <v>51835</v>
      </c>
      <c r="M22403" t="s">
        <v>50500</v>
      </c>
      <c r="N22403" t="str">
        <f>"4/5/2024 9:05:00 AM"</f>
        <v>4/5/2024 9:05:00 AM</v>
      </c>
      <c r="O22403" t="s">
        <v>67904</v>
      </c>
    </row>
    <row r="22404" spans="1:20" x14ac:dyDescent="0.25">
      <c r="A22404" t="str">
        <f>"3062660"</f>
        <v>3062660</v>
      </c>
      <c r="B22404" t="s">
        <v>67906</v>
      </c>
      <c r="C22404" t="str">
        <f>"8322140"</f>
        <v>8322140</v>
      </c>
      <c r="D22404" t="s">
        <v>67907</v>
      </c>
      <c r="E22404" t="s">
        <v>67908</v>
      </c>
      <c r="F22404" t="s">
        <v>67909</v>
      </c>
      <c r="I22404" t="s">
        <v>184</v>
      </c>
      <c r="J22404" t="s">
        <v>30</v>
      </c>
      <c r="K22404" t="s">
        <v>64153</v>
      </c>
      <c r="M22404" t="s">
        <v>50500</v>
      </c>
      <c r="N22404" t="str">
        <f>"4/5/2024 9:10:00 AM"</f>
        <v>4/5/2024 9:10:00 AM</v>
      </c>
      <c r="O22404" t="s">
        <v>67907</v>
      </c>
      <c r="T22404" t="s">
        <v>67908</v>
      </c>
    </row>
    <row r="22405" spans="1:20" x14ac:dyDescent="0.25">
      <c r="A22405" t="str">
        <f>"3044873"</f>
        <v>3044873</v>
      </c>
      <c r="B22405" t="s">
        <v>67910</v>
      </c>
      <c r="C22405" t="str">
        <f>"8311762"</f>
        <v>8311762</v>
      </c>
      <c r="D22405" t="s">
        <v>67911</v>
      </c>
      <c r="E22405" t="s">
        <v>67912</v>
      </c>
      <c r="F22405" t="s">
        <v>67913</v>
      </c>
      <c r="I22405" t="s">
        <v>2071</v>
      </c>
      <c r="J22405" t="s">
        <v>30</v>
      </c>
      <c r="K22405" t="s">
        <v>2200</v>
      </c>
      <c r="M22405" t="s">
        <v>50500</v>
      </c>
      <c r="N22405" t="str">
        <f>"4/5/2024 9:14:00 AM"</f>
        <v>4/5/2024 9:14:00 AM</v>
      </c>
      <c r="O22405" t="s">
        <v>67911</v>
      </c>
      <c r="T22405" t="s">
        <v>67912</v>
      </c>
    </row>
    <row r="22406" spans="1:20" x14ac:dyDescent="0.25">
      <c r="A22406" t="str">
        <f>"3041937"</f>
        <v>3041937</v>
      </c>
      <c r="B22406" t="s">
        <v>67914</v>
      </c>
      <c r="C22406" t="str">
        <f>"8311762"</f>
        <v>8311762</v>
      </c>
      <c r="D22406" t="s">
        <v>67911</v>
      </c>
      <c r="E22406" t="s">
        <v>67912</v>
      </c>
      <c r="F22406" t="s">
        <v>67913</v>
      </c>
      <c r="I22406" t="s">
        <v>2071</v>
      </c>
      <c r="J22406" t="s">
        <v>30</v>
      </c>
      <c r="K22406" t="s">
        <v>2200</v>
      </c>
      <c r="M22406" t="s">
        <v>50500</v>
      </c>
      <c r="N22406" t="str">
        <f>"4/5/2024 9:14:00 AM"</f>
        <v>4/5/2024 9:14:00 AM</v>
      </c>
      <c r="O22406" t="s">
        <v>67911</v>
      </c>
      <c r="T22406" t="s">
        <v>67912</v>
      </c>
    </row>
    <row r="22407" spans="1:20" x14ac:dyDescent="0.25">
      <c r="A22407" t="str">
        <f>"3062661"</f>
        <v>3062661</v>
      </c>
      <c r="B22407" t="s">
        <v>67915</v>
      </c>
      <c r="C22407" t="str">
        <f>"8322141"</f>
        <v>8322141</v>
      </c>
      <c r="D22407" t="s">
        <v>67916</v>
      </c>
      <c r="E22407" t="s">
        <v>67917</v>
      </c>
      <c r="F22407" t="s">
        <v>67918</v>
      </c>
      <c r="I22407" t="s">
        <v>184</v>
      </c>
      <c r="J22407" t="s">
        <v>30</v>
      </c>
      <c r="K22407" t="s">
        <v>64153</v>
      </c>
      <c r="M22407" t="s">
        <v>50500</v>
      </c>
      <c r="N22407" t="str">
        <f>"4/5/2024 9:19:00 AM"</f>
        <v>4/5/2024 9:19:00 AM</v>
      </c>
      <c r="O22407" t="s">
        <v>67916</v>
      </c>
      <c r="T22407" t="s">
        <v>67917</v>
      </c>
    </row>
    <row r="22408" spans="1:20" x14ac:dyDescent="0.25">
      <c r="A22408" t="str">
        <f>"3058751"</f>
        <v>3058751</v>
      </c>
      <c r="B22408" t="s">
        <v>67919</v>
      </c>
      <c r="C22408" t="str">
        <f>"8322142"</f>
        <v>8322142</v>
      </c>
      <c r="D22408" t="s">
        <v>67920</v>
      </c>
      <c r="F22408" t="s">
        <v>67921</v>
      </c>
      <c r="I22408" t="s">
        <v>184</v>
      </c>
      <c r="J22408" t="s">
        <v>30</v>
      </c>
      <c r="K22408" t="s">
        <v>64153</v>
      </c>
      <c r="M22408" t="s">
        <v>50500</v>
      </c>
      <c r="N22408" t="str">
        <f>"4/5/2024 9:22:00 AM"</f>
        <v>4/5/2024 9:22:00 AM</v>
      </c>
      <c r="O22408" t="s">
        <v>67920</v>
      </c>
    </row>
    <row r="22409" spans="1:20" x14ac:dyDescent="0.25">
      <c r="A22409" t="str">
        <f>"3061811"</f>
        <v>3061811</v>
      </c>
      <c r="B22409" t="s">
        <v>67922</v>
      </c>
      <c r="C22409" t="str">
        <f>"8322143"</f>
        <v>8322143</v>
      </c>
      <c r="D22409" t="s">
        <v>67923</v>
      </c>
      <c r="E22409" t="s">
        <v>67924</v>
      </c>
      <c r="F22409" t="s">
        <v>67925</v>
      </c>
      <c r="I22409" t="s">
        <v>184</v>
      </c>
      <c r="J22409" t="s">
        <v>30</v>
      </c>
      <c r="K22409" t="s">
        <v>58030</v>
      </c>
      <c r="M22409" t="s">
        <v>50500</v>
      </c>
      <c r="N22409" t="str">
        <f>"4/5/2024 9:26:00 AM"</f>
        <v>4/5/2024 9:26:00 AM</v>
      </c>
      <c r="O22409" t="s">
        <v>67923</v>
      </c>
      <c r="T22409" t="s">
        <v>67924</v>
      </c>
    </row>
    <row r="22410" spans="1:20" x14ac:dyDescent="0.25">
      <c r="A22410" t="str">
        <f>"3047646"</f>
        <v>3047646</v>
      </c>
      <c r="B22410" t="s">
        <v>67926</v>
      </c>
      <c r="C22410" t="str">
        <f>"51188000"</f>
        <v>51188000</v>
      </c>
      <c r="D22410" t="s">
        <v>67927</v>
      </c>
      <c r="E22410" t="s">
        <v>67928</v>
      </c>
      <c r="F22410" t="s">
        <v>67929</v>
      </c>
      <c r="I22410" t="s">
        <v>184</v>
      </c>
      <c r="J22410" t="s">
        <v>30</v>
      </c>
      <c r="K22410" t="s">
        <v>10425</v>
      </c>
      <c r="M22410" t="s">
        <v>50621</v>
      </c>
      <c r="N22410" t="str">
        <f>"4/4/2024 10:24:00 AM"</f>
        <v>4/4/2024 10:24:00 AM</v>
      </c>
      <c r="O22410" t="s">
        <v>67927</v>
      </c>
      <c r="T22410" t="s">
        <v>67928</v>
      </c>
    </row>
    <row r="22411" spans="1:20" x14ac:dyDescent="0.25">
      <c r="A22411" t="str">
        <f>"3061093"</f>
        <v>3061093</v>
      </c>
      <c r="B22411" t="s">
        <v>67930</v>
      </c>
      <c r="C22411" t="str">
        <f>"8322146"</f>
        <v>8322146</v>
      </c>
      <c r="D22411" t="s">
        <v>67931</v>
      </c>
      <c r="F22411" t="s">
        <v>67932</v>
      </c>
      <c r="I22411" t="s">
        <v>184</v>
      </c>
      <c r="J22411" t="s">
        <v>30</v>
      </c>
      <c r="K22411" t="s">
        <v>36562</v>
      </c>
      <c r="M22411" t="s">
        <v>50500</v>
      </c>
      <c r="N22411" t="str">
        <f>"4/5/2024 9:50:00 AM"</f>
        <v>4/5/2024 9:50:00 AM</v>
      </c>
      <c r="O22411" t="s">
        <v>67931</v>
      </c>
    </row>
    <row r="22412" spans="1:20" x14ac:dyDescent="0.25">
      <c r="A22412" t="str">
        <f>"3049763"</f>
        <v>3049763</v>
      </c>
      <c r="B22412" t="s">
        <v>67933</v>
      </c>
      <c r="C22412" t="str">
        <f>"8322147"</f>
        <v>8322147</v>
      </c>
      <c r="D22412" t="s">
        <v>67934</v>
      </c>
      <c r="E22412" t="s">
        <v>67935</v>
      </c>
      <c r="F22412" t="s">
        <v>54306</v>
      </c>
      <c r="I22412" t="s">
        <v>29</v>
      </c>
      <c r="J22412" t="s">
        <v>30</v>
      </c>
      <c r="K22412" t="s">
        <v>34638</v>
      </c>
      <c r="M22412" t="s">
        <v>50500</v>
      </c>
      <c r="N22412" t="str">
        <f>"4/5/2024 9:55:00 AM"</f>
        <v>4/5/2024 9:55:00 AM</v>
      </c>
      <c r="O22412" t="s">
        <v>67934</v>
      </c>
      <c r="T22412" t="s">
        <v>67935</v>
      </c>
    </row>
    <row r="22413" spans="1:20" x14ac:dyDescent="0.25">
      <c r="A22413" t="str">
        <f>"3047059"</f>
        <v>3047059</v>
      </c>
      <c r="B22413" t="s">
        <v>67936</v>
      </c>
      <c r="C22413" t="str">
        <f>"8322148"</f>
        <v>8322148</v>
      </c>
      <c r="D22413" t="s">
        <v>67937</v>
      </c>
      <c r="F22413" t="s">
        <v>67938</v>
      </c>
      <c r="I22413" t="s">
        <v>184</v>
      </c>
      <c r="J22413" t="s">
        <v>30</v>
      </c>
      <c r="K22413" t="s">
        <v>67939</v>
      </c>
      <c r="M22413" t="s">
        <v>50500</v>
      </c>
      <c r="N22413" t="str">
        <f>"4/5/2024 10:00:00 AM"</f>
        <v>4/5/2024 10:00:00 AM</v>
      </c>
      <c r="O22413" t="s">
        <v>67937</v>
      </c>
    </row>
    <row r="22414" spans="1:20" x14ac:dyDescent="0.25">
      <c r="A22414" t="str">
        <f>"3055999"</f>
        <v>3055999</v>
      </c>
      <c r="B22414" t="s">
        <v>67940</v>
      </c>
      <c r="C22414" t="str">
        <f>"82523756"</f>
        <v>82523756</v>
      </c>
      <c r="D22414" t="s">
        <v>67941</v>
      </c>
      <c r="E22414" t="s">
        <v>67942</v>
      </c>
      <c r="F22414" t="s">
        <v>67943</v>
      </c>
      <c r="I22414" t="s">
        <v>67944</v>
      </c>
      <c r="J22414" t="s">
        <v>11346</v>
      </c>
      <c r="K22414" t="s">
        <v>67945</v>
      </c>
      <c r="M22414" t="s">
        <v>51351</v>
      </c>
      <c r="N22414" t="str">
        <f>"4/5/2024 10:12:00 AM"</f>
        <v>4/5/2024 10:12:00 AM</v>
      </c>
      <c r="O22414" t="s">
        <v>67941</v>
      </c>
      <c r="T22414" t="s">
        <v>67942</v>
      </c>
    </row>
    <row r="22415" spans="1:20" x14ac:dyDescent="0.25">
      <c r="A22415" t="str">
        <f>"3078480"</f>
        <v>3078480</v>
      </c>
      <c r="B22415" t="s">
        <v>67946</v>
      </c>
      <c r="C22415" t="str">
        <f>"8322150"</f>
        <v>8322150</v>
      </c>
      <c r="D22415" t="s">
        <v>67947</v>
      </c>
      <c r="E22415" t="s">
        <v>67948</v>
      </c>
      <c r="F22415" t="s">
        <v>67949</v>
      </c>
      <c r="I22415" t="s">
        <v>184</v>
      </c>
      <c r="J22415" t="s">
        <v>30</v>
      </c>
      <c r="K22415" t="s">
        <v>67950</v>
      </c>
      <c r="M22415" t="s">
        <v>50500</v>
      </c>
      <c r="N22415" t="str">
        <f>"4/5/2024 10:38:00 AM"</f>
        <v>4/5/2024 10:38:00 AM</v>
      </c>
      <c r="O22415" t="s">
        <v>67947</v>
      </c>
      <c r="T22415" t="s">
        <v>67948</v>
      </c>
    </row>
    <row r="22416" spans="1:20" x14ac:dyDescent="0.25">
      <c r="A22416" t="str">
        <f>"3060380"</f>
        <v>3060380</v>
      </c>
      <c r="B22416" t="s">
        <v>67951</v>
      </c>
      <c r="C22416" t="str">
        <f>"8313672"</f>
        <v>8313672</v>
      </c>
      <c r="D22416" t="s">
        <v>67952</v>
      </c>
      <c r="F22416" t="s">
        <v>67953</v>
      </c>
      <c r="I22416" t="s">
        <v>29</v>
      </c>
      <c r="J22416" t="s">
        <v>30</v>
      </c>
      <c r="K22416" t="s">
        <v>477</v>
      </c>
      <c r="M22416" t="s">
        <v>50621</v>
      </c>
      <c r="N22416" t="str">
        <f>"4/4/2024 10:45:00 AM"</f>
        <v>4/4/2024 10:45:00 AM</v>
      </c>
      <c r="O22416" t="s">
        <v>67952</v>
      </c>
    </row>
    <row r="22417" spans="1:20" x14ac:dyDescent="0.25">
      <c r="A22417" t="str">
        <f>"3049594"</f>
        <v>3049594</v>
      </c>
      <c r="B22417" t="s">
        <v>67954</v>
      </c>
      <c r="C22417" t="str">
        <f>"8315008"</f>
        <v>8315008</v>
      </c>
      <c r="D22417" t="s">
        <v>67955</v>
      </c>
      <c r="F22417" t="s">
        <v>41090</v>
      </c>
      <c r="I22417" t="s">
        <v>2071</v>
      </c>
      <c r="J22417" t="s">
        <v>30</v>
      </c>
      <c r="K22417" t="s">
        <v>35233</v>
      </c>
      <c r="M22417" t="s">
        <v>50621</v>
      </c>
      <c r="N22417" t="str">
        <f>"4/5/2024 10:53:00 AM"</f>
        <v>4/5/2024 10:53:00 AM</v>
      </c>
      <c r="O22417" t="s">
        <v>67955</v>
      </c>
    </row>
    <row r="22418" spans="1:20" x14ac:dyDescent="0.25">
      <c r="A22418" t="str">
        <f>"3050002"</f>
        <v>3050002</v>
      </c>
      <c r="B22418" t="s">
        <v>67956</v>
      </c>
      <c r="C22418" t="str">
        <f>"82522308"</f>
        <v>82522308</v>
      </c>
      <c r="D22418" t="s">
        <v>67957</v>
      </c>
      <c r="F22418" t="s">
        <v>36369</v>
      </c>
      <c r="I22418" t="s">
        <v>29</v>
      </c>
      <c r="J22418" t="s">
        <v>30</v>
      </c>
      <c r="K22418" t="s">
        <v>59562</v>
      </c>
      <c r="M22418" t="s">
        <v>50621</v>
      </c>
      <c r="N22418" t="str">
        <f>"4/5/2024 11:23:00 AM"</f>
        <v>4/5/2024 11:23:00 AM</v>
      </c>
      <c r="O22418" t="s">
        <v>67957</v>
      </c>
    </row>
    <row r="22419" spans="1:20" x14ac:dyDescent="0.25">
      <c r="A22419" t="str">
        <f>"3054934"</f>
        <v>3054934</v>
      </c>
      <c r="B22419" t="s">
        <v>67958</v>
      </c>
      <c r="C22419" t="str">
        <f>"82532097"</f>
        <v>82532097</v>
      </c>
      <c r="D22419" t="s">
        <v>67959</v>
      </c>
      <c r="F22419" t="s">
        <v>67960</v>
      </c>
      <c r="I22419" t="s">
        <v>29</v>
      </c>
      <c r="J22419" t="s">
        <v>30</v>
      </c>
      <c r="K22419" t="s">
        <v>31</v>
      </c>
      <c r="M22419" t="s">
        <v>50621</v>
      </c>
      <c r="N22419" t="str">
        <f>"4/5/2024 12:03:00 PM"</f>
        <v>4/5/2024 12:03:00 PM</v>
      </c>
      <c r="O22419" t="s">
        <v>67959</v>
      </c>
    </row>
    <row r="22420" spans="1:20" x14ac:dyDescent="0.25">
      <c r="A22420" t="str">
        <f>"3055007"</f>
        <v>3055007</v>
      </c>
      <c r="B22420" t="s">
        <v>67961</v>
      </c>
      <c r="C22420" t="str">
        <f>"82532097"</f>
        <v>82532097</v>
      </c>
      <c r="D22420" t="s">
        <v>67959</v>
      </c>
      <c r="F22420" t="s">
        <v>67960</v>
      </c>
      <c r="I22420" t="s">
        <v>29</v>
      </c>
      <c r="J22420" t="s">
        <v>30</v>
      </c>
      <c r="K22420" t="s">
        <v>31</v>
      </c>
      <c r="M22420" t="s">
        <v>50621</v>
      </c>
      <c r="N22420" t="str">
        <f>"4/5/2024 12:03:00 PM"</f>
        <v>4/5/2024 12:03:00 PM</v>
      </c>
      <c r="O22420" t="s">
        <v>67959</v>
      </c>
    </row>
    <row r="22421" spans="1:20" x14ac:dyDescent="0.25">
      <c r="A22421" t="str">
        <f>"3037978"</f>
        <v>3037978</v>
      </c>
      <c r="B22421" t="s">
        <v>67962</v>
      </c>
      <c r="C22421" t="str">
        <f>"8317450"</f>
        <v>8317450</v>
      </c>
      <c r="D22421" t="s">
        <v>67963</v>
      </c>
      <c r="F22421" t="s">
        <v>67964</v>
      </c>
      <c r="I22421" t="s">
        <v>471</v>
      </c>
      <c r="J22421" t="s">
        <v>30</v>
      </c>
      <c r="K22421" t="s">
        <v>67965</v>
      </c>
      <c r="M22421" t="s">
        <v>50621</v>
      </c>
      <c r="N22421" t="str">
        <f>"4/4/2024 10:58:00 AM"</f>
        <v>4/4/2024 10:58:00 AM</v>
      </c>
      <c r="O22421" t="s">
        <v>67963</v>
      </c>
    </row>
    <row r="22422" spans="1:20" x14ac:dyDescent="0.25">
      <c r="A22422" t="str">
        <f>"3037961"</f>
        <v>3037961</v>
      </c>
      <c r="B22422" t="s">
        <v>67966</v>
      </c>
      <c r="C22422" t="str">
        <f>"8317450"</f>
        <v>8317450</v>
      </c>
      <c r="D22422" t="s">
        <v>67963</v>
      </c>
      <c r="F22422" t="s">
        <v>67964</v>
      </c>
      <c r="I22422" t="s">
        <v>471</v>
      </c>
      <c r="J22422" t="s">
        <v>30</v>
      </c>
      <c r="K22422" t="s">
        <v>67965</v>
      </c>
      <c r="M22422" t="s">
        <v>50621</v>
      </c>
      <c r="N22422" t="str">
        <f>"4/4/2024 10:58:00 AM"</f>
        <v>4/4/2024 10:58:00 AM</v>
      </c>
      <c r="O22422" t="s">
        <v>67963</v>
      </c>
    </row>
    <row r="22423" spans="1:20" x14ac:dyDescent="0.25">
      <c r="A22423" t="str">
        <f>"3058424"</f>
        <v>3058424</v>
      </c>
      <c r="B22423" t="s">
        <v>67967</v>
      </c>
      <c r="C22423" t="str">
        <f>"8322158"</f>
        <v>8322158</v>
      </c>
      <c r="D22423" t="s">
        <v>67968</v>
      </c>
      <c r="E22423" t="s">
        <v>67969</v>
      </c>
      <c r="F22423" t="s">
        <v>67970</v>
      </c>
      <c r="I22423" t="s">
        <v>29</v>
      </c>
      <c r="J22423" t="s">
        <v>30</v>
      </c>
      <c r="K22423" t="s">
        <v>59681</v>
      </c>
      <c r="M22423" t="s">
        <v>50500</v>
      </c>
      <c r="N22423" t="str">
        <f>"4/5/2024 2:35:00 PM"</f>
        <v>4/5/2024 2:35:00 PM</v>
      </c>
      <c r="O22423" t="s">
        <v>67968</v>
      </c>
      <c r="T22423" t="s">
        <v>67969</v>
      </c>
    </row>
    <row r="22424" spans="1:20" x14ac:dyDescent="0.25">
      <c r="A22424" t="str">
        <f>"3062164"</f>
        <v>3062164</v>
      </c>
      <c r="B22424" t="s">
        <v>67971</v>
      </c>
      <c r="C22424" t="str">
        <f>"8322159"</f>
        <v>8322159</v>
      </c>
      <c r="D22424" t="s">
        <v>67972</v>
      </c>
      <c r="E22424" t="s">
        <v>67973</v>
      </c>
      <c r="F22424" t="s">
        <v>67974</v>
      </c>
      <c r="I22424" t="s">
        <v>184</v>
      </c>
      <c r="J22424" t="s">
        <v>30</v>
      </c>
      <c r="K22424" t="s">
        <v>64153</v>
      </c>
      <c r="M22424" t="s">
        <v>50500</v>
      </c>
      <c r="N22424" t="str">
        <f>"4/5/2024 3:16:00 PM"</f>
        <v>4/5/2024 3:16:00 PM</v>
      </c>
      <c r="O22424" t="s">
        <v>67972</v>
      </c>
      <c r="T22424" t="s">
        <v>67973</v>
      </c>
    </row>
    <row r="22425" spans="1:20" x14ac:dyDescent="0.25">
      <c r="A22425" t="str">
        <f>"3043140"</f>
        <v>3043140</v>
      </c>
      <c r="B22425" t="s">
        <v>67975</v>
      </c>
      <c r="C22425" t="str">
        <f>"8322160"</f>
        <v>8322160</v>
      </c>
      <c r="D22425" t="s">
        <v>67976</v>
      </c>
      <c r="F22425" t="s">
        <v>67977</v>
      </c>
      <c r="I22425" t="s">
        <v>29</v>
      </c>
      <c r="J22425" t="s">
        <v>30</v>
      </c>
      <c r="K22425" t="s">
        <v>34900</v>
      </c>
      <c r="M22425" t="s">
        <v>50500</v>
      </c>
      <c r="N22425" t="str">
        <f>"4/5/2024 4:12:00 PM"</f>
        <v>4/5/2024 4:12:00 PM</v>
      </c>
      <c r="O22425" t="s">
        <v>67976</v>
      </c>
    </row>
    <row r="22426" spans="1:20" x14ac:dyDescent="0.25">
      <c r="A22426" t="str">
        <f>"3043359"</f>
        <v>3043359</v>
      </c>
      <c r="B22426" t="s">
        <v>67978</v>
      </c>
      <c r="C22426" t="str">
        <f>"8322160"</f>
        <v>8322160</v>
      </c>
      <c r="D22426" t="s">
        <v>67976</v>
      </c>
      <c r="F22426" t="s">
        <v>67977</v>
      </c>
      <c r="I22426" t="s">
        <v>29</v>
      </c>
      <c r="J22426" t="s">
        <v>30</v>
      </c>
      <c r="K22426" t="s">
        <v>34900</v>
      </c>
      <c r="M22426" t="s">
        <v>50500</v>
      </c>
      <c r="N22426" t="str">
        <f>"4/5/2024 4:12:00 PM"</f>
        <v>4/5/2024 4:12:00 PM</v>
      </c>
      <c r="O22426" t="s">
        <v>67976</v>
      </c>
    </row>
    <row r="22427" spans="1:20" x14ac:dyDescent="0.25">
      <c r="A22427" t="str">
        <f>"3062643"</f>
        <v>3062643</v>
      </c>
      <c r="B22427" t="s">
        <v>67979</v>
      </c>
      <c r="C22427" t="str">
        <f>"8322161"</f>
        <v>8322161</v>
      </c>
      <c r="D22427" t="s">
        <v>67980</v>
      </c>
      <c r="F22427" t="s">
        <v>67981</v>
      </c>
      <c r="I22427" t="s">
        <v>2071</v>
      </c>
      <c r="J22427" t="s">
        <v>30</v>
      </c>
      <c r="K22427" t="str">
        <f>"27006"</f>
        <v>27006</v>
      </c>
      <c r="M22427" t="s">
        <v>50500</v>
      </c>
      <c r="N22427" t="str">
        <f>"4/8/2024 8:04:00 AM"</f>
        <v>4/8/2024 8:04:00 AM</v>
      </c>
      <c r="O22427" t="s">
        <v>67980</v>
      </c>
    </row>
    <row r="22428" spans="1:20" x14ac:dyDescent="0.25">
      <c r="A22428" t="str">
        <f>"3052116"</f>
        <v>3052116</v>
      </c>
      <c r="B22428" t="s">
        <v>67982</v>
      </c>
      <c r="C22428" t="str">
        <f>"8322162"</f>
        <v>8322162</v>
      </c>
      <c r="D22428" t="s">
        <v>67983</v>
      </c>
      <c r="F22428" t="s">
        <v>67984</v>
      </c>
      <c r="I22428" t="s">
        <v>29</v>
      </c>
      <c r="J22428" t="s">
        <v>30</v>
      </c>
      <c r="K22428" t="s">
        <v>67985</v>
      </c>
      <c r="M22428" t="s">
        <v>50500</v>
      </c>
      <c r="N22428" t="str">
        <f>"4/8/2024 8:28:00 AM"</f>
        <v>4/8/2024 8:28:00 AM</v>
      </c>
      <c r="O22428" t="s">
        <v>67983</v>
      </c>
    </row>
    <row r="22429" spans="1:20" x14ac:dyDescent="0.25">
      <c r="A22429" t="str">
        <f>"3046913"</f>
        <v>3046913</v>
      </c>
      <c r="B22429" t="s">
        <v>67986</v>
      </c>
      <c r="C22429" t="str">
        <f>"8322163"</f>
        <v>8322163</v>
      </c>
      <c r="D22429" t="str">
        <f>"FRANCESCHI MARA SHERDEN TR/LOEHE TANJA BIRGOT TR"</f>
        <v>FRANCESCHI MARA SHERDEN TR/LOEHE TANJA BIRGOT TR</v>
      </c>
      <c r="E22429" t="s">
        <v>67987</v>
      </c>
      <c r="F22429" t="s">
        <v>67988</v>
      </c>
      <c r="I22429" t="s">
        <v>67989</v>
      </c>
      <c r="J22429" t="s">
        <v>9877</v>
      </c>
      <c r="K22429" t="s">
        <v>67990</v>
      </c>
      <c r="M22429" t="s">
        <v>50500</v>
      </c>
      <c r="N22429" t="str">
        <f>"4/8/2024 9:23:00 AM"</f>
        <v>4/8/2024 9:23:00 AM</v>
      </c>
      <c r="O22429" t="str">
        <f>"FRANCESCHI MARA SHERDEN TR/LOEHE TANJA BIRGOT TR"</f>
        <v>FRANCESCHI MARA SHERDEN TR/LOEHE TANJA BIRGOT TR</v>
      </c>
      <c r="T22429" t="s">
        <v>67987</v>
      </c>
    </row>
    <row r="22430" spans="1:20" x14ac:dyDescent="0.25">
      <c r="A22430" t="str">
        <f>"3078445"</f>
        <v>3078445</v>
      </c>
      <c r="B22430" t="s">
        <v>67991</v>
      </c>
      <c r="C22430" t="str">
        <f>"8322163"</f>
        <v>8322163</v>
      </c>
      <c r="D22430" t="str">
        <f>"FRANCESCHI MARA SHERDEN TR/LOEHE TANJA BIRGOT TR"</f>
        <v>FRANCESCHI MARA SHERDEN TR/LOEHE TANJA BIRGOT TR</v>
      </c>
      <c r="E22430" t="s">
        <v>67987</v>
      </c>
      <c r="F22430" t="s">
        <v>67988</v>
      </c>
      <c r="I22430" t="s">
        <v>67989</v>
      </c>
      <c r="J22430" t="s">
        <v>9877</v>
      </c>
      <c r="K22430" t="s">
        <v>67990</v>
      </c>
      <c r="M22430" t="s">
        <v>50500</v>
      </c>
      <c r="N22430" t="str">
        <f>"4/8/2024 9:23:00 AM"</f>
        <v>4/8/2024 9:23:00 AM</v>
      </c>
      <c r="O22430" t="str">
        <f>"FRANCESCHI MARA SHERDEN TR/LOEHE TANJA BIRGOT TR"</f>
        <v>FRANCESCHI MARA SHERDEN TR/LOEHE TANJA BIRGOT TR</v>
      </c>
      <c r="T22430" t="s">
        <v>67987</v>
      </c>
    </row>
    <row r="22431" spans="1:20" x14ac:dyDescent="0.25">
      <c r="A22431" t="str">
        <f>"3060585"</f>
        <v>3060585</v>
      </c>
      <c r="B22431" t="s">
        <v>67992</v>
      </c>
      <c r="C22431" t="str">
        <f>"8322164"</f>
        <v>8322164</v>
      </c>
      <c r="D22431" t="s">
        <v>67993</v>
      </c>
      <c r="E22431" t="s">
        <v>67994</v>
      </c>
      <c r="F22431" t="s">
        <v>67995</v>
      </c>
      <c r="I22431" t="s">
        <v>2071</v>
      </c>
      <c r="J22431" t="s">
        <v>30</v>
      </c>
      <c r="K22431" t="s">
        <v>6342</v>
      </c>
      <c r="M22431" t="s">
        <v>50500</v>
      </c>
      <c r="N22431" t="str">
        <f>"4/8/2024 9:28:00 AM"</f>
        <v>4/8/2024 9:28:00 AM</v>
      </c>
      <c r="O22431" t="s">
        <v>67993</v>
      </c>
      <c r="T22431" t="s">
        <v>67994</v>
      </c>
    </row>
    <row r="22432" spans="1:20" x14ac:dyDescent="0.25">
      <c r="A22432" t="str">
        <f>"3047344"</f>
        <v>3047344</v>
      </c>
      <c r="B22432" t="s">
        <v>67996</v>
      </c>
      <c r="C22432" t="str">
        <f>"8318453"</f>
        <v>8318453</v>
      </c>
      <c r="D22432" t="s">
        <v>67997</v>
      </c>
      <c r="E22432" t="s">
        <v>67998</v>
      </c>
      <c r="F22432" t="s">
        <v>67999</v>
      </c>
      <c r="I22432" t="s">
        <v>184</v>
      </c>
      <c r="J22432" t="s">
        <v>30</v>
      </c>
      <c r="K22432" t="s">
        <v>68000</v>
      </c>
      <c r="M22432" t="s">
        <v>50621</v>
      </c>
      <c r="N22432" t="str">
        <f>"4/4/2024 11:23:00 AM"</f>
        <v>4/4/2024 11:23:00 AM</v>
      </c>
      <c r="O22432" t="s">
        <v>67997</v>
      </c>
      <c r="T22432" t="s">
        <v>67998</v>
      </c>
    </row>
    <row r="22433" spans="1:20" x14ac:dyDescent="0.25">
      <c r="A22433" t="str">
        <f>"3056981"</f>
        <v>3056981</v>
      </c>
      <c r="B22433" t="s">
        <v>68001</v>
      </c>
      <c r="C22433" t="str">
        <f>"8322166"</f>
        <v>8322166</v>
      </c>
      <c r="D22433" t="s">
        <v>68002</v>
      </c>
      <c r="F22433" t="s">
        <v>68003</v>
      </c>
      <c r="I22433" t="s">
        <v>29</v>
      </c>
      <c r="J22433" t="s">
        <v>30</v>
      </c>
      <c r="K22433" t="s">
        <v>15756</v>
      </c>
      <c r="M22433" t="s">
        <v>50500</v>
      </c>
      <c r="N22433" t="str">
        <f>"4/8/2024 9:51:00 AM"</f>
        <v>4/8/2024 9:51:00 AM</v>
      </c>
      <c r="O22433" t="s">
        <v>68002</v>
      </c>
    </row>
    <row r="22434" spans="1:20" x14ac:dyDescent="0.25">
      <c r="A22434" t="str">
        <f>"3061877"</f>
        <v>3061877</v>
      </c>
      <c r="B22434" t="s">
        <v>68004</v>
      </c>
      <c r="C22434" t="str">
        <f>"37258250"</f>
        <v>37258250</v>
      </c>
      <c r="D22434" t="s">
        <v>68005</v>
      </c>
      <c r="F22434" t="s">
        <v>68006</v>
      </c>
      <c r="I22434" t="s">
        <v>29</v>
      </c>
      <c r="J22434" t="s">
        <v>30</v>
      </c>
      <c r="K22434" t="s">
        <v>68007</v>
      </c>
      <c r="M22434" t="s">
        <v>50793</v>
      </c>
      <c r="N22434" t="str">
        <f>"4/8/2024 9:53:00 AM"</f>
        <v>4/8/2024 9:53:00 AM</v>
      </c>
      <c r="O22434" t="s">
        <v>68005</v>
      </c>
    </row>
    <row r="22435" spans="1:20" x14ac:dyDescent="0.25">
      <c r="A22435" t="str">
        <f>"3039333"</f>
        <v>3039333</v>
      </c>
      <c r="B22435" t="s">
        <v>68008</v>
      </c>
      <c r="C22435" t="str">
        <f>"82521812"</f>
        <v>82521812</v>
      </c>
      <c r="D22435" t="s">
        <v>68009</v>
      </c>
      <c r="F22435" t="s">
        <v>68010</v>
      </c>
      <c r="I22435" t="s">
        <v>184</v>
      </c>
      <c r="J22435" t="s">
        <v>30</v>
      </c>
      <c r="K22435" t="s">
        <v>185</v>
      </c>
      <c r="M22435" t="s">
        <v>50621</v>
      </c>
      <c r="N22435" t="str">
        <f>"4/8/2024 10:12:00 AM"</f>
        <v>4/8/2024 10:12:00 AM</v>
      </c>
      <c r="O22435" t="s">
        <v>68009</v>
      </c>
      <c r="T22435" t="s">
        <v>68009</v>
      </c>
    </row>
    <row r="22436" spans="1:20" x14ac:dyDescent="0.25">
      <c r="A22436" t="str">
        <f>"3052940"</f>
        <v>3052940</v>
      </c>
      <c r="B22436" t="s">
        <v>68011</v>
      </c>
      <c r="C22436" t="str">
        <f>"8318233"</f>
        <v>8318233</v>
      </c>
      <c r="D22436" t="s">
        <v>68012</v>
      </c>
      <c r="F22436" t="s">
        <v>68013</v>
      </c>
      <c r="I22436" t="s">
        <v>29</v>
      </c>
      <c r="J22436" t="s">
        <v>30</v>
      </c>
      <c r="K22436" t="s">
        <v>27276</v>
      </c>
      <c r="M22436" t="s">
        <v>50621</v>
      </c>
      <c r="N22436" t="str">
        <f>"4/8/2024 10:24:00 AM"</f>
        <v>4/8/2024 10:24:00 AM</v>
      </c>
      <c r="O22436" t="s">
        <v>68012</v>
      </c>
    </row>
    <row r="22437" spans="1:20" x14ac:dyDescent="0.25">
      <c r="A22437" t="str">
        <f>"3042871"</f>
        <v>3042871</v>
      </c>
      <c r="B22437" t="s">
        <v>68014</v>
      </c>
      <c r="C22437" t="str">
        <f>"8301379"</f>
        <v>8301379</v>
      </c>
      <c r="D22437" t="s">
        <v>68015</v>
      </c>
      <c r="E22437" t="s">
        <v>68016</v>
      </c>
      <c r="F22437" t="s">
        <v>68017</v>
      </c>
      <c r="I22437" t="s">
        <v>29</v>
      </c>
      <c r="J22437" t="s">
        <v>30</v>
      </c>
      <c r="K22437" t="str">
        <f>"27028"</f>
        <v>27028</v>
      </c>
      <c r="M22437" t="s">
        <v>50793</v>
      </c>
      <c r="N22437" t="str">
        <f>"4/8/2024 10:32:00 AM"</f>
        <v>4/8/2024 10:32:00 AM</v>
      </c>
      <c r="O22437" t="s">
        <v>68015</v>
      </c>
      <c r="T22437" t="s">
        <v>68016</v>
      </c>
    </row>
    <row r="22438" spans="1:20" x14ac:dyDescent="0.25">
      <c r="A22438" t="str">
        <f>"3045302"</f>
        <v>3045302</v>
      </c>
      <c r="B22438" t="s">
        <v>68018</v>
      </c>
      <c r="C22438" t="str">
        <f>"8302110"</f>
        <v>8302110</v>
      </c>
      <c r="D22438" t="s">
        <v>68019</v>
      </c>
      <c r="E22438" t="s">
        <v>68020</v>
      </c>
      <c r="F22438" t="s">
        <v>68021</v>
      </c>
      <c r="I22438" t="s">
        <v>68022</v>
      </c>
      <c r="J22438" t="s">
        <v>30</v>
      </c>
      <c r="K22438" t="s">
        <v>68023</v>
      </c>
      <c r="M22438" t="s">
        <v>50621</v>
      </c>
      <c r="N22438" t="str">
        <f>"4/8/2024 10:59:00 AM"</f>
        <v>4/8/2024 10:59:00 AM</v>
      </c>
      <c r="O22438" t="s">
        <v>68019</v>
      </c>
      <c r="T22438" t="s">
        <v>68020</v>
      </c>
    </row>
    <row r="22439" spans="1:20" x14ac:dyDescent="0.25">
      <c r="A22439" t="str">
        <f>"3039358"</f>
        <v>3039358</v>
      </c>
      <c r="B22439" t="s">
        <v>68024</v>
      </c>
      <c r="C22439" t="str">
        <f>"8318267"</f>
        <v>8318267</v>
      </c>
      <c r="D22439" t="s">
        <v>68025</v>
      </c>
      <c r="F22439" t="s">
        <v>68026</v>
      </c>
      <c r="I22439" t="s">
        <v>29</v>
      </c>
      <c r="J22439" t="s">
        <v>30</v>
      </c>
      <c r="K22439" t="s">
        <v>68027</v>
      </c>
      <c r="M22439" t="s">
        <v>50500</v>
      </c>
      <c r="N22439" t="str">
        <f>"4/8/2024 11:04:00 AM"</f>
        <v>4/8/2024 11:04:00 AM</v>
      </c>
      <c r="O22439" t="s">
        <v>68025</v>
      </c>
    </row>
    <row r="22440" spans="1:20" x14ac:dyDescent="0.25">
      <c r="A22440" t="str">
        <f>"3039962"</f>
        <v>3039962</v>
      </c>
      <c r="B22440" t="s">
        <v>68028</v>
      </c>
      <c r="C22440" t="str">
        <f>"8318267"</f>
        <v>8318267</v>
      </c>
      <c r="D22440" t="s">
        <v>68025</v>
      </c>
      <c r="F22440" t="s">
        <v>68026</v>
      </c>
      <c r="I22440" t="s">
        <v>29</v>
      </c>
      <c r="J22440" t="s">
        <v>30</v>
      </c>
      <c r="K22440" t="s">
        <v>68027</v>
      </c>
      <c r="M22440" t="s">
        <v>50500</v>
      </c>
      <c r="N22440" t="str">
        <f>"4/8/2024 11:04:00 AM"</f>
        <v>4/8/2024 11:04:00 AM</v>
      </c>
      <c r="O22440" t="s">
        <v>68025</v>
      </c>
    </row>
    <row r="22441" spans="1:20" x14ac:dyDescent="0.25">
      <c r="A22441" t="str">
        <f>"3062448"</f>
        <v>3062448</v>
      </c>
      <c r="B22441" t="s">
        <v>68029</v>
      </c>
      <c r="C22441" t="str">
        <f>"8315045"</f>
        <v>8315045</v>
      </c>
      <c r="D22441" t="s">
        <v>68030</v>
      </c>
      <c r="F22441" t="s">
        <v>68031</v>
      </c>
      <c r="I22441" t="s">
        <v>2071</v>
      </c>
      <c r="J22441" t="s">
        <v>30</v>
      </c>
      <c r="K22441" t="s">
        <v>35875</v>
      </c>
      <c r="M22441" t="s">
        <v>50621</v>
      </c>
      <c r="N22441" t="str">
        <f>"4/4/2024 12:34:00 PM"</f>
        <v>4/4/2024 12:34:00 PM</v>
      </c>
      <c r="O22441" t="s">
        <v>68030</v>
      </c>
    </row>
    <row r="22442" spans="1:20" x14ac:dyDescent="0.25">
      <c r="A22442" t="str">
        <f>"3058311"</f>
        <v>3058311</v>
      </c>
      <c r="B22442" t="s">
        <v>68032</v>
      </c>
      <c r="C22442" t="str">
        <f>"8322170"</f>
        <v>8322170</v>
      </c>
      <c r="D22442" t="s">
        <v>68033</v>
      </c>
      <c r="E22442" t="s">
        <v>53956</v>
      </c>
      <c r="F22442" t="s">
        <v>68034</v>
      </c>
      <c r="I22442" t="s">
        <v>29</v>
      </c>
      <c r="J22442" t="s">
        <v>30</v>
      </c>
      <c r="K22442" t="s">
        <v>63029</v>
      </c>
      <c r="M22442" t="s">
        <v>50500</v>
      </c>
      <c r="N22442" t="str">
        <f>"4/8/2024 11:41:00 AM"</f>
        <v>4/8/2024 11:41:00 AM</v>
      </c>
      <c r="O22442" t="s">
        <v>68033</v>
      </c>
      <c r="T22442" t="s">
        <v>53956</v>
      </c>
    </row>
    <row r="22443" spans="1:20" x14ac:dyDescent="0.25">
      <c r="A22443" t="str">
        <f>"3078203"</f>
        <v>3078203</v>
      </c>
      <c r="B22443" t="s">
        <v>68035</v>
      </c>
      <c r="C22443" t="str">
        <f>"8322171"</f>
        <v>8322171</v>
      </c>
      <c r="D22443" t="s">
        <v>68036</v>
      </c>
      <c r="E22443" t="s">
        <v>68037</v>
      </c>
      <c r="F22443" t="s">
        <v>57181</v>
      </c>
      <c r="I22443" t="s">
        <v>29</v>
      </c>
      <c r="J22443" t="s">
        <v>30</v>
      </c>
      <c r="K22443" t="s">
        <v>25805</v>
      </c>
      <c r="M22443" t="s">
        <v>50500</v>
      </c>
      <c r="N22443" t="str">
        <f>"4/8/2024 11:49:00 AM"</f>
        <v>4/8/2024 11:49:00 AM</v>
      </c>
      <c r="O22443" t="s">
        <v>68036</v>
      </c>
      <c r="T22443" t="s">
        <v>68037</v>
      </c>
    </row>
    <row r="22444" spans="1:20" x14ac:dyDescent="0.25">
      <c r="A22444" t="str">
        <f>"3062575"</f>
        <v>3062575</v>
      </c>
      <c r="B22444" t="s">
        <v>68038</v>
      </c>
      <c r="C22444" t="str">
        <f>"8322172"</f>
        <v>8322172</v>
      </c>
      <c r="D22444" t="s">
        <v>68039</v>
      </c>
      <c r="E22444" t="s">
        <v>68040</v>
      </c>
      <c r="F22444" t="s">
        <v>68041</v>
      </c>
      <c r="I22444" t="s">
        <v>29</v>
      </c>
      <c r="J22444" t="s">
        <v>30</v>
      </c>
      <c r="K22444" t="s">
        <v>8004</v>
      </c>
      <c r="M22444" t="s">
        <v>50500</v>
      </c>
      <c r="N22444" t="str">
        <f>"4/8/2024 11:56:00 AM"</f>
        <v>4/8/2024 11:56:00 AM</v>
      </c>
      <c r="O22444" t="s">
        <v>68039</v>
      </c>
      <c r="T22444" t="s">
        <v>68040</v>
      </c>
    </row>
    <row r="22445" spans="1:20" x14ac:dyDescent="0.25">
      <c r="A22445" t="str">
        <f>"3048881"</f>
        <v>3048881</v>
      </c>
      <c r="B22445" t="s">
        <v>68042</v>
      </c>
      <c r="C22445" t="str">
        <f>"8322172"</f>
        <v>8322172</v>
      </c>
      <c r="D22445" t="s">
        <v>68039</v>
      </c>
      <c r="E22445" t="s">
        <v>68040</v>
      </c>
      <c r="F22445" t="s">
        <v>68041</v>
      </c>
      <c r="I22445" t="s">
        <v>29</v>
      </c>
      <c r="J22445" t="s">
        <v>30</v>
      </c>
      <c r="K22445" t="s">
        <v>8004</v>
      </c>
      <c r="M22445" t="s">
        <v>50500</v>
      </c>
      <c r="N22445" t="str">
        <f>"4/8/2024 11:56:00 AM"</f>
        <v>4/8/2024 11:56:00 AM</v>
      </c>
      <c r="O22445" t="s">
        <v>68039</v>
      </c>
      <c r="T22445" t="s">
        <v>68040</v>
      </c>
    </row>
    <row r="22446" spans="1:20" x14ac:dyDescent="0.25">
      <c r="A22446" t="str">
        <f>"3043726"</f>
        <v>3043726</v>
      </c>
      <c r="B22446" t="s">
        <v>68043</v>
      </c>
      <c r="C22446" t="str">
        <f>"8318533"</f>
        <v>8318533</v>
      </c>
      <c r="D22446" t="s">
        <v>68044</v>
      </c>
      <c r="F22446" t="s">
        <v>68045</v>
      </c>
      <c r="I22446" t="s">
        <v>68046</v>
      </c>
      <c r="J22446" t="s">
        <v>30</v>
      </c>
      <c r="K22446" t="s">
        <v>68047</v>
      </c>
      <c r="M22446" t="s">
        <v>51351</v>
      </c>
      <c r="N22446" t="str">
        <f>"4/8/2024 11:55:00 AM"</f>
        <v>4/8/2024 11:55:00 AM</v>
      </c>
      <c r="O22446" t="s">
        <v>68044</v>
      </c>
    </row>
    <row r="22447" spans="1:20" x14ac:dyDescent="0.25">
      <c r="A22447" t="str">
        <f>"3046833"</f>
        <v>3046833</v>
      </c>
      <c r="B22447" t="s">
        <v>68048</v>
      </c>
      <c r="C22447" t="str">
        <f>"8314923"</f>
        <v>8314923</v>
      </c>
      <c r="D22447" t="s">
        <v>68049</v>
      </c>
      <c r="F22447" t="s">
        <v>68050</v>
      </c>
      <c r="I22447" t="s">
        <v>29</v>
      </c>
      <c r="J22447" t="s">
        <v>30</v>
      </c>
      <c r="K22447" t="s">
        <v>50365</v>
      </c>
      <c r="M22447" t="s">
        <v>50621</v>
      </c>
      <c r="N22447" t="str">
        <f>"4/8/2024 12:07:00 PM"</f>
        <v>4/8/2024 12:07:00 PM</v>
      </c>
      <c r="O22447" t="s">
        <v>68049</v>
      </c>
    </row>
    <row r="22448" spans="1:20" x14ac:dyDescent="0.25">
      <c r="A22448" t="str">
        <f>"3058685"</f>
        <v>3058685</v>
      </c>
      <c r="B22448" t="s">
        <v>68051</v>
      </c>
      <c r="C22448" t="str">
        <f>"8322173"</f>
        <v>8322173</v>
      </c>
      <c r="D22448" t="s">
        <v>68052</v>
      </c>
      <c r="E22448" t="s">
        <v>68053</v>
      </c>
      <c r="F22448" t="s">
        <v>68054</v>
      </c>
      <c r="I22448" t="s">
        <v>29</v>
      </c>
      <c r="J22448" t="s">
        <v>30</v>
      </c>
      <c r="K22448" t="s">
        <v>59681</v>
      </c>
      <c r="M22448" t="s">
        <v>50500</v>
      </c>
      <c r="N22448" t="str">
        <f>"4/8/2024 12:07:00 PM"</f>
        <v>4/8/2024 12:07:00 PM</v>
      </c>
      <c r="O22448" t="s">
        <v>68052</v>
      </c>
      <c r="T22448" t="s">
        <v>68053</v>
      </c>
    </row>
    <row r="22449" spans="1:20" x14ac:dyDescent="0.25">
      <c r="A22449" t="str">
        <f>"3040562"</f>
        <v>3040562</v>
      </c>
      <c r="B22449" t="s">
        <v>68055</v>
      </c>
      <c r="C22449" t="str">
        <f>"63512600"</f>
        <v>63512600</v>
      </c>
      <c r="D22449" t="s">
        <v>68056</v>
      </c>
      <c r="E22449" t="s">
        <v>68057</v>
      </c>
      <c r="F22449" t="s">
        <v>68058</v>
      </c>
      <c r="I22449" t="s">
        <v>184</v>
      </c>
      <c r="J22449" t="s">
        <v>30</v>
      </c>
      <c r="K22449" t="s">
        <v>37863</v>
      </c>
      <c r="M22449" t="s">
        <v>50621</v>
      </c>
      <c r="N22449" t="str">
        <f>"4/8/2024 12:11:00 PM"</f>
        <v>4/8/2024 12:11:00 PM</v>
      </c>
      <c r="O22449" t="s">
        <v>68056</v>
      </c>
      <c r="T22449" t="s">
        <v>68057</v>
      </c>
    </row>
    <row r="22450" spans="1:20" x14ac:dyDescent="0.25">
      <c r="A22450" t="str">
        <f>"3040134"</f>
        <v>3040134</v>
      </c>
      <c r="B22450" t="s">
        <v>68059</v>
      </c>
      <c r="C22450" t="str">
        <f>"65605000"</f>
        <v>65605000</v>
      </c>
      <c r="D22450" t="s">
        <v>68060</v>
      </c>
      <c r="E22450" t="str">
        <f>"C/O MIKE SHOFFNER"</f>
        <v>C/O MIKE SHOFFNER</v>
      </c>
      <c r="F22450" t="s">
        <v>68061</v>
      </c>
      <c r="I22450" t="s">
        <v>29</v>
      </c>
      <c r="J22450" t="s">
        <v>30</v>
      </c>
      <c r="K22450" t="s">
        <v>955</v>
      </c>
      <c r="M22450" t="s">
        <v>50621</v>
      </c>
      <c r="N22450" t="str">
        <f>"4/8/2024 12:12:00 PM"</f>
        <v>4/8/2024 12:12:00 PM</v>
      </c>
      <c r="O22450" t="s">
        <v>68060</v>
      </c>
      <c r="T22450" t="str">
        <f>"C/O MIKE SHOFFNER"</f>
        <v>C/O MIKE SHOFFNER</v>
      </c>
    </row>
    <row r="22451" spans="1:20" x14ac:dyDescent="0.25">
      <c r="A22451" t="str">
        <f>"3039343"</f>
        <v>3039343</v>
      </c>
      <c r="B22451" t="s">
        <v>68062</v>
      </c>
      <c r="C22451" t="str">
        <f>"65605000"</f>
        <v>65605000</v>
      </c>
      <c r="D22451" t="s">
        <v>68060</v>
      </c>
      <c r="E22451" t="str">
        <f>"C/O MIKE SHOFFNER"</f>
        <v>C/O MIKE SHOFFNER</v>
      </c>
      <c r="F22451" t="s">
        <v>68061</v>
      </c>
      <c r="I22451" t="s">
        <v>29</v>
      </c>
      <c r="J22451" t="s">
        <v>30</v>
      </c>
      <c r="K22451" t="s">
        <v>955</v>
      </c>
      <c r="M22451" t="s">
        <v>50621</v>
      </c>
      <c r="N22451" t="str">
        <f>"4/8/2024 12:12:00 PM"</f>
        <v>4/8/2024 12:12:00 PM</v>
      </c>
      <c r="O22451" t="s">
        <v>68060</v>
      </c>
      <c r="T22451" t="str">
        <f>"C/O MIKE SHOFFNER"</f>
        <v>C/O MIKE SHOFFNER</v>
      </c>
    </row>
    <row r="22452" spans="1:20" x14ac:dyDescent="0.25">
      <c r="A22452" t="str">
        <f>"3059082"</f>
        <v>3059082</v>
      </c>
      <c r="B22452" t="s">
        <v>68063</v>
      </c>
      <c r="C22452" t="str">
        <f>"8318574"</f>
        <v>8318574</v>
      </c>
      <c r="D22452" t="s">
        <v>68064</v>
      </c>
      <c r="E22452" t="s">
        <v>68065</v>
      </c>
      <c r="F22452" t="s">
        <v>68066</v>
      </c>
      <c r="I22452" t="s">
        <v>29</v>
      </c>
      <c r="J22452" t="s">
        <v>30</v>
      </c>
      <c r="K22452" t="s">
        <v>11964</v>
      </c>
      <c r="M22452" t="s">
        <v>50621</v>
      </c>
      <c r="N22452" t="str">
        <f>"4/4/2024 12:43:00 PM"</f>
        <v>4/4/2024 12:43:00 PM</v>
      </c>
      <c r="O22452" t="s">
        <v>68064</v>
      </c>
      <c r="T22452" t="s">
        <v>68065</v>
      </c>
    </row>
    <row r="22453" spans="1:20" x14ac:dyDescent="0.25">
      <c r="A22453" t="str">
        <f>"3044949"</f>
        <v>3044949</v>
      </c>
      <c r="B22453" t="s">
        <v>68067</v>
      </c>
      <c r="C22453" t="str">
        <f>"8314820"</f>
        <v>8314820</v>
      </c>
      <c r="D22453" t="str">
        <f>"HAYES JOHNNA CHARLENE /JAMES LEROY"</f>
        <v>HAYES JOHNNA CHARLENE /JAMES LEROY</v>
      </c>
      <c r="E22453" t="s">
        <v>68068</v>
      </c>
      <c r="F22453" t="s">
        <v>68069</v>
      </c>
      <c r="I22453" t="s">
        <v>29</v>
      </c>
      <c r="J22453" t="s">
        <v>30</v>
      </c>
      <c r="K22453" t="s">
        <v>42528</v>
      </c>
      <c r="M22453" t="s">
        <v>50793</v>
      </c>
      <c r="N22453" t="str">
        <f>"4/4/2024 1:15:00 PM"</f>
        <v>4/4/2024 1:15:00 PM</v>
      </c>
      <c r="O22453" t="str">
        <f>"HAYES JOHNNA CHARLENE /JAMES LEROY"</f>
        <v>HAYES JOHNNA CHARLENE /JAMES LEROY</v>
      </c>
      <c r="T22453" t="s">
        <v>68068</v>
      </c>
    </row>
    <row r="22454" spans="1:20" x14ac:dyDescent="0.25">
      <c r="A22454" t="str">
        <f>"3037268"</f>
        <v>3037268</v>
      </c>
      <c r="B22454" t="s">
        <v>68070</v>
      </c>
      <c r="C22454" t="str">
        <f>"8307331"</f>
        <v>8307331</v>
      </c>
      <c r="D22454" t="s">
        <v>68071</v>
      </c>
      <c r="F22454" t="s">
        <v>68072</v>
      </c>
      <c r="I22454" t="s">
        <v>184</v>
      </c>
      <c r="J22454" t="s">
        <v>30</v>
      </c>
      <c r="K22454" t="str">
        <f>"27006"</f>
        <v>27006</v>
      </c>
      <c r="M22454" t="s">
        <v>50621</v>
      </c>
      <c r="N22454" t="str">
        <f>"4/8/2024 2:28:00 PM"</f>
        <v>4/8/2024 2:28:00 PM</v>
      </c>
      <c r="O22454" t="s">
        <v>68071</v>
      </c>
    </row>
    <row r="22455" spans="1:20" x14ac:dyDescent="0.25">
      <c r="A22455" t="str">
        <f>"3056844"</f>
        <v>3056844</v>
      </c>
      <c r="B22455" t="s">
        <v>68073</v>
      </c>
      <c r="C22455" t="str">
        <f>"82520288"</f>
        <v>82520288</v>
      </c>
      <c r="D22455" t="s">
        <v>68074</v>
      </c>
      <c r="F22455" t="s">
        <v>68075</v>
      </c>
      <c r="I22455" t="s">
        <v>184</v>
      </c>
      <c r="J22455" t="s">
        <v>30</v>
      </c>
      <c r="K22455" t="s">
        <v>47739</v>
      </c>
      <c r="M22455" t="s">
        <v>50793</v>
      </c>
      <c r="N22455" t="str">
        <f>"4/4/2024 1:29:00 PM"</f>
        <v>4/4/2024 1:29:00 PM</v>
      </c>
      <c r="O22455" t="s">
        <v>68074</v>
      </c>
    </row>
    <row r="22456" spans="1:20" x14ac:dyDescent="0.25">
      <c r="A22456" t="str">
        <f>"3061505"</f>
        <v>3061505</v>
      </c>
      <c r="B22456" t="s">
        <v>68076</v>
      </c>
      <c r="C22456" t="str">
        <f>"82520288"</f>
        <v>82520288</v>
      </c>
      <c r="D22456" t="s">
        <v>68074</v>
      </c>
      <c r="F22456" t="s">
        <v>68075</v>
      </c>
      <c r="I22456" t="s">
        <v>184</v>
      </c>
      <c r="J22456" t="s">
        <v>30</v>
      </c>
      <c r="K22456" t="s">
        <v>47739</v>
      </c>
      <c r="M22456" t="s">
        <v>50793</v>
      </c>
      <c r="N22456" t="str">
        <f>"4/4/2024 1:29:00 PM"</f>
        <v>4/4/2024 1:29:00 PM</v>
      </c>
      <c r="O22456" t="s">
        <v>68074</v>
      </c>
    </row>
    <row r="22457" spans="1:20" x14ac:dyDescent="0.25">
      <c r="A22457" t="str">
        <f>"3057882"</f>
        <v>3057882</v>
      </c>
      <c r="B22457" t="s">
        <v>68077</v>
      </c>
      <c r="C22457" t="str">
        <f>"8322118"</f>
        <v>8322118</v>
      </c>
      <c r="D22457" t="s">
        <v>68078</v>
      </c>
      <c r="E22457" t="s">
        <v>68079</v>
      </c>
      <c r="F22457" t="s">
        <v>68080</v>
      </c>
      <c r="I22457" t="s">
        <v>184</v>
      </c>
      <c r="J22457" t="s">
        <v>30</v>
      </c>
      <c r="K22457" t="s">
        <v>37145</v>
      </c>
      <c r="M22457" t="s">
        <v>50500</v>
      </c>
      <c r="N22457" t="str">
        <f>"4/4/2024 2:07:00 PM"</f>
        <v>4/4/2024 2:07:00 PM</v>
      </c>
      <c r="O22457" t="s">
        <v>68078</v>
      </c>
      <c r="T22457" t="s">
        <v>68079</v>
      </c>
    </row>
    <row r="22458" spans="1:20" x14ac:dyDescent="0.25">
      <c r="A22458" t="str">
        <f>"3062293"</f>
        <v>3062293</v>
      </c>
      <c r="B22458" t="s">
        <v>68081</v>
      </c>
      <c r="C22458" t="str">
        <f t="shared" ref="C22458:C22472" si="347">"69878000"</f>
        <v>69878000</v>
      </c>
      <c r="D22458" t="s">
        <v>68082</v>
      </c>
      <c r="F22458" t="s">
        <v>68083</v>
      </c>
      <c r="I22458" t="s">
        <v>29</v>
      </c>
      <c r="J22458" t="s">
        <v>30</v>
      </c>
      <c r="K22458" t="s">
        <v>66247</v>
      </c>
      <c r="M22458" t="s">
        <v>50621</v>
      </c>
      <c r="N22458" t="str">
        <f t="shared" ref="N22458:N22472" si="348">"4/8/2024 2:57:00 PM"</f>
        <v>4/8/2024 2:57:00 PM</v>
      </c>
      <c r="O22458" t="s">
        <v>68082</v>
      </c>
    </row>
    <row r="22459" spans="1:20" x14ac:dyDescent="0.25">
      <c r="A22459" t="str">
        <f>"3062294"</f>
        <v>3062294</v>
      </c>
      <c r="B22459" t="s">
        <v>68084</v>
      </c>
      <c r="C22459" t="str">
        <f t="shared" si="347"/>
        <v>69878000</v>
      </c>
      <c r="D22459" t="s">
        <v>68082</v>
      </c>
      <c r="F22459" t="s">
        <v>68083</v>
      </c>
      <c r="I22459" t="s">
        <v>29</v>
      </c>
      <c r="J22459" t="s">
        <v>30</v>
      </c>
      <c r="K22459" t="s">
        <v>66247</v>
      </c>
      <c r="M22459" t="s">
        <v>50621</v>
      </c>
      <c r="N22459" t="str">
        <f t="shared" si="348"/>
        <v>4/8/2024 2:57:00 PM</v>
      </c>
      <c r="O22459" t="s">
        <v>68082</v>
      </c>
    </row>
    <row r="22460" spans="1:20" x14ac:dyDescent="0.25">
      <c r="A22460" t="str">
        <f>"3062285"</f>
        <v>3062285</v>
      </c>
      <c r="B22460" t="s">
        <v>68085</v>
      </c>
      <c r="C22460" t="str">
        <f t="shared" si="347"/>
        <v>69878000</v>
      </c>
      <c r="D22460" t="s">
        <v>68082</v>
      </c>
      <c r="F22460" t="s">
        <v>68083</v>
      </c>
      <c r="I22460" t="s">
        <v>29</v>
      </c>
      <c r="J22460" t="s">
        <v>30</v>
      </c>
      <c r="K22460" t="s">
        <v>66247</v>
      </c>
      <c r="M22460" t="s">
        <v>50621</v>
      </c>
      <c r="N22460" t="str">
        <f t="shared" si="348"/>
        <v>4/8/2024 2:57:00 PM</v>
      </c>
      <c r="O22460" t="s">
        <v>68082</v>
      </c>
    </row>
    <row r="22461" spans="1:20" x14ac:dyDescent="0.25">
      <c r="A22461" t="str">
        <f>"3062289"</f>
        <v>3062289</v>
      </c>
      <c r="B22461" t="s">
        <v>68086</v>
      </c>
      <c r="C22461" t="str">
        <f t="shared" si="347"/>
        <v>69878000</v>
      </c>
      <c r="D22461" t="s">
        <v>68082</v>
      </c>
      <c r="F22461" t="s">
        <v>68083</v>
      </c>
      <c r="I22461" t="s">
        <v>29</v>
      </c>
      <c r="J22461" t="s">
        <v>30</v>
      </c>
      <c r="K22461" t="s">
        <v>66247</v>
      </c>
      <c r="M22461" t="s">
        <v>50621</v>
      </c>
      <c r="N22461" t="str">
        <f t="shared" si="348"/>
        <v>4/8/2024 2:57:00 PM</v>
      </c>
      <c r="O22461" t="s">
        <v>68082</v>
      </c>
    </row>
    <row r="22462" spans="1:20" x14ac:dyDescent="0.25">
      <c r="A22462" t="str">
        <f>"3062315"</f>
        <v>3062315</v>
      </c>
      <c r="B22462" t="s">
        <v>68087</v>
      </c>
      <c r="C22462" t="str">
        <f t="shared" si="347"/>
        <v>69878000</v>
      </c>
      <c r="D22462" t="s">
        <v>68082</v>
      </c>
      <c r="F22462" t="s">
        <v>68083</v>
      </c>
      <c r="I22462" t="s">
        <v>29</v>
      </c>
      <c r="J22462" t="s">
        <v>30</v>
      </c>
      <c r="K22462" t="s">
        <v>66247</v>
      </c>
      <c r="M22462" t="s">
        <v>50621</v>
      </c>
      <c r="N22462" t="str">
        <f t="shared" si="348"/>
        <v>4/8/2024 2:57:00 PM</v>
      </c>
      <c r="O22462" t="s">
        <v>68082</v>
      </c>
    </row>
    <row r="22463" spans="1:20" x14ac:dyDescent="0.25">
      <c r="A22463" t="str">
        <f>"3062316"</f>
        <v>3062316</v>
      </c>
      <c r="B22463" t="s">
        <v>68088</v>
      </c>
      <c r="C22463" t="str">
        <f t="shared" si="347"/>
        <v>69878000</v>
      </c>
      <c r="D22463" t="s">
        <v>68082</v>
      </c>
      <c r="F22463" t="s">
        <v>68083</v>
      </c>
      <c r="I22463" t="s">
        <v>29</v>
      </c>
      <c r="J22463" t="s">
        <v>30</v>
      </c>
      <c r="K22463" t="s">
        <v>66247</v>
      </c>
      <c r="M22463" t="s">
        <v>50621</v>
      </c>
      <c r="N22463" t="str">
        <f t="shared" si="348"/>
        <v>4/8/2024 2:57:00 PM</v>
      </c>
      <c r="O22463" t="s">
        <v>68082</v>
      </c>
    </row>
    <row r="22464" spans="1:20" x14ac:dyDescent="0.25">
      <c r="A22464" t="str">
        <f>"3062300"</f>
        <v>3062300</v>
      </c>
      <c r="B22464" t="s">
        <v>68089</v>
      </c>
      <c r="C22464" t="str">
        <f t="shared" si="347"/>
        <v>69878000</v>
      </c>
      <c r="D22464" t="s">
        <v>68082</v>
      </c>
      <c r="F22464" t="s">
        <v>68083</v>
      </c>
      <c r="I22464" t="s">
        <v>29</v>
      </c>
      <c r="J22464" t="s">
        <v>30</v>
      </c>
      <c r="K22464" t="s">
        <v>66247</v>
      </c>
      <c r="M22464" t="s">
        <v>50621</v>
      </c>
      <c r="N22464" t="str">
        <f t="shared" si="348"/>
        <v>4/8/2024 2:57:00 PM</v>
      </c>
      <c r="O22464" t="s">
        <v>68082</v>
      </c>
    </row>
    <row r="22465" spans="1:20" x14ac:dyDescent="0.25">
      <c r="A22465" t="str">
        <f>"3062301"</f>
        <v>3062301</v>
      </c>
      <c r="B22465" t="s">
        <v>68090</v>
      </c>
      <c r="C22465" t="str">
        <f t="shared" si="347"/>
        <v>69878000</v>
      </c>
      <c r="D22465" t="s">
        <v>68082</v>
      </c>
      <c r="F22465" t="s">
        <v>68083</v>
      </c>
      <c r="I22465" t="s">
        <v>29</v>
      </c>
      <c r="J22465" t="s">
        <v>30</v>
      </c>
      <c r="K22465" t="s">
        <v>66247</v>
      </c>
      <c r="M22465" t="s">
        <v>50621</v>
      </c>
      <c r="N22465" t="str">
        <f t="shared" si="348"/>
        <v>4/8/2024 2:57:00 PM</v>
      </c>
      <c r="O22465" t="s">
        <v>68082</v>
      </c>
    </row>
    <row r="22466" spans="1:20" x14ac:dyDescent="0.25">
      <c r="A22466" t="str">
        <f>"3062302"</f>
        <v>3062302</v>
      </c>
      <c r="B22466" t="s">
        <v>68091</v>
      </c>
      <c r="C22466" t="str">
        <f t="shared" si="347"/>
        <v>69878000</v>
      </c>
      <c r="D22466" t="s">
        <v>68082</v>
      </c>
      <c r="F22466" t="s">
        <v>68083</v>
      </c>
      <c r="I22466" t="s">
        <v>29</v>
      </c>
      <c r="J22466" t="s">
        <v>30</v>
      </c>
      <c r="K22466" t="s">
        <v>66247</v>
      </c>
      <c r="M22466" t="s">
        <v>50621</v>
      </c>
      <c r="N22466" t="str">
        <f t="shared" si="348"/>
        <v>4/8/2024 2:57:00 PM</v>
      </c>
      <c r="O22466" t="s">
        <v>68082</v>
      </c>
    </row>
    <row r="22467" spans="1:20" x14ac:dyDescent="0.25">
      <c r="A22467" t="str">
        <f>"3062303"</f>
        <v>3062303</v>
      </c>
      <c r="B22467" t="s">
        <v>68092</v>
      </c>
      <c r="C22467" t="str">
        <f t="shared" si="347"/>
        <v>69878000</v>
      </c>
      <c r="D22467" t="s">
        <v>68082</v>
      </c>
      <c r="F22467" t="s">
        <v>68083</v>
      </c>
      <c r="I22467" t="s">
        <v>29</v>
      </c>
      <c r="J22467" t="s">
        <v>30</v>
      </c>
      <c r="K22467" t="s">
        <v>66247</v>
      </c>
      <c r="M22467" t="s">
        <v>50621</v>
      </c>
      <c r="N22467" t="str">
        <f t="shared" si="348"/>
        <v>4/8/2024 2:57:00 PM</v>
      </c>
      <c r="O22467" t="s">
        <v>68082</v>
      </c>
    </row>
    <row r="22468" spans="1:20" x14ac:dyDescent="0.25">
      <c r="A22468" t="str">
        <f>"3062304"</f>
        <v>3062304</v>
      </c>
      <c r="B22468" t="s">
        <v>68093</v>
      </c>
      <c r="C22468" t="str">
        <f t="shared" si="347"/>
        <v>69878000</v>
      </c>
      <c r="D22468" t="s">
        <v>68082</v>
      </c>
      <c r="F22468" t="s">
        <v>68083</v>
      </c>
      <c r="I22468" t="s">
        <v>29</v>
      </c>
      <c r="J22468" t="s">
        <v>30</v>
      </c>
      <c r="K22468" t="s">
        <v>66247</v>
      </c>
      <c r="M22468" t="s">
        <v>50621</v>
      </c>
      <c r="N22468" t="str">
        <f t="shared" si="348"/>
        <v>4/8/2024 2:57:00 PM</v>
      </c>
      <c r="O22468" t="s">
        <v>68082</v>
      </c>
    </row>
    <row r="22469" spans="1:20" x14ac:dyDescent="0.25">
      <c r="A22469" t="str">
        <f>"3062305"</f>
        <v>3062305</v>
      </c>
      <c r="B22469" t="s">
        <v>68094</v>
      </c>
      <c r="C22469" t="str">
        <f t="shared" si="347"/>
        <v>69878000</v>
      </c>
      <c r="D22469" t="s">
        <v>68082</v>
      </c>
      <c r="F22469" t="s">
        <v>68083</v>
      </c>
      <c r="I22469" t="s">
        <v>29</v>
      </c>
      <c r="J22469" t="s">
        <v>30</v>
      </c>
      <c r="K22469" t="s">
        <v>66247</v>
      </c>
      <c r="M22469" t="s">
        <v>50621</v>
      </c>
      <c r="N22469" t="str">
        <f t="shared" si="348"/>
        <v>4/8/2024 2:57:00 PM</v>
      </c>
      <c r="O22469" t="s">
        <v>68082</v>
      </c>
    </row>
    <row r="22470" spans="1:20" x14ac:dyDescent="0.25">
      <c r="A22470" t="str">
        <f>"3062306"</f>
        <v>3062306</v>
      </c>
      <c r="B22470" t="s">
        <v>68095</v>
      </c>
      <c r="C22470" t="str">
        <f t="shared" si="347"/>
        <v>69878000</v>
      </c>
      <c r="D22470" t="s">
        <v>68082</v>
      </c>
      <c r="F22470" t="s">
        <v>68083</v>
      </c>
      <c r="I22470" t="s">
        <v>29</v>
      </c>
      <c r="J22470" t="s">
        <v>30</v>
      </c>
      <c r="K22470" t="s">
        <v>66247</v>
      </c>
      <c r="M22470" t="s">
        <v>50621</v>
      </c>
      <c r="N22470" t="str">
        <f t="shared" si="348"/>
        <v>4/8/2024 2:57:00 PM</v>
      </c>
      <c r="O22470" t="s">
        <v>68082</v>
      </c>
    </row>
    <row r="22471" spans="1:20" x14ac:dyDescent="0.25">
      <c r="A22471" t="str">
        <f>"3062307"</f>
        <v>3062307</v>
      </c>
      <c r="B22471" t="s">
        <v>68096</v>
      </c>
      <c r="C22471" t="str">
        <f t="shared" si="347"/>
        <v>69878000</v>
      </c>
      <c r="D22471" t="s">
        <v>68082</v>
      </c>
      <c r="F22471" t="s">
        <v>68083</v>
      </c>
      <c r="I22471" t="s">
        <v>29</v>
      </c>
      <c r="J22471" t="s">
        <v>30</v>
      </c>
      <c r="K22471" t="s">
        <v>66247</v>
      </c>
      <c r="M22471" t="s">
        <v>50621</v>
      </c>
      <c r="N22471" t="str">
        <f t="shared" si="348"/>
        <v>4/8/2024 2:57:00 PM</v>
      </c>
      <c r="O22471" t="s">
        <v>68082</v>
      </c>
    </row>
    <row r="22472" spans="1:20" x14ac:dyDescent="0.25">
      <c r="A22472" t="str">
        <f>"3062314"</f>
        <v>3062314</v>
      </c>
      <c r="B22472" t="s">
        <v>68097</v>
      </c>
      <c r="C22472" t="str">
        <f t="shared" si="347"/>
        <v>69878000</v>
      </c>
      <c r="D22472" t="s">
        <v>68082</v>
      </c>
      <c r="F22472" t="s">
        <v>68083</v>
      </c>
      <c r="I22472" t="s">
        <v>29</v>
      </c>
      <c r="J22472" t="s">
        <v>30</v>
      </c>
      <c r="K22472" t="s">
        <v>66247</v>
      </c>
      <c r="M22472" t="s">
        <v>50621</v>
      </c>
      <c r="N22472" t="str">
        <f t="shared" si="348"/>
        <v>4/8/2024 2:57:00 PM</v>
      </c>
      <c r="O22472" t="s">
        <v>68082</v>
      </c>
    </row>
    <row r="22473" spans="1:20" x14ac:dyDescent="0.25">
      <c r="A22473" t="str">
        <f>"3045850"</f>
        <v>3045850</v>
      </c>
      <c r="B22473" t="s">
        <v>68098</v>
      </c>
      <c r="C22473" t="str">
        <f>"8312485"</f>
        <v>8312485</v>
      </c>
      <c r="D22473" t="s">
        <v>68099</v>
      </c>
      <c r="E22473" t="s">
        <v>10528</v>
      </c>
      <c r="F22473" t="s">
        <v>68100</v>
      </c>
      <c r="I22473" t="s">
        <v>184</v>
      </c>
      <c r="J22473" t="s">
        <v>30</v>
      </c>
      <c r="K22473" t="s">
        <v>10530</v>
      </c>
      <c r="M22473" t="s">
        <v>52111</v>
      </c>
      <c r="N22473" t="str">
        <f>"4/8/2024 4:23:00 PM"</f>
        <v>4/8/2024 4:23:00 PM</v>
      </c>
      <c r="O22473" t="s">
        <v>68099</v>
      </c>
      <c r="T22473" t="s">
        <v>10528</v>
      </c>
    </row>
    <row r="22474" spans="1:20" x14ac:dyDescent="0.25">
      <c r="A22474" t="str">
        <f>"3071747"</f>
        <v>3071747</v>
      </c>
      <c r="B22474" t="s">
        <v>68101</v>
      </c>
      <c r="C22474" t="str">
        <f>"82515843"</f>
        <v>82515843</v>
      </c>
      <c r="D22474" t="s">
        <v>68102</v>
      </c>
      <c r="E22474" t="s">
        <v>68103</v>
      </c>
      <c r="F22474" t="s">
        <v>68104</v>
      </c>
      <c r="I22474" t="s">
        <v>29</v>
      </c>
      <c r="J22474" t="s">
        <v>30</v>
      </c>
      <c r="K22474" t="s">
        <v>31</v>
      </c>
      <c r="M22474" t="s">
        <v>50621</v>
      </c>
      <c r="N22474" t="str">
        <f>"4/9/2024 9:21:00 AM"</f>
        <v>4/9/2024 9:21:00 AM</v>
      </c>
      <c r="O22474" t="s">
        <v>68102</v>
      </c>
      <c r="T22474" t="s">
        <v>68103</v>
      </c>
    </row>
    <row r="22475" spans="1:20" x14ac:dyDescent="0.25">
      <c r="A22475" t="str">
        <f>"3055804"</f>
        <v>3055804</v>
      </c>
      <c r="B22475" t="s">
        <v>68105</v>
      </c>
      <c r="C22475" t="str">
        <f>"8322174"</f>
        <v>8322174</v>
      </c>
      <c r="D22475" t="s">
        <v>68106</v>
      </c>
      <c r="E22475" t="s">
        <v>68107</v>
      </c>
      <c r="F22475" t="s">
        <v>68108</v>
      </c>
      <c r="I22475" t="s">
        <v>29</v>
      </c>
      <c r="J22475" t="s">
        <v>30</v>
      </c>
      <c r="K22475" t="s">
        <v>51324</v>
      </c>
      <c r="M22475" t="s">
        <v>50500</v>
      </c>
      <c r="N22475" t="str">
        <f>"4/9/2024 9:40:00 AM"</f>
        <v>4/9/2024 9:40:00 AM</v>
      </c>
      <c r="O22475" t="s">
        <v>68106</v>
      </c>
      <c r="T22475" t="s">
        <v>68107</v>
      </c>
    </row>
    <row r="22476" spans="1:20" x14ac:dyDescent="0.25">
      <c r="A22476" t="str">
        <f>"3058586"</f>
        <v>3058586</v>
      </c>
      <c r="B22476" t="s">
        <v>68109</v>
      </c>
      <c r="C22476" t="str">
        <f>"8322119"</f>
        <v>8322119</v>
      </c>
      <c r="D22476" t="s">
        <v>68110</v>
      </c>
      <c r="E22476" t="s">
        <v>68111</v>
      </c>
      <c r="F22476" t="s">
        <v>68112</v>
      </c>
      <c r="I22476" t="s">
        <v>29</v>
      </c>
      <c r="J22476" t="s">
        <v>30</v>
      </c>
      <c r="K22476" t="s">
        <v>49114</v>
      </c>
      <c r="M22476" t="s">
        <v>50500</v>
      </c>
      <c r="N22476" t="str">
        <f>"4/4/2024 2:11:00 PM"</f>
        <v>4/4/2024 2:11:00 PM</v>
      </c>
      <c r="O22476" t="s">
        <v>68110</v>
      </c>
      <c r="T22476" t="s">
        <v>68111</v>
      </c>
    </row>
    <row r="22477" spans="1:20" x14ac:dyDescent="0.25">
      <c r="A22477" t="str">
        <f>"3054841"</f>
        <v>3054841</v>
      </c>
      <c r="B22477" t="s">
        <v>68113</v>
      </c>
      <c r="C22477" t="str">
        <f>"82529599"</f>
        <v>82529599</v>
      </c>
      <c r="D22477" t="s">
        <v>68114</v>
      </c>
      <c r="E22477" t="s">
        <v>49358</v>
      </c>
      <c r="F22477" t="s">
        <v>14692</v>
      </c>
      <c r="I22477" t="s">
        <v>29</v>
      </c>
      <c r="J22477" t="s">
        <v>30</v>
      </c>
      <c r="K22477" t="s">
        <v>31</v>
      </c>
      <c r="M22477" t="s">
        <v>50793</v>
      </c>
      <c r="N22477" t="str">
        <f>"4/4/2024 2:11:00 PM"</f>
        <v>4/4/2024 2:11:00 PM</v>
      </c>
      <c r="O22477" t="s">
        <v>68114</v>
      </c>
      <c r="T22477" t="s">
        <v>49358</v>
      </c>
    </row>
    <row r="22478" spans="1:20" x14ac:dyDescent="0.25">
      <c r="A22478" t="str">
        <f>"3058652"</f>
        <v>3058652</v>
      </c>
      <c r="B22478" t="s">
        <v>68115</v>
      </c>
      <c r="C22478" t="str">
        <f>"8322120"</f>
        <v>8322120</v>
      </c>
      <c r="D22478" t="s">
        <v>68116</v>
      </c>
      <c r="E22478" t="s">
        <v>68117</v>
      </c>
      <c r="F22478" t="s">
        <v>68118</v>
      </c>
      <c r="I22478" t="s">
        <v>29</v>
      </c>
      <c r="J22478" t="s">
        <v>30</v>
      </c>
      <c r="K22478" t="s">
        <v>59681</v>
      </c>
      <c r="M22478" t="s">
        <v>50500</v>
      </c>
      <c r="N22478" t="str">
        <f>"4/4/2024 2:16:00 PM"</f>
        <v>4/4/2024 2:16:00 PM</v>
      </c>
      <c r="O22478" t="s">
        <v>68116</v>
      </c>
      <c r="T22478" t="s">
        <v>68117</v>
      </c>
    </row>
    <row r="22479" spans="1:20" x14ac:dyDescent="0.25">
      <c r="A22479" t="str">
        <f>"3045869"</f>
        <v>3045869</v>
      </c>
      <c r="B22479" t="s">
        <v>68119</v>
      </c>
      <c r="C22479" t="str">
        <f>"8312923"</f>
        <v>8312923</v>
      </c>
      <c r="D22479" t="s">
        <v>68120</v>
      </c>
      <c r="F22479" t="s">
        <v>68121</v>
      </c>
      <c r="I22479" t="s">
        <v>29</v>
      </c>
      <c r="J22479" t="s">
        <v>30</v>
      </c>
      <c r="K22479" t="s">
        <v>68122</v>
      </c>
      <c r="M22479" t="s">
        <v>50621</v>
      </c>
      <c r="N22479" t="str">
        <f>"4/4/2024 2:25:00 PM"</f>
        <v>4/4/2024 2:25:00 PM</v>
      </c>
      <c r="O22479" t="s">
        <v>68120</v>
      </c>
    </row>
    <row r="22480" spans="1:20" x14ac:dyDescent="0.25">
      <c r="A22480" t="str">
        <f>"3062744"</f>
        <v>3062744</v>
      </c>
      <c r="B22480" t="s">
        <v>68123</v>
      </c>
      <c r="C22480" t="str">
        <f>"8322176"</f>
        <v>8322176</v>
      </c>
      <c r="D22480" t="s">
        <v>68124</v>
      </c>
      <c r="F22480" t="s">
        <v>68125</v>
      </c>
      <c r="I22480" t="s">
        <v>29</v>
      </c>
      <c r="J22480" t="s">
        <v>30</v>
      </c>
      <c r="K22480" t="s">
        <v>39446</v>
      </c>
      <c r="M22480" t="s">
        <v>50500</v>
      </c>
      <c r="N22480" t="str">
        <f>"4/9/2024 10:32:00 AM"</f>
        <v>4/9/2024 10:32:00 AM</v>
      </c>
      <c r="O22480" t="s">
        <v>68124</v>
      </c>
    </row>
    <row r="22481" spans="1:20" x14ac:dyDescent="0.25">
      <c r="A22481" t="str">
        <f>"3037984"</f>
        <v>3037984</v>
      </c>
      <c r="B22481" t="s">
        <v>68126</v>
      </c>
      <c r="C22481" t="str">
        <f>"8310218"</f>
        <v>8310218</v>
      </c>
      <c r="D22481" t="s">
        <v>68127</v>
      </c>
      <c r="F22481" t="s">
        <v>47712</v>
      </c>
      <c r="I22481" t="s">
        <v>29</v>
      </c>
      <c r="J22481" t="s">
        <v>30</v>
      </c>
      <c r="K22481" t="s">
        <v>14765</v>
      </c>
      <c r="M22481" t="s">
        <v>50793</v>
      </c>
      <c r="N22481" t="str">
        <f>"4/9/2024 10:35:00 AM"</f>
        <v>4/9/2024 10:35:00 AM</v>
      </c>
      <c r="O22481" t="s">
        <v>68127</v>
      </c>
    </row>
    <row r="22482" spans="1:20" x14ac:dyDescent="0.25">
      <c r="A22482" t="str">
        <f>"3052552"</f>
        <v>3052552</v>
      </c>
      <c r="B22482" t="s">
        <v>68128</v>
      </c>
      <c r="C22482" t="str">
        <f>"8322122"</f>
        <v>8322122</v>
      </c>
      <c r="D22482" t="s">
        <v>68129</v>
      </c>
      <c r="F22482" t="s">
        <v>54762</v>
      </c>
      <c r="I22482" t="s">
        <v>29</v>
      </c>
      <c r="J22482" t="s">
        <v>30</v>
      </c>
      <c r="K22482" t="s">
        <v>54763</v>
      </c>
      <c r="M22482" t="s">
        <v>50500</v>
      </c>
      <c r="N22482" t="str">
        <f>"4/4/2024 2:37:00 PM"</f>
        <v>4/4/2024 2:37:00 PM</v>
      </c>
      <c r="O22482" t="s">
        <v>68129</v>
      </c>
    </row>
    <row r="22483" spans="1:20" x14ac:dyDescent="0.25">
      <c r="A22483" t="str">
        <f>"3057585"</f>
        <v>3057585</v>
      </c>
      <c r="B22483" t="s">
        <v>68130</v>
      </c>
      <c r="C22483" t="str">
        <f>"8322123"</f>
        <v>8322123</v>
      </c>
      <c r="D22483" t="s">
        <v>68131</v>
      </c>
      <c r="E22483" t="s">
        <v>68132</v>
      </c>
      <c r="F22483" t="s">
        <v>68133</v>
      </c>
      <c r="I22483" t="s">
        <v>184</v>
      </c>
      <c r="J22483" t="s">
        <v>30</v>
      </c>
      <c r="K22483" t="s">
        <v>52691</v>
      </c>
      <c r="M22483" t="s">
        <v>50500</v>
      </c>
      <c r="N22483" t="str">
        <f>"4/4/2024 2:43:00 PM"</f>
        <v>4/4/2024 2:43:00 PM</v>
      </c>
      <c r="O22483" t="s">
        <v>68131</v>
      </c>
      <c r="T22483" t="s">
        <v>68132</v>
      </c>
    </row>
    <row r="22484" spans="1:20" x14ac:dyDescent="0.25">
      <c r="A22484" t="str">
        <f>"3062652"</f>
        <v>3062652</v>
      </c>
      <c r="B22484" t="s">
        <v>68134</v>
      </c>
      <c r="C22484" t="str">
        <f>"8322127"</f>
        <v>8322127</v>
      </c>
      <c r="D22484" t="s">
        <v>68135</v>
      </c>
      <c r="E22484" t="s">
        <v>68136</v>
      </c>
      <c r="F22484" t="s">
        <v>68137</v>
      </c>
      <c r="I22484" t="s">
        <v>184</v>
      </c>
      <c r="J22484" t="s">
        <v>30</v>
      </c>
      <c r="K22484" t="s">
        <v>64153</v>
      </c>
      <c r="M22484" t="s">
        <v>50500</v>
      </c>
      <c r="N22484" t="str">
        <f>"4/4/2024 3:41:00 PM"</f>
        <v>4/4/2024 3:41:00 PM</v>
      </c>
      <c r="O22484" t="s">
        <v>68135</v>
      </c>
      <c r="T22484" t="s">
        <v>68136</v>
      </c>
    </row>
    <row r="22485" spans="1:20" x14ac:dyDescent="0.25">
      <c r="A22485" t="str">
        <f>"3051630"</f>
        <v>3051630</v>
      </c>
      <c r="B22485" t="s">
        <v>68138</v>
      </c>
      <c r="C22485" t="str">
        <f>"8322128"</f>
        <v>8322128</v>
      </c>
      <c r="D22485" t="s">
        <v>68139</v>
      </c>
      <c r="E22485" t="s">
        <v>68140</v>
      </c>
      <c r="F22485" t="s">
        <v>68141</v>
      </c>
      <c r="I22485" t="s">
        <v>29</v>
      </c>
      <c r="J22485" t="s">
        <v>30</v>
      </c>
      <c r="K22485" t="s">
        <v>68142</v>
      </c>
      <c r="M22485" t="s">
        <v>50500</v>
      </c>
      <c r="N22485" t="str">
        <f>"4/4/2024 3:54:00 PM"</f>
        <v>4/4/2024 3:54:00 PM</v>
      </c>
      <c r="O22485" t="s">
        <v>68139</v>
      </c>
      <c r="T22485" t="s">
        <v>68140</v>
      </c>
    </row>
    <row r="22486" spans="1:20" x14ac:dyDescent="0.25">
      <c r="A22486" t="str">
        <f>"3040892"</f>
        <v>3040892</v>
      </c>
      <c r="B22486" t="s">
        <v>68143</v>
      </c>
      <c r="C22486" t="str">
        <f>"8306375"</f>
        <v>8306375</v>
      </c>
      <c r="D22486" t="s">
        <v>68144</v>
      </c>
      <c r="F22486" t="s">
        <v>68145</v>
      </c>
      <c r="I22486" t="s">
        <v>163</v>
      </c>
      <c r="J22486" t="s">
        <v>30</v>
      </c>
      <c r="K22486" t="s">
        <v>68146</v>
      </c>
      <c r="M22486" t="s">
        <v>50621</v>
      </c>
      <c r="N22486" t="str">
        <f>"4/4/2024 9:57:00 AM"</f>
        <v>4/4/2024 9:57:00 AM</v>
      </c>
      <c r="O22486" t="s">
        <v>68144</v>
      </c>
    </row>
    <row r="22487" spans="1:20" x14ac:dyDescent="0.25">
      <c r="A22487" t="str">
        <f>"3051827"</f>
        <v>3051827</v>
      </c>
      <c r="B22487" t="s">
        <v>68147</v>
      </c>
      <c r="C22487" t="str">
        <f>"8322122"</f>
        <v>8322122</v>
      </c>
      <c r="D22487" t="s">
        <v>68129</v>
      </c>
      <c r="F22487" t="s">
        <v>54762</v>
      </c>
      <c r="I22487" t="s">
        <v>29</v>
      </c>
      <c r="J22487" t="s">
        <v>30</v>
      </c>
      <c r="K22487" t="s">
        <v>54763</v>
      </c>
      <c r="M22487" t="s">
        <v>50500</v>
      </c>
      <c r="N22487" t="str">
        <f>"4/4/2024 2:37:00 PM"</f>
        <v>4/4/2024 2:37:00 PM</v>
      </c>
      <c r="O22487" t="s">
        <v>68129</v>
      </c>
    </row>
    <row r="22488" spans="1:20" x14ac:dyDescent="0.25">
      <c r="A22488" t="str">
        <f>"3051828"</f>
        <v>3051828</v>
      </c>
      <c r="B22488" t="s">
        <v>68148</v>
      </c>
      <c r="C22488" t="str">
        <f>"8322122"</f>
        <v>8322122</v>
      </c>
      <c r="D22488" t="s">
        <v>68129</v>
      </c>
      <c r="F22488" t="s">
        <v>54762</v>
      </c>
      <c r="I22488" t="s">
        <v>29</v>
      </c>
      <c r="J22488" t="s">
        <v>30</v>
      </c>
      <c r="K22488" t="s">
        <v>54763</v>
      </c>
      <c r="M22488" t="s">
        <v>50500</v>
      </c>
      <c r="N22488" t="str">
        <f>"4/4/2024 2:37:00 PM"</f>
        <v>4/4/2024 2:37:00 PM</v>
      </c>
      <c r="O22488" t="s">
        <v>68129</v>
      </c>
    </row>
    <row r="22489" spans="1:20" x14ac:dyDescent="0.25">
      <c r="A22489" t="str">
        <f>"3065697"</f>
        <v>3065697</v>
      </c>
      <c r="B22489" t="s">
        <v>68149</v>
      </c>
      <c r="C22489" t="str">
        <f>"8322144"</f>
        <v>8322144</v>
      </c>
      <c r="D22489" t="s">
        <v>68150</v>
      </c>
      <c r="E22489" t="s">
        <v>68151</v>
      </c>
      <c r="F22489" t="s">
        <v>68152</v>
      </c>
      <c r="I22489" t="s">
        <v>29</v>
      </c>
      <c r="J22489" t="s">
        <v>30</v>
      </c>
      <c r="K22489" t="s">
        <v>35172</v>
      </c>
      <c r="M22489" t="s">
        <v>50500</v>
      </c>
      <c r="N22489" t="str">
        <f>"4/5/2024 9:31:00 AM"</f>
        <v>4/5/2024 9:31:00 AM</v>
      </c>
      <c r="O22489" t="s">
        <v>68150</v>
      </c>
      <c r="T22489" t="s">
        <v>68151</v>
      </c>
    </row>
    <row r="22490" spans="1:20" x14ac:dyDescent="0.25">
      <c r="A22490" t="str">
        <f>"3078809"</f>
        <v>3078809</v>
      </c>
      <c r="B22490" t="s">
        <v>68153</v>
      </c>
      <c r="C22490" t="str">
        <f>"8322152"</f>
        <v>8322152</v>
      </c>
      <c r="D22490" t="s">
        <v>68154</v>
      </c>
      <c r="F22490" t="s">
        <v>68155</v>
      </c>
      <c r="G22490" t="s">
        <v>68156</v>
      </c>
      <c r="I22490" t="s">
        <v>964</v>
      </c>
      <c r="J22490" t="s">
        <v>30</v>
      </c>
      <c r="K22490" t="s">
        <v>68157</v>
      </c>
      <c r="M22490" t="s">
        <v>50500</v>
      </c>
      <c r="N22490" t="str">
        <f>"4/5/2024 10:42:00 AM"</f>
        <v>4/5/2024 10:42:00 AM</v>
      </c>
      <c r="O22490" t="s">
        <v>68154</v>
      </c>
    </row>
    <row r="22491" spans="1:20" x14ac:dyDescent="0.25">
      <c r="A22491" t="str">
        <f>"3060656"</f>
        <v>3060656</v>
      </c>
      <c r="B22491" t="s">
        <v>68158</v>
      </c>
      <c r="C22491" t="str">
        <f>"8322155"</f>
        <v>8322155</v>
      </c>
      <c r="D22491" t="s">
        <v>68159</v>
      </c>
      <c r="E22491" t="s">
        <v>68160</v>
      </c>
      <c r="F22491" t="s">
        <v>68161</v>
      </c>
      <c r="I22491" t="s">
        <v>184</v>
      </c>
      <c r="J22491" t="s">
        <v>30</v>
      </c>
      <c r="K22491" t="s">
        <v>6776</v>
      </c>
      <c r="M22491" t="s">
        <v>50500</v>
      </c>
      <c r="N22491" t="str">
        <f>"4/5/2024 2:16:00 PM"</f>
        <v>4/5/2024 2:16:00 PM</v>
      </c>
      <c r="O22491" t="s">
        <v>68159</v>
      </c>
      <c r="T22491" t="s">
        <v>68160</v>
      </c>
    </row>
    <row r="22492" spans="1:20" x14ac:dyDescent="0.25">
      <c r="A22492" t="str">
        <f>"3054595"</f>
        <v>3054595</v>
      </c>
      <c r="B22492" t="s">
        <v>68162</v>
      </c>
      <c r="C22492" t="str">
        <f>"8322185"</f>
        <v>8322185</v>
      </c>
      <c r="D22492" t="s">
        <v>68163</v>
      </c>
      <c r="F22492" t="s">
        <v>68164</v>
      </c>
      <c r="I22492" t="s">
        <v>964</v>
      </c>
      <c r="J22492" t="s">
        <v>30</v>
      </c>
      <c r="K22492" t="s">
        <v>68165</v>
      </c>
      <c r="M22492" t="s">
        <v>50500</v>
      </c>
      <c r="N22492" t="str">
        <f>"4/9/2024 2:47:00 PM"</f>
        <v>4/9/2024 2:47:00 PM</v>
      </c>
      <c r="O22492" t="s">
        <v>68163</v>
      </c>
    </row>
    <row r="22493" spans="1:20" x14ac:dyDescent="0.25">
      <c r="A22493" t="str">
        <f>"3040043"</f>
        <v>3040043</v>
      </c>
      <c r="B22493" t="s">
        <v>68166</v>
      </c>
      <c r="C22493" t="str">
        <f>"8322186"</f>
        <v>8322186</v>
      </c>
      <c r="D22493" t="str">
        <f>"DINKINS HARRY G TR/DINKINS JANET RUDISILL TR"</f>
        <v>DINKINS HARRY G TR/DINKINS JANET RUDISILL TR</v>
      </c>
      <c r="E22493" t="s">
        <v>68167</v>
      </c>
      <c r="F22493" t="s">
        <v>68168</v>
      </c>
      <c r="I22493" t="s">
        <v>29</v>
      </c>
      <c r="J22493" t="s">
        <v>30</v>
      </c>
      <c r="K22493" t="s">
        <v>61939</v>
      </c>
      <c r="M22493" t="s">
        <v>50500</v>
      </c>
      <c r="N22493" t="str">
        <f>"4/9/2024 2:54:00 PM"</f>
        <v>4/9/2024 2:54:00 PM</v>
      </c>
      <c r="O22493" t="str">
        <f>"DINKINS HARRY G TR/DINKINS JANET RUDISILL TR"</f>
        <v>DINKINS HARRY G TR/DINKINS JANET RUDISILL TR</v>
      </c>
      <c r="T22493" t="s">
        <v>68167</v>
      </c>
    </row>
    <row r="22494" spans="1:20" x14ac:dyDescent="0.25">
      <c r="A22494" t="str">
        <f>"3076833"</f>
        <v>3076833</v>
      </c>
      <c r="B22494" t="s">
        <v>68169</v>
      </c>
      <c r="C22494" t="str">
        <f>"8322186"</f>
        <v>8322186</v>
      </c>
      <c r="D22494" t="str">
        <f>"DINKINS HARRY G TR/DINKINS JANET RUDISILL TR"</f>
        <v>DINKINS HARRY G TR/DINKINS JANET RUDISILL TR</v>
      </c>
      <c r="E22494" t="s">
        <v>68167</v>
      </c>
      <c r="F22494" t="s">
        <v>68168</v>
      </c>
      <c r="I22494" t="s">
        <v>29</v>
      </c>
      <c r="J22494" t="s">
        <v>30</v>
      </c>
      <c r="K22494" t="s">
        <v>61939</v>
      </c>
      <c r="M22494" t="s">
        <v>50500</v>
      </c>
      <c r="N22494" t="str">
        <f>"4/9/2024 2:54:00 PM"</f>
        <v>4/9/2024 2:54:00 PM</v>
      </c>
      <c r="O22494" t="str">
        <f>"DINKINS HARRY G TR/DINKINS JANET RUDISILL TR"</f>
        <v>DINKINS HARRY G TR/DINKINS JANET RUDISILL TR</v>
      </c>
      <c r="T22494" t="s">
        <v>68167</v>
      </c>
    </row>
    <row r="22495" spans="1:20" x14ac:dyDescent="0.25">
      <c r="A22495" t="str">
        <f>"3046911"</f>
        <v>3046911</v>
      </c>
      <c r="B22495" t="s">
        <v>68170</v>
      </c>
      <c r="C22495" t="str">
        <f>"8322187"</f>
        <v>8322187</v>
      </c>
      <c r="D22495" t="str">
        <f>"HAWKS RODNEY D TR/HAWKS ANGELA M TR"</f>
        <v>HAWKS RODNEY D TR/HAWKS ANGELA M TR</v>
      </c>
      <c r="E22495" t="s">
        <v>68171</v>
      </c>
      <c r="F22495" t="s">
        <v>68172</v>
      </c>
      <c r="I22495" t="s">
        <v>29</v>
      </c>
      <c r="J22495" t="s">
        <v>30</v>
      </c>
      <c r="K22495" t="s">
        <v>7356</v>
      </c>
      <c r="M22495" t="s">
        <v>50500</v>
      </c>
      <c r="N22495" t="str">
        <f>"4/9/2024 3:01:00 PM"</f>
        <v>4/9/2024 3:01:00 PM</v>
      </c>
      <c r="O22495" t="str">
        <f>"HAWKS RODNEY D TR/HAWKS ANGELA M TR"</f>
        <v>HAWKS RODNEY D TR/HAWKS ANGELA M TR</v>
      </c>
      <c r="T22495" t="s">
        <v>68171</v>
      </c>
    </row>
    <row r="22496" spans="1:20" x14ac:dyDescent="0.25">
      <c r="A22496" t="str">
        <f>"3040109"</f>
        <v>3040109</v>
      </c>
      <c r="B22496" t="s">
        <v>68173</v>
      </c>
      <c r="C22496" t="str">
        <f>"8322188"</f>
        <v>8322188</v>
      </c>
      <c r="D22496" t="s">
        <v>68174</v>
      </c>
      <c r="E22496" t="s">
        <v>68175</v>
      </c>
      <c r="F22496" t="s">
        <v>68176</v>
      </c>
      <c r="I22496" t="s">
        <v>29</v>
      </c>
      <c r="J22496" t="s">
        <v>30</v>
      </c>
      <c r="K22496" t="s">
        <v>21211</v>
      </c>
      <c r="M22496" t="s">
        <v>50500</v>
      </c>
      <c r="N22496" t="str">
        <f>"4/9/2024 3:08:00 PM"</f>
        <v>4/9/2024 3:08:00 PM</v>
      </c>
      <c r="O22496" t="s">
        <v>68174</v>
      </c>
      <c r="T22496" t="s">
        <v>68175</v>
      </c>
    </row>
    <row r="22497" spans="1:20" x14ac:dyDescent="0.25">
      <c r="A22497" t="str">
        <f>"3058644"</f>
        <v>3058644</v>
      </c>
      <c r="B22497" t="s">
        <v>68177</v>
      </c>
      <c r="C22497" t="str">
        <f>"8322189"</f>
        <v>8322189</v>
      </c>
      <c r="D22497" t="s">
        <v>68178</v>
      </c>
      <c r="F22497" t="s">
        <v>68179</v>
      </c>
      <c r="I22497" t="s">
        <v>29</v>
      </c>
      <c r="J22497" t="s">
        <v>30</v>
      </c>
      <c r="K22497" t="s">
        <v>68180</v>
      </c>
      <c r="M22497" t="s">
        <v>50500</v>
      </c>
      <c r="N22497" t="str">
        <f>"4/9/2024 3:12:00 PM"</f>
        <v>4/9/2024 3:12:00 PM</v>
      </c>
      <c r="O22497" t="s">
        <v>68178</v>
      </c>
    </row>
    <row r="22498" spans="1:20" x14ac:dyDescent="0.25">
      <c r="A22498" t="str">
        <f>"3058363"</f>
        <v>3058363</v>
      </c>
      <c r="B22498" t="s">
        <v>68181</v>
      </c>
      <c r="C22498" t="str">
        <f>"8322156"</f>
        <v>8322156</v>
      </c>
      <c r="D22498" t="s">
        <v>68182</v>
      </c>
      <c r="E22498" t="s">
        <v>68183</v>
      </c>
      <c r="F22498" t="s">
        <v>68184</v>
      </c>
      <c r="I22498" t="s">
        <v>29</v>
      </c>
      <c r="J22498" t="s">
        <v>30</v>
      </c>
      <c r="K22498" t="s">
        <v>56884</v>
      </c>
      <c r="M22498" t="s">
        <v>50500</v>
      </c>
      <c r="N22498" t="str">
        <f>"4/5/2024 2:22:00 PM"</f>
        <v>4/5/2024 2:22:00 PM</v>
      </c>
      <c r="O22498" t="s">
        <v>68182</v>
      </c>
      <c r="T22498" t="s">
        <v>68183</v>
      </c>
    </row>
    <row r="22499" spans="1:20" x14ac:dyDescent="0.25">
      <c r="A22499" t="str">
        <f>"3078977"</f>
        <v>3078977</v>
      </c>
      <c r="B22499" t="s">
        <v>68185</v>
      </c>
      <c r="C22499" t="str">
        <f>"8322165"</f>
        <v>8322165</v>
      </c>
      <c r="D22499" t="s">
        <v>68186</v>
      </c>
      <c r="E22499" t="s">
        <v>68187</v>
      </c>
      <c r="F22499" t="s">
        <v>68188</v>
      </c>
      <c r="I22499" t="s">
        <v>29</v>
      </c>
      <c r="J22499" t="s">
        <v>30</v>
      </c>
      <c r="K22499" t="s">
        <v>48979</v>
      </c>
      <c r="M22499" t="s">
        <v>50500</v>
      </c>
      <c r="N22499" t="str">
        <f>"4/8/2024 9:43:00 AM"</f>
        <v>4/8/2024 9:43:00 AM</v>
      </c>
      <c r="O22499" t="s">
        <v>68186</v>
      </c>
      <c r="T22499" t="s">
        <v>68187</v>
      </c>
    </row>
    <row r="22500" spans="1:20" x14ac:dyDescent="0.25">
      <c r="A22500" t="str">
        <f>"3061663"</f>
        <v>3061663</v>
      </c>
      <c r="B22500" t="s">
        <v>68189</v>
      </c>
      <c r="C22500" t="str">
        <f>"8322169"</f>
        <v>8322169</v>
      </c>
      <c r="D22500" t="s">
        <v>68190</v>
      </c>
      <c r="E22500" t="s">
        <v>68191</v>
      </c>
      <c r="F22500" t="s">
        <v>68192</v>
      </c>
      <c r="I22500" t="s">
        <v>184</v>
      </c>
      <c r="J22500" t="s">
        <v>30</v>
      </c>
      <c r="K22500" t="s">
        <v>49343</v>
      </c>
      <c r="M22500" t="s">
        <v>50500</v>
      </c>
      <c r="N22500" t="str">
        <f>"4/8/2024 11:12:00 AM"</f>
        <v>4/8/2024 11:12:00 AM</v>
      </c>
      <c r="O22500" t="s">
        <v>68190</v>
      </c>
      <c r="T22500" t="s">
        <v>68191</v>
      </c>
    </row>
    <row r="22501" spans="1:20" x14ac:dyDescent="0.25">
      <c r="A22501" t="str">
        <f>"3052657"</f>
        <v>3052657</v>
      </c>
      <c r="B22501" t="s">
        <v>68193</v>
      </c>
      <c r="C22501" t="str">
        <f>"8307574"</f>
        <v>8307574</v>
      </c>
      <c r="D22501" t="s">
        <v>68194</v>
      </c>
      <c r="F22501" t="s">
        <v>68195</v>
      </c>
      <c r="I22501" t="s">
        <v>68196</v>
      </c>
      <c r="J22501" t="s">
        <v>30</v>
      </c>
      <c r="K22501" t="s">
        <v>68197</v>
      </c>
      <c r="M22501" t="s">
        <v>50621</v>
      </c>
      <c r="N22501" t="str">
        <f>"4/8/2024 12:27:00 PM"</f>
        <v>4/8/2024 12:27:00 PM</v>
      </c>
      <c r="O22501" t="s">
        <v>68194</v>
      </c>
    </row>
    <row r="22502" spans="1:20" x14ac:dyDescent="0.25">
      <c r="A22502" t="str">
        <f>"3048644"</f>
        <v>3048644</v>
      </c>
      <c r="B22502" t="s">
        <v>68198</v>
      </c>
      <c r="C22502" t="str">
        <f>"8322194"</f>
        <v>8322194</v>
      </c>
      <c r="D22502" t="s">
        <v>68199</v>
      </c>
      <c r="F22502" t="s">
        <v>68200</v>
      </c>
      <c r="I22502" t="s">
        <v>184</v>
      </c>
      <c r="J22502" t="s">
        <v>30</v>
      </c>
      <c r="K22502" t="s">
        <v>9070</v>
      </c>
      <c r="M22502" t="s">
        <v>50500</v>
      </c>
      <c r="N22502" t="str">
        <f>"4/9/2024 4:18:00 PM"</f>
        <v>4/9/2024 4:18:00 PM</v>
      </c>
      <c r="O22502" t="s">
        <v>68199</v>
      </c>
    </row>
    <row r="22503" spans="1:20" x14ac:dyDescent="0.25">
      <c r="A22503" t="str">
        <f>"3048411"</f>
        <v>3048411</v>
      </c>
      <c r="B22503" t="s">
        <v>68201</v>
      </c>
      <c r="C22503" t="str">
        <f>"82516838"</f>
        <v>82516838</v>
      </c>
      <c r="D22503" t="s">
        <v>68202</v>
      </c>
      <c r="F22503" t="s">
        <v>68203</v>
      </c>
      <c r="I22503" t="s">
        <v>29</v>
      </c>
      <c r="J22503" t="s">
        <v>30</v>
      </c>
      <c r="K22503" t="s">
        <v>56752</v>
      </c>
      <c r="M22503" t="s">
        <v>50621</v>
      </c>
      <c r="N22503" t="str">
        <f>"4/8/2024 2:18:00 PM"</f>
        <v>4/8/2024 2:18:00 PM</v>
      </c>
      <c r="O22503" t="s">
        <v>68202</v>
      </c>
    </row>
    <row r="22504" spans="1:20" x14ac:dyDescent="0.25">
      <c r="A22504" t="str">
        <f>"3057279"</f>
        <v>3057279</v>
      </c>
      <c r="B22504" t="s">
        <v>68204</v>
      </c>
      <c r="C22504" t="str">
        <f>"69878000"</f>
        <v>69878000</v>
      </c>
      <c r="D22504" t="s">
        <v>68082</v>
      </c>
      <c r="F22504" t="s">
        <v>68083</v>
      </c>
      <c r="I22504" t="s">
        <v>29</v>
      </c>
      <c r="J22504" t="s">
        <v>30</v>
      </c>
      <c r="K22504" t="s">
        <v>66247</v>
      </c>
      <c r="M22504" t="s">
        <v>50621</v>
      </c>
      <c r="N22504" t="str">
        <f>"4/8/2024 2:57:00 PM"</f>
        <v>4/8/2024 2:57:00 PM</v>
      </c>
      <c r="O22504" t="s">
        <v>68082</v>
      </c>
    </row>
    <row r="22505" spans="1:20" x14ac:dyDescent="0.25">
      <c r="A22505" t="str">
        <f>"3062283"</f>
        <v>3062283</v>
      </c>
      <c r="B22505" t="s">
        <v>68205</v>
      </c>
      <c r="C22505" t="str">
        <f>"69878000"</f>
        <v>69878000</v>
      </c>
      <c r="D22505" t="s">
        <v>68082</v>
      </c>
      <c r="F22505" t="s">
        <v>68083</v>
      </c>
      <c r="I22505" t="s">
        <v>29</v>
      </c>
      <c r="J22505" t="s">
        <v>30</v>
      </c>
      <c r="K22505" t="s">
        <v>66247</v>
      </c>
      <c r="M22505" t="s">
        <v>50621</v>
      </c>
      <c r="N22505" t="str">
        <f>"4/8/2024 2:57:00 PM"</f>
        <v>4/8/2024 2:57:00 PM</v>
      </c>
      <c r="O22505" t="s">
        <v>68082</v>
      </c>
    </row>
    <row r="22506" spans="1:20" x14ac:dyDescent="0.25">
      <c r="A22506" t="str">
        <f>"3062292"</f>
        <v>3062292</v>
      </c>
      <c r="B22506" t="s">
        <v>68206</v>
      </c>
      <c r="C22506" t="str">
        <f>"69878000"</f>
        <v>69878000</v>
      </c>
      <c r="D22506" t="s">
        <v>68082</v>
      </c>
      <c r="F22506" t="s">
        <v>68083</v>
      </c>
      <c r="I22506" t="s">
        <v>29</v>
      </c>
      <c r="J22506" t="s">
        <v>30</v>
      </c>
      <c r="K22506" t="s">
        <v>66247</v>
      </c>
      <c r="M22506" t="s">
        <v>50621</v>
      </c>
      <c r="N22506" t="str">
        <f>"4/8/2024 2:57:00 PM"</f>
        <v>4/8/2024 2:57:00 PM</v>
      </c>
      <c r="O22506" t="s">
        <v>68082</v>
      </c>
    </row>
    <row r="22507" spans="1:20" x14ac:dyDescent="0.25">
      <c r="A22507" t="str">
        <f>"3062200"</f>
        <v>3062200</v>
      </c>
      <c r="B22507" t="s">
        <v>68207</v>
      </c>
      <c r="C22507" t="str">
        <f>"8315770"</f>
        <v>8315770</v>
      </c>
      <c r="D22507" t="s">
        <v>68208</v>
      </c>
      <c r="F22507" t="s">
        <v>67678</v>
      </c>
      <c r="I22507" t="s">
        <v>29</v>
      </c>
      <c r="J22507" t="s">
        <v>30</v>
      </c>
      <c r="K22507" t="s">
        <v>44450</v>
      </c>
      <c r="M22507" t="s">
        <v>50793</v>
      </c>
      <c r="N22507" t="str">
        <f>"4/9/2024 10:13:00 AM"</f>
        <v>4/9/2024 10:13:00 AM</v>
      </c>
      <c r="O22507" t="s">
        <v>68208</v>
      </c>
    </row>
    <row r="22508" spans="1:20" x14ac:dyDescent="0.25">
      <c r="A22508" t="str">
        <f>"3046649"</f>
        <v>3046649</v>
      </c>
      <c r="B22508" t="s">
        <v>68209</v>
      </c>
      <c r="C22508" t="str">
        <f>"8320253"</f>
        <v>8320253</v>
      </c>
      <c r="D22508" t="s">
        <v>68210</v>
      </c>
      <c r="F22508" t="s">
        <v>68211</v>
      </c>
      <c r="I22508" t="s">
        <v>184</v>
      </c>
      <c r="J22508" t="s">
        <v>30</v>
      </c>
      <c r="K22508" t="s">
        <v>8878</v>
      </c>
      <c r="M22508" t="s">
        <v>50793</v>
      </c>
      <c r="N22508" t="str">
        <f>"4/10/2024 9:54:00 AM"</f>
        <v>4/10/2024 9:54:00 AM</v>
      </c>
      <c r="O22508" t="s">
        <v>68210</v>
      </c>
    </row>
    <row r="22509" spans="1:20" x14ac:dyDescent="0.25">
      <c r="A22509" t="str">
        <f>"3078419"</f>
        <v>3078419</v>
      </c>
      <c r="B22509" t="s">
        <v>68212</v>
      </c>
      <c r="C22509" t="str">
        <f>"8322203"</f>
        <v>8322203</v>
      </c>
      <c r="D22509" t="s">
        <v>13218</v>
      </c>
      <c r="F22509" t="s">
        <v>68213</v>
      </c>
      <c r="I22509" t="s">
        <v>29</v>
      </c>
      <c r="J22509" t="s">
        <v>30</v>
      </c>
      <c r="K22509" t="s">
        <v>43155</v>
      </c>
      <c r="M22509" t="s">
        <v>50500</v>
      </c>
      <c r="N22509" t="str">
        <f>"4/10/2024 10:06:00 AM"</f>
        <v>4/10/2024 10:06:00 AM</v>
      </c>
      <c r="O22509" t="s">
        <v>13218</v>
      </c>
    </row>
    <row r="22510" spans="1:20" x14ac:dyDescent="0.25">
      <c r="A22510" t="str">
        <f>"3049956"</f>
        <v>3049956</v>
      </c>
      <c r="B22510" t="s">
        <v>68214</v>
      </c>
      <c r="C22510" t="str">
        <f>"8313193"</f>
        <v>8313193</v>
      </c>
      <c r="D22510" t="s">
        <v>68215</v>
      </c>
      <c r="E22510" t="s">
        <v>68216</v>
      </c>
      <c r="F22510" t="s">
        <v>68217</v>
      </c>
      <c r="I22510" t="s">
        <v>29</v>
      </c>
      <c r="J22510" t="s">
        <v>30</v>
      </c>
      <c r="K22510" t="s">
        <v>68218</v>
      </c>
      <c r="M22510" t="s">
        <v>50500</v>
      </c>
      <c r="N22510" t="str">
        <f>"4/10/2024 10:12:00 AM"</f>
        <v>4/10/2024 10:12:00 AM</v>
      </c>
      <c r="O22510" t="s">
        <v>68215</v>
      </c>
      <c r="T22510" t="s">
        <v>68216</v>
      </c>
    </row>
    <row r="22511" spans="1:20" x14ac:dyDescent="0.25">
      <c r="A22511" t="str">
        <f>"3052084"</f>
        <v>3052084</v>
      </c>
      <c r="B22511" t="s">
        <v>68219</v>
      </c>
      <c r="C22511" t="str">
        <f>"8313193"</f>
        <v>8313193</v>
      </c>
      <c r="D22511" t="s">
        <v>68215</v>
      </c>
      <c r="E22511" t="s">
        <v>68216</v>
      </c>
      <c r="F22511" t="s">
        <v>68217</v>
      </c>
      <c r="I22511" t="s">
        <v>29</v>
      </c>
      <c r="J22511" t="s">
        <v>30</v>
      </c>
      <c r="K22511" t="s">
        <v>68218</v>
      </c>
      <c r="M22511" t="s">
        <v>50500</v>
      </c>
      <c r="N22511" t="str">
        <f>"4/10/2024 10:12:00 AM"</f>
        <v>4/10/2024 10:12:00 AM</v>
      </c>
      <c r="O22511" t="s">
        <v>68215</v>
      </c>
      <c r="T22511" t="s">
        <v>68216</v>
      </c>
    </row>
    <row r="22512" spans="1:20" x14ac:dyDescent="0.25">
      <c r="A22512" t="str">
        <f>"3052430"</f>
        <v>3052430</v>
      </c>
      <c r="B22512" t="s">
        <v>68220</v>
      </c>
      <c r="C22512" t="str">
        <f>"8322204"</f>
        <v>8322204</v>
      </c>
      <c r="D22512" t="s">
        <v>68221</v>
      </c>
      <c r="E22512" t="s">
        <v>68222</v>
      </c>
      <c r="F22512" t="s">
        <v>68223</v>
      </c>
      <c r="I22512" t="s">
        <v>58446</v>
      </c>
      <c r="J22512" t="s">
        <v>12725</v>
      </c>
      <c r="K22512" t="s">
        <v>68224</v>
      </c>
      <c r="M22512" t="s">
        <v>50500</v>
      </c>
      <c r="N22512" t="str">
        <f>"4/10/2024 10:17:00 AM"</f>
        <v>4/10/2024 10:17:00 AM</v>
      </c>
      <c r="O22512" t="s">
        <v>68221</v>
      </c>
      <c r="T22512" t="s">
        <v>68222</v>
      </c>
    </row>
    <row r="22513" spans="1:20" x14ac:dyDescent="0.25">
      <c r="A22513" t="str">
        <f>"3062074"</f>
        <v>3062074</v>
      </c>
      <c r="B22513" t="s">
        <v>68225</v>
      </c>
      <c r="C22513" t="str">
        <f>"8315770"</f>
        <v>8315770</v>
      </c>
      <c r="D22513" t="s">
        <v>68208</v>
      </c>
      <c r="F22513" t="s">
        <v>67678</v>
      </c>
      <c r="I22513" t="s">
        <v>29</v>
      </c>
      <c r="J22513" t="s">
        <v>30</v>
      </c>
      <c r="K22513" t="s">
        <v>44450</v>
      </c>
      <c r="M22513" t="s">
        <v>50793</v>
      </c>
      <c r="N22513" t="str">
        <f>"4/9/2024 10:13:00 AM"</f>
        <v>4/9/2024 10:13:00 AM</v>
      </c>
      <c r="O22513" t="s">
        <v>68208</v>
      </c>
    </row>
    <row r="22514" spans="1:20" x14ac:dyDescent="0.25">
      <c r="A22514" t="str">
        <f>"3044896"</f>
        <v>3044896</v>
      </c>
      <c r="B22514" t="s">
        <v>68226</v>
      </c>
      <c r="C22514" t="str">
        <f>"8322175"</f>
        <v>8322175</v>
      </c>
      <c r="D22514" t="s">
        <v>68227</v>
      </c>
      <c r="F22514" t="s">
        <v>68228</v>
      </c>
      <c r="I22514" t="s">
        <v>184</v>
      </c>
      <c r="J22514" t="s">
        <v>30</v>
      </c>
      <c r="K22514" t="s">
        <v>5682</v>
      </c>
      <c r="M22514" t="s">
        <v>50500</v>
      </c>
      <c r="N22514" t="str">
        <f>"4/9/2024 10:22:00 AM"</f>
        <v>4/9/2024 10:22:00 AM</v>
      </c>
      <c r="O22514" t="s">
        <v>68227</v>
      </c>
    </row>
    <row r="22515" spans="1:20" x14ac:dyDescent="0.25">
      <c r="A22515" t="str">
        <f>"3040313"</f>
        <v>3040313</v>
      </c>
      <c r="B22515" t="s">
        <v>68229</v>
      </c>
      <c r="C22515" t="str">
        <f>"82524979"</f>
        <v>82524979</v>
      </c>
      <c r="D22515" t="s">
        <v>68230</v>
      </c>
      <c r="F22515" t="s">
        <v>52205</v>
      </c>
      <c r="I22515" t="s">
        <v>29</v>
      </c>
      <c r="J22515" t="s">
        <v>30</v>
      </c>
      <c r="K22515" t="s">
        <v>31</v>
      </c>
      <c r="M22515" t="s">
        <v>50793</v>
      </c>
      <c r="N22515" t="str">
        <f>"4/9/2024 10:21:00 AM"</f>
        <v>4/9/2024 10:21:00 AM</v>
      </c>
      <c r="O22515" t="s">
        <v>68230</v>
      </c>
    </row>
    <row r="22516" spans="1:20" x14ac:dyDescent="0.25">
      <c r="A22516" t="str">
        <f>"3058339"</f>
        <v>3058339</v>
      </c>
      <c r="B22516" t="s">
        <v>68231</v>
      </c>
      <c r="C22516" t="str">
        <f>"8322177"</f>
        <v>8322177</v>
      </c>
      <c r="D22516" t="s">
        <v>68232</v>
      </c>
      <c r="E22516" t="s">
        <v>68233</v>
      </c>
      <c r="F22516" t="s">
        <v>68234</v>
      </c>
      <c r="I22516" t="s">
        <v>29</v>
      </c>
      <c r="J22516" t="s">
        <v>30</v>
      </c>
      <c r="K22516" t="s">
        <v>62007</v>
      </c>
      <c r="M22516" t="s">
        <v>50500</v>
      </c>
      <c r="N22516" t="str">
        <f>"4/9/2024 10:52:00 AM"</f>
        <v>4/9/2024 10:52:00 AM</v>
      </c>
      <c r="O22516" t="s">
        <v>68232</v>
      </c>
      <c r="T22516" t="s">
        <v>68233</v>
      </c>
    </row>
    <row r="22517" spans="1:20" x14ac:dyDescent="0.25">
      <c r="A22517" t="str">
        <f>"3059835"</f>
        <v>3059835</v>
      </c>
      <c r="B22517" t="s">
        <v>68235</v>
      </c>
      <c r="C22517" t="str">
        <f>"8310963"</f>
        <v>8310963</v>
      </c>
      <c r="D22517" t="s">
        <v>68236</v>
      </c>
      <c r="E22517" t="s">
        <v>68237</v>
      </c>
      <c r="F22517" t="s">
        <v>68238</v>
      </c>
      <c r="I22517" t="s">
        <v>9580</v>
      </c>
      <c r="J22517" t="s">
        <v>30</v>
      </c>
      <c r="K22517" t="s">
        <v>68239</v>
      </c>
      <c r="M22517" t="s">
        <v>50621</v>
      </c>
      <c r="N22517" t="str">
        <f>"4/9/2024 10:53:00 AM"</f>
        <v>4/9/2024 10:53:00 AM</v>
      </c>
      <c r="O22517" t="s">
        <v>68236</v>
      </c>
      <c r="T22517" t="s">
        <v>68237</v>
      </c>
    </row>
    <row r="22518" spans="1:20" x14ac:dyDescent="0.25">
      <c r="A22518" t="str">
        <f>"3058610"</f>
        <v>3058610</v>
      </c>
      <c r="B22518" t="s">
        <v>68240</v>
      </c>
      <c r="C22518" t="str">
        <f>"8322136"</f>
        <v>8322136</v>
      </c>
      <c r="D22518" t="s">
        <v>68241</v>
      </c>
      <c r="E22518" t="s">
        <v>68242</v>
      </c>
      <c r="F22518" t="s">
        <v>68243</v>
      </c>
      <c r="I22518" t="s">
        <v>184</v>
      </c>
      <c r="J22518" t="s">
        <v>30</v>
      </c>
      <c r="K22518" t="s">
        <v>63671</v>
      </c>
      <c r="M22518" t="s">
        <v>50500</v>
      </c>
      <c r="N22518" t="str">
        <f>"4/5/2024 8:54:00 AM"</f>
        <v>4/5/2024 8:54:00 AM</v>
      </c>
      <c r="O22518" t="s">
        <v>68241</v>
      </c>
      <c r="T22518" t="s">
        <v>68242</v>
      </c>
    </row>
    <row r="22519" spans="1:20" x14ac:dyDescent="0.25">
      <c r="A22519" t="str">
        <f>"3050995"</f>
        <v>3050995</v>
      </c>
      <c r="B22519" t="s">
        <v>68244</v>
      </c>
      <c r="C22519" t="str">
        <f>"8322137"</f>
        <v>8322137</v>
      </c>
      <c r="D22519" t="s">
        <v>68245</v>
      </c>
      <c r="E22519" t="s">
        <v>68246</v>
      </c>
      <c r="F22519" t="s">
        <v>68247</v>
      </c>
      <c r="I22519" t="s">
        <v>184</v>
      </c>
      <c r="J22519" t="s">
        <v>30</v>
      </c>
      <c r="K22519" t="s">
        <v>38725</v>
      </c>
      <c r="M22519" t="s">
        <v>50500</v>
      </c>
      <c r="N22519" t="str">
        <f>"4/5/2024 8:58:00 AM"</f>
        <v>4/5/2024 8:58:00 AM</v>
      </c>
      <c r="O22519" t="s">
        <v>68245</v>
      </c>
      <c r="T22519" t="s">
        <v>68246</v>
      </c>
    </row>
    <row r="22520" spans="1:20" x14ac:dyDescent="0.25">
      <c r="A22520" t="str">
        <f>"3051844"</f>
        <v>3051844</v>
      </c>
      <c r="B22520" t="s">
        <v>68248</v>
      </c>
      <c r="C22520" t="str">
        <f>"8322185"</f>
        <v>8322185</v>
      </c>
      <c r="D22520" t="s">
        <v>68163</v>
      </c>
      <c r="F22520" t="s">
        <v>68164</v>
      </c>
      <c r="I22520" t="s">
        <v>964</v>
      </c>
      <c r="J22520" t="s">
        <v>30</v>
      </c>
      <c r="K22520" t="s">
        <v>68165</v>
      </c>
      <c r="M22520" t="s">
        <v>50500</v>
      </c>
      <c r="N22520" t="str">
        <f>"4/9/2024 2:47:00 PM"</f>
        <v>4/9/2024 2:47:00 PM</v>
      </c>
      <c r="O22520" t="s">
        <v>68163</v>
      </c>
    </row>
    <row r="22521" spans="1:20" x14ac:dyDescent="0.25">
      <c r="A22521" t="str">
        <f>"3054548"</f>
        <v>3054548</v>
      </c>
      <c r="B22521" t="s">
        <v>68249</v>
      </c>
      <c r="C22521" t="str">
        <f>"8322185"</f>
        <v>8322185</v>
      </c>
      <c r="D22521" t="s">
        <v>68163</v>
      </c>
      <c r="F22521" t="s">
        <v>68164</v>
      </c>
      <c r="I22521" t="s">
        <v>964</v>
      </c>
      <c r="J22521" t="s">
        <v>30</v>
      </c>
      <c r="K22521" t="s">
        <v>68165</v>
      </c>
      <c r="M22521" t="s">
        <v>50500</v>
      </c>
      <c r="N22521" t="str">
        <f>"4/9/2024 2:47:00 PM"</f>
        <v>4/9/2024 2:47:00 PM</v>
      </c>
      <c r="O22521" t="s">
        <v>68163</v>
      </c>
    </row>
    <row r="22522" spans="1:20" x14ac:dyDescent="0.25">
      <c r="A22522" t="str">
        <f>"3041957"</f>
        <v>3041957</v>
      </c>
      <c r="B22522" t="s">
        <v>68250</v>
      </c>
      <c r="C22522" t="str">
        <f>"8322190"</f>
        <v>8322190</v>
      </c>
      <c r="D22522" t="s">
        <v>68251</v>
      </c>
      <c r="E22522" t="s">
        <v>68252</v>
      </c>
      <c r="F22522" t="s">
        <v>68253</v>
      </c>
      <c r="I22522" t="s">
        <v>2071</v>
      </c>
      <c r="J22522" t="s">
        <v>30</v>
      </c>
      <c r="K22522" t="s">
        <v>36396</v>
      </c>
      <c r="M22522" t="s">
        <v>50500</v>
      </c>
      <c r="N22522" t="str">
        <f>"4/9/2024 3:20:00 PM"</f>
        <v>4/9/2024 3:20:00 PM</v>
      </c>
      <c r="O22522" t="s">
        <v>68251</v>
      </c>
      <c r="T22522" t="s">
        <v>68252</v>
      </c>
    </row>
    <row r="22523" spans="1:20" x14ac:dyDescent="0.25">
      <c r="A22523" t="str">
        <f>"3037703"</f>
        <v>3037703</v>
      </c>
      <c r="B22523" t="s">
        <v>68254</v>
      </c>
      <c r="C22523" t="str">
        <f>"8322191"</f>
        <v>8322191</v>
      </c>
      <c r="D22523" t="s">
        <v>62235</v>
      </c>
      <c r="E22523" t="s">
        <v>68255</v>
      </c>
      <c r="F22523" t="s">
        <v>68256</v>
      </c>
      <c r="I22523" t="s">
        <v>29</v>
      </c>
      <c r="J22523" t="s">
        <v>30</v>
      </c>
      <c r="K22523" t="s">
        <v>112</v>
      </c>
      <c r="M22523" t="s">
        <v>50500</v>
      </c>
      <c r="N22523" t="str">
        <f>"4/9/2024 3:32:00 PM"</f>
        <v>4/9/2024 3:32:00 PM</v>
      </c>
      <c r="O22523" t="s">
        <v>62235</v>
      </c>
      <c r="T22523" t="s">
        <v>68255</v>
      </c>
    </row>
    <row r="22524" spans="1:20" x14ac:dyDescent="0.25">
      <c r="A22524" t="str">
        <f>"3051567"</f>
        <v>3051567</v>
      </c>
      <c r="B22524" t="s">
        <v>68257</v>
      </c>
      <c r="C22524" t="str">
        <f>"82516829"</f>
        <v>82516829</v>
      </c>
      <c r="D22524" t="s">
        <v>68258</v>
      </c>
      <c r="F22524" t="s">
        <v>68259</v>
      </c>
      <c r="I22524" t="s">
        <v>29</v>
      </c>
      <c r="J22524" t="s">
        <v>30</v>
      </c>
      <c r="K22524" t="s">
        <v>31</v>
      </c>
      <c r="M22524" t="s">
        <v>50793</v>
      </c>
      <c r="N22524" t="str">
        <f>"4/9/2024 3:35:00 PM"</f>
        <v>4/9/2024 3:35:00 PM</v>
      </c>
      <c r="O22524" t="s">
        <v>68258</v>
      </c>
    </row>
    <row r="22525" spans="1:20" x14ac:dyDescent="0.25">
      <c r="A22525" t="str">
        <f>"3062747"</f>
        <v>3062747</v>
      </c>
      <c r="B22525" t="s">
        <v>68260</v>
      </c>
      <c r="C22525" t="str">
        <f>"8322192"</f>
        <v>8322192</v>
      </c>
      <c r="D22525" t="s">
        <v>68261</v>
      </c>
      <c r="F22525" t="s">
        <v>68262</v>
      </c>
      <c r="I22525" t="s">
        <v>29</v>
      </c>
      <c r="J22525" t="s">
        <v>30</v>
      </c>
      <c r="K22525" t="s">
        <v>68180</v>
      </c>
      <c r="M22525" t="s">
        <v>50500</v>
      </c>
      <c r="N22525" t="str">
        <f>"4/9/2024 3:38:00 PM"</f>
        <v>4/9/2024 3:38:00 PM</v>
      </c>
      <c r="O22525" t="s">
        <v>68261</v>
      </c>
    </row>
    <row r="22526" spans="1:20" x14ac:dyDescent="0.25">
      <c r="A22526" t="str">
        <f>"3057034"</f>
        <v>3057034</v>
      </c>
      <c r="B22526" t="s">
        <v>68263</v>
      </c>
      <c r="C22526" t="str">
        <f>"52243500"</f>
        <v>52243500</v>
      </c>
      <c r="D22526" t="s">
        <v>68264</v>
      </c>
      <c r="F22526" t="s">
        <v>68265</v>
      </c>
      <c r="I22526" t="s">
        <v>184</v>
      </c>
      <c r="J22526" t="s">
        <v>30</v>
      </c>
      <c r="K22526" t="s">
        <v>185</v>
      </c>
      <c r="M22526" t="s">
        <v>50793</v>
      </c>
      <c r="N22526" t="str">
        <f>"4/10/2024 9:36:00 AM"</f>
        <v>4/10/2024 9:36:00 AM</v>
      </c>
      <c r="O22526" t="s">
        <v>68264</v>
      </c>
    </row>
    <row r="22527" spans="1:20" x14ac:dyDescent="0.25">
      <c r="A22527" t="str">
        <f>"3057642"</f>
        <v>3057642</v>
      </c>
      <c r="B22527" t="s">
        <v>68266</v>
      </c>
      <c r="C22527" t="str">
        <f>"52243500"</f>
        <v>52243500</v>
      </c>
      <c r="D22527" t="s">
        <v>68264</v>
      </c>
      <c r="F22527" t="s">
        <v>68265</v>
      </c>
      <c r="I22527" t="s">
        <v>184</v>
      </c>
      <c r="J22527" t="s">
        <v>30</v>
      </c>
      <c r="K22527" t="s">
        <v>185</v>
      </c>
      <c r="M22527" t="s">
        <v>50793</v>
      </c>
      <c r="N22527" t="str">
        <f>"4/10/2024 9:36:00 AM"</f>
        <v>4/10/2024 9:36:00 AM</v>
      </c>
      <c r="O22527" t="s">
        <v>68264</v>
      </c>
    </row>
    <row r="22528" spans="1:20" x14ac:dyDescent="0.25">
      <c r="A22528" t="str">
        <f>"3054036"</f>
        <v>3054036</v>
      </c>
      <c r="B22528" t="s">
        <v>68267</v>
      </c>
      <c r="C22528" t="str">
        <f>"8318573"</f>
        <v>8318573</v>
      </c>
      <c r="D22528" t="s">
        <v>68268</v>
      </c>
      <c r="E22528" t="s">
        <v>68269</v>
      </c>
      <c r="F22528" t="s">
        <v>68270</v>
      </c>
      <c r="I22528" t="s">
        <v>29</v>
      </c>
      <c r="J22528" t="s">
        <v>30</v>
      </c>
      <c r="K22528" t="s">
        <v>68271</v>
      </c>
      <c r="M22528" t="s">
        <v>50621</v>
      </c>
      <c r="N22528" t="str">
        <f>"4/10/2024 9:52:00 AM"</f>
        <v>4/10/2024 9:52:00 AM</v>
      </c>
      <c r="O22528" t="s">
        <v>68268</v>
      </c>
      <c r="T22528" t="s">
        <v>68269</v>
      </c>
    </row>
    <row r="22529" spans="1:20" x14ac:dyDescent="0.25">
      <c r="A22529" t="str">
        <f>"3037350"</f>
        <v>3037350</v>
      </c>
      <c r="B22529" t="s">
        <v>68272</v>
      </c>
      <c r="C22529" t="str">
        <f>"8322202"</f>
        <v>8322202</v>
      </c>
      <c r="D22529" t="s">
        <v>68273</v>
      </c>
      <c r="F22529" t="s">
        <v>68274</v>
      </c>
      <c r="I22529" t="s">
        <v>184</v>
      </c>
      <c r="J22529" t="s">
        <v>30</v>
      </c>
      <c r="K22529" t="s">
        <v>1915</v>
      </c>
      <c r="M22529" t="s">
        <v>50500</v>
      </c>
      <c r="N22529" t="str">
        <f>"4/10/2024 9:53:00 AM"</f>
        <v>4/10/2024 9:53:00 AM</v>
      </c>
      <c r="O22529" t="s">
        <v>68273</v>
      </c>
    </row>
    <row r="22530" spans="1:20" x14ac:dyDescent="0.25">
      <c r="A22530" t="str">
        <f>"3046993"</f>
        <v>3046993</v>
      </c>
      <c r="B22530" t="s">
        <v>68275</v>
      </c>
      <c r="C22530" t="str">
        <f>"8320253"</f>
        <v>8320253</v>
      </c>
      <c r="D22530" t="s">
        <v>68210</v>
      </c>
      <c r="F22530" t="s">
        <v>68211</v>
      </c>
      <c r="I22530" t="s">
        <v>184</v>
      </c>
      <c r="J22530" t="s">
        <v>30</v>
      </c>
      <c r="K22530" t="s">
        <v>8878</v>
      </c>
      <c r="M22530" t="s">
        <v>50793</v>
      </c>
      <c r="N22530" t="str">
        <f>"4/10/2024 9:54:00 AM"</f>
        <v>4/10/2024 9:54:00 AM</v>
      </c>
      <c r="O22530" t="s">
        <v>68210</v>
      </c>
    </row>
    <row r="22531" spans="1:20" x14ac:dyDescent="0.25">
      <c r="A22531" t="str">
        <f>"3059794"</f>
        <v>3059794</v>
      </c>
      <c r="B22531" t="s">
        <v>68276</v>
      </c>
      <c r="C22531" t="str">
        <f>"82520695"</f>
        <v>82520695</v>
      </c>
      <c r="D22531" t="s">
        <v>68277</v>
      </c>
      <c r="E22531" t="s">
        <v>68278</v>
      </c>
      <c r="F22531" t="s">
        <v>68279</v>
      </c>
      <c r="I22531" t="s">
        <v>5235</v>
      </c>
      <c r="J22531" t="s">
        <v>30</v>
      </c>
      <c r="K22531" t="s">
        <v>68280</v>
      </c>
      <c r="M22531" t="s">
        <v>50621</v>
      </c>
      <c r="N22531" t="str">
        <f>"4/9/2024 12:48:00 PM"</f>
        <v>4/9/2024 12:48:00 PM</v>
      </c>
      <c r="O22531" t="s">
        <v>68277</v>
      </c>
      <c r="T22531" t="s">
        <v>68278</v>
      </c>
    </row>
    <row r="22532" spans="1:20" x14ac:dyDescent="0.25">
      <c r="A22532" t="str">
        <f>"3037654"</f>
        <v>3037654</v>
      </c>
      <c r="B22532" t="s">
        <v>68281</v>
      </c>
      <c r="C22532" t="str">
        <f>"8319312"</f>
        <v>8319312</v>
      </c>
      <c r="D22532" t="s">
        <v>65474</v>
      </c>
      <c r="E22532" t="s">
        <v>65473</v>
      </c>
      <c r="F22532" t="s">
        <v>68282</v>
      </c>
      <c r="I22532" t="s">
        <v>29</v>
      </c>
      <c r="J22532" t="s">
        <v>30</v>
      </c>
      <c r="K22532" t="s">
        <v>41556</v>
      </c>
      <c r="M22532" t="s">
        <v>50793</v>
      </c>
      <c r="N22532" t="str">
        <f>"4/9/2024 1:24:00 PM"</f>
        <v>4/9/2024 1:24:00 PM</v>
      </c>
      <c r="O22532" t="s">
        <v>65474</v>
      </c>
      <c r="T22532" t="s">
        <v>65473</v>
      </c>
    </row>
    <row r="22533" spans="1:20" x14ac:dyDescent="0.25">
      <c r="A22533" t="str">
        <f>"3048214"</f>
        <v>3048214</v>
      </c>
      <c r="B22533" t="s">
        <v>68283</v>
      </c>
      <c r="C22533" t="str">
        <f>"72352500"</f>
        <v>72352500</v>
      </c>
      <c r="D22533" t="s">
        <v>68284</v>
      </c>
      <c r="F22533" t="s">
        <v>68285</v>
      </c>
      <c r="I22533" t="s">
        <v>1149</v>
      </c>
      <c r="J22533" t="s">
        <v>30</v>
      </c>
      <c r="K22533" t="s">
        <v>68286</v>
      </c>
      <c r="M22533" t="s">
        <v>50621</v>
      </c>
      <c r="N22533" t="str">
        <f>"4/9/2024 2:11:00 PM"</f>
        <v>4/9/2024 2:11:00 PM</v>
      </c>
      <c r="O22533" t="s">
        <v>68284</v>
      </c>
    </row>
    <row r="22534" spans="1:20" x14ac:dyDescent="0.25">
      <c r="A22534" t="str">
        <f>"3037733"</f>
        <v>3037733</v>
      </c>
      <c r="B22534" t="s">
        <v>68287</v>
      </c>
      <c r="C22534" t="str">
        <f>"82525078"</f>
        <v>82525078</v>
      </c>
      <c r="D22534" t="s">
        <v>68288</v>
      </c>
      <c r="E22534" t="s">
        <v>68289</v>
      </c>
      <c r="F22534" t="s">
        <v>68290</v>
      </c>
      <c r="I22534" t="s">
        <v>49</v>
      </c>
      <c r="J22534" t="s">
        <v>30</v>
      </c>
      <c r="K22534" t="s">
        <v>68291</v>
      </c>
      <c r="M22534" t="s">
        <v>50621</v>
      </c>
      <c r="N22534" t="str">
        <f>"4/9/2024 2:24:00 PM"</f>
        <v>4/9/2024 2:24:00 PM</v>
      </c>
      <c r="O22534" t="s">
        <v>68288</v>
      </c>
      <c r="T22534" t="s">
        <v>68289</v>
      </c>
    </row>
    <row r="22535" spans="1:20" x14ac:dyDescent="0.25">
      <c r="A22535" t="str">
        <f>"3037827"</f>
        <v>3037827</v>
      </c>
      <c r="B22535" t="s">
        <v>68292</v>
      </c>
      <c r="C22535" t="str">
        <f>"8306195"</f>
        <v>8306195</v>
      </c>
      <c r="D22535" t="s">
        <v>68293</v>
      </c>
      <c r="F22535" t="s">
        <v>68294</v>
      </c>
      <c r="I22535" t="s">
        <v>68295</v>
      </c>
      <c r="J22535" t="s">
        <v>30</v>
      </c>
      <c r="K22535" t="s">
        <v>68296</v>
      </c>
      <c r="M22535" t="s">
        <v>50621</v>
      </c>
      <c r="N22535" t="str">
        <f>"4/9/2024 2:27:00 PM"</f>
        <v>4/9/2024 2:27:00 PM</v>
      </c>
      <c r="O22535" t="s">
        <v>68293</v>
      </c>
    </row>
    <row r="22536" spans="1:20" x14ac:dyDescent="0.25">
      <c r="A22536" t="str">
        <f>"3059738"</f>
        <v>3059738</v>
      </c>
      <c r="B22536" t="s">
        <v>68297</v>
      </c>
      <c r="C22536" t="str">
        <f>"8322184"</f>
        <v>8322184</v>
      </c>
      <c r="D22536" t="s">
        <v>68298</v>
      </c>
      <c r="E22536" t="s">
        <v>68299</v>
      </c>
      <c r="F22536" t="s">
        <v>68300</v>
      </c>
      <c r="I22536" t="s">
        <v>964</v>
      </c>
      <c r="J22536" t="s">
        <v>30</v>
      </c>
      <c r="K22536" t="s">
        <v>68301</v>
      </c>
      <c r="M22536" t="s">
        <v>50500</v>
      </c>
      <c r="N22536" t="str">
        <f>"4/9/2024 2:43:00 PM"</f>
        <v>4/9/2024 2:43:00 PM</v>
      </c>
      <c r="O22536" t="s">
        <v>68298</v>
      </c>
      <c r="T22536" t="s">
        <v>68299</v>
      </c>
    </row>
    <row r="22537" spans="1:20" x14ac:dyDescent="0.25">
      <c r="A22537" t="str">
        <f>"3058623"</f>
        <v>3058623</v>
      </c>
      <c r="B22537" t="s">
        <v>68302</v>
      </c>
      <c r="C22537" t="str">
        <f>"8320960"</f>
        <v>8320960</v>
      </c>
      <c r="D22537" t="s">
        <v>68303</v>
      </c>
      <c r="F22537" t="s">
        <v>68304</v>
      </c>
      <c r="I22537" t="s">
        <v>184</v>
      </c>
      <c r="J22537" t="s">
        <v>30</v>
      </c>
      <c r="K22537" t="s">
        <v>68305</v>
      </c>
      <c r="M22537" t="s">
        <v>55757</v>
      </c>
      <c r="N22537" t="str">
        <f>"4/11/2024 7:07:00 AM"</f>
        <v>4/11/2024 7:07:00 AM</v>
      </c>
      <c r="O22537" t="s">
        <v>68303</v>
      </c>
    </row>
    <row r="22538" spans="1:20" x14ac:dyDescent="0.25">
      <c r="A22538" t="str">
        <f>"3058604"</f>
        <v>3058604</v>
      </c>
      <c r="B22538" t="s">
        <v>68306</v>
      </c>
      <c r="C22538" t="str">
        <f>"8321660"</f>
        <v>8321660</v>
      </c>
      <c r="D22538" t="s">
        <v>68307</v>
      </c>
      <c r="F22538" t="s">
        <v>68308</v>
      </c>
      <c r="I22538" t="s">
        <v>184</v>
      </c>
      <c r="J22538" t="s">
        <v>30</v>
      </c>
      <c r="K22538" t="s">
        <v>68309</v>
      </c>
      <c r="M22538" t="s">
        <v>55757</v>
      </c>
      <c r="N22538" t="str">
        <f>"4/11/2024 7:24:00 AM"</f>
        <v>4/11/2024 7:24:00 AM</v>
      </c>
      <c r="O22538" t="s">
        <v>68307</v>
      </c>
    </row>
    <row r="22539" spans="1:20" x14ac:dyDescent="0.25">
      <c r="A22539" t="str">
        <f>"3058584"</f>
        <v>3058584</v>
      </c>
      <c r="B22539" t="s">
        <v>68310</v>
      </c>
      <c r="C22539" t="str">
        <f>"8321576"</f>
        <v>8321576</v>
      </c>
      <c r="D22539" t="s">
        <v>68311</v>
      </c>
      <c r="F22539" t="s">
        <v>68312</v>
      </c>
      <c r="I22539" t="s">
        <v>184</v>
      </c>
      <c r="J22539" t="s">
        <v>30</v>
      </c>
      <c r="K22539" t="s">
        <v>68309</v>
      </c>
      <c r="M22539" t="s">
        <v>55757</v>
      </c>
      <c r="N22539" t="str">
        <f>"4/11/2024 7:24:00 AM"</f>
        <v>4/11/2024 7:24:00 AM</v>
      </c>
      <c r="O22539" t="s">
        <v>68311</v>
      </c>
    </row>
    <row r="22540" spans="1:20" x14ac:dyDescent="0.25">
      <c r="A22540" t="str">
        <f>"3054915"</f>
        <v>3054915</v>
      </c>
      <c r="B22540" t="s">
        <v>68313</v>
      </c>
      <c r="C22540" t="str">
        <f>"8322211"</f>
        <v>8322211</v>
      </c>
      <c r="D22540" t="s">
        <v>68314</v>
      </c>
      <c r="E22540" t="s">
        <v>68315</v>
      </c>
      <c r="F22540" t="s">
        <v>68316</v>
      </c>
      <c r="I22540" t="s">
        <v>29</v>
      </c>
      <c r="J22540" t="s">
        <v>30</v>
      </c>
      <c r="K22540" t="s">
        <v>49361</v>
      </c>
      <c r="M22540" t="s">
        <v>50500</v>
      </c>
      <c r="N22540" t="str">
        <f>"4/11/2024 8:42:00 AM"</f>
        <v>4/11/2024 8:42:00 AM</v>
      </c>
      <c r="O22540" t="s">
        <v>68314</v>
      </c>
      <c r="T22540" t="s">
        <v>68315</v>
      </c>
    </row>
    <row r="22541" spans="1:20" x14ac:dyDescent="0.25">
      <c r="A22541" t="str">
        <f>"3055606"</f>
        <v>3055606</v>
      </c>
      <c r="B22541" t="s">
        <v>68317</v>
      </c>
      <c r="C22541" t="str">
        <f>"8322211"</f>
        <v>8322211</v>
      </c>
      <c r="D22541" t="s">
        <v>68314</v>
      </c>
      <c r="E22541" t="s">
        <v>68315</v>
      </c>
      <c r="F22541" t="s">
        <v>68316</v>
      </c>
      <c r="I22541" t="s">
        <v>29</v>
      </c>
      <c r="J22541" t="s">
        <v>30</v>
      </c>
      <c r="K22541" t="s">
        <v>49361</v>
      </c>
      <c r="M22541" t="s">
        <v>50500</v>
      </c>
      <c r="N22541" t="str">
        <f>"4/11/2024 8:42:00 AM"</f>
        <v>4/11/2024 8:42:00 AM</v>
      </c>
      <c r="O22541" t="s">
        <v>68314</v>
      </c>
      <c r="T22541" t="s">
        <v>68315</v>
      </c>
    </row>
    <row r="22542" spans="1:20" x14ac:dyDescent="0.25">
      <c r="A22542" t="str">
        <f>"3046936"</f>
        <v>3046936</v>
      </c>
      <c r="B22542" t="s">
        <v>68318</v>
      </c>
      <c r="C22542" t="str">
        <f>"82524315"</f>
        <v>82524315</v>
      </c>
      <c r="D22542" t="s">
        <v>68319</v>
      </c>
      <c r="F22542" t="s">
        <v>68320</v>
      </c>
      <c r="I22542" t="s">
        <v>29</v>
      </c>
      <c r="J22542" t="s">
        <v>30</v>
      </c>
      <c r="K22542" t="s">
        <v>31</v>
      </c>
      <c r="M22542" t="s">
        <v>50793</v>
      </c>
      <c r="N22542" t="str">
        <f>"4/11/2024 9:10:00 AM"</f>
        <v>4/11/2024 9:10:00 AM</v>
      </c>
      <c r="O22542" t="s">
        <v>68319</v>
      </c>
    </row>
    <row r="22543" spans="1:20" x14ac:dyDescent="0.25">
      <c r="A22543" t="str">
        <f>"3058627"</f>
        <v>3058627</v>
      </c>
      <c r="B22543" t="s">
        <v>68321</v>
      </c>
      <c r="C22543" t="str">
        <f>"8320881"</f>
        <v>8320881</v>
      </c>
      <c r="D22543" t="s">
        <v>68322</v>
      </c>
      <c r="F22543" t="s">
        <v>68323</v>
      </c>
      <c r="I22543" t="s">
        <v>184</v>
      </c>
      <c r="J22543" t="s">
        <v>30</v>
      </c>
      <c r="K22543" t="s">
        <v>68305</v>
      </c>
      <c r="M22543" t="s">
        <v>55757</v>
      </c>
      <c r="N22543" t="str">
        <f>"4/11/2024 7:08:00 AM"</f>
        <v>4/11/2024 7:08:00 AM</v>
      </c>
      <c r="O22543" t="s">
        <v>68322</v>
      </c>
    </row>
    <row r="22544" spans="1:20" x14ac:dyDescent="0.25">
      <c r="A22544" t="str">
        <f>"3058637"</f>
        <v>3058637</v>
      </c>
      <c r="B22544" t="s">
        <v>68324</v>
      </c>
      <c r="C22544" t="str">
        <f>"8321444"</f>
        <v>8321444</v>
      </c>
      <c r="D22544" t="s">
        <v>68325</v>
      </c>
      <c r="E22544" t="s">
        <v>68326</v>
      </c>
      <c r="F22544" t="s">
        <v>68327</v>
      </c>
      <c r="I22544" t="s">
        <v>184</v>
      </c>
      <c r="J22544" t="s">
        <v>30</v>
      </c>
      <c r="K22544" t="s">
        <v>64058</v>
      </c>
      <c r="M22544" t="s">
        <v>55757</v>
      </c>
      <c r="N22544" t="str">
        <f>"4/11/2024 7:09:00 AM"</f>
        <v>4/11/2024 7:09:00 AM</v>
      </c>
      <c r="O22544" t="s">
        <v>68325</v>
      </c>
      <c r="T22544" t="s">
        <v>68326</v>
      </c>
    </row>
    <row r="22545" spans="1:20" x14ac:dyDescent="0.25">
      <c r="A22545" t="str">
        <f>"3058614"</f>
        <v>3058614</v>
      </c>
      <c r="B22545" t="s">
        <v>68328</v>
      </c>
      <c r="C22545" t="str">
        <f>"8322216"</f>
        <v>8322216</v>
      </c>
      <c r="D22545" t="s">
        <v>68329</v>
      </c>
      <c r="F22545" t="s">
        <v>68330</v>
      </c>
      <c r="I22545" t="s">
        <v>29</v>
      </c>
      <c r="J22545" t="s">
        <v>30</v>
      </c>
      <c r="K22545" t="s">
        <v>68180</v>
      </c>
      <c r="M22545" t="s">
        <v>50500</v>
      </c>
      <c r="N22545" t="str">
        <f>"4/11/2024 3:33:00 PM"</f>
        <v>4/11/2024 3:33:00 PM</v>
      </c>
      <c r="O22545" t="s">
        <v>68329</v>
      </c>
    </row>
    <row r="22546" spans="1:20" x14ac:dyDescent="0.25">
      <c r="A22546" t="str">
        <f>"3038293"</f>
        <v>3038293</v>
      </c>
      <c r="B22546" t="s">
        <v>68331</v>
      </c>
      <c r="C22546" t="str">
        <f>"8322217"</f>
        <v>8322217</v>
      </c>
      <c r="D22546" t="s">
        <v>68332</v>
      </c>
      <c r="E22546" t="s">
        <v>55011</v>
      </c>
      <c r="F22546" t="s">
        <v>55012</v>
      </c>
      <c r="I22546" t="s">
        <v>29</v>
      </c>
      <c r="J22546" t="s">
        <v>30</v>
      </c>
      <c r="K22546" t="s">
        <v>4538</v>
      </c>
      <c r="M22546" t="s">
        <v>50500</v>
      </c>
      <c r="N22546" t="str">
        <f>"4/11/2024 3:40:00 PM"</f>
        <v>4/11/2024 3:40:00 PM</v>
      </c>
      <c r="O22546" t="s">
        <v>68332</v>
      </c>
      <c r="T22546" t="s">
        <v>55011</v>
      </c>
    </row>
    <row r="22547" spans="1:20" x14ac:dyDescent="0.25">
      <c r="A22547" t="str">
        <f>"3061373"</f>
        <v>3061373</v>
      </c>
      <c r="B22547" t="s">
        <v>68333</v>
      </c>
      <c r="C22547" t="str">
        <f>"8322218"</f>
        <v>8322218</v>
      </c>
      <c r="D22547" t="s">
        <v>68334</v>
      </c>
      <c r="F22547" t="s">
        <v>68335</v>
      </c>
      <c r="I22547" t="s">
        <v>184</v>
      </c>
      <c r="J22547" t="s">
        <v>30</v>
      </c>
      <c r="K22547" t="s">
        <v>20272</v>
      </c>
      <c r="M22547" t="s">
        <v>50500</v>
      </c>
      <c r="N22547" t="str">
        <f>"4/11/2024 3:48:00 PM"</f>
        <v>4/11/2024 3:48:00 PM</v>
      </c>
      <c r="O22547" t="s">
        <v>68334</v>
      </c>
    </row>
    <row r="22548" spans="1:20" x14ac:dyDescent="0.25">
      <c r="A22548" t="str">
        <f>"3061110"</f>
        <v>3061110</v>
      </c>
      <c r="B22548" t="s">
        <v>68336</v>
      </c>
      <c r="C22548" t="str">
        <f>"8322219"</f>
        <v>8322219</v>
      </c>
      <c r="D22548" t="s">
        <v>68337</v>
      </c>
      <c r="E22548" t="s">
        <v>68338</v>
      </c>
      <c r="F22548" t="s">
        <v>68339</v>
      </c>
      <c r="I22548" t="s">
        <v>2071</v>
      </c>
      <c r="J22548" t="s">
        <v>30</v>
      </c>
      <c r="K22548" t="s">
        <v>39090</v>
      </c>
      <c r="M22548" t="s">
        <v>50500</v>
      </c>
      <c r="N22548" t="str">
        <f>"4/11/2024 3:53:00 PM"</f>
        <v>4/11/2024 3:53:00 PM</v>
      </c>
      <c r="O22548" t="s">
        <v>68337</v>
      </c>
      <c r="T22548" t="s">
        <v>68338</v>
      </c>
    </row>
    <row r="22549" spans="1:20" x14ac:dyDescent="0.25">
      <c r="A22549" t="str">
        <f>"3050368"</f>
        <v>3050368</v>
      </c>
      <c r="B22549" t="s">
        <v>68340</v>
      </c>
      <c r="C22549" t="str">
        <f>"8322220"</f>
        <v>8322220</v>
      </c>
      <c r="D22549" t="s">
        <v>68341</v>
      </c>
      <c r="E22549" t="s">
        <v>68342</v>
      </c>
      <c r="F22549" t="s">
        <v>68343</v>
      </c>
      <c r="I22549" t="s">
        <v>184</v>
      </c>
      <c r="J22549" t="s">
        <v>30</v>
      </c>
      <c r="K22549" t="s">
        <v>54904</v>
      </c>
      <c r="M22549" t="s">
        <v>50500</v>
      </c>
      <c r="N22549" t="str">
        <f>"4/12/2024 8:25:00 AM"</f>
        <v>4/12/2024 8:25:00 AM</v>
      </c>
      <c r="O22549" t="s">
        <v>68341</v>
      </c>
      <c r="T22549" t="s">
        <v>68342</v>
      </c>
    </row>
    <row r="22550" spans="1:20" x14ac:dyDescent="0.25">
      <c r="A22550" t="str">
        <f>"3078431"</f>
        <v>3078431</v>
      </c>
      <c r="B22550" t="s">
        <v>68344</v>
      </c>
      <c r="C22550" t="str">
        <f>"8322221"</f>
        <v>8322221</v>
      </c>
      <c r="D22550" t="s">
        <v>44849</v>
      </c>
      <c r="F22550" t="s">
        <v>68345</v>
      </c>
      <c r="I22550" t="s">
        <v>402</v>
      </c>
      <c r="J22550" t="s">
        <v>30</v>
      </c>
      <c r="K22550" t="s">
        <v>68346</v>
      </c>
      <c r="M22550" t="s">
        <v>50500</v>
      </c>
      <c r="N22550" t="str">
        <f>"4/12/2024 8:32:00 AM"</f>
        <v>4/12/2024 8:32:00 AM</v>
      </c>
      <c r="O22550" t="s">
        <v>44849</v>
      </c>
    </row>
    <row r="22551" spans="1:20" x14ac:dyDescent="0.25">
      <c r="A22551" t="str">
        <f>"3058594"</f>
        <v>3058594</v>
      </c>
      <c r="B22551" t="s">
        <v>68347</v>
      </c>
      <c r="C22551" t="str">
        <f>"8321055"</f>
        <v>8321055</v>
      </c>
      <c r="D22551" t="s">
        <v>68348</v>
      </c>
      <c r="E22551" t="s">
        <v>68349</v>
      </c>
      <c r="F22551" t="s">
        <v>68350</v>
      </c>
      <c r="I22551" t="s">
        <v>184</v>
      </c>
      <c r="J22551" t="s">
        <v>30</v>
      </c>
      <c r="K22551" t="s">
        <v>63671</v>
      </c>
      <c r="M22551" t="s">
        <v>55757</v>
      </c>
      <c r="N22551" t="str">
        <f>"4/11/2024 7:10:00 AM"</f>
        <v>4/11/2024 7:10:00 AM</v>
      </c>
      <c r="O22551" t="s">
        <v>68348</v>
      </c>
      <c r="T22551" t="s">
        <v>68349</v>
      </c>
    </row>
    <row r="22552" spans="1:20" x14ac:dyDescent="0.25">
      <c r="A22552" t="str">
        <f>"3058600"</f>
        <v>3058600</v>
      </c>
      <c r="B22552" t="s">
        <v>68351</v>
      </c>
      <c r="C22552" t="str">
        <f>"8321058"</f>
        <v>8321058</v>
      </c>
      <c r="D22552" t="s">
        <v>68352</v>
      </c>
      <c r="E22552" t="s">
        <v>68353</v>
      </c>
      <c r="F22552" t="s">
        <v>68354</v>
      </c>
      <c r="I22552" t="s">
        <v>184</v>
      </c>
      <c r="J22552" t="s">
        <v>30</v>
      </c>
      <c r="K22552" t="s">
        <v>63671</v>
      </c>
      <c r="M22552" t="s">
        <v>55757</v>
      </c>
      <c r="N22552" t="str">
        <f>"4/11/2024 7:12:00 AM"</f>
        <v>4/11/2024 7:12:00 AM</v>
      </c>
      <c r="O22552" t="s">
        <v>68352</v>
      </c>
      <c r="T22552" t="s">
        <v>68353</v>
      </c>
    </row>
    <row r="22553" spans="1:20" x14ac:dyDescent="0.25">
      <c r="A22553" t="str">
        <f>"3058625"</f>
        <v>3058625</v>
      </c>
      <c r="B22553" t="s">
        <v>68355</v>
      </c>
      <c r="C22553" t="str">
        <f>"8321037"</f>
        <v>8321037</v>
      </c>
      <c r="D22553" t="s">
        <v>68356</v>
      </c>
      <c r="F22553" t="s">
        <v>68357</v>
      </c>
      <c r="I22553" t="s">
        <v>184</v>
      </c>
      <c r="J22553" t="s">
        <v>30</v>
      </c>
      <c r="K22553" t="s">
        <v>63671</v>
      </c>
      <c r="M22553" t="s">
        <v>55757</v>
      </c>
      <c r="N22553" t="str">
        <f>"4/11/2024 7:13:00 AM"</f>
        <v>4/11/2024 7:13:00 AM</v>
      </c>
      <c r="O22553" t="s">
        <v>68356</v>
      </c>
    </row>
    <row r="22554" spans="1:20" x14ac:dyDescent="0.25">
      <c r="A22554" t="str">
        <f>"3058603"</f>
        <v>3058603</v>
      </c>
      <c r="B22554" t="s">
        <v>68358</v>
      </c>
      <c r="C22554" t="str">
        <f>"8321235"</f>
        <v>8321235</v>
      </c>
      <c r="D22554" t="s">
        <v>68359</v>
      </c>
      <c r="E22554" t="s">
        <v>68360</v>
      </c>
      <c r="F22554" t="s">
        <v>68361</v>
      </c>
      <c r="I22554" t="s">
        <v>184</v>
      </c>
      <c r="J22554" t="s">
        <v>30</v>
      </c>
      <c r="K22554" t="s">
        <v>63671</v>
      </c>
      <c r="M22554" t="s">
        <v>55757</v>
      </c>
      <c r="N22554" t="str">
        <f>"4/11/2024 7:15:00 AM"</f>
        <v>4/11/2024 7:15:00 AM</v>
      </c>
      <c r="O22554" t="s">
        <v>68359</v>
      </c>
      <c r="T22554" t="s">
        <v>68360</v>
      </c>
    </row>
    <row r="22555" spans="1:20" x14ac:dyDescent="0.25">
      <c r="A22555" t="str">
        <f>"3042262"</f>
        <v>3042262</v>
      </c>
      <c r="B22555" t="s">
        <v>68362</v>
      </c>
      <c r="C22555" t="str">
        <f>"8322223"</f>
        <v>8322223</v>
      </c>
      <c r="D22555" t="s">
        <v>68363</v>
      </c>
      <c r="F22555" t="s">
        <v>68364</v>
      </c>
      <c r="I22555" t="s">
        <v>29</v>
      </c>
      <c r="J22555" t="s">
        <v>30</v>
      </c>
      <c r="K22555" t="s">
        <v>37847</v>
      </c>
      <c r="M22555" t="s">
        <v>50500</v>
      </c>
      <c r="N22555" t="str">
        <f>"4/12/2024 10:55:00 AM"</f>
        <v>4/12/2024 10:55:00 AM</v>
      </c>
      <c r="O22555" t="s">
        <v>68363</v>
      </c>
    </row>
    <row r="22556" spans="1:20" x14ac:dyDescent="0.25">
      <c r="A22556" t="str">
        <f>"3047328"</f>
        <v>3047328</v>
      </c>
      <c r="B22556" t="s">
        <v>68365</v>
      </c>
      <c r="C22556" t="str">
        <f>"8322226"</f>
        <v>8322226</v>
      </c>
      <c r="D22556" t="s">
        <v>68366</v>
      </c>
      <c r="E22556" t="s">
        <v>68367</v>
      </c>
      <c r="F22556" t="s">
        <v>68368</v>
      </c>
      <c r="I22556" t="s">
        <v>184</v>
      </c>
      <c r="J22556" t="s">
        <v>30</v>
      </c>
      <c r="K22556" t="s">
        <v>61002</v>
      </c>
      <c r="M22556" t="s">
        <v>50500</v>
      </c>
      <c r="N22556" t="str">
        <f>"4/12/2024 4:20:00 PM"</f>
        <v>4/12/2024 4:20:00 PM</v>
      </c>
      <c r="O22556" t="s">
        <v>68366</v>
      </c>
      <c r="T22556" t="s">
        <v>68367</v>
      </c>
    </row>
    <row r="22557" spans="1:20" x14ac:dyDescent="0.25">
      <c r="A22557" t="str">
        <f>"3044312"</f>
        <v>3044312</v>
      </c>
      <c r="B22557" t="s">
        <v>68369</v>
      </c>
      <c r="C22557" t="str">
        <f>"8322226"</f>
        <v>8322226</v>
      </c>
      <c r="D22557" t="s">
        <v>68366</v>
      </c>
      <c r="E22557" t="s">
        <v>68367</v>
      </c>
      <c r="F22557" t="s">
        <v>68368</v>
      </c>
      <c r="I22557" t="s">
        <v>184</v>
      </c>
      <c r="J22557" t="s">
        <v>30</v>
      </c>
      <c r="K22557" t="s">
        <v>61002</v>
      </c>
      <c r="M22557" t="s">
        <v>50500</v>
      </c>
      <c r="N22557" t="str">
        <f>"4/12/2024 4:20:00 PM"</f>
        <v>4/12/2024 4:20:00 PM</v>
      </c>
      <c r="O22557" t="s">
        <v>68366</v>
      </c>
      <c r="T22557" t="s">
        <v>68367</v>
      </c>
    </row>
    <row r="22558" spans="1:20" x14ac:dyDescent="0.25">
      <c r="A22558" t="str">
        <f>"3045075"</f>
        <v>3045075</v>
      </c>
      <c r="B22558" t="s">
        <v>68370</v>
      </c>
      <c r="C22558" t="str">
        <f>"8316176"</f>
        <v>8316176</v>
      </c>
      <c r="D22558" t="s">
        <v>68371</v>
      </c>
      <c r="F22558" t="s">
        <v>68372</v>
      </c>
      <c r="I22558" t="s">
        <v>49</v>
      </c>
      <c r="J22558" t="s">
        <v>30</v>
      </c>
      <c r="K22558" t="s">
        <v>68373</v>
      </c>
      <c r="M22558" t="s">
        <v>51351</v>
      </c>
      <c r="N22558" t="str">
        <f>"4/15/2024 9:20:00 AM"</f>
        <v>4/15/2024 9:20:00 AM</v>
      </c>
      <c r="O22558" t="s">
        <v>68371</v>
      </c>
    </row>
    <row r="22559" spans="1:20" x14ac:dyDescent="0.25">
      <c r="A22559" t="str">
        <f>"3072956"</f>
        <v>3072956</v>
      </c>
      <c r="B22559" t="s">
        <v>68374</v>
      </c>
      <c r="C22559" t="str">
        <f>"8322227"</f>
        <v>8322227</v>
      </c>
      <c r="D22559" t="s">
        <v>68375</v>
      </c>
      <c r="F22559" t="s">
        <v>68376</v>
      </c>
      <c r="I22559" t="s">
        <v>29</v>
      </c>
      <c r="J22559" t="s">
        <v>30</v>
      </c>
      <c r="K22559" t="s">
        <v>31045</v>
      </c>
      <c r="M22559" t="s">
        <v>50500</v>
      </c>
      <c r="N22559" t="str">
        <f>"4/15/2024 9:23:00 AM"</f>
        <v>4/15/2024 9:23:00 AM</v>
      </c>
      <c r="O22559" t="s">
        <v>68375</v>
      </c>
    </row>
    <row r="22560" spans="1:20" x14ac:dyDescent="0.25">
      <c r="A22560" t="str">
        <f>"3058575"</f>
        <v>3058575</v>
      </c>
      <c r="B22560" t="s">
        <v>68377</v>
      </c>
      <c r="C22560" t="str">
        <f>"8321303"</f>
        <v>8321303</v>
      </c>
      <c r="D22560" t="s">
        <v>68378</v>
      </c>
      <c r="F22560" t="s">
        <v>68379</v>
      </c>
      <c r="I22560" t="s">
        <v>184</v>
      </c>
      <c r="J22560" t="s">
        <v>30</v>
      </c>
      <c r="K22560" t="s">
        <v>63671</v>
      </c>
      <c r="M22560" t="s">
        <v>55757</v>
      </c>
      <c r="N22560" t="str">
        <f>"4/11/2024 7:16:00 AM"</f>
        <v>4/11/2024 7:16:00 AM</v>
      </c>
      <c r="O22560" t="s">
        <v>68378</v>
      </c>
    </row>
    <row r="22561" spans="1:20" x14ac:dyDescent="0.25">
      <c r="A22561" t="str">
        <f>"3058602"</f>
        <v>3058602</v>
      </c>
      <c r="B22561" t="s">
        <v>68380</v>
      </c>
      <c r="C22561" t="str">
        <f>"8321152"</f>
        <v>8321152</v>
      </c>
      <c r="D22561" t="s">
        <v>68381</v>
      </c>
      <c r="F22561" t="s">
        <v>68382</v>
      </c>
      <c r="I22561" t="s">
        <v>184</v>
      </c>
      <c r="J22561" t="s">
        <v>30</v>
      </c>
      <c r="K22561" t="s">
        <v>63671</v>
      </c>
      <c r="M22561" t="s">
        <v>55757</v>
      </c>
      <c r="N22561" t="str">
        <f>"4/11/2024 7:18:00 AM"</f>
        <v>4/11/2024 7:18:00 AM</v>
      </c>
      <c r="O22561" t="s">
        <v>68381</v>
      </c>
    </row>
    <row r="22562" spans="1:20" x14ac:dyDescent="0.25">
      <c r="A22562" t="str">
        <f>"3061981"</f>
        <v>3061981</v>
      </c>
      <c r="B22562" t="s">
        <v>68383</v>
      </c>
      <c r="C22562" t="str">
        <f>"8320868"</f>
        <v>8320868</v>
      </c>
      <c r="D22562" t="s">
        <v>68384</v>
      </c>
      <c r="E22562" t="s">
        <v>68385</v>
      </c>
      <c r="F22562" t="s">
        <v>68386</v>
      </c>
      <c r="I22562" t="s">
        <v>184</v>
      </c>
      <c r="J22562" t="s">
        <v>30</v>
      </c>
      <c r="K22562" t="s">
        <v>68309</v>
      </c>
      <c r="M22562" t="s">
        <v>55757</v>
      </c>
      <c r="N22562" t="str">
        <f>"4/11/2024 7:18:00 AM"</f>
        <v>4/11/2024 7:18:00 AM</v>
      </c>
      <c r="O22562" t="s">
        <v>68384</v>
      </c>
      <c r="T22562" t="s">
        <v>68385</v>
      </c>
    </row>
    <row r="22563" spans="1:20" x14ac:dyDescent="0.25">
      <c r="A22563" t="str">
        <f>"3062637"</f>
        <v>3062637</v>
      </c>
      <c r="B22563" t="s">
        <v>68387</v>
      </c>
      <c r="C22563" t="str">
        <f>"8322205"</f>
        <v>8322205</v>
      </c>
      <c r="D22563" t="s">
        <v>68388</v>
      </c>
      <c r="F22563" t="s">
        <v>68389</v>
      </c>
      <c r="I22563" t="s">
        <v>2071</v>
      </c>
      <c r="J22563" t="s">
        <v>30</v>
      </c>
      <c r="K22563" t="s">
        <v>34629</v>
      </c>
      <c r="M22563" t="s">
        <v>50500</v>
      </c>
      <c r="N22563" t="str">
        <f>"4/10/2024 10:24:00 AM"</f>
        <v>4/10/2024 10:24:00 AM</v>
      </c>
      <c r="O22563" t="s">
        <v>68388</v>
      </c>
    </row>
    <row r="22564" spans="1:20" x14ac:dyDescent="0.25">
      <c r="A22564" t="str">
        <f>"3051829"</f>
        <v>3051829</v>
      </c>
      <c r="B22564" t="s">
        <v>68390</v>
      </c>
      <c r="C22564" t="str">
        <f>"8322206"</f>
        <v>8322206</v>
      </c>
      <c r="D22564" t="s">
        <v>68391</v>
      </c>
      <c r="F22564" t="s">
        <v>68392</v>
      </c>
      <c r="G22564" t="s">
        <v>68393</v>
      </c>
      <c r="I22564" t="s">
        <v>3196</v>
      </c>
      <c r="J22564" t="s">
        <v>30</v>
      </c>
      <c r="K22564" t="s">
        <v>68394</v>
      </c>
      <c r="M22564" t="s">
        <v>50500</v>
      </c>
      <c r="N22564" t="str">
        <f>"4/10/2024 10:29:00 AM"</f>
        <v>4/10/2024 10:29:00 AM</v>
      </c>
      <c r="O22564" t="s">
        <v>68391</v>
      </c>
    </row>
    <row r="22565" spans="1:20" x14ac:dyDescent="0.25">
      <c r="A22565" t="str">
        <f>"3046008"</f>
        <v>3046008</v>
      </c>
      <c r="B22565" t="s">
        <v>68395</v>
      </c>
      <c r="C22565" t="str">
        <f>"8303243"</f>
        <v>8303243</v>
      </c>
      <c r="D22565" t="str">
        <f>"WEST KEISHA MARIE TSTE 1/2 INT"</f>
        <v>WEST KEISHA MARIE TSTE 1/2 INT</v>
      </c>
      <c r="E22565" t="str">
        <f>"WEST TONYA C TSTE 1/2 INT"</f>
        <v>WEST TONYA C TSTE 1/2 INT</v>
      </c>
      <c r="F22565" t="s">
        <v>68396</v>
      </c>
      <c r="I22565" t="s">
        <v>163</v>
      </c>
      <c r="J22565" t="s">
        <v>30</v>
      </c>
      <c r="K22565" t="str">
        <f>"27284"</f>
        <v>27284</v>
      </c>
      <c r="M22565" t="s">
        <v>50621</v>
      </c>
      <c r="N22565" t="str">
        <f>"4/15/2024 2:26:00 PM"</f>
        <v>4/15/2024 2:26:00 PM</v>
      </c>
      <c r="O22565" t="str">
        <f>"WEST KEISHA MARIE TSTE 1/2 INT"</f>
        <v>WEST KEISHA MARIE TSTE 1/2 INT</v>
      </c>
      <c r="T22565" t="str">
        <f>"WEST TONYA C TSTE 1/2 INT"</f>
        <v>WEST TONYA C TSTE 1/2 INT</v>
      </c>
    </row>
    <row r="22566" spans="1:20" x14ac:dyDescent="0.25">
      <c r="A22566" t="str">
        <f>"3077935"</f>
        <v>3077935</v>
      </c>
      <c r="B22566" t="s">
        <v>68397</v>
      </c>
      <c r="C22566" t="str">
        <f>"8303243"</f>
        <v>8303243</v>
      </c>
      <c r="D22566" t="str">
        <f>"WEST KEISHA MARIE TSTE 1/2 INT"</f>
        <v>WEST KEISHA MARIE TSTE 1/2 INT</v>
      </c>
      <c r="E22566" t="str">
        <f>"WEST TONYA C TSTE 1/2 INT"</f>
        <v>WEST TONYA C TSTE 1/2 INT</v>
      </c>
      <c r="F22566" t="s">
        <v>68396</v>
      </c>
      <c r="I22566" t="s">
        <v>163</v>
      </c>
      <c r="J22566" t="s">
        <v>30</v>
      </c>
      <c r="K22566" t="str">
        <f>"27284"</f>
        <v>27284</v>
      </c>
      <c r="M22566" t="s">
        <v>50621</v>
      </c>
      <c r="N22566" t="str">
        <f>"4/15/2024 2:26:00 PM"</f>
        <v>4/15/2024 2:26:00 PM</v>
      </c>
      <c r="O22566" t="str">
        <f>"WEST KEISHA MARIE TSTE 1/2 INT"</f>
        <v>WEST KEISHA MARIE TSTE 1/2 INT</v>
      </c>
      <c r="T22566" t="str">
        <f>"WEST TONYA C TSTE 1/2 INT"</f>
        <v>WEST TONYA C TSTE 1/2 INT</v>
      </c>
    </row>
    <row r="22567" spans="1:20" x14ac:dyDescent="0.25">
      <c r="A22567" t="str">
        <f>"3057503"</f>
        <v>3057503</v>
      </c>
      <c r="B22567" t="s">
        <v>68398</v>
      </c>
      <c r="C22567" t="str">
        <f>"82522103"</f>
        <v>82522103</v>
      </c>
      <c r="D22567" t="s">
        <v>68399</v>
      </c>
      <c r="E22567" t="s">
        <v>68400</v>
      </c>
      <c r="F22567" t="s">
        <v>68401</v>
      </c>
      <c r="I22567" t="s">
        <v>29</v>
      </c>
      <c r="J22567" t="s">
        <v>30</v>
      </c>
      <c r="K22567" t="str">
        <f>"27028"</f>
        <v>27028</v>
      </c>
      <c r="M22567" t="s">
        <v>50621</v>
      </c>
      <c r="N22567" t="str">
        <f>"4/15/2024 2:32:00 PM"</f>
        <v>4/15/2024 2:32:00 PM</v>
      </c>
      <c r="O22567" t="s">
        <v>68399</v>
      </c>
      <c r="T22567" t="s">
        <v>68400</v>
      </c>
    </row>
    <row r="22568" spans="1:20" x14ac:dyDescent="0.25">
      <c r="A22568" t="str">
        <f>"3037793"</f>
        <v>3037793</v>
      </c>
      <c r="B22568" t="s">
        <v>68402</v>
      </c>
      <c r="C22568" t="str">
        <f>"8321256"</f>
        <v>8321256</v>
      </c>
      <c r="D22568" t="s">
        <v>68403</v>
      </c>
      <c r="F22568" t="s">
        <v>66153</v>
      </c>
      <c r="I22568" t="s">
        <v>29</v>
      </c>
      <c r="J22568" t="s">
        <v>30</v>
      </c>
      <c r="K22568" t="s">
        <v>41261</v>
      </c>
      <c r="M22568" t="s">
        <v>50621</v>
      </c>
      <c r="N22568" t="str">
        <f>"4/15/2024 2:43:00 PM"</f>
        <v>4/15/2024 2:43:00 PM</v>
      </c>
      <c r="O22568" t="s">
        <v>68403</v>
      </c>
    </row>
    <row r="22569" spans="1:20" x14ac:dyDescent="0.25">
      <c r="A22569" t="str">
        <f>"3078923"</f>
        <v>3078923</v>
      </c>
      <c r="B22569" t="s">
        <v>68404</v>
      </c>
      <c r="C22569" t="str">
        <f>"78711500"</f>
        <v>78711500</v>
      </c>
      <c r="D22569" t="s">
        <v>68405</v>
      </c>
      <c r="F22569" t="s">
        <v>68406</v>
      </c>
      <c r="I22569" t="s">
        <v>29</v>
      </c>
      <c r="J22569" t="s">
        <v>30</v>
      </c>
      <c r="K22569" t="s">
        <v>68407</v>
      </c>
      <c r="M22569" t="s">
        <v>50621</v>
      </c>
      <c r="N22569" t="str">
        <f>"4/15/2024 2:45:00 PM"</f>
        <v>4/15/2024 2:45:00 PM</v>
      </c>
      <c r="O22569" t="s">
        <v>68405</v>
      </c>
    </row>
    <row r="22570" spans="1:20" x14ac:dyDescent="0.25">
      <c r="A22570" t="str">
        <f>"3040734"</f>
        <v>3040734</v>
      </c>
      <c r="B22570" t="s">
        <v>68408</v>
      </c>
      <c r="C22570" t="str">
        <f>"8314585"</f>
        <v>8314585</v>
      </c>
      <c r="D22570" t="s">
        <v>68409</v>
      </c>
      <c r="F22570" t="s">
        <v>68410</v>
      </c>
      <c r="I22570" t="s">
        <v>17921</v>
      </c>
      <c r="J22570" t="s">
        <v>30</v>
      </c>
      <c r="K22570" t="str">
        <f>"27028"</f>
        <v>27028</v>
      </c>
      <c r="M22570" t="s">
        <v>50621</v>
      </c>
      <c r="N22570" t="str">
        <f>"4/15/2024 2:47:00 PM"</f>
        <v>4/15/2024 2:47:00 PM</v>
      </c>
      <c r="O22570" t="s">
        <v>68409</v>
      </c>
    </row>
    <row r="22571" spans="1:20" x14ac:dyDescent="0.25">
      <c r="A22571" t="str">
        <f>"3046769"</f>
        <v>3046769</v>
      </c>
      <c r="B22571" t="s">
        <v>68411</v>
      </c>
      <c r="C22571" t="str">
        <f>"8313628"</f>
        <v>8313628</v>
      </c>
      <c r="D22571" t="s">
        <v>68412</v>
      </c>
      <c r="E22571" t="s">
        <v>11783</v>
      </c>
      <c r="F22571" t="s">
        <v>68413</v>
      </c>
      <c r="I22571" t="s">
        <v>184</v>
      </c>
      <c r="J22571" t="s">
        <v>30</v>
      </c>
      <c r="K22571" t="s">
        <v>34403</v>
      </c>
      <c r="M22571" t="s">
        <v>51351</v>
      </c>
      <c r="N22571" t="str">
        <f>"4/15/2024 4:17:00 PM"</f>
        <v>4/15/2024 4:17:00 PM</v>
      </c>
      <c r="O22571" t="s">
        <v>68412</v>
      </c>
      <c r="T22571" t="s">
        <v>11783</v>
      </c>
    </row>
    <row r="22572" spans="1:20" x14ac:dyDescent="0.25">
      <c r="A22572" t="str">
        <f>"3044995"</f>
        <v>3044995</v>
      </c>
      <c r="B22572" t="s">
        <v>68414</v>
      </c>
      <c r="C22572" t="str">
        <f>"74284000"</f>
        <v>74284000</v>
      </c>
      <c r="D22572" t="s">
        <v>68415</v>
      </c>
      <c r="E22572" t="s">
        <v>68416</v>
      </c>
      <c r="F22572" t="s">
        <v>68417</v>
      </c>
      <c r="G22572" t="s">
        <v>68418</v>
      </c>
      <c r="I22572" t="s">
        <v>68419</v>
      </c>
      <c r="J22572" t="s">
        <v>2738</v>
      </c>
      <c r="K22572" t="s">
        <v>68420</v>
      </c>
      <c r="M22572" t="s">
        <v>50621</v>
      </c>
      <c r="N22572" t="str">
        <f>"4/10/2024 10:30:00 AM"</f>
        <v>4/10/2024 10:30:00 AM</v>
      </c>
      <c r="O22572" t="s">
        <v>68415</v>
      </c>
      <c r="T22572" t="s">
        <v>68416</v>
      </c>
    </row>
    <row r="22573" spans="1:20" x14ac:dyDescent="0.25">
      <c r="A22573" t="str">
        <f>"3039386"</f>
        <v>3039386</v>
      </c>
      <c r="B22573" t="s">
        <v>68421</v>
      </c>
      <c r="C22573" t="str">
        <f>"8316257"</f>
        <v>8316257</v>
      </c>
      <c r="D22573" t="s">
        <v>68422</v>
      </c>
      <c r="E22573" t="s">
        <v>32316</v>
      </c>
      <c r="F22573" t="s">
        <v>68423</v>
      </c>
      <c r="I22573" t="s">
        <v>29</v>
      </c>
      <c r="J22573" t="s">
        <v>30</v>
      </c>
      <c r="K22573" t="s">
        <v>15987</v>
      </c>
      <c r="M22573" t="s">
        <v>50621</v>
      </c>
      <c r="N22573" t="str">
        <f>"4/10/2024 11:47:00 AM"</f>
        <v>4/10/2024 11:47:00 AM</v>
      </c>
      <c r="O22573" t="s">
        <v>68422</v>
      </c>
      <c r="T22573" t="s">
        <v>32316</v>
      </c>
    </row>
    <row r="22574" spans="1:20" x14ac:dyDescent="0.25">
      <c r="A22574" t="str">
        <f>"3043410"</f>
        <v>3043410</v>
      </c>
      <c r="B22574" t="s">
        <v>68424</v>
      </c>
      <c r="C22574" t="str">
        <f>"8316806"</f>
        <v>8316806</v>
      </c>
      <c r="D22574" t="s">
        <v>68425</v>
      </c>
      <c r="E22574" t="s">
        <v>68426</v>
      </c>
      <c r="F22574" t="s">
        <v>51728</v>
      </c>
      <c r="I22574" t="s">
        <v>29</v>
      </c>
      <c r="J22574" t="s">
        <v>30</v>
      </c>
      <c r="K22574" t="s">
        <v>15020</v>
      </c>
      <c r="M22574" t="s">
        <v>50621</v>
      </c>
      <c r="N22574" t="str">
        <f>"4/10/2024 2:17:00 PM"</f>
        <v>4/10/2024 2:17:00 PM</v>
      </c>
      <c r="O22574" t="s">
        <v>68425</v>
      </c>
      <c r="T22574" t="s">
        <v>68426</v>
      </c>
    </row>
    <row r="22575" spans="1:20" x14ac:dyDescent="0.25">
      <c r="A22575" t="str">
        <f>"3048565"</f>
        <v>3048565</v>
      </c>
      <c r="B22575" t="s">
        <v>68427</v>
      </c>
      <c r="C22575" t="str">
        <f>"8317359"</f>
        <v>8317359</v>
      </c>
      <c r="D22575" t="s">
        <v>30385</v>
      </c>
      <c r="F22575" t="s">
        <v>68428</v>
      </c>
      <c r="I22575" t="s">
        <v>184</v>
      </c>
      <c r="J22575" t="s">
        <v>30</v>
      </c>
      <c r="K22575" t="s">
        <v>58499</v>
      </c>
      <c r="M22575" t="s">
        <v>50621</v>
      </c>
      <c r="N22575" t="str">
        <f>"4/10/2024 2:42:00 PM"</f>
        <v>4/10/2024 2:42:00 PM</v>
      </c>
      <c r="O22575" t="s">
        <v>30385</v>
      </c>
    </row>
    <row r="22576" spans="1:20" x14ac:dyDescent="0.25">
      <c r="A22576" t="str">
        <f>"3062179"</f>
        <v>3062179</v>
      </c>
      <c r="B22576" t="s">
        <v>68429</v>
      </c>
      <c r="C22576" t="str">
        <f>"8322257"</f>
        <v>8322257</v>
      </c>
      <c r="D22576" t="s">
        <v>68430</v>
      </c>
      <c r="E22576" t="s">
        <v>68431</v>
      </c>
      <c r="F22576" t="s">
        <v>68432</v>
      </c>
      <c r="I22576" t="s">
        <v>29</v>
      </c>
      <c r="J22576" t="s">
        <v>30</v>
      </c>
      <c r="K22576" t="s">
        <v>15656</v>
      </c>
      <c r="M22576" t="s">
        <v>50500</v>
      </c>
      <c r="N22576" t="str">
        <f>"4/16/2024 11:16:00 AM"</f>
        <v>4/16/2024 11:16:00 AM</v>
      </c>
      <c r="O22576" t="s">
        <v>68430</v>
      </c>
      <c r="T22576" t="s">
        <v>68431</v>
      </c>
    </row>
    <row r="22577" spans="1:20" x14ac:dyDescent="0.25">
      <c r="A22577" t="str">
        <f>"3045875"</f>
        <v>3045875</v>
      </c>
      <c r="B22577" t="s">
        <v>68433</v>
      </c>
      <c r="C22577" t="str">
        <f>"54844000"</f>
        <v>54844000</v>
      </c>
      <c r="D22577" t="s">
        <v>68434</v>
      </c>
      <c r="F22577" t="s">
        <v>68435</v>
      </c>
      <c r="I22577" t="s">
        <v>29</v>
      </c>
      <c r="J22577" t="s">
        <v>30</v>
      </c>
      <c r="K22577" t="s">
        <v>55481</v>
      </c>
      <c r="M22577" t="s">
        <v>50793</v>
      </c>
      <c r="N22577" t="str">
        <f>"4/16/2024 11:18:00 AM"</f>
        <v>4/16/2024 11:18:00 AM</v>
      </c>
      <c r="O22577" t="s">
        <v>68434</v>
      </c>
    </row>
    <row r="22578" spans="1:20" x14ac:dyDescent="0.25">
      <c r="A22578" t="str">
        <f>"3062112"</f>
        <v>3062112</v>
      </c>
      <c r="B22578" t="s">
        <v>68436</v>
      </c>
      <c r="C22578" t="str">
        <f>"8322258"</f>
        <v>8322258</v>
      </c>
      <c r="D22578" t="s">
        <v>68437</v>
      </c>
      <c r="F22578" t="s">
        <v>68438</v>
      </c>
      <c r="I22578" t="s">
        <v>29</v>
      </c>
      <c r="J22578" t="s">
        <v>30</v>
      </c>
      <c r="K22578" t="s">
        <v>56763</v>
      </c>
      <c r="M22578" t="s">
        <v>50500</v>
      </c>
      <c r="N22578" t="str">
        <f>"4/16/2024 11:39:00 AM"</f>
        <v>4/16/2024 11:39:00 AM</v>
      </c>
      <c r="O22578" t="s">
        <v>68437</v>
      </c>
    </row>
    <row r="22579" spans="1:20" x14ac:dyDescent="0.25">
      <c r="A22579" t="str">
        <f>"3042708"</f>
        <v>3042708</v>
      </c>
      <c r="B22579" t="s">
        <v>68439</v>
      </c>
      <c r="C22579" t="str">
        <f>"82515837"</f>
        <v>82515837</v>
      </c>
      <c r="D22579" t="s">
        <v>68440</v>
      </c>
      <c r="F22579" t="s">
        <v>68441</v>
      </c>
      <c r="I22579" t="s">
        <v>29</v>
      </c>
      <c r="J22579" t="s">
        <v>30</v>
      </c>
      <c r="K22579" t="s">
        <v>4087</v>
      </c>
      <c r="M22579" t="s">
        <v>50621</v>
      </c>
      <c r="N22579" t="str">
        <f>"4/16/2024 12:10:00 PM"</f>
        <v>4/16/2024 12:10:00 PM</v>
      </c>
      <c r="O22579" t="s">
        <v>68440</v>
      </c>
    </row>
    <row r="22580" spans="1:20" x14ac:dyDescent="0.25">
      <c r="A22580" t="str">
        <f>"3058590"</f>
        <v>3058590</v>
      </c>
      <c r="B22580" t="s">
        <v>68442</v>
      </c>
      <c r="C22580" t="str">
        <f>"8320874"</f>
        <v>8320874</v>
      </c>
      <c r="D22580" t="s">
        <v>68443</v>
      </c>
      <c r="E22580" t="s">
        <v>68444</v>
      </c>
      <c r="F22580" t="s">
        <v>68445</v>
      </c>
      <c r="I22580" t="s">
        <v>184</v>
      </c>
      <c r="J22580" t="s">
        <v>30</v>
      </c>
      <c r="K22580" t="s">
        <v>64058</v>
      </c>
      <c r="M22580" t="s">
        <v>55757</v>
      </c>
      <c r="N22580" t="str">
        <f>"4/11/2024 7:00:00 AM"</f>
        <v>4/11/2024 7:00:00 AM</v>
      </c>
      <c r="O22580" t="s">
        <v>68443</v>
      </c>
      <c r="T22580" t="s">
        <v>68444</v>
      </c>
    </row>
    <row r="22581" spans="1:20" x14ac:dyDescent="0.25">
      <c r="A22581" t="str">
        <f>"3058593"</f>
        <v>3058593</v>
      </c>
      <c r="B22581" t="s">
        <v>68446</v>
      </c>
      <c r="C22581" t="str">
        <f>"8320880"</f>
        <v>8320880</v>
      </c>
      <c r="D22581" t="s">
        <v>68447</v>
      </c>
      <c r="F22581" t="s">
        <v>68448</v>
      </c>
      <c r="I22581" t="s">
        <v>184</v>
      </c>
      <c r="J22581" t="s">
        <v>30</v>
      </c>
      <c r="K22581" t="s">
        <v>68305</v>
      </c>
      <c r="M22581" t="s">
        <v>55757</v>
      </c>
      <c r="N22581" t="str">
        <f>"4/11/2024 7:01:00 AM"</f>
        <v>4/11/2024 7:01:00 AM</v>
      </c>
      <c r="O22581" t="s">
        <v>68447</v>
      </c>
    </row>
    <row r="22582" spans="1:20" x14ac:dyDescent="0.25">
      <c r="A22582" t="str">
        <f>"3056138"</f>
        <v>3056138</v>
      </c>
      <c r="B22582" t="s">
        <v>68449</v>
      </c>
      <c r="C22582" t="str">
        <f>"8322214"</f>
        <v>8322214</v>
      </c>
      <c r="D22582" t="s">
        <v>68450</v>
      </c>
      <c r="E22582" t="s">
        <v>68451</v>
      </c>
      <c r="F22582" t="s">
        <v>68452</v>
      </c>
      <c r="I22582" t="s">
        <v>9580</v>
      </c>
      <c r="J22582" t="s">
        <v>30</v>
      </c>
      <c r="K22582" t="s">
        <v>68453</v>
      </c>
      <c r="M22582" t="s">
        <v>50500</v>
      </c>
      <c r="N22582" t="str">
        <f>"4/11/2024 11:36:00 AM"</f>
        <v>4/11/2024 11:36:00 AM</v>
      </c>
      <c r="O22582" t="s">
        <v>68450</v>
      </c>
      <c r="T22582" t="s">
        <v>68451</v>
      </c>
    </row>
    <row r="22583" spans="1:20" x14ac:dyDescent="0.25">
      <c r="A22583" t="str">
        <f>"3077999"</f>
        <v>3077999</v>
      </c>
      <c r="B22583" t="s">
        <v>68454</v>
      </c>
      <c r="C22583" t="str">
        <f>"8322260"</f>
        <v>8322260</v>
      </c>
      <c r="D22583" t="s">
        <v>68455</v>
      </c>
      <c r="F22583" t="s">
        <v>68456</v>
      </c>
      <c r="I22583" t="s">
        <v>184</v>
      </c>
      <c r="J22583" t="s">
        <v>30</v>
      </c>
      <c r="K22583" t="s">
        <v>68457</v>
      </c>
      <c r="M22583" t="s">
        <v>50500</v>
      </c>
      <c r="N22583" t="str">
        <f>"4/16/2024 12:36:00 PM"</f>
        <v>4/16/2024 12:36:00 PM</v>
      </c>
      <c r="O22583" t="s">
        <v>68455</v>
      </c>
    </row>
    <row r="22584" spans="1:20" x14ac:dyDescent="0.25">
      <c r="A22584" t="str">
        <f>"3041575"</f>
        <v>3041575</v>
      </c>
      <c r="B22584" t="s">
        <v>68458</v>
      </c>
      <c r="C22584" t="str">
        <f>"8322262"</f>
        <v>8322262</v>
      </c>
      <c r="D22584" t="str">
        <f>"HEDRICK KENNETH B TR/HEDRICK LYNN E TR"</f>
        <v>HEDRICK KENNETH B TR/HEDRICK LYNN E TR</v>
      </c>
      <c r="E22584" t="s">
        <v>68459</v>
      </c>
      <c r="F22584" t="s">
        <v>68460</v>
      </c>
      <c r="I22584" t="s">
        <v>2071</v>
      </c>
      <c r="J22584" t="s">
        <v>30</v>
      </c>
      <c r="K22584" t="s">
        <v>3789</v>
      </c>
      <c r="M22584" t="s">
        <v>50500</v>
      </c>
      <c r="N22584" t="str">
        <f>"4/16/2024 2:00:00 PM"</f>
        <v>4/16/2024 2:00:00 PM</v>
      </c>
      <c r="O22584" t="str">
        <f>"HEDRICK KENNETH B TR/HEDRICK LYNN E TR"</f>
        <v>HEDRICK KENNETH B TR/HEDRICK LYNN E TR</v>
      </c>
      <c r="T22584" t="s">
        <v>68459</v>
      </c>
    </row>
    <row r="22585" spans="1:20" x14ac:dyDescent="0.25">
      <c r="A22585" t="str">
        <f>"3058699"</f>
        <v>3058699</v>
      </c>
      <c r="B22585" t="s">
        <v>68461</v>
      </c>
      <c r="C22585" t="str">
        <f>"8322215"</f>
        <v>8322215</v>
      </c>
      <c r="D22585" t="s">
        <v>68462</v>
      </c>
      <c r="F22585" t="s">
        <v>68463</v>
      </c>
      <c r="I22585" t="s">
        <v>29</v>
      </c>
      <c r="J22585" t="s">
        <v>30</v>
      </c>
      <c r="K22585" t="s">
        <v>37218</v>
      </c>
      <c r="M22585" t="s">
        <v>50500</v>
      </c>
      <c r="N22585" t="str">
        <f>"4/11/2024 2:42:00 PM"</f>
        <v>4/11/2024 2:42:00 PM</v>
      </c>
      <c r="O22585" t="s">
        <v>68462</v>
      </c>
    </row>
    <row r="22586" spans="1:20" x14ac:dyDescent="0.25">
      <c r="A22586" t="str">
        <f>"3060346"</f>
        <v>3060346</v>
      </c>
      <c r="B22586" t="s">
        <v>68464</v>
      </c>
      <c r="C22586" t="str">
        <f>"8306680"</f>
        <v>8306680</v>
      </c>
      <c r="D22586" t="s">
        <v>68465</v>
      </c>
      <c r="F22586" t="s">
        <v>68466</v>
      </c>
      <c r="I22586" t="s">
        <v>68467</v>
      </c>
      <c r="J22586" t="s">
        <v>12725</v>
      </c>
      <c r="K22586" t="s">
        <v>68468</v>
      </c>
      <c r="M22586" t="s">
        <v>25733</v>
      </c>
      <c r="N22586" t="str">
        <f>"4/12/2024 10:37:00 AM"</f>
        <v>4/12/2024 10:37:00 AM</v>
      </c>
      <c r="O22586" t="s">
        <v>68465</v>
      </c>
    </row>
    <row r="22587" spans="1:20" x14ac:dyDescent="0.25">
      <c r="A22587" t="str">
        <f>"3038390"</f>
        <v>3038390</v>
      </c>
      <c r="B22587" t="s">
        <v>68469</v>
      </c>
      <c r="C22587" t="str">
        <f>"8316702"</f>
        <v>8316702</v>
      </c>
      <c r="D22587" t="s">
        <v>68470</v>
      </c>
      <c r="F22587" t="s">
        <v>68471</v>
      </c>
      <c r="I22587" t="s">
        <v>29</v>
      </c>
      <c r="J22587" t="s">
        <v>30</v>
      </c>
      <c r="K22587" t="s">
        <v>56143</v>
      </c>
      <c r="M22587" t="s">
        <v>50793</v>
      </c>
      <c r="N22587" t="str">
        <f>"4/12/2024 10:41:00 AM"</f>
        <v>4/12/2024 10:41:00 AM</v>
      </c>
      <c r="O22587" t="s">
        <v>68470</v>
      </c>
    </row>
    <row r="22588" spans="1:20" x14ac:dyDescent="0.25">
      <c r="A22588" t="str">
        <f>"3038100"</f>
        <v>3038100</v>
      </c>
      <c r="B22588" t="s">
        <v>68472</v>
      </c>
      <c r="C22588" t="str">
        <f>"8316702"</f>
        <v>8316702</v>
      </c>
      <c r="D22588" t="s">
        <v>68470</v>
      </c>
      <c r="F22588" t="s">
        <v>68471</v>
      </c>
      <c r="I22588" t="s">
        <v>29</v>
      </c>
      <c r="J22588" t="s">
        <v>30</v>
      </c>
      <c r="K22588" t="s">
        <v>56143</v>
      </c>
      <c r="M22588" t="s">
        <v>50793</v>
      </c>
      <c r="N22588" t="str">
        <f>"4/12/2024 10:41:00 AM"</f>
        <v>4/12/2024 10:41:00 AM</v>
      </c>
      <c r="O22588" t="s">
        <v>68470</v>
      </c>
    </row>
    <row r="22589" spans="1:20" x14ac:dyDescent="0.25">
      <c r="A22589" t="str">
        <f>"3062633"</f>
        <v>3062633</v>
      </c>
      <c r="B22589" t="s">
        <v>68473</v>
      </c>
      <c r="C22589" t="str">
        <f>"8322222"</f>
        <v>8322222</v>
      </c>
      <c r="D22589" t="s">
        <v>68474</v>
      </c>
      <c r="F22589" t="s">
        <v>68475</v>
      </c>
      <c r="I22589" t="s">
        <v>39164</v>
      </c>
      <c r="J22589" t="s">
        <v>30</v>
      </c>
      <c r="K22589" t="s">
        <v>68476</v>
      </c>
      <c r="M22589" t="s">
        <v>50500</v>
      </c>
      <c r="N22589" t="str">
        <f>"4/12/2024 10:43:00 AM"</f>
        <v>4/12/2024 10:43:00 AM</v>
      </c>
      <c r="O22589" t="s">
        <v>68474</v>
      </c>
    </row>
    <row r="22590" spans="1:20" x14ac:dyDescent="0.25">
      <c r="A22590" t="str">
        <f>"3041969"</f>
        <v>3041969</v>
      </c>
      <c r="B22590" t="s">
        <v>68477</v>
      </c>
      <c r="C22590" t="str">
        <f>"82530431"</f>
        <v>82530431</v>
      </c>
      <c r="D22590" t="s">
        <v>68478</v>
      </c>
      <c r="F22590" t="s">
        <v>23276</v>
      </c>
      <c r="I22590" t="s">
        <v>29</v>
      </c>
      <c r="J22590" t="s">
        <v>30</v>
      </c>
      <c r="K22590" t="s">
        <v>31</v>
      </c>
      <c r="M22590" t="s">
        <v>50621</v>
      </c>
      <c r="N22590" t="str">
        <f>"4/15/2024 2:10:00 PM"</f>
        <v>4/15/2024 2:10:00 PM</v>
      </c>
      <c r="O22590" t="s">
        <v>68478</v>
      </c>
    </row>
    <row r="22591" spans="1:20" x14ac:dyDescent="0.25">
      <c r="A22591" t="str">
        <f>"3059815"</f>
        <v>3059815</v>
      </c>
      <c r="B22591" t="s">
        <v>68479</v>
      </c>
      <c r="C22591" t="str">
        <f>"8322266"</f>
        <v>8322266</v>
      </c>
      <c r="D22591" t="s">
        <v>68480</v>
      </c>
      <c r="F22591" t="s">
        <v>68481</v>
      </c>
      <c r="I22591" t="s">
        <v>964</v>
      </c>
      <c r="J22591" t="s">
        <v>30</v>
      </c>
      <c r="K22591" t="s">
        <v>68482</v>
      </c>
      <c r="M22591" t="s">
        <v>50500</v>
      </c>
      <c r="N22591" t="str">
        <f>"4/16/2024 2:41:00 PM"</f>
        <v>4/16/2024 2:41:00 PM</v>
      </c>
      <c r="O22591" t="s">
        <v>68480</v>
      </c>
    </row>
    <row r="22592" spans="1:20" x14ac:dyDescent="0.25">
      <c r="A22592" t="str">
        <f>"3045618"</f>
        <v>3045618</v>
      </c>
      <c r="B22592" t="s">
        <v>68483</v>
      </c>
      <c r="C22592" t="str">
        <f>"82529852"</f>
        <v>82529852</v>
      </c>
      <c r="D22592" t="s">
        <v>68484</v>
      </c>
      <c r="F22592" t="s">
        <v>68485</v>
      </c>
      <c r="I22592" t="s">
        <v>1149</v>
      </c>
      <c r="J22592" t="s">
        <v>30</v>
      </c>
      <c r="K22592" t="s">
        <v>68486</v>
      </c>
      <c r="M22592" t="s">
        <v>50621</v>
      </c>
      <c r="N22592" t="str">
        <f>"4/16/2024 2:41:00 PM"</f>
        <v>4/16/2024 2:41:00 PM</v>
      </c>
      <c r="O22592" t="s">
        <v>68484</v>
      </c>
    </row>
    <row r="22593" spans="1:20" x14ac:dyDescent="0.25">
      <c r="A22593" t="str">
        <f>"3057775"</f>
        <v>3057775</v>
      </c>
      <c r="B22593" t="s">
        <v>68487</v>
      </c>
      <c r="C22593" t="str">
        <f>"82530431"</f>
        <v>82530431</v>
      </c>
      <c r="D22593" t="s">
        <v>68478</v>
      </c>
      <c r="F22593" t="s">
        <v>23276</v>
      </c>
      <c r="I22593" t="s">
        <v>29</v>
      </c>
      <c r="J22593" t="s">
        <v>30</v>
      </c>
      <c r="K22593" t="s">
        <v>31</v>
      </c>
      <c r="M22593" t="s">
        <v>50621</v>
      </c>
      <c r="N22593" t="str">
        <f>"4/15/2024 2:10:00 PM"</f>
        <v>4/15/2024 2:10:00 PM</v>
      </c>
      <c r="O22593" t="s">
        <v>68478</v>
      </c>
    </row>
    <row r="22594" spans="1:20" x14ac:dyDescent="0.25">
      <c r="A22594" t="str">
        <f>"3054941"</f>
        <v>3054941</v>
      </c>
      <c r="B22594" t="s">
        <v>68488</v>
      </c>
      <c r="C22594" t="str">
        <f>"82530431"</f>
        <v>82530431</v>
      </c>
      <c r="D22594" t="s">
        <v>68478</v>
      </c>
      <c r="F22594" t="s">
        <v>23276</v>
      </c>
      <c r="I22594" t="s">
        <v>29</v>
      </c>
      <c r="J22594" t="s">
        <v>30</v>
      </c>
      <c r="K22594" t="s">
        <v>31</v>
      </c>
      <c r="M22594" t="s">
        <v>50621</v>
      </c>
      <c r="N22594" t="str">
        <f>"4/15/2024 2:10:00 PM"</f>
        <v>4/15/2024 2:10:00 PM</v>
      </c>
      <c r="O22594" t="s">
        <v>68478</v>
      </c>
    </row>
    <row r="22595" spans="1:20" x14ac:dyDescent="0.25">
      <c r="A22595" t="str">
        <f>"3043203"</f>
        <v>3043203</v>
      </c>
      <c r="B22595" t="s">
        <v>68489</v>
      </c>
      <c r="C22595" t="str">
        <f>"77432500"</f>
        <v>77432500</v>
      </c>
      <c r="D22595" t="s">
        <v>68490</v>
      </c>
      <c r="F22595" t="s">
        <v>66128</v>
      </c>
      <c r="I22595" t="s">
        <v>29</v>
      </c>
      <c r="J22595" t="s">
        <v>30</v>
      </c>
      <c r="K22595" t="s">
        <v>31</v>
      </c>
      <c r="M22595" t="s">
        <v>50621</v>
      </c>
      <c r="N22595" t="str">
        <f>"4/15/2024 2:21:00 PM"</f>
        <v>4/15/2024 2:21:00 PM</v>
      </c>
      <c r="O22595" t="s">
        <v>68490</v>
      </c>
    </row>
    <row r="22596" spans="1:20" x14ac:dyDescent="0.25">
      <c r="A22596" t="str">
        <f>"3058596"</f>
        <v>3058596</v>
      </c>
      <c r="B22596" t="s">
        <v>68491</v>
      </c>
      <c r="C22596" t="str">
        <f>"8321262"</f>
        <v>8321262</v>
      </c>
      <c r="D22596" t="s">
        <v>68492</v>
      </c>
      <c r="E22596" t="s">
        <v>68493</v>
      </c>
      <c r="F22596" t="s">
        <v>68494</v>
      </c>
      <c r="I22596" t="s">
        <v>184</v>
      </c>
      <c r="J22596" t="s">
        <v>30</v>
      </c>
      <c r="K22596" t="s">
        <v>68309</v>
      </c>
      <c r="M22596" t="s">
        <v>55757</v>
      </c>
      <c r="N22596" t="str">
        <f>"4/11/2024 7:18:00 AM"</f>
        <v>4/11/2024 7:18:00 AM</v>
      </c>
      <c r="O22596" t="s">
        <v>68492</v>
      </c>
      <c r="T22596" t="s">
        <v>68493</v>
      </c>
    </row>
    <row r="22597" spans="1:20" x14ac:dyDescent="0.25">
      <c r="A22597" t="str">
        <f>"3043533"</f>
        <v>3043533</v>
      </c>
      <c r="B22597" t="s">
        <v>68495</v>
      </c>
      <c r="C22597" t="str">
        <f>"77432500"</f>
        <v>77432500</v>
      </c>
      <c r="D22597" t="s">
        <v>68490</v>
      </c>
      <c r="F22597" t="s">
        <v>66128</v>
      </c>
      <c r="I22597" t="s">
        <v>29</v>
      </c>
      <c r="J22597" t="s">
        <v>30</v>
      </c>
      <c r="K22597" t="s">
        <v>31</v>
      </c>
      <c r="M22597" t="s">
        <v>50621</v>
      </c>
      <c r="N22597" t="str">
        <f>"4/15/2024 2:21:00 PM"</f>
        <v>4/15/2024 2:21:00 PM</v>
      </c>
      <c r="O22597" t="s">
        <v>68490</v>
      </c>
    </row>
    <row r="22598" spans="1:20" x14ac:dyDescent="0.25">
      <c r="A22598" t="str">
        <f>"3054614"</f>
        <v>3054614</v>
      </c>
      <c r="B22598" t="s">
        <v>68496</v>
      </c>
      <c r="C22598" t="str">
        <f>"8311565"</f>
        <v>8311565</v>
      </c>
      <c r="D22598" t="s">
        <v>68497</v>
      </c>
      <c r="F22598" t="s">
        <v>68498</v>
      </c>
      <c r="I22598" t="s">
        <v>29</v>
      </c>
      <c r="J22598" t="s">
        <v>30</v>
      </c>
      <c r="K22598" t="s">
        <v>40317</v>
      </c>
      <c r="M22598" t="s">
        <v>50793</v>
      </c>
      <c r="N22598" t="str">
        <f>"4/16/2024 8:39:00 AM"</f>
        <v>4/16/2024 8:39:00 AM</v>
      </c>
      <c r="O22598" t="s">
        <v>68497</v>
      </c>
    </row>
    <row r="22599" spans="1:20" x14ac:dyDescent="0.25">
      <c r="A22599" t="str">
        <f>"3076585"</f>
        <v>3076585</v>
      </c>
      <c r="B22599" t="s">
        <v>68499</v>
      </c>
      <c r="C22599" t="str">
        <f>"8322272"</f>
        <v>8322272</v>
      </c>
      <c r="D22599" t="s">
        <v>68500</v>
      </c>
      <c r="F22599" t="s">
        <v>68501</v>
      </c>
      <c r="I22599" t="s">
        <v>29</v>
      </c>
      <c r="J22599" t="s">
        <v>30</v>
      </c>
      <c r="K22599" t="s">
        <v>16753</v>
      </c>
      <c r="M22599" t="s">
        <v>50500</v>
      </c>
      <c r="N22599" t="str">
        <f>"4/17/2024 8:19:00 AM"</f>
        <v>4/17/2024 8:19:00 AM</v>
      </c>
      <c r="O22599" t="s">
        <v>68500</v>
      </c>
    </row>
    <row r="22600" spans="1:20" x14ac:dyDescent="0.25">
      <c r="A22600" t="str">
        <f>"3040819"</f>
        <v>3040819</v>
      </c>
      <c r="B22600" t="s">
        <v>68502</v>
      </c>
      <c r="C22600" t="str">
        <f>"8322273"</f>
        <v>8322273</v>
      </c>
      <c r="D22600" t="s">
        <v>68503</v>
      </c>
      <c r="E22600" t="s">
        <v>68504</v>
      </c>
      <c r="F22600" t="s">
        <v>68505</v>
      </c>
      <c r="I22600" t="s">
        <v>184</v>
      </c>
      <c r="J22600" t="s">
        <v>30</v>
      </c>
      <c r="K22600" t="s">
        <v>1885</v>
      </c>
      <c r="M22600" t="s">
        <v>50500</v>
      </c>
      <c r="N22600" t="str">
        <f>"4/17/2024 8:25:00 AM"</f>
        <v>4/17/2024 8:25:00 AM</v>
      </c>
      <c r="O22600" t="s">
        <v>68503</v>
      </c>
      <c r="T22600" t="s">
        <v>68504</v>
      </c>
    </row>
    <row r="22601" spans="1:20" x14ac:dyDescent="0.25">
      <c r="A22601" t="str">
        <f>"3046308"</f>
        <v>3046308</v>
      </c>
      <c r="B22601" t="s">
        <v>68506</v>
      </c>
      <c r="C22601" t="str">
        <f>"8306075"</f>
        <v>8306075</v>
      </c>
      <c r="D22601" t="s">
        <v>68507</v>
      </c>
      <c r="E22601" t="s">
        <v>68508</v>
      </c>
      <c r="F22601" t="s">
        <v>68509</v>
      </c>
      <c r="I22601" t="s">
        <v>964</v>
      </c>
      <c r="J22601" t="s">
        <v>30</v>
      </c>
      <c r="K22601" t="str">
        <f>"28147"</f>
        <v>28147</v>
      </c>
      <c r="M22601" t="s">
        <v>50621</v>
      </c>
      <c r="N22601" t="str">
        <f>"4/17/2024 10:29:00 AM"</f>
        <v>4/17/2024 10:29:00 AM</v>
      </c>
      <c r="O22601" t="s">
        <v>68507</v>
      </c>
      <c r="T22601" t="s">
        <v>68508</v>
      </c>
    </row>
    <row r="22602" spans="1:20" x14ac:dyDescent="0.25">
      <c r="A22602" t="str">
        <f>"3042634"</f>
        <v>3042634</v>
      </c>
      <c r="B22602" t="s">
        <v>68510</v>
      </c>
      <c r="C22602" t="str">
        <f>"8320078"</f>
        <v>8320078</v>
      </c>
      <c r="D22602" t="s">
        <v>68511</v>
      </c>
      <c r="E22602" t="s">
        <v>68512</v>
      </c>
      <c r="F22602" t="s">
        <v>68513</v>
      </c>
      <c r="I22602" t="s">
        <v>29</v>
      </c>
      <c r="J22602" t="s">
        <v>30</v>
      </c>
      <c r="K22602" t="s">
        <v>4354</v>
      </c>
      <c r="M22602" t="s">
        <v>50793</v>
      </c>
      <c r="N22602" t="str">
        <f>"4/16/2024 8:45:00 AM"</f>
        <v>4/16/2024 8:45:00 AM</v>
      </c>
      <c r="O22602" t="s">
        <v>68511</v>
      </c>
      <c r="T22602" t="s">
        <v>68512</v>
      </c>
    </row>
    <row r="22603" spans="1:20" x14ac:dyDescent="0.25">
      <c r="A22603" t="str">
        <f>"3045705"</f>
        <v>3045705</v>
      </c>
      <c r="B22603" t="s">
        <v>68514</v>
      </c>
      <c r="C22603" t="str">
        <f>"8322244"</f>
        <v>8322244</v>
      </c>
      <c r="D22603" t="s">
        <v>68515</v>
      </c>
      <c r="E22603" t="s">
        <v>68516</v>
      </c>
      <c r="F22603" t="s">
        <v>59276</v>
      </c>
      <c r="I22603" t="s">
        <v>29</v>
      </c>
      <c r="J22603" t="s">
        <v>30</v>
      </c>
      <c r="K22603" t="s">
        <v>7800</v>
      </c>
      <c r="M22603" t="s">
        <v>50500</v>
      </c>
      <c r="N22603" t="str">
        <f>"4/16/2024 10:37:00 AM"</f>
        <v>4/16/2024 10:37:00 AM</v>
      </c>
      <c r="O22603" t="s">
        <v>68515</v>
      </c>
      <c r="T22603" t="s">
        <v>68516</v>
      </c>
    </row>
    <row r="22604" spans="1:20" x14ac:dyDescent="0.25">
      <c r="A22604" t="str">
        <f>"3039299"</f>
        <v>3039299</v>
      </c>
      <c r="B22604" t="s">
        <v>68517</v>
      </c>
      <c r="C22604" t="str">
        <f>"61200000"</f>
        <v>61200000</v>
      </c>
      <c r="D22604" t="s">
        <v>68518</v>
      </c>
      <c r="F22604" t="s">
        <v>68519</v>
      </c>
      <c r="I22604" t="s">
        <v>184</v>
      </c>
      <c r="J22604" t="s">
        <v>30</v>
      </c>
      <c r="K22604" t="s">
        <v>185</v>
      </c>
      <c r="M22604" t="s">
        <v>50621</v>
      </c>
      <c r="N22604" t="str">
        <f>"4/17/2024 10:57:00 AM"</f>
        <v>4/17/2024 10:57:00 AM</v>
      </c>
      <c r="O22604" t="s">
        <v>68518</v>
      </c>
    </row>
    <row r="22605" spans="1:20" x14ac:dyDescent="0.25">
      <c r="A22605" t="str">
        <f>"3066220"</f>
        <v>3066220</v>
      </c>
      <c r="B22605" t="s">
        <v>68520</v>
      </c>
      <c r="C22605" t="str">
        <f>"8316565"</f>
        <v>8316565</v>
      </c>
      <c r="D22605" t="s">
        <v>68521</v>
      </c>
      <c r="F22605" t="s">
        <v>68522</v>
      </c>
      <c r="I22605" t="s">
        <v>7056</v>
      </c>
      <c r="J22605" t="s">
        <v>7057</v>
      </c>
      <c r="K22605" t="str">
        <f>"35211"</f>
        <v>35211</v>
      </c>
      <c r="M22605" t="s">
        <v>18470</v>
      </c>
      <c r="N22605" t="str">
        <f>"4/17/2024 11:08:00 AM"</f>
        <v>4/17/2024 11:08:00 AM</v>
      </c>
      <c r="O22605" t="s">
        <v>68521</v>
      </c>
    </row>
    <row r="22606" spans="1:20" x14ac:dyDescent="0.25">
      <c r="A22606" t="str">
        <f>"3056013"</f>
        <v>3056013</v>
      </c>
      <c r="B22606" t="s">
        <v>68523</v>
      </c>
      <c r="C22606" t="str">
        <f>"8317634"</f>
        <v>8317634</v>
      </c>
      <c r="D22606" t="s">
        <v>68524</v>
      </c>
      <c r="F22606" t="s">
        <v>20919</v>
      </c>
      <c r="I22606" t="s">
        <v>9580</v>
      </c>
      <c r="J22606" t="s">
        <v>30</v>
      </c>
      <c r="K22606" t="s">
        <v>68525</v>
      </c>
      <c r="M22606" t="s">
        <v>50793</v>
      </c>
      <c r="N22606" t="str">
        <f>"4/17/2024 11:08:00 AM"</f>
        <v>4/17/2024 11:08:00 AM</v>
      </c>
      <c r="O22606" t="s">
        <v>68524</v>
      </c>
    </row>
    <row r="22607" spans="1:20" x14ac:dyDescent="0.25">
      <c r="A22607" t="str">
        <f>"3054719"</f>
        <v>3054719</v>
      </c>
      <c r="B22607" t="s">
        <v>68526</v>
      </c>
      <c r="C22607" t="str">
        <f>"45720000"</f>
        <v>45720000</v>
      </c>
      <c r="D22607" t="s">
        <v>68527</v>
      </c>
      <c r="F22607" t="s">
        <v>68528</v>
      </c>
      <c r="I22607" t="s">
        <v>29</v>
      </c>
      <c r="J22607" t="s">
        <v>30</v>
      </c>
      <c r="K22607" t="s">
        <v>31</v>
      </c>
      <c r="M22607" t="s">
        <v>50793</v>
      </c>
      <c r="N22607" t="str">
        <f>"4/17/2024 11:46:00 AM"</f>
        <v>4/17/2024 11:46:00 AM</v>
      </c>
      <c r="O22607" t="s">
        <v>68527</v>
      </c>
    </row>
    <row r="22608" spans="1:20" x14ac:dyDescent="0.25">
      <c r="A22608" t="str">
        <f>"3051367"</f>
        <v>3051367</v>
      </c>
      <c r="B22608" t="s">
        <v>68529</v>
      </c>
      <c r="C22608" t="str">
        <f>"8321917"</f>
        <v>8321917</v>
      </c>
      <c r="D22608" t="s">
        <v>68530</v>
      </c>
      <c r="F22608" t="s">
        <v>68531</v>
      </c>
      <c r="I22608" t="s">
        <v>29</v>
      </c>
      <c r="J22608" t="s">
        <v>30</v>
      </c>
      <c r="K22608" t="str">
        <f>"27028"</f>
        <v>27028</v>
      </c>
      <c r="M22608" t="s">
        <v>50793</v>
      </c>
      <c r="N22608" t="str">
        <f>"4/16/2024 11:10:00 AM"</f>
        <v>4/16/2024 11:10:00 AM</v>
      </c>
      <c r="O22608" t="s">
        <v>68530</v>
      </c>
    </row>
    <row r="22609" spans="1:20" x14ac:dyDescent="0.25">
      <c r="A22609" t="str">
        <f>"3048492"</f>
        <v>3048492</v>
      </c>
      <c r="B22609" t="s">
        <v>68532</v>
      </c>
      <c r="C22609" t="str">
        <f>"82531670"</f>
        <v>82531670</v>
      </c>
      <c r="D22609" t="s">
        <v>68533</v>
      </c>
      <c r="E22609" t="s">
        <v>68534</v>
      </c>
      <c r="F22609" t="s">
        <v>68535</v>
      </c>
      <c r="I22609" t="s">
        <v>29</v>
      </c>
      <c r="J22609" t="s">
        <v>30</v>
      </c>
      <c r="K22609" t="s">
        <v>31</v>
      </c>
      <c r="M22609" t="s">
        <v>50621</v>
      </c>
      <c r="N22609" t="str">
        <f>"4/17/2024 2:35:00 PM"</f>
        <v>4/17/2024 2:35:00 PM</v>
      </c>
      <c r="O22609" t="s">
        <v>68533</v>
      </c>
      <c r="T22609" t="s">
        <v>68534</v>
      </c>
    </row>
    <row r="22610" spans="1:20" x14ac:dyDescent="0.25">
      <c r="A22610" t="str">
        <f>"3053282"</f>
        <v>3053282</v>
      </c>
      <c r="B22610" t="s">
        <v>68536</v>
      </c>
      <c r="C22610" t="str">
        <f>"8313605"</f>
        <v>8313605</v>
      </c>
      <c r="D22610" t="s">
        <v>68537</v>
      </c>
      <c r="F22610" t="s">
        <v>68538</v>
      </c>
      <c r="I22610" t="s">
        <v>17921</v>
      </c>
      <c r="J22610" t="s">
        <v>30</v>
      </c>
      <c r="K22610" t="str">
        <f>"27028"</f>
        <v>27028</v>
      </c>
      <c r="M22610" t="s">
        <v>50621</v>
      </c>
      <c r="N22610" t="str">
        <f>"4/17/2024 2:49:00 PM"</f>
        <v>4/17/2024 2:49:00 PM</v>
      </c>
      <c r="O22610" t="s">
        <v>68537</v>
      </c>
    </row>
    <row r="22611" spans="1:20" x14ac:dyDescent="0.25">
      <c r="A22611" t="str">
        <f>"3058622"</f>
        <v>3058622</v>
      </c>
      <c r="B22611" t="s">
        <v>68539</v>
      </c>
      <c r="C22611" t="str">
        <f>"8321623"</f>
        <v>8321623</v>
      </c>
      <c r="D22611" t="s">
        <v>68540</v>
      </c>
      <c r="F22611" t="s">
        <v>68541</v>
      </c>
      <c r="I22611" t="s">
        <v>184</v>
      </c>
      <c r="J22611" t="s">
        <v>30</v>
      </c>
      <c r="K22611" t="s">
        <v>68309</v>
      </c>
      <c r="M22611" t="s">
        <v>55757</v>
      </c>
      <c r="N22611" t="str">
        <f>"4/11/2024 7:19:00 AM"</f>
        <v>4/11/2024 7:19:00 AM</v>
      </c>
      <c r="O22611" t="s">
        <v>68540</v>
      </c>
    </row>
    <row r="22612" spans="1:20" x14ac:dyDescent="0.25">
      <c r="A22612" t="str">
        <f>"3065305"</f>
        <v>3065305</v>
      </c>
      <c r="B22612" t="s">
        <v>68542</v>
      </c>
      <c r="C22612" t="str">
        <f>"8320900"</f>
        <v>8320900</v>
      </c>
      <c r="D22612" t="s">
        <v>68543</v>
      </c>
      <c r="E22612" t="s">
        <v>68544</v>
      </c>
      <c r="F22612" t="s">
        <v>68545</v>
      </c>
      <c r="I22612" t="s">
        <v>184</v>
      </c>
      <c r="J22612" t="s">
        <v>30</v>
      </c>
      <c r="K22612" t="s">
        <v>68309</v>
      </c>
      <c r="M22612" t="s">
        <v>55757</v>
      </c>
      <c r="N22612" t="str">
        <f>"4/11/2024 7:19:00 AM"</f>
        <v>4/11/2024 7:19:00 AM</v>
      </c>
      <c r="O22612" t="s">
        <v>68543</v>
      </c>
      <c r="T22612" t="s">
        <v>68544</v>
      </c>
    </row>
    <row r="22613" spans="1:20" x14ac:dyDescent="0.25">
      <c r="A22613" t="str">
        <f>"3058591"</f>
        <v>3058591</v>
      </c>
      <c r="B22613" t="s">
        <v>68546</v>
      </c>
      <c r="C22613" t="str">
        <f>"8321019"</f>
        <v>8321019</v>
      </c>
      <c r="D22613" t="s">
        <v>68547</v>
      </c>
      <c r="E22613" t="s">
        <v>68548</v>
      </c>
      <c r="F22613" t="s">
        <v>68549</v>
      </c>
      <c r="I22613" t="s">
        <v>184</v>
      </c>
      <c r="J22613" t="s">
        <v>30</v>
      </c>
      <c r="K22613" t="s">
        <v>68309</v>
      </c>
      <c r="M22613" t="s">
        <v>55757</v>
      </c>
      <c r="N22613" t="str">
        <f>"4/11/2024 7:22:00 AM"</f>
        <v>4/11/2024 7:22:00 AM</v>
      </c>
      <c r="O22613" t="s">
        <v>68547</v>
      </c>
      <c r="T22613" t="s">
        <v>68548</v>
      </c>
    </row>
    <row r="22614" spans="1:20" x14ac:dyDescent="0.25">
      <c r="A22614" t="str">
        <f>"3058595"</f>
        <v>3058595</v>
      </c>
      <c r="B22614" t="s">
        <v>68550</v>
      </c>
      <c r="C22614" t="str">
        <f>"8321027"</f>
        <v>8321027</v>
      </c>
      <c r="D22614" t="s">
        <v>68551</v>
      </c>
      <c r="F22614" t="s">
        <v>68552</v>
      </c>
      <c r="I22614" t="s">
        <v>184</v>
      </c>
      <c r="J22614" t="s">
        <v>30</v>
      </c>
      <c r="K22614" t="s">
        <v>68309</v>
      </c>
      <c r="M22614" t="s">
        <v>55757</v>
      </c>
      <c r="N22614" t="str">
        <f>"4/11/2024 7:22:00 AM"</f>
        <v>4/11/2024 7:22:00 AM</v>
      </c>
      <c r="O22614" t="s">
        <v>68551</v>
      </c>
    </row>
    <row r="22615" spans="1:20" x14ac:dyDescent="0.25">
      <c r="A22615" t="str">
        <f>"3058597"</f>
        <v>3058597</v>
      </c>
      <c r="B22615" t="s">
        <v>68553</v>
      </c>
      <c r="C22615" t="str">
        <f>"8321079"</f>
        <v>8321079</v>
      </c>
      <c r="D22615" t="s">
        <v>68554</v>
      </c>
      <c r="E22615" t="s">
        <v>68555</v>
      </c>
      <c r="F22615" t="s">
        <v>68556</v>
      </c>
      <c r="I22615" t="s">
        <v>184</v>
      </c>
      <c r="J22615" t="s">
        <v>30</v>
      </c>
      <c r="K22615" t="s">
        <v>68309</v>
      </c>
      <c r="M22615" t="s">
        <v>55757</v>
      </c>
      <c r="N22615" t="str">
        <f>"4/11/2024 7:23:00 AM"</f>
        <v>4/11/2024 7:23:00 AM</v>
      </c>
      <c r="O22615" t="s">
        <v>68554</v>
      </c>
      <c r="T22615" t="s">
        <v>68555</v>
      </c>
    </row>
    <row r="22616" spans="1:20" x14ac:dyDescent="0.25">
      <c r="A22616" t="str">
        <f>"3058601"</f>
        <v>3058601</v>
      </c>
      <c r="B22616" t="s">
        <v>68557</v>
      </c>
      <c r="C22616" t="str">
        <f>"8321273"</f>
        <v>8321273</v>
      </c>
      <c r="D22616" t="s">
        <v>68558</v>
      </c>
      <c r="F22616" t="s">
        <v>68559</v>
      </c>
      <c r="I22616" t="s">
        <v>184</v>
      </c>
      <c r="J22616" t="s">
        <v>30</v>
      </c>
      <c r="K22616" t="s">
        <v>68309</v>
      </c>
      <c r="M22616" t="s">
        <v>55757</v>
      </c>
      <c r="N22616" t="str">
        <f>"4/11/2024 7:23:00 AM"</f>
        <v>4/11/2024 7:23:00 AM</v>
      </c>
      <c r="O22616" t="s">
        <v>68558</v>
      </c>
    </row>
    <row r="22617" spans="1:20" x14ac:dyDescent="0.25">
      <c r="A22617" t="str">
        <f>"3045326"</f>
        <v>3045326</v>
      </c>
      <c r="B22617" t="s">
        <v>68560</v>
      </c>
      <c r="C22617" t="str">
        <f>"82520982"</f>
        <v>82520982</v>
      </c>
      <c r="D22617" t="s">
        <v>68561</v>
      </c>
      <c r="E22617" t="s">
        <v>68562</v>
      </c>
      <c r="F22617" t="s">
        <v>37239</v>
      </c>
      <c r="I22617" t="s">
        <v>68563</v>
      </c>
      <c r="J22617" t="s">
        <v>30</v>
      </c>
      <c r="K22617" t="s">
        <v>68564</v>
      </c>
      <c r="M22617" t="s">
        <v>50621</v>
      </c>
      <c r="N22617" t="str">
        <f>"4/16/2024 2:13:00 PM"</f>
        <v>4/16/2024 2:13:00 PM</v>
      </c>
      <c r="O22617" t="s">
        <v>68561</v>
      </c>
      <c r="T22617" t="s">
        <v>68562</v>
      </c>
    </row>
    <row r="22618" spans="1:20" x14ac:dyDescent="0.25">
      <c r="A22618" t="str">
        <f>"3043679"</f>
        <v>3043679</v>
      </c>
      <c r="B22618" t="s">
        <v>68565</v>
      </c>
      <c r="C22618" t="str">
        <f>"8322263"</f>
        <v>8322263</v>
      </c>
      <c r="D22618" t="s">
        <v>68566</v>
      </c>
      <c r="F22618" t="s">
        <v>68567</v>
      </c>
      <c r="I22618" t="s">
        <v>29</v>
      </c>
      <c r="J22618" t="s">
        <v>30</v>
      </c>
      <c r="K22618" t="s">
        <v>26737</v>
      </c>
      <c r="M22618" t="s">
        <v>50500</v>
      </c>
      <c r="N22618" t="str">
        <f>"4/16/2024 2:16:00 PM"</f>
        <v>4/16/2024 2:16:00 PM</v>
      </c>
      <c r="O22618" t="s">
        <v>68566</v>
      </c>
    </row>
    <row r="22619" spans="1:20" x14ac:dyDescent="0.25">
      <c r="A22619" t="str">
        <f>"3058675"</f>
        <v>3058675</v>
      </c>
      <c r="B22619" t="s">
        <v>68568</v>
      </c>
      <c r="C22619" t="str">
        <f>"8322282"</f>
        <v>8322282</v>
      </c>
      <c r="D22619" t="s">
        <v>68569</v>
      </c>
      <c r="E22619" t="s">
        <v>68570</v>
      </c>
      <c r="F22619" t="s">
        <v>68571</v>
      </c>
      <c r="I22619" t="s">
        <v>184</v>
      </c>
      <c r="J22619" t="s">
        <v>30</v>
      </c>
      <c r="K22619" t="s">
        <v>64153</v>
      </c>
      <c r="M22619" t="s">
        <v>50500</v>
      </c>
      <c r="N22619" t="str">
        <f>"4/19/2024 10:47:00 AM"</f>
        <v>4/19/2024 10:47:00 AM</v>
      </c>
      <c r="O22619" t="s">
        <v>68569</v>
      </c>
      <c r="T22619" t="s">
        <v>68570</v>
      </c>
    </row>
    <row r="22620" spans="1:20" x14ac:dyDescent="0.25">
      <c r="A22620" t="str">
        <f>"3058898"</f>
        <v>3058898</v>
      </c>
      <c r="B22620" t="s">
        <v>68572</v>
      </c>
      <c r="C22620" t="str">
        <f>"8322283"</f>
        <v>8322283</v>
      </c>
      <c r="D22620" t="s">
        <v>68573</v>
      </c>
      <c r="F22620" t="s">
        <v>68574</v>
      </c>
      <c r="I22620" t="s">
        <v>68575</v>
      </c>
      <c r="J22620" t="s">
        <v>2109</v>
      </c>
      <c r="K22620" t="s">
        <v>68576</v>
      </c>
      <c r="M22620" t="s">
        <v>50500</v>
      </c>
      <c r="N22620" t="str">
        <f>"4/19/2024 10:59:00 AM"</f>
        <v>4/19/2024 10:59:00 AM</v>
      </c>
      <c r="O22620" t="s">
        <v>68573</v>
      </c>
    </row>
    <row r="22621" spans="1:20" x14ac:dyDescent="0.25">
      <c r="A22621" t="str">
        <f>"3041806"</f>
        <v>3041806</v>
      </c>
      <c r="B22621" t="s">
        <v>68577</v>
      </c>
      <c r="C22621" t="str">
        <f>"8322284"</f>
        <v>8322284</v>
      </c>
      <c r="D22621" t="s">
        <v>68578</v>
      </c>
      <c r="F22621" t="s">
        <v>68579</v>
      </c>
      <c r="I22621" t="s">
        <v>471</v>
      </c>
      <c r="J22621" t="s">
        <v>30</v>
      </c>
      <c r="K22621" t="s">
        <v>68580</v>
      </c>
      <c r="M22621" t="s">
        <v>50500</v>
      </c>
      <c r="N22621" t="str">
        <f>"4/19/2024 11:11:00 AM"</f>
        <v>4/19/2024 11:11:00 AM</v>
      </c>
      <c r="O22621" t="s">
        <v>68578</v>
      </c>
    </row>
    <row r="22622" spans="1:20" x14ac:dyDescent="0.25">
      <c r="A22622" t="str">
        <f>"3068206"</f>
        <v>3068206</v>
      </c>
      <c r="B22622" t="s">
        <v>68581</v>
      </c>
      <c r="C22622" t="str">
        <f>"8309159"</f>
        <v>8309159</v>
      </c>
      <c r="D22622" t="s">
        <v>68582</v>
      </c>
      <c r="E22622" t="s">
        <v>65435</v>
      </c>
      <c r="F22622" t="s">
        <v>67123</v>
      </c>
      <c r="I22622" t="s">
        <v>49</v>
      </c>
      <c r="J22622" t="s">
        <v>30</v>
      </c>
      <c r="K22622" t="s">
        <v>67124</v>
      </c>
      <c r="M22622" t="s">
        <v>50621</v>
      </c>
      <c r="N22622" t="str">
        <f>"4/16/2024 2:24:00 PM"</f>
        <v>4/16/2024 2:24:00 PM</v>
      </c>
      <c r="O22622" t="s">
        <v>68582</v>
      </c>
      <c r="T22622" t="s">
        <v>65435</v>
      </c>
    </row>
    <row r="22623" spans="1:20" x14ac:dyDescent="0.25">
      <c r="A22623" t="str">
        <f>"3041068"</f>
        <v>3041068</v>
      </c>
      <c r="B22623" t="s">
        <v>68583</v>
      </c>
      <c r="C22623" t="str">
        <f>"8322264"</f>
        <v>8322264</v>
      </c>
      <c r="D22623" t="s">
        <v>68584</v>
      </c>
      <c r="F22623" t="s">
        <v>68585</v>
      </c>
      <c r="I22623" t="s">
        <v>2071</v>
      </c>
      <c r="J22623" t="s">
        <v>30</v>
      </c>
      <c r="K22623" t="s">
        <v>68586</v>
      </c>
      <c r="M22623" t="s">
        <v>50500</v>
      </c>
      <c r="N22623" t="str">
        <f>"4/16/2024 2:25:00 PM"</f>
        <v>4/16/2024 2:25:00 PM</v>
      </c>
      <c r="O22623" t="s">
        <v>68584</v>
      </c>
    </row>
    <row r="22624" spans="1:20" x14ac:dyDescent="0.25">
      <c r="A22624" t="str">
        <f>"3041200"</f>
        <v>3041200</v>
      </c>
      <c r="B22624" t="s">
        <v>68587</v>
      </c>
      <c r="C22624" t="str">
        <f>"8322264"</f>
        <v>8322264</v>
      </c>
      <c r="D22624" t="s">
        <v>68584</v>
      </c>
      <c r="F22624" t="s">
        <v>68585</v>
      </c>
      <c r="I22624" t="s">
        <v>2071</v>
      </c>
      <c r="J22624" t="s">
        <v>30</v>
      </c>
      <c r="K22624" t="s">
        <v>68586</v>
      </c>
      <c r="M22624" t="s">
        <v>50500</v>
      </c>
      <c r="N22624" t="str">
        <f>"4/16/2024 2:25:00 PM"</f>
        <v>4/16/2024 2:25:00 PM</v>
      </c>
      <c r="O22624" t="s">
        <v>68584</v>
      </c>
    </row>
    <row r="22625" spans="1:20" x14ac:dyDescent="0.25">
      <c r="A22625" t="str">
        <f>"3062091"</f>
        <v>3062091</v>
      </c>
      <c r="B22625" t="s">
        <v>68588</v>
      </c>
      <c r="C22625" t="str">
        <f>"8322265"</f>
        <v>8322265</v>
      </c>
      <c r="D22625" t="s">
        <v>68589</v>
      </c>
      <c r="E22625" t="s">
        <v>68590</v>
      </c>
      <c r="F22625" t="s">
        <v>68591</v>
      </c>
      <c r="I22625" t="s">
        <v>29</v>
      </c>
      <c r="J22625" t="s">
        <v>30</v>
      </c>
      <c r="K22625" t="s">
        <v>59933</v>
      </c>
      <c r="M22625" t="s">
        <v>50500</v>
      </c>
      <c r="N22625" t="str">
        <f>"4/16/2024 2:35:00 PM"</f>
        <v>4/16/2024 2:35:00 PM</v>
      </c>
      <c r="O22625" t="s">
        <v>68589</v>
      </c>
      <c r="T22625" t="s">
        <v>68590</v>
      </c>
    </row>
    <row r="22626" spans="1:20" x14ac:dyDescent="0.25">
      <c r="A22626" t="str">
        <f>"3077120"</f>
        <v>3077120</v>
      </c>
      <c r="B22626" t="s">
        <v>68592</v>
      </c>
      <c r="C22626" t="str">
        <f>"8322267"</f>
        <v>8322267</v>
      </c>
      <c r="D22626" t="s">
        <v>68593</v>
      </c>
      <c r="F22626" t="s">
        <v>68594</v>
      </c>
      <c r="I22626" t="s">
        <v>184</v>
      </c>
      <c r="J22626" t="s">
        <v>30</v>
      </c>
      <c r="K22626" t="s">
        <v>32963</v>
      </c>
      <c r="M22626" t="s">
        <v>50500</v>
      </c>
      <c r="N22626" t="str">
        <f>"4/16/2024 2:44:00 PM"</f>
        <v>4/16/2024 2:44:00 PM</v>
      </c>
      <c r="O22626" t="s">
        <v>68593</v>
      </c>
    </row>
    <row r="22627" spans="1:20" x14ac:dyDescent="0.25">
      <c r="A22627" t="str">
        <f>"3060412"</f>
        <v>3060412</v>
      </c>
      <c r="B22627" t="s">
        <v>68595</v>
      </c>
      <c r="C22627" t="str">
        <f>"8322268"</f>
        <v>8322268</v>
      </c>
      <c r="D22627" t="s">
        <v>68596</v>
      </c>
      <c r="F22627" t="s">
        <v>68597</v>
      </c>
      <c r="I22627" t="s">
        <v>2071</v>
      </c>
      <c r="J22627" t="s">
        <v>30</v>
      </c>
      <c r="K22627" t="s">
        <v>3728</v>
      </c>
      <c r="M22627" t="s">
        <v>50500</v>
      </c>
      <c r="N22627" t="str">
        <f>"4/16/2024 2:51:00 PM"</f>
        <v>4/16/2024 2:51:00 PM</v>
      </c>
      <c r="O22627" t="s">
        <v>68596</v>
      </c>
    </row>
    <row r="22628" spans="1:20" x14ac:dyDescent="0.25">
      <c r="A22628" t="str">
        <f>"3062648"</f>
        <v>3062648</v>
      </c>
      <c r="B22628" t="s">
        <v>68598</v>
      </c>
      <c r="C22628" t="str">
        <f>"8322269"</f>
        <v>8322269</v>
      </c>
      <c r="D22628" t="s">
        <v>68599</v>
      </c>
      <c r="E22628" t="s">
        <v>68600</v>
      </c>
      <c r="F22628" t="s">
        <v>68601</v>
      </c>
      <c r="I22628" t="s">
        <v>29</v>
      </c>
      <c r="J22628" t="s">
        <v>30</v>
      </c>
      <c r="K22628" t="s">
        <v>37218</v>
      </c>
      <c r="M22628" t="s">
        <v>50500</v>
      </c>
      <c r="N22628" t="str">
        <f>"4/16/2024 2:58:00 PM"</f>
        <v>4/16/2024 2:58:00 PM</v>
      </c>
      <c r="O22628" t="s">
        <v>68599</v>
      </c>
      <c r="T22628" t="s">
        <v>68600</v>
      </c>
    </row>
    <row r="22629" spans="1:20" x14ac:dyDescent="0.25">
      <c r="A22629" t="str">
        <f>"3062810"</f>
        <v>3062810</v>
      </c>
      <c r="B22629" t="s">
        <v>68602</v>
      </c>
      <c r="C22629" t="str">
        <f>"8322270"</f>
        <v>8322270</v>
      </c>
      <c r="D22629" t="s">
        <v>68603</v>
      </c>
      <c r="E22629" t="s">
        <v>68604</v>
      </c>
      <c r="F22629" t="s">
        <v>68605</v>
      </c>
      <c r="I22629" t="s">
        <v>29</v>
      </c>
      <c r="J22629" t="s">
        <v>30</v>
      </c>
      <c r="K22629" t="s">
        <v>38426</v>
      </c>
      <c r="M22629" t="s">
        <v>50500</v>
      </c>
      <c r="N22629" t="str">
        <f>"4/16/2024 3:15:00 PM"</f>
        <v>4/16/2024 3:15:00 PM</v>
      </c>
      <c r="O22629" t="s">
        <v>68603</v>
      </c>
      <c r="T22629" t="s">
        <v>68604</v>
      </c>
    </row>
    <row r="22630" spans="1:20" x14ac:dyDescent="0.25">
      <c r="A22630" t="str">
        <f>"3060732"</f>
        <v>3060732</v>
      </c>
      <c r="B22630" t="s">
        <v>68606</v>
      </c>
      <c r="C22630" t="str">
        <f>"8322271"</f>
        <v>8322271</v>
      </c>
      <c r="D22630" t="str">
        <f>"FENDLEY JASON L TR/FENDLEY KATHLEEN E TR"</f>
        <v>FENDLEY JASON L TR/FENDLEY KATHLEEN E TR</v>
      </c>
      <c r="E22630" t="s">
        <v>68607</v>
      </c>
      <c r="F22630" t="s">
        <v>68608</v>
      </c>
      <c r="I22630" t="s">
        <v>184</v>
      </c>
      <c r="J22630" t="s">
        <v>30</v>
      </c>
      <c r="K22630" t="s">
        <v>5041</v>
      </c>
      <c r="M22630" t="s">
        <v>50500</v>
      </c>
      <c r="N22630" t="str">
        <f>"4/16/2024 3:46:00 PM"</f>
        <v>4/16/2024 3:46:00 PM</v>
      </c>
      <c r="O22630" t="str">
        <f>"FENDLEY JASON L TR/FENDLEY KATHLEEN E TR"</f>
        <v>FENDLEY JASON L TR/FENDLEY KATHLEEN E TR</v>
      </c>
      <c r="T22630" t="s">
        <v>68607</v>
      </c>
    </row>
    <row r="22631" spans="1:20" x14ac:dyDescent="0.25">
      <c r="A22631" t="str">
        <f>"3076584"</f>
        <v>3076584</v>
      </c>
      <c r="B22631" t="s">
        <v>68609</v>
      </c>
      <c r="C22631" t="str">
        <f>"8322272"</f>
        <v>8322272</v>
      </c>
      <c r="D22631" t="s">
        <v>68500</v>
      </c>
      <c r="F22631" t="s">
        <v>68501</v>
      </c>
      <c r="I22631" t="s">
        <v>29</v>
      </c>
      <c r="J22631" t="s">
        <v>30</v>
      </c>
      <c r="K22631" t="s">
        <v>16753</v>
      </c>
      <c r="M22631" t="s">
        <v>50500</v>
      </c>
      <c r="N22631" t="str">
        <f>"4/17/2024 8:19:00 AM"</f>
        <v>4/17/2024 8:19:00 AM</v>
      </c>
      <c r="O22631" t="s">
        <v>68500</v>
      </c>
    </row>
    <row r="22632" spans="1:20" x14ac:dyDescent="0.25">
      <c r="A22632" t="str">
        <f>"3037904"</f>
        <v>3037904</v>
      </c>
      <c r="B22632" t="s">
        <v>68610</v>
      </c>
      <c r="C22632" t="str">
        <f>"8304095"</f>
        <v>8304095</v>
      </c>
      <c r="D22632" t="s">
        <v>68611</v>
      </c>
      <c r="F22632" t="s">
        <v>68612</v>
      </c>
      <c r="I22632" t="s">
        <v>29</v>
      </c>
      <c r="J22632" t="s">
        <v>30</v>
      </c>
      <c r="K22632" t="str">
        <f>"27028"</f>
        <v>27028</v>
      </c>
      <c r="M22632" t="s">
        <v>50621</v>
      </c>
      <c r="N22632" t="str">
        <f>"4/17/2024 10:50:00 AM"</f>
        <v>4/17/2024 10:50:00 AM</v>
      </c>
      <c r="O22632" t="s">
        <v>68611</v>
      </c>
    </row>
    <row r="22633" spans="1:20" x14ac:dyDescent="0.25">
      <c r="A22633" t="str">
        <f>"3039118"</f>
        <v>3039118</v>
      </c>
      <c r="B22633" t="s">
        <v>68613</v>
      </c>
      <c r="C22633" t="str">
        <f>"8304095"</f>
        <v>8304095</v>
      </c>
      <c r="D22633" t="s">
        <v>68611</v>
      </c>
      <c r="F22633" t="s">
        <v>68612</v>
      </c>
      <c r="I22633" t="s">
        <v>29</v>
      </c>
      <c r="J22633" t="s">
        <v>30</v>
      </c>
      <c r="K22633" t="str">
        <f>"27028"</f>
        <v>27028</v>
      </c>
      <c r="M22633" t="s">
        <v>50621</v>
      </c>
      <c r="N22633" t="str">
        <f>"4/17/2024 10:50:00 AM"</f>
        <v>4/17/2024 10:50:00 AM</v>
      </c>
      <c r="O22633" t="s">
        <v>68611</v>
      </c>
    </row>
    <row r="22634" spans="1:20" x14ac:dyDescent="0.25">
      <c r="A22634" t="str">
        <f>"3045645"</f>
        <v>3045645</v>
      </c>
      <c r="B22634" t="s">
        <v>68614</v>
      </c>
      <c r="C22634" t="str">
        <f>"61653250"</f>
        <v>61653250</v>
      </c>
      <c r="D22634" t="s">
        <v>68615</v>
      </c>
      <c r="E22634" t="s">
        <v>68616</v>
      </c>
      <c r="F22634" t="s">
        <v>68617</v>
      </c>
      <c r="I22634" t="s">
        <v>29</v>
      </c>
      <c r="J22634" t="s">
        <v>30</v>
      </c>
      <c r="K22634" t="s">
        <v>7814</v>
      </c>
      <c r="M22634" t="s">
        <v>50621</v>
      </c>
      <c r="N22634" t="str">
        <f>"4/17/2024 2:28:00 PM"</f>
        <v>4/17/2024 2:28:00 PM</v>
      </c>
      <c r="O22634" t="s">
        <v>68615</v>
      </c>
      <c r="T22634" t="s">
        <v>68616</v>
      </c>
    </row>
    <row r="22635" spans="1:20" x14ac:dyDescent="0.25">
      <c r="A22635" t="str">
        <f>"3052935"</f>
        <v>3052935</v>
      </c>
      <c r="B22635" t="s">
        <v>68618</v>
      </c>
      <c r="C22635" t="str">
        <f>"82529961"</f>
        <v>82529961</v>
      </c>
      <c r="D22635" t="s">
        <v>68619</v>
      </c>
      <c r="F22635" t="s">
        <v>68620</v>
      </c>
      <c r="I22635" t="s">
        <v>29</v>
      </c>
      <c r="J22635" t="s">
        <v>30</v>
      </c>
      <c r="K22635" t="s">
        <v>31</v>
      </c>
      <c r="M22635" t="s">
        <v>50621</v>
      </c>
      <c r="N22635" t="str">
        <f>"4/23/2024 9:32:00 AM"</f>
        <v>4/23/2024 9:32:00 AM</v>
      </c>
      <c r="O22635" t="s">
        <v>68619</v>
      </c>
    </row>
    <row r="22636" spans="1:20" x14ac:dyDescent="0.25">
      <c r="A22636" t="str">
        <f>"3052753"</f>
        <v>3052753</v>
      </c>
      <c r="B22636" t="s">
        <v>68621</v>
      </c>
      <c r="C22636" t="str">
        <f>"82529961"</f>
        <v>82529961</v>
      </c>
      <c r="D22636" t="s">
        <v>68619</v>
      </c>
      <c r="F22636" t="s">
        <v>68620</v>
      </c>
      <c r="I22636" t="s">
        <v>29</v>
      </c>
      <c r="J22636" t="s">
        <v>30</v>
      </c>
      <c r="K22636" t="s">
        <v>31</v>
      </c>
      <c r="M22636" t="s">
        <v>50621</v>
      </c>
      <c r="N22636" t="str">
        <f>"4/23/2024 9:32:00 AM"</f>
        <v>4/23/2024 9:32:00 AM</v>
      </c>
      <c r="O22636" t="s">
        <v>68619</v>
      </c>
    </row>
    <row r="22637" spans="1:20" x14ac:dyDescent="0.25">
      <c r="A22637" t="str">
        <f>"3043657"</f>
        <v>3043657</v>
      </c>
      <c r="B22637" t="s">
        <v>68622</v>
      </c>
      <c r="C22637" t="str">
        <f>"8308471"</f>
        <v>8308471</v>
      </c>
      <c r="D22637" t="s">
        <v>68623</v>
      </c>
      <c r="F22637" t="s">
        <v>68624</v>
      </c>
      <c r="I22637" t="s">
        <v>29</v>
      </c>
      <c r="J22637" t="s">
        <v>30</v>
      </c>
      <c r="K22637" t="s">
        <v>33105</v>
      </c>
      <c r="M22637" t="s">
        <v>50621</v>
      </c>
      <c r="N22637" t="str">
        <f>"4/23/2024 9:38:00 AM"</f>
        <v>4/23/2024 9:38:00 AM</v>
      </c>
      <c r="O22637" t="s">
        <v>68623</v>
      </c>
    </row>
    <row r="22638" spans="1:20" x14ac:dyDescent="0.25">
      <c r="A22638" t="str">
        <f>"3059528"</f>
        <v>3059528</v>
      </c>
      <c r="B22638" t="s">
        <v>68625</v>
      </c>
      <c r="C22638" t="str">
        <f>"8318818"</f>
        <v>8318818</v>
      </c>
      <c r="D22638" t="s">
        <v>68626</v>
      </c>
      <c r="F22638" t="s">
        <v>68627</v>
      </c>
      <c r="I22638" t="s">
        <v>29</v>
      </c>
      <c r="J22638" t="s">
        <v>30</v>
      </c>
      <c r="K22638" t="s">
        <v>29062</v>
      </c>
      <c r="M22638" t="s">
        <v>25733</v>
      </c>
      <c r="N22638" t="str">
        <f>"4/23/2024 10:40:00 AM"</f>
        <v>4/23/2024 10:40:00 AM</v>
      </c>
      <c r="O22638" t="s">
        <v>68626</v>
      </c>
    </row>
    <row r="22639" spans="1:20" x14ac:dyDescent="0.25">
      <c r="A22639" t="str">
        <f>"3042004"</f>
        <v>3042004</v>
      </c>
      <c r="B22639" t="s">
        <v>68628</v>
      </c>
      <c r="C22639" t="str">
        <f>"82520390"</f>
        <v>82520390</v>
      </c>
      <c r="D22639" t="s">
        <v>68629</v>
      </c>
      <c r="F22639" t="s">
        <v>29131</v>
      </c>
      <c r="I22639" t="s">
        <v>29</v>
      </c>
      <c r="J22639" t="s">
        <v>30</v>
      </c>
      <c r="K22639" t="s">
        <v>31</v>
      </c>
      <c r="M22639" t="s">
        <v>50621</v>
      </c>
      <c r="N22639" t="str">
        <f>"4/16/2024 12:16:00 PM"</f>
        <v>4/16/2024 12:16:00 PM</v>
      </c>
      <c r="O22639" t="s">
        <v>68629</v>
      </c>
    </row>
    <row r="22640" spans="1:20" x14ac:dyDescent="0.25">
      <c r="A22640" t="str">
        <f>"3037786"</f>
        <v>3037786</v>
      </c>
      <c r="B22640" t="s">
        <v>68630</v>
      </c>
      <c r="C22640" t="str">
        <f>"58312100"</f>
        <v>58312100</v>
      </c>
      <c r="D22640" t="s">
        <v>68631</v>
      </c>
      <c r="E22640" t="s">
        <v>68632</v>
      </c>
      <c r="F22640" t="s">
        <v>68633</v>
      </c>
      <c r="I22640" t="s">
        <v>29</v>
      </c>
      <c r="J22640" t="s">
        <v>30</v>
      </c>
      <c r="K22640" t="s">
        <v>31</v>
      </c>
      <c r="M22640" t="s">
        <v>50621</v>
      </c>
      <c r="N22640" t="str">
        <f>"4/16/2024 12:21:00 PM"</f>
        <v>4/16/2024 12:21:00 PM</v>
      </c>
      <c r="O22640" t="s">
        <v>68631</v>
      </c>
      <c r="T22640" t="s">
        <v>68632</v>
      </c>
    </row>
    <row r="22641" spans="1:20" x14ac:dyDescent="0.25">
      <c r="A22641" t="str">
        <f>"3046554"</f>
        <v>3046554</v>
      </c>
      <c r="B22641" t="s">
        <v>68634</v>
      </c>
      <c r="C22641" t="str">
        <f>"8322260"</f>
        <v>8322260</v>
      </c>
      <c r="D22641" t="s">
        <v>68455</v>
      </c>
      <c r="F22641" t="s">
        <v>68456</v>
      </c>
      <c r="I22641" t="s">
        <v>184</v>
      </c>
      <c r="J22641" t="s">
        <v>30</v>
      </c>
      <c r="K22641" t="s">
        <v>68457</v>
      </c>
      <c r="M22641" t="s">
        <v>50500</v>
      </c>
      <c r="N22641" t="str">
        <f>"4/16/2024 12:36:00 PM"</f>
        <v>4/16/2024 12:36:00 PM</v>
      </c>
      <c r="O22641" t="s">
        <v>68455</v>
      </c>
    </row>
    <row r="22642" spans="1:20" x14ac:dyDescent="0.25">
      <c r="A22642" t="str">
        <f>"3047616"</f>
        <v>3047616</v>
      </c>
      <c r="B22642" t="s">
        <v>68635</v>
      </c>
      <c r="C22642" t="str">
        <f>"8302369"</f>
        <v>8302369</v>
      </c>
      <c r="D22642" t="s">
        <v>68636</v>
      </c>
      <c r="F22642" t="s">
        <v>68637</v>
      </c>
      <c r="I22642" t="s">
        <v>68638</v>
      </c>
      <c r="J22642" t="s">
        <v>30</v>
      </c>
      <c r="K22642" t="s">
        <v>68639</v>
      </c>
      <c r="M22642" t="s">
        <v>50621</v>
      </c>
      <c r="N22642" t="str">
        <f>"4/19/2024 10:27:00 AM"</f>
        <v>4/19/2024 10:27:00 AM</v>
      </c>
      <c r="O22642" t="s">
        <v>68636</v>
      </c>
    </row>
    <row r="22643" spans="1:20" x14ac:dyDescent="0.25">
      <c r="A22643" t="str">
        <f>"3046099"</f>
        <v>3046099</v>
      </c>
      <c r="B22643" t="s">
        <v>68640</v>
      </c>
      <c r="C22643" t="str">
        <f>"8319969"</f>
        <v>8319969</v>
      </c>
      <c r="D22643" t="s">
        <v>68641</v>
      </c>
      <c r="E22643" t="s">
        <v>68642</v>
      </c>
      <c r="F22643" t="s">
        <v>68643</v>
      </c>
      <c r="I22643" t="s">
        <v>29</v>
      </c>
      <c r="J22643" t="s">
        <v>30</v>
      </c>
      <c r="K22643" t="s">
        <v>51992</v>
      </c>
      <c r="M22643" t="s">
        <v>50793</v>
      </c>
      <c r="N22643" t="str">
        <f>"4/22/2024 8:44:00 AM"</f>
        <v>4/22/2024 8:44:00 AM</v>
      </c>
      <c r="O22643" t="s">
        <v>68641</v>
      </c>
      <c r="T22643" t="s">
        <v>68642</v>
      </c>
    </row>
    <row r="22644" spans="1:20" x14ac:dyDescent="0.25">
      <c r="A22644" t="str">
        <f>"3039881"</f>
        <v>3039881</v>
      </c>
      <c r="B22644" t="s">
        <v>68644</v>
      </c>
      <c r="C22644" t="str">
        <f>"82516100"</f>
        <v>82516100</v>
      </c>
      <c r="D22644" t="s">
        <v>68645</v>
      </c>
      <c r="F22644" t="s">
        <v>68646</v>
      </c>
      <c r="I22644" t="s">
        <v>29</v>
      </c>
      <c r="J22644" t="s">
        <v>30</v>
      </c>
      <c r="K22644" t="s">
        <v>31</v>
      </c>
      <c r="M22644" t="s">
        <v>50500</v>
      </c>
      <c r="N22644" t="str">
        <f>"4/23/2024 2:01:00 PM"</f>
        <v>4/23/2024 2:01:00 PM</v>
      </c>
      <c r="O22644" t="s">
        <v>68645</v>
      </c>
    </row>
    <row r="22645" spans="1:20" x14ac:dyDescent="0.25">
      <c r="A22645" t="str">
        <f>"3039979"</f>
        <v>3039979</v>
      </c>
      <c r="B22645" t="s">
        <v>68647</v>
      </c>
      <c r="C22645" t="str">
        <f>"8322293"</f>
        <v>8322293</v>
      </c>
      <c r="D22645" t="s">
        <v>68648</v>
      </c>
      <c r="F22645" t="s">
        <v>68649</v>
      </c>
      <c r="I22645" t="s">
        <v>29</v>
      </c>
      <c r="J22645" t="s">
        <v>30</v>
      </c>
      <c r="K22645" t="s">
        <v>42110</v>
      </c>
      <c r="M22645" t="s">
        <v>50500</v>
      </c>
      <c r="N22645" t="str">
        <f>"4/23/2024 2:15:00 PM"</f>
        <v>4/23/2024 2:15:00 PM</v>
      </c>
      <c r="O22645" t="s">
        <v>68648</v>
      </c>
    </row>
    <row r="22646" spans="1:20" x14ac:dyDescent="0.25">
      <c r="A22646" t="str">
        <f>"3049408"</f>
        <v>3049408</v>
      </c>
      <c r="B22646" t="s">
        <v>68650</v>
      </c>
      <c r="C22646" t="str">
        <f>"8322294"</f>
        <v>8322294</v>
      </c>
      <c r="D22646" t="s">
        <v>68651</v>
      </c>
      <c r="E22646" t="s">
        <v>68652</v>
      </c>
      <c r="F22646" t="s">
        <v>68653</v>
      </c>
      <c r="I22646" t="s">
        <v>29</v>
      </c>
      <c r="J22646" t="s">
        <v>30</v>
      </c>
      <c r="K22646" t="s">
        <v>33542</v>
      </c>
      <c r="M22646" t="s">
        <v>50500</v>
      </c>
      <c r="N22646" t="str">
        <f>"4/24/2024 8:35:00 AM"</f>
        <v>4/24/2024 8:35:00 AM</v>
      </c>
      <c r="O22646" t="s">
        <v>68651</v>
      </c>
      <c r="T22646" t="s">
        <v>68652</v>
      </c>
    </row>
    <row r="22647" spans="1:20" x14ac:dyDescent="0.25">
      <c r="A22647" t="str">
        <f>"3062733"</f>
        <v>3062733</v>
      </c>
      <c r="B22647" t="s">
        <v>68654</v>
      </c>
      <c r="C22647" t="str">
        <f>"8322295"</f>
        <v>8322295</v>
      </c>
      <c r="D22647" t="s">
        <v>68655</v>
      </c>
      <c r="E22647" t="s">
        <v>68656</v>
      </c>
      <c r="F22647" t="s">
        <v>68657</v>
      </c>
      <c r="I22647" t="s">
        <v>29</v>
      </c>
      <c r="J22647" t="s">
        <v>30</v>
      </c>
      <c r="K22647" t="s">
        <v>13437</v>
      </c>
      <c r="M22647" t="s">
        <v>50500</v>
      </c>
      <c r="N22647" t="str">
        <f>"4/24/2024 8:40:00 AM"</f>
        <v>4/24/2024 8:40:00 AM</v>
      </c>
      <c r="O22647" t="s">
        <v>68655</v>
      </c>
      <c r="T22647" t="s">
        <v>68656</v>
      </c>
    </row>
    <row r="22648" spans="1:20" x14ac:dyDescent="0.25">
      <c r="A22648" t="str">
        <f>"3053218"</f>
        <v>3053218</v>
      </c>
      <c r="B22648" t="s">
        <v>68658</v>
      </c>
      <c r="C22648" t="str">
        <f>"8322296"</f>
        <v>8322296</v>
      </c>
      <c r="D22648" t="s">
        <v>68659</v>
      </c>
      <c r="E22648" t="s">
        <v>68660</v>
      </c>
      <c r="F22648" t="s">
        <v>68661</v>
      </c>
      <c r="I22648" t="s">
        <v>29</v>
      </c>
      <c r="J22648" t="s">
        <v>30</v>
      </c>
      <c r="K22648" t="s">
        <v>35275</v>
      </c>
      <c r="M22648" t="s">
        <v>50500</v>
      </c>
      <c r="N22648" t="str">
        <f>"4/24/2024 8:46:00 AM"</f>
        <v>4/24/2024 8:46:00 AM</v>
      </c>
      <c r="O22648" t="s">
        <v>68659</v>
      </c>
      <c r="T22648" t="s">
        <v>68660</v>
      </c>
    </row>
    <row r="22649" spans="1:20" x14ac:dyDescent="0.25">
      <c r="A22649" t="str">
        <f>"3054048"</f>
        <v>3054048</v>
      </c>
      <c r="B22649" t="s">
        <v>68662</v>
      </c>
      <c r="C22649" t="str">
        <f>"8322298"</f>
        <v>8322298</v>
      </c>
      <c r="D22649" t="s">
        <v>68663</v>
      </c>
      <c r="E22649" t="s">
        <v>68664</v>
      </c>
      <c r="F22649" t="s">
        <v>68665</v>
      </c>
      <c r="I22649" t="s">
        <v>964</v>
      </c>
      <c r="J22649" t="s">
        <v>30</v>
      </c>
      <c r="K22649" t="s">
        <v>68666</v>
      </c>
      <c r="M22649" t="s">
        <v>50500</v>
      </c>
      <c r="N22649" t="str">
        <f>"4/24/2024 10:05:00 AM"</f>
        <v>4/24/2024 10:05:00 AM</v>
      </c>
      <c r="O22649" t="s">
        <v>68663</v>
      </c>
      <c r="T22649" t="s">
        <v>68664</v>
      </c>
    </row>
    <row r="22650" spans="1:20" x14ac:dyDescent="0.25">
      <c r="A22650" t="str">
        <f>"3054260"</f>
        <v>3054260</v>
      </c>
      <c r="B22650" t="s">
        <v>68667</v>
      </c>
      <c r="C22650" t="str">
        <f>"8322298"</f>
        <v>8322298</v>
      </c>
      <c r="D22650" t="s">
        <v>68663</v>
      </c>
      <c r="E22650" t="s">
        <v>68664</v>
      </c>
      <c r="F22650" t="s">
        <v>68665</v>
      </c>
      <c r="I22650" t="s">
        <v>964</v>
      </c>
      <c r="J22650" t="s">
        <v>30</v>
      </c>
      <c r="K22650" t="s">
        <v>68666</v>
      </c>
      <c r="M22650" t="s">
        <v>50500</v>
      </c>
      <c r="N22650" t="str">
        <f>"4/24/2024 10:05:00 AM"</f>
        <v>4/24/2024 10:05:00 AM</v>
      </c>
      <c r="O22650" t="s">
        <v>68663</v>
      </c>
      <c r="T22650" t="s">
        <v>68664</v>
      </c>
    </row>
    <row r="22651" spans="1:20" x14ac:dyDescent="0.25">
      <c r="A22651" t="str">
        <f>"3078754"</f>
        <v>3078754</v>
      </c>
      <c r="B22651" t="s">
        <v>68668</v>
      </c>
      <c r="C22651" t="str">
        <f>"8322298"</f>
        <v>8322298</v>
      </c>
      <c r="D22651" t="s">
        <v>68663</v>
      </c>
      <c r="E22651" t="s">
        <v>68664</v>
      </c>
      <c r="F22651" t="s">
        <v>68665</v>
      </c>
      <c r="I22651" t="s">
        <v>964</v>
      </c>
      <c r="J22651" t="s">
        <v>30</v>
      </c>
      <c r="K22651" t="s">
        <v>68666</v>
      </c>
      <c r="M22651" t="s">
        <v>50500</v>
      </c>
      <c r="N22651" t="str">
        <f>"4/24/2024 10:05:00 AM"</f>
        <v>4/24/2024 10:05:00 AM</v>
      </c>
      <c r="O22651" t="s">
        <v>68663</v>
      </c>
      <c r="T22651" t="s">
        <v>68664</v>
      </c>
    </row>
    <row r="22652" spans="1:20" x14ac:dyDescent="0.25">
      <c r="A22652" t="str">
        <f>"3103270"</f>
        <v>3103270</v>
      </c>
      <c r="B22652" t="s">
        <v>68669</v>
      </c>
      <c r="C22652" t="str">
        <f>"8322298"</f>
        <v>8322298</v>
      </c>
      <c r="D22652" t="s">
        <v>68663</v>
      </c>
      <c r="E22652" t="s">
        <v>68664</v>
      </c>
      <c r="F22652" t="s">
        <v>68665</v>
      </c>
      <c r="I22652" t="s">
        <v>964</v>
      </c>
      <c r="J22652" t="s">
        <v>30</v>
      </c>
      <c r="K22652" t="s">
        <v>68666</v>
      </c>
      <c r="M22652" t="s">
        <v>50500</v>
      </c>
      <c r="N22652" t="str">
        <f>"4/24/2024 10:05:00 AM"</f>
        <v>4/24/2024 10:05:00 AM</v>
      </c>
      <c r="O22652" t="s">
        <v>68663</v>
      </c>
      <c r="T22652" t="s">
        <v>68664</v>
      </c>
    </row>
    <row r="22653" spans="1:20" x14ac:dyDescent="0.25">
      <c r="A22653" t="str">
        <f>"3056018"</f>
        <v>3056018</v>
      </c>
      <c r="B22653" t="s">
        <v>68670</v>
      </c>
      <c r="C22653" t="str">
        <f>"8322299"</f>
        <v>8322299</v>
      </c>
      <c r="D22653" t="s">
        <v>68671</v>
      </c>
      <c r="F22653" t="s">
        <v>16349</v>
      </c>
      <c r="I22653" t="s">
        <v>9580</v>
      </c>
      <c r="J22653" t="s">
        <v>30</v>
      </c>
      <c r="K22653" t="s">
        <v>16493</v>
      </c>
      <c r="M22653" t="s">
        <v>50500</v>
      </c>
      <c r="N22653" t="str">
        <f>"4/24/2024 10:11:00 AM"</f>
        <v>4/24/2024 10:11:00 AM</v>
      </c>
      <c r="O22653" t="s">
        <v>68671</v>
      </c>
    </row>
    <row r="22654" spans="1:20" x14ac:dyDescent="0.25">
      <c r="A22654" t="str">
        <f>"3051387"</f>
        <v>3051387</v>
      </c>
      <c r="B22654" t="s">
        <v>68672</v>
      </c>
      <c r="C22654" t="str">
        <f>"8322301"</f>
        <v>8322301</v>
      </c>
      <c r="D22654" t="s">
        <v>14415</v>
      </c>
      <c r="E22654" t="s">
        <v>37960</v>
      </c>
      <c r="F22654" t="s">
        <v>68673</v>
      </c>
      <c r="I22654" t="s">
        <v>29</v>
      </c>
      <c r="J22654" t="s">
        <v>30</v>
      </c>
      <c r="K22654" t="s">
        <v>68674</v>
      </c>
      <c r="M22654" t="s">
        <v>50500</v>
      </c>
      <c r="N22654" t="str">
        <f>"4/24/2024 10:23:00 AM"</f>
        <v>4/24/2024 10:23:00 AM</v>
      </c>
      <c r="O22654" t="s">
        <v>14415</v>
      </c>
      <c r="T22654" t="s">
        <v>37960</v>
      </c>
    </row>
    <row r="22655" spans="1:20" x14ac:dyDescent="0.25">
      <c r="A22655" t="str">
        <f>"3049355"</f>
        <v>3049355</v>
      </c>
      <c r="B22655" t="s">
        <v>68675</v>
      </c>
      <c r="C22655" t="str">
        <f>"8319483"</f>
        <v>8319483</v>
      </c>
      <c r="D22655" t="s">
        <v>68676</v>
      </c>
      <c r="F22655" t="s">
        <v>68677</v>
      </c>
      <c r="I22655" t="s">
        <v>1045</v>
      </c>
      <c r="J22655" t="s">
        <v>1046</v>
      </c>
      <c r="K22655" t="str">
        <f>"30325"</f>
        <v>30325</v>
      </c>
      <c r="M22655" t="s">
        <v>18470</v>
      </c>
      <c r="N22655" t="str">
        <f>"4/22/2024 11:13:00 AM"</f>
        <v>4/22/2024 11:13:00 AM</v>
      </c>
      <c r="O22655" t="s">
        <v>68676</v>
      </c>
    </row>
    <row r="22656" spans="1:20" x14ac:dyDescent="0.25">
      <c r="A22656" t="str">
        <f>"3037952"</f>
        <v>3037952</v>
      </c>
      <c r="B22656" t="s">
        <v>68678</v>
      </c>
      <c r="C22656" t="str">
        <f>"8322302"</f>
        <v>8322302</v>
      </c>
      <c r="D22656" t="s">
        <v>68679</v>
      </c>
      <c r="F22656" t="s">
        <v>68680</v>
      </c>
      <c r="I22656" t="s">
        <v>4389</v>
      </c>
      <c r="J22656" t="s">
        <v>30</v>
      </c>
      <c r="K22656" t="s">
        <v>68681</v>
      </c>
      <c r="M22656" t="s">
        <v>50500</v>
      </c>
      <c r="N22656" t="str">
        <f>"4/24/2024 10:51:00 AM"</f>
        <v>4/24/2024 10:51:00 AM</v>
      </c>
      <c r="O22656" t="s">
        <v>68679</v>
      </c>
    </row>
    <row r="22657" spans="1:20" x14ac:dyDescent="0.25">
      <c r="A22657" t="str">
        <f>"3038821"</f>
        <v>3038821</v>
      </c>
      <c r="B22657" t="s">
        <v>68682</v>
      </c>
      <c r="C22657" t="str">
        <f>"8322302"</f>
        <v>8322302</v>
      </c>
      <c r="D22657" t="s">
        <v>68679</v>
      </c>
      <c r="F22657" t="s">
        <v>68680</v>
      </c>
      <c r="I22657" t="s">
        <v>4389</v>
      </c>
      <c r="J22657" t="s">
        <v>30</v>
      </c>
      <c r="K22657" t="s">
        <v>68681</v>
      </c>
      <c r="M22657" t="s">
        <v>50500</v>
      </c>
      <c r="N22657" t="str">
        <f>"4/24/2024 10:51:00 AM"</f>
        <v>4/24/2024 10:51:00 AM</v>
      </c>
      <c r="O22657" t="s">
        <v>68679</v>
      </c>
    </row>
    <row r="22658" spans="1:20" x14ac:dyDescent="0.25">
      <c r="A22658" t="str">
        <f>"3055087"</f>
        <v>3055087</v>
      </c>
      <c r="B22658" t="s">
        <v>68683</v>
      </c>
      <c r="C22658" t="str">
        <f>"8311939"</f>
        <v>8311939</v>
      </c>
      <c r="D22658" t="s">
        <v>68684</v>
      </c>
      <c r="E22658" t="s">
        <v>68685</v>
      </c>
      <c r="F22658" t="s">
        <v>36572</v>
      </c>
      <c r="I22658" t="s">
        <v>29</v>
      </c>
      <c r="J22658" t="s">
        <v>30</v>
      </c>
      <c r="K22658" t="s">
        <v>15371</v>
      </c>
      <c r="M22658" t="s">
        <v>50621</v>
      </c>
      <c r="N22658" t="str">
        <f>"4/24/2024 2:41:00 PM"</f>
        <v>4/24/2024 2:41:00 PM</v>
      </c>
      <c r="O22658" t="s">
        <v>68684</v>
      </c>
      <c r="T22658" t="s">
        <v>68685</v>
      </c>
    </row>
    <row r="22659" spans="1:20" x14ac:dyDescent="0.25">
      <c r="A22659" t="str">
        <f>"3041015"</f>
        <v>3041015</v>
      </c>
      <c r="B22659" t="s">
        <v>68686</v>
      </c>
      <c r="C22659" t="str">
        <f>"8322303"</f>
        <v>8322303</v>
      </c>
      <c r="D22659" t="s">
        <v>68687</v>
      </c>
      <c r="E22659" t="s">
        <v>68688</v>
      </c>
      <c r="F22659" t="s">
        <v>68689</v>
      </c>
      <c r="I22659" t="s">
        <v>184</v>
      </c>
      <c r="J22659" t="s">
        <v>30</v>
      </c>
      <c r="K22659" t="s">
        <v>2900</v>
      </c>
      <c r="M22659" t="s">
        <v>50500</v>
      </c>
      <c r="N22659" t="str">
        <f>"4/25/2024 8:12:00 AM"</f>
        <v>4/25/2024 8:12:00 AM</v>
      </c>
      <c r="O22659" t="s">
        <v>68687</v>
      </c>
      <c r="T22659" t="s">
        <v>68688</v>
      </c>
    </row>
    <row r="22660" spans="1:20" x14ac:dyDescent="0.25">
      <c r="A22660" t="str">
        <f>"3062731"</f>
        <v>3062731</v>
      </c>
      <c r="B22660" t="s">
        <v>68690</v>
      </c>
      <c r="C22660" t="str">
        <f>"8322304"</f>
        <v>8322304</v>
      </c>
      <c r="D22660" t="s">
        <v>68691</v>
      </c>
      <c r="E22660" t="s">
        <v>68692</v>
      </c>
      <c r="F22660" t="s">
        <v>68693</v>
      </c>
      <c r="I22660" t="s">
        <v>2071</v>
      </c>
      <c r="J22660" t="s">
        <v>30</v>
      </c>
      <c r="K22660" t="s">
        <v>6390</v>
      </c>
      <c r="M22660" t="s">
        <v>50500</v>
      </c>
      <c r="N22660" t="str">
        <f>"4/25/2024 8:20:00 AM"</f>
        <v>4/25/2024 8:20:00 AM</v>
      </c>
      <c r="O22660" t="s">
        <v>68691</v>
      </c>
      <c r="T22660" t="s">
        <v>68692</v>
      </c>
    </row>
    <row r="22661" spans="1:20" x14ac:dyDescent="0.25">
      <c r="A22661" t="str">
        <f>"3043886"</f>
        <v>3043886</v>
      </c>
      <c r="B22661" t="s">
        <v>68694</v>
      </c>
      <c r="C22661" t="str">
        <f>"8322305"</f>
        <v>8322305</v>
      </c>
      <c r="D22661" t="s">
        <v>68695</v>
      </c>
      <c r="F22661" t="s">
        <v>68696</v>
      </c>
      <c r="I22661" t="s">
        <v>184</v>
      </c>
      <c r="J22661" t="s">
        <v>30</v>
      </c>
      <c r="K22661" t="s">
        <v>68697</v>
      </c>
      <c r="M22661" t="s">
        <v>50500</v>
      </c>
      <c r="N22661" t="str">
        <f>"4/25/2024 9:05:00 AM"</f>
        <v>4/25/2024 9:05:00 AM</v>
      </c>
      <c r="O22661" t="s">
        <v>68695</v>
      </c>
    </row>
    <row r="22662" spans="1:20" x14ac:dyDescent="0.25">
      <c r="A22662" t="str">
        <f>"3049317"</f>
        <v>3049317</v>
      </c>
      <c r="B22662" t="s">
        <v>68698</v>
      </c>
      <c r="C22662" t="str">
        <f>"8322306"</f>
        <v>8322306</v>
      </c>
      <c r="D22662" t="s">
        <v>68699</v>
      </c>
      <c r="F22662" t="s">
        <v>68700</v>
      </c>
      <c r="I22662" t="s">
        <v>29</v>
      </c>
      <c r="J22662" t="s">
        <v>30</v>
      </c>
      <c r="K22662" t="s">
        <v>13156</v>
      </c>
      <c r="M22662" t="s">
        <v>50500</v>
      </c>
      <c r="N22662" t="str">
        <f>"4/25/2024 9:30:00 AM"</f>
        <v>4/25/2024 9:30:00 AM</v>
      </c>
      <c r="O22662" t="s">
        <v>68699</v>
      </c>
    </row>
    <row r="22663" spans="1:20" x14ac:dyDescent="0.25">
      <c r="A22663" t="str">
        <f>"3062630"</f>
        <v>3062630</v>
      </c>
      <c r="B22663" t="s">
        <v>68701</v>
      </c>
      <c r="C22663" t="str">
        <f>"8322307"</f>
        <v>8322307</v>
      </c>
      <c r="D22663" t="s">
        <v>68702</v>
      </c>
      <c r="E22663" t="s">
        <v>68703</v>
      </c>
      <c r="F22663" t="s">
        <v>68704</v>
      </c>
      <c r="I22663" t="s">
        <v>184</v>
      </c>
      <c r="J22663" t="s">
        <v>30</v>
      </c>
      <c r="K22663" t="str">
        <f>"27006"</f>
        <v>27006</v>
      </c>
      <c r="M22663" t="s">
        <v>50500</v>
      </c>
      <c r="N22663" t="str">
        <f>"4/25/2024 9:52:00 AM"</f>
        <v>4/25/2024 9:52:00 AM</v>
      </c>
      <c r="O22663" t="s">
        <v>68702</v>
      </c>
      <c r="T22663" t="s">
        <v>68703</v>
      </c>
    </row>
    <row r="22664" spans="1:20" x14ac:dyDescent="0.25">
      <c r="A22664" t="str">
        <f>"3045600"</f>
        <v>3045600</v>
      </c>
      <c r="B22664" t="s">
        <v>68705</v>
      </c>
      <c r="C22664" t="str">
        <f>"8322308"</f>
        <v>8322308</v>
      </c>
      <c r="D22664" t="s">
        <v>68706</v>
      </c>
      <c r="F22664" t="s">
        <v>68707</v>
      </c>
      <c r="I22664" t="s">
        <v>29</v>
      </c>
      <c r="J22664" t="s">
        <v>30</v>
      </c>
      <c r="K22664" t="s">
        <v>9462</v>
      </c>
      <c r="M22664" t="s">
        <v>50500</v>
      </c>
      <c r="N22664" t="str">
        <f>"4/25/2024 9:59:00 AM"</f>
        <v>4/25/2024 9:59:00 AM</v>
      </c>
      <c r="O22664" t="s">
        <v>68706</v>
      </c>
    </row>
    <row r="22665" spans="1:20" x14ac:dyDescent="0.25">
      <c r="A22665" t="str">
        <f>"3062720"</f>
        <v>3062720</v>
      </c>
      <c r="B22665" t="s">
        <v>68708</v>
      </c>
      <c r="C22665" t="str">
        <f>"8322309"</f>
        <v>8322309</v>
      </c>
      <c r="D22665" t="s">
        <v>68709</v>
      </c>
      <c r="E22665" t="s">
        <v>68710</v>
      </c>
      <c r="F22665" t="s">
        <v>68711</v>
      </c>
      <c r="I22665" t="s">
        <v>29</v>
      </c>
      <c r="J22665" t="s">
        <v>30</v>
      </c>
      <c r="K22665" t="s">
        <v>46783</v>
      </c>
      <c r="M22665" t="s">
        <v>50500</v>
      </c>
      <c r="N22665" t="str">
        <f>"4/25/2024 10:08:00 AM"</f>
        <v>4/25/2024 10:08:00 AM</v>
      </c>
      <c r="O22665" t="s">
        <v>68709</v>
      </c>
      <c r="T22665" t="s">
        <v>68710</v>
      </c>
    </row>
    <row r="22666" spans="1:20" x14ac:dyDescent="0.25">
      <c r="A22666" t="str">
        <f>"3047993"</f>
        <v>3047993</v>
      </c>
      <c r="B22666" t="s">
        <v>68712</v>
      </c>
      <c r="C22666" t="str">
        <f>"8307430"</f>
        <v>8307430</v>
      </c>
      <c r="D22666" t="s">
        <v>68713</v>
      </c>
      <c r="F22666" t="s">
        <v>68714</v>
      </c>
      <c r="I22666" t="s">
        <v>184</v>
      </c>
      <c r="J22666" t="s">
        <v>30</v>
      </c>
      <c r="K22666" t="str">
        <f>"27006"</f>
        <v>27006</v>
      </c>
      <c r="M22666" t="s">
        <v>50500</v>
      </c>
      <c r="N22666" t="str">
        <f>"4/25/2024 10:13:00 AM"</f>
        <v>4/25/2024 10:13:00 AM</v>
      </c>
      <c r="O22666" t="s">
        <v>68713</v>
      </c>
    </row>
    <row r="22667" spans="1:20" x14ac:dyDescent="0.25">
      <c r="A22667" t="str">
        <f>"3057366"</f>
        <v>3057366</v>
      </c>
      <c r="B22667" t="s">
        <v>68715</v>
      </c>
      <c r="C22667" t="str">
        <f>"8307430"</f>
        <v>8307430</v>
      </c>
      <c r="D22667" t="s">
        <v>68713</v>
      </c>
      <c r="F22667" t="s">
        <v>68714</v>
      </c>
      <c r="I22667" t="s">
        <v>184</v>
      </c>
      <c r="J22667" t="s">
        <v>30</v>
      </c>
      <c r="K22667" t="str">
        <f>"27006"</f>
        <v>27006</v>
      </c>
      <c r="M22667" t="s">
        <v>50500</v>
      </c>
      <c r="N22667" t="str">
        <f>"4/25/2024 10:13:00 AM"</f>
        <v>4/25/2024 10:13:00 AM</v>
      </c>
      <c r="O22667" t="s">
        <v>68713</v>
      </c>
    </row>
    <row r="22668" spans="1:20" x14ac:dyDescent="0.25">
      <c r="A22668" t="str">
        <f>"3038649"</f>
        <v>3038649</v>
      </c>
      <c r="B22668" t="s">
        <v>68716</v>
      </c>
      <c r="C22668" t="str">
        <f>"8322310"</f>
        <v>8322310</v>
      </c>
      <c r="D22668" t="s">
        <v>68717</v>
      </c>
      <c r="E22668" t="s">
        <v>68718</v>
      </c>
      <c r="F22668" t="s">
        <v>68719</v>
      </c>
      <c r="I22668" t="s">
        <v>471</v>
      </c>
      <c r="J22668" t="s">
        <v>30</v>
      </c>
      <c r="K22668" t="s">
        <v>68720</v>
      </c>
      <c r="M22668" t="s">
        <v>50500</v>
      </c>
      <c r="N22668" t="str">
        <f>"4/25/2024 10:55:00 AM"</f>
        <v>4/25/2024 10:55:00 AM</v>
      </c>
      <c r="O22668" t="s">
        <v>68717</v>
      </c>
      <c r="T22668" t="s">
        <v>68718</v>
      </c>
    </row>
    <row r="22669" spans="1:20" x14ac:dyDescent="0.25">
      <c r="A22669" t="str">
        <f>"3077671"</f>
        <v>3077671</v>
      </c>
      <c r="B22669" t="s">
        <v>68721</v>
      </c>
      <c r="C22669" t="str">
        <f>"8322310"</f>
        <v>8322310</v>
      </c>
      <c r="D22669" t="s">
        <v>68717</v>
      </c>
      <c r="E22669" t="s">
        <v>68718</v>
      </c>
      <c r="F22669" t="s">
        <v>68719</v>
      </c>
      <c r="I22669" t="s">
        <v>471</v>
      </c>
      <c r="J22669" t="s">
        <v>30</v>
      </c>
      <c r="K22669" t="s">
        <v>68720</v>
      </c>
      <c r="M22669" t="s">
        <v>50500</v>
      </c>
      <c r="N22669" t="str">
        <f>"4/25/2024 10:55:00 AM"</f>
        <v>4/25/2024 10:55:00 AM</v>
      </c>
      <c r="O22669" t="s">
        <v>68717</v>
      </c>
      <c r="T22669" t="s">
        <v>68718</v>
      </c>
    </row>
    <row r="22670" spans="1:20" x14ac:dyDescent="0.25">
      <c r="A22670" t="str">
        <f>"3042793"</f>
        <v>3042793</v>
      </c>
      <c r="B22670" t="s">
        <v>68722</v>
      </c>
      <c r="C22670" t="str">
        <f>"8313092"</f>
        <v>8313092</v>
      </c>
      <c r="D22670" t="s">
        <v>68723</v>
      </c>
      <c r="E22670" t="s">
        <v>68724</v>
      </c>
      <c r="F22670" t="s">
        <v>68725</v>
      </c>
      <c r="I22670" t="s">
        <v>17921</v>
      </c>
      <c r="J22670" t="s">
        <v>30</v>
      </c>
      <c r="K22670" t="str">
        <f>"27028"</f>
        <v>27028</v>
      </c>
      <c r="M22670" t="s">
        <v>25733</v>
      </c>
      <c r="N22670" t="str">
        <f>"4/25/2024 2:16:00 PM"</f>
        <v>4/25/2024 2:16:00 PM</v>
      </c>
      <c r="O22670" t="s">
        <v>68723</v>
      </c>
      <c r="T22670" t="s">
        <v>68724</v>
      </c>
    </row>
    <row r="22671" spans="1:20" x14ac:dyDescent="0.25">
      <c r="A22671" t="str">
        <f>"3058746"</f>
        <v>3058746</v>
      </c>
      <c r="B22671" t="s">
        <v>68726</v>
      </c>
      <c r="C22671" t="str">
        <f>"8322311"</f>
        <v>8322311</v>
      </c>
      <c r="D22671" t="s">
        <v>68727</v>
      </c>
      <c r="F22671" t="s">
        <v>68728</v>
      </c>
      <c r="I22671" t="s">
        <v>184</v>
      </c>
      <c r="J22671" t="s">
        <v>30</v>
      </c>
      <c r="K22671" t="s">
        <v>64153</v>
      </c>
      <c r="M22671" t="s">
        <v>50500</v>
      </c>
      <c r="N22671" t="str">
        <f>"4/25/2024 3:40:00 PM"</f>
        <v>4/25/2024 3:40:00 PM</v>
      </c>
      <c r="O22671" t="s">
        <v>68727</v>
      </c>
    </row>
    <row r="22672" spans="1:20" x14ac:dyDescent="0.25">
      <c r="A22672" t="str">
        <f>"3052826"</f>
        <v>3052826</v>
      </c>
      <c r="B22672" t="s">
        <v>68729</v>
      </c>
      <c r="C22672" t="str">
        <f>"8322312"</f>
        <v>8322312</v>
      </c>
      <c r="D22672" t="s">
        <v>68730</v>
      </c>
      <c r="F22672" t="s">
        <v>68731</v>
      </c>
      <c r="I22672" t="s">
        <v>29</v>
      </c>
      <c r="J22672" t="s">
        <v>30</v>
      </c>
      <c r="K22672" t="s">
        <v>15044</v>
      </c>
      <c r="M22672" t="s">
        <v>50500</v>
      </c>
      <c r="N22672" t="str">
        <f>"4/25/2024 3:43:00 PM"</f>
        <v>4/25/2024 3:43:00 PM</v>
      </c>
      <c r="O22672" t="s">
        <v>68730</v>
      </c>
    </row>
    <row r="22673" spans="1:20" x14ac:dyDescent="0.25">
      <c r="A22673" t="str">
        <f>"3058613"</f>
        <v>3058613</v>
      </c>
      <c r="B22673" t="s">
        <v>68732</v>
      </c>
      <c r="C22673" t="str">
        <f>"8322285"</f>
        <v>8322285</v>
      </c>
      <c r="D22673" t="s">
        <v>68733</v>
      </c>
      <c r="F22673" t="s">
        <v>68734</v>
      </c>
      <c r="I22673" t="s">
        <v>471</v>
      </c>
      <c r="J22673" t="s">
        <v>30</v>
      </c>
      <c r="K22673" t="s">
        <v>68735</v>
      </c>
      <c r="M22673" t="s">
        <v>50500</v>
      </c>
      <c r="N22673" t="str">
        <f>"4/22/2024 1:47:00 PM"</f>
        <v>4/22/2024 1:47:00 PM</v>
      </c>
      <c r="O22673" t="s">
        <v>68733</v>
      </c>
    </row>
    <row r="22674" spans="1:20" x14ac:dyDescent="0.25">
      <c r="A22674" t="str">
        <f>"3041999"</f>
        <v>3041999</v>
      </c>
      <c r="B22674" t="s">
        <v>68736</v>
      </c>
      <c r="C22674" t="str">
        <f>"8322314"</f>
        <v>8322314</v>
      </c>
      <c r="D22674" t="s">
        <v>68737</v>
      </c>
      <c r="F22674" t="s">
        <v>68738</v>
      </c>
      <c r="I22674" t="s">
        <v>184</v>
      </c>
      <c r="J22674" t="s">
        <v>30</v>
      </c>
      <c r="K22674" t="s">
        <v>7665</v>
      </c>
      <c r="M22674" t="s">
        <v>50500</v>
      </c>
      <c r="N22674" t="str">
        <f>"4/26/2024 8:58:00 AM"</f>
        <v>4/26/2024 8:58:00 AM</v>
      </c>
      <c r="O22674" t="s">
        <v>68737</v>
      </c>
    </row>
    <row r="22675" spans="1:20" x14ac:dyDescent="0.25">
      <c r="A22675" t="str">
        <f>"3062994"</f>
        <v>3062994</v>
      </c>
      <c r="B22675" t="s">
        <v>68739</v>
      </c>
      <c r="C22675" t="str">
        <f>"8322315"</f>
        <v>8322315</v>
      </c>
      <c r="D22675" t="s">
        <v>68740</v>
      </c>
      <c r="E22675" t="s">
        <v>68741</v>
      </c>
      <c r="F22675" t="s">
        <v>68742</v>
      </c>
      <c r="I22675" t="s">
        <v>29</v>
      </c>
      <c r="J22675" t="s">
        <v>30</v>
      </c>
      <c r="K22675" t="s">
        <v>68743</v>
      </c>
      <c r="M22675" t="s">
        <v>50500</v>
      </c>
      <c r="N22675" t="str">
        <f>"4/26/2024 9:08:00 AM"</f>
        <v>4/26/2024 9:08:00 AM</v>
      </c>
      <c r="O22675" t="s">
        <v>68740</v>
      </c>
      <c r="T22675" t="s">
        <v>68741</v>
      </c>
    </row>
    <row r="22676" spans="1:20" x14ac:dyDescent="0.25">
      <c r="A22676" t="str">
        <f>"3078038"</f>
        <v>3078038</v>
      </c>
      <c r="B22676" t="s">
        <v>68744</v>
      </c>
      <c r="C22676" t="str">
        <f>"8322316"</f>
        <v>8322316</v>
      </c>
      <c r="D22676" t="s">
        <v>68745</v>
      </c>
      <c r="E22676" t="s">
        <v>68746</v>
      </c>
      <c r="F22676" t="s">
        <v>68747</v>
      </c>
      <c r="I22676" t="s">
        <v>163</v>
      </c>
      <c r="J22676" t="s">
        <v>30</v>
      </c>
      <c r="K22676" t="s">
        <v>68748</v>
      </c>
      <c r="M22676" t="s">
        <v>50500</v>
      </c>
      <c r="N22676" t="str">
        <f>"4/26/2024 9:23:00 AM"</f>
        <v>4/26/2024 9:23:00 AM</v>
      </c>
      <c r="O22676" t="s">
        <v>68745</v>
      </c>
      <c r="T22676" t="s">
        <v>68746</v>
      </c>
    </row>
    <row r="22677" spans="1:20" x14ac:dyDescent="0.25">
      <c r="A22677" t="str">
        <f>"3068015"</f>
        <v>3068015</v>
      </c>
      <c r="B22677" t="s">
        <v>68749</v>
      </c>
      <c r="C22677" t="str">
        <f>"8322317"</f>
        <v>8322317</v>
      </c>
      <c r="D22677" t="s">
        <v>68750</v>
      </c>
      <c r="F22677" t="s">
        <v>68751</v>
      </c>
      <c r="I22677" t="s">
        <v>68752</v>
      </c>
      <c r="J22677" t="s">
        <v>11994</v>
      </c>
      <c r="K22677" t="s">
        <v>68753</v>
      </c>
      <c r="M22677" t="s">
        <v>50500</v>
      </c>
      <c r="N22677" t="str">
        <f>"4/26/2024 9:29:00 AM"</f>
        <v>4/26/2024 9:29:00 AM</v>
      </c>
      <c r="O22677" t="s">
        <v>68750</v>
      </c>
    </row>
    <row r="22678" spans="1:20" x14ac:dyDescent="0.25">
      <c r="A22678" t="str">
        <f>"3061046"</f>
        <v>3061046</v>
      </c>
      <c r="B22678" t="s">
        <v>68754</v>
      </c>
      <c r="C22678" t="str">
        <f>"8322318"</f>
        <v>8322318</v>
      </c>
      <c r="D22678" t="s">
        <v>68755</v>
      </c>
      <c r="F22678" t="s">
        <v>68756</v>
      </c>
      <c r="I22678" t="s">
        <v>2071</v>
      </c>
      <c r="J22678" t="s">
        <v>30</v>
      </c>
      <c r="K22678" t="s">
        <v>39090</v>
      </c>
      <c r="M22678" t="s">
        <v>50500</v>
      </c>
      <c r="N22678" t="str">
        <f>"4/26/2024 9:44:00 AM"</f>
        <v>4/26/2024 9:44:00 AM</v>
      </c>
      <c r="O22678" t="s">
        <v>68755</v>
      </c>
    </row>
    <row r="22679" spans="1:20" x14ac:dyDescent="0.25">
      <c r="A22679" t="str">
        <f>"3062666"</f>
        <v>3062666</v>
      </c>
      <c r="B22679" t="s">
        <v>68757</v>
      </c>
      <c r="C22679" t="str">
        <f>"8322319"</f>
        <v>8322319</v>
      </c>
      <c r="D22679" t="s">
        <v>68758</v>
      </c>
      <c r="F22679" t="s">
        <v>68759</v>
      </c>
      <c r="I22679" t="s">
        <v>2071</v>
      </c>
      <c r="J22679" t="s">
        <v>30</v>
      </c>
      <c r="K22679" t="s">
        <v>3960</v>
      </c>
      <c r="M22679" t="s">
        <v>50500</v>
      </c>
      <c r="N22679" t="str">
        <f>"4/26/2024 9:48:00 AM"</f>
        <v>4/26/2024 9:48:00 AM</v>
      </c>
      <c r="O22679" t="s">
        <v>68758</v>
      </c>
    </row>
    <row r="22680" spans="1:20" x14ac:dyDescent="0.25">
      <c r="A22680" t="str">
        <f>"3041282"</f>
        <v>3041282</v>
      </c>
      <c r="B22680" t="s">
        <v>68760</v>
      </c>
      <c r="C22680" t="str">
        <f>"8301002"</f>
        <v>8301002</v>
      </c>
      <c r="D22680" t="s">
        <v>68761</v>
      </c>
      <c r="E22680" t="s">
        <v>68762</v>
      </c>
      <c r="F22680" t="s">
        <v>68763</v>
      </c>
      <c r="I22680" t="s">
        <v>22335</v>
      </c>
      <c r="J22680" t="s">
        <v>30</v>
      </c>
      <c r="K22680" t="str">
        <f>"27006"</f>
        <v>27006</v>
      </c>
      <c r="M22680" t="s">
        <v>50793</v>
      </c>
      <c r="N22680" t="str">
        <f>"4/26/2024 10:30:00 AM"</f>
        <v>4/26/2024 10:30:00 AM</v>
      </c>
      <c r="O22680" t="s">
        <v>68761</v>
      </c>
      <c r="T22680" t="s">
        <v>68762</v>
      </c>
    </row>
    <row r="22681" spans="1:20" x14ac:dyDescent="0.25">
      <c r="A22681" t="str">
        <f>"3058618"</f>
        <v>3058618</v>
      </c>
      <c r="B22681" t="s">
        <v>68764</v>
      </c>
      <c r="C22681" t="str">
        <f>"8322285"</f>
        <v>8322285</v>
      </c>
      <c r="D22681" t="s">
        <v>68733</v>
      </c>
      <c r="F22681" t="s">
        <v>68734</v>
      </c>
      <c r="I22681" t="s">
        <v>471</v>
      </c>
      <c r="J22681" t="s">
        <v>30</v>
      </c>
      <c r="K22681" t="s">
        <v>68735</v>
      </c>
      <c r="M22681" t="s">
        <v>50500</v>
      </c>
      <c r="N22681" t="str">
        <f>"4/22/2024 1:47:00 PM"</f>
        <v>4/22/2024 1:47:00 PM</v>
      </c>
      <c r="O22681" t="s">
        <v>68733</v>
      </c>
    </row>
    <row r="22682" spans="1:20" x14ac:dyDescent="0.25">
      <c r="A22682" t="str">
        <f>"3062739"</f>
        <v>3062739</v>
      </c>
      <c r="B22682" t="s">
        <v>68765</v>
      </c>
      <c r="C22682" t="str">
        <f>"8322286"</f>
        <v>8322286</v>
      </c>
      <c r="D22682" t="s">
        <v>68766</v>
      </c>
      <c r="E22682" t="s">
        <v>68767</v>
      </c>
      <c r="F22682" t="s">
        <v>68768</v>
      </c>
      <c r="I22682" t="s">
        <v>184</v>
      </c>
      <c r="J22682" t="s">
        <v>30</v>
      </c>
      <c r="K22682" t="s">
        <v>20272</v>
      </c>
      <c r="M22682" t="s">
        <v>50500</v>
      </c>
      <c r="N22682" t="str">
        <f>"4/22/2024 1:53:00 PM"</f>
        <v>4/22/2024 1:53:00 PM</v>
      </c>
      <c r="O22682" t="s">
        <v>68766</v>
      </c>
      <c r="T22682" t="s">
        <v>68767</v>
      </c>
    </row>
    <row r="22683" spans="1:20" x14ac:dyDescent="0.25">
      <c r="A22683" t="str">
        <f>"3068076"</f>
        <v>3068076</v>
      </c>
      <c r="B22683" t="s">
        <v>68769</v>
      </c>
      <c r="C22683" t="str">
        <f>"8322287"</f>
        <v>8322287</v>
      </c>
      <c r="D22683" t="s">
        <v>68770</v>
      </c>
      <c r="E22683" t="s">
        <v>68771</v>
      </c>
      <c r="F22683" t="s">
        <v>50360</v>
      </c>
      <c r="I22683" t="s">
        <v>29</v>
      </c>
      <c r="J22683" t="s">
        <v>30</v>
      </c>
      <c r="K22683" t="s">
        <v>50361</v>
      </c>
      <c r="M22683" t="s">
        <v>50500</v>
      </c>
      <c r="N22683" t="str">
        <f>"4/22/2024 2:04:00 PM"</f>
        <v>4/22/2024 2:04:00 PM</v>
      </c>
      <c r="O22683" t="s">
        <v>68770</v>
      </c>
      <c r="T22683" t="s">
        <v>68771</v>
      </c>
    </row>
    <row r="22684" spans="1:20" x14ac:dyDescent="0.25">
      <c r="A22684" t="str">
        <f>"3053977"</f>
        <v>3053977</v>
      </c>
      <c r="B22684" t="s">
        <v>68772</v>
      </c>
      <c r="C22684" t="str">
        <f>"8315074"</f>
        <v>8315074</v>
      </c>
      <c r="D22684" t="s">
        <v>68773</v>
      </c>
      <c r="E22684" t="s">
        <v>68774</v>
      </c>
      <c r="F22684" t="s">
        <v>68775</v>
      </c>
      <c r="I22684" t="s">
        <v>29</v>
      </c>
      <c r="J22684" t="s">
        <v>30</v>
      </c>
      <c r="K22684" t="s">
        <v>42938</v>
      </c>
      <c r="M22684" t="s">
        <v>50793</v>
      </c>
      <c r="N22684" t="str">
        <f>"4/29/2024 1:11:00 PM"</f>
        <v>4/29/2024 1:11:00 PM</v>
      </c>
      <c r="O22684" t="s">
        <v>68773</v>
      </c>
      <c r="T22684" t="s">
        <v>68774</v>
      </c>
    </row>
    <row r="22685" spans="1:20" x14ac:dyDescent="0.25">
      <c r="A22685" t="str">
        <f>"3040560"</f>
        <v>3040560</v>
      </c>
      <c r="B22685" t="s">
        <v>68776</v>
      </c>
      <c r="C22685" t="str">
        <f>"8322323"</f>
        <v>8322323</v>
      </c>
      <c r="D22685" t="s">
        <v>68777</v>
      </c>
      <c r="F22685" t="s">
        <v>68778</v>
      </c>
      <c r="I22685" t="s">
        <v>184</v>
      </c>
      <c r="J22685" t="s">
        <v>30</v>
      </c>
      <c r="K22685" t="s">
        <v>3550</v>
      </c>
      <c r="M22685" t="s">
        <v>50500</v>
      </c>
      <c r="N22685" t="str">
        <f>"4/29/2024 4:08:00 PM"</f>
        <v>4/29/2024 4:08:00 PM</v>
      </c>
      <c r="O22685" t="s">
        <v>68777</v>
      </c>
    </row>
    <row r="22686" spans="1:20" x14ac:dyDescent="0.25">
      <c r="A22686" t="str">
        <f>"3060866"</f>
        <v>3060866</v>
      </c>
      <c r="B22686" t="s">
        <v>68779</v>
      </c>
      <c r="C22686" t="str">
        <f>"8322324"</f>
        <v>8322324</v>
      </c>
      <c r="D22686" t="s">
        <v>68780</v>
      </c>
      <c r="F22686" t="s">
        <v>68781</v>
      </c>
      <c r="I22686" t="s">
        <v>184</v>
      </c>
      <c r="J22686" t="s">
        <v>30</v>
      </c>
      <c r="K22686" t="s">
        <v>23610</v>
      </c>
      <c r="M22686" t="s">
        <v>50500</v>
      </c>
      <c r="N22686" t="str">
        <f>"4/30/2024 9:14:00 AM"</f>
        <v>4/30/2024 9:14:00 AM</v>
      </c>
      <c r="O22686" t="s">
        <v>68780</v>
      </c>
    </row>
    <row r="22687" spans="1:20" x14ac:dyDescent="0.25">
      <c r="A22687" t="str">
        <f>"3047335"</f>
        <v>3047335</v>
      </c>
      <c r="B22687" t="s">
        <v>68782</v>
      </c>
      <c r="C22687" t="str">
        <f>"8322325"</f>
        <v>8322325</v>
      </c>
      <c r="D22687" t="s">
        <v>68783</v>
      </c>
      <c r="F22687" t="s">
        <v>68784</v>
      </c>
      <c r="I22687" t="s">
        <v>3196</v>
      </c>
      <c r="J22687" t="s">
        <v>30</v>
      </c>
      <c r="K22687" t="s">
        <v>68785</v>
      </c>
      <c r="M22687" t="s">
        <v>50500</v>
      </c>
      <c r="N22687" t="str">
        <f>"4/30/2024 9:19:00 AM"</f>
        <v>4/30/2024 9:19:00 AM</v>
      </c>
      <c r="O22687" t="s">
        <v>68783</v>
      </c>
    </row>
    <row r="22688" spans="1:20" x14ac:dyDescent="0.25">
      <c r="A22688" t="str">
        <f>"3078685"</f>
        <v>3078685</v>
      </c>
      <c r="B22688" t="s">
        <v>68786</v>
      </c>
      <c r="C22688" t="str">
        <f>"8322327"</f>
        <v>8322327</v>
      </c>
      <c r="D22688" t="s">
        <v>68787</v>
      </c>
      <c r="E22688" t="s">
        <v>68788</v>
      </c>
      <c r="F22688" t="s">
        <v>68789</v>
      </c>
      <c r="I22688" t="s">
        <v>68790</v>
      </c>
      <c r="J22688" t="s">
        <v>4132</v>
      </c>
      <c r="K22688" t="s">
        <v>68791</v>
      </c>
      <c r="M22688" t="s">
        <v>50500</v>
      </c>
      <c r="N22688" t="str">
        <f>"4/30/2024 3:16:00 PM"</f>
        <v>4/30/2024 3:16:00 PM</v>
      </c>
      <c r="O22688" t="s">
        <v>68787</v>
      </c>
      <c r="T22688" t="s">
        <v>68788</v>
      </c>
    </row>
    <row r="22689" spans="1:20" x14ac:dyDescent="0.25">
      <c r="A22689" t="str">
        <f>"3041870"</f>
        <v>3041870</v>
      </c>
      <c r="B22689" t="s">
        <v>68792</v>
      </c>
      <c r="C22689" t="str">
        <f>"8322328"</f>
        <v>8322328</v>
      </c>
      <c r="D22689" t="s">
        <v>68793</v>
      </c>
      <c r="F22689" t="s">
        <v>68794</v>
      </c>
      <c r="I22689" t="s">
        <v>2071</v>
      </c>
      <c r="J22689" t="s">
        <v>30</v>
      </c>
      <c r="K22689" t="s">
        <v>34839</v>
      </c>
      <c r="M22689" t="s">
        <v>50500</v>
      </c>
      <c r="N22689" t="str">
        <f>"4/30/2024 3:30:00 PM"</f>
        <v>4/30/2024 3:30:00 PM</v>
      </c>
      <c r="O22689" t="s">
        <v>68793</v>
      </c>
    </row>
    <row r="22690" spans="1:20" x14ac:dyDescent="0.25">
      <c r="A22690" t="str">
        <f>"3049012"</f>
        <v>3049012</v>
      </c>
      <c r="B22690" t="s">
        <v>68795</v>
      </c>
      <c r="C22690" t="str">
        <f>"8319514"</f>
        <v>8319514</v>
      </c>
      <c r="D22690" t="s">
        <v>68796</v>
      </c>
      <c r="F22690" t="s">
        <v>68797</v>
      </c>
      <c r="I22690" t="s">
        <v>3580</v>
      </c>
      <c r="J22690" t="s">
        <v>30</v>
      </c>
      <c r="K22690" t="str">
        <f>"27103"</f>
        <v>27103</v>
      </c>
      <c r="M22690" t="s">
        <v>18470</v>
      </c>
      <c r="N22690" t="str">
        <f>"5/1/2024 10:04:00 AM"</f>
        <v>5/1/2024 10:04:00 AM</v>
      </c>
      <c r="O22690" t="s">
        <v>68796</v>
      </c>
    </row>
    <row r="22691" spans="1:20" x14ac:dyDescent="0.25">
      <c r="A22691" t="str">
        <f>"3058749"</f>
        <v>3058749</v>
      </c>
      <c r="B22691" t="s">
        <v>68798</v>
      </c>
      <c r="C22691" t="str">
        <f>"8322331"</f>
        <v>8322331</v>
      </c>
      <c r="D22691" t="s">
        <v>68799</v>
      </c>
      <c r="E22691" t="s">
        <v>68800</v>
      </c>
      <c r="F22691" t="s">
        <v>68801</v>
      </c>
      <c r="I22691" t="s">
        <v>184</v>
      </c>
      <c r="J22691" t="s">
        <v>30</v>
      </c>
      <c r="K22691" t="s">
        <v>64153</v>
      </c>
      <c r="M22691" t="s">
        <v>50500</v>
      </c>
      <c r="N22691" t="str">
        <f>"5/1/2024 11:00:00 AM"</f>
        <v>5/1/2024 11:00:00 AM</v>
      </c>
      <c r="O22691" t="s">
        <v>68799</v>
      </c>
      <c r="T22691" t="s">
        <v>68800</v>
      </c>
    </row>
    <row r="22692" spans="1:20" x14ac:dyDescent="0.25">
      <c r="A22692" t="str">
        <f>"3052584"</f>
        <v>3052584</v>
      </c>
      <c r="B22692" t="s">
        <v>68802</v>
      </c>
      <c r="C22692" t="str">
        <f>"82514273"</f>
        <v>82514273</v>
      </c>
      <c r="D22692" t="s">
        <v>68803</v>
      </c>
      <c r="E22692" t="s">
        <v>68804</v>
      </c>
      <c r="F22692" t="s">
        <v>68805</v>
      </c>
      <c r="I22692" t="s">
        <v>29</v>
      </c>
      <c r="J22692" t="s">
        <v>30</v>
      </c>
      <c r="K22692" t="s">
        <v>31</v>
      </c>
      <c r="M22692" t="s">
        <v>50793</v>
      </c>
      <c r="N22692" t="str">
        <f>"4/22/2024 2:05:00 PM"</f>
        <v>4/22/2024 2:05:00 PM</v>
      </c>
      <c r="O22692" t="s">
        <v>68803</v>
      </c>
      <c r="T22692" t="s">
        <v>68804</v>
      </c>
    </row>
    <row r="22693" spans="1:20" x14ac:dyDescent="0.25">
      <c r="A22693" t="str">
        <f>"3050154"</f>
        <v>3050154</v>
      </c>
      <c r="B22693" t="s">
        <v>68806</v>
      </c>
      <c r="C22693" t="str">
        <f>"8322289"</f>
        <v>8322289</v>
      </c>
      <c r="D22693" t="s">
        <v>68807</v>
      </c>
      <c r="E22693" t="s">
        <v>68808</v>
      </c>
      <c r="F22693" t="s">
        <v>68809</v>
      </c>
      <c r="I22693" t="s">
        <v>29</v>
      </c>
      <c r="J22693" t="s">
        <v>30</v>
      </c>
      <c r="K22693" t="s">
        <v>14453</v>
      </c>
      <c r="M22693" t="s">
        <v>50500</v>
      </c>
      <c r="N22693" t="str">
        <f>"4/22/2024 2:44:00 PM"</f>
        <v>4/22/2024 2:44:00 PM</v>
      </c>
      <c r="O22693" t="s">
        <v>68807</v>
      </c>
      <c r="T22693" t="s">
        <v>68808</v>
      </c>
    </row>
    <row r="22694" spans="1:20" x14ac:dyDescent="0.25">
      <c r="A22694" t="str">
        <f>"3041869"</f>
        <v>3041869</v>
      </c>
      <c r="B22694" t="s">
        <v>68810</v>
      </c>
      <c r="C22694" t="str">
        <f>"8322334"</f>
        <v>8322334</v>
      </c>
      <c r="D22694" t="s">
        <v>68811</v>
      </c>
      <c r="E22694" t="s">
        <v>68812</v>
      </c>
      <c r="F22694" t="s">
        <v>68813</v>
      </c>
      <c r="I22694" t="s">
        <v>2071</v>
      </c>
      <c r="J22694" t="s">
        <v>30</v>
      </c>
      <c r="K22694" t="s">
        <v>44834</v>
      </c>
      <c r="M22694" t="s">
        <v>50500</v>
      </c>
      <c r="N22694" t="str">
        <f>"5/1/2024 1:17:00 PM"</f>
        <v>5/1/2024 1:17:00 PM</v>
      </c>
      <c r="O22694" t="s">
        <v>68811</v>
      </c>
      <c r="T22694" t="s">
        <v>68812</v>
      </c>
    </row>
    <row r="22695" spans="1:20" x14ac:dyDescent="0.25">
      <c r="A22695" t="str">
        <f>"3039781"</f>
        <v>3039781</v>
      </c>
      <c r="B22695" t="s">
        <v>68814</v>
      </c>
      <c r="C22695" t="str">
        <f>"8322335"</f>
        <v>8322335</v>
      </c>
      <c r="D22695" t="s">
        <v>68815</v>
      </c>
      <c r="F22695" t="s">
        <v>68816</v>
      </c>
      <c r="I22695" t="s">
        <v>3934</v>
      </c>
      <c r="J22695" t="s">
        <v>30</v>
      </c>
      <c r="K22695" t="s">
        <v>68817</v>
      </c>
      <c r="M22695" t="s">
        <v>50500</v>
      </c>
      <c r="N22695" t="str">
        <f>"5/1/2024 1:27:00 PM"</f>
        <v>5/1/2024 1:27:00 PM</v>
      </c>
      <c r="O22695" t="s">
        <v>68815</v>
      </c>
    </row>
    <row r="22696" spans="1:20" x14ac:dyDescent="0.25">
      <c r="A22696" t="str">
        <f>"3039717"</f>
        <v>3039717</v>
      </c>
      <c r="B22696" t="s">
        <v>68818</v>
      </c>
      <c r="C22696" t="str">
        <f>"8322335"</f>
        <v>8322335</v>
      </c>
      <c r="D22696" t="s">
        <v>68815</v>
      </c>
      <c r="F22696" t="s">
        <v>68816</v>
      </c>
      <c r="I22696" t="s">
        <v>3934</v>
      </c>
      <c r="J22696" t="s">
        <v>30</v>
      </c>
      <c r="K22696" t="s">
        <v>68817</v>
      </c>
      <c r="M22696" t="s">
        <v>50500</v>
      </c>
      <c r="N22696" t="str">
        <f>"5/1/2024 1:27:00 PM"</f>
        <v>5/1/2024 1:27:00 PM</v>
      </c>
      <c r="O22696" t="s">
        <v>68815</v>
      </c>
    </row>
    <row r="22697" spans="1:20" x14ac:dyDescent="0.25">
      <c r="A22697" t="str">
        <f>"3039716"</f>
        <v>3039716</v>
      </c>
      <c r="B22697" t="s">
        <v>68819</v>
      </c>
      <c r="C22697" t="str">
        <f>"8322335"</f>
        <v>8322335</v>
      </c>
      <c r="D22697" t="s">
        <v>68815</v>
      </c>
      <c r="F22697" t="s">
        <v>68816</v>
      </c>
      <c r="I22697" t="s">
        <v>3934</v>
      </c>
      <c r="J22697" t="s">
        <v>30</v>
      </c>
      <c r="K22697" t="s">
        <v>68817</v>
      </c>
      <c r="M22697" t="s">
        <v>50500</v>
      </c>
      <c r="N22697" t="str">
        <f>"5/1/2024 1:27:00 PM"</f>
        <v>5/1/2024 1:27:00 PM</v>
      </c>
      <c r="O22697" t="s">
        <v>68815</v>
      </c>
    </row>
    <row r="22698" spans="1:20" x14ac:dyDescent="0.25">
      <c r="A22698" t="str">
        <f>"3039433"</f>
        <v>3039433</v>
      </c>
      <c r="B22698" t="s">
        <v>68820</v>
      </c>
      <c r="C22698" t="str">
        <f>"8322335"</f>
        <v>8322335</v>
      </c>
      <c r="D22698" t="s">
        <v>68815</v>
      </c>
      <c r="F22698" t="s">
        <v>68816</v>
      </c>
      <c r="I22698" t="s">
        <v>3934</v>
      </c>
      <c r="J22698" t="s">
        <v>30</v>
      </c>
      <c r="K22698" t="s">
        <v>68817</v>
      </c>
      <c r="M22698" t="s">
        <v>50500</v>
      </c>
      <c r="N22698" t="str">
        <f>"5/1/2024 1:27:00 PM"</f>
        <v>5/1/2024 1:27:00 PM</v>
      </c>
      <c r="O22698" t="s">
        <v>68815</v>
      </c>
    </row>
    <row r="22699" spans="1:20" x14ac:dyDescent="0.25">
      <c r="A22699" t="str">
        <f>"3058812"</f>
        <v>3058812</v>
      </c>
      <c r="B22699" t="s">
        <v>68821</v>
      </c>
      <c r="C22699" t="str">
        <f>"8321768"</f>
        <v>8321768</v>
      </c>
      <c r="D22699" t="s">
        <v>68822</v>
      </c>
      <c r="F22699" t="s">
        <v>68823</v>
      </c>
      <c r="I22699" t="s">
        <v>29</v>
      </c>
      <c r="J22699" t="s">
        <v>30</v>
      </c>
      <c r="K22699" t="s">
        <v>47532</v>
      </c>
      <c r="M22699" t="s">
        <v>25625</v>
      </c>
      <c r="N22699" t="str">
        <f>"5/1/2024 2:32:00 PM"</f>
        <v>5/1/2024 2:32:00 PM</v>
      </c>
      <c r="O22699" t="s">
        <v>68822</v>
      </c>
    </row>
    <row r="22700" spans="1:20" x14ac:dyDescent="0.25">
      <c r="A22700" t="str">
        <f>"3046058"</f>
        <v>3046058</v>
      </c>
      <c r="B22700" t="s">
        <v>68824</v>
      </c>
      <c r="C22700" t="str">
        <f>"8322336"</f>
        <v>8322336</v>
      </c>
      <c r="D22700" t="s">
        <v>68825</v>
      </c>
      <c r="F22700" t="s">
        <v>35185</v>
      </c>
      <c r="I22700" t="s">
        <v>184</v>
      </c>
      <c r="J22700" t="s">
        <v>30</v>
      </c>
      <c r="K22700" t="s">
        <v>3433</v>
      </c>
      <c r="M22700" t="s">
        <v>50500</v>
      </c>
      <c r="N22700" t="str">
        <f>"5/1/2024 3:00:00 PM"</f>
        <v>5/1/2024 3:00:00 PM</v>
      </c>
      <c r="O22700" t="s">
        <v>68825</v>
      </c>
    </row>
    <row r="22701" spans="1:20" x14ac:dyDescent="0.25">
      <c r="A22701" t="str">
        <f>"3052682"</f>
        <v>3052682</v>
      </c>
      <c r="B22701" t="s">
        <v>68826</v>
      </c>
      <c r="C22701" t="str">
        <f>"8322338"</f>
        <v>8322338</v>
      </c>
      <c r="D22701" t="s">
        <v>68827</v>
      </c>
      <c r="F22701" t="s">
        <v>68828</v>
      </c>
      <c r="I22701" t="s">
        <v>29</v>
      </c>
      <c r="J22701" t="s">
        <v>30</v>
      </c>
      <c r="K22701" t="s">
        <v>68829</v>
      </c>
      <c r="M22701" t="s">
        <v>50500</v>
      </c>
      <c r="N22701" t="str">
        <f>"5/2/2024 11:53:00 AM"</f>
        <v>5/2/2024 11:53:00 AM</v>
      </c>
      <c r="O22701" t="s">
        <v>68827</v>
      </c>
    </row>
    <row r="22702" spans="1:20" x14ac:dyDescent="0.25">
      <c r="A22702" t="str">
        <f>"3060562"</f>
        <v>3060562</v>
      </c>
      <c r="B22702" t="s">
        <v>68830</v>
      </c>
      <c r="C22702" t="str">
        <f>"8322339"</f>
        <v>8322339</v>
      </c>
      <c r="D22702" t="s">
        <v>68831</v>
      </c>
      <c r="F22702" t="s">
        <v>68832</v>
      </c>
      <c r="I22702" t="s">
        <v>184</v>
      </c>
      <c r="J22702" t="s">
        <v>30</v>
      </c>
      <c r="K22702" t="s">
        <v>9171</v>
      </c>
      <c r="M22702" t="s">
        <v>50500</v>
      </c>
      <c r="N22702" t="str">
        <f>"5/2/2024 1:20:00 PM"</f>
        <v>5/2/2024 1:20:00 PM</v>
      </c>
      <c r="O22702" t="s">
        <v>68831</v>
      </c>
    </row>
    <row r="22703" spans="1:20" x14ac:dyDescent="0.25">
      <c r="A22703" t="str">
        <f>"3047112"</f>
        <v>3047112</v>
      </c>
      <c r="B22703" t="s">
        <v>68833</v>
      </c>
      <c r="C22703" t="str">
        <f>"25983500"</f>
        <v>25983500</v>
      </c>
      <c r="D22703" t="s">
        <v>68834</v>
      </c>
      <c r="F22703" t="s">
        <v>68835</v>
      </c>
      <c r="I22703" t="s">
        <v>29</v>
      </c>
      <c r="J22703" t="s">
        <v>30</v>
      </c>
      <c r="K22703" t="s">
        <v>31</v>
      </c>
      <c r="M22703" t="s">
        <v>18470</v>
      </c>
      <c r="N22703" t="str">
        <f>"5/2/2024 1:17:00 PM"</f>
        <v>5/2/2024 1:17:00 PM</v>
      </c>
      <c r="O22703" t="s">
        <v>68834</v>
      </c>
    </row>
    <row r="22704" spans="1:20" x14ac:dyDescent="0.25">
      <c r="A22704" t="str">
        <f>"3058646"</f>
        <v>3058646</v>
      </c>
      <c r="B22704" t="s">
        <v>68836</v>
      </c>
      <c r="C22704" t="str">
        <f>"8322340"</f>
        <v>8322340</v>
      </c>
      <c r="D22704" t="s">
        <v>68837</v>
      </c>
      <c r="E22704" t="s">
        <v>68838</v>
      </c>
      <c r="F22704" t="s">
        <v>68839</v>
      </c>
      <c r="I22704" t="s">
        <v>29</v>
      </c>
      <c r="J22704" t="s">
        <v>30</v>
      </c>
      <c r="K22704" t="s">
        <v>59681</v>
      </c>
      <c r="M22704" t="s">
        <v>50500</v>
      </c>
      <c r="N22704" t="str">
        <f>"5/2/2024 1:27:00 PM"</f>
        <v>5/2/2024 1:27:00 PM</v>
      </c>
      <c r="O22704" t="s">
        <v>68837</v>
      </c>
      <c r="T22704" t="s">
        <v>68838</v>
      </c>
    </row>
    <row r="22705" spans="1:20" x14ac:dyDescent="0.25">
      <c r="A22705" t="str">
        <f>"3058283"</f>
        <v>3058283</v>
      </c>
      <c r="B22705" t="s">
        <v>68840</v>
      </c>
      <c r="C22705" t="str">
        <f>"8322290"</f>
        <v>8322290</v>
      </c>
      <c r="D22705" t="s">
        <v>68841</v>
      </c>
      <c r="E22705" t="s">
        <v>68842</v>
      </c>
      <c r="F22705" t="s">
        <v>68843</v>
      </c>
      <c r="I22705" t="s">
        <v>29</v>
      </c>
      <c r="J22705" t="s">
        <v>30</v>
      </c>
      <c r="K22705" t="s">
        <v>10059</v>
      </c>
      <c r="M22705" t="s">
        <v>50500</v>
      </c>
      <c r="N22705" t="str">
        <f>"4/22/2024 2:48:00 PM"</f>
        <v>4/22/2024 2:48:00 PM</v>
      </c>
      <c r="O22705" t="s">
        <v>68841</v>
      </c>
      <c r="T22705" t="s">
        <v>68842</v>
      </c>
    </row>
    <row r="22706" spans="1:20" x14ac:dyDescent="0.25">
      <c r="A22706" t="str">
        <f>"3069605"</f>
        <v>3069605</v>
      </c>
      <c r="B22706" t="s">
        <v>68844</v>
      </c>
      <c r="C22706" t="str">
        <f>"81392500"</f>
        <v>81392500</v>
      </c>
      <c r="D22706" t="s">
        <v>68845</v>
      </c>
      <c r="F22706" t="s">
        <v>68485</v>
      </c>
      <c r="I22706" t="s">
        <v>1149</v>
      </c>
      <c r="J22706" t="s">
        <v>30</v>
      </c>
      <c r="K22706" t="s">
        <v>68486</v>
      </c>
      <c r="M22706" t="s">
        <v>50793</v>
      </c>
      <c r="N22706" t="str">
        <f>"4/23/2024 8:33:00 AM"</f>
        <v>4/23/2024 8:33:00 AM</v>
      </c>
      <c r="O22706" t="s">
        <v>68845</v>
      </c>
    </row>
    <row r="22707" spans="1:20" x14ac:dyDescent="0.25">
      <c r="A22707" t="str">
        <f>"3047551"</f>
        <v>3047551</v>
      </c>
      <c r="B22707" t="s">
        <v>68846</v>
      </c>
      <c r="C22707" t="str">
        <f>"17672800"</f>
        <v>17672800</v>
      </c>
      <c r="D22707" t="s">
        <v>68847</v>
      </c>
      <c r="F22707" t="s">
        <v>68848</v>
      </c>
      <c r="I22707" t="s">
        <v>184</v>
      </c>
      <c r="J22707" t="s">
        <v>30</v>
      </c>
      <c r="K22707" t="s">
        <v>185</v>
      </c>
      <c r="M22707" t="s">
        <v>50621</v>
      </c>
      <c r="N22707" t="str">
        <f>"5/3/2024 9:38:00 AM"</f>
        <v>5/3/2024 9:38:00 AM</v>
      </c>
      <c r="O22707" t="s">
        <v>68847</v>
      </c>
    </row>
    <row r="22708" spans="1:20" x14ac:dyDescent="0.25">
      <c r="A22708" t="str">
        <f>"3047552"</f>
        <v>3047552</v>
      </c>
      <c r="B22708" t="s">
        <v>68849</v>
      </c>
      <c r="C22708" t="str">
        <f>"17672800"</f>
        <v>17672800</v>
      </c>
      <c r="D22708" t="s">
        <v>68847</v>
      </c>
      <c r="F22708" t="s">
        <v>68848</v>
      </c>
      <c r="I22708" t="s">
        <v>184</v>
      </c>
      <c r="J22708" t="s">
        <v>30</v>
      </c>
      <c r="K22708" t="s">
        <v>185</v>
      </c>
      <c r="M22708" t="s">
        <v>50621</v>
      </c>
      <c r="N22708" t="str">
        <f>"5/3/2024 9:38:00 AM"</f>
        <v>5/3/2024 9:38:00 AM</v>
      </c>
      <c r="O22708" t="s">
        <v>68847</v>
      </c>
    </row>
    <row r="22709" spans="1:20" x14ac:dyDescent="0.25">
      <c r="A22709" t="str">
        <f>"3047768"</f>
        <v>3047768</v>
      </c>
      <c r="B22709" t="s">
        <v>68850</v>
      </c>
      <c r="C22709" t="str">
        <f>"17672800"</f>
        <v>17672800</v>
      </c>
      <c r="D22709" t="s">
        <v>68847</v>
      </c>
      <c r="F22709" t="s">
        <v>68848</v>
      </c>
      <c r="I22709" t="s">
        <v>184</v>
      </c>
      <c r="J22709" t="s">
        <v>30</v>
      </c>
      <c r="K22709" t="s">
        <v>185</v>
      </c>
      <c r="M22709" t="s">
        <v>50621</v>
      </c>
      <c r="N22709" t="str">
        <f>"5/3/2024 9:38:00 AM"</f>
        <v>5/3/2024 9:38:00 AM</v>
      </c>
      <c r="O22709" t="s">
        <v>68847</v>
      </c>
    </row>
    <row r="22710" spans="1:20" x14ac:dyDescent="0.25">
      <c r="A22710" t="str">
        <f>"3060865"</f>
        <v>3060865</v>
      </c>
      <c r="B22710" t="s">
        <v>68851</v>
      </c>
      <c r="C22710" t="str">
        <f>"8318491"</f>
        <v>8318491</v>
      </c>
      <c r="D22710" t="s">
        <v>68852</v>
      </c>
      <c r="E22710" t="s">
        <v>68853</v>
      </c>
      <c r="F22710" t="s">
        <v>68854</v>
      </c>
      <c r="I22710" t="s">
        <v>2071</v>
      </c>
      <c r="J22710" t="s">
        <v>30</v>
      </c>
      <c r="K22710" t="s">
        <v>33837</v>
      </c>
      <c r="M22710" t="s">
        <v>50621</v>
      </c>
      <c r="N22710" t="str">
        <f>"5/3/2024 9:41:00 AM"</f>
        <v>5/3/2024 9:41:00 AM</v>
      </c>
      <c r="O22710" t="s">
        <v>68852</v>
      </c>
      <c r="T22710" t="s">
        <v>68853</v>
      </c>
    </row>
    <row r="22711" spans="1:20" x14ac:dyDescent="0.25">
      <c r="A22711" t="str">
        <f>"3052525"</f>
        <v>3052525</v>
      </c>
      <c r="B22711" t="s">
        <v>68855</v>
      </c>
      <c r="C22711" t="str">
        <f>"63594000"</f>
        <v>63594000</v>
      </c>
      <c r="D22711" t="s">
        <v>68856</v>
      </c>
      <c r="F22711" t="s">
        <v>68857</v>
      </c>
      <c r="I22711" t="s">
        <v>29</v>
      </c>
      <c r="J22711" t="s">
        <v>30</v>
      </c>
      <c r="K22711" t="s">
        <v>31</v>
      </c>
      <c r="M22711" t="s">
        <v>50793</v>
      </c>
      <c r="N22711" t="str">
        <f>"5/3/2024 9:39:00 AM"</f>
        <v>5/3/2024 9:39:00 AM</v>
      </c>
      <c r="O22711" t="s">
        <v>68856</v>
      </c>
    </row>
    <row r="22712" spans="1:20" x14ac:dyDescent="0.25">
      <c r="A22712" t="str">
        <f>"3052253"</f>
        <v>3052253</v>
      </c>
      <c r="B22712" t="s">
        <v>68858</v>
      </c>
      <c r="C22712" t="str">
        <f>"63594000"</f>
        <v>63594000</v>
      </c>
      <c r="D22712" t="s">
        <v>68856</v>
      </c>
      <c r="F22712" t="s">
        <v>68857</v>
      </c>
      <c r="I22712" t="s">
        <v>29</v>
      </c>
      <c r="J22712" t="s">
        <v>30</v>
      </c>
      <c r="K22712" t="s">
        <v>31</v>
      </c>
      <c r="M22712" t="s">
        <v>50793</v>
      </c>
      <c r="N22712" t="str">
        <f>"5/3/2024 9:39:00 AM"</f>
        <v>5/3/2024 9:39:00 AM</v>
      </c>
      <c r="O22712" t="s">
        <v>68856</v>
      </c>
    </row>
    <row r="22713" spans="1:20" x14ac:dyDescent="0.25">
      <c r="A22713" t="str">
        <f>"3046916"</f>
        <v>3046916</v>
      </c>
      <c r="B22713" t="s">
        <v>68859</v>
      </c>
      <c r="C22713" t="str">
        <f>"35502000"</f>
        <v>35502000</v>
      </c>
      <c r="D22713" t="s">
        <v>68860</v>
      </c>
      <c r="E22713" t="s">
        <v>68861</v>
      </c>
      <c r="F22713" t="s">
        <v>68862</v>
      </c>
      <c r="I22713" t="s">
        <v>29</v>
      </c>
      <c r="J22713" t="s">
        <v>30</v>
      </c>
      <c r="K22713" t="s">
        <v>10231</v>
      </c>
      <c r="M22713" t="s">
        <v>50793</v>
      </c>
      <c r="N22713" t="str">
        <f>"4/23/2024 9:02:00 AM"</f>
        <v>4/23/2024 9:02:00 AM</v>
      </c>
      <c r="O22713" t="s">
        <v>68860</v>
      </c>
      <c r="T22713" t="s">
        <v>68861</v>
      </c>
    </row>
    <row r="22714" spans="1:20" x14ac:dyDescent="0.25">
      <c r="A22714" t="str">
        <f>"3056118"</f>
        <v>3056118</v>
      </c>
      <c r="B22714" t="s">
        <v>68863</v>
      </c>
      <c r="C22714" t="str">
        <f>"8310447"</f>
        <v>8310447</v>
      </c>
      <c r="D22714" t="s">
        <v>68864</v>
      </c>
      <c r="F22714" t="s">
        <v>68865</v>
      </c>
      <c r="I22714" t="s">
        <v>964</v>
      </c>
      <c r="J22714" t="s">
        <v>30</v>
      </c>
      <c r="K22714" t="s">
        <v>68866</v>
      </c>
      <c r="M22714" t="s">
        <v>50793</v>
      </c>
      <c r="N22714" t="str">
        <f>"4/23/2024 9:11:00 AM"</f>
        <v>4/23/2024 9:11:00 AM</v>
      </c>
      <c r="O22714" t="s">
        <v>68864</v>
      </c>
    </row>
    <row r="22715" spans="1:20" x14ac:dyDescent="0.25">
      <c r="A22715" t="str">
        <f>"3058581"</f>
        <v>3058581</v>
      </c>
      <c r="B22715" t="s">
        <v>68867</v>
      </c>
      <c r="C22715" t="str">
        <f>"82519265"</f>
        <v>82519265</v>
      </c>
      <c r="D22715" t="s">
        <v>68868</v>
      </c>
      <c r="F22715" t="s">
        <v>52357</v>
      </c>
      <c r="I22715" t="s">
        <v>29</v>
      </c>
      <c r="J22715" t="s">
        <v>30</v>
      </c>
      <c r="K22715" t="s">
        <v>31</v>
      </c>
      <c r="M22715" t="s">
        <v>50793</v>
      </c>
      <c r="N22715" t="str">
        <f>"5/3/2024 9:53:00 AM"</f>
        <v>5/3/2024 9:53:00 AM</v>
      </c>
      <c r="O22715" t="s">
        <v>68868</v>
      </c>
    </row>
    <row r="22716" spans="1:20" x14ac:dyDescent="0.25">
      <c r="A22716" t="str">
        <f>"3059108"</f>
        <v>3059108</v>
      </c>
      <c r="B22716" t="s">
        <v>68869</v>
      </c>
      <c r="C22716" t="str">
        <f>"82519265"</f>
        <v>82519265</v>
      </c>
      <c r="D22716" t="s">
        <v>68868</v>
      </c>
      <c r="F22716" t="s">
        <v>52357</v>
      </c>
      <c r="I22716" t="s">
        <v>29</v>
      </c>
      <c r="J22716" t="s">
        <v>30</v>
      </c>
      <c r="K22716" t="s">
        <v>31</v>
      </c>
      <c r="M22716" t="s">
        <v>50793</v>
      </c>
      <c r="N22716" t="str">
        <f>"5/3/2024 9:53:00 AM"</f>
        <v>5/3/2024 9:53:00 AM</v>
      </c>
      <c r="O22716" t="s">
        <v>68868</v>
      </c>
    </row>
    <row r="22717" spans="1:20" x14ac:dyDescent="0.25">
      <c r="A22717" t="str">
        <f>"3056566"</f>
        <v>3056566</v>
      </c>
      <c r="B22717" t="s">
        <v>68870</v>
      </c>
      <c r="C22717" t="str">
        <f>"82528803"</f>
        <v>82528803</v>
      </c>
      <c r="D22717" t="s">
        <v>17553</v>
      </c>
      <c r="E22717" t="s">
        <v>68871</v>
      </c>
      <c r="F22717" t="s">
        <v>68872</v>
      </c>
      <c r="I22717" t="s">
        <v>29</v>
      </c>
      <c r="J22717" t="s">
        <v>30</v>
      </c>
      <c r="K22717" t="s">
        <v>31</v>
      </c>
      <c r="M22717" t="s">
        <v>50793</v>
      </c>
      <c r="N22717" t="str">
        <f>"5/3/2024 9:53:00 AM"</f>
        <v>5/3/2024 9:53:00 AM</v>
      </c>
      <c r="O22717" t="s">
        <v>17553</v>
      </c>
      <c r="T22717" t="s">
        <v>68871</v>
      </c>
    </row>
    <row r="22718" spans="1:20" x14ac:dyDescent="0.25">
      <c r="A22718" t="str">
        <f>"3076588"</f>
        <v>3076588</v>
      </c>
      <c r="B22718" t="s">
        <v>68873</v>
      </c>
      <c r="C22718" t="str">
        <f>"8322341"</f>
        <v>8322341</v>
      </c>
      <c r="D22718" t="s">
        <v>68874</v>
      </c>
      <c r="F22718" t="s">
        <v>68875</v>
      </c>
      <c r="I22718" t="s">
        <v>14378</v>
      </c>
      <c r="J22718" t="s">
        <v>30</v>
      </c>
      <c r="K22718" t="s">
        <v>68876</v>
      </c>
      <c r="M22718" t="s">
        <v>50500</v>
      </c>
      <c r="N22718" t="str">
        <f>"5/3/2024 9:59:00 AM"</f>
        <v>5/3/2024 9:59:00 AM</v>
      </c>
      <c r="O22718" t="s">
        <v>68874</v>
      </c>
    </row>
    <row r="22719" spans="1:20" x14ac:dyDescent="0.25">
      <c r="A22719" t="str">
        <f>"3038304"</f>
        <v>3038304</v>
      </c>
      <c r="B22719" t="s">
        <v>68877</v>
      </c>
      <c r="C22719" t="str">
        <f>"8317768"</f>
        <v>8317768</v>
      </c>
      <c r="D22719" t="s">
        <v>68878</v>
      </c>
      <c r="E22719" t="s">
        <v>68879</v>
      </c>
      <c r="F22719" t="s">
        <v>68880</v>
      </c>
      <c r="I22719" t="s">
        <v>471</v>
      </c>
      <c r="J22719" t="s">
        <v>30</v>
      </c>
      <c r="K22719" t="s">
        <v>68881</v>
      </c>
      <c r="M22719" t="s">
        <v>50793</v>
      </c>
      <c r="N22719" t="str">
        <f>"5/3/2024 10:05:00 AM"</f>
        <v>5/3/2024 10:05:00 AM</v>
      </c>
      <c r="O22719" t="s">
        <v>68878</v>
      </c>
      <c r="T22719" t="s">
        <v>68879</v>
      </c>
    </row>
    <row r="22720" spans="1:20" x14ac:dyDescent="0.25">
      <c r="A22720" t="str">
        <f>"3038263"</f>
        <v>3038263</v>
      </c>
      <c r="B22720" t="s">
        <v>68882</v>
      </c>
      <c r="C22720" t="str">
        <f>"8317768"</f>
        <v>8317768</v>
      </c>
      <c r="D22720" t="s">
        <v>68878</v>
      </c>
      <c r="E22720" t="s">
        <v>68879</v>
      </c>
      <c r="F22720" t="s">
        <v>68880</v>
      </c>
      <c r="I22720" t="s">
        <v>471</v>
      </c>
      <c r="J22720" t="s">
        <v>30</v>
      </c>
      <c r="K22720" t="s">
        <v>68881</v>
      </c>
      <c r="M22720" t="s">
        <v>50793</v>
      </c>
      <c r="N22720" t="str">
        <f>"5/3/2024 10:05:00 AM"</f>
        <v>5/3/2024 10:05:00 AM</v>
      </c>
      <c r="O22720" t="s">
        <v>68878</v>
      </c>
      <c r="T22720" t="s">
        <v>68879</v>
      </c>
    </row>
    <row r="22721" spans="1:20" x14ac:dyDescent="0.25">
      <c r="A22721" t="str">
        <f>"3054592"</f>
        <v>3054592</v>
      </c>
      <c r="B22721" t="s">
        <v>68883</v>
      </c>
      <c r="C22721" t="str">
        <f>"8309866"</f>
        <v>8309866</v>
      </c>
      <c r="D22721" t="s">
        <v>68884</v>
      </c>
      <c r="E22721" t="s">
        <v>68885</v>
      </c>
      <c r="F22721" t="s">
        <v>68886</v>
      </c>
      <c r="I22721" t="s">
        <v>29</v>
      </c>
      <c r="J22721" t="s">
        <v>30</v>
      </c>
      <c r="K22721" t="s">
        <v>43014</v>
      </c>
      <c r="M22721" t="s">
        <v>50793</v>
      </c>
      <c r="N22721" t="str">
        <f>"4/23/2024 9:15:00 AM"</f>
        <v>4/23/2024 9:15:00 AM</v>
      </c>
      <c r="O22721" t="s">
        <v>68884</v>
      </c>
      <c r="T22721" t="s">
        <v>68885</v>
      </c>
    </row>
    <row r="22722" spans="1:20" x14ac:dyDescent="0.25">
      <c r="A22722" t="str">
        <f>"3044012"</f>
        <v>3044012</v>
      </c>
      <c r="B22722" t="s">
        <v>68887</v>
      </c>
      <c r="C22722" t="str">
        <f>"125750"</f>
        <v>125750</v>
      </c>
      <c r="D22722" t="s">
        <v>68888</v>
      </c>
      <c r="F22722" t="s">
        <v>68889</v>
      </c>
      <c r="I22722" t="s">
        <v>2280</v>
      </c>
      <c r="J22722" t="s">
        <v>30</v>
      </c>
      <c r="K22722" t="str">
        <f>"27295"</f>
        <v>27295</v>
      </c>
      <c r="M22722" t="s">
        <v>50621</v>
      </c>
      <c r="N22722" t="str">
        <f>"4/18/2024 10:17:00 AM"</f>
        <v>4/18/2024 10:17:00 AM</v>
      </c>
      <c r="O22722" t="s">
        <v>68888</v>
      </c>
    </row>
    <row r="22723" spans="1:20" x14ac:dyDescent="0.25">
      <c r="A22723" t="str">
        <f>"3065014"</f>
        <v>3065014</v>
      </c>
      <c r="B22723" t="s">
        <v>68890</v>
      </c>
      <c r="C22723" t="str">
        <f>"82528590"</f>
        <v>82528590</v>
      </c>
      <c r="D22723" t="s">
        <v>68891</v>
      </c>
      <c r="E22723" t="s">
        <v>68892</v>
      </c>
      <c r="F22723" t="s">
        <v>68893</v>
      </c>
      <c r="I22723" t="s">
        <v>184</v>
      </c>
      <c r="J22723" t="s">
        <v>30</v>
      </c>
      <c r="K22723" t="s">
        <v>185</v>
      </c>
      <c r="M22723" t="s">
        <v>50621</v>
      </c>
      <c r="N22723" t="str">
        <f>"5/3/2024 10:45:00 AM"</f>
        <v>5/3/2024 10:45:00 AM</v>
      </c>
      <c r="O22723" t="s">
        <v>68891</v>
      </c>
      <c r="T22723" t="s">
        <v>68892</v>
      </c>
    </row>
    <row r="22724" spans="1:20" x14ac:dyDescent="0.25">
      <c r="A22724" t="str">
        <f>"3061072"</f>
        <v>3061072</v>
      </c>
      <c r="B22724" t="s">
        <v>68894</v>
      </c>
      <c r="C22724" t="str">
        <f>"8322346"</f>
        <v>8322346</v>
      </c>
      <c r="D22724" t="s">
        <v>68895</v>
      </c>
      <c r="E22724" t="s">
        <v>68896</v>
      </c>
      <c r="F22724" t="s">
        <v>68897</v>
      </c>
      <c r="I22724" t="s">
        <v>2071</v>
      </c>
      <c r="J22724" t="s">
        <v>30</v>
      </c>
      <c r="K22724" t="s">
        <v>38843</v>
      </c>
      <c r="M22724" t="s">
        <v>50500</v>
      </c>
      <c r="N22724" t="str">
        <f>"5/3/2024 10:56:00 AM"</f>
        <v>5/3/2024 10:56:00 AM</v>
      </c>
      <c r="O22724" t="s">
        <v>68895</v>
      </c>
      <c r="T22724" t="s">
        <v>68896</v>
      </c>
    </row>
    <row r="22725" spans="1:20" x14ac:dyDescent="0.25">
      <c r="A22725" t="str">
        <f>"3048117"</f>
        <v>3048117</v>
      </c>
      <c r="B22725" t="s">
        <v>68898</v>
      </c>
      <c r="C22725" t="str">
        <f>"8322347"</f>
        <v>8322347</v>
      </c>
      <c r="D22725" t="s">
        <v>68899</v>
      </c>
      <c r="E22725" t="s">
        <v>68900</v>
      </c>
      <c r="F22725" t="s">
        <v>68901</v>
      </c>
      <c r="I22725" t="s">
        <v>184</v>
      </c>
      <c r="J22725" t="s">
        <v>30</v>
      </c>
      <c r="K22725" t="s">
        <v>37145</v>
      </c>
      <c r="M22725" t="s">
        <v>50500</v>
      </c>
      <c r="N22725" t="str">
        <f>"5/3/2024 11:15:00 AM"</f>
        <v>5/3/2024 11:15:00 AM</v>
      </c>
      <c r="O22725" t="s">
        <v>68899</v>
      </c>
      <c r="T22725" t="s">
        <v>68900</v>
      </c>
    </row>
    <row r="22726" spans="1:20" x14ac:dyDescent="0.25">
      <c r="A22726" t="str">
        <f>"3051794"</f>
        <v>3051794</v>
      </c>
      <c r="B22726" t="s">
        <v>68902</v>
      </c>
      <c r="C22726" t="str">
        <f>"8318905"</f>
        <v>8318905</v>
      </c>
      <c r="D22726" t="s">
        <v>68903</v>
      </c>
      <c r="F22726" t="s">
        <v>68904</v>
      </c>
      <c r="I22726" t="s">
        <v>471</v>
      </c>
      <c r="J22726" t="s">
        <v>30</v>
      </c>
      <c r="K22726" t="s">
        <v>68905</v>
      </c>
      <c r="M22726" t="s">
        <v>50793</v>
      </c>
      <c r="N22726" t="str">
        <f>"5/3/2024 12:13:00 PM"</f>
        <v>5/3/2024 12:13:00 PM</v>
      </c>
      <c r="O22726" t="s">
        <v>68903</v>
      </c>
    </row>
    <row r="22727" spans="1:20" x14ac:dyDescent="0.25">
      <c r="A22727" t="str">
        <f>"3052349"</f>
        <v>3052349</v>
      </c>
      <c r="B22727" t="s">
        <v>68906</v>
      </c>
      <c r="C22727" t="str">
        <f>"8314287"</f>
        <v>8314287</v>
      </c>
      <c r="D22727" t="s">
        <v>68907</v>
      </c>
      <c r="F22727" t="s">
        <v>68908</v>
      </c>
      <c r="I22727" t="s">
        <v>402</v>
      </c>
      <c r="J22727" t="s">
        <v>30</v>
      </c>
      <c r="K22727" t="s">
        <v>48771</v>
      </c>
      <c r="M22727" t="s">
        <v>50793</v>
      </c>
      <c r="N22727" t="str">
        <f>"5/3/2024 12:17:00 PM"</f>
        <v>5/3/2024 12:17:00 PM</v>
      </c>
      <c r="O22727" t="s">
        <v>68907</v>
      </c>
    </row>
    <row r="22728" spans="1:20" x14ac:dyDescent="0.25">
      <c r="A22728" t="str">
        <f>"3063953"</f>
        <v>3063953</v>
      </c>
      <c r="B22728" t="s">
        <v>68909</v>
      </c>
      <c r="C22728" t="str">
        <f>"8314287"</f>
        <v>8314287</v>
      </c>
      <c r="D22728" t="s">
        <v>68907</v>
      </c>
      <c r="F22728" t="s">
        <v>68908</v>
      </c>
      <c r="I22728" t="s">
        <v>402</v>
      </c>
      <c r="J22728" t="s">
        <v>30</v>
      </c>
      <c r="K22728" t="s">
        <v>48771</v>
      </c>
      <c r="M22728" t="s">
        <v>50793</v>
      </c>
      <c r="N22728" t="str">
        <f>"5/3/2024 12:17:00 PM"</f>
        <v>5/3/2024 12:17:00 PM</v>
      </c>
      <c r="O22728" t="s">
        <v>68907</v>
      </c>
    </row>
    <row r="22729" spans="1:20" x14ac:dyDescent="0.25">
      <c r="A22729" t="str">
        <f>"3039526"</f>
        <v>3039526</v>
      </c>
      <c r="B22729" t="s">
        <v>68910</v>
      </c>
      <c r="C22729" t="str">
        <f>"8305327"</f>
        <v>8305327</v>
      </c>
      <c r="D22729" t="s">
        <v>68911</v>
      </c>
      <c r="F22729" t="s">
        <v>68912</v>
      </c>
      <c r="I22729" t="s">
        <v>184</v>
      </c>
      <c r="J22729" t="s">
        <v>30</v>
      </c>
      <c r="K22729" t="s">
        <v>42300</v>
      </c>
      <c r="M22729" t="s">
        <v>50621</v>
      </c>
      <c r="N22729" t="str">
        <f>"4/18/2024 10:19:00 AM"</f>
        <v>4/18/2024 10:19:00 AM</v>
      </c>
      <c r="O22729" t="s">
        <v>68911</v>
      </c>
    </row>
    <row r="22730" spans="1:20" x14ac:dyDescent="0.25">
      <c r="A22730" t="str">
        <f>"3056700"</f>
        <v>3056700</v>
      </c>
      <c r="B22730" t="s">
        <v>68913</v>
      </c>
      <c r="C22730" t="str">
        <f>"8322281"</f>
        <v>8322281</v>
      </c>
      <c r="D22730" t="s">
        <v>68914</v>
      </c>
      <c r="F22730" t="s">
        <v>68915</v>
      </c>
      <c r="G22730" t="s">
        <v>68916</v>
      </c>
      <c r="I22730" t="s">
        <v>2589</v>
      </c>
      <c r="J22730" t="s">
        <v>30</v>
      </c>
      <c r="K22730" t="s">
        <v>68917</v>
      </c>
      <c r="M22730" t="s">
        <v>50500</v>
      </c>
      <c r="N22730" t="str">
        <f>"4/18/2024 11:10:00 AM"</f>
        <v>4/18/2024 11:10:00 AM</v>
      </c>
      <c r="O22730" t="s">
        <v>68914</v>
      </c>
    </row>
    <row r="22731" spans="1:20" x14ac:dyDescent="0.25">
      <c r="A22731" t="str">
        <f>"3048164"</f>
        <v>3048164</v>
      </c>
      <c r="B22731" t="s">
        <v>68918</v>
      </c>
      <c r="C22731" t="str">
        <f>"82530861"</f>
        <v>82530861</v>
      </c>
      <c r="D22731" t="s">
        <v>68919</v>
      </c>
      <c r="F22731" t="s">
        <v>68920</v>
      </c>
      <c r="I22731" t="s">
        <v>184</v>
      </c>
      <c r="J22731" t="s">
        <v>30</v>
      </c>
      <c r="K22731" t="s">
        <v>185</v>
      </c>
      <c r="M22731" t="s">
        <v>50793</v>
      </c>
      <c r="N22731" t="str">
        <f>"5/3/2024 12:38:00 PM"</f>
        <v>5/3/2024 12:38:00 PM</v>
      </c>
      <c r="O22731" t="s">
        <v>68919</v>
      </c>
    </row>
    <row r="22732" spans="1:20" x14ac:dyDescent="0.25">
      <c r="A22732" t="str">
        <f>"3047402"</f>
        <v>3047402</v>
      </c>
      <c r="B22732" t="s">
        <v>68921</v>
      </c>
      <c r="C22732" t="str">
        <f>"82530861"</f>
        <v>82530861</v>
      </c>
      <c r="D22732" t="s">
        <v>68919</v>
      </c>
      <c r="F22732" t="s">
        <v>68920</v>
      </c>
      <c r="I22732" t="s">
        <v>184</v>
      </c>
      <c r="J22732" t="s">
        <v>30</v>
      </c>
      <c r="K22732" t="s">
        <v>185</v>
      </c>
      <c r="M22732" t="s">
        <v>50793</v>
      </c>
      <c r="N22732" t="str">
        <f>"5/3/2024 12:38:00 PM"</f>
        <v>5/3/2024 12:38:00 PM</v>
      </c>
      <c r="O22732" t="s">
        <v>68919</v>
      </c>
    </row>
    <row r="22733" spans="1:20" x14ac:dyDescent="0.25">
      <c r="A22733" t="str">
        <f>"3055609"</f>
        <v>3055609</v>
      </c>
      <c r="B22733" t="s">
        <v>68922</v>
      </c>
      <c r="C22733" t="str">
        <f>"8305049"</f>
        <v>8305049</v>
      </c>
      <c r="D22733" t="s">
        <v>68923</v>
      </c>
      <c r="F22733" t="s">
        <v>68924</v>
      </c>
      <c r="I22733" t="s">
        <v>29</v>
      </c>
      <c r="J22733" t="s">
        <v>30</v>
      </c>
      <c r="K22733" t="str">
        <f>"27028"</f>
        <v>27028</v>
      </c>
      <c r="M22733" t="s">
        <v>50621</v>
      </c>
      <c r="N22733" t="str">
        <f>"4/18/2024 11:25:00 AM"</f>
        <v>4/18/2024 11:25:00 AM</v>
      </c>
      <c r="O22733" t="s">
        <v>68923</v>
      </c>
    </row>
    <row r="22734" spans="1:20" x14ac:dyDescent="0.25">
      <c r="A22734" t="str">
        <f>"3041147"</f>
        <v>3041147</v>
      </c>
      <c r="B22734" t="s">
        <v>68925</v>
      </c>
      <c r="C22734" t="str">
        <f>"8322350"</f>
        <v>8322350</v>
      </c>
      <c r="D22734" t="s">
        <v>68926</v>
      </c>
      <c r="F22734" t="s">
        <v>68927</v>
      </c>
      <c r="I22734" t="s">
        <v>402</v>
      </c>
      <c r="J22734" t="s">
        <v>30</v>
      </c>
      <c r="K22734" t="s">
        <v>68928</v>
      </c>
      <c r="M22734" t="s">
        <v>50500</v>
      </c>
      <c r="N22734" t="str">
        <f>"5/3/2024 1:33:00 PM"</f>
        <v>5/3/2024 1:33:00 PM</v>
      </c>
      <c r="O22734" t="s">
        <v>68926</v>
      </c>
    </row>
    <row r="22735" spans="1:20" x14ac:dyDescent="0.25">
      <c r="A22735" t="str">
        <f>"3078383"</f>
        <v>3078383</v>
      </c>
      <c r="B22735" t="s">
        <v>68929</v>
      </c>
      <c r="C22735" t="str">
        <f>"8319230"</f>
        <v>8319230</v>
      </c>
      <c r="D22735" t="s">
        <v>68930</v>
      </c>
      <c r="F22735" t="s">
        <v>68931</v>
      </c>
      <c r="I22735" t="s">
        <v>29</v>
      </c>
      <c r="J22735" t="s">
        <v>30</v>
      </c>
      <c r="K22735" t="s">
        <v>35720</v>
      </c>
      <c r="M22735" t="s">
        <v>62069</v>
      </c>
      <c r="N22735" t="str">
        <f>"5/6/2024 10:24:00 AM"</f>
        <v>5/6/2024 10:24:00 AM</v>
      </c>
      <c r="O22735" t="s">
        <v>68930</v>
      </c>
    </row>
    <row r="22736" spans="1:20" x14ac:dyDescent="0.25">
      <c r="A22736" t="str">
        <f>"3078384"</f>
        <v>3078384</v>
      </c>
      <c r="B22736" t="s">
        <v>68932</v>
      </c>
      <c r="C22736" t="str">
        <f>"8319230"</f>
        <v>8319230</v>
      </c>
      <c r="D22736" t="s">
        <v>68930</v>
      </c>
      <c r="F22736" t="s">
        <v>68931</v>
      </c>
      <c r="I22736" t="s">
        <v>29</v>
      </c>
      <c r="J22736" t="s">
        <v>30</v>
      </c>
      <c r="K22736" t="s">
        <v>35720</v>
      </c>
      <c r="M22736" t="s">
        <v>62069</v>
      </c>
      <c r="N22736" t="str">
        <f>"5/6/2024 10:24:00 AM"</f>
        <v>5/6/2024 10:24:00 AM</v>
      </c>
      <c r="O22736" t="s">
        <v>68930</v>
      </c>
    </row>
    <row r="22737" spans="1:20" x14ac:dyDescent="0.25">
      <c r="A22737" t="str">
        <f>"3049398"</f>
        <v>3049398</v>
      </c>
      <c r="B22737" t="s">
        <v>68933</v>
      </c>
      <c r="C22737" t="str">
        <f>"8322274"</f>
        <v>8322274</v>
      </c>
      <c r="D22737" t="s">
        <v>68934</v>
      </c>
      <c r="E22737" t="s">
        <v>68935</v>
      </c>
      <c r="F22737" t="s">
        <v>68936</v>
      </c>
      <c r="G22737" t="s">
        <v>47338</v>
      </c>
      <c r="I22737" t="s">
        <v>47339</v>
      </c>
      <c r="J22737" t="s">
        <v>3737</v>
      </c>
      <c r="K22737" t="s">
        <v>47340</v>
      </c>
      <c r="M22737" t="s">
        <v>50621</v>
      </c>
      <c r="N22737" t="str">
        <f>"5/6/2024 10:48:00 AM"</f>
        <v>5/6/2024 10:48:00 AM</v>
      </c>
      <c r="O22737" t="s">
        <v>68934</v>
      </c>
      <c r="T22737" t="s">
        <v>68935</v>
      </c>
    </row>
    <row r="22738" spans="1:20" x14ac:dyDescent="0.25">
      <c r="A22738" t="str">
        <f>"3051284"</f>
        <v>3051284</v>
      </c>
      <c r="B22738" t="s">
        <v>68937</v>
      </c>
      <c r="C22738" t="str">
        <f>"82514047"</f>
        <v>82514047</v>
      </c>
      <c r="D22738" t="s">
        <v>68938</v>
      </c>
      <c r="F22738" t="s">
        <v>68939</v>
      </c>
      <c r="I22738" t="s">
        <v>29</v>
      </c>
      <c r="J22738" t="s">
        <v>30</v>
      </c>
      <c r="K22738" t="s">
        <v>31</v>
      </c>
      <c r="M22738" t="s">
        <v>20405</v>
      </c>
      <c r="N22738" t="str">
        <f>"5/6/2024 10:52:00 AM"</f>
        <v>5/6/2024 10:52:00 AM</v>
      </c>
      <c r="O22738" t="s">
        <v>68938</v>
      </c>
    </row>
    <row r="22739" spans="1:20" x14ac:dyDescent="0.25">
      <c r="A22739" t="str">
        <f>"3061321"</f>
        <v>3061321</v>
      </c>
      <c r="B22739" t="s">
        <v>68940</v>
      </c>
      <c r="C22739" t="str">
        <f>"69593000"</f>
        <v>69593000</v>
      </c>
      <c r="D22739" t="s">
        <v>68941</v>
      </c>
      <c r="E22739" t="s">
        <v>68942</v>
      </c>
      <c r="F22739" t="s">
        <v>68943</v>
      </c>
      <c r="I22739" t="s">
        <v>184</v>
      </c>
      <c r="J22739" t="s">
        <v>30</v>
      </c>
      <c r="K22739" t="s">
        <v>185</v>
      </c>
      <c r="M22739" t="s">
        <v>25733</v>
      </c>
      <c r="N22739" t="str">
        <f>"4/18/2024 3:12:00 PM"</f>
        <v>4/18/2024 3:12:00 PM</v>
      </c>
      <c r="O22739" t="s">
        <v>68941</v>
      </c>
      <c r="T22739" t="s">
        <v>68942</v>
      </c>
    </row>
    <row r="22740" spans="1:20" x14ac:dyDescent="0.25">
      <c r="A22740" t="str">
        <f>"3050084"</f>
        <v>3050084</v>
      </c>
      <c r="B22740" t="s">
        <v>68944</v>
      </c>
      <c r="C22740" t="str">
        <f>"82532875"</f>
        <v>82532875</v>
      </c>
      <c r="D22740" t="s">
        <v>68945</v>
      </c>
      <c r="F22740" t="s">
        <v>68946</v>
      </c>
      <c r="I22740" t="s">
        <v>29</v>
      </c>
      <c r="J22740" t="s">
        <v>30</v>
      </c>
      <c r="K22740" t="s">
        <v>31</v>
      </c>
      <c r="M22740" t="s">
        <v>50621</v>
      </c>
      <c r="N22740" t="str">
        <f>"4/19/2024 9:16:00 AM"</f>
        <v>4/19/2024 9:16:00 AM</v>
      </c>
      <c r="O22740" t="s">
        <v>68945</v>
      </c>
    </row>
    <row r="22741" spans="1:20" x14ac:dyDescent="0.25">
      <c r="A22741" t="str">
        <f>"3041057"</f>
        <v>3041057</v>
      </c>
      <c r="B22741" t="s">
        <v>68947</v>
      </c>
      <c r="C22741" t="str">
        <f>"8318192"</f>
        <v>8318192</v>
      </c>
      <c r="D22741" t="s">
        <v>68948</v>
      </c>
      <c r="E22741" t="s">
        <v>68949</v>
      </c>
      <c r="F22741" t="s">
        <v>68950</v>
      </c>
      <c r="I22741" t="s">
        <v>402</v>
      </c>
      <c r="J22741" t="s">
        <v>30</v>
      </c>
      <c r="K22741" t="s">
        <v>68951</v>
      </c>
      <c r="M22741" t="s">
        <v>50793</v>
      </c>
      <c r="N22741" t="str">
        <f>"5/6/2024 3:10:00 PM"</f>
        <v>5/6/2024 3:10:00 PM</v>
      </c>
      <c r="O22741" t="s">
        <v>68948</v>
      </c>
      <c r="T22741" t="s">
        <v>68949</v>
      </c>
    </row>
    <row r="22742" spans="1:20" x14ac:dyDescent="0.25">
      <c r="A22742" t="str">
        <f>"3056112"</f>
        <v>3056112</v>
      </c>
      <c r="B22742" t="s">
        <v>68952</v>
      </c>
      <c r="C22742" t="str">
        <f>"8322355"</f>
        <v>8322355</v>
      </c>
      <c r="D22742" t="s">
        <v>68953</v>
      </c>
      <c r="F22742" t="s">
        <v>68954</v>
      </c>
      <c r="I22742" t="s">
        <v>25280</v>
      </c>
      <c r="J22742" t="s">
        <v>30</v>
      </c>
      <c r="K22742" t="str">
        <f>"27014"</f>
        <v>27014</v>
      </c>
      <c r="M22742" t="s">
        <v>50500</v>
      </c>
      <c r="N22742" t="str">
        <f>"5/9/2024 8:10:00 AM"</f>
        <v>5/9/2024 8:10:00 AM</v>
      </c>
      <c r="O22742" t="s">
        <v>68953</v>
      </c>
    </row>
    <row r="22743" spans="1:20" x14ac:dyDescent="0.25">
      <c r="A22743" t="str">
        <f>"3041542"</f>
        <v>3041542</v>
      </c>
      <c r="B22743" t="s">
        <v>68955</v>
      </c>
      <c r="C22743" t="str">
        <f>"8322356"</f>
        <v>8322356</v>
      </c>
      <c r="D22743" t="s">
        <v>68956</v>
      </c>
      <c r="E22743" t="s">
        <v>68957</v>
      </c>
      <c r="F22743" t="s">
        <v>68958</v>
      </c>
      <c r="I22743" t="s">
        <v>2071</v>
      </c>
      <c r="J22743" t="s">
        <v>30</v>
      </c>
      <c r="K22743" t="s">
        <v>35916</v>
      </c>
      <c r="M22743" t="s">
        <v>50500</v>
      </c>
      <c r="N22743" t="str">
        <f>"5/9/2024 8:25:00 AM"</f>
        <v>5/9/2024 8:25:00 AM</v>
      </c>
      <c r="O22743" t="s">
        <v>68956</v>
      </c>
      <c r="T22743" t="s">
        <v>68957</v>
      </c>
    </row>
    <row r="22744" spans="1:20" x14ac:dyDescent="0.25">
      <c r="A22744" t="str">
        <f>"3049926"</f>
        <v>3049926</v>
      </c>
      <c r="B22744" t="s">
        <v>68959</v>
      </c>
      <c r="C22744" t="str">
        <f>"8312921"</f>
        <v>8312921</v>
      </c>
      <c r="D22744" t="s">
        <v>68960</v>
      </c>
      <c r="E22744" t="s">
        <v>68961</v>
      </c>
      <c r="F22744" t="s">
        <v>68962</v>
      </c>
      <c r="I22744" t="s">
        <v>29</v>
      </c>
      <c r="J22744" t="s">
        <v>30</v>
      </c>
      <c r="K22744" t="s">
        <v>68963</v>
      </c>
      <c r="M22744" t="s">
        <v>50621</v>
      </c>
      <c r="N22744" t="str">
        <f>"4/19/2024 9:32:00 AM"</f>
        <v>4/19/2024 9:32:00 AM</v>
      </c>
      <c r="O22744" t="s">
        <v>68960</v>
      </c>
      <c r="T22744" t="s">
        <v>68961</v>
      </c>
    </row>
    <row r="22745" spans="1:20" x14ac:dyDescent="0.25">
      <c r="A22745" t="str">
        <f>"3039963"</f>
        <v>3039963</v>
      </c>
      <c r="B22745" t="s">
        <v>68964</v>
      </c>
      <c r="C22745" t="str">
        <f>"82516100"</f>
        <v>82516100</v>
      </c>
      <c r="D22745" t="s">
        <v>68645</v>
      </c>
      <c r="F22745" t="s">
        <v>68646</v>
      </c>
      <c r="I22745" t="s">
        <v>29</v>
      </c>
      <c r="J22745" t="s">
        <v>30</v>
      </c>
      <c r="K22745" t="s">
        <v>31</v>
      </c>
      <c r="M22745" t="s">
        <v>50500</v>
      </c>
      <c r="N22745" t="str">
        <f>"4/23/2024 2:01:00 PM"</f>
        <v>4/23/2024 2:01:00 PM</v>
      </c>
      <c r="O22745" t="s">
        <v>68645</v>
      </c>
    </row>
    <row r="22746" spans="1:20" x14ac:dyDescent="0.25">
      <c r="A22746" t="str">
        <f>"3037878"</f>
        <v>3037878</v>
      </c>
      <c r="B22746" t="s">
        <v>68965</v>
      </c>
      <c r="C22746" t="str">
        <f>"8322302"</f>
        <v>8322302</v>
      </c>
      <c r="D22746" t="s">
        <v>68679</v>
      </c>
      <c r="F22746" t="s">
        <v>68680</v>
      </c>
      <c r="I22746" t="s">
        <v>4389</v>
      </c>
      <c r="J22746" t="s">
        <v>30</v>
      </c>
      <c r="K22746" t="s">
        <v>68681</v>
      </c>
      <c r="M22746" t="s">
        <v>50500</v>
      </c>
      <c r="N22746" t="str">
        <f>"4/24/2024 10:51:00 AM"</f>
        <v>4/24/2024 10:51:00 AM</v>
      </c>
      <c r="O22746" t="s">
        <v>68679</v>
      </c>
    </row>
    <row r="22747" spans="1:20" x14ac:dyDescent="0.25">
      <c r="A22747" t="str">
        <f>"3060707"</f>
        <v>3060707</v>
      </c>
      <c r="B22747" t="s">
        <v>68966</v>
      </c>
      <c r="C22747" t="str">
        <f>"8322313"</f>
        <v>8322313</v>
      </c>
      <c r="D22747" t="s">
        <v>68967</v>
      </c>
      <c r="F22747" t="s">
        <v>68968</v>
      </c>
      <c r="I22747" t="s">
        <v>2071</v>
      </c>
      <c r="J22747" t="s">
        <v>30</v>
      </c>
      <c r="K22747" t="s">
        <v>4231</v>
      </c>
      <c r="M22747" t="s">
        <v>50500</v>
      </c>
      <c r="N22747" t="str">
        <f>"4/25/2024 4:17:00 PM"</f>
        <v>4/25/2024 4:17:00 PM</v>
      </c>
      <c r="O22747" t="s">
        <v>68967</v>
      </c>
    </row>
    <row r="22748" spans="1:20" x14ac:dyDescent="0.25">
      <c r="A22748" t="str">
        <f>"3057543"</f>
        <v>3057543</v>
      </c>
      <c r="B22748" t="s">
        <v>68969</v>
      </c>
      <c r="C22748" t="str">
        <f>"8312297"</f>
        <v>8312297</v>
      </c>
      <c r="D22748" t="s">
        <v>68970</v>
      </c>
      <c r="F22748" t="s">
        <v>62225</v>
      </c>
      <c r="I22748" t="s">
        <v>29</v>
      </c>
      <c r="J22748" t="s">
        <v>30</v>
      </c>
      <c r="K22748" t="s">
        <v>62226</v>
      </c>
      <c r="M22748" t="s">
        <v>25733</v>
      </c>
      <c r="N22748" t="str">
        <f>"4/26/2024 3:37:00 PM"</f>
        <v>4/26/2024 3:37:00 PM</v>
      </c>
      <c r="O22748" t="s">
        <v>68970</v>
      </c>
    </row>
    <row r="22749" spans="1:20" x14ac:dyDescent="0.25">
      <c r="A22749" t="str">
        <f>"3058825"</f>
        <v>3058825</v>
      </c>
      <c r="B22749" t="s">
        <v>68971</v>
      </c>
      <c r="C22749" t="str">
        <f>"8322363"</f>
        <v>8322363</v>
      </c>
      <c r="D22749" t="s">
        <v>68972</v>
      </c>
      <c r="F22749" t="s">
        <v>68973</v>
      </c>
      <c r="I22749" t="s">
        <v>29</v>
      </c>
      <c r="J22749" t="s">
        <v>30</v>
      </c>
      <c r="K22749" t="s">
        <v>36218</v>
      </c>
      <c r="M22749" t="s">
        <v>50500</v>
      </c>
      <c r="N22749" t="str">
        <f>"5/10/2024 9:20:00 AM"</f>
        <v>5/10/2024 9:20:00 AM</v>
      </c>
      <c r="O22749" t="s">
        <v>68972</v>
      </c>
    </row>
    <row r="22750" spans="1:20" x14ac:dyDescent="0.25">
      <c r="A22750" t="str">
        <f>"3061480"</f>
        <v>3061480</v>
      </c>
      <c r="B22750" t="s">
        <v>68974</v>
      </c>
      <c r="C22750" t="str">
        <f>"8322364"</f>
        <v>8322364</v>
      </c>
      <c r="D22750" t="s">
        <v>68975</v>
      </c>
      <c r="E22750" t="s">
        <v>68976</v>
      </c>
      <c r="F22750" t="s">
        <v>68977</v>
      </c>
      <c r="I22750" t="s">
        <v>184</v>
      </c>
      <c r="J22750" t="s">
        <v>30</v>
      </c>
      <c r="K22750" t="s">
        <v>2013</v>
      </c>
      <c r="M22750" t="s">
        <v>50500</v>
      </c>
      <c r="N22750" t="str">
        <f>"5/10/2024 9:25:00 AM"</f>
        <v>5/10/2024 9:25:00 AM</v>
      </c>
      <c r="O22750" t="s">
        <v>68975</v>
      </c>
      <c r="T22750" t="s">
        <v>68976</v>
      </c>
    </row>
    <row r="22751" spans="1:20" x14ac:dyDescent="0.25">
      <c r="A22751" t="str">
        <f>"3061824"</f>
        <v>3061824</v>
      </c>
      <c r="B22751" t="s">
        <v>68978</v>
      </c>
      <c r="C22751" t="str">
        <f>"8322366"</f>
        <v>8322366</v>
      </c>
      <c r="D22751" t="s">
        <v>68979</v>
      </c>
      <c r="E22751" t="s">
        <v>68980</v>
      </c>
      <c r="F22751" t="s">
        <v>68981</v>
      </c>
      <c r="I22751" t="s">
        <v>24359</v>
      </c>
      <c r="J22751" t="s">
        <v>30</v>
      </c>
      <c r="K22751" t="str">
        <f>"27006"</f>
        <v>27006</v>
      </c>
      <c r="M22751" t="s">
        <v>50500</v>
      </c>
      <c r="N22751" t="str">
        <f>"5/10/2024 9:51:00 AM"</f>
        <v>5/10/2024 9:51:00 AM</v>
      </c>
      <c r="O22751" t="s">
        <v>68979</v>
      </c>
      <c r="T22751" t="s">
        <v>68980</v>
      </c>
    </row>
    <row r="22752" spans="1:20" x14ac:dyDescent="0.25">
      <c r="A22752" t="str">
        <f>"3052188"</f>
        <v>3052188</v>
      </c>
      <c r="B22752" t="s">
        <v>68982</v>
      </c>
      <c r="C22752" t="str">
        <f>"51064000"</f>
        <v>51064000</v>
      </c>
      <c r="D22752" t="s">
        <v>68983</v>
      </c>
      <c r="E22752" t="s">
        <v>68984</v>
      </c>
      <c r="F22752" t="s">
        <v>68985</v>
      </c>
      <c r="I22752" t="s">
        <v>29</v>
      </c>
      <c r="J22752" t="s">
        <v>30</v>
      </c>
      <c r="K22752" t="s">
        <v>46096</v>
      </c>
      <c r="M22752" t="s">
        <v>51351</v>
      </c>
      <c r="N22752" t="str">
        <f>"5/10/2024 1:04:00 PM"</f>
        <v>5/10/2024 1:04:00 PM</v>
      </c>
      <c r="O22752" t="s">
        <v>68983</v>
      </c>
      <c r="T22752" t="s">
        <v>68984</v>
      </c>
    </row>
    <row r="22753" spans="1:20" x14ac:dyDescent="0.25">
      <c r="A22753" t="str">
        <f>"3047634"</f>
        <v>3047634</v>
      </c>
      <c r="B22753" t="s">
        <v>68986</v>
      </c>
      <c r="C22753" t="str">
        <f>"82530868"</f>
        <v>82530868</v>
      </c>
      <c r="D22753" t="s">
        <v>68987</v>
      </c>
      <c r="E22753" t="s">
        <v>68988</v>
      </c>
      <c r="F22753" t="s">
        <v>68989</v>
      </c>
      <c r="I22753" t="s">
        <v>1149</v>
      </c>
      <c r="J22753" t="s">
        <v>30</v>
      </c>
      <c r="K22753" t="s">
        <v>1150</v>
      </c>
      <c r="M22753" t="s">
        <v>18470</v>
      </c>
      <c r="N22753" t="str">
        <f>"3/6/2024 11:35:00 AM"</f>
        <v>3/6/2024 11:35:00 AM</v>
      </c>
      <c r="O22753" t="s">
        <v>68987</v>
      </c>
      <c r="T22753" t="s">
        <v>68988</v>
      </c>
    </row>
    <row r="22754" spans="1:20" x14ac:dyDescent="0.25">
      <c r="A22754" t="str">
        <f>"3047051"</f>
        <v>3047051</v>
      </c>
      <c r="B22754" t="s">
        <v>68990</v>
      </c>
      <c r="C22754" t="str">
        <f>"8322367"</f>
        <v>8322367</v>
      </c>
      <c r="D22754" t="s">
        <v>68991</v>
      </c>
      <c r="E22754" t="s">
        <v>68992</v>
      </c>
      <c r="F22754" t="s">
        <v>68993</v>
      </c>
      <c r="I22754" t="s">
        <v>29</v>
      </c>
      <c r="J22754" t="s">
        <v>30</v>
      </c>
      <c r="K22754" t="s">
        <v>68994</v>
      </c>
      <c r="M22754" t="s">
        <v>50500</v>
      </c>
      <c r="N22754" t="str">
        <f>"5/10/2024 2:28:00 PM"</f>
        <v>5/10/2024 2:28:00 PM</v>
      </c>
      <c r="O22754" t="s">
        <v>68991</v>
      </c>
      <c r="T22754" t="s">
        <v>68992</v>
      </c>
    </row>
    <row r="22755" spans="1:20" x14ac:dyDescent="0.25">
      <c r="A22755" t="str">
        <f>"3046918"</f>
        <v>3046918</v>
      </c>
      <c r="B22755" t="s">
        <v>68995</v>
      </c>
      <c r="C22755" t="str">
        <f>"8322369"</f>
        <v>8322369</v>
      </c>
      <c r="D22755" t="s">
        <v>68996</v>
      </c>
      <c r="E22755" t="s">
        <v>68997</v>
      </c>
      <c r="F22755" t="s">
        <v>68998</v>
      </c>
      <c r="I22755" t="s">
        <v>29</v>
      </c>
      <c r="J22755" t="s">
        <v>30</v>
      </c>
      <c r="K22755" t="s">
        <v>68999</v>
      </c>
      <c r="M22755" t="s">
        <v>50500</v>
      </c>
      <c r="N22755" t="str">
        <f>"5/10/2024 3:24:00 PM"</f>
        <v>5/10/2024 3:24:00 PM</v>
      </c>
      <c r="O22755" t="s">
        <v>68996</v>
      </c>
      <c r="T22755" t="s">
        <v>68997</v>
      </c>
    </row>
    <row r="22756" spans="1:20" x14ac:dyDescent="0.25">
      <c r="A22756" t="str">
        <f>"3051952"</f>
        <v>3051952</v>
      </c>
      <c r="B22756" t="s">
        <v>69000</v>
      </c>
      <c r="C22756" t="str">
        <f>"8322370"</f>
        <v>8322370</v>
      </c>
      <c r="D22756" t="s">
        <v>69001</v>
      </c>
      <c r="F22756" t="s">
        <v>69002</v>
      </c>
      <c r="I22756" t="s">
        <v>29</v>
      </c>
      <c r="J22756" t="s">
        <v>30</v>
      </c>
      <c r="K22756" t="s">
        <v>69003</v>
      </c>
      <c r="M22756" t="s">
        <v>50500</v>
      </c>
      <c r="N22756" t="str">
        <f>"5/13/2024 8:41:00 AM"</f>
        <v>5/13/2024 8:41:00 AM</v>
      </c>
      <c r="O22756" t="s">
        <v>69001</v>
      </c>
    </row>
    <row r="22757" spans="1:20" x14ac:dyDescent="0.25">
      <c r="A22757" t="str">
        <f>"3062813"</f>
        <v>3062813</v>
      </c>
      <c r="B22757" t="s">
        <v>69004</v>
      </c>
      <c r="C22757" t="str">
        <f>"8322371"</f>
        <v>8322371</v>
      </c>
      <c r="D22757" t="s">
        <v>69005</v>
      </c>
      <c r="F22757" t="s">
        <v>69006</v>
      </c>
      <c r="I22757" t="s">
        <v>29</v>
      </c>
      <c r="J22757" t="s">
        <v>30</v>
      </c>
      <c r="K22757" t="s">
        <v>38426</v>
      </c>
      <c r="M22757" t="s">
        <v>50500</v>
      </c>
      <c r="N22757" t="str">
        <f>"5/13/2024 8:50:00 AM"</f>
        <v>5/13/2024 8:50:00 AM</v>
      </c>
      <c r="O22757" t="s">
        <v>69005</v>
      </c>
    </row>
    <row r="22758" spans="1:20" x14ac:dyDescent="0.25">
      <c r="A22758" t="str">
        <f>"3058608"</f>
        <v>3058608</v>
      </c>
      <c r="B22758" t="s">
        <v>69007</v>
      </c>
      <c r="C22758" t="str">
        <f>"8322372"</f>
        <v>8322372</v>
      </c>
      <c r="D22758" t="s">
        <v>69008</v>
      </c>
      <c r="E22758" t="s">
        <v>69009</v>
      </c>
      <c r="F22758" t="s">
        <v>69010</v>
      </c>
      <c r="I22758" t="s">
        <v>29</v>
      </c>
      <c r="J22758" t="s">
        <v>30</v>
      </c>
      <c r="K22758" t="s">
        <v>59681</v>
      </c>
      <c r="M22758" t="s">
        <v>50500</v>
      </c>
      <c r="N22758" t="str">
        <f>"5/13/2024 9:04:00 AM"</f>
        <v>5/13/2024 9:04:00 AM</v>
      </c>
      <c r="O22758" t="s">
        <v>69008</v>
      </c>
      <c r="T22758" t="s">
        <v>69009</v>
      </c>
    </row>
    <row r="22759" spans="1:20" x14ac:dyDescent="0.25">
      <c r="A22759" t="str">
        <f>"3077708"</f>
        <v>3077708</v>
      </c>
      <c r="B22759" t="s">
        <v>69011</v>
      </c>
      <c r="C22759" t="str">
        <f>"8319163"</f>
        <v>8319163</v>
      </c>
      <c r="D22759" t="s">
        <v>69012</v>
      </c>
      <c r="E22759" t="s">
        <v>69013</v>
      </c>
      <c r="F22759" t="s">
        <v>69014</v>
      </c>
      <c r="I22759" t="s">
        <v>29</v>
      </c>
      <c r="J22759" t="s">
        <v>30</v>
      </c>
      <c r="K22759" t="s">
        <v>7114</v>
      </c>
      <c r="M22759" t="s">
        <v>50500</v>
      </c>
      <c r="N22759" t="str">
        <f>"4/29/2024 12:36:00 PM"</f>
        <v>4/29/2024 12:36:00 PM</v>
      </c>
      <c r="O22759" t="s">
        <v>69012</v>
      </c>
      <c r="T22759" t="s">
        <v>69013</v>
      </c>
    </row>
    <row r="22760" spans="1:20" x14ac:dyDescent="0.25">
      <c r="A22760" t="str">
        <f>"3077838"</f>
        <v>3077838</v>
      </c>
      <c r="B22760" t="s">
        <v>69015</v>
      </c>
      <c r="C22760" t="str">
        <f>"8319163"</f>
        <v>8319163</v>
      </c>
      <c r="D22760" t="s">
        <v>69012</v>
      </c>
      <c r="E22760" t="s">
        <v>69013</v>
      </c>
      <c r="F22760" t="s">
        <v>69014</v>
      </c>
      <c r="I22760" t="s">
        <v>29</v>
      </c>
      <c r="J22760" t="s">
        <v>30</v>
      </c>
      <c r="K22760" t="s">
        <v>7114</v>
      </c>
      <c r="M22760" t="s">
        <v>50500</v>
      </c>
      <c r="N22760" t="str">
        <f>"4/29/2024 12:36:00 PM"</f>
        <v>4/29/2024 12:36:00 PM</v>
      </c>
      <c r="O22760" t="s">
        <v>69012</v>
      </c>
      <c r="T22760" t="s">
        <v>69013</v>
      </c>
    </row>
    <row r="22761" spans="1:20" x14ac:dyDescent="0.25">
      <c r="A22761" t="str">
        <f>"3058657"</f>
        <v>3058657</v>
      </c>
      <c r="B22761" t="s">
        <v>69016</v>
      </c>
      <c r="C22761" t="str">
        <f>"8322332"</f>
        <v>8322332</v>
      </c>
      <c r="D22761" t="s">
        <v>69017</v>
      </c>
      <c r="E22761" t="s">
        <v>69018</v>
      </c>
      <c r="F22761" t="s">
        <v>69019</v>
      </c>
      <c r="I22761" t="s">
        <v>184</v>
      </c>
      <c r="J22761" t="s">
        <v>30</v>
      </c>
      <c r="K22761" t="s">
        <v>64153</v>
      </c>
      <c r="M22761" t="s">
        <v>50500</v>
      </c>
      <c r="N22761" t="str">
        <f>"5/1/2024 11:03:00 AM"</f>
        <v>5/1/2024 11:03:00 AM</v>
      </c>
      <c r="O22761" t="s">
        <v>69017</v>
      </c>
      <c r="T22761" t="s">
        <v>69018</v>
      </c>
    </row>
    <row r="22762" spans="1:20" x14ac:dyDescent="0.25">
      <c r="A22762" t="str">
        <f>"3077646"</f>
        <v>3077646</v>
      </c>
      <c r="B22762" t="s">
        <v>69020</v>
      </c>
      <c r="C22762" t="str">
        <f>"8322333"</f>
        <v>8322333</v>
      </c>
      <c r="D22762" t="s">
        <v>69021</v>
      </c>
      <c r="E22762" t="s">
        <v>52054</v>
      </c>
      <c r="F22762" t="s">
        <v>69022</v>
      </c>
      <c r="I22762" t="s">
        <v>29</v>
      </c>
      <c r="J22762" t="s">
        <v>30</v>
      </c>
      <c r="K22762" t="s">
        <v>6686</v>
      </c>
      <c r="M22762" t="s">
        <v>50500</v>
      </c>
      <c r="N22762" t="str">
        <f>"5/1/2024 11:26:00 AM"</f>
        <v>5/1/2024 11:26:00 AM</v>
      </c>
      <c r="O22762" t="s">
        <v>69021</v>
      </c>
      <c r="T22762" t="s">
        <v>52054</v>
      </c>
    </row>
    <row r="22763" spans="1:20" x14ac:dyDescent="0.25">
      <c r="A22763" t="str">
        <f>"3048724"</f>
        <v>3048724</v>
      </c>
      <c r="B22763" t="s">
        <v>69023</v>
      </c>
      <c r="C22763" t="str">
        <f>"17940000"</f>
        <v>17940000</v>
      </c>
      <c r="D22763" t="s">
        <v>69024</v>
      </c>
      <c r="E22763" t="s">
        <v>69025</v>
      </c>
      <c r="F22763" t="s">
        <v>69026</v>
      </c>
      <c r="I22763" t="s">
        <v>23581</v>
      </c>
      <c r="J22763" t="s">
        <v>2109</v>
      </c>
      <c r="K22763" t="s">
        <v>69027</v>
      </c>
      <c r="M22763" t="s">
        <v>50793</v>
      </c>
      <c r="N22763" t="str">
        <f>"5/3/2024 9:27:00 AM"</f>
        <v>5/3/2024 9:27:00 AM</v>
      </c>
      <c r="O22763" t="s">
        <v>69024</v>
      </c>
      <c r="T22763" t="s">
        <v>69025</v>
      </c>
    </row>
    <row r="22764" spans="1:20" x14ac:dyDescent="0.25">
      <c r="A22764" t="str">
        <f>"3042610"</f>
        <v>3042610</v>
      </c>
      <c r="B22764" t="s">
        <v>69028</v>
      </c>
      <c r="C22764" t="str">
        <f>"82529934"</f>
        <v>82529934</v>
      </c>
      <c r="D22764" t="s">
        <v>69029</v>
      </c>
      <c r="F22764" t="s">
        <v>69030</v>
      </c>
      <c r="I22764" t="s">
        <v>184</v>
      </c>
      <c r="J22764" t="s">
        <v>30</v>
      </c>
      <c r="K22764" t="s">
        <v>185</v>
      </c>
      <c r="M22764" t="s">
        <v>50793</v>
      </c>
      <c r="N22764" t="str">
        <f>"5/14/2024 8:43:00 AM"</f>
        <v>5/14/2024 8:43:00 AM</v>
      </c>
      <c r="O22764" t="s">
        <v>69029</v>
      </c>
    </row>
    <row r="22765" spans="1:20" x14ac:dyDescent="0.25">
      <c r="A22765" t="str">
        <f>"3039820"</f>
        <v>3039820</v>
      </c>
      <c r="B22765" t="s">
        <v>69031</v>
      </c>
      <c r="C22765" t="str">
        <f>"8320354"</f>
        <v>8320354</v>
      </c>
      <c r="D22765" t="s">
        <v>69032</v>
      </c>
      <c r="F22765" t="s">
        <v>69033</v>
      </c>
      <c r="I22765" t="s">
        <v>29</v>
      </c>
      <c r="J22765" t="s">
        <v>30</v>
      </c>
      <c r="K22765" t="s">
        <v>10754</v>
      </c>
      <c r="M22765" t="s">
        <v>50793</v>
      </c>
      <c r="N22765" t="str">
        <f>"5/14/2024 8:52:00 AM"</f>
        <v>5/14/2024 8:52:00 AM</v>
      </c>
      <c r="O22765" t="s">
        <v>69032</v>
      </c>
    </row>
    <row r="22766" spans="1:20" x14ac:dyDescent="0.25">
      <c r="A22766" t="str">
        <f>"3047405"</f>
        <v>3047405</v>
      </c>
      <c r="B22766" t="s">
        <v>69034</v>
      </c>
      <c r="C22766" t="str">
        <f>"17672800"</f>
        <v>17672800</v>
      </c>
      <c r="D22766" t="s">
        <v>68847</v>
      </c>
      <c r="F22766" t="s">
        <v>68848</v>
      </c>
      <c r="I22766" t="s">
        <v>184</v>
      </c>
      <c r="J22766" t="s">
        <v>30</v>
      </c>
      <c r="K22766" t="s">
        <v>185</v>
      </c>
      <c r="M22766" t="s">
        <v>50621</v>
      </c>
      <c r="N22766" t="str">
        <f>"5/3/2024 9:38:00 AM"</f>
        <v>5/3/2024 9:38:00 AM</v>
      </c>
      <c r="O22766" t="s">
        <v>68847</v>
      </c>
    </row>
    <row r="22767" spans="1:20" x14ac:dyDescent="0.25">
      <c r="A22767" t="str">
        <f>"3046541"</f>
        <v>3046541</v>
      </c>
      <c r="B22767" t="s">
        <v>69035</v>
      </c>
      <c r="C22767" t="str">
        <f>"82519265"</f>
        <v>82519265</v>
      </c>
      <c r="D22767" t="s">
        <v>68868</v>
      </c>
      <c r="F22767" t="s">
        <v>52357</v>
      </c>
      <c r="I22767" t="s">
        <v>29</v>
      </c>
      <c r="J22767" t="s">
        <v>30</v>
      </c>
      <c r="K22767" t="s">
        <v>31</v>
      </c>
      <c r="M22767" t="s">
        <v>50793</v>
      </c>
      <c r="N22767" t="str">
        <f>"5/3/2024 9:53:00 AM"</f>
        <v>5/3/2024 9:53:00 AM</v>
      </c>
      <c r="O22767" t="s">
        <v>68868</v>
      </c>
    </row>
    <row r="22768" spans="1:20" x14ac:dyDescent="0.25">
      <c r="A22768" t="str">
        <f>"3058580"</f>
        <v>3058580</v>
      </c>
      <c r="B22768" t="s">
        <v>69036</v>
      </c>
      <c r="C22768" t="str">
        <f>"82519265"</f>
        <v>82519265</v>
      </c>
      <c r="D22768" t="s">
        <v>68868</v>
      </c>
      <c r="F22768" t="s">
        <v>52357</v>
      </c>
      <c r="I22768" t="s">
        <v>29</v>
      </c>
      <c r="J22768" t="s">
        <v>30</v>
      </c>
      <c r="K22768" t="s">
        <v>31</v>
      </c>
      <c r="M22768" t="s">
        <v>50793</v>
      </c>
      <c r="N22768" t="str">
        <f>"5/3/2024 9:53:00 AM"</f>
        <v>5/3/2024 9:53:00 AM</v>
      </c>
      <c r="O22768" t="s">
        <v>68868</v>
      </c>
    </row>
    <row r="22769" spans="1:20" x14ac:dyDescent="0.25">
      <c r="A22769" t="str">
        <f>"3058632"</f>
        <v>3058632</v>
      </c>
      <c r="B22769" t="s">
        <v>69037</v>
      </c>
      <c r="C22769" t="str">
        <f>"8322342"</f>
        <v>8322342</v>
      </c>
      <c r="D22769" t="s">
        <v>69038</v>
      </c>
      <c r="F22769" t="s">
        <v>69039</v>
      </c>
      <c r="I22769" t="s">
        <v>29</v>
      </c>
      <c r="J22769" t="s">
        <v>30</v>
      </c>
      <c r="K22769" t="s">
        <v>68180</v>
      </c>
      <c r="M22769" t="s">
        <v>50500</v>
      </c>
      <c r="N22769" t="str">
        <f>"5/3/2024 10:23:00 AM"</f>
        <v>5/3/2024 10:23:00 AM</v>
      </c>
      <c r="O22769" t="s">
        <v>69038</v>
      </c>
    </row>
    <row r="22770" spans="1:20" x14ac:dyDescent="0.25">
      <c r="A22770" t="str">
        <f>"3078124"</f>
        <v>3078124</v>
      </c>
      <c r="B22770" t="s">
        <v>69040</v>
      </c>
      <c r="C22770" t="str">
        <f>"8322344"</f>
        <v>8322344</v>
      </c>
      <c r="D22770" t="s">
        <v>69041</v>
      </c>
      <c r="F22770" t="s">
        <v>69042</v>
      </c>
      <c r="I22770" t="s">
        <v>402</v>
      </c>
      <c r="J22770" t="s">
        <v>30</v>
      </c>
      <c r="K22770" t="s">
        <v>69043</v>
      </c>
      <c r="M22770" t="s">
        <v>50500</v>
      </c>
      <c r="N22770" t="str">
        <f>"5/3/2024 10:39:00 AM"</f>
        <v>5/3/2024 10:39:00 AM</v>
      </c>
      <c r="O22770" t="s">
        <v>69041</v>
      </c>
    </row>
    <row r="22771" spans="1:20" x14ac:dyDescent="0.25">
      <c r="A22771" t="str">
        <f>"3048836"</f>
        <v>3048836</v>
      </c>
      <c r="B22771" t="s">
        <v>69044</v>
      </c>
      <c r="C22771" t="str">
        <f>"8311648"</f>
        <v>8311648</v>
      </c>
      <c r="D22771" t="s">
        <v>69045</v>
      </c>
      <c r="E22771" t="str">
        <f>"HERNANDEZ MANUEL/MARIA"</f>
        <v>HERNANDEZ MANUEL/MARIA</v>
      </c>
      <c r="F22771" t="s">
        <v>69046</v>
      </c>
      <c r="I22771" t="s">
        <v>29</v>
      </c>
      <c r="J22771" t="s">
        <v>30</v>
      </c>
      <c r="K22771" t="s">
        <v>52809</v>
      </c>
      <c r="M22771" t="s">
        <v>50793</v>
      </c>
      <c r="N22771" t="str">
        <f>"4/23/2024 10:57:00 AM"</f>
        <v>4/23/2024 10:57:00 AM</v>
      </c>
      <c r="O22771" t="s">
        <v>69045</v>
      </c>
      <c r="T22771" t="str">
        <f>"HERNANDEZ MANUEL/MARIA"</f>
        <v>HERNANDEZ MANUEL/MARIA</v>
      </c>
    </row>
    <row r="22772" spans="1:20" x14ac:dyDescent="0.25">
      <c r="A22772" t="str">
        <f>"3037587"</f>
        <v>3037587</v>
      </c>
      <c r="B22772" t="s">
        <v>69047</v>
      </c>
      <c r="C22772" t="str">
        <f>"60558000"</f>
        <v>60558000</v>
      </c>
      <c r="D22772" t="s">
        <v>69048</v>
      </c>
      <c r="E22772" t="s">
        <v>69049</v>
      </c>
      <c r="F22772" t="s">
        <v>17794</v>
      </c>
      <c r="I22772" t="s">
        <v>29</v>
      </c>
      <c r="J22772" t="s">
        <v>30</v>
      </c>
      <c r="K22772" t="s">
        <v>31</v>
      </c>
      <c r="M22772" t="s">
        <v>50793</v>
      </c>
      <c r="N22772" t="str">
        <f>"5/3/2024 12:21:00 PM"</f>
        <v>5/3/2024 12:21:00 PM</v>
      </c>
      <c r="O22772" t="s">
        <v>69048</v>
      </c>
      <c r="T22772" t="s">
        <v>69049</v>
      </c>
    </row>
    <row r="22773" spans="1:20" x14ac:dyDescent="0.25">
      <c r="A22773" t="str">
        <f>"3047613"</f>
        <v>3047613</v>
      </c>
      <c r="B22773" t="s">
        <v>69050</v>
      </c>
      <c r="C22773" t="str">
        <f>"43184000"</f>
        <v>43184000</v>
      </c>
      <c r="D22773" t="s">
        <v>69051</v>
      </c>
      <c r="E22773" t="s">
        <v>69052</v>
      </c>
      <c r="F22773" t="s">
        <v>69053</v>
      </c>
      <c r="I22773" t="s">
        <v>471</v>
      </c>
      <c r="J22773" t="s">
        <v>30</v>
      </c>
      <c r="K22773" t="s">
        <v>1262</v>
      </c>
      <c r="M22773" t="s">
        <v>50621</v>
      </c>
      <c r="N22773" t="str">
        <f>"5/14/2024 11:09:00 AM"</f>
        <v>5/14/2024 11:09:00 AM</v>
      </c>
      <c r="O22773" t="s">
        <v>69051</v>
      </c>
      <c r="T22773" t="s">
        <v>69052</v>
      </c>
    </row>
    <row r="22774" spans="1:20" x14ac:dyDescent="0.25">
      <c r="A22774" t="str">
        <f>"3055232"</f>
        <v>3055232</v>
      </c>
      <c r="B22774" t="s">
        <v>69054</v>
      </c>
      <c r="C22774" t="str">
        <f>"45679000"</f>
        <v>45679000</v>
      </c>
      <c r="D22774" t="s">
        <v>69055</v>
      </c>
      <c r="E22774" t="s">
        <v>69056</v>
      </c>
      <c r="F22774" t="s">
        <v>68528</v>
      </c>
      <c r="I22774" t="s">
        <v>29</v>
      </c>
      <c r="J22774" t="s">
        <v>30</v>
      </c>
      <c r="K22774" t="s">
        <v>31</v>
      </c>
      <c r="M22774" t="s">
        <v>50621</v>
      </c>
      <c r="N22774" t="str">
        <f>"5/14/2024 11:10:00 AM"</f>
        <v>5/14/2024 11:10:00 AM</v>
      </c>
      <c r="O22774" t="s">
        <v>69055</v>
      </c>
      <c r="T22774" t="s">
        <v>69056</v>
      </c>
    </row>
    <row r="22775" spans="1:20" x14ac:dyDescent="0.25">
      <c r="A22775" t="str">
        <f>"3057430"</f>
        <v>3057430</v>
      </c>
      <c r="B22775" t="s">
        <v>69057</v>
      </c>
      <c r="C22775" t="str">
        <f>"8311648"</f>
        <v>8311648</v>
      </c>
      <c r="D22775" t="s">
        <v>69045</v>
      </c>
      <c r="E22775" t="str">
        <f>"HERNANDEZ MANUEL/MARIA"</f>
        <v>HERNANDEZ MANUEL/MARIA</v>
      </c>
      <c r="F22775" t="s">
        <v>69046</v>
      </c>
      <c r="I22775" t="s">
        <v>29</v>
      </c>
      <c r="J22775" t="s">
        <v>30</v>
      </c>
      <c r="K22775" t="s">
        <v>52809</v>
      </c>
      <c r="M22775" t="s">
        <v>50793</v>
      </c>
      <c r="N22775" t="str">
        <f>"4/23/2024 10:57:00 AM"</f>
        <v>4/23/2024 10:57:00 AM</v>
      </c>
      <c r="O22775" t="s">
        <v>69045</v>
      </c>
      <c r="T22775" t="str">
        <f>"HERNANDEZ MANUEL/MARIA"</f>
        <v>HERNANDEZ MANUEL/MARIA</v>
      </c>
    </row>
    <row r="22776" spans="1:20" x14ac:dyDescent="0.25">
      <c r="A22776" t="str">
        <f>"3056683"</f>
        <v>3056683</v>
      </c>
      <c r="B22776" t="s">
        <v>69058</v>
      </c>
      <c r="C22776" t="str">
        <f>"79756000"</f>
        <v>79756000</v>
      </c>
      <c r="D22776" t="s">
        <v>69059</v>
      </c>
      <c r="E22776" t="s">
        <v>69060</v>
      </c>
      <c r="F22776" t="s">
        <v>69061</v>
      </c>
      <c r="I22776" t="s">
        <v>29</v>
      </c>
      <c r="J22776" t="s">
        <v>30</v>
      </c>
      <c r="K22776" t="s">
        <v>31</v>
      </c>
      <c r="M22776" t="s">
        <v>50793</v>
      </c>
      <c r="N22776" t="str">
        <f>"5/3/2024 12:35:00 PM"</f>
        <v>5/3/2024 12:35:00 PM</v>
      </c>
      <c r="O22776" t="s">
        <v>69059</v>
      </c>
      <c r="T22776" t="s">
        <v>69060</v>
      </c>
    </row>
    <row r="22777" spans="1:20" x14ac:dyDescent="0.25">
      <c r="A22777" t="str">
        <f>"3056022"</f>
        <v>3056022</v>
      </c>
      <c r="B22777" t="s">
        <v>69062</v>
      </c>
      <c r="C22777" t="str">
        <f>"8322349"</f>
        <v>8322349</v>
      </c>
      <c r="D22777" t="s">
        <v>69063</v>
      </c>
      <c r="E22777" t="s">
        <v>69064</v>
      </c>
      <c r="F22777" t="s">
        <v>26940</v>
      </c>
      <c r="I22777" t="s">
        <v>9580</v>
      </c>
      <c r="J22777" t="s">
        <v>30</v>
      </c>
      <c r="K22777" t="s">
        <v>69065</v>
      </c>
      <c r="M22777" t="s">
        <v>50500</v>
      </c>
      <c r="N22777" t="str">
        <f>"5/3/2024 1:28:00 PM"</f>
        <v>5/3/2024 1:28:00 PM</v>
      </c>
      <c r="O22777" t="s">
        <v>69063</v>
      </c>
      <c r="T22777" t="s">
        <v>69064</v>
      </c>
    </row>
    <row r="22778" spans="1:20" x14ac:dyDescent="0.25">
      <c r="A22778" t="str">
        <f>"3040005"</f>
        <v>3040005</v>
      </c>
      <c r="B22778" t="s">
        <v>69066</v>
      </c>
      <c r="C22778" t="str">
        <f>"82514098"</f>
        <v>82514098</v>
      </c>
      <c r="D22778" t="s">
        <v>69067</v>
      </c>
      <c r="E22778" t="s">
        <v>69068</v>
      </c>
      <c r="F22778" t="s">
        <v>69069</v>
      </c>
      <c r="I22778" t="s">
        <v>29</v>
      </c>
      <c r="J22778" t="s">
        <v>30</v>
      </c>
      <c r="K22778" t="s">
        <v>47359</v>
      </c>
      <c r="M22778" t="s">
        <v>20405</v>
      </c>
      <c r="N22778" t="str">
        <f>"5/6/2024 11:46:00 AM"</f>
        <v>5/6/2024 11:46:00 AM</v>
      </c>
      <c r="O22778" t="s">
        <v>69067</v>
      </c>
      <c r="T22778" t="s">
        <v>69068</v>
      </c>
    </row>
    <row r="22779" spans="1:20" x14ac:dyDescent="0.25">
      <c r="A22779" t="str">
        <f>"3040923"</f>
        <v>3040923</v>
      </c>
      <c r="B22779" t="s">
        <v>69070</v>
      </c>
      <c r="C22779" t="str">
        <f>"8322410"</f>
        <v>8322410</v>
      </c>
      <c r="D22779" t="s">
        <v>69071</v>
      </c>
      <c r="F22779" t="s">
        <v>69072</v>
      </c>
      <c r="I22779" t="s">
        <v>184</v>
      </c>
      <c r="J22779" t="s">
        <v>30</v>
      </c>
      <c r="K22779" t="s">
        <v>42489</v>
      </c>
      <c r="M22779" t="s">
        <v>50500</v>
      </c>
      <c r="N22779" t="str">
        <f>"5/16/2024 11:00:00 AM"</f>
        <v>5/16/2024 11:00:00 AM</v>
      </c>
      <c r="O22779" t="s">
        <v>69071</v>
      </c>
    </row>
    <row r="22780" spans="1:20" x14ac:dyDescent="0.25">
      <c r="A22780" t="str">
        <f>"3040989"</f>
        <v>3040989</v>
      </c>
      <c r="B22780" t="s">
        <v>69073</v>
      </c>
      <c r="C22780" t="str">
        <f>"8322411"</f>
        <v>8322411</v>
      </c>
      <c r="D22780" t="s">
        <v>69074</v>
      </c>
      <c r="E22780" t="s">
        <v>69075</v>
      </c>
      <c r="F22780" t="s">
        <v>69076</v>
      </c>
      <c r="I22780" t="s">
        <v>184</v>
      </c>
      <c r="J22780" t="s">
        <v>30</v>
      </c>
      <c r="K22780" t="s">
        <v>3517</v>
      </c>
      <c r="M22780" t="s">
        <v>50500</v>
      </c>
      <c r="N22780" t="str">
        <f>"5/16/2024 11:08:00 AM"</f>
        <v>5/16/2024 11:08:00 AM</v>
      </c>
      <c r="O22780" t="s">
        <v>69074</v>
      </c>
      <c r="T22780" t="s">
        <v>69075</v>
      </c>
    </row>
    <row r="22781" spans="1:20" x14ac:dyDescent="0.25">
      <c r="A22781" t="str">
        <f>"3043524"</f>
        <v>3043524</v>
      </c>
      <c r="B22781" t="s">
        <v>69077</v>
      </c>
      <c r="C22781" t="str">
        <f>"8308486"</f>
        <v>8308486</v>
      </c>
      <c r="D22781" t="s">
        <v>69078</v>
      </c>
      <c r="F22781" t="s">
        <v>69079</v>
      </c>
      <c r="I22781" t="s">
        <v>29</v>
      </c>
      <c r="J22781" t="s">
        <v>30</v>
      </c>
      <c r="K22781" t="s">
        <v>26737</v>
      </c>
      <c r="M22781" t="s">
        <v>51351</v>
      </c>
      <c r="N22781" t="str">
        <f>"5/16/2024 4:03:00 PM"</f>
        <v>5/16/2024 4:03:00 PM</v>
      </c>
      <c r="O22781" t="s">
        <v>69078</v>
      </c>
    </row>
    <row r="22782" spans="1:20" x14ac:dyDescent="0.25">
      <c r="A22782" t="str">
        <f>"3048541"</f>
        <v>3048541</v>
      </c>
      <c r="B22782" t="s">
        <v>69080</v>
      </c>
      <c r="C22782" t="str">
        <f>"8313941"</f>
        <v>8313941</v>
      </c>
      <c r="D22782" t="s">
        <v>69045</v>
      </c>
      <c r="F22782" t="s">
        <v>69046</v>
      </c>
      <c r="I22782" t="s">
        <v>29</v>
      </c>
      <c r="J22782" t="s">
        <v>30</v>
      </c>
      <c r="K22782" t="s">
        <v>52809</v>
      </c>
      <c r="M22782" t="s">
        <v>50793</v>
      </c>
      <c r="N22782" t="str">
        <f>"4/23/2024 10:58:00 AM"</f>
        <v>4/23/2024 10:58:00 AM</v>
      </c>
      <c r="O22782" t="s">
        <v>69045</v>
      </c>
    </row>
    <row r="22783" spans="1:20" x14ac:dyDescent="0.25">
      <c r="A22783" t="str">
        <f>"3037815"</f>
        <v>3037815</v>
      </c>
      <c r="B22783" t="s">
        <v>69081</v>
      </c>
      <c r="C22783" t="str">
        <f>"8304948"</f>
        <v>8304948</v>
      </c>
      <c r="D22783" t="s">
        <v>69082</v>
      </c>
      <c r="F22783" t="s">
        <v>69083</v>
      </c>
      <c r="I22783" t="s">
        <v>29</v>
      </c>
      <c r="J22783" t="s">
        <v>30</v>
      </c>
      <c r="K22783" t="str">
        <f>"27028"</f>
        <v>27028</v>
      </c>
      <c r="M22783" t="s">
        <v>50793</v>
      </c>
      <c r="N22783" t="str">
        <f>"4/23/2024 11:39:00 AM"</f>
        <v>4/23/2024 11:39:00 AM</v>
      </c>
      <c r="O22783" t="s">
        <v>69082</v>
      </c>
    </row>
    <row r="22784" spans="1:20" x14ac:dyDescent="0.25">
      <c r="A22784" t="str">
        <f>"3046306"</f>
        <v>3046306</v>
      </c>
      <c r="B22784" t="s">
        <v>69084</v>
      </c>
      <c r="C22784" t="str">
        <f>"8304574"</f>
        <v>8304574</v>
      </c>
      <c r="D22784" t="s">
        <v>69085</v>
      </c>
      <c r="F22784" t="s">
        <v>69086</v>
      </c>
      <c r="I22784" t="s">
        <v>29</v>
      </c>
      <c r="J22784" t="s">
        <v>30</v>
      </c>
      <c r="K22784" t="str">
        <f>"27028"</f>
        <v>27028</v>
      </c>
      <c r="M22784" t="s">
        <v>50621</v>
      </c>
      <c r="N22784" t="str">
        <f>"5/21/2024 11:17:00 AM"</f>
        <v>5/21/2024 11:17:00 AM</v>
      </c>
      <c r="O22784" t="s">
        <v>69085</v>
      </c>
    </row>
    <row r="22785" spans="1:20" x14ac:dyDescent="0.25">
      <c r="A22785" t="str">
        <f>"3056598"</f>
        <v>3056598</v>
      </c>
      <c r="B22785" t="s">
        <v>69087</v>
      </c>
      <c r="C22785" t="str">
        <f>"8316627"</f>
        <v>8316627</v>
      </c>
      <c r="D22785" t="s">
        <v>69088</v>
      </c>
      <c r="F22785" t="s">
        <v>69089</v>
      </c>
      <c r="I22785" t="s">
        <v>69090</v>
      </c>
      <c r="J22785" t="s">
        <v>2109</v>
      </c>
      <c r="K22785" t="s">
        <v>69091</v>
      </c>
      <c r="M22785" t="s">
        <v>50621</v>
      </c>
      <c r="N22785" t="str">
        <f>"5/6/2024 1:17:00 PM"</f>
        <v>5/6/2024 1:17:00 PM</v>
      </c>
      <c r="O22785" t="s">
        <v>69088</v>
      </c>
    </row>
    <row r="22786" spans="1:20" x14ac:dyDescent="0.25">
      <c r="A22786" t="str">
        <f>"3061435"</f>
        <v>3061435</v>
      </c>
      <c r="B22786" t="s">
        <v>69092</v>
      </c>
      <c r="C22786" t="str">
        <f>"8322360"</f>
        <v>8322360</v>
      </c>
      <c r="D22786" t="s">
        <v>69093</v>
      </c>
      <c r="E22786" t="s">
        <v>69094</v>
      </c>
      <c r="F22786" t="s">
        <v>69095</v>
      </c>
      <c r="I22786" t="s">
        <v>184</v>
      </c>
      <c r="J22786" t="s">
        <v>30</v>
      </c>
      <c r="K22786" t="s">
        <v>5266</v>
      </c>
      <c r="M22786" t="s">
        <v>50500</v>
      </c>
      <c r="N22786" t="str">
        <f>"5/9/2024 3:34:00 PM"</f>
        <v>5/9/2024 3:34:00 PM</v>
      </c>
      <c r="O22786" t="s">
        <v>69093</v>
      </c>
      <c r="T22786" t="s">
        <v>69094</v>
      </c>
    </row>
    <row r="22787" spans="1:20" x14ac:dyDescent="0.25">
      <c r="A22787" t="str">
        <f>"3053210"</f>
        <v>3053210</v>
      </c>
      <c r="B22787" t="s">
        <v>69096</v>
      </c>
      <c r="C22787" t="str">
        <f>"8303314"</f>
        <v>8303314</v>
      </c>
      <c r="D22787" t="s">
        <v>69097</v>
      </c>
      <c r="F22787" t="s">
        <v>69098</v>
      </c>
      <c r="I22787" t="s">
        <v>471</v>
      </c>
      <c r="J22787" t="s">
        <v>30</v>
      </c>
      <c r="K22787" t="s">
        <v>69099</v>
      </c>
      <c r="M22787" t="s">
        <v>50621</v>
      </c>
      <c r="N22787" t="str">
        <f>"5/21/2024 11:31:00 AM"</f>
        <v>5/21/2024 11:31:00 AM</v>
      </c>
      <c r="O22787" t="s">
        <v>69097</v>
      </c>
    </row>
    <row r="22788" spans="1:20" x14ac:dyDescent="0.25">
      <c r="A22788" t="str">
        <f>"3048321"</f>
        <v>3048321</v>
      </c>
      <c r="B22788" t="s">
        <v>69100</v>
      </c>
      <c r="C22788" t="str">
        <f>"82522145"</f>
        <v>82522145</v>
      </c>
      <c r="D22788" t="s">
        <v>69101</v>
      </c>
      <c r="F22788" t="s">
        <v>69102</v>
      </c>
      <c r="I22788" t="s">
        <v>29</v>
      </c>
      <c r="J22788" t="s">
        <v>30</v>
      </c>
      <c r="K22788" t="s">
        <v>46927</v>
      </c>
      <c r="M22788" t="s">
        <v>50621</v>
      </c>
      <c r="N22788" t="str">
        <f>"5/21/2024 11:32:00 AM"</f>
        <v>5/21/2024 11:32:00 AM</v>
      </c>
      <c r="O22788" t="s">
        <v>69101</v>
      </c>
    </row>
    <row r="22789" spans="1:20" x14ac:dyDescent="0.25">
      <c r="A22789" t="str">
        <f>"3072871"</f>
        <v>3072871</v>
      </c>
      <c r="B22789" t="s">
        <v>69103</v>
      </c>
      <c r="C22789" t="str">
        <f>"8318458"</f>
        <v>8318458</v>
      </c>
      <c r="D22789" t="s">
        <v>69104</v>
      </c>
      <c r="F22789" t="s">
        <v>69105</v>
      </c>
      <c r="I22789" t="s">
        <v>29</v>
      </c>
      <c r="J22789" t="s">
        <v>30</v>
      </c>
      <c r="K22789" t="s">
        <v>15764</v>
      </c>
      <c r="M22789" t="s">
        <v>50621</v>
      </c>
      <c r="N22789" t="str">
        <f>"5/21/2024 11:32:00 AM"</f>
        <v>5/21/2024 11:32:00 AM</v>
      </c>
      <c r="O22789" t="s">
        <v>69104</v>
      </c>
    </row>
    <row r="22790" spans="1:20" x14ac:dyDescent="0.25">
      <c r="A22790" t="str">
        <f>"3051976"</f>
        <v>3051976</v>
      </c>
      <c r="B22790" t="s">
        <v>69106</v>
      </c>
      <c r="C22790" t="str">
        <f>"82524067"</f>
        <v>82524067</v>
      </c>
      <c r="D22790" t="s">
        <v>69107</v>
      </c>
      <c r="E22790" t="s">
        <v>69108</v>
      </c>
      <c r="F22790" t="s">
        <v>69109</v>
      </c>
      <c r="I22790" t="s">
        <v>29</v>
      </c>
      <c r="J22790" t="s">
        <v>30</v>
      </c>
      <c r="K22790" t="s">
        <v>31</v>
      </c>
      <c r="M22790" t="s">
        <v>50621</v>
      </c>
      <c r="N22790" t="str">
        <f>"5/21/2024 11:35:00 AM"</f>
        <v>5/21/2024 11:35:00 AM</v>
      </c>
      <c r="O22790" t="s">
        <v>69107</v>
      </c>
      <c r="T22790" t="s">
        <v>69108</v>
      </c>
    </row>
    <row r="22791" spans="1:20" x14ac:dyDescent="0.25">
      <c r="A22791" t="str">
        <f>"3043004"</f>
        <v>3043004</v>
      </c>
      <c r="B22791" t="s">
        <v>69110</v>
      </c>
      <c r="C22791" t="str">
        <f>"8320067"</f>
        <v>8320067</v>
      </c>
      <c r="D22791" t="s">
        <v>69111</v>
      </c>
      <c r="F22791" t="s">
        <v>69112</v>
      </c>
      <c r="I22791" t="s">
        <v>28704</v>
      </c>
      <c r="J22791" t="s">
        <v>30</v>
      </c>
      <c r="K22791" t="s">
        <v>69113</v>
      </c>
      <c r="M22791" t="s">
        <v>50793</v>
      </c>
      <c r="N22791" t="str">
        <f>"5/21/2024 11:37:00 AM"</f>
        <v>5/21/2024 11:37:00 AM</v>
      </c>
      <c r="O22791" t="s">
        <v>69111</v>
      </c>
    </row>
    <row r="22792" spans="1:20" x14ac:dyDescent="0.25">
      <c r="A22792" t="str">
        <f>"3052972"</f>
        <v>3052972</v>
      </c>
      <c r="B22792" t="s">
        <v>69114</v>
      </c>
      <c r="C22792" t="str">
        <f>"8322361"</f>
        <v>8322361</v>
      </c>
      <c r="D22792" t="s">
        <v>69115</v>
      </c>
      <c r="E22792" t="s">
        <v>69116</v>
      </c>
      <c r="F22792" t="s">
        <v>69117</v>
      </c>
      <c r="I22792" t="s">
        <v>29</v>
      </c>
      <c r="J22792" t="s">
        <v>30</v>
      </c>
      <c r="K22792" t="str">
        <f>"27028"</f>
        <v>27028</v>
      </c>
      <c r="M22792" t="s">
        <v>50500</v>
      </c>
      <c r="N22792" t="str">
        <f>"5/9/2024 3:40:00 PM"</f>
        <v>5/9/2024 3:40:00 PM</v>
      </c>
      <c r="O22792" t="s">
        <v>69115</v>
      </c>
      <c r="T22792" t="s">
        <v>69116</v>
      </c>
    </row>
    <row r="22793" spans="1:20" x14ac:dyDescent="0.25">
      <c r="A22793" t="str">
        <f>"3076732"</f>
        <v>3076732</v>
      </c>
      <c r="B22793" t="s">
        <v>69118</v>
      </c>
      <c r="C22793" t="str">
        <f>"8322362"</f>
        <v>8322362</v>
      </c>
      <c r="D22793" t="s">
        <v>69119</v>
      </c>
      <c r="E22793" t="s">
        <v>69120</v>
      </c>
      <c r="F22793" t="s">
        <v>69121</v>
      </c>
      <c r="I22793" t="s">
        <v>184</v>
      </c>
      <c r="J22793" t="s">
        <v>30</v>
      </c>
      <c r="K22793" t="s">
        <v>69122</v>
      </c>
      <c r="M22793" t="s">
        <v>50500</v>
      </c>
      <c r="N22793" t="str">
        <f>"5/10/2024 9:14:00 AM"</f>
        <v>5/10/2024 9:14:00 AM</v>
      </c>
      <c r="O22793" t="s">
        <v>69119</v>
      </c>
      <c r="T22793" t="s">
        <v>69120</v>
      </c>
    </row>
    <row r="22794" spans="1:20" x14ac:dyDescent="0.25">
      <c r="A22794" t="str">
        <f>"3052013"</f>
        <v>3052013</v>
      </c>
      <c r="B22794" t="s">
        <v>69123</v>
      </c>
      <c r="C22794" t="str">
        <f>"8308400"</f>
        <v>8308400</v>
      </c>
      <c r="D22794" t="s">
        <v>69124</v>
      </c>
      <c r="F22794" t="s">
        <v>69125</v>
      </c>
      <c r="I22794" t="s">
        <v>49540</v>
      </c>
      <c r="J22794" t="s">
        <v>1543</v>
      </c>
      <c r="K22794" t="s">
        <v>69126</v>
      </c>
      <c r="M22794" t="s">
        <v>25733</v>
      </c>
      <c r="N22794" t="str">
        <f>"5/13/2024 10:09:00 AM"</f>
        <v>5/13/2024 10:09:00 AM</v>
      </c>
      <c r="O22794" t="s">
        <v>69124</v>
      </c>
    </row>
    <row r="22795" spans="1:20" x14ac:dyDescent="0.25">
      <c r="A22795" t="str">
        <f>"3055231"</f>
        <v>3055231</v>
      </c>
      <c r="B22795" t="s">
        <v>69127</v>
      </c>
      <c r="C22795" t="str">
        <f>"8322373"</f>
        <v>8322373</v>
      </c>
      <c r="D22795" t="s">
        <v>69128</v>
      </c>
      <c r="E22795" t="s">
        <v>69129</v>
      </c>
      <c r="F22795" t="s">
        <v>69130</v>
      </c>
      <c r="I22795" t="s">
        <v>402</v>
      </c>
      <c r="J22795" t="s">
        <v>30</v>
      </c>
      <c r="K22795" t="s">
        <v>69131</v>
      </c>
      <c r="M22795" t="s">
        <v>50500</v>
      </c>
      <c r="N22795" t="str">
        <f>"5/13/2024 11:46:00 AM"</f>
        <v>5/13/2024 11:46:00 AM</v>
      </c>
      <c r="O22795" t="s">
        <v>69128</v>
      </c>
      <c r="T22795" t="s">
        <v>69129</v>
      </c>
    </row>
    <row r="22796" spans="1:20" x14ac:dyDescent="0.25">
      <c r="A22796" t="str">
        <f>"3064717"</f>
        <v>3064717</v>
      </c>
      <c r="B22796" t="s">
        <v>69132</v>
      </c>
      <c r="C22796" t="str">
        <f>"8322374"</f>
        <v>8322374</v>
      </c>
      <c r="D22796" t="s">
        <v>69133</v>
      </c>
      <c r="E22796" t="s">
        <v>69134</v>
      </c>
      <c r="F22796" t="s">
        <v>69135</v>
      </c>
      <c r="I22796" t="s">
        <v>29</v>
      </c>
      <c r="J22796" t="s">
        <v>30</v>
      </c>
      <c r="K22796" t="s">
        <v>69136</v>
      </c>
      <c r="M22796" t="s">
        <v>50500</v>
      </c>
      <c r="N22796" t="str">
        <f>"5/13/2024 11:54:00 AM"</f>
        <v>5/13/2024 11:54:00 AM</v>
      </c>
      <c r="O22796" t="s">
        <v>69133</v>
      </c>
      <c r="T22796" t="s">
        <v>69134</v>
      </c>
    </row>
    <row r="22797" spans="1:20" x14ac:dyDescent="0.25">
      <c r="A22797" t="str">
        <f>"3061211"</f>
        <v>3061211</v>
      </c>
      <c r="B22797" t="s">
        <v>69137</v>
      </c>
      <c r="C22797" t="str">
        <f>"8322375"</f>
        <v>8322375</v>
      </c>
      <c r="D22797" t="s">
        <v>69138</v>
      </c>
      <c r="F22797" t="s">
        <v>69139</v>
      </c>
      <c r="I22797" t="s">
        <v>2071</v>
      </c>
      <c r="J22797" t="s">
        <v>30</v>
      </c>
      <c r="K22797" t="s">
        <v>69140</v>
      </c>
      <c r="M22797" t="s">
        <v>50500</v>
      </c>
      <c r="N22797" t="str">
        <f>"5/13/2024 2:36:00 PM"</f>
        <v>5/13/2024 2:36:00 PM</v>
      </c>
      <c r="O22797" t="s">
        <v>69138</v>
      </c>
    </row>
    <row r="22798" spans="1:20" x14ac:dyDescent="0.25">
      <c r="A22798" t="str">
        <f>"3038861"</f>
        <v>3038861</v>
      </c>
      <c r="B22798" t="s">
        <v>69141</v>
      </c>
      <c r="C22798" t="str">
        <f>"8322376"</f>
        <v>8322376</v>
      </c>
      <c r="D22798" t="s">
        <v>6938</v>
      </c>
      <c r="F22798" t="s">
        <v>69142</v>
      </c>
      <c r="I22798" t="s">
        <v>29</v>
      </c>
      <c r="J22798" t="s">
        <v>30</v>
      </c>
      <c r="K22798" t="s">
        <v>41428</v>
      </c>
      <c r="M22798" t="s">
        <v>50500</v>
      </c>
      <c r="N22798" t="str">
        <f>"5/13/2024 2:58:00 PM"</f>
        <v>5/13/2024 2:58:00 PM</v>
      </c>
      <c r="O22798" t="s">
        <v>6938</v>
      </c>
    </row>
    <row r="22799" spans="1:20" x14ac:dyDescent="0.25">
      <c r="A22799" t="str">
        <f>"3053730"</f>
        <v>3053730</v>
      </c>
      <c r="B22799" t="s">
        <v>69143</v>
      </c>
      <c r="C22799" t="str">
        <f>"8302229"</f>
        <v>8302229</v>
      </c>
      <c r="D22799" t="s">
        <v>69144</v>
      </c>
      <c r="F22799" t="s">
        <v>69145</v>
      </c>
      <c r="I22799" t="s">
        <v>29</v>
      </c>
      <c r="J22799" t="s">
        <v>30</v>
      </c>
      <c r="K22799" t="str">
        <f>"27028"</f>
        <v>27028</v>
      </c>
      <c r="M22799" t="s">
        <v>50793</v>
      </c>
      <c r="N22799" t="str">
        <f>"5/14/2024 9:51:00 AM"</f>
        <v>5/14/2024 9:51:00 AM</v>
      </c>
      <c r="O22799" t="s">
        <v>69144</v>
      </c>
    </row>
    <row r="22800" spans="1:20" x14ac:dyDescent="0.25">
      <c r="A22800" t="str">
        <f>"3059964"</f>
        <v>3059964</v>
      </c>
      <c r="B22800" t="s">
        <v>69146</v>
      </c>
      <c r="C22800" t="str">
        <f>"8321073"</f>
        <v>8321073</v>
      </c>
      <c r="D22800" t="s">
        <v>69147</v>
      </c>
      <c r="F22800" t="s">
        <v>69148</v>
      </c>
      <c r="I22800" t="s">
        <v>184</v>
      </c>
      <c r="J22800" t="s">
        <v>30</v>
      </c>
      <c r="K22800" t="s">
        <v>10599</v>
      </c>
      <c r="M22800" t="s">
        <v>50793</v>
      </c>
      <c r="N22800" t="str">
        <f>"5/21/2024 1:27:00 PM"</f>
        <v>5/21/2024 1:27:00 PM</v>
      </c>
      <c r="O22800" t="s">
        <v>69147</v>
      </c>
    </row>
    <row r="22801" spans="1:20" x14ac:dyDescent="0.25">
      <c r="A22801" t="str">
        <f>"3043823"</f>
        <v>3043823</v>
      </c>
      <c r="B22801" t="s">
        <v>69149</v>
      </c>
      <c r="C22801" t="str">
        <f>"82530889"</f>
        <v>82530889</v>
      </c>
      <c r="D22801" t="s">
        <v>69150</v>
      </c>
      <c r="F22801" t="s">
        <v>69151</v>
      </c>
      <c r="I22801" t="s">
        <v>29</v>
      </c>
      <c r="J22801" t="s">
        <v>30</v>
      </c>
      <c r="K22801" t="s">
        <v>31</v>
      </c>
      <c r="M22801" t="s">
        <v>50793</v>
      </c>
      <c r="N22801" t="str">
        <f>"5/21/2024 1:33:00 PM"</f>
        <v>5/21/2024 1:33:00 PM</v>
      </c>
      <c r="O22801" t="s">
        <v>69150</v>
      </c>
    </row>
    <row r="22802" spans="1:20" x14ac:dyDescent="0.25">
      <c r="A22802" t="str">
        <f>"3048756"</f>
        <v>3048756</v>
      </c>
      <c r="B22802" t="s">
        <v>69152</v>
      </c>
      <c r="C22802" t="str">
        <f>"56832500"</f>
        <v>56832500</v>
      </c>
      <c r="D22802" t="s">
        <v>69153</v>
      </c>
      <c r="F22802" t="s">
        <v>69154</v>
      </c>
      <c r="I22802" t="s">
        <v>14378</v>
      </c>
      <c r="J22802" t="s">
        <v>30</v>
      </c>
      <c r="K22802" t="str">
        <f>"27013"</f>
        <v>27013</v>
      </c>
      <c r="M22802" t="s">
        <v>50793</v>
      </c>
      <c r="N22802" t="str">
        <f>"5/21/2024 1:40:00 PM"</f>
        <v>5/21/2024 1:40:00 PM</v>
      </c>
      <c r="O22802" t="s">
        <v>69153</v>
      </c>
    </row>
    <row r="22803" spans="1:20" x14ac:dyDescent="0.25">
      <c r="A22803" t="str">
        <f>"3048521"</f>
        <v>3048521</v>
      </c>
      <c r="B22803" t="s">
        <v>69155</v>
      </c>
      <c r="C22803" t="str">
        <f>"56832500"</f>
        <v>56832500</v>
      </c>
      <c r="D22803" t="s">
        <v>69153</v>
      </c>
      <c r="F22803" t="s">
        <v>69154</v>
      </c>
      <c r="I22803" t="s">
        <v>14378</v>
      </c>
      <c r="J22803" t="s">
        <v>30</v>
      </c>
      <c r="K22803" t="str">
        <f>"27013"</f>
        <v>27013</v>
      </c>
      <c r="M22803" t="s">
        <v>50793</v>
      </c>
      <c r="N22803" t="str">
        <f>"5/21/2024 1:40:00 PM"</f>
        <v>5/21/2024 1:40:00 PM</v>
      </c>
      <c r="O22803" t="s">
        <v>69153</v>
      </c>
    </row>
    <row r="22804" spans="1:20" x14ac:dyDescent="0.25">
      <c r="A22804" t="str">
        <f>"3037567"</f>
        <v>3037567</v>
      </c>
      <c r="B22804" t="s">
        <v>69156</v>
      </c>
      <c r="C22804" t="str">
        <f>"60556000"</f>
        <v>60556000</v>
      </c>
      <c r="D22804" t="s">
        <v>17792</v>
      </c>
      <c r="E22804" t="s">
        <v>69157</v>
      </c>
      <c r="F22804" t="s">
        <v>17794</v>
      </c>
      <c r="I22804" t="s">
        <v>29</v>
      </c>
      <c r="J22804" t="s">
        <v>30</v>
      </c>
      <c r="K22804" t="s">
        <v>314</v>
      </c>
      <c r="M22804" t="s">
        <v>50793</v>
      </c>
      <c r="N22804" t="str">
        <f>"5/21/2024 1:42:00 PM"</f>
        <v>5/21/2024 1:42:00 PM</v>
      </c>
      <c r="O22804" t="s">
        <v>17792</v>
      </c>
      <c r="T22804" t="s">
        <v>69157</v>
      </c>
    </row>
    <row r="22805" spans="1:20" x14ac:dyDescent="0.25">
      <c r="A22805" t="str">
        <f>"3037517"</f>
        <v>3037517</v>
      </c>
      <c r="B22805" t="s">
        <v>69158</v>
      </c>
      <c r="C22805" t="str">
        <f>"60556000"</f>
        <v>60556000</v>
      </c>
      <c r="D22805" t="s">
        <v>17792</v>
      </c>
      <c r="E22805" t="s">
        <v>69157</v>
      </c>
      <c r="F22805" t="s">
        <v>17794</v>
      </c>
      <c r="I22805" t="s">
        <v>29</v>
      </c>
      <c r="J22805" t="s">
        <v>30</v>
      </c>
      <c r="K22805" t="s">
        <v>314</v>
      </c>
      <c r="M22805" t="s">
        <v>50793</v>
      </c>
      <c r="N22805" t="str">
        <f>"5/21/2024 1:42:00 PM"</f>
        <v>5/21/2024 1:42:00 PM</v>
      </c>
      <c r="O22805" t="s">
        <v>17792</v>
      </c>
      <c r="T22805" t="s">
        <v>69157</v>
      </c>
    </row>
    <row r="22806" spans="1:20" x14ac:dyDescent="0.25">
      <c r="A22806" t="str">
        <f>"3037594"</f>
        <v>3037594</v>
      </c>
      <c r="B22806" t="s">
        <v>69159</v>
      </c>
      <c r="C22806" t="str">
        <f>"82513415"</f>
        <v>82513415</v>
      </c>
      <c r="D22806" t="s">
        <v>69160</v>
      </c>
      <c r="F22806" t="s">
        <v>69161</v>
      </c>
      <c r="I22806" t="s">
        <v>6801</v>
      </c>
      <c r="J22806" t="s">
        <v>30</v>
      </c>
      <c r="K22806" t="str">
        <f>"27045"</f>
        <v>27045</v>
      </c>
      <c r="M22806" t="s">
        <v>50793</v>
      </c>
      <c r="N22806" t="str">
        <f>"5/21/2024 1:46:00 PM"</f>
        <v>5/21/2024 1:46:00 PM</v>
      </c>
      <c r="O22806" t="s">
        <v>69160</v>
      </c>
    </row>
    <row r="22807" spans="1:20" x14ac:dyDescent="0.25">
      <c r="A22807" t="str">
        <f>"3055671"</f>
        <v>3055671</v>
      </c>
      <c r="B22807" t="s">
        <v>69162</v>
      </c>
      <c r="C22807" t="str">
        <f>"8320120"</f>
        <v>8320120</v>
      </c>
      <c r="D22807" t="s">
        <v>69163</v>
      </c>
      <c r="E22807" t="s">
        <v>69164</v>
      </c>
      <c r="F22807" t="s">
        <v>69165</v>
      </c>
      <c r="I22807" t="s">
        <v>9580</v>
      </c>
      <c r="J22807" t="s">
        <v>30</v>
      </c>
      <c r="K22807" t="s">
        <v>69166</v>
      </c>
      <c r="M22807" t="s">
        <v>50793</v>
      </c>
      <c r="N22807" t="str">
        <f>"5/21/2024 1:53:00 PM"</f>
        <v>5/21/2024 1:53:00 PM</v>
      </c>
      <c r="O22807" t="s">
        <v>69163</v>
      </c>
      <c r="T22807" t="s">
        <v>69164</v>
      </c>
    </row>
    <row r="22808" spans="1:20" x14ac:dyDescent="0.25">
      <c r="A22808" t="str">
        <f>"3062236"</f>
        <v>3062236</v>
      </c>
      <c r="B22808" t="s">
        <v>69167</v>
      </c>
      <c r="C22808" t="str">
        <f>"8320120"</f>
        <v>8320120</v>
      </c>
      <c r="D22808" t="s">
        <v>69163</v>
      </c>
      <c r="E22808" t="s">
        <v>69164</v>
      </c>
      <c r="F22808" t="s">
        <v>69165</v>
      </c>
      <c r="I22808" t="s">
        <v>9580</v>
      </c>
      <c r="J22808" t="s">
        <v>30</v>
      </c>
      <c r="K22808" t="s">
        <v>69166</v>
      </c>
      <c r="M22808" t="s">
        <v>50793</v>
      </c>
      <c r="N22808" t="str">
        <f>"5/21/2024 1:53:00 PM"</f>
        <v>5/21/2024 1:53:00 PM</v>
      </c>
      <c r="O22808" t="s">
        <v>69163</v>
      </c>
      <c r="T22808" t="s">
        <v>69164</v>
      </c>
    </row>
    <row r="22809" spans="1:20" x14ac:dyDescent="0.25">
      <c r="A22809" t="str">
        <f>"3044989"</f>
        <v>3044989</v>
      </c>
      <c r="B22809" t="s">
        <v>69168</v>
      </c>
      <c r="C22809" t="str">
        <f>"82525903"</f>
        <v>82525903</v>
      </c>
      <c r="D22809" t="s">
        <v>69169</v>
      </c>
      <c r="F22809" t="s">
        <v>69170</v>
      </c>
      <c r="I22809" t="s">
        <v>1149</v>
      </c>
      <c r="J22809" t="s">
        <v>30</v>
      </c>
      <c r="K22809" t="s">
        <v>1150</v>
      </c>
      <c r="M22809" t="s">
        <v>50793</v>
      </c>
      <c r="N22809" t="str">
        <f>"5/14/2024 10:24:00 AM"</f>
        <v>5/14/2024 10:24:00 AM</v>
      </c>
      <c r="O22809" t="s">
        <v>69169</v>
      </c>
    </row>
    <row r="22810" spans="1:20" x14ac:dyDescent="0.25">
      <c r="A22810" t="str">
        <f>"3054634"</f>
        <v>3054634</v>
      </c>
      <c r="B22810" t="s">
        <v>69171</v>
      </c>
      <c r="C22810" t="str">
        <f>"82515477"</f>
        <v>82515477</v>
      </c>
      <c r="D22810" t="s">
        <v>69172</v>
      </c>
      <c r="E22810" t="s">
        <v>69173</v>
      </c>
      <c r="F22810" t="s">
        <v>69174</v>
      </c>
      <c r="I22810" t="s">
        <v>29</v>
      </c>
      <c r="J22810" t="s">
        <v>30</v>
      </c>
      <c r="K22810" t="s">
        <v>31</v>
      </c>
      <c r="M22810" t="s">
        <v>50793</v>
      </c>
      <c r="N22810" t="str">
        <f>"5/22/2024 8:56:00 AM"</f>
        <v>5/22/2024 8:56:00 AM</v>
      </c>
      <c r="O22810" t="s">
        <v>69172</v>
      </c>
      <c r="T22810" t="s">
        <v>69173</v>
      </c>
    </row>
    <row r="22811" spans="1:20" x14ac:dyDescent="0.25">
      <c r="A22811" t="str">
        <f>"3045271"</f>
        <v>3045271</v>
      </c>
      <c r="B22811" t="s">
        <v>69175</v>
      </c>
      <c r="C22811" t="str">
        <f>"82525903"</f>
        <v>82525903</v>
      </c>
      <c r="D22811" t="s">
        <v>69169</v>
      </c>
      <c r="F22811" t="s">
        <v>69170</v>
      </c>
      <c r="I22811" t="s">
        <v>1149</v>
      </c>
      <c r="J22811" t="s">
        <v>30</v>
      </c>
      <c r="K22811" t="s">
        <v>1150</v>
      </c>
      <c r="M22811" t="s">
        <v>50793</v>
      </c>
      <c r="N22811" t="str">
        <f>"5/14/2024 10:24:00 AM"</f>
        <v>5/14/2024 10:24:00 AM</v>
      </c>
      <c r="O22811" t="s">
        <v>69169</v>
      </c>
    </row>
    <row r="22812" spans="1:20" x14ac:dyDescent="0.25">
      <c r="A22812" t="str">
        <f>"3045097"</f>
        <v>3045097</v>
      </c>
      <c r="B22812" t="s">
        <v>69176</v>
      </c>
      <c r="C22812" t="str">
        <f>"8319178"</f>
        <v>8319178</v>
      </c>
      <c r="D22812" t="s">
        <v>69177</v>
      </c>
      <c r="F22812" t="s">
        <v>69178</v>
      </c>
      <c r="I22812" t="s">
        <v>1149</v>
      </c>
      <c r="J22812" t="s">
        <v>30</v>
      </c>
      <c r="K22812" t="s">
        <v>6577</v>
      </c>
      <c r="M22812" t="s">
        <v>50793</v>
      </c>
      <c r="N22812" t="str">
        <f>"5/14/2024 10:53:00 AM"</f>
        <v>5/14/2024 10:53:00 AM</v>
      </c>
      <c r="O22812" t="s">
        <v>69177</v>
      </c>
    </row>
    <row r="22813" spans="1:20" x14ac:dyDescent="0.25">
      <c r="A22813" t="str">
        <f>"3054299"</f>
        <v>3054299</v>
      </c>
      <c r="B22813" t="s">
        <v>69179</v>
      </c>
      <c r="C22813" t="str">
        <f>"8320393"</f>
        <v>8320393</v>
      </c>
      <c r="D22813" t="s">
        <v>69180</v>
      </c>
      <c r="F22813" t="s">
        <v>69181</v>
      </c>
      <c r="I22813" t="s">
        <v>29</v>
      </c>
      <c r="J22813" t="s">
        <v>30</v>
      </c>
      <c r="K22813" t="s">
        <v>69182</v>
      </c>
      <c r="M22813" t="s">
        <v>50793</v>
      </c>
      <c r="N22813" t="str">
        <f>"5/22/2024 10:07:00 AM"</f>
        <v>5/22/2024 10:07:00 AM</v>
      </c>
      <c r="O22813" t="s">
        <v>69180</v>
      </c>
    </row>
    <row r="22814" spans="1:20" x14ac:dyDescent="0.25">
      <c r="A22814" t="str">
        <f>"3051622"</f>
        <v>3051622</v>
      </c>
      <c r="B22814" t="s">
        <v>69183</v>
      </c>
      <c r="C22814" t="str">
        <f>"8316961"</f>
        <v>8316961</v>
      </c>
      <c r="D22814" t="s">
        <v>69184</v>
      </c>
      <c r="E22814" t="s">
        <v>69185</v>
      </c>
      <c r="F22814" t="s">
        <v>69186</v>
      </c>
      <c r="I22814" t="s">
        <v>29</v>
      </c>
      <c r="J22814" t="s">
        <v>30</v>
      </c>
      <c r="K22814" t="s">
        <v>14361</v>
      </c>
      <c r="M22814" t="s">
        <v>50793</v>
      </c>
      <c r="N22814" t="str">
        <f>"5/22/2024 11:32:00 AM"</f>
        <v>5/22/2024 11:32:00 AM</v>
      </c>
      <c r="O22814" t="s">
        <v>69184</v>
      </c>
      <c r="T22814" t="s">
        <v>69185</v>
      </c>
    </row>
    <row r="22815" spans="1:20" x14ac:dyDescent="0.25">
      <c r="A22815" t="str">
        <f>"3039420"</f>
        <v>3039420</v>
      </c>
      <c r="B22815" t="s">
        <v>69187</v>
      </c>
      <c r="C22815" t="str">
        <f>"8318577"</f>
        <v>8318577</v>
      </c>
      <c r="D22815" t="s">
        <v>69188</v>
      </c>
      <c r="F22815" t="s">
        <v>69189</v>
      </c>
      <c r="I22815" t="s">
        <v>402</v>
      </c>
      <c r="J22815" t="s">
        <v>30</v>
      </c>
      <c r="K22815" t="s">
        <v>69190</v>
      </c>
      <c r="M22815" t="s">
        <v>50621</v>
      </c>
      <c r="N22815" t="str">
        <f>"5/14/2024 11:03:00 AM"</f>
        <v>5/14/2024 11:03:00 AM</v>
      </c>
      <c r="O22815" t="s">
        <v>69188</v>
      </c>
    </row>
    <row r="22816" spans="1:20" x14ac:dyDescent="0.25">
      <c r="A22816" t="str">
        <f>"3047622"</f>
        <v>3047622</v>
      </c>
      <c r="B22816" t="s">
        <v>69191</v>
      </c>
      <c r="C22816" t="str">
        <f>"43184000"</f>
        <v>43184000</v>
      </c>
      <c r="D22816" t="s">
        <v>69051</v>
      </c>
      <c r="E22816" t="s">
        <v>69052</v>
      </c>
      <c r="F22816" t="s">
        <v>69053</v>
      </c>
      <c r="I22816" t="s">
        <v>471</v>
      </c>
      <c r="J22816" t="s">
        <v>30</v>
      </c>
      <c r="K22816" t="s">
        <v>1262</v>
      </c>
      <c r="M22816" t="s">
        <v>50621</v>
      </c>
      <c r="N22816" t="str">
        <f>"5/14/2024 11:09:00 AM"</f>
        <v>5/14/2024 11:09:00 AM</v>
      </c>
      <c r="O22816" t="s">
        <v>69051</v>
      </c>
      <c r="T22816" t="s">
        <v>69052</v>
      </c>
    </row>
    <row r="22817" spans="1:20" x14ac:dyDescent="0.25">
      <c r="A22817" t="str">
        <f>"3047619"</f>
        <v>3047619</v>
      </c>
      <c r="B22817" t="s">
        <v>69192</v>
      </c>
      <c r="C22817" t="str">
        <f>"43184000"</f>
        <v>43184000</v>
      </c>
      <c r="D22817" t="s">
        <v>69051</v>
      </c>
      <c r="E22817" t="s">
        <v>69052</v>
      </c>
      <c r="F22817" t="s">
        <v>69053</v>
      </c>
      <c r="I22817" t="s">
        <v>471</v>
      </c>
      <c r="J22817" t="s">
        <v>30</v>
      </c>
      <c r="K22817" t="s">
        <v>1262</v>
      </c>
      <c r="M22817" t="s">
        <v>50621</v>
      </c>
      <c r="N22817" t="str">
        <f>"5/14/2024 11:09:00 AM"</f>
        <v>5/14/2024 11:09:00 AM</v>
      </c>
      <c r="O22817" t="s">
        <v>69051</v>
      </c>
      <c r="T22817" t="s">
        <v>69052</v>
      </c>
    </row>
    <row r="22818" spans="1:20" x14ac:dyDescent="0.25">
      <c r="A22818" t="str">
        <f>"3053527"</f>
        <v>3053527</v>
      </c>
      <c r="B22818" t="s">
        <v>69193</v>
      </c>
      <c r="C22818" t="str">
        <f>"8305353"</f>
        <v>8305353</v>
      </c>
      <c r="D22818" t="s">
        <v>69194</v>
      </c>
      <c r="F22818" t="s">
        <v>69195</v>
      </c>
      <c r="I22818" t="s">
        <v>29</v>
      </c>
      <c r="J22818" t="s">
        <v>30</v>
      </c>
      <c r="K22818" t="s">
        <v>14112</v>
      </c>
      <c r="M22818" t="s">
        <v>50793</v>
      </c>
      <c r="N22818" t="str">
        <f>"5/14/2024 1:23:00 PM"</f>
        <v>5/14/2024 1:23:00 PM</v>
      </c>
      <c r="O22818" t="s">
        <v>69194</v>
      </c>
    </row>
    <row r="22819" spans="1:20" x14ac:dyDescent="0.25">
      <c r="A22819" t="str">
        <f>"3043754"</f>
        <v>3043754</v>
      </c>
      <c r="B22819" t="s">
        <v>69196</v>
      </c>
      <c r="C22819" t="str">
        <f>"8322416"</f>
        <v>8322416</v>
      </c>
      <c r="D22819" t="s">
        <v>69197</v>
      </c>
      <c r="F22819" t="s">
        <v>69079</v>
      </c>
      <c r="I22819" t="s">
        <v>29</v>
      </c>
      <c r="J22819" t="s">
        <v>30</v>
      </c>
      <c r="K22819" t="s">
        <v>26737</v>
      </c>
      <c r="M22819" t="s">
        <v>50500</v>
      </c>
      <c r="N22819" t="str">
        <f>"5/29/2024 8:52:00 AM"</f>
        <v>5/29/2024 8:52:00 AM</v>
      </c>
      <c r="O22819" t="s">
        <v>69197</v>
      </c>
    </row>
    <row r="22820" spans="1:20" x14ac:dyDescent="0.25">
      <c r="A22820" t="str">
        <f>"3056962"</f>
        <v>3056962</v>
      </c>
      <c r="B22820" t="s">
        <v>69198</v>
      </c>
      <c r="C22820" t="str">
        <f>"8313298"</f>
        <v>8313298</v>
      </c>
      <c r="D22820" t="s">
        <v>69199</v>
      </c>
      <c r="F22820" t="s">
        <v>69200</v>
      </c>
      <c r="I22820" t="s">
        <v>29</v>
      </c>
      <c r="J22820" t="s">
        <v>30</v>
      </c>
      <c r="K22820" t="s">
        <v>11151</v>
      </c>
      <c r="M22820" t="s">
        <v>52111</v>
      </c>
      <c r="N22820" t="str">
        <f>"5/29/2024 11:42:00 AM"</f>
        <v>5/29/2024 11:42:00 AM</v>
      </c>
      <c r="O22820" t="s">
        <v>69199</v>
      </c>
    </row>
    <row r="22821" spans="1:20" x14ac:dyDescent="0.25">
      <c r="A22821" t="str">
        <f>"3053370"</f>
        <v>3053370</v>
      </c>
      <c r="B22821" t="s">
        <v>69201</v>
      </c>
      <c r="C22821" t="str">
        <f>"8305353"</f>
        <v>8305353</v>
      </c>
      <c r="D22821" t="s">
        <v>69194</v>
      </c>
      <c r="F22821" t="s">
        <v>69195</v>
      </c>
      <c r="I22821" t="s">
        <v>29</v>
      </c>
      <c r="J22821" t="s">
        <v>30</v>
      </c>
      <c r="K22821" t="s">
        <v>14112</v>
      </c>
      <c r="M22821" t="s">
        <v>50793</v>
      </c>
      <c r="N22821" t="str">
        <f>"5/14/2024 1:23:00 PM"</f>
        <v>5/14/2024 1:23:00 PM</v>
      </c>
      <c r="O22821" t="s">
        <v>69194</v>
      </c>
    </row>
    <row r="22822" spans="1:20" x14ac:dyDescent="0.25">
      <c r="A22822" t="str">
        <f>"3039093"</f>
        <v>3039093</v>
      </c>
      <c r="B22822" t="s">
        <v>69202</v>
      </c>
      <c r="C22822" t="str">
        <f>"82516976"</f>
        <v>82516976</v>
      </c>
      <c r="D22822" t="s">
        <v>69203</v>
      </c>
      <c r="F22822" t="s">
        <v>69204</v>
      </c>
      <c r="I22822" t="s">
        <v>29</v>
      </c>
      <c r="J22822" t="s">
        <v>30</v>
      </c>
      <c r="K22822" t="s">
        <v>1215</v>
      </c>
      <c r="M22822" t="s">
        <v>50621</v>
      </c>
      <c r="N22822" t="str">
        <f>"5/16/2024 9:22:00 AM"</f>
        <v>5/16/2024 9:22:00 AM</v>
      </c>
      <c r="O22822" t="s">
        <v>69203</v>
      </c>
    </row>
    <row r="22823" spans="1:20" x14ac:dyDescent="0.25">
      <c r="A22823" t="str">
        <f>"3061864"</f>
        <v>3061864</v>
      </c>
      <c r="B22823" t="s">
        <v>69205</v>
      </c>
      <c r="C22823" t="str">
        <f>"82532798"</f>
        <v>82532798</v>
      </c>
      <c r="D22823" t="s">
        <v>69206</v>
      </c>
      <c r="E22823" t="s">
        <v>69207</v>
      </c>
      <c r="F22823" t="s">
        <v>69208</v>
      </c>
      <c r="I22823" t="s">
        <v>29</v>
      </c>
      <c r="J22823" t="s">
        <v>30</v>
      </c>
      <c r="K22823" t="s">
        <v>31</v>
      </c>
      <c r="M22823" t="s">
        <v>20405</v>
      </c>
      <c r="N22823" t="str">
        <f>"5/30/2024 10:17:00 AM"</f>
        <v>5/30/2024 10:17:00 AM</v>
      </c>
      <c r="O22823" t="s">
        <v>69206</v>
      </c>
      <c r="T22823" t="s">
        <v>69207</v>
      </c>
    </row>
    <row r="22824" spans="1:20" x14ac:dyDescent="0.25">
      <c r="A22824" t="str">
        <f>"3039198"</f>
        <v>3039198</v>
      </c>
      <c r="B22824" t="s">
        <v>69209</v>
      </c>
      <c r="C22824" t="str">
        <f>"8322418"</f>
        <v>8322418</v>
      </c>
      <c r="D22824" t="s">
        <v>69210</v>
      </c>
      <c r="E22824" t="s">
        <v>69211</v>
      </c>
      <c r="F22824" t="s">
        <v>69212</v>
      </c>
      <c r="I22824" t="s">
        <v>17921</v>
      </c>
      <c r="J22824" t="s">
        <v>30</v>
      </c>
      <c r="K22824" t="str">
        <f>"27028"</f>
        <v>27028</v>
      </c>
      <c r="M22824" t="s">
        <v>50500</v>
      </c>
      <c r="N22824" t="str">
        <f>"5/30/2024 11:54:00 AM"</f>
        <v>5/30/2024 11:54:00 AM</v>
      </c>
      <c r="O22824" t="s">
        <v>69210</v>
      </c>
      <c r="T22824" t="s">
        <v>69211</v>
      </c>
    </row>
    <row r="22825" spans="1:20" x14ac:dyDescent="0.25">
      <c r="A22825" t="str">
        <f>"3052924"</f>
        <v>3052924</v>
      </c>
      <c r="B22825" t="s">
        <v>69213</v>
      </c>
      <c r="C22825" t="str">
        <f>"8322419"</f>
        <v>8322419</v>
      </c>
      <c r="D22825" t="s">
        <v>69214</v>
      </c>
      <c r="E22825" t="s">
        <v>69215</v>
      </c>
      <c r="F22825" t="s">
        <v>69216</v>
      </c>
      <c r="I22825" t="s">
        <v>69217</v>
      </c>
      <c r="J22825" t="s">
        <v>2738</v>
      </c>
      <c r="K22825" t="s">
        <v>69218</v>
      </c>
      <c r="M22825" t="s">
        <v>50500</v>
      </c>
      <c r="N22825" t="str">
        <f>"5/30/2024 12:01:00 PM"</f>
        <v>5/30/2024 12:01:00 PM</v>
      </c>
      <c r="O22825" t="s">
        <v>69214</v>
      </c>
      <c r="T22825" t="s">
        <v>69215</v>
      </c>
    </row>
    <row r="22826" spans="1:20" x14ac:dyDescent="0.25">
      <c r="A22826" t="str">
        <f>"3040798"</f>
        <v>3040798</v>
      </c>
      <c r="B22826" t="s">
        <v>69219</v>
      </c>
      <c r="C22826" t="str">
        <f>"8318864"</f>
        <v>8318864</v>
      </c>
      <c r="D22826" t="s">
        <v>69220</v>
      </c>
      <c r="F22826" t="s">
        <v>69221</v>
      </c>
      <c r="G22826" t="s">
        <v>69222</v>
      </c>
      <c r="I22826" t="s">
        <v>21749</v>
      </c>
      <c r="J22826" t="s">
        <v>30</v>
      </c>
      <c r="K22826" t="s">
        <v>69223</v>
      </c>
      <c r="M22826" t="s">
        <v>51351</v>
      </c>
      <c r="N22826" t="str">
        <f>"5/30/2024 12:29:00 PM"</f>
        <v>5/30/2024 12:29:00 PM</v>
      </c>
      <c r="O22826" t="s">
        <v>69220</v>
      </c>
    </row>
    <row r="22827" spans="1:20" x14ac:dyDescent="0.25">
      <c r="A22827" t="str">
        <f>"3060201"</f>
        <v>3060201</v>
      </c>
      <c r="B22827" t="s">
        <v>69224</v>
      </c>
      <c r="C22827" t="str">
        <f>"8302161"</f>
        <v>8302161</v>
      </c>
      <c r="D22827" t="s">
        <v>69225</v>
      </c>
      <c r="E22827" t="s">
        <v>69226</v>
      </c>
      <c r="F22827" t="s">
        <v>69227</v>
      </c>
      <c r="I22827" t="s">
        <v>29</v>
      </c>
      <c r="J22827" t="s">
        <v>30</v>
      </c>
      <c r="K22827" t="s">
        <v>1505</v>
      </c>
      <c r="M22827" t="s">
        <v>18479</v>
      </c>
      <c r="N22827" t="str">
        <f>"5/30/2024 4:26:00 PM"</f>
        <v>5/30/2024 4:26:00 PM</v>
      </c>
      <c r="O22827" t="s">
        <v>69225</v>
      </c>
      <c r="T22827" t="s">
        <v>69226</v>
      </c>
    </row>
    <row r="22828" spans="1:20" x14ac:dyDescent="0.25">
      <c r="A22828" t="str">
        <f>"3050148"</f>
        <v>3050148</v>
      </c>
      <c r="B22828" t="s">
        <v>69228</v>
      </c>
      <c r="C22828" t="str">
        <f>"8322420"</f>
        <v>8322420</v>
      </c>
      <c r="D22828" t="s">
        <v>69229</v>
      </c>
      <c r="F22828" t="s">
        <v>69230</v>
      </c>
      <c r="I22828" t="s">
        <v>29</v>
      </c>
      <c r="J22828" t="s">
        <v>30</v>
      </c>
      <c r="K22828" t="s">
        <v>69231</v>
      </c>
      <c r="M22828" t="s">
        <v>50500</v>
      </c>
      <c r="N22828" t="str">
        <f>"5/31/2024 8:23:00 AM"</f>
        <v>5/31/2024 8:23:00 AM</v>
      </c>
      <c r="O22828" t="s">
        <v>69229</v>
      </c>
    </row>
    <row r="22829" spans="1:20" x14ac:dyDescent="0.25">
      <c r="A22829" t="str">
        <f>"3067927"</f>
        <v>3067927</v>
      </c>
      <c r="B22829" t="s">
        <v>69232</v>
      </c>
      <c r="C22829" t="str">
        <f>"8322421"</f>
        <v>8322421</v>
      </c>
      <c r="D22829" t="s">
        <v>69233</v>
      </c>
      <c r="F22829" t="s">
        <v>69234</v>
      </c>
      <c r="I22829" t="s">
        <v>184</v>
      </c>
      <c r="J22829" t="s">
        <v>30</v>
      </c>
      <c r="K22829" t="s">
        <v>6374</v>
      </c>
      <c r="M22829" t="s">
        <v>50500</v>
      </c>
      <c r="N22829" t="str">
        <f>"5/31/2024 8:29:00 AM"</f>
        <v>5/31/2024 8:29:00 AM</v>
      </c>
      <c r="O22829" t="s">
        <v>69233</v>
      </c>
    </row>
    <row r="22830" spans="1:20" x14ac:dyDescent="0.25">
      <c r="A22830" t="str">
        <f>"3037788"</f>
        <v>3037788</v>
      </c>
      <c r="B22830" t="s">
        <v>69235</v>
      </c>
      <c r="C22830" t="str">
        <f>"8306784"</f>
        <v>8306784</v>
      </c>
      <c r="D22830" t="s">
        <v>69236</v>
      </c>
      <c r="F22830" t="s">
        <v>69237</v>
      </c>
      <c r="I22830" t="s">
        <v>1107</v>
      </c>
      <c r="J22830" t="s">
        <v>30</v>
      </c>
      <c r="K22830" t="str">
        <f>"28625"</f>
        <v>28625</v>
      </c>
      <c r="M22830" t="s">
        <v>50621</v>
      </c>
      <c r="N22830" t="str">
        <f>"5/16/2024 9:25:00 AM"</f>
        <v>5/16/2024 9:25:00 AM</v>
      </c>
      <c r="O22830" t="s">
        <v>69236</v>
      </c>
    </row>
    <row r="22831" spans="1:20" x14ac:dyDescent="0.25">
      <c r="A22831" t="str">
        <f>"3053183"</f>
        <v>3053183</v>
      </c>
      <c r="B22831" t="s">
        <v>69238</v>
      </c>
      <c r="C22831" t="str">
        <f>"8322414"</f>
        <v>8322414</v>
      </c>
      <c r="D22831" t="s">
        <v>69239</v>
      </c>
      <c r="F22831" t="s">
        <v>39815</v>
      </c>
      <c r="I22831" t="s">
        <v>29</v>
      </c>
      <c r="J22831" t="s">
        <v>30</v>
      </c>
      <c r="K22831" t="s">
        <v>11450</v>
      </c>
      <c r="M22831" t="s">
        <v>50500</v>
      </c>
      <c r="N22831" t="str">
        <f>"5/17/2024 10:01:00 AM"</f>
        <v>5/17/2024 10:01:00 AM</v>
      </c>
      <c r="O22831" t="s">
        <v>69239</v>
      </c>
    </row>
    <row r="22832" spans="1:20" x14ac:dyDescent="0.25">
      <c r="A22832" t="str">
        <f>"3055257"</f>
        <v>3055257</v>
      </c>
      <c r="B22832" t="s">
        <v>69240</v>
      </c>
      <c r="C22832" t="str">
        <f>"8322425"</f>
        <v>8322425</v>
      </c>
      <c r="D22832" t="s">
        <v>69241</v>
      </c>
      <c r="E22832" t="s">
        <v>69242</v>
      </c>
      <c r="F22832" t="s">
        <v>69243</v>
      </c>
      <c r="I22832" t="s">
        <v>29</v>
      </c>
      <c r="J22832" t="s">
        <v>30</v>
      </c>
      <c r="K22832" t="s">
        <v>49361</v>
      </c>
      <c r="M22832" t="s">
        <v>50500</v>
      </c>
      <c r="N22832" t="str">
        <f>"5/31/2024 8:51:00 AM"</f>
        <v>5/31/2024 8:51:00 AM</v>
      </c>
      <c r="O22832" t="s">
        <v>69241</v>
      </c>
      <c r="T22832" t="s">
        <v>69242</v>
      </c>
    </row>
    <row r="22833" spans="1:20" x14ac:dyDescent="0.25">
      <c r="A22833" t="str">
        <f>"3078682"</f>
        <v>3078682</v>
      </c>
      <c r="B22833" t="s">
        <v>69244</v>
      </c>
      <c r="C22833" t="str">
        <f>"8322426"</f>
        <v>8322426</v>
      </c>
      <c r="D22833" t="s">
        <v>69245</v>
      </c>
      <c r="F22833" t="s">
        <v>69246</v>
      </c>
      <c r="I22833" t="s">
        <v>29</v>
      </c>
      <c r="J22833" t="s">
        <v>30</v>
      </c>
      <c r="K22833" t="s">
        <v>46096</v>
      </c>
      <c r="M22833" t="s">
        <v>50500</v>
      </c>
      <c r="N22833" t="str">
        <f>"5/31/2024 8:54:00 AM"</f>
        <v>5/31/2024 8:54:00 AM</v>
      </c>
      <c r="O22833" t="s">
        <v>69245</v>
      </c>
    </row>
    <row r="22834" spans="1:20" x14ac:dyDescent="0.25">
      <c r="A22834" t="str">
        <f>"3074036"</f>
        <v>3074036</v>
      </c>
      <c r="B22834" t="s">
        <v>69247</v>
      </c>
      <c r="C22834" t="str">
        <f>"8322427"</f>
        <v>8322427</v>
      </c>
      <c r="D22834" t="s">
        <v>69248</v>
      </c>
      <c r="F22834" t="s">
        <v>69249</v>
      </c>
      <c r="I22834" t="s">
        <v>1107</v>
      </c>
      <c r="J22834" t="s">
        <v>30</v>
      </c>
      <c r="K22834" t="s">
        <v>69250</v>
      </c>
      <c r="M22834" t="s">
        <v>50500</v>
      </c>
      <c r="N22834" t="str">
        <f>"5/31/2024 8:59:00 AM"</f>
        <v>5/31/2024 8:59:00 AM</v>
      </c>
      <c r="O22834" t="s">
        <v>69248</v>
      </c>
    </row>
    <row r="22835" spans="1:20" x14ac:dyDescent="0.25">
      <c r="A22835" t="str">
        <f>"3042608"</f>
        <v>3042608</v>
      </c>
      <c r="B22835" t="s">
        <v>69251</v>
      </c>
      <c r="C22835" t="str">
        <f>"8322427"</f>
        <v>8322427</v>
      </c>
      <c r="D22835" t="s">
        <v>69248</v>
      </c>
      <c r="F22835" t="s">
        <v>69249</v>
      </c>
      <c r="I22835" t="s">
        <v>1107</v>
      </c>
      <c r="J22835" t="s">
        <v>30</v>
      </c>
      <c r="K22835" t="s">
        <v>69250</v>
      </c>
      <c r="M22835" t="s">
        <v>50500</v>
      </c>
      <c r="N22835" t="str">
        <f>"5/31/2024 8:59:00 AM"</f>
        <v>5/31/2024 8:59:00 AM</v>
      </c>
      <c r="O22835" t="s">
        <v>69248</v>
      </c>
    </row>
    <row r="22836" spans="1:20" x14ac:dyDescent="0.25">
      <c r="A22836" t="str">
        <f>"3059016"</f>
        <v>3059016</v>
      </c>
      <c r="B22836" t="s">
        <v>69252</v>
      </c>
      <c r="C22836" t="str">
        <f>"8322428"</f>
        <v>8322428</v>
      </c>
      <c r="D22836" t="s">
        <v>69253</v>
      </c>
      <c r="E22836" t="s">
        <v>69254</v>
      </c>
      <c r="F22836" t="s">
        <v>69255</v>
      </c>
      <c r="I22836" t="s">
        <v>29</v>
      </c>
      <c r="J22836" t="s">
        <v>30</v>
      </c>
      <c r="K22836" t="str">
        <f>"27028"</f>
        <v>27028</v>
      </c>
      <c r="M22836" t="s">
        <v>50500</v>
      </c>
      <c r="N22836" t="str">
        <f>"5/31/2024 9:04:00 AM"</f>
        <v>5/31/2024 9:04:00 AM</v>
      </c>
      <c r="O22836" t="s">
        <v>69253</v>
      </c>
      <c r="T22836" t="s">
        <v>69254</v>
      </c>
    </row>
    <row r="22837" spans="1:20" x14ac:dyDescent="0.25">
      <c r="A22837" t="str">
        <f>"3064242"</f>
        <v>3064242</v>
      </c>
      <c r="B22837" t="s">
        <v>69256</v>
      </c>
      <c r="C22837" t="str">
        <f>"8322429"</f>
        <v>8322429</v>
      </c>
      <c r="D22837" t="s">
        <v>69257</v>
      </c>
      <c r="F22837" t="s">
        <v>69258</v>
      </c>
      <c r="I22837" t="s">
        <v>184</v>
      </c>
      <c r="J22837" t="s">
        <v>30</v>
      </c>
      <c r="K22837" t="s">
        <v>35247</v>
      </c>
      <c r="M22837" t="s">
        <v>50500</v>
      </c>
      <c r="N22837" t="str">
        <f>"5/31/2024 9:08:00 AM"</f>
        <v>5/31/2024 9:08:00 AM</v>
      </c>
      <c r="O22837" t="s">
        <v>69257</v>
      </c>
    </row>
    <row r="22838" spans="1:20" x14ac:dyDescent="0.25">
      <c r="A22838" t="str">
        <f>"3040748"</f>
        <v>3040748</v>
      </c>
      <c r="B22838" t="s">
        <v>69259</v>
      </c>
      <c r="C22838" t="str">
        <f>"8322429"</f>
        <v>8322429</v>
      </c>
      <c r="D22838" t="s">
        <v>69257</v>
      </c>
      <c r="F22838" t="s">
        <v>69258</v>
      </c>
      <c r="I22838" t="s">
        <v>184</v>
      </c>
      <c r="J22838" t="s">
        <v>30</v>
      </c>
      <c r="K22838" t="s">
        <v>35247</v>
      </c>
      <c r="M22838" t="s">
        <v>50500</v>
      </c>
      <c r="N22838" t="str">
        <f>"5/31/2024 9:08:00 AM"</f>
        <v>5/31/2024 9:08:00 AM</v>
      </c>
      <c r="O22838" t="s">
        <v>69257</v>
      </c>
    </row>
    <row r="22839" spans="1:20" x14ac:dyDescent="0.25">
      <c r="A22839" t="str">
        <f>"3066684"</f>
        <v>3066684</v>
      </c>
      <c r="B22839" t="s">
        <v>69260</v>
      </c>
      <c r="C22839" t="str">
        <f>"8322430"</f>
        <v>8322430</v>
      </c>
      <c r="D22839" t="s">
        <v>69261</v>
      </c>
      <c r="E22839" t="s">
        <v>69262</v>
      </c>
      <c r="F22839" t="s">
        <v>69263</v>
      </c>
      <c r="I22839" t="s">
        <v>2071</v>
      </c>
      <c r="J22839" t="s">
        <v>30</v>
      </c>
      <c r="K22839" t="s">
        <v>6374</v>
      </c>
      <c r="M22839" t="s">
        <v>50500</v>
      </c>
      <c r="N22839" t="str">
        <f>"5/31/2024 9:17:00 AM"</f>
        <v>5/31/2024 9:17:00 AM</v>
      </c>
      <c r="O22839" t="s">
        <v>69261</v>
      </c>
      <c r="T22839" t="s">
        <v>69262</v>
      </c>
    </row>
    <row r="22840" spans="1:20" x14ac:dyDescent="0.25">
      <c r="A22840" t="str">
        <f>"3062634"</f>
        <v>3062634</v>
      </c>
      <c r="B22840" t="s">
        <v>69264</v>
      </c>
      <c r="C22840" t="str">
        <f>"8322431"</f>
        <v>8322431</v>
      </c>
      <c r="D22840" t="s">
        <v>69265</v>
      </c>
      <c r="E22840" t="s">
        <v>69266</v>
      </c>
      <c r="F22840" t="s">
        <v>69267</v>
      </c>
      <c r="I22840" t="s">
        <v>29</v>
      </c>
      <c r="J22840" t="s">
        <v>30</v>
      </c>
      <c r="K22840" t="s">
        <v>68180</v>
      </c>
      <c r="M22840" t="s">
        <v>50500</v>
      </c>
      <c r="N22840" t="str">
        <f>"5/31/2024 9:21:00 AM"</f>
        <v>5/31/2024 9:21:00 AM</v>
      </c>
      <c r="O22840" t="s">
        <v>69265</v>
      </c>
      <c r="T22840" t="s">
        <v>69266</v>
      </c>
    </row>
    <row r="22841" spans="1:20" x14ac:dyDescent="0.25">
      <c r="A22841" t="str">
        <f>"3052456"</f>
        <v>3052456</v>
      </c>
      <c r="B22841" t="s">
        <v>69268</v>
      </c>
      <c r="C22841" t="str">
        <f>"82533048"</f>
        <v>82533048</v>
      </c>
      <c r="D22841" t="s">
        <v>69269</v>
      </c>
      <c r="E22841" t="s">
        <v>69270</v>
      </c>
      <c r="F22841" t="s">
        <v>69271</v>
      </c>
      <c r="I22841" t="s">
        <v>29</v>
      </c>
      <c r="J22841" t="s">
        <v>30</v>
      </c>
      <c r="K22841" t="str">
        <f>"27028"</f>
        <v>27028</v>
      </c>
      <c r="M22841" t="s">
        <v>50621</v>
      </c>
      <c r="N22841" t="str">
        <f>"5/21/2024 11:15:00 AM"</f>
        <v>5/21/2024 11:15:00 AM</v>
      </c>
      <c r="O22841" t="s">
        <v>69269</v>
      </c>
      <c r="T22841" t="s">
        <v>69270</v>
      </c>
    </row>
    <row r="22842" spans="1:20" x14ac:dyDescent="0.25">
      <c r="A22842" t="str">
        <f>"3061336"</f>
        <v>3061336</v>
      </c>
      <c r="B22842" t="s">
        <v>69272</v>
      </c>
      <c r="C22842" t="str">
        <f>"8322433"</f>
        <v>8322433</v>
      </c>
      <c r="D22842" t="s">
        <v>69273</v>
      </c>
      <c r="E22842" t="s">
        <v>69274</v>
      </c>
      <c r="F22842" t="s">
        <v>69275</v>
      </c>
      <c r="I22842" t="s">
        <v>184</v>
      </c>
      <c r="J22842" t="s">
        <v>30</v>
      </c>
      <c r="K22842" t="s">
        <v>5292</v>
      </c>
      <c r="M22842" t="s">
        <v>50500</v>
      </c>
      <c r="N22842" t="str">
        <f>"5/31/2024 9:40:00 AM"</f>
        <v>5/31/2024 9:40:00 AM</v>
      </c>
      <c r="O22842" t="s">
        <v>69273</v>
      </c>
      <c r="T22842" t="s">
        <v>69274</v>
      </c>
    </row>
    <row r="22843" spans="1:20" x14ac:dyDescent="0.25">
      <c r="A22843" t="str">
        <f>"3044867"</f>
        <v>3044867</v>
      </c>
      <c r="B22843" t="s">
        <v>69276</v>
      </c>
      <c r="C22843" t="str">
        <f>"8322435"</f>
        <v>8322435</v>
      </c>
      <c r="D22843" t="s">
        <v>69277</v>
      </c>
      <c r="E22843" t="s">
        <v>69278</v>
      </c>
      <c r="F22843" t="s">
        <v>69279</v>
      </c>
      <c r="I22843" t="s">
        <v>184</v>
      </c>
      <c r="J22843" t="s">
        <v>30</v>
      </c>
      <c r="K22843" t="s">
        <v>42435</v>
      </c>
      <c r="M22843" t="s">
        <v>50500</v>
      </c>
      <c r="N22843" t="str">
        <f>"5/31/2024 9:48:00 AM"</f>
        <v>5/31/2024 9:48:00 AM</v>
      </c>
      <c r="O22843" t="s">
        <v>69277</v>
      </c>
      <c r="T22843" t="s">
        <v>69278</v>
      </c>
    </row>
    <row r="22844" spans="1:20" x14ac:dyDescent="0.25">
      <c r="A22844" t="str">
        <f>"3061055"</f>
        <v>3061055</v>
      </c>
      <c r="B22844" t="s">
        <v>69280</v>
      </c>
      <c r="C22844" t="str">
        <f>"8322436"</f>
        <v>8322436</v>
      </c>
      <c r="D22844" t="s">
        <v>69281</v>
      </c>
      <c r="E22844" t="s">
        <v>69282</v>
      </c>
      <c r="F22844" t="s">
        <v>69283</v>
      </c>
      <c r="I22844" t="s">
        <v>2071</v>
      </c>
      <c r="J22844" t="s">
        <v>30</v>
      </c>
      <c r="K22844" t="s">
        <v>38104</v>
      </c>
      <c r="M22844" t="s">
        <v>50500</v>
      </c>
      <c r="N22844" t="str">
        <f>"5/31/2024 9:53:00 AM"</f>
        <v>5/31/2024 9:53:00 AM</v>
      </c>
      <c r="O22844" t="s">
        <v>69281</v>
      </c>
      <c r="T22844" t="s">
        <v>69282</v>
      </c>
    </row>
    <row r="22845" spans="1:20" x14ac:dyDescent="0.25">
      <c r="A22845" t="str">
        <f>"3058612"</f>
        <v>3058612</v>
      </c>
      <c r="B22845" t="s">
        <v>69284</v>
      </c>
      <c r="C22845" t="str">
        <f>"8322437"</f>
        <v>8322437</v>
      </c>
      <c r="D22845" t="s">
        <v>69285</v>
      </c>
      <c r="E22845" t="s">
        <v>69286</v>
      </c>
      <c r="F22845" t="s">
        <v>69287</v>
      </c>
      <c r="I22845" t="s">
        <v>29</v>
      </c>
      <c r="J22845" t="s">
        <v>30</v>
      </c>
      <c r="K22845" t="s">
        <v>68180</v>
      </c>
      <c r="M22845" t="s">
        <v>50500</v>
      </c>
      <c r="N22845" t="str">
        <f>"5/31/2024 9:58:00 AM"</f>
        <v>5/31/2024 9:58:00 AM</v>
      </c>
      <c r="O22845" t="s">
        <v>69285</v>
      </c>
      <c r="T22845" t="s">
        <v>69286</v>
      </c>
    </row>
    <row r="22846" spans="1:20" x14ac:dyDescent="0.25">
      <c r="A22846" t="str">
        <f>"3058606"</f>
        <v>3058606</v>
      </c>
      <c r="B22846" t="s">
        <v>69288</v>
      </c>
      <c r="C22846" t="str">
        <f>"8322438"</f>
        <v>8322438</v>
      </c>
      <c r="D22846" t="s">
        <v>69289</v>
      </c>
      <c r="E22846" t="s">
        <v>69290</v>
      </c>
      <c r="F22846" t="s">
        <v>69291</v>
      </c>
      <c r="I22846" t="s">
        <v>29</v>
      </c>
      <c r="J22846" t="s">
        <v>30</v>
      </c>
      <c r="K22846" t="s">
        <v>59681</v>
      </c>
      <c r="M22846" t="s">
        <v>50500</v>
      </c>
      <c r="N22846" t="str">
        <f>"5/31/2024 10:02:00 AM"</f>
        <v>5/31/2024 10:02:00 AM</v>
      </c>
      <c r="O22846" t="s">
        <v>69289</v>
      </c>
      <c r="T22846" t="s">
        <v>69290</v>
      </c>
    </row>
    <row r="22847" spans="1:20" x14ac:dyDescent="0.25">
      <c r="A22847" t="str">
        <f>"3048769"</f>
        <v>3048769</v>
      </c>
      <c r="B22847" t="s">
        <v>69292</v>
      </c>
      <c r="C22847" t="str">
        <f>"82520992"</f>
        <v>82520992</v>
      </c>
      <c r="D22847" t="s">
        <v>69293</v>
      </c>
      <c r="E22847" t="s">
        <v>69294</v>
      </c>
      <c r="F22847" t="s">
        <v>69295</v>
      </c>
      <c r="I22847" t="s">
        <v>29</v>
      </c>
      <c r="J22847" t="s">
        <v>30</v>
      </c>
      <c r="K22847" t="s">
        <v>69296</v>
      </c>
      <c r="M22847" t="s">
        <v>50793</v>
      </c>
      <c r="N22847" t="str">
        <f>"5/31/2024 10:11:00 AM"</f>
        <v>5/31/2024 10:11:00 AM</v>
      </c>
      <c r="O22847" t="s">
        <v>69293</v>
      </c>
      <c r="T22847" t="s">
        <v>69294</v>
      </c>
    </row>
    <row r="22848" spans="1:20" x14ac:dyDescent="0.25">
      <c r="A22848" t="str">
        <f>"3072268"</f>
        <v>3072268</v>
      </c>
      <c r="B22848" t="s">
        <v>69297</v>
      </c>
      <c r="C22848" t="str">
        <f>"8322440"</f>
        <v>8322440</v>
      </c>
      <c r="D22848" t="s">
        <v>69298</v>
      </c>
      <c r="E22848" t="s">
        <v>69299</v>
      </c>
      <c r="F22848" t="s">
        <v>69300</v>
      </c>
      <c r="I22848" t="s">
        <v>184</v>
      </c>
      <c r="J22848" t="s">
        <v>30</v>
      </c>
      <c r="K22848" t="s">
        <v>58030</v>
      </c>
      <c r="M22848" t="s">
        <v>50500</v>
      </c>
      <c r="N22848" t="str">
        <f>"5/31/2024 1:30:00 PM"</f>
        <v>5/31/2024 1:30:00 PM</v>
      </c>
      <c r="O22848" t="s">
        <v>69298</v>
      </c>
      <c r="T22848" t="s">
        <v>69299</v>
      </c>
    </row>
    <row r="22849" spans="1:20" x14ac:dyDescent="0.25">
      <c r="A22849" t="str">
        <f>"3078024"</f>
        <v>3078024</v>
      </c>
      <c r="B22849" t="s">
        <v>69301</v>
      </c>
      <c r="C22849" t="str">
        <f>"8322441"</f>
        <v>8322441</v>
      </c>
      <c r="D22849" t="s">
        <v>69302</v>
      </c>
      <c r="E22849" t="s">
        <v>69303</v>
      </c>
      <c r="F22849" t="s">
        <v>69304</v>
      </c>
      <c r="I22849" t="s">
        <v>184</v>
      </c>
      <c r="J22849" t="s">
        <v>30</v>
      </c>
      <c r="K22849" t="s">
        <v>27311</v>
      </c>
      <c r="M22849" t="s">
        <v>50500</v>
      </c>
      <c r="N22849" t="str">
        <f>"6/3/2024 8:32:00 AM"</f>
        <v>6/3/2024 8:32:00 AM</v>
      </c>
      <c r="O22849" t="s">
        <v>69302</v>
      </c>
      <c r="T22849" t="s">
        <v>69303</v>
      </c>
    </row>
    <row r="22850" spans="1:20" x14ac:dyDescent="0.25">
      <c r="A22850" t="str">
        <f>"3078025"</f>
        <v>3078025</v>
      </c>
      <c r="B22850" t="s">
        <v>69305</v>
      </c>
      <c r="C22850" t="str">
        <f>"8322441"</f>
        <v>8322441</v>
      </c>
      <c r="D22850" t="s">
        <v>69302</v>
      </c>
      <c r="E22850" t="s">
        <v>69303</v>
      </c>
      <c r="F22850" t="s">
        <v>69304</v>
      </c>
      <c r="I22850" t="s">
        <v>184</v>
      </c>
      <c r="J22850" t="s">
        <v>30</v>
      </c>
      <c r="K22850" t="s">
        <v>27311</v>
      </c>
      <c r="M22850" t="s">
        <v>50500</v>
      </c>
      <c r="N22850" t="str">
        <f>"6/3/2024 8:32:00 AM"</f>
        <v>6/3/2024 8:32:00 AM</v>
      </c>
      <c r="O22850" t="s">
        <v>69302</v>
      </c>
      <c r="T22850" t="s">
        <v>69303</v>
      </c>
    </row>
    <row r="22851" spans="1:20" x14ac:dyDescent="0.25">
      <c r="A22851" t="str">
        <f>"3051986"</f>
        <v>3051986</v>
      </c>
      <c r="B22851" t="s">
        <v>69306</v>
      </c>
      <c r="C22851" t="str">
        <f>"82518192"</f>
        <v>82518192</v>
      </c>
      <c r="D22851" t="s">
        <v>69307</v>
      </c>
      <c r="F22851" t="s">
        <v>69308</v>
      </c>
      <c r="I22851" t="s">
        <v>29</v>
      </c>
      <c r="J22851" t="s">
        <v>30</v>
      </c>
      <c r="K22851" t="s">
        <v>54651</v>
      </c>
      <c r="M22851" t="s">
        <v>25733</v>
      </c>
      <c r="N22851" t="str">
        <f>"6/3/2024 10:30:00 AM"</f>
        <v>6/3/2024 10:30:00 AM</v>
      </c>
      <c r="O22851" t="s">
        <v>69307</v>
      </c>
    </row>
    <row r="22852" spans="1:20" x14ac:dyDescent="0.25">
      <c r="A22852" t="str">
        <f>"3045770"</f>
        <v>3045770</v>
      </c>
      <c r="B22852" t="s">
        <v>69309</v>
      </c>
      <c r="C22852" t="str">
        <f>"8322358"</f>
        <v>8322358</v>
      </c>
      <c r="D22852" t="s">
        <v>69310</v>
      </c>
      <c r="E22852" t="s">
        <v>69311</v>
      </c>
      <c r="F22852" t="s">
        <v>69312</v>
      </c>
      <c r="I22852" t="s">
        <v>1149</v>
      </c>
      <c r="J22852" t="s">
        <v>30</v>
      </c>
      <c r="K22852" t="s">
        <v>37912</v>
      </c>
      <c r="M22852" t="s">
        <v>50500</v>
      </c>
      <c r="N22852" t="str">
        <f>"5/9/2024 8:38:00 AM"</f>
        <v>5/9/2024 8:38:00 AM</v>
      </c>
      <c r="O22852" t="s">
        <v>69310</v>
      </c>
      <c r="T22852" t="s">
        <v>69311</v>
      </c>
    </row>
    <row r="22853" spans="1:20" x14ac:dyDescent="0.25">
      <c r="A22853" t="str">
        <f>"3078639"</f>
        <v>3078639</v>
      </c>
      <c r="B22853" t="s">
        <v>69313</v>
      </c>
      <c r="C22853" t="str">
        <f>"8322359"</f>
        <v>8322359</v>
      </c>
      <c r="D22853" t="s">
        <v>69314</v>
      </c>
      <c r="E22853" t="s">
        <v>69315</v>
      </c>
      <c r="F22853" t="s">
        <v>69316</v>
      </c>
      <c r="I22853" t="s">
        <v>29</v>
      </c>
      <c r="J22853" t="s">
        <v>30</v>
      </c>
      <c r="K22853" t="s">
        <v>69231</v>
      </c>
      <c r="M22853" t="s">
        <v>50500</v>
      </c>
      <c r="N22853" t="str">
        <f>"5/9/2024 8:43:00 AM"</f>
        <v>5/9/2024 8:43:00 AM</v>
      </c>
      <c r="O22853" t="s">
        <v>69314</v>
      </c>
      <c r="T22853" t="s">
        <v>69315</v>
      </c>
    </row>
    <row r="22854" spans="1:20" x14ac:dyDescent="0.25">
      <c r="A22854" t="str">
        <f>"3043973"</f>
        <v>3043973</v>
      </c>
      <c r="B22854" t="s">
        <v>69317</v>
      </c>
      <c r="C22854" t="str">
        <f>"8318372"</f>
        <v>8318372</v>
      </c>
      <c r="D22854" t="s">
        <v>69318</v>
      </c>
      <c r="F22854" t="s">
        <v>69319</v>
      </c>
      <c r="I22854" t="s">
        <v>184</v>
      </c>
      <c r="J22854" t="s">
        <v>30</v>
      </c>
      <c r="K22854" t="s">
        <v>7839</v>
      </c>
      <c r="M22854" t="s">
        <v>50621</v>
      </c>
      <c r="N22854" t="str">
        <f>"5/21/2024 11:55:00 AM"</f>
        <v>5/21/2024 11:55:00 AM</v>
      </c>
      <c r="O22854" t="s">
        <v>69318</v>
      </c>
    </row>
    <row r="22855" spans="1:20" x14ac:dyDescent="0.25">
      <c r="A22855" t="str">
        <f>"3051188"</f>
        <v>3051188</v>
      </c>
      <c r="B22855" t="s">
        <v>69320</v>
      </c>
      <c r="C22855" t="str">
        <f>"8309774"</f>
        <v>8309774</v>
      </c>
      <c r="D22855" t="s">
        <v>69321</v>
      </c>
      <c r="F22855" t="s">
        <v>69322</v>
      </c>
      <c r="I22855" t="s">
        <v>29</v>
      </c>
      <c r="J22855" t="s">
        <v>30</v>
      </c>
      <c r="K22855" t="s">
        <v>55461</v>
      </c>
      <c r="M22855" t="s">
        <v>21510</v>
      </c>
      <c r="N22855" t="str">
        <f>"6/4/2024 9:18:00 AM"</f>
        <v>6/4/2024 9:18:00 AM</v>
      </c>
      <c r="O22855" t="s">
        <v>69321</v>
      </c>
    </row>
    <row r="22856" spans="1:20" x14ac:dyDescent="0.25">
      <c r="A22856" t="str">
        <f>"3051372"</f>
        <v>3051372</v>
      </c>
      <c r="B22856" t="s">
        <v>69323</v>
      </c>
      <c r="C22856" t="str">
        <f>"8309774"</f>
        <v>8309774</v>
      </c>
      <c r="D22856" t="s">
        <v>69321</v>
      </c>
      <c r="F22856" t="s">
        <v>69322</v>
      </c>
      <c r="I22856" t="s">
        <v>29</v>
      </c>
      <c r="J22856" t="s">
        <v>30</v>
      </c>
      <c r="K22856" t="s">
        <v>55461</v>
      </c>
      <c r="M22856" t="s">
        <v>21510</v>
      </c>
      <c r="N22856" t="str">
        <f>"6/4/2024 9:18:00 AM"</f>
        <v>6/4/2024 9:18:00 AM</v>
      </c>
      <c r="O22856" t="s">
        <v>69321</v>
      </c>
    </row>
    <row r="22857" spans="1:20" x14ac:dyDescent="0.25">
      <c r="A22857" t="str">
        <f>"3046452"</f>
        <v>3046452</v>
      </c>
      <c r="B22857" t="s">
        <v>69324</v>
      </c>
      <c r="C22857" t="str">
        <f>"34696000"</f>
        <v>34696000</v>
      </c>
      <c r="D22857" t="s">
        <v>69325</v>
      </c>
      <c r="F22857" t="s">
        <v>69326</v>
      </c>
      <c r="I22857" t="s">
        <v>402</v>
      </c>
      <c r="J22857" t="s">
        <v>30</v>
      </c>
      <c r="K22857" t="s">
        <v>403</v>
      </c>
      <c r="M22857" t="s">
        <v>50621</v>
      </c>
      <c r="N22857" t="str">
        <f>"5/21/2024 11:56:00 AM"</f>
        <v>5/21/2024 11:56:00 AM</v>
      </c>
      <c r="O22857" t="s">
        <v>69325</v>
      </c>
    </row>
    <row r="22858" spans="1:20" x14ac:dyDescent="0.25">
      <c r="A22858" t="str">
        <f>"3057774"</f>
        <v>3057774</v>
      </c>
      <c r="B22858" t="s">
        <v>69327</v>
      </c>
      <c r="C22858" t="str">
        <f>"19572000"</f>
        <v>19572000</v>
      </c>
      <c r="D22858" t="s">
        <v>69328</v>
      </c>
      <c r="F22858" t="s">
        <v>9336</v>
      </c>
      <c r="I22858" t="s">
        <v>29</v>
      </c>
      <c r="J22858" t="s">
        <v>30</v>
      </c>
      <c r="K22858" t="s">
        <v>31</v>
      </c>
      <c r="M22858" t="s">
        <v>25733</v>
      </c>
      <c r="N22858" t="str">
        <f>"6/4/2024 12:51:00 PM"</f>
        <v>6/4/2024 12:51:00 PM</v>
      </c>
      <c r="O22858" t="s">
        <v>69328</v>
      </c>
    </row>
    <row r="22859" spans="1:20" x14ac:dyDescent="0.25">
      <c r="A22859" t="str">
        <f>"3057772"</f>
        <v>3057772</v>
      </c>
      <c r="B22859" t="s">
        <v>69329</v>
      </c>
      <c r="C22859" t="str">
        <f>"19572000"</f>
        <v>19572000</v>
      </c>
      <c r="D22859" t="s">
        <v>69328</v>
      </c>
      <c r="F22859" t="s">
        <v>9336</v>
      </c>
      <c r="I22859" t="s">
        <v>29</v>
      </c>
      <c r="J22859" t="s">
        <v>30</v>
      </c>
      <c r="K22859" t="s">
        <v>31</v>
      </c>
      <c r="M22859" t="s">
        <v>25733</v>
      </c>
      <c r="N22859" t="str">
        <f>"6/4/2024 12:51:00 PM"</f>
        <v>6/4/2024 12:51:00 PM</v>
      </c>
      <c r="O22859" t="s">
        <v>69328</v>
      </c>
    </row>
    <row r="22860" spans="1:20" x14ac:dyDescent="0.25">
      <c r="A22860" t="str">
        <f>"3054367"</f>
        <v>3054367</v>
      </c>
      <c r="B22860" t="s">
        <v>69330</v>
      </c>
      <c r="C22860" t="str">
        <f>"59874500"</f>
        <v>59874500</v>
      </c>
      <c r="D22860" t="s">
        <v>69331</v>
      </c>
      <c r="E22860" t="s">
        <v>69332</v>
      </c>
      <c r="F22860" t="s">
        <v>69333</v>
      </c>
      <c r="I22860" t="s">
        <v>29</v>
      </c>
      <c r="J22860" t="s">
        <v>30</v>
      </c>
      <c r="K22860" t="s">
        <v>15999</v>
      </c>
      <c r="M22860" t="s">
        <v>50793</v>
      </c>
      <c r="N22860" t="str">
        <f>"6/5/2024 8:58:00 AM"</f>
        <v>6/5/2024 8:58:00 AM</v>
      </c>
      <c r="O22860" t="s">
        <v>69331</v>
      </c>
      <c r="T22860" t="s">
        <v>69332</v>
      </c>
    </row>
    <row r="22861" spans="1:20" x14ac:dyDescent="0.25">
      <c r="A22861" t="str">
        <f>"3054074"</f>
        <v>3054074</v>
      </c>
      <c r="B22861" t="s">
        <v>69334</v>
      </c>
      <c r="C22861" t="str">
        <f>"59874500"</f>
        <v>59874500</v>
      </c>
      <c r="D22861" t="s">
        <v>69331</v>
      </c>
      <c r="E22861" t="s">
        <v>69332</v>
      </c>
      <c r="F22861" t="s">
        <v>69333</v>
      </c>
      <c r="I22861" t="s">
        <v>29</v>
      </c>
      <c r="J22861" t="s">
        <v>30</v>
      </c>
      <c r="K22861" t="s">
        <v>15999</v>
      </c>
      <c r="M22861" t="s">
        <v>50793</v>
      </c>
      <c r="N22861" t="str">
        <f>"6/5/2024 8:58:00 AM"</f>
        <v>6/5/2024 8:58:00 AM</v>
      </c>
      <c r="O22861" t="s">
        <v>69331</v>
      </c>
      <c r="T22861" t="s">
        <v>69332</v>
      </c>
    </row>
    <row r="22862" spans="1:20" x14ac:dyDescent="0.25">
      <c r="A22862" t="str">
        <f>"3056887"</f>
        <v>3056887</v>
      </c>
      <c r="B22862" t="s">
        <v>69335</v>
      </c>
      <c r="C22862" t="str">
        <f>"82513008"</f>
        <v>82513008</v>
      </c>
      <c r="D22862" t="s">
        <v>69336</v>
      </c>
      <c r="F22862" t="s">
        <v>69337</v>
      </c>
      <c r="I22862" t="s">
        <v>29</v>
      </c>
      <c r="J22862" t="s">
        <v>30</v>
      </c>
      <c r="K22862" t="s">
        <v>41935</v>
      </c>
      <c r="M22862" t="s">
        <v>50621</v>
      </c>
      <c r="N22862" t="str">
        <f>"6/5/2024 9:28:00 AM"</f>
        <v>6/5/2024 9:28:00 AM</v>
      </c>
      <c r="O22862" t="s">
        <v>69336</v>
      </c>
    </row>
    <row r="22863" spans="1:20" x14ac:dyDescent="0.25">
      <c r="A22863" t="str">
        <f>"3055279"</f>
        <v>3055279</v>
      </c>
      <c r="B22863" t="s">
        <v>69338</v>
      </c>
      <c r="C22863" t="str">
        <f>"8317617"</f>
        <v>8317617</v>
      </c>
      <c r="D22863" t="s">
        <v>51490</v>
      </c>
      <c r="F22863" t="s">
        <v>69339</v>
      </c>
      <c r="I22863" t="s">
        <v>29</v>
      </c>
      <c r="J22863" t="s">
        <v>30</v>
      </c>
      <c r="K22863" t="s">
        <v>51492</v>
      </c>
      <c r="M22863" t="s">
        <v>50621</v>
      </c>
      <c r="N22863" t="str">
        <f>"5/21/2024 11:57:00 AM"</f>
        <v>5/21/2024 11:57:00 AM</v>
      </c>
      <c r="O22863" t="s">
        <v>51490</v>
      </c>
    </row>
    <row r="22864" spans="1:20" x14ac:dyDescent="0.25">
      <c r="A22864" t="str">
        <f>"3055339"</f>
        <v>3055339</v>
      </c>
      <c r="B22864" t="s">
        <v>69340</v>
      </c>
      <c r="C22864" t="str">
        <f>"8317617"</f>
        <v>8317617</v>
      </c>
      <c r="D22864" t="s">
        <v>51490</v>
      </c>
      <c r="F22864" t="s">
        <v>69339</v>
      </c>
      <c r="I22864" t="s">
        <v>29</v>
      </c>
      <c r="J22864" t="s">
        <v>30</v>
      </c>
      <c r="K22864" t="s">
        <v>51492</v>
      </c>
      <c r="M22864" t="s">
        <v>50621</v>
      </c>
      <c r="N22864" t="str">
        <f>"5/21/2024 11:57:00 AM"</f>
        <v>5/21/2024 11:57:00 AM</v>
      </c>
      <c r="O22864" t="s">
        <v>51490</v>
      </c>
    </row>
    <row r="22865" spans="1:20" x14ac:dyDescent="0.25">
      <c r="A22865" t="str">
        <f>"3048718"</f>
        <v>3048718</v>
      </c>
      <c r="B22865" t="s">
        <v>69341</v>
      </c>
      <c r="C22865" t="str">
        <f>"8320570"</f>
        <v>8320570</v>
      </c>
      <c r="D22865" t="s">
        <v>69342</v>
      </c>
      <c r="F22865" t="s">
        <v>69095</v>
      </c>
      <c r="I22865" t="s">
        <v>184</v>
      </c>
      <c r="J22865" t="s">
        <v>30</v>
      </c>
      <c r="K22865" t="s">
        <v>5266</v>
      </c>
      <c r="M22865" t="s">
        <v>50793</v>
      </c>
      <c r="N22865" t="str">
        <f>"5/21/2024 12:00:00 PM"</f>
        <v>5/21/2024 12:00:00 PM</v>
      </c>
      <c r="O22865" t="s">
        <v>69342</v>
      </c>
    </row>
    <row r="22866" spans="1:20" x14ac:dyDescent="0.25">
      <c r="A22866" t="str">
        <f>"3041934"</f>
        <v>3041934</v>
      </c>
      <c r="B22866" t="s">
        <v>69343</v>
      </c>
      <c r="C22866" t="str">
        <f>"8322445"</f>
        <v>8322445</v>
      </c>
      <c r="D22866" t="s">
        <v>69344</v>
      </c>
      <c r="E22866" t="s">
        <v>69345</v>
      </c>
      <c r="F22866" t="s">
        <v>69346</v>
      </c>
      <c r="I22866" t="s">
        <v>2071</v>
      </c>
      <c r="J22866" t="s">
        <v>30</v>
      </c>
      <c r="K22866" t="s">
        <v>41320</v>
      </c>
      <c r="M22866" t="s">
        <v>50500</v>
      </c>
      <c r="N22866" t="str">
        <f>"6/6/2024 8:42:00 AM"</f>
        <v>6/6/2024 8:42:00 AM</v>
      </c>
      <c r="O22866" t="s">
        <v>69344</v>
      </c>
      <c r="T22866" t="s">
        <v>69345</v>
      </c>
    </row>
    <row r="22867" spans="1:20" x14ac:dyDescent="0.25">
      <c r="A22867" t="str">
        <f>"3060132"</f>
        <v>3060132</v>
      </c>
      <c r="B22867" t="s">
        <v>69347</v>
      </c>
      <c r="C22867" t="str">
        <f>"8322446"</f>
        <v>8322446</v>
      </c>
      <c r="D22867" t="s">
        <v>69348</v>
      </c>
      <c r="E22867" t="s">
        <v>69349</v>
      </c>
      <c r="F22867" t="s">
        <v>69350</v>
      </c>
      <c r="I22867" t="s">
        <v>184</v>
      </c>
      <c r="J22867" t="s">
        <v>30</v>
      </c>
      <c r="K22867" t="s">
        <v>34524</v>
      </c>
      <c r="M22867" t="s">
        <v>50500</v>
      </c>
      <c r="N22867" t="str">
        <f>"6/6/2024 8:52:00 AM"</f>
        <v>6/6/2024 8:52:00 AM</v>
      </c>
      <c r="O22867" t="s">
        <v>69348</v>
      </c>
      <c r="T22867" t="s">
        <v>69349</v>
      </c>
    </row>
    <row r="22868" spans="1:20" x14ac:dyDescent="0.25">
      <c r="A22868" t="str">
        <f>"3052580"</f>
        <v>3052580</v>
      </c>
      <c r="B22868" t="s">
        <v>69351</v>
      </c>
      <c r="C22868" t="str">
        <f>"50168000"</f>
        <v>50168000</v>
      </c>
      <c r="D22868" t="s">
        <v>69352</v>
      </c>
      <c r="F22868" t="s">
        <v>69353</v>
      </c>
      <c r="I22868" t="s">
        <v>29</v>
      </c>
      <c r="J22868" t="s">
        <v>30</v>
      </c>
      <c r="K22868" t="s">
        <v>33641</v>
      </c>
      <c r="M22868" t="s">
        <v>50621</v>
      </c>
      <c r="N22868" t="str">
        <f>"6/6/2024 10:05:00 AM"</f>
        <v>6/6/2024 10:05:00 AM</v>
      </c>
      <c r="O22868" t="s">
        <v>69352</v>
      </c>
    </row>
    <row r="22869" spans="1:20" x14ac:dyDescent="0.25">
      <c r="A22869" t="str">
        <f>"3043969"</f>
        <v>3043969</v>
      </c>
      <c r="B22869" t="s">
        <v>69354</v>
      </c>
      <c r="C22869" t="str">
        <f>"27598500"</f>
        <v>27598500</v>
      </c>
      <c r="D22869" t="s">
        <v>69355</v>
      </c>
      <c r="E22869" t="s">
        <v>69356</v>
      </c>
      <c r="F22869" t="s">
        <v>69357</v>
      </c>
      <c r="I22869" t="s">
        <v>184</v>
      </c>
      <c r="J22869" t="s">
        <v>30</v>
      </c>
      <c r="K22869" t="s">
        <v>185</v>
      </c>
      <c r="M22869" t="s">
        <v>50621</v>
      </c>
      <c r="N22869" t="str">
        <f>"5/21/2024 12:02:00 PM"</f>
        <v>5/21/2024 12:02:00 PM</v>
      </c>
      <c r="O22869" t="s">
        <v>69355</v>
      </c>
      <c r="T22869" t="s">
        <v>69356</v>
      </c>
    </row>
    <row r="22870" spans="1:20" x14ac:dyDescent="0.25">
      <c r="A22870" t="str">
        <f>"3054490"</f>
        <v>3054490</v>
      </c>
      <c r="B22870" t="s">
        <v>69358</v>
      </c>
      <c r="C22870" t="str">
        <f>"82529890"</f>
        <v>82529890</v>
      </c>
      <c r="D22870" t="s">
        <v>69359</v>
      </c>
      <c r="F22870" t="s">
        <v>69360</v>
      </c>
      <c r="I22870" t="s">
        <v>2280</v>
      </c>
      <c r="J22870" t="s">
        <v>30</v>
      </c>
      <c r="K22870" t="s">
        <v>9127</v>
      </c>
      <c r="M22870" t="s">
        <v>50621</v>
      </c>
      <c r="N22870" t="str">
        <f>"5/21/2024 12:08:00 PM"</f>
        <v>5/21/2024 12:08:00 PM</v>
      </c>
      <c r="O22870" t="s">
        <v>69359</v>
      </c>
    </row>
    <row r="22871" spans="1:20" x14ac:dyDescent="0.25">
      <c r="A22871" t="str">
        <f>"3069866"</f>
        <v>3069866</v>
      </c>
      <c r="B22871" t="s">
        <v>69361</v>
      </c>
      <c r="C22871" t="str">
        <f>"8322480"</f>
        <v>8322480</v>
      </c>
      <c r="D22871" t="s">
        <v>69362</v>
      </c>
      <c r="E22871" t="s">
        <v>69363</v>
      </c>
      <c r="F22871" t="s">
        <v>69364</v>
      </c>
      <c r="I22871" t="s">
        <v>184</v>
      </c>
      <c r="J22871" t="s">
        <v>30</v>
      </c>
      <c r="K22871" t="s">
        <v>33412</v>
      </c>
      <c r="M22871" t="s">
        <v>50500</v>
      </c>
      <c r="N22871" t="str">
        <f>"6/10/2024 10:29:00 AM"</f>
        <v>6/10/2024 10:29:00 AM</v>
      </c>
      <c r="O22871" t="s">
        <v>69362</v>
      </c>
      <c r="T22871" t="s">
        <v>69363</v>
      </c>
    </row>
    <row r="22872" spans="1:20" x14ac:dyDescent="0.25">
      <c r="A22872" t="str">
        <f>"3061116"</f>
        <v>3061116</v>
      </c>
      <c r="B22872" t="s">
        <v>69365</v>
      </c>
      <c r="C22872" t="str">
        <f>"42076400"</f>
        <v>42076400</v>
      </c>
      <c r="D22872" t="s">
        <v>69366</v>
      </c>
      <c r="F22872" t="s">
        <v>69367</v>
      </c>
      <c r="I22872" t="s">
        <v>184</v>
      </c>
      <c r="J22872" t="s">
        <v>30</v>
      </c>
      <c r="K22872" t="s">
        <v>185</v>
      </c>
      <c r="M22872" t="s">
        <v>50793</v>
      </c>
      <c r="N22872" t="str">
        <f>"5/21/2024 1:17:00 PM"</f>
        <v>5/21/2024 1:17:00 PM</v>
      </c>
      <c r="O22872" t="s">
        <v>69366</v>
      </c>
    </row>
    <row r="22873" spans="1:20" x14ac:dyDescent="0.25">
      <c r="A22873" t="str">
        <f>"3060353"</f>
        <v>3060353</v>
      </c>
      <c r="B22873" t="s">
        <v>69368</v>
      </c>
      <c r="C22873" t="str">
        <f>"5172000"</f>
        <v>5172000</v>
      </c>
      <c r="D22873" t="s">
        <v>69369</v>
      </c>
      <c r="E22873" t="s">
        <v>69370</v>
      </c>
      <c r="F22873" t="s">
        <v>69371</v>
      </c>
      <c r="I22873" t="s">
        <v>29</v>
      </c>
      <c r="J22873" t="s">
        <v>30</v>
      </c>
      <c r="K22873" t="s">
        <v>31</v>
      </c>
      <c r="M22873" t="s">
        <v>50621</v>
      </c>
      <c r="N22873" t="str">
        <f>"5/21/2024 2:12:00 PM"</f>
        <v>5/21/2024 2:12:00 PM</v>
      </c>
      <c r="O22873" t="s">
        <v>69369</v>
      </c>
      <c r="T22873" t="s">
        <v>69370</v>
      </c>
    </row>
    <row r="22874" spans="1:20" x14ac:dyDescent="0.25">
      <c r="A22874" t="str">
        <f>"3047795"</f>
        <v>3047795</v>
      </c>
      <c r="B22874" t="s">
        <v>69372</v>
      </c>
      <c r="C22874" t="str">
        <f>"8310535"</f>
        <v>8310535</v>
      </c>
      <c r="D22874" t="s">
        <v>69373</v>
      </c>
      <c r="E22874" t="s">
        <v>69374</v>
      </c>
      <c r="F22874" t="s">
        <v>69375</v>
      </c>
      <c r="I22874" t="s">
        <v>184</v>
      </c>
      <c r="J22874" t="s">
        <v>30</v>
      </c>
      <c r="K22874" t="s">
        <v>69376</v>
      </c>
      <c r="M22874" t="s">
        <v>50793</v>
      </c>
      <c r="N22874" t="str">
        <f>"5/22/2024 9:50:00 AM"</f>
        <v>5/22/2024 9:50:00 AM</v>
      </c>
      <c r="O22874" t="s">
        <v>69373</v>
      </c>
      <c r="T22874" t="s">
        <v>69374</v>
      </c>
    </row>
    <row r="22875" spans="1:20" x14ac:dyDescent="0.25">
      <c r="A22875" t="str">
        <f>"3047320"</f>
        <v>3047320</v>
      </c>
      <c r="B22875" t="s">
        <v>69377</v>
      </c>
      <c r="C22875" t="str">
        <f>"8310535"</f>
        <v>8310535</v>
      </c>
      <c r="D22875" t="s">
        <v>69373</v>
      </c>
      <c r="E22875" t="s">
        <v>69374</v>
      </c>
      <c r="F22875" t="s">
        <v>69375</v>
      </c>
      <c r="I22875" t="s">
        <v>184</v>
      </c>
      <c r="J22875" t="s">
        <v>30</v>
      </c>
      <c r="K22875" t="s">
        <v>69376</v>
      </c>
      <c r="M22875" t="s">
        <v>50793</v>
      </c>
      <c r="N22875" t="str">
        <f>"5/22/2024 9:50:00 AM"</f>
        <v>5/22/2024 9:50:00 AM</v>
      </c>
      <c r="O22875" t="s">
        <v>69373</v>
      </c>
      <c r="T22875" t="s">
        <v>69374</v>
      </c>
    </row>
    <row r="22876" spans="1:20" x14ac:dyDescent="0.25">
      <c r="A22876" t="str">
        <f>"3057979"</f>
        <v>3057979</v>
      </c>
      <c r="B22876" t="s">
        <v>69378</v>
      </c>
      <c r="C22876" t="str">
        <f>"8316569"</f>
        <v>8316569</v>
      </c>
      <c r="D22876" t="s">
        <v>69379</v>
      </c>
      <c r="F22876" t="s">
        <v>69380</v>
      </c>
      <c r="I22876" t="s">
        <v>29</v>
      </c>
      <c r="J22876" t="s">
        <v>30</v>
      </c>
      <c r="K22876" t="s">
        <v>33586</v>
      </c>
      <c r="M22876" t="s">
        <v>50621</v>
      </c>
      <c r="N22876" t="str">
        <f>"5/22/2024 12:29:00 PM"</f>
        <v>5/22/2024 12:29:00 PM</v>
      </c>
      <c r="O22876" t="s">
        <v>69379</v>
      </c>
    </row>
    <row r="22877" spans="1:20" x14ac:dyDescent="0.25">
      <c r="A22877" t="str">
        <f>"3043395"</f>
        <v>3043395</v>
      </c>
      <c r="B22877" t="s">
        <v>69381</v>
      </c>
      <c r="C22877" t="str">
        <f>"8311549"</f>
        <v>8311549</v>
      </c>
      <c r="D22877" t="s">
        <v>69382</v>
      </c>
      <c r="E22877" t="s">
        <v>69383</v>
      </c>
      <c r="F22877" t="s">
        <v>69384</v>
      </c>
      <c r="I22877" t="s">
        <v>29</v>
      </c>
      <c r="J22877" t="s">
        <v>30</v>
      </c>
      <c r="K22877" t="s">
        <v>24907</v>
      </c>
      <c r="M22877" t="s">
        <v>32801</v>
      </c>
      <c r="N22877" t="str">
        <f>"5/24/2024 10:00:00 AM"</f>
        <v>5/24/2024 10:00:00 AM</v>
      </c>
      <c r="O22877" t="s">
        <v>69382</v>
      </c>
      <c r="T22877" t="s">
        <v>69383</v>
      </c>
    </row>
    <row r="22878" spans="1:20" x14ac:dyDescent="0.25">
      <c r="A22878" t="str">
        <f>"3045325"</f>
        <v>3045325</v>
      </c>
      <c r="B22878" t="s">
        <v>69385</v>
      </c>
      <c r="C22878" t="str">
        <f>"78508000"</f>
        <v>78508000</v>
      </c>
      <c r="D22878" t="s">
        <v>69386</v>
      </c>
      <c r="E22878" t="s">
        <v>69387</v>
      </c>
      <c r="F22878" t="s">
        <v>69388</v>
      </c>
      <c r="I22878" t="s">
        <v>29</v>
      </c>
      <c r="J22878" t="s">
        <v>30</v>
      </c>
      <c r="K22878" t="s">
        <v>34760</v>
      </c>
      <c r="M22878" t="s">
        <v>51351</v>
      </c>
      <c r="N22878" t="str">
        <f>"5/24/2024 12:11:00 PM"</f>
        <v>5/24/2024 12:11:00 PM</v>
      </c>
      <c r="O22878" t="s">
        <v>69386</v>
      </c>
      <c r="T22878" t="s">
        <v>69387</v>
      </c>
    </row>
    <row r="22879" spans="1:20" x14ac:dyDescent="0.25">
      <c r="A22879" t="str">
        <f>"3050178"</f>
        <v>3050178</v>
      </c>
      <c r="B22879" t="s">
        <v>69389</v>
      </c>
      <c r="C22879" t="str">
        <f>"8302728"</f>
        <v>8302728</v>
      </c>
      <c r="D22879" t="s">
        <v>69390</v>
      </c>
      <c r="E22879" t="s">
        <v>69391</v>
      </c>
      <c r="F22879" t="s">
        <v>69392</v>
      </c>
      <c r="I22879" t="s">
        <v>29</v>
      </c>
      <c r="J22879" t="s">
        <v>30</v>
      </c>
      <c r="K22879" t="s">
        <v>42245</v>
      </c>
      <c r="M22879" t="s">
        <v>51351</v>
      </c>
      <c r="N22879" t="str">
        <f>"5/28/2024 1:01:00 PM"</f>
        <v>5/28/2024 1:01:00 PM</v>
      </c>
      <c r="O22879" t="s">
        <v>69390</v>
      </c>
      <c r="T22879" t="s">
        <v>69391</v>
      </c>
    </row>
    <row r="22880" spans="1:20" x14ac:dyDescent="0.25">
      <c r="A22880" t="str">
        <f>"3045318"</f>
        <v>3045318</v>
      </c>
      <c r="B22880" t="s">
        <v>69393</v>
      </c>
      <c r="C22880" t="str">
        <f>"8311770"</f>
        <v>8311770</v>
      </c>
      <c r="D22880" t="s">
        <v>69394</v>
      </c>
      <c r="E22880" t="s">
        <v>69395</v>
      </c>
      <c r="F22880" t="s">
        <v>69396</v>
      </c>
      <c r="I22880" t="s">
        <v>29</v>
      </c>
      <c r="J22880" t="s">
        <v>30</v>
      </c>
      <c r="K22880" t="str">
        <f>"27028"</f>
        <v>27028</v>
      </c>
      <c r="M22880" t="s">
        <v>52111</v>
      </c>
      <c r="N22880" t="str">
        <f>"5/29/2024 3:26:00 PM"</f>
        <v>5/29/2024 3:26:00 PM</v>
      </c>
      <c r="O22880" t="s">
        <v>69394</v>
      </c>
      <c r="T22880" t="s">
        <v>69395</v>
      </c>
    </row>
    <row r="22881" spans="1:20" x14ac:dyDescent="0.25">
      <c r="A22881" t="str">
        <f>"3056960"</f>
        <v>3056960</v>
      </c>
      <c r="B22881" t="s">
        <v>69397</v>
      </c>
      <c r="C22881" t="str">
        <f>"82532798"</f>
        <v>82532798</v>
      </c>
      <c r="D22881" t="s">
        <v>69206</v>
      </c>
      <c r="E22881" t="s">
        <v>69207</v>
      </c>
      <c r="F22881" t="s">
        <v>69208</v>
      </c>
      <c r="I22881" t="s">
        <v>29</v>
      </c>
      <c r="J22881" t="s">
        <v>30</v>
      </c>
      <c r="K22881" t="s">
        <v>31</v>
      </c>
      <c r="M22881" t="s">
        <v>20405</v>
      </c>
      <c r="N22881" t="str">
        <f>"5/30/2024 10:17:00 AM"</f>
        <v>5/30/2024 10:17:00 AM</v>
      </c>
      <c r="O22881" t="s">
        <v>69206</v>
      </c>
      <c r="T22881" t="s">
        <v>69207</v>
      </c>
    </row>
    <row r="22882" spans="1:20" x14ac:dyDescent="0.25">
      <c r="A22882" t="str">
        <f>"3058681"</f>
        <v>3058681</v>
      </c>
      <c r="B22882" t="s">
        <v>69398</v>
      </c>
      <c r="C22882" t="str">
        <f>"8322423"</f>
        <v>8322423</v>
      </c>
      <c r="D22882" t="s">
        <v>69399</v>
      </c>
      <c r="E22882" t="s">
        <v>69400</v>
      </c>
      <c r="F22882" t="s">
        <v>69401</v>
      </c>
      <c r="I22882" t="s">
        <v>184</v>
      </c>
      <c r="J22882" t="s">
        <v>30</v>
      </c>
      <c r="K22882" t="s">
        <v>64153</v>
      </c>
      <c r="M22882" t="s">
        <v>50500</v>
      </c>
      <c r="N22882" t="str">
        <f>"5/31/2024 8:42:00 AM"</f>
        <v>5/31/2024 8:42:00 AM</v>
      </c>
      <c r="O22882" t="s">
        <v>69399</v>
      </c>
      <c r="T22882" t="s">
        <v>69400</v>
      </c>
    </row>
    <row r="22883" spans="1:20" x14ac:dyDescent="0.25">
      <c r="A22883" t="str">
        <f>"3058631"</f>
        <v>3058631</v>
      </c>
      <c r="B22883" t="s">
        <v>69402</v>
      </c>
      <c r="C22883" t="str">
        <f>"8322424"</f>
        <v>8322424</v>
      </c>
      <c r="D22883" t="s">
        <v>69403</v>
      </c>
      <c r="E22883" t="s">
        <v>69404</v>
      </c>
      <c r="F22883" t="s">
        <v>69405</v>
      </c>
      <c r="I22883" t="s">
        <v>29</v>
      </c>
      <c r="J22883" t="s">
        <v>30</v>
      </c>
      <c r="K22883" t="s">
        <v>68180</v>
      </c>
      <c r="M22883" t="s">
        <v>50500</v>
      </c>
      <c r="N22883" t="str">
        <f>"5/31/2024 8:47:00 AM"</f>
        <v>5/31/2024 8:47:00 AM</v>
      </c>
      <c r="O22883" t="s">
        <v>69403</v>
      </c>
      <c r="T22883" t="s">
        <v>69404</v>
      </c>
    </row>
    <row r="22884" spans="1:20" x14ac:dyDescent="0.25">
      <c r="A22884" t="str">
        <f>"3062644"</f>
        <v>3062644</v>
      </c>
      <c r="B22884" t="s">
        <v>69406</v>
      </c>
      <c r="C22884" t="str">
        <f>"8322432"</f>
        <v>8322432</v>
      </c>
      <c r="D22884" t="s">
        <v>69407</v>
      </c>
      <c r="E22884" t="s">
        <v>69408</v>
      </c>
      <c r="F22884" t="s">
        <v>69409</v>
      </c>
      <c r="I22884" t="s">
        <v>29</v>
      </c>
      <c r="J22884" t="s">
        <v>30</v>
      </c>
      <c r="K22884" t="str">
        <f>"27028"</f>
        <v>27028</v>
      </c>
      <c r="M22884" t="s">
        <v>50500</v>
      </c>
      <c r="N22884" t="str">
        <f>"5/31/2024 9:26:00 AM"</f>
        <v>5/31/2024 9:26:00 AM</v>
      </c>
      <c r="O22884" t="s">
        <v>69407</v>
      </c>
      <c r="T22884" t="s">
        <v>69408</v>
      </c>
    </row>
    <row r="22885" spans="1:20" x14ac:dyDescent="0.25">
      <c r="A22885" t="str">
        <f>"3072554"</f>
        <v>3072554</v>
      </c>
      <c r="B22885" t="s">
        <v>69410</v>
      </c>
      <c r="C22885" t="str">
        <f>"6245390"</f>
        <v>6245390</v>
      </c>
      <c r="D22885" t="s">
        <v>69411</v>
      </c>
      <c r="E22885" t="s">
        <v>69412</v>
      </c>
      <c r="F22885" t="s">
        <v>69413</v>
      </c>
      <c r="I22885" t="s">
        <v>29</v>
      </c>
      <c r="J22885" t="s">
        <v>30</v>
      </c>
      <c r="K22885" t="s">
        <v>69414</v>
      </c>
      <c r="M22885" t="s">
        <v>50621</v>
      </c>
      <c r="N22885" t="str">
        <f>"5/21/2024 11:27:00 AM"</f>
        <v>5/21/2024 11:27:00 AM</v>
      </c>
      <c r="O22885" t="s">
        <v>69411</v>
      </c>
      <c r="T22885" t="s">
        <v>69412</v>
      </c>
    </row>
    <row r="22886" spans="1:20" x14ac:dyDescent="0.25">
      <c r="A22886" t="str">
        <f>"3062329"</f>
        <v>3062329</v>
      </c>
      <c r="B22886" t="s">
        <v>69415</v>
      </c>
      <c r="C22886" t="str">
        <f>"8303314"</f>
        <v>8303314</v>
      </c>
      <c r="D22886" t="s">
        <v>69097</v>
      </c>
      <c r="F22886" t="s">
        <v>69098</v>
      </c>
      <c r="I22886" t="s">
        <v>471</v>
      </c>
      <c r="J22886" t="s">
        <v>30</v>
      </c>
      <c r="K22886" t="s">
        <v>69099</v>
      </c>
      <c r="M22886" t="s">
        <v>50621</v>
      </c>
      <c r="N22886" t="str">
        <f>"5/21/2024 11:31:00 AM"</f>
        <v>5/21/2024 11:31:00 AM</v>
      </c>
      <c r="O22886" t="s">
        <v>69097</v>
      </c>
    </row>
    <row r="22887" spans="1:20" x14ac:dyDescent="0.25">
      <c r="A22887" t="str">
        <f>"3039223"</f>
        <v>3039223</v>
      </c>
      <c r="B22887" t="s">
        <v>69416</v>
      </c>
      <c r="C22887" t="str">
        <f>"8309811"</f>
        <v>8309811</v>
      </c>
      <c r="D22887" t="s">
        <v>69417</v>
      </c>
      <c r="F22887" t="s">
        <v>69418</v>
      </c>
      <c r="I22887" t="s">
        <v>29</v>
      </c>
      <c r="J22887" t="s">
        <v>30</v>
      </c>
      <c r="K22887" t="s">
        <v>63676</v>
      </c>
      <c r="M22887" t="s">
        <v>50621</v>
      </c>
      <c r="N22887" t="str">
        <f>"6/4/2024 10:53:00 AM"</f>
        <v>6/4/2024 10:53:00 AM</v>
      </c>
      <c r="O22887" t="s">
        <v>69417</v>
      </c>
    </row>
    <row r="22888" spans="1:20" x14ac:dyDescent="0.25">
      <c r="A22888" t="str">
        <f>"3056584"</f>
        <v>3056584</v>
      </c>
      <c r="B22888" t="s">
        <v>69419</v>
      </c>
      <c r="C22888" t="str">
        <f>"8307895"</f>
        <v>8307895</v>
      </c>
      <c r="D22888" t="s">
        <v>69420</v>
      </c>
      <c r="F22888" t="s">
        <v>69421</v>
      </c>
      <c r="I22888" t="s">
        <v>29</v>
      </c>
      <c r="J22888" t="s">
        <v>30</v>
      </c>
      <c r="K22888" t="s">
        <v>16358</v>
      </c>
      <c r="M22888" t="s">
        <v>50621</v>
      </c>
      <c r="N22888" t="str">
        <f>"6/5/2024 10:02:00 AM"</f>
        <v>6/5/2024 10:02:00 AM</v>
      </c>
      <c r="O22888" t="s">
        <v>69420</v>
      </c>
    </row>
    <row r="22889" spans="1:20" x14ac:dyDescent="0.25">
      <c r="A22889" t="str">
        <f>"3046167"</f>
        <v>3046167</v>
      </c>
      <c r="B22889" t="s">
        <v>69422</v>
      </c>
      <c r="C22889" t="str">
        <f>"70860000"</f>
        <v>70860000</v>
      </c>
      <c r="D22889" t="s">
        <v>69423</v>
      </c>
      <c r="F22889" t="s">
        <v>69424</v>
      </c>
      <c r="G22889" t="s">
        <v>69425</v>
      </c>
      <c r="I22889" t="s">
        <v>29</v>
      </c>
      <c r="J22889" t="s">
        <v>30</v>
      </c>
      <c r="K22889" t="str">
        <f>"27028"</f>
        <v>27028</v>
      </c>
      <c r="M22889" t="s">
        <v>50621</v>
      </c>
      <c r="N22889" t="str">
        <f>"6/5/2024 10:31:00 AM"</f>
        <v>6/5/2024 10:31:00 AM</v>
      </c>
      <c r="O22889" t="s">
        <v>69423</v>
      </c>
    </row>
    <row r="22890" spans="1:20" x14ac:dyDescent="0.25">
      <c r="A22890" t="str">
        <f>"3039012"</f>
        <v>3039012</v>
      </c>
      <c r="B22890" t="s">
        <v>69426</v>
      </c>
      <c r="C22890" t="str">
        <f>"8322444"</f>
        <v>8322444</v>
      </c>
      <c r="D22890" t="s">
        <v>69427</v>
      </c>
      <c r="E22890" t="s">
        <v>69428</v>
      </c>
      <c r="F22890" t="s">
        <v>69429</v>
      </c>
      <c r="I22890" t="s">
        <v>29</v>
      </c>
      <c r="J22890" t="s">
        <v>30</v>
      </c>
      <c r="K22890" t="s">
        <v>63676</v>
      </c>
      <c r="M22890" t="s">
        <v>50500</v>
      </c>
      <c r="N22890" t="str">
        <f>"6/6/2024 8:34:00 AM"</f>
        <v>6/6/2024 8:34:00 AM</v>
      </c>
      <c r="O22890" t="s">
        <v>69427</v>
      </c>
      <c r="T22890" t="s">
        <v>69428</v>
      </c>
    </row>
    <row r="22891" spans="1:20" x14ac:dyDescent="0.25">
      <c r="A22891" t="str">
        <f>"3063718"</f>
        <v>3063718</v>
      </c>
      <c r="B22891" t="s">
        <v>69430</v>
      </c>
      <c r="C22891" t="str">
        <f>"8316036"</f>
        <v>8316036</v>
      </c>
      <c r="D22891" t="s">
        <v>69431</v>
      </c>
      <c r="E22891" t="s">
        <v>69432</v>
      </c>
      <c r="F22891" t="s">
        <v>69433</v>
      </c>
      <c r="I22891" t="s">
        <v>29</v>
      </c>
      <c r="J22891" t="s">
        <v>30</v>
      </c>
      <c r="K22891" t="s">
        <v>397</v>
      </c>
      <c r="M22891" t="s">
        <v>52111</v>
      </c>
      <c r="N22891" t="str">
        <f>"6/6/2024 1:45:00 PM"</f>
        <v>6/6/2024 1:45:00 PM</v>
      </c>
      <c r="O22891" t="s">
        <v>69431</v>
      </c>
      <c r="T22891" t="s">
        <v>69432</v>
      </c>
    </row>
    <row r="22892" spans="1:20" x14ac:dyDescent="0.25">
      <c r="A22892" t="str">
        <f>"3039197"</f>
        <v>3039197</v>
      </c>
      <c r="B22892" t="s">
        <v>69434</v>
      </c>
      <c r="C22892" t="str">
        <f>"8322478"</f>
        <v>8322478</v>
      </c>
      <c r="D22892" t="s">
        <v>69435</v>
      </c>
      <c r="E22892" t="s">
        <v>69436</v>
      </c>
      <c r="F22892" t="s">
        <v>69437</v>
      </c>
      <c r="I22892" t="s">
        <v>29</v>
      </c>
      <c r="J22892" t="s">
        <v>30</v>
      </c>
      <c r="K22892" t="s">
        <v>44450</v>
      </c>
      <c r="M22892" t="s">
        <v>50500</v>
      </c>
      <c r="N22892" t="str">
        <f>"6/10/2024 9:43:00 AM"</f>
        <v>6/10/2024 9:43:00 AM</v>
      </c>
      <c r="O22892" t="s">
        <v>69435</v>
      </c>
      <c r="T22892" t="s">
        <v>69436</v>
      </c>
    </row>
    <row r="22893" spans="1:20" x14ac:dyDescent="0.25">
      <c r="A22893" t="str">
        <f>"3051761"</f>
        <v>3051761</v>
      </c>
      <c r="B22893" t="s">
        <v>69438</v>
      </c>
      <c r="C22893" t="str">
        <f>"8308610"</f>
        <v>8308610</v>
      </c>
      <c r="D22893" t="s">
        <v>69439</v>
      </c>
      <c r="F22893" t="s">
        <v>69440</v>
      </c>
      <c r="I22893" t="s">
        <v>29</v>
      </c>
      <c r="J22893" t="s">
        <v>30</v>
      </c>
      <c r="K22893" t="s">
        <v>56011</v>
      </c>
      <c r="M22893" t="s">
        <v>50621</v>
      </c>
      <c r="N22893" t="str">
        <f>"6/3/2024 10:39:00 AM"</f>
        <v>6/3/2024 10:39:00 AM</v>
      </c>
      <c r="O22893" t="s">
        <v>69439</v>
      </c>
    </row>
    <row r="22894" spans="1:20" x14ac:dyDescent="0.25">
      <c r="A22894" t="str">
        <f>"3051756"</f>
        <v>3051756</v>
      </c>
      <c r="B22894" t="s">
        <v>69441</v>
      </c>
      <c r="C22894" t="str">
        <f>"8308610"</f>
        <v>8308610</v>
      </c>
      <c r="D22894" t="s">
        <v>69439</v>
      </c>
      <c r="F22894" t="s">
        <v>69440</v>
      </c>
      <c r="I22894" t="s">
        <v>29</v>
      </c>
      <c r="J22894" t="s">
        <v>30</v>
      </c>
      <c r="K22894" t="s">
        <v>56011</v>
      </c>
      <c r="M22894" t="s">
        <v>50621</v>
      </c>
      <c r="N22894" t="str">
        <f>"6/3/2024 10:39:00 AM"</f>
        <v>6/3/2024 10:39:00 AM</v>
      </c>
      <c r="O22894" t="s">
        <v>69439</v>
      </c>
    </row>
    <row r="22895" spans="1:20" x14ac:dyDescent="0.25">
      <c r="A22895" t="str">
        <f>"3051230"</f>
        <v>3051230</v>
      </c>
      <c r="B22895" t="s">
        <v>69442</v>
      </c>
      <c r="C22895" t="str">
        <f>"8309774"</f>
        <v>8309774</v>
      </c>
      <c r="D22895" t="s">
        <v>69321</v>
      </c>
      <c r="F22895" t="s">
        <v>69322</v>
      </c>
      <c r="I22895" t="s">
        <v>29</v>
      </c>
      <c r="J22895" t="s">
        <v>30</v>
      </c>
      <c r="K22895" t="s">
        <v>55461</v>
      </c>
      <c r="M22895" t="s">
        <v>21510</v>
      </c>
      <c r="N22895" t="str">
        <f>"6/4/2024 9:18:00 AM"</f>
        <v>6/4/2024 9:18:00 AM</v>
      </c>
      <c r="O22895" t="s">
        <v>69321</v>
      </c>
    </row>
    <row r="22896" spans="1:20" x14ac:dyDescent="0.25">
      <c r="A22896" t="str">
        <f>"3039693"</f>
        <v>3039693</v>
      </c>
      <c r="B22896" t="s">
        <v>69443</v>
      </c>
      <c r="C22896" t="str">
        <f>"8322495"</f>
        <v>8322495</v>
      </c>
      <c r="D22896" t="s">
        <v>69444</v>
      </c>
      <c r="E22896" t="s">
        <v>69445</v>
      </c>
      <c r="F22896" t="s">
        <v>69446</v>
      </c>
      <c r="I22896" t="s">
        <v>184</v>
      </c>
      <c r="J22896" t="s">
        <v>30</v>
      </c>
      <c r="K22896" t="s">
        <v>42305</v>
      </c>
      <c r="M22896" t="s">
        <v>50500</v>
      </c>
      <c r="N22896" t="str">
        <f>"6/13/2024 3:26:00 PM"</f>
        <v>6/13/2024 3:26:00 PM</v>
      </c>
      <c r="O22896" t="s">
        <v>69444</v>
      </c>
      <c r="T22896" t="s">
        <v>69445</v>
      </c>
    </row>
    <row r="22897" spans="1:20" x14ac:dyDescent="0.25">
      <c r="A22897" t="str">
        <f>"3047936"</f>
        <v>3047936</v>
      </c>
      <c r="B22897" t="s">
        <v>69447</v>
      </c>
      <c r="C22897" t="str">
        <f>"8320848"</f>
        <v>8320848</v>
      </c>
      <c r="D22897" t="s">
        <v>69448</v>
      </c>
      <c r="E22897" t="s">
        <v>69449</v>
      </c>
      <c r="F22897" t="s">
        <v>69450</v>
      </c>
      <c r="I22897" t="s">
        <v>402</v>
      </c>
      <c r="J22897" t="s">
        <v>30</v>
      </c>
      <c r="K22897" t="s">
        <v>69451</v>
      </c>
      <c r="M22897" t="s">
        <v>25733</v>
      </c>
      <c r="N22897" t="str">
        <f>"6/18/2024 12:43:00 PM"</f>
        <v>6/18/2024 12:43:00 PM</v>
      </c>
      <c r="O22897" t="s">
        <v>69448</v>
      </c>
      <c r="T22897" t="s">
        <v>69449</v>
      </c>
    </row>
    <row r="22898" spans="1:20" x14ac:dyDescent="0.25">
      <c r="A22898" t="str">
        <f>"3054386"</f>
        <v>3054386</v>
      </c>
      <c r="B22898" t="s">
        <v>69452</v>
      </c>
      <c r="C22898" t="str">
        <f>"8315771"</f>
        <v>8315771</v>
      </c>
      <c r="D22898" t="s">
        <v>20280</v>
      </c>
      <c r="F22898" t="s">
        <v>69453</v>
      </c>
      <c r="I22898" t="s">
        <v>29</v>
      </c>
      <c r="J22898" t="s">
        <v>30</v>
      </c>
      <c r="K22898" t="s">
        <v>14790</v>
      </c>
      <c r="M22898" t="s">
        <v>50621</v>
      </c>
      <c r="N22898" t="str">
        <f>"6/20/2024 9:49:00 AM"</f>
        <v>6/20/2024 9:49:00 AM</v>
      </c>
      <c r="O22898" t="s">
        <v>20280</v>
      </c>
    </row>
    <row r="22899" spans="1:20" x14ac:dyDescent="0.25">
      <c r="A22899" t="str">
        <f>"3061835"</f>
        <v>3061835</v>
      </c>
      <c r="B22899" t="s">
        <v>69454</v>
      </c>
      <c r="C22899" t="str">
        <f>"8322496"</f>
        <v>8322496</v>
      </c>
      <c r="D22899" t="s">
        <v>69455</v>
      </c>
      <c r="E22899" t="s">
        <v>69456</v>
      </c>
      <c r="F22899" t="s">
        <v>69457</v>
      </c>
      <c r="I22899" t="s">
        <v>184</v>
      </c>
      <c r="J22899" t="s">
        <v>30</v>
      </c>
      <c r="K22899" t="s">
        <v>58030</v>
      </c>
      <c r="M22899" t="s">
        <v>50500</v>
      </c>
      <c r="N22899" t="str">
        <f>"6/13/2024 3:32:00 PM"</f>
        <v>6/13/2024 3:32:00 PM</v>
      </c>
      <c r="O22899" t="s">
        <v>69455</v>
      </c>
      <c r="T22899" t="s">
        <v>69456</v>
      </c>
    </row>
    <row r="22900" spans="1:20" x14ac:dyDescent="0.25">
      <c r="A22900" t="str">
        <f>"3058745"</f>
        <v>3058745</v>
      </c>
      <c r="B22900" t="s">
        <v>69458</v>
      </c>
      <c r="C22900" t="str">
        <f>"8322497"</f>
        <v>8322497</v>
      </c>
      <c r="D22900" t="s">
        <v>69459</v>
      </c>
      <c r="F22900" t="s">
        <v>69460</v>
      </c>
      <c r="I22900" t="s">
        <v>184</v>
      </c>
      <c r="J22900" t="s">
        <v>30</v>
      </c>
      <c r="K22900" t="s">
        <v>64153</v>
      </c>
      <c r="M22900" t="s">
        <v>50500</v>
      </c>
      <c r="N22900" t="str">
        <f>"6/13/2024 3:54:00 PM"</f>
        <v>6/13/2024 3:54:00 PM</v>
      </c>
      <c r="O22900" t="s">
        <v>69459</v>
      </c>
    </row>
    <row r="22901" spans="1:20" x14ac:dyDescent="0.25">
      <c r="A22901" t="str">
        <f>"3062751"</f>
        <v>3062751</v>
      </c>
      <c r="B22901" t="s">
        <v>69461</v>
      </c>
      <c r="C22901" t="str">
        <f>"8322500"</f>
        <v>8322500</v>
      </c>
      <c r="D22901" t="s">
        <v>69462</v>
      </c>
      <c r="F22901" t="s">
        <v>69463</v>
      </c>
      <c r="I22901" t="s">
        <v>29</v>
      </c>
      <c r="J22901" t="s">
        <v>30</v>
      </c>
      <c r="K22901" t="s">
        <v>68180</v>
      </c>
      <c r="M22901" t="s">
        <v>50500</v>
      </c>
      <c r="N22901" t="str">
        <f>"6/14/2024 8:13:00 AM"</f>
        <v>6/14/2024 8:13:00 AM</v>
      </c>
      <c r="O22901" t="s">
        <v>69462</v>
      </c>
    </row>
    <row r="22902" spans="1:20" x14ac:dyDescent="0.25">
      <c r="A22902" t="str">
        <f>"3047214"</f>
        <v>3047214</v>
      </c>
      <c r="B22902" t="s">
        <v>69464</v>
      </c>
      <c r="C22902" t="str">
        <f>"8322501"</f>
        <v>8322501</v>
      </c>
      <c r="D22902" t="s">
        <v>69465</v>
      </c>
      <c r="E22902" t="s">
        <v>69466</v>
      </c>
      <c r="F22902" t="s">
        <v>69467</v>
      </c>
      <c r="I22902" t="s">
        <v>29</v>
      </c>
      <c r="J22902" t="s">
        <v>30</v>
      </c>
      <c r="K22902" t="s">
        <v>24219</v>
      </c>
      <c r="M22902" t="s">
        <v>50500</v>
      </c>
      <c r="N22902" t="str">
        <f>"6/14/2024 8:17:00 AM"</f>
        <v>6/14/2024 8:17:00 AM</v>
      </c>
      <c r="O22902" t="s">
        <v>69465</v>
      </c>
      <c r="T22902" t="s">
        <v>69466</v>
      </c>
    </row>
    <row r="22903" spans="1:20" x14ac:dyDescent="0.25">
      <c r="A22903" t="str">
        <f>"3047262"</f>
        <v>3047262</v>
      </c>
      <c r="B22903" t="s">
        <v>69468</v>
      </c>
      <c r="C22903" t="str">
        <f>"77400000"</f>
        <v>77400000</v>
      </c>
      <c r="D22903" t="s">
        <v>69469</v>
      </c>
      <c r="F22903" t="s">
        <v>69470</v>
      </c>
      <c r="I22903" t="s">
        <v>7917</v>
      </c>
      <c r="J22903" t="s">
        <v>30</v>
      </c>
      <c r="K22903" t="s">
        <v>69471</v>
      </c>
      <c r="M22903" t="s">
        <v>51351</v>
      </c>
      <c r="N22903" t="str">
        <f>"6/25/2024 10:44:00 AM"</f>
        <v>6/25/2024 10:44:00 AM</v>
      </c>
      <c r="O22903" t="s">
        <v>69469</v>
      </c>
    </row>
    <row r="22904" spans="1:20" x14ac:dyDescent="0.25">
      <c r="A22904" t="str">
        <f>"3058645"</f>
        <v>3058645</v>
      </c>
      <c r="B22904" t="s">
        <v>69472</v>
      </c>
      <c r="C22904" t="str">
        <f>"8322481"</f>
        <v>8322481</v>
      </c>
      <c r="D22904" t="s">
        <v>69473</v>
      </c>
      <c r="E22904" t="s">
        <v>69474</v>
      </c>
      <c r="F22904" t="s">
        <v>69475</v>
      </c>
      <c r="I22904" t="s">
        <v>29</v>
      </c>
      <c r="J22904" t="s">
        <v>30</v>
      </c>
      <c r="K22904" t="s">
        <v>59681</v>
      </c>
      <c r="M22904" t="s">
        <v>50500</v>
      </c>
      <c r="N22904" t="str">
        <f>"6/10/2024 11:02:00 AM"</f>
        <v>6/10/2024 11:02:00 AM</v>
      </c>
      <c r="O22904" t="s">
        <v>69473</v>
      </c>
      <c r="T22904" t="s">
        <v>69474</v>
      </c>
    </row>
    <row r="22905" spans="1:20" x14ac:dyDescent="0.25">
      <c r="A22905" t="str">
        <f>"3052111"</f>
        <v>3052111</v>
      </c>
      <c r="B22905" t="s">
        <v>69476</v>
      </c>
      <c r="C22905" t="str">
        <f>"8322482"</f>
        <v>8322482</v>
      </c>
      <c r="D22905" t="s">
        <v>69477</v>
      </c>
      <c r="E22905" t="s">
        <v>69478</v>
      </c>
      <c r="F22905" t="s">
        <v>69479</v>
      </c>
      <c r="I22905" t="s">
        <v>29</v>
      </c>
      <c r="J22905" t="s">
        <v>30</v>
      </c>
      <c r="K22905" t="s">
        <v>13131</v>
      </c>
      <c r="M22905" t="s">
        <v>50500</v>
      </c>
      <c r="N22905" t="str">
        <f>"6/10/2024 11:06:00 AM"</f>
        <v>6/10/2024 11:06:00 AM</v>
      </c>
      <c r="O22905" t="s">
        <v>69477</v>
      </c>
      <c r="T22905" t="s">
        <v>69478</v>
      </c>
    </row>
    <row r="22906" spans="1:20" x14ac:dyDescent="0.25">
      <c r="A22906" t="str">
        <f>"3044885"</f>
        <v>3044885</v>
      </c>
      <c r="B22906" t="s">
        <v>69480</v>
      </c>
      <c r="C22906" t="str">
        <f>"8322483"</f>
        <v>8322483</v>
      </c>
      <c r="D22906" t="s">
        <v>69481</v>
      </c>
      <c r="E22906" t="s">
        <v>69482</v>
      </c>
      <c r="F22906" t="s">
        <v>69483</v>
      </c>
      <c r="I22906" t="s">
        <v>184</v>
      </c>
      <c r="J22906" t="s">
        <v>30</v>
      </c>
      <c r="K22906" t="s">
        <v>5629</v>
      </c>
      <c r="M22906" t="s">
        <v>50500</v>
      </c>
      <c r="N22906" t="str">
        <f>"6/10/2024 1:48:00 PM"</f>
        <v>6/10/2024 1:48:00 PM</v>
      </c>
      <c r="O22906" t="s">
        <v>69481</v>
      </c>
      <c r="T22906" t="s">
        <v>69482</v>
      </c>
    </row>
    <row r="22907" spans="1:20" x14ac:dyDescent="0.25">
      <c r="A22907" t="str">
        <f>"3049222"</f>
        <v>3049222</v>
      </c>
      <c r="B22907" t="s">
        <v>69484</v>
      </c>
      <c r="C22907" t="str">
        <f>"8321539"</f>
        <v>8321539</v>
      </c>
      <c r="D22907" t="s">
        <v>69485</v>
      </c>
      <c r="E22907" t="s">
        <v>69486</v>
      </c>
      <c r="F22907" t="s">
        <v>69487</v>
      </c>
      <c r="I22907" t="s">
        <v>29</v>
      </c>
      <c r="J22907" t="s">
        <v>30</v>
      </c>
      <c r="K22907" t="s">
        <v>44393</v>
      </c>
      <c r="M22907" t="s">
        <v>50500</v>
      </c>
      <c r="N22907" t="str">
        <f>"6/10/2024 3:08:00 PM"</f>
        <v>6/10/2024 3:08:00 PM</v>
      </c>
      <c r="O22907" t="s">
        <v>69485</v>
      </c>
      <c r="T22907" t="s">
        <v>69486</v>
      </c>
    </row>
    <row r="22908" spans="1:20" x14ac:dyDescent="0.25">
      <c r="A22908" t="str">
        <f>"3042305"</f>
        <v>3042305</v>
      </c>
      <c r="B22908" t="s">
        <v>69488</v>
      </c>
      <c r="C22908" t="str">
        <f>"82522259"</f>
        <v>82522259</v>
      </c>
      <c r="D22908" t="s">
        <v>4602</v>
      </c>
      <c r="E22908" t="s">
        <v>69489</v>
      </c>
      <c r="F22908" t="s">
        <v>69490</v>
      </c>
      <c r="I22908" t="s">
        <v>29</v>
      </c>
      <c r="J22908" t="s">
        <v>30</v>
      </c>
      <c r="K22908" t="s">
        <v>50985</v>
      </c>
      <c r="M22908" t="s">
        <v>50621</v>
      </c>
      <c r="N22908" t="str">
        <f>"6/26/2024 9:31:00 AM"</f>
        <v>6/26/2024 9:31:00 AM</v>
      </c>
      <c r="O22908" t="s">
        <v>4602</v>
      </c>
      <c r="T22908" t="s">
        <v>69489</v>
      </c>
    </row>
    <row r="22909" spans="1:20" x14ac:dyDescent="0.25">
      <c r="A22909" t="str">
        <f>"3051992"</f>
        <v>3051992</v>
      </c>
      <c r="B22909" t="s">
        <v>69491</v>
      </c>
      <c r="C22909" t="str">
        <f>"8310759"</f>
        <v>8310759</v>
      </c>
      <c r="D22909" t="s">
        <v>69492</v>
      </c>
      <c r="F22909" t="s">
        <v>69493</v>
      </c>
      <c r="I22909" t="s">
        <v>29</v>
      </c>
      <c r="J22909" t="s">
        <v>30</v>
      </c>
      <c r="K22909" t="s">
        <v>62935</v>
      </c>
      <c r="M22909" t="s">
        <v>25733</v>
      </c>
      <c r="N22909" t="str">
        <f>"6/26/2024 9:40:00 AM"</f>
        <v>6/26/2024 9:40:00 AM</v>
      </c>
      <c r="O22909" t="s">
        <v>69492</v>
      </c>
    </row>
    <row r="22910" spans="1:20" x14ac:dyDescent="0.25">
      <c r="A22910" t="str">
        <f>"3046811"</f>
        <v>3046811</v>
      </c>
      <c r="B22910" t="s">
        <v>69494</v>
      </c>
      <c r="C22910" t="str">
        <f>"8305841"</f>
        <v>8305841</v>
      </c>
      <c r="D22910" t="s">
        <v>69495</v>
      </c>
      <c r="E22910" t="s">
        <v>69496</v>
      </c>
      <c r="F22910" t="s">
        <v>69497</v>
      </c>
      <c r="I22910" t="s">
        <v>184</v>
      </c>
      <c r="J22910" t="s">
        <v>30</v>
      </c>
      <c r="K22910" t="str">
        <f>"27006"</f>
        <v>27006</v>
      </c>
      <c r="M22910" t="s">
        <v>50621</v>
      </c>
      <c r="N22910" t="str">
        <f>"6/26/2024 9:41:00 AM"</f>
        <v>6/26/2024 9:41:00 AM</v>
      </c>
      <c r="O22910" t="s">
        <v>69495</v>
      </c>
      <c r="T22910" t="s">
        <v>69496</v>
      </c>
    </row>
    <row r="22911" spans="1:20" x14ac:dyDescent="0.25">
      <c r="A22911" t="str">
        <f>"3062568"</f>
        <v>3062568</v>
      </c>
      <c r="B22911" t="s">
        <v>69498</v>
      </c>
      <c r="C22911" t="str">
        <f>"82518060"</f>
        <v>82518060</v>
      </c>
      <c r="D22911" t="s">
        <v>69499</v>
      </c>
      <c r="E22911" t="s">
        <v>69500</v>
      </c>
      <c r="F22911" t="s">
        <v>69501</v>
      </c>
      <c r="I22911" t="s">
        <v>184</v>
      </c>
      <c r="J22911" t="s">
        <v>30</v>
      </c>
      <c r="K22911" t="s">
        <v>185</v>
      </c>
      <c r="M22911" t="s">
        <v>50621</v>
      </c>
      <c r="N22911" t="str">
        <f>"6/26/2024 9:43:00 AM"</f>
        <v>6/26/2024 9:43:00 AM</v>
      </c>
      <c r="O22911" t="s">
        <v>69499</v>
      </c>
      <c r="T22911" t="s">
        <v>69500</v>
      </c>
    </row>
    <row r="22912" spans="1:20" x14ac:dyDescent="0.25">
      <c r="A22912" t="str">
        <f>"3058988"</f>
        <v>3058988</v>
      </c>
      <c r="B22912" t="s">
        <v>69502</v>
      </c>
      <c r="C22912" t="str">
        <f>"82523183"</f>
        <v>82523183</v>
      </c>
      <c r="D22912" t="s">
        <v>69503</v>
      </c>
      <c r="E22912" t="s">
        <v>69504</v>
      </c>
      <c r="F22912" t="s">
        <v>69505</v>
      </c>
      <c r="I22912" t="s">
        <v>29</v>
      </c>
      <c r="J22912" t="s">
        <v>30</v>
      </c>
      <c r="K22912" t="s">
        <v>69506</v>
      </c>
      <c r="M22912" t="s">
        <v>50621</v>
      </c>
      <c r="N22912" t="str">
        <f>"6/26/2024 9:55:00 AM"</f>
        <v>6/26/2024 9:55:00 AM</v>
      </c>
      <c r="O22912" t="s">
        <v>69503</v>
      </c>
      <c r="T22912" t="s">
        <v>69504</v>
      </c>
    </row>
    <row r="22913" spans="1:20" x14ac:dyDescent="0.25">
      <c r="A22913" t="str">
        <f>"3046468"</f>
        <v>3046468</v>
      </c>
      <c r="B22913" t="s">
        <v>69507</v>
      </c>
      <c r="C22913" t="str">
        <f>"34852000"</f>
        <v>34852000</v>
      </c>
      <c r="D22913" t="s">
        <v>69508</v>
      </c>
      <c r="E22913" t="s">
        <v>69509</v>
      </c>
      <c r="F22913" t="s">
        <v>69510</v>
      </c>
      <c r="G22913" t="s">
        <v>69511</v>
      </c>
      <c r="I22913" t="s">
        <v>184</v>
      </c>
      <c r="J22913" t="s">
        <v>30</v>
      </c>
      <c r="K22913" t="s">
        <v>69512</v>
      </c>
      <c r="M22913" t="s">
        <v>50621</v>
      </c>
      <c r="N22913" t="str">
        <f>"6/26/2024 9:57:00 AM"</f>
        <v>6/26/2024 9:57:00 AM</v>
      </c>
      <c r="O22913" t="s">
        <v>69508</v>
      </c>
      <c r="T22913" t="s">
        <v>69509</v>
      </c>
    </row>
    <row r="22914" spans="1:20" x14ac:dyDescent="0.25">
      <c r="A22914" t="str">
        <f>"3057989"</f>
        <v>3057989</v>
      </c>
      <c r="B22914" t="s">
        <v>69513</v>
      </c>
      <c r="C22914" t="str">
        <f>"8314599"</f>
        <v>8314599</v>
      </c>
      <c r="D22914" t="s">
        <v>69514</v>
      </c>
      <c r="E22914" t="s">
        <v>69515</v>
      </c>
      <c r="F22914" t="s">
        <v>69516</v>
      </c>
      <c r="I22914" t="s">
        <v>184</v>
      </c>
      <c r="J22914" t="s">
        <v>30</v>
      </c>
      <c r="K22914" t="s">
        <v>44648</v>
      </c>
      <c r="M22914" t="s">
        <v>25733</v>
      </c>
      <c r="N22914" t="str">
        <f>"6/26/2024 10:03:00 AM"</f>
        <v>6/26/2024 10:03:00 AM</v>
      </c>
      <c r="O22914" t="s">
        <v>69514</v>
      </c>
      <c r="T22914" t="s">
        <v>69515</v>
      </c>
    </row>
    <row r="22915" spans="1:20" x14ac:dyDescent="0.25">
      <c r="A22915" t="str">
        <f>"3075412"</f>
        <v>3075412</v>
      </c>
      <c r="B22915" t="s">
        <v>69517</v>
      </c>
      <c r="C22915" t="str">
        <f>"8322484"</f>
        <v>8322484</v>
      </c>
      <c r="D22915" t="s">
        <v>69518</v>
      </c>
      <c r="F22915" t="s">
        <v>69519</v>
      </c>
      <c r="I22915" t="s">
        <v>184</v>
      </c>
      <c r="J22915" t="s">
        <v>30</v>
      </c>
      <c r="K22915" t="s">
        <v>43385</v>
      </c>
      <c r="M22915" t="s">
        <v>50500</v>
      </c>
      <c r="N22915" t="str">
        <f>"6/10/2024 4:04:00 PM"</f>
        <v>6/10/2024 4:04:00 PM</v>
      </c>
      <c r="O22915" t="s">
        <v>69518</v>
      </c>
    </row>
    <row r="22916" spans="1:20" x14ac:dyDescent="0.25">
      <c r="A22916" t="str">
        <f>"3062287"</f>
        <v>3062287</v>
      </c>
      <c r="B22916" t="s">
        <v>69520</v>
      </c>
      <c r="C22916" t="str">
        <f>"8322485"</f>
        <v>8322485</v>
      </c>
      <c r="D22916" t="s">
        <v>69521</v>
      </c>
      <c r="F22916" t="s">
        <v>69522</v>
      </c>
      <c r="I22916" t="s">
        <v>29</v>
      </c>
      <c r="J22916" t="s">
        <v>30</v>
      </c>
      <c r="K22916" t="s">
        <v>14444</v>
      </c>
      <c r="M22916" t="s">
        <v>50500</v>
      </c>
      <c r="N22916" t="str">
        <f>"6/10/2024 4:08:00 PM"</f>
        <v>6/10/2024 4:08:00 PM</v>
      </c>
      <c r="O22916" t="s">
        <v>69521</v>
      </c>
    </row>
    <row r="22917" spans="1:20" x14ac:dyDescent="0.25">
      <c r="A22917" t="str">
        <f>"3043264"</f>
        <v>3043264</v>
      </c>
      <c r="B22917" t="s">
        <v>69523</v>
      </c>
      <c r="C22917" t="str">
        <f>"82532566"</f>
        <v>82532566</v>
      </c>
      <c r="D22917" t="s">
        <v>69524</v>
      </c>
      <c r="F22917" t="s">
        <v>8749</v>
      </c>
      <c r="I22917" t="s">
        <v>402</v>
      </c>
      <c r="J22917" t="s">
        <v>30</v>
      </c>
      <c r="K22917" t="s">
        <v>403</v>
      </c>
      <c r="M22917" t="s">
        <v>25733</v>
      </c>
      <c r="N22917" t="str">
        <f>"6/11/2024 2:10:00 PM"</f>
        <v>6/11/2024 2:10:00 PM</v>
      </c>
      <c r="O22917" t="s">
        <v>69524</v>
      </c>
    </row>
    <row r="22918" spans="1:20" x14ac:dyDescent="0.25">
      <c r="A22918" t="str">
        <f>"3045822"</f>
        <v>3045822</v>
      </c>
      <c r="B22918" t="s">
        <v>69525</v>
      </c>
      <c r="C22918" t="str">
        <f>"8322488"</f>
        <v>8322488</v>
      </c>
      <c r="D22918" t="s">
        <v>69526</v>
      </c>
      <c r="F22918" t="s">
        <v>69527</v>
      </c>
      <c r="I22918" t="s">
        <v>29</v>
      </c>
      <c r="J22918" t="s">
        <v>30</v>
      </c>
      <c r="K22918" t="s">
        <v>23550</v>
      </c>
      <c r="M22918" t="s">
        <v>50500</v>
      </c>
      <c r="N22918" t="str">
        <f>"6/11/2024 2:13:00 PM"</f>
        <v>6/11/2024 2:13:00 PM</v>
      </c>
      <c r="O22918" t="s">
        <v>69526</v>
      </c>
    </row>
    <row r="22919" spans="1:20" x14ac:dyDescent="0.25">
      <c r="A22919" t="str">
        <f>"3056993"</f>
        <v>3056993</v>
      </c>
      <c r="B22919" t="s">
        <v>69528</v>
      </c>
      <c r="C22919" t="str">
        <f>"48133000"</f>
        <v>48133000</v>
      </c>
      <c r="D22919" t="s">
        <v>69529</v>
      </c>
      <c r="E22919" t="s">
        <v>69530</v>
      </c>
      <c r="F22919" t="s">
        <v>69531</v>
      </c>
      <c r="I22919" t="s">
        <v>69532</v>
      </c>
      <c r="J22919" t="s">
        <v>1543</v>
      </c>
      <c r="K22919" t="s">
        <v>69533</v>
      </c>
      <c r="M22919" t="s">
        <v>25733</v>
      </c>
      <c r="N22919" t="str">
        <f>"6/11/2024 2:18:00 PM"</f>
        <v>6/11/2024 2:18:00 PM</v>
      </c>
      <c r="O22919" t="s">
        <v>69529</v>
      </c>
      <c r="T22919" t="s">
        <v>69530</v>
      </c>
    </row>
    <row r="22920" spans="1:20" x14ac:dyDescent="0.25">
      <c r="A22920" t="str">
        <f>"3056992"</f>
        <v>3056992</v>
      </c>
      <c r="B22920" t="s">
        <v>69534</v>
      </c>
      <c r="C22920" t="str">
        <f>"48133000"</f>
        <v>48133000</v>
      </c>
      <c r="D22920" t="s">
        <v>69529</v>
      </c>
      <c r="E22920" t="s">
        <v>69530</v>
      </c>
      <c r="F22920" t="s">
        <v>69531</v>
      </c>
      <c r="I22920" t="s">
        <v>69532</v>
      </c>
      <c r="J22920" t="s">
        <v>1543</v>
      </c>
      <c r="K22920" t="s">
        <v>69533</v>
      </c>
      <c r="M22920" t="s">
        <v>25733</v>
      </c>
      <c r="N22920" t="str">
        <f>"6/11/2024 2:18:00 PM"</f>
        <v>6/11/2024 2:18:00 PM</v>
      </c>
      <c r="O22920" t="s">
        <v>69529</v>
      </c>
      <c r="T22920" t="s">
        <v>69530</v>
      </c>
    </row>
    <row r="22921" spans="1:20" x14ac:dyDescent="0.25">
      <c r="A22921" t="str">
        <f>"3061045"</f>
        <v>3061045</v>
      </c>
      <c r="B22921" t="s">
        <v>69535</v>
      </c>
      <c r="C22921" t="str">
        <f>"8322489"</f>
        <v>8322489</v>
      </c>
      <c r="D22921" t="s">
        <v>69536</v>
      </c>
      <c r="F22921" t="s">
        <v>69537</v>
      </c>
      <c r="I22921" t="s">
        <v>37425</v>
      </c>
      <c r="J22921" t="s">
        <v>30</v>
      </c>
      <c r="K22921" t="s">
        <v>69538</v>
      </c>
      <c r="M22921" t="s">
        <v>50500</v>
      </c>
      <c r="N22921" t="str">
        <f>"6/11/2024 2:24:00 PM"</f>
        <v>6/11/2024 2:24:00 PM</v>
      </c>
      <c r="O22921" t="s">
        <v>69536</v>
      </c>
    </row>
    <row r="22922" spans="1:20" x14ac:dyDescent="0.25">
      <c r="A22922" t="str">
        <f>"3058776"</f>
        <v>3058776</v>
      </c>
      <c r="B22922" t="s">
        <v>69539</v>
      </c>
      <c r="C22922" t="str">
        <f>"8322490"</f>
        <v>8322490</v>
      </c>
      <c r="D22922" t="s">
        <v>69540</v>
      </c>
      <c r="F22922" t="s">
        <v>69541</v>
      </c>
      <c r="I22922" t="s">
        <v>29</v>
      </c>
      <c r="J22922" t="s">
        <v>30</v>
      </c>
      <c r="K22922" t="s">
        <v>11644</v>
      </c>
      <c r="M22922" t="s">
        <v>50500</v>
      </c>
      <c r="N22922" t="str">
        <f>"6/11/2024 2:31:00 PM"</f>
        <v>6/11/2024 2:31:00 PM</v>
      </c>
      <c r="O22922" t="s">
        <v>69540</v>
      </c>
    </row>
    <row r="22923" spans="1:20" x14ac:dyDescent="0.25">
      <c r="A22923" t="str">
        <f>"3038695"</f>
        <v>3038695</v>
      </c>
      <c r="B22923" t="s">
        <v>69542</v>
      </c>
      <c r="C22923" t="str">
        <f>"8308548"</f>
        <v>8308548</v>
      </c>
      <c r="D22923" t="s">
        <v>69543</v>
      </c>
      <c r="F22923" t="s">
        <v>69544</v>
      </c>
      <c r="I22923" t="s">
        <v>29</v>
      </c>
      <c r="J22923" t="s">
        <v>30</v>
      </c>
      <c r="K22923" t="s">
        <v>23550</v>
      </c>
      <c r="M22923" t="s">
        <v>25733</v>
      </c>
      <c r="N22923" t="str">
        <f>"6/11/2024 2:33:00 PM"</f>
        <v>6/11/2024 2:33:00 PM</v>
      </c>
      <c r="O22923" t="s">
        <v>69543</v>
      </c>
    </row>
    <row r="22924" spans="1:20" x14ac:dyDescent="0.25">
      <c r="A22924" t="str">
        <f>"3062022"</f>
        <v>3062022</v>
      </c>
      <c r="B22924" t="s">
        <v>69545</v>
      </c>
      <c r="C22924" t="str">
        <f>"8322491"</f>
        <v>8322491</v>
      </c>
      <c r="D22924" t="s">
        <v>69546</v>
      </c>
      <c r="E22924" t="s">
        <v>69547</v>
      </c>
      <c r="F22924" t="s">
        <v>69548</v>
      </c>
      <c r="I22924" t="s">
        <v>184</v>
      </c>
      <c r="J22924" t="s">
        <v>30</v>
      </c>
      <c r="K22924" t="s">
        <v>37164</v>
      </c>
      <c r="M22924" t="s">
        <v>50500</v>
      </c>
      <c r="N22924" t="str">
        <f>"6/12/2024 3:27:00 PM"</f>
        <v>6/12/2024 3:27:00 PM</v>
      </c>
      <c r="O22924" t="s">
        <v>69546</v>
      </c>
      <c r="T22924" t="s">
        <v>69547</v>
      </c>
    </row>
    <row r="22925" spans="1:20" x14ac:dyDescent="0.25">
      <c r="A22925" t="str">
        <f>"3042754"</f>
        <v>3042754</v>
      </c>
      <c r="B22925" t="s">
        <v>69549</v>
      </c>
      <c r="C22925" t="str">
        <f>"8322492"</f>
        <v>8322492</v>
      </c>
      <c r="D22925" t="s">
        <v>69550</v>
      </c>
      <c r="F22925" t="s">
        <v>69551</v>
      </c>
      <c r="I22925" t="s">
        <v>29</v>
      </c>
      <c r="J22925" t="s">
        <v>30</v>
      </c>
      <c r="K22925" t="s">
        <v>69552</v>
      </c>
      <c r="M22925" t="s">
        <v>50500</v>
      </c>
      <c r="N22925" t="str">
        <f>"6/13/2024 9:55:00 AM"</f>
        <v>6/13/2024 9:55:00 AM</v>
      </c>
      <c r="O22925" t="s">
        <v>69550</v>
      </c>
    </row>
    <row r="22926" spans="1:20" x14ac:dyDescent="0.25">
      <c r="A22926" t="str">
        <f>"3059623"</f>
        <v>3059623</v>
      </c>
      <c r="B22926" t="s">
        <v>69553</v>
      </c>
      <c r="C22926" t="str">
        <f>"8322494"</f>
        <v>8322494</v>
      </c>
      <c r="D22926" t="s">
        <v>69554</v>
      </c>
      <c r="E22926" t="s">
        <v>69555</v>
      </c>
      <c r="F22926" t="s">
        <v>69556</v>
      </c>
      <c r="I22926" t="s">
        <v>29</v>
      </c>
      <c r="J22926" t="s">
        <v>30</v>
      </c>
      <c r="K22926" t="s">
        <v>69557</v>
      </c>
      <c r="M22926" t="s">
        <v>50500</v>
      </c>
      <c r="N22926" t="str">
        <f>"6/13/2024 2:44:00 PM"</f>
        <v>6/13/2024 2:44:00 PM</v>
      </c>
      <c r="O22926" t="s">
        <v>69554</v>
      </c>
      <c r="T22926" t="s">
        <v>69555</v>
      </c>
    </row>
    <row r="22927" spans="1:20" x14ac:dyDescent="0.25">
      <c r="A22927" t="str">
        <f>"3042826"</f>
        <v>3042826</v>
      </c>
      <c r="B22927" t="s">
        <v>69558</v>
      </c>
      <c r="C22927" t="str">
        <f>"8300612"</f>
        <v>8300612</v>
      </c>
      <c r="D22927" t="s">
        <v>69559</v>
      </c>
      <c r="F22927" t="s">
        <v>69560</v>
      </c>
      <c r="I22927" t="s">
        <v>50233</v>
      </c>
      <c r="J22927" t="s">
        <v>2109</v>
      </c>
      <c r="K22927" t="s">
        <v>69561</v>
      </c>
      <c r="M22927" t="s">
        <v>50621</v>
      </c>
      <c r="N22927" t="str">
        <f>"6/21/2024 9:13:00 AM"</f>
        <v>6/21/2024 9:13:00 AM</v>
      </c>
      <c r="O22927" t="s">
        <v>69559</v>
      </c>
    </row>
    <row r="22928" spans="1:20" x14ac:dyDescent="0.25">
      <c r="A22928" t="str">
        <f>"3057711"</f>
        <v>3057711</v>
      </c>
      <c r="B22928" t="s">
        <v>69562</v>
      </c>
      <c r="C22928" t="str">
        <f>"82529533"</f>
        <v>82529533</v>
      </c>
      <c r="D22928" t="s">
        <v>69563</v>
      </c>
      <c r="E22928" t="s">
        <v>69564</v>
      </c>
      <c r="F22928" t="s">
        <v>69565</v>
      </c>
      <c r="I22928" t="s">
        <v>29</v>
      </c>
      <c r="J22928" t="s">
        <v>30</v>
      </c>
      <c r="K22928" t="s">
        <v>31</v>
      </c>
      <c r="M22928" t="s">
        <v>50621</v>
      </c>
      <c r="N22928" t="str">
        <f>"6/21/2024 10:05:00 AM"</f>
        <v>6/21/2024 10:05:00 AM</v>
      </c>
      <c r="O22928" t="s">
        <v>69563</v>
      </c>
      <c r="T22928" t="s">
        <v>69564</v>
      </c>
    </row>
    <row r="22929" spans="1:20" x14ac:dyDescent="0.25">
      <c r="A22929" t="str">
        <f>"3051086"</f>
        <v>3051086</v>
      </c>
      <c r="B22929" t="s">
        <v>69566</v>
      </c>
      <c r="C22929" t="str">
        <f>"8321085"</f>
        <v>8321085</v>
      </c>
      <c r="D22929" t="s">
        <v>69567</v>
      </c>
      <c r="F22929" t="s">
        <v>69568</v>
      </c>
      <c r="I22929" t="s">
        <v>29</v>
      </c>
      <c r="J22929" t="s">
        <v>30</v>
      </c>
      <c r="K22929" t="s">
        <v>69569</v>
      </c>
      <c r="M22929" t="s">
        <v>18479</v>
      </c>
      <c r="N22929" t="str">
        <f>"6/23/2024 11:06:00 PM"</f>
        <v>6/23/2024 11:06:00 PM</v>
      </c>
      <c r="O22929" t="s">
        <v>69567</v>
      </c>
    </row>
    <row r="22930" spans="1:20" x14ac:dyDescent="0.25">
      <c r="A22930" t="str">
        <f>"3063719"</f>
        <v>3063719</v>
      </c>
      <c r="B22930" t="s">
        <v>69570</v>
      </c>
      <c r="C22930" t="str">
        <f>"8308791"</f>
        <v>8308791</v>
      </c>
      <c r="D22930" t="s">
        <v>69571</v>
      </c>
      <c r="E22930" t="s">
        <v>69572</v>
      </c>
      <c r="F22930" t="s">
        <v>69573</v>
      </c>
      <c r="I22930" t="s">
        <v>29</v>
      </c>
      <c r="J22930" t="s">
        <v>30</v>
      </c>
      <c r="K22930" t="s">
        <v>57906</v>
      </c>
      <c r="M22930" t="s">
        <v>50793</v>
      </c>
      <c r="N22930" t="str">
        <f>"7/2/2024 2:04:00 PM"</f>
        <v>7/2/2024 2:04:00 PM</v>
      </c>
      <c r="O22930" t="s">
        <v>69571</v>
      </c>
      <c r="T22930" t="s">
        <v>69572</v>
      </c>
    </row>
    <row r="22931" spans="1:20" x14ac:dyDescent="0.25">
      <c r="A22931" t="str">
        <f>"3062696"</f>
        <v>3062696</v>
      </c>
      <c r="B22931" t="s">
        <v>69574</v>
      </c>
      <c r="C22931" t="str">
        <f>"82518864"</f>
        <v>82518864</v>
      </c>
      <c r="D22931" t="s">
        <v>69575</v>
      </c>
      <c r="E22931" t="s">
        <v>69576</v>
      </c>
      <c r="F22931" t="s">
        <v>69577</v>
      </c>
      <c r="I22931" t="s">
        <v>184</v>
      </c>
      <c r="J22931" t="s">
        <v>30</v>
      </c>
      <c r="K22931" t="s">
        <v>185</v>
      </c>
      <c r="M22931" t="s">
        <v>50793</v>
      </c>
      <c r="N22931" t="str">
        <f>"7/2/2024 2:05:00 PM"</f>
        <v>7/2/2024 2:05:00 PM</v>
      </c>
      <c r="O22931" t="s">
        <v>69575</v>
      </c>
      <c r="T22931" t="s">
        <v>69576</v>
      </c>
    </row>
    <row r="22932" spans="1:20" x14ac:dyDescent="0.25">
      <c r="A22932" t="str">
        <f>"3044661"</f>
        <v>3044661</v>
      </c>
      <c r="B22932" t="s">
        <v>69578</v>
      </c>
      <c r="C22932" t="str">
        <f>"82518864"</f>
        <v>82518864</v>
      </c>
      <c r="D22932" t="s">
        <v>69575</v>
      </c>
      <c r="E22932" t="s">
        <v>69576</v>
      </c>
      <c r="F22932" t="s">
        <v>69577</v>
      </c>
      <c r="I22932" t="s">
        <v>184</v>
      </c>
      <c r="J22932" t="s">
        <v>30</v>
      </c>
      <c r="K22932" t="s">
        <v>185</v>
      </c>
      <c r="M22932" t="s">
        <v>50793</v>
      </c>
      <c r="N22932" t="str">
        <f>"7/2/2024 2:05:00 PM"</f>
        <v>7/2/2024 2:05:00 PM</v>
      </c>
      <c r="O22932" t="s">
        <v>69575</v>
      </c>
      <c r="T22932" t="s">
        <v>69576</v>
      </c>
    </row>
    <row r="22933" spans="1:20" x14ac:dyDescent="0.25">
      <c r="A22933" t="str">
        <f>"3044401"</f>
        <v>3044401</v>
      </c>
      <c r="B22933" t="s">
        <v>69579</v>
      </c>
      <c r="C22933" t="str">
        <f>"8305355"</f>
        <v>8305355</v>
      </c>
      <c r="D22933" t="s">
        <v>69580</v>
      </c>
      <c r="E22933" t="s">
        <v>69581</v>
      </c>
      <c r="F22933" t="s">
        <v>69582</v>
      </c>
      <c r="I22933" t="s">
        <v>471</v>
      </c>
      <c r="J22933" t="s">
        <v>30</v>
      </c>
      <c r="K22933" t="str">
        <f>"27104"</f>
        <v>27104</v>
      </c>
      <c r="M22933" t="s">
        <v>50793</v>
      </c>
      <c r="N22933" t="str">
        <f>"7/2/2024 2:08:00 PM"</f>
        <v>7/2/2024 2:08:00 PM</v>
      </c>
      <c r="O22933" t="s">
        <v>69580</v>
      </c>
      <c r="T22933" t="s">
        <v>69581</v>
      </c>
    </row>
    <row r="22934" spans="1:20" x14ac:dyDescent="0.25">
      <c r="A22934" t="str">
        <f>"3051278"</f>
        <v>3051278</v>
      </c>
      <c r="B22934" t="s">
        <v>69583</v>
      </c>
      <c r="C22934" t="str">
        <f>"8322354"</f>
        <v>8322354</v>
      </c>
      <c r="D22934" t="s">
        <v>69584</v>
      </c>
      <c r="E22934" t="s">
        <v>69585</v>
      </c>
      <c r="F22934" t="s">
        <v>69586</v>
      </c>
      <c r="I22934" t="s">
        <v>29</v>
      </c>
      <c r="J22934" t="s">
        <v>30</v>
      </c>
      <c r="K22934" t="s">
        <v>69587</v>
      </c>
      <c r="M22934" t="s">
        <v>18479</v>
      </c>
      <c r="N22934" t="str">
        <f>"6/25/2024 12:33:00 AM"</f>
        <v>6/25/2024 12:33:00 AM</v>
      </c>
      <c r="O22934" t="s">
        <v>69584</v>
      </c>
      <c r="T22934" t="s">
        <v>69585</v>
      </c>
    </row>
    <row r="22935" spans="1:20" x14ac:dyDescent="0.25">
      <c r="A22935" t="str">
        <f>"3059902"</f>
        <v>3059902</v>
      </c>
      <c r="B22935" t="s">
        <v>69588</v>
      </c>
      <c r="C22935" t="str">
        <f>"8309371"</f>
        <v>8309371</v>
      </c>
      <c r="D22935" t="s">
        <v>69589</v>
      </c>
      <c r="E22935" t="s">
        <v>69590</v>
      </c>
      <c r="F22935" t="s">
        <v>69591</v>
      </c>
      <c r="I22935" t="s">
        <v>29</v>
      </c>
      <c r="J22935" t="s">
        <v>30</v>
      </c>
      <c r="K22935" t="s">
        <v>65634</v>
      </c>
      <c r="M22935" t="s">
        <v>25733</v>
      </c>
      <c r="N22935" t="str">
        <f>"6/26/2024 9:12:00 AM"</f>
        <v>6/26/2024 9:12:00 AM</v>
      </c>
      <c r="O22935" t="s">
        <v>69589</v>
      </c>
      <c r="T22935" t="s">
        <v>69590</v>
      </c>
    </row>
    <row r="22936" spans="1:20" x14ac:dyDescent="0.25">
      <c r="A22936" t="str">
        <f>"3048458"</f>
        <v>3048458</v>
      </c>
      <c r="B22936" t="s">
        <v>69592</v>
      </c>
      <c r="C22936" t="str">
        <f>"49964000"</f>
        <v>49964000</v>
      </c>
      <c r="D22936" t="s">
        <v>69593</v>
      </c>
      <c r="F22936" t="str">
        <f>"C/O NADEAN COLLETTE MCMAHAN"</f>
        <v>C/O NADEAN COLLETTE MCMAHAN</v>
      </c>
      <c r="G22936" t="str">
        <f>"431 W 24 1/2 ST"</f>
        <v>431 W 24 1/2 ST</v>
      </c>
      <c r="I22936" t="s">
        <v>471</v>
      </c>
      <c r="J22936" t="s">
        <v>30</v>
      </c>
      <c r="K22936" t="s">
        <v>69594</v>
      </c>
      <c r="M22936" t="s">
        <v>51351</v>
      </c>
      <c r="N22936" t="str">
        <f>"7/8/2024 12:26:00 PM"</f>
        <v>7/8/2024 12:26:00 PM</v>
      </c>
      <c r="O22936" t="s">
        <v>69593</v>
      </c>
    </row>
    <row r="22937" spans="1:20" x14ac:dyDescent="0.25">
      <c r="A22937" t="str">
        <f>"3069855"</f>
        <v>3069855</v>
      </c>
      <c r="B22937" t="s">
        <v>69595</v>
      </c>
      <c r="C22937" t="str">
        <f>"46033500"</f>
        <v>46033500</v>
      </c>
      <c r="D22937" t="s">
        <v>69596</v>
      </c>
      <c r="F22937" t="s">
        <v>69597</v>
      </c>
      <c r="I22937" t="s">
        <v>2071</v>
      </c>
      <c r="J22937" t="s">
        <v>30</v>
      </c>
      <c r="K22937" t="s">
        <v>185</v>
      </c>
      <c r="M22937" t="s">
        <v>18470</v>
      </c>
      <c r="N22937" t="str">
        <f>"7/8/2024 1:29:00 PM"</f>
        <v>7/8/2024 1:29:00 PM</v>
      </c>
      <c r="O22937" t="s">
        <v>69596</v>
      </c>
    </row>
    <row r="22938" spans="1:20" x14ac:dyDescent="0.25">
      <c r="A22938" t="str">
        <f>"3040303"</f>
        <v>3040303</v>
      </c>
      <c r="B22938" t="s">
        <v>69598</v>
      </c>
      <c r="C22938" t="str">
        <f>"8316504"</f>
        <v>8316504</v>
      </c>
      <c r="D22938" t="s">
        <v>69599</v>
      </c>
      <c r="E22938" t="s">
        <v>69600</v>
      </c>
      <c r="F22938" t="s">
        <v>68912</v>
      </c>
      <c r="I22938" t="s">
        <v>184</v>
      </c>
      <c r="J22938" t="s">
        <v>30</v>
      </c>
      <c r="K22938" t="s">
        <v>42300</v>
      </c>
      <c r="M22938" t="s">
        <v>50500</v>
      </c>
      <c r="N22938" t="str">
        <f>"6/14/2024 8:23:00 AM"</f>
        <v>6/14/2024 8:23:00 AM</v>
      </c>
      <c r="O22938" t="s">
        <v>69599</v>
      </c>
      <c r="T22938" t="s">
        <v>69600</v>
      </c>
    </row>
    <row r="22939" spans="1:20" x14ac:dyDescent="0.25">
      <c r="A22939" t="str">
        <f>"3059293"</f>
        <v>3059293</v>
      </c>
      <c r="B22939" t="s">
        <v>69601</v>
      </c>
      <c r="C22939" t="str">
        <f>"8313604"</f>
        <v>8313604</v>
      </c>
      <c r="D22939" t="s">
        <v>69602</v>
      </c>
      <c r="E22939" t="s">
        <v>69603</v>
      </c>
      <c r="F22939" t="s">
        <v>69604</v>
      </c>
      <c r="I22939" t="s">
        <v>29</v>
      </c>
      <c r="J22939" t="s">
        <v>30</v>
      </c>
      <c r="K22939" t="s">
        <v>33366</v>
      </c>
      <c r="M22939" t="s">
        <v>50621</v>
      </c>
      <c r="N22939" t="str">
        <f>"6/26/2024 9:16:00 AM"</f>
        <v>6/26/2024 9:16:00 AM</v>
      </c>
      <c r="O22939" t="s">
        <v>69602</v>
      </c>
      <c r="T22939" t="s">
        <v>69603</v>
      </c>
    </row>
    <row r="22940" spans="1:20" x14ac:dyDescent="0.25">
      <c r="A22940" t="str">
        <f>"3051294"</f>
        <v>3051294</v>
      </c>
      <c r="B22940" t="s">
        <v>69605</v>
      </c>
      <c r="C22940" t="str">
        <f>"82529160"</f>
        <v>82529160</v>
      </c>
      <c r="D22940" t="s">
        <v>69606</v>
      </c>
      <c r="F22940" t="s">
        <v>69607</v>
      </c>
      <c r="I22940" t="s">
        <v>29</v>
      </c>
      <c r="J22940" t="s">
        <v>30</v>
      </c>
      <c r="K22940" t="s">
        <v>31</v>
      </c>
      <c r="M22940" t="s">
        <v>50621</v>
      </c>
      <c r="N22940" t="str">
        <f>"6/26/2024 9:22:00 AM"</f>
        <v>6/26/2024 9:22:00 AM</v>
      </c>
      <c r="O22940" t="s">
        <v>69606</v>
      </c>
    </row>
    <row r="22941" spans="1:20" x14ac:dyDescent="0.25">
      <c r="A22941" t="str">
        <f>"3042682"</f>
        <v>3042682</v>
      </c>
      <c r="B22941" t="s">
        <v>69608</v>
      </c>
      <c r="C22941" t="str">
        <f>"82522259"</f>
        <v>82522259</v>
      </c>
      <c r="D22941" t="s">
        <v>4602</v>
      </c>
      <c r="E22941" t="s">
        <v>69489</v>
      </c>
      <c r="F22941" t="s">
        <v>69490</v>
      </c>
      <c r="I22941" t="s">
        <v>29</v>
      </c>
      <c r="J22941" t="s">
        <v>30</v>
      </c>
      <c r="K22941" t="s">
        <v>50985</v>
      </c>
      <c r="M22941" t="s">
        <v>50621</v>
      </c>
      <c r="N22941" t="str">
        <f>"6/26/2024 9:31:00 AM"</f>
        <v>6/26/2024 9:31:00 AM</v>
      </c>
      <c r="O22941" t="s">
        <v>4602</v>
      </c>
      <c r="T22941" t="s">
        <v>69489</v>
      </c>
    </row>
    <row r="22942" spans="1:20" x14ac:dyDescent="0.25">
      <c r="A22942" t="str">
        <f>"3056241"</f>
        <v>3056241</v>
      </c>
      <c r="B22942" t="s">
        <v>69609</v>
      </c>
      <c r="C22942" t="str">
        <f>"8305856"</f>
        <v>8305856</v>
      </c>
      <c r="D22942" t="s">
        <v>69610</v>
      </c>
      <c r="F22942" t="s">
        <v>69611</v>
      </c>
      <c r="I22942" t="s">
        <v>29</v>
      </c>
      <c r="J22942" t="s">
        <v>30</v>
      </c>
      <c r="K22942" t="str">
        <f>"27028"</f>
        <v>27028</v>
      </c>
      <c r="M22942" t="s">
        <v>50621</v>
      </c>
      <c r="N22942" t="str">
        <f>"6/17/2024 11:22:00 AM"</f>
        <v>6/17/2024 11:22:00 AM</v>
      </c>
      <c r="O22942" t="s">
        <v>69610</v>
      </c>
    </row>
    <row r="22943" spans="1:20" x14ac:dyDescent="0.25">
      <c r="A22943" t="str">
        <f>"3069638"</f>
        <v>3069638</v>
      </c>
      <c r="B22943" t="s">
        <v>69612</v>
      </c>
      <c r="C22943" t="str">
        <f>"8322534"</f>
        <v>8322534</v>
      </c>
      <c r="D22943" t="s">
        <v>69613</v>
      </c>
      <c r="E22943" t="s">
        <v>69614</v>
      </c>
      <c r="F22943" t="s">
        <v>69615</v>
      </c>
      <c r="I22943" t="s">
        <v>29</v>
      </c>
      <c r="J22943" t="s">
        <v>30</v>
      </c>
      <c r="K22943" t="s">
        <v>69616</v>
      </c>
      <c r="M22943" t="s">
        <v>50500</v>
      </c>
      <c r="N22943" t="str">
        <f>"7/12/2024 8:46:00 AM"</f>
        <v>7/12/2024 8:46:00 AM</v>
      </c>
      <c r="O22943" t="s">
        <v>69613</v>
      </c>
      <c r="T22943" t="s">
        <v>69614</v>
      </c>
    </row>
    <row r="22944" spans="1:20" x14ac:dyDescent="0.25">
      <c r="A22944" t="str">
        <f>"3041943"</f>
        <v>3041943</v>
      </c>
      <c r="B22944" t="s">
        <v>69617</v>
      </c>
      <c r="C22944" t="str">
        <f>"8322536"</f>
        <v>8322536</v>
      </c>
      <c r="D22944" t="s">
        <v>69618</v>
      </c>
      <c r="F22944" t="s">
        <v>69619</v>
      </c>
      <c r="I22944" t="s">
        <v>2589</v>
      </c>
      <c r="J22944" t="s">
        <v>30</v>
      </c>
      <c r="K22944" t="s">
        <v>69620</v>
      </c>
      <c r="M22944" t="s">
        <v>50500</v>
      </c>
      <c r="N22944" t="str">
        <f>"7/12/2024 9:21:00 AM"</f>
        <v>7/12/2024 9:21:00 AM</v>
      </c>
      <c r="O22944" t="s">
        <v>69618</v>
      </c>
    </row>
    <row r="22945" spans="1:20" x14ac:dyDescent="0.25">
      <c r="A22945" t="str">
        <f>"3046387"</f>
        <v>3046387</v>
      </c>
      <c r="B22945" t="s">
        <v>69621</v>
      </c>
      <c r="C22945" t="str">
        <f>"8322537"</f>
        <v>8322537</v>
      </c>
      <c r="D22945" t="s">
        <v>69622</v>
      </c>
      <c r="F22945" t="s">
        <v>69623</v>
      </c>
      <c r="I22945" t="s">
        <v>29</v>
      </c>
      <c r="J22945" t="s">
        <v>30</v>
      </c>
      <c r="K22945" t="s">
        <v>37095</v>
      </c>
      <c r="M22945" t="s">
        <v>50500</v>
      </c>
      <c r="N22945" t="str">
        <f>"7/12/2024 11:03:00 AM"</f>
        <v>7/12/2024 11:03:00 AM</v>
      </c>
      <c r="O22945" t="s">
        <v>69622</v>
      </c>
    </row>
    <row r="22946" spans="1:20" x14ac:dyDescent="0.25">
      <c r="A22946" t="str">
        <f>"3056091"</f>
        <v>3056091</v>
      </c>
      <c r="B22946" t="s">
        <v>69624</v>
      </c>
      <c r="C22946" t="str">
        <f>"8322538"</f>
        <v>8322538</v>
      </c>
      <c r="D22946" t="s">
        <v>69625</v>
      </c>
      <c r="E22946" t="s">
        <v>69626</v>
      </c>
      <c r="F22946" t="s">
        <v>69627</v>
      </c>
      <c r="I22946" t="s">
        <v>25280</v>
      </c>
      <c r="J22946" t="s">
        <v>30</v>
      </c>
      <c r="K22946" t="str">
        <f>"27014"</f>
        <v>27014</v>
      </c>
      <c r="M22946" t="s">
        <v>50500</v>
      </c>
      <c r="N22946" t="str">
        <f>"7/12/2024 11:09:00 AM"</f>
        <v>7/12/2024 11:09:00 AM</v>
      </c>
      <c r="O22946" t="s">
        <v>69625</v>
      </c>
      <c r="T22946" t="s">
        <v>69626</v>
      </c>
    </row>
    <row r="22947" spans="1:20" x14ac:dyDescent="0.25">
      <c r="A22947" t="str">
        <f>"3058676"</f>
        <v>3058676</v>
      </c>
      <c r="B22947" t="s">
        <v>69628</v>
      </c>
      <c r="C22947" t="str">
        <f>"8322539"</f>
        <v>8322539</v>
      </c>
      <c r="D22947" t="s">
        <v>69629</v>
      </c>
      <c r="E22947" t="s">
        <v>69630</v>
      </c>
      <c r="F22947" t="s">
        <v>69631</v>
      </c>
      <c r="I22947" t="s">
        <v>184</v>
      </c>
      <c r="J22947" t="s">
        <v>30</v>
      </c>
      <c r="K22947" t="s">
        <v>64153</v>
      </c>
      <c r="M22947" t="s">
        <v>50500</v>
      </c>
      <c r="N22947" t="str">
        <f>"7/12/2024 11:19:00 AM"</f>
        <v>7/12/2024 11:19:00 AM</v>
      </c>
      <c r="O22947" t="s">
        <v>69629</v>
      </c>
      <c r="T22947" t="s">
        <v>69630</v>
      </c>
    </row>
    <row r="22948" spans="1:20" x14ac:dyDescent="0.25">
      <c r="A22948" t="str">
        <f>"3062687"</f>
        <v>3062687</v>
      </c>
      <c r="B22948" t="s">
        <v>69632</v>
      </c>
      <c r="C22948" t="str">
        <f>"8322540"</f>
        <v>8322540</v>
      </c>
      <c r="D22948" t="s">
        <v>69633</v>
      </c>
      <c r="E22948" t="s">
        <v>69634</v>
      </c>
      <c r="F22948" t="s">
        <v>69635</v>
      </c>
      <c r="I22948" t="s">
        <v>29</v>
      </c>
      <c r="J22948" t="s">
        <v>30</v>
      </c>
      <c r="K22948" t="s">
        <v>33476</v>
      </c>
      <c r="M22948" t="s">
        <v>50500</v>
      </c>
      <c r="N22948" t="str">
        <f>"7/12/2024 11:24:00 AM"</f>
        <v>7/12/2024 11:24:00 AM</v>
      </c>
      <c r="O22948" t="s">
        <v>69633</v>
      </c>
      <c r="T22948" t="s">
        <v>69634</v>
      </c>
    </row>
    <row r="22949" spans="1:20" x14ac:dyDescent="0.25">
      <c r="A22949" t="str">
        <f>"3043968"</f>
        <v>3043968</v>
      </c>
      <c r="B22949" t="s">
        <v>69636</v>
      </c>
      <c r="C22949" t="str">
        <f>"82515909"</f>
        <v>82515909</v>
      </c>
      <c r="D22949" t="s">
        <v>69637</v>
      </c>
      <c r="E22949" t="s">
        <v>40273</v>
      </c>
      <c r="F22949" t="s">
        <v>40274</v>
      </c>
      <c r="I22949" t="s">
        <v>2589</v>
      </c>
      <c r="J22949" t="s">
        <v>30</v>
      </c>
      <c r="K22949" t="s">
        <v>40275</v>
      </c>
      <c r="M22949" t="s">
        <v>25733</v>
      </c>
      <c r="N22949" t="str">
        <f>"6/17/2024 3:06:00 PM"</f>
        <v>6/17/2024 3:06:00 PM</v>
      </c>
      <c r="O22949" t="s">
        <v>69637</v>
      </c>
      <c r="T22949" t="s">
        <v>40273</v>
      </c>
    </row>
    <row r="22950" spans="1:20" x14ac:dyDescent="0.25">
      <c r="A22950" t="str">
        <f>"3044130"</f>
        <v>3044130</v>
      </c>
      <c r="B22950" t="s">
        <v>69638</v>
      </c>
      <c r="C22950" t="str">
        <f>"82515909"</f>
        <v>82515909</v>
      </c>
      <c r="D22950" t="s">
        <v>69637</v>
      </c>
      <c r="E22950" t="s">
        <v>40273</v>
      </c>
      <c r="F22950" t="s">
        <v>40274</v>
      </c>
      <c r="I22950" t="s">
        <v>2589</v>
      </c>
      <c r="J22950" t="s">
        <v>30</v>
      </c>
      <c r="K22950" t="s">
        <v>40275</v>
      </c>
      <c r="M22950" t="s">
        <v>25733</v>
      </c>
      <c r="N22950" t="str">
        <f>"6/17/2024 3:06:00 PM"</f>
        <v>6/17/2024 3:06:00 PM</v>
      </c>
      <c r="O22950" t="s">
        <v>69637</v>
      </c>
      <c r="T22950" t="s">
        <v>40273</v>
      </c>
    </row>
    <row r="22951" spans="1:20" x14ac:dyDescent="0.25">
      <c r="A22951" t="str">
        <f>"3046801"</f>
        <v>3046801</v>
      </c>
      <c r="B22951" t="s">
        <v>69639</v>
      </c>
      <c r="C22951" t="str">
        <f>"8321267"</f>
        <v>8321267</v>
      </c>
      <c r="D22951" t="s">
        <v>12896</v>
      </c>
      <c r="E22951" t="s">
        <v>12897</v>
      </c>
      <c r="F22951" t="s">
        <v>69640</v>
      </c>
      <c r="I22951" t="s">
        <v>471</v>
      </c>
      <c r="J22951" t="s">
        <v>30</v>
      </c>
      <c r="K22951" t="s">
        <v>69641</v>
      </c>
      <c r="M22951" t="s">
        <v>18479</v>
      </c>
      <c r="N22951" t="str">
        <f>"7/1/2024 12:36:00 AM"</f>
        <v>7/1/2024 12:36:00 AM</v>
      </c>
      <c r="O22951" t="s">
        <v>12896</v>
      </c>
      <c r="T22951" t="s">
        <v>12897</v>
      </c>
    </row>
    <row r="22952" spans="1:20" x14ac:dyDescent="0.25">
      <c r="A22952" t="str">
        <f>"3058686"</f>
        <v>3058686</v>
      </c>
      <c r="B22952" t="s">
        <v>69642</v>
      </c>
      <c r="C22952" t="str">
        <f>"8322544"</f>
        <v>8322544</v>
      </c>
      <c r="D22952" t="s">
        <v>69643</v>
      </c>
      <c r="E22952" t="s">
        <v>69644</v>
      </c>
      <c r="F22952" t="s">
        <v>69645</v>
      </c>
      <c r="I22952" t="s">
        <v>184</v>
      </c>
      <c r="J22952" t="s">
        <v>30</v>
      </c>
      <c r="K22952" t="s">
        <v>64153</v>
      </c>
      <c r="M22952" t="s">
        <v>50500</v>
      </c>
      <c r="N22952" t="str">
        <f>"7/12/2024 11:51:00 AM"</f>
        <v>7/12/2024 11:51:00 AM</v>
      </c>
      <c r="O22952" t="s">
        <v>69643</v>
      </c>
      <c r="T22952" t="s">
        <v>69644</v>
      </c>
    </row>
    <row r="22953" spans="1:20" x14ac:dyDescent="0.25">
      <c r="A22953" t="str">
        <f>"3062483"</f>
        <v>3062483</v>
      </c>
      <c r="B22953" t="s">
        <v>69646</v>
      </c>
      <c r="C22953" t="str">
        <f>"8322546"</f>
        <v>8322546</v>
      </c>
      <c r="D22953" t="s">
        <v>69647</v>
      </c>
      <c r="F22953" t="s">
        <v>69648</v>
      </c>
      <c r="I22953" t="s">
        <v>184</v>
      </c>
      <c r="J22953" t="s">
        <v>30</v>
      </c>
      <c r="K22953" t="s">
        <v>3597</v>
      </c>
      <c r="M22953" t="s">
        <v>50500</v>
      </c>
      <c r="N22953" t="str">
        <f>"7/12/2024 11:58:00 AM"</f>
        <v>7/12/2024 11:58:00 AM</v>
      </c>
      <c r="O22953" t="s">
        <v>69647</v>
      </c>
    </row>
    <row r="22954" spans="1:20" x14ac:dyDescent="0.25">
      <c r="A22954" t="str">
        <f>"3061044"</f>
        <v>3061044</v>
      </c>
      <c r="B22954" t="s">
        <v>69649</v>
      </c>
      <c r="C22954" t="str">
        <f>"8322547"</f>
        <v>8322547</v>
      </c>
      <c r="D22954" t="s">
        <v>69650</v>
      </c>
      <c r="E22954" t="s">
        <v>69651</v>
      </c>
      <c r="F22954" t="s">
        <v>69652</v>
      </c>
      <c r="I22954" t="s">
        <v>2071</v>
      </c>
      <c r="J22954" t="s">
        <v>30</v>
      </c>
      <c r="K22954" t="s">
        <v>38104</v>
      </c>
      <c r="M22954" t="s">
        <v>50500</v>
      </c>
      <c r="N22954" t="str">
        <f>"7/12/2024 12:04:00 PM"</f>
        <v>7/12/2024 12:04:00 PM</v>
      </c>
      <c r="O22954" t="s">
        <v>69650</v>
      </c>
      <c r="T22954" t="s">
        <v>69651</v>
      </c>
    </row>
    <row r="22955" spans="1:20" x14ac:dyDescent="0.25">
      <c r="A22955" t="str">
        <f>"3055726"</f>
        <v>3055726</v>
      </c>
      <c r="B22955" t="s">
        <v>69653</v>
      </c>
      <c r="C22955" t="str">
        <f>"8322548"</f>
        <v>8322548</v>
      </c>
      <c r="D22955" t="s">
        <v>49702</v>
      </c>
      <c r="F22955" t="s">
        <v>9579</v>
      </c>
      <c r="I22955" t="s">
        <v>9580</v>
      </c>
      <c r="J22955" t="s">
        <v>30</v>
      </c>
      <c r="K22955" t="s">
        <v>16893</v>
      </c>
      <c r="M22955" t="s">
        <v>50500</v>
      </c>
      <c r="N22955" t="str">
        <f>"7/12/2024 12:13:00 PM"</f>
        <v>7/12/2024 12:13:00 PM</v>
      </c>
      <c r="O22955" t="s">
        <v>49702</v>
      </c>
    </row>
    <row r="22956" spans="1:20" x14ac:dyDescent="0.25">
      <c r="A22956" t="str">
        <f>"3055902"</f>
        <v>3055902</v>
      </c>
      <c r="B22956" t="s">
        <v>69654</v>
      </c>
      <c r="C22956" t="str">
        <f>"8322548"</f>
        <v>8322548</v>
      </c>
      <c r="D22956" t="s">
        <v>49702</v>
      </c>
      <c r="F22956" t="s">
        <v>9579</v>
      </c>
      <c r="I22956" t="s">
        <v>9580</v>
      </c>
      <c r="J22956" t="s">
        <v>30</v>
      </c>
      <c r="K22956" t="s">
        <v>16893</v>
      </c>
      <c r="M22956" t="s">
        <v>50500</v>
      </c>
      <c r="N22956" t="str">
        <f>"7/12/2024 12:13:00 PM"</f>
        <v>7/12/2024 12:13:00 PM</v>
      </c>
      <c r="O22956" t="s">
        <v>49702</v>
      </c>
    </row>
    <row r="22957" spans="1:20" x14ac:dyDescent="0.25">
      <c r="A22957" t="str">
        <f>"3038559"</f>
        <v>3038559</v>
      </c>
      <c r="B22957" t="s">
        <v>69655</v>
      </c>
      <c r="C22957" t="str">
        <f>"8322550"</f>
        <v>8322550</v>
      </c>
      <c r="D22957" t="s">
        <v>69656</v>
      </c>
      <c r="F22957" t="s">
        <v>69657</v>
      </c>
      <c r="I22957" t="s">
        <v>3580</v>
      </c>
      <c r="J22957" t="s">
        <v>30</v>
      </c>
      <c r="K22957" t="str">
        <f>"27104"</f>
        <v>27104</v>
      </c>
      <c r="M22957" t="s">
        <v>50500</v>
      </c>
      <c r="N22957" t="str">
        <f>"7/12/2024 3:49:00 PM"</f>
        <v>7/12/2024 3:49:00 PM</v>
      </c>
      <c r="O22957" t="s">
        <v>69656</v>
      </c>
    </row>
    <row r="22958" spans="1:20" x14ac:dyDescent="0.25">
      <c r="A22958" t="str">
        <f>"3055206"</f>
        <v>3055206</v>
      </c>
      <c r="B22958" t="s">
        <v>69658</v>
      </c>
      <c r="C22958" t="str">
        <f>"8305056"</f>
        <v>8305056</v>
      </c>
      <c r="D22958" t="s">
        <v>69572</v>
      </c>
      <c r="F22958" t="s">
        <v>69659</v>
      </c>
      <c r="I22958" t="s">
        <v>29</v>
      </c>
      <c r="J22958" t="s">
        <v>30</v>
      </c>
      <c r="K22958" t="s">
        <v>20248</v>
      </c>
      <c r="M22958" t="s">
        <v>50793</v>
      </c>
      <c r="N22958" t="str">
        <f>"7/2/2024 2:03:00 PM"</f>
        <v>7/2/2024 2:03:00 PM</v>
      </c>
      <c r="O22958" t="s">
        <v>69572</v>
      </c>
    </row>
    <row r="22959" spans="1:20" x14ac:dyDescent="0.25">
      <c r="A22959" t="str">
        <f>"3057704"</f>
        <v>3057704</v>
      </c>
      <c r="B22959" t="s">
        <v>69660</v>
      </c>
      <c r="C22959" t="str">
        <f>"82513117"</f>
        <v>82513117</v>
      </c>
      <c r="D22959" t="s">
        <v>69661</v>
      </c>
      <c r="F22959" t="s">
        <v>69662</v>
      </c>
      <c r="I22959" t="s">
        <v>29</v>
      </c>
      <c r="J22959" t="s">
        <v>30</v>
      </c>
      <c r="K22959" t="s">
        <v>49585</v>
      </c>
      <c r="M22959" t="s">
        <v>18479</v>
      </c>
      <c r="N22959" t="str">
        <f>"7/5/2024 12:22:00 AM"</f>
        <v>7/5/2024 12:22:00 AM</v>
      </c>
      <c r="O22959" t="s">
        <v>69661</v>
      </c>
    </row>
    <row r="22960" spans="1:20" x14ac:dyDescent="0.25">
      <c r="A22960" t="str">
        <f>"3075538"</f>
        <v>3075538</v>
      </c>
      <c r="B22960" t="s">
        <v>69663</v>
      </c>
      <c r="C22960" t="str">
        <f>"40124000"</f>
        <v>40124000</v>
      </c>
      <c r="D22960" t="s">
        <v>69664</v>
      </c>
      <c r="E22960" t="s">
        <v>69665</v>
      </c>
      <c r="F22960" t="str">
        <f>"C/O JOHNSON DAVID LEE"</f>
        <v>C/O JOHNSON DAVID LEE</v>
      </c>
      <c r="G22960" t="s">
        <v>69666</v>
      </c>
      <c r="I22960" t="s">
        <v>1176</v>
      </c>
      <c r="J22960" t="s">
        <v>30</v>
      </c>
      <c r="K22960" t="s">
        <v>69667</v>
      </c>
      <c r="M22960" t="s">
        <v>18479</v>
      </c>
      <c r="N22960" t="str">
        <f>"7/15/2024 4:49:00 PM"</f>
        <v>7/15/2024 4:49:00 PM</v>
      </c>
      <c r="O22960" t="s">
        <v>69664</v>
      </c>
      <c r="T22960" t="s">
        <v>69665</v>
      </c>
    </row>
    <row r="22961" spans="1:20" x14ac:dyDescent="0.25">
      <c r="A22961" t="str">
        <f>"3061860"</f>
        <v>3061860</v>
      </c>
      <c r="B22961" t="s">
        <v>69668</v>
      </c>
      <c r="C22961" t="str">
        <f>"8322553"</f>
        <v>8322553</v>
      </c>
      <c r="D22961" t="s">
        <v>69669</v>
      </c>
      <c r="F22961" t="s">
        <v>69670</v>
      </c>
      <c r="I22961" t="s">
        <v>29</v>
      </c>
      <c r="J22961" t="s">
        <v>30</v>
      </c>
      <c r="K22961" t="s">
        <v>11121</v>
      </c>
      <c r="M22961" t="s">
        <v>50500</v>
      </c>
      <c r="N22961" t="str">
        <f>"7/16/2024 1:42:00 PM"</f>
        <v>7/16/2024 1:42:00 PM</v>
      </c>
      <c r="O22961" t="s">
        <v>69669</v>
      </c>
    </row>
    <row r="22962" spans="1:20" x14ac:dyDescent="0.25">
      <c r="A22962" t="str">
        <f>"3062544"</f>
        <v>3062544</v>
      </c>
      <c r="B22962" t="s">
        <v>69671</v>
      </c>
      <c r="C22962" t="str">
        <f>"8322554"</f>
        <v>8322554</v>
      </c>
      <c r="D22962" t="s">
        <v>69672</v>
      </c>
      <c r="E22962" t="s">
        <v>69673</v>
      </c>
      <c r="F22962" t="s">
        <v>69674</v>
      </c>
      <c r="I22962" t="s">
        <v>184</v>
      </c>
      <c r="J22962" t="s">
        <v>30</v>
      </c>
      <c r="K22962" t="s">
        <v>43385</v>
      </c>
      <c r="M22962" t="s">
        <v>50500</v>
      </c>
      <c r="N22962" t="str">
        <f>"7/16/2024 2:37:00 PM"</f>
        <v>7/16/2024 2:37:00 PM</v>
      </c>
      <c r="O22962" t="s">
        <v>69672</v>
      </c>
      <c r="T22962" t="s">
        <v>69673</v>
      </c>
    </row>
    <row r="22963" spans="1:20" x14ac:dyDescent="0.25">
      <c r="A22963" t="str">
        <f>"3049779"</f>
        <v>3049779</v>
      </c>
      <c r="B22963" t="s">
        <v>69675</v>
      </c>
      <c r="C22963" t="str">
        <f>"8322555"</f>
        <v>8322555</v>
      </c>
      <c r="D22963" t="s">
        <v>69676</v>
      </c>
      <c r="F22963" t="s">
        <v>69677</v>
      </c>
      <c r="I22963" t="s">
        <v>29</v>
      </c>
      <c r="J22963" t="s">
        <v>30</v>
      </c>
      <c r="K22963" t="s">
        <v>42131</v>
      </c>
      <c r="M22963" t="s">
        <v>50500</v>
      </c>
      <c r="N22963" t="str">
        <f>"7/16/2024 3:21:00 PM"</f>
        <v>7/16/2024 3:21:00 PM</v>
      </c>
      <c r="O22963" t="s">
        <v>69676</v>
      </c>
    </row>
    <row r="22964" spans="1:20" x14ac:dyDescent="0.25">
      <c r="A22964" t="str">
        <f>"3050214"</f>
        <v>3050214</v>
      </c>
      <c r="B22964" t="s">
        <v>69678</v>
      </c>
      <c r="C22964" t="str">
        <f>"8322555"</f>
        <v>8322555</v>
      </c>
      <c r="D22964" t="s">
        <v>69676</v>
      </c>
      <c r="F22964" t="s">
        <v>69677</v>
      </c>
      <c r="I22964" t="s">
        <v>29</v>
      </c>
      <c r="J22964" t="s">
        <v>30</v>
      </c>
      <c r="K22964" t="s">
        <v>42131</v>
      </c>
      <c r="M22964" t="s">
        <v>50500</v>
      </c>
      <c r="N22964" t="str">
        <f>"7/16/2024 3:21:00 PM"</f>
        <v>7/16/2024 3:21:00 PM</v>
      </c>
      <c r="O22964" t="s">
        <v>69676</v>
      </c>
    </row>
    <row r="22965" spans="1:20" x14ac:dyDescent="0.25">
      <c r="A22965" t="str">
        <f>"3051972"</f>
        <v>3051972</v>
      </c>
      <c r="B22965" t="s">
        <v>69679</v>
      </c>
      <c r="C22965" t="str">
        <f>"82513117"</f>
        <v>82513117</v>
      </c>
      <c r="D22965" t="s">
        <v>69661</v>
      </c>
      <c r="F22965" t="s">
        <v>69662</v>
      </c>
      <c r="I22965" t="s">
        <v>29</v>
      </c>
      <c r="J22965" t="s">
        <v>30</v>
      </c>
      <c r="K22965" t="s">
        <v>49585</v>
      </c>
      <c r="M22965" t="s">
        <v>18479</v>
      </c>
      <c r="N22965" t="str">
        <f>"7/5/2024 12:22:00 AM"</f>
        <v>7/5/2024 12:22:00 AM</v>
      </c>
      <c r="O22965" t="s">
        <v>69661</v>
      </c>
    </row>
    <row r="22966" spans="1:20" x14ac:dyDescent="0.25">
      <c r="A22966" t="str">
        <f>"3044962"</f>
        <v>3044962</v>
      </c>
      <c r="B22966" t="s">
        <v>69680</v>
      </c>
      <c r="C22966" t="str">
        <f>"82516401"</f>
        <v>82516401</v>
      </c>
      <c r="D22966" t="s">
        <v>69681</v>
      </c>
      <c r="F22966" t="s">
        <v>69682</v>
      </c>
      <c r="I22966" t="s">
        <v>29</v>
      </c>
      <c r="J22966" t="s">
        <v>30</v>
      </c>
      <c r="K22966" t="s">
        <v>31</v>
      </c>
      <c r="M22966" t="s">
        <v>50793</v>
      </c>
      <c r="N22966" t="str">
        <f>"7/9/2024 10:58:00 AM"</f>
        <v>7/9/2024 10:58:00 AM</v>
      </c>
      <c r="O22966" t="s">
        <v>69681</v>
      </c>
    </row>
    <row r="22967" spans="1:20" x14ac:dyDescent="0.25">
      <c r="A22967" t="str">
        <f>"3061068"</f>
        <v>3061068</v>
      </c>
      <c r="B22967" t="s">
        <v>69683</v>
      </c>
      <c r="C22967" t="str">
        <f>"8322560"</f>
        <v>8322560</v>
      </c>
      <c r="D22967" t="s">
        <v>69684</v>
      </c>
      <c r="F22967" t="s">
        <v>69685</v>
      </c>
      <c r="I22967" t="s">
        <v>184</v>
      </c>
      <c r="J22967" t="s">
        <v>30</v>
      </c>
      <c r="K22967" t="s">
        <v>39172</v>
      </c>
      <c r="M22967" t="s">
        <v>50500</v>
      </c>
      <c r="N22967" t="str">
        <f>"7/19/2024 9:18:00 AM"</f>
        <v>7/19/2024 9:18:00 AM</v>
      </c>
      <c r="O22967" t="s">
        <v>69684</v>
      </c>
    </row>
    <row r="22968" spans="1:20" x14ac:dyDescent="0.25">
      <c r="A22968" t="str">
        <f>"3046187"</f>
        <v>3046187</v>
      </c>
      <c r="B22968" t="s">
        <v>69686</v>
      </c>
      <c r="C22968" t="str">
        <f>"8322561"</f>
        <v>8322561</v>
      </c>
      <c r="D22968" t="s">
        <v>69687</v>
      </c>
      <c r="E22968" t="s">
        <v>69688</v>
      </c>
      <c r="F22968" t="s">
        <v>69689</v>
      </c>
      <c r="I22968" t="s">
        <v>29</v>
      </c>
      <c r="J22968" t="s">
        <v>30</v>
      </c>
      <c r="K22968" t="s">
        <v>53464</v>
      </c>
      <c r="M22968" t="s">
        <v>50500</v>
      </c>
      <c r="N22968" t="str">
        <f>"7/19/2024 9:27:00 AM"</f>
        <v>7/19/2024 9:27:00 AM</v>
      </c>
      <c r="O22968" t="s">
        <v>69687</v>
      </c>
      <c r="T22968" t="s">
        <v>69688</v>
      </c>
    </row>
    <row r="22969" spans="1:20" x14ac:dyDescent="0.25">
      <c r="A22969" t="str">
        <f>"3059547"</f>
        <v>3059547</v>
      </c>
      <c r="B22969" t="s">
        <v>69690</v>
      </c>
      <c r="C22969" t="str">
        <f>"8322562"</f>
        <v>8322562</v>
      </c>
      <c r="D22969" t="s">
        <v>69691</v>
      </c>
      <c r="F22969" t="s">
        <v>69692</v>
      </c>
      <c r="I22969" t="s">
        <v>29</v>
      </c>
      <c r="J22969" t="s">
        <v>30</v>
      </c>
      <c r="K22969" t="s">
        <v>36208</v>
      </c>
      <c r="M22969" t="s">
        <v>50500</v>
      </c>
      <c r="N22969" t="str">
        <f>"7/19/2024 9:36:00 AM"</f>
        <v>7/19/2024 9:36:00 AM</v>
      </c>
      <c r="O22969" t="s">
        <v>69691</v>
      </c>
    </row>
    <row r="22970" spans="1:20" x14ac:dyDescent="0.25">
      <c r="A22970" t="str">
        <f>"3062718"</f>
        <v>3062718</v>
      </c>
      <c r="B22970" t="s">
        <v>69693</v>
      </c>
      <c r="C22970" t="str">
        <f>"8322563"</f>
        <v>8322563</v>
      </c>
      <c r="D22970" t="s">
        <v>69694</v>
      </c>
      <c r="F22970" t="s">
        <v>69695</v>
      </c>
      <c r="I22970" t="s">
        <v>2071</v>
      </c>
      <c r="J22970" t="s">
        <v>30</v>
      </c>
      <c r="K22970" t="s">
        <v>3728</v>
      </c>
      <c r="M22970" t="s">
        <v>50500</v>
      </c>
      <c r="N22970" t="str">
        <f>"7/19/2024 9:41:00 AM"</f>
        <v>7/19/2024 9:41:00 AM</v>
      </c>
      <c r="O22970" t="s">
        <v>69694</v>
      </c>
    </row>
    <row r="22971" spans="1:20" x14ac:dyDescent="0.25">
      <c r="A22971" t="str">
        <f>"3050885"</f>
        <v>3050885</v>
      </c>
      <c r="B22971" t="s">
        <v>69696</v>
      </c>
      <c r="C22971" t="str">
        <f>"8322564"</f>
        <v>8322564</v>
      </c>
      <c r="D22971" t="s">
        <v>69697</v>
      </c>
      <c r="E22971" t="s">
        <v>69698</v>
      </c>
      <c r="F22971" t="s">
        <v>69699</v>
      </c>
      <c r="I22971" t="s">
        <v>184</v>
      </c>
      <c r="J22971" t="s">
        <v>30</v>
      </c>
      <c r="K22971" t="s">
        <v>12785</v>
      </c>
      <c r="M22971" t="s">
        <v>50500</v>
      </c>
      <c r="N22971" t="str">
        <f>"7/19/2024 9:49:00 AM"</f>
        <v>7/19/2024 9:49:00 AM</v>
      </c>
      <c r="O22971" t="s">
        <v>69697</v>
      </c>
      <c r="T22971" t="s">
        <v>69698</v>
      </c>
    </row>
    <row r="22972" spans="1:20" x14ac:dyDescent="0.25">
      <c r="A22972" t="str">
        <f>"3064006"</f>
        <v>3064006</v>
      </c>
      <c r="B22972" t="s">
        <v>69700</v>
      </c>
      <c r="C22972" t="str">
        <f>"8322566"</f>
        <v>8322566</v>
      </c>
      <c r="D22972" t="s">
        <v>69701</v>
      </c>
      <c r="F22972" t="s">
        <v>69702</v>
      </c>
      <c r="I22972" t="s">
        <v>184</v>
      </c>
      <c r="J22972" t="s">
        <v>30</v>
      </c>
      <c r="K22972" t="s">
        <v>40247</v>
      </c>
      <c r="M22972" t="s">
        <v>50500</v>
      </c>
      <c r="N22972" t="str">
        <f>"7/19/2024 10:00:00 AM"</f>
        <v>7/19/2024 10:00:00 AM</v>
      </c>
      <c r="O22972" t="s">
        <v>69701</v>
      </c>
    </row>
    <row r="22973" spans="1:20" x14ac:dyDescent="0.25">
      <c r="A22973" t="str">
        <f>"3046355"</f>
        <v>3046355</v>
      </c>
      <c r="B22973" t="s">
        <v>69703</v>
      </c>
      <c r="C22973" t="str">
        <f>"8322567"</f>
        <v>8322567</v>
      </c>
      <c r="D22973" t="s">
        <v>69704</v>
      </c>
      <c r="E22973" t="s">
        <v>69705</v>
      </c>
      <c r="F22973" t="s">
        <v>69706</v>
      </c>
      <c r="I22973" t="s">
        <v>29</v>
      </c>
      <c r="J22973" t="s">
        <v>30</v>
      </c>
      <c r="K22973" t="s">
        <v>41402</v>
      </c>
      <c r="M22973" t="s">
        <v>50500</v>
      </c>
      <c r="N22973" t="str">
        <f>"7/19/2024 10:05:00 AM"</f>
        <v>7/19/2024 10:05:00 AM</v>
      </c>
      <c r="O22973" t="s">
        <v>69704</v>
      </c>
      <c r="T22973" t="s">
        <v>69705</v>
      </c>
    </row>
    <row r="22974" spans="1:20" x14ac:dyDescent="0.25">
      <c r="A22974" t="str">
        <f>"3042366"</f>
        <v>3042366</v>
      </c>
      <c r="B22974" t="s">
        <v>69707</v>
      </c>
      <c r="C22974" t="str">
        <f>"8322569"</f>
        <v>8322569</v>
      </c>
      <c r="D22974" t="s">
        <v>69708</v>
      </c>
      <c r="E22974" t="s">
        <v>69709</v>
      </c>
      <c r="F22974" t="s">
        <v>69710</v>
      </c>
      <c r="I22974" t="s">
        <v>184</v>
      </c>
      <c r="J22974" t="s">
        <v>30</v>
      </c>
      <c r="K22974" t="s">
        <v>3457</v>
      </c>
      <c r="M22974" t="s">
        <v>50500</v>
      </c>
      <c r="N22974" t="str">
        <f>"7/19/2024 10:27:00 AM"</f>
        <v>7/19/2024 10:27:00 AM</v>
      </c>
      <c r="O22974" t="s">
        <v>69708</v>
      </c>
      <c r="T22974" t="s">
        <v>69709</v>
      </c>
    </row>
    <row r="22975" spans="1:20" x14ac:dyDescent="0.25">
      <c r="A22975" t="str">
        <f>"3078757"</f>
        <v>3078757</v>
      </c>
      <c r="B22975" t="s">
        <v>69711</v>
      </c>
      <c r="C22975" t="str">
        <f>"8322570"</f>
        <v>8322570</v>
      </c>
      <c r="D22975" t="s">
        <v>69712</v>
      </c>
      <c r="F22975" t="s">
        <v>69713</v>
      </c>
      <c r="I22975" t="s">
        <v>29</v>
      </c>
      <c r="J22975" t="s">
        <v>30</v>
      </c>
      <c r="K22975" t="s">
        <v>69714</v>
      </c>
      <c r="M22975" t="s">
        <v>50500</v>
      </c>
      <c r="N22975" t="str">
        <f>"7/23/2024 2:45:00 PM"</f>
        <v>7/23/2024 2:45:00 PM</v>
      </c>
      <c r="O22975" t="s">
        <v>69712</v>
      </c>
    </row>
    <row r="22976" spans="1:20" x14ac:dyDescent="0.25">
      <c r="A22976" t="str">
        <f>"3077945"</f>
        <v>3077945</v>
      </c>
      <c r="B22976" t="s">
        <v>69715</v>
      </c>
      <c r="C22976" t="str">
        <f>"8322571"</f>
        <v>8322571</v>
      </c>
      <c r="D22976" t="s">
        <v>69716</v>
      </c>
      <c r="F22976" t="s">
        <v>55781</v>
      </c>
      <c r="I22976" t="s">
        <v>29</v>
      </c>
      <c r="J22976" t="s">
        <v>30</v>
      </c>
      <c r="K22976" t="s">
        <v>55782</v>
      </c>
      <c r="M22976" t="s">
        <v>50500</v>
      </c>
      <c r="N22976" t="str">
        <f>"7/23/2024 2:51:00 PM"</f>
        <v>7/23/2024 2:51:00 PM</v>
      </c>
      <c r="O22976" t="s">
        <v>69716</v>
      </c>
    </row>
    <row r="22977" spans="1:20" x14ac:dyDescent="0.25">
      <c r="A22977" t="str">
        <f>"3062752"</f>
        <v>3062752</v>
      </c>
      <c r="B22977" t="s">
        <v>69717</v>
      </c>
      <c r="C22977" t="str">
        <f>"8322528"</f>
        <v>8322528</v>
      </c>
      <c r="D22977" t="s">
        <v>69718</v>
      </c>
      <c r="E22977" t="s">
        <v>69719</v>
      </c>
      <c r="F22977" t="s">
        <v>69720</v>
      </c>
      <c r="I22977" t="s">
        <v>184</v>
      </c>
      <c r="J22977" t="s">
        <v>30</v>
      </c>
      <c r="K22977" t="s">
        <v>39172</v>
      </c>
      <c r="M22977" t="s">
        <v>50500</v>
      </c>
      <c r="N22977" t="str">
        <f>"7/10/2024 9:19:00 AM"</f>
        <v>7/10/2024 9:19:00 AM</v>
      </c>
      <c r="O22977" t="s">
        <v>69718</v>
      </c>
      <c r="T22977" t="s">
        <v>69719</v>
      </c>
    </row>
    <row r="22978" spans="1:20" x14ac:dyDescent="0.25">
      <c r="A22978" t="str">
        <f>"3051945"</f>
        <v>3051945</v>
      </c>
      <c r="B22978" t="s">
        <v>69721</v>
      </c>
      <c r="C22978" t="str">
        <f>"8322529"</f>
        <v>8322529</v>
      </c>
      <c r="D22978" t="s">
        <v>69722</v>
      </c>
      <c r="E22978" t="s">
        <v>69723</v>
      </c>
      <c r="F22978" t="s">
        <v>69724</v>
      </c>
      <c r="I22978" t="s">
        <v>29</v>
      </c>
      <c r="J22978" t="s">
        <v>30</v>
      </c>
      <c r="K22978" t="s">
        <v>69725</v>
      </c>
      <c r="M22978" t="s">
        <v>50500</v>
      </c>
      <c r="N22978" t="str">
        <f>"7/10/2024 10:12:00 AM"</f>
        <v>7/10/2024 10:12:00 AM</v>
      </c>
      <c r="O22978" t="s">
        <v>69722</v>
      </c>
      <c r="T22978" t="s">
        <v>69723</v>
      </c>
    </row>
    <row r="22979" spans="1:20" x14ac:dyDescent="0.25">
      <c r="A22979" t="str">
        <f>"3062390"</f>
        <v>3062390</v>
      </c>
      <c r="B22979" t="s">
        <v>69726</v>
      </c>
      <c r="C22979" t="str">
        <f>"8322532"</f>
        <v>8322532</v>
      </c>
      <c r="D22979" t="s">
        <v>69727</v>
      </c>
      <c r="F22979" t="s">
        <v>44497</v>
      </c>
      <c r="I22979" t="s">
        <v>29</v>
      </c>
      <c r="J22979" t="s">
        <v>30</v>
      </c>
      <c r="K22979" t="s">
        <v>44498</v>
      </c>
      <c r="M22979" t="s">
        <v>50500</v>
      </c>
      <c r="N22979" t="str">
        <f>"7/12/2024 8:25:00 AM"</f>
        <v>7/12/2024 8:25:00 AM</v>
      </c>
      <c r="O22979" t="s">
        <v>69727</v>
      </c>
    </row>
    <row r="22980" spans="1:20" x14ac:dyDescent="0.25">
      <c r="A22980" t="str">
        <f>"3062579"</f>
        <v>3062579</v>
      </c>
      <c r="B22980" t="s">
        <v>69728</v>
      </c>
      <c r="C22980" t="str">
        <f>"8322533"</f>
        <v>8322533</v>
      </c>
      <c r="D22980" t="s">
        <v>69729</v>
      </c>
      <c r="F22980" t="s">
        <v>69730</v>
      </c>
      <c r="I22980" t="s">
        <v>184</v>
      </c>
      <c r="J22980" t="s">
        <v>30</v>
      </c>
      <c r="K22980" t="s">
        <v>48573</v>
      </c>
      <c r="M22980" t="s">
        <v>50500</v>
      </c>
      <c r="N22980" t="str">
        <f>"7/12/2024 8:32:00 AM"</f>
        <v>7/12/2024 8:32:00 AM</v>
      </c>
      <c r="O22980" t="s">
        <v>69729</v>
      </c>
    </row>
    <row r="22981" spans="1:20" x14ac:dyDescent="0.25">
      <c r="A22981" t="str">
        <f>"3055592"</f>
        <v>3055592</v>
      </c>
      <c r="B22981" t="s">
        <v>69731</v>
      </c>
      <c r="C22981" t="str">
        <f>"82530670"</f>
        <v>82530670</v>
      </c>
      <c r="D22981" t="s">
        <v>69732</v>
      </c>
      <c r="E22981" t="s">
        <v>69733</v>
      </c>
      <c r="F22981" t="s">
        <v>69734</v>
      </c>
      <c r="I22981" t="s">
        <v>29</v>
      </c>
      <c r="J22981" t="s">
        <v>30</v>
      </c>
      <c r="K22981" t="s">
        <v>31</v>
      </c>
      <c r="M22981" t="s">
        <v>50621</v>
      </c>
      <c r="N22981" t="str">
        <f>"6/26/2024 10:03:00 AM"</f>
        <v>6/26/2024 10:03:00 AM</v>
      </c>
      <c r="O22981" t="s">
        <v>69732</v>
      </c>
      <c r="T22981" t="s">
        <v>69733</v>
      </c>
    </row>
    <row r="22982" spans="1:20" x14ac:dyDescent="0.25">
      <c r="A22982" t="str">
        <f>"3054300"</f>
        <v>3054300</v>
      </c>
      <c r="B22982" t="s">
        <v>69735</v>
      </c>
      <c r="C22982" t="str">
        <f>"8318516"</f>
        <v>8318516</v>
      </c>
      <c r="D22982" t="s">
        <v>69736</v>
      </c>
      <c r="E22982" t="s">
        <v>69737</v>
      </c>
      <c r="F22982" t="s">
        <v>69738</v>
      </c>
      <c r="I22982" t="s">
        <v>29</v>
      </c>
      <c r="J22982" t="s">
        <v>30</v>
      </c>
      <c r="K22982" t="s">
        <v>14790</v>
      </c>
      <c r="M22982" t="s">
        <v>50621</v>
      </c>
      <c r="N22982" t="str">
        <f>"6/26/2024 10:30:00 AM"</f>
        <v>6/26/2024 10:30:00 AM</v>
      </c>
      <c r="O22982" t="s">
        <v>69736</v>
      </c>
      <c r="T22982" t="s">
        <v>69737</v>
      </c>
    </row>
    <row r="22983" spans="1:20" x14ac:dyDescent="0.25">
      <c r="A22983" t="str">
        <f>"3057602"</f>
        <v>3057602</v>
      </c>
      <c r="B22983" t="s">
        <v>69739</v>
      </c>
      <c r="C22983" t="str">
        <f>"8317284"</f>
        <v>8317284</v>
      </c>
      <c r="D22983" t="s">
        <v>69740</v>
      </c>
      <c r="F22983" t="s">
        <v>69741</v>
      </c>
      <c r="G22983" t="s">
        <v>69742</v>
      </c>
      <c r="I22983" t="s">
        <v>44979</v>
      </c>
      <c r="J22983" t="s">
        <v>30197</v>
      </c>
      <c r="K22983" t="s">
        <v>59793</v>
      </c>
      <c r="M22983" t="s">
        <v>50621</v>
      </c>
      <c r="N22983" t="str">
        <f>"7/24/2024 10:47:00 AM"</f>
        <v>7/24/2024 10:47:00 AM</v>
      </c>
      <c r="O22983" t="s">
        <v>69740</v>
      </c>
    </row>
    <row r="22984" spans="1:20" x14ac:dyDescent="0.25">
      <c r="A22984" t="str">
        <f>"3057589"</f>
        <v>3057589</v>
      </c>
      <c r="B22984" t="s">
        <v>69743</v>
      </c>
      <c r="C22984" t="str">
        <f>"8317284"</f>
        <v>8317284</v>
      </c>
      <c r="D22984" t="s">
        <v>69740</v>
      </c>
      <c r="F22984" t="s">
        <v>69741</v>
      </c>
      <c r="G22984" t="s">
        <v>69742</v>
      </c>
      <c r="I22984" t="s">
        <v>44979</v>
      </c>
      <c r="J22984" t="s">
        <v>30197</v>
      </c>
      <c r="K22984" t="s">
        <v>59793</v>
      </c>
      <c r="M22984" t="s">
        <v>50621</v>
      </c>
      <c r="N22984" t="str">
        <f>"7/24/2024 10:47:00 AM"</f>
        <v>7/24/2024 10:47:00 AM</v>
      </c>
      <c r="O22984" t="s">
        <v>69740</v>
      </c>
    </row>
    <row r="22985" spans="1:20" x14ac:dyDescent="0.25">
      <c r="A22985" t="str">
        <f>"3058890"</f>
        <v>3058890</v>
      </c>
      <c r="B22985" t="s">
        <v>69744</v>
      </c>
      <c r="C22985" t="str">
        <f>"8321260"</f>
        <v>8321260</v>
      </c>
      <c r="D22985" t="s">
        <v>69745</v>
      </c>
      <c r="F22985" t="s">
        <v>69741</v>
      </c>
      <c r="G22985" t="s">
        <v>69742</v>
      </c>
      <c r="I22985" t="s">
        <v>44979</v>
      </c>
      <c r="J22985" t="s">
        <v>30197</v>
      </c>
      <c r="K22985" t="s">
        <v>59793</v>
      </c>
      <c r="M22985" t="s">
        <v>50621</v>
      </c>
      <c r="N22985" t="str">
        <f>"7/24/2024 10:48:00 AM"</f>
        <v>7/24/2024 10:48:00 AM</v>
      </c>
      <c r="O22985" t="s">
        <v>69745</v>
      </c>
    </row>
    <row r="22986" spans="1:20" x14ac:dyDescent="0.25">
      <c r="A22986" t="str">
        <f>"3040117"</f>
        <v>3040117</v>
      </c>
      <c r="B22986" t="s">
        <v>69746</v>
      </c>
      <c r="C22986" t="str">
        <f>"8307394"</f>
        <v>8307394</v>
      </c>
      <c r="D22986" t="s">
        <v>69747</v>
      </c>
      <c r="F22986" t="s">
        <v>63317</v>
      </c>
      <c r="I22986" t="s">
        <v>29</v>
      </c>
      <c r="J22986" t="s">
        <v>30</v>
      </c>
      <c r="K22986" t="s">
        <v>30931</v>
      </c>
      <c r="M22986" t="s">
        <v>50621</v>
      </c>
      <c r="N22986" t="str">
        <f>"7/24/2024 10:48:00 AM"</f>
        <v>7/24/2024 10:48:00 AM</v>
      </c>
      <c r="O22986" t="s">
        <v>69747</v>
      </c>
    </row>
    <row r="22987" spans="1:20" x14ac:dyDescent="0.25">
      <c r="A22987" t="str">
        <f>"3053341"</f>
        <v>3053341</v>
      </c>
      <c r="B22987" t="s">
        <v>69748</v>
      </c>
      <c r="C22987" t="str">
        <f>"8312343"</f>
        <v>8312343</v>
      </c>
      <c r="D22987" t="s">
        <v>69749</v>
      </c>
      <c r="F22987" t="s">
        <v>69750</v>
      </c>
      <c r="I22987" t="s">
        <v>184</v>
      </c>
      <c r="J22987" t="s">
        <v>30</v>
      </c>
      <c r="K22987" t="s">
        <v>15695</v>
      </c>
      <c r="M22987" t="s">
        <v>50621</v>
      </c>
      <c r="N22987" t="str">
        <f>"7/24/2024 10:49:00 AM"</f>
        <v>7/24/2024 10:49:00 AM</v>
      </c>
      <c r="O22987" t="s">
        <v>69749</v>
      </c>
    </row>
    <row r="22988" spans="1:20" x14ac:dyDescent="0.25">
      <c r="A22988" t="str">
        <f>"3061635"</f>
        <v>3061635</v>
      </c>
      <c r="B22988" t="s">
        <v>69751</v>
      </c>
      <c r="C22988" t="str">
        <f>"8315666"</f>
        <v>8315666</v>
      </c>
      <c r="D22988" t="s">
        <v>69752</v>
      </c>
      <c r="E22988" t="s">
        <v>69753</v>
      </c>
      <c r="F22988" t="s">
        <v>69754</v>
      </c>
      <c r="I22988" t="s">
        <v>184</v>
      </c>
      <c r="J22988" t="s">
        <v>30</v>
      </c>
      <c r="K22988" t="s">
        <v>27273</v>
      </c>
      <c r="M22988" t="s">
        <v>50621</v>
      </c>
      <c r="N22988" t="str">
        <f>"7/24/2024 10:50:00 AM"</f>
        <v>7/24/2024 10:50:00 AM</v>
      </c>
      <c r="O22988" t="s">
        <v>69752</v>
      </c>
      <c r="T22988" t="s">
        <v>69753</v>
      </c>
    </row>
    <row r="22989" spans="1:20" x14ac:dyDescent="0.25">
      <c r="A22989" t="str">
        <f>"3057661"</f>
        <v>3057661</v>
      </c>
      <c r="B22989" t="s">
        <v>69755</v>
      </c>
      <c r="C22989" t="str">
        <f>"8316888"</f>
        <v>8316888</v>
      </c>
      <c r="D22989" t="s">
        <v>69756</v>
      </c>
      <c r="E22989" t="s">
        <v>69757</v>
      </c>
      <c r="F22989" t="s">
        <v>69758</v>
      </c>
      <c r="I22989" t="s">
        <v>184</v>
      </c>
      <c r="J22989" t="s">
        <v>30</v>
      </c>
      <c r="K22989" t="s">
        <v>34622</v>
      </c>
      <c r="M22989" t="s">
        <v>50621</v>
      </c>
      <c r="N22989" t="str">
        <f>"7/24/2024 10:51:00 AM"</f>
        <v>7/24/2024 10:51:00 AM</v>
      </c>
      <c r="O22989" t="s">
        <v>69756</v>
      </c>
      <c r="T22989" t="s">
        <v>69757</v>
      </c>
    </row>
    <row r="22990" spans="1:20" x14ac:dyDescent="0.25">
      <c r="A22990" t="str">
        <f>"3053189"</f>
        <v>3053189</v>
      </c>
      <c r="B22990" t="s">
        <v>69759</v>
      </c>
      <c r="C22990" t="str">
        <f>"8315344"</f>
        <v>8315344</v>
      </c>
      <c r="D22990" t="s">
        <v>69760</v>
      </c>
      <c r="F22990" t="s">
        <v>69750</v>
      </c>
      <c r="I22990" t="s">
        <v>184</v>
      </c>
      <c r="J22990" t="s">
        <v>30</v>
      </c>
      <c r="K22990" t="s">
        <v>15695</v>
      </c>
      <c r="M22990" t="s">
        <v>50621</v>
      </c>
      <c r="N22990" t="str">
        <f>"7/24/2024 10:52:00 AM"</f>
        <v>7/24/2024 10:52:00 AM</v>
      </c>
      <c r="O22990" t="s">
        <v>69760</v>
      </c>
    </row>
    <row r="22991" spans="1:20" x14ac:dyDescent="0.25">
      <c r="A22991" t="str">
        <f>"3046395"</f>
        <v>3046395</v>
      </c>
      <c r="B22991" t="s">
        <v>69761</v>
      </c>
      <c r="C22991" t="str">
        <f>"63640000"</f>
        <v>63640000</v>
      </c>
      <c r="D22991" t="s">
        <v>69762</v>
      </c>
      <c r="E22991" t="s">
        <v>69763</v>
      </c>
      <c r="F22991" t="s">
        <v>69764</v>
      </c>
      <c r="I22991" t="s">
        <v>29</v>
      </c>
      <c r="J22991" t="s">
        <v>30</v>
      </c>
      <c r="K22991" t="s">
        <v>31</v>
      </c>
      <c r="M22991" t="s">
        <v>50621</v>
      </c>
      <c r="N22991" t="str">
        <f>"6/26/2024 10:34:00 AM"</f>
        <v>6/26/2024 10:34:00 AM</v>
      </c>
      <c r="O22991" t="s">
        <v>69762</v>
      </c>
      <c r="T22991" t="s">
        <v>69763</v>
      </c>
    </row>
    <row r="22992" spans="1:20" x14ac:dyDescent="0.25">
      <c r="A22992" t="str">
        <f>"3053767"</f>
        <v>3053767</v>
      </c>
      <c r="B22992" t="s">
        <v>69765</v>
      </c>
      <c r="C22992" t="str">
        <f>"82530919"</f>
        <v>82530919</v>
      </c>
      <c r="D22992" t="s">
        <v>69766</v>
      </c>
      <c r="E22992" t="s">
        <v>35533</v>
      </c>
      <c r="F22992" t="s">
        <v>69767</v>
      </c>
      <c r="I22992" t="s">
        <v>29</v>
      </c>
      <c r="J22992" t="s">
        <v>30</v>
      </c>
      <c r="K22992" t="s">
        <v>31</v>
      </c>
      <c r="M22992" t="s">
        <v>25733</v>
      </c>
      <c r="N22992" t="str">
        <f>"6/26/2024 10:41:00 AM"</f>
        <v>6/26/2024 10:41:00 AM</v>
      </c>
      <c r="O22992" t="s">
        <v>69766</v>
      </c>
      <c r="T22992" t="s">
        <v>35533</v>
      </c>
    </row>
    <row r="22993" spans="1:20" x14ac:dyDescent="0.25">
      <c r="A22993" t="str">
        <f>"3055754"</f>
        <v>3055754</v>
      </c>
      <c r="B22993" t="s">
        <v>69768</v>
      </c>
      <c r="C22993" t="str">
        <f>"82531773"</f>
        <v>82531773</v>
      </c>
      <c r="D22993" t="s">
        <v>69769</v>
      </c>
      <c r="F22993" t="s">
        <v>69770</v>
      </c>
      <c r="I22993" t="s">
        <v>29</v>
      </c>
      <c r="J22993" t="s">
        <v>30</v>
      </c>
      <c r="K22993" t="s">
        <v>69771</v>
      </c>
      <c r="M22993" t="s">
        <v>50621</v>
      </c>
      <c r="N22993" t="str">
        <f>"7/24/2024 10:57:00 AM"</f>
        <v>7/24/2024 10:57:00 AM</v>
      </c>
      <c r="O22993" t="s">
        <v>69769</v>
      </c>
    </row>
    <row r="22994" spans="1:20" x14ac:dyDescent="0.25">
      <c r="A22994" t="str">
        <f>"3057963"</f>
        <v>3057963</v>
      </c>
      <c r="B22994" t="s">
        <v>69772</v>
      </c>
      <c r="C22994" t="str">
        <f>"8307797"</f>
        <v>8307797</v>
      </c>
      <c r="D22994" t="s">
        <v>69773</v>
      </c>
      <c r="F22994" t="s">
        <v>69774</v>
      </c>
      <c r="I22994" t="s">
        <v>58365</v>
      </c>
      <c r="J22994" t="s">
        <v>4132</v>
      </c>
      <c r="K22994" t="s">
        <v>69775</v>
      </c>
      <c r="M22994" t="s">
        <v>50621</v>
      </c>
      <c r="N22994" t="str">
        <f>"7/24/2024 10:58:00 AM"</f>
        <v>7/24/2024 10:58:00 AM</v>
      </c>
      <c r="O22994" t="s">
        <v>69773</v>
      </c>
    </row>
    <row r="22995" spans="1:20" x14ac:dyDescent="0.25">
      <c r="A22995" t="str">
        <f>"3046323"</f>
        <v>3046323</v>
      </c>
      <c r="B22995" t="s">
        <v>69776</v>
      </c>
      <c r="C22995" t="str">
        <f>"82525504"</f>
        <v>82525504</v>
      </c>
      <c r="D22995" t="s">
        <v>69777</v>
      </c>
      <c r="F22995" t="s">
        <v>69778</v>
      </c>
      <c r="I22995" t="s">
        <v>29</v>
      </c>
      <c r="J22995" t="s">
        <v>30</v>
      </c>
      <c r="K22995" t="s">
        <v>28536</v>
      </c>
      <c r="M22995" t="s">
        <v>50621</v>
      </c>
      <c r="N22995" t="str">
        <f>"7/24/2024 10:59:00 AM"</f>
        <v>7/24/2024 10:59:00 AM</v>
      </c>
      <c r="O22995" t="s">
        <v>69777</v>
      </c>
    </row>
    <row r="22996" spans="1:20" x14ac:dyDescent="0.25">
      <c r="A22996" t="str">
        <f>"3049816"</f>
        <v>3049816</v>
      </c>
      <c r="B22996" t="s">
        <v>69779</v>
      </c>
      <c r="C22996" t="str">
        <f>"82517728"</f>
        <v>82517728</v>
      </c>
      <c r="D22996" t="s">
        <v>69780</v>
      </c>
      <c r="E22996" t="s">
        <v>69781</v>
      </c>
      <c r="F22996" t="s">
        <v>69782</v>
      </c>
      <c r="I22996" t="s">
        <v>163</v>
      </c>
      <c r="J22996" t="s">
        <v>30</v>
      </c>
      <c r="K22996" t="s">
        <v>69783</v>
      </c>
      <c r="M22996" t="s">
        <v>50621</v>
      </c>
      <c r="N22996" t="str">
        <f>"7/24/2024 10:59:00 AM"</f>
        <v>7/24/2024 10:59:00 AM</v>
      </c>
      <c r="O22996" t="s">
        <v>69780</v>
      </c>
      <c r="T22996" t="s">
        <v>69781</v>
      </c>
    </row>
    <row r="22997" spans="1:20" x14ac:dyDescent="0.25">
      <c r="A22997" t="str">
        <f>"3059475"</f>
        <v>3059475</v>
      </c>
      <c r="B22997" t="s">
        <v>69784</v>
      </c>
      <c r="C22997" t="str">
        <f>"82518865"</f>
        <v>82518865</v>
      </c>
      <c r="D22997" t="s">
        <v>69785</v>
      </c>
      <c r="F22997" t="s">
        <v>69786</v>
      </c>
      <c r="I22997" t="s">
        <v>1149</v>
      </c>
      <c r="J22997" t="s">
        <v>30</v>
      </c>
      <c r="K22997" t="s">
        <v>69787</v>
      </c>
      <c r="M22997" t="s">
        <v>50621</v>
      </c>
      <c r="N22997" t="str">
        <f>"7/24/2024 11:00:00 AM"</f>
        <v>7/24/2024 11:00:00 AM</v>
      </c>
      <c r="O22997" t="s">
        <v>69785</v>
      </c>
    </row>
    <row r="22998" spans="1:20" x14ac:dyDescent="0.25">
      <c r="A22998" t="str">
        <f>"3053556"</f>
        <v>3053556</v>
      </c>
      <c r="B22998" t="s">
        <v>69788</v>
      </c>
      <c r="C22998" t="str">
        <f>"8310727"</f>
        <v>8310727</v>
      </c>
      <c r="D22998" t="s">
        <v>69789</v>
      </c>
      <c r="E22998" t="s">
        <v>69790</v>
      </c>
      <c r="F22998" t="s">
        <v>69791</v>
      </c>
      <c r="I22998" t="s">
        <v>29</v>
      </c>
      <c r="J22998" t="s">
        <v>30</v>
      </c>
      <c r="K22998" t="s">
        <v>65618</v>
      </c>
      <c r="M22998" t="s">
        <v>50621</v>
      </c>
      <c r="N22998" t="str">
        <f>"7/24/2024 11:01:00 AM"</f>
        <v>7/24/2024 11:01:00 AM</v>
      </c>
      <c r="O22998" t="s">
        <v>69789</v>
      </c>
      <c r="T22998" t="s">
        <v>69790</v>
      </c>
    </row>
    <row r="22999" spans="1:20" x14ac:dyDescent="0.25">
      <c r="A22999" t="str">
        <f>"3045328"</f>
        <v>3045328</v>
      </c>
      <c r="B22999" t="s">
        <v>69792</v>
      </c>
      <c r="C22999" t="str">
        <f>"8303179"</f>
        <v>8303179</v>
      </c>
      <c r="D22999" t="s">
        <v>69793</v>
      </c>
      <c r="F22999" t="s">
        <v>69794</v>
      </c>
      <c r="I22999" t="s">
        <v>29</v>
      </c>
      <c r="J22999" t="s">
        <v>30</v>
      </c>
      <c r="K22999" t="s">
        <v>46628</v>
      </c>
      <c r="M22999" t="s">
        <v>50621</v>
      </c>
      <c r="N22999" t="str">
        <f>"7/24/2024 2:20:00 PM"</f>
        <v>7/24/2024 2:20:00 PM</v>
      </c>
      <c r="O22999" t="s">
        <v>69793</v>
      </c>
    </row>
    <row r="23000" spans="1:20" x14ac:dyDescent="0.25">
      <c r="A23000" t="str">
        <f>"3078085"</f>
        <v>3078085</v>
      </c>
      <c r="B23000" t="s">
        <v>69795</v>
      </c>
      <c r="C23000" t="str">
        <f>"39156620"</f>
        <v>39156620</v>
      </c>
      <c r="D23000" t="s">
        <v>69796</v>
      </c>
      <c r="F23000" t="s">
        <v>69794</v>
      </c>
      <c r="I23000" t="s">
        <v>29</v>
      </c>
      <c r="J23000" t="s">
        <v>30</v>
      </c>
      <c r="K23000" t="s">
        <v>46628</v>
      </c>
      <c r="M23000" t="s">
        <v>50621</v>
      </c>
      <c r="N23000" t="str">
        <f>"7/24/2024 2:21:00 PM"</f>
        <v>7/24/2024 2:21:00 PM</v>
      </c>
      <c r="O23000" t="s">
        <v>69796</v>
      </c>
    </row>
    <row r="23001" spans="1:20" x14ac:dyDescent="0.25">
      <c r="A23001" t="str">
        <f>"3062319"</f>
        <v>3062319</v>
      </c>
      <c r="B23001" t="s">
        <v>69797</v>
      </c>
      <c r="C23001" t="str">
        <f>"8315249"</f>
        <v>8315249</v>
      </c>
      <c r="D23001" t="s">
        <v>69798</v>
      </c>
      <c r="F23001" t="s">
        <v>27140</v>
      </c>
      <c r="I23001" t="s">
        <v>65073</v>
      </c>
      <c r="J23001" t="s">
        <v>30</v>
      </c>
      <c r="K23001" t="s">
        <v>69799</v>
      </c>
      <c r="M23001" t="s">
        <v>50793</v>
      </c>
      <c r="N23001" t="str">
        <f>"7/24/2024 3:26:00 PM"</f>
        <v>7/24/2024 3:26:00 PM</v>
      </c>
      <c r="O23001" t="s">
        <v>69798</v>
      </c>
    </row>
    <row r="23002" spans="1:20" x14ac:dyDescent="0.25">
      <c r="A23002" t="str">
        <f>"3057748"</f>
        <v>3057748</v>
      </c>
      <c r="B23002" t="s">
        <v>69800</v>
      </c>
      <c r="C23002" t="str">
        <f>"8315871"</f>
        <v>8315871</v>
      </c>
      <c r="D23002" t="s">
        <v>69798</v>
      </c>
      <c r="F23002" t="s">
        <v>27140</v>
      </c>
      <c r="I23002" t="s">
        <v>65073</v>
      </c>
      <c r="J23002" t="s">
        <v>30</v>
      </c>
      <c r="K23002" t="s">
        <v>69799</v>
      </c>
      <c r="M23002" t="s">
        <v>50793</v>
      </c>
      <c r="N23002" t="str">
        <f>"7/24/2024 3:26:00 PM"</f>
        <v>7/24/2024 3:26:00 PM</v>
      </c>
      <c r="O23002" t="s">
        <v>69798</v>
      </c>
    </row>
    <row r="23003" spans="1:20" x14ac:dyDescent="0.25">
      <c r="A23003" t="str">
        <f>"3049386"</f>
        <v>3049386</v>
      </c>
      <c r="B23003" t="s">
        <v>69801</v>
      </c>
      <c r="C23003" t="str">
        <f>"8317855"</f>
        <v>8317855</v>
      </c>
      <c r="D23003" t="s">
        <v>69802</v>
      </c>
      <c r="F23003" t="s">
        <v>27140</v>
      </c>
      <c r="I23003" t="s">
        <v>65073</v>
      </c>
      <c r="J23003" t="s">
        <v>30</v>
      </c>
      <c r="K23003" t="s">
        <v>69799</v>
      </c>
      <c r="M23003" t="s">
        <v>50793</v>
      </c>
      <c r="N23003" t="str">
        <f>"7/24/2024 3:27:00 PM"</f>
        <v>7/24/2024 3:27:00 PM</v>
      </c>
      <c r="O23003" t="s">
        <v>69802</v>
      </c>
    </row>
    <row r="23004" spans="1:20" x14ac:dyDescent="0.25">
      <c r="A23004" t="str">
        <f>"3058948"</f>
        <v>3058948</v>
      </c>
      <c r="B23004" t="s">
        <v>69803</v>
      </c>
      <c r="C23004" t="str">
        <f>"8317890"</f>
        <v>8317890</v>
      </c>
      <c r="D23004" t="s">
        <v>69804</v>
      </c>
      <c r="E23004" t="s">
        <v>69805</v>
      </c>
      <c r="F23004" t="s">
        <v>27140</v>
      </c>
      <c r="I23004" t="s">
        <v>65073</v>
      </c>
      <c r="J23004" t="s">
        <v>30</v>
      </c>
      <c r="K23004" t="s">
        <v>69799</v>
      </c>
      <c r="M23004" t="s">
        <v>50793</v>
      </c>
      <c r="N23004" t="str">
        <f>"7/24/2024 3:27:00 PM"</f>
        <v>7/24/2024 3:27:00 PM</v>
      </c>
      <c r="O23004" t="s">
        <v>69804</v>
      </c>
      <c r="T23004" t="s">
        <v>69805</v>
      </c>
    </row>
    <row r="23005" spans="1:20" x14ac:dyDescent="0.25">
      <c r="A23005" t="str">
        <f>"3040113"</f>
        <v>3040113</v>
      </c>
      <c r="B23005" t="s">
        <v>69806</v>
      </c>
      <c r="C23005" t="str">
        <f>"8319817"</f>
        <v>8319817</v>
      </c>
      <c r="D23005" t="s">
        <v>69807</v>
      </c>
      <c r="E23005" t="s">
        <v>69808</v>
      </c>
      <c r="F23005" t="s">
        <v>69809</v>
      </c>
      <c r="I23005" t="s">
        <v>29</v>
      </c>
      <c r="J23005" t="s">
        <v>30</v>
      </c>
      <c r="K23005" t="s">
        <v>2696</v>
      </c>
      <c r="M23005" t="s">
        <v>51351</v>
      </c>
      <c r="N23005" t="str">
        <f>"7/24/2024 4:35:00 PM"</f>
        <v>7/24/2024 4:35:00 PM</v>
      </c>
      <c r="O23005" t="s">
        <v>69807</v>
      </c>
      <c r="T23005" t="s">
        <v>69808</v>
      </c>
    </row>
    <row r="23006" spans="1:20" x14ac:dyDescent="0.25">
      <c r="A23006" t="str">
        <f>"3055384"</f>
        <v>3055384</v>
      </c>
      <c r="B23006" t="s">
        <v>69810</v>
      </c>
      <c r="C23006" t="str">
        <f>"8316748"</f>
        <v>8316748</v>
      </c>
      <c r="D23006" t="s">
        <v>69811</v>
      </c>
      <c r="E23006" t="s">
        <v>69812</v>
      </c>
      <c r="F23006" t="s">
        <v>69813</v>
      </c>
      <c r="I23006" t="s">
        <v>29</v>
      </c>
      <c r="J23006" t="s">
        <v>30</v>
      </c>
      <c r="K23006" t="s">
        <v>36339</v>
      </c>
      <c r="M23006" t="s">
        <v>25733</v>
      </c>
      <c r="N23006" t="str">
        <f>"7/25/2024 8:18:00 AM"</f>
        <v>7/25/2024 8:18:00 AM</v>
      </c>
      <c r="O23006" t="s">
        <v>69811</v>
      </c>
      <c r="T23006" t="s">
        <v>69812</v>
      </c>
    </row>
    <row r="23007" spans="1:20" x14ac:dyDescent="0.25">
      <c r="A23007" t="str">
        <f>"3046449"</f>
        <v>3046449</v>
      </c>
      <c r="B23007" t="s">
        <v>69814</v>
      </c>
      <c r="C23007" t="str">
        <f>"30108500"</f>
        <v>30108500</v>
      </c>
      <c r="D23007" t="s">
        <v>69815</v>
      </c>
      <c r="F23007" t="s">
        <v>69816</v>
      </c>
      <c r="I23007" t="s">
        <v>29</v>
      </c>
      <c r="J23007" t="s">
        <v>30</v>
      </c>
      <c r="K23007" t="s">
        <v>31</v>
      </c>
      <c r="M23007" t="s">
        <v>50793</v>
      </c>
      <c r="N23007" t="str">
        <f>"6/26/2024 10:47:00 AM"</f>
        <v>6/26/2024 10:47:00 AM</v>
      </c>
      <c r="O23007" t="s">
        <v>69815</v>
      </c>
    </row>
    <row r="23008" spans="1:20" x14ac:dyDescent="0.25">
      <c r="A23008" t="str">
        <f>"3055146"</f>
        <v>3055146</v>
      </c>
      <c r="B23008" t="s">
        <v>69817</v>
      </c>
      <c r="C23008" t="str">
        <f>"82529662"</f>
        <v>82529662</v>
      </c>
      <c r="D23008" t="s">
        <v>69818</v>
      </c>
      <c r="E23008" t="s">
        <v>69819</v>
      </c>
      <c r="F23008" t="s">
        <v>69820</v>
      </c>
      <c r="I23008" t="s">
        <v>29</v>
      </c>
      <c r="J23008" t="s">
        <v>30</v>
      </c>
      <c r="K23008" t="s">
        <v>31</v>
      </c>
      <c r="M23008" t="s">
        <v>50793</v>
      </c>
      <c r="N23008" t="str">
        <f>"6/26/2024 10:52:00 AM"</f>
        <v>6/26/2024 10:52:00 AM</v>
      </c>
      <c r="O23008" t="s">
        <v>69818</v>
      </c>
      <c r="T23008" t="s">
        <v>69819</v>
      </c>
    </row>
    <row r="23009" spans="1:20" x14ac:dyDescent="0.25">
      <c r="A23009" t="str">
        <f>"3053775"</f>
        <v>3053775</v>
      </c>
      <c r="B23009" t="s">
        <v>69821</v>
      </c>
      <c r="C23009" t="str">
        <f>"8322573"</f>
        <v>8322573</v>
      </c>
      <c r="D23009" t="s">
        <v>69822</v>
      </c>
      <c r="F23009" t="s">
        <v>69823</v>
      </c>
      <c r="I23009" t="s">
        <v>29</v>
      </c>
      <c r="J23009" t="s">
        <v>30</v>
      </c>
      <c r="K23009" t="s">
        <v>51468</v>
      </c>
      <c r="M23009" t="s">
        <v>50500</v>
      </c>
      <c r="N23009" t="str">
        <f>"7/25/2024 3:06:00 PM"</f>
        <v>7/25/2024 3:06:00 PM</v>
      </c>
      <c r="O23009" t="s">
        <v>69822</v>
      </c>
    </row>
    <row r="23010" spans="1:20" x14ac:dyDescent="0.25">
      <c r="A23010" t="str">
        <f>"3053601"</f>
        <v>3053601</v>
      </c>
      <c r="B23010" t="s">
        <v>69824</v>
      </c>
      <c r="C23010" t="str">
        <f t="shared" ref="C23010:C23018" si="349">"13678000"</f>
        <v>13678000</v>
      </c>
      <c r="D23010" t="s">
        <v>69825</v>
      </c>
      <c r="F23010" t="s">
        <v>69826</v>
      </c>
      <c r="I23010" t="s">
        <v>184</v>
      </c>
      <c r="J23010" t="s">
        <v>30</v>
      </c>
      <c r="K23010" t="s">
        <v>69827</v>
      </c>
      <c r="M23010" t="s">
        <v>25733</v>
      </c>
      <c r="N23010" t="str">
        <f t="shared" ref="N23010:N23018" si="350">"7/25/2024 3:42:00 PM"</f>
        <v>7/25/2024 3:42:00 PM</v>
      </c>
      <c r="O23010" t="s">
        <v>69825</v>
      </c>
      <c r="T23010" t="s">
        <v>69825</v>
      </c>
    </row>
    <row r="23011" spans="1:20" x14ac:dyDescent="0.25">
      <c r="A23011" t="str">
        <f>"3053676"</f>
        <v>3053676</v>
      </c>
      <c r="B23011" t="s">
        <v>69828</v>
      </c>
      <c r="C23011" t="str">
        <f t="shared" si="349"/>
        <v>13678000</v>
      </c>
      <c r="D23011" t="s">
        <v>69825</v>
      </c>
      <c r="F23011" t="s">
        <v>69826</v>
      </c>
      <c r="I23011" t="s">
        <v>184</v>
      </c>
      <c r="J23011" t="s">
        <v>30</v>
      </c>
      <c r="K23011" t="s">
        <v>69827</v>
      </c>
      <c r="M23011" t="s">
        <v>25733</v>
      </c>
      <c r="N23011" t="str">
        <f t="shared" si="350"/>
        <v>7/25/2024 3:42:00 PM</v>
      </c>
      <c r="O23011" t="s">
        <v>69825</v>
      </c>
      <c r="T23011" t="s">
        <v>69825</v>
      </c>
    </row>
    <row r="23012" spans="1:20" x14ac:dyDescent="0.25">
      <c r="A23012" t="str">
        <f>"3053205"</f>
        <v>3053205</v>
      </c>
      <c r="B23012" t="s">
        <v>69829</v>
      </c>
      <c r="C23012" t="str">
        <f t="shared" si="349"/>
        <v>13678000</v>
      </c>
      <c r="D23012" t="s">
        <v>69825</v>
      </c>
      <c r="F23012" t="s">
        <v>69826</v>
      </c>
      <c r="I23012" t="s">
        <v>184</v>
      </c>
      <c r="J23012" t="s">
        <v>30</v>
      </c>
      <c r="K23012" t="s">
        <v>69827</v>
      </c>
      <c r="M23012" t="s">
        <v>25733</v>
      </c>
      <c r="N23012" t="str">
        <f t="shared" si="350"/>
        <v>7/25/2024 3:42:00 PM</v>
      </c>
      <c r="O23012" t="s">
        <v>69825</v>
      </c>
      <c r="T23012" t="s">
        <v>69825</v>
      </c>
    </row>
    <row r="23013" spans="1:20" x14ac:dyDescent="0.25">
      <c r="A23013" t="str">
        <f>"3057607"</f>
        <v>3057607</v>
      </c>
      <c r="B23013" t="s">
        <v>69830</v>
      </c>
      <c r="C23013" t="str">
        <f t="shared" si="349"/>
        <v>13678000</v>
      </c>
      <c r="D23013" t="s">
        <v>69825</v>
      </c>
      <c r="F23013" t="s">
        <v>69826</v>
      </c>
      <c r="I23013" t="s">
        <v>184</v>
      </c>
      <c r="J23013" t="s">
        <v>30</v>
      </c>
      <c r="K23013" t="s">
        <v>69827</v>
      </c>
      <c r="M23013" t="s">
        <v>25733</v>
      </c>
      <c r="N23013" t="str">
        <f t="shared" si="350"/>
        <v>7/25/2024 3:42:00 PM</v>
      </c>
      <c r="O23013" t="s">
        <v>69825</v>
      </c>
      <c r="T23013" t="s">
        <v>69825</v>
      </c>
    </row>
    <row r="23014" spans="1:20" x14ac:dyDescent="0.25">
      <c r="A23014" t="str">
        <f>"3057538"</f>
        <v>3057538</v>
      </c>
      <c r="B23014" t="s">
        <v>69831</v>
      </c>
      <c r="C23014" t="str">
        <f t="shared" si="349"/>
        <v>13678000</v>
      </c>
      <c r="D23014" t="s">
        <v>69825</v>
      </c>
      <c r="F23014" t="s">
        <v>69826</v>
      </c>
      <c r="I23014" t="s">
        <v>184</v>
      </c>
      <c r="J23014" t="s">
        <v>30</v>
      </c>
      <c r="K23014" t="s">
        <v>69827</v>
      </c>
      <c r="M23014" t="s">
        <v>25733</v>
      </c>
      <c r="N23014" t="str">
        <f t="shared" si="350"/>
        <v>7/25/2024 3:42:00 PM</v>
      </c>
      <c r="O23014" t="s">
        <v>69825</v>
      </c>
      <c r="T23014" t="s">
        <v>69825</v>
      </c>
    </row>
    <row r="23015" spans="1:20" x14ac:dyDescent="0.25">
      <c r="A23015" t="str">
        <f>"3042224"</f>
        <v>3042224</v>
      </c>
      <c r="B23015" t="s">
        <v>69832</v>
      </c>
      <c r="C23015" t="str">
        <f t="shared" si="349"/>
        <v>13678000</v>
      </c>
      <c r="D23015" t="s">
        <v>69825</v>
      </c>
      <c r="F23015" t="s">
        <v>69826</v>
      </c>
      <c r="I23015" t="s">
        <v>184</v>
      </c>
      <c r="J23015" t="s">
        <v>30</v>
      </c>
      <c r="K23015" t="s">
        <v>69827</v>
      </c>
      <c r="M23015" t="s">
        <v>25733</v>
      </c>
      <c r="N23015" t="str">
        <f t="shared" si="350"/>
        <v>7/25/2024 3:42:00 PM</v>
      </c>
      <c r="O23015" t="s">
        <v>69825</v>
      </c>
      <c r="T23015" t="s">
        <v>69825</v>
      </c>
    </row>
    <row r="23016" spans="1:20" x14ac:dyDescent="0.25">
      <c r="A23016" t="str">
        <f>"3062370"</f>
        <v>3062370</v>
      </c>
      <c r="B23016" t="s">
        <v>69833</v>
      </c>
      <c r="C23016" t="str">
        <f t="shared" si="349"/>
        <v>13678000</v>
      </c>
      <c r="D23016" t="s">
        <v>69825</v>
      </c>
      <c r="F23016" t="s">
        <v>69826</v>
      </c>
      <c r="I23016" t="s">
        <v>184</v>
      </c>
      <c r="J23016" t="s">
        <v>30</v>
      </c>
      <c r="K23016" t="s">
        <v>69827</v>
      </c>
      <c r="M23016" t="s">
        <v>25733</v>
      </c>
      <c r="N23016" t="str">
        <f t="shared" si="350"/>
        <v>7/25/2024 3:42:00 PM</v>
      </c>
      <c r="O23016" t="s">
        <v>69825</v>
      </c>
      <c r="T23016" t="s">
        <v>69825</v>
      </c>
    </row>
    <row r="23017" spans="1:20" x14ac:dyDescent="0.25">
      <c r="A23017" t="str">
        <f>"3077188"</f>
        <v>3077188</v>
      </c>
      <c r="B23017" t="s">
        <v>69834</v>
      </c>
      <c r="C23017" t="str">
        <f t="shared" si="349"/>
        <v>13678000</v>
      </c>
      <c r="D23017" t="s">
        <v>69825</v>
      </c>
      <c r="F23017" t="s">
        <v>69826</v>
      </c>
      <c r="I23017" t="s">
        <v>184</v>
      </c>
      <c r="J23017" t="s">
        <v>30</v>
      </c>
      <c r="K23017" t="s">
        <v>69827</v>
      </c>
      <c r="M23017" t="s">
        <v>25733</v>
      </c>
      <c r="N23017" t="str">
        <f t="shared" si="350"/>
        <v>7/25/2024 3:42:00 PM</v>
      </c>
      <c r="O23017" t="s">
        <v>69825</v>
      </c>
      <c r="T23017" t="s">
        <v>69825</v>
      </c>
    </row>
    <row r="23018" spans="1:20" x14ac:dyDescent="0.25">
      <c r="A23018" t="str">
        <f>"3073201"</f>
        <v>3073201</v>
      </c>
      <c r="B23018" t="s">
        <v>69835</v>
      </c>
      <c r="C23018" t="str">
        <f t="shared" si="349"/>
        <v>13678000</v>
      </c>
      <c r="D23018" t="s">
        <v>69825</v>
      </c>
      <c r="F23018" t="s">
        <v>69826</v>
      </c>
      <c r="I23018" t="s">
        <v>184</v>
      </c>
      <c r="J23018" t="s">
        <v>30</v>
      </c>
      <c r="K23018" t="s">
        <v>69827</v>
      </c>
      <c r="M23018" t="s">
        <v>25733</v>
      </c>
      <c r="N23018" t="str">
        <f t="shared" si="350"/>
        <v>7/25/2024 3:42:00 PM</v>
      </c>
      <c r="O23018" t="s">
        <v>69825</v>
      </c>
      <c r="T23018" t="s">
        <v>69825</v>
      </c>
    </row>
    <row r="23019" spans="1:20" x14ac:dyDescent="0.25">
      <c r="A23019" t="str">
        <f>"3078829"</f>
        <v>3078829</v>
      </c>
      <c r="B23019" t="s">
        <v>69836</v>
      </c>
      <c r="C23019" t="str">
        <f>"8322574"</f>
        <v>8322574</v>
      </c>
      <c r="D23019" t="s">
        <v>69837</v>
      </c>
      <c r="E23019" t="s">
        <v>69838</v>
      </c>
      <c r="F23019" t="s">
        <v>69839</v>
      </c>
      <c r="I23019" t="s">
        <v>1107</v>
      </c>
      <c r="J23019" t="s">
        <v>30</v>
      </c>
      <c r="K23019" t="s">
        <v>69840</v>
      </c>
      <c r="M23019" t="s">
        <v>50500</v>
      </c>
      <c r="N23019" t="str">
        <f>"7/25/2024 3:57:00 PM"</f>
        <v>7/25/2024 3:57:00 PM</v>
      </c>
      <c r="O23019" t="s">
        <v>69837</v>
      </c>
      <c r="T23019" t="s">
        <v>69838</v>
      </c>
    </row>
    <row r="23020" spans="1:20" x14ac:dyDescent="0.25">
      <c r="A23020" t="str">
        <f>"3058607"</f>
        <v>3058607</v>
      </c>
      <c r="B23020" t="s">
        <v>69841</v>
      </c>
      <c r="C23020" t="str">
        <f>"8322575"</f>
        <v>8322575</v>
      </c>
      <c r="D23020" t="s">
        <v>69842</v>
      </c>
      <c r="E23020" t="s">
        <v>69843</v>
      </c>
      <c r="F23020" t="s">
        <v>69844</v>
      </c>
      <c r="I23020" t="s">
        <v>29</v>
      </c>
      <c r="J23020" t="s">
        <v>30</v>
      </c>
      <c r="K23020" t="s">
        <v>59681</v>
      </c>
      <c r="M23020" t="s">
        <v>50500</v>
      </c>
      <c r="N23020" t="str">
        <f>"7/25/2024 4:02:00 PM"</f>
        <v>7/25/2024 4:02:00 PM</v>
      </c>
      <c r="O23020" t="s">
        <v>69842</v>
      </c>
      <c r="T23020" t="s">
        <v>69843</v>
      </c>
    </row>
    <row r="23021" spans="1:20" x14ac:dyDescent="0.25">
      <c r="A23021" t="str">
        <f>"3062636"</f>
        <v>3062636</v>
      </c>
      <c r="B23021" t="s">
        <v>69845</v>
      </c>
      <c r="C23021" t="str">
        <f>"8322576"</f>
        <v>8322576</v>
      </c>
      <c r="D23021" t="s">
        <v>69846</v>
      </c>
      <c r="E23021" t="s">
        <v>69847</v>
      </c>
      <c r="F23021" t="s">
        <v>69848</v>
      </c>
      <c r="I23021" t="s">
        <v>2071</v>
      </c>
      <c r="J23021" t="s">
        <v>30</v>
      </c>
      <c r="K23021" t="s">
        <v>34629</v>
      </c>
      <c r="M23021" t="s">
        <v>50500</v>
      </c>
      <c r="N23021" t="str">
        <f>"7/25/2024 4:15:00 PM"</f>
        <v>7/25/2024 4:15:00 PM</v>
      </c>
      <c r="O23021" t="s">
        <v>69846</v>
      </c>
      <c r="T23021" t="s">
        <v>69847</v>
      </c>
    </row>
    <row r="23022" spans="1:20" x14ac:dyDescent="0.25">
      <c r="A23022" t="str">
        <f>"3063716"</f>
        <v>3063716</v>
      </c>
      <c r="B23022" t="s">
        <v>69849</v>
      </c>
      <c r="C23022" t="str">
        <f>"8322577"</f>
        <v>8322577</v>
      </c>
      <c r="D23022" t="s">
        <v>69850</v>
      </c>
      <c r="F23022" t="s">
        <v>69851</v>
      </c>
      <c r="I23022" t="s">
        <v>29</v>
      </c>
      <c r="J23022" t="s">
        <v>30</v>
      </c>
      <c r="K23022" t="s">
        <v>397</v>
      </c>
      <c r="M23022" t="s">
        <v>50500</v>
      </c>
      <c r="N23022" t="str">
        <f>"7/25/2024 4:20:00 PM"</f>
        <v>7/25/2024 4:20:00 PM</v>
      </c>
      <c r="O23022" t="s">
        <v>69850</v>
      </c>
    </row>
    <row r="23023" spans="1:20" x14ac:dyDescent="0.25">
      <c r="A23023" t="str">
        <f>"3056437"</f>
        <v>3056437</v>
      </c>
      <c r="B23023" t="s">
        <v>69852</v>
      </c>
      <c r="C23023" t="str">
        <f>"8322578"</f>
        <v>8322578</v>
      </c>
      <c r="D23023" t="s">
        <v>69853</v>
      </c>
      <c r="E23023" t="s">
        <v>69854</v>
      </c>
      <c r="F23023" t="s">
        <v>69855</v>
      </c>
      <c r="I23023" t="s">
        <v>42980</v>
      </c>
      <c r="J23023" t="s">
        <v>30</v>
      </c>
      <c r="K23023" t="s">
        <v>69856</v>
      </c>
      <c r="M23023" t="s">
        <v>50500</v>
      </c>
      <c r="N23023" t="str">
        <f>"7/25/2024 4:26:00 PM"</f>
        <v>7/25/2024 4:26:00 PM</v>
      </c>
      <c r="O23023" t="s">
        <v>69853</v>
      </c>
      <c r="T23023" t="s">
        <v>69854</v>
      </c>
    </row>
    <row r="23024" spans="1:20" x14ac:dyDescent="0.25">
      <c r="A23024" t="str">
        <f>"3047478"</f>
        <v>3047478</v>
      </c>
      <c r="B23024" t="s">
        <v>69857</v>
      </c>
      <c r="C23024" t="str">
        <f>"8311187"</f>
        <v>8311187</v>
      </c>
      <c r="D23024" t="s">
        <v>69858</v>
      </c>
      <c r="F23024" t="s">
        <v>69859</v>
      </c>
      <c r="I23024" t="s">
        <v>69860</v>
      </c>
      <c r="J23024" t="s">
        <v>36383</v>
      </c>
      <c r="K23024" t="s">
        <v>69861</v>
      </c>
      <c r="M23024" t="s">
        <v>50621</v>
      </c>
      <c r="N23024" t="str">
        <f>"7/26/2024 9:16:00 AM"</f>
        <v>7/26/2024 9:16:00 AM</v>
      </c>
      <c r="O23024" t="s">
        <v>69858</v>
      </c>
    </row>
    <row r="23025" spans="1:20" x14ac:dyDescent="0.25">
      <c r="A23025" t="str">
        <f>"3044240"</f>
        <v>3044240</v>
      </c>
      <c r="B23025" t="s">
        <v>69862</v>
      </c>
      <c r="C23025" t="str">
        <f>"8322579"</f>
        <v>8322579</v>
      </c>
      <c r="D23025" t="s">
        <v>69863</v>
      </c>
      <c r="F23025" t="s">
        <v>69864</v>
      </c>
      <c r="I23025" t="s">
        <v>184</v>
      </c>
      <c r="J23025" t="s">
        <v>30</v>
      </c>
      <c r="K23025" t="s">
        <v>45040</v>
      </c>
      <c r="M23025" t="s">
        <v>50500</v>
      </c>
      <c r="N23025" t="str">
        <f>"7/26/2024 9:20:00 AM"</f>
        <v>7/26/2024 9:20:00 AM</v>
      </c>
      <c r="O23025" t="s">
        <v>69863</v>
      </c>
    </row>
    <row r="23026" spans="1:20" x14ac:dyDescent="0.25">
      <c r="A23026" t="str">
        <f>"3068529"</f>
        <v>3068529</v>
      </c>
      <c r="B23026" t="s">
        <v>69865</v>
      </c>
      <c r="C23026" t="str">
        <f>"8322580"</f>
        <v>8322580</v>
      </c>
      <c r="D23026" t="s">
        <v>69866</v>
      </c>
      <c r="E23026" t="s">
        <v>69867</v>
      </c>
      <c r="F23026" t="s">
        <v>69868</v>
      </c>
      <c r="I23026" t="s">
        <v>29</v>
      </c>
      <c r="J23026" t="s">
        <v>30</v>
      </c>
      <c r="K23026" t="s">
        <v>41428</v>
      </c>
      <c r="M23026" t="s">
        <v>50500</v>
      </c>
      <c r="N23026" t="str">
        <f>"7/26/2024 9:29:00 AM"</f>
        <v>7/26/2024 9:29:00 AM</v>
      </c>
      <c r="O23026" t="s">
        <v>69866</v>
      </c>
      <c r="T23026" t="s">
        <v>69867</v>
      </c>
    </row>
    <row r="23027" spans="1:20" x14ac:dyDescent="0.25">
      <c r="A23027" t="str">
        <f>"3077674"</f>
        <v>3077674</v>
      </c>
      <c r="B23027" t="s">
        <v>69869</v>
      </c>
      <c r="C23027" t="str">
        <f>"8322580"</f>
        <v>8322580</v>
      </c>
      <c r="D23027" t="s">
        <v>69866</v>
      </c>
      <c r="E23027" t="s">
        <v>69867</v>
      </c>
      <c r="F23027" t="s">
        <v>69868</v>
      </c>
      <c r="I23027" t="s">
        <v>29</v>
      </c>
      <c r="J23027" t="s">
        <v>30</v>
      </c>
      <c r="K23027" t="s">
        <v>41428</v>
      </c>
      <c r="M23027" t="s">
        <v>50500</v>
      </c>
      <c r="N23027" t="str">
        <f>"7/26/2024 9:29:00 AM"</f>
        <v>7/26/2024 9:29:00 AM</v>
      </c>
      <c r="O23027" t="s">
        <v>69866</v>
      </c>
      <c r="T23027" t="s">
        <v>69867</v>
      </c>
    </row>
    <row r="23028" spans="1:20" x14ac:dyDescent="0.25">
      <c r="A23028" t="str">
        <f>"3041544"</f>
        <v>3041544</v>
      </c>
      <c r="B23028" t="s">
        <v>69870</v>
      </c>
      <c r="C23028" t="str">
        <f>"8322581"</f>
        <v>8322581</v>
      </c>
      <c r="D23028" t="s">
        <v>69871</v>
      </c>
      <c r="F23028" t="s">
        <v>69872</v>
      </c>
      <c r="I23028" t="s">
        <v>2071</v>
      </c>
      <c r="J23028" t="s">
        <v>30</v>
      </c>
      <c r="K23028" t="s">
        <v>33423</v>
      </c>
      <c r="M23028" t="s">
        <v>50500</v>
      </c>
      <c r="N23028" t="str">
        <f>"7/26/2024 9:35:00 AM"</f>
        <v>7/26/2024 9:35:00 AM</v>
      </c>
      <c r="O23028" t="s">
        <v>69871</v>
      </c>
    </row>
    <row r="23029" spans="1:20" x14ac:dyDescent="0.25">
      <c r="A23029" t="str">
        <f>"3062756"</f>
        <v>3062756</v>
      </c>
      <c r="B23029" t="s">
        <v>69873</v>
      </c>
      <c r="C23029" t="str">
        <f>"8322582"</f>
        <v>8322582</v>
      </c>
      <c r="D23029" t="s">
        <v>69874</v>
      </c>
      <c r="F23029" t="s">
        <v>69875</v>
      </c>
      <c r="I23029" t="s">
        <v>184</v>
      </c>
      <c r="J23029" t="s">
        <v>30</v>
      </c>
      <c r="K23029" t="s">
        <v>5909</v>
      </c>
      <c r="M23029" t="s">
        <v>50500</v>
      </c>
      <c r="N23029" t="str">
        <f>"7/26/2024 9:39:00 AM"</f>
        <v>7/26/2024 9:39:00 AM</v>
      </c>
      <c r="O23029" t="s">
        <v>69874</v>
      </c>
    </row>
    <row r="23030" spans="1:20" x14ac:dyDescent="0.25">
      <c r="A23030" t="str">
        <f>"3049811"</f>
        <v>3049811</v>
      </c>
      <c r="B23030" t="s">
        <v>69876</v>
      </c>
      <c r="C23030" t="str">
        <f>"8313868"</f>
        <v>8313868</v>
      </c>
      <c r="D23030" t="s">
        <v>69877</v>
      </c>
      <c r="F23030" t="s">
        <v>63036</v>
      </c>
      <c r="I23030" t="s">
        <v>29</v>
      </c>
      <c r="J23030" t="s">
        <v>30</v>
      </c>
      <c r="K23030" t="s">
        <v>24345</v>
      </c>
      <c r="M23030" t="s">
        <v>50793</v>
      </c>
      <c r="N23030" t="str">
        <f>"7/26/2024 9:47:00 AM"</f>
        <v>7/26/2024 9:47:00 AM</v>
      </c>
      <c r="O23030" t="s">
        <v>69877</v>
      </c>
    </row>
    <row r="23031" spans="1:20" x14ac:dyDescent="0.25">
      <c r="A23031" t="str">
        <f>"3059871"</f>
        <v>3059871</v>
      </c>
      <c r="B23031" t="s">
        <v>69878</v>
      </c>
      <c r="C23031" t="str">
        <f>"8316620"</f>
        <v>8316620</v>
      </c>
      <c r="D23031" t="s">
        <v>69879</v>
      </c>
      <c r="E23031" t="s">
        <v>69880</v>
      </c>
      <c r="F23031" t="s">
        <v>69881</v>
      </c>
      <c r="I23031" t="s">
        <v>29</v>
      </c>
      <c r="J23031" t="s">
        <v>30</v>
      </c>
      <c r="K23031" t="s">
        <v>46624</v>
      </c>
      <c r="M23031" t="s">
        <v>50793</v>
      </c>
      <c r="N23031" t="str">
        <f>"6/26/2024 10:55:00 AM"</f>
        <v>6/26/2024 10:55:00 AM</v>
      </c>
      <c r="O23031" t="s">
        <v>69879</v>
      </c>
      <c r="T23031" t="s">
        <v>69880</v>
      </c>
    </row>
    <row r="23032" spans="1:20" x14ac:dyDescent="0.25">
      <c r="A23032" t="str">
        <f>"3062277"</f>
        <v>3062277</v>
      </c>
      <c r="B23032" t="s">
        <v>69882</v>
      </c>
      <c r="C23032" t="str">
        <f>"8314891"</f>
        <v>8314891</v>
      </c>
      <c r="D23032" t="s">
        <v>69883</v>
      </c>
      <c r="E23032" t="s">
        <v>69884</v>
      </c>
      <c r="F23032" t="s">
        <v>69885</v>
      </c>
      <c r="I23032" t="s">
        <v>29</v>
      </c>
      <c r="J23032" t="s">
        <v>30</v>
      </c>
      <c r="K23032" t="s">
        <v>39386</v>
      </c>
      <c r="M23032" t="s">
        <v>50793</v>
      </c>
      <c r="N23032" t="str">
        <f>"6/26/2024 10:58:00 AM"</f>
        <v>6/26/2024 10:58:00 AM</v>
      </c>
      <c r="O23032" t="s">
        <v>69883</v>
      </c>
      <c r="T23032" t="s">
        <v>69884</v>
      </c>
    </row>
    <row r="23033" spans="1:20" x14ac:dyDescent="0.25">
      <c r="A23033" t="str">
        <f>"3059988"</f>
        <v>3059988</v>
      </c>
      <c r="B23033" t="s">
        <v>69886</v>
      </c>
      <c r="C23033" t="str">
        <f>"82515292"</f>
        <v>82515292</v>
      </c>
      <c r="D23033" t="s">
        <v>69887</v>
      </c>
      <c r="F23033" t="s">
        <v>69888</v>
      </c>
      <c r="I23033" t="s">
        <v>184</v>
      </c>
      <c r="J23033" t="s">
        <v>30</v>
      </c>
      <c r="K23033" t="s">
        <v>10399</v>
      </c>
      <c r="M23033" t="s">
        <v>50621</v>
      </c>
      <c r="N23033" t="str">
        <f>"7/26/2024 10:03:00 AM"</f>
        <v>7/26/2024 10:03:00 AM</v>
      </c>
      <c r="O23033" t="s">
        <v>69887</v>
      </c>
    </row>
    <row r="23034" spans="1:20" x14ac:dyDescent="0.25">
      <c r="A23034" t="str">
        <f>"3037346"</f>
        <v>3037346</v>
      </c>
      <c r="B23034" t="s">
        <v>69889</v>
      </c>
      <c r="C23034" t="str">
        <f>"82525637"</f>
        <v>82525637</v>
      </c>
      <c r="D23034" t="s">
        <v>69890</v>
      </c>
      <c r="E23034" t="s">
        <v>69891</v>
      </c>
      <c r="F23034" t="s">
        <v>69892</v>
      </c>
      <c r="I23034" t="s">
        <v>184</v>
      </c>
      <c r="J23034" t="s">
        <v>30</v>
      </c>
      <c r="K23034" t="s">
        <v>61452</v>
      </c>
      <c r="M23034" t="s">
        <v>50621</v>
      </c>
      <c r="N23034" t="str">
        <f>"7/26/2024 10:04:00 AM"</f>
        <v>7/26/2024 10:04:00 AM</v>
      </c>
      <c r="O23034" t="s">
        <v>69890</v>
      </c>
      <c r="T23034" t="s">
        <v>69891</v>
      </c>
    </row>
    <row r="23035" spans="1:20" x14ac:dyDescent="0.25">
      <c r="A23035" t="str">
        <f>"3041404"</f>
        <v>3041404</v>
      </c>
      <c r="B23035" t="s">
        <v>69893</v>
      </c>
      <c r="C23035" t="str">
        <f>"8309822"</f>
        <v>8309822</v>
      </c>
      <c r="D23035" t="s">
        <v>69894</v>
      </c>
      <c r="F23035" t="s">
        <v>57893</v>
      </c>
      <c r="I23035" t="s">
        <v>184</v>
      </c>
      <c r="J23035" t="s">
        <v>30</v>
      </c>
      <c r="K23035" t="s">
        <v>57894</v>
      </c>
      <c r="M23035" t="s">
        <v>50621</v>
      </c>
      <c r="N23035" t="str">
        <f>"7/26/2024 10:06:00 AM"</f>
        <v>7/26/2024 10:06:00 AM</v>
      </c>
      <c r="O23035" t="s">
        <v>69894</v>
      </c>
    </row>
    <row r="23036" spans="1:20" x14ac:dyDescent="0.25">
      <c r="A23036" t="str">
        <f>"3041400"</f>
        <v>3041400</v>
      </c>
      <c r="B23036" t="s">
        <v>69895</v>
      </c>
      <c r="C23036" t="str">
        <f>"82525565"</f>
        <v>82525565</v>
      </c>
      <c r="D23036" t="s">
        <v>69896</v>
      </c>
      <c r="F23036" t="s">
        <v>69897</v>
      </c>
      <c r="I23036" t="s">
        <v>2525</v>
      </c>
      <c r="J23036" t="s">
        <v>30</v>
      </c>
      <c r="K23036" t="s">
        <v>69898</v>
      </c>
      <c r="M23036" t="s">
        <v>50621</v>
      </c>
      <c r="N23036" t="str">
        <f>"7/26/2024 10:08:00 AM"</f>
        <v>7/26/2024 10:08:00 AM</v>
      </c>
      <c r="O23036" t="s">
        <v>69896</v>
      </c>
    </row>
    <row r="23037" spans="1:20" x14ac:dyDescent="0.25">
      <c r="A23037" t="str">
        <f>"3040563"</f>
        <v>3040563</v>
      </c>
      <c r="B23037" t="s">
        <v>69899</v>
      </c>
      <c r="C23037" t="str">
        <f>"8319687"</f>
        <v>8319687</v>
      </c>
      <c r="D23037" t="s">
        <v>31461</v>
      </c>
      <c r="F23037" t="s">
        <v>69900</v>
      </c>
      <c r="I23037" t="s">
        <v>184</v>
      </c>
      <c r="J23037" t="s">
        <v>30</v>
      </c>
      <c r="K23037" t="s">
        <v>3550</v>
      </c>
      <c r="M23037" t="s">
        <v>50621</v>
      </c>
      <c r="N23037" t="str">
        <f>"7/26/2024 10:08:00 AM"</f>
        <v>7/26/2024 10:08:00 AM</v>
      </c>
      <c r="O23037" t="s">
        <v>31461</v>
      </c>
    </row>
    <row r="23038" spans="1:20" x14ac:dyDescent="0.25">
      <c r="A23038" t="str">
        <f>"3042221"</f>
        <v>3042221</v>
      </c>
      <c r="B23038" t="s">
        <v>69901</v>
      </c>
      <c r="C23038" t="str">
        <f>"8319369"</f>
        <v>8319369</v>
      </c>
      <c r="D23038" t="s">
        <v>31461</v>
      </c>
      <c r="F23038" t="s">
        <v>69900</v>
      </c>
      <c r="I23038" t="s">
        <v>184</v>
      </c>
      <c r="J23038" t="s">
        <v>30</v>
      </c>
      <c r="K23038" t="s">
        <v>3550</v>
      </c>
      <c r="M23038" t="s">
        <v>50621</v>
      </c>
      <c r="N23038" t="str">
        <f>"7/26/2024 10:09:00 AM"</f>
        <v>7/26/2024 10:09:00 AM</v>
      </c>
      <c r="O23038" t="s">
        <v>31461</v>
      </c>
    </row>
    <row r="23039" spans="1:20" x14ac:dyDescent="0.25">
      <c r="A23039" t="str">
        <f>"3056614"</f>
        <v>3056614</v>
      </c>
      <c r="B23039" t="s">
        <v>69902</v>
      </c>
      <c r="C23039" t="str">
        <f>"8320119"</f>
        <v>8320119</v>
      </c>
      <c r="D23039" t="s">
        <v>69903</v>
      </c>
      <c r="E23039" t="s">
        <v>69904</v>
      </c>
      <c r="F23039" t="s">
        <v>69905</v>
      </c>
      <c r="I23039" t="s">
        <v>29</v>
      </c>
      <c r="J23039" t="s">
        <v>30</v>
      </c>
      <c r="K23039" t="s">
        <v>35237</v>
      </c>
      <c r="M23039" t="s">
        <v>50621</v>
      </c>
      <c r="N23039" t="str">
        <f>"7/26/2024 10:09:00 AM"</f>
        <v>7/26/2024 10:09:00 AM</v>
      </c>
      <c r="O23039" t="s">
        <v>69903</v>
      </c>
      <c r="T23039" t="s">
        <v>69904</v>
      </c>
    </row>
    <row r="23040" spans="1:20" x14ac:dyDescent="0.25">
      <c r="A23040" t="str">
        <f>"3075079"</f>
        <v>3075079</v>
      </c>
      <c r="B23040" t="s">
        <v>69906</v>
      </c>
      <c r="C23040" t="str">
        <f>"82525580"</f>
        <v>82525580</v>
      </c>
      <c r="D23040" t="s">
        <v>69903</v>
      </c>
      <c r="E23040" t="s">
        <v>69907</v>
      </c>
      <c r="F23040" t="s">
        <v>69905</v>
      </c>
      <c r="I23040" t="s">
        <v>29</v>
      </c>
      <c r="J23040" t="s">
        <v>30</v>
      </c>
      <c r="K23040" t="s">
        <v>35237</v>
      </c>
      <c r="M23040" t="s">
        <v>50621</v>
      </c>
      <c r="N23040" t="str">
        <f>"7/26/2024 10:10:00 AM"</f>
        <v>7/26/2024 10:10:00 AM</v>
      </c>
      <c r="O23040" t="s">
        <v>69903</v>
      </c>
      <c r="T23040" t="s">
        <v>69907</v>
      </c>
    </row>
    <row r="23041" spans="1:20" x14ac:dyDescent="0.25">
      <c r="A23041" t="str">
        <f>"3055238"</f>
        <v>3055238</v>
      </c>
      <c r="B23041" t="s">
        <v>69908</v>
      </c>
      <c r="C23041" t="str">
        <f>"8304114"</f>
        <v>8304114</v>
      </c>
      <c r="D23041" t="s">
        <v>69909</v>
      </c>
      <c r="E23041" t="s">
        <v>69910</v>
      </c>
      <c r="F23041" t="s">
        <v>69911</v>
      </c>
      <c r="I23041" t="s">
        <v>7917</v>
      </c>
      <c r="J23041" t="s">
        <v>30</v>
      </c>
      <c r="K23041" t="s">
        <v>69912</v>
      </c>
      <c r="M23041" t="s">
        <v>50621</v>
      </c>
      <c r="N23041" t="str">
        <f>"7/26/2024 10:10:00 AM"</f>
        <v>7/26/2024 10:10:00 AM</v>
      </c>
      <c r="O23041" t="s">
        <v>69909</v>
      </c>
      <c r="T23041" t="s">
        <v>69910</v>
      </c>
    </row>
    <row r="23042" spans="1:20" x14ac:dyDescent="0.25">
      <c r="A23042" t="str">
        <f>"3039167"</f>
        <v>3039167</v>
      </c>
      <c r="B23042" t="s">
        <v>69913</v>
      </c>
      <c r="C23042" t="str">
        <f>"82518220"</f>
        <v>82518220</v>
      </c>
      <c r="D23042" t="s">
        <v>69914</v>
      </c>
      <c r="E23042" t="s">
        <v>69915</v>
      </c>
      <c r="F23042" t="s">
        <v>69916</v>
      </c>
      <c r="I23042" t="s">
        <v>471</v>
      </c>
      <c r="J23042" t="s">
        <v>30</v>
      </c>
      <c r="K23042" t="s">
        <v>69917</v>
      </c>
      <c r="M23042" t="s">
        <v>50621</v>
      </c>
      <c r="N23042" t="str">
        <f>"7/26/2024 10:11:00 AM"</f>
        <v>7/26/2024 10:11:00 AM</v>
      </c>
      <c r="O23042" t="s">
        <v>69914</v>
      </c>
      <c r="T23042" t="s">
        <v>69915</v>
      </c>
    </row>
    <row r="23043" spans="1:20" x14ac:dyDescent="0.25">
      <c r="A23043" t="str">
        <f>"3047502"</f>
        <v>3047502</v>
      </c>
      <c r="B23043" t="s">
        <v>69918</v>
      </c>
      <c r="C23043" t="str">
        <f>"82515376"</f>
        <v>82515376</v>
      </c>
      <c r="D23043" t="s">
        <v>69919</v>
      </c>
      <c r="F23043" t="s">
        <v>69920</v>
      </c>
      <c r="I23043" t="s">
        <v>1149</v>
      </c>
      <c r="J23043" t="s">
        <v>30</v>
      </c>
      <c r="K23043" t="s">
        <v>56090</v>
      </c>
      <c r="M23043" t="s">
        <v>50621</v>
      </c>
      <c r="N23043" t="str">
        <f>"7/26/2024 10:12:00 AM"</f>
        <v>7/26/2024 10:12:00 AM</v>
      </c>
      <c r="O23043" t="s">
        <v>69919</v>
      </c>
    </row>
    <row r="23044" spans="1:20" x14ac:dyDescent="0.25">
      <c r="A23044" t="str">
        <f>"3052396"</f>
        <v>3052396</v>
      </c>
      <c r="B23044" t="s">
        <v>69921</v>
      </c>
      <c r="C23044" t="str">
        <f>"82522758"</f>
        <v>82522758</v>
      </c>
      <c r="D23044" t="s">
        <v>69922</v>
      </c>
      <c r="E23044" t="s">
        <v>69923</v>
      </c>
      <c r="F23044" t="str">
        <f>"C/O HABITAT FOR HUMANITY"</f>
        <v>C/O HABITAT FOR HUMANITY</v>
      </c>
      <c r="G23044" t="s">
        <v>66912</v>
      </c>
      <c r="I23044" t="s">
        <v>184</v>
      </c>
      <c r="J23044" t="s">
        <v>30</v>
      </c>
      <c r="K23044" t="s">
        <v>61981</v>
      </c>
      <c r="M23044" t="s">
        <v>50621</v>
      </c>
      <c r="N23044" t="str">
        <f>"7/26/2024 10:13:00 AM"</f>
        <v>7/26/2024 10:13:00 AM</v>
      </c>
      <c r="O23044" t="s">
        <v>69922</v>
      </c>
      <c r="T23044" t="s">
        <v>69923</v>
      </c>
    </row>
    <row r="23045" spans="1:20" x14ac:dyDescent="0.25">
      <c r="A23045" t="str">
        <f>"3057738"</f>
        <v>3057738</v>
      </c>
      <c r="B23045" t="s">
        <v>69924</v>
      </c>
      <c r="C23045" t="str">
        <f>"82518538"</f>
        <v>82518538</v>
      </c>
      <c r="D23045" t="s">
        <v>69925</v>
      </c>
      <c r="E23045" t="s">
        <v>69926</v>
      </c>
      <c r="F23045" t="str">
        <f>"C/O HABITAT FOR HUMANITY"</f>
        <v>C/O HABITAT FOR HUMANITY</v>
      </c>
      <c r="G23045" t="s">
        <v>66912</v>
      </c>
      <c r="I23045" t="s">
        <v>184</v>
      </c>
      <c r="J23045" t="s">
        <v>30</v>
      </c>
      <c r="K23045" t="s">
        <v>61981</v>
      </c>
      <c r="M23045" t="s">
        <v>50621</v>
      </c>
      <c r="N23045" t="str">
        <f>"7/26/2024 10:14:00 AM"</f>
        <v>7/26/2024 10:14:00 AM</v>
      </c>
      <c r="O23045" t="s">
        <v>69925</v>
      </c>
      <c r="T23045" t="s">
        <v>69926</v>
      </c>
    </row>
    <row r="23046" spans="1:20" x14ac:dyDescent="0.25">
      <c r="A23046" t="str">
        <f>"3061890"</f>
        <v>3061890</v>
      </c>
      <c r="B23046" t="s">
        <v>69927</v>
      </c>
      <c r="C23046" t="str">
        <f>"8309396"</f>
        <v>8309396</v>
      </c>
      <c r="D23046" t="s">
        <v>69928</v>
      </c>
      <c r="E23046" t="s">
        <v>69929</v>
      </c>
      <c r="F23046" t="s">
        <v>69930</v>
      </c>
      <c r="I23046" t="s">
        <v>184</v>
      </c>
      <c r="J23046" t="s">
        <v>30</v>
      </c>
      <c r="K23046" t="s">
        <v>15031</v>
      </c>
      <c r="M23046" t="s">
        <v>50793</v>
      </c>
      <c r="N23046" t="str">
        <f>"6/26/2024 11:03:00 AM"</f>
        <v>6/26/2024 11:03:00 AM</v>
      </c>
      <c r="O23046" t="s">
        <v>69928</v>
      </c>
      <c r="T23046" t="s">
        <v>69929</v>
      </c>
    </row>
    <row r="23047" spans="1:20" x14ac:dyDescent="0.25">
      <c r="A23047" t="str">
        <f>"3045818"</f>
        <v>3045818</v>
      </c>
      <c r="B23047" t="s">
        <v>69931</v>
      </c>
      <c r="C23047" t="str">
        <f>"82527928"</f>
        <v>82527928</v>
      </c>
      <c r="D23047" t="s">
        <v>69932</v>
      </c>
      <c r="F23047" t="s">
        <v>69933</v>
      </c>
      <c r="I23047" t="s">
        <v>29</v>
      </c>
      <c r="J23047" t="s">
        <v>30</v>
      </c>
      <c r="K23047" t="s">
        <v>7120</v>
      </c>
      <c r="M23047" t="s">
        <v>50621</v>
      </c>
      <c r="N23047" t="str">
        <f>"6/26/2024 11:12:00 AM"</f>
        <v>6/26/2024 11:12:00 AM</v>
      </c>
      <c r="O23047" t="s">
        <v>69932</v>
      </c>
    </row>
    <row r="23048" spans="1:20" x14ac:dyDescent="0.25">
      <c r="A23048" t="str">
        <f>"3062331"</f>
        <v>3062331</v>
      </c>
      <c r="B23048" t="s">
        <v>69934</v>
      </c>
      <c r="C23048" t="str">
        <f>"8305423"</f>
        <v>8305423</v>
      </c>
      <c r="D23048" t="s">
        <v>69928</v>
      </c>
      <c r="F23048" t="s">
        <v>69935</v>
      </c>
      <c r="I23048" t="s">
        <v>184</v>
      </c>
      <c r="J23048" t="s">
        <v>30</v>
      </c>
      <c r="K23048" t="str">
        <f>"27006"</f>
        <v>27006</v>
      </c>
      <c r="M23048" t="s">
        <v>50793</v>
      </c>
      <c r="N23048" t="str">
        <f>"6/26/2024 11:52:00 AM"</f>
        <v>6/26/2024 11:52:00 AM</v>
      </c>
      <c r="O23048" t="s">
        <v>69928</v>
      </c>
    </row>
    <row r="23049" spans="1:20" x14ac:dyDescent="0.25">
      <c r="A23049" t="str">
        <f>"3059929"</f>
        <v>3059929</v>
      </c>
      <c r="B23049" t="s">
        <v>69936</v>
      </c>
      <c r="C23049" t="str">
        <f>"8317474"</f>
        <v>8317474</v>
      </c>
      <c r="D23049" t="s">
        <v>69937</v>
      </c>
      <c r="F23049" t="s">
        <v>51845</v>
      </c>
      <c r="I23049" t="s">
        <v>184</v>
      </c>
      <c r="J23049" t="s">
        <v>30</v>
      </c>
      <c r="K23049" t="s">
        <v>48131</v>
      </c>
      <c r="M23049" t="s">
        <v>50621</v>
      </c>
      <c r="N23049" t="str">
        <f>"7/26/2024 10:20:00 AM"</f>
        <v>7/26/2024 10:20:00 AM</v>
      </c>
      <c r="O23049" t="s">
        <v>69937</v>
      </c>
    </row>
    <row r="23050" spans="1:20" x14ac:dyDescent="0.25">
      <c r="A23050" t="str">
        <f>"3062007"</f>
        <v>3062007</v>
      </c>
      <c r="B23050" t="s">
        <v>69938</v>
      </c>
      <c r="C23050" t="str">
        <f>"8317754"</f>
        <v>8317754</v>
      </c>
      <c r="D23050" t="s">
        <v>69939</v>
      </c>
      <c r="E23050" t="s">
        <v>69940</v>
      </c>
      <c r="F23050" t="s">
        <v>69941</v>
      </c>
      <c r="I23050" t="s">
        <v>184</v>
      </c>
      <c r="J23050" t="s">
        <v>30</v>
      </c>
      <c r="K23050" t="s">
        <v>10399</v>
      </c>
      <c r="M23050" t="s">
        <v>50621</v>
      </c>
      <c r="N23050" t="str">
        <f>"7/26/2024 10:22:00 AM"</f>
        <v>7/26/2024 10:22:00 AM</v>
      </c>
      <c r="O23050" t="s">
        <v>69939</v>
      </c>
      <c r="T23050" t="s">
        <v>69940</v>
      </c>
    </row>
    <row r="23051" spans="1:20" x14ac:dyDescent="0.25">
      <c r="A23051" t="str">
        <f>"3058965"</f>
        <v>3058965</v>
      </c>
      <c r="B23051" t="s">
        <v>69942</v>
      </c>
      <c r="C23051" t="str">
        <f>"8318911"</f>
        <v>8318911</v>
      </c>
      <c r="D23051" t="s">
        <v>69943</v>
      </c>
      <c r="F23051" t="s">
        <v>69944</v>
      </c>
      <c r="I23051" t="s">
        <v>21749</v>
      </c>
      <c r="J23051" t="s">
        <v>30</v>
      </c>
      <c r="K23051" t="s">
        <v>69945</v>
      </c>
      <c r="M23051" t="s">
        <v>50621</v>
      </c>
      <c r="N23051" t="str">
        <f>"7/26/2024 10:25:00 AM"</f>
        <v>7/26/2024 10:25:00 AM</v>
      </c>
      <c r="O23051" t="s">
        <v>69943</v>
      </c>
    </row>
    <row r="23052" spans="1:20" x14ac:dyDescent="0.25">
      <c r="A23052" t="str">
        <f>"3051773"</f>
        <v>3051773</v>
      </c>
      <c r="B23052" t="s">
        <v>69946</v>
      </c>
      <c r="C23052" t="str">
        <f>"8320052"</f>
        <v>8320052</v>
      </c>
      <c r="D23052" t="s">
        <v>69947</v>
      </c>
      <c r="F23052" t="s">
        <v>69948</v>
      </c>
      <c r="I23052" t="s">
        <v>29</v>
      </c>
      <c r="J23052" t="s">
        <v>30</v>
      </c>
      <c r="K23052" t="s">
        <v>25051</v>
      </c>
      <c r="M23052" t="s">
        <v>18479</v>
      </c>
      <c r="N23052" t="str">
        <f>"7/1/2024 12:20:00 AM"</f>
        <v>7/1/2024 12:20:00 AM</v>
      </c>
      <c r="O23052" t="s">
        <v>69947</v>
      </c>
    </row>
    <row r="23053" spans="1:20" x14ac:dyDescent="0.25">
      <c r="A23053" t="str">
        <f>"3056158"</f>
        <v>3056158</v>
      </c>
      <c r="B23053" t="s">
        <v>69949</v>
      </c>
      <c r="C23053" t="str">
        <f>"8322584"</f>
        <v>8322584</v>
      </c>
      <c r="D23053" t="s">
        <v>69950</v>
      </c>
      <c r="E23053" t="s">
        <v>69951</v>
      </c>
      <c r="F23053" t="s">
        <v>69952</v>
      </c>
      <c r="I23053" t="s">
        <v>9580</v>
      </c>
      <c r="J23053" t="s">
        <v>30</v>
      </c>
      <c r="K23053" t="s">
        <v>69953</v>
      </c>
      <c r="M23053" t="s">
        <v>50500</v>
      </c>
      <c r="N23053" t="str">
        <f>"7/26/2024 12:49:00 PM"</f>
        <v>7/26/2024 12:49:00 PM</v>
      </c>
      <c r="O23053" t="s">
        <v>69950</v>
      </c>
      <c r="T23053" t="s">
        <v>69951</v>
      </c>
    </row>
    <row r="23054" spans="1:20" x14ac:dyDescent="0.25">
      <c r="A23054" t="str">
        <f>"3052143"</f>
        <v>3052143</v>
      </c>
      <c r="B23054" t="s">
        <v>69954</v>
      </c>
      <c r="C23054" t="str">
        <f>"8322585"</f>
        <v>8322585</v>
      </c>
      <c r="D23054" t="s">
        <v>69955</v>
      </c>
      <c r="F23054" t="s">
        <v>68223</v>
      </c>
      <c r="I23054" t="s">
        <v>58446</v>
      </c>
      <c r="J23054" t="s">
        <v>12725</v>
      </c>
      <c r="K23054" t="s">
        <v>68224</v>
      </c>
      <c r="M23054" t="s">
        <v>50500</v>
      </c>
      <c r="N23054" t="str">
        <f>"7/26/2024 12:56:00 PM"</f>
        <v>7/26/2024 12:56:00 PM</v>
      </c>
      <c r="O23054" t="s">
        <v>69955</v>
      </c>
    </row>
    <row r="23055" spans="1:20" x14ac:dyDescent="0.25">
      <c r="A23055" t="str">
        <f>"3061448"</f>
        <v>3061448</v>
      </c>
      <c r="B23055" t="s">
        <v>69956</v>
      </c>
      <c r="C23055" t="str">
        <f>"8322587"</f>
        <v>8322587</v>
      </c>
      <c r="D23055" t="s">
        <v>69957</v>
      </c>
      <c r="F23055" t="s">
        <v>69958</v>
      </c>
      <c r="I23055" t="s">
        <v>184</v>
      </c>
      <c r="J23055" t="s">
        <v>30</v>
      </c>
      <c r="K23055" t="s">
        <v>35010</v>
      </c>
      <c r="M23055" t="s">
        <v>50500</v>
      </c>
      <c r="N23055" t="str">
        <f>"7/26/2024 1:08:00 PM"</f>
        <v>7/26/2024 1:08:00 PM</v>
      </c>
      <c r="O23055" t="s">
        <v>69957</v>
      </c>
    </row>
    <row r="23056" spans="1:20" x14ac:dyDescent="0.25">
      <c r="A23056" t="str">
        <f>"3062945"</f>
        <v>3062945</v>
      </c>
      <c r="B23056" t="s">
        <v>69959</v>
      </c>
      <c r="C23056" t="str">
        <f>"8315874"</f>
        <v>8315874</v>
      </c>
      <c r="D23056" t="s">
        <v>69960</v>
      </c>
      <c r="E23056" t="s">
        <v>69961</v>
      </c>
      <c r="F23056" t="s">
        <v>69962</v>
      </c>
      <c r="I23056" t="s">
        <v>29</v>
      </c>
      <c r="J23056" t="s">
        <v>30</v>
      </c>
      <c r="K23056" t="s">
        <v>36427</v>
      </c>
      <c r="M23056" t="s">
        <v>50793</v>
      </c>
      <c r="N23056" t="str">
        <f>"7/26/2024 1:46:00 PM"</f>
        <v>7/26/2024 1:46:00 PM</v>
      </c>
      <c r="O23056" t="s">
        <v>69960</v>
      </c>
      <c r="T23056" t="s">
        <v>69961</v>
      </c>
    </row>
    <row r="23057" spans="1:20" x14ac:dyDescent="0.25">
      <c r="A23057" t="str">
        <f>"3052993"</f>
        <v>3052993</v>
      </c>
      <c r="B23057" t="s">
        <v>69963</v>
      </c>
      <c r="C23057" t="str">
        <f>"8322588"</f>
        <v>8322588</v>
      </c>
      <c r="D23057" t="s">
        <v>69964</v>
      </c>
      <c r="E23057" t="s">
        <v>69965</v>
      </c>
      <c r="F23057" t="s">
        <v>62826</v>
      </c>
      <c r="I23057" t="s">
        <v>29</v>
      </c>
      <c r="J23057" t="s">
        <v>30</v>
      </c>
      <c r="K23057" t="s">
        <v>13814</v>
      </c>
      <c r="M23057" t="s">
        <v>50500</v>
      </c>
      <c r="N23057" t="str">
        <f>"7/26/2024 2:28:00 PM"</f>
        <v>7/26/2024 2:28:00 PM</v>
      </c>
      <c r="O23057" t="s">
        <v>69964</v>
      </c>
      <c r="T23057" t="s">
        <v>69965</v>
      </c>
    </row>
    <row r="23058" spans="1:20" x14ac:dyDescent="0.25">
      <c r="A23058" t="str">
        <f>"3041814"</f>
        <v>3041814</v>
      </c>
      <c r="B23058" t="s">
        <v>69966</v>
      </c>
      <c r="C23058" t="str">
        <f>"8322590"</f>
        <v>8322590</v>
      </c>
      <c r="D23058" t="s">
        <v>69967</v>
      </c>
      <c r="E23058" t="s">
        <v>69968</v>
      </c>
      <c r="F23058" t="s">
        <v>69969</v>
      </c>
      <c r="I23058" t="s">
        <v>2071</v>
      </c>
      <c r="J23058" t="s">
        <v>30</v>
      </c>
      <c r="K23058" t="s">
        <v>3973</v>
      </c>
      <c r="M23058" t="s">
        <v>50500</v>
      </c>
      <c r="N23058" t="str">
        <f>"7/26/2024 2:35:00 PM"</f>
        <v>7/26/2024 2:35:00 PM</v>
      </c>
      <c r="O23058" t="s">
        <v>69967</v>
      </c>
      <c r="T23058" t="s">
        <v>69968</v>
      </c>
    </row>
    <row r="23059" spans="1:20" x14ac:dyDescent="0.25">
      <c r="A23059" t="str">
        <f>"3053455"</f>
        <v>3053455</v>
      </c>
      <c r="B23059" t="s">
        <v>69970</v>
      </c>
      <c r="C23059" t="str">
        <f>"8320156"</f>
        <v>8320156</v>
      </c>
      <c r="D23059" t="s">
        <v>69971</v>
      </c>
      <c r="E23059" t="s">
        <v>69972</v>
      </c>
      <c r="F23059" t="s">
        <v>69973</v>
      </c>
      <c r="I23059" t="s">
        <v>29</v>
      </c>
      <c r="J23059" t="s">
        <v>30</v>
      </c>
      <c r="K23059" t="s">
        <v>69974</v>
      </c>
      <c r="M23059" t="s">
        <v>18479</v>
      </c>
      <c r="N23059" t="str">
        <f>"7/1/2024 12:31:00 AM"</f>
        <v>7/1/2024 12:31:00 AM</v>
      </c>
      <c r="O23059" t="s">
        <v>69971</v>
      </c>
      <c r="T23059" t="s">
        <v>69972</v>
      </c>
    </row>
    <row r="23060" spans="1:20" x14ac:dyDescent="0.25">
      <c r="A23060" t="str">
        <f>"3040240"</f>
        <v>3040240</v>
      </c>
      <c r="B23060" t="s">
        <v>69975</v>
      </c>
      <c r="C23060" t="str">
        <f>"8322551"</f>
        <v>8322551</v>
      </c>
      <c r="D23060" t="s">
        <v>69976</v>
      </c>
      <c r="F23060" t="s">
        <v>69977</v>
      </c>
      <c r="I23060" t="s">
        <v>29</v>
      </c>
      <c r="J23060" t="s">
        <v>30</v>
      </c>
      <c r="K23060" t="s">
        <v>4213</v>
      </c>
      <c r="M23060" t="s">
        <v>50500</v>
      </c>
      <c r="N23060" t="str">
        <f>"7/15/2024 3:20:00 PM"</f>
        <v>7/15/2024 3:20:00 PM</v>
      </c>
      <c r="O23060" t="s">
        <v>69976</v>
      </c>
    </row>
    <row r="23061" spans="1:20" x14ac:dyDescent="0.25">
      <c r="A23061" t="str">
        <f>"3047918"</f>
        <v>3047918</v>
      </c>
      <c r="B23061" t="s">
        <v>69978</v>
      </c>
      <c r="C23061" t="str">
        <f>"40124000"</f>
        <v>40124000</v>
      </c>
      <c r="D23061" t="s">
        <v>69664</v>
      </c>
      <c r="E23061" t="s">
        <v>69665</v>
      </c>
      <c r="F23061" t="str">
        <f>"C/O JOHNSON DAVID LEE"</f>
        <v>C/O JOHNSON DAVID LEE</v>
      </c>
      <c r="G23061" t="s">
        <v>69666</v>
      </c>
      <c r="I23061" t="s">
        <v>1176</v>
      </c>
      <c r="J23061" t="s">
        <v>30</v>
      </c>
      <c r="K23061" t="s">
        <v>69667</v>
      </c>
      <c r="M23061" t="s">
        <v>18479</v>
      </c>
      <c r="N23061" t="str">
        <f>"7/15/2024 4:49:00 PM"</f>
        <v>7/15/2024 4:49:00 PM</v>
      </c>
      <c r="O23061" t="s">
        <v>69664</v>
      </c>
      <c r="T23061" t="s">
        <v>69665</v>
      </c>
    </row>
    <row r="23062" spans="1:20" x14ac:dyDescent="0.25">
      <c r="A23062" t="str">
        <f>"3054583"</f>
        <v>3054583</v>
      </c>
      <c r="B23062" t="s">
        <v>69979</v>
      </c>
      <c r="C23062" t="str">
        <f>"8313024"</f>
        <v>8313024</v>
      </c>
      <c r="D23062" t="s">
        <v>69980</v>
      </c>
      <c r="F23062" t="s">
        <v>69981</v>
      </c>
      <c r="I23062" t="s">
        <v>69982</v>
      </c>
      <c r="J23062" t="s">
        <v>1046</v>
      </c>
      <c r="K23062" t="s">
        <v>69983</v>
      </c>
      <c r="M23062" t="s">
        <v>50621</v>
      </c>
      <c r="N23062" t="str">
        <f>"7/18/2024 2:15:00 PM"</f>
        <v>7/18/2024 2:15:00 PM</v>
      </c>
      <c r="O23062" t="s">
        <v>69980</v>
      </c>
    </row>
    <row r="23063" spans="1:20" x14ac:dyDescent="0.25">
      <c r="A23063" t="str">
        <f>"3040779"</f>
        <v>3040779</v>
      </c>
      <c r="B23063" t="s">
        <v>69984</v>
      </c>
      <c r="C23063" t="str">
        <f>"8308546"</f>
        <v>8308546</v>
      </c>
      <c r="D23063" t="s">
        <v>69985</v>
      </c>
      <c r="F23063" t="s">
        <v>69986</v>
      </c>
      <c r="I23063" t="s">
        <v>184</v>
      </c>
      <c r="J23063" t="s">
        <v>30</v>
      </c>
      <c r="K23063" t="s">
        <v>60607</v>
      </c>
      <c r="M23063" t="s">
        <v>50621</v>
      </c>
      <c r="N23063" t="str">
        <f>"7/26/2024 4:23:00 PM"</f>
        <v>7/26/2024 4:23:00 PM</v>
      </c>
      <c r="O23063" t="s">
        <v>69985</v>
      </c>
    </row>
    <row r="23064" spans="1:20" x14ac:dyDescent="0.25">
      <c r="A23064" t="str">
        <f>"3057454"</f>
        <v>3057454</v>
      </c>
      <c r="B23064" t="s">
        <v>69987</v>
      </c>
      <c r="C23064" t="str">
        <f>"8315386"</f>
        <v>8315386</v>
      </c>
      <c r="D23064" t="s">
        <v>69988</v>
      </c>
      <c r="E23064" t="s">
        <v>69989</v>
      </c>
      <c r="F23064" t="s">
        <v>69990</v>
      </c>
      <c r="I23064" t="s">
        <v>29</v>
      </c>
      <c r="J23064" t="s">
        <v>30</v>
      </c>
      <c r="K23064" t="s">
        <v>21626</v>
      </c>
      <c r="M23064" t="s">
        <v>25733</v>
      </c>
      <c r="N23064" t="str">
        <f>"7/29/2024 9:13:00 AM"</f>
        <v>7/29/2024 9:13:00 AM</v>
      </c>
      <c r="O23064" t="s">
        <v>69988</v>
      </c>
      <c r="T23064" t="s">
        <v>69989</v>
      </c>
    </row>
    <row r="23065" spans="1:20" x14ac:dyDescent="0.25">
      <c r="A23065" t="str">
        <f>"3060377"</f>
        <v>3060377</v>
      </c>
      <c r="B23065" t="s">
        <v>69991</v>
      </c>
      <c r="C23065" t="str">
        <f>"8315386"</f>
        <v>8315386</v>
      </c>
      <c r="D23065" t="s">
        <v>69988</v>
      </c>
      <c r="E23065" t="s">
        <v>69989</v>
      </c>
      <c r="F23065" t="s">
        <v>69990</v>
      </c>
      <c r="I23065" t="s">
        <v>29</v>
      </c>
      <c r="J23065" t="s">
        <v>30</v>
      </c>
      <c r="K23065" t="s">
        <v>21626</v>
      </c>
      <c r="M23065" t="s">
        <v>25733</v>
      </c>
      <c r="N23065" t="str">
        <f>"7/29/2024 9:13:00 AM"</f>
        <v>7/29/2024 9:13:00 AM</v>
      </c>
      <c r="O23065" t="s">
        <v>69988</v>
      </c>
      <c r="T23065" t="s">
        <v>69989</v>
      </c>
    </row>
    <row r="23066" spans="1:20" x14ac:dyDescent="0.25">
      <c r="A23066" t="str">
        <f>"3067219"</f>
        <v>3067219</v>
      </c>
      <c r="B23066" t="s">
        <v>69992</v>
      </c>
      <c r="C23066" t="str">
        <f>"8315386"</f>
        <v>8315386</v>
      </c>
      <c r="D23066" t="s">
        <v>69988</v>
      </c>
      <c r="E23066" t="s">
        <v>69989</v>
      </c>
      <c r="F23066" t="s">
        <v>69990</v>
      </c>
      <c r="I23066" t="s">
        <v>29</v>
      </c>
      <c r="J23066" t="s">
        <v>30</v>
      </c>
      <c r="K23066" t="s">
        <v>21626</v>
      </c>
      <c r="M23066" t="s">
        <v>25733</v>
      </c>
      <c r="N23066" t="str">
        <f>"7/29/2024 9:13:00 AM"</f>
        <v>7/29/2024 9:13:00 AM</v>
      </c>
      <c r="O23066" t="s">
        <v>69988</v>
      </c>
      <c r="T23066" t="s">
        <v>69989</v>
      </c>
    </row>
    <row r="23067" spans="1:20" x14ac:dyDescent="0.25">
      <c r="A23067" t="str">
        <f>"3064314"</f>
        <v>3064314</v>
      </c>
      <c r="B23067" t="s">
        <v>69993</v>
      </c>
      <c r="C23067" t="str">
        <f>"8315386"</f>
        <v>8315386</v>
      </c>
      <c r="D23067" t="s">
        <v>69988</v>
      </c>
      <c r="E23067" t="s">
        <v>69989</v>
      </c>
      <c r="F23067" t="s">
        <v>69990</v>
      </c>
      <c r="I23067" t="s">
        <v>29</v>
      </c>
      <c r="J23067" t="s">
        <v>30</v>
      </c>
      <c r="K23067" t="s">
        <v>21626</v>
      </c>
      <c r="M23067" t="s">
        <v>25733</v>
      </c>
      <c r="N23067" t="str">
        <f>"7/29/2024 9:13:00 AM"</f>
        <v>7/29/2024 9:13:00 AM</v>
      </c>
      <c r="O23067" t="s">
        <v>69988</v>
      </c>
      <c r="T23067" t="s">
        <v>69989</v>
      </c>
    </row>
    <row r="23068" spans="1:20" x14ac:dyDescent="0.25">
      <c r="A23068" t="str">
        <f>"3050587"</f>
        <v>3050587</v>
      </c>
      <c r="B23068" t="s">
        <v>69994</v>
      </c>
      <c r="C23068" t="str">
        <f>"8310177"</f>
        <v>8310177</v>
      </c>
      <c r="D23068" t="s">
        <v>49058</v>
      </c>
      <c r="F23068" t="s">
        <v>49059</v>
      </c>
      <c r="I23068" t="s">
        <v>29</v>
      </c>
      <c r="J23068" t="s">
        <v>30</v>
      </c>
      <c r="K23068" t="s">
        <v>34007</v>
      </c>
      <c r="M23068" t="s">
        <v>51351</v>
      </c>
      <c r="N23068" t="str">
        <f>"7/18/2024 4:29:00 PM"</f>
        <v>7/18/2024 4:29:00 PM</v>
      </c>
      <c r="O23068" t="s">
        <v>49058</v>
      </c>
    </row>
    <row r="23069" spans="1:20" x14ac:dyDescent="0.25">
      <c r="A23069" t="str">
        <f>"3045078"</f>
        <v>3045078</v>
      </c>
      <c r="B23069" t="s">
        <v>69995</v>
      </c>
      <c r="C23069" t="str">
        <f>"8310847"</f>
        <v>8310847</v>
      </c>
      <c r="D23069" t="s">
        <v>69996</v>
      </c>
      <c r="F23069" t="s">
        <v>69997</v>
      </c>
      <c r="I23069" t="s">
        <v>3196</v>
      </c>
      <c r="J23069" t="s">
        <v>30</v>
      </c>
      <c r="K23069" t="s">
        <v>69998</v>
      </c>
      <c r="M23069" t="s">
        <v>50621</v>
      </c>
      <c r="N23069" t="str">
        <f>"7/24/2024 10:37:00 AM"</f>
        <v>7/24/2024 10:37:00 AM</v>
      </c>
      <c r="O23069" t="s">
        <v>69996</v>
      </c>
    </row>
    <row r="23070" spans="1:20" x14ac:dyDescent="0.25">
      <c r="A23070" t="str">
        <f>"3055031"</f>
        <v>3055031</v>
      </c>
      <c r="B23070" t="s">
        <v>69999</v>
      </c>
      <c r="C23070" t="str">
        <f>"82530898"</f>
        <v>82530898</v>
      </c>
      <c r="D23070" t="s">
        <v>70000</v>
      </c>
      <c r="F23070" t="s">
        <v>50080</v>
      </c>
      <c r="I23070" t="s">
        <v>29</v>
      </c>
      <c r="J23070" t="s">
        <v>30</v>
      </c>
      <c r="K23070" t="s">
        <v>50081</v>
      </c>
      <c r="M23070" t="s">
        <v>50621</v>
      </c>
      <c r="N23070" t="str">
        <f>"7/24/2024 10:39:00 AM"</f>
        <v>7/24/2024 10:39:00 AM</v>
      </c>
      <c r="O23070" t="s">
        <v>70000</v>
      </c>
    </row>
    <row r="23071" spans="1:20" x14ac:dyDescent="0.25">
      <c r="A23071" t="str">
        <f>"3053117"</f>
        <v>3053117</v>
      </c>
      <c r="B23071" t="s">
        <v>70001</v>
      </c>
      <c r="C23071" t="str">
        <f>"82526436"</f>
        <v>82526436</v>
      </c>
      <c r="D23071" t="s">
        <v>70002</v>
      </c>
      <c r="E23071" t="s">
        <v>70003</v>
      </c>
      <c r="F23071" t="s">
        <v>70004</v>
      </c>
      <c r="I23071" t="s">
        <v>9580</v>
      </c>
      <c r="J23071" t="s">
        <v>30</v>
      </c>
      <c r="K23071" t="s">
        <v>70005</v>
      </c>
      <c r="M23071" t="s">
        <v>50621</v>
      </c>
      <c r="N23071" t="str">
        <f>"7/24/2024 10:41:00 AM"</f>
        <v>7/24/2024 10:41:00 AM</v>
      </c>
      <c r="O23071" t="s">
        <v>70002</v>
      </c>
      <c r="T23071" t="s">
        <v>70003</v>
      </c>
    </row>
    <row r="23072" spans="1:20" x14ac:dyDescent="0.25">
      <c r="A23072" t="str">
        <f>"3075254"</f>
        <v>3075254</v>
      </c>
      <c r="B23072" t="s">
        <v>70006</v>
      </c>
      <c r="C23072" t="str">
        <f>"8317411"</f>
        <v>8317411</v>
      </c>
      <c r="D23072" t="s">
        <v>70007</v>
      </c>
      <c r="F23072" t="s">
        <v>70008</v>
      </c>
      <c r="I23072" t="s">
        <v>184</v>
      </c>
      <c r="J23072" t="s">
        <v>30</v>
      </c>
      <c r="K23072" t="s">
        <v>29911</v>
      </c>
      <c r="M23072" t="s">
        <v>50621</v>
      </c>
      <c r="N23072" t="str">
        <f>"7/24/2024 10:42:00 AM"</f>
        <v>7/24/2024 10:42:00 AM</v>
      </c>
      <c r="O23072" t="s">
        <v>70007</v>
      </c>
    </row>
    <row r="23073" spans="1:20" x14ac:dyDescent="0.25">
      <c r="A23073" t="str">
        <f>"3052641"</f>
        <v>3052641</v>
      </c>
      <c r="B23073" t="s">
        <v>70009</v>
      </c>
      <c r="C23073" t="str">
        <f>"8314638"</f>
        <v>8314638</v>
      </c>
      <c r="D23073" t="s">
        <v>70010</v>
      </c>
      <c r="F23073" t="s">
        <v>70011</v>
      </c>
      <c r="I23073" t="s">
        <v>2280</v>
      </c>
      <c r="J23073" t="s">
        <v>30</v>
      </c>
      <c r="K23073" t="s">
        <v>70012</v>
      </c>
      <c r="M23073" t="s">
        <v>50621</v>
      </c>
      <c r="N23073" t="str">
        <f>"7/24/2024 10:46:00 AM"</f>
        <v>7/24/2024 10:46:00 AM</v>
      </c>
      <c r="O23073" t="s">
        <v>70010</v>
      </c>
    </row>
    <row r="23074" spans="1:20" x14ac:dyDescent="0.25">
      <c r="A23074" t="str">
        <f>"3058693"</f>
        <v>3058693</v>
      </c>
      <c r="B23074" t="s">
        <v>70013</v>
      </c>
      <c r="C23074" t="str">
        <f>"8312551"</f>
        <v>8312551</v>
      </c>
      <c r="D23074" t="s">
        <v>70014</v>
      </c>
      <c r="F23074" t="s">
        <v>44181</v>
      </c>
      <c r="I23074" t="s">
        <v>184</v>
      </c>
      <c r="J23074" t="s">
        <v>30</v>
      </c>
      <c r="K23074" t="s">
        <v>36586</v>
      </c>
      <c r="M23074" t="s">
        <v>50621</v>
      </c>
      <c r="N23074" t="str">
        <f>"7/24/2024 10:46:00 AM"</f>
        <v>7/24/2024 10:46:00 AM</v>
      </c>
      <c r="O23074" t="s">
        <v>70014</v>
      </c>
    </row>
    <row r="23075" spans="1:20" x14ac:dyDescent="0.25">
      <c r="A23075" t="str">
        <f>"3068569"</f>
        <v>3068569</v>
      </c>
      <c r="B23075" t="s">
        <v>70015</v>
      </c>
      <c r="C23075" t="str">
        <f>"8315365"</f>
        <v>8315365</v>
      </c>
      <c r="D23075" t="s">
        <v>70016</v>
      </c>
      <c r="E23075" t="s">
        <v>70017</v>
      </c>
      <c r="F23075" t="s">
        <v>63799</v>
      </c>
      <c r="I23075" t="s">
        <v>29</v>
      </c>
      <c r="J23075" t="s">
        <v>30</v>
      </c>
      <c r="K23075" t="s">
        <v>46927</v>
      </c>
      <c r="M23075" t="s">
        <v>50621</v>
      </c>
      <c r="N23075" t="str">
        <f>"7/24/2024 10:54:00 AM"</f>
        <v>7/24/2024 10:54:00 AM</v>
      </c>
      <c r="O23075" t="s">
        <v>70016</v>
      </c>
      <c r="T23075" t="s">
        <v>70017</v>
      </c>
    </row>
    <row r="23076" spans="1:20" x14ac:dyDescent="0.25">
      <c r="A23076" t="str">
        <f>"3067606"</f>
        <v>3067606</v>
      </c>
      <c r="B23076" t="s">
        <v>70018</v>
      </c>
      <c r="C23076" t="str">
        <f>"8309402"</f>
        <v>8309402</v>
      </c>
      <c r="D23076" t="s">
        <v>70019</v>
      </c>
      <c r="F23076" t="s">
        <v>37239</v>
      </c>
      <c r="I23076" t="s">
        <v>9580</v>
      </c>
      <c r="J23076" t="s">
        <v>30</v>
      </c>
      <c r="K23076" t="s">
        <v>37240</v>
      </c>
      <c r="M23076" t="s">
        <v>50621</v>
      </c>
      <c r="N23076" t="str">
        <f>"7/24/2024 10:55:00 AM"</f>
        <v>7/24/2024 10:55:00 AM</v>
      </c>
      <c r="O23076" t="s">
        <v>70019</v>
      </c>
    </row>
    <row r="23077" spans="1:20" x14ac:dyDescent="0.25">
      <c r="A23077" t="str">
        <f>"3050833"</f>
        <v>3050833</v>
      </c>
      <c r="B23077" t="s">
        <v>70020</v>
      </c>
      <c r="C23077" t="str">
        <f>"8301771"</f>
        <v>8301771</v>
      </c>
      <c r="D23077" t="s">
        <v>70021</v>
      </c>
      <c r="F23077" t="s">
        <v>44238</v>
      </c>
      <c r="I23077" t="s">
        <v>184</v>
      </c>
      <c r="J23077" t="s">
        <v>30</v>
      </c>
      <c r="K23077" t="s">
        <v>26530</v>
      </c>
      <c r="M23077" t="s">
        <v>51351</v>
      </c>
      <c r="N23077" t="str">
        <f>"7/25/2024 12:55:00 PM"</f>
        <v>7/25/2024 12:55:00 PM</v>
      </c>
      <c r="O23077" t="s">
        <v>70021</v>
      </c>
    </row>
    <row r="23078" spans="1:20" x14ac:dyDescent="0.25">
      <c r="A23078" t="str">
        <f>"3051610"</f>
        <v>3051610</v>
      </c>
      <c r="B23078" t="s">
        <v>70022</v>
      </c>
      <c r="C23078" t="str">
        <f>"8322604"</f>
        <v>8322604</v>
      </c>
      <c r="D23078" t="s">
        <v>70023</v>
      </c>
      <c r="E23078" t="s">
        <v>70024</v>
      </c>
      <c r="F23078" t="s">
        <v>70025</v>
      </c>
      <c r="I23078" t="s">
        <v>1149</v>
      </c>
      <c r="J23078" t="s">
        <v>30</v>
      </c>
      <c r="K23078" t="s">
        <v>10844</v>
      </c>
      <c r="M23078" t="s">
        <v>50500</v>
      </c>
      <c r="N23078" t="str">
        <f>"7/29/2024 1:09:00 PM"</f>
        <v>7/29/2024 1:09:00 PM</v>
      </c>
      <c r="O23078" t="s">
        <v>70023</v>
      </c>
      <c r="T23078" t="s">
        <v>70024</v>
      </c>
    </row>
    <row r="23079" spans="1:20" x14ac:dyDescent="0.25">
      <c r="A23079" t="str">
        <f>"3078781"</f>
        <v>3078781</v>
      </c>
      <c r="B23079" t="s">
        <v>70026</v>
      </c>
      <c r="C23079" t="str">
        <f>"8322606"</f>
        <v>8322606</v>
      </c>
      <c r="D23079" t="s">
        <v>70027</v>
      </c>
      <c r="F23079" t="s">
        <v>70028</v>
      </c>
      <c r="I23079" t="s">
        <v>70029</v>
      </c>
      <c r="J23079" t="s">
        <v>30</v>
      </c>
      <c r="K23079" t="s">
        <v>70030</v>
      </c>
      <c r="M23079" t="s">
        <v>50500</v>
      </c>
      <c r="N23079" t="str">
        <f>"7/29/2024 1:22:00 PM"</f>
        <v>7/29/2024 1:22:00 PM</v>
      </c>
      <c r="O23079" t="s">
        <v>70027</v>
      </c>
    </row>
    <row r="23080" spans="1:20" x14ac:dyDescent="0.25">
      <c r="A23080" t="str">
        <f>"3062628"</f>
        <v>3062628</v>
      </c>
      <c r="B23080" t="s">
        <v>70031</v>
      </c>
      <c r="C23080" t="str">
        <f>"8322607"</f>
        <v>8322607</v>
      </c>
      <c r="D23080" t="s">
        <v>70032</v>
      </c>
      <c r="E23080" t="s">
        <v>70033</v>
      </c>
      <c r="F23080" t="s">
        <v>70034</v>
      </c>
      <c r="I23080" t="s">
        <v>29</v>
      </c>
      <c r="J23080" t="s">
        <v>30</v>
      </c>
      <c r="K23080" t="s">
        <v>68180</v>
      </c>
      <c r="M23080" t="s">
        <v>50500</v>
      </c>
      <c r="N23080" t="str">
        <f>"7/29/2024 1:30:00 PM"</f>
        <v>7/29/2024 1:30:00 PM</v>
      </c>
      <c r="O23080" t="s">
        <v>70032</v>
      </c>
      <c r="T23080" t="s">
        <v>70033</v>
      </c>
    </row>
    <row r="23081" spans="1:20" x14ac:dyDescent="0.25">
      <c r="A23081" t="str">
        <f>"3061768"</f>
        <v>3061768</v>
      </c>
      <c r="B23081" t="s">
        <v>70035</v>
      </c>
      <c r="C23081" t="str">
        <f>"8322608"</f>
        <v>8322608</v>
      </c>
      <c r="D23081" t="s">
        <v>70036</v>
      </c>
      <c r="F23081" t="s">
        <v>70037</v>
      </c>
      <c r="I23081" t="s">
        <v>2071</v>
      </c>
      <c r="J23081" t="s">
        <v>30</v>
      </c>
      <c r="K23081" t="s">
        <v>3960</v>
      </c>
      <c r="M23081" t="s">
        <v>50500</v>
      </c>
      <c r="N23081" t="str">
        <f>"7/29/2024 2:15:00 PM"</f>
        <v>7/29/2024 2:15:00 PM</v>
      </c>
      <c r="O23081" t="s">
        <v>70036</v>
      </c>
    </row>
    <row r="23082" spans="1:20" x14ac:dyDescent="0.25">
      <c r="A23082" t="str">
        <f>"3048681"</f>
        <v>3048681</v>
      </c>
      <c r="B23082" t="s">
        <v>70038</v>
      </c>
      <c r="C23082" t="str">
        <f>"8310659"</f>
        <v>8310659</v>
      </c>
      <c r="D23082" t="s">
        <v>70039</v>
      </c>
      <c r="F23082" t="s">
        <v>63216</v>
      </c>
      <c r="G23082" t="s">
        <v>34065</v>
      </c>
      <c r="I23082" t="s">
        <v>29</v>
      </c>
      <c r="J23082" t="s">
        <v>30</v>
      </c>
      <c r="K23082" t="s">
        <v>63217</v>
      </c>
      <c r="M23082" t="s">
        <v>50621</v>
      </c>
      <c r="N23082" t="str">
        <f>"7/29/2024 2:16:00 PM"</f>
        <v>7/29/2024 2:16:00 PM</v>
      </c>
      <c r="O23082" t="s">
        <v>70039</v>
      </c>
    </row>
    <row r="23083" spans="1:20" x14ac:dyDescent="0.25">
      <c r="A23083" t="str">
        <f>"3056607"</f>
        <v>3056607</v>
      </c>
      <c r="B23083" t="s">
        <v>70040</v>
      </c>
      <c r="C23083" t="str">
        <f>"8322572"</f>
        <v>8322572</v>
      </c>
      <c r="D23083" t="s">
        <v>70041</v>
      </c>
      <c r="E23083" t="s">
        <v>70042</v>
      </c>
      <c r="F23083" t="s">
        <v>70043</v>
      </c>
      <c r="I23083" t="s">
        <v>29</v>
      </c>
      <c r="J23083" t="s">
        <v>30</v>
      </c>
      <c r="K23083" t="s">
        <v>57108</v>
      </c>
      <c r="M23083" t="s">
        <v>50500</v>
      </c>
      <c r="N23083" t="str">
        <f>"7/25/2024 3:02:00 PM"</f>
        <v>7/25/2024 3:02:00 PM</v>
      </c>
      <c r="O23083" t="s">
        <v>70041</v>
      </c>
      <c r="T23083" t="s">
        <v>70042</v>
      </c>
    </row>
    <row r="23084" spans="1:20" x14ac:dyDescent="0.25">
      <c r="A23084" t="str">
        <f>"3061980"</f>
        <v>3061980</v>
      </c>
      <c r="B23084" t="s">
        <v>70044</v>
      </c>
      <c r="C23084" t="str">
        <f>"82532940"</f>
        <v>82532940</v>
      </c>
      <c r="D23084" t="s">
        <v>48392</v>
      </c>
      <c r="F23084" t="s">
        <v>48394</v>
      </c>
      <c r="I23084" t="s">
        <v>402</v>
      </c>
      <c r="J23084" t="s">
        <v>30</v>
      </c>
      <c r="K23084" t="s">
        <v>48395</v>
      </c>
      <c r="M23084" t="s">
        <v>50621</v>
      </c>
      <c r="N23084" t="str">
        <f>"7/26/2024 9:57:00 AM"</f>
        <v>7/26/2024 9:57:00 AM</v>
      </c>
      <c r="O23084" t="s">
        <v>48392</v>
      </c>
    </row>
    <row r="23085" spans="1:20" x14ac:dyDescent="0.25">
      <c r="A23085" t="str">
        <f>"3060171"</f>
        <v>3060171</v>
      </c>
      <c r="B23085" t="s">
        <v>70045</v>
      </c>
      <c r="C23085" t="str">
        <f>"82532940"</f>
        <v>82532940</v>
      </c>
      <c r="D23085" t="s">
        <v>48392</v>
      </c>
      <c r="F23085" t="s">
        <v>48394</v>
      </c>
      <c r="I23085" t="s">
        <v>402</v>
      </c>
      <c r="J23085" t="s">
        <v>30</v>
      </c>
      <c r="K23085" t="s">
        <v>48395</v>
      </c>
      <c r="M23085" t="s">
        <v>50621</v>
      </c>
      <c r="N23085" t="str">
        <f>"7/26/2024 9:57:00 AM"</f>
        <v>7/26/2024 9:57:00 AM</v>
      </c>
      <c r="O23085" t="s">
        <v>48392</v>
      </c>
    </row>
    <row r="23086" spans="1:20" x14ac:dyDescent="0.25">
      <c r="A23086" t="str">
        <f>"3041020"</f>
        <v>3041020</v>
      </c>
      <c r="B23086" t="s">
        <v>70046</v>
      </c>
      <c r="C23086" t="str">
        <f>"8320916"</f>
        <v>8320916</v>
      </c>
      <c r="D23086" t="s">
        <v>70047</v>
      </c>
      <c r="F23086" t="s">
        <v>70048</v>
      </c>
      <c r="I23086" t="s">
        <v>8413</v>
      </c>
      <c r="J23086" t="s">
        <v>2109</v>
      </c>
      <c r="K23086" t="s">
        <v>70049</v>
      </c>
      <c r="M23086" t="s">
        <v>50621</v>
      </c>
      <c r="N23086" t="str">
        <f>"7/26/2024 10:16:00 AM"</f>
        <v>7/26/2024 10:16:00 AM</v>
      </c>
      <c r="O23086" t="s">
        <v>70047</v>
      </c>
    </row>
    <row r="23087" spans="1:20" x14ac:dyDescent="0.25">
      <c r="A23087" t="str">
        <f>"3058786"</f>
        <v>3058786</v>
      </c>
      <c r="B23087" t="s">
        <v>70050</v>
      </c>
      <c r="C23087" t="str">
        <f>"8322609"</f>
        <v>8322609</v>
      </c>
      <c r="D23087" t="s">
        <v>70051</v>
      </c>
      <c r="F23087" t="s">
        <v>70052</v>
      </c>
      <c r="I23087" t="s">
        <v>29</v>
      </c>
      <c r="J23087" t="s">
        <v>30</v>
      </c>
      <c r="K23087" t="s">
        <v>48294</v>
      </c>
      <c r="M23087" t="s">
        <v>50500</v>
      </c>
      <c r="N23087" t="str">
        <f>"7/30/2024 10:13:00 AM"</f>
        <v>7/30/2024 10:13:00 AM</v>
      </c>
      <c r="O23087" t="s">
        <v>70051</v>
      </c>
    </row>
    <row r="23088" spans="1:20" x14ac:dyDescent="0.25">
      <c r="A23088" t="str">
        <f>"3038509"</f>
        <v>3038509</v>
      </c>
      <c r="B23088" t="s">
        <v>70053</v>
      </c>
      <c r="C23088" t="str">
        <f>"8305038"</f>
        <v>8305038</v>
      </c>
      <c r="D23088" t="s">
        <v>70054</v>
      </c>
      <c r="E23088" t="s">
        <v>70055</v>
      </c>
      <c r="F23088" t="s">
        <v>70056</v>
      </c>
      <c r="I23088" t="s">
        <v>8729</v>
      </c>
      <c r="J23088" t="s">
        <v>11346</v>
      </c>
      <c r="K23088" t="s">
        <v>70057</v>
      </c>
      <c r="M23088" t="s">
        <v>50621</v>
      </c>
      <c r="N23088" t="str">
        <f>"7/30/2024 10:17:00 AM"</f>
        <v>7/30/2024 10:17:00 AM</v>
      </c>
      <c r="O23088" t="s">
        <v>70054</v>
      </c>
      <c r="T23088" t="s">
        <v>70055</v>
      </c>
    </row>
    <row r="23089" spans="1:20" x14ac:dyDescent="0.25">
      <c r="A23089" t="str">
        <f>"3038185"</f>
        <v>3038185</v>
      </c>
      <c r="B23089" t="s">
        <v>70058</v>
      </c>
      <c r="C23089" t="str">
        <f>"8307966"</f>
        <v>8307966</v>
      </c>
      <c r="D23089" t="s">
        <v>70059</v>
      </c>
      <c r="E23089" t="s">
        <v>70060</v>
      </c>
      <c r="F23089" t="s">
        <v>70056</v>
      </c>
      <c r="I23089" t="s">
        <v>8729</v>
      </c>
      <c r="J23089" t="s">
        <v>11346</v>
      </c>
      <c r="K23089" t="s">
        <v>70057</v>
      </c>
      <c r="M23089" t="s">
        <v>50621</v>
      </c>
      <c r="N23089" t="str">
        <f>"7/30/2024 10:19:00 AM"</f>
        <v>7/30/2024 10:19:00 AM</v>
      </c>
      <c r="O23089" t="s">
        <v>70059</v>
      </c>
      <c r="T23089" t="s">
        <v>70060</v>
      </c>
    </row>
    <row r="23090" spans="1:20" x14ac:dyDescent="0.25">
      <c r="A23090" t="str">
        <f>"3055658"</f>
        <v>3055658</v>
      </c>
      <c r="B23090" t="s">
        <v>70061</v>
      </c>
      <c r="C23090" t="str">
        <f>"82517160"</f>
        <v>82517160</v>
      </c>
      <c r="D23090" t="s">
        <v>70062</v>
      </c>
      <c r="E23090" t="s">
        <v>70063</v>
      </c>
      <c r="F23090" t="s">
        <v>70064</v>
      </c>
      <c r="G23090" t="s">
        <v>70065</v>
      </c>
      <c r="I23090" t="s">
        <v>471</v>
      </c>
      <c r="J23090" t="s">
        <v>30</v>
      </c>
      <c r="K23090" t="s">
        <v>70066</v>
      </c>
      <c r="M23090" t="s">
        <v>50621</v>
      </c>
      <c r="N23090" t="str">
        <f>"7/26/2024 10:17:00 AM"</f>
        <v>7/26/2024 10:17:00 AM</v>
      </c>
      <c r="O23090" t="s">
        <v>70062</v>
      </c>
      <c r="T23090" t="s">
        <v>70063</v>
      </c>
    </row>
    <row r="23091" spans="1:20" x14ac:dyDescent="0.25">
      <c r="A23091" t="str">
        <f>"3060926"</f>
        <v>3060926</v>
      </c>
      <c r="B23091" t="s">
        <v>70067</v>
      </c>
      <c r="C23091" t="str">
        <f>"82524114"</f>
        <v>82524114</v>
      </c>
      <c r="D23091" t="s">
        <v>70068</v>
      </c>
      <c r="F23091" t="s">
        <v>70069</v>
      </c>
      <c r="G23091" t="s">
        <v>70070</v>
      </c>
      <c r="I23091" t="s">
        <v>471</v>
      </c>
      <c r="J23091" t="s">
        <v>30</v>
      </c>
      <c r="K23091" t="s">
        <v>59256</v>
      </c>
      <c r="M23091" t="s">
        <v>50621</v>
      </c>
      <c r="N23091" t="str">
        <f>"7/26/2024 10:17:00 AM"</f>
        <v>7/26/2024 10:17:00 AM</v>
      </c>
      <c r="O23091" t="s">
        <v>70068</v>
      </c>
    </row>
    <row r="23092" spans="1:20" x14ac:dyDescent="0.25">
      <c r="A23092" t="str">
        <f>"3062638"</f>
        <v>3062638</v>
      </c>
      <c r="B23092" t="s">
        <v>70071</v>
      </c>
      <c r="C23092" t="str">
        <f>"8322583"</f>
        <v>8322583</v>
      </c>
      <c r="D23092" t="s">
        <v>70072</v>
      </c>
      <c r="F23092" t="s">
        <v>70073</v>
      </c>
      <c r="I23092" t="s">
        <v>29</v>
      </c>
      <c r="J23092" t="s">
        <v>30</v>
      </c>
      <c r="K23092" t="s">
        <v>34090</v>
      </c>
      <c r="M23092" t="s">
        <v>50500</v>
      </c>
      <c r="N23092" t="str">
        <f>"7/26/2024 11:19:00 AM"</f>
        <v>7/26/2024 11:19:00 AM</v>
      </c>
      <c r="O23092" t="s">
        <v>70072</v>
      </c>
    </row>
    <row r="23093" spans="1:20" x14ac:dyDescent="0.25">
      <c r="A23093" t="str">
        <f>"3043409"</f>
        <v>3043409</v>
      </c>
      <c r="B23093" t="s">
        <v>70074</v>
      </c>
      <c r="C23093" t="str">
        <f>"8322541"</f>
        <v>8322541</v>
      </c>
      <c r="D23093" t="s">
        <v>70075</v>
      </c>
      <c r="E23093" t="s">
        <v>70076</v>
      </c>
      <c r="F23093" t="s">
        <v>36226</v>
      </c>
      <c r="I23093" t="s">
        <v>29</v>
      </c>
      <c r="J23093" t="s">
        <v>30</v>
      </c>
      <c r="K23093" t="s">
        <v>33498</v>
      </c>
      <c r="M23093" t="s">
        <v>50500</v>
      </c>
      <c r="N23093" t="str">
        <f>"7/12/2024 11:32:00 AM"</f>
        <v>7/12/2024 11:32:00 AM</v>
      </c>
      <c r="O23093" t="s">
        <v>70075</v>
      </c>
      <c r="T23093" t="s">
        <v>70076</v>
      </c>
    </row>
    <row r="23094" spans="1:20" x14ac:dyDescent="0.25">
      <c r="A23094" t="str">
        <f>"3058653"</f>
        <v>3058653</v>
      </c>
      <c r="B23094" t="s">
        <v>70077</v>
      </c>
      <c r="C23094" t="str">
        <f>"8322542"</f>
        <v>8322542</v>
      </c>
      <c r="D23094" t="s">
        <v>70078</v>
      </c>
      <c r="E23094" t="s">
        <v>70079</v>
      </c>
      <c r="F23094" t="s">
        <v>70080</v>
      </c>
      <c r="I23094" t="s">
        <v>29</v>
      </c>
      <c r="J23094" t="s">
        <v>30</v>
      </c>
      <c r="K23094" t="s">
        <v>59681</v>
      </c>
      <c r="M23094" t="s">
        <v>50500</v>
      </c>
      <c r="N23094" t="str">
        <f>"7/12/2024 11:38:00 AM"</f>
        <v>7/12/2024 11:38:00 AM</v>
      </c>
      <c r="O23094" t="s">
        <v>70078</v>
      </c>
      <c r="T23094" t="s">
        <v>70079</v>
      </c>
    </row>
    <row r="23095" spans="1:20" x14ac:dyDescent="0.25">
      <c r="A23095" t="str">
        <f>"3061643"</f>
        <v>3061643</v>
      </c>
      <c r="B23095" t="s">
        <v>70081</v>
      </c>
      <c r="C23095" t="str">
        <f>"8322543"</f>
        <v>8322543</v>
      </c>
      <c r="D23095" t="s">
        <v>70082</v>
      </c>
      <c r="E23095" t="s">
        <v>70083</v>
      </c>
      <c r="F23095" t="s">
        <v>70084</v>
      </c>
      <c r="I23095" t="s">
        <v>29</v>
      </c>
      <c r="J23095" t="s">
        <v>30</v>
      </c>
      <c r="K23095" t="s">
        <v>38638</v>
      </c>
      <c r="M23095" t="s">
        <v>50500</v>
      </c>
      <c r="N23095" t="str">
        <f>"7/12/2024 11:46:00 AM"</f>
        <v>7/12/2024 11:46:00 AM</v>
      </c>
      <c r="O23095" t="s">
        <v>70082</v>
      </c>
      <c r="T23095" t="s">
        <v>70083</v>
      </c>
    </row>
    <row r="23096" spans="1:20" x14ac:dyDescent="0.25">
      <c r="A23096" t="str">
        <f>"3058808"</f>
        <v>3058808</v>
      </c>
      <c r="B23096" t="s">
        <v>70085</v>
      </c>
      <c r="C23096" t="str">
        <f>"8322595"</f>
        <v>8322595</v>
      </c>
      <c r="D23096" t="s">
        <v>70086</v>
      </c>
      <c r="E23096" t="s">
        <v>70087</v>
      </c>
      <c r="F23096" t="s">
        <v>70088</v>
      </c>
      <c r="I23096" t="s">
        <v>29</v>
      </c>
      <c r="J23096" t="s">
        <v>30</v>
      </c>
      <c r="K23096" t="s">
        <v>34090</v>
      </c>
      <c r="M23096" t="s">
        <v>50500</v>
      </c>
      <c r="N23096" t="str">
        <f>"7/26/2024 3:55:00 PM"</f>
        <v>7/26/2024 3:55:00 PM</v>
      </c>
      <c r="O23096" t="s">
        <v>70086</v>
      </c>
      <c r="T23096" t="s">
        <v>70087</v>
      </c>
    </row>
    <row r="23097" spans="1:20" x14ac:dyDescent="0.25">
      <c r="A23097" t="str">
        <f>"3061558"</f>
        <v>3061558</v>
      </c>
      <c r="B23097" t="s">
        <v>70089</v>
      </c>
      <c r="C23097" t="str">
        <f>"8322596"</f>
        <v>8322596</v>
      </c>
      <c r="D23097" t="s">
        <v>23931</v>
      </c>
      <c r="F23097" t="s">
        <v>70090</v>
      </c>
      <c r="I23097" t="s">
        <v>29</v>
      </c>
      <c r="J23097" t="s">
        <v>30</v>
      </c>
      <c r="K23097" t="s">
        <v>4538</v>
      </c>
      <c r="M23097" t="s">
        <v>50500</v>
      </c>
      <c r="N23097" t="str">
        <f>"7/26/2024 4:02:00 PM"</f>
        <v>7/26/2024 4:02:00 PM</v>
      </c>
      <c r="O23097" t="s">
        <v>23931</v>
      </c>
    </row>
    <row r="23098" spans="1:20" x14ac:dyDescent="0.25">
      <c r="A23098" t="str">
        <f>"3076636"</f>
        <v>3076636</v>
      </c>
      <c r="B23098" t="s">
        <v>70091</v>
      </c>
      <c r="C23098" t="str">
        <f>"8322598"</f>
        <v>8322598</v>
      </c>
      <c r="D23098" t="s">
        <v>70092</v>
      </c>
      <c r="E23098" t="s">
        <v>70093</v>
      </c>
      <c r="F23098" t="s">
        <v>70094</v>
      </c>
      <c r="I23098" t="s">
        <v>29</v>
      </c>
      <c r="J23098" t="s">
        <v>30</v>
      </c>
      <c r="K23098" t="s">
        <v>436</v>
      </c>
      <c r="M23098" t="s">
        <v>50500</v>
      </c>
      <c r="N23098" t="str">
        <f>"7/29/2024 9:44:00 AM"</f>
        <v>7/29/2024 9:44:00 AM</v>
      </c>
      <c r="O23098" t="s">
        <v>70092</v>
      </c>
      <c r="T23098" t="s">
        <v>70093</v>
      </c>
    </row>
    <row r="23099" spans="1:20" x14ac:dyDescent="0.25">
      <c r="A23099" t="str">
        <f>"3051670"</f>
        <v>3051670</v>
      </c>
      <c r="B23099" t="s">
        <v>70095</v>
      </c>
      <c r="C23099" t="str">
        <f>"8322614"</f>
        <v>8322614</v>
      </c>
      <c r="D23099" t="s">
        <v>70096</v>
      </c>
      <c r="F23099" t="s">
        <v>70097</v>
      </c>
      <c r="I23099" t="s">
        <v>471</v>
      </c>
      <c r="J23099" t="s">
        <v>30</v>
      </c>
      <c r="K23099" t="s">
        <v>70098</v>
      </c>
      <c r="M23099" t="s">
        <v>50500</v>
      </c>
      <c r="N23099" t="str">
        <f>"7/30/2024 11:11:00 AM"</f>
        <v>7/30/2024 11:11:00 AM</v>
      </c>
      <c r="O23099" t="s">
        <v>70096</v>
      </c>
    </row>
    <row r="23100" spans="1:20" x14ac:dyDescent="0.25">
      <c r="A23100" t="str">
        <f>"3071865"</f>
        <v>3071865</v>
      </c>
      <c r="B23100" t="s">
        <v>70099</v>
      </c>
      <c r="C23100" t="str">
        <f>"8322614"</f>
        <v>8322614</v>
      </c>
      <c r="D23100" t="s">
        <v>70096</v>
      </c>
      <c r="F23100" t="s">
        <v>70097</v>
      </c>
      <c r="I23100" t="s">
        <v>471</v>
      </c>
      <c r="J23100" t="s">
        <v>30</v>
      </c>
      <c r="K23100" t="s">
        <v>70098</v>
      </c>
      <c r="M23100" t="s">
        <v>50500</v>
      </c>
      <c r="N23100" t="str">
        <f>"7/30/2024 11:11:00 AM"</f>
        <v>7/30/2024 11:11:00 AM</v>
      </c>
      <c r="O23100" t="s">
        <v>70096</v>
      </c>
    </row>
    <row r="23101" spans="1:20" x14ac:dyDescent="0.25">
      <c r="A23101" t="str">
        <f>"3062755"</f>
        <v>3062755</v>
      </c>
      <c r="B23101" t="s">
        <v>70100</v>
      </c>
      <c r="C23101" t="str">
        <f>"8322616"</f>
        <v>8322616</v>
      </c>
      <c r="D23101" t="s">
        <v>70101</v>
      </c>
      <c r="E23101" t="s">
        <v>70102</v>
      </c>
      <c r="F23101" t="s">
        <v>18759</v>
      </c>
      <c r="I23101" t="s">
        <v>184</v>
      </c>
      <c r="J23101" t="s">
        <v>30</v>
      </c>
      <c r="K23101" t="s">
        <v>9123</v>
      </c>
      <c r="M23101" t="s">
        <v>50500</v>
      </c>
      <c r="N23101" t="str">
        <f>"7/30/2024 11:25:00 AM"</f>
        <v>7/30/2024 11:25:00 AM</v>
      </c>
      <c r="O23101" t="s">
        <v>70101</v>
      </c>
      <c r="T23101" t="s">
        <v>70102</v>
      </c>
    </row>
    <row r="23102" spans="1:20" x14ac:dyDescent="0.25">
      <c r="A23102" t="str">
        <f>"3057854"</f>
        <v>3057854</v>
      </c>
      <c r="B23102" t="s">
        <v>70103</v>
      </c>
      <c r="C23102" t="str">
        <f>"8322599"</f>
        <v>8322599</v>
      </c>
      <c r="D23102" t="s">
        <v>70104</v>
      </c>
      <c r="E23102" t="s">
        <v>70105</v>
      </c>
      <c r="F23102" t="s">
        <v>70106</v>
      </c>
      <c r="I23102" t="s">
        <v>29</v>
      </c>
      <c r="J23102" t="s">
        <v>30</v>
      </c>
      <c r="K23102" t="s">
        <v>12616</v>
      </c>
      <c r="M23102" t="s">
        <v>50500</v>
      </c>
      <c r="N23102" t="str">
        <f>"7/29/2024 10:26:00 AM"</f>
        <v>7/29/2024 10:26:00 AM</v>
      </c>
      <c r="O23102" t="s">
        <v>70104</v>
      </c>
      <c r="T23102" t="s">
        <v>70105</v>
      </c>
    </row>
    <row r="23103" spans="1:20" x14ac:dyDescent="0.25">
      <c r="A23103" t="str">
        <f>"3062645"</f>
        <v>3062645</v>
      </c>
      <c r="B23103" t="s">
        <v>70107</v>
      </c>
      <c r="C23103" t="str">
        <f>"8322618"</f>
        <v>8322618</v>
      </c>
      <c r="D23103" t="s">
        <v>70108</v>
      </c>
      <c r="F23103" t="s">
        <v>70109</v>
      </c>
      <c r="I23103" t="s">
        <v>29</v>
      </c>
      <c r="J23103" t="s">
        <v>30</v>
      </c>
      <c r="K23103" t="s">
        <v>59681</v>
      </c>
      <c r="M23103" t="s">
        <v>50500</v>
      </c>
      <c r="N23103" t="str">
        <f>"7/30/2024 11:33:00 AM"</f>
        <v>7/30/2024 11:33:00 AM</v>
      </c>
      <c r="O23103" t="s">
        <v>70108</v>
      </c>
    </row>
    <row r="23104" spans="1:20" x14ac:dyDescent="0.25">
      <c r="A23104" t="str">
        <f>"3056218"</f>
        <v>3056218</v>
      </c>
      <c r="B23104" t="s">
        <v>70110</v>
      </c>
      <c r="C23104" t="str">
        <f>"8322619"</f>
        <v>8322619</v>
      </c>
      <c r="D23104" t="s">
        <v>70111</v>
      </c>
      <c r="E23104" t="s">
        <v>70112</v>
      </c>
      <c r="F23104" t="s">
        <v>70113</v>
      </c>
      <c r="I23104" t="s">
        <v>29</v>
      </c>
      <c r="J23104" t="s">
        <v>30</v>
      </c>
      <c r="K23104" t="s">
        <v>50254</v>
      </c>
      <c r="M23104" t="s">
        <v>50500</v>
      </c>
      <c r="N23104" t="str">
        <f>"7/30/2024 11:38:00 AM"</f>
        <v>7/30/2024 11:38:00 AM</v>
      </c>
      <c r="O23104" t="s">
        <v>70111</v>
      </c>
      <c r="T23104" t="s">
        <v>70112</v>
      </c>
    </row>
    <row r="23105" spans="1:20" x14ac:dyDescent="0.25">
      <c r="A23105" t="str">
        <f>"3058679"</f>
        <v>3058679</v>
      </c>
      <c r="B23105" t="s">
        <v>70114</v>
      </c>
      <c r="C23105" t="str">
        <f>"8322620"</f>
        <v>8322620</v>
      </c>
      <c r="D23105" t="s">
        <v>70115</v>
      </c>
      <c r="E23105" t="s">
        <v>70116</v>
      </c>
      <c r="F23105" t="s">
        <v>70117</v>
      </c>
      <c r="I23105" t="s">
        <v>184</v>
      </c>
      <c r="J23105" t="s">
        <v>30</v>
      </c>
      <c r="K23105" t="s">
        <v>64153</v>
      </c>
      <c r="M23105" t="s">
        <v>50500</v>
      </c>
      <c r="N23105" t="str">
        <f>"7/30/2024 11:43:00 AM"</f>
        <v>7/30/2024 11:43:00 AM</v>
      </c>
      <c r="O23105" t="s">
        <v>70115</v>
      </c>
      <c r="T23105" t="s">
        <v>70116</v>
      </c>
    </row>
    <row r="23106" spans="1:20" x14ac:dyDescent="0.25">
      <c r="A23106" t="str">
        <f>"3078943"</f>
        <v>3078943</v>
      </c>
      <c r="B23106" t="s">
        <v>70118</v>
      </c>
      <c r="C23106" t="str">
        <f>"8322621"</f>
        <v>8322621</v>
      </c>
      <c r="D23106" t="s">
        <v>70119</v>
      </c>
      <c r="E23106" t="s">
        <v>70120</v>
      </c>
      <c r="F23106" t="s">
        <v>70121</v>
      </c>
      <c r="I23106" t="s">
        <v>70122</v>
      </c>
      <c r="J23106" t="s">
        <v>12725</v>
      </c>
      <c r="K23106" t="s">
        <v>70123</v>
      </c>
      <c r="M23106" t="s">
        <v>50500</v>
      </c>
      <c r="N23106" t="str">
        <f>"7/30/2024 12:58:00 PM"</f>
        <v>7/30/2024 12:58:00 PM</v>
      </c>
      <c r="O23106" t="s">
        <v>70119</v>
      </c>
      <c r="T23106" t="s">
        <v>70120</v>
      </c>
    </row>
    <row r="23107" spans="1:20" x14ac:dyDescent="0.25">
      <c r="A23107" t="str">
        <f>"3061112"</f>
        <v>3061112</v>
      </c>
      <c r="B23107" t="s">
        <v>70124</v>
      </c>
      <c r="C23107" t="str">
        <f>"8321032"</f>
        <v>8321032</v>
      </c>
      <c r="D23107" t="s">
        <v>70125</v>
      </c>
      <c r="E23107" t="s">
        <v>70126</v>
      </c>
      <c r="F23107" t="s">
        <v>70127</v>
      </c>
      <c r="I23107" t="s">
        <v>184</v>
      </c>
      <c r="J23107" t="s">
        <v>30</v>
      </c>
      <c r="K23107" t="s">
        <v>38104</v>
      </c>
      <c r="M23107" t="s">
        <v>25733</v>
      </c>
      <c r="N23107" t="str">
        <f>"7/30/2024 1:40:00 PM"</f>
        <v>7/30/2024 1:40:00 PM</v>
      </c>
      <c r="O23107" t="s">
        <v>70125</v>
      </c>
      <c r="T23107" t="s">
        <v>70126</v>
      </c>
    </row>
    <row r="23108" spans="1:20" x14ac:dyDescent="0.25">
      <c r="A23108" t="str">
        <f>"3056064"</f>
        <v>3056064</v>
      </c>
      <c r="B23108" t="s">
        <v>70128</v>
      </c>
      <c r="C23108" t="str">
        <f>"82523370"</f>
        <v>82523370</v>
      </c>
      <c r="D23108" t="s">
        <v>70129</v>
      </c>
      <c r="F23108" t="str">
        <f>"C/O REBECCA ENSIGN"</f>
        <v>C/O REBECCA ENSIGN</v>
      </c>
      <c r="G23108" t="s">
        <v>70130</v>
      </c>
      <c r="I23108" t="s">
        <v>2525</v>
      </c>
      <c r="J23108" t="s">
        <v>30</v>
      </c>
      <c r="K23108" t="s">
        <v>2526</v>
      </c>
      <c r="M23108" t="s">
        <v>33845</v>
      </c>
      <c r="N23108" t="str">
        <f>"7/30/2024 1:52:00 PM"</f>
        <v>7/30/2024 1:52:00 PM</v>
      </c>
      <c r="O23108" t="s">
        <v>70129</v>
      </c>
      <c r="T23108" t="s">
        <v>70129</v>
      </c>
    </row>
    <row r="23109" spans="1:20" x14ac:dyDescent="0.25">
      <c r="A23109" t="str">
        <f>"3077168"</f>
        <v>3077168</v>
      </c>
      <c r="B23109" t="s">
        <v>70131</v>
      </c>
      <c r="C23109" t="str">
        <f>"8322622"</f>
        <v>8322622</v>
      </c>
      <c r="D23109" t="s">
        <v>70132</v>
      </c>
      <c r="E23109" t="s">
        <v>70133</v>
      </c>
      <c r="F23109" t="s">
        <v>70134</v>
      </c>
      <c r="I23109" t="s">
        <v>184</v>
      </c>
      <c r="J23109" t="s">
        <v>30</v>
      </c>
      <c r="K23109" t="s">
        <v>70135</v>
      </c>
      <c r="M23109" t="s">
        <v>50500</v>
      </c>
      <c r="N23109" t="str">
        <f>"7/30/2024 2:02:00 PM"</f>
        <v>7/30/2024 2:02:00 PM</v>
      </c>
      <c r="O23109" t="s">
        <v>70132</v>
      </c>
      <c r="T23109" t="s">
        <v>70133</v>
      </c>
    </row>
    <row r="23110" spans="1:20" x14ac:dyDescent="0.25">
      <c r="A23110" t="str">
        <f>"3041232"</f>
        <v>3041232</v>
      </c>
      <c r="B23110" t="s">
        <v>70136</v>
      </c>
      <c r="C23110" t="str">
        <f>"8322623"</f>
        <v>8322623</v>
      </c>
      <c r="D23110" t="s">
        <v>70137</v>
      </c>
      <c r="E23110" t="s">
        <v>70138</v>
      </c>
      <c r="F23110" t="s">
        <v>70139</v>
      </c>
      <c r="I23110" t="s">
        <v>2071</v>
      </c>
      <c r="J23110" t="s">
        <v>30</v>
      </c>
      <c r="K23110" t="s">
        <v>39936</v>
      </c>
      <c r="M23110" t="s">
        <v>50500</v>
      </c>
      <c r="N23110" t="str">
        <f>"7/30/2024 2:07:00 PM"</f>
        <v>7/30/2024 2:07:00 PM</v>
      </c>
      <c r="O23110" t="s">
        <v>70137</v>
      </c>
      <c r="T23110" t="s">
        <v>70138</v>
      </c>
    </row>
    <row r="23111" spans="1:20" x14ac:dyDescent="0.25">
      <c r="A23111" t="str">
        <f>"3060675"</f>
        <v>3060675</v>
      </c>
      <c r="B23111" t="s">
        <v>70140</v>
      </c>
      <c r="C23111" t="str">
        <f>"8322624"</f>
        <v>8322624</v>
      </c>
      <c r="D23111" t="s">
        <v>70141</v>
      </c>
      <c r="E23111" t="s">
        <v>70142</v>
      </c>
      <c r="F23111" t="s">
        <v>70143</v>
      </c>
      <c r="I23111" t="s">
        <v>2071</v>
      </c>
      <c r="J23111" t="s">
        <v>30</v>
      </c>
      <c r="K23111" t="s">
        <v>6374</v>
      </c>
      <c r="M23111" t="s">
        <v>50500</v>
      </c>
      <c r="N23111" t="str">
        <f>"7/30/2024 2:14:00 PM"</f>
        <v>7/30/2024 2:14:00 PM</v>
      </c>
      <c r="O23111" t="s">
        <v>70141</v>
      </c>
      <c r="T23111" t="s">
        <v>70142</v>
      </c>
    </row>
    <row r="23112" spans="1:20" x14ac:dyDescent="0.25">
      <c r="A23112" t="str">
        <f>"3062745"</f>
        <v>3062745</v>
      </c>
      <c r="B23112" t="s">
        <v>70144</v>
      </c>
      <c r="C23112" t="str">
        <f>"8322625"</f>
        <v>8322625</v>
      </c>
      <c r="D23112" t="s">
        <v>70145</v>
      </c>
      <c r="E23112" t="s">
        <v>70146</v>
      </c>
      <c r="F23112" t="s">
        <v>70147</v>
      </c>
      <c r="I23112" t="s">
        <v>184</v>
      </c>
      <c r="J23112" t="s">
        <v>30</v>
      </c>
      <c r="K23112" t="s">
        <v>43115</v>
      </c>
      <c r="M23112" t="s">
        <v>50500</v>
      </c>
      <c r="N23112" t="str">
        <f>"7/30/2024 2:19:00 PM"</f>
        <v>7/30/2024 2:19:00 PM</v>
      </c>
      <c r="O23112" t="s">
        <v>70145</v>
      </c>
      <c r="T23112" t="s">
        <v>70146</v>
      </c>
    </row>
    <row r="23113" spans="1:20" x14ac:dyDescent="0.25">
      <c r="A23113" t="str">
        <f>"3060674"</f>
        <v>3060674</v>
      </c>
      <c r="B23113" t="s">
        <v>70148</v>
      </c>
      <c r="C23113" t="str">
        <f>"8322626"</f>
        <v>8322626</v>
      </c>
      <c r="D23113" t="s">
        <v>70149</v>
      </c>
      <c r="F23113" t="s">
        <v>70150</v>
      </c>
      <c r="I23113" t="s">
        <v>2071</v>
      </c>
      <c r="J23113" t="s">
        <v>30</v>
      </c>
      <c r="K23113" t="s">
        <v>6390</v>
      </c>
      <c r="M23113" t="s">
        <v>50500</v>
      </c>
      <c r="N23113" t="str">
        <f>"7/30/2024 2:24:00 PM"</f>
        <v>7/30/2024 2:24:00 PM</v>
      </c>
      <c r="O23113" t="s">
        <v>70149</v>
      </c>
    </row>
    <row r="23114" spans="1:20" x14ac:dyDescent="0.25">
      <c r="A23114" t="str">
        <f>"3077660"</f>
        <v>3077660</v>
      </c>
      <c r="B23114" t="s">
        <v>70151</v>
      </c>
      <c r="C23114" t="str">
        <f>"8322627"</f>
        <v>8322627</v>
      </c>
      <c r="D23114" t="s">
        <v>70152</v>
      </c>
      <c r="E23114" t="s">
        <v>70153</v>
      </c>
      <c r="F23114" t="s">
        <v>70154</v>
      </c>
      <c r="I23114" t="s">
        <v>29</v>
      </c>
      <c r="J23114" t="s">
        <v>30</v>
      </c>
      <c r="K23114" t="s">
        <v>42669</v>
      </c>
      <c r="M23114" t="s">
        <v>50500</v>
      </c>
      <c r="N23114" t="str">
        <f>"7/30/2024 2:31:00 PM"</f>
        <v>7/30/2024 2:31:00 PM</v>
      </c>
      <c r="O23114" t="s">
        <v>70152</v>
      </c>
      <c r="T23114" t="s">
        <v>70153</v>
      </c>
    </row>
    <row r="23115" spans="1:20" x14ac:dyDescent="0.25">
      <c r="A23115" t="str">
        <f>"3039071"</f>
        <v>3039071</v>
      </c>
      <c r="B23115" t="s">
        <v>70155</v>
      </c>
      <c r="C23115" t="str">
        <f>"8322627"</f>
        <v>8322627</v>
      </c>
      <c r="D23115" t="s">
        <v>70152</v>
      </c>
      <c r="E23115" t="s">
        <v>70153</v>
      </c>
      <c r="F23115" t="s">
        <v>70154</v>
      </c>
      <c r="I23115" t="s">
        <v>29</v>
      </c>
      <c r="J23115" t="s">
        <v>30</v>
      </c>
      <c r="K23115" t="s">
        <v>42669</v>
      </c>
      <c r="M23115" t="s">
        <v>50500</v>
      </c>
      <c r="N23115" t="str">
        <f>"7/30/2024 2:31:00 PM"</f>
        <v>7/30/2024 2:31:00 PM</v>
      </c>
      <c r="O23115" t="s">
        <v>70152</v>
      </c>
      <c r="T23115" t="s">
        <v>70153</v>
      </c>
    </row>
    <row r="23116" spans="1:20" x14ac:dyDescent="0.25">
      <c r="A23116" t="str">
        <f>"3056111"</f>
        <v>3056111</v>
      </c>
      <c r="B23116" t="s">
        <v>70156</v>
      </c>
      <c r="C23116" t="str">
        <f>"8322628"</f>
        <v>8322628</v>
      </c>
      <c r="D23116" t="s">
        <v>70157</v>
      </c>
      <c r="E23116" t="s">
        <v>70158</v>
      </c>
      <c r="F23116" t="s">
        <v>70159</v>
      </c>
      <c r="I23116" t="s">
        <v>9580</v>
      </c>
      <c r="J23116" t="s">
        <v>30</v>
      </c>
      <c r="K23116" t="str">
        <f>"27014"</f>
        <v>27014</v>
      </c>
      <c r="M23116" t="s">
        <v>50500</v>
      </c>
      <c r="N23116" t="str">
        <f>"7/30/2024 2:40:00 PM"</f>
        <v>7/30/2024 2:40:00 PM</v>
      </c>
      <c r="O23116" t="s">
        <v>70157</v>
      </c>
      <c r="T23116" t="s">
        <v>70158</v>
      </c>
    </row>
    <row r="23117" spans="1:20" x14ac:dyDescent="0.25">
      <c r="A23117" t="str">
        <f>"3078755"</f>
        <v>3078755</v>
      </c>
      <c r="B23117" t="s">
        <v>70160</v>
      </c>
      <c r="C23117" t="str">
        <f>"8322629"</f>
        <v>8322629</v>
      </c>
      <c r="D23117" t="s">
        <v>70161</v>
      </c>
      <c r="E23117" t="s">
        <v>70162</v>
      </c>
      <c r="F23117" t="s">
        <v>70163</v>
      </c>
      <c r="I23117" t="s">
        <v>29</v>
      </c>
      <c r="J23117" t="s">
        <v>30</v>
      </c>
      <c r="K23117" t="s">
        <v>58739</v>
      </c>
      <c r="M23117" t="s">
        <v>50500</v>
      </c>
      <c r="N23117" t="str">
        <f>"7/30/2024 2:45:00 PM"</f>
        <v>7/30/2024 2:45:00 PM</v>
      </c>
      <c r="O23117" t="s">
        <v>70161</v>
      </c>
      <c r="T23117" t="s">
        <v>70162</v>
      </c>
    </row>
    <row r="23118" spans="1:20" x14ac:dyDescent="0.25">
      <c r="A23118" t="str">
        <f>"3058634"</f>
        <v>3058634</v>
      </c>
      <c r="B23118" t="s">
        <v>70164</v>
      </c>
      <c r="C23118" t="str">
        <f>"8322630"</f>
        <v>8322630</v>
      </c>
      <c r="D23118" t="s">
        <v>70165</v>
      </c>
      <c r="E23118" t="s">
        <v>70166</v>
      </c>
      <c r="F23118" t="s">
        <v>70167</v>
      </c>
      <c r="I23118" t="s">
        <v>29</v>
      </c>
      <c r="J23118" t="s">
        <v>30</v>
      </c>
      <c r="K23118" t="s">
        <v>59681</v>
      </c>
      <c r="M23118" t="s">
        <v>50500</v>
      </c>
      <c r="N23118" t="str">
        <f>"7/30/2024 3:26:00 PM"</f>
        <v>7/30/2024 3:26:00 PM</v>
      </c>
      <c r="O23118" t="s">
        <v>70165</v>
      </c>
      <c r="T23118" t="s">
        <v>70166</v>
      </c>
    </row>
    <row r="23119" spans="1:20" x14ac:dyDescent="0.25">
      <c r="A23119" t="str">
        <f>"3063786"</f>
        <v>3063786</v>
      </c>
      <c r="B23119" t="s">
        <v>70168</v>
      </c>
      <c r="C23119" t="str">
        <f>"82530153"</f>
        <v>82530153</v>
      </c>
      <c r="D23119" t="s">
        <v>70169</v>
      </c>
      <c r="E23119" t="s">
        <v>70170</v>
      </c>
      <c r="F23119" t="s">
        <v>70171</v>
      </c>
      <c r="I23119" t="s">
        <v>49</v>
      </c>
      <c r="J23119" t="s">
        <v>30</v>
      </c>
      <c r="K23119" t="s">
        <v>70172</v>
      </c>
      <c r="M23119" t="s">
        <v>51351</v>
      </c>
      <c r="N23119" t="str">
        <f>"7/31/2024 9:51:00 AM"</f>
        <v>7/31/2024 9:51:00 AM</v>
      </c>
      <c r="O23119" t="s">
        <v>70169</v>
      </c>
      <c r="T23119" t="s">
        <v>70170</v>
      </c>
    </row>
    <row r="23120" spans="1:20" x14ac:dyDescent="0.25">
      <c r="A23120" t="str">
        <f>"3039724"</f>
        <v>3039724</v>
      </c>
      <c r="B23120" t="s">
        <v>70173</v>
      </c>
      <c r="C23120" t="str">
        <f>"8303022"</f>
        <v>8303022</v>
      </c>
      <c r="D23120" t="s">
        <v>70174</v>
      </c>
      <c r="E23120" t="s">
        <v>70175</v>
      </c>
      <c r="F23120" t="s">
        <v>70176</v>
      </c>
      <c r="I23120" t="s">
        <v>29</v>
      </c>
      <c r="J23120" t="s">
        <v>30</v>
      </c>
      <c r="K23120" t="s">
        <v>24265</v>
      </c>
      <c r="M23120" t="s">
        <v>50621</v>
      </c>
      <c r="N23120" t="str">
        <f>"7/29/2024 10:30:00 AM"</f>
        <v>7/29/2024 10:30:00 AM</v>
      </c>
      <c r="O23120" t="s">
        <v>70174</v>
      </c>
      <c r="T23120" t="s">
        <v>70175</v>
      </c>
    </row>
    <row r="23121" spans="1:20" x14ac:dyDescent="0.25">
      <c r="A23121" t="str">
        <f>"3058942"</f>
        <v>3058942</v>
      </c>
      <c r="B23121" t="s">
        <v>70177</v>
      </c>
      <c r="C23121" t="str">
        <f>"8322600"</f>
        <v>8322600</v>
      </c>
      <c r="D23121" t="s">
        <v>70178</v>
      </c>
      <c r="E23121" t="s">
        <v>70179</v>
      </c>
      <c r="F23121" t="s">
        <v>70180</v>
      </c>
      <c r="I23121" t="s">
        <v>29</v>
      </c>
      <c r="J23121" t="s">
        <v>30</v>
      </c>
      <c r="K23121" t="s">
        <v>38671</v>
      </c>
      <c r="M23121" t="s">
        <v>50500</v>
      </c>
      <c r="N23121" t="str">
        <f>"7/29/2024 10:31:00 AM"</f>
        <v>7/29/2024 10:31:00 AM</v>
      </c>
      <c r="O23121" t="s">
        <v>70178</v>
      </c>
      <c r="T23121" t="s">
        <v>70179</v>
      </c>
    </row>
    <row r="23122" spans="1:20" x14ac:dyDescent="0.25">
      <c r="A23122" t="str">
        <f>"3048199"</f>
        <v>3048199</v>
      </c>
      <c r="B23122" t="s">
        <v>70181</v>
      </c>
      <c r="C23122" t="str">
        <f>"8302716"</f>
        <v>8302716</v>
      </c>
      <c r="D23122" t="s">
        <v>50545</v>
      </c>
      <c r="F23122" t="s">
        <v>34129</v>
      </c>
      <c r="I23122" t="s">
        <v>184</v>
      </c>
      <c r="J23122" t="s">
        <v>30</v>
      </c>
      <c r="K23122" t="s">
        <v>50546</v>
      </c>
      <c r="M23122" t="s">
        <v>50793</v>
      </c>
      <c r="N23122" t="str">
        <f>"7/29/2024 10:47:00 AM"</f>
        <v>7/29/2024 10:47:00 AM</v>
      </c>
      <c r="O23122" t="s">
        <v>50545</v>
      </c>
    </row>
    <row r="23123" spans="1:20" x14ac:dyDescent="0.25">
      <c r="A23123" t="str">
        <f>"3046267"</f>
        <v>3046267</v>
      </c>
      <c r="B23123" t="s">
        <v>70182</v>
      </c>
      <c r="C23123" t="str">
        <f>"8322601"</f>
        <v>8322601</v>
      </c>
      <c r="D23123" t="s">
        <v>70183</v>
      </c>
      <c r="F23123" t="s">
        <v>70184</v>
      </c>
      <c r="I23123" t="s">
        <v>29</v>
      </c>
      <c r="J23123" t="s">
        <v>30</v>
      </c>
      <c r="K23123" t="s">
        <v>8377</v>
      </c>
      <c r="M23123" t="s">
        <v>50500</v>
      </c>
      <c r="N23123" t="str">
        <f>"7/29/2024 11:06:00 AM"</f>
        <v>7/29/2024 11:06:00 AM</v>
      </c>
      <c r="O23123" t="s">
        <v>70183</v>
      </c>
    </row>
    <row r="23124" spans="1:20" x14ac:dyDescent="0.25">
      <c r="A23124" t="str">
        <f>"3058728"</f>
        <v>3058728</v>
      </c>
      <c r="B23124" t="s">
        <v>70185</v>
      </c>
      <c r="C23124" t="str">
        <f>"8322602"</f>
        <v>8322602</v>
      </c>
      <c r="D23124" t="s">
        <v>70186</v>
      </c>
      <c r="F23124" t="s">
        <v>70187</v>
      </c>
      <c r="I23124" t="s">
        <v>70188</v>
      </c>
      <c r="J23124" t="s">
        <v>12725</v>
      </c>
      <c r="K23124" t="s">
        <v>70189</v>
      </c>
      <c r="M23124" t="s">
        <v>50500</v>
      </c>
      <c r="N23124" t="str">
        <f>"7/29/2024 11:13:00 AM"</f>
        <v>7/29/2024 11:13:00 AM</v>
      </c>
      <c r="O23124" t="s">
        <v>70186</v>
      </c>
    </row>
    <row r="23125" spans="1:20" x14ac:dyDescent="0.25">
      <c r="A23125" t="str">
        <f>"3062646"</f>
        <v>3062646</v>
      </c>
      <c r="B23125" t="s">
        <v>70190</v>
      </c>
      <c r="C23125" t="str">
        <f>"8322602"</f>
        <v>8322602</v>
      </c>
      <c r="D23125" t="s">
        <v>70186</v>
      </c>
      <c r="F23125" t="s">
        <v>70187</v>
      </c>
      <c r="I23125" t="s">
        <v>70188</v>
      </c>
      <c r="J23125" t="s">
        <v>12725</v>
      </c>
      <c r="K23125" t="s">
        <v>70189</v>
      </c>
      <c r="M23125" t="s">
        <v>50500</v>
      </c>
      <c r="N23125" t="str">
        <f>"7/29/2024 11:13:00 AM"</f>
        <v>7/29/2024 11:13:00 AM</v>
      </c>
      <c r="O23125" t="s">
        <v>70186</v>
      </c>
    </row>
    <row r="23126" spans="1:20" x14ac:dyDescent="0.25">
      <c r="A23126" t="str">
        <f>"3078170"</f>
        <v>3078170</v>
      </c>
      <c r="B23126" t="s">
        <v>70191</v>
      </c>
      <c r="C23126" t="str">
        <f>"26621000"</f>
        <v>26621000</v>
      </c>
      <c r="D23126" t="s">
        <v>70192</v>
      </c>
      <c r="F23126" t="s">
        <v>64106</v>
      </c>
      <c r="I23126" t="s">
        <v>29</v>
      </c>
      <c r="J23126" t="s">
        <v>30</v>
      </c>
      <c r="K23126" t="s">
        <v>13727</v>
      </c>
      <c r="M23126" t="s">
        <v>51351</v>
      </c>
      <c r="N23126" t="str">
        <f>"7/29/2024 11:25:00 AM"</f>
        <v>7/29/2024 11:25:00 AM</v>
      </c>
      <c r="O23126" t="s">
        <v>70192</v>
      </c>
    </row>
    <row r="23127" spans="1:20" x14ac:dyDescent="0.25">
      <c r="A23127" t="str">
        <f>"3040646"</f>
        <v>3040646</v>
      </c>
      <c r="B23127" t="s">
        <v>70193</v>
      </c>
      <c r="C23127" t="str">
        <f>"82517378"</f>
        <v>82517378</v>
      </c>
      <c r="D23127" t="s">
        <v>70194</v>
      </c>
      <c r="E23127" t="s">
        <v>70195</v>
      </c>
      <c r="F23127" t="s">
        <v>65788</v>
      </c>
      <c r="I23127" t="s">
        <v>184</v>
      </c>
      <c r="J23127" t="s">
        <v>30</v>
      </c>
      <c r="K23127" t="s">
        <v>3092</v>
      </c>
      <c r="M23127" t="s">
        <v>50621</v>
      </c>
      <c r="N23127" t="str">
        <f>"7/29/2024 12:23:00 PM"</f>
        <v>7/29/2024 12:23:00 PM</v>
      </c>
      <c r="O23127" t="s">
        <v>70194</v>
      </c>
      <c r="T23127" t="s">
        <v>70195</v>
      </c>
    </row>
    <row r="23128" spans="1:20" x14ac:dyDescent="0.25">
      <c r="A23128" t="str">
        <f>"3039860"</f>
        <v>3039860</v>
      </c>
      <c r="B23128" t="s">
        <v>70196</v>
      </c>
      <c r="C23128" t="str">
        <f>"8322638"</f>
        <v>8322638</v>
      </c>
      <c r="D23128" t="s">
        <v>70197</v>
      </c>
      <c r="E23128" t="s">
        <v>70198</v>
      </c>
      <c r="F23128" t="s">
        <v>70199</v>
      </c>
      <c r="I23128" t="s">
        <v>29</v>
      </c>
      <c r="J23128" t="s">
        <v>30</v>
      </c>
      <c r="K23128" t="s">
        <v>34498</v>
      </c>
      <c r="M23128" t="s">
        <v>50500</v>
      </c>
      <c r="N23128" t="str">
        <f>"7/31/2024 3:33:00 PM"</f>
        <v>7/31/2024 3:33:00 PM</v>
      </c>
      <c r="O23128" t="s">
        <v>70197</v>
      </c>
      <c r="T23128" t="s">
        <v>70198</v>
      </c>
    </row>
    <row r="23129" spans="1:20" x14ac:dyDescent="0.25">
      <c r="A23129" t="str">
        <f>"3039898"</f>
        <v>3039898</v>
      </c>
      <c r="B23129" t="s">
        <v>70200</v>
      </c>
      <c r="C23129" t="str">
        <f>"8322639"</f>
        <v>8322639</v>
      </c>
      <c r="D23129" t="s">
        <v>70201</v>
      </c>
      <c r="F23129" t="s">
        <v>70202</v>
      </c>
      <c r="I23129" t="s">
        <v>184</v>
      </c>
      <c r="J23129" t="s">
        <v>30</v>
      </c>
      <c r="K23129" t="s">
        <v>49304</v>
      </c>
      <c r="M23129" t="s">
        <v>50500</v>
      </c>
      <c r="N23129" t="str">
        <f>"7/31/2024 3:38:00 PM"</f>
        <v>7/31/2024 3:38:00 PM</v>
      </c>
      <c r="O23129" t="s">
        <v>70201</v>
      </c>
    </row>
    <row r="23130" spans="1:20" x14ac:dyDescent="0.25">
      <c r="A23130" t="str">
        <f>"3062141"</f>
        <v>3062141</v>
      </c>
      <c r="B23130" t="s">
        <v>70203</v>
      </c>
      <c r="C23130" t="str">
        <f>"8321838"</f>
        <v>8321838</v>
      </c>
      <c r="D23130" t="s">
        <v>70204</v>
      </c>
      <c r="E23130" t="s">
        <v>70205</v>
      </c>
      <c r="F23130" t="s">
        <v>70206</v>
      </c>
      <c r="I23130" t="s">
        <v>29</v>
      </c>
      <c r="J23130" t="s">
        <v>30</v>
      </c>
      <c r="K23130" t="s">
        <v>70207</v>
      </c>
      <c r="M23130" t="s">
        <v>50621</v>
      </c>
      <c r="N23130" t="str">
        <f>"7/29/2024 3:32:00 PM"</f>
        <v>7/29/2024 3:32:00 PM</v>
      </c>
      <c r="O23130" t="s">
        <v>70204</v>
      </c>
      <c r="T23130" t="s">
        <v>70205</v>
      </c>
    </row>
    <row r="23131" spans="1:20" x14ac:dyDescent="0.25">
      <c r="A23131" t="str">
        <f>"3053127"</f>
        <v>3053127</v>
      </c>
      <c r="B23131" t="s">
        <v>70208</v>
      </c>
      <c r="C23131" t="str">
        <f>"8315440"</f>
        <v>8315440</v>
      </c>
      <c r="D23131" t="s">
        <v>70209</v>
      </c>
      <c r="E23131" t="s">
        <v>70210</v>
      </c>
      <c r="F23131" t="s">
        <v>70211</v>
      </c>
      <c r="I23131" t="s">
        <v>29</v>
      </c>
      <c r="J23131" t="s">
        <v>30</v>
      </c>
      <c r="K23131" t="s">
        <v>58106</v>
      </c>
      <c r="M23131" t="s">
        <v>50621</v>
      </c>
      <c r="N23131" t="str">
        <f>"7/29/2024 3:48:00 PM"</f>
        <v>7/29/2024 3:48:00 PM</v>
      </c>
      <c r="O23131" t="s">
        <v>70209</v>
      </c>
      <c r="T23131" t="s">
        <v>70210</v>
      </c>
    </row>
    <row r="23132" spans="1:20" x14ac:dyDescent="0.25">
      <c r="A23132" t="str">
        <f>"3077939"</f>
        <v>3077939</v>
      </c>
      <c r="B23132" t="s">
        <v>70212</v>
      </c>
      <c r="C23132" t="str">
        <f>"8321017"</f>
        <v>8321017</v>
      </c>
      <c r="D23132" t="s">
        <v>70213</v>
      </c>
      <c r="F23132" t="s">
        <v>70214</v>
      </c>
      <c r="I23132" t="s">
        <v>58365</v>
      </c>
      <c r="J23132" t="s">
        <v>4132</v>
      </c>
      <c r="K23132" t="s">
        <v>70215</v>
      </c>
      <c r="M23132" t="s">
        <v>18479</v>
      </c>
      <c r="N23132" t="str">
        <f>"7/29/2024 4:25:00 PM"</f>
        <v>7/29/2024 4:25:00 PM</v>
      </c>
      <c r="O23132" t="s">
        <v>70213</v>
      </c>
    </row>
    <row r="23133" spans="1:20" x14ac:dyDescent="0.25">
      <c r="A23133" t="str">
        <f>"3050501"</f>
        <v>3050501</v>
      </c>
      <c r="B23133" t="s">
        <v>70216</v>
      </c>
      <c r="C23133" t="str">
        <f>"8300316"</f>
        <v>8300316</v>
      </c>
      <c r="D23133" t="s">
        <v>70217</v>
      </c>
      <c r="E23133" t="s">
        <v>70218</v>
      </c>
      <c r="F23133" t="s">
        <v>70219</v>
      </c>
      <c r="I23133" t="s">
        <v>29</v>
      </c>
      <c r="J23133" t="s">
        <v>30</v>
      </c>
      <c r="K23133" t="s">
        <v>31</v>
      </c>
      <c r="M23133" t="s">
        <v>32801</v>
      </c>
      <c r="N23133" t="str">
        <f>"7/30/2024 9:43:00 AM"</f>
        <v>7/30/2024 9:43:00 AM</v>
      </c>
      <c r="O23133" t="s">
        <v>70217</v>
      </c>
      <c r="T23133" t="s">
        <v>70218</v>
      </c>
    </row>
    <row r="23134" spans="1:20" x14ac:dyDescent="0.25">
      <c r="A23134" t="str">
        <f>"3058680"</f>
        <v>3058680</v>
      </c>
      <c r="B23134" t="s">
        <v>70220</v>
      </c>
      <c r="C23134" t="str">
        <f>"8322593"</f>
        <v>8322593</v>
      </c>
      <c r="D23134" t="s">
        <v>70221</v>
      </c>
      <c r="F23134" t="s">
        <v>70222</v>
      </c>
      <c r="I23134" t="s">
        <v>184</v>
      </c>
      <c r="J23134" t="s">
        <v>30</v>
      </c>
      <c r="K23134" t="s">
        <v>64153</v>
      </c>
      <c r="M23134" t="s">
        <v>50500</v>
      </c>
      <c r="N23134" t="str">
        <f>"7/26/2024 3:46:00 PM"</f>
        <v>7/26/2024 3:46:00 PM</v>
      </c>
      <c r="O23134" t="s">
        <v>70221</v>
      </c>
    </row>
    <row r="23135" spans="1:20" x14ac:dyDescent="0.25">
      <c r="A23135" t="str">
        <f>"3058674"</f>
        <v>3058674</v>
      </c>
      <c r="B23135" t="s">
        <v>70223</v>
      </c>
      <c r="C23135" t="str">
        <f>"8322594"</f>
        <v>8322594</v>
      </c>
      <c r="D23135" t="s">
        <v>70224</v>
      </c>
      <c r="E23135" t="s">
        <v>70225</v>
      </c>
      <c r="F23135" t="s">
        <v>70226</v>
      </c>
      <c r="I23135" t="s">
        <v>184</v>
      </c>
      <c r="J23135" t="s">
        <v>30</v>
      </c>
      <c r="K23135" t="s">
        <v>64153</v>
      </c>
      <c r="M23135" t="s">
        <v>50500</v>
      </c>
      <c r="N23135" t="str">
        <f>"7/26/2024 3:51:00 PM"</f>
        <v>7/26/2024 3:51:00 PM</v>
      </c>
      <c r="O23135" t="s">
        <v>70224</v>
      </c>
      <c r="T23135" t="s">
        <v>70225</v>
      </c>
    </row>
    <row r="23136" spans="1:20" x14ac:dyDescent="0.25">
      <c r="A23136" t="str">
        <f>"3040757"</f>
        <v>3040757</v>
      </c>
      <c r="B23136" t="s">
        <v>70227</v>
      </c>
      <c r="C23136" t="str">
        <f>"8320789"</f>
        <v>8320789</v>
      </c>
      <c r="D23136" t="s">
        <v>70228</v>
      </c>
      <c r="F23136" t="s">
        <v>70229</v>
      </c>
      <c r="I23136" t="s">
        <v>471</v>
      </c>
      <c r="J23136" t="s">
        <v>30</v>
      </c>
      <c r="K23136" t="s">
        <v>70230</v>
      </c>
      <c r="M23136" t="s">
        <v>50500</v>
      </c>
      <c r="N23136" t="str">
        <f>"7/30/2024 10:53:00 AM"</f>
        <v>7/30/2024 10:53:00 AM</v>
      </c>
      <c r="O23136" t="s">
        <v>70228</v>
      </c>
    </row>
    <row r="23137" spans="1:20" x14ac:dyDescent="0.25">
      <c r="A23137" t="str">
        <f>"3058851"</f>
        <v>3058851</v>
      </c>
      <c r="B23137" t="s">
        <v>70231</v>
      </c>
      <c r="C23137" t="str">
        <f>"8322646"</f>
        <v>8322646</v>
      </c>
      <c r="D23137" t="s">
        <v>70232</v>
      </c>
      <c r="F23137" t="s">
        <v>70233</v>
      </c>
      <c r="I23137" t="s">
        <v>184</v>
      </c>
      <c r="J23137" t="s">
        <v>30</v>
      </c>
      <c r="K23137" t="s">
        <v>21097</v>
      </c>
      <c r="M23137" t="s">
        <v>50500</v>
      </c>
      <c r="N23137" t="str">
        <f>"8/1/2024 3:58:00 PM"</f>
        <v>8/1/2024 3:58:00 PM</v>
      </c>
      <c r="O23137" t="s">
        <v>70232</v>
      </c>
    </row>
    <row r="23138" spans="1:20" x14ac:dyDescent="0.25">
      <c r="A23138" t="str">
        <f>"3042750"</f>
        <v>3042750</v>
      </c>
      <c r="B23138" t="s">
        <v>70234</v>
      </c>
      <c r="C23138" t="str">
        <f>"8322613"</f>
        <v>8322613</v>
      </c>
      <c r="D23138" t="s">
        <v>70235</v>
      </c>
      <c r="E23138" t="s">
        <v>70236</v>
      </c>
      <c r="F23138" t="s">
        <v>51679</v>
      </c>
      <c r="I23138" t="s">
        <v>29</v>
      </c>
      <c r="J23138" t="s">
        <v>30</v>
      </c>
      <c r="K23138" t="s">
        <v>44600</v>
      </c>
      <c r="M23138" t="s">
        <v>50500</v>
      </c>
      <c r="N23138" t="str">
        <f>"7/30/2024 11:05:00 AM"</f>
        <v>7/30/2024 11:05:00 AM</v>
      </c>
      <c r="O23138" t="s">
        <v>70235</v>
      </c>
      <c r="T23138" t="s">
        <v>70236</v>
      </c>
    </row>
    <row r="23139" spans="1:20" x14ac:dyDescent="0.25">
      <c r="A23139" t="str">
        <f>"3058747"</f>
        <v>3058747</v>
      </c>
      <c r="B23139" t="s">
        <v>70237</v>
      </c>
      <c r="C23139" t="str">
        <f>"8322617"</f>
        <v>8322617</v>
      </c>
      <c r="D23139" t="s">
        <v>70238</v>
      </c>
      <c r="F23139" t="s">
        <v>70239</v>
      </c>
      <c r="I23139" t="s">
        <v>184</v>
      </c>
      <c r="J23139" t="s">
        <v>30</v>
      </c>
      <c r="K23139" t="s">
        <v>64153</v>
      </c>
      <c r="M23139" t="s">
        <v>50500</v>
      </c>
      <c r="N23139" t="str">
        <f>"7/30/2024 11:29:00 AM"</f>
        <v>7/30/2024 11:29:00 AM</v>
      </c>
      <c r="O23139" t="s">
        <v>70238</v>
      </c>
    </row>
    <row r="23140" spans="1:20" x14ac:dyDescent="0.25">
      <c r="A23140" t="str">
        <f>"3050781"</f>
        <v>3050781</v>
      </c>
      <c r="B23140" t="s">
        <v>70240</v>
      </c>
      <c r="C23140" t="str">
        <f>"8310158"</f>
        <v>8310158</v>
      </c>
      <c r="D23140" t="s">
        <v>70241</v>
      </c>
      <c r="E23140" t="s">
        <v>70242</v>
      </c>
      <c r="F23140" t="s">
        <v>70243</v>
      </c>
      <c r="I23140" t="s">
        <v>184</v>
      </c>
      <c r="J23140" t="s">
        <v>30</v>
      </c>
      <c r="K23140" t="str">
        <f>"27006"</f>
        <v>27006</v>
      </c>
      <c r="M23140" t="s">
        <v>25625</v>
      </c>
      <c r="N23140" t="str">
        <f>"7/31/2024 9:53:00 AM"</f>
        <v>7/31/2024 9:53:00 AM</v>
      </c>
      <c r="O23140" t="s">
        <v>70241</v>
      </c>
      <c r="T23140" t="s">
        <v>70242</v>
      </c>
    </row>
    <row r="23141" spans="1:20" x14ac:dyDescent="0.25">
      <c r="A23141" t="str">
        <f>"3051477"</f>
        <v>3051477</v>
      </c>
      <c r="B23141" t="s">
        <v>70244</v>
      </c>
      <c r="C23141" t="str">
        <f>"8319522"</f>
        <v>8319522</v>
      </c>
      <c r="D23141" t="s">
        <v>70245</v>
      </c>
      <c r="F23141" t="s">
        <v>70246</v>
      </c>
      <c r="I23141" t="s">
        <v>29</v>
      </c>
      <c r="J23141" t="s">
        <v>30</v>
      </c>
      <c r="K23141" t="s">
        <v>70247</v>
      </c>
      <c r="M23141" t="s">
        <v>18479</v>
      </c>
      <c r="N23141" t="str">
        <f>"8/2/2024 10:34:00 AM"</f>
        <v>8/2/2024 10:34:00 AM</v>
      </c>
      <c r="O23141" t="s">
        <v>70245</v>
      </c>
    </row>
    <row r="23142" spans="1:20" x14ac:dyDescent="0.25">
      <c r="A23142" t="str">
        <f>"3046052"</f>
        <v>3046052</v>
      </c>
      <c r="B23142" t="s">
        <v>70248</v>
      </c>
      <c r="C23142" t="str">
        <f>"20194000"</f>
        <v>20194000</v>
      </c>
      <c r="D23142" t="s">
        <v>70249</v>
      </c>
      <c r="F23142" t="s">
        <v>70250</v>
      </c>
      <c r="I23142" t="s">
        <v>29</v>
      </c>
      <c r="J23142" t="s">
        <v>30</v>
      </c>
      <c r="K23142" t="s">
        <v>70251</v>
      </c>
      <c r="M23142" t="s">
        <v>50621</v>
      </c>
      <c r="N23142" t="str">
        <f>"8/2/2024 12:30:00 PM"</f>
        <v>8/2/2024 12:30:00 PM</v>
      </c>
      <c r="O23142" t="s">
        <v>70249</v>
      </c>
    </row>
    <row r="23143" spans="1:20" x14ac:dyDescent="0.25">
      <c r="A23143" t="str">
        <f>"3046060"</f>
        <v>3046060</v>
      </c>
      <c r="B23143" t="s">
        <v>70252</v>
      </c>
      <c r="C23143" t="str">
        <f>"20194000"</f>
        <v>20194000</v>
      </c>
      <c r="D23143" t="s">
        <v>70249</v>
      </c>
      <c r="F23143" t="s">
        <v>70250</v>
      </c>
      <c r="I23143" t="s">
        <v>29</v>
      </c>
      <c r="J23143" t="s">
        <v>30</v>
      </c>
      <c r="K23143" t="s">
        <v>70251</v>
      </c>
      <c r="M23143" t="s">
        <v>50621</v>
      </c>
      <c r="N23143" t="str">
        <f>"8/2/2024 12:30:00 PM"</f>
        <v>8/2/2024 12:30:00 PM</v>
      </c>
      <c r="O23143" t="s">
        <v>70249</v>
      </c>
    </row>
    <row r="23144" spans="1:20" x14ac:dyDescent="0.25">
      <c r="A23144" t="str">
        <f>"3046061"</f>
        <v>3046061</v>
      </c>
      <c r="B23144" t="s">
        <v>70253</v>
      </c>
      <c r="C23144" t="str">
        <f>"20194000"</f>
        <v>20194000</v>
      </c>
      <c r="D23144" t="s">
        <v>70249</v>
      </c>
      <c r="F23144" t="s">
        <v>70250</v>
      </c>
      <c r="I23144" t="s">
        <v>29</v>
      </c>
      <c r="J23144" t="s">
        <v>30</v>
      </c>
      <c r="K23144" t="s">
        <v>70251</v>
      </c>
      <c r="M23144" t="s">
        <v>50621</v>
      </c>
      <c r="N23144" t="str">
        <f>"8/2/2024 12:30:00 PM"</f>
        <v>8/2/2024 12:30:00 PM</v>
      </c>
      <c r="O23144" t="s">
        <v>70249</v>
      </c>
    </row>
    <row r="23145" spans="1:20" x14ac:dyDescent="0.25">
      <c r="A23145" t="str">
        <f>"3047695"</f>
        <v>3047695</v>
      </c>
      <c r="B23145" t="s">
        <v>70254</v>
      </c>
      <c r="C23145" t="str">
        <f>"20194000"</f>
        <v>20194000</v>
      </c>
      <c r="D23145" t="s">
        <v>70249</v>
      </c>
      <c r="F23145" t="s">
        <v>70250</v>
      </c>
      <c r="I23145" t="s">
        <v>29</v>
      </c>
      <c r="J23145" t="s">
        <v>30</v>
      </c>
      <c r="K23145" t="s">
        <v>70251</v>
      </c>
      <c r="M23145" t="s">
        <v>50621</v>
      </c>
      <c r="N23145" t="str">
        <f>"8/2/2024 12:30:00 PM"</f>
        <v>8/2/2024 12:30:00 PM</v>
      </c>
      <c r="O23145" t="s">
        <v>70249</v>
      </c>
    </row>
    <row r="23146" spans="1:20" x14ac:dyDescent="0.25">
      <c r="A23146" t="str">
        <f>"3047538"</f>
        <v>3047538</v>
      </c>
      <c r="B23146" t="s">
        <v>70255</v>
      </c>
      <c r="C23146" t="str">
        <f>"20194000"</f>
        <v>20194000</v>
      </c>
      <c r="D23146" t="s">
        <v>70249</v>
      </c>
      <c r="F23146" t="s">
        <v>70250</v>
      </c>
      <c r="I23146" t="s">
        <v>29</v>
      </c>
      <c r="J23146" t="s">
        <v>30</v>
      </c>
      <c r="K23146" t="s">
        <v>70251</v>
      </c>
      <c r="M23146" t="s">
        <v>50621</v>
      </c>
      <c r="N23146" t="str">
        <f>"8/2/2024 12:30:00 PM"</f>
        <v>8/2/2024 12:30:00 PM</v>
      </c>
      <c r="O23146" t="s">
        <v>70249</v>
      </c>
    </row>
    <row r="23147" spans="1:20" x14ac:dyDescent="0.25">
      <c r="A23147" t="str">
        <f>"3075037"</f>
        <v>3075037</v>
      </c>
      <c r="B23147" t="s">
        <v>70256</v>
      </c>
      <c r="C23147" t="str">
        <f>"8306141"</f>
        <v>8306141</v>
      </c>
      <c r="D23147" t="s">
        <v>70257</v>
      </c>
      <c r="F23147" t="s">
        <v>70258</v>
      </c>
      <c r="I23147" t="s">
        <v>70259</v>
      </c>
      <c r="J23147" t="s">
        <v>1543</v>
      </c>
      <c r="K23147" t="s">
        <v>70260</v>
      </c>
      <c r="M23147" t="s">
        <v>50621</v>
      </c>
      <c r="N23147" t="str">
        <f>"8/2/2024 12:32:00 PM"</f>
        <v>8/2/2024 12:32:00 PM</v>
      </c>
      <c r="O23147" t="s">
        <v>70257</v>
      </c>
    </row>
    <row r="23148" spans="1:20" x14ac:dyDescent="0.25">
      <c r="A23148" t="str">
        <f>"3053456"</f>
        <v>3053456</v>
      </c>
      <c r="B23148" t="s">
        <v>70261</v>
      </c>
      <c r="C23148" t="str">
        <f>"8318995"</f>
        <v>8318995</v>
      </c>
      <c r="D23148" t="s">
        <v>70262</v>
      </c>
      <c r="F23148" t="s">
        <v>70263</v>
      </c>
      <c r="I23148" t="s">
        <v>29</v>
      </c>
      <c r="J23148" t="s">
        <v>30</v>
      </c>
      <c r="K23148" t="s">
        <v>41718</v>
      </c>
      <c r="M23148" t="s">
        <v>50621</v>
      </c>
      <c r="N23148" t="str">
        <f>"8/2/2024 12:34:00 PM"</f>
        <v>8/2/2024 12:34:00 PM</v>
      </c>
      <c r="O23148" t="s">
        <v>70262</v>
      </c>
    </row>
    <row r="23149" spans="1:20" x14ac:dyDescent="0.25">
      <c r="A23149" t="str">
        <f>"3056407"</f>
        <v>3056407</v>
      </c>
      <c r="B23149" t="s">
        <v>70264</v>
      </c>
      <c r="C23149" t="str">
        <f>"8322648"</f>
        <v>8322648</v>
      </c>
      <c r="D23149" t="s">
        <v>70265</v>
      </c>
      <c r="E23149" t="s">
        <v>70266</v>
      </c>
      <c r="F23149" t="s">
        <v>70267</v>
      </c>
      <c r="I23149" t="s">
        <v>964</v>
      </c>
      <c r="J23149" t="s">
        <v>30</v>
      </c>
      <c r="K23149" t="s">
        <v>70268</v>
      </c>
      <c r="M23149" t="s">
        <v>50500</v>
      </c>
      <c r="N23149" t="str">
        <f>"8/2/2024 1:46:00 PM"</f>
        <v>8/2/2024 1:46:00 PM</v>
      </c>
      <c r="O23149" t="s">
        <v>70265</v>
      </c>
      <c r="T23149" t="s">
        <v>70266</v>
      </c>
    </row>
    <row r="23150" spans="1:20" x14ac:dyDescent="0.25">
      <c r="A23150" t="str">
        <f>"3064452"</f>
        <v>3064452</v>
      </c>
      <c r="B23150" t="s">
        <v>70269</v>
      </c>
      <c r="C23150" t="str">
        <f>"8322649"</f>
        <v>8322649</v>
      </c>
      <c r="D23150" t="s">
        <v>70270</v>
      </c>
      <c r="E23150" t="s">
        <v>70271</v>
      </c>
      <c r="F23150" t="s">
        <v>70272</v>
      </c>
      <c r="I23150" t="s">
        <v>29</v>
      </c>
      <c r="J23150" t="s">
        <v>30</v>
      </c>
      <c r="K23150" t="s">
        <v>40836</v>
      </c>
      <c r="M23150" t="s">
        <v>50500</v>
      </c>
      <c r="N23150" t="str">
        <f>"8/2/2024 1:53:00 PM"</f>
        <v>8/2/2024 1:53:00 PM</v>
      </c>
      <c r="O23150" t="s">
        <v>70270</v>
      </c>
      <c r="T23150" t="s">
        <v>70271</v>
      </c>
    </row>
    <row r="23151" spans="1:20" x14ac:dyDescent="0.25">
      <c r="A23151" t="str">
        <f>"3051074"</f>
        <v>3051074</v>
      </c>
      <c r="B23151" t="s">
        <v>70273</v>
      </c>
      <c r="C23151" t="str">
        <f>"8322631"</f>
        <v>8322631</v>
      </c>
      <c r="D23151" t="s">
        <v>70274</v>
      </c>
      <c r="E23151" t="s">
        <v>70275</v>
      </c>
      <c r="F23151" t="s">
        <v>70276</v>
      </c>
      <c r="I23151" t="s">
        <v>2589</v>
      </c>
      <c r="J23151" t="s">
        <v>30</v>
      </c>
      <c r="K23151" t="s">
        <v>70277</v>
      </c>
      <c r="M23151" t="s">
        <v>50500</v>
      </c>
      <c r="N23151" t="str">
        <f>"7/31/2024 1:48:00 PM"</f>
        <v>7/31/2024 1:48:00 PM</v>
      </c>
      <c r="O23151" t="s">
        <v>70274</v>
      </c>
      <c r="T23151" t="s">
        <v>70275</v>
      </c>
    </row>
    <row r="23152" spans="1:20" x14ac:dyDescent="0.25">
      <c r="A23152" t="str">
        <f>"3058989"</f>
        <v>3058989</v>
      </c>
      <c r="B23152" t="s">
        <v>70278</v>
      </c>
      <c r="C23152" t="str">
        <f>"8322631"</f>
        <v>8322631</v>
      </c>
      <c r="D23152" t="s">
        <v>70274</v>
      </c>
      <c r="E23152" t="s">
        <v>70275</v>
      </c>
      <c r="F23152" t="s">
        <v>70276</v>
      </c>
      <c r="I23152" t="s">
        <v>2589</v>
      </c>
      <c r="J23152" t="s">
        <v>30</v>
      </c>
      <c r="K23152" t="s">
        <v>70277</v>
      </c>
      <c r="M23152" t="s">
        <v>50500</v>
      </c>
      <c r="N23152" t="str">
        <f>"7/31/2024 1:48:00 PM"</f>
        <v>7/31/2024 1:48:00 PM</v>
      </c>
      <c r="O23152" t="s">
        <v>70274</v>
      </c>
      <c r="T23152" t="s">
        <v>70275</v>
      </c>
    </row>
    <row r="23153" spans="1:20" x14ac:dyDescent="0.25">
      <c r="A23153" t="str">
        <f>"3057491"</f>
        <v>3057491</v>
      </c>
      <c r="B23153" t="s">
        <v>70279</v>
      </c>
      <c r="C23153" t="str">
        <f>"8322632"</f>
        <v>8322632</v>
      </c>
      <c r="D23153" t="s">
        <v>70280</v>
      </c>
      <c r="F23153" t="s">
        <v>70281</v>
      </c>
      <c r="I23153" t="s">
        <v>29</v>
      </c>
      <c r="J23153" t="s">
        <v>30</v>
      </c>
      <c r="K23153" t="s">
        <v>36339</v>
      </c>
      <c r="M23153" t="s">
        <v>50500</v>
      </c>
      <c r="N23153" t="str">
        <f>"7/31/2024 1:57:00 PM"</f>
        <v>7/31/2024 1:57:00 PM</v>
      </c>
      <c r="O23153" t="s">
        <v>70280</v>
      </c>
    </row>
    <row r="23154" spans="1:20" x14ac:dyDescent="0.25">
      <c r="A23154" t="str">
        <f>"3058766"</f>
        <v>3058766</v>
      </c>
      <c r="B23154" t="s">
        <v>70282</v>
      </c>
      <c r="C23154" t="str">
        <f>"8322634"</f>
        <v>8322634</v>
      </c>
      <c r="D23154" t="s">
        <v>70283</v>
      </c>
      <c r="E23154" t="s">
        <v>70284</v>
      </c>
      <c r="F23154" t="s">
        <v>70285</v>
      </c>
      <c r="I23154" t="s">
        <v>17921</v>
      </c>
      <c r="J23154" t="s">
        <v>30</v>
      </c>
      <c r="K23154" t="str">
        <f>"27028"</f>
        <v>27028</v>
      </c>
      <c r="M23154" t="s">
        <v>50500</v>
      </c>
      <c r="N23154" t="str">
        <f>"7/31/2024 3:14:00 PM"</f>
        <v>7/31/2024 3:14:00 PM</v>
      </c>
      <c r="O23154" t="s">
        <v>70283</v>
      </c>
      <c r="T23154" t="s">
        <v>70284</v>
      </c>
    </row>
    <row r="23155" spans="1:20" x14ac:dyDescent="0.25">
      <c r="A23155" t="str">
        <f>"3058816"</f>
        <v>3058816</v>
      </c>
      <c r="B23155" t="s">
        <v>70286</v>
      </c>
      <c r="C23155" t="str">
        <f>"8322635"</f>
        <v>8322635</v>
      </c>
      <c r="D23155" t="s">
        <v>70287</v>
      </c>
      <c r="F23155" t="s">
        <v>70288</v>
      </c>
      <c r="I23155" t="s">
        <v>29</v>
      </c>
      <c r="J23155" t="s">
        <v>30</v>
      </c>
      <c r="K23155" t="s">
        <v>34090</v>
      </c>
      <c r="M23155" t="s">
        <v>50500</v>
      </c>
      <c r="N23155" t="str">
        <f>"7/31/2024 3:18:00 PM"</f>
        <v>7/31/2024 3:18:00 PM</v>
      </c>
      <c r="O23155" t="s">
        <v>70287</v>
      </c>
    </row>
    <row r="23156" spans="1:20" x14ac:dyDescent="0.25">
      <c r="A23156" t="str">
        <f>"3061456"</f>
        <v>3061456</v>
      </c>
      <c r="B23156" t="s">
        <v>70289</v>
      </c>
      <c r="C23156" t="str">
        <f>"8322636"</f>
        <v>8322636</v>
      </c>
      <c r="D23156" t="s">
        <v>70290</v>
      </c>
      <c r="F23156" t="s">
        <v>70291</v>
      </c>
      <c r="I23156" t="s">
        <v>184</v>
      </c>
      <c r="J23156" t="s">
        <v>30</v>
      </c>
      <c r="K23156" t="s">
        <v>70292</v>
      </c>
      <c r="M23156" t="s">
        <v>50500</v>
      </c>
      <c r="N23156" t="str">
        <f>"7/31/2024 3:22:00 PM"</f>
        <v>7/31/2024 3:22:00 PM</v>
      </c>
      <c r="O23156" t="s">
        <v>70290</v>
      </c>
    </row>
    <row r="23157" spans="1:20" x14ac:dyDescent="0.25">
      <c r="A23157" t="str">
        <f>"3062441"</f>
        <v>3062441</v>
      </c>
      <c r="B23157" t="s">
        <v>70293</v>
      </c>
      <c r="C23157" t="str">
        <f>"8322637"</f>
        <v>8322637</v>
      </c>
      <c r="D23157" t="s">
        <v>70294</v>
      </c>
      <c r="E23157" t="s">
        <v>70295</v>
      </c>
      <c r="F23157" t="s">
        <v>70296</v>
      </c>
      <c r="I23157" t="s">
        <v>2071</v>
      </c>
      <c r="J23157" t="s">
        <v>30</v>
      </c>
      <c r="K23157" t="s">
        <v>3885</v>
      </c>
      <c r="M23157" t="s">
        <v>50500</v>
      </c>
      <c r="N23157" t="str">
        <f>"7/31/2024 3:28:00 PM"</f>
        <v>7/31/2024 3:28:00 PM</v>
      </c>
      <c r="O23157" t="s">
        <v>70294</v>
      </c>
      <c r="T23157" t="s">
        <v>70295</v>
      </c>
    </row>
    <row r="23158" spans="1:20" x14ac:dyDescent="0.25">
      <c r="A23158" t="str">
        <f>"3037338"</f>
        <v>3037338</v>
      </c>
      <c r="B23158" t="s">
        <v>70297</v>
      </c>
      <c r="C23158" t="str">
        <f>"8320058"</f>
        <v>8320058</v>
      </c>
      <c r="D23158" t="s">
        <v>70298</v>
      </c>
      <c r="E23158" t="s">
        <v>70299</v>
      </c>
      <c r="F23158" t="s">
        <v>70300</v>
      </c>
      <c r="I23158" t="s">
        <v>33546</v>
      </c>
      <c r="J23158" t="s">
        <v>30</v>
      </c>
      <c r="K23158" t="s">
        <v>70301</v>
      </c>
      <c r="M23158" t="s">
        <v>50621</v>
      </c>
      <c r="N23158" t="str">
        <f>"7/30/2024 10:20:00 AM"</f>
        <v>7/30/2024 10:20:00 AM</v>
      </c>
      <c r="O23158" t="s">
        <v>70298</v>
      </c>
      <c r="T23158" t="s">
        <v>70299</v>
      </c>
    </row>
    <row r="23159" spans="1:20" x14ac:dyDescent="0.25">
      <c r="A23159" t="str">
        <f>"3039507"</f>
        <v>3039507</v>
      </c>
      <c r="B23159" t="s">
        <v>70302</v>
      </c>
      <c r="C23159" t="str">
        <f>"8320058"</f>
        <v>8320058</v>
      </c>
      <c r="D23159" t="s">
        <v>70298</v>
      </c>
      <c r="E23159" t="s">
        <v>70299</v>
      </c>
      <c r="F23159" t="s">
        <v>70300</v>
      </c>
      <c r="I23159" t="s">
        <v>33546</v>
      </c>
      <c r="J23159" t="s">
        <v>30</v>
      </c>
      <c r="K23159" t="s">
        <v>70301</v>
      </c>
      <c r="M23159" t="s">
        <v>50621</v>
      </c>
      <c r="N23159" t="str">
        <f>"7/30/2024 10:20:00 AM"</f>
        <v>7/30/2024 10:20:00 AM</v>
      </c>
      <c r="O23159" t="s">
        <v>70298</v>
      </c>
      <c r="T23159" t="s">
        <v>70299</v>
      </c>
    </row>
    <row r="23160" spans="1:20" x14ac:dyDescent="0.25">
      <c r="A23160" t="str">
        <f>"3039607"</f>
        <v>3039607</v>
      </c>
      <c r="B23160" t="s">
        <v>70303</v>
      </c>
      <c r="C23160" t="str">
        <f>"8320058"</f>
        <v>8320058</v>
      </c>
      <c r="D23160" t="s">
        <v>70298</v>
      </c>
      <c r="E23160" t="s">
        <v>70299</v>
      </c>
      <c r="F23160" t="s">
        <v>70300</v>
      </c>
      <c r="I23160" t="s">
        <v>33546</v>
      </c>
      <c r="J23160" t="s">
        <v>30</v>
      </c>
      <c r="K23160" t="s">
        <v>70301</v>
      </c>
      <c r="M23160" t="s">
        <v>50621</v>
      </c>
      <c r="N23160" t="str">
        <f>"7/30/2024 10:20:00 AM"</f>
        <v>7/30/2024 10:20:00 AM</v>
      </c>
      <c r="O23160" t="s">
        <v>70298</v>
      </c>
      <c r="T23160" t="s">
        <v>70299</v>
      </c>
    </row>
    <row r="23161" spans="1:20" x14ac:dyDescent="0.25">
      <c r="A23161" t="str">
        <f>"3041315"</f>
        <v>3041315</v>
      </c>
      <c r="B23161" t="s">
        <v>70304</v>
      </c>
      <c r="C23161" t="str">
        <f>"8322611"</f>
        <v>8322611</v>
      </c>
      <c r="D23161" t="s">
        <v>70305</v>
      </c>
      <c r="E23161" t="s">
        <v>70306</v>
      </c>
      <c r="F23161" t="s">
        <v>70307</v>
      </c>
      <c r="I23161" t="s">
        <v>184</v>
      </c>
      <c r="J23161" t="s">
        <v>30</v>
      </c>
      <c r="K23161" t="s">
        <v>2361</v>
      </c>
      <c r="M23161" t="s">
        <v>50500</v>
      </c>
      <c r="N23161" t="str">
        <f>"7/30/2024 10:30:00 AM"</f>
        <v>7/30/2024 10:30:00 AM</v>
      </c>
      <c r="O23161" t="s">
        <v>70305</v>
      </c>
      <c r="T23161" t="s">
        <v>70306</v>
      </c>
    </row>
    <row r="23162" spans="1:20" x14ac:dyDescent="0.25">
      <c r="A23162" t="str">
        <f>"3045233"</f>
        <v>3045233</v>
      </c>
      <c r="B23162" t="s">
        <v>70308</v>
      </c>
      <c r="C23162" t="str">
        <f>"8322659"</f>
        <v>8322659</v>
      </c>
      <c r="D23162" t="s">
        <v>70309</v>
      </c>
      <c r="E23162" t="s">
        <v>70310</v>
      </c>
      <c r="F23162" t="s">
        <v>41245</v>
      </c>
      <c r="I23162" t="s">
        <v>29</v>
      </c>
      <c r="J23162" t="s">
        <v>30</v>
      </c>
      <c r="K23162" t="s">
        <v>37654</v>
      </c>
      <c r="M23162" t="s">
        <v>50500</v>
      </c>
      <c r="N23162" t="str">
        <f>"8/5/2024 10:29:00 AM"</f>
        <v>8/5/2024 10:29:00 AM</v>
      </c>
      <c r="O23162" t="s">
        <v>70309</v>
      </c>
      <c r="T23162" t="s">
        <v>70310</v>
      </c>
    </row>
    <row r="23163" spans="1:20" x14ac:dyDescent="0.25">
      <c r="A23163" t="str">
        <f>"3045546"</f>
        <v>3045546</v>
      </c>
      <c r="B23163" t="s">
        <v>70311</v>
      </c>
      <c r="C23163" t="str">
        <f>"8322659"</f>
        <v>8322659</v>
      </c>
      <c r="D23163" t="s">
        <v>70309</v>
      </c>
      <c r="E23163" t="s">
        <v>70310</v>
      </c>
      <c r="F23163" t="s">
        <v>41245</v>
      </c>
      <c r="I23163" t="s">
        <v>29</v>
      </c>
      <c r="J23163" t="s">
        <v>30</v>
      </c>
      <c r="K23163" t="s">
        <v>37654</v>
      </c>
      <c r="M23163" t="s">
        <v>50500</v>
      </c>
      <c r="N23163" t="str">
        <f>"8/5/2024 10:29:00 AM"</f>
        <v>8/5/2024 10:29:00 AM</v>
      </c>
      <c r="O23163" t="s">
        <v>70309</v>
      </c>
      <c r="T23163" t="s">
        <v>70310</v>
      </c>
    </row>
    <row r="23164" spans="1:20" x14ac:dyDescent="0.25">
      <c r="A23164" t="str">
        <f>"3057511"</f>
        <v>3057511</v>
      </c>
      <c r="B23164" t="s">
        <v>70312</v>
      </c>
      <c r="C23164" t="str">
        <f>"8322660"</f>
        <v>8322660</v>
      </c>
      <c r="D23164" t="s">
        <v>70313</v>
      </c>
      <c r="E23164" t="s">
        <v>70314</v>
      </c>
      <c r="F23164" t="s">
        <v>70315</v>
      </c>
      <c r="I23164" t="s">
        <v>29</v>
      </c>
      <c r="J23164" t="s">
        <v>30</v>
      </c>
      <c r="K23164" t="s">
        <v>36339</v>
      </c>
      <c r="M23164" t="s">
        <v>50500</v>
      </c>
      <c r="N23164" t="str">
        <f>"8/5/2024 10:58:00 AM"</f>
        <v>8/5/2024 10:58:00 AM</v>
      </c>
      <c r="O23164" t="s">
        <v>70313</v>
      </c>
      <c r="T23164" t="s">
        <v>70314</v>
      </c>
    </row>
    <row r="23165" spans="1:20" x14ac:dyDescent="0.25">
      <c r="A23165" t="str">
        <f>"3050657"</f>
        <v>3050657</v>
      </c>
      <c r="B23165" t="s">
        <v>70316</v>
      </c>
      <c r="C23165" t="str">
        <f>"46148000"</f>
        <v>46148000</v>
      </c>
      <c r="D23165" t="s">
        <v>70317</v>
      </c>
      <c r="E23165" t="s">
        <v>70318</v>
      </c>
      <c r="F23165" t="s">
        <v>70319</v>
      </c>
      <c r="G23165" t="s">
        <v>70320</v>
      </c>
      <c r="I23165" t="s">
        <v>471</v>
      </c>
      <c r="J23165" t="s">
        <v>30</v>
      </c>
      <c r="K23165" t="s">
        <v>70321</v>
      </c>
      <c r="M23165" t="s">
        <v>50793</v>
      </c>
      <c r="N23165" t="str">
        <f>"8/5/2024 11:02:00 AM"</f>
        <v>8/5/2024 11:02:00 AM</v>
      </c>
      <c r="O23165" t="s">
        <v>70317</v>
      </c>
      <c r="T23165" t="s">
        <v>70318</v>
      </c>
    </row>
    <row r="23166" spans="1:20" x14ac:dyDescent="0.25">
      <c r="A23166" t="str">
        <f>"3078345"</f>
        <v>3078345</v>
      </c>
      <c r="B23166" t="s">
        <v>70322</v>
      </c>
      <c r="C23166" t="str">
        <f>"46148000"</f>
        <v>46148000</v>
      </c>
      <c r="D23166" t="s">
        <v>70317</v>
      </c>
      <c r="E23166" t="s">
        <v>70318</v>
      </c>
      <c r="F23166" t="s">
        <v>70319</v>
      </c>
      <c r="G23166" t="s">
        <v>70320</v>
      </c>
      <c r="I23166" t="s">
        <v>471</v>
      </c>
      <c r="J23166" t="s">
        <v>30</v>
      </c>
      <c r="K23166" t="s">
        <v>70321</v>
      </c>
      <c r="M23166" t="s">
        <v>50793</v>
      </c>
      <c r="N23166" t="str">
        <f>"8/5/2024 11:02:00 AM"</f>
        <v>8/5/2024 11:02:00 AM</v>
      </c>
      <c r="O23166" t="s">
        <v>70317</v>
      </c>
      <c r="T23166" t="s">
        <v>70318</v>
      </c>
    </row>
    <row r="23167" spans="1:20" x14ac:dyDescent="0.25">
      <c r="A23167" t="str">
        <f>"3061668"</f>
        <v>3061668</v>
      </c>
      <c r="B23167" t="s">
        <v>70323</v>
      </c>
      <c r="C23167" t="str">
        <f>"8322661"</f>
        <v>8322661</v>
      </c>
      <c r="D23167" t="s">
        <v>70324</v>
      </c>
      <c r="F23167" t="s">
        <v>70325</v>
      </c>
      <c r="I23167" t="s">
        <v>29</v>
      </c>
      <c r="J23167" t="s">
        <v>30</v>
      </c>
      <c r="K23167" t="s">
        <v>68180</v>
      </c>
      <c r="M23167" t="s">
        <v>50500</v>
      </c>
      <c r="N23167" t="str">
        <f>"8/5/2024 11:14:00 AM"</f>
        <v>8/5/2024 11:14:00 AM</v>
      </c>
      <c r="O23167" t="s">
        <v>70324</v>
      </c>
    </row>
    <row r="23168" spans="1:20" x14ac:dyDescent="0.25">
      <c r="A23168" t="str">
        <f>"3052165"</f>
        <v>3052165</v>
      </c>
      <c r="B23168" t="s">
        <v>70326</v>
      </c>
      <c r="C23168" t="str">
        <f>"8317583"</f>
        <v>8317583</v>
      </c>
      <c r="D23168" t="s">
        <v>63000</v>
      </c>
      <c r="F23168" t="s">
        <v>63002</v>
      </c>
      <c r="I23168" t="s">
        <v>184</v>
      </c>
      <c r="J23168" t="s">
        <v>30</v>
      </c>
      <c r="K23168" t="s">
        <v>63003</v>
      </c>
      <c r="M23168" t="s">
        <v>50621</v>
      </c>
      <c r="N23168" t="str">
        <f>"8/5/2024 11:18:00 AM"</f>
        <v>8/5/2024 11:18:00 AM</v>
      </c>
      <c r="O23168" t="s">
        <v>63000</v>
      </c>
    </row>
    <row r="23169" spans="1:20" x14ac:dyDescent="0.25">
      <c r="A23169" t="str">
        <f>"3078816"</f>
        <v>3078816</v>
      </c>
      <c r="B23169" t="s">
        <v>70327</v>
      </c>
      <c r="C23169" t="str">
        <f>"8322612"</f>
        <v>8322612</v>
      </c>
      <c r="D23169" t="s">
        <v>70328</v>
      </c>
      <c r="E23169" t="s">
        <v>70329</v>
      </c>
      <c r="F23169" t="s">
        <v>65548</v>
      </c>
      <c r="I23169" t="s">
        <v>29</v>
      </c>
      <c r="J23169" t="s">
        <v>30</v>
      </c>
      <c r="K23169" t="s">
        <v>65549</v>
      </c>
      <c r="M23169" t="s">
        <v>50500</v>
      </c>
      <c r="N23169" t="str">
        <f>"7/30/2024 10:48:00 AM"</f>
        <v>7/30/2024 10:48:00 AM</v>
      </c>
      <c r="O23169" t="s">
        <v>70328</v>
      </c>
      <c r="T23169" t="s">
        <v>70329</v>
      </c>
    </row>
    <row r="23170" spans="1:20" x14ac:dyDescent="0.25">
      <c r="A23170" t="str">
        <f>"3078832"</f>
        <v>3078832</v>
      </c>
      <c r="B23170" t="s">
        <v>70330</v>
      </c>
      <c r="C23170" t="str">
        <f>"8322612"</f>
        <v>8322612</v>
      </c>
      <c r="D23170" t="s">
        <v>70328</v>
      </c>
      <c r="E23170" t="s">
        <v>70329</v>
      </c>
      <c r="F23170" t="s">
        <v>65548</v>
      </c>
      <c r="I23170" t="s">
        <v>29</v>
      </c>
      <c r="J23170" t="s">
        <v>30</v>
      </c>
      <c r="K23170" t="s">
        <v>65549</v>
      </c>
      <c r="M23170" t="s">
        <v>50500</v>
      </c>
      <c r="N23170" t="str">
        <f>"7/30/2024 10:48:00 AM"</f>
        <v>7/30/2024 10:48:00 AM</v>
      </c>
      <c r="O23170" t="s">
        <v>70328</v>
      </c>
      <c r="T23170" t="s">
        <v>70329</v>
      </c>
    </row>
    <row r="23171" spans="1:20" x14ac:dyDescent="0.25">
      <c r="A23171" t="str">
        <f>"3040529"</f>
        <v>3040529</v>
      </c>
      <c r="B23171" t="s">
        <v>70331</v>
      </c>
      <c r="C23171" t="str">
        <f>"8320789"</f>
        <v>8320789</v>
      </c>
      <c r="D23171" t="s">
        <v>70228</v>
      </c>
      <c r="F23171" t="s">
        <v>70229</v>
      </c>
      <c r="I23171" t="s">
        <v>471</v>
      </c>
      <c r="J23171" t="s">
        <v>30</v>
      </c>
      <c r="K23171" t="s">
        <v>70230</v>
      </c>
      <c r="M23171" t="s">
        <v>50500</v>
      </c>
      <c r="N23171" t="str">
        <f>"7/30/2024 10:53:00 AM"</f>
        <v>7/30/2024 10:53:00 AM</v>
      </c>
      <c r="O23171" t="s">
        <v>70228</v>
      </c>
    </row>
    <row r="23172" spans="1:20" x14ac:dyDescent="0.25">
      <c r="A23172" t="str">
        <f>"3058716"</f>
        <v>3058716</v>
      </c>
      <c r="B23172" t="s">
        <v>70332</v>
      </c>
      <c r="C23172" t="str">
        <f>"8322647"</f>
        <v>8322647</v>
      </c>
      <c r="D23172" t="s">
        <v>70333</v>
      </c>
      <c r="E23172" t="s">
        <v>70334</v>
      </c>
      <c r="F23172" t="s">
        <v>70335</v>
      </c>
      <c r="I23172" t="s">
        <v>29</v>
      </c>
      <c r="J23172" t="s">
        <v>30</v>
      </c>
      <c r="K23172" t="s">
        <v>27281</v>
      </c>
      <c r="M23172" t="s">
        <v>50500</v>
      </c>
      <c r="N23172" t="str">
        <f>"8/2/2024 9:51:00 AM"</f>
        <v>8/2/2024 9:51:00 AM</v>
      </c>
      <c r="O23172" t="s">
        <v>70333</v>
      </c>
      <c r="T23172" t="s">
        <v>70334</v>
      </c>
    </row>
    <row r="23173" spans="1:20" x14ac:dyDescent="0.25">
      <c r="A23173" t="str">
        <f>"3051096"</f>
        <v>3051096</v>
      </c>
      <c r="B23173" t="s">
        <v>70336</v>
      </c>
      <c r="C23173" t="str">
        <f>"8319522"</f>
        <v>8319522</v>
      </c>
      <c r="D23173" t="s">
        <v>70245</v>
      </c>
      <c r="F23173" t="s">
        <v>70246</v>
      </c>
      <c r="I23173" t="s">
        <v>29</v>
      </c>
      <c r="J23173" t="s">
        <v>30</v>
      </c>
      <c r="K23173" t="s">
        <v>70247</v>
      </c>
      <c r="M23173" t="s">
        <v>18479</v>
      </c>
      <c r="N23173" t="str">
        <f>"8/2/2024 10:34:00 AM"</f>
        <v>8/2/2024 10:34:00 AM</v>
      </c>
      <c r="O23173" t="s">
        <v>70245</v>
      </c>
    </row>
    <row r="23174" spans="1:20" x14ac:dyDescent="0.25">
      <c r="A23174" t="str">
        <f>"3051064"</f>
        <v>3051064</v>
      </c>
      <c r="B23174" t="s">
        <v>70337</v>
      </c>
      <c r="C23174" t="str">
        <f>"8319522"</f>
        <v>8319522</v>
      </c>
      <c r="D23174" t="s">
        <v>70245</v>
      </c>
      <c r="F23174" t="s">
        <v>70246</v>
      </c>
      <c r="I23174" t="s">
        <v>29</v>
      </c>
      <c r="J23174" t="s">
        <v>30</v>
      </c>
      <c r="K23174" t="s">
        <v>70247</v>
      </c>
      <c r="M23174" t="s">
        <v>18479</v>
      </c>
      <c r="N23174" t="str">
        <f>"8/2/2024 10:34:00 AM"</f>
        <v>8/2/2024 10:34:00 AM</v>
      </c>
      <c r="O23174" t="s">
        <v>70245</v>
      </c>
    </row>
    <row r="23175" spans="1:20" x14ac:dyDescent="0.25">
      <c r="A23175" t="str">
        <f>"3059934"</f>
        <v>3059934</v>
      </c>
      <c r="B23175" t="s">
        <v>70338</v>
      </c>
      <c r="C23175" t="str">
        <f>"8322650"</f>
        <v>8322650</v>
      </c>
      <c r="D23175" t="s">
        <v>70339</v>
      </c>
      <c r="F23175" t="s">
        <v>70340</v>
      </c>
      <c r="I23175" t="s">
        <v>29</v>
      </c>
      <c r="J23175" t="s">
        <v>30</v>
      </c>
      <c r="K23175" t="s">
        <v>24913</v>
      </c>
      <c r="M23175" t="s">
        <v>50500</v>
      </c>
      <c r="N23175" t="str">
        <f>"8/2/2024 2:09:00 PM"</f>
        <v>8/2/2024 2:09:00 PM</v>
      </c>
      <c r="O23175" t="s">
        <v>70339</v>
      </c>
    </row>
    <row r="23176" spans="1:20" x14ac:dyDescent="0.25">
      <c r="A23176" t="str">
        <f>"3058405"</f>
        <v>3058405</v>
      </c>
      <c r="B23176" t="s">
        <v>70341</v>
      </c>
      <c r="C23176" t="str">
        <f>"82528486"</f>
        <v>82528486</v>
      </c>
      <c r="D23176" t="s">
        <v>70342</v>
      </c>
      <c r="E23176" t="s">
        <v>70343</v>
      </c>
      <c r="F23176" t="s">
        <v>70344</v>
      </c>
      <c r="G23176" t="s">
        <v>70345</v>
      </c>
      <c r="I23176" t="s">
        <v>66777</v>
      </c>
      <c r="J23176" t="s">
        <v>12725</v>
      </c>
      <c r="K23176" t="s">
        <v>70346</v>
      </c>
      <c r="M23176" t="s">
        <v>50621</v>
      </c>
      <c r="N23176" t="str">
        <f>"8/6/2024 10:12:00 AM"</f>
        <v>8/6/2024 10:12:00 AM</v>
      </c>
      <c r="O23176" t="s">
        <v>70342</v>
      </c>
      <c r="T23176" t="s">
        <v>70343</v>
      </c>
    </row>
    <row r="23177" spans="1:20" x14ac:dyDescent="0.25">
      <c r="A23177" t="str">
        <f>"3058701"</f>
        <v>3058701</v>
      </c>
      <c r="B23177" t="s">
        <v>70347</v>
      </c>
      <c r="C23177" t="str">
        <f>"8322668"</f>
        <v>8322668</v>
      </c>
      <c r="D23177" t="s">
        <v>70348</v>
      </c>
      <c r="E23177" t="s">
        <v>70349</v>
      </c>
      <c r="F23177" t="s">
        <v>70350</v>
      </c>
      <c r="I23177" t="s">
        <v>29</v>
      </c>
      <c r="J23177" t="s">
        <v>30</v>
      </c>
      <c r="K23177" t="s">
        <v>37218</v>
      </c>
      <c r="M23177" t="s">
        <v>50500</v>
      </c>
      <c r="N23177" t="str">
        <f>"8/6/2024 11:41:00 AM"</f>
        <v>8/6/2024 11:41:00 AM</v>
      </c>
      <c r="O23177" t="s">
        <v>70348</v>
      </c>
      <c r="T23177" t="s">
        <v>70349</v>
      </c>
    </row>
    <row r="23178" spans="1:20" x14ac:dyDescent="0.25">
      <c r="A23178" t="str">
        <f>"3041299"</f>
        <v>3041299</v>
      </c>
      <c r="B23178" t="s">
        <v>70351</v>
      </c>
      <c r="C23178" t="str">
        <f>"8322670"</f>
        <v>8322670</v>
      </c>
      <c r="D23178" t="s">
        <v>70352</v>
      </c>
      <c r="F23178" t="s">
        <v>70353</v>
      </c>
      <c r="I23178" t="s">
        <v>49972</v>
      </c>
      <c r="J23178" t="s">
        <v>11346</v>
      </c>
      <c r="K23178" t="s">
        <v>70354</v>
      </c>
      <c r="M23178" t="s">
        <v>50500</v>
      </c>
      <c r="N23178" t="str">
        <f>"8/6/2024 11:51:00 AM"</f>
        <v>8/6/2024 11:51:00 AM</v>
      </c>
      <c r="O23178" t="s">
        <v>70352</v>
      </c>
    </row>
    <row r="23179" spans="1:20" x14ac:dyDescent="0.25">
      <c r="A23179" t="str">
        <f>"3059518"</f>
        <v>3059518</v>
      </c>
      <c r="B23179" t="s">
        <v>70355</v>
      </c>
      <c r="C23179" t="str">
        <f>"8322673"</f>
        <v>8322673</v>
      </c>
      <c r="D23179" t="s">
        <v>70356</v>
      </c>
      <c r="E23179" t="s">
        <v>70357</v>
      </c>
      <c r="F23179" t="s">
        <v>70358</v>
      </c>
      <c r="I23179" t="s">
        <v>70359</v>
      </c>
      <c r="J23179" t="s">
        <v>30724</v>
      </c>
      <c r="K23179" t="s">
        <v>70360</v>
      </c>
      <c r="M23179" t="s">
        <v>50500</v>
      </c>
      <c r="N23179" t="str">
        <f>"8/6/2024 1:42:00 PM"</f>
        <v>8/6/2024 1:42:00 PM</v>
      </c>
      <c r="O23179" t="s">
        <v>70356</v>
      </c>
      <c r="T23179" t="s">
        <v>70357</v>
      </c>
    </row>
    <row r="23180" spans="1:20" x14ac:dyDescent="0.25">
      <c r="A23180" t="str">
        <f>"3074127"</f>
        <v>3074127</v>
      </c>
      <c r="B23180" t="s">
        <v>70361</v>
      </c>
      <c r="C23180" t="str">
        <f>"8322651"</f>
        <v>8322651</v>
      </c>
      <c r="D23180" t="s">
        <v>70362</v>
      </c>
      <c r="E23180" t="s">
        <v>12897</v>
      </c>
      <c r="F23180" t="s">
        <v>69640</v>
      </c>
      <c r="I23180" t="s">
        <v>471</v>
      </c>
      <c r="J23180" t="s">
        <v>30</v>
      </c>
      <c r="K23180" t="s">
        <v>69641</v>
      </c>
      <c r="M23180" t="s">
        <v>50500</v>
      </c>
      <c r="N23180" t="str">
        <f>"8/2/2024 2:18:00 PM"</f>
        <v>8/2/2024 2:18:00 PM</v>
      </c>
      <c r="O23180" t="s">
        <v>70362</v>
      </c>
      <c r="T23180" t="s">
        <v>12897</v>
      </c>
    </row>
    <row r="23181" spans="1:20" x14ac:dyDescent="0.25">
      <c r="A23181" t="str">
        <f>"3058961"</f>
        <v>3058961</v>
      </c>
      <c r="B23181" t="s">
        <v>70363</v>
      </c>
      <c r="C23181" t="str">
        <f>"8322652"</f>
        <v>8322652</v>
      </c>
      <c r="D23181" t="s">
        <v>70364</v>
      </c>
      <c r="F23181" t="s">
        <v>70365</v>
      </c>
      <c r="I23181" t="s">
        <v>29</v>
      </c>
      <c r="J23181" t="s">
        <v>30</v>
      </c>
      <c r="K23181" t="s">
        <v>59933</v>
      </c>
      <c r="M23181" t="s">
        <v>50500</v>
      </c>
      <c r="N23181" t="str">
        <f>"8/2/2024 2:22:00 PM"</f>
        <v>8/2/2024 2:22:00 PM</v>
      </c>
      <c r="O23181" t="s">
        <v>70364</v>
      </c>
    </row>
    <row r="23182" spans="1:20" x14ac:dyDescent="0.25">
      <c r="A23182" t="str">
        <f>"3038966"</f>
        <v>3038966</v>
      </c>
      <c r="B23182" t="s">
        <v>70366</v>
      </c>
      <c r="C23182" t="str">
        <f>"8322051"</f>
        <v>8322051</v>
      </c>
      <c r="D23182" t="s">
        <v>70367</v>
      </c>
      <c r="E23182" t="s">
        <v>70368</v>
      </c>
      <c r="F23182" t="s">
        <v>70369</v>
      </c>
      <c r="I23182" t="s">
        <v>471</v>
      </c>
      <c r="J23182" t="s">
        <v>30</v>
      </c>
      <c r="K23182" t="s">
        <v>70370</v>
      </c>
      <c r="M23182" t="s">
        <v>51351</v>
      </c>
      <c r="N23182" t="str">
        <f>"8/2/2024 2:23:00 PM"</f>
        <v>8/2/2024 2:23:00 PM</v>
      </c>
      <c r="O23182" t="s">
        <v>70367</v>
      </c>
      <c r="T23182" t="s">
        <v>70368</v>
      </c>
    </row>
    <row r="23183" spans="1:20" x14ac:dyDescent="0.25">
      <c r="A23183" t="str">
        <f>"3060271"</f>
        <v>3060271</v>
      </c>
      <c r="B23183" t="s">
        <v>70371</v>
      </c>
      <c r="C23183" t="str">
        <f>"8322653"</f>
        <v>8322653</v>
      </c>
      <c r="D23183" t="s">
        <v>70372</v>
      </c>
      <c r="F23183" t="s">
        <v>70373</v>
      </c>
      <c r="I23183" t="s">
        <v>184</v>
      </c>
      <c r="J23183" t="s">
        <v>30</v>
      </c>
      <c r="K23183" t="s">
        <v>38676</v>
      </c>
      <c r="M23183" t="s">
        <v>50500</v>
      </c>
      <c r="N23183" t="str">
        <f>"8/2/2024 2:26:00 PM"</f>
        <v>8/2/2024 2:26:00 PM</v>
      </c>
      <c r="O23183" t="s">
        <v>70372</v>
      </c>
    </row>
    <row r="23184" spans="1:20" x14ac:dyDescent="0.25">
      <c r="A23184" t="str">
        <f>"3039224"</f>
        <v>3039224</v>
      </c>
      <c r="B23184" t="s">
        <v>70374</v>
      </c>
      <c r="C23184" t="str">
        <f>"8322654"</f>
        <v>8322654</v>
      </c>
      <c r="D23184" t="s">
        <v>70375</v>
      </c>
      <c r="F23184" t="s">
        <v>70376</v>
      </c>
      <c r="I23184" t="s">
        <v>471</v>
      </c>
      <c r="J23184" t="s">
        <v>30</v>
      </c>
      <c r="K23184" t="s">
        <v>70377</v>
      </c>
      <c r="M23184" t="s">
        <v>50500</v>
      </c>
      <c r="N23184" t="str">
        <f>"8/2/2024 2:55:00 PM"</f>
        <v>8/2/2024 2:55:00 PM</v>
      </c>
      <c r="O23184" t="s">
        <v>70375</v>
      </c>
    </row>
    <row r="23185" spans="1:20" x14ac:dyDescent="0.25">
      <c r="A23185" t="str">
        <f>"3050244"</f>
        <v>3050244</v>
      </c>
      <c r="B23185" t="s">
        <v>70378</v>
      </c>
      <c r="C23185" t="str">
        <f>"8322656"</f>
        <v>8322656</v>
      </c>
      <c r="D23185" t="s">
        <v>70379</v>
      </c>
      <c r="E23185" t="s">
        <v>70380</v>
      </c>
      <c r="F23185" t="s">
        <v>70381</v>
      </c>
      <c r="I23185" t="s">
        <v>2589</v>
      </c>
      <c r="J23185" t="s">
        <v>30</v>
      </c>
      <c r="K23185" t="s">
        <v>70382</v>
      </c>
      <c r="M23185" t="s">
        <v>50500</v>
      </c>
      <c r="N23185" t="str">
        <f>"8/5/2024 8:42:00 AM"</f>
        <v>8/5/2024 8:42:00 AM</v>
      </c>
      <c r="O23185" t="s">
        <v>70379</v>
      </c>
      <c r="T23185" t="s">
        <v>70380</v>
      </c>
    </row>
    <row r="23186" spans="1:20" x14ac:dyDescent="0.25">
      <c r="A23186" t="str">
        <f>"3053453"</f>
        <v>3053453</v>
      </c>
      <c r="B23186" t="s">
        <v>70383</v>
      </c>
      <c r="C23186" t="str">
        <f>"8322685"</f>
        <v>8322685</v>
      </c>
      <c r="D23186" t="s">
        <v>70384</v>
      </c>
      <c r="E23186" t="s">
        <v>70385</v>
      </c>
      <c r="F23186" t="s">
        <v>70386</v>
      </c>
      <c r="I23186" t="s">
        <v>29</v>
      </c>
      <c r="J23186" t="s">
        <v>30</v>
      </c>
      <c r="K23186" t="s">
        <v>13624</v>
      </c>
      <c r="M23186" t="s">
        <v>50500</v>
      </c>
      <c r="N23186" t="str">
        <f>"8/6/2024 4:02:00 PM"</f>
        <v>8/6/2024 4:02:00 PM</v>
      </c>
      <c r="O23186" t="s">
        <v>70384</v>
      </c>
      <c r="T23186" t="s">
        <v>70385</v>
      </c>
    </row>
    <row r="23187" spans="1:20" x14ac:dyDescent="0.25">
      <c r="A23187" t="str">
        <f>"3043127"</f>
        <v>3043127</v>
      </c>
      <c r="B23187" t="s">
        <v>70387</v>
      </c>
      <c r="C23187" t="str">
        <f>"8322686"</f>
        <v>8322686</v>
      </c>
      <c r="D23187" t="s">
        <v>70388</v>
      </c>
      <c r="E23187" t="s">
        <v>70389</v>
      </c>
      <c r="F23187" t="s">
        <v>70390</v>
      </c>
      <c r="I23187" t="s">
        <v>41836</v>
      </c>
      <c r="J23187" t="s">
        <v>2109</v>
      </c>
      <c r="K23187" t="s">
        <v>70391</v>
      </c>
      <c r="M23187" t="s">
        <v>50500</v>
      </c>
      <c r="N23187" t="str">
        <f>"8/6/2024 4:06:00 PM"</f>
        <v>8/6/2024 4:06:00 PM</v>
      </c>
      <c r="O23187" t="s">
        <v>70388</v>
      </c>
      <c r="T23187" t="s">
        <v>70389</v>
      </c>
    </row>
    <row r="23188" spans="1:20" x14ac:dyDescent="0.25">
      <c r="A23188" t="str">
        <f>"3043121"</f>
        <v>3043121</v>
      </c>
      <c r="B23188" t="s">
        <v>70392</v>
      </c>
      <c r="C23188" t="str">
        <f>"8322686"</f>
        <v>8322686</v>
      </c>
      <c r="D23188" t="s">
        <v>70388</v>
      </c>
      <c r="E23188" t="s">
        <v>70389</v>
      </c>
      <c r="F23188" t="s">
        <v>70390</v>
      </c>
      <c r="I23188" t="s">
        <v>41836</v>
      </c>
      <c r="J23188" t="s">
        <v>2109</v>
      </c>
      <c r="K23188" t="s">
        <v>70391</v>
      </c>
      <c r="M23188" t="s">
        <v>50500</v>
      </c>
      <c r="N23188" t="str">
        <f>"8/6/2024 4:06:00 PM"</f>
        <v>8/6/2024 4:06:00 PM</v>
      </c>
      <c r="O23188" t="s">
        <v>70388</v>
      </c>
      <c r="T23188" t="s">
        <v>70389</v>
      </c>
    </row>
    <row r="23189" spans="1:20" x14ac:dyDescent="0.25">
      <c r="A23189" t="str">
        <f>"3061495"</f>
        <v>3061495</v>
      </c>
      <c r="B23189" t="s">
        <v>70393</v>
      </c>
      <c r="C23189" t="str">
        <f>"8322687"</f>
        <v>8322687</v>
      </c>
      <c r="D23189" t="s">
        <v>70394</v>
      </c>
      <c r="E23189" t="s">
        <v>70395</v>
      </c>
      <c r="F23189" t="s">
        <v>70396</v>
      </c>
      <c r="I23189" t="s">
        <v>184</v>
      </c>
      <c r="J23189" t="s">
        <v>30</v>
      </c>
      <c r="K23189" t="s">
        <v>2238</v>
      </c>
      <c r="M23189" t="s">
        <v>50500</v>
      </c>
      <c r="N23189" t="str">
        <f>"8/6/2024 4:15:00 PM"</f>
        <v>8/6/2024 4:15:00 PM</v>
      </c>
      <c r="O23189" t="s">
        <v>70394</v>
      </c>
      <c r="T23189" t="s">
        <v>70395</v>
      </c>
    </row>
    <row r="23190" spans="1:20" x14ac:dyDescent="0.25">
      <c r="A23190" t="str">
        <f>"3062757"</f>
        <v>3062757</v>
      </c>
      <c r="B23190" t="s">
        <v>70397</v>
      </c>
      <c r="C23190" t="str">
        <f>"8322689"</f>
        <v>8322689</v>
      </c>
      <c r="D23190" t="s">
        <v>70398</v>
      </c>
      <c r="F23190" t="s">
        <v>70399</v>
      </c>
      <c r="I23190" t="s">
        <v>2071</v>
      </c>
      <c r="J23190" t="s">
        <v>30</v>
      </c>
      <c r="K23190" t="s">
        <v>35875</v>
      </c>
      <c r="M23190" t="s">
        <v>50500</v>
      </c>
      <c r="N23190" t="str">
        <f>"8/6/2024 4:23:00 PM"</f>
        <v>8/6/2024 4:23:00 PM</v>
      </c>
      <c r="O23190" t="s">
        <v>70398</v>
      </c>
    </row>
    <row r="23191" spans="1:20" x14ac:dyDescent="0.25">
      <c r="A23191" t="str">
        <f>"3040762"</f>
        <v>3040762</v>
      </c>
      <c r="B23191" t="s">
        <v>70400</v>
      </c>
      <c r="C23191" t="str">
        <f>"8322690"</f>
        <v>8322690</v>
      </c>
      <c r="D23191" t="s">
        <v>70401</v>
      </c>
      <c r="E23191" t="s">
        <v>70402</v>
      </c>
      <c r="F23191" t="s">
        <v>70403</v>
      </c>
      <c r="I23191" t="s">
        <v>29</v>
      </c>
      <c r="J23191" t="s">
        <v>30</v>
      </c>
      <c r="K23191" t="s">
        <v>5281</v>
      </c>
      <c r="M23191" t="s">
        <v>50500</v>
      </c>
      <c r="N23191" t="str">
        <f>"8/7/2024 7:22:00 AM"</f>
        <v>8/7/2024 7:22:00 AM</v>
      </c>
      <c r="O23191" t="s">
        <v>70401</v>
      </c>
      <c r="T23191" t="s">
        <v>70402</v>
      </c>
    </row>
    <row r="23192" spans="1:20" x14ac:dyDescent="0.25">
      <c r="A23192" t="str">
        <f>"3043307"</f>
        <v>3043307</v>
      </c>
      <c r="B23192" t="s">
        <v>70404</v>
      </c>
      <c r="C23192" t="str">
        <f>"8322691"</f>
        <v>8322691</v>
      </c>
      <c r="D23192" t="s">
        <v>70405</v>
      </c>
      <c r="F23192" t="s">
        <v>70406</v>
      </c>
      <c r="I23192" t="s">
        <v>29</v>
      </c>
      <c r="J23192" t="s">
        <v>30</v>
      </c>
      <c r="K23192" t="s">
        <v>49051</v>
      </c>
      <c r="M23192" t="s">
        <v>50500</v>
      </c>
      <c r="N23192" t="str">
        <f>"8/7/2024 7:36:00 AM"</f>
        <v>8/7/2024 7:36:00 AM</v>
      </c>
      <c r="O23192" t="s">
        <v>70405</v>
      </c>
    </row>
    <row r="23193" spans="1:20" x14ac:dyDescent="0.25">
      <c r="A23193" t="str">
        <f>"3061830"</f>
        <v>3061830</v>
      </c>
      <c r="B23193" t="s">
        <v>70407</v>
      </c>
      <c r="C23193" t="str">
        <f>"8322692"</f>
        <v>8322692</v>
      </c>
      <c r="D23193" t="s">
        <v>70408</v>
      </c>
      <c r="E23193" t="s">
        <v>70409</v>
      </c>
      <c r="F23193" t="s">
        <v>70410</v>
      </c>
      <c r="I23193" t="s">
        <v>184</v>
      </c>
      <c r="J23193" t="s">
        <v>30</v>
      </c>
      <c r="K23193" t="s">
        <v>70411</v>
      </c>
      <c r="M23193" t="s">
        <v>50500</v>
      </c>
      <c r="N23193" t="str">
        <f>"8/7/2024 7:41:00 AM"</f>
        <v>8/7/2024 7:41:00 AM</v>
      </c>
      <c r="O23193" t="s">
        <v>70408</v>
      </c>
      <c r="T23193" t="s">
        <v>70409</v>
      </c>
    </row>
    <row r="23194" spans="1:20" x14ac:dyDescent="0.25">
      <c r="A23194" t="str">
        <f>"3078294"</f>
        <v>3078294</v>
      </c>
      <c r="B23194" t="s">
        <v>70412</v>
      </c>
      <c r="C23194" t="str">
        <f>"8322693"</f>
        <v>8322693</v>
      </c>
      <c r="D23194" t="s">
        <v>36947</v>
      </c>
      <c r="E23194" t="s">
        <v>70413</v>
      </c>
      <c r="F23194" t="s">
        <v>36948</v>
      </c>
      <c r="I23194" t="s">
        <v>184</v>
      </c>
      <c r="J23194" t="s">
        <v>30</v>
      </c>
      <c r="K23194" t="s">
        <v>18622</v>
      </c>
      <c r="M23194" t="s">
        <v>50500</v>
      </c>
      <c r="N23194" t="str">
        <f>"8/7/2024 7:46:00 AM"</f>
        <v>8/7/2024 7:46:00 AM</v>
      </c>
      <c r="O23194" t="s">
        <v>36947</v>
      </c>
      <c r="T23194" t="s">
        <v>70413</v>
      </c>
    </row>
    <row r="23195" spans="1:20" x14ac:dyDescent="0.25">
      <c r="A23195" t="str">
        <f>"3049583"</f>
        <v>3049583</v>
      </c>
      <c r="B23195" t="s">
        <v>70414</v>
      </c>
      <c r="C23195" t="str">
        <f>"8322693"</f>
        <v>8322693</v>
      </c>
      <c r="D23195" t="s">
        <v>36947</v>
      </c>
      <c r="E23195" t="s">
        <v>70413</v>
      </c>
      <c r="F23195" t="s">
        <v>36948</v>
      </c>
      <c r="I23195" t="s">
        <v>184</v>
      </c>
      <c r="J23195" t="s">
        <v>30</v>
      </c>
      <c r="K23195" t="s">
        <v>18622</v>
      </c>
      <c r="M23195" t="s">
        <v>50500</v>
      </c>
      <c r="N23195" t="str">
        <f>"8/7/2024 7:46:00 AM"</f>
        <v>8/7/2024 7:46:00 AM</v>
      </c>
      <c r="O23195" t="s">
        <v>36947</v>
      </c>
      <c r="T23195" t="s">
        <v>70413</v>
      </c>
    </row>
    <row r="23196" spans="1:20" x14ac:dyDescent="0.25">
      <c r="A23196" t="str">
        <f>"3078004"</f>
        <v>3078004</v>
      </c>
      <c r="B23196" t="s">
        <v>70415</v>
      </c>
      <c r="C23196" t="str">
        <f>"8322694"</f>
        <v>8322694</v>
      </c>
      <c r="D23196" t="s">
        <v>70416</v>
      </c>
      <c r="E23196" t="s">
        <v>70417</v>
      </c>
      <c r="F23196" t="s">
        <v>70418</v>
      </c>
      <c r="I23196" t="s">
        <v>184</v>
      </c>
      <c r="J23196" t="s">
        <v>30</v>
      </c>
      <c r="K23196" t="s">
        <v>34813</v>
      </c>
      <c r="M23196" t="s">
        <v>50500</v>
      </c>
      <c r="N23196" t="str">
        <f>"8/7/2024 7:51:00 AM"</f>
        <v>8/7/2024 7:51:00 AM</v>
      </c>
      <c r="O23196" t="s">
        <v>70416</v>
      </c>
      <c r="T23196" t="s">
        <v>70417</v>
      </c>
    </row>
    <row r="23197" spans="1:20" x14ac:dyDescent="0.25">
      <c r="A23197" t="str">
        <f>"3041484"</f>
        <v>3041484</v>
      </c>
      <c r="B23197" t="s">
        <v>70419</v>
      </c>
      <c r="C23197" t="str">
        <f>"8322695"</f>
        <v>8322695</v>
      </c>
      <c r="D23197" t="s">
        <v>70420</v>
      </c>
      <c r="E23197" t="s">
        <v>70421</v>
      </c>
      <c r="F23197" t="s">
        <v>70422</v>
      </c>
      <c r="I23197" t="s">
        <v>184</v>
      </c>
      <c r="J23197" t="s">
        <v>30</v>
      </c>
      <c r="K23197" t="s">
        <v>22356</v>
      </c>
      <c r="M23197" t="s">
        <v>50500</v>
      </c>
      <c r="N23197" t="str">
        <f>"8/7/2024 7:55:00 AM"</f>
        <v>8/7/2024 7:55:00 AM</v>
      </c>
      <c r="O23197" t="s">
        <v>70420</v>
      </c>
      <c r="T23197" t="s">
        <v>70421</v>
      </c>
    </row>
    <row r="23198" spans="1:20" x14ac:dyDescent="0.25">
      <c r="A23198" t="str">
        <f>"3062676"</f>
        <v>3062676</v>
      </c>
      <c r="B23198" t="s">
        <v>70423</v>
      </c>
      <c r="C23198" t="str">
        <f>"8322696"</f>
        <v>8322696</v>
      </c>
      <c r="D23198" t="s">
        <v>70424</v>
      </c>
      <c r="E23198" t="s">
        <v>70425</v>
      </c>
      <c r="F23198" t="s">
        <v>70426</v>
      </c>
      <c r="I23198" t="s">
        <v>184</v>
      </c>
      <c r="J23198" t="s">
        <v>30</v>
      </c>
      <c r="K23198" t="s">
        <v>5214</v>
      </c>
      <c r="M23198" t="s">
        <v>50500</v>
      </c>
      <c r="N23198" t="str">
        <f>"8/7/2024 8:00:00 AM"</f>
        <v>8/7/2024 8:00:00 AM</v>
      </c>
      <c r="O23198" t="s">
        <v>70424</v>
      </c>
      <c r="T23198" t="s">
        <v>70425</v>
      </c>
    </row>
    <row r="23199" spans="1:20" x14ac:dyDescent="0.25">
      <c r="A23199" t="str">
        <f>"3040020"</f>
        <v>3040020</v>
      </c>
      <c r="B23199" t="s">
        <v>70427</v>
      </c>
      <c r="C23199" t="str">
        <f>"8317146"</f>
        <v>8317146</v>
      </c>
      <c r="D23199" t="s">
        <v>70428</v>
      </c>
      <c r="E23199" t="s">
        <v>70429</v>
      </c>
      <c r="F23199" t="s">
        <v>70430</v>
      </c>
      <c r="I23199" t="s">
        <v>29</v>
      </c>
      <c r="J23199" t="s">
        <v>30</v>
      </c>
      <c r="K23199" t="s">
        <v>70431</v>
      </c>
      <c r="M23199" t="s">
        <v>51351</v>
      </c>
      <c r="N23199" t="str">
        <f>"8/7/2024 8:44:00 AM"</f>
        <v>8/7/2024 8:44:00 AM</v>
      </c>
      <c r="O23199" t="s">
        <v>70428</v>
      </c>
      <c r="T23199" t="s">
        <v>70429</v>
      </c>
    </row>
    <row r="23200" spans="1:20" x14ac:dyDescent="0.25">
      <c r="A23200" t="str">
        <f>"3040163"</f>
        <v>3040163</v>
      </c>
      <c r="B23200" t="s">
        <v>70432</v>
      </c>
      <c r="C23200" t="str">
        <f>"8317146"</f>
        <v>8317146</v>
      </c>
      <c r="D23200" t="s">
        <v>70428</v>
      </c>
      <c r="E23200" t="s">
        <v>70429</v>
      </c>
      <c r="F23200" t="s">
        <v>70430</v>
      </c>
      <c r="I23200" t="s">
        <v>29</v>
      </c>
      <c r="J23200" t="s">
        <v>30</v>
      </c>
      <c r="K23200" t="s">
        <v>70431</v>
      </c>
      <c r="M23200" t="s">
        <v>51351</v>
      </c>
      <c r="N23200" t="str">
        <f>"8/7/2024 8:44:00 AM"</f>
        <v>8/7/2024 8:44:00 AM</v>
      </c>
      <c r="O23200" t="s">
        <v>70428</v>
      </c>
      <c r="T23200" t="s">
        <v>70429</v>
      </c>
    </row>
    <row r="23201" spans="1:20" x14ac:dyDescent="0.25">
      <c r="A23201" t="str">
        <f>"3042095"</f>
        <v>3042095</v>
      </c>
      <c r="B23201" t="s">
        <v>70433</v>
      </c>
      <c r="C23201" t="str">
        <f>"82529848"</f>
        <v>82529848</v>
      </c>
      <c r="D23201" t="s">
        <v>70434</v>
      </c>
      <c r="E23201" t="s">
        <v>70435</v>
      </c>
      <c r="F23201" t="str">
        <f>"C/0 JO ANNE GROSE"</f>
        <v>C/0 JO ANNE GROSE</v>
      </c>
      <c r="G23201" t="s">
        <v>70436</v>
      </c>
      <c r="I23201" t="s">
        <v>29</v>
      </c>
      <c r="J23201" t="s">
        <v>30</v>
      </c>
      <c r="K23201" t="s">
        <v>36361</v>
      </c>
      <c r="M23201" t="s">
        <v>51351</v>
      </c>
      <c r="N23201" t="str">
        <f>"8/7/2024 9:31:00 AM"</f>
        <v>8/7/2024 9:31:00 AM</v>
      </c>
      <c r="O23201" t="s">
        <v>70434</v>
      </c>
      <c r="T23201" t="s">
        <v>70435</v>
      </c>
    </row>
    <row r="23202" spans="1:20" x14ac:dyDescent="0.25">
      <c r="A23202" t="str">
        <f>"3063385"</f>
        <v>3063385</v>
      </c>
      <c r="B23202" t="s">
        <v>70437</v>
      </c>
      <c r="C23202" t="str">
        <f>"8322700"</f>
        <v>8322700</v>
      </c>
      <c r="D23202" t="s">
        <v>70438</v>
      </c>
      <c r="E23202" t="s">
        <v>70439</v>
      </c>
      <c r="F23202" t="s">
        <v>70440</v>
      </c>
      <c r="I23202" t="s">
        <v>29</v>
      </c>
      <c r="J23202" t="s">
        <v>30</v>
      </c>
      <c r="K23202" t="s">
        <v>68180</v>
      </c>
      <c r="M23202" t="s">
        <v>50500</v>
      </c>
      <c r="N23202" t="str">
        <f>"8/7/2024 10:55:00 AM"</f>
        <v>8/7/2024 10:55:00 AM</v>
      </c>
      <c r="O23202" t="s">
        <v>70438</v>
      </c>
      <c r="T23202" t="s">
        <v>70439</v>
      </c>
    </row>
    <row r="23203" spans="1:20" x14ac:dyDescent="0.25">
      <c r="A23203" t="str">
        <f>"3055101"</f>
        <v>3055101</v>
      </c>
      <c r="B23203" t="s">
        <v>70441</v>
      </c>
      <c r="C23203" t="str">
        <f>"8322657"</f>
        <v>8322657</v>
      </c>
      <c r="D23203" t="s">
        <v>70442</v>
      </c>
      <c r="F23203" t="s">
        <v>70443</v>
      </c>
      <c r="I23203" t="s">
        <v>40897</v>
      </c>
      <c r="J23203" t="s">
        <v>30</v>
      </c>
      <c r="K23203" t="s">
        <v>70444</v>
      </c>
      <c r="M23203" t="s">
        <v>50500</v>
      </c>
      <c r="N23203" t="str">
        <f>"8/5/2024 8:49:00 AM"</f>
        <v>8/5/2024 8:49:00 AM</v>
      </c>
      <c r="O23203" t="s">
        <v>70442</v>
      </c>
    </row>
    <row r="23204" spans="1:20" x14ac:dyDescent="0.25">
      <c r="A23204" t="str">
        <f>"3067020"</f>
        <v>3067020</v>
      </c>
      <c r="B23204" t="s">
        <v>70445</v>
      </c>
      <c r="C23204" t="str">
        <f>"8322641"</f>
        <v>8322641</v>
      </c>
      <c r="D23204" t="s">
        <v>70446</v>
      </c>
      <c r="E23204" t="s">
        <v>70447</v>
      </c>
      <c r="F23204" t="s">
        <v>70448</v>
      </c>
      <c r="I23204" t="s">
        <v>29</v>
      </c>
      <c r="J23204" t="s">
        <v>30</v>
      </c>
      <c r="K23204" t="s">
        <v>13437</v>
      </c>
      <c r="M23204" t="s">
        <v>50500</v>
      </c>
      <c r="N23204" t="str">
        <f>"8/1/2024 8:42:00 AM"</f>
        <v>8/1/2024 8:42:00 AM</v>
      </c>
      <c r="O23204" t="s">
        <v>70446</v>
      </c>
      <c r="T23204" t="s">
        <v>70447</v>
      </c>
    </row>
    <row r="23205" spans="1:20" x14ac:dyDescent="0.25">
      <c r="A23205" t="str">
        <f>"3039084"</f>
        <v>3039084</v>
      </c>
      <c r="B23205" t="s">
        <v>70449</v>
      </c>
      <c r="C23205" t="str">
        <f>"51554880"</f>
        <v>51554880</v>
      </c>
      <c r="D23205" t="s">
        <v>70450</v>
      </c>
      <c r="E23205" t="s">
        <v>70451</v>
      </c>
      <c r="F23205" t="s">
        <v>70452</v>
      </c>
      <c r="I23205" t="s">
        <v>29</v>
      </c>
      <c r="J23205" t="s">
        <v>30</v>
      </c>
      <c r="K23205" t="str">
        <f>"27028"</f>
        <v>27028</v>
      </c>
      <c r="M23205" t="s">
        <v>52111</v>
      </c>
      <c r="N23205" t="str">
        <f>"8/7/2024 12:48:00 PM"</f>
        <v>8/7/2024 12:48:00 PM</v>
      </c>
      <c r="O23205" t="s">
        <v>70450</v>
      </c>
      <c r="T23205" t="s">
        <v>70451</v>
      </c>
    </row>
    <row r="23206" spans="1:20" x14ac:dyDescent="0.25">
      <c r="A23206" t="str">
        <f>"3039116"</f>
        <v>3039116</v>
      </c>
      <c r="B23206" t="s">
        <v>70453</v>
      </c>
      <c r="C23206" t="str">
        <f>"51554880"</f>
        <v>51554880</v>
      </c>
      <c r="D23206" t="s">
        <v>70450</v>
      </c>
      <c r="E23206" t="s">
        <v>70451</v>
      </c>
      <c r="F23206" t="s">
        <v>70452</v>
      </c>
      <c r="I23206" t="s">
        <v>29</v>
      </c>
      <c r="J23206" t="s">
        <v>30</v>
      </c>
      <c r="K23206" t="str">
        <f>"27028"</f>
        <v>27028</v>
      </c>
      <c r="M23206" t="s">
        <v>52111</v>
      </c>
      <c r="N23206" t="str">
        <f>"8/7/2024 12:48:00 PM"</f>
        <v>8/7/2024 12:48:00 PM</v>
      </c>
      <c r="O23206" t="s">
        <v>70450</v>
      </c>
      <c r="T23206" t="s">
        <v>70451</v>
      </c>
    </row>
    <row r="23207" spans="1:20" x14ac:dyDescent="0.25">
      <c r="A23207" t="str">
        <f>"3039113"</f>
        <v>3039113</v>
      </c>
      <c r="B23207" t="s">
        <v>70454</v>
      </c>
      <c r="C23207" t="str">
        <f>"51554880"</f>
        <v>51554880</v>
      </c>
      <c r="D23207" t="s">
        <v>70450</v>
      </c>
      <c r="E23207" t="s">
        <v>70451</v>
      </c>
      <c r="F23207" t="s">
        <v>70452</v>
      </c>
      <c r="I23207" t="s">
        <v>29</v>
      </c>
      <c r="J23207" t="s">
        <v>30</v>
      </c>
      <c r="K23207" t="str">
        <f>"27028"</f>
        <v>27028</v>
      </c>
      <c r="M23207" t="s">
        <v>52111</v>
      </c>
      <c r="N23207" t="str">
        <f>"8/7/2024 12:48:00 PM"</f>
        <v>8/7/2024 12:48:00 PM</v>
      </c>
      <c r="O23207" t="s">
        <v>70450</v>
      </c>
      <c r="T23207" t="s">
        <v>70451</v>
      </c>
    </row>
    <row r="23208" spans="1:20" x14ac:dyDescent="0.25">
      <c r="A23208" t="str">
        <f>"3038693"</f>
        <v>3038693</v>
      </c>
      <c r="B23208" t="s">
        <v>70455</v>
      </c>
      <c r="C23208" t="str">
        <f>"51554880"</f>
        <v>51554880</v>
      </c>
      <c r="D23208" t="s">
        <v>70450</v>
      </c>
      <c r="E23208" t="s">
        <v>70451</v>
      </c>
      <c r="F23208" t="s">
        <v>70452</v>
      </c>
      <c r="I23208" t="s">
        <v>29</v>
      </c>
      <c r="J23208" t="s">
        <v>30</v>
      </c>
      <c r="K23208" t="str">
        <f>"27028"</f>
        <v>27028</v>
      </c>
      <c r="M23208" t="s">
        <v>52111</v>
      </c>
      <c r="N23208" t="str">
        <f>"8/7/2024 12:48:00 PM"</f>
        <v>8/7/2024 12:48:00 PM</v>
      </c>
      <c r="O23208" t="s">
        <v>70450</v>
      </c>
      <c r="T23208" t="s">
        <v>70451</v>
      </c>
    </row>
    <row r="23209" spans="1:20" x14ac:dyDescent="0.25">
      <c r="A23209" t="str">
        <f>"3054558"</f>
        <v>3054558</v>
      </c>
      <c r="B23209" t="s">
        <v>70456</v>
      </c>
      <c r="C23209" t="str">
        <f>"51554880"</f>
        <v>51554880</v>
      </c>
      <c r="D23209" t="s">
        <v>70450</v>
      </c>
      <c r="E23209" t="s">
        <v>70451</v>
      </c>
      <c r="F23209" t="s">
        <v>70452</v>
      </c>
      <c r="I23209" t="s">
        <v>29</v>
      </c>
      <c r="J23209" t="s">
        <v>30</v>
      </c>
      <c r="K23209" t="str">
        <f>"27028"</f>
        <v>27028</v>
      </c>
      <c r="M23209" t="s">
        <v>52111</v>
      </c>
      <c r="N23209" t="str">
        <f>"8/7/2024 12:48:00 PM"</f>
        <v>8/7/2024 12:48:00 PM</v>
      </c>
      <c r="O23209" t="s">
        <v>70450</v>
      </c>
      <c r="T23209" t="s">
        <v>70451</v>
      </c>
    </row>
    <row r="23210" spans="1:20" x14ac:dyDescent="0.25">
      <c r="A23210" t="str">
        <f>"3057032"</f>
        <v>3057032</v>
      </c>
      <c r="B23210" t="s">
        <v>70457</v>
      </c>
      <c r="C23210" t="str">
        <f>"8322703"</f>
        <v>8322703</v>
      </c>
      <c r="D23210" t="s">
        <v>7320</v>
      </c>
      <c r="E23210" t="s">
        <v>70458</v>
      </c>
      <c r="F23210" t="s">
        <v>70459</v>
      </c>
      <c r="I23210" t="s">
        <v>29</v>
      </c>
      <c r="J23210" t="s">
        <v>30</v>
      </c>
      <c r="K23210" t="s">
        <v>70460</v>
      </c>
      <c r="M23210" t="s">
        <v>50500</v>
      </c>
      <c r="N23210" t="str">
        <f>"8/7/2024 2:31:00 PM"</f>
        <v>8/7/2024 2:31:00 PM</v>
      </c>
      <c r="O23210" t="s">
        <v>7320</v>
      </c>
      <c r="T23210" t="s">
        <v>70458</v>
      </c>
    </row>
    <row r="23211" spans="1:20" x14ac:dyDescent="0.25">
      <c r="A23211" t="str">
        <f>"3078707"</f>
        <v>3078707</v>
      </c>
      <c r="B23211" t="s">
        <v>70461</v>
      </c>
      <c r="C23211" t="str">
        <f>"8322704"</f>
        <v>8322704</v>
      </c>
      <c r="D23211" t="s">
        <v>70462</v>
      </c>
      <c r="E23211" t="s">
        <v>70463</v>
      </c>
      <c r="F23211" t="s">
        <v>70464</v>
      </c>
      <c r="I23211" t="s">
        <v>29</v>
      </c>
      <c r="J23211" t="s">
        <v>30</v>
      </c>
      <c r="K23211" t="s">
        <v>24992</v>
      </c>
      <c r="M23211" t="s">
        <v>50500</v>
      </c>
      <c r="N23211" t="str">
        <f>"8/7/2024 3:01:00 PM"</f>
        <v>8/7/2024 3:01:00 PM</v>
      </c>
      <c r="O23211" t="s">
        <v>70462</v>
      </c>
      <c r="T23211" t="s">
        <v>70463</v>
      </c>
    </row>
    <row r="23212" spans="1:20" x14ac:dyDescent="0.25">
      <c r="A23212" t="str">
        <f>"3039959"</f>
        <v>3039959</v>
      </c>
      <c r="B23212" t="s">
        <v>70465</v>
      </c>
      <c r="C23212" t="str">
        <f>"8948000"</f>
        <v>8948000</v>
      </c>
      <c r="D23212" t="s">
        <v>70466</v>
      </c>
      <c r="E23212" t="s">
        <v>70467</v>
      </c>
      <c r="F23212" t="s">
        <v>70468</v>
      </c>
      <c r="G23212" t="s">
        <v>70469</v>
      </c>
      <c r="I23212" t="s">
        <v>402</v>
      </c>
      <c r="J23212" t="s">
        <v>30</v>
      </c>
      <c r="K23212" t="s">
        <v>70470</v>
      </c>
      <c r="M23212" t="s">
        <v>49684</v>
      </c>
      <c r="N23212" t="str">
        <f>"8/7/2024 3:37:00 PM"</f>
        <v>8/7/2024 3:37:00 PM</v>
      </c>
      <c r="O23212" t="s">
        <v>70466</v>
      </c>
      <c r="T23212" t="s">
        <v>70467</v>
      </c>
    </row>
    <row r="23213" spans="1:20" x14ac:dyDescent="0.25">
      <c r="A23213" t="str">
        <f>"3050143"</f>
        <v>3050143</v>
      </c>
      <c r="B23213" t="s">
        <v>70471</v>
      </c>
      <c r="C23213" t="str">
        <f>"8322706"</f>
        <v>8322706</v>
      </c>
      <c r="D23213" t="s">
        <v>70472</v>
      </c>
      <c r="E23213" t="s">
        <v>70473</v>
      </c>
      <c r="F23213" t="s">
        <v>70474</v>
      </c>
      <c r="I23213" t="s">
        <v>29</v>
      </c>
      <c r="J23213" t="s">
        <v>30</v>
      </c>
      <c r="K23213" t="s">
        <v>39386</v>
      </c>
      <c r="M23213" t="s">
        <v>50500</v>
      </c>
      <c r="N23213" t="str">
        <f>"8/8/2024 8:33:00 AM"</f>
        <v>8/8/2024 8:33:00 AM</v>
      </c>
      <c r="O23213" t="s">
        <v>70472</v>
      </c>
      <c r="T23213" t="s">
        <v>70473</v>
      </c>
    </row>
    <row r="23214" spans="1:20" x14ac:dyDescent="0.25">
      <c r="A23214" t="str">
        <f>"3044838"</f>
        <v>3044838</v>
      </c>
      <c r="B23214" t="s">
        <v>70475</v>
      </c>
      <c r="C23214" t="str">
        <f>"8322707"</f>
        <v>8322707</v>
      </c>
      <c r="D23214" t="s">
        <v>70476</v>
      </c>
      <c r="F23214" t="s">
        <v>70477</v>
      </c>
      <c r="I23214" t="s">
        <v>184</v>
      </c>
      <c r="J23214" t="s">
        <v>30</v>
      </c>
      <c r="K23214" t="s">
        <v>5929</v>
      </c>
      <c r="M23214" t="s">
        <v>50500</v>
      </c>
      <c r="N23214" t="str">
        <f>"8/8/2024 8:39:00 AM"</f>
        <v>8/8/2024 8:39:00 AM</v>
      </c>
      <c r="O23214" t="s">
        <v>70476</v>
      </c>
    </row>
    <row r="23215" spans="1:20" x14ac:dyDescent="0.25">
      <c r="A23215" t="str">
        <f>"3050476"</f>
        <v>3050476</v>
      </c>
      <c r="B23215" t="s">
        <v>70478</v>
      </c>
      <c r="C23215" t="str">
        <f>"8322708"</f>
        <v>8322708</v>
      </c>
      <c r="D23215" t="s">
        <v>70479</v>
      </c>
      <c r="F23215" t="s">
        <v>70480</v>
      </c>
      <c r="I23215" t="s">
        <v>29</v>
      </c>
      <c r="J23215" t="s">
        <v>30</v>
      </c>
      <c r="K23215" t="s">
        <v>42439</v>
      </c>
      <c r="M23215" t="s">
        <v>50500</v>
      </c>
      <c r="N23215" t="str">
        <f>"8/8/2024 8:46:00 AM"</f>
        <v>8/8/2024 8:46:00 AM</v>
      </c>
      <c r="O23215" t="s">
        <v>70479</v>
      </c>
    </row>
    <row r="23216" spans="1:20" x14ac:dyDescent="0.25">
      <c r="A23216" t="str">
        <f>"3076997"</f>
        <v>3076997</v>
      </c>
      <c r="B23216" t="s">
        <v>70481</v>
      </c>
      <c r="C23216" t="str">
        <f>"8322709"</f>
        <v>8322709</v>
      </c>
      <c r="D23216" t="s">
        <v>70482</v>
      </c>
      <c r="E23216" t="s">
        <v>70483</v>
      </c>
      <c r="F23216" t="s">
        <v>70484</v>
      </c>
      <c r="I23216" t="s">
        <v>29</v>
      </c>
      <c r="J23216" t="s">
        <v>30</v>
      </c>
      <c r="K23216" t="s">
        <v>70485</v>
      </c>
      <c r="M23216" t="s">
        <v>50500</v>
      </c>
      <c r="N23216" t="str">
        <f>"8/8/2024 8:52:00 AM"</f>
        <v>8/8/2024 8:52:00 AM</v>
      </c>
      <c r="O23216" t="s">
        <v>70482</v>
      </c>
      <c r="T23216" t="s">
        <v>70483</v>
      </c>
    </row>
    <row r="23217" spans="1:21" x14ac:dyDescent="0.25">
      <c r="A23217" t="str">
        <f>"3078404"</f>
        <v>3078404</v>
      </c>
      <c r="B23217" t="s">
        <v>70486</v>
      </c>
      <c r="C23217" t="str">
        <f>"8322711"</f>
        <v>8322711</v>
      </c>
      <c r="D23217" t="s">
        <v>70487</v>
      </c>
      <c r="F23217" t="s">
        <v>70488</v>
      </c>
      <c r="I23217" t="s">
        <v>29</v>
      </c>
      <c r="J23217" t="s">
        <v>30</v>
      </c>
      <c r="K23217" t="s">
        <v>9401</v>
      </c>
      <c r="M23217" t="s">
        <v>50500</v>
      </c>
      <c r="N23217" t="str">
        <f>"8/8/2024 9:23:00 AM"</f>
        <v>8/8/2024 9:23:00 AM</v>
      </c>
      <c r="O23217" t="s">
        <v>70487</v>
      </c>
    </row>
    <row r="23218" spans="1:21" x14ac:dyDescent="0.25">
      <c r="A23218" t="str">
        <f>"3051615"</f>
        <v>3051615</v>
      </c>
      <c r="B23218" t="s">
        <v>70489</v>
      </c>
      <c r="C23218" t="str">
        <f>"8322711"</f>
        <v>8322711</v>
      </c>
      <c r="D23218" t="s">
        <v>70487</v>
      </c>
      <c r="F23218" t="s">
        <v>70488</v>
      </c>
      <c r="I23218" t="s">
        <v>29</v>
      </c>
      <c r="J23218" t="s">
        <v>30</v>
      </c>
      <c r="K23218" t="s">
        <v>9401</v>
      </c>
      <c r="M23218" t="s">
        <v>50500</v>
      </c>
      <c r="N23218" t="str">
        <f>"8/8/2024 9:23:00 AM"</f>
        <v>8/8/2024 9:23:00 AM</v>
      </c>
      <c r="O23218" t="s">
        <v>70487</v>
      </c>
    </row>
    <row r="23219" spans="1:21" x14ac:dyDescent="0.25">
      <c r="A23219" t="str">
        <f>"3049004"</f>
        <v>3049004</v>
      </c>
      <c r="B23219" t="s">
        <v>70490</v>
      </c>
      <c r="C23219" t="str">
        <f>"8322712"</f>
        <v>8322712</v>
      </c>
      <c r="D23219" t="s">
        <v>70491</v>
      </c>
      <c r="F23219" t="s">
        <v>70492</v>
      </c>
      <c r="I23219" t="s">
        <v>70493</v>
      </c>
      <c r="J23219" t="s">
        <v>2109</v>
      </c>
      <c r="K23219" t="s">
        <v>70494</v>
      </c>
      <c r="M23219" t="s">
        <v>50500</v>
      </c>
      <c r="N23219" t="str">
        <f>"8/8/2024 9:34:00 AM"</f>
        <v>8/8/2024 9:34:00 AM</v>
      </c>
      <c r="O23219" t="s">
        <v>70491</v>
      </c>
    </row>
    <row r="23220" spans="1:21" x14ac:dyDescent="0.25">
      <c r="A23220" t="str">
        <f>"3038354"</f>
        <v>3038354</v>
      </c>
      <c r="B23220" t="s">
        <v>70495</v>
      </c>
      <c r="C23220" t="str">
        <f>"8322597"</f>
        <v>8322597</v>
      </c>
      <c r="D23220" t="s">
        <v>70496</v>
      </c>
      <c r="F23220" t="s">
        <v>70497</v>
      </c>
      <c r="I23220" t="s">
        <v>471</v>
      </c>
      <c r="J23220" t="s">
        <v>30</v>
      </c>
      <c r="K23220" t="str">
        <f>"27107"</f>
        <v>27107</v>
      </c>
      <c r="M23220" t="s">
        <v>25625</v>
      </c>
      <c r="N23220" t="str">
        <f>"8/1/2024 9:24:00 AM"</f>
        <v>8/1/2024 9:24:00 AM</v>
      </c>
      <c r="O23220" t="s">
        <v>70496</v>
      </c>
    </row>
    <row r="23221" spans="1:21" x14ac:dyDescent="0.25">
      <c r="A23221" t="str">
        <f>"3044055"</f>
        <v>3044055</v>
      </c>
      <c r="B23221" t="s">
        <v>70498</v>
      </c>
      <c r="C23221" t="str">
        <f>"8304642"</f>
        <v>8304642</v>
      </c>
      <c r="D23221" t="s">
        <v>70499</v>
      </c>
      <c r="E23221" t="s">
        <v>70500</v>
      </c>
      <c r="F23221" t="s">
        <v>70501</v>
      </c>
      <c r="I23221" t="s">
        <v>184</v>
      </c>
      <c r="J23221" t="s">
        <v>30</v>
      </c>
      <c r="K23221" t="s">
        <v>45040</v>
      </c>
      <c r="M23221" t="s">
        <v>50500</v>
      </c>
      <c r="N23221" t="str">
        <f>"8/1/2024 1:06:00 PM"</f>
        <v>8/1/2024 1:06:00 PM</v>
      </c>
      <c r="O23221" t="s">
        <v>70499</v>
      </c>
      <c r="T23221" t="s">
        <v>70500</v>
      </c>
    </row>
    <row r="23222" spans="1:21" x14ac:dyDescent="0.25">
      <c r="A23222" t="str">
        <f>"3069812"</f>
        <v>3069812</v>
      </c>
      <c r="B23222" t="s">
        <v>70502</v>
      </c>
      <c r="C23222" t="str">
        <f>"8322642"</f>
        <v>8322642</v>
      </c>
      <c r="D23222" t="s">
        <v>70503</v>
      </c>
      <c r="E23222" t="s">
        <v>3716</v>
      </c>
      <c r="F23222" t="s">
        <v>70504</v>
      </c>
      <c r="I23222" t="s">
        <v>2071</v>
      </c>
      <c r="J23222" t="s">
        <v>30</v>
      </c>
      <c r="K23222" t="s">
        <v>6390</v>
      </c>
      <c r="M23222" t="s">
        <v>50500</v>
      </c>
      <c r="N23222" t="str">
        <f>"8/1/2024 1:24:00 PM"</f>
        <v>8/1/2024 1:24:00 PM</v>
      </c>
      <c r="O23222" t="s">
        <v>70503</v>
      </c>
      <c r="T23222" t="s">
        <v>3716</v>
      </c>
    </row>
    <row r="23223" spans="1:21" x14ac:dyDescent="0.25">
      <c r="A23223" t="str">
        <f>"3059967"</f>
        <v>3059967</v>
      </c>
      <c r="B23223" t="s">
        <v>70505</v>
      </c>
      <c r="C23223" t="str">
        <f>"8322643"</f>
        <v>8322643</v>
      </c>
      <c r="D23223" t="s">
        <v>70506</v>
      </c>
      <c r="F23223" t="s">
        <v>70507</v>
      </c>
      <c r="I23223" t="s">
        <v>184</v>
      </c>
      <c r="J23223" t="s">
        <v>30</v>
      </c>
      <c r="K23223" t="s">
        <v>48640</v>
      </c>
      <c r="M23223" t="s">
        <v>50500</v>
      </c>
      <c r="N23223" t="str">
        <f>"8/1/2024 1:34:00 PM"</f>
        <v>8/1/2024 1:34:00 PM</v>
      </c>
      <c r="O23223" t="s">
        <v>70506</v>
      </c>
    </row>
    <row r="23224" spans="1:21" x14ac:dyDescent="0.25">
      <c r="A23224" t="str">
        <f>"3059649"</f>
        <v>3059649</v>
      </c>
      <c r="B23224" t="s">
        <v>70508</v>
      </c>
      <c r="C23224" t="str">
        <f>"8322658"</f>
        <v>8322658</v>
      </c>
      <c r="D23224" t="s">
        <v>70509</v>
      </c>
      <c r="E23224" t="s">
        <v>70510</v>
      </c>
      <c r="F23224" t="s">
        <v>70511</v>
      </c>
      <c r="I23224" t="s">
        <v>29</v>
      </c>
      <c r="J23224" t="s">
        <v>30</v>
      </c>
      <c r="K23224" t="s">
        <v>13608</v>
      </c>
      <c r="M23224" t="s">
        <v>50500</v>
      </c>
      <c r="N23224" t="str">
        <f>"8/5/2024 9:14:00 AM"</f>
        <v>8/5/2024 9:14:00 AM</v>
      </c>
      <c r="O23224" t="s">
        <v>70509</v>
      </c>
      <c r="T23224" t="s">
        <v>70510</v>
      </c>
    </row>
    <row r="23225" spans="1:21" x14ac:dyDescent="0.25">
      <c r="A23225" t="str">
        <f>"3059642"</f>
        <v>3059642</v>
      </c>
      <c r="B23225" t="s">
        <v>70512</v>
      </c>
      <c r="C23225" t="str">
        <f>"8322658"</f>
        <v>8322658</v>
      </c>
      <c r="D23225" t="s">
        <v>70509</v>
      </c>
      <c r="E23225" t="s">
        <v>70510</v>
      </c>
      <c r="F23225" t="s">
        <v>70511</v>
      </c>
      <c r="I23225" t="s">
        <v>29</v>
      </c>
      <c r="J23225" t="s">
        <v>30</v>
      </c>
      <c r="K23225" t="s">
        <v>13608</v>
      </c>
      <c r="M23225" t="s">
        <v>50500</v>
      </c>
      <c r="N23225" t="str">
        <f>"8/5/2024 9:14:00 AM"</f>
        <v>8/5/2024 9:14:00 AM</v>
      </c>
      <c r="O23225" t="s">
        <v>70509</v>
      </c>
      <c r="T23225" t="s">
        <v>70510</v>
      </c>
    </row>
    <row r="23226" spans="1:21" x14ac:dyDescent="0.25">
      <c r="A23226" t="str">
        <f>"3037256"</f>
        <v>3037256</v>
      </c>
      <c r="B23226" t="s">
        <v>70513</v>
      </c>
      <c r="C23226" t="str">
        <f>"70959250"</f>
        <v>70959250</v>
      </c>
      <c r="D23226" t="s">
        <v>70514</v>
      </c>
      <c r="E23226" t="s">
        <v>70515</v>
      </c>
      <c r="F23226" t="s">
        <v>70516</v>
      </c>
      <c r="G23226" t="s">
        <v>70517</v>
      </c>
      <c r="H23226" t="s">
        <v>70518</v>
      </c>
      <c r="J23226" t="s">
        <v>471</v>
      </c>
      <c r="K23226" t="s">
        <v>30</v>
      </c>
      <c r="L23226" t="s">
        <v>70519</v>
      </c>
      <c r="N23226" t="s">
        <v>50621</v>
      </c>
      <c r="O23226" t="str">
        <f>"8/5/2024 10:04:00 AM"</f>
        <v>8/5/2024 10:04:00 AM</v>
      </c>
      <c r="P23226" t="s">
        <v>70514</v>
      </c>
      <c r="U23226" t="s">
        <v>70515</v>
      </c>
    </row>
    <row r="23227" spans="1:21" x14ac:dyDescent="0.25">
      <c r="A23227" t="str">
        <f>"3060280"</f>
        <v>3060280</v>
      </c>
      <c r="B23227" t="s">
        <v>70520</v>
      </c>
      <c r="C23227" t="str">
        <f>"8322644"</f>
        <v>8322644</v>
      </c>
      <c r="D23227" t="s">
        <v>70521</v>
      </c>
      <c r="E23227" t="s">
        <v>70522</v>
      </c>
      <c r="F23227" t="s">
        <v>70523</v>
      </c>
      <c r="I23227" t="s">
        <v>29</v>
      </c>
      <c r="J23227" t="s">
        <v>30</v>
      </c>
      <c r="K23227" t="s">
        <v>53771</v>
      </c>
      <c r="M23227" t="s">
        <v>50500</v>
      </c>
      <c r="N23227" t="str">
        <f>"8/1/2024 3:43:00 PM"</f>
        <v>8/1/2024 3:43:00 PM</v>
      </c>
      <c r="O23227" t="s">
        <v>70521</v>
      </c>
      <c r="T23227" t="s">
        <v>70522</v>
      </c>
    </row>
    <row r="23228" spans="1:21" x14ac:dyDescent="0.25">
      <c r="A23228" t="str">
        <f>"3058582"</f>
        <v>3058582</v>
      </c>
      <c r="B23228" t="s">
        <v>70524</v>
      </c>
      <c r="C23228" t="str">
        <f>"8322645"</f>
        <v>8322645</v>
      </c>
      <c r="D23228" t="s">
        <v>70525</v>
      </c>
      <c r="F23228" t="s">
        <v>70526</v>
      </c>
      <c r="I23228" t="s">
        <v>29</v>
      </c>
      <c r="J23228" t="s">
        <v>30</v>
      </c>
      <c r="K23228" t="s">
        <v>59681</v>
      </c>
      <c r="M23228" t="s">
        <v>50500</v>
      </c>
      <c r="N23228" t="str">
        <f>"8/1/2024 3:54:00 PM"</f>
        <v>8/1/2024 3:54:00 PM</v>
      </c>
      <c r="O23228" t="s">
        <v>70525</v>
      </c>
    </row>
    <row r="23229" spans="1:21" x14ac:dyDescent="0.25">
      <c r="A23229" t="str">
        <f>"3049298"</f>
        <v>3049298</v>
      </c>
      <c r="B23229" t="s">
        <v>70527</v>
      </c>
      <c r="C23229" t="str">
        <f>"8309755"</f>
        <v>8309755</v>
      </c>
      <c r="D23229" t="s">
        <v>70528</v>
      </c>
      <c r="E23229" t="s">
        <v>53043</v>
      </c>
      <c r="F23229" t="s">
        <v>53044</v>
      </c>
      <c r="I23229" t="s">
        <v>184</v>
      </c>
      <c r="J23229" t="s">
        <v>30</v>
      </c>
      <c r="K23229" t="s">
        <v>53045</v>
      </c>
      <c r="M23229" t="s">
        <v>50500</v>
      </c>
      <c r="N23229" t="str">
        <f>"8/9/2024 8:58:00 AM"</f>
        <v>8/9/2024 8:58:00 AM</v>
      </c>
      <c r="O23229" t="s">
        <v>70528</v>
      </c>
      <c r="T23229" t="s">
        <v>53043</v>
      </c>
    </row>
    <row r="23230" spans="1:21" x14ac:dyDescent="0.25">
      <c r="A23230" t="str">
        <f>"3056128"</f>
        <v>3056128</v>
      </c>
      <c r="B23230" t="s">
        <v>70529</v>
      </c>
      <c r="C23230" t="str">
        <f>"8322721"</f>
        <v>8322721</v>
      </c>
      <c r="D23230" t="s">
        <v>70530</v>
      </c>
      <c r="E23230" t="s">
        <v>70531</v>
      </c>
      <c r="F23230" t="s">
        <v>70532</v>
      </c>
      <c r="I23230" t="s">
        <v>25280</v>
      </c>
      <c r="J23230" t="s">
        <v>30</v>
      </c>
      <c r="K23230" t="str">
        <f>"27014"</f>
        <v>27014</v>
      </c>
      <c r="M23230" t="s">
        <v>50500</v>
      </c>
      <c r="N23230" t="str">
        <f>"8/9/2024 9:14:00 AM"</f>
        <v>8/9/2024 9:14:00 AM</v>
      </c>
      <c r="O23230" t="s">
        <v>70530</v>
      </c>
      <c r="T23230" t="s">
        <v>70531</v>
      </c>
    </row>
    <row r="23231" spans="1:21" x14ac:dyDescent="0.25">
      <c r="A23231" t="str">
        <f>"3055016"</f>
        <v>3055016</v>
      </c>
      <c r="B23231" t="s">
        <v>70533</v>
      </c>
      <c r="C23231" t="str">
        <f>"8322722"</f>
        <v>8322722</v>
      </c>
      <c r="D23231" t="s">
        <v>70534</v>
      </c>
      <c r="E23231" t="s">
        <v>70535</v>
      </c>
      <c r="F23231" t="s">
        <v>37292</v>
      </c>
      <c r="I23231" t="s">
        <v>29</v>
      </c>
      <c r="J23231" t="s">
        <v>30</v>
      </c>
      <c r="K23231" t="s">
        <v>37293</v>
      </c>
      <c r="M23231" t="s">
        <v>50500</v>
      </c>
      <c r="N23231" t="str">
        <f>"8/9/2024 9:20:00 AM"</f>
        <v>8/9/2024 9:20:00 AM</v>
      </c>
      <c r="O23231" t="s">
        <v>70534</v>
      </c>
      <c r="T23231" t="s">
        <v>70535</v>
      </c>
    </row>
    <row r="23232" spans="1:21" x14ac:dyDescent="0.25">
      <c r="A23232" t="str">
        <f>"3054824"</f>
        <v>3054824</v>
      </c>
      <c r="B23232" t="s">
        <v>70536</v>
      </c>
      <c r="C23232" t="str">
        <f>"8322722"</f>
        <v>8322722</v>
      </c>
      <c r="D23232" t="s">
        <v>70534</v>
      </c>
      <c r="E23232" t="s">
        <v>70535</v>
      </c>
      <c r="F23232" t="s">
        <v>37292</v>
      </c>
      <c r="I23232" t="s">
        <v>29</v>
      </c>
      <c r="J23232" t="s">
        <v>30</v>
      </c>
      <c r="K23232" t="s">
        <v>37293</v>
      </c>
      <c r="M23232" t="s">
        <v>50500</v>
      </c>
      <c r="N23232" t="str">
        <f>"8/9/2024 9:20:00 AM"</f>
        <v>8/9/2024 9:20:00 AM</v>
      </c>
      <c r="O23232" t="s">
        <v>70534</v>
      </c>
      <c r="T23232" t="s">
        <v>70535</v>
      </c>
    </row>
    <row r="23233" spans="1:20" x14ac:dyDescent="0.25">
      <c r="A23233" t="str">
        <f>"3054969"</f>
        <v>3054969</v>
      </c>
      <c r="B23233" t="s">
        <v>70537</v>
      </c>
      <c r="C23233" t="str">
        <f>"8322722"</f>
        <v>8322722</v>
      </c>
      <c r="D23233" t="s">
        <v>70534</v>
      </c>
      <c r="E23233" t="s">
        <v>70535</v>
      </c>
      <c r="F23233" t="s">
        <v>37292</v>
      </c>
      <c r="I23233" t="s">
        <v>29</v>
      </c>
      <c r="J23233" t="s">
        <v>30</v>
      </c>
      <c r="K23233" t="s">
        <v>37293</v>
      </c>
      <c r="M23233" t="s">
        <v>50500</v>
      </c>
      <c r="N23233" t="str">
        <f>"8/9/2024 9:20:00 AM"</f>
        <v>8/9/2024 9:20:00 AM</v>
      </c>
      <c r="O23233" t="s">
        <v>70534</v>
      </c>
      <c r="T23233" t="s">
        <v>70535</v>
      </c>
    </row>
    <row r="23234" spans="1:20" x14ac:dyDescent="0.25">
      <c r="A23234" t="str">
        <f>"3062657"</f>
        <v>3062657</v>
      </c>
      <c r="B23234" t="s">
        <v>70538</v>
      </c>
      <c r="C23234" t="str">
        <f>"8322723"</f>
        <v>8322723</v>
      </c>
      <c r="D23234" t="s">
        <v>70539</v>
      </c>
      <c r="F23234" t="s">
        <v>70540</v>
      </c>
      <c r="I23234" t="s">
        <v>70541</v>
      </c>
      <c r="J23234" t="s">
        <v>11697</v>
      </c>
      <c r="K23234" t="s">
        <v>70542</v>
      </c>
      <c r="M23234" t="s">
        <v>50500</v>
      </c>
      <c r="N23234" t="str">
        <f>"8/9/2024 9:42:00 AM"</f>
        <v>8/9/2024 9:42:00 AM</v>
      </c>
      <c r="O23234" t="s">
        <v>70539</v>
      </c>
    </row>
    <row r="23235" spans="1:20" x14ac:dyDescent="0.25">
      <c r="A23235" t="str">
        <f>"3062650"</f>
        <v>3062650</v>
      </c>
      <c r="B23235" t="s">
        <v>70543</v>
      </c>
      <c r="C23235" t="str">
        <f>"8322723"</f>
        <v>8322723</v>
      </c>
      <c r="D23235" t="s">
        <v>70539</v>
      </c>
      <c r="F23235" t="s">
        <v>70540</v>
      </c>
      <c r="I23235" t="s">
        <v>70541</v>
      </c>
      <c r="J23235" t="s">
        <v>11697</v>
      </c>
      <c r="K23235" t="s">
        <v>70542</v>
      </c>
      <c r="M23235" t="s">
        <v>50500</v>
      </c>
      <c r="N23235" t="str">
        <f>"8/9/2024 9:42:00 AM"</f>
        <v>8/9/2024 9:42:00 AM</v>
      </c>
      <c r="O23235" t="s">
        <v>70539</v>
      </c>
    </row>
    <row r="23236" spans="1:20" x14ac:dyDescent="0.25">
      <c r="A23236" t="str">
        <f>"3061901"</f>
        <v>3061901</v>
      </c>
      <c r="B23236" t="s">
        <v>70544</v>
      </c>
      <c r="C23236" t="str">
        <f>"8322723"</f>
        <v>8322723</v>
      </c>
      <c r="D23236" t="s">
        <v>70539</v>
      </c>
      <c r="F23236" t="s">
        <v>70540</v>
      </c>
      <c r="I23236" t="s">
        <v>70541</v>
      </c>
      <c r="J23236" t="s">
        <v>11697</v>
      </c>
      <c r="K23236" t="s">
        <v>70542</v>
      </c>
      <c r="M23236" t="s">
        <v>50500</v>
      </c>
      <c r="N23236" t="str">
        <f>"8/9/2024 9:42:00 AM"</f>
        <v>8/9/2024 9:42:00 AM</v>
      </c>
      <c r="O23236" t="s">
        <v>70539</v>
      </c>
    </row>
    <row r="23237" spans="1:20" x14ac:dyDescent="0.25">
      <c r="A23237" t="str">
        <f>"3051855"</f>
        <v>3051855</v>
      </c>
      <c r="B23237" t="s">
        <v>70545</v>
      </c>
      <c r="C23237" t="str">
        <f>"8322726"</f>
        <v>8322726</v>
      </c>
      <c r="D23237" t="s">
        <v>70546</v>
      </c>
      <c r="F23237" t="s">
        <v>70547</v>
      </c>
      <c r="I23237" t="s">
        <v>29</v>
      </c>
      <c r="J23237" t="s">
        <v>30</v>
      </c>
      <c r="K23237" t="s">
        <v>48214</v>
      </c>
      <c r="M23237" t="s">
        <v>50500</v>
      </c>
      <c r="N23237" t="str">
        <f>"8/9/2024 10:06:00 AM"</f>
        <v>8/9/2024 10:06:00 AM</v>
      </c>
      <c r="O23237" t="s">
        <v>70546</v>
      </c>
    </row>
    <row r="23238" spans="1:20" x14ac:dyDescent="0.25">
      <c r="A23238" t="str">
        <f>"3058507"</f>
        <v>3058507</v>
      </c>
      <c r="B23238" t="s">
        <v>70548</v>
      </c>
      <c r="C23238" t="str">
        <f>"8322666"</f>
        <v>8322666</v>
      </c>
      <c r="D23238" t="s">
        <v>70549</v>
      </c>
      <c r="F23238" t="s">
        <v>70550</v>
      </c>
      <c r="I23238" t="s">
        <v>29</v>
      </c>
      <c r="J23238" t="s">
        <v>30</v>
      </c>
      <c r="K23238" t="s">
        <v>39454</v>
      </c>
      <c r="M23238" t="s">
        <v>50500</v>
      </c>
      <c r="N23238" t="str">
        <f>"8/5/2024 4:26:00 PM"</f>
        <v>8/5/2024 4:26:00 PM</v>
      </c>
      <c r="O23238" t="s">
        <v>70549</v>
      </c>
    </row>
    <row r="23239" spans="1:20" x14ac:dyDescent="0.25">
      <c r="A23239" t="str">
        <f>"3044922"</f>
        <v>3044922</v>
      </c>
      <c r="B23239" t="s">
        <v>70551</v>
      </c>
      <c r="C23239" t="str">
        <f>"8322667"</f>
        <v>8322667</v>
      </c>
      <c r="D23239" t="s">
        <v>70552</v>
      </c>
      <c r="E23239" t="s">
        <v>70553</v>
      </c>
      <c r="F23239" t="s">
        <v>70554</v>
      </c>
      <c r="I23239" t="s">
        <v>184</v>
      </c>
      <c r="J23239" t="s">
        <v>30</v>
      </c>
      <c r="K23239" t="s">
        <v>5682</v>
      </c>
      <c r="M23239" t="s">
        <v>50500</v>
      </c>
      <c r="N23239" t="str">
        <f>"8/6/2024 8:21:00 AM"</f>
        <v>8/6/2024 8:21:00 AM</v>
      </c>
      <c r="O23239" t="s">
        <v>70552</v>
      </c>
      <c r="T23239" t="s">
        <v>70553</v>
      </c>
    </row>
    <row r="23240" spans="1:20" x14ac:dyDescent="0.25">
      <c r="A23240" t="str">
        <f>"3060273"</f>
        <v>3060273</v>
      </c>
      <c r="B23240" t="s">
        <v>70555</v>
      </c>
      <c r="C23240" t="str">
        <f>"82514892"</f>
        <v>82514892</v>
      </c>
      <c r="D23240" t="s">
        <v>70556</v>
      </c>
      <c r="E23240" t="s">
        <v>70557</v>
      </c>
      <c r="F23240" t="s">
        <v>70558</v>
      </c>
      <c r="I23240" t="s">
        <v>29</v>
      </c>
      <c r="J23240" t="s">
        <v>30</v>
      </c>
      <c r="K23240" t="s">
        <v>50147</v>
      </c>
      <c r="M23240" t="s">
        <v>50500</v>
      </c>
      <c r="N23240" t="str">
        <f>"8/6/2024 9:23:00 AM"</f>
        <v>8/6/2024 9:23:00 AM</v>
      </c>
      <c r="O23240" t="s">
        <v>70556</v>
      </c>
      <c r="T23240" t="s">
        <v>70557</v>
      </c>
    </row>
    <row r="23241" spans="1:20" x14ac:dyDescent="0.25">
      <c r="A23241" t="str">
        <f>"3044882"</f>
        <v>3044882</v>
      </c>
      <c r="B23241" t="s">
        <v>70559</v>
      </c>
      <c r="C23241" t="str">
        <f>"8322676"</f>
        <v>8322676</v>
      </c>
      <c r="D23241" t="s">
        <v>70560</v>
      </c>
      <c r="F23241" t="s">
        <v>70561</v>
      </c>
      <c r="I23241" t="s">
        <v>184</v>
      </c>
      <c r="J23241" t="s">
        <v>30</v>
      </c>
      <c r="K23241" t="s">
        <v>5724</v>
      </c>
      <c r="M23241" t="s">
        <v>50500</v>
      </c>
      <c r="N23241" t="str">
        <f>"8/6/2024 2:32:00 PM"</f>
        <v>8/6/2024 2:32:00 PM</v>
      </c>
      <c r="O23241" t="s">
        <v>70560</v>
      </c>
    </row>
    <row r="23242" spans="1:20" x14ac:dyDescent="0.25">
      <c r="A23242" t="str">
        <f>"3052687"</f>
        <v>3052687</v>
      </c>
      <c r="B23242" t="s">
        <v>70562</v>
      </c>
      <c r="C23242" t="str">
        <f>"8322678"</f>
        <v>8322678</v>
      </c>
      <c r="D23242" t="s">
        <v>70563</v>
      </c>
      <c r="E23242" t="s">
        <v>70564</v>
      </c>
      <c r="F23242" t="s">
        <v>70565</v>
      </c>
      <c r="I23242" t="s">
        <v>29</v>
      </c>
      <c r="J23242" t="s">
        <v>30</v>
      </c>
      <c r="K23242" t="s">
        <v>12144</v>
      </c>
      <c r="M23242" t="s">
        <v>50500</v>
      </c>
      <c r="N23242" t="str">
        <f>"8/6/2024 3:06:00 PM"</f>
        <v>8/6/2024 3:06:00 PM</v>
      </c>
      <c r="O23242" t="s">
        <v>70563</v>
      </c>
      <c r="T23242" t="s">
        <v>70564</v>
      </c>
    </row>
    <row r="23243" spans="1:20" x14ac:dyDescent="0.25">
      <c r="A23243" t="str">
        <f>"3078761"</f>
        <v>3078761</v>
      </c>
      <c r="B23243" t="s">
        <v>70566</v>
      </c>
      <c r="C23243" t="str">
        <f>"8322738"</f>
        <v>8322738</v>
      </c>
      <c r="D23243" t="s">
        <v>70567</v>
      </c>
      <c r="F23243" t="s">
        <v>70568</v>
      </c>
      <c r="I23243" t="s">
        <v>29</v>
      </c>
      <c r="J23243" t="s">
        <v>30</v>
      </c>
      <c r="K23243" t="s">
        <v>70569</v>
      </c>
      <c r="M23243" t="s">
        <v>50500</v>
      </c>
      <c r="N23243" t="str">
        <f>"8/9/2024 4:00:00 PM"</f>
        <v>8/9/2024 4:00:00 PM</v>
      </c>
      <c r="O23243" t="s">
        <v>70567</v>
      </c>
    </row>
    <row r="23244" spans="1:20" x14ac:dyDescent="0.25">
      <c r="A23244" t="str">
        <f>"3058633"</f>
        <v>3058633</v>
      </c>
      <c r="B23244" t="s">
        <v>70570</v>
      </c>
      <c r="C23244" t="str">
        <f>"8322739"</f>
        <v>8322739</v>
      </c>
      <c r="D23244" t="s">
        <v>70571</v>
      </c>
      <c r="E23244" t="s">
        <v>70572</v>
      </c>
      <c r="F23244" t="s">
        <v>70573</v>
      </c>
      <c r="I23244" t="s">
        <v>29</v>
      </c>
      <c r="J23244" t="s">
        <v>30</v>
      </c>
      <c r="K23244" t="s">
        <v>59681</v>
      </c>
      <c r="M23244" t="s">
        <v>50500</v>
      </c>
      <c r="N23244" t="str">
        <f>"8/9/2024 4:10:00 PM"</f>
        <v>8/9/2024 4:10:00 PM</v>
      </c>
      <c r="O23244" t="s">
        <v>70571</v>
      </c>
      <c r="T23244" t="s">
        <v>70572</v>
      </c>
    </row>
    <row r="23245" spans="1:20" x14ac:dyDescent="0.25">
      <c r="A23245" t="str">
        <f>"3042929"</f>
        <v>3042929</v>
      </c>
      <c r="B23245" t="s">
        <v>70574</v>
      </c>
      <c r="C23245" t="str">
        <f>"8322740"</f>
        <v>8322740</v>
      </c>
      <c r="D23245" t="s">
        <v>70575</v>
      </c>
      <c r="E23245" t="s">
        <v>70576</v>
      </c>
      <c r="F23245" t="s">
        <v>70577</v>
      </c>
      <c r="I23245" t="s">
        <v>29</v>
      </c>
      <c r="J23245" t="s">
        <v>30</v>
      </c>
      <c r="K23245" t="s">
        <v>70578</v>
      </c>
      <c r="M23245" t="s">
        <v>50500</v>
      </c>
      <c r="N23245" t="str">
        <f>"8/9/2024 4:26:00 PM"</f>
        <v>8/9/2024 4:26:00 PM</v>
      </c>
      <c r="O23245" t="s">
        <v>70575</v>
      </c>
      <c r="T23245" t="s">
        <v>70576</v>
      </c>
    </row>
    <row r="23246" spans="1:20" x14ac:dyDescent="0.25">
      <c r="A23246" t="str">
        <f>"3053133"</f>
        <v>3053133</v>
      </c>
      <c r="B23246" t="s">
        <v>70579</v>
      </c>
      <c r="C23246" t="str">
        <f>"8322742"</f>
        <v>8322742</v>
      </c>
      <c r="D23246" t="s">
        <v>70580</v>
      </c>
      <c r="E23246" t="s">
        <v>70581</v>
      </c>
      <c r="F23246" t="s">
        <v>70582</v>
      </c>
      <c r="I23246" t="s">
        <v>29</v>
      </c>
      <c r="J23246" t="s">
        <v>30</v>
      </c>
      <c r="K23246" t="s">
        <v>42016</v>
      </c>
      <c r="M23246" t="s">
        <v>50500</v>
      </c>
      <c r="N23246" t="str">
        <f>"8/12/2024 8:45:00 AM"</f>
        <v>8/12/2024 8:45:00 AM</v>
      </c>
      <c r="O23246" t="s">
        <v>70580</v>
      </c>
      <c r="T23246" t="s">
        <v>70581</v>
      </c>
    </row>
    <row r="23247" spans="1:20" x14ac:dyDescent="0.25">
      <c r="A23247" t="str">
        <f>"3077928"</f>
        <v>3077928</v>
      </c>
      <c r="B23247" t="s">
        <v>70583</v>
      </c>
      <c r="C23247" t="str">
        <f>"8322743"</f>
        <v>8322743</v>
      </c>
      <c r="D23247" t="s">
        <v>70584</v>
      </c>
      <c r="E23247" t="s">
        <v>70585</v>
      </c>
      <c r="F23247" t="s">
        <v>70586</v>
      </c>
      <c r="I23247" t="s">
        <v>29</v>
      </c>
      <c r="J23247" t="s">
        <v>30</v>
      </c>
      <c r="K23247" t="s">
        <v>53221</v>
      </c>
      <c r="M23247" t="s">
        <v>50500</v>
      </c>
      <c r="N23247" t="str">
        <f>"8/12/2024 8:57:00 AM"</f>
        <v>8/12/2024 8:57:00 AM</v>
      </c>
      <c r="O23247" t="s">
        <v>70584</v>
      </c>
      <c r="T23247" t="s">
        <v>70585</v>
      </c>
    </row>
    <row r="23248" spans="1:20" x14ac:dyDescent="0.25">
      <c r="A23248" t="str">
        <f>"3077922"</f>
        <v>3077922</v>
      </c>
      <c r="B23248" t="s">
        <v>70587</v>
      </c>
      <c r="C23248" t="str">
        <f>"8322743"</f>
        <v>8322743</v>
      </c>
      <c r="D23248" t="s">
        <v>70584</v>
      </c>
      <c r="E23248" t="s">
        <v>70585</v>
      </c>
      <c r="F23248" t="s">
        <v>70586</v>
      </c>
      <c r="I23248" t="s">
        <v>29</v>
      </c>
      <c r="J23248" t="s">
        <v>30</v>
      </c>
      <c r="K23248" t="s">
        <v>53221</v>
      </c>
      <c r="M23248" t="s">
        <v>50500</v>
      </c>
      <c r="N23248" t="str">
        <f>"8/12/2024 8:57:00 AM"</f>
        <v>8/12/2024 8:57:00 AM</v>
      </c>
      <c r="O23248" t="s">
        <v>70584</v>
      </c>
      <c r="T23248" t="s">
        <v>70585</v>
      </c>
    </row>
    <row r="23249" spans="1:20" x14ac:dyDescent="0.25">
      <c r="A23249" t="str">
        <f>"3058605"</f>
        <v>3058605</v>
      </c>
      <c r="B23249" t="s">
        <v>70588</v>
      </c>
      <c r="C23249" t="str">
        <f>"8322679"</f>
        <v>8322679</v>
      </c>
      <c r="D23249" t="s">
        <v>70589</v>
      </c>
      <c r="F23249" t="s">
        <v>70590</v>
      </c>
      <c r="I23249" t="s">
        <v>29</v>
      </c>
      <c r="J23249" t="s">
        <v>30</v>
      </c>
      <c r="K23249" t="s">
        <v>59681</v>
      </c>
      <c r="M23249" t="s">
        <v>50500</v>
      </c>
      <c r="N23249" t="str">
        <f>"8/6/2024 3:11:00 PM"</f>
        <v>8/6/2024 3:11:00 PM</v>
      </c>
      <c r="O23249" t="s">
        <v>70589</v>
      </c>
    </row>
    <row r="23250" spans="1:20" x14ac:dyDescent="0.25">
      <c r="A23250" t="str">
        <f>"3062821"</f>
        <v>3062821</v>
      </c>
      <c r="B23250" t="s">
        <v>70591</v>
      </c>
      <c r="C23250" t="str">
        <f>"8322680"</f>
        <v>8322680</v>
      </c>
      <c r="D23250" t="s">
        <v>70592</v>
      </c>
      <c r="E23250" t="s">
        <v>70593</v>
      </c>
      <c r="F23250" t="s">
        <v>70594</v>
      </c>
      <c r="I23250" t="s">
        <v>29</v>
      </c>
      <c r="J23250" t="s">
        <v>30</v>
      </c>
      <c r="K23250" t="s">
        <v>38426</v>
      </c>
      <c r="M23250" t="s">
        <v>50500</v>
      </c>
      <c r="N23250" t="str">
        <f>"8/6/2024 3:28:00 PM"</f>
        <v>8/6/2024 3:28:00 PM</v>
      </c>
      <c r="O23250" t="s">
        <v>70592</v>
      </c>
      <c r="T23250" t="s">
        <v>70593</v>
      </c>
    </row>
    <row r="23251" spans="1:20" x14ac:dyDescent="0.25">
      <c r="A23251" t="str">
        <f>"3062647"</f>
        <v>3062647</v>
      </c>
      <c r="B23251" t="s">
        <v>70595</v>
      </c>
      <c r="C23251" t="str">
        <f>"8322681"</f>
        <v>8322681</v>
      </c>
      <c r="D23251" t="s">
        <v>70596</v>
      </c>
      <c r="E23251" t="s">
        <v>70597</v>
      </c>
      <c r="F23251" t="s">
        <v>70598</v>
      </c>
      <c r="I23251" t="s">
        <v>29</v>
      </c>
      <c r="J23251" t="s">
        <v>30</v>
      </c>
      <c r="K23251" t="s">
        <v>56884</v>
      </c>
      <c r="M23251" t="s">
        <v>50500</v>
      </c>
      <c r="N23251" t="str">
        <f>"8/6/2024 3:33:00 PM"</f>
        <v>8/6/2024 3:33:00 PM</v>
      </c>
      <c r="O23251" t="s">
        <v>70596</v>
      </c>
      <c r="T23251" t="s">
        <v>70597</v>
      </c>
    </row>
    <row r="23252" spans="1:20" x14ac:dyDescent="0.25">
      <c r="A23252" t="str">
        <f>"3062642"</f>
        <v>3062642</v>
      </c>
      <c r="B23252" t="s">
        <v>70599</v>
      </c>
      <c r="C23252" t="str">
        <f>"8322684"</f>
        <v>8322684</v>
      </c>
      <c r="D23252" t="s">
        <v>70600</v>
      </c>
      <c r="F23252" t="s">
        <v>70601</v>
      </c>
      <c r="I23252" t="s">
        <v>29</v>
      </c>
      <c r="J23252" t="s">
        <v>30</v>
      </c>
      <c r="K23252" t="str">
        <f>"27028"</f>
        <v>27028</v>
      </c>
      <c r="M23252" t="s">
        <v>50500</v>
      </c>
      <c r="N23252" t="str">
        <f>"8/6/2024 3:58:00 PM"</f>
        <v>8/6/2024 3:58:00 PM</v>
      </c>
      <c r="O23252" t="s">
        <v>70600</v>
      </c>
    </row>
    <row r="23253" spans="1:20" x14ac:dyDescent="0.25">
      <c r="A23253" t="str">
        <f>"3044920"</f>
        <v>3044920</v>
      </c>
      <c r="B23253" t="s">
        <v>70602</v>
      </c>
      <c r="C23253" t="str">
        <f>"8322702"</f>
        <v>8322702</v>
      </c>
      <c r="D23253" t="s">
        <v>70603</v>
      </c>
      <c r="E23253" t="s">
        <v>70604</v>
      </c>
      <c r="F23253" t="s">
        <v>70605</v>
      </c>
      <c r="I23253" t="s">
        <v>184</v>
      </c>
      <c r="J23253" t="s">
        <v>30</v>
      </c>
      <c r="K23253" t="s">
        <v>5629</v>
      </c>
      <c r="M23253" t="s">
        <v>50500</v>
      </c>
      <c r="N23253" t="str">
        <f>"8/7/2024 11:07:00 AM"</f>
        <v>8/7/2024 11:07:00 AM</v>
      </c>
      <c r="O23253" t="s">
        <v>70603</v>
      </c>
      <c r="T23253" t="s">
        <v>70604</v>
      </c>
    </row>
    <row r="23254" spans="1:20" x14ac:dyDescent="0.25">
      <c r="A23254" t="str">
        <f>"3039088"</f>
        <v>3039088</v>
      </c>
      <c r="B23254" t="s">
        <v>70606</v>
      </c>
      <c r="C23254" t="str">
        <f>"51554880"</f>
        <v>51554880</v>
      </c>
      <c r="D23254" t="s">
        <v>70450</v>
      </c>
      <c r="E23254" t="s">
        <v>70451</v>
      </c>
      <c r="F23254" t="s">
        <v>70452</v>
      </c>
      <c r="I23254" t="s">
        <v>29</v>
      </c>
      <c r="J23254" t="s">
        <v>30</v>
      </c>
      <c r="K23254" t="str">
        <f>"27028"</f>
        <v>27028</v>
      </c>
      <c r="M23254" t="s">
        <v>52111</v>
      </c>
      <c r="N23254" t="str">
        <f>"8/7/2024 12:48:00 PM"</f>
        <v>8/7/2024 12:48:00 PM</v>
      </c>
      <c r="O23254" t="s">
        <v>70450</v>
      </c>
      <c r="T23254" t="s">
        <v>70451</v>
      </c>
    </row>
    <row r="23255" spans="1:20" x14ac:dyDescent="0.25">
      <c r="A23255" t="str">
        <f>"3045954"</f>
        <v>3045954</v>
      </c>
      <c r="B23255" t="s">
        <v>70607</v>
      </c>
      <c r="C23255" t="str">
        <f>"8318585"</f>
        <v>8318585</v>
      </c>
      <c r="D23255" t="s">
        <v>70608</v>
      </c>
      <c r="F23255" t="s">
        <v>70609</v>
      </c>
      <c r="I23255" t="s">
        <v>7917</v>
      </c>
      <c r="J23255" t="s">
        <v>30</v>
      </c>
      <c r="K23255" t="s">
        <v>70610</v>
      </c>
      <c r="M23255" t="s">
        <v>25733</v>
      </c>
      <c r="N23255" t="str">
        <f>"8/8/2024 9:53:00 AM"</f>
        <v>8/8/2024 9:53:00 AM</v>
      </c>
      <c r="O23255" t="s">
        <v>70608</v>
      </c>
    </row>
    <row r="23256" spans="1:20" x14ac:dyDescent="0.25">
      <c r="A23256" t="str">
        <f>"3059317"</f>
        <v>3059317</v>
      </c>
      <c r="B23256" t="s">
        <v>70611</v>
      </c>
      <c r="C23256" t="str">
        <f>"8319003"</f>
        <v>8319003</v>
      </c>
      <c r="D23256" t="s">
        <v>70612</v>
      </c>
      <c r="F23256" t="s">
        <v>70613</v>
      </c>
      <c r="I23256" t="s">
        <v>29</v>
      </c>
      <c r="J23256" t="s">
        <v>30</v>
      </c>
      <c r="K23256" t="s">
        <v>46304</v>
      </c>
      <c r="M23256" t="s">
        <v>25733</v>
      </c>
      <c r="N23256" t="str">
        <f>"8/8/2024 9:57:00 AM"</f>
        <v>8/8/2024 9:57:00 AM</v>
      </c>
      <c r="O23256" t="s">
        <v>70612</v>
      </c>
    </row>
    <row r="23257" spans="1:20" x14ac:dyDescent="0.25">
      <c r="A23257" t="str">
        <f>"3040984"</f>
        <v>3040984</v>
      </c>
      <c r="B23257" t="s">
        <v>70614</v>
      </c>
      <c r="C23257" t="str">
        <f>"6538000"</f>
        <v>6538000</v>
      </c>
      <c r="D23257" t="s">
        <v>70615</v>
      </c>
      <c r="F23257" t="s">
        <v>15808</v>
      </c>
      <c r="I23257" t="s">
        <v>70616</v>
      </c>
      <c r="J23257" t="s">
        <v>14649</v>
      </c>
      <c r="K23257" t="s">
        <v>70617</v>
      </c>
      <c r="M23257" t="s">
        <v>25733</v>
      </c>
      <c r="N23257" t="str">
        <f>"8/8/2024 10:38:00 AM"</f>
        <v>8/8/2024 10:38:00 AM</v>
      </c>
      <c r="O23257" t="s">
        <v>70615</v>
      </c>
    </row>
    <row r="23258" spans="1:20" x14ac:dyDescent="0.25">
      <c r="A23258" t="str">
        <f>"3057261"</f>
        <v>3057261</v>
      </c>
      <c r="B23258" t="s">
        <v>70618</v>
      </c>
      <c r="C23258" t="str">
        <f>"8322486"</f>
        <v>8322486</v>
      </c>
      <c r="D23258" t="s">
        <v>70619</v>
      </c>
      <c r="F23258" t="s">
        <v>70620</v>
      </c>
      <c r="I23258" t="s">
        <v>29</v>
      </c>
      <c r="J23258" t="s">
        <v>30</v>
      </c>
      <c r="K23258" t="s">
        <v>14439</v>
      </c>
      <c r="M23258" t="s">
        <v>50621</v>
      </c>
      <c r="N23258" t="str">
        <f>"8/12/2024 10:21:00 AM"</f>
        <v>8/12/2024 10:21:00 AM</v>
      </c>
      <c r="O23258" t="s">
        <v>70619</v>
      </c>
    </row>
    <row r="23259" spans="1:20" x14ac:dyDescent="0.25">
      <c r="A23259" t="str">
        <f>"3057239"</f>
        <v>3057239</v>
      </c>
      <c r="B23259" t="s">
        <v>70621</v>
      </c>
      <c r="C23259" t="str">
        <f>"8322486"</f>
        <v>8322486</v>
      </c>
      <c r="D23259" t="s">
        <v>70619</v>
      </c>
      <c r="F23259" t="s">
        <v>70620</v>
      </c>
      <c r="I23259" t="s">
        <v>29</v>
      </c>
      <c r="J23259" t="s">
        <v>30</v>
      </c>
      <c r="K23259" t="s">
        <v>14439</v>
      </c>
      <c r="M23259" t="s">
        <v>50621</v>
      </c>
      <c r="N23259" t="str">
        <f>"8/12/2024 10:21:00 AM"</f>
        <v>8/12/2024 10:21:00 AM</v>
      </c>
      <c r="O23259" t="s">
        <v>70619</v>
      </c>
    </row>
    <row r="23260" spans="1:20" x14ac:dyDescent="0.25">
      <c r="A23260" t="str">
        <f>"3059011"</f>
        <v>3059011</v>
      </c>
      <c r="B23260" t="s">
        <v>70622</v>
      </c>
      <c r="C23260" t="str">
        <f>"8322486"</f>
        <v>8322486</v>
      </c>
      <c r="D23260" t="s">
        <v>70619</v>
      </c>
      <c r="F23260" t="s">
        <v>70620</v>
      </c>
      <c r="I23260" t="s">
        <v>29</v>
      </c>
      <c r="J23260" t="s">
        <v>30</v>
      </c>
      <c r="K23260" t="s">
        <v>14439</v>
      </c>
      <c r="M23260" t="s">
        <v>50621</v>
      </c>
      <c r="N23260" t="str">
        <f>"8/12/2024 10:21:00 AM"</f>
        <v>8/12/2024 10:21:00 AM</v>
      </c>
      <c r="O23260" t="s">
        <v>70619</v>
      </c>
    </row>
    <row r="23261" spans="1:20" x14ac:dyDescent="0.25">
      <c r="A23261" t="str">
        <f>"3078559"</f>
        <v>3078559</v>
      </c>
      <c r="B23261" t="s">
        <v>70623</v>
      </c>
      <c r="C23261" t="str">
        <f>"8322750"</f>
        <v>8322750</v>
      </c>
      <c r="D23261" t="s">
        <v>70624</v>
      </c>
      <c r="E23261" t="s">
        <v>70625</v>
      </c>
      <c r="F23261" t="s">
        <v>70626</v>
      </c>
      <c r="I23261" t="s">
        <v>29</v>
      </c>
      <c r="J23261" t="s">
        <v>30</v>
      </c>
      <c r="K23261" t="s">
        <v>16758</v>
      </c>
      <c r="M23261" t="s">
        <v>50500</v>
      </c>
      <c r="N23261" t="str">
        <f>"8/12/2024 10:24:00 AM"</f>
        <v>8/12/2024 10:24:00 AM</v>
      </c>
      <c r="O23261" t="s">
        <v>70624</v>
      </c>
      <c r="T23261" t="s">
        <v>70625</v>
      </c>
    </row>
    <row r="23262" spans="1:20" x14ac:dyDescent="0.25">
      <c r="A23262" t="str">
        <f>"3066792"</f>
        <v>3066792</v>
      </c>
      <c r="B23262" t="s">
        <v>70627</v>
      </c>
      <c r="C23262" t="str">
        <f>"8322751"</f>
        <v>8322751</v>
      </c>
      <c r="D23262" t="s">
        <v>70628</v>
      </c>
      <c r="E23262" t="s">
        <v>70629</v>
      </c>
      <c r="F23262" t="s">
        <v>70630</v>
      </c>
      <c r="I23262" t="s">
        <v>29</v>
      </c>
      <c r="J23262" t="s">
        <v>30</v>
      </c>
      <c r="K23262" t="s">
        <v>15987</v>
      </c>
      <c r="M23262" t="s">
        <v>50500</v>
      </c>
      <c r="N23262" t="str">
        <f>"8/12/2024 10:28:00 AM"</f>
        <v>8/12/2024 10:28:00 AM</v>
      </c>
      <c r="O23262" t="s">
        <v>70628</v>
      </c>
      <c r="T23262" t="s">
        <v>70629</v>
      </c>
    </row>
    <row r="23263" spans="1:20" x14ac:dyDescent="0.25">
      <c r="A23263" t="str">
        <f>"3052926"</f>
        <v>3052926</v>
      </c>
      <c r="B23263" t="s">
        <v>70631</v>
      </c>
      <c r="C23263" t="str">
        <f>"8322713"</f>
        <v>8322713</v>
      </c>
      <c r="D23263" t="s">
        <v>70632</v>
      </c>
      <c r="E23263" t="s">
        <v>70633</v>
      </c>
      <c r="F23263" t="s">
        <v>70634</v>
      </c>
      <c r="I23263" t="s">
        <v>29</v>
      </c>
      <c r="J23263" t="s">
        <v>30</v>
      </c>
      <c r="K23263" t="s">
        <v>36107</v>
      </c>
      <c r="M23263" t="s">
        <v>50500</v>
      </c>
      <c r="N23263" t="str">
        <f>"8/8/2024 10:37:00 AM"</f>
        <v>8/8/2024 10:37:00 AM</v>
      </c>
      <c r="O23263" t="s">
        <v>70632</v>
      </c>
      <c r="T23263" t="s">
        <v>70633</v>
      </c>
    </row>
    <row r="23264" spans="1:20" x14ac:dyDescent="0.25">
      <c r="A23264" t="str">
        <f>"3058668"</f>
        <v>3058668</v>
      </c>
      <c r="B23264" t="s">
        <v>70635</v>
      </c>
      <c r="C23264" t="str">
        <f>"8322714"</f>
        <v>8322714</v>
      </c>
      <c r="D23264" t="s">
        <v>70636</v>
      </c>
      <c r="E23264" t="s">
        <v>70637</v>
      </c>
      <c r="F23264" t="s">
        <v>70638</v>
      </c>
      <c r="I23264" t="s">
        <v>184</v>
      </c>
      <c r="J23264" t="s">
        <v>30</v>
      </c>
      <c r="K23264" t="s">
        <v>64153</v>
      </c>
      <c r="M23264" t="s">
        <v>50500</v>
      </c>
      <c r="N23264" t="str">
        <f>"8/8/2024 12:16:00 PM"</f>
        <v>8/8/2024 12:16:00 PM</v>
      </c>
      <c r="O23264" t="s">
        <v>70636</v>
      </c>
      <c r="T23264" t="s">
        <v>70637</v>
      </c>
    </row>
    <row r="23265" spans="1:20" x14ac:dyDescent="0.25">
      <c r="A23265" t="str">
        <f>"3043812"</f>
        <v>3043812</v>
      </c>
      <c r="B23265" t="s">
        <v>70639</v>
      </c>
      <c r="C23265" t="str">
        <f>"8322717"</f>
        <v>8322717</v>
      </c>
      <c r="D23265" t="s">
        <v>70640</v>
      </c>
      <c r="F23265" t="s">
        <v>70641</v>
      </c>
      <c r="I23265" t="s">
        <v>184</v>
      </c>
      <c r="J23265" t="s">
        <v>30</v>
      </c>
      <c r="K23265" t="s">
        <v>70642</v>
      </c>
      <c r="M23265" t="s">
        <v>50500</v>
      </c>
      <c r="N23265" t="str">
        <f>"8/8/2024 3:53:00 PM"</f>
        <v>8/8/2024 3:53:00 PM</v>
      </c>
      <c r="O23265" t="s">
        <v>70640</v>
      </c>
    </row>
    <row r="23266" spans="1:20" x14ac:dyDescent="0.25">
      <c r="A23266" t="str">
        <f>"3039048"</f>
        <v>3039048</v>
      </c>
      <c r="B23266" t="s">
        <v>70643</v>
      </c>
      <c r="C23266" t="str">
        <f>"8322718"</f>
        <v>8322718</v>
      </c>
      <c r="D23266" t="s">
        <v>70644</v>
      </c>
      <c r="E23266" t="s">
        <v>70645</v>
      </c>
      <c r="F23266" t="s">
        <v>70646</v>
      </c>
      <c r="I23266" t="s">
        <v>29</v>
      </c>
      <c r="J23266" t="s">
        <v>30</v>
      </c>
      <c r="K23266" t="s">
        <v>16946</v>
      </c>
      <c r="M23266" t="s">
        <v>50500</v>
      </c>
      <c r="N23266" t="str">
        <f>"8/9/2024 8:35:00 AM"</f>
        <v>8/9/2024 8:35:00 AM</v>
      </c>
      <c r="O23266" t="s">
        <v>70644</v>
      </c>
      <c r="T23266" t="s">
        <v>70645</v>
      </c>
    </row>
    <row r="23267" spans="1:20" x14ac:dyDescent="0.25">
      <c r="A23267" t="str">
        <f>"3056187"</f>
        <v>3056187</v>
      </c>
      <c r="B23267" t="s">
        <v>70647</v>
      </c>
      <c r="C23267" t="str">
        <f>"8322719"</f>
        <v>8322719</v>
      </c>
      <c r="D23267" t="s">
        <v>70648</v>
      </c>
      <c r="F23267" t="s">
        <v>70649</v>
      </c>
      <c r="I23267" t="s">
        <v>70650</v>
      </c>
      <c r="J23267" t="s">
        <v>40889</v>
      </c>
      <c r="K23267" t="s">
        <v>70651</v>
      </c>
      <c r="M23267" t="s">
        <v>50500</v>
      </c>
      <c r="N23267" t="str">
        <f>"8/9/2024 8:45:00 AM"</f>
        <v>8/9/2024 8:45:00 AM</v>
      </c>
      <c r="O23267" t="s">
        <v>70648</v>
      </c>
    </row>
    <row r="23268" spans="1:20" x14ac:dyDescent="0.25">
      <c r="A23268" t="str">
        <f>"3052957"</f>
        <v>3052957</v>
      </c>
      <c r="B23268" t="s">
        <v>70652</v>
      </c>
      <c r="C23268" t="str">
        <f>"8322662"</f>
        <v>8322662</v>
      </c>
      <c r="D23268" t="s">
        <v>70653</v>
      </c>
      <c r="E23268" t="s">
        <v>70654</v>
      </c>
      <c r="F23268" t="s">
        <v>70655</v>
      </c>
      <c r="I23268" t="s">
        <v>29</v>
      </c>
      <c r="J23268" t="s">
        <v>30</v>
      </c>
      <c r="K23268" t="s">
        <v>70656</v>
      </c>
      <c r="M23268" t="s">
        <v>50500</v>
      </c>
      <c r="N23268" t="str">
        <f>"8/5/2024 12:50:00 PM"</f>
        <v>8/5/2024 12:50:00 PM</v>
      </c>
      <c r="O23268" t="s">
        <v>70653</v>
      </c>
      <c r="T23268" t="s">
        <v>70654</v>
      </c>
    </row>
    <row r="23269" spans="1:20" x14ac:dyDescent="0.25">
      <c r="A23269" t="str">
        <f>"3049954"</f>
        <v>3049954</v>
      </c>
      <c r="B23269" t="s">
        <v>70657</v>
      </c>
      <c r="C23269" t="str">
        <f>"8322759"</f>
        <v>8322759</v>
      </c>
      <c r="D23269" t="s">
        <v>70658</v>
      </c>
      <c r="E23269" t="s">
        <v>70659</v>
      </c>
      <c r="F23269" t="s">
        <v>70660</v>
      </c>
      <c r="I23269" t="s">
        <v>29</v>
      </c>
      <c r="J23269" t="s">
        <v>30</v>
      </c>
      <c r="K23269" t="s">
        <v>70661</v>
      </c>
      <c r="M23269" t="s">
        <v>50500</v>
      </c>
      <c r="N23269" t="str">
        <f>"8/12/2024 3:20:00 PM"</f>
        <v>8/12/2024 3:20:00 PM</v>
      </c>
      <c r="O23269" t="s">
        <v>70658</v>
      </c>
      <c r="T23269" t="s">
        <v>70659</v>
      </c>
    </row>
    <row r="23270" spans="1:20" x14ac:dyDescent="0.25">
      <c r="A23270" t="str">
        <f>"3077757"</f>
        <v>3077757</v>
      </c>
      <c r="B23270" t="s">
        <v>70662</v>
      </c>
      <c r="C23270" t="str">
        <f>"8322664"</f>
        <v>8322664</v>
      </c>
      <c r="D23270" t="s">
        <v>70663</v>
      </c>
      <c r="E23270" t="s">
        <v>70664</v>
      </c>
      <c r="F23270" t="s">
        <v>70665</v>
      </c>
      <c r="I23270" t="s">
        <v>184</v>
      </c>
      <c r="J23270" t="s">
        <v>30</v>
      </c>
      <c r="K23270" t="s">
        <v>70666</v>
      </c>
      <c r="M23270" t="s">
        <v>50500</v>
      </c>
      <c r="N23270" t="str">
        <f>"8/5/2024 1:29:00 PM"</f>
        <v>8/5/2024 1:29:00 PM</v>
      </c>
      <c r="O23270" t="s">
        <v>70663</v>
      </c>
      <c r="T23270" t="s">
        <v>70664</v>
      </c>
    </row>
    <row r="23271" spans="1:20" x14ac:dyDescent="0.25">
      <c r="A23271" t="str">
        <f>"3055702"</f>
        <v>3055702</v>
      </c>
      <c r="B23271" t="s">
        <v>70667</v>
      </c>
      <c r="C23271" t="str">
        <f>"8322719"</f>
        <v>8322719</v>
      </c>
      <c r="D23271" t="s">
        <v>70648</v>
      </c>
      <c r="F23271" t="s">
        <v>70649</v>
      </c>
      <c r="I23271" t="s">
        <v>70650</v>
      </c>
      <c r="J23271" t="s">
        <v>40889</v>
      </c>
      <c r="K23271" t="s">
        <v>70651</v>
      </c>
      <c r="M23271" t="s">
        <v>50500</v>
      </c>
      <c r="N23271" t="str">
        <f>"8/9/2024 8:45:00 AM"</f>
        <v>8/9/2024 8:45:00 AM</v>
      </c>
      <c r="O23271" t="s">
        <v>70648</v>
      </c>
    </row>
    <row r="23272" spans="1:20" x14ac:dyDescent="0.25">
      <c r="A23272" t="str">
        <f>"3038322"</f>
        <v>3038322</v>
      </c>
      <c r="B23272" t="s">
        <v>70668</v>
      </c>
      <c r="C23272" t="str">
        <f>"8322665"</f>
        <v>8322665</v>
      </c>
      <c r="D23272" t="s">
        <v>70669</v>
      </c>
      <c r="E23272" t="s">
        <v>70670</v>
      </c>
      <c r="F23272" t="s">
        <v>70671</v>
      </c>
      <c r="I23272" t="s">
        <v>29</v>
      </c>
      <c r="J23272" t="s">
        <v>30</v>
      </c>
      <c r="K23272" t="s">
        <v>65850</v>
      </c>
      <c r="M23272" t="s">
        <v>50500</v>
      </c>
      <c r="N23272" t="str">
        <f>"8/5/2024 1:40:00 PM"</f>
        <v>8/5/2024 1:40:00 PM</v>
      </c>
      <c r="O23272" t="s">
        <v>70669</v>
      </c>
      <c r="T23272" t="s">
        <v>70670</v>
      </c>
    </row>
    <row r="23273" spans="1:20" x14ac:dyDescent="0.25">
      <c r="A23273" t="str">
        <f>"3049694"</f>
        <v>3049694</v>
      </c>
      <c r="B23273" t="s">
        <v>70672</v>
      </c>
      <c r="C23273" t="str">
        <f>"8322666"</f>
        <v>8322666</v>
      </c>
      <c r="D23273" t="s">
        <v>70549</v>
      </c>
      <c r="F23273" t="s">
        <v>70550</v>
      </c>
      <c r="I23273" t="s">
        <v>29</v>
      </c>
      <c r="J23273" t="s">
        <v>30</v>
      </c>
      <c r="K23273" t="s">
        <v>39454</v>
      </c>
      <c r="M23273" t="s">
        <v>50500</v>
      </c>
      <c r="N23273" t="str">
        <f>"8/5/2024 4:26:00 PM"</f>
        <v>8/5/2024 4:26:00 PM</v>
      </c>
      <c r="O23273" t="s">
        <v>70549</v>
      </c>
    </row>
    <row r="23274" spans="1:20" x14ac:dyDescent="0.25">
      <c r="A23274" t="str">
        <f>"3058512"</f>
        <v>3058512</v>
      </c>
      <c r="B23274" t="s">
        <v>70673</v>
      </c>
      <c r="C23274" t="str">
        <f>"8322734"</f>
        <v>8322734</v>
      </c>
      <c r="D23274" t="s">
        <v>70674</v>
      </c>
      <c r="E23274" t="s">
        <v>70675</v>
      </c>
      <c r="F23274" t="s">
        <v>70676</v>
      </c>
      <c r="I23274" t="s">
        <v>1107</v>
      </c>
      <c r="J23274" t="s">
        <v>30</v>
      </c>
      <c r="K23274" t="s">
        <v>70677</v>
      </c>
      <c r="M23274" t="s">
        <v>50500</v>
      </c>
      <c r="N23274" t="str">
        <f>"8/9/2024 11:46:00 AM"</f>
        <v>8/9/2024 11:46:00 AM</v>
      </c>
      <c r="O23274" t="s">
        <v>70674</v>
      </c>
      <c r="T23274" t="s">
        <v>70675</v>
      </c>
    </row>
    <row r="23275" spans="1:20" x14ac:dyDescent="0.25">
      <c r="A23275" t="str">
        <f>"3070192"</f>
        <v>3070192</v>
      </c>
      <c r="B23275" t="s">
        <v>70678</v>
      </c>
      <c r="C23275" t="str">
        <f>"82526824"</f>
        <v>82526824</v>
      </c>
      <c r="D23275" t="s">
        <v>70679</v>
      </c>
      <c r="E23275" t="s">
        <v>70680</v>
      </c>
      <c r="F23275" t="s">
        <v>70681</v>
      </c>
      <c r="I23275" t="s">
        <v>20610</v>
      </c>
      <c r="J23275" t="s">
        <v>30</v>
      </c>
      <c r="K23275" t="s">
        <v>70682</v>
      </c>
      <c r="M23275" t="s">
        <v>50621</v>
      </c>
      <c r="N23275" t="str">
        <f>"8/13/2024 9:50:00 AM"</f>
        <v>8/13/2024 9:50:00 AM</v>
      </c>
      <c r="O23275" t="s">
        <v>70679</v>
      </c>
      <c r="T23275" t="s">
        <v>70680</v>
      </c>
    </row>
    <row r="23276" spans="1:20" x14ac:dyDescent="0.25">
      <c r="A23276" t="str">
        <f>"3037808"</f>
        <v>3037808</v>
      </c>
      <c r="B23276" t="s">
        <v>70683</v>
      </c>
      <c r="C23276" t="str">
        <f>"8305739"</f>
        <v>8305739</v>
      </c>
      <c r="D23276" t="s">
        <v>70684</v>
      </c>
      <c r="E23276" t="str">
        <f>"C/O KAREN CAIN RAY"</f>
        <v>C/O KAREN CAIN RAY</v>
      </c>
      <c r="F23276" t="s">
        <v>70685</v>
      </c>
      <c r="I23276" t="s">
        <v>51356</v>
      </c>
      <c r="J23276" t="s">
        <v>12725</v>
      </c>
      <c r="K23276" t="s">
        <v>70686</v>
      </c>
      <c r="M23276" t="s">
        <v>50621</v>
      </c>
      <c r="N23276" t="str">
        <f>"8/13/2024 10:00:00 AM"</f>
        <v>8/13/2024 10:00:00 AM</v>
      </c>
      <c r="O23276" t="s">
        <v>70684</v>
      </c>
      <c r="T23276" t="str">
        <f>"C/O KAREN CAIN RAY"</f>
        <v>C/O KAREN CAIN RAY</v>
      </c>
    </row>
    <row r="23277" spans="1:20" x14ac:dyDescent="0.25">
      <c r="A23277" t="str">
        <f>"3055922"</f>
        <v>3055922</v>
      </c>
      <c r="B23277" t="s">
        <v>70687</v>
      </c>
      <c r="C23277" t="str">
        <f>"82525350"</f>
        <v>82525350</v>
      </c>
      <c r="D23277" t="s">
        <v>70688</v>
      </c>
      <c r="F23277" t="s">
        <v>70689</v>
      </c>
      <c r="I23277" t="s">
        <v>70690</v>
      </c>
      <c r="J23277" t="s">
        <v>12725</v>
      </c>
      <c r="K23277" t="s">
        <v>70691</v>
      </c>
      <c r="M23277" t="s">
        <v>50621</v>
      </c>
      <c r="N23277" t="str">
        <f>"8/13/2024 10:12:00 AM"</f>
        <v>8/13/2024 10:12:00 AM</v>
      </c>
      <c r="O23277" t="s">
        <v>70688</v>
      </c>
    </row>
    <row r="23278" spans="1:20" x14ac:dyDescent="0.25">
      <c r="A23278" t="str">
        <f>"3056589"</f>
        <v>3056589</v>
      </c>
      <c r="B23278" t="s">
        <v>70692</v>
      </c>
      <c r="C23278" t="str">
        <f>"82525350"</f>
        <v>82525350</v>
      </c>
      <c r="D23278" t="s">
        <v>70688</v>
      </c>
      <c r="F23278" t="s">
        <v>70689</v>
      </c>
      <c r="I23278" t="s">
        <v>70690</v>
      </c>
      <c r="J23278" t="s">
        <v>12725</v>
      </c>
      <c r="K23278" t="s">
        <v>70691</v>
      </c>
      <c r="M23278" t="s">
        <v>50621</v>
      </c>
      <c r="N23278" t="str">
        <f>"8/13/2024 10:12:00 AM"</f>
        <v>8/13/2024 10:12:00 AM</v>
      </c>
      <c r="O23278" t="s">
        <v>70688</v>
      </c>
    </row>
    <row r="23279" spans="1:20" x14ac:dyDescent="0.25">
      <c r="A23279" t="str">
        <f>"3052548"</f>
        <v>3052548</v>
      </c>
      <c r="B23279" t="s">
        <v>70693</v>
      </c>
      <c r="C23279" t="str">
        <f>"82525350"</f>
        <v>82525350</v>
      </c>
      <c r="D23279" t="s">
        <v>70688</v>
      </c>
      <c r="F23279" t="s">
        <v>70689</v>
      </c>
      <c r="I23279" t="s">
        <v>70690</v>
      </c>
      <c r="J23279" t="s">
        <v>12725</v>
      </c>
      <c r="K23279" t="s">
        <v>70691</v>
      </c>
      <c r="M23279" t="s">
        <v>50621</v>
      </c>
      <c r="N23279" t="str">
        <f>"8/13/2024 10:12:00 AM"</f>
        <v>8/13/2024 10:12:00 AM</v>
      </c>
      <c r="O23279" t="s">
        <v>70688</v>
      </c>
    </row>
    <row r="23280" spans="1:20" x14ac:dyDescent="0.25">
      <c r="A23280" t="str">
        <f>"3062068"</f>
        <v>3062068</v>
      </c>
      <c r="B23280" t="s">
        <v>70694</v>
      </c>
      <c r="C23280" t="str">
        <f>"82525350"</f>
        <v>82525350</v>
      </c>
      <c r="D23280" t="s">
        <v>70688</v>
      </c>
      <c r="F23280" t="s">
        <v>70689</v>
      </c>
      <c r="I23280" t="s">
        <v>70690</v>
      </c>
      <c r="J23280" t="s">
        <v>12725</v>
      </c>
      <c r="K23280" t="s">
        <v>70691</v>
      </c>
      <c r="M23280" t="s">
        <v>50621</v>
      </c>
      <c r="N23280" t="str">
        <f>"8/13/2024 10:12:00 AM"</f>
        <v>8/13/2024 10:12:00 AM</v>
      </c>
      <c r="O23280" t="s">
        <v>70688</v>
      </c>
    </row>
    <row r="23281" spans="1:20" x14ac:dyDescent="0.25">
      <c r="A23281" t="str">
        <f>"3078256"</f>
        <v>3078256</v>
      </c>
      <c r="B23281" t="s">
        <v>70695</v>
      </c>
      <c r="C23281" t="str">
        <f>"8322735"</f>
        <v>8322735</v>
      </c>
      <c r="D23281" t="s">
        <v>70696</v>
      </c>
      <c r="E23281" t="s">
        <v>70697</v>
      </c>
      <c r="F23281" t="s">
        <v>70698</v>
      </c>
      <c r="I23281" t="s">
        <v>29</v>
      </c>
      <c r="J23281" t="s">
        <v>30</v>
      </c>
      <c r="K23281" t="s">
        <v>28120</v>
      </c>
      <c r="M23281" t="s">
        <v>50500</v>
      </c>
      <c r="N23281" t="str">
        <f>"8/9/2024 11:53:00 AM"</f>
        <v>8/9/2024 11:53:00 AM</v>
      </c>
      <c r="O23281" t="s">
        <v>70696</v>
      </c>
      <c r="T23281" t="s">
        <v>70697</v>
      </c>
    </row>
    <row r="23282" spans="1:20" x14ac:dyDescent="0.25">
      <c r="A23282" t="str">
        <f>"3062161"</f>
        <v>3062161</v>
      </c>
      <c r="B23282" t="s">
        <v>70699</v>
      </c>
      <c r="C23282" t="str">
        <f>"8322764"</f>
        <v>8322764</v>
      </c>
      <c r="D23282" t="s">
        <v>70700</v>
      </c>
      <c r="E23282" t="s">
        <v>70701</v>
      </c>
      <c r="F23282" t="s">
        <v>70702</v>
      </c>
      <c r="I23282" t="s">
        <v>184</v>
      </c>
      <c r="J23282" t="s">
        <v>30</v>
      </c>
      <c r="K23282" t="s">
        <v>58030</v>
      </c>
      <c r="M23282" t="s">
        <v>50500</v>
      </c>
      <c r="N23282" t="str">
        <f>"8/13/2024 11:10:00 AM"</f>
        <v>8/13/2024 11:10:00 AM</v>
      </c>
      <c r="O23282" t="s">
        <v>70700</v>
      </c>
      <c r="T23282" t="s">
        <v>70701</v>
      </c>
    </row>
    <row r="23283" spans="1:20" x14ac:dyDescent="0.25">
      <c r="A23283" t="str">
        <f>"3063018"</f>
        <v>3063018</v>
      </c>
      <c r="B23283" t="s">
        <v>70703</v>
      </c>
      <c r="C23283" t="str">
        <f>"8322765"</f>
        <v>8322765</v>
      </c>
      <c r="D23283" t="s">
        <v>70704</v>
      </c>
      <c r="E23283" t="s">
        <v>70705</v>
      </c>
      <c r="F23283" t="s">
        <v>70706</v>
      </c>
      <c r="I23283" t="s">
        <v>184</v>
      </c>
      <c r="J23283" t="s">
        <v>30</v>
      </c>
      <c r="K23283" t="s">
        <v>7326</v>
      </c>
      <c r="M23283" t="s">
        <v>50500</v>
      </c>
      <c r="N23283" t="str">
        <f>"8/13/2024 11:17:00 AM"</f>
        <v>8/13/2024 11:17:00 AM</v>
      </c>
      <c r="O23283" t="s">
        <v>70704</v>
      </c>
      <c r="T23283" t="s">
        <v>70705</v>
      </c>
    </row>
    <row r="23284" spans="1:20" x14ac:dyDescent="0.25">
      <c r="A23284" t="str">
        <f>"3078288"</f>
        <v>3078288</v>
      </c>
      <c r="B23284" t="s">
        <v>70707</v>
      </c>
      <c r="C23284" t="str">
        <f>"8317144"</f>
        <v>8317144</v>
      </c>
      <c r="D23284" t="str">
        <f>"WYATT JOHN/EVELYN LIFE ESTATE"</f>
        <v>WYATT JOHN/EVELYN LIFE ESTATE</v>
      </c>
      <c r="E23284" t="s">
        <v>70708</v>
      </c>
      <c r="F23284" t="s">
        <v>70709</v>
      </c>
      <c r="I23284" t="s">
        <v>29</v>
      </c>
      <c r="J23284" t="s">
        <v>30</v>
      </c>
      <c r="K23284" t="s">
        <v>12433</v>
      </c>
      <c r="M23284" t="s">
        <v>25733</v>
      </c>
      <c r="N23284" t="str">
        <f>"8/13/2024 1:16:00 PM"</f>
        <v>8/13/2024 1:16:00 PM</v>
      </c>
      <c r="O23284" t="str">
        <f>"WYATT JOHN/EVELYN LIFE ESTATE"</f>
        <v>WYATT JOHN/EVELYN LIFE ESTATE</v>
      </c>
      <c r="T23284" t="s">
        <v>70708</v>
      </c>
    </row>
    <row r="23285" spans="1:20" x14ac:dyDescent="0.25">
      <c r="A23285" t="str">
        <f>"3050483"</f>
        <v>3050483</v>
      </c>
      <c r="B23285" t="s">
        <v>70710</v>
      </c>
      <c r="C23285" t="str">
        <f>"8317143"</f>
        <v>8317143</v>
      </c>
      <c r="D23285" t="s">
        <v>70708</v>
      </c>
      <c r="F23285" t="s">
        <v>70709</v>
      </c>
      <c r="I23285" t="s">
        <v>29</v>
      </c>
      <c r="J23285" t="s">
        <v>30</v>
      </c>
      <c r="K23285" t="s">
        <v>12433</v>
      </c>
      <c r="M23285" t="s">
        <v>25733</v>
      </c>
      <c r="N23285" t="str">
        <f>"8/13/2024 1:17:00 PM"</f>
        <v>8/13/2024 1:17:00 PM</v>
      </c>
      <c r="O23285" t="s">
        <v>70708</v>
      </c>
    </row>
    <row r="23286" spans="1:20" x14ac:dyDescent="0.25">
      <c r="A23286" t="str">
        <f>"3049437"</f>
        <v>3049437</v>
      </c>
      <c r="B23286" t="s">
        <v>70711</v>
      </c>
      <c r="C23286" t="str">
        <f>"8322766"</f>
        <v>8322766</v>
      </c>
      <c r="D23286" t="s">
        <v>70712</v>
      </c>
      <c r="F23286" t="s">
        <v>70713</v>
      </c>
      <c r="I23286" t="s">
        <v>65073</v>
      </c>
      <c r="J23286" t="s">
        <v>30</v>
      </c>
      <c r="K23286" t="s">
        <v>70714</v>
      </c>
      <c r="M23286" t="s">
        <v>50500</v>
      </c>
      <c r="N23286" t="str">
        <f>"8/13/2024 2:20:00 PM"</f>
        <v>8/13/2024 2:20:00 PM</v>
      </c>
      <c r="O23286" t="s">
        <v>70712</v>
      </c>
    </row>
    <row r="23287" spans="1:20" x14ac:dyDescent="0.25">
      <c r="A23287" t="str">
        <f>"3049124"</f>
        <v>3049124</v>
      </c>
      <c r="B23287" t="s">
        <v>70715</v>
      </c>
      <c r="C23287" t="str">
        <f>"8322736"</f>
        <v>8322736</v>
      </c>
      <c r="D23287" t="s">
        <v>70716</v>
      </c>
      <c r="E23287" t="s">
        <v>70717</v>
      </c>
      <c r="F23287" t="s">
        <v>70718</v>
      </c>
      <c r="I23287" t="s">
        <v>70719</v>
      </c>
      <c r="J23287" t="s">
        <v>4132</v>
      </c>
      <c r="K23287" t="s">
        <v>70720</v>
      </c>
      <c r="M23287" t="s">
        <v>50500</v>
      </c>
      <c r="N23287" t="str">
        <f>"8/9/2024 12:03:00 PM"</f>
        <v>8/9/2024 12:03:00 PM</v>
      </c>
      <c r="O23287" t="s">
        <v>70716</v>
      </c>
      <c r="T23287" t="s">
        <v>70717</v>
      </c>
    </row>
    <row r="23288" spans="1:20" x14ac:dyDescent="0.25">
      <c r="A23288" t="str">
        <f>"3042661"</f>
        <v>3042661</v>
      </c>
      <c r="B23288" t="s">
        <v>70721</v>
      </c>
      <c r="C23288" t="str">
        <f>"8304017"</f>
        <v>8304017</v>
      </c>
      <c r="D23288" t="s">
        <v>70722</v>
      </c>
      <c r="F23288" t="s">
        <v>70723</v>
      </c>
      <c r="I23288" t="s">
        <v>29</v>
      </c>
      <c r="J23288" t="s">
        <v>30</v>
      </c>
      <c r="K23288" t="s">
        <v>70724</v>
      </c>
      <c r="M23288" t="s">
        <v>18479</v>
      </c>
      <c r="N23288" t="str">
        <f>"8/9/2024 2:09:00 PM"</f>
        <v>8/9/2024 2:09:00 PM</v>
      </c>
      <c r="O23288" t="s">
        <v>70722</v>
      </c>
    </row>
    <row r="23289" spans="1:20" x14ac:dyDescent="0.25">
      <c r="A23289" t="str">
        <f>"3049824"</f>
        <v>3049824</v>
      </c>
      <c r="B23289" t="s">
        <v>70725</v>
      </c>
      <c r="C23289" t="str">
        <f>"8322745"</f>
        <v>8322745</v>
      </c>
      <c r="D23289" t="s">
        <v>70726</v>
      </c>
      <c r="E23289" t="s">
        <v>70727</v>
      </c>
      <c r="F23289" t="s">
        <v>70728</v>
      </c>
      <c r="I23289" t="s">
        <v>29</v>
      </c>
      <c r="J23289" t="s">
        <v>30</v>
      </c>
      <c r="K23289" t="s">
        <v>24345</v>
      </c>
      <c r="M23289" t="s">
        <v>50500</v>
      </c>
      <c r="N23289" t="str">
        <f>"8/12/2024 9:21:00 AM"</f>
        <v>8/12/2024 9:21:00 AM</v>
      </c>
      <c r="O23289" t="s">
        <v>70726</v>
      </c>
      <c r="T23289" t="s">
        <v>70727</v>
      </c>
    </row>
    <row r="23290" spans="1:20" x14ac:dyDescent="0.25">
      <c r="A23290" t="str">
        <f>"3062140"</f>
        <v>3062140</v>
      </c>
      <c r="B23290" t="s">
        <v>70729</v>
      </c>
      <c r="C23290" t="str">
        <f>"8322746"</f>
        <v>8322746</v>
      </c>
      <c r="D23290" t="s">
        <v>70730</v>
      </c>
      <c r="F23290" t="s">
        <v>70731</v>
      </c>
      <c r="I23290" t="s">
        <v>29</v>
      </c>
      <c r="J23290" t="s">
        <v>30</v>
      </c>
      <c r="K23290" t="s">
        <v>56763</v>
      </c>
      <c r="M23290" t="s">
        <v>50500</v>
      </c>
      <c r="N23290" t="str">
        <f>"8/12/2024 9:34:00 AM"</f>
        <v>8/12/2024 9:34:00 AM</v>
      </c>
      <c r="O23290" t="s">
        <v>70730</v>
      </c>
    </row>
    <row r="23291" spans="1:20" x14ac:dyDescent="0.25">
      <c r="A23291" t="str">
        <f>"3062682"</f>
        <v>3062682</v>
      </c>
      <c r="B23291" t="s">
        <v>70732</v>
      </c>
      <c r="C23291" t="str">
        <f>"8322748"</f>
        <v>8322748</v>
      </c>
      <c r="D23291" t="s">
        <v>70733</v>
      </c>
      <c r="E23291" t="s">
        <v>70734</v>
      </c>
      <c r="F23291" t="s">
        <v>70735</v>
      </c>
      <c r="I23291" t="s">
        <v>29</v>
      </c>
      <c r="J23291" t="s">
        <v>30</v>
      </c>
      <c r="K23291" t="s">
        <v>39820</v>
      </c>
      <c r="M23291" t="s">
        <v>50500</v>
      </c>
      <c r="N23291" t="str">
        <f>"8/12/2024 10:04:00 AM"</f>
        <v>8/12/2024 10:04:00 AM</v>
      </c>
      <c r="O23291" t="s">
        <v>70733</v>
      </c>
      <c r="T23291" t="s">
        <v>70734</v>
      </c>
    </row>
    <row r="23292" spans="1:20" x14ac:dyDescent="0.25">
      <c r="A23292" t="str">
        <f>"3061165"</f>
        <v>3061165</v>
      </c>
      <c r="B23292" t="s">
        <v>70736</v>
      </c>
      <c r="C23292" t="str">
        <f>"8313031"</f>
        <v>8313031</v>
      </c>
      <c r="D23292" t="s">
        <v>70737</v>
      </c>
      <c r="E23292" t="s">
        <v>70738</v>
      </c>
      <c r="F23292" t="s">
        <v>70739</v>
      </c>
      <c r="I23292" t="s">
        <v>471</v>
      </c>
      <c r="J23292" t="s">
        <v>30</v>
      </c>
      <c r="K23292" t="s">
        <v>70740</v>
      </c>
      <c r="M23292" t="s">
        <v>50793</v>
      </c>
      <c r="N23292" t="str">
        <f>"8/12/2024 10:05:00 AM"</f>
        <v>8/12/2024 10:05:00 AM</v>
      </c>
      <c r="O23292" t="s">
        <v>70737</v>
      </c>
      <c r="T23292" t="s">
        <v>70738</v>
      </c>
    </row>
    <row r="23293" spans="1:20" x14ac:dyDescent="0.25">
      <c r="A23293" t="str">
        <f>"3076836"</f>
        <v>3076836</v>
      </c>
      <c r="B23293" t="s">
        <v>70741</v>
      </c>
      <c r="C23293" t="str">
        <f>"8322749"</f>
        <v>8322749</v>
      </c>
      <c r="D23293" t="s">
        <v>70742</v>
      </c>
      <c r="F23293" t="s">
        <v>70743</v>
      </c>
      <c r="I23293" t="s">
        <v>29</v>
      </c>
      <c r="J23293" t="s">
        <v>30</v>
      </c>
      <c r="K23293" t="s">
        <v>2488</v>
      </c>
      <c r="M23293" t="s">
        <v>50500</v>
      </c>
      <c r="N23293" t="str">
        <f>"8/12/2024 10:15:00 AM"</f>
        <v>8/12/2024 10:15:00 AM</v>
      </c>
      <c r="O23293" t="s">
        <v>70742</v>
      </c>
    </row>
    <row r="23294" spans="1:20" x14ac:dyDescent="0.25">
      <c r="A23294" t="str">
        <f>"3038307"</f>
        <v>3038307</v>
      </c>
      <c r="B23294" t="s">
        <v>70744</v>
      </c>
      <c r="C23294" t="str">
        <f>"8322749"</f>
        <v>8322749</v>
      </c>
      <c r="D23294" t="s">
        <v>70742</v>
      </c>
      <c r="F23294" t="s">
        <v>70743</v>
      </c>
      <c r="I23294" t="s">
        <v>29</v>
      </c>
      <c r="J23294" t="s">
        <v>30</v>
      </c>
      <c r="K23294" t="s">
        <v>2488</v>
      </c>
      <c r="M23294" t="s">
        <v>50500</v>
      </c>
      <c r="N23294" t="str">
        <f>"8/12/2024 10:15:00 AM"</f>
        <v>8/12/2024 10:15:00 AM</v>
      </c>
      <c r="O23294" t="s">
        <v>70742</v>
      </c>
    </row>
    <row r="23295" spans="1:20" x14ac:dyDescent="0.25">
      <c r="A23295" t="str">
        <f>"3040095"</f>
        <v>3040095</v>
      </c>
      <c r="B23295" t="s">
        <v>70745</v>
      </c>
      <c r="C23295" t="str">
        <f>"8322749"</f>
        <v>8322749</v>
      </c>
      <c r="D23295" t="s">
        <v>70742</v>
      </c>
      <c r="F23295" t="s">
        <v>70743</v>
      </c>
      <c r="I23295" t="s">
        <v>29</v>
      </c>
      <c r="J23295" t="s">
        <v>30</v>
      </c>
      <c r="K23295" t="s">
        <v>2488</v>
      </c>
      <c r="M23295" t="s">
        <v>50500</v>
      </c>
      <c r="N23295" t="str">
        <f>"8/12/2024 10:15:00 AM"</f>
        <v>8/12/2024 10:15:00 AM</v>
      </c>
      <c r="O23295" t="s">
        <v>70742</v>
      </c>
    </row>
    <row r="23296" spans="1:20" x14ac:dyDescent="0.25">
      <c r="A23296" t="str">
        <f>"3040184"</f>
        <v>3040184</v>
      </c>
      <c r="B23296" t="s">
        <v>70746</v>
      </c>
      <c r="C23296" t="str">
        <f>"8322749"</f>
        <v>8322749</v>
      </c>
      <c r="D23296" t="s">
        <v>70742</v>
      </c>
      <c r="F23296" t="s">
        <v>70743</v>
      </c>
      <c r="I23296" t="s">
        <v>29</v>
      </c>
      <c r="J23296" t="s">
        <v>30</v>
      </c>
      <c r="K23296" t="s">
        <v>2488</v>
      </c>
      <c r="M23296" t="s">
        <v>50500</v>
      </c>
      <c r="N23296" t="str">
        <f>"8/12/2024 10:15:00 AM"</f>
        <v>8/12/2024 10:15:00 AM</v>
      </c>
      <c r="O23296" t="s">
        <v>70742</v>
      </c>
    </row>
    <row r="23297" spans="1:20" x14ac:dyDescent="0.25">
      <c r="A23297" t="str">
        <f>"3042231"</f>
        <v>3042231</v>
      </c>
      <c r="B23297" t="s">
        <v>70747</v>
      </c>
      <c r="C23297" t="str">
        <f>"8322749"</f>
        <v>8322749</v>
      </c>
      <c r="D23297" t="s">
        <v>70742</v>
      </c>
      <c r="F23297" t="s">
        <v>70743</v>
      </c>
      <c r="I23297" t="s">
        <v>29</v>
      </c>
      <c r="J23297" t="s">
        <v>30</v>
      </c>
      <c r="K23297" t="s">
        <v>2488</v>
      </c>
      <c r="M23297" t="s">
        <v>50500</v>
      </c>
      <c r="N23297" t="str">
        <f>"8/12/2024 10:15:00 AM"</f>
        <v>8/12/2024 10:15:00 AM</v>
      </c>
      <c r="O23297" t="s">
        <v>70742</v>
      </c>
    </row>
    <row r="23298" spans="1:20" x14ac:dyDescent="0.25">
      <c r="A23298" t="str">
        <f>"3057843"</f>
        <v>3057843</v>
      </c>
      <c r="B23298" t="s">
        <v>70748</v>
      </c>
      <c r="C23298" t="str">
        <f>"8322752"</f>
        <v>8322752</v>
      </c>
      <c r="D23298" t="s">
        <v>70749</v>
      </c>
      <c r="F23298" t="s">
        <v>70750</v>
      </c>
      <c r="I23298" t="s">
        <v>184</v>
      </c>
      <c r="J23298" t="s">
        <v>30</v>
      </c>
      <c r="K23298" t="s">
        <v>8988</v>
      </c>
      <c r="M23298" t="s">
        <v>50500</v>
      </c>
      <c r="N23298" t="str">
        <f>"8/12/2024 10:33:00 AM"</f>
        <v>8/12/2024 10:33:00 AM</v>
      </c>
      <c r="O23298" t="s">
        <v>70749</v>
      </c>
    </row>
    <row r="23299" spans="1:20" x14ac:dyDescent="0.25">
      <c r="A23299" t="str">
        <f>"3078576"</f>
        <v>3078576</v>
      </c>
      <c r="B23299" t="s">
        <v>70751</v>
      </c>
      <c r="C23299" t="str">
        <f>"8322753"</f>
        <v>8322753</v>
      </c>
      <c r="D23299" t="s">
        <v>70752</v>
      </c>
      <c r="F23299" t="s">
        <v>70753</v>
      </c>
      <c r="I23299" t="s">
        <v>29</v>
      </c>
      <c r="J23299" t="s">
        <v>30</v>
      </c>
      <c r="K23299" t="s">
        <v>67772</v>
      </c>
      <c r="M23299" t="s">
        <v>50500</v>
      </c>
      <c r="N23299" t="str">
        <f>"8/12/2024 10:37:00 AM"</f>
        <v>8/12/2024 10:37:00 AM</v>
      </c>
      <c r="O23299" t="s">
        <v>70752</v>
      </c>
    </row>
    <row r="23300" spans="1:20" x14ac:dyDescent="0.25">
      <c r="A23300" t="str">
        <f>"3058940"</f>
        <v>3058940</v>
      </c>
      <c r="B23300" t="s">
        <v>70754</v>
      </c>
      <c r="C23300" t="str">
        <f>"8322755"</f>
        <v>8322755</v>
      </c>
      <c r="D23300" t="s">
        <v>70755</v>
      </c>
      <c r="F23300" t="s">
        <v>70756</v>
      </c>
      <c r="I23300" t="s">
        <v>29</v>
      </c>
      <c r="J23300" t="s">
        <v>30</v>
      </c>
      <c r="K23300" t="s">
        <v>59681</v>
      </c>
      <c r="M23300" t="s">
        <v>50500</v>
      </c>
      <c r="N23300" t="str">
        <f>"8/12/2024 10:46:00 AM"</f>
        <v>8/12/2024 10:46:00 AM</v>
      </c>
      <c r="O23300" t="s">
        <v>70755</v>
      </c>
    </row>
    <row r="23301" spans="1:20" x14ac:dyDescent="0.25">
      <c r="A23301" t="str">
        <f>"3078507"</f>
        <v>3078507</v>
      </c>
      <c r="B23301" t="s">
        <v>70757</v>
      </c>
      <c r="C23301" t="str">
        <f>"8322782"</f>
        <v>8322782</v>
      </c>
      <c r="D23301" t="s">
        <v>70758</v>
      </c>
      <c r="E23301" t="s">
        <v>70759</v>
      </c>
      <c r="F23301" t="s">
        <v>44282</v>
      </c>
      <c r="I23301" t="s">
        <v>29</v>
      </c>
      <c r="J23301" t="s">
        <v>30</v>
      </c>
      <c r="K23301" t="s">
        <v>39555</v>
      </c>
      <c r="M23301" t="s">
        <v>50500</v>
      </c>
      <c r="N23301" t="str">
        <f>"8/15/2024 10:20:00 AM"</f>
        <v>8/15/2024 10:20:00 AM</v>
      </c>
      <c r="O23301" t="s">
        <v>70758</v>
      </c>
      <c r="T23301" t="s">
        <v>70759</v>
      </c>
    </row>
    <row r="23302" spans="1:20" x14ac:dyDescent="0.25">
      <c r="A23302" t="str">
        <f>"3054504"</f>
        <v>3054504</v>
      </c>
      <c r="B23302" t="s">
        <v>70760</v>
      </c>
      <c r="C23302" t="str">
        <f>"8322783"</f>
        <v>8322783</v>
      </c>
      <c r="D23302" t="s">
        <v>70761</v>
      </c>
      <c r="F23302" t="s">
        <v>70762</v>
      </c>
      <c r="I23302" t="s">
        <v>29</v>
      </c>
      <c r="J23302" t="s">
        <v>30</v>
      </c>
      <c r="K23302" t="s">
        <v>14790</v>
      </c>
      <c r="M23302" t="s">
        <v>50500</v>
      </c>
      <c r="N23302" t="str">
        <f>"8/15/2024 10:30:00 AM"</f>
        <v>8/15/2024 10:30:00 AM</v>
      </c>
      <c r="O23302" t="s">
        <v>70761</v>
      </c>
    </row>
    <row r="23303" spans="1:20" x14ac:dyDescent="0.25">
      <c r="A23303" t="str">
        <f>"3058967"</f>
        <v>3058967</v>
      </c>
      <c r="B23303" t="s">
        <v>70763</v>
      </c>
      <c r="C23303" t="str">
        <f>"8322784"</f>
        <v>8322784</v>
      </c>
      <c r="D23303" t="s">
        <v>70764</v>
      </c>
      <c r="E23303" t="s">
        <v>70765</v>
      </c>
      <c r="F23303" t="s">
        <v>70766</v>
      </c>
      <c r="I23303" t="s">
        <v>29</v>
      </c>
      <c r="J23303" t="s">
        <v>30</v>
      </c>
      <c r="K23303" t="s">
        <v>38671</v>
      </c>
      <c r="M23303" t="s">
        <v>50500</v>
      </c>
      <c r="N23303" t="str">
        <f>"8/15/2024 3:40:00 PM"</f>
        <v>8/15/2024 3:40:00 PM</v>
      </c>
      <c r="O23303" t="s">
        <v>70764</v>
      </c>
      <c r="T23303" t="s">
        <v>70765</v>
      </c>
    </row>
    <row r="23304" spans="1:20" x14ac:dyDescent="0.25">
      <c r="A23304" t="str">
        <f>"3058966"</f>
        <v>3058966</v>
      </c>
      <c r="B23304" t="s">
        <v>70767</v>
      </c>
      <c r="C23304" t="str">
        <f>"8322747"</f>
        <v>8322747</v>
      </c>
      <c r="D23304" t="s">
        <v>70768</v>
      </c>
      <c r="E23304" t="s">
        <v>70769</v>
      </c>
      <c r="F23304" t="s">
        <v>70770</v>
      </c>
      <c r="I23304" t="s">
        <v>29</v>
      </c>
      <c r="J23304" t="s">
        <v>30</v>
      </c>
      <c r="K23304" t="s">
        <v>38671</v>
      </c>
      <c r="M23304" t="s">
        <v>50500</v>
      </c>
      <c r="N23304" t="str">
        <f>"8/16/2024 9:22:00 AM"</f>
        <v>8/16/2024 9:22:00 AM</v>
      </c>
      <c r="O23304" t="s">
        <v>70768</v>
      </c>
      <c r="T23304" t="s">
        <v>70769</v>
      </c>
    </row>
    <row r="23305" spans="1:20" x14ac:dyDescent="0.25">
      <c r="A23305" t="str">
        <f>"3058427"</f>
        <v>3058427</v>
      </c>
      <c r="B23305" t="s">
        <v>70771</v>
      </c>
      <c r="C23305" t="str">
        <f>"8322786"</f>
        <v>8322786</v>
      </c>
      <c r="D23305" t="s">
        <v>70772</v>
      </c>
      <c r="E23305" t="s">
        <v>70773</v>
      </c>
      <c r="F23305" t="s">
        <v>70774</v>
      </c>
      <c r="I23305" t="s">
        <v>29</v>
      </c>
      <c r="J23305" t="s">
        <v>30</v>
      </c>
      <c r="K23305" t="s">
        <v>59681</v>
      </c>
      <c r="M23305" t="s">
        <v>50500</v>
      </c>
      <c r="N23305" t="str">
        <f>"8/16/2024 12:12:00 PM"</f>
        <v>8/16/2024 12:12:00 PM</v>
      </c>
      <c r="O23305" t="s">
        <v>70772</v>
      </c>
      <c r="T23305" t="s">
        <v>70773</v>
      </c>
    </row>
    <row r="23306" spans="1:20" x14ac:dyDescent="0.25">
      <c r="A23306" t="str">
        <f>"3058698"</f>
        <v>3058698</v>
      </c>
      <c r="B23306" t="s">
        <v>70775</v>
      </c>
      <c r="C23306" t="str">
        <f>"8322787"</f>
        <v>8322787</v>
      </c>
      <c r="D23306" t="s">
        <v>70776</v>
      </c>
      <c r="F23306" t="s">
        <v>70777</v>
      </c>
      <c r="I23306" t="s">
        <v>7917</v>
      </c>
      <c r="J23306" t="s">
        <v>30</v>
      </c>
      <c r="K23306" t="s">
        <v>70778</v>
      </c>
      <c r="M23306" t="s">
        <v>50500</v>
      </c>
      <c r="N23306" t="str">
        <f>"8/16/2024 12:17:00 PM"</f>
        <v>8/16/2024 12:17:00 PM</v>
      </c>
      <c r="O23306" t="s">
        <v>70776</v>
      </c>
    </row>
    <row r="23307" spans="1:20" x14ac:dyDescent="0.25">
      <c r="A23307" t="str">
        <f>"3044326"</f>
        <v>3044326</v>
      </c>
      <c r="B23307" t="s">
        <v>70779</v>
      </c>
      <c r="C23307" t="str">
        <f>"8322788"</f>
        <v>8322788</v>
      </c>
      <c r="D23307" t="s">
        <v>70780</v>
      </c>
      <c r="E23307" t="s">
        <v>70781</v>
      </c>
      <c r="F23307" t="s">
        <v>70782</v>
      </c>
      <c r="I23307" t="s">
        <v>184</v>
      </c>
      <c r="J23307" t="s">
        <v>30</v>
      </c>
      <c r="K23307" t="s">
        <v>25056</v>
      </c>
      <c r="M23307" t="s">
        <v>50500</v>
      </c>
      <c r="N23307" t="str">
        <f>"8/16/2024 12:21:00 PM"</f>
        <v>8/16/2024 12:21:00 PM</v>
      </c>
      <c r="O23307" t="s">
        <v>70780</v>
      </c>
      <c r="T23307" t="s">
        <v>70781</v>
      </c>
    </row>
    <row r="23308" spans="1:20" x14ac:dyDescent="0.25">
      <c r="A23308" t="str">
        <f>"3059725"</f>
        <v>3059725</v>
      </c>
      <c r="B23308" t="s">
        <v>70783</v>
      </c>
      <c r="C23308" t="str">
        <f>"8318967"</f>
        <v>8318967</v>
      </c>
      <c r="D23308" t="s">
        <v>70784</v>
      </c>
      <c r="F23308" t="s">
        <v>70785</v>
      </c>
      <c r="I23308" t="s">
        <v>30550</v>
      </c>
      <c r="J23308" t="s">
        <v>30</v>
      </c>
      <c r="K23308" t="s">
        <v>70786</v>
      </c>
      <c r="M23308" t="s">
        <v>25733</v>
      </c>
      <c r="N23308" t="str">
        <f>"8/16/2024 1:15:00 PM"</f>
        <v>8/16/2024 1:15:00 PM</v>
      </c>
      <c r="O23308" t="s">
        <v>70784</v>
      </c>
    </row>
    <row r="23309" spans="1:20" x14ac:dyDescent="0.25">
      <c r="A23309" t="str">
        <f>"3049602"</f>
        <v>3049602</v>
      </c>
      <c r="B23309" t="s">
        <v>70787</v>
      </c>
      <c r="C23309" t="str">
        <f>"82517113"</f>
        <v>82517113</v>
      </c>
      <c r="D23309" t="s">
        <v>70788</v>
      </c>
      <c r="E23309" t="s">
        <v>70789</v>
      </c>
      <c r="F23309" t="s">
        <v>70790</v>
      </c>
      <c r="I23309" t="s">
        <v>29</v>
      </c>
      <c r="J23309" t="s">
        <v>30</v>
      </c>
      <c r="K23309" t="s">
        <v>31</v>
      </c>
      <c r="M23309" t="s">
        <v>50793</v>
      </c>
      <c r="N23309" t="str">
        <f>"8/12/2024 10:52:00 AM"</f>
        <v>8/12/2024 10:52:00 AM</v>
      </c>
      <c r="O23309" t="s">
        <v>70788</v>
      </c>
      <c r="T23309" t="s">
        <v>70789</v>
      </c>
    </row>
    <row r="23310" spans="1:20" x14ac:dyDescent="0.25">
      <c r="A23310" t="str">
        <f>"3050319"</f>
        <v>3050319</v>
      </c>
      <c r="B23310" t="s">
        <v>70791</v>
      </c>
      <c r="C23310" t="str">
        <f>"8322756"</f>
        <v>8322756</v>
      </c>
      <c r="D23310" t="s">
        <v>70792</v>
      </c>
      <c r="F23310" t="s">
        <v>70793</v>
      </c>
      <c r="I23310" t="s">
        <v>184</v>
      </c>
      <c r="J23310" t="s">
        <v>30</v>
      </c>
      <c r="K23310" t="s">
        <v>34740</v>
      </c>
      <c r="M23310" t="s">
        <v>50500</v>
      </c>
      <c r="N23310" t="str">
        <f>"8/12/2024 12:08:00 PM"</f>
        <v>8/12/2024 12:08:00 PM</v>
      </c>
      <c r="O23310" t="s">
        <v>70792</v>
      </c>
    </row>
    <row r="23311" spans="1:20" x14ac:dyDescent="0.25">
      <c r="A23311" t="str">
        <f>"3061453"</f>
        <v>3061453</v>
      </c>
      <c r="B23311" t="s">
        <v>70794</v>
      </c>
      <c r="C23311" t="str">
        <f>"8322758"</f>
        <v>8322758</v>
      </c>
      <c r="D23311" t="s">
        <v>70795</v>
      </c>
      <c r="E23311" t="s">
        <v>70796</v>
      </c>
      <c r="F23311" t="s">
        <v>70797</v>
      </c>
      <c r="I23311" t="s">
        <v>184</v>
      </c>
      <c r="J23311" t="s">
        <v>30</v>
      </c>
      <c r="K23311" t="s">
        <v>5266</v>
      </c>
      <c r="M23311" t="s">
        <v>50500</v>
      </c>
      <c r="N23311" t="str">
        <f>"8/12/2024 3:15:00 PM"</f>
        <v>8/12/2024 3:15:00 PM</v>
      </c>
      <c r="O23311" t="s">
        <v>70795</v>
      </c>
      <c r="T23311" t="s">
        <v>70796</v>
      </c>
    </row>
    <row r="23312" spans="1:20" x14ac:dyDescent="0.25">
      <c r="A23312" t="str">
        <f>"3050385"</f>
        <v>3050385</v>
      </c>
      <c r="B23312" t="s">
        <v>70798</v>
      </c>
      <c r="C23312" t="str">
        <f>"8322733"</f>
        <v>8322733</v>
      </c>
      <c r="D23312" t="s">
        <v>70799</v>
      </c>
      <c r="F23312" t="s">
        <v>70800</v>
      </c>
      <c r="I23312" t="s">
        <v>184</v>
      </c>
      <c r="J23312" t="s">
        <v>30</v>
      </c>
      <c r="K23312" t="s">
        <v>70801</v>
      </c>
      <c r="M23312" t="s">
        <v>50500</v>
      </c>
      <c r="N23312" t="str">
        <f>"8/9/2024 11:39:00 AM"</f>
        <v>8/9/2024 11:39:00 AM</v>
      </c>
      <c r="O23312" t="s">
        <v>70799</v>
      </c>
    </row>
    <row r="23313" spans="1:20" x14ac:dyDescent="0.25">
      <c r="A23313" t="str">
        <f>"3062717"</f>
        <v>3062717</v>
      </c>
      <c r="B23313" t="s">
        <v>70802</v>
      </c>
      <c r="C23313" t="str">
        <f>"8322763"</f>
        <v>8322763</v>
      </c>
      <c r="D23313" t="s">
        <v>70803</v>
      </c>
      <c r="E23313" t="s">
        <v>70804</v>
      </c>
      <c r="F23313" t="s">
        <v>70805</v>
      </c>
      <c r="I23313" t="s">
        <v>29</v>
      </c>
      <c r="J23313" t="s">
        <v>30</v>
      </c>
      <c r="K23313" t="s">
        <v>44948</v>
      </c>
      <c r="M23313" t="s">
        <v>50500</v>
      </c>
      <c r="N23313" t="str">
        <f>"8/13/2024 11:06:00 AM"</f>
        <v>8/13/2024 11:06:00 AM</v>
      </c>
      <c r="O23313" t="s">
        <v>70803</v>
      </c>
      <c r="T23313" t="s">
        <v>70804</v>
      </c>
    </row>
    <row r="23314" spans="1:20" x14ac:dyDescent="0.25">
      <c r="A23314" t="str">
        <f>"3047662"</f>
        <v>3047662</v>
      </c>
      <c r="B23314" t="s">
        <v>70806</v>
      </c>
      <c r="C23314" t="str">
        <f>"8310179"</f>
        <v>8310179</v>
      </c>
      <c r="D23314" t="s">
        <v>70807</v>
      </c>
      <c r="F23314" t="s">
        <v>70808</v>
      </c>
      <c r="I23314" t="s">
        <v>184</v>
      </c>
      <c r="J23314" t="s">
        <v>30</v>
      </c>
      <c r="K23314" t="s">
        <v>10425</v>
      </c>
      <c r="M23314" t="s">
        <v>50621</v>
      </c>
      <c r="N23314" t="str">
        <f>"8/13/2024 2:26:00 PM"</f>
        <v>8/13/2024 2:26:00 PM</v>
      </c>
      <c r="O23314" t="s">
        <v>70807</v>
      </c>
    </row>
    <row r="23315" spans="1:20" x14ac:dyDescent="0.25">
      <c r="A23315" t="str">
        <f>"3049033"</f>
        <v>3049033</v>
      </c>
      <c r="B23315" t="s">
        <v>70809</v>
      </c>
      <c r="C23315" t="str">
        <f>"8314625"</f>
        <v>8314625</v>
      </c>
      <c r="D23315" t="s">
        <v>70810</v>
      </c>
      <c r="F23315" t="s">
        <v>60958</v>
      </c>
      <c r="G23315" t="s">
        <v>60959</v>
      </c>
      <c r="I23315" t="s">
        <v>29</v>
      </c>
      <c r="J23315" t="s">
        <v>30</v>
      </c>
      <c r="K23315" t="s">
        <v>60960</v>
      </c>
      <c r="M23315" t="s">
        <v>50621</v>
      </c>
      <c r="N23315" t="str">
        <f>"8/13/2024 2:58:00 PM"</f>
        <v>8/13/2024 2:58:00 PM</v>
      </c>
      <c r="O23315" t="s">
        <v>70810</v>
      </c>
    </row>
    <row r="23316" spans="1:20" x14ac:dyDescent="0.25">
      <c r="A23316" t="str">
        <f>"3070089"</f>
        <v>3070089</v>
      </c>
      <c r="B23316" t="s">
        <v>70811</v>
      </c>
      <c r="C23316" t="str">
        <f>"8314625"</f>
        <v>8314625</v>
      </c>
      <c r="D23316" t="s">
        <v>70810</v>
      </c>
      <c r="F23316" t="s">
        <v>60958</v>
      </c>
      <c r="G23316" t="s">
        <v>60959</v>
      </c>
      <c r="I23316" t="s">
        <v>29</v>
      </c>
      <c r="J23316" t="s">
        <v>30</v>
      </c>
      <c r="K23316" t="s">
        <v>60960</v>
      </c>
      <c r="M23316" t="s">
        <v>50621</v>
      </c>
      <c r="N23316" t="str">
        <f>"8/13/2024 2:58:00 PM"</f>
        <v>8/13/2024 2:58:00 PM</v>
      </c>
      <c r="O23316" t="s">
        <v>70810</v>
      </c>
    </row>
    <row r="23317" spans="1:20" x14ac:dyDescent="0.25">
      <c r="A23317" t="str">
        <f>"3052920"</f>
        <v>3052920</v>
      </c>
      <c r="B23317" t="s">
        <v>70812</v>
      </c>
      <c r="C23317" t="str">
        <f>"8322768"</f>
        <v>8322768</v>
      </c>
      <c r="D23317" t="s">
        <v>70813</v>
      </c>
      <c r="F23317" t="s">
        <v>70713</v>
      </c>
      <c r="I23317" t="s">
        <v>65073</v>
      </c>
      <c r="J23317" t="s">
        <v>30</v>
      </c>
      <c r="K23317" t="s">
        <v>70714</v>
      </c>
      <c r="M23317" t="s">
        <v>50500</v>
      </c>
      <c r="N23317" t="str">
        <f>"8/13/2024 3:28:00 PM"</f>
        <v>8/13/2024 3:28:00 PM</v>
      </c>
      <c r="O23317" t="s">
        <v>70813</v>
      </c>
    </row>
    <row r="23318" spans="1:20" x14ac:dyDescent="0.25">
      <c r="A23318" t="str">
        <f>"3069277"</f>
        <v>3069277</v>
      </c>
      <c r="B23318" t="s">
        <v>70814</v>
      </c>
      <c r="C23318" t="str">
        <f>"8322769"</f>
        <v>8322769</v>
      </c>
      <c r="D23318" t="s">
        <v>70815</v>
      </c>
      <c r="F23318" t="s">
        <v>70816</v>
      </c>
      <c r="I23318" t="s">
        <v>29</v>
      </c>
      <c r="J23318" t="s">
        <v>30</v>
      </c>
      <c r="K23318" t="s">
        <v>70817</v>
      </c>
      <c r="M23318" t="s">
        <v>50500</v>
      </c>
      <c r="N23318" t="str">
        <f>"8/13/2024 3:42:00 PM"</f>
        <v>8/13/2024 3:42:00 PM</v>
      </c>
      <c r="O23318" t="s">
        <v>70815</v>
      </c>
    </row>
    <row r="23319" spans="1:20" x14ac:dyDescent="0.25">
      <c r="A23319" t="str">
        <f>"3044006"</f>
        <v>3044006</v>
      </c>
      <c r="B23319" t="s">
        <v>70818</v>
      </c>
      <c r="C23319" t="str">
        <f>"8303944"</f>
        <v>8303944</v>
      </c>
      <c r="D23319" t="s">
        <v>70819</v>
      </c>
      <c r="F23319" t="s">
        <v>70820</v>
      </c>
      <c r="I23319" t="s">
        <v>52119</v>
      </c>
      <c r="J23319" t="s">
        <v>11346</v>
      </c>
      <c r="K23319" t="s">
        <v>70821</v>
      </c>
      <c r="M23319" t="s">
        <v>50621</v>
      </c>
      <c r="N23319" t="str">
        <f>"8/14/2024 9:06:00 AM"</f>
        <v>8/14/2024 9:06:00 AM</v>
      </c>
      <c r="O23319" t="s">
        <v>70819</v>
      </c>
    </row>
    <row r="23320" spans="1:20" x14ac:dyDescent="0.25">
      <c r="A23320" t="str">
        <f>"3040170"</f>
        <v>3040170</v>
      </c>
      <c r="B23320" t="s">
        <v>70822</v>
      </c>
      <c r="C23320" t="str">
        <f>"8322774"</f>
        <v>8322774</v>
      </c>
      <c r="D23320" t="s">
        <v>70823</v>
      </c>
      <c r="E23320" t="s">
        <v>70824</v>
      </c>
      <c r="F23320" t="s">
        <v>70825</v>
      </c>
      <c r="I23320" t="s">
        <v>29</v>
      </c>
      <c r="J23320" t="s">
        <v>30</v>
      </c>
      <c r="K23320" t="s">
        <v>70826</v>
      </c>
      <c r="M23320" t="s">
        <v>50500</v>
      </c>
      <c r="N23320" t="str">
        <f>"8/14/2024 2:57:00 PM"</f>
        <v>8/14/2024 2:57:00 PM</v>
      </c>
      <c r="O23320" t="s">
        <v>70823</v>
      </c>
      <c r="T23320" t="s">
        <v>70824</v>
      </c>
    </row>
    <row r="23321" spans="1:20" x14ac:dyDescent="0.25">
      <c r="A23321" t="str">
        <f>"3065849"</f>
        <v>3065849</v>
      </c>
      <c r="B23321" t="s">
        <v>70827</v>
      </c>
      <c r="C23321" t="str">
        <f>"8322775"</f>
        <v>8322775</v>
      </c>
      <c r="D23321" t="s">
        <v>70828</v>
      </c>
      <c r="F23321" t="s">
        <v>70829</v>
      </c>
      <c r="I23321" t="s">
        <v>14397</v>
      </c>
      <c r="J23321" t="s">
        <v>4132</v>
      </c>
      <c r="K23321" t="s">
        <v>70830</v>
      </c>
      <c r="M23321" t="s">
        <v>50500</v>
      </c>
      <c r="N23321" t="str">
        <f>"8/14/2024 3:20:00 PM"</f>
        <v>8/14/2024 3:20:00 PM</v>
      </c>
      <c r="O23321" t="s">
        <v>70828</v>
      </c>
    </row>
    <row r="23322" spans="1:20" x14ac:dyDescent="0.25">
      <c r="A23322" t="str">
        <f>"3065850"</f>
        <v>3065850</v>
      </c>
      <c r="B23322" t="s">
        <v>70831</v>
      </c>
      <c r="C23322" t="str">
        <f>"8322775"</f>
        <v>8322775</v>
      </c>
      <c r="D23322" t="s">
        <v>70828</v>
      </c>
      <c r="F23322" t="s">
        <v>70829</v>
      </c>
      <c r="I23322" t="s">
        <v>14397</v>
      </c>
      <c r="J23322" t="s">
        <v>4132</v>
      </c>
      <c r="K23322" t="s">
        <v>70830</v>
      </c>
      <c r="M23322" t="s">
        <v>50500</v>
      </c>
      <c r="N23322" t="str">
        <f>"8/14/2024 3:20:00 PM"</f>
        <v>8/14/2024 3:20:00 PM</v>
      </c>
      <c r="O23322" t="s">
        <v>70828</v>
      </c>
    </row>
    <row r="23323" spans="1:20" x14ac:dyDescent="0.25">
      <c r="A23323" t="str">
        <f>"3062421"</f>
        <v>3062421</v>
      </c>
      <c r="B23323" t="s">
        <v>70832</v>
      </c>
      <c r="C23323" t="str">
        <f>"8322773"</f>
        <v>8322773</v>
      </c>
      <c r="D23323" t="s">
        <v>70833</v>
      </c>
      <c r="E23323" t="s">
        <v>30489</v>
      </c>
      <c r="F23323" t="s">
        <v>70834</v>
      </c>
      <c r="I23323" t="s">
        <v>28704</v>
      </c>
      <c r="J23323" t="s">
        <v>30</v>
      </c>
      <c r="K23323" t="s">
        <v>70835</v>
      </c>
      <c r="M23323" t="s">
        <v>50500</v>
      </c>
      <c r="N23323" t="str">
        <f>"8/15/2024 8:25:00 AM"</f>
        <v>8/15/2024 8:25:00 AM</v>
      </c>
      <c r="O23323" t="s">
        <v>70833</v>
      </c>
      <c r="T23323" t="s">
        <v>30489</v>
      </c>
    </row>
    <row r="23324" spans="1:20" x14ac:dyDescent="0.25">
      <c r="A23324" t="str">
        <f>"3044658"</f>
        <v>3044658</v>
      </c>
      <c r="B23324" t="s">
        <v>70836</v>
      </c>
      <c r="C23324" t="str">
        <f>"8322777"</f>
        <v>8322777</v>
      </c>
      <c r="D23324" t="s">
        <v>70837</v>
      </c>
      <c r="E23324" t="s">
        <v>70838</v>
      </c>
      <c r="F23324" t="s">
        <v>70839</v>
      </c>
      <c r="I23324" t="s">
        <v>184</v>
      </c>
      <c r="J23324" t="s">
        <v>30</v>
      </c>
      <c r="K23324" t="s">
        <v>5929</v>
      </c>
      <c r="M23324" t="s">
        <v>50500</v>
      </c>
      <c r="N23324" t="str">
        <f>"8/15/2024 8:41:00 AM"</f>
        <v>8/15/2024 8:41:00 AM</v>
      </c>
      <c r="O23324" t="s">
        <v>70837</v>
      </c>
      <c r="T23324" t="s">
        <v>70838</v>
      </c>
    </row>
    <row r="23325" spans="1:20" x14ac:dyDescent="0.25">
      <c r="A23325" t="str">
        <f>"3050261"</f>
        <v>3050261</v>
      </c>
      <c r="B23325" t="s">
        <v>70840</v>
      </c>
      <c r="C23325" t="str">
        <f>"8322778"</f>
        <v>8322778</v>
      </c>
      <c r="D23325" t="s">
        <v>70841</v>
      </c>
      <c r="E23325" t="s">
        <v>58055</v>
      </c>
      <c r="F23325" t="s">
        <v>62454</v>
      </c>
      <c r="I23325" t="s">
        <v>29</v>
      </c>
      <c r="J23325" t="s">
        <v>30</v>
      </c>
      <c r="K23325" t="s">
        <v>39112</v>
      </c>
      <c r="M23325" t="s">
        <v>50500</v>
      </c>
      <c r="N23325" t="str">
        <f>"8/15/2024 8:46:00 AM"</f>
        <v>8/15/2024 8:46:00 AM</v>
      </c>
      <c r="O23325" t="s">
        <v>70841</v>
      </c>
      <c r="T23325" t="s">
        <v>58055</v>
      </c>
    </row>
    <row r="23326" spans="1:20" x14ac:dyDescent="0.25">
      <c r="A23326" t="str">
        <f>"3059706"</f>
        <v>3059706</v>
      </c>
      <c r="B23326" t="s">
        <v>70842</v>
      </c>
      <c r="C23326" t="str">
        <f>"8322781"</f>
        <v>8322781</v>
      </c>
      <c r="D23326" t="s">
        <v>70843</v>
      </c>
      <c r="F23326" t="s">
        <v>70844</v>
      </c>
      <c r="I23326" t="s">
        <v>29</v>
      </c>
      <c r="J23326" t="s">
        <v>30</v>
      </c>
      <c r="K23326" t="s">
        <v>52084</v>
      </c>
      <c r="M23326" t="s">
        <v>50500</v>
      </c>
      <c r="N23326" t="str">
        <f>"8/15/2024 9:23:00 AM"</f>
        <v>8/15/2024 9:23:00 AM</v>
      </c>
      <c r="O23326" t="s">
        <v>70843</v>
      </c>
    </row>
    <row r="23327" spans="1:20" x14ac:dyDescent="0.25">
      <c r="A23327" t="str">
        <f>"3052751"</f>
        <v>3052751</v>
      </c>
      <c r="B23327" t="s">
        <v>70845</v>
      </c>
      <c r="C23327" t="str">
        <f>"8302113"</f>
        <v>8302113</v>
      </c>
      <c r="D23327" t="s">
        <v>70846</v>
      </c>
      <c r="E23327" t="s">
        <v>70847</v>
      </c>
      <c r="F23327" t="s">
        <v>70848</v>
      </c>
      <c r="I23327" t="s">
        <v>29</v>
      </c>
      <c r="J23327" t="s">
        <v>30</v>
      </c>
      <c r="K23327" t="s">
        <v>70849</v>
      </c>
      <c r="M23327" t="s">
        <v>50621</v>
      </c>
      <c r="N23327" t="str">
        <f>"8/15/2024 9:46:00 AM"</f>
        <v>8/15/2024 9:46:00 AM</v>
      </c>
      <c r="O23327" t="s">
        <v>70846</v>
      </c>
      <c r="T23327" t="s">
        <v>70847</v>
      </c>
    </row>
    <row r="23328" spans="1:20" x14ac:dyDescent="0.25">
      <c r="A23328" t="str">
        <f>"3062667"</f>
        <v>3062667</v>
      </c>
      <c r="B23328" t="s">
        <v>70850</v>
      </c>
      <c r="C23328" t="str">
        <f>"8322760"</f>
        <v>8322760</v>
      </c>
      <c r="D23328" t="s">
        <v>70851</v>
      </c>
      <c r="E23328" t="s">
        <v>70852</v>
      </c>
      <c r="F23328" t="s">
        <v>70853</v>
      </c>
      <c r="I23328" t="s">
        <v>29</v>
      </c>
      <c r="J23328" t="s">
        <v>30</v>
      </c>
      <c r="K23328" t="s">
        <v>12616</v>
      </c>
      <c r="M23328" t="s">
        <v>50500</v>
      </c>
      <c r="N23328" t="str">
        <f>"8/13/2024 9:11:00 AM"</f>
        <v>8/13/2024 9:11:00 AM</v>
      </c>
      <c r="O23328" t="s">
        <v>70851</v>
      </c>
      <c r="T23328" t="s">
        <v>70852</v>
      </c>
    </row>
    <row r="23329" spans="1:20" x14ac:dyDescent="0.25">
      <c r="A23329" t="str">
        <f>"3038982"</f>
        <v>3038982</v>
      </c>
      <c r="B23329" t="s">
        <v>70854</v>
      </c>
      <c r="C23329" t="str">
        <f>"8322761"</f>
        <v>8322761</v>
      </c>
      <c r="D23329" t="s">
        <v>70855</v>
      </c>
      <c r="E23329" t="s">
        <v>70856</v>
      </c>
      <c r="F23329" t="s">
        <v>70857</v>
      </c>
      <c r="I23329" t="s">
        <v>17921</v>
      </c>
      <c r="J23329" t="s">
        <v>30</v>
      </c>
      <c r="K23329" t="str">
        <f>"27028"</f>
        <v>27028</v>
      </c>
      <c r="M23329" t="s">
        <v>50500</v>
      </c>
      <c r="N23329" t="str">
        <f>"8/13/2024 9:21:00 AM"</f>
        <v>8/13/2024 9:21:00 AM</v>
      </c>
      <c r="O23329" t="s">
        <v>70855</v>
      </c>
      <c r="T23329" t="s">
        <v>70856</v>
      </c>
    </row>
    <row r="23330" spans="1:20" x14ac:dyDescent="0.25">
      <c r="A23330" t="str">
        <f>"3038785"</f>
        <v>3038785</v>
      </c>
      <c r="B23330" t="s">
        <v>70858</v>
      </c>
      <c r="C23330" t="str">
        <f>"8322761"</f>
        <v>8322761</v>
      </c>
      <c r="D23330" t="s">
        <v>70855</v>
      </c>
      <c r="E23330" t="s">
        <v>70856</v>
      </c>
      <c r="F23330" t="s">
        <v>70857</v>
      </c>
      <c r="I23330" t="s">
        <v>17921</v>
      </c>
      <c r="J23330" t="s">
        <v>30</v>
      </c>
      <c r="K23330" t="str">
        <f>"27028"</f>
        <v>27028</v>
      </c>
      <c r="M23330" t="s">
        <v>50500</v>
      </c>
      <c r="N23330" t="str">
        <f>"8/13/2024 9:21:00 AM"</f>
        <v>8/13/2024 9:21:00 AM</v>
      </c>
      <c r="O23330" t="s">
        <v>70855</v>
      </c>
      <c r="T23330" t="s">
        <v>70856</v>
      </c>
    </row>
    <row r="23331" spans="1:20" x14ac:dyDescent="0.25">
      <c r="A23331" t="str">
        <f>"3038772"</f>
        <v>3038772</v>
      </c>
      <c r="B23331" t="s">
        <v>70859</v>
      </c>
      <c r="C23331" t="str">
        <f>"8322761"</f>
        <v>8322761</v>
      </c>
      <c r="D23331" t="s">
        <v>70855</v>
      </c>
      <c r="E23331" t="s">
        <v>70856</v>
      </c>
      <c r="F23331" t="s">
        <v>70857</v>
      </c>
      <c r="I23331" t="s">
        <v>17921</v>
      </c>
      <c r="J23331" t="s">
        <v>30</v>
      </c>
      <c r="K23331" t="str">
        <f>"27028"</f>
        <v>27028</v>
      </c>
      <c r="M23331" t="s">
        <v>50500</v>
      </c>
      <c r="N23331" t="str">
        <f>"8/13/2024 9:21:00 AM"</f>
        <v>8/13/2024 9:21:00 AM</v>
      </c>
      <c r="O23331" t="s">
        <v>70855</v>
      </c>
      <c r="T23331" t="s">
        <v>70856</v>
      </c>
    </row>
    <row r="23332" spans="1:20" x14ac:dyDescent="0.25">
      <c r="A23332" t="str">
        <f>"3057495"</f>
        <v>3057495</v>
      </c>
      <c r="B23332" t="s">
        <v>70860</v>
      </c>
      <c r="C23332" t="str">
        <f>"8322762"</f>
        <v>8322762</v>
      </c>
      <c r="D23332" t="s">
        <v>70861</v>
      </c>
      <c r="E23332" t="s">
        <v>70862</v>
      </c>
      <c r="F23332" t="s">
        <v>70863</v>
      </c>
      <c r="I23332" t="s">
        <v>21564</v>
      </c>
      <c r="J23332" t="s">
        <v>30</v>
      </c>
      <c r="K23332" t="s">
        <v>70864</v>
      </c>
      <c r="M23332" t="s">
        <v>50500</v>
      </c>
      <c r="N23332" t="str">
        <f>"8/13/2024 9:32:00 AM"</f>
        <v>8/13/2024 9:32:00 AM</v>
      </c>
      <c r="O23332" t="s">
        <v>70861</v>
      </c>
      <c r="T23332" t="s">
        <v>70862</v>
      </c>
    </row>
    <row r="23333" spans="1:20" x14ac:dyDescent="0.25">
      <c r="A23333" t="str">
        <f>"3052968"</f>
        <v>3052968</v>
      </c>
      <c r="B23333" t="s">
        <v>70865</v>
      </c>
      <c r="C23333" t="str">
        <f>"8322792"</f>
        <v>8322792</v>
      </c>
      <c r="D23333" t="s">
        <v>59525</v>
      </c>
      <c r="E23333" t="s">
        <v>70866</v>
      </c>
      <c r="F23333" t="s">
        <v>47896</v>
      </c>
      <c r="I23333" t="s">
        <v>29</v>
      </c>
      <c r="J23333" t="s">
        <v>30</v>
      </c>
      <c r="K23333" t="s">
        <v>47897</v>
      </c>
      <c r="M23333" t="s">
        <v>50500</v>
      </c>
      <c r="N23333" t="str">
        <f>"8/20/2024 9:21:00 AM"</f>
        <v>8/20/2024 9:21:00 AM</v>
      </c>
      <c r="O23333" t="s">
        <v>59525</v>
      </c>
      <c r="T23333" t="s">
        <v>70866</v>
      </c>
    </row>
    <row r="23334" spans="1:20" x14ac:dyDescent="0.25">
      <c r="A23334" t="str">
        <f>"3051673"</f>
        <v>3051673</v>
      </c>
      <c r="B23334" t="s">
        <v>70867</v>
      </c>
      <c r="C23334" t="str">
        <f>"8321456"</f>
        <v>8321456</v>
      </c>
      <c r="D23334" t="s">
        <v>70868</v>
      </c>
      <c r="E23334" t="s">
        <v>70869</v>
      </c>
      <c r="F23334" t="s">
        <v>70870</v>
      </c>
      <c r="I23334" t="s">
        <v>2525</v>
      </c>
      <c r="J23334" t="s">
        <v>30</v>
      </c>
      <c r="K23334" t="s">
        <v>70871</v>
      </c>
      <c r="M23334" t="s">
        <v>50621</v>
      </c>
      <c r="N23334" t="str">
        <f>"8/20/2024 9:22:00 AM"</f>
        <v>8/20/2024 9:22:00 AM</v>
      </c>
      <c r="O23334" t="s">
        <v>70868</v>
      </c>
      <c r="T23334" t="s">
        <v>70869</v>
      </c>
    </row>
    <row r="23335" spans="1:20" x14ac:dyDescent="0.25">
      <c r="A23335" t="str">
        <f>"3043505"</f>
        <v>3043505</v>
      </c>
      <c r="B23335" t="s">
        <v>70872</v>
      </c>
      <c r="C23335" t="str">
        <f>"8322809"</f>
        <v>8322809</v>
      </c>
      <c r="D23335" t="s">
        <v>70873</v>
      </c>
      <c r="E23335" t="s">
        <v>70874</v>
      </c>
      <c r="F23335" t="s">
        <v>70875</v>
      </c>
      <c r="I23335" t="s">
        <v>29</v>
      </c>
      <c r="J23335" t="s">
        <v>30</v>
      </c>
      <c r="K23335" t="s">
        <v>37940</v>
      </c>
      <c r="M23335" t="s">
        <v>50500</v>
      </c>
      <c r="N23335" t="str">
        <f>"8/22/2024 9:05:00 AM"</f>
        <v>8/22/2024 9:05:00 AM</v>
      </c>
      <c r="O23335" t="s">
        <v>70873</v>
      </c>
      <c r="T23335" t="s">
        <v>70874</v>
      </c>
    </row>
    <row r="23336" spans="1:20" x14ac:dyDescent="0.25">
      <c r="A23336" t="str">
        <f>"3047329"</f>
        <v>3047329</v>
      </c>
      <c r="B23336" t="s">
        <v>70876</v>
      </c>
      <c r="C23336" t="str">
        <f>"82519445"</f>
        <v>82519445</v>
      </c>
      <c r="D23336" t="s">
        <v>70877</v>
      </c>
      <c r="F23336" t="s">
        <v>57847</v>
      </c>
      <c r="I23336" t="s">
        <v>184</v>
      </c>
      <c r="J23336" t="s">
        <v>30</v>
      </c>
      <c r="K23336" t="s">
        <v>185</v>
      </c>
      <c r="M23336" t="s">
        <v>25733</v>
      </c>
      <c r="N23336" t="str">
        <f>"8/22/2024 9:06:00 AM"</f>
        <v>8/22/2024 9:06:00 AM</v>
      </c>
      <c r="O23336" t="s">
        <v>70877</v>
      </c>
    </row>
    <row r="23337" spans="1:20" x14ac:dyDescent="0.25">
      <c r="A23337" t="str">
        <f>"3048655"</f>
        <v>3048655</v>
      </c>
      <c r="B23337" t="s">
        <v>70878</v>
      </c>
      <c r="C23337" t="str">
        <f>"8304558"</f>
        <v>8304558</v>
      </c>
      <c r="D23337" t="s">
        <v>70879</v>
      </c>
      <c r="E23337" t="str">
        <f>"C/O RADIAN REAL ESTATE MGMT"</f>
        <v>C/O RADIAN REAL ESTATE MGMT</v>
      </c>
      <c r="F23337" t="s">
        <v>70880</v>
      </c>
      <c r="G23337" t="s">
        <v>70881</v>
      </c>
      <c r="I23337" t="s">
        <v>70882</v>
      </c>
      <c r="J23337" t="s">
        <v>70883</v>
      </c>
      <c r="K23337" t="str">
        <f>"84047"</f>
        <v>84047</v>
      </c>
      <c r="M23337" t="s">
        <v>25733</v>
      </c>
      <c r="N23337" t="str">
        <f>"8/22/2024 9:19:00 AM"</f>
        <v>8/22/2024 9:19:00 AM</v>
      </c>
      <c r="O23337" t="s">
        <v>70879</v>
      </c>
      <c r="T23337" t="str">
        <f>"C/O RADIAN REAL ESTATE MGMT"</f>
        <v>C/O RADIAN REAL ESTATE MGMT</v>
      </c>
    </row>
    <row r="23338" spans="1:20" x14ac:dyDescent="0.25">
      <c r="A23338" t="str">
        <f>"3048128"</f>
        <v>3048128</v>
      </c>
      <c r="B23338" t="s">
        <v>70884</v>
      </c>
      <c r="C23338" t="str">
        <f>"8322793"</f>
        <v>8322793</v>
      </c>
      <c r="D23338" t="s">
        <v>70885</v>
      </c>
      <c r="E23338" t="s">
        <v>70886</v>
      </c>
      <c r="F23338" t="s">
        <v>70887</v>
      </c>
      <c r="I23338" t="s">
        <v>184</v>
      </c>
      <c r="J23338" t="s">
        <v>30</v>
      </c>
      <c r="K23338" t="s">
        <v>58535</v>
      </c>
      <c r="M23338" t="s">
        <v>50500</v>
      </c>
      <c r="N23338" t="str">
        <f>"8/20/2024 9:26:00 AM"</f>
        <v>8/20/2024 9:26:00 AM</v>
      </c>
      <c r="O23338" t="s">
        <v>70885</v>
      </c>
      <c r="T23338" t="s">
        <v>70886</v>
      </c>
    </row>
    <row r="23339" spans="1:20" x14ac:dyDescent="0.25">
      <c r="A23339" t="str">
        <f>"3062659"</f>
        <v>3062659</v>
      </c>
      <c r="B23339" t="s">
        <v>70888</v>
      </c>
      <c r="C23339" t="str">
        <f>"8322794"</f>
        <v>8322794</v>
      </c>
      <c r="D23339" t="s">
        <v>70889</v>
      </c>
      <c r="E23339" t="s">
        <v>70890</v>
      </c>
      <c r="F23339" t="s">
        <v>70891</v>
      </c>
      <c r="I23339" t="s">
        <v>184</v>
      </c>
      <c r="J23339" t="s">
        <v>30</v>
      </c>
      <c r="K23339" t="s">
        <v>63671</v>
      </c>
      <c r="M23339" t="s">
        <v>50500</v>
      </c>
      <c r="N23339" t="str">
        <f>"8/20/2024 9:31:00 AM"</f>
        <v>8/20/2024 9:31:00 AM</v>
      </c>
      <c r="O23339" t="s">
        <v>70889</v>
      </c>
      <c r="T23339" t="s">
        <v>70890</v>
      </c>
    </row>
    <row r="23340" spans="1:20" x14ac:dyDescent="0.25">
      <c r="A23340" t="str">
        <f>"3060917"</f>
        <v>3060917</v>
      </c>
      <c r="B23340" t="s">
        <v>70892</v>
      </c>
      <c r="C23340" t="str">
        <f>"82530076"</f>
        <v>82530076</v>
      </c>
      <c r="D23340" t="s">
        <v>70893</v>
      </c>
      <c r="F23340" t="s">
        <v>70894</v>
      </c>
      <c r="I23340" t="s">
        <v>2071</v>
      </c>
      <c r="J23340" t="s">
        <v>30</v>
      </c>
      <c r="K23340" t="s">
        <v>185</v>
      </c>
      <c r="M23340" t="s">
        <v>50621</v>
      </c>
      <c r="N23340" t="str">
        <f>"8/20/2024 9:34:00 AM"</f>
        <v>8/20/2024 9:34:00 AM</v>
      </c>
      <c r="O23340" t="s">
        <v>70893</v>
      </c>
    </row>
    <row r="23341" spans="1:20" x14ac:dyDescent="0.25">
      <c r="A23341" t="str">
        <f>"3062573"</f>
        <v>3062573</v>
      </c>
      <c r="B23341" t="s">
        <v>70895</v>
      </c>
      <c r="C23341" t="str">
        <f>"8322795"</f>
        <v>8322795</v>
      </c>
      <c r="D23341" t="s">
        <v>70896</v>
      </c>
      <c r="E23341" t="s">
        <v>70897</v>
      </c>
      <c r="F23341" t="s">
        <v>70898</v>
      </c>
      <c r="I23341" t="s">
        <v>184</v>
      </c>
      <c r="J23341" t="s">
        <v>30</v>
      </c>
      <c r="K23341" t="s">
        <v>36453</v>
      </c>
      <c r="M23341" t="s">
        <v>50500</v>
      </c>
      <c r="N23341" t="str">
        <f>"8/20/2024 9:44:00 AM"</f>
        <v>8/20/2024 9:44:00 AM</v>
      </c>
      <c r="O23341" t="s">
        <v>70896</v>
      </c>
      <c r="T23341" t="s">
        <v>70897</v>
      </c>
    </row>
    <row r="23342" spans="1:20" x14ac:dyDescent="0.25">
      <c r="A23342" t="str">
        <f>"3060115"</f>
        <v>3060115</v>
      </c>
      <c r="B23342" t="s">
        <v>70899</v>
      </c>
      <c r="C23342" t="str">
        <f>"8322812"</f>
        <v>8322812</v>
      </c>
      <c r="D23342" t="s">
        <v>70900</v>
      </c>
      <c r="E23342" t="s">
        <v>70901</v>
      </c>
      <c r="F23342" t="s">
        <v>70902</v>
      </c>
      <c r="I23342" t="s">
        <v>184</v>
      </c>
      <c r="J23342" t="s">
        <v>30</v>
      </c>
      <c r="K23342" t="s">
        <v>33921</v>
      </c>
      <c r="M23342" t="s">
        <v>50500</v>
      </c>
      <c r="N23342" t="str">
        <f>"8/22/2024 3:24:00 PM"</f>
        <v>8/22/2024 3:24:00 PM</v>
      </c>
      <c r="O23342" t="s">
        <v>70900</v>
      </c>
      <c r="T23342" t="s">
        <v>70901</v>
      </c>
    </row>
    <row r="23343" spans="1:20" x14ac:dyDescent="0.25">
      <c r="A23343" t="str">
        <f>"3061794"</f>
        <v>3061794</v>
      </c>
      <c r="B23343" t="s">
        <v>70903</v>
      </c>
      <c r="C23343" t="str">
        <f>"8322813"</f>
        <v>8322813</v>
      </c>
      <c r="D23343" t="s">
        <v>70904</v>
      </c>
      <c r="F23343" t="s">
        <v>70905</v>
      </c>
      <c r="I23343" t="s">
        <v>402</v>
      </c>
      <c r="J23343" t="s">
        <v>30</v>
      </c>
      <c r="K23343" t="s">
        <v>70906</v>
      </c>
      <c r="M23343" t="s">
        <v>50500</v>
      </c>
      <c r="N23343" t="str">
        <f>"8/23/2024 8:28:00 AM"</f>
        <v>8/23/2024 8:28:00 AM</v>
      </c>
      <c r="O23343" t="s">
        <v>70904</v>
      </c>
    </row>
    <row r="23344" spans="1:20" x14ac:dyDescent="0.25">
      <c r="A23344" t="str">
        <f>"3061667"</f>
        <v>3061667</v>
      </c>
      <c r="B23344" t="s">
        <v>70907</v>
      </c>
      <c r="C23344" t="str">
        <f>"8322814"</f>
        <v>8322814</v>
      </c>
      <c r="D23344" t="s">
        <v>70908</v>
      </c>
      <c r="E23344" t="s">
        <v>70909</v>
      </c>
      <c r="F23344" t="s">
        <v>70910</v>
      </c>
      <c r="I23344" t="s">
        <v>29</v>
      </c>
      <c r="J23344" t="s">
        <v>30</v>
      </c>
      <c r="K23344" t="s">
        <v>59681</v>
      </c>
      <c r="M23344" t="s">
        <v>50500</v>
      </c>
      <c r="N23344" t="str">
        <f>"8/23/2024 8:53:00 AM"</f>
        <v>8/23/2024 8:53:00 AM</v>
      </c>
      <c r="O23344" t="s">
        <v>70908</v>
      </c>
      <c r="T23344" t="s">
        <v>70909</v>
      </c>
    </row>
    <row r="23345" spans="1:20" x14ac:dyDescent="0.25">
      <c r="A23345" t="str">
        <f>"3062663"</f>
        <v>3062663</v>
      </c>
      <c r="B23345" t="s">
        <v>70911</v>
      </c>
      <c r="C23345" t="str">
        <f>"8322816"</f>
        <v>8322816</v>
      </c>
      <c r="D23345" t="s">
        <v>70912</v>
      </c>
      <c r="F23345" t="s">
        <v>70913</v>
      </c>
      <c r="I23345" t="s">
        <v>29</v>
      </c>
      <c r="J23345" t="s">
        <v>30</v>
      </c>
      <c r="K23345" t="s">
        <v>70914</v>
      </c>
      <c r="M23345" t="s">
        <v>50500</v>
      </c>
      <c r="N23345" t="str">
        <f>"8/23/2024 9:10:00 AM"</f>
        <v>8/23/2024 9:10:00 AM</v>
      </c>
      <c r="O23345" t="s">
        <v>70912</v>
      </c>
    </row>
    <row r="23346" spans="1:20" x14ac:dyDescent="0.25">
      <c r="A23346" t="str">
        <f>"3058719"</f>
        <v>3058719</v>
      </c>
      <c r="B23346" t="s">
        <v>70915</v>
      </c>
      <c r="C23346" t="str">
        <f>"8322817"</f>
        <v>8322817</v>
      </c>
      <c r="D23346" t="s">
        <v>70916</v>
      </c>
      <c r="E23346" t="s">
        <v>70917</v>
      </c>
      <c r="F23346" t="s">
        <v>70918</v>
      </c>
      <c r="I23346" t="s">
        <v>29</v>
      </c>
      <c r="J23346" t="s">
        <v>30</v>
      </c>
      <c r="K23346" t="s">
        <v>59681</v>
      </c>
      <c r="M23346" t="s">
        <v>50500</v>
      </c>
      <c r="N23346" t="str">
        <f>"8/23/2024 9:15:00 AM"</f>
        <v>8/23/2024 9:15:00 AM</v>
      </c>
      <c r="O23346" t="s">
        <v>70916</v>
      </c>
      <c r="T23346" t="s">
        <v>70917</v>
      </c>
    </row>
    <row r="23347" spans="1:20" x14ac:dyDescent="0.25">
      <c r="A23347" t="str">
        <f>"3064863"</f>
        <v>3064863</v>
      </c>
      <c r="B23347" t="s">
        <v>70919</v>
      </c>
      <c r="C23347" t="str">
        <f>"8322818"</f>
        <v>8322818</v>
      </c>
      <c r="D23347" t="s">
        <v>70920</v>
      </c>
      <c r="E23347" t="s">
        <v>70921</v>
      </c>
      <c r="F23347" t="s">
        <v>70922</v>
      </c>
      <c r="I23347" t="s">
        <v>29</v>
      </c>
      <c r="J23347" t="s">
        <v>30</v>
      </c>
      <c r="K23347" t="s">
        <v>39975</v>
      </c>
      <c r="M23347" t="s">
        <v>50500</v>
      </c>
      <c r="N23347" t="str">
        <f>"8/23/2024 9:23:00 AM"</f>
        <v>8/23/2024 9:23:00 AM</v>
      </c>
      <c r="O23347" t="s">
        <v>70920</v>
      </c>
      <c r="T23347" t="s">
        <v>70921</v>
      </c>
    </row>
    <row r="23348" spans="1:20" x14ac:dyDescent="0.25">
      <c r="A23348" t="str">
        <f>"3060676"</f>
        <v>3060676</v>
      </c>
      <c r="B23348" t="s">
        <v>70923</v>
      </c>
      <c r="C23348" t="str">
        <f>"8322819"</f>
        <v>8322819</v>
      </c>
      <c r="D23348" t="s">
        <v>70924</v>
      </c>
      <c r="E23348" t="s">
        <v>70925</v>
      </c>
      <c r="F23348" t="s">
        <v>70926</v>
      </c>
      <c r="I23348" t="s">
        <v>184</v>
      </c>
      <c r="J23348" t="s">
        <v>30</v>
      </c>
      <c r="K23348" t="s">
        <v>70927</v>
      </c>
      <c r="M23348" t="s">
        <v>50500</v>
      </c>
      <c r="N23348" t="str">
        <f>"8/23/2024 9:28:00 AM"</f>
        <v>8/23/2024 9:28:00 AM</v>
      </c>
      <c r="O23348" t="s">
        <v>70924</v>
      </c>
      <c r="T23348" t="s">
        <v>70925</v>
      </c>
    </row>
    <row r="23349" spans="1:20" x14ac:dyDescent="0.25">
      <c r="A23349" t="str">
        <f>"3039234"</f>
        <v>3039234</v>
      </c>
      <c r="B23349" t="s">
        <v>70928</v>
      </c>
      <c r="C23349" t="str">
        <f>"8322820"</f>
        <v>8322820</v>
      </c>
      <c r="D23349" t="s">
        <v>70929</v>
      </c>
      <c r="F23349" t="s">
        <v>70930</v>
      </c>
      <c r="I23349" t="s">
        <v>29</v>
      </c>
      <c r="J23349" t="s">
        <v>30</v>
      </c>
      <c r="K23349" t="s">
        <v>70931</v>
      </c>
      <c r="M23349" t="s">
        <v>50500</v>
      </c>
      <c r="N23349" t="str">
        <f>"8/23/2024 9:35:00 AM"</f>
        <v>8/23/2024 9:35:00 AM</v>
      </c>
      <c r="O23349" t="s">
        <v>70929</v>
      </c>
    </row>
    <row r="23350" spans="1:20" x14ac:dyDescent="0.25">
      <c r="A23350" t="str">
        <f>"3040808"</f>
        <v>3040808</v>
      </c>
      <c r="B23350" t="s">
        <v>70932</v>
      </c>
      <c r="C23350" t="str">
        <f>"82521941"</f>
        <v>82521941</v>
      </c>
      <c r="D23350" t="s">
        <v>70933</v>
      </c>
      <c r="E23350" t="s">
        <v>70934</v>
      </c>
      <c r="F23350" t="s">
        <v>70935</v>
      </c>
      <c r="I23350" t="s">
        <v>184</v>
      </c>
      <c r="J23350" t="s">
        <v>30</v>
      </c>
      <c r="K23350" t="s">
        <v>185</v>
      </c>
      <c r="M23350" t="s">
        <v>50793</v>
      </c>
      <c r="N23350" t="str">
        <f>"8/23/2024 9:37:00 AM"</f>
        <v>8/23/2024 9:37:00 AM</v>
      </c>
      <c r="O23350" t="s">
        <v>70933</v>
      </c>
      <c r="T23350" t="s">
        <v>70934</v>
      </c>
    </row>
    <row r="23351" spans="1:20" x14ac:dyDescent="0.25">
      <c r="A23351" t="str">
        <f>"3062721"</f>
        <v>3062721</v>
      </c>
      <c r="B23351" t="s">
        <v>70936</v>
      </c>
      <c r="C23351" t="str">
        <f>"8322821"</f>
        <v>8322821</v>
      </c>
      <c r="D23351" t="s">
        <v>70937</v>
      </c>
      <c r="E23351" t="s">
        <v>70938</v>
      </c>
      <c r="F23351" t="s">
        <v>70939</v>
      </c>
      <c r="I23351" t="s">
        <v>184</v>
      </c>
      <c r="J23351" t="s">
        <v>30</v>
      </c>
      <c r="K23351" t="s">
        <v>3117</v>
      </c>
      <c r="M23351" t="s">
        <v>50500</v>
      </c>
      <c r="N23351" t="str">
        <f>"8/23/2024 9:39:00 AM"</f>
        <v>8/23/2024 9:39:00 AM</v>
      </c>
      <c r="O23351" t="s">
        <v>70937</v>
      </c>
      <c r="T23351" t="s">
        <v>70938</v>
      </c>
    </row>
    <row r="23352" spans="1:20" x14ac:dyDescent="0.25">
      <c r="A23352" t="str">
        <f>"3077710"</f>
        <v>3077710</v>
      </c>
      <c r="B23352" t="s">
        <v>70940</v>
      </c>
      <c r="C23352" t="str">
        <f>"8322822"</f>
        <v>8322822</v>
      </c>
      <c r="D23352" t="s">
        <v>70941</v>
      </c>
      <c r="E23352" t="s">
        <v>70942</v>
      </c>
      <c r="F23352" t="s">
        <v>70943</v>
      </c>
      <c r="I23352" t="s">
        <v>1176</v>
      </c>
      <c r="J23352" t="s">
        <v>30</v>
      </c>
      <c r="K23352" t="s">
        <v>70944</v>
      </c>
      <c r="M23352" t="s">
        <v>50500</v>
      </c>
      <c r="N23352" t="str">
        <f>"8/23/2024 9:43:00 AM"</f>
        <v>8/23/2024 9:43:00 AM</v>
      </c>
      <c r="O23352" t="s">
        <v>70941</v>
      </c>
      <c r="T23352" t="s">
        <v>70942</v>
      </c>
    </row>
    <row r="23353" spans="1:20" x14ac:dyDescent="0.25">
      <c r="A23353" t="str">
        <f>"3065449"</f>
        <v>3065449</v>
      </c>
      <c r="B23353" t="s">
        <v>70945</v>
      </c>
      <c r="C23353" t="str">
        <f>"8322823"</f>
        <v>8322823</v>
      </c>
      <c r="D23353" t="s">
        <v>70946</v>
      </c>
      <c r="F23353" t="s">
        <v>70947</v>
      </c>
      <c r="I23353" t="s">
        <v>3934</v>
      </c>
      <c r="J23353" t="s">
        <v>30</v>
      </c>
      <c r="K23353" t="s">
        <v>70948</v>
      </c>
      <c r="M23353" t="s">
        <v>50500</v>
      </c>
      <c r="N23353" t="str">
        <f>"8/23/2024 9:47:00 AM"</f>
        <v>8/23/2024 9:47:00 AM</v>
      </c>
      <c r="O23353" t="s">
        <v>70946</v>
      </c>
    </row>
    <row r="23354" spans="1:20" x14ac:dyDescent="0.25">
      <c r="A23354" t="str">
        <f>"3052431"</f>
        <v>3052431</v>
      </c>
      <c r="B23354" t="s">
        <v>70949</v>
      </c>
      <c r="C23354" t="str">
        <f>"8322824"</f>
        <v>8322824</v>
      </c>
      <c r="D23354" t="s">
        <v>70950</v>
      </c>
      <c r="F23354" t="s">
        <v>70951</v>
      </c>
      <c r="I23354" t="s">
        <v>402</v>
      </c>
      <c r="J23354" t="s">
        <v>30</v>
      </c>
      <c r="K23354" t="s">
        <v>70952</v>
      </c>
      <c r="M23354" t="s">
        <v>50500</v>
      </c>
      <c r="N23354" t="str">
        <f>"8/23/2024 9:51:00 AM"</f>
        <v>8/23/2024 9:51:00 AM</v>
      </c>
      <c r="O23354" t="s">
        <v>70950</v>
      </c>
    </row>
    <row r="23355" spans="1:20" x14ac:dyDescent="0.25">
      <c r="A23355" t="str">
        <f>"3060748"</f>
        <v>3060748</v>
      </c>
      <c r="B23355" t="s">
        <v>70953</v>
      </c>
      <c r="C23355" t="str">
        <f>"8322825"</f>
        <v>8322825</v>
      </c>
      <c r="D23355" t="s">
        <v>70954</v>
      </c>
      <c r="E23355" t="s">
        <v>70955</v>
      </c>
      <c r="F23355" t="s">
        <v>70956</v>
      </c>
      <c r="I23355" t="s">
        <v>184</v>
      </c>
      <c r="J23355" t="s">
        <v>30</v>
      </c>
      <c r="K23355" t="s">
        <v>819</v>
      </c>
      <c r="M23355" t="s">
        <v>50500</v>
      </c>
      <c r="N23355" t="str">
        <f>"8/23/2024 9:58:00 AM"</f>
        <v>8/23/2024 9:58:00 AM</v>
      </c>
      <c r="O23355" t="s">
        <v>70954</v>
      </c>
      <c r="T23355" t="s">
        <v>70955</v>
      </c>
    </row>
    <row r="23356" spans="1:20" x14ac:dyDescent="0.25">
      <c r="A23356" t="str">
        <f>"3050233"</f>
        <v>3050233</v>
      </c>
      <c r="B23356" t="s">
        <v>70957</v>
      </c>
      <c r="C23356" t="str">
        <f>"8322826"</f>
        <v>8322826</v>
      </c>
      <c r="D23356" t="s">
        <v>70958</v>
      </c>
      <c r="E23356" t="s">
        <v>70959</v>
      </c>
      <c r="F23356" t="s">
        <v>70960</v>
      </c>
      <c r="I23356" t="s">
        <v>29</v>
      </c>
      <c r="J23356" t="s">
        <v>30</v>
      </c>
      <c r="K23356" t="s">
        <v>9706</v>
      </c>
      <c r="M23356" t="s">
        <v>50500</v>
      </c>
      <c r="N23356" t="str">
        <f>"8/23/2024 10:03:00 AM"</f>
        <v>8/23/2024 10:03:00 AM</v>
      </c>
      <c r="O23356" t="s">
        <v>70958</v>
      </c>
      <c r="T23356" t="s">
        <v>70959</v>
      </c>
    </row>
    <row r="23357" spans="1:20" x14ac:dyDescent="0.25">
      <c r="A23357" t="str">
        <f>"3049069"</f>
        <v>3049069</v>
      </c>
      <c r="B23357" t="s">
        <v>70961</v>
      </c>
      <c r="C23357" t="str">
        <f>"8322797"</f>
        <v>8322797</v>
      </c>
      <c r="D23357" t="s">
        <v>70962</v>
      </c>
      <c r="E23357" t="s">
        <v>70963</v>
      </c>
      <c r="F23357" t="s">
        <v>70964</v>
      </c>
      <c r="I23357" t="s">
        <v>29</v>
      </c>
      <c r="J23357" t="s">
        <v>30</v>
      </c>
      <c r="K23357" t="s">
        <v>70965</v>
      </c>
      <c r="M23357" t="s">
        <v>50500</v>
      </c>
      <c r="N23357" t="str">
        <f>"8/20/2024 9:56:00 AM"</f>
        <v>8/20/2024 9:56:00 AM</v>
      </c>
      <c r="O23357" t="s">
        <v>70962</v>
      </c>
      <c r="T23357" t="s">
        <v>70963</v>
      </c>
    </row>
    <row r="23358" spans="1:20" x14ac:dyDescent="0.25">
      <c r="A23358" t="str">
        <f>"3052570"</f>
        <v>3052570</v>
      </c>
      <c r="B23358" t="s">
        <v>70966</v>
      </c>
      <c r="C23358" t="str">
        <f>"8322797"</f>
        <v>8322797</v>
      </c>
      <c r="D23358" t="s">
        <v>70962</v>
      </c>
      <c r="E23358" t="s">
        <v>70963</v>
      </c>
      <c r="F23358" t="s">
        <v>70964</v>
      </c>
      <c r="I23358" t="s">
        <v>29</v>
      </c>
      <c r="J23358" t="s">
        <v>30</v>
      </c>
      <c r="K23358" t="s">
        <v>70965</v>
      </c>
      <c r="M23358" t="s">
        <v>50500</v>
      </c>
      <c r="N23358" t="str">
        <f>"8/20/2024 9:56:00 AM"</f>
        <v>8/20/2024 9:56:00 AM</v>
      </c>
      <c r="O23358" t="s">
        <v>70962</v>
      </c>
      <c r="T23358" t="s">
        <v>70963</v>
      </c>
    </row>
    <row r="23359" spans="1:20" x14ac:dyDescent="0.25">
      <c r="A23359" t="str">
        <f>"3044316"</f>
        <v>3044316</v>
      </c>
      <c r="B23359" t="s">
        <v>70967</v>
      </c>
      <c r="C23359" t="str">
        <f>"38828000"</f>
        <v>38828000</v>
      </c>
      <c r="D23359" t="s">
        <v>70968</v>
      </c>
      <c r="E23359" t="s">
        <v>70969</v>
      </c>
      <c r="F23359" t="s">
        <v>70970</v>
      </c>
      <c r="I23359" t="s">
        <v>184</v>
      </c>
      <c r="J23359" t="s">
        <v>30</v>
      </c>
      <c r="K23359" t="s">
        <v>185</v>
      </c>
      <c r="M23359" t="s">
        <v>25733</v>
      </c>
      <c r="N23359" t="str">
        <f>"8/19/2024 10:42:00 AM"</f>
        <v>8/19/2024 10:42:00 AM</v>
      </c>
      <c r="O23359" t="s">
        <v>70968</v>
      </c>
      <c r="T23359" t="s">
        <v>70969</v>
      </c>
    </row>
    <row r="23360" spans="1:20" x14ac:dyDescent="0.25">
      <c r="A23360" t="str">
        <f>"3056015"</f>
        <v>3056015</v>
      </c>
      <c r="B23360" t="s">
        <v>70971</v>
      </c>
      <c r="C23360" t="str">
        <f>"8322828"</f>
        <v>8322828</v>
      </c>
      <c r="D23360" t="s">
        <v>70972</v>
      </c>
      <c r="E23360" t="s">
        <v>70973</v>
      </c>
      <c r="F23360" t="s">
        <v>58328</v>
      </c>
      <c r="I23360" t="s">
        <v>9580</v>
      </c>
      <c r="J23360" t="s">
        <v>30</v>
      </c>
      <c r="K23360" t="s">
        <v>70974</v>
      </c>
      <c r="M23360" t="s">
        <v>50500</v>
      </c>
      <c r="N23360" t="str">
        <f>"8/23/2024 10:14:00 AM"</f>
        <v>8/23/2024 10:14:00 AM</v>
      </c>
      <c r="O23360" t="s">
        <v>70972</v>
      </c>
      <c r="T23360" t="s">
        <v>70973</v>
      </c>
    </row>
    <row r="23361" spans="1:20" x14ac:dyDescent="0.25">
      <c r="A23361" t="str">
        <f>"3055806"</f>
        <v>3055806</v>
      </c>
      <c r="B23361" t="s">
        <v>70975</v>
      </c>
      <c r="C23361" t="str">
        <f>"8322828"</f>
        <v>8322828</v>
      </c>
      <c r="D23361" t="s">
        <v>70972</v>
      </c>
      <c r="E23361" t="s">
        <v>70973</v>
      </c>
      <c r="F23361" t="s">
        <v>58328</v>
      </c>
      <c r="I23361" t="s">
        <v>9580</v>
      </c>
      <c r="J23361" t="s">
        <v>30</v>
      </c>
      <c r="K23361" t="s">
        <v>70974</v>
      </c>
      <c r="M23361" t="s">
        <v>50500</v>
      </c>
      <c r="N23361" t="str">
        <f>"8/23/2024 10:14:00 AM"</f>
        <v>8/23/2024 10:14:00 AM</v>
      </c>
      <c r="O23361" t="s">
        <v>70972</v>
      </c>
      <c r="T23361" t="s">
        <v>70973</v>
      </c>
    </row>
    <row r="23362" spans="1:20" x14ac:dyDescent="0.25">
      <c r="A23362" t="str">
        <f>"3058986"</f>
        <v>3058986</v>
      </c>
      <c r="B23362" t="s">
        <v>70976</v>
      </c>
      <c r="C23362" t="str">
        <f>"8322829"</f>
        <v>8322829</v>
      </c>
      <c r="D23362" t="s">
        <v>70977</v>
      </c>
      <c r="E23362" t="s">
        <v>70978</v>
      </c>
      <c r="F23362" t="s">
        <v>70979</v>
      </c>
      <c r="I23362" t="s">
        <v>29</v>
      </c>
      <c r="J23362" t="s">
        <v>30</v>
      </c>
      <c r="K23362" t="s">
        <v>59933</v>
      </c>
      <c r="M23362" t="s">
        <v>50500</v>
      </c>
      <c r="N23362" t="str">
        <f>"8/23/2024 10:24:00 AM"</f>
        <v>8/23/2024 10:24:00 AM</v>
      </c>
      <c r="O23362" t="s">
        <v>70977</v>
      </c>
      <c r="T23362" t="s">
        <v>70978</v>
      </c>
    </row>
    <row r="23363" spans="1:20" x14ac:dyDescent="0.25">
      <c r="A23363" t="str">
        <f>"3048348"</f>
        <v>3048348</v>
      </c>
      <c r="B23363" t="s">
        <v>70980</v>
      </c>
      <c r="C23363" t="str">
        <f>"8322830"</f>
        <v>8322830</v>
      </c>
      <c r="D23363" t="s">
        <v>70981</v>
      </c>
      <c r="E23363" t="s">
        <v>70982</v>
      </c>
      <c r="F23363" t="s">
        <v>70983</v>
      </c>
      <c r="I23363" t="s">
        <v>1107</v>
      </c>
      <c r="J23363" t="s">
        <v>30</v>
      </c>
      <c r="K23363" t="s">
        <v>70984</v>
      </c>
      <c r="M23363" t="s">
        <v>50500</v>
      </c>
      <c r="N23363" t="str">
        <f>"8/23/2024 10:28:00 AM"</f>
        <v>8/23/2024 10:28:00 AM</v>
      </c>
      <c r="O23363" t="s">
        <v>70981</v>
      </c>
      <c r="T23363" t="s">
        <v>70982</v>
      </c>
    </row>
    <row r="23364" spans="1:20" x14ac:dyDescent="0.25">
      <c r="A23364" t="str">
        <f>"3041858"</f>
        <v>3041858</v>
      </c>
      <c r="B23364" t="s">
        <v>70985</v>
      </c>
      <c r="C23364" t="str">
        <f>"8320282"</f>
        <v>8320282</v>
      </c>
      <c r="D23364" t="s">
        <v>70986</v>
      </c>
      <c r="F23364" t="s">
        <v>70987</v>
      </c>
      <c r="I23364" t="s">
        <v>3196</v>
      </c>
      <c r="J23364" t="s">
        <v>30</v>
      </c>
      <c r="K23364" t="s">
        <v>70988</v>
      </c>
      <c r="M23364" t="s">
        <v>50793</v>
      </c>
      <c r="N23364" t="str">
        <f>"8/26/2024 10:35:00 AM"</f>
        <v>8/26/2024 10:35:00 AM</v>
      </c>
      <c r="O23364" t="s">
        <v>70986</v>
      </c>
    </row>
    <row r="23365" spans="1:20" x14ac:dyDescent="0.25">
      <c r="A23365" t="str">
        <f>"3045433"</f>
        <v>3045433</v>
      </c>
      <c r="B23365" t="s">
        <v>70989</v>
      </c>
      <c r="C23365" t="str">
        <f>"67391000"</f>
        <v>67391000</v>
      </c>
      <c r="D23365" t="s">
        <v>70990</v>
      </c>
      <c r="F23365" t="s">
        <v>70676</v>
      </c>
      <c r="I23365" t="s">
        <v>1107</v>
      </c>
      <c r="J23365" t="s">
        <v>30</v>
      </c>
      <c r="K23365" t="s">
        <v>70677</v>
      </c>
      <c r="M23365" t="s">
        <v>70991</v>
      </c>
      <c r="N23365" t="str">
        <f>"8/27/2024 4:14:00 PM"</f>
        <v>8/27/2024 4:14:00 PM</v>
      </c>
      <c r="O23365" t="s">
        <v>70990</v>
      </c>
    </row>
    <row r="23366" spans="1:20" x14ac:dyDescent="0.25">
      <c r="A23366" t="str">
        <f>"3045437"</f>
        <v>3045437</v>
      </c>
      <c r="B23366" t="s">
        <v>70992</v>
      </c>
      <c r="C23366" t="str">
        <f>"67391000"</f>
        <v>67391000</v>
      </c>
      <c r="D23366" t="s">
        <v>70990</v>
      </c>
      <c r="F23366" t="s">
        <v>70676</v>
      </c>
      <c r="I23366" t="s">
        <v>1107</v>
      </c>
      <c r="J23366" t="s">
        <v>30</v>
      </c>
      <c r="K23366" t="s">
        <v>70677</v>
      </c>
      <c r="M23366" t="s">
        <v>70991</v>
      </c>
      <c r="N23366" t="str">
        <f>"8/27/2024 4:14:00 PM"</f>
        <v>8/27/2024 4:14:00 PM</v>
      </c>
      <c r="O23366" t="s">
        <v>70990</v>
      </c>
    </row>
    <row r="23367" spans="1:20" x14ac:dyDescent="0.25">
      <c r="A23367" t="str">
        <f>"3045438"</f>
        <v>3045438</v>
      </c>
      <c r="B23367" t="s">
        <v>70993</v>
      </c>
      <c r="C23367" t="str">
        <f>"67391000"</f>
        <v>67391000</v>
      </c>
      <c r="D23367" t="s">
        <v>70990</v>
      </c>
      <c r="F23367" t="s">
        <v>70676</v>
      </c>
      <c r="I23367" t="s">
        <v>1107</v>
      </c>
      <c r="J23367" t="s">
        <v>30</v>
      </c>
      <c r="K23367" t="s">
        <v>70677</v>
      </c>
      <c r="M23367" t="s">
        <v>70991</v>
      </c>
      <c r="N23367" t="str">
        <f>"8/27/2024 4:14:00 PM"</f>
        <v>8/27/2024 4:14:00 PM</v>
      </c>
      <c r="O23367" t="s">
        <v>70990</v>
      </c>
    </row>
    <row r="23368" spans="1:20" x14ac:dyDescent="0.25">
      <c r="A23368" t="str">
        <f>"3063398"</f>
        <v>3063398</v>
      </c>
      <c r="B23368" t="s">
        <v>70994</v>
      </c>
      <c r="C23368" t="str">
        <f>"67391000"</f>
        <v>67391000</v>
      </c>
      <c r="D23368" t="s">
        <v>70990</v>
      </c>
      <c r="F23368" t="s">
        <v>70676</v>
      </c>
      <c r="I23368" t="s">
        <v>1107</v>
      </c>
      <c r="J23368" t="s">
        <v>30</v>
      </c>
      <c r="K23368" t="s">
        <v>70677</v>
      </c>
      <c r="M23368" t="s">
        <v>70991</v>
      </c>
      <c r="N23368" t="str">
        <f>"8/27/2024 4:14:00 PM"</f>
        <v>8/27/2024 4:14:00 PM</v>
      </c>
      <c r="O23368" t="s">
        <v>70990</v>
      </c>
    </row>
    <row r="23369" spans="1:20" x14ac:dyDescent="0.25">
      <c r="A23369" t="str">
        <f>"3077613"</f>
        <v>3077613</v>
      </c>
      <c r="B23369" t="s">
        <v>70995</v>
      </c>
      <c r="C23369" t="str">
        <f>"67392000"</f>
        <v>67392000</v>
      </c>
      <c r="D23369" t="s">
        <v>70990</v>
      </c>
      <c r="E23369" t="s">
        <v>70996</v>
      </c>
      <c r="F23369" t="s">
        <v>70676</v>
      </c>
      <c r="I23369" t="s">
        <v>1107</v>
      </c>
      <c r="J23369" t="s">
        <v>30</v>
      </c>
      <c r="K23369" t="s">
        <v>70677</v>
      </c>
      <c r="M23369" t="s">
        <v>70991</v>
      </c>
      <c r="N23369" t="str">
        <f>"8/27/2024 4:28:00 PM"</f>
        <v>8/27/2024 4:28:00 PM</v>
      </c>
      <c r="O23369" t="s">
        <v>70990</v>
      </c>
      <c r="T23369" t="s">
        <v>70996</v>
      </c>
    </row>
    <row r="23370" spans="1:20" x14ac:dyDescent="0.25">
      <c r="A23370" t="str">
        <f>"3073764"</f>
        <v>3073764</v>
      </c>
      <c r="B23370" t="s">
        <v>70997</v>
      </c>
      <c r="C23370" t="str">
        <f>"67392000"</f>
        <v>67392000</v>
      </c>
      <c r="D23370" t="s">
        <v>70990</v>
      </c>
      <c r="E23370" t="s">
        <v>70996</v>
      </c>
      <c r="F23370" t="s">
        <v>70676</v>
      </c>
      <c r="I23370" t="s">
        <v>1107</v>
      </c>
      <c r="J23370" t="s">
        <v>30</v>
      </c>
      <c r="K23370" t="s">
        <v>70677</v>
      </c>
      <c r="M23370" t="s">
        <v>70991</v>
      </c>
      <c r="N23370" t="str">
        <f>"8/27/2024 4:28:00 PM"</f>
        <v>8/27/2024 4:28:00 PM</v>
      </c>
      <c r="O23370" t="s">
        <v>70990</v>
      </c>
      <c r="T23370" t="s">
        <v>70996</v>
      </c>
    </row>
    <row r="23371" spans="1:20" x14ac:dyDescent="0.25">
      <c r="A23371" t="str">
        <f>"3045378"</f>
        <v>3045378</v>
      </c>
      <c r="B23371" t="s">
        <v>70998</v>
      </c>
      <c r="C23371" t="str">
        <f>"67392000"</f>
        <v>67392000</v>
      </c>
      <c r="D23371" t="s">
        <v>70990</v>
      </c>
      <c r="E23371" t="s">
        <v>70996</v>
      </c>
      <c r="F23371" t="s">
        <v>70676</v>
      </c>
      <c r="I23371" t="s">
        <v>1107</v>
      </c>
      <c r="J23371" t="s">
        <v>30</v>
      </c>
      <c r="K23371" t="s">
        <v>70677</v>
      </c>
      <c r="M23371" t="s">
        <v>70991</v>
      </c>
      <c r="N23371" t="str">
        <f>"8/27/2024 4:28:00 PM"</f>
        <v>8/27/2024 4:28:00 PM</v>
      </c>
      <c r="O23371" t="s">
        <v>70990</v>
      </c>
      <c r="T23371" t="s">
        <v>70996</v>
      </c>
    </row>
    <row r="23372" spans="1:20" x14ac:dyDescent="0.25">
      <c r="A23372" t="str">
        <f>"3055469"</f>
        <v>3055469</v>
      </c>
      <c r="B23372" t="s">
        <v>70999</v>
      </c>
      <c r="C23372" t="str">
        <f>"8310260"</f>
        <v>8310260</v>
      </c>
      <c r="D23372" t="s">
        <v>34394</v>
      </c>
      <c r="F23372" t="s">
        <v>34396</v>
      </c>
      <c r="I23372" t="s">
        <v>184</v>
      </c>
      <c r="J23372" t="s">
        <v>30</v>
      </c>
      <c r="K23372" t="s">
        <v>34389</v>
      </c>
      <c r="M23372" t="s">
        <v>51351</v>
      </c>
      <c r="N23372" t="str">
        <f>"8/28/2024 12:58:00 PM"</f>
        <v>8/28/2024 12:58:00 PM</v>
      </c>
      <c r="O23372" t="s">
        <v>34394</v>
      </c>
    </row>
    <row r="23373" spans="1:20" x14ac:dyDescent="0.25">
      <c r="A23373" t="str">
        <f>"3054993"</f>
        <v>3054993</v>
      </c>
      <c r="B23373" t="s">
        <v>71000</v>
      </c>
      <c r="C23373" t="str">
        <f>"8314240"</f>
        <v>8314240</v>
      </c>
      <c r="D23373" t="s">
        <v>71001</v>
      </c>
      <c r="F23373" t="s">
        <v>71002</v>
      </c>
      <c r="I23373" t="s">
        <v>29</v>
      </c>
      <c r="J23373" t="s">
        <v>30</v>
      </c>
      <c r="K23373" t="str">
        <f>"27028"</f>
        <v>27028</v>
      </c>
      <c r="M23373" t="s">
        <v>51351</v>
      </c>
      <c r="N23373" t="str">
        <f>"8/28/2024 2:02:00 PM"</f>
        <v>8/28/2024 2:02:00 PM</v>
      </c>
      <c r="O23373" t="s">
        <v>71001</v>
      </c>
    </row>
    <row r="23374" spans="1:20" x14ac:dyDescent="0.25">
      <c r="A23374" t="str">
        <f>"3062503"</f>
        <v>3062503</v>
      </c>
      <c r="B23374" t="s">
        <v>71003</v>
      </c>
      <c r="C23374" t="str">
        <f>"8322790"</f>
        <v>8322790</v>
      </c>
      <c r="D23374" t="s">
        <v>71004</v>
      </c>
      <c r="E23374" t="s">
        <v>71005</v>
      </c>
      <c r="F23374" t="s">
        <v>71006</v>
      </c>
      <c r="I23374" t="s">
        <v>29</v>
      </c>
      <c r="J23374" t="s">
        <v>30</v>
      </c>
      <c r="K23374" t="s">
        <v>59681</v>
      </c>
      <c r="M23374" t="s">
        <v>50500</v>
      </c>
      <c r="N23374" t="str">
        <f>"8/19/2024 10:58:00 AM"</f>
        <v>8/19/2024 10:58:00 AM</v>
      </c>
      <c r="O23374" t="s">
        <v>71004</v>
      </c>
      <c r="T23374" t="s">
        <v>71005</v>
      </c>
    </row>
    <row r="23375" spans="1:20" x14ac:dyDescent="0.25">
      <c r="A23375" t="str">
        <f>"3059644"</f>
        <v>3059644</v>
      </c>
      <c r="B23375" t="s">
        <v>71007</v>
      </c>
      <c r="C23375" t="str">
        <f>"8322791"</f>
        <v>8322791</v>
      </c>
      <c r="D23375" t="s">
        <v>71008</v>
      </c>
      <c r="E23375" t="s">
        <v>71009</v>
      </c>
      <c r="F23375" t="s">
        <v>71010</v>
      </c>
      <c r="I23375" t="s">
        <v>29</v>
      </c>
      <c r="J23375" t="s">
        <v>30</v>
      </c>
      <c r="K23375" t="s">
        <v>39498</v>
      </c>
      <c r="M23375" t="s">
        <v>50500</v>
      </c>
      <c r="N23375" t="str">
        <f>"8/19/2024 3:24:00 PM"</f>
        <v>8/19/2024 3:24:00 PM</v>
      </c>
      <c r="O23375" t="s">
        <v>71008</v>
      </c>
      <c r="T23375" t="s">
        <v>71009</v>
      </c>
    </row>
    <row r="23376" spans="1:20" x14ac:dyDescent="0.25">
      <c r="A23376" t="str">
        <f>"3058743"</f>
        <v>3058743</v>
      </c>
      <c r="B23376" t="s">
        <v>71011</v>
      </c>
      <c r="C23376" t="str">
        <f>"42292750"</f>
        <v>42292750</v>
      </c>
      <c r="D23376" t="s">
        <v>71012</v>
      </c>
      <c r="E23376" t="s">
        <v>71013</v>
      </c>
      <c r="F23376" t="s">
        <v>71014</v>
      </c>
      <c r="I23376" t="s">
        <v>46834</v>
      </c>
      <c r="J23376" t="s">
        <v>1046</v>
      </c>
      <c r="K23376" t="s">
        <v>71015</v>
      </c>
      <c r="M23376" t="s">
        <v>18470</v>
      </c>
      <c r="N23376" t="str">
        <f>"8/19/2024 4:02:00 PM"</f>
        <v>8/19/2024 4:02:00 PM</v>
      </c>
      <c r="O23376" t="s">
        <v>71012</v>
      </c>
      <c r="T23376" t="s">
        <v>71013</v>
      </c>
    </row>
    <row r="23377" spans="1:20" x14ac:dyDescent="0.25">
      <c r="A23377" t="str">
        <f>"3037932"</f>
        <v>3037932</v>
      </c>
      <c r="B23377" t="s">
        <v>71016</v>
      </c>
      <c r="C23377" t="str">
        <f>"8322792"</f>
        <v>8322792</v>
      </c>
      <c r="D23377" t="s">
        <v>59525</v>
      </c>
      <c r="E23377" t="s">
        <v>70866</v>
      </c>
      <c r="F23377" t="s">
        <v>47896</v>
      </c>
      <c r="I23377" t="s">
        <v>29</v>
      </c>
      <c r="J23377" t="s">
        <v>30</v>
      </c>
      <c r="K23377" t="s">
        <v>47897</v>
      </c>
      <c r="M23377" t="s">
        <v>50500</v>
      </c>
      <c r="N23377" t="str">
        <f>"8/20/2024 9:21:00 AM"</f>
        <v>8/20/2024 9:21:00 AM</v>
      </c>
      <c r="O23377" t="s">
        <v>59525</v>
      </c>
      <c r="T23377" t="s">
        <v>70866</v>
      </c>
    </row>
    <row r="23378" spans="1:20" x14ac:dyDescent="0.25">
      <c r="A23378" t="str">
        <f>"3062635"</f>
        <v>3062635</v>
      </c>
      <c r="B23378" t="s">
        <v>71017</v>
      </c>
      <c r="C23378" t="str">
        <f>"8322807"</f>
        <v>8322807</v>
      </c>
      <c r="D23378" t="s">
        <v>71018</v>
      </c>
      <c r="E23378" t="s">
        <v>71019</v>
      </c>
      <c r="F23378" t="s">
        <v>71020</v>
      </c>
      <c r="I23378" t="s">
        <v>184</v>
      </c>
      <c r="J23378" t="s">
        <v>30</v>
      </c>
      <c r="K23378" t="s">
        <v>64153</v>
      </c>
      <c r="M23378" t="s">
        <v>50500</v>
      </c>
      <c r="N23378" t="str">
        <f>"8/22/2024 8:47:00 AM"</f>
        <v>8/22/2024 8:47:00 AM</v>
      </c>
      <c r="O23378" t="s">
        <v>71018</v>
      </c>
      <c r="T23378" t="s">
        <v>71019</v>
      </c>
    </row>
    <row r="23379" spans="1:20" x14ac:dyDescent="0.25">
      <c r="A23379" t="str">
        <f>"3052770"</f>
        <v>3052770</v>
      </c>
      <c r="B23379" t="s">
        <v>71021</v>
      </c>
      <c r="C23379" t="str">
        <f>"8321564"</f>
        <v>8321564</v>
      </c>
      <c r="D23379" t="s">
        <v>71022</v>
      </c>
      <c r="E23379" t="s">
        <v>71023</v>
      </c>
      <c r="F23379" t="s">
        <v>71024</v>
      </c>
      <c r="I23379" t="s">
        <v>29</v>
      </c>
      <c r="J23379" t="s">
        <v>30</v>
      </c>
      <c r="K23379" t="str">
        <f>"27028"</f>
        <v>27028</v>
      </c>
      <c r="M23379" t="s">
        <v>50621</v>
      </c>
      <c r="N23379" t="str">
        <f>"9/3/2024 10:29:00 AM"</f>
        <v>9/3/2024 10:29:00 AM</v>
      </c>
      <c r="O23379" t="s">
        <v>71022</v>
      </c>
      <c r="T23379" t="s">
        <v>71023</v>
      </c>
    </row>
    <row r="23380" spans="1:20" x14ac:dyDescent="0.25">
      <c r="A23380" t="str">
        <f>"3053672"</f>
        <v>3053672</v>
      </c>
      <c r="B23380" t="s">
        <v>71025</v>
      </c>
      <c r="C23380" t="str">
        <f>"8302613"</f>
        <v>8302613</v>
      </c>
      <c r="D23380" t="s">
        <v>71026</v>
      </c>
      <c r="E23380" t="s">
        <v>71027</v>
      </c>
      <c r="F23380" t="s">
        <v>71028</v>
      </c>
      <c r="I23380" t="s">
        <v>29</v>
      </c>
      <c r="J23380" t="s">
        <v>30</v>
      </c>
      <c r="K23380" t="str">
        <f>"27028"</f>
        <v>27028</v>
      </c>
      <c r="M23380" t="s">
        <v>25733</v>
      </c>
      <c r="N23380" t="str">
        <f>"9/3/2024 12:51:00 PM"</f>
        <v>9/3/2024 12:51:00 PM</v>
      </c>
      <c r="O23380" t="s">
        <v>71026</v>
      </c>
      <c r="T23380" t="s">
        <v>71027</v>
      </c>
    </row>
    <row r="23381" spans="1:20" x14ac:dyDescent="0.25">
      <c r="A23381" t="str">
        <f>"3076852"</f>
        <v>3076852</v>
      </c>
      <c r="B23381" t="s">
        <v>71029</v>
      </c>
      <c r="C23381" t="str">
        <f>"8322838"</f>
        <v>8322838</v>
      </c>
      <c r="D23381" t="s">
        <v>71030</v>
      </c>
      <c r="E23381" t="s">
        <v>71031</v>
      </c>
      <c r="F23381" t="s">
        <v>52732</v>
      </c>
      <c r="I23381" t="s">
        <v>29</v>
      </c>
      <c r="J23381" t="s">
        <v>30</v>
      </c>
      <c r="K23381" t="s">
        <v>52733</v>
      </c>
      <c r="M23381" t="s">
        <v>50500</v>
      </c>
      <c r="N23381" t="str">
        <f>"9/3/2024 3:34:00 PM"</f>
        <v>9/3/2024 3:34:00 PM</v>
      </c>
      <c r="O23381" t="s">
        <v>71030</v>
      </c>
      <c r="T23381" t="s">
        <v>71031</v>
      </c>
    </row>
    <row r="23382" spans="1:20" x14ac:dyDescent="0.25">
      <c r="A23382" t="str">
        <f>"3054895"</f>
        <v>3054895</v>
      </c>
      <c r="B23382" t="s">
        <v>71032</v>
      </c>
      <c r="C23382" t="str">
        <f>"8322839"</f>
        <v>8322839</v>
      </c>
      <c r="D23382" t="s">
        <v>71033</v>
      </c>
      <c r="F23382" t="s">
        <v>71034</v>
      </c>
      <c r="I23382" t="s">
        <v>71035</v>
      </c>
      <c r="J23382" t="s">
        <v>2738</v>
      </c>
      <c r="K23382" t="s">
        <v>71036</v>
      </c>
      <c r="M23382" t="s">
        <v>50500</v>
      </c>
      <c r="N23382" t="str">
        <f>"9/4/2024 8:53:00 AM"</f>
        <v>9/4/2024 8:53:00 AM</v>
      </c>
      <c r="O23382" t="s">
        <v>71033</v>
      </c>
    </row>
    <row r="23383" spans="1:20" x14ac:dyDescent="0.25">
      <c r="A23383" t="str">
        <f>"3054896"</f>
        <v>3054896</v>
      </c>
      <c r="B23383" t="s">
        <v>71037</v>
      </c>
      <c r="C23383" t="str">
        <f>"8322839"</f>
        <v>8322839</v>
      </c>
      <c r="D23383" t="s">
        <v>71033</v>
      </c>
      <c r="F23383" t="s">
        <v>71034</v>
      </c>
      <c r="I23383" t="s">
        <v>71035</v>
      </c>
      <c r="J23383" t="s">
        <v>2738</v>
      </c>
      <c r="K23383" t="s">
        <v>71036</v>
      </c>
      <c r="M23383" t="s">
        <v>50500</v>
      </c>
      <c r="N23383" t="str">
        <f>"9/4/2024 8:53:00 AM"</f>
        <v>9/4/2024 8:53:00 AM</v>
      </c>
      <c r="O23383" t="s">
        <v>71033</v>
      </c>
    </row>
    <row r="23384" spans="1:20" x14ac:dyDescent="0.25">
      <c r="A23384" t="str">
        <f>"3054884"</f>
        <v>3054884</v>
      </c>
      <c r="B23384" t="s">
        <v>71038</v>
      </c>
      <c r="C23384" t="str">
        <f>"8322839"</f>
        <v>8322839</v>
      </c>
      <c r="D23384" t="s">
        <v>71033</v>
      </c>
      <c r="F23384" t="s">
        <v>71034</v>
      </c>
      <c r="I23384" t="s">
        <v>71035</v>
      </c>
      <c r="J23384" t="s">
        <v>2738</v>
      </c>
      <c r="K23384" t="s">
        <v>71036</v>
      </c>
      <c r="M23384" t="s">
        <v>50500</v>
      </c>
      <c r="N23384" t="str">
        <f>"9/4/2024 8:53:00 AM"</f>
        <v>9/4/2024 8:53:00 AM</v>
      </c>
      <c r="O23384" t="s">
        <v>71033</v>
      </c>
    </row>
    <row r="23385" spans="1:20" x14ac:dyDescent="0.25">
      <c r="A23385" t="str">
        <f>"3058971"</f>
        <v>3058971</v>
      </c>
      <c r="B23385" t="s">
        <v>71039</v>
      </c>
      <c r="C23385" t="str">
        <f>"8322840"</f>
        <v>8322840</v>
      </c>
      <c r="D23385" t="s">
        <v>71040</v>
      </c>
      <c r="E23385" t="s">
        <v>71041</v>
      </c>
      <c r="F23385" t="s">
        <v>71042</v>
      </c>
      <c r="I23385" t="s">
        <v>29</v>
      </c>
      <c r="J23385" t="s">
        <v>30</v>
      </c>
      <c r="K23385" t="str">
        <f>"27028"</f>
        <v>27028</v>
      </c>
      <c r="M23385" t="s">
        <v>50500</v>
      </c>
      <c r="N23385" t="str">
        <f>"9/4/2024 9:21:00 AM"</f>
        <v>9/4/2024 9:21:00 AM</v>
      </c>
      <c r="O23385" t="s">
        <v>71040</v>
      </c>
      <c r="T23385" t="s">
        <v>71041</v>
      </c>
    </row>
    <row r="23386" spans="1:20" x14ac:dyDescent="0.25">
      <c r="A23386" t="str">
        <f>"3040128"</f>
        <v>3040128</v>
      </c>
      <c r="B23386" t="s">
        <v>71043</v>
      </c>
      <c r="C23386" t="str">
        <f>"8322841"</f>
        <v>8322841</v>
      </c>
      <c r="D23386" t="s">
        <v>71044</v>
      </c>
      <c r="F23386" t="s">
        <v>60723</v>
      </c>
      <c r="I23386" t="s">
        <v>471</v>
      </c>
      <c r="J23386" t="s">
        <v>30</v>
      </c>
      <c r="K23386" t="s">
        <v>60724</v>
      </c>
      <c r="M23386" t="s">
        <v>50500</v>
      </c>
      <c r="N23386" t="str">
        <f>"9/4/2024 9:31:00 AM"</f>
        <v>9/4/2024 9:31:00 AM</v>
      </c>
      <c r="O23386" t="s">
        <v>71044</v>
      </c>
    </row>
    <row r="23387" spans="1:20" x14ac:dyDescent="0.25">
      <c r="A23387" t="str">
        <f>"3039326"</f>
        <v>3039326</v>
      </c>
      <c r="B23387" t="s">
        <v>71045</v>
      </c>
      <c r="C23387" t="str">
        <f>"8322841"</f>
        <v>8322841</v>
      </c>
      <c r="D23387" t="s">
        <v>71044</v>
      </c>
      <c r="F23387" t="s">
        <v>60723</v>
      </c>
      <c r="I23387" t="s">
        <v>471</v>
      </c>
      <c r="J23387" t="s">
        <v>30</v>
      </c>
      <c r="K23387" t="s">
        <v>60724</v>
      </c>
      <c r="M23387" t="s">
        <v>50500</v>
      </c>
      <c r="N23387" t="str">
        <f>"9/4/2024 9:31:00 AM"</f>
        <v>9/4/2024 9:31:00 AM</v>
      </c>
      <c r="O23387" t="s">
        <v>71044</v>
      </c>
    </row>
    <row r="23388" spans="1:20" x14ac:dyDescent="0.25">
      <c r="A23388" t="str">
        <f>"3078505"</f>
        <v>3078505</v>
      </c>
      <c r="B23388" t="s">
        <v>71046</v>
      </c>
      <c r="C23388" t="str">
        <f>"8322842"</f>
        <v>8322842</v>
      </c>
      <c r="D23388" t="s">
        <v>71047</v>
      </c>
      <c r="F23388" t="s">
        <v>71048</v>
      </c>
      <c r="I23388" t="s">
        <v>10172</v>
      </c>
      <c r="J23388" t="s">
        <v>30</v>
      </c>
      <c r="K23388" t="s">
        <v>71049</v>
      </c>
      <c r="M23388" t="s">
        <v>50500</v>
      </c>
      <c r="N23388" t="str">
        <f>"9/4/2024 9:43:00 AM"</f>
        <v>9/4/2024 9:43:00 AM</v>
      </c>
      <c r="O23388" t="s">
        <v>71047</v>
      </c>
    </row>
    <row r="23389" spans="1:20" x14ac:dyDescent="0.25">
      <c r="A23389" t="str">
        <f>"3053187"</f>
        <v>3053187</v>
      </c>
      <c r="B23389" t="s">
        <v>71050</v>
      </c>
      <c r="C23389" t="str">
        <f>"8322843"</f>
        <v>8322843</v>
      </c>
      <c r="D23389" t="s">
        <v>71051</v>
      </c>
      <c r="E23389" t="s">
        <v>71052</v>
      </c>
      <c r="F23389" t="s">
        <v>71053</v>
      </c>
      <c r="I23389" t="s">
        <v>29</v>
      </c>
      <c r="J23389" t="s">
        <v>30</v>
      </c>
      <c r="K23389" t="s">
        <v>71054</v>
      </c>
      <c r="M23389" t="s">
        <v>50500</v>
      </c>
      <c r="N23389" t="str">
        <f>"9/4/2024 9:49:00 AM"</f>
        <v>9/4/2024 9:49:00 AM</v>
      </c>
      <c r="O23389" t="s">
        <v>71051</v>
      </c>
      <c r="T23389" t="s">
        <v>71052</v>
      </c>
    </row>
    <row r="23390" spans="1:20" x14ac:dyDescent="0.25">
      <c r="A23390" t="str">
        <f>"3060753"</f>
        <v>3060753</v>
      </c>
      <c r="B23390" t="s">
        <v>71055</v>
      </c>
      <c r="C23390" t="str">
        <f>"8322844"</f>
        <v>8322844</v>
      </c>
      <c r="D23390" t="s">
        <v>71056</v>
      </c>
      <c r="E23390" t="s">
        <v>71057</v>
      </c>
      <c r="F23390" t="s">
        <v>71058</v>
      </c>
      <c r="I23390" t="s">
        <v>184</v>
      </c>
      <c r="J23390" t="s">
        <v>30</v>
      </c>
      <c r="K23390" t="s">
        <v>4183</v>
      </c>
      <c r="M23390" t="s">
        <v>50500</v>
      </c>
      <c r="N23390" t="str">
        <f>"9/4/2024 9:54:00 AM"</f>
        <v>9/4/2024 9:54:00 AM</v>
      </c>
      <c r="O23390" t="s">
        <v>71056</v>
      </c>
      <c r="T23390" t="s">
        <v>71057</v>
      </c>
    </row>
    <row r="23391" spans="1:20" x14ac:dyDescent="0.25">
      <c r="A23391" t="str">
        <f>"3050329"</f>
        <v>3050329</v>
      </c>
      <c r="B23391" t="s">
        <v>71059</v>
      </c>
      <c r="C23391" t="str">
        <f>"82530057"</f>
        <v>82530057</v>
      </c>
      <c r="D23391" t="s">
        <v>71060</v>
      </c>
      <c r="F23391" t="s">
        <v>71061</v>
      </c>
      <c r="I23391" t="s">
        <v>184</v>
      </c>
      <c r="J23391" t="s">
        <v>30</v>
      </c>
      <c r="K23391" t="s">
        <v>185</v>
      </c>
      <c r="M23391" t="s">
        <v>25733</v>
      </c>
      <c r="N23391" t="str">
        <f>"8/22/2024 10:10:00 AM"</f>
        <v>8/22/2024 10:10:00 AM</v>
      </c>
      <c r="O23391" t="s">
        <v>71060</v>
      </c>
    </row>
    <row r="23392" spans="1:20" x14ac:dyDescent="0.25">
      <c r="A23392" t="str">
        <f>"3051023"</f>
        <v>3051023</v>
      </c>
      <c r="B23392" t="s">
        <v>71062</v>
      </c>
      <c r="C23392" t="str">
        <f>"8313709"</f>
        <v>8313709</v>
      </c>
      <c r="D23392" t="s">
        <v>71063</v>
      </c>
      <c r="E23392" t="s">
        <v>71064</v>
      </c>
      <c r="F23392" t="s">
        <v>71065</v>
      </c>
      <c r="I23392" t="s">
        <v>184</v>
      </c>
      <c r="J23392" t="s">
        <v>30</v>
      </c>
      <c r="K23392" t="str">
        <f>"27006"</f>
        <v>27006</v>
      </c>
      <c r="M23392" t="s">
        <v>50621</v>
      </c>
      <c r="N23392" t="str">
        <f>"8/22/2024 2:25:00 PM"</f>
        <v>8/22/2024 2:25:00 PM</v>
      </c>
      <c r="O23392" t="s">
        <v>71063</v>
      </c>
      <c r="T23392" t="s">
        <v>71064</v>
      </c>
    </row>
    <row r="23393" spans="1:20" x14ac:dyDescent="0.25">
      <c r="A23393" t="str">
        <f>"3040543"</f>
        <v>3040543</v>
      </c>
      <c r="B23393" t="s">
        <v>71066</v>
      </c>
      <c r="C23393" t="str">
        <f>"8322810"</f>
        <v>8322810</v>
      </c>
      <c r="D23393" t="s">
        <v>71067</v>
      </c>
      <c r="E23393" t="s">
        <v>71068</v>
      </c>
      <c r="F23393" t="s">
        <v>71069</v>
      </c>
      <c r="I23393" t="s">
        <v>184</v>
      </c>
      <c r="J23393" t="s">
        <v>30</v>
      </c>
      <c r="K23393" t="s">
        <v>41905</v>
      </c>
      <c r="M23393" t="s">
        <v>50500</v>
      </c>
      <c r="N23393" t="str">
        <f>"8/22/2024 3:02:00 PM"</f>
        <v>8/22/2024 3:02:00 PM</v>
      </c>
      <c r="O23393" t="s">
        <v>71067</v>
      </c>
      <c r="T23393" t="s">
        <v>71068</v>
      </c>
    </row>
    <row r="23394" spans="1:20" x14ac:dyDescent="0.25">
      <c r="A23394" t="str">
        <f>"3056240"</f>
        <v>3056240</v>
      </c>
      <c r="B23394" t="s">
        <v>71070</v>
      </c>
      <c r="C23394" t="str">
        <f>"8322811"</f>
        <v>8322811</v>
      </c>
      <c r="D23394" t="s">
        <v>71071</v>
      </c>
      <c r="F23394" t="s">
        <v>71072</v>
      </c>
      <c r="I23394" t="s">
        <v>29</v>
      </c>
      <c r="J23394" t="s">
        <v>30</v>
      </c>
      <c r="K23394" t="s">
        <v>71073</v>
      </c>
      <c r="M23394" t="s">
        <v>50500</v>
      </c>
      <c r="N23394" t="str">
        <f>"8/22/2024 3:18:00 PM"</f>
        <v>8/22/2024 3:18:00 PM</v>
      </c>
      <c r="O23394" t="s">
        <v>71071</v>
      </c>
    </row>
    <row r="23395" spans="1:20" x14ac:dyDescent="0.25">
      <c r="A23395" t="str">
        <f>"3049011"</f>
        <v>3049011</v>
      </c>
      <c r="B23395" t="s">
        <v>71074</v>
      </c>
      <c r="C23395" t="str">
        <f>"82526976"</f>
        <v>82526976</v>
      </c>
      <c r="D23395" t="s">
        <v>71075</v>
      </c>
      <c r="F23395" t="s">
        <v>71076</v>
      </c>
      <c r="G23395" t="s">
        <v>71077</v>
      </c>
      <c r="I23395" t="s">
        <v>44979</v>
      </c>
      <c r="J23395" t="s">
        <v>30197</v>
      </c>
      <c r="K23395" t="s">
        <v>71078</v>
      </c>
      <c r="M23395" t="s">
        <v>25733</v>
      </c>
      <c r="N23395" t="str">
        <f>"8/23/2024 10:09:00 AM"</f>
        <v>8/23/2024 10:09:00 AM</v>
      </c>
      <c r="O23395" t="s">
        <v>71075</v>
      </c>
    </row>
    <row r="23396" spans="1:20" x14ac:dyDescent="0.25">
      <c r="A23396" t="str">
        <f>"3056294"</f>
        <v>3056294</v>
      </c>
      <c r="B23396" t="s">
        <v>71079</v>
      </c>
      <c r="C23396" t="str">
        <f>"8322828"</f>
        <v>8322828</v>
      </c>
      <c r="D23396" t="s">
        <v>70972</v>
      </c>
      <c r="E23396" t="s">
        <v>70973</v>
      </c>
      <c r="F23396" t="s">
        <v>58328</v>
      </c>
      <c r="I23396" t="s">
        <v>9580</v>
      </c>
      <c r="J23396" t="s">
        <v>30</v>
      </c>
      <c r="K23396" t="s">
        <v>70974</v>
      </c>
      <c r="M23396" t="s">
        <v>50500</v>
      </c>
      <c r="N23396" t="str">
        <f>"8/23/2024 10:14:00 AM"</f>
        <v>8/23/2024 10:14:00 AM</v>
      </c>
      <c r="O23396" t="s">
        <v>70972</v>
      </c>
      <c r="T23396" t="s">
        <v>70973</v>
      </c>
    </row>
    <row r="23397" spans="1:20" x14ac:dyDescent="0.25">
      <c r="A23397" t="str">
        <f>"3056194"</f>
        <v>3056194</v>
      </c>
      <c r="B23397" t="s">
        <v>71080</v>
      </c>
      <c r="C23397" t="str">
        <f>"8322828"</f>
        <v>8322828</v>
      </c>
      <c r="D23397" t="s">
        <v>70972</v>
      </c>
      <c r="E23397" t="s">
        <v>70973</v>
      </c>
      <c r="F23397" t="s">
        <v>58328</v>
      </c>
      <c r="I23397" t="s">
        <v>9580</v>
      </c>
      <c r="J23397" t="s">
        <v>30</v>
      </c>
      <c r="K23397" t="s">
        <v>70974</v>
      </c>
      <c r="M23397" t="s">
        <v>50500</v>
      </c>
      <c r="N23397" t="str">
        <f>"8/23/2024 10:14:00 AM"</f>
        <v>8/23/2024 10:14:00 AM</v>
      </c>
      <c r="O23397" t="s">
        <v>70972</v>
      </c>
      <c r="T23397" t="s">
        <v>70973</v>
      </c>
    </row>
    <row r="23398" spans="1:20" x14ac:dyDescent="0.25">
      <c r="A23398" t="str">
        <f>"3052739"</f>
        <v>3052739</v>
      </c>
      <c r="B23398" t="s">
        <v>71081</v>
      </c>
      <c r="C23398" t="str">
        <f>"8322798"</f>
        <v>8322798</v>
      </c>
      <c r="D23398" t="s">
        <v>71082</v>
      </c>
      <c r="F23398" t="s">
        <v>71083</v>
      </c>
      <c r="I23398" t="s">
        <v>29</v>
      </c>
      <c r="J23398" t="s">
        <v>30</v>
      </c>
      <c r="K23398" t="s">
        <v>23689</v>
      </c>
      <c r="M23398" t="s">
        <v>50500</v>
      </c>
      <c r="N23398" t="str">
        <f>"8/20/2024 10:18:00 AM"</f>
        <v>8/20/2024 10:18:00 AM</v>
      </c>
      <c r="O23398" t="s">
        <v>71082</v>
      </c>
    </row>
    <row r="23399" spans="1:20" x14ac:dyDescent="0.25">
      <c r="A23399" t="str">
        <f>"3044840"</f>
        <v>3044840</v>
      </c>
      <c r="B23399" t="s">
        <v>71084</v>
      </c>
      <c r="C23399" t="str">
        <f>"8322799"</f>
        <v>8322799</v>
      </c>
      <c r="D23399" t="s">
        <v>71085</v>
      </c>
      <c r="E23399" t="s">
        <v>71086</v>
      </c>
      <c r="F23399" t="s">
        <v>71087</v>
      </c>
      <c r="I23399" t="s">
        <v>184</v>
      </c>
      <c r="J23399" t="s">
        <v>30</v>
      </c>
      <c r="K23399" t="s">
        <v>6606</v>
      </c>
      <c r="M23399" t="s">
        <v>50500</v>
      </c>
      <c r="N23399" t="str">
        <f>"8/20/2024 10:22:00 AM"</f>
        <v>8/20/2024 10:22:00 AM</v>
      </c>
      <c r="O23399" t="s">
        <v>71085</v>
      </c>
      <c r="T23399" t="s">
        <v>71086</v>
      </c>
    </row>
    <row r="23400" spans="1:20" x14ac:dyDescent="0.25">
      <c r="A23400" t="str">
        <f>"3062841"</f>
        <v>3062841</v>
      </c>
      <c r="B23400" t="s">
        <v>71088</v>
      </c>
      <c r="C23400" t="str">
        <f>"8322800"</f>
        <v>8322800</v>
      </c>
      <c r="D23400" t="s">
        <v>71089</v>
      </c>
      <c r="F23400" t="s">
        <v>71090</v>
      </c>
      <c r="I23400" t="s">
        <v>29</v>
      </c>
      <c r="J23400" t="s">
        <v>30</v>
      </c>
      <c r="K23400" t="s">
        <v>35947</v>
      </c>
      <c r="M23400" t="s">
        <v>50500</v>
      </c>
      <c r="N23400" t="str">
        <f>"8/20/2024 11:50:00 AM"</f>
        <v>8/20/2024 11:50:00 AM</v>
      </c>
      <c r="O23400" t="s">
        <v>71089</v>
      </c>
    </row>
    <row r="23401" spans="1:20" x14ac:dyDescent="0.25">
      <c r="A23401" t="str">
        <f>"3051883"</f>
        <v>3051883</v>
      </c>
      <c r="B23401" t="s">
        <v>71091</v>
      </c>
      <c r="C23401" t="str">
        <f>"8322801"</f>
        <v>8322801</v>
      </c>
      <c r="D23401" t="s">
        <v>71092</v>
      </c>
      <c r="F23401" t="s">
        <v>71093</v>
      </c>
      <c r="I23401" t="s">
        <v>49</v>
      </c>
      <c r="J23401" t="s">
        <v>30</v>
      </c>
      <c r="K23401" t="s">
        <v>71094</v>
      </c>
      <c r="M23401" t="s">
        <v>50500</v>
      </c>
      <c r="N23401" t="str">
        <f>"8/20/2024 1:46:00 PM"</f>
        <v>8/20/2024 1:46:00 PM</v>
      </c>
      <c r="O23401" t="s">
        <v>71092</v>
      </c>
    </row>
    <row r="23402" spans="1:20" x14ac:dyDescent="0.25">
      <c r="A23402" t="str">
        <f>"3038474"</f>
        <v>3038474</v>
      </c>
      <c r="B23402" t="s">
        <v>71095</v>
      </c>
      <c r="C23402" t="str">
        <f>"8322802"</f>
        <v>8322802</v>
      </c>
      <c r="D23402" t="s">
        <v>71096</v>
      </c>
      <c r="F23402" t="s">
        <v>71097</v>
      </c>
      <c r="I23402" t="s">
        <v>29</v>
      </c>
      <c r="J23402" t="s">
        <v>30</v>
      </c>
      <c r="K23402" t="s">
        <v>71098</v>
      </c>
      <c r="M23402" t="s">
        <v>50500</v>
      </c>
      <c r="N23402" t="str">
        <f>"8/20/2024 2:08:00 PM"</f>
        <v>8/20/2024 2:08:00 PM</v>
      </c>
      <c r="O23402" t="s">
        <v>71096</v>
      </c>
    </row>
    <row r="23403" spans="1:20" x14ac:dyDescent="0.25">
      <c r="A23403" t="str">
        <f>"3073471"</f>
        <v>3073471</v>
      </c>
      <c r="B23403" t="s">
        <v>71099</v>
      </c>
      <c r="C23403" t="str">
        <f>"8315838"</f>
        <v>8315838</v>
      </c>
      <c r="D23403" t="s">
        <v>71100</v>
      </c>
      <c r="F23403" t="s">
        <v>71101</v>
      </c>
      <c r="I23403" t="s">
        <v>1176</v>
      </c>
      <c r="J23403" t="s">
        <v>30</v>
      </c>
      <c r="K23403" t="s">
        <v>71102</v>
      </c>
      <c r="M23403" t="s">
        <v>50793</v>
      </c>
      <c r="N23403" t="str">
        <f>"9/5/2024 12:00:00 PM"</f>
        <v>9/5/2024 12:00:00 PM</v>
      </c>
      <c r="O23403" t="s">
        <v>71100</v>
      </c>
    </row>
    <row r="23404" spans="1:20" x14ac:dyDescent="0.25">
      <c r="A23404" t="str">
        <f>"3064842"</f>
        <v>3064842</v>
      </c>
      <c r="B23404" t="s">
        <v>71103</v>
      </c>
      <c r="C23404" t="str">
        <f>"8317766"</f>
        <v>8317766</v>
      </c>
      <c r="D23404" t="s">
        <v>71104</v>
      </c>
      <c r="F23404" t="s">
        <v>71105</v>
      </c>
      <c r="I23404" t="s">
        <v>71106</v>
      </c>
      <c r="J23404" t="s">
        <v>11346</v>
      </c>
      <c r="K23404" t="s">
        <v>71107</v>
      </c>
      <c r="M23404" t="s">
        <v>50621</v>
      </c>
      <c r="N23404" t="str">
        <f>"9/5/2024 12:04:00 PM"</f>
        <v>9/5/2024 12:04:00 PM</v>
      </c>
      <c r="O23404" t="s">
        <v>71104</v>
      </c>
    </row>
    <row r="23405" spans="1:20" x14ac:dyDescent="0.25">
      <c r="A23405" t="str">
        <f>"3061395"</f>
        <v>3061395</v>
      </c>
      <c r="B23405" t="s">
        <v>71108</v>
      </c>
      <c r="C23405" t="str">
        <f>"8321520"</f>
        <v>8321520</v>
      </c>
      <c r="D23405" t="s">
        <v>71109</v>
      </c>
      <c r="F23405" t="s">
        <v>71110</v>
      </c>
      <c r="I23405" t="s">
        <v>184</v>
      </c>
      <c r="J23405" t="s">
        <v>30</v>
      </c>
      <c r="K23405" t="s">
        <v>5312</v>
      </c>
      <c r="M23405" t="s">
        <v>50621</v>
      </c>
      <c r="N23405" t="str">
        <f>"8/20/2024 2:42:00 PM"</f>
        <v>8/20/2024 2:42:00 PM</v>
      </c>
      <c r="O23405" t="s">
        <v>71109</v>
      </c>
    </row>
    <row r="23406" spans="1:20" x14ac:dyDescent="0.25">
      <c r="A23406" t="str">
        <f>"3056448"</f>
        <v>3056448</v>
      </c>
      <c r="B23406" t="s">
        <v>71111</v>
      </c>
      <c r="C23406" t="str">
        <f>"8321567"</f>
        <v>8321567</v>
      </c>
      <c r="D23406" t="s">
        <v>63311</v>
      </c>
      <c r="E23406" t="s">
        <v>63312</v>
      </c>
      <c r="F23406" t="s">
        <v>71112</v>
      </c>
      <c r="I23406" t="s">
        <v>29</v>
      </c>
      <c r="J23406" t="s">
        <v>30</v>
      </c>
      <c r="K23406" t="s">
        <v>28613</v>
      </c>
      <c r="M23406" t="s">
        <v>51351</v>
      </c>
      <c r="N23406" t="str">
        <f>"8/20/2024 3:04:00 PM"</f>
        <v>8/20/2024 3:04:00 PM</v>
      </c>
      <c r="O23406" t="s">
        <v>63311</v>
      </c>
      <c r="T23406" t="s">
        <v>63312</v>
      </c>
    </row>
    <row r="23407" spans="1:20" x14ac:dyDescent="0.25">
      <c r="A23407" t="str">
        <f>"3038552"</f>
        <v>3038552</v>
      </c>
      <c r="B23407" t="s">
        <v>71113</v>
      </c>
      <c r="C23407" t="str">
        <f>"8322066"</f>
        <v>8322066</v>
      </c>
      <c r="D23407" t="s">
        <v>71114</v>
      </c>
      <c r="F23407" t="s">
        <v>71115</v>
      </c>
      <c r="I23407" t="s">
        <v>29</v>
      </c>
      <c r="J23407" t="s">
        <v>30</v>
      </c>
      <c r="K23407" t="s">
        <v>71116</v>
      </c>
      <c r="M23407" t="s">
        <v>18479</v>
      </c>
      <c r="N23407" t="str">
        <f>"8/20/2024 3:36:00 PM"</f>
        <v>8/20/2024 3:36:00 PM</v>
      </c>
      <c r="O23407" t="s">
        <v>71114</v>
      </c>
    </row>
    <row r="23408" spans="1:20" x14ac:dyDescent="0.25">
      <c r="A23408" t="str">
        <f>"3070359"</f>
        <v>3070359</v>
      </c>
      <c r="B23408" t="s">
        <v>71117</v>
      </c>
      <c r="C23408" t="str">
        <f>"8322066"</f>
        <v>8322066</v>
      </c>
      <c r="D23408" t="s">
        <v>71114</v>
      </c>
      <c r="F23408" t="s">
        <v>71115</v>
      </c>
      <c r="I23408" t="s">
        <v>29</v>
      </c>
      <c r="J23408" t="s">
        <v>30</v>
      </c>
      <c r="K23408" t="s">
        <v>71116</v>
      </c>
      <c r="M23408" t="s">
        <v>18479</v>
      </c>
      <c r="N23408" t="str">
        <f>"8/20/2024 3:36:00 PM"</f>
        <v>8/20/2024 3:36:00 PM</v>
      </c>
      <c r="O23408" t="s">
        <v>71114</v>
      </c>
    </row>
    <row r="23409" spans="1:20" x14ac:dyDescent="0.25">
      <c r="A23409" t="str">
        <f>"3044030"</f>
        <v>3044030</v>
      </c>
      <c r="B23409" t="s">
        <v>71118</v>
      </c>
      <c r="C23409" t="str">
        <f>"8304608"</f>
        <v>8304608</v>
      </c>
      <c r="D23409" t="s">
        <v>71119</v>
      </c>
      <c r="F23409" t="s">
        <v>71120</v>
      </c>
      <c r="I23409" t="s">
        <v>402</v>
      </c>
      <c r="J23409" t="s">
        <v>30</v>
      </c>
      <c r="K23409" t="s">
        <v>71121</v>
      </c>
      <c r="M23409" t="s">
        <v>18479</v>
      </c>
      <c r="N23409" t="str">
        <f>"8/21/2024 9:05:00 AM"</f>
        <v>8/21/2024 9:05:00 AM</v>
      </c>
      <c r="O23409" t="s">
        <v>71119</v>
      </c>
    </row>
    <row r="23410" spans="1:20" x14ac:dyDescent="0.25">
      <c r="A23410" t="str">
        <f>"3061758"</f>
        <v>3061758</v>
      </c>
      <c r="B23410" t="s">
        <v>71122</v>
      </c>
      <c r="C23410" t="str">
        <f>"8303479"</f>
        <v>8303479</v>
      </c>
      <c r="D23410" t="s">
        <v>71123</v>
      </c>
      <c r="F23410" t="s">
        <v>71124</v>
      </c>
      <c r="I23410" t="s">
        <v>471</v>
      </c>
      <c r="J23410" t="s">
        <v>30</v>
      </c>
      <c r="K23410" t="str">
        <f>"27114"</f>
        <v>27114</v>
      </c>
      <c r="M23410" t="s">
        <v>50621</v>
      </c>
      <c r="N23410" t="str">
        <f>"8/21/2024 10:10:00 AM"</f>
        <v>8/21/2024 10:10:00 AM</v>
      </c>
      <c r="O23410" t="s">
        <v>71123</v>
      </c>
    </row>
    <row r="23411" spans="1:20" x14ac:dyDescent="0.25">
      <c r="A23411" t="str">
        <f>"3043642"</f>
        <v>3043642</v>
      </c>
      <c r="B23411" t="s">
        <v>71125</v>
      </c>
      <c r="C23411" t="str">
        <f>"8311423"</f>
        <v>8311423</v>
      </c>
      <c r="D23411" t="s">
        <v>71126</v>
      </c>
      <c r="E23411" t="s">
        <v>71127</v>
      </c>
      <c r="F23411" t="s">
        <v>71128</v>
      </c>
      <c r="I23411" t="s">
        <v>29</v>
      </c>
      <c r="J23411" t="s">
        <v>30</v>
      </c>
      <c r="K23411" t="s">
        <v>71129</v>
      </c>
      <c r="M23411" t="s">
        <v>18479</v>
      </c>
      <c r="N23411" t="str">
        <f>"8/21/2024 4:25:00 PM"</f>
        <v>8/21/2024 4:25:00 PM</v>
      </c>
      <c r="O23411" t="s">
        <v>71126</v>
      </c>
      <c r="T23411" t="s">
        <v>71127</v>
      </c>
    </row>
    <row r="23412" spans="1:20" x14ac:dyDescent="0.25">
      <c r="A23412" t="str">
        <f>"3043887"</f>
        <v>3043887</v>
      </c>
      <c r="B23412" t="s">
        <v>71130</v>
      </c>
      <c r="C23412" t="str">
        <f>"8322846"</f>
        <v>8322846</v>
      </c>
      <c r="D23412" t="s">
        <v>71131</v>
      </c>
      <c r="F23412" t="s">
        <v>71132</v>
      </c>
      <c r="I23412" t="s">
        <v>184</v>
      </c>
      <c r="J23412" t="s">
        <v>30</v>
      </c>
      <c r="K23412" t="s">
        <v>71133</v>
      </c>
      <c r="M23412" t="s">
        <v>50500</v>
      </c>
      <c r="N23412" t="str">
        <f>"9/4/2024 10:34:00 AM"</f>
        <v>9/4/2024 10:34:00 AM</v>
      </c>
      <c r="O23412" t="s">
        <v>71131</v>
      </c>
    </row>
    <row r="23413" spans="1:20" x14ac:dyDescent="0.25">
      <c r="A23413" t="str">
        <f>"3048441"</f>
        <v>3048441</v>
      </c>
      <c r="B23413" t="s">
        <v>71134</v>
      </c>
      <c r="C23413" t="str">
        <f>"8322847"</f>
        <v>8322847</v>
      </c>
      <c r="D23413" t="s">
        <v>71135</v>
      </c>
      <c r="E23413" t="s">
        <v>71136</v>
      </c>
      <c r="F23413" t="s">
        <v>35063</v>
      </c>
      <c r="I23413" t="s">
        <v>184</v>
      </c>
      <c r="J23413" t="s">
        <v>30</v>
      </c>
      <c r="K23413" t="s">
        <v>28739</v>
      </c>
      <c r="M23413" t="s">
        <v>50500</v>
      </c>
      <c r="N23413" t="str">
        <f>"9/4/2024 10:44:00 AM"</f>
        <v>9/4/2024 10:44:00 AM</v>
      </c>
      <c r="O23413" t="s">
        <v>71135</v>
      </c>
      <c r="T23413" t="s">
        <v>71136</v>
      </c>
    </row>
    <row r="23414" spans="1:20" x14ac:dyDescent="0.25">
      <c r="A23414" t="str">
        <f>"3050994"</f>
        <v>3050994</v>
      </c>
      <c r="B23414" t="s">
        <v>71137</v>
      </c>
      <c r="C23414" t="str">
        <f>"8322849"</f>
        <v>8322849</v>
      </c>
      <c r="D23414" t="s">
        <v>71138</v>
      </c>
      <c r="E23414" t="s">
        <v>71139</v>
      </c>
      <c r="F23414" t="s">
        <v>71140</v>
      </c>
      <c r="I23414" t="s">
        <v>184</v>
      </c>
      <c r="J23414" t="s">
        <v>30</v>
      </c>
      <c r="K23414" t="s">
        <v>10568</v>
      </c>
      <c r="M23414" t="s">
        <v>50500</v>
      </c>
      <c r="N23414" t="str">
        <f>"9/4/2024 11:18:00 AM"</f>
        <v>9/4/2024 11:18:00 AM</v>
      </c>
      <c r="O23414" t="s">
        <v>71138</v>
      </c>
      <c r="T23414" t="s">
        <v>71139</v>
      </c>
    </row>
    <row r="23415" spans="1:20" x14ac:dyDescent="0.25">
      <c r="A23415" t="str">
        <f>"3049955"</f>
        <v>3049955</v>
      </c>
      <c r="B23415" t="s">
        <v>71141</v>
      </c>
      <c r="C23415" t="str">
        <f>"8322850"</f>
        <v>8322850</v>
      </c>
      <c r="D23415" t="s">
        <v>71142</v>
      </c>
      <c r="E23415" t="s">
        <v>71143</v>
      </c>
      <c r="F23415" t="s">
        <v>29325</v>
      </c>
      <c r="I23415" t="s">
        <v>29</v>
      </c>
      <c r="J23415" t="s">
        <v>30</v>
      </c>
      <c r="K23415" t="s">
        <v>33487</v>
      </c>
      <c r="M23415" t="s">
        <v>50500</v>
      </c>
      <c r="N23415" t="str">
        <f>"9/4/2024 11:23:00 AM"</f>
        <v>9/4/2024 11:23:00 AM</v>
      </c>
      <c r="O23415" t="s">
        <v>71142</v>
      </c>
      <c r="T23415" t="s">
        <v>71143</v>
      </c>
    </row>
    <row r="23416" spans="1:20" x14ac:dyDescent="0.25">
      <c r="A23416" t="str">
        <f>"3061312"</f>
        <v>3061312</v>
      </c>
      <c r="B23416" t="s">
        <v>71144</v>
      </c>
      <c r="C23416" t="str">
        <f>"8322851"</f>
        <v>8322851</v>
      </c>
      <c r="D23416" t="s">
        <v>71145</v>
      </c>
      <c r="E23416" t="s">
        <v>71146</v>
      </c>
      <c r="F23416" t="s">
        <v>71147</v>
      </c>
      <c r="I23416" t="s">
        <v>471</v>
      </c>
      <c r="J23416" t="s">
        <v>30</v>
      </c>
      <c r="K23416" t="s">
        <v>71148</v>
      </c>
      <c r="M23416" t="s">
        <v>50500</v>
      </c>
      <c r="N23416" t="str">
        <f>"9/4/2024 11:28:00 AM"</f>
        <v>9/4/2024 11:28:00 AM</v>
      </c>
      <c r="O23416" t="s">
        <v>71145</v>
      </c>
      <c r="T23416" t="s">
        <v>71146</v>
      </c>
    </row>
    <row r="23417" spans="1:20" x14ac:dyDescent="0.25">
      <c r="A23417" t="str">
        <f>"3058785"</f>
        <v>3058785</v>
      </c>
      <c r="B23417" t="s">
        <v>71149</v>
      </c>
      <c r="C23417" t="str">
        <f>"8322852"</f>
        <v>8322852</v>
      </c>
      <c r="D23417" t="s">
        <v>71150</v>
      </c>
      <c r="E23417" t="s">
        <v>71151</v>
      </c>
      <c r="F23417" t="s">
        <v>71152</v>
      </c>
      <c r="I23417" t="s">
        <v>29</v>
      </c>
      <c r="J23417" t="s">
        <v>30</v>
      </c>
      <c r="K23417" t="s">
        <v>11912</v>
      </c>
      <c r="M23417" t="s">
        <v>50500</v>
      </c>
      <c r="N23417" t="str">
        <f>"9/4/2024 11:35:00 AM"</f>
        <v>9/4/2024 11:35:00 AM</v>
      </c>
      <c r="O23417" t="s">
        <v>71150</v>
      </c>
      <c r="T23417" t="s">
        <v>71151</v>
      </c>
    </row>
    <row r="23418" spans="1:20" x14ac:dyDescent="0.25">
      <c r="A23418" t="str">
        <f>"3062737"</f>
        <v>3062737</v>
      </c>
      <c r="B23418" t="s">
        <v>71153</v>
      </c>
      <c r="C23418" t="str">
        <f>"8322854"</f>
        <v>8322854</v>
      </c>
      <c r="D23418" t="s">
        <v>71154</v>
      </c>
      <c r="F23418" t="s">
        <v>71155</v>
      </c>
      <c r="I23418" t="s">
        <v>184</v>
      </c>
      <c r="J23418" t="s">
        <v>30</v>
      </c>
      <c r="K23418" t="s">
        <v>9158</v>
      </c>
      <c r="M23418" t="s">
        <v>50500</v>
      </c>
      <c r="N23418" t="str">
        <f>"9/4/2024 11:54:00 AM"</f>
        <v>9/4/2024 11:54:00 AM</v>
      </c>
      <c r="O23418" t="s">
        <v>71154</v>
      </c>
    </row>
    <row r="23419" spans="1:20" x14ac:dyDescent="0.25">
      <c r="A23419" t="str">
        <f>"3041000"</f>
        <v>3041000</v>
      </c>
      <c r="B23419" t="s">
        <v>71156</v>
      </c>
      <c r="C23419" t="str">
        <f>"8322856"</f>
        <v>8322856</v>
      </c>
      <c r="D23419" t="s">
        <v>71157</v>
      </c>
      <c r="E23419" t="s">
        <v>71158</v>
      </c>
      <c r="F23419" t="s">
        <v>71159</v>
      </c>
      <c r="I23419" t="s">
        <v>184</v>
      </c>
      <c r="J23419" t="s">
        <v>30</v>
      </c>
      <c r="K23419" t="s">
        <v>19416</v>
      </c>
      <c r="M23419" t="s">
        <v>50500</v>
      </c>
      <c r="N23419" t="str">
        <f>"9/4/2024 12:08:00 PM"</f>
        <v>9/4/2024 12:08:00 PM</v>
      </c>
      <c r="O23419" t="s">
        <v>71157</v>
      </c>
      <c r="T23419" t="s">
        <v>71158</v>
      </c>
    </row>
    <row r="23420" spans="1:20" x14ac:dyDescent="0.25">
      <c r="A23420" t="str">
        <f>"3052802"</f>
        <v>3052802</v>
      </c>
      <c r="B23420" t="s">
        <v>71160</v>
      </c>
      <c r="C23420" t="str">
        <f>"8301190"</f>
        <v>8301190</v>
      </c>
      <c r="D23420" t="s">
        <v>71161</v>
      </c>
      <c r="F23420" t="s">
        <v>30909</v>
      </c>
      <c r="I23420" t="s">
        <v>29</v>
      </c>
      <c r="J23420" t="s">
        <v>30</v>
      </c>
      <c r="K23420" t="str">
        <f>"27028"</f>
        <v>27028</v>
      </c>
      <c r="M23420" t="s">
        <v>50621</v>
      </c>
      <c r="N23420" t="str">
        <f>"9/5/2024 11:36:00 AM"</f>
        <v>9/5/2024 11:36:00 AM</v>
      </c>
      <c r="O23420" t="s">
        <v>71161</v>
      </c>
    </row>
    <row r="23421" spans="1:20" x14ac:dyDescent="0.25">
      <c r="A23421" t="str">
        <f>"3051604"</f>
        <v>3051604</v>
      </c>
      <c r="B23421" t="s">
        <v>71162</v>
      </c>
      <c r="C23421" t="str">
        <f>"305250"</f>
        <v>305250</v>
      </c>
      <c r="D23421" t="s">
        <v>71163</v>
      </c>
      <c r="E23421" t="s">
        <v>71164</v>
      </c>
      <c r="F23421" t="s">
        <v>71165</v>
      </c>
      <c r="I23421" t="s">
        <v>51864</v>
      </c>
      <c r="J23421" t="s">
        <v>17511</v>
      </c>
      <c r="K23421" t="s">
        <v>71166</v>
      </c>
      <c r="M23421" t="s">
        <v>50793</v>
      </c>
      <c r="N23421" t="str">
        <f>"9/5/2024 11:37:00 AM"</f>
        <v>9/5/2024 11:37:00 AM</v>
      </c>
      <c r="O23421" t="s">
        <v>71163</v>
      </c>
      <c r="T23421" t="s">
        <v>71164</v>
      </c>
    </row>
    <row r="23422" spans="1:20" x14ac:dyDescent="0.25">
      <c r="A23422" t="str">
        <f>"3052224"</f>
        <v>3052224</v>
      </c>
      <c r="B23422" t="s">
        <v>71167</v>
      </c>
      <c r="C23422" t="str">
        <f>"82521172"</f>
        <v>82521172</v>
      </c>
      <c r="D23422" t="s">
        <v>71168</v>
      </c>
      <c r="E23422" t="s">
        <v>69328</v>
      </c>
      <c r="F23422" t="s">
        <v>9336</v>
      </c>
      <c r="I23422" t="s">
        <v>29</v>
      </c>
      <c r="J23422" t="s">
        <v>30</v>
      </c>
      <c r="K23422" t="s">
        <v>31</v>
      </c>
      <c r="M23422" t="s">
        <v>50621</v>
      </c>
      <c r="N23422" t="str">
        <f>"9/5/2024 11:39:00 AM"</f>
        <v>9/5/2024 11:39:00 AM</v>
      </c>
      <c r="O23422" t="s">
        <v>71168</v>
      </c>
      <c r="T23422" t="s">
        <v>69328</v>
      </c>
    </row>
    <row r="23423" spans="1:20" x14ac:dyDescent="0.25">
      <c r="A23423" t="str">
        <f>"3047919"</f>
        <v>3047919</v>
      </c>
      <c r="B23423" t="s">
        <v>71169</v>
      </c>
      <c r="C23423" t="str">
        <f>"8310486"</f>
        <v>8310486</v>
      </c>
      <c r="D23423" t="s">
        <v>71170</v>
      </c>
      <c r="F23423" t="s">
        <v>71171</v>
      </c>
      <c r="I23423" t="s">
        <v>17921</v>
      </c>
      <c r="J23423" t="s">
        <v>30</v>
      </c>
      <c r="K23423" t="str">
        <f>"27028"</f>
        <v>27028</v>
      </c>
      <c r="M23423" t="s">
        <v>50621</v>
      </c>
      <c r="N23423" t="str">
        <f>"9/5/2024 11:49:00 AM"</f>
        <v>9/5/2024 11:49:00 AM</v>
      </c>
      <c r="O23423" t="s">
        <v>71170</v>
      </c>
    </row>
    <row r="23424" spans="1:20" x14ac:dyDescent="0.25">
      <c r="A23424" t="str">
        <f>"3045303"</f>
        <v>3045303</v>
      </c>
      <c r="B23424" t="s">
        <v>71172</v>
      </c>
      <c r="C23424" t="str">
        <f>"29724000"</f>
        <v>29724000</v>
      </c>
      <c r="D23424" t="s">
        <v>71173</v>
      </c>
      <c r="E23424" t="s">
        <v>71174</v>
      </c>
      <c r="F23424" t="s">
        <v>71175</v>
      </c>
      <c r="I23424" t="s">
        <v>29</v>
      </c>
      <c r="J23424" t="s">
        <v>30</v>
      </c>
      <c r="K23424" t="s">
        <v>48817</v>
      </c>
      <c r="M23424" t="s">
        <v>50621</v>
      </c>
      <c r="N23424" t="str">
        <f>"9/5/2024 12:06:00 PM"</f>
        <v>9/5/2024 12:06:00 PM</v>
      </c>
      <c r="O23424" t="s">
        <v>71173</v>
      </c>
      <c r="T23424" t="s">
        <v>71174</v>
      </c>
    </row>
    <row r="23425" spans="1:20" x14ac:dyDescent="0.25">
      <c r="A23425" t="str">
        <f>"3057051"</f>
        <v>3057051</v>
      </c>
      <c r="B23425" t="s">
        <v>71176</v>
      </c>
      <c r="C23425" t="str">
        <f>"32219120"</f>
        <v>32219120</v>
      </c>
      <c r="D23425" t="s">
        <v>71177</v>
      </c>
      <c r="F23425" t="s">
        <v>71178</v>
      </c>
      <c r="I23425" t="s">
        <v>71179</v>
      </c>
      <c r="J23425" t="s">
        <v>1046</v>
      </c>
      <c r="K23425" t="s">
        <v>71180</v>
      </c>
      <c r="M23425" t="s">
        <v>50621</v>
      </c>
      <c r="N23425" t="str">
        <f>"9/5/2024 12:27:00 PM"</f>
        <v>9/5/2024 12:27:00 PM</v>
      </c>
      <c r="O23425" t="s">
        <v>71177</v>
      </c>
    </row>
    <row r="23426" spans="1:20" x14ac:dyDescent="0.25">
      <c r="A23426" t="str">
        <f>"3056419"</f>
        <v>3056419</v>
      </c>
      <c r="B23426" t="s">
        <v>71181</v>
      </c>
      <c r="C23426" t="str">
        <f>"32663000"</f>
        <v>32663000</v>
      </c>
      <c r="D23426" t="s">
        <v>71182</v>
      </c>
      <c r="F23426" t="str">
        <f>"C/O MARQUISE HARGROVE"</f>
        <v>C/O MARQUISE HARGROVE</v>
      </c>
      <c r="G23426" t="s">
        <v>71183</v>
      </c>
      <c r="I23426" t="s">
        <v>49540</v>
      </c>
      <c r="J23426" t="s">
        <v>1543</v>
      </c>
      <c r="K23426" t="s">
        <v>71184</v>
      </c>
      <c r="M23426" t="s">
        <v>50621</v>
      </c>
      <c r="N23426" t="str">
        <f>"9/5/2024 12:28:00 PM"</f>
        <v>9/5/2024 12:28:00 PM</v>
      </c>
      <c r="O23426" t="s">
        <v>71182</v>
      </c>
    </row>
    <row r="23427" spans="1:20" x14ac:dyDescent="0.25">
      <c r="A23427" t="str">
        <f>"3062688"</f>
        <v>3062688</v>
      </c>
      <c r="B23427" t="s">
        <v>71185</v>
      </c>
      <c r="C23427" t="str">
        <f>"8322835"</f>
        <v>8322835</v>
      </c>
      <c r="D23427" t="s">
        <v>71186</v>
      </c>
      <c r="E23427" t="s">
        <v>71187</v>
      </c>
      <c r="F23427" t="s">
        <v>71188</v>
      </c>
      <c r="I23427" t="s">
        <v>29</v>
      </c>
      <c r="J23427" t="s">
        <v>30</v>
      </c>
      <c r="K23427" t="s">
        <v>71189</v>
      </c>
      <c r="M23427" t="s">
        <v>50500</v>
      </c>
      <c r="N23427" t="str">
        <f>"8/29/2024 2:25:00 PM"</f>
        <v>8/29/2024 2:25:00 PM</v>
      </c>
      <c r="O23427" t="s">
        <v>71186</v>
      </c>
      <c r="T23427" t="s">
        <v>71187</v>
      </c>
    </row>
    <row r="23428" spans="1:20" x14ac:dyDescent="0.25">
      <c r="A23428" t="str">
        <f>"3061884"</f>
        <v>3061884</v>
      </c>
      <c r="B23428" t="s">
        <v>71190</v>
      </c>
      <c r="C23428" t="str">
        <f>"8322837"</f>
        <v>8322837</v>
      </c>
      <c r="D23428" t="s">
        <v>71191</v>
      </c>
      <c r="F23428" t="s">
        <v>10428</v>
      </c>
      <c r="I23428" t="s">
        <v>29</v>
      </c>
      <c r="J23428" t="s">
        <v>30</v>
      </c>
      <c r="K23428" t="s">
        <v>71192</v>
      </c>
      <c r="M23428" t="s">
        <v>50500</v>
      </c>
      <c r="N23428" t="str">
        <f>"8/30/2024 9:08:00 AM"</f>
        <v>8/30/2024 9:08:00 AM</v>
      </c>
      <c r="O23428" t="s">
        <v>71191</v>
      </c>
    </row>
    <row r="23429" spans="1:20" x14ac:dyDescent="0.25">
      <c r="A23429" t="str">
        <f>"3078774"</f>
        <v>3078774</v>
      </c>
      <c r="B23429" t="s">
        <v>71193</v>
      </c>
      <c r="C23429" t="str">
        <f>"8322837"</f>
        <v>8322837</v>
      </c>
      <c r="D23429" t="s">
        <v>71191</v>
      </c>
      <c r="F23429" t="s">
        <v>10428</v>
      </c>
      <c r="I23429" t="s">
        <v>29</v>
      </c>
      <c r="J23429" t="s">
        <v>30</v>
      </c>
      <c r="K23429" t="s">
        <v>71192</v>
      </c>
      <c r="M23429" t="s">
        <v>50500</v>
      </c>
      <c r="N23429" t="str">
        <f>"8/30/2024 9:08:00 AM"</f>
        <v>8/30/2024 9:08:00 AM</v>
      </c>
      <c r="O23429" t="s">
        <v>71191</v>
      </c>
    </row>
    <row r="23430" spans="1:20" x14ac:dyDescent="0.25">
      <c r="A23430" t="str">
        <f>"3052680"</f>
        <v>3052680</v>
      </c>
      <c r="B23430" t="s">
        <v>71194</v>
      </c>
      <c r="C23430" t="str">
        <f>"82522403"</f>
        <v>82522403</v>
      </c>
      <c r="D23430" t="s">
        <v>21343</v>
      </c>
      <c r="E23430" t="s">
        <v>68478</v>
      </c>
      <c r="F23430" t="s">
        <v>46219</v>
      </c>
      <c r="I23430" t="s">
        <v>29</v>
      </c>
      <c r="J23430" t="s">
        <v>30</v>
      </c>
      <c r="K23430" t="s">
        <v>43527</v>
      </c>
      <c r="M23430" t="s">
        <v>52111</v>
      </c>
      <c r="N23430" t="str">
        <f>"8/30/2024 2:46:00 PM"</f>
        <v>8/30/2024 2:46:00 PM</v>
      </c>
      <c r="O23430" t="s">
        <v>21343</v>
      </c>
      <c r="T23430" t="s">
        <v>68478</v>
      </c>
    </row>
    <row r="23431" spans="1:20" x14ac:dyDescent="0.25">
      <c r="A23431" t="str">
        <f>"3054472"</f>
        <v>3054472</v>
      </c>
      <c r="B23431" t="s">
        <v>71195</v>
      </c>
      <c r="C23431" t="str">
        <f>"33866000"</f>
        <v>33866000</v>
      </c>
      <c r="D23431" t="s">
        <v>71196</v>
      </c>
      <c r="E23431" t="s">
        <v>71197</v>
      </c>
      <c r="F23431" t="s">
        <v>42861</v>
      </c>
      <c r="I23431" t="s">
        <v>17921</v>
      </c>
      <c r="J23431" t="s">
        <v>30</v>
      </c>
      <c r="K23431" t="s">
        <v>31</v>
      </c>
      <c r="M23431" t="s">
        <v>50621</v>
      </c>
      <c r="N23431" t="str">
        <f>"9/5/2024 2:14:00 PM"</f>
        <v>9/5/2024 2:14:00 PM</v>
      </c>
      <c r="O23431" t="s">
        <v>71196</v>
      </c>
      <c r="T23431" t="s">
        <v>71197</v>
      </c>
    </row>
    <row r="23432" spans="1:20" x14ac:dyDescent="0.25">
      <c r="A23432" t="str">
        <f>"3076634"</f>
        <v>3076634</v>
      </c>
      <c r="B23432" t="s">
        <v>71198</v>
      </c>
      <c r="C23432" t="str">
        <f>"37988000"</f>
        <v>37988000</v>
      </c>
      <c r="D23432" t="s">
        <v>71199</v>
      </c>
      <c r="F23432" t="s">
        <v>71200</v>
      </c>
      <c r="I23432" t="s">
        <v>2291</v>
      </c>
      <c r="J23432" t="s">
        <v>30</v>
      </c>
      <c r="K23432" t="s">
        <v>2292</v>
      </c>
      <c r="M23432" t="s">
        <v>50621</v>
      </c>
      <c r="N23432" t="str">
        <f>"9/5/2024 2:20:00 PM"</f>
        <v>9/5/2024 2:20:00 PM</v>
      </c>
      <c r="O23432" t="s">
        <v>71199</v>
      </c>
    </row>
    <row r="23433" spans="1:20" x14ac:dyDescent="0.25">
      <c r="A23433" t="str">
        <f>"3055541"</f>
        <v>3055541</v>
      </c>
      <c r="B23433" t="s">
        <v>71201</v>
      </c>
      <c r="C23433" t="str">
        <f>"8316379"</f>
        <v>8316379</v>
      </c>
      <c r="D23433" t="s">
        <v>71202</v>
      </c>
      <c r="E23433" t="s">
        <v>71203</v>
      </c>
      <c r="F23433" t="s">
        <v>71204</v>
      </c>
      <c r="I23433" t="s">
        <v>29</v>
      </c>
      <c r="J23433" t="s">
        <v>30</v>
      </c>
      <c r="K23433" t="s">
        <v>71205</v>
      </c>
      <c r="M23433" t="s">
        <v>18470</v>
      </c>
      <c r="N23433" t="str">
        <f>"8/30/2024 4:30:00 PM"</f>
        <v>8/30/2024 4:30:00 PM</v>
      </c>
      <c r="O23433" t="s">
        <v>71202</v>
      </c>
      <c r="T23433" t="s">
        <v>71203</v>
      </c>
    </row>
    <row r="23434" spans="1:20" x14ac:dyDescent="0.25">
      <c r="A23434" t="str">
        <f>"3062631"</f>
        <v>3062631</v>
      </c>
      <c r="B23434" t="s">
        <v>71206</v>
      </c>
      <c r="C23434" t="str">
        <f>"8322858"</f>
        <v>8322858</v>
      </c>
      <c r="D23434" t="s">
        <v>71207</v>
      </c>
      <c r="E23434" t="s">
        <v>71208</v>
      </c>
      <c r="F23434" t="s">
        <v>71209</v>
      </c>
      <c r="I23434" t="s">
        <v>2071</v>
      </c>
      <c r="J23434" t="s">
        <v>30</v>
      </c>
      <c r="K23434" t="s">
        <v>38843</v>
      </c>
      <c r="M23434" t="s">
        <v>50500</v>
      </c>
      <c r="N23434" t="str">
        <f>"9/5/2024 2:40:00 PM"</f>
        <v>9/5/2024 2:40:00 PM</v>
      </c>
      <c r="O23434" t="s">
        <v>71207</v>
      </c>
      <c r="T23434" t="s">
        <v>71208</v>
      </c>
    </row>
    <row r="23435" spans="1:20" x14ac:dyDescent="0.25">
      <c r="A23435" t="str">
        <f>"3046987"</f>
        <v>3046987</v>
      </c>
      <c r="B23435" t="s">
        <v>71210</v>
      </c>
      <c r="C23435" t="str">
        <f>"8322873"</f>
        <v>8322873</v>
      </c>
      <c r="D23435" t="s">
        <v>71211</v>
      </c>
      <c r="F23435" t="s">
        <v>71212</v>
      </c>
      <c r="I23435" t="s">
        <v>29</v>
      </c>
      <c r="J23435" t="s">
        <v>30</v>
      </c>
      <c r="K23435" t="s">
        <v>42896</v>
      </c>
      <c r="M23435" t="s">
        <v>50500</v>
      </c>
      <c r="N23435" t="str">
        <f>"9/11/2024 8:46:00 AM"</f>
        <v>9/11/2024 8:46:00 AM</v>
      </c>
      <c r="O23435" t="s">
        <v>71211</v>
      </c>
    </row>
    <row r="23436" spans="1:20" x14ac:dyDescent="0.25">
      <c r="A23436" t="str">
        <f>"3061399"</f>
        <v>3061399</v>
      </c>
      <c r="B23436" t="s">
        <v>71213</v>
      </c>
      <c r="C23436" t="str">
        <f>"8322874"</f>
        <v>8322874</v>
      </c>
      <c r="D23436" t="s">
        <v>71214</v>
      </c>
      <c r="E23436" t="s">
        <v>71215</v>
      </c>
      <c r="F23436" t="s">
        <v>71216</v>
      </c>
      <c r="I23436" t="s">
        <v>184</v>
      </c>
      <c r="J23436" t="s">
        <v>30</v>
      </c>
      <c r="K23436" t="s">
        <v>5432</v>
      </c>
      <c r="M23436" t="s">
        <v>50500</v>
      </c>
      <c r="N23436" t="str">
        <f>"9/11/2024 8:52:00 AM"</f>
        <v>9/11/2024 8:52:00 AM</v>
      </c>
      <c r="O23436" t="s">
        <v>71214</v>
      </c>
      <c r="T23436" t="s">
        <v>71215</v>
      </c>
    </row>
    <row r="23437" spans="1:20" x14ac:dyDescent="0.25">
      <c r="A23437" t="str">
        <f>"3078920"</f>
        <v>3078920</v>
      </c>
      <c r="B23437" t="s">
        <v>71217</v>
      </c>
      <c r="C23437" t="str">
        <f>"8322874"</f>
        <v>8322874</v>
      </c>
      <c r="D23437" t="s">
        <v>71214</v>
      </c>
      <c r="E23437" t="s">
        <v>71215</v>
      </c>
      <c r="F23437" t="s">
        <v>71216</v>
      </c>
      <c r="I23437" t="s">
        <v>184</v>
      </c>
      <c r="J23437" t="s">
        <v>30</v>
      </c>
      <c r="K23437" t="s">
        <v>5432</v>
      </c>
      <c r="M23437" t="s">
        <v>50500</v>
      </c>
      <c r="N23437" t="str">
        <f>"9/11/2024 8:52:00 AM"</f>
        <v>9/11/2024 8:52:00 AM</v>
      </c>
      <c r="O23437" t="s">
        <v>71214</v>
      </c>
      <c r="T23437" t="s">
        <v>71215</v>
      </c>
    </row>
    <row r="23438" spans="1:20" x14ac:dyDescent="0.25">
      <c r="A23438" t="str">
        <f>"3043501"</f>
        <v>3043501</v>
      </c>
      <c r="B23438" t="s">
        <v>71218</v>
      </c>
      <c r="C23438" t="str">
        <f>"8322875"</f>
        <v>8322875</v>
      </c>
      <c r="D23438" t="s">
        <v>71219</v>
      </c>
      <c r="E23438" t="s">
        <v>71220</v>
      </c>
      <c r="F23438" t="s">
        <v>71221</v>
      </c>
      <c r="I23438" t="s">
        <v>29</v>
      </c>
      <c r="J23438" t="s">
        <v>30</v>
      </c>
      <c r="K23438" t="s">
        <v>37706</v>
      </c>
      <c r="M23438" t="s">
        <v>50500</v>
      </c>
      <c r="N23438" t="str">
        <f>"9/11/2024 8:58:00 AM"</f>
        <v>9/11/2024 8:58:00 AM</v>
      </c>
      <c r="O23438" t="s">
        <v>71219</v>
      </c>
      <c r="T23438" t="s">
        <v>71220</v>
      </c>
    </row>
    <row r="23439" spans="1:20" x14ac:dyDescent="0.25">
      <c r="A23439" t="str">
        <f>"3041958"</f>
        <v>3041958</v>
      </c>
      <c r="B23439" t="s">
        <v>71222</v>
      </c>
      <c r="C23439" t="str">
        <f>"8322876"</f>
        <v>8322876</v>
      </c>
      <c r="D23439" t="s">
        <v>48824</v>
      </c>
      <c r="E23439" t="s">
        <v>71223</v>
      </c>
      <c r="F23439" t="s">
        <v>71224</v>
      </c>
      <c r="I23439" t="s">
        <v>2071</v>
      </c>
      <c r="J23439" t="s">
        <v>30</v>
      </c>
      <c r="K23439" t="s">
        <v>45082</v>
      </c>
      <c r="M23439" t="s">
        <v>50500</v>
      </c>
      <c r="N23439" t="str">
        <f>"9/11/2024 9:20:00 AM"</f>
        <v>9/11/2024 9:20:00 AM</v>
      </c>
      <c r="O23439" t="s">
        <v>48824</v>
      </c>
      <c r="T23439" t="s">
        <v>71223</v>
      </c>
    </row>
    <row r="23440" spans="1:20" x14ac:dyDescent="0.25">
      <c r="A23440" t="str">
        <f>"3061669"</f>
        <v>3061669</v>
      </c>
      <c r="B23440" t="s">
        <v>71225</v>
      </c>
      <c r="C23440" t="str">
        <f>"8322877"</f>
        <v>8322877</v>
      </c>
      <c r="D23440" t="s">
        <v>71226</v>
      </c>
      <c r="E23440" t="s">
        <v>71227</v>
      </c>
      <c r="F23440" t="s">
        <v>71228</v>
      </c>
      <c r="I23440" t="s">
        <v>29</v>
      </c>
      <c r="J23440" t="s">
        <v>30</v>
      </c>
      <c r="K23440" t="s">
        <v>59681</v>
      </c>
      <c r="M23440" t="s">
        <v>50500</v>
      </c>
      <c r="N23440" t="str">
        <f>"9/11/2024 9:24:00 AM"</f>
        <v>9/11/2024 9:24:00 AM</v>
      </c>
      <c r="O23440" t="s">
        <v>71226</v>
      </c>
      <c r="T23440" t="s">
        <v>71227</v>
      </c>
    </row>
    <row r="23441" spans="1:20" x14ac:dyDescent="0.25">
      <c r="A23441" t="str">
        <f>"3058987"</f>
        <v>3058987</v>
      </c>
      <c r="B23441" t="s">
        <v>71229</v>
      </c>
      <c r="C23441" t="str">
        <f>"8322878"</f>
        <v>8322878</v>
      </c>
      <c r="D23441" t="s">
        <v>71230</v>
      </c>
      <c r="E23441" t="s">
        <v>71231</v>
      </c>
      <c r="F23441" t="s">
        <v>71232</v>
      </c>
      <c r="I23441" t="s">
        <v>29</v>
      </c>
      <c r="J23441" t="s">
        <v>30</v>
      </c>
      <c r="K23441" t="s">
        <v>69506</v>
      </c>
      <c r="M23441" t="s">
        <v>50500</v>
      </c>
      <c r="N23441" t="str">
        <f>"9/11/2024 9:30:00 AM"</f>
        <v>9/11/2024 9:30:00 AM</v>
      </c>
      <c r="O23441" t="s">
        <v>71230</v>
      </c>
      <c r="T23441" t="s">
        <v>71231</v>
      </c>
    </row>
    <row r="23442" spans="1:20" x14ac:dyDescent="0.25">
      <c r="A23442" t="str">
        <f>"3057273"</f>
        <v>3057273</v>
      </c>
      <c r="B23442" t="s">
        <v>71233</v>
      </c>
      <c r="C23442" t="str">
        <f>"8322878"</f>
        <v>8322878</v>
      </c>
      <c r="D23442" t="s">
        <v>71230</v>
      </c>
      <c r="E23442" t="s">
        <v>71231</v>
      </c>
      <c r="F23442" t="s">
        <v>71232</v>
      </c>
      <c r="I23442" t="s">
        <v>29</v>
      </c>
      <c r="J23442" t="s">
        <v>30</v>
      </c>
      <c r="K23442" t="s">
        <v>69506</v>
      </c>
      <c r="M23442" t="s">
        <v>50500</v>
      </c>
      <c r="N23442" t="str">
        <f>"9/11/2024 9:30:00 AM"</f>
        <v>9/11/2024 9:30:00 AM</v>
      </c>
      <c r="O23442" t="s">
        <v>71230</v>
      </c>
      <c r="T23442" t="s">
        <v>71231</v>
      </c>
    </row>
    <row r="23443" spans="1:20" x14ac:dyDescent="0.25">
      <c r="A23443" t="str">
        <f>"3048779"</f>
        <v>3048779</v>
      </c>
      <c r="B23443" t="s">
        <v>71234</v>
      </c>
      <c r="C23443" t="str">
        <f>"8317430"</f>
        <v>8317430</v>
      </c>
      <c r="D23443" t="s">
        <v>71235</v>
      </c>
      <c r="E23443" t="s">
        <v>71236</v>
      </c>
      <c r="F23443" t="s">
        <v>71237</v>
      </c>
      <c r="I23443" t="s">
        <v>29</v>
      </c>
      <c r="J23443" t="s">
        <v>30</v>
      </c>
      <c r="K23443" t="s">
        <v>50070</v>
      </c>
      <c r="M23443" t="s">
        <v>50621</v>
      </c>
      <c r="N23443" t="str">
        <f>"9/5/2024 2:47:00 PM"</f>
        <v>9/5/2024 2:47:00 PM</v>
      </c>
      <c r="O23443" t="s">
        <v>71235</v>
      </c>
      <c r="T23443" t="s">
        <v>71236</v>
      </c>
    </row>
    <row r="23444" spans="1:20" x14ac:dyDescent="0.25">
      <c r="A23444" t="str">
        <f>"3059413"</f>
        <v>3059413</v>
      </c>
      <c r="B23444" t="s">
        <v>71238</v>
      </c>
      <c r="C23444" t="str">
        <f>"8322879"</f>
        <v>8322879</v>
      </c>
      <c r="D23444" t="s">
        <v>71239</v>
      </c>
      <c r="F23444" t="s">
        <v>71240</v>
      </c>
      <c r="I23444" t="s">
        <v>29</v>
      </c>
      <c r="J23444" t="s">
        <v>30</v>
      </c>
      <c r="K23444" t="s">
        <v>18006</v>
      </c>
      <c r="M23444" t="s">
        <v>50500</v>
      </c>
      <c r="N23444" t="str">
        <f>"9/11/2024 9:55:00 AM"</f>
        <v>9/11/2024 9:55:00 AM</v>
      </c>
      <c r="O23444" t="s">
        <v>71239</v>
      </c>
    </row>
    <row r="23445" spans="1:20" x14ac:dyDescent="0.25">
      <c r="A23445" t="str">
        <f>"3048105"</f>
        <v>3048105</v>
      </c>
      <c r="B23445" t="s">
        <v>71241</v>
      </c>
      <c r="C23445" t="str">
        <f>"41832500"</f>
        <v>41832500</v>
      </c>
      <c r="D23445" t="s">
        <v>71242</v>
      </c>
      <c r="F23445" t="s">
        <v>71243</v>
      </c>
      <c r="I23445" t="s">
        <v>184</v>
      </c>
      <c r="J23445" t="s">
        <v>30</v>
      </c>
      <c r="K23445" t="s">
        <v>71244</v>
      </c>
      <c r="M23445" t="s">
        <v>50793</v>
      </c>
      <c r="N23445" t="str">
        <f>"9/11/2024 1:47:00 PM"</f>
        <v>9/11/2024 1:47:00 PM</v>
      </c>
      <c r="O23445" t="s">
        <v>71242</v>
      </c>
    </row>
    <row r="23446" spans="1:20" x14ac:dyDescent="0.25">
      <c r="A23446" t="str">
        <f>"3038506"</f>
        <v>3038506</v>
      </c>
      <c r="B23446" t="s">
        <v>71245</v>
      </c>
      <c r="C23446" t="str">
        <f>"82530727"</f>
        <v>82530727</v>
      </c>
      <c r="D23446" t="s">
        <v>71246</v>
      </c>
      <c r="E23446" t="s">
        <v>71247</v>
      </c>
      <c r="F23446" t="s">
        <v>43483</v>
      </c>
      <c r="I23446" t="s">
        <v>29</v>
      </c>
      <c r="J23446" t="s">
        <v>30</v>
      </c>
      <c r="K23446" t="s">
        <v>31</v>
      </c>
      <c r="M23446" t="s">
        <v>50793</v>
      </c>
      <c r="N23446" t="str">
        <f>"9/11/2024 1:51:00 PM"</f>
        <v>9/11/2024 1:51:00 PM</v>
      </c>
      <c r="O23446" t="s">
        <v>71246</v>
      </c>
      <c r="T23446" t="s">
        <v>71247</v>
      </c>
    </row>
    <row r="23447" spans="1:20" x14ac:dyDescent="0.25">
      <c r="A23447" t="str">
        <f>"3038314"</f>
        <v>3038314</v>
      </c>
      <c r="B23447" t="s">
        <v>71248</v>
      </c>
      <c r="C23447" t="str">
        <f>"82530727"</f>
        <v>82530727</v>
      </c>
      <c r="D23447" t="s">
        <v>71246</v>
      </c>
      <c r="E23447" t="s">
        <v>71247</v>
      </c>
      <c r="F23447" t="s">
        <v>43483</v>
      </c>
      <c r="I23447" t="s">
        <v>29</v>
      </c>
      <c r="J23447" t="s">
        <v>30</v>
      </c>
      <c r="K23447" t="s">
        <v>31</v>
      </c>
      <c r="M23447" t="s">
        <v>50793</v>
      </c>
      <c r="N23447" t="str">
        <f>"9/11/2024 1:51:00 PM"</f>
        <v>9/11/2024 1:51:00 PM</v>
      </c>
      <c r="O23447" t="s">
        <v>71246</v>
      </c>
      <c r="T23447" t="s">
        <v>71247</v>
      </c>
    </row>
    <row r="23448" spans="1:20" x14ac:dyDescent="0.25">
      <c r="A23448" t="str">
        <f>"3038206"</f>
        <v>3038206</v>
      </c>
      <c r="B23448" t="s">
        <v>71249</v>
      </c>
      <c r="C23448" t="str">
        <f>"82530727"</f>
        <v>82530727</v>
      </c>
      <c r="D23448" t="s">
        <v>71246</v>
      </c>
      <c r="E23448" t="s">
        <v>71247</v>
      </c>
      <c r="F23448" t="s">
        <v>43483</v>
      </c>
      <c r="I23448" t="s">
        <v>29</v>
      </c>
      <c r="J23448" t="s">
        <v>30</v>
      </c>
      <c r="K23448" t="s">
        <v>31</v>
      </c>
      <c r="M23448" t="s">
        <v>50793</v>
      </c>
      <c r="N23448" t="str">
        <f>"9/11/2024 1:51:00 PM"</f>
        <v>9/11/2024 1:51:00 PM</v>
      </c>
      <c r="O23448" t="s">
        <v>71246</v>
      </c>
      <c r="T23448" t="s">
        <v>71247</v>
      </c>
    </row>
    <row r="23449" spans="1:20" x14ac:dyDescent="0.25">
      <c r="A23449" t="str">
        <f>"3045056"</f>
        <v>3045056</v>
      </c>
      <c r="B23449" t="s">
        <v>71250</v>
      </c>
      <c r="C23449" t="str">
        <f>"8312854"</f>
        <v>8312854</v>
      </c>
      <c r="D23449" t="s">
        <v>71251</v>
      </c>
      <c r="F23449" t="s">
        <v>71252</v>
      </c>
      <c r="I23449" t="s">
        <v>29</v>
      </c>
      <c r="J23449" t="s">
        <v>30</v>
      </c>
      <c r="K23449" t="s">
        <v>43634</v>
      </c>
      <c r="M23449" t="s">
        <v>52111</v>
      </c>
      <c r="N23449" t="str">
        <f>"9/11/2024 2:25:00 PM"</f>
        <v>9/11/2024 2:25:00 PM</v>
      </c>
      <c r="O23449" t="s">
        <v>71251</v>
      </c>
    </row>
    <row r="23450" spans="1:20" x14ac:dyDescent="0.25">
      <c r="A23450" t="str">
        <f>"3052233"</f>
        <v>3052233</v>
      </c>
      <c r="B23450" t="s">
        <v>71253</v>
      </c>
      <c r="C23450" t="str">
        <f>"8312854"</f>
        <v>8312854</v>
      </c>
      <c r="D23450" t="s">
        <v>71251</v>
      </c>
      <c r="F23450" t="s">
        <v>71252</v>
      </c>
      <c r="I23450" t="s">
        <v>29</v>
      </c>
      <c r="J23450" t="s">
        <v>30</v>
      </c>
      <c r="K23450" t="s">
        <v>43634</v>
      </c>
      <c r="M23450" t="s">
        <v>52111</v>
      </c>
      <c r="N23450" t="str">
        <f>"9/11/2024 2:25:00 PM"</f>
        <v>9/11/2024 2:25:00 PM</v>
      </c>
      <c r="O23450" t="s">
        <v>71251</v>
      </c>
    </row>
    <row r="23451" spans="1:20" x14ac:dyDescent="0.25">
      <c r="A23451" t="str">
        <f>"3045252"</f>
        <v>3045252</v>
      </c>
      <c r="B23451" t="s">
        <v>71254</v>
      </c>
      <c r="C23451" t="str">
        <f>"82515380"</f>
        <v>82515380</v>
      </c>
      <c r="D23451" t="s">
        <v>71255</v>
      </c>
      <c r="E23451" t="s">
        <v>71256</v>
      </c>
      <c r="F23451" t="s">
        <v>66939</v>
      </c>
      <c r="I23451" t="s">
        <v>29</v>
      </c>
      <c r="J23451" t="s">
        <v>30</v>
      </c>
      <c r="K23451" t="s">
        <v>31</v>
      </c>
      <c r="M23451" t="s">
        <v>25625</v>
      </c>
      <c r="N23451" t="str">
        <f>"9/12/2024 9:28:00 AM"</f>
        <v>9/12/2024 9:28:00 AM</v>
      </c>
      <c r="O23451" t="s">
        <v>71255</v>
      </c>
      <c r="T23451" t="s">
        <v>71256</v>
      </c>
    </row>
    <row r="23452" spans="1:20" x14ac:dyDescent="0.25">
      <c r="A23452" t="str">
        <f>"3045224"</f>
        <v>3045224</v>
      </c>
      <c r="B23452" t="s">
        <v>71257</v>
      </c>
      <c r="C23452" t="str">
        <f>"82515380"</f>
        <v>82515380</v>
      </c>
      <c r="D23452" t="s">
        <v>71255</v>
      </c>
      <c r="E23452" t="s">
        <v>71256</v>
      </c>
      <c r="F23452" t="s">
        <v>66939</v>
      </c>
      <c r="I23452" t="s">
        <v>29</v>
      </c>
      <c r="J23452" t="s">
        <v>30</v>
      </c>
      <c r="K23452" t="s">
        <v>31</v>
      </c>
      <c r="M23452" t="s">
        <v>25625</v>
      </c>
      <c r="N23452" t="str">
        <f>"9/12/2024 9:28:00 AM"</f>
        <v>9/12/2024 9:28:00 AM</v>
      </c>
      <c r="O23452" t="s">
        <v>71255</v>
      </c>
      <c r="T23452" t="s">
        <v>71256</v>
      </c>
    </row>
    <row r="23453" spans="1:20" x14ac:dyDescent="0.25">
      <c r="A23453" t="str">
        <f>"3045553"</f>
        <v>3045553</v>
      </c>
      <c r="B23453" t="s">
        <v>71258</v>
      </c>
      <c r="C23453" t="str">
        <f>"82515380"</f>
        <v>82515380</v>
      </c>
      <c r="D23453" t="s">
        <v>71255</v>
      </c>
      <c r="E23453" t="s">
        <v>71256</v>
      </c>
      <c r="F23453" t="s">
        <v>66939</v>
      </c>
      <c r="I23453" t="s">
        <v>29</v>
      </c>
      <c r="J23453" t="s">
        <v>30</v>
      </c>
      <c r="K23453" t="s">
        <v>31</v>
      </c>
      <c r="M23453" t="s">
        <v>25625</v>
      </c>
      <c r="N23453" t="str">
        <f>"9/12/2024 9:28:00 AM"</f>
        <v>9/12/2024 9:28:00 AM</v>
      </c>
      <c r="O23453" t="s">
        <v>71255</v>
      </c>
      <c r="T23453" t="s">
        <v>71256</v>
      </c>
    </row>
    <row r="23454" spans="1:20" x14ac:dyDescent="0.25">
      <c r="A23454" t="str">
        <f>"3063239"</f>
        <v>3063239</v>
      </c>
      <c r="B23454" t="s">
        <v>71259</v>
      </c>
      <c r="C23454" t="str">
        <f>"8322881"</f>
        <v>8322881</v>
      </c>
      <c r="D23454" t="s">
        <v>71260</v>
      </c>
      <c r="E23454" t="s">
        <v>71261</v>
      </c>
      <c r="F23454" t="s">
        <v>31807</v>
      </c>
      <c r="I23454" t="s">
        <v>29</v>
      </c>
      <c r="J23454" t="s">
        <v>30</v>
      </c>
      <c r="K23454" t="s">
        <v>48862</v>
      </c>
      <c r="M23454" t="s">
        <v>50500</v>
      </c>
      <c r="N23454" t="str">
        <f>"9/12/2024 9:45:00 AM"</f>
        <v>9/12/2024 9:45:00 AM</v>
      </c>
      <c r="O23454" t="s">
        <v>71260</v>
      </c>
      <c r="T23454" t="s">
        <v>71261</v>
      </c>
    </row>
    <row r="23455" spans="1:20" x14ac:dyDescent="0.25">
      <c r="A23455" t="str">
        <f>"3039462"</f>
        <v>3039462</v>
      </c>
      <c r="B23455" t="s">
        <v>71262</v>
      </c>
      <c r="C23455" t="str">
        <f>"8322882"</f>
        <v>8322882</v>
      </c>
      <c r="D23455" t="s">
        <v>71263</v>
      </c>
      <c r="F23455" t="s">
        <v>71264</v>
      </c>
      <c r="I23455" t="s">
        <v>21270</v>
      </c>
      <c r="J23455" t="s">
        <v>30</v>
      </c>
      <c r="K23455" t="s">
        <v>71265</v>
      </c>
      <c r="M23455" t="s">
        <v>50500</v>
      </c>
      <c r="N23455" t="str">
        <f>"9/12/2024 10:05:00 AM"</f>
        <v>9/12/2024 10:05:00 AM</v>
      </c>
      <c r="O23455" t="s">
        <v>71263</v>
      </c>
    </row>
    <row r="23456" spans="1:20" x14ac:dyDescent="0.25">
      <c r="A23456" t="str">
        <f>"3077715"</f>
        <v>3077715</v>
      </c>
      <c r="B23456" t="s">
        <v>71266</v>
      </c>
      <c r="C23456" t="str">
        <f>"8322859"</f>
        <v>8322859</v>
      </c>
      <c r="D23456" t="s">
        <v>71267</v>
      </c>
      <c r="F23456" t="s">
        <v>71268</v>
      </c>
      <c r="I23456" t="s">
        <v>29</v>
      </c>
      <c r="J23456" t="s">
        <v>30</v>
      </c>
      <c r="K23456" t="s">
        <v>56931</v>
      </c>
      <c r="M23456" t="s">
        <v>50500</v>
      </c>
      <c r="N23456" t="str">
        <f>"9/5/2024 2:57:00 PM"</f>
        <v>9/5/2024 2:57:00 PM</v>
      </c>
      <c r="O23456" t="s">
        <v>71267</v>
      </c>
    </row>
    <row r="23457" spans="1:20" x14ac:dyDescent="0.25">
      <c r="A23457" t="str">
        <f>"3077716"</f>
        <v>3077716</v>
      </c>
      <c r="B23457" t="s">
        <v>71269</v>
      </c>
      <c r="C23457" t="str">
        <f>"8322859"</f>
        <v>8322859</v>
      </c>
      <c r="D23457" t="s">
        <v>71267</v>
      </c>
      <c r="F23457" t="s">
        <v>71268</v>
      </c>
      <c r="I23457" t="s">
        <v>29</v>
      </c>
      <c r="J23457" t="s">
        <v>30</v>
      </c>
      <c r="K23457" t="s">
        <v>56931</v>
      </c>
      <c r="M23457" t="s">
        <v>50500</v>
      </c>
      <c r="N23457" t="str">
        <f>"9/5/2024 2:57:00 PM"</f>
        <v>9/5/2024 2:57:00 PM</v>
      </c>
      <c r="O23457" t="s">
        <v>71267</v>
      </c>
    </row>
    <row r="23458" spans="1:20" x14ac:dyDescent="0.25">
      <c r="A23458" t="str">
        <f>"3056882"</f>
        <v>3056882</v>
      </c>
      <c r="B23458" t="s">
        <v>71270</v>
      </c>
      <c r="C23458" t="str">
        <f>"8310793"</f>
        <v>8310793</v>
      </c>
      <c r="D23458" t="s">
        <v>36341</v>
      </c>
      <c r="E23458" t="s">
        <v>71271</v>
      </c>
      <c r="F23458" t="s">
        <v>71272</v>
      </c>
      <c r="I23458" t="s">
        <v>1107</v>
      </c>
      <c r="J23458" t="s">
        <v>30</v>
      </c>
      <c r="K23458" t="s">
        <v>71273</v>
      </c>
      <c r="M23458" t="s">
        <v>25733</v>
      </c>
      <c r="N23458" t="str">
        <f>"9/6/2024 9:59:00 AM"</f>
        <v>9/6/2024 9:59:00 AM</v>
      </c>
      <c r="O23458" t="s">
        <v>36341</v>
      </c>
      <c r="T23458" t="s">
        <v>71271</v>
      </c>
    </row>
    <row r="23459" spans="1:20" x14ac:dyDescent="0.25">
      <c r="A23459" t="str">
        <f>"3078250"</f>
        <v>3078250</v>
      </c>
      <c r="B23459" t="s">
        <v>71274</v>
      </c>
      <c r="C23459" t="str">
        <f>"43340000"</f>
        <v>43340000</v>
      </c>
      <c r="D23459" t="s">
        <v>71275</v>
      </c>
      <c r="F23459" t="s">
        <v>71276</v>
      </c>
      <c r="I23459" t="s">
        <v>29</v>
      </c>
      <c r="J23459" t="s">
        <v>30</v>
      </c>
      <c r="K23459" t="s">
        <v>31</v>
      </c>
      <c r="M23459" t="s">
        <v>50621</v>
      </c>
      <c r="N23459" t="str">
        <f>"9/5/2024 2:34:00 PM"</f>
        <v>9/5/2024 2:34:00 PM</v>
      </c>
      <c r="O23459" t="s">
        <v>71275</v>
      </c>
    </row>
    <row r="23460" spans="1:20" x14ac:dyDescent="0.25">
      <c r="A23460" t="str">
        <f>"3078251"</f>
        <v>3078251</v>
      </c>
      <c r="B23460" t="s">
        <v>71277</v>
      </c>
      <c r="C23460" t="str">
        <f>"43340000"</f>
        <v>43340000</v>
      </c>
      <c r="D23460" t="s">
        <v>71275</v>
      </c>
      <c r="F23460" t="s">
        <v>71276</v>
      </c>
      <c r="I23460" t="s">
        <v>29</v>
      </c>
      <c r="J23460" t="s">
        <v>30</v>
      </c>
      <c r="K23460" t="s">
        <v>31</v>
      </c>
      <c r="M23460" t="s">
        <v>50621</v>
      </c>
      <c r="N23460" t="str">
        <f>"9/5/2024 2:34:00 PM"</f>
        <v>9/5/2024 2:34:00 PM</v>
      </c>
      <c r="O23460" t="s">
        <v>71275</v>
      </c>
    </row>
    <row r="23461" spans="1:20" x14ac:dyDescent="0.25">
      <c r="A23461" t="str">
        <f>"3058697"</f>
        <v>3058697</v>
      </c>
      <c r="B23461" t="s">
        <v>71278</v>
      </c>
      <c r="C23461" t="str">
        <f>"8322857"</f>
        <v>8322857</v>
      </c>
      <c r="D23461" t="s">
        <v>71279</v>
      </c>
      <c r="F23461" t="s">
        <v>71280</v>
      </c>
      <c r="I23461" t="s">
        <v>29</v>
      </c>
      <c r="J23461" t="s">
        <v>30</v>
      </c>
      <c r="K23461" t="s">
        <v>61082</v>
      </c>
      <c r="M23461" t="s">
        <v>50500</v>
      </c>
      <c r="N23461" t="str">
        <f>"9/5/2024 2:35:00 PM"</f>
        <v>9/5/2024 2:35:00 PM</v>
      </c>
      <c r="O23461" t="s">
        <v>71279</v>
      </c>
    </row>
    <row r="23462" spans="1:20" x14ac:dyDescent="0.25">
      <c r="A23462" t="str">
        <f>"3064502"</f>
        <v>3064502</v>
      </c>
      <c r="B23462" t="s">
        <v>71281</v>
      </c>
      <c r="C23462" t="str">
        <f>"31152000"</f>
        <v>31152000</v>
      </c>
      <c r="D23462" t="s">
        <v>71282</v>
      </c>
      <c r="F23462" t="s">
        <v>41135</v>
      </c>
      <c r="I23462" t="s">
        <v>184</v>
      </c>
      <c r="J23462" t="s">
        <v>30</v>
      </c>
      <c r="K23462" t="s">
        <v>15015</v>
      </c>
      <c r="M23462" t="s">
        <v>50500</v>
      </c>
      <c r="N23462" t="str">
        <f>"9/11/2024 9:35:00 AM"</f>
        <v>9/11/2024 9:35:00 AM</v>
      </c>
      <c r="O23462" t="s">
        <v>71282</v>
      </c>
      <c r="T23462" t="s">
        <v>71282</v>
      </c>
    </row>
    <row r="23463" spans="1:20" x14ac:dyDescent="0.25">
      <c r="A23463" t="str">
        <f>"3048934"</f>
        <v>3048934</v>
      </c>
      <c r="B23463" t="s">
        <v>71283</v>
      </c>
      <c r="C23463" t="str">
        <f>"8315695"</f>
        <v>8315695</v>
      </c>
      <c r="D23463" t="s">
        <v>71284</v>
      </c>
      <c r="F23463" t="s">
        <v>71285</v>
      </c>
      <c r="I23463" t="s">
        <v>12628</v>
      </c>
      <c r="J23463" t="s">
        <v>3990</v>
      </c>
      <c r="K23463" t="s">
        <v>71286</v>
      </c>
      <c r="M23463" t="s">
        <v>25733</v>
      </c>
      <c r="N23463" t="str">
        <f>"9/6/2024 3:30:00 PM"</f>
        <v>9/6/2024 3:30:00 PM</v>
      </c>
      <c r="O23463" t="s">
        <v>71284</v>
      </c>
    </row>
    <row r="23464" spans="1:20" x14ac:dyDescent="0.25">
      <c r="A23464" t="str">
        <f>"3050460"</f>
        <v>3050460</v>
      </c>
      <c r="B23464" t="s">
        <v>71287</v>
      </c>
      <c r="C23464" t="str">
        <f>"20006870"</f>
        <v>20006870</v>
      </c>
      <c r="D23464" t="s">
        <v>71288</v>
      </c>
      <c r="E23464" t="s">
        <v>71289</v>
      </c>
      <c r="F23464" t="s">
        <v>71290</v>
      </c>
      <c r="G23464" t="s">
        <v>71291</v>
      </c>
      <c r="I23464" t="s">
        <v>7365</v>
      </c>
      <c r="J23464" t="s">
        <v>30</v>
      </c>
      <c r="K23464" t="s">
        <v>71292</v>
      </c>
      <c r="M23464" t="s">
        <v>50621</v>
      </c>
      <c r="N23464" t="str">
        <f>"9/16/2024 10:42:00 AM"</f>
        <v>9/16/2024 10:42:00 AM</v>
      </c>
      <c r="O23464" t="s">
        <v>71288</v>
      </c>
      <c r="T23464" t="s">
        <v>71289</v>
      </c>
    </row>
    <row r="23465" spans="1:20" x14ac:dyDescent="0.25">
      <c r="A23465" t="str">
        <f>"3064402"</f>
        <v>3064402</v>
      </c>
      <c r="B23465" t="s">
        <v>71293</v>
      </c>
      <c r="C23465" t="str">
        <f>"8318041"</f>
        <v>8318041</v>
      </c>
      <c r="D23465" t="s">
        <v>71294</v>
      </c>
      <c r="E23465" t="s">
        <v>71295</v>
      </c>
      <c r="F23465" t="s">
        <v>71296</v>
      </c>
      <c r="G23465" t="s">
        <v>64272</v>
      </c>
      <c r="I23465" t="s">
        <v>3934</v>
      </c>
      <c r="J23465" t="s">
        <v>30</v>
      </c>
      <c r="K23465" t="s">
        <v>71297</v>
      </c>
      <c r="M23465" t="s">
        <v>50621</v>
      </c>
      <c r="N23465" t="str">
        <f>"9/9/2024 10:07:00 AM"</f>
        <v>9/9/2024 10:07:00 AM</v>
      </c>
      <c r="O23465" t="s">
        <v>71294</v>
      </c>
      <c r="T23465" t="s">
        <v>71295</v>
      </c>
    </row>
    <row r="23466" spans="1:20" x14ac:dyDescent="0.25">
      <c r="A23466" t="str">
        <f>"3076693"</f>
        <v>3076693</v>
      </c>
      <c r="B23466" t="s">
        <v>71298</v>
      </c>
      <c r="C23466" t="str">
        <f>"8319352"</f>
        <v>8319352</v>
      </c>
      <c r="D23466" t="s">
        <v>71299</v>
      </c>
      <c r="F23466" t="s">
        <v>71300</v>
      </c>
      <c r="I23466" t="s">
        <v>2275</v>
      </c>
      <c r="J23466" t="s">
        <v>30</v>
      </c>
      <c r="K23466" t="s">
        <v>71301</v>
      </c>
      <c r="M23466" t="s">
        <v>50621</v>
      </c>
      <c r="N23466" t="str">
        <f>"9/9/2024 10:14:00 AM"</f>
        <v>9/9/2024 10:14:00 AM</v>
      </c>
      <c r="O23466" t="s">
        <v>71299</v>
      </c>
    </row>
    <row r="23467" spans="1:20" x14ac:dyDescent="0.25">
      <c r="A23467" t="str">
        <f>"3039085"</f>
        <v>3039085</v>
      </c>
      <c r="B23467" t="s">
        <v>71302</v>
      </c>
      <c r="C23467" t="str">
        <f>"8319352"</f>
        <v>8319352</v>
      </c>
      <c r="D23467" t="s">
        <v>71299</v>
      </c>
      <c r="F23467" t="s">
        <v>71300</v>
      </c>
      <c r="I23467" t="s">
        <v>2275</v>
      </c>
      <c r="J23467" t="s">
        <v>30</v>
      </c>
      <c r="K23467" t="s">
        <v>71301</v>
      </c>
      <c r="M23467" t="s">
        <v>50621</v>
      </c>
      <c r="N23467" t="str">
        <f>"9/9/2024 10:14:00 AM"</f>
        <v>9/9/2024 10:14:00 AM</v>
      </c>
      <c r="O23467" t="s">
        <v>71299</v>
      </c>
    </row>
    <row r="23468" spans="1:20" x14ac:dyDescent="0.25">
      <c r="A23468" t="str">
        <f>"3039086"</f>
        <v>3039086</v>
      </c>
      <c r="B23468" t="s">
        <v>71303</v>
      </c>
      <c r="C23468" t="str">
        <f>"8319352"</f>
        <v>8319352</v>
      </c>
      <c r="D23468" t="s">
        <v>71299</v>
      </c>
      <c r="F23468" t="s">
        <v>71300</v>
      </c>
      <c r="I23468" t="s">
        <v>2275</v>
      </c>
      <c r="J23468" t="s">
        <v>30</v>
      </c>
      <c r="K23468" t="s">
        <v>71301</v>
      </c>
      <c r="M23468" t="s">
        <v>50621</v>
      </c>
      <c r="N23468" t="str">
        <f>"9/9/2024 10:14:00 AM"</f>
        <v>9/9/2024 10:14:00 AM</v>
      </c>
      <c r="O23468" t="s">
        <v>71299</v>
      </c>
    </row>
    <row r="23469" spans="1:20" x14ac:dyDescent="0.25">
      <c r="A23469" t="str">
        <f>"3058378"</f>
        <v>3058378</v>
      </c>
      <c r="B23469" t="s">
        <v>71304</v>
      </c>
      <c r="C23469" t="str">
        <f>"8302788"</f>
        <v>8302788</v>
      </c>
      <c r="D23469" t="s">
        <v>71305</v>
      </c>
      <c r="E23469" t="s">
        <v>71306</v>
      </c>
      <c r="F23469" t="s">
        <v>71307</v>
      </c>
      <c r="I23469" t="s">
        <v>471</v>
      </c>
      <c r="J23469" t="s">
        <v>30</v>
      </c>
      <c r="K23469" t="s">
        <v>71308</v>
      </c>
      <c r="M23469" t="s">
        <v>50793</v>
      </c>
      <c r="N23469" t="str">
        <f>"9/9/2024 10:30:00 AM"</f>
        <v>9/9/2024 10:30:00 AM</v>
      </c>
      <c r="O23469" t="s">
        <v>71305</v>
      </c>
      <c r="T23469" t="s">
        <v>71306</v>
      </c>
    </row>
    <row r="23470" spans="1:20" x14ac:dyDescent="0.25">
      <c r="A23470" t="str">
        <f>"3052446"</f>
        <v>3052446</v>
      </c>
      <c r="B23470" t="s">
        <v>71309</v>
      </c>
      <c r="C23470" t="str">
        <f>"8319457"</f>
        <v>8319457</v>
      </c>
      <c r="D23470" t="s">
        <v>71310</v>
      </c>
      <c r="F23470" t="s">
        <v>71311</v>
      </c>
      <c r="I23470" t="s">
        <v>29</v>
      </c>
      <c r="J23470" t="s">
        <v>30</v>
      </c>
      <c r="K23470" t="s">
        <v>68829</v>
      </c>
      <c r="M23470" t="s">
        <v>50793</v>
      </c>
      <c r="N23470" t="str">
        <f>"9/9/2024 11:48:00 AM"</f>
        <v>9/9/2024 11:48:00 AM</v>
      </c>
      <c r="O23470" t="s">
        <v>71310</v>
      </c>
    </row>
    <row r="23471" spans="1:20" x14ac:dyDescent="0.25">
      <c r="A23471" t="str">
        <f>"3048988"</f>
        <v>3048988</v>
      </c>
      <c r="B23471" t="s">
        <v>71312</v>
      </c>
      <c r="C23471" t="str">
        <f>"8312263"</f>
        <v>8312263</v>
      </c>
      <c r="D23471" t="s">
        <v>71313</v>
      </c>
      <c r="E23471" t="s">
        <v>71314</v>
      </c>
      <c r="F23471" t="s">
        <v>71315</v>
      </c>
      <c r="I23471" t="s">
        <v>184</v>
      </c>
      <c r="J23471" t="s">
        <v>30</v>
      </c>
      <c r="K23471" t="s">
        <v>71316</v>
      </c>
      <c r="M23471" t="s">
        <v>50621</v>
      </c>
      <c r="N23471" t="str">
        <f>"9/9/2024 2:40:00 PM"</f>
        <v>9/9/2024 2:40:00 PM</v>
      </c>
      <c r="O23471" t="s">
        <v>71313</v>
      </c>
      <c r="T23471" t="s">
        <v>71314</v>
      </c>
    </row>
    <row r="23472" spans="1:20" x14ac:dyDescent="0.25">
      <c r="A23472" t="str">
        <f>"3052572"</f>
        <v>3052572</v>
      </c>
      <c r="B23472" t="s">
        <v>71317</v>
      </c>
      <c r="C23472" t="str">
        <f>"48048000"</f>
        <v>48048000</v>
      </c>
      <c r="D23472" t="s">
        <v>71318</v>
      </c>
      <c r="E23472" t="s">
        <v>71319</v>
      </c>
      <c r="G23472" t="s">
        <v>71320</v>
      </c>
      <c r="I23472" t="s">
        <v>29</v>
      </c>
      <c r="J23472" t="s">
        <v>30</v>
      </c>
      <c r="K23472" t="s">
        <v>31</v>
      </c>
      <c r="M23472" t="s">
        <v>50621</v>
      </c>
      <c r="N23472" t="str">
        <f>"9/10/2024 9:26:00 AM"</f>
        <v>9/10/2024 9:26:00 AM</v>
      </c>
      <c r="O23472" t="s">
        <v>71318</v>
      </c>
      <c r="T23472" t="s">
        <v>71319</v>
      </c>
    </row>
    <row r="23473" spans="1:20" x14ac:dyDescent="0.25">
      <c r="A23473" t="str">
        <f>"3056839"</f>
        <v>3056839</v>
      </c>
      <c r="B23473" t="s">
        <v>71321</v>
      </c>
      <c r="C23473" t="str">
        <f>"8311266"</f>
        <v>8311266</v>
      </c>
      <c r="D23473" t="s">
        <v>71322</v>
      </c>
      <c r="E23473" t="s">
        <v>71323</v>
      </c>
      <c r="F23473" t="s">
        <v>71324</v>
      </c>
      <c r="I23473" t="s">
        <v>29</v>
      </c>
      <c r="J23473" t="s">
        <v>30</v>
      </c>
      <c r="K23473" t="str">
        <f>"27028"</f>
        <v>27028</v>
      </c>
      <c r="M23473" t="s">
        <v>50793</v>
      </c>
      <c r="N23473" t="str">
        <f>"9/18/2024 8:53:00 AM"</f>
        <v>9/18/2024 8:53:00 AM</v>
      </c>
      <c r="O23473" t="s">
        <v>71322</v>
      </c>
      <c r="T23473" t="s">
        <v>71323</v>
      </c>
    </row>
    <row r="23474" spans="1:20" x14ac:dyDescent="0.25">
      <c r="A23474" t="str">
        <f>"3043814"</f>
        <v>3043814</v>
      </c>
      <c r="B23474" t="s">
        <v>71325</v>
      </c>
      <c r="C23474" t="str">
        <f>"8322865"</f>
        <v>8322865</v>
      </c>
      <c r="D23474" t="s">
        <v>71326</v>
      </c>
      <c r="F23474" t="s">
        <v>71327</v>
      </c>
      <c r="I23474" t="s">
        <v>29</v>
      </c>
      <c r="J23474" t="s">
        <v>30</v>
      </c>
      <c r="K23474" t="s">
        <v>4638</v>
      </c>
      <c r="M23474" t="s">
        <v>50500</v>
      </c>
      <c r="N23474" t="str">
        <f>"9/10/2024 10:32:00 AM"</f>
        <v>9/10/2024 10:32:00 AM</v>
      </c>
      <c r="O23474" t="s">
        <v>71326</v>
      </c>
    </row>
    <row r="23475" spans="1:20" x14ac:dyDescent="0.25">
      <c r="A23475" t="str">
        <f>"3040498"</f>
        <v>3040498</v>
      </c>
      <c r="B23475" t="s">
        <v>71328</v>
      </c>
      <c r="C23475" t="str">
        <f>"8322866"</f>
        <v>8322866</v>
      </c>
      <c r="D23475" t="s">
        <v>71329</v>
      </c>
      <c r="E23475" t="s">
        <v>71330</v>
      </c>
      <c r="F23475" t="s">
        <v>71331</v>
      </c>
      <c r="I23475" t="s">
        <v>184</v>
      </c>
      <c r="J23475" t="s">
        <v>30</v>
      </c>
      <c r="K23475" t="s">
        <v>3281</v>
      </c>
      <c r="M23475" t="s">
        <v>50500</v>
      </c>
      <c r="N23475" t="str">
        <f>"9/10/2024 10:58:00 AM"</f>
        <v>9/10/2024 10:58:00 AM</v>
      </c>
      <c r="O23475" t="s">
        <v>71329</v>
      </c>
      <c r="T23475" t="s">
        <v>71330</v>
      </c>
    </row>
    <row r="23476" spans="1:20" x14ac:dyDescent="0.25">
      <c r="A23476" t="str">
        <f>"3044761"</f>
        <v>3044761</v>
      </c>
      <c r="B23476" t="s">
        <v>71332</v>
      </c>
      <c r="C23476" t="str">
        <f>"82522815"</f>
        <v>82522815</v>
      </c>
      <c r="D23476" t="s">
        <v>71333</v>
      </c>
      <c r="E23476" t="s">
        <v>71334</v>
      </c>
      <c r="F23476" t="s">
        <v>71335</v>
      </c>
      <c r="I23476" t="s">
        <v>184</v>
      </c>
      <c r="J23476" t="s">
        <v>30</v>
      </c>
      <c r="K23476" t="s">
        <v>6077</v>
      </c>
      <c r="M23476" t="s">
        <v>50793</v>
      </c>
      <c r="N23476" t="str">
        <f>"9/10/2024 1:41:00 PM"</f>
        <v>9/10/2024 1:41:00 PM</v>
      </c>
      <c r="O23476" t="s">
        <v>71333</v>
      </c>
      <c r="T23476" t="s">
        <v>71334</v>
      </c>
    </row>
    <row r="23477" spans="1:20" x14ac:dyDescent="0.25">
      <c r="A23477" t="str">
        <f>"3046131"</f>
        <v>3046131</v>
      </c>
      <c r="B23477" t="s">
        <v>71336</v>
      </c>
      <c r="C23477" t="str">
        <f>"8322867"</f>
        <v>8322867</v>
      </c>
      <c r="D23477" t="s">
        <v>71337</v>
      </c>
      <c r="E23477" t="s">
        <v>71338</v>
      </c>
      <c r="F23477" t="s">
        <v>71339</v>
      </c>
      <c r="I23477" t="s">
        <v>29</v>
      </c>
      <c r="J23477" t="s">
        <v>30</v>
      </c>
      <c r="K23477" t="s">
        <v>27045</v>
      </c>
      <c r="M23477" t="s">
        <v>50500</v>
      </c>
      <c r="N23477" t="str">
        <f>"9/10/2024 2:31:00 PM"</f>
        <v>9/10/2024 2:31:00 PM</v>
      </c>
      <c r="O23477" t="s">
        <v>71337</v>
      </c>
      <c r="T23477" t="s">
        <v>71338</v>
      </c>
    </row>
    <row r="23478" spans="1:20" x14ac:dyDescent="0.25">
      <c r="A23478" t="str">
        <f>"3043972"</f>
        <v>3043972</v>
      </c>
      <c r="B23478" t="s">
        <v>71340</v>
      </c>
      <c r="C23478" t="str">
        <f>"8301205"</f>
        <v>8301205</v>
      </c>
      <c r="D23478" t="s">
        <v>71341</v>
      </c>
      <c r="F23478" t="s">
        <v>71342</v>
      </c>
      <c r="I23478" t="s">
        <v>55439</v>
      </c>
      <c r="J23478" t="s">
        <v>30</v>
      </c>
      <c r="K23478" t="s">
        <v>71343</v>
      </c>
      <c r="M23478" t="s">
        <v>50793</v>
      </c>
      <c r="N23478" t="str">
        <f>"9/18/2024 9:33:00 AM"</f>
        <v>9/18/2024 9:33:00 AM</v>
      </c>
      <c r="O23478" t="s">
        <v>71341</v>
      </c>
    </row>
    <row r="23479" spans="1:20" x14ac:dyDescent="0.25">
      <c r="A23479" t="str">
        <f>"3062730"</f>
        <v>3062730</v>
      </c>
      <c r="B23479" t="s">
        <v>71344</v>
      </c>
      <c r="C23479" t="str">
        <f>"8322154"</f>
        <v>8322154</v>
      </c>
      <c r="D23479" t="str">
        <f>"GRAY JAMES I TR/GRAY BARBARA H TR"</f>
        <v>GRAY JAMES I TR/GRAY BARBARA H TR</v>
      </c>
      <c r="E23479" t="s">
        <v>71345</v>
      </c>
      <c r="F23479" t="s">
        <v>71346</v>
      </c>
      <c r="I23479" t="s">
        <v>184</v>
      </c>
      <c r="J23479" t="s">
        <v>30</v>
      </c>
      <c r="K23479" t="s">
        <v>71347</v>
      </c>
      <c r="M23479" t="s">
        <v>51351</v>
      </c>
      <c r="N23479" t="str">
        <f>"9/18/2024 10:41:00 AM"</f>
        <v>9/18/2024 10:41:00 AM</v>
      </c>
      <c r="O23479" t="str">
        <f>"GRAY JAMES I TR/GRAY BARBARA H TR"</f>
        <v>GRAY JAMES I TR/GRAY BARBARA H TR</v>
      </c>
      <c r="T23479" t="s">
        <v>71345</v>
      </c>
    </row>
    <row r="23480" spans="1:20" x14ac:dyDescent="0.25">
      <c r="A23480" t="str">
        <f>"3039926"</f>
        <v>3039926</v>
      </c>
      <c r="B23480" t="s">
        <v>71348</v>
      </c>
      <c r="C23480" t="str">
        <f>"8322900"</f>
        <v>8322900</v>
      </c>
      <c r="D23480" t="s">
        <v>71349</v>
      </c>
      <c r="F23480" t="s">
        <v>71350</v>
      </c>
      <c r="I23480" t="s">
        <v>184</v>
      </c>
      <c r="J23480" t="s">
        <v>30</v>
      </c>
      <c r="K23480" t="s">
        <v>672</v>
      </c>
      <c r="M23480" t="s">
        <v>50500</v>
      </c>
      <c r="N23480" t="str">
        <f>"9/18/2024 1:50:00 PM"</f>
        <v>9/18/2024 1:50:00 PM</v>
      </c>
      <c r="O23480" t="s">
        <v>71349</v>
      </c>
    </row>
    <row r="23481" spans="1:20" x14ac:dyDescent="0.25">
      <c r="A23481" t="str">
        <f>"3041666"</f>
        <v>3041666</v>
      </c>
      <c r="B23481" t="s">
        <v>71351</v>
      </c>
      <c r="C23481" t="str">
        <f>"8322901"</f>
        <v>8322901</v>
      </c>
      <c r="D23481" t="s">
        <v>71352</v>
      </c>
      <c r="E23481" t="s">
        <v>71353</v>
      </c>
      <c r="F23481" t="s">
        <v>71354</v>
      </c>
      <c r="I23481" t="s">
        <v>184</v>
      </c>
      <c r="J23481" t="s">
        <v>30</v>
      </c>
      <c r="K23481" t="s">
        <v>3605</v>
      </c>
      <c r="M23481" t="s">
        <v>50500</v>
      </c>
      <c r="N23481" t="str">
        <f>"9/18/2024 3:10:00 PM"</f>
        <v>9/18/2024 3:10:00 PM</v>
      </c>
      <c r="O23481" t="s">
        <v>71352</v>
      </c>
      <c r="T23481" t="s">
        <v>71353</v>
      </c>
    </row>
    <row r="23482" spans="1:20" x14ac:dyDescent="0.25">
      <c r="A23482" t="str">
        <f>"3062769"</f>
        <v>3062769</v>
      </c>
      <c r="B23482" t="s">
        <v>71355</v>
      </c>
      <c r="C23482" t="str">
        <f>"8322903"</f>
        <v>8322903</v>
      </c>
      <c r="D23482" t="s">
        <v>71356</v>
      </c>
      <c r="E23482" t="s">
        <v>71357</v>
      </c>
      <c r="F23482" t="s">
        <v>71358</v>
      </c>
      <c r="I23482" t="s">
        <v>184</v>
      </c>
      <c r="J23482" t="s">
        <v>30</v>
      </c>
      <c r="K23482" t="s">
        <v>58030</v>
      </c>
      <c r="M23482" t="s">
        <v>50500</v>
      </c>
      <c r="N23482" t="str">
        <f>"9/18/2024 3:23:00 PM"</f>
        <v>9/18/2024 3:23:00 PM</v>
      </c>
      <c r="O23482" t="s">
        <v>71356</v>
      </c>
      <c r="T23482" t="s">
        <v>71357</v>
      </c>
    </row>
    <row r="23483" spans="1:20" x14ac:dyDescent="0.25">
      <c r="A23483" t="str">
        <f>"3062167"</f>
        <v>3062167</v>
      </c>
      <c r="B23483" t="s">
        <v>71359</v>
      </c>
      <c r="C23483" t="str">
        <f>"8322904"</f>
        <v>8322904</v>
      </c>
      <c r="D23483" t="s">
        <v>71360</v>
      </c>
      <c r="F23483" t="s">
        <v>71361</v>
      </c>
      <c r="I23483" t="s">
        <v>2071</v>
      </c>
      <c r="J23483" t="s">
        <v>30</v>
      </c>
      <c r="K23483" t="s">
        <v>64153</v>
      </c>
      <c r="M23483" t="s">
        <v>50500</v>
      </c>
      <c r="N23483" t="str">
        <f>"9/18/2024 3:29:00 PM"</f>
        <v>9/18/2024 3:29:00 PM</v>
      </c>
      <c r="O23483" t="s">
        <v>71360</v>
      </c>
    </row>
    <row r="23484" spans="1:20" x14ac:dyDescent="0.25">
      <c r="A23484" t="str">
        <f>"3058941"</f>
        <v>3058941</v>
      </c>
      <c r="B23484" t="s">
        <v>71362</v>
      </c>
      <c r="C23484" t="str">
        <f>"8322905"</f>
        <v>8322905</v>
      </c>
      <c r="D23484" t="s">
        <v>71363</v>
      </c>
      <c r="E23484" t="s">
        <v>71364</v>
      </c>
      <c r="F23484" t="s">
        <v>71365</v>
      </c>
      <c r="I23484" t="s">
        <v>29</v>
      </c>
      <c r="J23484" t="s">
        <v>30</v>
      </c>
      <c r="K23484" t="s">
        <v>59933</v>
      </c>
      <c r="M23484" t="s">
        <v>50500</v>
      </c>
      <c r="N23484" t="str">
        <f>"9/18/2024 3:35:00 PM"</f>
        <v>9/18/2024 3:35:00 PM</v>
      </c>
      <c r="O23484" t="s">
        <v>71363</v>
      </c>
      <c r="T23484" t="s">
        <v>71364</v>
      </c>
    </row>
    <row r="23485" spans="1:20" x14ac:dyDescent="0.25">
      <c r="A23485" t="str">
        <f>"3060618"</f>
        <v>3060618</v>
      </c>
      <c r="B23485" t="s">
        <v>71366</v>
      </c>
      <c r="C23485" t="str">
        <f>"8322906"</f>
        <v>8322906</v>
      </c>
      <c r="D23485" t="s">
        <v>71367</v>
      </c>
      <c r="E23485" t="s">
        <v>71368</v>
      </c>
      <c r="F23485" t="s">
        <v>71369</v>
      </c>
      <c r="I23485" t="s">
        <v>184</v>
      </c>
      <c r="J23485" t="s">
        <v>30</v>
      </c>
      <c r="K23485" t="s">
        <v>6459</v>
      </c>
      <c r="M23485" t="s">
        <v>50500</v>
      </c>
      <c r="N23485" t="str">
        <f>"9/18/2024 3:40:00 PM"</f>
        <v>9/18/2024 3:40:00 PM</v>
      </c>
      <c r="O23485" t="s">
        <v>71367</v>
      </c>
      <c r="T23485" t="s">
        <v>71368</v>
      </c>
    </row>
    <row r="23486" spans="1:20" x14ac:dyDescent="0.25">
      <c r="A23486" t="str">
        <f>"3037501"</f>
        <v>3037501</v>
      </c>
      <c r="B23486" t="s">
        <v>71370</v>
      </c>
      <c r="C23486" t="str">
        <f>"8322907"</f>
        <v>8322907</v>
      </c>
      <c r="D23486" t="s">
        <v>71371</v>
      </c>
      <c r="E23486" t="s">
        <v>71372</v>
      </c>
      <c r="F23486" t="s">
        <v>71373</v>
      </c>
      <c r="I23486" t="s">
        <v>29</v>
      </c>
      <c r="J23486" t="s">
        <v>30</v>
      </c>
      <c r="K23486" t="s">
        <v>4152</v>
      </c>
      <c r="M23486" t="s">
        <v>50500</v>
      </c>
      <c r="N23486" t="str">
        <f>"9/18/2024 3:45:00 PM"</f>
        <v>9/18/2024 3:45:00 PM</v>
      </c>
      <c r="O23486" t="s">
        <v>71371</v>
      </c>
      <c r="T23486" t="s">
        <v>71372</v>
      </c>
    </row>
    <row r="23487" spans="1:20" x14ac:dyDescent="0.25">
      <c r="A23487" t="str">
        <f>"3040404"</f>
        <v>3040404</v>
      </c>
      <c r="B23487" t="s">
        <v>71374</v>
      </c>
      <c r="C23487" t="str">
        <f>"8322908"</f>
        <v>8322908</v>
      </c>
      <c r="D23487" t="s">
        <v>71375</v>
      </c>
      <c r="F23487" t="s">
        <v>31623</v>
      </c>
      <c r="I23487" t="s">
        <v>2589</v>
      </c>
      <c r="J23487" t="s">
        <v>30</v>
      </c>
      <c r="K23487" t="s">
        <v>36942</v>
      </c>
      <c r="M23487" t="s">
        <v>50500</v>
      </c>
      <c r="N23487" t="str">
        <f>"9/18/2024 3:50:00 PM"</f>
        <v>9/18/2024 3:50:00 PM</v>
      </c>
      <c r="O23487" t="s">
        <v>71375</v>
      </c>
    </row>
    <row r="23488" spans="1:20" x14ac:dyDescent="0.25">
      <c r="A23488" t="str">
        <f>"3046230"</f>
        <v>3046230</v>
      </c>
      <c r="B23488" t="s">
        <v>71376</v>
      </c>
      <c r="C23488" t="str">
        <f>"8322868"</f>
        <v>8322868</v>
      </c>
      <c r="D23488" t="s">
        <v>71337</v>
      </c>
      <c r="E23488" t="s">
        <v>71377</v>
      </c>
      <c r="F23488" t="s">
        <v>71339</v>
      </c>
      <c r="I23488" t="s">
        <v>29</v>
      </c>
      <c r="J23488" t="s">
        <v>30</v>
      </c>
      <c r="K23488" t="s">
        <v>27045</v>
      </c>
      <c r="M23488" t="s">
        <v>50500</v>
      </c>
      <c r="N23488" t="str">
        <f>"9/11/2024 8:18:00 AM"</f>
        <v>9/11/2024 8:18:00 AM</v>
      </c>
      <c r="O23488" t="s">
        <v>71337</v>
      </c>
      <c r="T23488" t="s">
        <v>71377</v>
      </c>
    </row>
    <row r="23489" spans="1:20" x14ac:dyDescent="0.25">
      <c r="A23489" t="str">
        <f>"3062632"</f>
        <v>3062632</v>
      </c>
      <c r="B23489" t="s">
        <v>71378</v>
      </c>
      <c r="C23489" t="str">
        <f>"8322870"</f>
        <v>8322870</v>
      </c>
      <c r="D23489" t="s">
        <v>71379</v>
      </c>
      <c r="F23489" t="s">
        <v>71380</v>
      </c>
      <c r="I23489" t="s">
        <v>29</v>
      </c>
      <c r="J23489" t="s">
        <v>30</v>
      </c>
      <c r="K23489" t="s">
        <v>56763</v>
      </c>
      <c r="M23489" t="s">
        <v>50500</v>
      </c>
      <c r="N23489" t="str">
        <f>"9/11/2024 8:33:00 AM"</f>
        <v>9/11/2024 8:33:00 AM</v>
      </c>
      <c r="O23489" t="s">
        <v>71379</v>
      </c>
    </row>
    <row r="23490" spans="1:20" x14ac:dyDescent="0.25">
      <c r="A23490" t="str">
        <f>"3059837"</f>
        <v>3059837</v>
      </c>
      <c r="B23490" t="s">
        <v>71381</v>
      </c>
      <c r="C23490" t="str">
        <f>"8322871"</f>
        <v>8322871</v>
      </c>
      <c r="D23490" t="s">
        <v>71382</v>
      </c>
      <c r="F23490" t="s">
        <v>71383</v>
      </c>
      <c r="I23490" t="s">
        <v>964</v>
      </c>
      <c r="J23490" t="s">
        <v>30</v>
      </c>
      <c r="K23490" t="s">
        <v>71384</v>
      </c>
      <c r="M23490" t="s">
        <v>50500</v>
      </c>
      <c r="N23490" t="str">
        <f>"9/11/2024 8:37:00 AM"</f>
        <v>9/11/2024 8:37:00 AM</v>
      </c>
      <c r="O23490" t="s">
        <v>71382</v>
      </c>
    </row>
    <row r="23491" spans="1:20" x14ac:dyDescent="0.25">
      <c r="A23491" t="str">
        <f>"3051958"</f>
        <v>3051958</v>
      </c>
      <c r="B23491" t="s">
        <v>71385</v>
      </c>
      <c r="C23491" t="str">
        <f>"8322872"</f>
        <v>8322872</v>
      </c>
      <c r="D23491" t="s">
        <v>71386</v>
      </c>
      <c r="F23491" t="s">
        <v>71387</v>
      </c>
      <c r="I23491" t="s">
        <v>41174</v>
      </c>
      <c r="J23491" t="s">
        <v>12725</v>
      </c>
      <c r="K23491" t="s">
        <v>71388</v>
      </c>
      <c r="M23491" t="s">
        <v>50500</v>
      </c>
      <c r="N23491" t="str">
        <f>"9/11/2024 8:42:00 AM"</f>
        <v>9/11/2024 8:42:00 AM</v>
      </c>
      <c r="O23491" t="s">
        <v>71386</v>
      </c>
    </row>
    <row r="23492" spans="1:20" x14ac:dyDescent="0.25">
      <c r="A23492" t="str">
        <f>"3061982"</f>
        <v>3061982</v>
      </c>
      <c r="B23492" t="s">
        <v>71389</v>
      </c>
      <c r="C23492" t="str">
        <f>"8322890"</f>
        <v>8322890</v>
      </c>
      <c r="D23492" t="s">
        <v>71390</v>
      </c>
      <c r="E23492" t="s">
        <v>71391</v>
      </c>
      <c r="F23492" t="s">
        <v>71392</v>
      </c>
      <c r="I23492" t="s">
        <v>184</v>
      </c>
      <c r="J23492" t="s">
        <v>30</v>
      </c>
      <c r="K23492" t="s">
        <v>68309</v>
      </c>
      <c r="M23492" t="s">
        <v>50500</v>
      </c>
      <c r="N23492" t="str">
        <f>"9/12/2024 3:38:00 PM"</f>
        <v>9/12/2024 3:38:00 PM</v>
      </c>
      <c r="O23492" t="s">
        <v>71390</v>
      </c>
      <c r="T23492" t="s">
        <v>71391</v>
      </c>
    </row>
    <row r="23493" spans="1:20" x14ac:dyDescent="0.25">
      <c r="A23493" t="str">
        <f>"3042288"</f>
        <v>3042288</v>
      </c>
      <c r="B23493" t="s">
        <v>71393</v>
      </c>
      <c r="C23493" t="str">
        <f>"8322911"</f>
        <v>8322911</v>
      </c>
      <c r="D23493" t="s">
        <v>71394</v>
      </c>
      <c r="E23493" t="s">
        <v>71395</v>
      </c>
      <c r="F23493" t="s">
        <v>71396</v>
      </c>
      <c r="I23493" t="s">
        <v>29</v>
      </c>
      <c r="J23493" t="s">
        <v>30</v>
      </c>
      <c r="K23493" t="s">
        <v>71397</v>
      </c>
      <c r="M23493" t="s">
        <v>50500</v>
      </c>
      <c r="N23493" t="str">
        <f>"9/18/2024 4:13:00 PM"</f>
        <v>9/18/2024 4:13:00 PM</v>
      </c>
      <c r="O23493" t="s">
        <v>71394</v>
      </c>
      <c r="T23493" t="s">
        <v>71395</v>
      </c>
    </row>
    <row r="23494" spans="1:20" x14ac:dyDescent="0.25">
      <c r="A23494" t="str">
        <f>"3058577"</f>
        <v>3058577</v>
      </c>
      <c r="B23494" t="s">
        <v>71398</v>
      </c>
      <c r="C23494" t="str">
        <f>"8322912"</f>
        <v>8322912</v>
      </c>
      <c r="D23494" t="s">
        <v>71399</v>
      </c>
      <c r="F23494" t="s">
        <v>71400</v>
      </c>
      <c r="I23494" t="s">
        <v>402</v>
      </c>
      <c r="J23494" t="s">
        <v>30</v>
      </c>
      <c r="K23494" t="s">
        <v>71401</v>
      </c>
      <c r="M23494" t="s">
        <v>50500</v>
      </c>
      <c r="N23494" t="str">
        <f>"9/19/2024 9:09:00 AM"</f>
        <v>9/19/2024 9:09:00 AM</v>
      </c>
      <c r="O23494" t="s">
        <v>71399</v>
      </c>
    </row>
    <row r="23495" spans="1:20" x14ac:dyDescent="0.25">
      <c r="A23495" t="str">
        <f>"3061988"</f>
        <v>3061988</v>
      </c>
      <c r="B23495" t="s">
        <v>71402</v>
      </c>
      <c r="C23495" t="str">
        <f>"8322913"</f>
        <v>8322913</v>
      </c>
      <c r="D23495" t="s">
        <v>71403</v>
      </c>
      <c r="E23495" t="s">
        <v>71404</v>
      </c>
      <c r="F23495" t="s">
        <v>71405</v>
      </c>
      <c r="I23495" t="s">
        <v>184</v>
      </c>
      <c r="J23495" t="s">
        <v>30</v>
      </c>
      <c r="K23495" t="s">
        <v>64153</v>
      </c>
      <c r="M23495" t="s">
        <v>50500</v>
      </c>
      <c r="N23495" t="str">
        <f>"9/19/2024 9:13:00 AM"</f>
        <v>9/19/2024 9:13:00 AM</v>
      </c>
      <c r="O23495" t="s">
        <v>71403</v>
      </c>
      <c r="T23495" t="s">
        <v>71404</v>
      </c>
    </row>
    <row r="23496" spans="1:20" x14ac:dyDescent="0.25">
      <c r="A23496" t="str">
        <f>"3065958"</f>
        <v>3065958</v>
      </c>
      <c r="B23496" t="s">
        <v>71406</v>
      </c>
      <c r="C23496" t="str">
        <f>"8322914"</f>
        <v>8322914</v>
      </c>
      <c r="D23496" t="s">
        <v>71407</v>
      </c>
      <c r="E23496" t="s">
        <v>71408</v>
      </c>
      <c r="F23496" t="s">
        <v>71409</v>
      </c>
      <c r="I23496" t="s">
        <v>71410</v>
      </c>
      <c r="J23496" t="s">
        <v>11697</v>
      </c>
      <c r="K23496" t="s">
        <v>71411</v>
      </c>
      <c r="M23496" t="s">
        <v>50500</v>
      </c>
      <c r="N23496" t="str">
        <f>"9/19/2024 9:21:00 AM"</f>
        <v>9/19/2024 9:21:00 AM</v>
      </c>
      <c r="O23496" t="s">
        <v>71407</v>
      </c>
      <c r="T23496" t="s">
        <v>71408</v>
      </c>
    </row>
    <row r="23497" spans="1:20" x14ac:dyDescent="0.25">
      <c r="A23497" t="str">
        <f>"3044336"</f>
        <v>3044336</v>
      </c>
      <c r="B23497" t="s">
        <v>71412</v>
      </c>
      <c r="C23497" t="str">
        <f>"8322915"</f>
        <v>8322915</v>
      </c>
      <c r="D23497" t="s">
        <v>71413</v>
      </c>
      <c r="F23497" t="s">
        <v>71414</v>
      </c>
      <c r="I23497" t="s">
        <v>50856</v>
      </c>
      <c r="J23497" t="s">
        <v>30</v>
      </c>
      <c r="K23497" t="s">
        <v>71415</v>
      </c>
      <c r="M23497" t="s">
        <v>50500</v>
      </c>
      <c r="N23497" t="str">
        <f>"9/19/2024 9:25:00 AM"</f>
        <v>9/19/2024 9:25:00 AM</v>
      </c>
      <c r="O23497" t="s">
        <v>71413</v>
      </c>
    </row>
    <row r="23498" spans="1:20" x14ac:dyDescent="0.25">
      <c r="A23498" t="str">
        <f>"3061584"</f>
        <v>3061584</v>
      </c>
      <c r="B23498" t="s">
        <v>71416</v>
      </c>
      <c r="C23498" t="str">
        <f>"8322916"</f>
        <v>8322916</v>
      </c>
      <c r="D23498" t="s">
        <v>71417</v>
      </c>
      <c r="F23498" t="s">
        <v>71418</v>
      </c>
      <c r="I23498" t="s">
        <v>184</v>
      </c>
      <c r="J23498" t="s">
        <v>30</v>
      </c>
      <c r="K23498" t="s">
        <v>51232</v>
      </c>
      <c r="M23498" t="s">
        <v>50500</v>
      </c>
      <c r="N23498" t="str">
        <f>"9/19/2024 9:30:00 AM"</f>
        <v>9/19/2024 9:30:00 AM</v>
      </c>
      <c r="O23498" t="s">
        <v>71417</v>
      </c>
    </row>
    <row r="23499" spans="1:20" x14ac:dyDescent="0.25">
      <c r="A23499" t="str">
        <f>"3072506"</f>
        <v>3072506</v>
      </c>
      <c r="B23499" t="s">
        <v>71419</v>
      </c>
      <c r="C23499" t="str">
        <f>"8322917"</f>
        <v>8322917</v>
      </c>
      <c r="D23499" t="s">
        <v>71420</v>
      </c>
      <c r="F23499" t="s">
        <v>71421</v>
      </c>
      <c r="I23499" t="s">
        <v>4816</v>
      </c>
      <c r="J23499" t="s">
        <v>30</v>
      </c>
      <c r="K23499" t="s">
        <v>71422</v>
      </c>
      <c r="M23499" t="s">
        <v>50500</v>
      </c>
      <c r="N23499" t="str">
        <f>"9/19/2024 9:38:00 AM"</f>
        <v>9/19/2024 9:38:00 AM</v>
      </c>
      <c r="O23499" t="s">
        <v>71420</v>
      </c>
    </row>
    <row r="23500" spans="1:20" x14ac:dyDescent="0.25">
      <c r="A23500" t="str">
        <f>"3072507"</f>
        <v>3072507</v>
      </c>
      <c r="B23500" t="s">
        <v>71423</v>
      </c>
      <c r="C23500" t="str">
        <f>"8322917"</f>
        <v>8322917</v>
      </c>
      <c r="D23500" t="s">
        <v>71420</v>
      </c>
      <c r="F23500" t="s">
        <v>71421</v>
      </c>
      <c r="I23500" t="s">
        <v>4816</v>
      </c>
      <c r="J23500" t="s">
        <v>30</v>
      </c>
      <c r="K23500" t="s">
        <v>71422</v>
      </c>
      <c r="M23500" t="s">
        <v>50500</v>
      </c>
      <c r="N23500" t="str">
        <f>"9/19/2024 9:38:00 AM"</f>
        <v>9/19/2024 9:38:00 AM</v>
      </c>
      <c r="O23500" t="s">
        <v>71420</v>
      </c>
    </row>
    <row r="23501" spans="1:20" x14ac:dyDescent="0.25">
      <c r="A23501" t="str">
        <f>"3078370"</f>
        <v>3078370</v>
      </c>
      <c r="B23501" t="s">
        <v>71424</v>
      </c>
      <c r="C23501" t="str">
        <f>"8322917"</f>
        <v>8322917</v>
      </c>
      <c r="D23501" t="s">
        <v>71420</v>
      </c>
      <c r="F23501" t="s">
        <v>71421</v>
      </c>
      <c r="I23501" t="s">
        <v>4816</v>
      </c>
      <c r="J23501" t="s">
        <v>30</v>
      </c>
      <c r="K23501" t="s">
        <v>71422</v>
      </c>
      <c r="M23501" t="s">
        <v>50500</v>
      </c>
      <c r="N23501" t="str">
        <f>"9/19/2024 9:38:00 AM"</f>
        <v>9/19/2024 9:38:00 AM</v>
      </c>
      <c r="O23501" t="s">
        <v>71420</v>
      </c>
    </row>
    <row r="23502" spans="1:20" x14ac:dyDescent="0.25">
      <c r="A23502" t="str">
        <f>"3045815"</f>
        <v>3045815</v>
      </c>
      <c r="B23502" t="s">
        <v>71425</v>
      </c>
      <c r="C23502" t="str">
        <f>"8304830"</f>
        <v>8304830</v>
      </c>
      <c r="D23502" t="s">
        <v>71426</v>
      </c>
      <c r="E23502" t="s">
        <v>71427</v>
      </c>
      <c r="F23502" t="s">
        <v>44354</v>
      </c>
      <c r="I23502" t="s">
        <v>44355</v>
      </c>
      <c r="J23502" t="s">
        <v>11697</v>
      </c>
      <c r="K23502" t="s">
        <v>44356</v>
      </c>
      <c r="M23502" t="s">
        <v>25733</v>
      </c>
      <c r="N23502" t="str">
        <f>"9/19/2024 9:41:00 AM"</f>
        <v>9/19/2024 9:41:00 AM</v>
      </c>
      <c r="O23502" t="s">
        <v>71426</v>
      </c>
      <c r="T23502" t="s">
        <v>71427</v>
      </c>
    </row>
    <row r="23503" spans="1:20" x14ac:dyDescent="0.25">
      <c r="A23503" t="str">
        <f>"3046736"</f>
        <v>3046736</v>
      </c>
      <c r="B23503" t="s">
        <v>71428</v>
      </c>
      <c r="C23503" t="str">
        <f>"8304830"</f>
        <v>8304830</v>
      </c>
      <c r="D23503" t="s">
        <v>71426</v>
      </c>
      <c r="E23503" t="s">
        <v>71427</v>
      </c>
      <c r="F23503" t="s">
        <v>44354</v>
      </c>
      <c r="I23503" t="s">
        <v>44355</v>
      </c>
      <c r="J23503" t="s">
        <v>11697</v>
      </c>
      <c r="K23503" t="s">
        <v>44356</v>
      </c>
      <c r="M23503" t="s">
        <v>25733</v>
      </c>
      <c r="N23503" t="str">
        <f>"9/19/2024 9:41:00 AM"</f>
        <v>9/19/2024 9:41:00 AM</v>
      </c>
      <c r="O23503" t="s">
        <v>71426</v>
      </c>
      <c r="T23503" t="s">
        <v>71427</v>
      </c>
    </row>
    <row r="23504" spans="1:20" x14ac:dyDescent="0.25">
      <c r="A23504" t="str">
        <f>"3049757"</f>
        <v>3049757</v>
      </c>
      <c r="B23504" t="s">
        <v>71429</v>
      </c>
      <c r="C23504" t="str">
        <f>"8304830"</f>
        <v>8304830</v>
      </c>
      <c r="D23504" t="s">
        <v>71426</v>
      </c>
      <c r="E23504" t="s">
        <v>71427</v>
      </c>
      <c r="F23504" t="s">
        <v>44354</v>
      </c>
      <c r="I23504" t="s">
        <v>44355</v>
      </c>
      <c r="J23504" t="s">
        <v>11697</v>
      </c>
      <c r="K23504" t="s">
        <v>44356</v>
      </c>
      <c r="M23504" t="s">
        <v>25733</v>
      </c>
      <c r="N23504" t="str">
        <f>"9/19/2024 9:41:00 AM"</f>
        <v>9/19/2024 9:41:00 AM</v>
      </c>
      <c r="O23504" t="s">
        <v>71426</v>
      </c>
      <c r="T23504" t="s">
        <v>71427</v>
      </c>
    </row>
    <row r="23505" spans="1:20" x14ac:dyDescent="0.25">
      <c r="A23505" t="str">
        <f>"3052360"</f>
        <v>3052360</v>
      </c>
      <c r="B23505" t="s">
        <v>71430</v>
      </c>
      <c r="C23505" t="str">
        <f>"8304830"</f>
        <v>8304830</v>
      </c>
      <c r="D23505" t="s">
        <v>71426</v>
      </c>
      <c r="E23505" t="s">
        <v>71427</v>
      </c>
      <c r="F23505" t="s">
        <v>44354</v>
      </c>
      <c r="I23505" t="s">
        <v>44355</v>
      </c>
      <c r="J23505" t="s">
        <v>11697</v>
      </c>
      <c r="K23505" t="s">
        <v>44356</v>
      </c>
      <c r="M23505" t="s">
        <v>25733</v>
      </c>
      <c r="N23505" t="str">
        <f>"9/19/2024 9:41:00 AM"</f>
        <v>9/19/2024 9:41:00 AM</v>
      </c>
      <c r="O23505" t="s">
        <v>71426</v>
      </c>
      <c r="T23505" t="s">
        <v>71427</v>
      </c>
    </row>
    <row r="23506" spans="1:20" x14ac:dyDescent="0.25">
      <c r="A23506" t="str">
        <f>"3049413"</f>
        <v>3049413</v>
      </c>
      <c r="B23506" t="s">
        <v>71431</v>
      </c>
      <c r="C23506" t="str">
        <f>"8322918"</f>
        <v>8322918</v>
      </c>
      <c r="D23506" t="s">
        <v>71432</v>
      </c>
      <c r="F23506" t="s">
        <v>71433</v>
      </c>
      <c r="I23506" t="s">
        <v>29</v>
      </c>
      <c r="J23506" t="s">
        <v>30</v>
      </c>
      <c r="K23506" t="s">
        <v>71434</v>
      </c>
      <c r="M23506" t="s">
        <v>50500</v>
      </c>
      <c r="N23506" t="str">
        <f>"9/19/2024 9:46:00 AM"</f>
        <v>9/19/2024 9:46:00 AM</v>
      </c>
      <c r="O23506" t="s">
        <v>71432</v>
      </c>
    </row>
    <row r="23507" spans="1:20" x14ac:dyDescent="0.25">
      <c r="A23507" t="str">
        <f>"3052555"</f>
        <v>3052555</v>
      </c>
      <c r="B23507" t="s">
        <v>71435</v>
      </c>
      <c r="C23507" t="str">
        <f>"8315052"</f>
        <v>8315052</v>
      </c>
      <c r="D23507" t="s">
        <v>71436</v>
      </c>
      <c r="E23507" t="s">
        <v>71437</v>
      </c>
      <c r="F23507" t="s">
        <v>71438</v>
      </c>
      <c r="I23507" t="s">
        <v>29</v>
      </c>
      <c r="J23507" t="s">
        <v>30</v>
      </c>
      <c r="K23507" t="s">
        <v>51850</v>
      </c>
      <c r="M23507" t="s">
        <v>25733</v>
      </c>
      <c r="N23507" t="str">
        <f>"9/19/2024 9:50:00 AM"</f>
        <v>9/19/2024 9:50:00 AM</v>
      </c>
      <c r="O23507" t="s">
        <v>71436</v>
      </c>
      <c r="T23507" t="s">
        <v>71437</v>
      </c>
    </row>
    <row r="23508" spans="1:20" x14ac:dyDescent="0.25">
      <c r="A23508" t="str">
        <f>"3047892"</f>
        <v>3047892</v>
      </c>
      <c r="B23508" t="s">
        <v>71439</v>
      </c>
      <c r="C23508" t="str">
        <f>"8309055"</f>
        <v>8309055</v>
      </c>
      <c r="D23508" t="s">
        <v>71440</v>
      </c>
      <c r="F23508" t="s">
        <v>50267</v>
      </c>
      <c r="I23508" t="s">
        <v>471</v>
      </c>
      <c r="J23508" t="s">
        <v>30</v>
      </c>
      <c r="K23508" t="s">
        <v>50268</v>
      </c>
      <c r="M23508" t="s">
        <v>50500</v>
      </c>
      <c r="N23508" t="str">
        <f>"9/19/2024 9:51:00 AM"</f>
        <v>9/19/2024 9:51:00 AM</v>
      </c>
      <c r="O23508" t="s">
        <v>71440</v>
      </c>
    </row>
    <row r="23509" spans="1:20" x14ac:dyDescent="0.25">
      <c r="A23509" t="str">
        <f>"3053816"</f>
        <v>3053816</v>
      </c>
      <c r="B23509" t="s">
        <v>71441</v>
      </c>
      <c r="C23509" t="str">
        <f>"8309055"</f>
        <v>8309055</v>
      </c>
      <c r="D23509" t="s">
        <v>71440</v>
      </c>
      <c r="F23509" t="s">
        <v>50267</v>
      </c>
      <c r="I23509" t="s">
        <v>471</v>
      </c>
      <c r="J23509" t="s">
        <v>30</v>
      </c>
      <c r="K23509" t="s">
        <v>50268</v>
      </c>
      <c r="M23509" t="s">
        <v>50500</v>
      </c>
      <c r="N23509" t="str">
        <f>"9/19/2024 9:51:00 AM"</f>
        <v>9/19/2024 9:51:00 AM</v>
      </c>
      <c r="O23509" t="s">
        <v>71440</v>
      </c>
    </row>
    <row r="23510" spans="1:20" x14ac:dyDescent="0.25">
      <c r="A23510" t="str">
        <f>"3058650"</f>
        <v>3058650</v>
      </c>
      <c r="B23510" t="s">
        <v>71442</v>
      </c>
      <c r="C23510" t="str">
        <f>"8322919"</f>
        <v>8322919</v>
      </c>
      <c r="D23510" t="s">
        <v>71443</v>
      </c>
      <c r="F23510" t="s">
        <v>71444</v>
      </c>
      <c r="I23510" t="s">
        <v>29</v>
      </c>
      <c r="J23510" t="s">
        <v>30</v>
      </c>
      <c r="K23510" t="s">
        <v>68180</v>
      </c>
      <c r="M23510" t="s">
        <v>50500</v>
      </c>
      <c r="N23510" t="str">
        <f>"9/19/2024 9:57:00 AM"</f>
        <v>9/19/2024 9:57:00 AM</v>
      </c>
      <c r="O23510" t="s">
        <v>71443</v>
      </c>
    </row>
    <row r="23511" spans="1:20" x14ac:dyDescent="0.25">
      <c r="A23511" t="str">
        <f>"3042306"</f>
        <v>3042306</v>
      </c>
      <c r="B23511" t="s">
        <v>71445</v>
      </c>
      <c r="C23511" t="str">
        <f>"8322920"</f>
        <v>8322920</v>
      </c>
      <c r="D23511" t="s">
        <v>71446</v>
      </c>
      <c r="E23511" t="s">
        <v>71447</v>
      </c>
      <c r="F23511" t="s">
        <v>71448</v>
      </c>
      <c r="I23511" t="s">
        <v>29</v>
      </c>
      <c r="J23511" t="s">
        <v>30</v>
      </c>
      <c r="K23511" t="s">
        <v>2917</v>
      </c>
      <c r="M23511" t="s">
        <v>50500</v>
      </c>
      <c r="N23511" t="str">
        <f>"9/19/2024 10:01:00 AM"</f>
        <v>9/19/2024 10:01:00 AM</v>
      </c>
      <c r="O23511" t="s">
        <v>71446</v>
      </c>
      <c r="T23511" t="s">
        <v>71447</v>
      </c>
    </row>
    <row r="23512" spans="1:20" x14ac:dyDescent="0.25">
      <c r="A23512" t="str">
        <f>"3045784"</f>
        <v>3045784</v>
      </c>
      <c r="B23512" t="s">
        <v>71449</v>
      </c>
      <c r="C23512" t="str">
        <f>"8322921"</f>
        <v>8322921</v>
      </c>
      <c r="D23512" t="s">
        <v>71450</v>
      </c>
      <c r="F23512" t="s">
        <v>71451</v>
      </c>
      <c r="I23512" t="s">
        <v>29</v>
      </c>
      <c r="J23512" t="s">
        <v>30</v>
      </c>
      <c r="K23512" t="s">
        <v>19575</v>
      </c>
      <c r="M23512" t="s">
        <v>50500</v>
      </c>
      <c r="N23512" t="str">
        <f>"9/19/2024 10:05:00 AM"</f>
        <v>9/19/2024 10:05:00 AM</v>
      </c>
      <c r="O23512" t="s">
        <v>71450</v>
      </c>
    </row>
    <row r="23513" spans="1:20" x14ac:dyDescent="0.25">
      <c r="A23513" t="str">
        <f>"3049436"</f>
        <v>3049436</v>
      </c>
      <c r="B23513" t="s">
        <v>71452</v>
      </c>
      <c r="C23513" t="str">
        <f>"8322922"</f>
        <v>8322922</v>
      </c>
      <c r="D23513" t="s">
        <v>71453</v>
      </c>
      <c r="E23513" t="s">
        <v>71454</v>
      </c>
      <c r="F23513" t="s">
        <v>71455</v>
      </c>
      <c r="I23513" t="s">
        <v>184</v>
      </c>
      <c r="J23513" t="s">
        <v>30</v>
      </c>
      <c r="K23513" t="s">
        <v>27904</v>
      </c>
      <c r="M23513" t="s">
        <v>50500</v>
      </c>
      <c r="N23513" t="str">
        <f>"9/19/2024 10:09:00 AM"</f>
        <v>9/19/2024 10:09:00 AM</v>
      </c>
      <c r="O23513" t="s">
        <v>71453</v>
      </c>
      <c r="T23513" t="s">
        <v>71454</v>
      </c>
    </row>
    <row r="23514" spans="1:20" x14ac:dyDescent="0.25">
      <c r="A23514" t="str">
        <f>"3062825"</f>
        <v>3062825</v>
      </c>
      <c r="B23514" t="s">
        <v>71456</v>
      </c>
      <c r="C23514" t="str">
        <f>"8322883"</f>
        <v>8322883</v>
      </c>
      <c r="D23514" t="s">
        <v>71457</v>
      </c>
      <c r="E23514" t="s">
        <v>71458</v>
      </c>
      <c r="F23514" t="s">
        <v>71459</v>
      </c>
      <c r="I23514" t="s">
        <v>29</v>
      </c>
      <c r="J23514" t="s">
        <v>30</v>
      </c>
      <c r="K23514" t="s">
        <v>8511</v>
      </c>
      <c r="M23514" t="s">
        <v>50500</v>
      </c>
      <c r="N23514" t="str">
        <f>"9/12/2024 10:12:00 AM"</f>
        <v>9/12/2024 10:12:00 AM</v>
      </c>
      <c r="O23514" t="s">
        <v>71457</v>
      </c>
      <c r="T23514" t="s">
        <v>71458</v>
      </c>
    </row>
    <row r="23515" spans="1:20" x14ac:dyDescent="0.25">
      <c r="A23515" t="str">
        <f>"3050697"</f>
        <v>3050697</v>
      </c>
      <c r="B23515" t="s">
        <v>71460</v>
      </c>
      <c r="C23515" t="str">
        <f>"8315939"</f>
        <v>8315939</v>
      </c>
      <c r="D23515" t="s">
        <v>71461</v>
      </c>
      <c r="F23515" t="s">
        <v>71462</v>
      </c>
      <c r="G23515" t="s">
        <v>71463</v>
      </c>
      <c r="I23515" t="s">
        <v>1045</v>
      </c>
      <c r="J23515" t="s">
        <v>1046</v>
      </c>
      <c r="K23515" t="s">
        <v>71464</v>
      </c>
      <c r="M23515" t="s">
        <v>25733</v>
      </c>
      <c r="N23515" t="str">
        <f>"9/19/2024 12:24:00 PM"</f>
        <v>9/19/2024 12:24:00 PM</v>
      </c>
      <c r="O23515" t="s">
        <v>71461</v>
      </c>
    </row>
    <row r="23516" spans="1:20" x14ac:dyDescent="0.25">
      <c r="A23516" t="str">
        <f>"3049778"</f>
        <v>3049778</v>
      </c>
      <c r="B23516" t="s">
        <v>71465</v>
      </c>
      <c r="C23516" t="str">
        <f>"8316040"</f>
        <v>8316040</v>
      </c>
      <c r="D23516" t="s">
        <v>71466</v>
      </c>
      <c r="F23516" t="s">
        <v>71467</v>
      </c>
      <c r="G23516" t="s">
        <v>71468</v>
      </c>
      <c r="I23516" t="s">
        <v>1045</v>
      </c>
      <c r="J23516" t="s">
        <v>1046</v>
      </c>
      <c r="K23516" t="str">
        <f t="shared" ref="K23516:K23545" si="351">"30339"</f>
        <v>30339</v>
      </c>
      <c r="M23516" t="s">
        <v>25733</v>
      </c>
      <c r="N23516" t="str">
        <f>"9/19/2024 12:25:00 PM"</f>
        <v>9/19/2024 12:25:00 PM</v>
      </c>
      <c r="O23516" t="s">
        <v>71466</v>
      </c>
    </row>
    <row r="23517" spans="1:20" x14ac:dyDescent="0.25">
      <c r="A23517" t="str">
        <f>"3046773"</f>
        <v>3046773</v>
      </c>
      <c r="B23517" t="s">
        <v>71469</v>
      </c>
      <c r="C23517" t="str">
        <f>"8316040"</f>
        <v>8316040</v>
      </c>
      <c r="D23517" t="s">
        <v>71466</v>
      </c>
      <c r="F23517" t="s">
        <v>71467</v>
      </c>
      <c r="G23517" t="s">
        <v>71468</v>
      </c>
      <c r="I23517" t="s">
        <v>1045</v>
      </c>
      <c r="J23517" t="s">
        <v>1046</v>
      </c>
      <c r="K23517" t="str">
        <f t="shared" si="351"/>
        <v>30339</v>
      </c>
      <c r="M23517" t="s">
        <v>25733</v>
      </c>
      <c r="N23517" t="str">
        <f>"9/19/2024 12:25:00 PM"</f>
        <v>9/19/2024 12:25:00 PM</v>
      </c>
      <c r="O23517" t="s">
        <v>71466</v>
      </c>
    </row>
    <row r="23518" spans="1:20" x14ac:dyDescent="0.25">
      <c r="A23518" t="str">
        <f>"3044512"</f>
        <v>3044512</v>
      </c>
      <c r="B23518" t="s">
        <v>71470</v>
      </c>
      <c r="C23518" t="str">
        <f>"8314030"</f>
        <v>8314030</v>
      </c>
      <c r="D23518" t="s">
        <v>71471</v>
      </c>
      <c r="F23518" t="s">
        <v>71472</v>
      </c>
      <c r="G23518" t="s">
        <v>71468</v>
      </c>
      <c r="I23518" t="s">
        <v>1045</v>
      </c>
      <c r="J23518" t="s">
        <v>1046</v>
      </c>
      <c r="K23518" t="str">
        <f t="shared" si="351"/>
        <v>30339</v>
      </c>
      <c r="M23518" t="s">
        <v>25733</v>
      </c>
      <c r="N23518" t="str">
        <f>"9/19/2024 12:26:00 PM"</f>
        <v>9/19/2024 12:26:00 PM</v>
      </c>
      <c r="O23518" t="s">
        <v>71471</v>
      </c>
    </row>
    <row r="23519" spans="1:20" x14ac:dyDescent="0.25">
      <c r="A23519" t="str">
        <f>"3044547"</f>
        <v>3044547</v>
      </c>
      <c r="B23519" t="s">
        <v>71473</v>
      </c>
      <c r="C23519" t="str">
        <f>"8314030"</f>
        <v>8314030</v>
      </c>
      <c r="D23519" t="s">
        <v>71471</v>
      </c>
      <c r="F23519" t="s">
        <v>71472</v>
      </c>
      <c r="G23519" t="s">
        <v>71468</v>
      </c>
      <c r="I23519" t="s">
        <v>1045</v>
      </c>
      <c r="J23519" t="s">
        <v>1046</v>
      </c>
      <c r="K23519" t="str">
        <f t="shared" si="351"/>
        <v>30339</v>
      </c>
      <c r="M23519" t="s">
        <v>25733</v>
      </c>
      <c r="N23519" t="str">
        <f>"9/19/2024 12:26:00 PM"</f>
        <v>9/19/2024 12:26:00 PM</v>
      </c>
      <c r="O23519" t="s">
        <v>71471</v>
      </c>
    </row>
    <row r="23520" spans="1:20" x14ac:dyDescent="0.25">
      <c r="A23520" t="str">
        <f>"3041547"</f>
        <v>3041547</v>
      </c>
      <c r="B23520" t="s">
        <v>71474</v>
      </c>
      <c r="C23520" t="str">
        <f>"8314030"</f>
        <v>8314030</v>
      </c>
      <c r="D23520" t="s">
        <v>71471</v>
      </c>
      <c r="F23520" t="s">
        <v>71472</v>
      </c>
      <c r="G23520" t="s">
        <v>71468</v>
      </c>
      <c r="I23520" t="s">
        <v>1045</v>
      </c>
      <c r="J23520" t="s">
        <v>1046</v>
      </c>
      <c r="K23520" t="str">
        <f t="shared" si="351"/>
        <v>30339</v>
      </c>
      <c r="M23520" t="s">
        <v>25733</v>
      </c>
      <c r="N23520" t="str">
        <f>"9/19/2024 12:26:00 PM"</f>
        <v>9/19/2024 12:26:00 PM</v>
      </c>
      <c r="O23520" t="s">
        <v>71471</v>
      </c>
    </row>
    <row r="23521" spans="1:15" x14ac:dyDescent="0.25">
      <c r="A23521" t="str">
        <f>"3041480"</f>
        <v>3041480</v>
      </c>
      <c r="B23521" t="s">
        <v>71475</v>
      </c>
      <c r="C23521" t="str">
        <f>"8314030"</f>
        <v>8314030</v>
      </c>
      <c r="D23521" t="s">
        <v>71471</v>
      </c>
      <c r="F23521" t="s">
        <v>71472</v>
      </c>
      <c r="G23521" t="s">
        <v>71468</v>
      </c>
      <c r="I23521" t="s">
        <v>1045</v>
      </c>
      <c r="J23521" t="s">
        <v>1046</v>
      </c>
      <c r="K23521" t="str">
        <f t="shared" si="351"/>
        <v>30339</v>
      </c>
      <c r="M23521" t="s">
        <v>25733</v>
      </c>
      <c r="N23521" t="str">
        <f>"9/19/2024 12:26:00 PM"</f>
        <v>9/19/2024 12:26:00 PM</v>
      </c>
      <c r="O23521" t="s">
        <v>71471</v>
      </c>
    </row>
    <row r="23522" spans="1:15" x14ac:dyDescent="0.25">
      <c r="A23522" t="str">
        <f>"3041314"</f>
        <v>3041314</v>
      </c>
      <c r="B23522" t="s">
        <v>71476</v>
      </c>
      <c r="C23522" t="str">
        <f>"8314030"</f>
        <v>8314030</v>
      </c>
      <c r="D23522" t="s">
        <v>71471</v>
      </c>
      <c r="F23522" t="s">
        <v>71472</v>
      </c>
      <c r="G23522" t="s">
        <v>71468</v>
      </c>
      <c r="I23522" t="s">
        <v>1045</v>
      </c>
      <c r="J23522" t="s">
        <v>1046</v>
      </c>
      <c r="K23522" t="str">
        <f t="shared" si="351"/>
        <v>30339</v>
      </c>
      <c r="M23522" t="s">
        <v>25733</v>
      </c>
      <c r="N23522" t="str">
        <f>"9/19/2024 12:26:00 PM"</f>
        <v>9/19/2024 12:26:00 PM</v>
      </c>
      <c r="O23522" t="s">
        <v>71471</v>
      </c>
    </row>
    <row r="23523" spans="1:15" x14ac:dyDescent="0.25">
      <c r="A23523" t="str">
        <f>"3041332"</f>
        <v>3041332</v>
      </c>
      <c r="B23523" t="s">
        <v>71477</v>
      </c>
      <c r="C23523" t="str">
        <f>"8317870"</f>
        <v>8317870</v>
      </c>
      <c r="D23523" t="s">
        <v>71478</v>
      </c>
      <c r="F23523" t="s">
        <v>71479</v>
      </c>
      <c r="G23523" t="s">
        <v>71468</v>
      </c>
      <c r="I23523" t="s">
        <v>1045</v>
      </c>
      <c r="J23523" t="s">
        <v>1046</v>
      </c>
      <c r="K23523" t="str">
        <f t="shared" si="351"/>
        <v>30339</v>
      </c>
      <c r="M23523" t="s">
        <v>25733</v>
      </c>
      <c r="N23523" t="str">
        <f>"9/19/2024 12:28:00 PM"</f>
        <v>9/19/2024 12:28:00 PM</v>
      </c>
      <c r="O23523" t="s">
        <v>71478</v>
      </c>
    </row>
    <row r="23524" spans="1:15" x14ac:dyDescent="0.25">
      <c r="A23524" t="str">
        <f>"3041462"</f>
        <v>3041462</v>
      </c>
      <c r="B23524" t="s">
        <v>71480</v>
      </c>
      <c r="C23524" t="str">
        <f>"8317870"</f>
        <v>8317870</v>
      </c>
      <c r="D23524" t="s">
        <v>71478</v>
      </c>
      <c r="F23524" t="s">
        <v>71479</v>
      </c>
      <c r="G23524" t="s">
        <v>71468</v>
      </c>
      <c r="I23524" t="s">
        <v>1045</v>
      </c>
      <c r="J23524" t="s">
        <v>1046</v>
      </c>
      <c r="K23524" t="str">
        <f t="shared" si="351"/>
        <v>30339</v>
      </c>
      <c r="M23524" t="s">
        <v>25733</v>
      </c>
      <c r="N23524" t="str">
        <f>"9/19/2024 12:28:00 PM"</f>
        <v>9/19/2024 12:28:00 PM</v>
      </c>
      <c r="O23524" t="s">
        <v>71478</v>
      </c>
    </row>
    <row r="23525" spans="1:15" x14ac:dyDescent="0.25">
      <c r="A23525" t="str">
        <f>"3060883"</f>
        <v>3060883</v>
      </c>
      <c r="B23525" t="s">
        <v>71481</v>
      </c>
      <c r="C23525" t="str">
        <f>"8317870"</f>
        <v>8317870</v>
      </c>
      <c r="D23525" t="s">
        <v>71478</v>
      </c>
      <c r="F23525" t="s">
        <v>71479</v>
      </c>
      <c r="G23525" t="s">
        <v>71468</v>
      </c>
      <c r="I23525" t="s">
        <v>1045</v>
      </c>
      <c r="J23525" t="s">
        <v>1046</v>
      </c>
      <c r="K23525" t="str">
        <f t="shared" si="351"/>
        <v>30339</v>
      </c>
      <c r="M23525" t="s">
        <v>25733</v>
      </c>
      <c r="N23525" t="str">
        <f>"9/19/2024 12:28:00 PM"</f>
        <v>9/19/2024 12:28:00 PM</v>
      </c>
      <c r="O23525" t="s">
        <v>71478</v>
      </c>
    </row>
    <row r="23526" spans="1:15" x14ac:dyDescent="0.25">
      <c r="A23526" t="str">
        <f>"3070860"</f>
        <v>3070860</v>
      </c>
      <c r="B23526" t="s">
        <v>71482</v>
      </c>
      <c r="C23526" t="str">
        <f>"8317870"</f>
        <v>8317870</v>
      </c>
      <c r="D23526" t="s">
        <v>71478</v>
      </c>
      <c r="F23526" t="s">
        <v>71479</v>
      </c>
      <c r="G23526" t="s">
        <v>71468</v>
      </c>
      <c r="I23526" t="s">
        <v>1045</v>
      </c>
      <c r="J23526" t="s">
        <v>1046</v>
      </c>
      <c r="K23526" t="str">
        <f t="shared" si="351"/>
        <v>30339</v>
      </c>
      <c r="M23526" t="s">
        <v>25733</v>
      </c>
      <c r="N23526" t="str">
        <f>"9/19/2024 12:28:00 PM"</f>
        <v>9/19/2024 12:28:00 PM</v>
      </c>
      <c r="O23526" t="s">
        <v>71478</v>
      </c>
    </row>
    <row r="23527" spans="1:15" x14ac:dyDescent="0.25">
      <c r="A23527" t="str">
        <f>"3070841"</f>
        <v>3070841</v>
      </c>
      <c r="B23527" t="s">
        <v>71483</v>
      </c>
      <c r="C23527" t="str">
        <f>"8317870"</f>
        <v>8317870</v>
      </c>
      <c r="D23527" t="s">
        <v>71478</v>
      </c>
      <c r="F23527" t="s">
        <v>71479</v>
      </c>
      <c r="G23527" t="s">
        <v>71468</v>
      </c>
      <c r="I23527" t="s">
        <v>1045</v>
      </c>
      <c r="J23527" t="s">
        <v>1046</v>
      </c>
      <c r="K23527" t="str">
        <f t="shared" si="351"/>
        <v>30339</v>
      </c>
      <c r="M23527" t="s">
        <v>25733</v>
      </c>
      <c r="N23527" t="str">
        <f>"9/19/2024 12:28:00 PM"</f>
        <v>9/19/2024 12:28:00 PM</v>
      </c>
      <c r="O23527" t="s">
        <v>71478</v>
      </c>
    </row>
    <row r="23528" spans="1:15" x14ac:dyDescent="0.25">
      <c r="A23528" t="str">
        <f>"3060267"</f>
        <v>3060267</v>
      </c>
      <c r="B23528" t="s">
        <v>71484</v>
      </c>
      <c r="C23528" t="str">
        <f t="shared" ref="C23528:C23533" si="352">"8316041"</f>
        <v>8316041</v>
      </c>
      <c r="D23528" t="s">
        <v>71485</v>
      </c>
      <c r="F23528" t="s">
        <v>71472</v>
      </c>
      <c r="G23528" t="s">
        <v>71468</v>
      </c>
      <c r="I23528" t="s">
        <v>1045</v>
      </c>
      <c r="J23528" t="s">
        <v>1046</v>
      </c>
      <c r="K23528" t="str">
        <f t="shared" si="351"/>
        <v>30339</v>
      </c>
      <c r="M23528" t="s">
        <v>25733</v>
      </c>
      <c r="N23528" t="str">
        <f t="shared" ref="N23528:N23533" si="353">"9/19/2024 12:30:00 PM"</f>
        <v>9/19/2024 12:30:00 PM</v>
      </c>
      <c r="O23528" t="s">
        <v>71485</v>
      </c>
    </row>
    <row r="23529" spans="1:15" x14ac:dyDescent="0.25">
      <c r="A23529" t="str">
        <f>"3041395"</f>
        <v>3041395</v>
      </c>
      <c r="B23529" t="s">
        <v>71486</v>
      </c>
      <c r="C23529" t="str">
        <f t="shared" si="352"/>
        <v>8316041</v>
      </c>
      <c r="D23529" t="s">
        <v>71485</v>
      </c>
      <c r="F23529" t="s">
        <v>71472</v>
      </c>
      <c r="G23529" t="s">
        <v>71468</v>
      </c>
      <c r="I23529" t="s">
        <v>1045</v>
      </c>
      <c r="J23529" t="s">
        <v>1046</v>
      </c>
      <c r="K23529" t="str">
        <f t="shared" si="351"/>
        <v>30339</v>
      </c>
      <c r="M23529" t="s">
        <v>25733</v>
      </c>
      <c r="N23529" t="str">
        <f t="shared" si="353"/>
        <v>9/19/2024 12:30:00 PM</v>
      </c>
      <c r="O23529" t="s">
        <v>71485</v>
      </c>
    </row>
    <row r="23530" spans="1:15" x14ac:dyDescent="0.25">
      <c r="A23530" t="str">
        <f>"3041390"</f>
        <v>3041390</v>
      </c>
      <c r="B23530" t="s">
        <v>71487</v>
      </c>
      <c r="C23530" t="str">
        <f t="shared" si="352"/>
        <v>8316041</v>
      </c>
      <c r="D23530" t="s">
        <v>71485</v>
      </c>
      <c r="F23530" t="s">
        <v>71472</v>
      </c>
      <c r="G23530" t="s">
        <v>71468</v>
      </c>
      <c r="I23530" t="s">
        <v>1045</v>
      </c>
      <c r="J23530" t="s">
        <v>1046</v>
      </c>
      <c r="K23530" t="str">
        <f t="shared" si="351"/>
        <v>30339</v>
      </c>
      <c r="M23530" t="s">
        <v>25733</v>
      </c>
      <c r="N23530" t="str">
        <f t="shared" si="353"/>
        <v>9/19/2024 12:30:00 PM</v>
      </c>
      <c r="O23530" t="s">
        <v>71485</v>
      </c>
    </row>
    <row r="23531" spans="1:15" x14ac:dyDescent="0.25">
      <c r="A23531" t="str">
        <f>"3041442"</f>
        <v>3041442</v>
      </c>
      <c r="B23531" t="s">
        <v>71488</v>
      </c>
      <c r="C23531" t="str">
        <f t="shared" si="352"/>
        <v>8316041</v>
      </c>
      <c r="D23531" t="s">
        <v>71485</v>
      </c>
      <c r="F23531" t="s">
        <v>71472</v>
      </c>
      <c r="G23531" t="s">
        <v>71468</v>
      </c>
      <c r="I23531" t="s">
        <v>1045</v>
      </c>
      <c r="J23531" t="s">
        <v>1046</v>
      </c>
      <c r="K23531" t="str">
        <f t="shared" si="351"/>
        <v>30339</v>
      </c>
      <c r="M23531" t="s">
        <v>25733</v>
      </c>
      <c r="N23531" t="str">
        <f t="shared" si="353"/>
        <v>9/19/2024 12:30:00 PM</v>
      </c>
      <c r="O23531" t="s">
        <v>71485</v>
      </c>
    </row>
    <row r="23532" spans="1:15" x14ac:dyDescent="0.25">
      <c r="A23532" t="str">
        <f>"3044647"</f>
        <v>3044647</v>
      </c>
      <c r="B23532" t="s">
        <v>71489</v>
      </c>
      <c r="C23532" t="str">
        <f t="shared" si="352"/>
        <v>8316041</v>
      </c>
      <c r="D23532" t="s">
        <v>71485</v>
      </c>
      <c r="F23532" t="s">
        <v>71472</v>
      </c>
      <c r="G23532" t="s">
        <v>71468</v>
      </c>
      <c r="I23532" t="s">
        <v>1045</v>
      </c>
      <c r="J23532" t="s">
        <v>1046</v>
      </c>
      <c r="K23532" t="str">
        <f t="shared" si="351"/>
        <v>30339</v>
      </c>
      <c r="M23532" t="s">
        <v>25733</v>
      </c>
      <c r="N23532" t="str">
        <f t="shared" si="353"/>
        <v>9/19/2024 12:30:00 PM</v>
      </c>
      <c r="O23532" t="s">
        <v>71485</v>
      </c>
    </row>
    <row r="23533" spans="1:15" x14ac:dyDescent="0.25">
      <c r="A23533" t="str">
        <f>"3044816"</f>
        <v>3044816</v>
      </c>
      <c r="B23533" t="s">
        <v>71490</v>
      </c>
      <c r="C23533" t="str">
        <f t="shared" si="352"/>
        <v>8316041</v>
      </c>
      <c r="D23533" t="s">
        <v>71485</v>
      </c>
      <c r="F23533" t="s">
        <v>71472</v>
      </c>
      <c r="G23533" t="s">
        <v>71468</v>
      </c>
      <c r="I23533" t="s">
        <v>1045</v>
      </c>
      <c r="J23533" t="s">
        <v>1046</v>
      </c>
      <c r="K23533" t="str">
        <f t="shared" si="351"/>
        <v>30339</v>
      </c>
      <c r="M23533" t="s">
        <v>25733</v>
      </c>
      <c r="N23533" t="str">
        <f t="shared" si="353"/>
        <v>9/19/2024 12:30:00 PM</v>
      </c>
      <c r="O23533" t="s">
        <v>71485</v>
      </c>
    </row>
    <row r="23534" spans="1:15" x14ac:dyDescent="0.25">
      <c r="A23534" t="str">
        <f>"3044539"</f>
        <v>3044539</v>
      </c>
      <c r="B23534" t="s">
        <v>71491</v>
      </c>
      <c r="C23534" t="str">
        <f t="shared" ref="C23534:C23542" si="354">"8316821"</f>
        <v>8316821</v>
      </c>
      <c r="D23534" t="s">
        <v>71492</v>
      </c>
      <c r="F23534" t="s">
        <v>71479</v>
      </c>
      <c r="G23534" t="s">
        <v>71468</v>
      </c>
      <c r="I23534" t="s">
        <v>1045</v>
      </c>
      <c r="J23534" t="s">
        <v>1046</v>
      </c>
      <c r="K23534" t="str">
        <f t="shared" si="351"/>
        <v>30339</v>
      </c>
      <c r="M23534" t="s">
        <v>25733</v>
      </c>
      <c r="N23534" t="str">
        <f t="shared" ref="N23534:N23542" si="355">"9/19/2024 12:32:00 PM"</f>
        <v>9/19/2024 12:32:00 PM</v>
      </c>
      <c r="O23534" t="s">
        <v>71492</v>
      </c>
    </row>
    <row r="23535" spans="1:15" x14ac:dyDescent="0.25">
      <c r="A23535" t="str">
        <f>"3041448"</f>
        <v>3041448</v>
      </c>
      <c r="B23535" t="s">
        <v>71493</v>
      </c>
      <c r="C23535" t="str">
        <f t="shared" si="354"/>
        <v>8316821</v>
      </c>
      <c r="D23535" t="s">
        <v>71492</v>
      </c>
      <c r="F23535" t="s">
        <v>71479</v>
      </c>
      <c r="G23535" t="s">
        <v>71468</v>
      </c>
      <c r="I23535" t="s">
        <v>1045</v>
      </c>
      <c r="J23535" t="s">
        <v>1046</v>
      </c>
      <c r="K23535" t="str">
        <f t="shared" si="351"/>
        <v>30339</v>
      </c>
      <c r="M23535" t="s">
        <v>25733</v>
      </c>
      <c r="N23535" t="str">
        <f t="shared" si="355"/>
        <v>9/19/2024 12:32:00 PM</v>
      </c>
      <c r="O23535" t="s">
        <v>71492</v>
      </c>
    </row>
    <row r="23536" spans="1:15" x14ac:dyDescent="0.25">
      <c r="A23536" t="str">
        <f>"3041540"</f>
        <v>3041540</v>
      </c>
      <c r="B23536" t="s">
        <v>71494</v>
      </c>
      <c r="C23536" t="str">
        <f t="shared" si="354"/>
        <v>8316821</v>
      </c>
      <c r="D23536" t="s">
        <v>71492</v>
      </c>
      <c r="F23536" t="s">
        <v>71479</v>
      </c>
      <c r="G23536" t="s">
        <v>71468</v>
      </c>
      <c r="I23536" t="s">
        <v>1045</v>
      </c>
      <c r="J23536" t="s">
        <v>1046</v>
      </c>
      <c r="K23536" t="str">
        <f t="shared" si="351"/>
        <v>30339</v>
      </c>
      <c r="M23536" t="s">
        <v>25733</v>
      </c>
      <c r="N23536" t="str">
        <f t="shared" si="355"/>
        <v>9/19/2024 12:32:00 PM</v>
      </c>
      <c r="O23536" t="s">
        <v>71492</v>
      </c>
    </row>
    <row r="23537" spans="1:20" x14ac:dyDescent="0.25">
      <c r="A23537" t="str">
        <f>"3041536"</f>
        <v>3041536</v>
      </c>
      <c r="B23537" t="s">
        <v>71495</v>
      </c>
      <c r="C23537" t="str">
        <f t="shared" si="354"/>
        <v>8316821</v>
      </c>
      <c r="D23537" t="s">
        <v>71492</v>
      </c>
      <c r="F23537" t="s">
        <v>71479</v>
      </c>
      <c r="G23537" t="s">
        <v>71468</v>
      </c>
      <c r="I23537" t="s">
        <v>1045</v>
      </c>
      <c r="J23537" t="s">
        <v>1046</v>
      </c>
      <c r="K23537" t="str">
        <f t="shared" si="351"/>
        <v>30339</v>
      </c>
      <c r="M23537" t="s">
        <v>25733</v>
      </c>
      <c r="N23537" t="str">
        <f t="shared" si="355"/>
        <v>9/19/2024 12:32:00 PM</v>
      </c>
      <c r="O23537" t="s">
        <v>71492</v>
      </c>
    </row>
    <row r="23538" spans="1:20" x14ac:dyDescent="0.25">
      <c r="A23538" t="str">
        <f>"3041216"</f>
        <v>3041216</v>
      </c>
      <c r="B23538" t="s">
        <v>71496</v>
      </c>
      <c r="C23538" t="str">
        <f t="shared" si="354"/>
        <v>8316821</v>
      </c>
      <c r="D23538" t="s">
        <v>71492</v>
      </c>
      <c r="F23538" t="s">
        <v>71479</v>
      </c>
      <c r="G23538" t="s">
        <v>71468</v>
      </c>
      <c r="I23538" t="s">
        <v>1045</v>
      </c>
      <c r="J23538" t="s">
        <v>1046</v>
      </c>
      <c r="K23538" t="str">
        <f t="shared" si="351"/>
        <v>30339</v>
      </c>
      <c r="M23538" t="s">
        <v>25733</v>
      </c>
      <c r="N23538" t="str">
        <f t="shared" si="355"/>
        <v>9/19/2024 12:32:00 PM</v>
      </c>
      <c r="O23538" t="s">
        <v>71492</v>
      </c>
    </row>
    <row r="23539" spans="1:20" x14ac:dyDescent="0.25">
      <c r="A23539" t="str">
        <f>"3061298"</f>
        <v>3061298</v>
      </c>
      <c r="B23539" t="s">
        <v>71497</v>
      </c>
      <c r="C23539" t="str">
        <f t="shared" si="354"/>
        <v>8316821</v>
      </c>
      <c r="D23539" t="s">
        <v>71492</v>
      </c>
      <c r="F23539" t="s">
        <v>71479</v>
      </c>
      <c r="G23539" t="s">
        <v>71468</v>
      </c>
      <c r="I23539" t="s">
        <v>1045</v>
      </c>
      <c r="J23539" t="s">
        <v>1046</v>
      </c>
      <c r="K23539" t="str">
        <f t="shared" si="351"/>
        <v>30339</v>
      </c>
      <c r="M23539" t="s">
        <v>25733</v>
      </c>
      <c r="N23539" t="str">
        <f t="shared" si="355"/>
        <v>9/19/2024 12:32:00 PM</v>
      </c>
      <c r="O23539" t="s">
        <v>71492</v>
      </c>
    </row>
    <row r="23540" spans="1:20" x14ac:dyDescent="0.25">
      <c r="A23540" t="str">
        <f>"3061309"</f>
        <v>3061309</v>
      </c>
      <c r="B23540" t="s">
        <v>71498</v>
      </c>
      <c r="C23540" t="str">
        <f t="shared" si="354"/>
        <v>8316821</v>
      </c>
      <c r="D23540" t="s">
        <v>71492</v>
      </c>
      <c r="F23540" t="s">
        <v>71479</v>
      </c>
      <c r="G23540" t="s">
        <v>71468</v>
      </c>
      <c r="I23540" t="s">
        <v>1045</v>
      </c>
      <c r="J23540" t="s">
        <v>1046</v>
      </c>
      <c r="K23540" t="str">
        <f t="shared" si="351"/>
        <v>30339</v>
      </c>
      <c r="M23540" t="s">
        <v>25733</v>
      </c>
      <c r="N23540" t="str">
        <f t="shared" si="355"/>
        <v>9/19/2024 12:32:00 PM</v>
      </c>
      <c r="O23540" t="s">
        <v>71492</v>
      </c>
    </row>
    <row r="23541" spans="1:20" x14ac:dyDescent="0.25">
      <c r="A23541" t="str">
        <f>"3061291"</f>
        <v>3061291</v>
      </c>
      <c r="B23541" t="s">
        <v>71499</v>
      </c>
      <c r="C23541" t="str">
        <f t="shared" si="354"/>
        <v>8316821</v>
      </c>
      <c r="D23541" t="s">
        <v>71492</v>
      </c>
      <c r="F23541" t="s">
        <v>71479</v>
      </c>
      <c r="G23541" t="s">
        <v>71468</v>
      </c>
      <c r="I23541" t="s">
        <v>1045</v>
      </c>
      <c r="J23541" t="s">
        <v>1046</v>
      </c>
      <c r="K23541" t="str">
        <f t="shared" si="351"/>
        <v>30339</v>
      </c>
      <c r="M23541" t="s">
        <v>25733</v>
      </c>
      <c r="N23541" t="str">
        <f t="shared" si="355"/>
        <v>9/19/2024 12:32:00 PM</v>
      </c>
      <c r="O23541" t="s">
        <v>71492</v>
      </c>
    </row>
    <row r="23542" spans="1:20" x14ac:dyDescent="0.25">
      <c r="A23542" t="str">
        <f>"3070859"</f>
        <v>3070859</v>
      </c>
      <c r="B23542" t="s">
        <v>71500</v>
      </c>
      <c r="C23542" t="str">
        <f t="shared" si="354"/>
        <v>8316821</v>
      </c>
      <c r="D23542" t="s">
        <v>71492</v>
      </c>
      <c r="F23542" t="s">
        <v>71479</v>
      </c>
      <c r="G23542" t="s">
        <v>71468</v>
      </c>
      <c r="I23542" t="s">
        <v>1045</v>
      </c>
      <c r="J23542" t="s">
        <v>1046</v>
      </c>
      <c r="K23542" t="str">
        <f t="shared" si="351"/>
        <v>30339</v>
      </c>
      <c r="M23542" t="s">
        <v>25733</v>
      </c>
      <c r="N23542" t="str">
        <f t="shared" si="355"/>
        <v>9/19/2024 12:32:00 PM</v>
      </c>
      <c r="O23542" t="s">
        <v>71492</v>
      </c>
    </row>
    <row r="23543" spans="1:20" x14ac:dyDescent="0.25">
      <c r="A23543" t="str">
        <f>"3061258"</f>
        <v>3061258</v>
      </c>
      <c r="B23543" t="s">
        <v>71501</v>
      </c>
      <c r="C23543" t="str">
        <f>"8316135"</f>
        <v>8316135</v>
      </c>
      <c r="D23543" t="s">
        <v>71502</v>
      </c>
      <c r="F23543" t="s">
        <v>71503</v>
      </c>
      <c r="G23543" t="s">
        <v>71468</v>
      </c>
      <c r="I23543" t="s">
        <v>1045</v>
      </c>
      <c r="J23543" t="s">
        <v>1046</v>
      </c>
      <c r="K23543" t="str">
        <f t="shared" si="351"/>
        <v>30339</v>
      </c>
      <c r="M23543" t="s">
        <v>25733</v>
      </c>
      <c r="N23543" t="str">
        <f>"9/19/2024 12:33:00 PM"</f>
        <v>9/19/2024 12:33:00 PM</v>
      </c>
      <c r="O23543" t="s">
        <v>71502</v>
      </c>
    </row>
    <row r="23544" spans="1:20" x14ac:dyDescent="0.25">
      <c r="A23544" t="str">
        <f>"3041506"</f>
        <v>3041506</v>
      </c>
      <c r="B23544" t="s">
        <v>71504</v>
      </c>
      <c r="C23544" t="str">
        <f>"8316135"</f>
        <v>8316135</v>
      </c>
      <c r="D23544" t="s">
        <v>71502</v>
      </c>
      <c r="F23544" t="s">
        <v>71503</v>
      </c>
      <c r="G23544" t="s">
        <v>71468</v>
      </c>
      <c r="I23544" t="s">
        <v>1045</v>
      </c>
      <c r="J23544" t="s">
        <v>1046</v>
      </c>
      <c r="K23544" t="str">
        <f t="shared" si="351"/>
        <v>30339</v>
      </c>
      <c r="M23544" t="s">
        <v>25733</v>
      </c>
      <c r="N23544" t="str">
        <f>"9/19/2024 12:33:00 PM"</f>
        <v>9/19/2024 12:33:00 PM</v>
      </c>
      <c r="O23544" t="s">
        <v>71502</v>
      </c>
    </row>
    <row r="23545" spans="1:20" x14ac:dyDescent="0.25">
      <c r="A23545" t="str">
        <f>"3046758"</f>
        <v>3046758</v>
      </c>
      <c r="B23545" t="s">
        <v>71505</v>
      </c>
      <c r="C23545" t="str">
        <f>"8316135"</f>
        <v>8316135</v>
      </c>
      <c r="D23545" t="s">
        <v>71502</v>
      </c>
      <c r="F23545" t="s">
        <v>71503</v>
      </c>
      <c r="G23545" t="s">
        <v>71468</v>
      </c>
      <c r="I23545" t="s">
        <v>1045</v>
      </c>
      <c r="J23545" t="s">
        <v>1046</v>
      </c>
      <c r="K23545" t="str">
        <f t="shared" si="351"/>
        <v>30339</v>
      </c>
      <c r="M23545" t="s">
        <v>25733</v>
      </c>
      <c r="N23545" t="str">
        <f>"9/19/2024 12:33:00 PM"</f>
        <v>9/19/2024 12:33:00 PM</v>
      </c>
      <c r="O23545" t="s">
        <v>71502</v>
      </c>
    </row>
    <row r="23546" spans="1:20" x14ac:dyDescent="0.25">
      <c r="A23546" t="str">
        <f>"3041229"</f>
        <v>3041229</v>
      </c>
      <c r="B23546" t="s">
        <v>71506</v>
      </c>
      <c r="C23546" t="str">
        <f>"8317398"</f>
        <v>8317398</v>
      </c>
      <c r="D23546" t="s">
        <v>71507</v>
      </c>
      <c r="F23546" t="s">
        <v>71508</v>
      </c>
      <c r="G23546" t="s">
        <v>71509</v>
      </c>
      <c r="I23546" t="s">
        <v>1045</v>
      </c>
      <c r="J23546" t="s">
        <v>1046</v>
      </c>
      <c r="K23546" t="s">
        <v>71464</v>
      </c>
      <c r="M23546" t="s">
        <v>50621</v>
      </c>
      <c r="N23546" t="str">
        <f>"9/19/2024 12:43:00 PM"</f>
        <v>9/19/2024 12:43:00 PM</v>
      </c>
      <c r="O23546" t="s">
        <v>71507</v>
      </c>
    </row>
    <row r="23547" spans="1:20" x14ac:dyDescent="0.25">
      <c r="A23547" t="str">
        <f>"3061983"</f>
        <v>3061983</v>
      </c>
      <c r="B23547" t="s">
        <v>71510</v>
      </c>
      <c r="C23547" t="str">
        <f>"8322884"</f>
        <v>8322884</v>
      </c>
      <c r="D23547" t="s">
        <v>71511</v>
      </c>
      <c r="E23547" t="s">
        <v>71512</v>
      </c>
      <c r="F23547" t="s">
        <v>71513</v>
      </c>
      <c r="I23547" t="s">
        <v>2071</v>
      </c>
      <c r="J23547" t="s">
        <v>30</v>
      </c>
      <c r="K23547" t="s">
        <v>68309</v>
      </c>
      <c r="M23547" t="s">
        <v>50500</v>
      </c>
      <c r="N23547" t="str">
        <f>"9/12/2024 10:18:00 AM"</f>
        <v>9/12/2024 10:18:00 AM</v>
      </c>
      <c r="O23547" t="s">
        <v>71511</v>
      </c>
      <c r="T23547" t="s">
        <v>71512</v>
      </c>
    </row>
    <row r="23548" spans="1:20" x14ac:dyDescent="0.25">
      <c r="A23548" t="str">
        <f>"3048257"</f>
        <v>3048257</v>
      </c>
      <c r="B23548" t="s">
        <v>71514</v>
      </c>
      <c r="C23548" t="str">
        <f>"8322885"</f>
        <v>8322885</v>
      </c>
      <c r="D23548" t="s">
        <v>71515</v>
      </c>
      <c r="E23548" t="s">
        <v>71516</v>
      </c>
      <c r="F23548" t="s">
        <v>71517</v>
      </c>
      <c r="I23548" t="s">
        <v>29</v>
      </c>
      <c r="J23548" t="s">
        <v>30</v>
      </c>
      <c r="K23548" t="s">
        <v>71518</v>
      </c>
      <c r="M23548" t="s">
        <v>50500</v>
      </c>
      <c r="N23548" t="str">
        <f>"9/12/2024 10:23:00 AM"</f>
        <v>9/12/2024 10:23:00 AM</v>
      </c>
      <c r="O23548" t="s">
        <v>71515</v>
      </c>
      <c r="T23548" t="s">
        <v>71516</v>
      </c>
    </row>
    <row r="23549" spans="1:20" x14ac:dyDescent="0.25">
      <c r="A23549" t="str">
        <f>"3071777"</f>
        <v>3071777</v>
      </c>
      <c r="B23549" t="s">
        <v>71519</v>
      </c>
      <c r="C23549" t="str">
        <f>"8322886"</f>
        <v>8322886</v>
      </c>
      <c r="D23549" t="s">
        <v>71520</v>
      </c>
      <c r="E23549" t="s">
        <v>71521</v>
      </c>
      <c r="F23549" t="s">
        <v>71522</v>
      </c>
      <c r="I23549" t="s">
        <v>184</v>
      </c>
      <c r="J23549" t="s">
        <v>30</v>
      </c>
      <c r="K23549" t="s">
        <v>51668</v>
      </c>
      <c r="M23549" t="s">
        <v>50500</v>
      </c>
      <c r="N23549" t="str">
        <f>"9/12/2024 10:36:00 AM"</f>
        <v>9/12/2024 10:36:00 AM</v>
      </c>
      <c r="O23549" t="s">
        <v>71520</v>
      </c>
      <c r="T23549" t="s">
        <v>71521</v>
      </c>
    </row>
    <row r="23550" spans="1:20" x14ac:dyDescent="0.25">
      <c r="A23550" t="str">
        <f>"3048206"</f>
        <v>3048206</v>
      </c>
      <c r="B23550" t="s">
        <v>71523</v>
      </c>
      <c r="C23550" t="str">
        <f>"8322892"</f>
        <v>8322892</v>
      </c>
      <c r="D23550" t="s">
        <v>71524</v>
      </c>
      <c r="E23550" t="s">
        <v>71525</v>
      </c>
      <c r="F23550" t="s">
        <v>71526</v>
      </c>
      <c r="I23550" t="s">
        <v>1149</v>
      </c>
      <c r="J23550" t="s">
        <v>30</v>
      </c>
      <c r="K23550" t="s">
        <v>34749</v>
      </c>
      <c r="M23550" t="s">
        <v>50500</v>
      </c>
      <c r="N23550" t="str">
        <f>"9/16/2024 1:23:00 PM"</f>
        <v>9/16/2024 1:23:00 PM</v>
      </c>
      <c r="O23550" t="s">
        <v>71524</v>
      </c>
      <c r="T23550" t="s">
        <v>71525</v>
      </c>
    </row>
    <row r="23551" spans="1:20" x14ac:dyDescent="0.25">
      <c r="A23551" t="str">
        <f>"3038438"</f>
        <v>3038438</v>
      </c>
      <c r="B23551" t="s">
        <v>71527</v>
      </c>
      <c r="C23551" t="str">
        <f>"8301896"</f>
        <v>8301896</v>
      </c>
      <c r="D23551" t="s">
        <v>71528</v>
      </c>
      <c r="F23551" t="s">
        <v>71529</v>
      </c>
      <c r="I23551" t="s">
        <v>71530</v>
      </c>
      <c r="J23551" t="s">
        <v>9877</v>
      </c>
      <c r="K23551" t="s">
        <v>71531</v>
      </c>
      <c r="M23551" t="s">
        <v>50793</v>
      </c>
      <c r="N23551" t="str">
        <f>"9/16/2024 1:45:00 PM"</f>
        <v>9/16/2024 1:45:00 PM</v>
      </c>
      <c r="O23551" t="s">
        <v>71528</v>
      </c>
    </row>
    <row r="23552" spans="1:20" x14ac:dyDescent="0.25">
      <c r="A23552" t="str">
        <f>"3056816"</f>
        <v>3056816</v>
      </c>
      <c r="B23552" t="s">
        <v>71532</v>
      </c>
      <c r="C23552" t="str">
        <f>"8322893"</f>
        <v>8322893</v>
      </c>
      <c r="D23552" t="s">
        <v>71533</v>
      </c>
      <c r="F23552" t="s">
        <v>71534</v>
      </c>
      <c r="I23552" t="s">
        <v>29</v>
      </c>
      <c r="J23552" t="s">
        <v>30</v>
      </c>
      <c r="K23552" t="s">
        <v>71535</v>
      </c>
      <c r="M23552" t="s">
        <v>50500</v>
      </c>
      <c r="N23552" t="str">
        <f>"9/16/2024 2:18:00 PM"</f>
        <v>9/16/2024 2:18:00 PM</v>
      </c>
      <c r="O23552" t="s">
        <v>71533</v>
      </c>
    </row>
    <row r="23553" spans="1:20" x14ac:dyDescent="0.25">
      <c r="A23553" t="str">
        <f>"3078147"</f>
        <v>3078147</v>
      </c>
      <c r="B23553" t="s">
        <v>71536</v>
      </c>
      <c r="C23553" t="str">
        <f>"8322894"</f>
        <v>8322894</v>
      </c>
      <c r="D23553" t="s">
        <v>71537</v>
      </c>
      <c r="E23553" t="s">
        <v>71538</v>
      </c>
      <c r="F23553" t="s">
        <v>71539</v>
      </c>
      <c r="I23553" t="s">
        <v>471</v>
      </c>
      <c r="J23553" t="s">
        <v>30</v>
      </c>
      <c r="K23553" t="s">
        <v>71540</v>
      </c>
      <c r="M23553" t="s">
        <v>50500</v>
      </c>
      <c r="N23553" t="str">
        <f>"9/16/2024 2:25:00 PM"</f>
        <v>9/16/2024 2:25:00 PM</v>
      </c>
      <c r="O23553" t="s">
        <v>71537</v>
      </c>
      <c r="T23553" t="s">
        <v>71538</v>
      </c>
    </row>
    <row r="23554" spans="1:20" x14ac:dyDescent="0.25">
      <c r="A23554" t="str">
        <f>"3042273"</f>
        <v>3042273</v>
      </c>
      <c r="B23554" t="s">
        <v>71541</v>
      </c>
      <c r="C23554" t="str">
        <f>"8322898"</f>
        <v>8322898</v>
      </c>
      <c r="D23554" t="s">
        <v>71542</v>
      </c>
      <c r="E23554" t="s">
        <v>71543</v>
      </c>
      <c r="F23554" t="s">
        <v>71544</v>
      </c>
      <c r="I23554" t="s">
        <v>29</v>
      </c>
      <c r="J23554" t="s">
        <v>30</v>
      </c>
      <c r="K23554" t="s">
        <v>2648</v>
      </c>
      <c r="M23554" t="s">
        <v>50500</v>
      </c>
      <c r="N23554" t="str">
        <f>"9/16/2024 3:51:00 PM"</f>
        <v>9/16/2024 3:51:00 PM</v>
      </c>
      <c r="O23554" t="s">
        <v>71542</v>
      </c>
      <c r="T23554" t="s">
        <v>71543</v>
      </c>
    </row>
    <row r="23555" spans="1:20" x14ac:dyDescent="0.25">
      <c r="A23555" t="str">
        <f>"3044350"</f>
        <v>3044350</v>
      </c>
      <c r="B23555" t="s">
        <v>71545</v>
      </c>
      <c r="C23555" t="str">
        <f>"11581000"</f>
        <v>11581000</v>
      </c>
      <c r="D23555" t="s">
        <v>71546</v>
      </c>
      <c r="F23555" t="s">
        <v>71547</v>
      </c>
      <c r="I23555" t="s">
        <v>184</v>
      </c>
      <c r="J23555" t="s">
        <v>30</v>
      </c>
      <c r="K23555" t="s">
        <v>185</v>
      </c>
      <c r="M23555" t="s">
        <v>25733</v>
      </c>
      <c r="N23555" t="str">
        <f>"9/17/2024 10:53:00 AM"</f>
        <v>9/17/2024 10:53:00 AM</v>
      </c>
      <c r="O23555" t="s">
        <v>71546</v>
      </c>
    </row>
    <row r="23556" spans="1:20" x14ac:dyDescent="0.25">
      <c r="A23556" t="str">
        <f>"3062749"</f>
        <v>3062749</v>
      </c>
      <c r="B23556" t="s">
        <v>71548</v>
      </c>
      <c r="C23556" t="str">
        <f>"8322899"</f>
        <v>8322899</v>
      </c>
      <c r="D23556" t="s">
        <v>71549</v>
      </c>
      <c r="F23556" t="s">
        <v>71550</v>
      </c>
      <c r="I23556" t="s">
        <v>184</v>
      </c>
      <c r="J23556" t="s">
        <v>30</v>
      </c>
      <c r="K23556" t="s">
        <v>33014</v>
      </c>
      <c r="M23556" t="s">
        <v>50500</v>
      </c>
      <c r="N23556" t="str">
        <f>"9/17/2024 2:06:00 PM"</f>
        <v>9/17/2024 2:06:00 PM</v>
      </c>
      <c r="O23556" t="s">
        <v>71549</v>
      </c>
    </row>
    <row r="23557" spans="1:20" x14ac:dyDescent="0.25">
      <c r="A23557" t="str">
        <f>"3059855"</f>
        <v>3059855</v>
      </c>
      <c r="B23557" t="s">
        <v>71551</v>
      </c>
      <c r="C23557" t="str">
        <f>"8311266"</f>
        <v>8311266</v>
      </c>
      <c r="D23557" t="s">
        <v>71322</v>
      </c>
      <c r="E23557" t="s">
        <v>71323</v>
      </c>
      <c r="F23557" t="s">
        <v>71324</v>
      </c>
      <c r="I23557" t="s">
        <v>29</v>
      </c>
      <c r="J23557" t="s">
        <v>30</v>
      </c>
      <c r="K23557" t="str">
        <f>"27028"</f>
        <v>27028</v>
      </c>
      <c r="M23557" t="s">
        <v>50793</v>
      </c>
      <c r="N23557" t="str">
        <f>"9/18/2024 8:53:00 AM"</f>
        <v>9/18/2024 8:53:00 AM</v>
      </c>
      <c r="O23557" t="s">
        <v>71322</v>
      </c>
      <c r="T23557" t="s">
        <v>71323</v>
      </c>
    </row>
    <row r="23558" spans="1:20" x14ac:dyDescent="0.25">
      <c r="A23558" t="str">
        <f>"3061788"</f>
        <v>3061788</v>
      </c>
      <c r="B23558" t="s">
        <v>71552</v>
      </c>
      <c r="C23558" t="str">
        <f>"39415400"</f>
        <v>39415400</v>
      </c>
      <c r="D23558" t="s">
        <v>71553</v>
      </c>
      <c r="F23558" t="s">
        <v>71554</v>
      </c>
      <c r="I23558" t="s">
        <v>402</v>
      </c>
      <c r="J23558" t="s">
        <v>30</v>
      </c>
      <c r="K23558" t="s">
        <v>71555</v>
      </c>
      <c r="M23558" t="s">
        <v>50793</v>
      </c>
      <c r="N23558" t="str">
        <f>"9/18/2024 9:07:00 AM"</f>
        <v>9/18/2024 9:07:00 AM</v>
      </c>
      <c r="O23558" t="s">
        <v>71553</v>
      </c>
    </row>
    <row r="23559" spans="1:20" x14ac:dyDescent="0.25">
      <c r="A23559" t="str">
        <f>"3055310"</f>
        <v>3055310</v>
      </c>
      <c r="B23559" t="s">
        <v>71556</v>
      </c>
      <c r="C23559" t="str">
        <f>"82519805"</f>
        <v>82519805</v>
      </c>
      <c r="D23559" t="s">
        <v>71557</v>
      </c>
      <c r="E23559" t="s">
        <v>62753</v>
      </c>
      <c r="F23559" t="s">
        <v>62754</v>
      </c>
      <c r="I23559" t="s">
        <v>29</v>
      </c>
      <c r="J23559" t="s">
        <v>30</v>
      </c>
      <c r="K23559" t="s">
        <v>64547</v>
      </c>
      <c r="M23559" t="s">
        <v>50793</v>
      </c>
      <c r="N23559" t="str">
        <f>"9/18/2024 9:26:00 AM"</f>
        <v>9/18/2024 9:26:00 AM</v>
      </c>
      <c r="O23559" t="s">
        <v>71557</v>
      </c>
      <c r="T23559" t="s">
        <v>62753</v>
      </c>
    </row>
    <row r="23560" spans="1:20" x14ac:dyDescent="0.25">
      <c r="A23560" t="str">
        <f>"3038702"</f>
        <v>3038702</v>
      </c>
      <c r="B23560" t="s">
        <v>71558</v>
      </c>
      <c r="C23560" t="str">
        <f>"8319623"</f>
        <v>8319623</v>
      </c>
      <c r="D23560" t="s">
        <v>71559</v>
      </c>
      <c r="E23560" t="s">
        <v>71560</v>
      </c>
      <c r="F23560" t="s">
        <v>71561</v>
      </c>
      <c r="I23560" t="s">
        <v>29</v>
      </c>
      <c r="J23560" t="s">
        <v>30</v>
      </c>
      <c r="K23560" t="s">
        <v>71562</v>
      </c>
      <c r="M23560" t="s">
        <v>50621</v>
      </c>
      <c r="N23560" t="str">
        <f>"9/18/2024 9:31:00 AM"</f>
        <v>9/18/2024 9:31:00 AM</v>
      </c>
      <c r="O23560" t="s">
        <v>71559</v>
      </c>
      <c r="T23560" t="s">
        <v>71560</v>
      </c>
    </row>
    <row r="23561" spans="1:20" x14ac:dyDescent="0.25">
      <c r="A23561" t="str">
        <f>"3077087"</f>
        <v>3077087</v>
      </c>
      <c r="B23561" t="s">
        <v>71563</v>
      </c>
      <c r="C23561" t="str">
        <f>"8319623"</f>
        <v>8319623</v>
      </c>
      <c r="D23561" t="s">
        <v>71559</v>
      </c>
      <c r="E23561" t="s">
        <v>71560</v>
      </c>
      <c r="F23561" t="s">
        <v>71561</v>
      </c>
      <c r="I23561" t="s">
        <v>29</v>
      </c>
      <c r="J23561" t="s">
        <v>30</v>
      </c>
      <c r="K23561" t="s">
        <v>71562</v>
      </c>
      <c r="M23561" t="s">
        <v>50621</v>
      </c>
      <c r="N23561" t="str">
        <f>"9/18/2024 9:31:00 AM"</f>
        <v>9/18/2024 9:31:00 AM</v>
      </c>
      <c r="O23561" t="s">
        <v>71559</v>
      </c>
      <c r="T23561" t="s">
        <v>71560</v>
      </c>
    </row>
    <row r="23562" spans="1:20" x14ac:dyDescent="0.25">
      <c r="A23562" t="str">
        <f>"3068038"</f>
        <v>3068038</v>
      </c>
      <c r="B23562" t="s">
        <v>71564</v>
      </c>
      <c r="C23562" t="str">
        <f>"8322887"</f>
        <v>8322887</v>
      </c>
      <c r="D23562" t="s">
        <v>71565</v>
      </c>
      <c r="F23562" t="s">
        <v>71566</v>
      </c>
      <c r="I23562" t="s">
        <v>14865</v>
      </c>
      <c r="J23562" t="s">
        <v>30</v>
      </c>
      <c r="K23562" t="s">
        <v>71567</v>
      </c>
      <c r="M23562" t="s">
        <v>50500</v>
      </c>
      <c r="N23562" t="str">
        <f>"9/12/2024 10:42:00 AM"</f>
        <v>9/12/2024 10:42:00 AM</v>
      </c>
      <c r="O23562" t="s">
        <v>71565</v>
      </c>
    </row>
    <row r="23563" spans="1:20" x14ac:dyDescent="0.25">
      <c r="A23563" t="str">
        <f>"3049980"</f>
        <v>3049980</v>
      </c>
      <c r="B23563" t="s">
        <v>71568</v>
      </c>
      <c r="C23563" t="str">
        <f>"8322888"</f>
        <v>8322888</v>
      </c>
      <c r="D23563" t="s">
        <v>71569</v>
      </c>
      <c r="E23563" t="s">
        <v>71570</v>
      </c>
      <c r="F23563" t="s">
        <v>71571</v>
      </c>
      <c r="I23563" t="s">
        <v>29</v>
      </c>
      <c r="J23563" t="s">
        <v>30</v>
      </c>
      <c r="K23563" t="s">
        <v>13377</v>
      </c>
      <c r="M23563" t="s">
        <v>50500</v>
      </c>
      <c r="N23563" t="str">
        <f>"9/12/2024 3:17:00 PM"</f>
        <v>9/12/2024 3:17:00 PM</v>
      </c>
      <c r="O23563" t="s">
        <v>71569</v>
      </c>
      <c r="T23563" t="s">
        <v>71570</v>
      </c>
    </row>
    <row r="23564" spans="1:20" x14ac:dyDescent="0.25">
      <c r="A23564" t="str">
        <f>"3044875"</f>
        <v>3044875</v>
      </c>
      <c r="B23564" t="s">
        <v>71572</v>
      </c>
      <c r="C23564" t="str">
        <f>"8322889"</f>
        <v>8322889</v>
      </c>
      <c r="D23564" t="s">
        <v>71573</v>
      </c>
      <c r="F23564" t="s">
        <v>71574</v>
      </c>
      <c r="I23564" t="s">
        <v>184</v>
      </c>
      <c r="J23564" t="s">
        <v>30</v>
      </c>
      <c r="K23564" t="s">
        <v>34692</v>
      </c>
      <c r="M23564" t="s">
        <v>50500</v>
      </c>
      <c r="N23564" t="str">
        <f>"9/12/2024 3:21:00 PM"</f>
        <v>9/12/2024 3:21:00 PM</v>
      </c>
      <c r="O23564" t="s">
        <v>71573</v>
      </c>
    </row>
    <row r="23565" spans="1:20" x14ac:dyDescent="0.25">
      <c r="A23565" t="str">
        <f>"3059452"</f>
        <v>3059452</v>
      </c>
      <c r="B23565" t="s">
        <v>71575</v>
      </c>
      <c r="C23565" t="str">
        <f>"8322923"</f>
        <v>8322923</v>
      </c>
      <c r="D23565" t="s">
        <v>71576</v>
      </c>
      <c r="F23565" t="s">
        <v>71577</v>
      </c>
      <c r="I23565" t="s">
        <v>29</v>
      </c>
      <c r="J23565" t="s">
        <v>30</v>
      </c>
      <c r="K23565" t="str">
        <f>"27028"</f>
        <v>27028</v>
      </c>
      <c r="M23565" t="s">
        <v>50500</v>
      </c>
      <c r="N23565" t="str">
        <f>"9/19/2024 10:15:00 AM"</f>
        <v>9/19/2024 10:15:00 AM</v>
      </c>
      <c r="O23565" t="s">
        <v>71576</v>
      </c>
    </row>
    <row r="23566" spans="1:20" x14ac:dyDescent="0.25">
      <c r="A23566" t="str">
        <f>"3058709"</f>
        <v>3058709</v>
      </c>
      <c r="B23566" t="s">
        <v>71578</v>
      </c>
      <c r="C23566" t="str">
        <f>"8322909"</f>
        <v>8322909</v>
      </c>
      <c r="D23566" t="s">
        <v>71579</v>
      </c>
      <c r="F23566" t="s">
        <v>71580</v>
      </c>
      <c r="I23566" t="s">
        <v>29</v>
      </c>
      <c r="J23566" t="s">
        <v>30</v>
      </c>
      <c r="K23566" t="s">
        <v>11637</v>
      </c>
      <c r="M23566" t="s">
        <v>50500</v>
      </c>
      <c r="N23566" t="str">
        <f>"9/18/2024 3:54:00 PM"</f>
        <v>9/18/2024 3:54:00 PM</v>
      </c>
      <c r="O23566" t="s">
        <v>71579</v>
      </c>
    </row>
    <row r="23567" spans="1:20" x14ac:dyDescent="0.25">
      <c r="A23567" t="str">
        <f>"3078080"</f>
        <v>3078080</v>
      </c>
      <c r="B23567" t="s">
        <v>71581</v>
      </c>
      <c r="C23567" t="str">
        <f>"8322910"</f>
        <v>8322910</v>
      </c>
      <c r="D23567" t="s">
        <v>71582</v>
      </c>
      <c r="F23567" t="s">
        <v>71583</v>
      </c>
      <c r="I23567" t="s">
        <v>17921</v>
      </c>
      <c r="J23567" t="s">
        <v>30</v>
      </c>
      <c r="K23567" t="str">
        <f>"27028"</f>
        <v>27028</v>
      </c>
      <c r="M23567" t="s">
        <v>50500</v>
      </c>
      <c r="N23567" t="str">
        <f>"9/18/2024 4:02:00 PM"</f>
        <v>9/18/2024 4:02:00 PM</v>
      </c>
      <c r="O23567" t="s">
        <v>71582</v>
      </c>
    </row>
    <row r="23568" spans="1:20" x14ac:dyDescent="0.25">
      <c r="A23568" t="str">
        <f>"3045691"</f>
        <v>3045691</v>
      </c>
      <c r="B23568" t="s">
        <v>71584</v>
      </c>
      <c r="C23568" t="str">
        <f>"8322910"</f>
        <v>8322910</v>
      </c>
      <c r="D23568" t="s">
        <v>71582</v>
      </c>
      <c r="F23568" t="s">
        <v>71583</v>
      </c>
      <c r="I23568" t="s">
        <v>17921</v>
      </c>
      <c r="J23568" t="s">
        <v>30</v>
      </c>
      <c r="K23568" t="str">
        <f>"27028"</f>
        <v>27028</v>
      </c>
      <c r="M23568" t="s">
        <v>50500</v>
      </c>
      <c r="N23568" t="str">
        <f>"9/18/2024 4:02:00 PM"</f>
        <v>9/18/2024 4:02:00 PM</v>
      </c>
      <c r="O23568" t="s">
        <v>71582</v>
      </c>
    </row>
    <row r="23569" spans="1:20" x14ac:dyDescent="0.25">
      <c r="A23569" t="str">
        <f>"3045708"</f>
        <v>3045708</v>
      </c>
      <c r="B23569" t="s">
        <v>71585</v>
      </c>
      <c r="C23569" t="str">
        <f>"8322910"</f>
        <v>8322910</v>
      </c>
      <c r="D23569" t="s">
        <v>71582</v>
      </c>
      <c r="F23569" t="s">
        <v>71583</v>
      </c>
      <c r="I23569" t="s">
        <v>17921</v>
      </c>
      <c r="J23569" t="s">
        <v>30</v>
      </c>
      <c r="K23569" t="str">
        <f>"27028"</f>
        <v>27028</v>
      </c>
      <c r="M23569" t="s">
        <v>50500</v>
      </c>
      <c r="N23569" t="str">
        <f>"9/18/2024 4:02:00 PM"</f>
        <v>9/18/2024 4:02:00 PM</v>
      </c>
      <c r="O23569" t="s">
        <v>71582</v>
      </c>
    </row>
    <row r="23570" spans="1:20" x14ac:dyDescent="0.25">
      <c r="A23570" t="str">
        <f>"3042669"</f>
        <v>3042669</v>
      </c>
      <c r="B23570" t="s">
        <v>71586</v>
      </c>
      <c r="C23570" t="str">
        <f>"8322911"</f>
        <v>8322911</v>
      </c>
      <c r="D23570" t="s">
        <v>71394</v>
      </c>
      <c r="E23570" t="s">
        <v>71395</v>
      </c>
      <c r="F23570" t="s">
        <v>71396</v>
      </c>
      <c r="I23570" t="s">
        <v>29</v>
      </c>
      <c r="J23570" t="s">
        <v>30</v>
      </c>
      <c r="K23570" t="s">
        <v>71397</v>
      </c>
      <c r="M23570" t="s">
        <v>50500</v>
      </c>
      <c r="N23570" t="str">
        <f>"9/18/2024 4:13:00 PM"</f>
        <v>9/18/2024 4:13:00 PM</v>
      </c>
      <c r="O23570" t="s">
        <v>71394</v>
      </c>
      <c r="T23570" t="s">
        <v>71395</v>
      </c>
    </row>
    <row r="23571" spans="1:20" x14ac:dyDescent="0.25">
      <c r="A23571" t="str">
        <f>"3060460"</f>
        <v>3060460</v>
      </c>
      <c r="B23571" t="s">
        <v>71587</v>
      </c>
      <c r="C23571" t="str">
        <f>"8317398"</f>
        <v>8317398</v>
      </c>
      <c r="D23571" t="s">
        <v>71507</v>
      </c>
      <c r="F23571" t="s">
        <v>71508</v>
      </c>
      <c r="G23571" t="s">
        <v>71509</v>
      </c>
      <c r="I23571" t="s">
        <v>1045</v>
      </c>
      <c r="J23571" t="s">
        <v>1046</v>
      </c>
      <c r="K23571" t="s">
        <v>71464</v>
      </c>
      <c r="M23571" t="s">
        <v>50621</v>
      </c>
      <c r="N23571" t="str">
        <f>"9/19/2024 12:43:00 PM"</f>
        <v>9/19/2024 12:43:00 PM</v>
      </c>
      <c r="O23571" t="s">
        <v>71507</v>
      </c>
    </row>
    <row r="23572" spans="1:20" x14ac:dyDescent="0.25">
      <c r="A23572" t="str">
        <f>"3070862"</f>
        <v>3070862</v>
      </c>
      <c r="B23572" t="s">
        <v>71588</v>
      </c>
      <c r="C23572" t="str">
        <f>"8317398"</f>
        <v>8317398</v>
      </c>
      <c r="D23572" t="s">
        <v>71507</v>
      </c>
      <c r="F23572" t="s">
        <v>71508</v>
      </c>
      <c r="G23572" t="s">
        <v>71509</v>
      </c>
      <c r="I23572" t="s">
        <v>1045</v>
      </c>
      <c r="J23572" t="s">
        <v>1046</v>
      </c>
      <c r="K23572" t="s">
        <v>71464</v>
      </c>
      <c r="M23572" t="s">
        <v>50621</v>
      </c>
      <c r="N23572" t="str">
        <f>"9/19/2024 12:43:00 PM"</f>
        <v>9/19/2024 12:43:00 PM</v>
      </c>
      <c r="O23572" t="s">
        <v>71507</v>
      </c>
    </row>
    <row r="23573" spans="1:20" x14ac:dyDescent="0.25">
      <c r="A23573" t="str">
        <f>"3061289"</f>
        <v>3061289</v>
      </c>
      <c r="B23573" t="s">
        <v>71589</v>
      </c>
      <c r="C23573" t="str">
        <f>"8318393"</f>
        <v>8318393</v>
      </c>
      <c r="D23573" t="s">
        <v>71590</v>
      </c>
      <c r="F23573" t="s">
        <v>71503</v>
      </c>
      <c r="G23573" t="s">
        <v>71509</v>
      </c>
      <c r="I23573" t="s">
        <v>1045</v>
      </c>
      <c r="J23573" t="s">
        <v>1046</v>
      </c>
      <c r="K23573" t="s">
        <v>71464</v>
      </c>
      <c r="M23573" t="s">
        <v>50621</v>
      </c>
      <c r="N23573" t="str">
        <f>"9/19/2024 12:44:00 PM"</f>
        <v>9/19/2024 12:44:00 PM</v>
      </c>
      <c r="O23573" t="s">
        <v>71590</v>
      </c>
    </row>
    <row r="23574" spans="1:20" x14ac:dyDescent="0.25">
      <c r="A23574" t="str">
        <f>"3061313"</f>
        <v>3061313</v>
      </c>
      <c r="B23574" t="s">
        <v>71591</v>
      </c>
      <c r="C23574" t="str">
        <f>"8318393"</f>
        <v>8318393</v>
      </c>
      <c r="D23574" t="s">
        <v>71590</v>
      </c>
      <c r="F23574" t="s">
        <v>71503</v>
      </c>
      <c r="G23574" t="s">
        <v>71509</v>
      </c>
      <c r="I23574" t="s">
        <v>1045</v>
      </c>
      <c r="J23574" t="s">
        <v>1046</v>
      </c>
      <c r="K23574" t="s">
        <v>71464</v>
      </c>
      <c r="M23574" t="s">
        <v>50621</v>
      </c>
      <c r="N23574" t="str">
        <f>"9/19/2024 12:44:00 PM"</f>
        <v>9/19/2024 12:44:00 PM</v>
      </c>
      <c r="O23574" t="s">
        <v>71590</v>
      </c>
    </row>
    <row r="23575" spans="1:20" x14ac:dyDescent="0.25">
      <c r="A23575" t="str">
        <f>"3061299"</f>
        <v>3061299</v>
      </c>
      <c r="B23575" t="s">
        <v>71592</v>
      </c>
      <c r="C23575" t="str">
        <f>"8316676"</f>
        <v>8316676</v>
      </c>
      <c r="D23575" t="s">
        <v>71593</v>
      </c>
      <c r="F23575" t="s">
        <v>71508</v>
      </c>
      <c r="G23575" t="s">
        <v>71509</v>
      </c>
      <c r="I23575" t="s">
        <v>1045</v>
      </c>
      <c r="J23575" t="s">
        <v>1046</v>
      </c>
      <c r="K23575" t="s">
        <v>71464</v>
      </c>
      <c r="M23575" t="s">
        <v>50621</v>
      </c>
      <c r="N23575" t="str">
        <f>"9/19/2024 12:45:00 PM"</f>
        <v>9/19/2024 12:45:00 PM</v>
      </c>
      <c r="O23575" t="s">
        <v>71593</v>
      </c>
    </row>
    <row r="23576" spans="1:20" x14ac:dyDescent="0.25">
      <c r="A23576" t="str">
        <f>"3044523"</f>
        <v>3044523</v>
      </c>
      <c r="B23576" t="s">
        <v>71594</v>
      </c>
      <c r="C23576" t="str">
        <f>"8320435"</f>
        <v>8320435</v>
      </c>
      <c r="D23576" t="s">
        <v>71595</v>
      </c>
      <c r="F23576" t="str">
        <f>"C/O FIRST KEY HOME LLC"</f>
        <v>C/O FIRST KEY HOME LLC</v>
      </c>
      <c r="G23576" t="s">
        <v>71509</v>
      </c>
      <c r="I23576" t="s">
        <v>1045</v>
      </c>
      <c r="J23576" t="s">
        <v>1046</v>
      </c>
      <c r="K23576" t="s">
        <v>71464</v>
      </c>
      <c r="M23576" t="s">
        <v>50793</v>
      </c>
      <c r="N23576" t="str">
        <f>"9/19/2024 1:06:00 PM"</f>
        <v>9/19/2024 1:06:00 PM</v>
      </c>
      <c r="O23576" t="s">
        <v>71595</v>
      </c>
    </row>
    <row r="23577" spans="1:20" x14ac:dyDescent="0.25">
      <c r="A23577" t="str">
        <f>"3044668"</f>
        <v>3044668</v>
      </c>
      <c r="B23577" t="s">
        <v>71596</v>
      </c>
      <c r="C23577" t="str">
        <f>"8316161"</f>
        <v>8316161</v>
      </c>
      <c r="D23577" t="s">
        <v>71597</v>
      </c>
      <c r="F23577" t="s">
        <v>71503</v>
      </c>
      <c r="G23577" t="s">
        <v>71509</v>
      </c>
      <c r="I23577" t="s">
        <v>1045</v>
      </c>
      <c r="J23577" t="s">
        <v>1046</v>
      </c>
      <c r="K23577" t="s">
        <v>71464</v>
      </c>
      <c r="M23577" t="s">
        <v>50793</v>
      </c>
      <c r="N23577" t="str">
        <f>"9/19/2024 1:09:00 PM"</f>
        <v>9/19/2024 1:09:00 PM</v>
      </c>
      <c r="O23577" t="s">
        <v>71597</v>
      </c>
    </row>
    <row r="23578" spans="1:20" x14ac:dyDescent="0.25">
      <c r="A23578" t="str">
        <f>"3060059"</f>
        <v>3060059</v>
      </c>
      <c r="B23578" t="s">
        <v>71598</v>
      </c>
      <c r="C23578" t="str">
        <f>"8316161"</f>
        <v>8316161</v>
      </c>
      <c r="D23578" t="s">
        <v>71597</v>
      </c>
      <c r="F23578" t="s">
        <v>71503</v>
      </c>
      <c r="G23578" t="s">
        <v>71509</v>
      </c>
      <c r="I23578" t="s">
        <v>1045</v>
      </c>
      <c r="J23578" t="s">
        <v>1046</v>
      </c>
      <c r="K23578" t="s">
        <v>71464</v>
      </c>
      <c r="M23578" t="s">
        <v>50793</v>
      </c>
      <c r="N23578" t="str">
        <f>"9/19/2024 1:09:00 PM"</f>
        <v>9/19/2024 1:09:00 PM</v>
      </c>
      <c r="O23578" t="s">
        <v>71597</v>
      </c>
    </row>
    <row r="23579" spans="1:20" x14ac:dyDescent="0.25">
      <c r="A23579" t="str">
        <f>"3060268"</f>
        <v>3060268</v>
      </c>
      <c r="B23579" t="s">
        <v>71599</v>
      </c>
      <c r="C23579" t="str">
        <f>"8317033"</f>
        <v>8317033</v>
      </c>
      <c r="D23579" t="s">
        <v>71600</v>
      </c>
      <c r="E23579" t="s">
        <v>71503</v>
      </c>
      <c r="F23579" t="s">
        <v>71509</v>
      </c>
      <c r="I23579" t="s">
        <v>1045</v>
      </c>
      <c r="J23579" t="s">
        <v>1046</v>
      </c>
      <c r="K23579" t="s">
        <v>71464</v>
      </c>
      <c r="M23579" t="s">
        <v>50793</v>
      </c>
      <c r="N23579" t="str">
        <f>"9/19/2024 1:11:00 PM"</f>
        <v>9/19/2024 1:11:00 PM</v>
      </c>
      <c r="O23579" t="s">
        <v>71600</v>
      </c>
      <c r="T23579" t="s">
        <v>71503</v>
      </c>
    </row>
    <row r="23580" spans="1:20" x14ac:dyDescent="0.25">
      <c r="A23580" t="str">
        <f>"3042380"</f>
        <v>3042380</v>
      </c>
      <c r="B23580" t="s">
        <v>71601</v>
      </c>
      <c r="C23580" t="str">
        <f>"8317033"</f>
        <v>8317033</v>
      </c>
      <c r="D23580" t="s">
        <v>71600</v>
      </c>
      <c r="E23580" t="s">
        <v>71503</v>
      </c>
      <c r="F23580" t="s">
        <v>71509</v>
      </c>
      <c r="I23580" t="s">
        <v>1045</v>
      </c>
      <c r="J23580" t="s">
        <v>1046</v>
      </c>
      <c r="K23580" t="s">
        <v>71464</v>
      </c>
      <c r="M23580" t="s">
        <v>50793</v>
      </c>
      <c r="N23580" t="str">
        <f>"9/19/2024 1:11:00 PM"</f>
        <v>9/19/2024 1:11:00 PM</v>
      </c>
      <c r="O23580" t="s">
        <v>71600</v>
      </c>
      <c r="T23580" t="s">
        <v>71503</v>
      </c>
    </row>
    <row r="23581" spans="1:20" x14ac:dyDescent="0.25">
      <c r="A23581" t="str">
        <f>"3041227"</f>
        <v>3041227</v>
      </c>
      <c r="B23581" t="s">
        <v>71602</v>
      </c>
      <c r="C23581" t="str">
        <f>"8317033"</f>
        <v>8317033</v>
      </c>
      <c r="D23581" t="s">
        <v>71600</v>
      </c>
      <c r="E23581" t="s">
        <v>71503</v>
      </c>
      <c r="F23581" t="s">
        <v>71509</v>
      </c>
      <c r="I23581" t="s">
        <v>1045</v>
      </c>
      <c r="J23581" t="s">
        <v>1046</v>
      </c>
      <c r="K23581" t="s">
        <v>71464</v>
      </c>
      <c r="M23581" t="s">
        <v>50793</v>
      </c>
      <c r="N23581" t="str">
        <f>"9/19/2024 1:11:00 PM"</f>
        <v>9/19/2024 1:11:00 PM</v>
      </c>
      <c r="O23581" t="s">
        <v>71600</v>
      </c>
      <c r="T23581" t="s">
        <v>71503</v>
      </c>
    </row>
    <row r="23582" spans="1:20" x14ac:dyDescent="0.25">
      <c r="A23582" t="str">
        <f>"3076062"</f>
        <v>3076062</v>
      </c>
      <c r="B23582" t="s">
        <v>71603</v>
      </c>
      <c r="C23582" t="str">
        <f>"8322925"</f>
        <v>8322925</v>
      </c>
      <c r="D23582" t="s">
        <v>71604</v>
      </c>
      <c r="E23582" t="s">
        <v>71605</v>
      </c>
      <c r="F23582" t="s">
        <v>55813</v>
      </c>
      <c r="I23582" t="s">
        <v>29</v>
      </c>
      <c r="J23582" t="s">
        <v>30</v>
      </c>
      <c r="K23582" t="s">
        <v>1189</v>
      </c>
      <c r="M23582" t="s">
        <v>50500</v>
      </c>
      <c r="N23582" t="str">
        <f>"9/19/2024 1:43:00 PM"</f>
        <v>9/19/2024 1:43:00 PM</v>
      </c>
      <c r="O23582" t="s">
        <v>71604</v>
      </c>
      <c r="T23582" t="s">
        <v>71605</v>
      </c>
    </row>
    <row r="23583" spans="1:20" x14ac:dyDescent="0.25">
      <c r="A23583" t="str">
        <f>"3076834"</f>
        <v>3076834</v>
      </c>
      <c r="B23583" t="s">
        <v>71606</v>
      </c>
      <c r="C23583" t="str">
        <f>"8322926"</f>
        <v>8322926</v>
      </c>
      <c r="D23583" t="s">
        <v>71607</v>
      </c>
      <c r="E23583" t="s">
        <v>71608</v>
      </c>
      <c r="F23583" t="s">
        <v>71609</v>
      </c>
      <c r="I23583" t="s">
        <v>29</v>
      </c>
      <c r="J23583" t="s">
        <v>30</v>
      </c>
      <c r="K23583" t="s">
        <v>42717</v>
      </c>
      <c r="M23583" t="s">
        <v>50500</v>
      </c>
      <c r="N23583" t="str">
        <f>"9/19/2024 3:29:00 PM"</f>
        <v>9/19/2024 3:29:00 PM</v>
      </c>
      <c r="O23583" t="s">
        <v>71607</v>
      </c>
      <c r="T23583" t="s">
        <v>71608</v>
      </c>
    </row>
    <row r="23584" spans="1:20" x14ac:dyDescent="0.25">
      <c r="A23584" t="str">
        <f>"3062165"</f>
        <v>3062165</v>
      </c>
      <c r="B23584" t="s">
        <v>71610</v>
      </c>
      <c r="C23584" t="str">
        <f>"8322927"</f>
        <v>8322927</v>
      </c>
      <c r="D23584" t="s">
        <v>71611</v>
      </c>
      <c r="E23584" t="s">
        <v>71612</v>
      </c>
      <c r="F23584" t="s">
        <v>71613</v>
      </c>
      <c r="I23584" t="s">
        <v>184</v>
      </c>
      <c r="J23584" t="s">
        <v>30</v>
      </c>
      <c r="K23584" t="s">
        <v>64153</v>
      </c>
      <c r="M23584" t="s">
        <v>50500</v>
      </c>
      <c r="N23584" t="str">
        <f>"9/19/2024 3:38:00 PM"</f>
        <v>9/19/2024 3:38:00 PM</v>
      </c>
      <c r="O23584" t="s">
        <v>71611</v>
      </c>
      <c r="T23584" t="s">
        <v>71612</v>
      </c>
    </row>
    <row r="23585" spans="1:20" x14ac:dyDescent="0.25">
      <c r="A23585" t="str">
        <f>"3042316"</f>
        <v>3042316</v>
      </c>
      <c r="B23585" t="s">
        <v>71614</v>
      </c>
      <c r="C23585" t="str">
        <f>"8322928"</f>
        <v>8322928</v>
      </c>
      <c r="D23585" t="s">
        <v>71615</v>
      </c>
      <c r="F23585" t="s">
        <v>71616</v>
      </c>
      <c r="I23585" t="s">
        <v>184</v>
      </c>
      <c r="J23585" t="s">
        <v>30</v>
      </c>
      <c r="K23585" t="s">
        <v>3433</v>
      </c>
      <c r="M23585" t="s">
        <v>50500</v>
      </c>
      <c r="N23585" t="str">
        <f>"9/19/2024 3:44:00 PM"</f>
        <v>9/19/2024 3:44:00 PM</v>
      </c>
      <c r="O23585" t="s">
        <v>71615</v>
      </c>
    </row>
    <row r="23586" spans="1:20" x14ac:dyDescent="0.25">
      <c r="A23586" t="str">
        <f>"3062166"</f>
        <v>3062166</v>
      </c>
      <c r="B23586" t="s">
        <v>71617</v>
      </c>
      <c r="C23586" t="str">
        <f>"8322929"</f>
        <v>8322929</v>
      </c>
      <c r="D23586" t="s">
        <v>71618</v>
      </c>
      <c r="E23586" t="s">
        <v>71619</v>
      </c>
      <c r="F23586" t="s">
        <v>71620</v>
      </c>
      <c r="I23586" t="s">
        <v>184</v>
      </c>
      <c r="J23586" t="s">
        <v>30</v>
      </c>
      <c r="K23586" t="s">
        <v>64153</v>
      </c>
      <c r="M23586" t="s">
        <v>50500</v>
      </c>
      <c r="N23586" t="str">
        <f>"9/19/2024 4:16:00 PM"</f>
        <v>9/19/2024 4:16:00 PM</v>
      </c>
      <c r="O23586" t="s">
        <v>71618</v>
      </c>
      <c r="T23586" t="s">
        <v>71619</v>
      </c>
    </row>
    <row r="23587" spans="1:20" x14ac:dyDescent="0.25">
      <c r="A23587" t="str">
        <f>"3076910"</f>
        <v>3076910</v>
      </c>
      <c r="B23587" t="s">
        <v>71621</v>
      </c>
      <c r="C23587" t="str">
        <f>"8322930"</f>
        <v>8322930</v>
      </c>
      <c r="D23587" t="s">
        <v>71622</v>
      </c>
      <c r="F23587" t="s">
        <v>32977</v>
      </c>
      <c r="I23587" t="s">
        <v>184</v>
      </c>
      <c r="J23587" t="s">
        <v>30</v>
      </c>
      <c r="K23587" t="s">
        <v>32978</v>
      </c>
      <c r="M23587" t="s">
        <v>50500</v>
      </c>
      <c r="N23587" t="str">
        <f>"9/20/2024 9:08:00 AM"</f>
        <v>9/20/2024 9:08:00 AM</v>
      </c>
      <c r="O23587" t="s">
        <v>71622</v>
      </c>
    </row>
    <row r="23588" spans="1:20" x14ac:dyDescent="0.25">
      <c r="A23588" t="str">
        <f>"3076913"</f>
        <v>3076913</v>
      </c>
      <c r="B23588" t="s">
        <v>71623</v>
      </c>
      <c r="C23588" t="str">
        <f>"8322930"</f>
        <v>8322930</v>
      </c>
      <c r="D23588" t="s">
        <v>71622</v>
      </c>
      <c r="F23588" t="s">
        <v>32977</v>
      </c>
      <c r="I23588" t="s">
        <v>184</v>
      </c>
      <c r="J23588" t="s">
        <v>30</v>
      </c>
      <c r="K23588" t="s">
        <v>32978</v>
      </c>
      <c r="M23588" t="s">
        <v>50500</v>
      </c>
      <c r="N23588" t="str">
        <f>"9/20/2024 9:08:00 AM"</f>
        <v>9/20/2024 9:08:00 AM</v>
      </c>
      <c r="O23588" t="s">
        <v>71622</v>
      </c>
    </row>
    <row r="23589" spans="1:20" x14ac:dyDescent="0.25">
      <c r="A23589" t="str">
        <f>"3077105"</f>
        <v>3077105</v>
      </c>
      <c r="B23589" t="s">
        <v>71624</v>
      </c>
      <c r="C23589" t="str">
        <f>"8322930"</f>
        <v>8322930</v>
      </c>
      <c r="D23589" t="s">
        <v>71622</v>
      </c>
      <c r="F23589" t="s">
        <v>32977</v>
      </c>
      <c r="I23589" t="s">
        <v>184</v>
      </c>
      <c r="J23589" t="s">
        <v>30</v>
      </c>
      <c r="K23589" t="s">
        <v>32978</v>
      </c>
      <c r="M23589" t="s">
        <v>50500</v>
      </c>
      <c r="N23589" t="str">
        <f>"9/20/2024 9:08:00 AM"</f>
        <v>9/20/2024 9:08:00 AM</v>
      </c>
      <c r="O23589" t="s">
        <v>71622</v>
      </c>
    </row>
    <row r="23590" spans="1:20" x14ac:dyDescent="0.25">
      <c r="A23590" t="str">
        <f>"3077103"</f>
        <v>3077103</v>
      </c>
      <c r="B23590" t="s">
        <v>71625</v>
      </c>
      <c r="C23590" t="str">
        <f>"8322930"</f>
        <v>8322930</v>
      </c>
      <c r="D23590" t="s">
        <v>71622</v>
      </c>
      <c r="F23590" t="s">
        <v>32977</v>
      </c>
      <c r="I23590" t="s">
        <v>184</v>
      </c>
      <c r="J23590" t="s">
        <v>30</v>
      </c>
      <c r="K23590" t="s">
        <v>32978</v>
      </c>
      <c r="M23590" t="s">
        <v>50500</v>
      </c>
      <c r="N23590" t="str">
        <f>"9/20/2024 9:08:00 AM"</f>
        <v>9/20/2024 9:08:00 AM</v>
      </c>
      <c r="O23590" t="s">
        <v>71622</v>
      </c>
    </row>
    <row r="23591" spans="1:20" x14ac:dyDescent="0.25">
      <c r="A23591" t="str">
        <f>"3049312"</f>
        <v>3049312</v>
      </c>
      <c r="B23591" t="s">
        <v>71626</v>
      </c>
      <c r="C23591" t="str">
        <f>"8322931"</f>
        <v>8322931</v>
      </c>
      <c r="D23591" t="s">
        <v>13335</v>
      </c>
      <c r="E23591" t="s">
        <v>71627</v>
      </c>
      <c r="F23591" t="s">
        <v>71628</v>
      </c>
      <c r="I23591" t="s">
        <v>29</v>
      </c>
      <c r="J23591" t="s">
        <v>30</v>
      </c>
      <c r="K23591" t="s">
        <v>71629</v>
      </c>
      <c r="M23591" t="s">
        <v>50500</v>
      </c>
      <c r="N23591" t="str">
        <f>"9/20/2024 9:19:00 AM"</f>
        <v>9/20/2024 9:19:00 AM</v>
      </c>
      <c r="O23591" t="s">
        <v>13335</v>
      </c>
      <c r="T23591" t="s">
        <v>71627</v>
      </c>
    </row>
    <row r="23592" spans="1:20" x14ac:dyDescent="0.25">
      <c r="A23592" t="str">
        <f>"3078753"</f>
        <v>3078753</v>
      </c>
      <c r="B23592" t="s">
        <v>71630</v>
      </c>
      <c r="C23592" t="str">
        <f>"8322932"</f>
        <v>8322932</v>
      </c>
      <c r="D23592" t="s">
        <v>71631</v>
      </c>
      <c r="E23592" t="s">
        <v>71632</v>
      </c>
      <c r="F23592" t="s">
        <v>36145</v>
      </c>
      <c r="I23592" t="s">
        <v>29</v>
      </c>
      <c r="J23592" t="s">
        <v>30</v>
      </c>
      <c r="K23592" t="s">
        <v>36146</v>
      </c>
      <c r="M23592" t="s">
        <v>50500</v>
      </c>
      <c r="N23592" t="str">
        <f>"9/20/2024 9:28:00 AM"</f>
        <v>9/20/2024 9:28:00 AM</v>
      </c>
      <c r="O23592" t="s">
        <v>71631</v>
      </c>
      <c r="T23592" t="s">
        <v>71632</v>
      </c>
    </row>
    <row r="23593" spans="1:20" x14ac:dyDescent="0.25">
      <c r="A23593" t="str">
        <f>"3076659"</f>
        <v>3076659</v>
      </c>
      <c r="B23593" t="s">
        <v>71633</v>
      </c>
      <c r="C23593" t="str">
        <f>"8322934"</f>
        <v>8322934</v>
      </c>
      <c r="D23593" t="s">
        <v>71634</v>
      </c>
      <c r="F23593" t="s">
        <v>71635</v>
      </c>
      <c r="I23593" t="s">
        <v>29</v>
      </c>
      <c r="J23593" t="s">
        <v>30</v>
      </c>
      <c r="K23593" t="s">
        <v>61430</v>
      </c>
      <c r="M23593" t="s">
        <v>50500</v>
      </c>
      <c r="N23593" t="str">
        <f>"9/20/2024 9:59:00 AM"</f>
        <v>9/20/2024 9:59:00 AM</v>
      </c>
      <c r="O23593" t="s">
        <v>71634</v>
      </c>
    </row>
    <row r="23594" spans="1:20" x14ac:dyDescent="0.25">
      <c r="A23594" t="str">
        <f>"3059535"</f>
        <v>3059535</v>
      </c>
      <c r="B23594" t="s">
        <v>71636</v>
      </c>
      <c r="C23594" t="str">
        <f>"82524263"</f>
        <v>82524263</v>
      </c>
      <c r="D23594" t="s">
        <v>71637</v>
      </c>
      <c r="E23594" t="s">
        <v>71638</v>
      </c>
      <c r="F23594" t="s">
        <v>71639</v>
      </c>
      <c r="I23594" t="s">
        <v>29</v>
      </c>
      <c r="J23594" t="s">
        <v>30</v>
      </c>
      <c r="K23594" t="s">
        <v>13437</v>
      </c>
      <c r="M23594" t="s">
        <v>50621</v>
      </c>
      <c r="N23594" t="str">
        <f>"9/20/2024 10:02:00 AM"</f>
        <v>9/20/2024 10:02:00 AM</v>
      </c>
      <c r="O23594" t="s">
        <v>71637</v>
      </c>
      <c r="T23594" t="s">
        <v>71638</v>
      </c>
    </row>
    <row r="23595" spans="1:20" x14ac:dyDescent="0.25">
      <c r="A23595" t="str">
        <f>"3052512"</f>
        <v>3052512</v>
      </c>
      <c r="B23595" t="s">
        <v>71640</v>
      </c>
      <c r="C23595" t="str">
        <f>"27077000"</f>
        <v>27077000</v>
      </c>
      <c r="D23595" t="s">
        <v>71641</v>
      </c>
      <c r="F23595" t="s">
        <v>71642</v>
      </c>
      <c r="I23595" t="s">
        <v>29</v>
      </c>
      <c r="J23595" t="s">
        <v>30</v>
      </c>
      <c r="K23595" t="s">
        <v>71643</v>
      </c>
      <c r="M23595" t="s">
        <v>50621</v>
      </c>
      <c r="N23595" t="str">
        <f>"9/20/2024 10:05:00 AM"</f>
        <v>9/20/2024 10:05:00 AM</v>
      </c>
      <c r="O23595" t="s">
        <v>71641</v>
      </c>
    </row>
    <row r="23596" spans="1:20" x14ac:dyDescent="0.25">
      <c r="A23596" t="str">
        <f>"3048819"</f>
        <v>3048819</v>
      </c>
      <c r="B23596" t="s">
        <v>71644</v>
      </c>
      <c r="C23596" t="str">
        <f>"8320990"</f>
        <v>8320990</v>
      </c>
      <c r="D23596" t="s">
        <v>71645</v>
      </c>
      <c r="F23596" t="s">
        <v>71646</v>
      </c>
      <c r="I23596" t="s">
        <v>29</v>
      </c>
      <c r="J23596" t="s">
        <v>30</v>
      </c>
      <c r="K23596" t="s">
        <v>71647</v>
      </c>
      <c r="M23596" t="s">
        <v>50500</v>
      </c>
      <c r="N23596" t="str">
        <f>"9/20/2024 10:06:00 AM"</f>
        <v>9/20/2024 10:06:00 AM</v>
      </c>
      <c r="O23596" t="s">
        <v>71645</v>
      </c>
    </row>
    <row r="23597" spans="1:20" x14ac:dyDescent="0.25">
      <c r="A23597" t="str">
        <f>"3045044"</f>
        <v>3045044</v>
      </c>
      <c r="B23597" t="s">
        <v>71648</v>
      </c>
      <c r="C23597" t="str">
        <f>"8320990"</f>
        <v>8320990</v>
      </c>
      <c r="D23597" t="s">
        <v>71645</v>
      </c>
      <c r="F23597" t="s">
        <v>71646</v>
      </c>
      <c r="I23597" t="s">
        <v>29</v>
      </c>
      <c r="J23597" t="s">
        <v>30</v>
      </c>
      <c r="K23597" t="s">
        <v>71647</v>
      </c>
      <c r="M23597" t="s">
        <v>50500</v>
      </c>
      <c r="N23597" t="str">
        <f>"9/20/2024 10:06:00 AM"</f>
        <v>9/20/2024 10:06:00 AM</v>
      </c>
      <c r="O23597" t="s">
        <v>71645</v>
      </c>
    </row>
    <row r="23598" spans="1:20" x14ac:dyDescent="0.25">
      <c r="A23598" t="str">
        <f>"3039072"</f>
        <v>3039072</v>
      </c>
      <c r="B23598" t="s">
        <v>71649</v>
      </c>
      <c r="C23598" t="str">
        <f>"8322935"</f>
        <v>8322935</v>
      </c>
      <c r="D23598" t="s">
        <v>71650</v>
      </c>
      <c r="F23598" t="s">
        <v>31585</v>
      </c>
      <c r="I23598" t="s">
        <v>49</v>
      </c>
      <c r="J23598" t="s">
        <v>30</v>
      </c>
      <c r="K23598" t="s">
        <v>71651</v>
      </c>
      <c r="M23598" t="s">
        <v>50500</v>
      </c>
      <c r="N23598" t="str">
        <f>"9/20/2024 10:12:00 AM"</f>
        <v>9/20/2024 10:12:00 AM</v>
      </c>
      <c r="O23598" t="s">
        <v>71650</v>
      </c>
    </row>
    <row r="23599" spans="1:20" x14ac:dyDescent="0.25">
      <c r="A23599" t="str">
        <f>"3077667"</f>
        <v>3077667</v>
      </c>
      <c r="B23599" t="s">
        <v>71652</v>
      </c>
      <c r="C23599" t="str">
        <f>"8322935"</f>
        <v>8322935</v>
      </c>
      <c r="D23599" t="s">
        <v>71650</v>
      </c>
      <c r="F23599" t="s">
        <v>31585</v>
      </c>
      <c r="I23599" t="s">
        <v>49</v>
      </c>
      <c r="J23599" t="s">
        <v>30</v>
      </c>
      <c r="K23599" t="s">
        <v>71651</v>
      </c>
      <c r="M23599" t="s">
        <v>50500</v>
      </c>
      <c r="N23599" t="str">
        <f>"9/20/2024 10:12:00 AM"</f>
        <v>9/20/2024 10:12:00 AM</v>
      </c>
      <c r="O23599" t="s">
        <v>71650</v>
      </c>
    </row>
    <row r="23600" spans="1:20" x14ac:dyDescent="0.25">
      <c r="A23600" t="str">
        <f>"3088578"</f>
        <v>3088578</v>
      </c>
      <c r="B23600" t="s">
        <v>71653</v>
      </c>
      <c r="C23600" t="str">
        <f>"8322935"</f>
        <v>8322935</v>
      </c>
      <c r="D23600" t="s">
        <v>71650</v>
      </c>
      <c r="F23600" t="s">
        <v>31585</v>
      </c>
      <c r="I23600" t="s">
        <v>49</v>
      </c>
      <c r="J23600" t="s">
        <v>30</v>
      </c>
      <c r="K23600" t="s">
        <v>71651</v>
      </c>
      <c r="M23600" t="s">
        <v>50500</v>
      </c>
      <c r="N23600" t="str">
        <f>"9/20/2024 10:12:00 AM"</f>
        <v>9/20/2024 10:12:00 AM</v>
      </c>
      <c r="O23600" t="s">
        <v>71650</v>
      </c>
    </row>
    <row r="23601" spans="1:20" x14ac:dyDescent="0.25">
      <c r="A23601" t="str">
        <f>"3062669"</f>
        <v>3062669</v>
      </c>
      <c r="B23601" t="s">
        <v>71654</v>
      </c>
      <c r="C23601" t="str">
        <f>"8322936"</f>
        <v>8322936</v>
      </c>
      <c r="D23601" t="s">
        <v>71655</v>
      </c>
      <c r="E23601" t="s">
        <v>71656</v>
      </c>
      <c r="F23601" t="s">
        <v>71657</v>
      </c>
      <c r="I23601" t="s">
        <v>184</v>
      </c>
      <c r="J23601" t="s">
        <v>30</v>
      </c>
      <c r="K23601" t="s">
        <v>71658</v>
      </c>
      <c r="M23601" t="s">
        <v>50500</v>
      </c>
      <c r="N23601" t="str">
        <f>"9/20/2024 10:20:00 AM"</f>
        <v>9/20/2024 10:20:00 AM</v>
      </c>
      <c r="O23601" t="s">
        <v>71655</v>
      </c>
      <c r="T23601" t="s">
        <v>71656</v>
      </c>
    </row>
    <row r="23602" spans="1:20" x14ac:dyDescent="0.25">
      <c r="A23602" t="str">
        <f>"3078692"</f>
        <v>3078692</v>
      </c>
      <c r="B23602" t="s">
        <v>71659</v>
      </c>
      <c r="C23602" t="str">
        <f>"8322937"</f>
        <v>8322937</v>
      </c>
      <c r="D23602" t="s">
        <v>71660</v>
      </c>
      <c r="E23602" t="s">
        <v>71661</v>
      </c>
      <c r="F23602" t="s">
        <v>71662</v>
      </c>
      <c r="I23602" t="s">
        <v>29</v>
      </c>
      <c r="J23602" t="s">
        <v>30</v>
      </c>
      <c r="K23602" t="s">
        <v>51492</v>
      </c>
      <c r="M23602" t="s">
        <v>50500</v>
      </c>
      <c r="N23602" t="str">
        <f>"9/20/2024 10:29:00 AM"</f>
        <v>9/20/2024 10:29:00 AM</v>
      </c>
      <c r="O23602" t="s">
        <v>71660</v>
      </c>
      <c r="T23602" t="s">
        <v>71661</v>
      </c>
    </row>
    <row r="23603" spans="1:20" x14ac:dyDescent="0.25">
      <c r="A23603" t="str">
        <f>"3062702"</f>
        <v>3062702</v>
      </c>
      <c r="B23603" t="s">
        <v>71663</v>
      </c>
      <c r="C23603" t="str">
        <f t="shared" ref="C23603:C23626" si="356">"8314327"</f>
        <v>8314327</v>
      </c>
      <c r="D23603" t="s">
        <v>71664</v>
      </c>
      <c r="F23603" t="s">
        <v>71665</v>
      </c>
      <c r="I23603" t="s">
        <v>71666</v>
      </c>
      <c r="J23603" t="s">
        <v>1046</v>
      </c>
      <c r="K23603" t="s">
        <v>71667</v>
      </c>
      <c r="M23603" t="s">
        <v>50500</v>
      </c>
      <c r="N23603" t="str">
        <f t="shared" ref="N23603:N23626" si="357">"9/20/2024 10:34:00 AM"</f>
        <v>9/20/2024 10:34:00 AM</v>
      </c>
      <c r="O23603" t="s">
        <v>71664</v>
      </c>
    </row>
    <row r="23604" spans="1:20" x14ac:dyDescent="0.25">
      <c r="A23604" t="str">
        <f>"3062705"</f>
        <v>3062705</v>
      </c>
      <c r="B23604" t="s">
        <v>71668</v>
      </c>
      <c r="C23604" t="str">
        <f t="shared" si="356"/>
        <v>8314327</v>
      </c>
      <c r="D23604" t="s">
        <v>71664</v>
      </c>
      <c r="F23604" t="s">
        <v>71665</v>
      </c>
      <c r="I23604" t="s">
        <v>71666</v>
      </c>
      <c r="J23604" t="s">
        <v>1046</v>
      </c>
      <c r="K23604" t="s">
        <v>71667</v>
      </c>
      <c r="M23604" t="s">
        <v>50500</v>
      </c>
      <c r="N23604" t="str">
        <f t="shared" si="357"/>
        <v>9/20/2024 10:34:00 AM</v>
      </c>
      <c r="O23604" t="s">
        <v>71664</v>
      </c>
    </row>
    <row r="23605" spans="1:20" x14ac:dyDescent="0.25">
      <c r="A23605" t="str">
        <f>"3062706"</f>
        <v>3062706</v>
      </c>
      <c r="B23605" t="s">
        <v>71669</v>
      </c>
      <c r="C23605" t="str">
        <f t="shared" si="356"/>
        <v>8314327</v>
      </c>
      <c r="D23605" t="s">
        <v>71664</v>
      </c>
      <c r="F23605" t="s">
        <v>71665</v>
      </c>
      <c r="I23605" t="s">
        <v>71666</v>
      </c>
      <c r="J23605" t="s">
        <v>1046</v>
      </c>
      <c r="K23605" t="s">
        <v>71667</v>
      </c>
      <c r="M23605" t="s">
        <v>50500</v>
      </c>
      <c r="N23605" t="str">
        <f t="shared" si="357"/>
        <v>9/20/2024 10:34:00 AM</v>
      </c>
      <c r="O23605" t="s">
        <v>71664</v>
      </c>
    </row>
    <row r="23606" spans="1:20" x14ac:dyDescent="0.25">
      <c r="A23606" t="str">
        <f>"3062707"</f>
        <v>3062707</v>
      </c>
      <c r="B23606" t="s">
        <v>71670</v>
      </c>
      <c r="C23606" t="str">
        <f t="shared" si="356"/>
        <v>8314327</v>
      </c>
      <c r="D23606" t="s">
        <v>71664</v>
      </c>
      <c r="F23606" t="s">
        <v>71665</v>
      </c>
      <c r="I23606" t="s">
        <v>71666</v>
      </c>
      <c r="J23606" t="s">
        <v>1046</v>
      </c>
      <c r="K23606" t="s">
        <v>71667</v>
      </c>
      <c r="M23606" t="s">
        <v>50500</v>
      </c>
      <c r="N23606" t="str">
        <f t="shared" si="357"/>
        <v>9/20/2024 10:34:00 AM</v>
      </c>
      <c r="O23606" t="s">
        <v>71664</v>
      </c>
    </row>
    <row r="23607" spans="1:20" x14ac:dyDescent="0.25">
      <c r="A23607" t="str">
        <f>"3062708"</f>
        <v>3062708</v>
      </c>
      <c r="B23607" t="s">
        <v>71671</v>
      </c>
      <c r="C23607" t="str">
        <f t="shared" si="356"/>
        <v>8314327</v>
      </c>
      <c r="D23607" t="s">
        <v>71664</v>
      </c>
      <c r="F23607" t="s">
        <v>71665</v>
      </c>
      <c r="I23607" t="s">
        <v>71666</v>
      </c>
      <c r="J23607" t="s">
        <v>1046</v>
      </c>
      <c r="K23607" t="s">
        <v>71667</v>
      </c>
      <c r="M23607" t="s">
        <v>50500</v>
      </c>
      <c r="N23607" t="str">
        <f t="shared" si="357"/>
        <v>9/20/2024 10:34:00 AM</v>
      </c>
      <c r="O23607" t="s">
        <v>71664</v>
      </c>
    </row>
    <row r="23608" spans="1:20" x14ac:dyDescent="0.25">
      <c r="A23608" t="str">
        <f>"3062709"</f>
        <v>3062709</v>
      </c>
      <c r="B23608" t="s">
        <v>71672</v>
      </c>
      <c r="C23608" t="str">
        <f t="shared" si="356"/>
        <v>8314327</v>
      </c>
      <c r="D23608" t="s">
        <v>71664</v>
      </c>
      <c r="F23608" t="s">
        <v>71665</v>
      </c>
      <c r="I23608" t="s">
        <v>71666</v>
      </c>
      <c r="J23608" t="s">
        <v>1046</v>
      </c>
      <c r="K23608" t="s">
        <v>71667</v>
      </c>
      <c r="M23608" t="s">
        <v>50500</v>
      </c>
      <c r="N23608" t="str">
        <f t="shared" si="357"/>
        <v>9/20/2024 10:34:00 AM</v>
      </c>
      <c r="O23608" t="s">
        <v>71664</v>
      </c>
    </row>
    <row r="23609" spans="1:20" x14ac:dyDescent="0.25">
      <c r="A23609" t="str">
        <f>"3061879"</f>
        <v>3061879</v>
      </c>
      <c r="B23609" t="s">
        <v>71673</v>
      </c>
      <c r="C23609" t="str">
        <f t="shared" si="356"/>
        <v>8314327</v>
      </c>
      <c r="D23609" t="s">
        <v>71664</v>
      </c>
      <c r="F23609" t="s">
        <v>71665</v>
      </c>
      <c r="I23609" t="s">
        <v>71666</v>
      </c>
      <c r="J23609" t="s">
        <v>1046</v>
      </c>
      <c r="K23609" t="s">
        <v>71667</v>
      </c>
      <c r="M23609" t="s">
        <v>50500</v>
      </c>
      <c r="N23609" t="str">
        <f t="shared" si="357"/>
        <v>9/20/2024 10:34:00 AM</v>
      </c>
      <c r="O23609" t="s">
        <v>71664</v>
      </c>
    </row>
    <row r="23610" spans="1:20" x14ac:dyDescent="0.25">
      <c r="A23610" t="str">
        <f>"3061880"</f>
        <v>3061880</v>
      </c>
      <c r="B23610" t="s">
        <v>71674</v>
      </c>
      <c r="C23610" t="str">
        <f t="shared" si="356"/>
        <v>8314327</v>
      </c>
      <c r="D23610" t="s">
        <v>71664</v>
      </c>
      <c r="F23610" t="s">
        <v>71665</v>
      </c>
      <c r="I23610" t="s">
        <v>71666</v>
      </c>
      <c r="J23610" t="s">
        <v>1046</v>
      </c>
      <c r="K23610" t="s">
        <v>71667</v>
      </c>
      <c r="M23610" t="s">
        <v>50500</v>
      </c>
      <c r="N23610" t="str">
        <f t="shared" si="357"/>
        <v>9/20/2024 10:34:00 AM</v>
      </c>
      <c r="O23610" t="s">
        <v>71664</v>
      </c>
    </row>
    <row r="23611" spans="1:20" x14ac:dyDescent="0.25">
      <c r="A23611" t="str">
        <f>"3061881"</f>
        <v>3061881</v>
      </c>
      <c r="B23611" t="s">
        <v>71675</v>
      </c>
      <c r="C23611" t="str">
        <f t="shared" si="356"/>
        <v>8314327</v>
      </c>
      <c r="D23611" t="s">
        <v>71664</v>
      </c>
      <c r="F23611" t="s">
        <v>71665</v>
      </c>
      <c r="I23611" t="s">
        <v>71666</v>
      </c>
      <c r="J23611" t="s">
        <v>1046</v>
      </c>
      <c r="K23611" t="s">
        <v>71667</v>
      </c>
      <c r="M23611" t="s">
        <v>50500</v>
      </c>
      <c r="N23611" t="str">
        <f t="shared" si="357"/>
        <v>9/20/2024 10:34:00 AM</v>
      </c>
      <c r="O23611" t="s">
        <v>71664</v>
      </c>
    </row>
    <row r="23612" spans="1:20" x14ac:dyDescent="0.25">
      <c r="A23612" t="str">
        <f>"3061882"</f>
        <v>3061882</v>
      </c>
      <c r="B23612" t="s">
        <v>71676</v>
      </c>
      <c r="C23612" t="str">
        <f t="shared" si="356"/>
        <v>8314327</v>
      </c>
      <c r="D23612" t="s">
        <v>71664</v>
      </c>
      <c r="F23612" t="s">
        <v>71665</v>
      </c>
      <c r="I23612" t="s">
        <v>71666</v>
      </c>
      <c r="J23612" t="s">
        <v>1046</v>
      </c>
      <c r="K23612" t="s">
        <v>71667</v>
      </c>
      <c r="M23612" t="s">
        <v>50500</v>
      </c>
      <c r="N23612" t="str">
        <f t="shared" si="357"/>
        <v>9/20/2024 10:34:00 AM</v>
      </c>
      <c r="O23612" t="s">
        <v>71664</v>
      </c>
    </row>
    <row r="23613" spans="1:20" x14ac:dyDescent="0.25">
      <c r="A23613" t="str">
        <f>"3061883"</f>
        <v>3061883</v>
      </c>
      <c r="B23613" t="s">
        <v>71677</v>
      </c>
      <c r="C23613" t="str">
        <f t="shared" si="356"/>
        <v>8314327</v>
      </c>
      <c r="D23613" t="s">
        <v>71664</v>
      </c>
      <c r="F23613" t="s">
        <v>71665</v>
      </c>
      <c r="I23613" t="s">
        <v>71666</v>
      </c>
      <c r="J23613" t="s">
        <v>1046</v>
      </c>
      <c r="K23613" t="s">
        <v>71667</v>
      </c>
      <c r="M23613" t="s">
        <v>50500</v>
      </c>
      <c r="N23613" t="str">
        <f t="shared" si="357"/>
        <v>9/20/2024 10:34:00 AM</v>
      </c>
      <c r="O23613" t="s">
        <v>71664</v>
      </c>
    </row>
    <row r="23614" spans="1:20" x14ac:dyDescent="0.25">
      <c r="A23614" t="str">
        <f>"3061902"</f>
        <v>3061902</v>
      </c>
      <c r="B23614" t="s">
        <v>71678</v>
      </c>
      <c r="C23614" t="str">
        <f t="shared" si="356"/>
        <v>8314327</v>
      </c>
      <c r="D23614" t="s">
        <v>71664</v>
      </c>
      <c r="F23614" t="s">
        <v>71665</v>
      </c>
      <c r="I23614" t="s">
        <v>71666</v>
      </c>
      <c r="J23614" t="s">
        <v>1046</v>
      </c>
      <c r="K23614" t="s">
        <v>71667</v>
      </c>
      <c r="M23614" t="s">
        <v>50500</v>
      </c>
      <c r="N23614" t="str">
        <f t="shared" si="357"/>
        <v>9/20/2024 10:34:00 AM</v>
      </c>
      <c r="O23614" t="s">
        <v>71664</v>
      </c>
    </row>
    <row r="23615" spans="1:20" x14ac:dyDescent="0.25">
      <c r="A23615" t="str">
        <f>"3061912"</f>
        <v>3061912</v>
      </c>
      <c r="B23615" t="s">
        <v>71679</v>
      </c>
      <c r="C23615" t="str">
        <f t="shared" si="356"/>
        <v>8314327</v>
      </c>
      <c r="D23615" t="s">
        <v>71664</v>
      </c>
      <c r="F23615" t="s">
        <v>71665</v>
      </c>
      <c r="I23615" t="s">
        <v>71666</v>
      </c>
      <c r="J23615" t="s">
        <v>1046</v>
      </c>
      <c r="K23615" t="s">
        <v>71667</v>
      </c>
      <c r="M23615" t="s">
        <v>50500</v>
      </c>
      <c r="N23615" t="str">
        <f t="shared" si="357"/>
        <v>9/20/2024 10:34:00 AM</v>
      </c>
      <c r="O23615" t="s">
        <v>71664</v>
      </c>
    </row>
    <row r="23616" spans="1:20" x14ac:dyDescent="0.25">
      <c r="A23616" t="str">
        <f>"3061913"</f>
        <v>3061913</v>
      </c>
      <c r="B23616" t="s">
        <v>71680</v>
      </c>
      <c r="C23616" t="str">
        <f t="shared" si="356"/>
        <v>8314327</v>
      </c>
      <c r="D23616" t="s">
        <v>71664</v>
      </c>
      <c r="F23616" t="s">
        <v>71665</v>
      </c>
      <c r="I23616" t="s">
        <v>71666</v>
      </c>
      <c r="J23616" t="s">
        <v>1046</v>
      </c>
      <c r="K23616" t="s">
        <v>71667</v>
      </c>
      <c r="M23616" t="s">
        <v>50500</v>
      </c>
      <c r="N23616" t="str">
        <f t="shared" si="357"/>
        <v>9/20/2024 10:34:00 AM</v>
      </c>
      <c r="O23616" t="s">
        <v>71664</v>
      </c>
    </row>
    <row r="23617" spans="1:20" x14ac:dyDescent="0.25">
      <c r="A23617" t="str">
        <f>"3061903"</f>
        <v>3061903</v>
      </c>
      <c r="B23617" t="s">
        <v>71681</v>
      </c>
      <c r="C23617" t="str">
        <f t="shared" si="356"/>
        <v>8314327</v>
      </c>
      <c r="D23617" t="s">
        <v>71664</v>
      </c>
      <c r="F23617" t="s">
        <v>71665</v>
      </c>
      <c r="I23617" t="s">
        <v>71666</v>
      </c>
      <c r="J23617" t="s">
        <v>1046</v>
      </c>
      <c r="K23617" t="s">
        <v>71667</v>
      </c>
      <c r="M23617" t="s">
        <v>50500</v>
      </c>
      <c r="N23617" t="str">
        <f t="shared" si="357"/>
        <v>9/20/2024 10:34:00 AM</v>
      </c>
      <c r="O23617" t="s">
        <v>71664</v>
      </c>
    </row>
    <row r="23618" spans="1:20" x14ac:dyDescent="0.25">
      <c r="A23618" t="str">
        <f>"3061896"</f>
        <v>3061896</v>
      </c>
      <c r="B23618" t="s">
        <v>71682</v>
      </c>
      <c r="C23618" t="str">
        <f t="shared" si="356"/>
        <v>8314327</v>
      </c>
      <c r="D23618" t="s">
        <v>71664</v>
      </c>
      <c r="F23618" t="s">
        <v>71665</v>
      </c>
      <c r="I23618" t="s">
        <v>71666</v>
      </c>
      <c r="J23618" t="s">
        <v>1046</v>
      </c>
      <c r="K23618" t="s">
        <v>71667</v>
      </c>
      <c r="M23618" t="s">
        <v>50500</v>
      </c>
      <c r="N23618" t="str">
        <f t="shared" si="357"/>
        <v>9/20/2024 10:34:00 AM</v>
      </c>
      <c r="O23618" t="s">
        <v>71664</v>
      </c>
    </row>
    <row r="23619" spans="1:20" x14ac:dyDescent="0.25">
      <c r="A23619" t="str">
        <f>"3061897"</f>
        <v>3061897</v>
      </c>
      <c r="B23619" t="s">
        <v>71683</v>
      </c>
      <c r="C23619" t="str">
        <f t="shared" si="356"/>
        <v>8314327</v>
      </c>
      <c r="D23619" t="s">
        <v>71664</v>
      </c>
      <c r="F23619" t="s">
        <v>71665</v>
      </c>
      <c r="I23619" t="s">
        <v>71666</v>
      </c>
      <c r="J23619" t="s">
        <v>1046</v>
      </c>
      <c r="K23619" t="s">
        <v>71667</v>
      </c>
      <c r="M23619" t="s">
        <v>50500</v>
      </c>
      <c r="N23619" t="str">
        <f t="shared" si="357"/>
        <v>9/20/2024 10:34:00 AM</v>
      </c>
      <c r="O23619" t="s">
        <v>71664</v>
      </c>
    </row>
    <row r="23620" spans="1:20" x14ac:dyDescent="0.25">
      <c r="A23620" t="str">
        <f>"3061898"</f>
        <v>3061898</v>
      </c>
      <c r="B23620" t="s">
        <v>71684</v>
      </c>
      <c r="C23620" t="str">
        <f t="shared" si="356"/>
        <v>8314327</v>
      </c>
      <c r="D23620" t="s">
        <v>71664</v>
      </c>
      <c r="F23620" t="s">
        <v>71665</v>
      </c>
      <c r="I23620" t="s">
        <v>71666</v>
      </c>
      <c r="J23620" t="s">
        <v>1046</v>
      </c>
      <c r="K23620" t="s">
        <v>71667</v>
      </c>
      <c r="M23620" t="s">
        <v>50500</v>
      </c>
      <c r="N23620" t="str">
        <f t="shared" si="357"/>
        <v>9/20/2024 10:34:00 AM</v>
      </c>
      <c r="O23620" t="s">
        <v>71664</v>
      </c>
    </row>
    <row r="23621" spans="1:20" x14ac:dyDescent="0.25">
      <c r="A23621" t="str">
        <f>"3061920"</f>
        <v>3061920</v>
      </c>
      <c r="B23621" t="s">
        <v>71685</v>
      </c>
      <c r="C23621" t="str">
        <f t="shared" si="356"/>
        <v>8314327</v>
      </c>
      <c r="D23621" t="s">
        <v>71664</v>
      </c>
      <c r="F23621" t="s">
        <v>71665</v>
      </c>
      <c r="I23621" t="s">
        <v>71666</v>
      </c>
      <c r="J23621" t="s">
        <v>1046</v>
      </c>
      <c r="K23621" t="s">
        <v>71667</v>
      </c>
      <c r="M23621" t="s">
        <v>50500</v>
      </c>
      <c r="N23621" t="str">
        <f t="shared" si="357"/>
        <v>9/20/2024 10:34:00 AM</v>
      </c>
      <c r="O23621" t="s">
        <v>71664</v>
      </c>
    </row>
    <row r="23622" spans="1:20" x14ac:dyDescent="0.25">
      <c r="A23622" t="str">
        <f>"3061919"</f>
        <v>3061919</v>
      </c>
      <c r="B23622" t="s">
        <v>71686</v>
      </c>
      <c r="C23622" t="str">
        <f t="shared" si="356"/>
        <v>8314327</v>
      </c>
      <c r="D23622" t="s">
        <v>71664</v>
      </c>
      <c r="F23622" t="s">
        <v>71665</v>
      </c>
      <c r="I23622" t="s">
        <v>71666</v>
      </c>
      <c r="J23622" t="s">
        <v>1046</v>
      </c>
      <c r="K23622" t="s">
        <v>71667</v>
      </c>
      <c r="M23622" t="s">
        <v>50500</v>
      </c>
      <c r="N23622" t="str">
        <f t="shared" si="357"/>
        <v>9/20/2024 10:34:00 AM</v>
      </c>
      <c r="O23622" t="s">
        <v>71664</v>
      </c>
    </row>
    <row r="23623" spans="1:20" x14ac:dyDescent="0.25">
      <c r="A23623" t="str">
        <f>"3061915"</f>
        <v>3061915</v>
      </c>
      <c r="B23623" t="s">
        <v>71687</v>
      </c>
      <c r="C23623" t="str">
        <f t="shared" si="356"/>
        <v>8314327</v>
      </c>
      <c r="D23623" t="s">
        <v>71664</v>
      </c>
      <c r="F23623" t="s">
        <v>71665</v>
      </c>
      <c r="I23623" t="s">
        <v>71666</v>
      </c>
      <c r="J23623" t="s">
        <v>1046</v>
      </c>
      <c r="K23623" t="s">
        <v>71667</v>
      </c>
      <c r="M23623" t="s">
        <v>50500</v>
      </c>
      <c r="N23623" t="str">
        <f t="shared" si="357"/>
        <v>9/20/2024 10:34:00 AM</v>
      </c>
      <c r="O23623" t="s">
        <v>71664</v>
      </c>
    </row>
    <row r="23624" spans="1:20" x14ac:dyDescent="0.25">
      <c r="A23624" t="str">
        <f>"3058343"</f>
        <v>3058343</v>
      </c>
      <c r="B23624" t="s">
        <v>71688</v>
      </c>
      <c r="C23624" t="str">
        <f t="shared" si="356"/>
        <v>8314327</v>
      </c>
      <c r="D23624" t="s">
        <v>71664</v>
      </c>
      <c r="F23624" t="s">
        <v>71665</v>
      </c>
      <c r="I23624" t="s">
        <v>71666</v>
      </c>
      <c r="J23624" t="s">
        <v>1046</v>
      </c>
      <c r="K23624" t="s">
        <v>71667</v>
      </c>
      <c r="M23624" t="s">
        <v>50500</v>
      </c>
      <c r="N23624" t="str">
        <f t="shared" si="357"/>
        <v>9/20/2024 10:34:00 AM</v>
      </c>
      <c r="O23624" t="s">
        <v>71664</v>
      </c>
    </row>
    <row r="23625" spans="1:20" x14ac:dyDescent="0.25">
      <c r="A23625" t="str">
        <f>"3042319"</f>
        <v>3042319</v>
      </c>
      <c r="B23625" t="s">
        <v>71689</v>
      </c>
      <c r="C23625" t="str">
        <f t="shared" si="356"/>
        <v>8314327</v>
      </c>
      <c r="D23625" t="s">
        <v>71664</v>
      </c>
      <c r="F23625" t="s">
        <v>71665</v>
      </c>
      <c r="I23625" t="s">
        <v>71666</v>
      </c>
      <c r="J23625" t="s">
        <v>1046</v>
      </c>
      <c r="K23625" t="s">
        <v>71667</v>
      </c>
      <c r="M23625" t="s">
        <v>50500</v>
      </c>
      <c r="N23625" t="str">
        <f t="shared" si="357"/>
        <v>9/20/2024 10:34:00 AM</v>
      </c>
      <c r="O23625" t="s">
        <v>71664</v>
      </c>
    </row>
    <row r="23626" spans="1:20" x14ac:dyDescent="0.25">
      <c r="A23626" t="str">
        <f>"3057438"</f>
        <v>3057438</v>
      </c>
      <c r="B23626" t="s">
        <v>71690</v>
      </c>
      <c r="C23626" t="str">
        <f t="shared" si="356"/>
        <v>8314327</v>
      </c>
      <c r="D23626" t="s">
        <v>71664</v>
      </c>
      <c r="F23626" t="s">
        <v>71665</v>
      </c>
      <c r="I23626" t="s">
        <v>71666</v>
      </c>
      <c r="J23626" t="s">
        <v>1046</v>
      </c>
      <c r="K23626" t="s">
        <v>71667</v>
      </c>
      <c r="M23626" t="s">
        <v>50500</v>
      </c>
      <c r="N23626" t="str">
        <f t="shared" si="357"/>
        <v>9/20/2024 10:34:00 AM</v>
      </c>
      <c r="O23626" t="s">
        <v>71664</v>
      </c>
    </row>
    <row r="23627" spans="1:20" x14ac:dyDescent="0.25">
      <c r="A23627" t="str">
        <f>"3051788"</f>
        <v>3051788</v>
      </c>
      <c r="B23627" t="s">
        <v>71691</v>
      </c>
      <c r="C23627" t="str">
        <f>"8313252"</f>
        <v>8313252</v>
      </c>
      <c r="D23627" t="s">
        <v>71692</v>
      </c>
      <c r="E23627" t="s">
        <v>71693</v>
      </c>
      <c r="F23627" t="s">
        <v>71694</v>
      </c>
      <c r="G23627" t="s">
        <v>71695</v>
      </c>
      <c r="I23627" t="s">
        <v>17510</v>
      </c>
      <c r="J23627" t="s">
        <v>17511</v>
      </c>
      <c r="K23627" t="str">
        <f>"85054"</f>
        <v>85054</v>
      </c>
      <c r="M23627" t="s">
        <v>50793</v>
      </c>
      <c r="N23627" t="str">
        <f>"9/20/2024 10:38:00 AM"</f>
        <v>9/20/2024 10:38:00 AM</v>
      </c>
      <c r="O23627" t="s">
        <v>71692</v>
      </c>
      <c r="T23627" t="s">
        <v>71693</v>
      </c>
    </row>
    <row r="23628" spans="1:20" x14ac:dyDescent="0.25">
      <c r="A23628" t="str">
        <f>"3057707"</f>
        <v>3057707</v>
      </c>
      <c r="B23628" t="s">
        <v>71696</v>
      </c>
      <c r="C23628" t="str">
        <f>"8316639"</f>
        <v>8316639</v>
      </c>
      <c r="D23628" t="s">
        <v>71697</v>
      </c>
      <c r="E23628" t="s">
        <v>50763</v>
      </c>
      <c r="F23628" t="s">
        <v>52051</v>
      </c>
      <c r="I23628" t="s">
        <v>29</v>
      </c>
      <c r="J23628" t="s">
        <v>30</v>
      </c>
      <c r="K23628" t="s">
        <v>15867</v>
      </c>
      <c r="M23628" t="s">
        <v>50500</v>
      </c>
      <c r="N23628" t="str">
        <f>"9/20/2024 10:43:00 AM"</f>
        <v>9/20/2024 10:43:00 AM</v>
      </c>
      <c r="O23628" t="s">
        <v>71697</v>
      </c>
      <c r="T23628" t="s">
        <v>50763</v>
      </c>
    </row>
    <row r="23629" spans="1:20" x14ac:dyDescent="0.25">
      <c r="A23629" t="str">
        <f>"3059773"</f>
        <v>3059773</v>
      </c>
      <c r="B23629" t="s">
        <v>71698</v>
      </c>
      <c r="C23629" t="str">
        <f>"8316639"</f>
        <v>8316639</v>
      </c>
      <c r="D23629" t="s">
        <v>71697</v>
      </c>
      <c r="E23629" t="s">
        <v>50763</v>
      </c>
      <c r="F23629" t="s">
        <v>52051</v>
      </c>
      <c r="I23629" t="s">
        <v>29</v>
      </c>
      <c r="J23629" t="s">
        <v>30</v>
      </c>
      <c r="K23629" t="s">
        <v>15867</v>
      </c>
      <c r="M23629" t="s">
        <v>50500</v>
      </c>
      <c r="N23629" t="str">
        <f>"9/20/2024 10:43:00 AM"</f>
        <v>9/20/2024 10:43:00 AM</v>
      </c>
      <c r="O23629" t="s">
        <v>71697</v>
      </c>
      <c r="T23629" t="s">
        <v>50763</v>
      </c>
    </row>
    <row r="23630" spans="1:20" x14ac:dyDescent="0.25">
      <c r="A23630" t="str">
        <f>"3058554"</f>
        <v>3058554</v>
      </c>
      <c r="B23630" t="s">
        <v>71699</v>
      </c>
      <c r="C23630" t="str">
        <f>"82519216"</f>
        <v>82519216</v>
      </c>
      <c r="D23630" t="s">
        <v>71700</v>
      </c>
      <c r="E23630" t="s">
        <v>71701</v>
      </c>
      <c r="F23630" t="s">
        <v>71702</v>
      </c>
      <c r="I23630" t="s">
        <v>29</v>
      </c>
      <c r="J23630" t="s">
        <v>30</v>
      </c>
      <c r="K23630" t="s">
        <v>16560</v>
      </c>
      <c r="M23630" t="s">
        <v>50500</v>
      </c>
      <c r="N23630" t="str">
        <f>"9/20/2024 10:58:00 AM"</f>
        <v>9/20/2024 10:58:00 AM</v>
      </c>
      <c r="O23630" t="s">
        <v>71700</v>
      </c>
      <c r="T23630" t="s">
        <v>71701</v>
      </c>
    </row>
    <row r="23631" spans="1:20" x14ac:dyDescent="0.25">
      <c r="A23631" t="str">
        <f>"3056788"</f>
        <v>3056788</v>
      </c>
      <c r="B23631" t="s">
        <v>71703</v>
      </c>
      <c r="C23631" t="str">
        <f>"82519216"</f>
        <v>82519216</v>
      </c>
      <c r="D23631" t="s">
        <v>71700</v>
      </c>
      <c r="E23631" t="s">
        <v>71701</v>
      </c>
      <c r="F23631" t="s">
        <v>71702</v>
      </c>
      <c r="I23631" t="s">
        <v>29</v>
      </c>
      <c r="J23631" t="s">
        <v>30</v>
      </c>
      <c r="K23631" t="s">
        <v>16560</v>
      </c>
      <c r="M23631" t="s">
        <v>50500</v>
      </c>
      <c r="N23631" t="str">
        <f>"9/20/2024 10:58:00 AM"</f>
        <v>9/20/2024 10:58:00 AM</v>
      </c>
      <c r="O23631" t="s">
        <v>71700</v>
      </c>
      <c r="T23631" t="s">
        <v>71701</v>
      </c>
    </row>
    <row r="23632" spans="1:20" x14ac:dyDescent="0.25">
      <c r="A23632" t="str">
        <f>"3052003"</f>
        <v>3052003</v>
      </c>
      <c r="B23632" t="s">
        <v>71704</v>
      </c>
      <c r="C23632" t="str">
        <f>"82519216"</f>
        <v>82519216</v>
      </c>
      <c r="D23632" t="s">
        <v>71700</v>
      </c>
      <c r="E23632" t="s">
        <v>71701</v>
      </c>
      <c r="F23632" t="s">
        <v>71702</v>
      </c>
      <c r="I23632" t="s">
        <v>29</v>
      </c>
      <c r="J23632" t="s">
        <v>30</v>
      </c>
      <c r="K23632" t="s">
        <v>16560</v>
      </c>
      <c r="M23632" t="s">
        <v>50500</v>
      </c>
      <c r="N23632" t="str">
        <f>"9/20/2024 10:58:00 AM"</f>
        <v>9/20/2024 10:58:00 AM</v>
      </c>
      <c r="O23632" t="s">
        <v>71700</v>
      </c>
      <c r="T23632" t="s">
        <v>71701</v>
      </c>
    </row>
    <row r="23633" spans="1:20" x14ac:dyDescent="0.25">
      <c r="A23633" t="str">
        <f>"3048773"</f>
        <v>3048773</v>
      </c>
      <c r="B23633" t="s">
        <v>71705</v>
      </c>
      <c r="C23633" t="str">
        <f>"82519216"</f>
        <v>82519216</v>
      </c>
      <c r="D23633" t="s">
        <v>71700</v>
      </c>
      <c r="E23633" t="s">
        <v>71701</v>
      </c>
      <c r="F23633" t="s">
        <v>71702</v>
      </c>
      <c r="I23633" t="s">
        <v>29</v>
      </c>
      <c r="J23633" t="s">
        <v>30</v>
      </c>
      <c r="K23633" t="s">
        <v>16560</v>
      </c>
      <c r="M23633" t="s">
        <v>50500</v>
      </c>
      <c r="N23633" t="str">
        <f>"9/20/2024 10:58:00 AM"</f>
        <v>9/20/2024 10:58:00 AM</v>
      </c>
      <c r="O23633" t="s">
        <v>71700</v>
      </c>
      <c r="T23633" t="s">
        <v>71701</v>
      </c>
    </row>
    <row r="23634" spans="1:20" x14ac:dyDescent="0.25">
      <c r="A23634" t="str">
        <f>"3045773"</f>
        <v>3045773</v>
      </c>
      <c r="B23634" t="s">
        <v>71706</v>
      </c>
      <c r="C23634" t="str">
        <f>"8322939"</f>
        <v>8322939</v>
      </c>
      <c r="D23634" t="s">
        <v>71707</v>
      </c>
      <c r="E23634" t="s">
        <v>71708</v>
      </c>
      <c r="F23634" t="s">
        <v>62349</v>
      </c>
      <c r="I23634" t="s">
        <v>29</v>
      </c>
      <c r="J23634" t="s">
        <v>30</v>
      </c>
      <c r="K23634" t="s">
        <v>25108</v>
      </c>
      <c r="M23634" t="s">
        <v>50500</v>
      </c>
      <c r="N23634" t="str">
        <f>"9/20/2024 1:06:00 PM"</f>
        <v>9/20/2024 1:06:00 PM</v>
      </c>
      <c r="O23634" t="s">
        <v>71707</v>
      </c>
      <c r="T23634" t="s">
        <v>71708</v>
      </c>
    </row>
    <row r="23635" spans="1:20" x14ac:dyDescent="0.25">
      <c r="A23635" t="str">
        <f>"3051570"</f>
        <v>3051570</v>
      </c>
      <c r="B23635" t="s">
        <v>71709</v>
      </c>
      <c r="C23635" t="str">
        <f t="shared" ref="C23635:C23641" si="358">"73661000"</f>
        <v>73661000</v>
      </c>
      <c r="D23635" t="s">
        <v>71710</v>
      </c>
      <c r="E23635" t="s">
        <v>71711</v>
      </c>
      <c r="F23635" t="s">
        <v>71712</v>
      </c>
      <c r="I23635" t="s">
        <v>29</v>
      </c>
      <c r="J23635" t="s">
        <v>30</v>
      </c>
      <c r="K23635" t="s">
        <v>12882</v>
      </c>
      <c r="M23635" t="s">
        <v>25625</v>
      </c>
      <c r="N23635" t="str">
        <f t="shared" ref="N23635:N23641" si="359">"9/23/2024 1:17:00 PM"</f>
        <v>9/23/2024 1:17:00 PM</v>
      </c>
      <c r="O23635" t="s">
        <v>71710</v>
      </c>
      <c r="T23635" t="s">
        <v>71711</v>
      </c>
    </row>
    <row r="23636" spans="1:20" x14ac:dyDescent="0.25">
      <c r="A23636" t="str">
        <f>"3051182"</f>
        <v>3051182</v>
      </c>
      <c r="B23636" t="s">
        <v>71713</v>
      </c>
      <c r="C23636" t="str">
        <f t="shared" si="358"/>
        <v>73661000</v>
      </c>
      <c r="D23636" t="s">
        <v>71710</v>
      </c>
      <c r="E23636" t="s">
        <v>71711</v>
      </c>
      <c r="F23636" t="s">
        <v>71712</v>
      </c>
      <c r="I23636" t="s">
        <v>29</v>
      </c>
      <c r="J23636" t="s">
        <v>30</v>
      </c>
      <c r="K23636" t="s">
        <v>12882</v>
      </c>
      <c r="M23636" t="s">
        <v>25625</v>
      </c>
      <c r="N23636" t="str">
        <f t="shared" si="359"/>
        <v>9/23/2024 1:17:00 PM</v>
      </c>
      <c r="O23636" t="s">
        <v>71710</v>
      </c>
      <c r="T23636" t="s">
        <v>71711</v>
      </c>
    </row>
    <row r="23637" spans="1:20" x14ac:dyDescent="0.25">
      <c r="A23637" t="str">
        <f>"3051167"</f>
        <v>3051167</v>
      </c>
      <c r="B23637" t="s">
        <v>71714</v>
      </c>
      <c r="C23637" t="str">
        <f t="shared" si="358"/>
        <v>73661000</v>
      </c>
      <c r="D23637" t="s">
        <v>71710</v>
      </c>
      <c r="E23637" t="s">
        <v>71711</v>
      </c>
      <c r="F23637" t="s">
        <v>71712</v>
      </c>
      <c r="I23637" t="s">
        <v>29</v>
      </c>
      <c r="J23637" t="s">
        <v>30</v>
      </c>
      <c r="K23637" t="s">
        <v>12882</v>
      </c>
      <c r="M23637" t="s">
        <v>25625</v>
      </c>
      <c r="N23637" t="str">
        <f t="shared" si="359"/>
        <v>9/23/2024 1:17:00 PM</v>
      </c>
      <c r="O23637" t="s">
        <v>71710</v>
      </c>
      <c r="T23637" t="s">
        <v>71711</v>
      </c>
    </row>
    <row r="23638" spans="1:20" x14ac:dyDescent="0.25">
      <c r="A23638" t="str">
        <f>"3051168"</f>
        <v>3051168</v>
      </c>
      <c r="B23638" t="s">
        <v>71715</v>
      </c>
      <c r="C23638" t="str">
        <f t="shared" si="358"/>
        <v>73661000</v>
      </c>
      <c r="D23638" t="s">
        <v>71710</v>
      </c>
      <c r="E23638" t="s">
        <v>71711</v>
      </c>
      <c r="F23638" t="s">
        <v>71712</v>
      </c>
      <c r="I23638" t="s">
        <v>29</v>
      </c>
      <c r="J23638" t="s">
        <v>30</v>
      </c>
      <c r="K23638" t="s">
        <v>12882</v>
      </c>
      <c r="M23638" t="s">
        <v>25625</v>
      </c>
      <c r="N23638" t="str">
        <f t="shared" si="359"/>
        <v>9/23/2024 1:17:00 PM</v>
      </c>
      <c r="O23638" t="s">
        <v>71710</v>
      </c>
      <c r="T23638" t="s">
        <v>71711</v>
      </c>
    </row>
    <row r="23639" spans="1:20" x14ac:dyDescent="0.25">
      <c r="A23639" t="str">
        <f>"3051169"</f>
        <v>3051169</v>
      </c>
      <c r="B23639" t="s">
        <v>71716</v>
      </c>
      <c r="C23639" t="str">
        <f t="shared" si="358"/>
        <v>73661000</v>
      </c>
      <c r="D23639" t="s">
        <v>71710</v>
      </c>
      <c r="E23639" t="s">
        <v>71711</v>
      </c>
      <c r="F23639" t="s">
        <v>71712</v>
      </c>
      <c r="I23639" t="s">
        <v>29</v>
      </c>
      <c r="J23639" t="s">
        <v>30</v>
      </c>
      <c r="K23639" t="s">
        <v>12882</v>
      </c>
      <c r="M23639" t="s">
        <v>25625</v>
      </c>
      <c r="N23639" t="str">
        <f t="shared" si="359"/>
        <v>9/23/2024 1:17:00 PM</v>
      </c>
      <c r="O23639" t="s">
        <v>71710</v>
      </c>
      <c r="T23639" t="s">
        <v>71711</v>
      </c>
    </row>
    <row r="23640" spans="1:20" x14ac:dyDescent="0.25">
      <c r="A23640" t="str">
        <f>"3078393"</f>
        <v>3078393</v>
      </c>
      <c r="B23640" t="s">
        <v>71717</v>
      </c>
      <c r="C23640" t="str">
        <f t="shared" si="358"/>
        <v>73661000</v>
      </c>
      <c r="D23640" t="s">
        <v>71710</v>
      </c>
      <c r="E23640" t="s">
        <v>71711</v>
      </c>
      <c r="F23640" t="s">
        <v>71712</v>
      </c>
      <c r="I23640" t="s">
        <v>29</v>
      </c>
      <c r="J23640" t="s">
        <v>30</v>
      </c>
      <c r="K23640" t="s">
        <v>12882</v>
      </c>
      <c r="M23640" t="s">
        <v>25625</v>
      </c>
      <c r="N23640" t="str">
        <f t="shared" si="359"/>
        <v>9/23/2024 1:17:00 PM</v>
      </c>
      <c r="O23640" t="s">
        <v>71710</v>
      </c>
      <c r="T23640" t="s">
        <v>71711</v>
      </c>
    </row>
    <row r="23641" spans="1:20" x14ac:dyDescent="0.25">
      <c r="A23641" t="str">
        <f>"3078392"</f>
        <v>3078392</v>
      </c>
      <c r="B23641" t="s">
        <v>71718</v>
      </c>
      <c r="C23641" t="str">
        <f t="shared" si="358"/>
        <v>73661000</v>
      </c>
      <c r="D23641" t="s">
        <v>71710</v>
      </c>
      <c r="E23641" t="s">
        <v>71711</v>
      </c>
      <c r="F23641" t="s">
        <v>71712</v>
      </c>
      <c r="I23641" t="s">
        <v>29</v>
      </c>
      <c r="J23641" t="s">
        <v>30</v>
      </c>
      <c r="K23641" t="s">
        <v>12882</v>
      </c>
      <c r="M23641" t="s">
        <v>25625</v>
      </c>
      <c r="N23641" t="str">
        <f t="shared" si="359"/>
        <v>9/23/2024 1:17:00 PM</v>
      </c>
      <c r="O23641" t="s">
        <v>71710</v>
      </c>
      <c r="T23641" t="s">
        <v>71711</v>
      </c>
    </row>
    <row r="23642" spans="1:20" x14ac:dyDescent="0.25">
      <c r="A23642" t="str">
        <f>"3078616"</f>
        <v>3078616</v>
      </c>
      <c r="B23642" t="s">
        <v>71719</v>
      </c>
      <c r="C23642" t="str">
        <f>"8322944"</f>
        <v>8322944</v>
      </c>
      <c r="D23642" t="s">
        <v>71720</v>
      </c>
      <c r="E23642" t="s">
        <v>71721</v>
      </c>
      <c r="F23642" t="s">
        <v>71722</v>
      </c>
      <c r="I23642" t="s">
        <v>9345</v>
      </c>
      <c r="J23642" t="s">
        <v>30</v>
      </c>
      <c r="K23642" t="s">
        <v>71723</v>
      </c>
      <c r="M23642" t="s">
        <v>32801</v>
      </c>
      <c r="N23642" t="str">
        <f>"9/25/2024 10:28:00 AM"</f>
        <v>9/25/2024 10:28:00 AM</v>
      </c>
      <c r="O23642" t="s">
        <v>71720</v>
      </c>
      <c r="T23642" t="s">
        <v>71721</v>
      </c>
    </row>
    <row r="23643" spans="1:20" x14ac:dyDescent="0.25">
      <c r="A23643" t="str">
        <f>"3056402"</f>
        <v>3056402</v>
      </c>
      <c r="B23643" t="s">
        <v>71724</v>
      </c>
      <c r="C23643" t="str">
        <f>"82527828"</f>
        <v>82527828</v>
      </c>
      <c r="D23643" t="s">
        <v>71725</v>
      </c>
      <c r="F23643" t="s">
        <v>71726</v>
      </c>
      <c r="I23643" t="s">
        <v>29</v>
      </c>
      <c r="J23643" t="s">
        <v>30</v>
      </c>
      <c r="K23643" t="s">
        <v>64964</v>
      </c>
      <c r="M23643" t="s">
        <v>52111</v>
      </c>
      <c r="N23643" t="str">
        <f>"9/25/2024 10:44:00 AM"</f>
        <v>9/25/2024 10:44:00 AM</v>
      </c>
      <c r="O23643" t="s">
        <v>71725</v>
      </c>
    </row>
    <row r="23644" spans="1:20" x14ac:dyDescent="0.25">
      <c r="A23644" t="str">
        <f>"3056315"</f>
        <v>3056315</v>
      </c>
      <c r="B23644" t="s">
        <v>71727</v>
      </c>
      <c r="C23644" t="str">
        <f>"82527828"</f>
        <v>82527828</v>
      </c>
      <c r="D23644" t="s">
        <v>71725</v>
      </c>
      <c r="F23644" t="s">
        <v>71726</v>
      </c>
      <c r="I23644" t="s">
        <v>29</v>
      </c>
      <c r="J23644" t="s">
        <v>30</v>
      </c>
      <c r="K23644" t="s">
        <v>64964</v>
      </c>
      <c r="M23644" t="s">
        <v>52111</v>
      </c>
      <c r="N23644" t="str">
        <f>"9/25/2024 10:44:00 AM"</f>
        <v>9/25/2024 10:44:00 AM</v>
      </c>
      <c r="O23644" t="s">
        <v>71725</v>
      </c>
    </row>
    <row r="23645" spans="1:20" x14ac:dyDescent="0.25">
      <c r="A23645" t="str">
        <f>"3078477"</f>
        <v>3078477</v>
      </c>
      <c r="B23645" t="s">
        <v>71728</v>
      </c>
      <c r="C23645" t="str">
        <f>"8322951"</f>
        <v>8322951</v>
      </c>
      <c r="D23645" t="s">
        <v>71729</v>
      </c>
      <c r="F23645" t="s">
        <v>71730</v>
      </c>
      <c r="I23645" t="s">
        <v>71731</v>
      </c>
      <c r="J23645" t="s">
        <v>30197</v>
      </c>
      <c r="K23645" t="s">
        <v>71732</v>
      </c>
      <c r="M23645" t="s">
        <v>50500</v>
      </c>
      <c r="N23645" t="str">
        <f>"9/26/2024 10:15:00 AM"</f>
        <v>9/26/2024 10:15:00 AM</v>
      </c>
      <c r="O23645" t="s">
        <v>71729</v>
      </c>
    </row>
    <row r="23646" spans="1:20" x14ac:dyDescent="0.25">
      <c r="A23646" t="str">
        <f>"3058827"</f>
        <v>3058827</v>
      </c>
      <c r="B23646" t="s">
        <v>71733</v>
      </c>
      <c r="C23646" t="str">
        <f>"8322952"</f>
        <v>8322952</v>
      </c>
      <c r="D23646" t="s">
        <v>71734</v>
      </c>
      <c r="E23646" t="s">
        <v>71735</v>
      </c>
      <c r="F23646" t="s">
        <v>71736</v>
      </c>
      <c r="I23646" t="s">
        <v>29</v>
      </c>
      <c r="J23646" t="s">
        <v>30</v>
      </c>
      <c r="K23646" t="s">
        <v>41630</v>
      </c>
      <c r="M23646" t="s">
        <v>50500</v>
      </c>
      <c r="N23646" t="str">
        <f>"9/26/2024 11:30:00 AM"</f>
        <v>9/26/2024 11:30:00 AM</v>
      </c>
      <c r="O23646" t="s">
        <v>71734</v>
      </c>
      <c r="T23646" t="s">
        <v>71735</v>
      </c>
    </row>
    <row r="23647" spans="1:20" x14ac:dyDescent="0.25">
      <c r="A23647" t="str">
        <f>"3053120"</f>
        <v>3053120</v>
      </c>
      <c r="B23647" t="s">
        <v>71737</v>
      </c>
      <c r="C23647" t="str">
        <f>"8322954"</f>
        <v>8322954</v>
      </c>
      <c r="D23647" t="s">
        <v>44463</v>
      </c>
      <c r="F23647" t="s">
        <v>71738</v>
      </c>
      <c r="I23647" t="s">
        <v>29</v>
      </c>
      <c r="J23647" t="s">
        <v>30</v>
      </c>
      <c r="K23647" t="s">
        <v>13347</v>
      </c>
      <c r="M23647" t="s">
        <v>50500</v>
      </c>
      <c r="N23647" t="str">
        <f>"9/26/2024 2:56:00 PM"</f>
        <v>9/26/2024 2:56:00 PM</v>
      </c>
      <c r="O23647" t="s">
        <v>44463</v>
      </c>
    </row>
    <row r="23648" spans="1:20" x14ac:dyDescent="0.25">
      <c r="A23648" t="str">
        <f>"3055654"</f>
        <v>3055654</v>
      </c>
      <c r="B23648" t="s">
        <v>71739</v>
      </c>
      <c r="C23648" t="str">
        <f>"8322955"</f>
        <v>8322955</v>
      </c>
      <c r="D23648" t="s">
        <v>71740</v>
      </c>
      <c r="F23648" t="s">
        <v>71741</v>
      </c>
      <c r="I23648" t="s">
        <v>29</v>
      </c>
      <c r="J23648" t="s">
        <v>30</v>
      </c>
      <c r="K23648" t="s">
        <v>42324</v>
      </c>
      <c r="M23648" t="s">
        <v>50500</v>
      </c>
      <c r="N23648" t="str">
        <f>"9/26/2024 3:04:00 PM"</f>
        <v>9/26/2024 3:04:00 PM</v>
      </c>
      <c r="O23648" t="s">
        <v>71740</v>
      </c>
    </row>
    <row r="23649" spans="1:20" x14ac:dyDescent="0.25">
      <c r="A23649" t="str">
        <f>"3051810"</f>
        <v>3051810</v>
      </c>
      <c r="B23649" t="s">
        <v>71742</v>
      </c>
      <c r="C23649" t="str">
        <f>"8322956"</f>
        <v>8322956</v>
      </c>
      <c r="D23649" t="s">
        <v>37498</v>
      </c>
      <c r="E23649" t="s">
        <v>71743</v>
      </c>
      <c r="F23649" t="s">
        <v>57395</v>
      </c>
      <c r="I23649" t="s">
        <v>29</v>
      </c>
      <c r="J23649" t="s">
        <v>30</v>
      </c>
      <c r="K23649" t="s">
        <v>46172</v>
      </c>
      <c r="M23649" t="s">
        <v>50500</v>
      </c>
      <c r="N23649" t="str">
        <f>"9/26/2024 3:51:00 PM"</f>
        <v>9/26/2024 3:51:00 PM</v>
      </c>
      <c r="O23649" t="s">
        <v>37498</v>
      </c>
      <c r="T23649" t="s">
        <v>71743</v>
      </c>
    </row>
    <row r="23650" spans="1:20" x14ac:dyDescent="0.25">
      <c r="A23650" t="str">
        <f>"3078824"</f>
        <v>3078824</v>
      </c>
      <c r="B23650" t="s">
        <v>71744</v>
      </c>
      <c r="C23650" t="str">
        <f>"8322957"</f>
        <v>8322957</v>
      </c>
      <c r="D23650" t="s">
        <v>71745</v>
      </c>
      <c r="F23650" t="s">
        <v>71746</v>
      </c>
      <c r="I23650" t="s">
        <v>29</v>
      </c>
      <c r="J23650" t="s">
        <v>30</v>
      </c>
      <c r="K23650" t="s">
        <v>26329</v>
      </c>
      <c r="M23650" t="s">
        <v>50500</v>
      </c>
      <c r="N23650" t="str">
        <f>"9/26/2024 4:06:00 PM"</f>
        <v>9/26/2024 4:06:00 PM</v>
      </c>
      <c r="O23650" t="s">
        <v>71745</v>
      </c>
    </row>
    <row r="23651" spans="1:20" x14ac:dyDescent="0.25">
      <c r="A23651" t="str">
        <f>"3061966"</f>
        <v>3061966</v>
      </c>
      <c r="B23651" t="s">
        <v>71747</v>
      </c>
      <c r="C23651" t="str">
        <f>"19248750"</f>
        <v>19248750</v>
      </c>
      <c r="D23651" t="s">
        <v>71748</v>
      </c>
      <c r="E23651" t="s">
        <v>71749</v>
      </c>
      <c r="F23651" t="s">
        <v>71750</v>
      </c>
      <c r="I23651" t="s">
        <v>71751</v>
      </c>
      <c r="J23651" t="s">
        <v>30197</v>
      </c>
      <c r="K23651" t="s">
        <v>71752</v>
      </c>
      <c r="M23651" t="s">
        <v>50621</v>
      </c>
      <c r="N23651" t="str">
        <f>"9/30/2024 10:07:00 AM"</f>
        <v>9/30/2024 10:07:00 AM</v>
      </c>
      <c r="O23651" t="s">
        <v>71748</v>
      </c>
      <c r="T23651" t="s">
        <v>71749</v>
      </c>
    </row>
    <row r="23652" spans="1:20" x14ac:dyDescent="0.25">
      <c r="A23652" t="str">
        <f>"3043813"</f>
        <v>3043813</v>
      </c>
      <c r="B23652" t="s">
        <v>71753</v>
      </c>
      <c r="C23652" t="str">
        <f>"8317781"</f>
        <v>8317781</v>
      </c>
      <c r="D23652" t="s">
        <v>71754</v>
      </c>
      <c r="F23652" t="s">
        <v>71755</v>
      </c>
      <c r="I23652" t="s">
        <v>29</v>
      </c>
      <c r="J23652" t="s">
        <v>30</v>
      </c>
      <c r="K23652" t="str">
        <f>"27028"</f>
        <v>27028</v>
      </c>
      <c r="M23652" t="s">
        <v>70991</v>
      </c>
      <c r="N23652" t="str">
        <f>"9/30/2024 1:20:00 PM"</f>
        <v>9/30/2024 1:20:00 PM</v>
      </c>
      <c r="O23652" t="s">
        <v>71754</v>
      </c>
    </row>
    <row r="23653" spans="1:20" x14ac:dyDescent="0.25">
      <c r="A23653" t="str">
        <f>"3059403"</f>
        <v>3059403</v>
      </c>
      <c r="B23653" t="s">
        <v>71756</v>
      </c>
      <c r="C23653" t="str">
        <f>"8307150"</f>
        <v>8307150</v>
      </c>
      <c r="D23653" t="s">
        <v>71757</v>
      </c>
      <c r="E23653" t="s">
        <v>71758</v>
      </c>
      <c r="F23653" t="s">
        <v>71759</v>
      </c>
      <c r="I23653" t="s">
        <v>29</v>
      </c>
      <c r="J23653" t="s">
        <v>30</v>
      </c>
      <c r="K23653" t="s">
        <v>71760</v>
      </c>
      <c r="M23653" t="s">
        <v>51351</v>
      </c>
      <c r="N23653" t="str">
        <f>"9/30/2024 3:18:00 PM"</f>
        <v>9/30/2024 3:18:00 PM</v>
      </c>
      <c r="O23653" t="s">
        <v>71757</v>
      </c>
      <c r="T23653" t="s">
        <v>71758</v>
      </c>
    </row>
    <row r="23654" spans="1:20" x14ac:dyDescent="0.25">
      <c r="A23654" t="str">
        <f>"3059405"</f>
        <v>3059405</v>
      </c>
      <c r="B23654" t="s">
        <v>71761</v>
      </c>
      <c r="C23654" t="str">
        <f>"82532250"</f>
        <v>82532250</v>
      </c>
      <c r="D23654" t="s">
        <v>71762</v>
      </c>
      <c r="E23654" t="s">
        <v>71758</v>
      </c>
      <c r="F23654" t="s">
        <v>71759</v>
      </c>
      <c r="I23654" t="s">
        <v>29</v>
      </c>
      <c r="J23654" t="s">
        <v>30</v>
      </c>
      <c r="K23654" t="s">
        <v>31</v>
      </c>
      <c r="M23654" t="s">
        <v>51351</v>
      </c>
      <c r="N23654" t="str">
        <f>"9/30/2024 3:19:00 PM"</f>
        <v>9/30/2024 3:19:00 PM</v>
      </c>
      <c r="O23654" t="s">
        <v>71762</v>
      </c>
      <c r="T23654" t="s">
        <v>71758</v>
      </c>
    </row>
    <row r="23655" spans="1:20" x14ac:dyDescent="0.25">
      <c r="A23655" t="str">
        <f>"3063498"</f>
        <v>3063498</v>
      </c>
      <c r="B23655" t="s">
        <v>71763</v>
      </c>
      <c r="C23655" t="str">
        <f>"8322965"</f>
        <v>8322965</v>
      </c>
      <c r="D23655" t="s">
        <v>71764</v>
      </c>
      <c r="E23655" t="s">
        <v>71765</v>
      </c>
      <c r="F23655" t="s">
        <v>71766</v>
      </c>
      <c r="I23655" t="s">
        <v>29</v>
      </c>
      <c r="J23655" t="s">
        <v>30</v>
      </c>
      <c r="K23655" t="s">
        <v>57737</v>
      </c>
      <c r="M23655" t="s">
        <v>50500</v>
      </c>
      <c r="N23655" t="str">
        <f>"10/1/2024 8:15:00 AM"</f>
        <v>10/1/2024 8:15:00 AM</v>
      </c>
      <c r="O23655" t="s">
        <v>71764</v>
      </c>
      <c r="T23655" t="s">
        <v>71765</v>
      </c>
    </row>
    <row r="23656" spans="1:20" x14ac:dyDescent="0.25">
      <c r="A23656" t="str">
        <f>"3037766"</f>
        <v>3037766</v>
      </c>
      <c r="B23656" t="s">
        <v>71767</v>
      </c>
      <c r="C23656" t="str">
        <f>"82519966"</f>
        <v>82519966</v>
      </c>
      <c r="D23656" t="s">
        <v>71768</v>
      </c>
      <c r="E23656" t="s">
        <v>18077</v>
      </c>
      <c r="F23656" t="s">
        <v>71769</v>
      </c>
      <c r="I23656" t="s">
        <v>29</v>
      </c>
      <c r="J23656" t="s">
        <v>30</v>
      </c>
      <c r="K23656" t="s">
        <v>70</v>
      </c>
      <c r="M23656" t="s">
        <v>25625</v>
      </c>
      <c r="N23656" t="str">
        <f>"10/1/2024 9:29:00 AM"</f>
        <v>10/1/2024 9:29:00 AM</v>
      </c>
      <c r="O23656" t="s">
        <v>71768</v>
      </c>
      <c r="T23656" t="s">
        <v>18077</v>
      </c>
    </row>
    <row r="23657" spans="1:20" x14ac:dyDescent="0.25">
      <c r="A23657" t="str">
        <f>"3062732"</f>
        <v>3062732</v>
      </c>
      <c r="B23657" t="s">
        <v>71770</v>
      </c>
      <c r="C23657" t="str">
        <f>"8322966"</f>
        <v>8322966</v>
      </c>
      <c r="D23657" t="s">
        <v>71771</v>
      </c>
      <c r="E23657" t="s">
        <v>71772</v>
      </c>
      <c r="F23657" t="s">
        <v>71773</v>
      </c>
      <c r="I23657" t="s">
        <v>2071</v>
      </c>
      <c r="J23657" t="s">
        <v>30</v>
      </c>
      <c r="K23657" t="s">
        <v>39090</v>
      </c>
      <c r="M23657" t="s">
        <v>50500</v>
      </c>
      <c r="N23657" t="str">
        <f>"10/1/2024 10:17:00 AM"</f>
        <v>10/1/2024 10:17:00 AM</v>
      </c>
      <c r="O23657" t="s">
        <v>71771</v>
      </c>
      <c r="T23657" t="s">
        <v>71772</v>
      </c>
    </row>
    <row r="23658" spans="1:20" x14ac:dyDescent="0.25">
      <c r="A23658" t="str">
        <f>"3039961"</f>
        <v>3039961</v>
      </c>
      <c r="B23658" t="s">
        <v>71774</v>
      </c>
      <c r="C23658" t="str">
        <f>"8322967"</f>
        <v>8322967</v>
      </c>
      <c r="D23658" t="s">
        <v>71775</v>
      </c>
      <c r="F23658" t="s">
        <v>71776</v>
      </c>
      <c r="I23658" t="s">
        <v>184</v>
      </c>
      <c r="J23658" t="s">
        <v>30</v>
      </c>
      <c r="K23658" t="s">
        <v>71777</v>
      </c>
      <c r="M23658" t="s">
        <v>50500</v>
      </c>
      <c r="N23658" t="str">
        <f>"10/1/2024 10:51:00 AM"</f>
        <v>10/1/2024 10:51:00 AM</v>
      </c>
      <c r="O23658" t="s">
        <v>71775</v>
      </c>
    </row>
    <row r="23659" spans="1:20" x14ac:dyDescent="0.25">
      <c r="A23659" t="str">
        <f>"3046382"</f>
        <v>3046382</v>
      </c>
      <c r="B23659" t="s">
        <v>71778</v>
      </c>
      <c r="C23659" t="str">
        <f>"8321536"</f>
        <v>8321536</v>
      </c>
      <c r="D23659" t="s">
        <v>71779</v>
      </c>
      <c r="F23659" t="s">
        <v>71780</v>
      </c>
      <c r="I23659" t="s">
        <v>29</v>
      </c>
      <c r="J23659" t="s">
        <v>30</v>
      </c>
      <c r="K23659" t="s">
        <v>37053</v>
      </c>
      <c r="M23659" t="s">
        <v>50793</v>
      </c>
      <c r="N23659" t="str">
        <f>"10/1/2024 10:58:00 AM"</f>
        <v>10/1/2024 10:58:00 AM</v>
      </c>
      <c r="O23659" t="s">
        <v>71779</v>
      </c>
    </row>
    <row r="23660" spans="1:20" x14ac:dyDescent="0.25">
      <c r="A23660" t="str">
        <f>"3045848"</f>
        <v>3045848</v>
      </c>
      <c r="B23660" t="s">
        <v>71781</v>
      </c>
      <c r="C23660" t="str">
        <f>"8321536"</f>
        <v>8321536</v>
      </c>
      <c r="D23660" t="s">
        <v>71779</v>
      </c>
      <c r="F23660" t="s">
        <v>71780</v>
      </c>
      <c r="I23660" t="s">
        <v>29</v>
      </c>
      <c r="J23660" t="s">
        <v>30</v>
      </c>
      <c r="K23660" t="s">
        <v>37053</v>
      </c>
      <c r="M23660" t="s">
        <v>50793</v>
      </c>
      <c r="N23660" t="str">
        <f>"10/1/2024 10:58:00 AM"</f>
        <v>10/1/2024 10:58:00 AM</v>
      </c>
      <c r="O23660" t="s">
        <v>71779</v>
      </c>
    </row>
    <row r="23661" spans="1:20" x14ac:dyDescent="0.25">
      <c r="A23661" t="str">
        <f>"3052975"</f>
        <v>3052975</v>
      </c>
      <c r="B23661" t="s">
        <v>71782</v>
      </c>
      <c r="C23661" t="str">
        <f>"8322968"</f>
        <v>8322968</v>
      </c>
      <c r="D23661" t="s">
        <v>71783</v>
      </c>
      <c r="E23661" t="s">
        <v>71784</v>
      </c>
      <c r="F23661" t="s">
        <v>71785</v>
      </c>
      <c r="I23661" t="s">
        <v>4546</v>
      </c>
      <c r="J23661" t="s">
        <v>30</v>
      </c>
      <c r="K23661" t="s">
        <v>71786</v>
      </c>
      <c r="M23661" t="s">
        <v>50500</v>
      </c>
      <c r="N23661" t="str">
        <f>"10/1/2024 1:24:00 PM"</f>
        <v>10/1/2024 1:24:00 PM</v>
      </c>
      <c r="O23661" t="s">
        <v>71783</v>
      </c>
      <c r="T23661" t="s">
        <v>71784</v>
      </c>
    </row>
    <row r="23662" spans="1:20" x14ac:dyDescent="0.25">
      <c r="A23662" t="str">
        <f>"3042934"</f>
        <v>3042934</v>
      </c>
      <c r="B23662" t="s">
        <v>71787</v>
      </c>
      <c r="C23662" t="str">
        <f>"8322970"</f>
        <v>8322970</v>
      </c>
      <c r="D23662" t="s">
        <v>71788</v>
      </c>
      <c r="E23662" t="s">
        <v>71789</v>
      </c>
      <c r="F23662" t="s">
        <v>71790</v>
      </c>
      <c r="I23662" t="s">
        <v>29</v>
      </c>
      <c r="J23662" t="s">
        <v>30</v>
      </c>
      <c r="K23662" t="s">
        <v>6750</v>
      </c>
      <c r="M23662" t="s">
        <v>50500</v>
      </c>
      <c r="N23662" t="str">
        <f>"10/2/2024 8:23:00 AM"</f>
        <v>10/2/2024 8:23:00 AM</v>
      </c>
      <c r="O23662" t="s">
        <v>71788</v>
      </c>
      <c r="T23662" t="s">
        <v>71789</v>
      </c>
    </row>
    <row r="23663" spans="1:20" x14ac:dyDescent="0.25">
      <c r="A23663" t="str">
        <f>"3039248"</f>
        <v>3039248</v>
      </c>
      <c r="B23663" t="s">
        <v>71791</v>
      </c>
      <c r="C23663" t="str">
        <f>"8322971"</f>
        <v>8322971</v>
      </c>
      <c r="D23663" t="s">
        <v>71792</v>
      </c>
      <c r="E23663" t="s">
        <v>71793</v>
      </c>
      <c r="F23663" t="s">
        <v>71794</v>
      </c>
      <c r="I23663" t="s">
        <v>29</v>
      </c>
      <c r="J23663" t="s">
        <v>30</v>
      </c>
      <c r="K23663" t="s">
        <v>40123</v>
      </c>
      <c r="M23663" t="s">
        <v>50500</v>
      </c>
      <c r="N23663" t="str">
        <f>"10/2/2024 8:29:00 AM"</f>
        <v>10/2/2024 8:29:00 AM</v>
      </c>
      <c r="O23663" t="s">
        <v>71792</v>
      </c>
      <c r="T23663" t="s">
        <v>71793</v>
      </c>
    </row>
    <row r="23664" spans="1:20" x14ac:dyDescent="0.25">
      <c r="A23664" t="str">
        <f>"3043071"</f>
        <v>3043071</v>
      </c>
      <c r="B23664" t="s">
        <v>71795</v>
      </c>
      <c r="C23664" t="str">
        <f>"8322972"</f>
        <v>8322972</v>
      </c>
      <c r="D23664" t="s">
        <v>71796</v>
      </c>
      <c r="F23664" t="s">
        <v>71797</v>
      </c>
      <c r="I23664" t="s">
        <v>29</v>
      </c>
      <c r="J23664" t="s">
        <v>30</v>
      </c>
      <c r="K23664" t="s">
        <v>39393</v>
      </c>
      <c r="M23664" t="s">
        <v>50500</v>
      </c>
      <c r="N23664" t="str">
        <f>"10/2/2024 8:35:00 AM"</f>
        <v>10/2/2024 8:35:00 AM</v>
      </c>
      <c r="O23664" t="s">
        <v>71796</v>
      </c>
    </row>
    <row r="23665" spans="1:20" x14ac:dyDescent="0.25">
      <c r="A23665" t="str">
        <f>"3037925"</f>
        <v>3037925</v>
      </c>
      <c r="B23665" t="s">
        <v>71798</v>
      </c>
      <c r="C23665" t="str">
        <f>"8322973"</f>
        <v>8322973</v>
      </c>
      <c r="D23665" t="s">
        <v>71799</v>
      </c>
      <c r="F23665" t="s">
        <v>71800</v>
      </c>
      <c r="I23665" t="s">
        <v>50662</v>
      </c>
      <c r="J23665" t="s">
        <v>30</v>
      </c>
      <c r="K23665" t="s">
        <v>71801</v>
      </c>
      <c r="M23665" t="s">
        <v>50500</v>
      </c>
      <c r="N23665" t="str">
        <f>"10/2/2024 8:39:00 AM"</f>
        <v>10/2/2024 8:39:00 AM</v>
      </c>
      <c r="O23665" t="s">
        <v>71799</v>
      </c>
    </row>
    <row r="23666" spans="1:20" x14ac:dyDescent="0.25">
      <c r="A23666" t="str">
        <f>"3060895"</f>
        <v>3060895</v>
      </c>
      <c r="B23666" t="s">
        <v>71802</v>
      </c>
      <c r="C23666" t="str">
        <f>"8322974"</f>
        <v>8322974</v>
      </c>
      <c r="D23666" t="s">
        <v>71803</v>
      </c>
      <c r="E23666" t="s">
        <v>71804</v>
      </c>
      <c r="F23666" t="s">
        <v>71805</v>
      </c>
      <c r="I23666" t="s">
        <v>2071</v>
      </c>
      <c r="J23666" t="s">
        <v>30</v>
      </c>
      <c r="K23666" t="s">
        <v>34675</v>
      </c>
      <c r="M23666" t="s">
        <v>50500</v>
      </c>
      <c r="N23666" t="str">
        <f>"10/2/2024 8:47:00 AM"</f>
        <v>10/2/2024 8:47:00 AM</v>
      </c>
      <c r="O23666" t="s">
        <v>71803</v>
      </c>
      <c r="T23666" t="s">
        <v>71804</v>
      </c>
    </row>
    <row r="23667" spans="1:20" x14ac:dyDescent="0.25">
      <c r="A23667" t="str">
        <f>"3077873"</f>
        <v>3077873</v>
      </c>
      <c r="B23667" t="s">
        <v>71806</v>
      </c>
      <c r="C23667" t="str">
        <f>"8322976"</f>
        <v>8322976</v>
      </c>
      <c r="D23667" t="s">
        <v>71807</v>
      </c>
      <c r="E23667" t="s">
        <v>71808</v>
      </c>
      <c r="F23667" t="s">
        <v>68747</v>
      </c>
      <c r="I23667" t="s">
        <v>163</v>
      </c>
      <c r="J23667" t="s">
        <v>30</v>
      </c>
      <c r="K23667" t="s">
        <v>68748</v>
      </c>
      <c r="M23667" t="s">
        <v>50500</v>
      </c>
      <c r="N23667" t="str">
        <f>"10/3/2024 9:00:00 AM"</f>
        <v>10/3/2024 9:00:00 AM</v>
      </c>
      <c r="O23667" t="s">
        <v>71807</v>
      </c>
      <c r="T23667" t="s">
        <v>71808</v>
      </c>
    </row>
    <row r="23668" spans="1:20" x14ac:dyDescent="0.25">
      <c r="A23668" t="str">
        <f>"3067746"</f>
        <v>3067746</v>
      </c>
      <c r="B23668" t="s">
        <v>71809</v>
      </c>
      <c r="C23668" t="str">
        <f>"8322977"</f>
        <v>8322977</v>
      </c>
      <c r="D23668" t="s">
        <v>71810</v>
      </c>
      <c r="F23668" t="s">
        <v>71811</v>
      </c>
      <c r="I23668" t="s">
        <v>184</v>
      </c>
      <c r="J23668" t="s">
        <v>30</v>
      </c>
      <c r="K23668" t="s">
        <v>36335</v>
      </c>
      <c r="M23668" t="s">
        <v>50500</v>
      </c>
      <c r="N23668" t="str">
        <f>"10/3/2024 9:48:00 AM"</f>
        <v>10/3/2024 9:48:00 AM</v>
      </c>
      <c r="O23668" t="s">
        <v>71810</v>
      </c>
    </row>
    <row r="23669" spans="1:20" x14ac:dyDescent="0.25">
      <c r="A23669" t="str">
        <f>"3050465"</f>
        <v>3050465</v>
      </c>
      <c r="B23669" t="s">
        <v>71812</v>
      </c>
      <c r="C23669" t="str">
        <f>"82526778"</f>
        <v>82526778</v>
      </c>
      <c r="D23669" t="s">
        <v>71813</v>
      </c>
      <c r="F23669" t="s">
        <v>71814</v>
      </c>
      <c r="I23669" t="s">
        <v>17921</v>
      </c>
      <c r="J23669" t="s">
        <v>30</v>
      </c>
      <c r="K23669" t="str">
        <f>"27028"</f>
        <v>27028</v>
      </c>
      <c r="M23669" t="s">
        <v>50500</v>
      </c>
      <c r="N23669" t="str">
        <f>"10/3/2024 11:32:00 AM"</f>
        <v>10/3/2024 11:32:00 AM</v>
      </c>
      <c r="O23669" t="s">
        <v>71813</v>
      </c>
    </row>
    <row r="23670" spans="1:20" x14ac:dyDescent="0.25">
      <c r="A23670" t="str">
        <f>"3061979"</f>
        <v>3061979</v>
      </c>
      <c r="B23670" t="s">
        <v>71815</v>
      </c>
      <c r="C23670" t="str">
        <f>"8312581"</f>
        <v>8312581</v>
      </c>
      <c r="D23670" t="s">
        <v>62841</v>
      </c>
      <c r="F23670" t="s">
        <v>62843</v>
      </c>
      <c r="I23670" t="s">
        <v>184</v>
      </c>
      <c r="J23670" t="s">
        <v>30</v>
      </c>
      <c r="K23670" t="s">
        <v>34351</v>
      </c>
      <c r="M23670" t="s">
        <v>50500</v>
      </c>
      <c r="N23670" t="str">
        <f>"10/3/2024 11:54:00 AM"</f>
        <v>10/3/2024 11:54:00 AM</v>
      </c>
      <c r="O23670" t="s">
        <v>62841</v>
      </c>
    </row>
    <row r="23671" spans="1:20" x14ac:dyDescent="0.25">
      <c r="A23671" t="str">
        <f>"3053711"</f>
        <v>3053711</v>
      </c>
      <c r="B23671" t="s">
        <v>71816</v>
      </c>
      <c r="C23671" t="str">
        <f>"8322980"</f>
        <v>8322980</v>
      </c>
      <c r="D23671" t="s">
        <v>71817</v>
      </c>
      <c r="E23671" t="s">
        <v>71818</v>
      </c>
      <c r="F23671" t="s">
        <v>71819</v>
      </c>
      <c r="I23671" t="s">
        <v>29</v>
      </c>
      <c r="J23671" t="s">
        <v>30</v>
      </c>
      <c r="K23671" t="s">
        <v>10082</v>
      </c>
      <c r="M23671" t="s">
        <v>50500</v>
      </c>
      <c r="N23671" t="str">
        <f>"10/3/2024 11:59:00 AM"</f>
        <v>10/3/2024 11:59:00 AM</v>
      </c>
      <c r="O23671" t="s">
        <v>71817</v>
      </c>
      <c r="T23671" t="s">
        <v>71818</v>
      </c>
    </row>
    <row r="23672" spans="1:20" x14ac:dyDescent="0.25">
      <c r="A23672" t="str">
        <f>"3062802"</f>
        <v>3062802</v>
      </c>
      <c r="B23672" t="s">
        <v>71820</v>
      </c>
      <c r="C23672" t="str">
        <f>"8322982"</f>
        <v>8322982</v>
      </c>
      <c r="D23672" t="s">
        <v>71821</v>
      </c>
      <c r="E23672" t="s">
        <v>71822</v>
      </c>
      <c r="F23672" t="s">
        <v>71823</v>
      </c>
      <c r="I23672" t="s">
        <v>163</v>
      </c>
      <c r="J23672" t="s">
        <v>30</v>
      </c>
      <c r="K23672" t="s">
        <v>71824</v>
      </c>
      <c r="M23672" t="s">
        <v>50500</v>
      </c>
      <c r="N23672" t="str">
        <f>"10/4/2024 9:01:00 AM"</f>
        <v>10/4/2024 9:01:00 AM</v>
      </c>
      <c r="O23672" t="s">
        <v>71821</v>
      </c>
      <c r="T23672" t="s">
        <v>71822</v>
      </c>
    </row>
    <row r="23673" spans="1:20" x14ac:dyDescent="0.25">
      <c r="A23673" t="str">
        <f>"3040756"</f>
        <v>3040756</v>
      </c>
      <c r="B23673" t="s">
        <v>71825</v>
      </c>
      <c r="C23673" t="str">
        <f>"8322983"</f>
        <v>8322983</v>
      </c>
      <c r="D23673" t="s">
        <v>71826</v>
      </c>
      <c r="E23673" t="s">
        <v>71827</v>
      </c>
      <c r="F23673" t="s">
        <v>71828</v>
      </c>
      <c r="I23673" t="s">
        <v>184</v>
      </c>
      <c r="J23673" t="s">
        <v>30</v>
      </c>
      <c r="K23673" t="s">
        <v>3056</v>
      </c>
      <c r="M23673" t="s">
        <v>50500</v>
      </c>
      <c r="N23673" t="str">
        <f>"10/4/2024 9:12:00 AM"</f>
        <v>10/4/2024 9:12:00 AM</v>
      </c>
      <c r="O23673" t="s">
        <v>71826</v>
      </c>
      <c r="T23673" t="s">
        <v>71827</v>
      </c>
    </row>
    <row r="23674" spans="1:20" x14ac:dyDescent="0.25">
      <c r="A23674" t="str">
        <f>"3039249"</f>
        <v>3039249</v>
      </c>
      <c r="B23674" t="s">
        <v>71829</v>
      </c>
      <c r="C23674" t="str">
        <f>"8322984"</f>
        <v>8322984</v>
      </c>
      <c r="D23674" t="s">
        <v>71830</v>
      </c>
      <c r="E23674" t="s">
        <v>56299</v>
      </c>
      <c r="F23674" t="s">
        <v>56300</v>
      </c>
      <c r="I23674" t="s">
        <v>29</v>
      </c>
      <c r="J23674" t="s">
        <v>30</v>
      </c>
      <c r="K23674" t="s">
        <v>56143</v>
      </c>
      <c r="M23674" t="s">
        <v>50500</v>
      </c>
      <c r="N23674" t="str">
        <f>"10/4/2024 9:17:00 AM"</f>
        <v>10/4/2024 9:17:00 AM</v>
      </c>
      <c r="O23674" t="s">
        <v>71830</v>
      </c>
      <c r="T23674" t="s">
        <v>56299</v>
      </c>
    </row>
    <row r="23675" spans="1:20" x14ac:dyDescent="0.25">
      <c r="A23675" t="str">
        <f>"3039246"</f>
        <v>3039246</v>
      </c>
      <c r="B23675" t="s">
        <v>71831</v>
      </c>
      <c r="C23675" t="str">
        <f>"8322984"</f>
        <v>8322984</v>
      </c>
      <c r="D23675" t="s">
        <v>71830</v>
      </c>
      <c r="E23675" t="s">
        <v>56299</v>
      </c>
      <c r="F23675" t="s">
        <v>56300</v>
      </c>
      <c r="I23675" t="s">
        <v>29</v>
      </c>
      <c r="J23675" t="s">
        <v>30</v>
      </c>
      <c r="K23675" t="s">
        <v>56143</v>
      </c>
      <c r="M23675" t="s">
        <v>50500</v>
      </c>
      <c r="N23675" t="str">
        <f>"10/4/2024 9:17:00 AM"</f>
        <v>10/4/2024 9:17:00 AM</v>
      </c>
      <c r="O23675" t="s">
        <v>71830</v>
      </c>
      <c r="T23675" t="s">
        <v>56299</v>
      </c>
    </row>
    <row r="23676" spans="1:20" x14ac:dyDescent="0.25">
      <c r="A23676" t="str">
        <f>"3047933"</f>
        <v>3047933</v>
      </c>
      <c r="B23676" t="s">
        <v>71832</v>
      </c>
      <c r="C23676" t="str">
        <f>"8301336"</f>
        <v>8301336</v>
      </c>
      <c r="D23676" t="s">
        <v>71833</v>
      </c>
      <c r="E23676" t="s">
        <v>71834</v>
      </c>
      <c r="F23676" t="s">
        <v>71835</v>
      </c>
      <c r="I23676" t="s">
        <v>29</v>
      </c>
      <c r="J23676" t="s">
        <v>30</v>
      </c>
      <c r="K23676" t="s">
        <v>8044</v>
      </c>
      <c r="M23676" t="s">
        <v>50500</v>
      </c>
      <c r="N23676" t="str">
        <f>"10/4/2024 9:23:00 AM"</f>
        <v>10/4/2024 9:23:00 AM</v>
      </c>
      <c r="O23676" t="s">
        <v>71833</v>
      </c>
      <c r="T23676" t="s">
        <v>71834</v>
      </c>
    </row>
    <row r="23677" spans="1:20" x14ac:dyDescent="0.25">
      <c r="A23677" t="str">
        <f>"3041955"</f>
        <v>3041955</v>
      </c>
      <c r="B23677" t="s">
        <v>71836</v>
      </c>
      <c r="C23677" t="str">
        <f>"8322985"</f>
        <v>8322985</v>
      </c>
      <c r="D23677" t="s">
        <v>71837</v>
      </c>
      <c r="F23677" t="s">
        <v>71838</v>
      </c>
      <c r="I23677" t="s">
        <v>2071</v>
      </c>
      <c r="J23677" t="s">
        <v>30</v>
      </c>
      <c r="K23677" t="s">
        <v>36396</v>
      </c>
      <c r="M23677" t="s">
        <v>50500</v>
      </c>
      <c r="N23677" t="str">
        <f>"10/4/2024 9:38:00 AM"</f>
        <v>10/4/2024 9:38:00 AM</v>
      </c>
      <c r="O23677" t="s">
        <v>71837</v>
      </c>
    </row>
    <row r="23678" spans="1:20" x14ac:dyDescent="0.25">
      <c r="A23678" t="str">
        <f>"3041003"</f>
        <v>3041003</v>
      </c>
      <c r="B23678" t="s">
        <v>71839</v>
      </c>
      <c r="C23678" t="str">
        <f>"8322986"</f>
        <v>8322986</v>
      </c>
      <c r="D23678" t="s">
        <v>71840</v>
      </c>
      <c r="F23678" t="s">
        <v>71841</v>
      </c>
      <c r="I23678" t="s">
        <v>184</v>
      </c>
      <c r="J23678" t="s">
        <v>30</v>
      </c>
      <c r="K23678" t="s">
        <v>20128</v>
      </c>
      <c r="M23678" t="s">
        <v>50500</v>
      </c>
      <c r="N23678" t="str">
        <f>"10/4/2024 9:42:00 AM"</f>
        <v>10/4/2024 9:42:00 AM</v>
      </c>
      <c r="O23678" t="s">
        <v>71840</v>
      </c>
    </row>
    <row r="23679" spans="1:20" x14ac:dyDescent="0.25">
      <c r="A23679" t="str">
        <f>"3052275"</f>
        <v>3052275</v>
      </c>
      <c r="B23679" t="s">
        <v>71842</v>
      </c>
      <c r="C23679" t="str">
        <f>"8320222"</f>
        <v>8320222</v>
      </c>
      <c r="D23679" t="s">
        <v>71843</v>
      </c>
      <c r="F23679" t="s">
        <v>71844</v>
      </c>
      <c r="I23679" t="s">
        <v>29</v>
      </c>
      <c r="J23679" t="s">
        <v>30</v>
      </c>
      <c r="K23679" t="s">
        <v>19335</v>
      </c>
      <c r="M23679" t="s">
        <v>50500</v>
      </c>
      <c r="N23679" t="str">
        <f>"10/4/2024 9:57:00 AM"</f>
        <v>10/4/2024 9:57:00 AM</v>
      </c>
      <c r="O23679" t="s">
        <v>71843</v>
      </c>
    </row>
    <row r="23680" spans="1:20" x14ac:dyDescent="0.25">
      <c r="A23680" t="str">
        <f>"3078492"</f>
        <v>3078492</v>
      </c>
      <c r="B23680" t="s">
        <v>71845</v>
      </c>
      <c r="C23680" t="str">
        <f>"8322987"</f>
        <v>8322987</v>
      </c>
      <c r="D23680" t="s">
        <v>71846</v>
      </c>
      <c r="E23680" t="s">
        <v>71847</v>
      </c>
      <c r="F23680" t="s">
        <v>71848</v>
      </c>
      <c r="I23680" t="s">
        <v>71849</v>
      </c>
      <c r="J23680" t="s">
        <v>51560</v>
      </c>
      <c r="K23680" t="s">
        <v>71850</v>
      </c>
      <c r="M23680" t="s">
        <v>50500</v>
      </c>
      <c r="N23680" t="str">
        <f>"10/4/2024 1:57:00 PM"</f>
        <v>10/4/2024 1:57:00 PM</v>
      </c>
      <c r="O23680" t="s">
        <v>71846</v>
      </c>
      <c r="T23680" t="s">
        <v>71847</v>
      </c>
    </row>
    <row r="23681" spans="1:20" x14ac:dyDescent="0.25">
      <c r="A23681" t="str">
        <f>"3053943"</f>
        <v>3053943</v>
      </c>
      <c r="B23681" t="s">
        <v>71851</v>
      </c>
      <c r="C23681" t="str">
        <f>"82517292"</f>
        <v>82517292</v>
      </c>
      <c r="D23681" t="s">
        <v>71852</v>
      </c>
      <c r="E23681" t="s">
        <v>71853</v>
      </c>
      <c r="F23681" t="s">
        <v>71854</v>
      </c>
      <c r="I23681" t="s">
        <v>29</v>
      </c>
      <c r="J23681" t="s">
        <v>30</v>
      </c>
      <c r="K23681" t="s">
        <v>31</v>
      </c>
      <c r="M23681" t="s">
        <v>50500</v>
      </c>
      <c r="N23681" t="str">
        <f>"10/4/2024 2:43:00 PM"</f>
        <v>10/4/2024 2:43:00 PM</v>
      </c>
      <c r="O23681" t="s">
        <v>71852</v>
      </c>
      <c r="T23681" t="s">
        <v>71853</v>
      </c>
    </row>
    <row r="23682" spans="1:20" x14ac:dyDescent="0.25">
      <c r="A23682" t="str">
        <f>"3063050"</f>
        <v>3063050</v>
      </c>
      <c r="B23682" t="s">
        <v>71855</v>
      </c>
      <c r="C23682" t="str">
        <f>"8314419"</f>
        <v>8314419</v>
      </c>
      <c r="D23682" t="s">
        <v>71856</v>
      </c>
      <c r="E23682" t="s">
        <v>71857</v>
      </c>
      <c r="F23682" t="s">
        <v>71858</v>
      </c>
      <c r="I23682" t="s">
        <v>29</v>
      </c>
      <c r="J23682" t="s">
        <v>30</v>
      </c>
      <c r="K23682" t="s">
        <v>42192</v>
      </c>
      <c r="M23682" t="s">
        <v>25625</v>
      </c>
      <c r="N23682" t="str">
        <f>"10/7/2024 8:31:00 AM"</f>
        <v>10/7/2024 8:31:00 AM</v>
      </c>
      <c r="O23682" t="s">
        <v>71856</v>
      </c>
      <c r="T23682" t="s">
        <v>71857</v>
      </c>
    </row>
    <row r="23683" spans="1:20" x14ac:dyDescent="0.25">
      <c r="A23683" t="str">
        <f>"3049443"</f>
        <v>3049443</v>
      </c>
      <c r="B23683" t="s">
        <v>71859</v>
      </c>
      <c r="C23683" t="str">
        <f>"8306066"</f>
        <v>8306066</v>
      </c>
      <c r="D23683" t="s">
        <v>71860</v>
      </c>
      <c r="E23683" t="s">
        <v>71861</v>
      </c>
      <c r="F23683" t="s">
        <v>71862</v>
      </c>
      <c r="I23683" t="s">
        <v>71863</v>
      </c>
      <c r="J23683" t="s">
        <v>11994</v>
      </c>
      <c r="K23683" t="s">
        <v>71864</v>
      </c>
      <c r="M23683" t="s">
        <v>50793</v>
      </c>
      <c r="N23683" t="str">
        <f>"10/7/2024 9:28:00 AM"</f>
        <v>10/7/2024 9:28:00 AM</v>
      </c>
      <c r="O23683" t="s">
        <v>71860</v>
      </c>
      <c r="T23683" t="s">
        <v>71861</v>
      </c>
    </row>
    <row r="23684" spans="1:20" x14ac:dyDescent="0.25">
      <c r="A23684" t="str">
        <f>"3050418"</f>
        <v>3050418</v>
      </c>
      <c r="B23684" t="s">
        <v>71865</v>
      </c>
      <c r="C23684" t="str">
        <f>"8306066"</f>
        <v>8306066</v>
      </c>
      <c r="D23684" t="s">
        <v>71860</v>
      </c>
      <c r="E23684" t="s">
        <v>71861</v>
      </c>
      <c r="F23684" t="s">
        <v>71862</v>
      </c>
      <c r="I23684" t="s">
        <v>71863</v>
      </c>
      <c r="J23684" t="s">
        <v>11994</v>
      </c>
      <c r="K23684" t="s">
        <v>71864</v>
      </c>
      <c r="M23684" t="s">
        <v>50793</v>
      </c>
      <c r="N23684" t="str">
        <f>"10/7/2024 9:28:00 AM"</f>
        <v>10/7/2024 9:28:00 AM</v>
      </c>
      <c r="O23684" t="s">
        <v>71860</v>
      </c>
      <c r="T23684" t="s">
        <v>71861</v>
      </c>
    </row>
    <row r="23685" spans="1:20" x14ac:dyDescent="0.25">
      <c r="A23685" t="str">
        <f>"3063512"</f>
        <v>3063512</v>
      </c>
      <c r="B23685" t="s">
        <v>71866</v>
      </c>
      <c r="C23685" t="str">
        <f>"82517638"</f>
        <v>82517638</v>
      </c>
      <c r="D23685" t="s">
        <v>71867</v>
      </c>
      <c r="E23685" t="s">
        <v>71868</v>
      </c>
      <c r="F23685" t="s">
        <v>71869</v>
      </c>
      <c r="I23685" t="s">
        <v>29</v>
      </c>
      <c r="J23685" t="s">
        <v>30</v>
      </c>
      <c r="K23685" t="s">
        <v>47757</v>
      </c>
      <c r="M23685" t="s">
        <v>18479</v>
      </c>
      <c r="N23685" t="str">
        <f>"10/7/2024 11:42:00 AM"</f>
        <v>10/7/2024 11:42:00 AM</v>
      </c>
      <c r="O23685" t="s">
        <v>71867</v>
      </c>
      <c r="T23685" t="s">
        <v>71868</v>
      </c>
    </row>
    <row r="23686" spans="1:20" x14ac:dyDescent="0.25">
      <c r="A23686" t="str">
        <f>"3063513"</f>
        <v>3063513</v>
      </c>
      <c r="B23686" t="s">
        <v>71870</v>
      </c>
      <c r="C23686" t="str">
        <f>"82517638"</f>
        <v>82517638</v>
      </c>
      <c r="D23686" t="s">
        <v>71867</v>
      </c>
      <c r="E23686" t="s">
        <v>71868</v>
      </c>
      <c r="F23686" t="s">
        <v>71869</v>
      </c>
      <c r="I23686" t="s">
        <v>29</v>
      </c>
      <c r="J23686" t="s">
        <v>30</v>
      </c>
      <c r="K23686" t="s">
        <v>47757</v>
      </c>
      <c r="M23686" t="s">
        <v>18479</v>
      </c>
      <c r="N23686" t="str">
        <f>"10/7/2024 11:42:00 AM"</f>
        <v>10/7/2024 11:42:00 AM</v>
      </c>
      <c r="O23686" t="s">
        <v>71867</v>
      </c>
      <c r="T23686" t="s">
        <v>71868</v>
      </c>
    </row>
    <row r="23687" spans="1:20" x14ac:dyDescent="0.25">
      <c r="A23687" t="str">
        <f>"3072179"</f>
        <v>3072179</v>
      </c>
      <c r="B23687" t="s">
        <v>71871</v>
      </c>
      <c r="C23687" t="str">
        <f>"82517638"</f>
        <v>82517638</v>
      </c>
      <c r="D23687" t="s">
        <v>71867</v>
      </c>
      <c r="E23687" t="s">
        <v>71868</v>
      </c>
      <c r="F23687" t="s">
        <v>71869</v>
      </c>
      <c r="I23687" t="s">
        <v>29</v>
      </c>
      <c r="J23687" t="s">
        <v>30</v>
      </c>
      <c r="K23687" t="s">
        <v>47757</v>
      </c>
      <c r="M23687" t="s">
        <v>18479</v>
      </c>
      <c r="N23687" t="str">
        <f>"10/7/2024 11:42:00 AM"</f>
        <v>10/7/2024 11:42:00 AM</v>
      </c>
      <c r="O23687" t="s">
        <v>71867</v>
      </c>
      <c r="T23687" t="s">
        <v>71868</v>
      </c>
    </row>
    <row r="23688" spans="1:20" x14ac:dyDescent="0.25">
      <c r="A23688" t="str">
        <f>"3040235"</f>
        <v>3040235</v>
      </c>
      <c r="B23688" t="s">
        <v>71872</v>
      </c>
      <c r="C23688" t="str">
        <f>"8322989"</f>
        <v>8322989</v>
      </c>
      <c r="D23688" t="s">
        <v>71873</v>
      </c>
      <c r="E23688" t="s">
        <v>71874</v>
      </c>
      <c r="F23688" t="s">
        <v>71875</v>
      </c>
      <c r="I23688" t="s">
        <v>29</v>
      </c>
      <c r="J23688" t="s">
        <v>30</v>
      </c>
      <c r="K23688" t="s">
        <v>1166</v>
      </c>
      <c r="M23688" t="s">
        <v>50500</v>
      </c>
      <c r="N23688" t="str">
        <f>"10/7/2024 1:24:00 PM"</f>
        <v>10/7/2024 1:24:00 PM</v>
      </c>
      <c r="O23688" t="s">
        <v>71873</v>
      </c>
      <c r="T23688" t="s">
        <v>71874</v>
      </c>
    </row>
    <row r="23689" spans="1:20" x14ac:dyDescent="0.25">
      <c r="A23689" t="str">
        <f>"3056100"</f>
        <v>3056100</v>
      </c>
      <c r="B23689" t="s">
        <v>71876</v>
      </c>
      <c r="C23689" t="str">
        <f>"8322990"</f>
        <v>8322990</v>
      </c>
      <c r="D23689" t="s">
        <v>71877</v>
      </c>
      <c r="F23689" t="s">
        <v>71878</v>
      </c>
      <c r="I23689" t="s">
        <v>56803</v>
      </c>
      <c r="J23689" t="s">
        <v>30</v>
      </c>
      <c r="K23689" t="s">
        <v>71879</v>
      </c>
      <c r="M23689" t="s">
        <v>50500</v>
      </c>
      <c r="N23689" t="str">
        <f>"10/7/2024 1:29:00 PM"</f>
        <v>10/7/2024 1:29:00 PM</v>
      </c>
      <c r="O23689" t="s">
        <v>71877</v>
      </c>
    </row>
    <row r="23690" spans="1:20" x14ac:dyDescent="0.25">
      <c r="A23690" t="str">
        <f>"3062681"</f>
        <v>3062681</v>
      </c>
      <c r="B23690" t="s">
        <v>71880</v>
      </c>
      <c r="C23690" t="str">
        <f>"8322991"</f>
        <v>8322991</v>
      </c>
      <c r="D23690" t="s">
        <v>71881</v>
      </c>
      <c r="E23690" t="s">
        <v>71882</v>
      </c>
      <c r="F23690" t="s">
        <v>71883</v>
      </c>
      <c r="I23690" t="s">
        <v>2071</v>
      </c>
      <c r="J23690" t="s">
        <v>30</v>
      </c>
      <c r="K23690" t="s">
        <v>6350</v>
      </c>
      <c r="M23690" t="s">
        <v>50500</v>
      </c>
      <c r="N23690" t="str">
        <f>"10/8/2024 8:12:00 AM"</f>
        <v>10/8/2024 8:12:00 AM</v>
      </c>
      <c r="O23690" t="s">
        <v>71881</v>
      </c>
      <c r="T23690" t="s">
        <v>71882</v>
      </c>
    </row>
    <row r="23691" spans="1:20" x14ac:dyDescent="0.25">
      <c r="A23691" t="str">
        <f>"3052683"</f>
        <v>3052683</v>
      </c>
      <c r="B23691" t="s">
        <v>71884</v>
      </c>
      <c r="C23691" t="str">
        <f>"8322992"</f>
        <v>8322992</v>
      </c>
      <c r="D23691" t="s">
        <v>71885</v>
      </c>
      <c r="E23691" t="s">
        <v>71886</v>
      </c>
      <c r="F23691" t="s">
        <v>71887</v>
      </c>
      <c r="I23691" t="s">
        <v>29</v>
      </c>
      <c r="J23691" t="s">
        <v>30</v>
      </c>
      <c r="K23691" t="s">
        <v>39656</v>
      </c>
      <c r="M23691" t="s">
        <v>50500</v>
      </c>
      <c r="N23691" t="str">
        <f>"10/8/2024 8:15:00 AM"</f>
        <v>10/8/2024 8:15:00 AM</v>
      </c>
      <c r="O23691" t="s">
        <v>71885</v>
      </c>
      <c r="T23691" t="s">
        <v>71886</v>
      </c>
    </row>
    <row r="23692" spans="1:20" x14ac:dyDescent="0.25">
      <c r="A23692" t="str">
        <f>"3068924"</f>
        <v>3068924</v>
      </c>
      <c r="B23692" t="s">
        <v>71888</v>
      </c>
      <c r="C23692" t="str">
        <f>"8322993"</f>
        <v>8322993</v>
      </c>
      <c r="D23692" t="s">
        <v>71889</v>
      </c>
      <c r="F23692" t="s">
        <v>71890</v>
      </c>
      <c r="I23692" t="s">
        <v>9580</v>
      </c>
      <c r="J23692" t="s">
        <v>30</v>
      </c>
      <c r="K23692" t="s">
        <v>71891</v>
      </c>
      <c r="M23692" t="s">
        <v>50500</v>
      </c>
      <c r="N23692" t="str">
        <f>"10/8/2024 8:21:00 AM"</f>
        <v>10/8/2024 8:21:00 AM</v>
      </c>
      <c r="O23692" t="s">
        <v>71889</v>
      </c>
    </row>
    <row r="23693" spans="1:20" x14ac:dyDescent="0.25">
      <c r="A23693" t="str">
        <f>"3055643"</f>
        <v>3055643</v>
      </c>
      <c r="B23693" t="s">
        <v>71892</v>
      </c>
      <c r="C23693" t="str">
        <f>"8322994"</f>
        <v>8322994</v>
      </c>
      <c r="D23693" t="s">
        <v>71893</v>
      </c>
      <c r="F23693" t="s">
        <v>71894</v>
      </c>
      <c r="I23693" t="s">
        <v>471</v>
      </c>
      <c r="J23693" t="s">
        <v>30</v>
      </c>
      <c r="K23693" t="s">
        <v>71895</v>
      </c>
      <c r="M23693" t="s">
        <v>50500</v>
      </c>
      <c r="N23693" t="str">
        <f>"10/8/2024 9:29:00 AM"</f>
        <v>10/8/2024 9:29:00 AM</v>
      </c>
      <c r="O23693" t="s">
        <v>71893</v>
      </c>
    </row>
    <row r="23694" spans="1:20" x14ac:dyDescent="0.25">
      <c r="A23694" t="str">
        <f>"3051857"</f>
        <v>3051857</v>
      </c>
      <c r="B23694" t="s">
        <v>71896</v>
      </c>
      <c r="C23694" t="str">
        <f>"8322995"</f>
        <v>8322995</v>
      </c>
      <c r="D23694" t="s">
        <v>71897</v>
      </c>
      <c r="F23694" t="s">
        <v>62526</v>
      </c>
      <c r="I23694" t="s">
        <v>29</v>
      </c>
      <c r="J23694" t="s">
        <v>30</v>
      </c>
      <c r="K23694" t="s">
        <v>8242</v>
      </c>
      <c r="M23694" t="s">
        <v>50500</v>
      </c>
      <c r="N23694" t="str">
        <f>"10/8/2024 9:32:00 AM"</f>
        <v>10/8/2024 9:32:00 AM</v>
      </c>
      <c r="O23694" t="s">
        <v>71897</v>
      </c>
    </row>
    <row r="23695" spans="1:20" x14ac:dyDescent="0.25">
      <c r="A23695" t="str">
        <f>"3042397"</f>
        <v>3042397</v>
      </c>
      <c r="B23695" t="s">
        <v>71898</v>
      </c>
      <c r="C23695" t="str">
        <f>"8322996"</f>
        <v>8322996</v>
      </c>
      <c r="D23695" t="s">
        <v>71899</v>
      </c>
      <c r="F23695" t="s">
        <v>71900</v>
      </c>
      <c r="I23695" t="s">
        <v>471</v>
      </c>
      <c r="J23695" t="s">
        <v>30</v>
      </c>
      <c r="K23695" t="s">
        <v>71901</v>
      </c>
      <c r="M23695" t="s">
        <v>50500</v>
      </c>
      <c r="N23695" t="str">
        <f>"10/8/2024 9:41:00 AM"</f>
        <v>10/8/2024 9:41:00 AM</v>
      </c>
      <c r="O23695" t="s">
        <v>71899</v>
      </c>
    </row>
    <row r="23696" spans="1:20" x14ac:dyDescent="0.25">
      <c r="A23696" t="str">
        <f>"3054564"</f>
        <v>3054564</v>
      </c>
      <c r="B23696" t="s">
        <v>71902</v>
      </c>
      <c r="C23696" t="str">
        <f>"8322997"</f>
        <v>8322997</v>
      </c>
      <c r="D23696" t="s">
        <v>71903</v>
      </c>
      <c r="F23696" t="s">
        <v>71904</v>
      </c>
      <c r="I23696" t="s">
        <v>29</v>
      </c>
      <c r="J23696" t="s">
        <v>30</v>
      </c>
      <c r="K23696" t="s">
        <v>15727</v>
      </c>
      <c r="M23696" t="s">
        <v>50500</v>
      </c>
      <c r="N23696" t="str">
        <f>"10/8/2024 11:32:00 AM"</f>
        <v>10/8/2024 11:32:00 AM</v>
      </c>
      <c r="O23696" t="s">
        <v>71903</v>
      </c>
    </row>
    <row r="23697" spans="1:20" x14ac:dyDescent="0.25">
      <c r="A23697" t="str">
        <f>"3062670"</f>
        <v>3062670</v>
      </c>
      <c r="B23697" t="s">
        <v>71905</v>
      </c>
      <c r="C23697" t="str">
        <f>"8322999"</f>
        <v>8322999</v>
      </c>
      <c r="D23697" t="s">
        <v>71906</v>
      </c>
      <c r="E23697" t="s">
        <v>71907</v>
      </c>
      <c r="F23697" t="s">
        <v>71908</v>
      </c>
      <c r="I23697" t="s">
        <v>2071</v>
      </c>
      <c r="J23697" t="s">
        <v>30</v>
      </c>
      <c r="K23697" t="s">
        <v>3872</v>
      </c>
      <c r="M23697" t="s">
        <v>50500</v>
      </c>
      <c r="N23697" t="str">
        <f>"10/8/2024 3:55:00 PM"</f>
        <v>10/8/2024 3:55:00 PM</v>
      </c>
      <c r="O23697" t="s">
        <v>71906</v>
      </c>
      <c r="T23697" t="s">
        <v>71907</v>
      </c>
    </row>
    <row r="23698" spans="1:20" x14ac:dyDescent="0.25">
      <c r="A23698" t="str">
        <f>"3063558"</f>
        <v>3063558</v>
      </c>
      <c r="B23698" t="s">
        <v>71909</v>
      </c>
      <c r="C23698" t="str">
        <f>"8323001"</f>
        <v>8323001</v>
      </c>
      <c r="D23698" t="s">
        <v>71910</v>
      </c>
      <c r="F23698" t="s">
        <v>71093</v>
      </c>
      <c r="I23698" t="s">
        <v>49</v>
      </c>
      <c r="J23698" t="s">
        <v>30</v>
      </c>
      <c r="K23698" t="s">
        <v>71094</v>
      </c>
      <c r="M23698" t="s">
        <v>50500</v>
      </c>
      <c r="N23698" t="str">
        <f>"10/8/2024 4:13:00 PM"</f>
        <v>10/8/2024 4:13:00 PM</v>
      </c>
      <c r="O23698" t="s">
        <v>71910</v>
      </c>
    </row>
    <row r="23699" spans="1:20" x14ac:dyDescent="0.25">
      <c r="A23699" t="str">
        <f>"3063559"</f>
        <v>3063559</v>
      </c>
      <c r="B23699" t="s">
        <v>71911</v>
      </c>
      <c r="C23699" t="str">
        <f>"8323001"</f>
        <v>8323001</v>
      </c>
      <c r="D23699" t="s">
        <v>71910</v>
      </c>
      <c r="F23699" t="s">
        <v>71093</v>
      </c>
      <c r="I23699" t="s">
        <v>49</v>
      </c>
      <c r="J23699" t="s">
        <v>30</v>
      </c>
      <c r="K23699" t="s">
        <v>71094</v>
      </c>
      <c r="M23699" t="s">
        <v>50500</v>
      </c>
      <c r="N23699" t="str">
        <f>"10/8/2024 4:13:00 PM"</f>
        <v>10/8/2024 4:13:00 PM</v>
      </c>
      <c r="O23699" t="s">
        <v>71910</v>
      </c>
    </row>
    <row r="23700" spans="1:20" x14ac:dyDescent="0.25">
      <c r="A23700" t="str">
        <f>"3077915"</f>
        <v>3077915</v>
      </c>
      <c r="B23700" t="s">
        <v>71912</v>
      </c>
      <c r="C23700" t="str">
        <f>"8323001"</f>
        <v>8323001</v>
      </c>
      <c r="D23700" t="s">
        <v>71910</v>
      </c>
      <c r="F23700" t="s">
        <v>71093</v>
      </c>
      <c r="I23700" t="s">
        <v>49</v>
      </c>
      <c r="J23700" t="s">
        <v>30</v>
      </c>
      <c r="K23700" t="s">
        <v>71094</v>
      </c>
      <c r="M23700" t="s">
        <v>50500</v>
      </c>
      <c r="N23700" t="str">
        <f>"10/8/2024 4:13:00 PM"</f>
        <v>10/8/2024 4:13:00 PM</v>
      </c>
      <c r="O23700" t="s">
        <v>71910</v>
      </c>
    </row>
    <row r="23701" spans="1:20" x14ac:dyDescent="0.25">
      <c r="A23701" t="str">
        <f>"3051911"</f>
        <v>3051911</v>
      </c>
      <c r="B23701" t="s">
        <v>71913</v>
      </c>
      <c r="C23701" t="str">
        <f>"8323003"</f>
        <v>8323003</v>
      </c>
      <c r="D23701" t="s">
        <v>71914</v>
      </c>
      <c r="F23701" t="s">
        <v>71915</v>
      </c>
      <c r="I23701" t="s">
        <v>29</v>
      </c>
      <c r="J23701" t="s">
        <v>30</v>
      </c>
      <c r="K23701" t="s">
        <v>49694</v>
      </c>
      <c r="M23701" t="s">
        <v>50500</v>
      </c>
      <c r="N23701" t="str">
        <f>"10/8/2024 4:22:00 PM"</f>
        <v>10/8/2024 4:22:00 PM</v>
      </c>
      <c r="O23701" t="s">
        <v>71914</v>
      </c>
    </row>
    <row r="23702" spans="1:20" x14ac:dyDescent="0.25">
      <c r="A23702" t="str">
        <f>"3078748"</f>
        <v>3078748</v>
      </c>
      <c r="B23702" t="s">
        <v>71916</v>
      </c>
      <c r="C23702" t="str">
        <f>"8323005"</f>
        <v>8323005</v>
      </c>
      <c r="D23702" t="s">
        <v>71917</v>
      </c>
      <c r="F23702" t="s">
        <v>71918</v>
      </c>
      <c r="I23702" t="s">
        <v>471</v>
      </c>
      <c r="J23702" t="s">
        <v>30</v>
      </c>
      <c r="K23702" t="s">
        <v>71919</v>
      </c>
      <c r="M23702" t="s">
        <v>50500</v>
      </c>
      <c r="N23702" t="str">
        <f>"10/9/2024 10:33:00 AM"</f>
        <v>10/9/2024 10:33:00 AM</v>
      </c>
      <c r="O23702" t="s">
        <v>71917</v>
      </c>
    </row>
    <row r="23703" spans="1:20" x14ac:dyDescent="0.25">
      <c r="A23703" t="str">
        <f>"3058639"</f>
        <v>3058639</v>
      </c>
      <c r="B23703" t="s">
        <v>71920</v>
      </c>
      <c r="C23703" t="str">
        <f>"8323007"</f>
        <v>8323007</v>
      </c>
      <c r="D23703" t="s">
        <v>71921</v>
      </c>
      <c r="F23703" t="s">
        <v>71922</v>
      </c>
      <c r="I23703" t="s">
        <v>184</v>
      </c>
      <c r="J23703" t="s">
        <v>30</v>
      </c>
      <c r="K23703" t="s">
        <v>68305</v>
      </c>
      <c r="M23703" t="s">
        <v>50500</v>
      </c>
      <c r="N23703" t="str">
        <f>"10/9/2024 10:57:00 AM"</f>
        <v>10/9/2024 10:57:00 AM</v>
      </c>
      <c r="O23703" t="s">
        <v>71921</v>
      </c>
    </row>
    <row r="23704" spans="1:20" x14ac:dyDescent="0.25">
      <c r="A23704" t="str">
        <f>"3043999"</f>
        <v>3043999</v>
      </c>
      <c r="B23704" t="s">
        <v>71923</v>
      </c>
      <c r="C23704" t="str">
        <f>"8323009"</f>
        <v>8323009</v>
      </c>
      <c r="D23704" t="s">
        <v>71924</v>
      </c>
      <c r="E23704" t="s">
        <v>71925</v>
      </c>
      <c r="F23704" t="s">
        <v>56170</v>
      </c>
      <c r="I23704" t="s">
        <v>184</v>
      </c>
      <c r="J23704" t="s">
        <v>30</v>
      </c>
      <c r="K23704" t="s">
        <v>3783</v>
      </c>
      <c r="M23704" t="s">
        <v>50500</v>
      </c>
      <c r="N23704" t="str">
        <f>"10/9/2024 11:04:00 AM"</f>
        <v>10/9/2024 11:04:00 AM</v>
      </c>
      <c r="O23704" t="s">
        <v>71924</v>
      </c>
      <c r="T23704" t="s">
        <v>71925</v>
      </c>
    </row>
    <row r="23705" spans="1:20" x14ac:dyDescent="0.25">
      <c r="A23705" t="str">
        <f>"3052952"</f>
        <v>3052952</v>
      </c>
      <c r="B23705" t="s">
        <v>71926</v>
      </c>
      <c r="C23705" t="str">
        <f>"8323010"</f>
        <v>8323010</v>
      </c>
      <c r="D23705" t="s">
        <v>71927</v>
      </c>
      <c r="F23705" t="s">
        <v>70272</v>
      </c>
      <c r="I23705" t="s">
        <v>29</v>
      </c>
      <c r="J23705" t="s">
        <v>30</v>
      </c>
      <c r="K23705" t="s">
        <v>40836</v>
      </c>
      <c r="M23705" t="s">
        <v>50500</v>
      </c>
      <c r="N23705" t="str">
        <f>"10/9/2024 11:23:00 AM"</f>
        <v>10/9/2024 11:23:00 AM</v>
      </c>
      <c r="O23705" t="s">
        <v>71927</v>
      </c>
    </row>
    <row r="23706" spans="1:20" x14ac:dyDescent="0.25">
      <c r="A23706" t="str">
        <f>"3044876"</f>
        <v>3044876</v>
      </c>
      <c r="B23706" t="s">
        <v>71928</v>
      </c>
      <c r="C23706" t="str">
        <f>"8323011"</f>
        <v>8323011</v>
      </c>
      <c r="D23706" t="s">
        <v>20876</v>
      </c>
      <c r="E23706" t="s">
        <v>71929</v>
      </c>
      <c r="F23706" t="s">
        <v>71930</v>
      </c>
      <c r="I23706" t="s">
        <v>184</v>
      </c>
      <c r="J23706" t="s">
        <v>30</v>
      </c>
      <c r="K23706" t="s">
        <v>5724</v>
      </c>
      <c r="M23706" t="s">
        <v>50500</v>
      </c>
      <c r="N23706" t="str">
        <f>"10/9/2024 11:52:00 AM"</f>
        <v>10/9/2024 11:52:00 AM</v>
      </c>
      <c r="O23706" t="s">
        <v>20876</v>
      </c>
      <c r="T23706" t="s">
        <v>71929</v>
      </c>
    </row>
    <row r="23707" spans="1:20" x14ac:dyDescent="0.25">
      <c r="A23707" t="str">
        <f>"3078202"</f>
        <v>3078202</v>
      </c>
      <c r="B23707" t="s">
        <v>71931</v>
      </c>
      <c r="C23707" t="str">
        <f>"8323014"</f>
        <v>8323014</v>
      </c>
      <c r="D23707" t="s">
        <v>71932</v>
      </c>
      <c r="E23707" t="s">
        <v>71933</v>
      </c>
      <c r="F23707" t="s">
        <v>71934</v>
      </c>
      <c r="I23707" t="s">
        <v>184</v>
      </c>
      <c r="J23707" t="s">
        <v>30</v>
      </c>
      <c r="K23707" t="s">
        <v>52926</v>
      </c>
      <c r="M23707" t="s">
        <v>50500</v>
      </c>
      <c r="N23707" t="str">
        <f>"10/9/2024 2:03:00 PM"</f>
        <v>10/9/2024 2:03:00 PM</v>
      </c>
      <c r="O23707" t="s">
        <v>71932</v>
      </c>
      <c r="T23707" t="s">
        <v>71933</v>
      </c>
    </row>
    <row r="23708" spans="1:20" x14ac:dyDescent="0.25">
      <c r="A23708" t="str">
        <f>"3039934"</f>
        <v>3039934</v>
      </c>
      <c r="B23708" t="s">
        <v>71935</v>
      </c>
      <c r="C23708" t="str">
        <f>"8323015"</f>
        <v>8323015</v>
      </c>
      <c r="D23708" t="s">
        <v>71936</v>
      </c>
      <c r="E23708" t="s">
        <v>71937</v>
      </c>
      <c r="F23708" t="s">
        <v>71938</v>
      </c>
      <c r="I23708" t="s">
        <v>184</v>
      </c>
      <c r="J23708" t="s">
        <v>30</v>
      </c>
      <c r="K23708" t="s">
        <v>71777</v>
      </c>
      <c r="M23708" t="s">
        <v>50500</v>
      </c>
      <c r="N23708" t="str">
        <f>"10/9/2024 2:08:00 PM"</f>
        <v>10/9/2024 2:08:00 PM</v>
      </c>
      <c r="O23708" t="s">
        <v>71936</v>
      </c>
      <c r="T23708" t="s">
        <v>71937</v>
      </c>
    </row>
    <row r="23709" spans="1:20" x14ac:dyDescent="0.25">
      <c r="A23709" t="str">
        <f>"3077849"</f>
        <v>3077849</v>
      </c>
      <c r="B23709" t="s">
        <v>71939</v>
      </c>
      <c r="C23709" t="str">
        <f>"8323016"</f>
        <v>8323016</v>
      </c>
      <c r="D23709" t="s">
        <v>71940</v>
      </c>
      <c r="F23709" t="s">
        <v>71941</v>
      </c>
      <c r="I23709" t="s">
        <v>29</v>
      </c>
      <c r="J23709" t="s">
        <v>30</v>
      </c>
      <c r="K23709" t="s">
        <v>7972</v>
      </c>
      <c r="M23709" t="s">
        <v>50500</v>
      </c>
      <c r="N23709" t="str">
        <f>"10/9/2024 2:12:00 PM"</f>
        <v>10/9/2024 2:12:00 PM</v>
      </c>
      <c r="O23709" t="s">
        <v>71940</v>
      </c>
    </row>
    <row r="23710" spans="1:20" x14ac:dyDescent="0.25">
      <c r="A23710" t="str">
        <f>"3045771"</f>
        <v>3045771</v>
      </c>
      <c r="B23710" t="s">
        <v>71942</v>
      </c>
      <c r="C23710" t="str">
        <f>"8323017"</f>
        <v>8323017</v>
      </c>
      <c r="D23710" t="s">
        <v>71943</v>
      </c>
      <c r="E23710" t="s">
        <v>71944</v>
      </c>
      <c r="F23710" t="s">
        <v>71945</v>
      </c>
      <c r="I23710" t="s">
        <v>29</v>
      </c>
      <c r="J23710" t="s">
        <v>30</v>
      </c>
      <c r="K23710" t="s">
        <v>29466</v>
      </c>
      <c r="M23710" t="s">
        <v>50500</v>
      </c>
      <c r="N23710" t="str">
        <f>"10/9/2024 2:16:00 PM"</f>
        <v>10/9/2024 2:16:00 PM</v>
      </c>
      <c r="O23710" t="s">
        <v>71943</v>
      </c>
      <c r="T23710" t="s">
        <v>71944</v>
      </c>
    </row>
    <row r="23711" spans="1:20" x14ac:dyDescent="0.25">
      <c r="A23711" t="str">
        <f>"3042988"</f>
        <v>3042988</v>
      </c>
      <c r="B23711" t="s">
        <v>71946</v>
      </c>
      <c r="C23711" t="str">
        <f>"8323018"</f>
        <v>8323018</v>
      </c>
      <c r="D23711" t="s">
        <v>71947</v>
      </c>
      <c r="F23711" t="s">
        <v>71948</v>
      </c>
      <c r="I23711" t="s">
        <v>29</v>
      </c>
      <c r="J23711" t="s">
        <v>30</v>
      </c>
      <c r="K23711" t="s">
        <v>71949</v>
      </c>
      <c r="M23711" t="s">
        <v>50500</v>
      </c>
      <c r="N23711" t="str">
        <f>"10/9/2024 2:21:00 PM"</f>
        <v>10/9/2024 2:21:00 PM</v>
      </c>
      <c r="O23711" t="s">
        <v>71947</v>
      </c>
    </row>
    <row r="23712" spans="1:20" x14ac:dyDescent="0.25">
      <c r="A23712" t="str">
        <f>"3039966"</f>
        <v>3039966</v>
      </c>
      <c r="B23712" t="s">
        <v>71950</v>
      </c>
      <c r="C23712" t="str">
        <f>"8323019"</f>
        <v>8323019</v>
      </c>
      <c r="D23712" t="s">
        <v>71951</v>
      </c>
      <c r="E23712" t="s">
        <v>71952</v>
      </c>
      <c r="F23712" t="s">
        <v>71953</v>
      </c>
      <c r="I23712" t="s">
        <v>471</v>
      </c>
      <c r="J23712" t="s">
        <v>30</v>
      </c>
      <c r="K23712" t="s">
        <v>71954</v>
      </c>
      <c r="M23712" t="s">
        <v>50500</v>
      </c>
      <c r="N23712" t="str">
        <f>"10/9/2024 2:59:00 PM"</f>
        <v>10/9/2024 2:59:00 PM</v>
      </c>
      <c r="O23712" t="s">
        <v>71951</v>
      </c>
      <c r="T23712" t="s">
        <v>71952</v>
      </c>
    </row>
    <row r="23713" spans="1:20" x14ac:dyDescent="0.25">
      <c r="A23713" t="str">
        <f>"3070276"</f>
        <v>3070276</v>
      </c>
      <c r="B23713" t="s">
        <v>71955</v>
      </c>
      <c r="C23713" t="str">
        <f>"8323020"</f>
        <v>8323020</v>
      </c>
      <c r="D23713" t="s">
        <v>43012</v>
      </c>
      <c r="E23713" t="s">
        <v>71956</v>
      </c>
      <c r="F23713" t="s">
        <v>9579</v>
      </c>
      <c r="I23713" t="s">
        <v>9580</v>
      </c>
      <c r="J23713" t="s">
        <v>30</v>
      </c>
      <c r="K23713" t="s">
        <v>16893</v>
      </c>
      <c r="M23713" t="s">
        <v>50500</v>
      </c>
      <c r="N23713" t="str">
        <f>"10/9/2024 3:23:00 PM"</f>
        <v>10/9/2024 3:23:00 PM</v>
      </c>
      <c r="O23713" t="s">
        <v>43012</v>
      </c>
      <c r="T23713" t="s">
        <v>71956</v>
      </c>
    </row>
    <row r="23714" spans="1:20" x14ac:dyDescent="0.25">
      <c r="A23714" t="str">
        <f>"3078555"</f>
        <v>3078555</v>
      </c>
      <c r="B23714" t="s">
        <v>71957</v>
      </c>
      <c r="C23714" t="str">
        <f>"8323021"</f>
        <v>8323021</v>
      </c>
      <c r="D23714" t="s">
        <v>44462</v>
      </c>
      <c r="F23714" t="s">
        <v>71958</v>
      </c>
      <c r="I23714" t="s">
        <v>29</v>
      </c>
      <c r="J23714" t="s">
        <v>30</v>
      </c>
      <c r="K23714" t="s">
        <v>71959</v>
      </c>
      <c r="M23714" t="s">
        <v>50500</v>
      </c>
      <c r="N23714" t="str">
        <f>"10/9/2024 3:34:00 PM"</f>
        <v>10/9/2024 3:34:00 PM</v>
      </c>
      <c r="O23714" t="s">
        <v>44462</v>
      </c>
    </row>
    <row r="23715" spans="1:20" x14ac:dyDescent="0.25">
      <c r="A23715" t="str">
        <f>"3078557"</f>
        <v>3078557</v>
      </c>
      <c r="B23715" t="s">
        <v>71960</v>
      </c>
      <c r="C23715" t="str">
        <f>"8323021"</f>
        <v>8323021</v>
      </c>
      <c r="D23715" t="s">
        <v>44462</v>
      </c>
      <c r="F23715" t="s">
        <v>71958</v>
      </c>
      <c r="I23715" t="s">
        <v>29</v>
      </c>
      <c r="J23715" t="s">
        <v>30</v>
      </c>
      <c r="K23715" t="s">
        <v>71959</v>
      </c>
      <c r="M23715" t="s">
        <v>50500</v>
      </c>
      <c r="N23715" t="str">
        <f>"10/9/2024 3:34:00 PM"</f>
        <v>10/9/2024 3:34:00 PM</v>
      </c>
      <c r="O23715" t="s">
        <v>44462</v>
      </c>
    </row>
    <row r="23716" spans="1:20" x14ac:dyDescent="0.25">
      <c r="A23716" t="str">
        <f>"3059347"</f>
        <v>3059347</v>
      </c>
      <c r="B23716" t="s">
        <v>71961</v>
      </c>
      <c r="C23716" t="str">
        <f>"8323022"</f>
        <v>8323022</v>
      </c>
      <c r="D23716" t="s">
        <v>71962</v>
      </c>
      <c r="F23716" t="s">
        <v>71963</v>
      </c>
      <c r="I23716" t="s">
        <v>29</v>
      </c>
      <c r="J23716" t="s">
        <v>30</v>
      </c>
      <c r="K23716" t="s">
        <v>41371</v>
      </c>
      <c r="M23716" t="s">
        <v>50500</v>
      </c>
      <c r="N23716" t="str">
        <f>"10/9/2024 3:44:00 PM"</f>
        <v>10/9/2024 3:44:00 PM</v>
      </c>
      <c r="O23716" t="s">
        <v>71962</v>
      </c>
    </row>
    <row r="23717" spans="1:20" x14ac:dyDescent="0.25">
      <c r="A23717" t="str">
        <f>"3044916"</f>
        <v>3044916</v>
      </c>
      <c r="B23717" t="s">
        <v>71964</v>
      </c>
      <c r="C23717" t="str">
        <f>"8323023"</f>
        <v>8323023</v>
      </c>
      <c r="D23717" t="s">
        <v>71965</v>
      </c>
      <c r="E23717" t="s">
        <v>71966</v>
      </c>
      <c r="F23717" t="s">
        <v>71967</v>
      </c>
      <c r="I23717" t="s">
        <v>184</v>
      </c>
      <c r="J23717" t="s">
        <v>30</v>
      </c>
      <c r="K23717" t="s">
        <v>5929</v>
      </c>
      <c r="M23717" t="s">
        <v>50500</v>
      </c>
      <c r="N23717" t="str">
        <f>"10/9/2024 3:59:00 PM"</f>
        <v>10/9/2024 3:59:00 PM</v>
      </c>
      <c r="O23717" t="s">
        <v>71965</v>
      </c>
      <c r="T23717" t="s">
        <v>71966</v>
      </c>
    </row>
    <row r="23718" spans="1:20" x14ac:dyDescent="0.25">
      <c r="A23718" t="str">
        <f>"3056134"</f>
        <v>3056134</v>
      </c>
      <c r="B23718" t="s">
        <v>71968</v>
      </c>
      <c r="C23718" t="str">
        <f>"8323024"</f>
        <v>8323024</v>
      </c>
      <c r="D23718" t="s">
        <v>71969</v>
      </c>
      <c r="E23718" t="s">
        <v>71970</v>
      </c>
      <c r="F23718" t="s">
        <v>71971</v>
      </c>
      <c r="I23718" t="s">
        <v>29</v>
      </c>
      <c r="J23718" t="s">
        <v>30</v>
      </c>
      <c r="K23718" t="s">
        <v>51324</v>
      </c>
      <c r="M23718" t="s">
        <v>50500</v>
      </c>
      <c r="N23718" t="str">
        <f>"10/9/2024 4:06:00 PM"</f>
        <v>10/9/2024 4:06:00 PM</v>
      </c>
      <c r="O23718" t="s">
        <v>71969</v>
      </c>
      <c r="T23718" t="s">
        <v>71970</v>
      </c>
    </row>
    <row r="23719" spans="1:20" x14ac:dyDescent="0.25">
      <c r="A23719" t="str">
        <f>"3051093"</f>
        <v>3051093</v>
      </c>
      <c r="B23719" t="s">
        <v>71972</v>
      </c>
      <c r="C23719" t="str">
        <f>"8323025"</f>
        <v>8323025</v>
      </c>
      <c r="D23719" t="s">
        <v>71973</v>
      </c>
      <c r="F23719" t="s">
        <v>63852</v>
      </c>
      <c r="I23719" t="s">
        <v>14865</v>
      </c>
      <c r="J23719" t="s">
        <v>30</v>
      </c>
      <c r="K23719" t="s">
        <v>63853</v>
      </c>
      <c r="M23719" t="s">
        <v>50500</v>
      </c>
      <c r="N23719" t="str">
        <f>"10/9/2024 4:12:00 PM"</f>
        <v>10/9/2024 4:12:00 PM</v>
      </c>
      <c r="O23719" t="s">
        <v>71973</v>
      </c>
    </row>
    <row r="23720" spans="1:20" x14ac:dyDescent="0.25">
      <c r="A23720" t="str">
        <f>"3044264"</f>
        <v>3044264</v>
      </c>
      <c r="B23720" t="s">
        <v>71974</v>
      </c>
      <c r="C23720" t="str">
        <f>"8323026"</f>
        <v>8323026</v>
      </c>
      <c r="D23720" t="s">
        <v>71975</v>
      </c>
      <c r="E23720" t="s">
        <v>71976</v>
      </c>
      <c r="F23720" t="s">
        <v>71977</v>
      </c>
      <c r="I23720" t="s">
        <v>184</v>
      </c>
      <c r="J23720" t="s">
        <v>30</v>
      </c>
      <c r="K23720" t="s">
        <v>39008</v>
      </c>
      <c r="M23720" t="s">
        <v>50500</v>
      </c>
      <c r="N23720" t="str">
        <f>"10/9/2024 4:18:00 PM"</f>
        <v>10/9/2024 4:18:00 PM</v>
      </c>
      <c r="O23720" t="s">
        <v>71975</v>
      </c>
      <c r="T23720" t="s">
        <v>71976</v>
      </c>
    </row>
    <row r="23721" spans="1:20" x14ac:dyDescent="0.25">
      <c r="A23721" t="str">
        <f>"3078766"</f>
        <v>3078766</v>
      </c>
      <c r="B23721" t="s">
        <v>71978</v>
      </c>
      <c r="C23721" t="str">
        <f>"8323027"</f>
        <v>8323027</v>
      </c>
      <c r="D23721" t="s">
        <v>71979</v>
      </c>
      <c r="F23721" t="s">
        <v>71980</v>
      </c>
      <c r="I23721" t="s">
        <v>29</v>
      </c>
      <c r="J23721" t="s">
        <v>30</v>
      </c>
      <c r="K23721" t="s">
        <v>21292</v>
      </c>
      <c r="M23721" t="s">
        <v>50500</v>
      </c>
      <c r="N23721" t="str">
        <f>"10/10/2024 8:17:00 AM"</f>
        <v>10/10/2024 8:17:00 AM</v>
      </c>
      <c r="O23721" t="s">
        <v>71979</v>
      </c>
    </row>
    <row r="23722" spans="1:20" x14ac:dyDescent="0.25">
      <c r="A23722" t="str">
        <f>"3062320"</f>
        <v>3062320</v>
      </c>
      <c r="B23722" t="s">
        <v>71981</v>
      </c>
      <c r="C23722" t="str">
        <f>"8323028"</f>
        <v>8323028</v>
      </c>
      <c r="D23722" t="s">
        <v>71982</v>
      </c>
      <c r="F23722" t="s">
        <v>71983</v>
      </c>
      <c r="I23722" t="s">
        <v>56803</v>
      </c>
      <c r="J23722" t="s">
        <v>30</v>
      </c>
      <c r="K23722" t="s">
        <v>71984</v>
      </c>
      <c r="M23722" t="s">
        <v>50500</v>
      </c>
      <c r="N23722" t="str">
        <f>"10/10/2024 8:43:00 AM"</f>
        <v>10/10/2024 8:43:00 AM</v>
      </c>
      <c r="O23722" t="s">
        <v>71982</v>
      </c>
    </row>
    <row r="23723" spans="1:20" x14ac:dyDescent="0.25">
      <c r="A23723" t="str">
        <f>"3044897"</f>
        <v>3044897</v>
      </c>
      <c r="B23723" t="s">
        <v>71985</v>
      </c>
      <c r="C23723" t="str">
        <f>"8323029"</f>
        <v>8323029</v>
      </c>
      <c r="D23723" t="s">
        <v>71986</v>
      </c>
      <c r="E23723" t="s">
        <v>71987</v>
      </c>
      <c r="F23723" t="s">
        <v>63309</v>
      </c>
      <c r="I23723" t="s">
        <v>184</v>
      </c>
      <c r="J23723" t="s">
        <v>30</v>
      </c>
      <c r="K23723" t="s">
        <v>47132</v>
      </c>
      <c r="M23723" t="s">
        <v>50500</v>
      </c>
      <c r="N23723" t="str">
        <f>"10/10/2024 8:47:00 AM"</f>
        <v>10/10/2024 8:47:00 AM</v>
      </c>
      <c r="O23723" t="s">
        <v>71986</v>
      </c>
      <c r="T23723" t="s">
        <v>71987</v>
      </c>
    </row>
    <row r="23724" spans="1:20" x14ac:dyDescent="0.25">
      <c r="A23724" t="str">
        <f>"3055259"</f>
        <v>3055259</v>
      </c>
      <c r="B23724" t="s">
        <v>71988</v>
      </c>
      <c r="C23724" t="str">
        <f>"8323030"</f>
        <v>8323030</v>
      </c>
      <c r="D23724" t="s">
        <v>71989</v>
      </c>
      <c r="E23724" t="s">
        <v>71990</v>
      </c>
      <c r="F23724" t="s">
        <v>71991</v>
      </c>
      <c r="I23724" t="s">
        <v>29</v>
      </c>
      <c r="J23724" t="s">
        <v>30</v>
      </c>
      <c r="K23724" t="s">
        <v>58739</v>
      </c>
      <c r="M23724" t="s">
        <v>50500</v>
      </c>
      <c r="N23724" t="str">
        <f>"10/10/2024 9:19:00 AM"</f>
        <v>10/10/2024 9:19:00 AM</v>
      </c>
      <c r="O23724" t="s">
        <v>71989</v>
      </c>
      <c r="T23724" t="s">
        <v>71990</v>
      </c>
    </row>
    <row r="23725" spans="1:20" x14ac:dyDescent="0.25">
      <c r="A23725" t="str">
        <f>"3056141"</f>
        <v>3056141</v>
      </c>
      <c r="B23725" t="s">
        <v>71992</v>
      </c>
      <c r="C23725" t="str">
        <f>"8323031"</f>
        <v>8323031</v>
      </c>
      <c r="D23725" t="s">
        <v>71993</v>
      </c>
      <c r="E23725" t="s">
        <v>71994</v>
      </c>
      <c r="F23725" t="s">
        <v>71995</v>
      </c>
      <c r="I23725" t="s">
        <v>29</v>
      </c>
      <c r="J23725" t="s">
        <v>30</v>
      </c>
      <c r="K23725" t="s">
        <v>15764</v>
      </c>
      <c r="M23725" t="s">
        <v>50500</v>
      </c>
      <c r="N23725" t="str">
        <f>"10/10/2024 9:23:00 AM"</f>
        <v>10/10/2024 9:23:00 AM</v>
      </c>
      <c r="O23725" t="s">
        <v>71993</v>
      </c>
      <c r="T23725" t="s">
        <v>71994</v>
      </c>
    </row>
    <row r="23726" spans="1:20" x14ac:dyDescent="0.25">
      <c r="A23726" t="str">
        <f>"3055898"</f>
        <v>3055898</v>
      </c>
      <c r="B23726" t="s">
        <v>71996</v>
      </c>
      <c r="C23726" t="str">
        <f>"8323031"</f>
        <v>8323031</v>
      </c>
      <c r="D23726" t="s">
        <v>71993</v>
      </c>
      <c r="E23726" t="s">
        <v>71994</v>
      </c>
      <c r="F23726" t="s">
        <v>71995</v>
      </c>
      <c r="I23726" t="s">
        <v>29</v>
      </c>
      <c r="J23726" t="s">
        <v>30</v>
      </c>
      <c r="K23726" t="s">
        <v>15764</v>
      </c>
      <c r="M23726" t="s">
        <v>50500</v>
      </c>
      <c r="N23726" t="str">
        <f>"10/10/2024 9:23:00 AM"</f>
        <v>10/10/2024 9:23:00 AM</v>
      </c>
      <c r="O23726" t="s">
        <v>71993</v>
      </c>
      <c r="T23726" t="s">
        <v>71994</v>
      </c>
    </row>
    <row r="23727" spans="1:20" x14ac:dyDescent="0.25">
      <c r="A23727" t="str">
        <f>"3057080"</f>
        <v>3057080</v>
      </c>
      <c r="B23727" t="s">
        <v>71997</v>
      </c>
      <c r="C23727" t="str">
        <f t="shared" ref="C23727:C23745" si="360">"8313746"</f>
        <v>8313746</v>
      </c>
      <c r="D23727" t="s">
        <v>71998</v>
      </c>
      <c r="F23727" t="s">
        <v>71999</v>
      </c>
      <c r="I23727" t="s">
        <v>184</v>
      </c>
      <c r="J23727" t="s">
        <v>30</v>
      </c>
      <c r="K23727" t="s">
        <v>72000</v>
      </c>
      <c r="M23727" t="s">
        <v>50500</v>
      </c>
      <c r="N23727" t="str">
        <f t="shared" ref="N23727:N23745" si="361">"10/10/2024 9:27:00 AM"</f>
        <v>10/10/2024 9:27:00 AM</v>
      </c>
      <c r="O23727" t="s">
        <v>71998</v>
      </c>
    </row>
    <row r="23728" spans="1:20" x14ac:dyDescent="0.25">
      <c r="A23728" t="str">
        <f>"3057081"</f>
        <v>3057081</v>
      </c>
      <c r="B23728" t="s">
        <v>72001</v>
      </c>
      <c r="C23728" t="str">
        <f t="shared" si="360"/>
        <v>8313746</v>
      </c>
      <c r="D23728" t="s">
        <v>71998</v>
      </c>
      <c r="F23728" t="s">
        <v>71999</v>
      </c>
      <c r="I23728" t="s">
        <v>184</v>
      </c>
      <c r="J23728" t="s">
        <v>30</v>
      </c>
      <c r="K23728" t="s">
        <v>72000</v>
      </c>
      <c r="M23728" t="s">
        <v>50500</v>
      </c>
      <c r="N23728" t="str">
        <f t="shared" si="361"/>
        <v>10/10/2024 9:27:00 AM</v>
      </c>
      <c r="O23728" t="s">
        <v>71998</v>
      </c>
    </row>
    <row r="23729" spans="1:15" x14ac:dyDescent="0.25">
      <c r="A23729" t="str">
        <f>"3057082"</f>
        <v>3057082</v>
      </c>
      <c r="B23729" t="s">
        <v>72002</v>
      </c>
      <c r="C23729" t="str">
        <f t="shared" si="360"/>
        <v>8313746</v>
      </c>
      <c r="D23729" t="s">
        <v>71998</v>
      </c>
      <c r="F23729" t="s">
        <v>71999</v>
      </c>
      <c r="I23729" t="s">
        <v>184</v>
      </c>
      <c r="J23729" t="s">
        <v>30</v>
      </c>
      <c r="K23729" t="s">
        <v>72000</v>
      </c>
      <c r="M23729" t="s">
        <v>50500</v>
      </c>
      <c r="N23729" t="str">
        <f t="shared" si="361"/>
        <v>10/10/2024 9:27:00 AM</v>
      </c>
      <c r="O23729" t="s">
        <v>71998</v>
      </c>
    </row>
    <row r="23730" spans="1:15" x14ac:dyDescent="0.25">
      <c r="A23730" t="str">
        <f>"3062237"</f>
        <v>3062237</v>
      </c>
      <c r="B23730" t="s">
        <v>72003</v>
      </c>
      <c r="C23730" t="str">
        <f t="shared" si="360"/>
        <v>8313746</v>
      </c>
      <c r="D23730" t="s">
        <v>71998</v>
      </c>
      <c r="F23730" t="s">
        <v>71999</v>
      </c>
      <c r="I23730" t="s">
        <v>184</v>
      </c>
      <c r="J23730" t="s">
        <v>30</v>
      </c>
      <c r="K23730" t="s">
        <v>72000</v>
      </c>
      <c r="M23730" t="s">
        <v>50500</v>
      </c>
      <c r="N23730" t="str">
        <f t="shared" si="361"/>
        <v>10/10/2024 9:27:00 AM</v>
      </c>
      <c r="O23730" t="s">
        <v>71998</v>
      </c>
    </row>
    <row r="23731" spans="1:15" x14ac:dyDescent="0.25">
      <c r="A23731" t="str">
        <f>"3062048"</f>
        <v>3062048</v>
      </c>
      <c r="B23731" t="s">
        <v>72004</v>
      </c>
      <c r="C23731" t="str">
        <f t="shared" si="360"/>
        <v>8313746</v>
      </c>
      <c r="D23731" t="s">
        <v>71998</v>
      </c>
      <c r="F23731" t="s">
        <v>71999</v>
      </c>
      <c r="I23731" t="s">
        <v>184</v>
      </c>
      <c r="J23731" t="s">
        <v>30</v>
      </c>
      <c r="K23731" t="s">
        <v>72000</v>
      </c>
      <c r="M23731" t="s">
        <v>50500</v>
      </c>
      <c r="N23731" t="str">
        <f t="shared" si="361"/>
        <v>10/10/2024 9:27:00 AM</v>
      </c>
      <c r="O23731" t="s">
        <v>71998</v>
      </c>
    </row>
    <row r="23732" spans="1:15" x14ac:dyDescent="0.25">
      <c r="A23732" t="str">
        <f>"3062049"</f>
        <v>3062049</v>
      </c>
      <c r="B23732" t="s">
        <v>72005</v>
      </c>
      <c r="C23732" t="str">
        <f t="shared" si="360"/>
        <v>8313746</v>
      </c>
      <c r="D23732" t="s">
        <v>71998</v>
      </c>
      <c r="F23732" t="s">
        <v>71999</v>
      </c>
      <c r="I23732" t="s">
        <v>184</v>
      </c>
      <c r="J23732" t="s">
        <v>30</v>
      </c>
      <c r="K23732" t="s">
        <v>72000</v>
      </c>
      <c r="M23732" t="s">
        <v>50500</v>
      </c>
      <c r="N23732" t="str">
        <f t="shared" si="361"/>
        <v>10/10/2024 9:27:00 AM</v>
      </c>
      <c r="O23732" t="s">
        <v>71998</v>
      </c>
    </row>
    <row r="23733" spans="1:15" x14ac:dyDescent="0.25">
      <c r="A23733" t="str">
        <f>"3062050"</f>
        <v>3062050</v>
      </c>
      <c r="B23733" t="s">
        <v>72006</v>
      </c>
      <c r="C23733" t="str">
        <f t="shared" si="360"/>
        <v>8313746</v>
      </c>
      <c r="D23733" t="s">
        <v>71998</v>
      </c>
      <c r="F23733" t="s">
        <v>71999</v>
      </c>
      <c r="I23733" t="s">
        <v>184</v>
      </c>
      <c r="J23733" t="s">
        <v>30</v>
      </c>
      <c r="K23733" t="s">
        <v>72000</v>
      </c>
      <c r="M23733" t="s">
        <v>50500</v>
      </c>
      <c r="N23733" t="str">
        <f t="shared" si="361"/>
        <v>10/10/2024 9:27:00 AM</v>
      </c>
      <c r="O23733" t="s">
        <v>71998</v>
      </c>
    </row>
    <row r="23734" spans="1:15" x14ac:dyDescent="0.25">
      <c r="A23734" t="str">
        <f>"3062032"</f>
        <v>3062032</v>
      </c>
      <c r="B23734" t="s">
        <v>72007</v>
      </c>
      <c r="C23734" t="str">
        <f t="shared" si="360"/>
        <v>8313746</v>
      </c>
      <c r="D23734" t="s">
        <v>71998</v>
      </c>
      <c r="F23734" t="s">
        <v>71999</v>
      </c>
      <c r="I23734" t="s">
        <v>184</v>
      </c>
      <c r="J23734" t="s">
        <v>30</v>
      </c>
      <c r="K23734" t="s">
        <v>72000</v>
      </c>
      <c r="M23734" t="s">
        <v>50500</v>
      </c>
      <c r="N23734" t="str">
        <f t="shared" si="361"/>
        <v>10/10/2024 9:27:00 AM</v>
      </c>
      <c r="O23734" t="s">
        <v>71998</v>
      </c>
    </row>
    <row r="23735" spans="1:15" x14ac:dyDescent="0.25">
      <c r="A23735" t="str">
        <f>"3062036"</f>
        <v>3062036</v>
      </c>
      <c r="B23735" t="s">
        <v>72008</v>
      </c>
      <c r="C23735" t="str">
        <f t="shared" si="360"/>
        <v>8313746</v>
      </c>
      <c r="D23735" t="s">
        <v>71998</v>
      </c>
      <c r="F23735" t="s">
        <v>71999</v>
      </c>
      <c r="I23735" t="s">
        <v>184</v>
      </c>
      <c r="J23735" t="s">
        <v>30</v>
      </c>
      <c r="K23735" t="s">
        <v>72000</v>
      </c>
      <c r="M23735" t="s">
        <v>50500</v>
      </c>
      <c r="N23735" t="str">
        <f t="shared" si="361"/>
        <v>10/10/2024 9:27:00 AM</v>
      </c>
      <c r="O23735" t="s">
        <v>71998</v>
      </c>
    </row>
    <row r="23736" spans="1:15" x14ac:dyDescent="0.25">
      <c r="A23736" t="str">
        <f>"3062037"</f>
        <v>3062037</v>
      </c>
      <c r="B23736" t="s">
        <v>72009</v>
      </c>
      <c r="C23736" t="str">
        <f t="shared" si="360"/>
        <v>8313746</v>
      </c>
      <c r="D23736" t="s">
        <v>71998</v>
      </c>
      <c r="F23736" t="s">
        <v>71999</v>
      </c>
      <c r="I23736" t="s">
        <v>184</v>
      </c>
      <c r="J23736" t="s">
        <v>30</v>
      </c>
      <c r="K23736" t="s">
        <v>72000</v>
      </c>
      <c r="M23736" t="s">
        <v>50500</v>
      </c>
      <c r="N23736" t="str">
        <f t="shared" si="361"/>
        <v>10/10/2024 9:27:00 AM</v>
      </c>
      <c r="O23736" t="s">
        <v>71998</v>
      </c>
    </row>
    <row r="23737" spans="1:15" x14ac:dyDescent="0.25">
      <c r="A23737" t="str">
        <f>"3062051"</f>
        <v>3062051</v>
      </c>
      <c r="B23737" t="s">
        <v>72010</v>
      </c>
      <c r="C23737" t="str">
        <f t="shared" si="360"/>
        <v>8313746</v>
      </c>
      <c r="D23737" t="s">
        <v>71998</v>
      </c>
      <c r="F23737" t="s">
        <v>71999</v>
      </c>
      <c r="I23737" t="s">
        <v>184</v>
      </c>
      <c r="J23737" t="s">
        <v>30</v>
      </c>
      <c r="K23737" t="s">
        <v>72000</v>
      </c>
      <c r="M23737" t="s">
        <v>50500</v>
      </c>
      <c r="N23737" t="str">
        <f t="shared" si="361"/>
        <v>10/10/2024 9:27:00 AM</v>
      </c>
      <c r="O23737" t="s">
        <v>71998</v>
      </c>
    </row>
    <row r="23738" spans="1:15" x14ac:dyDescent="0.25">
      <c r="A23738" t="str">
        <f>"3062052"</f>
        <v>3062052</v>
      </c>
      <c r="B23738" t="s">
        <v>72011</v>
      </c>
      <c r="C23738" t="str">
        <f t="shared" si="360"/>
        <v>8313746</v>
      </c>
      <c r="D23738" t="s">
        <v>71998</v>
      </c>
      <c r="F23738" t="s">
        <v>71999</v>
      </c>
      <c r="I23738" t="s">
        <v>184</v>
      </c>
      <c r="J23738" t="s">
        <v>30</v>
      </c>
      <c r="K23738" t="s">
        <v>72000</v>
      </c>
      <c r="M23738" t="s">
        <v>50500</v>
      </c>
      <c r="N23738" t="str">
        <f t="shared" si="361"/>
        <v>10/10/2024 9:27:00 AM</v>
      </c>
      <c r="O23738" t="s">
        <v>71998</v>
      </c>
    </row>
    <row r="23739" spans="1:15" x14ac:dyDescent="0.25">
      <c r="A23739" t="str">
        <f>"3061945"</f>
        <v>3061945</v>
      </c>
      <c r="B23739" t="s">
        <v>72012</v>
      </c>
      <c r="C23739" t="str">
        <f t="shared" si="360"/>
        <v>8313746</v>
      </c>
      <c r="D23739" t="s">
        <v>71998</v>
      </c>
      <c r="F23739" t="s">
        <v>71999</v>
      </c>
      <c r="I23739" t="s">
        <v>184</v>
      </c>
      <c r="J23739" t="s">
        <v>30</v>
      </c>
      <c r="K23739" t="s">
        <v>72000</v>
      </c>
      <c r="M23739" t="s">
        <v>50500</v>
      </c>
      <c r="N23739" t="str">
        <f t="shared" si="361"/>
        <v>10/10/2024 9:27:00 AM</v>
      </c>
      <c r="O23739" t="s">
        <v>71998</v>
      </c>
    </row>
    <row r="23740" spans="1:15" x14ac:dyDescent="0.25">
      <c r="A23740" t="str">
        <f>"3061941"</f>
        <v>3061941</v>
      </c>
      <c r="B23740" t="s">
        <v>72013</v>
      </c>
      <c r="C23740" t="str">
        <f t="shared" si="360"/>
        <v>8313746</v>
      </c>
      <c r="D23740" t="s">
        <v>71998</v>
      </c>
      <c r="F23740" t="s">
        <v>71999</v>
      </c>
      <c r="I23740" t="s">
        <v>184</v>
      </c>
      <c r="J23740" t="s">
        <v>30</v>
      </c>
      <c r="K23740" t="s">
        <v>72000</v>
      </c>
      <c r="M23740" t="s">
        <v>50500</v>
      </c>
      <c r="N23740" t="str">
        <f t="shared" si="361"/>
        <v>10/10/2024 9:27:00 AM</v>
      </c>
      <c r="O23740" t="s">
        <v>71998</v>
      </c>
    </row>
    <row r="23741" spans="1:15" x14ac:dyDescent="0.25">
      <c r="A23741" t="str">
        <f>"3061942"</f>
        <v>3061942</v>
      </c>
      <c r="B23741" t="s">
        <v>72014</v>
      </c>
      <c r="C23741" t="str">
        <f t="shared" si="360"/>
        <v>8313746</v>
      </c>
      <c r="D23741" t="s">
        <v>71998</v>
      </c>
      <c r="F23741" t="s">
        <v>71999</v>
      </c>
      <c r="I23741" t="s">
        <v>184</v>
      </c>
      <c r="J23741" t="s">
        <v>30</v>
      </c>
      <c r="K23741" t="s">
        <v>72000</v>
      </c>
      <c r="M23741" t="s">
        <v>50500</v>
      </c>
      <c r="N23741" t="str">
        <f t="shared" si="361"/>
        <v>10/10/2024 9:27:00 AM</v>
      </c>
      <c r="O23741" t="s">
        <v>71998</v>
      </c>
    </row>
    <row r="23742" spans="1:15" x14ac:dyDescent="0.25">
      <c r="A23742" t="str">
        <f>"3061943"</f>
        <v>3061943</v>
      </c>
      <c r="B23742" t="s">
        <v>72015</v>
      </c>
      <c r="C23742" t="str">
        <f t="shared" si="360"/>
        <v>8313746</v>
      </c>
      <c r="D23742" t="s">
        <v>71998</v>
      </c>
      <c r="F23742" t="s">
        <v>71999</v>
      </c>
      <c r="I23742" t="s">
        <v>184</v>
      </c>
      <c r="J23742" t="s">
        <v>30</v>
      </c>
      <c r="K23742" t="s">
        <v>72000</v>
      </c>
      <c r="M23742" t="s">
        <v>50500</v>
      </c>
      <c r="N23742" t="str">
        <f t="shared" si="361"/>
        <v>10/10/2024 9:27:00 AM</v>
      </c>
      <c r="O23742" t="s">
        <v>71998</v>
      </c>
    </row>
    <row r="23743" spans="1:15" x14ac:dyDescent="0.25">
      <c r="A23743" t="str">
        <f>"3061944"</f>
        <v>3061944</v>
      </c>
      <c r="B23743" t="s">
        <v>72016</v>
      </c>
      <c r="C23743" t="str">
        <f t="shared" si="360"/>
        <v>8313746</v>
      </c>
      <c r="D23743" t="s">
        <v>71998</v>
      </c>
      <c r="F23743" t="s">
        <v>71999</v>
      </c>
      <c r="I23743" t="s">
        <v>184</v>
      </c>
      <c r="J23743" t="s">
        <v>30</v>
      </c>
      <c r="K23743" t="s">
        <v>72000</v>
      </c>
      <c r="M23743" t="s">
        <v>50500</v>
      </c>
      <c r="N23743" t="str">
        <f t="shared" si="361"/>
        <v>10/10/2024 9:27:00 AM</v>
      </c>
      <c r="O23743" t="s">
        <v>71998</v>
      </c>
    </row>
    <row r="23744" spans="1:15" x14ac:dyDescent="0.25">
      <c r="A23744" t="str">
        <f>"3061938"</f>
        <v>3061938</v>
      </c>
      <c r="B23744" t="s">
        <v>72017</v>
      </c>
      <c r="C23744" t="str">
        <f t="shared" si="360"/>
        <v>8313746</v>
      </c>
      <c r="D23744" t="s">
        <v>71998</v>
      </c>
      <c r="F23744" t="s">
        <v>71999</v>
      </c>
      <c r="I23744" t="s">
        <v>184</v>
      </c>
      <c r="J23744" t="s">
        <v>30</v>
      </c>
      <c r="K23744" t="s">
        <v>72000</v>
      </c>
      <c r="M23744" t="s">
        <v>50500</v>
      </c>
      <c r="N23744" t="str">
        <f t="shared" si="361"/>
        <v>10/10/2024 9:27:00 AM</v>
      </c>
      <c r="O23744" t="s">
        <v>71998</v>
      </c>
    </row>
    <row r="23745" spans="1:20" x14ac:dyDescent="0.25">
      <c r="A23745" t="str">
        <f>"3061937"</f>
        <v>3061937</v>
      </c>
      <c r="B23745" t="s">
        <v>72018</v>
      </c>
      <c r="C23745" t="str">
        <f t="shared" si="360"/>
        <v>8313746</v>
      </c>
      <c r="D23745" t="s">
        <v>71998</v>
      </c>
      <c r="F23745" t="s">
        <v>71999</v>
      </c>
      <c r="I23745" t="s">
        <v>184</v>
      </c>
      <c r="J23745" t="s">
        <v>30</v>
      </c>
      <c r="K23745" t="s">
        <v>72000</v>
      </c>
      <c r="M23745" t="s">
        <v>50500</v>
      </c>
      <c r="N23745" t="str">
        <f t="shared" si="361"/>
        <v>10/10/2024 9:27:00 AM</v>
      </c>
      <c r="O23745" t="s">
        <v>71998</v>
      </c>
    </row>
    <row r="23746" spans="1:20" x14ac:dyDescent="0.25">
      <c r="A23746" t="str">
        <f>"3055066"</f>
        <v>3055066</v>
      </c>
      <c r="B23746" t="s">
        <v>72019</v>
      </c>
      <c r="C23746" t="str">
        <f>"8323032"</f>
        <v>8323032</v>
      </c>
      <c r="D23746" t="s">
        <v>40281</v>
      </c>
      <c r="E23746" t="s">
        <v>72020</v>
      </c>
      <c r="F23746" t="s">
        <v>40282</v>
      </c>
      <c r="I23746" t="s">
        <v>29</v>
      </c>
      <c r="J23746" t="s">
        <v>30</v>
      </c>
      <c r="K23746" t="s">
        <v>40283</v>
      </c>
      <c r="M23746" t="s">
        <v>50500</v>
      </c>
      <c r="N23746" t="str">
        <f>"10/10/2024 10:31:00 AM"</f>
        <v>10/10/2024 10:31:00 AM</v>
      </c>
      <c r="O23746" t="s">
        <v>40281</v>
      </c>
      <c r="T23746" t="s">
        <v>72020</v>
      </c>
    </row>
    <row r="23747" spans="1:20" x14ac:dyDescent="0.25">
      <c r="A23747" t="str">
        <f>"3045646"</f>
        <v>3045646</v>
      </c>
      <c r="B23747" t="s">
        <v>72021</v>
      </c>
      <c r="C23747" t="str">
        <f>"8323033"</f>
        <v>8323033</v>
      </c>
      <c r="D23747" t="s">
        <v>72022</v>
      </c>
      <c r="F23747" t="s">
        <v>72023</v>
      </c>
      <c r="I23747" t="s">
        <v>29</v>
      </c>
      <c r="J23747" t="s">
        <v>30</v>
      </c>
      <c r="K23747" t="s">
        <v>39256</v>
      </c>
      <c r="M23747" t="s">
        <v>50500</v>
      </c>
      <c r="N23747" t="str">
        <f>"10/10/2024 10:38:00 AM"</f>
        <v>10/10/2024 10:38:00 AM</v>
      </c>
      <c r="O23747" t="s">
        <v>72022</v>
      </c>
    </row>
    <row r="23748" spans="1:20" x14ac:dyDescent="0.25">
      <c r="A23748" t="str">
        <f>"3037473"</f>
        <v>3037473</v>
      </c>
      <c r="B23748" t="s">
        <v>72024</v>
      </c>
      <c r="C23748" t="str">
        <f>"8323034"</f>
        <v>8323034</v>
      </c>
      <c r="D23748" t="s">
        <v>72025</v>
      </c>
      <c r="F23748" t="s">
        <v>72026</v>
      </c>
      <c r="I23748" t="s">
        <v>72027</v>
      </c>
      <c r="J23748" t="s">
        <v>30</v>
      </c>
      <c r="K23748" t="s">
        <v>72028</v>
      </c>
      <c r="M23748" t="s">
        <v>50500</v>
      </c>
      <c r="N23748" t="str">
        <f>"10/10/2024 10:42:00 AM"</f>
        <v>10/10/2024 10:42:00 AM</v>
      </c>
      <c r="O23748" t="s">
        <v>72025</v>
      </c>
    </row>
    <row r="23749" spans="1:20" x14ac:dyDescent="0.25">
      <c r="A23749" t="str">
        <f>"3040067"</f>
        <v>3040067</v>
      </c>
      <c r="B23749" t="s">
        <v>72029</v>
      </c>
      <c r="C23749" t="str">
        <f>"82525027"</f>
        <v>82525027</v>
      </c>
      <c r="D23749" t="s">
        <v>33456</v>
      </c>
      <c r="E23749" t="s">
        <v>72030</v>
      </c>
      <c r="F23749" t="s">
        <v>29678</v>
      </c>
      <c r="I23749" t="s">
        <v>1149</v>
      </c>
      <c r="J23749" t="s">
        <v>30</v>
      </c>
      <c r="K23749" t="s">
        <v>1150</v>
      </c>
      <c r="M23749" t="s">
        <v>50500</v>
      </c>
      <c r="N23749" t="str">
        <f>"10/10/2024 10:47:00 AM"</f>
        <v>10/10/2024 10:47:00 AM</v>
      </c>
      <c r="O23749" t="s">
        <v>33456</v>
      </c>
      <c r="T23749" t="s">
        <v>72030</v>
      </c>
    </row>
    <row r="23750" spans="1:20" x14ac:dyDescent="0.25">
      <c r="A23750" t="str">
        <f>"3045013"</f>
        <v>3045013</v>
      </c>
      <c r="B23750" t="s">
        <v>72031</v>
      </c>
      <c r="C23750" t="str">
        <f>"82525027"</f>
        <v>82525027</v>
      </c>
      <c r="D23750" t="s">
        <v>33456</v>
      </c>
      <c r="E23750" t="s">
        <v>72030</v>
      </c>
      <c r="F23750" t="s">
        <v>29678</v>
      </c>
      <c r="I23750" t="s">
        <v>1149</v>
      </c>
      <c r="J23750" t="s">
        <v>30</v>
      </c>
      <c r="K23750" t="s">
        <v>1150</v>
      </c>
      <c r="M23750" t="s">
        <v>50500</v>
      </c>
      <c r="N23750" t="str">
        <f>"10/10/2024 10:47:00 AM"</f>
        <v>10/10/2024 10:47:00 AM</v>
      </c>
      <c r="O23750" t="s">
        <v>33456</v>
      </c>
      <c r="T23750" t="s">
        <v>72030</v>
      </c>
    </row>
    <row r="23751" spans="1:20" x14ac:dyDescent="0.25">
      <c r="A23751" t="str">
        <f>"3053397"</f>
        <v>3053397</v>
      </c>
      <c r="B23751" t="s">
        <v>72032</v>
      </c>
      <c r="C23751" t="str">
        <f>"8323035"</f>
        <v>8323035</v>
      </c>
      <c r="D23751" t="s">
        <v>72033</v>
      </c>
      <c r="E23751" t="s">
        <v>72034</v>
      </c>
      <c r="F23751" t="s">
        <v>72035</v>
      </c>
      <c r="I23751" t="s">
        <v>29</v>
      </c>
      <c r="J23751" t="s">
        <v>30</v>
      </c>
      <c r="K23751" t="s">
        <v>13624</v>
      </c>
      <c r="M23751" t="s">
        <v>50500</v>
      </c>
      <c r="N23751" t="str">
        <f>"10/10/2024 10:51:00 AM"</f>
        <v>10/10/2024 10:51:00 AM</v>
      </c>
      <c r="O23751" t="s">
        <v>72033</v>
      </c>
      <c r="T23751" t="s">
        <v>72034</v>
      </c>
    </row>
    <row r="23752" spans="1:20" x14ac:dyDescent="0.25">
      <c r="A23752" t="str">
        <f>"3061925"</f>
        <v>3061925</v>
      </c>
      <c r="B23752" t="s">
        <v>72036</v>
      </c>
      <c r="C23752" t="str">
        <f>"8320821"</f>
        <v>8320821</v>
      </c>
      <c r="D23752" t="s">
        <v>72037</v>
      </c>
      <c r="E23752" t="s">
        <v>72038</v>
      </c>
      <c r="F23752" t="s">
        <v>72039</v>
      </c>
      <c r="I23752" t="s">
        <v>2071</v>
      </c>
      <c r="J23752" t="s">
        <v>30</v>
      </c>
      <c r="K23752" t="s">
        <v>4269</v>
      </c>
      <c r="M23752" t="s">
        <v>50621</v>
      </c>
      <c r="N23752" t="str">
        <f>"10/10/2024 10:54:00 AM"</f>
        <v>10/10/2024 10:54:00 AM</v>
      </c>
      <c r="O23752" t="s">
        <v>72037</v>
      </c>
      <c r="T23752" t="s">
        <v>72038</v>
      </c>
    </row>
    <row r="23753" spans="1:20" x14ac:dyDescent="0.25">
      <c r="A23753" t="str">
        <f>"3068155"</f>
        <v>3068155</v>
      </c>
      <c r="B23753" t="s">
        <v>72040</v>
      </c>
      <c r="C23753" t="str">
        <f>"8323036"</f>
        <v>8323036</v>
      </c>
      <c r="D23753" t="s">
        <v>72041</v>
      </c>
      <c r="E23753" t="s">
        <v>72042</v>
      </c>
      <c r="F23753" t="s">
        <v>72043</v>
      </c>
      <c r="I23753" t="s">
        <v>1149</v>
      </c>
      <c r="J23753" t="s">
        <v>30</v>
      </c>
      <c r="K23753" t="s">
        <v>6577</v>
      </c>
      <c r="M23753" t="s">
        <v>50500</v>
      </c>
      <c r="N23753" t="str">
        <f>"10/10/2024 10:55:00 AM"</f>
        <v>10/10/2024 10:55:00 AM</v>
      </c>
      <c r="O23753" t="s">
        <v>72041</v>
      </c>
      <c r="T23753" t="s">
        <v>72042</v>
      </c>
    </row>
    <row r="23754" spans="1:20" x14ac:dyDescent="0.25">
      <c r="A23754" t="str">
        <f>"3068154"</f>
        <v>3068154</v>
      </c>
      <c r="B23754" t="s">
        <v>72044</v>
      </c>
      <c r="C23754" t="str">
        <f>"8323036"</f>
        <v>8323036</v>
      </c>
      <c r="D23754" t="s">
        <v>72041</v>
      </c>
      <c r="E23754" t="s">
        <v>72042</v>
      </c>
      <c r="F23754" t="s">
        <v>72043</v>
      </c>
      <c r="I23754" t="s">
        <v>1149</v>
      </c>
      <c r="J23754" t="s">
        <v>30</v>
      </c>
      <c r="K23754" t="s">
        <v>6577</v>
      </c>
      <c r="M23754" t="s">
        <v>50500</v>
      </c>
      <c r="N23754" t="str">
        <f>"10/10/2024 10:55:00 AM"</f>
        <v>10/10/2024 10:55:00 AM</v>
      </c>
      <c r="O23754" t="s">
        <v>72041</v>
      </c>
      <c r="T23754" t="s">
        <v>72042</v>
      </c>
    </row>
    <row r="23755" spans="1:20" x14ac:dyDescent="0.25">
      <c r="A23755" t="str">
        <f>"3053466"</f>
        <v>3053466</v>
      </c>
      <c r="B23755" t="s">
        <v>72045</v>
      </c>
      <c r="C23755" t="str">
        <f>"8316934"</f>
        <v>8316934</v>
      </c>
      <c r="D23755" t="s">
        <v>72046</v>
      </c>
      <c r="F23755" t="s">
        <v>56357</v>
      </c>
      <c r="I23755" t="s">
        <v>29</v>
      </c>
      <c r="J23755" t="s">
        <v>30</v>
      </c>
      <c r="K23755" t="s">
        <v>72047</v>
      </c>
      <c r="M23755" t="s">
        <v>51351</v>
      </c>
      <c r="N23755" t="str">
        <f>"10/10/2024 10:59:00 AM"</f>
        <v>10/10/2024 10:59:00 AM</v>
      </c>
      <c r="O23755" t="s">
        <v>72046</v>
      </c>
    </row>
    <row r="23756" spans="1:20" x14ac:dyDescent="0.25">
      <c r="A23756" t="str">
        <f>"3039630"</f>
        <v>3039630</v>
      </c>
      <c r="B23756" t="s">
        <v>72048</v>
      </c>
      <c r="C23756" t="str">
        <f>"8323037"</f>
        <v>8323037</v>
      </c>
      <c r="D23756" t="s">
        <v>72049</v>
      </c>
      <c r="F23756" t="s">
        <v>72050</v>
      </c>
      <c r="I23756" t="s">
        <v>29</v>
      </c>
      <c r="J23756" t="s">
        <v>30</v>
      </c>
      <c r="K23756" t="s">
        <v>32748</v>
      </c>
      <c r="M23756" t="s">
        <v>50500</v>
      </c>
      <c r="N23756" t="str">
        <f>"10/10/2024 1:30:00 PM"</f>
        <v>10/10/2024 1:30:00 PM</v>
      </c>
      <c r="O23756" t="s">
        <v>72049</v>
      </c>
    </row>
    <row r="23757" spans="1:20" x14ac:dyDescent="0.25">
      <c r="A23757" t="str">
        <f>"3070183"</f>
        <v>3070183</v>
      </c>
      <c r="B23757" t="s">
        <v>72051</v>
      </c>
      <c r="C23757" t="str">
        <f>"8323038"</f>
        <v>8323038</v>
      </c>
      <c r="D23757" t="s">
        <v>72052</v>
      </c>
      <c r="E23757" t="s">
        <v>72053</v>
      </c>
      <c r="F23757" t="s">
        <v>37427</v>
      </c>
      <c r="I23757" t="s">
        <v>29</v>
      </c>
      <c r="J23757" t="s">
        <v>30</v>
      </c>
      <c r="K23757" t="s">
        <v>15631</v>
      </c>
      <c r="M23757" t="s">
        <v>50500</v>
      </c>
      <c r="N23757" t="str">
        <f>"10/10/2024 1:38:00 PM"</f>
        <v>10/10/2024 1:38:00 PM</v>
      </c>
      <c r="O23757" t="s">
        <v>72052</v>
      </c>
      <c r="T23757" t="s">
        <v>72053</v>
      </c>
    </row>
    <row r="23758" spans="1:20" x14ac:dyDescent="0.25">
      <c r="A23758" t="str">
        <f>"3062176"</f>
        <v>3062176</v>
      </c>
      <c r="B23758" t="s">
        <v>72054</v>
      </c>
      <c r="C23758" t="str">
        <f>"8323039"</f>
        <v>8323039</v>
      </c>
      <c r="D23758" t="s">
        <v>72055</v>
      </c>
      <c r="F23758" t="s">
        <v>72056</v>
      </c>
      <c r="I23758" t="s">
        <v>184</v>
      </c>
      <c r="J23758" t="s">
        <v>30</v>
      </c>
      <c r="K23758" t="s">
        <v>64153</v>
      </c>
      <c r="M23758" t="s">
        <v>50500</v>
      </c>
      <c r="N23758" t="str">
        <f>"10/10/2024 2:11:00 PM"</f>
        <v>10/10/2024 2:11:00 PM</v>
      </c>
      <c r="O23758" t="s">
        <v>72055</v>
      </c>
    </row>
    <row r="23759" spans="1:20" x14ac:dyDescent="0.25">
      <c r="A23759" t="str">
        <f>"3045403"</f>
        <v>3045403</v>
      </c>
      <c r="B23759" t="s">
        <v>72057</v>
      </c>
      <c r="C23759" t="str">
        <f>"8323041"</f>
        <v>8323041</v>
      </c>
      <c r="D23759" t="s">
        <v>72058</v>
      </c>
      <c r="F23759" t="s">
        <v>59276</v>
      </c>
      <c r="I23759" t="s">
        <v>29</v>
      </c>
      <c r="J23759" t="s">
        <v>30</v>
      </c>
      <c r="K23759" t="s">
        <v>7800</v>
      </c>
      <c r="M23759" t="s">
        <v>50500</v>
      </c>
      <c r="N23759" t="str">
        <f>"10/10/2024 2:52:00 PM"</f>
        <v>10/10/2024 2:52:00 PM</v>
      </c>
      <c r="O23759" t="s">
        <v>72058</v>
      </c>
    </row>
    <row r="23760" spans="1:20" x14ac:dyDescent="0.25">
      <c r="A23760" t="str">
        <f>"3046359"</f>
        <v>3046359</v>
      </c>
      <c r="B23760" t="s">
        <v>72059</v>
      </c>
      <c r="C23760" t="str">
        <f>"8323042"</f>
        <v>8323042</v>
      </c>
      <c r="D23760" t="s">
        <v>72060</v>
      </c>
      <c r="E23760" t="s">
        <v>72061</v>
      </c>
      <c r="F23760" t="s">
        <v>72062</v>
      </c>
      <c r="I23760" t="s">
        <v>29</v>
      </c>
      <c r="J23760" t="s">
        <v>30</v>
      </c>
      <c r="K23760" t="s">
        <v>72063</v>
      </c>
      <c r="M23760" t="s">
        <v>50500</v>
      </c>
      <c r="N23760" t="str">
        <f>"10/10/2024 2:57:00 PM"</f>
        <v>10/10/2024 2:57:00 PM</v>
      </c>
      <c r="O23760" t="s">
        <v>72060</v>
      </c>
      <c r="T23760" t="s">
        <v>72061</v>
      </c>
    </row>
    <row r="23761" spans="1:20" x14ac:dyDescent="0.25">
      <c r="A23761" t="str">
        <f>"3041169"</f>
        <v>3041169</v>
      </c>
      <c r="B23761" t="s">
        <v>72064</v>
      </c>
      <c r="C23761" t="str">
        <f>"8323044"</f>
        <v>8323044</v>
      </c>
      <c r="D23761" t="s">
        <v>72065</v>
      </c>
      <c r="E23761" t="s">
        <v>72066</v>
      </c>
      <c r="F23761" t="s">
        <v>72067</v>
      </c>
      <c r="I23761" t="s">
        <v>184</v>
      </c>
      <c r="J23761" t="s">
        <v>30</v>
      </c>
      <c r="K23761" t="s">
        <v>72068</v>
      </c>
      <c r="M23761" t="s">
        <v>50500</v>
      </c>
      <c r="N23761" t="str">
        <f>"10/10/2024 3:21:00 PM"</f>
        <v>10/10/2024 3:21:00 PM</v>
      </c>
      <c r="O23761" t="s">
        <v>72065</v>
      </c>
      <c r="T23761" t="s">
        <v>72066</v>
      </c>
    </row>
    <row r="23762" spans="1:20" x14ac:dyDescent="0.25">
      <c r="A23762" t="str">
        <f>"3041132"</f>
        <v>3041132</v>
      </c>
      <c r="B23762" t="s">
        <v>72069</v>
      </c>
      <c r="C23762" t="str">
        <f>"8323044"</f>
        <v>8323044</v>
      </c>
      <c r="D23762" t="s">
        <v>72065</v>
      </c>
      <c r="E23762" t="s">
        <v>72066</v>
      </c>
      <c r="F23762" t="s">
        <v>72067</v>
      </c>
      <c r="I23762" t="s">
        <v>184</v>
      </c>
      <c r="J23762" t="s">
        <v>30</v>
      </c>
      <c r="K23762" t="s">
        <v>72068</v>
      </c>
      <c r="M23762" t="s">
        <v>50500</v>
      </c>
      <c r="N23762" t="str">
        <f>"10/10/2024 3:21:00 PM"</f>
        <v>10/10/2024 3:21:00 PM</v>
      </c>
      <c r="O23762" t="s">
        <v>72065</v>
      </c>
      <c r="T23762" t="s">
        <v>72066</v>
      </c>
    </row>
    <row r="23763" spans="1:20" x14ac:dyDescent="0.25">
      <c r="A23763" t="str">
        <f>"3041133"</f>
        <v>3041133</v>
      </c>
      <c r="B23763" t="s">
        <v>72070</v>
      </c>
      <c r="C23763" t="str">
        <f>"8323044"</f>
        <v>8323044</v>
      </c>
      <c r="D23763" t="s">
        <v>72065</v>
      </c>
      <c r="E23763" t="s">
        <v>72066</v>
      </c>
      <c r="F23763" t="s">
        <v>72067</v>
      </c>
      <c r="I23763" t="s">
        <v>184</v>
      </c>
      <c r="J23763" t="s">
        <v>30</v>
      </c>
      <c r="K23763" t="s">
        <v>72068</v>
      </c>
      <c r="M23763" t="s">
        <v>50500</v>
      </c>
      <c r="N23763" t="str">
        <f>"10/10/2024 3:21:00 PM"</f>
        <v>10/10/2024 3:21:00 PM</v>
      </c>
      <c r="O23763" t="s">
        <v>72065</v>
      </c>
      <c r="T23763" t="s">
        <v>72066</v>
      </c>
    </row>
    <row r="23764" spans="1:20" x14ac:dyDescent="0.25">
      <c r="A23764" t="str">
        <f>"3068310"</f>
        <v>3068310</v>
      </c>
      <c r="B23764" t="s">
        <v>72071</v>
      </c>
      <c r="C23764" t="str">
        <f>"8323044"</f>
        <v>8323044</v>
      </c>
      <c r="D23764" t="s">
        <v>72065</v>
      </c>
      <c r="E23764" t="s">
        <v>72066</v>
      </c>
      <c r="F23764" t="s">
        <v>72067</v>
      </c>
      <c r="I23764" t="s">
        <v>184</v>
      </c>
      <c r="J23764" t="s">
        <v>30</v>
      </c>
      <c r="K23764" t="s">
        <v>72068</v>
      </c>
      <c r="M23764" t="s">
        <v>50500</v>
      </c>
      <c r="N23764" t="str">
        <f>"10/10/2024 3:21:00 PM"</f>
        <v>10/10/2024 3:21:00 PM</v>
      </c>
      <c r="O23764" t="s">
        <v>72065</v>
      </c>
      <c r="T23764" t="s">
        <v>72066</v>
      </c>
    </row>
    <row r="23765" spans="1:20" x14ac:dyDescent="0.25">
      <c r="A23765" t="str">
        <f>"3076940"</f>
        <v>3076940</v>
      </c>
      <c r="B23765" t="s">
        <v>72072</v>
      </c>
      <c r="C23765" t="str">
        <f>"8323044"</f>
        <v>8323044</v>
      </c>
      <c r="D23765" t="s">
        <v>72065</v>
      </c>
      <c r="E23765" t="s">
        <v>72066</v>
      </c>
      <c r="F23765" t="s">
        <v>72067</v>
      </c>
      <c r="I23765" t="s">
        <v>184</v>
      </c>
      <c r="J23765" t="s">
        <v>30</v>
      </c>
      <c r="K23765" t="s">
        <v>72068</v>
      </c>
      <c r="M23765" t="s">
        <v>50500</v>
      </c>
      <c r="N23765" t="str">
        <f>"10/10/2024 3:21:00 PM"</f>
        <v>10/10/2024 3:21:00 PM</v>
      </c>
      <c r="O23765" t="s">
        <v>72065</v>
      </c>
      <c r="T23765" t="s">
        <v>72066</v>
      </c>
    </row>
    <row r="23766" spans="1:20" x14ac:dyDescent="0.25">
      <c r="A23766" t="str">
        <f>"3050973"</f>
        <v>3050973</v>
      </c>
      <c r="B23766" t="s">
        <v>72073</v>
      </c>
      <c r="C23766" t="str">
        <f>"8323045"</f>
        <v>8323045</v>
      </c>
      <c r="D23766" t="s">
        <v>72065</v>
      </c>
      <c r="E23766" t="s">
        <v>72066</v>
      </c>
      <c r="F23766" t="s">
        <v>72067</v>
      </c>
      <c r="I23766" t="s">
        <v>184</v>
      </c>
      <c r="J23766" t="s">
        <v>30</v>
      </c>
      <c r="K23766" t="s">
        <v>72068</v>
      </c>
      <c r="M23766" t="s">
        <v>50500</v>
      </c>
      <c r="N23766" t="str">
        <f>"10/10/2024 3:29:00 PM"</f>
        <v>10/10/2024 3:29:00 PM</v>
      </c>
      <c r="O23766" t="s">
        <v>72065</v>
      </c>
      <c r="T23766" t="s">
        <v>72066</v>
      </c>
    </row>
    <row r="23767" spans="1:20" x14ac:dyDescent="0.25">
      <c r="A23767" t="str">
        <f>"3062460"</f>
        <v>3062460</v>
      </c>
      <c r="B23767" t="s">
        <v>72074</v>
      </c>
      <c r="C23767" t="str">
        <f>"8323047"</f>
        <v>8323047</v>
      </c>
      <c r="D23767" t="s">
        <v>72075</v>
      </c>
      <c r="E23767" t="s">
        <v>72076</v>
      </c>
      <c r="F23767" t="s">
        <v>72077</v>
      </c>
      <c r="I23767" t="s">
        <v>29</v>
      </c>
      <c r="J23767" t="s">
        <v>30</v>
      </c>
      <c r="K23767" t="s">
        <v>13178</v>
      </c>
      <c r="M23767" t="s">
        <v>50500</v>
      </c>
      <c r="N23767" t="str">
        <f>"10/11/2024 8:14:00 AM"</f>
        <v>10/11/2024 8:14:00 AM</v>
      </c>
      <c r="O23767" t="s">
        <v>72075</v>
      </c>
      <c r="T23767" t="s">
        <v>72076</v>
      </c>
    </row>
    <row r="23768" spans="1:20" x14ac:dyDescent="0.25">
      <c r="A23768" t="str">
        <f>"3072642"</f>
        <v>3072642</v>
      </c>
      <c r="B23768" t="s">
        <v>72078</v>
      </c>
      <c r="C23768" t="str">
        <f>"8323049"</f>
        <v>8323049</v>
      </c>
      <c r="D23768" t="s">
        <v>72079</v>
      </c>
      <c r="F23768" t="s">
        <v>72080</v>
      </c>
      <c r="I23768" t="s">
        <v>29</v>
      </c>
      <c r="J23768" t="s">
        <v>30</v>
      </c>
      <c r="K23768" t="s">
        <v>34195</v>
      </c>
      <c r="M23768" t="s">
        <v>50500</v>
      </c>
      <c r="N23768" t="str">
        <f>"10/11/2024 9:45:00 AM"</f>
        <v>10/11/2024 9:45:00 AM</v>
      </c>
      <c r="O23768" t="s">
        <v>72079</v>
      </c>
    </row>
    <row r="23769" spans="1:20" x14ac:dyDescent="0.25">
      <c r="A23769" t="str">
        <f>"3058174"</f>
        <v>3058174</v>
      </c>
      <c r="B23769" t="s">
        <v>72081</v>
      </c>
      <c r="C23769" t="str">
        <f>"8323050"</f>
        <v>8323050</v>
      </c>
      <c r="D23769" t="s">
        <v>72082</v>
      </c>
      <c r="F23769" t="s">
        <v>72083</v>
      </c>
      <c r="I23769" t="s">
        <v>29</v>
      </c>
      <c r="J23769" t="s">
        <v>30</v>
      </c>
      <c r="K23769" t="s">
        <v>14765</v>
      </c>
      <c r="M23769" t="s">
        <v>50500</v>
      </c>
      <c r="N23769" t="str">
        <f>"10/11/2024 9:50:00 AM"</f>
        <v>10/11/2024 9:50:00 AM</v>
      </c>
      <c r="O23769" t="s">
        <v>72082</v>
      </c>
    </row>
    <row r="23770" spans="1:20" x14ac:dyDescent="0.25">
      <c r="A23770" t="str">
        <f>"3046434"</f>
        <v>3046434</v>
      </c>
      <c r="B23770" t="s">
        <v>72084</v>
      </c>
      <c r="C23770" t="str">
        <f>"8323051"</f>
        <v>8323051</v>
      </c>
      <c r="D23770" t="s">
        <v>72085</v>
      </c>
      <c r="F23770" t="s">
        <v>72086</v>
      </c>
      <c r="I23770" t="s">
        <v>29</v>
      </c>
      <c r="J23770" t="s">
        <v>30</v>
      </c>
      <c r="K23770" t="s">
        <v>44802</v>
      </c>
      <c r="M23770" t="s">
        <v>50500</v>
      </c>
      <c r="N23770" t="str">
        <f>"10/11/2024 9:55:00 AM"</f>
        <v>10/11/2024 9:55:00 AM</v>
      </c>
      <c r="O23770" t="s">
        <v>72085</v>
      </c>
    </row>
    <row r="23771" spans="1:20" x14ac:dyDescent="0.25">
      <c r="A23771" t="str">
        <f>"3043017"</f>
        <v>3043017</v>
      </c>
      <c r="B23771" t="s">
        <v>72087</v>
      </c>
      <c r="C23771" t="str">
        <f>"82530367"</f>
        <v>82530367</v>
      </c>
      <c r="D23771" t="s">
        <v>72088</v>
      </c>
      <c r="E23771" t="s">
        <v>72089</v>
      </c>
      <c r="F23771" t="s">
        <v>72090</v>
      </c>
      <c r="I23771" t="s">
        <v>2525</v>
      </c>
      <c r="J23771" t="s">
        <v>30</v>
      </c>
      <c r="K23771" t="s">
        <v>72091</v>
      </c>
      <c r="M23771" t="s">
        <v>50621</v>
      </c>
      <c r="N23771" t="str">
        <f>"10/11/2024 9:55:00 AM"</f>
        <v>10/11/2024 9:55:00 AM</v>
      </c>
      <c r="O23771" t="s">
        <v>72088</v>
      </c>
      <c r="T23771" t="s">
        <v>72089</v>
      </c>
    </row>
    <row r="23772" spans="1:20" x14ac:dyDescent="0.25">
      <c r="A23772" t="str">
        <f>"3058661"</f>
        <v>3058661</v>
      </c>
      <c r="B23772" t="s">
        <v>72092</v>
      </c>
      <c r="C23772" t="str">
        <f>"8323052"</f>
        <v>8323052</v>
      </c>
      <c r="D23772" t="s">
        <v>72093</v>
      </c>
      <c r="F23772" t="s">
        <v>72094</v>
      </c>
      <c r="I23772" t="s">
        <v>29</v>
      </c>
      <c r="J23772" t="s">
        <v>30</v>
      </c>
      <c r="K23772" t="s">
        <v>68180</v>
      </c>
      <c r="M23772" t="s">
        <v>50500</v>
      </c>
      <c r="N23772" t="str">
        <f>"10/11/2024 9:59:00 AM"</f>
        <v>10/11/2024 9:59:00 AM</v>
      </c>
      <c r="O23772" t="s">
        <v>72093</v>
      </c>
    </row>
    <row r="23773" spans="1:20" x14ac:dyDescent="0.25">
      <c r="A23773" t="str">
        <f>"3043553"</f>
        <v>3043553</v>
      </c>
      <c r="B23773" t="s">
        <v>72095</v>
      </c>
      <c r="C23773" t="str">
        <f>"8323053"</f>
        <v>8323053</v>
      </c>
      <c r="D23773" t="s">
        <v>72096</v>
      </c>
      <c r="E23773" t="s">
        <v>72097</v>
      </c>
      <c r="F23773" t="s">
        <v>72098</v>
      </c>
      <c r="I23773" t="s">
        <v>29</v>
      </c>
      <c r="J23773" t="s">
        <v>30</v>
      </c>
      <c r="K23773" t="s">
        <v>8305</v>
      </c>
      <c r="M23773" t="s">
        <v>50500</v>
      </c>
      <c r="N23773" t="str">
        <f>"10/11/2024 10:02:00 AM"</f>
        <v>10/11/2024 10:02:00 AM</v>
      </c>
      <c r="O23773" t="s">
        <v>72096</v>
      </c>
      <c r="T23773" t="s">
        <v>72097</v>
      </c>
    </row>
    <row r="23774" spans="1:20" x14ac:dyDescent="0.25">
      <c r="A23774" t="str">
        <f>"3045573"</f>
        <v>3045573</v>
      </c>
      <c r="B23774" t="s">
        <v>72099</v>
      </c>
      <c r="C23774" t="str">
        <f>"8323054"</f>
        <v>8323054</v>
      </c>
      <c r="D23774" t="s">
        <v>72100</v>
      </c>
      <c r="E23774" t="s">
        <v>72101</v>
      </c>
      <c r="F23774" t="s">
        <v>72102</v>
      </c>
      <c r="I23774" t="s">
        <v>1107</v>
      </c>
      <c r="J23774" t="s">
        <v>30</v>
      </c>
      <c r="K23774" t="s">
        <v>72103</v>
      </c>
      <c r="M23774" t="s">
        <v>50500</v>
      </c>
      <c r="N23774" t="str">
        <f>"10/11/2024 10:06:00 AM"</f>
        <v>10/11/2024 10:06:00 AM</v>
      </c>
      <c r="O23774" t="s">
        <v>72100</v>
      </c>
      <c r="T23774" t="s">
        <v>72101</v>
      </c>
    </row>
    <row r="23775" spans="1:20" x14ac:dyDescent="0.25">
      <c r="A23775" t="str">
        <f>"3077923"</f>
        <v>3077923</v>
      </c>
      <c r="B23775" t="s">
        <v>72104</v>
      </c>
      <c r="C23775" t="str">
        <f>"8323055"</f>
        <v>8323055</v>
      </c>
      <c r="D23775" t="s">
        <v>72105</v>
      </c>
      <c r="F23775" t="s">
        <v>72106</v>
      </c>
      <c r="I23775" t="s">
        <v>29</v>
      </c>
      <c r="J23775" t="s">
        <v>30</v>
      </c>
      <c r="K23775" t="s">
        <v>39865</v>
      </c>
      <c r="M23775" t="s">
        <v>50500</v>
      </c>
      <c r="N23775" t="str">
        <f>"10/11/2024 10:13:00 AM"</f>
        <v>10/11/2024 10:13:00 AM</v>
      </c>
      <c r="O23775" t="s">
        <v>72105</v>
      </c>
    </row>
    <row r="23776" spans="1:20" x14ac:dyDescent="0.25">
      <c r="A23776" t="str">
        <f>"3078244"</f>
        <v>3078244</v>
      </c>
      <c r="B23776" t="s">
        <v>72107</v>
      </c>
      <c r="C23776" t="str">
        <f>"8323055"</f>
        <v>8323055</v>
      </c>
      <c r="D23776" t="s">
        <v>72105</v>
      </c>
      <c r="F23776" t="s">
        <v>72106</v>
      </c>
      <c r="I23776" t="s">
        <v>29</v>
      </c>
      <c r="J23776" t="s">
        <v>30</v>
      </c>
      <c r="K23776" t="s">
        <v>39865</v>
      </c>
      <c r="M23776" t="s">
        <v>50500</v>
      </c>
      <c r="N23776" t="str">
        <f>"10/11/2024 10:13:00 AM"</f>
        <v>10/11/2024 10:13:00 AM</v>
      </c>
      <c r="O23776" t="s">
        <v>72105</v>
      </c>
    </row>
    <row r="23777" spans="1:20" x14ac:dyDescent="0.25">
      <c r="A23777" t="str">
        <f>"3059389"</f>
        <v>3059389</v>
      </c>
      <c r="B23777" t="s">
        <v>72108</v>
      </c>
      <c r="C23777" t="str">
        <f t="shared" ref="C23777:C23785" si="362">"8323056"</f>
        <v>8323056</v>
      </c>
      <c r="D23777" t="s">
        <v>72109</v>
      </c>
      <c r="F23777" t="s">
        <v>72106</v>
      </c>
      <c r="I23777" t="s">
        <v>29</v>
      </c>
      <c r="J23777" t="s">
        <v>30</v>
      </c>
      <c r="K23777" t="s">
        <v>39865</v>
      </c>
      <c r="M23777" t="s">
        <v>50500</v>
      </c>
      <c r="N23777" t="str">
        <f t="shared" ref="N23777:N23785" si="363">"10/11/2024 10:25:00 AM"</f>
        <v>10/11/2024 10:25:00 AM</v>
      </c>
      <c r="O23777" t="s">
        <v>72109</v>
      </c>
    </row>
    <row r="23778" spans="1:20" x14ac:dyDescent="0.25">
      <c r="A23778" t="str">
        <f>"3043279"</f>
        <v>3043279</v>
      </c>
      <c r="B23778" t="s">
        <v>72110</v>
      </c>
      <c r="C23778" t="str">
        <f t="shared" si="362"/>
        <v>8323056</v>
      </c>
      <c r="D23778" t="s">
        <v>72109</v>
      </c>
      <c r="F23778" t="s">
        <v>72106</v>
      </c>
      <c r="I23778" t="s">
        <v>29</v>
      </c>
      <c r="J23778" t="s">
        <v>30</v>
      </c>
      <c r="K23778" t="s">
        <v>39865</v>
      </c>
      <c r="M23778" t="s">
        <v>50500</v>
      </c>
      <c r="N23778" t="str">
        <f t="shared" si="363"/>
        <v>10/11/2024 10:25:00 AM</v>
      </c>
      <c r="O23778" t="s">
        <v>72109</v>
      </c>
    </row>
    <row r="23779" spans="1:20" x14ac:dyDescent="0.25">
      <c r="A23779" t="str">
        <f>"3043275"</f>
        <v>3043275</v>
      </c>
      <c r="B23779" t="s">
        <v>72111</v>
      </c>
      <c r="C23779" t="str">
        <f t="shared" si="362"/>
        <v>8323056</v>
      </c>
      <c r="D23779" t="s">
        <v>72109</v>
      </c>
      <c r="F23779" t="s">
        <v>72106</v>
      </c>
      <c r="I23779" t="s">
        <v>29</v>
      </c>
      <c r="J23779" t="s">
        <v>30</v>
      </c>
      <c r="K23779" t="s">
        <v>39865</v>
      </c>
      <c r="M23779" t="s">
        <v>50500</v>
      </c>
      <c r="N23779" t="str">
        <f t="shared" si="363"/>
        <v>10/11/2024 10:25:00 AM</v>
      </c>
      <c r="O23779" t="s">
        <v>72109</v>
      </c>
    </row>
    <row r="23780" spans="1:20" x14ac:dyDescent="0.25">
      <c r="A23780" t="str">
        <f>"3043272"</f>
        <v>3043272</v>
      </c>
      <c r="B23780" t="s">
        <v>72112</v>
      </c>
      <c r="C23780" t="str">
        <f t="shared" si="362"/>
        <v>8323056</v>
      </c>
      <c r="D23780" t="s">
        <v>72109</v>
      </c>
      <c r="F23780" t="s">
        <v>72106</v>
      </c>
      <c r="I23780" t="s">
        <v>29</v>
      </c>
      <c r="J23780" t="s">
        <v>30</v>
      </c>
      <c r="K23780" t="s">
        <v>39865</v>
      </c>
      <c r="M23780" t="s">
        <v>50500</v>
      </c>
      <c r="N23780" t="str">
        <f t="shared" si="363"/>
        <v>10/11/2024 10:25:00 AM</v>
      </c>
      <c r="O23780" t="s">
        <v>72109</v>
      </c>
    </row>
    <row r="23781" spans="1:20" x14ac:dyDescent="0.25">
      <c r="A23781" t="str">
        <f>"3043269"</f>
        <v>3043269</v>
      </c>
      <c r="B23781" t="s">
        <v>72113</v>
      </c>
      <c r="C23781" t="str">
        <f t="shared" si="362"/>
        <v>8323056</v>
      </c>
      <c r="D23781" t="s">
        <v>72109</v>
      </c>
      <c r="F23781" t="s">
        <v>72106</v>
      </c>
      <c r="I23781" t="s">
        <v>29</v>
      </c>
      <c r="J23781" t="s">
        <v>30</v>
      </c>
      <c r="K23781" t="s">
        <v>39865</v>
      </c>
      <c r="M23781" t="s">
        <v>50500</v>
      </c>
      <c r="N23781" t="str">
        <f t="shared" si="363"/>
        <v>10/11/2024 10:25:00 AM</v>
      </c>
      <c r="O23781" t="s">
        <v>72109</v>
      </c>
    </row>
    <row r="23782" spans="1:20" x14ac:dyDescent="0.25">
      <c r="A23782" t="str">
        <f>"3048863"</f>
        <v>3048863</v>
      </c>
      <c r="B23782" t="s">
        <v>72114</v>
      </c>
      <c r="C23782" t="str">
        <f t="shared" si="362"/>
        <v>8323056</v>
      </c>
      <c r="D23782" t="s">
        <v>72109</v>
      </c>
      <c r="F23782" t="s">
        <v>72106</v>
      </c>
      <c r="I23782" t="s">
        <v>29</v>
      </c>
      <c r="J23782" t="s">
        <v>30</v>
      </c>
      <c r="K23782" t="s">
        <v>39865</v>
      </c>
      <c r="M23782" t="s">
        <v>50500</v>
      </c>
      <c r="N23782" t="str">
        <f t="shared" si="363"/>
        <v>10/11/2024 10:25:00 AM</v>
      </c>
      <c r="O23782" t="s">
        <v>72109</v>
      </c>
    </row>
    <row r="23783" spans="1:20" x14ac:dyDescent="0.25">
      <c r="A23783" t="str">
        <f>"3048864"</f>
        <v>3048864</v>
      </c>
      <c r="B23783" t="s">
        <v>72115</v>
      </c>
      <c r="C23783" t="str">
        <f t="shared" si="362"/>
        <v>8323056</v>
      </c>
      <c r="D23783" t="s">
        <v>72109</v>
      </c>
      <c r="F23783" t="s">
        <v>72106</v>
      </c>
      <c r="I23783" t="s">
        <v>29</v>
      </c>
      <c r="J23783" t="s">
        <v>30</v>
      </c>
      <c r="K23783" t="s">
        <v>39865</v>
      </c>
      <c r="M23783" t="s">
        <v>50500</v>
      </c>
      <c r="N23783" t="str">
        <f t="shared" si="363"/>
        <v>10/11/2024 10:25:00 AM</v>
      </c>
      <c r="O23783" t="s">
        <v>72109</v>
      </c>
    </row>
    <row r="23784" spans="1:20" x14ac:dyDescent="0.25">
      <c r="A23784" t="str">
        <f>"3049023"</f>
        <v>3049023</v>
      </c>
      <c r="B23784" t="s">
        <v>72116</v>
      </c>
      <c r="C23784" t="str">
        <f t="shared" si="362"/>
        <v>8323056</v>
      </c>
      <c r="D23784" t="s">
        <v>72109</v>
      </c>
      <c r="F23784" t="s">
        <v>72106</v>
      </c>
      <c r="I23784" t="s">
        <v>29</v>
      </c>
      <c r="J23784" t="s">
        <v>30</v>
      </c>
      <c r="K23784" t="s">
        <v>39865</v>
      </c>
      <c r="M23784" t="s">
        <v>50500</v>
      </c>
      <c r="N23784" t="str">
        <f t="shared" si="363"/>
        <v>10/11/2024 10:25:00 AM</v>
      </c>
      <c r="O23784" t="s">
        <v>72109</v>
      </c>
    </row>
    <row r="23785" spans="1:20" x14ac:dyDescent="0.25">
      <c r="A23785" t="str">
        <f>"3049112"</f>
        <v>3049112</v>
      </c>
      <c r="B23785" t="s">
        <v>72117</v>
      </c>
      <c r="C23785" t="str">
        <f t="shared" si="362"/>
        <v>8323056</v>
      </c>
      <c r="D23785" t="s">
        <v>72109</v>
      </c>
      <c r="F23785" t="s">
        <v>72106</v>
      </c>
      <c r="I23785" t="s">
        <v>29</v>
      </c>
      <c r="J23785" t="s">
        <v>30</v>
      </c>
      <c r="K23785" t="s">
        <v>39865</v>
      </c>
      <c r="M23785" t="s">
        <v>50500</v>
      </c>
      <c r="N23785" t="str">
        <f t="shared" si="363"/>
        <v>10/11/2024 10:25:00 AM</v>
      </c>
      <c r="O23785" t="s">
        <v>72109</v>
      </c>
    </row>
    <row r="23786" spans="1:20" x14ac:dyDescent="0.25">
      <c r="A23786" t="str">
        <f>"3052681"</f>
        <v>3052681</v>
      </c>
      <c r="B23786" t="s">
        <v>72118</v>
      </c>
      <c r="C23786" t="str">
        <f>"8323057"</f>
        <v>8323057</v>
      </c>
      <c r="D23786" t="s">
        <v>72119</v>
      </c>
      <c r="F23786" t="s">
        <v>72120</v>
      </c>
      <c r="I23786" t="s">
        <v>29</v>
      </c>
      <c r="J23786" t="s">
        <v>30</v>
      </c>
      <c r="K23786" t="s">
        <v>72121</v>
      </c>
      <c r="M23786" t="s">
        <v>50500</v>
      </c>
      <c r="N23786" t="str">
        <f>"10/11/2024 10:36:00 AM"</f>
        <v>10/11/2024 10:36:00 AM</v>
      </c>
      <c r="O23786" t="s">
        <v>72119</v>
      </c>
    </row>
    <row r="23787" spans="1:20" x14ac:dyDescent="0.25">
      <c r="A23787" t="str">
        <f>"3048350"</f>
        <v>3048350</v>
      </c>
      <c r="B23787" t="s">
        <v>72122</v>
      </c>
      <c r="C23787" t="str">
        <f>"8323058"</f>
        <v>8323058</v>
      </c>
      <c r="D23787" t="s">
        <v>72123</v>
      </c>
      <c r="E23787" t="s">
        <v>72124</v>
      </c>
      <c r="F23787" t="s">
        <v>72125</v>
      </c>
      <c r="I23787" t="s">
        <v>29</v>
      </c>
      <c r="J23787" t="s">
        <v>30</v>
      </c>
      <c r="K23787" t="s">
        <v>23078</v>
      </c>
      <c r="M23787" t="s">
        <v>50500</v>
      </c>
      <c r="N23787" t="str">
        <f>"10/11/2024 10:40:00 AM"</f>
        <v>10/11/2024 10:40:00 AM</v>
      </c>
      <c r="O23787" t="s">
        <v>72123</v>
      </c>
      <c r="T23787" t="s">
        <v>72124</v>
      </c>
    </row>
    <row r="23788" spans="1:20" x14ac:dyDescent="0.25">
      <c r="A23788" t="str">
        <f>"3043894"</f>
        <v>3043894</v>
      </c>
      <c r="B23788" t="s">
        <v>72126</v>
      </c>
      <c r="C23788" t="str">
        <f>"8323059"</f>
        <v>8323059</v>
      </c>
      <c r="D23788" t="s">
        <v>72127</v>
      </c>
      <c r="F23788" t="s">
        <v>72128</v>
      </c>
      <c r="I23788" t="s">
        <v>184</v>
      </c>
      <c r="J23788" t="s">
        <v>30</v>
      </c>
      <c r="K23788" t="s">
        <v>72129</v>
      </c>
      <c r="M23788" t="s">
        <v>50500</v>
      </c>
      <c r="N23788" t="str">
        <f>"10/11/2024 10:44:00 AM"</f>
        <v>10/11/2024 10:44:00 AM</v>
      </c>
      <c r="O23788" t="s">
        <v>72127</v>
      </c>
    </row>
    <row r="23789" spans="1:20" x14ac:dyDescent="0.25">
      <c r="A23789" t="str">
        <f>"3043947"</f>
        <v>3043947</v>
      </c>
      <c r="B23789" t="s">
        <v>72130</v>
      </c>
      <c r="C23789" t="str">
        <f>"8323059"</f>
        <v>8323059</v>
      </c>
      <c r="D23789" t="s">
        <v>72127</v>
      </c>
      <c r="F23789" t="s">
        <v>72128</v>
      </c>
      <c r="I23789" t="s">
        <v>184</v>
      </c>
      <c r="J23789" t="s">
        <v>30</v>
      </c>
      <c r="K23789" t="s">
        <v>72129</v>
      </c>
      <c r="M23789" t="s">
        <v>50500</v>
      </c>
      <c r="N23789" t="str">
        <f>"10/11/2024 10:44:00 AM"</f>
        <v>10/11/2024 10:44:00 AM</v>
      </c>
      <c r="O23789" t="s">
        <v>72127</v>
      </c>
    </row>
    <row r="23790" spans="1:20" x14ac:dyDescent="0.25">
      <c r="A23790" t="str">
        <f>"3044136"</f>
        <v>3044136</v>
      </c>
      <c r="B23790" t="s">
        <v>72131</v>
      </c>
      <c r="C23790" t="str">
        <f>"8323059"</f>
        <v>8323059</v>
      </c>
      <c r="D23790" t="s">
        <v>72127</v>
      </c>
      <c r="F23790" t="s">
        <v>72128</v>
      </c>
      <c r="I23790" t="s">
        <v>184</v>
      </c>
      <c r="J23790" t="s">
        <v>30</v>
      </c>
      <c r="K23790" t="s">
        <v>72129</v>
      </c>
      <c r="M23790" t="s">
        <v>50500</v>
      </c>
      <c r="N23790" t="str">
        <f>"10/11/2024 10:44:00 AM"</f>
        <v>10/11/2024 10:44:00 AM</v>
      </c>
      <c r="O23790" t="s">
        <v>72127</v>
      </c>
    </row>
    <row r="23791" spans="1:20" x14ac:dyDescent="0.25">
      <c r="A23791" t="str">
        <f>"3050037"</f>
        <v>3050037</v>
      </c>
      <c r="B23791" t="s">
        <v>72132</v>
      </c>
      <c r="C23791" t="str">
        <f>"8309621"</f>
        <v>8309621</v>
      </c>
      <c r="D23791" t="s">
        <v>72133</v>
      </c>
      <c r="E23791" t="s">
        <v>72134</v>
      </c>
      <c r="F23791" t="s">
        <v>52243</v>
      </c>
      <c r="I23791" t="s">
        <v>29</v>
      </c>
      <c r="J23791" t="s">
        <v>30</v>
      </c>
      <c r="K23791" t="s">
        <v>10082</v>
      </c>
      <c r="M23791" t="s">
        <v>50500</v>
      </c>
      <c r="N23791" t="str">
        <f>"10/11/2024 10:49:00 AM"</f>
        <v>10/11/2024 10:49:00 AM</v>
      </c>
      <c r="O23791" t="s">
        <v>72133</v>
      </c>
      <c r="T23791" t="s">
        <v>72134</v>
      </c>
    </row>
    <row r="23792" spans="1:20" x14ac:dyDescent="0.25">
      <c r="A23792" t="str">
        <f>"3049497"</f>
        <v>3049497</v>
      </c>
      <c r="B23792" t="s">
        <v>72135</v>
      </c>
      <c r="C23792" t="str">
        <f>"8309621"</f>
        <v>8309621</v>
      </c>
      <c r="D23792" t="s">
        <v>72133</v>
      </c>
      <c r="E23792" t="s">
        <v>72134</v>
      </c>
      <c r="F23792" t="s">
        <v>52243</v>
      </c>
      <c r="I23792" t="s">
        <v>29</v>
      </c>
      <c r="J23792" t="s">
        <v>30</v>
      </c>
      <c r="K23792" t="s">
        <v>10082</v>
      </c>
      <c r="M23792" t="s">
        <v>50500</v>
      </c>
      <c r="N23792" t="str">
        <f>"10/11/2024 10:49:00 AM"</f>
        <v>10/11/2024 10:49:00 AM</v>
      </c>
      <c r="O23792" t="s">
        <v>72133</v>
      </c>
      <c r="T23792" t="s">
        <v>72134</v>
      </c>
    </row>
    <row r="23793" spans="1:20" x14ac:dyDescent="0.25">
      <c r="A23793" t="str">
        <f>"3053806"</f>
        <v>3053806</v>
      </c>
      <c r="B23793" t="s">
        <v>72136</v>
      </c>
      <c r="C23793" t="str">
        <f>"8309621"</f>
        <v>8309621</v>
      </c>
      <c r="D23793" t="s">
        <v>72133</v>
      </c>
      <c r="E23793" t="s">
        <v>72134</v>
      </c>
      <c r="F23793" t="s">
        <v>52243</v>
      </c>
      <c r="I23793" t="s">
        <v>29</v>
      </c>
      <c r="J23793" t="s">
        <v>30</v>
      </c>
      <c r="K23793" t="s">
        <v>10082</v>
      </c>
      <c r="M23793" t="s">
        <v>50500</v>
      </c>
      <c r="N23793" t="str">
        <f>"10/11/2024 10:49:00 AM"</f>
        <v>10/11/2024 10:49:00 AM</v>
      </c>
      <c r="O23793" t="s">
        <v>72133</v>
      </c>
      <c r="T23793" t="s">
        <v>72134</v>
      </c>
    </row>
    <row r="23794" spans="1:20" x14ac:dyDescent="0.25">
      <c r="A23794" t="str">
        <f>"3045748"</f>
        <v>3045748</v>
      </c>
      <c r="B23794" t="s">
        <v>72137</v>
      </c>
      <c r="C23794" t="str">
        <f>"8321643"</f>
        <v>8321643</v>
      </c>
      <c r="D23794" t="s">
        <v>72138</v>
      </c>
      <c r="E23794" t="s">
        <v>19897</v>
      </c>
      <c r="F23794" t="s">
        <v>72139</v>
      </c>
      <c r="I23794" t="s">
        <v>72140</v>
      </c>
      <c r="J23794" t="s">
        <v>40530</v>
      </c>
      <c r="K23794" t="s">
        <v>72141</v>
      </c>
      <c r="M23794" t="s">
        <v>50621</v>
      </c>
      <c r="N23794" t="str">
        <f>"10/11/2024 11:48:00 AM"</f>
        <v>10/11/2024 11:48:00 AM</v>
      </c>
      <c r="O23794" t="s">
        <v>72138</v>
      </c>
      <c r="T23794" t="s">
        <v>19897</v>
      </c>
    </row>
    <row r="23795" spans="1:20" x14ac:dyDescent="0.25">
      <c r="A23795" t="str">
        <f>"3038802"</f>
        <v>3038802</v>
      </c>
      <c r="B23795" t="s">
        <v>72142</v>
      </c>
      <c r="C23795" t="str">
        <f>"66707250"</f>
        <v>66707250</v>
      </c>
      <c r="D23795" t="s">
        <v>72143</v>
      </c>
      <c r="F23795" t="s">
        <v>72144</v>
      </c>
      <c r="I23795" t="s">
        <v>29</v>
      </c>
      <c r="J23795" t="s">
        <v>30</v>
      </c>
      <c r="K23795" t="s">
        <v>72145</v>
      </c>
      <c r="M23795" t="s">
        <v>50793</v>
      </c>
      <c r="N23795" t="str">
        <f>"10/14/2024 8:45:00 AM"</f>
        <v>10/14/2024 8:45:00 AM</v>
      </c>
      <c r="O23795" t="s">
        <v>72143</v>
      </c>
    </row>
    <row r="23796" spans="1:20" x14ac:dyDescent="0.25">
      <c r="A23796" t="str">
        <f>"3037875"</f>
        <v>3037875</v>
      </c>
      <c r="B23796" t="s">
        <v>72146</v>
      </c>
      <c r="C23796" t="str">
        <f>"66707250"</f>
        <v>66707250</v>
      </c>
      <c r="D23796" t="s">
        <v>72143</v>
      </c>
      <c r="F23796" t="s">
        <v>72144</v>
      </c>
      <c r="I23796" t="s">
        <v>29</v>
      </c>
      <c r="J23796" t="s">
        <v>30</v>
      </c>
      <c r="K23796" t="s">
        <v>72145</v>
      </c>
      <c r="M23796" t="s">
        <v>50793</v>
      </c>
      <c r="N23796" t="str">
        <f>"10/14/2024 8:45:00 AM"</f>
        <v>10/14/2024 8:45:00 AM</v>
      </c>
      <c r="O23796" t="s">
        <v>72143</v>
      </c>
    </row>
    <row r="23797" spans="1:20" x14ac:dyDescent="0.25">
      <c r="A23797" t="str">
        <f>"3041831"</f>
        <v>3041831</v>
      </c>
      <c r="B23797" t="s">
        <v>72147</v>
      </c>
      <c r="C23797" t="str">
        <f>"8311802"</f>
        <v>8311802</v>
      </c>
      <c r="D23797" t="s">
        <v>72148</v>
      </c>
      <c r="E23797" t="s">
        <v>72149</v>
      </c>
      <c r="F23797" t="s">
        <v>72150</v>
      </c>
      <c r="I23797" t="s">
        <v>471</v>
      </c>
      <c r="J23797" t="s">
        <v>30</v>
      </c>
      <c r="K23797" t="s">
        <v>72151</v>
      </c>
      <c r="M23797" t="s">
        <v>50793</v>
      </c>
      <c r="N23797" t="str">
        <f>"10/14/2024 11:46:00 AM"</f>
        <v>10/14/2024 11:46:00 AM</v>
      </c>
      <c r="O23797" t="s">
        <v>72148</v>
      </c>
      <c r="T23797" t="s">
        <v>72149</v>
      </c>
    </row>
    <row r="23798" spans="1:20" x14ac:dyDescent="0.25">
      <c r="A23798" t="str">
        <f>"3062008"</f>
        <v>3062008</v>
      </c>
      <c r="B23798" t="s">
        <v>72152</v>
      </c>
      <c r="C23798" t="str">
        <f>"8322126"</f>
        <v>8322126</v>
      </c>
      <c r="D23798" t="s">
        <v>12061</v>
      </c>
      <c r="E23798" t="s">
        <v>72153</v>
      </c>
      <c r="F23798" t="s">
        <v>72154</v>
      </c>
      <c r="I23798" t="s">
        <v>29</v>
      </c>
      <c r="J23798" t="s">
        <v>30</v>
      </c>
      <c r="K23798" t="s">
        <v>47020</v>
      </c>
      <c r="M23798" t="s">
        <v>52111</v>
      </c>
      <c r="N23798" t="str">
        <f>"10/15/2024 10:06:00 AM"</f>
        <v>10/15/2024 10:06:00 AM</v>
      </c>
      <c r="O23798" t="s">
        <v>12061</v>
      </c>
      <c r="T23798" t="s">
        <v>72153</v>
      </c>
    </row>
    <row r="23799" spans="1:20" x14ac:dyDescent="0.25">
      <c r="A23799" t="str">
        <f>"3063485"</f>
        <v>3063485</v>
      </c>
      <c r="B23799" t="s">
        <v>72155</v>
      </c>
      <c r="C23799" t="str">
        <f>"8323064"</f>
        <v>8323064</v>
      </c>
      <c r="D23799" t="s">
        <v>72156</v>
      </c>
      <c r="F23799" t="s">
        <v>72157</v>
      </c>
      <c r="I23799" t="s">
        <v>29</v>
      </c>
      <c r="J23799" t="s">
        <v>30</v>
      </c>
      <c r="K23799" t="s">
        <v>7120</v>
      </c>
      <c r="M23799" t="s">
        <v>50500</v>
      </c>
      <c r="N23799" t="str">
        <f>"10/15/2024 1:27:00 PM"</f>
        <v>10/15/2024 1:27:00 PM</v>
      </c>
      <c r="O23799" t="s">
        <v>72156</v>
      </c>
    </row>
    <row r="23800" spans="1:20" x14ac:dyDescent="0.25">
      <c r="A23800" t="str">
        <f>"3039911"</f>
        <v>3039911</v>
      </c>
      <c r="B23800" t="s">
        <v>72158</v>
      </c>
      <c r="C23800" t="str">
        <f>"8323068"</f>
        <v>8323068</v>
      </c>
      <c r="D23800" t="s">
        <v>72159</v>
      </c>
      <c r="E23800" t="s">
        <v>72160</v>
      </c>
      <c r="F23800" t="s">
        <v>72161</v>
      </c>
      <c r="I23800" t="s">
        <v>184</v>
      </c>
      <c r="J23800" t="s">
        <v>30</v>
      </c>
      <c r="K23800" t="s">
        <v>56983</v>
      </c>
      <c r="M23800" t="s">
        <v>50500</v>
      </c>
      <c r="N23800" t="str">
        <f>"10/16/2024 8:26:00 AM"</f>
        <v>10/16/2024 8:26:00 AM</v>
      </c>
      <c r="O23800" t="s">
        <v>72159</v>
      </c>
      <c r="T23800" t="s">
        <v>72160</v>
      </c>
    </row>
    <row r="23801" spans="1:20" x14ac:dyDescent="0.25">
      <c r="A23801" t="str">
        <f>"3052482"</f>
        <v>3052482</v>
      </c>
      <c r="B23801" t="s">
        <v>72162</v>
      </c>
      <c r="C23801" t="str">
        <f>"8323069"</f>
        <v>8323069</v>
      </c>
      <c r="D23801" t="s">
        <v>72163</v>
      </c>
      <c r="E23801" t="s">
        <v>72164</v>
      </c>
      <c r="F23801" t="s">
        <v>72165</v>
      </c>
      <c r="I23801" t="s">
        <v>184</v>
      </c>
      <c r="J23801" t="s">
        <v>30</v>
      </c>
      <c r="K23801" t="s">
        <v>41734</v>
      </c>
      <c r="M23801" t="s">
        <v>50500</v>
      </c>
      <c r="N23801" t="str">
        <f>"10/16/2024 8:35:00 AM"</f>
        <v>10/16/2024 8:35:00 AM</v>
      </c>
      <c r="O23801" t="s">
        <v>72163</v>
      </c>
      <c r="T23801" t="s">
        <v>72164</v>
      </c>
    </row>
    <row r="23802" spans="1:20" x14ac:dyDescent="0.25">
      <c r="A23802" t="str">
        <f>"3052665"</f>
        <v>3052665</v>
      </c>
      <c r="B23802" t="s">
        <v>72166</v>
      </c>
      <c r="C23802" t="str">
        <f>"8323070"</f>
        <v>8323070</v>
      </c>
      <c r="D23802" t="s">
        <v>72167</v>
      </c>
      <c r="E23802" t="s">
        <v>72168</v>
      </c>
      <c r="F23802" t="s">
        <v>72169</v>
      </c>
      <c r="I23802" t="s">
        <v>29</v>
      </c>
      <c r="J23802" t="s">
        <v>30</v>
      </c>
      <c r="K23802" t="s">
        <v>32996</v>
      </c>
      <c r="M23802" t="s">
        <v>50500</v>
      </c>
      <c r="N23802" t="str">
        <f>"10/16/2024 8:40:00 AM"</f>
        <v>10/16/2024 8:40:00 AM</v>
      </c>
      <c r="O23802" t="s">
        <v>72167</v>
      </c>
      <c r="T23802" t="s">
        <v>72168</v>
      </c>
    </row>
    <row r="23803" spans="1:20" x14ac:dyDescent="0.25">
      <c r="A23803" t="str">
        <f>"3044909"</f>
        <v>3044909</v>
      </c>
      <c r="B23803" t="s">
        <v>72170</v>
      </c>
      <c r="C23803" t="str">
        <f>"8323071"</f>
        <v>8323071</v>
      </c>
      <c r="D23803" t="s">
        <v>72171</v>
      </c>
      <c r="E23803" t="s">
        <v>72172</v>
      </c>
      <c r="F23803" t="s">
        <v>72173</v>
      </c>
      <c r="I23803" t="s">
        <v>184</v>
      </c>
      <c r="J23803" t="s">
        <v>30</v>
      </c>
      <c r="K23803" t="s">
        <v>33908</v>
      </c>
      <c r="M23803" t="s">
        <v>50500</v>
      </c>
      <c r="N23803" t="str">
        <f>"10/16/2024 8:56:00 AM"</f>
        <v>10/16/2024 8:56:00 AM</v>
      </c>
      <c r="O23803" t="s">
        <v>72171</v>
      </c>
      <c r="T23803" t="s">
        <v>72172</v>
      </c>
    </row>
    <row r="23804" spans="1:20" x14ac:dyDescent="0.25">
      <c r="A23804" t="str">
        <f>"3062715"</f>
        <v>3062715</v>
      </c>
      <c r="B23804" t="s">
        <v>72174</v>
      </c>
      <c r="C23804" t="str">
        <f>"8323072"</f>
        <v>8323072</v>
      </c>
      <c r="D23804" t="s">
        <v>72175</v>
      </c>
      <c r="F23804" t="s">
        <v>72176</v>
      </c>
      <c r="I23804" t="s">
        <v>29</v>
      </c>
      <c r="J23804" t="s">
        <v>30</v>
      </c>
      <c r="K23804" t="s">
        <v>41402</v>
      </c>
      <c r="M23804" t="s">
        <v>50500</v>
      </c>
      <c r="N23804" t="str">
        <f>"10/16/2024 9:06:00 AM"</f>
        <v>10/16/2024 9:06:00 AM</v>
      </c>
      <c r="O23804" t="s">
        <v>72175</v>
      </c>
    </row>
    <row r="23805" spans="1:20" x14ac:dyDescent="0.25">
      <c r="A23805" t="str">
        <f>"3050268"</f>
        <v>3050268</v>
      </c>
      <c r="B23805" t="s">
        <v>72177</v>
      </c>
      <c r="C23805" t="str">
        <f>"8323073"</f>
        <v>8323073</v>
      </c>
      <c r="D23805" t="s">
        <v>72178</v>
      </c>
      <c r="E23805" t="s">
        <v>72179</v>
      </c>
      <c r="F23805" t="s">
        <v>72180</v>
      </c>
      <c r="I23805" t="s">
        <v>29</v>
      </c>
      <c r="J23805" t="s">
        <v>30</v>
      </c>
      <c r="K23805" t="s">
        <v>62168</v>
      </c>
      <c r="M23805" t="s">
        <v>50500</v>
      </c>
      <c r="N23805" t="str">
        <f>"10/16/2024 9:10:00 AM"</f>
        <v>10/16/2024 9:10:00 AM</v>
      </c>
      <c r="O23805" t="s">
        <v>72178</v>
      </c>
      <c r="T23805" t="s">
        <v>72179</v>
      </c>
    </row>
    <row r="23806" spans="1:20" x14ac:dyDescent="0.25">
      <c r="A23806" t="str">
        <f>"3062788"</f>
        <v>3062788</v>
      </c>
      <c r="B23806" t="s">
        <v>72181</v>
      </c>
      <c r="C23806" t="str">
        <f>"8323075"</f>
        <v>8323075</v>
      </c>
      <c r="D23806" t="s">
        <v>72182</v>
      </c>
      <c r="E23806" t="s">
        <v>72183</v>
      </c>
      <c r="F23806" t="s">
        <v>72184</v>
      </c>
      <c r="I23806" t="s">
        <v>2071</v>
      </c>
      <c r="J23806" t="s">
        <v>30</v>
      </c>
      <c r="K23806" t="s">
        <v>41683</v>
      </c>
      <c r="M23806" t="s">
        <v>50500</v>
      </c>
      <c r="N23806" t="str">
        <f>"10/16/2024 9:18:00 AM"</f>
        <v>10/16/2024 9:18:00 AM</v>
      </c>
      <c r="O23806" t="s">
        <v>72182</v>
      </c>
      <c r="T23806" t="s">
        <v>72183</v>
      </c>
    </row>
    <row r="23807" spans="1:20" x14ac:dyDescent="0.25">
      <c r="A23807" t="str">
        <f>"3061698"</f>
        <v>3061698</v>
      </c>
      <c r="B23807" t="s">
        <v>72185</v>
      </c>
      <c r="C23807" t="str">
        <f>"8323076"</f>
        <v>8323076</v>
      </c>
      <c r="D23807" t="s">
        <v>72186</v>
      </c>
      <c r="F23807" t="s">
        <v>72187</v>
      </c>
      <c r="I23807" t="s">
        <v>2071</v>
      </c>
      <c r="J23807" t="s">
        <v>30</v>
      </c>
      <c r="K23807" t="s">
        <v>30968</v>
      </c>
      <c r="M23807" t="s">
        <v>50500</v>
      </c>
      <c r="N23807" t="str">
        <f>"10/16/2024 9:23:00 AM"</f>
        <v>10/16/2024 9:23:00 AM</v>
      </c>
      <c r="O23807" t="s">
        <v>72186</v>
      </c>
    </row>
    <row r="23808" spans="1:20" x14ac:dyDescent="0.25">
      <c r="A23808" t="str">
        <f>"3061987"</f>
        <v>3061987</v>
      </c>
      <c r="B23808" t="s">
        <v>72188</v>
      </c>
      <c r="C23808" t="str">
        <f>"8323078"</f>
        <v>8323078</v>
      </c>
      <c r="D23808" t="s">
        <v>72189</v>
      </c>
      <c r="F23808" t="s">
        <v>72190</v>
      </c>
      <c r="I23808" t="s">
        <v>184</v>
      </c>
      <c r="J23808" t="s">
        <v>30</v>
      </c>
      <c r="K23808" t="s">
        <v>64153</v>
      </c>
      <c r="M23808" t="s">
        <v>50500</v>
      </c>
      <c r="N23808" t="str">
        <f>"10/16/2024 9:27:00 AM"</f>
        <v>10/16/2024 9:27:00 AM</v>
      </c>
      <c r="O23808" t="s">
        <v>72189</v>
      </c>
    </row>
    <row r="23809" spans="1:20" x14ac:dyDescent="0.25">
      <c r="A23809" t="str">
        <f>"3062367"</f>
        <v>3062367</v>
      </c>
      <c r="B23809" t="s">
        <v>72191</v>
      </c>
      <c r="C23809" t="str">
        <f>"8323079"</f>
        <v>8323079</v>
      </c>
      <c r="D23809" t="s">
        <v>72192</v>
      </c>
      <c r="F23809" t="s">
        <v>72193</v>
      </c>
      <c r="G23809" t="s">
        <v>72194</v>
      </c>
      <c r="I23809" t="s">
        <v>72195</v>
      </c>
      <c r="J23809" t="s">
        <v>11697</v>
      </c>
      <c r="K23809" t="s">
        <v>72196</v>
      </c>
      <c r="M23809" t="s">
        <v>50500</v>
      </c>
      <c r="N23809" t="str">
        <f>"10/16/2024 9:33:00 AM"</f>
        <v>10/16/2024 9:33:00 AM</v>
      </c>
      <c r="O23809" t="s">
        <v>72192</v>
      </c>
    </row>
    <row r="23810" spans="1:20" x14ac:dyDescent="0.25">
      <c r="A23810" t="str">
        <f>"3066948"</f>
        <v>3066948</v>
      </c>
      <c r="B23810" t="s">
        <v>72197</v>
      </c>
      <c r="C23810" t="str">
        <f>"8323080"</f>
        <v>8323080</v>
      </c>
      <c r="D23810" t="s">
        <v>72198</v>
      </c>
      <c r="E23810" t="s">
        <v>72199</v>
      </c>
      <c r="F23810" t="s">
        <v>72200</v>
      </c>
      <c r="I23810" t="s">
        <v>29</v>
      </c>
      <c r="J23810" t="s">
        <v>30</v>
      </c>
      <c r="K23810" t="s">
        <v>24907</v>
      </c>
      <c r="M23810" t="s">
        <v>50500</v>
      </c>
      <c r="N23810" t="str">
        <f>"10/16/2024 9:38:00 AM"</f>
        <v>10/16/2024 9:38:00 AM</v>
      </c>
      <c r="O23810" t="s">
        <v>72198</v>
      </c>
      <c r="T23810" t="s">
        <v>72199</v>
      </c>
    </row>
    <row r="23811" spans="1:20" x14ac:dyDescent="0.25">
      <c r="A23811" t="str">
        <f>"3055666"</f>
        <v>3055666</v>
      </c>
      <c r="B23811" t="s">
        <v>72201</v>
      </c>
      <c r="C23811" t="str">
        <f>"8323082"</f>
        <v>8323082</v>
      </c>
      <c r="D23811" t="s">
        <v>72202</v>
      </c>
      <c r="E23811" t="s">
        <v>72203</v>
      </c>
      <c r="F23811" t="s">
        <v>72204</v>
      </c>
      <c r="I23811" t="s">
        <v>29</v>
      </c>
      <c r="J23811" t="s">
        <v>30</v>
      </c>
      <c r="K23811" t="s">
        <v>72205</v>
      </c>
      <c r="M23811" t="s">
        <v>50500</v>
      </c>
      <c r="N23811" t="str">
        <f>"10/16/2024 9:48:00 AM"</f>
        <v>10/16/2024 9:48:00 AM</v>
      </c>
      <c r="O23811" t="s">
        <v>72202</v>
      </c>
      <c r="T23811" t="s">
        <v>72203</v>
      </c>
    </row>
    <row r="23812" spans="1:20" x14ac:dyDescent="0.25">
      <c r="A23812" t="str">
        <f>"3059938"</f>
        <v>3059938</v>
      </c>
      <c r="B23812" t="s">
        <v>72206</v>
      </c>
      <c r="C23812" t="str">
        <f>"8323086"</f>
        <v>8323086</v>
      </c>
      <c r="D23812" t="s">
        <v>72207</v>
      </c>
      <c r="F23812" t="s">
        <v>72208</v>
      </c>
      <c r="I23812" t="s">
        <v>29</v>
      </c>
      <c r="J23812" t="s">
        <v>30</v>
      </c>
      <c r="K23812" t="s">
        <v>65634</v>
      </c>
      <c r="M23812" t="s">
        <v>50500</v>
      </c>
      <c r="N23812" t="str">
        <f>"10/16/2024 10:17:00 AM"</f>
        <v>10/16/2024 10:17:00 AM</v>
      </c>
      <c r="O23812" t="s">
        <v>72207</v>
      </c>
    </row>
    <row r="23813" spans="1:20" x14ac:dyDescent="0.25">
      <c r="A23813" t="str">
        <f>"3043355"</f>
        <v>3043355</v>
      </c>
      <c r="B23813" t="s">
        <v>72209</v>
      </c>
      <c r="C23813" t="str">
        <f>"8323091"</f>
        <v>8323091</v>
      </c>
      <c r="D23813" t="s">
        <v>72210</v>
      </c>
      <c r="E23813" t="s">
        <v>72211</v>
      </c>
      <c r="F23813" t="s">
        <v>72212</v>
      </c>
      <c r="I23813" t="s">
        <v>29</v>
      </c>
      <c r="J23813" t="s">
        <v>30</v>
      </c>
      <c r="K23813" t="s">
        <v>37639</v>
      </c>
      <c r="M23813" t="s">
        <v>50500</v>
      </c>
      <c r="N23813" t="str">
        <f>"10/16/2024 2:46:00 PM"</f>
        <v>10/16/2024 2:46:00 PM</v>
      </c>
      <c r="O23813" t="s">
        <v>72210</v>
      </c>
      <c r="T23813" t="s">
        <v>72211</v>
      </c>
    </row>
    <row r="23814" spans="1:20" x14ac:dyDescent="0.25">
      <c r="A23814" t="str">
        <f>"3077717"</f>
        <v>3077717</v>
      </c>
      <c r="B23814" t="s">
        <v>72213</v>
      </c>
      <c r="C23814" t="str">
        <f>"8323092"</f>
        <v>8323092</v>
      </c>
      <c r="D23814" t="s">
        <v>72214</v>
      </c>
      <c r="E23814" t="s">
        <v>72215</v>
      </c>
      <c r="F23814" t="s">
        <v>72216</v>
      </c>
      <c r="I23814" t="s">
        <v>29</v>
      </c>
      <c r="J23814" t="s">
        <v>30</v>
      </c>
      <c r="K23814" t="s">
        <v>72217</v>
      </c>
      <c r="M23814" t="s">
        <v>50500</v>
      </c>
      <c r="N23814" t="str">
        <f>"10/16/2024 2:58:00 PM"</f>
        <v>10/16/2024 2:58:00 PM</v>
      </c>
      <c r="O23814" t="s">
        <v>72214</v>
      </c>
      <c r="T23814" t="s">
        <v>72215</v>
      </c>
    </row>
    <row r="23815" spans="1:20" x14ac:dyDescent="0.25">
      <c r="A23815" t="str">
        <f>"3074122"</f>
        <v>3074122</v>
      </c>
      <c r="B23815" t="s">
        <v>72218</v>
      </c>
      <c r="C23815" t="str">
        <f>"8323094"</f>
        <v>8323094</v>
      </c>
      <c r="D23815" t="s">
        <v>72219</v>
      </c>
      <c r="E23815" t="s">
        <v>72220</v>
      </c>
      <c r="F23815" t="s">
        <v>72221</v>
      </c>
      <c r="I23815" t="s">
        <v>29</v>
      </c>
      <c r="J23815" t="s">
        <v>30</v>
      </c>
      <c r="K23815" t="s">
        <v>72222</v>
      </c>
      <c r="M23815" t="s">
        <v>50500</v>
      </c>
      <c r="N23815" t="str">
        <f>"10/16/2024 3:40:00 PM"</f>
        <v>10/16/2024 3:40:00 PM</v>
      </c>
      <c r="O23815" t="s">
        <v>72219</v>
      </c>
      <c r="T23815" t="s">
        <v>72220</v>
      </c>
    </row>
    <row r="23816" spans="1:20" x14ac:dyDescent="0.25">
      <c r="A23816" t="str">
        <f>"3052865"</f>
        <v>3052865</v>
      </c>
      <c r="B23816" t="s">
        <v>72223</v>
      </c>
      <c r="C23816" t="str">
        <f>"8323096"</f>
        <v>8323096</v>
      </c>
      <c r="D23816" t="s">
        <v>72224</v>
      </c>
      <c r="F23816" t="s">
        <v>72225</v>
      </c>
      <c r="I23816" t="s">
        <v>29</v>
      </c>
      <c r="J23816" t="s">
        <v>30</v>
      </c>
      <c r="K23816" t="s">
        <v>14834</v>
      </c>
      <c r="M23816" t="s">
        <v>50500</v>
      </c>
      <c r="N23816" t="str">
        <f>"10/17/2024 8:23:00 AM"</f>
        <v>10/17/2024 8:23:00 AM</v>
      </c>
      <c r="O23816" t="s">
        <v>72224</v>
      </c>
    </row>
    <row r="23817" spans="1:20" x14ac:dyDescent="0.25">
      <c r="A23817" t="str">
        <f>"3053824"</f>
        <v>3053824</v>
      </c>
      <c r="B23817" t="s">
        <v>72226</v>
      </c>
      <c r="C23817" t="str">
        <f>"8323097"</f>
        <v>8323097</v>
      </c>
      <c r="D23817" t="s">
        <v>72227</v>
      </c>
      <c r="F23817" t="s">
        <v>72228</v>
      </c>
      <c r="I23817" t="s">
        <v>29</v>
      </c>
      <c r="J23817" t="s">
        <v>30</v>
      </c>
      <c r="K23817" t="s">
        <v>13930</v>
      </c>
      <c r="M23817" t="s">
        <v>50500</v>
      </c>
      <c r="N23817" t="str">
        <f>"10/17/2024 9:05:00 AM"</f>
        <v>10/17/2024 9:05:00 AM</v>
      </c>
      <c r="O23817" t="s">
        <v>72227</v>
      </c>
    </row>
    <row r="23818" spans="1:20" x14ac:dyDescent="0.25">
      <c r="A23818" t="str">
        <f>"3078241"</f>
        <v>3078241</v>
      </c>
      <c r="B23818" t="s">
        <v>72229</v>
      </c>
      <c r="C23818" t="str">
        <f>"8323098"</f>
        <v>8323098</v>
      </c>
      <c r="D23818" t="s">
        <v>72230</v>
      </c>
      <c r="F23818" t="s">
        <v>72231</v>
      </c>
      <c r="I23818" t="s">
        <v>29</v>
      </c>
      <c r="J23818" t="s">
        <v>30</v>
      </c>
      <c r="K23818" t="s">
        <v>19719</v>
      </c>
      <c r="M23818" t="s">
        <v>50500</v>
      </c>
      <c r="N23818" t="str">
        <f>"10/17/2024 9:11:00 AM"</f>
        <v>10/17/2024 9:11:00 AM</v>
      </c>
      <c r="O23818" t="s">
        <v>72230</v>
      </c>
    </row>
    <row r="23819" spans="1:20" x14ac:dyDescent="0.25">
      <c r="A23819" t="str">
        <f>"3062740"</f>
        <v>3062740</v>
      </c>
      <c r="B23819" t="s">
        <v>72232</v>
      </c>
      <c r="C23819" t="str">
        <f>"8323099"</f>
        <v>8323099</v>
      </c>
      <c r="D23819" t="s">
        <v>72233</v>
      </c>
      <c r="E23819" t="s">
        <v>72234</v>
      </c>
      <c r="F23819" t="s">
        <v>72235</v>
      </c>
      <c r="I23819" t="s">
        <v>184</v>
      </c>
      <c r="J23819" t="s">
        <v>30</v>
      </c>
      <c r="K23819" t="s">
        <v>44648</v>
      </c>
      <c r="M23819" t="s">
        <v>50500</v>
      </c>
      <c r="N23819" t="str">
        <f>"10/17/2024 9:35:00 AM"</f>
        <v>10/17/2024 9:35:00 AM</v>
      </c>
      <c r="O23819" t="s">
        <v>72233</v>
      </c>
      <c r="T23819" t="s">
        <v>72234</v>
      </c>
    </row>
    <row r="23820" spans="1:20" x14ac:dyDescent="0.25">
      <c r="A23820" t="str">
        <f>"3039269"</f>
        <v>3039269</v>
      </c>
      <c r="B23820" t="s">
        <v>72236</v>
      </c>
      <c r="C23820" t="str">
        <f>"8323100"</f>
        <v>8323100</v>
      </c>
      <c r="D23820" t="s">
        <v>72237</v>
      </c>
      <c r="F23820" t="s">
        <v>71561</v>
      </c>
      <c r="I23820" t="s">
        <v>29</v>
      </c>
      <c r="J23820" t="s">
        <v>30</v>
      </c>
      <c r="K23820" t="s">
        <v>71562</v>
      </c>
      <c r="M23820" t="s">
        <v>50500</v>
      </c>
      <c r="N23820" t="str">
        <f>"10/17/2024 9:39:00 AM"</f>
        <v>10/17/2024 9:39:00 AM</v>
      </c>
      <c r="O23820" t="s">
        <v>72237</v>
      </c>
    </row>
    <row r="23821" spans="1:20" x14ac:dyDescent="0.25">
      <c r="A23821" t="str">
        <f>"3062519"</f>
        <v>3062519</v>
      </c>
      <c r="B23821" t="s">
        <v>72238</v>
      </c>
      <c r="C23821" t="str">
        <f>"8323101"</f>
        <v>8323101</v>
      </c>
      <c r="D23821" t="s">
        <v>72239</v>
      </c>
      <c r="F23821" t="s">
        <v>72240</v>
      </c>
      <c r="I23821" t="s">
        <v>184</v>
      </c>
      <c r="J23821" t="s">
        <v>30</v>
      </c>
      <c r="K23821" t="s">
        <v>43385</v>
      </c>
      <c r="M23821" t="s">
        <v>50500</v>
      </c>
      <c r="N23821" t="str">
        <f>"10/17/2024 9:43:00 AM"</f>
        <v>10/17/2024 9:43:00 AM</v>
      </c>
      <c r="O23821" t="s">
        <v>72239</v>
      </c>
    </row>
    <row r="23822" spans="1:20" x14ac:dyDescent="0.25">
      <c r="A23822" t="str">
        <f>"3058995"</f>
        <v>3058995</v>
      </c>
      <c r="B23822" t="s">
        <v>72241</v>
      </c>
      <c r="C23822" t="str">
        <f>"8323102"</f>
        <v>8323102</v>
      </c>
      <c r="D23822" t="s">
        <v>72242</v>
      </c>
      <c r="E23822" t="s">
        <v>72243</v>
      </c>
      <c r="F23822" t="s">
        <v>72244</v>
      </c>
      <c r="I23822" t="s">
        <v>29</v>
      </c>
      <c r="J23822" t="s">
        <v>30</v>
      </c>
      <c r="K23822" t="s">
        <v>24290</v>
      </c>
      <c r="M23822" t="s">
        <v>50500</v>
      </c>
      <c r="N23822" t="str">
        <f>"10/17/2024 10:10:00 AM"</f>
        <v>10/17/2024 10:10:00 AM</v>
      </c>
      <c r="O23822" t="s">
        <v>72242</v>
      </c>
      <c r="T23822" t="s">
        <v>72243</v>
      </c>
    </row>
    <row r="23823" spans="1:20" x14ac:dyDescent="0.25">
      <c r="A23823" t="str">
        <f>"3049953"</f>
        <v>3049953</v>
      </c>
      <c r="B23823" t="s">
        <v>72245</v>
      </c>
      <c r="C23823" t="str">
        <f>"8323104"</f>
        <v>8323104</v>
      </c>
      <c r="D23823" t="s">
        <v>72246</v>
      </c>
      <c r="E23823" t="s">
        <v>72247</v>
      </c>
      <c r="F23823" t="s">
        <v>72248</v>
      </c>
      <c r="I23823" t="s">
        <v>29</v>
      </c>
      <c r="J23823" t="s">
        <v>30</v>
      </c>
      <c r="K23823" t="s">
        <v>13377</v>
      </c>
      <c r="M23823" t="s">
        <v>50500</v>
      </c>
      <c r="N23823" t="str">
        <f>"10/17/2024 11:39:00 AM"</f>
        <v>10/17/2024 11:39:00 AM</v>
      </c>
      <c r="O23823" t="s">
        <v>72246</v>
      </c>
      <c r="T23823" t="s">
        <v>72247</v>
      </c>
    </row>
    <row r="23824" spans="1:20" x14ac:dyDescent="0.25">
      <c r="A23824" t="str">
        <f>"3048185"</f>
        <v>3048185</v>
      </c>
      <c r="B23824" t="s">
        <v>72249</v>
      </c>
      <c r="C23824" t="str">
        <f>"8301859"</f>
        <v>8301859</v>
      </c>
      <c r="D23824" t="s">
        <v>72250</v>
      </c>
      <c r="F23824" t="s">
        <v>72251</v>
      </c>
      <c r="I23824" t="s">
        <v>29</v>
      </c>
      <c r="J23824" t="s">
        <v>30</v>
      </c>
      <c r="K23824" t="s">
        <v>72252</v>
      </c>
      <c r="M23824" t="s">
        <v>51351</v>
      </c>
      <c r="N23824" t="str">
        <f>"10/18/2024 8:33:00 AM"</f>
        <v>10/18/2024 8:33:00 AM</v>
      </c>
      <c r="O23824" t="s">
        <v>72250</v>
      </c>
    </row>
    <row r="23825" spans="1:20" x14ac:dyDescent="0.25">
      <c r="A23825" t="str">
        <f>"3054737"</f>
        <v>3054737</v>
      </c>
      <c r="B23825" t="s">
        <v>72253</v>
      </c>
      <c r="C23825" t="str">
        <f>"8313413"</f>
        <v>8313413</v>
      </c>
      <c r="D23825" t="s">
        <v>43112</v>
      </c>
      <c r="E23825" t="s">
        <v>72254</v>
      </c>
      <c r="F23825" t="str">
        <f>"C/O MARY SELLERS"</f>
        <v>C/O MARY SELLERS</v>
      </c>
      <c r="G23825" t="s">
        <v>41614</v>
      </c>
      <c r="I23825" t="s">
        <v>29</v>
      </c>
      <c r="J23825" t="s">
        <v>30</v>
      </c>
      <c r="K23825" t="str">
        <f>"27028"</f>
        <v>27028</v>
      </c>
      <c r="M23825" t="s">
        <v>18470</v>
      </c>
      <c r="N23825" t="str">
        <f>"10/18/2024 10:29:00 AM"</f>
        <v>10/18/2024 10:29:00 AM</v>
      </c>
      <c r="O23825" t="s">
        <v>43112</v>
      </c>
      <c r="T23825" t="s">
        <v>72254</v>
      </c>
    </row>
    <row r="23826" spans="1:20" x14ac:dyDescent="0.25">
      <c r="A23826" t="str">
        <f>"3051004"</f>
        <v>3051004</v>
      </c>
      <c r="B23826" t="s">
        <v>72255</v>
      </c>
      <c r="C23826" t="str">
        <f>"8323106"</f>
        <v>8323106</v>
      </c>
      <c r="D23826" t="s">
        <v>72256</v>
      </c>
      <c r="F23826" t="s">
        <v>72257</v>
      </c>
      <c r="I23826" t="s">
        <v>184</v>
      </c>
      <c r="J23826" t="s">
        <v>30</v>
      </c>
      <c r="K23826" t="s">
        <v>38258</v>
      </c>
      <c r="M23826" t="s">
        <v>50500</v>
      </c>
      <c r="N23826" t="str">
        <f>"10/18/2024 11:17:00 AM"</f>
        <v>10/18/2024 11:17:00 AM</v>
      </c>
      <c r="O23826" t="s">
        <v>72256</v>
      </c>
    </row>
    <row r="23827" spans="1:20" x14ac:dyDescent="0.25">
      <c r="A23827" t="str">
        <f>"3061130"</f>
        <v>3061130</v>
      </c>
      <c r="B23827" t="s">
        <v>72258</v>
      </c>
      <c r="C23827" t="str">
        <f>"8323107"</f>
        <v>8323107</v>
      </c>
      <c r="D23827" t="s">
        <v>72259</v>
      </c>
      <c r="F23827" t="s">
        <v>72260</v>
      </c>
      <c r="I23827" t="s">
        <v>184</v>
      </c>
      <c r="J23827" t="s">
        <v>30</v>
      </c>
      <c r="K23827" t="s">
        <v>44523</v>
      </c>
      <c r="M23827" t="s">
        <v>50500</v>
      </c>
      <c r="N23827" t="str">
        <f>"10/18/2024 1:38:00 PM"</f>
        <v>10/18/2024 1:38:00 PM</v>
      </c>
      <c r="O23827" t="s">
        <v>72259</v>
      </c>
    </row>
    <row r="23828" spans="1:20" x14ac:dyDescent="0.25">
      <c r="A23828" t="str">
        <f>"3045025"</f>
        <v>3045025</v>
      </c>
      <c r="B23828" t="s">
        <v>72261</v>
      </c>
      <c r="C23828" t="str">
        <f>"8323108"</f>
        <v>8323108</v>
      </c>
      <c r="D23828" t="s">
        <v>72262</v>
      </c>
      <c r="E23828" t="s">
        <v>25983</v>
      </c>
      <c r="F23828" t="s">
        <v>72263</v>
      </c>
      <c r="I23828" t="s">
        <v>29</v>
      </c>
      <c r="J23828" t="s">
        <v>30</v>
      </c>
      <c r="K23828" t="s">
        <v>11310</v>
      </c>
      <c r="M23828" t="s">
        <v>50500</v>
      </c>
      <c r="N23828" t="str">
        <f>"10/18/2024 2:41:00 PM"</f>
        <v>10/18/2024 2:41:00 PM</v>
      </c>
      <c r="O23828" t="s">
        <v>72262</v>
      </c>
      <c r="T23828" t="s">
        <v>25983</v>
      </c>
    </row>
    <row r="23829" spans="1:20" x14ac:dyDescent="0.25">
      <c r="A23829" t="str">
        <f>"3062002"</f>
        <v>3062002</v>
      </c>
      <c r="B23829" t="s">
        <v>72264</v>
      </c>
      <c r="C23829" t="str">
        <f>"8323109"</f>
        <v>8323109</v>
      </c>
      <c r="D23829" t="s">
        <v>72265</v>
      </c>
      <c r="E23829" t="s">
        <v>72266</v>
      </c>
      <c r="F23829" t="s">
        <v>72267</v>
      </c>
      <c r="I23829" t="s">
        <v>29</v>
      </c>
      <c r="J23829" t="s">
        <v>30</v>
      </c>
      <c r="K23829" t="s">
        <v>14439</v>
      </c>
      <c r="M23829" t="s">
        <v>50500</v>
      </c>
      <c r="N23829" t="str">
        <f>"10/18/2024 2:49:00 PM"</f>
        <v>10/18/2024 2:49:00 PM</v>
      </c>
      <c r="O23829" t="s">
        <v>72265</v>
      </c>
      <c r="T23829" t="s">
        <v>72266</v>
      </c>
    </row>
    <row r="23830" spans="1:20" x14ac:dyDescent="0.25">
      <c r="A23830" t="str">
        <f>"3050682"</f>
        <v>3050682</v>
      </c>
      <c r="B23830" t="s">
        <v>72268</v>
      </c>
      <c r="C23830" t="str">
        <f>"8323110"</f>
        <v>8323110</v>
      </c>
      <c r="D23830" t="s">
        <v>72269</v>
      </c>
      <c r="F23830" t="s">
        <v>72270</v>
      </c>
      <c r="I23830" t="s">
        <v>184</v>
      </c>
      <c r="J23830" t="s">
        <v>30</v>
      </c>
      <c r="K23830" t="s">
        <v>38725</v>
      </c>
      <c r="M23830" t="s">
        <v>50500</v>
      </c>
      <c r="N23830" t="str">
        <f>"10/18/2024 2:57:00 PM"</f>
        <v>10/18/2024 2:57:00 PM</v>
      </c>
      <c r="O23830" t="s">
        <v>72269</v>
      </c>
    </row>
    <row r="23831" spans="1:20" x14ac:dyDescent="0.25">
      <c r="A23831" t="str">
        <f>"3049392"</f>
        <v>3049392</v>
      </c>
      <c r="B23831" t="s">
        <v>72271</v>
      </c>
      <c r="C23831" t="str">
        <f>"8323112"</f>
        <v>8323112</v>
      </c>
      <c r="D23831" t="s">
        <v>72272</v>
      </c>
      <c r="F23831" t="s">
        <v>72273</v>
      </c>
      <c r="I23831" t="s">
        <v>471</v>
      </c>
      <c r="J23831" t="s">
        <v>30</v>
      </c>
      <c r="K23831" t="s">
        <v>72274</v>
      </c>
      <c r="M23831" t="s">
        <v>50500</v>
      </c>
      <c r="N23831" t="str">
        <f>"10/18/2024 3:21:00 PM"</f>
        <v>10/18/2024 3:21:00 PM</v>
      </c>
      <c r="O23831" t="s">
        <v>72272</v>
      </c>
    </row>
    <row r="23832" spans="1:20" x14ac:dyDescent="0.25">
      <c r="A23832" t="str">
        <f>"3052905"</f>
        <v>3052905</v>
      </c>
      <c r="B23832" t="s">
        <v>72275</v>
      </c>
      <c r="C23832" t="str">
        <f>"8316688"</f>
        <v>8316688</v>
      </c>
      <c r="D23832" t="s">
        <v>72276</v>
      </c>
      <c r="F23832" t="s">
        <v>72277</v>
      </c>
      <c r="I23832" t="s">
        <v>29</v>
      </c>
      <c r="J23832" t="s">
        <v>30</v>
      </c>
      <c r="K23832" t="s">
        <v>42637</v>
      </c>
      <c r="M23832" t="s">
        <v>50500</v>
      </c>
      <c r="N23832" t="str">
        <f>"10/21/2024 9:08:00 AM"</f>
        <v>10/21/2024 9:08:00 AM</v>
      </c>
      <c r="O23832" t="s">
        <v>72276</v>
      </c>
    </row>
    <row r="23833" spans="1:20" x14ac:dyDescent="0.25">
      <c r="A23833" t="str">
        <f>"3052486"</f>
        <v>3052486</v>
      </c>
      <c r="B23833" t="s">
        <v>72278</v>
      </c>
      <c r="C23833" t="str">
        <f>"8316688"</f>
        <v>8316688</v>
      </c>
      <c r="D23833" t="s">
        <v>72276</v>
      </c>
      <c r="F23833" t="s">
        <v>72277</v>
      </c>
      <c r="I23833" t="s">
        <v>29</v>
      </c>
      <c r="J23833" t="s">
        <v>30</v>
      </c>
      <c r="K23833" t="s">
        <v>42637</v>
      </c>
      <c r="M23833" t="s">
        <v>50500</v>
      </c>
      <c r="N23833" t="str">
        <f>"10/21/2024 9:08:00 AM"</f>
        <v>10/21/2024 9:08:00 AM</v>
      </c>
      <c r="O23833" t="s">
        <v>72276</v>
      </c>
    </row>
    <row r="23834" spans="1:20" x14ac:dyDescent="0.25">
      <c r="A23834" t="str">
        <f>"3052499"</f>
        <v>3052499</v>
      </c>
      <c r="B23834" t="s">
        <v>72279</v>
      </c>
      <c r="C23834" t="str">
        <f>"8316688"</f>
        <v>8316688</v>
      </c>
      <c r="D23834" t="s">
        <v>72276</v>
      </c>
      <c r="F23834" t="s">
        <v>72277</v>
      </c>
      <c r="I23834" t="s">
        <v>29</v>
      </c>
      <c r="J23834" t="s">
        <v>30</v>
      </c>
      <c r="K23834" t="s">
        <v>42637</v>
      </c>
      <c r="M23834" t="s">
        <v>50500</v>
      </c>
      <c r="N23834" t="str">
        <f>"10/21/2024 9:08:00 AM"</f>
        <v>10/21/2024 9:08:00 AM</v>
      </c>
      <c r="O23834" t="s">
        <v>72276</v>
      </c>
    </row>
    <row r="23835" spans="1:20" x14ac:dyDescent="0.25">
      <c r="A23835" t="str">
        <f>"3052459"</f>
        <v>3052459</v>
      </c>
      <c r="B23835" t="s">
        <v>72280</v>
      </c>
      <c r="C23835" t="str">
        <f>"8316688"</f>
        <v>8316688</v>
      </c>
      <c r="D23835" t="s">
        <v>72276</v>
      </c>
      <c r="F23835" t="s">
        <v>72277</v>
      </c>
      <c r="I23835" t="s">
        <v>29</v>
      </c>
      <c r="J23835" t="s">
        <v>30</v>
      </c>
      <c r="K23835" t="s">
        <v>42637</v>
      </c>
      <c r="M23835" t="s">
        <v>50500</v>
      </c>
      <c r="N23835" t="str">
        <f>"10/21/2024 9:08:00 AM"</f>
        <v>10/21/2024 9:08:00 AM</v>
      </c>
      <c r="O23835" t="s">
        <v>72276</v>
      </c>
    </row>
    <row r="23836" spans="1:20" x14ac:dyDescent="0.25">
      <c r="A23836" t="str">
        <f>"3052243"</f>
        <v>3052243</v>
      </c>
      <c r="B23836" t="s">
        <v>72281</v>
      </c>
      <c r="C23836" t="str">
        <f>"8316688"</f>
        <v>8316688</v>
      </c>
      <c r="D23836" t="s">
        <v>72276</v>
      </c>
      <c r="F23836" t="s">
        <v>72277</v>
      </c>
      <c r="I23836" t="s">
        <v>29</v>
      </c>
      <c r="J23836" t="s">
        <v>30</v>
      </c>
      <c r="K23836" t="s">
        <v>42637</v>
      </c>
      <c r="M23836" t="s">
        <v>50500</v>
      </c>
      <c r="N23836" t="str">
        <f>"10/21/2024 9:08:00 AM"</f>
        <v>10/21/2024 9:08:00 AM</v>
      </c>
      <c r="O23836" t="s">
        <v>72276</v>
      </c>
    </row>
    <row r="23837" spans="1:20" x14ac:dyDescent="0.25">
      <c r="A23837" t="str">
        <f>"3046642"</f>
        <v>3046642</v>
      </c>
      <c r="B23837" t="s">
        <v>72282</v>
      </c>
      <c r="C23837" t="str">
        <f>"8323119"</f>
        <v>8323119</v>
      </c>
      <c r="D23837" t="s">
        <v>72283</v>
      </c>
      <c r="E23837" t="s">
        <v>43503</v>
      </c>
      <c r="F23837" t="s">
        <v>43505</v>
      </c>
      <c r="I23837" t="s">
        <v>184</v>
      </c>
      <c r="J23837" t="s">
        <v>30</v>
      </c>
      <c r="K23837" t="s">
        <v>48651</v>
      </c>
      <c r="M23837" t="s">
        <v>50500</v>
      </c>
      <c r="N23837" t="str">
        <f>"10/21/2024 9:55:00 AM"</f>
        <v>10/21/2024 9:55:00 AM</v>
      </c>
      <c r="O23837" t="s">
        <v>72283</v>
      </c>
      <c r="T23837" t="s">
        <v>43503</v>
      </c>
    </row>
    <row r="23838" spans="1:20" x14ac:dyDescent="0.25">
      <c r="A23838" t="str">
        <f>"3078000"</f>
        <v>3078000</v>
      </c>
      <c r="B23838" t="s">
        <v>72284</v>
      </c>
      <c r="C23838" t="str">
        <f>"8323119"</f>
        <v>8323119</v>
      </c>
      <c r="D23838" t="s">
        <v>72283</v>
      </c>
      <c r="E23838" t="s">
        <v>43503</v>
      </c>
      <c r="F23838" t="s">
        <v>43505</v>
      </c>
      <c r="I23838" t="s">
        <v>184</v>
      </c>
      <c r="J23838" t="s">
        <v>30</v>
      </c>
      <c r="K23838" t="s">
        <v>48651</v>
      </c>
      <c r="M23838" t="s">
        <v>50500</v>
      </c>
      <c r="N23838" t="str">
        <f>"10/21/2024 9:55:00 AM"</f>
        <v>10/21/2024 9:55:00 AM</v>
      </c>
      <c r="O23838" t="s">
        <v>72283</v>
      </c>
      <c r="T23838" t="s">
        <v>43503</v>
      </c>
    </row>
    <row r="23839" spans="1:20" x14ac:dyDescent="0.25">
      <c r="A23839" t="str">
        <f>"3051542"</f>
        <v>3051542</v>
      </c>
      <c r="B23839" t="s">
        <v>72285</v>
      </c>
      <c r="C23839" t="str">
        <f>"8323120"</f>
        <v>8323120</v>
      </c>
      <c r="D23839" t="s">
        <v>72286</v>
      </c>
      <c r="E23839" t="s">
        <v>72287</v>
      </c>
      <c r="F23839" t="s">
        <v>72288</v>
      </c>
      <c r="I23839" t="s">
        <v>29</v>
      </c>
      <c r="J23839" t="s">
        <v>30</v>
      </c>
      <c r="K23839" t="s">
        <v>36446</v>
      </c>
      <c r="M23839" t="s">
        <v>50500</v>
      </c>
      <c r="N23839" t="str">
        <f>"10/21/2024 10:07:00 AM"</f>
        <v>10/21/2024 10:07:00 AM</v>
      </c>
      <c r="O23839" t="s">
        <v>72286</v>
      </c>
      <c r="T23839" t="s">
        <v>72287</v>
      </c>
    </row>
    <row r="23840" spans="1:20" x14ac:dyDescent="0.25">
      <c r="A23840" t="str">
        <f>"3041670"</f>
        <v>3041670</v>
      </c>
      <c r="B23840" t="s">
        <v>72289</v>
      </c>
      <c r="C23840" t="str">
        <f>"8323121"</f>
        <v>8323121</v>
      </c>
      <c r="D23840" t="s">
        <v>72290</v>
      </c>
      <c r="E23840" t="s">
        <v>72291</v>
      </c>
      <c r="F23840" t="s">
        <v>72292</v>
      </c>
      <c r="I23840" t="s">
        <v>184</v>
      </c>
      <c r="J23840" t="s">
        <v>30</v>
      </c>
      <c r="K23840" t="s">
        <v>44834</v>
      </c>
      <c r="M23840" t="s">
        <v>50500</v>
      </c>
      <c r="N23840" t="str">
        <f>"10/21/2024 10:13:00 AM"</f>
        <v>10/21/2024 10:13:00 AM</v>
      </c>
      <c r="O23840" t="s">
        <v>72290</v>
      </c>
      <c r="T23840" t="s">
        <v>72291</v>
      </c>
    </row>
    <row r="23841" spans="1:20" x14ac:dyDescent="0.25">
      <c r="A23841" t="str">
        <f>"3062174"</f>
        <v>3062174</v>
      </c>
      <c r="B23841" t="s">
        <v>72293</v>
      </c>
      <c r="C23841" t="str">
        <f>"8323125"</f>
        <v>8323125</v>
      </c>
      <c r="D23841" t="s">
        <v>72294</v>
      </c>
      <c r="F23841" t="s">
        <v>72295</v>
      </c>
      <c r="I23841" t="s">
        <v>184</v>
      </c>
      <c r="J23841" t="s">
        <v>30</v>
      </c>
      <c r="K23841" t="s">
        <v>64153</v>
      </c>
      <c r="M23841" t="s">
        <v>50500</v>
      </c>
      <c r="N23841" t="str">
        <f>"10/21/2024 11:24:00 AM"</f>
        <v>10/21/2024 11:24:00 AM</v>
      </c>
      <c r="O23841" t="s">
        <v>72294</v>
      </c>
    </row>
    <row r="23842" spans="1:20" x14ac:dyDescent="0.25">
      <c r="A23842" t="str">
        <f>"3052971"</f>
        <v>3052971</v>
      </c>
      <c r="B23842" t="s">
        <v>72296</v>
      </c>
      <c r="C23842" t="str">
        <f>"8323128"</f>
        <v>8323128</v>
      </c>
      <c r="D23842" t="s">
        <v>72297</v>
      </c>
      <c r="F23842" t="s">
        <v>72298</v>
      </c>
      <c r="I23842" t="s">
        <v>29</v>
      </c>
      <c r="J23842" t="s">
        <v>30</v>
      </c>
      <c r="K23842" t="s">
        <v>33641</v>
      </c>
      <c r="M23842" t="s">
        <v>50500</v>
      </c>
      <c r="N23842" t="str">
        <f>"10/21/2024 1:51:00 PM"</f>
        <v>10/21/2024 1:51:00 PM</v>
      </c>
      <c r="O23842" t="s">
        <v>72297</v>
      </c>
    </row>
    <row r="23843" spans="1:20" x14ac:dyDescent="0.25">
      <c r="A23843" t="str">
        <f>"3046840"</f>
        <v>3046840</v>
      </c>
      <c r="B23843" t="s">
        <v>72299</v>
      </c>
      <c r="C23843" t="str">
        <f>"8323131"</f>
        <v>8323131</v>
      </c>
      <c r="D23843" t="s">
        <v>72300</v>
      </c>
      <c r="F23843" t="s">
        <v>72301</v>
      </c>
      <c r="G23843" t="s">
        <v>72302</v>
      </c>
      <c r="I23843" t="s">
        <v>402</v>
      </c>
      <c r="J23843" t="s">
        <v>30</v>
      </c>
      <c r="K23843" t="s">
        <v>72303</v>
      </c>
      <c r="M23843" t="s">
        <v>50500</v>
      </c>
      <c r="N23843" t="str">
        <f>"10/21/2024 3:56:00 PM"</f>
        <v>10/21/2024 3:56:00 PM</v>
      </c>
      <c r="O23843" t="s">
        <v>72300</v>
      </c>
    </row>
    <row r="23844" spans="1:20" x14ac:dyDescent="0.25">
      <c r="A23844" t="str">
        <f>"3062392"</f>
        <v>3062392</v>
      </c>
      <c r="B23844" t="s">
        <v>72304</v>
      </c>
      <c r="C23844" t="str">
        <f>"8323136"</f>
        <v>8323136</v>
      </c>
      <c r="D23844" t="s">
        <v>72305</v>
      </c>
      <c r="E23844" t="s">
        <v>72306</v>
      </c>
      <c r="F23844" t="s">
        <v>72307</v>
      </c>
      <c r="I23844" t="s">
        <v>29</v>
      </c>
      <c r="J23844" t="s">
        <v>30</v>
      </c>
      <c r="K23844" t="s">
        <v>39024</v>
      </c>
      <c r="M23844" t="s">
        <v>50500</v>
      </c>
      <c r="N23844" t="str">
        <f>"10/22/2024 8:32:00 AM"</f>
        <v>10/22/2024 8:32:00 AM</v>
      </c>
      <c r="O23844" t="s">
        <v>72305</v>
      </c>
      <c r="T23844" t="s">
        <v>72306</v>
      </c>
    </row>
    <row r="23845" spans="1:20" x14ac:dyDescent="0.25">
      <c r="A23845" t="str">
        <f>"3052828"</f>
        <v>3052828</v>
      </c>
      <c r="B23845" t="s">
        <v>72308</v>
      </c>
      <c r="C23845" t="str">
        <f>"8323137"</f>
        <v>8323137</v>
      </c>
      <c r="D23845" t="s">
        <v>72309</v>
      </c>
      <c r="E23845" t="s">
        <v>72310</v>
      </c>
      <c r="F23845" t="s">
        <v>72311</v>
      </c>
      <c r="I23845" t="s">
        <v>29</v>
      </c>
      <c r="J23845" t="s">
        <v>30</v>
      </c>
      <c r="K23845" t="s">
        <v>52301</v>
      </c>
      <c r="M23845" t="s">
        <v>50500</v>
      </c>
      <c r="N23845" t="str">
        <f>"10/22/2024 8:40:00 AM"</f>
        <v>10/22/2024 8:40:00 AM</v>
      </c>
      <c r="O23845" t="s">
        <v>72309</v>
      </c>
      <c r="T23845" t="s">
        <v>72310</v>
      </c>
    </row>
    <row r="23846" spans="1:20" x14ac:dyDescent="0.25">
      <c r="A23846" t="str">
        <f>"3070844"</f>
        <v>3070844</v>
      </c>
      <c r="B23846" t="s">
        <v>72312</v>
      </c>
      <c r="C23846" t="str">
        <f>"8323139"</f>
        <v>8323139</v>
      </c>
      <c r="D23846" t="s">
        <v>72313</v>
      </c>
      <c r="F23846" t="s">
        <v>72314</v>
      </c>
      <c r="G23846" t="s">
        <v>72315</v>
      </c>
      <c r="I23846" t="s">
        <v>72316</v>
      </c>
      <c r="J23846" t="s">
        <v>17511</v>
      </c>
      <c r="K23846" t="s">
        <v>72317</v>
      </c>
      <c r="M23846" t="s">
        <v>50500</v>
      </c>
      <c r="N23846" t="str">
        <f>"10/22/2024 8:47:00 AM"</f>
        <v>10/22/2024 8:47:00 AM</v>
      </c>
      <c r="O23846" t="s">
        <v>72313</v>
      </c>
    </row>
    <row r="23847" spans="1:20" x14ac:dyDescent="0.25">
      <c r="A23847" t="str">
        <f>"3061295"</f>
        <v>3061295</v>
      </c>
      <c r="B23847" t="s">
        <v>72318</v>
      </c>
      <c r="C23847" t="str">
        <f>"8323140"</f>
        <v>8323140</v>
      </c>
      <c r="D23847" t="s">
        <v>72319</v>
      </c>
      <c r="F23847" t="s">
        <v>72320</v>
      </c>
      <c r="I23847" t="s">
        <v>2071</v>
      </c>
      <c r="J23847" t="s">
        <v>30</v>
      </c>
      <c r="K23847" t="s">
        <v>38348</v>
      </c>
      <c r="M23847" t="s">
        <v>50500</v>
      </c>
      <c r="N23847" t="str">
        <f>"10/22/2024 8:52:00 AM"</f>
        <v>10/22/2024 8:52:00 AM</v>
      </c>
      <c r="O23847" t="s">
        <v>72319</v>
      </c>
    </row>
    <row r="23848" spans="1:20" x14ac:dyDescent="0.25">
      <c r="A23848" t="str">
        <f>"3052112"</f>
        <v>3052112</v>
      </c>
      <c r="B23848" t="s">
        <v>72321</v>
      </c>
      <c r="C23848" t="str">
        <f>"8323141"</f>
        <v>8323141</v>
      </c>
      <c r="D23848" t="s">
        <v>72322</v>
      </c>
      <c r="E23848" t="s">
        <v>72323</v>
      </c>
      <c r="F23848" t="s">
        <v>72324</v>
      </c>
      <c r="I23848" t="s">
        <v>72325</v>
      </c>
      <c r="J23848" t="s">
        <v>2738</v>
      </c>
      <c r="K23848" t="s">
        <v>72326</v>
      </c>
      <c r="M23848" t="s">
        <v>50500</v>
      </c>
      <c r="N23848" t="str">
        <f>"10/22/2024 9:01:00 AM"</f>
        <v>10/22/2024 9:01:00 AM</v>
      </c>
      <c r="O23848" t="s">
        <v>72322</v>
      </c>
      <c r="T23848" t="s">
        <v>72323</v>
      </c>
    </row>
    <row r="23849" spans="1:20" x14ac:dyDescent="0.25">
      <c r="A23849" t="str">
        <f>"3044501"</f>
        <v>3044501</v>
      </c>
      <c r="B23849" t="s">
        <v>72327</v>
      </c>
      <c r="C23849" t="str">
        <f>"8308919"</f>
        <v>8308919</v>
      </c>
      <c r="D23849" t="s">
        <v>72328</v>
      </c>
      <c r="E23849" t="s">
        <v>72329</v>
      </c>
      <c r="F23849" t="s">
        <v>72330</v>
      </c>
      <c r="I23849" t="s">
        <v>184</v>
      </c>
      <c r="J23849" t="s">
        <v>30</v>
      </c>
      <c r="K23849" t="s">
        <v>72331</v>
      </c>
      <c r="M23849" t="s">
        <v>50793</v>
      </c>
      <c r="N23849" t="str">
        <f>"10/22/2024 9:02:00 AM"</f>
        <v>10/22/2024 9:02:00 AM</v>
      </c>
      <c r="O23849" t="s">
        <v>72328</v>
      </c>
      <c r="T23849" t="s">
        <v>72329</v>
      </c>
    </row>
    <row r="23850" spans="1:20" x14ac:dyDescent="0.25">
      <c r="A23850" t="str">
        <f>"3056398"</f>
        <v>3056398</v>
      </c>
      <c r="B23850" t="s">
        <v>72332</v>
      </c>
      <c r="C23850" t="str">
        <f>"8323144"</f>
        <v>8323144</v>
      </c>
      <c r="D23850" t="s">
        <v>72333</v>
      </c>
      <c r="E23850" t="s">
        <v>72334</v>
      </c>
      <c r="F23850" t="s">
        <v>72335</v>
      </c>
      <c r="I23850" t="s">
        <v>29</v>
      </c>
      <c r="J23850" t="s">
        <v>30</v>
      </c>
      <c r="K23850" t="s">
        <v>16753</v>
      </c>
      <c r="M23850" t="s">
        <v>50500</v>
      </c>
      <c r="N23850" t="str">
        <f>"10/22/2024 9:25:00 AM"</f>
        <v>10/22/2024 9:25:00 AM</v>
      </c>
      <c r="O23850" t="s">
        <v>72333</v>
      </c>
      <c r="T23850" t="s">
        <v>72334</v>
      </c>
    </row>
    <row r="23851" spans="1:20" x14ac:dyDescent="0.25">
      <c r="A23851" t="str">
        <f>"3078179"</f>
        <v>3078179</v>
      </c>
      <c r="B23851" t="s">
        <v>72336</v>
      </c>
      <c r="C23851" t="str">
        <f>"8323146"</f>
        <v>8323146</v>
      </c>
      <c r="D23851" t="s">
        <v>72337</v>
      </c>
      <c r="F23851" t="s">
        <v>72338</v>
      </c>
      <c r="I23851" t="s">
        <v>29</v>
      </c>
      <c r="J23851" t="s">
        <v>30</v>
      </c>
      <c r="K23851" t="s">
        <v>72339</v>
      </c>
      <c r="M23851" t="s">
        <v>50500</v>
      </c>
      <c r="N23851" t="str">
        <f>"10/22/2024 9:51:00 AM"</f>
        <v>10/22/2024 9:51:00 AM</v>
      </c>
      <c r="O23851" t="s">
        <v>72337</v>
      </c>
    </row>
    <row r="23852" spans="1:20" x14ac:dyDescent="0.25">
      <c r="A23852" t="str">
        <f>"3056436"</f>
        <v>3056436</v>
      </c>
      <c r="B23852" t="s">
        <v>72340</v>
      </c>
      <c r="C23852" t="str">
        <f>"8323147"</f>
        <v>8323147</v>
      </c>
      <c r="D23852" t="s">
        <v>72341</v>
      </c>
      <c r="E23852" t="s">
        <v>72342</v>
      </c>
      <c r="F23852" t="s">
        <v>69855</v>
      </c>
      <c r="I23852" t="s">
        <v>42980</v>
      </c>
      <c r="J23852" t="s">
        <v>30</v>
      </c>
      <c r="K23852" t="s">
        <v>69856</v>
      </c>
      <c r="M23852" t="s">
        <v>50500</v>
      </c>
      <c r="N23852" t="str">
        <f>"10/22/2024 9:55:00 AM"</f>
        <v>10/22/2024 9:55:00 AM</v>
      </c>
      <c r="O23852" t="s">
        <v>72341</v>
      </c>
      <c r="T23852" t="s">
        <v>72342</v>
      </c>
    </row>
    <row r="23853" spans="1:20" x14ac:dyDescent="0.25">
      <c r="A23853" t="str">
        <f>"3062656"</f>
        <v>3062656</v>
      </c>
      <c r="B23853" t="s">
        <v>72343</v>
      </c>
      <c r="C23853" t="str">
        <f>"8323148"</f>
        <v>8323148</v>
      </c>
      <c r="D23853" t="s">
        <v>72344</v>
      </c>
      <c r="F23853" t="s">
        <v>72345</v>
      </c>
      <c r="I23853" t="s">
        <v>184</v>
      </c>
      <c r="J23853" t="s">
        <v>30</v>
      </c>
      <c r="K23853" t="s">
        <v>24896</v>
      </c>
      <c r="M23853" t="s">
        <v>50500</v>
      </c>
      <c r="N23853" t="str">
        <f>"10/22/2024 10:02:00 AM"</f>
        <v>10/22/2024 10:02:00 AM</v>
      </c>
      <c r="O23853" t="s">
        <v>72344</v>
      </c>
    </row>
    <row r="23854" spans="1:20" x14ac:dyDescent="0.25">
      <c r="A23854" t="str">
        <f>"3041891"</f>
        <v>3041891</v>
      </c>
      <c r="B23854" t="s">
        <v>72346</v>
      </c>
      <c r="C23854" t="str">
        <f>"8323149"</f>
        <v>8323149</v>
      </c>
      <c r="D23854" t="s">
        <v>72347</v>
      </c>
      <c r="F23854" t="s">
        <v>62843</v>
      </c>
      <c r="I23854" t="s">
        <v>184</v>
      </c>
      <c r="J23854" t="s">
        <v>30</v>
      </c>
      <c r="K23854" t="s">
        <v>34351</v>
      </c>
      <c r="M23854" t="s">
        <v>50500</v>
      </c>
      <c r="N23854" t="str">
        <f>"10/22/2024 10:15:00 AM"</f>
        <v>10/22/2024 10:15:00 AM</v>
      </c>
      <c r="O23854" t="s">
        <v>72347</v>
      </c>
    </row>
    <row r="23855" spans="1:20" x14ac:dyDescent="0.25">
      <c r="A23855" t="str">
        <f>"3060173"</f>
        <v>3060173</v>
      </c>
      <c r="B23855" t="s">
        <v>72348</v>
      </c>
      <c r="C23855" t="str">
        <f>"8323150"</f>
        <v>8323150</v>
      </c>
      <c r="D23855" t="s">
        <v>72349</v>
      </c>
      <c r="E23855" t="s">
        <v>72350</v>
      </c>
      <c r="F23855" t="s">
        <v>72351</v>
      </c>
      <c r="I23855" t="s">
        <v>184</v>
      </c>
      <c r="J23855" t="s">
        <v>30</v>
      </c>
      <c r="K23855" t="s">
        <v>48651</v>
      </c>
      <c r="M23855" t="s">
        <v>50500</v>
      </c>
      <c r="N23855" t="str">
        <f>"10/22/2024 10:20:00 AM"</f>
        <v>10/22/2024 10:20:00 AM</v>
      </c>
      <c r="O23855" t="s">
        <v>72349</v>
      </c>
      <c r="T23855" t="s">
        <v>72350</v>
      </c>
    </row>
    <row r="23856" spans="1:20" x14ac:dyDescent="0.25">
      <c r="A23856" t="str">
        <f>"3039465"</f>
        <v>3039465</v>
      </c>
      <c r="B23856" t="s">
        <v>72352</v>
      </c>
      <c r="C23856" t="str">
        <f>"8323151"</f>
        <v>8323151</v>
      </c>
      <c r="D23856" t="s">
        <v>72353</v>
      </c>
      <c r="E23856" t="s">
        <v>72354</v>
      </c>
      <c r="F23856" t="s">
        <v>72355</v>
      </c>
      <c r="I23856" t="s">
        <v>2071</v>
      </c>
      <c r="J23856" t="s">
        <v>30</v>
      </c>
      <c r="K23856" t="s">
        <v>42173</v>
      </c>
      <c r="M23856" t="s">
        <v>50500</v>
      </c>
      <c r="N23856" t="str">
        <f>"10/22/2024 10:25:00 AM"</f>
        <v>10/22/2024 10:25:00 AM</v>
      </c>
      <c r="O23856" t="s">
        <v>72353</v>
      </c>
      <c r="T23856" t="s">
        <v>72354</v>
      </c>
    </row>
    <row r="23857" spans="1:20" x14ac:dyDescent="0.25">
      <c r="A23857" t="str">
        <f>"3039464"</f>
        <v>3039464</v>
      </c>
      <c r="B23857" t="s">
        <v>72356</v>
      </c>
      <c r="C23857" t="str">
        <f>"8323151"</f>
        <v>8323151</v>
      </c>
      <c r="D23857" t="s">
        <v>72353</v>
      </c>
      <c r="E23857" t="s">
        <v>72354</v>
      </c>
      <c r="F23857" t="s">
        <v>72355</v>
      </c>
      <c r="I23857" t="s">
        <v>2071</v>
      </c>
      <c r="J23857" t="s">
        <v>30</v>
      </c>
      <c r="K23857" t="s">
        <v>42173</v>
      </c>
      <c r="M23857" t="s">
        <v>50500</v>
      </c>
      <c r="N23857" t="str">
        <f>"10/22/2024 10:25:00 AM"</f>
        <v>10/22/2024 10:25:00 AM</v>
      </c>
      <c r="O23857" t="s">
        <v>72353</v>
      </c>
      <c r="T23857" t="s">
        <v>72354</v>
      </c>
    </row>
    <row r="23858" spans="1:20" x14ac:dyDescent="0.25">
      <c r="A23858" t="str">
        <f>"3058155"</f>
        <v>3058155</v>
      </c>
      <c r="B23858" t="s">
        <v>72357</v>
      </c>
      <c r="C23858" t="str">
        <f>"8323152"</f>
        <v>8323152</v>
      </c>
      <c r="D23858" t="s">
        <v>72358</v>
      </c>
      <c r="E23858" t="s">
        <v>72359</v>
      </c>
      <c r="F23858" t="s">
        <v>72360</v>
      </c>
      <c r="I23858" t="s">
        <v>184</v>
      </c>
      <c r="J23858" t="s">
        <v>30</v>
      </c>
      <c r="K23858" t="s">
        <v>6203</v>
      </c>
      <c r="M23858" t="s">
        <v>50500</v>
      </c>
      <c r="N23858" t="str">
        <f>"10/22/2024 10:30:00 AM"</f>
        <v>10/22/2024 10:30:00 AM</v>
      </c>
      <c r="O23858" t="s">
        <v>72358</v>
      </c>
      <c r="T23858" t="s">
        <v>72359</v>
      </c>
    </row>
    <row r="23859" spans="1:20" x14ac:dyDescent="0.25">
      <c r="A23859" t="str">
        <f>"3039265"</f>
        <v>3039265</v>
      </c>
      <c r="B23859" t="s">
        <v>72361</v>
      </c>
      <c r="C23859" t="str">
        <f>"8318471"</f>
        <v>8318471</v>
      </c>
      <c r="D23859" t="s">
        <v>72362</v>
      </c>
      <c r="F23859" t="s">
        <v>72363</v>
      </c>
      <c r="I23859" t="s">
        <v>29</v>
      </c>
      <c r="J23859" t="s">
        <v>30</v>
      </c>
      <c r="K23859" t="s">
        <v>21204</v>
      </c>
      <c r="M23859" t="s">
        <v>50621</v>
      </c>
      <c r="N23859" t="str">
        <f>"10/22/2024 10:33:00 AM"</f>
        <v>10/22/2024 10:33:00 AM</v>
      </c>
      <c r="O23859" t="s">
        <v>72362</v>
      </c>
    </row>
    <row r="23860" spans="1:20" x14ac:dyDescent="0.25">
      <c r="A23860" t="str">
        <f>"3051525"</f>
        <v>3051525</v>
      </c>
      <c r="B23860" t="s">
        <v>72364</v>
      </c>
      <c r="C23860" t="str">
        <f>"8323153"</f>
        <v>8323153</v>
      </c>
      <c r="D23860" t="s">
        <v>72365</v>
      </c>
      <c r="F23860" t="s">
        <v>72366</v>
      </c>
      <c r="I23860" t="s">
        <v>29</v>
      </c>
      <c r="J23860" t="s">
        <v>30</v>
      </c>
      <c r="K23860" t="s">
        <v>72367</v>
      </c>
      <c r="M23860" t="s">
        <v>50500</v>
      </c>
      <c r="N23860" t="str">
        <f>"10/22/2024 10:35:00 AM"</f>
        <v>10/22/2024 10:35:00 AM</v>
      </c>
      <c r="O23860" t="s">
        <v>72365</v>
      </c>
    </row>
    <row r="23861" spans="1:20" x14ac:dyDescent="0.25">
      <c r="A23861" t="str">
        <f>"3062738"</f>
        <v>3062738</v>
      </c>
      <c r="B23861" t="s">
        <v>72368</v>
      </c>
      <c r="C23861" t="str">
        <f>"8323154"</f>
        <v>8323154</v>
      </c>
      <c r="D23861" t="s">
        <v>72369</v>
      </c>
      <c r="E23861" t="s">
        <v>72370</v>
      </c>
      <c r="F23861" t="s">
        <v>72371</v>
      </c>
      <c r="I23861" t="s">
        <v>184</v>
      </c>
      <c r="J23861" t="s">
        <v>30</v>
      </c>
      <c r="K23861" t="s">
        <v>39012</v>
      </c>
      <c r="M23861" t="s">
        <v>50500</v>
      </c>
      <c r="N23861" t="str">
        <f>"10/22/2024 10:40:00 AM"</f>
        <v>10/22/2024 10:40:00 AM</v>
      </c>
      <c r="O23861" t="s">
        <v>72369</v>
      </c>
      <c r="T23861" t="s">
        <v>72370</v>
      </c>
    </row>
    <row r="23862" spans="1:20" x14ac:dyDescent="0.25">
      <c r="A23862" t="str">
        <f>"3063069"</f>
        <v>3063069</v>
      </c>
      <c r="B23862" t="s">
        <v>72372</v>
      </c>
      <c r="C23862" t="str">
        <f>"8323156"</f>
        <v>8323156</v>
      </c>
      <c r="D23862" t="s">
        <v>72373</v>
      </c>
      <c r="E23862" t="s">
        <v>72374</v>
      </c>
      <c r="F23862" t="s">
        <v>72375</v>
      </c>
      <c r="I23862" t="s">
        <v>184</v>
      </c>
      <c r="J23862" t="s">
        <v>30</v>
      </c>
      <c r="K23862" t="s">
        <v>9082</v>
      </c>
      <c r="M23862" t="s">
        <v>50500</v>
      </c>
      <c r="N23862" t="str">
        <f>"10/22/2024 10:47:00 AM"</f>
        <v>10/22/2024 10:47:00 AM</v>
      </c>
      <c r="O23862" t="s">
        <v>72373</v>
      </c>
      <c r="T23862" t="s">
        <v>72374</v>
      </c>
    </row>
    <row r="23863" spans="1:20" x14ac:dyDescent="0.25">
      <c r="A23863" t="str">
        <f>"3061984"</f>
        <v>3061984</v>
      </c>
      <c r="B23863" t="s">
        <v>72376</v>
      </c>
      <c r="C23863" t="str">
        <f>"8323157"</f>
        <v>8323157</v>
      </c>
      <c r="D23863" t="s">
        <v>72377</v>
      </c>
      <c r="E23863" t="s">
        <v>72378</v>
      </c>
      <c r="F23863" t="s">
        <v>72379</v>
      </c>
      <c r="I23863" t="s">
        <v>184</v>
      </c>
      <c r="J23863" t="s">
        <v>30</v>
      </c>
      <c r="K23863" t="s">
        <v>63671</v>
      </c>
      <c r="M23863" t="s">
        <v>50500</v>
      </c>
      <c r="N23863" t="str">
        <f>"10/22/2024 11:08:00 AM"</f>
        <v>10/22/2024 11:08:00 AM</v>
      </c>
      <c r="O23863" t="s">
        <v>72377</v>
      </c>
      <c r="T23863" t="s">
        <v>72378</v>
      </c>
    </row>
    <row r="23864" spans="1:20" x14ac:dyDescent="0.25">
      <c r="A23864" t="str">
        <f>"3061221"</f>
        <v>3061221</v>
      </c>
      <c r="B23864" t="s">
        <v>72380</v>
      </c>
      <c r="C23864" t="str">
        <f>"8323158"</f>
        <v>8323158</v>
      </c>
      <c r="D23864" t="s">
        <v>72381</v>
      </c>
      <c r="F23864" t="s">
        <v>72382</v>
      </c>
      <c r="I23864" t="s">
        <v>471</v>
      </c>
      <c r="J23864" t="s">
        <v>30</v>
      </c>
      <c r="K23864" t="s">
        <v>72383</v>
      </c>
      <c r="M23864" t="s">
        <v>50500</v>
      </c>
      <c r="N23864" t="str">
        <f>"10/22/2024 11:12:00 AM"</f>
        <v>10/22/2024 11:12:00 AM</v>
      </c>
      <c r="O23864" t="s">
        <v>72381</v>
      </c>
    </row>
    <row r="23865" spans="1:20" x14ac:dyDescent="0.25">
      <c r="A23865" t="str">
        <f>"3062772"</f>
        <v>3062772</v>
      </c>
      <c r="B23865" t="s">
        <v>72384</v>
      </c>
      <c r="C23865" t="str">
        <f>"8323159"</f>
        <v>8323159</v>
      </c>
      <c r="D23865" t="s">
        <v>72385</v>
      </c>
      <c r="E23865" t="s">
        <v>72386</v>
      </c>
      <c r="F23865" t="s">
        <v>72387</v>
      </c>
      <c r="I23865" t="s">
        <v>29</v>
      </c>
      <c r="J23865" t="s">
        <v>30</v>
      </c>
      <c r="K23865" t="s">
        <v>38025</v>
      </c>
      <c r="M23865" t="s">
        <v>50500</v>
      </c>
      <c r="N23865" t="str">
        <f>"10/22/2024 11:16:00 AM"</f>
        <v>10/22/2024 11:16:00 AM</v>
      </c>
      <c r="O23865" t="s">
        <v>72385</v>
      </c>
      <c r="T23865" t="s">
        <v>72386</v>
      </c>
    </row>
    <row r="23866" spans="1:20" x14ac:dyDescent="0.25">
      <c r="A23866" t="str">
        <f>"3051024"</f>
        <v>3051024</v>
      </c>
      <c r="B23866" t="s">
        <v>72388</v>
      </c>
      <c r="C23866" t="str">
        <f>"8323163"</f>
        <v>8323163</v>
      </c>
      <c r="D23866" t="s">
        <v>72389</v>
      </c>
      <c r="F23866" t="s">
        <v>72390</v>
      </c>
      <c r="I23866" t="s">
        <v>29</v>
      </c>
      <c r="J23866" t="s">
        <v>30</v>
      </c>
      <c r="K23866" t="s">
        <v>42475</v>
      </c>
      <c r="M23866" t="s">
        <v>50500</v>
      </c>
      <c r="N23866" t="str">
        <f>"10/22/2024 1:59:00 PM"</f>
        <v>10/22/2024 1:59:00 PM</v>
      </c>
      <c r="O23866" t="s">
        <v>72389</v>
      </c>
    </row>
    <row r="23867" spans="1:20" x14ac:dyDescent="0.25">
      <c r="A23867" t="str">
        <f>"3058480"</f>
        <v>3058480</v>
      </c>
      <c r="B23867" t="s">
        <v>72391</v>
      </c>
      <c r="C23867" t="str">
        <f>"8323164"</f>
        <v>8323164</v>
      </c>
      <c r="D23867" t="s">
        <v>72392</v>
      </c>
      <c r="F23867" t="s">
        <v>72393</v>
      </c>
      <c r="I23867" t="s">
        <v>29</v>
      </c>
      <c r="J23867" t="s">
        <v>30</v>
      </c>
      <c r="K23867" t="s">
        <v>39454</v>
      </c>
      <c r="M23867" t="s">
        <v>50500</v>
      </c>
      <c r="N23867" t="str">
        <f>"10/22/2024 2:05:00 PM"</f>
        <v>10/22/2024 2:05:00 PM</v>
      </c>
      <c r="O23867" t="s">
        <v>72392</v>
      </c>
    </row>
    <row r="23868" spans="1:20" x14ac:dyDescent="0.25">
      <c r="A23868" t="str">
        <f>"3042635"</f>
        <v>3042635</v>
      </c>
      <c r="B23868" t="s">
        <v>72394</v>
      </c>
      <c r="C23868" t="str">
        <f>"8323165"</f>
        <v>8323165</v>
      </c>
      <c r="D23868" t="s">
        <v>72395</v>
      </c>
      <c r="E23868" t="s">
        <v>72396</v>
      </c>
      <c r="F23868" t="s">
        <v>72397</v>
      </c>
      <c r="I23868" t="s">
        <v>29</v>
      </c>
      <c r="J23868" t="s">
        <v>30</v>
      </c>
      <c r="K23868" t="s">
        <v>48471</v>
      </c>
      <c r="M23868" t="s">
        <v>50500</v>
      </c>
      <c r="N23868" t="str">
        <f>"10/22/2024 2:12:00 PM"</f>
        <v>10/22/2024 2:12:00 PM</v>
      </c>
      <c r="O23868" t="s">
        <v>72395</v>
      </c>
      <c r="T23868" t="s">
        <v>72396</v>
      </c>
    </row>
    <row r="23869" spans="1:20" x14ac:dyDescent="0.25">
      <c r="A23869" t="str">
        <f>"3047241"</f>
        <v>3047241</v>
      </c>
      <c r="B23869" t="s">
        <v>72398</v>
      </c>
      <c r="C23869" t="str">
        <f>"8323168"</f>
        <v>8323168</v>
      </c>
      <c r="D23869" t="s">
        <v>72399</v>
      </c>
      <c r="E23869" t="s">
        <v>72400</v>
      </c>
      <c r="F23869" t="s">
        <v>72401</v>
      </c>
      <c r="I23869" t="s">
        <v>184</v>
      </c>
      <c r="J23869" t="s">
        <v>30</v>
      </c>
      <c r="K23869" t="s">
        <v>37486</v>
      </c>
      <c r="M23869" t="s">
        <v>50500</v>
      </c>
      <c r="N23869" t="str">
        <f>"10/22/2024 2:20:00 PM"</f>
        <v>10/22/2024 2:20:00 PM</v>
      </c>
      <c r="O23869" t="s">
        <v>72399</v>
      </c>
      <c r="T23869" t="s">
        <v>72400</v>
      </c>
    </row>
    <row r="23870" spans="1:20" x14ac:dyDescent="0.25">
      <c r="A23870" t="str">
        <f>"3043160"</f>
        <v>3043160</v>
      </c>
      <c r="B23870" t="s">
        <v>72402</v>
      </c>
      <c r="C23870" t="str">
        <f>"39556100"</f>
        <v>39556100</v>
      </c>
      <c r="D23870" t="s">
        <v>72403</v>
      </c>
      <c r="E23870" t="s">
        <v>72404</v>
      </c>
      <c r="F23870" t="str">
        <f>"C/O HULCHEY JAMES"</f>
        <v>C/O HULCHEY JAMES</v>
      </c>
      <c r="G23870" t="s">
        <v>72405</v>
      </c>
      <c r="I23870" t="s">
        <v>2280</v>
      </c>
      <c r="J23870" t="s">
        <v>30</v>
      </c>
      <c r="K23870" t="s">
        <v>72406</v>
      </c>
      <c r="M23870" t="s">
        <v>51351</v>
      </c>
      <c r="N23870" t="str">
        <f>"10/23/2024 2:07:00 PM"</f>
        <v>10/23/2024 2:07:00 PM</v>
      </c>
      <c r="O23870" t="s">
        <v>72403</v>
      </c>
      <c r="T23870" t="s">
        <v>72404</v>
      </c>
    </row>
    <row r="23871" spans="1:20" x14ac:dyDescent="0.25">
      <c r="A23871" t="str">
        <f>"3043201"</f>
        <v>3043201</v>
      </c>
      <c r="B23871" t="s">
        <v>72407</v>
      </c>
      <c r="C23871" t="str">
        <f>"39556100"</f>
        <v>39556100</v>
      </c>
      <c r="D23871" t="s">
        <v>72403</v>
      </c>
      <c r="E23871" t="s">
        <v>72404</v>
      </c>
      <c r="F23871" t="str">
        <f>"C/O HULCHEY JAMES"</f>
        <v>C/O HULCHEY JAMES</v>
      </c>
      <c r="G23871" t="s">
        <v>72405</v>
      </c>
      <c r="I23871" t="s">
        <v>2280</v>
      </c>
      <c r="J23871" t="s">
        <v>30</v>
      </c>
      <c r="K23871" t="s">
        <v>72406</v>
      </c>
      <c r="M23871" t="s">
        <v>51351</v>
      </c>
      <c r="N23871" t="str">
        <f>"10/23/2024 2:07:00 PM"</f>
        <v>10/23/2024 2:07:00 PM</v>
      </c>
      <c r="O23871" t="s">
        <v>72403</v>
      </c>
      <c r="T23871" t="s">
        <v>72404</v>
      </c>
    </row>
    <row r="23872" spans="1:20" x14ac:dyDescent="0.25">
      <c r="A23872" t="str">
        <f>"3057766"</f>
        <v>3057766</v>
      </c>
      <c r="B23872" t="s">
        <v>72408</v>
      </c>
      <c r="C23872" t="str">
        <f>"82530031"</f>
        <v>82530031</v>
      </c>
      <c r="D23872" t="s">
        <v>72409</v>
      </c>
      <c r="F23872" t="s">
        <v>72410</v>
      </c>
      <c r="I23872" t="s">
        <v>29</v>
      </c>
      <c r="J23872" t="s">
        <v>30</v>
      </c>
      <c r="K23872" t="s">
        <v>31</v>
      </c>
      <c r="M23872" t="s">
        <v>50621</v>
      </c>
      <c r="N23872" t="str">
        <f>"10/25/2024 10:00:00 AM"</f>
        <v>10/25/2024 10:00:00 AM</v>
      </c>
      <c r="O23872" t="s">
        <v>72409</v>
      </c>
    </row>
    <row r="23873" spans="1:20" x14ac:dyDescent="0.25">
      <c r="A23873" t="str">
        <f>"3044265"</f>
        <v>3044265</v>
      </c>
      <c r="B23873" t="s">
        <v>72411</v>
      </c>
      <c r="C23873" t="str">
        <f>"8323198"</f>
        <v>8323198</v>
      </c>
      <c r="D23873" t="s">
        <v>72412</v>
      </c>
      <c r="E23873" t="s">
        <v>72413</v>
      </c>
      <c r="F23873" t="s">
        <v>72414</v>
      </c>
      <c r="I23873" t="s">
        <v>184</v>
      </c>
      <c r="J23873" t="s">
        <v>30</v>
      </c>
      <c r="K23873" t="s">
        <v>71133</v>
      </c>
      <c r="M23873" t="s">
        <v>50500</v>
      </c>
      <c r="N23873" t="str">
        <f>"10/28/2024 8:33:00 AM"</f>
        <v>10/28/2024 8:33:00 AM</v>
      </c>
      <c r="O23873" t="s">
        <v>72412</v>
      </c>
      <c r="T23873" t="s">
        <v>72413</v>
      </c>
    </row>
    <row r="23874" spans="1:20" x14ac:dyDescent="0.25">
      <c r="A23874" t="str">
        <f>"3078197"</f>
        <v>3078197</v>
      </c>
      <c r="B23874" t="s">
        <v>72415</v>
      </c>
      <c r="C23874" t="str">
        <f>"8323199"</f>
        <v>8323199</v>
      </c>
      <c r="D23874" t="s">
        <v>72416</v>
      </c>
      <c r="E23874" t="s">
        <v>72417</v>
      </c>
      <c r="F23874" t="s">
        <v>72418</v>
      </c>
      <c r="I23874" t="s">
        <v>184</v>
      </c>
      <c r="J23874" t="s">
        <v>30</v>
      </c>
      <c r="K23874" t="s">
        <v>46254</v>
      </c>
      <c r="M23874" t="s">
        <v>50500</v>
      </c>
      <c r="N23874" t="str">
        <f>"10/28/2024 8:39:00 AM"</f>
        <v>10/28/2024 8:39:00 AM</v>
      </c>
      <c r="O23874" t="s">
        <v>72416</v>
      </c>
      <c r="T23874" t="s">
        <v>72417</v>
      </c>
    </row>
    <row r="23875" spans="1:20" x14ac:dyDescent="0.25">
      <c r="A23875" t="str">
        <f>"3060373"</f>
        <v>3060373</v>
      </c>
      <c r="B23875" t="s">
        <v>72419</v>
      </c>
      <c r="C23875" t="str">
        <f>"8323203"</f>
        <v>8323203</v>
      </c>
      <c r="D23875" t="s">
        <v>72420</v>
      </c>
      <c r="F23875" t="s">
        <v>72421</v>
      </c>
      <c r="I23875" t="s">
        <v>29</v>
      </c>
      <c r="J23875" t="s">
        <v>30</v>
      </c>
      <c r="K23875" t="s">
        <v>72422</v>
      </c>
      <c r="M23875" t="s">
        <v>50500</v>
      </c>
      <c r="N23875" t="str">
        <f>"10/28/2024 9:28:00 AM"</f>
        <v>10/28/2024 9:28:00 AM</v>
      </c>
      <c r="O23875" t="s">
        <v>72420</v>
      </c>
    </row>
    <row r="23876" spans="1:20" x14ac:dyDescent="0.25">
      <c r="A23876" t="str">
        <f>"3057505"</f>
        <v>3057505</v>
      </c>
      <c r="B23876" t="s">
        <v>72423</v>
      </c>
      <c r="C23876" t="str">
        <f>"8323203"</f>
        <v>8323203</v>
      </c>
      <c r="D23876" t="s">
        <v>72420</v>
      </c>
      <c r="F23876" t="s">
        <v>72421</v>
      </c>
      <c r="I23876" t="s">
        <v>29</v>
      </c>
      <c r="J23876" t="s">
        <v>30</v>
      </c>
      <c r="K23876" t="s">
        <v>72422</v>
      </c>
      <c r="M23876" t="s">
        <v>50500</v>
      </c>
      <c r="N23876" t="str">
        <f>"10/28/2024 9:28:00 AM"</f>
        <v>10/28/2024 9:28:00 AM</v>
      </c>
      <c r="O23876" t="s">
        <v>72420</v>
      </c>
    </row>
    <row r="23877" spans="1:20" x14ac:dyDescent="0.25">
      <c r="A23877" t="str">
        <f>"3057501"</f>
        <v>3057501</v>
      </c>
      <c r="B23877" t="s">
        <v>72424</v>
      </c>
      <c r="C23877" t="str">
        <f>"8323203"</f>
        <v>8323203</v>
      </c>
      <c r="D23877" t="s">
        <v>72420</v>
      </c>
      <c r="F23877" t="s">
        <v>72421</v>
      </c>
      <c r="I23877" t="s">
        <v>29</v>
      </c>
      <c r="J23877" t="s">
        <v>30</v>
      </c>
      <c r="K23877" t="s">
        <v>72422</v>
      </c>
      <c r="M23877" t="s">
        <v>50500</v>
      </c>
      <c r="N23877" t="str">
        <f>"10/28/2024 9:28:00 AM"</f>
        <v>10/28/2024 9:28:00 AM</v>
      </c>
      <c r="O23877" t="s">
        <v>72420</v>
      </c>
    </row>
    <row r="23878" spans="1:20" x14ac:dyDescent="0.25">
      <c r="A23878" t="str">
        <f>"3040965"</f>
        <v>3040965</v>
      </c>
      <c r="B23878" t="s">
        <v>72425</v>
      </c>
      <c r="C23878" t="str">
        <f>"74220500"</f>
        <v>74220500</v>
      </c>
      <c r="D23878" t="s">
        <v>72426</v>
      </c>
      <c r="F23878" t="str">
        <f>"C/O KENNETH DALE FOSTER"</f>
        <v>C/O KENNETH DALE FOSTER</v>
      </c>
      <c r="G23878" t="s">
        <v>36441</v>
      </c>
      <c r="I23878" t="s">
        <v>184</v>
      </c>
      <c r="J23878" t="s">
        <v>30</v>
      </c>
      <c r="K23878" t="s">
        <v>36442</v>
      </c>
      <c r="M23878" t="s">
        <v>51351</v>
      </c>
      <c r="N23878" t="str">
        <f>"10/28/2024 9:35:00 AM"</f>
        <v>10/28/2024 9:35:00 AM</v>
      </c>
      <c r="O23878" t="s">
        <v>72426</v>
      </c>
    </row>
    <row r="23879" spans="1:20" x14ac:dyDescent="0.25">
      <c r="A23879" t="str">
        <f>"3068156"</f>
        <v>3068156</v>
      </c>
      <c r="B23879" t="s">
        <v>72427</v>
      </c>
      <c r="C23879" t="str">
        <f>"8322941"</f>
        <v>8322941</v>
      </c>
      <c r="D23879" t="s">
        <v>72428</v>
      </c>
      <c r="E23879" t="s">
        <v>72429</v>
      </c>
      <c r="F23879" t="s">
        <v>72026</v>
      </c>
      <c r="I23879" t="s">
        <v>72027</v>
      </c>
      <c r="J23879" t="s">
        <v>30</v>
      </c>
      <c r="K23879" t="s">
        <v>72028</v>
      </c>
      <c r="M23879" t="s">
        <v>50500</v>
      </c>
      <c r="N23879" t="str">
        <f>"10/28/2024 12:00:00 PM"</f>
        <v>10/28/2024 12:00:00 PM</v>
      </c>
      <c r="O23879" t="s">
        <v>72428</v>
      </c>
      <c r="T23879" t="s">
        <v>72429</v>
      </c>
    </row>
    <row r="23880" spans="1:20" x14ac:dyDescent="0.25">
      <c r="A23880" t="str">
        <f>"3050868"</f>
        <v>3050868</v>
      </c>
      <c r="B23880" t="s">
        <v>72430</v>
      </c>
      <c r="C23880" t="str">
        <f>"8306243"</f>
        <v>8306243</v>
      </c>
      <c r="D23880" t="s">
        <v>72431</v>
      </c>
      <c r="E23880" t="s">
        <v>72432</v>
      </c>
      <c r="F23880" t="s">
        <v>72433</v>
      </c>
      <c r="I23880" t="s">
        <v>184</v>
      </c>
      <c r="J23880" t="s">
        <v>30</v>
      </c>
      <c r="K23880" t="str">
        <f>"27006"</f>
        <v>27006</v>
      </c>
      <c r="M23880" t="s">
        <v>25733</v>
      </c>
      <c r="N23880" t="str">
        <f>"10/28/2024 1:55:00 PM"</f>
        <v>10/28/2024 1:55:00 PM</v>
      </c>
      <c r="O23880" t="s">
        <v>72431</v>
      </c>
      <c r="T23880" t="s">
        <v>72432</v>
      </c>
    </row>
    <row r="23881" spans="1:20" x14ac:dyDescent="0.25">
      <c r="A23881" t="str">
        <f>"3037334"</f>
        <v>3037334</v>
      </c>
      <c r="B23881" t="s">
        <v>72434</v>
      </c>
      <c r="C23881" t="str">
        <f>"82521306"</f>
        <v>82521306</v>
      </c>
      <c r="D23881" t="s">
        <v>72435</v>
      </c>
      <c r="F23881" t="s">
        <v>72436</v>
      </c>
      <c r="I23881" t="s">
        <v>184</v>
      </c>
      <c r="J23881" t="s">
        <v>30</v>
      </c>
      <c r="K23881" t="s">
        <v>778</v>
      </c>
      <c r="M23881" t="s">
        <v>50621</v>
      </c>
      <c r="N23881" t="str">
        <f>"10/28/2024 2:03:00 PM"</f>
        <v>10/28/2024 2:03:00 PM</v>
      </c>
      <c r="O23881" t="s">
        <v>72435</v>
      </c>
    </row>
    <row r="23882" spans="1:20" x14ac:dyDescent="0.25">
      <c r="A23882" t="str">
        <f>"3078457"</f>
        <v>3078457</v>
      </c>
      <c r="B23882" t="s">
        <v>72437</v>
      </c>
      <c r="C23882" t="str">
        <f>"8323212"</f>
        <v>8323212</v>
      </c>
      <c r="D23882" t="s">
        <v>72438</v>
      </c>
      <c r="E23882" t="s">
        <v>72439</v>
      </c>
      <c r="F23882" t="s">
        <v>72440</v>
      </c>
      <c r="I23882" t="s">
        <v>29</v>
      </c>
      <c r="J23882" t="s">
        <v>30</v>
      </c>
      <c r="K23882" t="s">
        <v>42439</v>
      </c>
      <c r="M23882" t="s">
        <v>50500</v>
      </c>
      <c r="N23882" t="str">
        <f>"10/28/2024 2:07:00 PM"</f>
        <v>10/28/2024 2:07:00 PM</v>
      </c>
      <c r="O23882" t="s">
        <v>72438</v>
      </c>
      <c r="T23882" t="s">
        <v>72439</v>
      </c>
    </row>
    <row r="23883" spans="1:20" x14ac:dyDescent="0.25">
      <c r="A23883" t="str">
        <f>"3062089"</f>
        <v>3062089</v>
      </c>
      <c r="B23883" t="s">
        <v>72441</v>
      </c>
      <c r="C23883" t="str">
        <f>"8323215"</f>
        <v>8323215</v>
      </c>
      <c r="D23883" t="s">
        <v>62648</v>
      </c>
      <c r="F23883" t="s">
        <v>54762</v>
      </c>
      <c r="I23883" t="s">
        <v>29</v>
      </c>
      <c r="J23883" t="s">
        <v>30</v>
      </c>
      <c r="K23883" t="s">
        <v>54763</v>
      </c>
      <c r="M23883" t="s">
        <v>50500</v>
      </c>
      <c r="N23883" t="str">
        <f>"10/29/2024 10:12:00 AM"</f>
        <v>10/29/2024 10:12:00 AM</v>
      </c>
      <c r="O23883" t="s">
        <v>62648</v>
      </c>
    </row>
    <row r="23884" spans="1:20" x14ac:dyDescent="0.25">
      <c r="A23884" t="str">
        <f>"3062940"</f>
        <v>3062940</v>
      </c>
      <c r="B23884" t="s">
        <v>72442</v>
      </c>
      <c r="C23884" t="str">
        <f>"8323216"</f>
        <v>8323216</v>
      </c>
      <c r="D23884" t="s">
        <v>72443</v>
      </c>
      <c r="E23884" t="s">
        <v>72444</v>
      </c>
      <c r="F23884" t="s">
        <v>50126</v>
      </c>
      <c r="I23884" t="s">
        <v>184</v>
      </c>
      <c r="J23884" t="s">
        <v>30</v>
      </c>
      <c r="K23884" t="s">
        <v>19873</v>
      </c>
      <c r="M23884" t="s">
        <v>50500</v>
      </c>
      <c r="N23884" t="str">
        <f>"10/29/2024 10:19:00 AM"</f>
        <v>10/29/2024 10:19:00 AM</v>
      </c>
      <c r="O23884" t="s">
        <v>72443</v>
      </c>
      <c r="T23884" t="s">
        <v>72444</v>
      </c>
    </row>
    <row r="23885" spans="1:20" x14ac:dyDescent="0.25">
      <c r="A23885" t="str">
        <f>"3042697"</f>
        <v>3042697</v>
      </c>
      <c r="B23885" t="s">
        <v>72445</v>
      </c>
      <c r="C23885" t="str">
        <f>"82530662"</f>
        <v>82530662</v>
      </c>
      <c r="D23885" t="s">
        <v>72446</v>
      </c>
      <c r="F23885" t="s">
        <v>72447</v>
      </c>
      <c r="I23885" t="s">
        <v>29</v>
      </c>
      <c r="J23885" t="s">
        <v>30</v>
      </c>
      <c r="K23885" t="str">
        <f>"27028"</f>
        <v>27028</v>
      </c>
      <c r="M23885" t="s">
        <v>18470</v>
      </c>
      <c r="N23885" t="str">
        <f>"10/29/2024 11:37:00 AM"</f>
        <v>10/29/2024 11:37:00 AM</v>
      </c>
      <c r="O23885" t="s">
        <v>72446</v>
      </c>
    </row>
    <row r="23886" spans="1:20" x14ac:dyDescent="0.25">
      <c r="A23886" t="str">
        <f>"3054518"</f>
        <v>3054518</v>
      </c>
      <c r="B23886" t="s">
        <v>72448</v>
      </c>
      <c r="C23886" t="str">
        <f>"8313750"</f>
        <v>8313750</v>
      </c>
      <c r="D23886" t="s">
        <v>72449</v>
      </c>
      <c r="F23886" t="s">
        <v>72450</v>
      </c>
      <c r="I23886" t="s">
        <v>29</v>
      </c>
      <c r="J23886" t="s">
        <v>30</v>
      </c>
      <c r="K23886" t="s">
        <v>40583</v>
      </c>
      <c r="M23886" t="s">
        <v>52111</v>
      </c>
      <c r="N23886" t="str">
        <f>"10/29/2024 1:45:00 PM"</f>
        <v>10/29/2024 1:45:00 PM</v>
      </c>
      <c r="O23886" t="s">
        <v>72449</v>
      </c>
    </row>
    <row r="23887" spans="1:20" x14ac:dyDescent="0.25">
      <c r="A23887" t="str">
        <f>"3062207"</f>
        <v>3062207</v>
      </c>
      <c r="B23887" t="s">
        <v>72451</v>
      </c>
      <c r="C23887" t="str">
        <f>"8319774"</f>
        <v>8319774</v>
      </c>
      <c r="D23887" t="s">
        <v>54633</v>
      </c>
      <c r="E23887" t="s">
        <v>72452</v>
      </c>
      <c r="F23887" t="s">
        <v>72453</v>
      </c>
      <c r="I23887" t="s">
        <v>29</v>
      </c>
      <c r="J23887" t="s">
        <v>30</v>
      </c>
      <c r="K23887" t="s">
        <v>15656</v>
      </c>
      <c r="M23887" t="s">
        <v>52111</v>
      </c>
      <c r="N23887" t="str">
        <f>"10/29/2024 1:47:00 PM"</f>
        <v>10/29/2024 1:47:00 PM</v>
      </c>
      <c r="O23887" t="s">
        <v>54633</v>
      </c>
      <c r="T23887" t="s">
        <v>72452</v>
      </c>
    </row>
    <row r="23888" spans="1:20" x14ac:dyDescent="0.25">
      <c r="A23888" t="str">
        <f>"3061965"</f>
        <v>3061965</v>
      </c>
      <c r="B23888" t="s">
        <v>72454</v>
      </c>
      <c r="C23888" t="str">
        <f t="shared" ref="C23888:C23898" si="364">"8304944"</f>
        <v>8304944</v>
      </c>
      <c r="D23888" t="s">
        <v>72455</v>
      </c>
      <c r="F23888" t="s">
        <v>46699</v>
      </c>
      <c r="I23888" t="s">
        <v>29</v>
      </c>
      <c r="J23888" t="s">
        <v>30</v>
      </c>
      <c r="K23888" t="s">
        <v>9806</v>
      </c>
      <c r="M23888" t="s">
        <v>52111</v>
      </c>
      <c r="N23888" t="str">
        <f t="shared" ref="N23888:N23898" si="365">"10/30/2024 1:52:00 PM"</f>
        <v>10/30/2024 1:52:00 PM</v>
      </c>
      <c r="O23888" t="s">
        <v>72455</v>
      </c>
    </row>
    <row r="23889" spans="1:20" x14ac:dyDescent="0.25">
      <c r="A23889" t="str">
        <f>"3059468"</f>
        <v>3059468</v>
      </c>
      <c r="B23889" t="s">
        <v>72456</v>
      </c>
      <c r="C23889" t="str">
        <f t="shared" si="364"/>
        <v>8304944</v>
      </c>
      <c r="D23889" t="s">
        <v>72455</v>
      </c>
      <c r="F23889" t="s">
        <v>46699</v>
      </c>
      <c r="I23889" t="s">
        <v>29</v>
      </c>
      <c r="J23889" t="s">
        <v>30</v>
      </c>
      <c r="K23889" t="s">
        <v>9806</v>
      </c>
      <c r="M23889" t="s">
        <v>52111</v>
      </c>
      <c r="N23889" t="str">
        <f t="shared" si="365"/>
        <v>10/30/2024 1:52:00 PM</v>
      </c>
      <c r="O23889" t="s">
        <v>72455</v>
      </c>
    </row>
    <row r="23890" spans="1:20" x14ac:dyDescent="0.25">
      <c r="A23890" t="str">
        <f>"3059512"</f>
        <v>3059512</v>
      </c>
      <c r="B23890" t="s">
        <v>72457</v>
      </c>
      <c r="C23890" t="str">
        <f t="shared" si="364"/>
        <v>8304944</v>
      </c>
      <c r="D23890" t="s">
        <v>72455</v>
      </c>
      <c r="F23890" t="s">
        <v>46699</v>
      </c>
      <c r="I23890" t="s">
        <v>29</v>
      </c>
      <c r="J23890" t="s">
        <v>30</v>
      </c>
      <c r="K23890" t="s">
        <v>9806</v>
      </c>
      <c r="M23890" t="s">
        <v>52111</v>
      </c>
      <c r="N23890" t="str">
        <f t="shared" si="365"/>
        <v>10/30/2024 1:52:00 PM</v>
      </c>
      <c r="O23890" t="s">
        <v>72455</v>
      </c>
    </row>
    <row r="23891" spans="1:20" x14ac:dyDescent="0.25">
      <c r="A23891" t="str">
        <f>"3058549"</f>
        <v>3058549</v>
      </c>
      <c r="B23891" t="s">
        <v>72458</v>
      </c>
      <c r="C23891" t="str">
        <f t="shared" si="364"/>
        <v>8304944</v>
      </c>
      <c r="D23891" t="s">
        <v>72455</v>
      </c>
      <c r="F23891" t="s">
        <v>46699</v>
      </c>
      <c r="I23891" t="s">
        <v>29</v>
      </c>
      <c r="J23891" t="s">
        <v>30</v>
      </c>
      <c r="K23891" t="s">
        <v>9806</v>
      </c>
      <c r="M23891" t="s">
        <v>52111</v>
      </c>
      <c r="N23891" t="str">
        <f t="shared" si="365"/>
        <v>10/30/2024 1:52:00 PM</v>
      </c>
      <c r="O23891" t="s">
        <v>72455</v>
      </c>
    </row>
    <row r="23892" spans="1:20" x14ac:dyDescent="0.25">
      <c r="A23892" t="str">
        <f>"3058525"</f>
        <v>3058525</v>
      </c>
      <c r="B23892" t="s">
        <v>72459</v>
      </c>
      <c r="C23892" t="str">
        <f t="shared" si="364"/>
        <v>8304944</v>
      </c>
      <c r="D23892" t="s">
        <v>72455</v>
      </c>
      <c r="F23892" t="s">
        <v>46699</v>
      </c>
      <c r="I23892" t="s">
        <v>29</v>
      </c>
      <c r="J23892" t="s">
        <v>30</v>
      </c>
      <c r="K23892" t="s">
        <v>9806</v>
      </c>
      <c r="M23892" t="s">
        <v>52111</v>
      </c>
      <c r="N23892" t="str">
        <f t="shared" si="365"/>
        <v>10/30/2024 1:52:00 PM</v>
      </c>
      <c r="O23892" t="s">
        <v>72455</v>
      </c>
    </row>
    <row r="23893" spans="1:20" x14ac:dyDescent="0.25">
      <c r="A23893" t="str">
        <f>"3057327"</f>
        <v>3057327</v>
      </c>
      <c r="B23893" t="s">
        <v>72460</v>
      </c>
      <c r="C23893" t="str">
        <f t="shared" si="364"/>
        <v>8304944</v>
      </c>
      <c r="D23893" t="s">
        <v>72455</v>
      </c>
      <c r="F23893" t="s">
        <v>46699</v>
      </c>
      <c r="I23893" t="s">
        <v>29</v>
      </c>
      <c r="J23893" t="s">
        <v>30</v>
      </c>
      <c r="K23893" t="s">
        <v>9806</v>
      </c>
      <c r="M23893" t="s">
        <v>52111</v>
      </c>
      <c r="N23893" t="str">
        <f t="shared" si="365"/>
        <v>10/30/2024 1:52:00 PM</v>
      </c>
      <c r="O23893" t="s">
        <v>72455</v>
      </c>
    </row>
    <row r="23894" spans="1:20" x14ac:dyDescent="0.25">
      <c r="A23894" t="str">
        <f>"3051968"</f>
        <v>3051968</v>
      </c>
      <c r="B23894" t="s">
        <v>72461</v>
      </c>
      <c r="C23894" t="str">
        <f t="shared" si="364"/>
        <v>8304944</v>
      </c>
      <c r="D23894" t="s">
        <v>72455</v>
      </c>
      <c r="F23894" t="s">
        <v>46699</v>
      </c>
      <c r="I23894" t="s">
        <v>29</v>
      </c>
      <c r="J23894" t="s">
        <v>30</v>
      </c>
      <c r="K23894" t="s">
        <v>9806</v>
      </c>
      <c r="M23894" t="s">
        <v>52111</v>
      </c>
      <c r="N23894" t="str">
        <f t="shared" si="365"/>
        <v>10/30/2024 1:52:00 PM</v>
      </c>
      <c r="O23894" t="s">
        <v>72455</v>
      </c>
    </row>
    <row r="23895" spans="1:20" x14ac:dyDescent="0.25">
      <c r="A23895" t="str">
        <f>"3052717"</f>
        <v>3052717</v>
      </c>
      <c r="B23895" t="s">
        <v>72462</v>
      </c>
      <c r="C23895" t="str">
        <f t="shared" si="364"/>
        <v>8304944</v>
      </c>
      <c r="D23895" t="s">
        <v>72455</v>
      </c>
      <c r="F23895" t="s">
        <v>46699</v>
      </c>
      <c r="I23895" t="s">
        <v>29</v>
      </c>
      <c r="J23895" t="s">
        <v>30</v>
      </c>
      <c r="K23895" t="s">
        <v>9806</v>
      </c>
      <c r="M23895" t="s">
        <v>52111</v>
      </c>
      <c r="N23895" t="str">
        <f t="shared" si="365"/>
        <v>10/30/2024 1:52:00 PM</v>
      </c>
      <c r="O23895" t="s">
        <v>72455</v>
      </c>
    </row>
    <row r="23896" spans="1:20" x14ac:dyDescent="0.25">
      <c r="A23896" t="str">
        <f>"3049043"</f>
        <v>3049043</v>
      </c>
      <c r="B23896" t="s">
        <v>72463</v>
      </c>
      <c r="C23896" t="str">
        <f t="shared" si="364"/>
        <v>8304944</v>
      </c>
      <c r="D23896" t="s">
        <v>72455</v>
      </c>
      <c r="F23896" t="s">
        <v>46699</v>
      </c>
      <c r="I23896" t="s">
        <v>29</v>
      </c>
      <c r="J23896" t="s">
        <v>30</v>
      </c>
      <c r="K23896" t="s">
        <v>9806</v>
      </c>
      <c r="M23896" t="s">
        <v>52111</v>
      </c>
      <c r="N23896" t="str">
        <f t="shared" si="365"/>
        <v>10/30/2024 1:52:00 PM</v>
      </c>
      <c r="O23896" t="s">
        <v>72455</v>
      </c>
    </row>
    <row r="23897" spans="1:20" x14ac:dyDescent="0.25">
      <c r="A23897" t="str">
        <f>"3048823"</f>
        <v>3048823</v>
      </c>
      <c r="B23897" t="s">
        <v>72464</v>
      </c>
      <c r="C23897" t="str">
        <f t="shared" si="364"/>
        <v>8304944</v>
      </c>
      <c r="D23897" t="s">
        <v>72455</v>
      </c>
      <c r="F23897" t="s">
        <v>46699</v>
      </c>
      <c r="I23897" t="s">
        <v>29</v>
      </c>
      <c r="J23897" t="s">
        <v>30</v>
      </c>
      <c r="K23897" t="s">
        <v>9806</v>
      </c>
      <c r="M23897" t="s">
        <v>52111</v>
      </c>
      <c r="N23897" t="str">
        <f t="shared" si="365"/>
        <v>10/30/2024 1:52:00 PM</v>
      </c>
      <c r="O23897" t="s">
        <v>72455</v>
      </c>
    </row>
    <row r="23898" spans="1:20" x14ac:dyDescent="0.25">
      <c r="A23898" t="str">
        <f>"3040257"</f>
        <v>3040257</v>
      </c>
      <c r="B23898" t="s">
        <v>72465</v>
      </c>
      <c r="C23898" t="str">
        <f t="shared" si="364"/>
        <v>8304944</v>
      </c>
      <c r="D23898" t="s">
        <v>72455</v>
      </c>
      <c r="F23898" t="s">
        <v>46699</v>
      </c>
      <c r="I23898" t="s">
        <v>29</v>
      </c>
      <c r="J23898" t="s">
        <v>30</v>
      </c>
      <c r="K23898" t="s">
        <v>9806</v>
      </c>
      <c r="M23898" t="s">
        <v>52111</v>
      </c>
      <c r="N23898" t="str">
        <f t="shared" si="365"/>
        <v>10/30/2024 1:52:00 PM</v>
      </c>
      <c r="O23898" t="s">
        <v>72455</v>
      </c>
    </row>
    <row r="23899" spans="1:20" x14ac:dyDescent="0.25">
      <c r="A23899" t="str">
        <f>"3058923"</f>
        <v>3058923</v>
      </c>
      <c r="B23899" t="s">
        <v>72466</v>
      </c>
      <c r="C23899" t="str">
        <f>"8323234"</f>
        <v>8323234</v>
      </c>
      <c r="D23899" t="s">
        <v>72467</v>
      </c>
      <c r="F23899" t="s">
        <v>72468</v>
      </c>
      <c r="I23899" t="s">
        <v>29</v>
      </c>
      <c r="J23899" t="s">
        <v>30</v>
      </c>
      <c r="K23899" t="s">
        <v>61198</v>
      </c>
      <c r="M23899" t="s">
        <v>50500</v>
      </c>
      <c r="N23899" t="str">
        <f>"10/31/2024 11:52:00 AM"</f>
        <v>10/31/2024 11:52:00 AM</v>
      </c>
      <c r="O23899" t="s">
        <v>72467</v>
      </c>
    </row>
    <row r="23900" spans="1:20" x14ac:dyDescent="0.25">
      <c r="A23900" t="str">
        <f>"3058489"</f>
        <v>3058489</v>
      </c>
      <c r="B23900" t="s">
        <v>72469</v>
      </c>
      <c r="C23900" t="str">
        <f>"8323238"</f>
        <v>8323238</v>
      </c>
      <c r="D23900" t="s">
        <v>72470</v>
      </c>
      <c r="E23900" t="s">
        <v>72471</v>
      </c>
      <c r="F23900" t="s">
        <v>72472</v>
      </c>
      <c r="I23900" t="s">
        <v>1107</v>
      </c>
      <c r="J23900" t="s">
        <v>30</v>
      </c>
      <c r="K23900" t="s">
        <v>72473</v>
      </c>
      <c r="M23900" t="s">
        <v>50500</v>
      </c>
      <c r="N23900" t="str">
        <f>"10/31/2024 2:43:00 PM"</f>
        <v>10/31/2024 2:43:00 PM</v>
      </c>
      <c r="O23900" t="s">
        <v>72470</v>
      </c>
      <c r="T23900" t="s">
        <v>72471</v>
      </c>
    </row>
    <row r="23901" spans="1:20" x14ac:dyDescent="0.25">
      <c r="A23901" t="str">
        <f>"3062680"</f>
        <v>3062680</v>
      </c>
      <c r="B23901" t="s">
        <v>72474</v>
      </c>
      <c r="C23901" t="str">
        <f>"8323239"</f>
        <v>8323239</v>
      </c>
      <c r="D23901" t="s">
        <v>72475</v>
      </c>
      <c r="E23901" t="s">
        <v>72476</v>
      </c>
      <c r="F23901" t="s">
        <v>72477</v>
      </c>
      <c r="I23901" t="s">
        <v>29</v>
      </c>
      <c r="J23901" t="s">
        <v>30</v>
      </c>
      <c r="K23901" t="s">
        <v>8067</v>
      </c>
      <c r="M23901" t="s">
        <v>50500</v>
      </c>
      <c r="N23901" t="str">
        <f>"10/31/2024 2:47:00 PM"</f>
        <v>10/31/2024 2:47:00 PM</v>
      </c>
      <c r="O23901" t="s">
        <v>72475</v>
      </c>
      <c r="T23901" t="s">
        <v>72476</v>
      </c>
    </row>
    <row r="23902" spans="1:20" x14ac:dyDescent="0.25">
      <c r="A23902" t="str">
        <f>"3041933"</f>
        <v>3041933</v>
      </c>
      <c r="B23902" t="s">
        <v>72478</v>
      </c>
      <c r="C23902" t="str">
        <f>"8323240"</f>
        <v>8323240</v>
      </c>
      <c r="D23902" t="s">
        <v>72479</v>
      </c>
      <c r="E23902" t="s">
        <v>72480</v>
      </c>
      <c r="F23902" t="s">
        <v>72481</v>
      </c>
      <c r="I23902" t="s">
        <v>2071</v>
      </c>
      <c r="J23902" t="s">
        <v>30</v>
      </c>
      <c r="K23902" t="s">
        <v>52021</v>
      </c>
      <c r="M23902" t="s">
        <v>50500</v>
      </c>
      <c r="N23902" t="str">
        <f>"10/31/2024 2:53:00 PM"</f>
        <v>10/31/2024 2:53:00 PM</v>
      </c>
      <c r="O23902" t="s">
        <v>72479</v>
      </c>
      <c r="T23902" t="s">
        <v>72480</v>
      </c>
    </row>
    <row r="23903" spans="1:20" x14ac:dyDescent="0.25">
      <c r="A23903" t="str">
        <f>"3051941"</f>
        <v>3051941</v>
      </c>
      <c r="B23903" t="s">
        <v>72482</v>
      </c>
      <c r="C23903" t="str">
        <f>"8323241"</f>
        <v>8323241</v>
      </c>
      <c r="D23903" t="s">
        <v>72483</v>
      </c>
      <c r="F23903" t="s">
        <v>72484</v>
      </c>
      <c r="I23903" t="s">
        <v>29</v>
      </c>
      <c r="J23903" t="s">
        <v>30</v>
      </c>
      <c r="K23903" t="s">
        <v>72485</v>
      </c>
      <c r="M23903" t="s">
        <v>50500</v>
      </c>
      <c r="N23903" t="str">
        <f>"10/31/2024 3:44:00 PM"</f>
        <v>10/31/2024 3:44:00 PM</v>
      </c>
      <c r="O23903" t="s">
        <v>72483</v>
      </c>
    </row>
    <row r="23904" spans="1:20" x14ac:dyDescent="0.25">
      <c r="A23904" t="str">
        <f>"3045715"</f>
        <v>3045715</v>
      </c>
      <c r="B23904" t="s">
        <v>72486</v>
      </c>
      <c r="C23904" t="str">
        <f>"8323242"</f>
        <v>8323242</v>
      </c>
      <c r="D23904" t="s">
        <v>72487</v>
      </c>
      <c r="E23904" t="s">
        <v>37438</v>
      </c>
      <c r="F23904" t="s">
        <v>54950</v>
      </c>
      <c r="I23904" t="s">
        <v>29</v>
      </c>
      <c r="J23904" t="s">
        <v>30</v>
      </c>
      <c r="K23904" t="s">
        <v>21250</v>
      </c>
      <c r="M23904" t="s">
        <v>50500</v>
      </c>
      <c r="N23904" t="str">
        <f>"10/31/2024 3:58:00 PM"</f>
        <v>10/31/2024 3:58:00 PM</v>
      </c>
      <c r="O23904" t="s">
        <v>72487</v>
      </c>
      <c r="T23904" t="s">
        <v>37438</v>
      </c>
    </row>
    <row r="23905" spans="1:20" x14ac:dyDescent="0.25">
      <c r="A23905" t="str">
        <f>"3056970"</f>
        <v>3056970</v>
      </c>
      <c r="B23905" t="s">
        <v>72488</v>
      </c>
      <c r="C23905" t="str">
        <f>"8323243"</f>
        <v>8323243</v>
      </c>
      <c r="D23905" t="s">
        <v>72489</v>
      </c>
      <c r="E23905" t="s">
        <v>72490</v>
      </c>
      <c r="F23905" t="s">
        <v>66381</v>
      </c>
      <c r="I23905" t="s">
        <v>29</v>
      </c>
      <c r="J23905" t="s">
        <v>30</v>
      </c>
      <c r="K23905" t="s">
        <v>10942</v>
      </c>
      <c r="M23905" t="s">
        <v>50500</v>
      </c>
      <c r="N23905" t="str">
        <f>"10/31/2024 4:18:00 PM"</f>
        <v>10/31/2024 4:18:00 PM</v>
      </c>
      <c r="O23905" t="s">
        <v>72489</v>
      </c>
      <c r="T23905" t="s">
        <v>72490</v>
      </c>
    </row>
    <row r="23906" spans="1:20" x14ac:dyDescent="0.25">
      <c r="A23906" t="str">
        <f>"3061922"</f>
        <v>3061922</v>
      </c>
      <c r="B23906" t="s">
        <v>72491</v>
      </c>
      <c r="C23906" t="str">
        <f>"8323243"</f>
        <v>8323243</v>
      </c>
      <c r="D23906" t="s">
        <v>72489</v>
      </c>
      <c r="E23906" t="s">
        <v>72490</v>
      </c>
      <c r="F23906" t="s">
        <v>66381</v>
      </c>
      <c r="I23906" t="s">
        <v>29</v>
      </c>
      <c r="J23906" t="s">
        <v>30</v>
      </c>
      <c r="K23906" t="s">
        <v>10942</v>
      </c>
      <c r="M23906" t="s">
        <v>50500</v>
      </c>
      <c r="N23906" t="str">
        <f>"10/31/2024 4:18:00 PM"</f>
        <v>10/31/2024 4:18:00 PM</v>
      </c>
      <c r="O23906" t="s">
        <v>72489</v>
      </c>
      <c r="T23906" t="s">
        <v>72490</v>
      </c>
    </row>
    <row r="23907" spans="1:20" x14ac:dyDescent="0.25">
      <c r="A23907" t="str">
        <f>"3048038"</f>
        <v>3048038</v>
      </c>
      <c r="B23907" t="s">
        <v>72492</v>
      </c>
      <c r="C23907" t="str">
        <f>"82530141"</f>
        <v>82530141</v>
      </c>
      <c r="D23907" t="s">
        <v>72493</v>
      </c>
      <c r="E23907" t="s">
        <v>72494</v>
      </c>
      <c r="F23907" t="s">
        <v>72495</v>
      </c>
      <c r="I23907" t="s">
        <v>184</v>
      </c>
      <c r="J23907" t="s">
        <v>30</v>
      </c>
      <c r="K23907" t="s">
        <v>58818</v>
      </c>
      <c r="M23907" t="s">
        <v>50793</v>
      </c>
      <c r="N23907" t="str">
        <f>"11/1/2024 8:10:00 AM"</f>
        <v>11/1/2024 8:10:00 AM</v>
      </c>
      <c r="O23907" t="s">
        <v>72493</v>
      </c>
      <c r="T23907" t="s">
        <v>72494</v>
      </c>
    </row>
    <row r="23908" spans="1:20" x14ac:dyDescent="0.25">
      <c r="A23908" t="str">
        <f>"3047739"</f>
        <v>3047739</v>
      </c>
      <c r="B23908" t="s">
        <v>72496</v>
      </c>
      <c r="C23908" t="str">
        <f>"82530141"</f>
        <v>82530141</v>
      </c>
      <c r="D23908" t="s">
        <v>72493</v>
      </c>
      <c r="E23908" t="s">
        <v>72494</v>
      </c>
      <c r="F23908" t="s">
        <v>72495</v>
      </c>
      <c r="I23908" t="s">
        <v>184</v>
      </c>
      <c r="J23908" t="s">
        <v>30</v>
      </c>
      <c r="K23908" t="s">
        <v>58818</v>
      </c>
      <c r="M23908" t="s">
        <v>50793</v>
      </c>
      <c r="N23908" t="str">
        <f>"11/1/2024 8:10:00 AM"</f>
        <v>11/1/2024 8:10:00 AM</v>
      </c>
      <c r="O23908" t="s">
        <v>72493</v>
      </c>
      <c r="T23908" t="s">
        <v>72494</v>
      </c>
    </row>
    <row r="23909" spans="1:20" x14ac:dyDescent="0.25">
      <c r="A23909" t="str">
        <f>"3061035"</f>
        <v>3061035</v>
      </c>
      <c r="B23909" t="s">
        <v>72497</v>
      </c>
      <c r="C23909" t="str">
        <f>"8323249"</f>
        <v>8323249</v>
      </c>
      <c r="D23909" t="s">
        <v>72498</v>
      </c>
      <c r="F23909" t="s">
        <v>72499</v>
      </c>
      <c r="I23909" t="s">
        <v>2071</v>
      </c>
      <c r="J23909" t="s">
        <v>30</v>
      </c>
      <c r="K23909" t="s">
        <v>38843</v>
      </c>
      <c r="M23909" t="s">
        <v>50500</v>
      </c>
      <c r="N23909" t="str">
        <f>"11/1/2024 9:32:00 AM"</f>
        <v>11/1/2024 9:32:00 AM</v>
      </c>
      <c r="O23909" t="s">
        <v>72498</v>
      </c>
    </row>
    <row r="23910" spans="1:20" x14ac:dyDescent="0.25">
      <c r="A23910" t="str">
        <f>"3056875"</f>
        <v>3056875</v>
      </c>
      <c r="B23910" t="s">
        <v>72500</v>
      </c>
      <c r="C23910" t="str">
        <f>"8323250"</f>
        <v>8323250</v>
      </c>
      <c r="D23910" t="s">
        <v>72501</v>
      </c>
      <c r="F23910" t="s">
        <v>36687</v>
      </c>
      <c r="I23910" t="s">
        <v>2525</v>
      </c>
      <c r="J23910" t="s">
        <v>30</v>
      </c>
      <c r="K23910" t="s">
        <v>36688</v>
      </c>
      <c r="M23910" t="s">
        <v>50500</v>
      </c>
      <c r="N23910" t="str">
        <f>"11/1/2024 9:42:00 AM"</f>
        <v>11/1/2024 9:42:00 AM</v>
      </c>
      <c r="O23910" t="s">
        <v>72501</v>
      </c>
    </row>
    <row r="23911" spans="1:20" x14ac:dyDescent="0.25">
      <c r="A23911" t="str">
        <f>"3062520"</f>
        <v>3062520</v>
      </c>
      <c r="B23911" t="s">
        <v>72502</v>
      </c>
      <c r="C23911" t="str">
        <f>"8323251"</f>
        <v>8323251</v>
      </c>
      <c r="D23911" t="s">
        <v>72503</v>
      </c>
      <c r="F23911" t="s">
        <v>72504</v>
      </c>
      <c r="I23911" t="s">
        <v>184</v>
      </c>
      <c r="J23911" t="s">
        <v>30</v>
      </c>
      <c r="K23911" t="s">
        <v>2174</v>
      </c>
      <c r="M23911" t="s">
        <v>50500</v>
      </c>
      <c r="N23911" t="str">
        <f>"11/1/2024 9:45:00 AM"</f>
        <v>11/1/2024 9:45:00 AM</v>
      </c>
      <c r="O23911" t="s">
        <v>72503</v>
      </c>
    </row>
    <row r="23912" spans="1:20" x14ac:dyDescent="0.25">
      <c r="A23912" t="str">
        <f>"3078285"</f>
        <v>3078285</v>
      </c>
      <c r="B23912" t="s">
        <v>72505</v>
      </c>
      <c r="C23912" t="str">
        <f>"8323252"</f>
        <v>8323252</v>
      </c>
      <c r="D23912" t="s">
        <v>72506</v>
      </c>
      <c r="F23912" t="s">
        <v>72507</v>
      </c>
      <c r="I23912" t="s">
        <v>29</v>
      </c>
      <c r="J23912" t="s">
        <v>30</v>
      </c>
      <c r="K23912" t="s">
        <v>34021</v>
      </c>
      <c r="M23912" t="s">
        <v>50500</v>
      </c>
      <c r="N23912" t="str">
        <f>"11/1/2024 9:51:00 AM"</f>
        <v>11/1/2024 9:51:00 AM</v>
      </c>
      <c r="O23912" t="s">
        <v>72506</v>
      </c>
    </row>
    <row r="23913" spans="1:20" x14ac:dyDescent="0.25">
      <c r="A23913" t="str">
        <f>"3062672"</f>
        <v>3062672</v>
      </c>
      <c r="B23913" t="s">
        <v>72508</v>
      </c>
      <c r="C23913" t="str">
        <f>"8323253"</f>
        <v>8323253</v>
      </c>
      <c r="D23913" t="s">
        <v>72509</v>
      </c>
      <c r="F23913" t="s">
        <v>72510</v>
      </c>
      <c r="I23913" t="s">
        <v>29</v>
      </c>
      <c r="J23913" t="s">
        <v>30</v>
      </c>
      <c r="K23913" t="s">
        <v>45847</v>
      </c>
      <c r="M23913" t="s">
        <v>50500</v>
      </c>
      <c r="N23913" t="str">
        <f>"11/1/2024 9:56:00 AM"</f>
        <v>11/1/2024 9:56:00 AM</v>
      </c>
      <c r="O23913" t="s">
        <v>72509</v>
      </c>
    </row>
    <row r="23914" spans="1:20" x14ac:dyDescent="0.25">
      <c r="A23914" t="str">
        <f>"3060002"</f>
        <v>3060002</v>
      </c>
      <c r="B23914" t="s">
        <v>72511</v>
      </c>
      <c r="C23914" t="str">
        <f>"82529287"</f>
        <v>82529287</v>
      </c>
      <c r="D23914" t="s">
        <v>72512</v>
      </c>
      <c r="E23914" t="s">
        <v>72513</v>
      </c>
      <c r="F23914" t="s">
        <v>72514</v>
      </c>
      <c r="I23914" t="s">
        <v>184</v>
      </c>
      <c r="J23914" t="s">
        <v>30</v>
      </c>
      <c r="K23914" t="s">
        <v>38874</v>
      </c>
      <c r="M23914" t="s">
        <v>50500</v>
      </c>
      <c r="N23914" t="str">
        <f>"11/1/2024 10:10:00 AM"</f>
        <v>11/1/2024 10:10:00 AM</v>
      </c>
      <c r="O23914" t="s">
        <v>72512</v>
      </c>
      <c r="T23914" t="s">
        <v>72513</v>
      </c>
    </row>
    <row r="23915" spans="1:20" x14ac:dyDescent="0.25">
      <c r="A23915" t="str">
        <f>"3057423"</f>
        <v>3057423</v>
      </c>
      <c r="B23915" t="s">
        <v>72515</v>
      </c>
      <c r="C23915" t="str">
        <f>"82529287"</f>
        <v>82529287</v>
      </c>
      <c r="D23915" t="s">
        <v>72512</v>
      </c>
      <c r="E23915" t="s">
        <v>72513</v>
      </c>
      <c r="F23915" t="s">
        <v>72514</v>
      </c>
      <c r="I23915" t="s">
        <v>184</v>
      </c>
      <c r="J23915" t="s">
        <v>30</v>
      </c>
      <c r="K23915" t="s">
        <v>38874</v>
      </c>
      <c r="M23915" t="s">
        <v>50500</v>
      </c>
      <c r="N23915" t="str">
        <f>"11/1/2024 10:10:00 AM"</f>
        <v>11/1/2024 10:10:00 AM</v>
      </c>
      <c r="O23915" t="s">
        <v>72512</v>
      </c>
      <c r="T23915" t="s">
        <v>72513</v>
      </c>
    </row>
    <row r="23916" spans="1:20" x14ac:dyDescent="0.25">
      <c r="A23916" t="str">
        <f>"3063066"</f>
        <v>3063066</v>
      </c>
      <c r="B23916" t="s">
        <v>72516</v>
      </c>
      <c r="C23916" t="str">
        <f>"8323255"</f>
        <v>8323255</v>
      </c>
      <c r="D23916" t="s">
        <v>72517</v>
      </c>
      <c r="E23916" t="s">
        <v>72518</v>
      </c>
      <c r="F23916" t="s">
        <v>72519</v>
      </c>
      <c r="I23916" t="s">
        <v>184</v>
      </c>
      <c r="J23916" t="s">
        <v>30</v>
      </c>
      <c r="K23916" t="s">
        <v>7326</v>
      </c>
      <c r="M23916" t="s">
        <v>50500</v>
      </c>
      <c r="N23916" t="str">
        <f>"11/1/2024 10:14:00 AM"</f>
        <v>11/1/2024 10:14:00 AM</v>
      </c>
      <c r="O23916" t="s">
        <v>72517</v>
      </c>
      <c r="T23916" t="s">
        <v>72518</v>
      </c>
    </row>
    <row r="23917" spans="1:20" x14ac:dyDescent="0.25">
      <c r="A23917" t="str">
        <f>"3052962"</f>
        <v>3052962</v>
      </c>
      <c r="B23917" t="s">
        <v>72520</v>
      </c>
      <c r="C23917" t="str">
        <f>"8323256"</f>
        <v>8323256</v>
      </c>
      <c r="D23917" t="s">
        <v>72521</v>
      </c>
      <c r="F23917" t="s">
        <v>72522</v>
      </c>
      <c r="I23917" t="s">
        <v>29</v>
      </c>
      <c r="J23917" t="s">
        <v>30</v>
      </c>
      <c r="K23917" t="s">
        <v>23689</v>
      </c>
      <c r="M23917" t="s">
        <v>50500</v>
      </c>
      <c r="N23917" t="str">
        <f>"11/1/2024 10:17:00 AM"</f>
        <v>11/1/2024 10:17:00 AM</v>
      </c>
      <c r="O23917" t="s">
        <v>72521</v>
      </c>
    </row>
    <row r="23918" spans="1:20" x14ac:dyDescent="0.25">
      <c r="A23918" t="str">
        <f>"3062711"</f>
        <v>3062711</v>
      </c>
      <c r="B23918" t="s">
        <v>72523</v>
      </c>
      <c r="C23918" t="str">
        <f>"8323258"</f>
        <v>8323258</v>
      </c>
      <c r="D23918" t="s">
        <v>72524</v>
      </c>
      <c r="E23918" t="s">
        <v>72525</v>
      </c>
      <c r="F23918" t="s">
        <v>63690</v>
      </c>
      <c r="I23918" t="s">
        <v>29</v>
      </c>
      <c r="J23918" t="s">
        <v>30</v>
      </c>
      <c r="K23918" t="s">
        <v>63691</v>
      </c>
      <c r="M23918" t="s">
        <v>50500</v>
      </c>
      <c r="N23918" t="str">
        <f>"11/1/2024 10:54:00 AM"</f>
        <v>11/1/2024 10:54:00 AM</v>
      </c>
      <c r="O23918" t="s">
        <v>72524</v>
      </c>
      <c r="T23918" t="s">
        <v>72525</v>
      </c>
    </row>
    <row r="23919" spans="1:20" x14ac:dyDescent="0.25">
      <c r="A23919" t="str">
        <f>"3056922"</f>
        <v>3056922</v>
      </c>
      <c r="B23919" t="s">
        <v>72526</v>
      </c>
      <c r="C23919" t="str">
        <f>"8323259"</f>
        <v>8323259</v>
      </c>
      <c r="D23919" t="s">
        <v>72527</v>
      </c>
      <c r="F23919" t="s">
        <v>72528</v>
      </c>
      <c r="I23919" t="s">
        <v>51581</v>
      </c>
      <c r="J23919" t="s">
        <v>30</v>
      </c>
      <c r="K23919" t="s">
        <v>72529</v>
      </c>
      <c r="M23919" t="s">
        <v>50500</v>
      </c>
      <c r="N23919" t="str">
        <f>"11/1/2024 10:59:00 AM"</f>
        <v>11/1/2024 10:59:00 AM</v>
      </c>
      <c r="O23919" t="s">
        <v>72527</v>
      </c>
    </row>
    <row r="23920" spans="1:20" x14ac:dyDescent="0.25">
      <c r="A23920" t="str">
        <f>"3056153"</f>
        <v>3056153</v>
      </c>
      <c r="B23920" t="s">
        <v>72530</v>
      </c>
      <c r="C23920" t="str">
        <f>"8323260"</f>
        <v>8323260</v>
      </c>
      <c r="D23920" t="s">
        <v>72531</v>
      </c>
      <c r="F23920" t="s">
        <v>32039</v>
      </c>
      <c r="I23920" t="s">
        <v>2589</v>
      </c>
      <c r="J23920" t="s">
        <v>30</v>
      </c>
      <c r="K23920" t="s">
        <v>72532</v>
      </c>
      <c r="M23920" t="s">
        <v>50500</v>
      </c>
      <c r="N23920" t="str">
        <f>"11/1/2024 11:05:00 AM"</f>
        <v>11/1/2024 11:05:00 AM</v>
      </c>
      <c r="O23920" t="s">
        <v>72531</v>
      </c>
    </row>
    <row r="23921" spans="1:20" x14ac:dyDescent="0.25">
      <c r="A23921" t="str">
        <f>"3061049"</f>
        <v>3061049</v>
      </c>
      <c r="B23921" t="s">
        <v>72533</v>
      </c>
      <c r="C23921" t="str">
        <f>"8323261"</f>
        <v>8323261</v>
      </c>
      <c r="D23921" t="s">
        <v>72534</v>
      </c>
      <c r="E23921" t="s">
        <v>72535</v>
      </c>
      <c r="F23921" t="s">
        <v>72536</v>
      </c>
      <c r="I23921" t="s">
        <v>2071</v>
      </c>
      <c r="J23921" t="s">
        <v>30</v>
      </c>
      <c r="K23921" t="s">
        <v>39090</v>
      </c>
      <c r="M23921" t="s">
        <v>50500</v>
      </c>
      <c r="N23921" t="str">
        <f>"11/1/2024 11:11:00 AM"</f>
        <v>11/1/2024 11:11:00 AM</v>
      </c>
      <c r="O23921" t="s">
        <v>72534</v>
      </c>
      <c r="T23921" t="s">
        <v>72535</v>
      </c>
    </row>
    <row r="23922" spans="1:20" x14ac:dyDescent="0.25">
      <c r="A23922" t="str">
        <f>"3062728"</f>
        <v>3062728</v>
      </c>
      <c r="B23922" t="s">
        <v>72537</v>
      </c>
      <c r="C23922" t="str">
        <f>"8323262"</f>
        <v>8323262</v>
      </c>
      <c r="D23922" t="s">
        <v>72538</v>
      </c>
      <c r="E23922" t="s">
        <v>72539</v>
      </c>
      <c r="F23922" t="s">
        <v>72540</v>
      </c>
      <c r="I23922" t="s">
        <v>184</v>
      </c>
      <c r="J23922" t="s">
        <v>30</v>
      </c>
      <c r="K23922" t="str">
        <f>"27006"</f>
        <v>27006</v>
      </c>
      <c r="M23922" t="s">
        <v>50500</v>
      </c>
      <c r="N23922" t="str">
        <f>"11/1/2024 11:15:00 AM"</f>
        <v>11/1/2024 11:15:00 AM</v>
      </c>
      <c r="O23922" t="s">
        <v>72538</v>
      </c>
      <c r="T23922" t="s">
        <v>72539</v>
      </c>
    </row>
    <row r="23923" spans="1:20" x14ac:dyDescent="0.25">
      <c r="A23923" t="str">
        <f>"3050267"</f>
        <v>3050267</v>
      </c>
      <c r="B23923" t="s">
        <v>72541</v>
      </c>
      <c r="C23923" t="str">
        <f>"8323263"</f>
        <v>8323263</v>
      </c>
      <c r="D23923" t="s">
        <v>72542</v>
      </c>
      <c r="E23923" t="s">
        <v>72543</v>
      </c>
      <c r="F23923" t="s">
        <v>72544</v>
      </c>
      <c r="I23923" t="s">
        <v>29</v>
      </c>
      <c r="J23923" t="s">
        <v>30</v>
      </c>
      <c r="K23923" t="s">
        <v>72545</v>
      </c>
      <c r="M23923" t="s">
        <v>50500</v>
      </c>
      <c r="N23923" t="str">
        <f>"11/1/2024 11:19:00 AM"</f>
        <v>11/1/2024 11:19:00 AM</v>
      </c>
      <c r="O23923" t="s">
        <v>72542</v>
      </c>
      <c r="T23923" t="s">
        <v>72543</v>
      </c>
    </row>
    <row r="23924" spans="1:20" x14ac:dyDescent="0.25">
      <c r="A23924" t="str">
        <f>"3040435"</f>
        <v>3040435</v>
      </c>
      <c r="B23924" t="s">
        <v>72546</v>
      </c>
      <c r="C23924" t="str">
        <f>"8323265"</f>
        <v>8323265</v>
      </c>
      <c r="D23924" t="s">
        <v>72547</v>
      </c>
      <c r="F23924" t="s">
        <v>72548</v>
      </c>
      <c r="I23924" t="s">
        <v>184</v>
      </c>
      <c r="J23924" t="s">
        <v>30</v>
      </c>
      <c r="K23924" t="s">
        <v>60841</v>
      </c>
      <c r="M23924" t="s">
        <v>50500</v>
      </c>
      <c r="N23924" t="str">
        <f>"11/1/2024 12:02:00 PM"</f>
        <v>11/1/2024 12:02:00 PM</v>
      </c>
      <c r="O23924" t="s">
        <v>72547</v>
      </c>
    </row>
    <row r="23925" spans="1:20" x14ac:dyDescent="0.25">
      <c r="A23925" t="str">
        <f>"3062415"</f>
        <v>3062415</v>
      </c>
      <c r="B23925" t="s">
        <v>72549</v>
      </c>
      <c r="C23925" t="str">
        <f>"8323266"</f>
        <v>8323266</v>
      </c>
      <c r="D23925" t="s">
        <v>72550</v>
      </c>
      <c r="E23925" t="s">
        <v>72551</v>
      </c>
      <c r="F23925" t="s">
        <v>72552</v>
      </c>
      <c r="I23925" t="s">
        <v>29</v>
      </c>
      <c r="J23925" t="s">
        <v>30</v>
      </c>
      <c r="K23925" t="s">
        <v>59970</v>
      </c>
      <c r="M23925" t="s">
        <v>50500</v>
      </c>
      <c r="N23925" t="str">
        <f>"11/1/2024 12:21:00 PM"</f>
        <v>11/1/2024 12:21:00 PM</v>
      </c>
      <c r="O23925" t="s">
        <v>72550</v>
      </c>
      <c r="T23925" t="s">
        <v>72551</v>
      </c>
    </row>
    <row r="23926" spans="1:20" x14ac:dyDescent="0.25">
      <c r="A23926" t="str">
        <f>"3062345"</f>
        <v>3062345</v>
      </c>
      <c r="B23926" t="s">
        <v>72553</v>
      </c>
      <c r="C23926" t="str">
        <f>"8323267"</f>
        <v>8323267</v>
      </c>
      <c r="D23926" t="s">
        <v>72554</v>
      </c>
      <c r="F23926" t="s">
        <v>72555</v>
      </c>
      <c r="I23926" t="s">
        <v>1107</v>
      </c>
      <c r="J23926" t="s">
        <v>30</v>
      </c>
      <c r="K23926" t="s">
        <v>72556</v>
      </c>
      <c r="M23926" t="s">
        <v>50500</v>
      </c>
      <c r="N23926" t="str">
        <f>"11/1/2024 12:27:00 PM"</f>
        <v>11/1/2024 12:27:00 PM</v>
      </c>
      <c r="O23926" t="s">
        <v>72554</v>
      </c>
    </row>
    <row r="23927" spans="1:20" x14ac:dyDescent="0.25">
      <c r="A23927" t="str">
        <f>"3039217"</f>
        <v>3039217</v>
      </c>
      <c r="B23927" t="s">
        <v>72557</v>
      </c>
      <c r="C23927" t="str">
        <f>"8323268"</f>
        <v>8323268</v>
      </c>
      <c r="D23927" t="s">
        <v>72558</v>
      </c>
      <c r="F23927" t="s">
        <v>72559</v>
      </c>
      <c r="I23927" t="s">
        <v>65671</v>
      </c>
      <c r="J23927" t="s">
        <v>30</v>
      </c>
      <c r="K23927" t="s">
        <v>72560</v>
      </c>
      <c r="M23927" t="s">
        <v>50500</v>
      </c>
      <c r="N23927" t="str">
        <f>"11/1/2024 12:32:00 PM"</f>
        <v>11/1/2024 12:32:00 PM</v>
      </c>
      <c r="O23927" t="s">
        <v>72558</v>
      </c>
    </row>
    <row r="23928" spans="1:20" x14ac:dyDescent="0.25">
      <c r="A23928" t="str">
        <f>"3041954"</f>
        <v>3041954</v>
      </c>
      <c r="B23928" t="s">
        <v>72561</v>
      </c>
      <c r="C23928" t="str">
        <f>"8323272"</f>
        <v>8323272</v>
      </c>
      <c r="D23928" t="s">
        <v>72562</v>
      </c>
      <c r="E23928" t="s">
        <v>72563</v>
      </c>
      <c r="F23928" t="s">
        <v>72564</v>
      </c>
      <c r="I23928" t="s">
        <v>184</v>
      </c>
      <c r="J23928" t="s">
        <v>30</v>
      </c>
      <c r="K23928" t="s">
        <v>34731</v>
      </c>
      <c r="M23928" t="s">
        <v>50500</v>
      </c>
      <c r="N23928" t="str">
        <f>"11/1/2024 3:03:00 PM"</f>
        <v>11/1/2024 3:03:00 PM</v>
      </c>
      <c r="O23928" t="s">
        <v>72562</v>
      </c>
      <c r="T23928" t="s">
        <v>72563</v>
      </c>
    </row>
    <row r="23929" spans="1:20" x14ac:dyDescent="0.25">
      <c r="A23929" t="str">
        <f>"3062741"</f>
        <v>3062741</v>
      </c>
      <c r="B23929" t="s">
        <v>72565</v>
      </c>
      <c r="C23929" t="str">
        <f>"8323273"</f>
        <v>8323273</v>
      </c>
      <c r="D23929" t="s">
        <v>72566</v>
      </c>
      <c r="F23929" t="s">
        <v>72567</v>
      </c>
      <c r="I23929" t="s">
        <v>2071</v>
      </c>
      <c r="J23929" t="s">
        <v>30</v>
      </c>
      <c r="K23929" t="s">
        <v>38104</v>
      </c>
      <c r="M23929" t="s">
        <v>50500</v>
      </c>
      <c r="N23929" t="str">
        <f>"11/1/2024 3:12:00 PM"</f>
        <v>11/1/2024 3:12:00 PM</v>
      </c>
      <c r="O23929" t="s">
        <v>72566</v>
      </c>
    </row>
    <row r="23930" spans="1:20" x14ac:dyDescent="0.25">
      <c r="A23930" t="str">
        <f>"3062713"</f>
        <v>3062713</v>
      </c>
      <c r="B23930" t="s">
        <v>72568</v>
      </c>
      <c r="C23930" t="str">
        <f>"8323275"</f>
        <v>8323275</v>
      </c>
      <c r="D23930" t="s">
        <v>72569</v>
      </c>
      <c r="E23930" t="s">
        <v>72570</v>
      </c>
      <c r="F23930" t="s">
        <v>72571</v>
      </c>
      <c r="I23930" t="s">
        <v>2071</v>
      </c>
      <c r="J23930" t="s">
        <v>30</v>
      </c>
      <c r="K23930" t="s">
        <v>37104</v>
      </c>
      <c r="M23930" t="s">
        <v>50500</v>
      </c>
      <c r="N23930" t="str">
        <f>"11/1/2024 3:18:00 PM"</f>
        <v>11/1/2024 3:18:00 PM</v>
      </c>
      <c r="O23930" t="s">
        <v>72569</v>
      </c>
      <c r="T23930" t="s">
        <v>72570</v>
      </c>
    </row>
    <row r="23931" spans="1:20" x14ac:dyDescent="0.25">
      <c r="A23931" t="str">
        <f>"3062499"</f>
        <v>3062499</v>
      </c>
      <c r="B23931" t="s">
        <v>72572</v>
      </c>
      <c r="C23931" t="str">
        <f>"8323277"</f>
        <v>8323277</v>
      </c>
      <c r="D23931" t="s">
        <v>72573</v>
      </c>
      <c r="F23931" t="s">
        <v>72574</v>
      </c>
      <c r="I23931" t="s">
        <v>184</v>
      </c>
      <c r="J23931" t="s">
        <v>30</v>
      </c>
      <c r="K23931" t="s">
        <v>5041</v>
      </c>
      <c r="M23931" t="s">
        <v>50500</v>
      </c>
      <c r="N23931" t="str">
        <f>"11/1/2024 3:26:00 PM"</f>
        <v>11/1/2024 3:26:00 PM</v>
      </c>
      <c r="O23931" t="s">
        <v>72573</v>
      </c>
    </row>
    <row r="23932" spans="1:20" x14ac:dyDescent="0.25">
      <c r="A23932" t="str">
        <f>"3071291"</f>
        <v>3071291</v>
      </c>
      <c r="B23932" t="s">
        <v>72575</v>
      </c>
      <c r="C23932" t="str">
        <f>"8323278"</f>
        <v>8323278</v>
      </c>
      <c r="D23932" t="s">
        <v>72576</v>
      </c>
      <c r="E23932" t="s">
        <v>7194</v>
      </c>
      <c r="F23932" t="s">
        <v>72577</v>
      </c>
      <c r="I23932" t="s">
        <v>29</v>
      </c>
      <c r="J23932" t="s">
        <v>30</v>
      </c>
      <c r="K23932" t="s">
        <v>72578</v>
      </c>
      <c r="M23932" t="s">
        <v>50500</v>
      </c>
      <c r="N23932" t="str">
        <f>"11/1/2024 3:32:00 PM"</f>
        <v>11/1/2024 3:32:00 PM</v>
      </c>
      <c r="O23932" t="s">
        <v>72576</v>
      </c>
      <c r="T23932" t="s">
        <v>7194</v>
      </c>
    </row>
    <row r="23933" spans="1:20" x14ac:dyDescent="0.25">
      <c r="A23933" t="str">
        <f>"3043831"</f>
        <v>3043831</v>
      </c>
      <c r="B23933" t="s">
        <v>72579</v>
      </c>
      <c r="C23933" t="str">
        <f>"8323279"</f>
        <v>8323279</v>
      </c>
      <c r="D23933" t="s">
        <v>72580</v>
      </c>
      <c r="F23933" t="s">
        <v>72581</v>
      </c>
      <c r="I23933" t="s">
        <v>29</v>
      </c>
      <c r="J23933" t="s">
        <v>30</v>
      </c>
      <c r="K23933" t="s">
        <v>44339</v>
      </c>
      <c r="M23933" t="s">
        <v>50500</v>
      </c>
      <c r="N23933" t="str">
        <f>"11/1/2024 3:37:00 PM"</f>
        <v>11/1/2024 3:37:00 PM</v>
      </c>
      <c r="O23933" t="s">
        <v>72580</v>
      </c>
    </row>
    <row r="23934" spans="1:20" x14ac:dyDescent="0.25">
      <c r="A23934" t="str">
        <f>"3046437"</f>
        <v>3046437</v>
      </c>
      <c r="B23934" t="s">
        <v>72582</v>
      </c>
      <c r="C23934" t="str">
        <f>"8323280"</f>
        <v>8323280</v>
      </c>
      <c r="D23934" t="s">
        <v>72583</v>
      </c>
      <c r="E23934" t="s">
        <v>72584</v>
      </c>
      <c r="F23934" t="s">
        <v>72585</v>
      </c>
      <c r="I23934" t="s">
        <v>29</v>
      </c>
      <c r="J23934" t="s">
        <v>30</v>
      </c>
      <c r="K23934" t="s">
        <v>63611</v>
      </c>
      <c r="M23934" t="s">
        <v>50500</v>
      </c>
      <c r="N23934" t="str">
        <f>"11/1/2024 3:41:00 PM"</f>
        <v>11/1/2024 3:41:00 PM</v>
      </c>
      <c r="O23934" t="s">
        <v>72583</v>
      </c>
      <c r="T23934" t="s">
        <v>72584</v>
      </c>
    </row>
    <row r="23935" spans="1:20" x14ac:dyDescent="0.25">
      <c r="A23935" t="str">
        <f>"3041159"</f>
        <v>3041159</v>
      </c>
      <c r="B23935" t="s">
        <v>72586</v>
      </c>
      <c r="C23935" t="str">
        <f>"8323281"</f>
        <v>8323281</v>
      </c>
      <c r="D23935" t="s">
        <v>72587</v>
      </c>
      <c r="F23935" t="s">
        <v>72588</v>
      </c>
      <c r="I23935" t="s">
        <v>471</v>
      </c>
      <c r="J23935" t="s">
        <v>30</v>
      </c>
      <c r="K23935" t="s">
        <v>72589</v>
      </c>
      <c r="M23935" t="s">
        <v>50500</v>
      </c>
      <c r="N23935" t="str">
        <f>"11/1/2024 3:46:00 PM"</f>
        <v>11/1/2024 3:46:00 PM</v>
      </c>
      <c r="O23935" t="s">
        <v>72587</v>
      </c>
    </row>
    <row r="23936" spans="1:20" x14ac:dyDescent="0.25">
      <c r="A23936" t="str">
        <f>"3055369"</f>
        <v>3055369</v>
      </c>
      <c r="B23936" t="s">
        <v>72590</v>
      </c>
      <c r="C23936" t="str">
        <f>"70376000"</f>
        <v>70376000</v>
      </c>
      <c r="D23936" t="s">
        <v>72591</v>
      </c>
      <c r="F23936" t="s">
        <v>14733</v>
      </c>
      <c r="I23936" t="s">
        <v>29</v>
      </c>
      <c r="J23936" t="s">
        <v>30</v>
      </c>
      <c r="K23936" t="s">
        <v>49361</v>
      </c>
      <c r="M23936" t="s">
        <v>50793</v>
      </c>
      <c r="N23936" t="str">
        <f>"11/4/2024 10:27:00 AM"</f>
        <v>11/4/2024 10:27:00 AM</v>
      </c>
      <c r="O23936" t="s">
        <v>72591</v>
      </c>
      <c r="T23936" t="s">
        <v>72591</v>
      </c>
    </row>
    <row r="23937" spans="1:20" x14ac:dyDescent="0.25">
      <c r="A23937" t="str">
        <f>"3054742"</f>
        <v>3054742</v>
      </c>
      <c r="B23937" t="s">
        <v>72592</v>
      </c>
      <c r="C23937" t="str">
        <f>"8323291"</f>
        <v>8323291</v>
      </c>
      <c r="D23937" t="s">
        <v>72593</v>
      </c>
      <c r="F23937" t="s">
        <v>72594</v>
      </c>
      <c r="I23937" t="s">
        <v>72595</v>
      </c>
      <c r="J23937" t="s">
        <v>7057</v>
      </c>
      <c r="K23937" t="s">
        <v>72596</v>
      </c>
      <c r="M23937" t="s">
        <v>50500</v>
      </c>
      <c r="N23937" t="str">
        <f>"11/4/2024 1:24:00 PM"</f>
        <v>11/4/2024 1:24:00 PM</v>
      </c>
      <c r="O23937" t="s">
        <v>72593</v>
      </c>
    </row>
    <row r="23938" spans="1:20" x14ac:dyDescent="0.25">
      <c r="A23938" t="str">
        <f>"3057952"</f>
        <v>3057952</v>
      </c>
      <c r="B23938" t="s">
        <v>72597</v>
      </c>
      <c r="C23938" t="str">
        <f>"21181000"</f>
        <v>21181000</v>
      </c>
      <c r="D23938" t="s">
        <v>63260</v>
      </c>
      <c r="F23938" t="s">
        <v>63253</v>
      </c>
      <c r="I23938" t="s">
        <v>184</v>
      </c>
      <c r="J23938" t="s">
        <v>30</v>
      </c>
      <c r="K23938" t="s">
        <v>63254</v>
      </c>
      <c r="M23938" t="s">
        <v>51351</v>
      </c>
      <c r="N23938" t="str">
        <f>"11/4/2024 1:54:00 PM"</f>
        <v>11/4/2024 1:54:00 PM</v>
      </c>
      <c r="O23938" t="s">
        <v>63260</v>
      </c>
      <c r="T23938" t="s">
        <v>63260</v>
      </c>
    </row>
    <row r="23939" spans="1:20" x14ac:dyDescent="0.25">
      <c r="A23939" t="str">
        <f>"3039676"</f>
        <v>3039676</v>
      </c>
      <c r="B23939" t="s">
        <v>72598</v>
      </c>
      <c r="C23939" t="str">
        <f>"21181000"</f>
        <v>21181000</v>
      </c>
      <c r="D23939" t="s">
        <v>63260</v>
      </c>
      <c r="F23939" t="s">
        <v>63253</v>
      </c>
      <c r="I23939" t="s">
        <v>184</v>
      </c>
      <c r="J23939" t="s">
        <v>30</v>
      </c>
      <c r="K23939" t="s">
        <v>63254</v>
      </c>
      <c r="M23939" t="s">
        <v>51351</v>
      </c>
      <c r="N23939" t="str">
        <f>"11/4/2024 1:54:00 PM"</f>
        <v>11/4/2024 1:54:00 PM</v>
      </c>
      <c r="O23939" t="s">
        <v>63260</v>
      </c>
      <c r="T23939" t="s">
        <v>63260</v>
      </c>
    </row>
    <row r="23940" spans="1:20" x14ac:dyDescent="0.25">
      <c r="A23940" t="str">
        <f>"3038807"</f>
        <v>3038807</v>
      </c>
      <c r="B23940" t="s">
        <v>72599</v>
      </c>
      <c r="C23940" t="str">
        <f>"21181000"</f>
        <v>21181000</v>
      </c>
      <c r="D23940" t="s">
        <v>63260</v>
      </c>
      <c r="F23940" t="s">
        <v>63253</v>
      </c>
      <c r="I23940" t="s">
        <v>184</v>
      </c>
      <c r="J23940" t="s">
        <v>30</v>
      </c>
      <c r="K23940" t="s">
        <v>63254</v>
      </c>
      <c r="M23940" t="s">
        <v>51351</v>
      </c>
      <c r="N23940" t="str">
        <f>"11/4/2024 1:54:00 PM"</f>
        <v>11/4/2024 1:54:00 PM</v>
      </c>
      <c r="O23940" t="s">
        <v>63260</v>
      </c>
      <c r="T23940" t="s">
        <v>63260</v>
      </c>
    </row>
    <row r="23941" spans="1:20" x14ac:dyDescent="0.25">
      <c r="A23941" t="str">
        <f>"3037849"</f>
        <v>3037849</v>
      </c>
      <c r="B23941" t="s">
        <v>72600</v>
      </c>
      <c r="C23941" t="str">
        <f>"21181000"</f>
        <v>21181000</v>
      </c>
      <c r="D23941" t="s">
        <v>63260</v>
      </c>
      <c r="F23941" t="s">
        <v>63253</v>
      </c>
      <c r="I23941" t="s">
        <v>184</v>
      </c>
      <c r="J23941" t="s">
        <v>30</v>
      </c>
      <c r="K23941" t="s">
        <v>63254</v>
      </c>
      <c r="M23941" t="s">
        <v>51351</v>
      </c>
      <c r="N23941" t="str">
        <f>"11/4/2024 1:54:00 PM"</f>
        <v>11/4/2024 1:54:00 PM</v>
      </c>
      <c r="O23941" t="s">
        <v>63260</v>
      </c>
      <c r="T23941" t="s">
        <v>63260</v>
      </c>
    </row>
    <row r="23942" spans="1:20" x14ac:dyDescent="0.25">
      <c r="A23942" t="str">
        <f>"3037930"</f>
        <v>3037930</v>
      </c>
      <c r="B23942" t="s">
        <v>72601</v>
      </c>
      <c r="C23942" t="str">
        <f>"21181000"</f>
        <v>21181000</v>
      </c>
      <c r="D23942" t="s">
        <v>63260</v>
      </c>
      <c r="F23942" t="s">
        <v>63253</v>
      </c>
      <c r="I23942" t="s">
        <v>184</v>
      </c>
      <c r="J23942" t="s">
        <v>30</v>
      </c>
      <c r="K23942" t="s">
        <v>63254</v>
      </c>
      <c r="M23942" t="s">
        <v>51351</v>
      </c>
      <c r="N23942" t="str">
        <f>"11/4/2024 1:54:00 PM"</f>
        <v>11/4/2024 1:54:00 PM</v>
      </c>
      <c r="O23942" t="s">
        <v>63260</v>
      </c>
      <c r="T23942" t="s">
        <v>63260</v>
      </c>
    </row>
    <row r="23943" spans="1:20" x14ac:dyDescent="0.25">
      <c r="A23943" t="str">
        <f>"3044268"</f>
        <v>3044268</v>
      </c>
      <c r="B23943" t="s">
        <v>72602</v>
      </c>
      <c r="C23943" t="str">
        <f>"8306138"</f>
        <v>8306138</v>
      </c>
      <c r="D23943" t="s">
        <v>72603</v>
      </c>
      <c r="F23943" t="s">
        <v>72604</v>
      </c>
      <c r="I23943" t="s">
        <v>184</v>
      </c>
      <c r="J23943" t="s">
        <v>30</v>
      </c>
      <c r="K23943" t="str">
        <f>"27006"</f>
        <v>27006</v>
      </c>
      <c r="M23943" t="s">
        <v>50793</v>
      </c>
      <c r="N23943" t="str">
        <f>"11/4/2024 2:02:00 PM"</f>
        <v>11/4/2024 2:02:00 PM</v>
      </c>
      <c r="O23943" t="s">
        <v>72603</v>
      </c>
    </row>
    <row r="23944" spans="1:20" x14ac:dyDescent="0.25">
      <c r="A23944" t="str">
        <f>"3045039"</f>
        <v>3045039</v>
      </c>
      <c r="B23944" t="s">
        <v>72605</v>
      </c>
      <c r="C23944" t="str">
        <f>"82516185"</f>
        <v>82516185</v>
      </c>
      <c r="D23944" t="s">
        <v>72606</v>
      </c>
      <c r="F23944" t="s">
        <v>72607</v>
      </c>
      <c r="I23944" t="s">
        <v>29</v>
      </c>
      <c r="J23944" t="s">
        <v>30</v>
      </c>
      <c r="K23944" t="s">
        <v>31</v>
      </c>
      <c r="M23944" t="s">
        <v>50621</v>
      </c>
      <c r="N23944" t="str">
        <f>"11/5/2024 4:28:00 PM"</f>
        <v>11/5/2024 4:28:00 PM</v>
      </c>
      <c r="O23944" t="s">
        <v>72606</v>
      </c>
    </row>
    <row r="23945" spans="1:20" x14ac:dyDescent="0.25">
      <c r="A23945" t="str">
        <f>"3078239"</f>
        <v>3078239</v>
      </c>
      <c r="B23945" t="s">
        <v>72608</v>
      </c>
      <c r="C23945" t="str">
        <f>"82516185"</f>
        <v>82516185</v>
      </c>
      <c r="D23945" t="s">
        <v>72606</v>
      </c>
      <c r="F23945" t="s">
        <v>72607</v>
      </c>
      <c r="I23945" t="s">
        <v>29</v>
      </c>
      <c r="J23945" t="s">
        <v>30</v>
      </c>
      <c r="K23945" t="s">
        <v>31</v>
      </c>
      <c r="M23945" t="s">
        <v>50621</v>
      </c>
      <c r="N23945" t="str">
        <f>"11/5/2024 4:28:00 PM"</f>
        <v>11/5/2024 4:28:00 PM</v>
      </c>
      <c r="O23945" t="s">
        <v>72606</v>
      </c>
    </row>
    <row r="23946" spans="1:20" x14ac:dyDescent="0.25">
      <c r="A23946" t="str">
        <f>"3051147"</f>
        <v>3051147</v>
      </c>
      <c r="B23946" t="s">
        <v>72609</v>
      </c>
      <c r="C23946" t="str">
        <f>"2580000"</f>
        <v>2580000</v>
      </c>
      <c r="D23946" t="s">
        <v>72610</v>
      </c>
      <c r="F23946" t="s">
        <v>72611</v>
      </c>
      <c r="I23946" t="s">
        <v>72612</v>
      </c>
      <c r="J23946" t="s">
        <v>30701</v>
      </c>
      <c r="K23946" t="s">
        <v>72613</v>
      </c>
      <c r="M23946" t="s">
        <v>18479</v>
      </c>
      <c r="N23946" t="str">
        <f>"11/7/2024 3:35:00 PM"</f>
        <v>11/7/2024 3:35:00 PM</v>
      </c>
      <c r="O23946" t="s">
        <v>72610</v>
      </c>
    </row>
    <row r="23947" spans="1:20" x14ac:dyDescent="0.25">
      <c r="A23947" t="str">
        <f>"3051174"</f>
        <v>3051174</v>
      </c>
      <c r="B23947" t="s">
        <v>72614</v>
      </c>
      <c r="C23947" t="str">
        <f>"2580000"</f>
        <v>2580000</v>
      </c>
      <c r="D23947" t="s">
        <v>72610</v>
      </c>
      <c r="F23947" t="s">
        <v>72611</v>
      </c>
      <c r="I23947" t="s">
        <v>72612</v>
      </c>
      <c r="J23947" t="s">
        <v>30701</v>
      </c>
      <c r="K23947" t="s">
        <v>72613</v>
      </c>
      <c r="M23947" t="s">
        <v>18479</v>
      </c>
      <c r="N23947" t="str">
        <f>"11/7/2024 3:35:00 PM"</f>
        <v>11/7/2024 3:35:00 PM</v>
      </c>
      <c r="O23947" t="s">
        <v>72610</v>
      </c>
    </row>
    <row r="23948" spans="1:20" x14ac:dyDescent="0.25">
      <c r="A23948" t="str">
        <f>"3043028"</f>
        <v>3043028</v>
      </c>
      <c r="B23948" t="s">
        <v>72615</v>
      </c>
      <c r="C23948" t="str">
        <f>"8319555"</f>
        <v>8319555</v>
      </c>
      <c r="D23948" t="s">
        <v>72616</v>
      </c>
      <c r="E23948" t="s">
        <v>72617</v>
      </c>
      <c r="F23948" t="s">
        <v>72618</v>
      </c>
      <c r="I23948" t="s">
        <v>29</v>
      </c>
      <c r="J23948" t="s">
        <v>30</v>
      </c>
      <c r="K23948" t="s">
        <v>72619</v>
      </c>
      <c r="M23948" t="s">
        <v>52111</v>
      </c>
      <c r="N23948" t="str">
        <f>"11/8/2024 10:19:00 AM"</f>
        <v>11/8/2024 10:19:00 AM</v>
      </c>
      <c r="O23948" t="s">
        <v>72616</v>
      </c>
      <c r="T23948" t="s">
        <v>72617</v>
      </c>
    </row>
    <row r="23949" spans="1:20" x14ac:dyDescent="0.25">
      <c r="A23949" t="str">
        <f>"3056853"</f>
        <v>3056853</v>
      </c>
      <c r="B23949" t="s">
        <v>72620</v>
      </c>
      <c r="C23949" t="str">
        <f t="shared" ref="C23949:C23957" si="366">"67562000"</f>
        <v>67562000</v>
      </c>
      <c r="D23949" t="s">
        <v>72621</v>
      </c>
      <c r="F23949" t="s">
        <v>72618</v>
      </c>
      <c r="I23949" t="s">
        <v>29</v>
      </c>
      <c r="J23949" t="s">
        <v>30</v>
      </c>
      <c r="K23949" t="s">
        <v>72619</v>
      </c>
      <c r="M23949" t="s">
        <v>52111</v>
      </c>
      <c r="N23949" t="str">
        <f t="shared" ref="N23949:N23961" si="367">"11/8/2024 10:20:00 AM"</f>
        <v>11/8/2024 10:20:00 AM</v>
      </c>
      <c r="O23949" t="s">
        <v>72621</v>
      </c>
    </row>
    <row r="23950" spans="1:20" x14ac:dyDescent="0.25">
      <c r="A23950" t="str">
        <f>"3058543"</f>
        <v>3058543</v>
      </c>
      <c r="B23950" t="s">
        <v>72622</v>
      </c>
      <c r="C23950" t="str">
        <f t="shared" si="366"/>
        <v>67562000</v>
      </c>
      <c r="D23950" t="s">
        <v>72621</v>
      </c>
      <c r="F23950" t="s">
        <v>72618</v>
      </c>
      <c r="I23950" t="s">
        <v>29</v>
      </c>
      <c r="J23950" t="s">
        <v>30</v>
      </c>
      <c r="K23950" t="s">
        <v>72619</v>
      </c>
      <c r="M23950" t="s">
        <v>52111</v>
      </c>
      <c r="N23950" t="str">
        <f t="shared" si="367"/>
        <v>11/8/2024 10:20:00 AM</v>
      </c>
      <c r="O23950" t="s">
        <v>72621</v>
      </c>
    </row>
    <row r="23951" spans="1:20" x14ac:dyDescent="0.25">
      <c r="A23951" t="str">
        <f>"3058544"</f>
        <v>3058544</v>
      </c>
      <c r="B23951" t="s">
        <v>72623</v>
      </c>
      <c r="C23951" t="str">
        <f t="shared" si="366"/>
        <v>67562000</v>
      </c>
      <c r="D23951" t="s">
        <v>72621</v>
      </c>
      <c r="F23951" t="s">
        <v>72618</v>
      </c>
      <c r="I23951" t="s">
        <v>29</v>
      </c>
      <c r="J23951" t="s">
        <v>30</v>
      </c>
      <c r="K23951" t="s">
        <v>72619</v>
      </c>
      <c r="M23951" t="s">
        <v>52111</v>
      </c>
      <c r="N23951" t="str">
        <f t="shared" si="367"/>
        <v>11/8/2024 10:20:00 AM</v>
      </c>
      <c r="O23951" t="s">
        <v>72621</v>
      </c>
    </row>
    <row r="23952" spans="1:20" x14ac:dyDescent="0.25">
      <c r="A23952" t="str">
        <f>"3058569"</f>
        <v>3058569</v>
      </c>
      <c r="B23952" t="s">
        <v>72624</v>
      </c>
      <c r="C23952" t="str">
        <f t="shared" si="366"/>
        <v>67562000</v>
      </c>
      <c r="D23952" t="s">
        <v>72621</v>
      </c>
      <c r="F23952" t="s">
        <v>72618</v>
      </c>
      <c r="I23952" t="s">
        <v>29</v>
      </c>
      <c r="J23952" t="s">
        <v>30</v>
      </c>
      <c r="K23952" t="s">
        <v>72619</v>
      </c>
      <c r="M23952" t="s">
        <v>52111</v>
      </c>
      <c r="N23952" t="str">
        <f t="shared" si="367"/>
        <v>11/8/2024 10:20:00 AM</v>
      </c>
      <c r="O23952" t="s">
        <v>72621</v>
      </c>
    </row>
    <row r="23953" spans="1:20" x14ac:dyDescent="0.25">
      <c r="A23953" t="str">
        <f>"3058570"</f>
        <v>3058570</v>
      </c>
      <c r="B23953" t="s">
        <v>72625</v>
      </c>
      <c r="C23953" t="str">
        <f t="shared" si="366"/>
        <v>67562000</v>
      </c>
      <c r="D23953" t="s">
        <v>72621</v>
      </c>
      <c r="F23953" t="s">
        <v>72618</v>
      </c>
      <c r="I23953" t="s">
        <v>29</v>
      </c>
      <c r="J23953" t="s">
        <v>30</v>
      </c>
      <c r="K23953" t="s">
        <v>72619</v>
      </c>
      <c r="M23953" t="s">
        <v>52111</v>
      </c>
      <c r="N23953" t="str">
        <f t="shared" si="367"/>
        <v>11/8/2024 10:20:00 AM</v>
      </c>
      <c r="O23953" t="s">
        <v>72621</v>
      </c>
    </row>
    <row r="23954" spans="1:20" x14ac:dyDescent="0.25">
      <c r="A23954" t="str">
        <f>"3058540"</f>
        <v>3058540</v>
      </c>
      <c r="B23954" t="s">
        <v>72626</v>
      </c>
      <c r="C23954" t="str">
        <f t="shared" si="366"/>
        <v>67562000</v>
      </c>
      <c r="D23954" t="s">
        <v>72621</v>
      </c>
      <c r="F23954" t="s">
        <v>72618</v>
      </c>
      <c r="I23954" t="s">
        <v>29</v>
      </c>
      <c r="J23954" t="s">
        <v>30</v>
      </c>
      <c r="K23954" t="s">
        <v>72619</v>
      </c>
      <c r="M23954" t="s">
        <v>52111</v>
      </c>
      <c r="N23954" t="str">
        <f t="shared" si="367"/>
        <v>11/8/2024 10:20:00 AM</v>
      </c>
      <c r="O23954" t="s">
        <v>72621</v>
      </c>
    </row>
    <row r="23955" spans="1:20" x14ac:dyDescent="0.25">
      <c r="A23955" t="str">
        <f>"3058572"</f>
        <v>3058572</v>
      </c>
      <c r="B23955" t="s">
        <v>72627</v>
      </c>
      <c r="C23955" t="str">
        <f t="shared" si="366"/>
        <v>67562000</v>
      </c>
      <c r="D23955" t="s">
        <v>72621</v>
      </c>
      <c r="F23955" t="s">
        <v>72618</v>
      </c>
      <c r="I23955" t="s">
        <v>29</v>
      </c>
      <c r="J23955" t="s">
        <v>30</v>
      </c>
      <c r="K23955" t="s">
        <v>72619</v>
      </c>
      <c r="M23955" t="s">
        <v>52111</v>
      </c>
      <c r="N23955" t="str">
        <f t="shared" si="367"/>
        <v>11/8/2024 10:20:00 AM</v>
      </c>
      <c r="O23955" t="s">
        <v>72621</v>
      </c>
    </row>
    <row r="23956" spans="1:20" x14ac:dyDescent="0.25">
      <c r="A23956" t="str">
        <f>"3058573"</f>
        <v>3058573</v>
      </c>
      <c r="B23956" t="s">
        <v>72628</v>
      </c>
      <c r="C23956" t="str">
        <f t="shared" si="366"/>
        <v>67562000</v>
      </c>
      <c r="D23956" t="s">
        <v>72621</v>
      </c>
      <c r="F23956" t="s">
        <v>72618</v>
      </c>
      <c r="I23956" t="s">
        <v>29</v>
      </c>
      <c r="J23956" t="s">
        <v>30</v>
      </c>
      <c r="K23956" t="s">
        <v>72619</v>
      </c>
      <c r="M23956" t="s">
        <v>52111</v>
      </c>
      <c r="N23956" t="str">
        <f t="shared" si="367"/>
        <v>11/8/2024 10:20:00 AM</v>
      </c>
      <c r="O23956" t="s">
        <v>72621</v>
      </c>
    </row>
    <row r="23957" spans="1:20" x14ac:dyDescent="0.25">
      <c r="A23957" t="str">
        <f>"3058568"</f>
        <v>3058568</v>
      </c>
      <c r="B23957" t="s">
        <v>72629</v>
      </c>
      <c r="C23957" t="str">
        <f t="shared" si="366"/>
        <v>67562000</v>
      </c>
      <c r="D23957" t="s">
        <v>72621</v>
      </c>
      <c r="F23957" t="s">
        <v>72618</v>
      </c>
      <c r="I23957" t="s">
        <v>29</v>
      </c>
      <c r="J23957" t="s">
        <v>30</v>
      </c>
      <c r="K23957" t="s">
        <v>72619</v>
      </c>
      <c r="M23957" t="s">
        <v>52111</v>
      </c>
      <c r="N23957" t="str">
        <f t="shared" si="367"/>
        <v>11/8/2024 10:20:00 AM</v>
      </c>
      <c r="O23957" t="s">
        <v>72621</v>
      </c>
    </row>
    <row r="23958" spans="1:20" x14ac:dyDescent="0.25">
      <c r="A23958" t="str">
        <f>"3076803"</f>
        <v>3076803</v>
      </c>
      <c r="B23958" t="s">
        <v>72630</v>
      </c>
      <c r="C23958" t="str">
        <f>"82532460"</f>
        <v>82532460</v>
      </c>
      <c r="D23958" t="s">
        <v>72621</v>
      </c>
      <c r="F23958" t="s">
        <v>72618</v>
      </c>
      <c r="I23958" t="s">
        <v>29</v>
      </c>
      <c r="J23958" t="s">
        <v>30</v>
      </c>
      <c r="K23958" t="s">
        <v>72619</v>
      </c>
      <c r="M23958" t="s">
        <v>52111</v>
      </c>
      <c r="N23958" t="str">
        <f t="shared" si="367"/>
        <v>11/8/2024 10:20:00 AM</v>
      </c>
      <c r="O23958" t="s">
        <v>72621</v>
      </c>
    </row>
    <row r="23959" spans="1:20" x14ac:dyDescent="0.25">
      <c r="A23959" t="str">
        <f>"3076996"</f>
        <v>3076996</v>
      </c>
      <c r="B23959" t="s">
        <v>72631</v>
      </c>
      <c r="C23959" t="str">
        <f>"82532460"</f>
        <v>82532460</v>
      </c>
      <c r="D23959" t="s">
        <v>72621</v>
      </c>
      <c r="F23959" t="s">
        <v>72618</v>
      </c>
      <c r="I23959" t="s">
        <v>29</v>
      </c>
      <c r="J23959" t="s">
        <v>30</v>
      </c>
      <c r="K23959" t="s">
        <v>72619</v>
      </c>
      <c r="M23959" t="s">
        <v>52111</v>
      </c>
      <c r="N23959" t="str">
        <f t="shared" si="367"/>
        <v>11/8/2024 10:20:00 AM</v>
      </c>
      <c r="O23959" t="s">
        <v>72621</v>
      </c>
    </row>
    <row r="23960" spans="1:20" x14ac:dyDescent="0.25">
      <c r="A23960" t="str">
        <f>"3042727"</f>
        <v>3042727</v>
      </c>
      <c r="B23960" t="s">
        <v>72632</v>
      </c>
      <c r="C23960" t="str">
        <f>"82532460"</f>
        <v>82532460</v>
      </c>
      <c r="D23960" t="s">
        <v>72621</v>
      </c>
      <c r="F23960" t="s">
        <v>72618</v>
      </c>
      <c r="I23960" t="s">
        <v>29</v>
      </c>
      <c r="J23960" t="s">
        <v>30</v>
      </c>
      <c r="K23960" t="s">
        <v>72619</v>
      </c>
      <c r="M23960" t="s">
        <v>52111</v>
      </c>
      <c r="N23960" t="str">
        <f t="shared" si="367"/>
        <v>11/8/2024 10:20:00 AM</v>
      </c>
      <c r="O23960" t="s">
        <v>72621</v>
      </c>
    </row>
    <row r="23961" spans="1:20" x14ac:dyDescent="0.25">
      <c r="A23961" t="str">
        <f>"3042096"</f>
        <v>3042096</v>
      </c>
      <c r="B23961" t="s">
        <v>72633</v>
      </c>
      <c r="C23961" t="str">
        <f>"82532460"</f>
        <v>82532460</v>
      </c>
      <c r="D23961" t="s">
        <v>72621</v>
      </c>
      <c r="F23961" t="s">
        <v>72618</v>
      </c>
      <c r="I23961" t="s">
        <v>29</v>
      </c>
      <c r="J23961" t="s">
        <v>30</v>
      </c>
      <c r="K23961" t="s">
        <v>72619</v>
      </c>
      <c r="M23961" t="s">
        <v>52111</v>
      </c>
      <c r="N23961" t="str">
        <f t="shared" si="367"/>
        <v>11/8/2024 10:20:00 AM</v>
      </c>
      <c r="O23961" t="s">
        <v>72621</v>
      </c>
    </row>
    <row r="23962" spans="1:20" x14ac:dyDescent="0.25">
      <c r="A23962" t="str">
        <f>"3056873"</f>
        <v>3056873</v>
      </c>
      <c r="B23962" t="s">
        <v>72634</v>
      </c>
      <c r="C23962" t="str">
        <f>"82526697"</f>
        <v>82526697</v>
      </c>
      <c r="D23962" t="s">
        <v>72635</v>
      </c>
      <c r="E23962" t="s">
        <v>72636</v>
      </c>
      <c r="F23962" t="s">
        <v>72637</v>
      </c>
      <c r="I23962" t="s">
        <v>184</v>
      </c>
      <c r="J23962" t="s">
        <v>30</v>
      </c>
      <c r="K23962" t="s">
        <v>185</v>
      </c>
      <c r="M23962" t="s">
        <v>50793</v>
      </c>
      <c r="N23962" t="str">
        <f>"11/12/2024 10:56:00 AM"</f>
        <v>11/12/2024 10:56:00 AM</v>
      </c>
      <c r="O23962" t="s">
        <v>72635</v>
      </c>
      <c r="T23962" t="s">
        <v>72636</v>
      </c>
    </row>
    <row r="23963" spans="1:20" x14ac:dyDescent="0.25">
      <c r="A23963" t="str">
        <f>"3061500"</f>
        <v>3061500</v>
      </c>
      <c r="B23963" t="s">
        <v>72638</v>
      </c>
      <c r="C23963" t="str">
        <f>"82526697"</f>
        <v>82526697</v>
      </c>
      <c r="D23963" t="s">
        <v>72635</v>
      </c>
      <c r="E23963" t="s">
        <v>72636</v>
      </c>
      <c r="F23963" t="s">
        <v>72637</v>
      </c>
      <c r="I23963" t="s">
        <v>184</v>
      </c>
      <c r="J23963" t="s">
        <v>30</v>
      </c>
      <c r="K23963" t="s">
        <v>185</v>
      </c>
      <c r="M23963" t="s">
        <v>50793</v>
      </c>
      <c r="N23963" t="str">
        <f>"11/12/2024 10:56:00 AM"</f>
        <v>11/12/2024 10:56:00 AM</v>
      </c>
      <c r="O23963" t="s">
        <v>72635</v>
      </c>
      <c r="T23963" t="s">
        <v>72636</v>
      </c>
    </row>
    <row r="23964" spans="1:20" x14ac:dyDescent="0.25">
      <c r="A23964" t="str">
        <f>"3077719"</f>
        <v>3077719</v>
      </c>
      <c r="B23964" t="s">
        <v>72639</v>
      </c>
      <c r="C23964" t="str">
        <f>"8323344"</f>
        <v>8323344</v>
      </c>
      <c r="D23964" t="s">
        <v>72640</v>
      </c>
      <c r="E23964" t="s">
        <v>72641</v>
      </c>
      <c r="F23964" t="s">
        <v>72642</v>
      </c>
      <c r="I23964" t="s">
        <v>29</v>
      </c>
      <c r="J23964" t="s">
        <v>30</v>
      </c>
      <c r="K23964" t="s">
        <v>47757</v>
      </c>
      <c r="M23964" t="s">
        <v>50500</v>
      </c>
      <c r="N23964" t="str">
        <f>"11/12/2024 1:13:00 PM"</f>
        <v>11/12/2024 1:13:00 PM</v>
      </c>
      <c r="O23964" t="s">
        <v>72640</v>
      </c>
      <c r="T23964" t="s">
        <v>72641</v>
      </c>
    </row>
    <row r="23965" spans="1:20" x14ac:dyDescent="0.25">
      <c r="A23965" t="str">
        <f>"3077720"</f>
        <v>3077720</v>
      </c>
      <c r="B23965" t="s">
        <v>72643</v>
      </c>
      <c r="C23965" t="str">
        <f>"8323344"</f>
        <v>8323344</v>
      </c>
      <c r="D23965" t="s">
        <v>72640</v>
      </c>
      <c r="E23965" t="s">
        <v>72641</v>
      </c>
      <c r="F23965" t="s">
        <v>72642</v>
      </c>
      <c r="I23965" t="s">
        <v>29</v>
      </c>
      <c r="J23965" t="s">
        <v>30</v>
      </c>
      <c r="K23965" t="s">
        <v>47757</v>
      </c>
      <c r="M23965" t="s">
        <v>50500</v>
      </c>
      <c r="N23965" t="str">
        <f>"11/12/2024 1:13:00 PM"</f>
        <v>11/12/2024 1:13:00 PM</v>
      </c>
      <c r="O23965" t="s">
        <v>72640</v>
      </c>
      <c r="T23965" t="s">
        <v>72641</v>
      </c>
    </row>
    <row r="23966" spans="1:20" x14ac:dyDescent="0.25">
      <c r="A23966" t="str">
        <f>"3065942"</f>
        <v>3065942</v>
      </c>
      <c r="B23966" t="s">
        <v>72644</v>
      </c>
      <c r="C23966" t="str">
        <f>"8323344"</f>
        <v>8323344</v>
      </c>
      <c r="D23966" t="s">
        <v>72640</v>
      </c>
      <c r="E23966" t="s">
        <v>72641</v>
      </c>
      <c r="F23966" t="s">
        <v>72642</v>
      </c>
      <c r="I23966" t="s">
        <v>29</v>
      </c>
      <c r="J23966" t="s">
        <v>30</v>
      </c>
      <c r="K23966" t="s">
        <v>47757</v>
      </c>
      <c r="M23966" t="s">
        <v>50500</v>
      </c>
      <c r="N23966" t="str">
        <f>"11/12/2024 1:13:00 PM"</f>
        <v>11/12/2024 1:13:00 PM</v>
      </c>
      <c r="O23966" t="s">
        <v>72640</v>
      </c>
      <c r="T23966" t="s">
        <v>72641</v>
      </c>
    </row>
    <row r="23967" spans="1:20" x14ac:dyDescent="0.25">
      <c r="A23967" t="str">
        <f>"3043822"</f>
        <v>3043822</v>
      </c>
      <c r="B23967" t="s">
        <v>72645</v>
      </c>
      <c r="C23967" t="str">
        <f>"8323344"</f>
        <v>8323344</v>
      </c>
      <c r="D23967" t="s">
        <v>72640</v>
      </c>
      <c r="E23967" t="s">
        <v>72641</v>
      </c>
      <c r="F23967" t="s">
        <v>72642</v>
      </c>
      <c r="I23967" t="s">
        <v>29</v>
      </c>
      <c r="J23967" t="s">
        <v>30</v>
      </c>
      <c r="K23967" t="s">
        <v>47757</v>
      </c>
      <c r="M23967" t="s">
        <v>50500</v>
      </c>
      <c r="N23967" t="str">
        <f>"11/12/2024 1:13:00 PM"</f>
        <v>11/12/2024 1:13:00 PM</v>
      </c>
      <c r="O23967" t="s">
        <v>72640</v>
      </c>
      <c r="T23967" t="s">
        <v>72641</v>
      </c>
    </row>
    <row r="23968" spans="1:20" x14ac:dyDescent="0.25">
      <c r="A23968" t="str">
        <f>"3058981"</f>
        <v>3058981</v>
      </c>
      <c r="B23968" t="s">
        <v>72646</v>
      </c>
      <c r="C23968" t="str">
        <f>"82516370"</f>
        <v>82516370</v>
      </c>
      <c r="D23968" t="s">
        <v>72647</v>
      </c>
      <c r="E23968" t="s">
        <v>72648</v>
      </c>
      <c r="F23968" t="s">
        <v>72649</v>
      </c>
      <c r="I23968" t="s">
        <v>29</v>
      </c>
      <c r="J23968" t="s">
        <v>30</v>
      </c>
      <c r="K23968" t="s">
        <v>31</v>
      </c>
      <c r="M23968" t="s">
        <v>50793</v>
      </c>
      <c r="N23968" t="str">
        <f>"11/12/2024 1:53:00 PM"</f>
        <v>11/12/2024 1:53:00 PM</v>
      </c>
      <c r="O23968" t="s">
        <v>72647</v>
      </c>
      <c r="T23968" t="s">
        <v>72648</v>
      </c>
    </row>
    <row r="23969" spans="1:20" x14ac:dyDescent="0.25">
      <c r="A23969" t="str">
        <f>"3039388"</f>
        <v>3039388</v>
      </c>
      <c r="B23969" t="s">
        <v>72650</v>
      </c>
      <c r="C23969" t="str">
        <f>"8315120"</f>
        <v>8315120</v>
      </c>
      <c r="D23969" t="s">
        <v>72651</v>
      </c>
      <c r="F23969" t="s">
        <v>45155</v>
      </c>
      <c r="I23969" t="s">
        <v>184</v>
      </c>
      <c r="J23969" t="s">
        <v>30</v>
      </c>
      <c r="K23969" t="s">
        <v>61835</v>
      </c>
      <c r="M23969" t="s">
        <v>51351</v>
      </c>
      <c r="N23969" t="str">
        <f>"11/13/2024 11:04:00 AM"</f>
        <v>11/13/2024 11:04:00 AM</v>
      </c>
      <c r="O23969" t="s">
        <v>72651</v>
      </c>
    </row>
    <row r="23970" spans="1:20" x14ac:dyDescent="0.25">
      <c r="A23970" t="str">
        <f>"3040294"</f>
        <v>3040294</v>
      </c>
      <c r="B23970" t="s">
        <v>72652</v>
      </c>
      <c r="C23970" t="str">
        <f>"8323348"</f>
        <v>8323348</v>
      </c>
      <c r="D23970" t="s">
        <v>72653</v>
      </c>
      <c r="E23970" t="s">
        <v>72654</v>
      </c>
      <c r="F23970" t="s">
        <v>72655</v>
      </c>
      <c r="I23970" t="s">
        <v>184</v>
      </c>
      <c r="J23970" t="s">
        <v>30</v>
      </c>
      <c r="K23970" t="s">
        <v>43497</v>
      </c>
      <c r="M23970" t="s">
        <v>50500</v>
      </c>
      <c r="N23970" t="str">
        <f>"11/15/2024 10:48:00 AM"</f>
        <v>11/15/2024 10:48:00 AM</v>
      </c>
      <c r="O23970" t="s">
        <v>72653</v>
      </c>
      <c r="T23970" t="s">
        <v>72654</v>
      </c>
    </row>
    <row r="23971" spans="1:20" x14ac:dyDescent="0.25">
      <c r="A23971" t="str">
        <f>"3040292"</f>
        <v>3040292</v>
      </c>
      <c r="B23971" t="s">
        <v>72656</v>
      </c>
      <c r="C23971" t="str">
        <f>"8323348"</f>
        <v>8323348</v>
      </c>
      <c r="D23971" t="s">
        <v>72653</v>
      </c>
      <c r="E23971" t="s">
        <v>72654</v>
      </c>
      <c r="F23971" t="s">
        <v>72655</v>
      </c>
      <c r="I23971" t="s">
        <v>184</v>
      </c>
      <c r="J23971" t="s">
        <v>30</v>
      </c>
      <c r="K23971" t="s">
        <v>43497</v>
      </c>
      <c r="M23971" t="s">
        <v>50500</v>
      </c>
      <c r="N23971" t="str">
        <f>"11/15/2024 10:48:00 AM"</f>
        <v>11/15/2024 10:48:00 AM</v>
      </c>
      <c r="O23971" t="s">
        <v>72653</v>
      </c>
      <c r="T23971" t="s">
        <v>72654</v>
      </c>
    </row>
    <row r="23972" spans="1:20" x14ac:dyDescent="0.25">
      <c r="A23972" t="str">
        <f>"3040745"</f>
        <v>3040745</v>
      </c>
      <c r="B23972" t="s">
        <v>72657</v>
      </c>
      <c r="C23972" t="str">
        <f>"8323348"</f>
        <v>8323348</v>
      </c>
      <c r="D23972" t="s">
        <v>72653</v>
      </c>
      <c r="E23972" t="s">
        <v>72654</v>
      </c>
      <c r="F23972" t="s">
        <v>72655</v>
      </c>
      <c r="I23972" t="s">
        <v>184</v>
      </c>
      <c r="J23972" t="s">
        <v>30</v>
      </c>
      <c r="K23972" t="s">
        <v>43497</v>
      </c>
      <c r="M23972" t="s">
        <v>50500</v>
      </c>
      <c r="N23972" t="str">
        <f>"11/15/2024 10:48:00 AM"</f>
        <v>11/15/2024 10:48:00 AM</v>
      </c>
      <c r="O23972" t="s">
        <v>72653</v>
      </c>
      <c r="T23972" t="s">
        <v>72654</v>
      </c>
    </row>
    <row r="23973" spans="1:20" x14ac:dyDescent="0.25">
      <c r="A23973" t="str">
        <f>"3037772"</f>
        <v>3037772</v>
      </c>
      <c r="B23973" t="s">
        <v>72658</v>
      </c>
      <c r="C23973" t="str">
        <f>"8323349"</f>
        <v>8323349</v>
      </c>
      <c r="D23973" t="s">
        <v>72659</v>
      </c>
      <c r="F23973" t="s">
        <v>72660</v>
      </c>
      <c r="I23973" t="s">
        <v>29</v>
      </c>
      <c r="J23973" t="s">
        <v>30</v>
      </c>
      <c r="K23973" t="s">
        <v>51336</v>
      </c>
      <c r="M23973" t="s">
        <v>50500</v>
      </c>
      <c r="N23973" t="str">
        <f>"11/15/2024 10:55:00 AM"</f>
        <v>11/15/2024 10:55:00 AM</v>
      </c>
      <c r="O23973" t="s">
        <v>72659</v>
      </c>
    </row>
    <row r="23974" spans="1:20" x14ac:dyDescent="0.25">
      <c r="A23974" t="str">
        <f>"3050097"</f>
        <v>3050097</v>
      </c>
      <c r="B23974" t="s">
        <v>72661</v>
      </c>
      <c r="C23974" t="str">
        <f>"8323350"</f>
        <v>8323350</v>
      </c>
      <c r="D23974" t="s">
        <v>23224</v>
      </c>
      <c r="F23974" t="s">
        <v>72662</v>
      </c>
      <c r="I23974" t="s">
        <v>3196</v>
      </c>
      <c r="J23974" t="s">
        <v>30</v>
      </c>
      <c r="K23974" t="s">
        <v>72663</v>
      </c>
      <c r="M23974" t="s">
        <v>50500</v>
      </c>
      <c r="N23974" t="str">
        <f>"11/15/2024 10:59:00 AM"</f>
        <v>11/15/2024 10:59:00 AM</v>
      </c>
      <c r="O23974" t="s">
        <v>23224</v>
      </c>
    </row>
    <row r="23975" spans="1:20" x14ac:dyDescent="0.25">
      <c r="A23975" t="str">
        <f>"3049565"</f>
        <v>3049565</v>
      </c>
      <c r="B23975" t="s">
        <v>72664</v>
      </c>
      <c r="C23975" t="str">
        <f>"8323350"</f>
        <v>8323350</v>
      </c>
      <c r="D23975" t="s">
        <v>23224</v>
      </c>
      <c r="F23975" t="s">
        <v>72662</v>
      </c>
      <c r="I23975" t="s">
        <v>3196</v>
      </c>
      <c r="J23975" t="s">
        <v>30</v>
      </c>
      <c r="K23975" t="s">
        <v>72663</v>
      </c>
      <c r="M23975" t="s">
        <v>50500</v>
      </c>
      <c r="N23975" t="str">
        <f>"11/15/2024 10:59:00 AM"</f>
        <v>11/15/2024 10:59:00 AM</v>
      </c>
      <c r="O23975" t="s">
        <v>23224</v>
      </c>
    </row>
    <row r="23976" spans="1:20" x14ac:dyDescent="0.25">
      <c r="A23976" t="str">
        <f>"3078417"</f>
        <v>3078417</v>
      </c>
      <c r="B23976" t="s">
        <v>72665</v>
      </c>
      <c r="C23976" t="str">
        <f>"8323350"</f>
        <v>8323350</v>
      </c>
      <c r="D23976" t="s">
        <v>23224</v>
      </c>
      <c r="F23976" t="s">
        <v>72662</v>
      </c>
      <c r="I23976" t="s">
        <v>3196</v>
      </c>
      <c r="J23976" t="s">
        <v>30</v>
      </c>
      <c r="K23976" t="s">
        <v>72663</v>
      </c>
      <c r="M23976" t="s">
        <v>50500</v>
      </c>
      <c r="N23976" t="str">
        <f>"11/15/2024 10:59:00 AM"</f>
        <v>11/15/2024 10:59:00 AM</v>
      </c>
      <c r="O23976" t="s">
        <v>23224</v>
      </c>
    </row>
    <row r="23977" spans="1:20" x14ac:dyDescent="0.25">
      <c r="A23977" t="str">
        <f>"3061646"</f>
        <v>3061646</v>
      </c>
      <c r="B23977" t="s">
        <v>72666</v>
      </c>
      <c r="C23977" t="str">
        <f>"8323351"</f>
        <v>8323351</v>
      </c>
      <c r="D23977" t="s">
        <v>72667</v>
      </c>
      <c r="E23977" t="s">
        <v>72668</v>
      </c>
      <c r="F23977" t="s">
        <v>72669</v>
      </c>
      <c r="I23977" t="s">
        <v>29</v>
      </c>
      <c r="J23977" t="s">
        <v>30</v>
      </c>
      <c r="K23977" t="s">
        <v>19553</v>
      </c>
      <c r="M23977" t="s">
        <v>50500</v>
      </c>
      <c r="N23977" t="str">
        <f>"11/15/2024 11:07:00 AM"</f>
        <v>11/15/2024 11:07:00 AM</v>
      </c>
      <c r="O23977" t="s">
        <v>72667</v>
      </c>
      <c r="T23977" t="s">
        <v>72668</v>
      </c>
    </row>
    <row r="23978" spans="1:20" x14ac:dyDescent="0.25">
      <c r="A23978" t="str">
        <f>"3044924"</f>
        <v>3044924</v>
      </c>
      <c r="B23978" t="s">
        <v>72670</v>
      </c>
      <c r="C23978" t="str">
        <f>"8323352"</f>
        <v>8323352</v>
      </c>
      <c r="D23978" t="s">
        <v>72671</v>
      </c>
      <c r="E23978" t="s">
        <v>72672</v>
      </c>
      <c r="F23978" t="s">
        <v>72673</v>
      </c>
      <c r="I23978" t="s">
        <v>184</v>
      </c>
      <c r="J23978" t="s">
        <v>30</v>
      </c>
      <c r="K23978" t="s">
        <v>21438</v>
      </c>
      <c r="M23978" t="s">
        <v>50500</v>
      </c>
      <c r="N23978" t="str">
        <f>"11/15/2024 11:11:00 AM"</f>
        <v>11/15/2024 11:11:00 AM</v>
      </c>
      <c r="O23978" t="s">
        <v>72671</v>
      </c>
      <c r="T23978" t="s">
        <v>72672</v>
      </c>
    </row>
    <row r="23979" spans="1:20" x14ac:dyDescent="0.25">
      <c r="A23979" t="str">
        <f>"3039776"</f>
        <v>3039776</v>
      </c>
      <c r="B23979" t="s">
        <v>72674</v>
      </c>
      <c r="C23979" t="str">
        <f>"8323353"</f>
        <v>8323353</v>
      </c>
      <c r="D23979" t="s">
        <v>72675</v>
      </c>
      <c r="E23979" t="s">
        <v>72676</v>
      </c>
      <c r="F23979" t="s">
        <v>72677</v>
      </c>
      <c r="I23979" t="s">
        <v>29</v>
      </c>
      <c r="J23979" t="s">
        <v>30</v>
      </c>
      <c r="K23979" t="s">
        <v>72678</v>
      </c>
      <c r="M23979" t="s">
        <v>50500</v>
      </c>
      <c r="N23979" t="str">
        <f>"11/15/2024 11:15:00 AM"</f>
        <v>11/15/2024 11:15:00 AM</v>
      </c>
      <c r="O23979" t="s">
        <v>72675</v>
      </c>
      <c r="T23979" t="s">
        <v>72676</v>
      </c>
    </row>
    <row r="23980" spans="1:20" x14ac:dyDescent="0.25">
      <c r="A23980" t="str">
        <f>"3051909"</f>
        <v>3051909</v>
      </c>
      <c r="B23980" t="s">
        <v>72679</v>
      </c>
      <c r="C23980" t="str">
        <f>"8323347"</f>
        <v>8323347</v>
      </c>
      <c r="D23980" t="s">
        <v>72680</v>
      </c>
      <c r="F23980" t="s">
        <v>72681</v>
      </c>
      <c r="I23980" t="s">
        <v>29</v>
      </c>
      <c r="J23980" t="s">
        <v>30</v>
      </c>
      <c r="K23980" t="s">
        <v>33607</v>
      </c>
      <c r="M23980" t="s">
        <v>50500</v>
      </c>
      <c r="N23980" t="str">
        <f>"11/15/2024 10:43:00 AM"</f>
        <v>11/15/2024 10:43:00 AM</v>
      </c>
      <c r="O23980" t="s">
        <v>72680</v>
      </c>
    </row>
    <row r="23981" spans="1:20" x14ac:dyDescent="0.25">
      <c r="A23981" t="str">
        <f>"3043039"</f>
        <v>3043039</v>
      </c>
      <c r="B23981" t="s">
        <v>72682</v>
      </c>
      <c r="C23981" t="str">
        <f>"8323346"</f>
        <v>8323346</v>
      </c>
      <c r="D23981" t="s">
        <v>72683</v>
      </c>
      <c r="E23981" t="s">
        <v>72684</v>
      </c>
      <c r="F23981" t="s">
        <v>72685</v>
      </c>
      <c r="I23981" t="s">
        <v>29</v>
      </c>
      <c r="J23981" t="s">
        <v>30</v>
      </c>
      <c r="K23981" t="s">
        <v>39393</v>
      </c>
      <c r="M23981" t="s">
        <v>50500</v>
      </c>
      <c r="N23981" t="str">
        <f>"11/15/2024 10:38:00 AM"</f>
        <v>11/15/2024 10:38:00 AM</v>
      </c>
      <c r="O23981" t="s">
        <v>72683</v>
      </c>
      <c r="T23981" t="s">
        <v>72684</v>
      </c>
    </row>
    <row r="23982" spans="1:20" x14ac:dyDescent="0.25">
      <c r="A23982" t="str">
        <f>"3077172"</f>
        <v>3077172</v>
      </c>
      <c r="B23982" t="s">
        <v>72686</v>
      </c>
      <c r="C23982" t="str">
        <f>"8323345"</f>
        <v>8323345</v>
      </c>
      <c r="D23982" t="s">
        <v>72687</v>
      </c>
      <c r="E23982" t="s">
        <v>72688</v>
      </c>
      <c r="F23982" t="s">
        <v>72689</v>
      </c>
      <c r="I23982" t="s">
        <v>184</v>
      </c>
      <c r="J23982" t="s">
        <v>30</v>
      </c>
      <c r="K23982" t="s">
        <v>70135</v>
      </c>
      <c r="M23982" t="s">
        <v>50500</v>
      </c>
      <c r="N23982" t="str">
        <f>"11/15/2024 10:27:00 AM"</f>
        <v>11/15/2024 10:27:00 AM</v>
      </c>
      <c r="O23982" t="s">
        <v>72687</v>
      </c>
      <c r="T23982" t="s">
        <v>72688</v>
      </c>
    </row>
    <row r="23983" spans="1:20" x14ac:dyDescent="0.25">
      <c r="A23983" t="str">
        <f>"3049405"</f>
        <v>3049405</v>
      </c>
      <c r="B23983" t="s">
        <v>72690</v>
      </c>
      <c r="C23983" t="str">
        <f>"8323358"</f>
        <v>8323358</v>
      </c>
      <c r="D23983" t="s">
        <v>72691</v>
      </c>
      <c r="E23983" t="s">
        <v>72692</v>
      </c>
      <c r="F23983" t="s">
        <v>72693</v>
      </c>
      <c r="I23983" t="s">
        <v>184</v>
      </c>
      <c r="J23983" t="s">
        <v>30</v>
      </c>
      <c r="K23983" t="s">
        <v>34731</v>
      </c>
      <c r="M23983" t="s">
        <v>50500</v>
      </c>
      <c r="N23983" t="str">
        <f>"11/18/2024 8:33:00 AM"</f>
        <v>11/18/2024 8:33:00 AM</v>
      </c>
      <c r="O23983" t="s">
        <v>72691</v>
      </c>
      <c r="T23983" t="s">
        <v>72692</v>
      </c>
    </row>
    <row r="23984" spans="1:20" x14ac:dyDescent="0.25">
      <c r="A23984" t="str">
        <f>"3078738"</f>
        <v>3078738</v>
      </c>
      <c r="B23984" t="s">
        <v>72694</v>
      </c>
      <c r="C23984" t="str">
        <f>"8323359"</f>
        <v>8323359</v>
      </c>
      <c r="D23984" t="s">
        <v>72695</v>
      </c>
      <c r="E23984" t="s">
        <v>72696</v>
      </c>
      <c r="F23984" t="s">
        <v>72697</v>
      </c>
      <c r="I23984" t="s">
        <v>29</v>
      </c>
      <c r="J23984" t="s">
        <v>30</v>
      </c>
      <c r="K23984" t="s">
        <v>72698</v>
      </c>
      <c r="M23984" t="s">
        <v>50500</v>
      </c>
      <c r="N23984" t="str">
        <f>"11/18/2024 8:59:00 AM"</f>
        <v>11/18/2024 8:59:00 AM</v>
      </c>
      <c r="O23984" t="s">
        <v>72695</v>
      </c>
      <c r="T23984" t="s">
        <v>72696</v>
      </c>
    </row>
    <row r="23985" spans="1:20" x14ac:dyDescent="0.25">
      <c r="A23985" t="str">
        <f>"3069068"</f>
        <v>3069068</v>
      </c>
      <c r="B23985" t="s">
        <v>72699</v>
      </c>
      <c r="C23985" t="str">
        <f>"8323359"</f>
        <v>8323359</v>
      </c>
      <c r="D23985" t="s">
        <v>72695</v>
      </c>
      <c r="E23985" t="s">
        <v>72696</v>
      </c>
      <c r="F23985" t="s">
        <v>72697</v>
      </c>
      <c r="I23985" t="s">
        <v>29</v>
      </c>
      <c r="J23985" t="s">
        <v>30</v>
      </c>
      <c r="K23985" t="s">
        <v>72698</v>
      </c>
      <c r="M23985" t="s">
        <v>50500</v>
      </c>
      <c r="N23985" t="str">
        <f>"11/18/2024 8:59:00 AM"</f>
        <v>11/18/2024 8:59:00 AM</v>
      </c>
      <c r="O23985" t="s">
        <v>72695</v>
      </c>
      <c r="T23985" t="s">
        <v>72696</v>
      </c>
    </row>
    <row r="23986" spans="1:20" x14ac:dyDescent="0.25">
      <c r="A23986" t="str">
        <f>"3068213"</f>
        <v>3068213</v>
      </c>
      <c r="B23986" t="s">
        <v>72700</v>
      </c>
      <c r="C23986" t="str">
        <f>"8323359"</f>
        <v>8323359</v>
      </c>
      <c r="D23986" t="s">
        <v>72695</v>
      </c>
      <c r="E23986" t="s">
        <v>72696</v>
      </c>
      <c r="F23986" t="s">
        <v>72697</v>
      </c>
      <c r="I23986" t="s">
        <v>29</v>
      </c>
      <c r="J23986" t="s">
        <v>30</v>
      </c>
      <c r="K23986" t="s">
        <v>72698</v>
      </c>
      <c r="M23986" t="s">
        <v>50500</v>
      </c>
      <c r="N23986" t="str">
        <f>"11/18/2024 8:59:00 AM"</f>
        <v>11/18/2024 8:59:00 AM</v>
      </c>
      <c r="O23986" t="s">
        <v>72695</v>
      </c>
      <c r="T23986" t="s">
        <v>72696</v>
      </c>
    </row>
    <row r="23987" spans="1:20" x14ac:dyDescent="0.25">
      <c r="A23987" t="str">
        <f>"3046580"</f>
        <v>3046580</v>
      </c>
      <c r="B23987" t="s">
        <v>72701</v>
      </c>
      <c r="C23987" t="str">
        <f>"79651570"</f>
        <v>79651570</v>
      </c>
      <c r="D23987" t="s">
        <v>72702</v>
      </c>
      <c r="F23987" t="s">
        <v>37649</v>
      </c>
      <c r="I23987" t="s">
        <v>29</v>
      </c>
      <c r="J23987" t="s">
        <v>30</v>
      </c>
      <c r="K23987" t="s">
        <v>6094</v>
      </c>
      <c r="M23987" t="s">
        <v>50621</v>
      </c>
      <c r="N23987" t="str">
        <f>"11/18/2024 10:18:00 AM"</f>
        <v>11/18/2024 10:18:00 AM</v>
      </c>
      <c r="O23987" t="s">
        <v>72702</v>
      </c>
    </row>
    <row r="23988" spans="1:20" x14ac:dyDescent="0.25">
      <c r="A23988" t="str">
        <f>"3046655"</f>
        <v>3046655</v>
      </c>
      <c r="B23988" t="s">
        <v>72703</v>
      </c>
      <c r="C23988" t="str">
        <f>"82516649"</f>
        <v>82516649</v>
      </c>
      <c r="D23988" t="s">
        <v>72704</v>
      </c>
      <c r="E23988" t="s">
        <v>72705</v>
      </c>
      <c r="F23988" t="s">
        <v>37649</v>
      </c>
      <c r="I23988" t="s">
        <v>29</v>
      </c>
      <c r="J23988" t="s">
        <v>30</v>
      </c>
      <c r="K23988" t="s">
        <v>6094</v>
      </c>
      <c r="M23988" t="s">
        <v>50621</v>
      </c>
      <c r="N23988" t="str">
        <f>"11/18/2024 10:18:00 AM"</f>
        <v>11/18/2024 10:18:00 AM</v>
      </c>
      <c r="O23988" t="s">
        <v>72704</v>
      </c>
      <c r="T23988" t="s">
        <v>72705</v>
      </c>
    </row>
    <row r="23989" spans="1:20" x14ac:dyDescent="0.25">
      <c r="A23989" t="str">
        <f>"3046484"</f>
        <v>3046484</v>
      </c>
      <c r="B23989" t="s">
        <v>72706</v>
      </c>
      <c r="C23989" t="str">
        <f>"82516649"</f>
        <v>82516649</v>
      </c>
      <c r="D23989" t="s">
        <v>72704</v>
      </c>
      <c r="E23989" t="s">
        <v>72705</v>
      </c>
      <c r="F23989" t="s">
        <v>37649</v>
      </c>
      <c r="I23989" t="s">
        <v>29</v>
      </c>
      <c r="J23989" t="s">
        <v>30</v>
      </c>
      <c r="K23989" t="s">
        <v>6094</v>
      </c>
      <c r="M23989" t="s">
        <v>50621</v>
      </c>
      <c r="N23989" t="str">
        <f>"11/18/2024 10:18:00 AM"</f>
        <v>11/18/2024 10:18:00 AM</v>
      </c>
      <c r="O23989" t="s">
        <v>72704</v>
      </c>
      <c r="T23989" t="s">
        <v>72705</v>
      </c>
    </row>
    <row r="23990" spans="1:20" x14ac:dyDescent="0.25">
      <c r="A23990" t="str">
        <f>"3059669"</f>
        <v>3059669</v>
      </c>
      <c r="B23990" t="s">
        <v>72707</v>
      </c>
      <c r="C23990" t="str">
        <f>"22652500"</f>
        <v>22652500</v>
      </c>
      <c r="D23990" t="s">
        <v>72708</v>
      </c>
      <c r="E23990" t="s">
        <v>72709</v>
      </c>
      <c r="F23990" t="s">
        <v>72710</v>
      </c>
      <c r="I23990" t="s">
        <v>29</v>
      </c>
      <c r="J23990" t="s">
        <v>30</v>
      </c>
      <c r="K23990" t="s">
        <v>8004</v>
      </c>
      <c r="M23990" t="s">
        <v>50621</v>
      </c>
      <c r="N23990" t="str">
        <f>"11/18/2024 10:41:00 AM"</f>
        <v>11/18/2024 10:41:00 AM</v>
      </c>
      <c r="O23990" t="s">
        <v>72708</v>
      </c>
      <c r="T23990" t="s">
        <v>72709</v>
      </c>
    </row>
    <row r="23991" spans="1:20" x14ac:dyDescent="0.25">
      <c r="A23991" t="str">
        <f>"3077171"</f>
        <v>3077171</v>
      </c>
      <c r="B23991" t="s">
        <v>72711</v>
      </c>
      <c r="C23991" t="str">
        <f>"8323345"</f>
        <v>8323345</v>
      </c>
      <c r="D23991" t="s">
        <v>72687</v>
      </c>
      <c r="E23991" t="s">
        <v>72688</v>
      </c>
      <c r="F23991" t="s">
        <v>72689</v>
      </c>
      <c r="I23991" t="s">
        <v>184</v>
      </c>
      <c r="J23991" t="s">
        <v>30</v>
      </c>
      <c r="K23991" t="s">
        <v>70135</v>
      </c>
      <c r="M23991" t="s">
        <v>50500</v>
      </c>
      <c r="N23991" t="str">
        <f>"11/15/2024 10:27:00 AM"</f>
        <v>11/15/2024 10:27:00 AM</v>
      </c>
      <c r="O23991" t="s">
        <v>72687</v>
      </c>
      <c r="T23991" t="s">
        <v>72688</v>
      </c>
    </row>
    <row r="23992" spans="1:20" x14ac:dyDescent="0.25">
      <c r="A23992" t="str">
        <f>"3077170"</f>
        <v>3077170</v>
      </c>
      <c r="B23992" t="s">
        <v>72712</v>
      </c>
      <c r="C23992" t="str">
        <f>"8323345"</f>
        <v>8323345</v>
      </c>
      <c r="D23992" t="s">
        <v>72687</v>
      </c>
      <c r="E23992" t="s">
        <v>72688</v>
      </c>
      <c r="F23992" t="s">
        <v>72689</v>
      </c>
      <c r="I23992" t="s">
        <v>184</v>
      </c>
      <c r="J23992" t="s">
        <v>30</v>
      </c>
      <c r="K23992" t="s">
        <v>70135</v>
      </c>
      <c r="M23992" t="s">
        <v>50500</v>
      </c>
      <c r="N23992" t="str">
        <f>"11/15/2024 10:27:00 AM"</f>
        <v>11/15/2024 10:27:00 AM</v>
      </c>
      <c r="O23992" t="s">
        <v>72687</v>
      </c>
      <c r="T23992" t="s">
        <v>72688</v>
      </c>
    </row>
    <row r="23993" spans="1:20" x14ac:dyDescent="0.25">
      <c r="A23993" t="str">
        <f>"3047410"</f>
        <v>3047410</v>
      </c>
      <c r="B23993" t="s">
        <v>72713</v>
      </c>
      <c r="C23993" t="str">
        <f t="shared" ref="C23993:C24001" si="368">"8311695"</f>
        <v>8311695</v>
      </c>
      <c r="D23993" t="s">
        <v>72714</v>
      </c>
      <c r="F23993" t="s">
        <v>11872</v>
      </c>
      <c r="I23993" t="s">
        <v>29</v>
      </c>
      <c r="J23993" t="s">
        <v>30</v>
      </c>
      <c r="K23993" t="s">
        <v>72715</v>
      </c>
      <c r="M23993" t="s">
        <v>25625</v>
      </c>
      <c r="N23993" t="str">
        <f t="shared" ref="N23993:N24001" si="369">"11/14/2024 4:11:00 PM"</f>
        <v>11/14/2024 4:11:00 PM</v>
      </c>
      <c r="O23993" t="s">
        <v>72714</v>
      </c>
    </row>
    <row r="23994" spans="1:20" x14ac:dyDescent="0.25">
      <c r="A23994" t="str">
        <f>"3047384"</f>
        <v>3047384</v>
      </c>
      <c r="B23994" t="s">
        <v>72716</v>
      </c>
      <c r="C23994" t="str">
        <f t="shared" si="368"/>
        <v>8311695</v>
      </c>
      <c r="D23994" t="s">
        <v>72714</v>
      </c>
      <c r="F23994" t="s">
        <v>11872</v>
      </c>
      <c r="I23994" t="s">
        <v>29</v>
      </c>
      <c r="J23994" t="s">
        <v>30</v>
      </c>
      <c r="K23994" t="s">
        <v>72715</v>
      </c>
      <c r="M23994" t="s">
        <v>25625</v>
      </c>
      <c r="N23994" t="str">
        <f t="shared" si="369"/>
        <v>11/14/2024 4:11:00 PM</v>
      </c>
      <c r="O23994" t="s">
        <v>72714</v>
      </c>
    </row>
    <row r="23995" spans="1:20" x14ac:dyDescent="0.25">
      <c r="A23995" t="str">
        <f>"3047517"</f>
        <v>3047517</v>
      </c>
      <c r="B23995" t="s">
        <v>72717</v>
      </c>
      <c r="C23995" t="str">
        <f t="shared" si="368"/>
        <v>8311695</v>
      </c>
      <c r="D23995" t="s">
        <v>72714</v>
      </c>
      <c r="F23995" t="s">
        <v>11872</v>
      </c>
      <c r="I23995" t="s">
        <v>29</v>
      </c>
      <c r="J23995" t="s">
        <v>30</v>
      </c>
      <c r="K23995" t="s">
        <v>72715</v>
      </c>
      <c r="M23995" t="s">
        <v>25625</v>
      </c>
      <c r="N23995" t="str">
        <f t="shared" si="369"/>
        <v>11/14/2024 4:11:00 PM</v>
      </c>
      <c r="O23995" t="s">
        <v>72714</v>
      </c>
    </row>
    <row r="23996" spans="1:20" x14ac:dyDescent="0.25">
      <c r="A23996" t="str">
        <f>"3047516"</f>
        <v>3047516</v>
      </c>
      <c r="B23996" t="s">
        <v>72718</v>
      </c>
      <c r="C23996" t="str">
        <f t="shared" si="368"/>
        <v>8311695</v>
      </c>
      <c r="D23996" t="s">
        <v>72714</v>
      </c>
      <c r="F23996" t="s">
        <v>11872</v>
      </c>
      <c r="I23996" t="s">
        <v>29</v>
      </c>
      <c r="J23996" t="s">
        <v>30</v>
      </c>
      <c r="K23996" t="s">
        <v>72715</v>
      </c>
      <c r="M23996" t="s">
        <v>25625</v>
      </c>
      <c r="N23996" t="str">
        <f t="shared" si="369"/>
        <v>11/14/2024 4:11:00 PM</v>
      </c>
      <c r="O23996" t="s">
        <v>72714</v>
      </c>
    </row>
    <row r="23997" spans="1:20" x14ac:dyDescent="0.25">
      <c r="A23997" t="str">
        <f>"3056341"</f>
        <v>3056341</v>
      </c>
      <c r="B23997" t="s">
        <v>72719</v>
      </c>
      <c r="C23997" t="str">
        <f t="shared" si="368"/>
        <v>8311695</v>
      </c>
      <c r="D23997" t="s">
        <v>72714</v>
      </c>
      <c r="F23997" t="s">
        <v>11872</v>
      </c>
      <c r="I23997" t="s">
        <v>29</v>
      </c>
      <c r="J23997" t="s">
        <v>30</v>
      </c>
      <c r="K23997" t="s">
        <v>72715</v>
      </c>
      <c r="M23997" t="s">
        <v>25625</v>
      </c>
      <c r="N23997" t="str">
        <f t="shared" si="369"/>
        <v>11/14/2024 4:11:00 PM</v>
      </c>
      <c r="O23997" t="s">
        <v>72714</v>
      </c>
    </row>
    <row r="23998" spans="1:20" x14ac:dyDescent="0.25">
      <c r="A23998" t="str">
        <f>"3048527"</f>
        <v>3048527</v>
      </c>
      <c r="B23998" t="s">
        <v>72720</v>
      </c>
      <c r="C23998" t="str">
        <f t="shared" si="368"/>
        <v>8311695</v>
      </c>
      <c r="D23998" t="s">
        <v>72714</v>
      </c>
      <c r="F23998" t="s">
        <v>11872</v>
      </c>
      <c r="I23998" t="s">
        <v>29</v>
      </c>
      <c r="J23998" t="s">
        <v>30</v>
      </c>
      <c r="K23998" t="s">
        <v>72715</v>
      </c>
      <c r="M23998" t="s">
        <v>25625</v>
      </c>
      <c r="N23998" t="str">
        <f t="shared" si="369"/>
        <v>11/14/2024 4:11:00 PM</v>
      </c>
      <c r="O23998" t="s">
        <v>72714</v>
      </c>
    </row>
    <row r="23999" spans="1:20" x14ac:dyDescent="0.25">
      <c r="A23999" t="str">
        <f>"3062742"</f>
        <v>3062742</v>
      </c>
      <c r="B23999" t="s">
        <v>72721</v>
      </c>
      <c r="C23999" t="str">
        <f t="shared" si="368"/>
        <v>8311695</v>
      </c>
      <c r="D23999" t="s">
        <v>72714</v>
      </c>
      <c r="F23999" t="s">
        <v>11872</v>
      </c>
      <c r="I23999" t="s">
        <v>29</v>
      </c>
      <c r="J23999" t="s">
        <v>30</v>
      </c>
      <c r="K23999" t="s">
        <v>72715</v>
      </c>
      <c r="M23999" t="s">
        <v>25625</v>
      </c>
      <c r="N23999" t="str">
        <f t="shared" si="369"/>
        <v>11/14/2024 4:11:00 PM</v>
      </c>
      <c r="O23999" t="s">
        <v>72714</v>
      </c>
    </row>
    <row r="24000" spans="1:20" x14ac:dyDescent="0.25">
      <c r="A24000" t="str">
        <f>"3074977"</f>
        <v>3074977</v>
      </c>
      <c r="B24000" t="s">
        <v>72722</v>
      </c>
      <c r="C24000" t="str">
        <f t="shared" si="368"/>
        <v>8311695</v>
      </c>
      <c r="D24000" t="s">
        <v>72714</v>
      </c>
      <c r="F24000" t="s">
        <v>11872</v>
      </c>
      <c r="I24000" t="s">
        <v>29</v>
      </c>
      <c r="J24000" t="s">
        <v>30</v>
      </c>
      <c r="K24000" t="s">
        <v>72715</v>
      </c>
      <c r="M24000" t="s">
        <v>25625</v>
      </c>
      <c r="N24000" t="str">
        <f t="shared" si="369"/>
        <v>11/14/2024 4:11:00 PM</v>
      </c>
      <c r="O24000" t="s">
        <v>72714</v>
      </c>
    </row>
    <row r="24001" spans="1:20" x14ac:dyDescent="0.25">
      <c r="A24001" t="str">
        <f>"3078266"</f>
        <v>3078266</v>
      </c>
      <c r="B24001" t="s">
        <v>72723</v>
      </c>
      <c r="C24001" t="str">
        <f t="shared" si="368"/>
        <v>8311695</v>
      </c>
      <c r="D24001" t="s">
        <v>72714</v>
      </c>
      <c r="F24001" t="s">
        <v>11872</v>
      </c>
      <c r="I24001" t="s">
        <v>29</v>
      </c>
      <c r="J24001" t="s">
        <v>30</v>
      </c>
      <c r="K24001" t="s">
        <v>72715</v>
      </c>
      <c r="M24001" t="s">
        <v>25625</v>
      </c>
      <c r="N24001" t="str">
        <f t="shared" si="369"/>
        <v>11/14/2024 4:11:00 PM</v>
      </c>
      <c r="O24001" t="s">
        <v>72714</v>
      </c>
    </row>
    <row r="24002" spans="1:20" x14ac:dyDescent="0.25">
      <c r="A24002" t="str">
        <f>"3095753"</f>
        <v>3095753</v>
      </c>
      <c r="B24002" t="s">
        <v>72724</v>
      </c>
      <c r="C24002" t="str">
        <f t="shared" ref="C24002:C24009" si="370">"8312788"</f>
        <v>8312788</v>
      </c>
      <c r="D24002" t="s">
        <v>72725</v>
      </c>
      <c r="F24002" t="s">
        <v>72726</v>
      </c>
      <c r="I24002" t="s">
        <v>72727</v>
      </c>
      <c r="J24002" t="s">
        <v>30</v>
      </c>
      <c r="K24002" t="s">
        <v>72728</v>
      </c>
      <c r="M24002" t="s">
        <v>25733</v>
      </c>
      <c r="N24002" t="str">
        <f t="shared" ref="N24002:N24009" si="371">"11/14/2024 1:04:00 PM"</f>
        <v>11/14/2024 1:04:00 PM</v>
      </c>
      <c r="O24002" t="s">
        <v>72725</v>
      </c>
    </row>
    <row r="24003" spans="1:20" x14ac:dyDescent="0.25">
      <c r="A24003" t="str">
        <f>"3070047"</f>
        <v>3070047</v>
      </c>
      <c r="B24003" t="s">
        <v>72729</v>
      </c>
      <c r="C24003" t="str">
        <f t="shared" si="370"/>
        <v>8312788</v>
      </c>
      <c r="D24003" t="s">
        <v>72725</v>
      </c>
      <c r="F24003" t="s">
        <v>72726</v>
      </c>
      <c r="I24003" t="s">
        <v>72727</v>
      </c>
      <c r="J24003" t="s">
        <v>30</v>
      </c>
      <c r="K24003" t="s">
        <v>72728</v>
      </c>
      <c r="M24003" t="s">
        <v>25733</v>
      </c>
      <c r="N24003" t="str">
        <f t="shared" si="371"/>
        <v>11/14/2024 1:04:00 PM</v>
      </c>
      <c r="O24003" t="s">
        <v>72725</v>
      </c>
    </row>
    <row r="24004" spans="1:20" x14ac:dyDescent="0.25">
      <c r="A24004" t="str">
        <f>"3048530"</f>
        <v>3048530</v>
      </c>
      <c r="B24004" t="s">
        <v>72730</v>
      </c>
      <c r="C24004" t="str">
        <f t="shared" si="370"/>
        <v>8312788</v>
      </c>
      <c r="D24004" t="s">
        <v>72725</v>
      </c>
      <c r="F24004" t="s">
        <v>72726</v>
      </c>
      <c r="I24004" t="s">
        <v>72727</v>
      </c>
      <c r="J24004" t="s">
        <v>30</v>
      </c>
      <c r="K24004" t="s">
        <v>72728</v>
      </c>
      <c r="M24004" t="s">
        <v>25733</v>
      </c>
      <c r="N24004" t="str">
        <f t="shared" si="371"/>
        <v>11/14/2024 1:04:00 PM</v>
      </c>
      <c r="O24004" t="s">
        <v>72725</v>
      </c>
    </row>
    <row r="24005" spans="1:20" x14ac:dyDescent="0.25">
      <c r="A24005" t="str">
        <f>"3048505"</f>
        <v>3048505</v>
      </c>
      <c r="B24005" t="s">
        <v>72731</v>
      </c>
      <c r="C24005" t="str">
        <f t="shared" si="370"/>
        <v>8312788</v>
      </c>
      <c r="D24005" t="s">
        <v>72725</v>
      </c>
      <c r="F24005" t="s">
        <v>72726</v>
      </c>
      <c r="I24005" t="s">
        <v>72727</v>
      </c>
      <c r="J24005" t="s">
        <v>30</v>
      </c>
      <c r="K24005" t="s">
        <v>72728</v>
      </c>
      <c r="M24005" t="s">
        <v>25733</v>
      </c>
      <c r="N24005" t="str">
        <f t="shared" si="371"/>
        <v>11/14/2024 1:04:00 PM</v>
      </c>
      <c r="O24005" t="s">
        <v>72725</v>
      </c>
    </row>
    <row r="24006" spans="1:20" x14ac:dyDescent="0.25">
      <c r="A24006" t="str">
        <f>"3048504"</f>
        <v>3048504</v>
      </c>
      <c r="B24006" t="s">
        <v>72732</v>
      </c>
      <c r="C24006" t="str">
        <f t="shared" si="370"/>
        <v>8312788</v>
      </c>
      <c r="D24006" t="s">
        <v>72725</v>
      </c>
      <c r="F24006" t="s">
        <v>72726</v>
      </c>
      <c r="I24006" t="s">
        <v>72727</v>
      </c>
      <c r="J24006" t="s">
        <v>30</v>
      </c>
      <c r="K24006" t="s">
        <v>72728</v>
      </c>
      <c r="M24006" t="s">
        <v>25733</v>
      </c>
      <c r="N24006" t="str">
        <f t="shared" si="371"/>
        <v>11/14/2024 1:04:00 PM</v>
      </c>
      <c r="O24006" t="s">
        <v>72725</v>
      </c>
    </row>
    <row r="24007" spans="1:20" x14ac:dyDescent="0.25">
      <c r="A24007" t="str">
        <f>"3048516"</f>
        <v>3048516</v>
      </c>
      <c r="B24007" t="s">
        <v>72733</v>
      </c>
      <c r="C24007" t="str">
        <f t="shared" si="370"/>
        <v>8312788</v>
      </c>
      <c r="D24007" t="s">
        <v>72725</v>
      </c>
      <c r="F24007" t="s">
        <v>72726</v>
      </c>
      <c r="I24007" t="s">
        <v>72727</v>
      </c>
      <c r="J24007" t="s">
        <v>30</v>
      </c>
      <c r="K24007" t="s">
        <v>72728</v>
      </c>
      <c r="M24007" t="s">
        <v>25733</v>
      </c>
      <c r="N24007" t="str">
        <f t="shared" si="371"/>
        <v>11/14/2024 1:04:00 PM</v>
      </c>
      <c r="O24007" t="s">
        <v>72725</v>
      </c>
    </row>
    <row r="24008" spans="1:20" x14ac:dyDescent="0.25">
      <c r="A24008" t="str">
        <f>"3048510"</f>
        <v>3048510</v>
      </c>
      <c r="B24008" t="s">
        <v>72734</v>
      </c>
      <c r="C24008" t="str">
        <f t="shared" si="370"/>
        <v>8312788</v>
      </c>
      <c r="D24008" t="s">
        <v>72725</v>
      </c>
      <c r="F24008" t="s">
        <v>72726</v>
      </c>
      <c r="I24008" t="s">
        <v>72727</v>
      </c>
      <c r="J24008" t="s">
        <v>30</v>
      </c>
      <c r="K24008" t="s">
        <v>72728</v>
      </c>
      <c r="M24008" t="s">
        <v>25733</v>
      </c>
      <c r="N24008" t="str">
        <f t="shared" si="371"/>
        <v>11/14/2024 1:04:00 PM</v>
      </c>
      <c r="O24008" t="s">
        <v>72725</v>
      </c>
    </row>
    <row r="24009" spans="1:20" x14ac:dyDescent="0.25">
      <c r="A24009" t="str">
        <f>"3048391"</f>
        <v>3048391</v>
      </c>
      <c r="B24009" t="s">
        <v>72735</v>
      </c>
      <c r="C24009" t="str">
        <f t="shared" si="370"/>
        <v>8312788</v>
      </c>
      <c r="D24009" t="s">
        <v>72725</v>
      </c>
      <c r="F24009" t="s">
        <v>72726</v>
      </c>
      <c r="I24009" t="s">
        <v>72727</v>
      </c>
      <c r="J24009" t="s">
        <v>30</v>
      </c>
      <c r="K24009" t="s">
        <v>72728</v>
      </c>
      <c r="M24009" t="s">
        <v>25733</v>
      </c>
      <c r="N24009" t="str">
        <f t="shared" si="371"/>
        <v>11/14/2024 1:04:00 PM</v>
      </c>
      <c r="O24009" t="s">
        <v>72725</v>
      </c>
    </row>
    <row r="24010" spans="1:20" x14ac:dyDescent="0.25">
      <c r="A24010" t="str">
        <f>"3052236"</f>
        <v>3052236</v>
      </c>
      <c r="B24010" t="s">
        <v>72736</v>
      </c>
      <c r="C24010" t="str">
        <f>"19564000"</f>
        <v>19564000</v>
      </c>
      <c r="D24010" t="s">
        <v>72737</v>
      </c>
      <c r="F24010" t="str">
        <f>"C/O LILLIAN DOULIN"</f>
        <v>C/O LILLIAN DOULIN</v>
      </c>
      <c r="G24010" t="s">
        <v>72738</v>
      </c>
      <c r="I24010" t="s">
        <v>29</v>
      </c>
      <c r="J24010" t="s">
        <v>30</v>
      </c>
      <c r="K24010" t="s">
        <v>31</v>
      </c>
      <c r="M24010" t="s">
        <v>25733</v>
      </c>
      <c r="N24010" t="str">
        <f>"11/14/2024 12:48:00 PM"</f>
        <v>11/14/2024 12:48:00 PM</v>
      </c>
      <c r="O24010" t="s">
        <v>72737</v>
      </c>
    </row>
    <row r="24011" spans="1:20" x14ac:dyDescent="0.25">
      <c r="A24011" t="str">
        <f>"3058152"</f>
        <v>3058152</v>
      </c>
      <c r="B24011" t="s">
        <v>72739</v>
      </c>
      <c r="C24011" t="str">
        <f>"8322408"</f>
        <v>8322408</v>
      </c>
      <c r="D24011" t="s">
        <v>72740</v>
      </c>
      <c r="E24011" t="s">
        <v>72741</v>
      </c>
      <c r="F24011" t="s">
        <v>72742</v>
      </c>
      <c r="I24011" t="s">
        <v>67807</v>
      </c>
      <c r="J24011" t="s">
        <v>12725</v>
      </c>
      <c r="K24011" t="s">
        <v>72743</v>
      </c>
      <c r="M24011" t="s">
        <v>50793</v>
      </c>
      <c r="N24011" t="str">
        <f>"11/13/2024 11:05:00 AM"</f>
        <v>11/13/2024 11:05:00 AM</v>
      </c>
      <c r="O24011" t="s">
        <v>72740</v>
      </c>
      <c r="T24011" t="s">
        <v>72741</v>
      </c>
    </row>
    <row r="24012" spans="1:20" x14ac:dyDescent="0.25">
      <c r="A24012" t="str">
        <f>"3078782"</f>
        <v>3078782</v>
      </c>
      <c r="B24012" t="s">
        <v>72744</v>
      </c>
      <c r="C24012" t="str">
        <f>"8323354"</f>
        <v>8323354</v>
      </c>
      <c r="D24012" t="s">
        <v>72745</v>
      </c>
      <c r="E24012" t="s">
        <v>15629</v>
      </c>
      <c r="F24012" t="s">
        <v>37427</v>
      </c>
      <c r="I24012" t="s">
        <v>29</v>
      </c>
      <c r="J24012" t="s">
        <v>30</v>
      </c>
      <c r="K24012" t="s">
        <v>15631</v>
      </c>
      <c r="M24012" t="s">
        <v>50500</v>
      </c>
      <c r="N24012" t="str">
        <f>"11/15/2024 11:23:00 AM"</f>
        <v>11/15/2024 11:23:00 AM</v>
      </c>
      <c r="O24012" t="s">
        <v>72745</v>
      </c>
      <c r="T24012" t="s">
        <v>15629</v>
      </c>
    </row>
    <row r="24013" spans="1:20" x14ac:dyDescent="0.25">
      <c r="A24013" t="str">
        <f>"3049676"</f>
        <v>3049676</v>
      </c>
      <c r="B24013" t="s">
        <v>72746</v>
      </c>
      <c r="C24013" t="str">
        <f>"73684000"</f>
        <v>73684000</v>
      </c>
      <c r="D24013" t="s">
        <v>72747</v>
      </c>
      <c r="F24013" t="str">
        <f>"C/O MIKE KAZIMAR"</f>
        <v>C/O MIKE KAZIMAR</v>
      </c>
      <c r="G24013" t="s">
        <v>45099</v>
      </c>
      <c r="I24013" t="s">
        <v>29</v>
      </c>
      <c r="J24013" t="s">
        <v>30</v>
      </c>
      <c r="K24013" t="s">
        <v>45004</v>
      </c>
      <c r="M24013" t="s">
        <v>52111</v>
      </c>
      <c r="N24013" t="str">
        <f>"11/15/2024 3:31:00 PM"</f>
        <v>11/15/2024 3:31:00 PM</v>
      </c>
      <c r="O24013" t="s">
        <v>72747</v>
      </c>
    </row>
    <row r="24014" spans="1:20" x14ac:dyDescent="0.25">
      <c r="A24014" t="str">
        <f>"3050134"</f>
        <v>3050134</v>
      </c>
      <c r="B24014" t="s">
        <v>72748</v>
      </c>
      <c r="C24014" t="str">
        <f>"8323356"</f>
        <v>8323356</v>
      </c>
      <c r="D24014" t="s">
        <v>72749</v>
      </c>
      <c r="F24014" t="s">
        <v>72750</v>
      </c>
      <c r="I24014" t="s">
        <v>29</v>
      </c>
      <c r="J24014" t="s">
        <v>30</v>
      </c>
      <c r="K24014" t="s">
        <v>18521</v>
      </c>
      <c r="M24014" t="s">
        <v>50500</v>
      </c>
      <c r="N24014" t="str">
        <f>"11/18/2024 8:22:00 AM"</f>
        <v>11/18/2024 8:22:00 AM</v>
      </c>
      <c r="O24014" t="s">
        <v>72749</v>
      </c>
    </row>
    <row r="24015" spans="1:20" x14ac:dyDescent="0.25">
      <c r="A24015" t="str">
        <f>"3045331"</f>
        <v>3045331</v>
      </c>
      <c r="B24015" t="s">
        <v>72751</v>
      </c>
      <c r="C24015" t="str">
        <f>"42079500"</f>
        <v>42079500</v>
      </c>
      <c r="D24015" t="s">
        <v>72752</v>
      </c>
      <c r="E24015" t="s">
        <v>72753</v>
      </c>
      <c r="F24015" t="s">
        <v>68747</v>
      </c>
      <c r="I24015" t="s">
        <v>163</v>
      </c>
      <c r="J24015" t="s">
        <v>30</v>
      </c>
      <c r="K24015" t="s">
        <v>68748</v>
      </c>
      <c r="M24015" t="s">
        <v>50621</v>
      </c>
      <c r="N24015" t="str">
        <f>"11/18/2024 11:13:00 AM"</f>
        <v>11/18/2024 11:13:00 AM</v>
      </c>
      <c r="O24015" t="s">
        <v>72752</v>
      </c>
      <c r="T24015" t="s">
        <v>72753</v>
      </c>
    </row>
    <row r="24016" spans="1:20" x14ac:dyDescent="0.25">
      <c r="A24016" t="str">
        <f>"3043020"</f>
        <v>3043020</v>
      </c>
      <c r="B24016" t="s">
        <v>72754</v>
      </c>
      <c r="C24016" t="str">
        <f>"8323360"</f>
        <v>8323360</v>
      </c>
      <c r="D24016" t="s">
        <v>72755</v>
      </c>
      <c r="F24016" t="s">
        <v>72756</v>
      </c>
      <c r="I24016" t="s">
        <v>29</v>
      </c>
      <c r="J24016" t="s">
        <v>30</v>
      </c>
      <c r="K24016" t="s">
        <v>53192</v>
      </c>
      <c r="M24016" t="s">
        <v>50500</v>
      </c>
      <c r="N24016" t="str">
        <f>"11/18/2024 12:45:00 PM"</f>
        <v>11/18/2024 12:45:00 PM</v>
      </c>
      <c r="O24016" t="s">
        <v>72755</v>
      </c>
    </row>
    <row r="24017" spans="1:20" x14ac:dyDescent="0.25">
      <c r="A24017" t="str">
        <f>"3073771"</f>
        <v>3073771</v>
      </c>
      <c r="B24017" t="s">
        <v>72757</v>
      </c>
      <c r="C24017" t="str">
        <f>"8323360"</f>
        <v>8323360</v>
      </c>
      <c r="D24017" t="s">
        <v>72755</v>
      </c>
      <c r="F24017" t="s">
        <v>72756</v>
      </c>
      <c r="I24017" t="s">
        <v>29</v>
      </c>
      <c r="J24017" t="s">
        <v>30</v>
      </c>
      <c r="K24017" t="s">
        <v>53192</v>
      </c>
      <c r="M24017" t="s">
        <v>50500</v>
      </c>
      <c r="N24017" t="str">
        <f>"11/18/2024 12:45:00 PM"</f>
        <v>11/18/2024 12:45:00 PM</v>
      </c>
      <c r="O24017" t="s">
        <v>72755</v>
      </c>
    </row>
    <row r="24018" spans="1:20" x14ac:dyDescent="0.25">
      <c r="A24018" t="str">
        <f>"3073772"</f>
        <v>3073772</v>
      </c>
      <c r="B24018" t="s">
        <v>72758</v>
      </c>
      <c r="C24018" t="str">
        <f>"8323360"</f>
        <v>8323360</v>
      </c>
      <c r="D24018" t="s">
        <v>72755</v>
      </c>
      <c r="F24018" t="s">
        <v>72756</v>
      </c>
      <c r="I24018" t="s">
        <v>29</v>
      </c>
      <c r="J24018" t="s">
        <v>30</v>
      </c>
      <c r="K24018" t="s">
        <v>53192</v>
      </c>
      <c r="M24018" t="s">
        <v>50500</v>
      </c>
      <c r="N24018" t="str">
        <f>"11/18/2024 12:45:00 PM"</f>
        <v>11/18/2024 12:45:00 PM</v>
      </c>
      <c r="O24018" t="s">
        <v>72755</v>
      </c>
    </row>
    <row r="24019" spans="1:20" x14ac:dyDescent="0.25">
      <c r="A24019" t="str">
        <f>"3073773"</f>
        <v>3073773</v>
      </c>
      <c r="B24019" t="s">
        <v>72759</v>
      </c>
      <c r="C24019" t="str">
        <f>"8323360"</f>
        <v>8323360</v>
      </c>
      <c r="D24019" t="s">
        <v>72755</v>
      </c>
      <c r="F24019" t="s">
        <v>72756</v>
      </c>
      <c r="I24019" t="s">
        <v>29</v>
      </c>
      <c r="J24019" t="s">
        <v>30</v>
      </c>
      <c r="K24019" t="s">
        <v>53192</v>
      </c>
      <c r="M24019" t="s">
        <v>50500</v>
      </c>
      <c r="N24019" t="str">
        <f>"11/18/2024 12:45:00 PM"</f>
        <v>11/18/2024 12:45:00 PM</v>
      </c>
      <c r="O24019" t="s">
        <v>72755</v>
      </c>
    </row>
    <row r="24020" spans="1:20" x14ac:dyDescent="0.25">
      <c r="A24020" t="str">
        <f>"3073774"</f>
        <v>3073774</v>
      </c>
      <c r="B24020" t="s">
        <v>72760</v>
      </c>
      <c r="C24020" t="str">
        <f>"8323360"</f>
        <v>8323360</v>
      </c>
      <c r="D24020" t="s">
        <v>72755</v>
      </c>
      <c r="F24020" t="s">
        <v>72756</v>
      </c>
      <c r="I24020" t="s">
        <v>29</v>
      </c>
      <c r="J24020" t="s">
        <v>30</v>
      </c>
      <c r="K24020" t="s">
        <v>53192</v>
      </c>
      <c r="M24020" t="s">
        <v>50500</v>
      </c>
      <c r="N24020" t="str">
        <f>"11/18/2024 12:45:00 PM"</f>
        <v>11/18/2024 12:45:00 PM</v>
      </c>
      <c r="O24020" t="s">
        <v>72755</v>
      </c>
    </row>
    <row r="24021" spans="1:20" x14ac:dyDescent="0.25">
      <c r="A24021" t="str">
        <f>"3050748"</f>
        <v>3050748</v>
      </c>
      <c r="B24021" t="s">
        <v>72761</v>
      </c>
      <c r="C24021" t="str">
        <f>"8323362"</f>
        <v>8323362</v>
      </c>
      <c r="D24021" t="s">
        <v>72762</v>
      </c>
      <c r="F24021" t="s">
        <v>72763</v>
      </c>
      <c r="I24021" t="s">
        <v>184</v>
      </c>
      <c r="J24021" t="s">
        <v>30</v>
      </c>
      <c r="K24021" t="s">
        <v>3201</v>
      </c>
      <c r="M24021" t="s">
        <v>50500</v>
      </c>
      <c r="N24021" t="str">
        <f>"11/18/2024 1:22:00 PM"</f>
        <v>11/18/2024 1:22:00 PM</v>
      </c>
      <c r="O24021" t="s">
        <v>72762</v>
      </c>
    </row>
    <row r="24022" spans="1:20" x14ac:dyDescent="0.25">
      <c r="A24022" t="str">
        <f>"3050333"</f>
        <v>3050333</v>
      </c>
      <c r="B24022" t="s">
        <v>72764</v>
      </c>
      <c r="C24022" t="str">
        <f>"8323394"</f>
        <v>8323394</v>
      </c>
      <c r="D24022" t="s">
        <v>72765</v>
      </c>
      <c r="E24022" t="s">
        <v>72766</v>
      </c>
      <c r="F24022" t="s">
        <v>72767</v>
      </c>
      <c r="I24022" t="s">
        <v>184</v>
      </c>
      <c r="J24022" t="s">
        <v>30</v>
      </c>
      <c r="K24022" t="s">
        <v>48172</v>
      </c>
      <c r="M24022" t="s">
        <v>50500</v>
      </c>
      <c r="N24022" t="str">
        <f>"11/20/2024 11:25:00 AM"</f>
        <v>11/20/2024 11:25:00 AM</v>
      </c>
      <c r="O24022" t="s">
        <v>72765</v>
      </c>
      <c r="T24022" t="s">
        <v>72766</v>
      </c>
    </row>
    <row r="24023" spans="1:20" x14ac:dyDescent="0.25">
      <c r="A24023" t="str">
        <f>"3049507"</f>
        <v>3049507</v>
      </c>
      <c r="B24023" t="s">
        <v>72768</v>
      </c>
      <c r="C24023" t="str">
        <f>"8323394"</f>
        <v>8323394</v>
      </c>
      <c r="D24023" t="s">
        <v>72765</v>
      </c>
      <c r="E24023" t="s">
        <v>72766</v>
      </c>
      <c r="F24023" t="s">
        <v>72767</v>
      </c>
      <c r="I24023" t="s">
        <v>184</v>
      </c>
      <c r="J24023" t="s">
        <v>30</v>
      </c>
      <c r="K24023" t="s">
        <v>48172</v>
      </c>
      <c r="M24023" t="s">
        <v>50500</v>
      </c>
      <c r="N24023" t="str">
        <f>"11/20/2024 11:25:00 AM"</f>
        <v>11/20/2024 11:25:00 AM</v>
      </c>
      <c r="O24023" t="s">
        <v>72765</v>
      </c>
      <c r="T24023" t="s">
        <v>72766</v>
      </c>
    </row>
    <row r="24024" spans="1:20" x14ac:dyDescent="0.25">
      <c r="A24024" t="str">
        <f>"3042987"</f>
        <v>3042987</v>
      </c>
      <c r="B24024" t="s">
        <v>72769</v>
      </c>
      <c r="C24024" t="str">
        <f>"82527059"</f>
        <v>82527059</v>
      </c>
      <c r="D24024" t="s">
        <v>72770</v>
      </c>
      <c r="E24024" t="s">
        <v>72771</v>
      </c>
      <c r="F24024" t="s">
        <v>72772</v>
      </c>
      <c r="I24024" t="s">
        <v>29</v>
      </c>
      <c r="J24024" t="s">
        <v>30</v>
      </c>
      <c r="K24024" t="s">
        <v>72773</v>
      </c>
      <c r="M24024" t="s">
        <v>50500</v>
      </c>
      <c r="N24024" t="str">
        <f>"11/18/2024 2:00:00 PM"</f>
        <v>11/18/2024 2:00:00 PM</v>
      </c>
      <c r="O24024" t="s">
        <v>72770</v>
      </c>
      <c r="T24024" t="s">
        <v>72771</v>
      </c>
    </row>
    <row r="24025" spans="1:20" x14ac:dyDescent="0.25">
      <c r="A24025" t="str">
        <f>"3042059"</f>
        <v>3042059</v>
      </c>
      <c r="B24025" t="s">
        <v>72774</v>
      </c>
      <c r="C24025" t="str">
        <f>"82527059"</f>
        <v>82527059</v>
      </c>
      <c r="D24025" t="s">
        <v>72770</v>
      </c>
      <c r="E24025" t="s">
        <v>72771</v>
      </c>
      <c r="F24025" t="s">
        <v>72772</v>
      </c>
      <c r="I24025" t="s">
        <v>29</v>
      </c>
      <c r="J24025" t="s">
        <v>30</v>
      </c>
      <c r="K24025" t="s">
        <v>72773</v>
      </c>
      <c r="M24025" t="s">
        <v>50500</v>
      </c>
      <c r="N24025" t="str">
        <f>"11/18/2024 2:00:00 PM"</f>
        <v>11/18/2024 2:00:00 PM</v>
      </c>
      <c r="O24025" t="s">
        <v>72770</v>
      </c>
      <c r="T24025" t="s">
        <v>72771</v>
      </c>
    </row>
    <row r="24026" spans="1:20" x14ac:dyDescent="0.25">
      <c r="A24026" t="str">
        <f>"3068151"</f>
        <v>3068151</v>
      </c>
      <c r="B24026" t="s">
        <v>72775</v>
      </c>
      <c r="C24026" t="str">
        <f>"82527059"</f>
        <v>82527059</v>
      </c>
      <c r="D24026" t="s">
        <v>72770</v>
      </c>
      <c r="E24026" t="s">
        <v>72771</v>
      </c>
      <c r="F24026" t="s">
        <v>72772</v>
      </c>
      <c r="I24026" t="s">
        <v>29</v>
      </c>
      <c r="J24026" t="s">
        <v>30</v>
      </c>
      <c r="K24026" t="s">
        <v>72773</v>
      </c>
      <c r="M24026" t="s">
        <v>50500</v>
      </c>
      <c r="N24026" t="str">
        <f>"11/18/2024 2:00:00 PM"</f>
        <v>11/18/2024 2:00:00 PM</v>
      </c>
      <c r="O24026" t="s">
        <v>72770</v>
      </c>
      <c r="T24026" t="s">
        <v>72771</v>
      </c>
    </row>
    <row r="24027" spans="1:20" x14ac:dyDescent="0.25">
      <c r="A24027" t="str">
        <f>"3041935"</f>
        <v>3041935</v>
      </c>
      <c r="B24027" t="s">
        <v>72776</v>
      </c>
      <c r="C24027" t="str">
        <f>"8323363"</f>
        <v>8323363</v>
      </c>
      <c r="D24027" t="s">
        <v>72777</v>
      </c>
      <c r="E24027" t="s">
        <v>72778</v>
      </c>
      <c r="F24027" t="s">
        <v>72779</v>
      </c>
      <c r="I24027" t="s">
        <v>2071</v>
      </c>
      <c r="J24027" t="s">
        <v>30</v>
      </c>
      <c r="K24027" t="s">
        <v>39936</v>
      </c>
      <c r="M24027" t="s">
        <v>50500</v>
      </c>
      <c r="N24027" t="str">
        <f>"11/18/2024 3:01:00 PM"</f>
        <v>11/18/2024 3:01:00 PM</v>
      </c>
      <c r="O24027" t="s">
        <v>72777</v>
      </c>
      <c r="T24027" t="s">
        <v>72778</v>
      </c>
    </row>
    <row r="24028" spans="1:20" x14ac:dyDescent="0.25">
      <c r="A24028" t="str">
        <f>"3066480"</f>
        <v>3066480</v>
      </c>
      <c r="B24028" t="s">
        <v>72780</v>
      </c>
      <c r="C24028" t="str">
        <f>"8323364"</f>
        <v>8323364</v>
      </c>
      <c r="D24028" t="s">
        <v>72781</v>
      </c>
      <c r="E24028" t="s">
        <v>72782</v>
      </c>
      <c r="F24028" t="s">
        <v>72783</v>
      </c>
      <c r="I24028" t="s">
        <v>29</v>
      </c>
      <c r="J24028" t="s">
        <v>30</v>
      </c>
      <c r="K24028" t="s">
        <v>72784</v>
      </c>
      <c r="M24028" t="s">
        <v>50500</v>
      </c>
      <c r="N24028" t="str">
        <f>"11/18/2024 3:06:00 PM"</f>
        <v>11/18/2024 3:06:00 PM</v>
      </c>
      <c r="O24028" t="s">
        <v>72781</v>
      </c>
      <c r="T24028" t="s">
        <v>72782</v>
      </c>
    </row>
    <row r="24029" spans="1:20" x14ac:dyDescent="0.25">
      <c r="A24029" t="str">
        <f>"3078812"</f>
        <v>3078812</v>
      </c>
      <c r="B24029" t="s">
        <v>72785</v>
      </c>
      <c r="C24029" t="str">
        <f>"8323365"</f>
        <v>8323365</v>
      </c>
      <c r="D24029" t="s">
        <v>72786</v>
      </c>
      <c r="F24029" t="s">
        <v>72787</v>
      </c>
      <c r="I24029" t="s">
        <v>17921</v>
      </c>
      <c r="J24029" t="s">
        <v>30</v>
      </c>
      <c r="K24029" t="str">
        <f>"27028"</f>
        <v>27028</v>
      </c>
      <c r="M24029" t="s">
        <v>50500</v>
      </c>
      <c r="N24029" t="str">
        <f>"11/18/2024 3:11:00 PM"</f>
        <v>11/18/2024 3:11:00 PM</v>
      </c>
      <c r="O24029" t="s">
        <v>72786</v>
      </c>
    </row>
    <row r="24030" spans="1:20" x14ac:dyDescent="0.25">
      <c r="A24030" t="str">
        <f>"3038210"</f>
        <v>3038210</v>
      </c>
      <c r="B24030" t="s">
        <v>72788</v>
      </c>
      <c r="C24030" t="str">
        <f>"8323366"</f>
        <v>8323366</v>
      </c>
      <c r="D24030" t="s">
        <v>72789</v>
      </c>
      <c r="E24030" t="s">
        <v>72790</v>
      </c>
      <c r="F24030" t="s">
        <v>72791</v>
      </c>
      <c r="G24030" t="s">
        <v>17543</v>
      </c>
      <c r="I24030" t="s">
        <v>72792</v>
      </c>
      <c r="J24030" t="s">
        <v>3737</v>
      </c>
      <c r="K24030" t="s">
        <v>72793</v>
      </c>
      <c r="M24030" t="s">
        <v>50500</v>
      </c>
      <c r="N24030" t="str">
        <f>"11/18/2024 3:28:00 PM"</f>
        <v>11/18/2024 3:28:00 PM</v>
      </c>
      <c r="O24030" t="s">
        <v>72789</v>
      </c>
      <c r="T24030" t="s">
        <v>72790</v>
      </c>
    </row>
    <row r="24031" spans="1:20" x14ac:dyDescent="0.25">
      <c r="A24031" t="str">
        <f>"3076808"</f>
        <v>3076808</v>
      </c>
      <c r="B24031" t="s">
        <v>72794</v>
      </c>
      <c r="C24031" t="str">
        <f>"82523323"</f>
        <v>82523323</v>
      </c>
      <c r="D24031" t="s">
        <v>72795</v>
      </c>
      <c r="E24031" t="s">
        <v>72796</v>
      </c>
      <c r="F24031" t="s">
        <v>72797</v>
      </c>
      <c r="I24031" t="s">
        <v>3196</v>
      </c>
      <c r="J24031" t="s">
        <v>30</v>
      </c>
      <c r="K24031" t="s">
        <v>72798</v>
      </c>
      <c r="M24031" t="s">
        <v>25733</v>
      </c>
      <c r="N24031" t="str">
        <f>"11/21/2024 8:34:00 AM"</f>
        <v>11/21/2024 8:34:00 AM</v>
      </c>
      <c r="O24031" t="s">
        <v>72795</v>
      </c>
      <c r="T24031" t="s">
        <v>72796</v>
      </c>
    </row>
    <row r="24032" spans="1:20" x14ac:dyDescent="0.25">
      <c r="A24032" t="str">
        <f>"3037700"</f>
        <v>3037700</v>
      </c>
      <c r="B24032" t="s">
        <v>72799</v>
      </c>
      <c r="C24032" t="str">
        <f>"82523323"</f>
        <v>82523323</v>
      </c>
      <c r="D24032" t="s">
        <v>72795</v>
      </c>
      <c r="E24032" t="s">
        <v>72796</v>
      </c>
      <c r="F24032" t="s">
        <v>72797</v>
      </c>
      <c r="I24032" t="s">
        <v>3196</v>
      </c>
      <c r="J24032" t="s">
        <v>30</v>
      </c>
      <c r="K24032" t="s">
        <v>72798</v>
      </c>
      <c r="M24032" t="s">
        <v>25733</v>
      </c>
      <c r="N24032" t="str">
        <f>"11/21/2024 8:34:00 AM"</f>
        <v>11/21/2024 8:34:00 AM</v>
      </c>
      <c r="O24032" t="s">
        <v>72795</v>
      </c>
      <c r="T24032" t="s">
        <v>72796</v>
      </c>
    </row>
    <row r="24033" spans="1:20" x14ac:dyDescent="0.25">
      <c r="A24033" t="str">
        <f>"3037495"</f>
        <v>3037495</v>
      </c>
      <c r="B24033" t="s">
        <v>72800</v>
      </c>
      <c r="C24033" t="str">
        <f>"82523323"</f>
        <v>82523323</v>
      </c>
      <c r="D24033" t="s">
        <v>72795</v>
      </c>
      <c r="E24033" t="s">
        <v>72796</v>
      </c>
      <c r="F24033" t="s">
        <v>72797</v>
      </c>
      <c r="I24033" t="s">
        <v>3196</v>
      </c>
      <c r="J24033" t="s">
        <v>30</v>
      </c>
      <c r="K24033" t="s">
        <v>72798</v>
      </c>
      <c r="M24033" t="s">
        <v>25733</v>
      </c>
      <c r="N24033" t="str">
        <f>"11/21/2024 8:34:00 AM"</f>
        <v>11/21/2024 8:34:00 AM</v>
      </c>
      <c r="O24033" t="s">
        <v>72795</v>
      </c>
      <c r="T24033" t="s">
        <v>72796</v>
      </c>
    </row>
    <row r="24034" spans="1:20" x14ac:dyDescent="0.25">
      <c r="A24034" t="str">
        <f>"3041011"</f>
        <v>3041011</v>
      </c>
      <c r="B24034" t="s">
        <v>72801</v>
      </c>
      <c r="C24034" t="str">
        <f>"8323379"</f>
        <v>8323379</v>
      </c>
      <c r="D24034" t="s">
        <v>72802</v>
      </c>
      <c r="F24034" t="s">
        <v>72803</v>
      </c>
      <c r="I24034" t="s">
        <v>3196</v>
      </c>
      <c r="J24034" t="s">
        <v>30</v>
      </c>
      <c r="K24034" t="s">
        <v>72804</v>
      </c>
      <c r="M24034" t="s">
        <v>50500</v>
      </c>
      <c r="N24034" t="str">
        <f>"11/21/2024 9:31:00 AM"</f>
        <v>11/21/2024 9:31:00 AM</v>
      </c>
      <c r="O24034" t="s">
        <v>72802</v>
      </c>
    </row>
    <row r="24035" spans="1:20" x14ac:dyDescent="0.25">
      <c r="A24035" t="str">
        <f>"3042297"</f>
        <v>3042297</v>
      </c>
      <c r="B24035" t="s">
        <v>72805</v>
      </c>
      <c r="C24035" t="str">
        <f>"8323379"</f>
        <v>8323379</v>
      </c>
      <c r="D24035" t="s">
        <v>72802</v>
      </c>
      <c r="F24035" t="s">
        <v>72803</v>
      </c>
      <c r="I24035" t="s">
        <v>3196</v>
      </c>
      <c r="J24035" t="s">
        <v>30</v>
      </c>
      <c r="K24035" t="s">
        <v>72804</v>
      </c>
      <c r="M24035" t="s">
        <v>50500</v>
      </c>
      <c r="N24035" t="str">
        <f>"11/21/2024 9:31:00 AM"</f>
        <v>11/21/2024 9:31:00 AM</v>
      </c>
      <c r="O24035" t="s">
        <v>72802</v>
      </c>
    </row>
    <row r="24036" spans="1:20" x14ac:dyDescent="0.25">
      <c r="A24036" t="str">
        <f>"3077165"</f>
        <v>3077165</v>
      </c>
      <c r="B24036" t="s">
        <v>72806</v>
      </c>
      <c r="C24036" t="str">
        <f>"8323379"</f>
        <v>8323379</v>
      </c>
      <c r="D24036" t="s">
        <v>72802</v>
      </c>
      <c r="F24036" t="s">
        <v>72803</v>
      </c>
      <c r="I24036" t="s">
        <v>3196</v>
      </c>
      <c r="J24036" t="s">
        <v>30</v>
      </c>
      <c r="K24036" t="s">
        <v>72804</v>
      </c>
      <c r="M24036" t="s">
        <v>50500</v>
      </c>
      <c r="N24036" t="str">
        <f>"11/21/2024 9:31:00 AM"</f>
        <v>11/21/2024 9:31:00 AM</v>
      </c>
      <c r="O24036" t="s">
        <v>72802</v>
      </c>
    </row>
    <row r="24037" spans="1:20" x14ac:dyDescent="0.25">
      <c r="A24037" t="str">
        <f>"3065130"</f>
        <v>3065130</v>
      </c>
      <c r="B24037" t="s">
        <v>72807</v>
      </c>
      <c r="C24037" t="str">
        <f>"8323367"</f>
        <v>8323367</v>
      </c>
      <c r="D24037" t="s">
        <v>72808</v>
      </c>
      <c r="E24037" t="s">
        <v>72809</v>
      </c>
      <c r="F24037" t="s">
        <v>72810</v>
      </c>
      <c r="I24037" t="s">
        <v>184</v>
      </c>
      <c r="J24037" t="s">
        <v>30</v>
      </c>
      <c r="K24037" t="s">
        <v>47887</v>
      </c>
      <c r="M24037" t="s">
        <v>50500</v>
      </c>
      <c r="N24037" t="str">
        <f>"11/18/2024 3:33:00 PM"</f>
        <v>11/18/2024 3:33:00 PM</v>
      </c>
      <c r="O24037" t="s">
        <v>72808</v>
      </c>
      <c r="T24037" t="s">
        <v>72809</v>
      </c>
    </row>
    <row r="24038" spans="1:20" x14ac:dyDescent="0.25">
      <c r="A24038" t="str">
        <f>"3039901"</f>
        <v>3039901</v>
      </c>
      <c r="B24038" t="s">
        <v>72811</v>
      </c>
      <c r="C24038" t="str">
        <f>"8323368"</f>
        <v>8323368</v>
      </c>
      <c r="D24038" t="s">
        <v>72812</v>
      </c>
      <c r="E24038" t="s">
        <v>72813</v>
      </c>
      <c r="F24038" t="s">
        <v>72814</v>
      </c>
      <c r="I24038" t="s">
        <v>29</v>
      </c>
      <c r="J24038" t="s">
        <v>30</v>
      </c>
      <c r="K24038" t="s">
        <v>63748</v>
      </c>
      <c r="M24038" t="s">
        <v>50500</v>
      </c>
      <c r="N24038" t="str">
        <f>"11/19/2024 9:25:00 AM"</f>
        <v>11/19/2024 9:25:00 AM</v>
      </c>
      <c r="O24038" t="s">
        <v>72812</v>
      </c>
      <c r="T24038" t="s">
        <v>72813</v>
      </c>
    </row>
    <row r="24039" spans="1:20" x14ac:dyDescent="0.25">
      <c r="A24039" t="str">
        <f>"3062823"</f>
        <v>3062823</v>
      </c>
      <c r="B24039" t="s">
        <v>72815</v>
      </c>
      <c r="C24039" t="str">
        <f>"8323376"</f>
        <v>8323376</v>
      </c>
      <c r="D24039" t="s">
        <v>72816</v>
      </c>
      <c r="E24039" t="s">
        <v>72817</v>
      </c>
      <c r="F24039" t="s">
        <v>72818</v>
      </c>
      <c r="I24039" t="s">
        <v>29</v>
      </c>
      <c r="J24039" t="s">
        <v>30</v>
      </c>
      <c r="K24039" t="s">
        <v>72819</v>
      </c>
      <c r="M24039" t="s">
        <v>50500</v>
      </c>
      <c r="N24039" t="str">
        <f>"11/19/2024 1:42:00 PM"</f>
        <v>11/19/2024 1:42:00 PM</v>
      </c>
      <c r="O24039" t="s">
        <v>72816</v>
      </c>
      <c r="T24039" t="s">
        <v>72817</v>
      </c>
    </row>
    <row r="24040" spans="1:20" x14ac:dyDescent="0.25">
      <c r="A24040" t="str">
        <f>"3038701"</f>
        <v>3038701</v>
      </c>
      <c r="B24040" t="s">
        <v>72820</v>
      </c>
      <c r="C24040" t="str">
        <f>"82530993"</f>
        <v>82530993</v>
      </c>
      <c r="D24040" t="s">
        <v>72821</v>
      </c>
      <c r="F24040" t="s">
        <v>36409</v>
      </c>
      <c r="I24040" t="s">
        <v>29</v>
      </c>
      <c r="J24040" t="s">
        <v>30</v>
      </c>
      <c r="K24040" t="s">
        <v>36410</v>
      </c>
      <c r="M24040" t="s">
        <v>52111</v>
      </c>
      <c r="N24040" t="str">
        <f>"11/22/2024 10:52:00 AM"</f>
        <v>11/22/2024 10:52:00 AM</v>
      </c>
      <c r="O24040" t="s">
        <v>72821</v>
      </c>
    </row>
    <row r="24041" spans="1:20" x14ac:dyDescent="0.25">
      <c r="A24041" t="str">
        <f>"3046211"</f>
        <v>3046211</v>
      </c>
      <c r="B24041" t="s">
        <v>72822</v>
      </c>
      <c r="C24041" t="str">
        <f>"45412000"</f>
        <v>45412000</v>
      </c>
      <c r="D24041" t="s">
        <v>72823</v>
      </c>
      <c r="F24041" t="s">
        <v>65361</v>
      </c>
      <c r="I24041" t="s">
        <v>29</v>
      </c>
      <c r="J24041" t="s">
        <v>30</v>
      </c>
      <c r="K24041" t="s">
        <v>18928</v>
      </c>
      <c r="M24041" t="s">
        <v>25733</v>
      </c>
      <c r="N24041" t="str">
        <f>"11/22/2024 1:20:00 PM"</f>
        <v>11/22/2024 1:20:00 PM</v>
      </c>
      <c r="O24041" t="s">
        <v>72823</v>
      </c>
    </row>
    <row r="24042" spans="1:20" x14ac:dyDescent="0.25">
      <c r="A24042" t="str">
        <f>"3061733"</f>
        <v>3061733</v>
      </c>
      <c r="B24042" t="s">
        <v>72824</v>
      </c>
      <c r="C24042" t="str">
        <f>"8323378"</f>
        <v>8323378</v>
      </c>
      <c r="D24042" t="s">
        <v>72825</v>
      </c>
      <c r="E24042" t="s">
        <v>72826</v>
      </c>
      <c r="F24042" t="s">
        <v>72827</v>
      </c>
      <c r="I24042" t="s">
        <v>2071</v>
      </c>
      <c r="J24042" t="s">
        <v>30</v>
      </c>
      <c r="K24042" t="s">
        <v>3885</v>
      </c>
      <c r="M24042" t="s">
        <v>50500</v>
      </c>
      <c r="N24042" t="str">
        <f>"11/19/2024 2:14:00 PM"</f>
        <v>11/19/2024 2:14:00 PM</v>
      </c>
      <c r="O24042" t="s">
        <v>72825</v>
      </c>
      <c r="T24042" t="s">
        <v>72826</v>
      </c>
    </row>
    <row r="24043" spans="1:20" x14ac:dyDescent="0.25">
      <c r="A24043" t="str">
        <f>"3060966"</f>
        <v>3060966</v>
      </c>
      <c r="B24043" t="s">
        <v>72828</v>
      </c>
      <c r="C24043" t="str">
        <f>"8323382"</f>
        <v>8323382</v>
      </c>
      <c r="D24043" t="s">
        <v>72829</v>
      </c>
      <c r="E24043" t="s">
        <v>72830</v>
      </c>
      <c r="F24043" t="s">
        <v>72831</v>
      </c>
      <c r="I24043" t="s">
        <v>2071</v>
      </c>
      <c r="J24043" t="s">
        <v>30</v>
      </c>
      <c r="K24043" t="s">
        <v>37473</v>
      </c>
      <c r="M24043" t="s">
        <v>50500</v>
      </c>
      <c r="N24043" t="str">
        <f>"11/20/2024 9:39:00 AM"</f>
        <v>11/20/2024 9:39:00 AM</v>
      </c>
      <c r="O24043" t="s">
        <v>72829</v>
      </c>
      <c r="T24043" t="s">
        <v>72830</v>
      </c>
    </row>
    <row r="24044" spans="1:20" x14ac:dyDescent="0.25">
      <c r="A24044" t="str">
        <f>"3078081"</f>
        <v>3078081</v>
      </c>
      <c r="B24044" t="s">
        <v>72832</v>
      </c>
      <c r="C24044" t="str">
        <f>"8323433"</f>
        <v>8323433</v>
      </c>
      <c r="D24044" t="s">
        <v>72833</v>
      </c>
      <c r="F24044" t="s">
        <v>72834</v>
      </c>
      <c r="I24044" t="s">
        <v>29</v>
      </c>
      <c r="J24044" t="s">
        <v>30</v>
      </c>
      <c r="K24044" t="s">
        <v>46628</v>
      </c>
      <c r="M24044" t="s">
        <v>50500</v>
      </c>
      <c r="N24044" t="str">
        <f>"11/25/2024 9:25:00 AM"</f>
        <v>11/25/2024 9:25:00 AM</v>
      </c>
      <c r="O24044" t="s">
        <v>72833</v>
      </c>
    </row>
    <row r="24045" spans="1:20" x14ac:dyDescent="0.25">
      <c r="A24045" t="str">
        <f>"3078086"</f>
        <v>3078086</v>
      </c>
      <c r="B24045" t="s">
        <v>72835</v>
      </c>
      <c r="C24045" t="str">
        <f>"8323433"</f>
        <v>8323433</v>
      </c>
      <c r="D24045" t="s">
        <v>72833</v>
      </c>
      <c r="F24045" t="s">
        <v>72834</v>
      </c>
      <c r="I24045" t="s">
        <v>29</v>
      </c>
      <c r="J24045" t="s">
        <v>30</v>
      </c>
      <c r="K24045" t="s">
        <v>46628</v>
      </c>
      <c r="M24045" t="s">
        <v>50500</v>
      </c>
      <c r="N24045" t="str">
        <f>"11/25/2024 9:25:00 AM"</f>
        <v>11/25/2024 9:25:00 AM</v>
      </c>
      <c r="O24045" t="s">
        <v>72833</v>
      </c>
    </row>
    <row r="24046" spans="1:20" x14ac:dyDescent="0.25">
      <c r="A24046" t="str">
        <f>"3054657"</f>
        <v>3054657</v>
      </c>
      <c r="B24046" t="s">
        <v>72836</v>
      </c>
      <c r="C24046" t="str">
        <f>"8323383"</f>
        <v>8323383</v>
      </c>
      <c r="D24046" t="s">
        <v>72837</v>
      </c>
      <c r="F24046" t="s">
        <v>72838</v>
      </c>
      <c r="I24046" t="s">
        <v>29</v>
      </c>
      <c r="J24046" t="s">
        <v>30</v>
      </c>
      <c r="K24046" t="s">
        <v>33337</v>
      </c>
      <c r="M24046" t="s">
        <v>50500</v>
      </c>
      <c r="N24046" t="str">
        <f>"11/20/2024 9:43:00 AM"</f>
        <v>11/20/2024 9:43:00 AM</v>
      </c>
      <c r="O24046" t="s">
        <v>72837</v>
      </c>
    </row>
    <row r="24047" spans="1:20" x14ac:dyDescent="0.25">
      <c r="A24047" t="str">
        <f>"3078018"</f>
        <v>3078018</v>
      </c>
      <c r="B24047" t="s">
        <v>72839</v>
      </c>
      <c r="C24047" t="str">
        <f>"8308784"</f>
        <v>8308784</v>
      </c>
      <c r="D24047" t="s">
        <v>72840</v>
      </c>
      <c r="E24047" t="s">
        <v>72841</v>
      </c>
      <c r="F24047" t="s">
        <v>40389</v>
      </c>
      <c r="I24047" t="s">
        <v>184</v>
      </c>
      <c r="J24047" t="s">
        <v>30</v>
      </c>
      <c r="K24047" t="s">
        <v>40390</v>
      </c>
      <c r="M24047" t="s">
        <v>50500</v>
      </c>
      <c r="N24047" t="str">
        <f>"11/20/2024 10:43:00 AM"</f>
        <v>11/20/2024 10:43:00 AM</v>
      </c>
      <c r="O24047" t="s">
        <v>72840</v>
      </c>
      <c r="T24047" t="s">
        <v>72841</v>
      </c>
    </row>
    <row r="24048" spans="1:20" x14ac:dyDescent="0.25">
      <c r="A24048" t="str">
        <f>"3056690"</f>
        <v>3056690</v>
      </c>
      <c r="B24048" t="s">
        <v>72842</v>
      </c>
      <c r="C24048" t="str">
        <f>"8323387"</f>
        <v>8323387</v>
      </c>
      <c r="D24048" t="s">
        <v>72843</v>
      </c>
      <c r="F24048" t="s">
        <v>72844</v>
      </c>
      <c r="I24048" t="s">
        <v>29</v>
      </c>
      <c r="J24048" t="s">
        <v>30</v>
      </c>
      <c r="K24048" t="str">
        <f>"27028"</f>
        <v>27028</v>
      </c>
      <c r="M24048" t="s">
        <v>50500</v>
      </c>
      <c r="N24048" t="str">
        <f>"11/20/2024 10:55:00 AM"</f>
        <v>11/20/2024 10:55:00 AM</v>
      </c>
      <c r="O24048" t="s">
        <v>72843</v>
      </c>
    </row>
    <row r="24049" spans="1:20" x14ac:dyDescent="0.25">
      <c r="A24049" t="str">
        <f>"3062862"</f>
        <v>3062862</v>
      </c>
      <c r="B24049" t="s">
        <v>72845</v>
      </c>
      <c r="C24049" t="str">
        <f>"8322592"</f>
        <v>8322592</v>
      </c>
      <c r="D24049" t="s">
        <v>72846</v>
      </c>
      <c r="F24049" t="s">
        <v>63292</v>
      </c>
      <c r="G24049" t="s">
        <v>63293</v>
      </c>
      <c r="I24049" t="s">
        <v>17902</v>
      </c>
      <c r="J24049" t="s">
        <v>30</v>
      </c>
      <c r="K24049" t="s">
        <v>63294</v>
      </c>
      <c r="M24049" t="s">
        <v>52111</v>
      </c>
      <c r="N24049" t="str">
        <f>"11/25/2024 10:50:00 AM"</f>
        <v>11/25/2024 10:50:00 AM</v>
      </c>
      <c r="O24049" t="s">
        <v>72846</v>
      </c>
    </row>
    <row r="24050" spans="1:20" x14ac:dyDescent="0.25">
      <c r="A24050" t="str">
        <f>"3062819"</f>
        <v>3062819</v>
      </c>
      <c r="B24050" t="s">
        <v>72847</v>
      </c>
      <c r="C24050" t="str">
        <f>"8323388"</f>
        <v>8323388</v>
      </c>
      <c r="D24050" t="s">
        <v>72848</v>
      </c>
      <c r="E24050" t="s">
        <v>72849</v>
      </c>
      <c r="F24050" t="s">
        <v>72850</v>
      </c>
      <c r="I24050" t="s">
        <v>29</v>
      </c>
      <c r="J24050" t="s">
        <v>30</v>
      </c>
      <c r="K24050" t="s">
        <v>72851</v>
      </c>
      <c r="M24050" t="s">
        <v>50500</v>
      </c>
      <c r="N24050" t="str">
        <f>"11/20/2024 10:59:00 AM"</f>
        <v>11/20/2024 10:59:00 AM</v>
      </c>
      <c r="O24050" t="s">
        <v>72848</v>
      </c>
      <c r="T24050" t="s">
        <v>72849</v>
      </c>
    </row>
    <row r="24051" spans="1:20" x14ac:dyDescent="0.25">
      <c r="A24051" t="str">
        <f>"3062760"</f>
        <v>3062760</v>
      </c>
      <c r="B24051" t="s">
        <v>72852</v>
      </c>
      <c r="C24051" t="str">
        <f>"8323391"</f>
        <v>8323391</v>
      </c>
      <c r="D24051" t="s">
        <v>72853</v>
      </c>
      <c r="E24051" t="s">
        <v>72854</v>
      </c>
      <c r="F24051" t="s">
        <v>72855</v>
      </c>
      <c r="I24051" t="s">
        <v>184</v>
      </c>
      <c r="J24051" t="s">
        <v>30</v>
      </c>
      <c r="K24051" t="s">
        <v>52691</v>
      </c>
      <c r="M24051" t="s">
        <v>50500</v>
      </c>
      <c r="N24051" t="str">
        <f>"11/20/2024 11:14:00 AM"</f>
        <v>11/20/2024 11:14:00 AM</v>
      </c>
      <c r="O24051" t="s">
        <v>72853</v>
      </c>
      <c r="T24051" t="s">
        <v>72854</v>
      </c>
    </row>
    <row r="24052" spans="1:20" x14ac:dyDescent="0.25">
      <c r="A24052" t="str">
        <f>"3061985"</f>
        <v>3061985</v>
      </c>
      <c r="B24052" t="s">
        <v>72856</v>
      </c>
      <c r="C24052" t="str">
        <f>"8323392"</f>
        <v>8323392</v>
      </c>
      <c r="D24052" t="s">
        <v>72857</v>
      </c>
      <c r="E24052" t="s">
        <v>72858</v>
      </c>
      <c r="F24052" t="s">
        <v>72859</v>
      </c>
      <c r="I24052" t="s">
        <v>184</v>
      </c>
      <c r="J24052" t="s">
        <v>30</v>
      </c>
      <c r="K24052" t="s">
        <v>63671</v>
      </c>
      <c r="M24052" t="s">
        <v>50500</v>
      </c>
      <c r="N24052" t="str">
        <f>"11/20/2024 11:18:00 AM"</f>
        <v>11/20/2024 11:18:00 AM</v>
      </c>
      <c r="O24052" t="s">
        <v>72857</v>
      </c>
      <c r="T24052" t="s">
        <v>72858</v>
      </c>
    </row>
    <row r="24053" spans="1:20" x14ac:dyDescent="0.25">
      <c r="A24053" t="str">
        <f>"3039003"</f>
        <v>3039003</v>
      </c>
      <c r="B24053" t="s">
        <v>72860</v>
      </c>
      <c r="C24053" t="str">
        <f>"8321685"</f>
        <v>8321685</v>
      </c>
      <c r="D24053" t="s">
        <v>72861</v>
      </c>
      <c r="E24053" t="s">
        <v>72862</v>
      </c>
      <c r="F24053" t="s">
        <v>72863</v>
      </c>
      <c r="I24053" t="s">
        <v>29</v>
      </c>
      <c r="J24053" t="s">
        <v>30</v>
      </c>
      <c r="K24053" t="str">
        <f>"27028"</f>
        <v>27028</v>
      </c>
      <c r="M24053" t="s">
        <v>25733</v>
      </c>
      <c r="N24053" t="str">
        <f>"11/20/2024 12:49:00 PM"</f>
        <v>11/20/2024 12:49:00 PM</v>
      </c>
      <c r="O24053" t="s">
        <v>72861</v>
      </c>
      <c r="T24053" t="s">
        <v>72862</v>
      </c>
    </row>
    <row r="24054" spans="1:20" x14ac:dyDescent="0.25">
      <c r="A24054" t="str">
        <f>"3060395"</f>
        <v>3060395</v>
      </c>
      <c r="B24054" t="s">
        <v>72864</v>
      </c>
      <c r="C24054" t="str">
        <f>"8319956"</f>
        <v>8319956</v>
      </c>
      <c r="D24054" t="s">
        <v>72865</v>
      </c>
      <c r="F24054" t="s">
        <v>72866</v>
      </c>
      <c r="I24054" t="s">
        <v>29</v>
      </c>
      <c r="J24054" t="s">
        <v>30</v>
      </c>
      <c r="K24054" t="s">
        <v>40748</v>
      </c>
      <c r="M24054" t="s">
        <v>52111</v>
      </c>
      <c r="N24054" t="str">
        <f>"12/2/2024 1:01:00 PM"</f>
        <v>12/2/2024 1:01:00 PM</v>
      </c>
      <c r="O24054" t="s">
        <v>72865</v>
      </c>
    </row>
    <row r="24055" spans="1:20" x14ac:dyDescent="0.25">
      <c r="A24055" t="str">
        <f>"3060667"</f>
        <v>3060667</v>
      </c>
      <c r="B24055" t="s">
        <v>72867</v>
      </c>
      <c r="C24055" t="str">
        <f>"8323460"</f>
        <v>8323460</v>
      </c>
      <c r="D24055" t="s">
        <v>72868</v>
      </c>
      <c r="F24055" t="s">
        <v>72869</v>
      </c>
      <c r="I24055" t="s">
        <v>2071</v>
      </c>
      <c r="J24055" t="s">
        <v>30</v>
      </c>
      <c r="K24055" t="s">
        <v>6484</v>
      </c>
      <c r="M24055" t="s">
        <v>50500</v>
      </c>
      <c r="N24055" t="str">
        <f>"12/2/2024 2:57:00 PM"</f>
        <v>12/2/2024 2:57:00 PM</v>
      </c>
      <c r="O24055" t="s">
        <v>72868</v>
      </c>
    </row>
    <row r="24056" spans="1:20" x14ac:dyDescent="0.25">
      <c r="A24056" t="str">
        <f>"3050812"</f>
        <v>3050812</v>
      </c>
      <c r="B24056" t="s">
        <v>72870</v>
      </c>
      <c r="C24056" t="str">
        <f>"8306131"</f>
        <v>8306131</v>
      </c>
      <c r="D24056" t="s">
        <v>72871</v>
      </c>
      <c r="F24056" t="s">
        <v>72872</v>
      </c>
      <c r="I24056" t="s">
        <v>184</v>
      </c>
      <c r="J24056" t="s">
        <v>30</v>
      </c>
      <c r="K24056" t="str">
        <f>"27006"</f>
        <v>27006</v>
      </c>
      <c r="M24056" t="s">
        <v>25733</v>
      </c>
      <c r="N24056" t="str">
        <f>"11/20/2024 1:57:00 PM"</f>
        <v>11/20/2024 1:57:00 PM</v>
      </c>
      <c r="O24056" t="s">
        <v>72871</v>
      </c>
    </row>
    <row r="24057" spans="1:20" x14ac:dyDescent="0.25">
      <c r="A24057" t="str">
        <f>"3074810"</f>
        <v>3074810</v>
      </c>
      <c r="B24057" t="s">
        <v>72873</v>
      </c>
      <c r="C24057" t="str">
        <f>"8323401"</f>
        <v>8323401</v>
      </c>
      <c r="D24057" t="s">
        <v>72874</v>
      </c>
      <c r="F24057" t="s">
        <v>72875</v>
      </c>
      <c r="I24057" t="s">
        <v>184</v>
      </c>
      <c r="J24057" t="s">
        <v>30</v>
      </c>
      <c r="K24057" t="s">
        <v>8745</v>
      </c>
      <c r="M24057" t="s">
        <v>50500</v>
      </c>
      <c r="N24057" t="str">
        <f>"11/20/2024 2:13:00 PM"</f>
        <v>11/20/2024 2:13:00 PM</v>
      </c>
      <c r="O24057" t="s">
        <v>72874</v>
      </c>
    </row>
    <row r="24058" spans="1:20" x14ac:dyDescent="0.25">
      <c r="A24058" t="str">
        <f>"3062651"</f>
        <v>3062651</v>
      </c>
      <c r="B24058" t="s">
        <v>72876</v>
      </c>
      <c r="C24058" t="str">
        <f>"8323402"</f>
        <v>8323402</v>
      </c>
      <c r="D24058" t="s">
        <v>72877</v>
      </c>
      <c r="F24058" t="s">
        <v>72878</v>
      </c>
      <c r="I24058" t="s">
        <v>2071</v>
      </c>
      <c r="J24058" t="s">
        <v>30</v>
      </c>
      <c r="K24058" t="s">
        <v>33558</v>
      </c>
      <c r="M24058" t="s">
        <v>50500</v>
      </c>
      <c r="N24058" t="str">
        <f>"11/20/2024 2:29:00 PM"</f>
        <v>11/20/2024 2:29:00 PM</v>
      </c>
      <c r="O24058" t="s">
        <v>72877</v>
      </c>
    </row>
    <row r="24059" spans="1:20" x14ac:dyDescent="0.25">
      <c r="A24059" t="str">
        <f>"3063007"</f>
        <v>3063007</v>
      </c>
      <c r="B24059" t="s">
        <v>72879</v>
      </c>
      <c r="C24059" t="str">
        <f>"8323404"</f>
        <v>8323404</v>
      </c>
      <c r="D24059" t="s">
        <v>72880</v>
      </c>
      <c r="E24059" t="s">
        <v>72881</v>
      </c>
      <c r="F24059" t="s">
        <v>72882</v>
      </c>
      <c r="I24059" t="s">
        <v>184</v>
      </c>
      <c r="J24059" t="s">
        <v>30</v>
      </c>
      <c r="K24059" t="s">
        <v>49626</v>
      </c>
      <c r="M24059" t="s">
        <v>50500</v>
      </c>
      <c r="N24059" t="str">
        <f>"11/20/2024 3:00:00 PM"</f>
        <v>11/20/2024 3:00:00 PM</v>
      </c>
      <c r="O24059" t="s">
        <v>72880</v>
      </c>
      <c r="T24059" t="s">
        <v>72881</v>
      </c>
    </row>
    <row r="24060" spans="1:20" x14ac:dyDescent="0.25">
      <c r="A24060" t="str">
        <f>"3043525"</f>
        <v>3043525</v>
      </c>
      <c r="B24060" t="s">
        <v>72883</v>
      </c>
      <c r="C24060" t="str">
        <f>"55196000"</f>
        <v>55196000</v>
      </c>
      <c r="D24060" t="s">
        <v>72884</v>
      </c>
      <c r="E24060" t="s">
        <v>72885</v>
      </c>
      <c r="F24060" t="s">
        <v>72886</v>
      </c>
      <c r="I24060" t="s">
        <v>29</v>
      </c>
      <c r="J24060" t="s">
        <v>30</v>
      </c>
      <c r="K24060" t="s">
        <v>64524</v>
      </c>
      <c r="M24060" t="s">
        <v>32801</v>
      </c>
      <c r="N24060" t="str">
        <f>"12/3/2024 3:36:00 PM"</f>
        <v>12/3/2024 3:36:00 PM</v>
      </c>
      <c r="O24060" t="s">
        <v>72884</v>
      </c>
      <c r="T24060" t="s">
        <v>72885</v>
      </c>
    </row>
    <row r="24061" spans="1:20" x14ac:dyDescent="0.25">
      <c r="A24061" t="str">
        <f>"3047403"</f>
        <v>3047403</v>
      </c>
      <c r="B24061" t="s">
        <v>72887</v>
      </c>
      <c r="C24061" t="str">
        <f>"8323405"</f>
        <v>8323405</v>
      </c>
      <c r="D24061" t="s">
        <v>72888</v>
      </c>
      <c r="F24061" t="s">
        <v>62685</v>
      </c>
      <c r="I24061" t="s">
        <v>184</v>
      </c>
      <c r="J24061" t="s">
        <v>30</v>
      </c>
      <c r="K24061" t="s">
        <v>49554</v>
      </c>
      <c r="M24061" t="s">
        <v>50500</v>
      </c>
      <c r="N24061" t="str">
        <f>"11/20/2024 3:14:00 PM"</f>
        <v>11/20/2024 3:14:00 PM</v>
      </c>
      <c r="O24061" t="s">
        <v>72888</v>
      </c>
    </row>
    <row r="24062" spans="1:20" x14ac:dyDescent="0.25">
      <c r="A24062" t="str">
        <f>"3078079"</f>
        <v>3078079</v>
      </c>
      <c r="B24062" t="s">
        <v>72889</v>
      </c>
      <c r="C24062" t="str">
        <f>"8323407"</f>
        <v>8323407</v>
      </c>
      <c r="D24062" t="s">
        <v>72890</v>
      </c>
      <c r="F24062" t="s">
        <v>72891</v>
      </c>
      <c r="I24062" t="s">
        <v>163</v>
      </c>
      <c r="J24062" t="s">
        <v>30</v>
      </c>
      <c r="K24062" t="str">
        <f>"27284"</f>
        <v>27284</v>
      </c>
      <c r="M24062" t="s">
        <v>50500</v>
      </c>
      <c r="N24062" t="str">
        <f>"11/20/2024 3:19:00 PM"</f>
        <v>11/20/2024 3:19:00 PM</v>
      </c>
      <c r="O24062" t="s">
        <v>72890</v>
      </c>
    </row>
    <row r="24063" spans="1:20" x14ac:dyDescent="0.25">
      <c r="A24063" t="str">
        <f>"3052306"</f>
        <v>3052306</v>
      </c>
      <c r="B24063" t="s">
        <v>72892</v>
      </c>
      <c r="C24063" t="str">
        <f>"8323369"</f>
        <v>8323369</v>
      </c>
      <c r="D24063" t="s">
        <v>72893</v>
      </c>
      <c r="F24063" t="s">
        <v>72894</v>
      </c>
      <c r="G24063" t="s">
        <v>72895</v>
      </c>
      <c r="I24063" t="s">
        <v>163</v>
      </c>
      <c r="J24063" t="s">
        <v>30</v>
      </c>
      <c r="K24063" t="s">
        <v>72896</v>
      </c>
      <c r="M24063" t="s">
        <v>50500</v>
      </c>
      <c r="N24063" t="str">
        <f>"11/19/2024 11:02:00 AM"</f>
        <v>11/19/2024 11:02:00 AM</v>
      </c>
      <c r="O24063" t="s">
        <v>72893</v>
      </c>
    </row>
    <row r="24064" spans="1:20" x14ac:dyDescent="0.25">
      <c r="A24064" t="str">
        <f>"3039965"</f>
        <v>3039965</v>
      </c>
      <c r="B24064" t="s">
        <v>72897</v>
      </c>
      <c r="C24064" t="str">
        <f>"8323370"</f>
        <v>8323370</v>
      </c>
      <c r="D24064" t="s">
        <v>72898</v>
      </c>
      <c r="E24064" t="s">
        <v>72899</v>
      </c>
      <c r="F24064" t="s">
        <v>72900</v>
      </c>
      <c r="I24064" t="s">
        <v>471</v>
      </c>
      <c r="J24064" t="s">
        <v>30</v>
      </c>
      <c r="K24064" t="s">
        <v>72901</v>
      </c>
      <c r="M24064" t="s">
        <v>50500</v>
      </c>
      <c r="N24064" t="str">
        <f>"11/19/2024 11:11:00 AM"</f>
        <v>11/19/2024 11:11:00 AM</v>
      </c>
      <c r="O24064" t="s">
        <v>72898</v>
      </c>
      <c r="T24064" t="s">
        <v>72899</v>
      </c>
    </row>
    <row r="24065" spans="1:20" x14ac:dyDescent="0.25">
      <c r="A24065" t="str">
        <f>"3062890"</f>
        <v>3062890</v>
      </c>
      <c r="B24065" t="s">
        <v>72902</v>
      </c>
      <c r="C24065" t="str">
        <f>"8323371"</f>
        <v>8323371</v>
      </c>
      <c r="D24065" t="s">
        <v>72903</v>
      </c>
      <c r="E24065" t="s">
        <v>72904</v>
      </c>
      <c r="F24065" t="s">
        <v>72905</v>
      </c>
      <c r="I24065" t="s">
        <v>29</v>
      </c>
      <c r="J24065" t="s">
        <v>30</v>
      </c>
      <c r="K24065" t="s">
        <v>72906</v>
      </c>
      <c r="M24065" t="s">
        <v>50500</v>
      </c>
      <c r="N24065" t="str">
        <f>"11/19/2024 11:17:00 AM"</f>
        <v>11/19/2024 11:17:00 AM</v>
      </c>
      <c r="O24065" t="s">
        <v>72903</v>
      </c>
      <c r="T24065" t="s">
        <v>72904</v>
      </c>
    </row>
    <row r="24066" spans="1:20" x14ac:dyDescent="0.25">
      <c r="A24066" t="str">
        <f>"3050559"</f>
        <v>3050559</v>
      </c>
      <c r="B24066" t="s">
        <v>72907</v>
      </c>
      <c r="C24066" t="str">
        <f>"8314879"</f>
        <v>8314879</v>
      </c>
      <c r="D24066" t="s">
        <v>72908</v>
      </c>
      <c r="F24066" t="s">
        <v>72909</v>
      </c>
      <c r="I24066" t="s">
        <v>184</v>
      </c>
      <c r="J24066" t="s">
        <v>30</v>
      </c>
      <c r="K24066" t="s">
        <v>14297</v>
      </c>
      <c r="M24066" t="s">
        <v>50621</v>
      </c>
      <c r="N24066" t="str">
        <f>"12/5/2024 10:37:00 AM"</f>
        <v>12/5/2024 10:37:00 AM</v>
      </c>
      <c r="O24066" t="s">
        <v>72908</v>
      </c>
    </row>
    <row r="24067" spans="1:20" x14ac:dyDescent="0.25">
      <c r="A24067" t="str">
        <f>"3053260"</f>
        <v>3053260</v>
      </c>
      <c r="B24067" t="s">
        <v>72910</v>
      </c>
      <c r="C24067" t="str">
        <f>"8314879"</f>
        <v>8314879</v>
      </c>
      <c r="D24067" t="s">
        <v>72908</v>
      </c>
      <c r="F24067" t="s">
        <v>72909</v>
      </c>
      <c r="I24067" t="s">
        <v>184</v>
      </c>
      <c r="J24067" t="s">
        <v>30</v>
      </c>
      <c r="K24067" t="s">
        <v>14297</v>
      </c>
      <c r="M24067" t="s">
        <v>50621</v>
      </c>
      <c r="N24067" t="str">
        <f>"12/5/2024 10:37:00 AM"</f>
        <v>12/5/2024 10:37:00 AM</v>
      </c>
      <c r="O24067" t="s">
        <v>72908</v>
      </c>
    </row>
    <row r="24068" spans="1:20" x14ac:dyDescent="0.25">
      <c r="A24068" t="str">
        <f>"3078792"</f>
        <v>3078792</v>
      </c>
      <c r="B24068" t="s">
        <v>72911</v>
      </c>
      <c r="C24068" t="str">
        <f>"8314879"</f>
        <v>8314879</v>
      </c>
      <c r="D24068" t="s">
        <v>72908</v>
      </c>
      <c r="F24068" t="s">
        <v>72909</v>
      </c>
      <c r="I24068" t="s">
        <v>184</v>
      </c>
      <c r="J24068" t="s">
        <v>30</v>
      </c>
      <c r="K24068" t="s">
        <v>14297</v>
      </c>
      <c r="M24068" t="s">
        <v>50621</v>
      </c>
      <c r="N24068" t="str">
        <f>"12/5/2024 10:37:00 AM"</f>
        <v>12/5/2024 10:37:00 AM</v>
      </c>
      <c r="O24068" t="s">
        <v>72908</v>
      </c>
    </row>
    <row r="24069" spans="1:20" x14ac:dyDescent="0.25">
      <c r="A24069" t="str">
        <f>"3078793"</f>
        <v>3078793</v>
      </c>
      <c r="B24069" t="s">
        <v>72912</v>
      </c>
      <c r="C24069" t="str">
        <f>"8314879"</f>
        <v>8314879</v>
      </c>
      <c r="D24069" t="s">
        <v>72908</v>
      </c>
      <c r="F24069" t="s">
        <v>72909</v>
      </c>
      <c r="I24069" t="s">
        <v>184</v>
      </c>
      <c r="J24069" t="s">
        <v>30</v>
      </c>
      <c r="K24069" t="s">
        <v>14297</v>
      </c>
      <c r="M24069" t="s">
        <v>50621</v>
      </c>
      <c r="N24069" t="str">
        <f>"12/5/2024 10:37:00 AM"</f>
        <v>12/5/2024 10:37:00 AM</v>
      </c>
      <c r="O24069" t="s">
        <v>72908</v>
      </c>
    </row>
    <row r="24070" spans="1:20" x14ac:dyDescent="0.25">
      <c r="A24070" t="str">
        <f>"3078964"</f>
        <v>3078964</v>
      </c>
      <c r="B24070" t="s">
        <v>72913</v>
      </c>
      <c r="C24070" t="str">
        <f>"8314879"</f>
        <v>8314879</v>
      </c>
      <c r="D24070" t="s">
        <v>72908</v>
      </c>
      <c r="F24070" t="s">
        <v>72909</v>
      </c>
      <c r="I24070" t="s">
        <v>184</v>
      </c>
      <c r="J24070" t="s">
        <v>30</v>
      </c>
      <c r="K24070" t="s">
        <v>14297</v>
      </c>
      <c r="M24070" t="s">
        <v>50621</v>
      </c>
      <c r="N24070" t="str">
        <f>"12/5/2024 10:37:00 AM"</f>
        <v>12/5/2024 10:37:00 AM</v>
      </c>
      <c r="O24070" t="s">
        <v>72908</v>
      </c>
    </row>
    <row r="24071" spans="1:20" x14ac:dyDescent="0.25">
      <c r="A24071" t="str">
        <f>"3051242"</f>
        <v>3051242</v>
      </c>
      <c r="B24071" t="s">
        <v>72914</v>
      </c>
      <c r="C24071" t="str">
        <f>"8305978"</f>
        <v>8305978</v>
      </c>
      <c r="D24071" t="s">
        <v>72915</v>
      </c>
      <c r="F24071" t="s">
        <v>15934</v>
      </c>
      <c r="I24071" t="s">
        <v>34070</v>
      </c>
      <c r="J24071" t="s">
        <v>30</v>
      </c>
      <c r="K24071" t="s">
        <v>72916</v>
      </c>
      <c r="M24071" t="s">
        <v>50621</v>
      </c>
      <c r="N24071" t="str">
        <f>"12/5/2024 10:42:00 AM"</f>
        <v>12/5/2024 10:42:00 AM</v>
      </c>
      <c r="O24071" t="s">
        <v>72915</v>
      </c>
    </row>
    <row r="24072" spans="1:20" x14ac:dyDescent="0.25">
      <c r="A24072" t="str">
        <f>"3049528"</f>
        <v>3049528</v>
      </c>
      <c r="B24072" t="s">
        <v>72917</v>
      </c>
      <c r="C24072" t="str">
        <f>"8305978"</f>
        <v>8305978</v>
      </c>
      <c r="D24072" t="s">
        <v>72915</v>
      </c>
      <c r="F24072" t="s">
        <v>15934</v>
      </c>
      <c r="I24072" t="s">
        <v>34070</v>
      </c>
      <c r="J24072" t="s">
        <v>30</v>
      </c>
      <c r="K24072" t="s">
        <v>72916</v>
      </c>
      <c r="M24072" t="s">
        <v>50621</v>
      </c>
      <c r="N24072" t="str">
        <f>"12/5/2024 10:42:00 AM"</f>
        <v>12/5/2024 10:42:00 AM</v>
      </c>
      <c r="O24072" t="s">
        <v>72915</v>
      </c>
    </row>
    <row r="24073" spans="1:20" x14ac:dyDescent="0.25">
      <c r="A24073" t="str">
        <f>"3050139"</f>
        <v>3050139</v>
      </c>
      <c r="B24073" t="s">
        <v>72918</v>
      </c>
      <c r="C24073" t="str">
        <f>"8305978"</f>
        <v>8305978</v>
      </c>
      <c r="D24073" t="s">
        <v>72915</v>
      </c>
      <c r="F24073" t="s">
        <v>15934</v>
      </c>
      <c r="I24073" t="s">
        <v>34070</v>
      </c>
      <c r="J24073" t="s">
        <v>30</v>
      </c>
      <c r="K24073" t="s">
        <v>72916</v>
      </c>
      <c r="M24073" t="s">
        <v>50621</v>
      </c>
      <c r="N24073" t="str">
        <f>"12/5/2024 10:42:00 AM"</f>
        <v>12/5/2024 10:42:00 AM</v>
      </c>
      <c r="O24073" t="s">
        <v>72915</v>
      </c>
    </row>
    <row r="24074" spans="1:20" x14ac:dyDescent="0.25">
      <c r="A24074" t="str">
        <f>"3050012"</f>
        <v>3050012</v>
      </c>
      <c r="B24074" t="s">
        <v>72919</v>
      </c>
      <c r="C24074" t="str">
        <f>"8305978"</f>
        <v>8305978</v>
      </c>
      <c r="D24074" t="s">
        <v>72915</v>
      </c>
      <c r="F24074" t="s">
        <v>15934</v>
      </c>
      <c r="I24074" t="s">
        <v>34070</v>
      </c>
      <c r="J24074" t="s">
        <v>30</v>
      </c>
      <c r="K24074" t="s">
        <v>72916</v>
      </c>
      <c r="M24074" t="s">
        <v>50621</v>
      </c>
      <c r="N24074" t="str">
        <f>"12/5/2024 10:42:00 AM"</f>
        <v>12/5/2024 10:42:00 AM</v>
      </c>
      <c r="O24074" t="s">
        <v>72915</v>
      </c>
    </row>
    <row r="24075" spans="1:20" x14ac:dyDescent="0.25">
      <c r="A24075" t="str">
        <f>"3065846"</f>
        <v>3065846</v>
      </c>
      <c r="B24075" t="s">
        <v>72920</v>
      </c>
      <c r="C24075" t="str">
        <f>"8323000"</f>
        <v>8323000</v>
      </c>
      <c r="D24075" t="s">
        <v>72921</v>
      </c>
      <c r="E24075" t="s">
        <v>72922</v>
      </c>
      <c r="F24075" t="s">
        <v>72923</v>
      </c>
      <c r="I24075" t="s">
        <v>37425</v>
      </c>
      <c r="J24075" t="s">
        <v>30</v>
      </c>
      <c r="K24075" t="s">
        <v>72924</v>
      </c>
      <c r="M24075" t="s">
        <v>50621</v>
      </c>
      <c r="N24075" t="str">
        <f>"12/5/2024 10:44:00 AM"</f>
        <v>12/5/2024 10:44:00 AM</v>
      </c>
      <c r="O24075" t="s">
        <v>72921</v>
      </c>
      <c r="T24075" t="s">
        <v>72922</v>
      </c>
    </row>
    <row r="24076" spans="1:20" x14ac:dyDescent="0.25">
      <c r="A24076" t="str">
        <f>"3065847"</f>
        <v>3065847</v>
      </c>
      <c r="B24076" t="s">
        <v>72925</v>
      </c>
      <c r="C24076" t="str">
        <f>"8323000"</f>
        <v>8323000</v>
      </c>
      <c r="D24076" t="s">
        <v>72921</v>
      </c>
      <c r="E24076" t="s">
        <v>72922</v>
      </c>
      <c r="F24076" t="s">
        <v>72923</v>
      </c>
      <c r="I24076" t="s">
        <v>37425</v>
      </c>
      <c r="J24076" t="s">
        <v>30</v>
      </c>
      <c r="K24076" t="s">
        <v>72924</v>
      </c>
      <c r="M24076" t="s">
        <v>50621</v>
      </c>
      <c r="N24076" t="str">
        <f>"12/5/2024 10:44:00 AM"</f>
        <v>12/5/2024 10:44:00 AM</v>
      </c>
      <c r="O24076" t="s">
        <v>72921</v>
      </c>
      <c r="T24076" t="s">
        <v>72922</v>
      </c>
    </row>
    <row r="24077" spans="1:20" x14ac:dyDescent="0.25">
      <c r="A24077" t="str">
        <f>"3042895"</f>
        <v>3042895</v>
      </c>
      <c r="B24077" t="s">
        <v>72926</v>
      </c>
      <c r="C24077" t="str">
        <f>"60136000"</f>
        <v>60136000</v>
      </c>
      <c r="D24077" t="s">
        <v>72927</v>
      </c>
      <c r="F24077" t="s">
        <v>72928</v>
      </c>
      <c r="I24077" t="s">
        <v>29</v>
      </c>
      <c r="J24077" t="s">
        <v>30</v>
      </c>
      <c r="K24077" t="s">
        <v>72929</v>
      </c>
      <c r="M24077" t="s">
        <v>51351</v>
      </c>
      <c r="N24077" t="str">
        <f>"12/5/2024 10:49:00 AM"</f>
        <v>12/5/2024 10:49:00 AM</v>
      </c>
      <c r="O24077" t="s">
        <v>72927</v>
      </c>
    </row>
    <row r="24078" spans="1:20" x14ac:dyDescent="0.25">
      <c r="A24078" t="str">
        <f>"3042086"</f>
        <v>3042086</v>
      </c>
      <c r="B24078" t="s">
        <v>72930</v>
      </c>
      <c r="C24078" t="str">
        <f>"60136000"</f>
        <v>60136000</v>
      </c>
      <c r="D24078" t="s">
        <v>72927</v>
      </c>
      <c r="F24078" t="s">
        <v>72928</v>
      </c>
      <c r="I24078" t="s">
        <v>29</v>
      </c>
      <c r="J24078" t="s">
        <v>30</v>
      </c>
      <c r="K24078" t="s">
        <v>72929</v>
      </c>
      <c r="M24078" t="s">
        <v>51351</v>
      </c>
      <c r="N24078" t="str">
        <f>"12/5/2024 10:49:00 AM"</f>
        <v>12/5/2024 10:49:00 AM</v>
      </c>
      <c r="O24078" t="s">
        <v>72927</v>
      </c>
    </row>
    <row r="24079" spans="1:20" x14ac:dyDescent="0.25">
      <c r="A24079" t="str">
        <f>"3061411"</f>
        <v>3061411</v>
      </c>
      <c r="B24079" t="s">
        <v>72931</v>
      </c>
      <c r="C24079" t="str">
        <f>"8323372"</f>
        <v>8323372</v>
      </c>
      <c r="D24079" t="s">
        <v>72932</v>
      </c>
      <c r="E24079" t="s">
        <v>72933</v>
      </c>
      <c r="F24079" t="s">
        <v>72934</v>
      </c>
      <c r="I24079" t="s">
        <v>184</v>
      </c>
      <c r="J24079" t="s">
        <v>30</v>
      </c>
      <c r="K24079" t="s">
        <v>72935</v>
      </c>
      <c r="M24079" t="s">
        <v>50500</v>
      </c>
      <c r="N24079" t="str">
        <f>"11/19/2024 1:00:00 PM"</f>
        <v>11/19/2024 1:00:00 PM</v>
      </c>
      <c r="O24079" t="s">
        <v>72932</v>
      </c>
      <c r="T24079" t="s">
        <v>72933</v>
      </c>
    </row>
    <row r="24080" spans="1:20" x14ac:dyDescent="0.25">
      <c r="A24080" t="str">
        <f>"3062683"</f>
        <v>3062683</v>
      </c>
      <c r="B24080" t="s">
        <v>72936</v>
      </c>
      <c r="C24080" t="str">
        <f>"8323373"</f>
        <v>8323373</v>
      </c>
      <c r="D24080" t="s">
        <v>72937</v>
      </c>
      <c r="F24080" t="s">
        <v>72938</v>
      </c>
      <c r="I24080" t="s">
        <v>402</v>
      </c>
      <c r="J24080" t="s">
        <v>30</v>
      </c>
      <c r="K24080" t="s">
        <v>72939</v>
      </c>
      <c r="M24080" t="s">
        <v>50500</v>
      </c>
      <c r="N24080" t="str">
        <f>"11/19/2024 1:04:00 PM"</f>
        <v>11/19/2024 1:04:00 PM</v>
      </c>
      <c r="O24080" t="s">
        <v>72937</v>
      </c>
    </row>
    <row r="24081" spans="1:20" x14ac:dyDescent="0.25">
      <c r="A24081" t="str">
        <f>"3050293"</f>
        <v>3050293</v>
      </c>
      <c r="B24081" t="s">
        <v>72940</v>
      </c>
      <c r="C24081" t="str">
        <f>"8323374"</f>
        <v>8323374</v>
      </c>
      <c r="D24081" t="s">
        <v>72941</v>
      </c>
      <c r="F24081" t="s">
        <v>72942</v>
      </c>
      <c r="I24081" t="s">
        <v>29</v>
      </c>
      <c r="J24081" t="s">
        <v>30</v>
      </c>
      <c r="K24081" t="s">
        <v>62168</v>
      </c>
      <c r="M24081" t="s">
        <v>50500</v>
      </c>
      <c r="N24081" t="str">
        <f>"11/19/2024 1:20:00 PM"</f>
        <v>11/19/2024 1:20:00 PM</v>
      </c>
      <c r="O24081" t="s">
        <v>72941</v>
      </c>
    </row>
    <row r="24082" spans="1:20" x14ac:dyDescent="0.25">
      <c r="A24082" t="str">
        <f>"3039527"</f>
        <v>3039527</v>
      </c>
      <c r="B24082" t="s">
        <v>72943</v>
      </c>
      <c r="C24082" t="str">
        <f>"8323432"</f>
        <v>8323432</v>
      </c>
      <c r="D24082" t="s">
        <v>72944</v>
      </c>
      <c r="F24082" t="s">
        <v>72945</v>
      </c>
      <c r="I24082" t="s">
        <v>184</v>
      </c>
      <c r="J24082" t="s">
        <v>30</v>
      </c>
      <c r="K24082" t="s">
        <v>56983</v>
      </c>
      <c r="M24082" t="s">
        <v>50500</v>
      </c>
      <c r="N24082" t="str">
        <f>"11/25/2024 9:19:00 AM"</f>
        <v>11/25/2024 9:19:00 AM</v>
      </c>
      <c r="O24082" t="s">
        <v>72944</v>
      </c>
    </row>
    <row r="24083" spans="1:20" x14ac:dyDescent="0.25">
      <c r="A24083" t="str">
        <f>"3045256"</f>
        <v>3045256</v>
      </c>
      <c r="B24083" t="s">
        <v>72946</v>
      </c>
      <c r="C24083" t="str">
        <f>"8323433"</f>
        <v>8323433</v>
      </c>
      <c r="D24083" t="s">
        <v>72833</v>
      </c>
      <c r="F24083" t="s">
        <v>72834</v>
      </c>
      <c r="I24083" t="s">
        <v>29</v>
      </c>
      <c r="J24083" t="s">
        <v>30</v>
      </c>
      <c r="K24083" t="s">
        <v>46628</v>
      </c>
      <c r="M24083" t="s">
        <v>50500</v>
      </c>
      <c r="N24083" t="str">
        <f>"11/25/2024 9:25:00 AM"</f>
        <v>11/25/2024 9:25:00 AM</v>
      </c>
      <c r="O24083" t="s">
        <v>72833</v>
      </c>
    </row>
    <row r="24084" spans="1:20" x14ac:dyDescent="0.25">
      <c r="A24084" t="str">
        <f>"3048380"</f>
        <v>3048380</v>
      </c>
      <c r="B24084" t="s">
        <v>72947</v>
      </c>
      <c r="C24084" t="str">
        <f>"8308786"</f>
        <v>8308786</v>
      </c>
      <c r="D24084" t="s">
        <v>72948</v>
      </c>
      <c r="E24084" t="s">
        <v>72949</v>
      </c>
      <c r="F24084" t="s">
        <v>72950</v>
      </c>
      <c r="I24084" t="s">
        <v>184</v>
      </c>
      <c r="J24084" t="s">
        <v>30</v>
      </c>
      <c r="K24084" t="s">
        <v>10705</v>
      </c>
      <c r="M24084" t="s">
        <v>50793</v>
      </c>
      <c r="N24084" t="str">
        <f>"11/25/2024 10:19:00 AM"</f>
        <v>11/25/2024 10:19:00 AM</v>
      </c>
      <c r="O24084" t="s">
        <v>72948</v>
      </c>
      <c r="T24084" t="s">
        <v>72949</v>
      </c>
    </row>
    <row r="24085" spans="1:20" x14ac:dyDescent="0.25">
      <c r="A24085" t="str">
        <f>"3060993"</f>
        <v>3060993</v>
      </c>
      <c r="B24085" t="s">
        <v>72951</v>
      </c>
      <c r="C24085" t="str">
        <f>"8320018"</f>
        <v>8320018</v>
      </c>
      <c r="D24085" t="s">
        <v>72952</v>
      </c>
      <c r="E24085" t="str">
        <f>"MANOS RENIE/STEVEN TRUSTEES"</f>
        <v>MANOS RENIE/STEVEN TRUSTEES</v>
      </c>
      <c r="F24085" t="s">
        <v>72536</v>
      </c>
      <c r="I24085" t="s">
        <v>184</v>
      </c>
      <c r="J24085" t="s">
        <v>30</v>
      </c>
      <c r="K24085" t="s">
        <v>39090</v>
      </c>
      <c r="M24085" t="s">
        <v>50621</v>
      </c>
      <c r="N24085" t="str">
        <f>"11/25/2024 10:35:00 AM"</f>
        <v>11/25/2024 10:35:00 AM</v>
      </c>
      <c r="O24085" t="s">
        <v>72952</v>
      </c>
      <c r="T24085" t="str">
        <f>"MANOS RENIE/STEVEN TRUSTEES"</f>
        <v>MANOS RENIE/STEVEN TRUSTEES</v>
      </c>
    </row>
    <row r="24086" spans="1:20" x14ac:dyDescent="0.25">
      <c r="A24086" t="str">
        <f>"3062919"</f>
        <v>3062919</v>
      </c>
      <c r="B24086" t="s">
        <v>72953</v>
      </c>
      <c r="C24086" t="str">
        <f>"8322592"</f>
        <v>8322592</v>
      </c>
      <c r="D24086" t="s">
        <v>72846</v>
      </c>
      <c r="F24086" t="s">
        <v>63292</v>
      </c>
      <c r="G24086" t="s">
        <v>63293</v>
      </c>
      <c r="I24086" t="s">
        <v>17902</v>
      </c>
      <c r="J24086" t="s">
        <v>30</v>
      </c>
      <c r="K24086" t="s">
        <v>63294</v>
      </c>
      <c r="M24086" t="s">
        <v>52111</v>
      </c>
      <c r="N24086" t="str">
        <f>"11/25/2024 10:50:00 AM"</f>
        <v>11/25/2024 10:50:00 AM</v>
      </c>
      <c r="O24086" t="s">
        <v>72846</v>
      </c>
    </row>
    <row r="24087" spans="1:20" x14ac:dyDescent="0.25">
      <c r="A24087" t="str">
        <f>"3062762"</f>
        <v>3062762</v>
      </c>
      <c r="B24087" t="s">
        <v>72954</v>
      </c>
      <c r="C24087" t="str">
        <f>"82530551"</f>
        <v>82530551</v>
      </c>
      <c r="D24087" t="s">
        <v>72955</v>
      </c>
      <c r="F24087" t="s">
        <v>72956</v>
      </c>
      <c r="I24087" t="s">
        <v>184</v>
      </c>
      <c r="J24087" t="s">
        <v>30</v>
      </c>
      <c r="K24087" t="s">
        <v>3885</v>
      </c>
      <c r="M24087" t="s">
        <v>50621</v>
      </c>
      <c r="N24087" t="str">
        <f>"11/27/2024 10:11:00 AM"</f>
        <v>11/27/2024 10:11:00 AM</v>
      </c>
      <c r="O24087" t="s">
        <v>72955</v>
      </c>
      <c r="T24087" t="s">
        <v>72955</v>
      </c>
    </row>
    <row r="24088" spans="1:20" x14ac:dyDescent="0.25">
      <c r="A24088" t="str">
        <f>"3062761"</f>
        <v>3062761</v>
      </c>
      <c r="B24088" t="s">
        <v>72957</v>
      </c>
      <c r="C24088" t="str">
        <f>"8323526"</f>
        <v>8323526</v>
      </c>
      <c r="D24088" t="s">
        <v>72958</v>
      </c>
      <c r="E24088" t="s">
        <v>72959</v>
      </c>
      <c r="F24088" t="s">
        <v>72960</v>
      </c>
      <c r="I24088" t="s">
        <v>2071</v>
      </c>
      <c r="J24088" t="s">
        <v>30</v>
      </c>
      <c r="K24088" t="s">
        <v>4183</v>
      </c>
      <c r="M24088" t="s">
        <v>50500</v>
      </c>
      <c r="N24088" t="str">
        <f>"12/6/2024 2:44:00 PM"</f>
        <v>12/6/2024 2:44:00 PM</v>
      </c>
      <c r="O24088" t="s">
        <v>72958</v>
      </c>
      <c r="T24088" t="s">
        <v>72959</v>
      </c>
    </row>
    <row r="24089" spans="1:20" x14ac:dyDescent="0.25">
      <c r="A24089" t="str">
        <f>"3060494"</f>
        <v>3060494</v>
      </c>
      <c r="B24089" t="s">
        <v>72961</v>
      </c>
      <c r="C24089" t="str">
        <f>"82530551"</f>
        <v>82530551</v>
      </c>
      <c r="D24089" t="s">
        <v>72955</v>
      </c>
      <c r="F24089" t="s">
        <v>72956</v>
      </c>
      <c r="I24089" t="s">
        <v>184</v>
      </c>
      <c r="J24089" t="s">
        <v>30</v>
      </c>
      <c r="K24089" t="s">
        <v>3885</v>
      </c>
      <c r="M24089" t="s">
        <v>50621</v>
      </c>
      <c r="N24089" t="str">
        <f>"11/27/2024 10:11:00 AM"</f>
        <v>11/27/2024 10:11:00 AM</v>
      </c>
      <c r="O24089" t="s">
        <v>72955</v>
      </c>
      <c r="T24089" t="s">
        <v>72955</v>
      </c>
    </row>
    <row r="24090" spans="1:20" x14ac:dyDescent="0.25">
      <c r="A24090" t="str">
        <f>"3063679"</f>
        <v>3063679</v>
      </c>
      <c r="B24090" t="s">
        <v>72962</v>
      </c>
      <c r="C24090" t="str">
        <f>"29044620"</f>
        <v>29044620</v>
      </c>
      <c r="D24090" t="s">
        <v>72963</v>
      </c>
      <c r="F24090" t="s">
        <v>72964</v>
      </c>
      <c r="I24090" t="s">
        <v>29</v>
      </c>
      <c r="J24090" t="s">
        <v>30</v>
      </c>
      <c r="K24090" t="s">
        <v>314</v>
      </c>
      <c r="M24090" t="s">
        <v>51351</v>
      </c>
      <c r="N24090" t="str">
        <f>"11/27/2024 4:41:00 PM"</f>
        <v>11/27/2024 4:41:00 PM</v>
      </c>
      <c r="O24090" t="s">
        <v>72963</v>
      </c>
    </row>
    <row r="24091" spans="1:20" x14ac:dyDescent="0.25">
      <c r="A24091" t="str">
        <f>"3048387"</f>
        <v>3048387</v>
      </c>
      <c r="B24091" t="s">
        <v>72965</v>
      </c>
      <c r="C24091" t="str">
        <f>"8300275"</f>
        <v>8300275</v>
      </c>
      <c r="D24091" t="s">
        <v>72966</v>
      </c>
      <c r="E24091" t="s">
        <v>72967</v>
      </c>
      <c r="F24091" t="s">
        <v>44030</v>
      </c>
      <c r="I24091" t="s">
        <v>184</v>
      </c>
      <c r="J24091" t="s">
        <v>30</v>
      </c>
      <c r="K24091" t="s">
        <v>44031</v>
      </c>
      <c r="M24091" t="s">
        <v>50621</v>
      </c>
      <c r="N24091" t="str">
        <f>"12/2/2024 9:57:00 AM"</f>
        <v>12/2/2024 9:57:00 AM</v>
      </c>
      <c r="O24091" t="s">
        <v>72966</v>
      </c>
      <c r="T24091" t="s">
        <v>72967</v>
      </c>
    </row>
    <row r="24092" spans="1:20" x14ac:dyDescent="0.25">
      <c r="A24092" t="str">
        <f>"3058635"</f>
        <v>3058635</v>
      </c>
      <c r="B24092" t="s">
        <v>72968</v>
      </c>
      <c r="C24092" t="str">
        <f>"8316408"</f>
        <v>8316408</v>
      </c>
      <c r="D24092" t="s">
        <v>72969</v>
      </c>
      <c r="E24092" t="s">
        <v>72970</v>
      </c>
      <c r="F24092" t="s">
        <v>72971</v>
      </c>
      <c r="G24092" t="s">
        <v>72972</v>
      </c>
      <c r="I24092" t="s">
        <v>2071</v>
      </c>
      <c r="J24092" t="s">
        <v>30</v>
      </c>
      <c r="K24092" t="s">
        <v>72973</v>
      </c>
      <c r="M24092" t="s">
        <v>50793</v>
      </c>
      <c r="N24092" t="str">
        <f>"12/3/2024 12:21:00 PM"</f>
        <v>12/3/2024 12:21:00 PM</v>
      </c>
      <c r="O24092" t="s">
        <v>72969</v>
      </c>
      <c r="T24092" t="s">
        <v>72970</v>
      </c>
    </row>
    <row r="24093" spans="1:20" x14ac:dyDescent="0.25">
      <c r="A24093" t="str">
        <f>"3043151"</f>
        <v>3043151</v>
      </c>
      <c r="B24093" t="s">
        <v>72974</v>
      </c>
      <c r="C24093" t="str">
        <f>"8323535"</f>
        <v>8323535</v>
      </c>
      <c r="D24093" t="s">
        <v>72975</v>
      </c>
      <c r="E24093" t="s">
        <v>72976</v>
      </c>
      <c r="F24093" t="s">
        <v>72977</v>
      </c>
      <c r="I24093" t="s">
        <v>29</v>
      </c>
      <c r="J24093" t="s">
        <v>30</v>
      </c>
      <c r="K24093" t="s">
        <v>72978</v>
      </c>
      <c r="M24093" t="s">
        <v>50500</v>
      </c>
      <c r="N24093" t="str">
        <f>"12/6/2024 3:58:00 PM"</f>
        <v>12/6/2024 3:58:00 PM</v>
      </c>
      <c r="O24093" t="s">
        <v>72975</v>
      </c>
      <c r="T24093" t="s">
        <v>72976</v>
      </c>
    </row>
    <row r="24094" spans="1:20" x14ac:dyDescent="0.25">
      <c r="A24094" t="str">
        <f>"3043421"</f>
        <v>3043421</v>
      </c>
      <c r="B24094" t="s">
        <v>72979</v>
      </c>
      <c r="C24094" t="str">
        <f>"8323535"</f>
        <v>8323535</v>
      </c>
      <c r="D24094" t="s">
        <v>72975</v>
      </c>
      <c r="E24094" t="s">
        <v>72976</v>
      </c>
      <c r="F24094" t="s">
        <v>72977</v>
      </c>
      <c r="I24094" t="s">
        <v>29</v>
      </c>
      <c r="J24094" t="s">
        <v>30</v>
      </c>
      <c r="K24094" t="s">
        <v>72978</v>
      </c>
      <c r="M24094" t="s">
        <v>50500</v>
      </c>
      <c r="N24094" t="str">
        <f>"12/6/2024 3:58:00 PM"</f>
        <v>12/6/2024 3:58:00 PM</v>
      </c>
      <c r="O24094" t="s">
        <v>72975</v>
      </c>
      <c r="T24094" t="s">
        <v>72976</v>
      </c>
    </row>
    <row r="24095" spans="1:20" x14ac:dyDescent="0.25">
      <c r="A24095" t="str">
        <f>"3058192"</f>
        <v>3058192</v>
      </c>
      <c r="B24095" t="s">
        <v>72980</v>
      </c>
      <c r="C24095" t="str">
        <f>"8323477"</f>
        <v>8323477</v>
      </c>
      <c r="D24095" t="s">
        <v>72981</v>
      </c>
      <c r="F24095" t="s">
        <v>72982</v>
      </c>
      <c r="I24095" t="s">
        <v>29</v>
      </c>
      <c r="J24095" t="s">
        <v>30</v>
      </c>
      <c r="K24095" t="s">
        <v>72983</v>
      </c>
      <c r="M24095" t="s">
        <v>50500</v>
      </c>
      <c r="N24095" t="str">
        <f>"12/3/2024 1:57:00 PM"</f>
        <v>12/3/2024 1:57:00 PM</v>
      </c>
      <c r="O24095" t="s">
        <v>72981</v>
      </c>
    </row>
    <row r="24096" spans="1:20" x14ac:dyDescent="0.25">
      <c r="A24096" t="str">
        <f>"3043818"</f>
        <v>3043818</v>
      </c>
      <c r="B24096" t="s">
        <v>72984</v>
      </c>
      <c r="C24096" t="str">
        <f>"55196000"</f>
        <v>55196000</v>
      </c>
      <c r="D24096" t="s">
        <v>72884</v>
      </c>
      <c r="E24096" t="s">
        <v>72885</v>
      </c>
      <c r="F24096" t="s">
        <v>72886</v>
      </c>
      <c r="I24096" t="s">
        <v>29</v>
      </c>
      <c r="J24096" t="s">
        <v>30</v>
      </c>
      <c r="K24096" t="s">
        <v>64524</v>
      </c>
      <c r="M24096" t="s">
        <v>32801</v>
      </c>
      <c r="N24096" t="str">
        <f>"12/3/2024 3:36:00 PM"</f>
        <v>12/3/2024 3:36:00 PM</v>
      </c>
      <c r="O24096" t="s">
        <v>72884</v>
      </c>
      <c r="T24096" t="s">
        <v>72885</v>
      </c>
    </row>
    <row r="24097" spans="1:20" x14ac:dyDescent="0.25">
      <c r="A24097" t="str">
        <f>"3043248"</f>
        <v>3043248</v>
      </c>
      <c r="B24097" t="s">
        <v>72985</v>
      </c>
      <c r="C24097" t="str">
        <f>"55196000"</f>
        <v>55196000</v>
      </c>
      <c r="D24097" t="s">
        <v>72884</v>
      </c>
      <c r="E24097" t="s">
        <v>72885</v>
      </c>
      <c r="F24097" t="s">
        <v>72886</v>
      </c>
      <c r="I24097" t="s">
        <v>29</v>
      </c>
      <c r="J24097" t="s">
        <v>30</v>
      </c>
      <c r="K24097" t="s">
        <v>64524</v>
      </c>
      <c r="M24097" t="s">
        <v>32801</v>
      </c>
      <c r="N24097" t="str">
        <f>"12/3/2024 3:36:00 PM"</f>
        <v>12/3/2024 3:36:00 PM</v>
      </c>
      <c r="O24097" t="s">
        <v>72884</v>
      </c>
      <c r="T24097" t="s">
        <v>72885</v>
      </c>
    </row>
    <row r="24098" spans="1:20" x14ac:dyDescent="0.25">
      <c r="A24098" t="str">
        <f>"3058552"</f>
        <v>3058552</v>
      </c>
      <c r="B24098" t="s">
        <v>72986</v>
      </c>
      <c r="C24098" t="str">
        <f>"8311443"</f>
        <v>8311443</v>
      </c>
      <c r="D24098" t="s">
        <v>72987</v>
      </c>
      <c r="E24098" t="s">
        <v>72988</v>
      </c>
      <c r="F24098" t="s">
        <v>72989</v>
      </c>
      <c r="I24098" t="s">
        <v>44979</v>
      </c>
      <c r="J24098" t="s">
        <v>30197</v>
      </c>
      <c r="K24098" t="s">
        <v>72990</v>
      </c>
      <c r="M24098" t="s">
        <v>25733</v>
      </c>
      <c r="N24098" t="str">
        <f>"12/4/2024 4:17:00 PM"</f>
        <v>12/4/2024 4:17:00 PM</v>
      </c>
      <c r="O24098" t="s">
        <v>72987</v>
      </c>
      <c r="T24098" t="s">
        <v>72988</v>
      </c>
    </row>
    <row r="24099" spans="1:20" x14ac:dyDescent="0.25">
      <c r="A24099" t="str">
        <f>"3052532"</f>
        <v>3052532</v>
      </c>
      <c r="B24099" t="s">
        <v>72991</v>
      </c>
      <c r="C24099" t="str">
        <f>"8323538"</f>
        <v>8323538</v>
      </c>
      <c r="D24099" t="s">
        <v>72992</v>
      </c>
      <c r="F24099" t="s">
        <v>72993</v>
      </c>
      <c r="I24099" t="s">
        <v>42660</v>
      </c>
      <c r="J24099" t="s">
        <v>2109</v>
      </c>
      <c r="K24099" t="s">
        <v>72994</v>
      </c>
      <c r="M24099" t="s">
        <v>50500</v>
      </c>
      <c r="N24099" t="str">
        <f>"12/9/2024 10:45:00 AM"</f>
        <v>12/9/2024 10:45:00 AM</v>
      </c>
      <c r="O24099" t="s">
        <v>72992</v>
      </c>
    </row>
    <row r="24100" spans="1:20" x14ac:dyDescent="0.25">
      <c r="A24100" t="str">
        <f>"3058616"</f>
        <v>3058616</v>
      </c>
      <c r="B24100" t="s">
        <v>72995</v>
      </c>
      <c r="C24100" t="str">
        <f>"14552000"</f>
        <v>14552000</v>
      </c>
      <c r="D24100" t="s">
        <v>72996</v>
      </c>
      <c r="E24100" t="s">
        <v>72997</v>
      </c>
      <c r="F24100" t="s">
        <v>68392</v>
      </c>
      <c r="G24100" t="s">
        <v>72998</v>
      </c>
      <c r="I24100" t="s">
        <v>3196</v>
      </c>
      <c r="J24100" t="s">
        <v>30</v>
      </c>
      <c r="K24100" t="s">
        <v>68394</v>
      </c>
      <c r="L24100" t="s">
        <v>2497</v>
      </c>
      <c r="M24100" t="s">
        <v>50621</v>
      </c>
      <c r="N24100" t="str">
        <f>"12/9/2024 10:46:00 AM"</f>
        <v>12/9/2024 10:46:00 AM</v>
      </c>
      <c r="O24100" t="s">
        <v>72996</v>
      </c>
      <c r="T24100" t="s">
        <v>72997</v>
      </c>
    </row>
    <row r="24101" spans="1:20" x14ac:dyDescent="0.25">
      <c r="A24101" t="str">
        <f>"3049665"</f>
        <v>3049665</v>
      </c>
      <c r="B24101" t="s">
        <v>72999</v>
      </c>
      <c r="C24101" t="str">
        <f>"8323540"</f>
        <v>8323540</v>
      </c>
      <c r="D24101" t="s">
        <v>73000</v>
      </c>
      <c r="E24101" t="s">
        <v>72992</v>
      </c>
      <c r="F24101" t="s">
        <v>73001</v>
      </c>
      <c r="I24101" t="s">
        <v>29</v>
      </c>
      <c r="J24101" t="s">
        <v>30</v>
      </c>
      <c r="K24101" t="s">
        <v>19074</v>
      </c>
      <c r="M24101" t="s">
        <v>50500</v>
      </c>
      <c r="N24101" t="str">
        <f>"12/9/2024 10:58:00 AM"</f>
        <v>12/9/2024 10:58:00 AM</v>
      </c>
      <c r="O24101" t="s">
        <v>73000</v>
      </c>
      <c r="T24101" t="s">
        <v>72992</v>
      </c>
    </row>
    <row r="24102" spans="1:20" x14ac:dyDescent="0.25">
      <c r="A24102" t="str">
        <f>"3077618"</f>
        <v>3077618</v>
      </c>
      <c r="B24102" t="s">
        <v>73002</v>
      </c>
      <c r="C24102" t="str">
        <f>"8323541"</f>
        <v>8323541</v>
      </c>
      <c r="D24102" t="s">
        <v>73003</v>
      </c>
      <c r="F24102" t="s">
        <v>73004</v>
      </c>
      <c r="I24102" t="s">
        <v>1107</v>
      </c>
      <c r="J24102" t="s">
        <v>30</v>
      </c>
      <c r="K24102" t="s">
        <v>73005</v>
      </c>
      <c r="M24102" t="s">
        <v>50500</v>
      </c>
      <c r="N24102" t="str">
        <f>"12/9/2024 11:20:00 AM"</f>
        <v>12/9/2024 11:20:00 AM</v>
      </c>
      <c r="O24102" t="s">
        <v>73003</v>
      </c>
    </row>
    <row r="24103" spans="1:20" x14ac:dyDescent="0.25">
      <c r="A24103" t="str">
        <f>"3063071"</f>
        <v>3063071</v>
      </c>
      <c r="B24103" t="s">
        <v>73006</v>
      </c>
      <c r="C24103" t="str">
        <f>"8323542"</f>
        <v>8323542</v>
      </c>
      <c r="D24103" t="s">
        <v>73007</v>
      </c>
      <c r="E24103" t="s">
        <v>73008</v>
      </c>
      <c r="F24103" t="s">
        <v>73009</v>
      </c>
      <c r="I24103" t="s">
        <v>184</v>
      </c>
      <c r="J24103" t="s">
        <v>30</v>
      </c>
      <c r="K24103" t="s">
        <v>47887</v>
      </c>
      <c r="M24103" t="s">
        <v>50500</v>
      </c>
      <c r="N24103" t="str">
        <f>"12/9/2024 11:25:00 AM"</f>
        <v>12/9/2024 11:25:00 AM</v>
      </c>
      <c r="O24103" t="s">
        <v>73007</v>
      </c>
      <c r="T24103" t="s">
        <v>73008</v>
      </c>
    </row>
    <row r="24104" spans="1:20" x14ac:dyDescent="0.25">
      <c r="A24104" t="str">
        <f>"3065820"</f>
        <v>3065820</v>
      </c>
      <c r="B24104" t="s">
        <v>73010</v>
      </c>
      <c r="C24104" t="str">
        <f>"8315619"</f>
        <v>8315619</v>
      </c>
      <c r="D24104" t="s">
        <v>73011</v>
      </c>
      <c r="F24104" t="s">
        <v>73012</v>
      </c>
      <c r="I24104" t="s">
        <v>29</v>
      </c>
      <c r="J24104" t="s">
        <v>30</v>
      </c>
      <c r="K24104" t="s">
        <v>34007</v>
      </c>
      <c r="M24104" t="s">
        <v>18479</v>
      </c>
      <c r="N24104" t="str">
        <f>"12/10/2024 10:20:00 AM"</f>
        <v>12/10/2024 10:20:00 AM</v>
      </c>
      <c r="O24104" t="s">
        <v>73011</v>
      </c>
    </row>
    <row r="24105" spans="1:20" x14ac:dyDescent="0.25">
      <c r="A24105" t="str">
        <f>"3065523"</f>
        <v>3065523</v>
      </c>
      <c r="B24105" t="s">
        <v>73013</v>
      </c>
      <c r="C24105" t="str">
        <f>"8315619"</f>
        <v>8315619</v>
      </c>
      <c r="D24105" t="s">
        <v>73011</v>
      </c>
      <c r="F24105" t="s">
        <v>73012</v>
      </c>
      <c r="I24105" t="s">
        <v>29</v>
      </c>
      <c r="J24105" t="s">
        <v>30</v>
      </c>
      <c r="K24105" t="s">
        <v>34007</v>
      </c>
      <c r="M24105" t="s">
        <v>18479</v>
      </c>
      <c r="N24105" t="str">
        <f>"12/10/2024 10:20:00 AM"</f>
        <v>12/10/2024 10:20:00 AM</v>
      </c>
      <c r="O24105" t="s">
        <v>73011</v>
      </c>
    </row>
    <row r="24106" spans="1:20" x14ac:dyDescent="0.25">
      <c r="A24106" t="str">
        <f>"3057397"</f>
        <v>3057397</v>
      </c>
      <c r="B24106" t="s">
        <v>73014</v>
      </c>
      <c r="C24106" t="str">
        <f>"82528660"</f>
        <v>82528660</v>
      </c>
      <c r="D24106" t="s">
        <v>73015</v>
      </c>
      <c r="F24106" t="s">
        <v>73012</v>
      </c>
      <c r="I24106" t="s">
        <v>29</v>
      </c>
      <c r="J24106" t="s">
        <v>30</v>
      </c>
      <c r="K24106" t="s">
        <v>34007</v>
      </c>
      <c r="M24106" t="s">
        <v>18479</v>
      </c>
      <c r="N24106" t="str">
        <f>"12/10/2024 10:20:00 AM"</f>
        <v>12/10/2024 10:20:00 AM</v>
      </c>
      <c r="O24106" t="s">
        <v>73015</v>
      </c>
    </row>
    <row r="24107" spans="1:20" x14ac:dyDescent="0.25">
      <c r="A24107" t="str">
        <f>"3040055"</f>
        <v>3040055</v>
      </c>
      <c r="B24107" t="s">
        <v>73016</v>
      </c>
      <c r="C24107" t="str">
        <f>"8321064"</f>
        <v>8321064</v>
      </c>
      <c r="D24107" t="s">
        <v>73017</v>
      </c>
      <c r="F24107" t="s">
        <v>73018</v>
      </c>
      <c r="I24107" t="s">
        <v>7917</v>
      </c>
      <c r="J24107" t="s">
        <v>30</v>
      </c>
      <c r="K24107" t="s">
        <v>73019</v>
      </c>
      <c r="M24107" t="s">
        <v>50621</v>
      </c>
      <c r="N24107" t="str">
        <f>"12/10/2024 12:27:00 PM"</f>
        <v>12/10/2024 12:27:00 PM</v>
      </c>
      <c r="O24107" t="s">
        <v>73017</v>
      </c>
    </row>
    <row r="24108" spans="1:20" x14ac:dyDescent="0.25">
      <c r="A24108" t="str">
        <f>"3062629"</f>
        <v>3062629</v>
      </c>
      <c r="B24108" t="s">
        <v>73020</v>
      </c>
      <c r="C24108" t="str">
        <f>"8323545"</f>
        <v>8323545</v>
      </c>
      <c r="D24108" t="s">
        <v>73021</v>
      </c>
      <c r="E24108" t="s">
        <v>73022</v>
      </c>
      <c r="F24108" t="s">
        <v>73023</v>
      </c>
      <c r="I24108" t="s">
        <v>2071</v>
      </c>
      <c r="J24108" t="s">
        <v>30</v>
      </c>
      <c r="K24108" t="s">
        <v>73024</v>
      </c>
      <c r="M24108" t="s">
        <v>50500</v>
      </c>
      <c r="N24108" t="str">
        <f>"12/10/2024 1:52:00 PM"</f>
        <v>12/10/2024 1:52:00 PM</v>
      </c>
      <c r="O24108" t="s">
        <v>73021</v>
      </c>
      <c r="T24108" t="s">
        <v>73022</v>
      </c>
    </row>
    <row r="24109" spans="1:20" x14ac:dyDescent="0.25">
      <c r="A24109" t="str">
        <f>"3052991"</f>
        <v>3052991</v>
      </c>
      <c r="B24109" t="s">
        <v>73025</v>
      </c>
      <c r="C24109" t="str">
        <f>"8323546"</f>
        <v>8323546</v>
      </c>
      <c r="D24109" t="s">
        <v>73026</v>
      </c>
      <c r="F24109" t="s">
        <v>73027</v>
      </c>
      <c r="I24109" t="s">
        <v>29</v>
      </c>
      <c r="J24109" t="s">
        <v>30</v>
      </c>
      <c r="K24109" t="s">
        <v>20930</v>
      </c>
      <c r="M24109" t="s">
        <v>50500</v>
      </c>
      <c r="N24109" t="str">
        <f>"12/11/2024 8:13:00 AM"</f>
        <v>12/11/2024 8:13:00 AM</v>
      </c>
      <c r="O24109" t="s">
        <v>73026</v>
      </c>
    </row>
    <row r="24110" spans="1:20" x14ac:dyDescent="0.25">
      <c r="A24110" t="str">
        <f>"3045718"</f>
        <v>3045718</v>
      </c>
      <c r="B24110" t="s">
        <v>73028</v>
      </c>
      <c r="C24110" t="str">
        <f>"8323547"</f>
        <v>8323547</v>
      </c>
      <c r="D24110" t="s">
        <v>73029</v>
      </c>
      <c r="E24110" t="s">
        <v>73030</v>
      </c>
      <c r="F24110" t="s">
        <v>73031</v>
      </c>
      <c r="I24110" t="s">
        <v>29</v>
      </c>
      <c r="J24110" t="s">
        <v>30</v>
      </c>
      <c r="K24110" t="s">
        <v>73032</v>
      </c>
      <c r="M24110" t="s">
        <v>50500</v>
      </c>
      <c r="N24110" t="str">
        <f>"12/11/2024 8:17:00 AM"</f>
        <v>12/11/2024 8:17:00 AM</v>
      </c>
      <c r="O24110" t="s">
        <v>73029</v>
      </c>
      <c r="T24110" t="s">
        <v>73030</v>
      </c>
    </row>
    <row r="24111" spans="1:20" x14ac:dyDescent="0.25">
      <c r="A24111" t="str">
        <f>"3050792"</f>
        <v>3050792</v>
      </c>
      <c r="B24111" t="s">
        <v>73033</v>
      </c>
      <c r="C24111" t="str">
        <f>"8313816"</f>
        <v>8313816</v>
      </c>
      <c r="D24111" t="s">
        <v>73034</v>
      </c>
      <c r="E24111" t="s">
        <v>73035</v>
      </c>
      <c r="F24111" t="s">
        <v>72909</v>
      </c>
      <c r="I24111" t="s">
        <v>184</v>
      </c>
      <c r="J24111" t="s">
        <v>30</v>
      </c>
      <c r="K24111" t="s">
        <v>14297</v>
      </c>
      <c r="M24111" t="s">
        <v>50621</v>
      </c>
      <c r="N24111" t="str">
        <f>"12/5/2024 10:37:00 AM"</f>
        <v>12/5/2024 10:37:00 AM</v>
      </c>
      <c r="O24111" t="s">
        <v>73034</v>
      </c>
      <c r="T24111" t="s">
        <v>73035</v>
      </c>
    </row>
    <row r="24112" spans="1:20" x14ac:dyDescent="0.25">
      <c r="A24112" t="str">
        <f>"3050810"</f>
        <v>3050810</v>
      </c>
      <c r="B24112" t="s">
        <v>73036</v>
      </c>
      <c r="C24112" t="str">
        <f>"8314879"</f>
        <v>8314879</v>
      </c>
      <c r="D24112" t="s">
        <v>72908</v>
      </c>
      <c r="F24112" t="s">
        <v>72909</v>
      </c>
      <c r="I24112" t="s">
        <v>184</v>
      </c>
      <c r="J24112" t="s">
        <v>30</v>
      </c>
      <c r="K24112" t="s">
        <v>14297</v>
      </c>
      <c r="M24112" t="s">
        <v>50621</v>
      </c>
      <c r="N24112" t="str">
        <f>"12/5/2024 10:37:00 AM"</f>
        <v>12/5/2024 10:37:00 AM</v>
      </c>
      <c r="O24112" t="s">
        <v>72908</v>
      </c>
    </row>
    <row r="24113" spans="1:20" x14ac:dyDescent="0.25">
      <c r="A24113" t="str">
        <f>"3058598"</f>
        <v>3058598</v>
      </c>
      <c r="B24113" t="s">
        <v>73037</v>
      </c>
      <c r="C24113" t="str">
        <f>"8322663"</f>
        <v>8322663</v>
      </c>
      <c r="D24113" t="s">
        <v>73038</v>
      </c>
      <c r="E24113" t="s">
        <v>73039</v>
      </c>
      <c r="F24113" t="s">
        <v>73040</v>
      </c>
      <c r="I24113" t="s">
        <v>73041</v>
      </c>
      <c r="J24113" t="s">
        <v>11697</v>
      </c>
      <c r="K24113" t="s">
        <v>73042</v>
      </c>
      <c r="M24113" t="s">
        <v>25733</v>
      </c>
      <c r="N24113" t="str">
        <f>"11/21/2024 2:23:00 PM"</f>
        <v>11/21/2024 2:23:00 PM</v>
      </c>
      <c r="O24113" t="s">
        <v>73038</v>
      </c>
      <c r="T24113" t="s">
        <v>73039</v>
      </c>
    </row>
    <row r="24114" spans="1:20" x14ac:dyDescent="0.25">
      <c r="A24114" t="str">
        <f>"3054685"</f>
        <v>3054685</v>
      </c>
      <c r="B24114" t="s">
        <v>73043</v>
      </c>
      <c r="C24114" t="str">
        <f>"8323552"</f>
        <v>8323552</v>
      </c>
      <c r="D24114" t="s">
        <v>73044</v>
      </c>
      <c r="F24114" t="s">
        <v>73045</v>
      </c>
      <c r="I24114" t="s">
        <v>29</v>
      </c>
      <c r="J24114" t="s">
        <v>30</v>
      </c>
      <c r="K24114" t="s">
        <v>14790</v>
      </c>
      <c r="M24114" t="s">
        <v>50500</v>
      </c>
      <c r="N24114" t="str">
        <f>"12/11/2024 8:45:00 AM"</f>
        <v>12/11/2024 8:45:00 AM</v>
      </c>
      <c r="O24114" t="s">
        <v>73044</v>
      </c>
    </row>
    <row r="24115" spans="1:20" x14ac:dyDescent="0.25">
      <c r="A24115" t="str">
        <f>"3046532"</f>
        <v>3046532</v>
      </c>
      <c r="B24115" t="s">
        <v>73046</v>
      </c>
      <c r="C24115" t="str">
        <f>"8305563"</f>
        <v>8305563</v>
      </c>
      <c r="D24115" t="s">
        <v>73047</v>
      </c>
      <c r="E24115" t="s">
        <v>73048</v>
      </c>
      <c r="F24115" t="s">
        <v>73049</v>
      </c>
      <c r="I24115" t="s">
        <v>184</v>
      </c>
      <c r="J24115" t="s">
        <v>30</v>
      </c>
      <c r="K24115" t="s">
        <v>33114</v>
      </c>
      <c r="M24115" t="s">
        <v>50500</v>
      </c>
      <c r="N24115" t="str">
        <f>"12/11/2024 8:59:00 AM"</f>
        <v>12/11/2024 8:59:00 AM</v>
      </c>
      <c r="O24115" t="s">
        <v>73047</v>
      </c>
      <c r="T24115" t="s">
        <v>73048</v>
      </c>
    </row>
    <row r="24116" spans="1:20" x14ac:dyDescent="0.25">
      <c r="A24116" t="str">
        <f>"3040556"</f>
        <v>3040556</v>
      </c>
      <c r="B24116" t="s">
        <v>73050</v>
      </c>
      <c r="C24116" t="str">
        <f>"8305563"</f>
        <v>8305563</v>
      </c>
      <c r="D24116" t="s">
        <v>73047</v>
      </c>
      <c r="E24116" t="s">
        <v>73048</v>
      </c>
      <c r="F24116" t="s">
        <v>73049</v>
      </c>
      <c r="I24116" t="s">
        <v>184</v>
      </c>
      <c r="J24116" t="s">
        <v>30</v>
      </c>
      <c r="K24116" t="s">
        <v>33114</v>
      </c>
      <c r="M24116" t="s">
        <v>50500</v>
      </c>
      <c r="N24116" t="str">
        <f>"12/11/2024 8:59:00 AM"</f>
        <v>12/11/2024 8:59:00 AM</v>
      </c>
      <c r="O24116" t="s">
        <v>73047</v>
      </c>
      <c r="T24116" t="s">
        <v>73048</v>
      </c>
    </row>
    <row r="24117" spans="1:20" x14ac:dyDescent="0.25">
      <c r="A24117" t="str">
        <f>"3040207"</f>
        <v>3040207</v>
      </c>
      <c r="B24117" t="s">
        <v>73051</v>
      </c>
      <c r="C24117" t="str">
        <f>"8323554"</f>
        <v>8323554</v>
      </c>
      <c r="D24117" t="s">
        <v>73052</v>
      </c>
      <c r="E24117" t="s">
        <v>30184</v>
      </c>
      <c r="F24117" t="s">
        <v>73053</v>
      </c>
      <c r="I24117" t="s">
        <v>1149</v>
      </c>
      <c r="J24117" t="s">
        <v>30</v>
      </c>
      <c r="K24117" t="str">
        <f>"28634"</f>
        <v>28634</v>
      </c>
      <c r="M24117" t="s">
        <v>50500</v>
      </c>
      <c r="N24117" t="str">
        <f>"12/11/2024 9:17:00 AM"</f>
        <v>12/11/2024 9:17:00 AM</v>
      </c>
      <c r="O24117" t="s">
        <v>73052</v>
      </c>
      <c r="T24117" t="s">
        <v>30184</v>
      </c>
    </row>
    <row r="24118" spans="1:20" x14ac:dyDescent="0.25">
      <c r="A24118" t="str">
        <f>"3040210"</f>
        <v>3040210</v>
      </c>
      <c r="B24118" t="s">
        <v>73054</v>
      </c>
      <c r="C24118" t="str">
        <f>"8323554"</f>
        <v>8323554</v>
      </c>
      <c r="D24118" t="s">
        <v>73052</v>
      </c>
      <c r="E24118" t="s">
        <v>30184</v>
      </c>
      <c r="F24118" t="s">
        <v>73053</v>
      </c>
      <c r="I24118" t="s">
        <v>1149</v>
      </c>
      <c r="J24118" t="s">
        <v>30</v>
      </c>
      <c r="K24118" t="str">
        <f>"28634"</f>
        <v>28634</v>
      </c>
      <c r="M24118" t="s">
        <v>50500</v>
      </c>
      <c r="N24118" t="str">
        <f>"12/11/2024 9:17:00 AM"</f>
        <v>12/11/2024 9:17:00 AM</v>
      </c>
      <c r="O24118" t="s">
        <v>73052</v>
      </c>
      <c r="T24118" t="s">
        <v>30184</v>
      </c>
    </row>
    <row r="24119" spans="1:20" x14ac:dyDescent="0.25">
      <c r="A24119" t="str">
        <f>"3062818"</f>
        <v>3062818</v>
      </c>
      <c r="B24119" t="s">
        <v>73055</v>
      </c>
      <c r="C24119" t="str">
        <f>"8323555"</f>
        <v>8323555</v>
      </c>
      <c r="D24119" t="s">
        <v>73056</v>
      </c>
      <c r="E24119" t="s">
        <v>73057</v>
      </c>
      <c r="F24119" t="s">
        <v>73058</v>
      </c>
      <c r="I24119" t="s">
        <v>17921</v>
      </c>
      <c r="J24119" t="s">
        <v>30</v>
      </c>
      <c r="K24119" t="str">
        <f>"27028"</f>
        <v>27028</v>
      </c>
      <c r="M24119" t="s">
        <v>50500</v>
      </c>
      <c r="N24119" t="str">
        <f>"12/11/2024 9:31:00 AM"</f>
        <v>12/11/2024 9:31:00 AM</v>
      </c>
      <c r="O24119" t="s">
        <v>73056</v>
      </c>
      <c r="T24119" t="s">
        <v>73057</v>
      </c>
    </row>
    <row r="24120" spans="1:20" x14ac:dyDescent="0.25">
      <c r="A24120" t="str">
        <f>"3053039"</f>
        <v>3053039</v>
      </c>
      <c r="B24120" t="s">
        <v>73059</v>
      </c>
      <c r="C24120" t="str">
        <f>"8323556"</f>
        <v>8323556</v>
      </c>
      <c r="D24120" t="s">
        <v>73060</v>
      </c>
      <c r="E24120" t="s">
        <v>73061</v>
      </c>
      <c r="F24120" t="s">
        <v>73062</v>
      </c>
      <c r="I24120" t="s">
        <v>2275</v>
      </c>
      <c r="J24120" t="s">
        <v>30</v>
      </c>
      <c r="K24120" t="s">
        <v>73063</v>
      </c>
      <c r="M24120" t="s">
        <v>50500</v>
      </c>
      <c r="N24120" t="str">
        <f>"12/11/2024 9:41:00 AM"</f>
        <v>12/11/2024 9:41:00 AM</v>
      </c>
      <c r="O24120" t="s">
        <v>73060</v>
      </c>
      <c r="T24120" t="s">
        <v>73061</v>
      </c>
    </row>
    <row r="24121" spans="1:20" x14ac:dyDescent="0.25">
      <c r="A24121" t="str">
        <f>"3056056"</f>
        <v>3056056</v>
      </c>
      <c r="B24121" t="s">
        <v>73064</v>
      </c>
      <c r="C24121" t="str">
        <f>"82530187"</f>
        <v>82530187</v>
      </c>
      <c r="D24121" t="s">
        <v>73065</v>
      </c>
      <c r="F24121" t="s">
        <v>73066</v>
      </c>
      <c r="G24121" t="s">
        <v>73067</v>
      </c>
      <c r="I24121" t="s">
        <v>29</v>
      </c>
      <c r="J24121" t="s">
        <v>30</v>
      </c>
      <c r="K24121" t="s">
        <v>73068</v>
      </c>
      <c r="M24121" t="s">
        <v>52111</v>
      </c>
      <c r="N24121" t="str">
        <f>"11/21/2024 3:31:00 PM"</f>
        <v>11/21/2024 3:31:00 PM</v>
      </c>
      <c r="O24121" t="s">
        <v>73065</v>
      </c>
    </row>
    <row r="24122" spans="1:20" x14ac:dyDescent="0.25">
      <c r="A24122" t="str">
        <f>"3066767"</f>
        <v>3066767</v>
      </c>
      <c r="B24122" t="s">
        <v>73069</v>
      </c>
      <c r="C24122" t="str">
        <f>"8318253"</f>
        <v>8318253</v>
      </c>
      <c r="D24122" t="s">
        <v>73070</v>
      </c>
      <c r="F24122" t="s">
        <v>72956</v>
      </c>
      <c r="I24122" t="s">
        <v>184</v>
      </c>
      <c r="J24122" t="s">
        <v>30</v>
      </c>
      <c r="K24122" t="s">
        <v>3885</v>
      </c>
      <c r="M24122" t="s">
        <v>50793</v>
      </c>
      <c r="N24122" t="str">
        <f>"11/22/2024 9:11:00 AM"</f>
        <v>11/22/2024 9:11:00 AM</v>
      </c>
      <c r="O24122" t="s">
        <v>73070</v>
      </c>
    </row>
    <row r="24123" spans="1:20" x14ac:dyDescent="0.25">
      <c r="A24123" t="str">
        <f>"3063031"</f>
        <v>3063031</v>
      </c>
      <c r="B24123" t="s">
        <v>73071</v>
      </c>
      <c r="C24123" t="str">
        <f>"8323558"</f>
        <v>8323558</v>
      </c>
      <c r="D24123" t="s">
        <v>73072</v>
      </c>
      <c r="F24123" t="s">
        <v>73073</v>
      </c>
      <c r="I24123" t="s">
        <v>184</v>
      </c>
      <c r="J24123" t="s">
        <v>30</v>
      </c>
      <c r="K24123" t="s">
        <v>7326</v>
      </c>
      <c r="M24123" t="s">
        <v>50500</v>
      </c>
      <c r="N24123" t="str">
        <f>"12/11/2024 9:52:00 AM"</f>
        <v>12/11/2024 9:52:00 AM</v>
      </c>
      <c r="O24123" t="s">
        <v>73072</v>
      </c>
    </row>
    <row r="24124" spans="1:20" x14ac:dyDescent="0.25">
      <c r="A24124" t="str">
        <f>"3077891"</f>
        <v>3077891</v>
      </c>
      <c r="B24124" t="s">
        <v>73074</v>
      </c>
      <c r="C24124" t="str">
        <f>"8323559"</f>
        <v>8323559</v>
      </c>
      <c r="D24124" t="s">
        <v>73075</v>
      </c>
      <c r="E24124" t="s">
        <v>73076</v>
      </c>
      <c r="F24124" t="s">
        <v>73077</v>
      </c>
      <c r="I24124" t="s">
        <v>29</v>
      </c>
      <c r="J24124" t="s">
        <v>30</v>
      </c>
      <c r="K24124" t="s">
        <v>8081</v>
      </c>
      <c r="M24124" t="s">
        <v>50500</v>
      </c>
      <c r="N24124" t="str">
        <f>"12/12/2024 8:10:00 AM"</f>
        <v>12/12/2024 8:10:00 AM</v>
      </c>
      <c r="O24124" t="s">
        <v>73075</v>
      </c>
      <c r="T24124" t="s">
        <v>73076</v>
      </c>
    </row>
    <row r="24125" spans="1:20" x14ac:dyDescent="0.25">
      <c r="A24125" t="str">
        <f>"3062662"</f>
        <v>3062662</v>
      </c>
      <c r="B24125" t="s">
        <v>73078</v>
      </c>
      <c r="C24125" t="str">
        <f>"8323561"</f>
        <v>8323561</v>
      </c>
      <c r="D24125" t="s">
        <v>73079</v>
      </c>
      <c r="E24125" t="s">
        <v>73080</v>
      </c>
      <c r="F24125" t="s">
        <v>73081</v>
      </c>
      <c r="I24125" t="s">
        <v>2071</v>
      </c>
      <c r="J24125" t="s">
        <v>30</v>
      </c>
      <c r="K24125" t="s">
        <v>23610</v>
      </c>
      <c r="M24125" t="s">
        <v>50500</v>
      </c>
      <c r="N24125" t="str">
        <f>"12/12/2024 8:27:00 AM"</f>
        <v>12/12/2024 8:27:00 AM</v>
      </c>
      <c r="O24125" t="s">
        <v>73079</v>
      </c>
      <c r="T24125" t="s">
        <v>73080</v>
      </c>
    </row>
    <row r="24126" spans="1:20" x14ac:dyDescent="0.25">
      <c r="A24126" t="str">
        <f>"3044898"</f>
        <v>3044898</v>
      </c>
      <c r="B24126" t="s">
        <v>73082</v>
      </c>
      <c r="C24126" t="str">
        <f>"8323562"</f>
        <v>8323562</v>
      </c>
      <c r="D24126" t="s">
        <v>73083</v>
      </c>
      <c r="F24126" t="s">
        <v>73084</v>
      </c>
      <c r="I24126" t="s">
        <v>184</v>
      </c>
      <c r="J24126" t="s">
        <v>30</v>
      </c>
      <c r="K24126" t="s">
        <v>5682</v>
      </c>
      <c r="M24126" t="s">
        <v>50500</v>
      </c>
      <c r="N24126" t="str">
        <f>"12/12/2024 8:32:00 AM"</f>
        <v>12/12/2024 8:32:00 AM</v>
      </c>
      <c r="O24126" t="s">
        <v>73083</v>
      </c>
    </row>
    <row r="24127" spans="1:20" x14ac:dyDescent="0.25">
      <c r="A24127" t="str">
        <f>"3062722"</f>
        <v>3062722</v>
      </c>
      <c r="B24127" t="s">
        <v>73085</v>
      </c>
      <c r="C24127" t="str">
        <f>"8323565"</f>
        <v>8323565</v>
      </c>
      <c r="D24127" t="s">
        <v>73086</v>
      </c>
      <c r="F24127" t="s">
        <v>73087</v>
      </c>
      <c r="I24127" t="s">
        <v>29</v>
      </c>
      <c r="J24127" t="s">
        <v>30</v>
      </c>
      <c r="K24127" t="s">
        <v>40174</v>
      </c>
      <c r="M24127" t="s">
        <v>50500</v>
      </c>
      <c r="N24127" t="str">
        <f>"12/12/2024 9:31:00 AM"</f>
        <v>12/12/2024 9:31:00 AM</v>
      </c>
      <c r="O24127" t="s">
        <v>73086</v>
      </c>
    </row>
    <row r="24128" spans="1:20" x14ac:dyDescent="0.25">
      <c r="A24128" t="str">
        <f>"3062388"</f>
        <v>3062388</v>
      </c>
      <c r="B24128" t="s">
        <v>73088</v>
      </c>
      <c r="C24128" t="str">
        <f>"8323566"</f>
        <v>8323566</v>
      </c>
      <c r="D24128" t="s">
        <v>73089</v>
      </c>
      <c r="E24128" t="s">
        <v>63052</v>
      </c>
      <c r="F24128" t="s">
        <v>73090</v>
      </c>
      <c r="I24128" t="s">
        <v>7917</v>
      </c>
      <c r="J24128" t="s">
        <v>30</v>
      </c>
      <c r="K24128" t="s">
        <v>73091</v>
      </c>
      <c r="M24128" t="s">
        <v>50500</v>
      </c>
      <c r="N24128" t="str">
        <f>"12/12/2024 9:39:00 AM"</f>
        <v>12/12/2024 9:39:00 AM</v>
      </c>
      <c r="O24128" t="s">
        <v>73089</v>
      </c>
      <c r="T24128" t="s">
        <v>63052</v>
      </c>
    </row>
    <row r="24129" spans="1:20" x14ac:dyDescent="0.25">
      <c r="A24129" t="str">
        <f>"3058559"</f>
        <v>3058559</v>
      </c>
      <c r="B24129" t="s">
        <v>73092</v>
      </c>
      <c r="C24129" t="str">
        <f>"8323567"</f>
        <v>8323567</v>
      </c>
      <c r="D24129" t="s">
        <v>73093</v>
      </c>
      <c r="F24129" t="s">
        <v>73094</v>
      </c>
      <c r="I24129" t="s">
        <v>29</v>
      </c>
      <c r="J24129" t="s">
        <v>30</v>
      </c>
      <c r="K24129" t="s">
        <v>73095</v>
      </c>
      <c r="M24129" t="s">
        <v>50500</v>
      </c>
      <c r="N24129" t="str">
        <f>"12/12/2024 9:51:00 AM"</f>
        <v>12/12/2024 9:51:00 AM</v>
      </c>
      <c r="O24129" t="s">
        <v>73093</v>
      </c>
    </row>
    <row r="24130" spans="1:20" x14ac:dyDescent="0.25">
      <c r="A24130" t="str">
        <f>"3037408"</f>
        <v>3037408</v>
      </c>
      <c r="B24130" t="s">
        <v>73096</v>
      </c>
      <c r="C24130" t="str">
        <f>"8323569"</f>
        <v>8323569</v>
      </c>
      <c r="D24130" t="s">
        <v>73097</v>
      </c>
      <c r="E24130" t="s">
        <v>73098</v>
      </c>
      <c r="F24130" t="s">
        <v>73099</v>
      </c>
      <c r="I24130" t="s">
        <v>184</v>
      </c>
      <c r="J24130" t="s">
        <v>30</v>
      </c>
      <c r="K24130" t="s">
        <v>1936</v>
      </c>
      <c r="M24130" t="s">
        <v>50500</v>
      </c>
      <c r="N24130" t="str">
        <f>"12/12/2024 1:55:00 PM"</f>
        <v>12/12/2024 1:55:00 PM</v>
      </c>
      <c r="O24130" t="s">
        <v>73097</v>
      </c>
      <c r="T24130" t="s">
        <v>73098</v>
      </c>
    </row>
    <row r="24131" spans="1:20" x14ac:dyDescent="0.25">
      <c r="A24131" t="str">
        <f>"3062861"</f>
        <v>3062861</v>
      </c>
      <c r="B24131" t="s">
        <v>73100</v>
      </c>
      <c r="C24131" t="str">
        <f t="shared" ref="C24131:C24153" si="372">"8323571"</f>
        <v>8323571</v>
      </c>
      <c r="D24131" t="s">
        <v>73101</v>
      </c>
      <c r="F24131" t="s">
        <v>73102</v>
      </c>
      <c r="I24131" t="s">
        <v>8536</v>
      </c>
      <c r="J24131" t="s">
        <v>30</v>
      </c>
      <c r="K24131" t="s">
        <v>73103</v>
      </c>
      <c r="M24131" t="s">
        <v>50500</v>
      </c>
      <c r="N24131" t="str">
        <f t="shared" ref="N24131:N24153" si="373">"12/13/2024 8:35:00 AM"</f>
        <v>12/13/2024 8:35:00 AM</v>
      </c>
      <c r="O24131" t="s">
        <v>73101</v>
      </c>
    </row>
    <row r="24132" spans="1:20" x14ac:dyDescent="0.25">
      <c r="A24132" t="str">
        <f>"3062865"</f>
        <v>3062865</v>
      </c>
      <c r="B24132" t="s">
        <v>73104</v>
      </c>
      <c r="C24132" t="str">
        <f t="shared" si="372"/>
        <v>8323571</v>
      </c>
      <c r="D24132" t="s">
        <v>73101</v>
      </c>
      <c r="F24132" t="s">
        <v>73102</v>
      </c>
      <c r="I24132" t="s">
        <v>8536</v>
      </c>
      <c r="J24132" t="s">
        <v>30</v>
      </c>
      <c r="K24132" t="s">
        <v>73103</v>
      </c>
      <c r="M24132" t="s">
        <v>50500</v>
      </c>
      <c r="N24132" t="str">
        <f t="shared" si="373"/>
        <v>12/13/2024 8:35:00 AM</v>
      </c>
      <c r="O24132" t="s">
        <v>73101</v>
      </c>
    </row>
    <row r="24133" spans="1:20" x14ac:dyDescent="0.25">
      <c r="A24133" t="str">
        <f>"3062866"</f>
        <v>3062866</v>
      </c>
      <c r="B24133" t="s">
        <v>73105</v>
      </c>
      <c r="C24133" t="str">
        <f t="shared" si="372"/>
        <v>8323571</v>
      </c>
      <c r="D24133" t="s">
        <v>73101</v>
      </c>
      <c r="F24133" t="s">
        <v>73102</v>
      </c>
      <c r="I24133" t="s">
        <v>8536</v>
      </c>
      <c r="J24133" t="s">
        <v>30</v>
      </c>
      <c r="K24133" t="s">
        <v>73103</v>
      </c>
      <c r="M24133" t="s">
        <v>50500</v>
      </c>
      <c r="N24133" t="str">
        <f t="shared" si="373"/>
        <v>12/13/2024 8:35:00 AM</v>
      </c>
      <c r="O24133" t="s">
        <v>73101</v>
      </c>
    </row>
    <row r="24134" spans="1:20" x14ac:dyDescent="0.25">
      <c r="A24134" t="str">
        <f>"3062867"</f>
        <v>3062867</v>
      </c>
      <c r="B24134" t="s">
        <v>73106</v>
      </c>
      <c r="C24134" t="str">
        <f t="shared" si="372"/>
        <v>8323571</v>
      </c>
      <c r="D24134" t="s">
        <v>73101</v>
      </c>
      <c r="F24134" t="s">
        <v>73102</v>
      </c>
      <c r="I24134" t="s">
        <v>8536</v>
      </c>
      <c r="J24134" t="s">
        <v>30</v>
      </c>
      <c r="K24134" t="s">
        <v>73103</v>
      </c>
      <c r="M24134" t="s">
        <v>50500</v>
      </c>
      <c r="N24134" t="str">
        <f t="shared" si="373"/>
        <v>12/13/2024 8:35:00 AM</v>
      </c>
      <c r="O24134" t="s">
        <v>73101</v>
      </c>
    </row>
    <row r="24135" spans="1:20" x14ac:dyDescent="0.25">
      <c r="A24135" t="str">
        <f>"3062868"</f>
        <v>3062868</v>
      </c>
      <c r="B24135" t="s">
        <v>73107</v>
      </c>
      <c r="C24135" t="str">
        <f t="shared" si="372"/>
        <v>8323571</v>
      </c>
      <c r="D24135" t="s">
        <v>73101</v>
      </c>
      <c r="F24135" t="s">
        <v>73102</v>
      </c>
      <c r="I24135" t="s">
        <v>8536</v>
      </c>
      <c r="J24135" t="s">
        <v>30</v>
      </c>
      <c r="K24135" t="s">
        <v>73103</v>
      </c>
      <c r="M24135" t="s">
        <v>50500</v>
      </c>
      <c r="N24135" t="str">
        <f t="shared" si="373"/>
        <v>12/13/2024 8:35:00 AM</v>
      </c>
      <c r="O24135" t="s">
        <v>73101</v>
      </c>
    </row>
    <row r="24136" spans="1:20" x14ac:dyDescent="0.25">
      <c r="A24136" t="str">
        <f>"3062869"</f>
        <v>3062869</v>
      </c>
      <c r="B24136" t="s">
        <v>73108</v>
      </c>
      <c r="C24136" t="str">
        <f t="shared" si="372"/>
        <v>8323571</v>
      </c>
      <c r="D24136" t="s">
        <v>73101</v>
      </c>
      <c r="F24136" t="s">
        <v>73102</v>
      </c>
      <c r="I24136" t="s">
        <v>8536</v>
      </c>
      <c r="J24136" t="s">
        <v>30</v>
      </c>
      <c r="K24136" t="s">
        <v>73103</v>
      </c>
      <c r="M24136" t="s">
        <v>50500</v>
      </c>
      <c r="N24136" t="str">
        <f t="shared" si="373"/>
        <v>12/13/2024 8:35:00 AM</v>
      </c>
      <c r="O24136" t="s">
        <v>73101</v>
      </c>
    </row>
    <row r="24137" spans="1:20" x14ac:dyDescent="0.25">
      <c r="A24137" t="str">
        <f>"3062876"</f>
        <v>3062876</v>
      </c>
      <c r="B24137" t="s">
        <v>73109</v>
      </c>
      <c r="C24137" t="str">
        <f t="shared" si="372"/>
        <v>8323571</v>
      </c>
      <c r="D24137" t="s">
        <v>73101</v>
      </c>
      <c r="F24137" t="s">
        <v>73102</v>
      </c>
      <c r="I24137" t="s">
        <v>8536</v>
      </c>
      <c r="J24137" t="s">
        <v>30</v>
      </c>
      <c r="K24137" t="s">
        <v>73103</v>
      </c>
      <c r="M24137" t="s">
        <v>50500</v>
      </c>
      <c r="N24137" t="str">
        <f t="shared" si="373"/>
        <v>12/13/2024 8:35:00 AM</v>
      </c>
      <c r="O24137" t="s">
        <v>73101</v>
      </c>
    </row>
    <row r="24138" spans="1:20" x14ac:dyDescent="0.25">
      <c r="A24138" t="str">
        <f>"3062877"</f>
        <v>3062877</v>
      </c>
      <c r="B24138" t="s">
        <v>73110</v>
      </c>
      <c r="C24138" t="str">
        <f t="shared" si="372"/>
        <v>8323571</v>
      </c>
      <c r="D24138" t="s">
        <v>73101</v>
      </c>
      <c r="F24138" t="s">
        <v>73102</v>
      </c>
      <c r="I24138" t="s">
        <v>8536</v>
      </c>
      <c r="J24138" t="s">
        <v>30</v>
      </c>
      <c r="K24138" t="s">
        <v>73103</v>
      </c>
      <c r="M24138" t="s">
        <v>50500</v>
      </c>
      <c r="N24138" t="str">
        <f t="shared" si="373"/>
        <v>12/13/2024 8:35:00 AM</v>
      </c>
      <c r="O24138" t="s">
        <v>73101</v>
      </c>
    </row>
    <row r="24139" spans="1:20" x14ac:dyDescent="0.25">
      <c r="A24139" t="str">
        <f>"3062878"</f>
        <v>3062878</v>
      </c>
      <c r="B24139" t="s">
        <v>73111</v>
      </c>
      <c r="C24139" t="str">
        <f t="shared" si="372"/>
        <v>8323571</v>
      </c>
      <c r="D24139" t="s">
        <v>73101</v>
      </c>
      <c r="F24139" t="s">
        <v>73102</v>
      </c>
      <c r="I24139" t="s">
        <v>8536</v>
      </c>
      <c r="J24139" t="s">
        <v>30</v>
      </c>
      <c r="K24139" t="s">
        <v>73103</v>
      </c>
      <c r="M24139" t="s">
        <v>50500</v>
      </c>
      <c r="N24139" t="str">
        <f t="shared" si="373"/>
        <v>12/13/2024 8:35:00 AM</v>
      </c>
      <c r="O24139" t="s">
        <v>73101</v>
      </c>
    </row>
    <row r="24140" spans="1:20" x14ac:dyDescent="0.25">
      <c r="A24140" t="str">
        <f>"3062879"</f>
        <v>3062879</v>
      </c>
      <c r="B24140" t="s">
        <v>73112</v>
      </c>
      <c r="C24140" t="str">
        <f t="shared" si="372"/>
        <v>8323571</v>
      </c>
      <c r="D24140" t="s">
        <v>73101</v>
      </c>
      <c r="F24140" t="s">
        <v>73102</v>
      </c>
      <c r="I24140" t="s">
        <v>8536</v>
      </c>
      <c r="J24140" t="s">
        <v>30</v>
      </c>
      <c r="K24140" t="s">
        <v>73103</v>
      </c>
      <c r="M24140" t="s">
        <v>50500</v>
      </c>
      <c r="N24140" t="str">
        <f t="shared" si="373"/>
        <v>12/13/2024 8:35:00 AM</v>
      </c>
      <c r="O24140" t="s">
        <v>73101</v>
      </c>
    </row>
    <row r="24141" spans="1:20" x14ac:dyDescent="0.25">
      <c r="A24141" t="str">
        <f>"3062880"</f>
        <v>3062880</v>
      </c>
      <c r="B24141" t="s">
        <v>73113</v>
      </c>
      <c r="C24141" t="str">
        <f t="shared" si="372"/>
        <v>8323571</v>
      </c>
      <c r="D24141" t="s">
        <v>73101</v>
      </c>
      <c r="F24141" t="s">
        <v>73102</v>
      </c>
      <c r="I24141" t="s">
        <v>8536</v>
      </c>
      <c r="J24141" t="s">
        <v>30</v>
      </c>
      <c r="K24141" t="s">
        <v>73103</v>
      </c>
      <c r="M24141" t="s">
        <v>50500</v>
      </c>
      <c r="N24141" t="str">
        <f t="shared" si="373"/>
        <v>12/13/2024 8:35:00 AM</v>
      </c>
      <c r="O24141" t="s">
        <v>73101</v>
      </c>
    </row>
    <row r="24142" spans="1:20" x14ac:dyDescent="0.25">
      <c r="A24142" t="str">
        <f>"3062881"</f>
        <v>3062881</v>
      </c>
      <c r="B24142" t="s">
        <v>73114</v>
      </c>
      <c r="C24142" t="str">
        <f t="shared" si="372"/>
        <v>8323571</v>
      </c>
      <c r="D24142" t="s">
        <v>73101</v>
      </c>
      <c r="F24142" t="s">
        <v>73102</v>
      </c>
      <c r="I24142" t="s">
        <v>8536</v>
      </c>
      <c r="J24142" t="s">
        <v>30</v>
      </c>
      <c r="K24142" t="s">
        <v>73103</v>
      </c>
      <c r="M24142" t="s">
        <v>50500</v>
      </c>
      <c r="N24142" t="str">
        <f t="shared" si="373"/>
        <v>12/13/2024 8:35:00 AM</v>
      </c>
      <c r="O24142" t="s">
        <v>73101</v>
      </c>
    </row>
    <row r="24143" spans="1:20" x14ac:dyDescent="0.25">
      <c r="A24143" t="str">
        <f>"3062882"</f>
        <v>3062882</v>
      </c>
      <c r="B24143" t="s">
        <v>73115</v>
      </c>
      <c r="C24143" t="str">
        <f t="shared" si="372"/>
        <v>8323571</v>
      </c>
      <c r="D24143" t="s">
        <v>73101</v>
      </c>
      <c r="F24143" t="s">
        <v>73102</v>
      </c>
      <c r="I24143" t="s">
        <v>8536</v>
      </c>
      <c r="J24143" t="s">
        <v>30</v>
      </c>
      <c r="K24143" t="s">
        <v>73103</v>
      </c>
      <c r="M24143" t="s">
        <v>50500</v>
      </c>
      <c r="N24143" t="str">
        <f t="shared" si="373"/>
        <v>12/13/2024 8:35:00 AM</v>
      </c>
      <c r="O24143" t="s">
        <v>73101</v>
      </c>
    </row>
    <row r="24144" spans="1:20" x14ac:dyDescent="0.25">
      <c r="A24144" t="str">
        <f>"3062885"</f>
        <v>3062885</v>
      </c>
      <c r="B24144" t="s">
        <v>73116</v>
      </c>
      <c r="C24144" t="str">
        <f t="shared" si="372"/>
        <v>8323571</v>
      </c>
      <c r="D24144" t="s">
        <v>73101</v>
      </c>
      <c r="F24144" t="s">
        <v>73102</v>
      </c>
      <c r="I24144" t="s">
        <v>8536</v>
      </c>
      <c r="J24144" t="s">
        <v>30</v>
      </c>
      <c r="K24144" t="s">
        <v>73103</v>
      </c>
      <c r="M24144" t="s">
        <v>50500</v>
      </c>
      <c r="N24144" t="str">
        <f t="shared" si="373"/>
        <v>12/13/2024 8:35:00 AM</v>
      </c>
      <c r="O24144" t="s">
        <v>73101</v>
      </c>
    </row>
    <row r="24145" spans="1:20" x14ac:dyDescent="0.25">
      <c r="A24145" t="str">
        <f>"3062887"</f>
        <v>3062887</v>
      </c>
      <c r="B24145" t="s">
        <v>73117</v>
      </c>
      <c r="C24145" t="str">
        <f t="shared" si="372"/>
        <v>8323571</v>
      </c>
      <c r="D24145" t="s">
        <v>73101</v>
      </c>
      <c r="F24145" t="s">
        <v>73102</v>
      </c>
      <c r="I24145" t="s">
        <v>8536</v>
      </c>
      <c r="J24145" t="s">
        <v>30</v>
      </c>
      <c r="K24145" t="s">
        <v>73103</v>
      </c>
      <c r="M24145" t="s">
        <v>50500</v>
      </c>
      <c r="N24145" t="str">
        <f t="shared" si="373"/>
        <v>12/13/2024 8:35:00 AM</v>
      </c>
      <c r="O24145" t="s">
        <v>73101</v>
      </c>
    </row>
    <row r="24146" spans="1:20" x14ac:dyDescent="0.25">
      <c r="A24146" t="str">
        <f>"3062886"</f>
        <v>3062886</v>
      </c>
      <c r="B24146" t="s">
        <v>73118</v>
      </c>
      <c r="C24146" t="str">
        <f t="shared" si="372"/>
        <v>8323571</v>
      </c>
      <c r="D24146" t="s">
        <v>73101</v>
      </c>
      <c r="F24146" t="s">
        <v>73102</v>
      </c>
      <c r="I24146" t="s">
        <v>8536</v>
      </c>
      <c r="J24146" t="s">
        <v>30</v>
      </c>
      <c r="K24146" t="s">
        <v>73103</v>
      </c>
      <c r="M24146" t="s">
        <v>50500</v>
      </c>
      <c r="N24146" t="str">
        <f t="shared" si="373"/>
        <v>12/13/2024 8:35:00 AM</v>
      </c>
      <c r="O24146" t="s">
        <v>73101</v>
      </c>
    </row>
    <row r="24147" spans="1:20" x14ac:dyDescent="0.25">
      <c r="A24147" t="str">
        <f>"3062898"</f>
        <v>3062898</v>
      </c>
      <c r="B24147" t="s">
        <v>73119</v>
      </c>
      <c r="C24147" t="str">
        <f t="shared" si="372"/>
        <v>8323571</v>
      </c>
      <c r="D24147" t="s">
        <v>73101</v>
      </c>
      <c r="F24147" t="s">
        <v>73102</v>
      </c>
      <c r="I24147" t="s">
        <v>8536</v>
      </c>
      <c r="J24147" t="s">
        <v>30</v>
      </c>
      <c r="K24147" t="s">
        <v>73103</v>
      </c>
      <c r="M24147" t="s">
        <v>50500</v>
      </c>
      <c r="N24147" t="str">
        <f t="shared" si="373"/>
        <v>12/13/2024 8:35:00 AM</v>
      </c>
      <c r="O24147" t="s">
        <v>73101</v>
      </c>
    </row>
    <row r="24148" spans="1:20" x14ac:dyDescent="0.25">
      <c r="A24148" t="str">
        <f>"3062900"</f>
        <v>3062900</v>
      </c>
      <c r="B24148" t="s">
        <v>73120</v>
      </c>
      <c r="C24148" t="str">
        <f t="shared" si="372"/>
        <v>8323571</v>
      </c>
      <c r="D24148" t="s">
        <v>73101</v>
      </c>
      <c r="F24148" t="s">
        <v>73102</v>
      </c>
      <c r="I24148" t="s">
        <v>8536</v>
      </c>
      <c r="J24148" t="s">
        <v>30</v>
      </c>
      <c r="K24148" t="s">
        <v>73103</v>
      </c>
      <c r="M24148" t="s">
        <v>50500</v>
      </c>
      <c r="N24148" t="str">
        <f t="shared" si="373"/>
        <v>12/13/2024 8:35:00 AM</v>
      </c>
      <c r="O24148" t="s">
        <v>73101</v>
      </c>
    </row>
    <row r="24149" spans="1:20" x14ac:dyDescent="0.25">
      <c r="A24149" t="str">
        <f>"3062901"</f>
        <v>3062901</v>
      </c>
      <c r="B24149" t="s">
        <v>73121</v>
      </c>
      <c r="C24149" t="str">
        <f t="shared" si="372"/>
        <v>8323571</v>
      </c>
      <c r="D24149" t="s">
        <v>73101</v>
      </c>
      <c r="F24149" t="s">
        <v>73102</v>
      </c>
      <c r="I24149" t="s">
        <v>8536</v>
      </c>
      <c r="J24149" t="s">
        <v>30</v>
      </c>
      <c r="K24149" t="s">
        <v>73103</v>
      </c>
      <c r="M24149" t="s">
        <v>50500</v>
      </c>
      <c r="N24149" t="str">
        <f t="shared" si="373"/>
        <v>12/13/2024 8:35:00 AM</v>
      </c>
      <c r="O24149" t="s">
        <v>73101</v>
      </c>
    </row>
    <row r="24150" spans="1:20" x14ac:dyDescent="0.25">
      <c r="A24150" t="str">
        <f>"3062902"</f>
        <v>3062902</v>
      </c>
      <c r="B24150" t="s">
        <v>73122</v>
      </c>
      <c r="C24150" t="str">
        <f t="shared" si="372"/>
        <v>8323571</v>
      </c>
      <c r="D24150" t="s">
        <v>73101</v>
      </c>
      <c r="F24150" t="s">
        <v>73102</v>
      </c>
      <c r="I24150" t="s">
        <v>8536</v>
      </c>
      <c r="J24150" t="s">
        <v>30</v>
      </c>
      <c r="K24150" t="s">
        <v>73103</v>
      </c>
      <c r="M24150" t="s">
        <v>50500</v>
      </c>
      <c r="N24150" t="str">
        <f t="shared" si="373"/>
        <v>12/13/2024 8:35:00 AM</v>
      </c>
      <c r="O24150" t="s">
        <v>73101</v>
      </c>
    </row>
    <row r="24151" spans="1:20" x14ac:dyDescent="0.25">
      <c r="A24151" t="str">
        <f>"3062903"</f>
        <v>3062903</v>
      </c>
      <c r="B24151" t="s">
        <v>73123</v>
      </c>
      <c r="C24151" t="str">
        <f t="shared" si="372"/>
        <v>8323571</v>
      </c>
      <c r="D24151" t="s">
        <v>73101</v>
      </c>
      <c r="F24151" t="s">
        <v>73102</v>
      </c>
      <c r="I24151" t="s">
        <v>8536</v>
      </c>
      <c r="J24151" t="s">
        <v>30</v>
      </c>
      <c r="K24151" t="s">
        <v>73103</v>
      </c>
      <c r="M24151" t="s">
        <v>50500</v>
      </c>
      <c r="N24151" t="str">
        <f t="shared" si="373"/>
        <v>12/13/2024 8:35:00 AM</v>
      </c>
      <c r="O24151" t="s">
        <v>73101</v>
      </c>
    </row>
    <row r="24152" spans="1:20" x14ac:dyDescent="0.25">
      <c r="A24152" t="str">
        <f>"3062904"</f>
        <v>3062904</v>
      </c>
      <c r="B24152" t="s">
        <v>73124</v>
      </c>
      <c r="C24152" t="str">
        <f t="shared" si="372"/>
        <v>8323571</v>
      </c>
      <c r="D24152" t="s">
        <v>73101</v>
      </c>
      <c r="F24152" t="s">
        <v>73102</v>
      </c>
      <c r="I24152" t="s">
        <v>8536</v>
      </c>
      <c r="J24152" t="s">
        <v>30</v>
      </c>
      <c r="K24152" t="s">
        <v>73103</v>
      </c>
      <c r="M24152" t="s">
        <v>50500</v>
      </c>
      <c r="N24152" t="str">
        <f t="shared" si="373"/>
        <v>12/13/2024 8:35:00 AM</v>
      </c>
      <c r="O24152" t="s">
        <v>73101</v>
      </c>
    </row>
    <row r="24153" spans="1:20" x14ac:dyDescent="0.25">
      <c r="A24153" t="str">
        <f>"3062905"</f>
        <v>3062905</v>
      </c>
      <c r="B24153" t="s">
        <v>73125</v>
      </c>
      <c r="C24153" t="str">
        <f t="shared" si="372"/>
        <v>8323571</v>
      </c>
      <c r="D24153" t="s">
        <v>73101</v>
      </c>
      <c r="F24153" t="s">
        <v>73102</v>
      </c>
      <c r="I24153" t="s">
        <v>8536</v>
      </c>
      <c r="J24153" t="s">
        <v>30</v>
      </c>
      <c r="K24153" t="s">
        <v>73103</v>
      </c>
      <c r="M24153" t="s">
        <v>50500</v>
      </c>
      <c r="N24153" t="str">
        <f t="shared" si="373"/>
        <v>12/13/2024 8:35:00 AM</v>
      </c>
      <c r="O24153" t="s">
        <v>73101</v>
      </c>
    </row>
    <row r="24154" spans="1:20" x14ac:dyDescent="0.25">
      <c r="A24154" t="str">
        <f>"3050673"</f>
        <v>3050673</v>
      </c>
      <c r="B24154" t="s">
        <v>73126</v>
      </c>
      <c r="C24154" t="str">
        <f>"8314879"</f>
        <v>8314879</v>
      </c>
      <c r="D24154" t="s">
        <v>72908</v>
      </c>
      <c r="F24154" t="s">
        <v>72909</v>
      </c>
      <c r="I24154" t="s">
        <v>184</v>
      </c>
      <c r="J24154" t="s">
        <v>30</v>
      </c>
      <c r="K24154" t="s">
        <v>14297</v>
      </c>
      <c r="M24154" t="s">
        <v>50621</v>
      </c>
      <c r="N24154" t="str">
        <f>"12/5/2024 10:37:00 AM"</f>
        <v>12/5/2024 10:37:00 AM</v>
      </c>
      <c r="O24154" t="s">
        <v>72908</v>
      </c>
    </row>
    <row r="24155" spans="1:20" x14ac:dyDescent="0.25">
      <c r="A24155" t="str">
        <f>"3050606"</f>
        <v>3050606</v>
      </c>
      <c r="B24155" t="s">
        <v>73127</v>
      </c>
      <c r="C24155" t="str">
        <f>"8314879"</f>
        <v>8314879</v>
      </c>
      <c r="D24155" t="s">
        <v>72908</v>
      </c>
      <c r="F24155" t="s">
        <v>72909</v>
      </c>
      <c r="I24155" t="s">
        <v>184</v>
      </c>
      <c r="J24155" t="s">
        <v>30</v>
      </c>
      <c r="K24155" t="s">
        <v>14297</v>
      </c>
      <c r="M24155" t="s">
        <v>50621</v>
      </c>
      <c r="N24155" t="str">
        <f>"12/5/2024 10:37:00 AM"</f>
        <v>12/5/2024 10:37:00 AM</v>
      </c>
      <c r="O24155" t="s">
        <v>72908</v>
      </c>
    </row>
    <row r="24156" spans="1:20" x14ac:dyDescent="0.25">
      <c r="A24156" t="str">
        <f>"3077297"</f>
        <v>3077297</v>
      </c>
      <c r="B24156" t="s">
        <v>73128</v>
      </c>
      <c r="C24156" t="str">
        <f>"8323519"</f>
        <v>8323519</v>
      </c>
      <c r="D24156" t="s">
        <v>73129</v>
      </c>
      <c r="F24156" t="s">
        <v>62570</v>
      </c>
      <c r="G24156" t="s">
        <v>17543</v>
      </c>
      <c r="I24156" t="s">
        <v>3196</v>
      </c>
      <c r="J24156" t="s">
        <v>30</v>
      </c>
      <c r="K24156" t="s">
        <v>62571</v>
      </c>
      <c r="M24156" t="s">
        <v>50500</v>
      </c>
      <c r="N24156" t="str">
        <f>"12/6/2024 11:07:00 AM"</f>
        <v>12/6/2024 11:07:00 AM</v>
      </c>
      <c r="O24156" t="s">
        <v>73129</v>
      </c>
    </row>
    <row r="24157" spans="1:20" x14ac:dyDescent="0.25">
      <c r="A24157" t="str">
        <f>"3064541"</f>
        <v>3064541</v>
      </c>
      <c r="B24157" t="s">
        <v>73130</v>
      </c>
      <c r="C24157" t="str">
        <f>"6572000"</f>
        <v>6572000</v>
      </c>
      <c r="D24157" t="s">
        <v>73131</v>
      </c>
      <c r="E24157" t="s">
        <v>73132</v>
      </c>
      <c r="F24157" t="s">
        <v>73133</v>
      </c>
      <c r="I24157" t="s">
        <v>184</v>
      </c>
      <c r="J24157" t="s">
        <v>30</v>
      </c>
      <c r="K24157" t="s">
        <v>45040</v>
      </c>
      <c r="M24157" t="s">
        <v>25733</v>
      </c>
      <c r="N24157" t="str">
        <f>"12/13/2024 9:31:00 AM"</f>
        <v>12/13/2024 9:31:00 AM</v>
      </c>
      <c r="O24157" t="s">
        <v>73131</v>
      </c>
      <c r="T24157" t="s">
        <v>73132</v>
      </c>
    </row>
    <row r="24158" spans="1:20" x14ac:dyDescent="0.25">
      <c r="A24158" t="str">
        <f>"3055837"</f>
        <v>3055837</v>
      </c>
      <c r="B24158" t="s">
        <v>73134</v>
      </c>
      <c r="C24158" t="str">
        <f>"8318076"</f>
        <v>8318076</v>
      </c>
      <c r="D24158" t="s">
        <v>73135</v>
      </c>
      <c r="F24158" t="s">
        <v>22204</v>
      </c>
      <c r="I24158" t="s">
        <v>9580</v>
      </c>
      <c r="J24158" t="s">
        <v>30</v>
      </c>
      <c r="K24158" t="s">
        <v>73136</v>
      </c>
      <c r="M24158" t="s">
        <v>25733</v>
      </c>
      <c r="N24158" t="str">
        <f>"12/13/2024 9:52:00 AM"</f>
        <v>12/13/2024 9:52:00 AM</v>
      </c>
      <c r="O24158" t="s">
        <v>73135</v>
      </c>
    </row>
    <row r="24159" spans="1:20" x14ac:dyDescent="0.25">
      <c r="A24159" t="str">
        <f>"3056197"</f>
        <v>3056197</v>
      </c>
      <c r="B24159" t="s">
        <v>73137</v>
      </c>
      <c r="C24159" t="str">
        <f>"8323572"</f>
        <v>8323572</v>
      </c>
      <c r="D24159" t="s">
        <v>73138</v>
      </c>
      <c r="F24159" t="s">
        <v>73139</v>
      </c>
      <c r="I24159" t="s">
        <v>25280</v>
      </c>
      <c r="J24159" t="s">
        <v>30</v>
      </c>
      <c r="K24159" t="str">
        <f>"27014"</f>
        <v>27014</v>
      </c>
      <c r="M24159" t="s">
        <v>50500</v>
      </c>
      <c r="N24159" t="str">
        <f>"12/13/2024 10:25:00 AM"</f>
        <v>12/13/2024 10:25:00 AM</v>
      </c>
      <c r="O24159" t="s">
        <v>73138</v>
      </c>
    </row>
    <row r="24160" spans="1:20" x14ac:dyDescent="0.25">
      <c r="A24160" t="str">
        <f>"3062897"</f>
        <v>3062897</v>
      </c>
      <c r="B24160" t="s">
        <v>73140</v>
      </c>
      <c r="C24160" t="str">
        <f>"8323573"</f>
        <v>8323573</v>
      </c>
      <c r="D24160" t="s">
        <v>73141</v>
      </c>
      <c r="E24160" t="s">
        <v>73142</v>
      </c>
      <c r="F24160" t="s">
        <v>73143</v>
      </c>
      <c r="I24160" t="s">
        <v>29</v>
      </c>
      <c r="J24160" t="s">
        <v>30</v>
      </c>
      <c r="K24160" t="s">
        <v>72906</v>
      </c>
      <c r="M24160" t="s">
        <v>50500</v>
      </c>
      <c r="N24160" t="str">
        <f>"12/13/2024 10:30:00 AM"</f>
        <v>12/13/2024 10:30:00 AM</v>
      </c>
      <c r="O24160" t="s">
        <v>73141</v>
      </c>
      <c r="T24160" t="s">
        <v>73142</v>
      </c>
    </row>
    <row r="24161" spans="1:20" x14ac:dyDescent="0.25">
      <c r="A24161" t="str">
        <f>"3063189"</f>
        <v>3063189</v>
      </c>
      <c r="B24161" t="s">
        <v>73144</v>
      </c>
      <c r="C24161" t="str">
        <f>"8323575"</f>
        <v>8323575</v>
      </c>
      <c r="D24161" t="s">
        <v>73145</v>
      </c>
      <c r="F24161" t="s">
        <v>73146</v>
      </c>
      <c r="I24161" t="s">
        <v>73147</v>
      </c>
      <c r="J24161" t="s">
        <v>2738</v>
      </c>
      <c r="K24161" t="s">
        <v>73148</v>
      </c>
      <c r="M24161" t="s">
        <v>50500</v>
      </c>
      <c r="N24161" t="str">
        <f>"12/13/2024 10:46:00 AM"</f>
        <v>12/13/2024 10:46:00 AM</v>
      </c>
      <c r="O24161" t="s">
        <v>73145</v>
      </c>
    </row>
    <row r="24162" spans="1:20" x14ac:dyDescent="0.25">
      <c r="A24162" t="str">
        <f>"3043717"</f>
        <v>3043717</v>
      </c>
      <c r="B24162" t="s">
        <v>73149</v>
      </c>
      <c r="C24162" t="str">
        <f>"8323576"</f>
        <v>8323576</v>
      </c>
      <c r="D24162" t="s">
        <v>73150</v>
      </c>
      <c r="F24162" t="s">
        <v>73151</v>
      </c>
      <c r="I24162" t="s">
        <v>184</v>
      </c>
      <c r="J24162" t="s">
        <v>30</v>
      </c>
      <c r="K24162" t="s">
        <v>27109</v>
      </c>
      <c r="M24162" t="s">
        <v>50500</v>
      </c>
      <c r="N24162" t="str">
        <f>"12/13/2024 10:57:00 AM"</f>
        <v>12/13/2024 10:57:00 AM</v>
      </c>
      <c r="O24162" t="s">
        <v>73150</v>
      </c>
    </row>
    <row r="24163" spans="1:20" x14ac:dyDescent="0.25">
      <c r="A24163" t="str">
        <f>"3057134"</f>
        <v>3057134</v>
      </c>
      <c r="B24163" t="s">
        <v>73152</v>
      </c>
      <c r="C24163" t="str">
        <f>"8323577"</f>
        <v>8323577</v>
      </c>
      <c r="D24163" t="s">
        <v>73153</v>
      </c>
      <c r="F24163" t="s">
        <v>73154</v>
      </c>
      <c r="I24163" t="s">
        <v>73155</v>
      </c>
      <c r="J24163" t="s">
        <v>4132</v>
      </c>
      <c r="K24163" t="s">
        <v>73156</v>
      </c>
      <c r="M24163" t="s">
        <v>50500</v>
      </c>
      <c r="N24163" t="str">
        <f>"12/13/2024 12:22:00 PM"</f>
        <v>12/13/2024 12:22:00 PM</v>
      </c>
      <c r="O24163" t="s">
        <v>73153</v>
      </c>
    </row>
    <row r="24164" spans="1:20" x14ac:dyDescent="0.25">
      <c r="A24164" t="str">
        <f>"3045934"</f>
        <v>3045934</v>
      </c>
      <c r="B24164" t="s">
        <v>73157</v>
      </c>
      <c r="C24164" t="str">
        <f>"39132000"</f>
        <v>39132000</v>
      </c>
      <c r="D24164" t="s">
        <v>73158</v>
      </c>
      <c r="E24164" t="s">
        <v>73159</v>
      </c>
      <c r="F24164" t="s">
        <v>73160</v>
      </c>
      <c r="I24164" t="s">
        <v>964</v>
      </c>
      <c r="J24164" t="s">
        <v>30</v>
      </c>
      <c r="K24164" t="s">
        <v>73161</v>
      </c>
      <c r="M24164" t="s">
        <v>51351</v>
      </c>
      <c r="N24164" t="str">
        <f>"12/13/2024 3:18:00 PM"</f>
        <v>12/13/2024 3:18:00 PM</v>
      </c>
      <c r="O24164" t="s">
        <v>73158</v>
      </c>
      <c r="T24164" t="s">
        <v>73159</v>
      </c>
    </row>
    <row r="24165" spans="1:20" x14ac:dyDescent="0.25">
      <c r="A24165" t="str">
        <f>"3077300"</f>
        <v>3077300</v>
      </c>
      <c r="B24165" t="s">
        <v>73162</v>
      </c>
      <c r="C24165" t="str">
        <f>"8323519"</f>
        <v>8323519</v>
      </c>
      <c r="D24165" t="s">
        <v>73129</v>
      </c>
      <c r="F24165" t="s">
        <v>62570</v>
      </c>
      <c r="G24165" t="s">
        <v>17543</v>
      </c>
      <c r="I24165" t="s">
        <v>3196</v>
      </c>
      <c r="J24165" t="s">
        <v>30</v>
      </c>
      <c r="K24165" t="s">
        <v>62571</v>
      </c>
      <c r="M24165" t="s">
        <v>50500</v>
      </c>
      <c r="N24165" t="str">
        <f>"12/6/2024 11:07:00 AM"</f>
        <v>12/6/2024 11:07:00 AM</v>
      </c>
      <c r="O24165" t="s">
        <v>73129</v>
      </c>
    </row>
    <row r="24166" spans="1:20" x14ac:dyDescent="0.25">
      <c r="A24166" t="str">
        <f>"3070881"</f>
        <v>3070881</v>
      </c>
      <c r="B24166" t="s">
        <v>73163</v>
      </c>
      <c r="C24166" t="str">
        <f>"8323519"</f>
        <v>8323519</v>
      </c>
      <c r="D24166" t="s">
        <v>73129</v>
      </c>
      <c r="F24166" t="s">
        <v>62570</v>
      </c>
      <c r="G24166" t="s">
        <v>17543</v>
      </c>
      <c r="I24166" t="s">
        <v>3196</v>
      </c>
      <c r="J24166" t="s">
        <v>30</v>
      </c>
      <c r="K24166" t="s">
        <v>62571</v>
      </c>
      <c r="M24166" t="s">
        <v>50500</v>
      </c>
      <c r="N24166" t="str">
        <f>"12/6/2024 11:07:00 AM"</f>
        <v>12/6/2024 11:07:00 AM</v>
      </c>
      <c r="O24166" t="s">
        <v>73129</v>
      </c>
    </row>
    <row r="24167" spans="1:20" x14ac:dyDescent="0.25">
      <c r="A24167" t="str">
        <f>"3070880"</f>
        <v>3070880</v>
      </c>
      <c r="B24167" t="s">
        <v>73164</v>
      </c>
      <c r="C24167" t="str">
        <f>"8323519"</f>
        <v>8323519</v>
      </c>
      <c r="D24167" t="s">
        <v>73129</v>
      </c>
      <c r="F24167" t="s">
        <v>62570</v>
      </c>
      <c r="G24167" t="s">
        <v>17543</v>
      </c>
      <c r="I24167" t="s">
        <v>3196</v>
      </c>
      <c r="J24167" t="s">
        <v>30</v>
      </c>
      <c r="K24167" t="s">
        <v>62571</v>
      </c>
      <c r="M24167" t="s">
        <v>50500</v>
      </c>
      <c r="N24167" t="str">
        <f>"12/6/2024 11:07:00 AM"</f>
        <v>12/6/2024 11:07:00 AM</v>
      </c>
      <c r="O24167" t="s">
        <v>73129</v>
      </c>
    </row>
    <row r="24168" spans="1:20" x14ac:dyDescent="0.25">
      <c r="A24168" t="str">
        <f>"3070884"</f>
        <v>3070884</v>
      </c>
      <c r="B24168" t="s">
        <v>73165</v>
      </c>
      <c r="C24168" t="str">
        <f>"8323519"</f>
        <v>8323519</v>
      </c>
      <c r="D24168" t="s">
        <v>73129</v>
      </c>
      <c r="F24168" t="s">
        <v>62570</v>
      </c>
      <c r="G24168" t="s">
        <v>17543</v>
      </c>
      <c r="I24168" t="s">
        <v>3196</v>
      </c>
      <c r="J24168" t="s">
        <v>30</v>
      </c>
      <c r="K24168" t="s">
        <v>62571</v>
      </c>
      <c r="M24168" t="s">
        <v>50500</v>
      </c>
      <c r="N24168" t="str">
        <f>"12/6/2024 11:07:00 AM"</f>
        <v>12/6/2024 11:07:00 AM</v>
      </c>
      <c r="O24168" t="s">
        <v>73129</v>
      </c>
    </row>
    <row r="24169" spans="1:20" x14ac:dyDescent="0.25">
      <c r="A24169" t="str">
        <f>"3056085"</f>
        <v>3056085</v>
      </c>
      <c r="B24169" t="s">
        <v>73166</v>
      </c>
      <c r="C24169" t="str">
        <f>"8323530"</f>
        <v>8323530</v>
      </c>
      <c r="D24169" t="s">
        <v>73167</v>
      </c>
      <c r="F24169" t="s">
        <v>73168</v>
      </c>
      <c r="I24169" t="s">
        <v>29</v>
      </c>
      <c r="J24169" t="s">
        <v>30</v>
      </c>
      <c r="K24169" t="s">
        <v>50851</v>
      </c>
      <c r="M24169" t="s">
        <v>50500</v>
      </c>
      <c r="N24169" t="str">
        <f>"12/6/2024 3:24:00 PM"</f>
        <v>12/6/2024 3:24:00 PM</v>
      </c>
      <c r="O24169" t="s">
        <v>73167</v>
      </c>
    </row>
    <row r="24170" spans="1:20" x14ac:dyDescent="0.25">
      <c r="A24170" t="str">
        <f>"3055274"</f>
        <v>3055274</v>
      </c>
      <c r="B24170" t="s">
        <v>73169</v>
      </c>
      <c r="C24170" t="str">
        <f>"8323580"</f>
        <v>8323580</v>
      </c>
      <c r="D24170" t="s">
        <v>73170</v>
      </c>
      <c r="F24170" t="s">
        <v>73171</v>
      </c>
      <c r="I24170" t="s">
        <v>29</v>
      </c>
      <c r="J24170" t="s">
        <v>30</v>
      </c>
      <c r="K24170" t="s">
        <v>15366</v>
      </c>
      <c r="M24170" t="s">
        <v>50500</v>
      </c>
      <c r="N24170" t="str">
        <f>"12/16/2024 11:34:00 AM"</f>
        <v>12/16/2024 11:34:00 AM</v>
      </c>
      <c r="O24170" t="s">
        <v>73170</v>
      </c>
    </row>
    <row r="24171" spans="1:20" x14ac:dyDescent="0.25">
      <c r="A24171" t="str">
        <f>"3053105"</f>
        <v>3053105</v>
      </c>
      <c r="B24171" t="s">
        <v>73172</v>
      </c>
      <c r="C24171" t="str">
        <f>"54732500"</f>
        <v>54732500</v>
      </c>
      <c r="D24171" t="s">
        <v>73173</v>
      </c>
      <c r="F24171" t="s">
        <v>73174</v>
      </c>
      <c r="I24171" t="s">
        <v>29</v>
      </c>
      <c r="J24171" t="s">
        <v>30</v>
      </c>
      <c r="K24171" t="s">
        <v>31</v>
      </c>
      <c r="M24171" t="s">
        <v>50793</v>
      </c>
      <c r="N24171" t="str">
        <f>"12/16/2024 12:02:00 PM"</f>
        <v>12/16/2024 12:02:00 PM</v>
      </c>
      <c r="O24171" t="s">
        <v>73173</v>
      </c>
    </row>
    <row r="24172" spans="1:20" x14ac:dyDescent="0.25">
      <c r="A24172" t="str">
        <f>"3052953"</f>
        <v>3052953</v>
      </c>
      <c r="B24172" t="s">
        <v>73175</v>
      </c>
      <c r="C24172" t="str">
        <f>"8323581"</f>
        <v>8323581</v>
      </c>
      <c r="D24172" t="s">
        <v>73176</v>
      </c>
      <c r="E24172" t="s">
        <v>73177</v>
      </c>
      <c r="F24172" t="s">
        <v>73178</v>
      </c>
      <c r="I24172" t="s">
        <v>29</v>
      </c>
      <c r="J24172" t="s">
        <v>30</v>
      </c>
      <c r="K24172" t="s">
        <v>11824</v>
      </c>
      <c r="M24172" t="s">
        <v>50500</v>
      </c>
      <c r="N24172" t="str">
        <f>"12/16/2024 12:30:00 PM"</f>
        <v>12/16/2024 12:30:00 PM</v>
      </c>
      <c r="O24172" t="s">
        <v>73176</v>
      </c>
      <c r="T24172" t="s">
        <v>73177</v>
      </c>
    </row>
    <row r="24173" spans="1:20" x14ac:dyDescent="0.25">
      <c r="A24173" t="str">
        <f>"3069875"</f>
        <v>3069875</v>
      </c>
      <c r="B24173" t="s">
        <v>73179</v>
      </c>
      <c r="C24173" t="str">
        <f>"8323582"</f>
        <v>8323582</v>
      </c>
      <c r="D24173" t="s">
        <v>73180</v>
      </c>
      <c r="F24173" t="s">
        <v>51383</v>
      </c>
      <c r="I24173" t="s">
        <v>29</v>
      </c>
      <c r="J24173" t="s">
        <v>30</v>
      </c>
      <c r="K24173" t="s">
        <v>51384</v>
      </c>
      <c r="M24173" t="s">
        <v>50500</v>
      </c>
      <c r="N24173" t="str">
        <f>"12/16/2024 12:34:00 PM"</f>
        <v>12/16/2024 12:34:00 PM</v>
      </c>
      <c r="O24173" t="s">
        <v>73180</v>
      </c>
    </row>
    <row r="24174" spans="1:20" x14ac:dyDescent="0.25">
      <c r="A24174" t="str">
        <f>"3041340"</f>
        <v>3041340</v>
      </c>
      <c r="B24174" t="s">
        <v>73181</v>
      </c>
      <c r="C24174" t="str">
        <f>"8320618"</f>
        <v>8320618</v>
      </c>
      <c r="D24174" t="s">
        <v>73182</v>
      </c>
      <c r="E24174" t="s">
        <v>73183</v>
      </c>
      <c r="F24174" t="s">
        <v>73184</v>
      </c>
      <c r="I24174" t="s">
        <v>73185</v>
      </c>
      <c r="J24174" t="s">
        <v>30</v>
      </c>
      <c r="K24174" t="s">
        <v>73186</v>
      </c>
      <c r="M24174" t="s">
        <v>25733</v>
      </c>
      <c r="N24174" t="str">
        <f>"12/16/2024 1:37:00 PM"</f>
        <v>12/16/2024 1:37:00 PM</v>
      </c>
      <c r="O24174" t="s">
        <v>73182</v>
      </c>
      <c r="T24174" t="s">
        <v>73183</v>
      </c>
    </row>
    <row r="24175" spans="1:20" x14ac:dyDescent="0.25">
      <c r="A24175" t="str">
        <f>"3049558"</f>
        <v>3049558</v>
      </c>
      <c r="B24175" t="s">
        <v>73187</v>
      </c>
      <c r="C24175" t="str">
        <f>"8323583"</f>
        <v>8323583</v>
      </c>
      <c r="D24175" t="s">
        <v>73188</v>
      </c>
      <c r="F24175" t="s">
        <v>73189</v>
      </c>
      <c r="I24175" t="s">
        <v>29</v>
      </c>
      <c r="J24175" t="s">
        <v>30</v>
      </c>
      <c r="K24175" t="s">
        <v>38905</v>
      </c>
      <c r="M24175" t="s">
        <v>50500</v>
      </c>
      <c r="N24175" t="str">
        <f>"12/16/2024 2:09:00 PM"</f>
        <v>12/16/2024 2:09:00 PM</v>
      </c>
      <c r="O24175" t="s">
        <v>73188</v>
      </c>
    </row>
    <row r="24176" spans="1:20" x14ac:dyDescent="0.25">
      <c r="A24176" t="str">
        <f>"3049900"</f>
        <v>3049900</v>
      </c>
      <c r="B24176" t="s">
        <v>73190</v>
      </c>
      <c r="C24176" t="str">
        <f>"8323583"</f>
        <v>8323583</v>
      </c>
      <c r="D24176" t="s">
        <v>73188</v>
      </c>
      <c r="F24176" t="s">
        <v>73189</v>
      </c>
      <c r="I24176" t="s">
        <v>29</v>
      </c>
      <c r="J24176" t="s">
        <v>30</v>
      </c>
      <c r="K24176" t="s">
        <v>38905</v>
      </c>
      <c r="M24176" t="s">
        <v>50500</v>
      </c>
      <c r="N24176" t="str">
        <f>"12/16/2024 2:09:00 PM"</f>
        <v>12/16/2024 2:09:00 PM</v>
      </c>
      <c r="O24176" t="s">
        <v>73188</v>
      </c>
    </row>
    <row r="24177" spans="1:20" x14ac:dyDescent="0.25">
      <c r="A24177" t="str">
        <f>"3066738"</f>
        <v>3066738</v>
      </c>
      <c r="B24177" t="s">
        <v>73191</v>
      </c>
      <c r="C24177" t="str">
        <f>"8323583"</f>
        <v>8323583</v>
      </c>
      <c r="D24177" t="s">
        <v>73188</v>
      </c>
      <c r="F24177" t="s">
        <v>73189</v>
      </c>
      <c r="I24177" t="s">
        <v>29</v>
      </c>
      <c r="J24177" t="s">
        <v>30</v>
      </c>
      <c r="K24177" t="s">
        <v>38905</v>
      </c>
      <c r="M24177" t="s">
        <v>50500</v>
      </c>
      <c r="N24177" t="str">
        <f>"12/16/2024 2:09:00 PM"</f>
        <v>12/16/2024 2:09:00 PM</v>
      </c>
      <c r="O24177" t="s">
        <v>73188</v>
      </c>
    </row>
    <row r="24178" spans="1:20" x14ac:dyDescent="0.25">
      <c r="A24178" t="str">
        <f>"3063048"</f>
        <v>3063048</v>
      </c>
      <c r="B24178" t="s">
        <v>73192</v>
      </c>
      <c r="C24178" t="str">
        <f>"8323584"</f>
        <v>8323584</v>
      </c>
      <c r="D24178" t="s">
        <v>73193</v>
      </c>
      <c r="E24178" t="s">
        <v>73194</v>
      </c>
      <c r="F24178" t="s">
        <v>73195</v>
      </c>
      <c r="I24178" t="s">
        <v>73196</v>
      </c>
      <c r="J24178" t="s">
        <v>30724</v>
      </c>
      <c r="K24178" t="s">
        <v>73197</v>
      </c>
      <c r="M24178" t="s">
        <v>50500</v>
      </c>
      <c r="N24178" t="str">
        <f>"12/16/2024 2:15:00 PM"</f>
        <v>12/16/2024 2:15:00 PM</v>
      </c>
      <c r="O24178" t="s">
        <v>73193</v>
      </c>
      <c r="T24178" t="s">
        <v>73194</v>
      </c>
    </row>
    <row r="24179" spans="1:20" x14ac:dyDescent="0.25">
      <c r="A24179" t="str">
        <f>"3070927"</f>
        <v>3070927</v>
      </c>
      <c r="B24179" t="s">
        <v>73198</v>
      </c>
      <c r="C24179" t="str">
        <f>"8323586"</f>
        <v>8323586</v>
      </c>
      <c r="D24179" t="s">
        <v>73199</v>
      </c>
      <c r="E24179" t="s">
        <v>73200</v>
      </c>
      <c r="F24179" t="s">
        <v>73201</v>
      </c>
      <c r="I24179" t="s">
        <v>29</v>
      </c>
      <c r="J24179" t="s">
        <v>30</v>
      </c>
      <c r="K24179" t="s">
        <v>12425</v>
      </c>
      <c r="M24179" t="s">
        <v>50500</v>
      </c>
      <c r="N24179" t="str">
        <f>"12/17/2024 12:24:00 PM"</f>
        <v>12/17/2024 12:24:00 PM</v>
      </c>
      <c r="O24179" t="s">
        <v>73199</v>
      </c>
      <c r="T24179" t="s">
        <v>73200</v>
      </c>
    </row>
    <row r="24180" spans="1:20" x14ac:dyDescent="0.25">
      <c r="A24180" t="str">
        <f>"3050503"</f>
        <v>3050503</v>
      </c>
      <c r="B24180" t="s">
        <v>73202</v>
      </c>
      <c r="C24180" t="str">
        <f>"8323586"</f>
        <v>8323586</v>
      </c>
      <c r="D24180" t="s">
        <v>73199</v>
      </c>
      <c r="E24180" t="s">
        <v>73200</v>
      </c>
      <c r="F24180" t="s">
        <v>73201</v>
      </c>
      <c r="I24180" t="s">
        <v>29</v>
      </c>
      <c r="J24180" t="s">
        <v>30</v>
      </c>
      <c r="K24180" t="s">
        <v>12425</v>
      </c>
      <c r="M24180" t="s">
        <v>50500</v>
      </c>
      <c r="N24180" t="str">
        <f>"12/17/2024 12:24:00 PM"</f>
        <v>12/17/2024 12:24:00 PM</v>
      </c>
      <c r="O24180" t="s">
        <v>73199</v>
      </c>
      <c r="T24180" t="s">
        <v>73200</v>
      </c>
    </row>
    <row r="24181" spans="1:20" x14ac:dyDescent="0.25">
      <c r="A24181" t="str">
        <f>"3062710"</f>
        <v>3062710</v>
      </c>
      <c r="B24181" t="s">
        <v>73203</v>
      </c>
      <c r="C24181" t="str">
        <f>"8323587"</f>
        <v>8323587</v>
      </c>
      <c r="D24181" t="s">
        <v>73204</v>
      </c>
      <c r="F24181" t="s">
        <v>73205</v>
      </c>
      <c r="I24181" t="s">
        <v>184</v>
      </c>
      <c r="J24181" t="s">
        <v>30</v>
      </c>
      <c r="K24181" t="s">
        <v>73206</v>
      </c>
      <c r="M24181" t="s">
        <v>50500</v>
      </c>
      <c r="N24181" t="str">
        <f>"12/17/2024 12:31:00 PM"</f>
        <v>12/17/2024 12:31:00 PM</v>
      </c>
      <c r="O24181" t="s">
        <v>73204</v>
      </c>
    </row>
    <row r="24182" spans="1:20" x14ac:dyDescent="0.25">
      <c r="A24182" t="str">
        <f>"3063132"</f>
        <v>3063132</v>
      </c>
      <c r="B24182" t="s">
        <v>73207</v>
      </c>
      <c r="C24182" t="str">
        <f>"8323588"</f>
        <v>8323588</v>
      </c>
      <c r="D24182" t="s">
        <v>73208</v>
      </c>
      <c r="E24182" t="s">
        <v>73209</v>
      </c>
      <c r="F24182" t="s">
        <v>73210</v>
      </c>
      <c r="I24182" t="s">
        <v>2071</v>
      </c>
      <c r="J24182" t="s">
        <v>30</v>
      </c>
      <c r="K24182" t="s">
        <v>73024</v>
      </c>
      <c r="M24182" t="s">
        <v>50500</v>
      </c>
      <c r="N24182" t="str">
        <f>"12/17/2024 12:40:00 PM"</f>
        <v>12/17/2024 12:40:00 PM</v>
      </c>
      <c r="O24182" t="s">
        <v>73208</v>
      </c>
      <c r="T24182" t="s">
        <v>73209</v>
      </c>
    </row>
    <row r="24183" spans="1:20" x14ac:dyDescent="0.25">
      <c r="A24183" t="str">
        <f>"3053821"</f>
        <v>3053821</v>
      </c>
      <c r="B24183" t="s">
        <v>73211</v>
      </c>
      <c r="C24183" t="str">
        <f>"8323589"</f>
        <v>8323589</v>
      </c>
      <c r="D24183" t="s">
        <v>73212</v>
      </c>
      <c r="E24183" t="s">
        <v>73213</v>
      </c>
      <c r="F24183" t="s">
        <v>73214</v>
      </c>
      <c r="I24183" t="s">
        <v>29</v>
      </c>
      <c r="J24183" t="s">
        <v>30</v>
      </c>
      <c r="K24183" t="s">
        <v>43994</v>
      </c>
      <c r="M24183" t="s">
        <v>50500</v>
      </c>
      <c r="N24183" t="str">
        <f>"12/17/2024 12:54:00 PM"</f>
        <v>12/17/2024 12:54:00 PM</v>
      </c>
      <c r="O24183" t="s">
        <v>73212</v>
      </c>
      <c r="T24183" t="s">
        <v>73213</v>
      </c>
    </row>
    <row r="24184" spans="1:20" x14ac:dyDescent="0.25">
      <c r="A24184" t="str">
        <f>"3063045"</f>
        <v>3063045</v>
      </c>
      <c r="B24184" t="s">
        <v>73215</v>
      </c>
      <c r="C24184" t="str">
        <f>"8323531"</f>
        <v>8323531</v>
      </c>
      <c r="D24184" t="s">
        <v>73216</v>
      </c>
      <c r="E24184" t="s">
        <v>73217</v>
      </c>
      <c r="F24184" t="s">
        <v>73218</v>
      </c>
      <c r="I24184" t="s">
        <v>29</v>
      </c>
      <c r="J24184" t="s">
        <v>30</v>
      </c>
      <c r="K24184" t="s">
        <v>72906</v>
      </c>
      <c r="M24184" t="s">
        <v>50500</v>
      </c>
      <c r="N24184" t="str">
        <f>"12/6/2024 3:30:00 PM"</f>
        <v>12/6/2024 3:30:00 PM</v>
      </c>
      <c r="O24184" t="s">
        <v>73216</v>
      </c>
      <c r="T24184" t="s">
        <v>73217</v>
      </c>
    </row>
    <row r="24185" spans="1:20" x14ac:dyDescent="0.25">
      <c r="A24185" t="str">
        <f>"3077075"</f>
        <v>3077075</v>
      </c>
      <c r="B24185" t="s">
        <v>73219</v>
      </c>
      <c r="C24185" t="str">
        <f>"8323532"</f>
        <v>8323532</v>
      </c>
      <c r="D24185" t="s">
        <v>73220</v>
      </c>
      <c r="F24185" t="s">
        <v>73221</v>
      </c>
      <c r="I24185" t="s">
        <v>17921</v>
      </c>
      <c r="J24185" t="s">
        <v>30</v>
      </c>
      <c r="K24185" t="str">
        <f>"27028"</f>
        <v>27028</v>
      </c>
      <c r="M24185" t="s">
        <v>50500</v>
      </c>
      <c r="N24185" t="str">
        <f>"12/6/2024 3:38:00 PM"</f>
        <v>12/6/2024 3:38:00 PM</v>
      </c>
      <c r="O24185" t="s">
        <v>73220</v>
      </c>
    </row>
    <row r="24186" spans="1:20" x14ac:dyDescent="0.25">
      <c r="A24186" t="str">
        <f>"3057584"</f>
        <v>3057584</v>
      </c>
      <c r="B24186" t="s">
        <v>73222</v>
      </c>
      <c r="C24186" t="str">
        <f>"8323533"</f>
        <v>8323533</v>
      </c>
      <c r="D24186" t="s">
        <v>73223</v>
      </c>
      <c r="F24186" t="s">
        <v>73224</v>
      </c>
      <c r="I24186" t="s">
        <v>29</v>
      </c>
      <c r="J24186" t="s">
        <v>30</v>
      </c>
      <c r="K24186" t="s">
        <v>15394</v>
      </c>
      <c r="M24186" t="s">
        <v>50500</v>
      </c>
      <c r="N24186" t="str">
        <f>"12/6/2024 3:45:00 PM"</f>
        <v>12/6/2024 3:45:00 PM</v>
      </c>
      <c r="O24186" t="s">
        <v>73223</v>
      </c>
    </row>
    <row r="24187" spans="1:20" x14ac:dyDescent="0.25">
      <c r="A24187" t="str">
        <f>"3077971"</f>
        <v>3077971</v>
      </c>
      <c r="B24187" t="s">
        <v>73225</v>
      </c>
      <c r="C24187" t="str">
        <f>"8318236"</f>
        <v>8318236</v>
      </c>
      <c r="D24187" t="s">
        <v>73226</v>
      </c>
      <c r="F24187" t="s">
        <v>73227</v>
      </c>
      <c r="I24187" t="s">
        <v>29</v>
      </c>
      <c r="J24187" t="s">
        <v>30</v>
      </c>
      <c r="K24187" t="s">
        <v>26737</v>
      </c>
      <c r="M24187" t="s">
        <v>50793</v>
      </c>
      <c r="N24187" t="str">
        <f>"12/9/2024 10:04:00 AM"</f>
        <v>12/9/2024 10:04:00 AM</v>
      </c>
      <c r="O24187" t="s">
        <v>73226</v>
      </c>
    </row>
    <row r="24188" spans="1:20" x14ac:dyDescent="0.25">
      <c r="A24188" t="str">
        <f>"3067864"</f>
        <v>3067864</v>
      </c>
      <c r="B24188" t="s">
        <v>73228</v>
      </c>
      <c r="C24188" t="str">
        <f>"8323537"</f>
        <v>8323537</v>
      </c>
      <c r="D24188" t="s">
        <v>73229</v>
      </c>
      <c r="F24188" t="s">
        <v>73230</v>
      </c>
      <c r="I24188" t="s">
        <v>29</v>
      </c>
      <c r="J24188" t="s">
        <v>30</v>
      </c>
      <c r="K24188" t="s">
        <v>73231</v>
      </c>
      <c r="M24188" t="s">
        <v>50500</v>
      </c>
      <c r="N24188" t="str">
        <f>"12/9/2024 10:22:00 AM"</f>
        <v>12/9/2024 10:22:00 AM</v>
      </c>
      <c r="O24188" t="s">
        <v>73229</v>
      </c>
    </row>
    <row r="24189" spans="1:20" x14ac:dyDescent="0.25">
      <c r="A24189" t="str">
        <f>"3067860"</f>
        <v>3067860</v>
      </c>
      <c r="B24189" t="s">
        <v>73232</v>
      </c>
      <c r="C24189" t="str">
        <f>"8323537"</f>
        <v>8323537</v>
      </c>
      <c r="D24189" t="s">
        <v>73229</v>
      </c>
      <c r="F24189" t="s">
        <v>73230</v>
      </c>
      <c r="I24189" t="s">
        <v>29</v>
      </c>
      <c r="J24189" t="s">
        <v>30</v>
      </c>
      <c r="K24189" t="s">
        <v>73231</v>
      </c>
      <c r="M24189" t="s">
        <v>50500</v>
      </c>
      <c r="N24189" t="str">
        <f>"12/9/2024 10:22:00 AM"</f>
        <v>12/9/2024 10:22:00 AM</v>
      </c>
      <c r="O24189" t="s">
        <v>73229</v>
      </c>
    </row>
    <row r="24190" spans="1:20" x14ac:dyDescent="0.25">
      <c r="A24190" t="str">
        <f>"3049512"</f>
        <v>3049512</v>
      </c>
      <c r="B24190" t="s">
        <v>73233</v>
      </c>
      <c r="C24190" t="str">
        <f>"8323538"</f>
        <v>8323538</v>
      </c>
      <c r="D24190" t="s">
        <v>72992</v>
      </c>
      <c r="F24190" t="s">
        <v>72993</v>
      </c>
      <c r="I24190" t="s">
        <v>42660</v>
      </c>
      <c r="J24190" t="s">
        <v>2109</v>
      </c>
      <c r="K24190" t="s">
        <v>72994</v>
      </c>
      <c r="M24190" t="s">
        <v>50500</v>
      </c>
      <c r="N24190" t="str">
        <f>"12/9/2024 10:45:00 AM"</f>
        <v>12/9/2024 10:45:00 AM</v>
      </c>
      <c r="O24190" t="s">
        <v>72992</v>
      </c>
    </row>
    <row r="24191" spans="1:20" x14ac:dyDescent="0.25">
      <c r="A24191" t="str">
        <f>"3062723"</f>
        <v>3062723</v>
      </c>
      <c r="B24191" t="s">
        <v>73234</v>
      </c>
      <c r="C24191" t="str">
        <f>"8323549"</f>
        <v>8323549</v>
      </c>
      <c r="D24191" t="s">
        <v>73235</v>
      </c>
      <c r="E24191" t="s">
        <v>73236</v>
      </c>
      <c r="F24191" t="s">
        <v>73237</v>
      </c>
      <c r="I24191" t="s">
        <v>29</v>
      </c>
      <c r="J24191" t="s">
        <v>30</v>
      </c>
      <c r="K24191" t="s">
        <v>9848</v>
      </c>
      <c r="M24191" t="s">
        <v>50500</v>
      </c>
      <c r="N24191" t="str">
        <f>"12/11/2024 8:26:00 AM"</f>
        <v>12/11/2024 8:26:00 AM</v>
      </c>
      <c r="O24191" t="s">
        <v>73235</v>
      </c>
      <c r="T24191" t="s">
        <v>73236</v>
      </c>
    </row>
    <row r="24192" spans="1:20" x14ac:dyDescent="0.25">
      <c r="A24192" t="str">
        <f>"3046379"</f>
        <v>3046379</v>
      </c>
      <c r="B24192" t="s">
        <v>73238</v>
      </c>
      <c r="C24192" t="str">
        <f>"8323550"</f>
        <v>8323550</v>
      </c>
      <c r="D24192" t="s">
        <v>73239</v>
      </c>
      <c r="E24192" t="s">
        <v>73240</v>
      </c>
      <c r="F24192" t="s">
        <v>73241</v>
      </c>
      <c r="I24192" t="s">
        <v>29</v>
      </c>
      <c r="J24192" t="s">
        <v>30</v>
      </c>
      <c r="K24192" t="s">
        <v>73242</v>
      </c>
      <c r="M24192" t="s">
        <v>50500</v>
      </c>
      <c r="N24192" t="str">
        <f>"12/11/2024 8:36:00 AM"</f>
        <v>12/11/2024 8:36:00 AM</v>
      </c>
      <c r="O24192" t="s">
        <v>73239</v>
      </c>
      <c r="T24192" t="s">
        <v>73240</v>
      </c>
    </row>
    <row r="24193" spans="1:20" x14ac:dyDescent="0.25">
      <c r="A24193" t="str">
        <f>"3078760"</f>
        <v>3078760</v>
      </c>
      <c r="B24193" t="s">
        <v>73243</v>
      </c>
      <c r="C24193" t="str">
        <f>"8323551"</f>
        <v>8323551</v>
      </c>
      <c r="D24193" t="s">
        <v>73244</v>
      </c>
      <c r="F24193" t="s">
        <v>73245</v>
      </c>
      <c r="I24193" t="s">
        <v>29</v>
      </c>
      <c r="J24193" t="s">
        <v>30</v>
      </c>
      <c r="K24193" t="s">
        <v>37236</v>
      </c>
      <c r="M24193" t="s">
        <v>50500</v>
      </c>
      <c r="N24193" t="str">
        <f>"12/11/2024 8:41:00 AM"</f>
        <v>12/11/2024 8:41:00 AM</v>
      </c>
      <c r="O24193" t="s">
        <v>73244</v>
      </c>
    </row>
    <row r="24194" spans="1:20" x14ac:dyDescent="0.25">
      <c r="A24194" t="str">
        <f>"3051231"</f>
        <v>3051231</v>
      </c>
      <c r="B24194" t="s">
        <v>73246</v>
      </c>
      <c r="C24194" t="str">
        <f>"8321961"</f>
        <v>8321961</v>
      </c>
      <c r="D24194" t="s">
        <v>73247</v>
      </c>
      <c r="E24194" t="s">
        <v>31555</v>
      </c>
      <c r="F24194" t="s">
        <v>73248</v>
      </c>
      <c r="I24194" t="s">
        <v>29</v>
      </c>
      <c r="J24194" t="s">
        <v>30</v>
      </c>
      <c r="K24194" t="s">
        <v>12909</v>
      </c>
      <c r="M24194" t="s">
        <v>51351</v>
      </c>
      <c r="N24194" t="str">
        <f>"12/19/2024 9:10:00 AM"</f>
        <v>12/19/2024 9:10:00 AM</v>
      </c>
      <c r="O24194" t="s">
        <v>73247</v>
      </c>
      <c r="T24194" t="s">
        <v>31555</v>
      </c>
    </row>
    <row r="24195" spans="1:20" x14ac:dyDescent="0.25">
      <c r="A24195" t="str">
        <f>"3053060"</f>
        <v>3053060</v>
      </c>
      <c r="B24195" t="s">
        <v>73249</v>
      </c>
      <c r="C24195" t="str">
        <f>"8322682"</f>
        <v>8322682</v>
      </c>
      <c r="D24195" t="s">
        <v>73250</v>
      </c>
      <c r="F24195" t="s">
        <v>73251</v>
      </c>
      <c r="G24195" t="s">
        <v>73252</v>
      </c>
      <c r="I24195" t="s">
        <v>3196</v>
      </c>
      <c r="J24195" t="s">
        <v>30</v>
      </c>
      <c r="K24195" t="s">
        <v>73253</v>
      </c>
      <c r="M24195" t="s">
        <v>50500</v>
      </c>
      <c r="N24195" t="str">
        <f>"12/19/2024 9:18:00 AM"</f>
        <v>12/19/2024 9:18:00 AM</v>
      </c>
      <c r="O24195" t="s">
        <v>73250</v>
      </c>
    </row>
    <row r="24196" spans="1:20" x14ac:dyDescent="0.25">
      <c r="A24196" t="str">
        <f>"3046140"</f>
        <v>3046140</v>
      </c>
      <c r="B24196" t="s">
        <v>73254</v>
      </c>
      <c r="C24196" t="str">
        <f>"8322682"</f>
        <v>8322682</v>
      </c>
      <c r="D24196" t="s">
        <v>73250</v>
      </c>
      <c r="F24196" t="s">
        <v>73251</v>
      </c>
      <c r="G24196" t="s">
        <v>73252</v>
      </c>
      <c r="I24196" t="s">
        <v>3196</v>
      </c>
      <c r="J24196" t="s">
        <v>30</v>
      </c>
      <c r="K24196" t="s">
        <v>73253</v>
      </c>
      <c r="M24196" t="s">
        <v>50500</v>
      </c>
      <c r="N24196" t="str">
        <f>"12/19/2024 9:18:00 AM"</f>
        <v>12/19/2024 9:18:00 AM</v>
      </c>
      <c r="O24196" t="s">
        <v>73250</v>
      </c>
    </row>
    <row r="24197" spans="1:20" x14ac:dyDescent="0.25">
      <c r="A24197" t="str">
        <f>"3037690"</f>
        <v>3037690</v>
      </c>
      <c r="B24197" t="s">
        <v>73255</v>
      </c>
      <c r="C24197" t="str">
        <f>"8322682"</f>
        <v>8322682</v>
      </c>
      <c r="D24197" t="s">
        <v>73250</v>
      </c>
      <c r="F24197" t="s">
        <v>73251</v>
      </c>
      <c r="G24197" t="s">
        <v>73252</v>
      </c>
      <c r="I24197" t="s">
        <v>3196</v>
      </c>
      <c r="J24197" t="s">
        <v>30</v>
      </c>
      <c r="K24197" t="s">
        <v>73253</v>
      </c>
      <c r="M24197" t="s">
        <v>50500</v>
      </c>
      <c r="N24197" t="str">
        <f>"12/19/2024 9:18:00 AM"</f>
        <v>12/19/2024 9:18:00 AM</v>
      </c>
      <c r="O24197" t="s">
        <v>73250</v>
      </c>
    </row>
    <row r="24198" spans="1:20" x14ac:dyDescent="0.25">
      <c r="A24198" t="str">
        <f>"3037289"</f>
        <v>3037289</v>
      </c>
      <c r="B24198" t="s">
        <v>73256</v>
      </c>
      <c r="C24198" t="str">
        <f>"8309146"</f>
        <v>8309146</v>
      </c>
      <c r="D24198" t="s">
        <v>73257</v>
      </c>
      <c r="F24198" t="s">
        <v>73258</v>
      </c>
      <c r="I24198" t="s">
        <v>184</v>
      </c>
      <c r="J24198" t="s">
        <v>30</v>
      </c>
      <c r="K24198" t="s">
        <v>24404</v>
      </c>
      <c r="M24198" t="s">
        <v>50500</v>
      </c>
      <c r="N24198" t="str">
        <f>"12/19/2024 9:35:00 AM"</f>
        <v>12/19/2024 9:35:00 AM</v>
      </c>
      <c r="O24198" t="s">
        <v>73257</v>
      </c>
    </row>
    <row r="24199" spans="1:20" x14ac:dyDescent="0.25">
      <c r="A24199" t="str">
        <f>"3037295"</f>
        <v>3037295</v>
      </c>
      <c r="B24199" t="s">
        <v>73259</v>
      </c>
      <c r="C24199" t="str">
        <f>"8309146"</f>
        <v>8309146</v>
      </c>
      <c r="D24199" t="s">
        <v>73257</v>
      </c>
      <c r="F24199" t="s">
        <v>73258</v>
      </c>
      <c r="I24199" t="s">
        <v>184</v>
      </c>
      <c r="J24199" t="s">
        <v>30</v>
      </c>
      <c r="K24199" t="s">
        <v>24404</v>
      </c>
      <c r="M24199" t="s">
        <v>50500</v>
      </c>
      <c r="N24199" t="str">
        <f>"12/19/2024 9:35:00 AM"</f>
        <v>12/19/2024 9:35:00 AM</v>
      </c>
      <c r="O24199" t="s">
        <v>73257</v>
      </c>
    </row>
    <row r="24200" spans="1:20" x14ac:dyDescent="0.25">
      <c r="A24200" t="str">
        <f>"3045800"</f>
        <v>3045800</v>
      </c>
      <c r="B24200" t="s">
        <v>73260</v>
      </c>
      <c r="C24200" t="str">
        <f>"8321246"</f>
        <v>8321246</v>
      </c>
      <c r="D24200" t="s">
        <v>73261</v>
      </c>
      <c r="F24200" t="s">
        <v>73262</v>
      </c>
      <c r="I24200" t="s">
        <v>17337</v>
      </c>
      <c r="J24200" t="s">
        <v>2738</v>
      </c>
      <c r="K24200" t="s">
        <v>73263</v>
      </c>
      <c r="M24200" t="s">
        <v>50500</v>
      </c>
      <c r="N24200" t="str">
        <f>"12/19/2024 9:48:00 AM"</f>
        <v>12/19/2024 9:48:00 AM</v>
      </c>
      <c r="O24200" t="s">
        <v>73261</v>
      </c>
    </row>
    <row r="24201" spans="1:20" x14ac:dyDescent="0.25">
      <c r="A24201" t="str">
        <f>"3048410"</f>
        <v>3048410</v>
      </c>
      <c r="B24201" t="s">
        <v>73264</v>
      </c>
      <c r="C24201" t="str">
        <f>"8321246"</f>
        <v>8321246</v>
      </c>
      <c r="D24201" t="s">
        <v>73261</v>
      </c>
      <c r="F24201" t="s">
        <v>73262</v>
      </c>
      <c r="I24201" t="s">
        <v>17337</v>
      </c>
      <c r="J24201" t="s">
        <v>2738</v>
      </c>
      <c r="K24201" t="s">
        <v>73263</v>
      </c>
      <c r="M24201" t="s">
        <v>50500</v>
      </c>
      <c r="N24201" t="str">
        <f>"12/19/2024 9:48:00 AM"</f>
        <v>12/19/2024 9:48:00 AM</v>
      </c>
      <c r="O24201" t="s">
        <v>73261</v>
      </c>
    </row>
    <row r="24202" spans="1:20" x14ac:dyDescent="0.25">
      <c r="A24202" t="str">
        <f>"3063128"</f>
        <v>3063128</v>
      </c>
      <c r="B24202" t="s">
        <v>73265</v>
      </c>
      <c r="C24202" t="str">
        <f>"8323596"</f>
        <v>8323596</v>
      </c>
      <c r="D24202" t="s">
        <v>73266</v>
      </c>
      <c r="E24202" t="s">
        <v>73267</v>
      </c>
      <c r="F24202" t="s">
        <v>73268</v>
      </c>
      <c r="I24202" t="s">
        <v>2071</v>
      </c>
      <c r="J24202" t="s">
        <v>30</v>
      </c>
      <c r="K24202" t="s">
        <v>35875</v>
      </c>
      <c r="M24202" t="s">
        <v>50500</v>
      </c>
      <c r="N24202" t="str">
        <f>"12/19/2024 9:55:00 AM"</f>
        <v>12/19/2024 9:55:00 AM</v>
      </c>
      <c r="O24202" t="s">
        <v>73266</v>
      </c>
      <c r="T24202" t="s">
        <v>73267</v>
      </c>
    </row>
    <row r="24203" spans="1:20" x14ac:dyDescent="0.25">
      <c r="A24203" t="str">
        <f>"3057484"</f>
        <v>3057484</v>
      </c>
      <c r="B24203" t="s">
        <v>73269</v>
      </c>
      <c r="C24203" t="str">
        <f>"8323597"</f>
        <v>8323597</v>
      </c>
      <c r="D24203" t="s">
        <v>73270</v>
      </c>
      <c r="E24203" t="s">
        <v>73271</v>
      </c>
      <c r="F24203" t="s">
        <v>73272</v>
      </c>
      <c r="I24203" t="s">
        <v>29</v>
      </c>
      <c r="J24203" t="s">
        <v>30</v>
      </c>
      <c r="K24203" t="s">
        <v>20431</v>
      </c>
      <c r="M24203" t="s">
        <v>50500</v>
      </c>
      <c r="N24203" t="str">
        <f>"12/19/2024 9:58:00 AM"</f>
        <v>12/19/2024 9:58:00 AM</v>
      </c>
      <c r="O24203" t="s">
        <v>73270</v>
      </c>
      <c r="T24203" t="s">
        <v>73271</v>
      </c>
    </row>
    <row r="24204" spans="1:20" x14ac:dyDescent="0.25">
      <c r="A24204" t="str">
        <f>"3061730"</f>
        <v>3061730</v>
      </c>
      <c r="B24204" t="s">
        <v>73273</v>
      </c>
      <c r="C24204" t="str">
        <f>"8323598"</f>
        <v>8323598</v>
      </c>
      <c r="D24204" t="s">
        <v>73274</v>
      </c>
      <c r="E24204" t="s">
        <v>73275</v>
      </c>
      <c r="F24204" t="s">
        <v>73276</v>
      </c>
      <c r="I24204" t="s">
        <v>184</v>
      </c>
      <c r="J24204" t="s">
        <v>30</v>
      </c>
      <c r="K24204" t="s">
        <v>4124</v>
      </c>
      <c r="M24204" t="s">
        <v>50500</v>
      </c>
      <c r="N24204" t="str">
        <f>"12/19/2024 10:03:00 AM"</f>
        <v>12/19/2024 10:03:00 AM</v>
      </c>
      <c r="O24204" t="s">
        <v>73274</v>
      </c>
      <c r="T24204" t="s">
        <v>73275</v>
      </c>
    </row>
    <row r="24205" spans="1:20" x14ac:dyDescent="0.25">
      <c r="A24205" t="str">
        <f>"3043676"</f>
        <v>3043676</v>
      </c>
      <c r="B24205" t="s">
        <v>73277</v>
      </c>
      <c r="C24205" t="str">
        <f>"8323174"</f>
        <v>8323174</v>
      </c>
      <c r="D24205" t="s">
        <v>73278</v>
      </c>
      <c r="F24205" t="s">
        <v>73279</v>
      </c>
      <c r="I24205" t="s">
        <v>29</v>
      </c>
      <c r="J24205" t="s">
        <v>30</v>
      </c>
      <c r="K24205" t="s">
        <v>50802</v>
      </c>
      <c r="M24205" t="s">
        <v>50500</v>
      </c>
      <c r="N24205" t="str">
        <f>"12/19/2024 10:07:00 AM"</f>
        <v>12/19/2024 10:07:00 AM</v>
      </c>
      <c r="O24205" t="s">
        <v>73278</v>
      </c>
    </row>
    <row r="24206" spans="1:20" x14ac:dyDescent="0.25">
      <c r="A24206" t="str">
        <f>"3062216"</f>
        <v>3062216</v>
      </c>
      <c r="B24206" t="s">
        <v>73280</v>
      </c>
      <c r="C24206" t="str">
        <f>"8323599"</f>
        <v>8323599</v>
      </c>
      <c r="D24206" t="s">
        <v>73281</v>
      </c>
      <c r="E24206" t="s">
        <v>73282</v>
      </c>
      <c r="F24206" t="s">
        <v>73283</v>
      </c>
      <c r="I24206" t="s">
        <v>184</v>
      </c>
      <c r="J24206" t="s">
        <v>30</v>
      </c>
      <c r="K24206" t="s">
        <v>63671</v>
      </c>
      <c r="M24206" t="s">
        <v>50500</v>
      </c>
      <c r="N24206" t="str">
        <f>"12/19/2024 10:10:00 AM"</f>
        <v>12/19/2024 10:10:00 AM</v>
      </c>
      <c r="O24206" t="s">
        <v>73281</v>
      </c>
      <c r="T24206" t="s">
        <v>73282</v>
      </c>
    </row>
    <row r="24207" spans="1:20" x14ac:dyDescent="0.25">
      <c r="A24207" t="str">
        <f>"3062649"</f>
        <v>3062649</v>
      </c>
      <c r="B24207" t="s">
        <v>73284</v>
      </c>
      <c r="C24207" t="str">
        <f>"8323601"</f>
        <v>8323601</v>
      </c>
      <c r="D24207" t="s">
        <v>73285</v>
      </c>
      <c r="E24207" t="s">
        <v>73286</v>
      </c>
      <c r="F24207" t="s">
        <v>73287</v>
      </c>
      <c r="I24207" t="s">
        <v>184</v>
      </c>
      <c r="J24207" t="s">
        <v>30</v>
      </c>
      <c r="K24207" t="s">
        <v>52675</v>
      </c>
      <c r="M24207" t="s">
        <v>50500</v>
      </c>
      <c r="N24207" t="str">
        <f>"12/19/2024 10:14:00 AM"</f>
        <v>12/19/2024 10:14:00 AM</v>
      </c>
      <c r="O24207" t="s">
        <v>73285</v>
      </c>
      <c r="T24207" t="s">
        <v>73286</v>
      </c>
    </row>
    <row r="24208" spans="1:20" x14ac:dyDescent="0.25">
      <c r="A24208" t="str">
        <f>"3040668"</f>
        <v>3040668</v>
      </c>
      <c r="B24208" t="s">
        <v>73288</v>
      </c>
      <c r="C24208" t="str">
        <f>"8323557"</f>
        <v>8323557</v>
      </c>
      <c r="D24208" t="s">
        <v>73289</v>
      </c>
      <c r="F24208" t="s">
        <v>16338</v>
      </c>
      <c r="I24208" t="s">
        <v>402</v>
      </c>
      <c r="J24208" t="s">
        <v>30</v>
      </c>
      <c r="K24208" t="s">
        <v>59743</v>
      </c>
      <c r="M24208" t="s">
        <v>50500</v>
      </c>
      <c r="N24208" t="str">
        <f>"12/11/2024 9:48:00 AM"</f>
        <v>12/11/2024 9:48:00 AM</v>
      </c>
      <c r="O24208" t="s">
        <v>73289</v>
      </c>
    </row>
    <row r="24209" spans="1:20" x14ac:dyDescent="0.25">
      <c r="A24209" t="str">
        <f>"3078020"</f>
        <v>3078020</v>
      </c>
      <c r="B24209" t="s">
        <v>73290</v>
      </c>
      <c r="C24209" t="str">
        <f>"8323557"</f>
        <v>8323557</v>
      </c>
      <c r="D24209" t="s">
        <v>73289</v>
      </c>
      <c r="F24209" t="s">
        <v>16338</v>
      </c>
      <c r="I24209" t="s">
        <v>402</v>
      </c>
      <c r="J24209" t="s">
        <v>30</v>
      </c>
      <c r="K24209" t="s">
        <v>59743</v>
      </c>
      <c r="M24209" t="s">
        <v>50500</v>
      </c>
      <c r="N24209" t="str">
        <f>"12/11/2024 9:48:00 AM"</f>
        <v>12/11/2024 9:48:00 AM</v>
      </c>
      <c r="O24209" t="s">
        <v>73289</v>
      </c>
    </row>
    <row r="24210" spans="1:20" x14ac:dyDescent="0.25">
      <c r="A24210" t="str">
        <f>"3063944"</f>
        <v>3063944</v>
      </c>
      <c r="B24210" t="s">
        <v>73291</v>
      </c>
      <c r="C24210" t="str">
        <f>"8313744"</f>
        <v>8313744</v>
      </c>
      <c r="D24210" t="s">
        <v>73292</v>
      </c>
      <c r="F24210" t="s">
        <v>73293</v>
      </c>
      <c r="I24210" t="s">
        <v>8536</v>
      </c>
      <c r="J24210" t="s">
        <v>30</v>
      </c>
      <c r="K24210" t="s">
        <v>73294</v>
      </c>
      <c r="M24210" t="s">
        <v>50500</v>
      </c>
      <c r="N24210" t="str">
        <f>"12/6/2024 10:52:00 AM"</f>
        <v>12/6/2024 10:52:00 AM</v>
      </c>
      <c r="O24210" t="s">
        <v>73292</v>
      </c>
    </row>
    <row r="24211" spans="1:20" x14ac:dyDescent="0.25">
      <c r="A24211" t="str">
        <f>"3063945"</f>
        <v>3063945</v>
      </c>
      <c r="B24211" t="s">
        <v>73295</v>
      </c>
      <c r="C24211" t="str">
        <f>"8313744"</f>
        <v>8313744</v>
      </c>
      <c r="D24211" t="s">
        <v>73292</v>
      </c>
      <c r="F24211" t="s">
        <v>73293</v>
      </c>
      <c r="I24211" t="s">
        <v>8536</v>
      </c>
      <c r="J24211" t="s">
        <v>30</v>
      </c>
      <c r="K24211" t="s">
        <v>73294</v>
      </c>
      <c r="M24211" t="s">
        <v>50500</v>
      </c>
      <c r="N24211" t="str">
        <f>"12/6/2024 10:52:00 AM"</f>
        <v>12/6/2024 10:52:00 AM</v>
      </c>
      <c r="O24211" t="s">
        <v>73292</v>
      </c>
    </row>
    <row r="24212" spans="1:20" x14ac:dyDescent="0.25">
      <c r="A24212" t="str">
        <f>"3068152"</f>
        <v>3068152</v>
      </c>
      <c r="B24212" t="s">
        <v>73296</v>
      </c>
      <c r="C24212" t="str">
        <f>"8313744"</f>
        <v>8313744</v>
      </c>
      <c r="D24212" t="s">
        <v>73292</v>
      </c>
      <c r="F24212" t="s">
        <v>73293</v>
      </c>
      <c r="I24212" t="s">
        <v>8536</v>
      </c>
      <c r="J24212" t="s">
        <v>30</v>
      </c>
      <c r="K24212" t="s">
        <v>73294</v>
      </c>
      <c r="M24212" t="s">
        <v>50500</v>
      </c>
      <c r="N24212" t="str">
        <f>"12/6/2024 10:52:00 AM"</f>
        <v>12/6/2024 10:52:00 AM</v>
      </c>
      <c r="O24212" t="s">
        <v>73292</v>
      </c>
    </row>
    <row r="24213" spans="1:20" x14ac:dyDescent="0.25">
      <c r="A24213" t="str">
        <f>"3048364"</f>
        <v>3048364</v>
      </c>
      <c r="B24213" t="s">
        <v>73297</v>
      </c>
      <c r="C24213" t="str">
        <f>"8323518"</f>
        <v>8323518</v>
      </c>
      <c r="D24213" t="s">
        <v>73298</v>
      </c>
      <c r="E24213" t="s">
        <v>73299</v>
      </c>
      <c r="F24213" t="s">
        <v>73300</v>
      </c>
      <c r="I24213" t="s">
        <v>184</v>
      </c>
      <c r="J24213" t="s">
        <v>30</v>
      </c>
      <c r="K24213" t="s">
        <v>24196</v>
      </c>
      <c r="M24213" t="s">
        <v>50500</v>
      </c>
      <c r="N24213" t="str">
        <f>"12/6/2024 10:56:00 AM"</f>
        <v>12/6/2024 10:56:00 AM</v>
      </c>
      <c r="O24213" t="s">
        <v>73298</v>
      </c>
      <c r="T24213" t="s">
        <v>73299</v>
      </c>
    </row>
    <row r="24214" spans="1:20" x14ac:dyDescent="0.25">
      <c r="A24214" t="str">
        <f>"3048939"</f>
        <v>3048939</v>
      </c>
      <c r="B24214" t="s">
        <v>73301</v>
      </c>
      <c r="C24214" t="str">
        <f>"8320827"</f>
        <v>8320827</v>
      </c>
      <c r="D24214" t="s">
        <v>73302</v>
      </c>
      <c r="F24214" t="s">
        <v>73303</v>
      </c>
      <c r="I24214" t="s">
        <v>1107</v>
      </c>
      <c r="J24214" t="s">
        <v>30</v>
      </c>
      <c r="K24214" t="s">
        <v>73304</v>
      </c>
      <c r="M24214" t="s">
        <v>18479</v>
      </c>
      <c r="N24214" t="str">
        <f>"12/13/2024 3:41:00 PM"</f>
        <v>12/13/2024 3:41:00 PM</v>
      </c>
      <c r="O24214" t="s">
        <v>73302</v>
      </c>
    </row>
    <row r="24215" spans="1:20" x14ac:dyDescent="0.25">
      <c r="A24215" t="str">
        <f>"3048535"</f>
        <v>3048535</v>
      </c>
      <c r="B24215" t="s">
        <v>73305</v>
      </c>
      <c r="C24215" t="str">
        <f>"82522621"</f>
        <v>82522621</v>
      </c>
      <c r="D24215" t="s">
        <v>73306</v>
      </c>
      <c r="F24215" t="s">
        <v>73307</v>
      </c>
      <c r="I24215" t="s">
        <v>402</v>
      </c>
      <c r="J24215" t="s">
        <v>30</v>
      </c>
      <c r="K24215" t="s">
        <v>73308</v>
      </c>
      <c r="M24215" t="s">
        <v>50793</v>
      </c>
      <c r="N24215" t="str">
        <f>"12/16/2024 11:06:00 AM"</f>
        <v>12/16/2024 11:06:00 AM</v>
      </c>
      <c r="O24215" t="s">
        <v>73306</v>
      </c>
    </row>
    <row r="24216" spans="1:20" x14ac:dyDescent="0.25">
      <c r="A24216" t="str">
        <f>"3040650"</f>
        <v>3040650</v>
      </c>
      <c r="B24216" t="s">
        <v>73309</v>
      </c>
      <c r="C24216" t="str">
        <f>"8323579"</f>
        <v>8323579</v>
      </c>
      <c r="D24216" t="s">
        <v>73310</v>
      </c>
      <c r="E24216" t="s">
        <v>73311</v>
      </c>
      <c r="F24216" t="s">
        <v>73312</v>
      </c>
      <c r="I24216" t="s">
        <v>184</v>
      </c>
      <c r="J24216" t="s">
        <v>30</v>
      </c>
      <c r="K24216" t="s">
        <v>43497</v>
      </c>
      <c r="M24216" t="s">
        <v>50500</v>
      </c>
      <c r="N24216" t="str">
        <f>"12/16/2024 11:22:00 AM"</f>
        <v>12/16/2024 11:22:00 AM</v>
      </c>
      <c r="O24216" t="s">
        <v>73310</v>
      </c>
      <c r="T24216" t="s">
        <v>73311</v>
      </c>
    </row>
    <row r="24217" spans="1:20" x14ac:dyDescent="0.25">
      <c r="A24217" t="str">
        <f>"3038992"</f>
        <v>3038992</v>
      </c>
      <c r="B24217" t="s">
        <v>73313</v>
      </c>
      <c r="C24217" t="str">
        <f>"10958000"</f>
        <v>10958000</v>
      </c>
      <c r="D24217" t="s">
        <v>73314</v>
      </c>
      <c r="E24217" t="s">
        <v>73315</v>
      </c>
      <c r="F24217" t="s">
        <v>73316</v>
      </c>
      <c r="I24217" t="s">
        <v>29</v>
      </c>
      <c r="J24217" t="s">
        <v>30</v>
      </c>
      <c r="K24217" t="s">
        <v>41428</v>
      </c>
      <c r="M24217" t="s">
        <v>50500</v>
      </c>
      <c r="N24217" t="str">
        <f>"12/19/2024 11:15:00 AM"</f>
        <v>12/19/2024 11:15:00 AM</v>
      </c>
      <c r="O24217" t="s">
        <v>73314</v>
      </c>
      <c r="T24217" t="s">
        <v>73315</v>
      </c>
    </row>
    <row r="24218" spans="1:20" x14ac:dyDescent="0.25">
      <c r="A24218" t="str">
        <f>"3053992"</f>
        <v>3053992</v>
      </c>
      <c r="B24218" t="s">
        <v>73317</v>
      </c>
      <c r="C24218" t="str">
        <f>"8323610"</f>
        <v>8323610</v>
      </c>
      <c r="D24218" t="s">
        <v>73318</v>
      </c>
      <c r="E24218" t="s">
        <v>73319</v>
      </c>
      <c r="F24218" t="s">
        <v>73320</v>
      </c>
      <c r="I24218" t="s">
        <v>29</v>
      </c>
      <c r="J24218" t="s">
        <v>30</v>
      </c>
      <c r="K24218" t="str">
        <f>"27028"</f>
        <v>27028</v>
      </c>
      <c r="M24218" t="s">
        <v>50500</v>
      </c>
      <c r="N24218" t="str">
        <f>"12/19/2024 11:21:00 AM"</f>
        <v>12/19/2024 11:21:00 AM</v>
      </c>
      <c r="O24218" t="s">
        <v>73318</v>
      </c>
      <c r="T24218" t="s">
        <v>73319</v>
      </c>
    </row>
    <row r="24219" spans="1:20" x14ac:dyDescent="0.25">
      <c r="A24219" t="str">
        <f>"3078892"</f>
        <v>3078892</v>
      </c>
      <c r="B24219" t="s">
        <v>73321</v>
      </c>
      <c r="C24219" t="str">
        <f>"8323611"</f>
        <v>8323611</v>
      </c>
      <c r="D24219" t="s">
        <v>73322</v>
      </c>
      <c r="E24219" t="s">
        <v>73323</v>
      </c>
      <c r="F24219" t="s">
        <v>73324</v>
      </c>
      <c r="I24219" t="s">
        <v>29</v>
      </c>
      <c r="J24219" t="s">
        <v>30</v>
      </c>
      <c r="K24219" t="s">
        <v>36114</v>
      </c>
      <c r="M24219" t="s">
        <v>50500</v>
      </c>
      <c r="N24219" t="str">
        <f>"12/19/2024 11:26:00 AM"</f>
        <v>12/19/2024 11:26:00 AM</v>
      </c>
      <c r="O24219" t="s">
        <v>73322</v>
      </c>
      <c r="T24219" t="s">
        <v>73323</v>
      </c>
    </row>
    <row r="24220" spans="1:20" x14ac:dyDescent="0.25">
      <c r="A24220" t="str">
        <f>"3062896"</f>
        <v>3062896</v>
      </c>
      <c r="B24220" t="s">
        <v>73325</v>
      </c>
      <c r="C24220" t="str">
        <f>"8323612"</f>
        <v>8323612</v>
      </c>
      <c r="D24220" t="s">
        <v>73326</v>
      </c>
      <c r="E24220" t="s">
        <v>73327</v>
      </c>
      <c r="F24220" t="s">
        <v>73328</v>
      </c>
      <c r="I24220" t="s">
        <v>29</v>
      </c>
      <c r="J24220" t="s">
        <v>30</v>
      </c>
      <c r="K24220" t="str">
        <f>"27028"</f>
        <v>27028</v>
      </c>
      <c r="M24220" t="s">
        <v>50500</v>
      </c>
      <c r="N24220" t="str">
        <f>"12/19/2024 11:40:00 AM"</f>
        <v>12/19/2024 11:40:00 AM</v>
      </c>
      <c r="O24220" t="s">
        <v>73326</v>
      </c>
      <c r="T24220" t="s">
        <v>73327</v>
      </c>
    </row>
    <row r="24221" spans="1:20" x14ac:dyDescent="0.25">
      <c r="A24221" t="str">
        <f>"3044904"</f>
        <v>3044904</v>
      </c>
      <c r="B24221" t="s">
        <v>73329</v>
      </c>
      <c r="C24221" t="str">
        <f>"8323613"</f>
        <v>8323613</v>
      </c>
      <c r="D24221" t="s">
        <v>73330</v>
      </c>
      <c r="E24221" t="s">
        <v>73331</v>
      </c>
      <c r="F24221" t="s">
        <v>73332</v>
      </c>
      <c r="I24221" t="s">
        <v>184</v>
      </c>
      <c r="J24221" t="s">
        <v>30</v>
      </c>
      <c r="K24221" t="s">
        <v>6103</v>
      </c>
      <c r="M24221" t="s">
        <v>50500</v>
      </c>
      <c r="N24221" t="str">
        <f>"12/19/2024 11:48:00 AM"</f>
        <v>12/19/2024 11:48:00 AM</v>
      </c>
      <c r="O24221" t="s">
        <v>73330</v>
      </c>
      <c r="T24221" t="s">
        <v>73331</v>
      </c>
    </row>
    <row r="24222" spans="1:20" x14ac:dyDescent="0.25">
      <c r="A24222" t="str">
        <f>"3062641"</f>
        <v>3062641</v>
      </c>
      <c r="B24222" t="s">
        <v>73333</v>
      </c>
      <c r="C24222" t="str">
        <f>"8323614"</f>
        <v>8323614</v>
      </c>
      <c r="D24222" t="s">
        <v>73334</v>
      </c>
      <c r="E24222" t="s">
        <v>73335</v>
      </c>
      <c r="F24222" t="s">
        <v>73336</v>
      </c>
      <c r="I24222" t="s">
        <v>184</v>
      </c>
      <c r="J24222" t="s">
        <v>30</v>
      </c>
      <c r="K24222" t="s">
        <v>64153</v>
      </c>
      <c r="M24222" t="s">
        <v>50500</v>
      </c>
      <c r="N24222" t="str">
        <f>"12/19/2024 11:52:00 AM"</f>
        <v>12/19/2024 11:52:00 AM</v>
      </c>
      <c r="O24222" t="s">
        <v>73334</v>
      </c>
      <c r="T24222" t="s">
        <v>73335</v>
      </c>
    </row>
    <row r="24223" spans="1:20" x14ac:dyDescent="0.25">
      <c r="A24223" t="str">
        <f>"3051893"</f>
        <v>3051893</v>
      </c>
      <c r="B24223" t="s">
        <v>73337</v>
      </c>
      <c r="C24223" t="str">
        <f>"8305866"</f>
        <v>8305866</v>
      </c>
      <c r="D24223" t="s">
        <v>48598</v>
      </c>
      <c r="F24223" t="s">
        <v>48599</v>
      </c>
      <c r="I24223" t="s">
        <v>29</v>
      </c>
      <c r="J24223" t="s">
        <v>30</v>
      </c>
      <c r="K24223" t="s">
        <v>12083</v>
      </c>
      <c r="M24223" t="s">
        <v>25733</v>
      </c>
      <c r="N24223" t="str">
        <f>"12/19/2024 11:56:00 AM"</f>
        <v>12/19/2024 11:56:00 AM</v>
      </c>
      <c r="O24223" t="s">
        <v>48598</v>
      </c>
    </row>
    <row r="24224" spans="1:20" x14ac:dyDescent="0.25">
      <c r="A24224" t="str">
        <f>"3061810"</f>
        <v>3061810</v>
      </c>
      <c r="B24224" t="s">
        <v>73338</v>
      </c>
      <c r="C24224" t="str">
        <f>"8323615"</f>
        <v>8323615</v>
      </c>
      <c r="D24224" t="s">
        <v>73339</v>
      </c>
      <c r="F24224" t="s">
        <v>73340</v>
      </c>
      <c r="I24224" t="s">
        <v>184</v>
      </c>
      <c r="J24224" t="s">
        <v>30</v>
      </c>
      <c r="K24224" t="s">
        <v>70411</v>
      </c>
      <c r="M24224" t="s">
        <v>50500</v>
      </c>
      <c r="N24224" t="str">
        <f>"12/19/2024 11:56:00 AM"</f>
        <v>12/19/2024 11:56:00 AM</v>
      </c>
      <c r="O24224" t="s">
        <v>73339</v>
      </c>
    </row>
    <row r="24225" spans="1:20" x14ac:dyDescent="0.25">
      <c r="A24225" t="str">
        <f>"3062173"</f>
        <v>3062173</v>
      </c>
      <c r="B24225" t="s">
        <v>73341</v>
      </c>
      <c r="C24225" t="str">
        <f>"8323616"</f>
        <v>8323616</v>
      </c>
      <c r="D24225" t="s">
        <v>73342</v>
      </c>
      <c r="E24225" t="s">
        <v>73343</v>
      </c>
      <c r="F24225" t="s">
        <v>73344</v>
      </c>
      <c r="I24225" t="s">
        <v>184</v>
      </c>
      <c r="J24225" t="s">
        <v>30</v>
      </c>
      <c r="K24225" t="s">
        <v>64153</v>
      </c>
      <c r="M24225" t="s">
        <v>50500</v>
      </c>
      <c r="N24225" t="str">
        <f>"12/19/2024 11:59:00 AM"</f>
        <v>12/19/2024 11:59:00 AM</v>
      </c>
      <c r="O24225" t="s">
        <v>73342</v>
      </c>
      <c r="T24225" t="s">
        <v>73343</v>
      </c>
    </row>
    <row r="24226" spans="1:20" x14ac:dyDescent="0.25">
      <c r="A24226" t="str">
        <f>"3067278"</f>
        <v>3067278</v>
      </c>
      <c r="B24226" t="s">
        <v>73345</v>
      </c>
      <c r="C24226" t="str">
        <f>"8323617"</f>
        <v>8323617</v>
      </c>
      <c r="D24226" t="s">
        <v>73346</v>
      </c>
      <c r="E24226" t="s">
        <v>73347</v>
      </c>
      <c r="F24226" t="s">
        <v>4255</v>
      </c>
      <c r="I24226" t="s">
        <v>2071</v>
      </c>
      <c r="J24226" t="s">
        <v>30</v>
      </c>
      <c r="K24226" t="s">
        <v>4183</v>
      </c>
      <c r="M24226" t="s">
        <v>50500</v>
      </c>
      <c r="N24226" t="str">
        <f>"12/19/2024 12:06:00 PM"</f>
        <v>12/19/2024 12:06:00 PM</v>
      </c>
      <c r="O24226" t="s">
        <v>73346</v>
      </c>
      <c r="T24226" t="s">
        <v>73347</v>
      </c>
    </row>
    <row r="24227" spans="1:20" x14ac:dyDescent="0.25">
      <c r="A24227" t="str">
        <f>"3040862"</f>
        <v>3040862</v>
      </c>
      <c r="B24227" t="s">
        <v>73348</v>
      </c>
      <c r="C24227" t="str">
        <f>"8323579"</f>
        <v>8323579</v>
      </c>
      <c r="D24227" t="s">
        <v>73310</v>
      </c>
      <c r="E24227" t="s">
        <v>73311</v>
      </c>
      <c r="F24227" t="s">
        <v>73312</v>
      </c>
      <c r="I24227" t="s">
        <v>184</v>
      </c>
      <c r="J24227" t="s">
        <v>30</v>
      </c>
      <c r="K24227" t="s">
        <v>43497</v>
      </c>
      <c r="M24227" t="s">
        <v>50500</v>
      </c>
      <c r="N24227" t="str">
        <f>"12/16/2024 11:22:00 AM"</f>
        <v>12/16/2024 11:22:00 AM</v>
      </c>
      <c r="O24227" t="s">
        <v>73310</v>
      </c>
      <c r="T24227" t="s">
        <v>73311</v>
      </c>
    </row>
    <row r="24228" spans="1:20" x14ac:dyDescent="0.25">
      <c r="A24228" t="str">
        <f>"3040293"</f>
        <v>3040293</v>
      </c>
      <c r="B24228" t="s">
        <v>73349</v>
      </c>
      <c r="C24228" t="str">
        <f>"8323579"</f>
        <v>8323579</v>
      </c>
      <c r="D24228" t="s">
        <v>73310</v>
      </c>
      <c r="E24228" t="s">
        <v>73311</v>
      </c>
      <c r="F24228" t="s">
        <v>73312</v>
      </c>
      <c r="I24228" t="s">
        <v>184</v>
      </c>
      <c r="J24228" t="s">
        <v>30</v>
      </c>
      <c r="K24228" t="s">
        <v>43497</v>
      </c>
      <c r="M24228" t="s">
        <v>50500</v>
      </c>
      <c r="N24228" t="str">
        <f>"12/16/2024 11:22:00 AM"</f>
        <v>12/16/2024 11:22:00 AM</v>
      </c>
      <c r="O24228" t="s">
        <v>73310</v>
      </c>
      <c r="T24228" t="s">
        <v>73311</v>
      </c>
    </row>
    <row r="24229" spans="1:20" x14ac:dyDescent="0.25">
      <c r="A24229" t="str">
        <f>"3063863"</f>
        <v>3063863</v>
      </c>
      <c r="B24229" t="s">
        <v>73350</v>
      </c>
      <c r="C24229" t="str">
        <f>"8323590"</f>
        <v>8323590</v>
      </c>
      <c r="D24229" t="s">
        <v>73351</v>
      </c>
      <c r="E24229" t="s">
        <v>73352</v>
      </c>
      <c r="F24229" t="s">
        <v>73353</v>
      </c>
      <c r="I24229" t="s">
        <v>184</v>
      </c>
      <c r="J24229" t="s">
        <v>30</v>
      </c>
      <c r="K24229" t="s">
        <v>73354</v>
      </c>
      <c r="M24229" t="s">
        <v>50500</v>
      </c>
      <c r="N24229" t="str">
        <f>"12/17/2024 3:06:00 PM"</f>
        <v>12/17/2024 3:06:00 PM</v>
      </c>
      <c r="O24229" t="s">
        <v>73351</v>
      </c>
      <c r="T24229" t="s">
        <v>73352</v>
      </c>
    </row>
    <row r="24230" spans="1:20" x14ac:dyDescent="0.25">
      <c r="A24230" t="str">
        <f>"3055691"</f>
        <v>3055691</v>
      </c>
      <c r="B24230" t="s">
        <v>73355</v>
      </c>
      <c r="C24230" t="str">
        <f>"8318789"</f>
        <v>8318789</v>
      </c>
      <c r="D24230" t="s">
        <v>66875</v>
      </c>
      <c r="F24230" t="s">
        <v>73356</v>
      </c>
      <c r="I24230" t="s">
        <v>9580</v>
      </c>
      <c r="J24230" t="s">
        <v>30</v>
      </c>
      <c r="K24230" t="s">
        <v>73357</v>
      </c>
      <c r="M24230" t="s">
        <v>50500</v>
      </c>
      <c r="N24230" t="str">
        <f>"12/19/2024 4:20:00 PM"</f>
        <v>12/19/2024 4:20:00 PM</v>
      </c>
      <c r="O24230" t="s">
        <v>66875</v>
      </c>
    </row>
    <row r="24231" spans="1:20" x14ac:dyDescent="0.25">
      <c r="A24231" t="str">
        <f>"3076633"</f>
        <v>3076633</v>
      </c>
      <c r="B24231" t="s">
        <v>73358</v>
      </c>
      <c r="C24231" t="str">
        <f>"8318789"</f>
        <v>8318789</v>
      </c>
      <c r="D24231" t="s">
        <v>66875</v>
      </c>
      <c r="F24231" t="s">
        <v>73356</v>
      </c>
      <c r="I24231" t="s">
        <v>9580</v>
      </c>
      <c r="J24231" t="s">
        <v>30</v>
      </c>
      <c r="K24231" t="s">
        <v>73357</v>
      </c>
      <c r="M24231" t="s">
        <v>50500</v>
      </c>
      <c r="N24231" t="str">
        <f>"12/19/2024 4:20:00 PM"</f>
        <v>12/19/2024 4:20:00 PM</v>
      </c>
      <c r="O24231" t="s">
        <v>66875</v>
      </c>
    </row>
    <row r="24232" spans="1:20" x14ac:dyDescent="0.25">
      <c r="A24232" t="str">
        <f>"3041459"</f>
        <v>3041459</v>
      </c>
      <c r="B24232" t="s">
        <v>73359</v>
      </c>
      <c r="C24232" t="str">
        <f>"8323619"</f>
        <v>8323619</v>
      </c>
      <c r="D24232" t="s">
        <v>73360</v>
      </c>
      <c r="E24232" t="s">
        <v>73361</v>
      </c>
      <c r="F24232" t="s">
        <v>73362</v>
      </c>
      <c r="I24232" t="s">
        <v>184</v>
      </c>
      <c r="J24232" t="s">
        <v>30</v>
      </c>
      <c r="K24232" t="s">
        <v>2136</v>
      </c>
      <c r="M24232" t="s">
        <v>50500</v>
      </c>
      <c r="N24232" t="str">
        <f>"12/19/2024 4:25:00 PM"</f>
        <v>12/19/2024 4:25:00 PM</v>
      </c>
      <c r="O24232" t="s">
        <v>73360</v>
      </c>
      <c r="T24232" t="s">
        <v>73361</v>
      </c>
    </row>
    <row r="24233" spans="1:20" x14ac:dyDescent="0.25">
      <c r="A24233" t="str">
        <f>"3062145"</f>
        <v>3062145</v>
      </c>
      <c r="B24233" t="s">
        <v>73363</v>
      </c>
      <c r="C24233" t="str">
        <f>"8323620"</f>
        <v>8323620</v>
      </c>
      <c r="D24233" t="s">
        <v>73364</v>
      </c>
      <c r="E24233" t="s">
        <v>73365</v>
      </c>
      <c r="F24233" t="s">
        <v>73366</v>
      </c>
      <c r="I24233" t="s">
        <v>29</v>
      </c>
      <c r="J24233" t="s">
        <v>30</v>
      </c>
      <c r="K24233" t="s">
        <v>56763</v>
      </c>
      <c r="M24233" t="s">
        <v>50500</v>
      </c>
      <c r="N24233" t="str">
        <f>"12/20/2024 8:47:00 AM"</f>
        <v>12/20/2024 8:47:00 AM</v>
      </c>
      <c r="O24233" t="s">
        <v>73364</v>
      </c>
      <c r="T24233" t="s">
        <v>73365</v>
      </c>
    </row>
    <row r="24234" spans="1:20" x14ac:dyDescent="0.25">
      <c r="A24234" t="str">
        <f>"3052365"</f>
        <v>3052365</v>
      </c>
      <c r="B24234" t="s">
        <v>73367</v>
      </c>
      <c r="C24234" t="str">
        <f>"8323621"</f>
        <v>8323621</v>
      </c>
      <c r="D24234" t="s">
        <v>73368</v>
      </c>
      <c r="E24234" t="s">
        <v>73369</v>
      </c>
      <c r="F24234" t="s">
        <v>73370</v>
      </c>
      <c r="I24234" t="s">
        <v>29</v>
      </c>
      <c r="J24234" t="s">
        <v>30</v>
      </c>
      <c r="K24234" t="s">
        <v>56884</v>
      </c>
      <c r="M24234" t="s">
        <v>50500</v>
      </c>
      <c r="N24234" t="str">
        <f>"12/20/2024 9:02:00 AM"</f>
        <v>12/20/2024 9:02:00 AM</v>
      </c>
      <c r="O24234" t="s">
        <v>73368</v>
      </c>
      <c r="T24234" t="s">
        <v>73369</v>
      </c>
    </row>
    <row r="24235" spans="1:20" x14ac:dyDescent="0.25">
      <c r="A24235" t="str">
        <f>"3048135"</f>
        <v>3048135</v>
      </c>
      <c r="B24235" t="s">
        <v>73371</v>
      </c>
      <c r="C24235" t="str">
        <f>"9610870"</f>
        <v>9610870</v>
      </c>
      <c r="D24235" t="s">
        <v>73372</v>
      </c>
      <c r="E24235" t="s">
        <v>73373</v>
      </c>
      <c r="F24235" t="s">
        <v>73374</v>
      </c>
      <c r="I24235" t="s">
        <v>184</v>
      </c>
      <c r="J24235" t="s">
        <v>30</v>
      </c>
      <c r="K24235" t="s">
        <v>46406</v>
      </c>
      <c r="M24235" t="s">
        <v>50793</v>
      </c>
      <c r="N24235" t="str">
        <f>"12/18/2024 9:32:00 AM"</f>
        <v>12/18/2024 9:32:00 AM</v>
      </c>
      <c r="O24235" t="s">
        <v>73372</v>
      </c>
      <c r="T24235" t="s">
        <v>73373</v>
      </c>
    </row>
    <row r="24236" spans="1:20" x14ac:dyDescent="0.25">
      <c r="A24236" t="str">
        <f>"3047902"</f>
        <v>3047902</v>
      </c>
      <c r="B24236" t="s">
        <v>73375</v>
      </c>
      <c r="C24236" t="str">
        <f>"9614250"</f>
        <v>9614250</v>
      </c>
      <c r="D24236" t="s">
        <v>73376</v>
      </c>
      <c r="F24236" t="s">
        <v>73374</v>
      </c>
      <c r="I24236" t="s">
        <v>184</v>
      </c>
      <c r="J24236" t="s">
        <v>30</v>
      </c>
      <c r="K24236" t="s">
        <v>46406</v>
      </c>
      <c r="M24236" t="s">
        <v>50621</v>
      </c>
      <c r="N24236" t="str">
        <f>"12/18/2024 9:51:00 AM"</f>
        <v>12/18/2024 9:51:00 AM</v>
      </c>
      <c r="O24236" t="s">
        <v>73376</v>
      </c>
    </row>
    <row r="24237" spans="1:20" x14ac:dyDescent="0.25">
      <c r="A24237" t="str">
        <f>"3047983"</f>
        <v>3047983</v>
      </c>
      <c r="B24237" t="s">
        <v>73377</v>
      </c>
      <c r="C24237" t="str">
        <f>"9614250"</f>
        <v>9614250</v>
      </c>
      <c r="D24237" t="s">
        <v>73376</v>
      </c>
      <c r="F24237" t="s">
        <v>73374</v>
      </c>
      <c r="I24237" t="s">
        <v>184</v>
      </c>
      <c r="J24237" t="s">
        <v>30</v>
      </c>
      <c r="K24237" t="s">
        <v>46406</v>
      </c>
      <c r="M24237" t="s">
        <v>50621</v>
      </c>
      <c r="N24237" t="str">
        <f>"12/18/2024 9:51:00 AM"</f>
        <v>12/18/2024 9:51:00 AM</v>
      </c>
      <c r="O24237" t="s">
        <v>73376</v>
      </c>
    </row>
    <row r="24238" spans="1:20" x14ac:dyDescent="0.25">
      <c r="A24238" t="str">
        <f>"3047563"</f>
        <v>3047563</v>
      </c>
      <c r="B24238" t="s">
        <v>73378</v>
      </c>
      <c r="C24238" t="str">
        <f>"9614250"</f>
        <v>9614250</v>
      </c>
      <c r="D24238" t="s">
        <v>73376</v>
      </c>
      <c r="F24238" t="s">
        <v>73374</v>
      </c>
      <c r="I24238" t="s">
        <v>184</v>
      </c>
      <c r="J24238" t="s">
        <v>30</v>
      </c>
      <c r="K24238" t="s">
        <v>46406</v>
      </c>
      <c r="M24238" t="s">
        <v>50621</v>
      </c>
      <c r="N24238" t="str">
        <f>"12/18/2024 9:51:00 AM"</f>
        <v>12/18/2024 9:51:00 AM</v>
      </c>
      <c r="O24238" t="s">
        <v>73376</v>
      </c>
    </row>
    <row r="24239" spans="1:20" x14ac:dyDescent="0.25">
      <c r="A24239" t="str">
        <f>"3064173"</f>
        <v>3064173</v>
      </c>
      <c r="B24239" t="s">
        <v>73379</v>
      </c>
      <c r="C24239" t="str">
        <f>"9614250"</f>
        <v>9614250</v>
      </c>
      <c r="D24239" t="s">
        <v>73376</v>
      </c>
      <c r="F24239" t="s">
        <v>73374</v>
      </c>
      <c r="I24239" t="s">
        <v>184</v>
      </c>
      <c r="J24239" t="s">
        <v>30</v>
      </c>
      <c r="K24239" t="s">
        <v>46406</v>
      </c>
      <c r="M24239" t="s">
        <v>50621</v>
      </c>
      <c r="N24239" t="str">
        <f>"12/18/2024 9:51:00 AM"</f>
        <v>12/18/2024 9:51:00 AM</v>
      </c>
      <c r="O24239" t="s">
        <v>73376</v>
      </c>
    </row>
    <row r="24240" spans="1:20" x14ac:dyDescent="0.25">
      <c r="A24240" t="str">
        <f>"3078364"</f>
        <v>3078364</v>
      </c>
      <c r="B24240" t="s">
        <v>73380</v>
      </c>
      <c r="C24240" t="str">
        <f>"9614250"</f>
        <v>9614250</v>
      </c>
      <c r="D24240" t="s">
        <v>73376</v>
      </c>
      <c r="F24240" t="s">
        <v>73374</v>
      </c>
      <c r="I24240" t="s">
        <v>184</v>
      </c>
      <c r="J24240" t="s">
        <v>30</v>
      </c>
      <c r="K24240" t="s">
        <v>46406</v>
      </c>
      <c r="M24240" t="s">
        <v>50621</v>
      </c>
      <c r="N24240" t="str">
        <f>"12/18/2024 9:51:00 AM"</f>
        <v>12/18/2024 9:51:00 AM</v>
      </c>
      <c r="O24240" t="s">
        <v>73376</v>
      </c>
    </row>
    <row r="24241" spans="1:20" x14ac:dyDescent="0.25">
      <c r="A24241" t="str">
        <f>"3044890"</f>
        <v>3044890</v>
      </c>
      <c r="B24241" t="s">
        <v>73381</v>
      </c>
      <c r="C24241" t="str">
        <f>"8323591"</f>
        <v>8323591</v>
      </c>
      <c r="D24241" t="s">
        <v>73382</v>
      </c>
      <c r="E24241" t="s">
        <v>73383</v>
      </c>
      <c r="F24241" t="s">
        <v>73384</v>
      </c>
      <c r="I24241" t="s">
        <v>184</v>
      </c>
      <c r="J24241" t="s">
        <v>30</v>
      </c>
      <c r="K24241" t="s">
        <v>19928</v>
      </c>
      <c r="M24241" t="s">
        <v>50500</v>
      </c>
      <c r="N24241" t="str">
        <f>"12/19/2024 8:40:00 AM"</f>
        <v>12/19/2024 8:40:00 AM</v>
      </c>
      <c r="O24241" t="s">
        <v>73382</v>
      </c>
      <c r="T24241" t="s">
        <v>73383</v>
      </c>
    </row>
    <row r="24242" spans="1:20" x14ac:dyDescent="0.25">
      <c r="A24242" t="str">
        <f>"3077067"</f>
        <v>3077067</v>
      </c>
      <c r="B24242" t="s">
        <v>73385</v>
      </c>
      <c r="C24242" t="str">
        <f>"8323593"</f>
        <v>8323593</v>
      </c>
      <c r="D24242" t="s">
        <v>73386</v>
      </c>
      <c r="E24242" t="s">
        <v>73387</v>
      </c>
      <c r="F24242" t="s">
        <v>73388</v>
      </c>
      <c r="I24242" t="s">
        <v>29</v>
      </c>
      <c r="J24242" t="s">
        <v>30</v>
      </c>
      <c r="K24242" t="s">
        <v>44426</v>
      </c>
      <c r="M24242" t="s">
        <v>50500</v>
      </c>
      <c r="N24242" t="str">
        <f>"12/19/2024 8:50:00 AM"</f>
        <v>12/19/2024 8:50:00 AM</v>
      </c>
      <c r="O24242" t="s">
        <v>73386</v>
      </c>
      <c r="T24242" t="s">
        <v>73387</v>
      </c>
    </row>
    <row r="24243" spans="1:20" x14ac:dyDescent="0.25">
      <c r="A24243" t="str">
        <f>"3062907"</f>
        <v>3062907</v>
      </c>
      <c r="B24243" t="s">
        <v>73389</v>
      </c>
      <c r="C24243" t="str">
        <f>"8323594"</f>
        <v>8323594</v>
      </c>
      <c r="D24243" t="s">
        <v>73390</v>
      </c>
      <c r="E24243" t="s">
        <v>73391</v>
      </c>
      <c r="F24243" t="s">
        <v>73392</v>
      </c>
      <c r="I24243" t="s">
        <v>1107</v>
      </c>
      <c r="J24243" t="s">
        <v>30</v>
      </c>
      <c r="K24243" t="s">
        <v>73393</v>
      </c>
      <c r="M24243" t="s">
        <v>50500</v>
      </c>
      <c r="N24243" t="str">
        <f>"12/19/2024 8:56:00 AM"</f>
        <v>12/19/2024 8:56:00 AM</v>
      </c>
      <c r="O24243" t="s">
        <v>73390</v>
      </c>
      <c r="T24243" t="s">
        <v>73391</v>
      </c>
    </row>
    <row r="24244" spans="1:20" x14ac:dyDescent="0.25">
      <c r="A24244" t="str">
        <f>"3039244"</f>
        <v>3039244</v>
      </c>
      <c r="B24244" t="s">
        <v>73394</v>
      </c>
      <c r="C24244" t="str">
        <f>"82529986"</f>
        <v>82529986</v>
      </c>
      <c r="D24244" t="s">
        <v>73395</v>
      </c>
      <c r="F24244" t="s">
        <v>33844</v>
      </c>
      <c r="I24244" t="s">
        <v>49</v>
      </c>
      <c r="J24244" t="s">
        <v>30</v>
      </c>
      <c r="K24244" t="s">
        <v>50</v>
      </c>
      <c r="L24244" t="s">
        <v>2497</v>
      </c>
      <c r="M24244" t="s">
        <v>18470</v>
      </c>
      <c r="N24244" t="str">
        <f>"12/13/2023 11:18:00 AM"</f>
        <v>12/13/2023 11:18:00 AM</v>
      </c>
      <c r="O24244" t="s">
        <v>73395</v>
      </c>
    </row>
    <row r="24245" spans="1:20" x14ac:dyDescent="0.25">
      <c r="A24245" t="str">
        <f>"3077762"</f>
        <v>3077762</v>
      </c>
      <c r="B24245" t="s">
        <v>73396</v>
      </c>
      <c r="C24245" t="str">
        <f>"82528668"</f>
        <v>82528668</v>
      </c>
      <c r="D24245" t="s">
        <v>73132</v>
      </c>
      <c r="F24245" t="s">
        <v>73133</v>
      </c>
      <c r="I24245" t="s">
        <v>184</v>
      </c>
      <c r="J24245" t="s">
        <v>30</v>
      </c>
      <c r="K24245" t="s">
        <v>45040</v>
      </c>
      <c r="M24245" t="s">
        <v>25733</v>
      </c>
      <c r="N24245" t="str">
        <f>"12/13/2024 9:30:00 AM"</f>
        <v>12/13/2024 9:30:00 AM</v>
      </c>
      <c r="O24245" t="s">
        <v>73132</v>
      </c>
    </row>
    <row r="24246" spans="1:20" x14ac:dyDescent="0.25">
      <c r="A24246" t="str">
        <f>"3073997"</f>
        <v>3073997</v>
      </c>
      <c r="B24246" t="s">
        <v>73397</v>
      </c>
      <c r="C24246" t="str">
        <f>"6572000"</f>
        <v>6572000</v>
      </c>
      <c r="D24246" t="s">
        <v>73131</v>
      </c>
      <c r="E24246" t="s">
        <v>73132</v>
      </c>
      <c r="F24246" t="s">
        <v>73133</v>
      </c>
      <c r="I24246" t="s">
        <v>184</v>
      </c>
      <c r="J24246" t="s">
        <v>30</v>
      </c>
      <c r="K24246" t="s">
        <v>45040</v>
      </c>
      <c r="M24246" t="s">
        <v>25733</v>
      </c>
      <c r="N24246" t="str">
        <f>"12/13/2024 9:31:00 AM"</f>
        <v>12/13/2024 9:31:00 AM</v>
      </c>
      <c r="O24246" t="s">
        <v>73131</v>
      </c>
      <c r="T24246" t="s">
        <v>73132</v>
      </c>
    </row>
    <row r="24247" spans="1:20" x14ac:dyDescent="0.25">
      <c r="A24247" t="str">
        <f>"3048904"</f>
        <v>3048904</v>
      </c>
      <c r="B24247" t="s">
        <v>73398</v>
      </c>
      <c r="C24247" t="str">
        <f>"8323609"</f>
        <v>8323609</v>
      </c>
      <c r="D24247" t="s">
        <v>73399</v>
      </c>
      <c r="F24247" t="s">
        <v>73400</v>
      </c>
      <c r="G24247" t="s">
        <v>3782</v>
      </c>
      <c r="I24247" t="s">
        <v>29290</v>
      </c>
      <c r="J24247" t="s">
        <v>3737</v>
      </c>
      <c r="K24247" t="s">
        <v>73401</v>
      </c>
      <c r="M24247" t="s">
        <v>50500</v>
      </c>
      <c r="N24247" t="str">
        <f>"12/19/2024 11:05:00 AM"</f>
        <v>12/19/2024 11:05:00 AM</v>
      </c>
      <c r="O24247" t="s">
        <v>73399</v>
      </c>
    </row>
    <row r="24248" spans="1:20" x14ac:dyDescent="0.25">
      <c r="A24248" t="str">
        <f>"3037789"</f>
        <v>3037789</v>
      </c>
      <c r="B24248" t="s">
        <v>73402</v>
      </c>
      <c r="C24248" t="str">
        <f>"10958000"</f>
        <v>10958000</v>
      </c>
      <c r="D24248" t="s">
        <v>73314</v>
      </c>
      <c r="E24248" t="s">
        <v>73315</v>
      </c>
      <c r="F24248" t="s">
        <v>73316</v>
      </c>
      <c r="I24248" t="s">
        <v>29</v>
      </c>
      <c r="J24248" t="s">
        <v>30</v>
      </c>
      <c r="K24248" t="s">
        <v>41428</v>
      </c>
      <c r="M24248" t="s">
        <v>50500</v>
      </c>
      <c r="N24248" t="str">
        <f>"12/19/2024 11:15:00 AM"</f>
        <v>12/19/2024 11:15:00 AM</v>
      </c>
      <c r="O24248" t="s">
        <v>73314</v>
      </c>
      <c r="T24248" t="s">
        <v>73315</v>
      </c>
    </row>
    <row r="24249" spans="1:20" x14ac:dyDescent="0.25">
      <c r="A24249" t="str">
        <f>"3044029"</f>
        <v>3044029</v>
      </c>
      <c r="B24249" t="s">
        <v>73403</v>
      </c>
      <c r="C24249" t="str">
        <f>"8314182"</f>
        <v>8314182</v>
      </c>
      <c r="D24249" t="s">
        <v>73404</v>
      </c>
      <c r="F24249" t="s">
        <v>73405</v>
      </c>
      <c r="I24249" t="s">
        <v>184</v>
      </c>
      <c r="J24249" t="s">
        <v>30</v>
      </c>
      <c r="K24249" t="s">
        <v>36030</v>
      </c>
      <c r="M24249" t="s">
        <v>25733</v>
      </c>
      <c r="N24249" t="str">
        <f>"12/19/2024 3:34:00 PM"</f>
        <v>12/19/2024 3:34:00 PM</v>
      </c>
      <c r="O24249" t="s">
        <v>73404</v>
      </c>
    </row>
    <row r="24250" spans="1:20" x14ac:dyDescent="0.25">
      <c r="A24250" t="str">
        <f>"3046539"</f>
        <v>3046539</v>
      </c>
      <c r="B24250" t="s">
        <v>73406</v>
      </c>
      <c r="C24250" t="str">
        <f>"37309000"</f>
        <v>37309000</v>
      </c>
      <c r="D24250" t="s">
        <v>73407</v>
      </c>
      <c r="F24250" t="s">
        <v>73408</v>
      </c>
      <c r="I24250" t="s">
        <v>184</v>
      </c>
      <c r="J24250" t="s">
        <v>30</v>
      </c>
      <c r="K24250" t="s">
        <v>73409</v>
      </c>
      <c r="M24250" t="s">
        <v>50500</v>
      </c>
      <c r="N24250" t="str">
        <f>"12/19/2024 3:50:00 PM"</f>
        <v>12/19/2024 3:50:00 PM</v>
      </c>
      <c r="O24250" t="s">
        <v>73407</v>
      </c>
    </row>
    <row r="24251" spans="1:20" x14ac:dyDescent="0.25">
      <c r="A24251" t="str">
        <f>"3046753"</f>
        <v>3046753</v>
      </c>
      <c r="B24251" t="s">
        <v>73410</v>
      </c>
      <c r="C24251" t="str">
        <f>"37309000"</f>
        <v>37309000</v>
      </c>
      <c r="D24251" t="s">
        <v>73407</v>
      </c>
      <c r="F24251" t="s">
        <v>73408</v>
      </c>
      <c r="I24251" t="s">
        <v>184</v>
      </c>
      <c r="J24251" t="s">
        <v>30</v>
      </c>
      <c r="K24251" t="s">
        <v>73409</v>
      </c>
      <c r="M24251" t="s">
        <v>50500</v>
      </c>
      <c r="N24251" t="str">
        <f>"12/19/2024 3:50:00 PM"</f>
        <v>12/19/2024 3:50:00 PM</v>
      </c>
      <c r="O24251" t="s">
        <v>73407</v>
      </c>
    </row>
    <row r="24252" spans="1:20" x14ac:dyDescent="0.25">
      <c r="A24252" t="str">
        <f>"3040988"</f>
        <v>3040988</v>
      </c>
      <c r="B24252" t="s">
        <v>73411</v>
      </c>
      <c r="C24252" t="str">
        <f>"8323622"</f>
        <v>8323622</v>
      </c>
      <c r="D24252" t="s">
        <v>73412</v>
      </c>
      <c r="E24252" t="s">
        <v>73413</v>
      </c>
      <c r="F24252" t="s">
        <v>73414</v>
      </c>
      <c r="I24252" t="s">
        <v>184</v>
      </c>
      <c r="J24252" t="s">
        <v>30</v>
      </c>
      <c r="K24252" t="s">
        <v>73415</v>
      </c>
      <c r="M24252" t="s">
        <v>50500</v>
      </c>
      <c r="N24252" t="str">
        <f>"12/20/2024 9:30:00 AM"</f>
        <v>12/20/2024 9:30:00 AM</v>
      </c>
      <c r="O24252" t="s">
        <v>73412</v>
      </c>
      <c r="T24252" t="s">
        <v>73413</v>
      </c>
    </row>
    <row r="24253" spans="1:20" x14ac:dyDescent="0.25">
      <c r="A24253" t="str">
        <f>"3041588"</f>
        <v>3041588</v>
      </c>
      <c r="B24253" t="s">
        <v>73416</v>
      </c>
      <c r="C24253" t="str">
        <f>"8302605"</f>
        <v>8302605</v>
      </c>
      <c r="D24253" t="str">
        <f>"THE BIG W REV TRUST 9/13/13"</f>
        <v>THE BIG W REV TRUST 9/13/13</v>
      </c>
      <c r="E24253" t="s">
        <v>73417</v>
      </c>
      <c r="F24253" t="s">
        <v>73418</v>
      </c>
      <c r="I24253" t="s">
        <v>471</v>
      </c>
      <c r="J24253" t="s">
        <v>30</v>
      </c>
      <c r="K24253" t="s">
        <v>73419</v>
      </c>
      <c r="M24253" t="s">
        <v>52111</v>
      </c>
      <c r="N24253" t="str">
        <f>"12/23/2024 10:14:00 AM"</f>
        <v>12/23/2024 10:14:00 AM</v>
      </c>
      <c r="O24253" t="str">
        <f>"THE BIG W REV TRUST 9/13/13"</f>
        <v>THE BIG W REV TRUST 9/13/13</v>
      </c>
      <c r="T24253" t="s">
        <v>73417</v>
      </c>
    </row>
    <row r="24254" spans="1:20" x14ac:dyDescent="0.25">
      <c r="A24254" t="str">
        <f>"3046165"</f>
        <v>3046165</v>
      </c>
      <c r="B24254" t="s">
        <v>73420</v>
      </c>
      <c r="C24254" t="str">
        <f>"48592000"</f>
        <v>48592000</v>
      </c>
      <c r="D24254" t="s">
        <v>73421</v>
      </c>
      <c r="E24254" t="s">
        <v>73422</v>
      </c>
      <c r="F24254" t="s">
        <v>73423</v>
      </c>
      <c r="I24254" t="s">
        <v>5235</v>
      </c>
      <c r="J24254" t="s">
        <v>30</v>
      </c>
      <c r="K24254" t="str">
        <f>"28023"</f>
        <v>28023</v>
      </c>
      <c r="M24254" t="s">
        <v>25625</v>
      </c>
      <c r="N24254" t="str">
        <f>"12/23/2024 11:40:00 AM"</f>
        <v>12/23/2024 11:40:00 AM</v>
      </c>
      <c r="O24254" t="s">
        <v>73421</v>
      </c>
      <c r="T24254" t="s">
        <v>73422</v>
      </c>
    </row>
    <row r="24255" spans="1:20" x14ac:dyDescent="0.25">
      <c r="A24255" t="str">
        <f>"3045893"</f>
        <v>3045893</v>
      </c>
      <c r="B24255" t="s">
        <v>73424</v>
      </c>
      <c r="C24255" t="str">
        <f>"48592000"</f>
        <v>48592000</v>
      </c>
      <c r="D24255" t="s">
        <v>73421</v>
      </c>
      <c r="E24255" t="s">
        <v>73422</v>
      </c>
      <c r="F24255" t="s">
        <v>73423</v>
      </c>
      <c r="I24255" t="s">
        <v>5235</v>
      </c>
      <c r="J24255" t="s">
        <v>30</v>
      </c>
      <c r="K24255" t="str">
        <f>"28023"</f>
        <v>28023</v>
      </c>
      <c r="M24255" t="s">
        <v>25625</v>
      </c>
      <c r="N24255" t="str">
        <f>"12/23/2024 11:40:00 AM"</f>
        <v>12/23/2024 11:40:00 AM</v>
      </c>
      <c r="O24255" t="s">
        <v>73421</v>
      </c>
      <c r="T24255" t="s">
        <v>73422</v>
      </c>
    </row>
    <row r="24256" spans="1:20" x14ac:dyDescent="0.25">
      <c r="A24256" t="str">
        <f>"3068060"</f>
        <v>3068060</v>
      </c>
      <c r="B24256" t="s">
        <v>73425</v>
      </c>
      <c r="C24256" t="str">
        <f>"48592000"</f>
        <v>48592000</v>
      </c>
      <c r="D24256" t="s">
        <v>73421</v>
      </c>
      <c r="E24256" t="s">
        <v>73422</v>
      </c>
      <c r="F24256" t="s">
        <v>73423</v>
      </c>
      <c r="I24256" t="s">
        <v>5235</v>
      </c>
      <c r="J24256" t="s">
        <v>30</v>
      </c>
      <c r="K24256" t="str">
        <f>"28023"</f>
        <v>28023</v>
      </c>
      <c r="M24256" t="s">
        <v>25625</v>
      </c>
      <c r="N24256" t="str">
        <f>"12/23/2024 11:40:00 AM"</f>
        <v>12/23/2024 11:40:00 AM</v>
      </c>
      <c r="O24256" t="s">
        <v>73421</v>
      </c>
      <c r="T24256" t="s">
        <v>73422</v>
      </c>
    </row>
    <row r="24257" spans="1:20" x14ac:dyDescent="0.25">
      <c r="A24257" t="str">
        <f>"3056369"</f>
        <v>3056369</v>
      </c>
      <c r="B24257" t="s">
        <v>73426</v>
      </c>
      <c r="C24257" t="str">
        <f>"8323636"</f>
        <v>8323636</v>
      </c>
      <c r="D24257" t="s">
        <v>73427</v>
      </c>
      <c r="F24257" t="s">
        <v>73428</v>
      </c>
      <c r="I24257" t="s">
        <v>402</v>
      </c>
      <c r="J24257" t="s">
        <v>30</v>
      </c>
      <c r="K24257" t="s">
        <v>73429</v>
      </c>
      <c r="M24257" t="s">
        <v>50500</v>
      </c>
      <c r="N24257" t="str">
        <f>"12/27/2024 8:32:00 AM"</f>
        <v>12/27/2024 8:32:00 AM</v>
      </c>
      <c r="O24257" t="s">
        <v>73427</v>
      </c>
    </row>
    <row r="24258" spans="1:20" x14ac:dyDescent="0.25">
      <c r="A24258" t="str">
        <f>"3047391"</f>
        <v>3047391</v>
      </c>
      <c r="B24258" t="s">
        <v>73430</v>
      </c>
      <c r="C24258" t="str">
        <f>"8305706"</f>
        <v>8305706</v>
      </c>
      <c r="D24258" t="s">
        <v>73431</v>
      </c>
      <c r="E24258" t="s">
        <v>73432</v>
      </c>
      <c r="F24258" t="s">
        <v>73433</v>
      </c>
      <c r="I24258" t="s">
        <v>14397</v>
      </c>
      <c r="J24258" t="s">
        <v>4132</v>
      </c>
      <c r="K24258" t="s">
        <v>73434</v>
      </c>
      <c r="M24258" t="s">
        <v>25733</v>
      </c>
      <c r="N24258" t="str">
        <f>"12/27/2024 10:04:00 AM"</f>
        <v>12/27/2024 10:04:00 AM</v>
      </c>
      <c r="O24258" t="s">
        <v>73431</v>
      </c>
      <c r="T24258" t="s">
        <v>73432</v>
      </c>
    </row>
    <row r="24259" spans="1:20" x14ac:dyDescent="0.25">
      <c r="A24259" t="str">
        <f>"3047409"</f>
        <v>3047409</v>
      </c>
      <c r="B24259" t="s">
        <v>73435</v>
      </c>
      <c r="C24259" t="str">
        <f>"8305706"</f>
        <v>8305706</v>
      </c>
      <c r="D24259" t="s">
        <v>73431</v>
      </c>
      <c r="E24259" t="s">
        <v>73432</v>
      </c>
      <c r="F24259" t="s">
        <v>73433</v>
      </c>
      <c r="I24259" t="s">
        <v>14397</v>
      </c>
      <c r="J24259" t="s">
        <v>4132</v>
      </c>
      <c r="K24259" t="s">
        <v>73434</v>
      </c>
      <c r="M24259" t="s">
        <v>25733</v>
      </c>
      <c r="N24259" t="str">
        <f>"12/27/2024 10:04:00 AM"</f>
        <v>12/27/2024 10:04:00 AM</v>
      </c>
      <c r="O24259" t="s">
        <v>73431</v>
      </c>
      <c r="T24259" t="s">
        <v>73432</v>
      </c>
    </row>
    <row r="24260" spans="1:20" x14ac:dyDescent="0.25">
      <c r="A24260" t="str">
        <f>"3044865"</f>
        <v>3044865</v>
      </c>
      <c r="B24260" t="s">
        <v>73436</v>
      </c>
      <c r="C24260" t="str">
        <f>"82527496"</f>
        <v>82527496</v>
      </c>
      <c r="D24260" t="s">
        <v>73437</v>
      </c>
      <c r="E24260" t="s">
        <v>73438</v>
      </c>
      <c r="F24260" t="s">
        <v>73439</v>
      </c>
      <c r="I24260" t="s">
        <v>184</v>
      </c>
      <c r="J24260" t="s">
        <v>30</v>
      </c>
      <c r="K24260" t="s">
        <v>185</v>
      </c>
      <c r="M24260" t="s">
        <v>50793</v>
      </c>
      <c r="N24260" t="str">
        <f>"12/27/2024 10:44:00 AM"</f>
        <v>12/27/2024 10:44:00 AM</v>
      </c>
      <c r="O24260" t="s">
        <v>73437</v>
      </c>
      <c r="T24260" t="s">
        <v>73438</v>
      </c>
    </row>
    <row r="24261" spans="1:20" x14ac:dyDescent="0.25">
      <c r="A24261" t="str">
        <f>"3058513"</f>
        <v>3058513</v>
      </c>
      <c r="B24261" t="s">
        <v>73440</v>
      </c>
      <c r="C24261" t="str">
        <f>"8313135"</f>
        <v>8313135</v>
      </c>
      <c r="D24261" t="s">
        <v>73441</v>
      </c>
      <c r="E24261" t="s">
        <v>73442</v>
      </c>
      <c r="F24261" t="s">
        <v>73443</v>
      </c>
      <c r="I24261" t="s">
        <v>29</v>
      </c>
      <c r="J24261" t="s">
        <v>30</v>
      </c>
      <c r="K24261" t="s">
        <v>72715</v>
      </c>
      <c r="M24261" t="s">
        <v>51351</v>
      </c>
      <c r="N24261" t="str">
        <f>"12/27/2024 12:21:00 PM"</f>
        <v>12/27/2024 12:21:00 PM</v>
      </c>
      <c r="O24261" t="s">
        <v>73441</v>
      </c>
      <c r="T24261" t="s">
        <v>73442</v>
      </c>
    </row>
    <row r="24262" spans="1:20" x14ac:dyDescent="0.25">
      <c r="A24262" t="str">
        <f>"3058514"</f>
        <v>3058514</v>
      </c>
      <c r="B24262" t="s">
        <v>73444</v>
      </c>
      <c r="C24262" t="str">
        <f>"8307503"</f>
        <v>8307503</v>
      </c>
      <c r="D24262" t="s">
        <v>73445</v>
      </c>
      <c r="F24262" t="s">
        <v>73443</v>
      </c>
      <c r="I24262" t="s">
        <v>29</v>
      </c>
      <c r="J24262" t="s">
        <v>30</v>
      </c>
      <c r="K24262" t="s">
        <v>72715</v>
      </c>
      <c r="M24262" t="s">
        <v>51351</v>
      </c>
      <c r="N24262" t="str">
        <f>"12/27/2024 12:22:00 PM"</f>
        <v>12/27/2024 12:22:00 PM</v>
      </c>
      <c r="O24262" t="s">
        <v>73445</v>
      </c>
    </row>
    <row r="24263" spans="1:20" x14ac:dyDescent="0.25">
      <c r="A24263" t="str">
        <f>"3044075"</f>
        <v>3044075</v>
      </c>
      <c r="B24263" t="s">
        <v>73446</v>
      </c>
      <c r="C24263" t="str">
        <f>"8317154"</f>
        <v>8317154</v>
      </c>
      <c r="D24263" t="s">
        <v>73447</v>
      </c>
      <c r="F24263" t="s">
        <v>73448</v>
      </c>
      <c r="I24263" t="s">
        <v>184</v>
      </c>
      <c r="J24263" t="s">
        <v>30</v>
      </c>
      <c r="K24263" t="s">
        <v>40207</v>
      </c>
      <c r="M24263" t="s">
        <v>52111</v>
      </c>
      <c r="N24263" t="str">
        <f>"12/27/2024 12:22:00 PM"</f>
        <v>12/27/2024 12:22:00 PM</v>
      </c>
      <c r="O24263" t="s">
        <v>73447</v>
      </c>
    </row>
    <row r="24264" spans="1:20" x14ac:dyDescent="0.25">
      <c r="A24264" t="str">
        <f>"3057353"</f>
        <v>3057353</v>
      </c>
      <c r="B24264" t="s">
        <v>73449</v>
      </c>
      <c r="C24264" t="str">
        <f>"19384000"</f>
        <v>19384000</v>
      </c>
      <c r="D24264" t="s">
        <v>73450</v>
      </c>
      <c r="F24264" t="s">
        <v>73451</v>
      </c>
      <c r="I24264" t="s">
        <v>184</v>
      </c>
      <c r="J24264" t="s">
        <v>30</v>
      </c>
      <c r="K24264" t="s">
        <v>19175</v>
      </c>
      <c r="M24264" t="s">
        <v>51351</v>
      </c>
      <c r="N24264" t="str">
        <f>"12/20/2024 9:56:00 AM"</f>
        <v>12/20/2024 9:56:00 AM</v>
      </c>
      <c r="O24264" t="s">
        <v>73450</v>
      </c>
    </row>
    <row r="24265" spans="1:20" x14ac:dyDescent="0.25">
      <c r="A24265" t="str">
        <f>"3059978"</f>
        <v>3059978</v>
      </c>
      <c r="B24265" t="s">
        <v>73452</v>
      </c>
      <c r="C24265" t="str">
        <f>"19384000"</f>
        <v>19384000</v>
      </c>
      <c r="D24265" t="s">
        <v>73450</v>
      </c>
      <c r="F24265" t="s">
        <v>73451</v>
      </c>
      <c r="I24265" t="s">
        <v>184</v>
      </c>
      <c r="J24265" t="s">
        <v>30</v>
      </c>
      <c r="K24265" t="s">
        <v>19175</v>
      </c>
      <c r="M24265" t="s">
        <v>51351</v>
      </c>
      <c r="N24265" t="str">
        <f>"12/20/2024 9:56:00 AM"</f>
        <v>12/20/2024 9:56:00 AM</v>
      </c>
      <c r="O24265" t="s">
        <v>73450</v>
      </c>
    </row>
    <row r="24266" spans="1:20" x14ac:dyDescent="0.25">
      <c r="A24266" t="str">
        <f>"3062668"</f>
        <v>3062668</v>
      </c>
      <c r="B24266" t="s">
        <v>73453</v>
      </c>
      <c r="C24266" t="str">
        <f>"8323624"</f>
        <v>8323624</v>
      </c>
      <c r="D24266" t="s">
        <v>73454</v>
      </c>
      <c r="E24266" t="s">
        <v>73455</v>
      </c>
      <c r="F24266" t="s">
        <v>73456</v>
      </c>
      <c r="I24266" t="s">
        <v>2071</v>
      </c>
      <c r="J24266" t="s">
        <v>30</v>
      </c>
      <c r="K24266" t="s">
        <v>41683</v>
      </c>
      <c r="M24266" t="s">
        <v>50500</v>
      </c>
      <c r="N24266" t="str">
        <f>"12/20/2024 10:31:00 AM"</f>
        <v>12/20/2024 10:31:00 AM</v>
      </c>
      <c r="O24266" t="s">
        <v>73454</v>
      </c>
      <c r="T24266" t="s">
        <v>73455</v>
      </c>
    </row>
    <row r="24267" spans="1:20" x14ac:dyDescent="0.25">
      <c r="A24267" t="str">
        <f>"3049983"</f>
        <v>3049983</v>
      </c>
      <c r="B24267" t="s">
        <v>73457</v>
      </c>
      <c r="C24267" t="str">
        <f>"8323625"</f>
        <v>8323625</v>
      </c>
      <c r="D24267" t="s">
        <v>73458</v>
      </c>
      <c r="F24267" t="s">
        <v>73459</v>
      </c>
      <c r="I24267" t="s">
        <v>17084</v>
      </c>
      <c r="J24267" t="s">
        <v>30</v>
      </c>
      <c r="K24267" t="s">
        <v>73460</v>
      </c>
      <c r="M24267" t="s">
        <v>50500</v>
      </c>
      <c r="N24267" t="str">
        <f>"12/20/2024 11:17:00 AM"</f>
        <v>12/20/2024 11:17:00 AM</v>
      </c>
      <c r="O24267" t="s">
        <v>73458</v>
      </c>
    </row>
    <row r="24268" spans="1:20" x14ac:dyDescent="0.25">
      <c r="A24268" t="str">
        <f>"3053234"</f>
        <v>3053234</v>
      </c>
      <c r="B24268" t="s">
        <v>73461</v>
      </c>
      <c r="C24268" t="str">
        <f>"82523267"</f>
        <v>82523267</v>
      </c>
      <c r="D24268" t="s">
        <v>73462</v>
      </c>
      <c r="F24268" t="s">
        <v>73463</v>
      </c>
      <c r="I24268" t="s">
        <v>50352</v>
      </c>
      <c r="J24268" t="s">
        <v>30</v>
      </c>
      <c r="K24268" t="s">
        <v>73464</v>
      </c>
      <c r="M24268" t="s">
        <v>18470</v>
      </c>
      <c r="N24268" t="str">
        <f>"12/20/2024 12:14:00 PM"</f>
        <v>12/20/2024 12:14:00 PM</v>
      </c>
      <c r="O24268" t="s">
        <v>73462</v>
      </c>
      <c r="T24268" t="s">
        <v>73462</v>
      </c>
    </row>
    <row r="24269" spans="1:20" x14ac:dyDescent="0.25">
      <c r="A24269" t="str">
        <f>"3055483"</f>
        <v>3055483</v>
      </c>
      <c r="B24269" t="s">
        <v>73465</v>
      </c>
      <c r="C24269" t="str">
        <f>"31233500"</f>
        <v>31233500</v>
      </c>
      <c r="D24269" t="s">
        <v>73466</v>
      </c>
      <c r="E24269" t="s">
        <v>14001</v>
      </c>
      <c r="F24269" t="s">
        <v>73443</v>
      </c>
      <c r="I24269" t="s">
        <v>29</v>
      </c>
      <c r="J24269" t="s">
        <v>30</v>
      </c>
      <c r="K24269" t="s">
        <v>72715</v>
      </c>
      <c r="M24269" t="s">
        <v>51351</v>
      </c>
      <c r="N24269" t="str">
        <f>"12/27/2024 12:23:00 PM"</f>
        <v>12/27/2024 12:23:00 PM</v>
      </c>
      <c r="O24269" t="s">
        <v>73466</v>
      </c>
      <c r="T24269" t="s">
        <v>14001</v>
      </c>
    </row>
    <row r="24270" spans="1:20" x14ac:dyDescent="0.25">
      <c r="A24270" t="str">
        <f>"3055529"</f>
        <v>3055529</v>
      </c>
      <c r="B24270" t="s">
        <v>73467</v>
      </c>
      <c r="C24270" t="str">
        <f>"31233500"</f>
        <v>31233500</v>
      </c>
      <c r="D24270" t="s">
        <v>73466</v>
      </c>
      <c r="E24270" t="s">
        <v>14001</v>
      </c>
      <c r="F24270" t="s">
        <v>73443</v>
      </c>
      <c r="I24270" t="s">
        <v>29</v>
      </c>
      <c r="J24270" t="s">
        <v>30</v>
      </c>
      <c r="K24270" t="s">
        <v>72715</v>
      </c>
      <c r="M24270" t="s">
        <v>51351</v>
      </c>
      <c r="N24270" t="str">
        <f>"12/27/2024 12:23:00 PM"</f>
        <v>12/27/2024 12:23:00 PM</v>
      </c>
      <c r="O24270" t="s">
        <v>73466</v>
      </c>
      <c r="T24270" t="s">
        <v>14001</v>
      </c>
    </row>
    <row r="24271" spans="1:20" x14ac:dyDescent="0.25">
      <c r="A24271" t="str">
        <f>"3055513"</f>
        <v>3055513</v>
      </c>
      <c r="B24271" t="s">
        <v>73468</v>
      </c>
      <c r="C24271" t="str">
        <f>"31233500"</f>
        <v>31233500</v>
      </c>
      <c r="D24271" t="s">
        <v>73466</v>
      </c>
      <c r="E24271" t="s">
        <v>14001</v>
      </c>
      <c r="F24271" t="s">
        <v>73443</v>
      </c>
      <c r="I24271" t="s">
        <v>29</v>
      </c>
      <c r="J24271" t="s">
        <v>30</v>
      </c>
      <c r="K24271" t="s">
        <v>72715</v>
      </c>
      <c r="M24271" t="s">
        <v>51351</v>
      </c>
      <c r="N24271" t="str">
        <f>"12/27/2024 12:23:00 PM"</f>
        <v>12/27/2024 12:23:00 PM</v>
      </c>
      <c r="O24271" t="s">
        <v>73466</v>
      </c>
      <c r="T24271" t="s">
        <v>14001</v>
      </c>
    </row>
    <row r="24272" spans="1:20" x14ac:dyDescent="0.25">
      <c r="A24272" t="str">
        <f>"3052202"</f>
        <v>3052202</v>
      </c>
      <c r="B24272" t="s">
        <v>73469</v>
      </c>
      <c r="C24272" t="str">
        <f>"31233500"</f>
        <v>31233500</v>
      </c>
      <c r="D24272" t="s">
        <v>73466</v>
      </c>
      <c r="E24272" t="s">
        <v>14001</v>
      </c>
      <c r="F24272" t="s">
        <v>73443</v>
      </c>
      <c r="I24272" t="s">
        <v>29</v>
      </c>
      <c r="J24272" t="s">
        <v>30</v>
      </c>
      <c r="K24272" t="s">
        <v>72715</v>
      </c>
      <c r="M24272" t="s">
        <v>51351</v>
      </c>
      <c r="N24272" t="str">
        <f>"12/27/2024 12:23:00 PM"</f>
        <v>12/27/2024 12:23:00 PM</v>
      </c>
      <c r="O24272" t="s">
        <v>73466</v>
      </c>
      <c r="T24272" t="s">
        <v>14001</v>
      </c>
    </row>
    <row r="24273" spans="1:20" x14ac:dyDescent="0.25">
      <c r="A24273" t="str">
        <f>"3059487"</f>
        <v>3059487</v>
      </c>
      <c r="B24273" t="s">
        <v>73470</v>
      </c>
      <c r="C24273" t="str">
        <f>"31233500"</f>
        <v>31233500</v>
      </c>
      <c r="D24273" t="s">
        <v>73466</v>
      </c>
      <c r="E24273" t="s">
        <v>14001</v>
      </c>
      <c r="F24273" t="s">
        <v>73443</v>
      </c>
      <c r="I24273" t="s">
        <v>29</v>
      </c>
      <c r="J24273" t="s">
        <v>30</v>
      </c>
      <c r="K24273" t="s">
        <v>72715</v>
      </c>
      <c r="M24273" t="s">
        <v>51351</v>
      </c>
      <c r="N24273" t="str">
        <f>"12/27/2024 12:23:00 PM"</f>
        <v>12/27/2024 12:23:00 PM</v>
      </c>
      <c r="O24273" t="s">
        <v>73466</v>
      </c>
      <c r="T24273" t="s">
        <v>14001</v>
      </c>
    </row>
    <row r="24274" spans="1:20" x14ac:dyDescent="0.25">
      <c r="A24274" t="str">
        <f>"3038681"</f>
        <v>3038681</v>
      </c>
      <c r="B24274" t="s">
        <v>73471</v>
      </c>
      <c r="C24274" t="str">
        <f>"15152000"</f>
        <v>15152000</v>
      </c>
      <c r="D24274" t="s">
        <v>73472</v>
      </c>
      <c r="F24274" t="s">
        <v>73473</v>
      </c>
      <c r="I24274" t="s">
        <v>29</v>
      </c>
      <c r="J24274" t="s">
        <v>30</v>
      </c>
      <c r="K24274" t="s">
        <v>31</v>
      </c>
      <c r="M24274" t="s">
        <v>33845</v>
      </c>
      <c r="N24274" t="str">
        <f>"12/30/2024 8:01:00 AM"</f>
        <v>12/30/2024 8:01:00 AM</v>
      </c>
      <c r="O24274" t="s">
        <v>73472</v>
      </c>
    </row>
    <row r="24275" spans="1:20" x14ac:dyDescent="0.25">
      <c r="A24275" t="str">
        <f>"3047572"</f>
        <v>3047572</v>
      </c>
      <c r="B24275" t="s">
        <v>73474</v>
      </c>
      <c r="C24275" t="str">
        <f>"8323637"</f>
        <v>8323637</v>
      </c>
      <c r="D24275" t="s">
        <v>73475</v>
      </c>
      <c r="F24275" t="s">
        <v>73476</v>
      </c>
      <c r="I24275" t="s">
        <v>29</v>
      </c>
      <c r="J24275" t="s">
        <v>30</v>
      </c>
      <c r="K24275" t="s">
        <v>73477</v>
      </c>
      <c r="M24275" t="s">
        <v>50500</v>
      </c>
      <c r="N24275" t="str">
        <f>"12/30/2024 9:15:00 AM"</f>
        <v>12/30/2024 9:15:00 AM</v>
      </c>
      <c r="O24275" t="s">
        <v>73475</v>
      </c>
    </row>
    <row r="24276" spans="1:20" x14ac:dyDescent="0.25">
      <c r="A24276" t="str">
        <f>"3061160"</f>
        <v>3061160</v>
      </c>
      <c r="B24276" t="s">
        <v>73478</v>
      </c>
      <c r="C24276" t="str">
        <f>"8323638"</f>
        <v>8323638</v>
      </c>
      <c r="D24276" t="s">
        <v>73479</v>
      </c>
      <c r="F24276" t="s">
        <v>73480</v>
      </c>
      <c r="I24276" t="s">
        <v>184</v>
      </c>
      <c r="J24276" t="s">
        <v>30</v>
      </c>
      <c r="K24276" t="s">
        <v>35543</v>
      </c>
      <c r="M24276" t="s">
        <v>50500</v>
      </c>
      <c r="N24276" t="str">
        <f>"12/30/2024 10:17:00 AM"</f>
        <v>12/30/2024 10:17:00 AM</v>
      </c>
      <c r="O24276" t="s">
        <v>73479</v>
      </c>
    </row>
    <row r="24277" spans="1:20" x14ac:dyDescent="0.25">
      <c r="A24277" t="str">
        <f>"3053904"</f>
        <v>3053904</v>
      </c>
      <c r="B24277" t="s">
        <v>73481</v>
      </c>
      <c r="C24277" t="str">
        <f>"82533106"</f>
        <v>82533106</v>
      </c>
      <c r="D24277" t="str">
        <f>"LAMBE JOHN THOMAS/LINDA GAIL"</f>
        <v>LAMBE JOHN THOMAS/LINDA GAIL</v>
      </c>
      <c r="E24277" t="s">
        <v>4156</v>
      </c>
      <c r="F24277" t="s">
        <v>73482</v>
      </c>
      <c r="I24277" t="s">
        <v>29</v>
      </c>
      <c r="J24277" t="s">
        <v>30</v>
      </c>
      <c r="K24277" t="s">
        <v>73483</v>
      </c>
      <c r="M24277" t="s">
        <v>52111</v>
      </c>
      <c r="N24277" t="str">
        <f>"12/30/2024 10:44:00 AM"</f>
        <v>12/30/2024 10:44:00 AM</v>
      </c>
      <c r="O24277" t="str">
        <f>"LAMBE JOHN THOMAS/LINDA GAIL"</f>
        <v>LAMBE JOHN THOMAS/LINDA GAIL</v>
      </c>
      <c r="T24277" t="s">
        <v>4156</v>
      </c>
    </row>
    <row r="24278" spans="1:20" x14ac:dyDescent="0.25">
      <c r="A24278" t="str">
        <f>"3054995"</f>
        <v>3054995</v>
      </c>
      <c r="B24278" t="s">
        <v>73484</v>
      </c>
      <c r="C24278" t="str">
        <f>"44082000"</f>
        <v>44082000</v>
      </c>
      <c r="D24278" t="s">
        <v>73485</v>
      </c>
      <c r="F24278" t="s">
        <v>73482</v>
      </c>
      <c r="I24278" t="s">
        <v>29</v>
      </c>
      <c r="J24278" t="s">
        <v>30</v>
      </c>
      <c r="K24278" t="s">
        <v>73483</v>
      </c>
      <c r="M24278" t="s">
        <v>52111</v>
      </c>
      <c r="N24278" t="str">
        <f>"12/30/2024 10:45:00 AM"</f>
        <v>12/30/2024 10:45:00 AM</v>
      </c>
      <c r="O24278" t="s">
        <v>73485</v>
      </c>
    </row>
    <row r="24279" spans="1:20" x14ac:dyDescent="0.25">
      <c r="A24279" t="str">
        <f>"3046317"</f>
        <v>3046317</v>
      </c>
      <c r="B24279" t="s">
        <v>73486</v>
      </c>
      <c r="C24279" t="str">
        <f>"8323639"</f>
        <v>8323639</v>
      </c>
      <c r="D24279" t="s">
        <v>73487</v>
      </c>
      <c r="E24279" t="s">
        <v>73488</v>
      </c>
      <c r="F24279" t="s">
        <v>73489</v>
      </c>
      <c r="I24279" t="s">
        <v>29</v>
      </c>
      <c r="J24279" t="s">
        <v>30</v>
      </c>
      <c r="K24279" t="s">
        <v>37806</v>
      </c>
      <c r="M24279" t="s">
        <v>50500</v>
      </c>
      <c r="N24279" t="str">
        <f>"12/30/2024 10:54:00 AM"</f>
        <v>12/30/2024 10:54:00 AM</v>
      </c>
      <c r="O24279" t="s">
        <v>73487</v>
      </c>
      <c r="T24279" t="s">
        <v>73488</v>
      </c>
    </row>
    <row r="24280" spans="1:20" x14ac:dyDescent="0.25">
      <c r="A24280" t="str">
        <f>"3054626"</f>
        <v>3054626</v>
      </c>
      <c r="B24280" t="s">
        <v>73490</v>
      </c>
      <c r="C24280" t="str">
        <f>"8323628"</f>
        <v>8323628</v>
      </c>
      <c r="D24280" t="s">
        <v>73491</v>
      </c>
      <c r="E24280" t="s">
        <v>25241</v>
      </c>
      <c r="F24280" t="s">
        <v>73492</v>
      </c>
      <c r="I24280" t="s">
        <v>29</v>
      </c>
      <c r="J24280" t="s">
        <v>30</v>
      </c>
      <c r="K24280" t="s">
        <v>73493</v>
      </c>
      <c r="M24280" t="s">
        <v>50500</v>
      </c>
      <c r="N24280" t="str">
        <f>"12/20/2024 3:21:00 PM"</f>
        <v>12/20/2024 3:21:00 PM</v>
      </c>
      <c r="O24280" t="s">
        <v>73491</v>
      </c>
      <c r="T24280" t="s">
        <v>25241</v>
      </c>
    </row>
    <row r="24281" spans="1:20" x14ac:dyDescent="0.25">
      <c r="A24281" t="str">
        <f>"3062719"</f>
        <v>3062719</v>
      </c>
      <c r="B24281" t="s">
        <v>73494</v>
      </c>
      <c r="C24281" t="str">
        <f>"8323629"</f>
        <v>8323629</v>
      </c>
      <c r="D24281" t="s">
        <v>73495</v>
      </c>
      <c r="F24281" t="s">
        <v>73496</v>
      </c>
      <c r="I24281" t="s">
        <v>2071</v>
      </c>
      <c r="J24281" t="s">
        <v>30</v>
      </c>
      <c r="K24281" t="s">
        <v>3728</v>
      </c>
      <c r="M24281" t="s">
        <v>50500</v>
      </c>
      <c r="N24281" t="str">
        <f>"12/20/2024 3:27:00 PM"</f>
        <v>12/20/2024 3:27:00 PM</v>
      </c>
      <c r="O24281" t="s">
        <v>73495</v>
      </c>
    </row>
    <row r="24282" spans="1:20" x14ac:dyDescent="0.25">
      <c r="A24282" t="str">
        <f>"3062502"</f>
        <v>3062502</v>
      </c>
      <c r="B24282" t="s">
        <v>73497</v>
      </c>
      <c r="C24282" t="str">
        <f>"8323602"</f>
        <v>8323602</v>
      </c>
      <c r="D24282" t="s">
        <v>73498</v>
      </c>
      <c r="E24282" t="s">
        <v>73499</v>
      </c>
      <c r="F24282" t="s">
        <v>73500</v>
      </c>
      <c r="I24282" t="s">
        <v>184</v>
      </c>
      <c r="J24282" t="s">
        <v>30</v>
      </c>
      <c r="K24282" t="s">
        <v>4789</v>
      </c>
      <c r="M24282" t="s">
        <v>50500</v>
      </c>
      <c r="N24282" t="str">
        <f>"12/19/2024 10:18:00 AM"</f>
        <v>12/19/2024 10:18:00 AM</v>
      </c>
      <c r="O24282" t="s">
        <v>73498</v>
      </c>
      <c r="T24282" t="s">
        <v>73499</v>
      </c>
    </row>
    <row r="24283" spans="1:20" x14ac:dyDescent="0.25">
      <c r="A24283" t="str">
        <f>"3068113"</f>
        <v>3068113</v>
      </c>
      <c r="B24283" t="s">
        <v>73501</v>
      </c>
      <c r="C24283" t="str">
        <f>"8323641"</f>
        <v>8323641</v>
      </c>
      <c r="D24283" t="s">
        <v>73502</v>
      </c>
      <c r="F24283" t="s">
        <v>73503</v>
      </c>
      <c r="I24283" t="s">
        <v>73504</v>
      </c>
      <c r="J24283" t="s">
        <v>1543</v>
      </c>
      <c r="K24283" t="s">
        <v>73505</v>
      </c>
      <c r="M24283" t="s">
        <v>50500</v>
      </c>
      <c r="N24283" t="str">
        <f>"12/30/2024 11:28:00 AM"</f>
        <v>12/30/2024 11:28:00 AM</v>
      </c>
      <c r="O24283" t="s">
        <v>73502</v>
      </c>
    </row>
    <row r="24284" spans="1:20" x14ac:dyDescent="0.25">
      <c r="A24284" t="str">
        <f>"3046351"</f>
        <v>3046351</v>
      </c>
      <c r="B24284" t="s">
        <v>73506</v>
      </c>
      <c r="C24284" t="str">
        <f>"8323642"</f>
        <v>8323642</v>
      </c>
      <c r="D24284" t="s">
        <v>73507</v>
      </c>
      <c r="E24284" t="s">
        <v>73508</v>
      </c>
      <c r="F24284" t="s">
        <v>73509</v>
      </c>
      <c r="I24284" t="s">
        <v>29</v>
      </c>
      <c r="J24284" t="s">
        <v>30</v>
      </c>
      <c r="K24284" t="s">
        <v>44802</v>
      </c>
      <c r="M24284" t="s">
        <v>50500</v>
      </c>
      <c r="N24284" t="str">
        <f>"12/30/2024 11:41:00 AM"</f>
        <v>12/30/2024 11:41:00 AM</v>
      </c>
      <c r="O24284" t="s">
        <v>73507</v>
      </c>
      <c r="T24284" t="s">
        <v>73508</v>
      </c>
    </row>
    <row r="24285" spans="1:20" x14ac:dyDescent="0.25">
      <c r="A24285" t="str">
        <f>"3053843"</f>
        <v>3053843</v>
      </c>
      <c r="B24285" t="s">
        <v>73510</v>
      </c>
      <c r="C24285" t="str">
        <f>"8323645"</f>
        <v>8323645</v>
      </c>
      <c r="D24285" t="s">
        <v>73511</v>
      </c>
      <c r="F24285" t="s">
        <v>73512</v>
      </c>
      <c r="I24285" t="s">
        <v>17921</v>
      </c>
      <c r="J24285" t="s">
        <v>30</v>
      </c>
      <c r="K24285" t="str">
        <f>"27028"</f>
        <v>27028</v>
      </c>
      <c r="M24285" t="s">
        <v>50500</v>
      </c>
      <c r="N24285" t="str">
        <f>"12/30/2024 3:05:00 PM"</f>
        <v>12/30/2024 3:05:00 PM</v>
      </c>
      <c r="O24285" t="s">
        <v>73511</v>
      </c>
    </row>
    <row r="24286" spans="1:20" x14ac:dyDescent="0.25">
      <c r="A24286" t="str">
        <f>"3053844"</f>
        <v>3053844</v>
      </c>
      <c r="B24286" t="s">
        <v>73513</v>
      </c>
      <c r="C24286" t="str">
        <f>"8323646"</f>
        <v>8323646</v>
      </c>
      <c r="D24286" t="s">
        <v>14607</v>
      </c>
      <c r="E24286" t="s">
        <v>11871</v>
      </c>
      <c r="F24286" t="s">
        <v>11872</v>
      </c>
      <c r="I24286" t="s">
        <v>29</v>
      </c>
      <c r="J24286" t="s">
        <v>30</v>
      </c>
      <c r="K24286" t="s">
        <v>11873</v>
      </c>
      <c r="M24286" t="s">
        <v>50500</v>
      </c>
      <c r="N24286" t="str">
        <f>"12/30/2024 3:07:00 PM"</f>
        <v>12/30/2024 3:07:00 PM</v>
      </c>
      <c r="O24286" t="s">
        <v>14607</v>
      </c>
      <c r="T24286" t="s">
        <v>11871</v>
      </c>
    </row>
    <row r="24287" spans="1:20" x14ac:dyDescent="0.25">
      <c r="A24287" t="str">
        <f>"3053845"</f>
        <v>3053845</v>
      </c>
      <c r="B24287" t="s">
        <v>73514</v>
      </c>
      <c r="C24287" t="str">
        <f>"8300304"</f>
        <v>8300304</v>
      </c>
      <c r="D24287" t="s">
        <v>73515</v>
      </c>
      <c r="E24287" t="s">
        <v>73516</v>
      </c>
      <c r="F24287" t="s">
        <v>73517</v>
      </c>
      <c r="I24287" t="s">
        <v>29</v>
      </c>
      <c r="J24287" t="s">
        <v>30</v>
      </c>
      <c r="K24287" t="s">
        <v>31</v>
      </c>
      <c r="M24287" t="s">
        <v>50500</v>
      </c>
      <c r="N24287" t="str">
        <f>"12/30/2024 3:09:00 PM"</f>
        <v>12/30/2024 3:09:00 PM</v>
      </c>
      <c r="O24287" t="s">
        <v>73515</v>
      </c>
      <c r="T24287" t="s">
        <v>73516</v>
      </c>
    </row>
    <row r="24288" spans="1:20" x14ac:dyDescent="0.25">
      <c r="A24288" t="str">
        <f>"3055575"</f>
        <v>3055575</v>
      </c>
      <c r="B24288" t="s">
        <v>73518</v>
      </c>
      <c r="C24288" t="str">
        <f>"8300304"</f>
        <v>8300304</v>
      </c>
      <c r="D24288" t="s">
        <v>73515</v>
      </c>
      <c r="E24288" t="s">
        <v>73516</v>
      </c>
      <c r="F24288" t="s">
        <v>73517</v>
      </c>
      <c r="I24288" t="s">
        <v>29</v>
      </c>
      <c r="J24288" t="s">
        <v>30</v>
      </c>
      <c r="K24288" t="s">
        <v>31</v>
      </c>
      <c r="M24288" t="s">
        <v>50500</v>
      </c>
      <c r="N24288" t="str">
        <f>"12/30/2024 3:09:00 PM"</f>
        <v>12/30/2024 3:09:00 PM</v>
      </c>
      <c r="O24288" t="s">
        <v>73515</v>
      </c>
      <c r="T24288" t="s">
        <v>73516</v>
      </c>
    </row>
    <row r="24289" spans="1:20" x14ac:dyDescent="0.25">
      <c r="A24289" t="str">
        <f>"3078592"</f>
        <v>3078592</v>
      </c>
      <c r="B24289" t="s">
        <v>73519</v>
      </c>
      <c r="C24289" t="str">
        <f>"8300304"</f>
        <v>8300304</v>
      </c>
      <c r="D24289" t="s">
        <v>73515</v>
      </c>
      <c r="E24289" t="s">
        <v>73516</v>
      </c>
      <c r="F24289" t="s">
        <v>73517</v>
      </c>
      <c r="I24289" t="s">
        <v>29</v>
      </c>
      <c r="J24289" t="s">
        <v>30</v>
      </c>
      <c r="K24289" t="s">
        <v>31</v>
      </c>
      <c r="M24289" t="s">
        <v>50500</v>
      </c>
      <c r="N24289" t="str">
        <f>"12/30/2024 3:09:00 PM"</f>
        <v>12/30/2024 3:09:00 PM</v>
      </c>
      <c r="O24289" t="s">
        <v>73515</v>
      </c>
      <c r="T24289" t="s">
        <v>73516</v>
      </c>
    </row>
    <row r="24290" spans="1:20" x14ac:dyDescent="0.25">
      <c r="A24290" t="str">
        <f>"3076069"</f>
        <v>3076069</v>
      </c>
      <c r="B24290" t="s">
        <v>73520</v>
      </c>
      <c r="C24290" t="str">
        <f>"8323647"</f>
        <v>8323647</v>
      </c>
      <c r="D24290" t="s">
        <v>73521</v>
      </c>
      <c r="E24290" t="s">
        <v>73522</v>
      </c>
      <c r="F24290" t="s">
        <v>73523</v>
      </c>
      <c r="I24290" t="s">
        <v>35417</v>
      </c>
      <c r="J24290" t="s">
        <v>30</v>
      </c>
      <c r="K24290" t="s">
        <v>73524</v>
      </c>
      <c r="M24290" t="s">
        <v>50500</v>
      </c>
      <c r="N24290" t="str">
        <f>"12/30/2024 3:29:00 PM"</f>
        <v>12/30/2024 3:29:00 PM</v>
      </c>
      <c r="O24290" t="s">
        <v>73521</v>
      </c>
      <c r="T24290" t="s">
        <v>73522</v>
      </c>
    </row>
    <row r="24291" spans="1:20" x14ac:dyDescent="0.25">
      <c r="A24291" t="str">
        <f>"3076070"</f>
        <v>3076070</v>
      </c>
      <c r="B24291" t="s">
        <v>73525</v>
      </c>
      <c r="C24291" t="str">
        <f>"8323647"</f>
        <v>8323647</v>
      </c>
      <c r="D24291" t="s">
        <v>73521</v>
      </c>
      <c r="E24291" t="s">
        <v>73522</v>
      </c>
      <c r="F24291" t="s">
        <v>73523</v>
      </c>
      <c r="I24291" t="s">
        <v>35417</v>
      </c>
      <c r="J24291" t="s">
        <v>30</v>
      </c>
      <c r="K24291" t="s">
        <v>73524</v>
      </c>
      <c r="M24291" t="s">
        <v>50500</v>
      </c>
      <c r="N24291" t="str">
        <f>"12/30/2024 3:29:00 PM"</f>
        <v>12/30/2024 3:29:00 PM</v>
      </c>
      <c r="O24291" t="s">
        <v>73521</v>
      </c>
      <c r="T24291" t="s">
        <v>73522</v>
      </c>
    </row>
    <row r="24292" spans="1:20" x14ac:dyDescent="0.25">
      <c r="A24292" t="str">
        <f>"3041002"</f>
        <v>3041002</v>
      </c>
      <c r="B24292" t="s">
        <v>73526</v>
      </c>
      <c r="C24292" t="str">
        <f>"8323603"</f>
        <v>8323603</v>
      </c>
      <c r="D24292" t="s">
        <v>73527</v>
      </c>
      <c r="F24292" t="s">
        <v>73528</v>
      </c>
      <c r="I24292" t="s">
        <v>184</v>
      </c>
      <c r="J24292" t="s">
        <v>30</v>
      </c>
      <c r="K24292" t="s">
        <v>37863</v>
      </c>
      <c r="M24292" t="s">
        <v>50500</v>
      </c>
      <c r="N24292" t="str">
        <f>"12/19/2024 10:21:00 AM"</f>
        <v>12/19/2024 10:21:00 AM</v>
      </c>
      <c r="O24292" t="s">
        <v>73527</v>
      </c>
    </row>
    <row r="24293" spans="1:20" x14ac:dyDescent="0.25">
      <c r="A24293" t="str">
        <f>"3061986"</f>
        <v>3061986</v>
      </c>
      <c r="B24293" t="s">
        <v>73529</v>
      </c>
      <c r="C24293" t="str">
        <f>"8323604"</f>
        <v>8323604</v>
      </c>
      <c r="D24293" t="s">
        <v>73530</v>
      </c>
      <c r="F24293" t="s">
        <v>73531</v>
      </c>
      <c r="I24293" t="s">
        <v>184</v>
      </c>
      <c r="J24293" t="s">
        <v>30</v>
      </c>
      <c r="K24293" t="s">
        <v>73532</v>
      </c>
      <c r="M24293" t="s">
        <v>50500</v>
      </c>
      <c r="N24293" t="str">
        <f>"12/19/2024 10:24:00 AM"</f>
        <v>12/19/2024 10:24:00 AM</v>
      </c>
      <c r="O24293" t="s">
        <v>73530</v>
      </c>
    </row>
    <row r="24294" spans="1:20" x14ac:dyDescent="0.25">
      <c r="A24294" t="str">
        <f>"3037882"</f>
        <v>3037882</v>
      </c>
      <c r="B24294" t="s">
        <v>73533</v>
      </c>
      <c r="C24294" t="str">
        <f>"8323605"</f>
        <v>8323605</v>
      </c>
      <c r="D24294" t="s">
        <v>73534</v>
      </c>
      <c r="E24294" t="s">
        <v>73535</v>
      </c>
      <c r="F24294" t="s">
        <v>73536</v>
      </c>
      <c r="I24294" t="s">
        <v>7917</v>
      </c>
      <c r="J24294" t="s">
        <v>30</v>
      </c>
      <c r="K24294" t="s">
        <v>73537</v>
      </c>
      <c r="M24294" t="s">
        <v>50500</v>
      </c>
      <c r="N24294" t="str">
        <f>"12/19/2024 10:45:00 AM"</f>
        <v>12/19/2024 10:45:00 AM</v>
      </c>
      <c r="O24294" t="s">
        <v>73534</v>
      </c>
      <c r="T24294" t="s">
        <v>73535</v>
      </c>
    </row>
    <row r="24295" spans="1:20" x14ac:dyDescent="0.25">
      <c r="A24295" t="str">
        <f>"3062817"</f>
        <v>3062817</v>
      </c>
      <c r="B24295" t="s">
        <v>73538</v>
      </c>
      <c r="C24295" t="str">
        <f>"8323606"</f>
        <v>8323606</v>
      </c>
      <c r="D24295" t="s">
        <v>73539</v>
      </c>
      <c r="E24295" t="s">
        <v>73540</v>
      </c>
      <c r="F24295" t="s">
        <v>73541</v>
      </c>
      <c r="I24295" t="s">
        <v>29</v>
      </c>
      <c r="J24295" t="s">
        <v>30</v>
      </c>
      <c r="K24295" t="str">
        <f>"27028"</f>
        <v>27028</v>
      </c>
      <c r="M24295" t="s">
        <v>50500</v>
      </c>
      <c r="N24295" t="str">
        <f>"12/19/2024 10:50:00 AM"</f>
        <v>12/19/2024 10:50:00 AM</v>
      </c>
      <c r="O24295" t="s">
        <v>73539</v>
      </c>
      <c r="T24295" t="s">
        <v>73540</v>
      </c>
    </row>
    <row r="24296" spans="1:20" x14ac:dyDescent="0.25">
      <c r="A24296" t="str">
        <f>"3062786"</f>
        <v>3062786</v>
      </c>
      <c r="B24296" t="s">
        <v>73542</v>
      </c>
      <c r="C24296" t="str">
        <f>"8323607"</f>
        <v>8323607</v>
      </c>
      <c r="D24296" t="s">
        <v>73543</v>
      </c>
      <c r="E24296" t="s">
        <v>73544</v>
      </c>
      <c r="F24296" t="s">
        <v>73545</v>
      </c>
      <c r="I24296" t="s">
        <v>2071</v>
      </c>
      <c r="J24296" t="s">
        <v>30</v>
      </c>
      <c r="K24296" t="s">
        <v>6459</v>
      </c>
      <c r="M24296" t="s">
        <v>50500</v>
      </c>
      <c r="N24296" t="str">
        <f>"12/19/2024 10:56:00 AM"</f>
        <v>12/19/2024 10:56:00 AM</v>
      </c>
      <c r="O24296" t="s">
        <v>73543</v>
      </c>
      <c r="T24296" t="s">
        <v>73544</v>
      </c>
    </row>
    <row r="24297" spans="1:20" x14ac:dyDescent="0.25">
      <c r="A24297" t="str">
        <f>"3053454"</f>
        <v>3053454</v>
      </c>
      <c r="B24297" t="s">
        <v>73546</v>
      </c>
      <c r="C24297" t="str">
        <f>"8323608"</f>
        <v>8323608</v>
      </c>
      <c r="D24297" t="s">
        <v>73547</v>
      </c>
      <c r="F24297" t="s">
        <v>73548</v>
      </c>
      <c r="I24297" t="s">
        <v>29</v>
      </c>
      <c r="J24297" t="s">
        <v>30</v>
      </c>
      <c r="K24297" t="s">
        <v>69974</v>
      </c>
      <c r="M24297" t="s">
        <v>50500</v>
      </c>
      <c r="N24297" t="str">
        <f>"12/19/2024 11:00:00 AM"</f>
        <v>12/19/2024 11:00:00 AM</v>
      </c>
      <c r="O24297" t="s">
        <v>73547</v>
      </c>
    </row>
    <row r="24298" spans="1:20" x14ac:dyDescent="0.25">
      <c r="A24298" t="str">
        <f>"3038605"</f>
        <v>3038605</v>
      </c>
      <c r="B24298" t="s">
        <v>73549</v>
      </c>
      <c r="C24298" t="str">
        <f>"73132000"</f>
        <v>73132000</v>
      </c>
      <c r="D24298" t="s">
        <v>73550</v>
      </c>
      <c r="F24298" t="s">
        <v>73551</v>
      </c>
      <c r="I24298" t="s">
        <v>2525</v>
      </c>
      <c r="J24298" t="s">
        <v>30</v>
      </c>
      <c r="K24298" t="s">
        <v>73552</v>
      </c>
      <c r="M24298" t="s">
        <v>50621</v>
      </c>
      <c r="N24298" t="str">
        <f>"12/20/2024 4:11:00 PM"</f>
        <v>12/20/2024 4:11:00 PM</v>
      </c>
      <c r="O24298" t="s">
        <v>73550</v>
      </c>
    </row>
    <row r="24299" spans="1:20" x14ac:dyDescent="0.25">
      <c r="A24299" t="str">
        <f>"3058459"</f>
        <v>3058459</v>
      </c>
      <c r="B24299" t="s">
        <v>73553</v>
      </c>
      <c r="C24299" t="str">
        <f>"8323653"</f>
        <v>8323653</v>
      </c>
      <c r="D24299" t="s">
        <v>73554</v>
      </c>
      <c r="E24299" t="s">
        <v>73555</v>
      </c>
      <c r="F24299" t="s">
        <v>73556</v>
      </c>
      <c r="I24299" t="s">
        <v>29</v>
      </c>
      <c r="J24299" t="s">
        <v>30</v>
      </c>
      <c r="K24299" t="s">
        <v>52622</v>
      </c>
      <c r="M24299" t="s">
        <v>50500</v>
      </c>
      <c r="N24299" t="str">
        <f>"12/31/2024 9:38:00 AM"</f>
        <v>12/31/2024 9:38:00 AM</v>
      </c>
      <c r="O24299" t="s">
        <v>73554</v>
      </c>
      <c r="T24299" t="s">
        <v>73555</v>
      </c>
    </row>
    <row r="24300" spans="1:20" x14ac:dyDescent="0.25">
      <c r="A24300" t="str">
        <f>"3041470"</f>
        <v>3041470</v>
      </c>
      <c r="B24300" t="s">
        <v>73557</v>
      </c>
      <c r="C24300" t="str">
        <f>"8323654"</f>
        <v>8323654</v>
      </c>
      <c r="D24300" t="s">
        <v>73558</v>
      </c>
      <c r="E24300" t="s">
        <v>73559</v>
      </c>
      <c r="F24300" t="s">
        <v>73560</v>
      </c>
      <c r="I24300" t="s">
        <v>184</v>
      </c>
      <c r="J24300" t="s">
        <v>30</v>
      </c>
      <c r="K24300" t="s">
        <v>22356</v>
      </c>
      <c r="M24300" t="s">
        <v>50500</v>
      </c>
      <c r="N24300" t="str">
        <f>"12/31/2024 9:42:00 AM"</f>
        <v>12/31/2024 9:42:00 AM</v>
      </c>
      <c r="O24300" t="s">
        <v>73558</v>
      </c>
      <c r="T24300" t="s">
        <v>73559</v>
      </c>
    </row>
    <row r="24301" spans="1:20" x14ac:dyDescent="0.25">
      <c r="A24301" t="str">
        <f>"3052937"</f>
        <v>3052937</v>
      </c>
      <c r="B24301" t="s">
        <v>73561</v>
      </c>
      <c r="C24301" t="str">
        <f>"8323655"</f>
        <v>8323655</v>
      </c>
      <c r="D24301" t="s">
        <v>73562</v>
      </c>
      <c r="F24301" t="s">
        <v>73563</v>
      </c>
      <c r="I24301" t="s">
        <v>29</v>
      </c>
      <c r="J24301" t="s">
        <v>30</v>
      </c>
      <c r="K24301" t="s">
        <v>46520</v>
      </c>
      <c r="M24301" t="s">
        <v>50500</v>
      </c>
      <c r="N24301" t="str">
        <f>"12/31/2024 10:00:00 AM"</f>
        <v>12/31/2024 10:00:00 AM</v>
      </c>
      <c r="O24301" t="s">
        <v>73562</v>
      </c>
    </row>
    <row r="24302" spans="1:20" x14ac:dyDescent="0.25">
      <c r="A24302" t="str">
        <f>"3039256"</f>
        <v>3039256</v>
      </c>
      <c r="B24302" t="s">
        <v>73564</v>
      </c>
      <c r="C24302" t="str">
        <f>"8323656"</f>
        <v>8323656</v>
      </c>
      <c r="D24302" t="s">
        <v>73565</v>
      </c>
      <c r="E24302" t="s">
        <v>73566</v>
      </c>
      <c r="F24302" t="s">
        <v>73567</v>
      </c>
      <c r="I24302" t="s">
        <v>29</v>
      </c>
      <c r="J24302" t="s">
        <v>30</v>
      </c>
      <c r="K24302" t="s">
        <v>178</v>
      </c>
      <c r="M24302" t="s">
        <v>50500</v>
      </c>
      <c r="N24302" t="str">
        <f>"12/31/2024 10:05:00 AM"</f>
        <v>12/31/2024 10:05:00 AM</v>
      </c>
      <c r="O24302" t="s">
        <v>73565</v>
      </c>
      <c r="T24302" t="s">
        <v>73566</v>
      </c>
    </row>
    <row r="24303" spans="1:20" x14ac:dyDescent="0.25">
      <c r="A24303" t="str">
        <f>"3037843"</f>
        <v>3037843</v>
      </c>
      <c r="B24303" t="s">
        <v>73568</v>
      </c>
      <c r="C24303" t="str">
        <f>"73132000"</f>
        <v>73132000</v>
      </c>
      <c r="D24303" t="s">
        <v>73550</v>
      </c>
      <c r="F24303" t="s">
        <v>73551</v>
      </c>
      <c r="I24303" t="s">
        <v>2525</v>
      </c>
      <c r="J24303" t="s">
        <v>30</v>
      </c>
      <c r="K24303" t="s">
        <v>73552</v>
      </c>
      <c r="M24303" t="s">
        <v>50621</v>
      </c>
      <c r="N24303" t="str">
        <f>"12/20/2024 4:11:00 PM"</f>
        <v>12/20/2024 4:11:00 PM</v>
      </c>
      <c r="O24303" t="s">
        <v>73550</v>
      </c>
    </row>
    <row r="24304" spans="1:20" x14ac:dyDescent="0.25">
      <c r="A24304" t="str">
        <f>"3049037"</f>
        <v>3049037</v>
      </c>
      <c r="B24304" t="s">
        <v>73569</v>
      </c>
      <c r="C24304" t="str">
        <f>"82514184"</f>
        <v>82514184</v>
      </c>
      <c r="D24304" t="s">
        <v>73570</v>
      </c>
      <c r="F24304" t="s">
        <v>73571</v>
      </c>
      <c r="I24304" t="s">
        <v>471</v>
      </c>
      <c r="J24304" t="s">
        <v>30</v>
      </c>
      <c r="K24304" t="s">
        <v>73572</v>
      </c>
      <c r="M24304" t="s">
        <v>50621</v>
      </c>
      <c r="N24304" t="str">
        <f>"12/23/2024 8:59:00 AM"</f>
        <v>12/23/2024 8:59:00 AM</v>
      </c>
      <c r="O24304" t="s">
        <v>73570</v>
      </c>
    </row>
    <row r="24305" spans="1:20" x14ac:dyDescent="0.25">
      <c r="A24305" t="str">
        <f>"3049017"</f>
        <v>3049017</v>
      </c>
      <c r="B24305" t="s">
        <v>73573</v>
      </c>
      <c r="C24305" t="str">
        <f>"82514184"</f>
        <v>82514184</v>
      </c>
      <c r="D24305" t="s">
        <v>73570</v>
      </c>
      <c r="F24305" t="s">
        <v>73571</v>
      </c>
      <c r="I24305" t="s">
        <v>471</v>
      </c>
      <c r="J24305" t="s">
        <v>30</v>
      </c>
      <c r="K24305" t="s">
        <v>73572</v>
      </c>
      <c r="M24305" t="s">
        <v>50621</v>
      </c>
      <c r="N24305" t="str">
        <f>"12/23/2024 8:59:00 AM"</f>
        <v>12/23/2024 8:59:00 AM</v>
      </c>
      <c r="O24305" t="s">
        <v>73570</v>
      </c>
    </row>
    <row r="24306" spans="1:20" x14ac:dyDescent="0.25">
      <c r="A24306" t="str">
        <f>"3064612"</f>
        <v>3064612</v>
      </c>
      <c r="B24306" t="s">
        <v>73574</v>
      </c>
      <c r="C24306" t="str">
        <f>"82514184"</f>
        <v>82514184</v>
      </c>
      <c r="D24306" t="s">
        <v>73570</v>
      </c>
      <c r="F24306" t="s">
        <v>73571</v>
      </c>
      <c r="I24306" t="s">
        <v>471</v>
      </c>
      <c r="J24306" t="s">
        <v>30</v>
      </c>
      <c r="K24306" t="s">
        <v>73572</v>
      </c>
      <c r="M24306" t="s">
        <v>50621</v>
      </c>
      <c r="N24306" t="str">
        <f>"12/23/2024 8:59:00 AM"</f>
        <v>12/23/2024 8:59:00 AM</v>
      </c>
      <c r="O24306" t="s">
        <v>73570</v>
      </c>
    </row>
    <row r="24307" spans="1:20" x14ac:dyDescent="0.25">
      <c r="A24307" t="str">
        <f>"3056918"</f>
        <v>3056918</v>
      </c>
      <c r="B24307" t="s">
        <v>73575</v>
      </c>
      <c r="C24307" t="str">
        <f>"31233500"</f>
        <v>31233500</v>
      </c>
      <c r="D24307" t="s">
        <v>73466</v>
      </c>
      <c r="E24307" t="s">
        <v>14001</v>
      </c>
      <c r="F24307" t="s">
        <v>73443</v>
      </c>
      <c r="I24307" t="s">
        <v>29</v>
      </c>
      <c r="J24307" t="s">
        <v>30</v>
      </c>
      <c r="K24307" t="s">
        <v>72715</v>
      </c>
      <c r="M24307" t="s">
        <v>51351</v>
      </c>
      <c r="N24307" t="str">
        <f>"12/27/2024 12:23:00 PM"</f>
        <v>12/27/2024 12:23:00 PM</v>
      </c>
      <c r="O24307" t="s">
        <v>73466</v>
      </c>
      <c r="T24307" t="s">
        <v>14001</v>
      </c>
    </row>
    <row r="24308" spans="1:20" x14ac:dyDescent="0.25">
      <c r="A24308" t="str">
        <f>"3054786"</f>
        <v>3054786</v>
      </c>
      <c r="B24308" t="s">
        <v>73576</v>
      </c>
      <c r="C24308" t="str">
        <f>"31233500"</f>
        <v>31233500</v>
      </c>
      <c r="D24308" t="s">
        <v>73466</v>
      </c>
      <c r="E24308" t="s">
        <v>14001</v>
      </c>
      <c r="F24308" t="s">
        <v>73443</v>
      </c>
      <c r="I24308" t="s">
        <v>29</v>
      </c>
      <c r="J24308" t="s">
        <v>30</v>
      </c>
      <c r="K24308" t="s">
        <v>72715</v>
      </c>
      <c r="M24308" t="s">
        <v>51351</v>
      </c>
      <c r="N24308" t="str">
        <f>"12/27/2024 12:23:00 PM"</f>
        <v>12/27/2024 12:23:00 PM</v>
      </c>
      <c r="O24308" t="s">
        <v>73466</v>
      </c>
      <c r="T24308" t="s">
        <v>14001</v>
      </c>
    </row>
    <row r="24309" spans="1:20" x14ac:dyDescent="0.25">
      <c r="A24309" t="str">
        <f>"3054876"</f>
        <v>3054876</v>
      </c>
      <c r="B24309" t="s">
        <v>73577</v>
      </c>
      <c r="C24309" t="str">
        <f>"31233500"</f>
        <v>31233500</v>
      </c>
      <c r="D24309" t="s">
        <v>73466</v>
      </c>
      <c r="E24309" t="s">
        <v>14001</v>
      </c>
      <c r="F24309" t="s">
        <v>73443</v>
      </c>
      <c r="I24309" t="s">
        <v>29</v>
      </c>
      <c r="J24309" t="s">
        <v>30</v>
      </c>
      <c r="K24309" t="s">
        <v>72715</v>
      </c>
      <c r="M24309" t="s">
        <v>51351</v>
      </c>
      <c r="N24309" t="str">
        <f>"12/27/2024 12:23:00 PM"</f>
        <v>12/27/2024 12:23:00 PM</v>
      </c>
      <c r="O24309" t="s">
        <v>73466</v>
      </c>
      <c r="T24309" t="s">
        <v>14001</v>
      </c>
    </row>
    <row r="24310" spans="1:20" x14ac:dyDescent="0.25">
      <c r="A24310" t="str">
        <f>"3054878"</f>
        <v>3054878</v>
      </c>
      <c r="B24310" t="s">
        <v>73578</v>
      </c>
      <c r="C24310" t="str">
        <f>"31233500"</f>
        <v>31233500</v>
      </c>
      <c r="D24310" t="s">
        <v>73466</v>
      </c>
      <c r="E24310" t="s">
        <v>14001</v>
      </c>
      <c r="F24310" t="s">
        <v>73443</v>
      </c>
      <c r="I24310" t="s">
        <v>29</v>
      </c>
      <c r="J24310" t="s">
        <v>30</v>
      </c>
      <c r="K24310" t="s">
        <v>72715</v>
      </c>
      <c r="M24310" t="s">
        <v>51351</v>
      </c>
      <c r="N24310" t="str">
        <f>"12/27/2024 12:23:00 PM"</f>
        <v>12/27/2024 12:23:00 PM</v>
      </c>
      <c r="O24310" t="s">
        <v>73466</v>
      </c>
      <c r="T24310" t="s">
        <v>14001</v>
      </c>
    </row>
    <row r="24311" spans="1:20" x14ac:dyDescent="0.25">
      <c r="A24311" t="str">
        <f>"3055478"</f>
        <v>3055478</v>
      </c>
      <c r="B24311" t="s">
        <v>73579</v>
      </c>
      <c r="C24311" t="str">
        <f>"31233500"</f>
        <v>31233500</v>
      </c>
      <c r="D24311" t="s">
        <v>73466</v>
      </c>
      <c r="E24311" t="s">
        <v>14001</v>
      </c>
      <c r="F24311" t="s">
        <v>73443</v>
      </c>
      <c r="I24311" t="s">
        <v>29</v>
      </c>
      <c r="J24311" t="s">
        <v>30</v>
      </c>
      <c r="K24311" t="s">
        <v>72715</v>
      </c>
      <c r="M24311" t="s">
        <v>51351</v>
      </c>
      <c r="N24311" t="str">
        <f>"12/27/2024 12:23:00 PM"</f>
        <v>12/27/2024 12:23:00 PM</v>
      </c>
      <c r="O24311" t="s">
        <v>73466</v>
      </c>
      <c r="T24311" t="s">
        <v>14001</v>
      </c>
    </row>
    <row r="24312" spans="1:20" x14ac:dyDescent="0.25">
      <c r="A24312" t="str">
        <f>"3054393"</f>
        <v>3054393</v>
      </c>
      <c r="B24312" t="s">
        <v>73580</v>
      </c>
      <c r="C24312" t="str">
        <f>"8323640"</f>
        <v>8323640</v>
      </c>
      <c r="D24312" t="s">
        <v>73581</v>
      </c>
      <c r="F24312" t="s">
        <v>73582</v>
      </c>
      <c r="I24312" t="s">
        <v>29</v>
      </c>
      <c r="J24312" t="s">
        <v>30</v>
      </c>
      <c r="K24312" t="str">
        <f>"27028"</f>
        <v>27028</v>
      </c>
      <c r="M24312" t="s">
        <v>50500</v>
      </c>
      <c r="N24312" t="str">
        <f>"12/30/2024 11:19:00 AM"</f>
        <v>12/30/2024 11:19:00 AM</v>
      </c>
      <c r="O24312" t="s">
        <v>73581</v>
      </c>
    </row>
    <row r="24313" spans="1:20" x14ac:dyDescent="0.25">
      <c r="A24313" t="str">
        <f>"3054218"</f>
        <v>3054218</v>
      </c>
      <c r="B24313" t="s">
        <v>73583</v>
      </c>
      <c r="C24313" t="str">
        <f>"8323640"</f>
        <v>8323640</v>
      </c>
      <c r="D24313" t="s">
        <v>73581</v>
      </c>
      <c r="F24313" t="s">
        <v>73582</v>
      </c>
      <c r="I24313" t="s">
        <v>29</v>
      </c>
      <c r="J24313" t="s">
        <v>30</v>
      </c>
      <c r="K24313" t="str">
        <f>"27028"</f>
        <v>27028</v>
      </c>
      <c r="M24313" t="s">
        <v>50500</v>
      </c>
      <c r="N24313" t="str">
        <f>"12/30/2024 11:19:00 AM"</f>
        <v>12/30/2024 11:19:00 AM</v>
      </c>
      <c r="O24313" t="s">
        <v>73581</v>
      </c>
    </row>
    <row r="24314" spans="1:20" x14ac:dyDescent="0.25">
      <c r="A24314" t="str">
        <f>"3074526"</f>
        <v>3074526</v>
      </c>
      <c r="B24314" t="s">
        <v>73584</v>
      </c>
      <c r="C24314" t="str">
        <f>"8323640"</f>
        <v>8323640</v>
      </c>
      <c r="D24314" t="s">
        <v>73581</v>
      </c>
      <c r="F24314" t="s">
        <v>73582</v>
      </c>
      <c r="I24314" t="s">
        <v>29</v>
      </c>
      <c r="J24314" t="s">
        <v>30</v>
      </c>
      <c r="K24314" t="str">
        <f>"27028"</f>
        <v>27028</v>
      </c>
      <c r="M24314" t="s">
        <v>50500</v>
      </c>
      <c r="N24314" t="str">
        <f>"12/30/2024 11:19:00 AM"</f>
        <v>12/30/2024 11:19:00 AM</v>
      </c>
      <c r="O24314" t="s">
        <v>73581</v>
      </c>
    </row>
    <row r="24315" spans="1:20" x14ac:dyDescent="0.25">
      <c r="A24315" t="str">
        <f>"3045812"</f>
        <v>3045812</v>
      </c>
      <c r="B24315" t="s">
        <v>73585</v>
      </c>
      <c r="C24315" t="str">
        <f>"8323630"</f>
        <v>8323630</v>
      </c>
      <c r="D24315" t="s">
        <v>73586</v>
      </c>
      <c r="F24315" t="s">
        <v>73587</v>
      </c>
      <c r="I24315" t="s">
        <v>29</v>
      </c>
      <c r="J24315" t="s">
        <v>30</v>
      </c>
      <c r="K24315" t="s">
        <v>19575</v>
      </c>
      <c r="M24315" t="s">
        <v>50500</v>
      </c>
      <c r="N24315" t="str">
        <f>"12/20/2024 3:31:00 PM"</f>
        <v>12/20/2024 3:31:00 PM</v>
      </c>
      <c r="O24315" t="s">
        <v>73586</v>
      </c>
    </row>
    <row r="24316" spans="1:20" x14ac:dyDescent="0.25">
      <c r="A24316" t="str">
        <f>"3062805"</f>
        <v>3062805</v>
      </c>
      <c r="B24316" t="s">
        <v>73588</v>
      </c>
      <c r="C24316" t="str">
        <f>"8323631"</f>
        <v>8323631</v>
      </c>
      <c r="D24316" t="s">
        <v>73589</v>
      </c>
      <c r="F24316" t="s">
        <v>73590</v>
      </c>
      <c r="I24316" t="s">
        <v>29</v>
      </c>
      <c r="J24316" t="s">
        <v>30</v>
      </c>
      <c r="K24316" t="s">
        <v>35947</v>
      </c>
      <c r="M24316" t="s">
        <v>50500</v>
      </c>
      <c r="N24316" t="str">
        <f>"12/20/2024 3:34:00 PM"</f>
        <v>12/20/2024 3:34:00 PM</v>
      </c>
      <c r="O24316" t="s">
        <v>73589</v>
      </c>
    </row>
    <row r="24317" spans="1:20" x14ac:dyDescent="0.25">
      <c r="A24317" t="str">
        <f>"3062685"</f>
        <v>3062685</v>
      </c>
      <c r="B24317" t="s">
        <v>73591</v>
      </c>
      <c r="C24317" t="str">
        <f>"8323632"</f>
        <v>8323632</v>
      </c>
      <c r="D24317" t="s">
        <v>73592</v>
      </c>
      <c r="E24317" t="s">
        <v>73593</v>
      </c>
      <c r="F24317" t="s">
        <v>73594</v>
      </c>
      <c r="I24317" t="s">
        <v>29</v>
      </c>
      <c r="J24317" t="s">
        <v>30</v>
      </c>
      <c r="K24317" t="s">
        <v>41236</v>
      </c>
      <c r="M24317" t="s">
        <v>50500</v>
      </c>
      <c r="N24317" t="str">
        <f>"12/20/2024 3:42:00 PM"</f>
        <v>12/20/2024 3:42:00 PM</v>
      </c>
      <c r="O24317" t="s">
        <v>73592</v>
      </c>
      <c r="T24317" t="s">
        <v>73593</v>
      </c>
    </row>
    <row r="24318" spans="1:20" x14ac:dyDescent="0.25">
      <c r="A24318" t="str">
        <f>"3062888"</f>
        <v>3062888</v>
      </c>
      <c r="B24318" t="s">
        <v>73595</v>
      </c>
      <c r="C24318" t="str">
        <f>"8323633"</f>
        <v>8323633</v>
      </c>
      <c r="D24318" t="s">
        <v>73596</v>
      </c>
      <c r="E24318" t="s">
        <v>73597</v>
      </c>
      <c r="F24318" t="s">
        <v>73598</v>
      </c>
      <c r="I24318" t="s">
        <v>29</v>
      </c>
      <c r="J24318" t="s">
        <v>30</v>
      </c>
      <c r="K24318" t="s">
        <v>72906</v>
      </c>
      <c r="M24318" t="s">
        <v>50500</v>
      </c>
      <c r="N24318" t="str">
        <f>"12/20/2024 3:46:00 PM"</f>
        <v>12/20/2024 3:46:00 PM</v>
      </c>
      <c r="O24318" t="s">
        <v>73596</v>
      </c>
      <c r="T24318" t="s">
        <v>73597</v>
      </c>
    </row>
    <row r="24319" spans="1:20" x14ac:dyDescent="0.25">
      <c r="A24319" t="str">
        <f>"3071667"</f>
        <v>3071667</v>
      </c>
      <c r="B24319" t="s">
        <v>73599</v>
      </c>
      <c r="C24319" t="str">
        <f>"8323667"</f>
        <v>8323667</v>
      </c>
      <c r="D24319" t="s">
        <v>73600</v>
      </c>
      <c r="E24319" t="s">
        <v>73601</v>
      </c>
      <c r="F24319" t="s">
        <v>73602</v>
      </c>
      <c r="I24319" t="s">
        <v>29</v>
      </c>
      <c r="J24319" t="s">
        <v>30</v>
      </c>
      <c r="K24319" t="s">
        <v>4748</v>
      </c>
      <c r="M24319" t="s">
        <v>50500</v>
      </c>
      <c r="N24319" t="str">
        <f>"12/31/2024 12:16:00 PM"</f>
        <v>12/31/2024 12:16:00 PM</v>
      </c>
      <c r="O24319" t="s">
        <v>73600</v>
      </c>
      <c r="T24319" t="s">
        <v>73601</v>
      </c>
    </row>
    <row r="24320" spans="1:20" x14ac:dyDescent="0.25">
      <c r="A24320" t="str">
        <f>"3051837"</f>
        <v>3051837</v>
      </c>
      <c r="B24320" t="s">
        <v>73603</v>
      </c>
      <c r="C24320" t="str">
        <f>"8323667"</f>
        <v>8323667</v>
      </c>
      <c r="D24320" t="s">
        <v>73600</v>
      </c>
      <c r="E24320" t="s">
        <v>73601</v>
      </c>
      <c r="F24320" t="s">
        <v>73602</v>
      </c>
      <c r="I24320" t="s">
        <v>29</v>
      </c>
      <c r="J24320" t="s">
        <v>30</v>
      </c>
      <c r="K24320" t="s">
        <v>4748</v>
      </c>
      <c r="M24320" t="s">
        <v>50500</v>
      </c>
      <c r="N24320" t="str">
        <f>"12/31/2024 12:16:00 PM"</f>
        <v>12/31/2024 12:16:00 PM</v>
      </c>
      <c r="O24320" t="s">
        <v>73600</v>
      </c>
      <c r="T24320" t="s">
        <v>73601</v>
      </c>
    </row>
    <row r="24321" spans="1:20" x14ac:dyDescent="0.25">
      <c r="A24321" t="str">
        <f>"3052110"</f>
        <v>3052110</v>
      </c>
      <c r="B24321" t="s">
        <v>73604</v>
      </c>
      <c r="C24321" t="str">
        <f>"8323667"</f>
        <v>8323667</v>
      </c>
      <c r="D24321" t="s">
        <v>73600</v>
      </c>
      <c r="E24321" t="s">
        <v>73601</v>
      </c>
      <c r="F24321" t="s">
        <v>73602</v>
      </c>
      <c r="I24321" t="s">
        <v>29</v>
      </c>
      <c r="J24321" t="s">
        <v>30</v>
      </c>
      <c r="K24321" t="s">
        <v>4748</v>
      </c>
      <c r="M24321" t="s">
        <v>50500</v>
      </c>
      <c r="N24321" t="str">
        <f>"12/31/2024 12:16:00 PM"</f>
        <v>12/31/2024 12:16:00 PM</v>
      </c>
      <c r="O24321" t="s">
        <v>73600</v>
      </c>
      <c r="T24321" t="s">
        <v>73601</v>
      </c>
    </row>
    <row r="24322" spans="1:20" x14ac:dyDescent="0.25">
      <c r="A24322" t="str">
        <f>"3051783"</f>
        <v>3051783</v>
      </c>
      <c r="B24322" t="s">
        <v>73605</v>
      </c>
      <c r="C24322" t="str">
        <f>"8323667"</f>
        <v>8323667</v>
      </c>
      <c r="D24322" t="s">
        <v>73600</v>
      </c>
      <c r="E24322" t="s">
        <v>73601</v>
      </c>
      <c r="F24322" t="s">
        <v>73602</v>
      </c>
      <c r="I24322" t="s">
        <v>29</v>
      </c>
      <c r="J24322" t="s">
        <v>30</v>
      </c>
      <c r="K24322" t="s">
        <v>4748</v>
      </c>
      <c r="M24322" t="s">
        <v>50500</v>
      </c>
      <c r="N24322" t="str">
        <f>"12/31/2024 12:16:00 PM"</f>
        <v>12/31/2024 12:16:00 PM</v>
      </c>
      <c r="O24322" t="s">
        <v>73600</v>
      </c>
      <c r="T24322" t="s">
        <v>73601</v>
      </c>
    </row>
    <row r="24323" spans="1:20" x14ac:dyDescent="0.25">
      <c r="A24323" t="str">
        <f>"3051777"</f>
        <v>3051777</v>
      </c>
      <c r="B24323" t="s">
        <v>73606</v>
      </c>
      <c r="C24323" t="str">
        <f>"8323667"</f>
        <v>8323667</v>
      </c>
      <c r="D24323" t="s">
        <v>73600</v>
      </c>
      <c r="E24323" t="s">
        <v>73601</v>
      </c>
      <c r="F24323" t="s">
        <v>73602</v>
      </c>
      <c r="I24323" t="s">
        <v>29</v>
      </c>
      <c r="J24323" t="s">
        <v>30</v>
      </c>
      <c r="K24323" t="s">
        <v>4748</v>
      </c>
      <c r="M24323" t="s">
        <v>50500</v>
      </c>
      <c r="N24323" t="str">
        <f>"12/31/2024 12:16:00 PM"</f>
        <v>12/31/2024 12:16:00 PM</v>
      </c>
      <c r="O24323" t="s">
        <v>73600</v>
      </c>
      <c r="T24323" t="s">
        <v>73601</v>
      </c>
    </row>
    <row r="24324" spans="1:20" x14ac:dyDescent="0.25">
      <c r="A24324" t="str">
        <f>"3042670"</f>
        <v>3042670</v>
      </c>
      <c r="B24324" t="s">
        <v>73607</v>
      </c>
      <c r="C24324" t="str">
        <f>"8323668"</f>
        <v>8323668</v>
      </c>
      <c r="D24324" t="s">
        <v>73608</v>
      </c>
      <c r="F24324" t="s">
        <v>73609</v>
      </c>
      <c r="I24324" t="s">
        <v>45107</v>
      </c>
      <c r="J24324" t="s">
        <v>30</v>
      </c>
      <c r="K24324" t="s">
        <v>73610</v>
      </c>
      <c r="M24324" t="s">
        <v>50500</v>
      </c>
      <c r="N24324" t="str">
        <f>"12/31/2024 1:41:00 PM"</f>
        <v>12/31/2024 1:41:00 PM</v>
      </c>
      <c r="O24324" t="s">
        <v>73608</v>
      </c>
    </row>
    <row r="24325" spans="1:20" x14ac:dyDescent="0.25">
      <c r="A24325" t="str">
        <f>"3053188"</f>
        <v>3053188</v>
      </c>
      <c r="B24325" t="s">
        <v>73611</v>
      </c>
      <c r="C24325" t="str">
        <f>"8323634"</f>
        <v>8323634</v>
      </c>
      <c r="D24325" t="s">
        <v>73612</v>
      </c>
      <c r="F24325" t="s">
        <v>73613</v>
      </c>
      <c r="I24325" t="s">
        <v>29</v>
      </c>
      <c r="J24325" t="s">
        <v>30</v>
      </c>
      <c r="K24325" t="s">
        <v>54679</v>
      </c>
      <c r="M24325" t="s">
        <v>50500</v>
      </c>
      <c r="N24325" t="str">
        <f>"12/20/2024 3:50:00 PM"</f>
        <v>12/20/2024 3:50:00 PM</v>
      </c>
      <c r="O24325" t="s">
        <v>73612</v>
      </c>
    </row>
    <row r="24326" spans="1:20" x14ac:dyDescent="0.25">
      <c r="A24326" t="str">
        <f>"3039210"</f>
        <v>3039210</v>
      </c>
      <c r="B24326" t="s">
        <v>73614</v>
      </c>
      <c r="C24326" t="str">
        <f>"8323657"</f>
        <v>8323657</v>
      </c>
      <c r="D24326" t="s">
        <v>73615</v>
      </c>
      <c r="E24326" t="s">
        <v>73616</v>
      </c>
      <c r="F24326" t="s">
        <v>73617</v>
      </c>
      <c r="I24326" t="s">
        <v>29</v>
      </c>
      <c r="J24326" t="s">
        <v>30</v>
      </c>
      <c r="K24326" t="str">
        <f>"27028"</f>
        <v>27028</v>
      </c>
      <c r="M24326" t="s">
        <v>50500</v>
      </c>
      <c r="N24326" t="str">
        <f>"12/31/2024 10:14:00 AM"</f>
        <v>12/31/2024 10:14:00 AM</v>
      </c>
      <c r="O24326" t="s">
        <v>73615</v>
      </c>
      <c r="T24326" t="s">
        <v>73616</v>
      </c>
    </row>
    <row r="24327" spans="1:20" x14ac:dyDescent="0.25">
      <c r="A24327" t="str">
        <f>"3059933"</f>
        <v>3059933</v>
      </c>
      <c r="B24327" t="s">
        <v>73618</v>
      </c>
      <c r="C24327" t="str">
        <f>"8323669"</f>
        <v>8323669</v>
      </c>
      <c r="D24327" t="s">
        <v>73619</v>
      </c>
      <c r="E24327" t="s">
        <v>73620</v>
      </c>
      <c r="F24327" t="s">
        <v>73621</v>
      </c>
      <c r="I24327" t="s">
        <v>29</v>
      </c>
      <c r="J24327" t="s">
        <v>30</v>
      </c>
      <c r="K24327" t="s">
        <v>24913</v>
      </c>
      <c r="M24327" t="s">
        <v>50500</v>
      </c>
      <c r="N24327" t="str">
        <f>"1/2/2025 9:46:00 AM"</f>
        <v>1/2/2025 9:46:00 AM</v>
      </c>
      <c r="O24327" t="s">
        <v>73619</v>
      </c>
      <c r="T24327" t="s">
        <v>73620</v>
      </c>
    </row>
    <row r="24328" spans="1:20" x14ac:dyDescent="0.25">
      <c r="A24328" t="str">
        <f>"3057510"</f>
        <v>3057510</v>
      </c>
      <c r="B24328" t="s">
        <v>73622</v>
      </c>
      <c r="C24328" t="str">
        <f>"8323670"</f>
        <v>8323670</v>
      </c>
      <c r="D24328" t="s">
        <v>73623</v>
      </c>
      <c r="F24328" t="s">
        <v>73624</v>
      </c>
      <c r="I24328" t="s">
        <v>29</v>
      </c>
      <c r="J24328" t="s">
        <v>30</v>
      </c>
      <c r="K24328" t="s">
        <v>36339</v>
      </c>
      <c r="M24328" t="s">
        <v>50500</v>
      </c>
      <c r="N24328" t="str">
        <f>"1/2/2025 10:19:00 AM"</f>
        <v>1/2/2025 10:19:00 AM</v>
      </c>
      <c r="O24328" t="s">
        <v>73623</v>
      </c>
    </row>
    <row r="24329" spans="1:20" x14ac:dyDescent="0.25">
      <c r="A24329" t="str">
        <f>"3056556"</f>
        <v>3056556</v>
      </c>
      <c r="B24329" t="s">
        <v>73625</v>
      </c>
      <c r="C24329" t="str">
        <f>"82523113"</f>
        <v>82523113</v>
      </c>
      <c r="D24329" t="s">
        <v>73626</v>
      </c>
      <c r="F24329" t="s">
        <v>73627</v>
      </c>
      <c r="I24329" t="s">
        <v>29</v>
      </c>
      <c r="J24329" t="s">
        <v>30</v>
      </c>
      <c r="K24329" t="s">
        <v>16542</v>
      </c>
      <c r="M24329" t="s">
        <v>50793</v>
      </c>
      <c r="N24329" t="str">
        <f>"1/2/2025 12:08:00 PM"</f>
        <v>1/2/2025 12:08:00 PM</v>
      </c>
      <c r="O24329" t="s">
        <v>73626</v>
      </c>
    </row>
    <row r="24330" spans="1:20" x14ac:dyDescent="0.25">
      <c r="A24330" t="str">
        <f>"3062899"</f>
        <v>3062899</v>
      </c>
      <c r="B24330" t="s">
        <v>73628</v>
      </c>
      <c r="C24330" t="str">
        <f t="shared" ref="C24330:C24353" si="374">"8316661"</f>
        <v>8316661</v>
      </c>
      <c r="D24330" t="s">
        <v>73629</v>
      </c>
      <c r="F24330" t="s">
        <v>37813</v>
      </c>
      <c r="I24330" t="s">
        <v>184</v>
      </c>
      <c r="J24330" t="s">
        <v>30</v>
      </c>
      <c r="K24330" t="s">
        <v>3605</v>
      </c>
      <c r="M24330" t="s">
        <v>25733</v>
      </c>
      <c r="N24330" t="str">
        <f t="shared" ref="N24330:N24353" si="375">"1/2/2025 12:20:00 PM"</f>
        <v>1/2/2025 12:20:00 PM</v>
      </c>
      <c r="O24330" t="s">
        <v>73629</v>
      </c>
    </row>
    <row r="24331" spans="1:20" x14ac:dyDescent="0.25">
      <c r="A24331" t="str">
        <f>"3062870"</f>
        <v>3062870</v>
      </c>
      <c r="B24331" t="s">
        <v>73630</v>
      </c>
      <c r="C24331" t="str">
        <f t="shared" si="374"/>
        <v>8316661</v>
      </c>
      <c r="D24331" t="s">
        <v>73629</v>
      </c>
      <c r="F24331" t="s">
        <v>37813</v>
      </c>
      <c r="I24331" t="s">
        <v>184</v>
      </c>
      <c r="J24331" t="s">
        <v>30</v>
      </c>
      <c r="K24331" t="s">
        <v>3605</v>
      </c>
      <c r="M24331" t="s">
        <v>25733</v>
      </c>
      <c r="N24331" t="str">
        <f t="shared" si="375"/>
        <v>1/2/2025 12:20:00 PM</v>
      </c>
      <c r="O24331" t="s">
        <v>73629</v>
      </c>
    </row>
    <row r="24332" spans="1:20" x14ac:dyDescent="0.25">
      <c r="A24332" t="str">
        <f>"3062872"</f>
        <v>3062872</v>
      </c>
      <c r="B24332" t="s">
        <v>73631</v>
      </c>
      <c r="C24332" t="str">
        <f t="shared" si="374"/>
        <v>8316661</v>
      </c>
      <c r="D24332" t="s">
        <v>73629</v>
      </c>
      <c r="F24332" t="s">
        <v>37813</v>
      </c>
      <c r="I24332" t="s">
        <v>184</v>
      </c>
      <c r="J24332" t="s">
        <v>30</v>
      </c>
      <c r="K24332" t="s">
        <v>3605</v>
      </c>
      <c r="M24332" t="s">
        <v>25733</v>
      </c>
      <c r="N24332" t="str">
        <f t="shared" si="375"/>
        <v>1/2/2025 12:20:00 PM</v>
      </c>
      <c r="O24332" t="s">
        <v>73629</v>
      </c>
    </row>
    <row r="24333" spans="1:20" x14ac:dyDescent="0.25">
      <c r="A24333" t="str">
        <f>"3062873"</f>
        <v>3062873</v>
      </c>
      <c r="B24333" t="s">
        <v>73632</v>
      </c>
      <c r="C24333" t="str">
        <f t="shared" si="374"/>
        <v>8316661</v>
      </c>
      <c r="D24333" t="s">
        <v>73629</v>
      </c>
      <c r="F24333" t="s">
        <v>37813</v>
      </c>
      <c r="I24333" t="s">
        <v>184</v>
      </c>
      <c r="J24333" t="s">
        <v>30</v>
      </c>
      <c r="K24333" t="s">
        <v>3605</v>
      </c>
      <c r="M24333" t="s">
        <v>25733</v>
      </c>
      <c r="N24333" t="str">
        <f t="shared" si="375"/>
        <v>1/2/2025 12:20:00 PM</v>
      </c>
      <c r="O24333" t="s">
        <v>73629</v>
      </c>
    </row>
    <row r="24334" spans="1:20" x14ac:dyDescent="0.25">
      <c r="A24334" t="str">
        <f>"3062874"</f>
        <v>3062874</v>
      </c>
      <c r="B24334" t="s">
        <v>73633</v>
      </c>
      <c r="C24334" t="str">
        <f t="shared" si="374"/>
        <v>8316661</v>
      </c>
      <c r="D24334" t="s">
        <v>73629</v>
      </c>
      <c r="F24334" t="s">
        <v>37813</v>
      </c>
      <c r="I24334" t="s">
        <v>184</v>
      </c>
      <c r="J24334" t="s">
        <v>30</v>
      </c>
      <c r="K24334" t="s">
        <v>3605</v>
      </c>
      <c r="M24334" t="s">
        <v>25733</v>
      </c>
      <c r="N24334" t="str">
        <f t="shared" si="375"/>
        <v>1/2/2025 12:20:00 PM</v>
      </c>
      <c r="O24334" t="s">
        <v>73629</v>
      </c>
    </row>
    <row r="24335" spans="1:20" x14ac:dyDescent="0.25">
      <c r="A24335" t="str">
        <f>"3062875"</f>
        <v>3062875</v>
      </c>
      <c r="B24335" t="s">
        <v>73634</v>
      </c>
      <c r="C24335" t="str">
        <f t="shared" si="374"/>
        <v>8316661</v>
      </c>
      <c r="D24335" t="s">
        <v>73629</v>
      </c>
      <c r="F24335" t="s">
        <v>37813</v>
      </c>
      <c r="I24335" t="s">
        <v>184</v>
      </c>
      <c r="J24335" t="s">
        <v>30</v>
      </c>
      <c r="K24335" t="s">
        <v>3605</v>
      </c>
      <c r="M24335" t="s">
        <v>25733</v>
      </c>
      <c r="N24335" t="str">
        <f t="shared" si="375"/>
        <v>1/2/2025 12:20:00 PM</v>
      </c>
      <c r="O24335" t="s">
        <v>73629</v>
      </c>
    </row>
    <row r="24336" spans="1:20" x14ac:dyDescent="0.25">
      <c r="A24336" t="str">
        <f>"3062843"</f>
        <v>3062843</v>
      </c>
      <c r="B24336" t="s">
        <v>73635</v>
      </c>
      <c r="C24336" t="str">
        <f t="shared" si="374"/>
        <v>8316661</v>
      </c>
      <c r="D24336" t="s">
        <v>73629</v>
      </c>
      <c r="F24336" t="s">
        <v>37813</v>
      </c>
      <c r="I24336" t="s">
        <v>184</v>
      </c>
      <c r="J24336" t="s">
        <v>30</v>
      </c>
      <c r="K24336" t="s">
        <v>3605</v>
      </c>
      <c r="M24336" t="s">
        <v>25733</v>
      </c>
      <c r="N24336" t="str">
        <f t="shared" si="375"/>
        <v>1/2/2025 12:20:00 PM</v>
      </c>
      <c r="O24336" t="s">
        <v>73629</v>
      </c>
    </row>
    <row r="24337" spans="1:15" x14ac:dyDescent="0.25">
      <c r="A24337" t="str">
        <f>"3062844"</f>
        <v>3062844</v>
      </c>
      <c r="B24337" t="s">
        <v>73636</v>
      </c>
      <c r="C24337" t="str">
        <f t="shared" si="374"/>
        <v>8316661</v>
      </c>
      <c r="D24337" t="s">
        <v>73629</v>
      </c>
      <c r="F24337" t="s">
        <v>37813</v>
      </c>
      <c r="I24337" t="s">
        <v>184</v>
      </c>
      <c r="J24337" t="s">
        <v>30</v>
      </c>
      <c r="K24337" t="s">
        <v>3605</v>
      </c>
      <c r="M24337" t="s">
        <v>25733</v>
      </c>
      <c r="N24337" t="str">
        <f t="shared" si="375"/>
        <v>1/2/2025 12:20:00 PM</v>
      </c>
      <c r="O24337" t="s">
        <v>73629</v>
      </c>
    </row>
    <row r="24338" spans="1:15" x14ac:dyDescent="0.25">
      <c r="A24338" t="str">
        <f>"3062845"</f>
        <v>3062845</v>
      </c>
      <c r="B24338" t="s">
        <v>73637</v>
      </c>
      <c r="C24338" t="str">
        <f t="shared" si="374"/>
        <v>8316661</v>
      </c>
      <c r="D24338" t="s">
        <v>73629</v>
      </c>
      <c r="F24338" t="s">
        <v>37813</v>
      </c>
      <c r="I24338" t="s">
        <v>184</v>
      </c>
      <c r="J24338" t="s">
        <v>30</v>
      </c>
      <c r="K24338" t="s">
        <v>3605</v>
      </c>
      <c r="M24338" t="s">
        <v>25733</v>
      </c>
      <c r="N24338" t="str">
        <f t="shared" si="375"/>
        <v>1/2/2025 12:20:00 PM</v>
      </c>
      <c r="O24338" t="s">
        <v>73629</v>
      </c>
    </row>
    <row r="24339" spans="1:15" x14ac:dyDescent="0.25">
      <c r="A24339" t="str">
        <f>"3062846"</f>
        <v>3062846</v>
      </c>
      <c r="B24339" t="s">
        <v>73638</v>
      </c>
      <c r="C24339" t="str">
        <f t="shared" si="374"/>
        <v>8316661</v>
      </c>
      <c r="D24339" t="s">
        <v>73629</v>
      </c>
      <c r="F24339" t="s">
        <v>37813</v>
      </c>
      <c r="I24339" t="s">
        <v>184</v>
      </c>
      <c r="J24339" t="s">
        <v>30</v>
      </c>
      <c r="K24339" t="s">
        <v>3605</v>
      </c>
      <c r="M24339" t="s">
        <v>25733</v>
      </c>
      <c r="N24339" t="str">
        <f t="shared" si="375"/>
        <v>1/2/2025 12:20:00 PM</v>
      </c>
      <c r="O24339" t="s">
        <v>73629</v>
      </c>
    </row>
    <row r="24340" spans="1:15" x14ac:dyDescent="0.25">
      <c r="A24340" t="str">
        <f>"3062847"</f>
        <v>3062847</v>
      </c>
      <c r="B24340" t="s">
        <v>73639</v>
      </c>
      <c r="C24340" t="str">
        <f t="shared" si="374"/>
        <v>8316661</v>
      </c>
      <c r="D24340" t="s">
        <v>73629</v>
      </c>
      <c r="F24340" t="s">
        <v>37813</v>
      </c>
      <c r="I24340" t="s">
        <v>184</v>
      </c>
      <c r="J24340" t="s">
        <v>30</v>
      </c>
      <c r="K24340" t="s">
        <v>3605</v>
      </c>
      <c r="M24340" t="s">
        <v>25733</v>
      </c>
      <c r="N24340" t="str">
        <f t="shared" si="375"/>
        <v>1/2/2025 12:20:00 PM</v>
      </c>
      <c r="O24340" t="s">
        <v>73629</v>
      </c>
    </row>
    <row r="24341" spans="1:15" x14ac:dyDescent="0.25">
      <c r="A24341" t="str">
        <f>"3062848"</f>
        <v>3062848</v>
      </c>
      <c r="B24341" t="s">
        <v>73640</v>
      </c>
      <c r="C24341" t="str">
        <f t="shared" si="374"/>
        <v>8316661</v>
      </c>
      <c r="D24341" t="s">
        <v>73629</v>
      </c>
      <c r="F24341" t="s">
        <v>37813</v>
      </c>
      <c r="I24341" t="s">
        <v>184</v>
      </c>
      <c r="J24341" t="s">
        <v>30</v>
      </c>
      <c r="K24341" t="s">
        <v>3605</v>
      </c>
      <c r="M24341" t="s">
        <v>25733</v>
      </c>
      <c r="N24341" t="str">
        <f t="shared" si="375"/>
        <v>1/2/2025 12:20:00 PM</v>
      </c>
      <c r="O24341" t="s">
        <v>73629</v>
      </c>
    </row>
    <row r="24342" spans="1:15" x14ac:dyDescent="0.25">
      <c r="A24342" t="str">
        <f>"3062849"</f>
        <v>3062849</v>
      </c>
      <c r="B24342" t="s">
        <v>73641</v>
      </c>
      <c r="C24342" t="str">
        <f t="shared" si="374"/>
        <v>8316661</v>
      </c>
      <c r="D24342" t="s">
        <v>73629</v>
      </c>
      <c r="F24342" t="s">
        <v>37813</v>
      </c>
      <c r="I24342" t="s">
        <v>184</v>
      </c>
      <c r="J24342" t="s">
        <v>30</v>
      </c>
      <c r="K24342" t="s">
        <v>3605</v>
      </c>
      <c r="M24342" t="s">
        <v>25733</v>
      </c>
      <c r="N24342" t="str">
        <f t="shared" si="375"/>
        <v>1/2/2025 12:20:00 PM</v>
      </c>
      <c r="O24342" t="s">
        <v>73629</v>
      </c>
    </row>
    <row r="24343" spans="1:15" x14ac:dyDescent="0.25">
      <c r="A24343" t="str">
        <f>"3062853"</f>
        <v>3062853</v>
      </c>
      <c r="B24343" t="s">
        <v>73642</v>
      </c>
      <c r="C24343" t="str">
        <f t="shared" si="374"/>
        <v>8316661</v>
      </c>
      <c r="D24343" t="s">
        <v>73629</v>
      </c>
      <c r="F24343" t="s">
        <v>37813</v>
      </c>
      <c r="I24343" t="s">
        <v>184</v>
      </c>
      <c r="J24343" t="s">
        <v>30</v>
      </c>
      <c r="K24343" t="s">
        <v>3605</v>
      </c>
      <c r="M24343" t="s">
        <v>25733</v>
      </c>
      <c r="N24343" t="str">
        <f t="shared" si="375"/>
        <v>1/2/2025 12:20:00 PM</v>
      </c>
      <c r="O24343" t="s">
        <v>73629</v>
      </c>
    </row>
    <row r="24344" spans="1:15" x14ac:dyDescent="0.25">
      <c r="A24344" t="str">
        <f>"3062857"</f>
        <v>3062857</v>
      </c>
      <c r="B24344" t="s">
        <v>73643</v>
      </c>
      <c r="C24344" t="str">
        <f t="shared" si="374"/>
        <v>8316661</v>
      </c>
      <c r="D24344" t="s">
        <v>73629</v>
      </c>
      <c r="F24344" t="s">
        <v>37813</v>
      </c>
      <c r="I24344" t="s">
        <v>184</v>
      </c>
      <c r="J24344" t="s">
        <v>30</v>
      </c>
      <c r="K24344" t="s">
        <v>3605</v>
      </c>
      <c r="M24344" t="s">
        <v>25733</v>
      </c>
      <c r="N24344" t="str">
        <f t="shared" si="375"/>
        <v>1/2/2025 12:20:00 PM</v>
      </c>
      <c r="O24344" t="s">
        <v>73629</v>
      </c>
    </row>
    <row r="24345" spans="1:15" x14ac:dyDescent="0.25">
      <c r="A24345" t="str">
        <f>"3062854"</f>
        <v>3062854</v>
      </c>
      <c r="B24345" t="s">
        <v>73644</v>
      </c>
      <c r="C24345" t="str">
        <f t="shared" si="374"/>
        <v>8316661</v>
      </c>
      <c r="D24345" t="s">
        <v>73629</v>
      </c>
      <c r="F24345" t="s">
        <v>37813</v>
      </c>
      <c r="I24345" t="s">
        <v>184</v>
      </c>
      <c r="J24345" t="s">
        <v>30</v>
      </c>
      <c r="K24345" t="s">
        <v>3605</v>
      </c>
      <c r="M24345" t="s">
        <v>25733</v>
      </c>
      <c r="N24345" t="str">
        <f t="shared" si="375"/>
        <v>1/2/2025 12:20:00 PM</v>
      </c>
      <c r="O24345" t="s">
        <v>73629</v>
      </c>
    </row>
    <row r="24346" spans="1:15" x14ac:dyDescent="0.25">
      <c r="A24346" t="str">
        <f>"3062855"</f>
        <v>3062855</v>
      </c>
      <c r="B24346" t="s">
        <v>73645</v>
      </c>
      <c r="C24346" t="str">
        <f t="shared" si="374"/>
        <v>8316661</v>
      </c>
      <c r="D24346" t="s">
        <v>73629</v>
      </c>
      <c r="F24346" t="s">
        <v>37813</v>
      </c>
      <c r="I24346" t="s">
        <v>184</v>
      </c>
      <c r="J24346" t="s">
        <v>30</v>
      </c>
      <c r="K24346" t="s">
        <v>3605</v>
      </c>
      <c r="M24346" t="s">
        <v>25733</v>
      </c>
      <c r="N24346" t="str">
        <f t="shared" si="375"/>
        <v>1/2/2025 12:20:00 PM</v>
      </c>
      <c r="O24346" t="s">
        <v>73629</v>
      </c>
    </row>
    <row r="24347" spans="1:15" x14ac:dyDescent="0.25">
      <c r="A24347" t="str">
        <f>"3062856"</f>
        <v>3062856</v>
      </c>
      <c r="B24347" t="s">
        <v>73646</v>
      </c>
      <c r="C24347" t="str">
        <f t="shared" si="374"/>
        <v>8316661</v>
      </c>
      <c r="D24347" t="s">
        <v>73629</v>
      </c>
      <c r="F24347" t="s">
        <v>37813</v>
      </c>
      <c r="I24347" t="s">
        <v>184</v>
      </c>
      <c r="J24347" t="s">
        <v>30</v>
      </c>
      <c r="K24347" t="s">
        <v>3605</v>
      </c>
      <c r="M24347" t="s">
        <v>25733</v>
      </c>
      <c r="N24347" t="str">
        <f t="shared" si="375"/>
        <v>1/2/2025 12:20:00 PM</v>
      </c>
      <c r="O24347" t="s">
        <v>73629</v>
      </c>
    </row>
    <row r="24348" spans="1:15" x14ac:dyDescent="0.25">
      <c r="A24348" t="str">
        <f>"3062852"</f>
        <v>3062852</v>
      </c>
      <c r="B24348" t="s">
        <v>73647</v>
      </c>
      <c r="C24348" t="str">
        <f t="shared" si="374"/>
        <v>8316661</v>
      </c>
      <c r="D24348" t="s">
        <v>73629</v>
      </c>
      <c r="F24348" t="s">
        <v>37813</v>
      </c>
      <c r="I24348" t="s">
        <v>184</v>
      </c>
      <c r="J24348" t="s">
        <v>30</v>
      </c>
      <c r="K24348" t="s">
        <v>3605</v>
      </c>
      <c r="M24348" t="s">
        <v>25733</v>
      </c>
      <c r="N24348" t="str">
        <f t="shared" si="375"/>
        <v>1/2/2025 12:20:00 PM</v>
      </c>
      <c r="O24348" t="s">
        <v>73629</v>
      </c>
    </row>
    <row r="24349" spans="1:15" x14ac:dyDescent="0.25">
      <c r="A24349" t="str">
        <f>"3062850"</f>
        <v>3062850</v>
      </c>
      <c r="B24349" t="s">
        <v>73648</v>
      </c>
      <c r="C24349" t="str">
        <f t="shared" si="374"/>
        <v>8316661</v>
      </c>
      <c r="D24349" t="s">
        <v>73629</v>
      </c>
      <c r="F24349" t="s">
        <v>37813</v>
      </c>
      <c r="I24349" t="s">
        <v>184</v>
      </c>
      <c r="J24349" t="s">
        <v>30</v>
      </c>
      <c r="K24349" t="s">
        <v>3605</v>
      </c>
      <c r="M24349" t="s">
        <v>25733</v>
      </c>
      <c r="N24349" t="str">
        <f t="shared" si="375"/>
        <v>1/2/2025 12:20:00 PM</v>
      </c>
      <c r="O24349" t="s">
        <v>73629</v>
      </c>
    </row>
    <row r="24350" spans="1:15" x14ac:dyDescent="0.25">
      <c r="A24350" t="str">
        <f>"3062851"</f>
        <v>3062851</v>
      </c>
      <c r="B24350" t="s">
        <v>73649</v>
      </c>
      <c r="C24350" t="str">
        <f t="shared" si="374"/>
        <v>8316661</v>
      </c>
      <c r="D24350" t="s">
        <v>73629</v>
      </c>
      <c r="F24350" t="s">
        <v>37813</v>
      </c>
      <c r="I24350" t="s">
        <v>184</v>
      </c>
      <c r="J24350" t="s">
        <v>30</v>
      </c>
      <c r="K24350" t="s">
        <v>3605</v>
      </c>
      <c r="M24350" t="s">
        <v>25733</v>
      </c>
      <c r="N24350" t="str">
        <f t="shared" si="375"/>
        <v>1/2/2025 12:20:00 PM</v>
      </c>
      <c r="O24350" t="s">
        <v>73629</v>
      </c>
    </row>
    <row r="24351" spans="1:15" x14ac:dyDescent="0.25">
      <c r="A24351" t="str">
        <f>"3062858"</f>
        <v>3062858</v>
      </c>
      <c r="B24351" t="s">
        <v>73650</v>
      </c>
      <c r="C24351" t="str">
        <f t="shared" si="374"/>
        <v>8316661</v>
      </c>
      <c r="D24351" t="s">
        <v>73629</v>
      </c>
      <c r="F24351" t="s">
        <v>37813</v>
      </c>
      <c r="I24351" t="s">
        <v>184</v>
      </c>
      <c r="J24351" t="s">
        <v>30</v>
      </c>
      <c r="K24351" t="s">
        <v>3605</v>
      </c>
      <c r="M24351" t="s">
        <v>25733</v>
      </c>
      <c r="N24351" t="str">
        <f t="shared" si="375"/>
        <v>1/2/2025 12:20:00 PM</v>
      </c>
      <c r="O24351" t="s">
        <v>73629</v>
      </c>
    </row>
    <row r="24352" spans="1:15" x14ac:dyDescent="0.25">
      <c r="A24352" t="str">
        <f>"3062859"</f>
        <v>3062859</v>
      </c>
      <c r="B24352" t="s">
        <v>73651</v>
      </c>
      <c r="C24352" t="str">
        <f t="shared" si="374"/>
        <v>8316661</v>
      </c>
      <c r="D24352" t="s">
        <v>73629</v>
      </c>
      <c r="F24352" t="s">
        <v>37813</v>
      </c>
      <c r="I24352" t="s">
        <v>184</v>
      </c>
      <c r="J24352" t="s">
        <v>30</v>
      </c>
      <c r="K24352" t="s">
        <v>3605</v>
      </c>
      <c r="M24352" t="s">
        <v>25733</v>
      </c>
      <c r="N24352" t="str">
        <f t="shared" si="375"/>
        <v>1/2/2025 12:20:00 PM</v>
      </c>
      <c r="O24352" t="s">
        <v>73629</v>
      </c>
    </row>
    <row r="24353" spans="1:20" x14ac:dyDescent="0.25">
      <c r="A24353" t="str">
        <f>"3062860"</f>
        <v>3062860</v>
      </c>
      <c r="B24353" t="s">
        <v>73652</v>
      </c>
      <c r="C24353" t="str">
        <f t="shared" si="374"/>
        <v>8316661</v>
      </c>
      <c r="D24353" t="s">
        <v>73629</v>
      </c>
      <c r="F24353" t="s">
        <v>37813</v>
      </c>
      <c r="I24353" t="s">
        <v>184</v>
      </c>
      <c r="J24353" t="s">
        <v>30</v>
      </c>
      <c r="K24353" t="s">
        <v>3605</v>
      </c>
      <c r="M24353" t="s">
        <v>25733</v>
      </c>
      <c r="N24353" t="str">
        <f t="shared" si="375"/>
        <v>1/2/2025 12:20:00 PM</v>
      </c>
      <c r="O24353" t="s">
        <v>73629</v>
      </c>
    </row>
    <row r="24354" spans="1:20" x14ac:dyDescent="0.25">
      <c r="A24354" t="str">
        <f>"3064607"</f>
        <v>3064607</v>
      </c>
      <c r="B24354" t="s">
        <v>73653</v>
      </c>
      <c r="C24354" t="str">
        <f>"8321984"</f>
        <v>8321984</v>
      </c>
      <c r="D24354" t="s">
        <v>73654</v>
      </c>
      <c r="E24354" t="s">
        <v>73655</v>
      </c>
      <c r="F24354" t="s">
        <v>62209</v>
      </c>
      <c r="I24354" t="s">
        <v>2589</v>
      </c>
      <c r="J24354" t="s">
        <v>30</v>
      </c>
      <c r="K24354" t="s">
        <v>62210</v>
      </c>
      <c r="M24354" t="s">
        <v>18479</v>
      </c>
      <c r="N24354" t="str">
        <f>"1/2/2025 2:55:00 PM"</f>
        <v>1/2/2025 2:55:00 PM</v>
      </c>
      <c r="O24354" t="s">
        <v>73654</v>
      </c>
      <c r="T24354" t="s">
        <v>73655</v>
      </c>
    </row>
    <row r="24355" spans="1:20" x14ac:dyDescent="0.25">
      <c r="A24355" t="str">
        <f>"3048734"</f>
        <v>3048734</v>
      </c>
      <c r="B24355" t="s">
        <v>73656</v>
      </c>
      <c r="C24355" t="str">
        <f>"8321984"</f>
        <v>8321984</v>
      </c>
      <c r="D24355" t="s">
        <v>73654</v>
      </c>
      <c r="E24355" t="s">
        <v>73655</v>
      </c>
      <c r="F24355" t="s">
        <v>62209</v>
      </c>
      <c r="I24355" t="s">
        <v>2589</v>
      </c>
      <c r="J24355" t="s">
        <v>30</v>
      </c>
      <c r="K24355" t="s">
        <v>62210</v>
      </c>
      <c r="M24355" t="s">
        <v>18479</v>
      </c>
      <c r="N24355" t="str">
        <f>"1/2/2025 2:55:00 PM"</f>
        <v>1/2/2025 2:55:00 PM</v>
      </c>
      <c r="O24355" t="s">
        <v>73654</v>
      </c>
      <c r="T24355" t="s">
        <v>73655</v>
      </c>
    </row>
    <row r="24356" spans="1:20" x14ac:dyDescent="0.25">
      <c r="A24356" t="str">
        <f>"3049820"</f>
        <v>3049820</v>
      </c>
      <c r="B24356" t="s">
        <v>73657</v>
      </c>
      <c r="C24356" t="str">
        <f>"8321761"</f>
        <v>8321761</v>
      </c>
      <c r="D24356" t="s">
        <v>73658</v>
      </c>
      <c r="E24356" t="s">
        <v>73659</v>
      </c>
      <c r="F24356" t="s">
        <v>73660</v>
      </c>
      <c r="I24356" t="s">
        <v>29</v>
      </c>
      <c r="J24356" t="s">
        <v>30</v>
      </c>
      <c r="K24356" t="s">
        <v>9905</v>
      </c>
      <c r="M24356" t="s">
        <v>25733</v>
      </c>
      <c r="N24356" t="str">
        <f>"1/2/2025 2:55:00 PM"</f>
        <v>1/2/2025 2:55:00 PM</v>
      </c>
      <c r="O24356" t="s">
        <v>73658</v>
      </c>
      <c r="T24356" t="s">
        <v>73659</v>
      </c>
    </row>
    <row r="24357" spans="1:20" x14ac:dyDescent="0.25">
      <c r="A24357" t="str">
        <f>"3058615"</f>
        <v>3058615</v>
      </c>
      <c r="B24357" t="s">
        <v>73661</v>
      </c>
      <c r="C24357" t="str">
        <f>"8322603"</f>
        <v>8322603</v>
      </c>
      <c r="D24357" t="s">
        <v>73662</v>
      </c>
      <c r="F24357" t="s">
        <v>73663</v>
      </c>
      <c r="I24357" t="s">
        <v>29</v>
      </c>
      <c r="J24357" t="s">
        <v>30</v>
      </c>
      <c r="K24357" t="s">
        <v>68180</v>
      </c>
      <c r="M24357" t="s">
        <v>50500</v>
      </c>
      <c r="N24357" t="str">
        <f>"1/2/2025 3:31:00 PM"</f>
        <v>1/2/2025 3:31:00 PM</v>
      </c>
      <c r="O24357" t="s">
        <v>73662</v>
      </c>
    </row>
    <row r="24358" spans="1:20" x14ac:dyDescent="0.25">
      <c r="A24358" t="str">
        <f>"3063053"</f>
        <v>3063053</v>
      </c>
      <c r="B24358" t="s">
        <v>73664</v>
      </c>
      <c r="C24358" t="str">
        <f>"8323672"</f>
        <v>8323672</v>
      </c>
      <c r="D24358" t="s">
        <v>73665</v>
      </c>
      <c r="E24358" t="s">
        <v>73666</v>
      </c>
      <c r="F24358" t="s">
        <v>73667</v>
      </c>
      <c r="I24358" t="s">
        <v>56757</v>
      </c>
      <c r="J24358" t="s">
        <v>30</v>
      </c>
      <c r="K24358" t="s">
        <v>73668</v>
      </c>
      <c r="M24358" t="s">
        <v>50500</v>
      </c>
      <c r="N24358" t="str">
        <f>"1/2/2025 3:45:00 PM"</f>
        <v>1/2/2025 3:45:00 PM</v>
      </c>
      <c r="O24358" t="s">
        <v>73665</v>
      </c>
      <c r="T24358" t="s">
        <v>73666</v>
      </c>
    </row>
    <row r="24359" spans="1:20" x14ac:dyDescent="0.25">
      <c r="A24359" t="str">
        <f>"3038400"</f>
        <v>3038400</v>
      </c>
      <c r="B24359" t="s">
        <v>73669</v>
      </c>
      <c r="C24359" t="str">
        <f>"8323658"</f>
        <v>8323658</v>
      </c>
      <c r="D24359" t="s">
        <v>73670</v>
      </c>
      <c r="E24359" t="s">
        <v>73671</v>
      </c>
      <c r="F24359" t="s">
        <v>70964</v>
      </c>
      <c r="I24359" t="s">
        <v>29</v>
      </c>
      <c r="J24359" t="s">
        <v>30</v>
      </c>
      <c r="K24359" t="s">
        <v>70965</v>
      </c>
      <c r="M24359" t="s">
        <v>50500</v>
      </c>
      <c r="N24359" t="str">
        <f>"12/31/2024 10:23:00 AM"</f>
        <v>12/31/2024 10:23:00 AM</v>
      </c>
      <c r="O24359" t="s">
        <v>73670</v>
      </c>
      <c r="T24359" t="s">
        <v>73671</v>
      </c>
    </row>
    <row r="24360" spans="1:20" x14ac:dyDescent="0.25">
      <c r="A24360" t="str">
        <f>"3042162"</f>
        <v>3042162</v>
      </c>
      <c r="B24360" t="s">
        <v>73672</v>
      </c>
      <c r="C24360" t="str">
        <f>"8323658"</f>
        <v>8323658</v>
      </c>
      <c r="D24360" t="s">
        <v>73670</v>
      </c>
      <c r="E24360" t="s">
        <v>73671</v>
      </c>
      <c r="F24360" t="s">
        <v>70964</v>
      </c>
      <c r="I24360" t="s">
        <v>29</v>
      </c>
      <c r="J24360" t="s">
        <v>30</v>
      </c>
      <c r="K24360" t="s">
        <v>70965</v>
      </c>
      <c r="M24360" t="s">
        <v>50500</v>
      </c>
      <c r="N24360" t="str">
        <f>"12/31/2024 10:23:00 AM"</f>
        <v>12/31/2024 10:23:00 AM</v>
      </c>
      <c r="O24360" t="s">
        <v>73670</v>
      </c>
      <c r="T24360" t="s">
        <v>73671</v>
      </c>
    </row>
    <row r="24361" spans="1:20" x14ac:dyDescent="0.25">
      <c r="A24361" t="str">
        <f>"3050201"</f>
        <v>3050201</v>
      </c>
      <c r="B24361" t="s">
        <v>73673</v>
      </c>
      <c r="C24361" t="str">
        <f>"63679500"</f>
        <v>63679500</v>
      </c>
      <c r="D24361" t="s">
        <v>73674</v>
      </c>
      <c r="E24361" t="s">
        <v>73675</v>
      </c>
      <c r="F24361" t="s">
        <v>73676</v>
      </c>
      <c r="I24361" t="s">
        <v>29</v>
      </c>
      <c r="J24361" t="s">
        <v>30</v>
      </c>
      <c r="K24361" t="s">
        <v>31</v>
      </c>
      <c r="M24361" t="s">
        <v>50621</v>
      </c>
      <c r="N24361" t="str">
        <f>"12/31/2024 10:24:00 AM"</f>
        <v>12/31/2024 10:24:00 AM</v>
      </c>
      <c r="O24361" t="s">
        <v>73674</v>
      </c>
      <c r="T24361" t="s">
        <v>73675</v>
      </c>
    </row>
    <row r="24362" spans="1:20" x14ac:dyDescent="0.25">
      <c r="A24362" t="str">
        <f>"3038320"</f>
        <v>3038320</v>
      </c>
      <c r="B24362" t="s">
        <v>73677</v>
      </c>
      <c r="C24362" t="str">
        <f>"8323074"</f>
        <v>8323074</v>
      </c>
      <c r="D24362" t="s">
        <v>73678</v>
      </c>
      <c r="E24362" t="s">
        <v>73679</v>
      </c>
      <c r="F24362" t="s">
        <v>73680</v>
      </c>
      <c r="I24362" t="s">
        <v>73681</v>
      </c>
      <c r="J24362" t="s">
        <v>30</v>
      </c>
      <c r="K24362" t="s">
        <v>73682</v>
      </c>
      <c r="M24362" t="s">
        <v>50500</v>
      </c>
      <c r="N24362" t="str">
        <f>"12/31/2024 10:30:00 AM"</f>
        <v>12/31/2024 10:30:00 AM</v>
      </c>
      <c r="O24362" t="s">
        <v>73678</v>
      </c>
      <c r="T24362" t="s">
        <v>73679</v>
      </c>
    </row>
    <row r="24363" spans="1:20" x14ac:dyDescent="0.25">
      <c r="A24363" t="str">
        <f>"3038223"</f>
        <v>3038223</v>
      </c>
      <c r="B24363" t="s">
        <v>73683</v>
      </c>
      <c r="C24363" t="str">
        <f>"8323074"</f>
        <v>8323074</v>
      </c>
      <c r="D24363" t="s">
        <v>73678</v>
      </c>
      <c r="E24363" t="s">
        <v>73679</v>
      </c>
      <c r="F24363" t="s">
        <v>73680</v>
      </c>
      <c r="I24363" t="s">
        <v>73681</v>
      </c>
      <c r="J24363" t="s">
        <v>30</v>
      </c>
      <c r="K24363" t="s">
        <v>73682</v>
      </c>
      <c r="M24363" t="s">
        <v>50500</v>
      </c>
      <c r="N24363" t="str">
        <f>"12/31/2024 10:30:00 AM"</f>
        <v>12/31/2024 10:30:00 AM</v>
      </c>
      <c r="O24363" t="s">
        <v>73678</v>
      </c>
      <c r="T24363" t="s">
        <v>73679</v>
      </c>
    </row>
    <row r="24364" spans="1:20" x14ac:dyDescent="0.25">
      <c r="A24364" t="str">
        <f>"3055644"</f>
        <v>3055644</v>
      </c>
      <c r="B24364" t="s">
        <v>73684</v>
      </c>
      <c r="C24364" t="str">
        <f>"8323659"</f>
        <v>8323659</v>
      </c>
      <c r="D24364" t="s">
        <v>73685</v>
      </c>
      <c r="E24364" t="s">
        <v>73686</v>
      </c>
      <c r="F24364" t="s">
        <v>73687</v>
      </c>
      <c r="I24364" t="s">
        <v>29</v>
      </c>
      <c r="J24364" t="s">
        <v>30</v>
      </c>
      <c r="K24364" t="s">
        <v>20825</v>
      </c>
      <c r="M24364" t="s">
        <v>50500</v>
      </c>
      <c r="N24364" t="str">
        <f>"12/31/2024 10:39:00 AM"</f>
        <v>12/31/2024 10:39:00 AM</v>
      </c>
      <c r="O24364" t="s">
        <v>73685</v>
      </c>
      <c r="T24364" t="s">
        <v>73686</v>
      </c>
    </row>
    <row r="24365" spans="1:20" x14ac:dyDescent="0.25">
      <c r="A24365" t="str">
        <f>"3038036"</f>
        <v>3038036</v>
      </c>
      <c r="B24365" t="s">
        <v>73688</v>
      </c>
      <c r="C24365" t="str">
        <f>"8323660"</f>
        <v>8323660</v>
      </c>
      <c r="D24365" t="s">
        <v>2729</v>
      </c>
      <c r="E24365" t="s">
        <v>2730</v>
      </c>
      <c r="F24365" t="s">
        <v>2731</v>
      </c>
      <c r="I24365" t="s">
        <v>2732</v>
      </c>
      <c r="J24365" t="s">
        <v>1046</v>
      </c>
      <c r="K24365" t="s">
        <v>2733</v>
      </c>
      <c r="M24365" t="s">
        <v>50500</v>
      </c>
      <c r="N24365" t="str">
        <f>"12/31/2024 10:45:00 AM"</f>
        <v>12/31/2024 10:45:00 AM</v>
      </c>
      <c r="O24365" t="s">
        <v>2729</v>
      </c>
      <c r="T24365" t="s">
        <v>2730</v>
      </c>
    </row>
    <row r="24366" spans="1:20" x14ac:dyDescent="0.25">
      <c r="A24366" t="str">
        <f>"3076888"</f>
        <v>3076888</v>
      </c>
      <c r="B24366" t="s">
        <v>73689</v>
      </c>
      <c r="C24366" t="str">
        <f>"8323660"</f>
        <v>8323660</v>
      </c>
      <c r="D24366" t="s">
        <v>2729</v>
      </c>
      <c r="E24366" t="s">
        <v>2730</v>
      </c>
      <c r="F24366" t="s">
        <v>2731</v>
      </c>
      <c r="I24366" t="s">
        <v>2732</v>
      </c>
      <c r="J24366" t="s">
        <v>1046</v>
      </c>
      <c r="K24366" t="s">
        <v>2733</v>
      </c>
      <c r="M24366" t="s">
        <v>50500</v>
      </c>
      <c r="N24366" t="str">
        <f>"12/31/2024 10:45:00 AM"</f>
        <v>12/31/2024 10:45:00 AM</v>
      </c>
      <c r="O24366" t="s">
        <v>2729</v>
      </c>
      <c r="T24366" t="s">
        <v>2730</v>
      </c>
    </row>
    <row r="24367" spans="1:20" x14ac:dyDescent="0.25">
      <c r="A24367" t="str">
        <f>"3059791"</f>
        <v>3059791</v>
      </c>
      <c r="B24367" t="s">
        <v>73690</v>
      </c>
      <c r="C24367" t="str">
        <f>"8311053"</f>
        <v>8311053</v>
      </c>
      <c r="D24367" t="s">
        <v>73691</v>
      </c>
      <c r="F24367" t="s">
        <v>73692</v>
      </c>
      <c r="I24367" t="s">
        <v>23790</v>
      </c>
      <c r="J24367" t="s">
        <v>30</v>
      </c>
      <c r="K24367" t="s">
        <v>73693</v>
      </c>
      <c r="M24367" t="s">
        <v>25733</v>
      </c>
      <c r="N24367" t="str">
        <f>"12/31/2024 10:47:00 AM"</f>
        <v>12/31/2024 10:47:00 AM</v>
      </c>
      <c r="O24367" t="s">
        <v>73691</v>
      </c>
    </row>
    <row r="24368" spans="1:20" x14ac:dyDescent="0.25">
      <c r="A24368" t="str">
        <f>"3047323"</f>
        <v>3047323</v>
      </c>
      <c r="B24368" t="s">
        <v>73694</v>
      </c>
      <c r="C24368" t="str">
        <f>"8323661"</f>
        <v>8323661</v>
      </c>
      <c r="D24368" t="s">
        <v>73695</v>
      </c>
      <c r="F24368" t="s">
        <v>73696</v>
      </c>
      <c r="I24368" t="s">
        <v>184</v>
      </c>
      <c r="J24368" t="s">
        <v>30</v>
      </c>
      <c r="K24368" t="s">
        <v>44256</v>
      </c>
      <c r="M24368" t="s">
        <v>50500</v>
      </c>
      <c r="N24368" t="str">
        <f>"12/31/2024 11:01:00 AM"</f>
        <v>12/31/2024 11:01:00 AM</v>
      </c>
      <c r="O24368" t="s">
        <v>73695</v>
      </c>
    </row>
    <row r="24369" spans="1:20" x14ac:dyDescent="0.25">
      <c r="A24369" t="str">
        <f>"3061797"</f>
        <v>3061797</v>
      </c>
      <c r="B24369" t="s">
        <v>73697</v>
      </c>
      <c r="C24369" t="str">
        <f>"8323662"</f>
        <v>8323662</v>
      </c>
      <c r="D24369" t="s">
        <v>73698</v>
      </c>
      <c r="E24369" t="s">
        <v>73699</v>
      </c>
      <c r="F24369" t="s">
        <v>73700</v>
      </c>
      <c r="I24369" t="s">
        <v>2071</v>
      </c>
      <c r="J24369" t="s">
        <v>30</v>
      </c>
      <c r="K24369" t="s">
        <v>45717</v>
      </c>
      <c r="M24369" t="s">
        <v>50500</v>
      </c>
      <c r="N24369" t="str">
        <f>"12/31/2024 11:09:00 AM"</f>
        <v>12/31/2024 11:09:00 AM</v>
      </c>
      <c r="O24369" t="s">
        <v>73698</v>
      </c>
      <c r="T24369" t="s">
        <v>73699</v>
      </c>
    </row>
    <row r="24370" spans="1:20" x14ac:dyDescent="0.25">
      <c r="A24370" t="str">
        <f>"3062215"</f>
        <v>3062215</v>
      </c>
      <c r="B24370" t="s">
        <v>73701</v>
      </c>
      <c r="C24370" t="str">
        <f>"8323663"</f>
        <v>8323663</v>
      </c>
      <c r="D24370" t="s">
        <v>73702</v>
      </c>
      <c r="E24370" t="s">
        <v>73703</v>
      </c>
      <c r="F24370" t="s">
        <v>73704</v>
      </c>
      <c r="I24370" t="s">
        <v>184</v>
      </c>
      <c r="J24370" t="s">
        <v>30</v>
      </c>
      <c r="K24370" t="s">
        <v>63671</v>
      </c>
      <c r="M24370" t="s">
        <v>50500</v>
      </c>
      <c r="N24370" t="str">
        <f>"12/31/2024 11:16:00 AM"</f>
        <v>12/31/2024 11:16:00 AM</v>
      </c>
      <c r="O24370" t="s">
        <v>73702</v>
      </c>
      <c r="T24370" t="s">
        <v>73703</v>
      </c>
    </row>
    <row r="24371" spans="1:20" x14ac:dyDescent="0.25">
      <c r="A24371" t="str">
        <f>"3062913"</f>
        <v>3062913</v>
      </c>
      <c r="B24371" t="s">
        <v>73705</v>
      </c>
      <c r="C24371" t="str">
        <f>"8323664"</f>
        <v>8323664</v>
      </c>
      <c r="D24371" t="s">
        <v>73706</v>
      </c>
      <c r="F24371" t="s">
        <v>73707</v>
      </c>
      <c r="I24371" t="s">
        <v>29</v>
      </c>
      <c r="J24371" t="s">
        <v>30</v>
      </c>
      <c r="K24371" t="s">
        <v>73708</v>
      </c>
      <c r="M24371" t="s">
        <v>50500</v>
      </c>
      <c r="N24371" t="str">
        <f>"12/31/2024 11:20:00 AM"</f>
        <v>12/31/2024 11:20:00 AM</v>
      </c>
      <c r="O24371" t="s">
        <v>73706</v>
      </c>
    </row>
    <row r="24372" spans="1:20" x14ac:dyDescent="0.25">
      <c r="A24372" t="str">
        <f>"3053836"</f>
        <v>3053836</v>
      </c>
      <c r="B24372" t="s">
        <v>73709</v>
      </c>
      <c r="C24372" t="str">
        <f>"8323665"</f>
        <v>8323665</v>
      </c>
      <c r="D24372" t="s">
        <v>73710</v>
      </c>
      <c r="F24372" t="s">
        <v>73711</v>
      </c>
      <c r="I24372" t="s">
        <v>29</v>
      </c>
      <c r="J24372" t="s">
        <v>30</v>
      </c>
      <c r="K24372" t="s">
        <v>12411</v>
      </c>
      <c r="M24372" t="s">
        <v>50500</v>
      </c>
      <c r="N24372" t="str">
        <f>"12/31/2024 11:59:00 AM"</f>
        <v>12/31/2024 11:59:00 AM</v>
      </c>
      <c r="O24372" t="s">
        <v>73710</v>
      </c>
    </row>
    <row r="24373" spans="1:20" x14ac:dyDescent="0.25">
      <c r="A24373" t="str">
        <f>"3054330"</f>
        <v>3054330</v>
      </c>
      <c r="B24373" t="s">
        <v>73712</v>
      </c>
      <c r="C24373" t="str">
        <f>"82525906"</f>
        <v>82525906</v>
      </c>
      <c r="D24373" t="s">
        <v>73713</v>
      </c>
      <c r="F24373" t="s">
        <v>57029</v>
      </c>
      <c r="I24373" t="s">
        <v>29</v>
      </c>
      <c r="J24373" t="s">
        <v>30</v>
      </c>
      <c r="K24373" t="s">
        <v>57030</v>
      </c>
      <c r="M24373" t="s">
        <v>51351</v>
      </c>
      <c r="N24373" t="str">
        <f>"12/31/2024 8:37:00 AM"</f>
        <v>12/31/2024 8:37:00 AM</v>
      </c>
      <c r="O24373" t="s">
        <v>73713</v>
      </c>
    </row>
    <row r="24374" spans="1:20" x14ac:dyDescent="0.25">
      <c r="A24374" t="str">
        <f>"3039241"</f>
        <v>3039241</v>
      </c>
      <c r="B24374" t="s">
        <v>73714</v>
      </c>
      <c r="C24374" t="str">
        <f>"8323648"</f>
        <v>8323648</v>
      </c>
      <c r="D24374" t="s">
        <v>39114</v>
      </c>
      <c r="E24374" t="s">
        <v>73715</v>
      </c>
      <c r="F24374" t="s">
        <v>39116</v>
      </c>
      <c r="I24374" t="s">
        <v>184</v>
      </c>
      <c r="J24374" t="s">
        <v>30</v>
      </c>
      <c r="K24374" t="s">
        <v>2013</v>
      </c>
      <c r="M24374" t="s">
        <v>50500</v>
      </c>
      <c r="N24374" t="str">
        <f>"12/31/2024 8:49:00 AM"</f>
        <v>12/31/2024 8:49:00 AM</v>
      </c>
      <c r="O24374" t="s">
        <v>39114</v>
      </c>
      <c r="T24374" t="s">
        <v>73715</v>
      </c>
    </row>
    <row r="24375" spans="1:20" x14ac:dyDescent="0.25">
      <c r="A24375" t="str">
        <f>"3037951"</f>
        <v>3037951</v>
      </c>
      <c r="B24375" t="s">
        <v>73716</v>
      </c>
      <c r="C24375" t="str">
        <f>"8323648"</f>
        <v>8323648</v>
      </c>
      <c r="D24375" t="s">
        <v>39114</v>
      </c>
      <c r="E24375" t="s">
        <v>73715</v>
      </c>
      <c r="F24375" t="s">
        <v>39116</v>
      </c>
      <c r="I24375" t="s">
        <v>184</v>
      </c>
      <c r="J24375" t="s">
        <v>30</v>
      </c>
      <c r="K24375" t="s">
        <v>2013</v>
      </c>
      <c r="M24375" t="s">
        <v>50500</v>
      </c>
      <c r="N24375" t="str">
        <f>"12/31/2024 8:49:00 AM"</f>
        <v>12/31/2024 8:49:00 AM</v>
      </c>
      <c r="O24375" t="s">
        <v>39114</v>
      </c>
      <c r="T24375" t="s">
        <v>73715</v>
      </c>
    </row>
    <row r="24376" spans="1:20" x14ac:dyDescent="0.25">
      <c r="A24376" t="str">
        <f>"3061789"</f>
        <v>3061789</v>
      </c>
      <c r="B24376" t="s">
        <v>73717</v>
      </c>
      <c r="C24376" t="str">
        <f>"8323666"</f>
        <v>8323666</v>
      </c>
      <c r="D24376" t="s">
        <v>73718</v>
      </c>
      <c r="F24376" t="s">
        <v>73719</v>
      </c>
      <c r="I24376" t="s">
        <v>2071</v>
      </c>
      <c r="J24376" t="s">
        <v>30</v>
      </c>
      <c r="K24376" t="s">
        <v>52021</v>
      </c>
      <c r="M24376" t="s">
        <v>50500</v>
      </c>
      <c r="N24376" t="str">
        <f>"12/31/2024 12:03:00 PM"</f>
        <v>12/31/2024 12:03:00 PM</v>
      </c>
      <c r="O24376" t="s">
        <v>73718</v>
      </c>
    </row>
    <row r="24377" spans="1:20" x14ac:dyDescent="0.25">
      <c r="A24377" t="str">
        <f>"3041530"</f>
        <v>3041530</v>
      </c>
      <c r="B24377" t="s">
        <v>73720</v>
      </c>
      <c r="C24377" t="str">
        <f>"8323649"</f>
        <v>8323649</v>
      </c>
      <c r="D24377" t="s">
        <v>73721</v>
      </c>
      <c r="F24377" t="s">
        <v>73722</v>
      </c>
      <c r="I24377" t="s">
        <v>184</v>
      </c>
      <c r="J24377" t="s">
        <v>30</v>
      </c>
      <c r="K24377" t="s">
        <v>39936</v>
      </c>
      <c r="M24377" t="s">
        <v>50500</v>
      </c>
      <c r="N24377" t="str">
        <f>"12/31/2024 8:56:00 AM"</f>
        <v>12/31/2024 8:56:00 AM</v>
      </c>
      <c r="O24377" t="s">
        <v>73721</v>
      </c>
    </row>
    <row r="24378" spans="1:20" x14ac:dyDescent="0.25">
      <c r="A24378" t="str">
        <f>"3053932"</f>
        <v>3053932</v>
      </c>
      <c r="B24378" t="s">
        <v>73723</v>
      </c>
      <c r="C24378" t="str">
        <f>"8323650"</f>
        <v>8323650</v>
      </c>
      <c r="D24378" t="s">
        <v>73724</v>
      </c>
      <c r="E24378" t="s">
        <v>73725</v>
      </c>
      <c r="F24378" t="s">
        <v>73726</v>
      </c>
      <c r="I24378" t="s">
        <v>29</v>
      </c>
      <c r="J24378" t="s">
        <v>30</v>
      </c>
      <c r="K24378" t="s">
        <v>42249</v>
      </c>
      <c r="M24378" t="s">
        <v>50500</v>
      </c>
      <c r="N24378" t="str">
        <f>"12/31/2024 9:04:00 AM"</f>
        <v>12/31/2024 9:04:00 AM</v>
      </c>
      <c r="O24378" t="s">
        <v>73724</v>
      </c>
      <c r="T24378" t="s">
        <v>73725</v>
      </c>
    </row>
    <row r="24379" spans="1:20" x14ac:dyDescent="0.25">
      <c r="A24379" t="str">
        <f>"3062894"</f>
        <v>3062894</v>
      </c>
      <c r="B24379" t="s">
        <v>73727</v>
      </c>
      <c r="C24379" t="str">
        <f>"8323651"</f>
        <v>8323651</v>
      </c>
      <c r="D24379" t="s">
        <v>73728</v>
      </c>
      <c r="E24379" t="s">
        <v>73729</v>
      </c>
      <c r="F24379" t="s">
        <v>73730</v>
      </c>
      <c r="I24379" t="s">
        <v>29</v>
      </c>
      <c r="J24379" t="s">
        <v>30</v>
      </c>
      <c r="K24379" t="s">
        <v>11113</v>
      </c>
      <c r="M24379" t="s">
        <v>50500</v>
      </c>
      <c r="N24379" t="str">
        <f>"12/31/2024 9:21:00 AM"</f>
        <v>12/31/2024 9:21:00 AM</v>
      </c>
      <c r="O24379" t="s">
        <v>73728</v>
      </c>
      <c r="T24379" t="s">
        <v>73729</v>
      </c>
    </row>
    <row r="24380" spans="1:20" x14ac:dyDescent="0.25">
      <c r="A24380" t="str">
        <f>"3062912"</f>
        <v>3062912</v>
      </c>
      <c r="B24380" t="s">
        <v>73731</v>
      </c>
      <c r="C24380" t="str">
        <f>"8323652"</f>
        <v>8323652</v>
      </c>
      <c r="D24380" t="s">
        <v>73732</v>
      </c>
      <c r="E24380" t="s">
        <v>73733</v>
      </c>
      <c r="F24380" t="s">
        <v>73734</v>
      </c>
      <c r="I24380" t="s">
        <v>29</v>
      </c>
      <c r="J24380" t="s">
        <v>30</v>
      </c>
      <c r="K24380" t="s">
        <v>73708</v>
      </c>
      <c r="M24380" t="s">
        <v>50500</v>
      </c>
      <c r="N24380" t="str">
        <f>"12/31/2024 9:25:00 AM"</f>
        <v>12/31/2024 9:25:00 AM</v>
      </c>
      <c r="O24380" t="s">
        <v>73732</v>
      </c>
      <c r="T24380" t="s">
        <v>73733</v>
      </c>
    </row>
    <row r="24381" spans="1:20" x14ac:dyDescent="0.25">
      <c r="A24381" t="str">
        <f>"3064083"</f>
        <v>3064083</v>
      </c>
      <c r="B24381" t="s">
        <v>73735</v>
      </c>
      <c r="C24381" t="str">
        <f>"8315913"</f>
        <v>8315913</v>
      </c>
      <c r="D24381" t="s">
        <v>73736</v>
      </c>
      <c r="F24381" t="s">
        <v>73737</v>
      </c>
      <c r="I24381" t="s">
        <v>184</v>
      </c>
      <c r="J24381" t="s">
        <v>30</v>
      </c>
      <c r="K24381" t="s">
        <v>19348</v>
      </c>
      <c r="M24381" t="s">
        <v>25733</v>
      </c>
      <c r="N24381" t="str">
        <f>"12/31/2024 1:55:00 PM"</f>
        <v>12/31/2024 1:55:00 PM</v>
      </c>
      <c r="O24381" t="s">
        <v>73736</v>
      </c>
    </row>
    <row r="24382" spans="1:20" x14ac:dyDescent="0.25">
      <c r="A24382" t="str">
        <f>"3061833"</f>
        <v>3061833</v>
      </c>
      <c r="B24382" t="s">
        <v>73738</v>
      </c>
      <c r="C24382" t="str">
        <f>"8323595"</f>
        <v>8323595</v>
      </c>
      <c r="D24382" t="s">
        <v>73739</v>
      </c>
      <c r="E24382" t="s">
        <v>73740</v>
      </c>
      <c r="F24382" t="s">
        <v>73741</v>
      </c>
      <c r="I24382" t="s">
        <v>184</v>
      </c>
      <c r="J24382" t="s">
        <v>30</v>
      </c>
      <c r="K24382" t="s">
        <v>70411</v>
      </c>
      <c r="M24382" t="s">
        <v>50500</v>
      </c>
      <c r="N24382" t="str">
        <f>"12/31/2024 2:33:00 PM"</f>
        <v>12/31/2024 2:33:00 PM</v>
      </c>
      <c r="O24382" t="s">
        <v>73739</v>
      </c>
      <c r="T24382" t="s">
        <v>73740</v>
      </c>
    </row>
    <row r="24383" spans="1:20" x14ac:dyDescent="0.25">
      <c r="A24383" t="str">
        <f>"3062671"</f>
        <v>3062671</v>
      </c>
      <c r="B24383" t="s">
        <v>73742</v>
      </c>
      <c r="C24383" t="str">
        <f>"8323673"</f>
        <v>8323673</v>
      </c>
      <c r="D24383" t="s">
        <v>73743</v>
      </c>
      <c r="F24383" t="s">
        <v>73744</v>
      </c>
      <c r="I24383" t="s">
        <v>29</v>
      </c>
      <c r="J24383" t="s">
        <v>30</v>
      </c>
      <c r="K24383" t="s">
        <v>52569</v>
      </c>
      <c r="M24383" t="s">
        <v>50500</v>
      </c>
      <c r="N24383" t="str">
        <f>"1/2/2025 3:49:00 PM"</f>
        <v>1/2/2025 3:49:00 PM</v>
      </c>
      <c r="O24383" t="s">
        <v>73743</v>
      </c>
    </row>
    <row r="24384" spans="1:20" x14ac:dyDescent="0.25">
      <c r="A24384" t="str">
        <f>"3046189"</f>
        <v>3046189</v>
      </c>
      <c r="B24384" t="s">
        <v>73745</v>
      </c>
      <c r="C24384" t="str">
        <f>"82525471"</f>
        <v>82525471</v>
      </c>
      <c r="D24384" t="s">
        <v>69687</v>
      </c>
      <c r="E24384" t="str">
        <f>"C/O RENE SPEAKS STALEY"</f>
        <v>C/O RENE SPEAKS STALEY</v>
      </c>
      <c r="F24384" t="s">
        <v>73746</v>
      </c>
      <c r="I24384" t="s">
        <v>70719</v>
      </c>
      <c r="J24384" t="s">
        <v>4132</v>
      </c>
      <c r="K24384" t="s">
        <v>73747</v>
      </c>
      <c r="M24384" t="s">
        <v>50793</v>
      </c>
      <c r="N24384" t="str">
        <f>"1/3/2025 9:22:00 AM"</f>
        <v>1/3/2025 9:22:00 AM</v>
      </c>
      <c r="O24384" t="s">
        <v>69687</v>
      </c>
      <c r="T24384" t="str">
        <f>"C/O RENE SPEAKS STALEY"</f>
        <v>C/O RENE SPEAKS STALEY</v>
      </c>
    </row>
    <row r="24385" spans="1:20" x14ac:dyDescent="0.25">
      <c r="A24385" t="str">
        <f>"3045963"</f>
        <v>3045963</v>
      </c>
      <c r="B24385" t="s">
        <v>73748</v>
      </c>
      <c r="C24385" t="str">
        <f>"82525471"</f>
        <v>82525471</v>
      </c>
      <c r="D24385" t="s">
        <v>69687</v>
      </c>
      <c r="E24385" t="str">
        <f>"C/O RENE SPEAKS STALEY"</f>
        <v>C/O RENE SPEAKS STALEY</v>
      </c>
      <c r="F24385" t="s">
        <v>73746</v>
      </c>
      <c r="I24385" t="s">
        <v>70719</v>
      </c>
      <c r="J24385" t="s">
        <v>4132</v>
      </c>
      <c r="K24385" t="s">
        <v>73747</v>
      </c>
      <c r="M24385" t="s">
        <v>50793</v>
      </c>
      <c r="N24385" t="str">
        <f>"1/3/2025 9:22:00 AM"</f>
        <v>1/3/2025 9:22:00 AM</v>
      </c>
      <c r="O24385" t="s">
        <v>69687</v>
      </c>
      <c r="T24385" t="str">
        <f>"C/O RENE SPEAKS STALEY"</f>
        <v>C/O RENE SPEAKS STALEY</v>
      </c>
    </row>
    <row r="24386" spans="1:20" x14ac:dyDescent="0.25">
      <c r="A24386" t="str">
        <f>"3062556"</f>
        <v>3062556</v>
      </c>
      <c r="B24386" t="s">
        <v>73749</v>
      </c>
      <c r="C24386" t="str">
        <f>"8323676"</f>
        <v>8323676</v>
      </c>
      <c r="D24386" t="s">
        <v>73750</v>
      </c>
      <c r="F24386" t="s">
        <v>73751</v>
      </c>
      <c r="I24386" t="s">
        <v>2071</v>
      </c>
      <c r="J24386" t="s">
        <v>30</v>
      </c>
      <c r="K24386" t="s">
        <v>3728</v>
      </c>
      <c r="M24386" t="s">
        <v>50500</v>
      </c>
      <c r="N24386" t="str">
        <f>"1/3/2025 10:11:00 AM"</f>
        <v>1/3/2025 10:11:00 AM</v>
      </c>
      <c r="O24386" t="s">
        <v>73750</v>
      </c>
    </row>
    <row r="24387" spans="1:20" x14ac:dyDescent="0.25">
      <c r="A24387" t="str">
        <f>"3046427"</f>
        <v>3046427</v>
      </c>
      <c r="B24387" t="s">
        <v>73752</v>
      </c>
      <c r="C24387" t="str">
        <f>"8323677"</f>
        <v>8323677</v>
      </c>
      <c r="D24387" t="s">
        <v>73753</v>
      </c>
      <c r="F24387" t="s">
        <v>73754</v>
      </c>
      <c r="I24387" t="s">
        <v>9345</v>
      </c>
      <c r="J24387" t="s">
        <v>30</v>
      </c>
      <c r="K24387" t="s">
        <v>73755</v>
      </c>
      <c r="M24387" t="s">
        <v>50500</v>
      </c>
      <c r="N24387" t="str">
        <f>"1/3/2025 10:30:00 AM"</f>
        <v>1/3/2025 10:30:00 AM</v>
      </c>
      <c r="O24387" t="s">
        <v>73753</v>
      </c>
    </row>
    <row r="24388" spans="1:20" x14ac:dyDescent="0.25">
      <c r="A24388" t="str">
        <f>"3063041"</f>
        <v>3063041</v>
      </c>
      <c r="B24388" t="s">
        <v>73756</v>
      </c>
      <c r="C24388" t="str">
        <f>"8323678"</f>
        <v>8323678</v>
      </c>
      <c r="D24388" t="s">
        <v>73757</v>
      </c>
      <c r="F24388" t="s">
        <v>73758</v>
      </c>
      <c r="I24388" t="s">
        <v>24359</v>
      </c>
      <c r="J24388" t="s">
        <v>30</v>
      </c>
      <c r="K24388" t="str">
        <f>"27006"</f>
        <v>27006</v>
      </c>
      <c r="M24388" t="s">
        <v>50500</v>
      </c>
      <c r="N24388" t="str">
        <f>"1/3/2025 10:37:00 AM"</f>
        <v>1/3/2025 10:37:00 AM</v>
      </c>
      <c r="O24388" t="s">
        <v>73757</v>
      </c>
    </row>
    <row r="24389" spans="1:20" x14ac:dyDescent="0.25">
      <c r="A24389" t="str">
        <f>"3063051"</f>
        <v>3063051</v>
      </c>
      <c r="B24389" t="s">
        <v>73759</v>
      </c>
      <c r="C24389" t="str">
        <f>"8323679"</f>
        <v>8323679</v>
      </c>
      <c r="D24389" t="s">
        <v>73760</v>
      </c>
      <c r="E24389" t="s">
        <v>73761</v>
      </c>
      <c r="F24389" t="s">
        <v>73762</v>
      </c>
      <c r="I24389" t="s">
        <v>24359</v>
      </c>
      <c r="J24389" t="s">
        <v>30</v>
      </c>
      <c r="K24389" t="str">
        <f>"27006"</f>
        <v>27006</v>
      </c>
      <c r="M24389" t="s">
        <v>50500</v>
      </c>
      <c r="N24389" t="str">
        <f>"1/3/2025 10:42:00 AM"</f>
        <v>1/3/2025 10:42:00 AM</v>
      </c>
      <c r="O24389" t="s">
        <v>73760</v>
      </c>
      <c r="T24389" t="s">
        <v>73761</v>
      </c>
    </row>
    <row r="24390" spans="1:20" x14ac:dyDescent="0.25">
      <c r="A24390" t="str">
        <f>"3062686"</f>
        <v>3062686</v>
      </c>
      <c r="B24390" t="s">
        <v>73763</v>
      </c>
      <c r="C24390" t="str">
        <f>"8323680"</f>
        <v>8323680</v>
      </c>
      <c r="D24390" t="s">
        <v>73764</v>
      </c>
      <c r="E24390" t="s">
        <v>73765</v>
      </c>
      <c r="F24390" t="s">
        <v>73766</v>
      </c>
      <c r="I24390" t="s">
        <v>2071</v>
      </c>
      <c r="J24390" t="s">
        <v>30</v>
      </c>
      <c r="K24390" t="s">
        <v>3728</v>
      </c>
      <c r="M24390" t="s">
        <v>50500</v>
      </c>
      <c r="N24390" t="str">
        <f>"1/3/2025 10:50:00 AM"</f>
        <v>1/3/2025 10:50:00 AM</v>
      </c>
      <c r="O24390" t="s">
        <v>73764</v>
      </c>
      <c r="T24390" t="s">
        <v>73765</v>
      </c>
    </row>
    <row r="24391" spans="1:20" x14ac:dyDescent="0.25">
      <c r="A24391" t="str">
        <f>"3071914"</f>
        <v>3071914</v>
      </c>
      <c r="B24391" t="s">
        <v>73767</v>
      </c>
      <c r="C24391" t="str">
        <f t="shared" ref="C24391:C24401" si="376">"82525291"</f>
        <v>82525291</v>
      </c>
      <c r="D24391" t="s">
        <v>63436</v>
      </c>
      <c r="F24391" t="s">
        <v>73768</v>
      </c>
      <c r="I24391" t="s">
        <v>163</v>
      </c>
      <c r="J24391" t="s">
        <v>30</v>
      </c>
      <c r="K24391" t="s">
        <v>73769</v>
      </c>
      <c r="M24391" t="s">
        <v>50500</v>
      </c>
      <c r="N24391" t="str">
        <f t="shared" ref="N24391:N24401" si="377">"1/3/2025 11:03:00 AM"</f>
        <v>1/3/2025 11:03:00 AM</v>
      </c>
      <c r="O24391" t="s">
        <v>63436</v>
      </c>
    </row>
    <row r="24392" spans="1:20" x14ac:dyDescent="0.25">
      <c r="A24392" t="str">
        <f>"3076515"</f>
        <v>3076515</v>
      </c>
      <c r="B24392" t="s">
        <v>73770</v>
      </c>
      <c r="C24392" t="str">
        <f t="shared" si="376"/>
        <v>82525291</v>
      </c>
      <c r="D24392" t="s">
        <v>63436</v>
      </c>
      <c r="F24392" t="s">
        <v>73768</v>
      </c>
      <c r="I24392" t="s">
        <v>163</v>
      </c>
      <c r="J24392" t="s">
        <v>30</v>
      </c>
      <c r="K24392" t="s">
        <v>73769</v>
      </c>
      <c r="M24392" t="s">
        <v>50500</v>
      </c>
      <c r="N24392" t="str">
        <f t="shared" si="377"/>
        <v>1/3/2025 11:03:00 AM</v>
      </c>
      <c r="O24392" t="s">
        <v>63436</v>
      </c>
    </row>
    <row r="24393" spans="1:20" x14ac:dyDescent="0.25">
      <c r="A24393" t="str">
        <f>"3046430"</f>
        <v>3046430</v>
      </c>
      <c r="B24393" t="s">
        <v>73771</v>
      </c>
      <c r="C24393" t="str">
        <f t="shared" si="376"/>
        <v>82525291</v>
      </c>
      <c r="D24393" t="s">
        <v>63436</v>
      </c>
      <c r="F24393" t="s">
        <v>73768</v>
      </c>
      <c r="I24393" t="s">
        <v>163</v>
      </c>
      <c r="J24393" t="s">
        <v>30</v>
      </c>
      <c r="K24393" t="s">
        <v>73769</v>
      </c>
      <c r="M24393" t="s">
        <v>50500</v>
      </c>
      <c r="N24393" t="str">
        <f t="shared" si="377"/>
        <v>1/3/2025 11:03:00 AM</v>
      </c>
      <c r="O24393" t="s">
        <v>63436</v>
      </c>
    </row>
    <row r="24394" spans="1:20" x14ac:dyDescent="0.25">
      <c r="A24394" t="str">
        <f>"3046003"</f>
        <v>3046003</v>
      </c>
      <c r="B24394" t="s">
        <v>73772</v>
      </c>
      <c r="C24394" t="str">
        <f t="shared" si="376"/>
        <v>82525291</v>
      </c>
      <c r="D24394" t="s">
        <v>63436</v>
      </c>
      <c r="F24394" t="s">
        <v>73768</v>
      </c>
      <c r="I24394" t="s">
        <v>163</v>
      </c>
      <c r="J24394" t="s">
        <v>30</v>
      </c>
      <c r="K24394" t="s">
        <v>73769</v>
      </c>
      <c r="M24394" t="s">
        <v>50500</v>
      </c>
      <c r="N24394" t="str">
        <f t="shared" si="377"/>
        <v>1/3/2025 11:03:00 AM</v>
      </c>
      <c r="O24394" t="s">
        <v>63436</v>
      </c>
    </row>
    <row r="24395" spans="1:20" x14ac:dyDescent="0.25">
      <c r="A24395" t="str">
        <f>"3042864"</f>
        <v>3042864</v>
      </c>
      <c r="B24395" t="s">
        <v>73773</v>
      </c>
      <c r="C24395" t="str">
        <f t="shared" si="376"/>
        <v>82525291</v>
      </c>
      <c r="D24395" t="s">
        <v>63436</v>
      </c>
      <c r="F24395" t="s">
        <v>73768</v>
      </c>
      <c r="I24395" t="s">
        <v>163</v>
      </c>
      <c r="J24395" t="s">
        <v>30</v>
      </c>
      <c r="K24395" t="s">
        <v>73769</v>
      </c>
      <c r="M24395" t="s">
        <v>50500</v>
      </c>
      <c r="N24395" t="str">
        <f t="shared" si="377"/>
        <v>1/3/2025 11:03:00 AM</v>
      </c>
      <c r="O24395" t="s">
        <v>63436</v>
      </c>
    </row>
    <row r="24396" spans="1:20" x14ac:dyDescent="0.25">
      <c r="A24396" t="str">
        <f>"3044345"</f>
        <v>3044345</v>
      </c>
      <c r="B24396" t="s">
        <v>73774</v>
      </c>
      <c r="C24396" t="str">
        <f t="shared" si="376"/>
        <v>82525291</v>
      </c>
      <c r="D24396" t="s">
        <v>63436</v>
      </c>
      <c r="F24396" t="s">
        <v>73768</v>
      </c>
      <c r="I24396" t="s">
        <v>163</v>
      </c>
      <c r="J24396" t="s">
        <v>30</v>
      </c>
      <c r="K24396" t="s">
        <v>73769</v>
      </c>
      <c r="M24396" t="s">
        <v>50500</v>
      </c>
      <c r="N24396" t="str">
        <f t="shared" si="377"/>
        <v>1/3/2025 11:03:00 AM</v>
      </c>
      <c r="O24396" t="s">
        <v>63436</v>
      </c>
    </row>
    <row r="24397" spans="1:20" x14ac:dyDescent="0.25">
      <c r="A24397" t="str">
        <f>"3038239"</f>
        <v>3038239</v>
      </c>
      <c r="B24397" t="s">
        <v>73775</v>
      </c>
      <c r="C24397" t="str">
        <f t="shared" si="376"/>
        <v>82525291</v>
      </c>
      <c r="D24397" t="s">
        <v>63436</v>
      </c>
      <c r="F24397" t="s">
        <v>73768</v>
      </c>
      <c r="I24397" t="s">
        <v>163</v>
      </c>
      <c r="J24397" t="s">
        <v>30</v>
      </c>
      <c r="K24397" t="s">
        <v>73769</v>
      </c>
      <c r="M24397" t="s">
        <v>50500</v>
      </c>
      <c r="N24397" t="str">
        <f t="shared" si="377"/>
        <v>1/3/2025 11:03:00 AM</v>
      </c>
      <c r="O24397" t="s">
        <v>63436</v>
      </c>
    </row>
    <row r="24398" spans="1:20" x14ac:dyDescent="0.25">
      <c r="A24398" t="str">
        <f>"3038173"</f>
        <v>3038173</v>
      </c>
      <c r="B24398" t="s">
        <v>73776</v>
      </c>
      <c r="C24398" t="str">
        <f t="shared" si="376"/>
        <v>82525291</v>
      </c>
      <c r="D24398" t="s">
        <v>63436</v>
      </c>
      <c r="F24398" t="s">
        <v>73768</v>
      </c>
      <c r="I24398" t="s">
        <v>163</v>
      </c>
      <c r="J24398" t="s">
        <v>30</v>
      </c>
      <c r="K24398" t="s">
        <v>73769</v>
      </c>
      <c r="M24398" t="s">
        <v>50500</v>
      </c>
      <c r="N24398" t="str">
        <f t="shared" si="377"/>
        <v>1/3/2025 11:03:00 AM</v>
      </c>
      <c r="O24398" t="s">
        <v>63436</v>
      </c>
    </row>
    <row r="24399" spans="1:20" x14ac:dyDescent="0.25">
      <c r="A24399" t="str">
        <f>"3038569"</f>
        <v>3038569</v>
      </c>
      <c r="B24399" t="s">
        <v>73777</v>
      </c>
      <c r="C24399" t="str">
        <f t="shared" si="376"/>
        <v>82525291</v>
      </c>
      <c r="D24399" t="s">
        <v>63436</v>
      </c>
      <c r="F24399" t="s">
        <v>73768</v>
      </c>
      <c r="I24399" t="s">
        <v>163</v>
      </c>
      <c r="J24399" t="s">
        <v>30</v>
      </c>
      <c r="K24399" t="s">
        <v>73769</v>
      </c>
      <c r="M24399" t="s">
        <v>50500</v>
      </c>
      <c r="N24399" t="str">
        <f t="shared" si="377"/>
        <v>1/3/2025 11:03:00 AM</v>
      </c>
      <c r="O24399" t="s">
        <v>63436</v>
      </c>
    </row>
    <row r="24400" spans="1:20" x14ac:dyDescent="0.25">
      <c r="A24400" t="str">
        <f>"3039945"</f>
        <v>3039945</v>
      </c>
      <c r="B24400" t="s">
        <v>73778</v>
      </c>
      <c r="C24400" t="str">
        <f t="shared" si="376"/>
        <v>82525291</v>
      </c>
      <c r="D24400" t="s">
        <v>63436</v>
      </c>
      <c r="F24400" t="s">
        <v>73768</v>
      </c>
      <c r="I24400" t="s">
        <v>163</v>
      </c>
      <c r="J24400" t="s">
        <v>30</v>
      </c>
      <c r="K24400" t="s">
        <v>73769</v>
      </c>
      <c r="M24400" t="s">
        <v>50500</v>
      </c>
      <c r="N24400" t="str">
        <f t="shared" si="377"/>
        <v>1/3/2025 11:03:00 AM</v>
      </c>
      <c r="O24400" t="s">
        <v>63436</v>
      </c>
    </row>
    <row r="24401" spans="1:20" x14ac:dyDescent="0.25">
      <c r="A24401" t="str">
        <f>"3055107"</f>
        <v>3055107</v>
      </c>
      <c r="B24401" t="s">
        <v>73779</v>
      </c>
      <c r="C24401" t="str">
        <f t="shared" si="376"/>
        <v>82525291</v>
      </c>
      <c r="D24401" t="s">
        <v>63436</v>
      </c>
      <c r="F24401" t="s">
        <v>73768</v>
      </c>
      <c r="I24401" t="s">
        <v>163</v>
      </c>
      <c r="J24401" t="s">
        <v>30</v>
      </c>
      <c r="K24401" t="s">
        <v>73769</v>
      </c>
      <c r="M24401" t="s">
        <v>50500</v>
      </c>
      <c r="N24401" t="str">
        <f t="shared" si="377"/>
        <v>1/3/2025 11:03:00 AM</v>
      </c>
      <c r="O24401" t="s">
        <v>63436</v>
      </c>
    </row>
    <row r="24402" spans="1:20" x14ac:dyDescent="0.25">
      <c r="A24402" t="str">
        <f>"3078189"</f>
        <v>3078189</v>
      </c>
      <c r="B24402" t="s">
        <v>73780</v>
      </c>
      <c r="C24402" t="str">
        <f>"8323682"</f>
        <v>8323682</v>
      </c>
      <c r="D24402" t="s">
        <v>73781</v>
      </c>
      <c r="F24402" t="s">
        <v>73782</v>
      </c>
      <c r="I24402" t="s">
        <v>184</v>
      </c>
      <c r="J24402" t="s">
        <v>30</v>
      </c>
      <c r="K24402" t="s">
        <v>73783</v>
      </c>
      <c r="M24402" t="s">
        <v>50500</v>
      </c>
      <c r="N24402" t="str">
        <f>"1/3/2025 12:59:00 PM"</f>
        <v>1/3/2025 12:59:00 PM</v>
      </c>
      <c r="O24402" t="s">
        <v>73781</v>
      </c>
    </row>
    <row r="24403" spans="1:20" x14ac:dyDescent="0.25">
      <c r="A24403" t="str">
        <f>"3078196"</f>
        <v>3078196</v>
      </c>
      <c r="B24403" t="s">
        <v>73784</v>
      </c>
      <c r="C24403" t="str">
        <f>"8323682"</f>
        <v>8323682</v>
      </c>
      <c r="D24403" t="s">
        <v>73781</v>
      </c>
      <c r="F24403" t="s">
        <v>73782</v>
      </c>
      <c r="I24403" t="s">
        <v>184</v>
      </c>
      <c r="J24403" t="s">
        <v>30</v>
      </c>
      <c r="K24403" t="s">
        <v>73783</v>
      </c>
      <c r="M24403" t="s">
        <v>50500</v>
      </c>
      <c r="N24403" t="str">
        <f>"1/3/2025 12:59:00 PM"</f>
        <v>1/3/2025 12:59:00 PM</v>
      </c>
      <c r="O24403" t="s">
        <v>73781</v>
      </c>
    </row>
    <row r="24404" spans="1:20" x14ac:dyDescent="0.25">
      <c r="A24404" t="str">
        <f>"3045699"</f>
        <v>3045699</v>
      </c>
      <c r="B24404" t="s">
        <v>73785</v>
      </c>
      <c r="C24404" t="str">
        <f>"8321595"</f>
        <v>8321595</v>
      </c>
      <c r="D24404" t="s">
        <v>73786</v>
      </c>
      <c r="F24404" t="s">
        <v>73787</v>
      </c>
      <c r="I24404" t="s">
        <v>5235</v>
      </c>
      <c r="J24404" t="s">
        <v>30</v>
      </c>
      <c r="K24404" t="s">
        <v>73788</v>
      </c>
      <c r="M24404" t="s">
        <v>52111</v>
      </c>
      <c r="N24404" t="str">
        <f>"1/3/2025 2:14:00 PM"</f>
        <v>1/3/2025 2:14:00 PM</v>
      </c>
      <c r="O24404" t="s">
        <v>73786</v>
      </c>
    </row>
    <row r="24405" spans="1:20" x14ac:dyDescent="0.25">
      <c r="A24405" t="str">
        <f>"3045698"</f>
        <v>3045698</v>
      </c>
      <c r="B24405" t="s">
        <v>73789</v>
      </c>
      <c r="C24405" t="str">
        <f>"8321595"</f>
        <v>8321595</v>
      </c>
      <c r="D24405" t="s">
        <v>73786</v>
      </c>
      <c r="F24405" t="s">
        <v>73787</v>
      </c>
      <c r="I24405" t="s">
        <v>5235</v>
      </c>
      <c r="J24405" t="s">
        <v>30</v>
      </c>
      <c r="K24405" t="s">
        <v>73788</v>
      </c>
      <c r="M24405" t="s">
        <v>52111</v>
      </c>
      <c r="N24405" t="str">
        <f>"1/3/2025 2:14:00 PM"</f>
        <v>1/3/2025 2:14:00 PM</v>
      </c>
      <c r="O24405" t="s">
        <v>73786</v>
      </c>
    </row>
    <row r="24406" spans="1:20" x14ac:dyDescent="0.25">
      <c r="A24406" t="str">
        <f>"3045780"</f>
        <v>3045780</v>
      </c>
      <c r="B24406" t="s">
        <v>73790</v>
      </c>
      <c r="C24406" t="str">
        <f>"8323683"</f>
        <v>8323683</v>
      </c>
      <c r="D24406" t="s">
        <v>73791</v>
      </c>
      <c r="E24406" t="s">
        <v>9486</v>
      </c>
      <c r="F24406" t="s">
        <v>42068</v>
      </c>
      <c r="I24406" t="s">
        <v>29</v>
      </c>
      <c r="J24406" t="s">
        <v>30</v>
      </c>
      <c r="K24406" t="s">
        <v>9489</v>
      </c>
      <c r="M24406" t="s">
        <v>50500</v>
      </c>
      <c r="N24406" t="str">
        <f>"1/6/2025 9:51:00 AM"</f>
        <v>1/6/2025 9:51:00 AM</v>
      </c>
      <c r="O24406" t="s">
        <v>73791</v>
      </c>
      <c r="T24406" t="s">
        <v>9486</v>
      </c>
    </row>
    <row r="24407" spans="1:20" x14ac:dyDescent="0.25">
      <c r="A24407" t="str">
        <f>"3045781"</f>
        <v>3045781</v>
      </c>
      <c r="B24407" t="s">
        <v>73792</v>
      </c>
      <c r="C24407" t="str">
        <f>"8323683"</f>
        <v>8323683</v>
      </c>
      <c r="D24407" t="s">
        <v>73791</v>
      </c>
      <c r="E24407" t="s">
        <v>9486</v>
      </c>
      <c r="F24407" t="s">
        <v>42068</v>
      </c>
      <c r="I24407" t="s">
        <v>29</v>
      </c>
      <c r="J24407" t="s">
        <v>30</v>
      </c>
      <c r="K24407" t="s">
        <v>9489</v>
      </c>
      <c r="M24407" t="s">
        <v>50500</v>
      </c>
      <c r="N24407" t="str">
        <f>"1/6/2025 9:51:00 AM"</f>
        <v>1/6/2025 9:51:00 AM</v>
      </c>
      <c r="O24407" t="s">
        <v>73791</v>
      </c>
      <c r="T24407" t="s">
        <v>9486</v>
      </c>
    </row>
    <row r="24408" spans="1:20" x14ac:dyDescent="0.25">
      <c r="A24408" t="str">
        <f>"3045767"</f>
        <v>3045767</v>
      </c>
      <c r="B24408" t="s">
        <v>73793</v>
      </c>
      <c r="C24408" t="str">
        <f>"8323683"</f>
        <v>8323683</v>
      </c>
      <c r="D24408" t="s">
        <v>73791</v>
      </c>
      <c r="E24408" t="s">
        <v>9486</v>
      </c>
      <c r="F24408" t="s">
        <v>42068</v>
      </c>
      <c r="I24408" t="s">
        <v>29</v>
      </c>
      <c r="J24408" t="s">
        <v>30</v>
      </c>
      <c r="K24408" t="s">
        <v>9489</v>
      </c>
      <c r="M24408" t="s">
        <v>50500</v>
      </c>
      <c r="N24408" t="str">
        <f>"1/6/2025 9:51:00 AM"</f>
        <v>1/6/2025 9:51:00 AM</v>
      </c>
      <c r="O24408" t="s">
        <v>73791</v>
      </c>
      <c r="T24408" t="s">
        <v>9486</v>
      </c>
    </row>
    <row r="24409" spans="1:20" x14ac:dyDescent="0.25">
      <c r="A24409" t="str">
        <f>"3041953"</f>
        <v>3041953</v>
      </c>
      <c r="B24409" t="s">
        <v>73794</v>
      </c>
      <c r="C24409" t="str">
        <f>"8323684"</f>
        <v>8323684</v>
      </c>
      <c r="D24409" t="s">
        <v>73795</v>
      </c>
      <c r="E24409" t="s">
        <v>73796</v>
      </c>
      <c r="F24409" t="s">
        <v>73797</v>
      </c>
      <c r="I24409" t="s">
        <v>184</v>
      </c>
      <c r="J24409" t="s">
        <v>30</v>
      </c>
      <c r="K24409" t="s">
        <v>35916</v>
      </c>
      <c r="M24409" t="s">
        <v>50500</v>
      </c>
      <c r="N24409" t="str">
        <f>"1/6/2025 9:58:00 AM"</f>
        <v>1/6/2025 9:58:00 AM</v>
      </c>
      <c r="O24409" t="s">
        <v>73795</v>
      </c>
      <c r="T24409" t="s">
        <v>73796</v>
      </c>
    </row>
    <row r="24410" spans="1:20" x14ac:dyDescent="0.25">
      <c r="A24410" t="str">
        <f>"3062700"</f>
        <v>3062700</v>
      </c>
      <c r="B24410" t="s">
        <v>73798</v>
      </c>
      <c r="C24410" t="str">
        <f>"8323685"</f>
        <v>8323685</v>
      </c>
      <c r="D24410" t="s">
        <v>73799</v>
      </c>
      <c r="F24410" t="s">
        <v>70187</v>
      </c>
      <c r="I24410" t="s">
        <v>70188</v>
      </c>
      <c r="J24410" t="s">
        <v>12725</v>
      </c>
      <c r="K24410" t="s">
        <v>70189</v>
      </c>
      <c r="M24410" t="s">
        <v>50500</v>
      </c>
      <c r="N24410" t="str">
        <f>"1/6/2025 10:29:00 AM"</f>
        <v>1/6/2025 10:29:00 AM</v>
      </c>
      <c r="O24410" t="s">
        <v>73799</v>
      </c>
    </row>
    <row r="24411" spans="1:20" x14ac:dyDescent="0.25">
      <c r="A24411" t="str">
        <f>"3050260"</f>
        <v>3050260</v>
      </c>
      <c r="B24411" t="s">
        <v>73800</v>
      </c>
      <c r="C24411" t="str">
        <f>"8323686"</f>
        <v>8323686</v>
      </c>
      <c r="D24411" t="s">
        <v>73801</v>
      </c>
      <c r="E24411" t="s">
        <v>73802</v>
      </c>
      <c r="F24411" t="s">
        <v>73803</v>
      </c>
      <c r="I24411" t="s">
        <v>29</v>
      </c>
      <c r="J24411" t="s">
        <v>30</v>
      </c>
      <c r="K24411" t="s">
        <v>9905</v>
      </c>
      <c r="M24411" t="s">
        <v>50500</v>
      </c>
      <c r="N24411" t="str">
        <f>"1/6/2025 10:58:00 AM"</f>
        <v>1/6/2025 10:58:00 AM</v>
      </c>
      <c r="O24411" t="s">
        <v>73801</v>
      </c>
      <c r="T24411" t="s">
        <v>73802</v>
      </c>
    </row>
    <row r="24412" spans="1:20" x14ac:dyDescent="0.25">
      <c r="A24412" t="str">
        <f>"3088177"</f>
        <v>3088177</v>
      </c>
      <c r="B24412" t="s">
        <v>73804</v>
      </c>
      <c r="C24412" t="str">
        <f>"8323687"</f>
        <v>8323687</v>
      </c>
      <c r="D24412" t="s">
        <v>73805</v>
      </c>
      <c r="F24412" t="s">
        <v>73806</v>
      </c>
      <c r="I24412" t="s">
        <v>73807</v>
      </c>
      <c r="J24412" t="s">
        <v>40889</v>
      </c>
      <c r="K24412" t="s">
        <v>73808</v>
      </c>
      <c r="M24412" t="s">
        <v>50500</v>
      </c>
      <c r="N24412" t="str">
        <f>"1/6/2025 11:10:00 AM"</f>
        <v>1/6/2025 11:10:00 AM</v>
      </c>
      <c r="O24412" t="s">
        <v>73805</v>
      </c>
    </row>
    <row r="24413" spans="1:20" x14ac:dyDescent="0.25">
      <c r="A24413" t="str">
        <f>"3062725"</f>
        <v>3062725</v>
      </c>
      <c r="B24413" t="s">
        <v>73809</v>
      </c>
      <c r="C24413" t="str">
        <f>"8323688"</f>
        <v>8323688</v>
      </c>
      <c r="D24413" t="s">
        <v>73810</v>
      </c>
      <c r="E24413" t="s">
        <v>73811</v>
      </c>
      <c r="F24413" t="s">
        <v>73812</v>
      </c>
      <c r="I24413" t="s">
        <v>184</v>
      </c>
      <c r="J24413" t="s">
        <v>30</v>
      </c>
      <c r="K24413" t="s">
        <v>58030</v>
      </c>
      <c r="M24413" t="s">
        <v>50500</v>
      </c>
      <c r="N24413" t="str">
        <f>"1/6/2025 11:36:00 AM"</f>
        <v>1/6/2025 11:36:00 AM</v>
      </c>
      <c r="O24413" t="s">
        <v>73810</v>
      </c>
      <c r="T24413" t="s">
        <v>73811</v>
      </c>
    </row>
    <row r="24414" spans="1:20" x14ac:dyDescent="0.25">
      <c r="A24414" t="str">
        <f>"3039268"</f>
        <v>3039268</v>
      </c>
      <c r="B24414" t="s">
        <v>73813</v>
      </c>
      <c r="C24414" t="str">
        <f>"8323689"</f>
        <v>8323689</v>
      </c>
      <c r="D24414" t="s">
        <v>73814</v>
      </c>
      <c r="F24414" t="s">
        <v>73815</v>
      </c>
      <c r="I24414" t="s">
        <v>2275</v>
      </c>
      <c r="J24414" t="s">
        <v>30</v>
      </c>
      <c r="K24414" t="s">
        <v>73816</v>
      </c>
      <c r="M24414" t="s">
        <v>50500</v>
      </c>
      <c r="N24414" t="str">
        <f>"1/6/2025 11:51:00 AM"</f>
        <v>1/6/2025 11:51:00 AM</v>
      </c>
      <c r="O24414" t="s">
        <v>73814</v>
      </c>
    </row>
    <row r="24415" spans="1:20" x14ac:dyDescent="0.25">
      <c r="A24415" t="str">
        <f>"3037393"</f>
        <v>3037393</v>
      </c>
      <c r="B24415" t="s">
        <v>73817</v>
      </c>
      <c r="C24415" t="str">
        <f>"8318090"</f>
        <v>8318090</v>
      </c>
      <c r="D24415" t="s">
        <v>73818</v>
      </c>
      <c r="E24415" t="s">
        <v>73819</v>
      </c>
      <c r="F24415" t="s">
        <v>73820</v>
      </c>
      <c r="I24415" t="s">
        <v>184</v>
      </c>
      <c r="J24415" t="s">
        <v>30</v>
      </c>
      <c r="K24415" t="s">
        <v>728</v>
      </c>
      <c r="M24415" t="s">
        <v>25733</v>
      </c>
      <c r="N24415" t="str">
        <f>"1/6/2025 11:55:00 AM"</f>
        <v>1/6/2025 11:55:00 AM</v>
      </c>
      <c r="O24415" t="s">
        <v>73818</v>
      </c>
      <c r="T24415" t="s">
        <v>73819</v>
      </c>
    </row>
    <row r="24416" spans="1:20" x14ac:dyDescent="0.25">
      <c r="A24416" t="str">
        <f>"3044881"</f>
        <v>3044881</v>
      </c>
      <c r="B24416" t="s">
        <v>73821</v>
      </c>
      <c r="C24416" t="str">
        <f>"8323690"</f>
        <v>8323690</v>
      </c>
      <c r="D24416" t="s">
        <v>73822</v>
      </c>
      <c r="E24416" t="s">
        <v>73823</v>
      </c>
      <c r="F24416" t="s">
        <v>73824</v>
      </c>
      <c r="I24416" t="s">
        <v>184</v>
      </c>
      <c r="J24416" t="s">
        <v>30</v>
      </c>
      <c r="K24416" t="s">
        <v>6103</v>
      </c>
      <c r="M24416" t="s">
        <v>50500</v>
      </c>
      <c r="N24416" t="str">
        <f>"1/6/2025 12:11:00 PM"</f>
        <v>1/6/2025 12:11:00 PM</v>
      </c>
      <c r="O24416" t="s">
        <v>73822</v>
      </c>
      <c r="T24416" t="s">
        <v>73823</v>
      </c>
    </row>
    <row r="24417" spans="1:20" x14ac:dyDescent="0.25">
      <c r="A24417" t="str">
        <f>"3043142"</f>
        <v>3043142</v>
      </c>
      <c r="B24417" t="s">
        <v>73825</v>
      </c>
      <c r="C24417" t="str">
        <f>"65929000"</f>
        <v>65929000</v>
      </c>
      <c r="D24417" t="s">
        <v>73826</v>
      </c>
      <c r="F24417" t="s">
        <v>73827</v>
      </c>
      <c r="I24417" t="s">
        <v>29</v>
      </c>
      <c r="J24417" t="s">
        <v>30</v>
      </c>
      <c r="K24417" t="s">
        <v>37940</v>
      </c>
      <c r="M24417" t="s">
        <v>52111</v>
      </c>
      <c r="N24417" t="str">
        <f>"1/6/2025 1:39:00 PM"</f>
        <v>1/6/2025 1:39:00 PM</v>
      </c>
      <c r="O24417" t="s">
        <v>73826</v>
      </c>
    </row>
    <row r="24418" spans="1:20" x14ac:dyDescent="0.25">
      <c r="A24418" t="str">
        <f>"3043559"</f>
        <v>3043559</v>
      </c>
      <c r="B24418" t="s">
        <v>73828</v>
      </c>
      <c r="C24418" t="str">
        <f>"65929000"</f>
        <v>65929000</v>
      </c>
      <c r="D24418" t="s">
        <v>73826</v>
      </c>
      <c r="F24418" t="s">
        <v>73827</v>
      </c>
      <c r="I24418" t="s">
        <v>29</v>
      </c>
      <c r="J24418" t="s">
        <v>30</v>
      </c>
      <c r="K24418" t="s">
        <v>37940</v>
      </c>
      <c r="M24418" t="s">
        <v>52111</v>
      </c>
      <c r="N24418" t="str">
        <f>"1/6/2025 1:39:00 PM"</f>
        <v>1/6/2025 1:39:00 PM</v>
      </c>
      <c r="O24418" t="s">
        <v>73826</v>
      </c>
    </row>
    <row r="24419" spans="1:20" x14ac:dyDescent="0.25">
      <c r="A24419" t="str">
        <f>"3043542"</f>
        <v>3043542</v>
      </c>
      <c r="B24419" t="s">
        <v>73829</v>
      </c>
      <c r="C24419" t="str">
        <f>"65929000"</f>
        <v>65929000</v>
      </c>
      <c r="D24419" t="s">
        <v>73826</v>
      </c>
      <c r="F24419" t="s">
        <v>73827</v>
      </c>
      <c r="I24419" t="s">
        <v>29</v>
      </c>
      <c r="J24419" t="s">
        <v>30</v>
      </c>
      <c r="K24419" t="s">
        <v>37940</v>
      </c>
      <c r="M24419" t="s">
        <v>52111</v>
      </c>
      <c r="N24419" t="str">
        <f>"1/6/2025 1:39:00 PM"</f>
        <v>1/6/2025 1:39:00 PM</v>
      </c>
      <c r="O24419" t="s">
        <v>73826</v>
      </c>
    </row>
    <row r="24420" spans="1:20" x14ac:dyDescent="0.25">
      <c r="A24420" t="str">
        <f>"3043280"</f>
        <v>3043280</v>
      </c>
      <c r="B24420" t="s">
        <v>73830</v>
      </c>
      <c r="C24420" t="str">
        <f>"65929000"</f>
        <v>65929000</v>
      </c>
      <c r="D24420" t="s">
        <v>73826</v>
      </c>
      <c r="F24420" t="s">
        <v>73827</v>
      </c>
      <c r="I24420" t="s">
        <v>29</v>
      </c>
      <c r="J24420" t="s">
        <v>30</v>
      </c>
      <c r="K24420" t="s">
        <v>37940</v>
      </c>
      <c r="M24420" t="s">
        <v>52111</v>
      </c>
      <c r="N24420" t="str">
        <f>"1/6/2025 1:39:00 PM"</f>
        <v>1/6/2025 1:39:00 PM</v>
      </c>
      <c r="O24420" t="s">
        <v>73826</v>
      </c>
    </row>
    <row r="24421" spans="1:20" x14ac:dyDescent="0.25">
      <c r="A24421" t="str">
        <f>"3040999"</f>
        <v>3040999</v>
      </c>
      <c r="B24421" t="s">
        <v>73831</v>
      </c>
      <c r="C24421" t="str">
        <f>"8323691"</f>
        <v>8323691</v>
      </c>
      <c r="D24421" t="s">
        <v>73832</v>
      </c>
      <c r="F24421" t="s">
        <v>73833</v>
      </c>
      <c r="I24421" t="s">
        <v>184</v>
      </c>
      <c r="J24421" t="s">
        <v>30</v>
      </c>
      <c r="K24421" t="s">
        <v>3092</v>
      </c>
      <c r="M24421" t="s">
        <v>50500</v>
      </c>
      <c r="N24421" t="str">
        <f>"1/6/2025 2:24:00 PM"</f>
        <v>1/6/2025 2:24:00 PM</v>
      </c>
      <c r="O24421" t="s">
        <v>73832</v>
      </c>
    </row>
    <row r="24422" spans="1:20" x14ac:dyDescent="0.25">
      <c r="A24422" t="str">
        <f>"3078719"</f>
        <v>3078719</v>
      </c>
      <c r="B24422" t="s">
        <v>73834</v>
      </c>
      <c r="C24422" t="str">
        <f>"8304575"</f>
        <v>8304575</v>
      </c>
      <c r="D24422" t="s">
        <v>73835</v>
      </c>
      <c r="E24422" t="s">
        <v>73836</v>
      </c>
      <c r="F24422" t="s">
        <v>73837</v>
      </c>
      <c r="I24422" t="s">
        <v>29</v>
      </c>
      <c r="J24422" t="s">
        <v>30</v>
      </c>
      <c r="K24422" t="str">
        <f>"27028"</f>
        <v>27028</v>
      </c>
      <c r="M24422" t="s">
        <v>52111</v>
      </c>
      <c r="N24422" t="str">
        <f>"1/6/2025 2:56:00 PM"</f>
        <v>1/6/2025 2:56:00 PM</v>
      </c>
      <c r="O24422" t="s">
        <v>73835</v>
      </c>
      <c r="T24422" t="s">
        <v>73836</v>
      </c>
    </row>
    <row r="24423" spans="1:20" x14ac:dyDescent="0.25">
      <c r="A24423" t="str">
        <f>"3062694"</f>
        <v>3062694</v>
      </c>
      <c r="B24423" t="s">
        <v>73838</v>
      </c>
      <c r="C24423" t="str">
        <f>"8323692"</f>
        <v>8323692</v>
      </c>
      <c r="D24423" t="s">
        <v>73839</v>
      </c>
      <c r="E24423" t="s">
        <v>73840</v>
      </c>
      <c r="F24423" t="s">
        <v>73841</v>
      </c>
      <c r="I24423" t="s">
        <v>29</v>
      </c>
      <c r="J24423" t="s">
        <v>30</v>
      </c>
      <c r="K24423" t="s">
        <v>73842</v>
      </c>
      <c r="M24423" t="s">
        <v>50500</v>
      </c>
      <c r="N24423" t="str">
        <f>"1/6/2025 3:03:00 PM"</f>
        <v>1/6/2025 3:03:00 PM</v>
      </c>
      <c r="O24423" t="s">
        <v>73839</v>
      </c>
      <c r="T24423" t="s">
        <v>73840</v>
      </c>
    </row>
    <row r="24424" spans="1:20" x14ac:dyDescent="0.25">
      <c r="A24424" t="str">
        <f>"3078091"</f>
        <v>3078091</v>
      </c>
      <c r="B24424" t="s">
        <v>73843</v>
      </c>
      <c r="C24424" t="str">
        <f>"8323694"</f>
        <v>8323694</v>
      </c>
      <c r="D24424" t="s">
        <v>73844</v>
      </c>
      <c r="F24424" t="s">
        <v>73845</v>
      </c>
      <c r="I24424" t="s">
        <v>29</v>
      </c>
      <c r="J24424" t="s">
        <v>30</v>
      </c>
      <c r="K24424" t="s">
        <v>62450</v>
      </c>
      <c r="M24424" t="s">
        <v>50500</v>
      </c>
      <c r="N24424" t="str">
        <f>"1/6/2025 3:06:00 PM"</f>
        <v>1/6/2025 3:06:00 PM</v>
      </c>
      <c r="O24424" t="s">
        <v>73844</v>
      </c>
    </row>
    <row r="24425" spans="1:20" x14ac:dyDescent="0.25">
      <c r="A24425" t="str">
        <f>"3062726"</f>
        <v>3062726</v>
      </c>
      <c r="B24425" t="s">
        <v>73846</v>
      </c>
      <c r="C24425" t="str">
        <f>"8317627"</f>
        <v>8317627</v>
      </c>
      <c r="D24425" t="s">
        <v>48392</v>
      </c>
      <c r="F24425" t="s">
        <v>48394</v>
      </c>
      <c r="I24425" t="s">
        <v>402</v>
      </c>
      <c r="J24425" t="s">
        <v>30</v>
      </c>
      <c r="K24425" t="s">
        <v>48395</v>
      </c>
      <c r="M24425" t="s">
        <v>50793</v>
      </c>
      <c r="N24425" t="str">
        <f>"1/6/2025 3:17:00 PM"</f>
        <v>1/6/2025 3:17:00 PM</v>
      </c>
      <c r="O24425" t="s">
        <v>48392</v>
      </c>
    </row>
    <row r="24426" spans="1:20" x14ac:dyDescent="0.25">
      <c r="A24426" t="str">
        <f>"3062926"</f>
        <v>3062926</v>
      </c>
      <c r="B24426" t="s">
        <v>73847</v>
      </c>
      <c r="C24426" t="str">
        <f>"8317627"</f>
        <v>8317627</v>
      </c>
      <c r="D24426" t="s">
        <v>48392</v>
      </c>
      <c r="F24426" t="s">
        <v>48394</v>
      </c>
      <c r="I24426" t="s">
        <v>402</v>
      </c>
      <c r="J24426" t="s">
        <v>30</v>
      </c>
      <c r="K24426" t="s">
        <v>48395</v>
      </c>
      <c r="M24426" t="s">
        <v>50793</v>
      </c>
      <c r="N24426" t="str">
        <f>"1/6/2025 3:17:00 PM"</f>
        <v>1/6/2025 3:17:00 PM</v>
      </c>
      <c r="O24426" t="s">
        <v>48392</v>
      </c>
    </row>
    <row r="24427" spans="1:20" x14ac:dyDescent="0.25">
      <c r="A24427" t="str">
        <f>"3062024"</f>
        <v>3062024</v>
      </c>
      <c r="B24427" t="s">
        <v>73848</v>
      </c>
      <c r="C24427" t="str">
        <f>"8317627"</f>
        <v>8317627</v>
      </c>
      <c r="D24427" t="s">
        <v>48392</v>
      </c>
      <c r="F24427" t="s">
        <v>48394</v>
      </c>
      <c r="I24427" t="s">
        <v>402</v>
      </c>
      <c r="J24427" t="s">
        <v>30</v>
      </c>
      <c r="K24427" t="s">
        <v>48395</v>
      </c>
      <c r="M24427" t="s">
        <v>50793</v>
      </c>
      <c r="N24427" t="str">
        <f>"1/6/2025 3:17:00 PM"</f>
        <v>1/6/2025 3:17:00 PM</v>
      </c>
      <c r="O24427" t="s">
        <v>48392</v>
      </c>
    </row>
    <row r="24428" spans="1:20" x14ac:dyDescent="0.25">
      <c r="A24428" t="str">
        <f>"3049406"</f>
        <v>3049406</v>
      </c>
      <c r="B24428" t="s">
        <v>73849</v>
      </c>
      <c r="C24428" t="str">
        <f>"8323695"</f>
        <v>8323695</v>
      </c>
      <c r="D24428" t="s">
        <v>73850</v>
      </c>
      <c r="F24428" t="s">
        <v>73851</v>
      </c>
      <c r="I24428" t="s">
        <v>29</v>
      </c>
      <c r="J24428" t="s">
        <v>30</v>
      </c>
      <c r="K24428" t="s">
        <v>28074</v>
      </c>
      <c r="M24428" t="s">
        <v>50500</v>
      </c>
      <c r="N24428" t="str">
        <f>"1/6/2025 3:35:00 PM"</f>
        <v>1/6/2025 3:35:00 PM</v>
      </c>
      <c r="O24428" t="s">
        <v>73850</v>
      </c>
    </row>
    <row r="24429" spans="1:20" x14ac:dyDescent="0.25">
      <c r="A24429" t="str">
        <f>"3040204"</f>
        <v>3040204</v>
      </c>
      <c r="B24429" t="s">
        <v>73852</v>
      </c>
      <c r="C24429" t="str">
        <f>"8313019"</f>
        <v>8313019</v>
      </c>
      <c r="D24429" t="s">
        <v>73853</v>
      </c>
      <c r="F24429" t="s">
        <v>70090</v>
      </c>
      <c r="I24429" t="s">
        <v>29</v>
      </c>
      <c r="J24429" t="s">
        <v>30</v>
      </c>
      <c r="K24429" t="s">
        <v>4538</v>
      </c>
      <c r="M24429" t="s">
        <v>25733</v>
      </c>
      <c r="N24429" t="str">
        <f>"1/6/2025 3:40:00 PM"</f>
        <v>1/6/2025 3:40:00 PM</v>
      </c>
      <c r="O24429" t="s">
        <v>73853</v>
      </c>
    </row>
    <row r="24430" spans="1:20" x14ac:dyDescent="0.25">
      <c r="A24430" t="str">
        <f>"3038771"</f>
        <v>3038771</v>
      </c>
      <c r="B24430" t="s">
        <v>73854</v>
      </c>
      <c r="C24430" t="str">
        <f>"8313019"</f>
        <v>8313019</v>
      </c>
      <c r="D24430" t="s">
        <v>73853</v>
      </c>
      <c r="F24430" t="s">
        <v>70090</v>
      </c>
      <c r="I24430" t="s">
        <v>29</v>
      </c>
      <c r="J24430" t="s">
        <v>30</v>
      </c>
      <c r="K24430" t="s">
        <v>4538</v>
      </c>
      <c r="M24430" t="s">
        <v>25733</v>
      </c>
      <c r="N24430" t="str">
        <f>"1/6/2025 3:40:00 PM"</f>
        <v>1/6/2025 3:40:00 PM</v>
      </c>
      <c r="O24430" t="s">
        <v>73853</v>
      </c>
    </row>
    <row r="24431" spans="1:20" x14ac:dyDescent="0.25">
      <c r="A24431" t="str">
        <f>"3047235"</f>
        <v>3047235</v>
      </c>
      <c r="B24431" t="s">
        <v>73855</v>
      </c>
      <c r="C24431" t="str">
        <f>"8323696"</f>
        <v>8323696</v>
      </c>
      <c r="D24431" t="s">
        <v>73856</v>
      </c>
      <c r="E24431" t="s">
        <v>73857</v>
      </c>
      <c r="F24431" t="s">
        <v>73858</v>
      </c>
      <c r="I24431" t="s">
        <v>29</v>
      </c>
      <c r="J24431" t="s">
        <v>30</v>
      </c>
      <c r="K24431" t="s">
        <v>13464</v>
      </c>
      <c r="M24431" t="s">
        <v>50500</v>
      </c>
      <c r="N24431" t="str">
        <f>"1/7/2025 9:39:00 AM"</f>
        <v>1/7/2025 9:39:00 AM</v>
      </c>
      <c r="O24431" t="s">
        <v>73856</v>
      </c>
      <c r="T24431" t="s">
        <v>73857</v>
      </c>
    </row>
    <row r="24432" spans="1:20" x14ac:dyDescent="0.25">
      <c r="A24432" t="str">
        <f>"3047248"</f>
        <v>3047248</v>
      </c>
      <c r="B24432" t="s">
        <v>73859</v>
      </c>
      <c r="C24432" t="str">
        <f>"8323696"</f>
        <v>8323696</v>
      </c>
      <c r="D24432" t="s">
        <v>73856</v>
      </c>
      <c r="E24432" t="s">
        <v>73857</v>
      </c>
      <c r="F24432" t="s">
        <v>73858</v>
      </c>
      <c r="I24432" t="s">
        <v>29</v>
      </c>
      <c r="J24432" t="s">
        <v>30</v>
      </c>
      <c r="K24432" t="s">
        <v>13464</v>
      </c>
      <c r="M24432" t="s">
        <v>50500</v>
      </c>
      <c r="N24432" t="str">
        <f>"1/7/2025 9:39:00 AM"</f>
        <v>1/7/2025 9:39:00 AM</v>
      </c>
      <c r="O24432" t="s">
        <v>73856</v>
      </c>
      <c r="T24432" t="s">
        <v>73857</v>
      </c>
    </row>
    <row r="24433" spans="1:20" x14ac:dyDescent="0.25">
      <c r="A24433" t="str">
        <f>"3078800"</f>
        <v>3078800</v>
      </c>
      <c r="B24433" t="s">
        <v>73860</v>
      </c>
      <c r="C24433" t="str">
        <f>"8323697"</f>
        <v>8323697</v>
      </c>
      <c r="D24433" t="s">
        <v>73861</v>
      </c>
      <c r="E24433" t="s">
        <v>73862</v>
      </c>
      <c r="F24433" t="s">
        <v>55735</v>
      </c>
      <c r="I24433" t="s">
        <v>29</v>
      </c>
      <c r="J24433" t="s">
        <v>30</v>
      </c>
      <c r="K24433" t="s">
        <v>55736</v>
      </c>
      <c r="M24433" t="s">
        <v>50500</v>
      </c>
      <c r="N24433" t="str">
        <f>"1/7/2025 11:39:00 AM"</f>
        <v>1/7/2025 11:39:00 AM</v>
      </c>
      <c r="O24433" t="s">
        <v>73861</v>
      </c>
      <c r="T24433" t="s">
        <v>73862</v>
      </c>
    </row>
    <row r="24434" spans="1:20" x14ac:dyDescent="0.25">
      <c r="A24434" t="str">
        <f>"3051393"</f>
        <v>3051393</v>
      </c>
      <c r="B24434" t="s">
        <v>73863</v>
      </c>
      <c r="C24434" t="str">
        <f>"8310864"</f>
        <v>8310864</v>
      </c>
      <c r="D24434" t="s">
        <v>32032</v>
      </c>
      <c r="E24434" t="str">
        <f>"C/O CARTNER PAMELA MOORE"</f>
        <v>C/O CARTNER PAMELA MOORE</v>
      </c>
      <c r="F24434" t="s">
        <v>55916</v>
      </c>
      <c r="I24434" t="s">
        <v>29</v>
      </c>
      <c r="J24434" t="s">
        <v>30</v>
      </c>
      <c r="K24434" t="s">
        <v>38946</v>
      </c>
      <c r="M24434" t="s">
        <v>18470</v>
      </c>
      <c r="N24434" t="str">
        <f>"1/7/2025 11:48:00 AM"</f>
        <v>1/7/2025 11:48:00 AM</v>
      </c>
      <c r="O24434" t="s">
        <v>32032</v>
      </c>
      <c r="T24434" t="str">
        <f>"C/O CARTNER PAMELA MOORE"</f>
        <v>C/O CARTNER PAMELA MOORE</v>
      </c>
    </row>
    <row r="24435" spans="1:20" x14ac:dyDescent="0.25">
      <c r="A24435" t="str">
        <f>"3039250"</f>
        <v>3039250</v>
      </c>
      <c r="B24435" t="s">
        <v>73864</v>
      </c>
      <c r="C24435" t="str">
        <f>"8323698"</f>
        <v>8323698</v>
      </c>
      <c r="D24435" t="s">
        <v>73865</v>
      </c>
      <c r="E24435" t="s">
        <v>73866</v>
      </c>
      <c r="F24435" t="s">
        <v>73867</v>
      </c>
      <c r="I24435" t="s">
        <v>29</v>
      </c>
      <c r="J24435" t="s">
        <v>30</v>
      </c>
      <c r="K24435" t="s">
        <v>34298</v>
      </c>
      <c r="M24435" t="s">
        <v>50500</v>
      </c>
      <c r="N24435" t="str">
        <f>"1/7/2025 12:05:00 PM"</f>
        <v>1/7/2025 12:05:00 PM</v>
      </c>
      <c r="O24435" t="s">
        <v>73865</v>
      </c>
      <c r="T24435" t="s">
        <v>73866</v>
      </c>
    </row>
    <row r="24436" spans="1:20" x14ac:dyDescent="0.25">
      <c r="A24436" t="str">
        <f>"3052977"</f>
        <v>3052977</v>
      </c>
      <c r="B24436" t="s">
        <v>73868</v>
      </c>
      <c r="C24436" t="str">
        <f>"8323699"</f>
        <v>8323699</v>
      </c>
      <c r="D24436" t="s">
        <v>73869</v>
      </c>
      <c r="E24436" t="s">
        <v>73870</v>
      </c>
      <c r="F24436" t="s">
        <v>62784</v>
      </c>
      <c r="I24436" t="s">
        <v>29</v>
      </c>
      <c r="J24436" t="s">
        <v>30</v>
      </c>
      <c r="K24436" t="s">
        <v>58297</v>
      </c>
      <c r="M24436" t="s">
        <v>50500</v>
      </c>
      <c r="N24436" t="str">
        <f>"1/7/2025 12:35:00 PM"</f>
        <v>1/7/2025 12:35:00 PM</v>
      </c>
      <c r="O24436" t="s">
        <v>73869</v>
      </c>
      <c r="T24436" t="s">
        <v>73870</v>
      </c>
    </row>
    <row r="24437" spans="1:20" x14ac:dyDescent="0.25">
      <c r="A24437" t="str">
        <f>"3052990"</f>
        <v>3052990</v>
      </c>
      <c r="B24437" t="s">
        <v>73871</v>
      </c>
      <c r="C24437" t="str">
        <f>"8323699"</f>
        <v>8323699</v>
      </c>
      <c r="D24437" t="s">
        <v>73869</v>
      </c>
      <c r="E24437" t="s">
        <v>73870</v>
      </c>
      <c r="F24437" t="s">
        <v>62784</v>
      </c>
      <c r="I24437" t="s">
        <v>29</v>
      </c>
      <c r="J24437" t="s">
        <v>30</v>
      </c>
      <c r="K24437" t="s">
        <v>58297</v>
      </c>
      <c r="M24437" t="s">
        <v>50500</v>
      </c>
      <c r="N24437" t="str">
        <f>"1/7/2025 12:35:00 PM"</f>
        <v>1/7/2025 12:35:00 PM</v>
      </c>
      <c r="O24437" t="s">
        <v>73869</v>
      </c>
      <c r="T24437" t="s">
        <v>73870</v>
      </c>
    </row>
    <row r="24438" spans="1:20" x14ac:dyDescent="0.25">
      <c r="A24438" t="str">
        <f>"3047193"</f>
        <v>3047193</v>
      </c>
      <c r="B24438" t="s">
        <v>73872</v>
      </c>
      <c r="C24438" t="str">
        <f>"8323702"</f>
        <v>8323702</v>
      </c>
      <c r="D24438" t="s">
        <v>73873</v>
      </c>
      <c r="E24438" t="s">
        <v>73874</v>
      </c>
      <c r="F24438" t="s">
        <v>73875</v>
      </c>
      <c r="I24438" t="s">
        <v>184</v>
      </c>
      <c r="J24438" t="s">
        <v>30</v>
      </c>
      <c r="K24438" t="s">
        <v>5214</v>
      </c>
      <c r="M24438" t="s">
        <v>50500</v>
      </c>
      <c r="N24438" t="str">
        <f>"1/8/2025 9:27:00 AM"</f>
        <v>1/8/2025 9:27:00 AM</v>
      </c>
      <c r="O24438" t="s">
        <v>73873</v>
      </c>
      <c r="T24438" t="s">
        <v>73874</v>
      </c>
    </row>
    <row r="24439" spans="1:20" x14ac:dyDescent="0.25">
      <c r="A24439" t="str">
        <f>"3047194"</f>
        <v>3047194</v>
      </c>
      <c r="B24439" t="s">
        <v>73876</v>
      </c>
      <c r="C24439" t="str">
        <f>"8323702"</f>
        <v>8323702</v>
      </c>
      <c r="D24439" t="s">
        <v>73873</v>
      </c>
      <c r="E24439" t="s">
        <v>73874</v>
      </c>
      <c r="F24439" t="s">
        <v>73875</v>
      </c>
      <c r="I24439" t="s">
        <v>184</v>
      </c>
      <c r="J24439" t="s">
        <v>30</v>
      </c>
      <c r="K24439" t="s">
        <v>5214</v>
      </c>
      <c r="M24439" t="s">
        <v>50500</v>
      </c>
      <c r="N24439" t="str">
        <f>"1/8/2025 9:27:00 AM"</f>
        <v>1/8/2025 9:27:00 AM</v>
      </c>
      <c r="O24439" t="s">
        <v>73873</v>
      </c>
      <c r="T24439" t="s">
        <v>73874</v>
      </c>
    </row>
    <row r="24440" spans="1:20" x14ac:dyDescent="0.25">
      <c r="A24440" t="str">
        <f>"3078938"</f>
        <v>3078938</v>
      </c>
      <c r="B24440" t="s">
        <v>73877</v>
      </c>
      <c r="C24440" t="str">
        <f>"8323702"</f>
        <v>8323702</v>
      </c>
      <c r="D24440" t="s">
        <v>73873</v>
      </c>
      <c r="E24440" t="s">
        <v>73874</v>
      </c>
      <c r="F24440" t="s">
        <v>73875</v>
      </c>
      <c r="I24440" t="s">
        <v>184</v>
      </c>
      <c r="J24440" t="s">
        <v>30</v>
      </c>
      <c r="K24440" t="s">
        <v>5214</v>
      </c>
      <c r="M24440" t="s">
        <v>50500</v>
      </c>
      <c r="N24440" t="str">
        <f>"1/8/2025 9:27:00 AM"</f>
        <v>1/8/2025 9:27:00 AM</v>
      </c>
      <c r="O24440" t="s">
        <v>73873</v>
      </c>
      <c r="T24440" t="s">
        <v>73874</v>
      </c>
    </row>
    <row r="24441" spans="1:20" x14ac:dyDescent="0.25">
      <c r="A24441" t="str">
        <f>"3065705"</f>
        <v>3065705</v>
      </c>
      <c r="B24441" t="s">
        <v>73878</v>
      </c>
      <c r="C24441" t="str">
        <f>"8323704"</f>
        <v>8323704</v>
      </c>
      <c r="D24441" t="s">
        <v>73879</v>
      </c>
      <c r="F24441" t="s">
        <v>73880</v>
      </c>
      <c r="I24441" t="s">
        <v>184</v>
      </c>
      <c r="J24441" t="s">
        <v>30</v>
      </c>
      <c r="K24441" t="s">
        <v>73881</v>
      </c>
      <c r="M24441" t="s">
        <v>50500</v>
      </c>
      <c r="N24441" t="str">
        <f>"1/8/2025 11:14:00 AM"</f>
        <v>1/8/2025 11:14:00 AM</v>
      </c>
      <c r="O24441" t="s">
        <v>73879</v>
      </c>
    </row>
    <row r="24442" spans="1:20" x14ac:dyDescent="0.25">
      <c r="A24442" t="str">
        <f>"3062697"</f>
        <v>3062697</v>
      </c>
      <c r="B24442" t="s">
        <v>73882</v>
      </c>
      <c r="C24442" t="str">
        <f>"8323705"</f>
        <v>8323705</v>
      </c>
      <c r="D24442" t="s">
        <v>73883</v>
      </c>
      <c r="E24442" t="s">
        <v>70051</v>
      </c>
      <c r="F24442" t="s">
        <v>70052</v>
      </c>
      <c r="I24442" t="s">
        <v>29</v>
      </c>
      <c r="J24442" t="s">
        <v>30</v>
      </c>
      <c r="K24442" t="s">
        <v>48294</v>
      </c>
      <c r="M24442" t="s">
        <v>50500</v>
      </c>
      <c r="N24442" t="str">
        <f>"1/8/2025 11:23:00 AM"</f>
        <v>1/8/2025 11:23:00 AM</v>
      </c>
      <c r="O24442" t="s">
        <v>73883</v>
      </c>
      <c r="T24442" t="s">
        <v>70051</v>
      </c>
    </row>
    <row r="24443" spans="1:20" x14ac:dyDescent="0.25">
      <c r="A24443" t="str">
        <f>"3063052"</f>
        <v>3063052</v>
      </c>
      <c r="B24443" t="s">
        <v>73884</v>
      </c>
      <c r="C24443" t="str">
        <f>"8323706"</f>
        <v>8323706</v>
      </c>
      <c r="D24443" t="s">
        <v>73885</v>
      </c>
      <c r="F24443" t="s">
        <v>73886</v>
      </c>
      <c r="I24443" t="s">
        <v>66545</v>
      </c>
      <c r="J24443" t="s">
        <v>4132</v>
      </c>
      <c r="K24443" t="s">
        <v>73887</v>
      </c>
      <c r="M24443" t="s">
        <v>50500</v>
      </c>
      <c r="N24443" t="str">
        <f>"1/8/2025 11:38:00 AM"</f>
        <v>1/8/2025 11:38:00 AM</v>
      </c>
      <c r="O24443" t="s">
        <v>73885</v>
      </c>
    </row>
    <row r="24444" spans="1:20" x14ac:dyDescent="0.25">
      <c r="A24444" t="str">
        <f>"3046443"</f>
        <v>3046443</v>
      </c>
      <c r="B24444" t="s">
        <v>73888</v>
      </c>
      <c r="C24444" t="str">
        <f>"8323707"</f>
        <v>8323707</v>
      </c>
      <c r="D24444" t="s">
        <v>73889</v>
      </c>
      <c r="F24444" t="s">
        <v>73890</v>
      </c>
      <c r="I24444" t="s">
        <v>29</v>
      </c>
      <c r="J24444" t="s">
        <v>30</v>
      </c>
      <c r="K24444" t="s">
        <v>44142</v>
      </c>
      <c r="M24444" t="s">
        <v>50500</v>
      </c>
      <c r="N24444" t="str">
        <f>"1/8/2025 11:54:00 AM"</f>
        <v>1/8/2025 11:54:00 AM</v>
      </c>
      <c r="O24444" t="s">
        <v>73889</v>
      </c>
    </row>
    <row r="24445" spans="1:20" x14ac:dyDescent="0.25">
      <c r="A24445" t="str">
        <f>"3046444"</f>
        <v>3046444</v>
      </c>
      <c r="B24445" t="s">
        <v>73891</v>
      </c>
      <c r="C24445" t="str">
        <f>"8323707"</f>
        <v>8323707</v>
      </c>
      <c r="D24445" t="s">
        <v>73889</v>
      </c>
      <c r="F24445" t="s">
        <v>73890</v>
      </c>
      <c r="I24445" t="s">
        <v>29</v>
      </c>
      <c r="J24445" t="s">
        <v>30</v>
      </c>
      <c r="K24445" t="s">
        <v>44142</v>
      </c>
      <c r="M24445" t="s">
        <v>50500</v>
      </c>
      <c r="N24445" t="str">
        <f>"1/8/2025 11:54:00 AM"</f>
        <v>1/8/2025 11:54:00 AM</v>
      </c>
      <c r="O24445" t="s">
        <v>73889</v>
      </c>
    </row>
    <row r="24446" spans="1:20" x14ac:dyDescent="0.25">
      <c r="A24446" t="str">
        <f>"3062699"</f>
        <v>3062699</v>
      </c>
      <c r="B24446" t="s">
        <v>73892</v>
      </c>
      <c r="C24446" t="str">
        <f>"8323708"</f>
        <v>8323708</v>
      </c>
      <c r="D24446" t="s">
        <v>73893</v>
      </c>
      <c r="F24446" t="s">
        <v>73894</v>
      </c>
      <c r="I24446" t="s">
        <v>24359</v>
      </c>
      <c r="J24446" t="s">
        <v>30</v>
      </c>
      <c r="K24446" t="str">
        <f>"27006"</f>
        <v>27006</v>
      </c>
      <c r="M24446" t="s">
        <v>50500</v>
      </c>
      <c r="N24446" t="str">
        <f>"1/8/2025 12:07:00 PM"</f>
        <v>1/8/2025 12:07:00 PM</v>
      </c>
      <c r="O24446" t="s">
        <v>73893</v>
      </c>
    </row>
    <row r="24447" spans="1:20" x14ac:dyDescent="0.25">
      <c r="A24447" t="str">
        <f>"3068063"</f>
        <v>3068063</v>
      </c>
      <c r="B24447" t="s">
        <v>73895</v>
      </c>
      <c r="C24447" t="str">
        <f>"8323709"</f>
        <v>8323709</v>
      </c>
      <c r="D24447" t="s">
        <v>73896</v>
      </c>
      <c r="E24447" t="s">
        <v>73897</v>
      </c>
      <c r="F24447" t="s">
        <v>73898</v>
      </c>
      <c r="I24447" t="s">
        <v>29</v>
      </c>
      <c r="J24447" t="s">
        <v>30</v>
      </c>
      <c r="K24447" t="s">
        <v>1274</v>
      </c>
      <c r="M24447" t="s">
        <v>50500</v>
      </c>
      <c r="N24447" t="str">
        <f>"1/8/2025 12:13:00 PM"</f>
        <v>1/8/2025 12:13:00 PM</v>
      </c>
      <c r="O24447" t="s">
        <v>73896</v>
      </c>
      <c r="T24447" t="s">
        <v>73897</v>
      </c>
    </row>
    <row r="24448" spans="1:20" x14ac:dyDescent="0.25">
      <c r="A24448" t="str">
        <f>"3039252"</f>
        <v>3039252</v>
      </c>
      <c r="B24448" t="s">
        <v>73899</v>
      </c>
      <c r="C24448" t="str">
        <f>"8323709"</f>
        <v>8323709</v>
      </c>
      <c r="D24448" t="s">
        <v>73896</v>
      </c>
      <c r="E24448" t="s">
        <v>73897</v>
      </c>
      <c r="F24448" t="s">
        <v>73898</v>
      </c>
      <c r="I24448" t="s">
        <v>29</v>
      </c>
      <c r="J24448" t="s">
        <v>30</v>
      </c>
      <c r="K24448" t="s">
        <v>1274</v>
      </c>
      <c r="M24448" t="s">
        <v>50500</v>
      </c>
      <c r="N24448" t="str">
        <f>"1/8/2025 12:13:00 PM"</f>
        <v>1/8/2025 12:13:00 PM</v>
      </c>
      <c r="O24448" t="s">
        <v>73896</v>
      </c>
      <c r="T24448" t="s">
        <v>73897</v>
      </c>
    </row>
    <row r="24449" spans="1:20" x14ac:dyDescent="0.25">
      <c r="A24449" t="str">
        <f>"3051596"</f>
        <v>3051596</v>
      </c>
      <c r="B24449" t="s">
        <v>73900</v>
      </c>
      <c r="C24449" t="str">
        <f>"8323710"</f>
        <v>8323710</v>
      </c>
      <c r="D24449" t="s">
        <v>73901</v>
      </c>
      <c r="E24449" t="s">
        <v>73902</v>
      </c>
      <c r="F24449" t="s">
        <v>73903</v>
      </c>
      <c r="I24449" t="s">
        <v>29</v>
      </c>
      <c r="J24449" t="s">
        <v>30</v>
      </c>
      <c r="K24449" t="s">
        <v>73904</v>
      </c>
      <c r="M24449" t="s">
        <v>50500</v>
      </c>
      <c r="N24449" t="str">
        <f>"1/8/2025 12:24:00 PM"</f>
        <v>1/8/2025 12:24:00 PM</v>
      </c>
      <c r="O24449" t="s">
        <v>73901</v>
      </c>
      <c r="T24449" t="s">
        <v>73902</v>
      </c>
    </row>
    <row r="24450" spans="1:20" x14ac:dyDescent="0.25">
      <c r="A24450" t="str">
        <f>"3042295"</f>
        <v>3042295</v>
      </c>
      <c r="B24450" t="s">
        <v>73905</v>
      </c>
      <c r="C24450" t="str">
        <f>"82523220"</f>
        <v>82523220</v>
      </c>
      <c r="D24450" t="s">
        <v>73906</v>
      </c>
      <c r="E24450" t="s">
        <v>73907</v>
      </c>
      <c r="F24450" t="s">
        <v>73908</v>
      </c>
      <c r="I24450" t="s">
        <v>68022</v>
      </c>
      <c r="J24450" t="s">
        <v>30</v>
      </c>
      <c r="K24450" t="s">
        <v>73909</v>
      </c>
      <c r="M24450" t="s">
        <v>51351</v>
      </c>
      <c r="N24450" t="str">
        <f>"1/8/2025 12:35:00 PM"</f>
        <v>1/8/2025 12:35:00 PM</v>
      </c>
      <c r="O24450" t="s">
        <v>73906</v>
      </c>
      <c r="T24450" t="s">
        <v>73907</v>
      </c>
    </row>
    <row r="24451" spans="1:20" x14ac:dyDescent="0.25">
      <c r="A24451" t="str">
        <f>"3063054"</f>
        <v>3063054</v>
      </c>
      <c r="B24451" t="s">
        <v>73910</v>
      </c>
      <c r="C24451" t="str">
        <f>"8323711"</f>
        <v>8323711</v>
      </c>
      <c r="D24451" t="s">
        <v>73911</v>
      </c>
      <c r="E24451" t="s">
        <v>73912</v>
      </c>
      <c r="F24451" t="s">
        <v>21874</v>
      </c>
      <c r="I24451" t="s">
        <v>9824</v>
      </c>
      <c r="J24451" t="s">
        <v>30</v>
      </c>
      <c r="K24451" t="s">
        <v>73913</v>
      </c>
      <c r="M24451" t="s">
        <v>50500</v>
      </c>
      <c r="N24451" t="str">
        <f>"1/8/2025 2:53:00 PM"</f>
        <v>1/8/2025 2:53:00 PM</v>
      </c>
      <c r="O24451" t="s">
        <v>73911</v>
      </c>
      <c r="T24451" t="s">
        <v>73912</v>
      </c>
    </row>
    <row r="24452" spans="1:20" x14ac:dyDescent="0.25">
      <c r="A24452" t="str">
        <f>"3053010"</f>
        <v>3053010</v>
      </c>
      <c r="B24452" t="s">
        <v>73914</v>
      </c>
      <c r="C24452" t="str">
        <f>"8314516"</f>
        <v>8314516</v>
      </c>
      <c r="D24452" t="s">
        <v>73915</v>
      </c>
      <c r="E24452" t="s">
        <v>73916</v>
      </c>
      <c r="F24452" t="s">
        <v>73917</v>
      </c>
      <c r="I24452" t="s">
        <v>28654</v>
      </c>
      <c r="J24452" t="s">
        <v>30</v>
      </c>
      <c r="K24452" t="str">
        <f>"28697"</f>
        <v>28697</v>
      </c>
      <c r="M24452" t="s">
        <v>25625</v>
      </c>
      <c r="N24452" t="str">
        <f>"1/8/2025 3:58:00 PM"</f>
        <v>1/8/2025 3:58:00 PM</v>
      </c>
      <c r="O24452" t="s">
        <v>73915</v>
      </c>
      <c r="T24452" t="s">
        <v>73916</v>
      </c>
    </row>
    <row r="24453" spans="1:20" x14ac:dyDescent="0.25">
      <c r="A24453" t="str">
        <f>"3046383"</f>
        <v>3046383</v>
      </c>
      <c r="B24453" t="s">
        <v>73918</v>
      </c>
      <c r="C24453" t="str">
        <f>"8300550"</f>
        <v>8300550</v>
      </c>
      <c r="D24453" t="s">
        <v>50004</v>
      </c>
      <c r="F24453" t="s">
        <v>50005</v>
      </c>
      <c r="I24453" t="s">
        <v>29</v>
      </c>
      <c r="J24453" t="s">
        <v>30</v>
      </c>
      <c r="K24453" t="s">
        <v>7135</v>
      </c>
      <c r="M24453" t="s">
        <v>50621</v>
      </c>
      <c r="N24453" t="str">
        <f>"1/9/2025 9:40:00 AM"</f>
        <v>1/9/2025 9:40:00 AM</v>
      </c>
      <c r="O24453" t="s">
        <v>50004</v>
      </c>
    </row>
    <row r="24454" spans="1:20" x14ac:dyDescent="0.25">
      <c r="A24454" t="str">
        <f>"3039982"</f>
        <v>3039982</v>
      </c>
      <c r="B24454" t="s">
        <v>73919</v>
      </c>
      <c r="C24454" t="str">
        <f>"8317227"</f>
        <v>8317227</v>
      </c>
      <c r="D24454" t="s">
        <v>50004</v>
      </c>
      <c r="F24454" t="s">
        <v>50005</v>
      </c>
      <c r="I24454" t="s">
        <v>29</v>
      </c>
      <c r="J24454" t="s">
        <v>30</v>
      </c>
      <c r="K24454" t="s">
        <v>7135</v>
      </c>
      <c r="M24454" t="s">
        <v>50621</v>
      </c>
      <c r="N24454" t="str">
        <f>"1/9/2025 9:41:00 AM"</f>
        <v>1/9/2025 9:41:00 AM</v>
      </c>
      <c r="O24454" t="s">
        <v>50004</v>
      </c>
    </row>
    <row r="24455" spans="1:20" x14ac:dyDescent="0.25">
      <c r="A24455" t="str">
        <f>"3045988"</f>
        <v>3045988</v>
      </c>
      <c r="B24455" t="s">
        <v>73920</v>
      </c>
      <c r="C24455" t="str">
        <f>"8317089"</f>
        <v>8317089</v>
      </c>
      <c r="D24455" t="s">
        <v>73921</v>
      </c>
      <c r="F24455" t="s">
        <v>50005</v>
      </c>
      <c r="I24455" t="s">
        <v>29</v>
      </c>
      <c r="J24455" t="s">
        <v>30</v>
      </c>
      <c r="K24455" t="s">
        <v>7135</v>
      </c>
      <c r="M24455" t="s">
        <v>50621</v>
      </c>
      <c r="N24455" t="str">
        <f>"1/9/2025 9:42:00 AM"</f>
        <v>1/9/2025 9:42:00 AM</v>
      </c>
      <c r="O24455" t="s">
        <v>73921</v>
      </c>
    </row>
    <row r="24456" spans="1:20" x14ac:dyDescent="0.25">
      <c r="A24456" t="str">
        <f>"3062689"</f>
        <v>3062689</v>
      </c>
      <c r="B24456" t="s">
        <v>73922</v>
      </c>
      <c r="C24456" t="str">
        <f>"8323712"</f>
        <v>8323712</v>
      </c>
      <c r="D24456" t="s">
        <v>73923</v>
      </c>
      <c r="E24456" t="s">
        <v>73924</v>
      </c>
      <c r="F24456" t="s">
        <v>73925</v>
      </c>
      <c r="I24456" t="s">
        <v>184</v>
      </c>
      <c r="J24456" t="s">
        <v>30</v>
      </c>
      <c r="K24456" t="str">
        <f>"27006"</f>
        <v>27006</v>
      </c>
      <c r="M24456" t="s">
        <v>50500</v>
      </c>
      <c r="N24456" t="str">
        <f>"1/9/2025 10:12:00 AM"</f>
        <v>1/9/2025 10:12:00 AM</v>
      </c>
      <c r="O24456" t="s">
        <v>73923</v>
      </c>
      <c r="T24456" t="s">
        <v>73924</v>
      </c>
    </row>
    <row r="24457" spans="1:20" x14ac:dyDescent="0.25">
      <c r="A24457" t="str">
        <f>"3062704"</f>
        <v>3062704</v>
      </c>
      <c r="B24457" t="s">
        <v>73926</v>
      </c>
      <c r="C24457" t="str">
        <f>"8303628"</f>
        <v>8303628</v>
      </c>
      <c r="D24457" t="s">
        <v>73927</v>
      </c>
      <c r="E24457" t="s">
        <v>73928</v>
      </c>
      <c r="F24457" t="s">
        <v>73929</v>
      </c>
      <c r="I24457" t="s">
        <v>184</v>
      </c>
      <c r="J24457" t="s">
        <v>30</v>
      </c>
      <c r="K24457" t="str">
        <f>"27006"</f>
        <v>27006</v>
      </c>
      <c r="M24457" t="s">
        <v>50500</v>
      </c>
      <c r="N24457" t="str">
        <f>"1/9/2025 10:16:00 AM"</f>
        <v>1/9/2025 10:16:00 AM</v>
      </c>
      <c r="O24457" t="s">
        <v>73927</v>
      </c>
      <c r="T24457" t="s">
        <v>73928</v>
      </c>
    </row>
    <row r="24458" spans="1:20" x14ac:dyDescent="0.25">
      <c r="A24458" t="str">
        <f>"3041703"</f>
        <v>3041703</v>
      </c>
      <c r="B24458" t="s">
        <v>73930</v>
      </c>
      <c r="C24458" t="str">
        <f>"8303628"</f>
        <v>8303628</v>
      </c>
      <c r="D24458" t="s">
        <v>73927</v>
      </c>
      <c r="E24458" t="s">
        <v>73928</v>
      </c>
      <c r="F24458" t="s">
        <v>73929</v>
      </c>
      <c r="I24458" t="s">
        <v>184</v>
      </c>
      <c r="J24458" t="s">
        <v>30</v>
      </c>
      <c r="K24458" t="str">
        <f>"27006"</f>
        <v>27006</v>
      </c>
      <c r="M24458" t="s">
        <v>50500</v>
      </c>
      <c r="N24458" t="str">
        <f>"1/9/2025 10:16:00 AM"</f>
        <v>1/9/2025 10:16:00 AM</v>
      </c>
      <c r="O24458" t="s">
        <v>73927</v>
      </c>
      <c r="T24458" t="s">
        <v>73928</v>
      </c>
    </row>
    <row r="24459" spans="1:20" x14ac:dyDescent="0.25">
      <c r="A24459" t="str">
        <f>"3064588"</f>
        <v>3064588</v>
      </c>
      <c r="B24459" t="s">
        <v>73931</v>
      </c>
      <c r="C24459" t="str">
        <f>"8323713"</f>
        <v>8323713</v>
      </c>
      <c r="D24459" t="s">
        <v>73932</v>
      </c>
      <c r="F24459" t="s">
        <v>73933</v>
      </c>
      <c r="I24459" t="s">
        <v>3149</v>
      </c>
      <c r="J24459" t="s">
        <v>36383</v>
      </c>
      <c r="K24459" t="s">
        <v>73934</v>
      </c>
      <c r="M24459" t="s">
        <v>50500</v>
      </c>
      <c r="N24459" t="str">
        <f>"1/9/2025 11:02:00 AM"</f>
        <v>1/9/2025 11:02:00 AM</v>
      </c>
      <c r="O24459" t="s">
        <v>73932</v>
      </c>
    </row>
    <row r="24460" spans="1:20" x14ac:dyDescent="0.25">
      <c r="A24460" t="str">
        <f>"3067450"</f>
        <v>3067450</v>
      </c>
      <c r="B24460" t="s">
        <v>73935</v>
      </c>
      <c r="C24460" t="str">
        <f>"8323714"</f>
        <v>8323714</v>
      </c>
      <c r="D24460" t="s">
        <v>73936</v>
      </c>
      <c r="E24460" t="s">
        <v>73937</v>
      </c>
      <c r="F24460" t="s">
        <v>73938</v>
      </c>
      <c r="I24460" t="s">
        <v>184</v>
      </c>
      <c r="J24460" t="s">
        <v>30</v>
      </c>
      <c r="K24460" t="s">
        <v>73939</v>
      </c>
      <c r="M24460" t="s">
        <v>50500</v>
      </c>
      <c r="N24460" t="str">
        <f>"1/9/2025 12:38:00 PM"</f>
        <v>1/9/2025 12:38:00 PM</v>
      </c>
      <c r="O24460" t="s">
        <v>73936</v>
      </c>
      <c r="T24460" t="s">
        <v>73937</v>
      </c>
    </row>
    <row r="24461" spans="1:20" x14ac:dyDescent="0.25">
      <c r="A24461" t="str">
        <f>"3050997"</f>
        <v>3050997</v>
      </c>
      <c r="B24461" t="s">
        <v>73940</v>
      </c>
      <c r="C24461" t="str">
        <f>"8323714"</f>
        <v>8323714</v>
      </c>
      <c r="D24461" t="s">
        <v>73936</v>
      </c>
      <c r="E24461" t="s">
        <v>73937</v>
      </c>
      <c r="F24461" t="s">
        <v>73938</v>
      </c>
      <c r="I24461" t="s">
        <v>184</v>
      </c>
      <c r="J24461" t="s">
        <v>30</v>
      </c>
      <c r="K24461" t="s">
        <v>73939</v>
      </c>
      <c r="M24461" t="s">
        <v>50500</v>
      </c>
      <c r="N24461" t="str">
        <f>"1/9/2025 12:38:00 PM"</f>
        <v>1/9/2025 12:38:00 PM</v>
      </c>
      <c r="O24461" t="s">
        <v>73936</v>
      </c>
      <c r="T24461" t="s">
        <v>73937</v>
      </c>
    </row>
    <row r="24462" spans="1:20" x14ac:dyDescent="0.25">
      <c r="A24462" t="str">
        <f>"3049393"</f>
        <v>3049393</v>
      </c>
      <c r="B24462" t="s">
        <v>73941</v>
      </c>
      <c r="C24462" t="str">
        <f>"8303483"</f>
        <v>8303483</v>
      </c>
      <c r="D24462" t="s">
        <v>73942</v>
      </c>
      <c r="F24462" t="s">
        <v>73943</v>
      </c>
      <c r="I24462" t="s">
        <v>46412</v>
      </c>
      <c r="J24462" t="s">
        <v>30</v>
      </c>
      <c r="K24462" t="s">
        <v>73944</v>
      </c>
      <c r="M24462" t="s">
        <v>18479</v>
      </c>
      <c r="N24462" t="str">
        <f>"1/9/2025 1:11:00 PM"</f>
        <v>1/9/2025 1:11:00 PM</v>
      </c>
      <c r="O24462" t="s">
        <v>73942</v>
      </c>
    </row>
    <row r="24463" spans="1:20" x14ac:dyDescent="0.25">
      <c r="A24463" t="str">
        <f>"3048694"</f>
        <v>3048694</v>
      </c>
      <c r="B24463" t="s">
        <v>73945</v>
      </c>
      <c r="C24463" t="str">
        <f>"8303483"</f>
        <v>8303483</v>
      </c>
      <c r="D24463" t="s">
        <v>73942</v>
      </c>
      <c r="F24463" t="s">
        <v>73943</v>
      </c>
      <c r="I24463" t="s">
        <v>46412</v>
      </c>
      <c r="J24463" t="s">
        <v>30</v>
      </c>
      <c r="K24463" t="s">
        <v>73944</v>
      </c>
      <c r="M24463" t="s">
        <v>18479</v>
      </c>
      <c r="N24463" t="str">
        <f>"1/9/2025 1:11:00 PM"</f>
        <v>1/9/2025 1:11:00 PM</v>
      </c>
      <c r="O24463" t="s">
        <v>73942</v>
      </c>
    </row>
    <row r="24464" spans="1:20" x14ac:dyDescent="0.25">
      <c r="A24464" t="str">
        <f>"3053957"</f>
        <v>3053957</v>
      </c>
      <c r="B24464" t="s">
        <v>73946</v>
      </c>
      <c r="C24464" t="str">
        <f>"72284440"</f>
        <v>72284440</v>
      </c>
      <c r="D24464" t="s">
        <v>73947</v>
      </c>
      <c r="E24464" t="s">
        <v>73948</v>
      </c>
      <c r="F24464" t="s">
        <v>73949</v>
      </c>
      <c r="I24464" t="s">
        <v>29</v>
      </c>
      <c r="J24464" t="s">
        <v>30</v>
      </c>
      <c r="K24464" t="s">
        <v>31</v>
      </c>
      <c r="M24464" t="s">
        <v>50793</v>
      </c>
      <c r="N24464" t="str">
        <f>"1/9/2025 4:01:00 PM"</f>
        <v>1/9/2025 4:01:00 PM</v>
      </c>
      <c r="O24464" t="s">
        <v>73947</v>
      </c>
      <c r="T24464" t="s">
        <v>73948</v>
      </c>
    </row>
    <row r="24465" spans="1:20" x14ac:dyDescent="0.25">
      <c r="A24465" t="str">
        <f>"3053967"</f>
        <v>3053967</v>
      </c>
      <c r="B24465" t="s">
        <v>73950</v>
      </c>
      <c r="C24465" t="str">
        <f>"72284440"</f>
        <v>72284440</v>
      </c>
      <c r="D24465" t="s">
        <v>73947</v>
      </c>
      <c r="E24465" t="s">
        <v>73948</v>
      </c>
      <c r="F24465" t="s">
        <v>73949</v>
      </c>
      <c r="I24465" t="s">
        <v>29</v>
      </c>
      <c r="J24465" t="s">
        <v>30</v>
      </c>
      <c r="K24465" t="s">
        <v>31</v>
      </c>
      <c r="M24465" t="s">
        <v>50793</v>
      </c>
      <c r="N24465" t="str">
        <f>"1/9/2025 4:01:00 PM"</f>
        <v>1/9/2025 4:01:00 PM</v>
      </c>
      <c r="O24465" t="s">
        <v>73947</v>
      </c>
      <c r="T24465" t="s">
        <v>73948</v>
      </c>
    </row>
    <row r="24466" spans="1:20" x14ac:dyDescent="0.25">
      <c r="A24466" t="str">
        <f>"3062690"</f>
        <v>3062690</v>
      </c>
      <c r="B24466" t="s">
        <v>73951</v>
      </c>
      <c r="C24466" t="str">
        <f>"8323715"</f>
        <v>8323715</v>
      </c>
      <c r="D24466" t="s">
        <v>73952</v>
      </c>
      <c r="F24466" t="s">
        <v>73953</v>
      </c>
      <c r="I24466" t="s">
        <v>2071</v>
      </c>
      <c r="J24466" t="s">
        <v>30</v>
      </c>
      <c r="K24466" t="str">
        <f>"27006"</f>
        <v>27006</v>
      </c>
      <c r="M24466" t="s">
        <v>50500</v>
      </c>
      <c r="N24466" t="str">
        <f>"1/10/2025 8:45:00 AM"</f>
        <v>1/10/2025 8:45:00 AM</v>
      </c>
      <c r="O24466" t="s">
        <v>73952</v>
      </c>
    </row>
    <row r="24467" spans="1:20" x14ac:dyDescent="0.25">
      <c r="A24467" t="str">
        <f>"3052114"</f>
        <v>3052114</v>
      </c>
      <c r="B24467" t="s">
        <v>73954</v>
      </c>
      <c r="C24467" t="str">
        <f>"8323717"</f>
        <v>8323717</v>
      </c>
      <c r="D24467" t="s">
        <v>73955</v>
      </c>
      <c r="E24467" t="s">
        <v>73956</v>
      </c>
      <c r="F24467" t="s">
        <v>73957</v>
      </c>
      <c r="I24467" t="s">
        <v>17921</v>
      </c>
      <c r="J24467" t="s">
        <v>30</v>
      </c>
      <c r="K24467" t="str">
        <f t="shared" ref="K24467:K24472" si="378">"27028"</f>
        <v>27028</v>
      </c>
      <c r="M24467" t="s">
        <v>50500</v>
      </c>
      <c r="N24467" t="str">
        <f>"1/10/2025 9:28:00 AM"</f>
        <v>1/10/2025 9:28:00 AM</v>
      </c>
      <c r="O24467" t="s">
        <v>73955</v>
      </c>
      <c r="T24467" t="s">
        <v>73956</v>
      </c>
    </row>
    <row r="24468" spans="1:20" x14ac:dyDescent="0.25">
      <c r="A24468" t="str">
        <f>"3052959"</f>
        <v>3052959</v>
      </c>
      <c r="B24468" t="s">
        <v>73958</v>
      </c>
      <c r="C24468" t="str">
        <f>"8323718"</f>
        <v>8323718</v>
      </c>
      <c r="D24468" t="s">
        <v>73959</v>
      </c>
      <c r="F24468" t="s">
        <v>73960</v>
      </c>
      <c r="I24468" t="s">
        <v>17921</v>
      </c>
      <c r="J24468" t="s">
        <v>30</v>
      </c>
      <c r="K24468" t="str">
        <f t="shared" si="378"/>
        <v>27028</v>
      </c>
      <c r="M24468" t="s">
        <v>50500</v>
      </c>
      <c r="N24468" t="str">
        <f>"1/10/2025 11:16:00 AM"</f>
        <v>1/10/2025 11:16:00 AM</v>
      </c>
      <c r="O24468" t="s">
        <v>73959</v>
      </c>
    </row>
    <row r="24469" spans="1:20" x14ac:dyDescent="0.25">
      <c r="A24469" t="str">
        <f>"3053186"</f>
        <v>3053186</v>
      </c>
      <c r="B24469" t="s">
        <v>73961</v>
      </c>
      <c r="C24469" t="str">
        <f>"8323719"</f>
        <v>8323719</v>
      </c>
      <c r="D24469" t="s">
        <v>73962</v>
      </c>
      <c r="E24469" t="s">
        <v>73963</v>
      </c>
      <c r="F24469" t="s">
        <v>73964</v>
      </c>
      <c r="I24469" t="s">
        <v>17921</v>
      </c>
      <c r="J24469" t="s">
        <v>30</v>
      </c>
      <c r="K24469" t="str">
        <f t="shared" si="378"/>
        <v>27028</v>
      </c>
      <c r="M24469" t="s">
        <v>50500</v>
      </c>
      <c r="N24469" t="str">
        <f>"1/10/2025 11:24:00 AM"</f>
        <v>1/10/2025 11:24:00 AM</v>
      </c>
      <c r="O24469" t="s">
        <v>73962</v>
      </c>
      <c r="T24469" t="s">
        <v>73963</v>
      </c>
    </row>
    <row r="24470" spans="1:20" x14ac:dyDescent="0.25">
      <c r="A24470" t="str">
        <f>"3055079"</f>
        <v>3055079</v>
      </c>
      <c r="B24470" t="s">
        <v>73965</v>
      </c>
      <c r="C24470" t="str">
        <f>"8320684"</f>
        <v>8320684</v>
      </c>
      <c r="D24470" t="s">
        <v>73966</v>
      </c>
      <c r="F24470" t="s">
        <v>73967</v>
      </c>
      <c r="I24470" t="s">
        <v>29</v>
      </c>
      <c r="J24470" t="s">
        <v>30</v>
      </c>
      <c r="K24470" t="str">
        <f t="shared" si="378"/>
        <v>27028</v>
      </c>
      <c r="M24470" t="s">
        <v>18479</v>
      </c>
      <c r="N24470" t="str">
        <f>"1/10/2025 11:25:00 AM"</f>
        <v>1/10/2025 11:25:00 AM</v>
      </c>
      <c r="O24470" t="s">
        <v>73966</v>
      </c>
    </row>
    <row r="24471" spans="1:20" x14ac:dyDescent="0.25">
      <c r="A24471" t="str">
        <f>"3046371"</f>
        <v>3046371</v>
      </c>
      <c r="B24471" t="s">
        <v>73968</v>
      </c>
      <c r="C24471" t="str">
        <f>"8320684"</f>
        <v>8320684</v>
      </c>
      <c r="D24471" t="s">
        <v>73966</v>
      </c>
      <c r="F24471" t="s">
        <v>73967</v>
      </c>
      <c r="I24471" t="s">
        <v>29</v>
      </c>
      <c r="J24471" t="s">
        <v>30</v>
      </c>
      <c r="K24471" t="str">
        <f t="shared" si="378"/>
        <v>27028</v>
      </c>
      <c r="M24471" t="s">
        <v>18479</v>
      </c>
      <c r="N24471" t="str">
        <f>"1/10/2025 11:25:00 AM"</f>
        <v>1/10/2025 11:25:00 AM</v>
      </c>
      <c r="O24471" t="s">
        <v>73966</v>
      </c>
    </row>
    <row r="24472" spans="1:20" x14ac:dyDescent="0.25">
      <c r="A24472" t="str">
        <f>"3077944"</f>
        <v>3077944</v>
      </c>
      <c r="B24472" t="s">
        <v>73969</v>
      </c>
      <c r="C24472" t="str">
        <f>"8320684"</f>
        <v>8320684</v>
      </c>
      <c r="D24472" t="s">
        <v>73966</v>
      </c>
      <c r="F24472" t="s">
        <v>73967</v>
      </c>
      <c r="I24472" t="s">
        <v>29</v>
      </c>
      <c r="J24472" t="s">
        <v>30</v>
      </c>
      <c r="K24472" t="str">
        <f t="shared" si="378"/>
        <v>27028</v>
      </c>
      <c r="M24472" t="s">
        <v>18479</v>
      </c>
      <c r="N24472" t="str">
        <f>"1/10/2025 11:25:00 AM"</f>
        <v>1/10/2025 11:25:00 AM</v>
      </c>
      <c r="O24472" t="s">
        <v>73966</v>
      </c>
    </row>
    <row r="24473" spans="1:20" x14ac:dyDescent="0.25">
      <c r="A24473" t="str">
        <f>"3062698"</f>
        <v>3062698</v>
      </c>
      <c r="B24473" t="s">
        <v>73970</v>
      </c>
      <c r="C24473" t="str">
        <f>"8323720"</f>
        <v>8323720</v>
      </c>
      <c r="D24473" t="s">
        <v>73971</v>
      </c>
      <c r="F24473" t="s">
        <v>73972</v>
      </c>
      <c r="I24473" t="s">
        <v>24359</v>
      </c>
      <c r="J24473" t="s">
        <v>30</v>
      </c>
      <c r="K24473" t="str">
        <f>"27006"</f>
        <v>27006</v>
      </c>
      <c r="M24473" t="s">
        <v>50500</v>
      </c>
      <c r="N24473" t="str">
        <f>"1/10/2025 11:28:00 AM"</f>
        <v>1/10/2025 11:28:00 AM</v>
      </c>
      <c r="O24473" t="s">
        <v>73971</v>
      </c>
    </row>
    <row r="24474" spans="1:20" x14ac:dyDescent="0.25">
      <c r="A24474" t="str">
        <f>"3062703"</f>
        <v>3062703</v>
      </c>
      <c r="B24474" t="s">
        <v>73973</v>
      </c>
      <c r="C24474" t="str">
        <f>"8323721"</f>
        <v>8323721</v>
      </c>
      <c r="D24474" t="s">
        <v>73974</v>
      </c>
      <c r="F24474" t="s">
        <v>73975</v>
      </c>
      <c r="I24474" t="s">
        <v>24359</v>
      </c>
      <c r="J24474" t="s">
        <v>30</v>
      </c>
      <c r="K24474" t="str">
        <f>"27006"</f>
        <v>27006</v>
      </c>
      <c r="M24474" t="s">
        <v>50500</v>
      </c>
      <c r="N24474" t="str">
        <f>"1/10/2025 11:31:00 AM"</f>
        <v>1/10/2025 11:31:00 AM</v>
      </c>
      <c r="O24474" t="s">
        <v>73974</v>
      </c>
    </row>
    <row r="24475" spans="1:20" x14ac:dyDescent="0.25">
      <c r="A24475" t="str">
        <f>"3062701"</f>
        <v>3062701</v>
      </c>
      <c r="B24475" t="s">
        <v>73976</v>
      </c>
      <c r="C24475" t="str">
        <f>"8323722"</f>
        <v>8323722</v>
      </c>
      <c r="D24475" t="s">
        <v>73977</v>
      </c>
      <c r="E24475" t="s">
        <v>73978</v>
      </c>
      <c r="F24475" t="s">
        <v>73979</v>
      </c>
      <c r="I24475" t="s">
        <v>51419</v>
      </c>
      <c r="J24475" t="s">
        <v>30</v>
      </c>
      <c r="K24475" t="str">
        <f>"28311"</f>
        <v>28311</v>
      </c>
      <c r="M24475" t="s">
        <v>50500</v>
      </c>
      <c r="N24475" t="str">
        <f>"1/10/2025 11:34:00 AM"</f>
        <v>1/10/2025 11:34:00 AM</v>
      </c>
      <c r="O24475" t="s">
        <v>73977</v>
      </c>
      <c r="T24475" t="s">
        <v>73978</v>
      </c>
    </row>
    <row r="24476" spans="1:20" x14ac:dyDescent="0.25">
      <c r="A24476" t="str">
        <f>"3062695"</f>
        <v>3062695</v>
      </c>
      <c r="B24476" t="s">
        <v>73980</v>
      </c>
      <c r="C24476" t="str">
        <f>"8323723"</f>
        <v>8323723</v>
      </c>
      <c r="D24476" t="s">
        <v>73981</v>
      </c>
      <c r="E24476" t="s">
        <v>73982</v>
      </c>
      <c r="F24476" t="s">
        <v>73983</v>
      </c>
      <c r="I24476" t="s">
        <v>70188</v>
      </c>
      <c r="J24476" t="s">
        <v>12725</v>
      </c>
      <c r="K24476" t="str">
        <f>"33050"</f>
        <v>33050</v>
      </c>
      <c r="M24476" t="s">
        <v>50500</v>
      </c>
      <c r="N24476" t="str">
        <f>"1/10/2025 11:38:00 AM"</f>
        <v>1/10/2025 11:38:00 AM</v>
      </c>
      <c r="O24476" t="s">
        <v>73981</v>
      </c>
      <c r="T24476" t="s">
        <v>73982</v>
      </c>
    </row>
    <row r="24477" spans="1:20" x14ac:dyDescent="0.25">
      <c r="A24477" t="str">
        <f>"3063241"</f>
        <v>3063241</v>
      </c>
      <c r="B24477" t="s">
        <v>73984</v>
      </c>
      <c r="C24477" t="str">
        <f>"8323724"</f>
        <v>8323724</v>
      </c>
      <c r="D24477" t="s">
        <v>73985</v>
      </c>
      <c r="F24477" t="s">
        <v>73986</v>
      </c>
      <c r="I24477" t="s">
        <v>2280</v>
      </c>
      <c r="J24477" t="s">
        <v>30</v>
      </c>
      <c r="K24477" t="str">
        <f>"27292"</f>
        <v>27292</v>
      </c>
      <c r="M24477" t="s">
        <v>50500</v>
      </c>
      <c r="N24477" t="str">
        <f>"1/10/2025 11:42:00 AM"</f>
        <v>1/10/2025 11:42:00 AM</v>
      </c>
      <c r="O24477" t="s">
        <v>73985</v>
      </c>
    </row>
    <row r="24478" spans="1:20" x14ac:dyDescent="0.25">
      <c r="A24478" t="str">
        <f>"3047207"</f>
        <v>3047207</v>
      </c>
      <c r="B24478" t="s">
        <v>73987</v>
      </c>
      <c r="C24478" t="str">
        <f>"8323726"</f>
        <v>8323726</v>
      </c>
      <c r="D24478" t="s">
        <v>73988</v>
      </c>
      <c r="F24478" t="s">
        <v>73989</v>
      </c>
      <c r="I24478" t="s">
        <v>29</v>
      </c>
      <c r="J24478" t="s">
        <v>30</v>
      </c>
      <c r="K24478" t="s">
        <v>73990</v>
      </c>
      <c r="M24478" t="s">
        <v>50500</v>
      </c>
      <c r="N24478" t="str">
        <f>"1/13/2025 12:48:00 PM"</f>
        <v>1/13/2025 12:48:00 PM</v>
      </c>
      <c r="O24478" t="s">
        <v>73988</v>
      </c>
    </row>
    <row r="24479" spans="1:20" x14ac:dyDescent="0.25">
      <c r="A24479" t="str">
        <f>"3047208"</f>
        <v>3047208</v>
      </c>
      <c r="B24479" t="s">
        <v>73991</v>
      </c>
      <c r="C24479" t="str">
        <f>"8323726"</f>
        <v>8323726</v>
      </c>
      <c r="D24479" t="s">
        <v>73988</v>
      </c>
      <c r="F24479" t="s">
        <v>73989</v>
      </c>
      <c r="I24479" t="s">
        <v>29</v>
      </c>
      <c r="J24479" t="s">
        <v>30</v>
      </c>
      <c r="K24479" t="s">
        <v>73990</v>
      </c>
      <c r="M24479" t="s">
        <v>50500</v>
      </c>
      <c r="N24479" t="str">
        <f>"1/13/2025 12:48:00 PM"</f>
        <v>1/13/2025 12:48:00 PM</v>
      </c>
      <c r="O24479" t="s">
        <v>73988</v>
      </c>
    </row>
    <row r="24480" spans="1:20" x14ac:dyDescent="0.25">
      <c r="A24480" t="str">
        <f>"3047209"</f>
        <v>3047209</v>
      </c>
      <c r="B24480" t="s">
        <v>73992</v>
      </c>
      <c r="C24480" t="str">
        <f>"8323726"</f>
        <v>8323726</v>
      </c>
      <c r="D24480" t="s">
        <v>73988</v>
      </c>
      <c r="F24480" t="s">
        <v>73989</v>
      </c>
      <c r="I24480" t="s">
        <v>29</v>
      </c>
      <c r="J24480" t="s">
        <v>30</v>
      </c>
      <c r="K24480" t="s">
        <v>73990</v>
      </c>
      <c r="M24480" t="s">
        <v>50500</v>
      </c>
      <c r="N24480" t="str">
        <f>"1/13/2025 12:48:00 PM"</f>
        <v>1/13/2025 12:48:00 PM</v>
      </c>
      <c r="O24480" t="s">
        <v>73988</v>
      </c>
    </row>
    <row r="24481" spans="1:20" x14ac:dyDescent="0.25">
      <c r="A24481" t="str">
        <f>"3047239"</f>
        <v>3047239</v>
      </c>
      <c r="B24481" t="s">
        <v>73993</v>
      </c>
      <c r="C24481" t="str">
        <f>"8323726"</f>
        <v>8323726</v>
      </c>
      <c r="D24481" t="s">
        <v>73988</v>
      </c>
      <c r="F24481" t="s">
        <v>73989</v>
      </c>
      <c r="I24481" t="s">
        <v>29</v>
      </c>
      <c r="J24481" t="s">
        <v>30</v>
      </c>
      <c r="K24481" t="s">
        <v>73990</v>
      </c>
      <c r="M24481" t="s">
        <v>50500</v>
      </c>
      <c r="N24481" t="str">
        <f>"1/13/2025 12:48:00 PM"</f>
        <v>1/13/2025 12:48:00 PM</v>
      </c>
      <c r="O24481" t="s">
        <v>73988</v>
      </c>
    </row>
    <row r="24482" spans="1:20" x14ac:dyDescent="0.25">
      <c r="A24482" t="str">
        <f>"3047240"</f>
        <v>3047240</v>
      </c>
      <c r="B24482" t="s">
        <v>73994</v>
      </c>
      <c r="C24482" t="str">
        <f>"8323726"</f>
        <v>8323726</v>
      </c>
      <c r="D24482" t="s">
        <v>73988</v>
      </c>
      <c r="F24482" t="s">
        <v>73989</v>
      </c>
      <c r="I24482" t="s">
        <v>29</v>
      </c>
      <c r="J24482" t="s">
        <v>30</v>
      </c>
      <c r="K24482" t="s">
        <v>73990</v>
      </c>
      <c r="M24482" t="s">
        <v>50500</v>
      </c>
      <c r="N24482" t="str">
        <f>"1/13/2025 12:48:00 PM"</f>
        <v>1/13/2025 12:48:00 PM</v>
      </c>
      <c r="O24482" t="s">
        <v>73988</v>
      </c>
    </row>
    <row r="24483" spans="1:20" x14ac:dyDescent="0.25">
      <c r="A24483" t="str">
        <f>"3051665"</f>
        <v>3051665</v>
      </c>
      <c r="B24483" t="s">
        <v>73995</v>
      </c>
      <c r="C24483" t="str">
        <f>"8320572"</f>
        <v>8320572</v>
      </c>
      <c r="D24483" t="s">
        <v>73996</v>
      </c>
      <c r="F24483" t="s">
        <v>73997</v>
      </c>
      <c r="I24483" t="s">
        <v>29</v>
      </c>
      <c r="J24483" t="s">
        <v>30</v>
      </c>
      <c r="K24483" t="s">
        <v>38755</v>
      </c>
      <c r="M24483" t="s">
        <v>18479</v>
      </c>
      <c r="N24483" t="str">
        <f>"1/13/2025 2:16:00 PM"</f>
        <v>1/13/2025 2:16:00 PM</v>
      </c>
      <c r="O24483" t="s">
        <v>73996</v>
      </c>
    </row>
    <row r="24484" spans="1:20" x14ac:dyDescent="0.25">
      <c r="A24484" t="str">
        <f>"3046400"</f>
        <v>3046400</v>
      </c>
      <c r="B24484" t="s">
        <v>73998</v>
      </c>
      <c r="C24484" t="str">
        <f>"8323046"</f>
        <v>8323046</v>
      </c>
      <c r="D24484" t="s">
        <v>73999</v>
      </c>
      <c r="E24484" t="s">
        <v>74000</v>
      </c>
      <c r="F24484" t="s">
        <v>74001</v>
      </c>
      <c r="I24484" t="s">
        <v>29</v>
      </c>
      <c r="J24484" t="s">
        <v>30</v>
      </c>
      <c r="K24484" t="s">
        <v>70251</v>
      </c>
      <c r="M24484" t="s">
        <v>18479</v>
      </c>
      <c r="N24484" t="str">
        <f>"1/13/2025 2:17:00 PM"</f>
        <v>1/13/2025 2:17:00 PM</v>
      </c>
      <c r="O24484" t="s">
        <v>73999</v>
      </c>
      <c r="T24484" t="s">
        <v>74000</v>
      </c>
    </row>
    <row r="24485" spans="1:20" x14ac:dyDescent="0.25">
      <c r="A24485" t="str">
        <f>"3049233"</f>
        <v>3049233</v>
      </c>
      <c r="B24485" t="s">
        <v>74002</v>
      </c>
      <c r="C24485" t="str">
        <f>"8323135"</f>
        <v>8323135</v>
      </c>
      <c r="D24485" t="s">
        <v>74003</v>
      </c>
      <c r="F24485" t="s">
        <v>57893</v>
      </c>
      <c r="I24485" t="s">
        <v>184</v>
      </c>
      <c r="J24485" t="s">
        <v>30</v>
      </c>
      <c r="K24485" t="s">
        <v>57894</v>
      </c>
      <c r="M24485" t="s">
        <v>18479</v>
      </c>
      <c r="N24485" t="str">
        <f>"1/13/2025 2:27:00 PM"</f>
        <v>1/13/2025 2:27:00 PM</v>
      </c>
      <c r="O24485" t="s">
        <v>74003</v>
      </c>
    </row>
    <row r="24486" spans="1:20" x14ac:dyDescent="0.25">
      <c r="A24486" t="str">
        <f>"3047230"</f>
        <v>3047230</v>
      </c>
      <c r="B24486" t="s">
        <v>74004</v>
      </c>
      <c r="C24486" t="str">
        <f>"8320175"</f>
        <v>8320175</v>
      </c>
      <c r="D24486" t="s">
        <v>74005</v>
      </c>
      <c r="E24486" t="s">
        <v>74006</v>
      </c>
      <c r="F24486" t="s">
        <v>74007</v>
      </c>
      <c r="I24486" t="s">
        <v>29</v>
      </c>
      <c r="J24486" t="s">
        <v>30</v>
      </c>
      <c r="K24486" t="s">
        <v>74008</v>
      </c>
      <c r="M24486" t="s">
        <v>18479</v>
      </c>
      <c r="N24486" t="str">
        <f>"1/13/2025 2:31:00 PM"</f>
        <v>1/13/2025 2:31:00 PM</v>
      </c>
      <c r="O24486" t="s">
        <v>74005</v>
      </c>
      <c r="T24486" t="s">
        <v>74006</v>
      </c>
    </row>
    <row r="24487" spans="1:20" x14ac:dyDescent="0.25">
      <c r="A24487" t="str">
        <f>"3046686"</f>
        <v>3046686</v>
      </c>
      <c r="B24487" t="s">
        <v>74009</v>
      </c>
      <c r="C24487" t="str">
        <f>"82528671"</f>
        <v>82528671</v>
      </c>
      <c r="D24487" t="s">
        <v>74010</v>
      </c>
      <c r="E24487" t="s">
        <v>74011</v>
      </c>
      <c r="F24487" t="s">
        <v>74012</v>
      </c>
      <c r="I24487" t="s">
        <v>29</v>
      </c>
      <c r="J24487" t="s">
        <v>30</v>
      </c>
      <c r="K24487" t="s">
        <v>31</v>
      </c>
      <c r="M24487" t="s">
        <v>18470</v>
      </c>
      <c r="N24487" t="str">
        <f>"1/13/2025 3:08:00 PM"</f>
        <v>1/13/2025 3:08:00 PM</v>
      </c>
      <c r="O24487" t="s">
        <v>74010</v>
      </c>
      <c r="T24487" t="s">
        <v>74011</v>
      </c>
    </row>
    <row r="24488" spans="1:20" x14ac:dyDescent="0.25">
      <c r="A24488" t="str">
        <f>"3046480"</f>
        <v>3046480</v>
      </c>
      <c r="B24488" t="s">
        <v>74013</v>
      </c>
      <c r="C24488" t="str">
        <f>"82528671"</f>
        <v>82528671</v>
      </c>
      <c r="D24488" t="s">
        <v>74010</v>
      </c>
      <c r="E24488" t="s">
        <v>74011</v>
      </c>
      <c r="F24488" t="s">
        <v>74012</v>
      </c>
      <c r="I24488" t="s">
        <v>29</v>
      </c>
      <c r="J24488" t="s">
        <v>30</v>
      </c>
      <c r="K24488" t="s">
        <v>31</v>
      </c>
      <c r="M24488" t="s">
        <v>18470</v>
      </c>
      <c r="N24488" t="str">
        <f>"1/13/2025 3:08:00 PM"</f>
        <v>1/13/2025 3:08:00 PM</v>
      </c>
      <c r="O24488" t="s">
        <v>74010</v>
      </c>
      <c r="T24488" t="s">
        <v>74011</v>
      </c>
    </row>
    <row r="24489" spans="1:20" x14ac:dyDescent="0.25">
      <c r="A24489" t="str">
        <f>"3077987"</f>
        <v>3077987</v>
      </c>
      <c r="B24489" t="s">
        <v>74014</v>
      </c>
      <c r="C24489" t="str">
        <f>"82528671"</f>
        <v>82528671</v>
      </c>
      <c r="D24489" t="s">
        <v>74010</v>
      </c>
      <c r="E24489" t="s">
        <v>74011</v>
      </c>
      <c r="F24489" t="s">
        <v>74012</v>
      </c>
      <c r="I24489" t="s">
        <v>29</v>
      </c>
      <c r="J24489" t="s">
        <v>30</v>
      </c>
      <c r="K24489" t="s">
        <v>31</v>
      </c>
      <c r="M24489" t="s">
        <v>18470</v>
      </c>
      <c r="N24489" t="str">
        <f>"1/13/2025 3:08:00 PM"</f>
        <v>1/13/2025 3:08:00 PM</v>
      </c>
      <c r="O24489" t="s">
        <v>74010</v>
      </c>
      <c r="T24489" t="s">
        <v>74011</v>
      </c>
    </row>
    <row r="24490" spans="1:20" x14ac:dyDescent="0.25">
      <c r="A24490" t="str">
        <f>"3077981"</f>
        <v>3077981</v>
      </c>
      <c r="B24490" t="s">
        <v>74015</v>
      </c>
      <c r="C24490" t="str">
        <f>"82528671"</f>
        <v>82528671</v>
      </c>
      <c r="D24490" t="s">
        <v>74010</v>
      </c>
      <c r="E24490" t="s">
        <v>74011</v>
      </c>
      <c r="F24490" t="s">
        <v>74012</v>
      </c>
      <c r="I24490" t="s">
        <v>29</v>
      </c>
      <c r="J24490" t="s">
        <v>30</v>
      </c>
      <c r="K24490" t="s">
        <v>31</v>
      </c>
      <c r="M24490" t="s">
        <v>18470</v>
      </c>
      <c r="N24490" t="str">
        <f>"1/13/2025 3:08:00 PM"</f>
        <v>1/13/2025 3:08:00 PM</v>
      </c>
      <c r="O24490" t="s">
        <v>74010</v>
      </c>
      <c r="T24490" t="s">
        <v>74011</v>
      </c>
    </row>
    <row r="24491" spans="1:20" x14ac:dyDescent="0.25">
      <c r="A24491" t="str">
        <f>"3077982"</f>
        <v>3077982</v>
      </c>
      <c r="B24491" t="s">
        <v>74016</v>
      </c>
      <c r="C24491" t="str">
        <f>"82528671"</f>
        <v>82528671</v>
      </c>
      <c r="D24491" t="s">
        <v>74010</v>
      </c>
      <c r="E24491" t="s">
        <v>74011</v>
      </c>
      <c r="F24491" t="s">
        <v>74012</v>
      </c>
      <c r="I24491" t="s">
        <v>29</v>
      </c>
      <c r="J24491" t="s">
        <v>30</v>
      </c>
      <c r="K24491" t="s">
        <v>31</v>
      </c>
      <c r="M24491" t="s">
        <v>18470</v>
      </c>
      <c r="N24491" t="str">
        <f>"1/13/2025 3:08:00 PM"</f>
        <v>1/13/2025 3:08:00 PM</v>
      </c>
      <c r="O24491" t="s">
        <v>74010</v>
      </c>
      <c r="T24491" t="s">
        <v>74011</v>
      </c>
    </row>
    <row r="24492" spans="1:20" x14ac:dyDescent="0.25">
      <c r="A24492" t="str">
        <f>"3043903"</f>
        <v>3043903</v>
      </c>
      <c r="B24492" t="s">
        <v>74017</v>
      </c>
      <c r="C24492" t="str">
        <f>"8310388"</f>
        <v>8310388</v>
      </c>
      <c r="D24492" t="s">
        <v>74018</v>
      </c>
      <c r="E24492" t="s">
        <v>74019</v>
      </c>
      <c r="F24492" t="s">
        <v>74020</v>
      </c>
      <c r="I24492" t="s">
        <v>3196</v>
      </c>
      <c r="J24492" t="s">
        <v>30</v>
      </c>
      <c r="K24492" t="s">
        <v>74021</v>
      </c>
      <c r="M24492" t="s">
        <v>18479</v>
      </c>
      <c r="N24492" t="str">
        <f>"1/14/2025 1:37:00 PM"</f>
        <v>1/14/2025 1:37:00 PM</v>
      </c>
      <c r="O24492" t="s">
        <v>74018</v>
      </c>
      <c r="T24492" t="s">
        <v>74019</v>
      </c>
    </row>
    <row r="24493" spans="1:20" x14ac:dyDescent="0.25">
      <c r="A24493" t="str">
        <f>"3054690"</f>
        <v>3054690</v>
      </c>
      <c r="B24493" t="s">
        <v>74022</v>
      </c>
      <c r="C24493" t="str">
        <f>"82527589"</f>
        <v>82527589</v>
      </c>
      <c r="D24493" t="s">
        <v>74023</v>
      </c>
      <c r="E24493" t="s">
        <v>74024</v>
      </c>
      <c r="F24493" t="s">
        <v>74025</v>
      </c>
      <c r="I24493" t="s">
        <v>29</v>
      </c>
      <c r="J24493" t="s">
        <v>30</v>
      </c>
      <c r="K24493" t="s">
        <v>31</v>
      </c>
      <c r="M24493" t="s">
        <v>50793</v>
      </c>
      <c r="N24493" t="str">
        <f>"1/14/2025 2:37:00 PM"</f>
        <v>1/14/2025 2:37:00 PM</v>
      </c>
      <c r="O24493" t="s">
        <v>74023</v>
      </c>
      <c r="T24493" t="s">
        <v>74024</v>
      </c>
    </row>
    <row r="24494" spans="1:20" x14ac:dyDescent="0.25">
      <c r="A24494" t="str">
        <f>"3054175"</f>
        <v>3054175</v>
      </c>
      <c r="B24494" t="s">
        <v>74026</v>
      </c>
      <c r="C24494" t="str">
        <f>"82527589"</f>
        <v>82527589</v>
      </c>
      <c r="D24494" t="s">
        <v>74023</v>
      </c>
      <c r="E24494" t="s">
        <v>74024</v>
      </c>
      <c r="F24494" t="s">
        <v>74025</v>
      </c>
      <c r="I24494" t="s">
        <v>29</v>
      </c>
      <c r="J24494" t="s">
        <v>30</v>
      </c>
      <c r="K24494" t="s">
        <v>31</v>
      </c>
      <c r="M24494" t="s">
        <v>50793</v>
      </c>
      <c r="N24494" t="str">
        <f>"1/14/2025 2:37:00 PM"</f>
        <v>1/14/2025 2:37:00 PM</v>
      </c>
      <c r="O24494" t="s">
        <v>74023</v>
      </c>
      <c r="T24494" t="s">
        <v>74024</v>
      </c>
    </row>
    <row r="24495" spans="1:20" x14ac:dyDescent="0.25">
      <c r="A24495" t="str">
        <f>"3047301"</f>
        <v>3047301</v>
      </c>
      <c r="B24495" t="s">
        <v>74027</v>
      </c>
      <c r="C24495" t="str">
        <f>"8321025"</f>
        <v>8321025</v>
      </c>
      <c r="D24495" t="s">
        <v>74028</v>
      </c>
      <c r="F24495" t="s">
        <v>74029</v>
      </c>
      <c r="I24495" t="s">
        <v>184</v>
      </c>
      <c r="J24495" t="s">
        <v>30</v>
      </c>
      <c r="K24495" t="s">
        <v>8970</v>
      </c>
      <c r="M24495" t="s">
        <v>18479</v>
      </c>
      <c r="N24495" t="str">
        <f>"1/14/2025 3:48:00 PM"</f>
        <v>1/14/2025 3:48:00 PM</v>
      </c>
      <c r="O24495" t="s">
        <v>74028</v>
      </c>
    </row>
    <row r="24496" spans="1:20" x14ac:dyDescent="0.25">
      <c r="A24496" t="str">
        <f>"3075485"</f>
        <v>3075485</v>
      </c>
      <c r="B24496" t="s">
        <v>74030</v>
      </c>
      <c r="C24496" t="str">
        <f>"8321025"</f>
        <v>8321025</v>
      </c>
      <c r="D24496" t="s">
        <v>74028</v>
      </c>
      <c r="F24496" t="s">
        <v>74029</v>
      </c>
      <c r="I24496" t="s">
        <v>184</v>
      </c>
      <c r="J24496" t="s">
        <v>30</v>
      </c>
      <c r="K24496" t="s">
        <v>8970</v>
      </c>
      <c r="M24496" t="s">
        <v>18479</v>
      </c>
      <c r="N24496" t="str">
        <f>"1/14/2025 3:48:00 PM"</f>
        <v>1/14/2025 3:48:00 PM</v>
      </c>
      <c r="O24496" t="s">
        <v>74028</v>
      </c>
    </row>
    <row r="24497" spans="1:15" x14ac:dyDescent="0.25">
      <c r="A24497" t="str">
        <f>"3038588"</f>
        <v>3038588</v>
      </c>
      <c r="B24497" t="s">
        <v>74031</v>
      </c>
      <c r="C24497" t="str">
        <f>"82524075"</f>
        <v>82524075</v>
      </c>
      <c r="D24497" t="s">
        <v>74032</v>
      </c>
      <c r="F24497" t="s">
        <v>74033</v>
      </c>
      <c r="I24497" t="s">
        <v>29</v>
      </c>
      <c r="J24497" t="s">
        <v>30</v>
      </c>
      <c r="K24497" t="s">
        <v>31</v>
      </c>
      <c r="M24497" t="s">
        <v>50793</v>
      </c>
      <c r="N24497" t="str">
        <f>"1/15/2025 10:42:00 AM"</f>
        <v>1/15/2025 10:42:00 AM</v>
      </c>
      <c r="O24497" t="s">
        <v>74032</v>
      </c>
    </row>
    <row r="24498" spans="1:15" x14ac:dyDescent="0.25">
      <c r="A24498" t="str">
        <f>"3056908"</f>
        <v>3056908</v>
      </c>
      <c r="B24498" t="s">
        <v>74034</v>
      </c>
      <c r="C24498" t="str">
        <f t="shared" ref="C24498:C24529" si="379">"8311701"</f>
        <v>8311701</v>
      </c>
      <c r="D24498" t="s">
        <v>74035</v>
      </c>
      <c r="F24498" t="s">
        <v>74036</v>
      </c>
      <c r="I24498" t="s">
        <v>3196</v>
      </c>
      <c r="J24498" t="s">
        <v>30</v>
      </c>
      <c r="K24498" t="s">
        <v>74037</v>
      </c>
      <c r="M24498" t="s">
        <v>25733</v>
      </c>
      <c r="N24498" t="str">
        <f t="shared" ref="N24498:N24529" si="380">"1/16/2025 9:29:00 AM"</f>
        <v>1/16/2025 9:29:00 AM</v>
      </c>
      <c r="O24498" t="s">
        <v>74035</v>
      </c>
    </row>
    <row r="24499" spans="1:15" x14ac:dyDescent="0.25">
      <c r="A24499" t="str">
        <f>"3056827"</f>
        <v>3056827</v>
      </c>
      <c r="B24499" t="s">
        <v>74038</v>
      </c>
      <c r="C24499" t="str">
        <f t="shared" si="379"/>
        <v>8311701</v>
      </c>
      <c r="D24499" t="s">
        <v>74035</v>
      </c>
      <c r="F24499" t="s">
        <v>74036</v>
      </c>
      <c r="I24499" t="s">
        <v>3196</v>
      </c>
      <c r="J24499" t="s">
        <v>30</v>
      </c>
      <c r="K24499" t="s">
        <v>74037</v>
      </c>
      <c r="M24499" t="s">
        <v>25733</v>
      </c>
      <c r="N24499" t="str">
        <f t="shared" si="380"/>
        <v>1/16/2025 9:29:00 AM</v>
      </c>
      <c r="O24499" t="s">
        <v>74035</v>
      </c>
    </row>
    <row r="24500" spans="1:15" x14ac:dyDescent="0.25">
      <c r="A24500" t="str">
        <f>"3057025"</f>
        <v>3057025</v>
      </c>
      <c r="B24500" t="s">
        <v>74039</v>
      </c>
      <c r="C24500" t="str">
        <f t="shared" si="379"/>
        <v>8311701</v>
      </c>
      <c r="D24500" t="s">
        <v>74035</v>
      </c>
      <c r="F24500" t="s">
        <v>74036</v>
      </c>
      <c r="I24500" t="s">
        <v>3196</v>
      </c>
      <c r="J24500" t="s">
        <v>30</v>
      </c>
      <c r="K24500" t="s">
        <v>74037</v>
      </c>
      <c r="M24500" t="s">
        <v>25733</v>
      </c>
      <c r="N24500" t="str">
        <f t="shared" si="380"/>
        <v>1/16/2025 9:29:00 AM</v>
      </c>
      <c r="O24500" t="s">
        <v>74035</v>
      </c>
    </row>
    <row r="24501" spans="1:15" x14ac:dyDescent="0.25">
      <c r="A24501" t="str">
        <f>"3057009"</f>
        <v>3057009</v>
      </c>
      <c r="B24501" t="s">
        <v>74040</v>
      </c>
      <c r="C24501" t="str">
        <f t="shared" si="379"/>
        <v>8311701</v>
      </c>
      <c r="D24501" t="s">
        <v>74035</v>
      </c>
      <c r="F24501" t="s">
        <v>74036</v>
      </c>
      <c r="I24501" t="s">
        <v>3196</v>
      </c>
      <c r="J24501" t="s">
        <v>30</v>
      </c>
      <c r="K24501" t="s">
        <v>74037</v>
      </c>
      <c r="M24501" t="s">
        <v>25733</v>
      </c>
      <c r="N24501" t="str">
        <f t="shared" si="380"/>
        <v>1/16/2025 9:29:00 AM</v>
      </c>
      <c r="O24501" t="s">
        <v>74035</v>
      </c>
    </row>
    <row r="24502" spans="1:15" x14ac:dyDescent="0.25">
      <c r="A24502" t="str">
        <f>"3057041"</f>
        <v>3057041</v>
      </c>
      <c r="B24502" t="s">
        <v>74041</v>
      </c>
      <c r="C24502" t="str">
        <f t="shared" si="379"/>
        <v>8311701</v>
      </c>
      <c r="D24502" t="s">
        <v>74035</v>
      </c>
      <c r="F24502" t="s">
        <v>74036</v>
      </c>
      <c r="I24502" t="s">
        <v>3196</v>
      </c>
      <c r="J24502" t="s">
        <v>30</v>
      </c>
      <c r="K24502" t="s">
        <v>74037</v>
      </c>
      <c r="M24502" t="s">
        <v>25733</v>
      </c>
      <c r="N24502" t="str">
        <f t="shared" si="380"/>
        <v>1/16/2025 9:29:00 AM</v>
      </c>
      <c r="O24502" t="s">
        <v>74035</v>
      </c>
    </row>
    <row r="24503" spans="1:15" x14ac:dyDescent="0.25">
      <c r="A24503" t="str">
        <f>"3076226"</f>
        <v>3076226</v>
      </c>
      <c r="B24503" t="s">
        <v>74042</v>
      </c>
      <c r="C24503" t="str">
        <f t="shared" si="379"/>
        <v>8311701</v>
      </c>
      <c r="D24503" t="s">
        <v>74035</v>
      </c>
      <c r="F24503" t="s">
        <v>74036</v>
      </c>
      <c r="I24503" t="s">
        <v>3196</v>
      </c>
      <c r="J24503" t="s">
        <v>30</v>
      </c>
      <c r="K24503" t="s">
        <v>74037</v>
      </c>
      <c r="M24503" t="s">
        <v>25733</v>
      </c>
      <c r="N24503" t="str">
        <f t="shared" si="380"/>
        <v>1/16/2025 9:29:00 AM</v>
      </c>
      <c r="O24503" t="s">
        <v>74035</v>
      </c>
    </row>
    <row r="24504" spans="1:15" x14ac:dyDescent="0.25">
      <c r="A24504" t="str">
        <f>"3062545"</f>
        <v>3062545</v>
      </c>
      <c r="B24504" t="s">
        <v>74043</v>
      </c>
      <c r="C24504" t="str">
        <f t="shared" si="379"/>
        <v>8311701</v>
      </c>
      <c r="D24504" t="s">
        <v>74035</v>
      </c>
      <c r="F24504" t="s">
        <v>74036</v>
      </c>
      <c r="I24504" t="s">
        <v>3196</v>
      </c>
      <c r="J24504" t="s">
        <v>30</v>
      </c>
      <c r="K24504" t="s">
        <v>74037</v>
      </c>
      <c r="M24504" t="s">
        <v>25733</v>
      </c>
      <c r="N24504" t="str">
        <f t="shared" si="380"/>
        <v>1/16/2025 9:29:00 AM</v>
      </c>
      <c r="O24504" t="s">
        <v>74035</v>
      </c>
    </row>
    <row r="24505" spans="1:15" x14ac:dyDescent="0.25">
      <c r="A24505" t="str">
        <f>"3061962"</f>
        <v>3061962</v>
      </c>
      <c r="B24505" t="s">
        <v>74044</v>
      </c>
      <c r="C24505" t="str">
        <f t="shared" si="379"/>
        <v>8311701</v>
      </c>
      <c r="D24505" t="s">
        <v>74035</v>
      </c>
      <c r="F24505" t="s">
        <v>74036</v>
      </c>
      <c r="I24505" t="s">
        <v>3196</v>
      </c>
      <c r="J24505" t="s">
        <v>30</v>
      </c>
      <c r="K24505" t="s">
        <v>74037</v>
      </c>
      <c r="M24505" t="s">
        <v>25733</v>
      </c>
      <c r="N24505" t="str">
        <f t="shared" si="380"/>
        <v>1/16/2025 9:29:00 AM</v>
      </c>
      <c r="O24505" t="s">
        <v>74035</v>
      </c>
    </row>
    <row r="24506" spans="1:15" x14ac:dyDescent="0.25">
      <c r="A24506" t="str">
        <f>"3061964"</f>
        <v>3061964</v>
      </c>
      <c r="B24506" t="s">
        <v>74045</v>
      </c>
      <c r="C24506" t="str">
        <f t="shared" si="379"/>
        <v>8311701</v>
      </c>
      <c r="D24506" t="s">
        <v>74035</v>
      </c>
      <c r="F24506" t="s">
        <v>74036</v>
      </c>
      <c r="I24506" t="s">
        <v>3196</v>
      </c>
      <c r="J24506" t="s">
        <v>30</v>
      </c>
      <c r="K24506" t="s">
        <v>74037</v>
      </c>
      <c r="M24506" t="s">
        <v>25733</v>
      </c>
      <c r="N24506" t="str">
        <f t="shared" si="380"/>
        <v>1/16/2025 9:29:00 AM</v>
      </c>
      <c r="O24506" t="s">
        <v>74035</v>
      </c>
    </row>
    <row r="24507" spans="1:15" x14ac:dyDescent="0.25">
      <c r="A24507" t="str">
        <f>"3061158"</f>
        <v>3061158</v>
      </c>
      <c r="B24507" t="s">
        <v>74046</v>
      </c>
      <c r="C24507" t="str">
        <f t="shared" si="379"/>
        <v>8311701</v>
      </c>
      <c r="D24507" t="s">
        <v>74035</v>
      </c>
      <c r="F24507" t="s">
        <v>74036</v>
      </c>
      <c r="I24507" t="s">
        <v>3196</v>
      </c>
      <c r="J24507" t="s">
        <v>30</v>
      </c>
      <c r="K24507" t="s">
        <v>74037</v>
      </c>
      <c r="M24507" t="s">
        <v>25733</v>
      </c>
      <c r="N24507" t="str">
        <f t="shared" si="380"/>
        <v>1/16/2025 9:29:00 AM</v>
      </c>
      <c r="O24507" t="s">
        <v>74035</v>
      </c>
    </row>
    <row r="24508" spans="1:15" x14ac:dyDescent="0.25">
      <c r="A24508" t="str">
        <f>"3061107"</f>
        <v>3061107</v>
      </c>
      <c r="B24508" t="s">
        <v>74047</v>
      </c>
      <c r="C24508" t="str">
        <f t="shared" si="379"/>
        <v>8311701</v>
      </c>
      <c r="D24508" t="s">
        <v>74035</v>
      </c>
      <c r="F24508" t="s">
        <v>74036</v>
      </c>
      <c r="I24508" t="s">
        <v>3196</v>
      </c>
      <c r="J24508" t="s">
        <v>30</v>
      </c>
      <c r="K24508" t="s">
        <v>74037</v>
      </c>
      <c r="M24508" t="s">
        <v>25733</v>
      </c>
      <c r="N24508" t="str">
        <f t="shared" si="380"/>
        <v>1/16/2025 9:29:00 AM</v>
      </c>
      <c r="O24508" t="s">
        <v>74035</v>
      </c>
    </row>
    <row r="24509" spans="1:15" x14ac:dyDescent="0.25">
      <c r="A24509" t="str">
        <f>"3061078"</f>
        <v>3061078</v>
      </c>
      <c r="B24509" t="s">
        <v>74048</v>
      </c>
      <c r="C24509" t="str">
        <f t="shared" si="379"/>
        <v>8311701</v>
      </c>
      <c r="D24509" t="s">
        <v>74035</v>
      </c>
      <c r="F24509" t="s">
        <v>74036</v>
      </c>
      <c r="I24509" t="s">
        <v>3196</v>
      </c>
      <c r="J24509" t="s">
        <v>30</v>
      </c>
      <c r="K24509" t="s">
        <v>74037</v>
      </c>
      <c r="M24509" t="s">
        <v>25733</v>
      </c>
      <c r="N24509" t="str">
        <f t="shared" si="380"/>
        <v>1/16/2025 9:29:00 AM</v>
      </c>
      <c r="O24509" t="s">
        <v>74035</v>
      </c>
    </row>
    <row r="24510" spans="1:15" x14ac:dyDescent="0.25">
      <c r="A24510" t="str">
        <f>"3060988"</f>
        <v>3060988</v>
      </c>
      <c r="B24510" t="s">
        <v>74049</v>
      </c>
      <c r="C24510" t="str">
        <f t="shared" si="379"/>
        <v>8311701</v>
      </c>
      <c r="D24510" t="s">
        <v>74035</v>
      </c>
      <c r="F24510" t="s">
        <v>74036</v>
      </c>
      <c r="I24510" t="s">
        <v>3196</v>
      </c>
      <c r="J24510" t="s">
        <v>30</v>
      </c>
      <c r="K24510" t="s">
        <v>74037</v>
      </c>
      <c r="M24510" t="s">
        <v>25733</v>
      </c>
      <c r="N24510" t="str">
        <f t="shared" si="380"/>
        <v>1/16/2025 9:29:00 AM</v>
      </c>
      <c r="O24510" t="s">
        <v>74035</v>
      </c>
    </row>
    <row r="24511" spans="1:15" x14ac:dyDescent="0.25">
      <c r="A24511" t="str">
        <f>"3061010"</f>
        <v>3061010</v>
      </c>
      <c r="B24511" t="s">
        <v>74050</v>
      </c>
      <c r="C24511" t="str">
        <f t="shared" si="379"/>
        <v>8311701</v>
      </c>
      <c r="D24511" t="s">
        <v>74035</v>
      </c>
      <c r="F24511" t="s">
        <v>74036</v>
      </c>
      <c r="I24511" t="s">
        <v>3196</v>
      </c>
      <c r="J24511" t="s">
        <v>30</v>
      </c>
      <c r="K24511" t="s">
        <v>74037</v>
      </c>
      <c r="M24511" t="s">
        <v>25733</v>
      </c>
      <c r="N24511" t="str">
        <f t="shared" si="380"/>
        <v>1/16/2025 9:29:00 AM</v>
      </c>
      <c r="O24511" t="s">
        <v>74035</v>
      </c>
    </row>
    <row r="24512" spans="1:15" x14ac:dyDescent="0.25">
      <c r="A24512" t="str">
        <f>"3061025"</f>
        <v>3061025</v>
      </c>
      <c r="B24512" t="s">
        <v>74051</v>
      </c>
      <c r="C24512" t="str">
        <f t="shared" si="379"/>
        <v>8311701</v>
      </c>
      <c r="D24512" t="s">
        <v>74035</v>
      </c>
      <c r="F24512" t="s">
        <v>74036</v>
      </c>
      <c r="I24512" t="s">
        <v>3196</v>
      </c>
      <c r="J24512" t="s">
        <v>30</v>
      </c>
      <c r="K24512" t="s">
        <v>74037</v>
      </c>
      <c r="M24512" t="s">
        <v>25733</v>
      </c>
      <c r="N24512" t="str">
        <f t="shared" si="380"/>
        <v>1/16/2025 9:29:00 AM</v>
      </c>
      <c r="O24512" t="s">
        <v>74035</v>
      </c>
    </row>
    <row r="24513" spans="1:15" x14ac:dyDescent="0.25">
      <c r="A24513" t="str">
        <f>"3061012"</f>
        <v>3061012</v>
      </c>
      <c r="B24513" t="s">
        <v>74052</v>
      </c>
      <c r="C24513" t="str">
        <f t="shared" si="379"/>
        <v>8311701</v>
      </c>
      <c r="D24513" t="s">
        <v>74035</v>
      </c>
      <c r="F24513" t="s">
        <v>74036</v>
      </c>
      <c r="I24513" t="s">
        <v>3196</v>
      </c>
      <c r="J24513" t="s">
        <v>30</v>
      </c>
      <c r="K24513" t="s">
        <v>74037</v>
      </c>
      <c r="M24513" t="s">
        <v>25733</v>
      </c>
      <c r="N24513" t="str">
        <f t="shared" si="380"/>
        <v>1/16/2025 9:29:00 AM</v>
      </c>
      <c r="O24513" t="s">
        <v>74035</v>
      </c>
    </row>
    <row r="24514" spans="1:15" x14ac:dyDescent="0.25">
      <c r="A24514" t="str">
        <f>"3061013"</f>
        <v>3061013</v>
      </c>
      <c r="B24514" t="s">
        <v>74053</v>
      </c>
      <c r="C24514" t="str">
        <f t="shared" si="379"/>
        <v>8311701</v>
      </c>
      <c r="D24514" t="s">
        <v>74035</v>
      </c>
      <c r="F24514" t="s">
        <v>74036</v>
      </c>
      <c r="I24514" t="s">
        <v>3196</v>
      </c>
      <c r="J24514" t="s">
        <v>30</v>
      </c>
      <c r="K24514" t="s">
        <v>74037</v>
      </c>
      <c r="M24514" t="s">
        <v>25733</v>
      </c>
      <c r="N24514" t="str">
        <f t="shared" si="380"/>
        <v>1/16/2025 9:29:00 AM</v>
      </c>
      <c r="O24514" t="s">
        <v>74035</v>
      </c>
    </row>
    <row r="24515" spans="1:15" x14ac:dyDescent="0.25">
      <c r="A24515" t="str">
        <f>"3061014"</f>
        <v>3061014</v>
      </c>
      <c r="B24515" t="s">
        <v>74054</v>
      </c>
      <c r="C24515" t="str">
        <f t="shared" si="379"/>
        <v>8311701</v>
      </c>
      <c r="D24515" t="s">
        <v>74035</v>
      </c>
      <c r="F24515" t="s">
        <v>74036</v>
      </c>
      <c r="I24515" t="s">
        <v>3196</v>
      </c>
      <c r="J24515" t="s">
        <v>30</v>
      </c>
      <c r="K24515" t="s">
        <v>74037</v>
      </c>
      <c r="M24515" t="s">
        <v>25733</v>
      </c>
      <c r="N24515" t="str">
        <f t="shared" si="380"/>
        <v>1/16/2025 9:29:00 AM</v>
      </c>
      <c r="O24515" t="s">
        <v>74035</v>
      </c>
    </row>
    <row r="24516" spans="1:15" x14ac:dyDescent="0.25">
      <c r="A24516" t="str">
        <f>"3061015"</f>
        <v>3061015</v>
      </c>
      <c r="B24516" t="s">
        <v>74055</v>
      </c>
      <c r="C24516" t="str">
        <f t="shared" si="379"/>
        <v>8311701</v>
      </c>
      <c r="D24516" t="s">
        <v>74035</v>
      </c>
      <c r="F24516" t="s">
        <v>74036</v>
      </c>
      <c r="I24516" t="s">
        <v>3196</v>
      </c>
      <c r="J24516" t="s">
        <v>30</v>
      </c>
      <c r="K24516" t="s">
        <v>74037</v>
      </c>
      <c r="M24516" t="s">
        <v>25733</v>
      </c>
      <c r="N24516" t="str">
        <f t="shared" si="380"/>
        <v>1/16/2025 9:29:00 AM</v>
      </c>
      <c r="O24516" t="s">
        <v>74035</v>
      </c>
    </row>
    <row r="24517" spans="1:15" x14ac:dyDescent="0.25">
      <c r="A24517" t="str">
        <f>"3061016"</f>
        <v>3061016</v>
      </c>
      <c r="B24517" t="s">
        <v>74056</v>
      </c>
      <c r="C24517" t="str">
        <f t="shared" si="379"/>
        <v>8311701</v>
      </c>
      <c r="D24517" t="s">
        <v>74035</v>
      </c>
      <c r="F24517" t="s">
        <v>74036</v>
      </c>
      <c r="I24517" t="s">
        <v>3196</v>
      </c>
      <c r="J24517" t="s">
        <v>30</v>
      </c>
      <c r="K24517" t="s">
        <v>74037</v>
      </c>
      <c r="M24517" t="s">
        <v>25733</v>
      </c>
      <c r="N24517" t="str">
        <f t="shared" si="380"/>
        <v>1/16/2025 9:29:00 AM</v>
      </c>
      <c r="O24517" t="s">
        <v>74035</v>
      </c>
    </row>
    <row r="24518" spans="1:15" x14ac:dyDescent="0.25">
      <c r="A24518" t="str">
        <f>"3061017"</f>
        <v>3061017</v>
      </c>
      <c r="B24518" t="s">
        <v>74057</v>
      </c>
      <c r="C24518" t="str">
        <f t="shared" si="379"/>
        <v>8311701</v>
      </c>
      <c r="D24518" t="s">
        <v>74035</v>
      </c>
      <c r="F24518" t="s">
        <v>74036</v>
      </c>
      <c r="I24518" t="s">
        <v>3196</v>
      </c>
      <c r="J24518" t="s">
        <v>30</v>
      </c>
      <c r="K24518" t="s">
        <v>74037</v>
      </c>
      <c r="M24518" t="s">
        <v>25733</v>
      </c>
      <c r="N24518" t="str">
        <f t="shared" si="380"/>
        <v>1/16/2025 9:29:00 AM</v>
      </c>
      <c r="O24518" t="s">
        <v>74035</v>
      </c>
    </row>
    <row r="24519" spans="1:15" x14ac:dyDescent="0.25">
      <c r="A24519" t="str">
        <f>"3061018"</f>
        <v>3061018</v>
      </c>
      <c r="B24519" t="s">
        <v>74058</v>
      </c>
      <c r="C24519" t="str">
        <f t="shared" si="379"/>
        <v>8311701</v>
      </c>
      <c r="D24519" t="s">
        <v>74035</v>
      </c>
      <c r="F24519" t="s">
        <v>74036</v>
      </c>
      <c r="I24519" t="s">
        <v>3196</v>
      </c>
      <c r="J24519" t="s">
        <v>30</v>
      </c>
      <c r="K24519" t="s">
        <v>74037</v>
      </c>
      <c r="M24519" t="s">
        <v>25733</v>
      </c>
      <c r="N24519" t="str">
        <f t="shared" si="380"/>
        <v>1/16/2025 9:29:00 AM</v>
      </c>
      <c r="O24519" t="s">
        <v>74035</v>
      </c>
    </row>
    <row r="24520" spans="1:15" x14ac:dyDescent="0.25">
      <c r="A24520" t="str">
        <f>"3061006"</f>
        <v>3061006</v>
      </c>
      <c r="B24520" t="s">
        <v>74059</v>
      </c>
      <c r="C24520" t="str">
        <f t="shared" si="379"/>
        <v>8311701</v>
      </c>
      <c r="D24520" t="s">
        <v>74035</v>
      </c>
      <c r="F24520" t="s">
        <v>74036</v>
      </c>
      <c r="I24520" t="s">
        <v>3196</v>
      </c>
      <c r="J24520" t="s">
        <v>30</v>
      </c>
      <c r="K24520" t="s">
        <v>74037</v>
      </c>
      <c r="M24520" t="s">
        <v>25733</v>
      </c>
      <c r="N24520" t="str">
        <f t="shared" si="380"/>
        <v>1/16/2025 9:29:00 AM</v>
      </c>
      <c r="O24520" t="s">
        <v>74035</v>
      </c>
    </row>
    <row r="24521" spans="1:15" x14ac:dyDescent="0.25">
      <c r="A24521" t="str">
        <f>"3061007"</f>
        <v>3061007</v>
      </c>
      <c r="B24521" t="s">
        <v>74060</v>
      </c>
      <c r="C24521" t="str">
        <f t="shared" si="379"/>
        <v>8311701</v>
      </c>
      <c r="D24521" t="s">
        <v>74035</v>
      </c>
      <c r="F24521" t="s">
        <v>74036</v>
      </c>
      <c r="I24521" t="s">
        <v>3196</v>
      </c>
      <c r="J24521" t="s">
        <v>30</v>
      </c>
      <c r="K24521" t="s">
        <v>74037</v>
      </c>
      <c r="M24521" t="s">
        <v>25733</v>
      </c>
      <c r="N24521" t="str">
        <f t="shared" si="380"/>
        <v>1/16/2025 9:29:00 AM</v>
      </c>
      <c r="O24521" t="s">
        <v>74035</v>
      </c>
    </row>
    <row r="24522" spans="1:15" x14ac:dyDescent="0.25">
      <c r="A24522" t="str">
        <f>"3061022"</f>
        <v>3061022</v>
      </c>
      <c r="B24522" t="s">
        <v>74061</v>
      </c>
      <c r="C24522" t="str">
        <f t="shared" si="379"/>
        <v>8311701</v>
      </c>
      <c r="D24522" t="s">
        <v>74035</v>
      </c>
      <c r="F24522" t="s">
        <v>74036</v>
      </c>
      <c r="I24522" t="s">
        <v>3196</v>
      </c>
      <c r="J24522" t="s">
        <v>30</v>
      </c>
      <c r="K24522" t="s">
        <v>74037</v>
      </c>
      <c r="M24522" t="s">
        <v>25733</v>
      </c>
      <c r="N24522" t="str">
        <f t="shared" si="380"/>
        <v>1/16/2025 9:29:00 AM</v>
      </c>
      <c r="O24522" t="s">
        <v>74035</v>
      </c>
    </row>
    <row r="24523" spans="1:15" x14ac:dyDescent="0.25">
      <c r="A24523" t="str">
        <f>"3061023"</f>
        <v>3061023</v>
      </c>
      <c r="B24523" t="s">
        <v>74062</v>
      </c>
      <c r="C24523" t="str">
        <f t="shared" si="379"/>
        <v>8311701</v>
      </c>
      <c r="D24523" t="s">
        <v>74035</v>
      </c>
      <c r="F24523" t="s">
        <v>74036</v>
      </c>
      <c r="I24523" t="s">
        <v>3196</v>
      </c>
      <c r="J24523" t="s">
        <v>30</v>
      </c>
      <c r="K24523" t="s">
        <v>74037</v>
      </c>
      <c r="M24523" t="s">
        <v>25733</v>
      </c>
      <c r="N24523" t="str">
        <f t="shared" si="380"/>
        <v>1/16/2025 9:29:00 AM</v>
      </c>
      <c r="O24523" t="s">
        <v>74035</v>
      </c>
    </row>
    <row r="24524" spans="1:15" x14ac:dyDescent="0.25">
      <c r="A24524" t="str">
        <f>"3061024"</f>
        <v>3061024</v>
      </c>
      <c r="B24524" t="s">
        <v>74063</v>
      </c>
      <c r="C24524" t="str">
        <f t="shared" si="379"/>
        <v>8311701</v>
      </c>
      <c r="D24524" t="s">
        <v>74035</v>
      </c>
      <c r="F24524" t="s">
        <v>74036</v>
      </c>
      <c r="I24524" t="s">
        <v>3196</v>
      </c>
      <c r="J24524" t="s">
        <v>30</v>
      </c>
      <c r="K24524" t="s">
        <v>74037</v>
      </c>
      <c r="M24524" t="s">
        <v>25733</v>
      </c>
      <c r="N24524" t="str">
        <f t="shared" si="380"/>
        <v>1/16/2025 9:29:00 AM</v>
      </c>
      <c r="O24524" t="s">
        <v>74035</v>
      </c>
    </row>
    <row r="24525" spans="1:15" x14ac:dyDescent="0.25">
      <c r="A24525" t="str">
        <f>"3061026"</f>
        <v>3061026</v>
      </c>
      <c r="B24525" t="s">
        <v>74064</v>
      </c>
      <c r="C24525" t="str">
        <f t="shared" si="379"/>
        <v>8311701</v>
      </c>
      <c r="D24525" t="s">
        <v>74035</v>
      </c>
      <c r="F24525" t="s">
        <v>74036</v>
      </c>
      <c r="I24525" t="s">
        <v>3196</v>
      </c>
      <c r="J24525" t="s">
        <v>30</v>
      </c>
      <c r="K24525" t="s">
        <v>74037</v>
      </c>
      <c r="M24525" t="s">
        <v>25733</v>
      </c>
      <c r="N24525" t="str">
        <f t="shared" si="380"/>
        <v>1/16/2025 9:29:00 AM</v>
      </c>
      <c r="O24525" t="s">
        <v>74035</v>
      </c>
    </row>
    <row r="24526" spans="1:15" x14ac:dyDescent="0.25">
      <c r="A24526" t="str">
        <f>"3061027"</f>
        <v>3061027</v>
      </c>
      <c r="B24526" t="s">
        <v>74065</v>
      </c>
      <c r="C24526" t="str">
        <f t="shared" si="379"/>
        <v>8311701</v>
      </c>
      <c r="D24526" t="s">
        <v>74035</v>
      </c>
      <c r="F24526" t="s">
        <v>74036</v>
      </c>
      <c r="I24526" t="s">
        <v>3196</v>
      </c>
      <c r="J24526" t="s">
        <v>30</v>
      </c>
      <c r="K24526" t="s">
        <v>74037</v>
      </c>
      <c r="M24526" t="s">
        <v>25733</v>
      </c>
      <c r="N24526" t="str">
        <f t="shared" si="380"/>
        <v>1/16/2025 9:29:00 AM</v>
      </c>
      <c r="O24526" t="s">
        <v>74035</v>
      </c>
    </row>
    <row r="24527" spans="1:15" x14ac:dyDescent="0.25">
      <c r="A24527" t="str">
        <f>"3061028"</f>
        <v>3061028</v>
      </c>
      <c r="B24527" t="s">
        <v>74066</v>
      </c>
      <c r="C24527" t="str">
        <f t="shared" si="379"/>
        <v>8311701</v>
      </c>
      <c r="D24527" t="s">
        <v>74035</v>
      </c>
      <c r="F24527" t="s">
        <v>74036</v>
      </c>
      <c r="I24527" t="s">
        <v>3196</v>
      </c>
      <c r="J24527" t="s">
        <v>30</v>
      </c>
      <c r="K24527" t="s">
        <v>74037</v>
      </c>
      <c r="M24527" t="s">
        <v>25733</v>
      </c>
      <c r="N24527" t="str">
        <f t="shared" si="380"/>
        <v>1/16/2025 9:29:00 AM</v>
      </c>
      <c r="O24527" t="s">
        <v>74035</v>
      </c>
    </row>
    <row r="24528" spans="1:15" x14ac:dyDescent="0.25">
      <c r="A24528" t="str">
        <f>"3061029"</f>
        <v>3061029</v>
      </c>
      <c r="B24528" t="s">
        <v>74067</v>
      </c>
      <c r="C24528" t="str">
        <f t="shared" si="379"/>
        <v>8311701</v>
      </c>
      <c r="D24528" t="s">
        <v>74035</v>
      </c>
      <c r="F24528" t="s">
        <v>74036</v>
      </c>
      <c r="I24528" t="s">
        <v>3196</v>
      </c>
      <c r="J24528" t="s">
        <v>30</v>
      </c>
      <c r="K24528" t="s">
        <v>74037</v>
      </c>
      <c r="M24528" t="s">
        <v>25733</v>
      </c>
      <c r="N24528" t="str">
        <f t="shared" si="380"/>
        <v>1/16/2025 9:29:00 AM</v>
      </c>
      <c r="O24528" t="s">
        <v>74035</v>
      </c>
    </row>
    <row r="24529" spans="1:15" x14ac:dyDescent="0.25">
      <c r="A24529" t="str">
        <f>"3061030"</f>
        <v>3061030</v>
      </c>
      <c r="B24529" t="s">
        <v>74068</v>
      </c>
      <c r="C24529" t="str">
        <f t="shared" si="379"/>
        <v>8311701</v>
      </c>
      <c r="D24529" t="s">
        <v>74035</v>
      </c>
      <c r="F24529" t="s">
        <v>74036</v>
      </c>
      <c r="I24529" t="s">
        <v>3196</v>
      </c>
      <c r="J24529" t="s">
        <v>30</v>
      </c>
      <c r="K24529" t="s">
        <v>74037</v>
      </c>
      <c r="M24529" t="s">
        <v>25733</v>
      </c>
      <c r="N24529" t="str">
        <f t="shared" si="380"/>
        <v>1/16/2025 9:29:00 AM</v>
      </c>
      <c r="O24529" t="s">
        <v>74035</v>
      </c>
    </row>
    <row r="24530" spans="1:15" x14ac:dyDescent="0.25">
      <c r="A24530" t="str">
        <f>"3061031"</f>
        <v>3061031</v>
      </c>
      <c r="B24530" t="s">
        <v>74069</v>
      </c>
      <c r="C24530" t="str">
        <f t="shared" ref="C24530:C24548" si="381">"8311701"</f>
        <v>8311701</v>
      </c>
      <c r="D24530" t="s">
        <v>74035</v>
      </c>
      <c r="F24530" t="s">
        <v>74036</v>
      </c>
      <c r="I24530" t="s">
        <v>3196</v>
      </c>
      <c r="J24530" t="s">
        <v>30</v>
      </c>
      <c r="K24530" t="s">
        <v>74037</v>
      </c>
      <c r="M24530" t="s">
        <v>25733</v>
      </c>
      <c r="N24530" t="str">
        <f t="shared" ref="N24530:N24548" si="382">"1/16/2025 9:29:00 AM"</f>
        <v>1/16/2025 9:29:00 AM</v>
      </c>
      <c r="O24530" t="s">
        <v>74035</v>
      </c>
    </row>
    <row r="24531" spans="1:15" x14ac:dyDescent="0.25">
      <c r="A24531" t="str">
        <f>"3061054"</f>
        <v>3061054</v>
      </c>
      <c r="B24531" t="s">
        <v>74070</v>
      </c>
      <c r="C24531" t="str">
        <f t="shared" si="381"/>
        <v>8311701</v>
      </c>
      <c r="D24531" t="s">
        <v>74035</v>
      </c>
      <c r="F24531" t="s">
        <v>74036</v>
      </c>
      <c r="I24531" t="s">
        <v>3196</v>
      </c>
      <c r="J24531" t="s">
        <v>30</v>
      </c>
      <c r="K24531" t="s">
        <v>74037</v>
      </c>
      <c r="M24531" t="s">
        <v>25733</v>
      </c>
      <c r="N24531" t="str">
        <f t="shared" si="382"/>
        <v>1/16/2025 9:29:00 AM</v>
      </c>
      <c r="O24531" t="s">
        <v>74035</v>
      </c>
    </row>
    <row r="24532" spans="1:15" x14ac:dyDescent="0.25">
      <c r="A24532" t="str">
        <f>"3061037"</f>
        <v>3061037</v>
      </c>
      <c r="B24532" t="s">
        <v>74071</v>
      </c>
      <c r="C24532" t="str">
        <f t="shared" si="381"/>
        <v>8311701</v>
      </c>
      <c r="D24532" t="s">
        <v>74035</v>
      </c>
      <c r="F24532" t="s">
        <v>74036</v>
      </c>
      <c r="I24532" t="s">
        <v>3196</v>
      </c>
      <c r="J24532" t="s">
        <v>30</v>
      </c>
      <c r="K24532" t="s">
        <v>74037</v>
      </c>
      <c r="M24532" t="s">
        <v>25733</v>
      </c>
      <c r="N24532" t="str">
        <f t="shared" si="382"/>
        <v>1/16/2025 9:29:00 AM</v>
      </c>
      <c r="O24532" t="s">
        <v>74035</v>
      </c>
    </row>
    <row r="24533" spans="1:15" x14ac:dyDescent="0.25">
      <c r="A24533" t="str">
        <f>"3061038"</f>
        <v>3061038</v>
      </c>
      <c r="B24533" t="s">
        <v>74072</v>
      </c>
      <c r="C24533" t="str">
        <f t="shared" si="381"/>
        <v>8311701</v>
      </c>
      <c r="D24533" t="s">
        <v>74035</v>
      </c>
      <c r="F24533" t="s">
        <v>74036</v>
      </c>
      <c r="I24533" t="s">
        <v>3196</v>
      </c>
      <c r="J24533" t="s">
        <v>30</v>
      </c>
      <c r="K24533" t="s">
        <v>74037</v>
      </c>
      <c r="M24533" t="s">
        <v>25733</v>
      </c>
      <c r="N24533" t="str">
        <f t="shared" si="382"/>
        <v>1/16/2025 9:29:00 AM</v>
      </c>
      <c r="O24533" t="s">
        <v>74035</v>
      </c>
    </row>
    <row r="24534" spans="1:15" x14ac:dyDescent="0.25">
      <c r="A24534" t="str">
        <f>"3060963"</f>
        <v>3060963</v>
      </c>
      <c r="B24534" t="s">
        <v>74073</v>
      </c>
      <c r="C24534" t="str">
        <f t="shared" si="381"/>
        <v>8311701</v>
      </c>
      <c r="D24534" t="s">
        <v>74035</v>
      </c>
      <c r="F24534" t="s">
        <v>74036</v>
      </c>
      <c r="I24534" t="s">
        <v>3196</v>
      </c>
      <c r="J24534" t="s">
        <v>30</v>
      </c>
      <c r="K24534" t="s">
        <v>74037</v>
      </c>
      <c r="M24534" t="s">
        <v>25733</v>
      </c>
      <c r="N24534" t="str">
        <f t="shared" si="382"/>
        <v>1/16/2025 9:29:00 AM</v>
      </c>
      <c r="O24534" t="s">
        <v>74035</v>
      </c>
    </row>
    <row r="24535" spans="1:15" x14ac:dyDescent="0.25">
      <c r="A24535" t="str">
        <f>"3060965"</f>
        <v>3060965</v>
      </c>
      <c r="B24535" t="s">
        <v>74074</v>
      </c>
      <c r="C24535" t="str">
        <f t="shared" si="381"/>
        <v>8311701</v>
      </c>
      <c r="D24535" t="s">
        <v>74035</v>
      </c>
      <c r="F24535" t="s">
        <v>74036</v>
      </c>
      <c r="I24535" t="s">
        <v>3196</v>
      </c>
      <c r="J24535" t="s">
        <v>30</v>
      </c>
      <c r="K24535" t="s">
        <v>74037</v>
      </c>
      <c r="M24535" t="s">
        <v>25733</v>
      </c>
      <c r="N24535" t="str">
        <f t="shared" si="382"/>
        <v>1/16/2025 9:29:00 AM</v>
      </c>
      <c r="O24535" t="s">
        <v>74035</v>
      </c>
    </row>
    <row r="24536" spans="1:15" x14ac:dyDescent="0.25">
      <c r="A24536" t="str">
        <f>"3060969"</f>
        <v>3060969</v>
      </c>
      <c r="B24536" t="s">
        <v>74075</v>
      </c>
      <c r="C24536" t="str">
        <f t="shared" si="381"/>
        <v>8311701</v>
      </c>
      <c r="D24536" t="s">
        <v>74035</v>
      </c>
      <c r="F24536" t="s">
        <v>74036</v>
      </c>
      <c r="I24536" t="s">
        <v>3196</v>
      </c>
      <c r="J24536" t="s">
        <v>30</v>
      </c>
      <c r="K24536" t="s">
        <v>74037</v>
      </c>
      <c r="M24536" t="s">
        <v>25733</v>
      </c>
      <c r="N24536" t="str">
        <f t="shared" si="382"/>
        <v>1/16/2025 9:29:00 AM</v>
      </c>
      <c r="O24536" t="s">
        <v>74035</v>
      </c>
    </row>
    <row r="24537" spans="1:15" x14ac:dyDescent="0.25">
      <c r="A24537" t="str">
        <f>"3060980"</f>
        <v>3060980</v>
      </c>
      <c r="B24537" t="s">
        <v>74076</v>
      </c>
      <c r="C24537" t="str">
        <f t="shared" si="381"/>
        <v>8311701</v>
      </c>
      <c r="D24537" t="s">
        <v>74035</v>
      </c>
      <c r="F24537" t="s">
        <v>74036</v>
      </c>
      <c r="I24537" t="s">
        <v>3196</v>
      </c>
      <c r="J24537" t="s">
        <v>30</v>
      </c>
      <c r="K24537" t="s">
        <v>74037</v>
      </c>
      <c r="M24537" t="s">
        <v>25733</v>
      </c>
      <c r="N24537" t="str">
        <f t="shared" si="382"/>
        <v>1/16/2025 9:29:00 AM</v>
      </c>
      <c r="O24537" t="s">
        <v>74035</v>
      </c>
    </row>
    <row r="24538" spans="1:15" x14ac:dyDescent="0.25">
      <c r="A24538" t="str">
        <f>"3060978"</f>
        <v>3060978</v>
      </c>
      <c r="B24538" t="s">
        <v>74077</v>
      </c>
      <c r="C24538" t="str">
        <f t="shared" si="381"/>
        <v>8311701</v>
      </c>
      <c r="D24538" t="s">
        <v>74035</v>
      </c>
      <c r="F24538" t="s">
        <v>74036</v>
      </c>
      <c r="I24538" t="s">
        <v>3196</v>
      </c>
      <c r="J24538" t="s">
        <v>30</v>
      </c>
      <c r="K24538" t="s">
        <v>74037</v>
      </c>
      <c r="M24538" t="s">
        <v>25733</v>
      </c>
      <c r="N24538" t="str">
        <f t="shared" si="382"/>
        <v>1/16/2025 9:29:00 AM</v>
      </c>
      <c r="O24538" t="s">
        <v>74035</v>
      </c>
    </row>
    <row r="24539" spans="1:15" x14ac:dyDescent="0.25">
      <c r="A24539" t="str">
        <f>"3060984"</f>
        <v>3060984</v>
      </c>
      <c r="B24539" t="s">
        <v>74078</v>
      </c>
      <c r="C24539" t="str">
        <f t="shared" si="381"/>
        <v>8311701</v>
      </c>
      <c r="D24539" t="s">
        <v>74035</v>
      </c>
      <c r="F24539" t="s">
        <v>74036</v>
      </c>
      <c r="I24539" t="s">
        <v>3196</v>
      </c>
      <c r="J24539" t="s">
        <v>30</v>
      </c>
      <c r="K24539" t="s">
        <v>74037</v>
      </c>
      <c r="M24539" t="s">
        <v>25733</v>
      </c>
      <c r="N24539" t="str">
        <f t="shared" si="382"/>
        <v>1/16/2025 9:29:00 AM</v>
      </c>
      <c r="O24539" t="s">
        <v>74035</v>
      </c>
    </row>
    <row r="24540" spans="1:15" x14ac:dyDescent="0.25">
      <c r="A24540" t="str">
        <f>"3060986"</f>
        <v>3060986</v>
      </c>
      <c r="B24540" t="s">
        <v>74079</v>
      </c>
      <c r="C24540" t="str">
        <f t="shared" si="381"/>
        <v>8311701</v>
      </c>
      <c r="D24540" t="s">
        <v>74035</v>
      </c>
      <c r="F24540" t="s">
        <v>74036</v>
      </c>
      <c r="I24540" t="s">
        <v>3196</v>
      </c>
      <c r="J24540" t="s">
        <v>30</v>
      </c>
      <c r="K24540" t="s">
        <v>74037</v>
      </c>
      <c r="M24540" t="s">
        <v>25733</v>
      </c>
      <c r="N24540" t="str">
        <f t="shared" si="382"/>
        <v>1/16/2025 9:29:00 AM</v>
      </c>
      <c r="O24540" t="s">
        <v>74035</v>
      </c>
    </row>
    <row r="24541" spans="1:15" x14ac:dyDescent="0.25">
      <c r="A24541" t="str">
        <f>"3060948"</f>
        <v>3060948</v>
      </c>
      <c r="B24541" t="s">
        <v>74080</v>
      </c>
      <c r="C24541" t="str">
        <f t="shared" si="381"/>
        <v>8311701</v>
      </c>
      <c r="D24541" t="s">
        <v>74035</v>
      </c>
      <c r="F24541" t="s">
        <v>74036</v>
      </c>
      <c r="I24541" t="s">
        <v>3196</v>
      </c>
      <c r="J24541" t="s">
        <v>30</v>
      </c>
      <c r="K24541" t="s">
        <v>74037</v>
      </c>
      <c r="M24541" t="s">
        <v>25733</v>
      </c>
      <c r="N24541" t="str">
        <f t="shared" si="382"/>
        <v>1/16/2025 9:29:00 AM</v>
      </c>
      <c r="O24541" t="s">
        <v>74035</v>
      </c>
    </row>
    <row r="24542" spans="1:15" x14ac:dyDescent="0.25">
      <c r="A24542" t="str">
        <f>"3060912"</f>
        <v>3060912</v>
      </c>
      <c r="B24542" t="s">
        <v>74081</v>
      </c>
      <c r="C24542" t="str">
        <f t="shared" si="381"/>
        <v>8311701</v>
      </c>
      <c r="D24542" t="s">
        <v>74035</v>
      </c>
      <c r="F24542" t="s">
        <v>74036</v>
      </c>
      <c r="I24542" t="s">
        <v>3196</v>
      </c>
      <c r="J24542" t="s">
        <v>30</v>
      </c>
      <c r="K24542" t="s">
        <v>74037</v>
      </c>
      <c r="M24542" t="s">
        <v>25733</v>
      </c>
      <c r="N24542" t="str">
        <f t="shared" si="382"/>
        <v>1/16/2025 9:29:00 AM</v>
      </c>
      <c r="O24542" t="s">
        <v>74035</v>
      </c>
    </row>
    <row r="24543" spans="1:15" x14ac:dyDescent="0.25">
      <c r="A24543" t="str">
        <f>"3060925"</f>
        <v>3060925</v>
      </c>
      <c r="B24543" t="s">
        <v>74082</v>
      </c>
      <c r="C24543" t="str">
        <f t="shared" si="381"/>
        <v>8311701</v>
      </c>
      <c r="D24543" t="s">
        <v>74035</v>
      </c>
      <c r="F24543" t="s">
        <v>74036</v>
      </c>
      <c r="I24543" t="s">
        <v>3196</v>
      </c>
      <c r="J24543" t="s">
        <v>30</v>
      </c>
      <c r="K24543" t="s">
        <v>74037</v>
      </c>
      <c r="M24543" t="s">
        <v>25733</v>
      </c>
      <c r="N24543" t="str">
        <f t="shared" si="382"/>
        <v>1/16/2025 9:29:00 AM</v>
      </c>
      <c r="O24543" t="s">
        <v>74035</v>
      </c>
    </row>
    <row r="24544" spans="1:15" x14ac:dyDescent="0.25">
      <c r="A24544" t="str">
        <f>"3058374"</f>
        <v>3058374</v>
      </c>
      <c r="B24544" t="s">
        <v>74083</v>
      </c>
      <c r="C24544" t="str">
        <f t="shared" si="381"/>
        <v>8311701</v>
      </c>
      <c r="D24544" t="s">
        <v>74035</v>
      </c>
      <c r="F24544" t="s">
        <v>74036</v>
      </c>
      <c r="I24544" t="s">
        <v>3196</v>
      </c>
      <c r="J24544" t="s">
        <v>30</v>
      </c>
      <c r="K24544" t="s">
        <v>74037</v>
      </c>
      <c r="M24544" t="s">
        <v>25733</v>
      </c>
      <c r="N24544" t="str">
        <f t="shared" si="382"/>
        <v>1/16/2025 9:29:00 AM</v>
      </c>
      <c r="O24544" t="s">
        <v>74035</v>
      </c>
    </row>
    <row r="24545" spans="1:20" x14ac:dyDescent="0.25">
      <c r="A24545" t="str">
        <f>"3058370"</f>
        <v>3058370</v>
      </c>
      <c r="B24545" t="s">
        <v>74084</v>
      </c>
      <c r="C24545" t="str">
        <f t="shared" si="381"/>
        <v>8311701</v>
      </c>
      <c r="D24545" t="s">
        <v>74035</v>
      </c>
      <c r="F24545" t="s">
        <v>74036</v>
      </c>
      <c r="I24545" t="s">
        <v>3196</v>
      </c>
      <c r="J24545" t="s">
        <v>30</v>
      </c>
      <c r="K24545" t="s">
        <v>74037</v>
      </c>
      <c r="M24545" t="s">
        <v>25733</v>
      </c>
      <c r="N24545" t="str">
        <f t="shared" si="382"/>
        <v>1/16/2025 9:29:00 AM</v>
      </c>
      <c r="O24545" t="s">
        <v>74035</v>
      </c>
    </row>
    <row r="24546" spans="1:20" x14ac:dyDescent="0.25">
      <c r="A24546" t="str">
        <f>"3058371"</f>
        <v>3058371</v>
      </c>
      <c r="B24546" t="s">
        <v>74085</v>
      </c>
      <c r="C24546" t="str">
        <f t="shared" si="381"/>
        <v>8311701</v>
      </c>
      <c r="D24546" t="s">
        <v>74035</v>
      </c>
      <c r="F24546" t="s">
        <v>74036</v>
      </c>
      <c r="I24546" t="s">
        <v>3196</v>
      </c>
      <c r="J24546" t="s">
        <v>30</v>
      </c>
      <c r="K24546" t="s">
        <v>74037</v>
      </c>
      <c r="M24546" t="s">
        <v>25733</v>
      </c>
      <c r="N24546" t="str">
        <f t="shared" si="382"/>
        <v>1/16/2025 9:29:00 AM</v>
      </c>
      <c r="O24546" t="s">
        <v>74035</v>
      </c>
    </row>
    <row r="24547" spans="1:20" x14ac:dyDescent="0.25">
      <c r="A24547" t="str">
        <f>"3058382"</f>
        <v>3058382</v>
      </c>
      <c r="B24547" t="s">
        <v>74086</v>
      </c>
      <c r="C24547" t="str">
        <f t="shared" si="381"/>
        <v>8311701</v>
      </c>
      <c r="D24547" t="s">
        <v>74035</v>
      </c>
      <c r="F24547" t="s">
        <v>74036</v>
      </c>
      <c r="I24547" t="s">
        <v>3196</v>
      </c>
      <c r="J24547" t="s">
        <v>30</v>
      </c>
      <c r="K24547" t="s">
        <v>74037</v>
      </c>
      <c r="M24547" t="s">
        <v>25733</v>
      </c>
      <c r="N24547" t="str">
        <f t="shared" si="382"/>
        <v>1/16/2025 9:29:00 AM</v>
      </c>
      <c r="O24547" t="s">
        <v>74035</v>
      </c>
    </row>
    <row r="24548" spans="1:20" x14ac:dyDescent="0.25">
      <c r="A24548" t="str">
        <f>"3058383"</f>
        <v>3058383</v>
      </c>
      <c r="B24548" t="s">
        <v>74087</v>
      </c>
      <c r="C24548" t="str">
        <f t="shared" si="381"/>
        <v>8311701</v>
      </c>
      <c r="D24548" t="s">
        <v>74035</v>
      </c>
      <c r="F24548" t="s">
        <v>74036</v>
      </c>
      <c r="I24548" t="s">
        <v>3196</v>
      </c>
      <c r="J24548" t="s">
        <v>30</v>
      </c>
      <c r="K24548" t="s">
        <v>74037</v>
      </c>
      <c r="M24548" t="s">
        <v>25733</v>
      </c>
      <c r="N24548" t="str">
        <f t="shared" si="382"/>
        <v>1/16/2025 9:29:00 AM</v>
      </c>
      <c r="O24548" t="s">
        <v>74035</v>
      </c>
    </row>
    <row r="24549" spans="1:20" x14ac:dyDescent="0.25">
      <c r="A24549" t="str">
        <f>"3056057"</f>
        <v>3056057</v>
      </c>
      <c r="B24549" t="s">
        <v>74088</v>
      </c>
      <c r="C24549" t="str">
        <f>"74054250"</f>
        <v>74054250</v>
      </c>
      <c r="D24549" t="s">
        <v>74089</v>
      </c>
      <c r="F24549" t="s">
        <v>19477</v>
      </c>
      <c r="I24549" t="s">
        <v>9580</v>
      </c>
      <c r="J24549" t="s">
        <v>30</v>
      </c>
      <c r="K24549" t="s">
        <v>9581</v>
      </c>
      <c r="M24549" t="s">
        <v>50793</v>
      </c>
      <c r="N24549" t="str">
        <f>"1/16/2025 9:47:00 AM"</f>
        <v>1/16/2025 9:47:00 AM</v>
      </c>
      <c r="O24549" t="s">
        <v>74089</v>
      </c>
    </row>
    <row r="24550" spans="1:20" x14ac:dyDescent="0.25">
      <c r="A24550" t="str">
        <f>"3053265"</f>
        <v>3053265</v>
      </c>
      <c r="B24550" t="s">
        <v>74090</v>
      </c>
      <c r="C24550" t="str">
        <f t="shared" ref="C24550:C24561" si="383">"8305913"</f>
        <v>8305913</v>
      </c>
      <c r="D24550" t="s">
        <v>74091</v>
      </c>
      <c r="E24550" t="s">
        <v>74092</v>
      </c>
      <c r="F24550" t="s">
        <v>74093</v>
      </c>
      <c r="I24550" t="s">
        <v>29</v>
      </c>
      <c r="J24550" t="s">
        <v>30</v>
      </c>
      <c r="K24550" t="str">
        <f t="shared" ref="K24550:K24561" si="384">"27028"</f>
        <v>27028</v>
      </c>
      <c r="M24550" t="s">
        <v>50793</v>
      </c>
      <c r="N24550" t="str">
        <f t="shared" ref="N24550:N24561" si="385">"1/16/2025 9:59:00 AM"</f>
        <v>1/16/2025 9:59:00 AM</v>
      </c>
      <c r="O24550" t="s">
        <v>74091</v>
      </c>
      <c r="T24550" t="s">
        <v>74092</v>
      </c>
    </row>
    <row r="24551" spans="1:20" x14ac:dyDescent="0.25">
      <c r="A24551" t="str">
        <f>"3053308"</f>
        <v>3053308</v>
      </c>
      <c r="B24551" t="s">
        <v>74094</v>
      </c>
      <c r="C24551" t="str">
        <f t="shared" si="383"/>
        <v>8305913</v>
      </c>
      <c r="D24551" t="s">
        <v>74091</v>
      </c>
      <c r="E24551" t="s">
        <v>74092</v>
      </c>
      <c r="F24551" t="s">
        <v>74093</v>
      </c>
      <c r="I24551" t="s">
        <v>29</v>
      </c>
      <c r="J24551" t="s">
        <v>30</v>
      </c>
      <c r="K24551" t="str">
        <f t="shared" si="384"/>
        <v>27028</v>
      </c>
      <c r="M24551" t="s">
        <v>50793</v>
      </c>
      <c r="N24551" t="str">
        <f t="shared" si="385"/>
        <v>1/16/2025 9:59:00 AM</v>
      </c>
      <c r="O24551" t="s">
        <v>74091</v>
      </c>
      <c r="T24551" t="s">
        <v>74092</v>
      </c>
    </row>
    <row r="24552" spans="1:20" x14ac:dyDescent="0.25">
      <c r="A24552" t="str">
        <f>"3053307"</f>
        <v>3053307</v>
      </c>
      <c r="B24552" t="s">
        <v>74095</v>
      </c>
      <c r="C24552" t="str">
        <f t="shared" si="383"/>
        <v>8305913</v>
      </c>
      <c r="D24552" t="s">
        <v>74091</v>
      </c>
      <c r="E24552" t="s">
        <v>74092</v>
      </c>
      <c r="F24552" t="s">
        <v>74093</v>
      </c>
      <c r="I24552" t="s">
        <v>29</v>
      </c>
      <c r="J24552" t="s">
        <v>30</v>
      </c>
      <c r="K24552" t="str">
        <f t="shared" si="384"/>
        <v>27028</v>
      </c>
      <c r="M24552" t="s">
        <v>50793</v>
      </c>
      <c r="N24552" t="str">
        <f t="shared" si="385"/>
        <v>1/16/2025 9:59:00 AM</v>
      </c>
      <c r="O24552" t="s">
        <v>74091</v>
      </c>
      <c r="T24552" t="s">
        <v>74092</v>
      </c>
    </row>
    <row r="24553" spans="1:20" x14ac:dyDescent="0.25">
      <c r="A24553" t="str">
        <f>"3053429"</f>
        <v>3053429</v>
      </c>
      <c r="B24553" t="s">
        <v>74096</v>
      </c>
      <c r="C24553" t="str">
        <f t="shared" si="383"/>
        <v>8305913</v>
      </c>
      <c r="D24553" t="s">
        <v>74091</v>
      </c>
      <c r="E24553" t="s">
        <v>74092</v>
      </c>
      <c r="F24553" t="s">
        <v>74093</v>
      </c>
      <c r="I24553" t="s">
        <v>29</v>
      </c>
      <c r="J24553" t="s">
        <v>30</v>
      </c>
      <c r="K24553" t="str">
        <f t="shared" si="384"/>
        <v>27028</v>
      </c>
      <c r="M24553" t="s">
        <v>50793</v>
      </c>
      <c r="N24553" t="str">
        <f t="shared" si="385"/>
        <v>1/16/2025 9:59:00 AM</v>
      </c>
      <c r="O24553" t="s">
        <v>74091</v>
      </c>
      <c r="T24553" t="s">
        <v>74092</v>
      </c>
    </row>
    <row r="24554" spans="1:20" x14ac:dyDescent="0.25">
      <c r="A24554" t="str">
        <f>"3053430"</f>
        <v>3053430</v>
      </c>
      <c r="B24554" t="s">
        <v>74097</v>
      </c>
      <c r="C24554" t="str">
        <f t="shared" si="383"/>
        <v>8305913</v>
      </c>
      <c r="D24554" t="s">
        <v>74091</v>
      </c>
      <c r="E24554" t="s">
        <v>74092</v>
      </c>
      <c r="F24554" t="s">
        <v>74093</v>
      </c>
      <c r="I24554" t="s">
        <v>29</v>
      </c>
      <c r="J24554" t="s">
        <v>30</v>
      </c>
      <c r="K24554" t="str">
        <f t="shared" si="384"/>
        <v>27028</v>
      </c>
      <c r="M24554" t="s">
        <v>50793</v>
      </c>
      <c r="N24554" t="str">
        <f t="shared" si="385"/>
        <v>1/16/2025 9:59:00 AM</v>
      </c>
      <c r="O24554" t="s">
        <v>74091</v>
      </c>
      <c r="T24554" t="s">
        <v>74092</v>
      </c>
    </row>
    <row r="24555" spans="1:20" x14ac:dyDescent="0.25">
      <c r="A24555" t="str">
        <f>"3053424"</f>
        <v>3053424</v>
      </c>
      <c r="B24555" t="s">
        <v>74098</v>
      </c>
      <c r="C24555" t="str">
        <f t="shared" si="383"/>
        <v>8305913</v>
      </c>
      <c r="D24555" t="s">
        <v>74091</v>
      </c>
      <c r="E24555" t="s">
        <v>74092</v>
      </c>
      <c r="F24555" t="s">
        <v>74093</v>
      </c>
      <c r="I24555" t="s">
        <v>29</v>
      </c>
      <c r="J24555" t="s">
        <v>30</v>
      </c>
      <c r="K24555" t="str">
        <f t="shared" si="384"/>
        <v>27028</v>
      </c>
      <c r="M24555" t="s">
        <v>50793</v>
      </c>
      <c r="N24555" t="str">
        <f t="shared" si="385"/>
        <v>1/16/2025 9:59:00 AM</v>
      </c>
      <c r="O24555" t="s">
        <v>74091</v>
      </c>
      <c r="T24555" t="s">
        <v>74092</v>
      </c>
    </row>
    <row r="24556" spans="1:20" x14ac:dyDescent="0.25">
      <c r="A24556" t="str">
        <f>"3053425"</f>
        <v>3053425</v>
      </c>
      <c r="B24556" t="s">
        <v>74099</v>
      </c>
      <c r="C24556" t="str">
        <f t="shared" si="383"/>
        <v>8305913</v>
      </c>
      <c r="D24556" t="s">
        <v>74091</v>
      </c>
      <c r="E24556" t="s">
        <v>74092</v>
      </c>
      <c r="F24556" t="s">
        <v>74093</v>
      </c>
      <c r="I24556" t="s">
        <v>29</v>
      </c>
      <c r="J24556" t="s">
        <v>30</v>
      </c>
      <c r="K24556" t="str">
        <f t="shared" si="384"/>
        <v>27028</v>
      </c>
      <c r="M24556" t="s">
        <v>50793</v>
      </c>
      <c r="N24556" t="str">
        <f t="shared" si="385"/>
        <v>1/16/2025 9:59:00 AM</v>
      </c>
      <c r="O24556" t="s">
        <v>74091</v>
      </c>
      <c r="T24556" t="s">
        <v>74092</v>
      </c>
    </row>
    <row r="24557" spans="1:20" x14ac:dyDescent="0.25">
      <c r="A24557" t="str">
        <f>"3053633"</f>
        <v>3053633</v>
      </c>
      <c r="B24557" t="s">
        <v>74100</v>
      </c>
      <c r="C24557" t="str">
        <f t="shared" si="383"/>
        <v>8305913</v>
      </c>
      <c r="D24557" t="s">
        <v>74091</v>
      </c>
      <c r="E24557" t="s">
        <v>74092</v>
      </c>
      <c r="F24557" t="s">
        <v>74093</v>
      </c>
      <c r="I24557" t="s">
        <v>29</v>
      </c>
      <c r="J24557" t="s">
        <v>30</v>
      </c>
      <c r="K24557" t="str">
        <f t="shared" si="384"/>
        <v>27028</v>
      </c>
      <c r="M24557" t="s">
        <v>50793</v>
      </c>
      <c r="N24557" t="str">
        <f t="shared" si="385"/>
        <v>1/16/2025 9:59:00 AM</v>
      </c>
      <c r="O24557" t="s">
        <v>74091</v>
      </c>
      <c r="T24557" t="s">
        <v>74092</v>
      </c>
    </row>
    <row r="24558" spans="1:20" x14ac:dyDescent="0.25">
      <c r="A24558" t="str">
        <f>"3049485"</f>
        <v>3049485</v>
      </c>
      <c r="B24558" t="s">
        <v>74101</v>
      </c>
      <c r="C24558" t="str">
        <f t="shared" si="383"/>
        <v>8305913</v>
      </c>
      <c r="D24558" t="s">
        <v>74091</v>
      </c>
      <c r="E24558" t="s">
        <v>74092</v>
      </c>
      <c r="F24558" t="s">
        <v>74093</v>
      </c>
      <c r="I24558" t="s">
        <v>29</v>
      </c>
      <c r="J24558" t="s">
        <v>30</v>
      </c>
      <c r="K24558" t="str">
        <f t="shared" si="384"/>
        <v>27028</v>
      </c>
      <c r="M24558" t="s">
        <v>50793</v>
      </c>
      <c r="N24558" t="str">
        <f t="shared" si="385"/>
        <v>1/16/2025 9:59:00 AM</v>
      </c>
      <c r="O24558" t="s">
        <v>74091</v>
      </c>
      <c r="T24558" t="s">
        <v>74092</v>
      </c>
    </row>
    <row r="24559" spans="1:20" x14ac:dyDescent="0.25">
      <c r="A24559" t="str">
        <f>"3049698"</f>
        <v>3049698</v>
      </c>
      <c r="B24559" t="s">
        <v>74102</v>
      </c>
      <c r="C24559" t="str">
        <f t="shared" si="383"/>
        <v>8305913</v>
      </c>
      <c r="D24559" t="s">
        <v>74091</v>
      </c>
      <c r="E24559" t="s">
        <v>74092</v>
      </c>
      <c r="F24559" t="s">
        <v>74093</v>
      </c>
      <c r="I24559" t="s">
        <v>29</v>
      </c>
      <c r="J24559" t="s">
        <v>30</v>
      </c>
      <c r="K24559" t="str">
        <f t="shared" si="384"/>
        <v>27028</v>
      </c>
      <c r="M24559" t="s">
        <v>50793</v>
      </c>
      <c r="N24559" t="str">
        <f t="shared" si="385"/>
        <v>1/16/2025 9:59:00 AM</v>
      </c>
      <c r="O24559" t="s">
        <v>74091</v>
      </c>
      <c r="T24559" t="s">
        <v>74092</v>
      </c>
    </row>
    <row r="24560" spans="1:20" x14ac:dyDescent="0.25">
      <c r="A24560" t="str">
        <f>"3050294"</f>
        <v>3050294</v>
      </c>
      <c r="B24560" t="s">
        <v>74103</v>
      </c>
      <c r="C24560" t="str">
        <f t="shared" si="383"/>
        <v>8305913</v>
      </c>
      <c r="D24560" t="s">
        <v>74091</v>
      </c>
      <c r="E24560" t="s">
        <v>74092</v>
      </c>
      <c r="F24560" t="s">
        <v>74093</v>
      </c>
      <c r="I24560" t="s">
        <v>29</v>
      </c>
      <c r="J24560" t="s">
        <v>30</v>
      </c>
      <c r="K24560" t="str">
        <f t="shared" si="384"/>
        <v>27028</v>
      </c>
      <c r="M24560" t="s">
        <v>50793</v>
      </c>
      <c r="N24560" t="str">
        <f t="shared" si="385"/>
        <v>1/16/2025 9:59:00 AM</v>
      </c>
      <c r="O24560" t="s">
        <v>74091</v>
      </c>
      <c r="T24560" t="s">
        <v>74092</v>
      </c>
    </row>
    <row r="24561" spans="1:20" x14ac:dyDescent="0.25">
      <c r="A24561" t="str">
        <f>"3050441"</f>
        <v>3050441</v>
      </c>
      <c r="B24561" t="s">
        <v>74104</v>
      </c>
      <c r="C24561" t="str">
        <f t="shared" si="383"/>
        <v>8305913</v>
      </c>
      <c r="D24561" t="s">
        <v>74091</v>
      </c>
      <c r="E24561" t="s">
        <v>74092</v>
      </c>
      <c r="F24561" t="s">
        <v>74093</v>
      </c>
      <c r="I24561" t="s">
        <v>29</v>
      </c>
      <c r="J24561" t="s">
        <v>30</v>
      </c>
      <c r="K24561" t="str">
        <f t="shared" si="384"/>
        <v>27028</v>
      </c>
      <c r="M24561" t="s">
        <v>50793</v>
      </c>
      <c r="N24561" t="str">
        <f t="shared" si="385"/>
        <v>1/16/2025 9:59:00 AM</v>
      </c>
      <c r="O24561" t="s">
        <v>74091</v>
      </c>
      <c r="T24561" t="s">
        <v>74092</v>
      </c>
    </row>
    <row r="24562" spans="1:20" x14ac:dyDescent="0.25">
      <c r="A24562" t="str">
        <f>"3044913"</f>
        <v>3044913</v>
      </c>
      <c r="B24562" t="s">
        <v>74105</v>
      </c>
      <c r="C24562" t="str">
        <f>"8308061"</f>
        <v>8308061</v>
      </c>
      <c r="D24562" t="s">
        <v>74106</v>
      </c>
      <c r="E24562" t="s">
        <v>74107</v>
      </c>
      <c r="F24562" t="s">
        <v>74108</v>
      </c>
      <c r="I24562" t="s">
        <v>184</v>
      </c>
      <c r="J24562" t="s">
        <v>30</v>
      </c>
      <c r="K24562" t="str">
        <f>"27006"</f>
        <v>27006</v>
      </c>
      <c r="M24562" t="s">
        <v>50621</v>
      </c>
      <c r="N24562" t="str">
        <f>"1/16/2025 10:01:00 AM"</f>
        <v>1/16/2025 10:01:00 AM</v>
      </c>
      <c r="O24562" t="s">
        <v>74106</v>
      </c>
      <c r="T24562" t="s">
        <v>74107</v>
      </c>
    </row>
    <row r="24563" spans="1:20" x14ac:dyDescent="0.25">
      <c r="A24563" t="str">
        <f>"3044792"</f>
        <v>3044792</v>
      </c>
      <c r="B24563" t="s">
        <v>74109</v>
      </c>
      <c r="C24563" t="str">
        <f>"82532979"</f>
        <v>82532979</v>
      </c>
      <c r="D24563" t="s">
        <v>74110</v>
      </c>
      <c r="E24563" t="s">
        <v>74111</v>
      </c>
      <c r="F24563" t="s">
        <v>74112</v>
      </c>
      <c r="I24563" t="s">
        <v>184</v>
      </c>
      <c r="J24563" t="s">
        <v>30</v>
      </c>
      <c r="K24563" t="s">
        <v>185</v>
      </c>
      <c r="M24563" t="s">
        <v>50621</v>
      </c>
      <c r="N24563" t="str">
        <f>"1/16/2025 10:06:00 AM"</f>
        <v>1/16/2025 10:06:00 AM</v>
      </c>
      <c r="O24563" t="s">
        <v>74110</v>
      </c>
      <c r="T24563" t="s">
        <v>74111</v>
      </c>
    </row>
    <row r="24564" spans="1:20" x14ac:dyDescent="0.25">
      <c r="A24564" t="str">
        <f>"3049164"</f>
        <v>3049164</v>
      </c>
      <c r="B24564" t="s">
        <v>74113</v>
      </c>
      <c r="C24564" t="str">
        <f>"76702750"</f>
        <v>76702750</v>
      </c>
      <c r="D24564" t="s">
        <v>74114</v>
      </c>
      <c r="F24564" t="s">
        <v>41849</v>
      </c>
      <c r="I24564" t="s">
        <v>29</v>
      </c>
      <c r="J24564" t="s">
        <v>30</v>
      </c>
      <c r="K24564" t="s">
        <v>74115</v>
      </c>
      <c r="M24564" t="s">
        <v>50621</v>
      </c>
      <c r="N24564" t="str">
        <f>"1/16/2025 10:07:00 AM"</f>
        <v>1/16/2025 10:07:00 AM</v>
      </c>
      <c r="O24564" t="s">
        <v>74114</v>
      </c>
    </row>
    <row r="24565" spans="1:20" x14ac:dyDescent="0.25">
      <c r="A24565" t="str">
        <f>"3051766"</f>
        <v>3051766</v>
      </c>
      <c r="B24565" t="s">
        <v>74116</v>
      </c>
      <c r="C24565" t="str">
        <f>"76702750"</f>
        <v>76702750</v>
      </c>
      <c r="D24565" t="s">
        <v>74114</v>
      </c>
      <c r="F24565" t="s">
        <v>41849</v>
      </c>
      <c r="I24565" t="s">
        <v>29</v>
      </c>
      <c r="J24565" t="s">
        <v>30</v>
      </c>
      <c r="K24565" t="s">
        <v>74115</v>
      </c>
      <c r="M24565" t="s">
        <v>50621</v>
      </c>
      <c r="N24565" t="str">
        <f>"1/16/2025 10:07:00 AM"</f>
        <v>1/16/2025 10:07:00 AM</v>
      </c>
      <c r="O24565" t="s">
        <v>74114</v>
      </c>
    </row>
    <row r="24566" spans="1:20" x14ac:dyDescent="0.25">
      <c r="A24566" t="str">
        <f>"3051764"</f>
        <v>3051764</v>
      </c>
      <c r="B24566" t="s">
        <v>74117</v>
      </c>
      <c r="C24566" t="str">
        <f>"76702750"</f>
        <v>76702750</v>
      </c>
      <c r="D24566" t="s">
        <v>74114</v>
      </c>
      <c r="F24566" t="s">
        <v>41849</v>
      </c>
      <c r="I24566" t="s">
        <v>29</v>
      </c>
      <c r="J24566" t="s">
        <v>30</v>
      </c>
      <c r="K24566" t="s">
        <v>74115</v>
      </c>
      <c r="M24566" t="s">
        <v>50621</v>
      </c>
      <c r="N24566" t="str">
        <f>"1/16/2025 10:07:00 AM"</f>
        <v>1/16/2025 10:07:00 AM</v>
      </c>
      <c r="O24566" t="s">
        <v>74114</v>
      </c>
    </row>
    <row r="24567" spans="1:20" x14ac:dyDescent="0.25">
      <c r="A24567" t="str">
        <f>"3051779"</f>
        <v>3051779</v>
      </c>
      <c r="B24567" t="s">
        <v>74118</v>
      </c>
      <c r="C24567" t="str">
        <f>"76702750"</f>
        <v>76702750</v>
      </c>
      <c r="D24567" t="s">
        <v>74114</v>
      </c>
      <c r="F24567" t="s">
        <v>41849</v>
      </c>
      <c r="I24567" t="s">
        <v>29</v>
      </c>
      <c r="J24567" t="s">
        <v>30</v>
      </c>
      <c r="K24567" t="s">
        <v>74115</v>
      </c>
      <c r="M24567" t="s">
        <v>50621</v>
      </c>
      <c r="N24567" t="str">
        <f>"1/16/2025 10:07:00 AM"</f>
        <v>1/16/2025 10:07:00 AM</v>
      </c>
      <c r="O24567" t="s">
        <v>74114</v>
      </c>
    </row>
    <row r="24568" spans="1:20" x14ac:dyDescent="0.25">
      <c r="A24568" t="str">
        <f>"3037320"</f>
        <v>3037320</v>
      </c>
      <c r="B24568" t="s">
        <v>74119</v>
      </c>
      <c r="C24568" t="str">
        <f>"8305693"</f>
        <v>8305693</v>
      </c>
      <c r="D24568" t="s">
        <v>74120</v>
      </c>
      <c r="E24568" t="s">
        <v>74121</v>
      </c>
      <c r="F24568" t="s">
        <v>74122</v>
      </c>
      <c r="I24568" t="s">
        <v>184</v>
      </c>
      <c r="J24568" t="s">
        <v>30</v>
      </c>
      <c r="K24568" t="str">
        <f>"27006"</f>
        <v>27006</v>
      </c>
      <c r="M24568" t="s">
        <v>50793</v>
      </c>
      <c r="N24568" t="str">
        <f>"1/16/2025 10:11:00 AM"</f>
        <v>1/16/2025 10:11:00 AM</v>
      </c>
      <c r="O24568" t="s">
        <v>74120</v>
      </c>
      <c r="T24568" t="s">
        <v>74121</v>
      </c>
    </row>
    <row r="24569" spans="1:20" x14ac:dyDescent="0.25">
      <c r="A24569" t="str">
        <f>"3078362"</f>
        <v>3078362</v>
      </c>
      <c r="B24569" t="s">
        <v>74123</v>
      </c>
      <c r="C24569" t="str">
        <f>"8320446"</f>
        <v>8320446</v>
      </c>
      <c r="D24569" t="s">
        <v>74124</v>
      </c>
      <c r="F24569" t="s">
        <v>74125</v>
      </c>
      <c r="I24569" t="s">
        <v>29</v>
      </c>
      <c r="J24569" t="s">
        <v>30</v>
      </c>
      <c r="K24569" t="s">
        <v>74126</v>
      </c>
      <c r="M24569" t="s">
        <v>50621</v>
      </c>
      <c r="N24569" t="str">
        <f>"1/16/2025 10:13:00 AM"</f>
        <v>1/16/2025 10:13:00 AM</v>
      </c>
      <c r="O24569" t="s">
        <v>74124</v>
      </c>
    </row>
    <row r="24570" spans="1:20" x14ac:dyDescent="0.25">
      <c r="A24570" t="str">
        <f>"3060796"</f>
        <v>3060796</v>
      </c>
      <c r="B24570" t="s">
        <v>74127</v>
      </c>
      <c r="C24570" t="str">
        <f>"8323246"</f>
        <v>8323246</v>
      </c>
      <c r="D24570" t="s">
        <v>74128</v>
      </c>
      <c r="F24570" t="s">
        <v>74129</v>
      </c>
      <c r="I24570" t="s">
        <v>184</v>
      </c>
      <c r="J24570" t="s">
        <v>30</v>
      </c>
      <c r="K24570" t="s">
        <v>4269</v>
      </c>
      <c r="M24570" t="s">
        <v>50793</v>
      </c>
      <c r="N24570" t="str">
        <f>"1/16/2025 10:19:00 AM"</f>
        <v>1/16/2025 10:19:00 AM</v>
      </c>
      <c r="O24570" t="s">
        <v>74128</v>
      </c>
    </row>
    <row r="24571" spans="1:20" x14ac:dyDescent="0.25">
      <c r="A24571" t="str">
        <f>"3041671"</f>
        <v>3041671</v>
      </c>
      <c r="B24571" t="s">
        <v>74130</v>
      </c>
      <c r="C24571" t="str">
        <f>"55113000"</f>
        <v>55113000</v>
      </c>
      <c r="D24571" t="s">
        <v>74131</v>
      </c>
      <c r="E24571" t="s">
        <v>74132</v>
      </c>
      <c r="F24571" t="s">
        <v>74133</v>
      </c>
      <c r="I24571" t="s">
        <v>2071</v>
      </c>
      <c r="J24571" t="s">
        <v>30</v>
      </c>
      <c r="K24571" t="s">
        <v>185</v>
      </c>
      <c r="M24571" t="s">
        <v>50793</v>
      </c>
      <c r="N24571" t="str">
        <f>"1/16/2025 10:20:00 AM"</f>
        <v>1/16/2025 10:20:00 AM</v>
      </c>
      <c r="O24571" t="s">
        <v>74131</v>
      </c>
      <c r="T24571" t="s">
        <v>74132</v>
      </c>
    </row>
    <row r="24572" spans="1:20" x14ac:dyDescent="0.25">
      <c r="A24572" t="str">
        <f>"3041766"</f>
        <v>3041766</v>
      </c>
      <c r="B24572" t="s">
        <v>74134</v>
      </c>
      <c r="C24572" t="str">
        <f>"8318391"</f>
        <v>8318391</v>
      </c>
      <c r="D24572" t="s">
        <v>74135</v>
      </c>
      <c r="E24572" t="s">
        <v>74136</v>
      </c>
      <c r="F24572" t="s">
        <v>74137</v>
      </c>
      <c r="I24572" t="s">
        <v>2071</v>
      </c>
      <c r="J24572" t="s">
        <v>30</v>
      </c>
      <c r="K24572" t="s">
        <v>34839</v>
      </c>
      <c r="M24572" t="s">
        <v>50621</v>
      </c>
      <c r="N24572" t="str">
        <f>"1/16/2025 10:20:00 AM"</f>
        <v>1/16/2025 10:20:00 AM</v>
      </c>
      <c r="O24572" t="s">
        <v>74135</v>
      </c>
      <c r="T24572" t="s">
        <v>74136</v>
      </c>
    </row>
    <row r="24573" spans="1:20" x14ac:dyDescent="0.25">
      <c r="A24573" t="str">
        <f>"3049316"</f>
        <v>3049316</v>
      </c>
      <c r="B24573" t="s">
        <v>74138</v>
      </c>
      <c r="C24573" t="str">
        <f>"8321551"</f>
        <v>8321551</v>
      </c>
      <c r="D24573" t="s">
        <v>74139</v>
      </c>
      <c r="F24573" t="s">
        <v>74140</v>
      </c>
      <c r="I24573" t="s">
        <v>74141</v>
      </c>
      <c r="J24573" t="s">
        <v>17511</v>
      </c>
      <c r="K24573" t="s">
        <v>74142</v>
      </c>
      <c r="M24573" t="s">
        <v>50621</v>
      </c>
      <c r="N24573" t="str">
        <f>"1/16/2025 10:29:00 AM"</f>
        <v>1/16/2025 10:29:00 AM</v>
      </c>
      <c r="O24573" t="s">
        <v>74139</v>
      </c>
    </row>
    <row r="24574" spans="1:20" x14ac:dyDescent="0.25">
      <c r="A24574" t="str">
        <f>"3052046"</f>
        <v>3052046</v>
      </c>
      <c r="B24574" t="s">
        <v>74143</v>
      </c>
      <c r="C24574" t="str">
        <f>"67855800"</f>
        <v>67855800</v>
      </c>
      <c r="D24574" t="s">
        <v>74144</v>
      </c>
      <c r="E24574" t="s">
        <v>74145</v>
      </c>
      <c r="F24574" t="s">
        <v>74146</v>
      </c>
      <c r="I24574" t="s">
        <v>29</v>
      </c>
      <c r="J24574" t="s">
        <v>30</v>
      </c>
      <c r="K24574" t="s">
        <v>31</v>
      </c>
      <c r="M24574" t="s">
        <v>50621</v>
      </c>
      <c r="N24574" t="str">
        <f>"1/16/2025 10:31:00 AM"</f>
        <v>1/16/2025 10:31:00 AM</v>
      </c>
      <c r="O24574" t="s">
        <v>74144</v>
      </c>
      <c r="T24574" t="s">
        <v>74145</v>
      </c>
    </row>
    <row r="24575" spans="1:20" x14ac:dyDescent="0.25">
      <c r="A24575" t="str">
        <f>"3055024"</f>
        <v>3055024</v>
      </c>
      <c r="B24575" t="s">
        <v>74147</v>
      </c>
      <c r="C24575" t="str">
        <f>"67855800"</f>
        <v>67855800</v>
      </c>
      <c r="D24575" t="s">
        <v>74144</v>
      </c>
      <c r="E24575" t="s">
        <v>74145</v>
      </c>
      <c r="F24575" t="s">
        <v>74146</v>
      </c>
      <c r="I24575" t="s">
        <v>29</v>
      </c>
      <c r="J24575" t="s">
        <v>30</v>
      </c>
      <c r="K24575" t="s">
        <v>31</v>
      </c>
      <c r="M24575" t="s">
        <v>50621</v>
      </c>
      <c r="N24575" t="str">
        <f>"1/16/2025 10:31:00 AM"</f>
        <v>1/16/2025 10:31:00 AM</v>
      </c>
      <c r="O24575" t="s">
        <v>74144</v>
      </c>
      <c r="T24575" t="s">
        <v>74145</v>
      </c>
    </row>
    <row r="24576" spans="1:20" x14ac:dyDescent="0.25">
      <c r="A24576" t="str">
        <f>"3076731"</f>
        <v>3076731</v>
      </c>
      <c r="B24576" t="s">
        <v>74148</v>
      </c>
      <c r="C24576" t="str">
        <f>"8320395"</f>
        <v>8320395</v>
      </c>
      <c r="D24576" t="s">
        <v>74149</v>
      </c>
      <c r="F24576" t="s">
        <v>74150</v>
      </c>
      <c r="I24576" t="s">
        <v>8536</v>
      </c>
      <c r="J24576" t="s">
        <v>30</v>
      </c>
      <c r="K24576" t="s">
        <v>74151</v>
      </c>
      <c r="M24576" t="s">
        <v>50621</v>
      </c>
      <c r="N24576" t="str">
        <f>"1/16/2025 10:33:00 AM"</f>
        <v>1/16/2025 10:33:00 AM</v>
      </c>
      <c r="O24576" t="s">
        <v>74149</v>
      </c>
    </row>
    <row r="24577" spans="1:20" x14ac:dyDescent="0.25">
      <c r="A24577" t="str">
        <f>"3044636"</f>
        <v>3044636</v>
      </c>
      <c r="B24577" t="s">
        <v>74152</v>
      </c>
      <c r="C24577" t="str">
        <f>"35412490"</f>
        <v>35412490</v>
      </c>
      <c r="D24577" t="s">
        <v>74153</v>
      </c>
      <c r="E24577" t="s">
        <v>74154</v>
      </c>
      <c r="F24577" t="s">
        <v>74155</v>
      </c>
      <c r="I24577" t="s">
        <v>184</v>
      </c>
      <c r="J24577" t="s">
        <v>30</v>
      </c>
      <c r="K24577" t="s">
        <v>5840</v>
      </c>
      <c r="M24577" t="s">
        <v>50621</v>
      </c>
      <c r="N24577" t="str">
        <f>"1/16/2025 10:35:00 AM"</f>
        <v>1/16/2025 10:35:00 AM</v>
      </c>
      <c r="O24577" t="s">
        <v>74153</v>
      </c>
      <c r="T24577" t="s">
        <v>74154</v>
      </c>
    </row>
    <row r="24578" spans="1:20" x14ac:dyDescent="0.25">
      <c r="A24578" t="str">
        <f>"3050957"</f>
        <v>3050957</v>
      </c>
      <c r="B24578" t="s">
        <v>74156</v>
      </c>
      <c r="C24578" t="str">
        <f>"8317357"</f>
        <v>8317357</v>
      </c>
      <c r="D24578" t="s">
        <v>74157</v>
      </c>
      <c r="E24578" t="str">
        <f>"HARRIS JOHN ERIK/CHERYL ANN"</f>
        <v>HARRIS JOHN ERIK/CHERYL ANN</v>
      </c>
      <c r="F24578" t="s">
        <v>74158</v>
      </c>
      <c r="I24578" t="s">
        <v>184</v>
      </c>
      <c r="J24578" t="s">
        <v>30</v>
      </c>
      <c r="K24578" t="s">
        <v>74159</v>
      </c>
      <c r="M24578" t="s">
        <v>50621</v>
      </c>
      <c r="N24578" t="str">
        <f>"1/16/2025 10:37:00 AM"</f>
        <v>1/16/2025 10:37:00 AM</v>
      </c>
      <c r="O24578" t="s">
        <v>74157</v>
      </c>
      <c r="T24578" t="str">
        <f>"HARRIS JOHN ERIK/CHERYL ANN"</f>
        <v>HARRIS JOHN ERIK/CHERYL ANN</v>
      </c>
    </row>
    <row r="24579" spans="1:20" x14ac:dyDescent="0.25">
      <c r="A24579" t="str">
        <f>"3050237"</f>
        <v>3050237</v>
      </c>
      <c r="B24579" t="s">
        <v>74160</v>
      </c>
      <c r="C24579" t="str">
        <f t="shared" ref="C24579:C24586" si="386">"8313806"</f>
        <v>8313806</v>
      </c>
      <c r="D24579" t="s">
        <v>42720</v>
      </c>
      <c r="E24579" t="s">
        <v>74161</v>
      </c>
      <c r="F24579" t="s">
        <v>57636</v>
      </c>
      <c r="I24579" t="s">
        <v>29</v>
      </c>
      <c r="J24579" t="s">
        <v>30</v>
      </c>
      <c r="K24579" t="s">
        <v>57637</v>
      </c>
      <c r="M24579" t="s">
        <v>50621</v>
      </c>
      <c r="N24579" t="str">
        <f t="shared" ref="N24579:N24586" si="387">"1/16/2025 10:40:00 AM"</f>
        <v>1/16/2025 10:40:00 AM</v>
      </c>
      <c r="O24579" t="s">
        <v>42720</v>
      </c>
      <c r="T24579" t="s">
        <v>74161</v>
      </c>
    </row>
    <row r="24580" spans="1:20" x14ac:dyDescent="0.25">
      <c r="A24580" t="str">
        <f>"3050004"</f>
        <v>3050004</v>
      </c>
      <c r="B24580" t="s">
        <v>74162</v>
      </c>
      <c r="C24580" t="str">
        <f t="shared" si="386"/>
        <v>8313806</v>
      </c>
      <c r="D24580" t="s">
        <v>42720</v>
      </c>
      <c r="E24580" t="s">
        <v>74161</v>
      </c>
      <c r="F24580" t="s">
        <v>57636</v>
      </c>
      <c r="I24580" t="s">
        <v>29</v>
      </c>
      <c r="J24580" t="s">
        <v>30</v>
      </c>
      <c r="K24580" t="s">
        <v>57637</v>
      </c>
      <c r="M24580" t="s">
        <v>50621</v>
      </c>
      <c r="N24580" t="str">
        <f t="shared" si="387"/>
        <v>1/16/2025 10:40:00 AM</v>
      </c>
      <c r="O24580" t="s">
        <v>42720</v>
      </c>
      <c r="T24580" t="s">
        <v>74161</v>
      </c>
    </row>
    <row r="24581" spans="1:20" x14ac:dyDescent="0.25">
      <c r="A24581" t="str">
        <f>"3049101"</f>
        <v>3049101</v>
      </c>
      <c r="B24581" t="s">
        <v>74163</v>
      </c>
      <c r="C24581" t="str">
        <f t="shared" si="386"/>
        <v>8313806</v>
      </c>
      <c r="D24581" t="s">
        <v>42720</v>
      </c>
      <c r="E24581" t="s">
        <v>74161</v>
      </c>
      <c r="F24581" t="s">
        <v>57636</v>
      </c>
      <c r="I24581" t="s">
        <v>29</v>
      </c>
      <c r="J24581" t="s">
        <v>30</v>
      </c>
      <c r="K24581" t="s">
        <v>57637</v>
      </c>
      <c r="M24581" t="s">
        <v>50621</v>
      </c>
      <c r="N24581" t="str">
        <f t="shared" si="387"/>
        <v>1/16/2025 10:40:00 AM</v>
      </c>
      <c r="O24581" t="s">
        <v>42720</v>
      </c>
      <c r="T24581" t="s">
        <v>74161</v>
      </c>
    </row>
    <row r="24582" spans="1:20" x14ac:dyDescent="0.25">
      <c r="A24582" t="str">
        <f>"3055761"</f>
        <v>3055761</v>
      </c>
      <c r="B24582" t="s">
        <v>74164</v>
      </c>
      <c r="C24582" t="str">
        <f t="shared" si="386"/>
        <v>8313806</v>
      </c>
      <c r="D24582" t="s">
        <v>42720</v>
      </c>
      <c r="E24582" t="s">
        <v>74161</v>
      </c>
      <c r="F24582" t="s">
        <v>57636</v>
      </c>
      <c r="I24582" t="s">
        <v>29</v>
      </c>
      <c r="J24582" t="s">
        <v>30</v>
      </c>
      <c r="K24582" t="s">
        <v>57637</v>
      </c>
      <c r="M24582" t="s">
        <v>50621</v>
      </c>
      <c r="N24582" t="str">
        <f t="shared" si="387"/>
        <v>1/16/2025 10:40:00 AM</v>
      </c>
      <c r="O24582" t="s">
        <v>42720</v>
      </c>
      <c r="T24582" t="s">
        <v>74161</v>
      </c>
    </row>
    <row r="24583" spans="1:20" x14ac:dyDescent="0.25">
      <c r="A24583" t="str">
        <f>"3078427"</f>
        <v>3078427</v>
      </c>
      <c r="B24583" t="s">
        <v>74165</v>
      </c>
      <c r="C24583" t="str">
        <f t="shared" si="386"/>
        <v>8313806</v>
      </c>
      <c r="D24583" t="s">
        <v>42720</v>
      </c>
      <c r="E24583" t="s">
        <v>74161</v>
      </c>
      <c r="F24583" t="s">
        <v>57636</v>
      </c>
      <c r="I24583" t="s">
        <v>29</v>
      </c>
      <c r="J24583" t="s">
        <v>30</v>
      </c>
      <c r="K24583" t="s">
        <v>57637</v>
      </c>
      <c r="M24583" t="s">
        <v>50621</v>
      </c>
      <c r="N24583" t="str">
        <f t="shared" si="387"/>
        <v>1/16/2025 10:40:00 AM</v>
      </c>
      <c r="O24583" t="s">
        <v>42720</v>
      </c>
      <c r="T24583" t="s">
        <v>74161</v>
      </c>
    </row>
    <row r="24584" spans="1:20" x14ac:dyDescent="0.25">
      <c r="A24584" t="str">
        <f>"3058670"</f>
        <v>3058670</v>
      </c>
      <c r="B24584" t="s">
        <v>74166</v>
      </c>
      <c r="C24584" t="str">
        <f t="shared" si="386"/>
        <v>8313806</v>
      </c>
      <c r="D24584" t="s">
        <v>42720</v>
      </c>
      <c r="E24584" t="s">
        <v>74161</v>
      </c>
      <c r="F24584" t="s">
        <v>57636</v>
      </c>
      <c r="I24584" t="s">
        <v>29</v>
      </c>
      <c r="J24584" t="s">
        <v>30</v>
      </c>
      <c r="K24584" t="s">
        <v>57637</v>
      </c>
      <c r="M24584" t="s">
        <v>50621</v>
      </c>
      <c r="N24584" t="str">
        <f t="shared" si="387"/>
        <v>1/16/2025 10:40:00 AM</v>
      </c>
      <c r="O24584" t="s">
        <v>42720</v>
      </c>
      <c r="T24584" t="s">
        <v>74161</v>
      </c>
    </row>
    <row r="24585" spans="1:20" x14ac:dyDescent="0.25">
      <c r="A24585" t="str">
        <f>"3058823"</f>
        <v>3058823</v>
      </c>
      <c r="B24585" t="s">
        <v>74167</v>
      </c>
      <c r="C24585" t="str">
        <f t="shared" si="386"/>
        <v>8313806</v>
      </c>
      <c r="D24585" t="s">
        <v>42720</v>
      </c>
      <c r="E24585" t="s">
        <v>74161</v>
      </c>
      <c r="F24585" t="s">
        <v>57636</v>
      </c>
      <c r="I24585" t="s">
        <v>29</v>
      </c>
      <c r="J24585" t="s">
        <v>30</v>
      </c>
      <c r="K24585" t="s">
        <v>57637</v>
      </c>
      <c r="M24585" t="s">
        <v>50621</v>
      </c>
      <c r="N24585" t="str">
        <f t="shared" si="387"/>
        <v>1/16/2025 10:40:00 AM</v>
      </c>
      <c r="O24585" t="s">
        <v>42720</v>
      </c>
      <c r="T24585" t="s">
        <v>74161</v>
      </c>
    </row>
    <row r="24586" spans="1:20" x14ac:dyDescent="0.25">
      <c r="A24586" t="str">
        <f>"3059128"</f>
        <v>3059128</v>
      </c>
      <c r="B24586" t="s">
        <v>74168</v>
      </c>
      <c r="C24586" t="str">
        <f t="shared" si="386"/>
        <v>8313806</v>
      </c>
      <c r="D24586" t="s">
        <v>42720</v>
      </c>
      <c r="E24586" t="s">
        <v>74161</v>
      </c>
      <c r="F24586" t="s">
        <v>57636</v>
      </c>
      <c r="I24586" t="s">
        <v>29</v>
      </c>
      <c r="J24586" t="s">
        <v>30</v>
      </c>
      <c r="K24586" t="s">
        <v>57637</v>
      </c>
      <c r="M24586" t="s">
        <v>50621</v>
      </c>
      <c r="N24586" t="str">
        <f t="shared" si="387"/>
        <v>1/16/2025 10:40:00 AM</v>
      </c>
      <c r="O24586" t="s">
        <v>42720</v>
      </c>
      <c r="T24586" t="s">
        <v>74161</v>
      </c>
    </row>
    <row r="24587" spans="1:20" x14ac:dyDescent="0.25">
      <c r="A24587" t="str">
        <f>"3037880"</f>
        <v>3037880</v>
      </c>
      <c r="B24587" t="s">
        <v>74169</v>
      </c>
      <c r="C24587" t="str">
        <f>"82532845"</f>
        <v>82532845</v>
      </c>
      <c r="D24587" t="s">
        <v>74170</v>
      </c>
      <c r="E24587" t="s">
        <v>74171</v>
      </c>
      <c r="F24587" t="s">
        <v>74172</v>
      </c>
      <c r="I24587" t="s">
        <v>29</v>
      </c>
      <c r="J24587" t="s">
        <v>30</v>
      </c>
      <c r="K24587" t="s">
        <v>31</v>
      </c>
      <c r="M24587" t="s">
        <v>50621</v>
      </c>
      <c r="N24587" t="str">
        <f>"1/16/2025 10:42:00 AM"</f>
        <v>1/16/2025 10:42:00 AM</v>
      </c>
      <c r="O24587" t="s">
        <v>74170</v>
      </c>
      <c r="T24587" t="s">
        <v>74171</v>
      </c>
    </row>
    <row r="24588" spans="1:20" x14ac:dyDescent="0.25">
      <c r="A24588" t="str">
        <f>"3038897"</f>
        <v>3038897</v>
      </c>
      <c r="B24588" t="s">
        <v>74173</v>
      </c>
      <c r="C24588" t="str">
        <f>"82532845"</f>
        <v>82532845</v>
      </c>
      <c r="D24588" t="s">
        <v>74170</v>
      </c>
      <c r="E24588" t="s">
        <v>74171</v>
      </c>
      <c r="F24588" t="s">
        <v>74172</v>
      </c>
      <c r="I24588" t="s">
        <v>29</v>
      </c>
      <c r="J24588" t="s">
        <v>30</v>
      </c>
      <c r="K24588" t="s">
        <v>31</v>
      </c>
      <c r="M24588" t="s">
        <v>50621</v>
      </c>
      <c r="N24588" t="str">
        <f>"1/16/2025 10:42:00 AM"</f>
        <v>1/16/2025 10:42:00 AM</v>
      </c>
      <c r="O24588" t="s">
        <v>74170</v>
      </c>
      <c r="T24588" t="s">
        <v>74171</v>
      </c>
    </row>
    <row r="24589" spans="1:20" x14ac:dyDescent="0.25">
      <c r="A24589" t="str">
        <f>"3048857"</f>
        <v>3048857</v>
      </c>
      <c r="B24589" t="s">
        <v>74174</v>
      </c>
      <c r="C24589" t="str">
        <f>"8313095"</f>
        <v>8313095</v>
      </c>
      <c r="D24589" t="s">
        <v>74175</v>
      </c>
      <c r="F24589" t="s">
        <v>74176</v>
      </c>
      <c r="I24589" t="s">
        <v>24359</v>
      </c>
      <c r="J24589" t="s">
        <v>30</v>
      </c>
      <c r="K24589" t="s">
        <v>45504</v>
      </c>
      <c r="M24589" t="s">
        <v>50621</v>
      </c>
      <c r="N24589" t="str">
        <f>"1/16/2025 10:44:00 AM"</f>
        <v>1/16/2025 10:44:00 AM</v>
      </c>
      <c r="O24589" t="s">
        <v>74175</v>
      </c>
    </row>
    <row r="24590" spans="1:20" x14ac:dyDescent="0.25">
      <c r="A24590" t="str">
        <f>"3057959"</f>
        <v>3057959</v>
      </c>
      <c r="B24590" t="s">
        <v>74177</v>
      </c>
      <c r="C24590" t="str">
        <f>"8315509"</f>
        <v>8315509</v>
      </c>
      <c r="D24590" t="s">
        <v>74178</v>
      </c>
      <c r="F24590" t="s">
        <v>74179</v>
      </c>
      <c r="I24590" t="s">
        <v>184</v>
      </c>
      <c r="J24590" t="s">
        <v>30</v>
      </c>
      <c r="K24590" t="s">
        <v>5909</v>
      </c>
      <c r="M24590" t="s">
        <v>50621</v>
      </c>
      <c r="N24590" t="str">
        <f>"1/16/2025 10:45:00 AM"</f>
        <v>1/16/2025 10:45:00 AM</v>
      </c>
      <c r="O24590" t="s">
        <v>74178</v>
      </c>
    </row>
    <row r="24591" spans="1:20" x14ac:dyDescent="0.25">
      <c r="A24591" t="str">
        <f>"3037372"</f>
        <v>3037372</v>
      </c>
      <c r="B24591" t="s">
        <v>74180</v>
      </c>
      <c r="C24591" t="str">
        <f>"82524695"</f>
        <v>82524695</v>
      </c>
      <c r="D24591" t="s">
        <v>74181</v>
      </c>
      <c r="E24591" t="s">
        <v>74182</v>
      </c>
      <c r="F24591" t="s">
        <v>74183</v>
      </c>
      <c r="I24591" t="s">
        <v>184</v>
      </c>
      <c r="J24591" t="s">
        <v>30</v>
      </c>
      <c r="K24591" t="s">
        <v>74184</v>
      </c>
      <c r="M24591" t="s">
        <v>50621</v>
      </c>
      <c r="N24591" t="str">
        <f>"1/16/2025 10:47:00 AM"</f>
        <v>1/16/2025 10:47:00 AM</v>
      </c>
      <c r="O24591" t="s">
        <v>74181</v>
      </c>
      <c r="T24591" t="s">
        <v>74182</v>
      </c>
    </row>
    <row r="24592" spans="1:20" x14ac:dyDescent="0.25">
      <c r="A24592" t="str">
        <f>"3046201"</f>
        <v>3046201</v>
      </c>
      <c r="B24592" t="s">
        <v>74185</v>
      </c>
      <c r="C24592" t="str">
        <f>"8316481"</f>
        <v>8316481</v>
      </c>
      <c r="D24592" t="s">
        <v>74186</v>
      </c>
      <c r="F24592" t="s">
        <v>74187</v>
      </c>
      <c r="I24592" t="s">
        <v>29</v>
      </c>
      <c r="J24592" t="s">
        <v>30</v>
      </c>
      <c r="K24592" t="s">
        <v>49595</v>
      </c>
      <c r="M24592" t="s">
        <v>50621</v>
      </c>
      <c r="N24592" t="str">
        <f>"1/16/2025 10:55:00 AM"</f>
        <v>1/16/2025 10:55:00 AM</v>
      </c>
      <c r="O24592" t="s">
        <v>74186</v>
      </c>
    </row>
    <row r="24593" spans="1:20" x14ac:dyDescent="0.25">
      <c r="A24593" t="str">
        <f>"3049409"</f>
        <v>3049409</v>
      </c>
      <c r="B24593" t="s">
        <v>74188</v>
      </c>
      <c r="C24593" t="str">
        <f>"8322556"</f>
        <v>8322556</v>
      </c>
      <c r="D24593" t="s">
        <v>74189</v>
      </c>
      <c r="F24593" t="s">
        <v>74190</v>
      </c>
      <c r="I24593" t="s">
        <v>471</v>
      </c>
      <c r="J24593" t="s">
        <v>30</v>
      </c>
      <c r="K24593" t="s">
        <v>74191</v>
      </c>
      <c r="M24593" t="s">
        <v>50793</v>
      </c>
      <c r="N24593" t="str">
        <f>"1/16/2025 10:56:00 AM"</f>
        <v>1/16/2025 10:56:00 AM</v>
      </c>
      <c r="O24593" t="s">
        <v>74189</v>
      </c>
    </row>
    <row r="24594" spans="1:20" x14ac:dyDescent="0.25">
      <c r="A24594" t="str">
        <f>"3055704"</f>
        <v>3055704</v>
      </c>
      <c r="B24594" t="s">
        <v>74192</v>
      </c>
      <c r="C24594" t="str">
        <f t="shared" ref="C24594:C24599" si="388">"8320247"</f>
        <v>8320247</v>
      </c>
      <c r="D24594" t="s">
        <v>74193</v>
      </c>
      <c r="F24594" t="s">
        <v>74194</v>
      </c>
      <c r="I24594" t="s">
        <v>17921</v>
      </c>
      <c r="J24594" t="s">
        <v>30</v>
      </c>
      <c r="K24594" t="str">
        <f t="shared" ref="K24594:K24599" si="389">"27028"</f>
        <v>27028</v>
      </c>
      <c r="M24594" t="s">
        <v>50621</v>
      </c>
      <c r="N24594" t="str">
        <f t="shared" ref="N24594:N24599" si="390">"1/16/2025 10:57:00 AM"</f>
        <v>1/16/2025 10:57:00 AM</v>
      </c>
      <c r="O24594" t="s">
        <v>74193</v>
      </c>
    </row>
    <row r="24595" spans="1:20" x14ac:dyDescent="0.25">
      <c r="A24595" t="str">
        <f>"3054549"</f>
        <v>3054549</v>
      </c>
      <c r="B24595" t="s">
        <v>74195</v>
      </c>
      <c r="C24595" t="str">
        <f t="shared" si="388"/>
        <v>8320247</v>
      </c>
      <c r="D24595" t="s">
        <v>74193</v>
      </c>
      <c r="F24595" t="s">
        <v>74194</v>
      </c>
      <c r="I24595" t="s">
        <v>17921</v>
      </c>
      <c r="J24595" t="s">
        <v>30</v>
      </c>
      <c r="K24595" t="str">
        <f t="shared" si="389"/>
        <v>27028</v>
      </c>
      <c r="M24595" t="s">
        <v>50621</v>
      </c>
      <c r="N24595" t="str">
        <f t="shared" si="390"/>
        <v>1/16/2025 10:57:00 AM</v>
      </c>
      <c r="O24595" t="s">
        <v>74193</v>
      </c>
    </row>
    <row r="24596" spans="1:20" x14ac:dyDescent="0.25">
      <c r="A24596" t="str">
        <f>"3054032"</f>
        <v>3054032</v>
      </c>
      <c r="B24596" t="s">
        <v>74196</v>
      </c>
      <c r="C24596" t="str">
        <f t="shared" si="388"/>
        <v>8320247</v>
      </c>
      <c r="D24596" t="s">
        <v>74193</v>
      </c>
      <c r="F24596" t="s">
        <v>74194</v>
      </c>
      <c r="I24596" t="s">
        <v>17921</v>
      </c>
      <c r="J24596" t="s">
        <v>30</v>
      </c>
      <c r="K24596" t="str">
        <f t="shared" si="389"/>
        <v>27028</v>
      </c>
      <c r="M24596" t="s">
        <v>50621</v>
      </c>
      <c r="N24596" t="str">
        <f t="shared" si="390"/>
        <v>1/16/2025 10:57:00 AM</v>
      </c>
      <c r="O24596" t="s">
        <v>74193</v>
      </c>
    </row>
    <row r="24597" spans="1:20" x14ac:dyDescent="0.25">
      <c r="A24597" t="str">
        <f>"3078804"</f>
        <v>3078804</v>
      </c>
      <c r="B24597" t="s">
        <v>74197</v>
      </c>
      <c r="C24597" t="str">
        <f t="shared" si="388"/>
        <v>8320247</v>
      </c>
      <c r="D24597" t="s">
        <v>74193</v>
      </c>
      <c r="F24597" t="s">
        <v>74194</v>
      </c>
      <c r="I24597" t="s">
        <v>17921</v>
      </c>
      <c r="J24597" t="s">
        <v>30</v>
      </c>
      <c r="K24597" t="str">
        <f t="shared" si="389"/>
        <v>27028</v>
      </c>
      <c r="M24597" t="s">
        <v>50621</v>
      </c>
      <c r="N24597" t="str">
        <f t="shared" si="390"/>
        <v>1/16/2025 10:57:00 AM</v>
      </c>
      <c r="O24597" t="s">
        <v>74193</v>
      </c>
    </row>
    <row r="24598" spans="1:20" x14ac:dyDescent="0.25">
      <c r="A24598" t="str">
        <f>"3078802"</f>
        <v>3078802</v>
      </c>
      <c r="B24598" t="s">
        <v>74198</v>
      </c>
      <c r="C24598" t="str">
        <f t="shared" si="388"/>
        <v>8320247</v>
      </c>
      <c r="D24598" t="s">
        <v>74193</v>
      </c>
      <c r="F24598" t="s">
        <v>74194</v>
      </c>
      <c r="I24598" t="s">
        <v>17921</v>
      </c>
      <c r="J24598" t="s">
        <v>30</v>
      </c>
      <c r="K24598" t="str">
        <f t="shared" si="389"/>
        <v>27028</v>
      </c>
      <c r="M24598" t="s">
        <v>50621</v>
      </c>
      <c r="N24598" t="str">
        <f t="shared" si="390"/>
        <v>1/16/2025 10:57:00 AM</v>
      </c>
      <c r="O24598" t="s">
        <v>74193</v>
      </c>
    </row>
    <row r="24599" spans="1:20" x14ac:dyDescent="0.25">
      <c r="A24599" t="str">
        <f>"3078803"</f>
        <v>3078803</v>
      </c>
      <c r="B24599" t="s">
        <v>74199</v>
      </c>
      <c r="C24599" t="str">
        <f t="shared" si="388"/>
        <v>8320247</v>
      </c>
      <c r="D24599" t="s">
        <v>74193</v>
      </c>
      <c r="F24599" t="s">
        <v>74194</v>
      </c>
      <c r="I24599" t="s">
        <v>17921</v>
      </c>
      <c r="J24599" t="s">
        <v>30</v>
      </c>
      <c r="K24599" t="str">
        <f t="shared" si="389"/>
        <v>27028</v>
      </c>
      <c r="M24599" t="s">
        <v>50621</v>
      </c>
      <c r="N24599" t="str">
        <f t="shared" si="390"/>
        <v>1/16/2025 10:57:00 AM</v>
      </c>
      <c r="O24599" t="s">
        <v>74193</v>
      </c>
    </row>
    <row r="24600" spans="1:20" x14ac:dyDescent="0.25">
      <c r="A24600" t="str">
        <f>"3041613"</f>
        <v>3041613</v>
      </c>
      <c r="B24600" t="s">
        <v>74200</v>
      </c>
      <c r="C24600" t="str">
        <f>"8316171"</f>
        <v>8316171</v>
      </c>
      <c r="D24600" t="s">
        <v>74201</v>
      </c>
      <c r="F24600" t="s">
        <v>51618</v>
      </c>
      <c r="I24600" t="s">
        <v>2071</v>
      </c>
      <c r="J24600" t="s">
        <v>30</v>
      </c>
      <c r="K24600" t="s">
        <v>51619</v>
      </c>
      <c r="M24600" t="s">
        <v>50793</v>
      </c>
      <c r="N24600" t="str">
        <f>"1/16/2025 10:58:00 AM"</f>
        <v>1/16/2025 10:58:00 AM</v>
      </c>
      <c r="O24600" t="s">
        <v>74201</v>
      </c>
    </row>
    <row r="24601" spans="1:20" x14ac:dyDescent="0.25">
      <c r="A24601" t="str">
        <f>"3046762"</f>
        <v>3046762</v>
      </c>
      <c r="B24601" t="s">
        <v>74202</v>
      </c>
      <c r="C24601" t="str">
        <f>"8313666"</f>
        <v>8313666</v>
      </c>
      <c r="D24601" t="s">
        <v>74203</v>
      </c>
      <c r="F24601" t="s">
        <v>74204</v>
      </c>
      <c r="I24601" t="s">
        <v>184</v>
      </c>
      <c r="J24601" t="s">
        <v>30</v>
      </c>
      <c r="K24601" t="str">
        <f>"27006"</f>
        <v>27006</v>
      </c>
      <c r="M24601" t="s">
        <v>50621</v>
      </c>
      <c r="N24601" t="str">
        <f>"1/16/2025 10:59:00 AM"</f>
        <v>1/16/2025 10:59:00 AM</v>
      </c>
      <c r="O24601" t="s">
        <v>74203</v>
      </c>
    </row>
    <row r="24602" spans="1:20" x14ac:dyDescent="0.25">
      <c r="A24602" t="str">
        <f>"3051808"</f>
        <v>3051808</v>
      </c>
      <c r="B24602" t="s">
        <v>74205</v>
      </c>
      <c r="C24602" t="str">
        <f>"8315398"</f>
        <v>8315398</v>
      </c>
      <c r="D24602" t="s">
        <v>74206</v>
      </c>
      <c r="F24602" t="s">
        <v>74207</v>
      </c>
      <c r="I24602" t="s">
        <v>74208</v>
      </c>
      <c r="J24602" t="s">
        <v>30</v>
      </c>
      <c r="K24602" t="s">
        <v>74209</v>
      </c>
      <c r="M24602" t="s">
        <v>50793</v>
      </c>
      <c r="N24602" t="str">
        <f>"1/16/2025 11:01:00 AM"</f>
        <v>1/16/2025 11:01:00 AM</v>
      </c>
      <c r="O24602" t="s">
        <v>74206</v>
      </c>
    </row>
    <row r="24603" spans="1:20" x14ac:dyDescent="0.25">
      <c r="A24603" t="str">
        <f>"3051809"</f>
        <v>3051809</v>
      </c>
      <c r="B24603" t="s">
        <v>74210</v>
      </c>
      <c r="C24603" t="str">
        <f>"8315398"</f>
        <v>8315398</v>
      </c>
      <c r="D24603" t="s">
        <v>74206</v>
      </c>
      <c r="F24603" t="s">
        <v>74207</v>
      </c>
      <c r="I24603" t="s">
        <v>74208</v>
      </c>
      <c r="J24603" t="s">
        <v>30</v>
      </c>
      <c r="K24603" t="s">
        <v>74209</v>
      </c>
      <c r="M24603" t="s">
        <v>50793</v>
      </c>
      <c r="N24603" t="str">
        <f>"1/16/2025 11:01:00 AM"</f>
        <v>1/16/2025 11:01:00 AM</v>
      </c>
      <c r="O24603" t="s">
        <v>74206</v>
      </c>
    </row>
    <row r="24604" spans="1:20" x14ac:dyDescent="0.25">
      <c r="A24604" t="str">
        <f>"3040457"</f>
        <v>3040457</v>
      </c>
      <c r="B24604" t="s">
        <v>74211</v>
      </c>
      <c r="C24604" t="str">
        <f>"58920700"</f>
        <v>58920700</v>
      </c>
      <c r="D24604" t="s">
        <v>74212</v>
      </c>
      <c r="E24604" t="s">
        <v>74213</v>
      </c>
      <c r="F24604" t="s">
        <v>74214</v>
      </c>
      <c r="I24604" t="s">
        <v>29</v>
      </c>
      <c r="J24604" t="s">
        <v>30</v>
      </c>
      <c r="K24604" t="s">
        <v>74215</v>
      </c>
      <c r="M24604" t="s">
        <v>50793</v>
      </c>
      <c r="N24604" t="str">
        <f>"1/16/2025 11:03:00 AM"</f>
        <v>1/16/2025 11:03:00 AM</v>
      </c>
      <c r="O24604" t="s">
        <v>74212</v>
      </c>
      <c r="T24604" t="s">
        <v>74213</v>
      </c>
    </row>
    <row r="24605" spans="1:20" x14ac:dyDescent="0.25">
      <c r="A24605" t="str">
        <f>"3055496"</f>
        <v>3055496</v>
      </c>
      <c r="B24605" t="s">
        <v>74216</v>
      </c>
      <c r="C24605" t="str">
        <f>"82517112"</f>
        <v>82517112</v>
      </c>
      <c r="D24605" t="s">
        <v>74217</v>
      </c>
      <c r="E24605" t="s">
        <v>74218</v>
      </c>
      <c r="F24605" t="s">
        <v>74219</v>
      </c>
      <c r="I24605" t="s">
        <v>29</v>
      </c>
      <c r="J24605" t="s">
        <v>30</v>
      </c>
      <c r="K24605" t="s">
        <v>31</v>
      </c>
      <c r="M24605" t="s">
        <v>50621</v>
      </c>
      <c r="N24605" t="str">
        <f>"1/16/2025 11:04:00 AM"</f>
        <v>1/16/2025 11:04:00 AM</v>
      </c>
      <c r="O24605" t="s">
        <v>74217</v>
      </c>
      <c r="T24605" t="s">
        <v>74218</v>
      </c>
    </row>
    <row r="24606" spans="1:20" x14ac:dyDescent="0.25">
      <c r="A24606" t="str">
        <f>"3054372"</f>
        <v>3054372</v>
      </c>
      <c r="B24606" t="s">
        <v>74220</v>
      </c>
      <c r="C24606" t="str">
        <f>"70462000"</f>
        <v>70462000</v>
      </c>
      <c r="D24606" t="s">
        <v>74221</v>
      </c>
      <c r="F24606" t="s">
        <v>74222</v>
      </c>
      <c r="I24606" t="s">
        <v>29</v>
      </c>
      <c r="J24606" t="s">
        <v>30</v>
      </c>
      <c r="K24606" t="s">
        <v>31</v>
      </c>
      <c r="M24606" t="s">
        <v>50621</v>
      </c>
      <c r="N24606" t="str">
        <f>"1/16/2025 11:06:00 AM"</f>
        <v>1/16/2025 11:06:00 AM</v>
      </c>
      <c r="O24606" t="s">
        <v>74221</v>
      </c>
    </row>
    <row r="24607" spans="1:20" x14ac:dyDescent="0.25">
      <c r="A24607" t="str">
        <f>"3054792"</f>
        <v>3054792</v>
      </c>
      <c r="B24607" t="s">
        <v>74223</v>
      </c>
      <c r="C24607" t="str">
        <f>"70462000"</f>
        <v>70462000</v>
      </c>
      <c r="D24607" t="s">
        <v>74221</v>
      </c>
      <c r="F24607" t="s">
        <v>74222</v>
      </c>
      <c r="I24607" t="s">
        <v>29</v>
      </c>
      <c r="J24607" t="s">
        <v>30</v>
      </c>
      <c r="K24607" t="s">
        <v>31</v>
      </c>
      <c r="M24607" t="s">
        <v>50621</v>
      </c>
      <c r="N24607" t="str">
        <f>"1/16/2025 11:06:00 AM"</f>
        <v>1/16/2025 11:06:00 AM</v>
      </c>
      <c r="O24607" t="s">
        <v>74221</v>
      </c>
    </row>
    <row r="24608" spans="1:20" x14ac:dyDescent="0.25">
      <c r="A24608" t="str">
        <f>"3055739"</f>
        <v>3055739</v>
      </c>
      <c r="B24608" t="s">
        <v>74224</v>
      </c>
      <c r="C24608" t="str">
        <f>"70462000"</f>
        <v>70462000</v>
      </c>
      <c r="D24608" t="s">
        <v>74221</v>
      </c>
      <c r="F24608" t="s">
        <v>74222</v>
      </c>
      <c r="I24608" t="s">
        <v>29</v>
      </c>
      <c r="J24608" t="s">
        <v>30</v>
      </c>
      <c r="K24608" t="s">
        <v>31</v>
      </c>
      <c r="M24608" t="s">
        <v>50621</v>
      </c>
      <c r="N24608" t="str">
        <f>"1/16/2025 11:06:00 AM"</f>
        <v>1/16/2025 11:06:00 AM</v>
      </c>
      <c r="O24608" t="s">
        <v>74221</v>
      </c>
    </row>
    <row r="24609" spans="1:20" x14ac:dyDescent="0.25">
      <c r="A24609" t="str">
        <f>"3047978"</f>
        <v>3047978</v>
      </c>
      <c r="B24609" t="s">
        <v>74225</v>
      </c>
      <c r="C24609" t="str">
        <f>"70462000"</f>
        <v>70462000</v>
      </c>
      <c r="D24609" t="s">
        <v>74221</v>
      </c>
      <c r="F24609" t="s">
        <v>74222</v>
      </c>
      <c r="I24609" t="s">
        <v>29</v>
      </c>
      <c r="J24609" t="s">
        <v>30</v>
      </c>
      <c r="K24609" t="s">
        <v>31</v>
      </c>
      <c r="M24609" t="s">
        <v>50621</v>
      </c>
      <c r="N24609" t="str">
        <f>"1/16/2025 11:06:00 AM"</f>
        <v>1/16/2025 11:06:00 AM</v>
      </c>
      <c r="O24609" t="s">
        <v>74221</v>
      </c>
    </row>
    <row r="24610" spans="1:20" x14ac:dyDescent="0.25">
      <c r="A24610" t="str">
        <f>"3049266"</f>
        <v>3049266</v>
      </c>
      <c r="B24610" t="s">
        <v>74226</v>
      </c>
      <c r="C24610" t="str">
        <f>"8322697"</f>
        <v>8322697</v>
      </c>
      <c r="D24610" t="s">
        <v>74227</v>
      </c>
      <c r="E24610" t="s">
        <v>74228</v>
      </c>
      <c r="F24610" t="s">
        <v>74229</v>
      </c>
      <c r="I24610" t="s">
        <v>184</v>
      </c>
      <c r="J24610" t="s">
        <v>30</v>
      </c>
      <c r="K24610" t="s">
        <v>35200</v>
      </c>
      <c r="M24610" t="s">
        <v>50621</v>
      </c>
      <c r="N24610" t="str">
        <f>"1/16/2025 11:09:00 AM"</f>
        <v>1/16/2025 11:09:00 AM</v>
      </c>
      <c r="O24610" t="s">
        <v>74227</v>
      </c>
      <c r="T24610" t="s">
        <v>74228</v>
      </c>
    </row>
    <row r="24611" spans="1:20" x14ac:dyDescent="0.25">
      <c r="A24611" t="str">
        <f>"3061096"</f>
        <v>3061096</v>
      </c>
      <c r="B24611" t="s">
        <v>74230</v>
      </c>
      <c r="C24611" t="str">
        <f>"8318779"</f>
        <v>8318779</v>
      </c>
      <c r="D24611" t="s">
        <v>74231</v>
      </c>
      <c r="E24611" t="s">
        <v>74232</v>
      </c>
      <c r="F24611" t="s">
        <v>74233</v>
      </c>
      <c r="I24611" t="s">
        <v>184</v>
      </c>
      <c r="J24611" t="s">
        <v>30</v>
      </c>
      <c r="K24611" t="s">
        <v>35543</v>
      </c>
      <c r="M24611" t="s">
        <v>50793</v>
      </c>
      <c r="N24611" t="str">
        <f>"1/16/2025 11:08:00 AM"</f>
        <v>1/16/2025 11:08:00 AM</v>
      </c>
      <c r="O24611" t="s">
        <v>74231</v>
      </c>
      <c r="T24611" t="s">
        <v>74232</v>
      </c>
    </row>
    <row r="24612" spans="1:20" x14ac:dyDescent="0.25">
      <c r="A24612" t="str">
        <f>"3049137"</f>
        <v>3049137</v>
      </c>
      <c r="B24612" t="s">
        <v>74234</v>
      </c>
      <c r="C24612" t="str">
        <f>"82530641"</f>
        <v>82530641</v>
      </c>
      <c r="D24612" t="s">
        <v>74235</v>
      </c>
      <c r="E24612" t="s">
        <v>74236</v>
      </c>
      <c r="F24612" t="s">
        <v>74237</v>
      </c>
      <c r="I24612" t="s">
        <v>74238</v>
      </c>
      <c r="J24612" t="s">
        <v>30</v>
      </c>
      <c r="K24612" t="s">
        <v>74239</v>
      </c>
      <c r="M24612" t="s">
        <v>50793</v>
      </c>
      <c r="N24612" t="str">
        <f>"1/16/2025 11:18:00 AM"</f>
        <v>1/16/2025 11:18:00 AM</v>
      </c>
      <c r="O24612" t="s">
        <v>74235</v>
      </c>
      <c r="T24612" t="s">
        <v>74236</v>
      </c>
    </row>
    <row r="24613" spans="1:20" x14ac:dyDescent="0.25">
      <c r="A24613" t="str">
        <f>"3049089"</f>
        <v>3049089</v>
      </c>
      <c r="B24613" t="s">
        <v>74240</v>
      </c>
      <c r="C24613" t="str">
        <f>"82530641"</f>
        <v>82530641</v>
      </c>
      <c r="D24613" t="s">
        <v>74235</v>
      </c>
      <c r="E24613" t="s">
        <v>74236</v>
      </c>
      <c r="F24613" t="s">
        <v>74237</v>
      </c>
      <c r="I24613" t="s">
        <v>74238</v>
      </c>
      <c r="J24613" t="s">
        <v>30</v>
      </c>
      <c r="K24613" t="s">
        <v>74239</v>
      </c>
      <c r="M24613" t="s">
        <v>50793</v>
      </c>
      <c r="N24613" t="str">
        <f>"1/16/2025 11:18:00 AM"</f>
        <v>1/16/2025 11:18:00 AM</v>
      </c>
      <c r="O24613" t="s">
        <v>74235</v>
      </c>
      <c r="T24613" t="s">
        <v>74236</v>
      </c>
    </row>
    <row r="24614" spans="1:20" x14ac:dyDescent="0.25">
      <c r="A24614" t="str">
        <f>"3049090"</f>
        <v>3049090</v>
      </c>
      <c r="B24614" t="s">
        <v>74241</v>
      </c>
      <c r="C24614" t="str">
        <f>"82530641"</f>
        <v>82530641</v>
      </c>
      <c r="D24614" t="s">
        <v>74235</v>
      </c>
      <c r="E24614" t="s">
        <v>74236</v>
      </c>
      <c r="F24614" t="s">
        <v>74237</v>
      </c>
      <c r="I24614" t="s">
        <v>74238</v>
      </c>
      <c r="J24614" t="s">
        <v>30</v>
      </c>
      <c r="K24614" t="s">
        <v>74239</v>
      </c>
      <c r="M24614" t="s">
        <v>50793</v>
      </c>
      <c r="N24614" t="str">
        <f>"1/16/2025 11:18:00 AM"</f>
        <v>1/16/2025 11:18:00 AM</v>
      </c>
      <c r="O24614" t="s">
        <v>74235</v>
      </c>
      <c r="T24614" t="s">
        <v>74236</v>
      </c>
    </row>
    <row r="24615" spans="1:20" x14ac:dyDescent="0.25">
      <c r="A24615" t="str">
        <f>"3041822"</f>
        <v>3041822</v>
      </c>
      <c r="B24615" t="s">
        <v>74242</v>
      </c>
      <c r="C24615" t="str">
        <f>"8315160"</f>
        <v>8315160</v>
      </c>
      <c r="D24615" t="s">
        <v>74243</v>
      </c>
      <c r="E24615" t="s">
        <v>74244</v>
      </c>
      <c r="F24615" t="s">
        <v>74245</v>
      </c>
      <c r="I24615" t="s">
        <v>2071</v>
      </c>
      <c r="J24615" t="s">
        <v>30</v>
      </c>
      <c r="K24615" t="s">
        <v>4142</v>
      </c>
      <c r="M24615" t="s">
        <v>50793</v>
      </c>
      <c r="N24615" t="str">
        <f>"1/16/2025 11:20:00 AM"</f>
        <v>1/16/2025 11:20:00 AM</v>
      </c>
      <c r="O24615" t="s">
        <v>74243</v>
      </c>
      <c r="T24615" t="s">
        <v>74244</v>
      </c>
    </row>
    <row r="24616" spans="1:20" x14ac:dyDescent="0.25">
      <c r="A24616" t="str">
        <f>"3044107"</f>
        <v>3044107</v>
      </c>
      <c r="B24616" t="s">
        <v>74246</v>
      </c>
      <c r="C24616" t="str">
        <f>"41246000"</f>
        <v>41246000</v>
      </c>
      <c r="D24616" t="s">
        <v>74247</v>
      </c>
      <c r="E24616" t="s">
        <v>74248</v>
      </c>
      <c r="F24616" t="s">
        <v>74249</v>
      </c>
      <c r="I24616" t="s">
        <v>29</v>
      </c>
      <c r="J24616" t="s">
        <v>30</v>
      </c>
      <c r="K24616" t="s">
        <v>74250</v>
      </c>
      <c r="M24616" t="s">
        <v>50621</v>
      </c>
      <c r="N24616" t="str">
        <f>"1/16/2025 11:20:00 AM"</f>
        <v>1/16/2025 11:20:00 AM</v>
      </c>
      <c r="O24616" t="s">
        <v>74247</v>
      </c>
      <c r="T24616" t="s">
        <v>74248</v>
      </c>
    </row>
    <row r="24617" spans="1:20" x14ac:dyDescent="0.25">
      <c r="A24617" t="str">
        <f>"3055044"</f>
        <v>3055044</v>
      </c>
      <c r="B24617" t="s">
        <v>74251</v>
      </c>
      <c r="C24617" t="str">
        <f>"41246000"</f>
        <v>41246000</v>
      </c>
      <c r="D24617" t="s">
        <v>74247</v>
      </c>
      <c r="E24617" t="s">
        <v>74248</v>
      </c>
      <c r="F24617" t="s">
        <v>74249</v>
      </c>
      <c r="I24617" t="s">
        <v>29</v>
      </c>
      <c r="J24617" t="s">
        <v>30</v>
      </c>
      <c r="K24617" t="s">
        <v>74250</v>
      </c>
      <c r="M24617" t="s">
        <v>50621</v>
      </c>
      <c r="N24617" t="str">
        <f>"1/16/2025 11:20:00 AM"</f>
        <v>1/16/2025 11:20:00 AM</v>
      </c>
      <c r="O24617" t="s">
        <v>74247</v>
      </c>
      <c r="T24617" t="s">
        <v>74248</v>
      </c>
    </row>
    <row r="24618" spans="1:20" x14ac:dyDescent="0.25">
      <c r="A24618" t="str">
        <f>"3051709"</f>
        <v>3051709</v>
      </c>
      <c r="B24618" t="s">
        <v>74252</v>
      </c>
      <c r="C24618" t="str">
        <f>"19465930"</f>
        <v>19465930</v>
      </c>
      <c r="D24618" t="s">
        <v>74253</v>
      </c>
      <c r="E24618" t="str">
        <f>"C/O QST INDUSTRIES"</f>
        <v>C/O QST INDUSTRIES</v>
      </c>
      <c r="F24618" t="s">
        <v>54051</v>
      </c>
      <c r="G24618" t="s">
        <v>74254</v>
      </c>
      <c r="I24618" t="s">
        <v>54052</v>
      </c>
      <c r="J24618" t="s">
        <v>30197</v>
      </c>
      <c r="K24618" t="s">
        <v>54053</v>
      </c>
      <c r="M24618" t="s">
        <v>50793</v>
      </c>
      <c r="N24618" t="str">
        <f>"1/16/2025 11:20:00 AM"</f>
        <v>1/16/2025 11:20:00 AM</v>
      </c>
      <c r="O24618" t="s">
        <v>74253</v>
      </c>
      <c r="T24618" t="str">
        <f>"C/O QST INDUSTRIES"</f>
        <v>C/O QST INDUSTRIES</v>
      </c>
    </row>
    <row r="24619" spans="1:20" x14ac:dyDescent="0.25">
      <c r="A24619" t="str">
        <f>"3041756"</f>
        <v>3041756</v>
      </c>
      <c r="B24619" t="s">
        <v>74255</v>
      </c>
      <c r="C24619" t="str">
        <f>"8304070"</f>
        <v>8304070</v>
      </c>
      <c r="D24619" t="s">
        <v>74256</v>
      </c>
      <c r="E24619" t="s">
        <v>74257</v>
      </c>
      <c r="F24619" t="s">
        <v>74258</v>
      </c>
      <c r="I24619" t="s">
        <v>2071</v>
      </c>
      <c r="J24619" t="s">
        <v>30</v>
      </c>
      <c r="K24619" t="str">
        <f>"27006"</f>
        <v>27006</v>
      </c>
      <c r="M24619" t="s">
        <v>50621</v>
      </c>
      <c r="N24619" t="str">
        <f>"1/16/2025 11:23:00 AM"</f>
        <v>1/16/2025 11:23:00 AM</v>
      </c>
      <c r="O24619" t="s">
        <v>74256</v>
      </c>
      <c r="T24619" t="s">
        <v>74257</v>
      </c>
    </row>
    <row r="24620" spans="1:20" x14ac:dyDescent="0.25">
      <c r="A24620" t="str">
        <f>"3045239"</f>
        <v>3045239</v>
      </c>
      <c r="B24620" t="s">
        <v>74259</v>
      </c>
      <c r="C24620" t="str">
        <f>"8305334"</f>
        <v>8305334</v>
      </c>
      <c r="D24620" t="s">
        <v>74260</v>
      </c>
      <c r="E24620" t="s">
        <v>58158</v>
      </c>
      <c r="F24620" t="s">
        <v>58159</v>
      </c>
      <c r="I24620" t="s">
        <v>29</v>
      </c>
      <c r="J24620" t="s">
        <v>30</v>
      </c>
      <c r="K24620" t="s">
        <v>7800</v>
      </c>
      <c r="M24620" t="s">
        <v>50793</v>
      </c>
      <c r="N24620" t="str">
        <f>"1/16/2025 11:24:00 AM"</f>
        <v>1/16/2025 11:24:00 AM</v>
      </c>
      <c r="O24620" t="s">
        <v>74260</v>
      </c>
      <c r="T24620" t="s">
        <v>58158</v>
      </c>
    </row>
    <row r="24621" spans="1:20" x14ac:dyDescent="0.25">
      <c r="A24621" t="str">
        <f>"3048633"</f>
        <v>3048633</v>
      </c>
      <c r="B24621" t="s">
        <v>74261</v>
      </c>
      <c r="C24621" t="str">
        <f>"8306990"</f>
        <v>8306990</v>
      </c>
      <c r="D24621" t="s">
        <v>74262</v>
      </c>
      <c r="E24621" t="s">
        <v>74263</v>
      </c>
      <c r="F24621" t="s">
        <v>74264</v>
      </c>
      <c r="I24621" t="s">
        <v>184</v>
      </c>
      <c r="J24621" t="s">
        <v>30</v>
      </c>
      <c r="K24621" t="str">
        <f>"27006"</f>
        <v>27006</v>
      </c>
      <c r="M24621" t="s">
        <v>50621</v>
      </c>
      <c r="N24621" t="str">
        <f>"1/16/2025 11:24:00 AM"</f>
        <v>1/16/2025 11:24:00 AM</v>
      </c>
      <c r="O24621" t="s">
        <v>74262</v>
      </c>
      <c r="T24621" t="s">
        <v>74263</v>
      </c>
    </row>
    <row r="24622" spans="1:20" x14ac:dyDescent="0.25">
      <c r="A24622" t="str">
        <f>"3049702"</f>
        <v>3049702</v>
      </c>
      <c r="B24622" t="s">
        <v>74265</v>
      </c>
      <c r="C24622" t="str">
        <f>"8305307"</f>
        <v>8305307</v>
      </c>
      <c r="D24622" t="s">
        <v>74266</v>
      </c>
      <c r="E24622" t="s">
        <v>74267</v>
      </c>
      <c r="F24622" t="s">
        <v>74268</v>
      </c>
      <c r="I24622" t="s">
        <v>29</v>
      </c>
      <c r="J24622" t="s">
        <v>30</v>
      </c>
      <c r="K24622" t="str">
        <f>"27028"</f>
        <v>27028</v>
      </c>
      <c r="M24622" t="s">
        <v>50621</v>
      </c>
      <c r="N24622" t="str">
        <f>"1/16/2025 11:26:00 AM"</f>
        <v>1/16/2025 11:26:00 AM</v>
      </c>
      <c r="O24622" t="s">
        <v>74266</v>
      </c>
      <c r="T24622" t="s">
        <v>74267</v>
      </c>
    </row>
    <row r="24623" spans="1:20" x14ac:dyDescent="0.25">
      <c r="A24623" t="str">
        <f>"3070704"</f>
        <v>3070704</v>
      </c>
      <c r="B24623" t="s">
        <v>74269</v>
      </c>
      <c r="C24623" t="str">
        <f>"8305307"</f>
        <v>8305307</v>
      </c>
      <c r="D24623" t="s">
        <v>74266</v>
      </c>
      <c r="E24623" t="s">
        <v>74267</v>
      </c>
      <c r="F24623" t="s">
        <v>74268</v>
      </c>
      <c r="I24623" t="s">
        <v>29</v>
      </c>
      <c r="J24623" t="s">
        <v>30</v>
      </c>
      <c r="K24623" t="str">
        <f>"27028"</f>
        <v>27028</v>
      </c>
      <c r="M24623" t="s">
        <v>50621</v>
      </c>
      <c r="N24623" t="str">
        <f>"1/16/2025 11:26:00 AM"</f>
        <v>1/16/2025 11:26:00 AM</v>
      </c>
      <c r="O24623" t="s">
        <v>74266</v>
      </c>
      <c r="T24623" t="s">
        <v>74267</v>
      </c>
    </row>
    <row r="24624" spans="1:20" x14ac:dyDescent="0.25">
      <c r="A24624" t="str">
        <f>"3070707"</f>
        <v>3070707</v>
      </c>
      <c r="B24624" t="s">
        <v>74270</v>
      </c>
      <c r="C24624" t="str">
        <f>"8305307"</f>
        <v>8305307</v>
      </c>
      <c r="D24624" t="s">
        <v>74266</v>
      </c>
      <c r="E24624" t="s">
        <v>74267</v>
      </c>
      <c r="F24624" t="s">
        <v>74268</v>
      </c>
      <c r="I24624" t="s">
        <v>29</v>
      </c>
      <c r="J24624" t="s">
        <v>30</v>
      </c>
      <c r="K24624" t="str">
        <f>"27028"</f>
        <v>27028</v>
      </c>
      <c r="M24624" t="s">
        <v>50621</v>
      </c>
      <c r="N24624" t="str">
        <f>"1/16/2025 11:26:00 AM"</f>
        <v>1/16/2025 11:26:00 AM</v>
      </c>
      <c r="O24624" t="s">
        <v>74266</v>
      </c>
      <c r="T24624" t="s">
        <v>74267</v>
      </c>
    </row>
    <row r="24625" spans="1:20" x14ac:dyDescent="0.25">
      <c r="A24625" t="str">
        <f>"3078434"</f>
        <v>3078434</v>
      </c>
      <c r="B24625" t="s">
        <v>74271</v>
      </c>
      <c r="C24625" t="str">
        <f t="shared" ref="C24625:C24630" si="391">"30116192"</f>
        <v>30116192</v>
      </c>
      <c r="D24625" t="s">
        <v>74272</v>
      </c>
      <c r="F24625" t="s">
        <v>74273</v>
      </c>
      <c r="I24625" t="s">
        <v>29</v>
      </c>
      <c r="J24625" t="s">
        <v>30</v>
      </c>
      <c r="K24625" t="s">
        <v>59005</v>
      </c>
      <c r="M24625" t="s">
        <v>50621</v>
      </c>
      <c r="N24625" t="str">
        <f t="shared" ref="N24625:N24630" si="392">"1/16/2025 11:27:00 AM"</f>
        <v>1/16/2025 11:27:00 AM</v>
      </c>
      <c r="O24625" t="s">
        <v>74272</v>
      </c>
    </row>
    <row r="24626" spans="1:20" x14ac:dyDescent="0.25">
      <c r="A24626" t="str">
        <f>"3062062"</f>
        <v>3062062</v>
      </c>
      <c r="B24626" t="s">
        <v>74274</v>
      </c>
      <c r="C24626" t="str">
        <f t="shared" si="391"/>
        <v>30116192</v>
      </c>
      <c r="D24626" t="s">
        <v>74272</v>
      </c>
      <c r="F24626" t="s">
        <v>74273</v>
      </c>
      <c r="I24626" t="s">
        <v>29</v>
      </c>
      <c r="J24626" t="s">
        <v>30</v>
      </c>
      <c r="K24626" t="s">
        <v>59005</v>
      </c>
      <c r="M24626" t="s">
        <v>50621</v>
      </c>
      <c r="N24626" t="str">
        <f t="shared" si="392"/>
        <v>1/16/2025 11:27:00 AM</v>
      </c>
      <c r="O24626" t="s">
        <v>74272</v>
      </c>
    </row>
    <row r="24627" spans="1:20" x14ac:dyDescent="0.25">
      <c r="A24627" t="str">
        <f>"3059183"</f>
        <v>3059183</v>
      </c>
      <c r="B24627" t="s">
        <v>74275</v>
      </c>
      <c r="C24627" t="str">
        <f t="shared" si="391"/>
        <v>30116192</v>
      </c>
      <c r="D24627" t="s">
        <v>74272</v>
      </c>
      <c r="F24627" t="s">
        <v>74273</v>
      </c>
      <c r="I24627" t="s">
        <v>29</v>
      </c>
      <c r="J24627" t="s">
        <v>30</v>
      </c>
      <c r="K24627" t="s">
        <v>59005</v>
      </c>
      <c r="M24627" t="s">
        <v>50621</v>
      </c>
      <c r="N24627" t="str">
        <f t="shared" si="392"/>
        <v>1/16/2025 11:27:00 AM</v>
      </c>
      <c r="O24627" t="s">
        <v>74272</v>
      </c>
    </row>
    <row r="24628" spans="1:20" x14ac:dyDescent="0.25">
      <c r="A24628" t="str">
        <f>"3059326"</f>
        <v>3059326</v>
      </c>
      <c r="B24628" t="s">
        <v>74276</v>
      </c>
      <c r="C24628" t="str">
        <f t="shared" si="391"/>
        <v>30116192</v>
      </c>
      <c r="D24628" t="s">
        <v>74272</v>
      </c>
      <c r="F24628" t="s">
        <v>74273</v>
      </c>
      <c r="I24628" t="s">
        <v>29</v>
      </c>
      <c r="J24628" t="s">
        <v>30</v>
      </c>
      <c r="K24628" t="s">
        <v>59005</v>
      </c>
      <c r="M24628" t="s">
        <v>50621</v>
      </c>
      <c r="N24628" t="str">
        <f t="shared" si="392"/>
        <v>1/16/2025 11:27:00 AM</v>
      </c>
      <c r="O24628" t="s">
        <v>74272</v>
      </c>
    </row>
    <row r="24629" spans="1:20" x14ac:dyDescent="0.25">
      <c r="A24629" t="str">
        <f>"3050073"</f>
        <v>3050073</v>
      </c>
      <c r="B24629" t="s">
        <v>74277</v>
      </c>
      <c r="C24629" t="str">
        <f t="shared" si="391"/>
        <v>30116192</v>
      </c>
      <c r="D24629" t="s">
        <v>74272</v>
      </c>
      <c r="F24629" t="s">
        <v>74273</v>
      </c>
      <c r="I24629" t="s">
        <v>29</v>
      </c>
      <c r="J24629" t="s">
        <v>30</v>
      </c>
      <c r="K24629" t="s">
        <v>59005</v>
      </c>
      <c r="M24629" t="s">
        <v>50621</v>
      </c>
      <c r="N24629" t="str">
        <f t="shared" si="392"/>
        <v>1/16/2025 11:27:00 AM</v>
      </c>
      <c r="O24629" t="s">
        <v>74272</v>
      </c>
    </row>
    <row r="24630" spans="1:20" x14ac:dyDescent="0.25">
      <c r="A24630" t="str">
        <f>"3037811"</f>
        <v>3037811</v>
      </c>
      <c r="B24630" t="s">
        <v>74278</v>
      </c>
      <c r="C24630" t="str">
        <f t="shared" si="391"/>
        <v>30116192</v>
      </c>
      <c r="D24630" t="s">
        <v>74272</v>
      </c>
      <c r="F24630" t="s">
        <v>74273</v>
      </c>
      <c r="I24630" t="s">
        <v>29</v>
      </c>
      <c r="J24630" t="s">
        <v>30</v>
      </c>
      <c r="K24630" t="s">
        <v>59005</v>
      </c>
      <c r="M24630" t="s">
        <v>50621</v>
      </c>
      <c r="N24630" t="str">
        <f t="shared" si="392"/>
        <v>1/16/2025 11:27:00 AM</v>
      </c>
      <c r="O24630" t="s">
        <v>74272</v>
      </c>
    </row>
    <row r="24631" spans="1:20" x14ac:dyDescent="0.25">
      <c r="A24631" t="str">
        <f>"3042780"</f>
        <v>3042780</v>
      </c>
      <c r="B24631" t="s">
        <v>74279</v>
      </c>
      <c r="C24631" t="str">
        <f>"82529402"</f>
        <v>82529402</v>
      </c>
      <c r="D24631" t="s">
        <v>74280</v>
      </c>
      <c r="F24631" t="s">
        <v>74281</v>
      </c>
      <c r="I24631" t="s">
        <v>17921</v>
      </c>
      <c r="J24631" t="s">
        <v>30</v>
      </c>
      <c r="K24631" t="s">
        <v>31</v>
      </c>
      <c r="M24631" t="s">
        <v>50793</v>
      </c>
      <c r="N24631" t="str">
        <f>"1/16/2025 11:31:00 AM"</f>
        <v>1/16/2025 11:31:00 AM</v>
      </c>
      <c r="O24631" t="s">
        <v>74280</v>
      </c>
    </row>
    <row r="24632" spans="1:20" x14ac:dyDescent="0.25">
      <c r="A24632" t="str">
        <f>"3037695"</f>
        <v>3037695</v>
      </c>
      <c r="B24632" t="s">
        <v>74282</v>
      </c>
      <c r="C24632" t="str">
        <f>"8308940"</f>
        <v>8308940</v>
      </c>
      <c r="D24632" t="s">
        <v>74283</v>
      </c>
      <c r="F24632" t="s">
        <v>74284</v>
      </c>
      <c r="I24632" t="s">
        <v>29</v>
      </c>
      <c r="J24632" t="s">
        <v>30</v>
      </c>
      <c r="K24632" t="s">
        <v>74285</v>
      </c>
      <c r="M24632" t="s">
        <v>50793</v>
      </c>
      <c r="N24632" t="str">
        <f>"1/16/2025 11:32:00 AM"</f>
        <v>1/16/2025 11:32:00 AM</v>
      </c>
      <c r="O24632" t="s">
        <v>74283</v>
      </c>
    </row>
    <row r="24633" spans="1:20" x14ac:dyDescent="0.25">
      <c r="A24633" t="str">
        <f>"3044529"</f>
        <v>3044529</v>
      </c>
      <c r="B24633" t="s">
        <v>74286</v>
      </c>
      <c r="C24633" t="str">
        <f>"8318044"</f>
        <v>8318044</v>
      </c>
      <c r="D24633" t="s">
        <v>74287</v>
      </c>
      <c r="F24633" t="s">
        <v>74288</v>
      </c>
      <c r="G24633" t="s">
        <v>50031</v>
      </c>
      <c r="I24633" t="s">
        <v>50032</v>
      </c>
      <c r="J24633" t="s">
        <v>3150</v>
      </c>
      <c r="K24633" t="str">
        <f>"46032"</f>
        <v>46032</v>
      </c>
      <c r="M24633" t="s">
        <v>50793</v>
      </c>
      <c r="N24633" t="str">
        <f>"1/16/2025 11:38:00 AM"</f>
        <v>1/16/2025 11:38:00 AM</v>
      </c>
      <c r="O24633" t="s">
        <v>74287</v>
      </c>
    </row>
    <row r="24634" spans="1:20" x14ac:dyDescent="0.25">
      <c r="A24634" t="str">
        <f>"3049741"</f>
        <v>3049741</v>
      </c>
      <c r="B24634" t="s">
        <v>74289</v>
      </c>
      <c r="C24634" t="str">
        <f>"8318044"</f>
        <v>8318044</v>
      </c>
      <c r="D24634" t="s">
        <v>74287</v>
      </c>
      <c r="F24634" t="s">
        <v>74288</v>
      </c>
      <c r="G24634" t="s">
        <v>50031</v>
      </c>
      <c r="I24634" t="s">
        <v>50032</v>
      </c>
      <c r="J24634" t="s">
        <v>3150</v>
      </c>
      <c r="K24634" t="str">
        <f>"46032"</f>
        <v>46032</v>
      </c>
      <c r="M24634" t="s">
        <v>50793</v>
      </c>
      <c r="N24634" t="str">
        <f>"1/16/2025 11:38:00 AM"</f>
        <v>1/16/2025 11:38:00 AM</v>
      </c>
      <c r="O24634" t="s">
        <v>74287</v>
      </c>
    </row>
    <row r="24635" spans="1:20" x14ac:dyDescent="0.25">
      <c r="A24635" t="str">
        <f>"3044790"</f>
        <v>3044790</v>
      </c>
      <c r="B24635" t="s">
        <v>74290</v>
      </c>
      <c r="C24635" t="str">
        <f>"8302498"</f>
        <v>8302498</v>
      </c>
      <c r="D24635" t="s">
        <v>74291</v>
      </c>
      <c r="E24635" t="s">
        <v>74292</v>
      </c>
      <c r="F24635" t="s">
        <v>74293</v>
      </c>
      <c r="I24635" t="s">
        <v>184</v>
      </c>
      <c r="J24635" t="s">
        <v>30</v>
      </c>
      <c r="K24635" t="str">
        <f>"27006"</f>
        <v>27006</v>
      </c>
      <c r="M24635" t="s">
        <v>50793</v>
      </c>
      <c r="N24635" t="str">
        <f>"1/16/2025 11:43:00 AM"</f>
        <v>1/16/2025 11:43:00 AM</v>
      </c>
      <c r="O24635" t="s">
        <v>74291</v>
      </c>
      <c r="T24635" t="s">
        <v>74292</v>
      </c>
    </row>
    <row r="24636" spans="1:20" x14ac:dyDescent="0.25">
      <c r="A24636" t="str">
        <f>"3048945"</f>
        <v>3048945</v>
      </c>
      <c r="B24636" t="s">
        <v>74294</v>
      </c>
      <c r="C24636" t="str">
        <f>"8305747"</f>
        <v>8305747</v>
      </c>
      <c r="D24636" t="s">
        <v>74295</v>
      </c>
      <c r="F24636" t="s">
        <v>74296</v>
      </c>
      <c r="I24636" t="s">
        <v>2275</v>
      </c>
      <c r="J24636" t="s">
        <v>30</v>
      </c>
      <c r="K24636" t="str">
        <f>"27023"</f>
        <v>27023</v>
      </c>
      <c r="M24636" t="s">
        <v>50793</v>
      </c>
      <c r="N24636" t="str">
        <f>"1/16/2025 11:45:00 AM"</f>
        <v>1/16/2025 11:45:00 AM</v>
      </c>
      <c r="O24636" t="s">
        <v>74295</v>
      </c>
    </row>
    <row r="24637" spans="1:20" x14ac:dyDescent="0.25">
      <c r="A24637" t="str">
        <f>"3049400"</f>
        <v>3049400</v>
      </c>
      <c r="B24637" t="s">
        <v>74297</v>
      </c>
      <c r="C24637" t="str">
        <f>"8316266"</f>
        <v>8316266</v>
      </c>
      <c r="D24637" t="s">
        <v>74298</v>
      </c>
      <c r="F24637" t="s">
        <v>74299</v>
      </c>
      <c r="G24637" t="s">
        <v>60569</v>
      </c>
      <c r="I24637" t="s">
        <v>2589</v>
      </c>
      <c r="J24637" t="s">
        <v>30</v>
      </c>
      <c r="K24637" t="s">
        <v>74300</v>
      </c>
      <c r="M24637" t="s">
        <v>25733</v>
      </c>
      <c r="N24637" t="str">
        <f>"1/16/2025 12:33:00 PM"</f>
        <v>1/16/2025 12:33:00 PM</v>
      </c>
      <c r="O24637" t="s">
        <v>74298</v>
      </c>
    </row>
    <row r="24638" spans="1:20" x14ac:dyDescent="0.25">
      <c r="A24638" t="str">
        <f>"3062777"</f>
        <v>3062777</v>
      </c>
      <c r="B24638" t="s">
        <v>74301</v>
      </c>
      <c r="C24638" t="str">
        <f>"8323729"</f>
        <v>8323729</v>
      </c>
      <c r="D24638" t="s">
        <v>74302</v>
      </c>
      <c r="E24638" t="s">
        <v>74303</v>
      </c>
      <c r="F24638" t="s">
        <v>74304</v>
      </c>
      <c r="I24638" t="s">
        <v>24359</v>
      </c>
      <c r="J24638" t="s">
        <v>30</v>
      </c>
      <c r="K24638" t="str">
        <f>"27006"</f>
        <v>27006</v>
      </c>
      <c r="M24638" t="s">
        <v>50500</v>
      </c>
      <c r="N24638" t="str">
        <f>"1/17/2025 10:01:00 AM"</f>
        <v>1/17/2025 10:01:00 AM</v>
      </c>
      <c r="O24638" t="s">
        <v>74302</v>
      </c>
      <c r="T24638" t="s">
        <v>74303</v>
      </c>
    </row>
    <row r="24639" spans="1:20" x14ac:dyDescent="0.25">
      <c r="A24639" t="str">
        <f>"3062780"</f>
        <v>3062780</v>
      </c>
      <c r="B24639" t="s">
        <v>74305</v>
      </c>
      <c r="C24639" t="str">
        <f>"43216500"</f>
        <v>43216500</v>
      </c>
      <c r="D24639" t="s">
        <v>74306</v>
      </c>
      <c r="E24639" t="s">
        <v>74307</v>
      </c>
      <c r="F24639" t="s">
        <v>74308</v>
      </c>
      <c r="I24639" t="s">
        <v>29</v>
      </c>
      <c r="J24639" t="s">
        <v>30</v>
      </c>
      <c r="K24639" t="s">
        <v>34654</v>
      </c>
      <c r="M24639" t="s">
        <v>50500</v>
      </c>
      <c r="N24639" t="str">
        <f>"1/17/2025 1:18:00 PM"</f>
        <v>1/17/2025 1:18:00 PM</v>
      </c>
      <c r="O24639" t="s">
        <v>74306</v>
      </c>
      <c r="T24639" t="s">
        <v>74307</v>
      </c>
    </row>
    <row r="24640" spans="1:20" x14ac:dyDescent="0.25">
      <c r="A24640" t="str">
        <f>"3053833"</f>
        <v>3053833</v>
      </c>
      <c r="B24640" t="s">
        <v>74309</v>
      </c>
      <c r="C24640" t="str">
        <f>"43216500"</f>
        <v>43216500</v>
      </c>
      <c r="D24640" t="s">
        <v>74306</v>
      </c>
      <c r="E24640" t="s">
        <v>74307</v>
      </c>
      <c r="F24640" t="s">
        <v>74308</v>
      </c>
      <c r="I24640" t="s">
        <v>29</v>
      </c>
      <c r="J24640" t="s">
        <v>30</v>
      </c>
      <c r="K24640" t="s">
        <v>34654</v>
      </c>
      <c r="M24640" t="s">
        <v>50500</v>
      </c>
      <c r="N24640" t="str">
        <f>"1/17/2025 1:18:00 PM"</f>
        <v>1/17/2025 1:18:00 PM</v>
      </c>
      <c r="O24640" t="s">
        <v>74306</v>
      </c>
      <c r="T24640" t="s">
        <v>74307</v>
      </c>
    </row>
    <row r="24641" spans="1:20" x14ac:dyDescent="0.25">
      <c r="A24641" t="str">
        <f>"3051690"</f>
        <v>3051690</v>
      </c>
      <c r="B24641" t="s">
        <v>74310</v>
      </c>
      <c r="C24641" t="str">
        <f>"82513130"</f>
        <v>82513130</v>
      </c>
      <c r="D24641" t="s">
        <v>74311</v>
      </c>
      <c r="F24641" t="s">
        <v>74312</v>
      </c>
      <c r="I24641" t="s">
        <v>29</v>
      </c>
      <c r="J24641" t="s">
        <v>30</v>
      </c>
      <c r="K24641" t="s">
        <v>74313</v>
      </c>
      <c r="M24641" t="s">
        <v>52111</v>
      </c>
      <c r="N24641" t="str">
        <f>"1/17/2025 2:36:00 PM"</f>
        <v>1/17/2025 2:36:00 PM</v>
      </c>
      <c r="O24641" t="s">
        <v>74311</v>
      </c>
    </row>
    <row r="24642" spans="1:20" x14ac:dyDescent="0.25">
      <c r="A24642" t="str">
        <f>"3051735"</f>
        <v>3051735</v>
      </c>
      <c r="B24642" t="s">
        <v>74314</v>
      </c>
      <c r="C24642" t="str">
        <f>"82513130"</f>
        <v>82513130</v>
      </c>
      <c r="D24642" t="s">
        <v>74311</v>
      </c>
      <c r="F24642" t="s">
        <v>74312</v>
      </c>
      <c r="I24642" t="s">
        <v>29</v>
      </c>
      <c r="J24642" t="s">
        <v>30</v>
      </c>
      <c r="K24642" t="s">
        <v>74313</v>
      </c>
      <c r="M24642" t="s">
        <v>52111</v>
      </c>
      <c r="N24642" t="str">
        <f>"1/17/2025 2:36:00 PM"</f>
        <v>1/17/2025 2:36:00 PM</v>
      </c>
      <c r="O24642" t="s">
        <v>74311</v>
      </c>
    </row>
    <row r="24643" spans="1:20" x14ac:dyDescent="0.25">
      <c r="A24643" t="str">
        <f>"3051643"</f>
        <v>3051643</v>
      </c>
      <c r="B24643" t="s">
        <v>74315</v>
      </c>
      <c r="C24643" t="str">
        <f>"82513130"</f>
        <v>82513130</v>
      </c>
      <c r="D24643" t="s">
        <v>74311</v>
      </c>
      <c r="F24643" t="s">
        <v>74312</v>
      </c>
      <c r="I24643" t="s">
        <v>29</v>
      </c>
      <c r="J24643" t="s">
        <v>30</v>
      </c>
      <c r="K24643" t="s">
        <v>74313</v>
      </c>
      <c r="M24643" t="s">
        <v>52111</v>
      </c>
      <c r="N24643" t="str">
        <f>"1/17/2025 2:36:00 PM"</f>
        <v>1/17/2025 2:36:00 PM</v>
      </c>
      <c r="O24643" t="s">
        <v>74311</v>
      </c>
    </row>
    <row r="24644" spans="1:20" x14ac:dyDescent="0.25">
      <c r="A24644" t="str">
        <f>"3078271"</f>
        <v>3078271</v>
      </c>
      <c r="B24644" t="s">
        <v>74316</v>
      </c>
      <c r="C24644" t="str">
        <f>"82513130"</f>
        <v>82513130</v>
      </c>
      <c r="D24644" t="s">
        <v>74311</v>
      </c>
      <c r="F24644" t="s">
        <v>74312</v>
      </c>
      <c r="I24644" t="s">
        <v>29</v>
      </c>
      <c r="J24644" t="s">
        <v>30</v>
      </c>
      <c r="K24644" t="s">
        <v>74313</v>
      </c>
      <c r="M24644" t="s">
        <v>52111</v>
      </c>
      <c r="N24644" t="str">
        <f>"1/17/2025 2:36:00 PM"</f>
        <v>1/17/2025 2:36:00 PM</v>
      </c>
      <c r="O24644" t="s">
        <v>74311</v>
      </c>
    </row>
    <row r="24645" spans="1:20" x14ac:dyDescent="0.25">
      <c r="A24645" t="str">
        <f>"3039214"</f>
        <v>3039214</v>
      </c>
      <c r="B24645" t="s">
        <v>74317</v>
      </c>
      <c r="C24645" t="str">
        <f>"8317046"</f>
        <v>8317046</v>
      </c>
      <c r="D24645" t="s">
        <v>74318</v>
      </c>
      <c r="F24645" t="s">
        <v>74319</v>
      </c>
      <c r="I24645" t="s">
        <v>29</v>
      </c>
      <c r="J24645" t="s">
        <v>30</v>
      </c>
      <c r="K24645" t="s">
        <v>378</v>
      </c>
      <c r="M24645" t="s">
        <v>52111</v>
      </c>
      <c r="N24645" t="str">
        <f>"1/21/2025 8:01:00 AM"</f>
        <v>1/21/2025 8:01:00 AM</v>
      </c>
      <c r="O24645" t="s">
        <v>74318</v>
      </c>
    </row>
    <row r="24646" spans="1:20" x14ac:dyDescent="0.25">
      <c r="A24646" t="str">
        <f>"3047169"</f>
        <v>3047169</v>
      </c>
      <c r="B24646" t="s">
        <v>74320</v>
      </c>
      <c r="C24646" t="str">
        <f>"8320981"</f>
        <v>8320981</v>
      </c>
      <c r="D24646" t="s">
        <v>74321</v>
      </c>
      <c r="E24646" t="s">
        <v>74322</v>
      </c>
      <c r="F24646" t="s">
        <v>74323</v>
      </c>
      <c r="I24646" t="s">
        <v>29</v>
      </c>
      <c r="J24646" t="s">
        <v>30</v>
      </c>
      <c r="K24646" t="s">
        <v>74324</v>
      </c>
      <c r="M24646" t="s">
        <v>25733</v>
      </c>
      <c r="N24646" t="str">
        <f>"1/22/2025 8:25:00 AM"</f>
        <v>1/22/2025 8:25:00 AM</v>
      </c>
      <c r="O24646" t="s">
        <v>74321</v>
      </c>
      <c r="T24646" t="s">
        <v>74322</v>
      </c>
    </row>
    <row r="24647" spans="1:20" x14ac:dyDescent="0.25">
      <c r="A24647" t="str">
        <f>"3048166"</f>
        <v>3048166</v>
      </c>
      <c r="B24647" t="s">
        <v>74325</v>
      </c>
      <c r="C24647" t="str">
        <f>"28800000"</f>
        <v>28800000</v>
      </c>
      <c r="D24647" t="s">
        <v>74326</v>
      </c>
      <c r="F24647" t="s">
        <v>74327</v>
      </c>
      <c r="I24647" t="s">
        <v>29</v>
      </c>
      <c r="J24647" t="s">
        <v>30</v>
      </c>
      <c r="K24647" t="s">
        <v>12976</v>
      </c>
      <c r="M24647" t="s">
        <v>51351</v>
      </c>
      <c r="N24647" t="str">
        <f>"1/22/2025 8:58:00 AM"</f>
        <v>1/22/2025 8:58:00 AM</v>
      </c>
      <c r="O24647" t="s">
        <v>74326</v>
      </c>
    </row>
    <row r="24648" spans="1:20" x14ac:dyDescent="0.25">
      <c r="A24648" t="str">
        <f>"3063458"</f>
        <v>3063458</v>
      </c>
      <c r="B24648" t="s">
        <v>74328</v>
      </c>
      <c r="C24648" t="str">
        <f>"82521938"</f>
        <v>82521938</v>
      </c>
      <c r="D24648" t="s">
        <v>74329</v>
      </c>
      <c r="E24648" t="s">
        <v>74330</v>
      </c>
      <c r="F24648" t="s">
        <v>74331</v>
      </c>
      <c r="I24648" t="s">
        <v>29</v>
      </c>
      <c r="J24648" t="s">
        <v>30</v>
      </c>
      <c r="K24648" t="s">
        <v>31</v>
      </c>
      <c r="M24648" t="s">
        <v>32801</v>
      </c>
      <c r="N24648" t="str">
        <f>"1/23/2025 1:23:00 PM"</f>
        <v>1/23/2025 1:23:00 PM</v>
      </c>
      <c r="O24648" t="s">
        <v>74329</v>
      </c>
      <c r="T24648" t="s">
        <v>74330</v>
      </c>
    </row>
    <row r="24649" spans="1:20" x14ac:dyDescent="0.25">
      <c r="A24649" t="str">
        <f>"3062134"</f>
        <v>3062134</v>
      </c>
      <c r="B24649" t="s">
        <v>74332</v>
      </c>
      <c r="C24649" t="str">
        <f>"8322535"</f>
        <v>8322535</v>
      </c>
      <c r="D24649" t="s">
        <v>74333</v>
      </c>
      <c r="F24649" t="s">
        <v>74334</v>
      </c>
      <c r="I24649" t="s">
        <v>29</v>
      </c>
      <c r="J24649" t="s">
        <v>30</v>
      </c>
      <c r="K24649" t="s">
        <v>59933</v>
      </c>
      <c r="M24649" t="s">
        <v>51351</v>
      </c>
      <c r="N24649" t="str">
        <f>"1/23/2025 3:57:00 PM"</f>
        <v>1/23/2025 3:57:00 PM</v>
      </c>
      <c r="O24649" t="s">
        <v>74333</v>
      </c>
    </row>
    <row r="24650" spans="1:20" x14ac:dyDescent="0.25">
      <c r="A24650" t="str">
        <f>"3051398"</f>
        <v>3051398</v>
      </c>
      <c r="B24650" t="s">
        <v>74335</v>
      </c>
      <c r="C24650" t="str">
        <f>"8323396"</f>
        <v>8323396</v>
      </c>
      <c r="D24650" t="s">
        <v>74336</v>
      </c>
      <c r="E24650" t="s">
        <v>74337</v>
      </c>
      <c r="F24650" t="s">
        <v>74338</v>
      </c>
      <c r="I24650" t="s">
        <v>29</v>
      </c>
      <c r="J24650" t="s">
        <v>30</v>
      </c>
      <c r="K24650" t="s">
        <v>74339</v>
      </c>
      <c r="M24650" t="s">
        <v>50500</v>
      </c>
      <c r="N24650" t="str">
        <f>"1/24/2025 11:58:00 AM"</f>
        <v>1/24/2025 11:58:00 AM</v>
      </c>
      <c r="O24650" t="s">
        <v>74336</v>
      </c>
      <c r="T24650" t="s">
        <v>74337</v>
      </c>
    </row>
    <row r="24651" spans="1:20" x14ac:dyDescent="0.25">
      <c r="A24651" t="str">
        <f>"3060356"</f>
        <v>3060356</v>
      </c>
      <c r="B24651" t="s">
        <v>74340</v>
      </c>
      <c r="C24651" t="str">
        <f>"10270000"</f>
        <v>10270000</v>
      </c>
      <c r="D24651" t="s">
        <v>74341</v>
      </c>
      <c r="F24651" t="s">
        <v>74342</v>
      </c>
      <c r="I24651" t="s">
        <v>29</v>
      </c>
      <c r="J24651" t="s">
        <v>30</v>
      </c>
      <c r="K24651" t="s">
        <v>31</v>
      </c>
      <c r="M24651" t="s">
        <v>50621</v>
      </c>
      <c r="N24651" t="str">
        <f>"1/27/2025 10:23:00 AM"</f>
        <v>1/27/2025 10:23:00 AM</v>
      </c>
      <c r="O24651" t="s">
        <v>74341</v>
      </c>
    </row>
    <row r="24652" spans="1:20" x14ac:dyDescent="0.25">
      <c r="A24652" t="str">
        <f>"3054744"</f>
        <v>3054744</v>
      </c>
      <c r="B24652" t="s">
        <v>74343</v>
      </c>
      <c r="C24652" t="str">
        <f>"8304607"</f>
        <v>8304607</v>
      </c>
      <c r="D24652" t="s">
        <v>74344</v>
      </c>
      <c r="E24652" t="s">
        <v>74345</v>
      </c>
      <c r="F24652" t="s">
        <v>64537</v>
      </c>
      <c r="I24652" t="s">
        <v>29</v>
      </c>
      <c r="J24652" t="s">
        <v>30</v>
      </c>
      <c r="K24652" t="s">
        <v>64538</v>
      </c>
      <c r="M24652" t="s">
        <v>51351</v>
      </c>
      <c r="N24652" t="str">
        <f>"1/27/2025 2:13:00 PM"</f>
        <v>1/27/2025 2:13:00 PM</v>
      </c>
      <c r="O24652" t="s">
        <v>74344</v>
      </c>
      <c r="T24652" t="s">
        <v>74345</v>
      </c>
    </row>
    <row r="24653" spans="1:20" x14ac:dyDescent="0.25">
      <c r="A24653" t="str">
        <f>"3064391"</f>
        <v>3064391</v>
      </c>
      <c r="B24653" t="s">
        <v>74346</v>
      </c>
      <c r="C24653" t="str">
        <f>"51380000"</f>
        <v>51380000</v>
      </c>
      <c r="D24653" t="s">
        <v>74347</v>
      </c>
      <c r="F24653" t="str">
        <f>"C/O IDA C ALBY"</f>
        <v>C/O IDA C ALBY</v>
      </c>
      <c r="G24653" t="s">
        <v>74348</v>
      </c>
      <c r="I24653" t="s">
        <v>471</v>
      </c>
      <c r="J24653" t="s">
        <v>30</v>
      </c>
      <c r="K24653" t="s">
        <v>74349</v>
      </c>
      <c r="M24653" t="s">
        <v>50621</v>
      </c>
      <c r="N24653" t="str">
        <f>"1/28/2025 11:39:00 AM"</f>
        <v>1/28/2025 11:39:00 AM</v>
      </c>
      <c r="O24653" t="s">
        <v>74347</v>
      </c>
    </row>
    <row r="24654" spans="1:20" x14ac:dyDescent="0.25">
      <c r="A24654" t="str">
        <f>"3054652"</f>
        <v>3054652</v>
      </c>
      <c r="B24654" t="s">
        <v>74350</v>
      </c>
      <c r="C24654" t="str">
        <f>"36402500"</f>
        <v>36402500</v>
      </c>
      <c r="D24654" t="s">
        <v>74351</v>
      </c>
      <c r="F24654" t="s">
        <v>74352</v>
      </c>
      <c r="I24654" t="s">
        <v>29</v>
      </c>
      <c r="J24654" t="s">
        <v>30</v>
      </c>
      <c r="K24654" t="s">
        <v>31645</v>
      </c>
      <c r="M24654" t="s">
        <v>50793</v>
      </c>
      <c r="N24654" t="str">
        <f>"1/28/2025 3:37:00 PM"</f>
        <v>1/28/2025 3:37:00 PM</v>
      </c>
      <c r="O24654" t="s">
        <v>74351</v>
      </c>
    </row>
    <row r="24655" spans="1:20" x14ac:dyDescent="0.25">
      <c r="A24655" t="str">
        <f>"3051637"</f>
        <v>3051637</v>
      </c>
      <c r="B24655" t="s">
        <v>74353</v>
      </c>
      <c r="C24655" t="str">
        <f>"407000"</f>
        <v>407000</v>
      </c>
      <c r="D24655" t="s">
        <v>74354</v>
      </c>
      <c r="F24655" t="s">
        <v>74355</v>
      </c>
      <c r="I24655" t="s">
        <v>74356</v>
      </c>
      <c r="J24655" t="s">
        <v>11994</v>
      </c>
      <c r="K24655" t="s">
        <v>74357</v>
      </c>
      <c r="M24655" t="s">
        <v>50621</v>
      </c>
      <c r="N24655" t="str">
        <f>"1/29/2025 11:55:00 AM"</f>
        <v>1/29/2025 11:55:00 AM</v>
      </c>
      <c r="O24655" t="s">
        <v>74354</v>
      </c>
    </row>
    <row r="24656" spans="1:20" x14ac:dyDescent="0.25">
      <c r="A24656" t="str">
        <f>"3051692"</f>
        <v>3051692</v>
      </c>
      <c r="B24656" t="s">
        <v>74358</v>
      </c>
      <c r="C24656" t="str">
        <f>"407000"</f>
        <v>407000</v>
      </c>
      <c r="D24656" t="s">
        <v>74354</v>
      </c>
      <c r="F24656" t="s">
        <v>74355</v>
      </c>
      <c r="I24656" t="s">
        <v>74356</v>
      </c>
      <c r="J24656" t="s">
        <v>11994</v>
      </c>
      <c r="K24656" t="s">
        <v>74357</v>
      </c>
      <c r="M24656" t="s">
        <v>50621</v>
      </c>
      <c r="N24656" t="str">
        <f>"1/29/2025 11:55:00 AM"</f>
        <v>1/29/2025 11:55:00 AM</v>
      </c>
      <c r="O24656" t="s">
        <v>74354</v>
      </c>
    </row>
    <row r="24657" spans="1:20" x14ac:dyDescent="0.25">
      <c r="A24657" t="str">
        <f>"3051668"</f>
        <v>3051668</v>
      </c>
      <c r="B24657" t="s">
        <v>74359</v>
      </c>
      <c r="C24657" t="str">
        <f>"407000"</f>
        <v>407000</v>
      </c>
      <c r="D24657" t="s">
        <v>74354</v>
      </c>
      <c r="F24657" t="s">
        <v>74355</v>
      </c>
      <c r="I24657" t="s">
        <v>74356</v>
      </c>
      <c r="J24657" t="s">
        <v>11994</v>
      </c>
      <c r="K24657" t="s">
        <v>74357</v>
      </c>
      <c r="M24657" t="s">
        <v>50621</v>
      </c>
      <c r="N24657" t="str">
        <f>"1/29/2025 11:55:00 AM"</f>
        <v>1/29/2025 11:55:00 AM</v>
      </c>
      <c r="O24657" t="s">
        <v>74354</v>
      </c>
    </row>
    <row r="24658" spans="1:20" x14ac:dyDescent="0.25">
      <c r="A24658" t="str">
        <f>"3051981"</f>
        <v>3051981</v>
      </c>
      <c r="B24658" t="s">
        <v>74360</v>
      </c>
      <c r="C24658" t="str">
        <f>"407000"</f>
        <v>407000</v>
      </c>
      <c r="D24658" t="s">
        <v>74354</v>
      </c>
      <c r="F24658" t="s">
        <v>74355</v>
      </c>
      <c r="I24658" t="s">
        <v>74356</v>
      </c>
      <c r="J24658" t="s">
        <v>11994</v>
      </c>
      <c r="K24658" t="s">
        <v>74357</v>
      </c>
      <c r="M24658" t="s">
        <v>50621</v>
      </c>
      <c r="N24658" t="str">
        <f>"1/29/2025 11:55:00 AM"</f>
        <v>1/29/2025 11:55:00 AM</v>
      </c>
      <c r="O24658" t="s">
        <v>74354</v>
      </c>
    </row>
    <row r="24659" spans="1:20" x14ac:dyDescent="0.25">
      <c r="A24659" t="str">
        <f>"3043031"</f>
        <v>3043031</v>
      </c>
      <c r="B24659" t="s">
        <v>74361</v>
      </c>
      <c r="C24659" t="str">
        <f>"8323675"</f>
        <v>8323675</v>
      </c>
      <c r="D24659" t="s">
        <v>74362</v>
      </c>
      <c r="E24659" t="s">
        <v>74363</v>
      </c>
      <c r="F24659" t="s">
        <v>74364</v>
      </c>
      <c r="I24659" t="s">
        <v>49</v>
      </c>
      <c r="J24659" t="s">
        <v>30</v>
      </c>
      <c r="K24659" t="str">
        <f>"27055"</f>
        <v>27055</v>
      </c>
      <c r="M24659" t="s">
        <v>33845</v>
      </c>
      <c r="N24659" t="str">
        <f>"1/29/2025 12:44:00 PM"</f>
        <v>1/29/2025 12:44:00 PM</v>
      </c>
      <c r="O24659" t="s">
        <v>74362</v>
      </c>
      <c r="T24659" t="s">
        <v>74363</v>
      </c>
    </row>
    <row r="24660" spans="1:20" x14ac:dyDescent="0.25">
      <c r="A24660" t="str">
        <f>"3062001"</f>
        <v>3062001</v>
      </c>
      <c r="B24660" t="s">
        <v>74365</v>
      </c>
      <c r="C24660" t="str">
        <f>"8322938"</f>
        <v>8322938</v>
      </c>
      <c r="D24660" t="s">
        <v>74366</v>
      </c>
      <c r="E24660" t="s">
        <v>74367</v>
      </c>
      <c r="F24660" t="s">
        <v>74368</v>
      </c>
      <c r="I24660" t="s">
        <v>29</v>
      </c>
      <c r="J24660" t="s">
        <v>30</v>
      </c>
      <c r="K24660" t="s">
        <v>14439</v>
      </c>
      <c r="M24660" t="s">
        <v>50793</v>
      </c>
      <c r="N24660" t="str">
        <f>"1/30/2025 9:22:00 AM"</f>
        <v>1/30/2025 9:22:00 AM</v>
      </c>
      <c r="O24660" t="s">
        <v>74366</v>
      </c>
      <c r="T24660" t="s">
        <v>74367</v>
      </c>
    </row>
    <row r="24661" spans="1:20" x14ac:dyDescent="0.25">
      <c r="A24661" t="str">
        <f>"3041892"</f>
        <v>3041892</v>
      </c>
      <c r="B24661" t="s">
        <v>74369</v>
      </c>
      <c r="C24661" t="str">
        <f>"8318942"</f>
        <v>8318942</v>
      </c>
      <c r="D24661" t="s">
        <v>74370</v>
      </c>
      <c r="F24661" t="s">
        <v>74371</v>
      </c>
      <c r="G24661" t="s">
        <v>74372</v>
      </c>
      <c r="I24661" t="s">
        <v>2589</v>
      </c>
      <c r="J24661" t="s">
        <v>30</v>
      </c>
      <c r="K24661" t="s">
        <v>74373</v>
      </c>
      <c r="M24661" t="s">
        <v>50793</v>
      </c>
      <c r="N24661" t="str">
        <f>"1/30/2025 1:14:00 PM"</f>
        <v>1/30/2025 1:14:00 PM</v>
      </c>
      <c r="O24661" t="s">
        <v>74370</v>
      </c>
    </row>
    <row r="24662" spans="1:20" x14ac:dyDescent="0.25">
      <c r="A24662" t="str">
        <f>"3078061"</f>
        <v>3078061</v>
      </c>
      <c r="B24662" t="s">
        <v>74374</v>
      </c>
      <c r="C24662" t="str">
        <f>"12308000"</f>
        <v>12308000</v>
      </c>
      <c r="D24662" t="s">
        <v>74375</v>
      </c>
      <c r="E24662" t="str">
        <f>"C/O BARBARA KOONTZ"</f>
        <v>C/O BARBARA KOONTZ</v>
      </c>
      <c r="F24662" t="s">
        <v>43571</v>
      </c>
      <c r="I24662" t="s">
        <v>29</v>
      </c>
      <c r="J24662" t="s">
        <v>30</v>
      </c>
      <c r="K24662" t="str">
        <f>"27028"</f>
        <v>27028</v>
      </c>
      <c r="M24662" t="s">
        <v>18470</v>
      </c>
      <c r="N24662" t="str">
        <f>"1/31/2025 4:06:00 PM"</f>
        <v>1/31/2025 4:06:00 PM</v>
      </c>
      <c r="O24662" t="s">
        <v>74375</v>
      </c>
      <c r="T24662" t="str">
        <f>"C/O BARBARA KOONTZ"</f>
        <v>C/O BARBARA KOONTZ</v>
      </c>
    </row>
    <row r="24663" spans="1:20" x14ac:dyDescent="0.25">
      <c r="A24663" t="str">
        <f>"3055121"</f>
        <v>3055121</v>
      </c>
      <c r="B24663" t="s">
        <v>74376</v>
      </c>
      <c r="C24663" t="str">
        <f>"44425000"</f>
        <v>44425000</v>
      </c>
      <c r="D24663" t="s">
        <v>74377</v>
      </c>
      <c r="E24663" t="s">
        <v>74378</v>
      </c>
      <c r="F24663" t="s">
        <v>74379</v>
      </c>
      <c r="I24663" t="s">
        <v>964</v>
      </c>
      <c r="J24663" t="s">
        <v>30</v>
      </c>
      <c r="K24663" t="s">
        <v>74380</v>
      </c>
      <c r="M24663" t="s">
        <v>51351</v>
      </c>
      <c r="N24663" t="str">
        <f>"2/3/2025 12:45:00 PM"</f>
        <v>2/3/2025 12:45:00 PM</v>
      </c>
      <c r="O24663" t="s">
        <v>74377</v>
      </c>
      <c r="T24663" t="s">
        <v>74378</v>
      </c>
    </row>
    <row r="24664" spans="1:20" x14ac:dyDescent="0.25">
      <c r="A24664" t="str">
        <f>"3053309"</f>
        <v>3053309</v>
      </c>
      <c r="B24664" t="s">
        <v>74381</v>
      </c>
      <c r="C24664" t="str">
        <f>"8320049"</f>
        <v>8320049</v>
      </c>
      <c r="D24664" t="s">
        <v>74382</v>
      </c>
      <c r="E24664" t="s">
        <v>74383</v>
      </c>
      <c r="F24664" t="s">
        <v>74384</v>
      </c>
      <c r="G24664" t="s">
        <v>74385</v>
      </c>
      <c r="I24664" t="s">
        <v>2280</v>
      </c>
      <c r="J24664" t="s">
        <v>30</v>
      </c>
      <c r="K24664" t="s">
        <v>74386</v>
      </c>
      <c r="M24664" t="s">
        <v>50621</v>
      </c>
      <c r="N24664" t="str">
        <f>"2/3/2025 1:19:00 PM"</f>
        <v>2/3/2025 1:19:00 PM</v>
      </c>
      <c r="O24664" t="s">
        <v>74382</v>
      </c>
      <c r="T24664" t="s">
        <v>74383</v>
      </c>
    </row>
    <row r="24665" spans="1:20" x14ac:dyDescent="0.25">
      <c r="A24665" t="str">
        <f>"3052638"</f>
        <v>3052638</v>
      </c>
      <c r="B24665" t="s">
        <v>74387</v>
      </c>
      <c r="C24665" t="str">
        <f>"6631500"</f>
        <v>6631500</v>
      </c>
      <c r="D24665" t="s">
        <v>74388</v>
      </c>
      <c r="E24665" t="s">
        <v>74389</v>
      </c>
      <c r="F24665" t="s">
        <v>74390</v>
      </c>
      <c r="I24665" t="s">
        <v>29</v>
      </c>
      <c r="J24665" t="s">
        <v>30</v>
      </c>
      <c r="K24665" t="s">
        <v>31</v>
      </c>
      <c r="M24665" t="s">
        <v>50621</v>
      </c>
      <c r="N24665" t="str">
        <f>"2/4/2025 9:54:00 AM"</f>
        <v>2/4/2025 9:54:00 AM</v>
      </c>
      <c r="O24665" t="s">
        <v>74388</v>
      </c>
      <c r="T24665" t="s">
        <v>74389</v>
      </c>
    </row>
    <row r="24666" spans="1:20" x14ac:dyDescent="0.25">
      <c r="A24666" t="str">
        <f>"3052658"</f>
        <v>3052658</v>
      </c>
      <c r="B24666" t="s">
        <v>74391</v>
      </c>
      <c r="C24666" t="str">
        <f>"14977930"</f>
        <v>14977930</v>
      </c>
      <c r="D24666" t="s">
        <v>74392</v>
      </c>
      <c r="F24666" t="s">
        <v>74393</v>
      </c>
      <c r="I24666" t="s">
        <v>29</v>
      </c>
      <c r="J24666" t="s">
        <v>30</v>
      </c>
      <c r="K24666" t="s">
        <v>74394</v>
      </c>
      <c r="M24666" t="s">
        <v>51351</v>
      </c>
      <c r="N24666" t="str">
        <f>"2/4/2025 3:50:00 PM"</f>
        <v>2/4/2025 3:50:00 PM</v>
      </c>
      <c r="O24666" t="s">
        <v>74392</v>
      </c>
    </row>
    <row r="24667" spans="1:20" x14ac:dyDescent="0.25">
      <c r="A24667" t="str">
        <f>"3055906"</f>
        <v>3055906</v>
      </c>
      <c r="B24667" t="s">
        <v>74395</v>
      </c>
      <c r="C24667" t="str">
        <f>"8315075"</f>
        <v>8315075</v>
      </c>
      <c r="D24667" t="s">
        <v>74396</v>
      </c>
      <c r="E24667" t="s">
        <v>74397</v>
      </c>
      <c r="F24667" t="s">
        <v>70004</v>
      </c>
      <c r="I24667" t="s">
        <v>9580</v>
      </c>
      <c r="J24667" t="s">
        <v>30</v>
      </c>
      <c r="K24667" t="s">
        <v>70005</v>
      </c>
      <c r="M24667" t="s">
        <v>52111</v>
      </c>
      <c r="N24667" t="str">
        <f>"2/5/2025 11:43:00 AM"</f>
        <v>2/5/2025 11:43:00 AM</v>
      </c>
      <c r="O24667" t="s">
        <v>74396</v>
      </c>
      <c r="T24667" t="s">
        <v>74397</v>
      </c>
    </row>
    <row r="24668" spans="1:20" x14ac:dyDescent="0.25">
      <c r="A24668" t="str">
        <f>"3056001"</f>
        <v>3056001</v>
      </c>
      <c r="B24668" t="s">
        <v>74398</v>
      </c>
      <c r="C24668" t="str">
        <f>"8316499"</f>
        <v>8316499</v>
      </c>
      <c r="D24668" t="str">
        <f>"ALBON STEPHEN W/DIANE JOAN TRUSTEES"</f>
        <v>ALBON STEPHEN W/DIANE JOAN TRUSTEES</v>
      </c>
      <c r="E24668" t="str">
        <f>"ALBON STEPH W/DIANE J REV TR"</f>
        <v>ALBON STEPH W/DIANE J REV TR</v>
      </c>
      <c r="F24668" t="s">
        <v>70004</v>
      </c>
      <c r="I24668" t="s">
        <v>9580</v>
      </c>
      <c r="J24668" t="s">
        <v>30</v>
      </c>
      <c r="K24668" t="s">
        <v>70005</v>
      </c>
      <c r="M24668" t="s">
        <v>52111</v>
      </c>
      <c r="N24668" t="str">
        <f>"2/5/2025 11:44:00 AM"</f>
        <v>2/5/2025 11:44:00 AM</v>
      </c>
      <c r="O24668" t="str">
        <f>"ALBON STEPHEN W/DIANE JOAN TRUSTEES"</f>
        <v>ALBON STEPHEN W/DIANE JOAN TRUSTEES</v>
      </c>
      <c r="T24668" t="str">
        <f>"ALBON STEPH W/DIANE J REV TR"</f>
        <v>ALBON STEPH W/DIANE J REV TR</v>
      </c>
    </row>
    <row r="24669" spans="1:20" x14ac:dyDescent="0.25">
      <c r="A24669" t="str">
        <f>"3085259"</f>
        <v>3085259</v>
      </c>
      <c r="B24669" t="s">
        <v>74399</v>
      </c>
      <c r="C24669" t="str">
        <f>"73757000"</f>
        <v>73757000</v>
      </c>
      <c r="D24669" t="s">
        <v>47348</v>
      </c>
      <c r="F24669" t="s">
        <v>74400</v>
      </c>
      <c r="I24669" t="s">
        <v>1149</v>
      </c>
      <c r="J24669" t="s">
        <v>30</v>
      </c>
      <c r="K24669" t="s">
        <v>1150</v>
      </c>
      <c r="M24669" t="s">
        <v>32801</v>
      </c>
      <c r="N24669" t="str">
        <f>"2/5/2025 2:02:00 PM"</f>
        <v>2/5/2025 2:02:00 PM</v>
      </c>
      <c r="O24669" t="s">
        <v>47348</v>
      </c>
    </row>
    <row r="24670" spans="1:20" x14ac:dyDescent="0.25">
      <c r="A24670" t="str">
        <f>"3064334"</f>
        <v>3064334</v>
      </c>
      <c r="B24670" t="s">
        <v>74401</v>
      </c>
      <c r="C24670" t="str">
        <f>"8317199"</f>
        <v>8317199</v>
      </c>
      <c r="D24670" t="s">
        <v>74402</v>
      </c>
      <c r="E24670" t="s">
        <v>74403</v>
      </c>
      <c r="F24670" t="s">
        <v>74404</v>
      </c>
      <c r="I24670" t="s">
        <v>17921</v>
      </c>
      <c r="J24670" t="s">
        <v>30</v>
      </c>
      <c r="K24670" t="str">
        <f>"27028"</f>
        <v>27028</v>
      </c>
      <c r="M24670" t="s">
        <v>33845</v>
      </c>
      <c r="N24670" t="str">
        <f>"2/6/2025 1:56:00 PM"</f>
        <v>2/6/2025 1:56:00 PM</v>
      </c>
      <c r="O24670" t="s">
        <v>74402</v>
      </c>
      <c r="T24670" t="s">
        <v>74403</v>
      </c>
    </row>
    <row r="24671" spans="1:20" x14ac:dyDescent="0.25">
      <c r="A24671" t="str">
        <f>"3106109"</f>
        <v>3106109</v>
      </c>
      <c r="B24671" t="s">
        <v>74405</v>
      </c>
      <c r="C24671" t="str">
        <f>"8322988"</f>
        <v>8322988</v>
      </c>
      <c r="D24671" t="s">
        <v>74406</v>
      </c>
      <c r="F24671" t="s">
        <v>74407</v>
      </c>
      <c r="I24671" t="s">
        <v>29</v>
      </c>
      <c r="J24671" t="s">
        <v>30</v>
      </c>
      <c r="K24671" t="s">
        <v>74408</v>
      </c>
      <c r="M24671" t="s">
        <v>32801</v>
      </c>
      <c r="N24671" t="str">
        <f>"2/7/2025 9:05:00 AM"</f>
        <v>2/7/2025 9:05:00 AM</v>
      </c>
      <c r="O24671" t="s">
        <v>74406</v>
      </c>
    </row>
    <row r="24672" spans="1:20" x14ac:dyDescent="0.25">
      <c r="A24672" t="str">
        <f>"3065143"</f>
        <v>3065143</v>
      </c>
      <c r="B24672" t="s">
        <v>74409</v>
      </c>
      <c r="C24672" t="str">
        <f>"8301481"</f>
        <v>8301481</v>
      </c>
      <c r="D24672" t="s">
        <v>74410</v>
      </c>
      <c r="E24672" t="s">
        <v>74411</v>
      </c>
      <c r="F24672" t="s">
        <v>74412</v>
      </c>
      <c r="I24672" t="s">
        <v>74413</v>
      </c>
      <c r="J24672" t="s">
        <v>30</v>
      </c>
      <c r="K24672" t="s">
        <v>74414</v>
      </c>
      <c r="M24672" t="s">
        <v>67210</v>
      </c>
      <c r="N24672" t="str">
        <f>"2/7/2025 9:25:00 AM"</f>
        <v>2/7/2025 9:25:00 AM</v>
      </c>
      <c r="O24672" t="s">
        <v>74410</v>
      </c>
      <c r="T24672" t="s">
        <v>74411</v>
      </c>
    </row>
    <row r="24673" spans="1:20" x14ac:dyDescent="0.25">
      <c r="A24673" t="str">
        <f>"3045329"</f>
        <v>3045329</v>
      </c>
      <c r="B24673" t="s">
        <v>74415</v>
      </c>
      <c r="C24673" t="str">
        <f>"8310610"</f>
        <v>8310610</v>
      </c>
      <c r="D24673" t="s">
        <v>74416</v>
      </c>
      <c r="E24673" t="s">
        <v>74417</v>
      </c>
      <c r="F24673" t="s">
        <v>74418</v>
      </c>
      <c r="I24673" t="s">
        <v>29</v>
      </c>
      <c r="J24673" t="s">
        <v>30</v>
      </c>
      <c r="K24673" t="s">
        <v>74419</v>
      </c>
      <c r="M24673" t="s">
        <v>18479</v>
      </c>
      <c r="N24673" t="str">
        <f>"2/7/2025 9:30:00 AM"</f>
        <v>2/7/2025 9:30:00 AM</v>
      </c>
      <c r="O24673" t="s">
        <v>74416</v>
      </c>
      <c r="T24673" t="s">
        <v>74417</v>
      </c>
    </row>
    <row r="24674" spans="1:20" x14ac:dyDescent="0.25">
      <c r="A24674" t="str">
        <f>"3099156"</f>
        <v>3099156</v>
      </c>
      <c r="B24674" t="s">
        <v>74420</v>
      </c>
      <c r="C24674" t="str">
        <f>"82532952"</f>
        <v>82532952</v>
      </c>
      <c r="D24674" t="s">
        <v>74421</v>
      </c>
      <c r="F24674" t="s">
        <v>74422</v>
      </c>
      <c r="I24674" t="s">
        <v>17921</v>
      </c>
      <c r="J24674" t="s">
        <v>30</v>
      </c>
      <c r="K24674" t="s">
        <v>50070</v>
      </c>
      <c r="M24674" t="s">
        <v>67210</v>
      </c>
      <c r="N24674" t="str">
        <f>"2/7/2025 10:12:00 AM"</f>
        <v>2/7/2025 10:12:00 AM</v>
      </c>
      <c r="O24674" t="s">
        <v>74421</v>
      </c>
    </row>
    <row r="24675" spans="1:20" x14ac:dyDescent="0.25">
      <c r="A24675" t="str">
        <f>"3065160"</f>
        <v>3065160</v>
      </c>
      <c r="B24675" t="s">
        <v>74423</v>
      </c>
      <c r="C24675" t="str">
        <f>"82530947"</f>
        <v>82530947</v>
      </c>
      <c r="D24675" t="s">
        <v>47290</v>
      </c>
      <c r="F24675" t="s">
        <v>74424</v>
      </c>
      <c r="I24675" t="s">
        <v>4502</v>
      </c>
      <c r="J24675" t="s">
        <v>30</v>
      </c>
      <c r="K24675" t="s">
        <v>74425</v>
      </c>
      <c r="M24675" t="s">
        <v>67210</v>
      </c>
      <c r="N24675" t="str">
        <f>"2/7/2025 10:25:00 AM"</f>
        <v>2/7/2025 10:25:00 AM</v>
      </c>
      <c r="O24675" t="s">
        <v>47290</v>
      </c>
    </row>
    <row r="24676" spans="1:20" x14ac:dyDescent="0.25">
      <c r="A24676" t="str">
        <f>"3065163"</f>
        <v>3065163</v>
      </c>
      <c r="B24676" t="s">
        <v>74426</v>
      </c>
      <c r="C24676" t="str">
        <f>"82523747"</f>
        <v>82523747</v>
      </c>
      <c r="D24676" t="s">
        <v>74427</v>
      </c>
      <c r="F24676" t="s">
        <v>74428</v>
      </c>
      <c r="I24676" t="s">
        <v>74429</v>
      </c>
      <c r="J24676" t="s">
        <v>2109</v>
      </c>
      <c r="K24676" t="s">
        <v>74430</v>
      </c>
      <c r="M24676" t="s">
        <v>67210</v>
      </c>
      <c r="N24676" t="str">
        <f>"2/7/2025 10:28:00 AM"</f>
        <v>2/7/2025 10:28:00 AM</v>
      </c>
      <c r="O24676" t="s">
        <v>74427</v>
      </c>
    </row>
    <row r="24677" spans="1:20" x14ac:dyDescent="0.25">
      <c r="A24677" t="str">
        <f>"3065162"</f>
        <v>3065162</v>
      </c>
      <c r="B24677" t="s">
        <v>74431</v>
      </c>
      <c r="C24677" t="str">
        <f>"8300486"</f>
        <v>8300486</v>
      </c>
      <c r="D24677" t="s">
        <v>74432</v>
      </c>
      <c r="F24677" t="s">
        <v>74433</v>
      </c>
      <c r="I24677" t="s">
        <v>471</v>
      </c>
      <c r="J24677" t="s">
        <v>30</v>
      </c>
      <c r="K24677" t="s">
        <v>74434</v>
      </c>
      <c r="M24677" t="s">
        <v>67210</v>
      </c>
      <c r="N24677" t="str">
        <f>"2/7/2025 10:29:00 AM"</f>
        <v>2/7/2025 10:29:00 AM</v>
      </c>
      <c r="O24677" t="s">
        <v>74432</v>
      </c>
    </row>
    <row r="24678" spans="1:20" x14ac:dyDescent="0.25">
      <c r="A24678" t="str">
        <f>"3080682"</f>
        <v>3080682</v>
      </c>
      <c r="B24678" t="s">
        <v>74435</v>
      </c>
      <c r="C24678" t="str">
        <f>"8317130"</f>
        <v>8317130</v>
      </c>
      <c r="D24678" t="s">
        <v>74436</v>
      </c>
      <c r="E24678" t="s">
        <v>74437</v>
      </c>
      <c r="F24678" t="s">
        <v>74438</v>
      </c>
      <c r="I24678" t="s">
        <v>17921</v>
      </c>
      <c r="J24678" t="s">
        <v>30</v>
      </c>
      <c r="K24678" t="s">
        <v>74439</v>
      </c>
      <c r="M24678" t="s">
        <v>67210</v>
      </c>
      <c r="N24678" t="str">
        <f>"2/7/2025 10:39:00 AM"</f>
        <v>2/7/2025 10:39:00 AM</v>
      </c>
      <c r="O24678" t="s">
        <v>74436</v>
      </c>
      <c r="T24678" t="s">
        <v>74437</v>
      </c>
    </row>
    <row r="24679" spans="1:20" x14ac:dyDescent="0.25">
      <c r="A24679" t="str">
        <f>"3077620"</f>
        <v>3077620</v>
      </c>
      <c r="B24679" t="s">
        <v>74440</v>
      </c>
      <c r="C24679" t="str">
        <f>"8319736"</f>
        <v>8319736</v>
      </c>
      <c r="D24679" t="s">
        <v>74441</v>
      </c>
      <c r="F24679" t="s">
        <v>74442</v>
      </c>
      <c r="I24679" t="s">
        <v>1149</v>
      </c>
      <c r="J24679" t="s">
        <v>30</v>
      </c>
      <c r="K24679" t="s">
        <v>74443</v>
      </c>
      <c r="M24679" t="s">
        <v>67210</v>
      </c>
      <c r="N24679" t="str">
        <f>"2/7/2025 10:44:00 AM"</f>
        <v>2/7/2025 10:44:00 AM</v>
      </c>
      <c r="O24679" t="s">
        <v>74441</v>
      </c>
    </row>
    <row r="24680" spans="1:20" x14ac:dyDescent="0.25">
      <c r="A24680" t="str">
        <f>"3065152"</f>
        <v>3065152</v>
      </c>
      <c r="B24680" t="s">
        <v>74444</v>
      </c>
      <c r="C24680" t="str">
        <f>"8315093"</f>
        <v>8315093</v>
      </c>
      <c r="D24680" t="s">
        <v>74445</v>
      </c>
      <c r="F24680" t="s">
        <v>74446</v>
      </c>
      <c r="I24680" t="s">
        <v>7917</v>
      </c>
      <c r="J24680" t="s">
        <v>30</v>
      </c>
      <c r="K24680" t="s">
        <v>74447</v>
      </c>
      <c r="M24680" t="s">
        <v>67210</v>
      </c>
      <c r="N24680" t="str">
        <f>"2/7/2025 10:45:00 AM"</f>
        <v>2/7/2025 10:45:00 AM</v>
      </c>
      <c r="O24680" t="s">
        <v>74445</v>
      </c>
    </row>
    <row r="24681" spans="1:20" x14ac:dyDescent="0.25">
      <c r="A24681" t="str">
        <f>"3065150"</f>
        <v>3065150</v>
      </c>
      <c r="B24681" t="s">
        <v>74448</v>
      </c>
      <c r="C24681" t="str">
        <f>"8309519"</f>
        <v>8309519</v>
      </c>
      <c r="D24681" t="s">
        <v>74449</v>
      </c>
      <c r="F24681" t="s">
        <v>74450</v>
      </c>
      <c r="I24681" t="s">
        <v>471</v>
      </c>
      <c r="J24681" t="s">
        <v>30</v>
      </c>
      <c r="K24681" t="s">
        <v>74451</v>
      </c>
      <c r="M24681" t="s">
        <v>67210</v>
      </c>
      <c r="N24681" t="str">
        <f>"2/7/2025 10:48:00 AM"</f>
        <v>2/7/2025 10:48:00 AM</v>
      </c>
      <c r="O24681" t="s">
        <v>74449</v>
      </c>
    </row>
    <row r="24682" spans="1:20" x14ac:dyDescent="0.25">
      <c r="A24682" t="str">
        <f>"3067700"</f>
        <v>3067700</v>
      </c>
      <c r="B24682" t="s">
        <v>74452</v>
      </c>
      <c r="C24682" t="str">
        <f>"82526891"</f>
        <v>82526891</v>
      </c>
      <c r="D24682" t="s">
        <v>61363</v>
      </c>
      <c r="F24682" t="s">
        <v>61365</v>
      </c>
      <c r="I24682" t="s">
        <v>24359</v>
      </c>
      <c r="J24682" t="s">
        <v>30</v>
      </c>
      <c r="K24682" t="s">
        <v>34622</v>
      </c>
      <c r="M24682" t="s">
        <v>67210</v>
      </c>
      <c r="N24682" t="str">
        <f>"2/7/2025 10:53:00 AM"</f>
        <v>2/7/2025 10:53:00 AM</v>
      </c>
      <c r="O24682" t="s">
        <v>61363</v>
      </c>
      <c r="T24682" t="s">
        <v>61363</v>
      </c>
    </row>
    <row r="24683" spans="1:20" x14ac:dyDescent="0.25">
      <c r="A24683" t="str">
        <f>"3090594"</f>
        <v>3090594</v>
      </c>
      <c r="B24683" t="s">
        <v>74453</v>
      </c>
      <c r="C24683" t="str">
        <f>"82526891"</f>
        <v>82526891</v>
      </c>
      <c r="D24683" t="s">
        <v>61363</v>
      </c>
      <c r="F24683" t="s">
        <v>61365</v>
      </c>
      <c r="I24683" t="s">
        <v>24359</v>
      </c>
      <c r="J24683" t="s">
        <v>30</v>
      </c>
      <c r="K24683" t="s">
        <v>34622</v>
      </c>
      <c r="M24683" t="s">
        <v>67210</v>
      </c>
      <c r="N24683" t="str">
        <f>"2/7/2025 10:53:00 AM"</f>
        <v>2/7/2025 10:53:00 AM</v>
      </c>
      <c r="O24683" t="s">
        <v>61363</v>
      </c>
      <c r="T24683" t="s">
        <v>61363</v>
      </c>
    </row>
    <row r="24684" spans="1:20" x14ac:dyDescent="0.25">
      <c r="A24684" t="str">
        <f>"3077950"</f>
        <v>3077950</v>
      </c>
      <c r="B24684" t="s">
        <v>74454</v>
      </c>
      <c r="C24684" t="str">
        <f>"8323700"</f>
        <v>8323700</v>
      </c>
      <c r="D24684" t="s">
        <v>74455</v>
      </c>
      <c r="F24684" t="s">
        <v>74456</v>
      </c>
      <c r="I24684" t="s">
        <v>29</v>
      </c>
      <c r="J24684" t="s">
        <v>30</v>
      </c>
      <c r="K24684" t="s">
        <v>8224</v>
      </c>
      <c r="M24684" t="s">
        <v>67210</v>
      </c>
      <c r="N24684" t="str">
        <f>"2/7/2025 11:11:00 AM"</f>
        <v>2/7/2025 11:11:00 AM</v>
      </c>
      <c r="O24684" t="s">
        <v>74455</v>
      </c>
    </row>
    <row r="24685" spans="1:20" x14ac:dyDescent="0.25">
      <c r="A24685" t="str">
        <f>"3077946"</f>
        <v>3077946</v>
      </c>
      <c r="B24685" t="s">
        <v>74457</v>
      </c>
      <c r="C24685" t="str">
        <f>"8323700"</f>
        <v>8323700</v>
      </c>
      <c r="D24685" t="s">
        <v>74455</v>
      </c>
      <c r="F24685" t="s">
        <v>74456</v>
      </c>
      <c r="I24685" t="s">
        <v>29</v>
      </c>
      <c r="J24685" t="s">
        <v>30</v>
      </c>
      <c r="K24685" t="s">
        <v>8224</v>
      </c>
      <c r="M24685" t="s">
        <v>67210</v>
      </c>
      <c r="N24685" t="str">
        <f>"2/7/2025 11:11:00 AM"</f>
        <v>2/7/2025 11:11:00 AM</v>
      </c>
      <c r="O24685" t="s">
        <v>74455</v>
      </c>
    </row>
    <row r="24686" spans="1:20" x14ac:dyDescent="0.25">
      <c r="A24686" t="str">
        <f>"3065147"</f>
        <v>3065147</v>
      </c>
      <c r="B24686" t="s">
        <v>74458</v>
      </c>
      <c r="C24686" t="str">
        <f>"8321258"</f>
        <v>8321258</v>
      </c>
      <c r="D24686" t="s">
        <v>74459</v>
      </c>
      <c r="F24686" t="s">
        <v>74460</v>
      </c>
      <c r="I24686" t="s">
        <v>74461</v>
      </c>
      <c r="J24686" t="s">
        <v>11697</v>
      </c>
      <c r="K24686" t="s">
        <v>74462</v>
      </c>
      <c r="M24686" t="s">
        <v>67210</v>
      </c>
      <c r="N24686" t="str">
        <f>"2/7/2025 11:12:00 AM"</f>
        <v>2/7/2025 11:12:00 AM</v>
      </c>
      <c r="O24686" t="s">
        <v>74459</v>
      </c>
    </row>
    <row r="24687" spans="1:20" x14ac:dyDescent="0.25">
      <c r="A24687" t="str">
        <f>"3078924"</f>
        <v>3078924</v>
      </c>
      <c r="B24687" t="s">
        <v>74463</v>
      </c>
      <c r="C24687" t="str">
        <f>"8316169"</f>
        <v>8316169</v>
      </c>
      <c r="D24687" t="s">
        <v>74464</v>
      </c>
      <c r="F24687" t="s">
        <v>69868</v>
      </c>
      <c r="I24687" t="s">
        <v>29</v>
      </c>
      <c r="J24687" t="s">
        <v>30</v>
      </c>
      <c r="K24687" t="s">
        <v>41428</v>
      </c>
      <c r="M24687" t="s">
        <v>51351</v>
      </c>
      <c r="N24687" t="str">
        <f>"2/7/2025 12:25:00 PM"</f>
        <v>2/7/2025 12:25:00 PM</v>
      </c>
      <c r="O24687" t="s">
        <v>74464</v>
      </c>
    </row>
    <row r="24688" spans="1:20" x14ac:dyDescent="0.25">
      <c r="A24688" t="str">
        <f>"3038783"</f>
        <v>3038783</v>
      </c>
      <c r="B24688" t="s">
        <v>74465</v>
      </c>
      <c r="C24688" t="str">
        <f>"8316169"</f>
        <v>8316169</v>
      </c>
      <c r="D24688" t="s">
        <v>74464</v>
      </c>
      <c r="F24688" t="s">
        <v>69868</v>
      </c>
      <c r="I24688" t="s">
        <v>29</v>
      </c>
      <c r="J24688" t="s">
        <v>30</v>
      </c>
      <c r="K24688" t="s">
        <v>41428</v>
      </c>
      <c r="M24688" t="s">
        <v>51351</v>
      </c>
      <c r="N24688" t="str">
        <f>"2/7/2025 12:25:00 PM"</f>
        <v>2/7/2025 12:25:00 PM</v>
      </c>
      <c r="O24688" t="s">
        <v>74464</v>
      </c>
    </row>
    <row r="24689" spans="1:20" x14ac:dyDescent="0.25">
      <c r="A24689" t="str">
        <f>"3045830"</f>
        <v>3045830</v>
      </c>
      <c r="B24689" t="s">
        <v>74466</v>
      </c>
      <c r="C24689" t="str">
        <f>"8322780"</f>
        <v>8322780</v>
      </c>
      <c r="D24689" t="s">
        <v>63821</v>
      </c>
      <c r="E24689" t="s">
        <v>74467</v>
      </c>
      <c r="F24689" t="s">
        <v>47097</v>
      </c>
      <c r="I24689" t="s">
        <v>29</v>
      </c>
      <c r="J24689" t="s">
        <v>30</v>
      </c>
      <c r="K24689" t="s">
        <v>47098</v>
      </c>
      <c r="M24689" t="s">
        <v>50621</v>
      </c>
      <c r="N24689" t="str">
        <f>"2/7/2025 12:51:00 PM"</f>
        <v>2/7/2025 12:51:00 PM</v>
      </c>
      <c r="O24689" t="s">
        <v>63821</v>
      </c>
      <c r="T24689" t="s">
        <v>74467</v>
      </c>
    </row>
    <row r="24690" spans="1:20" x14ac:dyDescent="0.25">
      <c r="A24690" t="str">
        <f>"3058638"</f>
        <v>3058638</v>
      </c>
      <c r="B24690" t="s">
        <v>74468</v>
      </c>
      <c r="C24690" t="str">
        <f>"8322720"</f>
        <v>8322720</v>
      </c>
      <c r="D24690" t="s">
        <v>74469</v>
      </c>
      <c r="E24690" t="s">
        <v>74470</v>
      </c>
      <c r="F24690" t="s">
        <v>74471</v>
      </c>
      <c r="I24690" t="s">
        <v>29</v>
      </c>
      <c r="J24690" t="s">
        <v>30</v>
      </c>
      <c r="K24690" t="s">
        <v>59681</v>
      </c>
      <c r="M24690" t="s">
        <v>50793</v>
      </c>
      <c r="N24690" t="str">
        <f>"2/7/2025 2:47:00 PM"</f>
        <v>2/7/2025 2:47:00 PM</v>
      </c>
      <c r="O24690" t="s">
        <v>74469</v>
      </c>
      <c r="T24690" t="s">
        <v>74470</v>
      </c>
    </row>
    <row r="24691" spans="1:20" x14ac:dyDescent="0.25">
      <c r="A24691" t="str">
        <f>"3065187"</f>
        <v>3065187</v>
      </c>
      <c r="B24691" t="s">
        <v>74472</v>
      </c>
      <c r="C24691" t="str">
        <f>"8323574"</f>
        <v>8323574</v>
      </c>
      <c r="D24691" t="s">
        <v>74473</v>
      </c>
      <c r="E24691" t="s">
        <v>74474</v>
      </c>
      <c r="F24691" t="s">
        <v>74475</v>
      </c>
      <c r="I24691" t="s">
        <v>184</v>
      </c>
      <c r="J24691" t="s">
        <v>30</v>
      </c>
      <c r="K24691" t="s">
        <v>74476</v>
      </c>
      <c r="M24691" t="s">
        <v>55757</v>
      </c>
      <c r="N24691" t="str">
        <f>"2/10/2025 6:29:00 AM"</f>
        <v>2/10/2025 6:29:00 AM</v>
      </c>
      <c r="O24691" t="s">
        <v>74473</v>
      </c>
      <c r="T24691" t="s">
        <v>74474</v>
      </c>
    </row>
    <row r="24692" spans="1:20" x14ac:dyDescent="0.25">
      <c r="A24692" t="str">
        <f>"3106053"</f>
        <v>3106053</v>
      </c>
      <c r="B24692" t="s">
        <v>74477</v>
      </c>
      <c r="C24692" t="str">
        <f>"8323770"</f>
        <v>8323770</v>
      </c>
      <c r="D24692" t="s">
        <v>74478</v>
      </c>
      <c r="F24692" t="s">
        <v>74479</v>
      </c>
      <c r="I24692" t="s">
        <v>29</v>
      </c>
      <c r="J24692" t="s">
        <v>30</v>
      </c>
      <c r="K24692" t="s">
        <v>16678</v>
      </c>
      <c r="M24692" t="s">
        <v>50500</v>
      </c>
      <c r="N24692" t="str">
        <f>"2/10/2025 8:34:00 AM"</f>
        <v>2/10/2025 8:34:00 AM</v>
      </c>
      <c r="O24692" t="s">
        <v>74478</v>
      </c>
    </row>
    <row r="24693" spans="1:20" x14ac:dyDescent="0.25">
      <c r="A24693" t="str">
        <f>"3062748"</f>
        <v>3062748</v>
      </c>
      <c r="B24693" t="s">
        <v>74480</v>
      </c>
      <c r="C24693" t="str">
        <f>"8322615"</f>
        <v>8322615</v>
      </c>
      <c r="D24693" t="s">
        <v>74481</v>
      </c>
      <c r="E24693" t="s">
        <v>74482</v>
      </c>
      <c r="F24693" t="s">
        <v>74483</v>
      </c>
      <c r="I24693" t="s">
        <v>2071</v>
      </c>
      <c r="J24693" t="s">
        <v>30</v>
      </c>
      <c r="K24693" t="s">
        <v>6374</v>
      </c>
      <c r="M24693" t="s">
        <v>52111</v>
      </c>
      <c r="N24693" t="str">
        <f>"2/10/2025 8:33:00 AM"</f>
        <v>2/10/2025 8:33:00 AM</v>
      </c>
      <c r="O24693" t="s">
        <v>74481</v>
      </c>
      <c r="T24693" t="s">
        <v>74482</v>
      </c>
    </row>
    <row r="24694" spans="1:20" x14ac:dyDescent="0.25">
      <c r="A24694" t="str">
        <f>"3065209"</f>
        <v>3065209</v>
      </c>
      <c r="B24694" t="s">
        <v>74484</v>
      </c>
      <c r="C24694" t="str">
        <f>"8323771"</f>
        <v>8323771</v>
      </c>
      <c r="D24694" t="s">
        <v>74485</v>
      </c>
      <c r="F24694" t="s">
        <v>74486</v>
      </c>
      <c r="I24694" t="s">
        <v>49733</v>
      </c>
      <c r="J24694" t="s">
        <v>30</v>
      </c>
      <c r="K24694" t="s">
        <v>74487</v>
      </c>
      <c r="M24694" t="s">
        <v>50500</v>
      </c>
      <c r="N24694" t="str">
        <f>"2/10/2025 8:45:00 AM"</f>
        <v>2/10/2025 8:45:00 AM</v>
      </c>
      <c r="O24694" t="s">
        <v>74485</v>
      </c>
    </row>
    <row r="24695" spans="1:20" x14ac:dyDescent="0.25">
      <c r="A24695" t="str">
        <f>"3065210"</f>
        <v>3065210</v>
      </c>
      <c r="B24695" t="s">
        <v>74488</v>
      </c>
      <c r="C24695" t="str">
        <f>"8323771"</f>
        <v>8323771</v>
      </c>
      <c r="D24695" t="s">
        <v>74485</v>
      </c>
      <c r="F24695" t="s">
        <v>74486</v>
      </c>
      <c r="I24695" t="s">
        <v>49733</v>
      </c>
      <c r="J24695" t="s">
        <v>30</v>
      </c>
      <c r="K24695" t="s">
        <v>74487</v>
      </c>
      <c r="M24695" t="s">
        <v>50500</v>
      </c>
      <c r="N24695" t="str">
        <f>"2/10/2025 8:45:00 AM"</f>
        <v>2/10/2025 8:45:00 AM</v>
      </c>
      <c r="O24695" t="s">
        <v>74485</v>
      </c>
    </row>
    <row r="24696" spans="1:20" x14ac:dyDescent="0.25">
      <c r="A24696" t="str">
        <f>"3078195"</f>
        <v>3078195</v>
      </c>
      <c r="B24696" t="s">
        <v>74489</v>
      </c>
      <c r="C24696" t="str">
        <f>"8302317"</f>
        <v>8302317</v>
      </c>
      <c r="D24696" t="s">
        <v>74490</v>
      </c>
      <c r="E24696" t="s">
        <v>74491</v>
      </c>
      <c r="F24696" t="s">
        <v>74492</v>
      </c>
      <c r="I24696" t="s">
        <v>184</v>
      </c>
      <c r="J24696" t="s">
        <v>30</v>
      </c>
      <c r="K24696" t="s">
        <v>74493</v>
      </c>
      <c r="M24696" t="s">
        <v>25733</v>
      </c>
      <c r="N24696" t="str">
        <f>"2/10/2025 9:01:00 AM"</f>
        <v>2/10/2025 9:01:00 AM</v>
      </c>
      <c r="O24696" t="s">
        <v>74490</v>
      </c>
      <c r="T24696" t="s">
        <v>74491</v>
      </c>
    </row>
    <row r="24697" spans="1:20" x14ac:dyDescent="0.25">
      <c r="A24697" t="str">
        <f>"3050950"</f>
        <v>3050950</v>
      </c>
      <c r="B24697" t="s">
        <v>74494</v>
      </c>
      <c r="C24697" t="str">
        <f>"8316377"</f>
        <v>8316377</v>
      </c>
      <c r="D24697" t="s">
        <v>74490</v>
      </c>
      <c r="E24697" t="s">
        <v>74495</v>
      </c>
      <c r="F24697" t="s">
        <v>74492</v>
      </c>
      <c r="I24697" t="s">
        <v>184</v>
      </c>
      <c r="J24697" t="s">
        <v>30</v>
      </c>
      <c r="K24697" t="s">
        <v>74493</v>
      </c>
      <c r="M24697" t="s">
        <v>25733</v>
      </c>
      <c r="N24697" t="str">
        <f>"2/10/2025 9:13:00 AM"</f>
        <v>2/10/2025 9:13:00 AM</v>
      </c>
      <c r="O24697" t="s">
        <v>74490</v>
      </c>
      <c r="T24697" t="s">
        <v>74495</v>
      </c>
    </row>
    <row r="24698" spans="1:20" x14ac:dyDescent="0.25">
      <c r="A24698" t="str">
        <f>"3039018"</f>
        <v>3039018</v>
      </c>
      <c r="B24698" t="s">
        <v>74496</v>
      </c>
      <c r="C24698" t="str">
        <f>"8307186"</f>
        <v>8307186</v>
      </c>
      <c r="D24698" t="s">
        <v>74497</v>
      </c>
      <c r="E24698" t="s">
        <v>74498</v>
      </c>
      <c r="F24698" t="s">
        <v>74499</v>
      </c>
      <c r="I24698" t="s">
        <v>29</v>
      </c>
      <c r="J24698" t="s">
        <v>30</v>
      </c>
      <c r="K24698" t="str">
        <f>"27028"</f>
        <v>27028</v>
      </c>
      <c r="M24698" t="s">
        <v>25733</v>
      </c>
      <c r="N24698" t="str">
        <f>"2/10/2025 10:13:00 AM"</f>
        <v>2/10/2025 10:13:00 AM</v>
      </c>
      <c r="O24698" t="s">
        <v>74497</v>
      </c>
      <c r="T24698" t="s">
        <v>74498</v>
      </c>
    </row>
    <row r="24699" spans="1:20" x14ac:dyDescent="0.25">
      <c r="A24699" t="str">
        <f>"3063070"</f>
        <v>3063070</v>
      </c>
      <c r="B24699" t="s">
        <v>74500</v>
      </c>
      <c r="C24699" t="str">
        <f>"8322675"</f>
        <v>8322675</v>
      </c>
      <c r="D24699" t="s">
        <v>74501</v>
      </c>
      <c r="E24699" t="s">
        <v>74502</v>
      </c>
      <c r="F24699" t="s">
        <v>74503</v>
      </c>
      <c r="I24699" t="s">
        <v>184</v>
      </c>
      <c r="J24699" t="s">
        <v>30</v>
      </c>
      <c r="K24699" t="s">
        <v>24896</v>
      </c>
      <c r="M24699" t="s">
        <v>52111</v>
      </c>
      <c r="N24699" t="str">
        <f>"2/10/2025 10:18:00 AM"</f>
        <v>2/10/2025 10:18:00 AM</v>
      </c>
      <c r="O24699" t="s">
        <v>74501</v>
      </c>
      <c r="T24699" t="s">
        <v>74502</v>
      </c>
    </row>
    <row r="24700" spans="1:20" x14ac:dyDescent="0.25">
      <c r="A24700" t="str">
        <f>"3063040"</f>
        <v>3063040</v>
      </c>
      <c r="B24700" t="s">
        <v>74504</v>
      </c>
      <c r="C24700" t="str">
        <f>"46032880"</f>
        <v>46032880</v>
      </c>
      <c r="D24700" t="s">
        <v>74505</v>
      </c>
      <c r="E24700" t="s">
        <v>74506</v>
      </c>
      <c r="F24700" t="s">
        <v>74507</v>
      </c>
      <c r="I24700" t="s">
        <v>184</v>
      </c>
      <c r="J24700" t="s">
        <v>30</v>
      </c>
      <c r="K24700" t="s">
        <v>49626</v>
      </c>
      <c r="M24700" t="s">
        <v>25733</v>
      </c>
      <c r="N24700" t="str">
        <f>"2/10/2025 12:15:00 PM"</f>
        <v>2/10/2025 12:15:00 PM</v>
      </c>
      <c r="O24700" t="s">
        <v>74505</v>
      </c>
      <c r="T24700" t="s">
        <v>74506</v>
      </c>
    </row>
    <row r="24701" spans="1:20" x14ac:dyDescent="0.25">
      <c r="A24701" t="str">
        <f>"3098459"</f>
        <v>3098459</v>
      </c>
      <c r="B24701" t="s">
        <v>74508</v>
      </c>
      <c r="C24701" t="str">
        <f>"8323777"</f>
        <v>8323777</v>
      </c>
      <c r="D24701" t="s">
        <v>74509</v>
      </c>
      <c r="F24701" t="s">
        <v>74510</v>
      </c>
      <c r="I24701" t="s">
        <v>7917</v>
      </c>
      <c r="J24701" t="s">
        <v>30</v>
      </c>
      <c r="K24701" t="s">
        <v>74511</v>
      </c>
      <c r="M24701" t="s">
        <v>50500</v>
      </c>
      <c r="N24701" t="str">
        <f>"2/10/2025 2:25:00 PM"</f>
        <v>2/10/2025 2:25:00 PM</v>
      </c>
      <c r="O24701" t="s">
        <v>74509</v>
      </c>
    </row>
    <row r="24702" spans="1:20" x14ac:dyDescent="0.25">
      <c r="A24702" t="str">
        <f>"3078597"</f>
        <v>3078597</v>
      </c>
      <c r="B24702" t="s">
        <v>74512</v>
      </c>
      <c r="C24702" t="str">
        <f>"8306512"</f>
        <v>8306512</v>
      </c>
      <c r="D24702" t="s">
        <v>74513</v>
      </c>
      <c r="F24702" t="s">
        <v>74514</v>
      </c>
      <c r="I24702" t="s">
        <v>29</v>
      </c>
      <c r="J24702" t="s">
        <v>30</v>
      </c>
      <c r="K24702" t="str">
        <f>"27028"</f>
        <v>27028</v>
      </c>
      <c r="M24702" t="s">
        <v>25733</v>
      </c>
      <c r="N24702" t="str">
        <f>"2/10/2025 3:16:00 PM"</f>
        <v>2/10/2025 3:16:00 PM</v>
      </c>
      <c r="O24702" t="s">
        <v>74513</v>
      </c>
    </row>
    <row r="24703" spans="1:20" x14ac:dyDescent="0.25">
      <c r="A24703" t="str">
        <f>"3042239"</f>
        <v>3042239</v>
      </c>
      <c r="B24703" t="s">
        <v>74515</v>
      </c>
      <c r="C24703" t="str">
        <f>"8306512"</f>
        <v>8306512</v>
      </c>
      <c r="D24703" t="s">
        <v>74513</v>
      </c>
      <c r="F24703" t="s">
        <v>74514</v>
      </c>
      <c r="I24703" t="s">
        <v>29</v>
      </c>
      <c r="J24703" t="s">
        <v>30</v>
      </c>
      <c r="K24703" t="str">
        <f>"27028"</f>
        <v>27028</v>
      </c>
      <c r="M24703" t="s">
        <v>25733</v>
      </c>
      <c r="N24703" t="str">
        <f>"2/10/2025 3:16:00 PM"</f>
        <v>2/10/2025 3:16:00 PM</v>
      </c>
      <c r="O24703" t="s">
        <v>74513</v>
      </c>
    </row>
    <row r="24704" spans="1:20" x14ac:dyDescent="0.25">
      <c r="A24704" t="str">
        <f>"3056239"</f>
        <v>3056239</v>
      </c>
      <c r="B24704" t="s">
        <v>74516</v>
      </c>
      <c r="C24704" t="str">
        <f>"8317010"</f>
        <v>8317010</v>
      </c>
      <c r="D24704" t="s">
        <v>74517</v>
      </c>
      <c r="E24704" t="s">
        <v>74518</v>
      </c>
      <c r="F24704" t="s">
        <v>74519</v>
      </c>
      <c r="I24704" t="s">
        <v>29</v>
      </c>
      <c r="J24704" t="s">
        <v>30</v>
      </c>
      <c r="K24704" t="s">
        <v>51516</v>
      </c>
      <c r="M24704" t="s">
        <v>50793</v>
      </c>
      <c r="N24704" t="str">
        <f>"2/10/2025 4:49:00 PM"</f>
        <v>2/10/2025 4:49:00 PM</v>
      </c>
      <c r="O24704" t="s">
        <v>74517</v>
      </c>
      <c r="T24704" t="s">
        <v>74518</v>
      </c>
    </row>
    <row r="24705" spans="1:20" x14ac:dyDescent="0.25">
      <c r="A24705" t="str">
        <f>"3063964"</f>
        <v>3063964</v>
      </c>
      <c r="B24705" t="s">
        <v>74520</v>
      </c>
      <c r="C24705" t="str">
        <f>"9741500"</f>
        <v>9741500</v>
      </c>
      <c r="D24705" t="s">
        <v>74521</v>
      </c>
      <c r="F24705" t="s">
        <v>74522</v>
      </c>
      <c r="I24705" t="s">
        <v>184</v>
      </c>
      <c r="J24705" t="s">
        <v>30</v>
      </c>
      <c r="K24705" t="s">
        <v>185</v>
      </c>
      <c r="M24705" t="s">
        <v>25733</v>
      </c>
      <c r="N24705" t="str">
        <f>"2/11/2025 8:34:00 AM"</f>
        <v>2/11/2025 8:34:00 AM</v>
      </c>
      <c r="O24705" t="s">
        <v>74521</v>
      </c>
    </row>
    <row r="24706" spans="1:20" x14ac:dyDescent="0.25">
      <c r="A24706" t="str">
        <f>"3045382"</f>
        <v>3045382</v>
      </c>
      <c r="B24706" t="s">
        <v>74523</v>
      </c>
      <c r="C24706" t="str">
        <f>"8311992"</f>
        <v>8311992</v>
      </c>
      <c r="D24706" t="s">
        <v>74524</v>
      </c>
      <c r="F24706" t="s">
        <v>74525</v>
      </c>
      <c r="I24706" t="s">
        <v>1149</v>
      </c>
      <c r="J24706" t="s">
        <v>30</v>
      </c>
      <c r="K24706" t="s">
        <v>74526</v>
      </c>
      <c r="M24706" t="s">
        <v>51351</v>
      </c>
      <c r="N24706" t="str">
        <f>"2/11/2025 9:22:00 AM"</f>
        <v>2/11/2025 9:22:00 AM</v>
      </c>
      <c r="O24706" t="s">
        <v>74524</v>
      </c>
    </row>
    <row r="24707" spans="1:20" x14ac:dyDescent="0.25">
      <c r="A24707" t="str">
        <f>"3055161"</f>
        <v>3055161</v>
      </c>
      <c r="B24707" t="s">
        <v>74527</v>
      </c>
      <c r="C24707" t="str">
        <f>"79653000"</f>
        <v>79653000</v>
      </c>
      <c r="D24707" t="s">
        <v>72702</v>
      </c>
      <c r="F24707" t="s">
        <v>74528</v>
      </c>
      <c r="I24707" t="s">
        <v>74529</v>
      </c>
      <c r="J24707" t="s">
        <v>7057</v>
      </c>
      <c r="K24707" t="s">
        <v>74530</v>
      </c>
      <c r="M24707" t="s">
        <v>50621</v>
      </c>
      <c r="N24707" t="str">
        <f>"2/11/2025 9:45:00 AM"</f>
        <v>2/11/2025 9:45:00 AM</v>
      </c>
      <c r="O24707" t="s">
        <v>72702</v>
      </c>
    </row>
    <row r="24708" spans="1:20" x14ac:dyDescent="0.25">
      <c r="A24708" t="str">
        <f>"3070946"</f>
        <v>3070946</v>
      </c>
      <c r="B24708" t="s">
        <v>74531</v>
      </c>
      <c r="C24708" t="str">
        <f>"8300679"</f>
        <v>8300679</v>
      </c>
      <c r="D24708" t="s">
        <v>61880</v>
      </c>
      <c r="F24708" t="s">
        <v>61881</v>
      </c>
      <c r="I24708" t="s">
        <v>29</v>
      </c>
      <c r="J24708" t="s">
        <v>30</v>
      </c>
      <c r="K24708" t="s">
        <v>74532</v>
      </c>
      <c r="M24708" t="s">
        <v>50621</v>
      </c>
      <c r="N24708" t="str">
        <f>"2/11/2025 9:52:00 AM"</f>
        <v>2/11/2025 9:52:00 AM</v>
      </c>
      <c r="O24708" t="s">
        <v>61880</v>
      </c>
    </row>
    <row r="24709" spans="1:20" x14ac:dyDescent="0.25">
      <c r="A24709" t="str">
        <f>"3038948"</f>
        <v>3038948</v>
      </c>
      <c r="B24709" t="s">
        <v>74533</v>
      </c>
      <c r="C24709" t="str">
        <f>"57678440"</f>
        <v>57678440</v>
      </c>
      <c r="D24709" t="s">
        <v>74534</v>
      </c>
      <c r="E24709" t="s">
        <v>74535</v>
      </c>
      <c r="F24709" t="s">
        <v>74125</v>
      </c>
      <c r="I24709" t="s">
        <v>29</v>
      </c>
      <c r="J24709" t="s">
        <v>30</v>
      </c>
      <c r="K24709" t="s">
        <v>74126</v>
      </c>
      <c r="M24709" t="s">
        <v>25733</v>
      </c>
      <c r="N24709" t="str">
        <f>"2/11/2025 10:15:00 AM"</f>
        <v>2/11/2025 10:15:00 AM</v>
      </c>
      <c r="O24709" t="s">
        <v>74534</v>
      </c>
      <c r="T24709" t="s">
        <v>74535</v>
      </c>
    </row>
    <row r="24710" spans="1:20" x14ac:dyDescent="0.25">
      <c r="A24710" t="str">
        <f>"3044597"</f>
        <v>3044597</v>
      </c>
      <c r="B24710" t="s">
        <v>74536</v>
      </c>
      <c r="C24710" t="str">
        <f>"54298750"</f>
        <v>54298750</v>
      </c>
      <c r="D24710" t="s">
        <v>74537</v>
      </c>
      <c r="E24710" t="s">
        <v>74538</v>
      </c>
      <c r="F24710" t="s">
        <v>74539</v>
      </c>
      <c r="I24710" t="s">
        <v>184</v>
      </c>
      <c r="J24710" t="s">
        <v>30</v>
      </c>
      <c r="K24710" t="s">
        <v>41058</v>
      </c>
      <c r="M24710" t="s">
        <v>25733</v>
      </c>
      <c r="N24710" t="str">
        <f>"2/11/2025 10:39:00 AM"</f>
        <v>2/11/2025 10:39:00 AM</v>
      </c>
      <c r="O24710" t="s">
        <v>74537</v>
      </c>
      <c r="T24710" t="s">
        <v>74538</v>
      </c>
    </row>
    <row r="24711" spans="1:20" x14ac:dyDescent="0.25">
      <c r="A24711" t="str">
        <f>"3049132"</f>
        <v>3049132</v>
      </c>
      <c r="B24711" t="s">
        <v>74540</v>
      </c>
      <c r="C24711" t="str">
        <f>"8313437"</f>
        <v>8313437</v>
      </c>
      <c r="D24711" t="s">
        <v>74541</v>
      </c>
      <c r="F24711" t="s">
        <v>74542</v>
      </c>
      <c r="I24711" t="s">
        <v>184</v>
      </c>
      <c r="J24711" t="s">
        <v>30</v>
      </c>
      <c r="K24711" t="s">
        <v>5886</v>
      </c>
      <c r="M24711" t="s">
        <v>49684</v>
      </c>
      <c r="N24711" t="str">
        <f>"2/11/2025 12:06:00 PM"</f>
        <v>2/11/2025 12:06:00 PM</v>
      </c>
      <c r="O24711" t="s">
        <v>74541</v>
      </c>
    </row>
    <row r="24712" spans="1:20" x14ac:dyDescent="0.25">
      <c r="A24712" t="str">
        <f>"3046738"</f>
        <v>3046738</v>
      </c>
      <c r="B24712" t="s">
        <v>74543</v>
      </c>
      <c r="C24712" t="str">
        <f>"8307393"</f>
        <v>8307393</v>
      </c>
      <c r="D24712" t="s">
        <v>74544</v>
      </c>
      <c r="F24712" t="s">
        <v>74545</v>
      </c>
      <c r="I24712" t="s">
        <v>184</v>
      </c>
      <c r="J24712" t="s">
        <v>30</v>
      </c>
      <c r="K24712" t="str">
        <f>"27006"</f>
        <v>27006</v>
      </c>
      <c r="M24712" t="s">
        <v>50793</v>
      </c>
      <c r="N24712" t="str">
        <f>"2/11/2025 2:26:00 PM"</f>
        <v>2/11/2025 2:26:00 PM</v>
      </c>
      <c r="O24712" t="s">
        <v>74544</v>
      </c>
    </row>
    <row r="24713" spans="1:20" x14ac:dyDescent="0.25">
      <c r="A24713" t="str">
        <f>"3046626"</f>
        <v>3046626</v>
      </c>
      <c r="B24713" t="s">
        <v>74546</v>
      </c>
      <c r="C24713" t="str">
        <f>"8307393"</f>
        <v>8307393</v>
      </c>
      <c r="D24713" t="s">
        <v>74544</v>
      </c>
      <c r="F24713" t="s">
        <v>74545</v>
      </c>
      <c r="I24713" t="s">
        <v>184</v>
      </c>
      <c r="J24713" t="s">
        <v>30</v>
      </c>
      <c r="K24713" t="str">
        <f>"27006"</f>
        <v>27006</v>
      </c>
      <c r="M24713" t="s">
        <v>50793</v>
      </c>
      <c r="N24713" t="str">
        <f>"2/11/2025 2:26:00 PM"</f>
        <v>2/11/2025 2:26:00 PM</v>
      </c>
      <c r="O24713" t="s">
        <v>74544</v>
      </c>
    </row>
    <row r="24714" spans="1:20" x14ac:dyDescent="0.25">
      <c r="A24714" t="str">
        <f>"3059522"</f>
        <v>3059522</v>
      </c>
      <c r="B24714" t="s">
        <v>74547</v>
      </c>
      <c r="C24714" t="str">
        <f>"8317255"</f>
        <v>8317255</v>
      </c>
      <c r="D24714" t="s">
        <v>74548</v>
      </c>
      <c r="E24714" t="s">
        <v>74549</v>
      </c>
      <c r="F24714" t="s">
        <v>74550</v>
      </c>
      <c r="I24714" t="s">
        <v>29</v>
      </c>
      <c r="J24714" t="s">
        <v>30</v>
      </c>
      <c r="K24714" t="s">
        <v>29062</v>
      </c>
      <c r="M24714" t="s">
        <v>50793</v>
      </c>
      <c r="N24714" t="str">
        <f>"2/11/2025 2:47:00 PM"</f>
        <v>2/11/2025 2:47:00 PM</v>
      </c>
      <c r="O24714" t="s">
        <v>74548</v>
      </c>
      <c r="T24714" t="s">
        <v>74549</v>
      </c>
    </row>
    <row r="24715" spans="1:20" x14ac:dyDescent="0.25">
      <c r="A24715" t="str">
        <f>"3068886"</f>
        <v>3068886</v>
      </c>
      <c r="B24715" t="s">
        <v>74551</v>
      </c>
      <c r="C24715" t="str">
        <f>"82523861"</f>
        <v>82523861</v>
      </c>
      <c r="D24715" t="s">
        <v>74552</v>
      </c>
      <c r="F24715" t="s">
        <v>68559</v>
      </c>
      <c r="I24715" t="s">
        <v>184</v>
      </c>
      <c r="J24715" t="s">
        <v>30</v>
      </c>
      <c r="K24715" t="str">
        <f>"27006"</f>
        <v>27006</v>
      </c>
      <c r="M24715" t="s">
        <v>18470</v>
      </c>
      <c r="N24715" t="str">
        <f>"2/11/2025 2:49:00 PM"</f>
        <v>2/11/2025 2:49:00 PM</v>
      </c>
      <c r="O24715" t="s">
        <v>74552</v>
      </c>
    </row>
    <row r="24716" spans="1:20" x14ac:dyDescent="0.25">
      <c r="A24716" t="str">
        <f>"3047952"</f>
        <v>3047952</v>
      </c>
      <c r="B24716" t="s">
        <v>74553</v>
      </c>
      <c r="C24716" t="str">
        <f>"62312500"</f>
        <v>62312500</v>
      </c>
      <c r="D24716" t="s">
        <v>74554</v>
      </c>
      <c r="E24716" t="s">
        <v>74555</v>
      </c>
      <c r="F24716" t="s">
        <v>74556</v>
      </c>
      <c r="I24716" t="s">
        <v>184</v>
      </c>
      <c r="J24716" t="s">
        <v>30</v>
      </c>
      <c r="K24716" t="s">
        <v>17758</v>
      </c>
      <c r="M24716" t="s">
        <v>25733</v>
      </c>
      <c r="N24716" t="str">
        <f>"2/12/2025 8:49:00 AM"</f>
        <v>2/12/2025 8:49:00 AM</v>
      </c>
      <c r="O24716" t="s">
        <v>74554</v>
      </c>
      <c r="T24716" t="s">
        <v>74555</v>
      </c>
    </row>
    <row r="24717" spans="1:20" x14ac:dyDescent="0.25">
      <c r="A24717" t="str">
        <f>"3060068"</f>
        <v>3060068</v>
      </c>
      <c r="B24717" t="s">
        <v>74557</v>
      </c>
      <c r="C24717" t="str">
        <f>"8311908"</f>
        <v>8311908</v>
      </c>
      <c r="D24717" t="s">
        <v>74558</v>
      </c>
      <c r="E24717" t="s">
        <v>74559</v>
      </c>
      <c r="F24717" t="s">
        <v>74560</v>
      </c>
      <c r="I24717" t="s">
        <v>184</v>
      </c>
      <c r="J24717" t="s">
        <v>30</v>
      </c>
      <c r="K24717" t="s">
        <v>25247</v>
      </c>
      <c r="M24717" t="s">
        <v>50500</v>
      </c>
      <c r="N24717" t="str">
        <f>"2/12/2025 9:32:00 AM"</f>
        <v>2/12/2025 9:32:00 AM</v>
      </c>
      <c r="O24717" t="s">
        <v>74558</v>
      </c>
      <c r="T24717" t="s">
        <v>74559</v>
      </c>
    </row>
    <row r="24718" spans="1:20" x14ac:dyDescent="0.25">
      <c r="A24718" t="str">
        <f>"3043305"</f>
        <v>3043305</v>
      </c>
      <c r="B24718" t="s">
        <v>74561</v>
      </c>
      <c r="C24718" t="str">
        <f>"8315991"</f>
        <v>8315991</v>
      </c>
      <c r="D24718" t="s">
        <v>62501</v>
      </c>
      <c r="F24718" t="s">
        <v>49746</v>
      </c>
      <c r="I24718" t="s">
        <v>29</v>
      </c>
      <c r="J24718" t="s">
        <v>30</v>
      </c>
      <c r="K24718" t="s">
        <v>49747</v>
      </c>
      <c r="M24718" t="s">
        <v>52111</v>
      </c>
      <c r="N24718" t="str">
        <f>"2/12/2025 9:40:00 AM"</f>
        <v>2/12/2025 9:40:00 AM</v>
      </c>
      <c r="O24718" t="s">
        <v>62501</v>
      </c>
    </row>
    <row r="24719" spans="1:20" x14ac:dyDescent="0.25">
      <c r="A24719" t="str">
        <f>"3038080"</f>
        <v>3038080</v>
      </c>
      <c r="B24719" t="s">
        <v>74562</v>
      </c>
      <c r="C24719" t="str">
        <f>"8315991"</f>
        <v>8315991</v>
      </c>
      <c r="D24719" t="s">
        <v>62501</v>
      </c>
      <c r="F24719" t="s">
        <v>49746</v>
      </c>
      <c r="I24719" t="s">
        <v>29</v>
      </c>
      <c r="J24719" t="s">
        <v>30</v>
      </c>
      <c r="K24719" t="s">
        <v>49747</v>
      </c>
      <c r="M24719" t="s">
        <v>52111</v>
      </c>
      <c r="N24719" t="str">
        <f>"2/12/2025 9:40:00 AM"</f>
        <v>2/12/2025 9:40:00 AM</v>
      </c>
      <c r="O24719" t="s">
        <v>62501</v>
      </c>
    </row>
    <row r="24720" spans="1:20" x14ac:dyDescent="0.25">
      <c r="A24720" t="str">
        <f>"3038634"</f>
        <v>3038634</v>
      </c>
      <c r="B24720" t="s">
        <v>74563</v>
      </c>
      <c r="C24720" t="str">
        <f>"8303490"</f>
        <v>8303490</v>
      </c>
      <c r="D24720" t="s">
        <v>74534</v>
      </c>
      <c r="E24720" t="s">
        <v>74535</v>
      </c>
      <c r="F24720" t="s">
        <v>46323</v>
      </c>
      <c r="I24720" t="s">
        <v>29</v>
      </c>
      <c r="J24720" t="s">
        <v>30</v>
      </c>
      <c r="K24720" t="s">
        <v>41190</v>
      </c>
      <c r="M24720" t="s">
        <v>50793</v>
      </c>
      <c r="N24720" t="str">
        <f>"2/12/2025 10:17:00 AM"</f>
        <v>2/12/2025 10:17:00 AM</v>
      </c>
      <c r="O24720" t="s">
        <v>74534</v>
      </c>
      <c r="T24720" t="s">
        <v>74535</v>
      </c>
    </row>
    <row r="24721" spans="1:20" x14ac:dyDescent="0.25">
      <c r="A24721" t="str">
        <f>"3038607"</f>
        <v>3038607</v>
      </c>
      <c r="B24721" t="s">
        <v>74564</v>
      </c>
      <c r="C24721" t="str">
        <f>"8303490"</f>
        <v>8303490</v>
      </c>
      <c r="D24721" t="s">
        <v>74534</v>
      </c>
      <c r="E24721" t="s">
        <v>74535</v>
      </c>
      <c r="F24721" t="s">
        <v>46323</v>
      </c>
      <c r="I24721" t="s">
        <v>29</v>
      </c>
      <c r="J24721" t="s">
        <v>30</v>
      </c>
      <c r="K24721" t="s">
        <v>41190</v>
      </c>
      <c r="M24721" t="s">
        <v>50793</v>
      </c>
      <c r="N24721" t="str">
        <f>"2/12/2025 10:17:00 AM"</f>
        <v>2/12/2025 10:17:00 AM</v>
      </c>
      <c r="O24721" t="s">
        <v>74534</v>
      </c>
      <c r="T24721" t="s">
        <v>74535</v>
      </c>
    </row>
    <row r="24722" spans="1:20" x14ac:dyDescent="0.25">
      <c r="A24722" t="str">
        <f>"3059251"</f>
        <v>3059251</v>
      </c>
      <c r="B24722" t="s">
        <v>74565</v>
      </c>
      <c r="C24722" t="str">
        <f>"8303490"</f>
        <v>8303490</v>
      </c>
      <c r="D24722" t="s">
        <v>74534</v>
      </c>
      <c r="E24722" t="s">
        <v>74535</v>
      </c>
      <c r="F24722" t="s">
        <v>46323</v>
      </c>
      <c r="I24722" t="s">
        <v>29</v>
      </c>
      <c r="J24722" t="s">
        <v>30</v>
      </c>
      <c r="K24722" t="s">
        <v>41190</v>
      </c>
      <c r="M24722" t="s">
        <v>50793</v>
      </c>
      <c r="N24722" t="str">
        <f>"2/12/2025 10:17:00 AM"</f>
        <v>2/12/2025 10:17:00 AM</v>
      </c>
      <c r="O24722" t="s">
        <v>74534</v>
      </c>
      <c r="T24722" t="s">
        <v>74535</v>
      </c>
    </row>
    <row r="24723" spans="1:20" x14ac:dyDescent="0.25">
      <c r="A24723" t="str">
        <f>"3076683"</f>
        <v>3076683</v>
      </c>
      <c r="B24723" t="s">
        <v>74566</v>
      </c>
      <c r="C24723" t="str">
        <f>"8303490"</f>
        <v>8303490</v>
      </c>
      <c r="D24723" t="s">
        <v>74534</v>
      </c>
      <c r="E24723" t="s">
        <v>74535</v>
      </c>
      <c r="F24723" t="s">
        <v>46323</v>
      </c>
      <c r="I24723" t="s">
        <v>29</v>
      </c>
      <c r="J24723" t="s">
        <v>30</v>
      </c>
      <c r="K24723" t="s">
        <v>41190</v>
      </c>
      <c r="M24723" t="s">
        <v>50793</v>
      </c>
      <c r="N24723" t="str">
        <f>"2/12/2025 10:17:00 AM"</f>
        <v>2/12/2025 10:17:00 AM</v>
      </c>
      <c r="O24723" t="s">
        <v>74534</v>
      </c>
      <c r="T24723" t="s">
        <v>74535</v>
      </c>
    </row>
    <row r="24724" spans="1:20" x14ac:dyDescent="0.25">
      <c r="A24724" t="str">
        <f>"3060187"</f>
        <v>3060187</v>
      </c>
      <c r="B24724" t="s">
        <v>74567</v>
      </c>
      <c r="C24724" t="str">
        <f>"8306509"</f>
        <v>8306509</v>
      </c>
      <c r="D24724" t="s">
        <v>74568</v>
      </c>
      <c r="F24724" t="str">
        <f>"159"</f>
        <v>159</v>
      </c>
      <c r="G24724" t="s">
        <v>74569</v>
      </c>
      <c r="I24724" t="s">
        <v>29</v>
      </c>
      <c r="J24724" t="s">
        <v>30</v>
      </c>
      <c r="K24724" t="str">
        <f>"27028"</f>
        <v>27028</v>
      </c>
      <c r="M24724" t="s">
        <v>50621</v>
      </c>
      <c r="N24724" t="str">
        <f>"2/12/2025 10:29:00 AM"</f>
        <v>2/12/2025 10:29:00 AM</v>
      </c>
      <c r="O24724" t="s">
        <v>74568</v>
      </c>
    </row>
    <row r="24725" spans="1:20" x14ac:dyDescent="0.25">
      <c r="A24725" t="str">
        <f>"3050946"</f>
        <v>3050946</v>
      </c>
      <c r="B24725" t="s">
        <v>74570</v>
      </c>
      <c r="C24725" t="str">
        <f>"82532056"</f>
        <v>82532056</v>
      </c>
      <c r="D24725" t="s">
        <v>74571</v>
      </c>
      <c r="E24725" t="s">
        <v>74572</v>
      </c>
      <c r="F24725" t="s">
        <v>74573</v>
      </c>
      <c r="I24725" t="s">
        <v>184</v>
      </c>
      <c r="J24725" t="s">
        <v>30</v>
      </c>
      <c r="K24725" t="s">
        <v>185</v>
      </c>
      <c r="M24725" t="s">
        <v>50621</v>
      </c>
      <c r="N24725" t="str">
        <f>"2/12/2025 10:30:00 AM"</f>
        <v>2/12/2025 10:30:00 AM</v>
      </c>
      <c r="O24725" t="s">
        <v>74571</v>
      </c>
      <c r="T24725" t="s">
        <v>74572</v>
      </c>
    </row>
    <row r="24726" spans="1:20" x14ac:dyDescent="0.25">
      <c r="A24726" t="str">
        <f>"3065621"</f>
        <v>3065621</v>
      </c>
      <c r="B24726" t="s">
        <v>74574</v>
      </c>
      <c r="C24726" t="str">
        <f>"8323791"</f>
        <v>8323791</v>
      </c>
      <c r="D24726" t="s">
        <v>74575</v>
      </c>
      <c r="F24726" t="s">
        <v>74576</v>
      </c>
      <c r="I24726" t="s">
        <v>6707</v>
      </c>
      <c r="J24726" t="s">
        <v>30</v>
      </c>
      <c r="K24726" t="s">
        <v>74577</v>
      </c>
      <c r="M24726" t="s">
        <v>50500</v>
      </c>
      <c r="N24726" t="str">
        <f>"2/12/2025 10:48:00 AM"</f>
        <v>2/12/2025 10:48:00 AM</v>
      </c>
      <c r="O24726" t="s">
        <v>74575</v>
      </c>
    </row>
    <row r="24727" spans="1:20" x14ac:dyDescent="0.25">
      <c r="A24727" t="str">
        <f>"3065622"</f>
        <v>3065622</v>
      </c>
      <c r="B24727" t="s">
        <v>74578</v>
      </c>
      <c r="C24727" t="str">
        <f>"8323791"</f>
        <v>8323791</v>
      </c>
      <c r="D24727" t="s">
        <v>74575</v>
      </c>
      <c r="F24727" t="s">
        <v>74576</v>
      </c>
      <c r="I24727" t="s">
        <v>6707</v>
      </c>
      <c r="J24727" t="s">
        <v>30</v>
      </c>
      <c r="K24727" t="s">
        <v>74577</v>
      </c>
      <c r="M24727" t="s">
        <v>50500</v>
      </c>
      <c r="N24727" t="str">
        <f>"2/12/2025 10:48:00 AM"</f>
        <v>2/12/2025 10:48:00 AM</v>
      </c>
      <c r="O24727" t="s">
        <v>74575</v>
      </c>
    </row>
    <row r="24728" spans="1:20" x14ac:dyDescent="0.25">
      <c r="A24728" t="str">
        <f>"3043758"</f>
        <v>3043758</v>
      </c>
      <c r="B24728" t="s">
        <v>74579</v>
      </c>
      <c r="C24728" t="str">
        <f>"82530177"</f>
        <v>82530177</v>
      </c>
      <c r="D24728" t="s">
        <v>74580</v>
      </c>
      <c r="E24728" t="s">
        <v>74581</v>
      </c>
      <c r="F24728" t="s">
        <v>66308</v>
      </c>
      <c r="I24728" t="s">
        <v>29</v>
      </c>
      <c r="J24728" t="s">
        <v>30</v>
      </c>
      <c r="K24728" t="s">
        <v>31</v>
      </c>
      <c r="M24728" t="s">
        <v>51351</v>
      </c>
      <c r="N24728" t="str">
        <f>"2/12/2025 4:04:00 PM"</f>
        <v>2/12/2025 4:04:00 PM</v>
      </c>
      <c r="O24728" t="s">
        <v>74580</v>
      </c>
      <c r="T24728" t="s">
        <v>74581</v>
      </c>
    </row>
    <row r="24729" spans="1:20" x14ac:dyDescent="0.25">
      <c r="A24729" t="str">
        <f>"3052221"</f>
        <v>3052221</v>
      </c>
      <c r="B24729" t="s">
        <v>74582</v>
      </c>
      <c r="C24729" t="str">
        <f>"8321912"</f>
        <v>8321912</v>
      </c>
      <c r="D24729" t="s">
        <v>74583</v>
      </c>
      <c r="E24729" t="s">
        <v>74584</v>
      </c>
      <c r="F24729" t="s">
        <v>74585</v>
      </c>
      <c r="G24729" t="s">
        <v>74586</v>
      </c>
      <c r="I24729" t="s">
        <v>12628</v>
      </c>
      <c r="J24729" t="s">
        <v>3990</v>
      </c>
      <c r="K24729" t="s">
        <v>74587</v>
      </c>
      <c r="M24729" t="s">
        <v>50793</v>
      </c>
      <c r="N24729" t="str">
        <f>"2/13/2025 8:43:00 AM"</f>
        <v>2/13/2025 8:43:00 AM</v>
      </c>
      <c r="O24729" t="s">
        <v>74583</v>
      </c>
      <c r="T24729" t="s">
        <v>74584</v>
      </c>
    </row>
    <row r="24730" spans="1:20" x14ac:dyDescent="0.25">
      <c r="A24730" t="str">
        <f>"3041175"</f>
        <v>3041175</v>
      </c>
      <c r="B24730" t="s">
        <v>74588</v>
      </c>
      <c r="C24730" t="str">
        <f>"8310671"</f>
        <v>8310671</v>
      </c>
      <c r="D24730" t="s">
        <v>74589</v>
      </c>
      <c r="F24730" t="s">
        <v>51588</v>
      </c>
      <c r="I24730" t="s">
        <v>2071</v>
      </c>
      <c r="J24730" t="s">
        <v>30</v>
      </c>
      <c r="K24730" t="s">
        <v>3789</v>
      </c>
      <c r="M24730" t="s">
        <v>25733</v>
      </c>
      <c r="N24730" t="str">
        <f>"2/13/2025 9:38:00 AM"</f>
        <v>2/13/2025 9:38:00 AM</v>
      </c>
      <c r="O24730" t="s">
        <v>74589</v>
      </c>
    </row>
    <row r="24731" spans="1:20" x14ac:dyDescent="0.25">
      <c r="A24731" t="str">
        <f>"3042364"</f>
        <v>3042364</v>
      </c>
      <c r="B24731" t="s">
        <v>74590</v>
      </c>
      <c r="C24731" t="str">
        <f>"82524958"</f>
        <v>82524958</v>
      </c>
      <c r="D24731" t="s">
        <v>74591</v>
      </c>
      <c r="E24731" t="s">
        <v>74592</v>
      </c>
      <c r="F24731" t="s">
        <v>74593</v>
      </c>
      <c r="I24731" t="s">
        <v>56757</v>
      </c>
      <c r="J24731" t="s">
        <v>30</v>
      </c>
      <c r="K24731" t="s">
        <v>74594</v>
      </c>
      <c r="M24731" t="s">
        <v>51351</v>
      </c>
      <c r="N24731" t="str">
        <f>"2/13/2025 9:51:00 AM"</f>
        <v>2/13/2025 9:51:00 AM</v>
      </c>
      <c r="O24731" t="s">
        <v>74591</v>
      </c>
      <c r="T24731" t="s">
        <v>74592</v>
      </c>
    </row>
    <row r="24732" spans="1:20" x14ac:dyDescent="0.25">
      <c r="A24732" t="str">
        <f>"3060256"</f>
        <v>3060256</v>
      </c>
      <c r="B24732" t="s">
        <v>74595</v>
      </c>
      <c r="C24732" t="str">
        <f>"8316050"</f>
        <v>8316050</v>
      </c>
      <c r="D24732" t="s">
        <v>74596</v>
      </c>
      <c r="E24732" t="s">
        <v>74597</v>
      </c>
      <c r="F24732" t="s">
        <v>74598</v>
      </c>
      <c r="I24732" t="s">
        <v>74599</v>
      </c>
      <c r="J24732" t="s">
        <v>1046</v>
      </c>
      <c r="K24732" t="s">
        <v>74600</v>
      </c>
      <c r="M24732" t="s">
        <v>25733</v>
      </c>
      <c r="N24732" t="str">
        <f>"2/13/2025 10:37:00 AM"</f>
        <v>2/13/2025 10:37:00 AM</v>
      </c>
      <c r="O24732" t="s">
        <v>74596</v>
      </c>
      <c r="T24732" t="s">
        <v>74597</v>
      </c>
    </row>
    <row r="24733" spans="1:20" x14ac:dyDescent="0.25">
      <c r="A24733" t="str">
        <f>"3058190"</f>
        <v>3058190</v>
      </c>
      <c r="B24733" t="s">
        <v>74601</v>
      </c>
      <c r="C24733" t="str">
        <f>"8300528"</f>
        <v>8300528</v>
      </c>
      <c r="D24733" t="s">
        <v>74602</v>
      </c>
      <c r="F24733" t="s">
        <v>74603</v>
      </c>
      <c r="I24733" t="s">
        <v>29</v>
      </c>
      <c r="J24733" t="s">
        <v>30</v>
      </c>
      <c r="K24733" t="str">
        <f>"27028"</f>
        <v>27028</v>
      </c>
      <c r="M24733" t="s">
        <v>33845</v>
      </c>
      <c r="N24733" t="str">
        <f>"2/13/2025 1:17:00 PM"</f>
        <v>2/13/2025 1:17:00 PM</v>
      </c>
      <c r="O24733" t="s">
        <v>74602</v>
      </c>
    </row>
    <row r="24734" spans="1:20" x14ac:dyDescent="0.25">
      <c r="A24734" t="str">
        <f>"3056931"</f>
        <v>3056931</v>
      </c>
      <c r="B24734" t="s">
        <v>74604</v>
      </c>
      <c r="C24734" t="str">
        <f>"8300528"</f>
        <v>8300528</v>
      </c>
      <c r="D24734" t="s">
        <v>74602</v>
      </c>
      <c r="F24734" t="s">
        <v>74603</v>
      </c>
      <c r="I24734" t="s">
        <v>29</v>
      </c>
      <c r="J24734" t="s">
        <v>30</v>
      </c>
      <c r="K24734" t="str">
        <f>"27028"</f>
        <v>27028</v>
      </c>
      <c r="M24734" t="s">
        <v>33845</v>
      </c>
      <c r="N24734" t="str">
        <f>"2/13/2025 1:17:00 PM"</f>
        <v>2/13/2025 1:17:00 PM</v>
      </c>
      <c r="O24734" t="s">
        <v>74602</v>
      </c>
    </row>
    <row r="24735" spans="1:20" x14ac:dyDescent="0.25">
      <c r="A24735" t="str">
        <f>"3045133"</f>
        <v>3045133</v>
      </c>
      <c r="B24735" t="s">
        <v>74605</v>
      </c>
      <c r="C24735" t="str">
        <f>"8309197"</f>
        <v>8309197</v>
      </c>
      <c r="D24735" t="s">
        <v>74606</v>
      </c>
      <c r="F24735" t="s">
        <v>74607</v>
      </c>
      <c r="I24735" t="s">
        <v>163</v>
      </c>
      <c r="J24735" t="s">
        <v>30</v>
      </c>
      <c r="K24735" t="s">
        <v>74608</v>
      </c>
      <c r="M24735" t="s">
        <v>49684</v>
      </c>
      <c r="N24735" t="str">
        <f>"2/14/2025 2:36:00 PM"</f>
        <v>2/14/2025 2:36:00 PM</v>
      </c>
      <c r="O24735" t="s">
        <v>74606</v>
      </c>
    </row>
    <row r="24736" spans="1:20" x14ac:dyDescent="0.25">
      <c r="A24736" t="str">
        <f>"3045607"</f>
        <v>3045607</v>
      </c>
      <c r="B24736" t="s">
        <v>74609</v>
      </c>
      <c r="C24736" t="str">
        <f>"8309197"</f>
        <v>8309197</v>
      </c>
      <c r="D24736" t="s">
        <v>74606</v>
      </c>
      <c r="F24736" t="s">
        <v>74607</v>
      </c>
      <c r="I24736" t="s">
        <v>163</v>
      </c>
      <c r="J24736" t="s">
        <v>30</v>
      </c>
      <c r="K24736" t="s">
        <v>74608</v>
      </c>
      <c r="M24736" t="s">
        <v>49684</v>
      </c>
      <c r="N24736" t="str">
        <f>"2/14/2025 2:36:00 PM"</f>
        <v>2/14/2025 2:36:00 PM</v>
      </c>
      <c r="O24736" t="s">
        <v>74606</v>
      </c>
    </row>
    <row r="24737" spans="1:20" x14ac:dyDescent="0.25">
      <c r="A24737" t="str">
        <f>"3039410"</f>
        <v>3039410</v>
      </c>
      <c r="B24737" t="s">
        <v>74610</v>
      </c>
      <c r="C24737" t="str">
        <f>"8309058"</f>
        <v>8309058</v>
      </c>
      <c r="D24737" t="s">
        <v>74611</v>
      </c>
      <c r="F24737" t="s">
        <v>74607</v>
      </c>
      <c r="I24737" t="s">
        <v>163</v>
      </c>
      <c r="J24737" t="s">
        <v>30</v>
      </c>
      <c r="K24737" t="s">
        <v>74608</v>
      </c>
      <c r="M24737" t="s">
        <v>49684</v>
      </c>
      <c r="N24737" t="str">
        <f>"2/14/2025 2:37:00 PM"</f>
        <v>2/14/2025 2:37:00 PM</v>
      </c>
      <c r="O24737" t="s">
        <v>74611</v>
      </c>
    </row>
    <row r="24738" spans="1:20" x14ac:dyDescent="0.25">
      <c r="A24738" t="str">
        <f>"3049067"</f>
        <v>3049067</v>
      </c>
      <c r="B24738" t="s">
        <v>74612</v>
      </c>
      <c r="C24738" t="str">
        <f>"8322559"</f>
        <v>8322559</v>
      </c>
      <c r="D24738" t="s">
        <v>74613</v>
      </c>
      <c r="E24738" t="s">
        <v>74614</v>
      </c>
      <c r="F24738" t="s">
        <v>74615</v>
      </c>
      <c r="I24738" t="s">
        <v>29</v>
      </c>
      <c r="J24738" t="s">
        <v>30</v>
      </c>
      <c r="K24738" t="s">
        <v>45371</v>
      </c>
      <c r="M24738" t="s">
        <v>50793</v>
      </c>
      <c r="N24738" t="str">
        <f>"2/14/2025 2:46:00 PM"</f>
        <v>2/14/2025 2:46:00 PM</v>
      </c>
      <c r="O24738" t="s">
        <v>74613</v>
      </c>
      <c r="T24738" t="s">
        <v>74614</v>
      </c>
    </row>
    <row r="24739" spans="1:20" x14ac:dyDescent="0.25">
      <c r="A24739" t="str">
        <f>"3049065"</f>
        <v>3049065</v>
      </c>
      <c r="B24739" t="s">
        <v>74616</v>
      </c>
      <c r="C24739" t="str">
        <f>"8322559"</f>
        <v>8322559</v>
      </c>
      <c r="D24739" t="s">
        <v>74613</v>
      </c>
      <c r="E24739" t="s">
        <v>74614</v>
      </c>
      <c r="F24739" t="s">
        <v>74615</v>
      </c>
      <c r="I24739" t="s">
        <v>29</v>
      </c>
      <c r="J24739" t="s">
        <v>30</v>
      </c>
      <c r="K24739" t="s">
        <v>45371</v>
      </c>
      <c r="M24739" t="s">
        <v>50793</v>
      </c>
      <c r="N24739" t="str">
        <f>"2/14/2025 2:46:00 PM"</f>
        <v>2/14/2025 2:46:00 PM</v>
      </c>
      <c r="O24739" t="s">
        <v>74613</v>
      </c>
      <c r="T24739" t="s">
        <v>74614</v>
      </c>
    </row>
    <row r="24740" spans="1:20" x14ac:dyDescent="0.25">
      <c r="A24740" t="str">
        <f>"3048431"</f>
        <v>3048431</v>
      </c>
      <c r="B24740" t="s">
        <v>74617</v>
      </c>
      <c r="C24740" t="str">
        <f>"19012000"</f>
        <v>19012000</v>
      </c>
      <c r="D24740" t="s">
        <v>74618</v>
      </c>
      <c r="E24740" t="str">
        <f>"C/0 MCGIRT CARLA Y CREWS"</f>
        <v>C/0 MCGIRT CARLA Y CREWS</v>
      </c>
      <c r="F24740" t="s">
        <v>74619</v>
      </c>
      <c r="I24740" t="s">
        <v>29</v>
      </c>
      <c r="J24740" t="s">
        <v>30</v>
      </c>
      <c r="K24740" t="s">
        <v>13999</v>
      </c>
      <c r="M24740" t="s">
        <v>50500</v>
      </c>
      <c r="N24740" t="str">
        <f>"2/14/2025 3:14:00 PM"</f>
        <v>2/14/2025 3:14:00 PM</v>
      </c>
      <c r="O24740" t="s">
        <v>74618</v>
      </c>
      <c r="T24740" t="str">
        <f>"C/0 MCGIRT CARLA Y CREWS"</f>
        <v>C/0 MCGIRT CARLA Y CREWS</v>
      </c>
    </row>
    <row r="24741" spans="1:20" x14ac:dyDescent="0.25">
      <c r="A24741" t="str">
        <f>"3053580"</f>
        <v>3053580</v>
      </c>
      <c r="B24741" t="s">
        <v>74620</v>
      </c>
      <c r="C24741" t="str">
        <f>"19012000"</f>
        <v>19012000</v>
      </c>
      <c r="D24741" t="s">
        <v>74618</v>
      </c>
      <c r="E24741" t="str">
        <f>"C/0 MCGIRT CARLA Y CREWS"</f>
        <v>C/0 MCGIRT CARLA Y CREWS</v>
      </c>
      <c r="F24741" t="s">
        <v>74619</v>
      </c>
      <c r="I24741" t="s">
        <v>29</v>
      </c>
      <c r="J24741" t="s">
        <v>30</v>
      </c>
      <c r="K24741" t="s">
        <v>13999</v>
      </c>
      <c r="M24741" t="s">
        <v>50500</v>
      </c>
      <c r="N24741" t="str">
        <f>"2/14/2025 3:14:00 PM"</f>
        <v>2/14/2025 3:14:00 PM</v>
      </c>
      <c r="O24741" t="s">
        <v>74618</v>
      </c>
      <c r="T24741" t="str">
        <f>"C/0 MCGIRT CARLA Y CREWS"</f>
        <v>C/0 MCGIRT CARLA Y CREWS</v>
      </c>
    </row>
    <row r="24742" spans="1:20" x14ac:dyDescent="0.25">
      <c r="A24742" t="str">
        <f>"3043966"</f>
        <v>3043966</v>
      </c>
      <c r="B24742" t="s">
        <v>74621</v>
      </c>
      <c r="C24742" t="str">
        <f>"19012000"</f>
        <v>19012000</v>
      </c>
      <c r="D24742" t="s">
        <v>74618</v>
      </c>
      <c r="E24742" t="str">
        <f>"C/0 MCGIRT CARLA Y CREWS"</f>
        <v>C/0 MCGIRT CARLA Y CREWS</v>
      </c>
      <c r="F24742" t="s">
        <v>74619</v>
      </c>
      <c r="I24742" t="s">
        <v>29</v>
      </c>
      <c r="J24742" t="s">
        <v>30</v>
      </c>
      <c r="K24742" t="s">
        <v>13999</v>
      </c>
      <c r="M24742" t="s">
        <v>50500</v>
      </c>
      <c r="N24742" t="str">
        <f>"2/14/2025 3:14:00 PM"</f>
        <v>2/14/2025 3:14:00 PM</v>
      </c>
      <c r="O24742" t="s">
        <v>74618</v>
      </c>
      <c r="T24742" t="str">
        <f>"C/0 MCGIRT CARLA Y CREWS"</f>
        <v>C/0 MCGIRT CARLA Y CREWS</v>
      </c>
    </row>
    <row r="24743" spans="1:20" x14ac:dyDescent="0.25">
      <c r="A24743" t="str">
        <f>"3058521"</f>
        <v>3058521</v>
      </c>
      <c r="B24743" t="s">
        <v>74622</v>
      </c>
      <c r="C24743" t="str">
        <f>"8318917"</f>
        <v>8318917</v>
      </c>
      <c r="D24743" t="s">
        <v>74623</v>
      </c>
      <c r="F24743" t="s">
        <v>74624</v>
      </c>
      <c r="I24743" t="s">
        <v>29</v>
      </c>
      <c r="J24743" t="s">
        <v>30</v>
      </c>
      <c r="K24743" t="s">
        <v>74625</v>
      </c>
      <c r="M24743" t="s">
        <v>50793</v>
      </c>
      <c r="N24743" t="str">
        <f>"2/14/2025 3:53:00 PM"</f>
        <v>2/14/2025 3:53:00 PM</v>
      </c>
      <c r="O24743" t="s">
        <v>74623</v>
      </c>
    </row>
    <row r="24744" spans="1:20" x14ac:dyDescent="0.25">
      <c r="A24744" t="str">
        <f>"3056513"</f>
        <v>3056513</v>
      </c>
      <c r="B24744" t="s">
        <v>74626</v>
      </c>
      <c r="C24744" t="str">
        <f>"82521541"</f>
        <v>82521541</v>
      </c>
      <c r="D24744" t="s">
        <v>74627</v>
      </c>
      <c r="F24744" t="s">
        <v>74628</v>
      </c>
      <c r="I24744" t="s">
        <v>9580</v>
      </c>
      <c r="J24744" t="s">
        <v>30</v>
      </c>
      <c r="K24744" t="s">
        <v>9581</v>
      </c>
      <c r="M24744" t="s">
        <v>18470</v>
      </c>
      <c r="N24744" t="str">
        <f>"2/17/2025 9:43:00 AM"</f>
        <v>2/17/2025 9:43:00 AM</v>
      </c>
      <c r="O24744" t="s">
        <v>74627</v>
      </c>
    </row>
    <row r="24745" spans="1:20" x14ac:dyDescent="0.25">
      <c r="A24745" t="str">
        <f>"3060384"</f>
        <v>3060384</v>
      </c>
      <c r="B24745" t="s">
        <v>74629</v>
      </c>
      <c r="C24745" t="str">
        <f>"8322503"</f>
        <v>8322503</v>
      </c>
      <c r="D24745" t="s">
        <v>74630</v>
      </c>
      <c r="F24745" t="s">
        <v>74631</v>
      </c>
      <c r="I24745" t="s">
        <v>10172</v>
      </c>
      <c r="J24745" t="s">
        <v>30</v>
      </c>
      <c r="K24745" t="s">
        <v>74632</v>
      </c>
      <c r="M24745" t="s">
        <v>51351</v>
      </c>
      <c r="N24745" t="str">
        <f>"2/17/2025 11:23:00 AM"</f>
        <v>2/17/2025 11:23:00 AM</v>
      </c>
      <c r="O24745" t="s">
        <v>74630</v>
      </c>
    </row>
    <row r="24746" spans="1:20" x14ac:dyDescent="0.25">
      <c r="A24746" t="str">
        <f>"3038279"</f>
        <v>3038279</v>
      </c>
      <c r="B24746" t="s">
        <v>74633</v>
      </c>
      <c r="C24746" t="str">
        <f>"8322439"</f>
        <v>8322439</v>
      </c>
      <c r="D24746" t="s">
        <v>58796</v>
      </c>
      <c r="E24746" t="s">
        <v>58795</v>
      </c>
      <c r="F24746" t="s">
        <v>58797</v>
      </c>
      <c r="I24746" t="s">
        <v>29</v>
      </c>
      <c r="J24746" t="s">
        <v>30</v>
      </c>
      <c r="K24746" t="s">
        <v>32872</v>
      </c>
      <c r="M24746" t="s">
        <v>50621</v>
      </c>
      <c r="N24746" t="str">
        <f>"2/17/2025 12:31:00 PM"</f>
        <v>2/17/2025 12:31:00 PM</v>
      </c>
      <c r="O24746" t="s">
        <v>58796</v>
      </c>
      <c r="T24746" t="s">
        <v>58795</v>
      </c>
    </row>
    <row r="24747" spans="1:20" x14ac:dyDescent="0.25">
      <c r="A24747" t="str">
        <f>"3051562"</f>
        <v>3051562</v>
      </c>
      <c r="B24747" t="s">
        <v>74634</v>
      </c>
      <c r="C24747" t="str">
        <f>"61093750"</f>
        <v>61093750</v>
      </c>
      <c r="D24747" t="s">
        <v>74635</v>
      </c>
      <c r="E24747" t="s">
        <v>74636</v>
      </c>
      <c r="F24747" t="s">
        <v>74637</v>
      </c>
      <c r="I24747" t="s">
        <v>29</v>
      </c>
      <c r="J24747" t="s">
        <v>30</v>
      </c>
      <c r="K24747" t="s">
        <v>74638</v>
      </c>
      <c r="M24747" t="s">
        <v>50621</v>
      </c>
      <c r="N24747" t="str">
        <f>"2/17/2025 12:35:00 PM"</f>
        <v>2/17/2025 12:35:00 PM</v>
      </c>
      <c r="O24747" t="s">
        <v>74635</v>
      </c>
      <c r="T24747" t="s">
        <v>74636</v>
      </c>
    </row>
    <row r="24748" spans="1:20" x14ac:dyDescent="0.25">
      <c r="A24748" t="str">
        <f>"3039293"</f>
        <v>3039293</v>
      </c>
      <c r="B24748" t="s">
        <v>74639</v>
      </c>
      <c r="C24748" t="str">
        <f>"8302043"</f>
        <v>8302043</v>
      </c>
      <c r="D24748" t="s">
        <v>74640</v>
      </c>
      <c r="F24748" t="s">
        <v>74641</v>
      </c>
      <c r="I24748" t="s">
        <v>29</v>
      </c>
      <c r="J24748" t="s">
        <v>30</v>
      </c>
      <c r="K24748" t="s">
        <v>34104</v>
      </c>
      <c r="M24748" t="s">
        <v>50500</v>
      </c>
      <c r="N24748" t="str">
        <f>"2/17/2025 2:21:00 PM"</f>
        <v>2/17/2025 2:21:00 PM</v>
      </c>
      <c r="O24748" t="s">
        <v>74640</v>
      </c>
    </row>
    <row r="24749" spans="1:20" x14ac:dyDescent="0.25">
      <c r="A24749" t="str">
        <f>"3039741"</f>
        <v>3039741</v>
      </c>
      <c r="B24749" t="s">
        <v>74642</v>
      </c>
      <c r="C24749" t="str">
        <f>"8302043"</f>
        <v>8302043</v>
      </c>
      <c r="D24749" t="s">
        <v>74640</v>
      </c>
      <c r="F24749" t="s">
        <v>74641</v>
      </c>
      <c r="I24749" t="s">
        <v>29</v>
      </c>
      <c r="J24749" t="s">
        <v>30</v>
      </c>
      <c r="K24749" t="s">
        <v>34104</v>
      </c>
      <c r="M24749" t="s">
        <v>50500</v>
      </c>
      <c r="N24749" t="str">
        <f>"2/17/2025 2:21:00 PM"</f>
        <v>2/17/2025 2:21:00 PM</v>
      </c>
      <c r="O24749" t="s">
        <v>74640</v>
      </c>
    </row>
    <row r="24750" spans="1:20" x14ac:dyDescent="0.25">
      <c r="A24750" t="str">
        <f>"3039738"</f>
        <v>3039738</v>
      </c>
      <c r="B24750" t="s">
        <v>74643</v>
      </c>
      <c r="C24750" t="str">
        <f>"8302043"</f>
        <v>8302043</v>
      </c>
      <c r="D24750" t="s">
        <v>74640</v>
      </c>
      <c r="F24750" t="s">
        <v>74641</v>
      </c>
      <c r="I24750" t="s">
        <v>29</v>
      </c>
      <c r="J24750" t="s">
        <v>30</v>
      </c>
      <c r="K24750" t="s">
        <v>34104</v>
      </c>
      <c r="M24750" t="s">
        <v>50500</v>
      </c>
      <c r="N24750" t="str">
        <f>"2/17/2025 2:21:00 PM"</f>
        <v>2/17/2025 2:21:00 PM</v>
      </c>
      <c r="O24750" t="s">
        <v>74640</v>
      </c>
    </row>
    <row r="24751" spans="1:20" x14ac:dyDescent="0.25">
      <c r="A24751" t="str">
        <f>"3048536"</f>
        <v>3048536</v>
      </c>
      <c r="B24751" t="s">
        <v>74644</v>
      </c>
      <c r="C24751" t="str">
        <f>"82524808"</f>
        <v>82524808</v>
      </c>
      <c r="D24751" t="s">
        <v>74645</v>
      </c>
      <c r="E24751" t="s">
        <v>74646</v>
      </c>
      <c r="F24751" t="s">
        <v>74647</v>
      </c>
      <c r="I24751" t="s">
        <v>29</v>
      </c>
      <c r="J24751" t="s">
        <v>30</v>
      </c>
      <c r="K24751" t="s">
        <v>74648</v>
      </c>
      <c r="M24751" t="s">
        <v>52111</v>
      </c>
      <c r="N24751" t="str">
        <f>"2/18/2025 10:24:00 AM"</f>
        <v>2/18/2025 10:24:00 AM</v>
      </c>
      <c r="O24751" t="s">
        <v>74645</v>
      </c>
      <c r="T24751" t="s">
        <v>74646</v>
      </c>
    </row>
    <row r="24752" spans="1:20" x14ac:dyDescent="0.25">
      <c r="A24752" t="str">
        <f>"3066226"</f>
        <v>3066226</v>
      </c>
      <c r="B24752" t="s">
        <v>74649</v>
      </c>
      <c r="C24752" t="str">
        <f>"8323813"</f>
        <v>8323813</v>
      </c>
      <c r="D24752" t="s">
        <v>74650</v>
      </c>
      <c r="E24752" t="s">
        <v>74651</v>
      </c>
      <c r="F24752" t="s">
        <v>74652</v>
      </c>
      <c r="I24752" t="s">
        <v>20980</v>
      </c>
      <c r="J24752" t="s">
        <v>2109</v>
      </c>
      <c r="K24752" t="s">
        <v>74653</v>
      </c>
      <c r="M24752" t="s">
        <v>50500</v>
      </c>
      <c r="N24752" t="str">
        <f>"2/18/2025 11:27:00 AM"</f>
        <v>2/18/2025 11:27:00 AM</v>
      </c>
      <c r="O24752" t="s">
        <v>74650</v>
      </c>
      <c r="T24752" t="s">
        <v>74651</v>
      </c>
    </row>
    <row r="24753" spans="1:20" x14ac:dyDescent="0.25">
      <c r="A24753" t="str">
        <f>"3066227"</f>
        <v>3066227</v>
      </c>
      <c r="B24753" t="s">
        <v>74654</v>
      </c>
      <c r="C24753" t="str">
        <f>"8323814"</f>
        <v>8323814</v>
      </c>
      <c r="D24753" t="s">
        <v>74655</v>
      </c>
      <c r="E24753" t="s">
        <v>74656</v>
      </c>
      <c r="F24753" t="s">
        <v>74657</v>
      </c>
      <c r="I24753" t="s">
        <v>184</v>
      </c>
      <c r="J24753" t="s">
        <v>30</v>
      </c>
      <c r="K24753" t="s">
        <v>73206</v>
      </c>
      <c r="M24753" t="s">
        <v>50500</v>
      </c>
      <c r="N24753" t="str">
        <f>"2/18/2025 11:38:00 AM"</f>
        <v>2/18/2025 11:38:00 AM</v>
      </c>
      <c r="O24753" t="s">
        <v>74655</v>
      </c>
      <c r="T24753" t="s">
        <v>74656</v>
      </c>
    </row>
    <row r="24754" spans="1:20" x14ac:dyDescent="0.25">
      <c r="A24754" t="str">
        <f>"3066235"</f>
        <v>3066235</v>
      </c>
      <c r="B24754" t="s">
        <v>74658</v>
      </c>
      <c r="C24754" t="str">
        <f>"8323815"</f>
        <v>8323815</v>
      </c>
      <c r="D24754" t="s">
        <v>74659</v>
      </c>
      <c r="E24754" t="s">
        <v>74660</v>
      </c>
      <c r="F24754" t="s">
        <v>74661</v>
      </c>
      <c r="I24754" t="s">
        <v>184</v>
      </c>
      <c r="J24754" t="s">
        <v>30</v>
      </c>
      <c r="K24754" t="s">
        <v>67950</v>
      </c>
      <c r="M24754" t="s">
        <v>50500</v>
      </c>
      <c r="N24754" t="str">
        <f>"2/18/2025 11:59:00 AM"</f>
        <v>2/18/2025 11:59:00 AM</v>
      </c>
      <c r="O24754" t="s">
        <v>74659</v>
      </c>
      <c r="T24754" t="s">
        <v>74660</v>
      </c>
    </row>
    <row r="24755" spans="1:20" x14ac:dyDescent="0.25">
      <c r="A24755" t="str">
        <f>"3066248"</f>
        <v>3066248</v>
      </c>
      <c r="B24755" t="s">
        <v>74662</v>
      </c>
      <c r="C24755" t="str">
        <f>"8323816"</f>
        <v>8323816</v>
      </c>
      <c r="D24755" t="s">
        <v>74663</v>
      </c>
      <c r="F24755" t="s">
        <v>74664</v>
      </c>
      <c r="I24755" t="s">
        <v>29</v>
      </c>
      <c r="J24755" t="s">
        <v>30</v>
      </c>
      <c r="K24755" t="s">
        <v>74665</v>
      </c>
      <c r="M24755" t="s">
        <v>50500</v>
      </c>
      <c r="N24755" t="str">
        <f>"2/18/2025 12:29:00 PM"</f>
        <v>2/18/2025 12:29:00 PM</v>
      </c>
      <c r="O24755" t="s">
        <v>74663</v>
      </c>
    </row>
    <row r="24756" spans="1:20" x14ac:dyDescent="0.25">
      <c r="A24756" t="str">
        <f>"3071096"</f>
        <v>3071096</v>
      </c>
      <c r="B24756" t="s">
        <v>74666</v>
      </c>
      <c r="C24756" t="str">
        <f>"8317785"</f>
        <v>8317785</v>
      </c>
      <c r="D24756" t="s">
        <v>74667</v>
      </c>
      <c r="F24756" t="s">
        <v>74668</v>
      </c>
      <c r="I24756" t="s">
        <v>184</v>
      </c>
      <c r="J24756" t="s">
        <v>30</v>
      </c>
      <c r="K24756" t="s">
        <v>74669</v>
      </c>
      <c r="M24756" t="s">
        <v>51351</v>
      </c>
      <c r="N24756" t="str">
        <f>"2/18/2025 1:29:00 PM"</f>
        <v>2/18/2025 1:29:00 PM</v>
      </c>
      <c r="O24756" t="s">
        <v>74667</v>
      </c>
    </row>
    <row r="24757" spans="1:20" x14ac:dyDescent="0.25">
      <c r="A24757" t="str">
        <f>"3061693"</f>
        <v>3061693</v>
      </c>
      <c r="B24757" t="s">
        <v>74670</v>
      </c>
      <c r="C24757" t="str">
        <f>"8320373"</f>
        <v>8320373</v>
      </c>
      <c r="D24757" t="s">
        <v>74671</v>
      </c>
      <c r="F24757" t="s">
        <v>74672</v>
      </c>
      <c r="I24757" t="s">
        <v>3493</v>
      </c>
      <c r="J24757" t="s">
        <v>30</v>
      </c>
      <c r="K24757" t="s">
        <v>74673</v>
      </c>
      <c r="M24757" t="s">
        <v>25625</v>
      </c>
      <c r="N24757" t="str">
        <f>"2/18/2025 1:44:00 PM"</f>
        <v>2/18/2025 1:44:00 PM</v>
      </c>
      <c r="O24757" t="s">
        <v>74671</v>
      </c>
    </row>
    <row r="24758" spans="1:20" x14ac:dyDescent="0.25">
      <c r="A24758" t="str">
        <f>"3056113"</f>
        <v>3056113</v>
      </c>
      <c r="B24758" t="s">
        <v>74674</v>
      </c>
      <c r="C24758" t="str">
        <f>"8322848"</f>
        <v>8322848</v>
      </c>
      <c r="D24758" t="s">
        <v>74675</v>
      </c>
      <c r="F24758" t="s">
        <v>74676</v>
      </c>
      <c r="I24758" t="s">
        <v>29</v>
      </c>
      <c r="J24758" t="s">
        <v>30</v>
      </c>
      <c r="K24758" t="str">
        <f>"27028"</f>
        <v>27028</v>
      </c>
      <c r="M24758" t="s">
        <v>18470</v>
      </c>
      <c r="N24758" t="str">
        <f>"2/18/2025 3:05:00 PM"</f>
        <v>2/18/2025 3:05:00 PM</v>
      </c>
      <c r="O24758" t="s">
        <v>74675</v>
      </c>
    </row>
    <row r="24759" spans="1:20" x14ac:dyDescent="0.25">
      <c r="A24759" t="str">
        <f>"3060063"</f>
        <v>3060063</v>
      </c>
      <c r="B24759" t="s">
        <v>74677</v>
      </c>
      <c r="C24759" t="str">
        <f>"8315292"</f>
        <v>8315292</v>
      </c>
      <c r="D24759" t="s">
        <v>74678</v>
      </c>
      <c r="E24759" t="s">
        <v>74679</v>
      </c>
      <c r="F24759" t="s">
        <v>74680</v>
      </c>
      <c r="I24759" t="s">
        <v>184</v>
      </c>
      <c r="J24759" t="s">
        <v>30</v>
      </c>
      <c r="K24759" t="s">
        <v>63448</v>
      </c>
      <c r="M24759" t="s">
        <v>25733</v>
      </c>
      <c r="N24759" t="str">
        <f>"2/18/2025 3:50:00 PM"</f>
        <v>2/18/2025 3:50:00 PM</v>
      </c>
      <c r="O24759" t="s">
        <v>74678</v>
      </c>
      <c r="T24759" t="s">
        <v>74679</v>
      </c>
    </row>
    <row r="24760" spans="1:20" x14ac:dyDescent="0.25">
      <c r="A24760" t="str">
        <f>"3066348"</f>
        <v>3066348</v>
      </c>
      <c r="B24760" t="s">
        <v>74681</v>
      </c>
      <c r="C24760" t="str">
        <f>"8323820"</f>
        <v>8323820</v>
      </c>
      <c r="D24760" t="s">
        <v>74682</v>
      </c>
      <c r="F24760" t="s">
        <v>74683</v>
      </c>
      <c r="I24760" t="s">
        <v>74684</v>
      </c>
      <c r="J24760" t="s">
        <v>14649</v>
      </c>
      <c r="K24760" t="s">
        <v>74685</v>
      </c>
      <c r="M24760" t="s">
        <v>50500</v>
      </c>
      <c r="N24760" t="str">
        <f>"2/18/2025 3:54:00 PM"</f>
        <v>2/18/2025 3:54:00 PM</v>
      </c>
      <c r="O24760" t="s">
        <v>74682</v>
      </c>
    </row>
    <row r="24761" spans="1:20" x14ac:dyDescent="0.25">
      <c r="A24761" t="str">
        <f>"3045358"</f>
        <v>3045358</v>
      </c>
      <c r="B24761" t="s">
        <v>74686</v>
      </c>
      <c r="C24761" t="str">
        <f>"82533016"</f>
        <v>82533016</v>
      </c>
      <c r="D24761" t="s">
        <v>74687</v>
      </c>
      <c r="E24761" t="s">
        <v>74688</v>
      </c>
      <c r="F24761" t="s">
        <v>74689</v>
      </c>
      <c r="I24761" t="s">
        <v>74690</v>
      </c>
      <c r="J24761" t="s">
        <v>40889</v>
      </c>
      <c r="K24761" t="s">
        <v>74691</v>
      </c>
      <c r="M24761" t="s">
        <v>50793</v>
      </c>
      <c r="N24761" t="str">
        <f>"2/19/2025 8:25:00 AM"</f>
        <v>2/19/2025 8:25:00 AM</v>
      </c>
      <c r="O24761" t="s">
        <v>74687</v>
      </c>
      <c r="T24761" t="s">
        <v>74688</v>
      </c>
    </row>
    <row r="24762" spans="1:20" x14ac:dyDescent="0.25">
      <c r="A24762" t="str">
        <f>"3064738"</f>
        <v>3064738</v>
      </c>
      <c r="B24762" t="s">
        <v>74692</v>
      </c>
      <c r="C24762" t="str">
        <f>"8320272"</f>
        <v>8320272</v>
      </c>
      <c r="D24762" t="s">
        <v>74693</v>
      </c>
      <c r="E24762" t="s">
        <v>74694</v>
      </c>
      <c r="F24762" t="s">
        <v>74695</v>
      </c>
      <c r="I24762" t="s">
        <v>29</v>
      </c>
      <c r="J24762" t="s">
        <v>30</v>
      </c>
      <c r="K24762" t="s">
        <v>43523</v>
      </c>
      <c r="M24762" t="s">
        <v>50793</v>
      </c>
      <c r="N24762" t="str">
        <f>"2/19/2025 9:17:00 AM"</f>
        <v>2/19/2025 9:17:00 AM</v>
      </c>
      <c r="O24762" t="s">
        <v>74693</v>
      </c>
      <c r="T24762" t="s">
        <v>74694</v>
      </c>
    </row>
    <row r="24763" spans="1:20" x14ac:dyDescent="0.25">
      <c r="A24763" t="str">
        <f>"3077780"</f>
        <v>3077780</v>
      </c>
      <c r="B24763" t="s">
        <v>74696</v>
      </c>
      <c r="C24763" t="str">
        <f>"8301902"</f>
        <v>8301902</v>
      </c>
      <c r="D24763" t="s">
        <v>74697</v>
      </c>
      <c r="E24763" t="str">
        <f>"C/O RAYMOND CHARLES THANOS"</f>
        <v>C/O RAYMOND CHARLES THANOS</v>
      </c>
      <c r="F24763" t="s">
        <v>74698</v>
      </c>
      <c r="I24763" t="s">
        <v>74699</v>
      </c>
      <c r="J24763" t="s">
        <v>11697</v>
      </c>
      <c r="K24763" t="s">
        <v>74700</v>
      </c>
      <c r="M24763" t="s">
        <v>25625</v>
      </c>
      <c r="N24763" t="str">
        <f>"2/19/2025 11:16:00 AM"</f>
        <v>2/19/2025 11:16:00 AM</v>
      </c>
      <c r="O24763" t="s">
        <v>74697</v>
      </c>
      <c r="T24763" t="str">
        <f>"C/O RAYMOND CHARLES THANOS"</f>
        <v>C/O RAYMOND CHARLES THANOS</v>
      </c>
    </row>
    <row r="24764" spans="1:20" x14ac:dyDescent="0.25">
      <c r="A24764" t="str">
        <f>"3046384"</f>
        <v>3046384</v>
      </c>
      <c r="B24764" t="s">
        <v>74701</v>
      </c>
      <c r="C24764" t="str">
        <f>"8319715"</f>
        <v>8319715</v>
      </c>
      <c r="D24764" t="s">
        <v>74702</v>
      </c>
      <c r="F24764" t="s">
        <v>74703</v>
      </c>
      <c r="I24764" t="s">
        <v>29</v>
      </c>
      <c r="J24764" t="s">
        <v>30</v>
      </c>
      <c r="K24764" t="s">
        <v>47062</v>
      </c>
      <c r="M24764" t="s">
        <v>52111</v>
      </c>
      <c r="N24764" t="str">
        <f>"2/19/2025 12:35:00 PM"</f>
        <v>2/19/2025 12:35:00 PM</v>
      </c>
      <c r="O24764" t="s">
        <v>74702</v>
      </c>
    </row>
    <row r="24765" spans="1:20" x14ac:dyDescent="0.25">
      <c r="A24765" t="str">
        <f>"3041956"</f>
        <v>3041956</v>
      </c>
      <c r="B24765" t="s">
        <v>74704</v>
      </c>
      <c r="C24765" t="str">
        <f>"8322565"</f>
        <v>8322565</v>
      </c>
      <c r="D24765" t="s">
        <v>74705</v>
      </c>
      <c r="F24765" t="s">
        <v>74706</v>
      </c>
      <c r="I24765" t="s">
        <v>2275</v>
      </c>
      <c r="J24765" t="s">
        <v>30</v>
      </c>
      <c r="K24765" t="s">
        <v>46837</v>
      </c>
      <c r="M24765" t="s">
        <v>50793</v>
      </c>
      <c r="N24765" t="str">
        <f>"2/20/2025 9:17:00 AM"</f>
        <v>2/20/2025 9:17:00 AM</v>
      </c>
      <c r="O24765" t="s">
        <v>74705</v>
      </c>
    </row>
    <row r="24766" spans="1:20" x14ac:dyDescent="0.25">
      <c r="A24766" t="str">
        <f>"3043399"</f>
        <v>3043399</v>
      </c>
      <c r="B24766" t="s">
        <v>74707</v>
      </c>
      <c r="C24766" t="str">
        <f>"82517391"</f>
        <v>82517391</v>
      </c>
      <c r="D24766" t="s">
        <v>66284</v>
      </c>
      <c r="E24766" t="s">
        <v>74708</v>
      </c>
      <c r="F24766" t="s">
        <v>74709</v>
      </c>
      <c r="I24766" t="s">
        <v>29</v>
      </c>
      <c r="J24766" t="s">
        <v>30</v>
      </c>
      <c r="K24766" t="s">
        <v>37222</v>
      </c>
      <c r="M24766" t="s">
        <v>50621</v>
      </c>
      <c r="N24766" t="str">
        <f>"2/20/2025 11:07:00 AM"</f>
        <v>2/20/2025 11:07:00 AM</v>
      </c>
      <c r="O24766" t="s">
        <v>66284</v>
      </c>
      <c r="T24766" t="s">
        <v>74708</v>
      </c>
    </row>
    <row r="24767" spans="1:20" x14ac:dyDescent="0.25">
      <c r="A24767" t="str">
        <f>"3055766"</f>
        <v>3055766</v>
      </c>
      <c r="B24767" t="s">
        <v>74710</v>
      </c>
      <c r="C24767" t="str">
        <f>"8315321"</f>
        <v>8315321</v>
      </c>
      <c r="D24767" t="s">
        <v>74711</v>
      </c>
      <c r="F24767" t="s">
        <v>74712</v>
      </c>
      <c r="I24767" t="s">
        <v>23790</v>
      </c>
      <c r="J24767" t="s">
        <v>30</v>
      </c>
      <c r="K24767" t="s">
        <v>74713</v>
      </c>
      <c r="M24767" t="s">
        <v>50793</v>
      </c>
      <c r="N24767" t="str">
        <f>"2/20/2025 1:53:00 PM"</f>
        <v>2/20/2025 1:53:00 PM</v>
      </c>
      <c r="O24767" t="s">
        <v>74711</v>
      </c>
    </row>
    <row r="24768" spans="1:20" x14ac:dyDescent="0.25">
      <c r="A24768" t="str">
        <f>"3051743"</f>
        <v>3051743</v>
      </c>
      <c r="B24768" t="s">
        <v>74714</v>
      </c>
      <c r="C24768" t="str">
        <f>"8314812"</f>
        <v>8314812</v>
      </c>
      <c r="D24768" t="s">
        <v>74715</v>
      </c>
      <c r="F24768" t="s">
        <v>74716</v>
      </c>
      <c r="I24768" t="s">
        <v>29</v>
      </c>
      <c r="J24768" t="s">
        <v>30</v>
      </c>
      <c r="K24768" t="s">
        <v>20447</v>
      </c>
      <c r="M24768" t="s">
        <v>25733</v>
      </c>
      <c r="N24768" t="str">
        <f>"2/20/2025 2:35:00 PM"</f>
        <v>2/20/2025 2:35:00 PM</v>
      </c>
      <c r="O24768" t="s">
        <v>74715</v>
      </c>
    </row>
    <row r="24769" spans="1:20" x14ac:dyDescent="0.25">
      <c r="A24769" t="str">
        <f>"3042949"</f>
        <v>3042949</v>
      </c>
      <c r="B24769" t="s">
        <v>74717</v>
      </c>
      <c r="C24769" t="str">
        <f>"5350000"</f>
        <v>5350000</v>
      </c>
      <c r="D24769" t="s">
        <v>74718</v>
      </c>
      <c r="F24769" t="s">
        <v>74719</v>
      </c>
      <c r="I24769" t="s">
        <v>29</v>
      </c>
      <c r="J24769" t="s">
        <v>30</v>
      </c>
      <c r="K24769" t="s">
        <v>31</v>
      </c>
      <c r="M24769" t="s">
        <v>18470</v>
      </c>
      <c r="N24769" t="str">
        <f>"2/20/2025 4:44:00 PM"</f>
        <v>2/20/2025 4:44:00 PM</v>
      </c>
      <c r="O24769" t="s">
        <v>74718</v>
      </c>
    </row>
    <row r="24770" spans="1:20" x14ac:dyDescent="0.25">
      <c r="A24770" t="str">
        <f>"3045373"</f>
        <v>3045373</v>
      </c>
      <c r="B24770" t="s">
        <v>74720</v>
      </c>
      <c r="C24770" t="str">
        <f>"8316246"</f>
        <v>8316246</v>
      </c>
      <c r="D24770" t="s">
        <v>74721</v>
      </c>
      <c r="E24770" t="s">
        <v>74722</v>
      </c>
      <c r="F24770" t="s">
        <v>74723</v>
      </c>
      <c r="I24770" t="s">
        <v>74724</v>
      </c>
      <c r="K24770" t="s">
        <v>74725</v>
      </c>
      <c r="M24770" t="s">
        <v>18470</v>
      </c>
      <c r="N24770" t="str">
        <f>"2/21/2025 9:38:00 AM"</f>
        <v>2/21/2025 9:38:00 AM</v>
      </c>
      <c r="O24770" t="s">
        <v>74721</v>
      </c>
      <c r="T24770" t="s">
        <v>74722</v>
      </c>
    </row>
    <row r="24771" spans="1:20" x14ac:dyDescent="0.25">
      <c r="A24771" t="str">
        <f>"3045714"</f>
        <v>3045714</v>
      </c>
      <c r="B24771" t="s">
        <v>74726</v>
      </c>
      <c r="C24771" t="str">
        <f>"8316246"</f>
        <v>8316246</v>
      </c>
      <c r="D24771" t="s">
        <v>74721</v>
      </c>
      <c r="E24771" t="s">
        <v>74722</v>
      </c>
      <c r="F24771" t="s">
        <v>74723</v>
      </c>
      <c r="I24771" t="s">
        <v>74724</v>
      </c>
      <c r="K24771" t="s">
        <v>74725</v>
      </c>
      <c r="M24771" t="s">
        <v>18470</v>
      </c>
      <c r="N24771" t="str">
        <f>"2/21/2025 9:38:00 AM"</f>
        <v>2/21/2025 9:38:00 AM</v>
      </c>
      <c r="O24771" t="s">
        <v>74721</v>
      </c>
      <c r="T24771" t="s">
        <v>74722</v>
      </c>
    </row>
    <row r="24772" spans="1:20" x14ac:dyDescent="0.25">
      <c r="A24772" t="str">
        <f>"3054602"</f>
        <v>3054602</v>
      </c>
      <c r="B24772" t="s">
        <v>74727</v>
      </c>
      <c r="C24772" t="str">
        <f>"32451120"</f>
        <v>32451120</v>
      </c>
      <c r="D24772" t="s">
        <v>74728</v>
      </c>
      <c r="E24772" t="s">
        <v>74729</v>
      </c>
      <c r="F24772" t="s">
        <v>74730</v>
      </c>
      <c r="I24772" t="s">
        <v>29</v>
      </c>
      <c r="J24772" t="s">
        <v>30</v>
      </c>
      <c r="K24772" t="s">
        <v>31</v>
      </c>
      <c r="M24772" t="s">
        <v>50793</v>
      </c>
      <c r="N24772" t="str">
        <f>"2/21/2025 9:34:00 AM"</f>
        <v>2/21/2025 9:34:00 AM</v>
      </c>
      <c r="O24772" t="s">
        <v>74728</v>
      </c>
      <c r="T24772" t="s">
        <v>74729</v>
      </c>
    </row>
    <row r="24773" spans="1:20" x14ac:dyDescent="0.25">
      <c r="A24773" t="str">
        <f>"3057148"</f>
        <v>3057148</v>
      </c>
      <c r="B24773" t="s">
        <v>74731</v>
      </c>
      <c r="C24773" t="str">
        <f>"57897000"</f>
        <v>57897000</v>
      </c>
      <c r="D24773" t="s">
        <v>74732</v>
      </c>
      <c r="F24773" t="s">
        <v>74733</v>
      </c>
      <c r="I24773" t="s">
        <v>184</v>
      </c>
      <c r="J24773" t="s">
        <v>30</v>
      </c>
      <c r="K24773" t="s">
        <v>185</v>
      </c>
      <c r="M24773" t="s">
        <v>50621</v>
      </c>
      <c r="N24773" t="str">
        <f>"2/21/2025 11:36:00 AM"</f>
        <v>2/21/2025 11:36:00 AM</v>
      </c>
      <c r="O24773" t="s">
        <v>74732</v>
      </c>
    </row>
    <row r="24774" spans="1:20" x14ac:dyDescent="0.25">
      <c r="A24774" t="str">
        <f>"3061406"</f>
        <v>3061406</v>
      </c>
      <c r="B24774" t="s">
        <v>74734</v>
      </c>
      <c r="C24774" t="str">
        <f>"57897000"</f>
        <v>57897000</v>
      </c>
      <c r="D24774" t="s">
        <v>74732</v>
      </c>
      <c r="F24774" t="s">
        <v>74733</v>
      </c>
      <c r="I24774" t="s">
        <v>184</v>
      </c>
      <c r="J24774" t="s">
        <v>30</v>
      </c>
      <c r="K24774" t="s">
        <v>185</v>
      </c>
      <c r="M24774" t="s">
        <v>50621</v>
      </c>
      <c r="N24774" t="str">
        <f>"2/21/2025 11:36:00 AM"</f>
        <v>2/21/2025 11:36:00 AM</v>
      </c>
      <c r="O24774" t="s">
        <v>74732</v>
      </c>
    </row>
    <row r="24775" spans="1:20" x14ac:dyDescent="0.25">
      <c r="A24775" t="str">
        <f>"3071224"</f>
        <v>3071224</v>
      </c>
      <c r="B24775" t="s">
        <v>74735</v>
      </c>
      <c r="C24775" t="str">
        <f>"8323823"</f>
        <v>8323823</v>
      </c>
      <c r="D24775" t="s">
        <v>74736</v>
      </c>
      <c r="F24775" t="s">
        <v>74737</v>
      </c>
      <c r="I24775" t="s">
        <v>184</v>
      </c>
      <c r="J24775" t="s">
        <v>30</v>
      </c>
      <c r="K24775" t="s">
        <v>7665</v>
      </c>
      <c r="M24775" t="s">
        <v>50500</v>
      </c>
      <c r="N24775" t="str">
        <f>"2/21/2025 3:03:00 PM"</f>
        <v>2/21/2025 3:03:00 PM</v>
      </c>
      <c r="O24775" t="s">
        <v>74736</v>
      </c>
    </row>
    <row r="24776" spans="1:20" x14ac:dyDescent="0.25">
      <c r="A24776" t="str">
        <f>"3068488"</f>
        <v>3068488</v>
      </c>
      <c r="B24776" t="s">
        <v>74738</v>
      </c>
      <c r="C24776" t="str">
        <f>"82526379"</f>
        <v>82526379</v>
      </c>
      <c r="D24776" t="s">
        <v>74739</v>
      </c>
      <c r="F24776" t="s">
        <v>74740</v>
      </c>
      <c r="I24776" t="s">
        <v>35924</v>
      </c>
      <c r="J24776" t="s">
        <v>30</v>
      </c>
      <c r="K24776" t="s">
        <v>74741</v>
      </c>
      <c r="M24776" t="s">
        <v>51351</v>
      </c>
      <c r="N24776" t="str">
        <f>"2/21/2025 4:18:00 PM"</f>
        <v>2/21/2025 4:18:00 PM</v>
      </c>
      <c r="O24776" t="s">
        <v>74739</v>
      </c>
      <c r="T24776" t="s">
        <v>74739</v>
      </c>
    </row>
    <row r="24777" spans="1:20" x14ac:dyDescent="0.25">
      <c r="A24777" t="str">
        <f>"3040535"</f>
        <v>3040535</v>
      </c>
      <c r="B24777" t="s">
        <v>74742</v>
      </c>
      <c r="C24777" t="str">
        <f>"12838500"</f>
        <v>12838500</v>
      </c>
      <c r="D24777" t="s">
        <v>74743</v>
      </c>
      <c r="E24777" t="s">
        <v>74744</v>
      </c>
      <c r="F24777" t="s">
        <v>74745</v>
      </c>
      <c r="I24777" t="s">
        <v>184</v>
      </c>
      <c r="J24777" t="s">
        <v>30</v>
      </c>
      <c r="K24777" t="s">
        <v>185</v>
      </c>
      <c r="M24777" t="s">
        <v>50621</v>
      </c>
      <c r="N24777" t="str">
        <f>"2/24/2025 10:26:00 AM"</f>
        <v>2/24/2025 10:26:00 AM</v>
      </c>
      <c r="O24777" t="s">
        <v>74743</v>
      </c>
      <c r="T24777" t="s">
        <v>74744</v>
      </c>
    </row>
    <row r="24778" spans="1:20" x14ac:dyDescent="0.25">
      <c r="A24778" t="str">
        <f>"3053764"</f>
        <v>3053764</v>
      </c>
      <c r="B24778" t="s">
        <v>74746</v>
      </c>
      <c r="C24778" t="str">
        <f>"8316215"</f>
        <v>8316215</v>
      </c>
      <c r="D24778" t="s">
        <v>74747</v>
      </c>
      <c r="F24778" t="s">
        <v>74748</v>
      </c>
      <c r="I24778" t="s">
        <v>184</v>
      </c>
      <c r="J24778" t="s">
        <v>30</v>
      </c>
      <c r="K24778" t="s">
        <v>74749</v>
      </c>
      <c r="M24778" t="s">
        <v>50621</v>
      </c>
      <c r="N24778" t="str">
        <f>"2/24/2025 10:31:00 AM"</f>
        <v>2/24/2025 10:31:00 AM</v>
      </c>
      <c r="O24778" t="s">
        <v>74747</v>
      </c>
    </row>
    <row r="24779" spans="1:20" x14ac:dyDescent="0.25">
      <c r="A24779" t="str">
        <f>"3062514"</f>
        <v>3062514</v>
      </c>
      <c r="B24779" t="s">
        <v>74750</v>
      </c>
      <c r="C24779" t="str">
        <f>"8311887"</f>
        <v>8311887</v>
      </c>
      <c r="D24779" t="s">
        <v>74751</v>
      </c>
      <c r="F24779" t="s">
        <v>74752</v>
      </c>
      <c r="I24779" t="s">
        <v>471</v>
      </c>
      <c r="J24779" t="s">
        <v>30</v>
      </c>
      <c r="K24779" t="s">
        <v>74753</v>
      </c>
      <c r="M24779" t="s">
        <v>50621</v>
      </c>
      <c r="N24779" t="str">
        <f>"2/24/2025 10:54:00 AM"</f>
        <v>2/24/2025 10:54:00 AM</v>
      </c>
      <c r="O24779" t="s">
        <v>74751</v>
      </c>
    </row>
    <row r="24780" spans="1:20" x14ac:dyDescent="0.25">
      <c r="A24780" t="str">
        <f>"3067811"</f>
        <v>3067811</v>
      </c>
      <c r="B24780" t="s">
        <v>74754</v>
      </c>
      <c r="C24780" t="str">
        <f>"76844500"</f>
        <v>76844500</v>
      </c>
      <c r="D24780" t="s">
        <v>74755</v>
      </c>
      <c r="E24780" t="s">
        <v>74756</v>
      </c>
      <c r="F24780" t="s">
        <v>9382</v>
      </c>
      <c r="I24780" t="s">
        <v>29</v>
      </c>
      <c r="J24780" t="s">
        <v>30</v>
      </c>
      <c r="K24780" t="s">
        <v>31</v>
      </c>
      <c r="M24780" t="s">
        <v>51351</v>
      </c>
      <c r="N24780" t="str">
        <f>"2/24/2025 11:06:00 AM"</f>
        <v>2/24/2025 11:06:00 AM</v>
      </c>
      <c r="O24780" t="s">
        <v>74755</v>
      </c>
      <c r="T24780" t="s">
        <v>74756</v>
      </c>
    </row>
    <row r="24781" spans="1:20" x14ac:dyDescent="0.25">
      <c r="A24781" t="str">
        <f>"3067849"</f>
        <v>3067849</v>
      </c>
      <c r="B24781" t="s">
        <v>74757</v>
      </c>
      <c r="C24781" t="str">
        <f>"76844500"</f>
        <v>76844500</v>
      </c>
      <c r="D24781" t="s">
        <v>74755</v>
      </c>
      <c r="E24781" t="s">
        <v>74756</v>
      </c>
      <c r="F24781" t="s">
        <v>9382</v>
      </c>
      <c r="I24781" t="s">
        <v>29</v>
      </c>
      <c r="J24781" t="s">
        <v>30</v>
      </c>
      <c r="K24781" t="s">
        <v>31</v>
      </c>
      <c r="M24781" t="s">
        <v>51351</v>
      </c>
      <c r="N24781" t="str">
        <f>"2/24/2025 11:06:00 AM"</f>
        <v>2/24/2025 11:06:00 AM</v>
      </c>
      <c r="O24781" t="s">
        <v>74755</v>
      </c>
      <c r="T24781" t="s">
        <v>74756</v>
      </c>
    </row>
    <row r="24782" spans="1:20" x14ac:dyDescent="0.25">
      <c r="A24782" t="str">
        <f>"3074931"</f>
        <v>3074931</v>
      </c>
      <c r="B24782" t="s">
        <v>74758</v>
      </c>
      <c r="C24782" t="str">
        <f>"76844500"</f>
        <v>76844500</v>
      </c>
      <c r="D24782" t="s">
        <v>74755</v>
      </c>
      <c r="E24782" t="s">
        <v>74756</v>
      </c>
      <c r="F24782" t="s">
        <v>9382</v>
      </c>
      <c r="I24782" t="s">
        <v>29</v>
      </c>
      <c r="J24782" t="s">
        <v>30</v>
      </c>
      <c r="K24782" t="s">
        <v>31</v>
      </c>
      <c r="M24782" t="s">
        <v>51351</v>
      </c>
      <c r="N24782" t="str">
        <f>"2/24/2025 11:06:00 AM"</f>
        <v>2/24/2025 11:06:00 AM</v>
      </c>
      <c r="O24782" t="s">
        <v>74755</v>
      </c>
      <c r="T24782" t="s">
        <v>74756</v>
      </c>
    </row>
    <row r="24783" spans="1:20" x14ac:dyDescent="0.25">
      <c r="A24783" t="str">
        <f>"3039267"</f>
        <v>3039267</v>
      </c>
      <c r="B24783" t="s">
        <v>74759</v>
      </c>
      <c r="C24783" t="str">
        <f>"8320820"</f>
        <v>8320820</v>
      </c>
      <c r="D24783" t="s">
        <v>74760</v>
      </c>
      <c r="E24783" t="s">
        <v>74761</v>
      </c>
      <c r="F24783" t="s">
        <v>74762</v>
      </c>
      <c r="I24783" t="s">
        <v>29</v>
      </c>
      <c r="J24783" t="s">
        <v>30</v>
      </c>
      <c r="K24783" t="s">
        <v>74763</v>
      </c>
      <c r="M24783" t="s">
        <v>25625</v>
      </c>
      <c r="N24783" t="str">
        <f>"2/24/2025 12:02:00 PM"</f>
        <v>2/24/2025 12:02:00 PM</v>
      </c>
      <c r="O24783" t="s">
        <v>74760</v>
      </c>
      <c r="T24783" t="s">
        <v>74761</v>
      </c>
    </row>
    <row r="24784" spans="1:20" x14ac:dyDescent="0.25">
      <c r="A24784" t="str">
        <f>"3058665"</f>
        <v>3058665</v>
      </c>
      <c r="B24784" t="s">
        <v>74764</v>
      </c>
      <c r="C24784" t="str">
        <f>"8313577"</f>
        <v>8313577</v>
      </c>
      <c r="D24784" t="s">
        <v>74765</v>
      </c>
      <c r="E24784" t="s">
        <v>74766</v>
      </c>
      <c r="F24784" t="s">
        <v>74767</v>
      </c>
      <c r="I24784" t="s">
        <v>1107</v>
      </c>
      <c r="J24784" t="s">
        <v>30</v>
      </c>
      <c r="K24784" t="str">
        <f>"28625"</f>
        <v>28625</v>
      </c>
      <c r="M24784" t="s">
        <v>25733</v>
      </c>
      <c r="N24784" t="str">
        <f>"2/24/2025 1:12:00 PM"</f>
        <v>2/24/2025 1:12:00 PM</v>
      </c>
      <c r="O24784" t="s">
        <v>74765</v>
      </c>
      <c r="T24784" t="s">
        <v>74766</v>
      </c>
    </row>
    <row r="24785" spans="1:20" x14ac:dyDescent="0.25">
      <c r="A24785" t="str">
        <f>"3039554"</f>
        <v>3039554</v>
      </c>
      <c r="B24785" t="s">
        <v>74768</v>
      </c>
      <c r="C24785" t="str">
        <f>"82517007"</f>
        <v>82517007</v>
      </c>
      <c r="D24785" t="s">
        <v>69599</v>
      </c>
      <c r="F24785" t="s">
        <v>74769</v>
      </c>
      <c r="I24785" t="s">
        <v>184</v>
      </c>
      <c r="J24785" t="s">
        <v>30</v>
      </c>
      <c r="K24785" t="s">
        <v>25814</v>
      </c>
      <c r="M24785" t="s">
        <v>51351</v>
      </c>
      <c r="N24785" t="str">
        <f>"2/24/2025 2:28:00 PM"</f>
        <v>2/24/2025 2:28:00 PM</v>
      </c>
      <c r="O24785" t="s">
        <v>69599</v>
      </c>
    </row>
    <row r="24786" spans="1:20" x14ac:dyDescent="0.25">
      <c r="A24786" t="str">
        <f>"3041907"</f>
        <v>3041907</v>
      </c>
      <c r="B24786" t="s">
        <v>74770</v>
      </c>
      <c r="C24786" t="str">
        <f>"82517007"</f>
        <v>82517007</v>
      </c>
      <c r="D24786" t="s">
        <v>69599</v>
      </c>
      <c r="F24786" t="s">
        <v>74769</v>
      </c>
      <c r="I24786" t="s">
        <v>184</v>
      </c>
      <c r="J24786" t="s">
        <v>30</v>
      </c>
      <c r="K24786" t="s">
        <v>25814</v>
      </c>
      <c r="M24786" t="s">
        <v>51351</v>
      </c>
      <c r="N24786" t="str">
        <f>"2/24/2025 2:28:00 PM"</f>
        <v>2/24/2025 2:28:00 PM</v>
      </c>
      <c r="O24786" t="s">
        <v>69599</v>
      </c>
    </row>
    <row r="24787" spans="1:20" x14ac:dyDescent="0.25">
      <c r="A24787" t="str">
        <f>"3077086"</f>
        <v>3077086</v>
      </c>
      <c r="B24787" t="s">
        <v>74771</v>
      </c>
      <c r="C24787" t="str">
        <f>"8322104"</f>
        <v>8322104</v>
      </c>
      <c r="D24787" t="s">
        <v>74772</v>
      </c>
      <c r="E24787" t="s">
        <v>74773</v>
      </c>
      <c r="F24787" t="s">
        <v>74774</v>
      </c>
      <c r="I24787" t="s">
        <v>29</v>
      </c>
      <c r="J24787" t="s">
        <v>30</v>
      </c>
      <c r="K24787" t="s">
        <v>74775</v>
      </c>
      <c r="M24787" t="s">
        <v>51351</v>
      </c>
      <c r="N24787" t="str">
        <f>"2/24/2025 4:46:00 PM"</f>
        <v>2/24/2025 4:46:00 PM</v>
      </c>
      <c r="O24787" t="s">
        <v>74772</v>
      </c>
      <c r="T24787" t="s">
        <v>74773</v>
      </c>
    </row>
    <row r="24788" spans="1:20" x14ac:dyDescent="0.25">
      <c r="A24788" t="str">
        <f>"3038615"</f>
        <v>3038615</v>
      </c>
      <c r="B24788" t="s">
        <v>74776</v>
      </c>
      <c r="C24788" t="str">
        <f>"82523632"</f>
        <v>82523632</v>
      </c>
      <c r="D24788" t="s">
        <v>74777</v>
      </c>
      <c r="F24788" t="s">
        <v>59008</v>
      </c>
      <c r="I24788" t="s">
        <v>29</v>
      </c>
      <c r="J24788" t="s">
        <v>30</v>
      </c>
      <c r="K24788" t="s">
        <v>31</v>
      </c>
      <c r="M24788" t="s">
        <v>51351</v>
      </c>
      <c r="N24788" t="str">
        <f>"2/25/2025 9:43:00 AM"</f>
        <v>2/25/2025 9:43:00 AM</v>
      </c>
      <c r="O24788" t="s">
        <v>74777</v>
      </c>
    </row>
    <row r="24789" spans="1:20" x14ac:dyDescent="0.25">
      <c r="A24789" t="str">
        <f>"3058530"</f>
        <v>3058530</v>
      </c>
      <c r="B24789" t="s">
        <v>74778</v>
      </c>
      <c r="C24789" t="str">
        <f>"8322357"</f>
        <v>8322357</v>
      </c>
      <c r="D24789" t="s">
        <v>34013</v>
      </c>
      <c r="F24789" t="s">
        <v>74779</v>
      </c>
      <c r="I24789" t="s">
        <v>29</v>
      </c>
      <c r="J24789" t="s">
        <v>30</v>
      </c>
      <c r="K24789" t="s">
        <v>36011</v>
      </c>
      <c r="M24789" t="s">
        <v>22270</v>
      </c>
      <c r="N24789" t="str">
        <f>"2/25/2025 10:03:00 AM"</f>
        <v>2/25/2025 10:03:00 AM</v>
      </c>
      <c r="O24789" t="s">
        <v>34013</v>
      </c>
    </row>
    <row r="24790" spans="1:20" x14ac:dyDescent="0.25">
      <c r="A24790" t="str">
        <f>"3043472"</f>
        <v>3043472</v>
      </c>
      <c r="B24790" t="s">
        <v>74780</v>
      </c>
      <c r="C24790" t="str">
        <f>"8302793"</f>
        <v>8302793</v>
      </c>
      <c r="D24790" t="s">
        <v>74781</v>
      </c>
      <c r="F24790" t="s">
        <v>74782</v>
      </c>
      <c r="I24790" t="s">
        <v>402</v>
      </c>
      <c r="J24790" t="s">
        <v>30</v>
      </c>
      <c r="K24790" t="str">
        <f>"27102"</f>
        <v>27102</v>
      </c>
      <c r="M24790" t="s">
        <v>25733</v>
      </c>
      <c r="N24790" t="str">
        <f>"2/25/2025 1:05:00 PM"</f>
        <v>2/25/2025 1:05:00 PM</v>
      </c>
      <c r="O24790" t="s">
        <v>74781</v>
      </c>
    </row>
    <row r="24791" spans="1:20" x14ac:dyDescent="0.25">
      <c r="A24791" t="str">
        <f>"3061316"</f>
        <v>3061316</v>
      </c>
      <c r="B24791" t="s">
        <v>74783</v>
      </c>
      <c r="C24791" t="str">
        <f>"8310233"</f>
        <v>8310233</v>
      </c>
      <c r="D24791" t="s">
        <v>74784</v>
      </c>
      <c r="E24791" t="s">
        <v>74785</v>
      </c>
      <c r="F24791" t="s">
        <v>74786</v>
      </c>
      <c r="I24791" t="s">
        <v>2071</v>
      </c>
      <c r="J24791" t="s">
        <v>30</v>
      </c>
      <c r="K24791" t="s">
        <v>36243</v>
      </c>
      <c r="M24791" t="s">
        <v>25733</v>
      </c>
      <c r="N24791" t="str">
        <f>"2/25/2025 2:18:00 PM"</f>
        <v>2/25/2025 2:18:00 PM</v>
      </c>
      <c r="O24791" t="s">
        <v>74784</v>
      </c>
      <c r="T24791" t="s">
        <v>74785</v>
      </c>
    </row>
    <row r="24792" spans="1:20" x14ac:dyDescent="0.25">
      <c r="A24792" t="str">
        <f>"3067848"</f>
        <v>3067848</v>
      </c>
      <c r="B24792" t="s">
        <v>74787</v>
      </c>
      <c r="C24792" t="str">
        <f>"82519117"</f>
        <v>82519117</v>
      </c>
      <c r="D24792" t="s">
        <v>74788</v>
      </c>
      <c r="F24792" t="str">
        <f>"C/O KENNETH HUNTER"</f>
        <v>C/O KENNETH HUNTER</v>
      </c>
      <c r="G24792" t="s">
        <v>74789</v>
      </c>
      <c r="I24792" t="s">
        <v>29</v>
      </c>
      <c r="J24792" t="s">
        <v>30</v>
      </c>
      <c r="K24792" t="s">
        <v>74790</v>
      </c>
      <c r="M24792" t="s">
        <v>51351</v>
      </c>
      <c r="N24792" t="str">
        <f>"2/26/2025 9:16:00 AM"</f>
        <v>2/26/2025 9:16:00 AM</v>
      </c>
      <c r="O24792" t="s">
        <v>74788</v>
      </c>
    </row>
    <row r="24793" spans="1:20" x14ac:dyDescent="0.25">
      <c r="A24793" t="str">
        <f>"3058935"</f>
        <v>3058935</v>
      </c>
      <c r="B24793" t="s">
        <v>74791</v>
      </c>
      <c r="C24793" t="str">
        <f>"8311681"</f>
        <v>8311681</v>
      </c>
      <c r="D24793" t="s">
        <v>74792</v>
      </c>
      <c r="F24793" t="s">
        <v>74789</v>
      </c>
      <c r="I24793" t="s">
        <v>29</v>
      </c>
      <c r="J24793" t="s">
        <v>30</v>
      </c>
      <c r="K24793" t="s">
        <v>74790</v>
      </c>
      <c r="M24793" t="s">
        <v>51351</v>
      </c>
      <c r="N24793" t="str">
        <f>"2/26/2025 9:17:00 AM"</f>
        <v>2/26/2025 9:17:00 AM</v>
      </c>
      <c r="O24793" t="s">
        <v>74792</v>
      </c>
    </row>
    <row r="24794" spans="1:20" x14ac:dyDescent="0.25">
      <c r="A24794" t="str">
        <f>"3056795"</f>
        <v>3056795</v>
      </c>
      <c r="B24794" t="s">
        <v>74793</v>
      </c>
      <c r="C24794" t="str">
        <f>"9502500"</f>
        <v>9502500</v>
      </c>
      <c r="D24794" t="s">
        <v>74794</v>
      </c>
      <c r="F24794" t="s">
        <v>74795</v>
      </c>
      <c r="I24794" t="s">
        <v>29</v>
      </c>
      <c r="J24794" t="s">
        <v>30</v>
      </c>
      <c r="K24794" t="s">
        <v>31</v>
      </c>
      <c r="M24794" t="s">
        <v>51351</v>
      </c>
      <c r="N24794" t="str">
        <f>"2/26/2025 12:44:00 PM"</f>
        <v>2/26/2025 12:44:00 PM</v>
      </c>
      <c r="O24794" t="s">
        <v>74794</v>
      </c>
    </row>
    <row r="24795" spans="1:20" x14ac:dyDescent="0.25">
      <c r="A24795" t="str">
        <f>"3069457"</f>
        <v>3069457</v>
      </c>
      <c r="B24795" t="s">
        <v>74796</v>
      </c>
      <c r="C24795" t="str">
        <f>"8305514"</f>
        <v>8305514</v>
      </c>
      <c r="D24795" t="s">
        <v>74797</v>
      </c>
      <c r="E24795" t="s">
        <v>74798</v>
      </c>
      <c r="F24795" t="s">
        <v>74799</v>
      </c>
      <c r="I24795" t="s">
        <v>29</v>
      </c>
      <c r="J24795" t="s">
        <v>30</v>
      </c>
      <c r="K24795" t="str">
        <f>"27028"</f>
        <v>27028</v>
      </c>
      <c r="M24795" t="s">
        <v>51351</v>
      </c>
      <c r="N24795" t="str">
        <f>"2/26/2025 1:27:00 PM"</f>
        <v>2/26/2025 1:27:00 PM</v>
      </c>
      <c r="O24795" t="s">
        <v>74797</v>
      </c>
      <c r="T24795" t="s">
        <v>74798</v>
      </c>
    </row>
    <row r="24796" spans="1:20" x14ac:dyDescent="0.25">
      <c r="A24796" t="str">
        <f>"3069458"</f>
        <v>3069458</v>
      </c>
      <c r="B24796" t="s">
        <v>74800</v>
      </c>
      <c r="C24796" t="str">
        <f>"8305514"</f>
        <v>8305514</v>
      </c>
      <c r="D24796" t="s">
        <v>74797</v>
      </c>
      <c r="E24796" t="s">
        <v>74798</v>
      </c>
      <c r="F24796" t="s">
        <v>74799</v>
      </c>
      <c r="I24796" t="s">
        <v>29</v>
      </c>
      <c r="J24796" t="s">
        <v>30</v>
      </c>
      <c r="K24796" t="str">
        <f>"27028"</f>
        <v>27028</v>
      </c>
      <c r="M24796" t="s">
        <v>51351</v>
      </c>
      <c r="N24796" t="str">
        <f>"2/26/2025 1:27:00 PM"</f>
        <v>2/26/2025 1:27:00 PM</v>
      </c>
      <c r="O24796" t="s">
        <v>74797</v>
      </c>
      <c r="T24796" t="s">
        <v>74798</v>
      </c>
    </row>
    <row r="24797" spans="1:20" x14ac:dyDescent="0.25">
      <c r="A24797" t="str">
        <f>"3048545"</f>
        <v>3048545</v>
      </c>
      <c r="B24797" t="s">
        <v>74801</v>
      </c>
      <c r="C24797" t="str">
        <f>"49972000"</f>
        <v>49972000</v>
      </c>
      <c r="D24797" t="s">
        <v>74802</v>
      </c>
      <c r="F24797" t="str">
        <f>"C/O NADEAN COLLETTE MCMAHAN"</f>
        <v>C/O NADEAN COLLETTE MCMAHAN</v>
      </c>
      <c r="G24797" t="str">
        <f>"431 W 24 1/2 ST"</f>
        <v>431 W 24 1/2 ST</v>
      </c>
      <c r="I24797" t="s">
        <v>471</v>
      </c>
      <c r="J24797" t="s">
        <v>30</v>
      </c>
      <c r="K24797" t="s">
        <v>69594</v>
      </c>
      <c r="M24797" t="s">
        <v>50621</v>
      </c>
      <c r="N24797" t="str">
        <f>"2/26/2025 1:52:00 PM"</f>
        <v>2/26/2025 1:52:00 PM</v>
      </c>
      <c r="O24797" t="s">
        <v>74802</v>
      </c>
    </row>
    <row r="24798" spans="1:20" x14ac:dyDescent="0.25">
      <c r="A24798" t="str">
        <f>"3047846"</f>
        <v>3047846</v>
      </c>
      <c r="B24798" t="s">
        <v>74803</v>
      </c>
      <c r="C24798" t="str">
        <f>"8300034"</f>
        <v>8300034</v>
      </c>
      <c r="D24798" t="s">
        <v>74804</v>
      </c>
      <c r="F24798" t="s">
        <v>74805</v>
      </c>
      <c r="I24798" t="s">
        <v>184</v>
      </c>
      <c r="J24798" t="s">
        <v>30</v>
      </c>
      <c r="K24798" t="s">
        <v>185</v>
      </c>
      <c r="M24798" t="s">
        <v>51351</v>
      </c>
      <c r="N24798" t="str">
        <f>"2/26/2025 1:57:00 PM"</f>
        <v>2/26/2025 1:57:00 PM</v>
      </c>
      <c r="O24798" t="s">
        <v>74804</v>
      </c>
    </row>
    <row r="24799" spans="1:20" x14ac:dyDescent="0.25">
      <c r="A24799" t="str">
        <f>"3038859"</f>
        <v>3038859</v>
      </c>
      <c r="B24799" t="s">
        <v>74806</v>
      </c>
      <c r="C24799" t="str">
        <f>"59780000"</f>
        <v>59780000</v>
      </c>
      <c r="D24799" t="s">
        <v>74807</v>
      </c>
      <c r="F24799" t="s">
        <v>74808</v>
      </c>
      <c r="G24799" t="s">
        <v>74809</v>
      </c>
      <c r="I24799" t="s">
        <v>402</v>
      </c>
      <c r="J24799" t="s">
        <v>30</v>
      </c>
      <c r="K24799" t="s">
        <v>74810</v>
      </c>
      <c r="M24799" t="s">
        <v>25733</v>
      </c>
      <c r="N24799" t="str">
        <f>"2/26/2025 3:54:00 PM"</f>
        <v>2/26/2025 3:54:00 PM</v>
      </c>
      <c r="O24799" t="s">
        <v>74807</v>
      </c>
    </row>
    <row r="24800" spans="1:20" x14ac:dyDescent="0.25">
      <c r="A24800" t="str">
        <f>"3043710"</f>
        <v>3043710</v>
      </c>
      <c r="B24800" t="s">
        <v>74811</v>
      </c>
      <c r="C24800" t="str">
        <f>"24598000"</f>
        <v>24598000</v>
      </c>
      <c r="D24800" t="s">
        <v>74812</v>
      </c>
      <c r="F24800" t="s">
        <v>74813</v>
      </c>
      <c r="I24800" t="s">
        <v>29</v>
      </c>
      <c r="J24800" t="s">
        <v>30</v>
      </c>
      <c r="K24800" t="s">
        <v>31</v>
      </c>
      <c r="M24800" t="s">
        <v>50621</v>
      </c>
      <c r="N24800" t="str">
        <f>"2/27/2025 9:30:00 AM"</f>
        <v>2/27/2025 9:30:00 AM</v>
      </c>
      <c r="O24800" t="s">
        <v>74812</v>
      </c>
    </row>
    <row r="24801" spans="1:20" x14ac:dyDescent="0.25">
      <c r="A24801" t="str">
        <f>"3077116"</f>
        <v>3077116</v>
      </c>
      <c r="B24801" t="s">
        <v>74814</v>
      </c>
      <c r="C24801" t="str">
        <f>"24598000"</f>
        <v>24598000</v>
      </c>
      <c r="D24801" t="s">
        <v>74812</v>
      </c>
      <c r="F24801" t="s">
        <v>74813</v>
      </c>
      <c r="I24801" t="s">
        <v>29</v>
      </c>
      <c r="J24801" t="s">
        <v>30</v>
      </c>
      <c r="K24801" t="s">
        <v>31</v>
      </c>
      <c r="M24801" t="s">
        <v>50621</v>
      </c>
      <c r="N24801" t="str">
        <f>"2/27/2025 9:30:00 AM"</f>
        <v>2/27/2025 9:30:00 AM</v>
      </c>
      <c r="O24801" t="s">
        <v>74812</v>
      </c>
    </row>
    <row r="24802" spans="1:20" x14ac:dyDescent="0.25">
      <c r="A24802" t="str">
        <f>"3050972"</f>
        <v>3050972</v>
      </c>
      <c r="B24802" t="s">
        <v>74815</v>
      </c>
      <c r="C24802" t="str">
        <f>"73421000"</f>
        <v>73421000</v>
      </c>
      <c r="D24802" t="s">
        <v>74816</v>
      </c>
      <c r="F24802" t="s">
        <v>74817</v>
      </c>
      <c r="G24802" t="s">
        <v>55064</v>
      </c>
      <c r="I24802" t="s">
        <v>55065</v>
      </c>
      <c r="J24802" t="s">
        <v>3737</v>
      </c>
      <c r="K24802" t="s">
        <v>74818</v>
      </c>
      <c r="M24802" t="s">
        <v>50621</v>
      </c>
      <c r="N24802" t="str">
        <f>"2/27/2025 9:52:00 AM"</f>
        <v>2/27/2025 9:52:00 AM</v>
      </c>
      <c r="O24802" t="s">
        <v>74816</v>
      </c>
    </row>
    <row r="24803" spans="1:20" x14ac:dyDescent="0.25">
      <c r="A24803" t="str">
        <f>"3045743"</f>
        <v>3045743</v>
      </c>
      <c r="B24803" t="s">
        <v>74819</v>
      </c>
      <c r="C24803" t="str">
        <f>"82527404"</f>
        <v>82527404</v>
      </c>
      <c r="D24803" t="s">
        <v>74820</v>
      </c>
      <c r="F24803" t="s">
        <v>55064</v>
      </c>
      <c r="I24803" t="s">
        <v>55065</v>
      </c>
      <c r="J24803" t="s">
        <v>3737</v>
      </c>
      <c r="K24803" t="s">
        <v>74818</v>
      </c>
      <c r="M24803" t="s">
        <v>50621</v>
      </c>
      <c r="N24803" t="str">
        <f>"2/27/2025 9:52:00 AM"</f>
        <v>2/27/2025 9:52:00 AM</v>
      </c>
      <c r="O24803" t="s">
        <v>74820</v>
      </c>
    </row>
    <row r="24804" spans="1:20" x14ac:dyDescent="0.25">
      <c r="A24804" t="str">
        <f>"3067238"</f>
        <v>3067238</v>
      </c>
      <c r="B24804" t="s">
        <v>74821</v>
      </c>
      <c r="C24804" t="str">
        <f>"82528776"</f>
        <v>82528776</v>
      </c>
      <c r="D24804" t="s">
        <v>74822</v>
      </c>
      <c r="F24804" t="s">
        <v>74823</v>
      </c>
      <c r="I24804" t="s">
        <v>1107</v>
      </c>
      <c r="J24804" t="s">
        <v>30</v>
      </c>
      <c r="K24804" t="s">
        <v>74824</v>
      </c>
      <c r="M24804" t="s">
        <v>67210</v>
      </c>
      <c r="N24804" t="str">
        <f>"2/27/2025 10:03:00 AM"</f>
        <v>2/27/2025 10:03:00 AM</v>
      </c>
      <c r="O24804" t="s">
        <v>74822</v>
      </c>
    </row>
    <row r="24805" spans="1:20" x14ac:dyDescent="0.25">
      <c r="A24805" t="str">
        <f>"3077773"</f>
        <v>3077773</v>
      </c>
      <c r="B24805" t="s">
        <v>74825</v>
      </c>
      <c r="C24805" t="str">
        <f>"82514501"</f>
        <v>82514501</v>
      </c>
      <c r="D24805" t="s">
        <v>74826</v>
      </c>
      <c r="E24805" t="s">
        <v>74827</v>
      </c>
      <c r="F24805" t="s">
        <v>74828</v>
      </c>
      <c r="I24805" t="s">
        <v>1149</v>
      </c>
      <c r="J24805" t="s">
        <v>30</v>
      </c>
      <c r="K24805" t="s">
        <v>74829</v>
      </c>
      <c r="M24805" t="s">
        <v>51351</v>
      </c>
      <c r="N24805" t="str">
        <f>"2/27/2025 10:50:00 AM"</f>
        <v>2/27/2025 10:50:00 AM</v>
      </c>
      <c r="O24805" t="s">
        <v>74826</v>
      </c>
      <c r="T24805" t="s">
        <v>74827</v>
      </c>
    </row>
    <row r="24806" spans="1:20" x14ac:dyDescent="0.25">
      <c r="A24806" t="str">
        <f>"3076490"</f>
        <v>3076490</v>
      </c>
      <c r="B24806" t="s">
        <v>74830</v>
      </c>
      <c r="C24806" t="str">
        <f>"82514501"</f>
        <v>82514501</v>
      </c>
      <c r="D24806" t="s">
        <v>74826</v>
      </c>
      <c r="E24806" t="s">
        <v>74827</v>
      </c>
      <c r="F24806" t="s">
        <v>74828</v>
      </c>
      <c r="I24806" t="s">
        <v>1149</v>
      </c>
      <c r="J24806" t="s">
        <v>30</v>
      </c>
      <c r="K24806" t="s">
        <v>74829</v>
      </c>
      <c r="M24806" t="s">
        <v>51351</v>
      </c>
      <c r="N24806" t="str">
        <f>"2/27/2025 10:50:00 AM"</f>
        <v>2/27/2025 10:50:00 AM</v>
      </c>
      <c r="O24806" t="s">
        <v>74826</v>
      </c>
      <c r="T24806" t="s">
        <v>74827</v>
      </c>
    </row>
    <row r="24807" spans="1:20" x14ac:dyDescent="0.25">
      <c r="A24807" t="str">
        <f>"3072194"</f>
        <v>3072194</v>
      </c>
      <c r="B24807" t="s">
        <v>74831</v>
      </c>
      <c r="C24807" t="str">
        <f>"82514501"</f>
        <v>82514501</v>
      </c>
      <c r="D24807" t="s">
        <v>74826</v>
      </c>
      <c r="E24807" t="s">
        <v>74827</v>
      </c>
      <c r="F24807" t="s">
        <v>74828</v>
      </c>
      <c r="I24807" t="s">
        <v>1149</v>
      </c>
      <c r="J24807" t="s">
        <v>30</v>
      </c>
      <c r="K24807" t="s">
        <v>74829</v>
      </c>
      <c r="M24807" t="s">
        <v>51351</v>
      </c>
      <c r="N24807" t="str">
        <f>"2/27/2025 10:50:00 AM"</f>
        <v>2/27/2025 10:50:00 AM</v>
      </c>
      <c r="O24807" t="s">
        <v>74826</v>
      </c>
      <c r="T24807" t="s">
        <v>74827</v>
      </c>
    </row>
    <row r="24808" spans="1:20" x14ac:dyDescent="0.25">
      <c r="A24808" t="str">
        <f>"3045550"</f>
        <v>3045550</v>
      </c>
      <c r="B24808" t="s">
        <v>74832</v>
      </c>
      <c r="C24808" t="str">
        <f>"82514501"</f>
        <v>82514501</v>
      </c>
      <c r="D24808" t="s">
        <v>74826</v>
      </c>
      <c r="E24808" t="s">
        <v>74827</v>
      </c>
      <c r="F24808" t="s">
        <v>74828</v>
      </c>
      <c r="I24808" t="s">
        <v>1149</v>
      </c>
      <c r="J24808" t="s">
        <v>30</v>
      </c>
      <c r="K24808" t="s">
        <v>74829</v>
      </c>
      <c r="M24808" t="s">
        <v>51351</v>
      </c>
      <c r="N24808" t="str">
        <f>"2/27/2025 10:50:00 AM"</f>
        <v>2/27/2025 10:50:00 AM</v>
      </c>
      <c r="O24808" t="s">
        <v>74826</v>
      </c>
      <c r="T24808" t="s">
        <v>74827</v>
      </c>
    </row>
    <row r="24809" spans="1:20" x14ac:dyDescent="0.25">
      <c r="A24809" t="str">
        <f>"3039648"</f>
        <v>3039648</v>
      </c>
      <c r="B24809" t="s">
        <v>74833</v>
      </c>
      <c r="C24809" t="str">
        <f>"8308611"</f>
        <v>8308611</v>
      </c>
      <c r="D24809" t="s">
        <v>74834</v>
      </c>
      <c r="E24809" t="s">
        <v>74835</v>
      </c>
      <c r="F24809" t="s">
        <v>74836</v>
      </c>
      <c r="I24809" t="s">
        <v>184</v>
      </c>
      <c r="J24809" t="s">
        <v>30</v>
      </c>
      <c r="K24809" t="str">
        <f>"27006"</f>
        <v>27006</v>
      </c>
      <c r="M24809" t="s">
        <v>18470</v>
      </c>
      <c r="N24809" t="str">
        <f>"2/27/2025 12:01:00 PM"</f>
        <v>2/27/2025 12:01:00 PM</v>
      </c>
      <c r="O24809" t="s">
        <v>74834</v>
      </c>
      <c r="T24809" t="s">
        <v>74835</v>
      </c>
    </row>
    <row r="24810" spans="1:20" x14ac:dyDescent="0.25">
      <c r="A24810" t="str">
        <f>"3038395"</f>
        <v>3038395</v>
      </c>
      <c r="B24810" t="s">
        <v>74837</v>
      </c>
      <c r="C24810" t="str">
        <f>"8301219"</f>
        <v>8301219</v>
      </c>
      <c r="D24810" t="s">
        <v>74838</v>
      </c>
      <c r="F24810" t="s">
        <v>74839</v>
      </c>
      <c r="I24810" t="s">
        <v>29</v>
      </c>
      <c r="J24810" t="s">
        <v>30</v>
      </c>
      <c r="K24810" t="str">
        <f>"27028"</f>
        <v>27028</v>
      </c>
      <c r="M24810" t="s">
        <v>25733</v>
      </c>
      <c r="N24810" t="str">
        <f>"2/27/2025 2:28:00 PM"</f>
        <v>2/27/2025 2:28:00 PM</v>
      </c>
      <c r="O24810" t="s">
        <v>74838</v>
      </c>
    </row>
    <row r="24811" spans="1:20" x14ac:dyDescent="0.25">
      <c r="A24811" t="str">
        <f>"3042151"</f>
        <v>3042151</v>
      </c>
      <c r="B24811" t="s">
        <v>74840</v>
      </c>
      <c r="C24811" t="str">
        <f>"15525000"</f>
        <v>15525000</v>
      </c>
      <c r="D24811" t="s">
        <v>74841</v>
      </c>
      <c r="F24811" t="s">
        <v>74842</v>
      </c>
      <c r="I24811" t="s">
        <v>29</v>
      </c>
      <c r="J24811" t="s">
        <v>30</v>
      </c>
      <c r="K24811" t="s">
        <v>31</v>
      </c>
      <c r="M24811" t="s">
        <v>22270</v>
      </c>
      <c r="N24811" t="str">
        <f>"2/28/2025 8:13:00 AM"</f>
        <v>2/28/2025 8:13:00 AM</v>
      </c>
      <c r="O24811" t="s">
        <v>74841</v>
      </c>
    </row>
    <row r="24812" spans="1:20" x14ac:dyDescent="0.25">
      <c r="A24812" t="str">
        <f>"3042728"</f>
        <v>3042728</v>
      </c>
      <c r="B24812" t="s">
        <v>74843</v>
      </c>
      <c r="C24812" t="str">
        <f>"15525000"</f>
        <v>15525000</v>
      </c>
      <c r="D24812" t="s">
        <v>74841</v>
      </c>
      <c r="F24812" t="s">
        <v>74842</v>
      </c>
      <c r="I24812" t="s">
        <v>29</v>
      </c>
      <c r="J24812" t="s">
        <v>30</v>
      </c>
      <c r="K24812" t="s">
        <v>31</v>
      </c>
      <c r="M24812" t="s">
        <v>22270</v>
      </c>
      <c r="N24812" t="str">
        <f>"2/28/2025 8:13:00 AM"</f>
        <v>2/28/2025 8:13:00 AM</v>
      </c>
      <c r="O24812" t="s">
        <v>74841</v>
      </c>
    </row>
    <row r="24813" spans="1:20" x14ac:dyDescent="0.25">
      <c r="A24813" t="str">
        <f>"3068002"</f>
        <v>3068002</v>
      </c>
      <c r="B24813" t="s">
        <v>74844</v>
      </c>
      <c r="C24813" t="str">
        <f>"15525000"</f>
        <v>15525000</v>
      </c>
      <c r="D24813" t="s">
        <v>74841</v>
      </c>
      <c r="F24813" t="s">
        <v>74842</v>
      </c>
      <c r="I24813" t="s">
        <v>29</v>
      </c>
      <c r="J24813" t="s">
        <v>30</v>
      </c>
      <c r="K24813" t="s">
        <v>31</v>
      </c>
      <c r="M24813" t="s">
        <v>22270</v>
      </c>
      <c r="N24813" t="str">
        <f>"2/28/2025 8:13:00 AM"</f>
        <v>2/28/2025 8:13:00 AM</v>
      </c>
      <c r="O24813" t="s">
        <v>74841</v>
      </c>
    </row>
    <row r="24814" spans="1:20" x14ac:dyDescent="0.25">
      <c r="A24814" t="str">
        <f>"3042709"</f>
        <v>3042709</v>
      </c>
      <c r="B24814" t="s">
        <v>74845</v>
      </c>
      <c r="C24814" t="str">
        <f>"8320294"</f>
        <v>8320294</v>
      </c>
      <c r="D24814" t="s">
        <v>74846</v>
      </c>
      <c r="F24814" t="s">
        <v>74847</v>
      </c>
      <c r="I24814" t="s">
        <v>29</v>
      </c>
      <c r="J24814" t="s">
        <v>30</v>
      </c>
      <c r="K24814" t="s">
        <v>74848</v>
      </c>
      <c r="M24814" t="s">
        <v>25733</v>
      </c>
      <c r="N24814" t="str">
        <f>"2/28/2025 9:04:00 AM"</f>
        <v>2/28/2025 9:04:00 AM</v>
      </c>
      <c r="O24814" t="s">
        <v>74846</v>
      </c>
    </row>
    <row r="24815" spans="1:20" x14ac:dyDescent="0.25">
      <c r="A24815" t="str">
        <f>"3040841"</f>
        <v>3040841</v>
      </c>
      <c r="B24815" t="s">
        <v>74849</v>
      </c>
      <c r="C24815" t="str">
        <f>"30258970"</f>
        <v>30258970</v>
      </c>
      <c r="D24815" t="s">
        <v>74850</v>
      </c>
      <c r="F24815" t="s">
        <v>74851</v>
      </c>
      <c r="I24815" t="s">
        <v>184</v>
      </c>
      <c r="J24815" t="s">
        <v>30</v>
      </c>
      <c r="K24815" t="s">
        <v>185</v>
      </c>
      <c r="M24815" t="s">
        <v>51351</v>
      </c>
      <c r="N24815" t="str">
        <f>"2/28/2025 9:14:00 AM"</f>
        <v>2/28/2025 9:14:00 AM</v>
      </c>
      <c r="O24815" t="s">
        <v>74850</v>
      </c>
    </row>
    <row r="24816" spans="1:20" x14ac:dyDescent="0.25">
      <c r="A24816" t="str">
        <f>"3040283"</f>
        <v>3040283</v>
      </c>
      <c r="B24816" t="s">
        <v>74852</v>
      </c>
      <c r="C24816" t="str">
        <f>"30258970"</f>
        <v>30258970</v>
      </c>
      <c r="D24816" t="s">
        <v>74850</v>
      </c>
      <c r="F24816" t="s">
        <v>74851</v>
      </c>
      <c r="I24816" t="s">
        <v>184</v>
      </c>
      <c r="J24816" t="s">
        <v>30</v>
      </c>
      <c r="K24816" t="s">
        <v>185</v>
      </c>
      <c r="M24816" t="s">
        <v>51351</v>
      </c>
      <c r="N24816" t="str">
        <f>"2/28/2025 9:14:00 AM"</f>
        <v>2/28/2025 9:14:00 AM</v>
      </c>
      <c r="O24816" t="s">
        <v>74850</v>
      </c>
    </row>
    <row r="24817" spans="1:20" x14ac:dyDescent="0.25">
      <c r="A24817" t="str">
        <f>"3040935"</f>
        <v>3040935</v>
      </c>
      <c r="B24817" t="s">
        <v>74853</v>
      </c>
      <c r="C24817" t="str">
        <f>"8310852"</f>
        <v>8310852</v>
      </c>
      <c r="D24817" t="s">
        <v>74854</v>
      </c>
      <c r="F24817" t="s">
        <v>57247</v>
      </c>
      <c r="I24817" t="s">
        <v>184</v>
      </c>
      <c r="J24817" t="s">
        <v>30</v>
      </c>
      <c r="K24817" t="s">
        <v>27109</v>
      </c>
      <c r="M24817" t="s">
        <v>51351</v>
      </c>
      <c r="N24817" t="str">
        <f>"2/28/2025 9:14:00 AM"</f>
        <v>2/28/2025 9:14:00 AM</v>
      </c>
      <c r="O24817" t="s">
        <v>74854</v>
      </c>
    </row>
    <row r="24818" spans="1:20" x14ac:dyDescent="0.25">
      <c r="A24818" t="str">
        <f>"3050926"</f>
        <v>3050926</v>
      </c>
      <c r="B24818" t="s">
        <v>74855</v>
      </c>
      <c r="C24818" t="str">
        <f>"82533072"</f>
        <v>82533072</v>
      </c>
      <c r="D24818" t="s">
        <v>74856</v>
      </c>
      <c r="F24818" t="s">
        <v>74857</v>
      </c>
      <c r="I24818" t="s">
        <v>184</v>
      </c>
      <c r="J24818" t="s">
        <v>30</v>
      </c>
      <c r="K24818" t="s">
        <v>74858</v>
      </c>
      <c r="M24818" t="s">
        <v>50621</v>
      </c>
      <c r="N24818" t="str">
        <f>"2/28/2025 9:33:00 AM"</f>
        <v>2/28/2025 9:33:00 AM</v>
      </c>
      <c r="O24818" t="s">
        <v>74856</v>
      </c>
    </row>
    <row r="24819" spans="1:20" x14ac:dyDescent="0.25">
      <c r="A24819" t="str">
        <f>"3046496"</f>
        <v>3046496</v>
      </c>
      <c r="B24819" t="s">
        <v>74859</v>
      </c>
      <c r="C24819" t="str">
        <f>"8301209"</f>
        <v>8301209</v>
      </c>
      <c r="D24819" t="s">
        <v>19228</v>
      </c>
      <c r="F24819" t="s">
        <v>19229</v>
      </c>
      <c r="I24819" t="s">
        <v>29</v>
      </c>
      <c r="J24819" t="s">
        <v>30</v>
      </c>
      <c r="K24819" t="str">
        <f>"27028"</f>
        <v>27028</v>
      </c>
      <c r="M24819" t="s">
        <v>50621</v>
      </c>
      <c r="N24819" t="str">
        <f>"2/28/2025 9:37:00 AM"</f>
        <v>2/28/2025 9:37:00 AM</v>
      </c>
      <c r="O24819" t="s">
        <v>19228</v>
      </c>
    </row>
    <row r="24820" spans="1:20" x14ac:dyDescent="0.25">
      <c r="A24820" t="str">
        <f>"3046888"</f>
        <v>3046888</v>
      </c>
      <c r="B24820" t="s">
        <v>74860</v>
      </c>
      <c r="C24820" t="str">
        <f>"8301209"</f>
        <v>8301209</v>
      </c>
      <c r="D24820" t="s">
        <v>19228</v>
      </c>
      <c r="F24820" t="s">
        <v>19229</v>
      </c>
      <c r="I24820" t="s">
        <v>29</v>
      </c>
      <c r="J24820" t="s">
        <v>30</v>
      </c>
      <c r="K24820" t="str">
        <f>"27028"</f>
        <v>27028</v>
      </c>
      <c r="M24820" t="s">
        <v>50621</v>
      </c>
      <c r="N24820" t="str">
        <f>"2/28/2025 9:37:00 AM"</f>
        <v>2/28/2025 9:37:00 AM</v>
      </c>
      <c r="O24820" t="s">
        <v>19228</v>
      </c>
    </row>
    <row r="24821" spans="1:20" x14ac:dyDescent="0.25">
      <c r="A24821" t="str">
        <f>"3046658"</f>
        <v>3046658</v>
      </c>
      <c r="B24821" t="s">
        <v>74861</v>
      </c>
      <c r="C24821" t="str">
        <f>"8302628"</f>
        <v>8302628</v>
      </c>
      <c r="D24821" t="s">
        <v>74862</v>
      </c>
      <c r="E24821" t="s">
        <v>43555</v>
      </c>
      <c r="F24821" t="s">
        <v>74863</v>
      </c>
      <c r="I24821" t="s">
        <v>29</v>
      </c>
      <c r="J24821" t="s">
        <v>30</v>
      </c>
      <c r="K24821" t="s">
        <v>10231</v>
      </c>
      <c r="M24821" t="s">
        <v>50621</v>
      </c>
      <c r="N24821" t="str">
        <f>"2/28/2025 9:37:00 AM"</f>
        <v>2/28/2025 9:37:00 AM</v>
      </c>
      <c r="O24821" t="s">
        <v>74862</v>
      </c>
      <c r="T24821" t="s">
        <v>43555</v>
      </c>
    </row>
    <row r="24822" spans="1:20" x14ac:dyDescent="0.25">
      <c r="A24822" t="str">
        <f>"3067392"</f>
        <v>3067392</v>
      </c>
      <c r="B24822" t="s">
        <v>74864</v>
      </c>
      <c r="C24822" t="str">
        <f>"8323834"</f>
        <v>8323834</v>
      </c>
      <c r="D24822" t="s">
        <v>74865</v>
      </c>
      <c r="F24822" t="s">
        <v>74866</v>
      </c>
      <c r="I24822" t="s">
        <v>9580</v>
      </c>
      <c r="J24822" t="s">
        <v>30</v>
      </c>
      <c r="K24822" t="str">
        <f>"27014"</f>
        <v>27014</v>
      </c>
      <c r="M24822" t="s">
        <v>50500</v>
      </c>
      <c r="N24822" t="str">
        <f>"2/28/2025 10:35:00 AM"</f>
        <v>2/28/2025 10:35:00 AM</v>
      </c>
      <c r="O24822" t="s">
        <v>74865</v>
      </c>
    </row>
    <row r="24823" spans="1:20" x14ac:dyDescent="0.25">
      <c r="A24823" t="str">
        <f>"3038926"</f>
        <v>3038926</v>
      </c>
      <c r="B24823" t="s">
        <v>74867</v>
      </c>
      <c r="C24823" t="str">
        <f>"8321096"</f>
        <v>8321096</v>
      </c>
      <c r="D24823" t="str">
        <f>"LEE STEVEN/KATIE"</f>
        <v>LEE STEVEN/KATIE</v>
      </c>
      <c r="E24823" t="str">
        <f>"LEE MELVIN/RACHEL"</f>
        <v>LEE MELVIN/RACHEL</v>
      </c>
      <c r="F24823" t="s">
        <v>74868</v>
      </c>
      <c r="I24823" t="s">
        <v>29</v>
      </c>
      <c r="J24823" t="s">
        <v>30</v>
      </c>
      <c r="K24823" t="s">
        <v>40824</v>
      </c>
      <c r="M24823" t="s">
        <v>25733</v>
      </c>
      <c r="N24823" t="str">
        <f>"2/28/2025 12:45:00 PM"</f>
        <v>2/28/2025 12:45:00 PM</v>
      </c>
      <c r="O24823" t="str">
        <f>"LEE STEVEN/KATIE"</f>
        <v>LEE STEVEN/KATIE</v>
      </c>
      <c r="T24823" t="str">
        <f>"LEE MELVIN/RACHEL"</f>
        <v>LEE MELVIN/RACHEL</v>
      </c>
    </row>
    <row r="24824" spans="1:20" x14ac:dyDescent="0.25">
      <c r="A24824" t="str">
        <f>"3067416"</f>
        <v>3067416</v>
      </c>
      <c r="B24824" t="s">
        <v>74869</v>
      </c>
      <c r="C24824" t="str">
        <f>"8323835"</f>
        <v>8323835</v>
      </c>
      <c r="D24824" t="s">
        <v>74870</v>
      </c>
      <c r="F24824" t="s">
        <v>74871</v>
      </c>
      <c r="I24824" t="s">
        <v>471</v>
      </c>
      <c r="J24824" t="s">
        <v>30</v>
      </c>
      <c r="K24824" t="s">
        <v>74872</v>
      </c>
      <c r="M24824" t="s">
        <v>50500</v>
      </c>
      <c r="N24824" t="str">
        <f>"2/28/2025 1:07:00 PM"</f>
        <v>2/28/2025 1:07:00 PM</v>
      </c>
      <c r="O24824" t="s">
        <v>74870</v>
      </c>
    </row>
    <row r="24825" spans="1:20" x14ac:dyDescent="0.25">
      <c r="A24825" t="str">
        <f>"3055661"</f>
        <v>3055661</v>
      </c>
      <c r="B24825" t="s">
        <v>74873</v>
      </c>
      <c r="C24825" t="str">
        <f>"8320575"</f>
        <v>8320575</v>
      </c>
      <c r="D24825" t="s">
        <v>74874</v>
      </c>
      <c r="E24825" t="s">
        <v>74875</v>
      </c>
      <c r="F24825" t="s">
        <v>70770</v>
      </c>
      <c r="I24825" t="s">
        <v>29</v>
      </c>
      <c r="J24825" t="s">
        <v>30</v>
      </c>
      <c r="K24825" t="s">
        <v>38671</v>
      </c>
      <c r="M24825" t="s">
        <v>51351</v>
      </c>
      <c r="N24825" t="str">
        <f>"2/28/2025 1:29:00 PM"</f>
        <v>2/28/2025 1:29:00 PM</v>
      </c>
      <c r="O24825" t="s">
        <v>74874</v>
      </c>
      <c r="T24825" t="s">
        <v>74875</v>
      </c>
    </row>
    <row r="24826" spans="1:20" x14ac:dyDescent="0.25">
      <c r="A24826" t="str">
        <f>"3047250"</f>
        <v>3047250</v>
      </c>
      <c r="B24826" t="s">
        <v>74876</v>
      </c>
      <c r="C24826" t="str">
        <f>"8310112"</f>
        <v>8310112</v>
      </c>
      <c r="D24826" t="s">
        <v>74877</v>
      </c>
      <c r="F24826" t="s">
        <v>74878</v>
      </c>
      <c r="I24826" t="s">
        <v>29</v>
      </c>
      <c r="J24826" t="s">
        <v>30</v>
      </c>
      <c r="K24826" t="s">
        <v>74879</v>
      </c>
      <c r="M24826" t="s">
        <v>51351</v>
      </c>
      <c r="N24826" t="str">
        <f>"2/28/2025 2:38:00 PM"</f>
        <v>2/28/2025 2:38:00 PM</v>
      </c>
      <c r="O24826" t="s">
        <v>74877</v>
      </c>
    </row>
    <row r="24827" spans="1:20" x14ac:dyDescent="0.25">
      <c r="A24827" t="str">
        <f>"3046529"</f>
        <v>3046529</v>
      </c>
      <c r="B24827" t="s">
        <v>74880</v>
      </c>
      <c r="C24827" t="str">
        <f>"8310112"</f>
        <v>8310112</v>
      </c>
      <c r="D24827" t="s">
        <v>74877</v>
      </c>
      <c r="F24827" t="s">
        <v>74878</v>
      </c>
      <c r="I24827" t="s">
        <v>29</v>
      </c>
      <c r="J24827" t="s">
        <v>30</v>
      </c>
      <c r="K24827" t="s">
        <v>74879</v>
      </c>
      <c r="M24827" t="s">
        <v>51351</v>
      </c>
      <c r="N24827" t="str">
        <f>"2/28/2025 2:38:00 PM"</f>
        <v>2/28/2025 2:38:00 PM</v>
      </c>
      <c r="O24827" t="s">
        <v>74877</v>
      </c>
    </row>
    <row r="24828" spans="1:20" x14ac:dyDescent="0.25">
      <c r="A24828" t="str">
        <f>"3050079"</f>
        <v>3050079</v>
      </c>
      <c r="B24828" t="s">
        <v>74881</v>
      </c>
      <c r="C24828" t="str">
        <f>"82530838"</f>
        <v>82530838</v>
      </c>
      <c r="D24828" t="s">
        <v>74882</v>
      </c>
      <c r="E24828" t="s">
        <v>74883</v>
      </c>
      <c r="F24828" t="s">
        <v>74884</v>
      </c>
      <c r="I24828" t="s">
        <v>29</v>
      </c>
      <c r="J24828" t="s">
        <v>30</v>
      </c>
      <c r="K24828" t="s">
        <v>31</v>
      </c>
      <c r="M24828" t="s">
        <v>51351</v>
      </c>
      <c r="N24828" t="str">
        <f>"2/28/2025 2:49:00 PM"</f>
        <v>2/28/2025 2:49:00 PM</v>
      </c>
      <c r="O24828" t="s">
        <v>74882</v>
      </c>
      <c r="T24828" t="s">
        <v>74883</v>
      </c>
    </row>
    <row r="24829" spans="1:20" x14ac:dyDescent="0.25">
      <c r="A24829" t="str">
        <f>"3067437"</f>
        <v>3067437</v>
      </c>
      <c r="B24829" t="s">
        <v>74885</v>
      </c>
      <c r="C24829" t="str">
        <f>"8323013"</f>
        <v>8323013</v>
      </c>
      <c r="D24829" t="s">
        <v>74886</v>
      </c>
      <c r="E24829" t="s">
        <v>74887</v>
      </c>
      <c r="F24829" t="s">
        <v>74888</v>
      </c>
      <c r="I24829" t="s">
        <v>29</v>
      </c>
      <c r="J24829" t="s">
        <v>30</v>
      </c>
      <c r="K24829" t="s">
        <v>34498</v>
      </c>
      <c r="M24829" t="s">
        <v>25625</v>
      </c>
      <c r="N24829" t="str">
        <f>"2/28/2025 2:57:00 PM"</f>
        <v>2/28/2025 2:57:00 PM</v>
      </c>
      <c r="O24829" t="s">
        <v>74886</v>
      </c>
      <c r="T24829" t="s">
        <v>74887</v>
      </c>
    </row>
    <row r="24830" spans="1:20" x14ac:dyDescent="0.25">
      <c r="A24830" t="str">
        <f>"3051703"</f>
        <v>3051703</v>
      </c>
      <c r="B24830" t="s">
        <v>74889</v>
      </c>
      <c r="C24830" t="str">
        <f>"12065750"</f>
        <v>12065750</v>
      </c>
      <c r="D24830" t="s">
        <v>74890</v>
      </c>
      <c r="F24830" t="s">
        <v>74891</v>
      </c>
      <c r="I24830" t="s">
        <v>29</v>
      </c>
      <c r="J24830" t="s">
        <v>30</v>
      </c>
      <c r="K24830" t="s">
        <v>74892</v>
      </c>
      <c r="M24830" t="s">
        <v>25733</v>
      </c>
      <c r="N24830" t="str">
        <f>"2/28/2025 3:36:00 PM"</f>
        <v>2/28/2025 3:36:00 PM</v>
      </c>
      <c r="O24830" t="s">
        <v>74890</v>
      </c>
    </row>
    <row r="24831" spans="1:20" x14ac:dyDescent="0.25">
      <c r="A24831" t="str">
        <f>"3051684"</f>
        <v>3051684</v>
      </c>
      <c r="B24831" t="s">
        <v>74893</v>
      </c>
      <c r="C24831" t="str">
        <f>"12065750"</f>
        <v>12065750</v>
      </c>
      <c r="D24831" t="s">
        <v>74890</v>
      </c>
      <c r="F24831" t="s">
        <v>74891</v>
      </c>
      <c r="I24831" t="s">
        <v>29</v>
      </c>
      <c r="J24831" t="s">
        <v>30</v>
      </c>
      <c r="K24831" t="s">
        <v>74892</v>
      </c>
      <c r="M24831" t="s">
        <v>25733</v>
      </c>
      <c r="N24831" t="str">
        <f>"2/28/2025 3:36:00 PM"</f>
        <v>2/28/2025 3:36:00 PM</v>
      </c>
      <c r="O24831" t="s">
        <v>74890</v>
      </c>
    </row>
    <row r="24832" spans="1:20" x14ac:dyDescent="0.25">
      <c r="A24832" t="str">
        <f>"3051708"</f>
        <v>3051708</v>
      </c>
      <c r="B24832" t="s">
        <v>74894</v>
      </c>
      <c r="C24832" t="str">
        <f>"12065750"</f>
        <v>12065750</v>
      </c>
      <c r="D24832" t="s">
        <v>74890</v>
      </c>
      <c r="F24832" t="s">
        <v>74891</v>
      </c>
      <c r="I24832" t="s">
        <v>29</v>
      </c>
      <c r="J24832" t="s">
        <v>30</v>
      </c>
      <c r="K24832" t="s">
        <v>74892</v>
      </c>
      <c r="M24832" t="s">
        <v>25733</v>
      </c>
      <c r="N24832" t="str">
        <f>"2/28/2025 3:36:00 PM"</f>
        <v>2/28/2025 3:36:00 PM</v>
      </c>
      <c r="O24832" t="s">
        <v>74890</v>
      </c>
    </row>
    <row r="24833" spans="1:20" x14ac:dyDescent="0.25">
      <c r="A24833" t="str">
        <f>"3052266"</f>
        <v>3052266</v>
      </c>
      <c r="B24833" t="s">
        <v>74895</v>
      </c>
      <c r="C24833" t="str">
        <f>"12906500"</f>
        <v>12906500</v>
      </c>
      <c r="D24833" t="s">
        <v>74896</v>
      </c>
      <c r="F24833" t="s">
        <v>74891</v>
      </c>
      <c r="I24833" t="s">
        <v>29</v>
      </c>
      <c r="J24833" t="s">
        <v>30</v>
      </c>
      <c r="K24833" t="s">
        <v>74892</v>
      </c>
      <c r="M24833" t="s">
        <v>25733</v>
      </c>
      <c r="N24833" t="str">
        <f>"2/28/2025 3:36:00 PM"</f>
        <v>2/28/2025 3:36:00 PM</v>
      </c>
      <c r="O24833" t="s">
        <v>74896</v>
      </c>
    </row>
    <row r="24834" spans="1:20" x14ac:dyDescent="0.25">
      <c r="A24834" t="str">
        <f>"3052267"</f>
        <v>3052267</v>
      </c>
      <c r="B24834" t="s">
        <v>74897</v>
      </c>
      <c r="C24834" t="str">
        <f>"12906500"</f>
        <v>12906500</v>
      </c>
      <c r="D24834" t="s">
        <v>74896</v>
      </c>
      <c r="F24834" t="s">
        <v>74891</v>
      </c>
      <c r="I24834" t="s">
        <v>29</v>
      </c>
      <c r="J24834" t="s">
        <v>30</v>
      </c>
      <c r="K24834" t="s">
        <v>74892</v>
      </c>
      <c r="M24834" t="s">
        <v>25733</v>
      </c>
      <c r="N24834" t="str">
        <f>"2/28/2025 3:36:00 PM"</f>
        <v>2/28/2025 3:36:00 PM</v>
      </c>
      <c r="O24834" t="s">
        <v>74896</v>
      </c>
    </row>
    <row r="24835" spans="1:20" x14ac:dyDescent="0.25">
      <c r="A24835" t="str">
        <f>"3054797"</f>
        <v>3054797</v>
      </c>
      <c r="B24835" t="s">
        <v>74898</v>
      </c>
      <c r="C24835" t="str">
        <f>"8310286"</f>
        <v>8310286</v>
      </c>
      <c r="D24835" t="s">
        <v>74899</v>
      </c>
      <c r="F24835" t="s">
        <v>74900</v>
      </c>
      <c r="I24835" t="s">
        <v>29</v>
      </c>
      <c r="J24835" t="s">
        <v>30</v>
      </c>
      <c r="K24835" t="s">
        <v>46532</v>
      </c>
      <c r="M24835" t="s">
        <v>51351</v>
      </c>
      <c r="N24835" t="str">
        <f>"2/28/2025 4:50:00 PM"</f>
        <v>2/28/2025 4:50:00 PM</v>
      </c>
      <c r="O24835" t="s">
        <v>74899</v>
      </c>
    </row>
    <row r="24836" spans="1:20" x14ac:dyDescent="0.25">
      <c r="A24836" t="str">
        <f>"3050762"</f>
        <v>3050762</v>
      </c>
      <c r="B24836" t="s">
        <v>74901</v>
      </c>
      <c r="C24836" t="str">
        <f>"8304395"</f>
        <v>8304395</v>
      </c>
      <c r="D24836" t="s">
        <v>62405</v>
      </c>
      <c r="E24836" t="s">
        <v>74902</v>
      </c>
      <c r="F24836" t="s">
        <v>62406</v>
      </c>
      <c r="I24836" t="s">
        <v>29</v>
      </c>
      <c r="J24836" t="s">
        <v>30</v>
      </c>
      <c r="K24836" t="s">
        <v>42942</v>
      </c>
      <c r="M24836" t="s">
        <v>50500</v>
      </c>
      <c r="N24836" t="str">
        <f>"3/3/2025 10:04:00 AM"</f>
        <v>3/3/2025 10:04:00 AM</v>
      </c>
      <c r="O24836" t="s">
        <v>62405</v>
      </c>
      <c r="T24836" t="s">
        <v>74902</v>
      </c>
    </row>
    <row r="24837" spans="1:20" x14ac:dyDescent="0.25">
      <c r="A24837" t="str">
        <f>"3050453"</f>
        <v>3050453</v>
      </c>
      <c r="B24837" t="s">
        <v>74903</v>
      </c>
      <c r="C24837" t="str">
        <f>"8304395"</f>
        <v>8304395</v>
      </c>
      <c r="D24837" t="s">
        <v>62405</v>
      </c>
      <c r="E24837" t="s">
        <v>74902</v>
      </c>
      <c r="F24837" t="s">
        <v>62406</v>
      </c>
      <c r="I24837" t="s">
        <v>29</v>
      </c>
      <c r="J24837" t="s">
        <v>30</v>
      </c>
      <c r="K24837" t="s">
        <v>42942</v>
      </c>
      <c r="M24837" t="s">
        <v>50500</v>
      </c>
      <c r="N24837" t="str">
        <f>"3/3/2025 10:04:00 AM"</f>
        <v>3/3/2025 10:04:00 AM</v>
      </c>
      <c r="O24837" t="s">
        <v>62405</v>
      </c>
      <c r="T24837" t="s">
        <v>74902</v>
      </c>
    </row>
    <row r="24838" spans="1:20" x14ac:dyDescent="0.25">
      <c r="A24838" t="str">
        <f>"3067579"</f>
        <v>3067579</v>
      </c>
      <c r="B24838" t="s">
        <v>74904</v>
      </c>
      <c r="C24838" t="str">
        <f>"8317390"</f>
        <v>8317390</v>
      </c>
      <c r="D24838" t="s">
        <v>74905</v>
      </c>
      <c r="E24838" t="s">
        <v>74906</v>
      </c>
      <c r="F24838" t="s">
        <v>74907</v>
      </c>
      <c r="I24838" t="s">
        <v>29</v>
      </c>
      <c r="J24838" t="s">
        <v>30</v>
      </c>
      <c r="K24838" t="s">
        <v>74908</v>
      </c>
      <c r="M24838" t="s">
        <v>50500</v>
      </c>
      <c r="N24838" t="str">
        <f>"3/3/2025 12:17:00 PM"</f>
        <v>3/3/2025 12:17:00 PM</v>
      </c>
      <c r="O24838" t="s">
        <v>74905</v>
      </c>
      <c r="T24838" t="s">
        <v>74906</v>
      </c>
    </row>
    <row r="24839" spans="1:20" x14ac:dyDescent="0.25">
      <c r="A24839" t="str">
        <f>"3058522"</f>
        <v>3058522</v>
      </c>
      <c r="B24839" t="s">
        <v>74909</v>
      </c>
      <c r="C24839" t="str">
        <f>"8317390"</f>
        <v>8317390</v>
      </c>
      <c r="D24839" t="s">
        <v>74905</v>
      </c>
      <c r="E24839" t="s">
        <v>74906</v>
      </c>
      <c r="F24839" t="s">
        <v>74907</v>
      </c>
      <c r="I24839" t="s">
        <v>29</v>
      </c>
      <c r="J24839" t="s">
        <v>30</v>
      </c>
      <c r="K24839" t="s">
        <v>74908</v>
      </c>
      <c r="M24839" t="s">
        <v>50500</v>
      </c>
      <c r="N24839" t="str">
        <f>"3/3/2025 12:17:00 PM"</f>
        <v>3/3/2025 12:17:00 PM</v>
      </c>
      <c r="O24839" t="s">
        <v>74905</v>
      </c>
      <c r="T24839" t="s">
        <v>74906</v>
      </c>
    </row>
    <row r="24840" spans="1:20" x14ac:dyDescent="0.25">
      <c r="A24840" t="str">
        <f>"3061866"</f>
        <v>3061866</v>
      </c>
      <c r="B24840" t="s">
        <v>74910</v>
      </c>
      <c r="C24840" t="str">
        <f>"8317390"</f>
        <v>8317390</v>
      </c>
      <c r="D24840" t="s">
        <v>74905</v>
      </c>
      <c r="E24840" t="s">
        <v>74906</v>
      </c>
      <c r="F24840" t="s">
        <v>74907</v>
      </c>
      <c r="I24840" t="s">
        <v>29</v>
      </c>
      <c r="J24840" t="s">
        <v>30</v>
      </c>
      <c r="K24840" t="s">
        <v>74908</v>
      </c>
      <c r="M24840" t="s">
        <v>50500</v>
      </c>
      <c r="N24840" t="str">
        <f>"3/3/2025 12:17:00 PM"</f>
        <v>3/3/2025 12:17:00 PM</v>
      </c>
      <c r="O24840" t="s">
        <v>74905</v>
      </c>
      <c r="T24840" t="s">
        <v>74906</v>
      </c>
    </row>
    <row r="24841" spans="1:20" x14ac:dyDescent="0.25">
      <c r="A24841" t="str">
        <f>"3045401"</f>
        <v>3045401</v>
      </c>
      <c r="B24841" t="s">
        <v>74911</v>
      </c>
      <c r="C24841" t="str">
        <f>"82526598"</f>
        <v>82526598</v>
      </c>
      <c r="D24841" t="s">
        <v>74912</v>
      </c>
      <c r="E24841" t="s">
        <v>74913</v>
      </c>
      <c r="F24841" t="s">
        <v>74914</v>
      </c>
      <c r="I24841" t="s">
        <v>29</v>
      </c>
      <c r="J24841" t="s">
        <v>30</v>
      </c>
      <c r="K24841" t="s">
        <v>31</v>
      </c>
      <c r="M24841" t="s">
        <v>50793</v>
      </c>
      <c r="N24841" t="str">
        <f>"3/3/2025 2:37:00 PM"</f>
        <v>3/3/2025 2:37:00 PM</v>
      </c>
      <c r="O24841" t="s">
        <v>74912</v>
      </c>
      <c r="T24841" t="s">
        <v>74913</v>
      </c>
    </row>
    <row r="24842" spans="1:20" x14ac:dyDescent="0.25">
      <c r="A24842" t="str">
        <f>"3050859"</f>
        <v>3050859</v>
      </c>
      <c r="B24842" t="s">
        <v>74915</v>
      </c>
      <c r="C24842" t="str">
        <f>"82529124"</f>
        <v>82529124</v>
      </c>
      <c r="D24842" t="s">
        <v>74916</v>
      </c>
      <c r="F24842" t="s">
        <v>74917</v>
      </c>
      <c r="I24842" t="s">
        <v>184</v>
      </c>
      <c r="J24842" t="s">
        <v>30</v>
      </c>
      <c r="K24842" t="s">
        <v>67950</v>
      </c>
      <c r="M24842" t="s">
        <v>18479</v>
      </c>
      <c r="N24842" t="str">
        <f>"3/3/2025 4:21:00 PM"</f>
        <v>3/3/2025 4:21:00 PM</v>
      </c>
      <c r="O24842" t="s">
        <v>74916</v>
      </c>
      <c r="T24842" t="s">
        <v>74916</v>
      </c>
    </row>
    <row r="24843" spans="1:20" x14ac:dyDescent="0.25">
      <c r="A24843" t="str">
        <f>"3039582"</f>
        <v>3039582</v>
      </c>
      <c r="B24843" t="s">
        <v>74918</v>
      </c>
      <c r="C24843" t="str">
        <f>"82522996"</f>
        <v>82522996</v>
      </c>
      <c r="D24843" t="s">
        <v>74919</v>
      </c>
      <c r="F24843" t="s">
        <v>74920</v>
      </c>
      <c r="I24843" t="s">
        <v>1107</v>
      </c>
      <c r="J24843" t="s">
        <v>30</v>
      </c>
      <c r="K24843" t="s">
        <v>74921</v>
      </c>
      <c r="M24843" t="s">
        <v>18479</v>
      </c>
      <c r="N24843" t="str">
        <f>"3/3/2025 4:39:00 PM"</f>
        <v>3/3/2025 4:39:00 PM</v>
      </c>
      <c r="O24843" t="s">
        <v>74919</v>
      </c>
    </row>
    <row r="24844" spans="1:20" x14ac:dyDescent="0.25">
      <c r="A24844" t="str">
        <f>"3049159"</f>
        <v>3049159</v>
      </c>
      <c r="B24844" t="s">
        <v>74922</v>
      </c>
      <c r="C24844" t="str">
        <f>"8319348"</f>
        <v>8319348</v>
      </c>
      <c r="D24844" t="s">
        <v>74923</v>
      </c>
      <c r="F24844" t="s">
        <v>74924</v>
      </c>
      <c r="I24844" t="s">
        <v>70122</v>
      </c>
      <c r="J24844" t="s">
        <v>12725</v>
      </c>
      <c r="K24844" t="s">
        <v>74925</v>
      </c>
      <c r="M24844" t="s">
        <v>50793</v>
      </c>
      <c r="N24844" t="str">
        <f>"3/4/2025 9:41:00 AM"</f>
        <v>3/4/2025 9:41:00 AM</v>
      </c>
      <c r="O24844" t="s">
        <v>74923</v>
      </c>
    </row>
    <row r="24845" spans="1:20" x14ac:dyDescent="0.25">
      <c r="A24845" t="str">
        <f>"3042070"</f>
        <v>3042070</v>
      </c>
      <c r="B24845" t="s">
        <v>74926</v>
      </c>
      <c r="C24845" t="str">
        <f>"73592000"</f>
        <v>73592000</v>
      </c>
      <c r="D24845" t="s">
        <v>74927</v>
      </c>
      <c r="E24845" t="s">
        <v>74928</v>
      </c>
      <c r="F24845" t="s">
        <v>74929</v>
      </c>
      <c r="I24845" t="s">
        <v>66804</v>
      </c>
      <c r="J24845" t="s">
        <v>30</v>
      </c>
      <c r="K24845" t="s">
        <v>74930</v>
      </c>
      <c r="M24845" t="s">
        <v>18479</v>
      </c>
      <c r="N24845" t="str">
        <f>"3/4/2025 10:16:00 AM"</f>
        <v>3/4/2025 10:16:00 AM</v>
      </c>
      <c r="O24845" t="s">
        <v>74927</v>
      </c>
      <c r="T24845" t="s">
        <v>74928</v>
      </c>
    </row>
    <row r="24846" spans="1:20" x14ac:dyDescent="0.25">
      <c r="A24846" t="str">
        <f>"3052505"</f>
        <v>3052505</v>
      </c>
      <c r="B24846" t="s">
        <v>74931</v>
      </c>
      <c r="C24846" t="str">
        <f>"24554500"</f>
        <v>24554500</v>
      </c>
      <c r="D24846" t="s">
        <v>74932</v>
      </c>
      <c r="F24846" t="s">
        <v>74933</v>
      </c>
      <c r="I24846" t="s">
        <v>29</v>
      </c>
      <c r="J24846" t="s">
        <v>30</v>
      </c>
      <c r="K24846" t="s">
        <v>31</v>
      </c>
      <c r="M24846" t="s">
        <v>50793</v>
      </c>
      <c r="N24846" t="str">
        <f>"3/4/2025 2:53:00 PM"</f>
        <v>3/4/2025 2:53:00 PM</v>
      </c>
      <c r="O24846" t="s">
        <v>74932</v>
      </c>
    </row>
    <row r="24847" spans="1:20" x14ac:dyDescent="0.25">
      <c r="A24847" t="str">
        <f>"3055152"</f>
        <v>3055152</v>
      </c>
      <c r="B24847" t="s">
        <v>74934</v>
      </c>
      <c r="C24847" t="str">
        <f>"8319878"</f>
        <v>8319878</v>
      </c>
      <c r="D24847" t="s">
        <v>74935</v>
      </c>
      <c r="F24847" t="s">
        <v>74936</v>
      </c>
      <c r="I24847" t="s">
        <v>17921</v>
      </c>
      <c r="J24847" t="s">
        <v>30</v>
      </c>
      <c r="K24847" t="str">
        <f>"27028"</f>
        <v>27028</v>
      </c>
      <c r="M24847" t="s">
        <v>33845</v>
      </c>
      <c r="N24847" t="str">
        <f>"3/4/2025 3:52:00 PM"</f>
        <v>3/4/2025 3:52:00 PM</v>
      </c>
      <c r="O24847" t="s">
        <v>74935</v>
      </c>
    </row>
    <row r="24848" spans="1:20" x14ac:dyDescent="0.25">
      <c r="A24848" t="str">
        <f>"3045977"</f>
        <v>3045977</v>
      </c>
      <c r="B24848" t="s">
        <v>74937</v>
      </c>
      <c r="C24848" t="str">
        <f>"24560000"</f>
        <v>24560000</v>
      </c>
      <c r="D24848" t="s">
        <v>74938</v>
      </c>
      <c r="F24848" t="s">
        <v>57835</v>
      </c>
      <c r="I24848" t="s">
        <v>29</v>
      </c>
      <c r="J24848" t="s">
        <v>30</v>
      </c>
      <c r="K24848" t="s">
        <v>31</v>
      </c>
      <c r="M24848" t="s">
        <v>50793</v>
      </c>
      <c r="N24848" t="str">
        <f>"3/5/2025 8:25:00 AM"</f>
        <v>3/5/2025 8:25:00 AM</v>
      </c>
      <c r="O24848" t="s">
        <v>74938</v>
      </c>
    </row>
    <row r="24849" spans="1:20" x14ac:dyDescent="0.25">
      <c r="A24849" t="str">
        <f>"3048849"</f>
        <v>3048849</v>
      </c>
      <c r="B24849" t="s">
        <v>74939</v>
      </c>
      <c r="C24849" t="str">
        <f>"8307847"</f>
        <v>8307847</v>
      </c>
      <c r="D24849" t="s">
        <v>74940</v>
      </c>
      <c r="E24849" t="s">
        <v>74941</v>
      </c>
      <c r="F24849" t="s">
        <v>74942</v>
      </c>
      <c r="I24849" t="s">
        <v>29</v>
      </c>
      <c r="J24849" t="s">
        <v>30</v>
      </c>
      <c r="K24849" t="str">
        <f>"27028"</f>
        <v>27028</v>
      </c>
      <c r="M24849" t="s">
        <v>50793</v>
      </c>
      <c r="N24849" t="str">
        <f>"3/5/2025 8:28:00 AM"</f>
        <v>3/5/2025 8:28:00 AM</v>
      </c>
      <c r="O24849" t="s">
        <v>74940</v>
      </c>
      <c r="T24849" t="s">
        <v>74941</v>
      </c>
    </row>
    <row r="24850" spans="1:20" x14ac:dyDescent="0.25">
      <c r="A24850" t="str">
        <f>"3052457"</f>
        <v>3052457</v>
      </c>
      <c r="B24850" t="s">
        <v>74943</v>
      </c>
      <c r="C24850" t="str">
        <f>"8319900"</f>
        <v>8319900</v>
      </c>
      <c r="D24850" t="s">
        <v>74944</v>
      </c>
      <c r="F24850" t="s">
        <v>74945</v>
      </c>
      <c r="I24850" t="s">
        <v>29</v>
      </c>
      <c r="J24850" t="s">
        <v>30</v>
      </c>
      <c r="K24850" t="s">
        <v>58626</v>
      </c>
      <c r="M24850" t="s">
        <v>50793</v>
      </c>
      <c r="N24850" t="str">
        <f>"3/4/2025 2:51:00 PM"</f>
        <v>3/4/2025 2:51:00 PM</v>
      </c>
      <c r="O24850" t="s">
        <v>74944</v>
      </c>
    </row>
    <row r="24851" spans="1:20" x14ac:dyDescent="0.25">
      <c r="A24851" t="str">
        <f>"3049340"</f>
        <v>3049340</v>
      </c>
      <c r="B24851" t="s">
        <v>74946</v>
      </c>
      <c r="C24851" t="str">
        <f>"24549000"</f>
        <v>24549000</v>
      </c>
      <c r="D24851" t="s">
        <v>74947</v>
      </c>
      <c r="E24851" t="s">
        <v>74948</v>
      </c>
      <c r="F24851" t="str">
        <f>"C/O HABITAT FOR HUMANITY"</f>
        <v>C/O HABITAT FOR HUMANITY</v>
      </c>
      <c r="G24851" t="s">
        <v>66912</v>
      </c>
      <c r="I24851" t="s">
        <v>184</v>
      </c>
      <c r="J24851" t="s">
        <v>30</v>
      </c>
      <c r="K24851" t="s">
        <v>61981</v>
      </c>
      <c r="M24851" t="s">
        <v>50793</v>
      </c>
      <c r="N24851" t="str">
        <f>"3/4/2025 2:48:00 PM"</f>
        <v>3/4/2025 2:48:00 PM</v>
      </c>
      <c r="O24851" t="s">
        <v>74947</v>
      </c>
      <c r="T24851" t="s">
        <v>74948</v>
      </c>
    </row>
    <row r="24852" spans="1:20" x14ac:dyDescent="0.25">
      <c r="A24852" t="str">
        <f>"3058660"</f>
        <v>3058660</v>
      </c>
      <c r="B24852" t="s">
        <v>74949</v>
      </c>
      <c r="C24852" t="str">
        <f>"8322699"</f>
        <v>8322699</v>
      </c>
      <c r="D24852" t="s">
        <v>74950</v>
      </c>
      <c r="F24852" t="s">
        <v>74951</v>
      </c>
      <c r="I24852" t="s">
        <v>29</v>
      </c>
      <c r="J24852" t="s">
        <v>30</v>
      </c>
      <c r="K24852" t="s">
        <v>68180</v>
      </c>
      <c r="M24852" t="s">
        <v>18470</v>
      </c>
      <c r="N24852" t="str">
        <f>"3/5/2025 9:11:00 AM"</f>
        <v>3/5/2025 9:11:00 AM</v>
      </c>
      <c r="O24852" t="s">
        <v>74950</v>
      </c>
    </row>
    <row r="24853" spans="1:20" x14ac:dyDescent="0.25">
      <c r="A24853" t="str">
        <f>"3054739"</f>
        <v>3054739</v>
      </c>
      <c r="B24853" t="s">
        <v>74952</v>
      </c>
      <c r="C24853" t="str">
        <f>"8311954"</f>
        <v>8311954</v>
      </c>
      <c r="D24853" t="s">
        <v>74953</v>
      </c>
      <c r="E24853" t="s">
        <v>74954</v>
      </c>
      <c r="F24853" t="s">
        <v>58144</v>
      </c>
      <c r="I24853" t="s">
        <v>5235</v>
      </c>
      <c r="J24853" t="s">
        <v>30</v>
      </c>
      <c r="K24853" t="s">
        <v>58145</v>
      </c>
      <c r="M24853" t="s">
        <v>50621</v>
      </c>
      <c r="N24853" t="str">
        <f>"3/5/2025 9:13:00 AM"</f>
        <v>3/5/2025 9:13:00 AM</v>
      </c>
      <c r="O24853" t="s">
        <v>74953</v>
      </c>
      <c r="T24853" t="s">
        <v>74954</v>
      </c>
    </row>
    <row r="24854" spans="1:20" x14ac:dyDescent="0.25">
      <c r="A24854" t="str">
        <f>"3059727"</f>
        <v>3059727</v>
      </c>
      <c r="B24854" t="s">
        <v>74955</v>
      </c>
      <c r="C24854" t="str">
        <f>"82528670"</f>
        <v>82528670</v>
      </c>
      <c r="D24854" t="s">
        <v>74956</v>
      </c>
      <c r="E24854" t="s">
        <v>74957</v>
      </c>
      <c r="F24854" t="s">
        <v>74958</v>
      </c>
      <c r="I24854" t="s">
        <v>29</v>
      </c>
      <c r="J24854" t="s">
        <v>30</v>
      </c>
      <c r="K24854" t="s">
        <v>31</v>
      </c>
      <c r="M24854" t="s">
        <v>50621</v>
      </c>
      <c r="N24854" t="str">
        <f>"3/5/2025 9:25:00 AM"</f>
        <v>3/5/2025 9:25:00 AM</v>
      </c>
      <c r="O24854" t="s">
        <v>74956</v>
      </c>
      <c r="T24854" t="s">
        <v>74957</v>
      </c>
    </row>
    <row r="24855" spans="1:20" x14ac:dyDescent="0.25">
      <c r="A24855" t="str">
        <f>"3050070"</f>
        <v>3050070</v>
      </c>
      <c r="B24855" t="s">
        <v>74959</v>
      </c>
      <c r="C24855" t="str">
        <f>"5212000"</f>
        <v>5212000</v>
      </c>
      <c r="D24855" t="s">
        <v>74960</v>
      </c>
      <c r="E24855" t="s">
        <v>74961</v>
      </c>
      <c r="F24855" t="s">
        <v>64510</v>
      </c>
      <c r="I24855" t="s">
        <v>29</v>
      </c>
      <c r="J24855" t="s">
        <v>30</v>
      </c>
      <c r="K24855" t="str">
        <f>"27028"</f>
        <v>27028</v>
      </c>
      <c r="M24855" t="s">
        <v>50621</v>
      </c>
      <c r="N24855" t="str">
        <f>"3/5/2025 9:29:00 AM"</f>
        <v>3/5/2025 9:29:00 AM</v>
      </c>
      <c r="O24855" t="s">
        <v>74960</v>
      </c>
      <c r="T24855" t="s">
        <v>74961</v>
      </c>
    </row>
    <row r="24856" spans="1:20" x14ac:dyDescent="0.25">
      <c r="A24856" t="str">
        <f>"3067753"</f>
        <v>3067753</v>
      </c>
      <c r="B24856" t="s">
        <v>74962</v>
      </c>
      <c r="C24856" t="str">
        <f>"8323843"</f>
        <v>8323843</v>
      </c>
      <c r="D24856" t="s">
        <v>74963</v>
      </c>
      <c r="F24856" t="s">
        <v>41232</v>
      </c>
      <c r="I24856" t="s">
        <v>184</v>
      </c>
      <c r="J24856" t="s">
        <v>30</v>
      </c>
      <c r="K24856" t="s">
        <v>18939</v>
      </c>
      <c r="M24856" t="s">
        <v>50500</v>
      </c>
      <c r="N24856" t="str">
        <f>"3/4/2025 2:39:00 PM"</f>
        <v>3/4/2025 2:39:00 PM</v>
      </c>
      <c r="O24856" t="s">
        <v>74963</v>
      </c>
    </row>
    <row r="24857" spans="1:20" x14ac:dyDescent="0.25">
      <c r="A24857" t="str">
        <f>"3038573"</f>
        <v>3038573</v>
      </c>
      <c r="B24857" t="s">
        <v>74964</v>
      </c>
      <c r="C24857" t="str">
        <f>"8310344"</f>
        <v>8310344</v>
      </c>
      <c r="D24857" t="s">
        <v>74965</v>
      </c>
      <c r="E24857" t="s">
        <v>74966</v>
      </c>
      <c r="F24857" t="s">
        <v>74967</v>
      </c>
      <c r="I24857" t="s">
        <v>29</v>
      </c>
      <c r="J24857" t="s">
        <v>30</v>
      </c>
      <c r="K24857" t="s">
        <v>74968</v>
      </c>
      <c r="M24857" t="s">
        <v>50793</v>
      </c>
      <c r="N24857" t="str">
        <f>"3/4/2025 2:35:00 PM"</f>
        <v>3/4/2025 2:35:00 PM</v>
      </c>
      <c r="O24857" t="s">
        <v>74965</v>
      </c>
      <c r="T24857" t="s">
        <v>74966</v>
      </c>
    </row>
    <row r="24858" spans="1:20" x14ac:dyDescent="0.25">
      <c r="A24858" t="str">
        <f>"3078896"</f>
        <v>3078896</v>
      </c>
      <c r="B24858" t="s">
        <v>74969</v>
      </c>
      <c r="C24858" t="str">
        <f>"5740000"</f>
        <v>5740000</v>
      </c>
      <c r="D24858" t="s">
        <v>74970</v>
      </c>
      <c r="E24858" t="s">
        <v>74971</v>
      </c>
      <c r="F24858" t="s">
        <v>74972</v>
      </c>
      <c r="I24858" t="s">
        <v>29</v>
      </c>
      <c r="J24858" t="s">
        <v>30</v>
      </c>
      <c r="K24858" t="s">
        <v>31</v>
      </c>
      <c r="M24858" t="s">
        <v>50621</v>
      </c>
      <c r="N24858" t="str">
        <f>"3/5/2025 10:03:00 AM"</f>
        <v>3/5/2025 10:03:00 AM</v>
      </c>
      <c r="O24858" t="s">
        <v>74970</v>
      </c>
      <c r="T24858" t="s">
        <v>74971</v>
      </c>
    </row>
    <row r="24859" spans="1:20" x14ac:dyDescent="0.25">
      <c r="A24859" t="str">
        <f>"3055201"</f>
        <v>3055201</v>
      </c>
      <c r="B24859" t="s">
        <v>74973</v>
      </c>
      <c r="C24859" t="str">
        <f>"6158000"</f>
        <v>6158000</v>
      </c>
      <c r="D24859" t="s">
        <v>74974</v>
      </c>
      <c r="E24859" t="s">
        <v>74975</v>
      </c>
      <c r="F24859" t="s">
        <v>74976</v>
      </c>
      <c r="I24859" t="s">
        <v>184</v>
      </c>
      <c r="J24859" t="s">
        <v>30</v>
      </c>
      <c r="K24859" t="s">
        <v>19297</v>
      </c>
      <c r="M24859" t="s">
        <v>50621</v>
      </c>
      <c r="N24859" t="str">
        <f>"3/5/2025 10:09:00 AM"</f>
        <v>3/5/2025 10:09:00 AM</v>
      </c>
      <c r="O24859" t="s">
        <v>74974</v>
      </c>
      <c r="T24859" t="s">
        <v>74975</v>
      </c>
    </row>
    <row r="24860" spans="1:20" x14ac:dyDescent="0.25">
      <c r="A24860" t="str">
        <f>"3048067"</f>
        <v>3048067</v>
      </c>
      <c r="B24860" t="s">
        <v>74977</v>
      </c>
      <c r="C24860" t="str">
        <f>"6224000"</f>
        <v>6224000</v>
      </c>
      <c r="D24860" t="s">
        <v>74978</v>
      </c>
      <c r="E24860" t="s">
        <v>74979</v>
      </c>
      <c r="F24860" t="s">
        <v>74980</v>
      </c>
      <c r="I24860" t="s">
        <v>184</v>
      </c>
      <c r="J24860" t="s">
        <v>30</v>
      </c>
      <c r="K24860" t="s">
        <v>9056</v>
      </c>
      <c r="M24860" t="s">
        <v>50621</v>
      </c>
      <c r="N24860" t="str">
        <f>"3/5/2025 10:25:00 AM"</f>
        <v>3/5/2025 10:25:00 AM</v>
      </c>
      <c r="O24860" t="s">
        <v>74978</v>
      </c>
      <c r="T24860" t="s">
        <v>74979</v>
      </c>
    </row>
    <row r="24861" spans="1:20" x14ac:dyDescent="0.25">
      <c r="A24861" t="str">
        <f>"3037810"</f>
        <v>3037810</v>
      </c>
      <c r="B24861" t="s">
        <v>74981</v>
      </c>
      <c r="C24861" t="str">
        <f>"8310344"</f>
        <v>8310344</v>
      </c>
      <c r="D24861" t="s">
        <v>74965</v>
      </c>
      <c r="E24861" t="s">
        <v>74966</v>
      </c>
      <c r="F24861" t="s">
        <v>74967</v>
      </c>
      <c r="I24861" t="s">
        <v>29</v>
      </c>
      <c r="J24861" t="s">
        <v>30</v>
      </c>
      <c r="K24861" t="s">
        <v>74968</v>
      </c>
      <c r="M24861" t="s">
        <v>50793</v>
      </c>
      <c r="N24861" t="str">
        <f>"3/4/2025 2:35:00 PM"</f>
        <v>3/4/2025 2:35:00 PM</v>
      </c>
      <c r="O24861" t="s">
        <v>74965</v>
      </c>
      <c r="T24861" t="s">
        <v>74966</v>
      </c>
    </row>
    <row r="24862" spans="1:20" x14ac:dyDescent="0.25">
      <c r="A24862" t="str">
        <f>"3037377"</f>
        <v>3037377</v>
      </c>
      <c r="B24862" t="s">
        <v>74982</v>
      </c>
      <c r="C24862" t="str">
        <f>"8300203"</f>
        <v>8300203</v>
      </c>
      <c r="D24862" t="s">
        <v>74983</v>
      </c>
      <c r="E24862" t="s">
        <v>74984</v>
      </c>
      <c r="F24862" t="s">
        <v>74985</v>
      </c>
      <c r="I24862" t="s">
        <v>184</v>
      </c>
      <c r="J24862" t="s">
        <v>30</v>
      </c>
      <c r="K24862" t="s">
        <v>185</v>
      </c>
      <c r="M24862" t="s">
        <v>50621</v>
      </c>
      <c r="N24862" t="str">
        <f>"3/4/2025 2:29:00 PM"</f>
        <v>3/4/2025 2:29:00 PM</v>
      </c>
      <c r="O24862" t="s">
        <v>74983</v>
      </c>
      <c r="T24862" t="s">
        <v>74984</v>
      </c>
    </row>
    <row r="24863" spans="1:20" x14ac:dyDescent="0.25">
      <c r="A24863" t="str">
        <f>"3041942"</f>
        <v>3041942</v>
      </c>
      <c r="B24863" t="s">
        <v>74986</v>
      </c>
      <c r="C24863" t="str">
        <f>"8300203"</f>
        <v>8300203</v>
      </c>
      <c r="D24863" t="s">
        <v>74983</v>
      </c>
      <c r="E24863" t="s">
        <v>74984</v>
      </c>
      <c r="F24863" t="s">
        <v>74985</v>
      </c>
      <c r="I24863" t="s">
        <v>184</v>
      </c>
      <c r="J24863" t="s">
        <v>30</v>
      </c>
      <c r="K24863" t="s">
        <v>185</v>
      </c>
      <c r="M24863" t="s">
        <v>50621</v>
      </c>
      <c r="N24863" t="str">
        <f>"3/4/2025 2:29:00 PM"</f>
        <v>3/4/2025 2:29:00 PM</v>
      </c>
      <c r="O24863" t="s">
        <v>74983</v>
      </c>
      <c r="T24863" t="s">
        <v>74984</v>
      </c>
    </row>
    <row r="24864" spans="1:20" x14ac:dyDescent="0.25">
      <c r="A24864" t="str">
        <f>"3040666"</f>
        <v>3040666</v>
      </c>
      <c r="B24864" t="s">
        <v>74987</v>
      </c>
      <c r="C24864" t="str">
        <f>"8300203"</f>
        <v>8300203</v>
      </c>
      <c r="D24864" t="s">
        <v>74983</v>
      </c>
      <c r="E24864" t="s">
        <v>74984</v>
      </c>
      <c r="F24864" t="s">
        <v>74985</v>
      </c>
      <c r="I24864" t="s">
        <v>184</v>
      </c>
      <c r="J24864" t="s">
        <v>30</v>
      </c>
      <c r="K24864" t="s">
        <v>185</v>
      </c>
      <c r="M24864" t="s">
        <v>50621</v>
      </c>
      <c r="N24864" t="str">
        <f>"3/4/2025 2:29:00 PM"</f>
        <v>3/4/2025 2:29:00 PM</v>
      </c>
      <c r="O24864" t="s">
        <v>74983</v>
      </c>
      <c r="T24864" t="s">
        <v>74984</v>
      </c>
    </row>
    <row r="24865" spans="1:20" x14ac:dyDescent="0.25">
      <c r="A24865" t="str">
        <f>"3070970"</f>
        <v>3070970</v>
      </c>
      <c r="B24865" t="s">
        <v>74988</v>
      </c>
      <c r="C24865" t="str">
        <f>"82515900"</f>
        <v>82515900</v>
      </c>
      <c r="D24865" t="s">
        <v>74989</v>
      </c>
      <c r="F24865" t="s">
        <v>74990</v>
      </c>
      <c r="I24865" t="s">
        <v>29</v>
      </c>
      <c r="J24865" t="s">
        <v>30</v>
      </c>
      <c r="K24865" t="s">
        <v>42723</v>
      </c>
      <c r="M24865" t="s">
        <v>25625</v>
      </c>
      <c r="N24865" t="str">
        <f>"3/4/2025 2:25:00 PM"</f>
        <v>3/4/2025 2:25:00 PM</v>
      </c>
      <c r="O24865" t="s">
        <v>74989</v>
      </c>
    </row>
    <row r="24866" spans="1:20" x14ac:dyDescent="0.25">
      <c r="A24866" t="str">
        <f>"3039262"</f>
        <v>3039262</v>
      </c>
      <c r="B24866" t="s">
        <v>74991</v>
      </c>
      <c r="C24866" t="str">
        <f>"6498620"</f>
        <v>6498620</v>
      </c>
      <c r="D24866" t="s">
        <v>74992</v>
      </c>
      <c r="F24866" t="s">
        <v>74993</v>
      </c>
      <c r="G24866" t="s">
        <v>74994</v>
      </c>
      <c r="I24866" t="s">
        <v>29</v>
      </c>
      <c r="J24866" t="s">
        <v>30</v>
      </c>
      <c r="K24866" t="s">
        <v>74995</v>
      </c>
      <c r="M24866" t="s">
        <v>50621</v>
      </c>
      <c r="N24866" t="str">
        <f>"3/5/2025 11:00:00 AM"</f>
        <v>3/5/2025 11:00:00 AM</v>
      </c>
      <c r="O24866" t="s">
        <v>74992</v>
      </c>
    </row>
    <row r="24867" spans="1:20" x14ac:dyDescent="0.25">
      <c r="A24867" t="str">
        <f>"3039144"</f>
        <v>3039144</v>
      </c>
      <c r="B24867" t="s">
        <v>74996</v>
      </c>
      <c r="C24867" t="str">
        <f>"82522411"</f>
        <v>82522411</v>
      </c>
      <c r="D24867" t="s">
        <v>74997</v>
      </c>
      <c r="F24867" t="s">
        <v>74998</v>
      </c>
      <c r="I24867" t="s">
        <v>29</v>
      </c>
      <c r="J24867" t="s">
        <v>30</v>
      </c>
      <c r="K24867" t="s">
        <v>436</v>
      </c>
      <c r="M24867" t="s">
        <v>50621</v>
      </c>
      <c r="N24867" t="str">
        <f>"3/5/2025 11:17:00 AM"</f>
        <v>3/5/2025 11:17:00 AM</v>
      </c>
      <c r="O24867" t="s">
        <v>74997</v>
      </c>
    </row>
    <row r="24868" spans="1:20" x14ac:dyDescent="0.25">
      <c r="A24868" t="str">
        <f>"3062175"</f>
        <v>3062175</v>
      </c>
      <c r="B24868" t="s">
        <v>74999</v>
      </c>
      <c r="C24868" t="str">
        <f>"8323067"</f>
        <v>8323067</v>
      </c>
      <c r="D24868" t="s">
        <v>75000</v>
      </c>
      <c r="F24868" t="s">
        <v>75001</v>
      </c>
      <c r="I24868" t="s">
        <v>184</v>
      </c>
      <c r="J24868" t="s">
        <v>30</v>
      </c>
      <c r="K24868" t="str">
        <f>"27006"</f>
        <v>27006</v>
      </c>
      <c r="M24868" t="s">
        <v>18470</v>
      </c>
      <c r="N24868" t="str">
        <f>"3/4/2025 1:03:00 PM"</f>
        <v>3/4/2025 1:03:00 PM</v>
      </c>
      <c r="O24868" t="s">
        <v>75000</v>
      </c>
    </row>
    <row r="24869" spans="1:20" x14ac:dyDescent="0.25">
      <c r="A24869" t="str">
        <f>"3039685"</f>
        <v>3039685</v>
      </c>
      <c r="B24869" t="s">
        <v>75002</v>
      </c>
      <c r="C24869" t="str">
        <f>"82525935"</f>
        <v>82525935</v>
      </c>
      <c r="D24869" t="s">
        <v>75003</v>
      </c>
      <c r="E24869" t="s">
        <v>75004</v>
      </c>
      <c r="F24869" t="s">
        <v>1796</v>
      </c>
      <c r="I24869" t="s">
        <v>184</v>
      </c>
      <c r="J24869" t="s">
        <v>30</v>
      </c>
      <c r="K24869" t="s">
        <v>185</v>
      </c>
      <c r="M24869" t="s">
        <v>50793</v>
      </c>
      <c r="N24869" t="str">
        <f>"3/5/2025 1:11:00 PM"</f>
        <v>3/5/2025 1:11:00 PM</v>
      </c>
      <c r="O24869" t="s">
        <v>75003</v>
      </c>
      <c r="T24869" t="s">
        <v>75004</v>
      </c>
    </row>
    <row r="24870" spans="1:20" x14ac:dyDescent="0.25">
      <c r="A24870" t="str">
        <f>"3039543"</f>
        <v>3039543</v>
      </c>
      <c r="B24870" t="s">
        <v>75005</v>
      </c>
      <c r="C24870" t="str">
        <f>"26012000"</f>
        <v>26012000</v>
      </c>
      <c r="D24870" t="s">
        <v>75006</v>
      </c>
      <c r="E24870" t="str">
        <f>"C/O EDNA GOSNELL"</f>
        <v>C/O EDNA GOSNELL</v>
      </c>
      <c r="F24870" t="s">
        <v>75007</v>
      </c>
      <c r="I24870" t="s">
        <v>184</v>
      </c>
      <c r="J24870" t="s">
        <v>30</v>
      </c>
      <c r="K24870" t="str">
        <f>"27006"</f>
        <v>27006</v>
      </c>
      <c r="M24870" t="s">
        <v>50793</v>
      </c>
      <c r="N24870" t="str">
        <f>"3/5/2025 1:38:00 PM"</f>
        <v>3/5/2025 1:38:00 PM</v>
      </c>
      <c r="O24870" t="s">
        <v>75006</v>
      </c>
      <c r="T24870" t="str">
        <f>"C/O EDNA GOSNELL"</f>
        <v>C/O EDNA GOSNELL</v>
      </c>
    </row>
    <row r="24871" spans="1:20" x14ac:dyDescent="0.25">
      <c r="A24871" t="str">
        <f>"3057737"</f>
        <v>3057737</v>
      </c>
      <c r="B24871" t="s">
        <v>75008</v>
      </c>
      <c r="C24871" t="str">
        <f>"82531540"</f>
        <v>82531540</v>
      </c>
      <c r="D24871" t="s">
        <v>75009</v>
      </c>
      <c r="F24871" t="s">
        <v>75010</v>
      </c>
      <c r="I24871" t="s">
        <v>29</v>
      </c>
      <c r="J24871" t="s">
        <v>30</v>
      </c>
      <c r="K24871" t="s">
        <v>31</v>
      </c>
      <c r="M24871" t="s">
        <v>50793</v>
      </c>
      <c r="N24871" t="str">
        <f>"3/5/2025 1:41:00 PM"</f>
        <v>3/5/2025 1:41:00 PM</v>
      </c>
      <c r="O24871" t="s">
        <v>75009</v>
      </c>
    </row>
    <row r="24872" spans="1:20" x14ac:dyDescent="0.25">
      <c r="A24872" t="str">
        <f>"3054847"</f>
        <v>3054847</v>
      </c>
      <c r="B24872" t="s">
        <v>75011</v>
      </c>
      <c r="C24872" t="str">
        <f>"26736450"</f>
        <v>26736450</v>
      </c>
      <c r="D24872" t="s">
        <v>75012</v>
      </c>
      <c r="F24872" t="s">
        <v>75013</v>
      </c>
      <c r="I24872" t="s">
        <v>29</v>
      </c>
      <c r="J24872" t="s">
        <v>30</v>
      </c>
      <c r="K24872" t="s">
        <v>31</v>
      </c>
      <c r="M24872" t="s">
        <v>50793</v>
      </c>
      <c r="N24872" t="str">
        <f>"3/5/2025 1:49:00 PM"</f>
        <v>3/5/2025 1:49:00 PM</v>
      </c>
      <c r="O24872" t="s">
        <v>75012</v>
      </c>
    </row>
    <row r="24873" spans="1:20" x14ac:dyDescent="0.25">
      <c r="A24873" t="str">
        <f>"3046271"</f>
        <v>3046271</v>
      </c>
      <c r="B24873" t="s">
        <v>75014</v>
      </c>
      <c r="C24873" t="str">
        <f>"26676000"</f>
        <v>26676000</v>
      </c>
      <c r="D24873" t="s">
        <v>75015</v>
      </c>
      <c r="F24873" t="s">
        <v>75016</v>
      </c>
      <c r="I24873" t="s">
        <v>29</v>
      </c>
      <c r="J24873" t="s">
        <v>30</v>
      </c>
      <c r="K24873" t="s">
        <v>31</v>
      </c>
      <c r="M24873" t="s">
        <v>50793</v>
      </c>
      <c r="N24873" t="str">
        <f>"3/5/2025 1:51:00 PM"</f>
        <v>3/5/2025 1:51:00 PM</v>
      </c>
      <c r="O24873" t="s">
        <v>75015</v>
      </c>
    </row>
    <row r="24874" spans="1:20" x14ac:dyDescent="0.25">
      <c r="A24874" t="str">
        <f>"3048472"</f>
        <v>3048472</v>
      </c>
      <c r="B24874" t="s">
        <v>75017</v>
      </c>
      <c r="C24874" t="str">
        <f>"8315739"</f>
        <v>8315739</v>
      </c>
      <c r="D24874" t="s">
        <v>75018</v>
      </c>
      <c r="F24874" t="s">
        <v>75019</v>
      </c>
      <c r="I24874" t="s">
        <v>402</v>
      </c>
      <c r="J24874" t="s">
        <v>30</v>
      </c>
      <c r="K24874" t="s">
        <v>75020</v>
      </c>
      <c r="M24874" t="s">
        <v>50793</v>
      </c>
      <c r="N24874" t="str">
        <f>"3/5/2025 2:02:00 PM"</f>
        <v>3/5/2025 2:02:00 PM</v>
      </c>
      <c r="O24874" t="s">
        <v>75018</v>
      </c>
    </row>
    <row r="24875" spans="1:20" x14ac:dyDescent="0.25">
      <c r="A24875" t="str">
        <f>"3040635"</f>
        <v>3040635</v>
      </c>
      <c r="B24875" t="s">
        <v>75021</v>
      </c>
      <c r="C24875" t="str">
        <f>"8300172"</f>
        <v>8300172</v>
      </c>
      <c r="D24875" t="s">
        <v>75022</v>
      </c>
      <c r="E24875" t="s">
        <v>75023</v>
      </c>
      <c r="F24875" t="s">
        <v>75024</v>
      </c>
      <c r="I24875" t="s">
        <v>184</v>
      </c>
      <c r="J24875" t="s">
        <v>30</v>
      </c>
      <c r="K24875" t="s">
        <v>185</v>
      </c>
      <c r="M24875" t="s">
        <v>50621</v>
      </c>
      <c r="N24875" t="str">
        <f>"3/4/2025 1:02:00 PM"</f>
        <v>3/4/2025 1:02:00 PM</v>
      </c>
      <c r="O24875" t="s">
        <v>75022</v>
      </c>
      <c r="T24875" t="s">
        <v>75023</v>
      </c>
    </row>
    <row r="24876" spans="1:20" x14ac:dyDescent="0.25">
      <c r="A24876" t="str">
        <f>"3040792"</f>
        <v>3040792</v>
      </c>
      <c r="B24876" t="s">
        <v>75025</v>
      </c>
      <c r="C24876" t="str">
        <f>"8300172"</f>
        <v>8300172</v>
      </c>
      <c r="D24876" t="s">
        <v>75022</v>
      </c>
      <c r="E24876" t="s">
        <v>75023</v>
      </c>
      <c r="F24876" t="s">
        <v>75024</v>
      </c>
      <c r="I24876" t="s">
        <v>184</v>
      </c>
      <c r="J24876" t="s">
        <v>30</v>
      </c>
      <c r="K24876" t="s">
        <v>185</v>
      </c>
      <c r="M24876" t="s">
        <v>50621</v>
      </c>
      <c r="N24876" t="str">
        <f>"3/4/2025 1:02:00 PM"</f>
        <v>3/4/2025 1:02:00 PM</v>
      </c>
      <c r="O24876" t="s">
        <v>75022</v>
      </c>
      <c r="T24876" t="s">
        <v>75023</v>
      </c>
    </row>
    <row r="24877" spans="1:20" x14ac:dyDescent="0.25">
      <c r="A24877" t="str">
        <f>"3051834"</f>
        <v>3051834</v>
      </c>
      <c r="B24877" t="s">
        <v>75026</v>
      </c>
      <c r="C24877" t="str">
        <f>"8319670"</f>
        <v>8319670</v>
      </c>
      <c r="D24877" t="s">
        <v>75027</v>
      </c>
      <c r="E24877" t="s">
        <v>75028</v>
      </c>
      <c r="F24877" t="s">
        <v>75029</v>
      </c>
      <c r="I24877" t="s">
        <v>29</v>
      </c>
      <c r="J24877" t="s">
        <v>30</v>
      </c>
      <c r="K24877" t="str">
        <f>"27028"</f>
        <v>27028</v>
      </c>
      <c r="M24877" t="s">
        <v>50621</v>
      </c>
      <c r="N24877" t="str">
        <f>"3/4/2025 1:00:00 PM"</f>
        <v>3/4/2025 1:00:00 PM</v>
      </c>
      <c r="O24877" t="s">
        <v>75027</v>
      </c>
      <c r="T24877" t="s">
        <v>75028</v>
      </c>
    </row>
    <row r="24878" spans="1:20" x14ac:dyDescent="0.25">
      <c r="A24878" t="str">
        <f>"3038150"</f>
        <v>3038150</v>
      </c>
      <c r="B24878" t="s">
        <v>75030</v>
      </c>
      <c r="C24878" t="str">
        <f>"8309392"</f>
        <v>8309392</v>
      </c>
      <c r="D24878" t="s">
        <v>75031</v>
      </c>
      <c r="F24878" t="s">
        <v>75032</v>
      </c>
      <c r="I24878" t="s">
        <v>29</v>
      </c>
      <c r="J24878" t="s">
        <v>30</v>
      </c>
      <c r="K24878" t="s">
        <v>1056</v>
      </c>
      <c r="M24878" t="s">
        <v>50621</v>
      </c>
      <c r="N24878" t="str">
        <f>"3/4/2025 12:12:00 PM"</f>
        <v>3/4/2025 12:12:00 PM</v>
      </c>
      <c r="O24878" t="s">
        <v>75031</v>
      </c>
    </row>
    <row r="24879" spans="1:20" x14ac:dyDescent="0.25">
      <c r="A24879" t="str">
        <f>"3038252"</f>
        <v>3038252</v>
      </c>
      <c r="B24879" t="s">
        <v>75033</v>
      </c>
      <c r="C24879" t="str">
        <f>"7516000"</f>
        <v>7516000</v>
      </c>
      <c r="D24879" t="s">
        <v>75034</v>
      </c>
      <c r="E24879" t="s">
        <v>75035</v>
      </c>
      <c r="F24879" t="s">
        <v>75036</v>
      </c>
      <c r="I24879" t="s">
        <v>29</v>
      </c>
      <c r="J24879" t="s">
        <v>30</v>
      </c>
      <c r="K24879" t="s">
        <v>48011</v>
      </c>
      <c r="M24879" t="s">
        <v>50621</v>
      </c>
      <c r="N24879" t="str">
        <f>"3/5/2025 2:26:00 PM"</f>
        <v>3/5/2025 2:26:00 PM</v>
      </c>
      <c r="O24879" t="s">
        <v>75034</v>
      </c>
      <c r="T24879" t="s">
        <v>75035</v>
      </c>
    </row>
    <row r="24880" spans="1:20" x14ac:dyDescent="0.25">
      <c r="A24880" t="str">
        <f>"3077677"</f>
        <v>3077677</v>
      </c>
      <c r="B24880" t="s">
        <v>75037</v>
      </c>
      <c r="C24880" t="str">
        <f>"7516000"</f>
        <v>7516000</v>
      </c>
      <c r="D24880" t="s">
        <v>75034</v>
      </c>
      <c r="E24880" t="s">
        <v>75035</v>
      </c>
      <c r="F24880" t="s">
        <v>75036</v>
      </c>
      <c r="I24880" t="s">
        <v>29</v>
      </c>
      <c r="J24880" t="s">
        <v>30</v>
      </c>
      <c r="K24880" t="s">
        <v>48011</v>
      </c>
      <c r="M24880" t="s">
        <v>50621</v>
      </c>
      <c r="N24880" t="str">
        <f>"3/5/2025 2:26:00 PM"</f>
        <v>3/5/2025 2:26:00 PM</v>
      </c>
      <c r="O24880" t="s">
        <v>75034</v>
      </c>
      <c r="T24880" t="s">
        <v>75035</v>
      </c>
    </row>
    <row r="24881" spans="1:20" x14ac:dyDescent="0.25">
      <c r="A24881" t="str">
        <f>"3077675"</f>
        <v>3077675</v>
      </c>
      <c r="B24881" t="s">
        <v>75038</v>
      </c>
      <c r="C24881" t="str">
        <f>"7516000"</f>
        <v>7516000</v>
      </c>
      <c r="D24881" t="s">
        <v>75034</v>
      </c>
      <c r="E24881" t="s">
        <v>75035</v>
      </c>
      <c r="F24881" t="s">
        <v>75036</v>
      </c>
      <c r="I24881" t="s">
        <v>29</v>
      </c>
      <c r="J24881" t="s">
        <v>30</v>
      </c>
      <c r="K24881" t="s">
        <v>48011</v>
      </c>
      <c r="M24881" t="s">
        <v>50621</v>
      </c>
      <c r="N24881" t="str">
        <f>"3/5/2025 2:26:00 PM"</f>
        <v>3/5/2025 2:26:00 PM</v>
      </c>
      <c r="O24881" t="s">
        <v>75034</v>
      </c>
      <c r="T24881" t="s">
        <v>75035</v>
      </c>
    </row>
    <row r="24882" spans="1:20" x14ac:dyDescent="0.25">
      <c r="A24882" t="str">
        <f>"3055582"</f>
        <v>3055582</v>
      </c>
      <c r="B24882" t="s">
        <v>75039</v>
      </c>
      <c r="C24882" t="str">
        <f>"8306100"</f>
        <v>8306100</v>
      </c>
      <c r="D24882" t="s">
        <v>75040</v>
      </c>
      <c r="F24882" t="s">
        <v>75041</v>
      </c>
      <c r="I24882" t="s">
        <v>29</v>
      </c>
      <c r="J24882" t="s">
        <v>30</v>
      </c>
      <c r="K24882" t="str">
        <f>"27028"</f>
        <v>27028</v>
      </c>
      <c r="M24882" t="s">
        <v>50621</v>
      </c>
      <c r="N24882" t="str">
        <f>"3/4/2025 12:02:00 PM"</f>
        <v>3/4/2025 12:02:00 PM</v>
      </c>
      <c r="O24882" t="s">
        <v>75040</v>
      </c>
    </row>
    <row r="24883" spans="1:20" x14ac:dyDescent="0.25">
      <c r="A24883" t="str">
        <f>"3051917"</f>
        <v>3051917</v>
      </c>
      <c r="B24883" t="s">
        <v>75042</v>
      </c>
      <c r="C24883" t="str">
        <f>"8308365"</f>
        <v>8308365</v>
      </c>
      <c r="D24883" t="s">
        <v>75043</v>
      </c>
      <c r="E24883" t="s">
        <v>75044</v>
      </c>
      <c r="F24883" t="s">
        <v>75045</v>
      </c>
      <c r="I24883" t="s">
        <v>29</v>
      </c>
      <c r="J24883" t="s">
        <v>30</v>
      </c>
      <c r="K24883" t="str">
        <f>"27028"</f>
        <v>27028</v>
      </c>
      <c r="M24883" t="s">
        <v>50793</v>
      </c>
      <c r="N24883" t="str">
        <f>"3/4/2025 11:53:00 AM"</f>
        <v>3/4/2025 11:53:00 AM</v>
      </c>
      <c r="O24883" t="s">
        <v>75043</v>
      </c>
      <c r="T24883" t="s">
        <v>75044</v>
      </c>
    </row>
    <row r="24884" spans="1:20" x14ac:dyDescent="0.25">
      <c r="A24884" t="str">
        <f>"3072502"</f>
        <v>3072502</v>
      </c>
      <c r="B24884" t="s">
        <v>75046</v>
      </c>
      <c r="C24884" t="str">
        <f>"8315379"</f>
        <v>8315379</v>
      </c>
      <c r="D24884" t="s">
        <v>75047</v>
      </c>
      <c r="F24884" t="s">
        <v>75048</v>
      </c>
      <c r="I24884" t="s">
        <v>75049</v>
      </c>
      <c r="J24884" t="s">
        <v>30</v>
      </c>
      <c r="K24884" t="s">
        <v>75050</v>
      </c>
      <c r="M24884" t="s">
        <v>50621</v>
      </c>
      <c r="N24884" t="str">
        <f>"3/5/2025 2:51:00 PM"</f>
        <v>3/5/2025 2:51:00 PM</v>
      </c>
      <c r="O24884" t="s">
        <v>75047</v>
      </c>
    </row>
    <row r="24885" spans="1:20" x14ac:dyDescent="0.25">
      <c r="A24885" t="str">
        <f>"3040712"</f>
        <v>3040712</v>
      </c>
      <c r="B24885" t="s">
        <v>75051</v>
      </c>
      <c r="C24885" t="str">
        <f>"82516548"</f>
        <v>82516548</v>
      </c>
      <c r="D24885" t="s">
        <v>75052</v>
      </c>
      <c r="F24885" t="s">
        <v>75053</v>
      </c>
      <c r="I24885" t="s">
        <v>24359</v>
      </c>
      <c r="J24885" t="s">
        <v>30</v>
      </c>
      <c r="K24885" t="str">
        <f>"27006"</f>
        <v>27006</v>
      </c>
      <c r="M24885" t="s">
        <v>50621</v>
      </c>
      <c r="N24885" t="str">
        <f>"3/6/2025 8:59:00 AM"</f>
        <v>3/6/2025 8:59:00 AM</v>
      </c>
      <c r="O24885" t="s">
        <v>75052</v>
      </c>
    </row>
    <row r="24886" spans="1:20" x14ac:dyDescent="0.25">
      <c r="A24886" t="str">
        <f>"3041751"</f>
        <v>3041751</v>
      </c>
      <c r="B24886" t="s">
        <v>75054</v>
      </c>
      <c r="C24886" t="str">
        <f>"8316588"</f>
        <v>8316588</v>
      </c>
      <c r="D24886" t="s">
        <v>75055</v>
      </c>
      <c r="F24886" t="s">
        <v>75056</v>
      </c>
      <c r="I24886" t="s">
        <v>2071</v>
      </c>
      <c r="J24886" t="s">
        <v>30</v>
      </c>
      <c r="K24886" t="s">
        <v>3973</v>
      </c>
      <c r="M24886" t="s">
        <v>50793</v>
      </c>
      <c r="N24886" t="str">
        <f>"3/4/2025 11:32:00 AM"</f>
        <v>3/4/2025 11:32:00 AM</v>
      </c>
      <c r="O24886" t="s">
        <v>75055</v>
      </c>
    </row>
    <row r="24887" spans="1:20" x14ac:dyDescent="0.25">
      <c r="A24887" t="str">
        <f>"3043124"</f>
        <v>3043124</v>
      </c>
      <c r="B24887" t="s">
        <v>75057</v>
      </c>
      <c r="C24887" t="str">
        <f>"8302850"</f>
        <v>8302850</v>
      </c>
      <c r="D24887" t="s">
        <v>75058</v>
      </c>
      <c r="F24887" t="s">
        <v>75059</v>
      </c>
      <c r="I24887" t="s">
        <v>1149</v>
      </c>
      <c r="J24887" t="s">
        <v>30</v>
      </c>
      <c r="K24887" t="str">
        <f>"28634"</f>
        <v>28634</v>
      </c>
      <c r="M24887" t="s">
        <v>50621</v>
      </c>
      <c r="N24887" t="str">
        <f>"3/6/2025 9:38:00 AM"</f>
        <v>3/6/2025 9:38:00 AM</v>
      </c>
      <c r="O24887" t="s">
        <v>75058</v>
      </c>
    </row>
    <row r="24888" spans="1:20" x14ac:dyDescent="0.25">
      <c r="A24888" t="str">
        <f>"3039696"</f>
        <v>3039696</v>
      </c>
      <c r="B24888" t="s">
        <v>75060</v>
      </c>
      <c r="C24888" t="str">
        <f>"8316955"</f>
        <v>8316955</v>
      </c>
      <c r="D24888" t="s">
        <v>75061</v>
      </c>
      <c r="E24888" t="s">
        <v>75062</v>
      </c>
      <c r="F24888" t="s">
        <v>75063</v>
      </c>
      <c r="I24888" t="s">
        <v>29</v>
      </c>
      <c r="J24888" t="s">
        <v>30</v>
      </c>
      <c r="K24888" t="s">
        <v>65939</v>
      </c>
      <c r="M24888" t="s">
        <v>50793</v>
      </c>
      <c r="N24888" t="str">
        <f>"3/4/2025 11:27:00 AM"</f>
        <v>3/4/2025 11:27:00 AM</v>
      </c>
      <c r="O24888" t="s">
        <v>75061</v>
      </c>
      <c r="T24888" t="s">
        <v>75062</v>
      </c>
    </row>
    <row r="24889" spans="1:20" x14ac:dyDescent="0.25">
      <c r="A24889" t="str">
        <f>"3065019"</f>
        <v>3065019</v>
      </c>
      <c r="B24889" t="s">
        <v>75064</v>
      </c>
      <c r="C24889" t="str">
        <f>"8311615"</f>
        <v>8311615</v>
      </c>
      <c r="D24889" t="s">
        <v>75065</v>
      </c>
      <c r="E24889" t="s">
        <v>75066</v>
      </c>
      <c r="F24889" t="s">
        <v>75067</v>
      </c>
      <c r="I24889" t="s">
        <v>184</v>
      </c>
      <c r="J24889" t="s">
        <v>30</v>
      </c>
      <c r="K24889" t="s">
        <v>24417</v>
      </c>
      <c r="M24889" t="s">
        <v>50793</v>
      </c>
      <c r="N24889" t="str">
        <f>"3/4/2025 11:25:00 AM"</f>
        <v>3/4/2025 11:25:00 AM</v>
      </c>
      <c r="O24889" t="s">
        <v>75065</v>
      </c>
      <c r="T24889" t="s">
        <v>75066</v>
      </c>
    </row>
    <row r="24890" spans="1:20" x14ac:dyDescent="0.25">
      <c r="A24890" t="str">
        <f>"3052020"</f>
        <v>3052020</v>
      </c>
      <c r="B24890" t="s">
        <v>75068</v>
      </c>
      <c r="C24890" t="str">
        <f>"8306777"</f>
        <v>8306777</v>
      </c>
      <c r="D24890" t="s">
        <v>75069</v>
      </c>
      <c r="F24890" t="s">
        <v>75070</v>
      </c>
      <c r="I24890" t="s">
        <v>20610</v>
      </c>
      <c r="J24890" t="s">
        <v>30</v>
      </c>
      <c r="K24890" t="s">
        <v>75071</v>
      </c>
      <c r="M24890" t="s">
        <v>50621</v>
      </c>
      <c r="N24890" t="str">
        <f>"3/6/2025 11:18:00 AM"</f>
        <v>3/6/2025 11:18:00 AM</v>
      </c>
      <c r="O24890" t="s">
        <v>75069</v>
      </c>
    </row>
    <row r="24891" spans="1:20" x14ac:dyDescent="0.25">
      <c r="A24891" t="str">
        <f>"3040252"</f>
        <v>3040252</v>
      </c>
      <c r="B24891" t="s">
        <v>75072</v>
      </c>
      <c r="C24891" t="str">
        <f>"82524960"</f>
        <v>82524960</v>
      </c>
      <c r="D24891" t="s">
        <v>75073</v>
      </c>
      <c r="F24891" t="s">
        <v>64399</v>
      </c>
      <c r="I24891" t="s">
        <v>75074</v>
      </c>
      <c r="J24891" t="s">
        <v>11994</v>
      </c>
      <c r="K24891" t="str">
        <f>"20902"</f>
        <v>20902</v>
      </c>
      <c r="M24891" t="s">
        <v>50621</v>
      </c>
      <c r="N24891" t="str">
        <f>"3/4/2025 11:23:00 AM"</f>
        <v>3/4/2025 11:23:00 AM</v>
      </c>
      <c r="O24891" t="s">
        <v>75073</v>
      </c>
    </row>
    <row r="24892" spans="1:20" x14ac:dyDescent="0.25">
      <c r="A24892" t="str">
        <f>"3043284"</f>
        <v>3043284</v>
      </c>
      <c r="B24892" t="s">
        <v>75075</v>
      </c>
      <c r="C24892" t="str">
        <f>"8321600"</f>
        <v>8321600</v>
      </c>
      <c r="D24892" t="s">
        <v>75076</v>
      </c>
      <c r="F24892" t="s">
        <v>75077</v>
      </c>
      <c r="I24892" t="s">
        <v>471</v>
      </c>
      <c r="J24892" t="s">
        <v>30</v>
      </c>
      <c r="K24892" t="s">
        <v>75078</v>
      </c>
      <c r="M24892" t="s">
        <v>50621</v>
      </c>
      <c r="N24892" t="str">
        <f>"3/4/2025 11:18:00 AM"</f>
        <v>3/4/2025 11:18:00 AM</v>
      </c>
      <c r="O24892" t="s">
        <v>75076</v>
      </c>
    </row>
    <row r="24893" spans="1:20" x14ac:dyDescent="0.25">
      <c r="A24893" t="str">
        <f>"3048964"</f>
        <v>3048964</v>
      </c>
      <c r="B24893" t="s">
        <v>75079</v>
      </c>
      <c r="C24893" t="str">
        <f>"55238300"</f>
        <v>55238300</v>
      </c>
      <c r="D24893" t="s">
        <v>75080</v>
      </c>
      <c r="E24893" t="s">
        <v>75081</v>
      </c>
      <c r="F24893" t="s">
        <v>51173</v>
      </c>
      <c r="I24893" t="s">
        <v>471</v>
      </c>
      <c r="J24893" t="s">
        <v>30</v>
      </c>
      <c r="K24893" t="s">
        <v>51174</v>
      </c>
      <c r="M24893" t="s">
        <v>50793</v>
      </c>
      <c r="N24893" t="str">
        <f>"3/4/2025 11:10:00 AM"</f>
        <v>3/4/2025 11:10:00 AM</v>
      </c>
      <c r="O24893" t="s">
        <v>75080</v>
      </c>
      <c r="T24893" t="s">
        <v>75081</v>
      </c>
    </row>
    <row r="24894" spans="1:20" x14ac:dyDescent="0.25">
      <c r="A24894" t="str">
        <f>"3048227"</f>
        <v>3048227</v>
      </c>
      <c r="B24894" t="s">
        <v>75082</v>
      </c>
      <c r="C24894" t="str">
        <f>"8303109"</f>
        <v>8303109</v>
      </c>
      <c r="D24894" t="s">
        <v>75083</v>
      </c>
      <c r="F24894" t="s">
        <v>75084</v>
      </c>
      <c r="I24894" t="s">
        <v>29</v>
      </c>
      <c r="J24894" t="s">
        <v>30</v>
      </c>
      <c r="K24894" t="str">
        <f>"27028"</f>
        <v>27028</v>
      </c>
      <c r="M24894" t="s">
        <v>50621</v>
      </c>
      <c r="N24894" t="str">
        <f>"3/6/2025 11:24:00 AM"</f>
        <v>3/6/2025 11:24:00 AM</v>
      </c>
      <c r="O24894" t="s">
        <v>75083</v>
      </c>
    </row>
    <row r="24895" spans="1:20" x14ac:dyDescent="0.25">
      <c r="A24895" t="str">
        <f>"3045561"</f>
        <v>3045561</v>
      </c>
      <c r="B24895" t="s">
        <v>75085</v>
      </c>
      <c r="C24895" t="str">
        <f>"8313277"</f>
        <v>8313277</v>
      </c>
      <c r="D24895" t="s">
        <v>75086</v>
      </c>
      <c r="E24895" t="s">
        <v>75087</v>
      </c>
      <c r="F24895" t="s">
        <v>75088</v>
      </c>
      <c r="I24895" t="s">
        <v>29</v>
      </c>
      <c r="J24895" t="s">
        <v>30</v>
      </c>
      <c r="K24895" t="s">
        <v>9626</v>
      </c>
      <c r="M24895" t="s">
        <v>50621</v>
      </c>
      <c r="N24895" t="str">
        <f>"3/6/2025 11:25:00 AM"</f>
        <v>3/6/2025 11:25:00 AM</v>
      </c>
      <c r="O24895" t="s">
        <v>75086</v>
      </c>
      <c r="T24895" t="s">
        <v>75087</v>
      </c>
    </row>
    <row r="24896" spans="1:20" x14ac:dyDescent="0.25">
      <c r="A24896" t="str">
        <f>"3040608"</f>
        <v>3040608</v>
      </c>
      <c r="B24896" t="s">
        <v>75089</v>
      </c>
      <c r="C24896" t="str">
        <f>"8315945"</f>
        <v>8315945</v>
      </c>
      <c r="D24896" t="s">
        <v>75090</v>
      </c>
      <c r="F24896" t="s">
        <v>72314</v>
      </c>
      <c r="G24896" t="s">
        <v>75091</v>
      </c>
      <c r="I24896" t="s">
        <v>72316</v>
      </c>
      <c r="J24896" t="s">
        <v>17511</v>
      </c>
      <c r="K24896" t="s">
        <v>72317</v>
      </c>
      <c r="M24896" t="s">
        <v>50500</v>
      </c>
      <c r="N24896" t="str">
        <f>"3/6/2025 11:27:00 AM"</f>
        <v>3/6/2025 11:27:00 AM</v>
      </c>
      <c r="O24896" t="s">
        <v>75090</v>
      </c>
    </row>
    <row r="24897" spans="1:20" x14ac:dyDescent="0.25">
      <c r="A24897" t="str">
        <f>"3052961"</f>
        <v>3052961</v>
      </c>
      <c r="B24897" t="s">
        <v>75092</v>
      </c>
      <c r="C24897" t="str">
        <f>"8315945"</f>
        <v>8315945</v>
      </c>
      <c r="D24897" t="s">
        <v>75090</v>
      </c>
      <c r="F24897" t="s">
        <v>72314</v>
      </c>
      <c r="G24897" t="s">
        <v>75091</v>
      </c>
      <c r="I24897" t="s">
        <v>72316</v>
      </c>
      <c r="J24897" t="s">
        <v>17511</v>
      </c>
      <c r="K24897" t="s">
        <v>72317</v>
      </c>
      <c r="M24897" t="s">
        <v>50500</v>
      </c>
      <c r="N24897" t="str">
        <f>"3/6/2025 11:27:00 AM"</f>
        <v>3/6/2025 11:27:00 AM</v>
      </c>
      <c r="O24897" t="s">
        <v>75090</v>
      </c>
    </row>
    <row r="24898" spans="1:20" x14ac:dyDescent="0.25">
      <c r="A24898" t="str">
        <f>"3062405"</f>
        <v>3062405</v>
      </c>
      <c r="B24898" t="s">
        <v>75093</v>
      </c>
      <c r="C24898" t="str">
        <f>"8315945"</f>
        <v>8315945</v>
      </c>
      <c r="D24898" t="s">
        <v>75090</v>
      </c>
      <c r="F24898" t="s">
        <v>72314</v>
      </c>
      <c r="G24898" t="s">
        <v>75091</v>
      </c>
      <c r="I24898" t="s">
        <v>72316</v>
      </c>
      <c r="J24898" t="s">
        <v>17511</v>
      </c>
      <c r="K24898" t="s">
        <v>72317</v>
      </c>
      <c r="M24898" t="s">
        <v>50500</v>
      </c>
      <c r="N24898" t="str">
        <f>"3/6/2025 11:27:00 AM"</f>
        <v>3/6/2025 11:27:00 AM</v>
      </c>
      <c r="O24898" t="s">
        <v>75090</v>
      </c>
    </row>
    <row r="24899" spans="1:20" x14ac:dyDescent="0.25">
      <c r="A24899" t="str">
        <f>"3062673"</f>
        <v>3062673</v>
      </c>
      <c r="B24899" t="s">
        <v>75094</v>
      </c>
      <c r="C24899" t="str">
        <f>"8315945"</f>
        <v>8315945</v>
      </c>
      <c r="D24899" t="s">
        <v>75090</v>
      </c>
      <c r="F24899" t="s">
        <v>72314</v>
      </c>
      <c r="G24899" t="s">
        <v>75091</v>
      </c>
      <c r="I24899" t="s">
        <v>72316</v>
      </c>
      <c r="J24899" t="s">
        <v>17511</v>
      </c>
      <c r="K24899" t="s">
        <v>72317</v>
      </c>
      <c r="M24899" t="s">
        <v>50500</v>
      </c>
      <c r="N24899" t="str">
        <f>"3/6/2025 11:27:00 AM"</f>
        <v>3/6/2025 11:27:00 AM</v>
      </c>
      <c r="O24899" t="s">
        <v>75090</v>
      </c>
    </row>
    <row r="24900" spans="1:20" x14ac:dyDescent="0.25">
      <c r="A24900" t="str">
        <f>"3037717"</f>
        <v>3037717</v>
      </c>
      <c r="B24900" t="s">
        <v>75095</v>
      </c>
      <c r="C24900" t="str">
        <f>"82515390"</f>
        <v>82515390</v>
      </c>
      <c r="D24900" t="s">
        <v>75096</v>
      </c>
      <c r="F24900" t="s">
        <v>75097</v>
      </c>
      <c r="I24900" t="s">
        <v>29</v>
      </c>
      <c r="J24900" t="s">
        <v>30</v>
      </c>
      <c r="K24900" t="s">
        <v>42203</v>
      </c>
      <c r="M24900" t="s">
        <v>50621</v>
      </c>
      <c r="N24900" t="str">
        <f>"3/6/2025 11:27:00 AM"</f>
        <v>3/6/2025 11:27:00 AM</v>
      </c>
      <c r="O24900" t="s">
        <v>75096</v>
      </c>
    </row>
    <row r="24901" spans="1:20" x14ac:dyDescent="0.25">
      <c r="A24901" t="str">
        <f>"3077119"</f>
        <v>3077119</v>
      </c>
      <c r="B24901" t="s">
        <v>75098</v>
      </c>
      <c r="C24901" t="str">
        <f>"8302676"</f>
        <v>8302676</v>
      </c>
      <c r="D24901" t="s">
        <v>75099</v>
      </c>
      <c r="F24901" t="s">
        <v>75100</v>
      </c>
      <c r="I24901" t="s">
        <v>184</v>
      </c>
      <c r="J24901" t="s">
        <v>30</v>
      </c>
      <c r="K24901" t="str">
        <f>"27006"</f>
        <v>27006</v>
      </c>
      <c r="M24901" t="s">
        <v>50621</v>
      </c>
      <c r="N24901" t="str">
        <f>"3/4/2025 10:37:00 AM"</f>
        <v>3/4/2025 10:37:00 AM</v>
      </c>
      <c r="O24901" t="s">
        <v>75099</v>
      </c>
    </row>
    <row r="24902" spans="1:20" x14ac:dyDescent="0.25">
      <c r="A24902" t="str">
        <f>"3059936"</f>
        <v>3059936</v>
      </c>
      <c r="B24902" t="s">
        <v>75101</v>
      </c>
      <c r="C24902" t="str">
        <f>"2989700"</f>
        <v>2989700</v>
      </c>
      <c r="D24902" t="s">
        <v>75102</v>
      </c>
      <c r="F24902" t="s">
        <v>75103</v>
      </c>
      <c r="G24902" t="s">
        <v>75104</v>
      </c>
      <c r="I24902" t="s">
        <v>29</v>
      </c>
      <c r="J24902" t="s">
        <v>30</v>
      </c>
      <c r="K24902" t="s">
        <v>31</v>
      </c>
      <c r="M24902" t="s">
        <v>50621</v>
      </c>
      <c r="N24902" t="str">
        <f>"3/6/2025 11:30:00 AM"</f>
        <v>3/6/2025 11:30:00 AM</v>
      </c>
      <c r="O24902" t="s">
        <v>75102</v>
      </c>
    </row>
    <row r="24903" spans="1:20" x14ac:dyDescent="0.25">
      <c r="A24903" t="str">
        <f>"3047696"</f>
        <v>3047696</v>
      </c>
      <c r="B24903" t="s">
        <v>75105</v>
      </c>
      <c r="C24903" t="str">
        <f>"4230000"</f>
        <v>4230000</v>
      </c>
      <c r="D24903" t="s">
        <v>75106</v>
      </c>
      <c r="F24903" t="s">
        <v>75107</v>
      </c>
      <c r="I24903" t="s">
        <v>184</v>
      </c>
      <c r="J24903" t="s">
        <v>30</v>
      </c>
      <c r="K24903" t="s">
        <v>75108</v>
      </c>
      <c r="M24903" t="s">
        <v>50621</v>
      </c>
      <c r="N24903" t="str">
        <f>"3/6/2025 11:32:00 AM"</f>
        <v>3/6/2025 11:32:00 AM</v>
      </c>
      <c r="O24903" t="s">
        <v>75106</v>
      </c>
    </row>
    <row r="24904" spans="1:20" x14ac:dyDescent="0.25">
      <c r="A24904" t="str">
        <f>"3037516"</f>
        <v>3037516</v>
      </c>
      <c r="B24904" t="s">
        <v>75109</v>
      </c>
      <c r="C24904" t="str">
        <f>"8315376"</f>
        <v>8315376</v>
      </c>
      <c r="D24904" t="s">
        <v>75110</v>
      </c>
      <c r="E24904" t="s">
        <v>75111</v>
      </c>
      <c r="F24904" t="s">
        <v>75112</v>
      </c>
      <c r="I24904" t="s">
        <v>29</v>
      </c>
      <c r="J24904" t="s">
        <v>30</v>
      </c>
      <c r="K24904" t="s">
        <v>46532</v>
      </c>
      <c r="M24904" t="s">
        <v>50621</v>
      </c>
      <c r="N24904" t="str">
        <f>"3/6/2025 11:35:00 AM"</f>
        <v>3/6/2025 11:35:00 AM</v>
      </c>
      <c r="O24904" t="s">
        <v>75110</v>
      </c>
      <c r="T24904" t="s">
        <v>75111</v>
      </c>
    </row>
    <row r="24905" spans="1:20" x14ac:dyDescent="0.25">
      <c r="A24905" t="str">
        <f>"3053866"</f>
        <v>3053866</v>
      </c>
      <c r="B24905" t="s">
        <v>75113</v>
      </c>
      <c r="C24905" t="str">
        <f>"8317139"</f>
        <v>8317139</v>
      </c>
      <c r="D24905" t="s">
        <v>75114</v>
      </c>
      <c r="F24905" t="s">
        <v>75115</v>
      </c>
      <c r="I24905" t="s">
        <v>29</v>
      </c>
      <c r="J24905" t="s">
        <v>30</v>
      </c>
      <c r="K24905" t="s">
        <v>75116</v>
      </c>
      <c r="M24905" t="s">
        <v>50793</v>
      </c>
      <c r="N24905" t="str">
        <f>"3/4/2025 10:34:00 AM"</f>
        <v>3/4/2025 10:34:00 AM</v>
      </c>
      <c r="O24905" t="s">
        <v>75114</v>
      </c>
    </row>
    <row r="24906" spans="1:20" x14ac:dyDescent="0.25">
      <c r="A24906" t="str">
        <f>"3056865"</f>
        <v>3056865</v>
      </c>
      <c r="B24906" t="s">
        <v>75117</v>
      </c>
      <c r="C24906" t="str">
        <f>"8323375"</f>
        <v>8323375</v>
      </c>
      <c r="D24906" t="s">
        <v>68478</v>
      </c>
      <c r="E24906" t="s">
        <v>71700</v>
      </c>
      <c r="F24906" t="s">
        <v>63075</v>
      </c>
      <c r="I24906" t="s">
        <v>29</v>
      </c>
      <c r="J24906" t="s">
        <v>30</v>
      </c>
      <c r="K24906" t="s">
        <v>53464</v>
      </c>
      <c r="M24906" t="s">
        <v>50621</v>
      </c>
      <c r="N24906" t="str">
        <f>"3/5/2025 9:07:00 AM"</f>
        <v>3/5/2025 9:07:00 AM</v>
      </c>
      <c r="O24906" t="s">
        <v>68478</v>
      </c>
      <c r="T24906" t="s">
        <v>71700</v>
      </c>
    </row>
    <row r="24907" spans="1:20" x14ac:dyDescent="0.25">
      <c r="A24907" t="str">
        <f>"3043130"</f>
        <v>3043130</v>
      </c>
      <c r="B24907" t="s">
        <v>75118</v>
      </c>
      <c r="C24907" t="str">
        <f>"8696000"</f>
        <v>8696000</v>
      </c>
      <c r="D24907" t="s">
        <v>75119</v>
      </c>
      <c r="E24907" t="s">
        <v>75120</v>
      </c>
      <c r="F24907" t="s">
        <v>75121</v>
      </c>
      <c r="I24907" t="s">
        <v>184</v>
      </c>
      <c r="J24907" t="s">
        <v>30</v>
      </c>
      <c r="K24907" t="s">
        <v>185</v>
      </c>
      <c r="M24907" t="s">
        <v>50621</v>
      </c>
      <c r="N24907" t="str">
        <f>"3/6/2025 11:46:00 AM"</f>
        <v>3/6/2025 11:46:00 AM</v>
      </c>
      <c r="O24907" t="s">
        <v>75119</v>
      </c>
      <c r="T24907" t="s">
        <v>75120</v>
      </c>
    </row>
    <row r="24908" spans="1:20" x14ac:dyDescent="0.25">
      <c r="A24908" t="str">
        <f>"3050341"</f>
        <v>3050341</v>
      </c>
      <c r="B24908" t="s">
        <v>75122</v>
      </c>
      <c r="C24908" t="str">
        <f>"8696000"</f>
        <v>8696000</v>
      </c>
      <c r="D24908" t="s">
        <v>75119</v>
      </c>
      <c r="E24908" t="s">
        <v>75120</v>
      </c>
      <c r="F24908" t="s">
        <v>75121</v>
      </c>
      <c r="I24908" t="s">
        <v>184</v>
      </c>
      <c r="J24908" t="s">
        <v>30</v>
      </c>
      <c r="K24908" t="s">
        <v>185</v>
      </c>
      <c r="M24908" t="s">
        <v>50621</v>
      </c>
      <c r="N24908" t="str">
        <f>"3/6/2025 11:46:00 AM"</f>
        <v>3/6/2025 11:46:00 AM</v>
      </c>
      <c r="O24908" t="s">
        <v>75119</v>
      </c>
      <c r="T24908" t="s">
        <v>75120</v>
      </c>
    </row>
    <row r="24909" spans="1:20" x14ac:dyDescent="0.25">
      <c r="A24909" t="str">
        <f>"3047931"</f>
        <v>3047931</v>
      </c>
      <c r="B24909" t="s">
        <v>75123</v>
      </c>
      <c r="C24909" t="str">
        <f>"8737000"</f>
        <v>8737000</v>
      </c>
      <c r="D24909" t="s">
        <v>20647</v>
      </c>
      <c r="F24909" t="s">
        <v>75124</v>
      </c>
      <c r="I24909" t="s">
        <v>29</v>
      </c>
      <c r="J24909" t="s">
        <v>30</v>
      </c>
      <c r="K24909" t="s">
        <v>31</v>
      </c>
      <c r="M24909" t="s">
        <v>50621</v>
      </c>
      <c r="N24909" t="str">
        <f>"3/6/2025 11:49:00 AM"</f>
        <v>3/6/2025 11:49:00 AM</v>
      </c>
      <c r="O24909" t="s">
        <v>20647</v>
      </c>
    </row>
    <row r="24910" spans="1:20" x14ac:dyDescent="0.25">
      <c r="A24910" t="str">
        <f>"3053241"</f>
        <v>3053241</v>
      </c>
      <c r="B24910" t="s">
        <v>75125</v>
      </c>
      <c r="C24910" t="str">
        <f>"9304000"</f>
        <v>9304000</v>
      </c>
      <c r="D24910" t="s">
        <v>75126</v>
      </c>
      <c r="F24910" t="s">
        <v>75127</v>
      </c>
      <c r="I24910" t="s">
        <v>75128</v>
      </c>
      <c r="J24910" t="s">
        <v>11994</v>
      </c>
      <c r="K24910" t="s">
        <v>75129</v>
      </c>
      <c r="M24910" t="s">
        <v>50621</v>
      </c>
      <c r="N24910" t="str">
        <f>"3/6/2025 11:52:00 AM"</f>
        <v>3/6/2025 11:52:00 AM</v>
      </c>
      <c r="O24910" t="s">
        <v>75126</v>
      </c>
    </row>
    <row r="24911" spans="1:20" x14ac:dyDescent="0.25">
      <c r="A24911" t="str">
        <f>"3042212"</f>
        <v>3042212</v>
      </c>
      <c r="B24911" t="s">
        <v>75130</v>
      </c>
      <c r="C24911" t="str">
        <f>"8315348"</f>
        <v>8315348</v>
      </c>
      <c r="D24911" t="s">
        <v>75131</v>
      </c>
      <c r="E24911" t="s">
        <v>75132</v>
      </c>
      <c r="F24911" t="s">
        <v>75133</v>
      </c>
      <c r="I24911" t="s">
        <v>184</v>
      </c>
      <c r="J24911" t="s">
        <v>30</v>
      </c>
      <c r="K24911" t="s">
        <v>40247</v>
      </c>
      <c r="M24911" t="s">
        <v>50621</v>
      </c>
      <c r="N24911" t="str">
        <f>"3/6/2025 11:57:00 AM"</f>
        <v>3/6/2025 11:57:00 AM</v>
      </c>
      <c r="O24911" t="s">
        <v>75131</v>
      </c>
      <c r="T24911" t="s">
        <v>75132</v>
      </c>
    </row>
    <row r="24912" spans="1:20" x14ac:dyDescent="0.25">
      <c r="A24912" t="str">
        <f>"3051817"</f>
        <v>3051817</v>
      </c>
      <c r="B24912" t="s">
        <v>75134</v>
      </c>
      <c r="C24912" t="str">
        <f>"8306975"</f>
        <v>8306975</v>
      </c>
      <c r="D24912" t="s">
        <v>75135</v>
      </c>
      <c r="F24912" t="s">
        <v>61331</v>
      </c>
      <c r="I24912" t="s">
        <v>29</v>
      </c>
      <c r="J24912" t="s">
        <v>30</v>
      </c>
      <c r="K24912" t="s">
        <v>33498</v>
      </c>
      <c r="M24912" t="s">
        <v>50621</v>
      </c>
      <c r="N24912" t="str">
        <f>"3/6/2025 12:01:00 PM"</f>
        <v>3/6/2025 12:01:00 PM</v>
      </c>
      <c r="O24912" t="s">
        <v>75135</v>
      </c>
    </row>
    <row r="24913" spans="1:20" x14ac:dyDescent="0.25">
      <c r="A24913" t="str">
        <f>"3056228"</f>
        <v>3056228</v>
      </c>
      <c r="B24913" t="s">
        <v>75136</v>
      </c>
      <c r="C24913" t="str">
        <f>"9939750"</f>
        <v>9939750</v>
      </c>
      <c r="D24913" t="s">
        <v>75137</v>
      </c>
      <c r="E24913" t="s">
        <v>75138</v>
      </c>
      <c r="F24913" t="s">
        <v>75139</v>
      </c>
      <c r="I24913" t="s">
        <v>964</v>
      </c>
      <c r="J24913" t="s">
        <v>30</v>
      </c>
      <c r="K24913" t="s">
        <v>16661</v>
      </c>
      <c r="M24913" t="s">
        <v>50621</v>
      </c>
      <c r="N24913" t="str">
        <f>"3/6/2025 12:08:00 PM"</f>
        <v>3/6/2025 12:08:00 PM</v>
      </c>
      <c r="O24913" t="s">
        <v>75137</v>
      </c>
      <c r="T24913" t="s">
        <v>75138</v>
      </c>
    </row>
    <row r="24914" spans="1:20" x14ac:dyDescent="0.25">
      <c r="A24914" t="str">
        <f>"3056741"</f>
        <v>3056741</v>
      </c>
      <c r="B24914" t="s">
        <v>75140</v>
      </c>
      <c r="C24914" t="str">
        <f>"9939750"</f>
        <v>9939750</v>
      </c>
      <c r="D24914" t="s">
        <v>75137</v>
      </c>
      <c r="E24914" t="s">
        <v>75138</v>
      </c>
      <c r="F24914" t="s">
        <v>75139</v>
      </c>
      <c r="I24914" t="s">
        <v>964</v>
      </c>
      <c r="J24914" t="s">
        <v>30</v>
      </c>
      <c r="K24914" t="s">
        <v>16661</v>
      </c>
      <c r="M24914" t="s">
        <v>50621</v>
      </c>
      <c r="N24914" t="str">
        <f>"3/6/2025 12:08:00 PM"</f>
        <v>3/6/2025 12:08:00 PM</v>
      </c>
      <c r="O24914" t="s">
        <v>75137</v>
      </c>
      <c r="T24914" t="s">
        <v>75138</v>
      </c>
    </row>
    <row r="24915" spans="1:20" x14ac:dyDescent="0.25">
      <c r="A24915" t="str">
        <f>"3044193"</f>
        <v>3044193</v>
      </c>
      <c r="B24915" t="s">
        <v>75141</v>
      </c>
      <c r="C24915" t="str">
        <f>"25110000"</f>
        <v>25110000</v>
      </c>
      <c r="D24915" t="s">
        <v>75142</v>
      </c>
      <c r="E24915" t="s">
        <v>75143</v>
      </c>
      <c r="F24915" t="s">
        <v>75144</v>
      </c>
      <c r="I24915" t="s">
        <v>184</v>
      </c>
      <c r="J24915" t="s">
        <v>30</v>
      </c>
      <c r="K24915" t="s">
        <v>185</v>
      </c>
      <c r="M24915" t="s">
        <v>50793</v>
      </c>
      <c r="N24915" t="str">
        <f>"3/5/2025 9:10:00 AM"</f>
        <v>3/5/2025 9:10:00 AM</v>
      </c>
      <c r="O24915" t="s">
        <v>75142</v>
      </c>
      <c r="T24915" t="s">
        <v>75143</v>
      </c>
    </row>
    <row r="24916" spans="1:20" x14ac:dyDescent="0.25">
      <c r="A24916" t="str">
        <f>"3066006"</f>
        <v>3066006</v>
      </c>
      <c r="B24916" t="s">
        <v>75145</v>
      </c>
      <c r="C24916" t="str">
        <f>"82528574"</f>
        <v>82528574</v>
      </c>
      <c r="D24916" t="s">
        <v>75146</v>
      </c>
      <c r="F24916" t="s">
        <v>75147</v>
      </c>
      <c r="I24916" t="s">
        <v>1149</v>
      </c>
      <c r="J24916" t="s">
        <v>30</v>
      </c>
      <c r="K24916" t="s">
        <v>39808</v>
      </c>
      <c r="M24916" t="s">
        <v>50793</v>
      </c>
      <c r="N24916" t="str">
        <f>"3/5/2025 9:54:00 AM"</f>
        <v>3/5/2025 9:54:00 AM</v>
      </c>
      <c r="O24916" t="s">
        <v>75146</v>
      </c>
    </row>
    <row r="24917" spans="1:20" x14ac:dyDescent="0.25">
      <c r="A24917" t="str">
        <f>"3054973"</f>
        <v>3054973</v>
      </c>
      <c r="B24917" t="s">
        <v>75148</v>
      </c>
      <c r="C24917" t="str">
        <f>"82522367"</f>
        <v>82522367</v>
      </c>
      <c r="D24917" t="s">
        <v>75149</v>
      </c>
      <c r="E24917" t="s">
        <v>75150</v>
      </c>
      <c r="F24917" t="s">
        <v>60541</v>
      </c>
      <c r="G24917" t="s">
        <v>60542</v>
      </c>
      <c r="I24917" t="s">
        <v>60543</v>
      </c>
      <c r="J24917" t="s">
        <v>30</v>
      </c>
      <c r="K24917" t="s">
        <v>60544</v>
      </c>
      <c r="M24917" t="s">
        <v>50793</v>
      </c>
      <c r="N24917" t="str">
        <f>"3/6/2025 2:02:00 PM"</f>
        <v>3/6/2025 2:02:00 PM</v>
      </c>
      <c r="O24917" t="s">
        <v>75149</v>
      </c>
      <c r="T24917" t="s">
        <v>75150</v>
      </c>
    </row>
    <row r="24918" spans="1:20" x14ac:dyDescent="0.25">
      <c r="A24918" t="str">
        <f>"3055598"</f>
        <v>3055598</v>
      </c>
      <c r="B24918" t="s">
        <v>75151</v>
      </c>
      <c r="C24918" t="str">
        <f>"27648000"</f>
        <v>27648000</v>
      </c>
      <c r="D24918" t="s">
        <v>75152</v>
      </c>
      <c r="F24918" t="s">
        <v>75153</v>
      </c>
      <c r="I24918" t="s">
        <v>29</v>
      </c>
      <c r="J24918" t="s">
        <v>30</v>
      </c>
      <c r="K24918" t="str">
        <f>"27028"</f>
        <v>27028</v>
      </c>
      <c r="M24918" t="s">
        <v>50793</v>
      </c>
      <c r="N24918" t="str">
        <f>"3/6/2025 2:04:00 PM"</f>
        <v>3/6/2025 2:04:00 PM</v>
      </c>
      <c r="O24918" t="s">
        <v>75152</v>
      </c>
    </row>
    <row r="24919" spans="1:20" x14ac:dyDescent="0.25">
      <c r="A24919" t="str">
        <f>"3048251"</f>
        <v>3048251</v>
      </c>
      <c r="B24919" t="s">
        <v>75154</v>
      </c>
      <c r="C24919" t="str">
        <f>"8317589"</f>
        <v>8317589</v>
      </c>
      <c r="D24919" t="s">
        <v>75155</v>
      </c>
      <c r="F24919" t="s">
        <v>75156</v>
      </c>
      <c r="I24919" t="s">
        <v>1149</v>
      </c>
      <c r="J24919" t="s">
        <v>30</v>
      </c>
      <c r="K24919" t="s">
        <v>31345</v>
      </c>
      <c r="M24919" t="s">
        <v>50621</v>
      </c>
      <c r="N24919" t="str">
        <f>"3/5/2025 10:01:00 AM"</f>
        <v>3/5/2025 10:01:00 AM</v>
      </c>
      <c r="O24919" t="s">
        <v>75155</v>
      </c>
    </row>
    <row r="24920" spans="1:20" x14ac:dyDescent="0.25">
      <c r="A24920" t="str">
        <f>"3051865"</f>
        <v>3051865</v>
      </c>
      <c r="B24920" t="s">
        <v>75157</v>
      </c>
      <c r="C24920" t="str">
        <f>"82524671"</f>
        <v>82524671</v>
      </c>
      <c r="D24920" t="s">
        <v>75158</v>
      </c>
      <c r="F24920" t="s">
        <v>75159</v>
      </c>
      <c r="I24920" t="s">
        <v>29</v>
      </c>
      <c r="J24920" t="s">
        <v>30</v>
      </c>
      <c r="K24920" t="s">
        <v>31</v>
      </c>
      <c r="M24920" t="s">
        <v>50793</v>
      </c>
      <c r="N24920" t="str">
        <f>"3/5/2025 10:36:00 AM"</f>
        <v>3/5/2025 10:36:00 AM</v>
      </c>
      <c r="O24920" t="s">
        <v>75158</v>
      </c>
    </row>
    <row r="24921" spans="1:20" x14ac:dyDescent="0.25">
      <c r="A24921" t="str">
        <f>"3054867"</f>
        <v>3054867</v>
      </c>
      <c r="B24921" t="s">
        <v>75160</v>
      </c>
      <c r="C24921" t="str">
        <f>"82517326"</f>
        <v>82517326</v>
      </c>
      <c r="D24921" t="s">
        <v>75161</v>
      </c>
      <c r="F24921" t="s">
        <v>75162</v>
      </c>
      <c r="I24921" t="s">
        <v>29</v>
      </c>
      <c r="J24921" t="s">
        <v>30</v>
      </c>
      <c r="K24921" t="s">
        <v>31</v>
      </c>
      <c r="M24921" t="s">
        <v>50793</v>
      </c>
      <c r="N24921" t="str">
        <f>"3/5/2025 10:43:00 AM"</f>
        <v>3/5/2025 10:43:00 AM</v>
      </c>
      <c r="O24921" t="s">
        <v>75161</v>
      </c>
    </row>
    <row r="24922" spans="1:20" x14ac:dyDescent="0.25">
      <c r="A24922" t="str">
        <f>"3055581"</f>
        <v>3055581</v>
      </c>
      <c r="B24922" t="s">
        <v>75163</v>
      </c>
      <c r="C24922" t="str">
        <f>"8317771"</f>
        <v>8317771</v>
      </c>
      <c r="D24922" t="s">
        <v>75164</v>
      </c>
      <c r="E24922" t="s">
        <v>75165</v>
      </c>
      <c r="F24922" t="s">
        <v>75162</v>
      </c>
      <c r="I24922" t="s">
        <v>29</v>
      </c>
      <c r="J24922" t="s">
        <v>30</v>
      </c>
      <c r="K24922" t="s">
        <v>75166</v>
      </c>
      <c r="M24922" t="s">
        <v>50793</v>
      </c>
      <c r="N24922" t="str">
        <f>"3/5/2025 10:47:00 AM"</f>
        <v>3/5/2025 10:47:00 AM</v>
      </c>
      <c r="O24922" t="s">
        <v>75164</v>
      </c>
      <c r="T24922" t="s">
        <v>75165</v>
      </c>
    </row>
    <row r="24923" spans="1:20" x14ac:dyDescent="0.25">
      <c r="A24923" t="str">
        <f>"3039083"</f>
        <v>3039083</v>
      </c>
      <c r="B24923" t="s">
        <v>75167</v>
      </c>
      <c r="C24923" t="str">
        <f>"8318868"</f>
        <v>8318868</v>
      </c>
      <c r="D24923" t="s">
        <v>75168</v>
      </c>
      <c r="F24923" t="s">
        <v>75169</v>
      </c>
      <c r="I24923" t="s">
        <v>29</v>
      </c>
      <c r="J24923" t="s">
        <v>30</v>
      </c>
      <c r="K24923" t="s">
        <v>37477</v>
      </c>
      <c r="M24923" t="s">
        <v>50793</v>
      </c>
      <c r="N24923" t="str">
        <f>"3/5/2025 10:51:00 AM"</f>
        <v>3/5/2025 10:51:00 AM</v>
      </c>
      <c r="O24923" t="s">
        <v>75168</v>
      </c>
    </row>
    <row r="24924" spans="1:20" x14ac:dyDescent="0.25">
      <c r="A24924" t="str">
        <f>"3055720"</f>
        <v>3055720</v>
      </c>
      <c r="B24924" t="s">
        <v>75170</v>
      </c>
      <c r="C24924" t="str">
        <f>"82515548"</f>
        <v>82515548</v>
      </c>
      <c r="D24924" t="s">
        <v>75171</v>
      </c>
      <c r="E24924" t="s">
        <v>75172</v>
      </c>
      <c r="F24924" t="s">
        <v>75173</v>
      </c>
      <c r="I24924" t="s">
        <v>75174</v>
      </c>
      <c r="J24924" t="s">
        <v>40530</v>
      </c>
      <c r="K24924" t="s">
        <v>75175</v>
      </c>
      <c r="M24924" t="s">
        <v>50793</v>
      </c>
      <c r="N24924" t="str">
        <f>"3/5/2025 10:59:00 AM"</f>
        <v>3/5/2025 10:59:00 AM</v>
      </c>
      <c r="O24924" t="s">
        <v>75171</v>
      </c>
      <c r="T24924" t="s">
        <v>75172</v>
      </c>
    </row>
    <row r="24925" spans="1:20" x14ac:dyDescent="0.25">
      <c r="A24925" t="str">
        <f>"3077157"</f>
        <v>3077157</v>
      </c>
      <c r="B24925" t="s">
        <v>75176</v>
      </c>
      <c r="C24925" t="str">
        <f>"7049000"</f>
        <v>7049000</v>
      </c>
      <c r="D24925" t="s">
        <v>75177</v>
      </c>
      <c r="F24925" t="s">
        <v>75178</v>
      </c>
      <c r="I24925" t="s">
        <v>471</v>
      </c>
      <c r="J24925" t="s">
        <v>30</v>
      </c>
      <c r="K24925" t="s">
        <v>2758</v>
      </c>
      <c r="M24925" t="s">
        <v>50621</v>
      </c>
      <c r="N24925" t="str">
        <f>"3/5/2025 11:29:00 AM"</f>
        <v>3/5/2025 11:29:00 AM</v>
      </c>
      <c r="O24925" t="s">
        <v>75177</v>
      </c>
    </row>
    <row r="24926" spans="1:20" x14ac:dyDescent="0.25">
      <c r="A24926" t="str">
        <f>"3052711"</f>
        <v>3052711</v>
      </c>
      <c r="B24926" t="s">
        <v>75179</v>
      </c>
      <c r="C24926" t="str">
        <f>"28378000"</f>
        <v>28378000</v>
      </c>
      <c r="D24926" t="s">
        <v>75180</v>
      </c>
      <c r="E24926" t="s">
        <v>75181</v>
      </c>
      <c r="F24926" t="s">
        <v>75182</v>
      </c>
      <c r="I24926" t="s">
        <v>184</v>
      </c>
      <c r="J24926" t="s">
        <v>30</v>
      </c>
      <c r="K24926" t="s">
        <v>41029</v>
      </c>
      <c r="M24926" t="s">
        <v>50793</v>
      </c>
      <c r="N24926" t="str">
        <f>"3/6/2025 2:48:00 PM"</f>
        <v>3/6/2025 2:48:00 PM</v>
      </c>
      <c r="O24926" t="s">
        <v>75180</v>
      </c>
      <c r="T24926" t="s">
        <v>75181</v>
      </c>
    </row>
    <row r="24927" spans="1:20" x14ac:dyDescent="0.25">
      <c r="A24927" t="str">
        <f>"3053298"</f>
        <v>3053298</v>
      </c>
      <c r="B24927" t="s">
        <v>75183</v>
      </c>
      <c r="C24927" t="str">
        <f>"28378000"</f>
        <v>28378000</v>
      </c>
      <c r="D24927" t="s">
        <v>75180</v>
      </c>
      <c r="E24927" t="s">
        <v>75181</v>
      </c>
      <c r="F24927" t="s">
        <v>75182</v>
      </c>
      <c r="I24927" t="s">
        <v>184</v>
      </c>
      <c r="J24927" t="s">
        <v>30</v>
      </c>
      <c r="K24927" t="s">
        <v>41029</v>
      </c>
      <c r="M24927" t="s">
        <v>50793</v>
      </c>
      <c r="N24927" t="str">
        <f>"3/6/2025 2:48:00 PM"</f>
        <v>3/6/2025 2:48:00 PM</v>
      </c>
      <c r="O24927" t="s">
        <v>75180</v>
      </c>
      <c r="T24927" t="s">
        <v>75181</v>
      </c>
    </row>
    <row r="24928" spans="1:20" x14ac:dyDescent="0.25">
      <c r="A24928" t="str">
        <f>"3038933"</f>
        <v>3038933</v>
      </c>
      <c r="B24928" t="s">
        <v>75184</v>
      </c>
      <c r="C24928" t="str">
        <f>"7516000"</f>
        <v>7516000</v>
      </c>
      <c r="D24928" t="s">
        <v>75034</v>
      </c>
      <c r="E24928" t="s">
        <v>75035</v>
      </c>
      <c r="F24928" t="s">
        <v>75036</v>
      </c>
      <c r="I24928" t="s">
        <v>29</v>
      </c>
      <c r="J24928" t="s">
        <v>30</v>
      </c>
      <c r="K24928" t="s">
        <v>48011</v>
      </c>
      <c r="M24928" t="s">
        <v>50621</v>
      </c>
      <c r="N24928" t="str">
        <f>"3/5/2025 2:26:00 PM"</f>
        <v>3/5/2025 2:26:00 PM</v>
      </c>
      <c r="O24928" t="s">
        <v>75034</v>
      </c>
      <c r="T24928" t="s">
        <v>75035</v>
      </c>
    </row>
    <row r="24929" spans="1:20" x14ac:dyDescent="0.25">
      <c r="A24929" t="str">
        <f>"3038764"</f>
        <v>3038764</v>
      </c>
      <c r="B24929" t="s">
        <v>75185</v>
      </c>
      <c r="C24929" t="str">
        <f>"7516000"</f>
        <v>7516000</v>
      </c>
      <c r="D24929" t="s">
        <v>75034</v>
      </c>
      <c r="E24929" t="s">
        <v>75035</v>
      </c>
      <c r="F24929" t="s">
        <v>75036</v>
      </c>
      <c r="I24929" t="s">
        <v>29</v>
      </c>
      <c r="J24929" t="s">
        <v>30</v>
      </c>
      <c r="K24929" t="s">
        <v>48011</v>
      </c>
      <c r="M24929" t="s">
        <v>50621</v>
      </c>
      <c r="N24929" t="str">
        <f>"3/5/2025 2:26:00 PM"</f>
        <v>3/5/2025 2:26:00 PM</v>
      </c>
      <c r="O24929" t="s">
        <v>75034</v>
      </c>
      <c r="T24929" t="s">
        <v>75035</v>
      </c>
    </row>
    <row r="24930" spans="1:20" x14ac:dyDescent="0.25">
      <c r="A24930" t="str">
        <f>"3037876"</f>
        <v>3037876</v>
      </c>
      <c r="B24930" t="s">
        <v>75186</v>
      </c>
      <c r="C24930" t="str">
        <f>"7516000"</f>
        <v>7516000</v>
      </c>
      <c r="D24930" t="s">
        <v>75034</v>
      </c>
      <c r="E24930" t="s">
        <v>75035</v>
      </c>
      <c r="F24930" t="s">
        <v>75036</v>
      </c>
      <c r="I24930" t="s">
        <v>29</v>
      </c>
      <c r="J24930" t="s">
        <v>30</v>
      </c>
      <c r="K24930" t="s">
        <v>48011</v>
      </c>
      <c r="M24930" t="s">
        <v>50621</v>
      </c>
      <c r="N24930" t="str">
        <f>"3/5/2025 2:26:00 PM"</f>
        <v>3/5/2025 2:26:00 PM</v>
      </c>
      <c r="O24930" t="s">
        <v>75034</v>
      </c>
      <c r="T24930" t="s">
        <v>75035</v>
      </c>
    </row>
    <row r="24931" spans="1:20" x14ac:dyDescent="0.25">
      <c r="A24931" t="str">
        <f>"3037954"</f>
        <v>3037954</v>
      </c>
      <c r="B24931" t="s">
        <v>75187</v>
      </c>
      <c r="C24931" t="str">
        <f>"7516000"</f>
        <v>7516000</v>
      </c>
      <c r="D24931" t="s">
        <v>75034</v>
      </c>
      <c r="E24931" t="s">
        <v>75035</v>
      </c>
      <c r="F24931" t="s">
        <v>75036</v>
      </c>
      <c r="I24931" t="s">
        <v>29</v>
      </c>
      <c r="J24931" t="s">
        <v>30</v>
      </c>
      <c r="K24931" t="s">
        <v>48011</v>
      </c>
      <c r="M24931" t="s">
        <v>50621</v>
      </c>
      <c r="N24931" t="str">
        <f>"3/5/2025 2:26:00 PM"</f>
        <v>3/5/2025 2:26:00 PM</v>
      </c>
      <c r="O24931" t="s">
        <v>75034</v>
      </c>
      <c r="T24931" t="s">
        <v>75035</v>
      </c>
    </row>
    <row r="24932" spans="1:20" x14ac:dyDescent="0.25">
      <c r="A24932" t="str">
        <f>"3054377"</f>
        <v>3054377</v>
      </c>
      <c r="B24932" t="s">
        <v>75188</v>
      </c>
      <c r="C24932" t="str">
        <f>"7742000"</f>
        <v>7742000</v>
      </c>
      <c r="D24932" t="s">
        <v>75189</v>
      </c>
      <c r="E24932" t="s">
        <v>75190</v>
      </c>
      <c r="F24932" t="s">
        <v>75191</v>
      </c>
      <c r="I24932" t="s">
        <v>29</v>
      </c>
      <c r="J24932" t="s">
        <v>30</v>
      </c>
      <c r="K24932" t="s">
        <v>31</v>
      </c>
      <c r="M24932" t="s">
        <v>50621</v>
      </c>
      <c r="N24932" t="str">
        <f>"3/5/2025 2:32:00 PM"</f>
        <v>3/5/2025 2:32:00 PM</v>
      </c>
      <c r="O24932" t="s">
        <v>75189</v>
      </c>
      <c r="T24932" t="s">
        <v>75190</v>
      </c>
    </row>
    <row r="24933" spans="1:20" x14ac:dyDescent="0.25">
      <c r="A24933" t="str">
        <f>"3045725"</f>
        <v>3045725</v>
      </c>
      <c r="B24933" t="s">
        <v>75192</v>
      </c>
      <c r="C24933" t="str">
        <f>"8315379"</f>
        <v>8315379</v>
      </c>
      <c r="D24933" t="s">
        <v>75047</v>
      </c>
      <c r="F24933" t="s">
        <v>75048</v>
      </c>
      <c r="I24933" t="s">
        <v>75049</v>
      </c>
      <c r="J24933" t="s">
        <v>30</v>
      </c>
      <c r="K24933" t="s">
        <v>75050</v>
      </c>
      <c r="M24933" t="s">
        <v>50621</v>
      </c>
      <c r="N24933" t="str">
        <f>"3/5/2025 2:51:00 PM"</f>
        <v>3/5/2025 2:51:00 PM</v>
      </c>
      <c r="O24933" t="s">
        <v>75047</v>
      </c>
    </row>
    <row r="24934" spans="1:20" x14ac:dyDescent="0.25">
      <c r="A24934" t="str">
        <f>"3054284"</f>
        <v>3054284</v>
      </c>
      <c r="B24934" t="s">
        <v>75193</v>
      </c>
      <c r="C24934" t="str">
        <f>"8323357"</f>
        <v>8323357</v>
      </c>
      <c r="D24934" t="s">
        <v>75194</v>
      </c>
      <c r="F24934" t="s">
        <v>75195</v>
      </c>
      <c r="G24934" t="s">
        <v>75196</v>
      </c>
      <c r="I24934" t="s">
        <v>8536</v>
      </c>
      <c r="J24934" t="s">
        <v>30</v>
      </c>
      <c r="K24934" t="s">
        <v>75197</v>
      </c>
      <c r="M24934" t="s">
        <v>50500</v>
      </c>
      <c r="N24934" t="str">
        <f>"3/6/2025 9:22:00 AM"</f>
        <v>3/6/2025 9:22:00 AM</v>
      </c>
      <c r="O24934" t="s">
        <v>75194</v>
      </c>
    </row>
    <row r="24935" spans="1:20" x14ac:dyDescent="0.25">
      <c r="A24935" t="str">
        <f>"3062194"</f>
        <v>3062194</v>
      </c>
      <c r="B24935" t="s">
        <v>75198</v>
      </c>
      <c r="C24935" t="str">
        <f>"8313430"</f>
        <v>8313430</v>
      </c>
      <c r="D24935" t="s">
        <v>75199</v>
      </c>
      <c r="F24935" t="s">
        <v>75200</v>
      </c>
      <c r="I24935" t="s">
        <v>29</v>
      </c>
      <c r="J24935" t="s">
        <v>30</v>
      </c>
      <c r="K24935" t="s">
        <v>8004</v>
      </c>
      <c r="M24935" t="s">
        <v>50621</v>
      </c>
      <c r="N24935" t="str">
        <f>"3/7/2025 9:52:00 AM"</f>
        <v>3/7/2025 9:52:00 AM</v>
      </c>
      <c r="O24935" t="s">
        <v>75199</v>
      </c>
    </row>
    <row r="24936" spans="1:20" x14ac:dyDescent="0.25">
      <c r="A24936" t="str">
        <f>"3042912"</f>
        <v>3042912</v>
      </c>
      <c r="B24936" t="s">
        <v>75201</v>
      </c>
      <c r="C24936" t="str">
        <f>"13721000"</f>
        <v>13721000</v>
      </c>
      <c r="D24936" t="s">
        <v>75202</v>
      </c>
      <c r="F24936" t="s">
        <v>75203</v>
      </c>
      <c r="I24936" t="s">
        <v>29</v>
      </c>
      <c r="J24936" t="s">
        <v>30</v>
      </c>
      <c r="K24936" t="s">
        <v>75204</v>
      </c>
      <c r="M24936" t="s">
        <v>50621</v>
      </c>
      <c r="N24936" t="str">
        <f>"3/7/2025 9:54:00 AM"</f>
        <v>3/7/2025 9:54:00 AM</v>
      </c>
      <c r="O24936" t="s">
        <v>75202</v>
      </c>
    </row>
    <row r="24937" spans="1:20" x14ac:dyDescent="0.25">
      <c r="A24937" t="str">
        <f>"3055670"</f>
        <v>3055670</v>
      </c>
      <c r="B24937" t="s">
        <v>75205</v>
      </c>
      <c r="C24937" t="str">
        <f>"8315378"</f>
        <v>8315378</v>
      </c>
      <c r="D24937" t="s">
        <v>75206</v>
      </c>
      <c r="E24937" t="s">
        <v>75207</v>
      </c>
      <c r="F24937" t="s">
        <v>75208</v>
      </c>
      <c r="I24937" t="s">
        <v>29</v>
      </c>
      <c r="J24937" t="s">
        <v>30</v>
      </c>
      <c r="K24937" t="s">
        <v>38025</v>
      </c>
      <c r="M24937" t="s">
        <v>50621</v>
      </c>
      <c r="N24937" t="str">
        <f>"3/7/2025 10:00:00 AM"</f>
        <v>3/7/2025 10:00:00 AM</v>
      </c>
      <c r="O24937" t="s">
        <v>75206</v>
      </c>
      <c r="T24937" t="s">
        <v>75207</v>
      </c>
    </row>
    <row r="24938" spans="1:20" x14ac:dyDescent="0.25">
      <c r="A24938" t="str">
        <f>"3054979"</f>
        <v>3054979</v>
      </c>
      <c r="B24938" t="s">
        <v>75209</v>
      </c>
      <c r="C24938" t="str">
        <f>"82523591"</f>
        <v>82523591</v>
      </c>
      <c r="D24938" t="s">
        <v>75210</v>
      </c>
      <c r="F24938" t="s">
        <v>75211</v>
      </c>
      <c r="I24938" t="s">
        <v>29</v>
      </c>
      <c r="J24938" t="s">
        <v>30</v>
      </c>
      <c r="K24938" t="s">
        <v>36146</v>
      </c>
      <c r="M24938" t="s">
        <v>50621</v>
      </c>
      <c r="N24938" t="str">
        <f>"3/6/2025 10:49:00 AM"</f>
        <v>3/6/2025 10:49:00 AM</v>
      </c>
      <c r="O24938" t="s">
        <v>75210</v>
      </c>
    </row>
    <row r="24939" spans="1:20" x14ac:dyDescent="0.25">
      <c r="A24939" t="str">
        <f>"3077913"</f>
        <v>3077913</v>
      </c>
      <c r="B24939" t="s">
        <v>75212</v>
      </c>
      <c r="C24939" t="str">
        <f>"8315561"</f>
        <v>8315561</v>
      </c>
      <c r="D24939" t="s">
        <v>75213</v>
      </c>
      <c r="F24939" t="s">
        <v>75214</v>
      </c>
      <c r="I24939" t="s">
        <v>29</v>
      </c>
      <c r="J24939" t="s">
        <v>30</v>
      </c>
      <c r="K24939" t="s">
        <v>29603</v>
      </c>
      <c r="M24939" t="s">
        <v>50621</v>
      </c>
      <c r="N24939" t="str">
        <f>"3/6/2025 11:17:00 AM"</f>
        <v>3/6/2025 11:17:00 AM</v>
      </c>
      <c r="O24939" t="s">
        <v>75213</v>
      </c>
    </row>
    <row r="24940" spans="1:20" x14ac:dyDescent="0.25">
      <c r="A24940" t="str">
        <f>"3075913"</f>
        <v>3075913</v>
      </c>
      <c r="B24940" t="s">
        <v>75215</v>
      </c>
      <c r="C24940" t="str">
        <f>"8313573"</f>
        <v>8313573</v>
      </c>
      <c r="D24940" t="s">
        <v>75216</v>
      </c>
      <c r="E24940" t="s">
        <v>75217</v>
      </c>
      <c r="F24940" t="s">
        <v>75218</v>
      </c>
      <c r="I24940" t="s">
        <v>29</v>
      </c>
      <c r="J24940" t="s">
        <v>30</v>
      </c>
      <c r="K24940" t="s">
        <v>4430</v>
      </c>
      <c r="M24940" t="s">
        <v>50621</v>
      </c>
      <c r="N24940" t="str">
        <f>"3/6/2025 11:21:00 AM"</f>
        <v>3/6/2025 11:21:00 AM</v>
      </c>
      <c r="O24940" t="s">
        <v>75216</v>
      </c>
      <c r="T24940" t="s">
        <v>75217</v>
      </c>
    </row>
    <row r="24941" spans="1:20" x14ac:dyDescent="0.25">
      <c r="A24941" t="str">
        <f>"3048407"</f>
        <v>3048407</v>
      </c>
      <c r="B24941" t="s">
        <v>75219</v>
      </c>
      <c r="C24941" t="str">
        <f>"8313804"</f>
        <v>8313804</v>
      </c>
      <c r="D24941" t="s">
        <v>75220</v>
      </c>
      <c r="F24941" t="s">
        <v>64326</v>
      </c>
      <c r="I24941" t="s">
        <v>184</v>
      </c>
      <c r="J24941" t="s">
        <v>30</v>
      </c>
      <c r="K24941" t="s">
        <v>63508</v>
      </c>
      <c r="M24941" t="s">
        <v>50621</v>
      </c>
      <c r="N24941" t="str">
        <f>"3/6/2025 11:22:00 AM"</f>
        <v>3/6/2025 11:22:00 AM</v>
      </c>
      <c r="O24941" t="s">
        <v>75220</v>
      </c>
    </row>
    <row r="24942" spans="1:20" x14ac:dyDescent="0.25">
      <c r="A24942" t="str">
        <f>"3048582"</f>
        <v>3048582</v>
      </c>
      <c r="B24942" t="s">
        <v>75221</v>
      </c>
      <c r="C24942" t="str">
        <f>"8313804"</f>
        <v>8313804</v>
      </c>
      <c r="D24942" t="s">
        <v>75220</v>
      </c>
      <c r="F24942" t="s">
        <v>64326</v>
      </c>
      <c r="I24942" t="s">
        <v>184</v>
      </c>
      <c r="J24942" t="s">
        <v>30</v>
      </c>
      <c r="K24942" t="s">
        <v>63508</v>
      </c>
      <c r="M24942" t="s">
        <v>50621</v>
      </c>
      <c r="N24942" t="str">
        <f>"3/6/2025 11:22:00 AM"</f>
        <v>3/6/2025 11:22:00 AM</v>
      </c>
      <c r="O24942" t="s">
        <v>75220</v>
      </c>
    </row>
    <row r="24943" spans="1:20" x14ac:dyDescent="0.25">
      <c r="A24943" t="str">
        <f>"3054784"</f>
        <v>3054784</v>
      </c>
      <c r="B24943" t="s">
        <v>75222</v>
      </c>
      <c r="C24943" t="str">
        <f>"8311102"</f>
        <v>8311102</v>
      </c>
      <c r="D24943" t="s">
        <v>75223</v>
      </c>
      <c r="F24943" t="s">
        <v>49913</v>
      </c>
      <c r="I24943" t="s">
        <v>29</v>
      </c>
      <c r="J24943" t="s">
        <v>30</v>
      </c>
      <c r="K24943" t="s">
        <v>49914</v>
      </c>
      <c r="M24943" t="s">
        <v>50621</v>
      </c>
      <c r="N24943" t="str">
        <f>"3/6/2025 11:28:00 AM"</f>
        <v>3/6/2025 11:28:00 AM</v>
      </c>
      <c r="O24943" t="s">
        <v>75223</v>
      </c>
    </row>
    <row r="24944" spans="1:20" x14ac:dyDescent="0.25">
      <c r="A24944" t="str">
        <f>"3068037"</f>
        <v>3068037</v>
      </c>
      <c r="B24944" t="s">
        <v>75224</v>
      </c>
      <c r="C24944" t="str">
        <f>"8313264"</f>
        <v>8313264</v>
      </c>
      <c r="D24944" t="s">
        <v>75225</v>
      </c>
      <c r="E24944" t="s">
        <v>75226</v>
      </c>
      <c r="F24944" t="s">
        <v>75227</v>
      </c>
      <c r="I24944" t="s">
        <v>29</v>
      </c>
      <c r="J24944" t="s">
        <v>30</v>
      </c>
      <c r="K24944" t="s">
        <v>75228</v>
      </c>
      <c r="M24944" t="s">
        <v>67210</v>
      </c>
      <c r="N24944" t="str">
        <f>"3/6/2025 12:16:00 PM"</f>
        <v>3/6/2025 12:16:00 PM</v>
      </c>
      <c r="O24944" t="s">
        <v>75225</v>
      </c>
      <c r="T24944" t="s">
        <v>75226</v>
      </c>
    </row>
    <row r="24945" spans="1:20" x14ac:dyDescent="0.25">
      <c r="A24945" t="str">
        <f>"3078919"</f>
        <v>3078919</v>
      </c>
      <c r="B24945" t="s">
        <v>75229</v>
      </c>
      <c r="C24945" t="str">
        <f>"8321075"</f>
        <v>8321075</v>
      </c>
      <c r="D24945" t="s">
        <v>75230</v>
      </c>
      <c r="F24945" t="s">
        <v>75231</v>
      </c>
      <c r="I24945" t="s">
        <v>184</v>
      </c>
      <c r="J24945" t="s">
        <v>30</v>
      </c>
      <c r="K24945" t="s">
        <v>4918</v>
      </c>
      <c r="M24945" t="s">
        <v>50621</v>
      </c>
      <c r="N24945" t="str">
        <f>"3/7/2025 1:40:00 PM"</f>
        <v>3/7/2025 1:40:00 PM</v>
      </c>
      <c r="O24945" t="s">
        <v>75230</v>
      </c>
    </row>
    <row r="24946" spans="1:20" x14ac:dyDescent="0.25">
      <c r="A24946" t="str">
        <f>"3054863"</f>
        <v>3054863</v>
      </c>
      <c r="B24946" t="s">
        <v>75232</v>
      </c>
      <c r="C24946" t="str">
        <f>"82524570"</f>
        <v>82524570</v>
      </c>
      <c r="D24946" t="s">
        <v>75233</v>
      </c>
      <c r="E24946" t="s">
        <v>75234</v>
      </c>
      <c r="F24946" t="s">
        <v>75235</v>
      </c>
      <c r="I24946" t="s">
        <v>29</v>
      </c>
      <c r="J24946" t="s">
        <v>30</v>
      </c>
      <c r="K24946" t="s">
        <v>31</v>
      </c>
      <c r="M24946" t="s">
        <v>50621</v>
      </c>
      <c r="N24946" t="str">
        <f>"3/7/2025 2:07:00 PM"</f>
        <v>3/7/2025 2:07:00 PM</v>
      </c>
      <c r="O24946" t="s">
        <v>75233</v>
      </c>
      <c r="T24946" t="s">
        <v>75234</v>
      </c>
    </row>
    <row r="24947" spans="1:20" x14ac:dyDescent="0.25">
      <c r="A24947" t="str">
        <f>"3078097"</f>
        <v>3078097</v>
      </c>
      <c r="B24947" t="s">
        <v>75236</v>
      </c>
      <c r="C24947" t="str">
        <f>"8300266"</f>
        <v>8300266</v>
      </c>
      <c r="D24947" t="s">
        <v>75237</v>
      </c>
      <c r="F24947" t="s">
        <v>7464</v>
      </c>
      <c r="I24947" t="s">
        <v>29</v>
      </c>
      <c r="J24947" t="s">
        <v>30</v>
      </c>
      <c r="K24947" t="s">
        <v>31</v>
      </c>
      <c r="M24947" t="s">
        <v>50621</v>
      </c>
      <c r="N24947" t="str">
        <f>"3/7/2025 2:13:00 PM"</f>
        <v>3/7/2025 2:13:00 PM</v>
      </c>
      <c r="O24947" t="s">
        <v>75237</v>
      </c>
    </row>
    <row r="24948" spans="1:20" x14ac:dyDescent="0.25">
      <c r="A24948" t="str">
        <f>"3048463"</f>
        <v>3048463</v>
      </c>
      <c r="B24948" t="s">
        <v>75238</v>
      </c>
      <c r="C24948" t="str">
        <f>"8317473"</f>
        <v>8317473</v>
      </c>
      <c r="D24948" t="s">
        <v>75239</v>
      </c>
      <c r="F24948" t="s">
        <v>75240</v>
      </c>
      <c r="I24948" t="s">
        <v>29</v>
      </c>
      <c r="J24948" t="s">
        <v>30</v>
      </c>
      <c r="K24948" t="s">
        <v>63696</v>
      </c>
      <c r="M24948" t="s">
        <v>50621</v>
      </c>
      <c r="N24948" t="str">
        <f>"3/7/2025 2:22:00 PM"</f>
        <v>3/7/2025 2:22:00 PM</v>
      </c>
      <c r="O24948" t="s">
        <v>75239</v>
      </c>
    </row>
    <row r="24949" spans="1:20" x14ac:dyDescent="0.25">
      <c r="A24949" t="str">
        <f>"3059826"</f>
        <v>3059826</v>
      </c>
      <c r="B24949" t="s">
        <v>75241</v>
      </c>
      <c r="C24949" t="str">
        <f>"8311438"</f>
        <v>8311438</v>
      </c>
      <c r="D24949" t="s">
        <v>75242</v>
      </c>
      <c r="F24949" t="s">
        <v>75243</v>
      </c>
      <c r="I24949" t="s">
        <v>9580</v>
      </c>
      <c r="J24949" t="s">
        <v>30</v>
      </c>
      <c r="K24949" t="s">
        <v>75244</v>
      </c>
      <c r="M24949" t="s">
        <v>50793</v>
      </c>
      <c r="N24949" t="str">
        <f>"3/6/2025 12:53:00 PM"</f>
        <v>3/6/2025 12:53:00 PM</v>
      </c>
      <c r="O24949" t="s">
        <v>75242</v>
      </c>
    </row>
    <row r="24950" spans="1:20" x14ac:dyDescent="0.25">
      <c r="A24950" t="str">
        <f>"3037639"</f>
        <v>3037639</v>
      </c>
      <c r="B24950" t="s">
        <v>75245</v>
      </c>
      <c r="C24950" t="str">
        <f>"82515288"</f>
        <v>82515288</v>
      </c>
      <c r="D24950" t="s">
        <v>75246</v>
      </c>
      <c r="F24950" t="str">
        <f>"C/O DISHON CAIN"</f>
        <v>C/O DISHON CAIN</v>
      </c>
      <c r="G24950" t="s">
        <v>75247</v>
      </c>
      <c r="I24950" t="s">
        <v>73185</v>
      </c>
      <c r="J24950" t="s">
        <v>30</v>
      </c>
      <c r="K24950" t="s">
        <v>75248</v>
      </c>
      <c r="M24950" t="s">
        <v>50621</v>
      </c>
      <c r="N24950" t="str">
        <f>"3/6/2025 2:17:00 PM"</f>
        <v>3/6/2025 2:17:00 PM</v>
      </c>
      <c r="O24950" t="s">
        <v>75246</v>
      </c>
    </row>
    <row r="24951" spans="1:20" x14ac:dyDescent="0.25">
      <c r="A24951" t="str">
        <f>"3068303"</f>
        <v>3068303</v>
      </c>
      <c r="B24951" t="s">
        <v>75249</v>
      </c>
      <c r="C24951" t="str">
        <f>"20125000"</f>
        <v>20125000</v>
      </c>
      <c r="D24951" t="s">
        <v>75250</v>
      </c>
      <c r="E24951" t="s">
        <v>75251</v>
      </c>
      <c r="F24951" t="str">
        <f>"C/O Julie Wood"</f>
        <v>C/O Julie Wood</v>
      </c>
      <c r="G24951" t="s">
        <v>75252</v>
      </c>
      <c r="I24951" t="s">
        <v>29</v>
      </c>
      <c r="J24951" t="s">
        <v>30</v>
      </c>
      <c r="K24951" t="str">
        <f>"27028"</f>
        <v>27028</v>
      </c>
      <c r="M24951" t="s">
        <v>67210</v>
      </c>
      <c r="N24951" t="str">
        <f>"3/7/2025 2:43:00 PM"</f>
        <v>3/7/2025 2:43:00 PM</v>
      </c>
      <c r="O24951" t="s">
        <v>75250</v>
      </c>
      <c r="T24951" t="s">
        <v>75251</v>
      </c>
    </row>
    <row r="24952" spans="1:20" x14ac:dyDescent="0.25">
      <c r="A24952" t="str">
        <f>"3059461"</f>
        <v>3059461</v>
      </c>
      <c r="B24952" t="s">
        <v>75253</v>
      </c>
      <c r="C24952" t="str">
        <f>"20125000"</f>
        <v>20125000</v>
      </c>
      <c r="D24952" t="s">
        <v>75250</v>
      </c>
      <c r="E24952" t="s">
        <v>75251</v>
      </c>
      <c r="F24952" t="str">
        <f>"C/O Julie Wood"</f>
        <v>C/O Julie Wood</v>
      </c>
      <c r="G24952" t="s">
        <v>75252</v>
      </c>
      <c r="I24952" t="s">
        <v>29</v>
      </c>
      <c r="J24952" t="s">
        <v>30</v>
      </c>
      <c r="K24952" t="str">
        <f>"27028"</f>
        <v>27028</v>
      </c>
      <c r="M24952" t="s">
        <v>67210</v>
      </c>
      <c r="N24952" t="str">
        <f>"3/7/2025 2:43:00 PM"</f>
        <v>3/7/2025 2:43:00 PM</v>
      </c>
      <c r="O24952" t="s">
        <v>75250</v>
      </c>
      <c r="T24952" t="s">
        <v>75251</v>
      </c>
    </row>
    <row r="24953" spans="1:20" x14ac:dyDescent="0.25">
      <c r="A24953" t="str">
        <f>"3068480"</f>
        <v>3068480</v>
      </c>
      <c r="B24953" t="s">
        <v>75254</v>
      </c>
      <c r="C24953" t="str">
        <f>"82527153"</f>
        <v>82527153</v>
      </c>
      <c r="D24953" t="s">
        <v>75255</v>
      </c>
      <c r="F24953" t="s">
        <v>75256</v>
      </c>
      <c r="I24953" t="s">
        <v>29</v>
      </c>
      <c r="J24953" t="s">
        <v>30</v>
      </c>
      <c r="K24953" t="s">
        <v>31</v>
      </c>
      <c r="M24953" t="s">
        <v>50500</v>
      </c>
      <c r="N24953" t="str">
        <f>"3/7/2025 2:45:00 PM"</f>
        <v>3/7/2025 2:45:00 PM</v>
      </c>
      <c r="O24953" t="s">
        <v>75255</v>
      </c>
    </row>
    <row r="24954" spans="1:20" x14ac:dyDescent="0.25">
      <c r="A24954" t="str">
        <f>"3044716"</f>
        <v>3044716</v>
      </c>
      <c r="B24954" t="s">
        <v>75257</v>
      </c>
      <c r="C24954" t="str">
        <f>"82519337"</f>
        <v>82519337</v>
      </c>
      <c r="D24954" t="s">
        <v>75258</v>
      </c>
      <c r="F24954" t="s">
        <v>75259</v>
      </c>
      <c r="I24954" t="s">
        <v>184</v>
      </c>
      <c r="J24954" t="s">
        <v>30</v>
      </c>
      <c r="K24954" t="s">
        <v>6036</v>
      </c>
      <c r="M24954" t="s">
        <v>50621</v>
      </c>
      <c r="N24954" t="str">
        <f>"3/7/2025 2:47:00 PM"</f>
        <v>3/7/2025 2:47:00 PM</v>
      </c>
      <c r="O24954" t="s">
        <v>75258</v>
      </c>
    </row>
    <row r="24955" spans="1:20" x14ac:dyDescent="0.25">
      <c r="A24955" t="str">
        <f>"3047682"</f>
        <v>3047682</v>
      </c>
      <c r="B24955" t="s">
        <v>75260</v>
      </c>
      <c r="C24955" t="str">
        <f>"12208370"</f>
        <v>12208370</v>
      </c>
      <c r="D24955" t="s">
        <v>75261</v>
      </c>
      <c r="F24955" t="s">
        <v>75262</v>
      </c>
      <c r="I24955" t="s">
        <v>184</v>
      </c>
      <c r="J24955" t="s">
        <v>30</v>
      </c>
      <c r="K24955" t="s">
        <v>185</v>
      </c>
      <c r="M24955" t="s">
        <v>50621</v>
      </c>
      <c r="N24955" t="str">
        <f>"3/6/2025 2:19:00 PM"</f>
        <v>3/6/2025 2:19:00 PM</v>
      </c>
      <c r="O24955" t="s">
        <v>75261</v>
      </c>
    </row>
    <row r="24956" spans="1:20" x14ac:dyDescent="0.25">
      <c r="A24956" t="str">
        <f>"3049641"</f>
        <v>3049641</v>
      </c>
      <c r="B24956" t="s">
        <v>75263</v>
      </c>
      <c r="C24956" t="str">
        <f>"79819190"</f>
        <v>79819190</v>
      </c>
      <c r="D24956" t="s">
        <v>75264</v>
      </c>
      <c r="F24956" t="s">
        <v>75265</v>
      </c>
      <c r="I24956" t="s">
        <v>184</v>
      </c>
      <c r="J24956" t="s">
        <v>30</v>
      </c>
      <c r="K24956" t="str">
        <f>"27006"</f>
        <v>27006</v>
      </c>
      <c r="M24956" t="s">
        <v>50793</v>
      </c>
      <c r="N24956" t="str">
        <f>"3/10/2025 8:20:00 AM"</f>
        <v>3/10/2025 8:20:00 AM</v>
      </c>
      <c r="O24956" t="s">
        <v>75264</v>
      </c>
    </row>
    <row r="24957" spans="1:20" x14ac:dyDescent="0.25">
      <c r="A24957" t="str">
        <f>"3059157"</f>
        <v>3059157</v>
      </c>
      <c r="B24957" t="s">
        <v>75266</v>
      </c>
      <c r="C24957" t="str">
        <f>"82528853"</f>
        <v>82528853</v>
      </c>
      <c r="D24957" t="s">
        <v>75267</v>
      </c>
      <c r="E24957" t="s">
        <v>75268</v>
      </c>
      <c r="F24957" t="s">
        <v>75269</v>
      </c>
      <c r="I24957" t="s">
        <v>29</v>
      </c>
      <c r="J24957" t="s">
        <v>30</v>
      </c>
      <c r="K24957" t="s">
        <v>31</v>
      </c>
      <c r="M24957" t="s">
        <v>50793</v>
      </c>
      <c r="N24957" t="str">
        <f>"3/10/2025 8:52:00 AM"</f>
        <v>3/10/2025 8:52:00 AM</v>
      </c>
      <c r="O24957" t="s">
        <v>75267</v>
      </c>
      <c r="T24957" t="s">
        <v>75268</v>
      </c>
    </row>
    <row r="24958" spans="1:20" x14ac:dyDescent="0.25">
      <c r="A24958" t="str">
        <f>"3076573"</f>
        <v>3076573</v>
      </c>
      <c r="B24958" t="s">
        <v>75270</v>
      </c>
      <c r="C24958" t="str">
        <f>"8322075"</f>
        <v>8322075</v>
      </c>
      <c r="D24958" t="s">
        <v>75271</v>
      </c>
      <c r="E24958" t="s">
        <v>75272</v>
      </c>
      <c r="F24958" t="s">
        <v>75273</v>
      </c>
      <c r="I24958" t="s">
        <v>184</v>
      </c>
      <c r="J24958" t="s">
        <v>30</v>
      </c>
      <c r="K24958" t="s">
        <v>5349</v>
      </c>
      <c r="M24958" t="s">
        <v>50500</v>
      </c>
      <c r="N24958" t="str">
        <f>"3/10/2025 8:53:00 AM"</f>
        <v>3/10/2025 8:53:00 AM</v>
      </c>
      <c r="O24958" t="s">
        <v>75271</v>
      </c>
      <c r="T24958" t="s">
        <v>75272</v>
      </c>
    </row>
    <row r="24959" spans="1:20" x14ac:dyDescent="0.25">
      <c r="A24959" t="str">
        <f>"3050048"</f>
        <v>3050048</v>
      </c>
      <c r="B24959" t="s">
        <v>75274</v>
      </c>
      <c r="C24959" t="str">
        <f>"8303135"</f>
        <v>8303135</v>
      </c>
      <c r="D24959" t="s">
        <v>75275</v>
      </c>
      <c r="F24959" t="s">
        <v>75276</v>
      </c>
      <c r="I24959" t="s">
        <v>29</v>
      </c>
      <c r="J24959" t="s">
        <v>30</v>
      </c>
      <c r="K24959" t="s">
        <v>39906</v>
      </c>
      <c r="M24959" t="s">
        <v>25625</v>
      </c>
      <c r="N24959" t="str">
        <f>"3/10/2025 9:16:00 AM"</f>
        <v>3/10/2025 9:16:00 AM</v>
      </c>
      <c r="O24959" t="s">
        <v>75275</v>
      </c>
    </row>
    <row r="24960" spans="1:20" x14ac:dyDescent="0.25">
      <c r="A24960" t="str">
        <f>"3047742"</f>
        <v>3047742</v>
      </c>
      <c r="B24960" t="s">
        <v>75277</v>
      </c>
      <c r="C24960" t="str">
        <f>"12208370"</f>
        <v>12208370</v>
      </c>
      <c r="D24960" t="s">
        <v>75261</v>
      </c>
      <c r="F24960" t="s">
        <v>75262</v>
      </c>
      <c r="I24960" t="s">
        <v>184</v>
      </c>
      <c r="J24960" t="s">
        <v>30</v>
      </c>
      <c r="K24960" t="s">
        <v>185</v>
      </c>
      <c r="M24960" t="s">
        <v>50621</v>
      </c>
      <c r="N24960" t="str">
        <f>"3/6/2025 2:19:00 PM"</f>
        <v>3/6/2025 2:19:00 PM</v>
      </c>
      <c r="O24960" t="s">
        <v>75261</v>
      </c>
    </row>
    <row r="24961" spans="1:20" x14ac:dyDescent="0.25">
      <c r="A24961" t="str">
        <f>"3052071"</f>
        <v>3052071</v>
      </c>
      <c r="B24961" t="s">
        <v>75278</v>
      </c>
      <c r="C24961" t="str">
        <f>"12612000"</f>
        <v>12612000</v>
      </c>
      <c r="D24961" t="s">
        <v>75279</v>
      </c>
      <c r="F24961" t="s">
        <v>75280</v>
      </c>
      <c r="I24961" t="s">
        <v>75281</v>
      </c>
      <c r="J24961" t="s">
        <v>30</v>
      </c>
      <c r="K24961" t="s">
        <v>75282</v>
      </c>
      <c r="M24961" t="s">
        <v>50621</v>
      </c>
      <c r="N24961" t="str">
        <f>"3/6/2025 2:29:00 PM"</f>
        <v>3/6/2025 2:29:00 PM</v>
      </c>
      <c r="O24961" t="s">
        <v>75279</v>
      </c>
    </row>
    <row r="24962" spans="1:20" x14ac:dyDescent="0.25">
      <c r="A24962" t="str">
        <f>"3055632"</f>
        <v>3055632</v>
      </c>
      <c r="B24962" t="s">
        <v>75283</v>
      </c>
      <c r="C24962" t="str">
        <f>"8323703"</f>
        <v>8323703</v>
      </c>
      <c r="D24962" t="s">
        <v>75284</v>
      </c>
      <c r="F24962" t="s">
        <v>75285</v>
      </c>
      <c r="I24962" t="s">
        <v>29</v>
      </c>
      <c r="J24962" t="s">
        <v>30</v>
      </c>
      <c r="K24962" t="s">
        <v>14780</v>
      </c>
      <c r="M24962" t="s">
        <v>50621</v>
      </c>
      <c r="N24962" t="str">
        <f>"3/10/2025 10:10:00 AM"</f>
        <v>3/10/2025 10:10:00 AM</v>
      </c>
      <c r="O24962" t="s">
        <v>75284</v>
      </c>
    </row>
    <row r="24963" spans="1:20" x14ac:dyDescent="0.25">
      <c r="A24963" t="str">
        <f>"3055633"</f>
        <v>3055633</v>
      </c>
      <c r="B24963" t="s">
        <v>75286</v>
      </c>
      <c r="C24963" t="str">
        <f>"8323703"</f>
        <v>8323703</v>
      </c>
      <c r="D24963" t="s">
        <v>75284</v>
      </c>
      <c r="F24963" t="s">
        <v>75285</v>
      </c>
      <c r="I24963" t="s">
        <v>29</v>
      </c>
      <c r="J24963" t="s">
        <v>30</v>
      </c>
      <c r="K24963" t="s">
        <v>14780</v>
      </c>
      <c r="M24963" t="s">
        <v>50621</v>
      </c>
      <c r="N24963" t="str">
        <f>"3/10/2025 10:10:00 AM"</f>
        <v>3/10/2025 10:10:00 AM</v>
      </c>
      <c r="O24963" t="s">
        <v>75284</v>
      </c>
    </row>
    <row r="24964" spans="1:20" x14ac:dyDescent="0.25">
      <c r="A24964" t="str">
        <f>"3055634"</f>
        <v>3055634</v>
      </c>
      <c r="B24964" t="s">
        <v>75287</v>
      </c>
      <c r="C24964" t="str">
        <f>"8323703"</f>
        <v>8323703</v>
      </c>
      <c r="D24964" t="s">
        <v>75284</v>
      </c>
      <c r="F24964" t="s">
        <v>75285</v>
      </c>
      <c r="I24964" t="s">
        <v>29</v>
      </c>
      <c r="J24964" t="s">
        <v>30</v>
      </c>
      <c r="K24964" t="s">
        <v>14780</v>
      </c>
      <c r="M24964" t="s">
        <v>50621</v>
      </c>
      <c r="N24964" t="str">
        <f>"3/10/2025 10:10:00 AM"</f>
        <v>3/10/2025 10:10:00 AM</v>
      </c>
      <c r="O24964" t="s">
        <v>75284</v>
      </c>
    </row>
    <row r="24965" spans="1:20" x14ac:dyDescent="0.25">
      <c r="A24965" t="str">
        <f>"3055631"</f>
        <v>3055631</v>
      </c>
      <c r="B24965" t="s">
        <v>75288</v>
      </c>
      <c r="C24965" t="str">
        <f>"8323703"</f>
        <v>8323703</v>
      </c>
      <c r="D24965" t="s">
        <v>75284</v>
      </c>
      <c r="F24965" t="s">
        <v>75285</v>
      </c>
      <c r="I24965" t="s">
        <v>29</v>
      </c>
      <c r="J24965" t="s">
        <v>30</v>
      </c>
      <c r="K24965" t="s">
        <v>14780</v>
      </c>
      <c r="M24965" t="s">
        <v>50621</v>
      </c>
      <c r="N24965" t="str">
        <f>"3/10/2025 10:10:00 AM"</f>
        <v>3/10/2025 10:10:00 AM</v>
      </c>
      <c r="O24965" t="s">
        <v>75284</v>
      </c>
    </row>
    <row r="24966" spans="1:20" x14ac:dyDescent="0.25">
      <c r="A24966" t="str">
        <f>"3058589"</f>
        <v>3058589</v>
      </c>
      <c r="B24966" t="s">
        <v>75289</v>
      </c>
      <c r="C24966" t="str">
        <f>"8320893"</f>
        <v>8320893</v>
      </c>
      <c r="D24966" t="s">
        <v>75290</v>
      </c>
      <c r="E24966" t="s">
        <v>75291</v>
      </c>
      <c r="F24966" t="s">
        <v>75292</v>
      </c>
      <c r="I24966" t="s">
        <v>184</v>
      </c>
      <c r="J24966" t="s">
        <v>30</v>
      </c>
      <c r="K24966" t="s">
        <v>64058</v>
      </c>
      <c r="M24966" t="s">
        <v>50500</v>
      </c>
      <c r="N24966" t="str">
        <f>"3/10/2025 10:10:00 AM"</f>
        <v>3/10/2025 10:10:00 AM</v>
      </c>
      <c r="O24966" t="s">
        <v>75290</v>
      </c>
      <c r="T24966" t="s">
        <v>75291</v>
      </c>
    </row>
    <row r="24967" spans="1:20" x14ac:dyDescent="0.25">
      <c r="A24967" t="str">
        <f>"3055719"</f>
        <v>3055719</v>
      </c>
      <c r="B24967" t="s">
        <v>75293</v>
      </c>
      <c r="C24967" t="str">
        <f>"8310673"</f>
        <v>8310673</v>
      </c>
      <c r="D24967" t="s">
        <v>75294</v>
      </c>
      <c r="E24967" t="s">
        <v>75295</v>
      </c>
      <c r="F24967" t="s">
        <v>75296</v>
      </c>
      <c r="I24967" t="s">
        <v>9580</v>
      </c>
      <c r="J24967" t="s">
        <v>30</v>
      </c>
      <c r="K24967" t="s">
        <v>75297</v>
      </c>
      <c r="M24967" t="s">
        <v>50621</v>
      </c>
      <c r="N24967" t="str">
        <f>"3/6/2025 2:33:00 PM"</f>
        <v>3/6/2025 2:33:00 PM</v>
      </c>
      <c r="O24967" t="s">
        <v>75294</v>
      </c>
      <c r="T24967" t="s">
        <v>75295</v>
      </c>
    </row>
    <row r="24968" spans="1:20" x14ac:dyDescent="0.25">
      <c r="A24968" t="str">
        <f>"3051051"</f>
        <v>3051051</v>
      </c>
      <c r="B24968" t="s">
        <v>75298</v>
      </c>
      <c r="C24968" t="str">
        <f>"8300963"</f>
        <v>8300963</v>
      </c>
      <c r="D24968" t="s">
        <v>23110</v>
      </c>
      <c r="E24968" t="s">
        <v>23111</v>
      </c>
      <c r="F24968" t="s">
        <v>23112</v>
      </c>
      <c r="I24968" t="s">
        <v>29</v>
      </c>
      <c r="J24968" t="s">
        <v>30</v>
      </c>
      <c r="K24968" t="str">
        <f>"27028"</f>
        <v>27028</v>
      </c>
      <c r="M24968" t="s">
        <v>50621</v>
      </c>
      <c r="N24968" t="str">
        <f>"3/6/2025 2:35:00 PM"</f>
        <v>3/6/2025 2:35:00 PM</v>
      </c>
      <c r="O24968" t="s">
        <v>23110</v>
      </c>
      <c r="T24968" t="s">
        <v>23111</v>
      </c>
    </row>
    <row r="24969" spans="1:20" x14ac:dyDescent="0.25">
      <c r="A24969" t="str">
        <f>"3059006"</f>
        <v>3059006</v>
      </c>
      <c r="B24969" t="s">
        <v>75299</v>
      </c>
      <c r="C24969" t="str">
        <f>"8322672"</f>
        <v>8322672</v>
      </c>
      <c r="D24969" t="s">
        <v>75300</v>
      </c>
      <c r="F24969" t="s">
        <v>75301</v>
      </c>
      <c r="I24969" t="s">
        <v>1107</v>
      </c>
      <c r="J24969" t="s">
        <v>30</v>
      </c>
      <c r="K24969" t="s">
        <v>75302</v>
      </c>
      <c r="M24969" t="s">
        <v>50793</v>
      </c>
      <c r="N24969" t="str">
        <f>"3/6/2025 2:41:00 PM"</f>
        <v>3/6/2025 2:41:00 PM</v>
      </c>
      <c r="O24969" t="s">
        <v>75300</v>
      </c>
    </row>
    <row r="24970" spans="1:20" x14ac:dyDescent="0.25">
      <c r="A24970" t="str">
        <f>"3068197"</f>
        <v>3068197</v>
      </c>
      <c r="B24970" t="s">
        <v>75303</v>
      </c>
      <c r="C24970" t="str">
        <f>"82527035"</f>
        <v>82527035</v>
      </c>
      <c r="D24970" t="s">
        <v>75304</v>
      </c>
      <c r="F24970" t="s">
        <v>75305</v>
      </c>
      <c r="I24970" t="s">
        <v>3196</v>
      </c>
      <c r="J24970" t="s">
        <v>30</v>
      </c>
      <c r="K24970" t="s">
        <v>75306</v>
      </c>
      <c r="M24970" t="s">
        <v>55757</v>
      </c>
      <c r="N24970" t="str">
        <f>"3/7/2025 8:51:00 AM"</f>
        <v>3/7/2025 8:51:00 AM</v>
      </c>
      <c r="O24970" t="s">
        <v>75304</v>
      </c>
    </row>
    <row r="24971" spans="1:20" x14ac:dyDescent="0.25">
      <c r="A24971" t="str">
        <f>"3068202"</f>
        <v>3068202</v>
      </c>
      <c r="B24971" t="s">
        <v>75307</v>
      </c>
      <c r="C24971" t="str">
        <f>"82527035"</f>
        <v>82527035</v>
      </c>
      <c r="D24971" t="s">
        <v>75304</v>
      </c>
      <c r="F24971" t="s">
        <v>75305</v>
      </c>
      <c r="I24971" t="s">
        <v>3196</v>
      </c>
      <c r="J24971" t="s">
        <v>30</v>
      </c>
      <c r="K24971" t="s">
        <v>75306</v>
      </c>
      <c r="M24971" t="s">
        <v>55757</v>
      </c>
      <c r="N24971" t="str">
        <f>"3/7/2025 8:51:00 AM"</f>
        <v>3/7/2025 8:51:00 AM</v>
      </c>
      <c r="O24971" t="s">
        <v>75304</v>
      </c>
    </row>
    <row r="24972" spans="1:20" x14ac:dyDescent="0.25">
      <c r="A24972" t="str">
        <f>"3068203"</f>
        <v>3068203</v>
      </c>
      <c r="B24972" t="s">
        <v>75308</v>
      </c>
      <c r="C24972" t="str">
        <f>"8305161"</f>
        <v>8305161</v>
      </c>
      <c r="D24972" t="s">
        <v>75304</v>
      </c>
      <c r="F24972" t="s">
        <v>75305</v>
      </c>
      <c r="I24972" t="s">
        <v>3196</v>
      </c>
      <c r="J24972" t="s">
        <v>30</v>
      </c>
      <c r="K24972" t="str">
        <f>"28213"</f>
        <v>28213</v>
      </c>
      <c r="M24972" t="s">
        <v>55757</v>
      </c>
      <c r="N24972" t="str">
        <f>"3/7/2025 8:53:00 AM"</f>
        <v>3/7/2025 8:53:00 AM</v>
      </c>
      <c r="O24972" t="s">
        <v>75304</v>
      </c>
    </row>
    <row r="24973" spans="1:20" x14ac:dyDescent="0.25">
      <c r="A24973" t="str">
        <f>"3056321"</f>
        <v>3056321</v>
      </c>
      <c r="B24973" t="s">
        <v>75309</v>
      </c>
      <c r="C24973" t="str">
        <f>"8302596"</f>
        <v>8302596</v>
      </c>
      <c r="D24973" t="s">
        <v>75310</v>
      </c>
      <c r="E24973" t="str">
        <f>"C/O RICHARD CARSON"</f>
        <v>C/O RICHARD CARSON</v>
      </c>
      <c r="F24973" t="s">
        <v>50117</v>
      </c>
      <c r="I24973" t="s">
        <v>29</v>
      </c>
      <c r="J24973" t="s">
        <v>30</v>
      </c>
      <c r="K24973" t="str">
        <f>"27028"</f>
        <v>27028</v>
      </c>
      <c r="M24973" t="s">
        <v>50621</v>
      </c>
      <c r="N24973" t="str">
        <f>"3/7/2025 9:11:00 AM"</f>
        <v>3/7/2025 9:11:00 AM</v>
      </c>
      <c r="O24973" t="s">
        <v>75310</v>
      </c>
      <c r="T24973" t="str">
        <f>"C/O RICHARD CARSON"</f>
        <v>C/O RICHARD CARSON</v>
      </c>
    </row>
    <row r="24974" spans="1:20" x14ac:dyDescent="0.25">
      <c r="A24974" t="str">
        <f>"3078775"</f>
        <v>3078775</v>
      </c>
      <c r="B24974" t="s">
        <v>75311</v>
      </c>
      <c r="C24974" t="str">
        <f>"19086530"</f>
        <v>19086530</v>
      </c>
      <c r="D24974" t="s">
        <v>75312</v>
      </c>
      <c r="F24974" t="s">
        <v>57044</v>
      </c>
      <c r="I24974" t="s">
        <v>29</v>
      </c>
      <c r="J24974" t="s">
        <v>30</v>
      </c>
      <c r="K24974" t="s">
        <v>19483</v>
      </c>
      <c r="M24974" t="s">
        <v>50621</v>
      </c>
      <c r="N24974" t="str">
        <f>"3/10/2025 2:06:00 PM"</f>
        <v>3/10/2025 2:06:00 PM</v>
      </c>
      <c r="O24974" t="s">
        <v>75312</v>
      </c>
    </row>
    <row r="24975" spans="1:20" x14ac:dyDescent="0.25">
      <c r="A24975" t="str">
        <f>"3077009"</f>
        <v>3077009</v>
      </c>
      <c r="B24975" t="s">
        <v>75313</v>
      </c>
      <c r="C24975" t="str">
        <f>"8320730"</f>
        <v>8320730</v>
      </c>
      <c r="D24975" t="s">
        <v>75314</v>
      </c>
      <c r="E24975" t="s">
        <v>65559</v>
      </c>
      <c r="F24975" t="s">
        <v>75315</v>
      </c>
      <c r="I24975" t="s">
        <v>29</v>
      </c>
      <c r="J24975" t="s">
        <v>30</v>
      </c>
      <c r="K24975" t="s">
        <v>46227</v>
      </c>
      <c r="M24975" t="s">
        <v>50793</v>
      </c>
      <c r="N24975" t="str">
        <f>"3/10/2025 2:17:00 PM"</f>
        <v>3/10/2025 2:17:00 PM</v>
      </c>
      <c r="O24975" t="s">
        <v>75314</v>
      </c>
      <c r="T24975" t="s">
        <v>65559</v>
      </c>
    </row>
    <row r="24976" spans="1:20" x14ac:dyDescent="0.25">
      <c r="A24976" t="str">
        <f>"3047282"</f>
        <v>3047282</v>
      </c>
      <c r="B24976" t="s">
        <v>75316</v>
      </c>
      <c r="C24976" t="str">
        <f>"8315950"</f>
        <v>8315950</v>
      </c>
      <c r="D24976" t="s">
        <v>75317</v>
      </c>
      <c r="E24976" t="s">
        <v>75318</v>
      </c>
      <c r="F24976" t="s">
        <v>75319</v>
      </c>
      <c r="I24976" t="s">
        <v>184</v>
      </c>
      <c r="J24976" t="s">
        <v>30</v>
      </c>
      <c r="K24976" t="s">
        <v>51529</v>
      </c>
      <c r="M24976" t="s">
        <v>50793</v>
      </c>
      <c r="N24976" t="str">
        <f>"3/10/2025 2:34:00 PM"</f>
        <v>3/10/2025 2:34:00 PM</v>
      </c>
      <c r="O24976" t="s">
        <v>75317</v>
      </c>
      <c r="T24976" t="s">
        <v>75318</v>
      </c>
    </row>
    <row r="24977" spans="1:20" x14ac:dyDescent="0.25">
      <c r="A24977" t="str">
        <f>"3052495"</f>
        <v>3052495</v>
      </c>
      <c r="B24977" t="s">
        <v>75320</v>
      </c>
      <c r="C24977" t="str">
        <f>"8318361"</f>
        <v>8318361</v>
      </c>
      <c r="D24977" t="s">
        <v>75321</v>
      </c>
      <c r="E24977" t="str">
        <f>"CULPEPPER TANGELA B/BENSON LES"</f>
        <v>CULPEPPER TANGELA B/BENSON LES</v>
      </c>
      <c r="F24977" t="s">
        <v>75322</v>
      </c>
      <c r="I24977" t="s">
        <v>29</v>
      </c>
      <c r="J24977" t="s">
        <v>30</v>
      </c>
      <c r="K24977" t="s">
        <v>44508</v>
      </c>
      <c r="M24977" t="s">
        <v>50621</v>
      </c>
      <c r="N24977" t="str">
        <f>"3/10/2025 2:57:00 PM"</f>
        <v>3/10/2025 2:57:00 PM</v>
      </c>
      <c r="O24977" t="s">
        <v>75321</v>
      </c>
      <c r="T24977" t="str">
        <f>"CULPEPPER TANGELA B/BENSON LES"</f>
        <v>CULPEPPER TANGELA B/BENSON LES</v>
      </c>
    </row>
    <row r="24978" spans="1:20" x14ac:dyDescent="0.25">
      <c r="A24978" t="str">
        <f>"3054838"</f>
        <v>3054838</v>
      </c>
      <c r="B24978" t="s">
        <v>75323</v>
      </c>
      <c r="C24978" t="str">
        <f>"82522301"</f>
        <v>82522301</v>
      </c>
      <c r="D24978" t="s">
        <v>75324</v>
      </c>
      <c r="F24978" t="s">
        <v>75325</v>
      </c>
      <c r="I24978" t="s">
        <v>29</v>
      </c>
      <c r="J24978" t="s">
        <v>30</v>
      </c>
      <c r="K24978" t="s">
        <v>75326</v>
      </c>
      <c r="M24978" t="s">
        <v>50621</v>
      </c>
      <c r="N24978" t="str">
        <f>"3/7/2025 9:13:00 AM"</f>
        <v>3/7/2025 9:13:00 AM</v>
      </c>
      <c r="O24978" t="s">
        <v>75324</v>
      </c>
    </row>
    <row r="24979" spans="1:20" x14ac:dyDescent="0.25">
      <c r="A24979" t="str">
        <f>"3052199"</f>
        <v>3052199</v>
      </c>
      <c r="B24979" t="s">
        <v>75327</v>
      </c>
      <c r="C24979" t="str">
        <f>"82529983"</f>
        <v>82529983</v>
      </c>
      <c r="D24979" t="s">
        <v>75328</v>
      </c>
      <c r="F24979" t="s">
        <v>75329</v>
      </c>
      <c r="I24979" t="s">
        <v>75330</v>
      </c>
      <c r="J24979" t="s">
        <v>11994</v>
      </c>
      <c r="K24979" t="s">
        <v>75331</v>
      </c>
      <c r="M24979" t="s">
        <v>50621</v>
      </c>
      <c r="N24979" t="str">
        <f>"3/7/2025 9:22:00 AM"</f>
        <v>3/7/2025 9:22:00 AM</v>
      </c>
      <c r="O24979" t="s">
        <v>75328</v>
      </c>
    </row>
    <row r="24980" spans="1:20" x14ac:dyDescent="0.25">
      <c r="A24980" t="str">
        <f>"3078026"</f>
        <v>3078026</v>
      </c>
      <c r="B24980" t="s">
        <v>75332</v>
      </c>
      <c r="C24980" t="str">
        <f>"8313265"</f>
        <v>8313265</v>
      </c>
      <c r="D24980" t="s">
        <v>75333</v>
      </c>
      <c r="E24980" t="s">
        <v>75334</v>
      </c>
      <c r="F24980" t="s">
        <v>75335</v>
      </c>
      <c r="I24980" t="s">
        <v>184</v>
      </c>
      <c r="J24980" t="s">
        <v>30</v>
      </c>
      <c r="K24980" t="s">
        <v>75336</v>
      </c>
      <c r="M24980" t="s">
        <v>55757</v>
      </c>
      <c r="N24980" t="str">
        <f>"3/11/2025 8:51:00 AM"</f>
        <v>3/11/2025 8:51:00 AM</v>
      </c>
      <c r="O24980" t="s">
        <v>75333</v>
      </c>
      <c r="T24980" t="s">
        <v>75334</v>
      </c>
    </row>
    <row r="24981" spans="1:20" x14ac:dyDescent="0.25">
      <c r="A24981" t="str">
        <f>"3062789"</f>
        <v>3062789</v>
      </c>
      <c r="B24981" t="s">
        <v>75337</v>
      </c>
      <c r="C24981" t="str">
        <f>"8306870"</f>
        <v>8306870</v>
      </c>
      <c r="D24981" t="s">
        <v>75338</v>
      </c>
      <c r="F24981" t="s">
        <v>75339</v>
      </c>
      <c r="I24981" t="s">
        <v>75340</v>
      </c>
      <c r="J24981" t="s">
        <v>17511</v>
      </c>
      <c r="K24981" t="s">
        <v>75341</v>
      </c>
      <c r="M24981" t="s">
        <v>25733</v>
      </c>
      <c r="N24981" t="str">
        <f>"3/11/2025 9:17:00 AM"</f>
        <v>3/11/2025 9:17:00 AM</v>
      </c>
      <c r="O24981" t="s">
        <v>75338</v>
      </c>
    </row>
    <row r="24982" spans="1:20" x14ac:dyDescent="0.25">
      <c r="A24982" t="str">
        <f>"3058714"</f>
        <v>3058714</v>
      </c>
      <c r="B24982" t="s">
        <v>75342</v>
      </c>
      <c r="C24982" t="str">
        <f>"8322776"</f>
        <v>8322776</v>
      </c>
      <c r="D24982" t="s">
        <v>75343</v>
      </c>
      <c r="E24982" t="s">
        <v>75344</v>
      </c>
      <c r="F24982" t="s">
        <v>67609</v>
      </c>
      <c r="I24982" t="s">
        <v>29</v>
      </c>
      <c r="J24982" t="s">
        <v>30</v>
      </c>
      <c r="K24982" t="s">
        <v>18425</v>
      </c>
      <c r="M24982" t="s">
        <v>50500</v>
      </c>
      <c r="N24982" t="str">
        <f>"3/11/2025 9:13:00 AM"</f>
        <v>3/11/2025 9:13:00 AM</v>
      </c>
      <c r="O24982" t="s">
        <v>75343</v>
      </c>
      <c r="T24982" t="s">
        <v>75344</v>
      </c>
    </row>
    <row r="24983" spans="1:20" x14ac:dyDescent="0.25">
      <c r="A24983" t="str">
        <f>"3041343"</f>
        <v>3041343</v>
      </c>
      <c r="B24983" t="s">
        <v>75345</v>
      </c>
      <c r="C24983" t="str">
        <f>"8310192"</f>
        <v>8310192</v>
      </c>
      <c r="D24983" t="s">
        <v>75346</v>
      </c>
      <c r="F24983" t="s">
        <v>75339</v>
      </c>
      <c r="I24983" t="s">
        <v>75340</v>
      </c>
      <c r="J24983" t="s">
        <v>17511</v>
      </c>
      <c r="K24983" t="s">
        <v>75341</v>
      </c>
      <c r="M24983" t="s">
        <v>25733</v>
      </c>
      <c r="N24983" t="str">
        <f>"3/11/2025 9:22:00 AM"</f>
        <v>3/11/2025 9:22:00 AM</v>
      </c>
      <c r="O24983" t="s">
        <v>75346</v>
      </c>
    </row>
    <row r="24984" spans="1:20" x14ac:dyDescent="0.25">
      <c r="A24984" t="str">
        <f>"3062936"</f>
        <v>3062936</v>
      </c>
      <c r="B24984" t="s">
        <v>75347</v>
      </c>
      <c r="C24984" t="str">
        <f>"8321169"</f>
        <v>8321169</v>
      </c>
      <c r="D24984" t="s">
        <v>75348</v>
      </c>
      <c r="F24984" t="s">
        <v>75349</v>
      </c>
      <c r="I24984" t="s">
        <v>29</v>
      </c>
      <c r="J24984" t="s">
        <v>30</v>
      </c>
      <c r="K24984" t="s">
        <v>75350</v>
      </c>
      <c r="M24984" t="s">
        <v>50621</v>
      </c>
      <c r="N24984" t="str">
        <f>"3/11/2025 9:53:00 AM"</f>
        <v>3/11/2025 9:53:00 AM</v>
      </c>
      <c r="O24984" t="s">
        <v>75348</v>
      </c>
    </row>
    <row r="24985" spans="1:20" x14ac:dyDescent="0.25">
      <c r="A24985" t="str">
        <f>"3046418"</f>
        <v>3046418</v>
      </c>
      <c r="B24985" t="s">
        <v>75351</v>
      </c>
      <c r="C24985" t="str">
        <f>"48775000"</f>
        <v>48775000</v>
      </c>
      <c r="D24985" t="s">
        <v>75352</v>
      </c>
      <c r="F24985" t="s">
        <v>75353</v>
      </c>
      <c r="I24985" t="s">
        <v>29</v>
      </c>
      <c r="J24985" t="s">
        <v>30</v>
      </c>
      <c r="K24985" t="s">
        <v>31</v>
      </c>
      <c r="M24985" t="s">
        <v>50621</v>
      </c>
      <c r="N24985" t="str">
        <f>"3/11/2025 10:00:00 AM"</f>
        <v>3/11/2025 10:00:00 AM</v>
      </c>
      <c r="O24985" t="s">
        <v>75352</v>
      </c>
    </row>
    <row r="24986" spans="1:20" x14ac:dyDescent="0.25">
      <c r="A24986" t="str">
        <f>"3040083"</f>
        <v>3040083</v>
      </c>
      <c r="B24986" t="s">
        <v>75354</v>
      </c>
      <c r="C24986" t="str">
        <f>"8302236"</f>
        <v>8302236</v>
      </c>
      <c r="D24986" t="s">
        <v>75355</v>
      </c>
      <c r="E24986" t="s">
        <v>75356</v>
      </c>
      <c r="F24986" t="s">
        <v>70430</v>
      </c>
      <c r="I24986" t="s">
        <v>29</v>
      </c>
      <c r="J24986" t="s">
        <v>30</v>
      </c>
      <c r="K24986" t="s">
        <v>70431</v>
      </c>
      <c r="M24986" t="s">
        <v>50500</v>
      </c>
      <c r="N24986" t="str">
        <f>"3/11/2025 10:23:00 AM"</f>
        <v>3/11/2025 10:23:00 AM</v>
      </c>
      <c r="O24986" t="s">
        <v>75355</v>
      </c>
      <c r="T24986" t="s">
        <v>75356</v>
      </c>
    </row>
    <row r="24987" spans="1:20" x14ac:dyDescent="0.25">
      <c r="A24987" t="str">
        <f>"3059663"</f>
        <v>3059663</v>
      </c>
      <c r="B24987" t="s">
        <v>75357</v>
      </c>
      <c r="C24987" t="str">
        <f>"8313430"</f>
        <v>8313430</v>
      </c>
      <c r="D24987" t="s">
        <v>75199</v>
      </c>
      <c r="F24987" t="s">
        <v>75200</v>
      </c>
      <c r="I24987" t="s">
        <v>29</v>
      </c>
      <c r="J24987" t="s">
        <v>30</v>
      </c>
      <c r="K24987" t="s">
        <v>8004</v>
      </c>
      <c r="M24987" t="s">
        <v>50621</v>
      </c>
      <c r="N24987" t="str">
        <f>"3/7/2025 9:52:00 AM"</f>
        <v>3/7/2025 9:52:00 AM</v>
      </c>
      <c r="O24987" t="s">
        <v>75199</v>
      </c>
    </row>
    <row r="24988" spans="1:20" x14ac:dyDescent="0.25">
      <c r="A24988" t="str">
        <f>"3059478"</f>
        <v>3059478</v>
      </c>
      <c r="B24988" t="s">
        <v>75358</v>
      </c>
      <c r="C24988" t="str">
        <f>"82519450"</f>
        <v>82519450</v>
      </c>
      <c r="D24988" t="s">
        <v>75359</v>
      </c>
      <c r="E24988" t="str">
        <f>"C/O CLARA PATTI"</f>
        <v>C/O CLARA PATTI</v>
      </c>
      <c r="F24988" t="s">
        <v>75360</v>
      </c>
      <c r="I24988" t="s">
        <v>29</v>
      </c>
      <c r="J24988" t="s">
        <v>30</v>
      </c>
      <c r="K24988" t="s">
        <v>74419</v>
      </c>
      <c r="M24988" t="s">
        <v>50621</v>
      </c>
      <c r="N24988" t="str">
        <f>"3/6/2025 11:37:00 AM"</f>
        <v>3/6/2025 11:37:00 AM</v>
      </c>
      <c r="O24988" t="s">
        <v>75359</v>
      </c>
      <c r="T24988" t="str">
        <f>"C/O CLARA PATTI"</f>
        <v>C/O CLARA PATTI</v>
      </c>
    </row>
    <row r="24989" spans="1:20" x14ac:dyDescent="0.25">
      <c r="A24989" t="str">
        <f>"3078177"</f>
        <v>3078177</v>
      </c>
      <c r="B24989" t="s">
        <v>75361</v>
      </c>
      <c r="C24989" t="str">
        <f>"11400000"</f>
        <v>11400000</v>
      </c>
      <c r="D24989" t="s">
        <v>75362</v>
      </c>
      <c r="F24989" t="s">
        <v>75363</v>
      </c>
      <c r="I24989" t="s">
        <v>29</v>
      </c>
      <c r="J24989" t="s">
        <v>30</v>
      </c>
      <c r="K24989" t="s">
        <v>33071</v>
      </c>
      <c r="M24989" t="s">
        <v>50621</v>
      </c>
      <c r="N24989" t="str">
        <f>"3/11/2025 11:05:00 AM"</f>
        <v>3/11/2025 11:05:00 AM</v>
      </c>
      <c r="O24989" t="s">
        <v>75362</v>
      </c>
    </row>
    <row r="24990" spans="1:20" x14ac:dyDescent="0.25">
      <c r="A24990" t="str">
        <f>"3056390"</f>
        <v>3056390</v>
      </c>
      <c r="B24990" t="s">
        <v>75364</v>
      </c>
      <c r="C24990" t="str">
        <f>"82527759"</f>
        <v>82527759</v>
      </c>
      <c r="D24990" t="s">
        <v>75365</v>
      </c>
      <c r="F24990" t="s">
        <v>75366</v>
      </c>
      <c r="I24990" t="s">
        <v>2525</v>
      </c>
      <c r="J24990" t="s">
        <v>30</v>
      </c>
      <c r="K24990" t="s">
        <v>75367</v>
      </c>
      <c r="M24990" t="s">
        <v>50621</v>
      </c>
      <c r="N24990" t="str">
        <f>"3/11/2025 11:09:00 AM"</f>
        <v>3/11/2025 11:09:00 AM</v>
      </c>
      <c r="O24990" t="s">
        <v>75365</v>
      </c>
    </row>
    <row r="24991" spans="1:20" x14ac:dyDescent="0.25">
      <c r="A24991" t="str">
        <f>"3042687"</f>
        <v>3042687</v>
      </c>
      <c r="B24991" t="s">
        <v>75368</v>
      </c>
      <c r="C24991" t="str">
        <f>"8315408"</f>
        <v>8315408</v>
      </c>
      <c r="D24991" t="s">
        <v>75369</v>
      </c>
      <c r="E24991" t="s">
        <v>75370</v>
      </c>
      <c r="F24991" t="s">
        <v>75371</v>
      </c>
      <c r="I24991" t="s">
        <v>29</v>
      </c>
      <c r="J24991" t="s">
        <v>30</v>
      </c>
      <c r="K24991" t="s">
        <v>75372</v>
      </c>
      <c r="M24991" t="s">
        <v>50621</v>
      </c>
      <c r="N24991" t="str">
        <f>"3/11/2025 11:14:00 AM"</f>
        <v>3/11/2025 11:14:00 AM</v>
      </c>
      <c r="O24991" t="s">
        <v>75369</v>
      </c>
      <c r="T24991" t="s">
        <v>75370</v>
      </c>
    </row>
    <row r="24992" spans="1:20" x14ac:dyDescent="0.25">
      <c r="A24992" t="str">
        <f>"3050322"</f>
        <v>3050322</v>
      </c>
      <c r="B24992" t="s">
        <v>75373</v>
      </c>
      <c r="C24992" t="str">
        <f>"8302426"</f>
        <v>8302426</v>
      </c>
      <c r="D24992" t="s">
        <v>75374</v>
      </c>
      <c r="E24992" t="s">
        <v>75375</v>
      </c>
      <c r="F24992" t="s">
        <v>75376</v>
      </c>
      <c r="I24992" t="s">
        <v>29</v>
      </c>
      <c r="J24992" t="s">
        <v>30</v>
      </c>
      <c r="K24992" t="str">
        <f>"27028"</f>
        <v>27028</v>
      </c>
      <c r="M24992" t="s">
        <v>50621</v>
      </c>
      <c r="N24992" t="str">
        <f>"3/11/2025 11:14:00 AM"</f>
        <v>3/11/2025 11:14:00 AM</v>
      </c>
      <c r="O24992" t="s">
        <v>75374</v>
      </c>
      <c r="T24992" t="s">
        <v>75375</v>
      </c>
    </row>
    <row r="24993" spans="1:20" x14ac:dyDescent="0.25">
      <c r="A24993" t="str">
        <f>"3039162"</f>
        <v>3039162</v>
      </c>
      <c r="B24993" t="s">
        <v>75377</v>
      </c>
      <c r="C24993" t="str">
        <f>"8312108"</f>
        <v>8312108</v>
      </c>
      <c r="D24993" t="s">
        <v>75378</v>
      </c>
      <c r="F24993" t="s">
        <v>75379</v>
      </c>
      <c r="I24993" t="s">
        <v>29</v>
      </c>
      <c r="J24993" t="s">
        <v>30</v>
      </c>
      <c r="K24993" t="s">
        <v>23550</v>
      </c>
      <c r="M24993" t="s">
        <v>50621</v>
      </c>
      <c r="N24993" t="str">
        <f>"3/6/2025 11:45:00 AM"</f>
        <v>3/6/2025 11:45:00 AM</v>
      </c>
      <c r="O24993" t="s">
        <v>75378</v>
      </c>
    </row>
    <row r="24994" spans="1:20" x14ac:dyDescent="0.25">
      <c r="A24994" t="str">
        <f>"3054569"</f>
        <v>3054569</v>
      </c>
      <c r="B24994" t="s">
        <v>75380</v>
      </c>
      <c r="C24994" t="str">
        <f>"16358700"</f>
        <v>16358700</v>
      </c>
      <c r="D24994" t="s">
        <v>75381</v>
      </c>
      <c r="F24994" t="s">
        <v>75382</v>
      </c>
      <c r="I24994" t="s">
        <v>29</v>
      </c>
      <c r="J24994" t="s">
        <v>30</v>
      </c>
      <c r="K24994" t="s">
        <v>15199</v>
      </c>
      <c r="M24994" t="s">
        <v>50621</v>
      </c>
      <c r="N24994" t="str">
        <f>"3/7/2025 2:28:00 PM"</f>
        <v>3/7/2025 2:28:00 PM</v>
      </c>
      <c r="O24994" t="s">
        <v>75381</v>
      </c>
    </row>
    <row r="24995" spans="1:20" x14ac:dyDescent="0.25">
      <c r="A24995" t="str">
        <f>"3047243"</f>
        <v>3047243</v>
      </c>
      <c r="B24995" t="s">
        <v>75383</v>
      </c>
      <c r="C24995" t="str">
        <f>"16568500"</f>
        <v>16568500</v>
      </c>
      <c r="D24995" t="s">
        <v>75384</v>
      </c>
      <c r="E24995" t="s">
        <v>67857</v>
      </c>
      <c r="F24995" t="s">
        <v>67858</v>
      </c>
      <c r="I24995" t="s">
        <v>184</v>
      </c>
      <c r="J24995" t="s">
        <v>30</v>
      </c>
      <c r="K24995" t="s">
        <v>48640</v>
      </c>
      <c r="M24995" t="s">
        <v>50621</v>
      </c>
      <c r="N24995" t="str">
        <f>"3/7/2025 2:36:00 PM"</f>
        <v>3/7/2025 2:36:00 PM</v>
      </c>
      <c r="O24995" t="s">
        <v>75384</v>
      </c>
      <c r="T24995" t="s">
        <v>67857</v>
      </c>
    </row>
    <row r="24996" spans="1:20" x14ac:dyDescent="0.25">
      <c r="A24996" t="str">
        <f>"3048147"</f>
        <v>3048147</v>
      </c>
      <c r="B24996" t="s">
        <v>75385</v>
      </c>
      <c r="C24996" t="str">
        <f>"82527826"</f>
        <v>82527826</v>
      </c>
      <c r="D24996" t="s">
        <v>75386</v>
      </c>
      <c r="F24996" t="s">
        <v>75387</v>
      </c>
      <c r="I24996" t="s">
        <v>184</v>
      </c>
      <c r="J24996" t="s">
        <v>30</v>
      </c>
      <c r="K24996" t="s">
        <v>185</v>
      </c>
      <c r="M24996" t="s">
        <v>50621</v>
      </c>
      <c r="N24996" t="str">
        <f>"3/11/2025 12:08:00 PM"</f>
        <v>3/11/2025 12:08:00 PM</v>
      </c>
      <c r="O24996" t="s">
        <v>75386</v>
      </c>
    </row>
    <row r="24997" spans="1:20" x14ac:dyDescent="0.25">
      <c r="A24997" t="str">
        <f>"3047640"</f>
        <v>3047640</v>
      </c>
      <c r="B24997" t="s">
        <v>75388</v>
      </c>
      <c r="C24997" t="str">
        <f>"82527826"</f>
        <v>82527826</v>
      </c>
      <c r="D24997" t="s">
        <v>75386</v>
      </c>
      <c r="F24997" t="s">
        <v>75387</v>
      </c>
      <c r="I24997" t="s">
        <v>184</v>
      </c>
      <c r="J24997" t="s">
        <v>30</v>
      </c>
      <c r="K24997" t="s">
        <v>185</v>
      </c>
      <c r="M24997" t="s">
        <v>50621</v>
      </c>
      <c r="N24997" t="str">
        <f>"3/11/2025 12:08:00 PM"</f>
        <v>3/11/2025 12:08:00 PM</v>
      </c>
      <c r="O24997" t="s">
        <v>75386</v>
      </c>
    </row>
    <row r="24998" spans="1:20" x14ac:dyDescent="0.25">
      <c r="A24998" t="str">
        <f>"3049713"</f>
        <v>3049713</v>
      </c>
      <c r="B24998" t="s">
        <v>75389</v>
      </c>
      <c r="C24998" t="str">
        <f>"79819190"</f>
        <v>79819190</v>
      </c>
      <c r="D24998" t="s">
        <v>75264</v>
      </c>
      <c r="F24998" t="s">
        <v>75265</v>
      </c>
      <c r="I24998" t="s">
        <v>184</v>
      </c>
      <c r="J24998" t="s">
        <v>30</v>
      </c>
      <c r="K24998" t="str">
        <f>"27006"</f>
        <v>27006</v>
      </c>
      <c r="M24998" t="s">
        <v>50793</v>
      </c>
      <c r="N24998" t="str">
        <f>"3/10/2025 8:20:00 AM"</f>
        <v>3/10/2025 8:20:00 AM</v>
      </c>
      <c r="O24998" t="s">
        <v>75264</v>
      </c>
    </row>
    <row r="24999" spans="1:20" x14ac:dyDescent="0.25">
      <c r="A24999" t="str">
        <f>"3056869"</f>
        <v>3056869</v>
      </c>
      <c r="B24999" t="s">
        <v>75390</v>
      </c>
      <c r="C24999" t="str">
        <f>"8308769"</f>
        <v>8308769</v>
      </c>
      <c r="D24999" t="s">
        <v>75391</v>
      </c>
      <c r="E24999" t="s">
        <v>75392</v>
      </c>
      <c r="F24999" t="s">
        <v>75393</v>
      </c>
      <c r="I24999" t="s">
        <v>29</v>
      </c>
      <c r="J24999" t="s">
        <v>30</v>
      </c>
      <c r="K24999" t="s">
        <v>40065</v>
      </c>
      <c r="M24999" t="s">
        <v>50793</v>
      </c>
      <c r="N24999" t="str">
        <f>"3/10/2025 9:30:00 AM"</f>
        <v>3/10/2025 9:30:00 AM</v>
      </c>
      <c r="O24999" t="s">
        <v>75391</v>
      </c>
      <c r="T24999" t="s">
        <v>75392</v>
      </c>
    </row>
    <row r="25000" spans="1:20" x14ac:dyDescent="0.25">
      <c r="A25000" t="str">
        <f>"3042184"</f>
        <v>3042184</v>
      </c>
      <c r="B25000" t="s">
        <v>75394</v>
      </c>
      <c r="C25000" t="str">
        <f>"82532308"</f>
        <v>82532308</v>
      </c>
      <c r="D25000" t="s">
        <v>75395</v>
      </c>
      <c r="F25000" t="s">
        <v>75396</v>
      </c>
      <c r="G25000" t="s">
        <v>75397</v>
      </c>
      <c r="I25000" t="s">
        <v>75398</v>
      </c>
      <c r="J25000" t="s">
        <v>30708</v>
      </c>
      <c r="K25000" t="s">
        <v>75399</v>
      </c>
      <c r="M25000" t="s">
        <v>50621</v>
      </c>
      <c r="N25000" t="str">
        <f>"3/11/2025 12:29:00 PM"</f>
        <v>3/11/2025 12:29:00 PM</v>
      </c>
      <c r="O25000" t="s">
        <v>75395</v>
      </c>
    </row>
    <row r="25001" spans="1:20" x14ac:dyDescent="0.25">
      <c r="A25001" t="str">
        <f>"3043215"</f>
        <v>3043215</v>
      </c>
      <c r="B25001" t="s">
        <v>75400</v>
      </c>
      <c r="C25001" t="str">
        <f>"19354250"</f>
        <v>19354250</v>
      </c>
      <c r="D25001" t="s">
        <v>75401</v>
      </c>
      <c r="F25001" t="s">
        <v>63342</v>
      </c>
      <c r="I25001" t="s">
        <v>471</v>
      </c>
      <c r="J25001" t="s">
        <v>30</v>
      </c>
      <c r="K25001" t="s">
        <v>63343</v>
      </c>
      <c r="M25001" t="s">
        <v>50621</v>
      </c>
      <c r="N25001" t="str">
        <f>"3/11/2025 12:37:00 PM"</f>
        <v>3/11/2025 12:37:00 PM</v>
      </c>
      <c r="O25001" t="s">
        <v>75401</v>
      </c>
    </row>
    <row r="25002" spans="1:20" x14ac:dyDescent="0.25">
      <c r="A25002" t="str">
        <f>"3043404"</f>
        <v>3043404</v>
      </c>
      <c r="B25002" t="s">
        <v>75402</v>
      </c>
      <c r="C25002" t="str">
        <f>"8315990"</f>
        <v>8315990</v>
      </c>
      <c r="D25002" t="s">
        <v>75403</v>
      </c>
      <c r="E25002" t="s">
        <v>75404</v>
      </c>
      <c r="F25002" t="s">
        <v>75405</v>
      </c>
      <c r="I25002" t="s">
        <v>29</v>
      </c>
      <c r="J25002" t="s">
        <v>30</v>
      </c>
      <c r="K25002" t="s">
        <v>24907</v>
      </c>
      <c r="M25002" t="s">
        <v>50621</v>
      </c>
      <c r="N25002" t="str">
        <f>"3/11/2025 12:39:00 PM"</f>
        <v>3/11/2025 12:39:00 PM</v>
      </c>
      <c r="O25002" t="s">
        <v>75403</v>
      </c>
      <c r="T25002" t="s">
        <v>75404</v>
      </c>
    </row>
    <row r="25003" spans="1:20" x14ac:dyDescent="0.25">
      <c r="A25003" t="str">
        <f>"3043577"</f>
        <v>3043577</v>
      </c>
      <c r="B25003" t="s">
        <v>75406</v>
      </c>
      <c r="C25003" t="str">
        <f>"8311593"</f>
        <v>8311593</v>
      </c>
      <c r="D25003" t="s">
        <v>75407</v>
      </c>
      <c r="F25003" t="s">
        <v>75408</v>
      </c>
      <c r="I25003" t="s">
        <v>75409</v>
      </c>
      <c r="J25003" t="s">
        <v>30</v>
      </c>
      <c r="K25003" t="s">
        <v>75410</v>
      </c>
      <c r="M25003" t="s">
        <v>50621</v>
      </c>
      <c r="N25003" t="str">
        <f>"3/11/2025 12:41:00 PM"</f>
        <v>3/11/2025 12:41:00 PM</v>
      </c>
      <c r="O25003" t="s">
        <v>75407</v>
      </c>
    </row>
    <row r="25004" spans="1:20" x14ac:dyDescent="0.25">
      <c r="A25004" t="str">
        <f>"3037420"</f>
        <v>3037420</v>
      </c>
      <c r="B25004" t="s">
        <v>75411</v>
      </c>
      <c r="C25004" t="str">
        <f>"82518481"</f>
        <v>82518481</v>
      </c>
      <c r="D25004" t="s">
        <v>75412</v>
      </c>
      <c r="F25004" t="s">
        <v>75413</v>
      </c>
      <c r="I25004" t="s">
        <v>73185</v>
      </c>
      <c r="J25004" t="s">
        <v>30</v>
      </c>
      <c r="K25004" t="s">
        <v>75414</v>
      </c>
      <c r="M25004" t="s">
        <v>50621</v>
      </c>
      <c r="N25004" t="str">
        <f>"3/11/2025 12:46:00 PM"</f>
        <v>3/11/2025 12:46:00 PM</v>
      </c>
      <c r="O25004" t="s">
        <v>75412</v>
      </c>
    </row>
    <row r="25005" spans="1:20" x14ac:dyDescent="0.25">
      <c r="A25005" t="str">
        <f>"3078217"</f>
        <v>3078217</v>
      </c>
      <c r="B25005" t="s">
        <v>75415</v>
      </c>
      <c r="C25005" t="str">
        <f>"8323913"</f>
        <v>8323913</v>
      </c>
      <c r="D25005" t="s">
        <v>75416</v>
      </c>
      <c r="E25005" t="s">
        <v>75417</v>
      </c>
      <c r="F25005" t="s">
        <v>75418</v>
      </c>
      <c r="I25005" t="s">
        <v>51419</v>
      </c>
      <c r="J25005" t="s">
        <v>30</v>
      </c>
      <c r="K25005" t="s">
        <v>75419</v>
      </c>
      <c r="M25005" t="s">
        <v>50500</v>
      </c>
      <c r="N25005" t="str">
        <f>"3/11/2025 12:56:00 PM"</f>
        <v>3/11/2025 12:56:00 PM</v>
      </c>
      <c r="O25005" t="s">
        <v>75416</v>
      </c>
      <c r="T25005" t="s">
        <v>75417</v>
      </c>
    </row>
    <row r="25006" spans="1:20" x14ac:dyDescent="0.25">
      <c r="A25006" t="str">
        <f>"3068663"</f>
        <v>3068663</v>
      </c>
      <c r="B25006" t="s">
        <v>75420</v>
      </c>
      <c r="C25006" t="str">
        <f>"8323914"</f>
        <v>8323914</v>
      </c>
      <c r="D25006" t="s">
        <v>75421</v>
      </c>
      <c r="E25006" t="s">
        <v>75422</v>
      </c>
      <c r="F25006" t="s">
        <v>75423</v>
      </c>
      <c r="I25006" t="s">
        <v>29</v>
      </c>
      <c r="J25006" t="s">
        <v>30</v>
      </c>
      <c r="K25006" t="s">
        <v>53637</v>
      </c>
      <c r="M25006" t="s">
        <v>50500</v>
      </c>
      <c r="N25006" t="str">
        <f>"3/11/2025 4:07:00 PM"</f>
        <v>3/11/2025 4:07:00 PM</v>
      </c>
      <c r="O25006" t="s">
        <v>75421</v>
      </c>
      <c r="T25006" t="s">
        <v>75422</v>
      </c>
    </row>
    <row r="25007" spans="1:20" x14ac:dyDescent="0.25">
      <c r="A25007" t="str">
        <f>"3057801"</f>
        <v>3057801</v>
      </c>
      <c r="B25007" t="s">
        <v>75424</v>
      </c>
      <c r="C25007" t="str">
        <f>"8304216"</f>
        <v>8304216</v>
      </c>
      <c r="D25007" t="s">
        <v>75425</v>
      </c>
      <c r="E25007" t="s">
        <v>75426</v>
      </c>
      <c r="F25007" t="s">
        <v>74585</v>
      </c>
      <c r="G25007" t="s">
        <v>74586</v>
      </c>
      <c r="I25007" t="s">
        <v>12628</v>
      </c>
      <c r="J25007" t="s">
        <v>3990</v>
      </c>
      <c r="K25007" t="s">
        <v>74587</v>
      </c>
      <c r="M25007" t="s">
        <v>50793</v>
      </c>
      <c r="N25007" t="str">
        <f>"3/11/2025 4:14:00 PM"</f>
        <v>3/11/2025 4:14:00 PM</v>
      </c>
      <c r="O25007" t="s">
        <v>75425</v>
      </c>
      <c r="T25007" t="s">
        <v>75426</v>
      </c>
    </row>
    <row r="25008" spans="1:20" x14ac:dyDescent="0.25">
      <c r="A25008" t="str">
        <f>"3059276"</f>
        <v>3059276</v>
      </c>
      <c r="B25008" t="s">
        <v>75427</v>
      </c>
      <c r="C25008" t="str">
        <f>"8302523"</f>
        <v>8302523</v>
      </c>
      <c r="D25008" t="s">
        <v>75428</v>
      </c>
      <c r="E25008" t="s">
        <v>74584</v>
      </c>
      <c r="F25008" t="s">
        <v>75429</v>
      </c>
      <c r="I25008" t="s">
        <v>75430</v>
      </c>
      <c r="J25008" t="s">
        <v>75431</v>
      </c>
      <c r="K25008" t="str">
        <f>"80222"</f>
        <v>80222</v>
      </c>
      <c r="M25008" t="s">
        <v>50793</v>
      </c>
      <c r="N25008" t="str">
        <f>"3/11/2025 4:14:00 PM"</f>
        <v>3/11/2025 4:14:00 PM</v>
      </c>
      <c r="O25008" t="s">
        <v>75428</v>
      </c>
      <c r="T25008" t="s">
        <v>74584</v>
      </c>
    </row>
    <row r="25009" spans="1:20" x14ac:dyDescent="0.25">
      <c r="A25009" t="str">
        <f>"3055444"</f>
        <v>3055444</v>
      </c>
      <c r="B25009" t="s">
        <v>75432</v>
      </c>
      <c r="C25009" t="str">
        <f>"8316034"</f>
        <v>8316034</v>
      </c>
      <c r="D25009" t="s">
        <v>75433</v>
      </c>
      <c r="F25009" t="s">
        <v>75434</v>
      </c>
      <c r="I25009" t="s">
        <v>26503</v>
      </c>
      <c r="J25009" t="s">
        <v>30</v>
      </c>
      <c r="K25009" t="str">
        <f>"27024"</f>
        <v>27024</v>
      </c>
      <c r="M25009" t="s">
        <v>50621</v>
      </c>
      <c r="N25009" t="str">
        <f>"3/10/2025 10:04:00 AM"</f>
        <v>3/10/2025 10:04:00 AM</v>
      </c>
      <c r="O25009" t="s">
        <v>75433</v>
      </c>
    </row>
    <row r="25010" spans="1:20" x14ac:dyDescent="0.25">
      <c r="A25010" t="str">
        <f>"3056012"</f>
        <v>3056012</v>
      </c>
      <c r="B25010" t="s">
        <v>75435</v>
      </c>
      <c r="C25010" t="str">
        <f>"8318191"</f>
        <v>8318191</v>
      </c>
      <c r="D25010" t="s">
        <v>75436</v>
      </c>
      <c r="F25010" t="s">
        <v>75437</v>
      </c>
      <c r="I25010" t="s">
        <v>29</v>
      </c>
      <c r="J25010" t="s">
        <v>30</v>
      </c>
      <c r="K25010" t="s">
        <v>75438</v>
      </c>
      <c r="M25010" t="s">
        <v>51351</v>
      </c>
      <c r="N25010" t="str">
        <f>"3/12/2025 12:05:00 PM"</f>
        <v>3/12/2025 12:05:00 PM</v>
      </c>
      <c r="O25010" t="s">
        <v>75436</v>
      </c>
    </row>
    <row r="25011" spans="1:20" x14ac:dyDescent="0.25">
      <c r="A25011" t="str">
        <f>"3054683"</f>
        <v>3054683</v>
      </c>
      <c r="B25011" t="s">
        <v>75439</v>
      </c>
      <c r="C25011" t="str">
        <f>"8318191"</f>
        <v>8318191</v>
      </c>
      <c r="D25011" t="s">
        <v>75436</v>
      </c>
      <c r="F25011" t="s">
        <v>75437</v>
      </c>
      <c r="I25011" t="s">
        <v>29</v>
      </c>
      <c r="J25011" t="s">
        <v>30</v>
      </c>
      <c r="K25011" t="s">
        <v>75438</v>
      </c>
      <c r="M25011" t="s">
        <v>51351</v>
      </c>
      <c r="N25011" t="str">
        <f>"3/12/2025 12:05:00 PM"</f>
        <v>3/12/2025 12:05:00 PM</v>
      </c>
      <c r="O25011" t="s">
        <v>75436</v>
      </c>
    </row>
    <row r="25012" spans="1:20" x14ac:dyDescent="0.25">
      <c r="A25012" t="str">
        <f>"3040254"</f>
        <v>3040254</v>
      </c>
      <c r="B25012" t="s">
        <v>75440</v>
      </c>
      <c r="C25012" t="str">
        <f>"74228000"</f>
        <v>74228000</v>
      </c>
      <c r="D25012" t="s">
        <v>75441</v>
      </c>
      <c r="E25012" t="s">
        <v>75442</v>
      </c>
      <c r="F25012" t="s">
        <v>75443</v>
      </c>
      <c r="I25012" t="s">
        <v>184</v>
      </c>
      <c r="J25012" t="s">
        <v>30</v>
      </c>
      <c r="K25012" t="s">
        <v>42489</v>
      </c>
      <c r="M25012" t="s">
        <v>33845</v>
      </c>
      <c r="N25012" t="str">
        <f>"3/12/2025 1:42:00 PM"</f>
        <v>3/12/2025 1:42:00 PM</v>
      </c>
      <c r="O25012" t="s">
        <v>75441</v>
      </c>
      <c r="T25012" t="s">
        <v>75442</v>
      </c>
    </row>
    <row r="25013" spans="1:20" x14ac:dyDescent="0.25">
      <c r="A25013" t="str">
        <f>"3040730"</f>
        <v>3040730</v>
      </c>
      <c r="B25013" t="s">
        <v>75444</v>
      </c>
      <c r="C25013" t="str">
        <f>"74228000"</f>
        <v>74228000</v>
      </c>
      <c r="D25013" t="s">
        <v>75441</v>
      </c>
      <c r="E25013" t="s">
        <v>75442</v>
      </c>
      <c r="F25013" t="s">
        <v>75443</v>
      </c>
      <c r="I25013" t="s">
        <v>184</v>
      </c>
      <c r="J25013" t="s">
        <v>30</v>
      </c>
      <c r="K25013" t="s">
        <v>42489</v>
      </c>
      <c r="M25013" t="s">
        <v>33845</v>
      </c>
      <c r="N25013" t="str">
        <f>"3/12/2025 1:42:00 PM"</f>
        <v>3/12/2025 1:42:00 PM</v>
      </c>
      <c r="O25013" t="s">
        <v>75441</v>
      </c>
      <c r="T25013" t="s">
        <v>75442</v>
      </c>
    </row>
    <row r="25014" spans="1:20" x14ac:dyDescent="0.25">
      <c r="A25014" t="str">
        <f>"3040640"</f>
        <v>3040640</v>
      </c>
      <c r="B25014" t="s">
        <v>75445</v>
      </c>
      <c r="C25014" t="str">
        <f>"8303349"</f>
        <v>8303349</v>
      </c>
      <c r="D25014" t="s">
        <v>75446</v>
      </c>
      <c r="F25014" t="s">
        <v>75447</v>
      </c>
      <c r="I25014" t="s">
        <v>184</v>
      </c>
      <c r="J25014" t="s">
        <v>30</v>
      </c>
      <c r="K25014" t="str">
        <f>"27006"</f>
        <v>27006</v>
      </c>
      <c r="M25014" t="s">
        <v>50621</v>
      </c>
      <c r="N25014" t="str">
        <f>"3/10/2025 10:23:00 AM"</f>
        <v>3/10/2025 10:23:00 AM</v>
      </c>
      <c r="O25014" t="s">
        <v>75446</v>
      </c>
    </row>
    <row r="25015" spans="1:20" x14ac:dyDescent="0.25">
      <c r="A25015" t="str">
        <f>"3058829"</f>
        <v>3058829</v>
      </c>
      <c r="B25015" t="s">
        <v>75448</v>
      </c>
      <c r="C25015" t="str">
        <f>"8306267"</f>
        <v>8306267</v>
      </c>
      <c r="D25015" t="s">
        <v>75449</v>
      </c>
      <c r="E25015" t="s">
        <v>75450</v>
      </c>
      <c r="F25015" t="s">
        <v>75451</v>
      </c>
      <c r="I25015" t="s">
        <v>29</v>
      </c>
      <c r="J25015" t="s">
        <v>30</v>
      </c>
      <c r="K25015" t="s">
        <v>73708</v>
      </c>
      <c r="M25015" t="s">
        <v>50500</v>
      </c>
      <c r="N25015" t="str">
        <f>"3/13/2025 9:11:00 AM"</f>
        <v>3/13/2025 9:11:00 AM</v>
      </c>
      <c r="O25015" t="s">
        <v>75449</v>
      </c>
      <c r="T25015" t="s">
        <v>75450</v>
      </c>
    </row>
    <row r="25016" spans="1:20" x14ac:dyDescent="0.25">
      <c r="A25016" t="str">
        <f>"3050269"</f>
        <v>3050269</v>
      </c>
      <c r="B25016" t="s">
        <v>75452</v>
      </c>
      <c r="C25016" t="str">
        <f>"8307920"</f>
        <v>8307920</v>
      </c>
      <c r="D25016" t="s">
        <v>75453</v>
      </c>
      <c r="F25016" t="s">
        <v>75454</v>
      </c>
      <c r="I25016" t="s">
        <v>29</v>
      </c>
      <c r="J25016" t="s">
        <v>30</v>
      </c>
      <c r="K25016" t="str">
        <f>"27028"</f>
        <v>27028</v>
      </c>
      <c r="M25016" t="s">
        <v>51351</v>
      </c>
      <c r="N25016" t="str">
        <f>"3/10/2025 10:30:00 AM"</f>
        <v>3/10/2025 10:30:00 AM</v>
      </c>
      <c r="O25016" t="s">
        <v>75453</v>
      </c>
    </row>
    <row r="25017" spans="1:20" x14ac:dyDescent="0.25">
      <c r="A25017" t="str">
        <f>"3052691"</f>
        <v>3052691</v>
      </c>
      <c r="B25017" t="s">
        <v>75455</v>
      </c>
      <c r="C25017" t="str">
        <f>"8311724"</f>
        <v>8311724</v>
      </c>
      <c r="D25017" t="s">
        <v>75456</v>
      </c>
      <c r="E25017" t="s">
        <v>75457</v>
      </c>
      <c r="F25017" t="s">
        <v>75458</v>
      </c>
      <c r="I25017" t="s">
        <v>29</v>
      </c>
      <c r="J25017" t="s">
        <v>30</v>
      </c>
      <c r="K25017" t="str">
        <f>"27028"</f>
        <v>27028</v>
      </c>
      <c r="M25017" t="s">
        <v>50621</v>
      </c>
      <c r="N25017" t="str">
        <f>"3/10/2025 10:45:00 AM"</f>
        <v>3/10/2025 10:45:00 AM</v>
      </c>
      <c r="O25017" t="s">
        <v>75456</v>
      </c>
      <c r="T25017" t="s">
        <v>75457</v>
      </c>
    </row>
    <row r="25018" spans="1:20" x14ac:dyDescent="0.25">
      <c r="A25018" t="str">
        <f>"3039986"</f>
        <v>3039986</v>
      </c>
      <c r="B25018" t="s">
        <v>75459</v>
      </c>
      <c r="C25018" t="str">
        <f>"33152000"</f>
        <v>33152000</v>
      </c>
      <c r="D25018" t="s">
        <v>75460</v>
      </c>
      <c r="E25018" t="s">
        <v>75461</v>
      </c>
      <c r="F25018" t="s">
        <v>75462</v>
      </c>
      <c r="I25018" t="s">
        <v>75463</v>
      </c>
      <c r="J25018" t="s">
        <v>23322</v>
      </c>
      <c r="K25018" t="s">
        <v>75464</v>
      </c>
      <c r="M25018" t="s">
        <v>25625</v>
      </c>
      <c r="N25018" t="str">
        <f>"3/13/2025 11:52:00 AM"</f>
        <v>3/13/2025 11:52:00 AM</v>
      </c>
      <c r="O25018" t="s">
        <v>75460</v>
      </c>
      <c r="T25018" t="s">
        <v>75461</v>
      </c>
    </row>
    <row r="25019" spans="1:20" x14ac:dyDescent="0.25">
      <c r="A25019" t="str">
        <f>"3039366"</f>
        <v>3039366</v>
      </c>
      <c r="B25019" t="s">
        <v>75465</v>
      </c>
      <c r="C25019" t="str">
        <f>"44760000"</f>
        <v>44760000</v>
      </c>
      <c r="D25019" t="s">
        <v>75466</v>
      </c>
      <c r="E25019" t="s">
        <v>75467</v>
      </c>
      <c r="F25019" t="s">
        <v>2351</v>
      </c>
      <c r="I25019" t="s">
        <v>29</v>
      </c>
      <c r="J25019" t="s">
        <v>30</v>
      </c>
      <c r="K25019" t="s">
        <v>31</v>
      </c>
      <c r="M25019" t="s">
        <v>52111</v>
      </c>
      <c r="N25019" t="str">
        <f>"3/13/2025 1:19:00 PM"</f>
        <v>3/13/2025 1:19:00 PM</v>
      </c>
      <c r="O25019" t="s">
        <v>75466</v>
      </c>
      <c r="T25019" t="s">
        <v>75467</v>
      </c>
    </row>
    <row r="25020" spans="1:20" x14ac:dyDescent="0.25">
      <c r="A25020" t="str">
        <f>"3059731"</f>
        <v>3059731</v>
      </c>
      <c r="B25020" t="s">
        <v>75468</v>
      </c>
      <c r="C25020" t="str">
        <f>"8313558"</f>
        <v>8313558</v>
      </c>
      <c r="D25020" t="s">
        <v>38095</v>
      </c>
      <c r="F25020" t="s">
        <v>75469</v>
      </c>
      <c r="I25020" t="s">
        <v>49</v>
      </c>
      <c r="J25020" t="s">
        <v>30</v>
      </c>
      <c r="K25020" t="s">
        <v>75470</v>
      </c>
      <c r="M25020" t="s">
        <v>25733</v>
      </c>
      <c r="N25020" t="str">
        <f>"3/13/2025 2:37:00 PM"</f>
        <v>3/13/2025 2:37:00 PM</v>
      </c>
      <c r="O25020" t="s">
        <v>38095</v>
      </c>
    </row>
    <row r="25021" spans="1:20" x14ac:dyDescent="0.25">
      <c r="A25021" t="str">
        <f>"3037383"</f>
        <v>3037383</v>
      </c>
      <c r="B25021" t="s">
        <v>75471</v>
      </c>
      <c r="C25021" t="str">
        <f>"8322076"</f>
        <v>8322076</v>
      </c>
      <c r="D25021" t="s">
        <v>75472</v>
      </c>
      <c r="F25021" t="s">
        <v>75473</v>
      </c>
      <c r="G25021" t="s">
        <v>1318</v>
      </c>
      <c r="I25021" t="s">
        <v>2525</v>
      </c>
      <c r="J25021" t="s">
        <v>30</v>
      </c>
      <c r="K25021" t="s">
        <v>75474</v>
      </c>
      <c r="M25021" t="s">
        <v>50500</v>
      </c>
      <c r="N25021" t="str">
        <f>"3/13/2025 2:42:00 PM"</f>
        <v>3/13/2025 2:42:00 PM</v>
      </c>
      <c r="O25021" t="s">
        <v>75472</v>
      </c>
    </row>
    <row r="25022" spans="1:20" x14ac:dyDescent="0.25">
      <c r="A25022" t="str">
        <f>"3037384"</f>
        <v>3037384</v>
      </c>
      <c r="B25022" t="s">
        <v>75475</v>
      </c>
      <c r="C25022" t="str">
        <f>"8322076"</f>
        <v>8322076</v>
      </c>
      <c r="D25022" t="s">
        <v>75472</v>
      </c>
      <c r="F25022" t="s">
        <v>75473</v>
      </c>
      <c r="G25022" t="s">
        <v>1318</v>
      </c>
      <c r="I25022" t="s">
        <v>2525</v>
      </c>
      <c r="J25022" t="s">
        <v>30</v>
      </c>
      <c r="K25022" t="s">
        <v>75474</v>
      </c>
      <c r="M25022" t="s">
        <v>50500</v>
      </c>
      <c r="N25022" t="str">
        <f>"3/13/2025 2:42:00 PM"</f>
        <v>3/13/2025 2:42:00 PM</v>
      </c>
      <c r="O25022" t="s">
        <v>75472</v>
      </c>
    </row>
    <row r="25023" spans="1:20" x14ac:dyDescent="0.25">
      <c r="A25023" t="str">
        <f>"3044421"</f>
        <v>3044421</v>
      </c>
      <c r="B25023" t="s">
        <v>75476</v>
      </c>
      <c r="C25023" t="str">
        <f>"27848000"</f>
        <v>27848000</v>
      </c>
      <c r="D25023" t="s">
        <v>75477</v>
      </c>
      <c r="F25023" t="s">
        <v>75478</v>
      </c>
      <c r="I25023" t="s">
        <v>402</v>
      </c>
      <c r="J25023" t="s">
        <v>30</v>
      </c>
      <c r="K25023" t="s">
        <v>73429</v>
      </c>
      <c r="M25023" t="s">
        <v>25625</v>
      </c>
      <c r="N25023" t="str">
        <f>"3/13/2025 3:12:00 PM"</f>
        <v>3/13/2025 3:12:00 PM</v>
      </c>
      <c r="O25023" t="s">
        <v>75477</v>
      </c>
    </row>
    <row r="25024" spans="1:20" x14ac:dyDescent="0.25">
      <c r="A25024" t="str">
        <f>"3044361"</f>
        <v>3044361</v>
      </c>
      <c r="B25024" t="s">
        <v>75479</v>
      </c>
      <c r="C25024" t="str">
        <f>"27848000"</f>
        <v>27848000</v>
      </c>
      <c r="D25024" t="s">
        <v>75477</v>
      </c>
      <c r="F25024" t="s">
        <v>75478</v>
      </c>
      <c r="I25024" t="s">
        <v>402</v>
      </c>
      <c r="J25024" t="s">
        <v>30</v>
      </c>
      <c r="K25024" t="s">
        <v>73429</v>
      </c>
      <c r="M25024" t="s">
        <v>25625</v>
      </c>
      <c r="N25024" t="str">
        <f>"3/13/2025 3:12:00 PM"</f>
        <v>3/13/2025 3:12:00 PM</v>
      </c>
      <c r="O25024" t="s">
        <v>75477</v>
      </c>
    </row>
    <row r="25025" spans="1:20" x14ac:dyDescent="0.25">
      <c r="A25025" t="str">
        <f>"3044362"</f>
        <v>3044362</v>
      </c>
      <c r="B25025" t="s">
        <v>75480</v>
      </c>
      <c r="C25025" t="str">
        <f>"27848000"</f>
        <v>27848000</v>
      </c>
      <c r="D25025" t="s">
        <v>75477</v>
      </c>
      <c r="F25025" t="s">
        <v>75478</v>
      </c>
      <c r="I25025" t="s">
        <v>402</v>
      </c>
      <c r="J25025" t="s">
        <v>30</v>
      </c>
      <c r="K25025" t="s">
        <v>73429</v>
      </c>
      <c r="M25025" t="s">
        <v>25625</v>
      </c>
      <c r="N25025" t="str">
        <f>"3/13/2025 3:12:00 PM"</f>
        <v>3/13/2025 3:12:00 PM</v>
      </c>
      <c r="O25025" t="s">
        <v>75477</v>
      </c>
    </row>
    <row r="25026" spans="1:20" x14ac:dyDescent="0.25">
      <c r="A25026" t="str">
        <f>"3046577"</f>
        <v>3046577</v>
      </c>
      <c r="B25026" t="s">
        <v>75481</v>
      </c>
      <c r="C25026" t="str">
        <f>"27848000"</f>
        <v>27848000</v>
      </c>
      <c r="D25026" t="s">
        <v>75477</v>
      </c>
      <c r="F25026" t="s">
        <v>75478</v>
      </c>
      <c r="I25026" t="s">
        <v>402</v>
      </c>
      <c r="J25026" t="s">
        <v>30</v>
      </c>
      <c r="K25026" t="s">
        <v>73429</v>
      </c>
      <c r="M25026" t="s">
        <v>25625</v>
      </c>
      <c r="N25026" t="str">
        <f>"3/13/2025 3:12:00 PM"</f>
        <v>3/13/2025 3:12:00 PM</v>
      </c>
      <c r="O25026" t="s">
        <v>75477</v>
      </c>
    </row>
    <row r="25027" spans="1:20" x14ac:dyDescent="0.25">
      <c r="A25027" t="str">
        <f>"3046771"</f>
        <v>3046771</v>
      </c>
      <c r="B25027" t="s">
        <v>75482</v>
      </c>
      <c r="C25027" t="str">
        <f>"27848000"</f>
        <v>27848000</v>
      </c>
      <c r="D25027" t="s">
        <v>75477</v>
      </c>
      <c r="F25027" t="s">
        <v>75478</v>
      </c>
      <c r="I25027" t="s">
        <v>402</v>
      </c>
      <c r="J25027" t="s">
        <v>30</v>
      </c>
      <c r="K25027" t="s">
        <v>73429</v>
      </c>
      <c r="M25027" t="s">
        <v>25625</v>
      </c>
      <c r="N25027" t="str">
        <f>"3/13/2025 3:12:00 PM"</f>
        <v>3/13/2025 3:12:00 PM</v>
      </c>
      <c r="O25027" t="s">
        <v>75477</v>
      </c>
    </row>
    <row r="25028" spans="1:20" x14ac:dyDescent="0.25">
      <c r="A25028" t="str">
        <f>"3068885"</f>
        <v>3068885</v>
      </c>
      <c r="B25028" t="s">
        <v>75483</v>
      </c>
      <c r="C25028" t="str">
        <f>"82524818"</f>
        <v>82524818</v>
      </c>
      <c r="D25028" t="s">
        <v>75484</v>
      </c>
      <c r="E25028" t="s">
        <v>75485</v>
      </c>
      <c r="F25028" t="s">
        <v>75486</v>
      </c>
      <c r="I25028" t="s">
        <v>29</v>
      </c>
      <c r="J25028" t="s">
        <v>30</v>
      </c>
      <c r="K25028" t="str">
        <f>"27028"</f>
        <v>27028</v>
      </c>
      <c r="M25028" t="s">
        <v>33845</v>
      </c>
      <c r="N25028" t="str">
        <f>"3/13/2025 3:10:00 PM"</f>
        <v>3/13/2025 3:10:00 PM</v>
      </c>
      <c r="O25028" t="s">
        <v>75484</v>
      </c>
      <c r="T25028" t="s">
        <v>75485</v>
      </c>
    </row>
    <row r="25029" spans="1:20" x14ac:dyDescent="0.25">
      <c r="A25029" t="str">
        <f>"3043024"</f>
        <v>3043024</v>
      </c>
      <c r="B25029" t="s">
        <v>75487</v>
      </c>
      <c r="C25029" t="str">
        <f>"8321783"</f>
        <v>8321783</v>
      </c>
      <c r="D25029" t="s">
        <v>75488</v>
      </c>
      <c r="F25029" t="s">
        <v>75489</v>
      </c>
      <c r="I25029" t="s">
        <v>29</v>
      </c>
      <c r="J25029" t="s">
        <v>30</v>
      </c>
      <c r="K25029" t="s">
        <v>44251</v>
      </c>
      <c r="M25029" t="s">
        <v>25625</v>
      </c>
      <c r="N25029" t="str">
        <f>"3/13/2025 3:13:00 PM"</f>
        <v>3/13/2025 3:13:00 PM</v>
      </c>
      <c r="O25029" t="s">
        <v>75488</v>
      </c>
    </row>
    <row r="25030" spans="1:20" x14ac:dyDescent="0.25">
      <c r="A25030" t="str">
        <f>"3060361"</f>
        <v>3060361</v>
      </c>
      <c r="B25030" t="s">
        <v>75490</v>
      </c>
      <c r="C25030" t="str">
        <f>"8302576"</f>
        <v>8302576</v>
      </c>
      <c r="D25030" t="s">
        <v>48971</v>
      </c>
      <c r="F25030" t="s">
        <v>75491</v>
      </c>
      <c r="I25030" t="s">
        <v>29</v>
      </c>
      <c r="J25030" t="s">
        <v>30</v>
      </c>
      <c r="K25030" t="str">
        <f>"27028"</f>
        <v>27028</v>
      </c>
      <c r="M25030" t="s">
        <v>50621</v>
      </c>
      <c r="N25030" t="str">
        <f>"3/10/2025 11:05:00 AM"</f>
        <v>3/10/2025 11:05:00 AM</v>
      </c>
      <c r="O25030" t="s">
        <v>48971</v>
      </c>
    </row>
    <row r="25031" spans="1:20" x14ac:dyDescent="0.25">
      <c r="A25031" t="str">
        <f>"3058951"</f>
        <v>3058951</v>
      </c>
      <c r="B25031" t="s">
        <v>75492</v>
      </c>
      <c r="C25031" t="str">
        <f>"8317832"</f>
        <v>8317832</v>
      </c>
      <c r="D25031" t="s">
        <v>75493</v>
      </c>
      <c r="F25031" t="s">
        <v>75494</v>
      </c>
      <c r="I25031" t="s">
        <v>75495</v>
      </c>
      <c r="J25031" t="s">
        <v>30197</v>
      </c>
      <c r="K25031" t="s">
        <v>75496</v>
      </c>
      <c r="M25031" t="s">
        <v>25625</v>
      </c>
      <c r="N25031" t="str">
        <f>"3/13/2025 3:15:00 PM"</f>
        <v>3/13/2025 3:15:00 PM</v>
      </c>
      <c r="O25031" t="s">
        <v>75493</v>
      </c>
    </row>
    <row r="25032" spans="1:20" x14ac:dyDescent="0.25">
      <c r="A25032" t="str">
        <f>"3068888"</f>
        <v>3068888</v>
      </c>
      <c r="B25032" t="s">
        <v>75497</v>
      </c>
      <c r="C25032" t="str">
        <f>"8317465"</f>
        <v>8317465</v>
      </c>
      <c r="D25032" t="s">
        <v>75498</v>
      </c>
      <c r="E25032" t="s">
        <v>75499</v>
      </c>
      <c r="F25032" t="s">
        <v>75500</v>
      </c>
      <c r="I25032" t="s">
        <v>1149</v>
      </c>
      <c r="J25032" t="s">
        <v>30</v>
      </c>
      <c r="K25032" t="s">
        <v>75501</v>
      </c>
      <c r="M25032" t="s">
        <v>33845</v>
      </c>
      <c r="N25032" t="str">
        <f>"3/13/2025 3:15:00 PM"</f>
        <v>3/13/2025 3:15:00 PM</v>
      </c>
      <c r="O25032" t="s">
        <v>75498</v>
      </c>
      <c r="T25032" t="s">
        <v>75499</v>
      </c>
    </row>
    <row r="25033" spans="1:20" x14ac:dyDescent="0.25">
      <c r="A25033" t="str">
        <f>"3059787"</f>
        <v>3059787</v>
      </c>
      <c r="B25033" t="s">
        <v>75502</v>
      </c>
      <c r="C25033" t="str">
        <f>"8300847"</f>
        <v>8300847</v>
      </c>
      <c r="D25033" t="s">
        <v>75503</v>
      </c>
      <c r="F25033" t="s">
        <v>75504</v>
      </c>
      <c r="I25033" t="s">
        <v>29</v>
      </c>
      <c r="J25033" t="s">
        <v>30</v>
      </c>
      <c r="K25033" t="s">
        <v>1215</v>
      </c>
      <c r="M25033" t="s">
        <v>25625</v>
      </c>
      <c r="N25033" t="str">
        <f>"3/13/2025 3:16:00 PM"</f>
        <v>3/13/2025 3:16:00 PM</v>
      </c>
      <c r="O25033" t="s">
        <v>75503</v>
      </c>
    </row>
    <row r="25034" spans="1:20" x14ac:dyDescent="0.25">
      <c r="A25034" t="str">
        <f>"3054231"</f>
        <v>3054231</v>
      </c>
      <c r="B25034" t="s">
        <v>75505</v>
      </c>
      <c r="C25034" t="str">
        <f>"8313983"</f>
        <v>8313983</v>
      </c>
      <c r="D25034" t="s">
        <v>75506</v>
      </c>
      <c r="F25034" t="s">
        <v>75507</v>
      </c>
      <c r="I25034" t="s">
        <v>29</v>
      </c>
      <c r="J25034" t="s">
        <v>30</v>
      </c>
      <c r="K25034" t="s">
        <v>37236</v>
      </c>
      <c r="M25034" t="s">
        <v>25625</v>
      </c>
      <c r="N25034" t="str">
        <f>"3/13/2025 3:17:00 PM"</f>
        <v>3/13/2025 3:17:00 PM</v>
      </c>
      <c r="O25034" t="s">
        <v>75506</v>
      </c>
    </row>
    <row r="25035" spans="1:20" x14ac:dyDescent="0.25">
      <c r="A25035" t="str">
        <f>"3038109"</f>
        <v>3038109</v>
      </c>
      <c r="B25035" t="s">
        <v>75508</v>
      </c>
      <c r="C25035" t="str">
        <f>"77310000"</f>
        <v>77310000</v>
      </c>
      <c r="D25035" t="s">
        <v>75509</v>
      </c>
      <c r="F25035" t="s">
        <v>75510</v>
      </c>
      <c r="I25035" t="s">
        <v>471</v>
      </c>
      <c r="J25035" t="s">
        <v>30</v>
      </c>
      <c r="K25035" t="s">
        <v>75511</v>
      </c>
      <c r="M25035" t="s">
        <v>25625</v>
      </c>
      <c r="N25035" t="str">
        <f>"3/13/2025 3:18:00 PM"</f>
        <v>3/13/2025 3:18:00 PM</v>
      </c>
      <c r="O25035" t="s">
        <v>75509</v>
      </c>
      <c r="T25035" t="s">
        <v>75509</v>
      </c>
    </row>
    <row r="25036" spans="1:20" x14ac:dyDescent="0.25">
      <c r="A25036" t="str">
        <f>"3058710"</f>
        <v>3058710</v>
      </c>
      <c r="B25036" t="s">
        <v>75512</v>
      </c>
      <c r="C25036" t="str">
        <f>"8305560"</f>
        <v>8305560</v>
      </c>
      <c r="D25036" t="s">
        <v>75513</v>
      </c>
      <c r="E25036" t="s">
        <v>75514</v>
      </c>
      <c r="F25036" t="s">
        <v>63479</v>
      </c>
      <c r="I25036" t="s">
        <v>29</v>
      </c>
      <c r="J25036" t="s">
        <v>30</v>
      </c>
      <c r="K25036" t="str">
        <f>"27028"</f>
        <v>27028</v>
      </c>
      <c r="M25036" t="s">
        <v>25625</v>
      </c>
      <c r="N25036" t="str">
        <f>"3/13/2025 3:19:00 PM"</f>
        <v>3/13/2025 3:19:00 PM</v>
      </c>
      <c r="O25036" t="s">
        <v>75513</v>
      </c>
      <c r="T25036" t="s">
        <v>75514</v>
      </c>
    </row>
    <row r="25037" spans="1:20" x14ac:dyDescent="0.25">
      <c r="A25037" t="str">
        <f>"3068890"</f>
        <v>3068890</v>
      </c>
      <c r="B25037" t="s">
        <v>75515</v>
      </c>
      <c r="C25037" t="str">
        <f>"8317847"</f>
        <v>8317847</v>
      </c>
      <c r="D25037" t="s">
        <v>75516</v>
      </c>
      <c r="E25037" t="s">
        <v>75517</v>
      </c>
      <c r="F25037" t="s">
        <v>75518</v>
      </c>
      <c r="I25037" t="s">
        <v>53527</v>
      </c>
      <c r="J25037" t="s">
        <v>30</v>
      </c>
      <c r="K25037" t="str">
        <f>"28390"</f>
        <v>28390</v>
      </c>
      <c r="M25037" t="s">
        <v>33845</v>
      </c>
      <c r="N25037" t="str">
        <f>"3/13/2025 3:19:00 PM"</f>
        <v>3/13/2025 3:19:00 PM</v>
      </c>
      <c r="O25037" t="s">
        <v>75516</v>
      </c>
      <c r="T25037" t="s">
        <v>75517</v>
      </c>
    </row>
    <row r="25038" spans="1:20" x14ac:dyDescent="0.25">
      <c r="A25038" t="str">
        <f>"3078691"</f>
        <v>3078691</v>
      </c>
      <c r="B25038" t="s">
        <v>75519</v>
      </c>
      <c r="C25038" t="str">
        <f>"8319632"</f>
        <v>8319632</v>
      </c>
      <c r="D25038" t="s">
        <v>75520</v>
      </c>
      <c r="F25038" t="s">
        <v>75521</v>
      </c>
      <c r="I25038" t="s">
        <v>29</v>
      </c>
      <c r="J25038" t="s">
        <v>30</v>
      </c>
      <c r="K25038" t="s">
        <v>33226</v>
      </c>
      <c r="M25038" t="s">
        <v>25625</v>
      </c>
      <c r="N25038" t="str">
        <f>"3/13/2025 3:21:00 PM"</f>
        <v>3/13/2025 3:21:00 PM</v>
      </c>
      <c r="O25038" t="s">
        <v>75520</v>
      </c>
    </row>
    <row r="25039" spans="1:20" x14ac:dyDescent="0.25">
      <c r="A25039" t="str">
        <f>"3052850"</f>
        <v>3052850</v>
      </c>
      <c r="B25039" t="s">
        <v>75522</v>
      </c>
      <c r="C25039" t="str">
        <f>"8315779"</f>
        <v>8315779</v>
      </c>
      <c r="D25039" t="s">
        <v>75523</v>
      </c>
      <c r="F25039" t="s">
        <v>62150</v>
      </c>
      <c r="I25039" t="s">
        <v>29</v>
      </c>
      <c r="J25039" t="s">
        <v>30</v>
      </c>
      <c r="K25039" t="s">
        <v>44948</v>
      </c>
      <c r="M25039" t="s">
        <v>25625</v>
      </c>
      <c r="N25039" t="str">
        <f>"3/13/2025 3:21:00 PM"</f>
        <v>3/13/2025 3:21:00 PM</v>
      </c>
      <c r="O25039" t="s">
        <v>75523</v>
      </c>
    </row>
    <row r="25040" spans="1:20" x14ac:dyDescent="0.25">
      <c r="A25040" t="str">
        <f>"3042079"</f>
        <v>3042079</v>
      </c>
      <c r="B25040" t="s">
        <v>75524</v>
      </c>
      <c r="C25040" t="str">
        <f>"8313853"</f>
        <v>8313853</v>
      </c>
      <c r="D25040" t="s">
        <v>75525</v>
      </c>
      <c r="E25040" t="s">
        <v>75526</v>
      </c>
      <c r="F25040" t="s">
        <v>75527</v>
      </c>
      <c r="I25040" t="s">
        <v>12628</v>
      </c>
      <c r="J25040" t="s">
        <v>3990</v>
      </c>
      <c r="K25040" t="s">
        <v>75528</v>
      </c>
      <c r="M25040" t="s">
        <v>25625</v>
      </c>
      <c r="N25040" t="str">
        <f>"3/13/2025 3:23:00 PM"</f>
        <v>3/13/2025 3:23:00 PM</v>
      </c>
      <c r="O25040" t="s">
        <v>75525</v>
      </c>
      <c r="T25040" t="s">
        <v>75526</v>
      </c>
    </row>
    <row r="25041" spans="1:20" x14ac:dyDescent="0.25">
      <c r="A25041" t="str">
        <f>"3065917"</f>
        <v>3065917</v>
      </c>
      <c r="B25041" t="s">
        <v>75529</v>
      </c>
      <c r="C25041" t="str">
        <f>"8323801"</f>
        <v>8323801</v>
      </c>
      <c r="D25041" t="s">
        <v>75530</v>
      </c>
      <c r="E25041" t="s">
        <v>75531</v>
      </c>
      <c r="F25041" t="s">
        <v>51320</v>
      </c>
      <c r="I25041" t="s">
        <v>29</v>
      </c>
      <c r="J25041" t="s">
        <v>30</v>
      </c>
      <c r="K25041" t="s">
        <v>33977</v>
      </c>
      <c r="M25041" t="s">
        <v>25625</v>
      </c>
      <c r="N25041" t="str">
        <f>"3/13/2025 3:24:00 PM"</f>
        <v>3/13/2025 3:24:00 PM</v>
      </c>
      <c r="O25041" t="s">
        <v>75530</v>
      </c>
      <c r="T25041" t="s">
        <v>75531</v>
      </c>
    </row>
    <row r="25042" spans="1:20" x14ac:dyDescent="0.25">
      <c r="A25042" t="str">
        <f>"3068891"</f>
        <v>3068891</v>
      </c>
      <c r="B25042" t="s">
        <v>75532</v>
      </c>
      <c r="C25042" t="str">
        <f>"8322771"</f>
        <v>8322771</v>
      </c>
      <c r="D25042" t="s">
        <v>75533</v>
      </c>
      <c r="E25042" t="s">
        <v>75534</v>
      </c>
      <c r="F25042" t="s">
        <v>75535</v>
      </c>
      <c r="I25042" t="s">
        <v>29</v>
      </c>
      <c r="J25042" t="s">
        <v>30</v>
      </c>
      <c r="K25042" t="s">
        <v>13405</v>
      </c>
      <c r="M25042" t="s">
        <v>33845</v>
      </c>
      <c r="N25042" t="str">
        <f>"3/13/2025 3:25:00 PM"</f>
        <v>3/13/2025 3:25:00 PM</v>
      </c>
      <c r="O25042" t="s">
        <v>75533</v>
      </c>
      <c r="T25042" t="s">
        <v>75534</v>
      </c>
    </row>
    <row r="25043" spans="1:20" x14ac:dyDescent="0.25">
      <c r="A25043" t="str">
        <f>"3068892"</f>
        <v>3068892</v>
      </c>
      <c r="B25043" t="s">
        <v>75536</v>
      </c>
      <c r="C25043" t="str">
        <f>"73084880"</f>
        <v>73084880</v>
      </c>
      <c r="D25043" t="s">
        <v>75537</v>
      </c>
      <c r="E25043" t="s">
        <v>75538</v>
      </c>
      <c r="F25043" t="s">
        <v>75539</v>
      </c>
      <c r="I25043" t="s">
        <v>3196</v>
      </c>
      <c r="J25043" t="s">
        <v>30</v>
      </c>
      <c r="K25043" t="s">
        <v>75540</v>
      </c>
      <c r="M25043" t="s">
        <v>33845</v>
      </c>
      <c r="N25043" t="str">
        <f>"3/13/2025 3:27:00 PM"</f>
        <v>3/13/2025 3:27:00 PM</v>
      </c>
      <c r="O25043" t="s">
        <v>75537</v>
      </c>
      <c r="T25043" t="s">
        <v>75538</v>
      </c>
    </row>
    <row r="25044" spans="1:20" x14ac:dyDescent="0.25">
      <c r="A25044" t="str">
        <f>"3062534"</f>
        <v>3062534</v>
      </c>
      <c r="B25044" t="s">
        <v>75541</v>
      </c>
      <c r="C25044" t="str">
        <f>"8323623"</f>
        <v>8323623</v>
      </c>
      <c r="D25044" t="s">
        <v>75542</v>
      </c>
      <c r="F25044" t="s">
        <v>75543</v>
      </c>
      <c r="I25044" t="s">
        <v>75544</v>
      </c>
      <c r="J25044" t="s">
        <v>30</v>
      </c>
      <c r="K25044" t="str">
        <f>"27012"</f>
        <v>27012</v>
      </c>
      <c r="M25044" t="s">
        <v>18470</v>
      </c>
      <c r="N25044" t="str">
        <f>"3/13/2025 3:58:00 PM"</f>
        <v>3/13/2025 3:58:00 PM</v>
      </c>
      <c r="O25044" t="s">
        <v>75542</v>
      </c>
    </row>
    <row r="25045" spans="1:20" x14ac:dyDescent="0.25">
      <c r="A25045" t="str">
        <f>"3077018"</f>
        <v>3077018</v>
      </c>
      <c r="B25045" t="s">
        <v>75545</v>
      </c>
      <c r="C25045" t="str">
        <f>"82532537"</f>
        <v>82532537</v>
      </c>
      <c r="D25045" t="s">
        <v>75546</v>
      </c>
      <c r="E25045" t="s">
        <v>75547</v>
      </c>
      <c r="F25045" t="s">
        <v>75548</v>
      </c>
      <c r="I25045" t="s">
        <v>49</v>
      </c>
      <c r="J25045" t="s">
        <v>30</v>
      </c>
      <c r="K25045" t="s">
        <v>75549</v>
      </c>
      <c r="M25045" t="s">
        <v>50500</v>
      </c>
      <c r="N25045" t="str">
        <f>"3/14/2025 8:14:00 AM"</f>
        <v>3/14/2025 8:14:00 AM</v>
      </c>
      <c r="O25045" t="s">
        <v>75546</v>
      </c>
      <c r="T25045" t="s">
        <v>75547</v>
      </c>
    </row>
    <row r="25046" spans="1:20" x14ac:dyDescent="0.25">
      <c r="A25046" t="str">
        <f>"3077680"</f>
        <v>3077680</v>
      </c>
      <c r="B25046" t="s">
        <v>75550</v>
      </c>
      <c r="C25046" t="str">
        <f>"82532537"</f>
        <v>82532537</v>
      </c>
      <c r="D25046" t="s">
        <v>75546</v>
      </c>
      <c r="E25046" t="s">
        <v>75547</v>
      </c>
      <c r="F25046" t="s">
        <v>75548</v>
      </c>
      <c r="I25046" t="s">
        <v>49</v>
      </c>
      <c r="J25046" t="s">
        <v>30</v>
      </c>
      <c r="K25046" t="s">
        <v>75549</v>
      </c>
      <c r="M25046" t="s">
        <v>50500</v>
      </c>
      <c r="N25046" t="str">
        <f>"3/14/2025 8:14:00 AM"</f>
        <v>3/14/2025 8:14:00 AM</v>
      </c>
      <c r="O25046" t="s">
        <v>75546</v>
      </c>
      <c r="T25046" t="s">
        <v>75547</v>
      </c>
    </row>
    <row r="25047" spans="1:20" x14ac:dyDescent="0.25">
      <c r="A25047" t="str">
        <f>"3037556"</f>
        <v>3037556</v>
      </c>
      <c r="B25047" t="s">
        <v>75551</v>
      </c>
      <c r="C25047" t="str">
        <f>"82532537"</f>
        <v>82532537</v>
      </c>
      <c r="D25047" t="s">
        <v>75546</v>
      </c>
      <c r="E25047" t="s">
        <v>75547</v>
      </c>
      <c r="F25047" t="s">
        <v>75548</v>
      </c>
      <c r="I25047" t="s">
        <v>49</v>
      </c>
      <c r="J25047" t="s">
        <v>30</v>
      </c>
      <c r="K25047" t="s">
        <v>75549</v>
      </c>
      <c r="M25047" t="s">
        <v>50500</v>
      </c>
      <c r="N25047" t="str">
        <f>"3/14/2025 8:14:00 AM"</f>
        <v>3/14/2025 8:14:00 AM</v>
      </c>
      <c r="O25047" t="s">
        <v>75546</v>
      </c>
      <c r="T25047" t="s">
        <v>75547</v>
      </c>
    </row>
    <row r="25048" spans="1:20" x14ac:dyDescent="0.25">
      <c r="A25048" t="str">
        <f>"3042605"</f>
        <v>3042605</v>
      </c>
      <c r="B25048" t="s">
        <v>75552</v>
      </c>
      <c r="C25048" t="str">
        <f>"8304001"</f>
        <v>8304001</v>
      </c>
      <c r="D25048" t="s">
        <v>75553</v>
      </c>
      <c r="F25048" t="s">
        <v>75554</v>
      </c>
      <c r="I25048" t="s">
        <v>29</v>
      </c>
      <c r="J25048" t="s">
        <v>30</v>
      </c>
      <c r="K25048" t="s">
        <v>75555</v>
      </c>
      <c r="M25048" t="s">
        <v>18470</v>
      </c>
      <c r="N25048" t="str">
        <f>"3/14/2025 9:53:00 AM"</f>
        <v>3/14/2025 9:53:00 AM</v>
      </c>
      <c r="O25048" t="s">
        <v>75553</v>
      </c>
    </row>
    <row r="25049" spans="1:20" x14ac:dyDescent="0.25">
      <c r="A25049" t="str">
        <f>"3059606"</f>
        <v>3059606</v>
      </c>
      <c r="B25049" t="s">
        <v>75556</v>
      </c>
      <c r="C25049" t="str">
        <f>"8310647"</f>
        <v>8310647</v>
      </c>
      <c r="D25049" t="s">
        <v>75557</v>
      </c>
      <c r="F25049" t="s">
        <v>75558</v>
      </c>
      <c r="I25049" t="s">
        <v>29</v>
      </c>
      <c r="J25049" t="s">
        <v>30</v>
      </c>
      <c r="K25049" t="s">
        <v>39498</v>
      </c>
      <c r="M25049" t="s">
        <v>50621</v>
      </c>
      <c r="N25049" t="str">
        <f>"3/14/2025 9:57:00 AM"</f>
        <v>3/14/2025 9:57:00 AM</v>
      </c>
      <c r="O25049" t="s">
        <v>75557</v>
      </c>
    </row>
    <row r="25050" spans="1:20" x14ac:dyDescent="0.25">
      <c r="A25050" t="str">
        <f>"3054334"</f>
        <v>3054334</v>
      </c>
      <c r="B25050" t="s">
        <v>75559</v>
      </c>
      <c r="C25050" t="str">
        <f>"8311057"</f>
        <v>8311057</v>
      </c>
      <c r="D25050" t="s">
        <v>75560</v>
      </c>
      <c r="E25050" t="s">
        <v>75561</v>
      </c>
      <c r="F25050" t="s">
        <v>75562</v>
      </c>
      <c r="I25050" t="s">
        <v>29</v>
      </c>
      <c r="J25050" t="s">
        <v>30</v>
      </c>
      <c r="K25050" t="str">
        <f>"27028"</f>
        <v>27028</v>
      </c>
      <c r="M25050" t="s">
        <v>52111</v>
      </c>
      <c r="N25050" t="str">
        <f>"3/10/2025 11:25:00 AM"</f>
        <v>3/10/2025 11:25:00 AM</v>
      </c>
      <c r="O25050" t="s">
        <v>75560</v>
      </c>
      <c r="T25050" t="s">
        <v>75561</v>
      </c>
    </row>
    <row r="25051" spans="1:20" x14ac:dyDescent="0.25">
      <c r="A25051" t="str">
        <f>"3046723"</f>
        <v>3046723</v>
      </c>
      <c r="B25051" t="s">
        <v>75563</v>
      </c>
      <c r="C25051" t="str">
        <f>"8308760"</f>
        <v>8308760</v>
      </c>
      <c r="D25051" t="s">
        <v>75564</v>
      </c>
      <c r="E25051" t="s">
        <v>75565</v>
      </c>
      <c r="F25051" t="s">
        <v>67938</v>
      </c>
      <c r="I25051" t="s">
        <v>184</v>
      </c>
      <c r="J25051" t="s">
        <v>30</v>
      </c>
      <c r="K25051" t="s">
        <v>67939</v>
      </c>
      <c r="M25051" t="s">
        <v>51351</v>
      </c>
      <c r="N25051" t="str">
        <f>"3/14/2025 11:41:00 AM"</f>
        <v>3/14/2025 11:41:00 AM</v>
      </c>
      <c r="O25051" t="s">
        <v>75564</v>
      </c>
      <c r="T25051" t="s">
        <v>75565</v>
      </c>
    </row>
    <row r="25052" spans="1:20" x14ac:dyDescent="0.25">
      <c r="A25052" t="str">
        <f>"3068926"</f>
        <v>3068926</v>
      </c>
      <c r="B25052" t="s">
        <v>75566</v>
      </c>
      <c r="C25052" t="str">
        <f>"8323945"</f>
        <v>8323945</v>
      </c>
      <c r="D25052" t="s">
        <v>75567</v>
      </c>
      <c r="E25052" t="s">
        <v>75568</v>
      </c>
      <c r="F25052" t="s">
        <v>75569</v>
      </c>
      <c r="I25052" t="s">
        <v>184</v>
      </c>
      <c r="J25052" t="s">
        <v>30</v>
      </c>
      <c r="K25052" t="s">
        <v>8878</v>
      </c>
      <c r="M25052" t="s">
        <v>50500</v>
      </c>
      <c r="N25052" t="str">
        <f>"3/14/2025 12:20:00 PM"</f>
        <v>3/14/2025 12:20:00 PM</v>
      </c>
      <c r="O25052" t="s">
        <v>75567</v>
      </c>
      <c r="T25052" t="s">
        <v>75568</v>
      </c>
    </row>
    <row r="25053" spans="1:20" x14ac:dyDescent="0.25">
      <c r="A25053" t="str">
        <f>"3043265"</f>
        <v>3043265</v>
      </c>
      <c r="B25053" t="s">
        <v>75570</v>
      </c>
      <c r="C25053" t="str">
        <f>"8311534"</f>
        <v>8311534</v>
      </c>
      <c r="D25053" t="s">
        <v>75571</v>
      </c>
      <c r="E25053" t="s">
        <v>57814</v>
      </c>
      <c r="F25053" t="s">
        <v>75572</v>
      </c>
      <c r="I25053" t="s">
        <v>29</v>
      </c>
      <c r="J25053" t="s">
        <v>30</v>
      </c>
      <c r="K25053" t="s">
        <v>61755</v>
      </c>
      <c r="M25053" t="s">
        <v>51351</v>
      </c>
      <c r="N25053" t="str">
        <f>"3/14/2025 2:07:00 PM"</f>
        <v>3/14/2025 2:07:00 PM</v>
      </c>
      <c r="O25053" t="s">
        <v>75571</v>
      </c>
      <c r="T25053" t="s">
        <v>57814</v>
      </c>
    </row>
    <row r="25054" spans="1:20" x14ac:dyDescent="0.25">
      <c r="A25054" t="str">
        <f>"3043354"</f>
        <v>3043354</v>
      </c>
      <c r="B25054" t="s">
        <v>75573</v>
      </c>
      <c r="C25054" t="str">
        <f>"8311534"</f>
        <v>8311534</v>
      </c>
      <c r="D25054" t="s">
        <v>75571</v>
      </c>
      <c r="E25054" t="s">
        <v>57814</v>
      </c>
      <c r="F25054" t="s">
        <v>75572</v>
      </c>
      <c r="I25054" t="s">
        <v>29</v>
      </c>
      <c r="J25054" t="s">
        <v>30</v>
      </c>
      <c r="K25054" t="s">
        <v>61755</v>
      </c>
      <c r="M25054" t="s">
        <v>51351</v>
      </c>
      <c r="N25054" t="str">
        <f>"3/14/2025 2:07:00 PM"</f>
        <v>3/14/2025 2:07:00 PM</v>
      </c>
      <c r="O25054" t="s">
        <v>75571</v>
      </c>
      <c r="T25054" t="s">
        <v>57814</v>
      </c>
    </row>
    <row r="25055" spans="1:20" x14ac:dyDescent="0.25">
      <c r="A25055" t="str">
        <f>"3063067"</f>
        <v>3063067</v>
      </c>
      <c r="B25055" t="s">
        <v>75574</v>
      </c>
      <c r="C25055" t="str">
        <f>"8322789"</f>
        <v>8322789</v>
      </c>
      <c r="D25055" t="s">
        <v>75575</v>
      </c>
      <c r="E25055" t="s">
        <v>75576</v>
      </c>
      <c r="F25055" t="s">
        <v>75577</v>
      </c>
      <c r="I25055" t="s">
        <v>75578</v>
      </c>
      <c r="J25055" t="s">
        <v>2109</v>
      </c>
      <c r="K25055" t="str">
        <f>"24522"</f>
        <v>24522</v>
      </c>
      <c r="M25055" t="s">
        <v>18470</v>
      </c>
      <c r="N25055" t="str">
        <f>"3/14/2025 4:57:00 PM"</f>
        <v>3/14/2025 4:57:00 PM</v>
      </c>
      <c r="O25055" t="s">
        <v>75575</v>
      </c>
      <c r="T25055" t="s">
        <v>75576</v>
      </c>
    </row>
    <row r="25056" spans="1:20" x14ac:dyDescent="0.25">
      <c r="A25056" t="str">
        <f>"3056742"</f>
        <v>3056742</v>
      </c>
      <c r="B25056" t="s">
        <v>75579</v>
      </c>
      <c r="C25056" t="str">
        <f>"82524676"</f>
        <v>82524676</v>
      </c>
      <c r="D25056" t="s">
        <v>75580</v>
      </c>
      <c r="F25056" t="str">
        <f>"C/O PAULA TREXLER"</f>
        <v>C/O PAULA TREXLER</v>
      </c>
      <c r="G25056" t="s">
        <v>75581</v>
      </c>
      <c r="I25056" t="s">
        <v>964</v>
      </c>
      <c r="J25056" t="s">
        <v>30</v>
      </c>
      <c r="K25056" t="s">
        <v>75582</v>
      </c>
      <c r="M25056" t="s">
        <v>50793</v>
      </c>
      <c r="N25056" t="str">
        <f>"3/17/2025 8:36:00 AM"</f>
        <v>3/17/2025 8:36:00 AM</v>
      </c>
      <c r="O25056" t="s">
        <v>75580</v>
      </c>
    </row>
    <row r="25057" spans="1:20" x14ac:dyDescent="0.25">
      <c r="A25057" t="str">
        <f>"3069281"</f>
        <v>3069281</v>
      </c>
      <c r="B25057" t="s">
        <v>75583</v>
      </c>
      <c r="C25057" t="str">
        <f>"8323946"</f>
        <v>8323946</v>
      </c>
      <c r="D25057" t="s">
        <v>75584</v>
      </c>
      <c r="F25057" t="s">
        <v>75585</v>
      </c>
      <c r="I25057" t="s">
        <v>29</v>
      </c>
      <c r="J25057" t="s">
        <v>30</v>
      </c>
      <c r="K25057" t="s">
        <v>20447</v>
      </c>
      <c r="M25057" t="s">
        <v>50500</v>
      </c>
      <c r="N25057" t="str">
        <f>"3/17/2025 9:33:00 AM"</f>
        <v>3/17/2025 9:33:00 AM</v>
      </c>
      <c r="O25057" t="s">
        <v>75584</v>
      </c>
    </row>
    <row r="25058" spans="1:20" x14ac:dyDescent="0.25">
      <c r="A25058" t="str">
        <f>"3070481"</f>
        <v>3070481</v>
      </c>
      <c r="B25058" t="s">
        <v>75586</v>
      </c>
      <c r="C25058" t="str">
        <f>"8323947"</f>
        <v>8323947</v>
      </c>
      <c r="D25058" t="s">
        <v>75587</v>
      </c>
      <c r="F25058" t="s">
        <v>75588</v>
      </c>
      <c r="I25058" t="s">
        <v>75589</v>
      </c>
      <c r="J25058" t="s">
        <v>4132</v>
      </c>
      <c r="K25058" t="s">
        <v>75590</v>
      </c>
      <c r="M25058" t="s">
        <v>50500</v>
      </c>
      <c r="N25058" t="str">
        <f>"3/17/2025 9:43:00 AM"</f>
        <v>3/17/2025 9:43:00 AM</v>
      </c>
      <c r="O25058" t="s">
        <v>75587</v>
      </c>
    </row>
    <row r="25059" spans="1:20" x14ac:dyDescent="0.25">
      <c r="A25059" t="str">
        <f>"3068976"</f>
        <v>3068976</v>
      </c>
      <c r="B25059" t="s">
        <v>75591</v>
      </c>
      <c r="C25059" t="str">
        <f>"8323948"</f>
        <v>8323948</v>
      </c>
      <c r="D25059" t="s">
        <v>75592</v>
      </c>
      <c r="F25059" t="s">
        <v>75593</v>
      </c>
      <c r="I25059" t="s">
        <v>29</v>
      </c>
      <c r="J25059" t="s">
        <v>30</v>
      </c>
      <c r="K25059" t="s">
        <v>60746</v>
      </c>
      <c r="M25059" t="s">
        <v>50500</v>
      </c>
      <c r="N25059" t="str">
        <f>"3/17/2025 9:56:00 AM"</f>
        <v>3/17/2025 9:56:00 AM</v>
      </c>
      <c r="O25059" t="s">
        <v>75592</v>
      </c>
    </row>
    <row r="25060" spans="1:20" x14ac:dyDescent="0.25">
      <c r="A25060" t="str">
        <f>"3068980"</f>
        <v>3068980</v>
      </c>
      <c r="B25060" t="s">
        <v>75594</v>
      </c>
      <c r="C25060" t="str">
        <f>"8323949"</f>
        <v>8323949</v>
      </c>
      <c r="D25060" t="s">
        <v>75595</v>
      </c>
      <c r="F25060" t="s">
        <v>75596</v>
      </c>
      <c r="I25060" t="s">
        <v>29</v>
      </c>
      <c r="J25060" t="s">
        <v>30</v>
      </c>
      <c r="K25060" t="s">
        <v>70817</v>
      </c>
      <c r="M25060" t="s">
        <v>50500</v>
      </c>
      <c r="N25060" t="str">
        <f>"3/17/2025 10:06:00 AM"</f>
        <v>3/17/2025 10:06:00 AM</v>
      </c>
      <c r="O25060" t="s">
        <v>75595</v>
      </c>
    </row>
    <row r="25061" spans="1:20" x14ac:dyDescent="0.25">
      <c r="A25061" t="str">
        <f>"3062639"</f>
        <v>3062639</v>
      </c>
      <c r="B25061" t="s">
        <v>75597</v>
      </c>
      <c r="C25061" t="str">
        <f>"8321787"</f>
        <v>8321787</v>
      </c>
      <c r="D25061" t="s">
        <v>75598</v>
      </c>
      <c r="E25061" t="s">
        <v>75599</v>
      </c>
      <c r="F25061" t="s">
        <v>75600</v>
      </c>
      <c r="I25061" t="s">
        <v>29</v>
      </c>
      <c r="J25061" t="s">
        <v>30</v>
      </c>
      <c r="K25061" t="s">
        <v>57737</v>
      </c>
      <c r="M25061" t="s">
        <v>50793</v>
      </c>
      <c r="N25061" t="str">
        <f>"3/10/2025 11:26:00 AM"</f>
        <v>3/10/2025 11:26:00 AM</v>
      </c>
      <c r="O25061" t="s">
        <v>75598</v>
      </c>
      <c r="T25061" t="s">
        <v>75599</v>
      </c>
    </row>
    <row r="25062" spans="1:20" x14ac:dyDescent="0.25">
      <c r="A25062" t="str">
        <f>"3058331"</f>
        <v>3058331</v>
      </c>
      <c r="B25062" t="s">
        <v>75601</v>
      </c>
      <c r="C25062" t="str">
        <f>"8321664"</f>
        <v>8321664</v>
      </c>
      <c r="D25062" t="s">
        <v>75602</v>
      </c>
      <c r="E25062" t="s">
        <v>63223</v>
      </c>
      <c r="F25062" t="s">
        <v>63224</v>
      </c>
      <c r="I25062" t="s">
        <v>49787</v>
      </c>
      <c r="J25062" t="s">
        <v>28425</v>
      </c>
      <c r="K25062" t="s">
        <v>63225</v>
      </c>
      <c r="M25062" t="s">
        <v>50793</v>
      </c>
      <c r="N25062" t="str">
        <f>"3/10/2025 2:06:00 PM"</f>
        <v>3/10/2025 2:06:00 PM</v>
      </c>
      <c r="O25062" t="s">
        <v>75602</v>
      </c>
      <c r="T25062" t="s">
        <v>63223</v>
      </c>
    </row>
    <row r="25063" spans="1:20" x14ac:dyDescent="0.25">
      <c r="A25063" t="str">
        <f>"3045419"</f>
        <v>3045419</v>
      </c>
      <c r="B25063" t="s">
        <v>75603</v>
      </c>
      <c r="C25063" t="str">
        <f>"8316646"</f>
        <v>8316646</v>
      </c>
      <c r="D25063" t="s">
        <v>75604</v>
      </c>
      <c r="F25063" t="s">
        <v>75605</v>
      </c>
      <c r="I25063" t="s">
        <v>29</v>
      </c>
      <c r="J25063" t="s">
        <v>30</v>
      </c>
      <c r="K25063" t="s">
        <v>8081</v>
      </c>
      <c r="M25063" t="s">
        <v>18470</v>
      </c>
      <c r="N25063" t="str">
        <f>"3/10/2025 3:55:00 PM"</f>
        <v>3/10/2025 3:55:00 PM</v>
      </c>
      <c r="O25063" t="s">
        <v>75604</v>
      </c>
    </row>
    <row r="25064" spans="1:20" x14ac:dyDescent="0.25">
      <c r="A25064" t="str">
        <f>"3048406"</f>
        <v>3048406</v>
      </c>
      <c r="B25064" t="s">
        <v>75606</v>
      </c>
      <c r="C25064" t="str">
        <f>"8313265"</f>
        <v>8313265</v>
      </c>
      <c r="D25064" t="s">
        <v>75333</v>
      </c>
      <c r="E25064" t="s">
        <v>75334</v>
      </c>
      <c r="F25064" t="s">
        <v>75335</v>
      </c>
      <c r="I25064" t="s">
        <v>184</v>
      </c>
      <c r="J25064" t="s">
        <v>30</v>
      </c>
      <c r="K25064" t="s">
        <v>75336</v>
      </c>
      <c r="M25064" t="s">
        <v>55757</v>
      </c>
      <c r="N25064" t="str">
        <f>"3/11/2025 8:51:00 AM"</f>
        <v>3/11/2025 8:51:00 AM</v>
      </c>
      <c r="O25064" t="s">
        <v>75333</v>
      </c>
      <c r="T25064" t="s">
        <v>75334</v>
      </c>
    </row>
    <row r="25065" spans="1:20" x14ac:dyDescent="0.25">
      <c r="A25065" t="str">
        <f>"3053570"</f>
        <v>3053570</v>
      </c>
      <c r="B25065" t="s">
        <v>75607</v>
      </c>
      <c r="C25065" t="str">
        <f>"10906000"</f>
        <v>10906000</v>
      </c>
      <c r="D25065" t="s">
        <v>75608</v>
      </c>
      <c r="F25065" t="s">
        <v>75609</v>
      </c>
      <c r="I25065" t="s">
        <v>29</v>
      </c>
      <c r="J25065" t="s">
        <v>30</v>
      </c>
      <c r="K25065" t="s">
        <v>31</v>
      </c>
      <c r="M25065" t="s">
        <v>50621</v>
      </c>
      <c r="N25065" t="str">
        <f>"3/11/2025 11:03:00 AM"</f>
        <v>3/11/2025 11:03:00 AM</v>
      </c>
      <c r="O25065" t="s">
        <v>75608</v>
      </c>
    </row>
    <row r="25066" spans="1:20" x14ac:dyDescent="0.25">
      <c r="A25066" t="str">
        <f>"3062677"</f>
        <v>3062677</v>
      </c>
      <c r="B25066" t="s">
        <v>75610</v>
      </c>
      <c r="C25066" t="str">
        <f>"8322610"</f>
        <v>8322610</v>
      </c>
      <c r="D25066" t="s">
        <v>75611</v>
      </c>
      <c r="F25066" t="s">
        <v>75612</v>
      </c>
      <c r="I25066" t="s">
        <v>29</v>
      </c>
      <c r="J25066" t="s">
        <v>30</v>
      </c>
      <c r="K25066" t="s">
        <v>42765</v>
      </c>
      <c r="M25066" t="s">
        <v>50621</v>
      </c>
      <c r="N25066" t="str">
        <f>"3/17/2025 3:18:00 PM"</f>
        <v>3/17/2025 3:18:00 PM</v>
      </c>
      <c r="O25066" t="s">
        <v>75611</v>
      </c>
    </row>
    <row r="25067" spans="1:20" x14ac:dyDescent="0.25">
      <c r="A25067" t="str">
        <f>"3043765"</f>
        <v>3043765</v>
      </c>
      <c r="B25067" t="s">
        <v>75613</v>
      </c>
      <c r="C25067" t="str">
        <f>"82514213"</f>
        <v>82514213</v>
      </c>
      <c r="D25067" t="s">
        <v>75614</v>
      </c>
      <c r="F25067" t="s">
        <v>75615</v>
      </c>
      <c r="I25067" t="s">
        <v>29</v>
      </c>
      <c r="J25067" t="s">
        <v>30</v>
      </c>
      <c r="K25067" t="s">
        <v>31</v>
      </c>
      <c r="M25067" t="s">
        <v>50621</v>
      </c>
      <c r="N25067" t="str">
        <f>"3/11/2025 11:04:00 AM"</f>
        <v>3/11/2025 11:04:00 AM</v>
      </c>
      <c r="O25067" t="s">
        <v>75614</v>
      </c>
    </row>
    <row r="25068" spans="1:20" x14ac:dyDescent="0.25">
      <c r="A25068" t="str">
        <f>"3050256"</f>
        <v>3050256</v>
      </c>
      <c r="B25068" t="s">
        <v>75616</v>
      </c>
      <c r="C25068" t="str">
        <f>"28656000"</f>
        <v>28656000</v>
      </c>
      <c r="D25068" t="s">
        <v>75617</v>
      </c>
      <c r="F25068" t="s">
        <v>75618</v>
      </c>
      <c r="I25068" t="s">
        <v>29</v>
      </c>
      <c r="J25068" t="s">
        <v>30</v>
      </c>
      <c r="K25068" t="s">
        <v>69231</v>
      </c>
      <c r="M25068" t="s">
        <v>50793</v>
      </c>
      <c r="N25068" t="str">
        <f>"3/7/2025 10:31:00 AM"</f>
        <v>3/7/2025 10:31:00 AM</v>
      </c>
      <c r="O25068" t="s">
        <v>75617</v>
      </c>
    </row>
    <row r="25069" spans="1:20" x14ac:dyDescent="0.25">
      <c r="A25069" t="str">
        <f>"3057110"</f>
        <v>3057110</v>
      </c>
      <c r="B25069" t="s">
        <v>75619</v>
      </c>
      <c r="C25069" t="str">
        <f>"8323355"</f>
        <v>8323355</v>
      </c>
      <c r="D25069" t="s">
        <v>75620</v>
      </c>
      <c r="F25069" t="s">
        <v>75621</v>
      </c>
      <c r="I25069" t="s">
        <v>28654</v>
      </c>
      <c r="J25069" t="s">
        <v>30</v>
      </c>
      <c r="K25069" t="s">
        <v>75622</v>
      </c>
      <c r="M25069" t="s">
        <v>50621</v>
      </c>
      <c r="N25069" t="str">
        <f>"3/7/2025 10:41:00 AM"</f>
        <v>3/7/2025 10:41:00 AM</v>
      </c>
      <c r="O25069" t="s">
        <v>75620</v>
      </c>
    </row>
    <row r="25070" spans="1:20" x14ac:dyDescent="0.25">
      <c r="A25070" t="str">
        <f>"3078887"</f>
        <v>3078887</v>
      </c>
      <c r="B25070" t="s">
        <v>75623</v>
      </c>
      <c r="C25070" t="str">
        <f>"8323355"</f>
        <v>8323355</v>
      </c>
      <c r="D25070" t="s">
        <v>75620</v>
      </c>
      <c r="F25070" t="s">
        <v>75621</v>
      </c>
      <c r="I25070" t="s">
        <v>28654</v>
      </c>
      <c r="J25070" t="s">
        <v>30</v>
      </c>
      <c r="K25070" t="s">
        <v>75622</v>
      </c>
      <c r="M25070" t="s">
        <v>50621</v>
      </c>
      <c r="N25070" t="str">
        <f>"3/7/2025 10:41:00 AM"</f>
        <v>3/7/2025 10:41:00 AM</v>
      </c>
      <c r="O25070" t="s">
        <v>75620</v>
      </c>
    </row>
    <row r="25071" spans="1:20" x14ac:dyDescent="0.25">
      <c r="A25071" t="str">
        <f>"3058430"</f>
        <v>3058430</v>
      </c>
      <c r="B25071" t="s">
        <v>75624</v>
      </c>
      <c r="C25071" t="str">
        <f>"8321460"</f>
        <v>8321460</v>
      </c>
      <c r="D25071" t="s">
        <v>75625</v>
      </c>
      <c r="E25071" t="s">
        <v>75626</v>
      </c>
      <c r="F25071" t="s">
        <v>75627</v>
      </c>
      <c r="I25071" t="s">
        <v>29</v>
      </c>
      <c r="J25071" t="s">
        <v>30</v>
      </c>
      <c r="K25071" t="s">
        <v>59681</v>
      </c>
      <c r="M25071" t="s">
        <v>50793</v>
      </c>
      <c r="N25071" t="str">
        <f>"3/7/2025 11:04:00 AM"</f>
        <v>3/7/2025 11:04:00 AM</v>
      </c>
      <c r="O25071" t="s">
        <v>75625</v>
      </c>
      <c r="T25071" t="s">
        <v>75626</v>
      </c>
    </row>
    <row r="25072" spans="1:20" x14ac:dyDescent="0.25">
      <c r="A25072" t="str">
        <f>"3047071"</f>
        <v>3047071</v>
      </c>
      <c r="B25072" t="s">
        <v>75628</v>
      </c>
      <c r="C25072" t="str">
        <f>"82514543"</f>
        <v>82514543</v>
      </c>
      <c r="D25072" t="s">
        <v>75629</v>
      </c>
      <c r="F25072" t="s">
        <v>75630</v>
      </c>
      <c r="I25072" t="s">
        <v>184</v>
      </c>
      <c r="J25072" t="s">
        <v>30</v>
      </c>
      <c r="K25072" t="s">
        <v>75631</v>
      </c>
      <c r="M25072" t="s">
        <v>50621</v>
      </c>
      <c r="N25072" t="str">
        <f>"3/18/2025 2:12:00 PM"</f>
        <v>3/18/2025 2:12:00 PM</v>
      </c>
      <c r="O25072" t="s">
        <v>75629</v>
      </c>
    </row>
    <row r="25073" spans="1:20" x14ac:dyDescent="0.25">
      <c r="A25073" t="str">
        <f>"3053732"</f>
        <v>3053732</v>
      </c>
      <c r="B25073" t="s">
        <v>75632</v>
      </c>
      <c r="C25073" t="str">
        <f>"82520205"</f>
        <v>82520205</v>
      </c>
      <c r="D25073" t="s">
        <v>75633</v>
      </c>
      <c r="E25073" t="s">
        <v>75634</v>
      </c>
      <c r="F25073" t="s">
        <v>75635</v>
      </c>
      <c r="I25073" t="s">
        <v>29</v>
      </c>
      <c r="J25073" t="s">
        <v>30</v>
      </c>
      <c r="K25073" t="s">
        <v>35275</v>
      </c>
      <c r="M25073" t="s">
        <v>50621</v>
      </c>
      <c r="N25073" t="str">
        <f>"3/18/2025 2:21:00 PM"</f>
        <v>3/18/2025 2:21:00 PM</v>
      </c>
      <c r="O25073" t="s">
        <v>75633</v>
      </c>
      <c r="T25073" t="s">
        <v>75634</v>
      </c>
    </row>
    <row r="25074" spans="1:20" x14ac:dyDescent="0.25">
      <c r="A25074" t="str">
        <f>"3052079"</f>
        <v>3052079</v>
      </c>
      <c r="B25074" t="s">
        <v>75636</v>
      </c>
      <c r="C25074" t="str">
        <f>"8303302"</f>
        <v>8303302</v>
      </c>
      <c r="D25074" t="s">
        <v>75637</v>
      </c>
      <c r="E25074" t="s">
        <v>75638</v>
      </c>
      <c r="F25074" t="s">
        <v>75639</v>
      </c>
      <c r="I25074" t="s">
        <v>29</v>
      </c>
      <c r="J25074" t="s">
        <v>30</v>
      </c>
      <c r="K25074" t="str">
        <f>"27028"</f>
        <v>27028</v>
      </c>
      <c r="M25074" t="s">
        <v>50621</v>
      </c>
      <c r="N25074" t="str">
        <f>"3/18/2025 2:23:00 PM"</f>
        <v>3/18/2025 2:23:00 PM</v>
      </c>
      <c r="O25074" t="s">
        <v>75637</v>
      </c>
      <c r="T25074" t="s">
        <v>75638</v>
      </c>
    </row>
    <row r="25075" spans="1:20" x14ac:dyDescent="0.25">
      <c r="A25075" t="str">
        <f>"3054128"</f>
        <v>3054128</v>
      </c>
      <c r="B25075" t="s">
        <v>75640</v>
      </c>
      <c r="C25075" t="str">
        <f>"8300382"</f>
        <v>8300382</v>
      </c>
      <c r="D25075" t="s">
        <v>75641</v>
      </c>
      <c r="F25075" t="s">
        <v>75642</v>
      </c>
      <c r="I25075" t="s">
        <v>17921</v>
      </c>
      <c r="J25075" t="s">
        <v>30</v>
      </c>
      <c r="K25075" t="str">
        <f>"27028"</f>
        <v>27028</v>
      </c>
      <c r="M25075" t="s">
        <v>50793</v>
      </c>
      <c r="N25075" t="str">
        <f>"3/7/2025 11:24:00 AM"</f>
        <v>3/7/2025 11:24:00 AM</v>
      </c>
      <c r="O25075" t="s">
        <v>75641</v>
      </c>
    </row>
    <row r="25076" spans="1:20" x14ac:dyDescent="0.25">
      <c r="A25076" t="str">
        <f>"3078382"</f>
        <v>3078382</v>
      </c>
      <c r="B25076" t="s">
        <v>75643</v>
      </c>
      <c r="C25076" t="str">
        <f>"8321962"</f>
        <v>8321962</v>
      </c>
      <c r="D25076" t="s">
        <v>73247</v>
      </c>
      <c r="E25076" t="s">
        <v>75644</v>
      </c>
      <c r="F25076" t="s">
        <v>75645</v>
      </c>
      <c r="I25076" t="s">
        <v>29</v>
      </c>
      <c r="J25076" t="s">
        <v>30</v>
      </c>
      <c r="K25076" t="s">
        <v>12976</v>
      </c>
      <c r="M25076" t="s">
        <v>50621</v>
      </c>
      <c r="N25076" t="str">
        <f>"3/18/2025 3:27:00 PM"</f>
        <v>3/18/2025 3:27:00 PM</v>
      </c>
      <c r="O25076" t="s">
        <v>73247</v>
      </c>
      <c r="T25076" t="s">
        <v>75644</v>
      </c>
    </row>
    <row r="25077" spans="1:20" x14ac:dyDescent="0.25">
      <c r="A25077" t="str">
        <f>"3047180"</f>
        <v>3047180</v>
      </c>
      <c r="B25077" t="s">
        <v>75646</v>
      </c>
      <c r="C25077" t="str">
        <f>"8322413"</f>
        <v>8322413</v>
      </c>
      <c r="D25077" t="s">
        <v>58543</v>
      </c>
      <c r="E25077" t="s">
        <v>35545</v>
      </c>
      <c r="F25077" t="s">
        <v>58544</v>
      </c>
      <c r="I25077" t="s">
        <v>184</v>
      </c>
      <c r="J25077" t="s">
        <v>30</v>
      </c>
      <c r="K25077" t="s">
        <v>36453</v>
      </c>
      <c r="M25077" t="s">
        <v>50793</v>
      </c>
      <c r="N25077" t="str">
        <f>"3/7/2025 11:30:00 AM"</f>
        <v>3/7/2025 11:30:00 AM</v>
      </c>
      <c r="O25077" t="s">
        <v>58543</v>
      </c>
      <c r="T25077" t="s">
        <v>35545</v>
      </c>
    </row>
    <row r="25078" spans="1:20" x14ac:dyDescent="0.25">
      <c r="A25078" t="str">
        <f>"3043411"</f>
        <v>3043411</v>
      </c>
      <c r="B25078" t="s">
        <v>75647</v>
      </c>
      <c r="C25078" t="str">
        <f>"8321075"</f>
        <v>8321075</v>
      </c>
      <c r="D25078" t="s">
        <v>75230</v>
      </c>
      <c r="F25078" t="s">
        <v>75231</v>
      </c>
      <c r="I25078" t="s">
        <v>184</v>
      </c>
      <c r="J25078" t="s">
        <v>30</v>
      </c>
      <c r="K25078" t="s">
        <v>4918</v>
      </c>
      <c r="M25078" t="s">
        <v>50621</v>
      </c>
      <c r="N25078" t="str">
        <f>"3/7/2025 1:40:00 PM"</f>
        <v>3/7/2025 1:40:00 PM</v>
      </c>
      <c r="O25078" t="s">
        <v>75230</v>
      </c>
    </row>
    <row r="25079" spans="1:20" x14ac:dyDescent="0.25">
      <c r="A25079" t="str">
        <f>"3055299"</f>
        <v>3055299</v>
      </c>
      <c r="B25079" t="s">
        <v>75648</v>
      </c>
      <c r="C25079" t="str">
        <f>"14840550"</f>
        <v>14840550</v>
      </c>
      <c r="D25079" t="s">
        <v>75649</v>
      </c>
      <c r="E25079" t="s">
        <v>75650</v>
      </c>
      <c r="F25079" t="s">
        <v>75651</v>
      </c>
      <c r="I25079" t="s">
        <v>29</v>
      </c>
      <c r="J25079" t="s">
        <v>30</v>
      </c>
      <c r="K25079" t="s">
        <v>42515</v>
      </c>
      <c r="M25079" t="s">
        <v>50621</v>
      </c>
      <c r="N25079" t="str">
        <f>"3/11/2025 11:57:00 AM"</f>
        <v>3/11/2025 11:57:00 AM</v>
      </c>
      <c r="O25079" t="s">
        <v>75649</v>
      </c>
      <c r="T25079" t="s">
        <v>75650</v>
      </c>
    </row>
    <row r="25080" spans="1:20" x14ac:dyDescent="0.25">
      <c r="A25080" t="str">
        <f>"3044200"</f>
        <v>3044200</v>
      </c>
      <c r="B25080" t="s">
        <v>75652</v>
      </c>
      <c r="C25080" t="str">
        <f>"8309945"</f>
        <v>8309945</v>
      </c>
      <c r="D25080" t="s">
        <v>75653</v>
      </c>
      <c r="F25080" t="s">
        <v>75654</v>
      </c>
      <c r="I25080" t="s">
        <v>402</v>
      </c>
      <c r="J25080" t="s">
        <v>30</v>
      </c>
      <c r="K25080" t="s">
        <v>75655</v>
      </c>
      <c r="M25080" t="s">
        <v>50621</v>
      </c>
      <c r="N25080" t="str">
        <f>"3/19/2025 10:18:00 AM"</f>
        <v>3/19/2025 10:18:00 AM</v>
      </c>
      <c r="O25080" t="s">
        <v>75653</v>
      </c>
    </row>
    <row r="25081" spans="1:20" x14ac:dyDescent="0.25">
      <c r="A25081" t="str">
        <f>"3041809"</f>
        <v>3041809</v>
      </c>
      <c r="B25081" t="s">
        <v>75656</v>
      </c>
      <c r="C25081" t="str">
        <f>"8309945"</f>
        <v>8309945</v>
      </c>
      <c r="D25081" t="s">
        <v>75653</v>
      </c>
      <c r="F25081" t="s">
        <v>75654</v>
      </c>
      <c r="I25081" t="s">
        <v>402</v>
      </c>
      <c r="J25081" t="s">
        <v>30</v>
      </c>
      <c r="K25081" t="s">
        <v>75655</v>
      </c>
      <c r="M25081" t="s">
        <v>50621</v>
      </c>
      <c r="N25081" t="str">
        <f>"3/19/2025 10:18:00 AM"</f>
        <v>3/19/2025 10:18:00 AM</v>
      </c>
      <c r="O25081" t="s">
        <v>75653</v>
      </c>
    </row>
    <row r="25082" spans="1:20" x14ac:dyDescent="0.25">
      <c r="A25082" t="str">
        <f>"3041385"</f>
        <v>3041385</v>
      </c>
      <c r="B25082" t="s">
        <v>75657</v>
      </c>
      <c r="C25082" t="str">
        <f>"8311118"</f>
        <v>8311118</v>
      </c>
      <c r="D25082" t="s">
        <v>75658</v>
      </c>
      <c r="F25082" t="s">
        <v>2127</v>
      </c>
      <c r="I25082" t="s">
        <v>68295</v>
      </c>
      <c r="J25082" t="s">
        <v>30</v>
      </c>
      <c r="K25082" t="s">
        <v>75659</v>
      </c>
      <c r="M25082" t="s">
        <v>50793</v>
      </c>
      <c r="N25082" t="str">
        <f>"3/19/2025 10:20:00 AM"</f>
        <v>3/19/2025 10:20:00 AM</v>
      </c>
      <c r="O25082" t="s">
        <v>75658</v>
      </c>
    </row>
    <row r="25083" spans="1:20" x14ac:dyDescent="0.25">
      <c r="A25083" t="str">
        <f>"3062133"</f>
        <v>3062133</v>
      </c>
      <c r="B25083" t="s">
        <v>75660</v>
      </c>
      <c r="C25083" t="str">
        <f>"8321486"</f>
        <v>8321486</v>
      </c>
      <c r="D25083" t="s">
        <v>75661</v>
      </c>
      <c r="E25083" t="s">
        <v>75662</v>
      </c>
      <c r="F25083" t="s">
        <v>75663</v>
      </c>
      <c r="I25083" t="s">
        <v>29</v>
      </c>
      <c r="J25083" t="s">
        <v>30</v>
      </c>
      <c r="K25083" t="str">
        <f>"27028"</f>
        <v>27028</v>
      </c>
      <c r="M25083" t="s">
        <v>18470</v>
      </c>
      <c r="N25083" t="str">
        <f>"3/19/2025 10:28:00 AM"</f>
        <v>3/19/2025 10:28:00 AM</v>
      </c>
      <c r="O25083" t="s">
        <v>75661</v>
      </c>
      <c r="T25083" t="s">
        <v>75662</v>
      </c>
    </row>
    <row r="25084" spans="1:20" x14ac:dyDescent="0.25">
      <c r="A25084" t="str">
        <f>"3046290"</f>
        <v>3046290</v>
      </c>
      <c r="B25084" t="s">
        <v>75664</v>
      </c>
      <c r="C25084" t="str">
        <f>"8309638"</f>
        <v>8309638</v>
      </c>
      <c r="D25084" t="s">
        <v>75665</v>
      </c>
      <c r="E25084" t="s">
        <v>75666</v>
      </c>
      <c r="F25084" t="s">
        <v>57398</v>
      </c>
      <c r="I25084" t="s">
        <v>29</v>
      </c>
      <c r="J25084" t="s">
        <v>30</v>
      </c>
      <c r="K25084" t="s">
        <v>8511</v>
      </c>
      <c r="M25084" t="s">
        <v>50793</v>
      </c>
      <c r="N25084" t="str">
        <f>"3/19/2025 10:27:00 AM"</f>
        <v>3/19/2025 10:27:00 AM</v>
      </c>
      <c r="O25084" t="s">
        <v>75665</v>
      </c>
      <c r="T25084" t="s">
        <v>75666</v>
      </c>
    </row>
    <row r="25085" spans="1:20" x14ac:dyDescent="0.25">
      <c r="A25085" t="str">
        <f>"3065024"</f>
        <v>3065024</v>
      </c>
      <c r="B25085" t="s">
        <v>75667</v>
      </c>
      <c r="C25085" t="str">
        <f>"8314873"</f>
        <v>8314873</v>
      </c>
      <c r="D25085" t="s">
        <v>75668</v>
      </c>
      <c r="F25085" t="s">
        <v>50875</v>
      </c>
      <c r="I25085" t="s">
        <v>184</v>
      </c>
      <c r="J25085" t="s">
        <v>30</v>
      </c>
      <c r="K25085" t="s">
        <v>19603</v>
      </c>
      <c r="M25085" t="s">
        <v>50621</v>
      </c>
      <c r="N25085" t="str">
        <f>"3/19/2025 10:32:00 AM"</f>
        <v>3/19/2025 10:32:00 AM</v>
      </c>
      <c r="O25085" t="s">
        <v>75668</v>
      </c>
    </row>
    <row r="25086" spans="1:20" x14ac:dyDescent="0.25">
      <c r="A25086" t="str">
        <f>"3040501"</f>
        <v>3040501</v>
      </c>
      <c r="B25086" t="s">
        <v>75669</v>
      </c>
      <c r="C25086" t="str">
        <f>"8310664"</f>
        <v>8310664</v>
      </c>
      <c r="D25086" t="s">
        <v>75670</v>
      </c>
      <c r="F25086" t="s">
        <v>75671</v>
      </c>
      <c r="I25086" t="s">
        <v>402</v>
      </c>
      <c r="J25086" t="s">
        <v>30</v>
      </c>
      <c r="K25086" t="str">
        <f>"27012"</f>
        <v>27012</v>
      </c>
      <c r="M25086" t="s">
        <v>50621</v>
      </c>
      <c r="N25086" t="str">
        <f>"3/11/2025 12:26:00 PM"</f>
        <v>3/11/2025 12:26:00 PM</v>
      </c>
      <c r="O25086" t="s">
        <v>75670</v>
      </c>
    </row>
    <row r="25087" spans="1:20" x14ac:dyDescent="0.25">
      <c r="A25087" t="str">
        <f>"3040176"</f>
        <v>3040176</v>
      </c>
      <c r="B25087" t="s">
        <v>75672</v>
      </c>
      <c r="C25087" t="str">
        <f>"18484000"</f>
        <v>18484000</v>
      </c>
      <c r="D25087" t="s">
        <v>75673</v>
      </c>
      <c r="F25087" t="str">
        <f>"C/O BRENDA NANCE"</f>
        <v>C/O BRENDA NANCE</v>
      </c>
      <c r="G25087" t="s">
        <v>75674</v>
      </c>
      <c r="I25087" t="s">
        <v>29</v>
      </c>
      <c r="J25087" t="s">
        <v>30</v>
      </c>
      <c r="K25087" t="s">
        <v>43214</v>
      </c>
      <c r="M25087" t="s">
        <v>50621</v>
      </c>
      <c r="N25087" t="str">
        <f>"3/11/2025 12:28:00 PM"</f>
        <v>3/11/2025 12:28:00 PM</v>
      </c>
      <c r="O25087" t="s">
        <v>75673</v>
      </c>
    </row>
    <row r="25088" spans="1:20" x14ac:dyDescent="0.25">
      <c r="A25088" t="str">
        <f>"3039387"</f>
        <v>3039387</v>
      </c>
      <c r="B25088" t="s">
        <v>75675</v>
      </c>
      <c r="C25088" t="str">
        <f>"8316671"</f>
        <v>8316671</v>
      </c>
      <c r="D25088" t="s">
        <v>75676</v>
      </c>
      <c r="F25088" t="s">
        <v>75677</v>
      </c>
      <c r="G25088" t="s">
        <v>75678</v>
      </c>
      <c r="I25088" t="s">
        <v>184</v>
      </c>
      <c r="J25088" t="s">
        <v>30</v>
      </c>
      <c r="K25088" t="s">
        <v>75679</v>
      </c>
      <c r="M25088" t="s">
        <v>50621</v>
      </c>
      <c r="N25088" t="str">
        <f>"3/12/2025 9:24:00 AM"</f>
        <v>3/12/2025 9:24:00 AM</v>
      </c>
      <c r="O25088" t="s">
        <v>75676</v>
      </c>
    </row>
    <row r="25089" spans="1:20" x14ac:dyDescent="0.25">
      <c r="A25089" t="str">
        <f>"3057329"</f>
        <v>3057329</v>
      </c>
      <c r="B25089" t="s">
        <v>75680</v>
      </c>
      <c r="C25089" t="str">
        <f>"8316679"</f>
        <v>8316679</v>
      </c>
      <c r="D25089" t="s">
        <v>75681</v>
      </c>
      <c r="F25089" t="s">
        <v>75682</v>
      </c>
      <c r="I25089" t="s">
        <v>471</v>
      </c>
      <c r="J25089" t="s">
        <v>30</v>
      </c>
      <c r="K25089" t="s">
        <v>75683</v>
      </c>
      <c r="M25089" t="s">
        <v>50621</v>
      </c>
      <c r="N25089" t="str">
        <f>"3/19/2025 12:33:00 PM"</f>
        <v>3/19/2025 12:33:00 PM</v>
      </c>
      <c r="O25089" t="s">
        <v>75681</v>
      </c>
    </row>
    <row r="25090" spans="1:20" x14ac:dyDescent="0.25">
      <c r="A25090" t="str">
        <f>"3058240"</f>
        <v>3058240</v>
      </c>
      <c r="B25090" t="s">
        <v>75684</v>
      </c>
      <c r="C25090" t="str">
        <f>"8316679"</f>
        <v>8316679</v>
      </c>
      <c r="D25090" t="s">
        <v>75681</v>
      </c>
      <c r="F25090" t="s">
        <v>75682</v>
      </c>
      <c r="I25090" t="s">
        <v>471</v>
      </c>
      <c r="J25090" t="s">
        <v>30</v>
      </c>
      <c r="K25090" t="s">
        <v>75683</v>
      </c>
      <c r="M25090" t="s">
        <v>50621</v>
      </c>
      <c r="N25090" t="str">
        <f>"3/19/2025 12:33:00 PM"</f>
        <v>3/19/2025 12:33:00 PM</v>
      </c>
      <c r="O25090" t="s">
        <v>75681</v>
      </c>
    </row>
    <row r="25091" spans="1:20" x14ac:dyDescent="0.25">
      <c r="A25091" t="str">
        <f>"3068764"</f>
        <v>3068764</v>
      </c>
      <c r="B25091" t="s">
        <v>75685</v>
      </c>
      <c r="C25091" t="str">
        <f>"8323923"</f>
        <v>8323923</v>
      </c>
      <c r="D25091" t="s">
        <v>75686</v>
      </c>
      <c r="E25091" t="s">
        <v>75687</v>
      </c>
      <c r="F25091" t="s">
        <v>75688</v>
      </c>
      <c r="I25091" t="s">
        <v>2589</v>
      </c>
      <c r="J25091" t="s">
        <v>30</v>
      </c>
      <c r="K25091" t="s">
        <v>75689</v>
      </c>
      <c r="M25091" t="s">
        <v>50500</v>
      </c>
      <c r="N25091" t="str">
        <f>"3/12/2025 4:15:00 PM"</f>
        <v>3/12/2025 4:15:00 PM</v>
      </c>
      <c r="O25091" t="s">
        <v>75686</v>
      </c>
      <c r="T25091" t="s">
        <v>75687</v>
      </c>
    </row>
    <row r="25092" spans="1:20" x14ac:dyDescent="0.25">
      <c r="A25092" t="str">
        <f>"3060112"</f>
        <v>3060112</v>
      </c>
      <c r="B25092" t="s">
        <v>75690</v>
      </c>
      <c r="C25092" t="str">
        <f>"8322487"</f>
        <v>8322487</v>
      </c>
      <c r="D25092" t="s">
        <v>75691</v>
      </c>
      <c r="E25092" t="s">
        <v>75692</v>
      </c>
      <c r="F25092" t="s">
        <v>75693</v>
      </c>
      <c r="I25092" t="s">
        <v>75694</v>
      </c>
      <c r="J25092" t="s">
        <v>30</v>
      </c>
      <c r="K25092" t="s">
        <v>75695</v>
      </c>
      <c r="M25092" t="s">
        <v>50621</v>
      </c>
      <c r="N25092" t="str">
        <f>"3/19/2025 3:10:00 PM"</f>
        <v>3/19/2025 3:10:00 PM</v>
      </c>
      <c r="O25092" t="s">
        <v>75691</v>
      </c>
      <c r="T25092" t="s">
        <v>75692</v>
      </c>
    </row>
    <row r="25093" spans="1:20" x14ac:dyDescent="0.25">
      <c r="A25093" t="str">
        <f>"3078600"</f>
        <v>3078600</v>
      </c>
      <c r="B25093" t="s">
        <v>75696</v>
      </c>
      <c r="C25093" t="str">
        <f>"8322228"</f>
        <v>8322228</v>
      </c>
      <c r="D25093" t="s">
        <v>75697</v>
      </c>
      <c r="F25093" t="s">
        <v>75698</v>
      </c>
      <c r="I25093" t="s">
        <v>1107</v>
      </c>
      <c r="J25093" t="s">
        <v>30</v>
      </c>
      <c r="K25093" t="s">
        <v>75699</v>
      </c>
      <c r="M25093" t="s">
        <v>50621</v>
      </c>
      <c r="N25093" t="str">
        <f>"3/20/2025 9:14:00 AM"</f>
        <v>3/20/2025 9:14:00 AM</v>
      </c>
      <c r="O25093" t="s">
        <v>75697</v>
      </c>
    </row>
    <row r="25094" spans="1:20" x14ac:dyDescent="0.25">
      <c r="A25094" t="str">
        <f>"3051577"</f>
        <v>3051577</v>
      </c>
      <c r="B25094" t="s">
        <v>75700</v>
      </c>
      <c r="C25094" t="str">
        <f>"8322228"</f>
        <v>8322228</v>
      </c>
      <c r="D25094" t="s">
        <v>75697</v>
      </c>
      <c r="F25094" t="s">
        <v>75698</v>
      </c>
      <c r="I25094" t="s">
        <v>1107</v>
      </c>
      <c r="J25094" t="s">
        <v>30</v>
      </c>
      <c r="K25094" t="s">
        <v>75699</v>
      </c>
      <c r="M25094" t="s">
        <v>50621</v>
      </c>
      <c r="N25094" t="str">
        <f>"3/20/2025 9:14:00 AM"</f>
        <v>3/20/2025 9:14:00 AM</v>
      </c>
      <c r="O25094" t="s">
        <v>75697</v>
      </c>
    </row>
    <row r="25095" spans="1:20" x14ac:dyDescent="0.25">
      <c r="A25095" t="str">
        <f>"3037291"</f>
        <v>3037291</v>
      </c>
      <c r="B25095" t="s">
        <v>75701</v>
      </c>
      <c r="C25095" t="str">
        <f>"8308647"</f>
        <v>8308647</v>
      </c>
      <c r="D25095" t="s">
        <v>75702</v>
      </c>
      <c r="F25095" t="s">
        <v>75703</v>
      </c>
      <c r="I25095" t="s">
        <v>184</v>
      </c>
      <c r="J25095" t="s">
        <v>30</v>
      </c>
      <c r="K25095" t="s">
        <v>743</v>
      </c>
      <c r="M25095" t="s">
        <v>50621</v>
      </c>
      <c r="N25095" t="str">
        <f>"3/20/2025 9:29:00 AM"</f>
        <v>3/20/2025 9:29:00 AM</v>
      </c>
      <c r="O25095" t="s">
        <v>75702</v>
      </c>
    </row>
    <row r="25096" spans="1:20" x14ac:dyDescent="0.25">
      <c r="A25096" t="str">
        <f>"3038927"</f>
        <v>3038927</v>
      </c>
      <c r="B25096" t="s">
        <v>75704</v>
      </c>
      <c r="C25096" t="str">
        <f>"8306791"</f>
        <v>8306791</v>
      </c>
      <c r="D25096" t="s">
        <v>75705</v>
      </c>
      <c r="F25096" t="s">
        <v>75706</v>
      </c>
      <c r="I25096" t="s">
        <v>29</v>
      </c>
      <c r="J25096" t="s">
        <v>30</v>
      </c>
      <c r="K25096" t="s">
        <v>49758</v>
      </c>
      <c r="M25096" t="s">
        <v>52111</v>
      </c>
      <c r="N25096" t="str">
        <f>"3/13/2025 10:09:00 AM"</f>
        <v>3/13/2025 10:09:00 AM</v>
      </c>
      <c r="O25096" t="s">
        <v>75705</v>
      </c>
    </row>
    <row r="25097" spans="1:20" x14ac:dyDescent="0.25">
      <c r="A25097" t="str">
        <f>"3054996"</f>
        <v>3054996</v>
      </c>
      <c r="B25097" t="s">
        <v>75707</v>
      </c>
      <c r="C25097" t="str">
        <f>"41423000"</f>
        <v>41423000</v>
      </c>
      <c r="D25097" t="s">
        <v>75708</v>
      </c>
      <c r="E25097" t="s">
        <v>75709</v>
      </c>
      <c r="F25097" t="s">
        <v>75710</v>
      </c>
      <c r="I25097" t="s">
        <v>29</v>
      </c>
      <c r="J25097" t="s">
        <v>30</v>
      </c>
      <c r="K25097" t="s">
        <v>31</v>
      </c>
      <c r="M25097" t="s">
        <v>50621</v>
      </c>
      <c r="N25097" t="str">
        <f>"3/20/2025 10:17:00 AM"</f>
        <v>3/20/2025 10:17:00 AM</v>
      </c>
      <c r="O25097" t="s">
        <v>75708</v>
      </c>
      <c r="T25097" t="s">
        <v>75709</v>
      </c>
    </row>
    <row r="25098" spans="1:20" x14ac:dyDescent="0.25">
      <c r="A25098" t="str">
        <f>"3051580"</f>
        <v>3051580</v>
      </c>
      <c r="B25098" t="s">
        <v>75711</v>
      </c>
      <c r="C25098" t="str">
        <f>"40844250"</f>
        <v>40844250</v>
      </c>
      <c r="D25098" t="s">
        <v>75712</v>
      </c>
      <c r="F25098" t="s">
        <v>75713</v>
      </c>
      <c r="I25098" t="s">
        <v>29</v>
      </c>
      <c r="J25098" t="s">
        <v>30</v>
      </c>
      <c r="K25098" t="s">
        <v>26326</v>
      </c>
      <c r="M25098" t="s">
        <v>50621</v>
      </c>
      <c r="N25098" t="str">
        <f>"3/20/2025 10:23:00 AM"</f>
        <v>3/20/2025 10:23:00 AM</v>
      </c>
      <c r="O25098" t="s">
        <v>75712</v>
      </c>
    </row>
    <row r="25099" spans="1:20" x14ac:dyDescent="0.25">
      <c r="A25099" t="str">
        <f>"3038156"</f>
        <v>3038156</v>
      </c>
      <c r="B25099" t="s">
        <v>75714</v>
      </c>
      <c r="C25099" t="str">
        <f>"82519802"</f>
        <v>82519802</v>
      </c>
      <c r="D25099" t="s">
        <v>75715</v>
      </c>
      <c r="E25099" t="s">
        <v>75716</v>
      </c>
      <c r="F25099" t="s">
        <v>75717</v>
      </c>
      <c r="I25099" t="s">
        <v>29</v>
      </c>
      <c r="J25099" t="s">
        <v>30</v>
      </c>
      <c r="K25099" t="s">
        <v>31</v>
      </c>
      <c r="M25099" t="s">
        <v>50621</v>
      </c>
      <c r="N25099" t="str">
        <f>"3/20/2025 10:40:00 AM"</f>
        <v>3/20/2025 10:40:00 AM</v>
      </c>
      <c r="O25099" t="s">
        <v>75715</v>
      </c>
      <c r="T25099" t="s">
        <v>75716</v>
      </c>
    </row>
    <row r="25100" spans="1:20" x14ac:dyDescent="0.25">
      <c r="A25100" t="str">
        <f>"3053257"</f>
        <v>3053257</v>
      </c>
      <c r="B25100" t="s">
        <v>75718</v>
      </c>
      <c r="C25100" t="str">
        <f>"8322498"</f>
        <v>8322498</v>
      </c>
      <c r="D25100" t="s">
        <v>75719</v>
      </c>
      <c r="F25100" t="s">
        <v>75720</v>
      </c>
      <c r="I25100" t="s">
        <v>29</v>
      </c>
      <c r="J25100" t="s">
        <v>30</v>
      </c>
      <c r="K25100" t="s">
        <v>35275</v>
      </c>
      <c r="M25100" t="s">
        <v>50621</v>
      </c>
      <c r="N25100" t="str">
        <f>"3/20/2025 1:01:00 PM"</f>
        <v>3/20/2025 1:01:00 PM</v>
      </c>
      <c r="O25100" t="s">
        <v>75719</v>
      </c>
    </row>
    <row r="25101" spans="1:20" x14ac:dyDescent="0.25">
      <c r="A25101" t="str">
        <f>"3051870"</f>
        <v>3051870</v>
      </c>
      <c r="B25101" t="s">
        <v>75721</v>
      </c>
      <c r="C25101" t="str">
        <f>"42111200"</f>
        <v>42111200</v>
      </c>
      <c r="D25101" t="s">
        <v>75722</v>
      </c>
      <c r="E25101" t="s">
        <v>75723</v>
      </c>
      <c r="F25101" t="s">
        <v>74460</v>
      </c>
      <c r="I25101" t="s">
        <v>29</v>
      </c>
      <c r="J25101" t="s">
        <v>30</v>
      </c>
      <c r="K25101" t="s">
        <v>31</v>
      </c>
      <c r="M25101" t="s">
        <v>50621</v>
      </c>
      <c r="N25101" t="str">
        <f>"3/20/2025 1:19:00 PM"</f>
        <v>3/20/2025 1:19:00 PM</v>
      </c>
      <c r="O25101" t="s">
        <v>75722</v>
      </c>
      <c r="T25101" t="s">
        <v>75723</v>
      </c>
    </row>
    <row r="25102" spans="1:20" x14ac:dyDescent="0.25">
      <c r="A25102" t="str">
        <f>"3045053"</f>
        <v>3045053</v>
      </c>
      <c r="B25102" t="s">
        <v>75724</v>
      </c>
      <c r="C25102" t="str">
        <f>"8310791"</f>
        <v>8310791</v>
      </c>
      <c r="D25102" t="s">
        <v>75725</v>
      </c>
      <c r="F25102" t="s">
        <v>67740</v>
      </c>
      <c r="I25102" t="s">
        <v>1149</v>
      </c>
      <c r="J25102" t="s">
        <v>30</v>
      </c>
      <c r="K25102" t="s">
        <v>6577</v>
      </c>
      <c r="M25102" t="s">
        <v>50621</v>
      </c>
      <c r="N25102" t="str">
        <f>"3/20/2025 1:26:00 PM"</f>
        <v>3/20/2025 1:26:00 PM</v>
      </c>
      <c r="O25102" t="s">
        <v>75725</v>
      </c>
    </row>
    <row r="25103" spans="1:20" x14ac:dyDescent="0.25">
      <c r="A25103" t="str">
        <f>"3039369"</f>
        <v>3039369</v>
      </c>
      <c r="B25103" t="s">
        <v>75726</v>
      </c>
      <c r="C25103" t="str">
        <f>"33152000"</f>
        <v>33152000</v>
      </c>
      <c r="D25103" t="s">
        <v>75460</v>
      </c>
      <c r="E25103" t="s">
        <v>75461</v>
      </c>
      <c r="F25103" t="s">
        <v>75462</v>
      </c>
      <c r="I25103" t="s">
        <v>75463</v>
      </c>
      <c r="J25103" t="s">
        <v>23322</v>
      </c>
      <c r="K25103" t="s">
        <v>75464</v>
      </c>
      <c r="M25103" t="s">
        <v>25625</v>
      </c>
      <c r="N25103" t="str">
        <f>"3/13/2025 11:52:00 AM"</f>
        <v>3/13/2025 11:52:00 AM</v>
      </c>
      <c r="O25103" t="s">
        <v>75460</v>
      </c>
      <c r="T25103" t="s">
        <v>75461</v>
      </c>
    </row>
    <row r="25104" spans="1:20" x14ac:dyDescent="0.25">
      <c r="A25104" t="str">
        <f>"3068887"</f>
        <v>3068887</v>
      </c>
      <c r="B25104" t="s">
        <v>75727</v>
      </c>
      <c r="C25104" t="str">
        <f>"8319950"</f>
        <v>8319950</v>
      </c>
      <c r="D25104" t="s">
        <v>75728</v>
      </c>
      <c r="E25104" t="s">
        <v>75729</v>
      </c>
      <c r="F25104" t="s">
        <v>74428</v>
      </c>
      <c r="I25104" t="s">
        <v>74429</v>
      </c>
      <c r="J25104" t="s">
        <v>2109</v>
      </c>
      <c r="K25104" t="s">
        <v>75730</v>
      </c>
      <c r="M25104" t="s">
        <v>33845</v>
      </c>
      <c r="N25104" t="str">
        <f>"3/13/2025 3:14:00 PM"</f>
        <v>3/13/2025 3:14:00 PM</v>
      </c>
      <c r="O25104" t="s">
        <v>75728</v>
      </c>
      <c r="T25104" t="s">
        <v>75729</v>
      </c>
    </row>
    <row r="25105" spans="1:20" x14ac:dyDescent="0.25">
      <c r="A25105" t="str">
        <f>"3056339"</f>
        <v>3056339</v>
      </c>
      <c r="B25105" t="s">
        <v>75731</v>
      </c>
      <c r="C25105" t="str">
        <f>"8320305"</f>
        <v>8320305</v>
      </c>
      <c r="D25105" t="s">
        <v>75732</v>
      </c>
      <c r="E25105" t="str">
        <f>"FENDER AARON SCOTT/LESLIE"</f>
        <v>FENDER AARON SCOTT/LESLIE</v>
      </c>
      <c r="F25105" t="s">
        <v>52064</v>
      </c>
      <c r="I25105" t="s">
        <v>29</v>
      </c>
      <c r="J25105" t="s">
        <v>30</v>
      </c>
      <c r="K25105" t="s">
        <v>63029</v>
      </c>
      <c r="M25105" t="s">
        <v>50621</v>
      </c>
      <c r="N25105" t="str">
        <f>"3/14/2025 10:04:00 AM"</f>
        <v>3/14/2025 10:04:00 AM</v>
      </c>
      <c r="O25105" t="s">
        <v>75732</v>
      </c>
      <c r="T25105" t="str">
        <f>"FENDER AARON SCOTT/LESLIE"</f>
        <v>FENDER AARON SCOTT/LESLIE</v>
      </c>
    </row>
    <row r="25106" spans="1:20" x14ac:dyDescent="0.25">
      <c r="A25106" t="str">
        <f>"3045094"</f>
        <v>3045094</v>
      </c>
      <c r="B25106" t="s">
        <v>75733</v>
      </c>
      <c r="C25106" t="str">
        <f>"82515415"</f>
        <v>82515415</v>
      </c>
      <c r="D25106" t="s">
        <v>75734</v>
      </c>
      <c r="F25106" t="s">
        <v>75735</v>
      </c>
      <c r="I25106" t="s">
        <v>75736</v>
      </c>
      <c r="J25106" t="s">
        <v>20397</v>
      </c>
      <c r="K25106" t="s">
        <v>75737</v>
      </c>
      <c r="M25106" t="s">
        <v>25733</v>
      </c>
      <c r="N25106" t="str">
        <f>"3/20/2025 1:53:00 PM"</f>
        <v>3/20/2025 1:53:00 PM</v>
      </c>
      <c r="O25106" t="s">
        <v>75734</v>
      </c>
    </row>
    <row r="25107" spans="1:20" x14ac:dyDescent="0.25">
      <c r="A25107" t="str">
        <f>"3045069"</f>
        <v>3045069</v>
      </c>
      <c r="B25107" t="s">
        <v>75738</v>
      </c>
      <c r="C25107" t="str">
        <f>"82515415"</f>
        <v>82515415</v>
      </c>
      <c r="D25107" t="s">
        <v>75734</v>
      </c>
      <c r="F25107" t="s">
        <v>75735</v>
      </c>
      <c r="I25107" t="s">
        <v>75736</v>
      </c>
      <c r="J25107" t="s">
        <v>20397</v>
      </c>
      <c r="K25107" t="s">
        <v>75737</v>
      </c>
      <c r="M25107" t="s">
        <v>25733</v>
      </c>
      <c r="N25107" t="str">
        <f>"3/20/2025 1:53:00 PM"</f>
        <v>3/20/2025 1:53:00 PM</v>
      </c>
      <c r="O25107" t="s">
        <v>75734</v>
      </c>
    </row>
    <row r="25108" spans="1:20" x14ac:dyDescent="0.25">
      <c r="A25108" t="str">
        <f>"3068984"</f>
        <v>3068984</v>
      </c>
      <c r="B25108" t="s">
        <v>75739</v>
      </c>
      <c r="C25108" t="str">
        <f>"8323950"</f>
        <v>8323950</v>
      </c>
      <c r="D25108" t="s">
        <v>75740</v>
      </c>
      <c r="F25108" t="s">
        <v>75741</v>
      </c>
      <c r="I25108" t="s">
        <v>29</v>
      </c>
      <c r="J25108" t="s">
        <v>30</v>
      </c>
      <c r="K25108" t="s">
        <v>34090</v>
      </c>
      <c r="M25108" t="s">
        <v>50500</v>
      </c>
      <c r="N25108" t="str">
        <f>"3/17/2025 10:18:00 AM"</f>
        <v>3/17/2025 10:18:00 AM</v>
      </c>
      <c r="O25108" t="s">
        <v>75740</v>
      </c>
    </row>
    <row r="25109" spans="1:20" x14ac:dyDescent="0.25">
      <c r="A25109" t="str">
        <f>"3053445"</f>
        <v>3053445</v>
      </c>
      <c r="B25109" t="s">
        <v>75742</v>
      </c>
      <c r="C25109" t="str">
        <f>"82517553"</f>
        <v>82517553</v>
      </c>
      <c r="D25109" t="s">
        <v>75743</v>
      </c>
      <c r="F25109" t="s">
        <v>75744</v>
      </c>
      <c r="I25109" t="s">
        <v>29</v>
      </c>
      <c r="J25109" t="s">
        <v>30</v>
      </c>
      <c r="K25109" t="s">
        <v>13600</v>
      </c>
      <c r="M25109" t="s">
        <v>50621</v>
      </c>
      <c r="N25109" t="str">
        <f>"3/21/2025 8:33:00 AM"</f>
        <v>3/21/2025 8:33:00 AM</v>
      </c>
      <c r="O25109" t="s">
        <v>75743</v>
      </c>
    </row>
    <row r="25110" spans="1:20" x14ac:dyDescent="0.25">
      <c r="A25110" t="str">
        <f>"3070909"</f>
        <v>3070909</v>
      </c>
      <c r="B25110" t="s">
        <v>75745</v>
      </c>
      <c r="C25110" t="str">
        <f>"8302348"</f>
        <v>8302348</v>
      </c>
      <c r="D25110" t="s">
        <v>75746</v>
      </c>
      <c r="E25110" t="s">
        <v>75747</v>
      </c>
      <c r="F25110" t="s">
        <v>56511</v>
      </c>
      <c r="I25110" t="s">
        <v>1107</v>
      </c>
      <c r="J25110" t="s">
        <v>30</v>
      </c>
      <c r="K25110" t="str">
        <f>"28625"</f>
        <v>28625</v>
      </c>
      <c r="M25110" t="s">
        <v>50621</v>
      </c>
      <c r="N25110" t="str">
        <f>"3/21/2025 8:36:00 AM"</f>
        <v>3/21/2025 8:36:00 AM</v>
      </c>
      <c r="O25110" t="s">
        <v>75746</v>
      </c>
      <c r="T25110" t="s">
        <v>75747</v>
      </c>
    </row>
    <row r="25111" spans="1:20" x14ac:dyDescent="0.25">
      <c r="A25111" t="str">
        <f>"3057614"</f>
        <v>3057614</v>
      </c>
      <c r="B25111" t="s">
        <v>75748</v>
      </c>
      <c r="C25111" t="str">
        <f>"43181500"</f>
        <v>43181500</v>
      </c>
      <c r="D25111" t="s">
        <v>75749</v>
      </c>
      <c r="E25111" t="s">
        <v>75750</v>
      </c>
      <c r="F25111" t="s">
        <v>75751</v>
      </c>
      <c r="I25111" t="s">
        <v>29</v>
      </c>
      <c r="J25111" t="s">
        <v>30</v>
      </c>
      <c r="K25111" t="s">
        <v>46628</v>
      </c>
      <c r="M25111" t="s">
        <v>50621</v>
      </c>
      <c r="N25111" t="str">
        <f>"3/21/2025 8:39:00 AM"</f>
        <v>3/21/2025 8:39:00 AM</v>
      </c>
      <c r="O25111" t="s">
        <v>75749</v>
      </c>
      <c r="T25111" t="s">
        <v>75750</v>
      </c>
    </row>
    <row r="25112" spans="1:20" x14ac:dyDescent="0.25">
      <c r="A25112" t="str">
        <f>"3056771"</f>
        <v>3056771</v>
      </c>
      <c r="B25112" t="s">
        <v>75752</v>
      </c>
      <c r="C25112" t="str">
        <f>"8314185"</f>
        <v>8314185</v>
      </c>
      <c r="D25112" t="s">
        <v>75753</v>
      </c>
      <c r="F25112" t="s">
        <v>75754</v>
      </c>
      <c r="I25112" t="s">
        <v>14378</v>
      </c>
      <c r="J25112" t="s">
        <v>30</v>
      </c>
      <c r="K25112" t="s">
        <v>75755</v>
      </c>
      <c r="M25112" t="s">
        <v>50793</v>
      </c>
      <c r="N25112" t="str">
        <f>"3/21/2025 8:48:00 AM"</f>
        <v>3/21/2025 8:48:00 AM</v>
      </c>
      <c r="O25112" t="s">
        <v>75753</v>
      </c>
    </row>
    <row r="25113" spans="1:20" x14ac:dyDescent="0.25">
      <c r="A25113" t="str">
        <f>"3041880"</f>
        <v>3041880</v>
      </c>
      <c r="B25113" t="s">
        <v>75756</v>
      </c>
      <c r="C25113" t="str">
        <f>"8310890"</f>
        <v>8310890</v>
      </c>
      <c r="D25113" t="s">
        <v>75757</v>
      </c>
      <c r="F25113" t="s">
        <v>75758</v>
      </c>
      <c r="I25113" t="s">
        <v>75759</v>
      </c>
      <c r="J25113" t="s">
        <v>30</v>
      </c>
      <c r="K25113" t="str">
        <f>"27103"</f>
        <v>27103</v>
      </c>
      <c r="M25113" t="s">
        <v>18470</v>
      </c>
      <c r="N25113" t="str">
        <f>"3/21/2025 9:02:00 AM"</f>
        <v>3/21/2025 9:02:00 AM</v>
      </c>
      <c r="O25113" t="s">
        <v>75757</v>
      </c>
    </row>
    <row r="25114" spans="1:20" x14ac:dyDescent="0.25">
      <c r="A25114" t="str">
        <f>"3061243"</f>
        <v>3061243</v>
      </c>
      <c r="B25114" t="s">
        <v>75760</v>
      </c>
      <c r="C25114" t="str">
        <f>"8321097"</f>
        <v>8321097</v>
      </c>
      <c r="D25114" t="s">
        <v>75761</v>
      </c>
      <c r="F25114" t="s">
        <v>75762</v>
      </c>
      <c r="I25114" t="s">
        <v>2071</v>
      </c>
      <c r="J25114" t="s">
        <v>30</v>
      </c>
      <c r="K25114" t="s">
        <v>49347</v>
      </c>
      <c r="M25114" t="s">
        <v>50793</v>
      </c>
      <c r="N25114" t="str">
        <f>"3/21/2025 9:06:00 AM"</f>
        <v>3/21/2025 9:06:00 AM</v>
      </c>
      <c r="O25114" t="s">
        <v>75761</v>
      </c>
    </row>
    <row r="25115" spans="1:20" x14ac:dyDescent="0.25">
      <c r="A25115" t="str">
        <f>"3052146"</f>
        <v>3052146</v>
      </c>
      <c r="B25115" t="s">
        <v>75763</v>
      </c>
      <c r="C25115" t="str">
        <f>"8322724"</f>
        <v>8322724</v>
      </c>
      <c r="D25115" t="s">
        <v>75764</v>
      </c>
      <c r="F25115" t="s">
        <v>52770</v>
      </c>
      <c r="I25115" t="s">
        <v>29</v>
      </c>
      <c r="J25115" t="s">
        <v>30</v>
      </c>
      <c r="K25115" t="s">
        <v>34834</v>
      </c>
      <c r="M25115" t="s">
        <v>50793</v>
      </c>
      <c r="N25115" t="str">
        <f>"3/17/2025 1:20:00 PM"</f>
        <v>3/17/2025 1:20:00 PM</v>
      </c>
      <c r="O25115" t="s">
        <v>75764</v>
      </c>
    </row>
    <row r="25116" spans="1:20" x14ac:dyDescent="0.25">
      <c r="A25116" t="str">
        <f>"3047883"</f>
        <v>3047883</v>
      </c>
      <c r="B25116" t="s">
        <v>75765</v>
      </c>
      <c r="C25116" t="str">
        <f>"8312876"</f>
        <v>8312876</v>
      </c>
      <c r="D25116" t="s">
        <v>25854</v>
      </c>
      <c r="E25116" t="s">
        <v>75766</v>
      </c>
      <c r="F25116" t="s">
        <v>75767</v>
      </c>
      <c r="I25116" t="s">
        <v>184</v>
      </c>
      <c r="J25116" t="s">
        <v>30</v>
      </c>
      <c r="K25116" t="s">
        <v>8959</v>
      </c>
      <c r="M25116" t="s">
        <v>50500</v>
      </c>
      <c r="N25116" t="str">
        <f>"3/17/2025 2:31:00 PM"</f>
        <v>3/17/2025 2:31:00 PM</v>
      </c>
      <c r="O25116" t="s">
        <v>25854</v>
      </c>
      <c r="T25116" t="s">
        <v>75766</v>
      </c>
    </row>
    <row r="25117" spans="1:20" x14ac:dyDescent="0.25">
      <c r="A25117" t="str">
        <f>"3047545"</f>
        <v>3047545</v>
      </c>
      <c r="B25117" t="s">
        <v>75768</v>
      </c>
      <c r="C25117" t="str">
        <f>"8312876"</f>
        <v>8312876</v>
      </c>
      <c r="D25117" t="s">
        <v>25854</v>
      </c>
      <c r="E25117" t="s">
        <v>75766</v>
      </c>
      <c r="F25117" t="s">
        <v>75767</v>
      </c>
      <c r="I25117" t="s">
        <v>184</v>
      </c>
      <c r="J25117" t="s">
        <v>30</v>
      </c>
      <c r="K25117" t="s">
        <v>8959</v>
      </c>
      <c r="M25117" t="s">
        <v>50500</v>
      </c>
      <c r="N25117" t="str">
        <f>"3/17/2025 2:31:00 PM"</f>
        <v>3/17/2025 2:31:00 PM</v>
      </c>
      <c r="O25117" t="s">
        <v>25854</v>
      </c>
      <c r="T25117" t="s">
        <v>75766</v>
      </c>
    </row>
    <row r="25118" spans="1:20" x14ac:dyDescent="0.25">
      <c r="A25118" t="str">
        <f>"3046977"</f>
        <v>3046977</v>
      </c>
      <c r="B25118" t="s">
        <v>75769</v>
      </c>
      <c r="C25118" t="str">
        <f>"8306393"</f>
        <v>8306393</v>
      </c>
      <c r="D25118" t="s">
        <v>75770</v>
      </c>
      <c r="E25118" t="s">
        <v>75771</v>
      </c>
      <c r="F25118" t="s">
        <v>75772</v>
      </c>
      <c r="I25118" t="s">
        <v>29</v>
      </c>
      <c r="J25118" t="s">
        <v>30</v>
      </c>
      <c r="K25118" t="s">
        <v>32916</v>
      </c>
      <c r="M25118" t="s">
        <v>70991</v>
      </c>
      <c r="N25118" t="str">
        <f>"3/17/2025 3:09:00 PM"</f>
        <v>3/17/2025 3:09:00 PM</v>
      </c>
      <c r="O25118" t="s">
        <v>75770</v>
      </c>
      <c r="T25118" t="s">
        <v>75771</v>
      </c>
    </row>
    <row r="25119" spans="1:20" x14ac:dyDescent="0.25">
      <c r="A25119" t="str">
        <f>"3066330"</f>
        <v>3066330</v>
      </c>
      <c r="B25119" t="s">
        <v>75773</v>
      </c>
      <c r="C25119" t="str">
        <f>"8323819"</f>
        <v>8323819</v>
      </c>
      <c r="D25119" t="s">
        <v>75774</v>
      </c>
      <c r="E25119" t="s">
        <v>63223</v>
      </c>
      <c r="F25119" t="s">
        <v>63224</v>
      </c>
      <c r="I25119" t="s">
        <v>49787</v>
      </c>
      <c r="J25119" t="s">
        <v>28425</v>
      </c>
      <c r="K25119" t="s">
        <v>63225</v>
      </c>
      <c r="M25119" t="s">
        <v>50793</v>
      </c>
      <c r="N25119" t="str">
        <f>"3/17/2025 3:49:00 PM"</f>
        <v>3/17/2025 3:49:00 PM</v>
      </c>
      <c r="O25119" t="s">
        <v>75774</v>
      </c>
      <c r="T25119" t="s">
        <v>63223</v>
      </c>
    </row>
    <row r="25120" spans="1:20" x14ac:dyDescent="0.25">
      <c r="A25120" t="str">
        <f>"3075837"</f>
        <v>3075837</v>
      </c>
      <c r="B25120" t="s">
        <v>75775</v>
      </c>
      <c r="C25120" t="str">
        <f>"8315889"</f>
        <v>8315889</v>
      </c>
      <c r="D25120" t="s">
        <v>75776</v>
      </c>
      <c r="E25120" t="s">
        <v>75777</v>
      </c>
      <c r="F25120" t="s">
        <v>75778</v>
      </c>
      <c r="I25120" t="s">
        <v>29</v>
      </c>
      <c r="J25120" t="s">
        <v>30</v>
      </c>
      <c r="K25120" t="s">
        <v>36410</v>
      </c>
      <c r="M25120" t="s">
        <v>18479</v>
      </c>
      <c r="N25120" t="str">
        <f>"3/21/2025 9:57:00 AM"</f>
        <v>3/21/2025 9:57:00 AM</v>
      </c>
      <c r="O25120" t="s">
        <v>75776</v>
      </c>
      <c r="T25120" t="s">
        <v>75777</v>
      </c>
    </row>
    <row r="25121" spans="1:20" x14ac:dyDescent="0.25">
      <c r="A25121" t="str">
        <f>"3060324"</f>
        <v>3060324</v>
      </c>
      <c r="B25121" t="s">
        <v>75779</v>
      </c>
      <c r="C25121" t="str">
        <f>"44588000"</f>
        <v>44588000</v>
      </c>
      <c r="D25121" t="s">
        <v>75780</v>
      </c>
      <c r="E25121" t="s">
        <v>75781</v>
      </c>
      <c r="F25121" t="s">
        <v>75782</v>
      </c>
      <c r="I25121" t="s">
        <v>29</v>
      </c>
      <c r="J25121" t="s">
        <v>30</v>
      </c>
      <c r="K25121" t="s">
        <v>31</v>
      </c>
      <c r="M25121" t="s">
        <v>50621</v>
      </c>
      <c r="N25121" t="str">
        <f>"3/21/2025 10:03:00 AM"</f>
        <v>3/21/2025 10:03:00 AM</v>
      </c>
      <c r="O25121" t="s">
        <v>75780</v>
      </c>
      <c r="T25121" t="s">
        <v>75781</v>
      </c>
    </row>
    <row r="25122" spans="1:20" x14ac:dyDescent="0.25">
      <c r="A25122" t="str">
        <f>"3060325"</f>
        <v>3060325</v>
      </c>
      <c r="B25122" t="s">
        <v>75783</v>
      </c>
      <c r="C25122" t="str">
        <f>"44588000"</f>
        <v>44588000</v>
      </c>
      <c r="D25122" t="s">
        <v>75780</v>
      </c>
      <c r="E25122" t="s">
        <v>75781</v>
      </c>
      <c r="F25122" t="s">
        <v>75782</v>
      </c>
      <c r="I25122" t="s">
        <v>29</v>
      </c>
      <c r="J25122" t="s">
        <v>30</v>
      </c>
      <c r="K25122" t="s">
        <v>31</v>
      </c>
      <c r="M25122" t="s">
        <v>50621</v>
      </c>
      <c r="N25122" t="str">
        <f>"3/21/2025 10:03:00 AM"</f>
        <v>3/21/2025 10:03:00 AM</v>
      </c>
      <c r="O25122" t="s">
        <v>75780</v>
      </c>
      <c r="T25122" t="s">
        <v>75781</v>
      </c>
    </row>
    <row r="25123" spans="1:20" x14ac:dyDescent="0.25">
      <c r="A25123" t="str">
        <f>"3057489"</f>
        <v>3057489</v>
      </c>
      <c r="B25123" t="s">
        <v>75784</v>
      </c>
      <c r="C25123" t="str">
        <f>"44588000"</f>
        <v>44588000</v>
      </c>
      <c r="D25123" t="s">
        <v>75780</v>
      </c>
      <c r="E25123" t="s">
        <v>75781</v>
      </c>
      <c r="F25123" t="s">
        <v>75782</v>
      </c>
      <c r="I25123" t="s">
        <v>29</v>
      </c>
      <c r="J25123" t="s">
        <v>30</v>
      </c>
      <c r="K25123" t="s">
        <v>31</v>
      </c>
      <c r="M25123" t="s">
        <v>50621</v>
      </c>
      <c r="N25123" t="str">
        <f>"3/21/2025 10:03:00 AM"</f>
        <v>3/21/2025 10:03:00 AM</v>
      </c>
      <c r="O25123" t="s">
        <v>75780</v>
      </c>
      <c r="T25123" t="s">
        <v>75781</v>
      </c>
    </row>
    <row r="25124" spans="1:20" x14ac:dyDescent="0.25">
      <c r="A25124" t="str">
        <f>"3037583"</f>
        <v>3037583</v>
      </c>
      <c r="B25124" t="s">
        <v>75785</v>
      </c>
      <c r="C25124" t="str">
        <f>"8301596"</f>
        <v>8301596</v>
      </c>
      <c r="D25124" t="s">
        <v>75786</v>
      </c>
      <c r="F25124" t="s">
        <v>75787</v>
      </c>
      <c r="I25124" t="s">
        <v>29</v>
      </c>
      <c r="J25124" t="s">
        <v>30</v>
      </c>
      <c r="K25124" t="str">
        <f>"27028"</f>
        <v>27028</v>
      </c>
      <c r="M25124" t="s">
        <v>50793</v>
      </c>
      <c r="N25124" t="str">
        <f>"3/21/2025 10:06:00 AM"</f>
        <v>3/21/2025 10:06:00 AM</v>
      </c>
      <c r="O25124" t="s">
        <v>75786</v>
      </c>
    </row>
    <row r="25125" spans="1:20" x14ac:dyDescent="0.25">
      <c r="A25125" t="str">
        <f>"3047853"</f>
        <v>3047853</v>
      </c>
      <c r="B25125" t="s">
        <v>75788</v>
      </c>
      <c r="C25125" t="str">
        <f>"82532550"</f>
        <v>82532550</v>
      </c>
      <c r="D25125" t="s">
        <v>75789</v>
      </c>
      <c r="F25125" t="s">
        <v>75790</v>
      </c>
      <c r="I25125" t="s">
        <v>184</v>
      </c>
      <c r="J25125" t="s">
        <v>30</v>
      </c>
      <c r="K25125" t="s">
        <v>75791</v>
      </c>
      <c r="M25125" t="s">
        <v>50621</v>
      </c>
      <c r="N25125" t="str">
        <f>"3/18/2025 9:44:00 AM"</f>
        <v>3/18/2025 9:44:00 AM</v>
      </c>
      <c r="O25125" t="s">
        <v>75789</v>
      </c>
    </row>
    <row r="25126" spans="1:20" x14ac:dyDescent="0.25">
      <c r="A25126" t="str">
        <f>"3058232"</f>
        <v>3058232</v>
      </c>
      <c r="B25126" t="s">
        <v>75792</v>
      </c>
      <c r="C25126" t="str">
        <f>"8306653"</f>
        <v>8306653</v>
      </c>
      <c r="D25126" t="s">
        <v>75793</v>
      </c>
      <c r="F25126" t="s">
        <v>75794</v>
      </c>
      <c r="G25126" t="s">
        <v>75795</v>
      </c>
      <c r="I25126" t="s">
        <v>29</v>
      </c>
      <c r="J25126" t="s">
        <v>30</v>
      </c>
      <c r="K25126" t="str">
        <f>"27028"</f>
        <v>27028</v>
      </c>
      <c r="M25126" t="s">
        <v>50621</v>
      </c>
      <c r="N25126" t="str">
        <f>"3/21/2025 10:56:00 AM"</f>
        <v>3/21/2025 10:56:00 AM</v>
      </c>
      <c r="O25126" t="s">
        <v>75793</v>
      </c>
    </row>
    <row r="25127" spans="1:20" x14ac:dyDescent="0.25">
      <c r="A25127" t="str">
        <f>"3047702"</f>
        <v>3047702</v>
      </c>
      <c r="B25127" t="s">
        <v>75796</v>
      </c>
      <c r="C25127" t="str">
        <f>"45619750"</f>
        <v>45619750</v>
      </c>
      <c r="D25127" t="s">
        <v>75797</v>
      </c>
      <c r="F25127" t="str">
        <f>"C/O PHYLLIS TURNER"</f>
        <v>C/O PHYLLIS TURNER</v>
      </c>
      <c r="G25127" t="s">
        <v>75798</v>
      </c>
      <c r="I25127" t="s">
        <v>184</v>
      </c>
      <c r="J25127" t="s">
        <v>30</v>
      </c>
      <c r="K25127" t="s">
        <v>75108</v>
      </c>
      <c r="M25127" t="s">
        <v>50621</v>
      </c>
      <c r="N25127" t="str">
        <f>"3/21/2025 11:41:00 AM"</f>
        <v>3/21/2025 11:41:00 AM</v>
      </c>
      <c r="O25127" t="s">
        <v>75797</v>
      </c>
    </row>
    <row r="25128" spans="1:20" x14ac:dyDescent="0.25">
      <c r="A25128" t="str">
        <f>"3043545"</f>
        <v>3043545</v>
      </c>
      <c r="B25128" t="s">
        <v>75799</v>
      </c>
      <c r="C25128" t="str">
        <f>"82517017"</f>
        <v>82517017</v>
      </c>
      <c r="D25128" t="s">
        <v>75800</v>
      </c>
      <c r="E25128" t="s">
        <v>75801</v>
      </c>
      <c r="F25128" t="s">
        <v>75802</v>
      </c>
      <c r="I25128" t="s">
        <v>29</v>
      </c>
      <c r="J25128" t="s">
        <v>30</v>
      </c>
      <c r="K25128" t="s">
        <v>8305</v>
      </c>
      <c r="M25128" t="s">
        <v>50793</v>
      </c>
      <c r="N25128" t="str">
        <f>"3/18/2025 10:39:00 AM"</f>
        <v>3/18/2025 10:39:00 AM</v>
      </c>
      <c r="O25128" t="s">
        <v>75800</v>
      </c>
      <c r="T25128" t="s">
        <v>75801</v>
      </c>
    </row>
    <row r="25129" spans="1:20" x14ac:dyDescent="0.25">
      <c r="A25129" t="str">
        <f>"3042183"</f>
        <v>3042183</v>
      </c>
      <c r="B25129" t="s">
        <v>75803</v>
      </c>
      <c r="C25129" t="str">
        <f>"8311318"</f>
        <v>8311318</v>
      </c>
      <c r="D25129" t="s">
        <v>75804</v>
      </c>
      <c r="E25129" t="s">
        <v>75805</v>
      </c>
      <c r="F25129" t="s">
        <v>75806</v>
      </c>
      <c r="I25129" t="s">
        <v>17921</v>
      </c>
      <c r="J25129" t="s">
        <v>30</v>
      </c>
      <c r="K25129" t="str">
        <f>"27028"</f>
        <v>27028</v>
      </c>
      <c r="M25129" t="s">
        <v>50621</v>
      </c>
      <c r="N25129" t="str">
        <f>"3/21/2025 12:47:00 PM"</f>
        <v>3/21/2025 12:47:00 PM</v>
      </c>
      <c r="O25129" t="s">
        <v>75804</v>
      </c>
      <c r="T25129" t="s">
        <v>75805</v>
      </c>
    </row>
    <row r="25130" spans="1:20" x14ac:dyDescent="0.25">
      <c r="A25130" t="str">
        <f>"3052294"</f>
        <v>3052294</v>
      </c>
      <c r="B25130" t="s">
        <v>75807</v>
      </c>
      <c r="C25130" t="str">
        <f>"8314246"</f>
        <v>8314246</v>
      </c>
      <c r="D25130" t="s">
        <v>75808</v>
      </c>
      <c r="F25130" t="s">
        <v>75809</v>
      </c>
      <c r="I25130" t="s">
        <v>471</v>
      </c>
      <c r="J25130" t="s">
        <v>30</v>
      </c>
      <c r="K25130" t="s">
        <v>75810</v>
      </c>
      <c r="M25130" t="s">
        <v>50621</v>
      </c>
      <c r="N25130" t="str">
        <f>"3/18/2025 12:15:00 PM"</f>
        <v>3/18/2025 12:15:00 PM</v>
      </c>
      <c r="O25130" t="s">
        <v>75808</v>
      </c>
    </row>
    <row r="25131" spans="1:20" x14ac:dyDescent="0.25">
      <c r="A25131" t="str">
        <f>"3046876"</f>
        <v>3046876</v>
      </c>
      <c r="B25131" t="s">
        <v>75811</v>
      </c>
      <c r="C25131" t="str">
        <f>"82514543"</f>
        <v>82514543</v>
      </c>
      <c r="D25131" t="s">
        <v>75629</v>
      </c>
      <c r="F25131" t="s">
        <v>75630</v>
      </c>
      <c r="I25131" t="s">
        <v>184</v>
      </c>
      <c r="J25131" t="s">
        <v>30</v>
      </c>
      <c r="K25131" t="s">
        <v>75631</v>
      </c>
      <c r="M25131" t="s">
        <v>50621</v>
      </c>
      <c r="N25131" t="str">
        <f>"3/18/2025 2:12:00 PM"</f>
        <v>3/18/2025 2:12:00 PM</v>
      </c>
      <c r="O25131" t="s">
        <v>75629</v>
      </c>
    </row>
    <row r="25132" spans="1:20" x14ac:dyDescent="0.25">
      <c r="A25132" t="str">
        <f>"3078381"</f>
        <v>3078381</v>
      </c>
      <c r="B25132" t="s">
        <v>75812</v>
      </c>
      <c r="C25132" t="str">
        <f>"8321962"</f>
        <v>8321962</v>
      </c>
      <c r="D25132" t="s">
        <v>73247</v>
      </c>
      <c r="E25132" t="s">
        <v>75644</v>
      </c>
      <c r="F25132" t="s">
        <v>75645</v>
      </c>
      <c r="I25132" t="s">
        <v>29</v>
      </c>
      <c r="J25132" t="s">
        <v>30</v>
      </c>
      <c r="K25132" t="s">
        <v>12976</v>
      </c>
      <c r="M25132" t="s">
        <v>50621</v>
      </c>
      <c r="N25132" t="str">
        <f>"3/18/2025 3:27:00 PM"</f>
        <v>3/18/2025 3:27:00 PM</v>
      </c>
      <c r="O25132" t="s">
        <v>73247</v>
      </c>
      <c r="T25132" t="s">
        <v>75644</v>
      </c>
    </row>
    <row r="25133" spans="1:20" x14ac:dyDescent="0.25">
      <c r="A25133" t="str">
        <f>"3055937"</f>
        <v>3055937</v>
      </c>
      <c r="B25133" t="s">
        <v>75813</v>
      </c>
      <c r="C25133" t="str">
        <f>"13595900"</f>
        <v>13595900</v>
      </c>
      <c r="D25133" t="s">
        <v>75814</v>
      </c>
      <c r="F25133" t="s">
        <v>14401</v>
      </c>
      <c r="I25133" t="s">
        <v>9580</v>
      </c>
      <c r="J25133" t="s">
        <v>30</v>
      </c>
      <c r="K25133" t="s">
        <v>9581</v>
      </c>
      <c r="M25133" t="s">
        <v>50621</v>
      </c>
      <c r="N25133" t="str">
        <f>"3/11/2025 11:16:00 AM"</f>
        <v>3/11/2025 11:16:00 AM</v>
      </c>
      <c r="O25133" t="s">
        <v>75814</v>
      </c>
    </row>
    <row r="25134" spans="1:20" x14ac:dyDescent="0.25">
      <c r="A25134" t="str">
        <f>"3059780"</f>
        <v>3059780</v>
      </c>
      <c r="B25134" t="s">
        <v>75815</v>
      </c>
      <c r="C25134" t="str">
        <f>"8300671"</f>
        <v>8300671</v>
      </c>
      <c r="D25134" t="s">
        <v>75816</v>
      </c>
      <c r="E25134" t="s">
        <v>75817</v>
      </c>
      <c r="F25134" t="s">
        <v>75818</v>
      </c>
      <c r="I25134" t="s">
        <v>29</v>
      </c>
      <c r="J25134" t="s">
        <v>30</v>
      </c>
      <c r="K25134" t="str">
        <f>"27028"</f>
        <v>27028</v>
      </c>
      <c r="M25134" t="s">
        <v>50793</v>
      </c>
      <c r="N25134" t="str">
        <f>"3/24/2025 8:55:00 AM"</f>
        <v>3/24/2025 8:55:00 AM</v>
      </c>
      <c r="O25134" t="s">
        <v>75816</v>
      </c>
      <c r="T25134" t="s">
        <v>75817</v>
      </c>
    </row>
    <row r="25135" spans="1:20" x14ac:dyDescent="0.25">
      <c r="A25135" t="str">
        <f>"3047609"</f>
        <v>3047609</v>
      </c>
      <c r="B25135" t="s">
        <v>75819</v>
      </c>
      <c r="C25135" t="str">
        <f>"76969500"</f>
        <v>76969500</v>
      </c>
      <c r="D25135" t="s">
        <v>75820</v>
      </c>
      <c r="E25135" t="s">
        <v>75821</v>
      </c>
      <c r="F25135" t="s">
        <v>75822</v>
      </c>
      <c r="I25135" t="s">
        <v>29</v>
      </c>
      <c r="J25135" t="s">
        <v>30</v>
      </c>
      <c r="K25135" t="s">
        <v>75823</v>
      </c>
      <c r="M25135" t="s">
        <v>50621</v>
      </c>
      <c r="N25135" t="str">
        <f>"3/24/2025 10:40:00 AM"</f>
        <v>3/24/2025 10:40:00 AM</v>
      </c>
      <c r="O25135" t="s">
        <v>75820</v>
      </c>
      <c r="T25135" t="s">
        <v>75821</v>
      </c>
    </row>
    <row r="25136" spans="1:20" x14ac:dyDescent="0.25">
      <c r="A25136" t="str">
        <f>"3069598"</f>
        <v>3069598</v>
      </c>
      <c r="B25136" t="s">
        <v>75824</v>
      </c>
      <c r="C25136" t="str">
        <f>"8324012"</f>
        <v>8324012</v>
      </c>
      <c r="D25136" t="s">
        <v>10104</v>
      </c>
      <c r="F25136" t="s">
        <v>75825</v>
      </c>
      <c r="I25136" t="s">
        <v>29</v>
      </c>
      <c r="J25136" t="s">
        <v>30</v>
      </c>
      <c r="K25136" t="s">
        <v>10107</v>
      </c>
      <c r="M25136" t="s">
        <v>50500</v>
      </c>
      <c r="N25136" t="str">
        <f>"3/24/2025 10:43:00 AM"</f>
        <v>3/24/2025 10:43:00 AM</v>
      </c>
      <c r="O25136" t="s">
        <v>10104</v>
      </c>
    </row>
    <row r="25137" spans="1:20" x14ac:dyDescent="0.25">
      <c r="A25137" t="str">
        <f>"3047382"</f>
        <v>3047382</v>
      </c>
      <c r="B25137" t="s">
        <v>75826</v>
      </c>
      <c r="C25137" t="str">
        <f>"52200870"</f>
        <v>52200870</v>
      </c>
      <c r="D25137" t="s">
        <v>75827</v>
      </c>
      <c r="F25137" t="s">
        <v>75828</v>
      </c>
      <c r="I25137" t="s">
        <v>184</v>
      </c>
      <c r="J25137" t="s">
        <v>30</v>
      </c>
      <c r="K25137" t="s">
        <v>185</v>
      </c>
      <c r="M25137" t="s">
        <v>25625</v>
      </c>
      <c r="N25137" t="str">
        <f>"3/24/2025 12:20:00 PM"</f>
        <v>3/24/2025 12:20:00 PM</v>
      </c>
      <c r="O25137" t="s">
        <v>75827</v>
      </c>
    </row>
    <row r="25138" spans="1:20" x14ac:dyDescent="0.25">
      <c r="A25138" t="str">
        <f>"3049280"</f>
        <v>3049280</v>
      </c>
      <c r="B25138" t="s">
        <v>75829</v>
      </c>
      <c r="C25138" t="str">
        <f>"52200870"</f>
        <v>52200870</v>
      </c>
      <c r="D25138" t="s">
        <v>75827</v>
      </c>
      <c r="F25138" t="s">
        <v>75828</v>
      </c>
      <c r="I25138" t="s">
        <v>184</v>
      </c>
      <c r="J25138" t="s">
        <v>30</v>
      </c>
      <c r="K25138" t="s">
        <v>185</v>
      </c>
      <c r="M25138" t="s">
        <v>25625</v>
      </c>
      <c r="N25138" t="str">
        <f>"3/24/2025 12:20:00 PM"</f>
        <v>3/24/2025 12:20:00 PM</v>
      </c>
      <c r="O25138" t="s">
        <v>75827</v>
      </c>
    </row>
    <row r="25139" spans="1:20" x14ac:dyDescent="0.25">
      <c r="A25139" t="str">
        <f>"3043872"</f>
        <v>3043872</v>
      </c>
      <c r="B25139" t="s">
        <v>75830</v>
      </c>
      <c r="C25139" t="str">
        <f>"8314273"</f>
        <v>8314273</v>
      </c>
      <c r="D25139" t="s">
        <v>75831</v>
      </c>
      <c r="E25139" t="s">
        <v>75832</v>
      </c>
      <c r="F25139" t="s">
        <v>75833</v>
      </c>
      <c r="I25139" t="s">
        <v>471</v>
      </c>
      <c r="J25139" t="s">
        <v>30</v>
      </c>
      <c r="K25139" t="s">
        <v>75834</v>
      </c>
      <c r="M25139" t="s">
        <v>50621</v>
      </c>
      <c r="N25139" t="str">
        <f>"3/24/2025 12:35:00 PM"</f>
        <v>3/24/2025 12:35:00 PM</v>
      </c>
      <c r="O25139" t="s">
        <v>75831</v>
      </c>
      <c r="T25139" t="s">
        <v>75832</v>
      </c>
    </row>
    <row r="25140" spans="1:20" x14ac:dyDescent="0.25">
      <c r="A25140" t="str">
        <f>"3063947"</f>
        <v>3063947</v>
      </c>
      <c r="B25140" t="s">
        <v>75835</v>
      </c>
      <c r="C25140" t="str">
        <f>"82532991"</f>
        <v>82532991</v>
      </c>
      <c r="D25140" t="s">
        <v>75836</v>
      </c>
      <c r="E25140" t="s">
        <v>75837</v>
      </c>
      <c r="F25140" t="s">
        <v>75838</v>
      </c>
      <c r="I25140" t="s">
        <v>184</v>
      </c>
      <c r="J25140" t="s">
        <v>30</v>
      </c>
      <c r="K25140" t="s">
        <v>185</v>
      </c>
      <c r="M25140" t="s">
        <v>50621</v>
      </c>
      <c r="N25140" t="str">
        <f>"3/11/2025 11:55:00 AM"</f>
        <v>3/11/2025 11:55:00 AM</v>
      </c>
      <c r="O25140" t="s">
        <v>75836</v>
      </c>
      <c r="T25140" t="s">
        <v>75837</v>
      </c>
    </row>
    <row r="25141" spans="1:20" x14ac:dyDescent="0.25">
      <c r="A25141" t="str">
        <f>"3055470"</f>
        <v>3055470</v>
      </c>
      <c r="B25141" t="s">
        <v>75839</v>
      </c>
      <c r="C25141" t="str">
        <f>"8320973"</f>
        <v>8320973</v>
      </c>
      <c r="D25141" t="s">
        <v>75840</v>
      </c>
      <c r="E25141" t="s">
        <v>75841</v>
      </c>
      <c r="F25141" t="s">
        <v>75842</v>
      </c>
      <c r="I25141" t="s">
        <v>29</v>
      </c>
      <c r="J25141" t="s">
        <v>30</v>
      </c>
      <c r="K25141" t="s">
        <v>16452</v>
      </c>
      <c r="M25141" t="s">
        <v>50793</v>
      </c>
      <c r="N25141" t="str">
        <f>"3/19/2025 11:30:00 AM"</f>
        <v>3/19/2025 11:30:00 AM</v>
      </c>
      <c r="O25141" t="s">
        <v>75840</v>
      </c>
      <c r="T25141" t="s">
        <v>75841</v>
      </c>
    </row>
    <row r="25142" spans="1:20" x14ac:dyDescent="0.25">
      <c r="A25142" t="str">
        <f>"3055448"</f>
        <v>3055448</v>
      </c>
      <c r="B25142" t="s">
        <v>75843</v>
      </c>
      <c r="C25142" t="str">
        <f>"8300992"</f>
        <v>8300992</v>
      </c>
      <c r="D25142" t="s">
        <v>75844</v>
      </c>
      <c r="F25142" t="s">
        <v>75845</v>
      </c>
      <c r="I25142" t="s">
        <v>29</v>
      </c>
      <c r="J25142" t="s">
        <v>30</v>
      </c>
      <c r="K25142" t="s">
        <v>75846</v>
      </c>
      <c r="M25142" t="s">
        <v>50621</v>
      </c>
      <c r="N25142" t="str">
        <f>"3/25/2025 10:05:00 AM"</f>
        <v>3/25/2025 10:05:00 AM</v>
      </c>
      <c r="O25142" t="s">
        <v>75844</v>
      </c>
    </row>
    <row r="25143" spans="1:20" x14ac:dyDescent="0.25">
      <c r="A25143" t="str">
        <f>"3055370"</f>
        <v>3055370</v>
      </c>
      <c r="B25143" t="s">
        <v>75847</v>
      </c>
      <c r="C25143" t="str">
        <f>"8300992"</f>
        <v>8300992</v>
      </c>
      <c r="D25143" t="s">
        <v>75844</v>
      </c>
      <c r="F25143" t="s">
        <v>75845</v>
      </c>
      <c r="I25143" t="s">
        <v>29</v>
      </c>
      <c r="J25143" t="s">
        <v>30</v>
      </c>
      <c r="K25143" t="s">
        <v>75846</v>
      </c>
      <c r="M25143" t="s">
        <v>50621</v>
      </c>
      <c r="N25143" t="str">
        <f>"3/25/2025 10:05:00 AM"</f>
        <v>3/25/2025 10:05:00 AM</v>
      </c>
      <c r="O25143" t="s">
        <v>75844</v>
      </c>
    </row>
    <row r="25144" spans="1:20" x14ac:dyDescent="0.25">
      <c r="A25144" t="str">
        <f>"3043451"</f>
        <v>3043451</v>
      </c>
      <c r="B25144" t="s">
        <v>75848</v>
      </c>
      <c r="C25144" t="str">
        <f>"40396060"</f>
        <v>40396060</v>
      </c>
      <c r="D25144" t="s">
        <v>75849</v>
      </c>
      <c r="F25144" t="s">
        <v>75850</v>
      </c>
      <c r="I25144" t="s">
        <v>29</v>
      </c>
      <c r="J25144" t="s">
        <v>30</v>
      </c>
      <c r="K25144" t="s">
        <v>31</v>
      </c>
      <c r="M25144" t="s">
        <v>51351</v>
      </c>
      <c r="N25144" t="str">
        <f>"3/25/2025 10:23:00 AM"</f>
        <v>3/25/2025 10:23:00 AM</v>
      </c>
      <c r="O25144" t="s">
        <v>75849</v>
      </c>
    </row>
    <row r="25145" spans="1:20" x14ac:dyDescent="0.25">
      <c r="A25145" t="str">
        <f>"3048163"</f>
        <v>3048163</v>
      </c>
      <c r="B25145" t="s">
        <v>75851</v>
      </c>
      <c r="C25145" t="str">
        <f>"82523711"</f>
        <v>82523711</v>
      </c>
      <c r="D25145" t="s">
        <v>75852</v>
      </c>
      <c r="F25145" t="s">
        <v>75853</v>
      </c>
      <c r="I25145" t="s">
        <v>59331</v>
      </c>
      <c r="J25145" t="s">
        <v>30</v>
      </c>
      <c r="K25145" t="s">
        <v>75854</v>
      </c>
      <c r="M25145" t="s">
        <v>50621</v>
      </c>
      <c r="N25145" t="str">
        <f>"3/25/2025 11:00:00 AM"</f>
        <v>3/25/2025 11:00:00 AM</v>
      </c>
      <c r="O25145" t="s">
        <v>75852</v>
      </c>
    </row>
    <row r="25146" spans="1:20" x14ac:dyDescent="0.25">
      <c r="A25146" t="str">
        <f>"3043560"</f>
        <v>3043560</v>
      </c>
      <c r="B25146" t="s">
        <v>75855</v>
      </c>
      <c r="C25146" t="str">
        <f>"8314840"</f>
        <v>8314840</v>
      </c>
      <c r="D25146" t="s">
        <v>75856</v>
      </c>
      <c r="E25146" t="s">
        <v>75857</v>
      </c>
      <c r="F25146" t="s">
        <v>75858</v>
      </c>
      <c r="I25146" t="s">
        <v>29</v>
      </c>
      <c r="J25146" t="s">
        <v>30</v>
      </c>
      <c r="K25146" t="s">
        <v>35716</v>
      </c>
      <c r="M25146" t="s">
        <v>50500</v>
      </c>
      <c r="N25146" t="str">
        <f>"3/25/2025 1:03:00 PM"</f>
        <v>3/25/2025 1:03:00 PM</v>
      </c>
      <c r="O25146" t="s">
        <v>75856</v>
      </c>
      <c r="T25146" t="s">
        <v>75857</v>
      </c>
    </row>
    <row r="25147" spans="1:20" x14ac:dyDescent="0.25">
      <c r="A25147" t="str">
        <f>"3069761"</f>
        <v>3069761</v>
      </c>
      <c r="B25147" t="s">
        <v>75859</v>
      </c>
      <c r="C25147" t="str">
        <f>"8314840"</f>
        <v>8314840</v>
      </c>
      <c r="D25147" t="s">
        <v>75856</v>
      </c>
      <c r="E25147" t="s">
        <v>75857</v>
      </c>
      <c r="F25147" t="s">
        <v>75858</v>
      </c>
      <c r="I25147" t="s">
        <v>29</v>
      </c>
      <c r="J25147" t="s">
        <v>30</v>
      </c>
      <c r="K25147" t="s">
        <v>35716</v>
      </c>
      <c r="M25147" t="s">
        <v>50500</v>
      </c>
      <c r="N25147" t="str">
        <f>"3/25/2025 1:03:00 PM"</f>
        <v>3/25/2025 1:03:00 PM</v>
      </c>
      <c r="O25147" t="s">
        <v>75856</v>
      </c>
      <c r="T25147" t="s">
        <v>75857</v>
      </c>
    </row>
    <row r="25148" spans="1:20" x14ac:dyDescent="0.25">
      <c r="A25148" t="str">
        <f>"3059805"</f>
        <v>3059805</v>
      </c>
      <c r="B25148" t="s">
        <v>75860</v>
      </c>
      <c r="C25148" t="str">
        <f>"82516632"</f>
        <v>82516632</v>
      </c>
      <c r="D25148" t="s">
        <v>75861</v>
      </c>
      <c r="E25148" t="s">
        <v>75862</v>
      </c>
      <c r="F25148" t="s">
        <v>75863</v>
      </c>
      <c r="I25148" t="s">
        <v>29</v>
      </c>
      <c r="J25148" t="s">
        <v>30</v>
      </c>
      <c r="K25148" t="s">
        <v>31</v>
      </c>
      <c r="M25148" t="s">
        <v>50793</v>
      </c>
      <c r="N25148" t="str">
        <f>"3/26/2025 9:28:00 AM"</f>
        <v>3/26/2025 9:28:00 AM</v>
      </c>
      <c r="O25148" t="s">
        <v>75861</v>
      </c>
      <c r="T25148" t="s">
        <v>75862</v>
      </c>
    </row>
    <row r="25149" spans="1:20" x14ac:dyDescent="0.25">
      <c r="A25149" t="str">
        <f>"3059856"</f>
        <v>3059856</v>
      </c>
      <c r="B25149" t="s">
        <v>75864</v>
      </c>
      <c r="C25149" t="str">
        <f>"82516632"</f>
        <v>82516632</v>
      </c>
      <c r="D25149" t="s">
        <v>75861</v>
      </c>
      <c r="E25149" t="s">
        <v>75862</v>
      </c>
      <c r="F25149" t="s">
        <v>75863</v>
      </c>
      <c r="I25149" t="s">
        <v>29</v>
      </c>
      <c r="J25149" t="s">
        <v>30</v>
      </c>
      <c r="K25149" t="s">
        <v>31</v>
      </c>
      <c r="M25149" t="s">
        <v>50793</v>
      </c>
      <c r="N25149" t="str">
        <f>"3/26/2025 9:28:00 AM"</f>
        <v>3/26/2025 9:28:00 AM</v>
      </c>
      <c r="O25149" t="s">
        <v>75861</v>
      </c>
      <c r="T25149" t="s">
        <v>75862</v>
      </c>
    </row>
    <row r="25150" spans="1:20" x14ac:dyDescent="0.25">
      <c r="A25150" t="str">
        <f>"3050254"</f>
        <v>3050254</v>
      </c>
      <c r="B25150" t="s">
        <v>75865</v>
      </c>
      <c r="C25150" t="str">
        <f>"82516632"</f>
        <v>82516632</v>
      </c>
      <c r="D25150" t="s">
        <v>75861</v>
      </c>
      <c r="E25150" t="s">
        <v>75862</v>
      </c>
      <c r="F25150" t="s">
        <v>75863</v>
      </c>
      <c r="I25150" t="s">
        <v>29</v>
      </c>
      <c r="J25150" t="s">
        <v>30</v>
      </c>
      <c r="K25150" t="s">
        <v>31</v>
      </c>
      <c r="M25150" t="s">
        <v>50793</v>
      </c>
      <c r="N25150" t="str">
        <f>"3/26/2025 9:28:00 AM"</f>
        <v>3/26/2025 9:28:00 AM</v>
      </c>
      <c r="O25150" t="s">
        <v>75861</v>
      </c>
      <c r="T25150" t="s">
        <v>75862</v>
      </c>
    </row>
    <row r="25151" spans="1:20" x14ac:dyDescent="0.25">
      <c r="A25151" t="str">
        <f>"3056503"</f>
        <v>3056503</v>
      </c>
      <c r="B25151" t="s">
        <v>75866</v>
      </c>
      <c r="C25151" t="str">
        <f>"8307562"</f>
        <v>8307562</v>
      </c>
      <c r="D25151" t="s">
        <v>75867</v>
      </c>
      <c r="F25151" t="s">
        <v>75868</v>
      </c>
      <c r="I25151" t="s">
        <v>29</v>
      </c>
      <c r="J25151" t="s">
        <v>30</v>
      </c>
      <c r="K25151" t="str">
        <f>"27028"</f>
        <v>27028</v>
      </c>
      <c r="M25151" t="s">
        <v>25733</v>
      </c>
      <c r="N25151" t="str">
        <f>"3/26/2025 9:43:00 AM"</f>
        <v>3/26/2025 9:43:00 AM</v>
      </c>
      <c r="O25151" t="s">
        <v>75867</v>
      </c>
    </row>
    <row r="25152" spans="1:20" x14ac:dyDescent="0.25">
      <c r="A25152" t="str">
        <f>"3048281"</f>
        <v>3048281</v>
      </c>
      <c r="B25152" t="s">
        <v>75869</v>
      </c>
      <c r="C25152" t="str">
        <f>"82528904"</f>
        <v>82528904</v>
      </c>
      <c r="D25152" t="s">
        <v>75870</v>
      </c>
      <c r="F25152" t="s">
        <v>75871</v>
      </c>
      <c r="I25152" t="s">
        <v>29</v>
      </c>
      <c r="J25152" t="s">
        <v>30</v>
      </c>
      <c r="K25152" t="s">
        <v>31</v>
      </c>
      <c r="M25152" t="s">
        <v>50793</v>
      </c>
      <c r="N25152" t="str">
        <f>"3/26/2025 9:45:00 AM"</f>
        <v>3/26/2025 9:45:00 AM</v>
      </c>
      <c r="O25152" t="s">
        <v>75870</v>
      </c>
    </row>
    <row r="25153" spans="1:20" x14ac:dyDescent="0.25">
      <c r="A25153" t="str">
        <f>"3053814"</f>
        <v>3053814</v>
      </c>
      <c r="B25153" t="s">
        <v>75872</v>
      </c>
      <c r="C25153" t="str">
        <f>"8317178"</f>
        <v>8317178</v>
      </c>
      <c r="D25153" t="s">
        <v>75873</v>
      </c>
      <c r="E25153" t="s">
        <v>75874</v>
      </c>
      <c r="F25153" t="s">
        <v>75875</v>
      </c>
      <c r="I25153" t="s">
        <v>29</v>
      </c>
      <c r="J25153" t="s">
        <v>30</v>
      </c>
      <c r="K25153" t="s">
        <v>51468</v>
      </c>
      <c r="M25153" t="s">
        <v>50793</v>
      </c>
      <c r="N25153" t="str">
        <f>"3/19/2025 11:54:00 AM"</f>
        <v>3/19/2025 11:54:00 AM</v>
      </c>
      <c r="O25153" t="s">
        <v>75873</v>
      </c>
      <c r="T25153" t="s">
        <v>75874</v>
      </c>
    </row>
    <row r="25154" spans="1:20" x14ac:dyDescent="0.25">
      <c r="A25154" t="str">
        <f>"3038553"</f>
        <v>3038553</v>
      </c>
      <c r="B25154" t="s">
        <v>75876</v>
      </c>
      <c r="C25154" t="str">
        <f>"8322605"</f>
        <v>8322605</v>
      </c>
      <c r="D25154" t="s">
        <v>75877</v>
      </c>
      <c r="F25154" t="s">
        <v>75878</v>
      </c>
      <c r="I25154" t="s">
        <v>29</v>
      </c>
      <c r="J25154" t="s">
        <v>30</v>
      </c>
      <c r="K25154" t="str">
        <f>"27028"</f>
        <v>27028</v>
      </c>
      <c r="M25154" t="s">
        <v>18470</v>
      </c>
      <c r="N25154" t="str">
        <f>"3/19/2025 12:18:00 PM"</f>
        <v>3/19/2025 12:18:00 PM</v>
      </c>
      <c r="O25154" t="s">
        <v>75877</v>
      </c>
    </row>
    <row r="25155" spans="1:20" x14ac:dyDescent="0.25">
      <c r="A25155" t="str">
        <f>"3042716"</f>
        <v>3042716</v>
      </c>
      <c r="B25155" t="s">
        <v>75879</v>
      </c>
      <c r="C25155" t="str">
        <f>"18428000"</f>
        <v>18428000</v>
      </c>
      <c r="D25155" t="s">
        <v>12364</v>
      </c>
      <c r="E25155" t="s">
        <v>75880</v>
      </c>
      <c r="F25155" t="s">
        <v>75881</v>
      </c>
      <c r="I25155" t="s">
        <v>29</v>
      </c>
      <c r="J25155" t="s">
        <v>30</v>
      </c>
      <c r="K25155" t="s">
        <v>31</v>
      </c>
      <c r="M25155" t="s">
        <v>18470</v>
      </c>
      <c r="N25155" t="str">
        <f>"3/19/2025 12:42:00 PM"</f>
        <v>3/19/2025 12:42:00 PM</v>
      </c>
      <c r="O25155" t="s">
        <v>12364</v>
      </c>
      <c r="T25155" t="s">
        <v>75880</v>
      </c>
    </row>
    <row r="25156" spans="1:20" x14ac:dyDescent="0.25">
      <c r="A25156" t="str">
        <f>"3052467"</f>
        <v>3052467</v>
      </c>
      <c r="B25156" t="s">
        <v>75882</v>
      </c>
      <c r="C25156" t="str">
        <f>"82526176"</f>
        <v>82526176</v>
      </c>
      <c r="D25156" t="s">
        <v>28827</v>
      </c>
      <c r="F25156" t="s">
        <v>28828</v>
      </c>
      <c r="I25156" t="s">
        <v>29</v>
      </c>
      <c r="J25156" t="s">
        <v>30</v>
      </c>
      <c r="K25156" t="s">
        <v>31</v>
      </c>
      <c r="M25156" t="s">
        <v>50621</v>
      </c>
      <c r="N25156" t="str">
        <f>"3/20/2025 10:15:00 AM"</f>
        <v>3/20/2025 10:15:00 AM</v>
      </c>
      <c r="O25156" t="s">
        <v>28827</v>
      </c>
    </row>
    <row r="25157" spans="1:20" x14ac:dyDescent="0.25">
      <c r="A25157" t="str">
        <f>"3045439"</f>
        <v>3045439</v>
      </c>
      <c r="B25157" t="s">
        <v>75883</v>
      </c>
      <c r="C25157" t="str">
        <f>"42204000"</f>
        <v>42204000</v>
      </c>
      <c r="D25157" t="s">
        <v>75884</v>
      </c>
      <c r="E25157" t="s">
        <v>75725</v>
      </c>
      <c r="F25157" t="s">
        <v>75885</v>
      </c>
      <c r="I25157" t="s">
        <v>1149</v>
      </c>
      <c r="J25157" t="s">
        <v>30</v>
      </c>
      <c r="K25157" t="s">
        <v>6577</v>
      </c>
      <c r="M25157" t="s">
        <v>50621</v>
      </c>
      <c r="N25157" t="str">
        <f>"3/20/2025 1:39:00 PM"</f>
        <v>3/20/2025 1:39:00 PM</v>
      </c>
      <c r="O25157" t="s">
        <v>75884</v>
      </c>
      <c r="T25157" t="s">
        <v>75725</v>
      </c>
    </row>
    <row r="25158" spans="1:20" x14ac:dyDescent="0.25">
      <c r="A25158" t="str">
        <f>"3045047"</f>
        <v>3045047</v>
      </c>
      <c r="B25158" t="s">
        <v>75886</v>
      </c>
      <c r="C25158" t="str">
        <f>"82515415"</f>
        <v>82515415</v>
      </c>
      <c r="D25158" t="s">
        <v>75734</v>
      </c>
      <c r="F25158" t="s">
        <v>75735</v>
      </c>
      <c r="I25158" t="s">
        <v>75736</v>
      </c>
      <c r="J25158" t="s">
        <v>20397</v>
      </c>
      <c r="K25158" t="s">
        <v>75737</v>
      </c>
      <c r="M25158" t="s">
        <v>25733</v>
      </c>
      <c r="N25158" t="str">
        <f>"3/20/2025 1:53:00 PM"</f>
        <v>3/20/2025 1:53:00 PM</v>
      </c>
      <c r="O25158" t="s">
        <v>75734</v>
      </c>
    </row>
    <row r="25159" spans="1:20" x14ac:dyDescent="0.25">
      <c r="A25159" t="str">
        <f>"3045041"</f>
        <v>3045041</v>
      </c>
      <c r="B25159" t="s">
        <v>75887</v>
      </c>
      <c r="C25159" t="str">
        <f>"82515415"</f>
        <v>82515415</v>
      </c>
      <c r="D25159" t="s">
        <v>75734</v>
      </c>
      <c r="F25159" t="s">
        <v>75735</v>
      </c>
      <c r="I25159" t="s">
        <v>75736</v>
      </c>
      <c r="J25159" t="s">
        <v>20397</v>
      </c>
      <c r="K25159" t="s">
        <v>75737</v>
      </c>
      <c r="M25159" t="s">
        <v>25733</v>
      </c>
      <c r="N25159" t="str">
        <f>"3/20/2025 1:53:00 PM"</f>
        <v>3/20/2025 1:53:00 PM</v>
      </c>
      <c r="O25159" t="s">
        <v>75734</v>
      </c>
    </row>
    <row r="25160" spans="1:20" x14ac:dyDescent="0.25">
      <c r="A25160" t="str">
        <f>"3053305"</f>
        <v>3053305</v>
      </c>
      <c r="B25160" t="s">
        <v>75888</v>
      </c>
      <c r="C25160" t="str">
        <f>"82517553"</f>
        <v>82517553</v>
      </c>
      <c r="D25160" t="s">
        <v>75743</v>
      </c>
      <c r="F25160" t="s">
        <v>75744</v>
      </c>
      <c r="I25160" t="s">
        <v>29</v>
      </c>
      <c r="J25160" t="s">
        <v>30</v>
      </c>
      <c r="K25160" t="s">
        <v>13600</v>
      </c>
      <c r="M25160" t="s">
        <v>50621</v>
      </c>
      <c r="N25160" t="str">
        <f>"3/21/2025 8:33:00 AM"</f>
        <v>3/21/2025 8:33:00 AM</v>
      </c>
      <c r="O25160" t="s">
        <v>75743</v>
      </c>
    </row>
    <row r="25161" spans="1:20" x14ac:dyDescent="0.25">
      <c r="A25161" t="str">
        <f>"3050526"</f>
        <v>3050526</v>
      </c>
      <c r="B25161" t="s">
        <v>75889</v>
      </c>
      <c r="C25161" t="str">
        <f>"82529512"</f>
        <v>82529512</v>
      </c>
      <c r="D25161" t="s">
        <v>75890</v>
      </c>
      <c r="F25161" t="s">
        <v>75891</v>
      </c>
      <c r="I25161" t="s">
        <v>29</v>
      </c>
      <c r="J25161" t="s">
        <v>30</v>
      </c>
      <c r="K25161" t="s">
        <v>31</v>
      </c>
      <c r="M25161" t="s">
        <v>50621</v>
      </c>
      <c r="N25161" t="str">
        <f>"3/21/2025 9:33:00 AM"</f>
        <v>3/21/2025 9:33:00 AM</v>
      </c>
      <c r="O25161" t="s">
        <v>75890</v>
      </c>
    </row>
    <row r="25162" spans="1:20" x14ac:dyDescent="0.25">
      <c r="A25162" t="str">
        <f>"3048278"</f>
        <v>3048278</v>
      </c>
      <c r="B25162" t="s">
        <v>75892</v>
      </c>
      <c r="C25162" t="str">
        <f>"16977000"</f>
        <v>16977000</v>
      </c>
      <c r="D25162" t="s">
        <v>75893</v>
      </c>
      <c r="E25162" t="s">
        <v>75894</v>
      </c>
      <c r="F25162" t="s">
        <v>75895</v>
      </c>
      <c r="I25162" t="s">
        <v>29</v>
      </c>
      <c r="J25162" t="s">
        <v>30</v>
      </c>
      <c r="K25162" t="s">
        <v>31</v>
      </c>
      <c r="M25162" t="s">
        <v>50793</v>
      </c>
      <c r="N25162" t="str">
        <f>"3/27/2025 8:54:00 AM"</f>
        <v>3/27/2025 8:54:00 AM</v>
      </c>
      <c r="O25162" t="s">
        <v>75893</v>
      </c>
      <c r="T25162" t="s">
        <v>75894</v>
      </c>
    </row>
    <row r="25163" spans="1:20" x14ac:dyDescent="0.25">
      <c r="A25163" t="str">
        <f>"3056403"</f>
        <v>3056403</v>
      </c>
      <c r="B25163" t="s">
        <v>75896</v>
      </c>
      <c r="C25163" t="str">
        <f>"8302403"</f>
        <v>8302403</v>
      </c>
      <c r="D25163" t="s">
        <v>75897</v>
      </c>
      <c r="F25163" t="s">
        <v>75898</v>
      </c>
      <c r="I25163" t="s">
        <v>29</v>
      </c>
      <c r="J25163" t="s">
        <v>30</v>
      </c>
      <c r="K25163" t="s">
        <v>22298</v>
      </c>
      <c r="M25163" t="s">
        <v>50793</v>
      </c>
      <c r="N25163" t="str">
        <f>"3/27/2025 9:01:00 AM"</f>
        <v>3/27/2025 9:01:00 AM</v>
      </c>
      <c r="O25163" t="s">
        <v>75897</v>
      </c>
    </row>
    <row r="25164" spans="1:20" x14ac:dyDescent="0.25">
      <c r="A25164" t="str">
        <f>"3055435"</f>
        <v>3055435</v>
      </c>
      <c r="B25164" t="s">
        <v>75899</v>
      </c>
      <c r="C25164" t="str">
        <f>"8315471"</f>
        <v>8315471</v>
      </c>
      <c r="D25164" t="s">
        <v>75900</v>
      </c>
      <c r="E25164" t="s">
        <v>75901</v>
      </c>
      <c r="F25164" t="s">
        <v>75902</v>
      </c>
      <c r="I25164" t="s">
        <v>75903</v>
      </c>
      <c r="J25164" t="s">
        <v>30</v>
      </c>
      <c r="K25164" t="s">
        <v>75904</v>
      </c>
      <c r="M25164" t="s">
        <v>50793</v>
      </c>
      <c r="N25164" t="str">
        <f>"3/27/2025 9:05:00 AM"</f>
        <v>3/27/2025 9:05:00 AM</v>
      </c>
      <c r="O25164" t="s">
        <v>75900</v>
      </c>
      <c r="T25164" t="s">
        <v>75901</v>
      </c>
    </row>
    <row r="25165" spans="1:20" x14ac:dyDescent="0.25">
      <c r="A25165" t="str">
        <f>"3049503"</f>
        <v>3049503</v>
      </c>
      <c r="B25165" t="s">
        <v>75905</v>
      </c>
      <c r="C25165" t="str">
        <f>"82529512"</f>
        <v>82529512</v>
      </c>
      <c r="D25165" t="s">
        <v>75890</v>
      </c>
      <c r="F25165" t="s">
        <v>75891</v>
      </c>
      <c r="I25165" t="s">
        <v>29</v>
      </c>
      <c r="J25165" t="s">
        <v>30</v>
      </c>
      <c r="K25165" t="s">
        <v>31</v>
      </c>
      <c r="M25165" t="s">
        <v>50621</v>
      </c>
      <c r="N25165" t="str">
        <f>"3/21/2025 9:33:00 AM"</f>
        <v>3/21/2025 9:33:00 AM</v>
      </c>
      <c r="O25165" t="s">
        <v>75890</v>
      </c>
    </row>
    <row r="25166" spans="1:20" x14ac:dyDescent="0.25">
      <c r="A25166" t="str">
        <f>"3049482"</f>
        <v>3049482</v>
      </c>
      <c r="B25166" t="s">
        <v>75906</v>
      </c>
      <c r="C25166" t="str">
        <f>"82529512"</f>
        <v>82529512</v>
      </c>
      <c r="D25166" t="s">
        <v>75890</v>
      </c>
      <c r="F25166" t="s">
        <v>75891</v>
      </c>
      <c r="I25166" t="s">
        <v>29</v>
      </c>
      <c r="J25166" t="s">
        <v>30</v>
      </c>
      <c r="K25166" t="s">
        <v>31</v>
      </c>
      <c r="M25166" t="s">
        <v>50621</v>
      </c>
      <c r="N25166" t="str">
        <f>"3/21/2025 9:33:00 AM"</f>
        <v>3/21/2025 9:33:00 AM</v>
      </c>
      <c r="O25166" t="s">
        <v>75890</v>
      </c>
    </row>
    <row r="25167" spans="1:20" x14ac:dyDescent="0.25">
      <c r="A25167" t="str">
        <f>"3056508"</f>
        <v>3056508</v>
      </c>
      <c r="B25167" t="s">
        <v>75907</v>
      </c>
      <c r="C25167" t="str">
        <f>"82530276"</f>
        <v>82530276</v>
      </c>
      <c r="D25167" t="s">
        <v>75908</v>
      </c>
      <c r="F25167" t="s">
        <v>75909</v>
      </c>
      <c r="I25167" t="s">
        <v>29</v>
      </c>
      <c r="J25167" t="s">
        <v>30</v>
      </c>
      <c r="K25167" t="s">
        <v>43795</v>
      </c>
      <c r="M25167" t="s">
        <v>50793</v>
      </c>
      <c r="N25167" t="str">
        <f>"3/21/2025 9:54:00 AM"</f>
        <v>3/21/2025 9:54:00 AM</v>
      </c>
      <c r="O25167" t="s">
        <v>75908</v>
      </c>
    </row>
    <row r="25168" spans="1:20" x14ac:dyDescent="0.25">
      <c r="A25168" t="str">
        <f>"3037470"</f>
        <v>3037470</v>
      </c>
      <c r="B25168" t="s">
        <v>75910</v>
      </c>
      <c r="C25168" t="str">
        <f>"8315889"</f>
        <v>8315889</v>
      </c>
      <c r="D25168" t="s">
        <v>75776</v>
      </c>
      <c r="E25168" t="s">
        <v>75777</v>
      </c>
      <c r="F25168" t="s">
        <v>75778</v>
      </c>
      <c r="I25168" t="s">
        <v>29</v>
      </c>
      <c r="J25168" t="s">
        <v>30</v>
      </c>
      <c r="K25168" t="s">
        <v>36410</v>
      </c>
      <c r="M25168" t="s">
        <v>18479</v>
      </c>
      <c r="N25168" t="str">
        <f>"3/21/2025 9:57:00 AM"</f>
        <v>3/21/2025 9:57:00 AM</v>
      </c>
      <c r="O25168" t="s">
        <v>75776</v>
      </c>
      <c r="T25168" t="s">
        <v>75777</v>
      </c>
    </row>
    <row r="25169" spans="1:20" x14ac:dyDescent="0.25">
      <c r="A25169" t="str">
        <f>"3038846"</f>
        <v>3038846</v>
      </c>
      <c r="B25169" t="s">
        <v>75911</v>
      </c>
      <c r="C25169" t="str">
        <f>"8301139"</f>
        <v>8301139</v>
      </c>
      <c r="D25169" t="s">
        <v>75912</v>
      </c>
      <c r="F25169" t="s">
        <v>75913</v>
      </c>
      <c r="I25169" t="s">
        <v>29</v>
      </c>
      <c r="J25169" t="s">
        <v>30</v>
      </c>
      <c r="K25169" t="str">
        <f>"27028"</f>
        <v>27028</v>
      </c>
      <c r="M25169" t="s">
        <v>50793</v>
      </c>
      <c r="N25169" t="str">
        <f>"3/21/2025 10:22:00 AM"</f>
        <v>3/21/2025 10:22:00 AM</v>
      </c>
      <c r="O25169" t="s">
        <v>75912</v>
      </c>
    </row>
    <row r="25170" spans="1:20" x14ac:dyDescent="0.25">
      <c r="A25170" t="str">
        <f>"3047361"</f>
        <v>3047361</v>
      </c>
      <c r="B25170" t="s">
        <v>75914</v>
      </c>
      <c r="C25170" t="str">
        <f>"8319979"</f>
        <v>8319979</v>
      </c>
      <c r="D25170" t="s">
        <v>75915</v>
      </c>
      <c r="E25170" t="s">
        <v>75916</v>
      </c>
      <c r="F25170" t="s">
        <v>75917</v>
      </c>
      <c r="I25170" t="s">
        <v>184</v>
      </c>
      <c r="J25170" t="s">
        <v>30</v>
      </c>
      <c r="K25170" t="s">
        <v>66438</v>
      </c>
      <c r="M25170" t="s">
        <v>50793</v>
      </c>
      <c r="N25170" t="str">
        <f>"3/21/2025 11:51:00 AM"</f>
        <v>3/21/2025 11:51:00 AM</v>
      </c>
      <c r="O25170" t="s">
        <v>75915</v>
      </c>
      <c r="T25170" t="s">
        <v>75916</v>
      </c>
    </row>
    <row r="25171" spans="1:20" x14ac:dyDescent="0.25">
      <c r="A25171" t="str">
        <f>"3052869"</f>
        <v>3052869</v>
      </c>
      <c r="B25171" t="s">
        <v>75918</v>
      </c>
      <c r="C25171" t="str">
        <f>"45788000"</f>
        <v>45788000</v>
      </c>
      <c r="D25171" t="s">
        <v>75919</v>
      </c>
      <c r="E25171" t="s">
        <v>75920</v>
      </c>
      <c r="F25171" t="s">
        <v>64416</v>
      </c>
      <c r="I25171" t="s">
        <v>29</v>
      </c>
      <c r="J25171" t="s">
        <v>30</v>
      </c>
      <c r="K25171" t="s">
        <v>44400</v>
      </c>
      <c r="M25171" t="s">
        <v>50621</v>
      </c>
      <c r="N25171" t="str">
        <f>"3/27/2025 11:14:00 AM"</f>
        <v>3/27/2025 11:14:00 AM</v>
      </c>
      <c r="O25171" t="s">
        <v>75919</v>
      </c>
      <c r="T25171" t="s">
        <v>75920</v>
      </c>
    </row>
    <row r="25172" spans="1:20" x14ac:dyDescent="0.25">
      <c r="A25172" t="str">
        <f>"3043597"</f>
        <v>3043597</v>
      </c>
      <c r="B25172" t="s">
        <v>75921</v>
      </c>
      <c r="C25172" t="str">
        <f>"45788000"</f>
        <v>45788000</v>
      </c>
      <c r="D25172" t="s">
        <v>75919</v>
      </c>
      <c r="E25172" t="s">
        <v>75920</v>
      </c>
      <c r="F25172" t="s">
        <v>64416</v>
      </c>
      <c r="I25172" t="s">
        <v>29</v>
      </c>
      <c r="J25172" t="s">
        <v>30</v>
      </c>
      <c r="K25172" t="s">
        <v>44400</v>
      </c>
      <c r="M25172" t="s">
        <v>50621</v>
      </c>
      <c r="N25172" t="str">
        <f>"3/27/2025 11:14:00 AM"</f>
        <v>3/27/2025 11:14:00 AM</v>
      </c>
      <c r="O25172" t="s">
        <v>75919</v>
      </c>
      <c r="T25172" t="s">
        <v>75920</v>
      </c>
    </row>
    <row r="25173" spans="1:20" x14ac:dyDescent="0.25">
      <c r="A25173" t="str">
        <f>"3052336"</f>
        <v>3052336</v>
      </c>
      <c r="B25173" t="s">
        <v>75922</v>
      </c>
      <c r="C25173" t="str">
        <f>"8322343"</f>
        <v>8322343</v>
      </c>
      <c r="D25173" t="s">
        <v>75923</v>
      </c>
      <c r="F25173" t="s">
        <v>75924</v>
      </c>
      <c r="I25173" t="s">
        <v>8536</v>
      </c>
      <c r="J25173" t="s">
        <v>30</v>
      </c>
      <c r="K25173" t="s">
        <v>75925</v>
      </c>
      <c r="M25173" t="s">
        <v>50793</v>
      </c>
      <c r="N25173" t="str">
        <f>"3/27/2025 11:16:00 AM"</f>
        <v>3/27/2025 11:16:00 AM</v>
      </c>
      <c r="O25173" t="s">
        <v>75923</v>
      </c>
    </row>
    <row r="25174" spans="1:20" x14ac:dyDescent="0.25">
      <c r="A25174" t="str">
        <f>"3057093"</f>
        <v>3057093</v>
      </c>
      <c r="B25174" t="s">
        <v>75926</v>
      </c>
      <c r="C25174" t="str">
        <f>"8310280"</f>
        <v>8310280</v>
      </c>
      <c r="D25174" t="s">
        <v>75927</v>
      </c>
      <c r="F25174" t="s">
        <v>75928</v>
      </c>
      <c r="I25174" t="s">
        <v>75929</v>
      </c>
      <c r="J25174" t="s">
        <v>4132</v>
      </c>
      <c r="K25174" t="str">
        <f>"29341"</f>
        <v>29341</v>
      </c>
      <c r="M25174" t="s">
        <v>50621</v>
      </c>
      <c r="N25174" t="str">
        <f>"3/27/2025 11:24:00 AM"</f>
        <v>3/27/2025 11:24:00 AM</v>
      </c>
      <c r="O25174" t="s">
        <v>75927</v>
      </c>
    </row>
    <row r="25175" spans="1:20" x14ac:dyDescent="0.25">
      <c r="A25175" t="str">
        <f>"3057960"</f>
        <v>3057960</v>
      </c>
      <c r="B25175" t="s">
        <v>75930</v>
      </c>
      <c r="C25175" t="str">
        <f>"8310280"</f>
        <v>8310280</v>
      </c>
      <c r="D25175" t="s">
        <v>75927</v>
      </c>
      <c r="F25175" t="s">
        <v>75928</v>
      </c>
      <c r="I25175" t="s">
        <v>75929</v>
      </c>
      <c r="J25175" t="s">
        <v>4132</v>
      </c>
      <c r="K25175" t="str">
        <f>"29341"</f>
        <v>29341</v>
      </c>
      <c r="M25175" t="s">
        <v>50621</v>
      </c>
      <c r="N25175" t="str">
        <f>"3/27/2025 11:24:00 AM"</f>
        <v>3/27/2025 11:24:00 AM</v>
      </c>
      <c r="O25175" t="s">
        <v>75927</v>
      </c>
    </row>
    <row r="25176" spans="1:20" x14ac:dyDescent="0.25">
      <c r="A25176" t="str">
        <f>"3054447"</f>
        <v>3054447</v>
      </c>
      <c r="B25176" t="s">
        <v>75931</v>
      </c>
      <c r="C25176" t="str">
        <f>"82526738"</f>
        <v>82526738</v>
      </c>
      <c r="D25176" t="s">
        <v>75932</v>
      </c>
      <c r="E25176" t="s">
        <v>75933</v>
      </c>
      <c r="F25176" t="s">
        <v>75934</v>
      </c>
      <c r="I25176" t="s">
        <v>29</v>
      </c>
      <c r="J25176" t="s">
        <v>30</v>
      </c>
      <c r="K25176" t="s">
        <v>31</v>
      </c>
      <c r="M25176" t="s">
        <v>50621</v>
      </c>
      <c r="N25176" t="str">
        <f>"3/27/2025 11:26:00 AM"</f>
        <v>3/27/2025 11:26:00 AM</v>
      </c>
      <c r="O25176" t="s">
        <v>75932</v>
      </c>
      <c r="T25176" t="s">
        <v>75933</v>
      </c>
    </row>
    <row r="25177" spans="1:20" x14ac:dyDescent="0.25">
      <c r="A25177" t="str">
        <f>"3038579"</f>
        <v>3038579</v>
      </c>
      <c r="B25177" t="s">
        <v>75935</v>
      </c>
      <c r="C25177" t="str">
        <f>"8309209"</f>
        <v>8309209</v>
      </c>
      <c r="D25177" t="s">
        <v>75936</v>
      </c>
      <c r="F25177" t="s">
        <v>58185</v>
      </c>
      <c r="I25177" t="s">
        <v>29</v>
      </c>
      <c r="J25177" t="s">
        <v>30</v>
      </c>
      <c r="K25177" t="s">
        <v>58186</v>
      </c>
      <c r="M25177" t="s">
        <v>50621</v>
      </c>
      <c r="N25177" t="str">
        <f>"3/27/2025 11:42:00 AM"</f>
        <v>3/27/2025 11:42:00 AM</v>
      </c>
      <c r="O25177" t="s">
        <v>75936</v>
      </c>
    </row>
    <row r="25178" spans="1:20" x14ac:dyDescent="0.25">
      <c r="A25178" t="str">
        <f>"3054080"</f>
        <v>3054080</v>
      </c>
      <c r="B25178" t="s">
        <v>75937</v>
      </c>
      <c r="C25178" t="str">
        <f>"8311906"</f>
        <v>8311906</v>
      </c>
      <c r="D25178" t="s">
        <v>75938</v>
      </c>
      <c r="E25178" t="s">
        <v>75939</v>
      </c>
      <c r="F25178" t="s">
        <v>75940</v>
      </c>
      <c r="I25178" t="s">
        <v>29</v>
      </c>
      <c r="J25178" t="s">
        <v>30</v>
      </c>
      <c r="K25178" t="s">
        <v>57030</v>
      </c>
      <c r="M25178" t="s">
        <v>50621</v>
      </c>
      <c r="N25178" t="str">
        <f>"3/27/2025 11:46:00 AM"</f>
        <v>3/27/2025 11:46:00 AM</v>
      </c>
      <c r="O25178" t="s">
        <v>75938</v>
      </c>
      <c r="T25178" t="s">
        <v>75939</v>
      </c>
    </row>
    <row r="25179" spans="1:20" x14ac:dyDescent="0.25">
      <c r="A25179" t="str">
        <f>"3048089"</f>
        <v>3048089</v>
      </c>
      <c r="B25179" t="s">
        <v>75941</v>
      </c>
      <c r="C25179" t="str">
        <f>"82531719"</f>
        <v>82531719</v>
      </c>
      <c r="D25179" t="s">
        <v>75942</v>
      </c>
      <c r="F25179" t="s">
        <v>75943</v>
      </c>
      <c r="I25179" t="s">
        <v>184</v>
      </c>
      <c r="J25179" t="s">
        <v>30</v>
      </c>
      <c r="K25179" t="s">
        <v>185</v>
      </c>
      <c r="M25179" t="s">
        <v>50621</v>
      </c>
      <c r="N25179" t="str">
        <f>"3/21/2025 3:25:00 PM"</f>
        <v>3/21/2025 3:25:00 PM</v>
      </c>
      <c r="O25179" t="s">
        <v>75942</v>
      </c>
    </row>
    <row r="25180" spans="1:20" x14ac:dyDescent="0.25">
      <c r="A25180" t="str">
        <f>"3043808"</f>
        <v>3043808</v>
      </c>
      <c r="B25180" t="s">
        <v>75944</v>
      </c>
      <c r="C25180" t="str">
        <f>"8318792"</f>
        <v>8318792</v>
      </c>
      <c r="D25180" t="s">
        <v>75945</v>
      </c>
      <c r="E25180" t="s">
        <v>75946</v>
      </c>
      <c r="F25180" t="s">
        <v>75947</v>
      </c>
      <c r="I25180" t="s">
        <v>184</v>
      </c>
      <c r="J25180" t="s">
        <v>30</v>
      </c>
      <c r="K25180" t="s">
        <v>4789</v>
      </c>
      <c r="M25180" t="s">
        <v>50621</v>
      </c>
      <c r="N25180" t="str">
        <f>"3/27/2025 2:10:00 PM"</f>
        <v>3/27/2025 2:10:00 PM</v>
      </c>
      <c r="O25180" t="s">
        <v>75945</v>
      </c>
      <c r="T25180" t="s">
        <v>75946</v>
      </c>
    </row>
    <row r="25181" spans="1:20" x14ac:dyDescent="0.25">
      <c r="A25181" t="str">
        <f>"3063418"</f>
        <v>3063418</v>
      </c>
      <c r="B25181" t="s">
        <v>75948</v>
      </c>
      <c r="C25181" t="str">
        <f>"8318792"</f>
        <v>8318792</v>
      </c>
      <c r="D25181" t="s">
        <v>75945</v>
      </c>
      <c r="E25181" t="s">
        <v>75946</v>
      </c>
      <c r="F25181" t="s">
        <v>75947</v>
      </c>
      <c r="I25181" t="s">
        <v>184</v>
      </c>
      <c r="J25181" t="s">
        <v>30</v>
      </c>
      <c r="K25181" t="s">
        <v>4789</v>
      </c>
      <c r="M25181" t="s">
        <v>50621</v>
      </c>
      <c r="N25181" t="str">
        <f>"3/27/2025 2:10:00 PM"</f>
        <v>3/27/2025 2:10:00 PM</v>
      </c>
      <c r="O25181" t="s">
        <v>75945</v>
      </c>
      <c r="T25181" t="s">
        <v>75946</v>
      </c>
    </row>
    <row r="25182" spans="1:20" x14ac:dyDescent="0.25">
      <c r="A25182" t="str">
        <f>"3075451"</f>
        <v>3075451</v>
      </c>
      <c r="B25182" t="s">
        <v>75949</v>
      </c>
      <c r="C25182" t="str">
        <f>"8304621"</f>
        <v>8304621</v>
      </c>
      <c r="D25182" t="s">
        <v>75950</v>
      </c>
      <c r="F25182" t="s">
        <v>75951</v>
      </c>
      <c r="I25182" t="s">
        <v>17921</v>
      </c>
      <c r="J25182" t="s">
        <v>30</v>
      </c>
      <c r="K25182" t="str">
        <f>"27028"</f>
        <v>27028</v>
      </c>
      <c r="M25182" t="s">
        <v>50621</v>
      </c>
      <c r="N25182" t="str">
        <f>"3/21/2025 4:42:00 PM"</f>
        <v>3/21/2025 4:42:00 PM</v>
      </c>
      <c r="O25182" t="s">
        <v>75950</v>
      </c>
    </row>
    <row r="25183" spans="1:20" x14ac:dyDescent="0.25">
      <c r="A25183" t="str">
        <f>"3058198"</f>
        <v>3058198</v>
      </c>
      <c r="B25183" t="s">
        <v>75952</v>
      </c>
      <c r="C25183" t="str">
        <f>"82523757"</f>
        <v>82523757</v>
      </c>
      <c r="D25183" t="s">
        <v>75953</v>
      </c>
      <c r="F25183" t="s">
        <v>66536</v>
      </c>
      <c r="I25183" t="s">
        <v>29</v>
      </c>
      <c r="J25183" t="s">
        <v>30</v>
      </c>
      <c r="K25183" t="s">
        <v>31</v>
      </c>
      <c r="M25183" t="s">
        <v>50621</v>
      </c>
      <c r="N25183" t="str">
        <f>"3/27/2025 2:20:00 PM"</f>
        <v>3/27/2025 2:20:00 PM</v>
      </c>
      <c r="O25183" t="s">
        <v>75953</v>
      </c>
    </row>
    <row r="25184" spans="1:20" x14ac:dyDescent="0.25">
      <c r="A25184" t="str">
        <f>"3057436"</f>
        <v>3057436</v>
      </c>
      <c r="B25184" t="s">
        <v>75954</v>
      </c>
      <c r="C25184" t="str">
        <f>"8306338"</f>
        <v>8306338</v>
      </c>
      <c r="D25184" t="s">
        <v>75955</v>
      </c>
      <c r="E25184" t="s">
        <v>75956</v>
      </c>
      <c r="F25184" t="s">
        <v>75957</v>
      </c>
      <c r="I25184" t="s">
        <v>184</v>
      </c>
      <c r="J25184" t="s">
        <v>30</v>
      </c>
      <c r="K25184" t="str">
        <f>"27006"</f>
        <v>27006</v>
      </c>
      <c r="M25184" t="s">
        <v>50621</v>
      </c>
      <c r="N25184" t="str">
        <f>"3/27/2025 2:25:00 PM"</f>
        <v>3/27/2025 2:25:00 PM</v>
      </c>
      <c r="O25184" t="s">
        <v>75955</v>
      </c>
      <c r="T25184" t="s">
        <v>75956</v>
      </c>
    </row>
    <row r="25185" spans="1:20" x14ac:dyDescent="0.25">
      <c r="A25185" t="str">
        <f>"3060259"</f>
        <v>3060259</v>
      </c>
      <c r="B25185" t="s">
        <v>75958</v>
      </c>
      <c r="C25185" t="str">
        <f>"8306338"</f>
        <v>8306338</v>
      </c>
      <c r="D25185" t="s">
        <v>75955</v>
      </c>
      <c r="E25185" t="s">
        <v>75956</v>
      </c>
      <c r="F25185" t="s">
        <v>75957</v>
      </c>
      <c r="I25185" t="s">
        <v>184</v>
      </c>
      <c r="J25185" t="s">
        <v>30</v>
      </c>
      <c r="K25185" t="str">
        <f>"27006"</f>
        <v>27006</v>
      </c>
      <c r="M25185" t="s">
        <v>50621</v>
      </c>
      <c r="N25185" t="str">
        <f>"3/27/2025 2:25:00 PM"</f>
        <v>3/27/2025 2:25:00 PM</v>
      </c>
      <c r="O25185" t="s">
        <v>75955</v>
      </c>
      <c r="T25185" t="s">
        <v>75956</v>
      </c>
    </row>
    <row r="25186" spans="1:20" x14ac:dyDescent="0.25">
      <c r="A25186" t="str">
        <f>"3049756"</f>
        <v>3049756</v>
      </c>
      <c r="B25186" t="s">
        <v>75959</v>
      </c>
      <c r="C25186" t="str">
        <f>"82528815"</f>
        <v>82528815</v>
      </c>
      <c r="D25186" t="s">
        <v>75960</v>
      </c>
      <c r="F25186" t="s">
        <v>75961</v>
      </c>
      <c r="I25186" t="s">
        <v>75962</v>
      </c>
      <c r="J25186" t="s">
        <v>3737</v>
      </c>
      <c r="K25186" t="s">
        <v>75963</v>
      </c>
      <c r="M25186" t="s">
        <v>50793</v>
      </c>
      <c r="N25186" t="str">
        <f>"3/27/2025 2:30:00 PM"</f>
        <v>3/27/2025 2:30:00 PM</v>
      </c>
      <c r="O25186" t="s">
        <v>75960</v>
      </c>
    </row>
    <row r="25187" spans="1:20" x14ac:dyDescent="0.25">
      <c r="A25187" t="str">
        <f>"3057100"</f>
        <v>3057100</v>
      </c>
      <c r="B25187" t="s">
        <v>75964</v>
      </c>
      <c r="C25187" t="str">
        <f>"8315555"</f>
        <v>8315555</v>
      </c>
      <c r="D25187" t="s">
        <v>75965</v>
      </c>
      <c r="F25187" t="s">
        <v>75966</v>
      </c>
      <c r="I25187" t="s">
        <v>9580</v>
      </c>
      <c r="J25187" t="s">
        <v>30</v>
      </c>
      <c r="K25187" t="s">
        <v>75967</v>
      </c>
      <c r="M25187" t="s">
        <v>50621</v>
      </c>
      <c r="N25187" t="str">
        <f>"3/27/2025 2:35:00 PM"</f>
        <v>3/27/2025 2:35:00 PM</v>
      </c>
      <c r="O25187" t="s">
        <v>75965</v>
      </c>
    </row>
    <row r="25188" spans="1:20" x14ac:dyDescent="0.25">
      <c r="A25188" t="str">
        <f>"3056939"</f>
        <v>3056939</v>
      </c>
      <c r="B25188" t="s">
        <v>75968</v>
      </c>
      <c r="C25188" t="str">
        <f>"47550630"</f>
        <v>47550630</v>
      </c>
      <c r="D25188" t="s">
        <v>75969</v>
      </c>
      <c r="F25188" t="s">
        <v>75970</v>
      </c>
      <c r="I25188" t="s">
        <v>471</v>
      </c>
      <c r="J25188" t="s">
        <v>30</v>
      </c>
      <c r="K25188" t="s">
        <v>75971</v>
      </c>
      <c r="M25188" t="s">
        <v>50621</v>
      </c>
      <c r="N25188" t="str">
        <f>"3/21/2025 4:48:00 PM"</f>
        <v>3/21/2025 4:48:00 PM</v>
      </c>
      <c r="O25188" t="s">
        <v>75969</v>
      </c>
    </row>
    <row r="25189" spans="1:20" x14ac:dyDescent="0.25">
      <c r="A25189" t="str">
        <f>"3045643"</f>
        <v>3045643</v>
      </c>
      <c r="B25189" t="s">
        <v>75972</v>
      </c>
      <c r="C25189" t="str">
        <f>"8306524"</f>
        <v>8306524</v>
      </c>
      <c r="D25189" t="s">
        <v>75973</v>
      </c>
      <c r="E25189" t="s">
        <v>75974</v>
      </c>
      <c r="F25189" t="s">
        <v>75975</v>
      </c>
      <c r="I25189" t="s">
        <v>29</v>
      </c>
      <c r="J25189" t="s">
        <v>30</v>
      </c>
      <c r="K25189" t="str">
        <f>"27028"</f>
        <v>27028</v>
      </c>
      <c r="M25189" t="s">
        <v>50793</v>
      </c>
      <c r="N25189" t="str">
        <f>"3/24/2025 8:26:00 AM"</f>
        <v>3/24/2025 8:26:00 AM</v>
      </c>
      <c r="O25189" t="s">
        <v>75973</v>
      </c>
      <c r="T25189" t="s">
        <v>75974</v>
      </c>
    </row>
    <row r="25190" spans="1:20" x14ac:dyDescent="0.25">
      <c r="A25190" t="str">
        <f>"3061948"</f>
        <v>3061948</v>
      </c>
      <c r="B25190" t="s">
        <v>75976</v>
      </c>
      <c r="C25190" t="str">
        <f>"8321935"</f>
        <v>8321935</v>
      </c>
      <c r="D25190" t="s">
        <v>75977</v>
      </c>
      <c r="F25190" t="s">
        <v>75978</v>
      </c>
      <c r="G25190" t="s">
        <v>75979</v>
      </c>
      <c r="I25190" t="s">
        <v>75980</v>
      </c>
      <c r="J25190" t="s">
        <v>30</v>
      </c>
      <c r="K25190" t="s">
        <v>75981</v>
      </c>
      <c r="M25190" t="s">
        <v>50500</v>
      </c>
      <c r="N25190" t="str">
        <f>"3/18/2025 3:30:00 PM"</f>
        <v>3/18/2025 3:30:00 PM</v>
      </c>
      <c r="O25190" t="s">
        <v>75977</v>
      </c>
    </row>
    <row r="25191" spans="1:20" x14ac:dyDescent="0.25">
      <c r="A25191" t="str">
        <f>"3044963"</f>
        <v>3044963</v>
      </c>
      <c r="B25191" t="s">
        <v>75982</v>
      </c>
      <c r="C25191" t="str">
        <f>"82526489"</f>
        <v>82526489</v>
      </c>
      <c r="D25191" t="s">
        <v>75983</v>
      </c>
      <c r="F25191" t="s">
        <v>68823</v>
      </c>
      <c r="I25191" t="s">
        <v>17921</v>
      </c>
      <c r="J25191" t="s">
        <v>30</v>
      </c>
      <c r="K25191" t="s">
        <v>31</v>
      </c>
      <c r="M25191" t="s">
        <v>50621</v>
      </c>
      <c r="N25191" t="str">
        <f>"3/18/2025 3:29:00 PM"</f>
        <v>3/18/2025 3:29:00 PM</v>
      </c>
      <c r="O25191" t="s">
        <v>75983</v>
      </c>
    </row>
    <row r="25192" spans="1:20" x14ac:dyDescent="0.25">
      <c r="A25192" t="str">
        <f>"3051722"</f>
        <v>3051722</v>
      </c>
      <c r="B25192" t="s">
        <v>75984</v>
      </c>
      <c r="C25192" t="str">
        <f>"76108000"</f>
        <v>76108000</v>
      </c>
      <c r="D25192" t="s">
        <v>75985</v>
      </c>
      <c r="F25192" t="s">
        <v>75986</v>
      </c>
      <c r="I25192" t="s">
        <v>75987</v>
      </c>
      <c r="J25192" t="s">
        <v>30</v>
      </c>
      <c r="K25192" t="s">
        <v>75988</v>
      </c>
      <c r="M25192" t="s">
        <v>25733</v>
      </c>
      <c r="N25192" t="str">
        <f>"3/19/2025 9:36:00 AM"</f>
        <v>3/19/2025 9:36:00 AM</v>
      </c>
      <c r="O25192" t="s">
        <v>75985</v>
      </c>
    </row>
    <row r="25193" spans="1:20" x14ac:dyDescent="0.25">
      <c r="A25193" t="str">
        <f>"3054418"</f>
        <v>3054418</v>
      </c>
      <c r="B25193" t="s">
        <v>75989</v>
      </c>
      <c r="C25193" t="str">
        <f>"8304401"</f>
        <v>8304401</v>
      </c>
      <c r="D25193" t="s">
        <v>75990</v>
      </c>
      <c r="F25193" t="s">
        <v>75991</v>
      </c>
      <c r="I25193" t="s">
        <v>29</v>
      </c>
      <c r="J25193" t="s">
        <v>30</v>
      </c>
      <c r="K25193" t="str">
        <f>"27028"</f>
        <v>27028</v>
      </c>
      <c r="M25193" t="s">
        <v>50793</v>
      </c>
      <c r="N25193" t="str">
        <f>"3/26/2025 10:07:00 AM"</f>
        <v>3/26/2025 10:07:00 AM</v>
      </c>
      <c r="O25193" t="s">
        <v>75990</v>
      </c>
    </row>
    <row r="25194" spans="1:20" x14ac:dyDescent="0.25">
      <c r="A25194" t="str">
        <f>"3052381"</f>
        <v>3052381</v>
      </c>
      <c r="B25194" t="s">
        <v>75992</v>
      </c>
      <c r="C25194" t="str">
        <f>"82515268"</f>
        <v>82515268</v>
      </c>
      <c r="D25194" t="s">
        <v>75993</v>
      </c>
      <c r="E25194" t="s">
        <v>75994</v>
      </c>
      <c r="F25194" t="s">
        <v>70689</v>
      </c>
      <c r="I25194" t="s">
        <v>70690</v>
      </c>
      <c r="J25194" t="s">
        <v>12725</v>
      </c>
      <c r="K25194" t="s">
        <v>70691</v>
      </c>
      <c r="M25194" t="s">
        <v>25733</v>
      </c>
      <c r="N25194" t="str">
        <f>"3/28/2025 8:22:00 AM"</f>
        <v>3/28/2025 8:22:00 AM</v>
      </c>
      <c r="O25194" t="s">
        <v>75993</v>
      </c>
      <c r="T25194" t="s">
        <v>75994</v>
      </c>
    </row>
    <row r="25195" spans="1:20" x14ac:dyDescent="0.25">
      <c r="A25195" t="str">
        <f>"3052611"</f>
        <v>3052611</v>
      </c>
      <c r="B25195" t="s">
        <v>75995</v>
      </c>
      <c r="C25195" t="str">
        <f>"82515268"</f>
        <v>82515268</v>
      </c>
      <c r="D25195" t="s">
        <v>75993</v>
      </c>
      <c r="E25195" t="s">
        <v>75994</v>
      </c>
      <c r="F25195" t="s">
        <v>70689</v>
      </c>
      <c r="I25195" t="s">
        <v>70690</v>
      </c>
      <c r="J25195" t="s">
        <v>12725</v>
      </c>
      <c r="K25195" t="s">
        <v>70691</v>
      </c>
      <c r="M25195" t="s">
        <v>25733</v>
      </c>
      <c r="N25195" t="str">
        <f>"3/28/2025 8:22:00 AM"</f>
        <v>3/28/2025 8:22:00 AM</v>
      </c>
      <c r="O25195" t="s">
        <v>75993</v>
      </c>
      <c r="T25195" t="s">
        <v>75994</v>
      </c>
    </row>
    <row r="25196" spans="1:20" x14ac:dyDescent="0.25">
      <c r="A25196" t="str">
        <f>"3062058"</f>
        <v>3062058</v>
      </c>
      <c r="B25196" t="s">
        <v>75996</v>
      </c>
      <c r="C25196" t="str">
        <f>"82515268"</f>
        <v>82515268</v>
      </c>
      <c r="D25196" t="s">
        <v>75993</v>
      </c>
      <c r="E25196" t="s">
        <v>75994</v>
      </c>
      <c r="F25196" t="s">
        <v>70689</v>
      </c>
      <c r="I25196" t="s">
        <v>70690</v>
      </c>
      <c r="J25196" t="s">
        <v>12725</v>
      </c>
      <c r="K25196" t="s">
        <v>70691</v>
      </c>
      <c r="M25196" t="s">
        <v>25733</v>
      </c>
      <c r="N25196" t="str">
        <f>"3/28/2025 8:22:00 AM"</f>
        <v>3/28/2025 8:22:00 AM</v>
      </c>
      <c r="O25196" t="s">
        <v>75993</v>
      </c>
      <c r="T25196" t="s">
        <v>75994</v>
      </c>
    </row>
    <row r="25197" spans="1:20" x14ac:dyDescent="0.25">
      <c r="A25197" t="str">
        <f>"3039107"</f>
        <v>3039107</v>
      </c>
      <c r="B25197" t="s">
        <v>75997</v>
      </c>
      <c r="C25197" t="str">
        <f>"82532324"</f>
        <v>82532324</v>
      </c>
      <c r="D25197" t="s">
        <v>75998</v>
      </c>
      <c r="E25197" t="s">
        <v>70688</v>
      </c>
      <c r="F25197" t="s">
        <v>70689</v>
      </c>
      <c r="I25197" t="s">
        <v>70690</v>
      </c>
      <c r="J25197" t="s">
        <v>12725</v>
      </c>
      <c r="K25197" t="s">
        <v>70691</v>
      </c>
      <c r="M25197" t="s">
        <v>25733</v>
      </c>
      <c r="N25197" t="str">
        <f>"3/28/2025 8:23:00 AM"</f>
        <v>3/28/2025 8:23:00 AM</v>
      </c>
      <c r="O25197" t="s">
        <v>75998</v>
      </c>
      <c r="T25197" t="s">
        <v>70688</v>
      </c>
    </row>
    <row r="25198" spans="1:20" x14ac:dyDescent="0.25">
      <c r="A25198" t="str">
        <f>"3044908"</f>
        <v>3044908</v>
      </c>
      <c r="B25198" t="s">
        <v>75999</v>
      </c>
      <c r="C25198" t="str">
        <f>"8322785"</f>
        <v>8322785</v>
      </c>
      <c r="D25198" t="s">
        <v>73083</v>
      </c>
      <c r="F25198" t="s">
        <v>73084</v>
      </c>
      <c r="I25198" t="s">
        <v>184</v>
      </c>
      <c r="J25198" t="s">
        <v>30</v>
      </c>
      <c r="K25198" t="str">
        <f>"27006"</f>
        <v>27006</v>
      </c>
      <c r="M25198" t="s">
        <v>18470</v>
      </c>
      <c r="N25198" t="str">
        <f>"3/28/2025 9:24:00 AM"</f>
        <v>3/28/2025 9:24:00 AM</v>
      </c>
      <c r="O25198" t="s">
        <v>73083</v>
      </c>
    </row>
    <row r="25199" spans="1:20" x14ac:dyDescent="0.25">
      <c r="A25199" t="str">
        <f>"3039506"</f>
        <v>3039506</v>
      </c>
      <c r="B25199" t="s">
        <v>76000</v>
      </c>
      <c r="C25199" t="str">
        <f>"8318400"</f>
        <v>8318400</v>
      </c>
      <c r="D25199" t="s">
        <v>76001</v>
      </c>
      <c r="F25199" t="s">
        <v>76002</v>
      </c>
      <c r="I25199" t="s">
        <v>184</v>
      </c>
      <c r="J25199" t="s">
        <v>30</v>
      </c>
      <c r="K25199" t="s">
        <v>50317</v>
      </c>
      <c r="M25199" t="s">
        <v>50793</v>
      </c>
      <c r="N25199" t="str">
        <f>"3/28/2025 11:32:00 AM"</f>
        <v>3/28/2025 11:32:00 AM</v>
      </c>
      <c r="O25199" t="s">
        <v>76001</v>
      </c>
    </row>
    <row r="25200" spans="1:20" x14ac:dyDescent="0.25">
      <c r="A25200" t="str">
        <f>"3039814"</f>
        <v>3039814</v>
      </c>
      <c r="B25200" t="s">
        <v>76003</v>
      </c>
      <c r="C25200" t="str">
        <f>"8318400"</f>
        <v>8318400</v>
      </c>
      <c r="D25200" t="s">
        <v>76001</v>
      </c>
      <c r="F25200" t="s">
        <v>76002</v>
      </c>
      <c r="I25200" t="s">
        <v>184</v>
      </c>
      <c r="J25200" t="s">
        <v>30</v>
      </c>
      <c r="K25200" t="s">
        <v>50317</v>
      </c>
      <c r="M25200" t="s">
        <v>50793</v>
      </c>
      <c r="N25200" t="str">
        <f>"3/28/2025 11:32:00 AM"</f>
        <v>3/28/2025 11:32:00 AM</v>
      </c>
      <c r="O25200" t="s">
        <v>76001</v>
      </c>
    </row>
    <row r="25201" spans="1:20" x14ac:dyDescent="0.25">
      <c r="A25201" t="str">
        <f>"3076903"</f>
        <v>3076903</v>
      </c>
      <c r="B25201" t="s">
        <v>76004</v>
      </c>
      <c r="C25201" t="str">
        <f>"8318400"</f>
        <v>8318400</v>
      </c>
      <c r="D25201" t="s">
        <v>76001</v>
      </c>
      <c r="F25201" t="s">
        <v>76002</v>
      </c>
      <c r="I25201" t="s">
        <v>184</v>
      </c>
      <c r="J25201" t="s">
        <v>30</v>
      </c>
      <c r="K25201" t="s">
        <v>50317</v>
      </c>
      <c r="M25201" t="s">
        <v>50793</v>
      </c>
      <c r="N25201" t="str">
        <f>"3/28/2025 11:32:00 AM"</f>
        <v>3/28/2025 11:32:00 AM</v>
      </c>
      <c r="O25201" t="s">
        <v>76001</v>
      </c>
    </row>
    <row r="25202" spans="1:20" x14ac:dyDescent="0.25">
      <c r="A25202" t="str">
        <f>"3076904"</f>
        <v>3076904</v>
      </c>
      <c r="B25202" t="s">
        <v>76005</v>
      </c>
      <c r="C25202" t="str">
        <f>"8318400"</f>
        <v>8318400</v>
      </c>
      <c r="D25202" t="s">
        <v>76001</v>
      </c>
      <c r="F25202" t="s">
        <v>76002</v>
      </c>
      <c r="I25202" t="s">
        <v>184</v>
      </c>
      <c r="J25202" t="s">
        <v>30</v>
      </c>
      <c r="K25202" t="s">
        <v>50317</v>
      </c>
      <c r="M25202" t="s">
        <v>50793</v>
      </c>
      <c r="N25202" t="str">
        <f>"3/28/2025 11:32:00 AM"</f>
        <v>3/28/2025 11:32:00 AM</v>
      </c>
      <c r="O25202" t="s">
        <v>76001</v>
      </c>
    </row>
    <row r="25203" spans="1:20" x14ac:dyDescent="0.25">
      <c r="A25203" t="str">
        <f>"3042181"</f>
        <v>3042181</v>
      </c>
      <c r="B25203" t="s">
        <v>76006</v>
      </c>
      <c r="C25203" t="str">
        <f>"8315618"</f>
        <v>8315618</v>
      </c>
      <c r="D25203" t="s">
        <v>76007</v>
      </c>
      <c r="F25203" t="s">
        <v>76008</v>
      </c>
      <c r="I25203" t="s">
        <v>471</v>
      </c>
      <c r="J25203" t="s">
        <v>30</v>
      </c>
      <c r="K25203" t="s">
        <v>76009</v>
      </c>
      <c r="M25203" t="s">
        <v>52111</v>
      </c>
      <c r="N25203" t="str">
        <f>"3/28/2025 12:05:00 PM"</f>
        <v>3/28/2025 12:05:00 PM</v>
      </c>
      <c r="O25203" t="s">
        <v>76007</v>
      </c>
    </row>
    <row r="25204" spans="1:20" x14ac:dyDescent="0.25">
      <c r="A25204" t="str">
        <f>"3054093"</f>
        <v>3054093</v>
      </c>
      <c r="B25204" t="s">
        <v>76010</v>
      </c>
      <c r="C25204" t="str">
        <f>"8304401"</f>
        <v>8304401</v>
      </c>
      <c r="D25204" t="s">
        <v>75990</v>
      </c>
      <c r="F25204" t="s">
        <v>75991</v>
      </c>
      <c r="I25204" t="s">
        <v>29</v>
      </c>
      <c r="J25204" t="s">
        <v>30</v>
      </c>
      <c r="K25204" t="str">
        <f>"27028"</f>
        <v>27028</v>
      </c>
      <c r="M25204" t="s">
        <v>50793</v>
      </c>
      <c r="N25204" t="str">
        <f>"3/26/2025 10:07:00 AM"</f>
        <v>3/26/2025 10:07:00 AM</v>
      </c>
      <c r="O25204" t="s">
        <v>75990</v>
      </c>
    </row>
    <row r="25205" spans="1:20" x14ac:dyDescent="0.25">
      <c r="A25205" t="str">
        <f>"3054278"</f>
        <v>3054278</v>
      </c>
      <c r="B25205" t="s">
        <v>76011</v>
      </c>
      <c r="C25205" t="str">
        <f>"8314256"</f>
        <v>8314256</v>
      </c>
      <c r="D25205" t="s">
        <v>76012</v>
      </c>
      <c r="E25205" t="s">
        <v>76013</v>
      </c>
      <c r="F25205" t="s">
        <v>76014</v>
      </c>
      <c r="I25205" t="s">
        <v>29</v>
      </c>
      <c r="J25205" t="s">
        <v>30</v>
      </c>
      <c r="K25205" t="str">
        <f>"27028"</f>
        <v>27028</v>
      </c>
      <c r="M25205" t="s">
        <v>50793</v>
      </c>
      <c r="N25205" t="str">
        <f>"3/26/2025 10:20:00 AM"</f>
        <v>3/26/2025 10:20:00 AM</v>
      </c>
      <c r="O25205" t="s">
        <v>76012</v>
      </c>
      <c r="T25205" t="s">
        <v>76013</v>
      </c>
    </row>
    <row r="25206" spans="1:20" x14ac:dyDescent="0.25">
      <c r="A25206" t="str">
        <f>"3044270"</f>
        <v>3044270</v>
      </c>
      <c r="B25206" t="s">
        <v>76015</v>
      </c>
      <c r="C25206" t="str">
        <f>"8321016"</f>
        <v>8321016</v>
      </c>
      <c r="D25206" t="s">
        <v>76016</v>
      </c>
      <c r="E25206" t="s">
        <v>76017</v>
      </c>
      <c r="F25206" t="s">
        <v>76018</v>
      </c>
      <c r="I25206" t="s">
        <v>184</v>
      </c>
      <c r="J25206" t="s">
        <v>30</v>
      </c>
      <c r="K25206" t="s">
        <v>49554</v>
      </c>
      <c r="M25206" t="s">
        <v>50793</v>
      </c>
      <c r="N25206" t="str">
        <f>"3/26/2025 10:36:00 AM"</f>
        <v>3/26/2025 10:36:00 AM</v>
      </c>
      <c r="O25206" t="s">
        <v>76016</v>
      </c>
      <c r="T25206" t="s">
        <v>76017</v>
      </c>
    </row>
    <row r="25207" spans="1:20" x14ac:dyDescent="0.25">
      <c r="A25207" t="str">
        <f>"3045087"</f>
        <v>3045087</v>
      </c>
      <c r="B25207" t="s">
        <v>76019</v>
      </c>
      <c r="C25207" t="str">
        <f>"8320118"</f>
        <v>8320118</v>
      </c>
      <c r="D25207" t="str">
        <f>"MULLINAX MARY ANNE G/LLOYD ALBERT TRUSTEES"</f>
        <v>MULLINAX MARY ANNE G/LLOYD ALBERT TRUSTEES</v>
      </c>
      <c r="E25207" t="s">
        <v>76020</v>
      </c>
      <c r="F25207" t="str">
        <f>"C/O JOHN GLASSCOCK"</f>
        <v>C/O JOHN GLASSCOCK</v>
      </c>
      <c r="G25207" t="s">
        <v>76021</v>
      </c>
      <c r="I25207" t="s">
        <v>1107</v>
      </c>
      <c r="J25207" t="s">
        <v>30</v>
      </c>
      <c r="K25207" t="str">
        <f>"28625"</f>
        <v>28625</v>
      </c>
      <c r="M25207" t="s">
        <v>18470</v>
      </c>
      <c r="N25207" t="str">
        <f>"3/31/2025 8:41:00 AM"</f>
        <v>3/31/2025 8:41:00 AM</v>
      </c>
      <c r="O25207" t="str">
        <f>"MULLINAX MARY ANNE G/LLOYD ALBERT TRUSTEES"</f>
        <v>MULLINAX MARY ANNE G/LLOYD ALBERT TRUSTEES</v>
      </c>
      <c r="T25207" t="s">
        <v>76020</v>
      </c>
    </row>
    <row r="25208" spans="1:20" x14ac:dyDescent="0.25">
      <c r="A25208" t="str">
        <f>"3048994"</f>
        <v>3048994</v>
      </c>
      <c r="B25208" t="s">
        <v>76022</v>
      </c>
      <c r="C25208" t="str">
        <f>"8312054"</f>
        <v>8312054</v>
      </c>
      <c r="D25208" t="s">
        <v>76023</v>
      </c>
      <c r="E25208" t="str">
        <f>"STANLEY JOSHUA/ASHLEY LEE"</f>
        <v>STANLEY JOSHUA/ASHLEY LEE</v>
      </c>
      <c r="F25208" t="s">
        <v>76024</v>
      </c>
      <c r="I25208" t="s">
        <v>184</v>
      </c>
      <c r="J25208" t="s">
        <v>30</v>
      </c>
      <c r="K25208" t="s">
        <v>35543</v>
      </c>
      <c r="M25208" t="s">
        <v>25733</v>
      </c>
      <c r="N25208" t="str">
        <f>"3/31/2025 9:07:00 AM"</f>
        <v>3/31/2025 9:07:00 AM</v>
      </c>
      <c r="O25208" t="s">
        <v>76023</v>
      </c>
      <c r="T25208" t="str">
        <f>"STANLEY JOSHUA/ASHLEY LEE"</f>
        <v>STANLEY JOSHUA/ASHLEY LEE</v>
      </c>
    </row>
    <row r="25209" spans="1:20" x14ac:dyDescent="0.25">
      <c r="A25209" t="str">
        <f>"3060128"</f>
        <v>3060128</v>
      </c>
      <c r="B25209" t="s">
        <v>76025</v>
      </c>
      <c r="C25209" t="str">
        <f>"8315073"</f>
        <v>8315073</v>
      </c>
      <c r="D25209" t="s">
        <v>76026</v>
      </c>
      <c r="E25209" t="s">
        <v>76027</v>
      </c>
      <c r="F25209" t="s">
        <v>76028</v>
      </c>
      <c r="I25209" t="s">
        <v>184</v>
      </c>
      <c r="J25209" t="s">
        <v>30</v>
      </c>
      <c r="K25209" t="s">
        <v>73532</v>
      </c>
      <c r="M25209" t="s">
        <v>50500</v>
      </c>
      <c r="N25209" t="str">
        <f>"3/26/2025 12:58:00 PM"</f>
        <v>3/26/2025 12:58:00 PM</v>
      </c>
      <c r="O25209" t="s">
        <v>76026</v>
      </c>
      <c r="T25209" t="s">
        <v>76027</v>
      </c>
    </row>
    <row r="25210" spans="1:20" x14ac:dyDescent="0.25">
      <c r="A25210" t="str">
        <f>"3046465"</f>
        <v>3046465</v>
      </c>
      <c r="B25210" t="s">
        <v>76029</v>
      </c>
      <c r="C25210" t="str">
        <f>"8307516"</f>
        <v>8307516</v>
      </c>
      <c r="D25210" t="s">
        <v>76030</v>
      </c>
      <c r="F25210" t="s">
        <v>30615</v>
      </c>
      <c r="I25210" t="s">
        <v>184</v>
      </c>
      <c r="J25210" t="s">
        <v>30</v>
      </c>
      <c r="K25210" t="str">
        <f>"27006"</f>
        <v>27006</v>
      </c>
      <c r="M25210" t="s">
        <v>50793</v>
      </c>
      <c r="N25210" t="str">
        <f>"3/31/2025 10:37:00 AM"</f>
        <v>3/31/2025 10:37:00 AM</v>
      </c>
      <c r="O25210" t="s">
        <v>76030</v>
      </c>
    </row>
    <row r="25211" spans="1:20" x14ac:dyDescent="0.25">
      <c r="A25211" t="str">
        <f>"3046471"</f>
        <v>3046471</v>
      </c>
      <c r="B25211" t="s">
        <v>76031</v>
      </c>
      <c r="C25211" t="str">
        <f>"8307516"</f>
        <v>8307516</v>
      </c>
      <c r="D25211" t="s">
        <v>76030</v>
      </c>
      <c r="F25211" t="s">
        <v>30615</v>
      </c>
      <c r="I25211" t="s">
        <v>184</v>
      </c>
      <c r="J25211" t="s">
        <v>30</v>
      </c>
      <c r="K25211" t="str">
        <f>"27006"</f>
        <v>27006</v>
      </c>
      <c r="M25211" t="s">
        <v>50793</v>
      </c>
      <c r="N25211" t="str">
        <f>"3/31/2025 10:37:00 AM"</f>
        <v>3/31/2025 10:37:00 AM</v>
      </c>
      <c r="O25211" t="s">
        <v>76030</v>
      </c>
    </row>
    <row r="25212" spans="1:20" x14ac:dyDescent="0.25">
      <c r="A25212" t="str">
        <f>"3062768"</f>
        <v>3062768</v>
      </c>
      <c r="B25212" t="s">
        <v>76032</v>
      </c>
      <c r="C25212" t="str">
        <f>"8322524"</f>
        <v>8322524</v>
      </c>
      <c r="D25212" t="s">
        <v>76033</v>
      </c>
      <c r="F25212" t="s">
        <v>76034</v>
      </c>
      <c r="I25212" t="s">
        <v>49</v>
      </c>
      <c r="J25212" t="s">
        <v>30</v>
      </c>
      <c r="K25212" t="s">
        <v>76035</v>
      </c>
      <c r="M25212" t="s">
        <v>50793</v>
      </c>
      <c r="N25212" t="str">
        <f>"3/31/2025 10:37:00 AM"</f>
        <v>3/31/2025 10:37:00 AM</v>
      </c>
      <c r="O25212" t="s">
        <v>76033</v>
      </c>
    </row>
    <row r="25213" spans="1:20" x14ac:dyDescent="0.25">
      <c r="A25213" t="str">
        <f>"3062727"</f>
        <v>3062727</v>
      </c>
      <c r="B25213" t="s">
        <v>76036</v>
      </c>
      <c r="C25213" t="str">
        <f>"8322524"</f>
        <v>8322524</v>
      </c>
      <c r="D25213" t="s">
        <v>76033</v>
      </c>
      <c r="F25213" t="s">
        <v>76034</v>
      </c>
      <c r="I25213" t="s">
        <v>49</v>
      </c>
      <c r="J25213" t="s">
        <v>30</v>
      </c>
      <c r="K25213" t="s">
        <v>76035</v>
      </c>
      <c r="M25213" t="s">
        <v>50793</v>
      </c>
      <c r="N25213" t="str">
        <f>"3/31/2025 10:37:00 AM"</f>
        <v>3/31/2025 10:37:00 AM</v>
      </c>
      <c r="O25213" t="s">
        <v>76033</v>
      </c>
    </row>
    <row r="25214" spans="1:20" x14ac:dyDescent="0.25">
      <c r="A25214" t="str">
        <f>"3056119"</f>
        <v>3056119</v>
      </c>
      <c r="B25214" t="s">
        <v>76037</v>
      </c>
      <c r="C25214" t="str">
        <f>"8300365"</f>
        <v>8300365</v>
      </c>
      <c r="D25214" t="s">
        <v>76038</v>
      </c>
      <c r="E25214" t="s">
        <v>76039</v>
      </c>
      <c r="F25214" t="s">
        <v>76040</v>
      </c>
      <c r="I25214" t="s">
        <v>29</v>
      </c>
      <c r="J25214" t="s">
        <v>30</v>
      </c>
      <c r="K25214" t="s">
        <v>31</v>
      </c>
      <c r="M25214" t="s">
        <v>18470</v>
      </c>
      <c r="N25214" t="str">
        <f>"3/31/2025 10:59:00 AM"</f>
        <v>3/31/2025 10:59:00 AM</v>
      </c>
      <c r="O25214" t="s">
        <v>76038</v>
      </c>
      <c r="T25214" t="s">
        <v>76039</v>
      </c>
    </row>
    <row r="25215" spans="1:20" x14ac:dyDescent="0.25">
      <c r="A25215" t="str">
        <f>"3039281"</f>
        <v>3039281</v>
      </c>
      <c r="B25215" t="s">
        <v>76041</v>
      </c>
      <c r="C25215" t="str">
        <f>"8322924"</f>
        <v>8322924</v>
      </c>
      <c r="D25215" t="s">
        <v>76042</v>
      </c>
      <c r="E25215" t="s">
        <v>76043</v>
      </c>
      <c r="F25215" t="s">
        <v>76044</v>
      </c>
      <c r="I25215" t="s">
        <v>23790</v>
      </c>
      <c r="J25215" t="s">
        <v>30</v>
      </c>
      <c r="K25215" t="str">
        <f>"28024"</f>
        <v>28024</v>
      </c>
      <c r="M25215" t="s">
        <v>18470</v>
      </c>
      <c r="N25215" t="str">
        <f>"3/31/2025 11:11:00 AM"</f>
        <v>3/31/2025 11:11:00 AM</v>
      </c>
      <c r="O25215" t="s">
        <v>76042</v>
      </c>
      <c r="T25215" t="s">
        <v>76043</v>
      </c>
    </row>
    <row r="25216" spans="1:20" x14ac:dyDescent="0.25">
      <c r="A25216" t="str">
        <f>"3056518"</f>
        <v>3056518</v>
      </c>
      <c r="B25216" t="s">
        <v>76045</v>
      </c>
      <c r="C25216" t="str">
        <f>"8320779"</f>
        <v>8320779</v>
      </c>
      <c r="D25216" t="s">
        <v>76046</v>
      </c>
      <c r="F25216" t="s">
        <v>76047</v>
      </c>
      <c r="I25216" t="s">
        <v>29</v>
      </c>
      <c r="J25216" t="s">
        <v>30</v>
      </c>
      <c r="K25216" t="s">
        <v>76048</v>
      </c>
      <c r="M25216" t="s">
        <v>50621</v>
      </c>
      <c r="N25216" t="str">
        <f>"3/31/2025 11:25:00 AM"</f>
        <v>3/31/2025 11:25:00 AM</v>
      </c>
      <c r="O25216" t="s">
        <v>76046</v>
      </c>
    </row>
    <row r="25217" spans="1:20" x14ac:dyDescent="0.25">
      <c r="A25217" t="str">
        <f>"3048949"</f>
        <v>3048949</v>
      </c>
      <c r="B25217" t="s">
        <v>76049</v>
      </c>
      <c r="C25217" t="str">
        <f>"8305024"</f>
        <v>8305024</v>
      </c>
      <c r="D25217" t="s">
        <v>76050</v>
      </c>
      <c r="F25217" t="s">
        <v>76051</v>
      </c>
      <c r="I25217" t="s">
        <v>29</v>
      </c>
      <c r="J25217" t="s">
        <v>30</v>
      </c>
      <c r="K25217" t="s">
        <v>76052</v>
      </c>
      <c r="M25217" t="s">
        <v>18479</v>
      </c>
      <c r="N25217" t="str">
        <f>"3/26/2025 2:31:00 PM"</f>
        <v>3/26/2025 2:31:00 PM</v>
      </c>
      <c r="O25217" t="s">
        <v>76050</v>
      </c>
    </row>
    <row r="25218" spans="1:20" x14ac:dyDescent="0.25">
      <c r="A25218" t="str">
        <f>"3044798"</f>
        <v>3044798</v>
      </c>
      <c r="B25218" t="s">
        <v>76053</v>
      </c>
      <c r="C25218" t="str">
        <f>"82526914"</f>
        <v>82526914</v>
      </c>
      <c r="D25218" t="s">
        <v>76054</v>
      </c>
      <c r="E25218" t="s">
        <v>76055</v>
      </c>
      <c r="F25218" t="s">
        <v>76056</v>
      </c>
      <c r="I25218" t="s">
        <v>184</v>
      </c>
      <c r="J25218" t="s">
        <v>30</v>
      </c>
      <c r="K25218" t="s">
        <v>185</v>
      </c>
      <c r="M25218" t="s">
        <v>50621</v>
      </c>
      <c r="N25218" t="str">
        <f>"3/26/2025 2:30:00 PM"</f>
        <v>3/26/2025 2:30:00 PM</v>
      </c>
      <c r="O25218" t="s">
        <v>76054</v>
      </c>
      <c r="T25218" t="s">
        <v>76055</v>
      </c>
    </row>
    <row r="25219" spans="1:20" x14ac:dyDescent="0.25">
      <c r="A25219" t="str">
        <f>"3067978"</f>
        <v>3067978</v>
      </c>
      <c r="B25219" t="s">
        <v>76057</v>
      </c>
      <c r="C25219" t="str">
        <f>"8318130"</f>
        <v>8318130</v>
      </c>
      <c r="D25219" t="s">
        <v>76058</v>
      </c>
      <c r="E25219" t="s">
        <v>76059</v>
      </c>
      <c r="F25219" t="s">
        <v>76060</v>
      </c>
      <c r="I25219" t="s">
        <v>29</v>
      </c>
      <c r="J25219" t="s">
        <v>30</v>
      </c>
      <c r="K25219" t="s">
        <v>37045</v>
      </c>
      <c r="M25219" t="s">
        <v>50621</v>
      </c>
      <c r="N25219" t="str">
        <f>"3/26/2025 2:34:00 PM"</f>
        <v>3/26/2025 2:34:00 PM</v>
      </c>
      <c r="O25219" t="s">
        <v>76058</v>
      </c>
      <c r="T25219" t="s">
        <v>76059</v>
      </c>
    </row>
    <row r="25220" spans="1:20" x14ac:dyDescent="0.25">
      <c r="A25220" t="str">
        <f>"3042880"</f>
        <v>3042880</v>
      </c>
      <c r="B25220" t="s">
        <v>76061</v>
      </c>
      <c r="C25220" t="str">
        <f>"8310327"</f>
        <v>8310327</v>
      </c>
      <c r="D25220" t="s">
        <v>76062</v>
      </c>
      <c r="E25220" t="s">
        <v>76063</v>
      </c>
      <c r="F25220" t="s">
        <v>76064</v>
      </c>
      <c r="I25220" t="s">
        <v>29</v>
      </c>
      <c r="J25220" t="s">
        <v>30</v>
      </c>
      <c r="K25220" t="s">
        <v>15366</v>
      </c>
      <c r="M25220" t="s">
        <v>50500</v>
      </c>
      <c r="N25220" t="str">
        <f>"3/26/2025 3:21:00 PM"</f>
        <v>3/26/2025 3:21:00 PM</v>
      </c>
      <c r="O25220" t="s">
        <v>76062</v>
      </c>
      <c r="T25220" t="s">
        <v>76063</v>
      </c>
    </row>
    <row r="25221" spans="1:20" x14ac:dyDescent="0.25">
      <c r="A25221" t="str">
        <f>"3068454"</f>
        <v>3068454</v>
      </c>
      <c r="B25221" t="s">
        <v>76065</v>
      </c>
      <c r="C25221" t="str">
        <f>"82527654"</f>
        <v>82527654</v>
      </c>
      <c r="D25221" t="s">
        <v>76066</v>
      </c>
      <c r="E25221" t="s">
        <v>76067</v>
      </c>
      <c r="F25221" t="s">
        <v>52055</v>
      </c>
      <c r="I25221" t="s">
        <v>29</v>
      </c>
      <c r="J25221" t="s">
        <v>30</v>
      </c>
      <c r="K25221" t="s">
        <v>31</v>
      </c>
      <c r="M25221" t="s">
        <v>50793</v>
      </c>
      <c r="N25221" t="str">
        <f>"3/27/2025 10:20:00 AM"</f>
        <v>3/27/2025 10:20:00 AM</v>
      </c>
      <c r="O25221" t="s">
        <v>76066</v>
      </c>
      <c r="T25221" t="s">
        <v>76067</v>
      </c>
    </row>
    <row r="25222" spans="1:20" x14ac:dyDescent="0.25">
      <c r="A25222" t="str">
        <f>"3050603"</f>
        <v>3050603</v>
      </c>
      <c r="B25222" t="s">
        <v>76068</v>
      </c>
      <c r="C25222" t="str">
        <f>"82522272"</f>
        <v>82522272</v>
      </c>
      <c r="D25222" t="s">
        <v>76069</v>
      </c>
      <c r="E25222" t="s">
        <v>76070</v>
      </c>
      <c r="F25222" t="s">
        <v>76071</v>
      </c>
      <c r="I25222" t="s">
        <v>184</v>
      </c>
      <c r="J25222" t="s">
        <v>30</v>
      </c>
      <c r="K25222" t="s">
        <v>39438</v>
      </c>
      <c r="M25222" t="s">
        <v>50621</v>
      </c>
      <c r="N25222" t="str">
        <f>"3/31/2025 2:24:00 PM"</f>
        <v>3/31/2025 2:24:00 PM</v>
      </c>
      <c r="O25222" t="s">
        <v>76069</v>
      </c>
      <c r="T25222" t="s">
        <v>76070</v>
      </c>
    </row>
    <row r="25223" spans="1:20" x14ac:dyDescent="0.25">
      <c r="A25223" t="str">
        <f>"3050797"</f>
        <v>3050797</v>
      </c>
      <c r="B25223" t="s">
        <v>76072</v>
      </c>
      <c r="C25223" t="str">
        <f>"82522272"</f>
        <v>82522272</v>
      </c>
      <c r="D25223" t="s">
        <v>76069</v>
      </c>
      <c r="E25223" t="s">
        <v>76070</v>
      </c>
      <c r="F25223" t="s">
        <v>76071</v>
      </c>
      <c r="I25223" t="s">
        <v>184</v>
      </c>
      <c r="J25223" t="s">
        <v>30</v>
      </c>
      <c r="K25223" t="s">
        <v>39438</v>
      </c>
      <c r="M25223" t="s">
        <v>50621</v>
      </c>
      <c r="N25223" t="str">
        <f>"3/31/2025 2:24:00 PM"</f>
        <v>3/31/2025 2:24:00 PM</v>
      </c>
      <c r="O25223" t="s">
        <v>76069</v>
      </c>
      <c r="T25223" t="s">
        <v>76070</v>
      </c>
    </row>
    <row r="25224" spans="1:20" x14ac:dyDescent="0.25">
      <c r="A25224" t="str">
        <f>"3047302"</f>
        <v>3047302</v>
      </c>
      <c r="B25224" t="s">
        <v>76073</v>
      </c>
      <c r="C25224" t="str">
        <f>"8309997"</f>
        <v>8309997</v>
      </c>
      <c r="D25224" t="s">
        <v>76074</v>
      </c>
      <c r="F25224" t="s">
        <v>76075</v>
      </c>
      <c r="I25224" t="s">
        <v>184</v>
      </c>
      <c r="J25224" t="s">
        <v>30</v>
      </c>
      <c r="K25224" t="s">
        <v>65762</v>
      </c>
      <c r="M25224" t="s">
        <v>50621</v>
      </c>
      <c r="N25224" t="str">
        <f>"3/31/2025 2:42:00 PM"</f>
        <v>3/31/2025 2:42:00 PM</v>
      </c>
      <c r="O25224" t="s">
        <v>76074</v>
      </c>
    </row>
    <row r="25225" spans="1:20" x14ac:dyDescent="0.25">
      <c r="A25225" t="str">
        <f>"3040894"</f>
        <v>3040894</v>
      </c>
      <c r="B25225" t="s">
        <v>76076</v>
      </c>
      <c r="C25225" t="str">
        <f>"8317479"</f>
        <v>8317479</v>
      </c>
      <c r="D25225" t="s">
        <v>3047</v>
      </c>
      <c r="E25225" t="s">
        <v>50860</v>
      </c>
      <c r="F25225" t="s">
        <v>3034</v>
      </c>
      <c r="I25225" t="s">
        <v>184</v>
      </c>
      <c r="J25225" t="s">
        <v>30</v>
      </c>
      <c r="K25225" t="s">
        <v>36330</v>
      </c>
      <c r="M25225" t="s">
        <v>50621</v>
      </c>
      <c r="N25225" t="str">
        <f>"3/31/2025 2:50:00 PM"</f>
        <v>3/31/2025 2:50:00 PM</v>
      </c>
      <c r="O25225" t="s">
        <v>3047</v>
      </c>
      <c r="T25225" t="s">
        <v>50860</v>
      </c>
    </row>
    <row r="25226" spans="1:20" x14ac:dyDescent="0.25">
      <c r="A25226" t="str">
        <f>"3045248"</f>
        <v>3045248</v>
      </c>
      <c r="B25226" t="s">
        <v>76077</v>
      </c>
      <c r="C25226" t="str">
        <f>"8318198"</f>
        <v>8318198</v>
      </c>
      <c r="D25226" t="s">
        <v>76066</v>
      </c>
      <c r="E25226" t="s">
        <v>76078</v>
      </c>
      <c r="F25226" t="s">
        <v>76079</v>
      </c>
      <c r="I25226" t="s">
        <v>29</v>
      </c>
      <c r="J25226" t="s">
        <v>30</v>
      </c>
      <c r="K25226" t="str">
        <f>"27028"</f>
        <v>27028</v>
      </c>
      <c r="M25226" t="s">
        <v>50793</v>
      </c>
      <c r="N25226" t="str">
        <f>"3/27/2025 10:20:00 AM"</f>
        <v>3/27/2025 10:20:00 AM</v>
      </c>
      <c r="O25226" t="s">
        <v>76066</v>
      </c>
      <c r="T25226" t="s">
        <v>76078</v>
      </c>
    </row>
    <row r="25227" spans="1:20" x14ac:dyDescent="0.25">
      <c r="A25227" t="str">
        <f>"3047658"</f>
        <v>3047658</v>
      </c>
      <c r="B25227" t="s">
        <v>76080</v>
      </c>
      <c r="C25227" t="str">
        <f>"8306515"</f>
        <v>8306515</v>
      </c>
      <c r="D25227" t="s">
        <v>76081</v>
      </c>
      <c r="F25227" t="s">
        <v>76082</v>
      </c>
      <c r="I25227" t="s">
        <v>402</v>
      </c>
      <c r="J25227" t="s">
        <v>30</v>
      </c>
      <c r="K25227" t="str">
        <f>"27012"</f>
        <v>27012</v>
      </c>
      <c r="M25227" t="s">
        <v>50793</v>
      </c>
      <c r="N25227" t="str">
        <f>"3/27/2025 10:58:00 AM"</f>
        <v>3/27/2025 10:58:00 AM</v>
      </c>
      <c r="O25227" t="s">
        <v>76081</v>
      </c>
    </row>
    <row r="25228" spans="1:20" x14ac:dyDescent="0.25">
      <c r="A25228" t="str">
        <f>"3054796"</f>
        <v>3054796</v>
      </c>
      <c r="B25228" t="s">
        <v>76083</v>
      </c>
      <c r="C25228" t="str">
        <f>"8314064"</f>
        <v>8314064</v>
      </c>
      <c r="D25228" t="s">
        <v>76084</v>
      </c>
      <c r="F25228" t="s">
        <v>76085</v>
      </c>
      <c r="I25228" t="s">
        <v>49</v>
      </c>
      <c r="J25228" t="s">
        <v>30</v>
      </c>
      <c r="K25228" t="s">
        <v>76086</v>
      </c>
      <c r="M25228" t="s">
        <v>50793</v>
      </c>
      <c r="N25228" t="str">
        <f>"3/27/2025 11:00:00 AM"</f>
        <v>3/27/2025 11:00:00 AM</v>
      </c>
      <c r="O25228" t="s">
        <v>76084</v>
      </c>
    </row>
    <row r="25229" spans="1:20" x14ac:dyDescent="0.25">
      <c r="A25229" t="str">
        <f>"3056946"</f>
        <v>3056946</v>
      </c>
      <c r="B25229" t="s">
        <v>76087</v>
      </c>
      <c r="C25229" t="str">
        <f>"8301739"</f>
        <v>8301739</v>
      </c>
      <c r="D25229" t="s">
        <v>76088</v>
      </c>
      <c r="E25229" t="str">
        <f>"c/o PEGGY COX"</f>
        <v>c/o PEGGY COX</v>
      </c>
      <c r="F25229" t="s">
        <v>76089</v>
      </c>
      <c r="I25229" t="s">
        <v>25312</v>
      </c>
      <c r="J25229" t="s">
        <v>30</v>
      </c>
      <c r="K25229" t="s">
        <v>76090</v>
      </c>
      <c r="M25229" t="s">
        <v>50621</v>
      </c>
      <c r="N25229" t="str">
        <f>"3/27/2025 11:02:00 AM"</f>
        <v>3/27/2025 11:02:00 AM</v>
      </c>
      <c r="O25229" t="s">
        <v>76088</v>
      </c>
      <c r="T25229" t="str">
        <f>"c/o PEGGY COX"</f>
        <v>c/o PEGGY COX</v>
      </c>
    </row>
    <row r="25230" spans="1:20" x14ac:dyDescent="0.25">
      <c r="A25230" t="str">
        <f>"3053699"</f>
        <v>3053699</v>
      </c>
      <c r="B25230" t="s">
        <v>76091</v>
      </c>
      <c r="C25230" t="str">
        <f>"45618500"</f>
        <v>45618500</v>
      </c>
      <c r="D25230" t="s">
        <v>76092</v>
      </c>
      <c r="F25230" t="s">
        <v>76093</v>
      </c>
      <c r="I25230" t="s">
        <v>29</v>
      </c>
      <c r="J25230" t="s">
        <v>30</v>
      </c>
      <c r="K25230" t="s">
        <v>31</v>
      </c>
      <c r="M25230" t="s">
        <v>50621</v>
      </c>
      <c r="N25230" t="str">
        <f>"3/27/2025 11:14:00 AM"</f>
        <v>3/27/2025 11:14:00 AM</v>
      </c>
      <c r="O25230" t="s">
        <v>76092</v>
      </c>
    </row>
    <row r="25231" spans="1:20" x14ac:dyDescent="0.25">
      <c r="A25231" t="str">
        <f>"3050535"</f>
        <v>3050535</v>
      </c>
      <c r="B25231" t="s">
        <v>76094</v>
      </c>
      <c r="C25231" t="str">
        <f t="shared" ref="C25231:C25240" si="393">"8321562"</f>
        <v>8321562</v>
      </c>
      <c r="D25231" t="s">
        <v>76095</v>
      </c>
      <c r="E25231" t="s">
        <v>62911</v>
      </c>
      <c r="F25231" t="s">
        <v>62907</v>
      </c>
      <c r="I25231" t="s">
        <v>29</v>
      </c>
      <c r="J25231" t="s">
        <v>30</v>
      </c>
      <c r="K25231" t="s">
        <v>47214</v>
      </c>
      <c r="M25231" t="s">
        <v>32801</v>
      </c>
      <c r="N25231" t="str">
        <f t="shared" ref="N25231:N25240" si="394">"4/1/2025 7:31:00 AM"</f>
        <v>4/1/2025 7:31:00 AM</v>
      </c>
      <c r="O25231" t="s">
        <v>76095</v>
      </c>
      <c r="T25231" t="s">
        <v>62911</v>
      </c>
    </row>
    <row r="25232" spans="1:20" x14ac:dyDescent="0.25">
      <c r="A25232" t="str">
        <f>"3050534"</f>
        <v>3050534</v>
      </c>
      <c r="B25232" t="s">
        <v>76096</v>
      </c>
      <c r="C25232" t="str">
        <f t="shared" si="393"/>
        <v>8321562</v>
      </c>
      <c r="D25232" t="s">
        <v>76095</v>
      </c>
      <c r="E25232" t="s">
        <v>62911</v>
      </c>
      <c r="F25232" t="s">
        <v>62907</v>
      </c>
      <c r="I25232" t="s">
        <v>29</v>
      </c>
      <c r="J25232" t="s">
        <v>30</v>
      </c>
      <c r="K25232" t="s">
        <v>47214</v>
      </c>
      <c r="M25232" t="s">
        <v>32801</v>
      </c>
      <c r="N25232" t="str">
        <f t="shared" si="394"/>
        <v>4/1/2025 7:31:00 AM</v>
      </c>
      <c r="O25232" t="s">
        <v>76095</v>
      </c>
      <c r="T25232" t="s">
        <v>62911</v>
      </c>
    </row>
    <row r="25233" spans="1:20" x14ac:dyDescent="0.25">
      <c r="A25233" t="str">
        <f>"3070250"</f>
        <v>3070250</v>
      </c>
      <c r="B25233" t="s">
        <v>76097</v>
      </c>
      <c r="C25233" t="str">
        <f t="shared" si="393"/>
        <v>8321562</v>
      </c>
      <c r="D25233" t="s">
        <v>76095</v>
      </c>
      <c r="E25233" t="s">
        <v>62911</v>
      </c>
      <c r="F25233" t="s">
        <v>62907</v>
      </c>
      <c r="I25233" t="s">
        <v>29</v>
      </c>
      <c r="J25233" t="s">
        <v>30</v>
      </c>
      <c r="K25233" t="s">
        <v>47214</v>
      </c>
      <c r="M25233" t="s">
        <v>32801</v>
      </c>
      <c r="N25233" t="str">
        <f t="shared" si="394"/>
        <v>4/1/2025 7:31:00 AM</v>
      </c>
      <c r="O25233" t="s">
        <v>76095</v>
      </c>
      <c r="T25233" t="s">
        <v>62911</v>
      </c>
    </row>
    <row r="25234" spans="1:20" x14ac:dyDescent="0.25">
      <c r="A25234" t="str">
        <f>"3070262"</f>
        <v>3070262</v>
      </c>
      <c r="B25234" t="s">
        <v>76098</v>
      </c>
      <c r="C25234" t="str">
        <f t="shared" si="393"/>
        <v>8321562</v>
      </c>
      <c r="D25234" t="s">
        <v>76095</v>
      </c>
      <c r="E25234" t="s">
        <v>62911</v>
      </c>
      <c r="F25234" t="s">
        <v>62907</v>
      </c>
      <c r="I25234" t="s">
        <v>29</v>
      </c>
      <c r="J25234" t="s">
        <v>30</v>
      </c>
      <c r="K25234" t="s">
        <v>47214</v>
      </c>
      <c r="M25234" t="s">
        <v>32801</v>
      </c>
      <c r="N25234" t="str">
        <f t="shared" si="394"/>
        <v>4/1/2025 7:31:00 AM</v>
      </c>
      <c r="O25234" t="s">
        <v>76095</v>
      </c>
      <c r="T25234" t="s">
        <v>62911</v>
      </c>
    </row>
    <row r="25235" spans="1:20" x14ac:dyDescent="0.25">
      <c r="A25235" t="str">
        <f>"3070263"</f>
        <v>3070263</v>
      </c>
      <c r="B25235" t="s">
        <v>76099</v>
      </c>
      <c r="C25235" t="str">
        <f t="shared" si="393"/>
        <v>8321562</v>
      </c>
      <c r="D25235" t="s">
        <v>76095</v>
      </c>
      <c r="E25235" t="s">
        <v>62911</v>
      </c>
      <c r="F25235" t="s">
        <v>62907</v>
      </c>
      <c r="I25235" t="s">
        <v>29</v>
      </c>
      <c r="J25235" t="s">
        <v>30</v>
      </c>
      <c r="K25235" t="s">
        <v>47214</v>
      </c>
      <c r="M25235" t="s">
        <v>32801</v>
      </c>
      <c r="N25235" t="str">
        <f t="shared" si="394"/>
        <v>4/1/2025 7:31:00 AM</v>
      </c>
      <c r="O25235" t="s">
        <v>76095</v>
      </c>
      <c r="T25235" t="s">
        <v>62911</v>
      </c>
    </row>
    <row r="25236" spans="1:20" x14ac:dyDescent="0.25">
      <c r="A25236" t="str">
        <f>"3070257"</f>
        <v>3070257</v>
      </c>
      <c r="B25236" t="s">
        <v>76100</v>
      </c>
      <c r="C25236" t="str">
        <f t="shared" si="393"/>
        <v>8321562</v>
      </c>
      <c r="D25236" t="s">
        <v>76095</v>
      </c>
      <c r="E25236" t="s">
        <v>62911</v>
      </c>
      <c r="F25236" t="s">
        <v>62907</v>
      </c>
      <c r="I25236" t="s">
        <v>29</v>
      </c>
      <c r="J25236" t="s">
        <v>30</v>
      </c>
      <c r="K25236" t="s">
        <v>47214</v>
      </c>
      <c r="M25236" t="s">
        <v>32801</v>
      </c>
      <c r="N25236" t="str">
        <f t="shared" si="394"/>
        <v>4/1/2025 7:31:00 AM</v>
      </c>
      <c r="O25236" t="s">
        <v>76095</v>
      </c>
      <c r="T25236" t="s">
        <v>62911</v>
      </c>
    </row>
    <row r="25237" spans="1:20" x14ac:dyDescent="0.25">
      <c r="A25237" t="str">
        <f>"3070259"</f>
        <v>3070259</v>
      </c>
      <c r="B25237" t="s">
        <v>76101</v>
      </c>
      <c r="C25237" t="str">
        <f t="shared" si="393"/>
        <v>8321562</v>
      </c>
      <c r="D25237" t="s">
        <v>76095</v>
      </c>
      <c r="E25237" t="s">
        <v>62911</v>
      </c>
      <c r="F25237" t="s">
        <v>62907</v>
      </c>
      <c r="I25237" t="s">
        <v>29</v>
      </c>
      <c r="J25237" t="s">
        <v>30</v>
      </c>
      <c r="K25237" t="s">
        <v>47214</v>
      </c>
      <c r="M25237" t="s">
        <v>32801</v>
      </c>
      <c r="N25237" t="str">
        <f t="shared" si="394"/>
        <v>4/1/2025 7:31:00 AM</v>
      </c>
      <c r="O25237" t="s">
        <v>76095</v>
      </c>
      <c r="T25237" t="s">
        <v>62911</v>
      </c>
    </row>
    <row r="25238" spans="1:20" x14ac:dyDescent="0.25">
      <c r="A25238" t="str">
        <f>"3070256"</f>
        <v>3070256</v>
      </c>
      <c r="B25238" t="s">
        <v>76102</v>
      </c>
      <c r="C25238" t="str">
        <f t="shared" si="393"/>
        <v>8321562</v>
      </c>
      <c r="D25238" t="s">
        <v>76095</v>
      </c>
      <c r="E25238" t="s">
        <v>62911</v>
      </c>
      <c r="F25238" t="s">
        <v>62907</v>
      </c>
      <c r="I25238" t="s">
        <v>29</v>
      </c>
      <c r="J25238" t="s">
        <v>30</v>
      </c>
      <c r="K25238" t="s">
        <v>47214</v>
      </c>
      <c r="M25238" t="s">
        <v>32801</v>
      </c>
      <c r="N25238" t="str">
        <f t="shared" si="394"/>
        <v>4/1/2025 7:31:00 AM</v>
      </c>
      <c r="O25238" t="s">
        <v>76095</v>
      </c>
      <c r="T25238" t="s">
        <v>62911</v>
      </c>
    </row>
    <row r="25239" spans="1:20" x14ac:dyDescent="0.25">
      <c r="A25239" t="str">
        <f>"3071141"</f>
        <v>3071141</v>
      </c>
      <c r="B25239" t="s">
        <v>76103</v>
      </c>
      <c r="C25239" t="str">
        <f t="shared" si="393"/>
        <v>8321562</v>
      </c>
      <c r="D25239" t="s">
        <v>76095</v>
      </c>
      <c r="E25239" t="s">
        <v>62911</v>
      </c>
      <c r="F25239" t="s">
        <v>62907</v>
      </c>
      <c r="I25239" t="s">
        <v>29</v>
      </c>
      <c r="J25239" t="s">
        <v>30</v>
      </c>
      <c r="K25239" t="s">
        <v>47214</v>
      </c>
      <c r="M25239" t="s">
        <v>32801</v>
      </c>
      <c r="N25239" t="str">
        <f t="shared" si="394"/>
        <v>4/1/2025 7:31:00 AM</v>
      </c>
      <c r="O25239" t="s">
        <v>76095</v>
      </c>
      <c r="T25239" t="s">
        <v>62911</v>
      </c>
    </row>
    <row r="25240" spans="1:20" x14ac:dyDescent="0.25">
      <c r="A25240" t="str">
        <f>"3078446"</f>
        <v>3078446</v>
      </c>
      <c r="B25240" t="s">
        <v>76104</v>
      </c>
      <c r="C25240" t="str">
        <f t="shared" si="393"/>
        <v>8321562</v>
      </c>
      <c r="D25240" t="s">
        <v>76095</v>
      </c>
      <c r="E25240" t="s">
        <v>62911</v>
      </c>
      <c r="F25240" t="s">
        <v>62907</v>
      </c>
      <c r="I25240" t="s">
        <v>29</v>
      </c>
      <c r="J25240" t="s">
        <v>30</v>
      </c>
      <c r="K25240" t="s">
        <v>47214</v>
      </c>
      <c r="M25240" t="s">
        <v>32801</v>
      </c>
      <c r="N25240" t="str">
        <f t="shared" si="394"/>
        <v>4/1/2025 7:31:00 AM</v>
      </c>
      <c r="O25240" t="s">
        <v>76095</v>
      </c>
      <c r="T25240" t="s">
        <v>62911</v>
      </c>
    </row>
    <row r="25241" spans="1:20" x14ac:dyDescent="0.25">
      <c r="A25241" t="str">
        <f>"3039709"</f>
        <v>3039709</v>
      </c>
      <c r="B25241" t="s">
        <v>76105</v>
      </c>
      <c r="C25241" t="str">
        <f>"82518053"</f>
        <v>82518053</v>
      </c>
      <c r="D25241" t="s">
        <v>76106</v>
      </c>
      <c r="E25241" t="s">
        <v>76107</v>
      </c>
      <c r="F25241" t="s">
        <v>76108</v>
      </c>
      <c r="I25241" t="s">
        <v>184</v>
      </c>
      <c r="J25241" t="s">
        <v>30</v>
      </c>
      <c r="K25241" t="s">
        <v>35998</v>
      </c>
      <c r="M25241" t="s">
        <v>50621</v>
      </c>
      <c r="N25241" t="str">
        <f>"3/27/2025 12:02:00 PM"</f>
        <v>3/27/2025 12:02:00 PM</v>
      </c>
      <c r="O25241" t="s">
        <v>76106</v>
      </c>
      <c r="T25241" t="s">
        <v>76107</v>
      </c>
    </row>
    <row r="25242" spans="1:20" x14ac:dyDescent="0.25">
      <c r="A25242" t="str">
        <f>"3049638"</f>
        <v>3049638</v>
      </c>
      <c r="B25242" t="s">
        <v>76109</v>
      </c>
      <c r="C25242" t="str">
        <f>"44334000"</f>
        <v>44334000</v>
      </c>
      <c r="D25242" t="s">
        <v>76110</v>
      </c>
      <c r="E25242" t="s">
        <v>76111</v>
      </c>
      <c r="F25242" t="s">
        <v>76112</v>
      </c>
      <c r="I25242" t="s">
        <v>184</v>
      </c>
      <c r="J25242" t="s">
        <v>30</v>
      </c>
      <c r="K25242" t="s">
        <v>36808</v>
      </c>
      <c r="M25242" t="s">
        <v>50621</v>
      </c>
      <c r="N25242" t="str">
        <f>"3/27/2025 2:18:00 PM"</f>
        <v>3/27/2025 2:18:00 PM</v>
      </c>
      <c r="O25242" t="s">
        <v>76110</v>
      </c>
      <c r="T25242" t="s">
        <v>76111</v>
      </c>
    </row>
    <row r="25243" spans="1:20" x14ac:dyDescent="0.25">
      <c r="A25243" t="str">
        <f>"3051177"</f>
        <v>3051177</v>
      </c>
      <c r="B25243" t="s">
        <v>76113</v>
      </c>
      <c r="C25243" t="str">
        <f>"53832180"</f>
        <v>53832180</v>
      </c>
      <c r="D25243" t="s">
        <v>76114</v>
      </c>
      <c r="F25243" t="s">
        <v>76115</v>
      </c>
      <c r="I25243" t="s">
        <v>1107</v>
      </c>
      <c r="J25243" t="s">
        <v>30</v>
      </c>
      <c r="K25243" t="s">
        <v>13026</v>
      </c>
      <c r="M25243" t="s">
        <v>50621</v>
      </c>
      <c r="N25243" t="str">
        <f>"4/1/2025 10:33:00 AM"</f>
        <v>4/1/2025 10:33:00 AM</v>
      </c>
      <c r="O25243" t="s">
        <v>76114</v>
      </c>
    </row>
    <row r="25244" spans="1:20" x14ac:dyDescent="0.25">
      <c r="A25244" t="str">
        <f>"3047564"</f>
        <v>3047564</v>
      </c>
      <c r="B25244" t="s">
        <v>76116</v>
      </c>
      <c r="C25244" t="str">
        <f>"54084000"</f>
        <v>54084000</v>
      </c>
      <c r="D25244" t="s">
        <v>76117</v>
      </c>
      <c r="F25244" t="str">
        <f>"C/O EVA L PHIFER SHARPE"</f>
        <v>C/O EVA L PHIFER SHARPE</v>
      </c>
      <c r="G25244" t="s">
        <v>76118</v>
      </c>
      <c r="I25244" t="s">
        <v>1149</v>
      </c>
      <c r="J25244" t="s">
        <v>30</v>
      </c>
      <c r="K25244" t="s">
        <v>76119</v>
      </c>
      <c r="M25244" t="s">
        <v>50621</v>
      </c>
      <c r="N25244" t="str">
        <f>"4/1/2025 10:40:00 AM"</f>
        <v>4/1/2025 10:40:00 AM</v>
      </c>
      <c r="O25244" t="s">
        <v>76117</v>
      </c>
    </row>
    <row r="25245" spans="1:20" x14ac:dyDescent="0.25">
      <c r="A25245" t="str">
        <f>"3042825"</f>
        <v>3042825</v>
      </c>
      <c r="B25245" t="s">
        <v>76120</v>
      </c>
      <c r="C25245" t="str">
        <f>"41241500"</f>
        <v>41241500</v>
      </c>
      <c r="D25245" t="s">
        <v>76121</v>
      </c>
      <c r="F25245" t="s">
        <v>76122</v>
      </c>
      <c r="I25245" t="s">
        <v>29</v>
      </c>
      <c r="J25245" t="s">
        <v>30</v>
      </c>
      <c r="K25245" t="s">
        <v>59232</v>
      </c>
      <c r="M25245" t="s">
        <v>51351</v>
      </c>
      <c r="N25245" t="str">
        <f>"3/24/2025 2:34:00 PM"</f>
        <v>3/24/2025 2:34:00 PM</v>
      </c>
      <c r="O25245" t="s">
        <v>76121</v>
      </c>
    </row>
    <row r="25246" spans="1:20" x14ac:dyDescent="0.25">
      <c r="A25246" t="str">
        <f>"3051863"</f>
        <v>3051863</v>
      </c>
      <c r="B25246" t="s">
        <v>76123</v>
      </c>
      <c r="C25246" t="str">
        <f>"8312387"</f>
        <v>8312387</v>
      </c>
      <c r="D25246" t="s">
        <v>76124</v>
      </c>
      <c r="F25246" t="s">
        <v>76125</v>
      </c>
      <c r="I25246" t="s">
        <v>29</v>
      </c>
      <c r="J25246" t="s">
        <v>30</v>
      </c>
      <c r="K25246" t="s">
        <v>49694</v>
      </c>
      <c r="M25246" t="s">
        <v>50621</v>
      </c>
      <c r="N25246" t="str">
        <f>"4/1/2025 1:00:00 PM"</f>
        <v>4/1/2025 1:00:00 PM</v>
      </c>
      <c r="O25246" t="s">
        <v>76124</v>
      </c>
    </row>
    <row r="25247" spans="1:20" x14ac:dyDescent="0.25">
      <c r="A25247" t="str">
        <f>"3054687"</f>
        <v>3054687</v>
      </c>
      <c r="B25247" t="s">
        <v>76126</v>
      </c>
      <c r="C25247" t="str">
        <f>"82515925"</f>
        <v>82515925</v>
      </c>
      <c r="D25247" t="s">
        <v>76127</v>
      </c>
      <c r="F25247" t="s">
        <v>76128</v>
      </c>
      <c r="I25247" t="s">
        <v>49</v>
      </c>
      <c r="J25247" t="s">
        <v>30</v>
      </c>
      <c r="K25247" t="s">
        <v>76129</v>
      </c>
      <c r="M25247" t="s">
        <v>50621</v>
      </c>
      <c r="N25247" t="str">
        <f>"4/1/2025 1:14:00 PM"</f>
        <v>4/1/2025 1:14:00 PM</v>
      </c>
      <c r="O25247" t="s">
        <v>76127</v>
      </c>
    </row>
    <row r="25248" spans="1:20" x14ac:dyDescent="0.25">
      <c r="A25248" t="str">
        <f>"3047479"</f>
        <v>3047479</v>
      </c>
      <c r="B25248" t="s">
        <v>76130</v>
      </c>
      <c r="C25248" t="str">
        <f>"8314272"</f>
        <v>8314272</v>
      </c>
      <c r="D25248" t="s">
        <v>76131</v>
      </c>
      <c r="F25248" t="s">
        <v>75809</v>
      </c>
      <c r="I25248" t="s">
        <v>471</v>
      </c>
      <c r="J25248" t="s">
        <v>30</v>
      </c>
      <c r="K25248" t="s">
        <v>75810</v>
      </c>
      <c r="M25248" t="s">
        <v>50793</v>
      </c>
      <c r="N25248" t="str">
        <f>"4/1/2025 1:20:00 PM"</f>
        <v>4/1/2025 1:20:00 PM</v>
      </c>
      <c r="O25248" t="s">
        <v>76131</v>
      </c>
    </row>
    <row r="25249" spans="1:20" x14ac:dyDescent="0.25">
      <c r="A25249" t="str">
        <f>"3057201"</f>
        <v>3057201</v>
      </c>
      <c r="B25249" t="s">
        <v>76132</v>
      </c>
      <c r="C25249" t="str">
        <f>"55842450"</f>
        <v>55842450</v>
      </c>
      <c r="D25249" t="s">
        <v>76133</v>
      </c>
      <c r="F25249" t="s">
        <v>34703</v>
      </c>
      <c r="I25249" t="s">
        <v>184</v>
      </c>
      <c r="J25249" t="s">
        <v>30</v>
      </c>
      <c r="K25249" t="s">
        <v>185</v>
      </c>
      <c r="M25249" t="s">
        <v>50621</v>
      </c>
      <c r="N25249" t="str">
        <f>"4/1/2025 1:28:00 PM"</f>
        <v>4/1/2025 1:28:00 PM</v>
      </c>
      <c r="O25249" t="s">
        <v>76133</v>
      </c>
    </row>
    <row r="25250" spans="1:20" x14ac:dyDescent="0.25">
      <c r="A25250" t="str">
        <f>"3055447"</f>
        <v>3055447</v>
      </c>
      <c r="B25250" t="s">
        <v>76134</v>
      </c>
      <c r="C25250" t="str">
        <f>"8300992"</f>
        <v>8300992</v>
      </c>
      <c r="D25250" t="s">
        <v>75844</v>
      </c>
      <c r="F25250" t="s">
        <v>75845</v>
      </c>
      <c r="I25250" t="s">
        <v>29</v>
      </c>
      <c r="J25250" t="s">
        <v>30</v>
      </c>
      <c r="K25250" t="s">
        <v>75846</v>
      </c>
      <c r="M25250" t="s">
        <v>50621</v>
      </c>
      <c r="N25250" t="str">
        <f>"3/25/2025 10:05:00 AM"</f>
        <v>3/25/2025 10:05:00 AM</v>
      </c>
      <c r="O25250" t="s">
        <v>75844</v>
      </c>
    </row>
    <row r="25251" spans="1:20" x14ac:dyDescent="0.25">
      <c r="A25251" t="str">
        <f>"3059112"</f>
        <v>3059112</v>
      </c>
      <c r="B25251" t="s">
        <v>76135</v>
      </c>
      <c r="C25251" t="str">
        <f>"8315262"</f>
        <v>8315262</v>
      </c>
      <c r="D25251" t="s">
        <v>75789</v>
      </c>
      <c r="F25251" t="s">
        <v>76136</v>
      </c>
      <c r="I25251" t="s">
        <v>29</v>
      </c>
      <c r="J25251" t="s">
        <v>30</v>
      </c>
      <c r="K25251" t="s">
        <v>40215</v>
      </c>
      <c r="M25251" t="s">
        <v>25733</v>
      </c>
      <c r="N25251" t="str">
        <f>"3/28/2025 12:58:00 PM"</f>
        <v>3/28/2025 12:58:00 PM</v>
      </c>
      <c r="O25251" t="s">
        <v>75789</v>
      </c>
    </row>
    <row r="25252" spans="1:20" x14ac:dyDescent="0.25">
      <c r="A25252" t="str">
        <f>"3045604"</f>
        <v>3045604</v>
      </c>
      <c r="B25252" t="s">
        <v>76137</v>
      </c>
      <c r="C25252" t="str">
        <f>"55932000"</f>
        <v>55932000</v>
      </c>
      <c r="D25252" t="s">
        <v>76138</v>
      </c>
      <c r="F25252" t="s">
        <v>76139</v>
      </c>
      <c r="I25252" t="s">
        <v>29</v>
      </c>
      <c r="J25252" t="s">
        <v>30</v>
      </c>
      <c r="K25252" t="s">
        <v>31</v>
      </c>
      <c r="M25252" t="s">
        <v>50621</v>
      </c>
      <c r="N25252" t="str">
        <f>"4/1/2025 1:37:00 PM"</f>
        <v>4/1/2025 1:37:00 PM</v>
      </c>
      <c r="O25252" t="s">
        <v>76138</v>
      </c>
    </row>
    <row r="25253" spans="1:20" x14ac:dyDescent="0.25">
      <c r="A25253" t="str">
        <f>"3038995"</f>
        <v>3038995</v>
      </c>
      <c r="B25253" t="s">
        <v>76140</v>
      </c>
      <c r="C25253" t="str">
        <f>"20940750"</f>
        <v>20940750</v>
      </c>
      <c r="D25253" t="s">
        <v>76141</v>
      </c>
      <c r="F25253" t="s">
        <v>76142</v>
      </c>
      <c r="I25253" t="s">
        <v>29</v>
      </c>
      <c r="J25253" t="s">
        <v>30</v>
      </c>
      <c r="K25253" t="s">
        <v>31</v>
      </c>
      <c r="M25253" t="s">
        <v>50793</v>
      </c>
      <c r="N25253" t="str">
        <f>"4/1/2025 1:42:00 PM"</f>
        <v>4/1/2025 1:42:00 PM</v>
      </c>
      <c r="O25253" t="s">
        <v>76141</v>
      </c>
    </row>
    <row r="25254" spans="1:20" x14ac:dyDescent="0.25">
      <c r="A25254" t="str">
        <f>"3038217"</f>
        <v>3038217</v>
      </c>
      <c r="B25254" t="s">
        <v>76143</v>
      </c>
      <c r="C25254" t="str">
        <f>"20940750"</f>
        <v>20940750</v>
      </c>
      <c r="D25254" t="s">
        <v>76141</v>
      </c>
      <c r="F25254" t="s">
        <v>76142</v>
      </c>
      <c r="I25254" t="s">
        <v>29</v>
      </c>
      <c r="J25254" t="s">
        <v>30</v>
      </c>
      <c r="K25254" t="s">
        <v>31</v>
      </c>
      <c r="M25254" t="s">
        <v>50793</v>
      </c>
      <c r="N25254" t="str">
        <f>"4/1/2025 1:42:00 PM"</f>
        <v>4/1/2025 1:42:00 PM</v>
      </c>
      <c r="O25254" t="s">
        <v>76141</v>
      </c>
    </row>
    <row r="25255" spans="1:20" x14ac:dyDescent="0.25">
      <c r="A25255" t="str">
        <f>"3070092"</f>
        <v>3070092</v>
      </c>
      <c r="B25255" t="s">
        <v>76144</v>
      </c>
      <c r="C25255" t="str">
        <f>"82529047"</f>
        <v>82529047</v>
      </c>
      <c r="D25255" t="s">
        <v>76145</v>
      </c>
      <c r="E25255" t="s">
        <v>76146</v>
      </c>
      <c r="F25255" t="s">
        <v>76147</v>
      </c>
      <c r="I25255" t="s">
        <v>9580</v>
      </c>
      <c r="J25255" t="s">
        <v>30</v>
      </c>
      <c r="K25255" t="s">
        <v>76148</v>
      </c>
      <c r="M25255" t="s">
        <v>67210</v>
      </c>
      <c r="N25255" t="str">
        <f>"3/28/2025 3:20:00 PM"</f>
        <v>3/28/2025 3:20:00 PM</v>
      </c>
      <c r="O25255" t="s">
        <v>76145</v>
      </c>
      <c r="T25255" t="s">
        <v>76146</v>
      </c>
    </row>
    <row r="25256" spans="1:20" x14ac:dyDescent="0.25">
      <c r="A25256" t="str">
        <f>"3062914"</f>
        <v>3062914</v>
      </c>
      <c r="B25256" t="s">
        <v>76149</v>
      </c>
      <c r="C25256" t="str">
        <f>"8323377"</f>
        <v>8323377</v>
      </c>
      <c r="D25256" t="s">
        <v>76150</v>
      </c>
      <c r="F25256" t="s">
        <v>76151</v>
      </c>
      <c r="I25256" t="s">
        <v>29</v>
      </c>
      <c r="J25256" t="s">
        <v>30</v>
      </c>
      <c r="K25256" t="s">
        <v>73708</v>
      </c>
      <c r="M25256" t="s">
        <v>18470</v>
      </c>
      <c r="N25256" t="str">
        <f>"3/28/2025 3:31:00 PM"</f>
        <v>3/28/2025 3:31:00 PM</v>
      </c>
      <c r="O25256" t="s">
        <v>76150</v>
      </c>
    </row>
    <row r="25257" spans="1:20" x14ac:dyDescent="0.25">
      <c r="A25257" t="str">
        <f>"3057333"</f>
        <v>3057333</v>
      </c>
      <c r="B25257" t="s">
        <v>76152</v>
      </c>
      <c r="C25257" t="str">
        <f>"8307516"</f>
        <v>8307516</v>
      </c>
      <c r="D25257" t="s">
        <v>76030</v>
      </c>
      <c r="F25257" t="s">
        <v>30615</v>
      </c>
      <c r="I25257" t="s">
        <v>184</v>
      </c>
      <c r="J25257" t="s">
        <v>30</v>
      </c>
      <c r="K25257" t="str">
        <f>"27006"</f>
        <v>27006</v>
      </c>
      <c r="M25257" t="s">
        <v>50793</v>
      </c>
      <c r="N25257" t="str">
        <f>"3/31/2025 10:37:00 AM"</f>
        <v>3/31/2025 10:37:00 AM</v>
      </c>
      <c r="O25257" t="s">
        <v>76030</v>
      </c>
    </row>
    <row r="25258" spans="1:20" x14ac:dyDescent="0.25">
      <c r="A25258" t="str">
        <f>"3055142"</f>
        <v>3055142</v>
      </c>
      <c r="B25258" t="s">
        <v>76153</v>
      </c>
      <c r="C25258" t="str">
        <f>"50759000"</f>
        <v>50759000</v>
      </c>
      <c r="D25258" t="s">
        <v>76154</v>
      </c>
      <c r="F25258" t="s">
        <v>76155</v>
      </c>
      <c r="I25258" t="s">
        <v>29</v>
      </c>
      <c r="J25258" t="s">
        <v>30</v>
      </c>
      <c r="K25258" t="s">
        <v>38490</v>
      </c>
      <c r="M25258" t="s">
        <v>50621</v>
      </c>
      <c r="N25258" t="str">
        <f>"3/31/2025 12:10:00 PM"</f>
        <v>3/31/2025 12:10:00 PM</v>
      </c>
      <c r="O25258" t="s">
        <v>76154</v>
      </c>
    </row>
    <row r="25259" spans="1:20" x14ac:dyDescent="0.25">
      <c r="A25259" t="str">
        <f>"3056040"</f>
        <v>3056040</v>
      </c>
      <c r="B25259" t="s">
        <v>76156</v>
      </c>
      <c r="C25259" t="str">
        <f>"8317538"</f>
        <v>8317538</v>
      </c>
      <c r="D25259" t="s">
        <v>76157</v>
      </c>
      <c r="F25259" t="s">
        <v>41395</v>
      </c>
      <c r="I25259" t="s">
        <v>29</v>
      </c>
      <c r="J25259" t="s">
        <v>30</v>
      </c>
      <c r="K25259" t="s">
        <v>41396</v>
      </c>
      <c r="M25259" t="s">
        <v>50621</v>
      </c>
      <c r="N25259" t="str">
        <f>"3/31/2025 12:51:00 PM"</f>
        <v>3/31/2025 12:51:00 PM</v>
      </c>
      <c r="O25259" t="s">
        <v>76157</v>
      </c>
    </row>
    <row r="25260" spans="1:20" x14ac:dyDescent="0.25">
      <c r="A25260" t="str">
        <f>"3038383"</f>
        <v>3038383</v>
      </c>
      <c r="B25260" t="s">
        <v>76158</v>
      </c>
      <c r="C25260" t="str">
        <f>"49134590"</f>
        <v>49134590</v>
      </c>
      <c r="D25260" t="s">
        <v>76159</v>
      </c>
      <c r="E25260" t="s">
        <v>76160</v>
      </c>
      <c r="F25260" t="s">
        <v>76161</v>
      </c>
      <c r="I25260" t="s">
        <v>29</v>
      </c>
      <c r="J25260" t="s">
        <v>30</v>
      </c>
      <c r="K25260" t="s">
        <v>31</v>
      </c>
      <c r="M25260" t="s">
        <v>50621</v>
      </c>
      <c r="N25260" t="str">
        <f>"4/2/2025 9:53:00 AM"</f>
        <v>4/2/2025 9:53:00 AM</v>
      </c>
      <c r="O25260" t="s">
        <v>76159</v>
      </c>
      <c r="T25260" t="s">
        <v>76160</v>
      </c>
    </row>
    <row r="25261" spans="1:20" x14ac:dyDescent="0.25">
      <c r="A25261" t="str">
        <f>"3043306"</f>
        <v>3043306</v>
      </c>
      <c r="B25261" t="s">
        <v>76162</v>
      </c>
      <c r="C25261" t="str">
        <f>"49134590"</f>
        <v>49134590</v>
      </c>
      <c r="D25261" t="s">
        <v>76159</v>
      </c>
      <c r="E25261" t="s">
        <v>76160</v>
      </c>
      <c r="F25261" t="s">
        <v>76161</v>
      </c>
      <c r="I25261" t="s">
        <v>29</v>
      </c>
      <c r="J25261" t="s">
        <v>30</v>
      </c>
      <c r="K25261" t="s">
        <v>31</v>
      </c>
      <c r="M25261" t="s">
        <v>50621</v>
      </c>
      <c r="N25261" t="str">
        <f>"4/2/2025 9:53:00 AM"</f>
        <v>4/2/2025 9:53:00 AM</v>
      </c>
      <c r="O25261" t="s">
        <v>76159</v>
      </c>
      <c r="T25261" t="s">
        <v>76160</v>
      </c>
    </row>
    <row r="25262" spans="1:20" x14ac:dyDescent="0.25">
      <c r="A25262" t="str">
        <f>"3044246"</f>
        <v>3044246</v>
      </c>
      <c r="B25262" t="s">
        <v>76163</v>
      </c>
      <c r="C25262" t="str">
        <f>"51414000"</f>
        <v>51414000</v>
      </c>
      <c r="D25262" t="s">
        <v>76164</v>
      </c>
      <c r="E25262" t="s">
        <v>76165</v>
      </c>
      <c r="F25262" t="s">
        <v>68696</v>
      </c>
      <c r="I25262" t="s">
        <v>184</v>
      </c>
      <c r="J25262" t="s">
        <v>30</v>
      </c>
      <c r="K25262" t="s">
        <v>68697</v>
      </c>
      <c r="M25262" t="s">
        <v>50621</v>
      </c>
      <c r="N25262" t="str">
        <f>"4/2/2025 9:58:00 AM"</f>
        <v>4/2/2025 9:58:00 AM</v>
      </c>
      <c r="O25262" t="s">
        <v>76164</v>
      </c>
      <c r="T25262" t="s">
        <v>76165</v>
      </c>
    </row>
    <row r="25263" spans="1:20" x14ac:dyDescent="0.25">
      <c r="A25263" t="str">
        <f>"3043944"</f>
        <v>3043944</v>
      </c>
      <c r="B25263" t="s">
        <v>76166</v>
      </c>
      <c r="C25263" t="str">
        <f>"51414000"</f>
        <v>51414000</v>
      </c>
      <c r="D25263" t="s">
        <v>76164</v>
      </c>
      <c r="E25263" t="s">
        <v>76165</v>
      </c>
      <c r="F25263" t="s">
        <v>68696</v>
      </c>
      <c r="I25263" t="s">
        <v>184</v>
      </c>
      <c r="J25263" t="s">
        <v>30</v>
      </c>
      <c r="K25263" t="s">
        <v>68697</v>
      </c>
      <c r="M25263" t="s">
        <v>50621</v>
      </c>
      <c r="N25263" t="str">
        <f>"4/2/2025 9:58:00 AM"</f>
        <v>4/2/2025 9:58:00 AM</v>
      </c>
      <c r="O25263" t="s">
        <v>76164</v>
      </c>
      <c r="T25263" t="s">
        <v>76165</v>
      </c>
    </row>
    <row r="25264" spans="1:20" x14ac:dyDescent="0.25">
      <c r="A25264" t="str">
        <f>"3055809"</f>
        <v>3055809</v>
      </c>
      <c r="B25264" t="s">
        <v>76167</v>
      </c>
      <c r="C25264" t="str">
        <f>"8316902"</f>
        <v>8316902</v>
      </c>
      <c r="D25264" t="s">
        <v>76168</v>
      </c>
      <c r="E25264" t="s">
        <v>76169</v>
      </c>
      <c r="F25264" t="s">
        <v>44534</v>
      </c>
      <c r="I25264" t="s">
        <v>29</v>
      </c>
      <c r="J25264" t="s">
        <v>30</v>
      </c>
      <c r="K25264" t="s">
        <v>23689</v>
      </c>
      <c r="M25264" t="s">
        <v>50793</v>
      </c>
      <c r="N25264" t="str">
        <f>"4/2/2025 10:04:00 AM"</f>
        <v>4/2/2025 10:04:00 AM</v>
      </c>
      <c r="O25264" t="s">
        <v>76168</v>
      </c>
      <c r="T25264" t="s">
        <v>76169</v>
      </c>
    </row>
    <row r="25265" spans="1:20" x14ac:dyDescent="0.25">
      <c r="A25265" t="str">
        <f>"3051933"</f>
        <v>3051933</v>
      </c>
      <c r="B25265" t="s">
        <v>76170</v>
      </c>
      <c r="C25265" t="str">
        <f>"51435000"</f>
        <v>51435000</v>
      </c>
      <c r="D25265" t="s">
        <v>76171</v>
      </c>
      <c r="F25265" t="s">
        <v>76172</v>
      </c>
      <c r="I25265" t="s">
        <v>29</v>
      </c>
      <c r="J25265" t="s">
        <v>30</v>
      </c>
      <c r="K25265" t="s">
        <v>76173</v>
      </c>
      <c r="M25265" t="s">
        <v>50621</v>
      </c>
      <c r="N25265" t="str">
        <f>"4/2/2025 9:59:00 AM"</f>
        <v>4/2/2025 9:59:00 AM</v>
      </c>
      <c r="O25265" t="s">
        <v>76171</v>
      </c>
    </row>
    <row r="25266" spans="1:20" x14ac:dyDescent="0.25">
      <c r="A25266" t="str">
        <f>"3051791"</f>
        <v>3051791</v>
      </c>
      <c r="B25266" t="s">
        <v>76174</v>
      </c>
      <c r="C25266" t="str">
        <f>"51435000"</f>
        <v>51435000</v>
      </c>
      <c r="D25266" t="s">
        <v>76171</v>
      </c>
      <c r="F25266" t="s">
        <v>76172</v>
      </c>
      <c r="I25266" t="s">
        <v>29</v>
      </c>
      <c r="J25266" t="s">
        <v>30</v>
      </c>
      <c r="K25266" t="s">
        <v>76173</v>
      </c>
      <c r="M25266" t="s">
        <v>50621</v>
      </c>
      <c r="N25266" t="str">
        <f>"4/2/2025 9:59:00 AM"</f>
        <v>4/2/2025 9:59:00 AM</v>
      </c>
      <c r="O25266" t="s">
        <v>76171</v>
      </c>
    </row>
    <row r="25267" spans="1:20" x14ac:dyDescent="0.25">
      <c r="A25267" t="str">
        <f>"3042137"</f>
        <v>3042137</v>
      </c>
      <c r="B25267" t="s">
        <v>76175</v>
      </c>
      <c r="C25267" t="str">
        <f>"8307456"</f>
        <v>8307456</v>
      </c>
      <c r="D25267" t="s">
        <v>76176</v>
      </c>
      <c r="F25267" t="s">
        <v>76177</v>
      </c>
      <c r="I25267" t="s">
        <v>29</v>
      </c>
      <c r="J25267" t="s">
        <v>30</v>
      </c>
      <c r="K25267" t="s">
        <v>66791</v>
      </c>
      <c r="M25267" t="s">
        <v>50621</v>
      </c>
      <c r="N25267" t="str">
        <f>"4/2/2025 10:04:00 AM"</f>
        <v>4/2/2025 10:04:00 AM</v>
      </c>
      <c r="O25267" t="s">
        <v>76176</v>
      </c>
    </row>
    <row r="25268" spans="1:20" x14ac:dyDescent="0.25">
      <c r="A25268" t="str">
        <f>"3059315"</f>
        <v>3059315</v>
      </c>
      <c r="B25268" t="s">
        <v>76178</v>
      </c>
      <c r="C25268" t="str">
        <f>"8320700"</f>
        <v>8320700</v>
      </c>
      <c r="D25268" t="s">
        <v>76179</v>
      </c>
      <c r="E25268" t="s">
        <v>76180</v>
      </c>
      <c r="F25268" t="s">
        <v>76181</v>
      </c>
      <c r="I25268" t="s">
        <v>73807</v>
      </c>
      <c r="J25268" t="s">
        <v>40889</v>
      </c>
      <c r="K25268" t="s">
        <v>76182</v>
      </c>
      <c r="M25268" t="s">
        <v>50621</v>
      </c>
      <c r="N25268" t="str">
        <f>"4/2/2025 10:05:00 AM"</f>
        <v>4/2/2025 10:05:00 AM</v>
      </c>
      <c r="O25268" t="s">
        <v>76179</v>
      </c>
      <c r="T25268" t="s">
        <v>76180</v>
      </c>
    </row>
    <row r="25269" spans="1:20" x14ac:dyDescent="0.25">
      <c r="A25269" t="str">
        <f>"3049165"</f>
        <v>3049165</v>
      </c>
      <c r="B25269" t="s">
        <v>76183</v>
      </c>
      <c r="C25269" t="str">
        <f>"8317538"</f>
        <v>8317538</v>
      </c>
      <c r="D25269" t="s">
        <v>76157</v>
      </c>
      <c r="F25269" t="s">
        <v>41395</v>
      </c>
      <c r="I25269" t="s">
        <v>29</v>
      </c>
      <c r="J25269" t="s">
        <v>30</v>
      </c>
      <c r="K25269" t="s">
        <v>41396</v>
      </c>
      <c r="M25269" t="s">
        <v>50621</v>
      </c>
      <c r="N25269" t="str">
        <f>"3/31/2025 12:51:00 PM"</f>
        <v>3/31/2025 12:51:00 PM</v>
      </c>
      <c r="O25269" t="s">
        <v>76157</v>
      </c>
    </row>
    <row r="25270" spans="1:20" x14ac:dyDescent="0.25">
      <c r="A25270" t="str">
        <f>"3052997"</f>
        <v>3052997</v>
      </c>
      <c r="B25270" t="s">
        <v>76184</v>
      </c>
      <c r="C25270" t="str">
        <f>"82525236"</f>
        <v>82525236</v>
      </c>
      <c r="D25270" t="s">
        <v>76185</v>
      </c>
      <c r="F25270" t="s">
        <v>76186</v>
      </c>
      <c r="I25270" t="s">
        <v>29</v>
      </c>
      <c r="J25270" t="s">
        <v>30</v>
      </c>
      <c r="K25270" t="s">
        <v>11227</v>
      </c>
      <c r="M25270" t="s">
        <v>50621</v>
      </c>
      <c r="N25270" t="str">
        <f>"3/31/2025 2:12:00 PM"</f>
        <v>3/31/2025 2:12:00 PM</v>
      </c>
      <c r="O25270" t="s">
        <v>76185</v>
      </c>
    </row>
    <row r="25271" spans="1:20" x14ac:dyDescent="0.25">
      <c r="A25271" t="str">
        <f>"3046246"</f>
        <v>3046246</v>
      </c>
      <c r="B25271" t="s">
        <v>76187</v>
      </c>
      <c r="C25271" t="str">
        <f>"82516159"</f>
        <v>82516159</v>
      </c>
      <c r="D25271" t="s">
        <v>68434</v>
      </c>
      <c r="E25271" t="s">
        <v>76188</v>
      </c>
      <c r="F25271" t="s">
        <v>68435</v>
      </c>
      <c r="I25271" t="s">
        <v>29</v>
      </c>
      <c r="J25271" t="s">
        <v>30</v>
      </c>
      <c r="K25271" t="s">
        <v>31</v>
      </c>
      <c r="M25271" t="s">
        <v>50621</v>
      </c>
      <c r="N25271" t="str">
        <f>"4/2/2025 10:15:00 AM"</f>
        <v>4/2/2025 10:15:00 AM</v>
      </c>
      <c r="O25271" t="s">
        <v>68434</v>
      </c>
      <c r="T25271" t="s">
        <v>76188</v>
      </c>
    </row>
    <row r="25272" spans="1:20" x14ac:dyDescent="0.25">
      <c r="A25272" t="str">
        <f>"3045876"</f>
        <v>3045876</v>
      </c>
      <c r="B25272" t="s">
        <v>76189</v>
      </c>
      <c r="C25272" t="str">
        <f>"82516159"</f>
        <v>82516159</v>
      </c>
      <c r="D25272" t="s">
        <v>68434</v>
      </c>
      <c r="E25272" t="s">
        <v>76188</v>
      </c>
      <c r="F25272" t="s">
        <v>68435</v>
      </c>
      <c r="I25272" t="s">
        <v>29</v>
      </c>
      <c r="J25272" t="s">
        <v>30</v>
      </c>
      <c r="K25272" t="s">
        <v>31</v>
      </c>
      <c r="M25272" t="s">
        <v>50621</v>
      </c>
      <c r="N25272" t="str">
        <f>"4/2/2025 10:15:00 AM"</f>
        <v>4/2/2025 10:15:00 AM</v>
      </c>
      <c r="O25272" t="s">
        <v>68434</v>
      </c>
      <c r="T25272" t="s">
        <v>76188</v>
      </c>
    </row>
    <row r="25273" spans="1:20" x14ac:dyDescent="0.25">
      <c r="A25273" t="str">
        <f>"3045884"</f>
        <v>3045884</v>
      </c>
      <c r="B25273" t="s">
        <v>76190</v>
      </c>
      <c r="C25273" t="str">
        <f>"82516159"</f>
        <v>82516159</v>
      </c>
      <c r="D25273" t="s">
        <v>68434</v>
      </c>
      <c r="E25273" t="s">
        <v>76188</v>
      </c>
      <c r="F25273" t="s">
        <v>68435</v>
      </c>
      <c r="I25273" t="s">
        <v>29</v>
      </c>
      <c r="J25273" t="s">
        <v>30</v>
      </c>
      <c r="K25273" t="s">
        <v>31</v>
      </c>
      <c r="M25273" t="s">
        <v>50621</v>
      </c>
      <c r="N25273" t="str">
        <f>"4/2/2025 10:15:00 AM"</f>
        <v>4/2/2025 10:15:00 AM</v>
      </c>
      <c r="O25273" t="s">
        <v>68434</v>
      </c>
      <c r="T25273" t="s">
        <v>76188</v>
      </c>
    </row>
    <row r="25274" spans="1:20" x14ac:dyDescent="0.25">
      <c r="A25274" t="str">
        <f>"3049297"</f>
        <v>3049297</v>
      </c>
      <c r="B25274" t="s">
        <v>76191</v>
      </c>
      <c r="C25274" t="str">
        <f>"8302799"</f>
        <v>8302799</v>
      </c>
      <c r="D25274" t="s">
        <v>76192</v>
      </c>
      <c r="F25274" t="s">
        <v>76060</v>
      </c>
      <c r="I25274" t="s">
        <v>29</v>
      </c>
      <c r="J25274" t="s">
        <v>30</v>
      </c>
      <c r="K25274" t="s">
        <v>37045</v>
      </c>
      <c r="M25274" t="s">
        <v>50500</v>
      </c>
      <c r="N25274" t="str">
        <f>"4/2/2025 10:22:00 AM"</f>
        <v>4/2/2025 10:22:00 AM</v>
      </c>
      <c r="O25274" t="s">
        <v>76192</v>
      </c>
    </row>
    <row r="25275" spans="1:20" x14ac:dyDescent="0.25">
      <c r="A25275" t="str">
        <f>"3056860"</f>
        <v>3056860</v>
      </c>
      <c r="B25275" t="s">
        <v>76193</v>
      </c>
      <c r="C25275" t="str">
        <f>"55647000"</f>
        <v>55647000</v>
      </c>
      <c r="D25275" t="s">
        <v>76194</v>
      </c>
      <c r="E25275" t="s">
        <v>76195</v>
      </c>
      <c r="F25275" t="s">
        <v>76196</v>
      </c>
      <c r="I25275" t="s">
        <v>964</v>
      </c>
      <c r="J25275" t="s">
        <v>30</v>
      </c>
      <c r="K25275" t="s">
        <v>76197</v>
      </c>
      <c r="M25275" t="s">
        <v>50621</v>
      </c>
      <c r="N25275" t="str">
        <f>"4/2/2025 10:23:00 AM"</f>
        <v>4/2/2025 10:23:00 AM</v>
      </c>
      <c r="O25275" t="s">
        <v>76194</v>
      </c>
      <c r="T25275" t="s">
        <v>76195</v>
      </c>
    </row>
    <row r="25276" spans="1:20" x14ac:dyDescent="0.25">
      <c r="A25276" t="str">
        <f>"3056880"</f>
        <v>3056880</v>
      </c>
      <c r="B25276" t="s">
        <v>76198</v>
      </c>
      <c r="C25276" t="str">
        <f>"55652000"</f>
        <v>55652000</v>
      </c>
      <c r="D25276" t="s">
        <v>76199</v>
      </c>
      <c r="F25276" t="s">
        <v>76200</v>
      </c>
      <c r="I25276" t="s">
        <v>29</v>
      </c>
      <c r="J25276" t="s">
        <v>30</v>
      </c>
      <c r="K25276" t="s">
        <v>31</v>
      </c>
      <c r="M25276" t="s">
        <v>50621</v>
      </c>
      <c r="N25276" t="str">
        <f>"4/2/2025 10:24:00 AM"</f>
        <v>4/2/2025 10:24:00 AM</v>
      </c>
      <c r="O25276" t="s">
        <v>76199</v>
      </c>
    </row>
    <row r="25277" spans="1:20" x14ac:dyDescent="0.25">
      <c r="A25277" t="str">
        <f>"3056471"</f>
        <v>3056471</v>
      </c>
      <c r="B25277" t="s">
        <v>76201</v>
      </c>
      <c r="C25277" t="str">
        <f>"8317006"</f>
        <v>8317006</v>
      </c>
      <c r="D25277" t="s">
        <v>51005</v>
      </c>
      <c r="F25277" t="s">
        <v>62349</v>
      </c>
      <c r="I25277" t="s">
        <v>29</v>
      </c>
      <c r="J25277" t="s">
        <v>30</v>
      </c>
      <c r="K25277" t="s">
        <v>25108</v>
      </c>
      <c r="M25277" t="s">
        <v>50621</v>
      </c>
      <c r="N25277" t="str">
        <f>"4/2/2025 10:47:00 AM"</f>
        <v>4/2/2025 10:47:00 AM</v>
      </c>
      <c r="O25277" t="s">
        <v>51005</v>
      </c>
    </row>
    <row r="25278" spans="1:20" x14ac:dyDescent="0.25">
      <c r="A25278" t="str">
        <f>"3053144"</f>
        <v>3053144</v>
      </c>
      <c r="B25278" t="s">
        <v>76202</v>
      </c>
      <c r="C25278" t="str">
        <f>"82525236"</f>
        <v>82525236</v>
      </c>
      <c r="D25278" t="s">
        <v>76185</v>
      </c>
      <c r="F25278" t="s">
        <v>76186</v>
      </c>
      <c r="I25278" t="s">
        <v>29</v>
      </c>
      <c r="J25278" t="s">
        <v>30</v>
      </c>
      <c r="K25278" t="s">
        <v>11227</v>
      </c>
      <c r="M25278" t="s">
        <v>50621</v>
      </c>
      <c r="N25278" t="str">
        <f>"3/31/2025 2:12:00 PM"</f>
        <v>3/31/2025 2:12:00 PM</v>
      </c>
      <c r="O25278" t="s">
        <v>76185</v>
      </c>
    </row>
    <row r="25279" spans="1:20" x14ac:dyDescent="0.25">
      <c r="A25279" t="str">
        <f>"3047415"</f>
        <v>3047415</v>
      </c>
      <c r="B25279" t="s">
        <v>76203</v>
      </c>
      <c r="C25279" t="str">
        <f>"46783000"</f>
        <v>46783000</v>
      </c>
      <c r="D25279" t="s">
        <v>76204</v>
      </c>
      <c r="E25279" t="s">
        <v>76205</v>
      </c>
      <c r="F25279" t="s">
        <v>76206</v>
      </c>
      <c r="I25279" t="s">
        <v>184</v>
      </c>
      <c r="J25279" t="s">
        <v>30</v>
      </c>
      <c r="K25279" t="s">
        <v>76207</v>
      </c>
      <c r="M25279" t="s">
        <v>50621</v>
      </c>
      <c r="N25279" t="str">
        <f>"3/31/2025 4:54:00 PM"</f>
        <v>3/31/2025 4:54:00 PM</v>
      </c>
      <c r="O25279" t="s">
        <v>76204</v>
      </c>
      <c r="T25279" t="s">
        <v>76205</v>
      </c>
    </row>
    <row r="25280" spans="1:20" x14ac:dyDescent="0.25">
      <c r="A25280" t="str">
        <f>"3042846"</f>
        <v>3042846</v>
      </c>
      <c r="B25280" t="s">
        <v>76208</v>
      </c>
      <c r="C25280" t="str">
        <f>"58144000"</f>
        <v>58144000</v>
      </c>
      <c r="D25280" t="s">
        <v>76209</v>
      </c>
      <c r="F25280" t="s">
        <v>76210</v>
      </c>
      <c r="I25280" t="s">
        <v>29</v>
      </c>
      <c r="J25280" t="s">
        <v>30</v>
      </c>
      <c r="K25280" t="s">
        <v>31</v>
      </c>
      <c r="M25280" t="s">
        <v>50621</v>
      </c>
      <c r="N25280" t="str">
        <f>"4/2/2025 11:18:00 AM"</f>
        <v>4/2/2025 11:18:00 AM</v>
      </c>
      <c r="O25280" t="s">
        <v>76209</v>
      </c>
    </row>
    <row r="25281" spans="1:20" x14ac:dyDescent="0.25">
      <c r="A25281" t="str">
        <f>"3057021"</f>
        <v>3057021</v>
      </c>
      <c r="B25281" t="s">
        <v>76211</v>
      </c>
      <c r="C25281" t="str">
        <f>"58538000"</f>
        <v>58538000</v>
      </c>
      <c r="D25281" t="s">
        <v>76212</v>
      </c>
      <c r="F25281" t="s">
        <v>76213</v>
      </c>
      <c r="I25281" t="s">
        <v>29</v>
      </c>
      <c r="J25281" t="s">
        <v>30</v>
      </c>
      <c r="K25281" t="s">
        <v>11032</v>
      </c>
      <c r="M25281" t="s">
        <v>50621</v>
      </c>
      <c r="N25281" t="str">
        <f>"4/2/2025 11:21:00 AM"</f>
        <v>4/2/2025 11:21:00 AM</v>
      </c>
      <c r="O25281" t="s">
        <v>76212</v>
      </c>
      <c r="T25281" t="s">
        <v>76212</v>
      </c>
    </row>
    <row r="25282" spans="1:20" x14ac:dyDescent="0.25">
      <c r="A25282" t="str">
        <f>"3057022"</f>
        <v>3057022</v>
      </c>
      <c r="B25282" t="s">
        <v>76214</v>
      </c>
      <c r="C25282" t="str">
        <f>"58538000"</f>
        <v>58538000</v>
      </c>
      <c r="D25282" t="s">
        <v>76212</v>
      </c>
      <c r="F25282" t="s">
        <v>76213</v>
      </c>
      <c r="I25282" t="s">
        <v>29</v>
      </c>
      <c r="J25282" t="s">
        <v>30</v>
      </c>
      <c r="K25282" t="s">
        <v>11032</v>
      </c>
      <c r="M25282" t="s">
        <v>50621</v>
      </c>
      <c r="N25282" t="str">
        <f>"4/2/2025 11:21:00 AM"</f>
        <v>4/2/2025 11:21:00 AM</v>
      </c>
      <c r="O25282" t="s">
        <v>76212</v>
      </c>
      <c r="T25282" t="s">
        <v>76212</v>
      </c>
    </row>
    <row r="25283" spans="1:20" x14ac:dyDescent="0.25">
      <c r="A25283" t="str">
        <f>"3056944"</f>
        <v>3056944</v>
      </c>
      <c r="B25283" t="s">
        <v>76215</v>
      </c>
      <c r="C25283" t="str">
        <f>"8309598"</f>
        <v>8309598</v>
      </c>
      <c r="D25283" t="s">
        <v>76216</v>
      </c>
      <c r="E25283" t="s">
        <v>76217</v>
      </c>
      <c r="F25283" t="s">
        <v>76218</v>
      </c>
      <c r="I25283" t="s">
        <v>17921</v>
      </c>
      <c r="J25283" t="s">
        <v>30</v>
      </c>
      <c r="K25283" t="str">
        <f>"27028"</f>
        <v>27028</v>
      </c>
      <c r="M25283" t="s">
        <v>50621</v>
      </c>
      <c r="N25283" t="str">
        <f>"4/2/2025 11:23:00 AM"</f>
        <v>4/2/2025 11:23:00 AM</v>
      </c>
      <c r="O25283" t="s">
        <v>76216</v>
      </c>
      <c r="T25283" t="s">
        <v>76217</v>
      </c>
    </row>
    <row r="25284" spans="1:20" x14ac:dyDescent="0.25">
      <c r="A25284" t="str">
        <f>"3047679"</f>
        <v>3047679</v>
      </c>
      <c r="B25284" t="s">
        <v>76219</v>
      </c>
      <c r="C25284" t="str">
        <f>"46783000"</f>
        <v>46783000</v>
      </c>
      <c r="D25284" t="s">
        <v>76204</v>
      </c>
      <c r="E25284" t="s">
        <v>76205</v>
      </c>
      <c r="F25284" t="s">
        <v>76206</v>
      </c>
      <c r="I25284" t="s">
        <v>184</v>
      </c>
      <c r="J25284" t="s">
        <v>30</v>
      </c>
      <c r="K25284" t="s">
        <v>76207</v>
      </c>
      <c r="M25284" t="s">
        <v>50621</v>
      </c>
      <c r="N25284" t="str">
        <f>"3/31/2025 4:54:00 PM"</f>
        <v>3/31/2025 4:54:00 PM</v>
      </c>
      <c r="O25284" t="s">
        <v>76204</v>
      </c>
      <c r="T25284" t="s">
        <v>76205</v>
      </c>
    </row>
    <row r="25285" spans="1:20" x14ac:dyDescent="0.25">
      <c r="A25285" t="str">
        <f>"3048036"</f>
        <v>3048036</v>
      </c>
      <c r="B25285" t="s">
        <v>76220</v>
      </c>
      <c r="C25285" t="str">
        <f>"46783000"</f>
        <v>46783000</v>
      </c>
      <c r="D25285" t="s">
        <v>76204</v>
      </c>
      <c r="E25285" t="s">
        <v>76205</v>
      </c>
      <c r="F25285" t="s">
        <v>76206</v>
      </c>
      <c r="I25285" t="s">
        <v>184</v>
      </c>
      <c r="J25285" t="s">
        <v>30</v>
      </c>
      <c r="K25285" t="s">
        <v>76207</v>
      </c>
      <c r="M25285" t="s">
        <v>50621</v>
      </c>
      <c r="N25285" t="str">
        <f>"3/31/2025 4:54:00 PM"</f>
        <v>3/31/2025 4:54:00 PM</v>
      </c>
      <c r="O25285" t="s">
        <v>76204</v>
      </c>
      <c r="T25285" t="s">
        <v>76205</v>
      </c>
    </row>
    <row r="25286" spans="1:20" x14ac:dyDescent="0.25">
      <c r="A25286" t="str">
        <f>"3044330"</f>
        <v>3044330</v>
      </c>
      <c r="B25286" t="s">
        <v>76221</v>
      </c>
      <c r="C25286" t="str">
        <f>"46769000"</f>
        <v>46769000</v>
      </c>
      <c r="D25286" t="s">
        <v>76222</v>
      </c>
      <c r="F25286" t="s">
        <v>76223</v>
      </c>
      <c r="I25286" t="s">
        <v>184</v>
      </c>
      <c r="J25286" t="s">
        <v>30</v>
      </c>
      <c r="K25286" t="s">
        <v>60533</v>
      </c>
      <c r="M25286" t="s">
        <v>50621</v>
      </c>
      <c r="N25286" t="str">
        <f>"3/31/2025 4:55:00 PM"</f>
        <v>3/31/2025 4:55:00 PM</v>
      </c>
      <c r="O25286" t="s">
        <v>76222</v>
      </c>
    </row>
    <row r="25287" spans="1:20" x14ac:dyDescent="0.25">
      <c r="A25287" t="str">
        <f>"3050542"</f>
        <v>3050542</v>
      </c>
      <c r="B25287" t="s">
        <v>76224</v>
      </c>
      <c r="C25287" t="str">
        <f>"8321562"</f>
        <v>8321562</v>
      </c>
      <c r="D25287" t="s">
        <v>76095</v>
      </c>
      <c r="E25287" t="s">
        <v>62911</v>
      </c>
      <c r="F25287" t="s">
        <v>62907</v>
      </c>
      <c r="I25287" t="s">
        <v>29</v>
      </c>
      <c r="J25287" t="s">
        <v>30</v>
      </c>
      <c r="K25287" t="s">
        <v>47214</v>
      </c>
      <c r="M25287" t="s">
        <v>32801</v>
      </c>
      <c r="N25287" t="str">
        <f>"4/1/2025 7:31:00 AM"</f>
        <v>4/1/2025 7:31:00 AM</v>
      </c>
      <c r="O25287" t="s">
        <v>76095</v>
      </c>
      <c r="T25287" t="s">
        <v>62911</v>
      </c>
    </row>
    <row r="25288" spans="1:20" x14ac:dyDescent="0.25">
      <c r="A25288" t="str">
        <f>"3045706"</f>
        <v>3045706</v>
      </c>
      <c r="B25288" t="s">
        <v>76225</v>
      </c>
      <c r="C25288" t="str">
        <f>"8315711"</f>
        <v>8315711</v>
      </c>
      <c r="D25288" t="s">
        <v>60674</v>
      </c>
      <c r="E25288" t="s">
        <v>76226</v>
      </c>
      <c r="F25288" t="s">
        <v>76227</v>
      </c>
      <c r="I25288" t="s">
        <v>29</v>
      </c>
      <c r="J25288" t="s">
        <v>30</v>
      </c>
      <c r="K25288" t="s">
        <v>54909</v>
      </c>
      <c r="M25288" t="s">
        <v>50500</v>
      </c>
      <c r="N25288" t="str">
        <f>"4/1/2025 10:29:00 AM"</f>
        <v>4/1/2025 10:29:00 AM</v>
      </c>
      <c r="O25288" t="s">
        <v>60674</v>
      </c>
      <c r="T25288" t="s">
        <v>76226</v>
      </c>
    </row>
    <row r="25289" spans="1:20" x14ac:dyDescent="0.25">
      <c r="A25289" t="str">
        <f>"3045730"</f>
        <v>3045730</v>
      </c>
      <c r="B25289" t="s">
        <v>76228</v>
      </c>
      <c r="C25289" t="str">
        <f>"8315711"</f>
        <v>8315711</v>
      </c>
      <c r="D25289" t="s">
        <v>60674</v>
      </c>
      <c r="E25289" t="s">
        <v>76226</v>
      </c>
      <c r="F25289" t="s">
        <v>76227</v>
      </c>
      <c r="I25289" t="s">
        <v>29</v>
      </c>
      <c r="J25289" t="s">
        <v>30</v>
      </c>
      <c r="K25289" t="s">
        <v>54909</v>
      </c>
      <c r="M25289" t="s">
        <v>50500</v>
      </c>
      <c r="N25289" t="str">
        <f>"4/1/2025 10:29:00 AM"</f>
        <v>4/1/2025 10:29:00 AM</v>
      </c>
      <c r="O25289" t="s">
        <v>60674</v>
      </c>
      <c r="T25289" t="s">
        <v>76226</v>
      </c>
    </row>
    <row r="25290" spans="1:20" x14ac:dyDescent="0.25">
      <c r="A25290" t="str">
        <f>"3055929"</f>
        <v>3055929</v>
      </c>
      <c r="B25290" t="s">
        <v>76229</v>
      </c>
      <c r="C25290" t="str">
        <f>"8319866"</f>
        <v>8319866</v>
      </c>
      <c r="D25290" t="s">
        <v>76230</v>
      </c>
      <c r="E25290" t="s">
        <v>76231</v>
      </c>
      <c r="F25290" t="s">
        <v>76232</v>
      </c>
      <c r="I25290" t="s">
        <v>9580</v>
      </c>
      <c r="J25290" t="s">
        <v>30</v>
      </c>
      <c r="K25290" t="s">
        <v>76233</v>
      </c>
      <c r="M25290" t="s">
        <v>50621</v>
      </c>
      <c r="N25290" t="str">
        <f>"4/1/2025 12:56:00 PM"</f>
        <v>4/1/2025 12:56:00 PM</v>
      </c>
      <c r="O25290" t="s">
        <v>76230</v>
      </c>
      <c r="T25290" t="s">
        <v>76231</v>
      </c>
    </row>
    <row r="25291" spans="1:20" x14ac:dyDescent="0.25">
      <c r="A25291" t="str">
        <f>"3047275"</f>
        <v>3047275</v>
      </c>
      <c r="B25291" t="s">
        <v>76234</v>
      </c>
      <c r="C25291" t="str">
        <f>"8310961"</f>
        <v>8310961</v>
      </c>
      <c r="D25291" t="s">
        <v>76235</v>
      </c>
      <c r="F25291" t="s">
        <v>76236</v>
      </c>
      <c r="I25291" t="s">
        <v>184</v>
      </c>
      <c r="J25291" t="s">
        <v>30</v>
      </c>
      <c r="K25291" t="s">
        <v>65069</v>
      </c>
      <c r="M25291" t="s">
        <v>50621</v>
      </c>
      <c r="N25291" t="str">
        <f>"3/27/2025 2:43:00 PM"</f>
        <v>3/27/2025 2:43:00 PM</v>
      </c>
      <c r="O25291" t="s">
        <v>76235</v>
      </c>
    </row>
    <row r="25292" spans="1:20" x14ac:dyDescent="0.25">
      <c r="A25292" t="str">
        <f>"3070563"</f>
        <v>3070563</v>
      </c>
      <c r="B25292" t="s">
        <v>76237</v>
      </c>
      <c r="C25292" t="str">
        <f>"8324051"</f>
        <v>8324051</v>
      </c>
      <c r="D25292" t="s">
        <v>76238</v>
      </c>
      <c r="F25292" t="s">
        <v>76239</v>
      </c>
      <c r="G25292" t="s">
        <v>76240</v>
      </c>
      <c r="I25292" t="s">
        <v>964</v>
      </c>
      <c r="J25292" t="s">
        <v>30</v>
      </c>
      <c r="K25292" t="s">
        <v>76241</v>
      </c>
      <c r="M25292" t="s">
        <v>50500</v>
      </c>
      <c r="N25292" t="str">
        <f>"4/3/2025 9:39:00 AM"</f>
        <v>4/3/2025 9:39:00 AM</v>
      </c>
      <c r="O25292" t="s">
        <v>76238</v>
      </c>
    </row>
    <row r="25293" spans="1:20" x14ac:dyDescent="0.25">
      <c r="A25293" t="str">
        <f>"3068312"</f>
        <v>3068312</v>
      </c>
      <c r="B25293" t="s">
        <v>76242</v>
      </c>
      <c r="C25293" t="str">
        <f>"8323043"</f>
        <v>8323043</v>
      </c>
      <c r="D25293" t="s">
        <v>76243</v>
      </c>
      <c r="F25293" t="s">
        <v>76244</v>
      </c>
      <c r="I25293" t="s">
        <v>184</v>
      </c>
      <c r="J25293" t="s">
        <v>30</v>
      </c>
      <c r="K25293" t="s">
        <v>72068</v>
      </c>
      <c r="M25293" t="s">
        <v>50621</v>
      </c>
      <c r="N25293" t="str">
        <f>"3/27/2025 2:57:00 PM"</f>
        <v>3/27/2025 2:57:00 PM</v>
      </c>
      <c r="O25293" t="s">
        <v>76243</v>
      </c>
    </row>
    <row r="25294" spans="1:20" x14ac:dyDescent="0.25">
      <c r="A25294" t="str">
        <f>"3052151"</f>
        <v>3052151</v>
      </c>
      <c r="B25294" t="s">
        <v>76245</v>
      </c>
      <c r="C25294" t="str">
        <f>"8319805"</f>
        <v>8319805</v>
      </c>
      <c r="D25294" t="s">
        <v>76246</v>
      </c>
      <c r="E25294" t="s">
        <v>76247</v>
      </c>
      <c r="F25294" t="s">
        <v>76248</v>
      </c>
      <c r="I25294" t="s">
        <v>76249</v>
      </c>
      <c r="J25294" t="s">
        <v>3150</v>
      </c>
      <c r="K25294" t="str">
        <f>"46526"</f>
        <v>46526</v>
      </c>
      <c r="M25294" t="s">
        <v>50621</v>
      </c>
      <c r="N25294" t="str">
        <f>"4/3/2025 9:43:00 AM"</f>
        <v>4/3/2025 9:43:00 AM</v>
      </c>
      <c r="O25294" t="s">
        <v>76246</v>
      </c>
      <c r="T25294" t="s">
        <v>76247</v>
      </c>
    </row>
    <row r="25295" spans="1:20" x14ac:dyDescent="0.25">
      <c r="A25295" t="str">
        <f>"3040403"</f>
        <v>3040403</v>
      </c>
      <c r="B25295" t="s">
        <v>76250</v>
      </c>
      <c r="C25295" t="str">
        <f>"8310957"</f>
        <v>8310957</v>
      </c>
      <c r="D25295" t="s">
        <v>76251</v>
      </c>
      <c r="F25295" t="s">
        <v>76252</v>
      </c>
      <c r="I25295" t="s">
        <v>402</v>
      </c>
      <c r="J25295" t="s">
        <v>30</v>
      </c>
      <c r="K25295" t="s">
        <v>76253</v>
      </c>
      <c r="M25295" t="s">
        <v>50621</v>
      </c>
      <c r="N25295" t="str">
        <f>"4/3/2025 9:47:00 AM"</f>
        <v>4/3/2025 9:47:00 AM</v>
      </c>
      <c r="O25295" t="s">
        <v>76251</v>
      </c>
    </row>
    <row r="25296" spans="1:20" x14ac:dyDescent="0.25">
      <c r="A25296" t="str">
        <f>"3039032"</f>
        <v>3039032</v>
      </c>
      <c r="B25296" t="s">
        <v>76254</v>
      </c>
      <c r="C25296" t="str">
        <f>"8316928"</f>
        <v>8316928</v>
      </c>
      <c r="D25296" t="s">
        <v>76255</v>
      </c>
      <c r="E25296" t="s">
        <v>76256</v>
      </c>
      <c r="F25296" t="s">
        <v>76257</v>
      </c>
      <c r="I25296" t="s">
        <v>29</v>
      </c>
      <c r="J25296" t="s">
        <v>30</v>
      </c>
      <c r="K25296" t="s">
        <v>43204</v>
      </c>
      <c r="M25296" t="s">
        <v>50621</v>
      </c>
      <c r="N25296" t="str">
        <f>"4/3/2025 9:54:00 AM"</f>
        <v>4/3/2025 9:54:00 AM</v>
      </c>
      <c r="O25296" t="s">
        <v>76255</v>
      </c>
      <c r="T25296" t="s">
        <v>76256</v>
      </c>
    </row>
    <row r="25297" spans="1:20" x14ac:dyDescent="0.25">
      <c r="A25297" t="str">
        <f>"3038775"</f>
        <v>3038775</v>
      </c>
      <c r="B25297" t="s">
        <v>76258</v>
      </c>
      <c r="C25297" t="str">
        <f>"8300073"</f>
        <v>8300073</v>
      </c>
      <c r="D25297" t="s">
        <v>76259</v>
      </c>
      <c r="E25297" t="s">
        <v>76260</v>
      </c>
      <c r="F25297" t="s">
        <v>76261</v>
      </c>
      <c r="I25297" t="s">
        <v>29</v>
      </c>
      <c r="J25297" t="s">
        <v>30</v>
      </c>
      <c r="K25297" t="s">
        <v>76262</v>
      </c>
      <c r="M25297" t="s">
        <v>50621</v>
      </c>
      <c r="N25297" t="str">
        <f>"4/3/2025 10:05:00 AM"</f>
        <v>4/3/2025 10:05:00 AM</v>
      </c>
      <c r="O25297" t="s">
        <v>76259</v>
      </c>
      <c r="T25297" t="s">
        <v>76260</v>
      </c>
    </row>
    <row r="25298" spans="1:20" x14ac:dyDescent="0.25">
      <c r="A25298" t="str">
        <f>"3041893"</f>
        <v>3041893</v>
      </c>
      <c r="B25298" t="s">
        <v>76263</v>
      </c>
      <c r="C25298" t="str">
        <f>"8323389"</f>
        <v>8323389</v>
      </c>
      <c r="D25298" t="s">
        <v>76264</v>
      </c>
      <c r="F25298" t="s">
        <v>76265</v>
      </c>
      <c r="I25298" t="s">
        <v>66545</v>
      </c>
      <c r="J25298" t="s">
        <v>4132</v>
      </c>
      <c r="K25298" t="s">
        <v>76266</v>
      </c>
      <c r="M25298" t="s">
        <v>50500</v>
      </c>
      <c r="N25298" t="str">
        <f>"4/3/2025 10:52:00 AM"</f>
        <v>4/3/2025 10:52:00 AM</v>
      </c>
      <c r="O25298" t="s">
        <v>76264</v>
      </c>
    </row>
    <row r="25299" spans="1:20" x14ac:dyDescent="0.25">
      <c r="A25299" t="str">
        <f>"3058533"</f>
        <v>3058533</v>
      </c>
      <c r="B25299" t="s">
        <v>76267</v>
      </c>
      <c r="C25299" t="str">
        <f>"8313854"</f>
        <v>8313854</v>
      </c>
      <c r="D25299" t="s">
        <v>76268</v>
      </c>
      <c r="F25299" t="s">
        <v>41319</v>
      </c>
      <c r="I25299" t="s">
        <v>2071</v>
      </c>
      <c r="J25299" t="s">
        <v>30</v>
      </c>
      <c r="K25299" t="s">
        <v>41320</v>
      </c>
      <c r="M25299" t="s">
        <v>25733</v>
      </c>
      <c r="N25299" t="str">
        <f>"3/27/2025 3:26:00 PM"</f>
        <v>3/27/2025 3:26:00 PM</v>
      </c>
      <c r="O25299" t="s">
        <v>76268</v>
      </c>
    </row>
    <row r="25300" spans="1:20" x14ac:dyDescent="0.25">
      <c r="A25300" t="str">
        <f>"3058534"</f>
        <v>3058534</v>
      </c>
      <c r="B25300" t="s">
        <v>76269</v>
      </c>
      <c r="C25300" t="str">
        <f>"8313854"</f>
        <v>8313854</v>
      </c>
      <c r="D25300" t="s">
        <v>76268</v>
      </c>
      <c r="F25300" t="s">
        <v>41319</v>
      </c>
      <c r="I25300" t="s">
        <v>2071</v>
      </c>
      <c r="J25300" t="s">
        <v>30</v>
      </c>
      <c r="K25300" t="s">
        <v>41320</v>
      </c>
      <c r="M25300" t="s">
        <v>25733</v>
      </c>
      <c r="N25300" t="str">
        <f>"3/27/2025 3:26:00 PM"</f>
        <v>3/27/2025 3:26:00 PM</v>
      </c>
      <c r="O25300" t="s">
        <v>76268</v>
      </c>
    </row>
    <row r="25301" spans="1:20" x14ac:dyDescent="0.25">
      <c r="A25301" t="str">
        <f>"3037644"</f>
        <v>3037644</v>
      </c>
      <c r="B25301" t="s">
        <v>76270</v>
      </c>
      <c r="C25301" t="str">
        <f>"60540000"</f>
        <v>60540000</v>
      </c>
      <c r="D25301" t="s">
        <v>76271</v>
      </c>
      <c r="E25301" t="s">
        <v>76272</v>
      </c>
      <c r="F25301" t="s">
        <v>76273</v>
      </c>
      <c r="I25301" t="s">
        <v>471</v>
      </c>
      <c r="J25301" t="s">
        <v>30</v>
      </c>
      <c r="K25301" t="s">
        <v>76274</v>
      </c>
      <c r="M25301" t="s">
        <v>51351</v>
      </c>
      <c r="N25301" t="str">
        <f>"3/27/2025 3:58:00 PM"</f>
        <v>3/27/2025 3:58:00 PM</v>
      </c>
      <c r="O25301" t="s">
        <v>76271</v>
      </c>
      <c r="T25301" t="s">
        <v>76272</v>
      </c>
    </row>
    <row r="25302" spans="1:20" x14ac:dyDescent="0.25">
      <c r="A25302" t="str">
        <f>"3040595"</f>
        <v>3040595</v>
      </c>
      <c r="B25302" t="s">
        <v>76275</v>
      </c>
      <c r="C25302" t="str">
        <f>"82515268"</f>
        <v>82515268</v>
      </c>
      <c r="D25302" t="s">
        <v>75993</v>
      </c>
      <c r="E25302" t="s">
        <v>75994</v>
      </c>
      <c r="F25302" t="s">
        <v>70689</v>
      </c>
      <c r="I25302" t="s">
        <v>70690</v>
      </c>
      <c r="J25302" t="s">
        <v>12725</v>
      </c>
      <c r="K25302" t="s">
        <v>70691</v>
      </c>
      <c r="M25302" t="s">
        <v>25733</v>
      </c>
      <c r="N25302" t="str">
        <f>"3/28/2025 8:22:00 AM"</f>
        <v>3/28/2025 8:22:00 AM</v>
      </c>
      <c r="O25302" t="s">
        <v>75993</v>
      </c>
      <c r="T25302" t="s">
        <v>75994</v>
      </c>
    </row>
    <row r="25303" spans="1:20" x14ac:dyDescent="0.25">
      <c r="A25303" t="str">
        <f>"3045679"</f>
        <v>3045679</v>
      </c>
      <c r="B25303" t="s">
        <v>76276</v>
      </c>
      <c r="C25303" t="str">
        <f>"8304631"</f>
        <v>8304631</v>
      </c>
      <c r="D25303" t="s">
        <v>76277</v>
      </c>
      <c r="F25303" t="s">
        <v>76278</v>
      </c>
      <c r="I25303" t="s">
        <v>29</v>
      </c>
      <c r="J25303" t="s">
        <v>30</v>
      </c>
      <c r="K25303" t="str">
        <f>"27028"</f>
        <v>27028</v>
      </c>
      <c r="M25303" t="s">
        <v>50793</v>
      </c>
      <c r="N25303" t="str">
        <f>"4/2/2025 9:03:00 AM"</f>
        <v>4/2/2025 9:03:00 AM</v>
      </c>
      <c r="O25303" t="s">
        <v>76277</v>
      </c>
    </row>
    <row r="25304" spans="1:20" x14ac:dyDescent="0.25">
      <c r="A25304" t="str">
        <f>"3062338"</f>
        <v>3062338</v>
      </c>
      <c r="B25304" t="s">
        <v>76279</v>
      </c>
      <c r="C25304" t="str">
        <f>"8322422"</f>
        <v>8322422</v>
      </c>
      <c r="D25304" t="s">
        <v>76280</v>
      </c>
      <c r="E25304" t="s">
        <v>76281</v>
      </c>
      <c r="F25304" t="s">
        <v>76282</v>
      </c>
      <c r="I25304" t="s">
        <v>29</v>
      </c>
      <c r="J25304" t="s">
        <v>30</v>
      </c>
      <c r="K25304" t="s">
        <v>20731</v>
      </c>
      <c r="M25304" t="s">
        <v>50621</v>
      </c>
      <c r="N25304" t="str">
        <f>"4/7/2025 9:52:00 AM"</f>
        <v>4/7/2025 9:52:00 AM</v>
      </c>
      <c r="O25304" t="s">
        <v>76280</v>
      </c>
      <c r="T25304" t="s">
        <v>76281</v>
      </c>
    </row>
    <row r="25305" spans="1:20" x14ac:dyDescent="0.25">
      <c r="A25305" t="str">
        <f>"3090192"</f>
        <v>3090192</v>
      </c>
      <c r="B25305" t="s">
        <v>76283</v>
      </c>
      <c r="C25305" t="str">
        <f>"8304758"</f>
        <v>8304758</v>
      </c>
      <c r="D25305" t="s">
        <v>76284</v>
      </c>
      <c r="F25305" t="s">
        <v>76285</v>
      </c>
      <c r="I25305" t="s">
        <v>17921</v>
      </c>
      <c r="J25305" t="s">
        <v>30</v>
      </c>
      <c r="K25305" t="str">
        <f>"27028"</f>
        <v>27028</v>
      </c>
      <c r="M25305" t="s">
        <v>50621</v>
      </c>
      <c r="N25305" t="str">
        <f>"4/7/2025 10:10:00 AM"</f>
        <v>4/7/2025 10:10:00 AM</v>
      </c>
      <c r="O25305" t="s">
        <v>76284</v>
      </c>
    </row>
    <row r="25306" spans="1:20" x14ac:dyDescent="0.25">
      <c r="A25306" t="str">
        <f>"3045017"</f>
        <v>3045017</v>
      </c>
      <c r="B25306" t="s">
        <v>76286</v>
      </c>
      <c r="C25306" t="str">
        <f>"8304758"</f>
        <v>8304758</v>
      </c>
      <c r="D25306" t="s">
        <v>76284</v>
      </c>
      <c r="F25306" t="s">
        <v>76285</v>
      </c>
      <c r="I25306" t="s">
        <v>17921</v>
      </c>
      <c r="J25306" t="s">
        <v>30</v>
      </c>
      <c r="K25306" t="str">
        <f>"27028"</f>
        <v>27028</v>
      </c>
      <c r="M25306" t="s">
        <v>50621</v>
      </c>
      <c r="N25306" t="str">
        <f>"4/7/2025 10:10:00 AM"</f>
        <v>4/7/2025 10:10:00 AM</v>
      </c>
      <c r="O25306" t="s">
        <v>76284</v>
      </c>
    </row>
    <row r="25307" spans="1:20" x14ac:dyDescent="0.25">
      <c r="A25307" t="str">
        <f>"3045245"</f>
        <v>3045245</v>
      </c>
      <c r="B25307" t="s">
        <v>76287</v>
      </c>
      <c r="C25307" t="str">
        <f>"82530979"</f>
        <v>82530979</v>
      </c>
      <c r="D25307" t="s">
        <v>76288</v>
      </c>
      <c r="F25307" t="s">
        <v>76289</v>
      </c>
      <c r="I25307" t="s">
        <v>29</v>
      </c>
      <c r="J25307" t="s">
        <v>30</v>
      </c>
      <c r="K25307" t="s">
        <v>31</v>
      </c>
      <c r="M25307" t="s">
        <v>50793</v>
      </c>
      <c r="N25307" t="str">
        <f>"4/2/2025 9:09:00 AM"</f>
        <v>4/2/2025 9:09:00 AM</v>
      </c>
      <c r="O25307" t="s">
        <v>76288</v>
      </c>
    </row>
    <row r="25308" spans="1:20" x14ac:dyDescent="0.25">
      <c r="A25308" t="str">
        <f>"3043329"</f>
        <v>3043329</v>
      </c>
      <c r="B25308" t="s">
        <v>76290</v>
      </c>
      <c r="C25308" t="str">
        <f>"34424000"</f>
        <v>34424000</v>
      </c>
      <c r="D25308" t="s">
        <v>76291</v>
      </c>
      <c r="F25308" t="s">
        <v>76292</v>
      </c>
      <c r="I25308" t="s">
        <v>29</v>
      </c>
      <c r="J25308" t="s">
        <v>30</v>
      </c>
      <c r="K25308" t="s">
        <v>76293</v>
      </c>
      <c r="M25308" t="s">
        <v>50621</v>
      </c>
      <c r="N25308" t="str">
        <f>"4/7/2025 10:21:00 AM"</f>
        <v>4/7/2025 10:21:00 AM</v>
      </c>
      <c r="O25308" t="s">
        <v>76291</v>
      </c>
    </row>
    <row r="25309" spans="1:20" x14ac:dyDescent="0.25">
      <c r="A25309" t="str">
        <f>"3043263"</f>
        <v>3043263</v>
      </c>
      <c r="B25309" t="s">
        <v>76294</v>
      </c>
      <c r="C25309" t="str">
        <f>"34424000"</f>
        <v>34424000</v>
      </c>
      <c r="D25309" t="s">
        <v>76291</v>
      </c>
      <c r="F25309" t="s">
        <v>76292</v>
      </c>
      <c r="I25309" t="s">
        <v>29</v>
      </c>
      <c r="J25309" t="s">
        <v>30</v>
      </c>
      <c r="K25309" t="s">
        <v>76293</v>
      </c>
      <c r="M25309" t="s">
        <v>50621</v>
      </c>
      <c r="N25309" t="str">
        <f>"4/7/2025 10:21:00 AM"</f>
        <v>4/7/2025 10:21:00 AM</v>
      </c>
      <c r="O25309" t="s">
        <v>76291</v>
      </c>
    </row>
    <row r="25310" spans="1:20" x14ac:dyDescent="0.25">
      <c r="A25310" t="str">
        <f>"3043562"</f>
        <v>3043562</v>
      </c>
      <c r="B25310" t="s">
        <v>76295</v>
      </c>
      <c r="C25310" t="str">
        <f>"34424000"</f>
        <v>34424000</v>
      </c>
      <c r="D25310" t="s">
        <v>76291</v>
      </c>
      <c r="F25310" t="s">
        <v>76292</v>
      </c>
      <c r="I25310" t="s">
        <v>29</v>
      </c>
      <c r="J25310" t="s">
        <v>30</v>
      </c>
      <c r="K25310" t="s">
        <v>76293</v>
      </c>
      <c r="M25310" t="s">
        <v>50621</v>
      </c>
      <c r="N25310" t="str">
        <f>"4/7/2025 10:21:00 AM"</f>
        <v>4/7/2025 10:21:00 AM</v>
      </c>
      <c r="O25310" t="s">
        <v>76291</v>
      </c>
    </row>
    <row r="25311" spans="1:20" x14ac:dyDescent="0.25">
      <c r="A25311" t="str">
        <f>"3051763"</f>
        <v>3051763</v>
      </c>
      <c r="B25311" t="s">
        <v>76296</v>
      </c>
      <c r="C25311" t="str">
        <f>"34424000"</f>
        <v>34424000</v>
      </c>
      <c r="D25311" t="s">
        <v>76291</v>
      </c>
      <c r="F25311" t="s">
        <v>76292</v>
      </c>
      <c r="I25311" t="s">
        <v>29</v>
      </c>
      <c r="J25311" t="s">
        <v>30</v>
      </c>
      <c r="K25311" t="s">
        <v>76293</v>
      </c>
      <c r="M25311" t="s">
        <v>50621</v>
      </c>
      <c r="N25311" t="str">
        <f>"4/7/2025 10:21:00 AM"</f>
        <v>4/7/2025 10:21:00 AM</v>
      </c>
      <c r="O25311" t="s">
        <v>76291</v>
      </c>
    </row>
    <row r="25312" spans="1:20" x14ac:dyDescent="0.25">
      <c r="A25312" t="str">
        <f>"3077104"</f>
        <v>3077104</v>
      </c>
      <c r="B25312" t="s">
        <v>76297</v>
      </c>
      <c r="C25312" t="str">
        <f>"8322261"</f>
        <v>8322261</v>
      </c>
      <c r="D25312" t="s">
        <v>76298</v>
      </c>
      <c r="E25312" t="s">
        <v>68455</v>
      </c>
      <c r="F25312" t="s">
        <v>68456</v>
      </c>
      <c r="I25312" t="s">
        <v>184</v>
      </c>
      <c r="J25312" t="s">
        <v>30</v>
      </c>
      <c r="K25312" t="s">
        <v>68457</v>
      </c>
      <c r="M25312" t="s">
        <v>50621</v>
      </c>
      <c r="N25312" t="str">
        <f>"4/7/2025 10:29:00 AM"</f>
        <v>4/7/2025 10:29:00 AM</v>
      </c>
      <c r="O25312" t="s">
        <v>76298</v>
      </c>
      <c r="T25312" t="s">
        <v>68455</v>
      </c>
    </row>
    <row r="25313" spans="1:20" x14ac:dyDescent="0.25">
      <c r="A25313" t="str">
        <f>"3038742"</f>
        <v>3038742</v>
      </c>
      <c r="B25313" t="s">
        <v>76299</v>
      </c>
      <c r="C25313" t="str">
        <f>"82516004"</f>
        <v>82516004</v>
      </c>
      <c r="D25313" t="s">
        <v>76300</v>
      </c>
      <c r="F25313" t="s">
        <v>76301</v>
      </c>
      <c r="I25313" t="s">
        <v>29</v>
      </c>
      <c r="J25313" t="s">
        <v>30</v>
      </c>
      <c r="K25313" t="s">
        <v>31</v>
      </c>
      <c r="M25313" t="s">
        <v>50621</v>
      </c>
      <c r="N25313" t="str">
        <f>"4/7/2025 10:32:00 AM"</f>
        <v>4/7/2025 10:32:00 AM</v>
      </c>
      <c r="O25313" t="s">
        <v>76300</v>
      </c>
    </row>
    <row r="25314" spans="1:20" x14ac:dyDescent="0.25">
      <c r="A25314" t="str">
        <f>"3037865"</f>
        <v>3037865</v>
      </c>
      <c r="B25314" t="s">
        <v>76302</v>
      </c>
      <c r="C25314" t="str">
        <f>"82516004"</f>
        <v>82516004</v>
      </c>
      <c r="D25314" t="s">
        <v>76300</v>
      </c>
      <c r="F25314" t="s">
        <v>76301</v>
      </c>
      <c r="I25314" t="s">
        <v>29</v>
      </c>
      <c r="J25314" t="s">
        <v>30</v>
      </c>
      <c r="K25314" t="s">
        <v>31</v>
      </c>
      <c r="M25314" t="s">
        <v>50621</v>
      </c>
      <c r="N25314" t="str">
        <f>"4/7/2025 10:32:00 AM"</f>
        <v>4/7/2025 10:32:00 AM</v>
      </c>
      <c r="O25314" t="s">
        <v>76300</v>
      </c>
    </row>
    <row r="25315" spans="1:20" x14ac:dyDescent="0.25">
      <c r="A25315" t="str">
        <f>"3040557"</f>
        <v>3040557</v>
      </c>
      <c r="B25315" t="s">
        <v>76303</v>
      </c>
      <c r="C25315" t="str">
        <f>"82526403"</f>
        <v>82526403</v>
      </c>
      <c r="D25315" t="s">
        <v>76304</v>
      </c>
      <c r="F25315" t="s">
        <v>76305</v>
      </c>
      <c r="I25315" t="s">
        <v>17921</v>
      </c>
      <c r="J25315" t="s">
        <v>30</v>
      </c>
      <c r="K25315" t="s">
        <v>31</v>
      </c>
      <c r="M25315" t="s">
        <v>50621</v>
      </c>
      <c r="N25315" t="str">
        <f>"4/7/2025 10:33:00 AM"</f>
        <v>4/7/2025 10:33:00 AM</v>
      </c>
      <c r="O25315" t="s">
        <v>76304</v>
      </c>
    </row>
    <row r="25316" spans="1:20" x14ac:dyDescent="0.25">
      <c r="A25316" t="str">
        <f>"3061950"</f>
        <v>3061950</v>
      </c>
      <c r="B25316" t="s">
        <v>76306</v>
      </c>
      <c r="C25316" t="str">
        <f>"8316092"</f>
        <v>8316092</v>
      </c>
      <c r="D25316" t="s">
        <v>76307</v>
      </c>
      <c r="F25316" t="s">
        <v>76308</v>
      </c>
      <c r="I25316" t="s">
        <v>184</v>
      </c>
      <c r="J25316" t="s">
        <v>30</v>
      </c>
      <c r="K25316" t="s">
        <v>33561</v>
      </c>
      <c r="M25316" t="s">
        <v>50621</v>
      </c>
      <c r="N25316" t="str">
        <f>"4/7/2025 10:35:00 AM"</f>
        <v>4/7/2025 10:35:00 AM</v>
      </c>
      <c r="O25316" t="s">
        <v>76307</v>
      </c>
    </row>
    <row r="25317" spans="1:20" x14ac:dyDescent="0.25">
      <c r="A25317" t="str">
        <f>"3039838"</f>
        <v>3039838</v>
      </c>
      <c r="B25317" t="s">
        <v>76309</v>
      </c>
      <c r="C25317" t="str">
        <f>"8305369"</f>
        <v>8305369</v>
      </c>
      <c r="D25317" t="s">
        <v>76310</v>
      </c>
      <c r="F25317" t="s">
        <v>76311</v>
      </c>
      <c r="I25317" t="s">
        <v>402</v>
      </c>
      <c r="J25317" t="s">
        <v>30</v>
      </c>
      <c r="K25317" t="s">
        <v>76312</v>
      </c>
      <c r="M25317" t="s">
        <v>50621</v>
      </c>
      <c r="N25317" t="str">
        <f>"4/7/2025 10:37:00 AM"</f>
        <v>4/7/2025 10:37:00 AM</v>
      </c>
      <c r="O25317" t="s">
        <v>76310</v>
      </c>
    </row>
    <row r="25318" spans="1:20" x14ac:dyDescent="0.25">
      <c r="A25318" t="str">
        <f>"3039868"</f>
        <v>3039868</v>
      </c>
      <c r="B25318" t="s">
        <v>76313</v>
      </c>
      <c r="C25318" t="str">
        <f>"8305369"</f>
        <v>8305369</v>
      </c>
      <c r="D25318" t="s">
        <v>76310</v>
      </c>
      <c r="F25318" t="s">
        <v>76311</v>
      </c>
      <c r="I25318" t="s">
        <v>402</v>
      </c>
      <c r="J25318" t="s">
        <v>30</v>
      </c>
      <c r="K25318" t="s">
        <v>76312</v>
      </c>
      <c r="M25318" t="s">
        <v>50621</v>
      </c>
      <c r="N25318" t="str">
        <f>"4/7/2025 10:37:00 AM"</f>
        <v>4/7/2025 10:37:00 AM</v>
      </c>
      <c r="O25318" t="s">
        <v>76310</v>
      </c>
    </row>
    <row r="25319" spans="1:20" x14ac:dyDescent="0.25">
      <c r="A25319" t="str">
        <f>"3055615"</f>
        <v>3055615</v>
      </c>
      <c r="B25319" t="s">
        <v>76314</v>
      </c>
      <c r="C25319" t="str">
        <f>"8302414"</f>
        <v>8302414</v>
      </c>
      <c r="D25319" t="s">
        <v>76315</v>
      </c>
      <c r="F25319" t="s">
        <v>76316</v>
      </c>
      <c r="I25319" t="s">
        <v>184</v>
      </c>
      <c r="J25319" t="s">
        <v>30</v>
      </c>
      <c r="K25319" t="str">
        <f>"27006"</f>
        <v>27006</v>
      </c>
      <c r="M25319" t="s">
        <v>50621</v>
      </c>
      <c r="N25319" t="str">
        <f>"4/7/2025 10:40:00 AM"</f>
        <v>4/7/2025 10:40:00 AM</v>
      </c>
      <c r="O25319" t="s">
        <v>76315</v>
      </c>
    </row>
    <row r="25320" spans="1:20" x14ac:dyDescent="0.25">
      <c r="A25320" t="str">
        <f>"3054398"</f>
        <v>3054398</v>
      </c>
      <c r="B25320" t="s">
        <v>76317</v>
      </c>
      <c r="C25320" t="str">
        <f>"82532950"</f>
        <v>82532950</v>
      </c>
      <c r="D25320" t="s">
        <v>76318</v>
      </c>
      <c r="F25320" t="s">
        <v>76319</v>
      </c>
      <c r="I25320" t="s">
        <v>29</v>
      </c>
      <c r="J25320" t="s">
        <v>30</v>
      </c>
      <c r="K25320" t="s">
        <v>31</v>
      </c>
      <c r="M25320" t="s">
        <v>25733</v>
      </c>
      <c r="N25320" t="str">
        <f>"4/7/2025 10:47:00 AM"</f>
        <v>4/7/2025 10:47:00 AM</v>
      </c>
      <c r="O25320" t="s">
        <v>76318</v>
      </c>
    </row>
    <row r="25321" spans="1:20" x14ac:dyDescent="0.25">
      <c r="A25321" t="str">
        <f>"3043112"</f>
        <v>3043112</v>
      </c>
      <c r="B25321" t="s">
        <v>76320</v>
      </c>
      <c r="C25321" t="str">
        <f>"8308849"</f>
        <v>8308849</v>
      </c>
      <c r="D25321" t="s">
        <v>76321</v>
      </c>
      <c r="E25321" t="s">
        <v>76322</v>
      </c>
      <c r="F25321" t="s">
        <v>76323</v>
      </c>
      <c r="I25321" t="s">
        <v>29</v>
      </c>
      <c r="J25321" t="s">
        <v>30</v>
      </c>
      <c r="K25321" t="s">
        <v>21544</v>
      </c>
      <c r="M25321" t="s">
        <v>50793</v>
      </c>
      <c r="N25321" t="str">
        <f>"4/7/2025 11:42:00 AM"</f>
        <v>4/7/2025 11:42:00 AM</v>
      </c>
      <c r="O25321" t="s">
        <v>76321</v>
      </c>
      <c r="T25321" t="s">
        <v>76322</v>
      </c>
    </row>
    <row r="25322" spans="1:20" x14ac:dyDescent="0.25">
      <c r="A25322" t="str">
        <f>"3054551"</f>
        <v>3054551</v>
      </c>
      <c r="B25322" t="s">
        <v>76324</v>
      </c>
      <c r="C25322" t="str">
        <f>"8316940"</f>
        <v>8316940</v>
      </c>
      <c r="D25322" t="s">
        <v>76325</v>
      </c>
      <c r="F25322" t="s">
        <v>76326</v>
      </c>
      <c r="I25322" t="s">
        <v>14378</v>
      </c>
      <c r="J25322" t="s">
        <v>30</v>
      </c>
      <c r="K25322" t="s">
        <v>76327</v>
      </c>
      <c r="M25322" t="s">
        <v>50793</v>
      </c>
      <c r="N25322" t="str">
        <f>"4/7/2025 11:49:00 AM"</f>
        <v>4/7/2025 11:49:00 AM</v>
      </c>
      <c r="O25322" t="s">
        <v>76325</v>
      </c>
    </row>
    <row r="25323" spans="1:20" x14ac:dyDescent="0.25">
      <c r="A25323" t="str">
        <f>"3037960"</f>
        <v>3037960</v>
      </c>
      <c r="B25323" t="s">
        <v>76328</v>
      </c>
      <c r="C25323" t="str">
        <f>"8316618"</f>
        <v>8316618</v>
      </c>
      <c r="D25323" t="s">
        <v>76329</v>
      </c>
      <c r="F25323" t="s">
        <v>76330</v>
      </c>
      <c r="I25323" t="s">
        <v>9345</v>
      </c>
      <c r="J25323" t="s">
        <v>30</v>
      </c>
      <c r="K25323" t="s">
        <v>76331</v>
      </c>
      <c r="M25323" t="s">
        <v>25733</v>
      </c>
      <c r="N25323" t="str">
        <f>"4/2/2025 9:22:00 AM"</f>
        <v>4/2/2025 9:22:00 AM</v>
      </c>
      <c r="O25323" t="s">
        <v>76329</v>
      </c>
    </row>
    <row r="25324" spans="1:20" x14ac:dyDescent="0.25">
      <c r="A25324" t="str">
        <f>"3037957"</f>
        <v>3037957</v>
      </c>
      <c r="B25324" t="s">
        <v>76332</v>
      </c>
      <c r="C25324" t="str">
        <f>"8316618"</f>
        <v>8316618</v>
      </c>
      <c r="D25324" t="s">
        <v>76329</v>
      </c>
      <c r="F25324" t="s">
        <v>76330</v>
      </c>
      <c r="I25324" t="s">
        <v>9345</v>
      </c>
      <c r="J25324" t="s">
        <v>30</v>
      </c>
      <c r="K25324" t="s">
        <v>76331</v>
      </c>
      <c r="M25324" t="s">
        <v>25733</v>
      </c>
      <c r="N25324" t="str">
        <f>"4/2/2025 9:22:00 AM"</f>
        <v>4/2/2025 9:22:00 AM</v>
      </c>
      <c r="O25324" t="s">
        <v>76329</v>
      </c>
    </row>
    <row r="25325" spans="1:20" x14ac:dyDescent="0.25">
      <c r="A25325" t="str">
        <f>"3038188"</f>
        <v>3038188</v>
      </c>
      <c r="B25325" t="s">
        <v>76333</v>
      </c>
      <c r="C25325" t="str">
        <f>"49134590"</f>
        <v>49134590</v>
      </c>
      <c r="D25325" t="s">
        <v>76159</v>
      </c>
      <c r="E25325" t="s">
        <v>76160</v>
      </c>
      <c r="F25325" t="s">
        <v>76161</v>
      </c>
      <c r="I25325" t="s">
        <v>29</v>
      </c>
      <c r="J25325" t="s">
        <v>30</v>
      </c>
      <c r="K25325" t="s">
        <v>31</v>
      </c>
      <c r="M25325" t="s">
        <v>50621</v>
      </c>
      <c r="N25325" t="str">
        <f>"4/2/2025 9:53:00 AM"</f>
        <v>4/2/2025 9:53:00 AM</v>
      </c>
      <c r="O25325" t="s">
        <v>76159</v>
      </c>
      <c r="T25325" t="s">
        <v>76160</v>
      </c>
    </row>
    <row r="25326" spans="1:20" x14ac:dyDescent="0.25">
      <c r="A25326" t="str">
        <f>"3060389"</f>
        <v>3060389</v>
      </c>
      <c r="B25326" t="s">
        <v>76334</v>
      </c>
      <c r="C25326" t="str">
        <f>"8302448"</f>
        <v>8302448</v>
      </c>
      <c r="D25326" t="s">
        <v>76335</v>
      </c>
      <c r="E25326" t="s">
        <v>76336</v>
      </c>
      <c r="F25326" t="s">
        <v>76337</v>
      </c>
      <c r="I25326" t="s">
        <v>29</v>
      </c>
      <c r="J25326" t="s">
        <v>30</v>
      </c>
      <c r="K25326" t="s">
        <v>49904</v>
      </c>
      <c r="M25326" t="s">
        <v>50621</v>
      </c>
      <c r="N25326" t="str">
        <f>"4/2/2025 10:11:00 AM"</f>
        <v>4/2/2025 10:11:00 AM</v>
      </c>
      <c r="O25326" t="s">
        <v>76335</v>
      </c>
      <c r="T25326" t="s">
        <v>76336</v>
      </c>
    </row>
    <row r="25327" spans="1:20" x14ac:dyDescent="0.25">
      <c r="A25327" t="str">
        <f>"3055976"</f>
        <v>3055976</v>
      </c>
      <c r="B25327" t="s">
        <v>76338</v>
      </c>
      <c r="C25327" t="str">
        <f>"54675000"</f>
        <v>54675000</v>
      </c>
      <c r="D25327" t="s">
        <v>76339</v>
      </c>
      <c r="E25327" t="s">
        <v>76340</v>
      </c>
      <c r="F25327" t="s">
        <v>76341</v>
      </c>
      <c r="I25327" t="s">
        <v>63564</v>
      </c>
      <c r="J25327" t="s">
        <v>30</v>
      </c>
      <c r="K25327" t="s">
        <v>76342</v>
      </c>
      <c r="M25327" t="s">
        <v>50621</v>
      </c>
      <c r="N25327" t="str">
        <f>"4/2/2025 10:14:00 AM"</f>
        <v>4/2/2025 10:14:00 AM</v>
      </c>
      <c r="O25327" t="s">
        <v>76339</v>
      </c>
      <c r="T25327" t="s">
        <v>76340</v>
      </c>
    </row>
    <row r="25328" spans="1:20" x14ac:dyDescent="0.25">
      <c r="A25328" t="str">
        <f>"3078935"</f>
        <v>3078935</v>
      </c>
      <c r="B25328" t="s">
        <v>76343</v>
      </c>
      <c r="C25328" t="str">
        <f>"57676000"</f>
        <v>57676000</v>
      </c>
      <c r="D25328" t="s">
        <v>76344</v>
      </c>
      <c r="F25328" t="s">
        <v>76345</v>
      </c>
      <c r="I25328" t="s">
        <v>29</v>
      </c>
      <c r="J25328" t="s">
        <v>30</v>
      </c>
      <c r="K25328" t="s">
        <v>36175</v>
      </c>
      <c r="M25328" t="s">
        <v>50621</v>
      </c>
      <c r="N25328" t="str">
        <f>"4/2/2025 11:03:00 AM"</f>
        <v>4/2/2025 11:03:00 AM</v>
      </c>
      <c r="O25328" t="s">
        <v>76344</v>
      </c>
    </row>
    <row r="25329" spans="1:20" x14ac:dyDescent="0.25">
      <c r="A25329" t="str">
        <f>"3057169"</f>
        <v>3057169</v>
      </c>
      <c r="B25329" t="s">
        <v>76346</v>
      </c>
      <c r="C25329" t="str">
        <f>"60132000"</f>
        <v>60132000</v>
      </c>
      <c r="D25329" t="s">
        <v>76347</v>
      </c>
      <c r="F25329" t="s">
        <v>76348</v>
      </c>
      <c r="I25329" t="s">
        <v>9580</v>
      </c>
      <c r="J25329" t="s">
        <v>30</v>
      </c>
      <c r="K25329" t="s">
        <v>76349</v>
      </c>
      <c r="M25329" t="s">
        <v>50621</v>
      </c>
      <c r="N25329" t="str">
        <f>"4/7/2025 12:24:00 PM"</f>
        <v>4/7/2025 12:24:00 PM</v>
      </c>
      <c r="O25329" t="s">
        <v>76347</v>
      </c>
    </row>
    <row r="25330" spans="1:20" x14ac:dyDescent="0.25">
      <c r="A25330" t="str">
        <f>"3057165"</f>
        <v>3057165</v>
      </c>
      <c r="B25330" t="s">
        <v>76350</v>
      </c>
      <c r="C25330" t="str">
        <f>"60132000"</f>
        <v>60132000</v>
      </c>
      <c r="D25330" t="s">
        <v>76347</v>
      </c>
      <c r="F25330" t="s">
        <v>76348</v>
      </c>
      <c r="I25330" t="s">
        <v>9580</v>
      </c>
      <c r="J25330" t="s">
        <v>30</v>
      </c>
      <c r="K25330" t="s">
        <v>76349</v>
      </c>
      <c r="M25330" t="s">
        <v>50621</v>
      </c>
      <c r="N25330" t="str">
        <f>"4/7/2025 12:24:00 PM"</f>
        <v>4/7/2025 12:24:00 PM</v>
      </c>
      <c r="O25330" t="s">
        <v>76347</v>
      </c>
    </row>
    <row r="25331" spans="1:20" x14ac:dyDescent="0.25">
      <c r="A25331" t="str">
        <f>"3059824"</f>
        <v>3059824</v>
      </c>
      <c r="B25331" t="s">
        <v>76351</v>
      </c>
      <c r="C25331" t="str">
        <f>"60132000"</f>
        <v>60132000</v>
      </c>
      <c r="D25331" t="s">
        <v>76347</v>
      </c>
      <c r="F25331" t="s">
        <v>76348</v>
      </c>
      <c r="I25331" t="s">
        <v>9580</v>
      </c>
      <c r="J25331" t="s">
        <v>30</v>
      </c>
      <c r="K25331" t="s">
        <v>76349</v>
      </c>
      <c r="M25331" t="s">
        <v>50621</v>
      </c>
      <c r="N25331" t="str">
        <f>"4/7/2025 12:24:00 PM"</f>
        <v>4/7/2025 12:24:00 PM</v>
      </c>
      <c r="O25331" t="s">
        <v>76347</v>
      </c>
    </row>
    <row r="25332" spans="1:20" x14ac:dyDescent="0.25">
      <c r="A25332" t="str">
        <f>"3041968"</f>
        <v>3041968</v>
      </c>
      <c r="B25332" t="s">
        <v>76352</v>
      </c>
      <c r="C25332" t="str">
        <f>"82521683"</f>
        <v>82521683</v>
      </c>
      <c r="D25332" t="s">
        <v>29129</v>
      </c>
      <c r="E25332" t="s">
        <v>76353</v>
      </c>
      <c r="F25332" t="s">
        <v>66176</v>
      </c>
      <c r="I25332" t="s">
        <v>29</v>
      </c>
      <c r="J25332" t="s">
        <v>30</v>
      </c>
      <c r="K25332" t="s">
        <v>41261</v>
      </c>
      <c r="M25332" t="s">
        <v>50621</v>
      </c>
      <c r="N25332" t="str">
        <f>"4/2/2025 11:15:00 AM"</f>
        <v>4/2/2025 11:15:00 AM</v>
      </c>
      <c r="O25332" t="s">
        <v>29129</v>
      </c>
      <c r="T25332" t="s">
        <v>76353</v>
      </c>
    </row>
    <row r="25333" spans="1:20" x14ac:dyDescent="0.25">
      <c r="A25333" t="str">
        <f>"3038220"</f>
        <v>3038220</v>
      </c>
      <c r="B25333" t="s">
        <v>76354</v>
      </c>
      <c r="C25333" t="str">
        <f>"8308912"</f>
        <v>8308912</v>
      </c>
      <c r="D25333" t="s">
        <v>76355</v>
      </c>
      <c r="F25333" t="s">
        <v>76356</v>
      </c>
      <c r="I25333" t="s">
        <v>29</v>
      </c>
      <c r="J25333" t="s">
        <v>30</v>
      </c>
      <c r="K25333" t="s">
        <v>18030</v>
      </c>
      <c r="M25333" t="s">
        <v>50621</v>
      </c>
      <c r="N25333" t="str">
        <f>"4/2/2025 11:26:00 AM"</f>
        <v>4/2/2025 11:26:00 AM</v>
      </c>
      <c r="O25333" t="s">
        <v>76355</v>
      </c>
    </row>
    <row r="25334" spans="1:20" x14ac:dyDescent="0.25">
      <c r="A25334" t="str">
        <f>"3038952"</f>
        <v>3038952</v>
      </c>
      <c r="B25334" t="s">
        <v>76357</v>
      </c>
      <c r="C25334" t="str">
        <f>"8308912"</f>
        <v>8308912</v>
      </c>
      <c r="D25334" t="s">
        <v>76355</v>
      </c>
      <c r="F25334" t="s">
        <v>76356</v>
      </c>
      <c r="I25334" t="s">
        <v>29</v>
      </c>
      <c r="J25334" t="s">
        <v>30</v>
      </c>
      <c r="K25334" t="s">
        <v>18030</v>
      </c>
      <c r="M25334" t="s">
        <v>50621</v>
      </c>
      <c r="N25334" t="str">
        <f>"4/2/2025 11:26:00 AM"</f>
        <v>4/2/2025 11:26:00 AM</v>
      </c>
      <c r="O25334" t="s">
        <v>76355</v>
      </c>
    </row>
    <row r="25335" spans="1:20" x14ac:dyDescent="0.25">
      <c r="A25335" t="str">
        <f>"3056340"</f>
        <v>3056340</v>
      </c>
      <c r="B25335" t="s">
        <v>76358</v>
      </c>
      <c r="C25335" t="str">
        <f>"8319568"</f>
        <v>8319568</v>
      </c>
      <c r="D25335" t="s">
        <v>76359</v>
      </c>
      <c r="E25335" t="s">
        <v>76360</v>
      </c>
      <c r="F25335" t="s">
        <v>58101</v>
      </c>
      <c r="I25335" t="s">
        <v>9580</v>
      </c>
      <c r="J25335" t="s">
        <v>30</v>
      </c>
      <c r="K25335" t="s">
        <v>58102</v>
      </c>
      <c r="M25335" t="s">
        <v>50621</v>
      </c>
      <c r="N25335" t="str">
        <f>"4/2/2025 11:29:00 AM"</f>
        <v>4/2/2025 11:29:00 AM</v>
      </c>
      <c r="O25335" t="s">
        <v>76359</v>
      </c>
      <c r="T25335" t="s">
        <v>76360</v>
      </c>
    </row>
    <row r="25336" spans="1:20" x14ac:dyDescent="0.25">
      <c r="A25336" t="str">
        <f>"3041234"</f>
        <v>3041234</v>
      </c>
      <c r="B25336" t="s">
        <v>76361</v>
      </c>
      <c r="C25336" t="str">
        <f>"8311228"</f>
        <v>8311228</v>
      </c>
      <c r="D25336" t="s">
        <v>76362</v>
      </c>
      <c r="E25336" t="s">
        <v>76363</v>
      </c>
      <c r="F25336" t="s">
        <v>76364</v>
      </c>
      <c r="I25336" t="s">
        <v>2071</v>
      </c>
      <c r="J25336" t="s">
        <v>30</v>
      </c>
      <c r="K25336" t="s">
        <v>39936</v>
      </c>
      <c r="M25336" t="s">
        <v>50621</v>
      </c>
      <c r="N25336" t="str">
        <f>"4/2/2025 12:25:00 PM"</f>
        <v>4/2/2025 12:25:00 PM</v>
      </c>
      <c r="O25336" t="s">
        <v>76362</v>
      </c>
      <c r="T25336" t="s">
        <v>76363</v>
      </c>
    </row>
    <row r="25337" spans="1:20" x14ac:dyDescent="0.25">
      <c r="A25337" t="str">
        <f>"3056716"</f>
        <v>3056716</v>
      </c>
      <c r="B25337" t="s">
        <v>76365</v>
      </c>
      <c r="C25337" t="str">
        <f>"8314082"</f>
        <v>8314082</v>
      </c>
      <c r="D25337" t="s">
        <v>76366</v>
      </c>
      <c r="F25337" t="s">
        <v>76367</v>
      </c>
      <c r="I25337" t="s">
        <v>29</v>
      </c>
      <c r="J25337" t="s">
        <v>30</v>
      </c>
      <c r="K25337" t="s">
        <v>76368</v>
      </c>
      <c r="M25337" t="s">
        <v>50621</v>
      </c>
      <c r="N25337" t="str">
        <f>"4/8/2025 10:03:00 AM"</f>
        <v>4/8/2025 10:03:00 AM</v>
      </c>
      <c r="O25337" t="s">
        <v>76366</v>
      </c>
    </row>
    <row r="25338" spans="1:20" x14ac:dyDescent="0.25">
      <c r="A25338" t="str">
        <f>"3050142"</f>
        <v>3050142</v>
      </c>
      <c r="B25338" t="s">
        <v>76369</v>
      </c>
      <c r="C25338" t="str">
        <f>"8301257"</f>
        <v>8301257</v>
      </c>
      <c r="D25338" t="s">
        <v>13097</v>
      </c>
      <c r="E25338" t="s">
        <v>76370</v>
      </c>
      <c r="F25338" t="s">
        <v>76181</v>
      </c>
      <c r="I25338" t="s">
        <v>73807</v>
      </c>
      <c r="J25338" t="s">
        <v>40889</v>
      </c>
      <c r="K25338" t="s">
        <v>76182</v>
      </c>
      <c r="M25338" t="s">
        <v>50621</v>
      </c>
      <c r="N25338" t="str">
        <f>"4/8/2025 10:08:00 AM"</f>
        <v>4/8/2025 10:08:00 AM</v>
      </c>
      <c r="O25338" t="s">
        <v>13097</v>
      </c>
      <c r="T25338" t="s">
        <v>76370</v>
      </c>
    </row>
    <row r="25339" spans="1:20" x14ac:dyDescent="0.25">
      <c r="A25339" t="str">
        <f>"3049110"</f>
        <v>3049110</v>
      </c>
      <c r="B25339" t="s">
        <v>76371</v>
      </c>
      <c r="C25339" t="str">
        <f>"8307734"</f>
        <v>8307734</v>
      </c>
      <c r="D25339" t="s">
        <v>76372</v>
      </c>
      <c r="F25339" t="s">
        <v>76373</v>
      </c>
      <c r="I25339" t="s">
        <v>29</v>
      </c>
      <c r="J25339" t="s">
        <v>30</v>
      </c>
      <c r="K25339" t="s">
        <v>11824</v>
      </c>
      <c r="M25339" t="s">
        <v>50500</v>
      </c>
      <c r="N25339" t="str">
        <f>"4/2/2025 2:56:00 PM"</f>
        <v>4/2/2025 2:56:00 PM</v>
      </c>
      <c r="O25339" t="s">
        <v>76372</v>
      </c>
    </row>
    <row r="25340" spans="1:20" x14ac:dyDescent="0.25">
      <c r="A25340" t="str">
        <f>"3054215"</f>
        <v>3054215</v>
      </c>
      <c r="B25340" t="s">
        <v>76374</v>
      </c>
      <c r="C25340" t="str">
        <f>"8303913"</f>
        <v>8303913</v>
      </c>
      <c r="D25340" t="s">
        <v>52472</v>
      </c>
      <c r="F25340" t="s">
        <v>45385</v>
      </c>
      <c r="I25340" t="s">
        <v>184</v>
      </c>
      <c r="J25340" t="s">
        <v>30</v>
      </c>
      <c r="K25340" t="s">
        <v>840</v>
      </c>
      <c r="M25340" t="s">
        <v>50500</v>
      </c>
      <c r="N25340" t="str">
        <f>"4/2/2025 3:36:00 PM"</f>
        <v>4/2/2025 3:36:00 PM</v>
      </c>
      <c r="O25340" t="s">
        <v>52472</v>
      </c>
    </row>
    <row r="25341" spans="1:20" x14ac:dyDescent="0.25">
      <c r="A25341" t="str">
        <f>"3045173"</f>
        <v>3045173</v>
      </c>
      <c r="B25341" t="s">
        <v>76375</v>
      </c>
      <c r="C25341" t="str">
        <f>"82522023"</f>
        <v>82522023</v>
      </c>
      <c r="D25341" t="s">
        <v>76376</v>
      </c>
      <c r="F25341" t="s">
        <v>76377</v>
      </c>
      <c r="I25341" t="s">
        <v>29</v>
      </c>
      <c r="J25341" t="s">
        <v>30</v>
      </c>
      <c r="K25341" t="s">
        <v>9489</v>
      </c>
      <c r="M25341" t="s">
        <v>52111</v>
      </c>
      <c r="N25341" t="str">
        <f>"4/2/2025 4:02:00 PM"</f>
        <v>4/2/2025 4:02:00 PM</v>
      </c>
      <c r="O25341" t="s">
        <v>76376</v>
      </c>
    </row>
    <row r="25342" spans="1:20" x14ac:dyDescent="0.25">
      <c r="A25342" t="str">
        <f>"3045322"</f>
        <v>3045322</v>
      </c>
      <c r="B25342" t="s">
        <v>76378</v>
      </c>
      <c r="C25342" t="str">
        <f>"82522023"</f>
        <v>82522023</v>
      </c>
      <c r="D25342" t="s">
        <v>76376</v>
      </c>
      <c r="F25342" t="s">
        <v>76377</v>
      </c>
      <c r="I25342" t="s">
        <v>29</v>
      </c>
      <c r="J25342" t="s">
        <v>30</v>
      </c>
      <c r="K25342" t="s">
        <v>9489</v>
      </c>
      <c r="M25342" t="s">
        <v>52111</v>
      </c>
      <c r="N25342" t="str">
        <f>"4/2/2025 4:02:00 PM"</f>
        <v>4/2/2025 4:02:00 PM</v>
      </c>
      <c r="O25342" t="s">
        <v>76376</v>
      </c>
    </row>
    <row r="25343" spans="1:20" x14ac:dyDescent="0.25">
      <c r="A25343" t="str">
        <f>"3051714"</f>
        <v>3051714</v>
      </c>
      <c r="B25343" t="s">
        <v>76379</v>
      </c>
      <c r="C25343" t="str">
        <f>"8319805"</f>
        <v>8319805</v>
      </c>
      <c r="D25343" t="s">
        <v>76246</v>
      </c>
      <c r="E25343" t="s">
        <v>76247</v>
      </c>
      <c r="F25343" t="s">
        <v>76248</v>
      </c>
      <c r="I25343" t="s">
        <v>76249</v>
      </c>
      <c r="J25343" t="s">
        <v>3150</v>
      </c>
      <c r="K25343" t="str">
        <f>"46526"</f>
        <v>46526</v>
      </c>
      <c r="M25343" t="s">
        <v>50621</v>
      </c>
      <c r="N25343" t="str">
        <f>"4/3/2025 9:43:00 AM"</f>
        <v>4/3/2025 9:43:00 AM</v>
      </c>
      <c r="O25343" t="s">
        <v>76246</v>
      </c>
      <c r="T25343" t="s">
        <v>76247</v>
      </c>
    </row>
    <row r="25344" spans="1:20" x14ac:dyDescent="0.25">
      <c r="A25344" t="str">
        <f>"3070965"</f>
        <v>3070965</v>
      </c>
      <c r="B25344" t="s">
        <v>76380</v>
      </c>
      <c r="C25344" t="str">
        <f>"82524171"</f>
        <v>82524171</v>
      </c>
      <c r="D25344" t="s">
        <v>76381</v>
      </c>
      <c r="E25344" t="s">
        <v>76382</v>
      </c>
      <c r="F25344" t="s">
        <v>76383</v>
      </c>
      <c r="I25344" t="s">
        <v>184</v>
      </c>
      <c r="J25344" t="s">
        <v>30</v>
      </c>
      <c r="K25344" t="s">
        <v>185</v>
      </c>
      <c r="M25344" t="s">
        <v>50621</v>
      </c>
      <c r="N25344" t="str">
        <f>"4/1/2025 1:33:00 PM"</f>
        <v>4/1/2025 1:33:00 PM</v>
      </c>
      <c r="O25344" t="s">
        <v>76381</v>
      </c>
      <c r="T25344" t="s">
        <v>76382</v>
      </c>
    </row>
    <row r="25345" spans="1:20" x14ac:dyDescent="0.25">
      <c r="A25345" t="str">
        <f>"3062061"</f>
        <v>3062061</v>
      </c>
      <c r="B25345" t="s">
        <v>76384</v>
      </c>
      <c r="C25345" t="str">
        <f>"55932000"</f>
        <v>55932000</v>
      </c>
      <c r="D25345" t="s">
        <v>76138</v>
      </c>
      <c r="F25345" t="s">
        <v>76139</v>
      </c>
      <c r="I25345" t="s">
        <v>29</v>
      </c>
      <c r="J25345" t="s">
        <v>30</v>
      </c>
      <c r="K25345" t="s">
        <v>31</v>
      </c>
      <c r="M25345" t="s">
        <v>50621</v>
      </c>
      <c r="N25345" t="str">
        <f>"4/1/2025 1:37:00 PM"</f>
        <v>4/1/2025 1:37:00 PM</v>
      </c>
      <c r="O25345" t="s">
        <v>76138</v>
      </c>
    </row>
    <row r="25346" spans="1:20" x14ac:dyDescent="0.25">
      <c r="A25346" t="str">
        <f>"3039056"</f>
        <v>3039056</v>
      </c>
      <c r="B25346" t="s">
        <v>76385</v>
      </c>
      <c r="C25346" t="str">
        <f>"8307183"</f>
        <v>8307183</v>
      </c>
      <c r="D25346" t="s">
        <v>76386</v>
      </c>
      <c r="F25346" t="s">
        <v>76387</v>
      </c>
      <c r="I25346" t="s">
        <v>29</v>
      </c>
      <c r="J25346" t="s">
        <v>30</v>
      </c>
      <c r="K25346" t="s">
        <v>1449</v>
      </c>
      <c r="M25346" t="s">
        <v>50621</v>
      </c>
      <c r="N25346" t="str">
        <f>"4/7/2025 10:13:00 AM"</f>
        <v>4/7/2025 10:13:00 AM</v>
      </c>
      <c r="O25346" t="s">
        <v>76386</v>
      </c>
    </row>
    <row r="25347" spans="1:20" x14ac:dyDescent="0.25">
      <c r="A25347" t="str">
        <f>"3070868"</f>
        <v>3070868</v>
      </c>
      <c r="B25347" t="s">
        <v>76388</v>
      </c>
      <c r="C25347" t="str">
        <f>"8304853"</f>
        <v>8304853</v>
      </c>
      <c r="D25347" t="s">
        <v>76389</v>
      </c>
      <c r="F25347" t="s">
        <v>76390</v>
      </c>
      <c r="I25347" t="s">
        <v>64044</v>
      </c>
      <c r="J25347" t="s">
        <v>30</v>
      </c>
      <c r="K25347" t="s">
        <v>76391</v>
      </c>
      <c r="M25347" t="s">
        <v>25625</v>
      </c>
      <c r="N25347" t="str">
        <f>"4/7/2025 11:54:00 AM"</f>
        <v>4/7/2025 11:54:00 AM</v>
      </c>
      <c r="O25347" t="s">
        <v>76389</v>
      </c>
    </row>
    <row r="25348" spans="1:20" x14ac:dyDescent="0.25">
      <c r="A25348" t="str">
        <f>"3043281"</f>
        <v>3043281</v>
      </c>
      <c r="B25348" t="s">
        <v>76392</v>
      </c>
      <c r="C25348" t="str">
        <f>"82515060"</f>
        <v>82515060</v>
      </c>
      <c r="D25348" t="s">
        <v>76393</v>
      </c>
      <c r="F25348" t="s">
        <v>76394</v>
      </c>
      <c r="I25348" t="s">
        <v>29</v>
      </c>
      <c r="J25348" t="s">
        <v>30</v>
      </c>
      <c r="K25348" t="s">
        <v>40267</v>
      </c>
      <c r="M25348" t="s">
        <v>50621</v>
      </c>
      <c r="N25348" t="str">
        <f>"4/8/2025 2:12:00 PM"</f>
        <v>4/8/2025 2:12:00 PM</v>
      </c>
      <c r="O25348" t="s">
        <v>76393</v>
      </c>
    </row>
    <row r="25349" spans="1:20" x14ac:dyDescent="0.25">
      <c r="A25349" t="str">
        <f>"3054674"</f>
        <v>3054674</v>
      </c>
      <c r="B25349" t="s">
        <v>76395</v>
      </c>
      <c r="C25349" t="str">
        <f>"8305538"</f>
        <v>8305538</v>
      </c>
      <c r="D25349" t="s">
        <v>76396</v>
      </c>
      <c r="F25349" t="s">
        <v>75562</v>
      </c>
      <c r="I25349" t="s">
        <v>29</v>
      </c>
      <c r="J25349" t="s">
        <v>30</v>
      </c>
      <c r="K25349" t="str">
        <f>"27028"</f>
        <v>27028</v>
      </c>
      <c r="M25349" t="s">
        <v>50793</v>
      </c>
      <c r="N25349" t="str">
        <f>"4/8/2025 3:01:00 PM"</f>
        <v>4/8/2025 3:01:00 PM</v>
      </c>
      <c r="O25349" t="s">
        <v>76396</v>
      </c>
    </row>
    <row r="25350" spans="1:20" x14ac:dyDescent="0.25">
      <c r="A25350" t="str">
        <f>"3070869"</f>
        <v>3070869</v>
      </c>
      <c r="B25350" t="s">
        <v>76397</v>
      </c>
      <c r="C25350" t="str">
        <f>"8304853"</f>
        <v>8304853</v>
      </c>
      <c r="D25350" t="s">
        <v>76389</v>
      </c>
      <c r="F25350" t="s">
        <v>76390</v>
      </c>
      <c r="I25350" t="s">
        <v>64044</v>
      </c>
      <c r="J25350" t="s">
        <v>30</v>
      </c>
      <c r="K25350" t="s">
        <v>76391</v>
      </c>
      <c r="M25350" t="s">
        <v>25625</v>
      </c>
      <c r="N25350" t="str">
        <f>"4/7/2025 11:54:00 AM"</f>
        <v>4/7/2025 11:54:00 AM</v>
      </c>
      <c r="O25350" t="s">
        <v>76389</v>
      </c>
    </row>
    <row r="25351" spans="1:20" x14ac:dyDescent="0.25">
      <c r="A25351" t="str">
        <f>"3046013"</f>
        <v>3046013</v>
      </c>
      <c r="B25351" t="s">
        <v>76398</v>
      </c>
      <c r="C25351" t="str">
        <f>"59899600"</f>
        <v>59899600</v>
      </c>
      <c r="D25351" t="s">
        <v>69622</v>
      </c>
      <c r="E25351" t="s">
        <v>76399</v>
      </c>
      <c r="F25351" t="s">
        <v>76400</v>
      </c>
      <c r="I25351" t="s">
        <v>184</v>
      </c>
      <c r="J25351" t="s">
        <v>30</v>
      </c>
      <c r="K25351" t="s">
        <v>34338</v>
      </c>
      <c r="M25351" t="s">
        <v>50621</v>
      </c>
      <c r="N25351" t="str">
        <f>"4/7/2025 12:10:00 PM"</f>
        <v>4/7/2025 12:10:00 PM</v>
      </c>
      <c r="O25351" t="s">
        <v>69622</v>
      </c>
      <c r="T25351" t="s">
        <v>76399</v>
      </c>
    </row>
    <row r="25352" spans="1:20" x14ac:dyDescent="0.25">
      <c r="A25352" t="str">
        <f>"3060376"</f>
        <v>3060376</v>
      </c>
      <c r="B25352" t="s">
        <v>76401</v>
      </c>
      <c r="C25352" t="str">
        <f>"8304884"</f>
        <v>8304884</v>
      </c>
      <c r="D25352" t="s">
        <v>76402</v>
      </c>
      <c r="F25352" t="s">
        <v>76403</v>
      </c>
      <c r="I25352" t="s">
        <v>1107</v>
      </c>
      <c r="J25352" t="s">
        <v>30</v>
      </c>
      <c r="K25352" t="s">
        <v>76404</v>
      </c>
      <c r="M25352" t="s">
        <v>50621</v>
      </c>
      <c r="N25352" t="str">
        <f>"4/9/2025 9:10:00 AM"</f>
        <v>4/9/2025 9:10:00 AM</v>
      </c>
      <c r="O25352" t="s">
        <v>76402</v>
      </c>
    </row>
    <row r="25353" spans="1:20" x14ac:dyDescent="0.25">
      <c r="A25353" t="str">
        <f>"3070982"</f>
        <v>3070982</v>
      </c>
      <c r="B25353" t="s">
        <v>76405</v>
      </c>
      <c r="C25353" t="str">
        <f>"8324064"</f>
        <v>8324064</v>
      </c>
      <c r="D25353" t="s">
        <v>76406</v>
      </c>
      <c r="F25353" t="s">
        <v>76407</v>
      </c>
      <c r="I25353" t="s">
        <v>29</v>
      </c>
      <c r="J25353" t="s">
        <v>30</v>
      </c>
      <c r="K25353" t="s">
        <v>10990</v>
      </c>
      <c r="M25353" t="s">
        <v>50500</v>
      </c>
      <c r="N25353" t="str">
        <f>"4/9/2025 9:37:00 AM"</f>
        <v>4/9/2025 9:37:00 AM</v>
      </c>
      <c r="O25353" t="s">
        <v>76406</v>
      </c>
    </row>
    <row r="25354" spans="1:20" x14ac:dyDescent="0.25">
      <c r="A25354" t="str">
        <f>"3040234"</f>
        <v>3040234</v>
      </c>
      <c r="B25354" t="s">
        <v>76408</v>
      </c>
      <c r="C25354" t="str">
        <f>"8312087"</f>
        <v>8312087</v>
      </c>
      <c r="D25354" t="s">
        <v>76409</v>
      </c>
      <c r="E25354" t="s">
        <v>76410</v>
      </c>
      <c r="F25354" t="s">
        <v>76411</v>
      </c>
      <c r="I25354" t="s">
        <v>29</v>
      </c>
      <c r="J25354" t="s">
        <v>30</v>
      </c>
      <c r="K25354" t="str">
        <f>"27028"</f>
        <v>27028</v>
      </c>
      <c r="M25354" t="s">
        <v>25733</v>
      </c>
      <c r="N25354" t="str">
        <f>"4/9/2025 9:45:00 AM"</f>
        <v>4/9/2025 9:45:00 AM</v>
      </c>
      <c r="O25354" t="s">
        <v>76409</v>
      </c>
      <c r="T25354" t="s">
        <v>76410</v>
      </c>
    </row>
    <row r="25355" spans="1:20" x14ac:dyDescent="0.25">
      <c r="A25355" t="str">
        <f>"3040231"</f>
        <v>3040231</v>
      </c>
      <c r="B25355" t="s">
        <v>76412</v>
      </c>
      <c r="C25355" t="str">
        <f>"8312087"</f>
        <v>8312087</v>
      </c>
      <c r="D25355" t="s">
        <v>76409</v>
      </c>
      <c r="E25355" t="s">
        <v>76410</v>
      </c>
      <c r="F25355" t="s">
        <v>76411</v>
      </c>
      <c r="I25355" t="s">
        <v>29</v>
      </c>
      <c r="J25355" t="s">
        <v>30</v>
      </c>
      <c r="K25355" t="str">
        <f>"27028"</f>
        <v>27028</v>
      </c>
      <c r="M25355" t="s">
        <v>25733</v>
      </c>
      <c r="N25355" t="str">
        <f>"4/9/2025 9:45:00 AM"</f>
        <v>4/9/2025 9:45:00 AM</v>
      </c>
      <c r="O25355" t="s">
        <v>76409</v>
      </c>
      <c r="T25355" t="s">
        <v>76410</v>
      </c>
    </row>
    <row r="25356" spans="1:20" x14ac:dyDescent="0.25">
      <c r="A25356" t="str">
        <f>"3048740"</f>
        <v>3048740</v>
      </c>
      <c r="B25356" t="s">
        <v>76413</v>
      </c>
      <c r="C25356" t="str">
        <f>"27463500"</f>
        <v>27463500</v>
      </c>
      <c r="D25356" t="s">
        <v>76414</v>
      </c>
      <c r="F25356" t="str">
        <f>"C/O VALERIA CHUNN"</f>
        <v>C/O VALERIA CHUNN</v>
      </c>
      <c r="G25356" t="s">
        <v>76415</v>
      </c>
      <c r="I25356" t="s">
        <v>29</v>
      </c>
      <c r="J25356" t="s">
        <v>30</v>
      </c>
      <c r="K25356" t="s">
        <v>76416</v>
      </c>
      <c r="M25356" t="s">
        <v>51351</v>
      </c>
      <c r="N25356" t="str">
        <f>"4/9/2025 9:52:00 AM"</f>
        <v>4/9/2025 9:52:00 AM</v>
      </c>
      <c r="O25356" t="s">
        <v>76414</v>
      </c>
    </row>
    <row r="25357" spans="1:20" x14ac:dyDescent="0.25">
      <c r="A25357" t="str">
        <f>"3061800"</f>
        <v>3061800</v>
      </c>
      <c r="B25357" t="s">
        <v>76417</v>
      </c>
      <c r="C25357" t="str">
        <f>"8322891"</f>
        <v>8322891</v>
      </c>
      <c r="D25357" t="s">
        <v>76418</v>
      </c>
      <c r="F25357" t="s">
        <v>76419</v>
      </c>
      <c r="I25357" t="s">
        <v>2071</v>
      </c>
      <c r="J25357" t="s">
        <v>30</v>
      </c>
      <c r="K25357" t="s">
        <v>45717</v>
      </c>
      <c r="M25357" t="s">
        <v>50621</v>
      </c>
      <c r="N25357" t="str">
        <f>"4/9/2025 10:14:00 AM"</f>
        <v>4/9/2025 10:14:00 AM</v>
      </c>
      <c r="O25357" t="s">
        <v>76418</v>
      </c>
    </row>
    <row r="25358" spans="1:20" x14ac:dyDescent="0.25">
      <c r="A25358" t="str">
        <f>"3039647"</f>
        <v>3039647</v>
      </c>
      <c r="B25358" t="s">
        <v>76420</v>
      </c>
      <c r="C25358" t="str">
        <f>"82520719"</f>
        <v>82520719</v>
      </c>
      <c r="D25358" t="s">
        <v>76421</v>
      </c>
      <c r="F25358" t="s">
        <v>76422</v>
      </c>
      <c r="I25358" t="s">
        <v>29</v>
      </c>
      <c r="J25358" t="s">
        <v>30</v>
      </c>
      <c r="K25358" t="s">
        <v>31</v>
      </c>
      <c r="M25358" t="s">
        <v>50621</v>
      </c>
      <c r="N25358" t="str">
        <f>"4/9/2025 10:26:00 AM"</f>
        <v>4/9/2025 10:26:00 AM</v>
      </c>
      <c r="O25358" t="s">
        <v>76421</v>
      </c>
    </row>
    <row r="25359" spans="1:20" x14ac:dyDescent="0.25">
      <c r="A25359" t="str">
        <f>"3055281"</f>
        <v>3055281</v>
      </c>
      <c r="B25359" t="s">
        <v>76423</v>
      </c>
      <c r="C25359" t="str">
        <f>"60098220"</f>
        <v>60098220</v>
      </c>
      <c r="D25359" t="s">
        <v>76424</v>
      </c>
      <c r="F25359" t="s">
        <v>11983</v>
      </c>
      <c r="I25359" t="s">
        <v>25280</v>
      </c>
      <c r="J25359" t="s">
        <v>30</v>
      </c>
      <c r="K25359" t="str">
        <f>"27014"</f>
        <v>27014</v>
      </c>
      <c r="M25359" t="s">
        <v>50621</v>
      </c>
      <c r="N25359" t="str">
        <f>"4/7/2025 12:18:00 PM"</f>
        <v>4/7/2025 12:18:00 PM</v>
      </c>
      <c r="O25359" t="s">
        <v>76424</v>
      </c>
    </row>
    <row r="25360" spans="1:20" x14ac:dyDescent="0.25">
      <c r="A25360" t="str">
        <f>"3057095"</f>
        <v>3057095</v>
      </c>
      <c r="B25360" t="s">
        <v>76425</v>
      </c>
      <c r="C25360" t="str">
        <f>"60132000"</f>
        <v>60132000</v>
      </c>
      <c r="D25360" t="s">
        <v>76347</v>
      </c>
      <c r="F25360" t="s">
        <v>76348</v>
      </c>
      <c r="I25360" t="s">
        <v>9580</v>
      </c>
      <c r="J25360" t="s">
        <v>30</v>
      </c>
      <c r="K25360" t="s">
        <v>76349</v>
      </c>
      <c r="M25360" t="s">
        <v>50621</v>
      </c>
      <c r="N25360" t="str">
        <f>"4/7/2025 12:24:00 PM"</f>
        <v>4/7/2025 12:24:00 PM</v>
      </c>
      <c r="O25360" t="s">
        <v>76347</v>
      </c>
    </row>
    <row r="25361" spans="1:20" x14ac:dyDescent="0.25">
      <c r="A25361" t="str">
        <f>"3057136"</f>
        <v>3057136</v>
      </c>
      <c r="B25361" t="s">
        <v>76426</v>
      </c>
      <c r="C25361" t="str">
        <f>"60132000"</f>
        <v>60132000</v>
      </c>
      <c r="D25361" t="s">
        <v>76347</v>
      </c>
      <c r="F25361" t="s">
        <v>76348</v>
      </c>
      <c r="I25361" t="s">
        <v>9580</v>
      </c>
      <c r="J25361" t="s">
        <v>30</v>
      </c>
      <c r="K25361" t="s">
        <v>76349</v>
      </c>
      <c r="M25361" t="s">
        <v>50621</v>
      </c>
      <c r="N25361" t="str">
        <f>"4/7/2025 12:24:00 PM"</f>
        <v>4/7/2025 12:24:00 PM</v>
      </c>
      <c r="O25361" t="s">
        <v>76347</v>
      </c>
    </row>
    <row r="25362" spans="1:20" x14ac:dyDescent="0.25">
      <c r="A25362" t="str">
        <f>"3054095"</f>
        <v>3054095</v>
      </c>
      <c r="B25362" t="s">
        <v>76427</v>
      </c>
      <c r="C25362" t="str">
        <f>"8310405"</f>
        <v>8310405</v>
      </c>
      <c r="D25362" t="s">
        <v>76428</v>
      </c>
      <c r="F25362" t="s">
        <v>76429</v>
      </c>
      <c r="I25362" t="s">
        <v>29</v>
      </c>
      <c r="J25362" t="s">
        <v>30</v>
      </c>
      <c r="K25362" t="s">
        <v>64547</v>
      </c>
      <c r="M25362" t="s">
        <v>50793</v>
      </c>
      <c r="N25362" t="str">
        <f>"4/7/2025 1:02:00 PM"</f>
        <v>4/7/2025 1:02:00 PM</v>
      </c>
      <c r="O25362" t="s">
        <v>76428</v>
      </c>
    </row>
    <row r="25363" spans="1:20" x14ac:dyDescent="0.25">
      <c r="A25363" t="str">
        <f>"3037177"</f>
        <v>3037177</v>
      </c>
      <c r="B25363" t="s">
        <v>76430</v>
      </c>
      <c r="C25363" t="str">
        <f>"68972000"</f>
        <v>68972000</v>
      </c>
      <c r="D25363" t="s">
        <v>76431</v>
      </c>
      <c r="E25363" t="s">
        <v>76432</v>
      </c>
      <c r="F25363" t="s">
        <v>68072</v>
      </c>
      <c r="I25363" t="s">
        <v>184</v>
      </c>
      <c r="J25363" t="s">
        <v>30</v>
      </c>
      <c r="K25363" t="s">
        <v>34338</v>
      </c>
      <c r="M25363" t="s">
        <v>50621</v>
      </c>
      <c r="N25363" t="str">
        <f>"4/9/2025 10:58:00 AM"</f>
        <v>4/9/2025 10:58:00 AM</v>
      </c>
      <c r="O25363" t="s">
        <v>76431</v>
      </c>
      <c r="T25363" t="s">
        <v>76432</v>
      </c>
    </row>
    <row r="25364" spans="1:20" x14ac:dyDescent="0.25">
      <c r="A25364" t="str">
        <f>"3052348"</f>
        <v>3052348</v>
      </c>
      <c r="B25364" t="s">
        <v>76433</v>
      </c>
      <c r="C25364" t="str">
        <f>"8307235"</f>
        <v>8307235</v>
      </c>
      <c r="D25364" t="s">
        <v>76434</v>
      </c>
      <c r="E25364" t="s">
        <v>76435</v>
      </c>
      <c r="F25364" t="s">
        <v>76436</v>
      </c>
      <c r="I25364" t="s">
        <v>29</v>
      </c>
      <c r="J25364" t="s">
        <v>30</v>
      </c>
      <c r="K25364" t="str">
        <f>"27028"</f>
        <v>27028</v>
      </c>
      <c r="M25364" t="s">
        <v>50621</v>
      </c>
      <c r="N25364" t="str">
        <f>"4/9/2025 11:09:00 AM"</f>
        <v>4/9/2025 11:09:00 AM</v>
      </c>
      <c r="O25364" t="s">
        <v>76434</v>
      </c>
      <c r="T25364" t="s">
        <v>76435</v>
      </c>
    </row>
    <row r="25365" spans="1:20" x14ac:dyDescent="0.25">
      <c r="A25365" t="str">
        <f>"3052866"</f>
        <v>3052866</v>
      </c>
      <c r="B25365" t="s">
        <v>76437</v>
      </c>
      <c r="C25365" t="str">
        <f>"8307235"</f>
        <v>8307235</v>
      </c>
      <c r="D25365" t="s">
        <v>76434</v>
      </c>
      <c r="E25365" t="s">
        <v>76435</v>
      </c>
      <c r="F25365" t="s">
        <v>76436</v>
      </c>
      <c r="I25365" t="s">
        <v>29</v>
      </c>
      <c r="J25365" t="s">
        <v>30</v>
      </c>
      <c r="K25365" t="str">
        <f>"27028"</f>
        <v>27028</v>
      </c>
      <c r="M25365" t="s">
        <v>50621</v>
      </c>
      <c r="N25365" t="str">
        <f>"4/9/2025 11:09:00 AM"</f>
        <v>4/9/2025 11:09:00 AM</v>
      </c>
      <c r="O25365" t="s">
        <v>76434</v>
      </c>
      <c r="T25365" t="s">
        <v>76435</v>
      </c>
    </row>
    <row r="25366" spans="1:20" x14ac:dyDescent="0.25">
      <c r="A25366" t="str">
        <f>"3076870"</f>
        <v>3076870</v>
      </c>
      <c r="B25366" t="s">
        <v>76438</v>
      </c>
      <c r="C25366" t="str">
        <f>"8313106"</f>
        <v>8313106</v>
      </c>
      <c r="D25366" t="s">
        <v>76439</v>
      </c>
      <c r="F25366" t="s">
        <v>76440</v>
      </c>
      <c r="I25366" t="s">
        <v>29</v>
      </c>
      <c r="J25366" t="s">
        <v>30</v>
      </c>
      <c r="K25366" t="s">
        <v>76441</v>
      </c>
      <c r="M25366" t="s">
        <v>50621</v>
      </c>
      <c r="N25366" t="str">
        <f>"4/9/2025 11:12:00 AM"</f>
        <v>4/9/2025 11:12:00 AM</v>
      </c>
      <c r="O25366" t="s">
        <v>76439</v>
      </c>
    </row>
    <row r="25367" spans="1:20" x14ac:dyDescent="0.25">
      <c r="A25367" t="str">
        <f>"3041596"</f>
        <v>3041596</v>
      </c>
      <c r="B25367" t="s">
        <v>76442</v>
      </c>
      <c r="C25367" t="str">
        <f>"82531391"</f>
        <v>82531391</v>
      </c>
      <c r="D25367" t="s">
        <v>76443</v>
      </c>
      <c r="F25367" t="s">
        <v>76444</v>
      </c>
      <c r="I25367" t="s">
        <v>37599</v>
      </c>
      <c r="J25367" t="s">
        <v>30</v>
      </c>
      <c r="K25367" t="s">
        <v>76445</v>
      </c>
      <c r="M25367" t="s">
        <v>50621</v>
      </c>
      <c r="N25367" t="str">
        <f>"4/9/2025 11:22:00 AM"</f>
        <v>4/9/2025 11:22:00 AM</v>
      </c>
      <c r="O25367" t="s">
        <v>76443</v>
      </c>
    </row>
    <row r="25368" spans="1:20" x14ac:dyDescent="0.25">
      <c r="A25368" t="str">
        <f>"3044371"</f>
        <v>3044371</v>
      </c>
      <c r="B25368" t="s">
        <v>76446</v>
      </c>
      <c r="C25368" t="str">
        <f>"8318070"</f>
        <v>8318070</v>
      </c>
      <c r="D25368" t="s">
        <v>76447</v>
      </c>
      <c r="E25368" t="s">
        <v>76448</v>
      </c>
      <c r="F25368" t="s">
        <v>76449</v>
      </c>
      <c r="I25368" t="s">
        <v>184</v>
      </c>
      <c r="J25368" t="s">
        <v>30</v>
      </c>
      <c r="K25368" t="s">
        <v>7514</v>
      </c>
      <c r="M25368" t="s">
        <v>50793</v>
      </c>
      <c r="N25368" t="str">
        <f>"4/7/2025 1:21:00 PM"</f>
        <v>4/7/2025 1:21:00 PM</v>
      </c>
      <c r="O25368" t="s">
        <v>76447</v>
      </c>
      <c r="T25368" t="s">
        <v>76448</v>
      </c>
    </row>
    <row r="25369" spans="1:20" x14ac:dyDescent="0.25">
      <c r="A25369" t="str">
        <f>"3046866"</f>
        <v>3046866</v>
      </c>
      <c r="B25369" t="s">
        <v>76450</v>
      </c>
      <c r="C25369" t="str">
        <f>"62213000"</f>
        <v>62213000</v>
      </c>
      <c r="D25369" t="s">
        <v>76451</v>
      </c>
      <c r="F25369" t="s">
        <v>76452</v>
      </c>
      <c r="I25369" t="s">
        <v>29</v>
      </c>
      <c r="J25369" t="s">
        <v>30</v>
      </c>
      <c r="K25369" t="s">
        <v>19908</v>
      </c>
      <c r="M25369" t="s">
        <v>50621</v>
      </c>
      <c r="N25369" t="str">
        <f>"4/7/2025 2:43:00 PM"</f>
        <v>4/7/2025 2:43:00 PM</v>
      </c>
      <c r="O25369" t="s">
        <v>76451</v>
      </c>
    </row>
    <row r="25370" spans="1:20" x14ac:dyDescent="0.25">
      <c r="A25370" t="str">
        <f>"3059971"</f>
        <v>3059971</v>
      </c>
      <c r="B25370" t="s">
        <v>76453</v>
      </c>
      <c r="C25370" t="str">
        <f>"8306483"</f>
        <v>8306483</v>
      </c>
      <c r="D25370" t="s">
        <v>76454</v>
      </c>
      <c r="E25370" t="str">
        <f>"PIFER PAUL/SUSAN"</f>
        <v>PIFER PAUL/SUSAN</v>
      </c>
      <c r="F25370" t="s">
        <v>76455</v>
      </c>
      <c r="I25370" t="s">
        <v>184</v>
      </c>
      <c r="J25370" t="s">
        <v>30</v>
      </c>
      <c r="K25370" t="str">
        <f>"27006"</f>
        <v>27006</v>
      </c>
      <c r="M25370" t="s">
        <v>25733</v>
      </c>
      <c r="N25370" t="str">
        <f>"4/9/2025 11:55:00 AM"</f>
        <v>4/9/2025 11:55:00 AM</v>
      </c>
      <c r="O25370" t="s">
        <v>76454</v>
      </c>
      <c r="T25370" t="str">
        <f>"PIFER PAUL/SUSAN"</f>
        <v>PIFER PAUL/SUSAN</v>
      </c>
    </row>
    <row r="25371" spans="1:20" x14ac:dyDescent="0.25">
      <c r="A25371" t="str">
        <f>"3064711"</f>
        <v>3064711</v>
      </c>
      <c r="B25371" t="s">
        <v>76456</v>
      </c>
      <c r="C25371" t="str">
        <f>"15012000"</f>
        <v>15012000</v>
      </c>
      <c r="D25371" t="s">
        <v>76457</v>
      </c>
      <c r="E25371" t="s">
        <v>76458</v>
      </c>
      <c r="F25371" t="s">
        <v>76459</v>
      </c>
      <c r="I25371" t="s">
        <v>29</v>
      </c>
      <c r="J25371" t="s">
        <v>30</v>
      </c>
      <c r="K25371" t="s">
        <v>76460</v>
      </c>
      <c r="M25371" t="s">
        <v>50793</v>
      </c>
      <c r="N25371" t="str">
        <f>"4/7/2025 3:08:00 PM"</f>
        <v>4/7/2025 3:08:00 PM</v>
      </c>
      <c r="O25371" t="s">
        <v>76457</v>
      </c>
      <c r="T25371" t="s">
        <v>76458</v>
      </c>
    </row>
    <row r="25372" spans="1:20" x14ac:dyDescent="0.25">
      <c r="A25372" t="str">
        <f>"3070845"</f>
        <v>3070845</v>
      </c>
      <c r="B25372" t="s">
        <v>76461</v>
      </c>
      <c r="C25372" t="str">
        <f>"8314847"</f>
        <v>8314847</v>
      </c>
      <c r="D25372" t="s">
        <v>76462</v>
      </c>
      <c r="E25372" t="s">
        <v>76463</v>
      </c>
      <c r="F25372" t="s">
        <v>76464</v>
      </c>
      <c r="I25372" t="s">
        <v>29</v>
      </c>
      <c r="J25372" t="s">
        <v>30</v>
      </c>
      <c r="K25372" t="s">
        <v>46272</v>
      </c>
      <c r="M25372" t="s">
        <v>25625</v>
      </c>
      <c r="N25372" t="str">
        <f>"4/7/2025 4:12:00 PM"</f>
        <v>4/7/2025 4:12:00 PM</v>
      </c>
      <c r="O25372" t="s">
        <v>76462</v>
      </c>
      <c r="T25372" t="s">
        <v>76463</v>
      </c>
    </row>
    <row r="25373" spans="1:20" x14ac:dyDescent="0.25">
      <c r="A25373" t="str">
        <f>"3040786"</f>
        <v>3040786</v>
      </c>
      <c r="B25373" t="s">
        <v>76465</v>
      </c>
      <c r="C25373" t="str">
        <f>"8321157"</f>
        <v>8321157</v>
      </c>
      <c r="D25373" t="s">
        <v>76466</v>
      </c>
      <c r="E25373" t="s">
        <v>76467</v>
      </c>
      <c r="F25373" t="s">
        <v>76468</v>
      </c>
      <c r="I25373" t="s">
        <v>184</v>
      </c>
      <c r="J25373" t="s">
        <v>30</v>
      </c>
      <c r="K25373" t="str">
        <f>"27006"</f>
        <v>27006</v>
      </c>
      <c r="M25373" t="s">
        <v>25625</v>
      </c>
      <c r="N25373" t="str">
        <f>"4/3/2025 4:05:00 PM"</f>
        <v>4/3/2025 4:05:00 PM</v>
      </c>
      <c r="O25373" t="s">
        <v>76466</v>
      </c>
      <c r="T25373" t="s">
        <v>76467</v>
      </c>
    </row>
    <row r="25374" spans="1:20" x14ac:dyDescent="0.25">
      <c r="A25374" t="str">
        <f>"3054265"</f>
        <v>3054265</v>
      </c>
      <c r="B25374" t="s">
        <v>76469</v>
      </c>
      <c r="C25374" t="str">
        <f>"8316031"</f>
        <v>8316031</v>
      </c>
      <c r="D25374" t="s">
        <v>76470</v>
      </c>
      <c r="F25374" t="s">
        <v>76471</v>
      </c>
      <c r="I25374" t="s">
        <v>29</v>
      </c>
      <c r="J25374" t="s">
        <v>30</v>
      </c>
      <c r="K25374" t="s">
        <v>40861</v>
      </c>
      <c r="M25374" t="s">
        <v>50621</v>
      </c>
      <c r="N25374" t="str">
        <f>"4/9/2025 2:36:00 PM"</f>
        <v>4/9/2025 2:36:00 PM</v>
      </c>
      <c r="O25374" t="s">
        <v>76470</v>
      </c>
    </row>
    <row r="25375" spans="1:20" x14ac:dyDescent="0.25">
      <c r="A25375" t="str">
        <f>"3053211"</f>
        <v>3053211</v>
      </c>
      <c r="B25375" t="s">
        <v>76472</v>
      </c>
      <c r="C25375" t="str">
        <f>"82529156"</f>
        <v>82529156</v>
      </c>
      <c r="D25375" t="s">
        <v>76473</v>
      </c>
      <c r="F25375" t="s">
        <v>76474</v>
      </c>
      <c r="I25375" t="s">
        <v>471</v>
      </c>
      <c r="J25375" t="s">
        <v>30</v>
      </c>
      <c r="K25375" t="s">
        <v>76475</v>
      </c>
      <c r="M25375" t="s">
        <v>50621</v>
      </c>
      <c r="N25375" t="str">
        <f>"4/9/2025 2:40:00 PM"</f>
        <v>4/9/2025 2:40:00 PM</v>
      </c>
      <c r="O25375" t="s">
        <v>76473</v>
      </c>
    </row>
    <row r="25376" spans="1:20" x14ac:dyDescent="0.25">
      <c r="A25376" t="str">
        <f>"3040362"</f>
        <v>3040362</v>
      </c>
      <c r="B25376" t="s">
        <v>76476</v>
      </c>
      <c r="C25376" t="str">
        <f>"8312941"</f>
        <v>8312941</v>
      </c>
      <c r="D25376" t="s">
        <v>76477</v>
      </c>
      <c r="E25376" t="s">
        <v>65819</v>
      </c>
      <c r="F25376" t="s">
        <v>76478</v>
      </c>
      <c r="I25376" t="s">
        <v>471</v>
      </c>
      <c r="J25376" t="s">
        <v>30</v>
      </c>
      <c r="K25376" t="s">
        <v>76479</v>
      </c>
      <c r="M25376" t="s">
        <v>50621</v>
      </c>
      <c r="N25376" t="str">
        <f>"4/9/2025 2:45:00 PM"</f>
        <v>4/9/2025 2:45:00 PM</v>
      </c>
      <c r="O25376" t="s">
        <v>76477</v>
      </c>
      <c r="T25376" t="s">
        <v>65819</v>
      </c>
    </row>
    <row r="25377" spans="1:20" x14ac:dyDescent="0.25">
      <c r="A25377" t="str">
        <f>"3051528"</f>
        <v>3051528</v>
      </c>
      <c r="B25377" t="s">
        <v>76480</v>
      </c>
      <c r="C25377" t="str">
        <f>"8309407"</f>
        <v>8309407</v>
      </c>
      <c r="D25377" t="s">
        <v>76481</v>
      </c>
      <c r="F25377" t="s">
        <v>76482</v>
      </c>
      <c r="I25377" t="s">
        <v>29</v>
      </c>
      <c r="J25377" t="s">
        <v>30</v>
      </c>
      <c r="K25377" t="s">
        <v>41742</v>
      </c>
      <c r="M25377" t="s">
        <v>50621</v>
      </c>
      <c r="N25377" t="str">
        <f>"4/9/2025 2:48:00 PM"</f>
        <v>4/9/2025 2:48:00 PM</v>
      </c>
      <c r="O25377" t="s">
        <v>76481</v>
      </c>
    </row>
    <row r="25378" spans="1:20" x14ac:dyDescent="0.25">
      <c r="A25378" t="str">
        <f>"3056280"</f>
        <v>3056280</v>
      </c>
      <c r="B25378" t="s">
        <v>76483</v>
      </c>
      <c r="C25378" t="str">
        <f>"62247500"</f>
        <v>62247500</v>
      </c>
      <c r="D25378" t="s">
        <v>76484</v>
      </c>
      <c r="F25378" t="s">
        <v>76485</v>
      </c>
      <c r="I25378" t="s">
        <v>964</v>
      </c>
      <c r="J25378" t="s">
        <v>30</v>
      </c>
      <c r="K25378" t="s">
        <v>76486</v>
      </c>
      <c r="M25378" t="s">
        <v>50621</v>
      </c>
      <c r="N25378" t="str">
        <f>"4/9/2025 2:49:00 PM"</f>
        <v>4/9/2025 2:49:00 PM</v>
      </c>
      <c r="O25378" t="s">
        <v>76484</v>
      </c>
    </row>
    <row r="25379" spans="1:20" x14ac:dyDescent="0.25">
      <c r="A25379" t="str">
        <f>"3045649"</f>
        <v>3045649</v>
      </c>
      <c r="B25379" t="s">
        <v>76487</v>
      </c>
      <c r="C25379" t="str">
        <f>"8300651"</f>
        <v>8300651</v>
      </c>
      <c r="D25379" t="s">
        <v>76488</v>
      </c>
      <c r="F25379" t="s">
        <v>76489</v>
      </c>
      <c r="I25379" t="s">
        <v>29</v>
      </c>
      <c r="J25379" t="s">
        <v>30</v>
      </c>
      <c r="K25379" t="s">
        <v>46628</v>
      </c>
      <c r="M25379" t="s">
        <v>50621</v>
      </c>
      <c r="N25379" t="str">
        <f>"4/9/2025 2:51:00 PM"</f>
        <v>4/9/2025 2:51:00 PM</v>
      </c>
      <c r="O25379" t="s">
        <v>76488</v>
      </c>
    </row>
    <row r="25380" spans="1:20" x14ac:dyDescent="0.25">
      <c r="A25380" t="str">
        <f>"3047941"</f>
        <v>3047941</v>
      </c>
      <c r="B25380" t="s">
        <v>76490</v>
      </c>
      <c r="C25380" t="str">
        <f>"8318165"</f>
        <v>8318165</v>
      </c>
      <c r="D25380" t="s">
        <v>76491</v>
      </c>
      <c r="E25380" t="s">
        <v>76492</v>
      </c>
      <c r="F25380" t="s">
        <v>76493</v>
      </c>
      <c r="I25380" t="s">
        <v>184</v>
      </c>
      <c r="J25380" t="s">
        <v>30</v>
      </c>
      <c r="K25380" t="s">
        <v>26967</v>
      </c>
      <c r="M25380" t="s">
        <v>50621</v>
      </c>
      <c r="N25380" t="str">
        <f>"4/9/2025 2:54:00 PM"</f>
        <v>4/9/2025 2:54:00 PM</v>
      </c>
      <c r="O25380" t="s">
        <v>76491</v>
      </c>
      <c r="T25380" t="s">
        <v>76492</v>
      </c>
    </row>
    <row r="25381" spans="1:20" x14ac:dyDescent="0.25">
      <c r="A25381" t="str">
        <f>"3042182"</f>
        <v>3042182</v>
      </c>
      <c r="B25381" t="s">
        <v>76494</v>
      </c>
      <c r="C25381" t="str">
        <f>"8314303"</f>
        <v>8314303</v>
      </c>
      <c r="D25381" t="s">
        <v>76495</v>
      </c>
      <c r="F25381" t="s">
        <v>76496</v>
      </c>
      <c r="I25381" t="s">
        <v>29</v>
      </c>
      <c r="J25381" t="s">
        <v>30</v>
      </c>
      <c r="K25381" t="s">
        <v>11703</v>
      </c>
      <c r="M25381" t="s">
        <v>50621</v>
      </c>
      <c r="N25381" t="str">
        <f>"4/9/2025 2:58:00 PM"</f>
        <v>4/9/2025 2:58:00 PM</v>
      </c>
      <c r="O25381" t="s">
        <v>76495</v>
      </c>
    </row>
    <row r="25382" spans="1:20" x14ac:dyDescent="0.25">
      <c r="A25382" t="str">
        <f>"3040705"</f>
        <v>3040705</v>
      </c>
      <c r="B25382" t="s">
        <v>76497</v>
      </c>
      <c r="C25382" t="str">
        <f>"8321157"</f>
        <v>8321157</v>
      </c>
      <c r="D25382" t="s">
        <v>76466</v>
      </c>
      <c r="E25382" t="s">
        <v>76467</v>
      </c>
      <c r="F25382" t="s">
        <v>76468</v>
      </c>
      <c r="I25382" t="s">
        <v>184</v>
      </c>
      <c r="J25382" t="s">
        <v>30</v>
      </c>
      <c r="K25382" t="str">
        <f>"27006"</f>
        <v>27006</v>
      </c>
      <c r="M25382" t="s">
        <v>25625</v>
      </c>
      <c r="N25382" t="str">
        <f>"4/3/2025 4:05:00 PM"</f>
        <v>4/3/2025 4:05:00 PM</v>
      </c>
      <c r="O25382" t="s">
        <v>76466</v>
      </c>
      <c r="T25382" t="s">
        <v>76467</v>
      </c>
    </row>
    <row r="25383" spans="1:20" x14ac:dyDescent="0.25">
      <c r="A25383" t="str">
        <f>"3057769"</f>
        <v>3057769</v>
      </c>
      <c r="B25383" t="s">
        <v>76498</v>
      </c>
      <c r="C25383" t="str">
        <f>"8317391"</f>
        <v>8317391</v>
      </c>
      <c r="D25383" t="s">
        <v>76499</v>
      </c>
      <c r="F25383" t="s">
        <v>76500</v>
      </c>
      <c r="I25383" t="s">
        <v>184</v>
      </c>
      <c r="J25383" t="s">
        <v>30</v>
      </c>
      <c r="K25383" t="s">
        <v>9271</v>
      </c>
      <c r="M25383" t="s">
        <v>50621</v>
      </c>
      <c r="N25383" t="str">
        <f>"4/7/2025 9:16:00 AM"</f>
        <v>4/7/2025 9:16:00 AM</v>
      </c>
      <c r="O25383" t="s">
        <v>76499</v>
      </c>
    </row>
    <row r="25384" spans="1:20" x14ac:dyDescent="0.25">
      <c r="A25384" t="str">
        <f>"3055832"</f>
        <v>3055832</v>
      </c>
      <c r="B25384" t="s">
        <v>76501</v>
      </c>
      <c r="C25384" t="str">
        <f>"8313023"</f>
        <v>8313023</v>
      </c>
      <c r="D25384" t="s">
        <v>55424</v>
      </c>
      <c r="F25384" t="s">
        <v>76502</v>
      </c>
      <c r="I25384" t="s">
        <v>402</v>
      </c>
      <c r="J25384" t="s">
        <v>30</v>
      </c>
      <c r="K25384" t="s">
        <v>55426</v>
      </c>
      <c r="M25384" t="s">
        <v>50621</v>
      </c>
      <c r="N25384" t="str">
        <f>"4/7/2025 9:45:00 AM"</f>
        <v>4/7/2025 9:45:00 AM</v>
      </c>
      <c r="O25384" t="s">
        <v>55424</v>
      </c>
    </row>
    <row r="25385" spans="1:20" x14ac:dyDescent="0.25">
      <c r="A25385" t="str">
        <f>"3047357"</f>
        <v>3047357</v>
      </c>
      <c r="B25385" t="s">
        <v>76503</v>
      </c>
      <c r="C25385" t="str">
        <f>"82513110"</f>
        <v>82513110</v>
      </c>
      <c r="D25385" t="s">
        <v>76504</v>
      </c>
      <c r="F25385" t="s">
        <v>76505</v>
      </c>
      <c r="I25385" t="s">
        <v>184</v>
      </c>
      <c r="J25385" t="s">
        <v>30</v>
      </c>
      <c r="K25385" t="s">
        <v>66438</v>
      </c>
      <c r="M25385" t="s">
        <v>50621</v>
      </c>
      <c r="N25385" t="str">
        <f>"4/7/2025 9:48:00 AM"</f>
        <v>4/7/2025 9:48:00 AM</v>
      </c>
      <c r="O25385" t="s">
        <v>76504</v>
      </c>
    </row>
    <row r="25386" spans="1:20" x14ac:dyDescent="0.25">
      <c r="A25386" t="str">
        <f>"3043510"</f>
        <v>3043510</v>
      </c>
      <c r="B25386" t="s">
        <v>76506</v>
      </c>
      <c r="C25386" t="str">
        <f>"8302272"</f>
        <v>8302272</v>
      </c>
      <c r="D25386" t="s">
        <v>76507</v>
      </c>
      <c r="F25386" t="s">
        <v>76508</v>
      </c>
      <c r="I25386" t="s">
        <v>29</v>
      </c>
      <c r="J25386" t="s">
        <v>30</v>
      </c>
      <c r="K25386" t="str">
        <f>"27028"</f>
        <v>27028</v>
      </c>
      <c r="M25386" t="s">
        <v>50621</v>
      </c>
      <c r="N25386" t="str">
        <f>"4/8/2025 2:11:00 PM"</f>
        <v>4/8/2025 2:11:00 PM</v>
      </c>
      <c r="O25386" t="s">
        <v>76507</v>
      </c>
    </row>
    <row r="25387" spans="1:20" x14ac:dyDescent="0.25">
      <c r="A25387" t="str">
        <f>"3037912"</f>
        <v>3037912</v>
      </c>
      <c r="B25387" t="s">
        <v>76509</v>
      </c>
      <c r="C25387" t="str">
        <f>"67594000"</f>
        <v>67594000</v>
      </c>
      <c r="D25387" t="s">
        <v>76510</v>
      </c>
      <c r="F25387" t="s">
        <v>75717</v>
      </c>
      <c r="I25387" t="s">
        <v>29</v>
      </c>
      <c r="J25387" t="s">
        <v>30</v>
      </c>
      <c r="K25387" t="s">
        <v>2541</v>
      </c>
      <c r="M25387" t="s">
        <v>50621</v>
      </c>
      <c r="N25387" t="str">
        <f>"4/10/2025 9:53:00 AM"</f>
        <v>4/10/2025 9:53:00 AM</v>
      </c>
      <c r="O25387" t="s">
        <v>76510</v>
      </c>
    </row>
    <row r="25388" spans="1:20" x14ac:dyDescent="0.25">
      <c r="A25388" t="str">
        <f>"3039540"</f>
        <v>3039540</v>
      </c>
      <c r="B25388" t="s">
        <v>76511</v>
      </c>
      <c r="C25388" t="str">
        <f>"82531144"</f>
        <v>82531144</v>
      </c>
      <c r="D25388" t="s">
        <v>76512</v>
      </c>
      <c r="F25388" t="s">
        <v>76513</v>
      </c>
      <c r="I25388" t="s">
        <v>184</v>
      </c>
      <c r="J25388" t="s">
        <v>30</v>
      </c>
      <c r="K25388" t="s">
        <v>185</v>
      </c>
      <c r="M25388" t="s">
        <v>50621</v>
      </c>
      <c r="N25388" t="str">
        <f>"4/10/2025 9:59:00 AM"</f>
        <v>4/10/2025 9:59:00 AM</v>
      </c>
      <c r="O25388" t="s">
        <v>76512</v>
      </c>
    </row>
    <row r="25389" spans="1:20" x14ac:dyDescent="0.25">
      <c r="A25389" t="str">
        <f>"3040482"</f>
        <v>3040482</v>
      </c>
      <c r="B25389" t="s">
        <v>76514</v>
      </c>
      <c r="C25389" t="str">
        <f>"69380000"</f>
        <v>69380000</v>
      </c>
      <c r="D25389" t="s">
        <v>76515</v>
      </c>
      <c r="E25389" t="s">
        <v>76516</v>
      </c>
      <c r="F25389" t="s">
        <v>76517</v>
      </c>
      <c r="I25389" t="s">
        <v>184</v>
      </c>
      <c r="J25389" t="s">
        <v>30</v>
      </c>
      <c r="K25389" t="s">
        <v>185</v>
      </c>
      <c r="M25389" t="s">
        <v>50621</v>
      </c>
      <c r="N25389" t="str">
        <f>"4/10/2025 10:05:00 AM"</f>
        <v>4/10/2025 10:05:00 AM</v>
      </c>
      <c r="O25389" t="s">
        <v>76515</v>
      </c>
      <c r="T25389" t="s">
        <v>76516</v>
      </c>
    </row>
    <row r="25390" spans="1:20" x14ac:dyDescent="0.25">
      <c r="A25390" t="str">
        <f>"3075402"</f>
        <v>3075402</v>
      </c>
      <c r="B25390" t="s">
        <v>76518</v>
      </c>
      <c r="C25390" t="str">
        <f>"82530171"</f>
        <v>82530171</v>
      </c>
      <c r="D25390" t="s">
        <v>8196</v>
      </c>
      <c r="E25390" t="s">
        <v>76519</v>
      </c>
      <c r="F25390" t="s">
        <v>8197</v>
      </c>
      <c r="I25390" t="s">
        <v>29</v>
      </c>
      <c r="J25390" t="s">
        <v>30</v>
      </c>
      <c r="K25390" t="s">
        <v>31</v>
      </c>
      <c r="M25390" t="s">
        <v>32801</v>
      </c>
      <c r="N25390" t="str">
        <f>"4/10/2025 4:14:00 PM"</f>
        <v>4/10/2025 4:14:00 PM</v>
      </c>
      <c r="O25390" t="s">
        <v>8196</v>
      </c>
      <c r="T25390" t="s">
        <v>76519</v>
      </c>
    </row>
    <row r="25391" spans="1:20" x14ac:dyDescent="0.25">
      <c r="A25391" t="str">
        <f>"3058932"</f>
        <v>3058932</v>
      </c>
      <c r="B25391" t="s">
        <v>76520</v>
      </c>
      <c r="C25391" t="str">
        <f>"8319469"</f>
        <v>8319469</v>
      </c>
      <c r="D25391" t="s">
        <v>76521</v>
      </c>
      <c r="F25391" t="s">
        <v>76522</v>
      </c>
      <c r="I25391" t="s">
        <v>184</v>
      </c>
      <c r="J25391" t="s">
        <v>30</v>
      </c>
      <c r="K25391" t="s">
        <v>35136</v>
      </c>
      <c r="M25391" t="s">
        <v>50500</v>
      </c>
      <c r="N25391" t="str">
        <f>"4/11/2025 9:05:00 AM"</f>
        <v>4/11/2025 9:05:00 AM</v>
      </c>
      <c r="O25391" t="s">
        <v>76521</v>
      </c>
    </row>
    <row r="25392" spans="1:20" x14ac:dyDescent="0.25">
      <c r="A25392" t="str">
        <f>"3055076"</f>
        <v>3055076</v>
      </c>
      <c r="B25392" t="s">
        <v>76523</v>
      </c>
      <c r="C25392" t="str">
        <f>"8316636"</f>
        <v>8316636</v>
      </c>
      <c r="D25392" t="s">
        <v>76524</v>
      </c>
      <c r="F25392" t="s">
        <v>76525</v>
      </c>
      <c r="I25392" t="s">
        <v>163</v>
      </c>
      <c r="J25392" t="s">
        <v>30</v>
      </c>
      <c r="K25392" t="str">
        <f>"27284"</f>
        <v>27284</v>
      </c>
      <c r="M25392" t="s">
        <v>50793</v>
      </c>
      <c r="N25392" t="str">
        <f>"4/8/2025 3:13:00 PM"</f>
        <v>4/8/2025 3:13:00 PM</v>
      </c>
      <c r="O25392" t="s">
        <v>76524</v>
      </c>
    </row>
    <row r="25393" spans="1:20" x14ac:dyDescent="0.25">
      <c r="A25393" t="str">
        <f>"3051280"</f>
        <v>3051280</v>
      </c>
      <c r="B25393" t="s">
        <v>76526</v>
      </c>
      <c r="C25393" t="str">
        <f>"8304884"</f>
        <v>8304884</v>
      </c>
      <c r="D25393" t="s">
        <v>76402</v>
      </c>
      <c r="F25393" t="s">
        <v>76403</v>
      </c>
      <c r="I25393" t="s">
        <v>1107</v>
      </c>
      <c r="J25393" t="s">
        <v>30</v>
      </c>
      <c r="K25393" t="s">
        <v>76404</v>
      </c>
      <c r="M25393" t="s">
        <v>50621</v>
      </c>
      <c r="N25393" t="str">
        <f>"4/9/2025 9:10:00 AM"</f>
        <v>4/9/2025 9:10:00 AM</v>
      </c>
      <c r="O25393" t="s">
        <v>76402</v>
      </c>
    </row>
    <row r="25394" spans="1:20" x14ac:dyDescent="0.25">
      <c r="A25394" t="str">
        <f>"3039132"</f>
        <v>3039132</v>
      </c>
      <c r="B25394" t="s">
        <v>76527</v>
      </c>
      <c r="C25394" t="str">
        <f>"67342000"</f>
        <v>67342000</v>
      </c>
      <c r="D25394" t="s">
        <v>76528</v>
      </c>
      <c r="F25394" t="s">
        <v>76529</v>
      </c>
      <c r="I25394" t="s">
        <v>471</v>
      </c>
      <c r="J25394" t="s">
        <v>30</v>
      </c>
      <c r="K25394" t="s">
        <v>76530</v>
      </c>
      <c r="M25394" t="s">
        <v>50621</v>
      </c>
      <c r="N25394" t="str">
        <f>"4/9/2025 10:38:00 AM"</f>
        <v>4/9/2025 10:38:00 AM</v>
      </c>
      <c r="O25394" t="s">
        <v>76528</v>
      </c>
    </row>
    <row r="25395" spans="1:20" x14ac:dyDescent="0.25">
      <c r="A25395" t="str">
        <f>"3048515"</f>
        <v>3048515</v>
      </c>
      <c r="B25395" t="s">
        <v>76531</v>
      </c>
      <c r="C25395" t="str">
        <f>"82531204"</f>
        <v>82531204</v>
      </c>
      <c r="D25395" t="s">
        <v>76532</v>
      </c>
      <c r="E25395" t="s">
        <v>76533</v>
      </c>
      <c r="F25395" t="s">
        <v>76534</v>
      </c>
      <c r="I25395" t="s">
        <v>49</v>
      </c>
      <c r="J25395" t="s">
        <v>30</v>
      </c>
      <c r="K25395" t="s">
        <v>76535</v>
      </c>
      <c r="M25395" t="s">
        <v>50793</v>
      </c>
      <c r="N25395" t="str">
        <f>"4/15/2025 10:33:00 AM"</f>
        <v>4/15/2025 10:33:00 AM</v>
      </c>
      <c r="O25395" t="s">
        <v>76532</v>
      </c>
      <c r="T25395" t="s">
        <v>76533</v>
      </c>
    </row>
    <row r="25396" spans="1:20" x14ac:dyDescent="0.25">
      <c r="A25396" t="str">
        <f>"3047645"</f>
        <v>3047645</v>
      </c>
      <c r="B25396" t="s">
        <v>76536</v>
      </c>
      <c r="C25396" t="str">
        <f>"8311815"</f>
        <v>8311815</v>
      </c>
      <c r="D25396" t="s">
        <v>76537</v>
      </c>
      <c r="F25396" t="s">
        <v>76538</v>
      </c>
      <c r="I25396" t="s">
        <v>184</v>
      </c>
      <c r="J25396" t="s">
        <v>30</v>
      </c>
      <c r="K25396" t="s">
        <v>76539</v>
      </c>
      <c r="M25396" t="s">
        <v>50793</v>
      </c>
      <c r="N25396" t="str">
        <f>"4/15/2025 11:17:00 AM"</f>
        <v>4/15/2025 11:17:00 AM</v>
      </c>
      <c r="O25396" t="s">
        <v>76537</v>
      </c>
    </row>
    <row r="25397" spans="1:20" x14ac:dyDescent="0.25">
      <c r="A25397" t="str">
        <f>"3047663"</f>
        <v>3047663</v>
      </c>
      <c r="B25397" t="s">
        <v>76540</v>
      </c>
      <c r="C25397" t="str">
        <f>"32720000"</f>
        <v>32720000</v>
      </c>
      <c r="D25397" t="s">
        <v>76541</v>
      </c>
      <c r="E25397" t="s">
        <v>76542</v>
      </c>
      <c r="F25397" t="s">
        <v>76543</v>
      </c>
      <c r="I25397" t="s">
        <v>184</v>
      </c>
      <c r="J25397" t="s">
        <v>30</v>
      </c>
      <c r="K25397" t="s">
        <v>185</v>
      </c>
      <c r="M25397" t="s">
        <v>50793</v>
      </c>
      <c r="N25397" t="str">
        <f>"4/15/2025 11:17:00 AM"</f>
        <v>4/15/2025 11:17:00 AM</v>
      </c>
      <c r="O25397" t="s">
        <v>76541</v>
      </c>
      <c r="T25397" t="s">
        <v>76542</v>
      </c>
    </row>
    <row r="25398" spans="1:20" x14ac:dyDescent="0.25">
      <c r="A25398" t="str">
        <f>"3049892"</f>
        <v>3049892</v>
      </c>
      <c r="B25398" t="s">
        <v>76544</v>
      </c>
      <c r="C25398" t="str">
        <f>"8302705"</f>
        <v>8302705</v>
      </c>
      <c r="D25398" t="s">
        <v>36238</v>
      </c>
      <c r="F25398" t="s">
        <v>76545</v>
      </c>
      <c r="I25398" t="s">
        <v>29</v>
      </c>
      <c r="J25398" t="s">
        <v>30</v>
      </c>
      <c r="K25398" t="str">
        <f>"27028"</f>
        <v>27028</v>
      </c>
      <c r="M25398" t="s">
        <v>50793</v>
      </c>
      <c r="N25398" t="str">
        <f>"4/15/2025 11:31:00 AM"</f>
        <v>4/15/2025 11:31:00 AM</v>
      </c>
      <c r="O25398" t="s">
        <v>36238</v>
      </c>
    </row>
    <row r="25399" spans="1:20" x14ac:dyDescent="0.25">
      <c r="A25399" t="str">
        <f>"3062278"</f>
        <v>3062278</v>
      </c>
      <c r="B25399" t="s">
        <v>76546</v>
      </c>
      <c r="C25399" t="str">
        <f>"8309692"</f>
        <v>8309692</v>
      </c>
      <c r="D25399" t="s">
        <v>76547</v>
      </c>
      <c r="F25399" t="s">
        <v>76548</v>
      </c>
      <c r="I25399" t="s">
        <v>29</v>
      </c>
      <c r="J25399" t="s">
        <v>30</v>
      </c>
      <c r="K25399" t="s">
        <v>66247</v>
      </c>
      <c r="M25399" t="s">
        <v>50793</v>
      </c>
      <c r="N25399" t="str">
        <f>"4/15/2025 11:40:00 AM"</f>
        <v>4/15/2025 11:40:00 AM</v>
      </c>
      <c r="O25399" t="s">
        <v>76547</v>
      </c>
    </row>
    <row r="25400" spans="1:20" x14ac:dyDescent="0.25">
      <c r="A25400" t="str">
        <f>"3052468"</f>
        <v>3052468</v>
      </c>
      <c r="B25400" t="s">
        <v>76549</v>
      </c>
      <c r="C25400" t="str">
        <f>"33222000"</f>
        <v>33222000</v>
      </c>
      <c r="D25400" t="s">
        <v>76550</v>
      </c>
      <c r="E25400" t="s">
        <v>76551</v>
      </c>
      <c r="F25400" t="s">
        <v>76552</v>
      </c>
      <c r="I25400" t="s">
        <v>29</v>
      </c>
      <c r="J25400" t="s">
        <v>30</v>
      </c>
      <c r="K25400" t="s">
        <v>31</v>
      </c>
      <c r="M25400" t="s">
        <v>50793</v>
      </c>
      <c r="N25400" t="str">
        <f>"4/15/2025 11:45:00 AM"</f>
        <v>4/15/2025 11:45:00 AM</v>
      </c>
      <c r="O25400" t="s">
        <v>76550</v>
      </c>
      <c r="T25400" t="s">
        <v>76551</v>
      </c>
    </row>
    <row r="25401" spans="1:20" x14ac:dyDescent="0.25">
      <c r="A25401" t="str">
        <f>"3037873"</f>
        <v>3037873</v>
      </c>
      <c r="B25401" t="s">
        <v>76553</v>
      </c>
      <c r="C25401" t="str">
        <f>"67342000"</f>
        <v>67342000</v>
      </c>
      <c r="D25401" t="s">
        <v>76528</v>
      </c>
      <c r="F25401" t="s">
        <v>76529</v>
      </c>
      <c r="I25401" t="s">
        <v>471</v>
      </c>
      <c r="J25401" t="s">
        <v>30</v>
      </c>
      <c r="K25401" t="s">
        <v>76530</v>
      </c>
      <c r="M25401" t="s">
        <v>50621</v>
      </c>
      <c r="N25401" t="str">
        <f>"4/9/2025 10:38:00 AM"</f>
        <v>4/9/2025 10:38:00 AM</v>
      </c>
      <c r="O25401" t="s">
        <v>76528</v>
      </c>
    </row>
    <row r="25402" spans="1:20" x14ac:dyDescent="0.25">
      <c r="A25402" t="str">
        <f>"3038115"</f>
        <v>3038115</v>
      </c>
      <c r="B25402" t="s">
        <v>76554</v>
      </c>
      <c r="C25402" t="str">
        <f>"67342000"</f>
        <v>67342000</v>
      </c>
      <c r="D25402" t="s">
        <v>76528</v>
      </c>
      <c r="F25402" t="s">
        <v>76529</v>
      </c>
      <c r="I25402" t="s">
        <v>471</v>
      </c>
      <c r="J25402" t="s">
        <v>30</v>
      </c>
      <c r="K25402" t="s">
        <v>76530</v>
      </c>
      <c r="M25402" t="s">
        <v>50621</v>
      </c>
      <c r="N25402" t="str">
        <f>"4/9/2025 10:38:00 AM"</f>
        <v>4/9/2025 10:38:00 AM</v>
      </c>
      <c r="O25402" t="s">
        <v>76528</v>
      </c>
    </row>
    <row r="25403" spans="1:20" x14ac:dyDescent="0.25">
      <c r="A25403" t="str">
        <f>"3045844"</f>
        <v>3045844</v>
      </c>
      <c r="B25403" t="s">
        <v>76555</v>
      </c>
      <c r="C25403" t="str">
        <f>"8313145"</f>
        <v>8313145</v>
      </c>
      <c r="D25403" t="s">
        <v>76556</v>
      </c>
      <c r="F25403" t="s">
        <v>76557</v>
      </c>
      <c r="I25403" t="s">
        <v>29</v>
      </c>
      <c r="J25403" t="s">
        <v>30</v>
      </c>
      <c r="K25403" t="s">
        <v>76558</v>
      </c>
      <c r="M25403" t="s">
        <v>50621</v>
      </c>
      <c r="N25403" t="str">
        <f>"4/9/2025 10:51:00 AM"</f>
        <v>4/9/2025 10:51:00 AM</v>
      </c>
      <c r="O25403" t="s">
        <v>76556</v>
      </c>
    </row>
    <row r="25404" spans="1:20" x14ac:dyDescent="0.25">
      <c r="A25404" t="str">
        <f>"3047325"</f>
        <v>3047325</v>
      </c>
      <c r="B25404" t="s">
        <v>76559</v>
      </c>
      <c r="C25404" t="str">
        <f>"8315266"</f>
        <v>8315266</v>
      </c>
      <c r="D25404" t="s">
        <v>76560</v>
      </c>
      <c r="F25404" t="s">
        <v>76561</v>
      </c>
      <c r="I25404" t="s">
        <v>471</v>
      </c>
      <c r="J25404" t="s">
        <v>30</v>
      </c>
      <c r="K25404" t="s">
        <v>76562</v>
      </c>
      <c r="M25404" t="s">
        <v>50621</v>
      </c>
      <c r="N25404" t="str">
        <f>"4/9/2025 11:25:00 AM"</f>
        <v>4/9/2025 11:25:00 AM</v>
      </c>
      <c r="O25404" t="s">
        <v>76560</v>
      </c>
    </row>
    <row r="25405" spans="1:20" x14ac:dyDescent="0.25">
      <c r="A25405" t="str">
        <f>"3049675"</f>
        <v>3049675</v>
      </c>
      <c r="B25405" t="s">
        <v>76563</v>
      </c>
      <c r="C25405" t="str">
        <f>"8319183"</f>
        <v>8319183</v>
      </c>
      <c r="D25405" t="s">
        <v>76564</v>
      </c>
      <c r="E25405" t="s">
        <v>76565</v>
      </c>
      <c r="F25405" t="s">
        <v>76566</v>
      </c>
      <c r="I25405" t="s">
        <v>17921</v>
      </c>
      <c r="J25405" t="s">
        <v>30</v>
      </c>
      <c r="K25405" t="s">
        <v>13959</v>
      </c>
      <c r="M25405" t="s">
        <v>50793</v>
      </c>
      <c r="N25405" t="str">
        <f>"4/15/2025 1:54:00 PM"</f>
        <v>4/15/2025 1:54:00 PM</v>
      </c>
      <c r="O25405" t="s">
        <v>76564</v>
      </c>
      <c r="T25405" t="s">
        <v>76565</v>
      </c>
    </row>
    <row r="25406" spans="1:20" x14ac:dyDescent="0.25">
      <c r="A25406" t="str">
        <f>"3053534"</f>
        <v>3053534</v>
      </c>
      <c r="B25406" t="s">
        <v>76567</v>
      </c>
      <c r="C25406" t="str">
        <f>"8318097"</f>
        <v>8318097</v>
      </c>
      <c r="D25406" t="s">
        <v>76568</v>
      </c>
      <c r="E25406" t="s">
        <v>76569</v>
      </c>
      <c r="F25406" t="s">
        <v>76570</v>
      </c>
      <c r="I25406" t="s">
        <v>29</v>
      </c>
      <c r="J25406" t="s">
        <v>30</v>
      </c>
      <c r="K25406" t="s">
        <v>22691</v>
      </c>
      <c r="M25406" t="s">
        <v>50793</v>
      </c>
      <c r="N25406" t="str">
        <f>"4/15/2025 2:02:00 PM"</f>
        <v>4/15/2025 2:02:00 PM</v>
      </c>
      <c r="O25406" t="s">
        <v>76568</v>
      </c>
      <c r="T25406" t="s">
        <v>76569</v>
      </c>
    </row>
    <row r="25407" spans="1:20" x14ac:dyDescent="0.25">
      <c r="A25407" t="str">
        <f>"3039079"</f>
        <v>3039079</v>
      </c>
      <c r="B25407" t="s">
        <v>76571</v>
      </c>
      <c r="C25407" t="str">
        <f>"82515714"</f>
        <v>82515714</v>
      </c>
      <c r="D25407" t="s">
        <v>76572</v>
      </c>
      <c r="E25407" t="s">
        <v>76573</v>
      </c>
      <c r="F25407" t="s">
        <v>76574</v>
      </c>
      <c r="I25407" t="s">
        <v>402</v>
      </c>
      <c r="J25407" t="s">
        <v>30</v>
      </c>
      <c r="K25407" t="s">
        <v>76575</v>
      </c>
      <c r="M25407" t="s">
        <v>50793</v>
      </c>
      <c r="N25407" t="str">
        <f>"4/15/2025 2:07:00 PM"</f>
        <v>4/15/2025 2:07:00 PM</v>
      </c>
      <c r="O25407" t="s">
        <v>76572</v>
      </c>
      <c r="T25407" t="s">
        <v>76573</v>
      </c>
    </row>
    <row r="25408" spans="1:20" x14ac:dyDescent="0.25">
      <c r="A25408" t="str">
        <f>"3053666"</f>
        <v>3053666</v>
      </c>
      <c r="B25408" t="s">
        <v>76576</v>
      </c>
      <c r="C25408" t="str">
        <f>"8303597"</f>
        <v>8303597</v>
      </c>
      <c r="D25408" t="s">
        <v>76577</v>
      </c>
      <c r="E25408" t="s">
        <v>76578</v>
      </c>
      <c r="F25408" t="s">
        <v>76579</v>
      </c>
      <c r="I25408" t="s">
        <v>29</v>
      </c>
      <c r="J25408" t="s">
        <v>30</v>
      </c>
      <c r="K25408" t="str">
        <f>"27028"</f>
        <v>27028</v>
      </c>
      <c r="M25408" t="s">
        <v>50793</v>
      </c>
      <c r="N25408" t="str">
        <f>"4/15/2025 2:14:00 PM"</f>
        <v>4/15/2025 2:14:00 PM</v>
      </c>
      <c r="O25408" t="s">
        <v>76577</v>
      </c>
      <c r="T25408" t="s">
        <v>76578</v>
      </c>
    </row>
    <row r="25409" spans="1:20" x14ac:dyDescent="0.25">
      <c r="A25409" t="str">
        <f>"3038538"</f>
        <v>3038538</v>
      </c>
      <c r="B25409" t="s">
        <v>76580</v>
      </c>
      <c r="C25409" t="str">
        <f>"8311127"</f>
        <v>8311127</v>
      </c>
      <c r="D25409" t="s">
        <v>76581</v>
      </c>
      <c r="F25409" t="s">
        <v>76582</v>
      </c>
      <c r="I25409" t="s">
        <v>17921</v>
      </c>
      <c r="J25409" t="s">
        <v>30</v>
      </c>
      <c r="K25409" t="str">
        <f>"27028"</f>
        <v>27028</v>
      </c>
      <c r="M25409" t="s">
        <v>50793</v>
      </c>
      <c r="N25409" t="str">
        <f>"4/15/2025 2:22:00 PM"</f>
        <v>4/15/2025 2:22:00 PM</v>
      </c>
      <c r="O25409" t="s">
        <v>76581</v>
      </c>
    </row>
    <row r="25410" spans="1:20" x14ac:dyDescent="0.25">
      <c r="A25410" t="str">
        <f>"3055429"</f>
        <v>3055429</v>
      </c>
      <c r="B25410" t="s">
        <v>76583</v>
      </c>
      <c r="C25410" t="str">
        <f>"8308601"</f>
        <v>8308601</v>
      </c>
      <c r="D25410" t="s">
        <v>64866</v>
      </c>
      <c r="E25410" t="s">
        <v>64865</v>
      </c>
      <c r="F25410" t="s">
        <v>76584</v>
      </c>
      <c r="I25410" t="s">
        <v>24359</v>
      </c>
      <c r="J25410" t="s">
        <v>30</v>
      </c>
      <c r="K25410" t="s">
        <v>76585</v>
      </c>
      <c r="M25410" t="s">
        <v>50793</v>
      </c>
      <c r="N25410" t="str">
        <f>"4/15/2025 2:29:00 PM"</f>
        <v>4/15/2025 2:29:00 PM</v>
      </c>
      <c r="O25410" t="s">
        <v>64866</v>
      </c>
      <c r="T25410" t="s">
        <v>64865</v>
      </c>
    </row>
    <row r="25411" spans="1:20" x14ac:dyDescent="0.25">
      <c r="A25411" t="str">
        <f>"3054738"</f>
        <v>3054738</v>
      </c>
      <c r="B25411" t="s">
        <v>76586</v>
      </c>
      <c r="C25411" t="str">
        <f>"8308601"</f>
        <v>8308601</v>
      </c>
      <c r="D25411" t="s">
        <v>64866</v>
      </c>
      <c r="E25411" t="s">
        <v>64865</v>
      </c>
      <c r="F25411" t="s">
        <v>76584</v>
      </c>
      <c r="I25411" t="s">
        <v>24359</v>
      </c>
      <c r="J25411" t="s">
        <v>30</v>
      </c>
      <c r="K25411" t="s">
        <v>76585</v>
      </c>
      <c r="M25411" t="s">
        <v>50793</v>
      </c>
      <c r="N25411" t="str">
        <f>"4/15/2025 2:29:00 PM"</f>
        <v>4/15/2025 2:29:00 PM</v>
      </c>
      <c r="O25411" t="s">
        <v>64866</v>
      </c>
      <c r="T25411" t="s">
        <v>64865</v>
      </c>
    </row>
    <row r="25412" spans="1:20" x14ac:dyDescent="0.25">
      <c r="A25412" t="str">
        <f>"3042788"</f>
        <v>3042788</v>
      </c>
      <c r="B25412" t="s">
        <v>76587</v>
      </c>
      <c r="C25412" t="str">
        <f>"82531610"</f>
        <v>82531610</v>
      </c>
      <c r="D25412" t="s">
        <v>76588</v>
      </c>
      <c r="E25412" t="s">
        <v>76589</v>
      </c>
      <c r="F25412" t="s">
        <v>76590</v>
      </c>
      <c r="I25412" t="s">
        <v>29</v>
      </c>
      <c r="J25412" t="s">
        <v>30</v>
      </c>
      <c r="K25412" t="s">
        <v>31</v>
      </c>
      <c r="M25412" t="s">
        <v>25733</v>
      </c>
      <c r="N25412" t="str">
        <f>"4/9/2025 11:55:00 AM"</f>
        <v>4/9/2025 11:55:00 AM</v>
      </c>
      <c r="O25412" t="s">
        <v>76588</v>
      </c>
      <c r="T25412" t="s">
        <v>76589</v>
      </c>
    </row>
    <row r="25413" spans="1:20" x14ac:dyDescent="0.25">
      <c r="A25413" t="str">
        <f>"3056940"</f>
        <v>3056940</v>
      </c>
      <c r="B25413" t="s">
        <v>76591</v>
      </c>
      <c r="C25413" t="str">
        <f>"82532273"</f>
        <v>82532273</v>
      </c>
      <c r="D25413" t="s">
        <v>76592</v>
      </c>
      <c r="F25413" t="s">
        <v>46802</v>
      </c>
      <c r="I25413" t="s">
        <v>29</v>
      </c>
      <c r="J25413" t="s">
        <v>30</v>
      </c>
      <c r="K25413" t="s">
        <v>63524</v>
      </c>
      <c r="M25413" t="s">
        <v>51351</v>
      </c>
      <c r="N25413" t="str">
        <f>"4/9/2025 12:33:00 PM"</f>
        <v>4/9/2025 12:33:00 PM</v>
      </c>
      <c r="O25413" t="s">
        <v>76592</v>
      </c>
    </row>
    <row r="25414" spans="1:20" x14ac:dyDescent="0.25">
      <c r="A25414" t="str">
        <f>"3071072"</f>
        <v>3071072</v>
      </c>
      <c r="B25414" t="s">
        <v>76593</v>
      </c>
      <c r="C25414" t="str">
        <f>"8324065"</f>
        <v>8324065</v>
      </c>
      <c r="D25414" t="s">
        <v>76594</v>
      </c>
      <c r="F25414" t="s">
        <v>76595</v>
      </c>
      <c r="I25414" t="s">
        <v>29</v>
      </c>
      <c r="J25414" t="s">
        <v>30</v>
      </c>
      <c r="K25414" t="s">
        <v>47425</v>
      </c>
      <c r="M25414" t="s">
        <v>50500</v>
      </c>
      <c r="N25414" t="str">
        <f>"4/9/2025 2:27:00 PM"</f>
        <v>4/9/2025 2:27:00 PM</v>
      </c>
      <c r="O25414" t="s">
        <v>76594</v>
      </c>
    </row>
    <row r="25415" spans="1:20" x14ac:dyDescent="0.25">
      <c r="A25415" t="str">
        <f>"3056763"</f>
        <v>3056763</v>
      </c>
      <c r="B25415" t="s">
        <v>76596</v>
      </c>
      <c r="C25415" t="str">
        <f>"82522555"</f>
        <v>82522555</v>
      </c>
      <c r="D25415" t="s">
        <v>76597</v>
      </c>
      <c r="E25415" t="str">
        <f>"C/O CALVIN HOSCH"</f>
        <v>C/O CALVIN HOSCH</v>
      </c>
      <c r="F25415" t="s">
        <v>58216</v>
      </c>
      <c r="I25415" t="s">
        <v>964</v>
      </c>
      <c r="J25415" t="s">
        <v>30</v>
      </c>
      <c r="K25415" t="s">
        <v>11521</v>
      </c>
      <c r="M25415" t="s">
        <v>50621</v>
      </c>
      <c r="N25415" t="str">
        <f>"4/9/2025 2:34:00 PM"</f>
        <v>4/9/2025 2:34:00 PM</v>
      </c>
      <c r="O25415" t="s">
        <v>76597</v>
      </c>
      <c r="T25415" t="str">
        <f>"C/O CALVIN HOSCH"</f>
        <v>C/O CALVIN HOSCH</v>
      </c>
    </row>
    <row r="25416" spans="1:20" x14ac:dyDescent="0.25">
      <c r="A25416" t="str">
        <f>"3043303"</f>
        <v>3043303</v>
      </c>
      <c r="B25416" t="s">
        <v>76598</v>
      </c>
      <c r="C25416" t="str">
        <f>"8312552"</f>
        <v>8312552</v>
      </c>
      <c r="D25416" t="s">
        <v>76599</v>
      </c>
      <c r="F25416" t="s">
        <v>76600</v>
      </c>
      <c r="I25416" t="s">
        <v>29</v>
      </c>
      <c r="J25416" t="s">
        <v>30</v>
      </c>
      <c r="K25416" t="s">
        <v>21544</v>
      </c>
      <c r="M25416" t="s">
        <v>50621</v>
      </c>
      <c r="N25416" t="str">
        <f>"4/8/2025 10:43:00 AM"</f>
        <v>4/8/2025 10:43:00 AM</v>
      </c>
      <c r="O25416" t="s">
        <v>76599</v>
      </c>
    </row>
    <row r="25417" spans="1:20" x14ac:dyDescent="0.25">
      <c r="A25417" t="str">
        <f>"3055768"</f>
        <v>3055768</v>
      </c>
      <c r="B25417" t="s">
        <v>76601</v>
      </c>
      <c r="C25417" t="str">
        <f>"8320236"</f>
        <v>8320236</v>
      </c>
      <c r="D25417" t="s">
        <v>76602</v>
      </c>
      <c r="E25417" t="s">
        <v>76603</v>
      </c>
      <c r="F25417" t="s">
        <v>76604</v>
      </c>
      <c r="I25417" t="s">
        <v>471</v>
      </c>
      <c r="J25417" t="s">
        <v>30</v>
      </c>
      <c r="K25417" t="s">
        <v>76605</v>
      </c>
      <c r="M25417" t="s">
        <v>50793</v>
      </c>
      <c r="N25417" t="str">
        <f>"4/16/2025 9:37:00 AM"</f>
        <v>4/16/2025 9:37:00 AM</v>
      </c>
      <c r="O25417" t="s">
        <v>76602</v>
      </c>
      <c r="T25417" t="s">
        <v>76603</v>
      </c>
    </row>
    <row r="25418" spans="1:20" x14ac:dyDescent="0.25">
      <c r="A25418" t="str">
        <f>"3040004"</f>
        <v>3040004</v>
      </c>
      <c r="B25418" t="s">
        <v>76606</v>
      </c>
      <c r="C25418" t="str">
        <f>"8317815"</f>
        <v>8317815</v>
      </c>
      <c r="D25418" t="s">
        <v>76607</v>
      </c>
      <c r="E25418" t="s">
        <v>76608</v>
      </c>
      <c r="F25418" t="s">
        <v>56127</v>
      </c>
      <c r="I25418" t="s">
        <v>29</v>
      </c>
      <c r="J25418" t="s">
        <v>30</v>
      </c>
      <c r="K25418" t="s">
        <v>2381</v>
      </c>
      <c r="M25418" t="s">
        <v>50793</v>
      </c>
      <c r="N25418" t="str">
        <f>"4/16/2025 10:04:00 AM"</f>
        <v>4/16/2025 10:04:00 AM</v>
      </c>
      <c r="O25418" t="s">
        <v>76607</v>
      </c>
      <c r="T25418" t="s">
        <v>76608</v>
      </c>
    </row>
    <row r="25419" spans="1:20" x14ac:dyDescent="0.25">
      <c r="A25419" t="str">
        <f>"3042025"</f>
        <v>3042025</v>
      </c>
      <c r="B25419" t="s">
        <v>76609</v>
      </c>
      <c r="C25419" t="str">
        <f>"8301097"</f>
        <v>8301097</v>
      </c>
      <c r="D25419" t="s">
        <v>76610</v>
      </c>
      <c r="F25419" t="s">
        <v>76611</v>
      </c>
      <c r="I25419" t="s">
        <v>29</v>
      </c>
      <c r="J25419" t="s">
        <v>30</v>
      </c>
      <c r="K25419" t="s">
        <v>71949</v>
      </c>
      <c r="M25419" t="s">
        <v>50621</v>
      </c>
      <c r="N25419" t="str">
        <f>"4/8/2025 10:47:00 AM"</f>
        <v>4/8/2025 10:47:00 AM</v>
      </c>
      <c r="O25419" t="s">
        <v>76610</v>
      </c>
    </row>
    <row r="25420" spans="1:20" x14ac:dyDescent="0.25">
      <c r="A25420" t="str">
        <f>"3050676"</f>
        <v>3050676</v>
      </c>
      <c r="B25420" t="s">
        <v>76612</v>
      </c>
      <c r="C25420" t="str">
        <f>"82516431"</f>
        <v>82516431</v>
      </c>
      <c r="D25420" t="s">
        <v>76613</v>
      </c>
      <c r="F25420" t="str">
        <f>"C/O MELISSA SMITH BOAN"</f>
        <v>C/O MELISSA SMITH BOAN</v>
      </c>
      <c r="G25420" t="s">
        <v>76614</v>
      </c>
      <c r="I25420" t="s">
        <v>184</v>
      </c>
      <c r="J25420" t="s">
        <v>30</v>
      </c>
      <c r="K25420" t="s">
        <v>12441</v>
      </c>
      <c r="M25420" t="s">
        <v>50621</v>
      </c>
      <c r="N25420" t="str">
        <f>"4/8/2025 11:15:00 AM"</f>
        <v>4/8/2025 11:15:00 AM</v>
      </c>
      <c r="O25420" t="s">
        <v>76613</v>
      </c>
    </row>
    <row r="25421" spans="1:20" x14ac:dyDescent="0.25">
      <c r="A25421" t="str">
        <f>"3042043"</f>
        <v>3042043</v>
      </c>
      <c r="B25421" t="s">
        <v>76615</v>
      </c>
      <c r="C25421" t="str">
        <f>"63422500"</f>
        <v>63422500</v>
      </c>
      <c r="D25421" t="s">
        <v>76616</v>
      </c>
      <c r="E25421" t="s">
        <v>76617</v>
      </c>
      <c r="F25421" t="s">
        <v>76618</v>
      </c>
      <c r="I25421" t="s">
        <v>29</v>
      </c>
      <c r="J25421" t="s">
        <v>30</v>
      </c>
      <c r="K25421" t="s">
        <v>31</v>
      </c>
      <c r="M25421" t="s">
        <v>50621</v>
      </c>
      <c r="N25421" t="str">
        <f>"4/8/2025 11:27:00 AM"</f>
        <v>4/8/2025 11:27:00 AM</v>
      </c>
      <c r="O25421" t="s">
        <v>76616</v>
      </c>
      <c r="T25421" t="s">
        <v>76617</v>
      </c>
    </row>
    <row r="25422" spans="1:20" x14ac:dyDescent="0.25">
      <c r="A25422" t="str">
        <f>"3053217"</f>
        <v>3053217</v>
      </c>
      <c r="B25422" t="s">
        <v>76619</v>
      </c>
      <c r="C25422" t="str">
        <f>"82527508"</f>
        <v>82527508</v>
      </c>
      <c r="D25422" t="s">
        <v>49289</v>
      </c>
      <c r="F25422" t="s">
        <v>76620</v>
      </c>
      <c r="I25422" t="s">
        <v>56785</v>
      </c>
      <c r="J25422" t="s">
        <v>12725</v>
      </c>
      <c r="K25422" t="s">
        <v>76621</v>
      </c>
      <c r="M25422" t="s">
        <v>50621</v>
      </c>
      <c r="N25422" t="str">
        <f>"4/16/2025 12:28:00 PM"</f>
        <v>4/16/2025 12:28:00 PM</v>
      </c>
      <c r="O25422" t="s">
        <v>49289</v>
      </c>
    </row>
    <row r="25423" spans="1:20" x14ac:dyDescent="0.25">
      <c r="A25423" t="str">
        <f>"3055876"</f>
        <v>3055876</v>
      </c>
      <c r="B25423" t="s">
        <v>76622</v>
      </c>
      <c r="C25423" t="str">
        <f>"8321447"</f>
        <v>8321447</v>
      </c>
      <c r="D25423" t="s">
        <v>76623</v>
      </c>
      <c r="F25423" t="s">
        <v>76624</v>
      </c>
      <c r="I25423" t="s">
        <v>29</v>
      </c>
      <c r="J25423" t="s">
        <v>30</v>
      </c>
      <c r="K25423" t="s">
        <v>45260</v>
      </c>
      <c r="M25423" t="s">
        <v>50621</v>
      </c>
      <c r="N25423" t="str">
        <f>"4/16/2025 12:29:00 PM"</f>
        <v>4/16/2025 12:29:00 PM</v>
      </c>
      <c r="O25423" t="s">
        <v>76623</v>
      </c>
    </row>
    <row r="25424" spans="1:20" x14ac:dyDescent="0.25">
      <c r="A25424" t="str">
        <f>"3051202"</f>
        <v>3051202</v>
      </c>
      <c r="B25424" t="s">
        <v>76625</v>
      </c>
      <c r="C25424" t="str">
        <f>"8977500"</f>
        <v>8977500</v>
      </c>
      <c r="D25424" t="s">
        <v>76626</v>
      </c>
      <c r="F25424" t="s">
        <v>76627</v>
      </c>
      <c r="I25424" t="s">
        <v>29</v>
      </c>
      <c r="J25424" t="s">
        <v>30</v>
      </c>
      <c r="K25424" t="s">
        <v>14537</v>
      </c>
      <c r="M25424" t="s">
        <v>50621</v>
      </c>
      <c r="N25424" t="str">
        <f>"4/16/2025 12:34:00 PM"</f>
        <v>4/16/2025 12:34:00 PM</v>
      </c>
      <c r="O25424" t="s">
        <v>76626</v>
      </c>
    </row>
    <row r="25425" spans="1:20" x14ac:dyDescent="0.25">
      <c r="A25425" t="str">
        <f>"3038116"</f>
        <v>3038116</v>
      </c>
      <c r="B25425" t="s">
        <v>76628</v>
      </c>
      <c r="C25425" t="str">
        <f>"8318124"</f>
        <v>8318124</v>
      </c>
      <c r="D25425" t="s">
        <v>76629</v>
      </c>
      <c r="E25425" t="s">
        <v>76630</v>
      </c>
      <c r="F25425" t="s">
        <v>42150</v>
      </c>
      <c r="I25425" t="s">
        <v>29</v>
      </c>
      <c r="J25425" t="s">
        <v>30</v>
      </c>
      <c r="K25425" t="s">
        <v>42151</v>
      </c>
      <c r="M25425" t="s">
        <v>50621</v>
      </c>
      <c r="N25425" t="str">
        <f>"4/16/2025 12:39:00 PM"</f>
        <v>4/16/2025 12:39:00 PM</v>
      </c>
      <c r="O25425" t="s">
        <v>76629</v>
      </c>
      <c r="T25425" t="s">
        <v>76630</v>
      </c>
    </row>
    <row r="25426" spans="1:20" x14ac:dyDescent="0.25">
      <c r="A25426" t="str">
        <f>"3038148"</f>
        <v>3038148</v>
      </c>
      <c r="B25426" t="s">
        <v>76631</v>
      </c>
      <c r="C25426" t="str">
        <f>"8318124"</f>
        <v>8318124</v>
      </c>
      <c r="D25426" t="s">
        <v>76629</v>
      </c>
      <c r="E25426" t="s">
        <v>76630</v>
      </c>
      <c r="F25426" t="s">
        <v>42150</v>
      </c>
      <c r="I25426" t="s">
        <v>29</v>
      </c>
      <c r="J25426" t="s">
        <v>30</v>
      </c>
      <c r="K25426" t="s">
        <v>42151</v>
      </c>
      <c r="M25426" t="s">
        <v>50621</v>
      </c>
      <c r="N25426" t="str">
        <f>"4/16/2025 12:39:00 PM"</f>
        <v>4/16/2025 12:39:00 PM</v>
      </c>
      <c r="O25426" t="s">
        <v>76629</v>
      </c>
      <c r="T25426" t="s">
        <v>76630</v>
      </c>
    </row>
    <row r="25427" spans="1:20" x14ac:dyDescent="0.25">
      <c r="A25427" t="str">
        <f>"3038144"</f>
        <v>3038144</v>
      </c>
      <c r="B25427" t="s">
        <v>76632</v>
      </c>
      <c r="C25427" t="str">
        <f>"8318124"</f>
        <v>8318124</v>
      </c>
      <c r="D25427" t="s">
        <v>76629</v>
      </c>
      <c r="E25427" t="s">
        <v>76630</v>
      </c>
      <c r="F25427" t="s">
        <v>42150</v>
      </c>
      <c r="I25427" t="s">
        <v>29</v>
      </c>
      <c r="J25427" t="s">
        <v>30</v>
      </c>
      <c r="K25427" t="s">
        <v>42151</v>
      </c>
      <c r="M25427" t="s">
        <v>50621</v>
      </c>
      <c r="N25427" t="str">
        <f>"4/16/2025 12:39:00 PM"</f>
        <v>4/16/2025 12:39:00 PM</v>
      </c>
      <c r="O25427" t="s">
        <v>76629</v>
      </c>
      <c r="T25427" t="s">
        <v>76630</v>
      </c>
    </row>
    <row r="25428" spans="1:20" x14ac:dyDescent="0.25">
      <c r="A25428" t="str">
        <f>"3059723"</f>
        <v>3059723</v>
      </c>
      <c r="B25428" t="s">
        <v>76633</v>
      </c>
      <c r="C25428" t="str">
        <f>"8302632"</f>
        <v>8302632</v>
      </c>
      <c r="D25428" t="s">
        <v>76634</v>
      </c>
      <c r="F25428" t="s">
        <v>76635</v>
      </c>
      <c r="I25428" t="s">
        <v>29</v>
      </c>
      <c r="J25428" t="s">
        <v>30</v>
      </c>
      <c r="K25428" t="str">
        <f>"27028"</f>
        <v>27028</v>
      </c>
      <c r="M25428" t="s">
        <v>50621</v>
      </c>
      <c r="N25428" t="str">
        <f>"4/16/2025 12:42:00 PM"</f>
        <v>4/16/2025 12:42:00 PM</v>
      </c>
      <c r="O25428" t="s">
        <v>76634</v>
      </c>
    </row>
    <row r="25429" spans="1:20" x14ac:dyDescent="0.25">
      <c r="A25429" t="str">
        <f>"3041245"</f>
        <v>3041245</v>
      </c>
      <c r="B25429" t="s">
        <v>76636</v>
      </c>
      <c r="C25429" t="str">
        <f>"8302152"</f>
        <v>8302152</v>
      </c>
      <c r="D25429" t="s">
        <v>76637</v>
      </c>
      <c r="E25429" t="s">
        <v>76638</v>
      </c>
      <c r="F25429" t="s">
        <v>76639</v>
      </c>
      <c r="I25429" t="s">
        <v>22335</v>
      </c>
      <c r="J25429" t="s">
        <v>30</v>
      </c>
      <c r="K25429" t="str">
        <f>"27006"</f>
        <v>27006</v>
      </c>
      <c r="M25429" t="s">
        <v>50621</v>
      </c>
      <c r="N25429" t="str">
        <f>"4/16/2025 12:44:00 PM"</f>
        <v>4/16/2025 12:44:00 PM</v>
      </c>
      <c r="O25429" t="s">
        <v>76637</v>
      </c>
      <c r="T25429" t="s">
        <v>76638</v>
      </c>
    </row>
    <row r="25430" spans="1:20" x14ac:dyDescent="0.25">
      <c r="A25430" t="str">
        <f>"3042863"</f>
        <v>3042863</v>
      </c>
      <c r="B25430" t="s">
        <v>76640</v>
      </c>
      <c r="C25430" t="str">
        <f>"63422500"</f>
        <v>63422500</v>
      </c>
      <c r="D25430" t="s">
        <v>76616</v>
      </c>
      <c r="E25430" t="s">
        <v>76617</v>
      </c>
      <c r="F25430" t="s">
        <v>76618</v>
      </c>
      <c r="I25430" t="s">
        <v>29</v>
      </c>
      <c r="J25430" t="s">
        <v>30</v>
      </c>
      <c r="K25430" t="s">
        <v>31</v>
      </c>
      <c r="M25430" t="s">
        <v>50621</v>
      </c>
      <c r="N25430" t="str">
        <f>"4/8/2025 11:27:00 AM"</f>
        <v>4/8/2025 11:27:00 AM</v>
      </c>
      <c r="O25430" t="s">
        <v>76616</v>
      </c>
      <c r="T25430" t="s">
        <v>76617</v>
      </c>
    </row>
    <row r="25431" spans="1:20" x14ac:dyDescent="0.25">
      <c r="A25431" t="str">
        <f>"3059092"</f>
        <v>3059092</v>
      </c>
      <c r="B25431" t="s">
        <v>76641</v>
      </c>
      <c r="C25431" t="str">
        <f>"8317069"</f>
        <v>8317069</v>
      </c>
      <c r="D25431" t="s">
        <v>76642</v>
      </c>
      <c r="F25431" t="s">
        <v>76643</v>
      </c>
      <c r="I25431" t="s">
        <v>29</v>
      </c>
      <c r="J25431" t="s">
        <v>30</v>
      </c>
      <c r="K25431" t="s">
        <v>11703</v>
      </c>
      <c r="M25431" t="s">
        <v>50621</v>
      </c>
      <c r="N25431" t="str">
        <f>"4/8/2025 11:41:00 AM"</f>
        <v>4/8/2025 11:41:00 AM</v>
      </c>
      <c r="O25431" t="s">
        <v>76642</v>
      </c>
    </row>
    <row r="25432" spans="1:20" x14ac:dyDescent="0.25">
      <c r="A25432" t="str">
        <f>"3037781"</f>
        <v>3037781</v>
      </c>
      <c r="B25432" t="s">
        <v>76644</v>
      </c>
      <c r="C25432" t="str">
        <f>"8317057"</f>
        <v>8317057</v>
      </c>
      <c r="D25432" t="s">
        <v>76645</v>
      </c>
      <c r="E25432" t="s">
        <v>76646</v>
      </c>
      <c r="F25432" t="s">
        <v>76647</v>
      </c>
      <c r="I25432" t="s">
        <v>29</v>
      </c>
      <c r="J25432" t="s">
        <v>30</v>
      </c>
      <c r="K25432" t="s">
        <v>1075</v>
      </c>
      <c r="M25432" t="s">
        <v>50621</v>
      </c>
      <c r="N25432" t="str">
        <f>"4/16/2025 12:48:00 PM"</f>
        <v>4/16/2025 12:48:00 PM</v>
      </c>
      <c r="O25432" t="s">
        <v>76645</v>
      </c>
      <c r="T25432" t="s">
        <v>76646</v>
      </c>
    </row>
    <row r="25433" spans="1:20" x14ac:dyDescent="0.25">
      <c r="A25433" t="str">
        <f>"3062104"</f>
        <v>3062104</v>
      </c>
      <c r="B25433" t="s">
        <v>76648</v>
      </c>
      <c r="C25433" t="str">
        <f>"8317057"</f>
        <v>8317057</v>
      </c>
      <c r="D25433" t="s">
        <v>76645</v>
      </c>
      <c r="E25433" t="s">
        <v>76646</v>
      </c>
      <c r="F25433" t="s">
        <v>76647</v>
      </c>
      <c r="I25433" t="s">
        <v>29</v>
      </c>
      <c r="J25433" t="s">
        <v>30</v>
      </c>
      <c r="K25433" t="s">
        <v>1075</v>
      </c>
      <c r="M25433" t="s">
        <v>50621</v>
      </c>
      <c r="N25433" t="str">
        <f>"4/16/2025 12:48:00 PM"</f>
        <v>4/16/2025 12:48:00 PM</v>
      </c>
      <c r="O25433" t="s">
        <v>76645</v>
      </c>
      <c r="T25433" t="s">
        <v>76646</v>
      </c>
    </row>
    <row r="25434" spans="1:20" x14ac:dyDescent="0.25">
      <c r="A25434" t="str">
        <f>"3062105"</f>
        <v>3062105</v>
      </c>
      <c r="B25434" t="s">
        <v>76649</v>
      </c>
      <c r="C25434" t="str">
        <f>"8317057"</f>
        <v>8317057</v>
      </c>
      <c r="D25434" t="s">
        <v>76645</v>
      </c>
      <c r="E25434" t="s">
        <v>76646</v>
      </c>
      <c r="F25434" t="s">
        <v>76647</v>
      </c>
      <c r="I25434" t="s">
        <v>29</v>
      </c>
      <c r="J25434" t="s">
        <v>30</v>
      </c>
      <c r="K25434" t="s">
        <v>1075</v>
      </c>
      <c r="M25434" t="s">
        <v>50621</v>
      </c>
      <c r="N25434" t="str">
        <f>"4/16/2025 12:48:00 PM"</f>
        <v>4/16/2025 12:48:00 PM</v>
      </c>
      <c r="O25434" t="s">
        <v>76645</v>
      </c>
      <c r="T25434" t="s">
        <v>76646</v>
      </c>
    </row>
    <row r="25435" spans="1:20" x14ac:dyDescent="0.25">
      <c r="A25435" t="str">
        <f>"3062106"</f>
        <v>3062106</v>
      </c>
      <c r="B25435" t="s">
        <v>76650</v>
      </c>
      <c r="C25435" t="str">
        <f>"8317057"</f>
        <v>8317057</v>
      </c>
      <c r="D25435" t="s">
        <v>76645</v>
      </c>
      <c r="E25435" t="s">
        <v>76646</v>
      </c>
      <c r="F25435" t="s">
        <v>76647</v>
      </c>
      <c r="I25435" t="s">
        <v>29</v>
      </c>
      <c r="J25435" t="s">
        <v>30</v>
      </c>
      <c r="K25435" t="s">
        <v>1075</v>
      </c>
      <c r="M25435" t="s">
        <v>50621</v>
      </c>
      <c r="N25435" t="str">
        <f>"4/16/2025 12:48:00 PM"</f>
        <v>4/16/2025 12:48:00 PM</v>
      </c>
      <c r="O25435" t="s">
        <v>76645</v>
      </c>
      <c r="T25435" t="s">
        <v>76646</v>
      </c>
    </row>
    <row r="25436" spans="1:20" x14ac:dyDescent="0.25">
      <c r="A25436" t="str">
        <f>"3062102"</f>
        <v>3062102</v>
      </c>
      <c r="B25436" t="s">
        <v>76651</v>
      </c>
      <c r="C25436" t="str">
        <f>"8317057"</f>
        <v>8317057</v>
      </c>
      <c r="D25436" t="s">
        <v>76645</v>
      </c>
      <c r="E25436" t="s">
        <v>76646</v>
      </c>
      <c r="F25436" t="s">
        <v>76647</v>
      </c>
      <c r="I25436" t="s">
        <v>29</v>
      </c>
      <c r="J25436" t="s">
        <v>30</v>
      </c>
      <c r="K25436" t="s">
        <v>1075</v>
      </c>
      <c r="M25436" t="s">
        <v>50621</v>
      </c>
      <c r="N25436" t="str">
        <f>"4/16/2025 12:48:00 PM"</f>
        <v>4/16/2025 12:48:00 PM</v>
      </c>
      <c r="O25436" t="s">
        <v>76645</v>
      </c>
      <c r="T25436" t="s">
        <v>76646</v>
      </c>
    </row>
    <row r="25437" spans="1:20" x14ac:dyDescent="0.25">
      <c r="A25437" t="str">
        <f>"3060979"</f>
        <v>3060979</v>
      </c>
      <c r="B25437" t="s">
        <v>76652</v>
      </c>
      <c r="C25437" t="str">
        <f>"8314775"</f>
        <v>8314775</v>
      </c>
      <c r="D25437" t="s">
        <v>76653</v>
      </c>
      <c r="E25437" t="s">
        <v>76654</v>
      </c>
      <c r="F25437" t="s">
        <v>76655</v>
      </c>
      <c r="I25437" t="s">
        <v>2071</v>
      </c>
      <c r="J25437" t="s">
        <v>30</v>
      </c>
      <c r="K25437" t="s">
        <v>37473</v>
      </c>
      <c r="M25437" t="s">
        <v>50621</v>
      </c>
      <c r="N25437" t="str">
        <f>"4/16/2025 12:50:00 PM"</f>
        <v>4/16/2025 12:50:00 PM</v>
      </c>
      <c r="O25437" t="s">
        <v>76653</v>
      </c>
      <c r="T25437" t="s">
        <v>76654</v>
      </c>
    </row>
    <row r="25438" spans="1:20" x14ac:dyDescent="0.25">
      <c r="A25438" t="str">
        <f>"3048158"</f>
        <v>3048158</v>
      </c>
      <c r="B25438" t="s">
        <v>76656</v>
      </c>
      <c r="C25438" t="str">
        <f>"8300222"</f>
        <v>8300222</v>
      </c>
      <c r="D25438" t="s">
        <v>76657</v>
      </c>
      <c r="F25438" t="s">
        <v>76658</v>
      </c>
      <c r="I25438" t="s">
        <v>184</v>
      </c>
      <c r="J25438" t="s">
        <v>30</v>
      </c>
      <c r="K25438" t="s">
        <v>185</v>
      </c>
      <c r="M25438" t="s">
        <v>50621</v>
      </c>
      <c r="N25438" t="str">
        <f>"4/16/2025 12:55:00 PM"</f>
        <v>4/16/2025 12:55:00 PM</v>
      </c>
      <c r="O25438" t="s">
        <v>76657</v>
      </c>
    </row>
    <row r="25439" spans="1:20" x14ac:dyDescent="0.25">
      <c r="A25439" t="str">
        <f>"3045874"</f>
        <v>3045874</v>
      </c>
      <c r="B25439" t="s">
        <v>76659</v>
      </c>
      <c r="C25439" t="str">
        <f>"8314092"</f>
        <v>8314092</v>
      </c>
      <c r="D25439" t="s">
        <v>50044</v>
      </c>
      <c r="F25439" t="s">
        <v>50046</v>
      </c>
      <c r="I25439" t="s">
        <v>184</v>
      </c>
      <c r="J25439" t="s">
        <v>30</v>
      </c>
      <c r="K25439" t="s">
        <v>50047</v>
      </c>
      <c r="M25439" t="s">
        <v>50793</v>
      </c>
      <c r="N25439" t="str">
        <f>"4/16/2025 1:06:00 PM"</f>
        <v>4/16/2025 1:06:00 PM</v>
      </c>
      <c r="O25439" t="s">
        <v>50044</v>
      </c>
    </row>
    <row r="25440" spans="1:20" x14ac:dyDescent="0.25">
      <c r="A25440" t="str">
        <f>"3051529"</f>
        <v>3051529</v>
      </c>
      <c r="B25440" t="s">
        <v>76660</v>
      </c>
      <c r="C25440" t="str">
        <f>"8307726"</f>
        <v>8307726</v>
      </c>
      <c r="D25440" t="s">
        <v>76661</v>
      </c>
      <c r="E25440" t="s">
        <v>76662</v>
      </c>
      <c r="F25440" t="s">
        <v>76663</v>
      </c>
      <c r="I25440" t="s">
        <v>29</v>
      </c>
      <c r="J25440" t="s">
        <v>30</v>
      </c>
      <c r="K25440" t="str">
        <f>"27028"</f>
        <v>27028</v>
      </c>
      <c r="M25440" t="s">
        <v>50793</v>
      </c>
      <c r="N25440" t="str">
        <f>"4/16/2025 1:09:00 PM"</f>
        <v>4/16/2025 1:09:00 PM</v>
      </c>
      <c r="O25440" t="s">
        <v>76661</v>
      </c>
      <c r="T25440" t="s">
        <v>76662</v>
      </c>
    </row>
    <row r="25441" spans="1:20" x14ac:dyDescent="0.25">
      <c r="A25441" t="str">
        <f>"3071788"</f>
        <v>3071788</v>
      </c>
      <c r="B25441" t="s">
        <v>76664</v>
      </c>
      <c r="C25441" t="str">
        <f>"8324106"</f>
        <v>8324106</v>
      </c>
      <c r="D25441" t="s">
        <v>76665</v>
      </c>
      <c r="F25441" t="s">
        <v>76666</v>
      </c>
      <c r="I25441" t="s">
        <v>29</v>
      </c>
      <c r="J25441" t="s">
        <v>30</v>
      </c>
      <c r="K25441" t="s">
        <v>46172</v>
      </c>
      <c r="M25441" t="s">
        <v>50500</v>
      </c>
      <c r="N25441" t="str">
        <f>"4/16/2025 1:43:00 PM"</f>
        <v>4/16/2025 1:43:00 PM</v>
      </c>
      <c r="O25441" t="s">
        <v>76665</v>
      </c>
    </row>
    <row r="25442" spans="1:20" x14ac:dyDescent="0.25">
      <c r="A25442" t="str">
        <f>"3058497"</f>
        <v>3058497</v>
      </c>
      <c r="B25442" t="s">
        <v>76667</v>
      </c>
      <c r="C25442" t="str">
        <f>"82530913"</f>
        <v>82530913</v>
      </c>
      <c r="D25442" t="s">
        <v>76668</v>
      </c>
      <c r="F25442" t="s">
        <v>76669</v>
      </c>
      <c r="I25442" t="s">
        <v>29</v>
      </c>
      <c r="J25442" t="s">
        <v>30</v>
      </c>
      <c r="K25442" t="s">
        <v>31</v>
      </c>
      <c r="M25442" t="s">
        <v>50621</v>
      </c>
      <c r="N25442" t="str">
        <f>"4/16/2025 2:06:00 PM"</f>
        <v>4/16/2025 2:06:00 PM</v>
      </c>
      <c r="O25442" t="s">
        <v>76668</v>
      </c>
    </row>
    <row r="25443" spans="1:20" x14ac:dyDescent="0.25">
      <c r="A25443" t="str">
        <f>"3057242"</f>
        <v>3057242</v>
      </c>
      <c r="B25443" t="s">
        <v>76670</v>
      </c>
      <c r="C25443" t="str">
        <f>"82530913"</f>
        <v>82530913</v>
      </c>
      <c r="D25443" t="s">
        <v>76668</v>
      </c>
      <c r="F25443" t="s">
        <v>76669</v>
      </c>
      <c r="I25443" t="s">
        <v>29</v>
      </c>
      <c r="J25443" t="s">
        <v>30</v>
      </c>
      <c r="K25443" t="s">
        <v>31</v>
      </c>
      <c r="M25443" t="s">
        <v>50621</v>
      </c>
      <c r="N25443" t="str">
        <f>"4/16/2025 2:06:00 PM"</f>
        <v>4/16/2025 2:06:00 PM</v>
      </c>
      <c r="O25443" t="s">
        <v>76668</v>
      </c>
    </row>
    <row r="25444" spans="1:20" x14ac:dyDescent="0.25">
      <c r="A25444" t="str">
        <f>"3057243"</f>
        <v>3057243</v>
      </c>
      <c r="B25444" t="s">
        <v>76671</v>
      </c>
      <c r="C25444" t="str">
        <f>"82530913"</f>
        <v>82530913</v>
      </c>
      <c r="D25444" t="s">
        <v>76668</v>
      </c>
      <c r="F25444" t="s">
        <v>76669</v>
      </c>
      <c r="I25444" t="s">
        <v>29</v>
      </c>
      <c r="J25444" t="s">
        <v>30</v>
      </c>
      <c r="K25444" t="s">
        <v>31</v>
      </c>
      <c r="M25444" t="s">
        <v>50621</v>
      </c>
      <c r="N25444" t="str">
        <f>"4/16/2025 2:06:00 PM"</f>
        <v>4/16/2025 2:06:00 PM</v>
      </c>
      <c r="O25444" t="s">
        <v>76668</v>
      </c>
    </row>
    <row r="25445" spans="1:20" x14ac:dyDescent="0.25">
      <c r="A25445" t="str">
        <f>"3057244"</f>
        <v>3057244</v>
      </c>
      <c r="B25445" t="s">
        <v>76672</v>
      </c>
      <c r="C25445" t="str">
        <f>"82530913"</f>
        <v>82530913</v>
      </c>
      <c r="D25445" t="s">
        <v>76668</v>
      </c>
      <c r="F25445" t="s">
        <v>76669</v>
      </c>
      <c r="I25445" t="s">
        <v>29</v>
      </c>
      <c r="J25445" t="s">
        <v>30</v>
      </c>
      <c r="K25445" t="s">
        <v>31</v>
      </c>
      <c r="M25445" t="s">
        <v>50621</v>
      </c>
      <c r="N25445" t="str">
        <f>"4/16/2025 2:06:00 PM"</f>
        <v>4/16/2025 2:06:00 PM</v>
      </c>
      <c r="O25445" t="s">
        <v>76668</v>
      </c>
    </row>
    <row r="25446" spans="1:20" x14ac:dyDescent="0.25">
      <c r="A25446" t="str">
        <f>"3052454"</f>
        <v>3052454</v>
      </c>
      <c r="B25446" t="s">
        <v>76673</v>
      </c>
      <c r="C25446" t="str">
        <f>"24668000"</f>
        <v>24668000</v>
      </c>
      <c r="D25446" t="s">
        <v>76674</v>
      </c>
      <c r="E25446" t="s">
        <v>76675</v>
      </c>
      <c r="F25446" t="s">
        <v>76676</v>
      </c>
      <c r="I25446" t="s">
        <v>29</v>
      </c>
      <c r="J25446" t="s">
        <v>30</v>
      </c>
      <c r="K25446" t="s">
        <v>76677</v>
      </c>
      <c r="M25446" t="s">
        <v>50621</v>
      </c>
      <c r="N25446" t="str">
        <f>"4/16/2025 2:10:00 PM"</f>
        <v>4/16/2025 2:10:00 PM</v>
      </c>
      <c r="O25446" t="s">
        <v>76674</v>
      </c>
      <c r="T25446" t="s">
        <v>76675</v>
      </c>
    </row>
    <row r="25447" spans="1:20" x14ac:dyDescent="0.25">
      <c r="A25447" t="str">
        <f>"3104505"</f>
        <v>3104505</v>
      </c>
      <c r="B25447" t="s">
        <v>76678</v>
      </c>
      <c r="C25447" t="str">
        <f>"82514392"</f>
        <v>82514392</v>
      </c>
      <c r="D25447" t="s">
        <v>76679</v>
      </c>
      <c r="E25447" t="s">
        <v>76680</v>
      </c>
      <c r="F25447" t="s">
        <v>76681</v>
      </c>
      <c r="I25447" t="s">
        <v>29</v>
      </c>
      <c r="J25447" t="s">
        <v>30</v>
      </c>
      <c r="K25447" t="s">
        <v>31</v>
      </c>
      <c r="M25447" t="s">
        <v>50621</v>
      </c>
      <c r="N25447" t="str">
        <f>"4/16/2025 2:12:00 PM"</f>
        <v>4/16/2025 2:12:00 PM</v>
      </c>
      <c r="O25447" t="s">
        <v>76679</v>
      </c>
      <c r="T25447" t="s">
        <v>76680</v>
      </c>
    </row>
    <row r="25448" spans="1:20" x14ac:dyDescent="0.25">
      <c r="A25448" t="str">
        <f>"3059833"</f>
        <v>3059833</v>
      </c>
      <c r="B25448" t="s">
        <v>76682</v>
      </c>
      <c r="C25448" t="str">
        <f>"8304128"</f>
        <v>8304128</v>
      </c>
      <c r="D25448" t="s">
        <v>76683</v>
      </c>
      <c r="F25448" t="s">
        <v>24668</v>
      </c>
      <c r="I25448" t="s">
        <v>29</v>
      </c>
      <c r="J25448" t="s">
        <v>30</v>
      </c>
      <c r="K25448" t="str">
        <f>"27028"</f>
        <v>27028</v>
      </c>
      <c r="M25448" t="s">
        <v>50621</v>
      </c>
      <c r="N25448" t="str">
        <f>"4/16/2025 2:13:00 PM"</f>
        <v>4/16/2025 2:13:00 PM</v>
      </c>
      <c r="O25448" t="s">
        <v>76683</v>
      </c>
    </row>
    <row r="25449" spans="1:20" x14ac:dyDescent="0.25">
      <c r="A25449" t="str">
        <f>"3055548"</f>
        <v>3055548</v>
      </c>
      <c r="B25449" t="s">
        <v>76684</v>
      </c>
      <c r="C25449" t="str">
        <f>"8317770"</f>
        <v>8317770</v>
      </c>
      <c r="D25449" t="s">
        <v>76685</v>
      </c>
      <c r="F25449" t="s">
        <v>75162</v>
      </c>
      <c r="I25449" t="s">
        <v>29</v>
      </c>
      <c r="J25449" t="s">
        <v>30</v>
      </c>
      <c r="K25449" t="s">
        <v>75166</v>
      </c>
      <c r="M25449" t="s">
        <v>50621</v>
      </c>
      <c r="N25449" t="str">
        <f>"4/16/2025 2:15:00 PM"</f>
        <v>4/16/2025 2:15:00 PM</v>
      </c>
      <c r="O25449" t="s">
        <v>76685</v>
      </c>
    </row>
    <row r="25450" spans="1:20" x14ac:dyDescent="0.25">
      <c r="A25450" t="str">
        <f>"3048436"</f>
        <v>3048436</v>
      </c>
      <c r="B25450" t="s">
        <v>76686</v>
      </c>
      <c r="C25450" t="str">
        <f>"8313840"</f>
        <v>8313840</v>
      </c>
      <c r="D25450" t="s">
        <v>76687</v>
      </c>
      <c r="F25450" t="s">
        <v>76688</v>
      </c>
      <c r="I25450" t="s">
        <v>29</v>
      </c>
      <c r="J25450" t="s">
        <v>30</v>
      </c>
      <c r="K25450" t="s">
        <v>60754</v>
      </c>
      <c r="M25450" t="s">
        <v>50621</v>
      </c>
      <c r="N25450" t="str">
        <f>"4/16/2025 2:18:00 PM"</f>
        <v>4/16/2025 2:18:00 PM</v>
      </c>
      <c r="O25450" t="s">
        <v>76687</v>
      </c>
    </row>
    <row r="25451" spans="1:20" x14ac:dyDescent="0.25">
      <c r="A25451" t="str">
        <f>"3058183"</f>
        <v>3058183</v>
      </c>
      <c r="B25451" t="s">
        <v>76689</v>
      </c>
      <c r="C25451" t="str">
        <f>"82522355"</f>
        <v>82522355</v>
      </c>
      <c r="D25451" t="s">
        <v>76690</v>
      </c>
      <c r="F25451" t="s">
        <v>76691</v>
      </c>
      <c r="I25451" t="s">
        <v>29</v>
      </c>
      <c r="J25451" t="s">
        <v>30</v>
      </c>
      <c r="K25451" t="s">
        <v>76692</v>
      </c>
      <c r="M25451" t="s">
        <v>50621</v>
      </c>
      <c r="N25451" t="str">
        <f>"4/16/2025 2:20:00 PM"</f>
        <v>4/16/2025 2:20:00 PM</v>
      </c>
      <c r="O25451" t="s">
        <v>76690</v>
      </c>
    </row>
    <row r="25452" spans="1:20" x14ac:dyDescent="0.25">
      <c r="A25452" t="str">
        <f>"3053691"</f>
        <v>3053691</v>
      </c>
      <c r="B25452" t="s">
        <v>76693</v>
      </c>
      <c r="C25452" t="str">
        <f>"63840000"</f>
        <v>63840000</v>
      </c>
      <c r="D25452" t="s">
        <v>76694</v>
      </c>
      <c r="F25452" t="s">
        <v>76695</v>
      </c>
      <c r="I25452" t="s">
        <v>184</v>
      </c>
      <c r="J25452" t="s">
        <v>30</v>
      </c>
      <c r="K25452" t="s">
        <v>185</v>
      </c>
      <c r="M25452" t="s">
        <v>50621</v>
      </c>
      <c r="N25452" t="str">
        <f>"4/8/2025 11:44:00 AM"</f>
        <v>4/8/2025 11:44:00 AM</v>
      </c>
      <c r="O25452" t="s">
        <v>76694</v>
      </c>
    </row>
    <row r="25453" spans="1:20" x14ac:dyDescent="0.25">
      <c r="A25453" t="str">
        <f>"3061711"</f>
        <v>3061711</v>
      </c>
      <c r="B25453" t="s">
        <v>76696</v>
      </c>
      <c r="C25453" t="str">
        <f>"8313897"</f>
        <v>8313897</v>
      </c>
      <c r="D25453" t="s">
        <v>76697</v>
      </c>
      <c r="E25453" t="str">
        <f>"TIBBS JEFFREY J/SHERRY T"</f>
        <v>TIBBS JEFFREY J/SHERRY T</v>
      </c>
      <c r="F25453" t="s">
        <v>76698</v>
      </c>
      <c r="I25453" t="s">
        <v>76699</v>
      </c>
      <c r="J25453" t="s">
        <v>23322</v>
      </c>
      <c r="K25453" t="s">
        <v>76700</v>
      </c>
      <c r="M25453" t="s">
        <v>50621</v>
      </c>
      <c r="N25453" t="str">
        <f>"4/17/2025 8:42:00 AM"</f>
        <v>4/17/2025 8:42:00 AM</v>
      </c>
      <c r="O25453" t="s">
        <v>76697</v>
      </c>
      <c r="T25453" t="str">
        <f>"TIBBS JEFFREY J/SHERRY T"</f>
        <v>TIBBS JEFFREY J/SHERRY T</v>
      </c>
    </row>
    <row r="25454" spans="1:20" x14ac:dyDescent="0.25">
      <c r="A25454" t="str">
        <f>"3078139"</f>
        <v>3078139</v>
      </c>
      <c r="B25454" t="s">
        <v>76701</v>
      </c>
      <c r="C25454" t="str">
        <f t="shared" ref="C25454:C25459" si="395">"8306262"</f>
        <v>8306262</v>
      </c>
      <c r="D25454" t="s">
        <v>76702</v>
      </c>
      <c r="F25454" t="s">
        <v>76703</v>
      </c>
      <c r="I25454" t="s">
        <v>76704</v>
      </c>
      <c r="J25454" t="s">
        <v>11346</v>
      </c>
      <c r="K25454" t="s">
        <v>76705</v>
      </c>
      <c r="M25454" t="s">
        <v>25733</v>
      </c>
      <c r="N25454" t="str">
        <f t="shared" ref="N25454:N25459" si="396">"4/17/2025 9:39:00 AM"</f>
        <v>4/17/2025 9:39:00 AM</v>
      </c>
      <c r="O25454" t="s">
        <v>76702</v>
      </c>
    </row>
    <row r="25455" spans="1:20" x14ac:dyDescent="0.25">
      <c r="A25455" t="str">
        <f>"3048992"</f>
        <v>3048992</v>
      </c>
      <c r="B25455" t="s">
        <v>76706</v>
      </c>
      <c r="C25455" t="str">
        <f t="shared" si="395"/>
        <v>8306262</v>
      </c>
      <c r="D25455" t="s">
        <v>76702</v>
      </c>
      <c r="F25455" t="s">
        <v>76703</v>
      </c>
      <c r="I25455" t="s">
        <v>76704</v>
      </c>
      <c r="J25455" t="s">
        <v>11346</v>
      </c>
      <c r="K25455" t="s">
        <v>76705</v>
      </c>
      <c r="M25455" t="s">
        <v>25733</v>
      </c>
      <c r="N25455" t="str">
        <f t="shared" si="396"/>
        <v>4/17/2025 9:39:00 AM</v>
      </c>
      <c r="O25455" t="s">
        <v>76702</v>
      </c>
    </row>
    <row r="25456" spans="1:20" x14ac:dyDescent="0.25">
      <c r="A25456" t="str">
        <f>"3048989"</f>
        <v>3048989</v>
      </c>
      <c r="B25456" t="s">
        <v>76707</v>
      </c>
      <c r="C25456" t="str">
        <f t="shared" si="395"/>
        <v>8306262</v>
      </c>
      <c r="D25456" t="s">
        <v>76702</v>
      </c>
      <c r="F25456" t="s">
        <v>76703</v>
      </c>
      <c r="I25456" t="s">
        <v>76704</v>
      </c>
      <c r="J25456" t="s">
        <v>11346</v>
      </c>
      <c r="K25456" t="s">
        <v>76705</v>
      </c>
      <c r="M25456" t="s">
        <v>25733</v>
      </c>
      <c r="N25456" t="str">
        <f t="shared" si="396"/>
        <v>4/17/2025 9:39:00 AM</v>
      </c>
      <c r="O25456" t="s">
        <v>76702</v>
      </c>
    </row>
    <row r="25457" spans="1:20" x14ac:dyDescent="0.25">
      <c r="A25457" t="str">
        <f>"3048995"</f>
        <v>3048995</v>
      </c>
      <c r="B25457" t="s">
        <v>76708</v>
      </c>
      <c r="C25457" t="str">
        <f t="shared" si="395"/>
        <v>8306262</v>
      </c>
      <c r="D25457" t="s">
        <v>76702</v>
      </c>
      <c r="F25457" t="s">
        <v>76703</v>
      </c>
      <c r="I25457" t="s">
        <v>76704</v>
      </c>
      <c r="J25457" t="s">
        <v>11346</v>
      </c>
      <c r="K25457" t="s">
        <v>76705</v>
      </c>
      <c r="M25457" t="s">
        <v>25733</v>
      </c>
      <c r="N25457" t="str">
        <f t="shared" si="396"/>
        <v>4/17/2025 9:39:00 AM</v>
      </c>
      <c r="O25457" t="s">
        <v>76702</v>
      </c>
    </row>
    <row r="25458" spans="1:20" x14ac:dyDescent="0.25">
      <c r="A25458" t="str">
        <f>"3049001"</f>
        <v>3049001</v>
      </c>
      <c r="B25458" t="s">
        <v>76709</v>
      </c>
      <c r="C25458" t="str">
        <f t="shared" si="395"/>
        <v>8306262</v>
      </c>
      <c r="D25458" t="s">
        <v>76702</v>
      </c>
      <c r="F25458" t="s">
        <v>76703</v>
      </c>
      <c r="I25458" t="s">
        <v>76704</v>
      </c>
      <c r="J25458" t="s">
        <v>11346</v>
      </c>
      <c r="K25458" t="s">
        <v>76705</v>
      </c>
      <c r="M25458" t="s">
        <v>25733</v>
      </c>
      <c r="N25458" t="str">
        <f t="shared" si="396"/>
        <v>4/17/2025 9:39:00 AM</v>
      </c>
      <c r="O25458" t="s">
        <v>76702</v>
      </c>
    </row>
    <row r="25459" spans="1:20" x14ac:dyDescent="0.25">
      <c r="A25459" t="str">
        <f>"3048969"</f>
        <v>3048969</v>
      </c>
      <c r="B25459" t="s">
        <v>76710</v>
      </c>
      <c r="C25459" t="str">
        <f t="shared" si="395"/>
        <v>8306262</v>
      </c>
      <c r="D25459" t="s">
        <v>76702</v>
      </c>
      <c r="F25459" t="s">
        <v>76703</v>
      </c>
      <c r="I25459" t="s">
        <v>76704</v>
      </c>
      <c r="J25459" t="s">
        <v>11346</v>
      </c>
      <c r="K25459" t="s">
        <v>76705</v>
      </c>
      <c r="M25459" t="s">
        <v>25733</v>
      </c>
      <c r="N25459" t="str">
        <f t="shared" si="396"/>
        <v>4/17/2025 9:39:00 AM</v>
      </c>
      <c r="O25459" t="s">
        <v>76702</v>
      </c>
    </row>
    <row r="25460" spans="1:20" x14ac:dyDescent="0.25">
      <c r="A25460" t="str">
        <f>"3053226"</f>
        <v>3053226</v>
      </c>
      <c r="B25460" t="s">
        <v>76711</v>
      </c>
      <c r="C25460" t="str">
        <f>"63840000"</f>
        <v>63840000</v>
      </c>
      <c r="D25460" t="s">
        <v>76694</v>
      </c>
      <c r="F25460" t="s">
        <v>76695</v>
      </c>
      <c r="I25460" t="s">
        <v>184</v>
      </c>
      <c r="J25460" t="s">
        <v>30</v>
      </c>
      <c r="K25460" t="s">
        <v>185</v>
      </c>
      <c r="M25460" t="s">
        <v>50621</v>
      </c>
      <c r="N25460" t="str">
        <f>"4/8/2025 11:44:00 AM"</f>
        <v>4/8/2025 11:44:00 AM</v>
      </c>
      <c r="O25460" t="s">
        <v>76694</v>
      </c>
    </row>
    <row r="25461" spans="1:20" x14ac:dyDescent="0.25">
      <c r="A25461" t="str">
        <f>"3058380"</f>
        <v>3058380</v>
      </c>
      <c r="B25461" t="s">
        <v>76712</v>
      </c>
      <c r="C25461" t="str">
        <f>"8306344"</f>
        <v>8306344</v>
      </c>
      <c r="D25461" t="s">
        <v>76713</v>
      </c>
      <c r="F25461" t="s">
        <v>76714</v>
      </c>
      <c r="I25461" t="s">
        <v>63564</v>
      </c>
      <c r="J25461" t="s">
        <v>30</v>
      </c>
      <c r="K25461" t="s">
        <v>76715</v>
      </c>
      <c r="M25461" t="s">
        <v>50621</v>
      </c>
      <c r="N25461" t="str">
        <f>"4/14/2025 4:28:00 PM"</f>
        <v>4/14/2025 4:28:00 PM</v>
      </c>
      <c r="O25461" t="s">
        <v>76713</v>
      </c>
    </row>
    <row r="25462" spans="1:20" x14ac:dyDescent="0.25">
      <c r="A25462" t="str">
        <f>"3074593"</f>
        <v>3074593</v>
      </c>
      <c r="B25462" t="s">
        <v>76716</v>
      </c>
      <c r="C25462" t="str">
        <f>"8300731"</f>
        <v>8300731</v>
      </c>
      <c r="D25462" t="s">
        <v>76717</v>
      </c>
      <c r="F25462" t="s">
        <v>76718</v>
      </c>
      <c r="I25462" t="s">
        <v>2071</v>
      </c>
      <c r="J25462" t="s">
        <v>30</v>
      </c>
      <c r="K25462" t="str">
        <f>"27006"</f>
        <v>27006</v>
      </c>
      <c r="M25462" t="s">
        <v>50793</v>
      </c>
      <c r="N25462" t="str">
        <f>"4/15/2025 10:14:00 AM"</f>
        <v>4/15/2025 10:14:00 AM</v>
      </c>
      <c r="O25462" t="s">
        <v>76717</v>
      </c>
    </row>
    <row r="25463" spans="1:20" x14ac:dyDescent="0.25">
      <c r="A25463" t="str">
        <f>"3048514"</f>
        <v>3048514</v>
      </c>
      <c r="B25463" t="s">
        <v>76719</v>
      </c>
      <c r="C25463" t="str">
        <f>"82531204"</f>
        <v>82531204</v>
      </c>
      <c r="D25463" t="s">
        <v>76532</v>
      </c>
      <c r="E25463" t="s">
        <v>76533</v>
      </c>
      <c r="F25463" t="s">
        <v>76534</v>
      </c>
      <c r="I25463" t="s">
        <v>49</v>
      </c>
      <c r="J25463" t="s">
        <v>30</v>
      </c>
      <c r="K25463" t="s">
        <v>76535</v>
      </c>
      <c r="M25463" t="s">
        <v>50793</v>
      </c>
      <c r="N25463" t="str">
        <f>"4/15/2025 10:33:00 AM"</f>
        <v>4/15/2025 10:33:00 AM</v>
      </c>
      <c r="O25463" t="s">
        <v>76532</v>
      </c>
      <c r="T25463" t="s">
        <v>76533</v>
      </c>
    </row>
    <row r="25464" spans="1:20" x14ac:dyDescent="0.25">
      <c r="A25464" t="str">
        <f>"3071655"</f>
        <v>3071655</v>
      </c>
      <c r="B25464" t="s">
        <v>76720</v>
      </c>
      <c r="C25464" t="str">
        <f>"8324090"</f>
        <v>8324090</v>
      </c>
      <c r="D25464" t="s">
        <v>76721</v>
      </c>
      <c r="F25464" t="s">
        <v>76722</v>
      </c>
      <c r="I25464" t="s">
        <v>29</v>
      </c>
      <c r="J25464" t="s">
        <v>30</v>
      </c>
      <c r="K25464" t="s">
        <v>1171</v>
      </c>
      <c r="M25464" t="s">
        <v>50500</v>
      </c>
      <c r="N25464" t="str">
        <f>"4/15/2025 11:48:00 AM"</f>
        <v>4/15/2025 11:48:00 AM</v>
      </c>
      <c r="O25464" t="s">
        <v>76721</v>
      </c>
    </row>
    <row r="25465" spans="1:20" x14ac:dyDescent="0.25">
      <c r="A25465" t="str">
        <f>"3057233"</f>
        <v>3057233</v>
      </c>
      <c r="B25465" t="s">
        <v>76723</v>
      </c>
      <c r="C25465" t="str">
        <f>"70716750"</f>
        <v>70716750</v>
      </c>
      <c r="D25465" t="s">
        <v>76724</v>
      </c>
      <c r="E25465" t="s">
        <v>76725</v>
      </c>
      <c r="F25465" t="s">
        <v>76726</v>
      </c>
      <c r="I25465" t="s">
        <v>29</v>
      </c>
      <c r="J25465" t="s">
        <v>30</v>
      </c>
      <c r="K25465" t="s">
        <v>31</v>
      </c>
      <c r="M25465" t="s">
        <v>50621</v>
      </c>
      <c r="N25465" t="str">
        <f>"4/21/2025 12:18:00 PM"</f>
        <v>4/21/2025 12:18:00 PM</v>
      </c>
      <c r="O25465" t="s">
        <v>76724</v>
      </c>
      <c r="T25465" t="s">
        <v>76725</v>
      </c>
    </row>
    <row r="25466" spans="1:20" x14ac:dyDescent="0.25">
      <c r="A25466" t="str">
        <f>"3037525"</f>
        <v>3037525</v>
      </c>
      <c r="B25466" t="s">
        <v>76727</v>
      </c>
      <c r="C25466" t="str">
        <f>"70888000"</f>
        <v>70888000</v>
      </c>
      <c r="D25466" t="s">
        <v>76728</v>
      </c>
      <c r="E25466" t="s">
        <v>76729</v>
      </c>
      <c r="F25466" t="s">
        <v>76730</v>
      </c>
      <c r="I25466" t="s">
        <v>29</v>
      </c>
      <c r="J25466" t="s">
        <v>30</v>
      </c>
      <c r="K25466" t="s">
        <v>60208</v>
      </c>
      <c r="M25466" t="s">
        <v>50621</v>
      </c>
      <c r="N25466" t="str">
        <f>"4/21/2025 12:41:00 PM"</f>
        <v>4/21/2025 12:41:00 PM</v>
      </c>
      <c r="O25466" t="s">
        <v>76728</v>
      </c>
      <c r="T25466" t="s">
        <v>76729</v>
      </c>
    </row>
    <row r="25467" spans="1:20" x14ac:dyDescent="0.25">
      <c r="A25467" t="str">
        <f>"3088620"</f>
        <v>3088620</v>
      </c>
      <c r="B25467" t="s">
        <v>76731</v>
      </c>
      <c r="C25467" t="str">
        <f>"18454000"</f>
        <v>18454000</v>
      </c>
      <c r="D25467" t="s">
        <v>76732</v>
      </c>
      <c r="E25467" t="s">
        <v>76733</v>
      </c>
      <c r="F25467" t="s">
        <v>76734</v>
      </c>
      <c r="I25467" t="s">
        <v>29</v>
      </c>
      <c r="J25467" t="s">
        <v>30</v>
      </c>
      <c r="K25467" t="s">
        <v>7026</v>
      </c>
      <c r="M25467" t="s">
        <v>52111</v>
      </c>
      <c r="N25467" t="str">
        <f>"4/15/2025 12:19:00 PM"</f>
        <v>4/15/2025 12:19:00 PM</v>
      </c>
      <c r="O25467" t="s">
        <v>76732</v>
      </c>
      <c r="T25467" t="s">
        <v>76733</v>
      </c>
    </row>
    <row r="25468" spans="1:20" x14ac:dyDescent="0.25">
      <c r="A25468" t="str">
        <f>"3060251"</f>
        <v>3060251</v>
      </c>
      <c r="B25468" t="s">
        <v>76735</v>
      </c>
      <c r="C25468" t="str">
        <f>"8316599"</f>
        <v>8316599</v>
      </c>
      <c r="D25468" t="s">
        <v>76736</v>
      </c>
      <c r="F25468" t="s">
        <v>76737</v>
      </c>
      <c r="I25468" t="s">
        <v>184</v>
      </c>
      <c r="J25468" t="s">
        <v>30</v>
      </c>
      <c r="K25468" t="s">
        <v>38147</v>
      </c>
      <c r="M25468" t="s">
        <v>50793</v>
      </c>
      <c r="N25468" t="str">
        <f>"4/15/2025 1:42:00 PM"</f>
        <v>4/15/2025 1:42:00 PM</v>
      </c>
      <c r="O25468" t="s">
        <v>76736</v>
      </c>
    </row>
    <row r="25469" spans="1:20" x14ac:dyDescent="0.25">
      <c r="A25469" t="str">
        <f>"3050514"</f>
        <v>3050514</v>
      </c>
      <c r="B25469" t="s">
        <v>76738</v>
      </c>
      <c r="C25469" t="str">
        <f>"8319183"</f>
        <v>8319183</v>
      </c>
      <c r="D25469" t="s">
        <v>76564</v>
      </c>
      <c r="E25469" t="s">
        <v>76565</v>
      </c>
      <c r="F25469" t="s">
        <v>76566</v>
      </c>
      <c r="I25469" t="s">
        <v>17921</v>
      </c>
      <c r="J25469" t="s">
        <v>30</v>
      </c>
      <c r="K25469" t="s">
        <v>13959</v>
      </c>
      <c r="M25469" t="s">
        <v>50793</v>
      </c>
      <c r="N25469" t="str">
        <f>"4/15/2025 1:54:00 PM"</f>
        <v>4/15/2025 1:54:00 PM</v>
      </c>
      <c r="O25469" t="s">
        <v>76564</v>
      </c>
      <c r="T25469" t="s">
        <v>76565</v>
      </c>
    </row>
    <row r="25470" spans="1:20" x14ac:dyDescent="0.25">
      <c r="A25470" t="str">
        <f>"3040724"</f>
        <v>3040724</v>
      </c>
      <c r="B25470" t="s">
        <v>76739</v>
      </c>
      <c r="C25470" t="str">
        <f>"82527778"</f>
        <v>82527778</v>
      </c>
      <c r="D25470" t="s">
        <v>76740</v>
      </c>
      <c r="F25470" t="s">
        <v>76741</v>
      </c>
      <c r="I25470" t="s">
        <v>184</v>
      </c>
      <c r="J25470" t="s">
        <v>30</v>
      </c>
      <c r="K25470" t="str">
        <f>"27006"</f>
        <v>27006</v>
      </c>
      <c r="M25470" t="s">
        <v>50793</v>
      </c>
      <c r="N25470" t="str">
        <f>"4/16/2025 8:16:00 AM"</f>
        <v>4/16/2025 8:16:00 AM</v>
      </c>
      <c r="O25470" t="s">
        <v>76740</v>
      </c>
    </row>
    <row r="25471" spans="1:20" x14ac:dyDescent="0.25">
      <c r="A25471" t="str">
        <f>"3056082"</f>
        <v>3056082</v>
      </c>
      <c r="B25471" t="s">
        <v>76742</v>
      </c>
      <c r="C25471" t="str">
        <f>"8317903"</f>
        <v>8317903</v>
      </c>
      <c r="D25471" t="s">
        <v>76743</v>
      </c>
      <c r="F25471" t="s">
        <v>76744</v>
      </c>
      <c r="I25471" t="s">
        <v>7917</v>
      </c>
      <c r="J25471" t="s">
        <v>30</v>
      </c>
      <c r="K25471" t="s">
        <v>76745</v>
      </c>
      <c r="M25471" t="s">
        <v>50793</v>
      </c>
      <c r="N25471" t="str">
        <f>"4/21/2025 1:59:00 PM"</f>
        <v>4/21/2025 1:59:00 PM</v>
      </c>
      <c r="O25471" t="s">
        <v>76743</v>
      </c>
    </row>
    <row r="25472" spans="1:20" x14ac:dyDescent="0.25">
      <c r="A25472" t="str">
        <f>"3049228"</f>
        <v>3049228</v>
      </c>
      <c r="B25472" t="s">
        <v>76746</v>
      </c>
      <c r="C25472" t="str">
        <f>"8315746"</f>
        <v>8315746</v>
      </c>
      <c r="D25472" t="s">
        <v>76747</v>
      </c>
      <c r="E25472" t="s">
        <v>76748</v>
      </c>
      <c r="F25472" t="s">
        <v>76749</v>
      </c>
      <c r="I25472" t="s">
        <v>50662</v>
      </c>
      <c r="J25472" t="s">
        <v>30</v>
      </c>
      <c r="K25472" t="s">
        <v>76750</v>
      </c>
      <c r="M25472" t="s">
        <v>50793</v>
      </c>
      <c r="N25472" t="str">
        <f>"4/21/2025 2:04:00 PM"</f>
        <v>4/21/2025 2:04:00 PM</v>
      </c>
      <c r="O25472" t="s">
        <v>76747</v>
      </c>
      <c r="T25472" t="s">
        <v>76748</v>
      </c>
    </row>
    <row r="25473" spans="1:20" x14ac:dyDescent="0.25">
      <c r="A25473" t="str">
        <f>"3057334"</f>
        <v>3057334</v>
      </c>
      <c r="B25473" t="s">
        <v>76751</v>
      </c>
      <c r="C25473" t="str">
        <f>"8321973"</f>
        <v>8321973</v>
      </c>
      <c r="D25473" t="s">
        <v>76752</v>
      </c>
      <c r="F25473" t="s">
        <v>63053</v>
      </c>
      <c r="I25473" t="s">
        <v>471</v>
      </c>
      <c r="J25473" t="s">
        <v>30</v>
      </c>
      <c r="K25473" t="s">
        <v>63054</v>
      </c>
      <c r="M25473" t="s">
        <v>50793</v>
      </c>
      <c r="N25473" t="str">
        <f>"4/21/2025 2:51:00 PM"</f>
        <v>4/21/2025 2:51:00 PM</v>
      </c>
      <c r="O25473" t="s">
        <v>76752</v>
      </c>
    </row>
    <row r="25474" spans="1:20" x14ac:dyDescent="0.25">
      <c r="A25474" t="str">
        <f>"3061827"</f>
        <v>3061827</v>
      </c>
      <c r="B25474" t="s">
        <v>76753</v>
      </c>
      <c r="C25474" t="str">
        <f>"8321973"</f>
        <v>8321973</v>
      </c>
      <c r="D25474" t="s">
        <v>76752</v>
      </c>
      <c r="F25474" t="s">
        <v>63053</v>
      </c>
      <c r="I25474" t="s">
        <v>471</v>
      </c>
      <c r="J25474" t="s">
        <v>30</v>
      </c>
      <c r="K25474" t="s">
        <v>63054</v>
      </c>
      <c r="M25474" t="s">
        <v>50793</v>
      </c>
      <c r="N25474" t="str">
        <f>"4/21/2025 2:51:00 PM"</f>
        <v>4/21/2025 2:51:00 PM</v>
      </c>
      <c r="O25474" t="s">
        <v>76752</v>
      </c>
    </row>
    <row r="25475" spans="1:20" x14ac:dyDescent="0.25">
      <c r="A25475" t="str">
        <f>"3062724"</f>
        <v>3062724</v>
      </c>
      <c r="B25475" t="s">
        <v>76754</v>
      </c>
      <c r="C25475" t="str">
        <f>"8321973"</f>
        <v>8321973</v>
      </c>
      <c r="D25475" t="s">
        <v>76752</v>
      </c>
      <c r="F25475" t="s">
        <v>63053</v>
      </c>
      <c r="I25475" t="s">
        <v>471</v>
      </c>
      <c r="J25475" t="s">
        <v>30</v>
      </c>
      <c r="K25475" t="s">
        <v>63054</v>
      </c>
      <c r="M25475" t="s">
        <v>50793</v>
      </c>
      <c r="N25475" t="str">
        <f>"4/21/2025 2:51:00 PM"</f>
        <v>4/21/2025 2:51:00 PM</v>
      </c>
      <c r="O25475" t="s">
        <v>76752</v>
      </c>
    </row>
    <row r="25476" spans="1:20" x14ac:dyDescent="0.25">
      <c r="A25476" t="str">
        <f>"3071872"</f>
        <v>3071872</v>
      </c>
      <c r="B25476" t="s">
        <v>76755</v>
      </c>
      <c r="C25476" t="str">
        <f>"8324118"</f>
        <v>8324118</v>
      </c>
      <c r="D25476" t="s">
        <v>76756</v>
      </c>
      <c r="F25476" t="s">
        <v>76757</v>
      </c>
      <c r="I25476" t="s">
        <v>29</v>
      </c>
      <c r="J25476" t="s">
        <v>30</v>
      </c>
      <c r="K25476" t="s">
        <v>76758</v>
      </c>
      <c r="M25476" t="s">
        <v>50500</v>
      </c>
      <c r="N25476" t="str">
        <f>"4/21/2025 3:11:00 PM"</f>
        <v>4/21/2025 3:11:00 PM</v>
      </c>
      <c r="O25476" t="s">
        <v>76756</v>
      </c>
    </row>
    <row r="25477" spans="1:20" x14ac:dyDescent="0.25">
      <c r="A25477" t="str">
        <f>"3045591"</f>
        <v>3045591</v>
      </c>
      <c r="B25477" t="s">
        <v>76759</v>
      </c>
      <c r="C25477" t="str">
        <f>"8310045"</f>
        <v>8310045</v>
      </c>
      <c r="D25477" t="s">
        <v>67719</v>
      </c>
      <c r="F25477" t="s">
        <v>68069</v>
      </c>
      <c r="I25477" t="s">
        <v>29</v>
      </c>
      <c r="J25477" t="s">
        <v>30</v>
      </c>
      <c r="K25477" t="s">
        <v>42528</v>
      </c>
      <c r="M25477" t="s">
        <v>50793</v>
      </c>
      <c r="N25477" t="str">
        <f>"4/16/2025 8:20:00 AM"</f>
        <v>4/16/2025 8:20:00 AM</v>
      </c>
      <c r="O25477" t="s">
        <v>67719</v>
      </c>
    </row>
    <row r="25478" spans="1:20" x14ac:dyDescent="0.25">
      <c r="A25478" t="str">
        <f>"3058484"</f>
        <v>3058484</v>
      </c>
      <c r="B25478" t="s">
        <v>76760</v>
      </c>
      <c r="C25478" t="str">
        <f>"8304390"</f>
        <v>8304390</v>
      </c>
      <c r="D25478" t="s">
        <v>76761</v>
      </c>
      <c r="F25478" t="s">
        <v>76762</v>
      </c>
      <c r="I25478" t="s">
        <v>29</v>
      </c>
      <c r="J25478" t="s">
        <v>30</v>
      </c>
      <c r="K25478" t="str">
        <f>"27028"</f>
        <v>27028</v>
      </c>
      <c r="M25478" t="s">
        <v>50793</v>
      </c>
      <c r="N25478" t="str">
        <f>"4/16/2025 8:40:00 AM"</f>
        <v>4/16/2025 8:40:00 AM</v>
      </c>
      <c r="O25478" t="s">
        <v>76761</v>
      </c>
    </row>
    <row r="25479" spans="1:20" x14ac:dyDescent="0.25">
      <c r="A25479" t="str">
        <f>"3048168"</f>
        <v>3048168</v>
      </c>
      <c r="B25479" t="s">
        <v>76763</v>
      </c>
      <c r="C25479" t="str">
        <f>"8312209"</f>
        <v>8312209</v>
      </c>
      <c r="D25479" t="s">
        <v>76764</v>
      </c>
      <c r="E25479" t="s">
        <v>76765</v>
      </c>
      <c r="F25479" t="s">
        <v>76766</v>
      </c>
      <c r="I25479" t="s">
        <v>1149</v>
      </c>
      <c r="J25479" t="s">
        <v>30</v>
      </c>
      <c r="K25479" t="s">
        <v>47029</v>
      </c>
      <c r="M25479" t="s">
        <v>50793</v>
      </c>
      <c r="N25479" t="str">
        <f>"4/22/2025 9:21:00 AM"</f>
        <v>4/22/2025 9:21:00 AM</v>
      </c>
      <c r="O25479" t="s">
        <v>76764</v>
      </c>
      <c r="T25479" t="s">
        <v>76765</v>
      </c>
    </row>
    <row r="25480" spans="1:20" x14ac:dyDescent="0.25">
      <c r="A25480" t="str">
        <f>"3071958"</f>
        <v>3071958</v>
      </c>
      <c r="B25480" t="s">
        <v>76767</v>
      </c>
      <c r="C25480" t="str">
        <f>"8324119"</f>
        <v>8324119</v>
      </c>
      <c r="D25480" t="s">
        <v>76768</v>
      </c>
      <c r="E25480" t="s">
        <v>76769</v>
      </c>
      <c r="F25480" t="s">
        <v>43571</v>
      </c>
      <c r="I25480" t="s">
        <v>29</v>
      </c>
      <c r="J25480" t="s">
        <v>30</v>
      </c>
      <c r="K25480" t="s">
        <v>28391</v>
      </c>
      <c r="M25480" t="s">
        <v>50500</v>
      </c>
      <c r="N25480" t="str">
        <f>"4/22/2025 9:29:00 AM"</f>
        <v>4/22/2025 9:29:00 AM</v>
      </c>
      <c r="O25480" t="s">
        <v>76768</v>
      </c>
      <c r="T25480" t="s">
        <v>76769</v>
      </c>
    </row>
    <row r="25481" spans="1:20" x14ac:dyDescent="0.25">
      <c r="A25481" t="str">
        <f>"3076180"</f>
        <v>3076180</v>
      </c>
      <c r="B25481" t="s">
        <v>76770</v>
      </c>
      <c r="C25481" t="str">
        <f>"8322368"</f>
        <v>8322368</v>
      </c>
      <c r="D25481" t="s">
        <v>76771</v>
      </c>
      <c r="F25481" t="s">
        <v>76772</v>
      </c>
      <c r="I25481" t="s">
        <v>29</v>
      </c>
      <c r="J25481" t="s">
        <v>30</v>
      </c>
      <c r="K25481" t="s">
        <v>10747</v>
      </c>
      <c r="M25481" t="s">
        <v>25733</v>
      </c>
      <c r="N25481" t="str">
        <f>"4/22/2025 9:40:00 AM"</f>
        <v>4/22/2025 9:40:00 AM</v>
      </c>
      <c r="O25481" t="s">
        <v>76771</v>
      </c>
    </row>
    <row r="25482" spans="1:20" x14ac:dyDescent="0.25">
      <c r="A25482" t="str">
        <f>"3043214"</f>
        <v>3043214</v>
      </c>
      <c r="B25482" t="s">
        <v>76773</v>
      </c>
      <c r="C25482" t="str">
        <f>"8319356"</f>
        <v>8319356</v>
      </c>
      <c r="D25482" t="s">
        <v>76774</v>
      </c>
      <c r="F25482" t="s">
        <v>67293</v>
      </c>
      <c r="I25482" t="s">
        <v>29</v>
      </c>
      <c r="J25482" t="s">
        <v>30</v>
      </c>
      <c r="K25482" t="s">
        <v>65702</v>
      </c>
      <c r="M25482" t="s">
        <v>50793</v>
      </c>
      <c r="N25482" t="str">
        <f>"4/16/2025 9:11:00 AM"</f>
        <v>4/16/2025 9:11:00 AM</v>
      </c>
      <c r="O25482" t="s">
        <v>76774</v>
      </c>
    </row>
    <row r="25483" spans="1:20" x14ac:dyDescent="0.25">
      <c r="A25483" t="str">
        <f>"3048529"</f>
        <v>3048529</v>
      </c>
      <c r="B25483" t="s">
        <v>76775</v>
      </c>
      <c r="C25483" t="str">
        <f t="shared" ref="C25483:C25493" si="397">"82518396"</f>
        <v>82518396</v>
      </c>
      <c r="D25483" t="s">
        <v>76776</v>
      </c>
      <c r="F25483" t="s">
        <v>76777</v>
      </c>
      <c r="I25483" t="s">
        <v>29</v>
      </c>
      <c r="J25483" t="s">
        <v>30</v>
      </c>
      <c r="K25483" t="s">
        <v>76778</v>
      </c>
      <c r="M25483" t="s">
        <v>50621</v>
      </c>
      <c r="N25483" t="str">
        <f t="shared" ref="N25483:N25493" si="398">"4/22/2025 10:19:00 AM"</f>
        <v>4/22/2025 10:19:00 AM</v>
      </c>
      <c r="O25483" t="s">
        <v>76776</v>
      </c>
    </row>
    <row r="25484" spans="1:20" x14ac:dyDescent="0.25">
      <c r="A25484" t="str">
        <f>"3049169"</f>
        <v>3049169</v>
      </c>
      <c r="B25484" t="s">
        <v>76779</v>
      </c>
      <c r="C25484" t="str">
        <f t="shared" si="397"/>
        <v>82518396</v>
      </c>
      <c r="D25484" t="s">
        <v>76776</v>
      </c>
      <c r="F25484" t="s">
        <v>76777</v>
      </c>
      <c r="I25484" t="s">
        <v>29</v>
      </c>
      <c r="J25484" t="s">
        <v>30</v>
      </c>
      <c r="K25484" t="s">
        <v>76778</v>
      </c>
      <c r="M25484" t="s">
        <v>50621</v>
      </c>
      <c r="N25484" t="str">
        <f t="shared" si="398"/>
        <v>4/22/2025 10:19:00 AM</v>
      </c>
      <c r="O25484" t="s">
        <v>76776</v>
      </c>
    </row>
    <row r="25485" spans="1:20" x14ac:dyDescent="0.25">
      <c r="A25485" t="str">
        <f>"3049171"</f>
        <v>3049171</v>
      </c>
      <c r="B25485" t="s">
        <v>76780</v>
      </c>
      <c r="C25485" t="str">
        <f t="shared" si="397"/>
        <v>82518396</v>
      </c>
      <c r="D25485" t="s">
        <v>76776</v>
      </c>
      <c r="F25485" t="s">
        <v>76777</v>
      </c>
      <c r="I25485" t="s">
        <v>29</v>
      </c>
      <c r="J25485" t="s">
        <v>30</v>
      </c>
      <c r="K25485" t="s">
        <v>76778</v>
      </c>
      <c r="M25485" t="s">
        <v>50621</v>
      </c>
      <c r="N25485" t="str">
        <f t="shared" si="398"/>
        <v>4/22/2025 10:19:00 AM</v>
      </c>
      <c r="O25485" t="s">
        <v>76776</v>
      </c>
    </row>
    <row r="25486" spans="1:20" x14ac:dyDescent="0.25">
      <c r="A25486" t="str">
        <f>"3049184"</f>
        <v>3049184</v>
      </c>
      <c r="B25486" t="s">
        <v>76781</v>
      </c>
      <c r="C25486" t="str">
        <f t="shared" si="397"/>
        <v>82518396</v>
      </c>
      <c r="D25486" t="s">
        <v>76776</v>
      </c>
      <c r="F25486" t="s">
        <v>76777</v>
      </c>
      <c r="I25486" t="s">
        <v>29</v>
      </c>
      <c r="J25486" t="s">
        <v>30</v>
      </c>
      <c r="K25486" t="s">
        <v>76778</v>
      </c>
      <c r="M25486" t="s">
        <v>50621</v>
      </c>
      <c r="N25486" t="str">
        <f t="shared" si="398"/>
        <v>4/22/2025 10:19:00 AM</v>
      </c>
      <c r="O25486" t="s">
        <v>76776</v>
      </c>
    </row>
    <row r="25487" spans="1:20" x14ac:dyDescent="0.25">
      <c r="A25487" t="str">
        <f>"3049185"</f>
        <v>3049185</v>
      </c>
      <c r="B25487" t="s">
        <v>76782</v>
      </c>
      <c r="C25487" t="str">
        <f t="shared" si="397"/>
        <v>82518396</v>
      </c>
      <c r="D25487" t="s">
        <v>76776</v>
      </c>
      <c r="F25487" t="s">
        <v>76777</v>
      </c>
      <c r="I25487" t="s">
        <v>29</v>
      </c>
      <c r="J25487" t="s">
        <v>30</v>
      </c>
      <c r="K25487" t="s">
        <v>76778</v>
      </c>
      <c r="M25487" t="s">
        <v>50621</v>
      </c>
      <c r="N25487" t="str">
        <f t="shared" si="398"/>
        <v>4/22/2025 10:19:00 AM</v>
      </c>
      <c r="O25487" t="s">
        <v>76776</v>
      </c>
    </row>
    <row r="25488" spans="1:20" x14ac:dyDescent="0.25">
      <c r="A25488" t="str">
        <f>"3049199"</f>
        <v>3049199</v>
      </c>
      <c r="B25488" t="s">
        <v>76783</v>
      </c>
      <c r="C25488" t="str">
        <f t="shared" si="397"/>
        <v>82518396</v>
      </c>
      <c r="D25488" t="s">
        <v>76776</v>
      </c>
      <c r="F25488" t="s">
        <v>76777</v>
      </c>
      <c r="I25488" t="s">
        <v>29</v>
      </c>
      <c r="J25488" t="s">
        <v>30</v>
      </c>
      <c r="K25488" t="s">
        <v>76778</v>
      </c>
      <c r="M25488" t="s">
        <v>50621</v>
      </c>
      <c r="N25488" t="str">
        <f t="shared" si="398"/>
        <v>4/22/2025 10:19:00 AM</v>
      </c>
      <c r="O25488" t="s">
        <v>76776</v>
      </c>
    </row>
    <row r="25489" spans="1:20" x14ac:dyDescent="0.25">
      <c r="A25489" t="str">
        <f>"3049162"</f>
        <v>3049162</v>
      </c>
      <c r="B25489" t="s">
        <v>76784</v>
      </c>
      <c r="C25489" t="str">
        <f t="shared" si="397"/>
        <v>82518396</v>
      </c>
      <c r="D25489" t="s">
        <v>76776</v>
      </c>
      <c r="F25489" t="s">
        <v>76777</v>
      </c>
      <c r="I25489" t="s">
        <v>29</v>
      </c>
      <c r="J25489" t="s">
        <v>30</v>
      </c>
      <c r="K25489" t="s">
        <v>76778</v>
      </c>
      <c r="M25489" t="s">
        <v>50621</v>
      </c>
      <c r="N25489" t="str">
        <f t="shared" si="398"/>
        <v>4/22/2025 10:19:00 AM</v>
      </c>
      <c r="O25489" t="s">
        <v>76776</v>
      </c>
    </row>
    <row r="25490" spans="1:20" x14ac:dyDescent="0.25">
      <c r="A25490" t="str">
        <f>"3049407"</f>
        <v>3049407</v>
      </c>
      <c r="B25490" t="s">
        <v>76785</v>
      </c>
      <c r="C25490" t="str">
        <f t="shared" si="397"/>
        <v>82518396</v>
      </c>
      <c r="D25490" t="s">
        <v>76776</v>
      </c>
      <c r="F25490" t="s">
        <v>76777</v>
      </c>
      <c r="I25490" t="s">
        <v>29</v>
      </c>
      <c r="J25490" t="s">
        <v>30</v>
      </c>
      <c r="K25490" t="s">
        <v>76778</v>
      </c>
      <c r="M25490" t="s">
        <v>50621</v>
      </c>
      <c r="N25490" t="str">
        <f t="shared" si="398"/>
        <v>4/22/2025 10:19:00 AM</v>
      </c>
      <c r="O25490" t="s">
        <v>76776</v>
      </c>
    </row>
    <row r="25491" spans="1:20" x14ac:dyDescent="0.25">
      <c r="A25491" t="str">
        <f>"3049366"</f>
        <v>3049366</v>
      </c>
      <c r="B25491" t="s">
        <v>76786</v>
      </c>
      <c r="C25491" t="str">
        <f t="shared" si="397"/>
        <v>82518396</v>
      </c>
      <c r="D25491" t="s">
        <v>76776</v>
      </c>
      <c r="F25491" t="s">
        <v>76777</v>
      </c>
      <c r="I25491" t="s">
        <v>29</v>
      </c>
      <c r="J25491" t="s">
        <v>30</v>
      </c>
      <c r="K25491" t="s">
        <v>76778</v>
      </c>
      <c r="M25491" t="s">
        <v>50621</v>
      </c>
      <c r="N25491" t="str">
        <f t="shared" si="398"/>
        <v>4/22/2025 10:19:00 AM</v>
      </c>
      <c r="O25491" t="s">
        <v>76776</v>
      </c>
    </row>
    <row r="25492" spans="1:20" x14ac:dyDescent="0.25">
      <c r="A25492" t="str">
        <f>"3049367"</f>
        <v>3049367</v>
      </c>
      <c r="B25492" t="s">
        <v>76787</v>
      </c>
      <c r="C25492" t="str">
        <f t="shared" si="397"/>
        <v>82518396</v>
      </c>
      <c r="D25492" t="s">
        <v>76776</v>
      </c>
      <c r="F25492" t="s">
        <v>76777</v>
      </c>
      <c r="I25492" t="s">
        <v>29</v>
      </c>
      <c r="J25492" t="s">
        <v>30</v>
      </c>
      <c r="K25492" t="s">
        <v>76778</v>
      </c>
      <c r="M25492" t="s">
        <v>50621</v>
      </c>
      <c r="N25492" t="str">
        <f t="shared" si="398"/>
        <v>4/22/2025 10:19:00 AM</v>
      </c>
      <c r="O25492" t="s">
        <v>76776</v>
      </c>
    </row>
    <row r="25493" spans="1:20" x14ac:dyDescent="0.25">
      <c r="A25493" t="str">
        <f>"3052338"</f>
        <v>3052338</v>
      </c>
      <c r="B25493" t="s">
        <v>76788</v>
      </c>
      <c r="C25493" t="str">
        <f t="shared" si="397"/>
        <v>82518396</v>
      </c>
      <c r="D25493" t="s">
        <v>76776</v>
      </c>
      <c r="F25493" t="s">
        <v>76777</v>
      </c>
      <c r="I25493" t="s">
        <v>29</v>
      </c>
      <c r="J25493" t="s">
        <v>30</v>
      </c>
      <c r="K25493" t="s">
        <v>76778</v>
      </c>
      <c r="M25493" t="s">
        <v>50621</v>
      </c>
      <c r="N25493" t="str">
        <f t="shared" si="398"/>
        <v>4/22/2025 10:19:00 AM</v>
      </c>
      <c r="O25493" t="s">
        <v>76776</v>
      </c>
    </row>
    <row r="25494" spans="1:20" x14ac:dyDescent="0.25">
      <c r="A25494" t="str">
        <f>"3040580"</f>
        <v>3040580</v>
      </c>
      <c r="B25494" t="s">
        <v>76789</v>
      </c>
      <c r="C25494" t="str">
        <f>"73704000"</f>
        <v>73704000</v>
      </c>
      <c r="D25494" t="s">
        <v>76790</v>
      </c>
      <c r="E25494" t="s">
        <v>76791</v>
      </c>
      <c r="F25494" t="s">
        <v>76792</v>
      </c>
      <c r="I25494" t="s">
        <v>37599</v>
      </c>
      <c r="J25494" t="s">
        <v>30</v>
      </c>
      <c r="K25494" t="s">
        <v>76793</v>
      </c>
      <c r="M25494" t="s">
        <v>50621</v>
      </c>
      <c r="N25494" t="str">
        <f>"4/22/2025 10:23:00 AM"</f>
        <v>4/22/2025 10:23:00 AM</v>
      </c>
      <c r="O25494" t="s">
        <v>76790</v>
      </c>
      <c r="T25494" t="s">
        <v>76791</v>
      </c>
    </row>
    <row r="25495" spans="1:20" x14ac:dyDescent="0.25">
      <c r="A25495" t="str">
        <f>"3046487"</f>
        <v>3046487</v>
      </c>
      <c r="B25495" t="s">
        <v>76794</v>
      </c>
      <c r="C25495" t="str">
        <f>"82519026"</f>
        <v>82519026</v>
      </c>
      <c r="D25495" t="s">
        <v>45195</v>
      </c>
      <c r="F25495" t="s">
        <v>42312</v>
      </c>
      <c r="I25495" t="s">
        <v>184</v>
      </c>
      <c r="J25495" t="s">
        <v>30</v>
      </c>
      <c r="K25495" t="s">
        <v>25769</v>
      </c>
      <c r="M25495" t="s">
        <v>50621</v>
      </c>
      <c r="N25495" t="str">
        <f>"4/22/2025 10:36:00 AM"</f>
        <v>4/22/2025 10:36:00 AM</v>
      </c>
      <c r="O25495" t="s">
        <v>45195</v>
      </c>
    </row>
    <row r="25496" spans="1:20" x14ac:dyDescent="0.25">
      <c r="A25496" t="str">
        <f>"3049292"</f>
        <v>3049292</v>
      </c>
      <c r="B25496" t="s">
        <v>76795</v>
      </c>
      <c r="C25496" t="str">
        <f>"8317346"</f>
        <v>8317346</v>
      </c>
      <c r="D25496" t="s">
        <v>76796</v>
      </c>
      <c r="F25496" t="s">
        <v>76797</v>
      </c>
      <c r="I25496" t="s">
        <v>184</v>
      </c>
      <c r="J25496" t="s">
        <v>30</v>
      </c>
      <c r="K25496" t="s">
        <v>19478</v>
      </c>
      <c r="M25496" t="s">
        <v>50621</v>
      </c>
      <c r="N25496" t="str">
        <f>"4/22/2025 10:49:00 AM"</f>
        <v>4/22/2025 10:49:00 AM</v>
      </c>
      <c r="O25496" t="s">
        <v>76796</v>
      </c>
    </row>
    <row r="25497" spans="1:20" x14ac:dyDescent="0.25">
      <c r="A25497" t="str">
        <f>"3056139"</f>
        <v>3056139</v>
      </c>
      <c r="B25497" t="s">
        <v>76798</v>
      </c>
      <c r="C25497" t="str">
        <f>"8320236"</f>
        <v>8320236</v>
      </c>
      <c r="D25497" t="s">
        <v>76602</v>
      </c>
      <c r="E25497" t="s">
        <v>76603</v>
      </c>
      <c r="F25497" t="s">
        <v>76604</v>
      </c>
      <c r="I25497" t="s">
        <v>471</v>
      </c>
      <c r="J25497" t="s">
        <v>30</v>
      </c>
      <c r="K25497" t="s">
        <v>76605</v>
      </c>
      <c r="M25497" t="s">
        <v>50793</v>
      </c>
      <c r="N25497" t="str">
        <f>"4/16/2025 9:37:00 AM"</f>
        <v>4/16/2025 9:37:00 AM</v>
      </c>
      <c r="O25497" t="s">
        <v>76602</v>
      </c>
      <c r="T25497" t="s">
        <v>76603</v>
      </c>
    </row>
    <row r="25498" spans="1:20" x14ac:dyDescent="0.25">
      <c r="A25498" t="str">
        <f>"3056797"</f>
        <v>3056797</v>
      </c>
      <c r="B25498" t="s">
        <v>76799</v>
      </c>
      <c r="C25498" t="str">
        <f>"8317382"</f>
        <v>8317382</v>
      </c>
      <c r="D25498" t="s">
        <v>76800</v>
      </c>
      <c r="F25498" t="s">
        <v>76801</v>
      </c>
      <c r="I25498" t="s">
        <v>29</v>
      </c>
      <c r="J25498" t="s">
        <v>30</v>
      </c>
      <c r="K25498" t="s">
        <v>64087</v>
      </c>
      <c r="M25498" t="s">
        <v>50793</v>
      </c>
      <c r="N25498" t="str">
        <f>"4/16/2025 11:37:00 AM"</f>
        <v>4/16/2025 11:37:00 AM</v>
      </c>
      <c r="O25498" t="s">
        <v>76800</v>
      </c>
    </row>
    <row r="25499" spans="1:20" x14ac:dyDescent="0.25">
      <c r="A25499" t="str">
        <f>"3056061"</f>
        <v>3056061</v>
      </c>
      <c r="B25499" t="s">
        <v>76802</v>
      </c>
      <c r="C25499" t="str">
        <f t="shared" ref="C25499:C25521" si="399">"82517945"</f>
        <v>82517945</v>
      </c>
      <c r="D25499" t="s">
        <v>32351</v>
      </c>
      <c r="F25499" t="s">
        <v>37140</v>
      </c>
      <c r="I25499" t="s">
        <v>29</v>
      </c>
      <c r="J25499" t="s">
        <v>30</v>
      </c>
      <c r="K25499" t="s">
        <v>37141</v>
      </c>
      <c r="M25499" t="s">
        <v>50500</v>
      </c>
      <c r="N25499" t="str">
        <f t="shared" ref="N25499:N25521" si="400">"4/22/2025 11:14:00 AM"</f>
        <v>4/22/2025 11:14:00 AM</v>
      </c>
      <c r="O25499" t="s">
        <v>32351</v>
      </c>
    </row>
    <row r="25500" spans="1:20" x14ac:dyDescent="0.25">
      <c r="A25500" t="str">
        <f>"3049105"</f>
        <v>3049105</v>
      </c>
      <c r="B25500" t="s">
        <v>76803</v>
      </c>
      <c r="C25500" t="str">
        <f t="shared" si="399"/>
        <v>82517945</v>
      </c>
      <c r="D25500" t="s">
        <v>32351</v>
      </c>
      <c r="F25500" t="s">
        <v>37140</v>
      </c>
      <c r="I25500" t="s">
        <v>29</v>
      </c>
      <c r="J25500" t="s">
        <v>30</v>
      </c>
      <c r="K25500" t="s">
        <v>37141</v>
      </c>
      <c r="M25500" t="s">
        <v>50500</v>
      </c>
      <c r="N25500" t="str">
        <f t="shared" si="400"/>
        <v>4/22/2025 11:14:00 AM</v>
      </c>
      <c r="O25500" t="s">
        <v>32351</v>
      </c>
    </row>
    <row r="25501" spans="1:20" x14ac:dyDescent="0.25">
      <c r="A25501" t="str">
        <f>"3048107"</f>
        <v>3048107</v>
      </c>
      <c r="B25501" t="s">
        <v>76804</v>
      </c>
      <c r="C25501" t="str">
        <f t="shared" si="399"/>
        <v>82517945</v>
      </c>
      <c r="D25501" t="s">
        <v>32351</v>
      </c>
      <c r="F25501" t="s">
        <v>37140</v>
      </c>
      <c r="I25501" t="s">
        <v>29</v>
      </c>
      <c r="J25501" t="s">
        <v>30</v>
      </c>
      <c r="K25501" t="s">
        <v>37141</v>
      </c>
      <c r="M25501" t="s">
        <v>50500</v>
      </c>
      <c r="N25501" t="str">
        <f t="shared" si="400"/>
        <v>4/22/2025 11:14:00 AM</v>
      </c>
      <c r="O25501" t="s">
        <v>32351</v>
      </c>
    </row>
    <row r="25502" spans="1:20" x14ac:dyDescent="0.25">
      <c r="A25502" t="str">
        <f>"3052285"</f>
        <v>3052285</v>
      </c>
      <c r="B25502" t="s">
        <v>76805</v>
      </c>
      <c r="C25502" t="str">
        <f t="shared" si="399"/>
        <v>82517945</v>
      </c>
      <c r="D25502" t="s">
        <v>32351</v>
      </c>
      <c r="F25502" t="s">
        <v>37140</v>
      </c>
      <c r="I25502" t="s">
        <v>29</v>
      </c>
      <c r="J25502" t="s">
        <v>30</v>
      </c>
      <c r="K25502" t="s">
        <v>37141</v>
      </c>
      <c r="M25502" t="s">
        <v>50500</v>
      </c>
      <c r="N25502" t="str">
        <f t="shared" si="400"/>
        <v>4/22/2025 11:14:00 AM</v>
      </c>
      <c r="O25502" t="s">
        <v>32351</v>
      </c>
    </row>
    <row r="25503" spans="1:20" x14ac:dyDescent="0.25">
      <c r="A25503" t="str">
        <f>"3051847"</f>
        <v>3051847</v>
      </c>
      <c r="B25503" t="s">
        <v>76806</v>
      </c>
      <c r="C25503" t="str">
        <f t="shared" si="399"/>
        <v>82517945</v>
      </c>
      <c r="D25503" t="s">
        <v>32351</v>
      </c>
      <c r="F25503" t="s">
        <v>37140</v>
      </c>
      <c r="I25503" t="s">
        <v>29</v>
      </c>
      <c r="J25503" t="s">
        <v>30</v>
      </c>
      <c r="K25503" t="s">
        <v>37141</v>
      </c>
      <c r="M25503" t="s">
        <v>50500</v>
      </c>
      <c r="N25503" t="str">
        <f t="shared" si="400"/>
        <v>4/22/2025 11:14:00 AM</v>
      </c>
      <c r="O25503" t="s">
        <v>32351</v>
      </c>
    </row>
    <row r="25504" spans="1:20" x14ac:dyDescent="0.25">
      <c r="A25504" t="str">
        <f>"3051819"</f>
        <v>3051819</v>
      </c>
      <c r="B25504" t="s">
        <v>76807</v>
      </c>
      <c r="C25504" t="str">
        <f t="shared" si="399"/>
        <v>82517945</v>
      </c>
      <c r="D25504" t="s">
        <v>32351</v>
      </c>
      <c r="F25504" t="s">
        <v>37140</v>
      </c>
      <c r="I25504" t="s">
        <v>29</v>
      </c>
      <c r="J25504" t="s">
        <v>30</v>
      </c>
      <c r="K25504" t="s">
        <v>37141</v>
      </c>
      <c r="M25504" t="s">
        <v>50500</v>
      </c>
      <c r="N25504" t="str">
        <f t="shared" si="400"/>
        <v>4/22/2025 11:14:00 AM</v>
      </c>
      <c r="O25504" t="s">
        <v>32351</v>
      </c>
    </row>
    <row r="25505" spans="1:15" x14ac:dyDescent="0.25">
      <c r="A25505" t="str">
        <f>"3051803"</f>
        <v>3051803</v>
      </c>
      <c r="B25505" t="s">
        <v>76808</v>
      </c>
      <c r="C25505" t="str">
        <f t="shared" si="399"/>
        <v>82517945</v>
      </c>
      <c r="D25505" t="s">
        <v>32351</v>
      </c>
      <c r="F25505" t="s">
        <v>37140</v>
      </c>
      <c r="I25505" t="s">
        <v>29</v>
      </c>
      <c r="J25505" t="s">
        <v>30</v>
      </c>
      <c r="K25505" t="s">
        <v>37141</v>
      </c>
      <c r="M25505" t="s">
        <v>50500</v>
      </c>
      <c r="N25505" t="str">
        <f t="shared" si="400"/>
        <v>4/22/2025 11:14:00 AM</v>
      </c>
      <c r="O25505" t="s">
        <v>32351</v>
      </c>
    </row>
    <row r="25506" spans="1:15" x14ac:dyDescent="0.25">
      <c r="A25506" t="str">
        <f>"3051727"</f>
        <v>3051727</v>
      </c>
      <c r="B25506" t="s">
        <v>76809</v>
      </c>
      <c r="C25506" t="str">
        <f t="shared" si="399"/>
        <v>82517945</v>
      </c>
      <c r="D25506" t="s">
        <v>32351</v>
      </c>
      <c r="F25506" t="s">
        <v>37140</v>
      </c>
      <c r="I25506" t="s">
        <v>29</v>
      </c>
      <c r="J25506" t="s">
        <v>30</v>
      </c>
      <c r="K25506" t="s">
        <v>37141</v>
      </c>
      <c r="M25506" t="s">
        <v>50500</v>
      </c>
      <c r="N25506" t="str">
        <f t="shared" si="400"/>
        <v>4/22/2025 11:14:00 AM</v>
      </c>
      <c r="O25506" t="s">
        <v>32351</v>
      </c>
    </row>
    <row r="25507" spans="1:15" x14ac:dyDescent="0.25">
      <c r="A25507" t="str">
        <f>"3051711"</f>
        <v>3051711</v>
      </c>
      <c r="B25507" t="s">
        <v>76810</v>
      </c>
      <c r="C25507" t="str">
        <f t="shared" si="399"/>
        <v>82517945</v>
      </c>
      <c r="D25507" t="s">
        <v>32351</v>
      </c>
      <c r="F25507" t="s">
        <v>37140</v>
      </c>
      <c r="I25507" t="s">
        <v>29</v>
      </c>
      <c r="J25507" t="s">
        <v>30</v>
      </c>
      <c r="K25507" t="s">
        <v>37141</v>
      </c>
      <c r="M25507" t="s">
        <v>50500</v>
      </c>
      <c r="N25507" t="str">
        <f t="shared" si="400"/>
        <v>4/22/2025 11:14:00 AM</v>
      </c>
      <c r="O25507" t="s">
        <v>32351</v>
      </c>
    </row>
    <row r="25508" spans="1:15" x14ac:dyDescent="0.25">
      <c r="A25508" t="str">
        <f>"3037893"</f>
        <v>3037893</v>
      </c>
      <c r="B25508" t="s">
        <v>76811</v>
      </c>
      <c r="C25508" t="str">
        <f t="shared" si="399"/>
        <v>82517945</v>
      </c>
      <c r="D25508" t="s">
        <v>32351</v>
      </c>
      <c r="F25508" t="s">
        <v>37140</v>
      </c>
      <c r="I25508" t="s">
        <v>29</v>
      </c>
      <c r="J25508" t="s">
        <v>30</v>
      </c>
      <c r="K25508" t="s">
        <v>37141</v>
      </c>
      <c r="M25508" t="s">
        <v>50500</v>
      </c>
      <c r="N25508" t="str">
        <f t="shared" si="400"/>
        <v>4/22/2025 11:14:00 AM</v>
      </c>
      <c r="O25508" t="s">
        <v>32351</v>
      </c>
    </row>
    <row r="25509" spans="1:15" x14ac:dyDescent="0.25">
      <c r="A25509" t="str">
        <f>"3037926"</f>
        <v>3037926</v>
      </c>
      <c r="B25509" t="s">
        <v>76812</v>
      </c>
      <c r="C25509" t="str">
        <f t="shared" si="399"/>
        <v>82517945</v>
      </c>
      <c r="D25509" t="s">
        <v>32351</v>
      </c>
      <c r="F25509" t="s">
        <v>37140</v>
      </c>
      <c r="I25509" t="s">
        <v>29</v>
      </c>
      <c r="J25509" t="s">
        <v>30</v>
      </c>
      <c r="K25509" t="s">
        <v>37141</v>
      </c>
      <c r="M25509" t="s">
        <v>50500</v>
      </c>
      <c r="N25509" t="str">
        <f t="shared" si="400"/>
        <v>4/22/2025 11:14:00 AM</v>
      </c>
      <c r="O25509" t="s">
        <v>32351</v>
      </c>
    </row>
    <row r="25510" spans="1:15" x14ac:dyDescent="0.25">
      <c r="A25510" t="str">
        <f>"3037877"</f>
        <v>3037877</v>
      </c>
      <c r="B25510" t="s">
        <v>76813</v>
      </c>
      <c r="C25510" t="str">
        <f t="shared" si="399"/>
        <v>82517945</v>
      </c>
      <c r="D25510" t="s">
        <v>32351</v>
      </c>
      <c r="F25510" t="s">
        <v>37140</v>
      </c>
      <c r="I25510" t="s">
        <v>29</v>
      </c>
      <c r="J25510" t="s">
        <v>30</v>
      </c>
      <c r="K25510" t="s">
        <v>37141</v>
      </c>
      <c r="M25510" t="s">
        <v>50500</v>
      </c>
      <c r="N25510" t="str">
        <f t="shared" si="400"/>
        <v>4/22/2025 11:14:00 AM</v>
      </c>
      <c r="O25510" t="s">
        <v>32351</v>
      </c>
    </row>
    <row r="25511" spans="1:15" x14ac:dyDescent="0.25">
      <c r="A25511" t="str">
        <f>"3039014"</f>
        <v>3039014</v>
      </c>
      <c r="B25511" t="s">
        <v>76814</v>
      </c>
      <c r="C25511" t="str">
        <f t="shared" si="399"/>
        <v>82517945</v>
      </c>
      <c r="D25511" t="s">
        <v>32351</v>
      </c>
      <c r="F25511" t="s">
        <v>37140</v>
      </c>
      <c r="I25511" t="s">
        <v>29</v>
      </c>
      <c r="J25511" t="s">
        <v>30</v>
      </c>
      <c r="K25511" t="s">
        <v>37141</v>
      </c>
      <c r="M25511" t="s">
        <v>50500</v>
      </c>
      <c r="N25511" t="str">
        <f t="shared" si="400"/>
        <v>4/22/2025 11:14:00 AM</v>
      </c>
      <c r="O25511" t="s">
        <v>32351</v>
      </c>
    </row>
    <row r="25512" spans="1:15" x14ac:dyDescent="0.25">
      <c r="A25512" t="str">
        <f>"3039734"</f>
        <v>3039734</v>
      </c>
      <c r="B25512" t="s">
        <v>76815</v>
      </c>
      <c r="C25512" t="str">
        <f t="shared" si="399"/>
        <v>82517945</v>
      </c>
      <c r="D25512" t="s">
        <v>32351</v>
      </c>
      <c r="F25512" t="s">
        <v>37140</v>
      </c>
      <c r="I25512" t="s">
        <v>29</v>
      </c>
      <c r="J25512" t="s">
        <v>30</v>
      </c>
      <c r="K25512" t="s">
        <v>37141</v>
      </c>
      <c r="M25512" t="s">
        <v>50500</v>
      </c>
      <c r="N25512" t="str">
        <f t="shared" si="400"/>
        <v>4/22/2025 11:14:00 AM</v>
      </c>
      <c r="O25512" t="s">
        <v>32351</v>
      </c>
    </row>
    <row r="25513" spans="1:15" x14ac:dyDescent="0.25">
      <c r="A25513" t="str">
        <f>"3041067"</f>
        <v>3041067</v>
      </c>
      <c r="B25513" t="s">
        <v>76816</v>
      </c>
      <c r="C25513" t="str">
        <f t="shared" si="399"/>
        <v>82517945</v>
      </c>
      <c r="D25513" t="s">
        <v>32351</v>
      </c>
      <c r="F25513" t="s">
        <v>37140</v>
      </c>
      <c r="I25513" t="s">
        <v>29</v>
      </c>
      <c r="J25513" t="s">
        <v>30</v>
      </c>
      <c r="K25513" t="s">
        <v>37141</v>
      </c>
      <c r="M25513" t="s">
        <v>50500</v>
      </c>
      <c r="N25513" t="str">
        <f t="shared" si="400"/>
        <v>4/22/2025 11:14:00 AM</v>
      </c>
      <c r="O25513" t="s">
        <v>32351</v>
      </c>
    </row>
    <row r="25514" spans="1:15" x14ac:dyDescent="0.25">
      <c r="A25514" t="str">
        <f>"3046439"</f>
        <v>3046439</v>
      </c>
      <c r="B25514" t="s">
        <v>76817</v>
      </c>
      <c r="C25514" t="str">
        <f t="shared" si="399"/>
        <v>82517945</v>
      </c>
      <c r="D25514" t="s">
        <v>32351</v>
      </c>
      <c r="F25514" t="s">
        <v>37140</v>
      </c>
      <c r="I25514" t="s">
        <v>29</v>
      </c>
      <c r="J25514" t="s">
        <v>30</v>
      </c>
      <c r="K25514" t="s">
        <v>37141</v>
      </c>
      <c r="M25514" t="s">
        <v>50500</v>
      </c>
      <c r="N25514" t="str">
        <f t="shared" si="400"/>
        <v>4/22/2025 11:14:00 AM</v>
      </c>
      <c r="O25514" t="s">
        <v>32351</v>
      </c>
    </row>
    <row r="25515" spans="1:15" x14ac:dyDescent="0.25">
      <c r="A25515" t="str">
        <f>"3046921"</f>
        <v>3046921</v>
      </c>
      <c r="B25515" t="s">
        <v>76818</v>
      </c>
      <c r="C25515" t="str">
        <f t="shared" si="399"/>
        <v>82517945</v>
      </c>
      <c r="D25515" t="s">
        <v>32351</v>
      </c>
      <c r="F25515" t="s">
        <v>37140</v>
      </c>
      <c r="I25515" t="s">
        <v>29</v>
      </c>
      <c r="J25515" t="s">
        <v>30</v>
      </c>
      <c r="K25515" t="s">
        <v>37141</v>
      </c>
      <c r="M25515" t="s">
        <v>50500</v>
      </c>
      <c r="N25515" t="str">
        <f t="shared" si="400"/>
        <v>4/22/2025 11:14:00 AM</v>
      </c>
      <c r="O25515" t="s">
        <v>32351</v>
      </c>
    </row>
    <row r="25516" spans="1:15" x14ac:dyDescent="0.25">
      <c r="A25516" t="str">
        <f>"3043845"</f>
        <v>3043845</v>
      </c>
      <c r="B25516" t="s">
        <v>76819</v>
      </c>
      <c r="C25516" t="str">
        <f t="shared" si="399"/>
        <v>82517945</v>
      </c>
      <c r="D25516" t="s">
        <v>32351</v>
      </c>
      <c r="F25516" t="s">
        <v>37140</v>
      </c>
      <c r="I25516" t="s">
        <v>29</v>
      </c>
      <c r="J25516" t="s">
        <v>30</v>
      </c>
      <c r="K25516" t="s">
        <v>37141</v>
      </c>
      <c r="M25516" t="s">
        <v>50500</v>
      </c>
      <c r="N25516" t="str">
        <f t="shared" si="400"/>
        <v>4/22/2025 11:14:00 AM</v>
      </c>
      <c r="O25516" t="s">
        <v>32351</v>
      </c>
    </row>
    <row r="25517" spans="1:15" x14ac:dyDescent="0.25">
      <c r="A25517" t="str">
        <f>"3042760"</f>
        <v>3042760</v>
      </c>
      <c r="B25517" t="s">
        <v>76820</v>
      </c>
      <c r="C25517" t="str">
        <f t="shared" si="399"/>
        <v>82517945</v>
      </c>
      <c r="D25517" t="s">
        <v>32351</v>
      </c>
      <c r="F25517" t="s">
        <v>37140</v>
      </c>
      <c r="I25517" t="s">
        <v>29</v>
      </c>
      <c r="J25517" t="s">
        <v>30</v>
      </c>
      <c r="K25517" t="s">
        <v>37141</v>
      </c>
      <c r="M25517" t="s">
        <v>50500</v>
      </c>
      <c r="N25517" t="str">
        <f t="shared" si="400"/>
        <v>4/22/2025 11:14:00 AM</v>
      </c>
      <c r="O25517" t="s">
        <v>32351</v>
      </c>
    </row>
    <row r="25518" spans="1:15" x14ac:dyDescent="0.25">
      <c r="A25518" t="str">
        <f>"3077929"</f>
        <v>3077929</v>
      </c>
      <c r="B25518" t="s">
        <v>76821</v>
      </c>
      <c r="C25518" t="str">
        <f t="shared" si="399"/>
        <v>82517945</v>
      </c>
      <c r="D25518" t="s">
        <v>32351</v>
      </c>
      <c r="F25518" t="s">
        <v>37140</v>
      </c>
      <c r="I25518" t="s">
        <v>29</v>
      </c>
      <c r="J25518" t="s">
        <v>30</v>
      </c>
      <c r="K25518" t="s">
        <v>37141</v>
      </c>
      <c r="M25518" t="s">
        <v>50500</v>
      </c>
      <c r="N25518" t="str">
        <f t="shared" si="400"/>
        <v>4/22/2025 11:14:00 AM</v>
      </c>
      <c r="O25518" t="s">
        <v>32351</v>
      </c>
    </row>
    <row r="25519" spans="1:15" x14ac:dyDescent="0.25">
      <c r="A25519" t="str">
        <f>"3065041"</f>
        <v>3065041</v>
      </c>
      <c r="B25519" t="s">
        <v>76822</v>
      </c>
      <c r="C25519" t="str">
        <f t="shared" si="399"/>
        <v>82517945</v>
      </c>
      <c r="D25519" t="s">
        <v>32351</v>
      </c>
      <c r="F25519" t="s">
        <v>37140</v>
      </c>
      <c r="I25519" t="s">
        <v>29</v>
      </c>
      <c r="J25519" t="s">
        <v>30</v>
      </c>
      <c r="K25519" t="s">
        <v>37141</v>
      </c>
      <c r="M25519" t="s">
        <v>50500</v>
      </c>
      <c r="N25519" t="str">
        <f t="shared" si="400"/>
        <v>4/22/2025 11:14:00 AM</v>
      </c>
      <c r="O25519" t="s">
        <v>32351</v>
      </c>
    </row>
    <row r="25520" spans="1:15" x14ac:dyDescent="0.25">
      <c r="A25520" t="str">
        <f>"3059139"</f>
        <v>3059139</v>
      </c>
      <c r="B25520" t="s">
        <v>76823</v>
      </c>
      <c r="C25520" t="str">
        <f t="shared" si="399"/>
        <v>82517945</v>
      </c>
      <c r="D25520" t="s">
        <v>32351</v>
      </c>
      <c r="F25520" t="s">
        <v>37140</v>
      </c>
      <c r="I25520" t="s">
        <v>29</v>
      </c>
      <c r="J25520" t="s">
        <v>30</v>
      </c>
      <c r="K25520" t="s">
        <v>37141</v>
      </c>
      <c r="M25520" t="s">
        <v>50500</v>
      </c>
      <c r="N25520" t="str">
        <f t="shared" si="400"/>
        <v>4/22/2025 11:14:00 AM</v>
      </c>
      <c r="O25520" t="s">
        <v>32351</v>
      </c>
    </row>
    <row r="25521" spans="1:20" x14ac:dyDescent="0.25">
      <c r="A25521" t="str">
        <f>"3058541"</f>
        <v>3058541</v>
      </c>
      <c r="B25521" t="s">
        <v>76824</v>
      </c>
      <c r="C25521" t="str">
        <f t="shared" si="399"/>
        <v>82517945</v>
      </c>
      <c r="D25521" t="s">
        <v>32351</v>
      </c>
      <c r="F25521" t="s">
        <v>37140</v>
      </c>
      <c r="I25521" t="s">
        <v>29</v>
      </c>
      <c r="J25521" t="s">
        <v>30</v>
      </c>
      <c r="K25521" t="s">
        <v>37141</v>
      </c>
      <c r="M25521" t="s">
        <v>50500</v>
      </c>
      <c r="N25521" t="str">
        <f t="shared" si="400"/>
        <v>4/22/2025 11:14:00 AM</v>
      </c>
      <c r="O25521" t="s">
        <v>32351</v>
      </c>
    </row>
    <row r="25522" spans="1:20" x14ac:dyDescent="0.25">
      <c r="A25522" t="str">
        <f>"3047737"</f>
        <v>3047737</v>
      </c>
      <c r="B25522" t="s">
        <v>76825</v>
      </c>
      <c r="C25522" t="str">
        <f>"82516511"</f>
        <v>82516511</v>
      </c>
      <c r="D25522" t="s">
        <v>76826</v>
      </c>
      <c r="E25522" t="s">
        <v>76827</v>
      </c>
      <c r="F25522" t="s">
        <v>37896</v>
      </c>
      <c r="I25522" t="s">
        <v>29</v>
      </c>
      <c r="J25522" t="s">
        <v>30</v>
      </c>
      <c r="K25522" t="s">
        <v>13787</v>
      </c>
      <c r="M25522" t="s">
        <v>50793</v>
      </c>
      <c r="N25522" t="str">
        <f>"4/16/2025 11:57:00 AM"</f>
        <v>4/16/2025 11:57:00 AM</v>
      </c>
      <c r="O25522" t="s">
        <v>76826</v>
      </c>
      <c r="T25522" t="s">
        <v>76827</v>
      </c>
    </row>
    <row r="25523" spans="1:20" x14ac:dyDescent="0.25">
      <c r="A25523" t="str">
        <f>"3046877"</f>
        <v>3046877</v>
      </c>
      <c r="B25523" t="s">
        <v>76828</v>
      </c>
      <c r="C25523" t="str">
        <f>"82528786"</f>
        <v>82528786</v>
      </c>
      <c r="D25523" t="s">
        <v>76829</v>
      </c>
      <c r="F25523" t="s">
        <v>76830</v>
      </c>
      <c r="I25523" t="s">
        <v>29</v>
      </c>
      <c r="J25523" t="s">
        <v>30</v>
      </c>
      <c r="K25523" t="s">
        <v>31</v>
      </c>
      <c r="M25523" t="s">
        <v>50793</v>
      </c>
      <c r="N25523" t="str">
        <f>"4/16/2025 1:01:00 PM"</f>
        <v>4/16/2025 1:01:00 PM</v>
      </c>
      <c r="O25523" t="s">
        <v>76829</v>
      </c>
    </row>
    <row r="25524" spans="1:20" x14ac:dyDescent="0.25">
      <c r="A25524" t="str">
        <f>"3040157"</f>
        <v>3040157</v>
      </c>
      <c r="B25524" t="s">
        <v>76831</v>
      </c>
      <c r="C25524" t="str">
        <f>"8316175"</f>
        <v>8316175</v>
      </c>
      <c r="D25524" t="s">
        <v>76832</v>
      </c>
      <c r="E25524" t="s">
        <v>76833</v>
      </c>
      <c r="F25524" t="s">
        <v>76834</v>
      </c>
      <c r="I25524" t="s">
        <v>163</v>
      </c>
      <c r="J25524" t="s">
        <v>30</v>
      </c>
      <c r="K25524" t="s">
        <v>76835</v>
      </c>
      <c r="M25524" t="s">
        <v>50621</v>
      </c>
      <c r="N25524" t="str">
        <f>"4/16/2025 12:45:00 PM"</f>
        <v>4/16/2025 12:45:00 PM</v>
      </c>
      <c r="O25524" t="s">
        <v>76832</v>
      </c>
      <c r="T25524" t="s">
        <v>76833</v>
      </c>
    </row>
    <row r="25525" spans="1:20" x14ac:dyDescent="0.25">
      <c r="A25525" t="str">
        <f>"3050378"</f>
        <v>3050378</v>
      </c>
      <c r="B25525" t="s">
        <v>76836</v>
      </c>
      <c r="C25525" t="str">
        <f>"13644000"</f>
        <v>13644000</v>
      </c>
      <c r="D25525" t="s">
        <v>76837</v>
      </c>
      <c r="E25525" t="s">
        <v>76838</v>
      </c>
      <c r="F25525" t="s">
        <v>76839</v>
      </c>
      <c r="I25525" t="s">
        <v>184</v>
      </c>
      <c r="J25525" t="s">
        <v>30</v>
      </c>
      <c r="K25525" t="s">
        <v>185</v>
      </c>
      <c r="M25525" t="s">
        <v>50621</v>
      </c>
      <c r="N25525" t="str">
        <f>"4/16/2025 12:47:00 PM"</f>
        <v>4/16/2025 12:47:00 PM</v>
      </c>
      <c r="O25525" t="s">
        <v>76837</v>
      </c>
      <c r="T25525" t="s">
        <v>76838</v>
      </c>
    </row>
    <row r="25526" spans="1:20" x14ac:dyDescent="0.25">
      <c r="A25526" t="str">
        <f>"3058587"</f>
        <v>3058587</v>
      </c>
      <c r="B25526" t="s">
        <v>76840</v>
      </c>
      <c r="C25526" t="str">
        <f>"8320870"</f>
        <v>8320870</v>
      </c>
      <c r="D25526" t="s">
        <v>76841</v>
      </c>
      <c r="E25526" t="s">
        <v>76842</v>
      </c>
      <c r="F25526" t="s">
        <v>76843</v>
      </c>
      <c r="I25526" t="s">
        <v>2071</v>
      </c>
      <c r="J25526" t="s">
        <v>30</v>
      </c>
      <c r="K25526" t="s">
        <v>33423</v>
      </c>
      <c r="M25526" t="s">
        <v>50500</v>
      </c>
      <c r="N25526" t="str">
        <f>"4/16/2025 4:20:00 PM"</f>
        <v>4/16/2025 4:20:00 PM</v>
      </c>
      <c r="O25526" t="s">
        <v>76841</v>
      </c>
      <c r="T25526" t="s">
        <v>76842</v>
      </c>
    </row>
    <row r="25527" spans="1:20" x14ac:dyDescent="0.25">
      <c r="A25527" t="str">
        <f>"3045652"</f>
        <v>3045652</v>
      </c>
      <c r="B25527" t="s">
        <v>76844</v>
      </c>
      <c r="C25527" t="str">
        <f>"8312909"</f>
        <v>8312909</v>
      </c>
      <c r="D25527" t="s">
        <v>76845</v>
      </c>
      <c r="F25527" t="s">
        <v>76846</v>
      </c>
      <c r="I25527" t="s">
        <v>29</v>
      </c>
      <c r="J25527" t="s">
        <v>30</v>
      </c>
      <c r="K25527" t="s">
        <v>36175</v>
      </c>
      <c r="M25527" t="s">
        <v>50621</v>
      </c>
      <c r="N25527" t="str">
        <f>"4/9/2025 2:59:00 PM"</f>
        <v>4/9/2025 2:59:00 PM</v>
      </c>
      <c r="O25527" t="s">
        <v>76845</v>
      </c>
    </row>
    <row r="25528" spans="1:20" x14ac:dyDescent="0.25">
      <c r="A25528" t="str">
        <f>"3057591"</f>
        <v>3057591</v>
      </c>
      <c r="B25528" t="s">
        <v>76847</v>
      </c>
      <c r="C25528" t="str">
        <f>"63682810"</f>
        <v>63682810</v>
      </c>
      <c r="D25528" t="s">
        <v>76848</v>
      </c>
      <c r="F25528" t="s">
        <v>76849</v>
      </c>
      <c r="I25528" t="s">
        <v>29</v>
      </c>
      <c r="J25528" t="s">
        <v>30</v>
      </c>
      <c r="K25528" t="s">
        <v>9396</v>
      </c>
      <c r="M25528" t="s">
        <v>50621</v>
      </c>
      <c r="N25528" t="str">
        <f>"4/9/2025 3:06:00 PM"</f>
        <v>4/9/2025 3:06:00 PM</v>
      </c>
      <c r="O25528" t="s">
        <v>76848</v>
      </c>
    </row>
    <row r="25529" spans="1:20" x14ac:dyDescent="0.25">
      <c r="A25529" t="str">
        <f>"3039761"</f>
        <v>3039761</v>
      </c>
      <c r="B25529" t="s">
        <v>76850</v>
      </c>
      <c r="C25529" t="str">
        <f>"8315354"</f>
        <v>8315354</v>
      </c>
      <c r="D25529" t="s">
        <v>76851</v>
      </c>
      <c r="F25529" t="s">
        <v>76852</v>
      </c>
      <c r="I25529" t="s">
        <v>29</v>
      </c>
      <c r="J25529" t="s">
        <v>30</v>
      </c>
      <c r="K25529" t="s">
        <v>36506</v>
      </c>
      <c r="M25529" t="s">
        <v>50621</v>
      </c>
      <c r="N25529" t="str">
        <f>"4/10/2025 9:42:00 AM"</f>
        <v>4/10/2025 9:42:00 AM</v>
      </c>
      <c r="O25529" t="s">
        <v>76851</v>
      </c>
    </row>
    <row r="25530" spans="1:20" x14ac:dyDescent="0.25">
      <c r="A25530" t="str">
        <f>"3078772"</f>
        <v>3078772</v>
      </c>
      <c r="B25530" t="s">
        <v>76853</v>
      </c>
      <c r="C25530" t="str">
        <f>"8321051"</f>
        <v>8321051</v>
      </c>
      <c r="D25530" t="s">
        <v>76854</v>
      </c>
      <c r="F25530" t="s">
        <v>76855</v>
      </c>
      <c r="I25530" t="s">
        <v>29</v>
      </c>
      <c r="J25530" t="s">
        <v>30</v>
      </c>
      <c r="K25530" t="s">
        <v>15511</v>
      </c>
      <c r="M25530" t="s">
        <v>50621</v>
      </c>
      <c r="N25530" t="str">
        <f>"4/10/2025 9:55:00 AM"</f>
        <v>4/10/2025 9:55:00 AM</v>
      </c>
      <c r="O25530" t="s">
        <v>76854</v>
      </c>
    </row>
    <row r="25531" spans="1:20" x14ac:dyDescent="0.25">
      <c r="A25531" t="str">
        <f>"3048169"</f>
        <v>3048169</v>
      </c>
      <c r="B25531" t="s">
        <v>76856</v>
      </c>
      <c r="C25531" t="str">
        <f>"82531718"</f>
        <v>82531718</v>
      </c>
      <c r="D25531" t="s">
        <v>76857</v>
      </c>
      <c r="F25531" t="s">
        <v>76858</v>
      </c>
      <c r="I25531" t="s">
        <v>184</v>
      </c>
      <c r="J25531" t="s">
        <v>30</v>
      </c>
      <c r="K25531" t="s">
        <v>185</v>
      </c>
      <c r="M25531" t="s">
        <v>50621</v>
      </c>
      <c r="N25531" t="str">
        <f>"4/10/2025 9:52:00 AM"</f>
        <v>4/10/2025 9:52:00 AM</v>
      </c>
      <c r="O25531" t="s">
        <v>76857</v>
      </c>
    </row>
    <row r="25532" spans="1:20" x14ac:dyDescent="0.25">
      <c r="A25532" t="str">
        <f>"3043760"</f>
        <v>3043760</v>
      </c>
      <c r="B25532" t="s">
        <v>76859</v>
      </c>
      <c r="C25532" t="str">
        <f>"8312068"</f>
        <v>8312068</v>
      </c>
      <c r="D25532" t="s">
        <v>76860</v>
      </c>
      <c r="F25532" t="s">
        <v>76861</v>
      </c>
      <c r="I25532" t="s">
        <v>29</v>
      </c>
      <c r="J25532" t="s">
        <v>30</v>
      </c>
      <c r="K25532" t="s">
        <v>76862</v>
      </c>
      <c r="M25532" t="s">
        <v>50621</v>
      </c>
      <c r="N25532" t="str">
        <f>"4/21/2025 10:57:00 AM"</f>
        <v>4/21/2025 10:57:00 AM</v>
      </c>
      <c r="O25532" t="s">
        <v>76860</v>
      </c>
    </row>
    <row r="25533" spans="1:20" x14ac:dyDescent="0.25">
      <c r="A25533" t="str">
        <f>"3055061"</f>
        <v>3055061</v>
      </c>
      <c r="B25533" t="s">
        <v>76863</v>
      </c>
      <c r="C25533" t="str">
        <f>"64888000"</f>
        <v>64888000</v>
      </c>
      <c r="D25533" t="s">
        <v>67959</v>
      </c>
      <c r="E25533" t="s">
        <v>76864</v>
      </c>
      <c r="F25533" t="s">
        <v>76865</v>
      </c>
      <c r="I25533" t="s">
        <v>29</v>
      </c>
      <c r="J25533" t="s">
        <v>30</v>
      </c>
      <c r="K25533" t="s">
        <v>29603</v>
      </c>
      <c r="M25533" t="s">
        <v>50793</v>
      </c>
      <c r="N25533" t="str">
        <f>"4/24/2025 10:57:00 AM"</f>
        <v>4/24/2025 10:57:00 AM</v>
      </c>
      <c r="O25533" t="s">
        <v>67959</v>
      </c>
      <c r="T25533" t="s">
        <v>76864</v>
      </c>
    </row>
    <row r="25534" spans="1:20" x14ac:dyDescent="0.25">
      <c r="A25534" t="str">
        <f>"3055057"</f>
        <v>3055057</v>
      </c>
      <c r="B25534" t="s">
        <v>76866</v>
      </c>
      <c r="C25534" t="str">
        <f>"64888000"</f>
        <v>64888000</v>
      </c>
      <c r="D25534" t="s">
        <v>67959</v>
      </c>
      <c r="E25534" t="s">
        <v>76864</v>
      </c>
      <c r="F25534" t="s">
        <v>76865</v>
      </c>
      <c r="I25534" t="s">
        <v>29</v>
      </c>
      <c r="J25534" t="s">
        <v>30</v>
      </c>
      <c r="K25534" t="s">
        <v>29603</v>
      </c>
      <c r="M25534" t="s">
        <v>50793</v>
      </c>
      <c r="N25534" t="str">
        <f>"4/24/2025 10:57:00 AM"</f>
        <v>4/24/2025 10:57:00 AM</v>
      </c>
      <c r="O25534" t="s">
        <v>67959</v>
      </c>
      <c r="T25534" t="s">
        <v>76864</v>
      </c>
    </row>
    <row r="25535" spans="1:20" x14ac:dyDescent="0.25">
      <c r="A25535" t="str">
        <f>"3055050"</f>
        <v>3055050</v>
      </c>
      <c r="B25535" t="s">
        <v>76867</v>
      </c>
      <c r="C25535" t="str">
        <f>"64888000"</f>
        <v>64888000</v>
      </c>
      <c r="D25535" t="s">
        <v>67959</v>
      </c>
      <c r="E25535" t="s">
        <v>76864</v>
      </c>
      <c r="F25535" t="s">
        <v>76865</v>
      </c>
      <c r="I25535" t="s">
        <v>29</v>
      </c>
      <c r="J25535" t="s">
        <v>30</v>
      </c>
      <c r="K25535" t="s">
        <v>29603</v>
      </c>
      <c r="M25535" t="s">
        <v>50793</v>
      </c>
      <c r="N25535" t="str">
        <f>"4/24/2025 10:57:00 AM"</f>
        <v>4/24/2025 10:57:00 AM</v>
      </c>
      <c r="O25535" t="s">
        <v>67959</v>
      </c>
      <c r="T25535" t="s">
        <v>76864</v>
      </c>
    </row>
    <row r="25536" spans="1:20" x14ac:dyDescent="0.25">
      <c r="A25536" t="str">
        <f>"3054924"</f>
        <v>3054924</v>
      </c>
      <c r="B25536" t="s">
        <v>76868</v>
      </c>
      <c r="C25536" t="str">
        <f>"64888000"</f>
        <v>64888000</v>
      </c>
      <c r="D25536" t="s">
        <v>67959</v>
      </c>
      <c r="E25536" t="s">
        <v>76864</v>
      </c>
      <c r="F25536" t="s">
        <v>76865</v>
      </c>
      <c r="I25536" t="s">
        <v>29</v>
      </c>
      <c r="J25536" t="s">
        <v>30</v>
      </c>
      <c r="K25536" t="s">
        <v>29603</v>
      </c>
      <c r="M25536" t="s">
        <v>50793</v>
      </c>
      <c r="N25536" t="str">
        <f>"4/24/2025 10:57:00 AM"</f>
        <v>4/24/2025 10:57:00 AM</v>
      </c>
      <c r="O25536" t="s">
        <v>67959</v>
      </c>
      <c r="T25536" t="s">
        <v>76864</v>
      </c>
    </row>
    <row r="25537" spans="1:20" x14ac:dyDescent="0.25">
      <c r="A25537" t="str">
        <f>"3053288"</f>
        <v>3053288</v>
      </c>
      <c r="B25537" t="s">
        <v>76869</v>
      </c>
      <c r="C25537" t="str">
        <f>"8314517"</f>
        <v>8314517</v>
      </c>
      <c r="D25537" t="s">
        <v>76870</v>
      </c>
      <c r="E25537" t="s">
        <v>76871</v>
      </c>
      <c r="F25537" t="s">
        <v>76872</v>
      </c>
      <c r="I25537" t="s">
        <v>17921</v>
      </c>
      <c r="J25537" t="s">
        <v>30</v>
      </c>
      <c r="K25537" t="s">
        <v>44863</v>
      </c>
      <c r="M25537" t="s">
        <v>50793</v>
      </c>
      <c r="N25537" t="str">
        <f>"4/25/2025 8:58:00 AM"</f>
        <v>4/25/2025 8:58:00 AM</v>
      </c>
      <c r="O25537" t="s">
        <v>76870</v>
      </c>
      <c r="T25537" t="s">
        <v>76871</v>
      </c>
    </row>
    <row r="25538" spans="1:20" x14ac:dyDescent="0.25">
      <c r="A25538" t="str">
        <f>"3053544"</f>
        <v>3053544</v>
      </c>
      <c r="B25538" t="s">
        <v>76873</v>
      </c>
      <c r="C25538" t="str">
        <f>"8314517"</f>
        <v>8314517</v>
      </c>
      <c r="D25538" t="s">
        <v>76870</v>
      </c>
      <c r="E25538" t="s">
        <v>76871</v>
      </c>
      <c r="F25538" t="s">
        <v>76872</v>
      </c>
      <c r="I25538" t="s">
        <v>17921</v>
      </c>
      <c r="J25538" t="s">
        <v>30</v>
      </c>
      <c r="K25538" t="s">
        <v>44863</v>
      </c>
      <c r="M25538" t="s">
        <v>50793</v>
      </c>
      <c r="N25538" t="str">
        <f>"4/25/2025 8:58:00 AM"</f>
        <v>4/25/2025 8:58:00 AM</v>
      </c>
      <c r="O25538" t="s">
        <v>76870</v>
      </c>
      <c r="T25538" t="s">
        <v>76871</v>
      </c>
    </row>
    <row r="25539" spans="1:20" x14ac:dyDescent="0.25">
      <c r="A25539" t="str">
        <f>"3070278"</f>
        <v>3070278</v>
      </c>
      <c r="B25539" t="s">
        <v>76874</v>
      </c>
      <c r="C25539" t="str">
        <f>"8309084"</f>
        <v>8309084</v>
      </c>
      <c r="D25539" t="s">
        <v>76875</v>
      </c>
      <c r="F25539" t="s">
        <v>76876</v>
      </c>
      <c r="I25539" t="s">
        <v>9580</v>
      </c>
      <c r="J25539" t="s">
        <v>30</v>
      </c>
      <c r="K25539" t="s">
        <v>76877</v>
      </c>
      <c r="M25539" t="s">
        <v>50621</v>
      </c>
      <c r="N25539" t="str">
        <f>"4/21/2025 12:01:00 PM"</f>
        <v>4/21/2025 12:01:00 PM</v>
      </c>
      <c r="O25539" t="s">
        <v>76875</v>
      </c>
    </row>
    <row r="25540" spans="1:20" x14ac:dyDescent="0.25">
      <c r="A25540" t="str">
        <f>"3059002"</f>
        <v>3059002</v>
      </c>
      <c r="B25540" t="s">
        <v>76878</v>
      </c>
      <c r="C25540" t="str">
        <f>"70716750"</f>
        <v>70716750</v>
      </c>
      <c r="D25540" t="s">
        <v>76724</v>
      </c>
      <c r="E25540" t="s">
        <v>76725</v>
      </c>
      <c r="F25540" t="s">
        <v>76726</v>
      </c>
      <c r="I25540" t="s">
        <v>29</v>
      </c>
      <c r="J25540" t="s">
        <v>30</v>
      </c>
      <c r="K25540" t="s">
        <v>31</v>
      </c>
      <c r="M25540" t="s">
        <v>50621</v>
      </c>
      <c r="N25540" t="str">
        <f>"4/21/2025 12:18:00 PM"</f>
        <v>4/21/2025 12:18:00 PM</v>
      </c>
      <c r="O25540" t="s">
        <v>76724</v>
      </c>
      <c r="T25540" t="s">
        <v>76725</v>
      </c>
    </row>
    <row r="25541" spans="1:20" x14ac:dyDescent="0.25">
      <c r="A25541" t="str">
        <f>"3060942"</f>
        <v>3060942</v>
      </c>
      <c r="B25541" t="s">
        <v>76879</v>
      </c>
      <c r="C25541" t="str">
        <f>"8318352"</f>
        <v>8318352</v>
      </c>
      <c r="D25541" t="s">
        <v>76880</v>
      </c>
      <c r="F25541" t="s">
        <v>76881</v>
      </c>
      <c r="I25541" t="s">
        <v>184</v>
      </c>
      <c r="J25541" t="s">
        <v>30</v>
      </c>
      <c r="K25541" t="s">
        <v>4308</v>
      </c>
      <c r="M25541" t="s">
        <v>50621</v>
      </c>
      <c r="N25541" t="str">
        <f>"4/21/2025 1:08:00 PM"</f>
        <v>4/21/2025 1:08:00 PM</v>
      </c>
      <c r="O25541" t="s">
        <v>76880</v>
      </c>
    </row>
    <row r="25542" spans="1:20" x14ac:dyDescent="0.25">
      <c r="A25542" t="str">
        <f>"3038305"</f>
        <v>3038305</v>
      </c>
      <c r="B25542" t="s">
        <v>76882</v>
      </c>
      <c r="C25542" t="str">
        <f>"43591000"</f>
        <v>43591000</v>
      </c>
      <c r="D25542" t="s">
        <v>76883</v>
      </c>
      <c r="F25542" t="s">
        <v>76884</v>
      </c>
      <c r="I25542" t="s">
        <v>29</v>
      </c>
      <c r="J25542" t="s">
        <v>30</v>
      </c>
      <c r="K25542" t="s">
        <v>74968</v>
      </c>
      <c r="M25542" t="s">
        <v>50621</v>
      </c>
      <c r="N25542" t="str">
        <f>"4/28/2025 10:57:00 AM"</f>
        <v>4/28/2025 10:57:00 AM</v>
      </c>
      <c r="O25542" t="s">
        <v>76883</v>
      </c>
    </row>
    <row r="25543" spans="1:20" x14ac:dyDescent="0.25">
      <c r="A25543" t="str">
        <f>"3083016"</f>
        <v>3083016</v>
      </c>
      <c r="B25543" t="s">
        <v>76885</v>
      </c>
      <c r="C25543" t="str">
        <f>"43591000"</f>
        <v>43591000</v>
      </c>
      <c r="D25543" t="s">
        <v>76883</v>
      </c>
      <c r="F25543" t="s">
        <v>76884</v>
      </c>
      <c r="I25543" t="s">
        <v>29</v>
      </c>
      <c r="J25543" t="s">
        <v>30</v>
      </c>
      <c r="K25543" t="s">
        <v>74968</v>
      </c>
      <c r="M25543" t="s">
        <v>50621</v>
      </c>
      <c r="N25543" t="str">
        <f>"4/28/2025 10:57:00 AM"</f>
        <v>4/28/2025 10:57:00 AM</v>
      </c>
      <c r="O25543" t="s">
        <v>76883</v>
      </c>
    </row>
    <row r="25544" spans="1:20" x14ac:dyDescent="0.25">
      <c r="A25544" t="str">
        <f>"3056472"</f>
        <v>3056472</v>
      </c>
      <c r="B25544" t="s">
        <v>76886</v>
      </c>
      <c r="C25544" t="str">
        <f>"40500000"</f>
        <v>40500000</v>
      </c>
      <c r="D25544" t="s">
        <v>76887</v>
      </c>
      <c r="F25544" t="s">
        <v>16812</v>
      </c>
      <c r="I25544" t="s">
        <v>964</v>
      </c>
      <c r="J25544" t="s">
        <v>30</v>
      </c>
      <c r="K25544" t="s">
        <v>76888</v>
      </c>
      <c r="M25544" t="s">
        <v>50621</v>
      </c>
      <c r="N25544" t="str">
        <f>"4/28/2025 11:01:00 AM"</f>
        <v>4/28/2025 11:01:00 AM</v>
      </c>
      <c r="O25544" t="s">
        <v>76887</v>
      </c>
    </row>
    <row r="25545" spans="1:20" x14ac:dyDescent="0.25">
      <c r="A25545" t="str">
        <f>"3038026"</f>
        <v>3038026</v>
      </c>
      <c r="B25545" t="s">
        <v>76889</v>
      </c>
      <c r="C25545" t="str">
        <f>"8302098"</f>
        <v>8302098</v>
      </c>
      <c r="D25545" t="s">
        <v>76890</v>
      </c>
      <c r="F25545" t="s">
        <v>76891</v>
      </c>
      <c r="G25545" t="s">
        <v>76892</v>
      </c>
      <c r="I25545" t="s">
        <v>51356</v>
      </c>
      <c r="J25545" t="s">
        <v>12725</v>
      </c>
      <c r="K25545" t="s">
        <v>76893</v>
      </c>
      <c r="M25545" t="s">
        <v>50621</v>
      </c>
      <c r="N25545" t="str">
        <f>"4/21/2025 1:18:00 PM"</f>
        <v>4/21/2025 1:18:00 PM</v>
      </c>
      <c r="O25545" t="s">
        <v>76890</v>
      </c>
    </row>
    <row r="25546" spans="1:20" x14ac:dyDescent="0.25">
      <c r="A25546" t="str">
        <f>"3049521"</f>
        <v>3049521</v>
      </c>
      <c r="B25546" t="s">
        <v>76894</v>
      </c>
      <c r="C25546" t="str">
        <f>"82521850"</f>
        <v>82521850</v>
      </c>
      <c r="D25546" t="s">
        <v>76895</v>
      </c>
      <c r="F25546" t="s">
        <v>76896</v>
      </c>
      <c r="I25546" t="s">
        <v>76897</v>
      </c>
      <c r="J25546" t="s">
        <v>4132</v>
      </c>
      <c r="K25546" t="s">
        <v>76898</v>
      </c>
      <c r="M25546" t="s">
        <v>50621</v>
      </c>
      <c r="N25546" t="str">
        <f>"4/21/2025 1:26:00 PM"</f>
        <v>4/21/2025 1:26:00 PM</v>
      </c>
      <c r="O25546" t="s">
        <v>76895</v>
      </c>
    </row>
    <row r="25547" spans="1:20" x14ac:dyDescent="0.25">
      <c r="A25547" t="str">
        <f>"3056084"</f>
        <v>3056084</v>
      </c>
      <c r="B25547" t="s">
        <v>76899</v>
      </c>
      <c r="C25547" t="str">
        <f>"8317903"</f>
        <v>8317903</v>
      </c>
      <c r="D25547" t="s">
        <v>76743</v>
      </c>
      <c r="F25547" t="s">
        <v>76744</v>
      </c>
      <c r="I25547" t="s">
        <v>7917</v>
      </c>
      <c r="J25547" t="s">
        <v>30</v>
      </c>
      <c r="K25547" t="s">
        <v>76745</v>
      </c>
      <c r="M25547" t="s">
        <v>50793</v>
      </c>
      <c r="N25547" t="str">
        <f>"4/21/2025 1:59:00 PM"</f>
        <v>4/21/2025 1:59:00 PM</v>
      </c>
      <c r="O25547" t="s">
        <v>76743</v>
      </c>
    </row>
    <row r="25548" spans="1:20" x14ac:dyDescent="0.25">
      <c r="A25548" t="str">
        <f>"3056245"</f>
        <v>3056245</v>
      </c>
      <c r="B25548" t="s">
        <v>76900</v>
      </c>
      <c r="C25548" t="str">
        <f>"8317557"</f>
        <v>8317557</v>
      </c>
      <c r="D25548" t="s">
        <v>76901</v>
      </c>
      <c r="E25548" t="s">
        <v>76902</v>
      </c>
      <c r="F25548" t="s">
        <v>76903</v>
      </c>
      <c r="I25548" t="s">
        <v>29</v>
      </c>
      <c r="J25548" t="s">
        <v>30</v>
      </c>
      <c r="K25548" t="s">
        <v>58561</v>
      </c>
      <c r="M25548" t="s">
        <v>50621</v>
      </c>
      <c r="N25548" t="str">
        <f>"4/22/2025 9:20:00 AM"</f>
        <v>4/22/2025 9:20:00 AM</v>
      </c>
      <c r="O25548" t="s">
        <v>76901</v>
      </c>
      <c r="T25548" t="s">
        <v>76902</v>
      </c>
    </row>
    <row r="25549" spans="1:20" x14ac:dyDescent="0.25">
      <c r="A25549" t="str">
        <f>"3056691"</f>
        <v>3056691</v>
      </c>
      <c r="B25549" t="s">
        <v>76904</v>
      </c>
      <c r="C25549" t="str">
        <f>"8317557"</f>
        <v>8317557</v>
      </c>
      <c r="D25549" t="s">
        <v>76901</v>
      </c>
      <c r="E25549" t="s">
        <v>76902</v>
      </c>
      <c r="F25549" t="s">
        <v>76903</v>
      </c>
      <c r="I25549" t="s">
        <v>29</v>
      </c>
      <c r="J25549" t="s">
        <v>30</v>
      </c>
      <c r="K25549" t="s">
        <v>58561</v>
      </c>
      <c r="M25549" t="s">
        <v>50621</v>
      </c>
      <c r="N25549" t="str">
        <f>"4/22/2025 9:20:00 AM"</f>
        <v>4/22/2025 9:20:00 AM</v>
      </c>
      <c r="O25549" t="s">
        <v>76901</v>
      </c>
      <c r="T25549" t="s">
        <v>76902</v>
      </c>
    </row>
    <row r="25550" spans="1:20" x14ac:dyDescent="0.25">
      <c r="A25550" t="str">
        <f>"3072543"</f>
        <v>3072543</v>
      </c>
      <c r="B25550" t="s">
        <v>76905</v>
      </c>
      <c r="C25550" t="str">
        <f>"82518396"</f>
        <v>82518396</v>
      </c>
      <c r="D25550" t="s">
        <v>76776</v>
      </c>
      <c r="F25550" t="s">
        <v>76777</v>
      </c>
      <c r="I25550" t="s">
        <v>29</v>
      </c>
      <c r="J25550" t="s">
        <v>30</v>
      </c>
      <c r="K25550" t="s">
        <v>76778</v>
      </c>
      <c r="M25550" t="s">
        <v>50621</v>
      </c>
      <c r="N25550" t="str">
        <f>"4/22/2025 10:19:00 AM"</f>
        <v>4/22/2025 10:19:00 AM</v>
      </c>
      <c r="O25550" t="s">
        <v>76776</v>
      </c>
    </row>
    <row r="25551" spans="1:20" x14ac:dyDescent="0.25">
      <c r="A25551" t="str">
        <f>"3037380"</f>
        <v>3037380</v>
      </c>
      <c r="B25551" t="s">
        <v>76906</v>
      </c>
      <c r="C25551" t="str">
        <f>"82530776"</f>
        <v>82530776</v>
      </c>
      <c r="D25551" t="s">
        <v>76907</v>
      </c>
      <c r="E25551" t="s">
        <v>76908</v>
      </c>
      <c r="F25551" t="s">
        <v>76909</v>
      </c>
      <c r="I25551" t="s">
        <v>184</v>
      </c>
      <c r="J25551" t="s">
        <v>30</v>
      </c>
      <c r="K25551" t="s">
        <v>185</v>
      </c>
      <c r="M25551" t="s">
        <v>50793</v>
      </c>
      <c r="N25551" t="str">
        <f>"4/22/2025 11:04:00 AM"</f>
        <v>4/22/2025 11:04:00 AM</v>
      </c>
      <c r="O25551" t="s">
        <v>76907</v>
      </c>
      <c r="T25551" t="s">
        <v>76908</v>
      </c>
    </row>
    <row r="25552" spans="1:20" x14ac:dyDescent="0.25">
      <c r="A25552" t="str">
        <f>"3038215"</f>
        <v>3038215</v>
      </c>
      <c r="B25552" t="s">
        <v>76910</v>
      </c>
      <c r="C25552" t="str">
        <f>"82533120"</f>
        <v>82533120</v>
      </c>
      <c r="D25552" t="s">
        <v>76911</v>
      </c>
      <c r="F25552" t="s">
        <v>76912</v>
      </c>
      <c r="I25552" t="s">
        <v>29</v>
      </c>
      <c r="J25552" t="s">
        <v>30</v>
      </c>
      <c r="K25552" t="s">
        <v>76913</v>
      </c>
      <c r="M25552" t="s">
        <v>50621</v>
      </c>
      <c r="N25552" t="str">
        <f>"4/29/2025 9:44:00 AM"</f>
        <v>4/29/2025 9:44:00 AM</v>
      </c>
      <c r="O25552" t="s">
        <v>76911</v>
      </c>
    </row>
    <row r="25553" spans="1:20" x14ac:dyDescent="0.25">
      <c r="A25553" t="str">
        <f>"3037431"</f>
        <v>3037431</v>
      </c>
      <c r="B25553" t="s">
        <v>76914</v>
      </c>
      <c r="C25553" t="str">
        <f>"2428750"</f>
        <v>2428750</v>
      </c>
      <c r="D25553" t="s">
        <v>76915</v>
      </c>
      <c r="E25553" t="s">
        <v>51331</v>
      </c>
      <c r="F25553" t="s">
        <v>76916</v>
      </c>
      <c r="I25553" t="s">
        <v>29</v>
      </c>
      <c r="J25553" t="s">
        <v>30</v>
      </c>
      <c r="K25553" t="s">
        <v>92</v>
      </c>
      <c r="M25553" t="s">
        <v>50500</v>
      </c>
      <c r="N25553" t="str">
        <f>"4/29/2025 9:44:00 AM"</f>
        <v>4/29/2025 9:44:00 AM</v>
      </c>
      <c r="O25553" t="s">
        <v>76915</v>
      </c>
      <c r="T25553" t="s">
        <v>51331</v>
      </c>
    </row>
    <row r="25554" spans="1:20" x14ac:dyDescent="0.25">
      <c r="A25554" t="str">
        <f>"3037488"</f>
        <v>3037488</v>
      </c>
      <c r="B25554" t="s">
        <v>76917</v>
      </c>
      <c r="C25554" t="str">
        <f>"2428750"</f>
        <v>2428750</v>
      </c>
      <c r="D25554" t="s">
        <v>76915</v>
      </c>
      <c r="E25554" t="s">
        <v>51331</v>
      </c>
      <c r="F25554" t="s">
        <v>76916</v>
      </c>
      <c r="I25554" t="s">
        <v>29</v>
      </c>
      <c r="J25554" t="s">
        <v>30</v>
      </c>
      <c r="K25554" t="s">
        <v>92</v>
      </c>
      <c r="M25554" t="s">
        <v>50500</v>
      </c>
      <c r="N25554" t="str">
        <f>"4/29/2025 9:44:00 AM"</f>
        <v>4/29/2025 9:44:00 AM</v>
      </c>
      <c r="O25554" t="s">
        <v>76915</v>
      </c>
      <c r="T25554" t="s">
        <v>51331</v>
      </c>
    </row>
    <row r="25555" spans="1:20" x14ac:dyDescent="0.25">
      <c r="A25555" t="str">
        <f>"3037489"</f>
        <v>3037489</v>
      </c>
      <c r="B25555" t="s">
        <v>76918</v>
      </c>
      <c r="C25555" t="str">
        <f>"2428750"</f>
        <v>2428750</v>
      </c>
      <c r="D25555" t="s">
        <v>76915</v>
      </c>
      <c r="E25555" t="s">
        <v>51331</v>
      </c>
      <c r="F25555" t="s">
        <v>76916</v>
      </c>
      <c r="I25555" t="s">
        <v>29</v>
      </c>
      <c r="J25555" t="s">
        <v>30</v>
      </c>
      <c r="K25555" t="s">
        <v>92</v>
      </c>
      <c r="M25555" t="s">
        <v>50500</v>
      </c>
      <c r="N25555" t="str">
        <f>"4/29/2025 9:44:00 AM"</f>
        <v>4/29/2025 9:44:00 AM</v>
      </c>
      <c r="O25555" t="s">
        <v>76915</v>
      </c>
      <c r="T25555" t="s">
        <v>51331</v>
      </c>
    </row>
    <row r="25556" spans="1:20" x14ac:dyDescent="0.25">
      <c r="A25556" t="str">
        <f>"3037614"</f>
        <v>3037614</v>
      </c>
      <c r="B25556" t="s">
        <v>76919</v>
      </c>
      <c r="C25556" t="str">
        <f>"2428750"</f>
        <v>2428750</v>
      </c>
      <c r="D25556" t="s">
        <v>76915</v>
      </c>
      <c r="E25556" t="s">
        <v>51331</v>
      </c>
      <c r="F25556" t="s">
        <v>76916</v>
      </c>
      <c r="I25556" t="s">
        <v>29</v>
      </c>
      <c r="J25556" t="s">
        <v>30</v>
      </c>
      <c r="K25556" t="s">
        <v>92</v>
      </c>
      <c r="M25556" t="s">
        <v>50500</v>
      </c>
      <c r="N25556" t="str">
        <f>"4/29/2025 9:44:00 AM"</f>
        <v>4/29/2025 9:44:00 AM</v>
      </c>
      <c r="O25556" t="s">
        <v>76915</v>
      </c>
      <c r="T25556" t="s">
        <v>51331</v>
      </c>
    </row>
    <row r="25557" spans="1:20" x14ac:dyDescent="0.25">
      <c r="A25557" t="str">
        <f>"3048972"</f>
        <v>3048972</v>
      </c>
      <c r="B25557" t="s">
        <v>76920</v>
      </c>
      <c r="C25557" t="str">
        <f>"8309388"</f>
        <v>8309388</v>
      </c>
      <c r="D25557" t="s">
        <v>76921</v>
      </c>
      <c r="F25557" t="s">
        <v>15910</v>
      </c>
      <c r="I25557" t="s">
        <v>28654</v>
      </c>
      <c r="J25557" t="s">
        <v>30</v>
      </c>
      <c r="K25557" t="s">
        <v>76922</v>
      </c>
      <c r="M25557" t="s">
        <v>50621</v>
      </c>
      <c r="N25557" t="str">
        <f>"4/29/2025 9:47:00 AM"</f>
        <v>4/29/2025 9:47:00 AM</v>
      </c>
      <c r="O25557" t="s">
        <v>76921</v>
      </c>
    </row>
    <row r="25558" spans="1:20" x14ac:dyDescent="0.25">
      <c r="A25558" t="str">
        <f>"3060339"</f>
        <v>3060339</v>
      </c>
      <c r="B25558" t="s">
        <v>76923</v>
      </c>
      <c r="C25558" t="str">
        <f>"8309226"</f>
        <v>8309226</v>
      </c>
      <c r="D25558" t="s">
        <v>76924</v>
      </c>
      <c r="E25558" t="s">
        <v>76925</v>
      </c>
      <c r="F25558" t="s">
        <v>76926</v>
      </c>
      <c r="I25558" t="s">
        <v>17921</v>
      </c>
      <c r="J25558" t="s">
        <v>30</v>
      </c>
      <c r="K25558" t="str">
        <f>"27028"</f>
        <v>27028</v>
      </c>
      <c r="M25558" t="s">
        <v>50621</v>
      </c>
      <c r="N25558" t="str">
        <f>"4/29/2025 9:48:00 AM"</f>
        <v>4/29/2025 9:48:00 AM</v>
      </c>
      <c r="O25558" t="s">
        <v>76924</v>
      </c>
      <c r="T25558" t="s">
        <v>76925</v>
      </c>
    </row>
    <row r="25559" spans="1:20" x14ac:dyDescent="0.25">
      <c r="A25559" t="str">
        <f>"3057752"</f>
        <v>3057752</v>
      </c>
      <c r="B25559" t="s">
        <v>76927</v>
      </c>
      <c r="C25559" t="str">
        <f>"8314149"</f>
        <v>8314149</v>
      </c>
      <c r="D25559" t="s">
        <v>76928</v>
      </c>
      <c r="F25559" t="s">
        <v>76929</v>
      </c>
      <c r="I25559" t="s">
        <v>17921</v>
      </c>
      <c r="J25559" t="s">
        <v>30</v>
      </c>
      <c r="K25559" t="str">
        <f>"27028"</f>
        <v>27028</v>
      </c>
      <c r="M25559" t="s">
        <v>50793</v>
      </c>
      <c r="N25559" t="str">
        <f>"4/22/2025 11:09:00 AM"</f>
        <v>4/22/2025 11:09:00 AM</v>
      </c>
      <c r="O25559" t="s">
        <v>76928</v>
      </c>
    </row>
    <row r="25560" spans="1:20" x14ac:dyDescent="0.25">
      <c r="A25560" t="str">
        <f>"3049197"</f>
        <v>3049197</v>
      </c>
      <c r="B25560" t="s">
        <v>76930</v>
      </c>
      <c r="C25560" t="str">
        <f>"8319881"</f>
        <v>8319881</v>
      </c>
      <c r="D25560" t="s">
        <v>76931</v>
      </c>
      <c r="F25560" t="s">
        <v>76932</v>
      </c>
      <c r="I25560" t="s">
        <v>29</v>
      </c>
      <c r="J25560" t="s">
        <v>30</v>
      </c>
      <c r="K25560" t="s">
        <v>33241</v>
      </c>
      <c r="M25560" t="s">
        <v>50793</v>
      </c>
      <c r="N25560" t="str">
        <f>"4/22/2025 1:53:00 PM"</f>
        <v>4/22/2025 1:53:00 PM</v>
      </c>
      <c r="O25560" t="s">
        <v>76931</v>
      </c>
    </row>
    <row r="25561" spans="1:20" x14ac:dyDescent="0.25">
      <c r="A25561" t="str">
        <f>"3056831"</f>
        <v>3056831</v>
      </c>
      <c r="B25561" t="s">
        <v>76933</v>
      </c>
      <c r="C25561" t="str">
        <f>"8305438"</f>
        <v>8305438</v>
      </c>
      <c r="D25561" t="s">
        <v>76934</v>
      </c>
      <c r="F25561" t="s">
        <v>76935</v>
      </c>
      <c r="I25561" t="s">
        <v>184</v>
      </c>
      <c r="J25561" t="s">
        <v>30</v>
      </c>
      <c r="K25561" t="str">
        <f>"27006"</f>
        <v>27006</v>
      </c>
      <c r="M25561" t="s">
        <v>50621</v>
      </c>
      <c r="N25561" t="str">
        <f>"4/29/2025 9:57:00 AM"</f>
        <v>4/29/2025 9:57:00 AM</v>
      </c>
      <c r="O25561" t="s">
        <v>76934</v>
      </c>
    </row>
    <row r="25562" spans="1:20" x14ac:dyDescent="0.25">
      <c r="A25562" t="str">
        <f>"3062214"</f>
        <v>3062214</v>
      </c>
      <c r="B25562" t="s">
        <v>76936</v>
      </c>
      <c r="C25562" t="str">
        <f>"8305438"</f>
        <v>8305438</v>
      </c>
      <c r="D25562" t="s">
        <v>76934</v>
      </c>
      <c r="F25562" t="s">
        <v>76935</v>
      </c>
      <c r="I25562" t="s">
        <v>184</v>
      </c>
      <c r="J25562" t="s">
        <v>30</v>
      </c>
      <c r="K25562" t="str">
        <f>"27006"</f>
        <v>27006</v>
      </c>
      <c r="M25562" t="s">
        <v>50621</v>
      </c>
      <c r="N25562" t="str">
        <f>"4/29/2025 9:57:00 AM"</f>
        <v>4/29/2025 9:57:00 AM</v>
      </c>
      <c r="O25562" t="s">
        <v>76934</v>
      </c>
    </row>
    <row r="25563" spans="1:20" x14ac:dyDescent="0.25">
      <c r="A25563" t="str">
        <f>"3060773"</f>
        <v>3060773</v>
      </c>
      <c r="B25563" t="s">
        <v>76937</v>
      </c>
      <c r="C25563" t="str">
        <f>"8305438"</f>
        <v>8305438</v>
      </c>
      <c r="D25563" t="s">
        <v>76934</v>
      </c>
      <c r="F25563" t="s">
        <v>76935</v>
      </c>
      <c r="I25563" t="s">
        <v>184</v>
      </c>
      <c r="J25563" t="s">
        <v>30</v>
      </c>
      <c r="K25563" t="str">
        <f>"27006"</f>
        <v>27006</v>
      </c>
      <c r="M25563" t="s">
        <v>50621</v>
      </c>
      <c r="N25563" t="str">
        <f>"4/29/2025 9:57:00 AM"</f>
        <v>4/29/2025 9:57:00 AM</v>
      </c>
      <c r="O25563" t="s">
        <v>76934</v>
      </c>
    </row>
    <row r="25564" spans="1:20" x14ac:dyDescent="0.25">
      <c r="A25564" t="str">
        <f>"3060331"</f>
        <v>3060331</v>
      </c>
      <c r="B25564" t="s">
        <v>76938</v>
      </c>
      <c r="C25564" t="str">
        <f>"82527957"</f>
        <v>82527957</v>
      </c>
      <c r="D25564" t="s">
        <v>76939</v>
      </c>
      <c r="E25564" t="s">
        <v>76940</v>
      </c>
      <c r="F25564" t="s">
        <v>76941</v>
      </c>
      <c r="I25564" t="s">
        <v>29</v>
      </c>
      <c r="J25564" t="s">
        <v>30</v>
      </c>
      <c r="K25564" t="s">
        <v>31</v>
      </c>
      <c r="M25564" t="s">
        <v>50621</v>
      </c>
      <c r="N25564" t="str">
        <f>"4/29/2025 10:04:00 AM"</f>
        <v>4/29/2025 10:04:00 AM</v>
      </c>
      <c r="O25564" t="s">
        <v>76939</v>
      </c>
      <c r="T25564" t="s">
        <v>76940</v>
      </c>
    </row>
    <row r="25565" spans="1:20" x14ac:dyDescent="0.25">
      <c r="A25565" t="str">
        <f>"3043221"</f>
        <v>3043221</v>
      </c>
      <c r="B25565" t="s">
        <v>76942</v>
      </c>
      <c r="C25565" t="str">
        <f>"8315043"</f>
        <v>8315043</v>
      </c>
      <c r="D25565" t="s">
        <v>76943</v>
      </c>
      <c r="F25565" t="s">
        <v>76944</v>
      </c>
      <c r="I25565" t="s">
        <v>29</v>
      </c>
      <c r="J25565" t="s">
        <v>30</v>
      </c>
      <c r="K25565" t="s">
        <v>52239</v>
      </c>
      <c r="M25565" t="s">
        <v>50621</v>
      </c>
      <c r="N25565" t="str">
        <f>"4/29/2025 10:13:00 AM"</f>
        <v>4/29/2025 10:13:00 AM</v>
      </c>
      <c r="O25565" t="s">
        <v>76943</v>
      </c>
    </row>
    <row r="25566" spans="1:20" x14ac:dyDescent="0.25">
      <c r="A25566" t="str">
        <f>"3041905"</f>
        <v>3041905</v>
      </c>
      <c r="B25566" t="s">
        <v>76945</v>
      </c>
      <c r="C25566" t="str">
        <f t="shared" ref="C25566:C25584" si="401">"8321558"</f>
        <v>8321558</v>
      </c>
      <c r="D25566" t="s">
        <v>73101</v>
      </c>
      <c r="F25566" t="s">
        <v>73102</v>
      </c>
      <c r="G25566" t="s">
        <v>63293</v>
      </c>
      <c r="I25566" t="s">
        <v>8536</v>
      </c>
      <c r="J25566" t="s">
        <v>30</v>
      </c>
      <c r="K25566" t="s">
        <v>73103</v>
      </c>
      <c r="M25566" t="s">
        <v>50500</v>
      </c>
      <c r="N25566" t="str">
        <f t="shared" ref="N25566:N25584" si="402">"4/29/2025 10:16:00 AM"</f>
        <v>4/29/2025 10:16:00 AM</v>
      </c>
      <c r="O25566" t="s">
        <v>73101</v>
      </c>
    </row>
    <row r="25567" spans="1:20" x14ac:dyDescent="0.25">
      <c r="A25567" t="str">
        <f>"3041906"</f>
        <v>3041906</v>
      </c>
      <c r="B25567" t="s">
        <v>76946</v>
      </c>
      <c r="C25567" t="str">
        <f t="shared" si="401"/>
        <v>8321558</v>
      </c>
      <c r="D25567" t="s">
        <v>73101</v>
      </c>
      <c r="F25567" t="s">
        <v>73102</v>
      </c>
      <c r="G25567" t="s">
        <v>63293</v>
      </c>
      <c r="I25567" t="s">
        <v>8536</v>
      </c>
      <c r="J25567" t="s">
        <v>30</v>
      </c>
      <c r="K25567" t="s">
        <v>73103</v>
      </c>
      <c r="M25567" t="s">
        <v>50500</v>
      </c>
      <c r="N25567" t="str">
        <f t="shared" si="402"/>
        <v>4/29/2025 10:16:00 AM</v>
      </c>
      <c r="O25567" t="s">
        <v>73101</v>
      </c>
    </row>
    <row r="25568" spans="1:20" x14ac:dyDescent="0.25">
      <c r="A25568" t="str">
        <f>"3041881"</f>
        <v>3041881</v>
      </c>
      <c r="B25568" t="s">
        <v>76947</v>
      </c>
      <c r="C25568" t="str">
        <f t="shared" si="401"/>
        <v>8321558</v>
      </c>
      <c r="D25568" t="s">
        <v>73101</v>
      </c>
      <c r="F25568" t="s">
        <v>73102</v>
      </c>
      <c r="G25568" t="s">
        <v>63293</v>
      </c>
      <c r="I25568" t="s">
        <v>8536</v>
      </c>
      <c r="J25568" t="s">
        <v>30</v>
      </c>
      <c r="K25568" t="s">
        <v>73103</v>
      </c>
      <c r="M25568" t="s">
        <v>50500</v>
      </c>
      <c r="N25568" t="str">
        <f t="shared" si="402"/>
        <v>4/29/2025 10:16:00 AM</v>
      </c>
      <c r="O25568" t="s">
        <v>73101</v>
      </c>
    </row>
    <row r="25569" spans="1:15" x14ac:dyDescent="0.25">
      <c r="A25569" t="str">
        <f>"3058609"</f>
        <v>3058609</v>
      </c>
      <c r="B25569" t="s">
        <v>76948</v>
      </c>
      <c r="C25569" t="str">
        <f t="shared" si="401"/>
        <v>8321558</v>
      </c>
      <c r="D25569" t="s">
        <v>73101</v>
      </c>
      <c r="F25569" t="s">
        <v>73102</v>
      </c>
      <c r="G25569" t="s">
        <v>63293</v>
      </c>
      <c r="I25569" t="s">
        <v>8536</v>
      </c>
      <c r="J25569" t="s">
        <v>30</v>
      </c>
      <c r="K25569" t="s">
        <v>73103</v>
      </c>
      <c r="M25569" t="s">
        <v>50500</v>
      </c>
      <c r="N25569" t="str">
        <f t="shared" si="402"/>
        <v>4/29/2025 10:16:00 AM</v>
      </c>
      <c r="O25569" t="s">
        <v>73101</v>
      </c>
    </row>
    <row r="25570" spans="1:15" x14ac:dyDescent="0.25">
      <c r="A25570" t="str">
        <f>"3062915"</f>
        <v>3062915</v>
      </c>
      <c r="B25570" t="s">
        <v>76949</v>
      </c>
      <c r="C25570" t="str">
        <f t="shared" si="401"/>
        <v>8321558</v>
      </c>
      <c r="D25570" t="s">
        <v>73101</v>
      </c>
      <c r="F25570" t="s">
        <v>73102</v>
      </c>
      <c r="G25570" t="s">
        <v>63293</v>
      </c>
      <c r="I25570" t="s">
        <v>8536</v>
      </c>
      <c r="J25570" t="s">
        <v>30</v>
      </c>
      <c r="K25570" t="s">
        <v>73103</v>
      </c>
      <c r="M25570" t="s">
        <v>50500</v>
      </c>
      <c r="N25570" t="str">
        <f t="shared" si="402"/>
        <v>4/29/2025 10:16:00 AM</v>
      </c>
      <c r="O25570" t="s">
        <v>73101</v>
      </c>
    </row>
    <row r="25571" spans="1:15" x14ac:dyDescent="0.25">
      <c r="A25571" t="str">
        <f>"3062889"</f>
        <v>3062889</v>
      </c>
      <c r="B25571" t="s">
        <v>76950</v>
      </c>
      <c r="C25571" t="str">
        <f t="shared" si="401"/>
        <v>8321558</v>
      </c>
      <c r="D25571" t="s">
        <v>73101</v>
      </c>
      <c r="F25571" t="s">
        <v>73102</v>
      </c>
      <c r="G25571" t="s">
        <v>63293</v>
      </c>
      <c r="I25571" t="s">
        <v>8536</v>
      </c>
      <c r="J25571" t="s">
        <v>30</v>
      </c>
      <c r="K25571" t="s">
        <v>73103</v>
      </c>
      <c r="M25571" t="s">
        <v>50500</v>
      </c>
      <c r="N25571" t="str">
        <f t="shared" si="402"/>
        <v>4/29/2025 10:16:00 AM</v>
      </c>
      <c r="O25571" t="s">
        <v>73101</v>
      </c>
    </row>
    <row r="25572" spans="1:15" x14ac:dyDescent="0.25">
      <c r="A25572" t="str">
        <f>"3062906"</f>
        <v>3062906</v>
      </c>
      <c r="B25572" t="s">
        <v>76951</v>
      </c>
      <c r="C25572" t="str">
        <f t="shared" si="401"/>
        <v>8321558</v>
      </c>
      <c r="D25572" t="s">
        <v>73101</v>
      </c>
      <c r="F25572" t="s">
        <v>73102</v>
      </c>
      <c r="G25572" t="s">
        <v>63293</v>
      </c>
      <c r="I25572" t="s">
        <v>8536</v>
      </c>
      <c r="J25572" t="s">
        <v>30</v>
      </c>
      <c r="K25572" t="s">
        <v>73103</v>
      </c>
      <c r="M25572" t="s">
        <v>50500</v>
      </c>
      <c r="N25572" t="str">
        <f t="shared" si="402"/>
        <v>4/29/2025 10:16:00 AM</v>
      </c>
      <c r="O25572" t="s">
        <v>73101</v>
      </c>
    </row>
    <row r="25573" spans="1:15" x14ac:dyDescent="0.25">
      <c r="A25573" t="str">
        <f>"3062909"</f>
        <v>3062909</v>
      </c>
      <c r="B25573" t="s">
        <v>76952</v>
      </c>
      <c r="C25573" t="str">
        <f t="shared" si="401"/>
        <v>8321558</v>
      </c>
      <c r="D25573" t="s">
        <v>73101</v>
      </c>
      <c r="F25573" t="s">
        <v>73102</v>
      </c>
      <c r="G25573" t="s">
        <v>63293</v>
      </c>
      <c r="I25573" t="s">
        <v>8536</v>
      </c>
      <c r="J25573" t="s">
        <v>30</v>
      </c>
      <c r="K25573" t="s">
        <v>73103</v>
      </c>
      <c r="M25573" t="s">
        <v>50500</v>
      </c>
      <c r="N25573" t="str">
        <f t="shared" si="402"/>
        <v>4/29/2025 10:16:00 AM</v>
      </c>
      <c r="O25573" t="s">
        <v>73101</v>
      </c>
    </row>
    <row r="25574" spans="1:15" x14ac:dyDescent="0.25">
      <c r="A25574" t="str">
        <f>"3062910"</f>
        <v>3062910</v>
      </c>
      <c r="B25574" t="s">
        <v>76953</v>
      </c>
      <c r="C25574" t="str">
        <f t="shared" si="401"/>
        <v>8321558</v>
      </c>
      <c r="D25574" t="s">
        <v>73101</v>
      </c>
      <c r="F25574" t="s">
        <v>73102</v>
      </c>
      <c r="G25574" t="s">
        <v>63293</v>
      </c>
      <c r="I25574" t="s">
        <v>8536</v>
      </c>
      <c r="J25574" t="s">
        <v>30</v>
      </c>
      <c r="K25574" t="s">
        <v>73103</v>
      </c>
      <c r="M25574" t="s">
        <v>50500</v>
      </c>
      <c r="N25574" t="str">
        <f t="shared" si="402"/>
        <v>4/29/2025 10:16:00 AM</v>
      </c>
      <c r="O25574" t="s">
        <v>73101</v>
      </c>
    </row>
    <row r="25575" spans="1:15" x14ac:dyDescent="0.25">
      <c r="A25575" t="str">
        <f>"3062911"</f>
        <v>3062911</v>
      </c>
      <c r="B25575" t="s">
        <v>76954</v>
      </c>
      <c r="C25575" t="str">
        <f t="shared" si="401"/>
        <v>8321558</v>
      </c>
      <c r="D25575" t="s">
        <v>73101</v>
      </c>
      <c r="F25575" t="s">
        <v>73102</v>
      </c>
      <c r="G25575" t="s">
        <v>63293</v>
      </c>
      <c r="I25575" t="s">
        <v>8536</v>
      </c>
      <c r="J25575" t="s">
        <v>30</v>
      </c>
      <c r="K25575" t="s">
        <v>73103</v>
      </c>
      <c r="M25575" t="s">
        <v>50500</v>
      </c>
      <c r="N25575" t="str">
        <f t="shared" si="402"/>
        <v>4/29/2025 10:16:00 AM</v>
      </c>
      <c r="O25575" t="s">
        <v>73101</v>
      </c>
    </row>
    <row r="25576" spans="1:15" x14ac:dyDescent="0.25">
      <c r="A25576" t="str">
        <f>"3062916"</f>
        <v>3062916</v>
      </c>
      <c r="B25576" t="s">
        <v>76955</v>
      </c>
      <c r="C25576" t="str">
        <f t="shared" si="401"/>
        <v>8321558</v>
      </c>
      <c r="D25576" t="s">
        <v>73101</v>
      </c>
      <c r="F25576" t="s">
        <v>73102</v>
      </c>
      <c r="G25576" t="s">
        <v>63293</v>
      </c>
      <c r="I25576" t="s">
        <v>8536</v>
      </c>
      <c r="J25576" t="s">
        <v>30</v>
      </c>
      <c r="K25576" t="s">
        <v>73103</v>
      </c>
      <c r="M25576" t="s">
        <v>50500</v>
      </c>
      <c r="N25576" t="str">
        <f t="shared" si="402"/>
        <v>4/29/2025 10:16:00 AM</v>
      </c>
      <c r="O25576" t="s">
        <v>73101</v>
      </c>
    </row>
    <row r="25577" spans="1:15" x14ac:dyDescent="0.25">
      <c r="A25577" t="str">
        <f>"3062917"</f>
        <v>3062917</v>
      </c>
      <c r="B25577" t="s">
        <v>76956</v>
      </c>
      <c r="C25577" t="str">
        <f t="shared" si="401"/>
        <v>8321558</v>
      </c>
      <c r="D25577" t="s">
        <v>73101</v>
      </c>
      <c r="F25577" t="s">
        <v>73102</v>
      </c>
      <c r="G25577" t="s">
        <v>63293</v>
      </c>
      <c r="I25577" t="s">
        <v>8536</v>
      </c>
      <c r="J25577" t="s">
        <v>30</v>
      </c>
      <c r="K25577" t="s">
        <v>73103</v>
      </c>
      <c r="M25577" t="s">
        <v>50500</v>
      </c>
      <c r="N25577" t="str">
        <f t="shared" si="402"/>
        <v>4/29/2025 10:16:00 AM</v>
      </c>
      <c r="O25577" t="s">
        <v>73101</v>
      </c>
    </row>
    <row r="25578" spans="1:15" x14ac:dyDescent="0.25">
      <c r="A25578" t="str">
        <f>"3062918"</f>
        <v>3062918</v>
      </c>
      <c r="B25578" t="s">
        <v>76957</v>
      </c>
      <c r="C25578" t="str">
        <f t="shared" si="401"/>
        <v>8321558</v>
      </c>
      <c r="D25578" t="s">
        <v>73101</v>
      </c>
      <c r="F25578" t="s">
        <v>73102</v>
      </c>
      <c r="G25578" t="s">
        <v>63293</v>
      </c>
      <c r="I25578" t="s">
        <v>8536</v>
      </c>
      <c r="J25578" t="s">
        <v>30</v>
      </c>
      <c r="K25578" t="s">
        <v>73103</v>
      </c>
      <c r="M25578" t="s">
        <v>50500</v>
      </c>
      <c r="N25578" t="str">
        <f t="shared" si="402"/>
        <v>4/29/2025 10:16:00 AM</v>
      </c>
      <c r="O25578" t="s">
        <v>73101</v>
      </c>
    </row>
    <row r="25579" spans="1:15" x14ac:dyDescent="0.25">
      <c r="A25579" t="str">
        <f>"3062883"</f>
        <v>3062883</v>
      </c>
      <c r="B25579" t="s">
        <v>76958</v>
      </c>
      <c r="C25579" t="str">
        <f t="shared" si="401"/>
        <v>8321558</v>
      </c>
      <c r="D25579" t="s">
        <v>73101</v>
      </c>
      <c r="F25579" t="s">
        <v>73102</v>
      </c>
      <c r="G25579" t="s">
        <v>63293</v>
      </c>
      <c r="I25579" t="s">
        <v>8536</v>
      </c>
      <c r="J25579" t="s">
        <v>30</v>
      </c>
      <c r="K25579" t="s">
        <v>73103</v>
      </c>
      <c r="M25579" t="s">
        <v>50500</v>
      </c>
      <c r="N25579" t="str">
        <f t="shared" si="402"/>
        <v>4/29/2025 10:16:00 AM</v>
      </c>
      <c r="O25579" t="s">
        <v>73101</v>
      </c>
    </row>
    <row r="25580" spans="1:15" x14ac:dyDescent="0.25">
      <c r="A25580" t="str">
        <f>"3062863"</f>
        <v>3062863</v>
      </c>
      <c r="B25580" t="s">
        <v>76959</v>
      </c>
      <c r="C25580" t="str">
        <f t="shared" si="401"/>
        <v>8321558</v>
      </c>
      <c r="D25580" t="s">
        <v>73101</v>
      </c>
      <c r="F25580" t="s">
        <v>73102</v>
      </c>
      <c r="G25580" t="s">
        <v>63293</v>
      </c>
      <c r="I25580" t="s">
        <v>8536</v>
      </c>
      <c r="J25580" t="s">
        <v>30</v>
      </c>
      <c r="K25580" t="s">
        <v>73103</v>
      </c>
      <c r="M25580" t="s">
        <v>50500</v>
      </c>
      <c r="N25580" t="str">
        <f t="shared" si="402"/>
        <v>4/29/2025 10:16:00 AM</v>
      </c>
      <c r="O25580" t="s">
        <v>73101</v>
      </c>
    </row>
    <row r="25581" spans="1:15" x14ac:dyDescent="0.25">
      <c r="A25581" t="str">
        <f>"3062864"</f>
        <v>3062864</v>
      </c>
      <c r="B25581" t="s">
        <v>76960</v>
      </c>
      <c r="C25581" t="str">
        <f t="shared" si="401"/>
        <v>8321558</v>
      </c>
      <c r="D25581" t="s">
        <v>73101</v>
      </c>
      <c r="F25581" t="s">
        <v>73102</v>
      </c>
      <c r="G25581" t="s">
        <v>63293</v>
      </c>
      <c r="I25581" t="s">
        <v>8536</v>
      </c>
      <c r="J25581" t="s">
        <v>30</v>
      </c>
      <c r="K25581" t="s">
        <v>73103</v>
      </c>
      <c r="M25581" t="s">
        <v>50500</v>
      </c>
      <c r="N25581" t="str">
        <f t="shared" si="402"/>
        <v>4/29/2025 10:16:00 AM</v>
      </c>
      <c r="O25581" t="s">
        <v>73101</v>
      </c>
    </row>
    <row r="25582" spans="1:15" x14ac:dyDescent="0.25">
      <c r="A25582" t="str">
        <f>"3062871"</f>
        <v>3062871</v>
      </c>
      <c r="B25582" t="s">
        <v>76961</v>
      </c>
      <c r="C25582" t="str">
        <f t="shared" si="401"/>
        <v>8321558</v>
      </c>
      <c r="D25582" t="s">
        <v>73101</v>
      </c>
      <c r="F25582" t="s">
        <v>73102</v>
      </c>
      <c r="G25582" t="s">
        <v>63293</v>
      </c>
      <c r="I25582" t="s">
        <v>8536</v>
      </c>
      <c r="J25582" t="s">
        <v>30</v>
      </c>
      <c r="K25582" t="s">
        <v>73103</v>
      </c>
      <c r="M25582" t="s">
        <v>50500</v>
      </c>
      <c r="N25582" t="str">
        <f t="shared" si="402"/>
        <v>4/29/2025 10:16:00 AM</v>
      </c>
      <c r="O25582" t="s">
        <v>73101</v>
      </c>
    </row>
    <row r="25583" spans="1:15" x14ac:dyDescent="0.25">
      <c r="A25583" t="str">
        <f>"3062884"</f>
        <v>3062884</v>
      </c>
      <c r="B25583" t="s">
        <v>76962</v>
      </c>
      <c r="C25583" t="str">
        <f t="shared" si="401"/>
        <v>8321558</v>
      </c>
      <c r="D25583" t="s">
        <v>73101</v>
      </c>
      <c r="F25583" t="s">
        <v>73102</v>
      </c>
      <c r="G25583" t="s">
        <v>63293</v>
      </c>
      <c r="I25583" t="s">
        <v>8536</v>
      </c>
      <c r="J25583" t="s">
        <v>30</v>
      </c>
      <c r="K25583" t="s">
        <v>73103</v>
      </c>
      <c r="M25583" t="s">
        <v>50500</v>
      </c>
      <c r="N25583" t="str">
        <f t="shared" si="402"/>
        <v>4/29/2025 10:16:00 AM</v>
      </c>
      <c r="O25583" t="s">
        <v>73101</v>
      </c>
    </row>
    <row r="25584" spans="1:15" x14ac:dyDescent="0.25">
      <c r="A25584" t="str">
        <f>"3063046"</f>
        <v>3063046</v>
      </c>
      <c r="B25584" t="s">
        <v>76963</v>
      </c>
      <c r="C25584" t="str">
        <f t="shared" si="401"/>
        <v>8321558</v>
      </c>
      <c r="D25584" t="s">
        <v>73101</v>
      </c>
      <c r="F25584" t="s">
        <v>73102</v>
      </c>
      <c r="G25584" t="s">
        <v>63293</v>
      </c>
      <c r="I25584" t="s">
        <v>8536</v>
      </c>
      <c r="J25584" t="s">
        <v>30</v>
      </c>
      <c r="K25584" t="s">
        <v>73103</v>
      </c>
      <c r="M25584" t="s">
        <v>50500</v>
      </c>
      <c r="N25584" t="str">
        <f t="shared" si="402"/>
        <v>4/29/2025 10:16:00 AM</v>
      </c>
      <c r="O25584" t="s">
        <v>73101</v>
      </c>
    </row>
    <row r="25585" spans="1:20" x14ac:dyDescent="0.25">
      <c r="A25585" t="str">
        <f>"3049192"</f>
        <v>3049192</v>
      </c>
      <c r="B25585" t="s">
        <v>76964</v>
      </c>
      <c r="C25585" t="str">
        <f>"8319881"</f>
        <v>8319881</v>
      </c>
      <c r="D25585" t="s">
        <v>76931</v>
      </c>
      <c r="F25585" t="s">
        <v>76932</v>
      </c>
      <c r="I25585" t="s">
        <v>29</v>
      </c>
      <c r="J25585" t="s">
        <v>30</v>
      </c>
      <c r="K25585" t="s">
        <v>33241</v>
      </c>
      <c r="M25585" t="s">
        <v>50793</v>
      </c>
      <c r="N25585" t="str">
        <f>"4/22/2025 1:53:00 PM"</f>
        <v>4/22/2025 1:53:00 PM</v>
      </c>
      <c r="O25585" t="s">
        <v>76931</v>
      </c>
    </row>
    <row r="25586" spans="1:20" x14ac:dyDescent="0.25">
      <c r="A25586" t="str">
        <f>"3049174"</f>
        <v>3049174</v>
      </c>
      <c r="B25586" t="s">
        <v>76965</v>
      </c>
      <c r="C25586" t="str">
        <f>"8319881"</f>
        <v>8319881</v>
      </c>
      <c r="D25586" t="s">
        <v>76931</v>
      </c>
      <c r="F25586" t="s">
        <v>76932</v>
      </c>
      <c r="I25586" t="s">
        <v>29</v>
      </c>
      <c r="J25586" t="s">
        <v>30</v>
      </c>
      <c r="K25586" t="s">
        <v>33241</v>
      </c>
      <c r="M25586" t="s">
        <v>50793</v>
      </c>
      <c r="N25586" t="str">
        <f>"4/22/2025 1:53:00 PM"</f>
        <v>4/22/2025 1:53:00 PM</v>
      </c>
      <c r="O25586" t="s">
        <v>76931</v>
      </c>
    </row>
    <row r="25587" spans="1:20" x14ac:dyDescent="0.25">
      <c r="A25587" t="str">
        <f>"3051669"</f>
        <v>3051669</v>
      </c>
      <c r="B25587" t="s">
        <v>76966</v>
      </c>
      <c r="C25587" t="str">
        <f>"61687990"</f>
        <v>61687990</v>
      </c>
      <c r="D25587" t="s">
        <v>76967</v>
      </c>
      <c r="F25587" t="s">
        <v>76968</v>
      </c>
      <c r="I25587" t="s">
        <v>29</v>
      </c>
      <c r="J25587" t="s">
        <v>30</v>
      </c>
      <c r="K25587" t="s">
        <v>31</v>
      </c>
      <c r="M25587" t="s">
        <v>50793</v>
      </c>
      <c r="N25587" t="str">
        <f>"4/23/2025 9:24:00 AM"</f>
        <v>4/23/2025 9:24:00 AM</v>
      </c>
      <c r="O25587" t="s">
        <v>76967</v>
      </c>
    </row>
    <row r="25588" spans="1:20" x14ac:dyDescent="0.25">
      <c r="A25588" t="str">
        <f>"3042149"</f>
        <v>3042149</v>
      </c>
      <c r="B25588" t="s">
        <v>76969</v>
      </c>
      <c r="C25588" t="str">
        <f>"8307694"</f>
        <v>8307694</v>
      </c>
      <c r="D25588" t="s">
        <v>76970</v>
      </c>
      <c r="F25588" t="s">
        <v>76971</v>
      </c>
      <c r="I25588" t="s">
        <v>1149</v>
      </c>
      <c r="J25588" t="s">
        <v>30</v>
      </c>
      <c r="K25588" t="str">
        <f>"28634"</f>
        <v>28634</v>
      </c>
      <c r="M25588" t="s">
        <v>50621</v>
      </c>
      <c r="N25588" t="str">
        <f>"4/29/2025 11:32:00 AM"</f>
        <v>4/29/2025 11:32:00 AM</v>
      </c>
      <c r="O25588" t="s">
        <v>76970</v>
      </c>
    </row>
    <row r="25589" spans="1:20" x14ac:dyDescent="0.25">
      <c r="A25589" t="str">
        <f>"3056721"</f>
        <v>3056721</v>
      </c>
      <c r="B25589" t="s">
        <v>76972</v>
      </c>
      <c r="C25589" t="str">
        <f>"43551000"</f>
        <v>43551000</v>
      </c>
      <c r="D25589" t="s">
        <v>76973</v>
      </c>
      <c r="E25589" t="s">
        <v>76974</v>
      </c>
      <c r="F25589" t="s">
        <v>76975</v>
      </c>
      <c r="I25589" t="s">
        <v>29</v>
      </c>
      <c r="J25589" t="s">
        <v>30</v>
      </c>
      <c r="K25589" t="s">
        <v>31</v>
      </c>
      <c r="M25589" t="s">
        <v>50621</v>
      </c>
      <c r="N25589" t="str">
        <f>"4/29/2025 11:37:00 AM"</f>
        <v>4/29/2025 11:37:00 AM</v>
      </c>
      <c r="O25589" t="s">
        <v>76973</v>
      </c>
      <c r="T25589" t="s">
        <v>76974</v>
      </c>
    </row>
    <row r="25590" spans="1:20" x14ac:dyDescent="0.25">
      <c r="A25590" t="str">
        <f>"3056304"</f>
        <v>3056304</v>
      </c>
      <c r="B25590" t="s">
        <v>76976</v>
      </c>
      <c r="C25590" t="str">
        <f>"43551000"</f>
        <v>43551000</v>
      </c>
      <c r="D25590" t="s">
        <v>76973</v>
      </c>
      <c r="E25590" t="s">
        <v>76974</v>
      </c>
      <c r="F25590" t="s">
        <v>76975</v>
      </c>
      <c r="I25590" t="s">
        <v>29</v>
      </c>
      <c r="J25590" t="s">
        <v>30</v>
      </c>
      <c r="K25590" t="s">
        <v>31</v>
      </c>
      <c r="M25590" t="s">
        <v>50621</v>
      </c>
      <c r="N25590" t="str">
        <f>"4/29/2025 11:37:00 AM"</f>
        <v>4/29/2025 11:37:00 AM</v>
      </c>
      <c r="O25590" t="s">
        <v>76973</v>
      </c>
      <c r="T25590" t="s">
        <v>76974</v>
      </c>
    </row>
    <row r="25591" spans="1:20" x14ac:dyDescent="0.25">
      <c r="A25591" t="str">
        <f>"3040672"</f>
        <v>3040672</v>
      </c>
      <c r="B25591" t="s">
        <v>76977</v>
      </c>
      <c r="C25591" t="str">
        <f>"46655500"</f>
        <v>46655500</v>
      </c>
      <c r="D25591" t="s">
        <v>76978</v>
      </c>
      <c r="E25591" t="s">
        <v>76979</v>
      </c>
      <c r="F25591" t="s">
        <v>76980</v>
      </c>
      <c r="I25591" t="s">
        <v>184</v>
      </c>
      <c r="J25591" t="s">
        <v>30</v>
      </c>
      <c r="K25591" t="s">
        <v>76981</v>
      </c>
      <c r="M25591" t="s">
        <v>50621</v>
      </c>
      <c r="N25591" t="str">
        <f>"4/29/2025 11:41:00 AM"</f>
        <v>4/29/2025 11:41:00 AM</v>
      </c>
      <c r="O25591" t="s">
        <v>76978</v>
      </c>
      <c r="T25591" t="s">
        <v>76979</v>
      </c>
    </row>
    <row r="25592" spans="1:20" x14ac:dyDescent="0.25">
      <c r="A25592" t="str">
        <f>"3052059"</f>
        <v>3052059</v>
      </c>
      <c r="B25592" t="s">
        <v>76982</v>
      </c>
      <c r="C25592" t="str">
        <f>"61687990"</f>
        <v>61687990</v>
      </c>
      <c r="D25592" t="s">
        <v>76967</v>
      </c>
      <c r="F25592" t="s">
        <v>76968</v>
      </c>
      <c r="I25592" t="s">
        <v>29</v>
      </c>
      <c r="J25592" t="s">
        <v>30</v>
      </c>
      <c r="K25592" t="s">
        <v>31</v>
      </c>
      <c r="M25592" t="s">
        <v>50793</v>
      </c>
      <c r="N25592" t="str">
        <f>"4/23/2025 9:24:00 AM"</f>
        <v>4/23/2025 9:24:00 AM</v>
      </c>
      <c r="O25592" t="s">
        <v>76967</v>
      </c>
    </row>
    <row r="25593" spans="1:20" x14ac:dyDescent="0.25">
      <c r="A25593" t="str">
        <f>"3048702"</f>
        <v>3048702</v>
      </c>
      <c r="B25593" t="s">
        <v>76983</v>
      </c>
      <c r="C25593" t="str">
        <f>"8318984"</f>
        <v>8318984</v>
      </c>
      <c r="D25593" t="s">
        <v>76984</v>
      </c>
      <c r="E25593" t="s">
        <v>76967</v>
      </c>
      <c r="F25593" t="s">
        <v>76985</v>
      </c>
      <c r="I25593" t="s">
        <v>29</v>
      </c>
      <c r="J25593" t="s">
        <v>30</v>
      </c>
      <c r="K25593" t="s">
        <v>11121</v>
      </c>
      <c r="M25593" t="s">
        <v>50621</v>
      </c>
      <c r="N25593" t="str">
        <f>"4/21/2025 9:42:00 AM"</f>
        <v>4/21/2025 9:42:00 AM</v>
      </c>
      <c r="O25593" t="s">
        <v>76984</v>
      </c>
      <c r="T25593" t="s">
        <v>76967</v>
      </c>
    </row>
    <row r="25594" spans="1:20" x14ac:dyDescent="0.25">
      <c r="A25594" t="str">
        <f>"3044482"</f>
        <v>3044482</v>
      </c>
      <c r="B25594" t="s">
        <v>76986</v>
      </c>
      <c r="C25594" t="str">
        <f>"55609560"</f>
        <v>55609560</v>
      </c>
      <c r="D25594" t="s">
        <v>76987</v>
      </c>
      <c r="E25594" t="s">
        <v>76988</v>
      </c>
      <c r="F25594" t="s">
        <v>76989</v>
      </c>
      <c r="I25594" t="s">
        <v>184</v>
      </c>
      <c r="J25594" t="s">
        <v>30</v>
      </c>
      <c r="K25594" t="s">
        <v>185</v>
      </c>
      <c r="M25594" t="s">
        <v>50621</v>
      </c>
      <c r="N25594" t="str">
        <f>"4/29/2025 11:57:00 AM"</f>
        <v>4/29/2025 11:57:00 AM</v>
      </c>
      <c r="O25594" t="s">
        <v>76987</v>
      </c>
      <c r="T25594" t="s">
        <v>76988</v>
      </c>
    </row>
    <row r="25595" spans="1:20" x14ac:dyDescent="0.25">
      <c r="A25595" t="str">
        <f>"3047595"</f>
        <v>3047595</v>
      </c>
      <c r="B25595" t="s">
        <v>76990</v>
      </c>
      <c r="C25595" t="str">
        <f>"82530906"</f>
        <v>82530906</v>
      </c>
      <c r="D25595" t="s">
        <v>76991</v>
      </c>
      <c r="F25595" t="s">
        <v>76992</v>
      </c>
      <c r="I25595" t="s">
        <v>29</v>
      </c>
      <c r="J25595" t="s">
        <v>30</v>
      </c>
      <c r="K25595" t="s">
        <v>31</v>
      </c>
      <c r="M25595" t="s">
        <v>50621</v>
      </c>
      <c r="N25595" t="str">
        <f>"4/29/2025 12:01:00 PM"</f>
        <v>4/29/2025 12:01:00 PM</v>
      </c>
      <c r="O25595" t="s">
        <v>76991</v>
      </c>
    </row>
    <row r="25596" spans="1:20" x14ac:dyDescent="0.25">
      <c r="A25596" t="str">
        <f>"3047567"</f>
        <v>3047567</v>
      </c>
      <c r="B25596" t="s">
        <v>76993</v>
      </c>
      <c r="C25596" t="str">
        <f>"82530906"</f>
        <v>82530906</v>
      </c>
      <c r="D25596" t="s">
        <v>76991</v>
      </c>
      <c r="F25596" t="s">
        <v>76992</v>
      </c>
      <c r="I25596" t="s">
        <v>29</v>
      </c>
      <c r="J25596" t="s">
        <v>30</v>
      </c>
      <c r="K25596" t="s">
        <v>31</v>
      </c>
      <c r="M25596" t="s">
        <v>50621</v>
      </c>
      <c r="N25596" t="str">
        <f>"4/29/2025 12:01:00 PM"</f>
        <v>4/29/2025 12:01:00 PM</v>
      </c>
      <c r="O25596" t="s">
        <v>76991</v>
      </c>
    </row>
    <row r="25597" spans="1:20" x14ac:dyDescent="0.25">
      <c r="A25597" t="str">
        <f>"3052781"</f>
        <v>3052781</v>
      </c>
      <c r="B25597" t="s">
        <v>76994</v>
      </c>
      <c r="C25597" t="str">
        <f>"57664000"</f>
        <v>57664000</v>
      </c>
      <c r="D25597" t="s">
        <v>76995</v>
      </c>
      <c r="F25597" t="s">
        <v>76996</v>
      </c>
      <c r="I25597" t="s">
        <v>29</v>
      </c>
      <c r="J25597" t="s">
        <v>30</v>
      </c>
      <c r="K25597" t="s">
        <v>27276</v>
      </c>
      <c r="M25597" t="s">
        <v>50621</v>
      </c>
      <c r="N25597" t="str">
        <f>"4/29/2025 12:05:00 PM"</f>
        <v>4/29/2025 12:05:00 PM</v>
      </c>
      <c r="O25597" t="s">
        <v>76995</v>
      </c>
    </row>
    <row r="25598" spans="1:20" x14ac:dyDescent="0.25">
      <c r="A25598" t="str">
        <f>"3058734"</f>
        <v>3058734</v>
      </c>
      <c r="B25598" t="s">
        <v>76997</v>
      </c>
      <c r="C25598" t="str">
        <f>"8321794"</f>
        <v>8321794</v>
      </c>
      <c r="D25598" t="s">
        <v>76998</v>
      </c>
      <c r="E25598" t="s">
        <v>76999</v>
      </c>
      <c r="F25598" t="s">
        <v>77000</v>
      </c>
      <c r="I25598" t="s">
        <v>77001</v>
      </c>
      <c r="J25598" t="s">
        <v>30</v>
      </c>
      <c r="K25598" t="s">
        <v>77002</v>
      </c>
      <c r="M25598" t="s">
        <v>50621</v>
      </c>
      <c r="N25598" t="str">
        <f>"4/21/2025 10:25:00 AM"</f>
        <v>4/21/2025 10:25:00 AM</v>
      </c>
      <c r="O25598" t="s">
        <v>76998</v>
      </c>
      <c r="T25598" t="s">
        <v>76999</v>
      </c>
    </row>
    <row r="25599" spans="1:20" x14ac:dyDescent="0.25">
      <c r="A25599" t="str">
        <f>"3050179"</f>
        <v>3050179</v>
      </c>
      <c r="B25599" t="s">
        <v>77003</v>
      </c>
      <c r="C25599" t="str">
        <f>"58885500"</f>
        <v>58885500</v>
      </c>
      <c r="D25599" t="s">
        <v>77004</v>
      </c>
      <c r="E25599" t="s">
        <v>77005</v>
      </c>
      <c r="F25599" t="s">
        <v>77006</v>
      </c>
      <c r="I25599" t="s">
        <v>29</v>
      </c>
      <c r="J25599" t="s">
        <v>30</v>
      </c>
      <c r="K25599" t="s">
        <v>15756</v>
      </c>
      <c r="M25599" t="s">
        <v>50621</v>
      </c>
      <c r="N25599" t="str">
        <f>"4/29/2025 12:07:00 PM"</f>
        <v>4/29/2025 12:07:00 PM</v>
      </c>
      <c r="O25599" t="s">
        <v>77004</v>
      </c>
      <c r="T25599" t="s">
        <v>77005</v>
      </c>
    </row>
    <row r="25600" spans="1:20" x14ac:dyDescent="0.25">
      <c r="A25600" t="str">
        <f>"3049898"</f>
        <v>3049898</v>
      </c>
      <c r="B25600" t="s">
        <v>77007</v>
      </c>
      <c r="C25600" t="str">
        <f>"58885500"</f>
        <v>58885500</v>
      </c>
      <c r="D25600" t="s">
        <v>77004</v>
      </c>
      <c r="E25600" t="s">
        <v>77005</v>
      </c>
      <c r="F25600" t="s">
        <v>77006</v>
      </c>
      <c r="I25600" t="s">
        <v>29</v>
      </c>
      <c r="J25600" t="s">
        <v>30</v>
      </c>
      <c r="K25600" t="s">
        <v>15756</v>
      </c>
      <c r="M25600" t="s">
        <v>50621</v>
      </c>
      <c r="N25600" t="str">
        <f>"4/29/2025 12:07:00 PM"</f>
        <v>4/29/2025 12:07:00 PM</v>
      </c>
      <c r="O25600" t="s">
        <v>77004</v>
      </c>
      <c r="T25600" t="s">
        <v>77005</v>
      </c>
    </row>
    <row r="25601" spans="1:20" x14ac:dyDescent="0.25">
      <c r="A25601" t="str">
        <f>"3055664"</f>
        <v>3055664</v>
      </c>
      <c r="B25601" t="s">
        <v>77008</v>
      </c>
      <c r="C25601" t="str">
        <f t="shared" ref="C25601:C25607" si="403">"8314526"</f>
        <v>8314526</v>
      </c>
      <c r="D25601" t="s">
        <v>77009</v>
      </c>
      <c r="E25601" t="s">
        <v>77010</v>
      </c>
      <c r="F25601" t="s">
        <v>77011</v>
      </c>
      <c r="I25601" t="s">
        <v>29</v>
      </c>
      <c r="J25601" t="s">
        <v>30</v>
      </c>
      <c r="K25601" t="s">
        <v>20248</v>
      </c>
      <c r="M25601" t="s">
        <v>33845</v>
      </c>
      <c r="N25601" t="str">
        <f t="shared" ref="N25601:N25607" si="404">"4/29/2025 2:41:00 PM"</f>
        <v>4/29/2025 2:41:00 PM</v>
      </c>
      <c r="O25601" t="s">
        <v>77009</v>
      </c>
      <c r="T25601" t="s">
        <v>77010</v>
      </c>
    </row>
    <row r="25602" spans="1:20" x14ac:dyDescent="0.25">
      <c r="A25602" t="str">
        <f>"3055665"</f>
        <v>3055665</v>
      </c>
      <c r="B25602" t="s">
        <v>77012</v>
      </c>
      <c r="C25602" t="str">
        <f t="shared" si="403"/>
        <v>8314526</v>
      </c>
      <c r="D25602" t="s">
        <v>77009</v>
      </c>
      <c r="E25602" t="s">
        <v>77010</v>
      </c>
      <c r="F25602" t="s">
        <v>77011</v>
      </c>
      <c r="I25602" t="s">
        <v>29</v>
      </c>
      <c r="J25602" t="s">
        <v>30</v>
      </c>
      <c r="K25602" t="s">
        <v>20248</v>
      </c>
      <c r="M25602" t="s">
        <v>33845</v>
      </c>
      <c r="N25602" t="str">
        <f t="shared" si="404"/>
        <v>4/29/2025 2:41:00 PM</v>
      </c>
      <c r="O25602" t="s">
        <v>77009</v>
      </c>
      <c r="T25602" t="s">
        <v>77010</v>
      </c>
    </row>
    <row r="25603" spans="1:20" x14ac:dyDescent="0.25">
      <c r="A25603" t="str">
        <f>"3055611"</f>
        <v>3055611</v>
      </c>
      <c r="B25603" t="s">
        <v>77013</v>
      </c>
      <c r="C25603" t="str">
        <f t="shared" si="403"/>
        <v>8314526</v>
      </c>
      <c r="D25603" t="s">
        <v>77009</v>
      </c>
      <c r="E25603" t="s">
        <v>77010</v>
      </c>
      <c r="F25603" t="s">
        <v>77011</v>
      </c>
      <c r="I25603" t="s">
        <v>29</v>
      </c>
      <c r="J25603" t="s">
        <v>30</v>
      </c>
      <c r="K25603" t="s">
        <v>20248</v>
      </c>
      <c r="M25603" t="s">
        <v>33845</v>
      </c>
      <c r="N25603" t="str">
        <f t="shared" si="404"/>
        <v>4/29/2025 2:41:00 PM</v>
      </c>
      <c r="O25603" t="s">
        <v>77009</v>
      </c>
      <c r="T25603" t="s">
        <v>77010</v>
      </c>
    </row>
    <row r="25604" spans="1:20" x14ac:dyDescent="0.25">
      <c r="A25604" t="str">
        <f>"3055662"</f>
        <v>3055662</v>
      </c>
      <c r="B25604" t="s">
        <v>77014</v>
      </c>
      <c r="C25604" t="str">
        <f t="shared" si="403"/>
        <v>8314526</v>
      </c>
      <c r="D25604" t="s">
        <v>77009</v>
      </c>
      <c r="E25604" t="s">
        <v>77010</v>
      </c>
      <c r="F25604" t="s">
        <v>77011</v>
      </c>
      <c r="I25604" t="s">
        <v>29</v>
      </c>
      <c r="J25604" t="s">
        <v>30</v>
      </c>
      <c r="K25604" t="s">
        <v>20248</v>
      </c>
      <c r="M25604" t="s">
        <v>33845</v>
      </c>
      <c r="N25604" t="str">
        <f t="shared" si="404"/>
        <v>4/29/2025 2:41:00 PM</v>
      </c>
      <c r="O25604" t="s">
        <v>77009</v>
      </c>
      <c r="T25604" t="s">
        <v>77010</v>
      </c>
    </row>
    <row r="25605" spans="1:20" x14ac:dyDescent="0.25">
      <c r="A25605" t="str">
        <f>"3055663"</f>
        <v>3055663</v>
      </c>
      <c r="B25605" t="s">
        <v>77015</v>
      </c>
      <c r="C25605" t="str">
        <f t="shared" si="403"/>
        <v>8314526</v>
      </c>
      <c r="D25605" t="s">
        <v>77009</v>
      </c>
      <c r="E25605" t="s">
        <v>77010</v>
      </c>
      <c r="F25605" t="s">
        <v>77011</v>
      </c>
      <c r="I25605" t="s">
        <v>29</v>
      </c>
      <c r="J25605" t="s">
        <v>30</v>
      </c>
      <c r="K25605" t="s">
        <v>20248</v>
      </c>
      <c r="M25605" t="s">
        <v>33845</v>
      </c>
      <c r="N25605" t="str">
        <f t="shared" si="404"/>
        <v>4/29/2025 2:41:00 PM</v>
      </c>
      <c r="O25605" t="s">
        <v>77009</v>
      </c>
      <c r="T25605" t="s">
        <v>77010</v>
      </c>
    </row>
    <row r="25606" spans="1:20" x14ac:dyDescent="0.25">
      <c r="A25606" t="str">
        <f>"3055640"</f>
        <v>3055640</v>
      </c>
      <c r="B25606" t="s">
        <v>77016</v>
      </c>
      <c r="C25606" t="str">
        <f t="shared" si="403"/>
        <v>8314526</v>
      </c>
      <c r="D25606" t="s">
        <v>77009</v>
      </c>
      <c r="E25606" t="s">
        <v>77010</v>
      </c>
      <c r="F25606" t="s">
        <v>77011</v>
      </c>
      <c r="I25606" t="s">
        <v>29</v>
      </c>
      <c r="J25606" t="s">
        <v>30</v>
      </c>
      <c r="K25606" t="s">
        <v>20248</v>
      </c>
      <c r="M25606" t="s">
        <v>33845</v>
      </c>
      <c r="N25606" t="str">
        <f t="shared" si="404"/>
        <v>4/29/2025 2:41:00 PM</v>
      </c>
      <c r="O25606" t="s">
        <v>77009</v>
      </c>
      <c r="T25606" t="s">
        <v>77010</v>
      </c>
    </row>
    <row r="25607" spans="1:20" x14ac:dyDescent="0.25">
      <c r="A25607" t="str">
        <f>"3078756"</f>
        <v>3078756</v>
      </c>
      <c r="B25607" t="s">
        <v>77017</v>
      </c>
      <c r="C25607" t="str">
        <f t="shared" si="403"/>
        <v>8314526</v>
      </c>
      <c r="D25607" t="s">
        <v>77009</v>
      </c>
      <c r="E25607" t="s">
        <v>77010</v>
      </c>
      <c r="F25607" t="s">
        <v>77011</v>
      </c>
      <c r="I25607" t="s">
        <v>29</v>
      </c>
      <c r="J25607" t="s">
        <v>30</v>
      </c>
      <c r="K25607" t="s">
        <v>20248</v>
      </c>
      <c r="M25607" t="s">
        <v>33845</v>
      </c>
      <c r="N25607" t="str">
        <f t="shared" si="404"/>
        <v>4/29/2025 2:41:00 PM</v>
      </c>
      <c r="O25607" t="s">
        <v>77009</v>
      </c>
      <c r="T25607" t="s">
        <v>77010</v>
      </c>
    </row>
    <row r="25608" spans="1:20" x14ac:dyDescent="0.25">
      <c r="A25608" t="str">
        <f>"3060582"</f>
        <v>3060582</v>
      </c>
      <c r="B25608" t="s">
        <v>77018</v>
      </c>
      <c r="C25608" t="str">
        <f>"8315760"</f>
        <v>8315760</v>
      </c>
      <c r="D25608" t="s">
        <v>77019</v>
      </c>
      <c r="E25608" t="s">
        <v>77020</v>
      </c>
      <c r="F25608" t="s">
        <v>48991</v>
      </c>
      <c r="I25608" t="s">
        <v>2071</v>
      </c>
      <c r="J25608" t="s">
        <v>30</v>
      </c>
      <c r="K25608" t="s">
        <v>4308</v>
      </c>
      <c r="M25608" t="s">
        <v>50500</v>
      </c>
      <c r="N25608" t="str">
        <f>"4/29/2025 2:46:00 PM"</f>
        <v>4/29/2025 2:46:00 PM</v>
      </c>
      <c r="O25608" t="s">
        <v>77019</v>
      </c>
      <c r="T25608" t="s">
        <v>77020</v>
      </c>
    </row>
    <row r="25609" spans="1:20" x14ac:dyDescent="0.25">
      <c r="A25609" t="str">
        <f>"3053743"</f>
        <v>3053743</v>
      </c>
      <c r="B25609" t="s">
        <v>77021</v>
      </c>
      <c r="C25609" t="str">
        <f>"8317572"</f>
        <v>8317572</v>
      </c>
      <c r="D25609" t="s">
        <v>77022</v>
      </c>
      <c r="F25609" t="s">
        <v>77023</v>
      </c>
      <c r="I25609" t="s">
        <v>184</v>
      </c>
      <c r="J25609" t="s">
        <v>30</v>
      </c>
      <c r="K25609" t="s">
        <v>77024</v>
      </c>
      <c r="M25609" t="s">
        <v>25625</v>
      </c>
      <c r="N25609" t="str">
        <f>"4/29/2025 2:53:00 PM"</f>
        <v>4/29/2025 2:53:00 PM</v>
      </c>
      <c r="O25609" t="s">
        <v>77022</v>
      </c>
    </row>
    <row r="25610" spans="1:20" x14ac:dyDescent="0.25">
      <c r="A25610" t="str">
        <f>"3057135"</f>
        <v>3057135</v>
      </c>
      <c r="B25610" t="s">
        <v>77025</v>
      </c>
      <c r="C25610" t="str">
        <f>"77086000"</f>
        <v>77086000</v>
      </c>
      <c r="D25610" t="s">
        <v>77026</v>
      </c>
      <c r="E25610" t="s">
        <v>77027</v>
      </c>
      <c r="F25610" t="s">
        <v>77028</v>
      </c>
      <c r="I25610" t="s">
        <v>17921</v>
      </c>
      <c r="J25610" t="s">
        <v>30</v>
      </c>
      <c r="K25610" t="s">
        <v>3685</v>
      </c>
      <c r="M25610" t="s">
        <v>50793</v>
      </c>
      <c r="N25610" t="str">
        <f>"4/25/2025 10:21:00 AM"</f>
        <v>4/25/2025 10:21:00 AM</v>
      </c>
      <c r="O25610" t="s">
        <v>77026</v>
      </c>
      <c r="T25610" t="s">
        <v>77027</v>
      </c>
    </row>
    <row r="25611" spans="1:20" x14ac:dyDescent="0.25">
      <c r="A25611" t="str">
        <f>"3040842"</f>
        <v>3040842</v>
      </c>
      <c r="B25611" t="s">
        <v>77029</v>
      </c>
      <c r="C25611" t="str">
        <f>"8301239"</f>
        <v>8301239</v>
      </c>
      <c r="D25611" t="s">
        <v>77030</v>
      </c>
      <c r="E25611" t="s">
        <v>77031</v>
      </c>
      <c r="F25611" t="s">
        <v>77032</v>
      </c>
      <c r="I25611" t="s">
        <v>2280</v>
      </c>
      <c r="J25611" t="s">
        <v>30</v>
      </c>
      <c r="K25611" t="s">
        <v>77033</v>
      </c>
      <c r="M25611" t="s">
        <v>25733</v>
      </c>
      <c r="N25611" t="str">
        <f>"4/30/2025 9:29:00 AM"</f>
        <v>4/30/2025 9:29:00 AM</v>
      </c>
      <c r="O25611" t="s">
        <v>77030</v>
      </c>
      <c r="T25611" t="s">
        <v>77031</v>
      </c>
    </row>
    <row r="25612" spans="1:20" x14ac:dyDescent="0.25">
      <c r="A25612" t="str">
        <f>"3040405"</f>
        <v>3040405</v>
      </c>
      <c r="B25612" t="s">
        <v>77034</v>
      </c>
      <c r="C25612" t="str">
        <f>"8301239"</f>
        <v>8301239</v>
      </c>
      <c r="D25612" t="s">
        <v>77030</v>
      </c>
      <c r="E25612" t="s">
        <v>77031</v>
      </c>
      <c r="F25612" t="s">
        <v>77032</v>
      </c>
      <c r="I25612" t="s">
        <v>2280</v>
      </c>
      <c r="J25612" t="s">
        <v>30</v>
      </c>
      <c r="K25612" t="s">
        <v>77033</v>
      </c>
      <c r="M25612" t="s">
        <v>25733</v>
      </c>
      <c r="N25612" t="str">
        <f>"4/30/2025 9:29:00 AM"</f>
        <v>4/30/2025 9:29:00 AM</v>
      </c>
      <c r="O25612" t="s">
        <v>77030</v>
      </c>
      <c r="T25612" t="s">
        <v>77031</v>
      </c>
    </row>
    <row r="25613" spans="1:20" x14ac:dyDescent="0.25">
      <c r="A25613" t="str">
        <f>"3040406"</f>
        <v>3040406</v>
      </c>
      <c r="B25613" t="s">
        <v>77035</v>
      </c>
      <c r="C25613" t="str">
        <f>"8301239"</f>
        <v>8301239</v>
      </c>
      <c r="D25613" t="s">
        <v>77030</v>
      </c>
      <c r="E25613" t="s">
        <v>77031</v>
      </c>
      <c r="F25613" t="s">
        <v>77032</v>
      </c>
      <c r="I25613" t="s">
        <v>2280</v>
      </c>
      <c r="J25613" t="s">
        <v>30</v>
      </c>
      <c r="K25613" t="s">
        <v>77033</v>
      </c>
      <c r="M25613" t="s">
        <v>25733</v>
      </c>
      <c r="N25613" t="str">
        <f>"4/30/2025 9:29:00 AM"</f>
        <v>4/30/2025 9:29:00 AM</v>
      </c>
      <c r="O25613" t="s">
        <v>77030</v>
      </c>
      <c r="T25613" t="s">
        <v>77031</v>
      </c>
    </row>
    <row r="25614" spans="1:20" x14ac:dyDescent="0.25">
      <c r="A25614" t="str">
        <f>"3045935"</f>
        <v>3045935</v>
      </c>
      <c r="B25614" t="s">
        <v>77036</v>
      </c>
      <c r="C25614" t="str">
        <f>"77472000"</f>
        <v>77472000</v>
      </c>
      <c r="D25614" t="s">
        <v>77037</v>
      </c>
      <c r="E25614" t="s">
        <v>77038</v>
      </c>
      <c r="F25614" t="s">
        <v>66128</v>
      </c>
      <c r="I25614" t="s">
        <v>29</v>
      </c>
      <c r="J25614" t="s">
        <v>30</v>
      </c>
      <c r="K25614" t="s">
        <v>31</v>
      </c>
      <c r="M25614" t="s">
        <v>50793</v>
      </c>
      <c r="N25614" t="str">
        <f>"4/25/2025 10:53:00 AM"</f>
        <v>4/25/2025 10:53:00 AM</v>
      </c>
      <c r="O25614" t="s">
        <v>77037</v>
      </c>
      <c r="T25614" t="s">
        <v>77038</v>
      </c>
    </row>
    <row r="25615" spans="1:20" x14ac:dyDescent="0.25">
      <c r="A25615" t="str">
        <f>"3057480"</f>
        <v>3057480</v>
      </c>
      <c r="B25615" t="s">
        <v>77039</v>
      </c>
      <c r="C25615" t="str">
        <f>"8309661"</f>
        <v>8309661</v>
      </c>
      <c r="D25615" t="s">
        <v>77040</v>
      </c>
      <c r="F25615" t="s">
        <v>77041</v>
      </c>
      <c r="I25615" t="s">
        <v>29</v>
      </c>
      <c r="J25615" t="s">
        <v>30</v>
      </c>
      <c r="K25615" t="s">
        <v>35461</v>
      </c>
      <c r="M25615" t="s">
        <v>50500</v>
      </c>
      <c r="N25615" t="str">
        <f>"4/28/2025 9:46:00 AM"</f>
        <v>4/28/2025 9:46:00 AM</v>
      </c>
      <c r="O25615" t="s">
        <v>77040</v>
      </c>
    </row>
    <row r="25616" spans="1:20" x14ac:dyDescent="0.25">
      <c r="A25616" t="str">
        <f>"3046517"</f>
        <v>3046517</v>
      </c>
      <c r="B25616" t="s">
        <v>77042</v>
      </c>
      <c r="C25616" t="str">
        <f>"8310529"</f>
        <v>8310529</v>
      </c>
      <c r="D25616" t="s">
        <v>77043</v>
      </c>
      <c r="F25616" t="s">
        <v>77044</v>
      </c>
      <c r="I25616" t="s">
        <v>184</v>
      </c>
      <c r="J25616" t="s">
        <v>30</v>
      </c>
      <c r="K25616" t="str">
        <f>"27006"</f>
        <v>27006</v>
      </c>
      <c r="M25616" t="s">
        <v>50621</v>
      </c>
      <c r="N25616" t="str">
        <f>"4/28/2025 11:02:00 AM"</f>
        <v>4/28/2025 11:02:00 AM</v>
      </c>
      <c r="O25616" t="s">
        <v>77043</v>
      </c>
    </row>
    <row r="25617" spans="1:20" x14ac:dyDescent="0.25">
      <c r="A25617" t="str">
        <f>"3046868"</f>
        <v>3046868</v>
      </c>
      <c r="B25617" t="s">
        <v>77045</v>
      </c>
      <c r="C25617" t="str">
        <f>"8310529"</f>
        <v>8310529</v>
      </c>
      <c r="D25617" t="s">
        <v>77043</v>
      </c>
      <c r="F25617" t="s">
        <v>77044</v>
      </c>
      <c r="I25617" t="s">
        <v>184</v>
      </c>
      <c r="J25617" t="s">
        <v>30</v>
      </c>
      <c r="K25617" t="str">
        <f>"27006"</f>
        <v>27006</v>
      </c>
      <c r="M25617" t="s">
        <v>50621</v>
      </c>
      <c r="N25617" t="str">
        <f>"4/28/2025 11:02:00 AM"</f>
        <v>4/28/2025 11:02:00 AM</v>
      </c>
      <c r="O25617" t="s">
        <v>77043</v>
      </c>
    </row>
    <row r="25618" spans="1:20" x14ac:dyDescent="0.25">
      <c r="A25618" t="str">
        <f>"3054682"</f>
        <v>3054682</v>
      </c>
      <c r="B25618" t="s">
        <v>77046</v>
      </c>
      <c r="C25618" t="str">
        <f>"82520121"</f>
        <v>82520121</v>
      </c>
      <c r="D25618" t="s">
        <v>77047</v>
      </c>
      <c r="F25618" t="s">
        <v>77048</v>
      </c>
      <c r="I25618" t="s">
        <v>29</v>
      </c>
      <c r="J25618" t="s">
        <v>30</v>
      </c>
      <c r="K25618" t="s">
        <v>57030</v>
      </c>
      <c r="M25618" t="s">
        <v>50793</v>
      </c>
      <c r="N25618" t="str">
        <f>"4/28/2025 11:22:00 AM"</f>
        <v>4/28/2025 11:22:00 AM</v>
      </c>
      <c r="O25618" t="s">
        <v>77047</v>
      </c>
    </row>
    <row r="25619" spans="1:20" x14ac:dyDescent="0.25">
      <c r="A25619" t="str">
        <f>"3054362"</f>
        <v>3054362</v>
      </c>
      <c r="B25619" t="s">
        <v>77049</v>
      </c>
      <c r="C25619" t="str">
        <f>"82528000"</f>
        <v>82528000</v>
      </c>
      <c r="D25619" t="s">
        <v>77050</v>
      </c>
      <c r="E25619" t="s">
        <v>77051</v>
      </c>
      <c r="F25619" t="s">
        <v>77052</v>
      </c>
      <c r="I25619" t="s">
        <v>29</v>
      </c>
      <c r="J25619" t="s">
        <v>30</v>
      </c>
      <c r="K25619" t="s">
        <v>31</v>
      </c>
      <c r="M25619" t="s">
        <v>50793</v>
      </c>
      <c r="N25619" t="str">
        <f>"4/30/2025 10:47:00 AM"</f>
        <v>4/30/2025 10:47:00 AM</v>
      </c>
      <c r="O25619" t="s">
        <v>77050</v>
      </c>
      <c r="T25619" t="s">
        <v>77051</v>
      </c>
    </row>
    <row r="25620" spans="1:20" x14ac:dyDescent="0.25">
      <c r="A25620" t="str">
        <f>"3047337"</f>
        <v>3047337</v>
      </c>
      <c r="B25620" t="s">
        <v>77053</v>
      </c>
      <c r="C25620" t="str">
        <f>"8307006"</f>
        <v>8307006</v>
      </c>
      <c r="D25620" t="s">
        <v>77054</v>
      </c>
      <c r="F25620" t="s">
        <v>77055</v>
      </c>
      <c r="I25620" t="s">
        <v>24359</v>
      </c>
      <c r="J25620" t="s">
        <v>30</v>
      </c>
      <c r="K25620" t="str">
        <f>"27006"</f>
        <v>27006</v>
      </c>
      <c r="M25620" t="s">
        <v>50793</v>
      </c>
      <c r="N25620" t="str">
        <f>"4/30/2025 10:56:00 AM"</f>
        <v>4/30/2025 10:56:00 AM</v>
      </c>
      <c r="O25620" t="s">
        <v>77054</v>
      </c>
    </row>
    <row r="25621" spans="1:20" x14ac:dyDescent="0.25">
      <c r="A25621" t="str">
        <f>"3047281"</f>
        <v>3047281</v>
      </c>
      <c r="B25621" t="s">
        <v>77056</v>
      </c>
      <c r="C25621" t="str">
        <f>"82513183"</f>
        <v>82513183</v>
      </c>
      <c r="D25621" t="s">
        <v>77057</v>
      </c>
      <c r="F25621" t="s">
        <v>77058</v>
      </c>
      <c r="I25621" t="s">
        <v>184</v>
      </c>
      <c r="J25621" t="s">
        <v>30</v>
      </c>
      <c r="K25621" t="s">
        <v>185</v>
      </c>
      <c r="M25621" t="s">
        <v>50793</v>
      </c>
      <c r="N25621" t="str">
        <f>"4/30/2025 10:57:00 AM"</f>
        <v>4/30/2025 10:57:00 AM</v>
      </c>
      <c r="O25621" t="s">
        <v>77057</v>
      </c>
    </row>
    <row r="25622" spans="1:20" x14ac:dyDescent="0.25">
      <c r="A25622" t="str">
        <f>"3059752"</f>
        <v>3059752</v>
      </c>
      <c r="B25622" t="s">
        <v>77059</v>
      </c>
      <c r="C25622" t="str">
        <f>"82524987"</f>
        <v>82524987</v>
      </c>
      <c r="D25622" t="s">
        <v>77060</v>
      </c>
      <c r="F25622" t="s">
        <v>77061</v>
      </c>
      <c r="I25622" t="s">
        <v>29</v>
      </c>
      <c r="J25622" t="s">
        <v>30</v>
      </c>
      <c r="K25622" t="s">
        <v>33476</v>
      </c>
      <c r="M25622" t="s">
        <v>50793</v>
      </c>
      <c r="N25622" t="str">
        <f>"4/30/2025 10:58:00 AM"</f>
        <v>4/30/2025 10:58:00 AM</v>
      </c>
      <c r="O25622" t="s">
        <v>77060</v>
      </c>
    </row>
    <row r="25623" spans="1:20" x14ac:dyDescent="0.25">
      <c r="A25623" t="str">
        <f>"3063896"</f>
        <v>3063896</v>
      </c>
      <c r="B25623" t="s">
        <v>77062</v>
      </c>
      <c r="C25623" t="str">
        <f>"8321042"</f>
        <v>8321042</v>
      </c>
      <c r="D25623" t="s">
        <v>77063</v>
      </c>
      <c r="F25623" t="s">
        <v>77064</v>
      </c>
      <c r="I25623" t="s">
        <v>184</v>
      </c>
      <c r="J25623" t="s">
        <v>30</v>
      </c>
      <c r="K25623" t="s">
        <v>56455</v>
      </c>
      <c r="M25623" t="s">
        <v>50793</v>
      </c>
      <c r="N25623" t="str">
        <f>"4/30/2025 11:00:00 AM"</f>
        <v>4/30/2025 11:00:00 AM</v>
      </c>
      <c r="O25623" t="s">
        <v>77063</v>
      </c>
    </row>
    <row r="25624" spans="1:20" x14ac:dyDescent="0.25">
      <c r="A25624" t="str">
        <f>"3042217"</f>
        <v>3042217</v>
      </c>
      <c r="B25624" t="s">
        <v>77065</v>
      </c>
      <c r="C25624" t="str">
        <f>"8321199"</f>
        <v>8321199</v>
      </c>
      <c r="D25624" t="s">
        <v>77066</v>
      </c>
      <c r="E25624" t="s">
        <v>77067</v>
      </c>
      <c r="F25624" t="s">
        <v>77068</v>
      </c>
      <c r="I25624" t="s">
        <v>184</v>
      </c>
      <c r="J25624" t="s">
        <v>30</v>
      </c>
      <c r="K25624" t="s">
        <v>77069</v>
      </c>
      <c r="M25624" t="s">
        <v>50793</v>
      </c>
      <c r="N25624" t="str">
        <f>"4/30/2025 11:01:00 AM"</f>
        <v>4/30/2025 11:01:00 AM</v>
      </c>
      <c r="O25624" t="s">
        <v>77066</v>
      </c>
      <c r="T25624" t="s">
        <v>77067</v>
      </c>
    </row>
    <row r="25625" spans="1:20" x14ac:dyDescent="0.25">
      <c r="A25625" t="str">
        <f>"3078615"</f>
        <v>3078615</v>
      </c>
      <c r="B25625" t="s">
        <v>77070</v>
      </c>
      <c r="C25625" t="str">
        <f>"82522204"</f>
        <v>82522204</v>
      </c>
      <c r="D25625" t="s">
        <v>77071</v>
      </c>
      <c r="F25625" t="s">
        <v>77072</v>
      </c>
      <c r="I25625" t="s">
        <v>29</v>
      </c>
      <c r="J25625" t="s">
        <v>30</v>
      </c>
      <c r="K25625" t="s">
        <v>31</v>
      </c>
      <c r="M25625" t="s">
        <v>50621</v>
      </c>
      <c r="N25625" t="str">
        <f>"4/30/2025 11:03:00 AM"</f>
        <v>4/30/2025 11:03:00 AM</v>
      </c>
      <c r="O25625" t="s">
        <v>77071</v>
      </c>
    </row>
    <row r="25626" spans="1:20" x14ac:dyDescent="0.25">
      <c r="A25626" t="str">
        <f>"3037534"</f>
        <v>3037534</v>
      </c>
      <c r="B25626" t="s">
        <v>77073</v>
      </c>
      <c r="C25626" t="str">
        <f>"8320974"</f>
        <v>8320974</v>
      </c>
      <c r="D25626" t="s">
        <v>77074</v>
      </c>
      <c r="F25626" t="s">
        <v>77075</v>
      </c>
      <c r="I25626" t="s">
        <v>1107</v>
      </c>
      <c r="J25626" t="s">
        <v>30</v>
      </c>
      <c r="K25626" t="s">
        <v>40962</v>
      </c>
      <c r="M25626" t="s">
        <v>50793</v>
      </c>
      <c r="N25626" t="str">
        <f>"4/30/2025 11:02:00 AM"</f>
        <v>4/30/2025 11:02:00 AM</v>
      </c>
      <c r="O25626" t="s">
        <v>77074</v>
      </c>
    </row>
    <row r="25627" spans="1:20" x14ac:dyDescent="0.25">
      <c r="A25627" t="str">
        <f>"3038029"</f>
        <v>3038029</v>
      </c>
      <c r="B25627" t="s">
        <v>77076</v>
      </c>
      <c r="C25627" t="str">
        <f>"8319426"</f>
        <v>8319426</v>
      </c>
      <c r="D25627" t="s">
        <v>77077</v>
      </c>
      <c r="E25627" t="s">
        <v>77078</v>
      </c>
      <c r="F25627" t="s">
        <v>77079</v>
      </c>
      <c r="I25627" t="s">
        <v>49</v>
      </c>
      <c r="J25627" t="s">
        <v>30</v>
      </c>
      <c r="K25627" t="s">
        <v>77080</v>
      </c>
      <c r="M25627" t="s">
        <v>50793</v>
      </c>
      <c r="N25627" t="str">
        <f>"4/28/2025 1:02:00 PM"</f>
        <v>4/28/2025 1:02:00 PM</v>
      </c>
      <c r="O25627" t="s">
        <v>77077</v>
      </c>
      <c r="T25627" t="s">
        <v>77078</v>
      </c>
    </row>
    <row r="25628" spans="1:20" x14ac:dyDescent="0.25">
      <c r="A25628" t="str">
        <f>"3055828"</f>
        <v>3055828</v>
      </c>
      <c r="B25628" t="s">
        <v>77081</v>
      </c>
      <c r="C25628" t="str">
        <f>"8303994"</f>
        <v>8303994</v>
      </c>
      <c r="D25628" t="s">
        <v>77082</v>
      </c>
      <c r="F25628" t="s">
        <v>77083</v>
      </c>
      <c r="I25628" t="s">
        <v>14378</v>
      </c>
      <c r="J25628" t="s">
        <v>30</v>
      </c>
      <c r="K25628" t="str">
        <f>"27013"</f>
        <v>27013</v>
      </c>
      <c r="M25628" t="s">
        <v>50793</v>
      </c>
      <c r="N25628" t="str">
        <f>"4/28/2025 1:11:00 PM"</f>
        <v>4/28/2025 1:11:00 PM</v>
      </c>
      <c r="O25628" t="s">
        <v>77082</v>
      </c>
    </row>
    <row r="25629" spans="1:20" x14ac:dyDescent="0.25">
      <c r="A25629" t="str">
        <f>"3038587"</f>
        <v>3038587</v>
      </c>
      <c r="B25629" t="s">
        <v>77084</v>
      </c>
      <c r="C25629" t="str">
        <f>"8319441"</f>
        <v>8319441</v>
      </c>
      <c r="D25629" t="s">
        <v>77085</v>
      </c>
      <c r="E25629" t="s">
        <v>77086</v>
      </c>
      <c r="F25629" t="s">
        <v>77087</v>
      </c>
      <c r="I25629" t="s">
        <v>49</v>
      </c>
      <c r="J25629" t="s">
        <v>30</v>
      </c>
      <c r="K25629" t="s">
        <v>55414</v>
      </c>
      <c r="M25629" t="s">
        <v>50793</v>
      </c>
      <c r="N25629" t="str">
        <f>"4/28/2025 1:14:00 PM"</f>
        <v>4/28/2025 1:14:00 PM</v>
      </c>
      <c r="O25629" t="s">
        <v>77085</v>
      </c>
      <c r="T25629" t="s">
        <v>77086</v>
      </c>
    </row>
    <row r="25630" spans="1:20" x14ac:dyDescent="0.25">
      <c r="A25630" t="str">
        <f>"3056496"</f>
        <v>3056496</v>
      </c>
      <c r="B25630" t="s">
        <v>77088</v>
      </c>
      <c r="C25630" t="str">
        <f>"82529486"</f>
        <v>82529486</v>
      </c>
      <c r="D25630" t="s">
        <v>48671</v>
      </c>
      <c r="F25630" t="s">
        <v>77089</v>
      </c>
      <c r="I25630" t="s">
        <v>29</v>
      </c>
      <c r="J25630" t="s">
        <v>30</v>
      </c>
      <c r="K25630" t="s">
        <v>16358</v>
      </c>
      <c r="M25630" t="s">
        <v>50621</v>
      </c>
      <c r="N25630" t="str">
        <f>"4/28/2025 3:41:00 PM"</f>
        <v>4/28/2025 3:41:00 PM</v>
      </c>
      <c r="O25630" t="s">
        <v>48671</v>
      </c>
    </row>
    <row r="25631" spans="1:20" x14ac:dyDescent="0.25">
      <c r="A25631" t="str">
        <f>"3048952"</f>
        <v>3048952</v>
      </c>
      <c r="B25631" t="s">
        <v>77090</v>
      </c>
      <c r="C25631" t="str">
        <f>"24964250"</f>
        <v>24964250</v>
      </c>
      <c r="D25631" t="s">
        <v>77091</v>
      </c>
      <c r="E25631" t="s">
        <v>77092</v>
      </c>
      <c r="F25631" t="s">
        <v>77093</v>
      </c>
      <c r="I25631" t="s">
        <v>35417</v>
      </c>
      <c r="J25631" t="s">
        <v>30</v>
      </c>
      <c r="K25631" t="s">
        <v>77094</v>
      </c>
      <c r="L25631" t="s">
        <v>2497</v>
      </c>
      <c r="M25631" t="s">
        <v>18470</v>
      </c>
      <c r="N25631" t="str">
        <f>"4/29/2025 9:50:00 AM"</f>
        <v>4/29/2025 9:50:00 AM</v>
      </c>
      <c r="O25631" t="s">
        <v>77091</v>
      </c>
      <c r="T25631" t="s">
        <v>77092</v>
      </c>
    </row>
    <row r="25632" spans="1:20" x14ac:dyDescent="0.25">
      <c r="A25632" t="str">
        <f>"3061449"</f>
        <v>3061449</v>
      </c>
      <c r="B25632" t="s">
        <v>77095</v>
      </c>
      <c r="C25632" t="str">
        <f>"8313703"</f>
        <v>8313703</v>
      </c>
      <c r="D25632" t="s">
        <v>77096</v>
      </c>
      <c r="E25632" t="s">
        <v>77097</v>
      </c>
      <c r="F25632" t="s">
        <v>77098</v>
      </c>
      <c r="I25632" t="s">
        <v>184</v>
      </c>
      <c r="J25632" t="s">
        <v>30</v>
      </c>
      <c r="K25632" t="s">
        <v>35010</v>
      </c>
      <c r="M25632" t="s">
        <v>50621</v>
      </c>
      <c r="N25632" t="str">
        <f>"5/2/2025 9:53:00 AM"</f>
        <v>5/2/2025 9:53:00 AM</v>
      </c>
      <c r="O25632" t="s">
        <v>77096</v>
      </c>
      <c r="T25632" t="s">
        <v>77097</v>
      </c>
    </row>
    <row r="25633" spans="1:20" x14ac:dyDescent="0.25">
      <c r="A25633" t="str">
        <f>"3055835"</f>
        <v>3055835</v>
      </c>
      <c r="B25633" t="s">
        <v>77099</v>
      </c>
      <c r="C25633" t="str">
        <f>"79670000"</f>
        <v>79670000</v>
      </c>
      <c r="D25633" t="s">
        <v>77100</v>
      </c>
      <c r="F25633" t="s">
        <v>23387</v>
      </c>
      <c r="I25633" t="s">
        <v>9580</v>
      </c>
      <c r="J25633" t="s">
        <v>30</v>
      </c>
      <c r="K25633" t="s">
        <v>77101</v>
      </c>
      <c r="M25633" t="s">
        <v>50621</v>
      </c>
      <c r="N25633" t="str">
        <f>"5/2/2025 9:54:00 AM"</f>
        <v>5/2/2025 9:54:00 AM</v>
      </c>
      <c r="O25633" t="s">
        <v>77100</v>
      </c>
    </row>
    <row r="25634" spans="1:20" x14ac:dyDescent="0.25">
      <c r="A25634" t="str">
        <f>"3047350"</f>
        <v>3047350</v>
      </c>
      <c r="B25634" t="s">
        <v>77102</v>
      </c>
      <c r="C25634" t="str">
        <f>"8317747"</f>
        <v>8317747</v>
      </c>
      <c r="D25634" t="s">
        <v>77103</v>
      </c>
      <c r="F25634" t="s">
        <v>66404</v>
      </c>
      <c r="I25634" t="s">
        <v>184</v>
      </c>
      <c r="J25634" t="s">
        <v>30</v>
      </c>
      <c r="K25634" t="s">
        <v>65762</v>
      </c>
      <c r="M25634" t="s">
        <v>50621</v>
      </c>
      <c r="N25634" t="str">
        <f>"5/2/2025 9:55:00 AM"</f>
        <v>5/2/2025 9:55:00 AM</v>
      </c>
      <c r="O25634" t="s">
        <v>77103</v>
      </c>
    </row>
    <row r="25635" spans="1:20" x14ac:dyDescent="0.25">
      <c r="A25635" t="str">
        <f>"3039446"</f>
        <v>3039446</v>
      </c>
      <c r="B25635" t="s">
        <v>77104</v>
      </c>
      <c r="C25635" t="str">
        <f>"81044000"</f>
        <v>81044000</v>
      </c>
      <c r="D25635" t="s">
        <v>77105</v>
      </c>
      <c r="F25635" t="s">
        <v>77106</v>
      </c>
      <c r="I25635" t="s">
        <v>17337</v>
      </c>
      <c r="J25635" t="s">
        <v>2738</v>
      </c>
      <c r="K25635" t="s">
        <v>77107</v>
      </c>
      <c r="M25635" t="s">
        <v>50621</v>
      </c>
      <c r="N25635" t="str">
        <f>"5/2/2025 9:57:00 AM"</f>
        <v>5/2/2025 9:57:00 AM</v>
      </c>
      <c r="O25635" t="s">
        <v>77105</v>
      </c>
    </row>
    <row r="25636" spans="1:20" x14ac:dyDescent="0.25">
      <c r="A25636" t="str">
        <f>"3047839"</f>
        <v>3047839</v>
      </c>
      <c r="B25636" t="s">
        <v>77108</v>
      </c>
      <c r="C25636" t="str">
        <f>"8305811"</f>
        <v>8305811</v>
      </c>
      <c r="D25636" t="s">
        <v>77109</v>
      </c>
      <c r="F25636" t="s">
        <v>77110</v>
      </c>
      <c r="I25636" t="s">
        <v>184</v>
      </c>
      <c r="J25636" t="s">
        <v>30</v>
      </c>
      <c r="K25636" t="str">
        <f>"27006"</f>
        <v>27006</v>
      </c>
      <c r="M25636" t="s">
        <v>50621</v>
      </c>
      <c r="N25636" t="str">
        <f>"5/2/2025 10:03:00 AM"</f>
        <v>5/2/2025 10:03:00 AM</v>
      </c>
      <c r="O25636" t="s">
        <v>77109</v>
      </c>
    </row>
    <row r="25637" spans="1:20" x14ac:dyDescent="0.25">
      <c r="A25637" t="str">
        <f>"3062015"</f>
        <v>3062015</v>
      </c>
      <c r="B25637" t="s">
        <v>77111</v>
      </c>
      <c r="C25637" t="str">
        <f>"8307047"</f>
        <v>8307047</v>
      </c>
      <c r="D25637" t="s">
        <v>77112</v>
      </c>
      <c r="E25637" t="s">
        <v>77113</v>
      </c>
      <c r="F25637" t="s">
        <v>77114</v>
      </c>
      <c r="I25637" t="s">
        <v>2071</v>
      </c>
      <c r="J25637" t="s">
        <v>30</v>
      </c>
      <c r="K25637" t="s">
        <v>6350</v>
      </c>
      <c r="M25637" t="s">
        <v>50500</v>
      </c>
      <c r="N25637" t="str">
        <f>"5/2/2025 11:02:00 AM"</f>
        <v>5/2/2025 11:02:00 AM</v>
      </c>
      <c r="O25637" t="s">
        <v>77112</v>
      </c>
      <c r="T25637" t="s">
        <v>77113</v>
      </c>
    </row>
    <row r="25638" spans="1:20" x14ac:dyDescent="0.25">
      <c r="A25638" t="str">
        <f>"3039641"</f>
        <v>3039641</v>
      </c>
      <c r="B25638" t="s">
        <v>77115</v>
      </c>
      <c r="C25638" t="str">
        <f>"61204000"</f>
        <v>61204000</v>
      </c>
      <c r="D25638" t="s">
        <v>77116</v>
      </c>
      <c r="F25638" t="s">
        <v>68519</v>
      </c>
      <c r="I25638" t="s">
        <v>184</v>
      </c>
      <c r="J25638" t="s">
        <v>30</v>
      </c>
      <c r="K25638" t="s">
        <v>185</v>
      </c>
      <c r="M25638" t="s">
        <v>50621</v>
      </c>
      <c r="N25638" t="str">
        <f>"5/5/2025 8:55:00 AM"</f>
        <v>5/5/2025 8:55:00 AM</v>
      </c>
      <c r="O25638" t="s">
        <v>77116</v>
      </c>
    </row>
    <row r="25639" spans="1:20" x14ac:dyDescent="0.25">
      <c r="A25639" t="str">
        <f>"3047655"</f>
        <v>3047655</v>
      </c>
      <c r="B25639" t="s">
        <v>77117</v>
      </c>
      <c r="C25639" t="str">
        <f>"61204000"</f>
        <v>61204000</v>
      </c>
      <c r="D25639" t="s">
        <v>77116</v>
      </c>
      <c r="F25639" t="s">
        <v>68519</v>
      </c>
      <c r="I25639" t="s">
        <v>184</v>
      </c>
      <c r="J25639" t="s">
        <v>30</v>
      </c>
      <c r="K25639" t="s">
        <v>185</v>
      </c>
      <c r="M25639" t="s">
        <v>50621</v>
      </c>
      <c r="N25639" t="str">
        <f>"5/5/2025 8:55:00 AM"</f>
        <v>5/5/2025 8:55:00 AM</v>
      </c>
      <c r="O25639" t="s">
        <v>77116</v>
      </c>
    </row>
    <row r="25640" spans="1:20" x14ac:dyDescent="0.25">
      <c r="A25640" t="str">
        <f>"3047066"</f>
        <v>3047066</v>
      </c>
      <c r="B25640" t="s">
        <v>77118</v>
      </c>
      <c r="C25640" t="str">
        <f>"66049500"</f>
        <v>66049500</v>
      </c>
      <c r="D25640" t="s">
        <v>77119</v>
      </c>
      <c r="F25640" t="s">
        <v>77120</v>
      </c>
      <c r="I25640" t="s">
        <v>29</v>
      </c>
      <c r="J25640" t="s">
        <v>30</v>
      </c>
      <c r="K25640" t="s">
        <v>31</v>
      </c>
      <c r="M25640" t="s">
        <v>50621</v>
      </c>
      <c r="N25640" t="str">
        <f>"5/5/2025 8:56:00 AM"</f>
        <v>5/5/2025 8:56:00 AM</v>
      </c>
      <c r="O25640" t="s">
        <v>77119</v>
      </c>
    </row>
    <row r="25641" spans="1:20" x14ac:dyDescent="0.25">
      <c r="A25641" t="str">
        <f>"3039100"</f>
        <v>3039100</v>
      </c>
      <c r="B25641" t="s">
        <v>77121</v>
      </c>
      <c r="C25641" t="str">
        <f>"82526438"</f>
        <v>82526438</v>
      </c>
      <c r="D25641" t="s">
        <v>77122</v>
      </c>
      <c r="E25641" t="s">
        <v>77123</v>
      </c>
      <c r="F25641" t="s">
        <v>77124</v>
      </c>
      <c r="I25641" t="s">
        <v>29</v>
      </c>
      <c r="J25641" t="s">
        <v>30</v>
      </c>
      <c r="K25641" t="s">
        <v>18030</v>
      </c>
      <c r="M25641" t="s">
        <v>50621</v>
      </c>
      <c r="N25641" t="str">
        <f>"4/29/2025 9:53:00 AM"</f>
        <v>4/29/2025 9:53:00 AM</v>
      </c>
      <c r="O25641" t="s">
        <v>77122</v>
      </c>
      <c r="T25641" t="s">
        <v>77123</v>
      </c>
    </row>
    <row r="25642" spans="1:20" x14ac:dyDescent="0.25">
      <c r="A25642" t="str">
        <f>"3049062"</f>
        <v>3049062</v>
      </c>
      <c r="B25642" t="s">
        <v>77125</v>
      </c>
      <c r="C25642" t="str">
        <f>"75975000"</f>
        <v>75975000</v>
      </c>
      <c r="D25642" t="s">
        <v>77126</v>
      </c>
      <c r="F25642" t="s">
        <v>77127</v>
      </c>
      <c r="I25642" t="s">
        <v>29</v>
      </c>
      <c r="J25642" t="s">
        <v>30</v>
      </c>
      <c r="K25642" t="s">
        <v>34257</v>
      </c>
      <c r="M25642" t="s">
        <v>50621</v>
      </c>
      <c r="N25642" t="str">
        <f>"4/29/2025 10:50:00 AM"</f>
        <v>4/29/2025 10:50:00 AM</v>
      </c>
      <c r="O25642" t="s">
        <v>77126</v>
      </c>
    </row>
    <row r="25643" spans="1:20" x14ac:dyDescent="0.25">
      <c r="A25643" t="str">
        <f>"3052225"</f>
        <v>3052225</v>
      </c>
      <c r="B25643" t="s">
        <v>77128</v>
      </c>
      <c r="C25643" t="str">
        <f>"19509000"</f>
        <v>19509000</v>
      </c>
      <c r="D25643" t="s">
        <v>77129</v>
      </c>
      <c r="E25643" t="s">
        <v>77130</v>
      </c>
      <c r="F25643" t="s">
        <v>30909</v>
      </c>
      <c r="I25643" t="s">
        <v>29</v>
      </c>
      <c r="J25643" t="s">
        <v>30</v>
      </c>
      <c r="K25643" t="s">
        <v>31</v>
      </c>
      <c r="M25643" t="s">
        <v>50621</v>
      </c>
      <c r="N25643" t="str">
        <f>"4/29/2025 11:26:00 AM"</f>
        <v>4/29/2025 11:26:00 AM</v>
      </c>
      <c r="O25643" t="s">
        <v>77129</v>
      </c>
      <c r="T25643" t="s">
        <v>77130</v>
      </c>
    </row>
    <row r="25644" spans="1:20" x14ac:dyDescent="0.25">
      <c r="A25644" t="str">
        <f>"3057257"</f>
        <v>3057257</v>
      </c>
      <c r="B25644" t="s">
        <v>77131</v>
      </c>
      <c r="C25644" t="str">
        <f>"82524875"</f>
        <v>82524875</v>
      </c>
      <c r="D25644" t="s">
        <v>77132</v>
      </c>
      <c r="E25644" t="s">
        <v>77133</v>
      </c>
      <c r="F25644" t="s">
        <v>51418</v>
      </c>
      <c r="I25644" t="s">
        <v>51419</v>
      </c>
      <c r="J25644" t="s">
        <v>1046</v>
      </c>
      <c r="K25644" t="s">
        <v>51420</v>
      </c>
      <c r="M25644" t="s">
        <v>50621</v>
      </c>
      <c r="N25644" t="str">
        <f>"5/6/2025 9:14:00 AM"</f>
        <v>5/6/2025 9:14:00 AM</v>
      </c>
      <c r="O25644" t="s">
        <v>77132</v>
      </c>
      <c r="T25644" t="s">
        <v>77133</v>
      </c>
    </row>
    <row r="25645" spans="1:20" x14ac:dyDescent="0.25">
      <c r="A25645" t="str">
        <f>"3053701"</f>
        <v>3053701</v>
      </c>
      <c r="B25645" t="s">
        <v>77134</v>
      </c>
      <c r="C25645" t="str">
        <f>"19552000"</f>
        <v>19552000</v>
      </c>
      <c r="D25645" t="s">
        <v>77135</v>
      </c>
      <c r="F25645" t="s">
        <v>77136</v>
      </c>
      <c r="G25645" t="s">
        <v>77137</v>
      </c>
      <c r="I25645" t="s">
        <v>29</v>
      </c>
      <c r="J25645" t="s">
        <v>30</v>
      </c>
      <c r="K25645" t="s">
        <v>31</v>
      </c>
      <c r="M25645" t="s">
        <v>50621</v>
      </c>
      <c r="N25645" t="str">
        <f>"4/29/2025 11:27:00 AM"</f>
        <v>4/29/2025 11:27:00 AM</v>
      </c>
      <c r="O25645" t="s">
        <v>77135</v>
      </c>
    </row>
    <row r="25646" spans="1:20" x14ac:dyDescent="0.25">
      <c r="A25646" t="str">
        <f>"3059955"</f>
        <v>3059955</v>
      </c>
      <c r="B25646" t="s">
        <v>77138</v>
      </c>
      <c r="C25646" t="str">
        <f>"82522000"</f>
        <v>82522000</v>
      </c>
      <c r="D25646" t="s">
        <v>77139</v>
      </c>
      <c r="F25646" t="s">
        <v>77140</v>
      </c>
      <c r="I25646" t="s">
        <v>184</v>
      </c>
      <c r="J25646" t="s">
        <v>30</v>
      </c>
      <c r="K25646" t="s">
        <v>10312</v>
      </c>
      <c r="M25646" t="s">
        <v>50621</v>
      </c>
      <c r="N25646" t="str">
        <f>"4/29/2025 11:50:00 AM"</f>
        <v>4/29/2025 11:50:00 AM</v>
      </c>
      <c r="O25646" t="s">
        <v>77139</v>
      </c>
    </row>
    <row r="25647" spans="1:20" x14ac:dyDescent="0.25">
      <c r="A25647" t="str">
        <f>"3047426"</f>
        <v>3047426</v>
      </c>
      <c r="B25647" t="s">
        <v>77141</v>
      </c>
      <c r="C25647" t="str">
        <f>"51645500"</f>
        <v>51645500</v>
      </c>
      <c r="D25647" t="s">
        <v>77142</v>
      </c>
      <c r="F25647" t="s">
        <v>77143</v>
      </c>
      <c r="I25647" t="s">
        <v>184</v>
      </c>
      <c r="J25647" t="s">
        <v>30</v>
      </c>
      <c r="K25647" t="s">
        <v>77144</v>
      </c>
      <c r="M25647" t="s">
        <v>50621</v>
      </c>
      <c r="N25647" t="str">
        <f>"4/29/2025 11:51:00 AM"</f>
        <v>4/29/2025 11:51:00 AM</v>
      </c>
      <c r="O25647" t="s">
        <v>77142</v>
      </c>
    </row>
    <row r="25648" spans="1:20" x14ac:dyDescent="0.25">
      <c r="A25648" t="str">
        <f>"3057377"</f>
        <v>3057377</v>
      </c>
      <c r="B25648" t="s">
        <v>77145</v>
      </c>
      <c r="C25648" t="str">
        <f>"3778000"</f>
        <v>3778000</v>
      </c>
      <c r="D25648" t="s">
        <v>77146</v>
      </c>
      <c r="E25648" t="s">
        <v>77147</v>
      </c>
      <c r="F25648" t="s">
        <v>77148</v>
      </c>
      <c r="I25648" t="s">
        <v>184</v>
      </c>
      <c r="J25648" t="s">
        <v>30</v>
      </c>
      <c r="K25648" t="s">
        <v>33001</v>
      </c>
      <c r="M25648" t="s">
        <v>50793</v>
      </c>
      <c r="N25648" t="str">
        <f>"4/23/2025 10:16:00 AM"</f>
        <v>4/23/2025 10:16:00 AM</v>
      </c>
      <c r="O25648" t="s">
        <v>77146</v>
      </c>
      <c r="T25648" t="s">
        <v>77147</v>
      </c>
    </row>
    <row r="25649" spans="1:20" x14ac:dyDescent="0.25">
      <c r="A25649" t="str">
        <f>"3057378"</f>
        <v>3057378</v>
      </c>
      <c r="B25649" t="s">
        <v>77149</v>
      </c>
      <c r="C25649" t="str">
        <f>"82526952"</f>
        <v>82526952</v>
      </c>
      <c r="D25649" t="s">
        <v>77150</v>
      </c>
      <c r="F25649" t="s">
        <v>77151</v>
      </c>
      <c r="I25649" t="s">
        <v>184</v>
      </c>
      <c r="J25649" t="s">
        <v>30</v>
      </c>
      <c r="K25649" t="s">
        <v>185</v>
      </c>
      <c r="M25649" t="s">
        <v>50793</v>
      </c>
      <c r="N25649" t="str">
        <f>"4/23/2025 10:17:00 AM"</f>
        <v>4/23/2025 10:17:00 AM</v>
      </c>
      <c r="O25649" t="s">
        <v>77150</v>
      </c>
    </row>
    <row r="25650" spans="1:20" x14ac:dyDescent="0.25">
      <c r="A25650" t="str">
        <f>"3043567"</f>
        <v>3043567</v>
      </c>
      <c r="B25650" t="s">
        <v>77152</v>
      </c>
      <c r="C25650" t="str">
        <f>"82528292"</f>
        <v>82528292</v>
      </c>
      <c r="D25650" t="s">
        <v>77153</v>
      </c>
      <c r="E25650" t="s">
        <v>77154</v>
      </c>
      <c r="F25650" t="s">
        <v>77155</v>
      </c>
      <c r="I25650" t="s">
        <v>29</v>
      </c>
      <c r="J25650" t="s">
        <v>30</v>
      </c>
      <c r="K25650" t="s">
        <v>8305</v>
      </c>
      <c r="M25650" t="s">
        <v>50793</v>
      </c>
      <c r="N25650" t="str">
        <f>"4/23/2025 10:40:00 AM"</f>
        <v>4/23/2025 10:40:00 AM</v>
      </c>
      <c r="O25650" t="s">
        <v>77153</v>
      </c>
      <c r="T25650" t="s">
        <v>77154</v>
      </c>
    </row>
    <row r="25651" spans="1:20" x14ac:dyDescent="0.25">
      <c r="A25651" t="str">
        <f>"3048370"</f>
        <v>3048370</v>
      </c>
      <c r="B25651" t="s">
        <v>77156</v>
      </c>
      <c r="C25651" t="str">
        <f>"8320632"</f>
        <v>8320632</v>
      </c>
      <c r="D25651" t="s">
        <v>77157</v>
      </c>
      <c r="E25651" t="s">
        <v>77158</v>
      </c>
      <c r="F25651" t="s">
        <v>77159</v>
      </c>
      <c r="I25651" t="s">
        <v>184</v>
      </c>
      <c r="J25651" t="s">
        <v>30</v>
      </c>
      <c r="K25651" t="s">
        <v>8906</v>
      </c>
      <c r="M25651" t="s">
        <v>50793</v>
      </c>
      <c r="N25651" t="str">
        <f>"4/23/2025 11:03:00 AM"</f>
        <v>4/23/2025 11:03:00 AM</v>
      </c>
      <c r="O25651" t="s">
        <v>77157</v>
      </c>
      <c r="T25651" t="s">
        <v>77158</v>
      </c>
    </row>
    <row r="25652" spans="1:20" x14ac:dyDescent="0.25">
      <c r="A25652" t="str">
        <f>"3059170"</f>
        <v>3059170</v>
      </c>
      <c r="B25652" t="s">
        <v>77160</v>
      </c>
      <c r="C25652" t="str">
        <f>"8317096"</f>
        <v>8317096</v>
      </c>
      <c r="D25652" t="s">
        <v>77161</v>
      </c>
      <c r="F25652" t="s">
        <v>77162</v>
      </c>
      <c r="I25652" t="s">
        <v>29</v>
      </c>
      <c r="J25652" t="s">
        <v>30</v>
      </c>
      <c r="K25652" t="s">
        <v>77163</v>
      </c>
      <c r="M25652" t="s">
        <v>50621</v>
      </c>
      <c r="N25652" t="str">
        <f>"4/24/2025 10:01:00 AM"</f>
        <v>4/24/2025 10:01:00 AM</v>
      </c>
      <c r="O25652" t="s">
        <v>77161</v>
      </c>
    </row>
    <row r="25653" spans="1:20" x14ac:dyDescent="0.25">
      <c r="A25653" t="str">
        <f>"3078767"</f>
        <v>3078767</v>
      </c>
      <c r="B25653" t="s">
        <v>77164</v>
      </c>
      <c r="C25653" t="str">
        <f>"64888000"</f>
        <v>64888000</v>
      </c>
      <c r="D25653" t="s">
        <v>67959</v>
      </c>
      <c r="E25653" t="s">
        <v>76864</v>
      </c>
      <c r="F25653" t="s">
        <v>76865</v>
      </c>
      <c r="I25653" t="s">
        <v>29</v>
      </c>
      <c r="J25653" t="s">
        <v>30</v>
      </c>
      <c r="K25653" t="s">
        <v>29603</v>
      </c>
      <c r="M25653" t="s">
        <v>50793</v>
      </c>
      <c r="N25653" t="str">
        <f>"4/24/2025 10:57:00 AM"</f>
        <v>4/24/2025 10:57:00 AM</v>
      </c>
      <c r="O25653" t="s">
        <v>67959</v>
      </c>
      <c r="T25653" t="s">
        <v>76864</v>
      </c>
    </row>
    <row r="25654" spans="1:20" x14ac:dyDescent="0.25">
      <c r="A25654" t="str">
        <f>"3047489"</f>
        <v>3047489</v>
      </c>
      <c r="B25654" t="s">
        <v>77165</v>
      </c>
      <c r="C25654" t="str">
        <f>"8314781"</f>
        <v>8314781</v>
      </c>
      <c r="D25654" t="s">
        <v>77166</v>
      </c>
      <c r="E25654" t="s">
        <v>77167</v>
      </c>
      <c r="F25654" t="s">
        <v>77168</v>
      </c>
      <c r="I25654" t="s">
        <v>184</v>
      </c>
      <c r="J25654" t="s">
        <v>30</v>
      </c>
      <c r="K25654" t="s">
        <v>7665</v>
      </c>
      <c r="M25654" t="s">
        <v>50621</v>
      </c>
      <c r="N25654" t="str">
        <f>"4/29/2025 12:06:00 PM"</f>
        <v>4/29/2025 12:06:00 PM</v>
      </c>
      <c r="O25654" t="s">
        <v>77166</v>
      </c>
      <c r="T25654" t="s">
        <v>77167</v>
      </c>
    </row>
    <row r="25655" spans="1:20" x14ac:dyDescent="0.25">
      <c r="A25655" t="str">
        <f>"3068421"</f>
        <v>3068421</v>
      </c>
      <c r="B25655" t="s">
        <v>77169</v>
      </c>
      <c r="C25655" t="str">
        <f>"8323897"</f>
        <v>8323897</v>
      </c>
      <c r="D25655" t="s">
        <v>77170</v>
      </c>
      <c r="F25655" t="s">
        <v>77171</v>
      </c>
      <c r="I25655" t="s">
        <v>29</v>
      </c>
      <c r="J25655" t="s">
        <v>30</v>
      </c>
      <c r="K25655" t="s">
        <v>20963</v>
      </c>
      <c r="M25655" t="s">
        <v>52111</v>
      </c>
      <c r="N25655" t="str">
        <f>"4/30/2025 10:36:00 AM"</f>
        <v>4/30/2025 10:36:00 AM</v>
      </c>
      <c r="O25655" t="s">
        <v>77170</v>
      </c>
    </row>
    <row r="25656" spans="1:20" x14ac:dyDescent="0.25">
      <c r="A25656" t="str">
        <f>"3042215"</f>
        <v>3042215</v>
      </c>
      <c r="B25656" t="s">
        <v>77172</v>
      </c>
      <c r="C25656" t="str">
        <f>"8311587"</f>
        <v>8311587</v>
      </c>
      <c r="D25656" t="s">
        <v>77173</v>
      </c>
      <c r="E25656" t="s">
        <v>77174</v>
      </c>
      <c r="F25656" t="s">
        <v>77175</v>
      </c>
      <c r="I25656" t="s">
        <v>184</v>
      </c>
      <c r="J25656" t="s">
        <v>30</v>
      </c>
      <c r="K25656" t="s">
        <v>77176</v>
      </c>
      <c r="M25656" t="s">
        <v>52111</v>
      </c>
      <c r="N25656" t="str">
        <f>"5/12/2025 10:00:00 AM"</f>
        <v>5/12/2025 10:00:00 AM</v>
      </c>
      <c r="O25656" t="s">
        <v>77173</v>
      </c>
      <c r="T25656" t="s">
        <v>77174</v>
      </c>
    </row>
    <row r="25657" spans="1:20" x14ac:dyDescent="0.25">
      <c r="A25657" t="str">
        <f>"3042216"</f>
        <v>3042216</v>
      </c>
      <c r="B25657" t="s">
        <v>77177</v>
      </c>
      <c r="C25657" t="str">
        <f>"8311587"</f>
        <v>8311587</v>
      </c>
      <c r="D25657" t="s">
        <v>77173</v>
      </c>
      <c r="E25657" t="s">
        <v>77174</v>
      </c>
      <c r="F25657" t="s">
        <v>77175</v>
      </c>
      <c r="I25657" t="s">
        <v>184</v>
      </c>
      <c r="J25657" t="s">
        <v>30</v>
      </c>
      <c r="K25657" t="s">
        <v>77176</v>
      </c>
      <c r="M25657" t="s">
        <v>52111</v>
      </c>
      <c r="N25657" t="str">
        <f>"5/12/2025 10:00:00 AM"</f>
        <v>5/12/2025 10:00:00 AM</v>
      </c>
      <c r="O25657" t="s">
        <v>77173</v>
      </c>
      <c r="T25657" t="s">
        <v>77174</v>
      </c>
    </row>
    <row r="25658" spans="1:20" x14ac:dyDescent="0.25">
      <c r="A25658" t="str">
        <f>"3068422"</f>
        <v>3068422</v>
      </c>
      <c r="B25658" t="s">
        <v>77178</v>
      </c>
      <c r="C25658" t="str">
        <f>"8323897"</f>
        <v>8323897</v>
      </c>
      <c r="D25658" t="s">
        <v>77170</v>
      </c>
      <c r="F25658" t="s">
        <v>77171</v>
      </c>
      <c r="I25658" t="s">
        <v>29</v>
      </c>
      <c r="J25658" t="s">
        <v>30</v>
      </c>
      <c r="K25658" t="s">
        <v>20963</v>
      </c>
      <c r="M25658" t="s">
        <v>52111</v>
      </c>
      <c r="N25658" t="str">
        <f>"4/30/2025 10:36:00 AM"</f>
        <v>4/30/2025 10:36:00 AM</v>
      </c>
      <c r="O25658" t="s">
        <v>77170</v>
      </c>
    </row>
    <row r="25659" spans="1:20" x14ac:dyDescent="0.25">
      <c r="A25659" t="str">
        <f>"3068425"</f>
        <v>3068425</v>
      </c>
      <c r="B25659" t="s">
        <v>77179</v>
      </c>
      <c r="C25659" t="str">
        <f>"8323897"</f>
        <v>8323897</v>
      </c>
      <c r="D25659" t="s">
        <v>77170</v>
      </c>
      <c r="F25659" t="s">
        <v>77171</v>
      </c>
      <c r="I25659" t="s">
        <v>29</v>
      </c>
      <c r="J25659" t="s">
        <v>30</v>
      </c>
      <c r="K25659" t="s">
        <v>20963</v>
      </c>
      <c r="M25659" t="s">
        <v>52111</v>
      </c>
      <c r="N25659" t="str">
        <f>"4/30/2025 10:36:00 AM"</f>
        <v>4/30/2025 10:36:00 AM</v>
      </c>
      <c r="O25659" t="s">
        <v>77170</v>
      </c>
    </row>
    <row r="25660" spans="1:20" x14ac:dyDescent="0.25">
      <c r="A25660" t="str">
        <f>"3068423"</f>
        <v>3068423</v>
      </c>
      <c r="B25660" t="s">
        <v>77180</v>
      </c>
      <c r="C25660" t="str">
        <f>"8323897"</f>
        <v>8323897</v>
      </c>
      <c r="D25660" t="s">
        <v>77170</v>
      </c>
      <c r="F25660" t="s">
        <v>77171</v>
      </c>
      <c r="I25660" t="s">
        <v>29</v>
      </c>
      <c r="J25660" t="s">
        <v>30</v>
      </c>
      <c r="K25660" t="s">
        <v>20963</v>
      </c>
      <c r="M25660" t="s">
        <v>52111</v>
      </c>
      <c r="N25660" t="str">
        <f>"4/30/2025 10:36:00 AM"</f>
        <v>4/30/2025 10:36:00 AM</v>
      </c>
      <c r="O25660" t="s">
        <v>77170</v>
      </c>
    </row>
    <row r="25661" spans="1:20" x14ac:dyDescent="0.25">
      <c r="A25661" t="str">
        <f>"3068424"</f>
        <v>3068424</v>
      </c>
      <c r="B25661" t="s">
        <v>77181</v>
      </c>
      <c r="C25661" t="str">
        <f>"8323897"</f>
        <v>8323897</v>
      </c>
      <c r="D25661" t="s">
        <v>77170</v>
      </c>
      <c r="F25661" t="s">
        <v>77171</v>
      </c>
      <c r="I25661" t="s">
        <v>29</v>
      </c>
      <c r="J25661" t="s">
        <v>30</v>
      </c>
      <c r="K25661" t="s">
        <v>20963</v>
      </c>
      <c r="M25661" t="s">
        <v>52111</v>
      </c>
      <c r="N25661" t="str">
        <f>"4/30/2025 10:36:00 AM"</f>
        <v>4/30/2025 10:36:00 AM</v>
      </c>
      <c r="O25661" t="s">
        <v>77170</v>
      </c>
    </row>
    <row r="25662" spans="1:20" x14ac:dyDescent="0.25">
      <c r="A25662" t="str">
        <f>"3051550"</f>
        <v>3051550</v>
      </c>
      <c r="B25662" t="s">
        <v>77182</v>
      </c>
      <c r="C25662" t="str">
        <f>"80212000"</f>
        <v>80212000</v>
      </c>
      <c r="D25662" t="s">
        <v>29226</v>
      </c>
      <c r="F25662" t="s">
        <v>29227</v>
      </c>
      <c r="I25662" t="s">
        <v>29</v>
      </c>
      <c r="J25662" t="s">
        <v>30</v>
      </c>
      <c r="K25662" t="s">
        <v>29228</v>
      </c>
      <c r="M25662" t="s">
        <v>50621</v>
      </c>
      <c r="N25662" t="str">
        <f>"4/30/2025 11:37:00 AM"</f>
        <v>4/30/2025 11:37:00 AM</v>
      </c>
      <c r="O25662" t="s">
        <v>29226</v>
      </c>
    </row>
    <row r="25663" spans="1:20" x14ac:dyDescent="0.25">
      <c r="A25663" t="str">
        <f>"3043795"</f>
        <v>3043795</v>
      </c>
      <c r="B25663" t="s">
        <v>77183</v>
      </c>
      <c r="C25663" t="str">
        <f>"8306249"</f>
        <v>8306249</v>
      </c>
      <c r="D25663" t="s">
        <v>77184</v>
      </c>
      <c r="F25663" t="s">
        <v>77185</v>
      </c>
      <c r="I25663" t="s">
        <v>29</v>
      </c>
      <c r="J25663" t="s">
        <v>30</v>
      </c>
      <c r="K25663" t="str">
        <f>"27028"</f>
        <v>27028</v>
      </c>
      <c r="M25663" t="s">
        <v>50621</v>
      </c>
      <c r="N25663" t="str">
        <f>"5/13/2025 9:35:00 AM"</f>
        <v>5/13/2025 9:35:00 AM</v>
      </c>
      <c r="O25663" t="s">
        <v>77184</v>
      </c>
    </row>
    <row r="25664" spans="1:20" x14ac:dyDescent="0.25">
      <c r="A25664" t="str">
        <f>"3055802"</f>
        <v>3055802</v>
      </c>
      <c r="B25664" t="s">
        <v>77186</v>
      </c>
      <c r="C25664" t="str">
        <f>"8301204"</f>
        <v>8301204</v>
      </c>
      <c r="D25664" t="s">
        <v>77187</v>
      </c>
      <c r="F25664" t="s">
        <v>77188</v>
      </c>
      <c r="I25664" t="s">
        <v>9580</v>
      </c>
      <c r="J25664" t="s">
        <v>30</v>
      </c>
      <c r="K25664" t="s">
        <v>77189</v>
      </c>
      <c r="M25664" t="s">
        <v>50621</v>
      </c>
      <c r="N25664" t="str">
        <f>"5/13/2025 9:35:00 AM"</f>
        <v>5/13/2025 9:35:00 AM</v>
      </c>
      <c r="O25664" t="s">
        <v>77187</v>
      </c>
    </row>
    <row r="25665" spans="1:20" x14ac:dyDescent="0.25">
      <c r="A25665" t="str">
        <f>"3055742"</f>
        <v>3055742</v>
      </c>
      <c r="B25665" t="s">
        <v>77190</v>
      </c>
      <c r="C25665" t="str">
        <f>"8318026"</f>
        <v>8318026</v>
      </c>
      <c r="D25665" t="s">
        <v>77191</v>
      </c>
      <c r="F25665" t="s">
        <v>77192</v>
      </c>
      <c r="I25665" t="s">
        <v>53482</v>
      </c>
      <c r="J25665" t="s">
        <v>30</v>
      </c>
      <c r="K25665" t="s">
        <v>77193</v>
      </c>
      <c r="M25665" t="s">
        <v>50621</v>
      </c>
      <c r="N25665" t="str">
        <f>"5/13/2025 9:36:00 AM"</f>
        <v>5/13/2025 9:36:00 AM</v>
      </c>
      <c r="O25665" t="s">
        <v>77191</v>
      </c>
    </row>
    <row r="25666" spans="1:20" x14ac:dyDescent="0.25">
      <c r="A25666" t="str">
        <f>"3037851"</f>
        <v>3037851</v>
      </c>
      <c r="B25666" t="s">
        <v>77194</v>
      </c>
      <c r="C25666" t="str">
        <f>"8320357"</f>
        <v>8320357</v>
      </c>
      <c r="D25666" t="s">
        <v>77195</v>
      </c>
      <c r="F25666" t="s">
        <v>77196</v>
      </c>
      <c r="I25666" t="s">
        <v>37425</v>
      </c>
      <c r="J25666" t="s">
        <v>30</v>
      </c>
      <c r="K25666" t="s">
        <v>77197</v>
      </c>
      <c r="M25666" t="s">
        <v>50621</v>
      </c>
      <c r="N25666" t="str">
        <f>"5/13/2025 9:37:00 AM"</f>
        <v>5/13/2025 9:37:00 AM</v>
      </c>
      <c r="O25666" t="s">
        <v>77195</v>
      </c>
    </row>
    <row r="25667" spans="1:20" x14ac:dyDescent="0.25">
      <c r="A25667" t="str">
        <f>"3037829"</f>
        <v>3037829</v>
      </c>
      <c r="B25667" t="s">
        <v>77198</v>
      </c>
      <c r="C25667" t="str">
        <f>"8320357"</f>
        <v>8320357</v>
      </c>
      <c r="D25667" t="s">
        <v>77195</v>
      </c>
      <c r="F25667" t="s">
        <v>77196</v>
      </c>
      <c r="I25667" t="s">
        <v>37425</v>
      </c>
      <c r="J25667" t="s">
        <v>30</v>
      </c>
      <c r="K25667" t="s">
        <v>77197</v>
      </c>
      <c r="M25667" t="s">
        <v>50621</v>
      </c>
      <c r="N25667" t="str">
        <f>"5/13/2025 9:37:00 AM"</f>
        <v>5/13/2025 9:37:00 AM</v>
      </c>
      <c r="O25667" t="s">
        <v>77195</v>
      </c>
    </row>
    <row r="25668" spans="1:20" x14ac:dyDescent="0.25">
      <c r="A25668" t="str">
        <f>"3053649"</f>
        <v>3053649</v>
      </c>
      <c r="B25668" t="s">
        <v>77199</v>
      </c>
      <c r="C25668" t="str">
        <f>"8317429"</f>
        <v>8317429</v>
      </c>
      <c r="D25668" t="s">
        <v>77200</v>
      </c>
      <c r="F25668" t="s">
        <v>52667</v>
      </c>
      <c r="I25668" t="s">
        <v>184</v>
      </c>
      <c r="J25668" t="s">
        <v>30</v>
      </c>
      <c r="K25668" t="s">
        <v>27109</v>
      </c>
      <c r="M25668" t="s">
        <v>50621</v>
      </c>
      <c r="N25668" t="str">
        <f>"4/30/2025 11:59:00 AM"</f>
        <v>4/30/2025 11:59:00 AM</v>
      </c>
      <c r="O25668" t="s">
        <v>77200</v>
      </c>
    </row>
    <row r="25669" spans="1:20" x14ac:dyDescent="0.25">
      <c r="A25669" t="str">
        <f>"3056805"</f>
        <v>3056805</v>
      </c>
      <c r="B25669" t="s">
        <v>77201</v>
      </c>
      <c r="C25669" t="str">
        <f>"8319122"</f>
        <v>8319122</v>
      </c>
      <c r="D25669" t="s">
        <v>77202</v>
      </c>
      <c r="F25669" t="s">
        <v>77203</v>
      </c>
      <c r="I25669" t="s">
        <v>29</v>
      </c>
      <c r="J25669" t="s">
        <v>30</v>
      </c>
      <c r="K25669" t="s">
        <v>19045</v>
      </c>
      <c r="M25669" t="s">
        <v>50621</v>
      </c>
      <c r="N25669" t="str">
        <f>"5/13/2025 10:11:00 AM"</f>
        <v>5/13/2025 10:11:00 AM</v>
      </c>
      <c r="O25669" t="s">
        <v>77202</v>
      </c>
    </row>
    <row r="25670" spans="1:20" x14ac:dyDescent="0.25">
      <c r="A25670" t="str">
        <f>"3056505"</f>
        <v>3056505</v>
      </c>
      <c r="B25670" t="s">
        <v>77204</v>
      </c>
      <c r="C25670" t="str">
        <f>"8319853"</f>
        <v>8319853</v>
      </c>
      <c r="D25670" t="s">
        <v>77205</v>
      </c>
      <c r="E25670" t="s">
        <v>77206</v>
      </c>
      <c r="F25670" t="s">
        <v>51270</v>
      </c>
      <c r="I25670" t="s">
        <v>29</v>
      </c>
      <c r="J25670" t="s">
        <v>30</v>
      </c>
      <c r="K25670" t="s">
        <v>6094</v>
      </c>
      <c r="M25670" t="s">
        <v>50621</v>
      </c>
      <c r="N25670" t="str">
        <f>"5/13/2025 10:15:00 AM"</f>
        <v>5/13/2025 10:15:00 AM</v>
      </c>
      <c r="O25670" t="s">
        <v>77205</v>
      </c>
      <c r="T25670" t="s">
        <v>77206</v>
      </c>
    </row>
    <row r="25671" spans="1:20" x14ac:dyDescent="0.25">
      <c r="A25671" t="str">
        <f>"3046937"</f>
        <v>3046937</v>
      </c>
      <c r="B25671" t="s">
        <v>77207</v>
      </c>
      <c r="C25671" t="str">
        <f>"69069550"</f>
        <v>69069550</v>
      </c>
      <c r="D25671" t="s">
        <v>77208</v>
      </c>
      <c r="E25671" t="s">
        <v>77209</v>
      </c>
      <c r="F25671" t="s">
        <v>77210</v>
      </c>
      <c r="I25671" t="s">
        <v>29</v>
      </c>
      <c r="J25671" t="s">
        <v>30</v>
      </c>
      <c r="K25671" t="s">
        <v>77211</v>
      </c>
      <c r="M25671" t="s">
        <v>50621</v>
      </c>
      <c r="N25671" t="str">
        <f>"5/13/2025 10:17:00 AM"</f>
        <v>5/13/2025 10:17:00 AM</v>
      </c>
      <c r="O25671" t="s">
        <v>77208</v>
      </c>
      <c r="T25671" t="s">
        <v>77209</v>
      </c>
    </row>
    <row r="25672" spans="1:20" x14ac:dyDescent="0.25">
      <c r="A25672" t="str">
        <f>"3040075"</f>
        <v>3040075</v>
      </c>
      <c r="B25672" t="s">
        <v>77212</v>
      </c>
      <c r="C25672" t="str">
        <f>"69774000"</f>
        <v>69774000</v>
      </c>
      <c r="D25672" t="s">
        <v>77213</v>
      </c>
      <c r="F25672" t="s">
        <v>77214</v>
      </c>
      <c r="I25672" t="s">
        <v>29</v>
      </c>
      <c r="J25672" t="s">
        <v>30</v>
      </c>
      <c r="K25672" t="s">
        <v>31</v>
      </c>
      <c r="M25672" t="s">
        <v>50621</v>
      </c>
      <c r="N25672" t="str">
        <f>"5/13/2025 10:19:00 AM"</f>
        <v>5/13/2025 10:19:00 AM</v>
      </c>
      <c r="O25672" t="s">
        <v>77213</v>
      </c>
    </row>
    <row r="25673" spans="1:20" x14ac:dyDescent="0.25">
      <c r="A25673" t="str">
        <f>"3040027"</f>
        <v>3040027</v>
      </c>
      <c r="B25673" t="s">
        <v>77215</v>
      </c>
      <c r="C25673" t="str">
        <f>"69774000"</f>
        <v>69774000</v>
      </c>
      <c r="D25673" t="s">
        <v>77213</v>
      </c>
      <c r="F25673" t="s">
        <v>77214</v>
      </c>
      <c r="I25673" t="s">
        <v>29</v>
      </c>
      <c r="J25673" t="s">
        <v>30</v>
      </c>
      <c r="K25673" t="s">
        <v>31</v>
      </c>
      <c r="M25673" t="s">
        <v>50621</v>
      </c>
      <c r="N25673" t="str">
        <f>"5/13/2025 10:19:00 AM"</f>
        <v>5/13/2025 10:19:00 AM</v>
      </c>
      <c r="O25673" t="s">
        <v>77213</v>
      </c>
    </row>
    <row r="25674" spans="1:20" x14ac:dyDescent="0.25">
      <c r="A25674" t="str">
        <f>"3049103"</f>
        <v>3049103</v>
      </c>
      <c r="B25674" t="s">
        <v>77216</v>
      </c>
      <c r="C25674" t="str">
        <f>"63489880"</f>
        <v>63489880</v>
      </c>
      <c r="D25674" t="s">
        <v>77217</v>
      </c>
      <c r="E25674" t="s">
        <v>77218</v>
      </c>
      <c r="F25674" t="s">
        <v>77219</v>
      </c>
      <c r="I25674" t="s">
        <v>29</v>
      </c>
      <c r="J25674" t="s">
        <v>30</v>
      </c>
      <c r="K25674" t="s">
        <v>44186</v>
      </c>
      <c r="M25674" t="s">
        <v>50621</v>
      </c>
      <c r="N25674" t="str">
        <f>"5/13/2025 10:20:00 AM"</f>
        <v>5/13/2025 10:20:00 AM</v>
      </c>
      <c r="O25674" t="s">
        <v>77217</v>
      </c>
      <c r="T25674" t="s">
        <v>77218</v>
      </c>
    </row>
    <row r="25675" spans="1:20" x14ac:dyDescent="0.25">
      <c r="A25675" t="str">
        <f>"3055886"</f>
        <v>3055886</v>
      </c>
      <c r="B25675" t="s">
        <v>77220</v>
      </c>
      <c r="C25675" t="str">
        <f>"13609000"</f>
        <v>13609000</v>
      </c>
      <c r="D25675" t="s">
        <v>77221</v>
      </c>
      <c r="E25675" t="s">
        <v>77222</v>
      </c>
      <c r="F25675" t="s">
        <v>77223</v>
      </c>
      <c r="I25675" t="s">
        <v>9580</v>
      </c>
      <c r="J25675" t="s">
        <v>30</v>
      </c>
      <c r="K25675" t="s">
        <v>77224</v>
      </c>
      <c r="M25675" t="s">
        <v>50793</v>
      </c>
      <c r="N25675" t="str">
        <f>"5/13/2025 10:33:00 AM"</f>
        <v>5/13/2025 10:33:00 AM</v>
      </c>
      <c r="O25675" t="s">
        <v>77221</v>
      </c>
      <c r="T25675" t="s">
        <v>77222</v>
      </c>
    </row>
    <row r="25676" spans="1:20" x14ac:dyDescent="0.25">
      <c r="A25676" t="str">
        <f>"3050576"</f>
        <v>3050576</v>
      </c>
      <c r="B25676" t="s">
        <v>77225</v>
      </c>
      <c r="C25676" t="str">
        <f>"82519200"</f>
        <v>82519200</v>
      </c>
      <c r="D25676" t="s">
        <v>77226</v>
      </c>
      <c r="F25676" t="s">
        <v>77227</v>
      </c>
      <c r="I25676" t="s">
        <v>184</v>
      </c>
      <c r="J25676" t="s">
        <v>30</v>
      </c>
      <c r="K25676" t="s">
        <v>27081</v>
      </c>
      <c r="M25676" t="s">
        <v>50793</v>
      </c>
      <c r="N25676" t="str">
        <f>"5/13/2025 10:53:00 AM"</f>
        <v>5/13/2025 10:53:00 AM</v>
      </c>
      <c r="O25676" t="s">
        <v>77226</v>
      </c>
    </row>
    <row r="25677" spans="1:20" x14ac:dyDescent="0.25">
      <c r="A25677" t="str">
        <f>"3050625"</f>
        <v>3050625</v>
      </c>
      <c r="B25677" t="s">
        <v>77228</v>
      </c>
      <c r="C25677" t="str">
        <f>"82519200"</f>
        <v>82519200</v>
      </c>
      <c r="D25677" t="s">
        <v>77226</v>
      </c>
      <c r="F25677" t="s">
        <v>77227</v>
      </c>
      <c r="I25677" t="s">
        <v>184</v>
      </c>
      <c r="J25677" t="s">
        <v>30</v>
      </c>
      <c r="K25677" t="s">
        <v>27081</v>
      </c>
      <c r="M25677" t="s">
        <v>50793</v>
      </c>
      <c r="N25677" t="str">
        <f>"5/13/2025 10:53:00 AM"</f>
        <v>5/13/2025 10:53:00 AM</v>
      </c>
      <c r="O25677" t="s">
        <v>77226</v>
      </c>
    </row>
    <row r="25678" spans="1:20" x14ac:dyDescent="0.25">
      <c r="A25678" t="str">
        <f>"3050848"</f>
        <v>3050848</v>
      </c>
      <c r="B25678" t="s">
        <v>77229</v>
      </c>
      <c r="C25678" t="str">
        <f>"82519200"</f>
        <v>82519200</v>
      </c>
      <c r="D25678" t="s">
        <v>77226</v>
      </c>
      <c r="F25678" t="s">
        <v>77227</v>
      </c>
      <c r="I25678" t="s">
        <v>184</v>
      </c>
      <c r="J25678" t="s">
        <v>30</v>
      </c>
      <c r="K25678" t="s">
        <v>27081</v>
      </c>
      <c r="M25678" t="s">
        <v>50793</v>
      </c>
      <c r="N25678" t="str">
        <f>"5/13/2025 10:53:00 AM"</f>
        <v>5/13/2025 10:53:00 AM</v>
      </c>
      <c r="O25678" t="s">
        <v>77226</v>
      </c>
    </row>
    <row r="25679" spans="1:20" x14ac:dyDescent="0.25">
      <c r="A25679" t="str">
        <f>"3050956"</f>
        <v>3050956</v>
      </c>
      <c r="B25679" t="s">
        <v>77230</v>
      </c>
      <c r="C25679" t="str">
        <f>"82519200"</f>
        <v>82519200</v>
      </c>
      <c r="D25679" t="s">
        <v>77226</v>
      </c>
      <c r="F25679" t="s">
        <v>77227</v>
      </c>
      <c r="I25679" t="s">
        <v>184</v>
      </c>
      <c r="J25679" t="s">
        <v>30</v>
      </c>
      <c r="K25679" t="s">
        <v>27081</v>
      </c>
      <c r="M25679" t="s">
        <v>50793</v>
      </c>
      <c r="N25679" t="str">
        <f>"5/13/2025 10:53:00 AM"</f>
        <v>5/13/2025 10:53:00 AM</v>
      </c>
      <c r="O25679" t="s">
        <v>77226</v>
      </c>
    </row>
    <row r="25680" spans="1:20" x14ac:dyDescent="0.25">
      <c r="A25680" t="str">
        <f>"3047911"</f>
        <v>3047911</v>
      </c>
      <c r="B25680" t="s">
        <v>77231</v>
      </c>
      <c r="C25680" t="str">
        <f>"8300838"</f>
        <v>8300838</v>
      </c>
      <c r="D25680" t="s">
        <v>77232</v>
      </c>
      <c r="E25680" t="s">
        <v>58598</v>
      </c>
      <c r="F25680" t="s">
        <v>77233</v>
      </c>
      <c r="I25680" t="s">
        <v>29</v>
      </c>
      <c r="J25680" t="s">
        <v>30</v>
      </c>
      <c r="K25680" t="str">
        <f>"27028"</f>
        <v>27028</v>
      </c>
      <c r="M25680" t="s">
        <v>50793</v>
      </c>
      <c r="N25680" t="str">
        <f>"5/13/2025 11:10:00 AM"</f>
        <v>5/13/2025 11:10:00 AM</v>
      </c>
      <c r="O25680" t="s">
        <v>77232</v>
      </c>
      <c r="T25680" t="s">
        <v>58598</v>
      </c>
    </row>
    <row r="25681" spans="1:20" x14ac:dyDescent="0.25">
      <c r="A25681" t="str">
        <f>"3048965"</f>
        <v>3048965</v>
      </c>
      <c r="B25681" t="s">
        <v>77234</v>
      </c>
      <c r="C25681" t="str">
        <f>"8319349"</f>
        <v>8319349</v>
      </c>
      <c r="D25681" t="s">
        <v>77235</v>
      </c>
      <c r="F25681" t="s">
        <v>77236</v>
      </c>
      <c r="I25681" t="s">
        <v>7917</v>
      </c>
      <c r="J25681" t="s">
        <v>30</v>
      </c>
      <c r="K25681" t="s">
        <v>77237</v>
      </c>
      <c r="M25681" t="s">
        <v>50500</v>
      </c>
      <c r="N25681" t="str">
        <f>"5/1/2025 11:08:00 AM"</f>
        <v>5/1/2025 11:08:00 AM</v>
      </c>
      <c r="O25681" t="s">
        <v>77235</v>
      </c>
    </row>
    <row r="25682" spans="1:20" x14ac:dyDescent="0.25">
      <c r="A25682" t="str">
        <f>"3074794"</f>
        <v>3074794</v>
      </c>
      <c r="B25682" t="s">
        <v>77238</v>
      </c>
      <c r="C25682" t="str">
        <f>"8324254"</f>
        <v>8324254</v>
      </c>
      <c r="D25682" t="s">
        <v>53579</v>
      </c>
      <c r="F25682" t="s">
        <v>53580</v>
      </c>
      <c r="I25682" t="s">
        <v>53581</v>
      </c>
      <c r="J25682" t="s">
        <v>40852</v>
      </c>
      <c r="K25682" t="s">
        <v>53582</v>
      </c>
      <c r="M25682" t="s">
        <v>50500</v>
      </c>
      <c r="N25682" t="str">
        <f>"5/13/2025 11:15:00 AM"</f>
        <v>5/13/2025 11:15:00 AM</v>
      </c>
      <c r="O25682" t="s">
        <v>53579</v>
      </c>
    </row>
    <row r="25683" spans="1:20" x14ac:dyDescent="0.25">
      <c r="A25683" t="str">
        <f>"3047499"</f>
        <v>3047499</v>
      </c>
      <c r="B25683" t="s">
        <v>77239</v>
      </c>
      <c r="C25683" t="str">
        <f>"8301228"</f>
        <v>8301228</v>
      </c>
      <c r="D25683" t="s">
        <v>77240</v>
      </c>
      <c r="F25683" t="s">
        <v>77241</v>
      </c>
      <c r="I25683" t="s">
        <v>29</v>
      </c>
      <c r="J25683" t="s">
        <v>30</v>
      </c>
      <c r="K25683" t="str">
        <f>"27028"</f>
        <v>27028</v>
      </c>
      <c r="M25683" t="s">
        <v>50793</v>
      </c>
      <c r="N25683" t="str">
        <f>"5/13/2025 11:23:00 AM"</f>
        <v>5/13/2025 11:23:00 AM</v>
      </c>
      <c r="O25683" t="s">
        <v>77240</v>
      </c>
    </row>
    <row r="25684" spans="1:20" x14ac:dyDescent="0.25">
      <c r="A25684" t="str">
        <f>"3051530"</f>
        <v>3051530</v>
      </c>
      <c r="B25684" t="s">
        <v>77242</v>
      </c>
      <c r="C25684" t="str">
        <f>"75726000"</f>
        <v>75726000</v>
      </c>
      <c r="D25684" t="s">
        <v>77243</v>
      </c>
      <c r="E25684" t="s">
        <v>77244</v>
      </c>
      <c r="F25684" t="s">
        <v>77245</v>
      </c>
      <c r="I25684" t="s">
        <v>29</v>
      </c>
      <c r="J25684" t="s">
        <v>30</v>
      </c>
      <c r="K25684" t="s">
        <v>48135</v>
      </c>
      <c r="M25684" t="s">
        <v>50621</v>
      </c>
      <c r="N25684" t="str">
        <f>"5/2/2025 9:47:00 AM"</f>
        <v>5/2/2025 9:47:00 AM</v>
      </c>
      <c r="O25684" t="s">
        <v>77243</v>
      </c>
      <c r="T25684" t="s">
        <v>77244</v>
      </c>
    </row>
    <row r="25685" spans="1:20" x14ac:dyDescent="0.25">
      <c r="A25685" t="str">
        <f>"3042109"</f>
        <v>3042109</v>
      </c>
      <c r="B25685" t="s">
        <v>77246</v>
      </c>
      <c r="C25685" t="str">
        <f>"82528288"</f>
        <v>82528288</v>
      </c>
      <c r="D25685" t="s">
        <v>23834</v>
      </c>
      <c r="F25685" t="s">
        <v>77247</v>
      </c>
      <c r="I25685" t="s">
        <v>29</v>
      </c>
      <c r="J25685" t="s">
        <v>30</v>
      </c>
      <c r="K25685" t="s">
        <v>31</v>
      </c>
      <c r="M25685" t="s">
        <v>25733</v>
      </c>
      <c r="N25685" t="str">
        <f>"5/13/2025 12:54:00 PM"</f>
        <v>5/13/2025 12:54:00 PM</v>
      </c>
      <c r="O25685" t="s">
        <v>23834</v>
      </c>
    </row>
    <row r="25686" spans="1:20" x14ac:dyDescent="0.25">
      <c r="A25686" t="str">
        <f>"3040021"</f>
        <v>3040021</v>
      </c>
      <c r="B25686" t="s">
        <v>77248</v>
      </c>
      <c r="C25686" t="str">
        <f>"8320917"</f>
        <v>8320917</v>
      </c>
      <c r="D25686" t="s">
        <v>77249</v>
      </c>
      <c r="E25686" t="str">
        <f>"HENDRIX ROBERT CHRISTOPHER/DEB"</f>
        <v>HENDRIX ROBERT CHRISTOPHER/DEB</v>
      </c>
      <c r="F25686" t="s">
        <v>77250</v>
      </c>
      <c r="I25686" t="s">
        <v>29</v>
      </c>
      <c r="J25686" t="s">
        <v>30</v>
      </c>
      <c r="K25686" t="s">
        <v>62450</v>
      </c>
      <c r="M25686" t="s">
        <v>50793</v>
      </c>
      <c r="N25686" t="str">
        <f>"5/13/2025 2:35:00 PM"</f>
        <v>5/13/2025 2:35:00 PM</v>
      </c>
      <c r="O25686" t="s">
        <v>77249</v>
      </c>
      <c r="T25686" t="str">
        <f>"HENDRIX ROBERT CHRISTOPHER/DEB"</f>
        <v>HENDRIX ROBERT CHRISTOPHER/DEB</v>
      </c>
    </row>
    <row r="25687" spans="1:20" x14ac:dyDescent="0.25">
      <c r="A25687" t="str">
        <f>"3062563"</f>
        <v>3062563</v>
      </c>
      <c r="B25687" t="s">
        <v>77251</v>
      </c>
      <c r="C25687" t="str">
        <f>"8320266"</f>
        <v>8320266</v>
      </c>
      <c r="D25687" t="s">
        <v>77252</v>
      </c>
      <c r="F25687" t="s">
        <v>77253</v>
      </c>
      <c r="I25687" t="s">
        <v>2071</v>
      </c>
      <c r="J25687" t="s">
        <v>30</v>
      </c>
      <c r="K25687" t="s">
        <v>3885</v>
      </c>
      <c r="M25687" t="s">
        <v>50621</v>
      </c>
      <c r="N25687" t="str">
        <f>"5/2/2025 9:51:00 AM"</f>
        <v>5/2/2025 9:51:00 AM</v>
      </c>
      <c r="O25687" t="s">
        <v>77252</v>
      </c>
    </row>
    <row r="25688" spans="1:20" x14ac:dyDescent="0.25">
      <c r="A25688" t="str">
        <f>"3069320"</f>
        <v>3069320</v>
      </c>
      <c r="B25688" t="s">
        <v>77254</v>
      </c>
      <c r="C25688" t="str">
        <f>"8304441"</f>
        <v>8304441</v>
      </c>
      <c r="D25688" t="s">
        <v>77255</v>
      </c>
      <c r="F25688" t="s">
        <v>77256</v>
      </c>
      <c r="I25688" t="s">
        <v>29</v>
      </c>
      <c r="J25688" t="s">
        <v>30</v>
      </c>
      <c r="K25688" t="str">
        <f>"27028"</f>
        <v>27028</v>
      </c>
      <c r="M25688" t="s">
        <v>25733</v>
      </c>
      <c r="N25688" t="str">
        <f>"5/5/2025 10:33:00 AM"</f>
        <v>5/5/2025 10:33:00 AM</v>
      </c>
      <c r="O25688" t="s">
        <v>77255</v>
      </c>
    </row>
    <row r="25689" spans="1:20" x14ac:dyDescent="0.25">
      <c r="A25689" t="str">
        <f>"3048088"</f>
        <v>3048088</v>
      </c>
      <c r="B25689" t="s">
        <v>77257</v>
      </c>
      <c r="C25689" t="str">
        <f>"8312932"</f>
        <v>8312932</v>
      </c>
      <c r="D25689" t="s">
        <v>77258</v>
      </c>
      <c r="E25689" t="s">
        <v>77259</v>
      </c>
      <c r="F25689" t="s">
        <v>77260</v>
      </c>
      <c r="I25689" t="s">
        <v>184</v>
      </c>
      <c r="J25689" t="s">
        <v>30</v>
      </c>
      <c r="K25689" t="s">
        <v>77261</v>
      </c>
      <c r="M25689" t="s">
        <v>50793</v>
      </c>
      <c r="N25689" t="str">
        <f>"5/14/2025 8:21:00 AM"</f>
        <v>5/14/2025 8:21:00 AM</v>
      </c>
      <c r="O25689" t="s">
        <v>77258</v>
      </c>
      <c r="T25689" t="s">
        <v>77259</v>
      </c>
    </row>
    <row r="25690" spans="1:20" x14ac:dyDescent="0.25">
      <c r="A25690" t="str">
        <f>"3054422"</f>
        <v>3054422</v>
      </c>
      <c r="B25690" t="s">
        <v>77262</v>
      </c>
      <c r="C25690" t="str">
        <f>"8300413"</f>
        <v>8300413</v>
      </c>
      <c r="D25690" t="s">
        <v>77263</v>
      </c>
      <c r="F25690" t="s">
        <v>67811</v>
      </c>
      <c r="I25690" t="s">
        <v>29</v>
      </c>
      <c r="J25690" t="s">
        <v>30</v>
      </c>
      <c r="K25690" t="s">
        <v>31</v>
      </c>
      <c r="M25690" t="s">
        <v>50621</v>
      </c>
      <c r="N25690" t="str">
        <f>"5/5/2025 10:32:00 AM"</f>
        <v>5/5/2025 10:32:00 AM</v>
      </c>
      <c r="O25690" t="s">
        <v>77263</v>
      </c>
    </row>
    <row r="25691" spans="1:20" x14ac:dyDescent="0.25">
      <c r="A25691" t="str">
        <f>"3046604"</f>
        <v>3046604</v>
      </c>
      <c r="B25691" t="s">
        <v>77264</v>
      </c>
      <c r="C25691" t="str">
        <f>"82520176"</f>
        <v>82520176</v>
      </c>
      <c r="D25691" t="s">
        <v>77265</v>
      </c>
      <c r="E25691" t="s">
        <v>77266</v>
      </c>
      <c r="F25691" t="s">
        <v>77267</v>
      </c>
      <c r="I25691" t="s">
        <v>29</v>
      </c>
      <c r="J25691" t="s">
        <v>30</v>
      </c>
      <c r="K25691" t="str">
        <f>"27028"</f>
        <v>27028</v>
      </c>
      <c r="M25691" t="s">
        <v>50793</v>
      </c>
      <c r="N25691" t="str">
        <f>"5/14/2025 9:07:00 AM"</f>
        <v>5/14/2025 9:07:00 AM</v>
      </c>
      <c r="O25691" t="s">
        <v>77265</v>
      </c>
      <c r="T25691" t="s">
        <v>77266</v>
      </c>
    </row>
    <row r="25692" spans="1:20" x14ac:dyDescent="0.25">
      <c r="A25692" t="str">
        <f>"3046506"</f>
        <v>3046506</v>
      </c>
      <c r="B25692" t="s">
        <v>77268</v>
      </c>
      <c r="C25692" t="str">
        <f>"82520176"</f>
        <v>82520176</v>
      </c>
      <c r="D25692" t="s">
        <v>77265</v>
      </c>
      <c r="E25692" t="s">
        <v>77266</v>
      </c>
      <c r="F25692" t="s">
        <v>77267</v>
      </c>
      <c r="I25692" t="s">
        <v>29</v>
      </c>
      <c r="J25692" t="s">
        <v>30</v>
      </c>
      <c r="K25692" t="str">
        <f>"27028"</f>
        <v>27028</v>
      </c>
      <c r="M25692" t="s">
        <v>50793</v>
      </c>
      <c r="N25692" t="str">
        <f>"5/14/2025 9:07:00 AM"</f>
        <v>5/14/2025 9:07:00 AM</v>
      </c>
      <c r="O25692" t="s">
        <v>77265</v>
      </c>
      <c r="T25692" t="s">
        <v>77266</v>
      </c>
    </row>
    <row r="25693" spans="1:20" x14ac:dyDescent="0.25">
      <c r="A25693" t="str">
        <f>"3046839"</f>
        <v>3046839</v>
      </c>
      <c r="B25693" t="s">
        <v>77269</v>
      </c>
      <c r="C25693" t="str">
        <f>"82520176"</f>
        <v>82520176</v>
      </c>
      <c r="D25693" t="s">
        <v>77265</v>
      </c>
      <c r="E25693" t="s">
        <v>77266</v>
      </c>
      <c r="F25693" t="s">
        <v>77267</v>
      </c>
      <c r="I25693" t="s">
        <v>29</v>
      </c>
      <c r="J25693" t="s">
        <v>30</v>
      </c>
      <c r="K25693" t="str">
        <f>"27028"</f>
        <v>27028</v>
      </c>
      <c r="M25693" t="s">
        <v>50793</v>
      </c>
      <c r="N25693" t="str">
        <f>"5/14/2025 9:07:00 AM"</f>
        <v>5/14/2025 9:07:00 AM</v>
      </c>
      <c r="O25693" t="s">
        <v>77265</v>
      </c>
      <c r="T25693" t="s">
        <v>77266</v>
      </c>
    </row>
    <row r="25694" spans="1:20" x14ac:dyDescent="0.25">
      <c r="A25694" t="str">
        <f>"3049508"</f>
        <v>3049508</v>
      </c>
      <c r="B25694" t="s">
        <v>77270</v>
      </c>
      <c r="C25694" t="str">
        <f>"8316715"</f>
        <v>8316715</v>
      </c>
      <c r="D25694" t="s">
        <v>77271</v>
      </c>
      <c r="E25694" t="s">
        <v>77272</v>
      </c>
      <c r="F25694" t="s">
        <v>77273</v>
      </c>
      <c r="I25694" t="s">
        <v>29</v>
      </c>
      <c r="J25694" t="s">
        <v>30</v>
      </c>
      <c r="K25694" t="s">
        <v>26799</v>
      </c>
      <c r="M25694" t="s">
        <v>50621</v>
      </c>
      <c r="N25694" t="str">
        <f>"5/14/2025 10:14:00 AM"</f>
        <v>5/14/2025 10:14:00 AM</v>
      </c>
      <c r="O25694" t="s">
        <v>77271</v>
      </c>
      <c r="T25694" t="s">
        <v>77272</v>
      </c>
    </row>
    <row r="25695" spans="1:20" x14ac:dyDescent="0.25">
      <c r="A25695" t="str">
        <f>"3078601"</f>
        <v>3078601</v>
      </c>
      <c r="B25695" t="s">
        <v>77274</v>
      </c>
      <c r="C25695" t="str">
        <f>"8320474"</f>
        <v>8320474</v>
      </c>
      <c r="D25695" t="s">
        <v>77275</v>
      </c>
      <c r="F25695" t="s">
        <v>77276</v>
      </c>
      <c r="I25695" t="s">
        <v>1107</v>
      </c>
      <c r="J25695" t="s">
        <v>30</v>
      </c>
      <c r="K25695" t="s">
        <v>77277</v>
      </c>
      <c r="M25695" t="s">
        <v>25733</v>
      </c>
      <c r="N25695" t="str">
        <f>"5/14/2025 10:17:00 AM"</f>
        <v>5/14/2025 10:17:00 AM</v>
      </c>
      <c r="O25695" t="s">
        <v>77275</v>
      </c>
    </row>
    <row r="25696" spans="1:20" x14ac:dyDescent="0.25">
      <c r="A25696" t="str">
        <f>"3046659"</f>
        <v>3046659</v>
      </c>
      <c r="B25696" t="s">
        <v>77278</v>
      </c>
      <c r="C25696" t="str">
        <f>"8317416"</f>
        <v>8317416</v>
      </c>
      <c r="D25696" t="s">
        <v>77279</v>
      </c>
      <c r="F25696" t="s">
        <v>77280</v>
      </c>
      <c r="I25696" t="s">
        <v>29</v>
      </c>
      <c r="J25696" t="s">
        <v>30</v>
      </c>
      <c r="K25696" t="s">
        <v>12538</v>
      </c>
      <c r="M25696" t="s">
        <v>50621</v>
      </c>
      <c r="N25696" t="str">
        <f>"5/5/2025 3:38:00 PM"</f>
        <v>5/5/2025 3:38:00 PM</v>
      </c>
      <c r="O25696" t="s">
        <v>77279</v>
      </c>
    </row>
    <row r="25697" spans="1:20" x14ac:dyDescent="0.25">
      <c r="A25697" t="str">
        <f>"3073706"</f>
        <v>3073706</v>
      </c>
      <c r="B25697" t="s">
        <v>77281</v>
      </c>
      <c r="C25697" t="str">
        <f>"81493000"</f>
        <v>81493000</v>
      </c>
      <c r="D25697" t="s">
        <v>77282</v>
      </c>
      <c r="E25697" t="s">
        <v>77283</v>
      </c>
      <c r="F25697" t="s">
        <v>77284</v>
      </c>
      <c r="I25697" t="s">
        <v>184</v>
      </c>
      <c r="J25697" t="s">
        <v>30</v>
      </c>
      <c r="K25697" t="s">
        <v>77285</v>
      </c>
      <c r="M25697" t="s">
        <v>67210</v>
      </c>
      <c r="N25697" t="str">
        <f>"5/6/2025 1:36:00 PM"</f>
        <v>5/6/2025 1:36:00 PM</v>
      </c>
      <c r="O25697" t="s">
        <v>77282</v>
      </c>
      <c r="T25697" t="s">
        <v>77283</v>
      </c>
    </row>
    <row r="25698" spans="1:20" x14ac:dyDescent="0.25">
      <c r="A25698" t="str">
        <f>"3073824"</f>
        <v>3073824</v>
      </c>
      <c r="B25698" t="s">
        <v>77286</v>
      </c>
      <c r="C25698" t="str">
        <f>"8314742"</f>
        <v>8314742</v>
      </c>
      <c r="D25698" t="s">
        <v>77287</v>
      </c>
      <c r="E25698" t="s">
        <v>77288</v>
      </c>
      <c r="F25698" t="s">
        <v>77289</v>
      </c>
      <c r="I25698" t="s">
        <v>184</v>
      </c>
      <c r="J25698" t="s">
        <v>30</v>
      </c>
      <c r="K25698" t="s">
        <v>77290</v>
      </c>
      <c r="M25698" t="s">
        <v>32801</v>
      </c>
      <c r="N25698" t="str">
        <f>"5/6/2025 3:40:00 PM"</f>
        <v>5/6/2025 3:40:00 PM</v>
      </c>
      <c r="O25698" t="s">
        <v>77287</v>
      </c>
      <c r="T25698" t="s">
        <v>77288</v>
      </c>
    </row>
    <row r="25699" spans="1:20" x14ac:dyDescent="0.25">
      <c r="A25699" t="str">
        <f>"3043240"</f>
        <v>3043240</v>
      </c>
      <c r="B25699" t="s">
        <v>77291</v>
      </c>
      <c r="C25699" t="str">
        <f>"77860000"</f>
        <v>77860000</v>
      </c>
      <c r="D25699" t="s">
        <v>77292</v>
      </c>
      <c r="E25699" t="s">
        <v>77293</v>
      </c>
      <c r="F25699" t="s">
        <v>77294</v>
      </c>
      <c r="I25699" t="s">
        <v>29</v>
      </c>
      <c r="J25699" t="s">
        <v>30</v>
      </c>
      <c r="K25699" t="s">
        <v>7114</v>
      </c>
      <c r="M25699" t="s">
        <v>50621</v>
      </c>
      <c r="N25699" t="str">
        <f>"5/7/2025 9:08:00 AM"</f>
        <v>5/7/2025 9:08:00 AM</v>
      </c>
      <c r="O25699" t="s">
        <v>77292</v>
      </c>
      <c r="T25699" t="s">
        <v>77293</v>
      </c>
    </row>
    <row r="25700" spans="1:20" x14ac:dyDescent="0.25">
      <c r="A25700" t="str">
        <f>"3053221"</f>
        <v>3053221</v>
      </c>
      <c r="B25700" t="s">
        <v>77295</v>
      </c>
      <c r="C25700" t="str">
        <f>"8311689"</f>
        <v>8311689</v>
      </c>
      <c r="D25700" t="s">
        <v>77296</v>
      </c>
      <c r="F25700" t="s">
        <v>66783</v>
      </c>
      <c r="I25700" t="s">
        <v>184</v>
      </c>
      <c r="J25700" t="s">
        <v>30</v>
      </c>
      <c r="K25700" t="s">
        <v>66784</v>
      </c>
      <c r="M25700" t="s">
        <v>50793</v>
      </c>
      <c r="N25700" t="str">
        <f>"5/15/2025 1:52:00 PM"</f>
        <v>5/15/2025 1:52:00 PM</v>
      </c>
      <c r="O25700" t="s">
        <v>77296</v>
      </c>
    </row>
    <row r="25701" spans="1:20" x14ac:dyDescent="0.25">
      <c r="A25701" t="str">
        <f>"3059775"</f>
        <v>3059775</v>
      </c>
      <c r="B25701" t="s">
        <v>77297</v>
      </c>
      <c r="C25701" t="str">
        <f>"8317220"</f>
        <v>8317220</v>
      </c>
      <c r="D25701" t="s">
        <v>77298</v>
      </c>
      <c r="E25701" t="s">
        <v>77299</v>
      </c>
      <c r="F25701" t="s">
        <v>77300</v>
      </c>
      <c r="I25701" t="s">
        <v>23790</v>
      </c>
      <c r="J25701" t="s">
        <v>30</v>
      </c>
      <c r="K25701" t="s">
        <v>77301</v>
      </c>
      <c r="M25701" t="s">
        <v>51351</v>
      </c>
      <c r="N25701" t="str">
        <f>"5/15/2025 1:55:00 PM"</f>
        <v>5/15/2025 1:55:00 PM</v>
      </c>
      <c r="O25701" t="s">
        <v>77298</v>
      </c>
      <c r="T25701" t="s">
        <v>77299</v>
      </c>
    </row>
    <row r="25702" spans="1:20" x14ac:dyDescent="0.25">
      <c r="A25702" t="str">
        <f>"3043593"</f>
        <v>3043593</v>
      </c>
      <c r="B25702" t="s">
        <v>77302</v>
      </c>
      <c r="C25702" t="str">
        <f>"77860000"</f>
        <v>77860000</v>
      </c>
      <c r="D25702" t="s">
        <v>77292</v>
      </c>
      <c r="E25702" t="s">
        <v>77293</v>
      </c>
      <c r="F25702" t="s">
        <v>77294</v>
      </c>
      <c r="I25702" t="s">
        <v>29</v>
      </c>
      <c r="J25702" t="s">
        <v>30</v>
      </c>
      <c r="K25702" t="s">
        <v>7114</v>
      </c>
      <c r="M25702" t="s">
        <v>50621</v>
      </c>
      <c r="N25702" t="str">
        <f>"5/7/2025 9:08:00 AM"</f>
        <v>5/7/2025 9:08:00 AM</v>
      </c>
      <c r="O25702" t="s">
        <v>77292</v>
      </c>
      <c r="T25702" t="s">
        <v>77293</v>
      </c>
    </row>
    <row r="25703" spans="1:20" x14ac:dyDescent="0.25">
      <c r="A25703" t="str">
        <f>"3078028"</f>
        <v>3078028</v>
      </c>
      <c r="B25703" t="s">
        <v>77303</v>
      </c>
      <c r="C25703" t="str">
        <f>"8322855"</f>
        <v>8322855</v>
      </c>
      <c r="D25703" t="s">
        <v>77304</v>
      </c>
      <c r="E25703" t="s">
        <v>77305</v>
      </c>
      <c r="F25703" t="s">
        <v>77306</v>
      </c>
      <c r="I25703" t="s">
        <v>184</v>
      </c>
      <c r="J25703" t="s">
        <v>30</v>
      </c>
      <c r="K25703" t="s">
        <v>77307</v>
      </c>
      <c r="M25703" t="s">
        <v>18479</v>
      </c>
      <c r="N25703" t="str">
        <f>"5/7/2025 9:31:00 AM"</f>
        <v>5/7/2025 9:31:00 AM</v>
      </c>
      <c r="O25703" t="s">
        <v>77304</v>
      </c>
      <c r="T25703" t="s">
        <v>77305</v>
      </c>
    </row>
    <row r="25704" spans="1:20" x14ac:dyDescent="0.25">
      <c r="A25704" t="str">
        <f>"3044883"</f>
        <v>3044883</v>
      </c>
      <c r="B25704" t="s">
        <v>77308</v>
      </c>
      <c r="C25704" t="str">
        <f>"8321238"</f>
        <v>8321238</v>
      </c>
      <c r="D25704" t="s">
        <v>77309</v>
      </c>
      <c r="F25704" t="s">
        <v>13311</v>
      </c>
      <c r="I25704" t="s">
        <v>184</v>
      </c>
      <c r="J25704" t="s">
        <v>30</v>
      </c>
      <c r="K25704" t="s">
        <v>77310</v>
      </c>
      <c r="M25704" t="s">
        <v>50793</v>
      </c>
      <c r="N25704" t="str">
        <f>"5/15/2025 2:09:00 PM"</f>
        <v>5/15/2025 2:09:00 PM</v>
      </c>
      <c r="O25704" t="s">
        <v>77309</v>
      </c>
    </row>
    <row r="25705" spans="1:20" x14ac:dyDescent="0.25">
      <c r="A25705" t="str">
        <f>"3052238"</f>
        <v>3052238</v>
      </c>
      <c r="B25705" t="s">
        <v>77311</v>
      </c>
      <c r="C25705" t="str">
        <f>"8308561"</f>
        <v>8308561</v>
      </c>
      <c r="D25705" t="s">
        <v>58954</v>
      </c>
      <c r="E25705" t="s">
        <v>58955</v>
      </c>
      <c r="F25705" t="s">
        <v>18389</v>
      </c>
      <c r="I25705" t="s">
        <v>29</v>
      </c>
      <c r="J25705" t="s">
        <v>30</v>
      </c>
      <c r="K25705" t="s">
        <v>14829</v>
      </c>
      <c r="M25705" t="s">
        <v>50793</v>
      </c>
      <c r="N25705" t="str">
        <f>"5/15/2025 2:13:00 PM"</f>
        <v>5/15/2025 2:13:00 PM</v>
      </c>
      <c r="O25705" t="s">
        <v>58954</v>
      </c>
      <c r="T25705" t="s">
        <v>58955</v>
      </c>
    </row>
    <row r="25706" spans="1:20" x14ac:dyDescent="0.25">
      <c r="A25706" t="str">
        <f>"3078444"</f>
        <v>3078444</v>
      </c>
      <c r="B25706" t="s">
        <v>77312</v>
      </c>
      <c r="C25706" t="str">
        <f>"8308561"</f>
        <v>8308561</v>
      </c>
      <c r="D25706" t="s">
        <v>58954</v>
      </c>
      <c r="E25706" t="s">
        <v>58955</v>
      </c>
      <c r="F25706" t="s">
        <v>18389</v>
      </c>
      <c r="I25706" t="s">
        <v>29</v>
      </c>
      <c r="J25706" t="s">
        <v>30</v>
      </c>
      <c r="K25706" t="s">
        <v>14829</v>
      </c>
      <c r="M25706" t="s">
        <v>50793</v>
      </c>
      <c r="N25706" t="str">
        <f>"5/15/2025 2:13:00 PM"</f>
        <v>5/15/2025 2:13:00 PM</v>
      </c>
      <c r="O25706" t="s">
        <v>58954</v>
      </c>
      <c r="T25706" t="s">
        <v>58955</v>
      </c>
    </row>
    <row r="25707" spans="1:20" x14ac:dyDescent="0.25">
      <c r="A25707" t="str">
        <f>"3078962"</f>
        <v>3078962</v>
      </c>
      <c r="B25707" t="s">
        <v>77313</v>
      </c>
      <c r="C25707" t="str">
        <f>"8308561"</f>
        <v>8308561</v>
      </c>
      <c r="D25707" t="s">
        <v>58954</v>
      </c>
      <c r="E25707" t="s">
        <v>58955</v>
      </c>
      <c r="F25707" t="s">
        <v>18389</v>
      </c>
      <c r="I25707" t="s">
        <v>29</v>
      </c>
      <c r="J25707" t="s">
        <v>30</v>
      </c>
      <c r="K25707" t="s">
        <v>14829</v>
      </c>
      <c r="M25707" t="s">
        <v>50793</v>
      </c>
      <c r="N25707" t="str">
        <f>"5/15/2025 2:13:00 PM"</f>
        <v>5/15/2025 2:13:00 PM</v>
      </c>
      <c r="O25707" t="s">
        <v>58954</v>
      </c>
      <c r="T25707" t="s">
        <v>58955</v>
      </c>
    </row>
    <row r="25708" spans="1:20" x14ac:dyDescent="0.25">
      <c r="A25708" t="str">
        <f>"3052493"</f>
        <v>3052493</v>
      </c>
      <c r="B25708" t="s">
        <v>77314</v>
      </c>
      <c r="C25708" t="str">
        <f>"15435000"</f>
        <v>15435000</v>
      </c>
      <c r="D25708" t="s">
        <v>77315</v>
      </c>
      <c r="F25708" t="s">
        <v>77316</v>
      </c>
      <c r="I25708" t="s">
        <v>29</v>
      </c>
      <c r="J25708" t="s">
        <v>30</v>
      </c>
      <c r="K25708" t="s">
        <v>39812</v>
      </c>
      <c r="M25708" t="s">
        <v>50621</v>
      </c>
      <c r="N25708" t="str">
        <f>"5/8/2025 8:29:00 AM"</f>
        <v>5/8/2025 8:29:00 AM</v>
      </c>
      <c r="O25708" t="s">
        <v>77315</v>
      </c>
      <c r="T25708" t="s">
        <v>77315</v>
      </c>
    </row>
    <row r="25709" spans="1:20" x14ac:dyDescent="0.25">
      <c r="A25709" t="str">
        <f>"3059555"</f>
        <v>3059555</v>
      </c>
      <c r="B25709" t="s">
        <v>77317</v>
      </c>
      <c r="C25709" t="str">
        <f>"8307919"</f>
        <v>8307919</v>
      </c>
      <c r="D25709" t="s">
        <v>77318</v>
      </c>
      <c r="F25709" t="s">
        <v>77319</v>
      </c>
      <c r="I25709" t="s">
        <v>9580</v>
      </c>
      <c r="J25709" t="s">
        <v>30</v>
      </c>
      <c r="K25709" t="str">
        <f>"27014"</f>
        <v>27014</v>
      </c>
      <c r="M25709" t="s">
        <v>50621</v>
      </c>
      <c r="N25709" t="str">
        <f>"5/8/2025 9:11:00 AM"</f>
        <v>5/8/2025 9:11:00 AM</v>
      </c>
      <c r="O25709" t="s">
        <v>77318</v>
      </c>
    </row>
    <row r="25710" spans="1:20" x14ac:dyDescent="0.25">
      <c r="A25710" t="str">
        <f>"3060366"</f>
        <v>3060366</v>
      </c>
      <c r="B25710" t="s">
        <v>77320</v>
      </c>
      <c r="C25710" t="str">
        <f>"80428000"</f>
        <v>80428000</v>
      </c>
      <c r="D25710" t="s">
        <v>77321</v>
      </c>
      <c r="F25710" t="str">
        <f>"C/O PATRICIA SULLIVAN"</f>
        <v>C/O PATRICIA SULLIVAN</v>
      </c>
      <c r="G25710" t="s">
        <v>62979</v>
      </c>
      <c r="I25710" t="s">
        <v>2291</v>
      </c>
      <c r="J25710" t="s">
        <v>30</v>
      </c>
      <c r="K25710" t="s">
        <v>62980</v>
      </c>
      <c r="M25710" t="s">
        <v>50793</v>
      </c>
      <c r="N25710" t="str">
        <f>"4/30/2025 9:00:00 AM"</f>
        <v>4/30/2025 9:00:00 AM</v>
      </c>
      <c r="O25710" t="s">
        <v>77321</v>
      </c>
    </row>
    <row r="25711" spans="1:20" x14ac:dyDescent="0.25">
      <c r="A25711" t="str">
        <f>"3049047"</f>
        <v>3049047</v>
      </c>
      <c r="B25711" t="s">
        <v>77322</v>
      </c>
      <c r="C25711" t="str">
        <f>"8303353"</f>
        <v>8303353</v>
      </c>
      <c r="D25711" t="s">
        <v>77323</v>
      </c>
      <c r="E25711" t="s">
        <v>77324</v>
      </c>
      <c r="F25711" t="s">
        <v>77325</v>
      </c>
      <c r="I25711" t="s">
        <v>184</v>
      </c>
      <c r="J25711" t="s">
        <v>30</v>
      </c>
      <c r="K25711" t="str">
        <f>"27006"</f>
        <v>27006</v>
      </c>
      <c r="M25711" t="s">
        <v>18470</v>
      </c>
      <c r="N25711" t="str">
        <f>"5/12/2025 12:22:00 PM"</f>
        <v>5/12/2025 12:22:00 PM</v>
      </c>
      <c r="O25711" t="s">
        <v>77323</v>
      </c>
      <c r="T25711" t="s">
        <v>77324</v>
      </c>
    </row>
    <row r="25712" spans="1:20" x14ac:dyDescent="0.25">
      <c r="A25712" t="str">
        <f>"3056874"</f>
        <v>3056874</v>
      </c>
      <c r="B25712" t="s">
        <v>77326</v>
      </c>
      <c r="C25712" t="str">
        <f>"80172000"</f>
        <v>80172000</v>
      </c>
      <c r="D25712" t="s">
        <v>77327</v>
      </c>
      <c r="E25712" t="s">
        <v>77328</v>
      </c>
      <c r="F25712" t="s">
        <v>77329</v>
      </c>
      <c r="I25712" t="s">
        <v>163</v>
      </c>
      <c r="J25712" t="s">
        <v>30</v>
      </c>
      <c r="K25712" t="s">
        <v>77330</v>
      </c>
      <c r="M25712" t="s">
        <v>50793</v>
      </c>
      <c r="N25712" t="str">
        <f>"5/15/2025 2:45:00 PM"</f>
        <v>5/15/2025 2:45:00 PM</v>
      </c>
      <c r="O25712" t="s">
        <v>77327</v>
      </c>
      <c r="T25712" t="s">
        <v>77328</v>
      </c>
    </row>
    <row r="25713" spans="1:20" x14ac:dyDescent="0.25">
      <c r="A25713" t="str">
        <f>"3059795"</f>
        <v>3059795</v>
      </c>
      <c r="B25713" t="s">
        <v>77331</v>
      </c>
      <c r="C25713" t="str">
        <f>"80172000"</f>
        <v>80172000</v>
      </c>
      <c r="D25713" t="s">
        <v>77327</v>
      </c>
      <c r="E25713" t="s">
        <v>77328</v>
      </c>
      <c r="F25713" t="s">
        <v>77329</v>
      </c>
      <c r="I25713" t="s">
        <v>163</v>
      </c>
      <c r="J25713" t="s">
        <v>30</v>
      </c>
      <c r="K25713" t="s">
        <v>77330</v>
      </c>
      <c r="M25713" t="s">
        <v>50793</v>
      </c>
      <c r="N25713" t="str">
        <f>"5/15/2025 2:45:00 PM"</f>
        <v>5/15/2025 2:45:00 PM</v>
      </c>
      <c r="O25713" t="s">
        <v>77327</v>
      </c>
      <c r="T25713" t="s">
        <v>77328</v>
      </c>
    </row>
    <row r="25714" spans="1:20" x14ac:dyDescent="0.25">
      <c r="A25714" t="str">
        <f>"3059840"</f>
        <v>3059840</v>
      </c>
      <c r="B25714" t="s">
        <v>77332</v>
      </c>
      <c r="C25714" t="str">
        <f>"80172000"</f>
        <v>80172000</v>
      </c>
      <c r="D25714" t="s">
        <v>77327</v>
      </c>
      <c r="E25714" t="s">
        <v>77328</v>
      </c>
      <c r="F25714" t="s">
        <v>77329</v>
      </c>
      <c r="I25714" t="s">
        <v>163</v>
      </c>
      <c r="J25714" t="s">
        <v>30</v>
      </c>
      <c r="K25714" t="s">
        <v>77330</v>
      </c>
      <c r="M25714" t="s">
        <v>50793</v>
      </c>
      <c r="N25714" t="str">
        <f>"5/15/2025 2:45:00 PM"</f>
        <v>5/15/2025 2:45:00 PM</v>
      </c>
      <c r="O25714" t="s">
        <v>77327</v>
      </c>
      <c r="T25714" t="s">
        <v>77328</v>
      </c>
    </row>
    <row r="25715" spans="1:20" x14ac:dyDescent="0.25">
      <c r="A25715" t="str">
        <f>"3038813"</f>
        <v>3038813</v>
      </c>
      <c r="B25715" t="s">
        <v>77333</v>
      </c>
      <c r="C25715" t="str">
        <f>"8311722"</f>
        <v>8311722</v>
      </c>
      <c r="D25715" t="s">
        <v>77334</v>
      </c>
      <c r="E25715" t="s">
        <v>77335</v>
      </c>
      <c r="F25715" t="s">
        <v>77336</v>
      </c>
      <c r="I25715" t="s">
        <v>29</v>
      </c>
      <c r="J25715" t="s">
        <v>30</v>
      </c>
      <c r="K25715" t="s">
        <v>1220</v>
      </c>
      <c r="M25715" t="s">
        <v>50793</v>
      </c>
      <c r="N25715" t="str">
        <f>"5/12/2025 3:09:00 PM"</f>
        <v>5/12/2025 3:09:00 PM</v>
      </c>
      <c r="O25715" t="s">
        <v>77334</v>
      </c>
      <c r="T25715" t="s">
        <v>77335</v>
      </c>
    </row>
    <row r="25716" spans="1:20" x14ac:dyDescent="0.25">
      <c r="A25716" t="str">
        <f>"3055579"</f>
        <v>3055579</v>
      </c>
      <c r="B25716" t="s">
        <v>77337</v>
      </c>
      <c r="C25716" t="str">
        <f>"8305231"</f>
        <v>8305231</v>
      </c>
      <c r="D25716" t="s">
        <v>77338</v>
      </c>
      <c r="E25716" t="s">
        <v>77339</v>
      </c>
      <c r="F25716" t="s">
        <v>77340</v>
      </c>
      <c r="I25716" t="s">
        <v>29</v>
      </c>
      <c r="J25716" t="s">
        <v>30</v>
      </c>
      <c r="K25716" t="str">
        <f>"27028"</f>
        <v>27028</v>
      </c>
      <c r="M25716" t="s">
        <v>50621</v>
      </c>
      <c r="N25716" t="str">
        <f>"5/12/2025 4:00:00 PM"</f>
        <v>5/12/2025 4:00:00 PM</v>
      </c>
      <c r="O25716" t="s">
        <v>77338</v>
      </c>
      <c r="T25716" t="s">
        <v>77339</v>
      </c>
    </row>
    <row r="25717" spans="1:20" x14ac:dyDescent="0.25">
      <c r="A25717" t="str">
        <f>"3057464"</f>
        <v>3057464</v>
      </c>
      <c r="B25717" t="s">
        <v>77341</v>
      </c>
      <c r="C25717" t="str">
        <f>"82532160"</f>
        <v>82532160</v>
      </c>
      <c r="D25717" t="s">
        <v>77342</v>
      </c>
      <c r="F25717" t="s">
        <v>77343</v>
      </c>
      <c r="I25717" t="s">
        <v>29</v>
      </c>
      <c r="J25717" t="s">
        <v>30</v>
      </c>
      <c r="K25717" t="s">
        <v>31</v>
      </c>
      <c r="M25717" t="s">
        <v>50621</v>
      </c>
      <c r="N25717" t="str">
        <f>"5/13/2025 9:34:00 AM"</f>
        <v>5/13/2025 9:34:00 AM</v>
      </c>
      <c r="O25717" t="s">
        <v>77342</v>
      </c>
    </row>
    <row r="25718" spans="1:20" x14ac:dyDescent="0.25">
      <c r="A25718" t="str">
        <f>"3060352"</f>
        <v>3060352</v>
      </c>
      <c r="B25718" t="s">
        <v>77344</v>
      </c>
      <c r="C25718" t="str">
        <f>"82532160"</f>
        <v>82532160</v>
      </c>
      <c r="D25718" t="s">
        <v>77342</v>
      </c>
      <c r="F25718" t="s">
        <v>77343</v>
      </c>
      <c r="I25718" t="s">
        <v>29</v>
      </c>
      <c r="J25718" t="s">
        <v>30</v>
      </c>
      <c r="K25718" t="s">
        <v>31</v>
      </c>
      <c r="M25718" t="s">
        <v>50621</v>
      </c>
      <c r="N25718" t="str">
        <f>"5/13/2025 9:34:00 AM"</f>
        <v>5/13/2025 9:34:00 AM</v>
      </c>
      <c r="O25718" t="s">
        <v>77342</v>
      </c>
    </row>
    <row r="25719" spans="1:20" x14ac:dyDescent="0.25">
      <c r="A25719" t="str">
        <f>"3055887"</f>
        <v>3055887</v>
      </c>
      <c r="B25719" t="s">
        <v>77345</v>
      </c>
      <c r="C25719" t="str">
        <f>"8321461"</f>
        <v>8321461</v>
      </c>
      <c r="D25719" t="s">
        <v>77346</v>
      </c>
      <c r="F25719" t="s">
        <v>77203</v>
      </c>
      <c r="I25719" t="s">
        <v>29</v>
      </c>
      <c r="J25719" t="s">
        <v>30</v>
      </c>
      <c r="K25719" t="s">
        <v>19045</v>
      </c>
      <c r="M25719" t="s">
        <v>50621</v>
      </c>
      <c r="N25719" t="str">
        <f>"5/13/2025 10:11:00 AM"</f>
        <v>5/13/2025 10:11:00 AM</v>
      </c>
      <c r="O25719" t="s">
        <v>77346</v>
      </c>
    </row>
    <row r="25720" spans="1:20" x14ac:dyDescent="0.25">
      <c r="A25720" t="str">
        <f>"3074793"</f>
        <v>3074793</v>
      </c>
      <c r="B25720" t="s">
        <v>77347</v>
      </c>
      <c r="C25720" t="str">
        <f>"8324254"</f>
        <v>8324254</v>
      </c>
      <c r="D25720" t="s">
        <v>53579</v>
      </c>
      <c r="F25720" t="s">
        <v>53580</v>
      </c>
      <c r="I25720" t="s">
        <v>53581</v>
      </c>
      <c r="J25720" t="s">
        <v>40852</v>
      </c>
      <c r="K25720" t="s">
        <v>53582</v>
      </c>
      <c r="M25720" t="s">
        <v>50500</v>
      </c>
      <c r="N25720" t="str">
        <f>"5/13/2025 11:15:00 AM"</f>
        <v>5/13/2025 11:15:00 AM</v>
      </c>
      <c r="O25720" t="s">
        <v>53579</v>
      </c>
    </row>
    <row r="25721" spans="1:20" x14ac:dyDescent="0.25">
      <c r="A25721" t="str">
        <f>"3039972"</f>
        <v>3039972</v>
      </c>
      <c r="B25721" t="s">
        <v>77348</v>
      </c>
      <c r="C25721" t="str">
        <f>"82520464"</f>
        <v>82520464</v>
      </c>
      <c r="D25721" t="s">
        <v>77349</v>
      </c>
      <c r="F25721" t="s">
        <v>77350</v>
      </c>
      <c r="I25721" t="s">
        <v>184</v>
      </c>
      <c r="J25721" t="s">
        <v>30</v>
      </c>
      <c r="K25721" t="str">
        <f>"27006"</f>
        <v>27006</v>
      </c>
      <c r="M25721" t="s">
        <v>18470</v>
      </c>
      <c r="N25721" t="str">
        <f>"5/13/2025 12:08:00 PM"</f>
        <v>5/13/2025 12:08:00 PM</v>
      </c>
      <c r="O25721" t="s">
        <v>77349</v>
      </c>
    </row>
    <row r="25722" spans="1:20" x14ac:dyDescent="0.25">
      <c r="A25722" t="str">
        <f>"3045455"</f>
        <v>3045455</v>
      </c>
      <c r="B25722" t="s">
        <v>77351</v>
      </c>
      <c r="C25722" t="str">
        <f>"55298000"</f>
        <v>55298000</v>
      </c>
      <c r="D25722" t="s">
        <v>77352</v>
      </c>
      <c r="F25722" t="s">
        <v>77353</v>
      </c>
      <c r="I25722" t="s">
        <v>29</v>
      </c>
      <c r="J25722" t="s">
        <v>30</v>
      </c>
      <c r="K25722" t="s">
        <v>46628</v>
      </c>
      <c r="M25722" t="s">
        <v>50621</v>
      </c>
      <c r="N25722" t="str">
        <f>"5/13/2025 2:52:00 PM"</f>
        <v>5/13/2025 2:52:00 PM</v>
      </c>
      <c r="O25722" t="s">
        <v>77352</v>
      </c>
    </row>
    <row r="25723" spans="1:20" x14ac:dyDescent="0.25">
      <c r="A25723" t="str">
        <f>"3074902"</f>
        <v>3074902</v>
      </c>
      <c r="B25723" t="s">
        <v>77354</v>
      </c>
      <c r="C25723" t="str">
        <f>"8324266"</f>
        <v>8324266</v>
      </c>
      <c r="D25723" t="s">
        <v>77355</v>
      </c>
      <c r="E25723" t="s">
        <v>77356</v>
      </c>
      <c r="F25723" t="s">
        <v>77357</v>
      </c>
      <c r="I25723" t="s">
        <v>184</v>
      </c>
      <c r="J25723" t="s">
        <v>30</v>
      </c>
      <c r="K25723" t="s">
        <v>35875</v>
      </c>
      <c r="M25723" t="s">
        <v>50500</v>
      </c>
      <c r="N25723" t="str">
        <f>"5/13/2025 3:12:00 PM"</f>
        <v>5/13/2025 3:12:00 PM</v>
      </c>
      <c r="O25723" t="s">
        <v>77355</v>
      </c>
      <c r="T25723" t="s">
        <v>77356</v>
      </c>
    </row>
    <row r="25724" spans="1:20" x14ac:dyDescent="0.25">
      <c r="A25724" t="str">
        <f>"3071894"</f>
        <v>3071894</v>
      </c>
      <c r="B25724" t="s">
        <v>77358</v>
      </c>
      <c r="C25724" t="str">
        <f>"82521076"</f>
        <v>82521076</v>
      </c>
      <c r="D25724" t="s">
        <v>77359</v>
      </c>
      <c r="E25724" t="s">
        <v>77360</v>
      </c>
      <c r="F25724" t="s">
        <v>67293</v>
      </c>
      <c r="I25724" t="s">
        <v>29</v>
      </c>
      <c r="J25724" t="s">
        <v>30</v>
      </c>
      <c r="K25724" t="s">
        <v>65696</v>
      </c>
      <c r="M25724" t="s">
        <v>50621</v>
      </c>
      <c r="N25724" t="str">
        <f>"5/19/2025 10:04:00 AM"</f>
        <v>5/19/2025 10:04:00 AM</v>
      </c>
      <c r="O25724" t="s">
        <v>77359</v>
      </c>
      <c r="T25724" t="s">
        <v>77360</v>
      </c>
    </row>
    <row r="25725" spans="1:20" x14ac:dyDescent="0.25">
      <c r="A25725" t="str">
        <f>"3063426"</f>
        <v>3063426</v>
      </c>
      <c r="B25725" t="s">
        <v>77361</v>
      </c>
      <c r="C25725" t="str">
        <f>"82521076"</f>
        <v>82521076</v>
      </c>
      <c r="D25725" t="s">
        <v>77359</v>
      </c>
      <c r="E25725" t="s">
        <v>77360</v>
      </c>
      <c r="F25725" t="s">
        <v>67293</v>
      </c>
      <c r="I25725" t="s">
        <v>29</v>
      </c>
      <c r="J25725" t="s">
        <v>30</v>
      </c>
      <c r="K25725" t="s">
        <v>65696</v>
      </c>
      <c r="M25725" t="s">
        <v>50621</v>
      </c>
      <c r="N25725" t="str">
        <f>"5/19/2025 10:04:00 AM"</f>
        <v>5/19/2025 10:04:00 AM</v>
      </c>
      <c r="O25725" t="s">
        <v>77359</v>
      </c>
      <c r="T25725" t="s">
        <v>77360</v>
      </c>
    </row>
    <row r="25726" spans="1:20" x14ac:dyDescent="0.25">
      <c r="A25726" t="str">
        <f>"3045490"</f>
        <v>3045490</v>
      </c>
      <c r="B25726" t="s">
        <v>77362</v>
      </c>
      <c r="C25726" t="str">
        <f>"73808000"</f>
        <v>73808000</v>
      </c>
      <c r="D25726" t="s">
        <v>77363</v>
      </c>
      <c r="E25726" t="s">
        <v>77364</v>
      </c>
      <c r="G25726" t="s">
        <v>77365</v>
      </c>
      <c r="I25726" t="s">
        <v>2071</v>
      </c>
      <c r="J25726" t="s">
        <v>30</v>
      </c>
      <c r="K25726" t="s">
        <v>3759</v>
      </c>
      <c r="M25726" t="s">
        <v>50621</v>
      </c>
      <c r="N25726" t="str">
        <f>"5/19/2025 10:07:00 AM"</f>
        <v>5/19/2025 10:07:00 AM</v>
      </c>
      <c r="O25726" t="s">
        <v>77363</v>
      </c>
      <c r="T25726" t="s">
        <v>77364</v>
      </c>
    </row>
    <row r="25727" spans="1:20" x14ac:dyDescent="0.25">
      <c r="A25727" t="str">
        <f>"3044975"</f>
        <v>3044975</v>
      </c>
      <c r="B25727" t="s">
        <v>77366</v>
      </c>
      <c r="C25727" t="str">
        <f>"73808000"</f>
        <v>73808000</v>
      </c>
      <c r="D25727" t="s">
        <v>77363</v>
      </c>
      <c r="E25727" t="s">
        <v>77364</v>
      </c>
      <c r="G25727" t="s">
        <v>77365</v>
      </c>
      <c r="I25727" t="s">
        <v>2071</v>
      </c>
      <c r="J25727" t="s">
        <v>30</v>
      </c>
      <c r="K25727" t="s">
        <v>3759</v>
      </c>
      <c r="M25727" t="s">
        <v>50621</v>
      </c>
      <c r="N25727" t="str">
        <f>"5/19/2025 10:07:00 AM"</f>
        <v>5/19/2025 10:07:00 AM</v>
      </c>
      <c r="O25727" t="s">
        <v>77363</v>
      </c>
      <c r="T25727" t="s">
        <v>77364</v>
      </c>
    </row>
    <row r="25728" spans="1:20" x14ac:dyDescent="0.25">
      <c r="A25728" t="str">
        <f>"3044976"</f>
        <v>3044976</v>
      </c>
      <c r="B25728" t="s">
        <v>77367</v>
      </c>
      <c r="C25728" t="str">
        <f>"73808000"</f>
        <v>73808000</v>
      </c>
      <c r="D25728" t="s">
        <v>77363</v>
      </c>
      <c r="E25728" t="s">
        <v>77364</v>
      </c>
      <c r="G25728" t="s">
        <v>77365</v>
      </c>
      <c r="I25728" t="s">
        <v>2071</v>
      </c>
      <c r="J25728" t="s">
        <v>30</v>
      </c>
      <c r="K25728" t="s">
        <v>3759</v>
      </c>
      <c r="M25728" t="s">
        <v>50621</v>
      </c>
      <c r="N25728" t="str">
        <f>"5/19/2025 10:07:00 AM"</f>
        <v>5/19/2025 10:07:00 AM</v>
      </c>
      <c r="O25728" t="s">
        <v>77363</v>
      </c>
      <c r="T25728" t="s">
        <v>77364</v>
      </c>
    </row>
    <row r="25729" spans="1:20" x14ac:dyDescent="0.25">
      <c r="A25729" t="str">
        <f>"3041615"</f>
        <v>3041615</v>
      </c>
      <c r="B25729" t="s">
        <v>77368</v>
      </c>
      <c r="C25729" t="str">
        <f>"73808000"</f>
        <v>73808000</v>
      </c>
      <c r="D25729" t="s">
        <v>77363</v>
      </c>
      <c r="E25729" t="s">
        <v>77364</v>
      </c>
      <c r="G25729" t="s">
        <v>77365</v>
      </c>
      <c r="I25729" t="s">
        <v>2071</v>
      </c>
      <c r="J25729" t="s">
        <v>30</v>
      </c>
      <c r="K25729" t="s">
        <v>3759</v>
      </c>
      <c r="M25729" t="s">
        <v>50621</v>
      </c>
      <c r="N25729" t="str">
        <f>"5/19/2025 10:07:00 AM"</f>
        <v>5/19/2025 10:07:00 AM</v>
      </c>
      <c r="O25729" t="s">
        <v>77363</v>
      </c>
      <c r="T25729" t="s">
        <v>77364</v>
      </c>
    </row>
    <row r="25730" spans="1:20" x14ac:dyDescent="0.25">
      <c r="A25730" t="str">
        <f>"3047030"</f>
        <v>3047030</v>
      </c>
      <c r="B25730" t="s">
        <v>77369</v>
      </c>
      <c r="C25730" t="str">
        <f>"82518268"</f>
        <v>82518268</v>
      </c>
      <c r="D25730" t="s">
        <v>77265</v>
      </c>
      <c r="F25730" t="s">
        <v>77370</v>
      </c>
      <c r="I25730" t="s">
        <v>29</v>
      </c>
      <c r="J25730" t="s">
        <v>30</v>
      </c>
      <c r="K25730" t="s">
        <v>10347</v>
      </c>
      <c r="M25730" t="s">
        <v>50793</v>
      </c>
      <c r="N25730" t="str">
        <f>"5/14/2025 9:07:00 AM"</f>
        <v>5/14/2025 9:07:00 AM</v>
      </c>
      <c r="O25730" t="s">
        <v>77265</v>
      </c>
    </row>
    <row r="25731" spans="1:20" x14ac:dyDescent="0.25">
      <c r="A25731" t="str">
        <f>"3069019"</f>
        <v>3069019</v>
      </c>
      <c r="B25731" t="s">
        <v>77371</v>
      </c>
      <c r="C25731" t="str">
        <f>"8313917"</f>
        <v>8313917</v>
      </c>
      <c r="D25731" t="s">
        <v>77372</v>
      </c>
      <c r="F25731" t="s">
        <v>77373</v>
      </c>
      <c r="I25731" t="s">
        <v>29</v>
      </c>
      <c r="J25731" t="s">
        <v>30</v>
      </c>
      <c r="K25731" t="str">
        <f>"27028"</f>
        <v>27028</v>
      </c>
      <c r="M25731" t="s">
        <v>18470</v>
      </c>
      <c r="N25731" t="str">
        <f>"5/14/2025 12:48:00 PM"</f>
        <v>5/14/2025 12:48:00 PM</v>
      </c>
      <c r="O25731" t="s">
        <v>77372</v>
      </c>
    </row>
    <row r="25732" spans="1:20" x14ac:dyDescent="0.25">
      <c r="A25732" t="str">
        <f>"3053893"</f>
        <v>3053893</v>
      </c>
      <c r="B25732" t="s">
        <v>77374</v>
      </c>
      <c r="C25732" t="str">
        <f>"8317224"</f>
        <v>8317224</v>
      </c>
      <c r="D25732" t="s">
        <v>77375</v>
      </c>
      <c r="E25732" t="s">
        <v>77376</v>
      </c>
      <c r="F25732" t="s">
        <v>77377</v>
      </c>
      <c r="I25732" t="s">
        <v>163</v>
      </c>
      <c r="J25732" t="s">
        <v>30</v>
      </c>
      <c r="K25732" t="s">
        <v>77378</v>
      </c>
      <c r="M25732" t="s">
        <v>50621</v>
      </c>
      <c r="N25732" t="str">
        <f>"5/20/2025 9:54:00 AM"</f>
        <v>5/20/2025 9:54:00 AM</v>
      </c>
      <c r="O25732" t="s">
        <v>77375</v>
      </c>
      <c r="T25732" t="s">
        <v>77376</v>
      </c>
    </row>
    <row r="25733" spans="1:20" x14ac:dyDescent="0.25">
      <c r="A25733" t="str">
        <f>"3058546"</f>
        <v>3058546</v>
      </c>
      <c r="B25733" t="s">
        <v>77379</v>
      </c>
      <c r="C25733" t="str">
        <f>"8314867"</f>
        <v>8314867</v>
      </c>
      <c r="D25733" t="s">
        <v>77380</v>
      </c>
      <c r="E25733" t="s">
        <v>77381</v>
      </c>
      <c r="F25733" t="s">
        <v>77382</v>
      </c>
      <c r="I25733" t="s">
        <v>58989</v>
      </c>
      <c r="J25733" t="s">
        <v>30</v>
      </c>
      <c r="K25733" t="s">
        <v>77383</v>
      </c>
      <c r="M25733" t="s">
        <v>50793</v>
      </c>
      <c r="N25733" t="str">
        <f>"5/20/2025 10:00:00 AM"</f>
        <v>5/20/2025 10:00:00 AM</v>
      </c>
      <c r="O25733" t="s">
        <v>77380</v>
      </c>
      <c r="T25733" t="s">
        <v>77381</v>
      </c>
    </row>
    <row r="25734" spans="1:20" x14ac:dyDescent="0.25">
      <c r="A25734" t="str">
        <f>"3040990"</f>
        <v>3040990</v>
      </c>
      <c r="B25734" t="s">
        <v>77384</v>
      </c>
      <c r="C25734" t="str">
        <f>"8322674"</f>
        <v>8322674</v>
      </c>
      <c r="D25734" t="s">
        <v>77385</v>
      </c>
      <c r="F25734" t="s">
        <v>77386</v>
      </c>
      <c r="I25734" t="s">
        <v>24359</v>
      </c>
      <c r="J25734" t="s">
        <v>30</v>
      </c>
      <c r="K25734" t="str">
        <f>"27006"</f>
        <v>27006</v>
      </c>
      <c r="M25734" t="s">
        <v>50793</v>
      </c>
      <c r="N25734" t="str">
        <f>"5/20/2025 10:07:00 AM"</f>
        <v>5/20/2025 10:07:00 AM</v>
      </c>
      <c r="O25734" t="s">
        <v>77385</v>
      </c>
    </row>
    <row r="25735" spans="1:20" x14ac:dyDescent="0.25">
      <c r="A25735" t="str">
        <f>"3051854"</f>
        <v>3051854</v>
      </c>
      <c r="B25735" t="s">
        <v>77387</v>
      </c>
      <c r="C25735" t="str">
        <f>"8320912"</f>
        <v>8320912</v>
      </c>
      <c r="D25735" t="s">
        <v>77388</v>
      </c>
      <c r="F25735" t="s">
        <v>77389</v>
      </c>
      <c r="I25735" t="s">
        <v>29</v>
      </c>
      <c r="J25735" t="s">
        <v>30</v>
      </c>
      <c r="K25735" t="str">
        <f>"27028"</f>
        <v>27028</v>
      </c>
      <c r="M25735" t="s">
        <v>50621</v>
      </c>
      <c r="N25735" t="str">
        <f>"5/20/2025 10:13:00 AM"</f>
        <v>5/20/2025 10:13:00 AM</v>
      </c>
      <c r="O25735" t="s">
        <v>77388</v>
      </c>
    </row>
    <row r="25736" spans="1:20" x14ac:dyDescent="0.25">
      <c r="A25736" t="str">
        <f>"3048642"</f>
        <v>3048642</v>
      </c>
      <c r="B25736" t="s">
        <v>77390</v>
      </c>
      <c r="C25736" t="str">
        <f>"130800"</f>
        <v>130800</v>
      </c>
      <c r="D25736" t="s">
        <v>77391</v>
      </c>
      <c r="E25736" t="s">
        <v>77392</v>
      </c>
      <c r="F25736" t="s">
        <v>77393</v>
      </c>
      <c r="I25736" t="s">
        <v>184</v>
      </c>
      <c r="J25736" t="s">
        <v>30</v>
      </c>
      <c r="K25736" t="s">
        <v>77285</v>
      </c>
      <c r="M25736" t="s">
        <v>50793</v>
      </c>
      <c r="N25736" t="str">
        <f>"5/15/2025 8:23:00 AM"</f>
        <v>5/15/2025 8:23:00 AM</v>
      </c>
      <c r="O25736" t="s">
        <v>77391</v>
      </c>
      <c r="T25736" t="s">
        <v>77392</v>
      </c>
    </row>
    <row r="25737" spans="1:20" x14ac:dyDescent="0.25">
      <c r="A25737" t="str">
        <f>"3064421"</f>
        <v>3064421</v>
      </c>
      <c r="B25737" t="s">
        <v>77394</v>
      </c>
      <c r="C25737" t="str">
        <f>"8320099"</f>
        <v>8320099</v>
      </c>
      <c r="D25737" t="s">
        <v>77395</v>
      </c>
      <c r="F25737" t="s">
        <v>77396</v>
      </c>
      <c r="I25737" t="s">
        <v>184</v>
      </c>
      <c r="J25737" t="s">
        <v>30</v>
      </c>
      <c r="K25737" t="s">
        <v>77397</v>
      </c>
      <c r="M25737" t="s">
        <v>50621</v>
      </c>
      <c r="N25737" t="str">
        <f>"5/20/2025 10:35:00 AM"</f>
        <v>5/20/2025 10:35:00 AM</v>
      </c>
      <c r="O25737" t="s">
        <v>77395</v>
      </c>
    </row>
    <row r="25738" spans="1:20" x14ac:dyDescent="0.25">
      <c r="A25738" t="str">
        <f>"3060940"</f>
        <v>3060940</v>
      </c>
      <c r="B25738" t="s">
        <v>77398</v>
      </c>
      <c r="C25738" t="str">
        <f>"8316126"</f>
        <v>8316126</v>
      </c>
      <c r="D25738" t="s">
        <v>77399</v>
      </c>
      <c r="E25738" t="s">
        <v>77400</v>
      </c>
      <c r="F25738" t="s">
        <v>77401</v>
      </c>
      <c r="I25738" t="s">
        <v>184</v>
      </c>
      <c r="J25738" t="s">
        <v>30</v>
      </c>
      <c r="K25738" t="s">
        <v>42092</v>
      </c>
      <c r="M25738" t="s">
        <v>50621</v>
      </c>
      <c r="N25738" t="str">
        <f>"5/20/2025 10:40:00 AM"</f>
        <v>5/20/2025 10:40:00 AM</v>
      </c>
      <c r="O25738" t="s">
        <v>77399</v>
      </c>
      <c r="T25738" t="s">
        <v>77400</v>
      </c>
    </row>
    <row r="25739" spans="1:20" x14ac:dyDescent="0.25">
      <c r="A25739" t="str">
        <f>"3056965"</f>
        <v>3056965</v>
      </c>
      <c r="B25739" t="s">
        <v>77402</v>
      </c>
      <c r="C25739" t="str">
        <f>"8321514"</f>
        <v>8321514</v>
      </c>
      <c r="D25739" t="s">
        <v>77403</v>
      </c>
      <c r="E25739" t="str">
        <f>"WILLIAMS CURTIS P/CALLICIA J"</f>
        <v>WILLIAMS CURTIS P/CALLICIA J</v>
      </c>
      <c r="F25739" t="s">
        <v>77404</v>
      </c>
      <c r="G25739" t="s">
        <v>77405</v>
      </c>
      <c r="I25739" t="s">
        <v>471</v>
      </c>
      <c r="J25739" t="s">
        <v>30</v>
      </c>
      <c r="K25739" t="s">
        <v>77406</v>
      </c>
      <c r="M25739" t="s">
        <v>50793</v>
      </c>
      <c r="N25739" t="str">
        <f>"5/15/2025 1:39:00 PM"</f>
        <v>5/15/2025 1:39:00 PM</v>
      </c>
      <c r="O25739" t="s">
        <v>77403</v>
      </c>
      <c r="T25739" t="str">
        <f>"WILLIAMS CURTIS P/CALLICIA J"</f>
        <v>WILLIAMS CURTIS P/CALLICIA J</v>
      </c>
    </row>
    <row r="25740" spans="1:20" x14ac:dyDescent="0.25">
      <c r="A25740" t="str">
        <f>"3056090"</f>
        <v>3056090</v>
      </c>
      <c r="B25740" t="s">
        <v>77407</v>
      </c>
      <c r="C25740" t="str">
        <f>"8319010"</f>
        <v>8319010</v>
      </c>
      <c r="D25740" t="s">
        <v>77408</v>
      </c>
      <c r="F25740" t="s">
        <v>32995</v>
      </c>
      <c r="I25740" t="s">
        <v>29</v>
      </c>
      <c r="J25740" t="s">
        <v>30</v>
      </c>
      <c r="K25740" t="s">
        <v>32996</v>
      </c>
      <c r="M25740" t="s">
        <v>50621</v>
      </c>
      <c r="N25740" t="str">
        <f>"5/20/2025 10:45:00 AM"</f>
        <v>5/20/2025 10:45:00 AM</v>
      </c>
      <c r="O25740" t="s">
        <v>77408</v>
      </c>
    </row>
    <row r="25741" spans="1:20" x14ac:dyDescent="0.25">
      <c r="A25741" t="str">
        <f>"3054294"</f>
        <v>3054294</v>
      </c>
      <c r="B25741" t="s">
        <v>77409</v>
      </c>
      <c r="C25741" t="str">
        <f>"82523288"</f>
        <v>82523288</v>
      </c>
      <c r="D25741" t="s">
        <v>77410</v>
      </c>
      <c r="F25741" t="s">
        <v>77411</v>
      </c>
      <c r="I25741" t="s">
        <v>29</v>
      </c>
      <c r="J25741" t="s">
        <v>30</v>
      </c>
      <c r="K25741" t="s">
        <v>31</v>
      </c>
      <c r="M25741" t="s">
        <v>50621</v>
      </c>
      <c r="N25741" t="str">
        <f>"5/20/2025 11:16:00 AM"</f>
        <v>5/20/2025 11:16:00 AM</v>
      </c>
      <c r="O25741" t="s">
        <v>77410</v>
      </c>
    </row>
    <row r="25742" spans="1:20" x14ac:dyDescent="0.25">
      <c r="A25742" t="str">
        <f>"3054487"</f>
        <v>3054487</v>
      </c>
      <c r="B25742" t="s">
        <v>77412</v>
      </c>
      <c r="C25742" t="str">
        <f>"82523288"</f>
        <v>82523288</v>
      </c>
      <c r="D25742" t="s">
        <v>77410</v>
      </c>
      <c r="F25742" t="s">
        <v>77411</v>
      </c>
      <c r="I25742" t="s">
        <v>29</v>
      </c>
      <c r="J25742" t="s">
        <v>30</v>
      </c>
      <c r="K25742" t="s">
        <v>31</v>
      </c>
      <c r="M25742" t="s">
        <v>50621</v>
      </c>
      <c r="N25742" t="str">
        <f>"5/20/2025 11:16:00 AM"</f>
        <v>5/20/2025 11:16:00 AM</v>
      </c>
      <c r="O25742" t="s">
        <v>77410</v>
      </c>
    </row>
    <row r="25743" spans="1:20" x14ac:dyDescent="0.25">
      <c r="A25743" t="str">
        <f>"3052569"</f>
        <v>3052569</v>
      </c>
      <c r="B25743" t="s">
        <v>77413</v>
      </c>
      <c r="C25743" t="str">
        <f>"8309984"</f>
        <v>8309984</v>
      </c>
      <c r="D25743" t="s">
        <v>77414</v>
      </c>
      <c r="E25743" t="s">
        <v>77415</v>
      </c>
      <c r="F25743" t="s">
        <v>77416</v>
      </c>
      <c r="I25743" t="s">
        <v>29</v>
      </c>
      <c r="J25743" t="s">
        <v>30</v>
      </c>
      <c r="K25743" t="s">
        <v>58235</v>
      </c>
      <c r="M25743" t="s">
        <v>50621</v>
      </c>
      <c r="N25743" t="str">
        <f>"5/20/2025 11:18:00 AM"</f>
        <v>5/20/2025 11:18:00 AM</v>
      </c>
      <c r="O25743" t="s">
        <v>77414</v>
      </c>
      <c r="T25743" t="s">
        <v>77415</v>
      </c>
    </row>
    <row r="25744" spans="1:20" x14ac:dyDescent="0.25">
      <c r="A25744" t="str">
        <f>"3054132"</f>
        <v>3054132</v>
      </c>
      <c r="B25744" t="s">
        <v>77417</v>
      </c>
      <c r="C25744" t="str">
        <f>"73207160"</f>
        <v>73207160</v>
      </c>
      <c r="D25744" t="s">
        <v>77418</v>
      </c>
      <c r="F25744" t="s">
        <v>77419</v>
      </c>
      <c r="I25744" t="s">
        <v>29</v>
      </c>
      <c r="J25744" t="s">
        <v>30</v>
      </c>
      <c r="K25744" t="s">
        <v>61012</v>
      </c>
      <c r="M25744" t="s">
        <v>50621</v>
      </c>
      <c r="N25744" t="str">
        <f>"5/20/2025 11:20:00 AM"</f>
        <v>5/20/2025 11:20:00 AM</v>
      </c>
      <c r="O25744" t="s">
        <v>77418</v>
      </c>
    </row>
    <row r="25745" spans="1:20" x14ac:dyDescent="0.25">
      <c r="A25745" t="str">
        <f>"3060456"</f>
        <v>3060456</v>
      </c>
      <c r="B25745" t="s">
        <v>77420</v>
      </c>
      <c r="C25745" t="str">
        <f>"8318487"</f>
        <v>8318487</v>
      </c>
      <c r="D25745" t="s">
        <v>77421</v>
      </c>
      <c r="E25745" t="s">
        <v>77422</v>
      </c>
      <c r="F25745" t="s">
        <v>77423</v>
      </c>
      <c r="I25745" t="s">
        <v>471</v>
      </c>
      <c r="J25745" t="s">
        <v>30</v>
      </c>
      <c r="K25745" t="s">
        <v>77424</v>
      </c>
      <c r="M25745" t="s">
        <v>50621</v>
      </c>
      <c r="N25745" t="str">
        <f>"5/20/2025 12:06:00 PM"</f>
        <v>5/20/2025 12:06:00 PM</v>
      </c>
      <c r="O25745" t="s">
        <v>77421</v>
      </c>
      <c r="T25745" t="s">
        <v>77422</v>
      </c>
    </row>
    <row r="25746" spans="1:20" x14ac:dyDescent="0.25">
      <c r="A25746" t="str">
        <f>"3052433"</f>
        <v>3052433</v>
      </c>
      <c r="B25746" t="s">
        <v>77425</v>
      </c>
      <c r="C25746" t="str">
        <f>"71024500"</f>
        <v>71024500</v>
      </c>
      <c r="D25746" t="s">
        <v>77426</v>
      </c>
      <c r="E25746" t="s">
        <v>77427</v>
      </c>
      <c r="F25746" t="s">
        <v>77428</v>
      </c>
      <c r="G25746" t="s">
        <v>52195</v>
      </c>
      <c r="I25746" t="s">
        <v>29</v>
      </c>
      <c r="J25746" t="s">
        <v>30</v>
      </c>
      <c r="K25746" t="s">
        <v>77429</v>
      </c>
      <c r="M25746" t="s">
        <v>51351</v>
      </c>
      <c r="N25746" t="str">
        <f>"5/20/2025 2:19:00 PM"</f>
        <v>5/20/2025 2:19:00 PM</v>
      </c>
      <c r="O25746" t="s">
        <v>77430</v>
      </c>
      <c r="T25746" t="s">
        <v>77427</v>
      </c>
    </row>
    <row r="25747" spans="1:20" x14ac:dyDescent="0.25">
      <c r="A25747" t="str">
        <f>"3078826"</f>
        <v>3078826</v>
      </c>
      <c r="B25747" t="s">
        <v>77431</v>
      </c>
      <c r="C25747" t="str">
        <f>"71071000"</f>
        <v>71071000</v>
      </c>
      <c r="D25747" t="s">
        <v>77432</v>
      </c>
      <c r="E25747" t="s">
        <v>77433</v>
      </c>
      <c r="F25747" t="s">
        <v>77428</v>
      </c>
      <c r="G25747" t="s">
        <v>52195</v>
      </c>
      <c r="I25747" t="s">
        <v>29</v>
      </c>
      <c r="J25747" t="s">
        <v>30</v>
      </c>
      <c r="K25747" t="s">
        <v>77429</v>
      </c>
      <c r="M25747" t="s">
        <v>51351</v>
      </c>
      <c r="N25747" t="str">
        <f>"5/20/2025 2:24:00 PM"</f>
        <v>5/20/2025 2:24:00 PM</v>
      </c>
      <c r="O25747" t="s">
        <v>77432</v>
      </c>
      <c r="T25747" t="s">
        <v>77433</v>
      </c>
    </row>
    <row r="25748" spans="1:20" x14ac:dyDescent="0.25">
      <c r="A25748" t="str">
        <f>"3075363"</f>
        <v>3075363</v>
      </c>
      <c r="B25748" t="s">
        <v>77434</v>
      </c>
      <c r="C25748" t="str">
        <f>"8324433"</f>
        <v>8324433</v>
      </c>
      <c r="D25748" t="s">
        <v>2473</v>
      </c>
      <c r="E25748" t="s">
        <v>77435</v>
      </c>
      <c r="F25748" t="s">
        <v>77436</v>
      </c>
      <c r="I25748" t="s">
        <v>29</v>
      </c>
      <c r="J25748" t="s">
        <v>30</v>
      </c>
      <c r="K25748" t="s">
        <v>44878</v>
      </c>
      <c r="M25748" t="s">
        <v>50500</v>
      </c>
      <c r="N25748" t="str">
        <f>"5/20/2025 2:38:00 PM"</f>
        <v>5/20/2025 2:38:00 PM</v>
      </c>
      <c r="O25748" t="s">
        <v>2473</v>
      </c>
      <c r="T25748" t="s">
        <v>77435</v>
      </c>
    </row>
    <row r="25749" spans="1:20" x14ac:dyDescent="0.25">
      <c r="A25749" t="str">
        <f>"3075368"</f>
        <v>3075368</v>
      </c>
      <c r="B25749" t="s">
        <v>77437</v>
      </c>
      <c r="C25749" t="str">
        <f>"82514445"</f>
        <v>82514445</v>
      </c>
      <c r="D25749" t="s">
        <v>77438</v>
      </c>
      <c r="E25749" t="s">
        <v>77439</v>
      </c>
      <c r="F25749" t="s">
        <v>77440</v>
      </c>
      <c r="I25749" t="s">
        <v>1149</v>
      </c>
      <c r="J25749" t="s">
        <v>30</v>
      </c>
      <c r="K25749" t="str">
        <f>"28634"</f>
        <v>28634</v>
      </c>
      <c r="M25749" t="s">
        <v>32801</v>
      </c>
      <c r="N25749" t="str">
        <f>"5/21/2025 6:43:00 AM"</f>
        <v>5/21/2025 6:43:00 AM</v>
      </c>
      <c r="O25749" t="s">
        <v>77438</v>
      </c>
      <c r="T25749" t="s">
        <v>77439</v>
      </c>
    </row>
    <row r="25750" spans="1:20" x14ac:dyDescent="0.25">
      <c r="A25750" t="str">
        <f>"3053941"</f>
        <v>3053941</v>
      </c>
      <c r="B25750" t="s">
        <v>77441</v>
      </c>
      <c r="C25750" t="str">
        <f>"8306916"</f>
        <v>8306916</v>
      </c>
      <c r="D25750" t="s">
        <v>77442</v>
      </c>
      <c r="F25750" t="s">
        <v>77443</v>
      </c>
      <c r="I25750" t="s">
        <v>29</v>
      </c>
      <c r="J25750" t="s">
        <v>30</v>
      </c>
      <c r="K25750" t="str">
        <f>"27028"</f>
        <v>27028</v>
      </c>
      <c r="M25750" t="s">
        <v>25733</v>
      </c>
      <c r="N25750" t="str">
        <f>"5/21/2025 9:41:00 AM"</f>
        <v>5/21/2025 9:41:00 AM</v>
      </c>
      <c r="O25750" t="s">
        <v>77442</v>
      </c>
    </row>
    <row r="25751" spans="1:20" x14ac:dyDescent="0.25">
      <c r="A25751" t="str">
        <f>"3053338"</f>
        <v>3053338</v>
      </c>
      <c r="B25751" t="s">
        <v>77444</v>
      </c>
      <c r="C25751" t="str">
        <f>"8311689"</f>
        <v>8311689</v>
      </c>
      <c r="D25751" t="s">
        <v>77296</v>
      </c>
      <c r="F25751" t="s">
        <v>66783</v>
      </c>
      <c r="I25751" t="s">
        <v>184</v>
      </c>
      <c r="J25751" t="s">
        <v>30</v>
      </c>
      <c r="K25751" t="s">
        <v>66784</v>
      </c>
      <c r="M25751" t="s">
        <v>50793</v>
      </c>
      <c r="N25751" t="str">
        <f>"5/15/2025 1:52:00 PM"</f>
        <v>5/15/2025 1:52:00 PM</v>
      </c>
      <c r="O25751" t="s">
        <v>77296</v>
      </c>
    </row>
    <row r="25752" spans="1:20" x14ac:dyDescent="0.25">
      <c r="A25752" t="str">
        <f>"3043991"</f>
        <v>3043991</v>
      </c>
      <c r="B25752" t="s">
        <v>77445</v>
      </c>
      <c r="C25752" t="str">
        <f>"8321238"</f>
        <v>8321238</v>
      </c>
      <c r="D25752" t="s">
        <v>77309</v>
      </c>
      <c r="F25752" t="s">
        <v>13311</v>
      </c>
      <c r="I25752" t="s">
        <v>184</v>
      </c>
      <c r="J25752" t="s">
        <v>30</v>
      </c>
      <c r="K25752" t="s">
        <v>77310</v>
      </c>
      <c r="M25752" t="s">
        <v>50793</v>
      </c>
      <c r="N25752" t="str">
        <f>"5/15/2025 2:09:00 PM"</f>
        <v>5/15/2025 2:09:00 PM</v>
      </c>
      <c r="O25752" t="s">
        <v>77309</v>
      </c>
    </row>
    <row r="25753" spans="1:20" x14ac:dyDescent="0.25">
      <c r="A25753" t="str">
        <f>"3044169"</f>
        <v>3044169</v>
      </c>
      <c r="B25753" t="s">
        <v>77446</v>
      </c>
      <c r="C25753" t="str">
        <f>"8321238"</f>
        <v>8321238</v>
      </c>
      <c r="D25753" t="s">
        <v>77309</v>
      </c>
      <c r="F25753" t="s">
        <v>13311</v>
      </c>
      <c r="I25753" t="s">
        <v>184</v>
      </c>
      <c r="J25753" t="s">
        <v>30</v>
      </c>
      <c r="K25753" t="s">
        <v>77310</v>
      </c>
      <c r="M25753" t="s">
        <v>50793</v>
      </c>
      <c r="N25753" t="str">
        <f>"5/15/2025 2:09:00 PM"</f>
        <v>5/15/2025 2:09:00 PM</v>
      </c>
      <c r="O25753" t="s">
        <v>77309</v>
      </c>
    </row>
    <row r="25754" spans="1:20" x14ac:dyDescent="0.25">
      <c r="A25754" t="str">
        <f>"3039283"</f>
        <v>3039283</v>
      </c>
      <c r="B25754" t="s">
        <v>77447</v>
      </c>
      <c r="C25754" t="str">
        <f>"8321689"</f>
        <v>8321689</v>
      </c>
      <c r="D25754" t="s">
        <v>77249</v>
      </c>
      <c r="F25754" t="s">
        <v>77250</v>
      </c>
      <c r="I25754" t="s">
        <v>29</v>
      </c>
      <c r="J25754" t="s">
        <v>30</v>
      </c>
      <c r="K25754" t="s">
        <v>62450</v>
      </c>
      <c r="M25754" t="s">
        <v>50793</v>
      </c>
      <c r="N25754" t="str">
        <f>"5/15/2025 2:17:00 PM"</f>
        <v>5/15/2025 2:17:00 PM</v>
      </c>
      <c r="O25754" t="s">
        <v>77249</v>
      </c>
    </row>
    <row r="25755" spans="1:20" x14ac:dyDescent="0.25">
      <c r="A25755" t="str">
        <f>"3037172"</f>
        <v>3037172</v>
      </c>
      <c r="B25755" t="s">
        <v>77448</v>
      </c>
      <c r="C25755" t="str">
        <f>"8307443"</f>
        <v>8307443</v>
      </c>
      <c r="D25755" t="s">
        <v>77449</v>
      </c>
      <c r="F25755" t="s">
        <v>66613</v>
      </c>
      <c r="I25755" t="s">
        <v>184</v>
      </c>
      <c r="J25755" t="s">
        <v>30</v>
      </c>
      <c r="K25755" t="str">
        <f>"27006"</f>
        <v>27006</v>
      </c>
      <c r="M25755" t="s">
        <v>50621</v>
      </c>
      <c r="N25755" t="str">
        <f>"5/27/2025 10:53:00 AM"</f>
        <v>5/27/2025 10:53:00 AM</v>
      </c>
      <c r="O25755" t="s">
        <v>77449</v>
      </c>
    </row>
    <row r="25756" spans="1:20" x14ac:dyDescent="0.25">
      <c r="A25756" t="str">
        <f>"3037316"</f>
        <v>3037316</v>
      </c>
      <c r="B25756" t="s">
        <v>77450</v>
      </c>
      <c r="C25756" t="str">
        <f>"8307443"</f>
        <v>8307443</v>
      </c>
      <c r="D25756" t="s">
        <v>77449</v>
      </c>
      <c r="F25756" t="s">
        <v>66613</v>
      </c>
      <c r="I25756" t="s">
        <v>184</v>
      </c>
      <c r="J25756" t="s">
        <v>30</v>
      </c>
      <c r="K25756" t="str">
        <f>"27006"</f>
        <v>27006</v>
      </c>
      <c r="M25756" t="s">
        <v>50621</v>
      </c>
      <c r="N25756" t="str">
        <f>"5/27/2025 10:53:00 AM"</f>
        <v>5/27/2025 10:53:00 AM</v>
      </c>
      <c r="O25756" t="s">
        <v>77449</v>
      </c>
    </row>
    <row r="25757" spans="1:20" x14ac:dyDescent="0.25">
      <c r="A25757" t="str">
        <f>"3047000"</f>
        <v>3047000</v>
      </c>
      <c r="B25757" t="s">
        <v>77451</v>
      </c>
      <c r="C25757" t="str">
        <f>"8311273"</f>
        <v>8311273</v>
      </c>
      <c r="D25757" t="s">
        <v>77452</v>
      </c>
      <c r="F25757" t="s">
        <v>77453</v>
      </c>
      <c r="I25757" t="s">
        <v>29</v>
      </c>
      <c r="J25757" t="s">
        <v>30</v>
      </c>
      <c r="K25757" t="str">
        <f>"27028"</f>
        <v>27028</v>
      </c>
      <c r="M25757" t="s">
        <v>18470</v>
      </c>
      <c r="N25757" t="str">
        <f>"5/27/2025 11:08:00 AM"</f>
        <v>5/27/2025 11:08:00 AM</v>
      </c>
      <c r="O25757" t="s">
        <v>77452</v>
      </c>
    </row>
    <row r="25758" spans="1:20" x14ac:dyDescent="0.25">
      <c r="A25758" t="str">
        <f>"3043588"</f>
        <v>3043588</v>
      </c>
      <c r="B25758" t="s">
        <v>77454</v>
      </c>
      <c r="C25758" t="str">
        <f>"8302250"</f>
        <v>8302250</v>
      </c>
      <c r="D25758" t="s">
        <v>77455</v>
      </c>
      <c r="F25758" t="s">
        <v>77456</v>
      </c>
      <c r="I25758" t="s">
        <v>29</v>
      </c>
      <c r="J25758" t="s">
        <v>30</v>
      </c>
      <c r="K25758" t="str">
        <f>"27028"</f>
        <v>27028</v>
      </c>
      <c r="M25758" t="s">
        <v>50621</v>
      </c>
      <c r="N25758" t="str">
        <f>"5/27/2025 11:26:00 AM"</f>
        <v>5/27/2025 11:26:00 AM</v>
      </c>
      <c r="O25758" t="s">
        <v>77455</v>
      </c>
    </row>
    <row r="25759" spans="1:20" x14ac:dyDescent="0.25">
      <c r="A25759" t="str">
        <f>"3051935"</f>
        <v>3051935</v>
      </c>
      <c r="B25759" t="s">
        <v>77457</v>
      </c>
      <c r="C25759" t="str">
        <f>"8320569"</f>
        <v>8320569</v>
      </c>
      <c r="D25759" t="s">
        <v>77458</v>
      </c>
      <c r="F25759" t="s">
        <v>77459</v>
      </c>
      <c r="I25759" t="s">
        <v>29</v>
      </c>
      <c r="J25759" t="s">
        <v>30</v>
      </c>
      <c r="K25759" t="s">
        <v>62935</v>
      </c>
      <c r="M25759" t="s">
        <v>50621</v>
      </c>
      <c r="N25759" t="str">
        <f>"5/27/2025 11:29:00 AM"</f>
        <v>5/27/2025 11:29:00 AM</v>
      </c>
      <c r="O25759" t="s">
        <v>77458</v>
      </c>
    </row>
    <row r="25760" spans="1:20" x14ac:dyDescent="0.25">
      <c r="A25760" t="str">
        <f>"3042107"</f>
        <v>3042107</v>
      </c>
      <c r="B25760" t="s">
        <v>77460</v>
      </c>
      <c r="C25760" t="str">
        <f>"8313779"</f>
        <v>8313779</v>
      </c>
      <c r="D25760" t="s">
        <v>77461</v>
      </c>
      <c r="E25760" t="s">
        <v>77462</v>
      </c>
      <c r="F25760" t="s">
        <v>39420</v>
      </c>
      <c r="I25760" t="s">
        <v>184</v>
      </c>
      <c r="J25760" t="s">
        <v>30</v>
      </c>
      <c r="K25760" t="s">
        <v>39421</v>
      </c>
      <c r="M25760" t="s">
        <v>50793</v>
      </c>
      <c r="N25760" t="str">
        <f>"5/28/2025 8:42:00 AM"</f>
        <v>5/28/2025 8:42:00 AM</v>
      </c>
      <c r="O25760" t="s">
        <v>77461</v>
      </c>
      <c r="T25760" t="s">
        <v>77462</v>
      </c>
    </row>
    <row r="25761" spans="1:20" x14ac:dyDescent="0.25">
      <c r="A25761" t="str">
        <f>"3063930"</f>
        <v>3063930</v>
      </c>
      <c r="B25761" t="s">
        <v>77463</v>
      </c>
      <c r="C25761" t="str">
        <f>"8313779"</f>
        <v>8313779</v>
      </c>
      <c r="D25761" t="s">
        <v>77461</v>
      </c>
      <c r="E25761" t="s">
        <v>77462</v>
      </c>
      <c r="F25761" t="s">
        <v>39420</v>
      </c>
      <c r="I25761" t="s">
        <v>184</v>
      </c>
      <c r="J25761" t="s">
        <v>30</v>
      </c>
      <c r="K25761" t="s">
        <v>39421</v>
      </c>
      <c r="M25761" t="s">
        <v>50793</v>
      </c>
      <c r="N25761" t="str">
        <f>"5/28/2025 8:42:00 AM"</f>
        <v>5/28/2025 8:42:00 AM</v>
      </c>
      <c r="O25761" t="s">
        <v>77461</v>
      </c>
      <c r="T25761" t="s">
        <v>77462</v>
      </c>
    </row>
    <row r="25762" spans="1:20" x14ac:dyDescent="0.25">
      <c r="A25762" t="str">
        <f>"3050554"</f>
        <v>3050554</v>
      </c>
      <c r="B25762" t="s">
        <v>77464</v>
      </c>
      <c r="C25762" t="str">
        <f>"82526276"</f>
        <v>82526276</v>
      </c>
      <c r="D25762" t="s">
        <v>77465</v>
      </c>
      <c r="F25762" t="s">
        <v>77466</v>
      </c>
      <c r="G25762" t="s">
        <v>77467</v>
      </c>
      <c r="I25762" t="s">
        <v>1045</v>
      </c>
      <c r="J25762" t="s">
        <v>1046</v>
      </c>
      <c r="K25762" t="s">
        <v>77468</v>
      </c>
      <c r="M25762" t="s">
        <v>50793</v>
      </c>
      <c r="N25762" t="str">
        <f>"5/15/2025 2:29:00 PM"</f>
        <v>5/15/2025 2:29:00 PM</v>
      </c>
      <c r="O25762" t="s">
        <v>77465</v>
      </c>
    </row>
    <row r="25763" spans="1:20" x14ac:dyDescent="0.25">
      <c r="A25763" t="str">
        <f>"3056800"</f>
        <v>3056800</v>
      </c>
      <c r="B25763" t="s">
        <v>77469</v>
      </c>
      <c r="C25763" t="str">
        <f>"77124500"</f>
        <v>77124500</v>
      </c>
      <c r="D25763" t="s">
        <v>77470</v>
      </c>
      <c r="E25763" t="s">
        <v>77471</v>
      </c>
      <c r="F25763" t="s">
        <v>77472</v>
      </c>
      <c r="I25763" t="s">
        <v>29</v>
      </c>
      <c r="J25763" t="s">
        <v>30</v>
      </c>
      <c r="K25763" t="s">
        <v>31</v>
      </c>
      <c r="M25763" t="s">
        <v>50793</v>
      </c>
      <c r="N25763" t="str">
        <f>"5/15/2025 2:33:00 PM"</f>
        <v>5/15/2025 2:33:00 PM</v>
      </c>
      <c r="O25763" t="s">
        <v>77470</v>
      </c>
      <c r="T25763" t="s">
        <v>77471</v>
      </c>
    </row>
    <row r="25764" spans="1:20" x14ac:dyDescent="0.25">
      <c r="A25764" t="str">
        <f>"3054673"</f>
        <v>3054673</v>
      </c>
      <c r="B25764" t="s">
        <v>77473</v>
      </c>
      <c r="C25764" t="str">
        <f>"29987120"</f>
        <v>29987120</v>
      </c>
      <c r="D25764" t="s">
        <v>77474</v>
      </c>
      <c r="E25764" t="s">
        <v>77475</v>
      </c>
      <c r="F25764" t="s">
        <v>77476</v>
      </c>
      <c r="G25764" t="s">
        <v>77405</v>
      </c>
      <c r="I25764" t="s">
        <v>19211</v>
      </c>
      <c r="J25764" t="s">
        <v>30</v>
      </c>
      <c r="K25764" t="s">
        <v>77477</v>
      </c>
      <c r="M25764" t="s">
        <v>25733</v>
      </c>
      <c r="N25764" t="str">
        <f>"5/28/2025 1:49:00 PM"</f>
        <v>5/28/2025 1:49:00 PM</v>
      </c>
      <c r="O25764" t="s">
        <v>77474</v>
      </c>
      <c r="T25764" t="s">
        <v>77475</v>
      </c>
    </row>
    <row r="25765" spans="1:20" x14ac:dyDescent="0.25">
      <c r="A25765" t="str">
        <f>"3043511"</f>
        <v>3043511</v>
      </c>
      <c r="B25765" t="s">
        <v>77478</v>
      </c>
      <c r="C25765" t="str">
        <f>"63239000"</f>
        <v>63239000</v>
      </c>
      <c r="D25765" t="s">
        <v>77479</v>
      </c>
      <c r="F25765" t="s">
        <v>77480</v>
      </c>
      <c r="I25765" t="s">
        <v>29</v>
      </c>
      <c r="J25765" t="s">
        <v>30</v>
      </c>
      <c r="K25765" t="s">
        <v>31</v>
      </c>
      <c r="M25765" t="s">
        <v>50621</v>
      </c>
      <c r="N25765" t="str">
        <f>"5/9/2025 10:47:00 AM"</f>
        <v>5/9/2025 10:47:00 AM</v>
      </c>
      <c r="O25765" t="s">
        <v>77479</v>
      </c>
    </row>
    <row r="25766" spans="1:20" x14ac:dyDescent="0.25">
      <c r="A25766" t="str">
        <f>"3057204"</f>
        <v>3057204</v>
      </c>
      <c r="B25766" t="s">
        <v>77481</v>
      </c>
      <c r="C25766" t="str">
        <f>"8320955"</f>
        <v>8320955</v>
      </c>
      <c r="D25766" t="s">
        <v>77482</v>
      </c>
      <c r="F25766" t="s">
        <v>77483</v>
      </c>
      <c r="I25766" t="s">
        <v>3196</v>
      </c>
      <c r="J25766" t="s">
        <v>30</v>
      </c>
      <c r="K25766" t="s">
        <v>77484</v>
      </c>
      <c r="M25766" t="s">
        <v>50621</v>
      </c>
      <c r="N25766" t="str">
        <f>"5/29/2025 9:33:00 AM"</f>
        <v>5/29/2025 9:33:00 AM</v>
      </c>
      <c r="O25766" t="s">
        <v>77482</v>
      </c>
    </row>
    <row r="25767" spans="1:20" x14ac:dyDescent="0.25">
      <c r="A25767" t="str">
        <f>"3059165"</f>
        <v>3059165</v>
      </c>
      <c r="B25767" t="s">
        <v>77485</v>
      </c>
      <c r="C25767" t="str">
        <f>"55382000"</f>
        <v>55382000</v>
      </c>
      <c r="D25767" t="s">
        <v>77486</v>
      </c>
      <c r="E25767" t="s">
        <v>77487</v>
      </c>
      <c r="F25767" t="s">
        <v>77488</v>
      </c>
      <c r="I25767" t="s">
        <v>29</v>
      </c>
      <c r="J25767" t="s">
        <v>30</v>
      </c>
      <c r="K25767" t="s">
        <v>34387</v>
      </c>
      <c r="M25767" t="s">
        <v>50621</v>
      </c>
      <c r="N25767" t="str">
        <f>"5/9/2025 3:13:00 PM"</f>
        <v>5/9/2025 3:13:00 PM</v>
      </c>
      <c r="O25767" t="s">
        <v>77486</v>
      </c>
      <c r="T25767" t="s">
        <v>77487</v>
      </c>
    </row>
    <row r="25768" spans="1:20" x14ac:dyDescent="0.25">
      <c r="A25768" t="str">
        <f>"3064066"</f>
        <v>3064066</v>
      </c>
      <c r="B25768" t="s">
        <v>77489</v>
      </c>
      <c r="C25768" t="str">
        <f>"8311587"</f>
        <v>8311587</v>
      </c>
      <c r="D25768" t="s">
        <v>77173</v>
      </c>
      <c r="E25768" t="s">
        <v>77174</v>
      </c>
      <c r="F25768" t="s">
        <v>77175</v>
      </c>
      <c r="I25768" t="s">
        <v>184</v>
      </c>
      <c r="J25768" t="s">
        <v>30</v>
      </c>
      <c r="K25768" t="s">
        <v>77176</v>
      </c>
      <c r="M25768" t="s">
        <v>52111</v>
      </c>
      <c r="N25768" t="str">
        <f>"5/12/2025 10:00:00 AM"</f>
        <v>5/12/2025 10:00:00 AM</v>
      </c>
      <c r="O25768" t="s">
        <v>77173</v>
      </c>
      <c r="T25768" t="s">
        <v>77174</v>
      </c>
    </row>
    <row r="25769" spans="1:20" x14ac:dyDescent="0.25">
      <c r="A25769" t="str">
        <f>"3042214"</f>
        <v>3042214</v>
      </c>
      <c r="B25769" t="s">
        <v>77490</v>
      </c>
      <c r="C25769" t="str">
        <f>"8311587"</f>
        <v>8311587</v>
      </c>
      <c r="D25769" t="s">
        <v>77173</v>
      </c>
      <c r="E25769" t="s">
        <v>77174</v>
      </c>
      <c r="F25769" t="s">
        <v>77175</v>
      </c>
      <c r="I25769" t="s">
        <v>184</v>
      </c>
      <c r="J25769" t="s">
        <v>30</v>
      </c>
      <c r="K25769" t="s">
        <v>77176</v>
      </c>
      <c r="M25769" t="s">
        <v>52111</v>
      </c>
      <c r="N25769" t="str">
        <f>"5/12/2025 10:00:00 AM"</f>
        <v>5/12/2025 10:00:00 AM</v>
      </c>
      <c r="O25769" t="s">
        <v>77173</v>
      </c>
      <c r="T25769" t="s">
        <v>77174</v>
      </c>
    </row>
    <row r="25770" spans="1:20" x14ac:dyDescent="0.25">
      <c r="A25770" t="str">
        <f>"3055790"</f>
        <v>3055790</v>
      </c>
      <c r="B25770" t="s">
        <v>77491</v>
      </c>
      <c r="C25770" t="str">
        <f>"8313043"</f>
        <v>8313043</v>
      </c>
      <c r="D25770" t="s">
        <v>77492</v>
      </c>
      <c r="F25770" t="s">
        <v>58724</v>
      </c>
      <c r="I25770" t="s">
        <v>9580</v>
      </c>
      <c r="J25770" t="s">
        <v>30</v>
      </c>
      <c r="K25770" t="s">
        <v>77493</v>
      </c>
      <c r="M25770" t="s">
        <v>50793</v>
      </c>
      <c r="N25770" t="str">
        <f>"5/15/2025 2:56:00 PM"</f>
        <v>5/15/2025 2:56:00 PM</v>
      </c>
      <c r="O25770" t="s">
        <v>77492</v>
      </c>
    </row>
    <row r="25771" spans="1:20" x14ac:dyDescent="0.25">
      <c r="A25771" t="str">
        <f>"3054452"</f>
        <v>3054452</v>
      </c>
      <c r="B25771" t="s">
        <v>77494</v>
      </c>
      <c r="C25771" t="str">
        <f>"15740000"</f>
        <v>15740000</v>
      </c>
      <c r="D25771" t="s">
        <v>77495</v>
      </c>
      <c r="E25771" t="s">
        <v>46609</v>
      </c>
      <c r="F25771" t="s">
        <v>77496</v>
      </c>
      <c r="G25771" t="s">
        <v>77497</v>
      </c>
      <c r="I25771" t="s">
        <v>29</v>
      </c>
      <c r="J25771" t="s">
        <v>30</v>
      </c>
      <c r="K25771" t="s">
        <v>77498</v>
      </c>
      <c r="M25771" t="s">
        <v>51351</v>
      </c>
      <c r="N25771" t="str">
        <f>"6/2/2025 10:45:00 AM"</f>
        <v>6/2/2025 10:45:00 AM</v>
      </c>
      <c r="O25771" t="s">
        <v>77495</v>
      </c>
      <c r="T25771" t="s">
        <v>46609</v>
      </c>
    </row>
    <row r="25772" spans="1:20" x14ac:dyDescent="0.25">
      <c r="A25772" t="str">
        <f>"3037439"</f>
        <v>3037439</v>
      </c>
      <c r="B25772" t="s">
        <v>77499</v>
      </c>
      <c r="C25772" t="str">
        <f>"19926000"</f>
        <v>19926000</v>
      </c>
      <c r="D25772" t="s">
        <v>77500</v>
      </c>
      <c r="E25772" t="str">
        <f>"C/O PATSY D SMITH EXC"</f>
        <v>C/O PATSY D SMITH EXC</v>
      </c>
      <c r="F25772" t="s">
        <v>77501</v>
      </c>
      <c r="I25772" t="s">
        <v>29</v>
      </c>
      <c r="J25772" t="s">
        <v>30</v>
      </c>
      <c r="K25772" t="s">
        <v>31</v>
      </c>
      <c r="M25772" t="s">
        <v>18470</v>
      </c>
      <c r="N25772" t="str">
        <f>"6/2/2025 11:01:00 AM"</f>
        <v>6/2/2025 11:01:00 AM</v>
      </c>
      <c r="O25772" t="s">
        <v>77500</v>
      </c>
      <c r="T25772" t="str">
        <f>"C/O PATSY D SMITH EXC"</f>
        <v>C/O PATSY D SMITH EXC</v>
      </c>
    </row>
    <row r="25773" spans="1:20" x14ac:dyDescent="0.25">
      <c r="A25773" t="str">
        <f>"3037526"</f>
        <v>3037526</v>
      </c>
      <c r="B25773" t="s">
        <v>77502</v>
      </c>
      <c r="C25773" t="str">
        <f>"19926000"</f>
        <v>19926000</v>
      </c>
      <c r="D25773" t="s">
        <v>77500</v>
      </c>
      <c r="E25773" t="str">
        <f>"C/O PATSY D SMITH EXC"</f>
        <v>C/O PATSY D SMITH EXC</v>
      </c>
      <c r="F25773" t="s">
        <v>77501</v>
      </c>
      <c r="I25773" t="s">
        <v>29</v>
      </c>
      <c r="J25773" t="s">
        <v>30</v>
      </c>
      <c r="K25773" t="s">
        <v>31</v>
      </c>
      <c r="M25773" t="s">
        <v>18470</v>
      </c>
      <c r="N25773" t="str">
        <f>"6/2/2025 11:01:00 AM"</f>
        <v>6/2/2025 11:01:00 AM</v>
      </c>
      <c r="O25773" t="s">
        <v>77500</v>
      </c>
      <c r="T25773" t="str">
        <f>"C/O PATSY D SMITH EXC"</f>
        <v>C/O PATSY D SMITH EXC</v>
      </c>
    </row>
    <row r="25774" spans="1:20" x14ac:dyDescent="0.25">
      <c r="A25774" t="str">
        <f>"3037709"</f>
        <v>3037709</v>
      </c>
      <c r="B25774" t="s">
        <v>77503</v>
      </c>
      <c r="C25774" t="str">
        <f>"19926000"</f>
        <v>19926000</v>
      </c>
      <c r="D25774" t="s">
        <v>77500</v>
      </c>
      <c r="E25774" t="str">
        <f>"C/O PATSY D SMITH EXC"</f>
        <v>C/O PATSY D SMITH EXC</v>
      </c>
      <c r="F25774" t="s">
        <v>77501</v>
      </c>
      <c r="I25774" t="s">
        <v>29</v>
      </c>
      <c r="J25774" t="s">
        <v>30</v>
      </c>
      <c r="K25774" t="s">
        <v>31</v>
      </c>
      <c r="M25774" t="s">
        <v>18470</v>
      </c>
      <c r="N25774" t="str">
        <f>"6/2/2025 11:01:00 AM"</f>
        <v>6/2/2025 11:01:00 AM</v>
      </c>
      <c r="O25774" t="s">
        <v>77500</v>
      </c>
      <c r="T25774" t="str">
        <f>"C/O PATSY D SMITH EXC"</f>
        <v>C/O PATSY D SMITH EXC</v>
      </c>
    </row>
    <row r="25775" spans="1:20" x14ac:dyDescent="0.25">
      <c r="A25775" t="str">
        <f>"3048513"</f>
        <v>3048513</v>
      </c>
      <c r="B25775" t="s">
        <v>77504</v>
      </c>
      <c r="C25775" t="str">
        <f>"79658000"</f>
        <v>79658000</v>
      </c>
      <c r="D25775" t="s">
        <v>77505</v>
      </c>
      <c r="E25775" t="s">
        <v>77506</v>
      </c>
      <c r="F25775" t="s">
        <v>77507</v>
      </c>
      <c r="I25775" t="s">
        <v>77508</v>
      </c>
      <c r="J25775" t="s">
        <v>11994</v>
      </c>
      <c r="K25775" t="s">
        <v>77509</v>
      </c>
      <c r="M25775" t="s">
        <v>50621</v>
      </c>
      <c r="N25775" t="str">
        <f>"6/2/2025 12:27:00 PM"</f>
        <v>6/2/2025 12:27:00 PM</v>
      </c>
      <c r="O25775" t="s">
        <v>77505</v>
      </c>
      <c r="T25775" t="s">
        <v>77506</v>
      </c>
    </row>
    <row r="25776" spans="1:20" x14ac:dyDescent="0.25">
      <c r="A25776" t="str">
        <f>"3052055"</f>
        <v>3052055</v>
      </c>
      <c r="B25776" t="s">
        <v>77510</v>
      </c>
      <c r="C25776" t="str">
        <f>"27088000"</f>
        <v>27088000</v>
      </c>
      <c r="D25776" t="s">
        <v>77511</v>
      </c>
      <c r="F25776" t="s">
        <v>77512</v>
      </c>
      <c r="I25776" t="s">
        <v>34070</v>
      </c>
      <c r="J25776" t="s">
        <v>30</v>
      </c>
      <c r="K25776" t="s">
        <v>77513</v>
      </c>
      <c r="M25776" t="s">
        <v>25733</v>
      </c>
      <c r="N25776" t="str">
        <f>"5/16/2025 9:43:00 AM"</f>
        <v>5/16/2025 9:43:00 AM</v>
      </c>
      <c r="O25776" t="s">
        <v>77511</v>
      </c>
    </row>
    <row r="25777" spans="1:20" x14ac:dyDescent="0.25">
      <c r="A25777" t="str">
        <f>"3056502"</f>
        <v>3056502</v>
      </c>
      <c r="B25777" t="s">
        <v>77514</v>
      </c>
      <c r="C25777" t="str">
        <f>"8307870"</f>
        <v>8307870</v>
      </c>
      <c r="D25777" t="s">
        <v>77515</v>
      </c>
      <c r="F25777" t="s">
        <v>77516</v>
      </c>
      <c r="I25777" t="s">
        <v>29</v>
      </c>
      <c r="J25777" t="s">
        <v>30</v>
      </c>
      <c r="K25777" t="str">
        <f>"27028"</f>
        <v>27028</v>
      </c>
      <c r="M25777" t="s">
        <v>50621</v>
      </c>
      <c r="N25777" t="str">
        <f>"6/3/2025 10:35:00 AM"</f>
        <v>6/3/2025 10:35:00 AM</v>
      </c>
      <c r="O25777" t="s">
        <v>77515</v>
      </c>
    </row>
    <row r="25778" spans="1:20" x14ac:dyDescent="0.25">
      <c r="A25778" t="str">
        <f>"3056406"</f>
        <v>3056406</v>
      </c>
      <c r="B25778" t="s">
        <v>77517</v>
      </c>
      <c r="C25778" t="str">
        <f>"8314829"</f>
        <v>8314829</v>
      </c>
      <c r="D25778" t="s">
        <v>77518</v>
      </c>
      <c r="E25778" t="s">
        <v>77519</v>
      </c>
      <c r="F25778" t="s">
        <v>73356</v>
      </c>
      <c r="I25778" t="s">
        <v>9580</v>
      </c>
      <c r="J25778" t="s">
        <v>30</v>
      </c>
      <c r="K25778" t="s">
        <v>73357</v>
      </c>
      <c r="M25778" t="s">
        <v>50621</v>
      </c>
      <c r="N25778" t="str">
        <f>"6/3/2025 10:37:00 AM"</f>
        <v>6/3/2025 10:37:00 AM</v>
      </c>
      <c r="O25778" t="s">
        <v>77518</v>
      </c>
      <c r="T25778" t="s">
        <v>77519</v>
      </c>
    </row>
    <row r="25779" spans="1:20" x14ac:dyDescent="0.25">
      <c r="A25779" t="str">
        <f>"3056335"</f>
        <v>3056335</v>
      </c>
      <c r="B25779" t="s">
        <v>77520</v>
      </c>
      <c r="C25779" t="str">
        <f>"8314829"</f>
        <v>8314829</v>
      </c>
      <c r="D25779" t="s">
        <v>77518</v>
      </c>
      <c r="E25779" t="s">
        <v>77519</v>
      </c>
      <c r="F25779" t="s">
        <v>73356</v>
      </c>
      <c r="I25779" t="s">
        <v>9580</v>
      </c>
      <c r="J25779" t="s">
        <v>30</v>
      </c>
      <c r="K25779" t="s">
        <v>73357</v>
      </c>
      <c r="M25779" t="s">
        <v>50621</v>
      </c>
      <c r="N25779" t="str">
        <f>"6/3/2025 10:37:00 AM"</f>
        <v>6/3/2025 10:37:00 AM</v>
      </c>
      <c r="O25779" t="s">
        <v>77518</v>
      </c>
      <c r="T25779" t="s">
        <v>77519</v>
      </c>
    </row>
    <row r="25780" spans="1:20" x14ac:dyDescent="0.25">
      <c r="A25780" t="str">
        <f>"3055939"</f>
        <v>3055939</v>
      </c>
      <c r="B25780" t="s">
        <v>77521</v>
      </c>
      <c r="C25780" t="str">
        <f>"8314829"</f>
        <v>8314829</v>
      </c>
      <c r="D25780" t="s">
        <v>77518</v>
      </c>
      <c r="E25780" t="s">
        <v>77519</v>
      </c>
      <c r="F25780" t="s">
        <v>73356</v>
      </c>
      <c r="I25780" t="s">
        <v>9580</v>
      </c>
      <c r="J25780" t="s">
        <v>30</v>
      </c>
      <c r="K25780" t="s">
        <v>73357</v>
      </c>
      <c r="M25780" t="s">
        <v>50621</v>
      </c>
      <c r="N25780" t="str">
        <f>"6/3/2025 10:37:00 AM"</f>
        <v>6/3/2025 10:37:00 AM</v>
      </c>
      <c r="O25780" t="s">
        <v>77518</v>
      </c>
      <c r="T25780" t="s">
        <v>77519</v>
      </c>
    </row>
    <row r="25781" spans="1:20" x14ac:dyDescent="0.25">
      <c r="A25781" t="str">
        <f>"3056281"</f>
        <v>3056281</v>
      </c>
      <c r="B25781" t="s">
        <v>77522</v>
      </c>
      <c r="C25781" t="str">
        <f>"8314829"</f>
        <v>8314829</v>
      </c>
      <c r="D25781" t="s">
        <v>77518</v>
      </c>
      <c r="E25781" t="s">
        <v>77519</v>
      </c>
      <c r="F25781" t="s">
        <v>73356</v>
      </c>
      <c r="I25781" t="s">
        <v>9580</v>
      </c>
      <c r="J25781" t="s">
        <v>30</v>
      </c>
      <c r="K25781" t="s">
        <v>73357</v>
      </c>
      <c r="M25781" t="s">
        <v>50621</v>
      </c>
      <c r="N25781" t="str">
        <f>"6/3/2025 10:37:00 AM"</f>
        <v>6/3/2025 10:37:00 AM</v>
      </c>
      <c r="O25781" t="s">
        <v>77518</v>
      </c>
      <c r="T25781" t="s">
        <v>77519</v>
      </c>
    </row>
    <row r="25782" spans="1:20" x14ac:dyDescent="0.25">
      <c r="A25782" t="str">
        <f>"3056151"</f>
        <v>3056151</v>
      </c>
      <c r="B25782" t="s">
        <v>77523</v>
      </c>
      <c r="C25782" t="str">
        <f>"8314829"</f>
        <v>8314829</v>
      </c>
      <c r="D25782" t="s">
        <v>77518</v>
      </c>
      <c r="E25782" t="s">
        <v>77519</v>
      </c>
      <c r="F25782" t="s">
        <v>73356</v>
      </c>
      <c r="I25782" t="s">
        <v>9580</v>
      </c>
      <c r="J25782" t="s">
        <v>30</v>
      </c>
      <c r="K25782" t="s">
        <v>73357</v>
      </c>
      <c r="M25782" t="s">
        <v>50621</v>
      </c>
      <c r="N25782" t="str">
        <f>"6/3/2025 10:37:00 AM"</f>
        <v>6/3/2025 10:37:00 AM</v>
      </c>
      <c r="O25782" t="s">
        <v>77518</v>
      </c>
      <c r="T25782" t="s">
        <v>77519</v>
      </c>
    </row>
    <row r="25783" spans="1:20" x14ac:dyDescent="0.25">
      <c r="A25783" t="str">
        <f>"3057069"</f>
        <v>3057069</v>
      </c>
      <c r="B25783" t="s">
        <v>77524</v>
      </c>
      <c r="C25783" t="str">
        <f>"8309645"</f>
        <v>8309645</v>
      </c>
      <c r="D25783" t="s">
        <v>77525</v>
      </c>
      <c r="E25783" t="s">
        <v>77526</v>
      </c>
      <c r="F25783" t="s">
        <v>77527</v>
      </c>
      <c r="I25783" t="s">
        <v>184</v>
      </c>
      <c r="J25783" t="s">
        <v>30</v>
      </c>
      <c r="K25783" t="s">
        <v>47005</v>
      </c>
      <c r="M25783" t="s">
        <v>50621</v>
      </c>
      <c r="N25783" t="str">
        <f>"6/3/2025 10:40:00 AM"</f>
        <v>6/3/2025 10:40:00 AM</v>
      </c>
      <c r="O25783" t="s">
        <v>77525</v>
      </c>
      <c r="T25783" t="s">
        <v>77526</v>
      </c>
    </row>
    <row r="25784" spans="1:20" x14ac:dyDescent="0.25">
      <c r="A25784" t="str">
        <f>"3061121"</f>
        <v>3061121</v>
      </c>
      <c r="B25784" t="s">
        <v>77528</v>
      </c>
      <c r="C25784" t="str">
        <f>"8309645"</f>
        <v>8309645</v>
      </c>
      <c r="D25784" t="s">
        <v>77525</v>
      </c>
      <c r="E25784" t="s">
        <v>77526</v>
      </c>
      <c r="F25784" t="s">
        <v>77527</v>
      </c>
      <c r="I25784" t="s">
        <v>184</v>
      </c>
      <c r="J25784" t="s">
        <v>30</v>
      </c>
      <c r="K25784" t="s">
        <v>47005</v>
      </c>
      <c r="M25784" t="s">
        <v>50621</v>
      </c>
      <c r="N25784" t="str">
        <f>"6/3/2025 10:40:00 AM"</f>
        <v>6/3/2025 10:40:00 AM</v>
      </c>
      <c r="O25784" t="s">
        <v>77525</v>
      </c>
      <c r="T25784" t="s">
        <v>77526</v>
      </c>
    </row>
    <row r="25785" spans="1:20" x14ac:dyDescent="0.25">
      <c r="A25785" t="str">
        <f>"3048175"</f>
        <v>3048175</v>
      </c>
      <c r="B25785" t="s">
        <v>77529</v>
      </c>
      <c r="C25785" t="str">
        <f>"82520844"</f>
        <v>82520844</v>
      </c>
      <c r="D25785" t="s">
        <v>77530</v>
      </c>
      <c r="F25785" t="s">
        <v>77531</v>
      </c>
      <c r="I25785" t="s">
        <v>184</v>
      </c>
      <c r="J25785" t="s">
        <v>30</v>
      </c>
      <c r="K25785" t="s">
        <v>77532</v>
      </c>
      <c r="M25785" t="s">
        <v>50621</v>
      </c>
      <c r="N25785" t="str">
        <f>"6/3/2025 10:41:00 AM"</f>
        <v>6/3/2025 10:41:00 AM</v>
      </c>
      <c r="O25785" t="s">
        <v>77530</v>
      </c>
    </row>
    <row r="25786" spans="1:20" x14ac:dyDescent="0.25">
      <c r="A25786" t="str">
        <f>"3075474"</f>
        <v>3075474</v>
      </c>
      <c r="B25786" t="s">
        <v>77533</v>
      </c>
      <c r="C25786" t="str">
        <f>"8319185"</f>
        <v>8319185</v>
      </c>
      <c r="D25786" t="s">
        <v>77534</v>
      </c>
      <c r="F25786" t="s">
        <v>77535</v>
      </c>
      <c r="I25786" t="s">
        <v>29</v>
      </c>
      <c r="J25786" t="s">
        <v>30</v>
      </c>
      <c r="K25786" t="s">
        <v>67887</v>
      </c>
      <c r="M25786" t="s">
        <v>50621</v>
      </c>
      <c r="N25786" t="str">
        <f>"6/3/2025 10:43:00 AM"</f>
        <v>6/3/2025 10:43:00 AM</v>
      </c>
      <c r="O25786" t="s">
        <v>77534</v>
      </c>
    </row>
    <row r="25787" spans="1:20" x14ac:dyDescent="0.25">
      <c r="A25787" t="str">
        <f>"3038277"</f>
        <v>3038277</v>
      </c>
      <c r="B25787" t="s">
        <v>77536</v>
      </c>
      <c r="C25787" t="str">
        <f>"82513070"</f>
        <v>82513070</v>
      </c>
      <c r="D25787" t="s">
        <v>77537</v>
      </c>
      <c r="E25787" t="s">
        <v>77538</v>
      </c>
      <c r="F25787" t="s">
        <v>62872</v>
      </c>
      <c r="I25787" t="s">
        <v>1149</v>
      </c>
      <c r="J25787" t="s">
        <v>30</v>
      </c>
      <c r="K25787" t="s">
        <v>62873</v>
      </c>
      <c r="M25787" t="s">
        <v>50621</v>
      </c>
      <c r="N25787" t="str">
        <f>"6/3/2025 10:45:00 AM"</f>
        <v>6/3/2025 10:45:00 AM</v>
      </c>
      <c r="O25787" t="s">
        <v>77537</v>
      </c>
      <c r="T25787" t="s">
        <v>77538</v>
      </c>
    </row>
    <row r="25788" spans="1:20" x14ac:dyDescent="0.25">
      <c r="A25788" t="str">
        <f>"3076795"</f>
        <v>3076795</v>
      </c>
      <c r="B25788" t="s">
        <v>77539</v>
      </c>
      <c r="C25788" t="str">
        <f>"8315277"</f>
        <v>8315277</v>
      </c>
      <c r="D25788" t="s">
        <v>66399</v>
      </c>
      <c r="E25788" t="s">
        <v>77540</v>
      </c>
      <c r="F25788" t="s">
        <v>66404</v>
      </c>
      <c r="I25788" t="s">
        <v>184</v>
      </c>
      <c r="J25788" t="s">
        <v>30</v>
      </c>
      <c r="K25788" t="s">
        <v>65762</v>
      </c>
      <c r="M25788" t="s">
        <v>50621</v>
      </c>
      <c r="N25788" t="str">
        <f>"6/3/2025 10:47:00 AM"</f>
        <v>6/3/2025 10:47:00 AM</v>
      </c>
      <c r="O25788" t="s">
        <v>66399</v>
      </c>
      <c r="T25788" t="s">
        <v>77540</v>
      </c>
    </row>
    <row r="25789" spans="1:20" x14ac:dyDescent="0.25">
      <c r="A25789" t="str">
        <f>"3076799"</f>
        <v>3076799</v>
      </c>
      <c r="B25789" t="s">
        <v>77541</v>
      </c>
      <c r="C25789" t="str">
        <f>"8315277"</f>
        <v>8315277</v>
      </c>
      <c r="D25789" t="s">
        <v>66399</v>
      </c>
      <c r="E25789" t="s">
        <v>77540</v>
      </c>
      <c r="F25789" t="s">
        <v>66404</v>
      </c>
      <c r="I25789" t="s">
        <v>184</v>
      </c>
      <c r="J25789" t="s">
        <v>30</v>
      </c>
      <c r="K25789" t="s">
        <v>65762</v>
      </c>
      <c r="M25789" t="s">
        <v>50621</v>
      </c>
      <c r="N25789" t="str">
        <f>"6/3/2025 10:47:00 AM"</f>
        <v>6/3/2025 10:47:00 AM</v>
      </c>
      <c r="O25789" t="s">
        <v>66399</v>
      </c>
      <c r="T25789" t="s">
        <v>77540</v>
      </c>
    </row>
    <row r="25790" spans="1:20" x14ac:dyDescent="0.25">
      <c r="A25790" t="str">
        <f>"3042905"</f>
        <v>3042905</v>
      </c>
      <c r="B25790" t="s">
        <v>77542</v>
      </c>
      <c r="C25790" t="str">
        <f>"27074750"</f>
        <v>27074750</v>
      </c>
      <c r="D25790" t="s">
        <v>77153</v>
      </c>
      <c r="F25790" t="s">
        <v>77155</v>
      </c>
      <c r="I25790" t="s">
        <v>29</v>
      </c>
      <c r="J25790" t="s">
        <v>30</v>
      </c>
      <c r="K25790" t="s">
        <v>8305</v>
      </c>
      <c r="M25790" t="s">
        <v>50793</v>
      </c>
      <c r="N25790" t="str">
        <f>"5/16/2025 11:24:00 AM"</f>
        <v>5/16/2025 11:24:00 AM</v>
      </c>
      <c r="O25790" t="s">
        <v>77153</v>
      </c>
    </row>
    <row r="25791" spans="1:20" x14ac:dyDescent="0.25">
      <c r="A25791" t="str">
        <f>"3076547"</f>
        <v>3076547</v>
      </c>
      <c r="B25791" t="s">
        <v>77543</v>
      </c>
      <c r="C25791" t="str">
        <f>"8324516"</f>
        <v>8324516</v>
      </c>
      <c r="D25791" t="s">
        <v>77544</v>
      </c>
      <c r="E25791" t="s">
        <v>77545</v>
      </c>
      <c r="F25791" t="s">
        <v>77546</v>
      </c>
      <c r="I25791" t="s">
        <v>28704</v>
      </c>
      <c r="J25791" t="s">
        <v>30</v>
      </c>
      <c r="K25791" t="s">
        <v>77547</v>
      </c>
      <c r="M25791" t="s">
        <v>50500</v>
      </c>
      <c r="N25791" t="str">
        <f>"6/4/2025 11:07:00 AM"</f>
        <v>6/4/2025 11:07:00 AM</v>
      </c>
      <c r="O25791" t="s">
        <v>77544</v>
      </c>
      <c r="T25791" t="s">
        <v>77545</v>
      </c>
    </row>
    <row r="25792" spans="1:20" x14ac:dyDescent="0.25">
      <c r="A25792" t="str">
        <f>"3052573"</f>
        <v>3052573</v>
      </c>
      <c r="B25792" t="s">
        <v>77548</v>
      </c>
      <c r="C25792" t="str">
        <f>"8320232"</f>
        <v>8320232</v>
      </c>
      <c r="D25792" t="s">
        <v>77549</v>
      </c>
      <c r="F25792" t="s">
        <v>77550</v>
      </c>
      <c r="G25792" t="s">
        <v>77551</v>
      </c>
      <c r="I25792" t="s">
        <v>471</v>
      </c>
      <c r="J25792" t="s">
        <v>30</v>
      </c>
      <c r="K25792" t="s">
        <v>77552</v>
      </c>
      <c r="M25792" t="s">
        <v>50793</v>
      </c>
      <c r="N25792" t="str">
        <f>"6/4/2025 11:08:00 AM"</f>
        <v>6/4/2025 11:08:00 AM</v>
      </c>
      <c r="O25792" t="s">
        <v>77549</v>
      </c>
    </row>
    <row r="25793" spans="1:20" x14ac:dyDescent="0.25">
      <c r="A25793" t="str">
        <f>"3057930"</f>
        <v>3057930</v>
      </c>
      <c r="B25793" t="s">
        <v>77553</v>
      </c>
      <c r="C25793" t="str">
        <f>"8302015"</f>
        <v>8302015</v>
      </c>
      <c r="D25793" t="s">
        <v>77554</v>
      </c>
      <c r="F25793" t="s">
        <v>77555</v>
      </c>
      <c r="I25793" t="s">
        <v>184</v>
      </c>
      <c r="J25793" t="s">
        <v>30</v>
      </c>
      <c r="K25793" t="str">
        <f>"27006"</f>
        <v>27006</v>
      </c>
      <c r="M25793" t="s">
        <v>50621</v>
      </c>
      <c r="N25793" t="str">
        <f>"5/16/2025 1:54:00 PM"</f>
        <v>5/16/2025 1:54:00 PM</v>
      </c>
      <c r="O25793" t="s">
        <v>77554</v>
      </c>
    </row>
    <row r="25794" spans="1:20" x14ac:dyDescent="0.25">
      <c r="A25794" t="str">
        <f>"3076038"</f>
        <v>3076038</v>
      </c>
      <c r="B25794" t="s">
        <v>77556</v>
      </c>
      <c r="C25794" t="str">
        <f>"8309151"</f>
        <v>8309151</v>
      </c>
      <c r="D25794" t="s">
        <v>77557</v>
      </c>
      <c r="F25794" t="s">
        <v>77558</v>
      </c>
      <c r="I25794" t="s">
        <v>29</v>
      </c>
      <c r="J25794" t="s">
        <v>30</v>
      </c>
      <c r="K25794" t="s">
        <v>60234</v>
      </c>
      <c r="M25794" t="s">
        <v>50621</v>
      </c>
      <c r="N25794" t="str">
        <f>"6/5/2025 10:21:00 AM"</f>
        <v>6/5/2025 10:21:00 AM</v>
      </c>
      <c r="O25794" t="s">
        <v>77557</v>
      </c>
    </row>
    <row r="25795" spans="1:20" x14ac:dyDescent="0.25">
      <c r="A25795" t="str">
        <f>"3069544"</f>
        <v>3069544</v>
      </c>
      <c r="B25795" t="s">
        <v>77559</v>
      </c>
      <c r="C25795" t="str">
        <f>"8309151"</f>
        <v>8309151</v>
      </c>
      <c r="D25795" t="s">
        <v>77557</v>
      </c>
      <c r="F25795" t="s">
        <v>77558</v>
      </c>
      <c r="I25795" t="s">
        <v>29</v>
      </c>
      <c r="J25795" t="s">
        <v>30</v>
      </c>
      <c r="K25795" t="s">
        <v>60234</v>
      </c>
      <c r="M25795" t="s">
        <v>50621</v>
      </c>
      <c r="N25795" t="str">
        <f>"6/5/2025 10:21:00 AM"</f>
        <v>6/5/2025 10:21:00 AM</v>
      </c>
      <c r="O25795" t="s">
        <v>77557</v>
      </c>
    </row>
    <row r="25796" spans="1:20" x14ac:dyDescent="0.25">
      <c r="A25796" t="str">
        <f>"3057710"</f>
        <v>3057710</v>
      </c>
      <c r="B25796" t="s">
        <v>77560</v>
      </c>
      <c r="C25796" t="str">
        <f>"8307295"</f>
        <v>8307295</v>
      </c>
      <c r="D25796" t="s">
        <v>77561</v>
      </c>
      <c r="E25796" t="s">
        <v>77562</v>
      </c>
      <c r="F25796" t="s">
        <v>77563</v>
      </c>
      <c r="I25796" t="s">
        <v>29</v>
      </c>
      <c r="J25796" t="s">
        <v>30</v>
      </c>
      <c r="K25796" t="str">
        <f>"27028"</f>
        <v>27028</v>
      </c>
      <c r="M25796" t="s">
        <v>50621</v>
      </c>
      <c r="N25796" t="str">
        <f>"6/5/2025 10:39:00 AM"</f>
        <v>6/5/2025 10:39:00 AM</v>
      </c>
      <c r="O25796" t="s">
        <v>77561</v>
      </c>
      <c r="T25796" t="s">
        <v>77562</v>
      </c>
    </row>
    <row r="25797" spans="1:20" x14ac:dyDescent="0.25">
      <c r="A25797" t="str">
        <f>"3048309"</f>
        <v>3048309</v>
      </c>
      <c r="B25797" t="s">
        <v>77564</v>
      </c>
      <c r="C25797" t="str">
        <f>"8310049"</f>
        <v>8310049</v>
      </c>
      <c r="D25797" t="s">
        <v>77565</v>
      </c>
      <c r="F25797" t="s">
        <v>77566</v>
      </c>
      <c r="I25797" t="s">
        <v>1149</v>
      </c>
      <c r="J25797" t="s">
        <v>30</v>
      </c>
      <c r="K25797" t="str">
        <f>"28634"</f>
        <v>28634</v>
      </c>
      <c r="M25797" t="s">
        <v>50793</v>
      </c>
      <c r="N25797" t="str">
        <f>"6/5/2025 10:58:00 AM"</f>
        <v>6/5/2025 10:58:00 AM</v>
      </c>
      <c r="O25797" t="s">
        <v>77565</v>
      </c>
    </row>
    <row r="25798" spans="1:20" x14ac:dyDescent="0.25">
      <c r="A25798" t="str">
        <f>"3048490"</f>
        <v>3048490</v>
      </c>
      <c r="B25798" t="s">
        <v>77567</v>
      </c>
      <c r="C25798" t="str">
        <f>"53586000"</f>
        <v>53586000</v>
      </c>
      <c r="D25798" t="s">
        <v>35714</v>
      </c>
      <c r="F25798" t="s">
        <v>77568</v>
      </c>
      <c r="I25798" t="s">
        <v>2589</v>
      </c>
      <c r="J25798" t="s">
        <v>30</v>
      </c>
      <c r="K25798" t="s">
        <v>75689</v>
      </c>
      <c r="M25798" t="s">
        <v>50621</v>
      </c>
      <c r="N25798" t="str">
        <f>"6/5/2025 10:58:00 AM"</f>
        <v>6/5/2025 10:58:00 AM</v>
      </c>
      <c r="O25798" t="s">
        <v>35714</v>
      </c>
    </row>
    <row r="25799" spans="1:20" x14ac:dyDescent="0.25">
      <c r="A25799" t="str">
        <f>"3040607"</f>
        <v>3040607</v>
      </c>
      <c r="B25799" t="s">
        <v>77569</v>
      </c>
      <c r="C25799" t="str">
        <f>"1192000"</f>
        <v>1192000</v>
      </c>
      <c r="D25799" t="s">
        <v>77570</v>
      </c>
      <c r="E25799" t="s">
        <v>77571</v>
      </c>
      <c r="F25799" t="s">
        <v>77572</v>
      </c>
      <c r="I25799" t="s">
        <v>184</v>
      </c>
      <c r="J25799" t="s">
        <v>30</v>
      </c>
      <c r="K25799" t="s">
        <v>185</v>
      </c>
      <c r="M25799" t="s">
        <v>51351</v>
      </c>
      <c r="N25799" t="str">
        <f>"5/16/2025 2:06:00 PM"</f>
        <v>5/16/2025 2:06:00 PM</v>
      </c>
      <c r="O25799" t="s">
        <v>77570</v>
      </c>
      <c r="T25799" t="s">
        <v>77571</v>
      </c>
    </row>
    <row r="25800" spans="1:20" x14ac:dyDescent="0.25">
      <c r="A25800" t="str">
        <f>"3075270"</f>
        <v>3075270</v>
      </c>
      <c r="B25800" t="s">
        <v>77573</v>
      </c>
      <c r="C25800" t="str">
        <f>"8324428"</f>
        <v>8324428</v>
      </c>
      <c r="D25800" t="s">
        <v>77574</v>
      </c>
      <c r="F25800" t="s">
        <v>77575</v>
      </c>
      <c r="I25800" t="s">
        <v>29</v>
      </c>
      <c r="J25800" t="s">
        <v>30</v>
      </c>
      <c r="K25800" t="s">
        <v>77576</v>
      </c>
      <c r="M25800" t="s">
        <v>50500</v>
      </c>
      <c r="N25800" t="str">
        <f>"5/19/2025 9:11:00 AM"</f>
        <v>5/19/2025 9:11:00 AM</v>
      </c>
      <c r="O25800" t="s">
        <v>77574</v>
      </c>
    </row>
    <row r="25801" spans="1:20" x14ac:dyDescent="0.25">
      <c r="A25801" t="str">
        <f>"3051361"</f>
        <v>3051361</v>
      </c>
      <c r="B25801" t="s">
        <v>77577</v>
      </c>
      <c r="C25801" t="str">
        <f>"8314154"</f>
        <v>8314154</v>
      </c>
      <c r="D25801" t="s">
        <v>77578</v>
      </c>
      <c r="E25801" t="s">
        <v>77579</v>
      </c>
      <c r="F25801" t="s">
        <v>77580</v>
      </c>
      <c r="I25801" t="s">
        <v>1107</v>
      </c>
      <c r="J25801" t="s">
        <v>30</v>
      </c>
      <c r="K25801" t="str">
        <f>"28625"</f>
        <v>28625</v>
      </c>
      <c r="M25801" t="s">
        <v>50621</v>
      </c>
      <c r="N25801" t="str">
        <f>"6/5/2025 11:10:00 AM"</f>
        <v>6/5/2025 11:10:00 AM</v>
      </c>
      <c r="O25801" t="s">
        <v>77578</v>
      </c>
      <c r="T25801" t="s">
        <v>77579</v>
      </c>
    </row>
    <row r="25802" spans="1:20" x14ac:dyDescent="0.25">
      <c r="A25802" t="str">
        <f>"3051348"</f>
        <v>3051348</v>
      </c>
      <c r="B25802" t="s">
        <v>77581</v>
      </c>
      <c r="C25802" t="str">
        <f>"8314154"</f>
        <v>8314154</v>
      </c>
      <c r="D25802" t="s">
        <v>77578</v>
      </c>
      <c r="E25802" t="s">
        <v>77579</v>
      </c>
      <c r="F25802" t="s">
        <v>77580</v>
      </c>
      <c r="I25802" t="s">
        <v>1107</v>
      </c>
      <c r="J25802" t="s">
        <v>30</v>
      </c>
      <c r="K25802" t="str">
        <f>"28625"</f>
        <v>28625</v>
      </c>
      <c r="M25802" t="s">
        <v>50621</v>
      </c>
      <c r="N25802" t="str">
        <f>"6/5/2025 11:10:00 AM"</f>
        <v>6/5/2025 11:10:00 AM</v>
      </c>
      <c r="O25802" t="s">
        <v>77578</v>
      </c>
      <c r="T25802" t="s">
        <v>77579</v>
      </c>
    </row>
    <row r="25803" spans="1:20" x14ac:dyDescent="0.25">
      <c r="A25803" t="str">
        <f>"3050993"</f>
        <v>3050993</v>
      </c>
      <c r="B25803" t="s">
        <v>77582</v>
      </c>
      <c r="C25803" t="str">
        <f>"8313342"</f>
        <v>8313342</v>
      </c>
      <c r="D25803" t="s">
        <v>77583</v>
      </c>
      <c r="F25803" t="s">
        <v>77584</v>
      </c>
      <c r="I25803" t="s">
        <v>184</v>
      </c>
      <c r="J25803" t="s">
        <v>30</v>
      </c>
      <c r="K25803" t="s">
        <v>59672</v>
      </c>
      <c r="M25803" t="s">
        <v>50621</v>
      </c>
      <c r="N25803" t="str">
        <f>"6/5/2025 11:15:00 AM"</f>
        <v>6/5/2025 11:15:00 AM</v>
      </c>
      <c r="O25803" t="s">
        <v>77583</v>
      </c>
    </row>
    <row r="25804" spans="1:20" x14ac:dyDescent="0.25">
      <c r="A25804" t="str">
        <f>"3037722"</f>
        <v>3037722</v>
      </c>
      <c r="B25804" t="s">
        <v>77585</v>
      </c>
      <c r="C25804" t="str">
        <f>"8301200"</f>
        <v>8301200</v>
      </c>
      <c r="D25804" t="s">
        <v>77586</v>
      </c>
      <c r="F25804" t="s">
        <v>77587</v>
      </c>
      <c r="I25804" t="s">
        <v>29</v>
      </c>
      <c r="J25804" t="s">
        <v>30</v>
      </c>
      <c r="K25804" t="str">
        <f>"27028"</f>
        <v>27028</v>
      </c>
      <c r="M25804" t="s">
        <v>50793</v>
      </c>
      <c r="N25804" t="str">
        <f>"6/5/2025 11:19:00 AM"</f>
        <v>6/5/2025 11:19:00 AM</v>
      </c>
      <c r="O25804" t="s">
        <v>77586</v>
      </c>
    </row>
    <row r="25805" spans="1:20" x14ac:dyDescent="0.25">
      <c r="A25805" t="str">
        <f>"3063913"</f>
        <v>3063913</v>
      </c>
      <c r="B25805" t="s">
        <v>77588</v>
      </c>
      <c r="C25805" t="str">
        <f>"13805120"</f>
        <v>13805120</v>
      </c>
      <c r="D25805" t="s">
        <v>77589</v>
      </c>
      <c r="F25805" t="s">
        <v>77590</v>
      </c>
      <c r="I25805" t="s">
        <v>184</v>
      </c>
      <c r="J25805" t="s">
        <v>30</v>
      </c>
      <c r="K25805" t="s">
        <v>185</v>
      </c>
      <c r="M25805" t="s">
        <v>50793</v>
      </c>
      <c r="N25805" t="str">
        <f>"6/5/2025 11:25:00 AM"</f>
        <v>6/5/2025 11:25:00 AM</v>
      </c>
      <c r="O25805" t="s">
        <v>77589</v>
      </c>
    </row>
    <row r="25806" spans="1:20" x14ac:dyDescent="0.25">
      <c r="A25806" t="str">
        <f>"3046538"</f>
        <v>3046538</v>
      </c>
      <c r="B25806" t="s">
        <v>77591</v>
      </c>
      <c r="C25806" t="str">
        <f>"8313975"</f>
        <v>8313975</v>
      </c>
      <c r="D25806" t="s">
        <v>77592</v>
      </c>
      <c r="E25806" t="s">
        <v>77593</v>
      </c>
      <c r="F25806" t="s">
        <v>77594</v>
      </c>
      <c r="I25806" t="s">
        <v>17921</v>
      </c>
      <c r="J25806" t="s">
        <v>30</v>
      </c>
      <c r="K25806" t="s">
        <v>77595</v>
      </c>
      <c r="M25806" t="s">
        <v>50621</v>
      </c>
      <c r="N25806" t="str">
        <f>"6/5/2025 11:43:00 AM"</f>
        <v>6/5/2025 11:43:00 AM</v>
      </c>
      <c r="O25806" t="s">
        <v>77592</v>
      </c>
      <c r="T25806" t="s">
        <v>77593</v>
      </c>
    </row>
    <row r="25807" spans="1:20" x14ac:dyDescent="0.25">
      <c r="A25807" t="str">
        <f>"3046673"</f>
        <v>3046673</v>
      </c>
      <c r="B25807" t="s">
        <v>77596</v>
      </c>
      <c r="C25807" t="str">
        <f>"8313975"</f>
        <v>8313975</v>
      </c>
      <c r="D25807" t="s">
        <v>77592</v>
      </c>
      <c r="E25807" t="s">
        <v>77593</v>
      </c>
      <c r="F25807" t="s">
        <v>77594</v>
      </c>
      <c r="I25807" t="s">
        <v>17921</v>
      </c>
      <c r="J25807" t="s">
        <v>30</v>
      </c>
      <c r="K25807" t="s">
        <v>77595</v>
      </c>
      <c r="M25807" t="s">
        <v>50621</v>
      </c>
      <c r="N25807" t="str">
        <f>"6/5/2025 11:43:00 AM"</f>
        <v>6/5/2025 11:43:00 AM</v>
      </c>
      <c r="O25807" t="s">
        <v>77592</v>
      </c>
      <c r="T25807" t="s">
        <v>77593</v>
      </c>
    </row>
    <row r="25808" spans="1:20" x14ac:dyDescent="0.25">
      <c r="A25808" t="str">
        <f>"3055140"</f>
        <v>3055140</v>
      </c>
      <c r="B25808" t="s">
        <v>77597</v>
      </c>
      <c r="C25808" t="str">
        <f>"8316890"</f>
        <v>8316890</v>
      </c>
      <c r="D25808" t="s">
        <v>77598</v>
      </c>
      <c r="E25808" t="s">
        <v>77599</v>
      </c>
      <c r="F25808" t="s">
        <v>77600</v>
      </c>
      <c r="I25808" t="s">
        <v>29</v>
      </c>
      <c r="J25808" t="s">
        <v>30</v>
      </c>
      <c r="K25808" t="s">
        <v>57217</v>
      </c>
      <c r="M25808" t="s">
        <v>50621</v>
      </c>
      <c r="N25808" t="str">
        <f>"6/5/2025 11:48:00 AM"</f>
        <v>6/5/2025 11:48:00 AM</v>
      </c>
      <c r="O25808" t="s">
        <v>77598</v>
      </c>
      <c r="T25808" t="s">
        <v>77599</v>
      </c>
    </row>
    <row r="25809" spans="1:20" x14ac:dyDescent="0.25">
      <c r="A25809" t="str">
        <f>"3041284"</f>
        <v>3041284</v>
      </c>
      <c r="B25809" t="s">
        <v>77601</v>
      </c>
      <c r="C25809" t="str">
        <f>"82523124"</f>
        <v>82523124</v>
      </c>
      <c r="D25809" t="s">
        <v>77602</v>
      </c>
      <c r="F25809" t="s">
        <v>77603</v>
      </c>
      <c r="I25809" t="s">
        <v>22335</v>
      </c>
      <c r="J25809" t="s">
        <v>30</v>
      </c>
      <c r="K25809" t="s">
        <v>22356</v>
      </c>
      <c r="M25809" t="s">
        <v>50621</v>
      </c>
      <c r="N25809" t="str">
        <f>"6/5/2025 11:50:00 AM"</f>
        <v>6/5/2025 11:50:00 AM</v>
      </c>
      <c r="O25809" t="s">
        <v>77602</v>
      </c>
    </row>
    <row r="25810" spans="1:20" x14ac:dyDescent="0.25">
      <c r="A25810" t="str">
        <f>"3045933"</f>
        <v>3045933</v>
      </c>
      <c r="B25810" t="s">
        <v>77604</v>
      </c>
      <c r="C25810" t="str">
        <f>"79058000"</f>
        <v>79058000</v>
      </c>
      <c r="D25810" t="s">
        <v>77605</v>
      </c>
      <c r="F25810" t="s">
        <v>65174</v>
      </c>
      <c r="I25810" t="s">
        <v>29</v>
      </c>
      <c r="J25810" t="s">
        <v>30</v>
      </c>
      <c r="K25810" t="s">
        <v>65175</v>
      </c>
      <c r="M25810" t="s">
        <v>50621</v>
      </c>
      <c r="N25810" t="str">
        <f>"6/5/2025 11:52:00 AM"</f>
        <v>6/5/2025 11:52:00 AM</v>
      </c>
      <c r="O25810" t="s">
        <v>77605</v>
      </c>
    </row>
    <row r="25811" spans="1:20" x14ac:dyDescent="0.25">
      <c r="A25811" t="str">
        <f>"3045958"</f>
        <v>3045958</v>
      </c>
      <c r="B25811" t="s">
        <v>77606</v>
      </c>
      <c r="C25811" t="str">
        <f>"79058000"</f>
        <v>79058000</v>
      </c>
      <c r="D25811" t="s">
        <v>77605</v>
      </c>
      <c r="F25811" t="s">
        <v>65174</v>
      </c>
      <c r="I25811" t="s">
        <v>29</v>
      </c>
      <c r="J25811" t="s">
        <v>30</v>
      </c>
      <c r="K25811" t="s">
        <v>65175</v>
      </c>
      <c r="M25811" t="s">
        <v>50621</v>
      </c>
      <c r="N25811" t="str">
        <f>"6/5/2025 11:52:00 AM"</f>
        <v>6/5/2025 11:52:00 AM</v>
      </c>
      <c r="O25811" t="s">
        <v>77605</v>
      </c>
    </row>
    <row r="25812" spans="1:20" x14ac:dyDescent="0.25">
      <c r="A25812" t="str">
        <f>"3053367"</f>
        <v>3053367</v>
      </c>
      <c r="B25812" t="s">
        <v>77607</v>
      </c>
      <c r="C25812" t="str">
        <f>"79058000"</f>
        <v>79058000</v>
      </c>
      <c r="D25812" t="s">
        <v>77605</v>
      </c>
      <c r="F25812" t="s">
        <v>65174</v>
      </c>
      <c r="I25812" t="s">
        <v>29</v>
      </c>
      <c r="J25812" t="s">
        <v>30</v>
      </c>
      <c r="K25812" t="s">
        <v>65175</v>
      </c>
      <c r="M25812" t="s">
        <v>50621</v>
      </c>
      <c r="N25812" t="str">
        <f>"6/5/2025 11:52:00 AM"</f>
        <v>6/5/2025 11:52:00 AM</v>
      </c>
      <c r="O25812" t="s">
        <v>77605</v>
      </c>
    </row>
    <row r="25813" spans="1:20" x14ac:dyDescent="0.25">
      <c r="A25813" t="str">
        <f>"3039984"</f>
        <v>3039984</v>
      </c>
      <c r="B25813" t="s">
        <v>77608</v>
      </c>
      <c r="C25813" t="str">
        <f>"8303259"</f>
        <v>8303259</v>
      </c>
      <c r="D25813" t="s">
        <v>77609</v>
      </c>
      <c r="E25813" t="s">
        <v>77610</v>
      </c>
      <c r="F25813" t="s">
        <v>77611</v>
      </c>
      <c r="I25813" t="s">
        <v>29</v>
      </c>
      <c r="J25813" t="s">
        <v>30</v>
      </c>
      <c r="K25813" t="str">
        <f>"27028"</f>
        <v>27028</v>
      </c>
      <c r="M25813" t="s">
        <v>50621</v>
      </c>
      <c r="N25813" t="str">
        <f>"6/5/2025 11:55:00 AM"</f>
        <v>6/5/2025 11:55:00 AM</v>
      </c>
      <c r="O25813" t="s">
        <v>77609</v>
      </c>
      <c r="T25813" t="s">
        <v>77610</v>
      </c>
    </row>
    <row r="25814" spans="1:20" x14ac:dyDescent="0.25">
      <c r="A25814" t="str">
        <f>"3061959"</f>
        <v>3061959</v>
      </c>
      <c r="B25814" t="s">
        <v>77612</v>
      </c>
      <c r="C25814" t="str">
        <f>"8316349"</f>
        <v>8316349</v>
      </c>
      <c r="D25814" t="s">
        <v>77613</v>
      </c>
      <c r="E25814" t="s">
        <v>77614</v>
      </c>
      <c r="F25814" t="s">
        <v>77615</v>
      </c>
      <c r="I25814" t="s">
        <v>184</v>
      </c>
      <c r="J25814" t="s">
        <v>30</v>
      </c>
      <c r="K25814" t="s">
        <v>53546</v>
      </c>
      <c r="M25814" t="s">
        <v>50621</v>
      </c>
      <c r="N25814" t="str">
        <f>"6/6/2025 9:38:00 AM"</f>
        <v>6/6/2025 9:38:00 AM</v>
      </c>
      <c r="O25814" t="s">
        <v>77613</v>
      </c>
      <c r="T25814" t="s">
        <v>77614</v>
      </c>
    </row>
    <row r="25815" spans="1:20" x14ac:dyDescent="0.25">
      <c r="A25815" t="str">
        <f>"3043714"</f>
        <v>3043714</v>
      </c>
      <c r="B25815" t="s">
        <v>77616</v>
      </c>
      <c r="C25815" t="str">
        <f>"82527262"</f>
        <v>82527262</v>
      </c>
      <c r="D25815" t="s">
        <v>77617</v>
      </c>
      <c r="F25815" t="s">
        <v>77618</v>
      </c>
      <c r="I25815" t="s">
        <v>29</v>
      </c>
      <c r="J25815" t="s">
        <v>30</v>
      </c>
      <c r="K25815" t="s">
        <v>31</v>
      </c>
      <c r="M25815" t="s">
        <v>50621</v>
      </c>
      <c r="N25815" t="str">
        <f>"6/6/2025 9:40:00 AM"</f>
        <v>6/6/2025 9:40:00 AM</v>
      </c>
      <c r="O25815" t="s">
        <v>77617</v>
      </c>
    </row>
    <row r="25816" spans="1:20" x14ac:dyDescent="0.25">
      <c r="A25816" t="str">
        <f>"3061605"</f>
        <v>3061605</v>
      </c>
      <c r="B25816" t="s">
        <v>77619</v>
      </c>
      <c r="C25816" t="str">
        <f>"82523689"</f>
        <v>82523689</v>
      </c>
      <c r="D25816" t="s">
        <v>77620</v>
      </c>
      <c r="F25816" t="s">
        <v>77621</v>
      </c>
      <c r="G25816" t="s">
        <v>77622</v>
      </c>
      <c r="I25816" t="s">
        <v>29543</v>
      </c>
      <c r="J25816" t="s">
        <v>2738</v>
      </c>
      <c r="K25816" t="s">
        <v>77623</v>
      </c>
      <c r="M25816" t="s">
        <v>52111</v>
      </c>
      <c r="N25816" t="str">
        <f>"5/19/2025 9:54:00 AM"</f>
        <v>5/19/2025 9:54:00 AM</v>
      </c>
      <c r="O25816" t="s">
        <v>77620</v>
      </c>
    </row>
    <row r="25817" spans="1:20" x14ac:dyDescent="0.25">
      <c r="A25817" t="str">
        <f>"3045281"</f>
        <v>3045281</v>
      </c>
      <c r="B25817" t="s">
        <v>77624</v>
      </c>
      <c r="C25817" t="str">
        <f>"8307951"</f>
        <v>8307951</v>
      </c>
      <c r="D25817" t="s">
        <v>77625</v>
      </c>
      <c r="F25817" t="s">
        <v>77626</v>
      </c>
      <c r="I25817" t="s">
        <v>1149</v>
      </c>
      <c r="J25817" t="s">
        <v>30</v>
      </c>
      <c r="K25817" t="str">
        <f>"28634"</f>
        <v>28634</v>
      </c>
      <c r="M25817" t="s">
        <v>50621</v>
      </c>
      <c r="N25817" t="str">
        <f>"5/19/2025 10:02:00 AM"</f>
        <v>5/19/2025 10:02:00 AM</v>
      </c>
      <c r="O25817" t="s">
        <v>77625</v>
      </c>
    </row>
    <row r="25818" spans="1:20" x14ac:dyDescent="0.25">
      <c r="A25818" t="str">
        <f>"3050043"</f>
        <v>3050043</v>
      </c>
      <c r="B25818" t="s">
        <v>77627</v>
      </c>
      <c r="C25818" t="str">
        <f>"19289700"</f>
        <v>19289700</v>
      </c>
      <c r="D25818" t="s">
        <v>77628</v>
      </c>
      <c r="F25818" t="s">
        <v>77629</v>
      </c>
      <c r="I25818" t="s">
        <v>29</v>
      </c>
      <c r="J25818" t="s">
        <v>30</v>
      </c>
      <c r="K25818" t="s">
        <v>11078</v>
      </c>
      <c r="M25818" t="s">
        <v>50621</v>
      </c>
      <c r="N25818" t="str">
        <f>"5/19/2025 10:03:00 AM"</f>
        <v>5/19/2025 10:03:00 AM</v>
      </c>
      <c r="O25818" t="s">
        <v>77628</v>
      </c>
    </row>
    <row r="25819" spans="1:20" x14ac:dyDescent="0.25">
      <c r="A25819" t="str">
        <f>"3061127"</f>
        <v>3061127</v>
      </c>
      <c r="B25819" t="s">
        <v>77630</v>
      </c>
      <c r="C25819" t="str">
        <f>"33246750"</f>
        <v>33246750</v>
      </c>
      <c r="D25819" t="s">
        <v>77631</v>
      </c>
      <c r="E25819" t="s">
        <v>77632</v>
      </c>
      <c r="F25819" t="s">
        <v>40116</v>
      </c>
      <c r="I25819" t="s">
        <v>29</v>
      </c>
      <c r="J25819" t="s">
        <v>30</v>
      </c>
      <c r="K25819" t="s">
        <v>37928</v>
      </c>
      <c r="M25819" t="s">
        <v>50500</v>
      </c>
      <c r="N25819" t="str">
        <f>"5/19/2025 10:44:00 AM"</f>
        <v>5/19/2025 10:44:00 AM</v>
      </c>
      <c r="O25819" t="s">
        <v>77631</v>
      </c>
      <c r="T25819" t="s">
        <v>77632</v>
      </c>
    </row>
    <row r="25820" spans="1:20" x14ac:dyDescent="0.25">
      <c r="A25820" t="str">
        <f>"3052558"</f>
        <v>3052558</v>
      </c>
      <c r="B25820" t="s">
        <v>77633</v>
      </c>
      <c r="C25820" t="str">
        <f>"8320116"</f>
        <v>8320116</v>
      </c>
      <c r="D25820" t="s">
        <v>77634</v>
      </c>
      <c r="F25820" t="s">
        <v>68627</v>
      </c>
      <c r="I25820" t="s">
        <v>29</v>
      </c>
      <c r="J25820" t="s">
        <v>30</v>
      </c>
      <c r="K25820" t="s">
        <v>29062</v>
      </c>
      <c r="M25820" t="s">
        <v>50793</v>
      </c>
      <c r="N25820" t="str">
        <f>"6/9/2025 10:39:00 AM"</f>
        <v>6/9/2025 10:39:00 AM</v>
      </c>
      <c r="O25820" t="s">
        <v>77634</v>
      </c>
    </row>
    <row r="25821" spans="1:20" x14ac:dyDescent="0.25">
      <c r="A25821" t="str">
        <f>"3058970"</f>
        <v>3058970</v>
      </c>
      <c r="B25821" t="s">
        <v>77635</v>
      </c>
      <c r="C25821" t="str">
        <f>"8310309"</f>
        <v>8310309</v>
      </c>
      <c r="D25821" t="s">
        <v>77636</v>
      </c>
      <c r="E25821" t="s">
        <v>77637</v>
      </c>
      <c r="F25821" t="s">
        <v>77638</v>
      </c>
      <c r="G25821" t="s">
        <v>77639</v>
      </c>
      <c r="I25821" t="s">
        <v>37369</v>
      </c>
      <c r="J25821" t="s">
        <v>1046</v>
      </c>
      <c r="K25821" t="s">
        <v>77640</v>
      </c>
      <c r="M25821" t="s">
        <v>67210</v>
      </c>
      <c r="N25821" t="str">
        <f>"6/9/2025 10:47:00 AM"</f>
        <v>6/9/2025 10:47:00 AM</v>
      </c>
      <c r="O25821" t="s">
        <v>77636</v>
      </c>
      <c r="T25821" t="s">
        <v>77637</v>
      </c>
    </row>
    <row r="25822" spans="1:20" x14ac:dyDescent="0.25">
      <c r="A25822" t="str">
        <f>"3076121"</f>
        <v>3076121</v>
      </c>
      <c r="B25822" t="s">
        <v>77641</v>
      </c>
      <c r="C25822" t="str">
        <f>"8310309"</f>
        <v>8310309</v>
      </c>
      <c r="D25822" t="s">
        <v>77636</v>
      </c>
      <c r="E25822" t="s">
        <v>77637</v>
      </c>
      <c r="F25822" t="s">
        <v>77638</v>
      </c>
      <c r="G25822" t="s">
        <v>77639</v>
      </c>
      <c r="I25822" t="s">
        <v>37369</v>
      </c>
      <c r="J25822" t="s">
        <v>1046</v>
      </c>
      <c r="K25822" t="s">
        <v>77640</v>
      </c>
      <c r="M25822" t="s">
        <v>67210</v>
      </c>
      <c r="N25822" t="str">
        <f>"6/9/2025 10:47:00 AM"</f>
        <v>6/9/2025 10:47:00 AM</v>
      </c>
      <c r="O25822" t="s">
        <v>77636</v>
      </c>
      <c r="T25822" t="s">
        <v>77637</v>
      </c>
    </row>
    <row r="25823" spans="1:20" x14ac:dyDescent="0.25">
      <c r="A25823" t="str">
        <f>"3037403"</f>
        <v>3037403</v>
      </c>
      <c r="B25823" t="s">
        <v>77642</v>
      </c>
      <c r="C25823" t="str">
        <f>"8317553"</f>
        <v>8317553</v>
      </c>
      <c r="D25823" t="s">
        <v>77643</v>
      </c>
      <c r="F25823" t="s">
        <v>77644</v>
      </c>
      <c r="I25823" t="s">
        <v>184</v>
      </c>
      <c r="J25823" t="s">
        <v>30</v>
      </c>
      <c r="K25823" t="s">
        <v>18735</v>
      </c>
      <c r="M25823" t="s">
        <v>51351</v>
      </c>
      <c r="N25823" t="str">
        <f>"6/9/2025 12:06:00 PM"</f>
        <v>6/9/2025 12:06:00 PM</v>
      </c>
      <c r="O25823" t="s">
        <v>77643</v>
      </c>
    </row>
    <row r="25824" spans="1:20" x14ac:dyDescent="0.25">
      <c r="A25824" t="str">
        <f>"3059958"</f>
        <v>3059958</v>
      </c>
      <c r="B25824" t="s">
        <v>77645</v>
      </c>
      <c r="C25824" t="str">
        <f>"33246750"</f>
        <v>33246750</v>
      </c>
      <c r="D25824" t="s">
        <v>77631</v>
      </c>
      <c r="E25824" t="s">
        <v>77632</v>
      </c>
      <c r="F25824" t="s">
        <v>40116</v>
      </c>
      <c r="I25824" t="s">
        <v>29</v>
      </c>
      <c r="J25824" t="s">
        <v>30</v>
      </c>
      <c r="K25824" t="s">
        <v>37928</v>
      </c>
      <c r="M25824" t="s">
        <v>50500</v>
      </c>
      <c r="N25824" t="str">
        <f>"5/19/2025 10:44:00 AM"</f>
        <v>5/19/2025 10:44:00 AM</v>
      </c>
      <c r="O25824" t="s">
        <v>77631</v>
      </c>
      <c r="T25824" t="s">
        <v>77632</v>
      </c>
    </row>
    <row r="25825" spans="1:20" x14ac:dyDescent="0.25">
      <c r="A25825" t="str">
        <f>"3062066"</f>
        <v>3062066</v>
      </c>
      <c r="B25825" t="s">
        <v>77646</v>
      </c>
      <c r="C25825" t="str">
        <f>"8317564"</f>
        <v>8317564</v>
      </c>
      <c r="D25825" t="s">
        <v>77647</v>
      </c>
      <c r="E25825" t="s">
        <v>77648</v>
      </c>
      <c r="F25825" t="s">
        <v>51260</v>
      </c>
      <c r="I25825" t="s">
        <v>29</v>
      </c>
      <c r="J25825" t="s">
        <v>30</v>
      </c>
      <c r="K25825" t="s">
        <v>45871</v>
      </c>
      <c r="M25825" t="s">
        <v>50621</v>
      </c>
      <c r="N25825" t="str">
        <f>"5/20/2025 10:23:00 AM"</f>
        <v>5/20/2025 10:23:00 AM</v>
      </c>
      <c r="O25825" t="s">
        <v>77647</v>
      </c>
      <c r="T25825" t="s">
        <v>77648</v>
      </c>
    </row>
    <row r="25826" spans="1:20" x14ac:dyDescent="0.25">
      <c r="A25826" t="str">
        <f>"3052214"</f>
        <v>3052214</v>
      </c>
      <c r="B25826" t="s">
        <v>77649</v>
      </c>
      <c r="C25826" t="str">
        <f>"82517223"</f>
        <v>82517223</v>
      </c>
      <c r="D25826" t="s">
        <v>77650</v>
      </c>
      <c r="F25826" t="s">
        <v>77651</v>
      </c>
      <c r="I25826" t="s">
        <v>29</v>
      </c>
      <c r="J25826" t="s">
        <v>30</v>
      </c>
      <c r="K25826" t="s">
        <v>32101</v>
      </c>
      <c r="M25826" t="s">
        <v>51351</v>
      </c>
      <c r="N25826" t="str">
        <f>"6/13/2025 2:13:00 PM"</f>
        <v>6/13/2025 2:13:00 PM</v>
      </c>
      <c r="O25826" t="s">
        <v>77650</v>
      </c>
    </row>
    <row r="25827" spans="1:20" x14ac:dyDescent="0.25">
      <c r="A25827" t="str">
        <f>"3050306"</f>
        <v>3050306</v>
      </c>
      <c r="B25827" t="s">
        <v>77652</v>
      </c>
      <c r="C25827" t="str">
        <f>"8316808"</f>
        <v>8316808</v>
      </c>
      <c r="D25827" t="s">
        <v>77653</v>
      </c>
      <c r="E25827" t="s">
        <v>77654</v>
      </c>
      <c r="F25827" t="s">
        <v>77655</v>
      </c>
      <c r="I25827" t="s">
        <v>29</v>
      </c>
      <c r="J25827" t="s">
        <v>30</v>
      </c>
      <c r="K25827" t="s">
        <v>25014</v>
      </c>
      <c r="M25827" t="s">
        <v>52111</v>
      </c>
      <c r="N25827" t="str">
        <f>"6/16/2025 9:44:00 AM"</f>
        <v>6/16/2025 9:44:00 AM</v>
      </c>
      <c r="O25827" t="s">
        <v>77653</v>
      </c>
      <c r="T25827" t="s">
        <v>77654</v>
      </c>
    </row>
    <row r="25828" spans="1:20" x14ac:dyDescent="0.25">
      <c r="A25828" t="str">
        <f>"3050189"</f>
        <v>3050189</v>
      </c>
      <c r="B25828" t="s">
        <v>77656</v>
      </c>
      <c r="C25828" t="str">
        <f>"8316927"</f>
        <v>8316927</v>
      </c>
      <c r="D25828" t="s">
        <v>77657</v>
      </c>
      <c r="F25828" t="s">
        <v>77658</v>
      </c>
      <c r="I25828" t="s">
        <v>29</v>
      </c>
      <c r="J25828" t="s">
        <v>30</v>
      </c>
      <c r="K25828" t="s">
        <v>48555</v>
      </c>
      <c r="M25828" t="s">
        <v>50793</v>
      </c>
      <c r="N25828" t="str">
        <f>"6/16/2025 10:55:00 AM"</f>
        <v>6/16/2025 10:55:00 AM</v>
      </c>
      <c r="O25828" t="s">
        <v>77657</v>
      </c>
    </row>
    <row r="25829" spans="1:20" x14ac:dyDescent="0.25">
      <c r="A25829" t="str">
        <f>"3041768"</f>
        <v>3041768</v>
      </c>
      <c r="B25829" t="s">
        <v>77659</v>
      </c>
      <c r="C25829" t="str">
        <f>"82527766"</f>
        <v>82527766</v>
      </c>
      <c r="D25829" t="s">
        <v>77660</v>
      </c>
      <c r="E25829" t="s">
        <v>77661</v>
      </c>
      <c r="F25829" t="s">
        <v>77662</v>
      </c>
      <c r="I25829" t="s">
        <v>25312</v>
      </c>
      <c r="J25829" t="s">
        <v>4132</v>
      </c>
      <c r="K25829" t="s">
        <v>77663</v>
      </c>
      <c r="M25829" t="s">
        <v>25733</v>
      </c>
      <c r="N25829" t="str">
        <f>"6/16/2025 3:40:00 PM"</f>
        <v>6/16/2025 3:40:00 PM</v>
      </c>
      <c r="O25829" t="s">
        <v>77660</v>
      </c>
      <c r="T25829" t="s">
        <v>77661</v>
      </c>
    </row>
    <row r="25830" spans="1:20" x14ac:dyDescent="0.25">
      <c r="A25830" t="str">
        <f>"3043358"</f>
        <v>3043358</v>
      </c>
      <c r="B25830" t="s">
        <v>77664</v>
      </c>
      <c r="C25830" t="str">
        <f>"8303044"</f>
        <v>8303044</v>
      </c>
      <c r="D25830" t="s">
        <v>77665</v>
      </c>
      <c r="F25830" t="s">
        <v>77666</v>
      </c>
      <c r="G25830" t="s">
        <v>77667</v>
      </c>
      <c r="I25830" t="s">
        <v>471</v>
      </c>
      <c r="J25830" t="s">
        <v>30</v>
      </c>
      <c r="K25830" t="str">
        <f>"27127"</f>
        <v>27127</v>
      </c>
      <c r="M25830" t="s">
        <v>50793</v>
      </c>
      <c r="N25830" t="str">
        <f>"6/17/2025 11:34:00 AM"</f>
        <v>6/17/2025 11:34:00 AM</v>
      </c>
      <c r="O25830" t="s">
        <v>77665</v>
      </c>
    </row>
    <row r="25831" spans="1:20" x14ac:dyDescent="0.25">
      <c r="A25831" t="str">
        <f>"3050851"</f>
        <v>3050851</v>
      </c>
      <c r="B25831" t="s">
        <v>77668</v>
      </c>
      <c r="C25831" t="str">
        <f>"8320444"</f>
        <v>8320444</v>
      </c>
      <c r="D25831" t="s">
        <v>77669</v>
      </c>
      <c r="F25831" t="s">
        <v>77670</v>
      </c>
      <c r="I25831" t="s">
        <v>29</v>
      </c>
      <c r="J25831" t="s">
        <v>30</v>
      </c>
      <c r="K25831" t="str">
        <f>"27028"</f>
        <v>27028</v>
      </c>
      <c r="M25831" t="s">
        <v>18479</v>
      </c>
      <c r="N25831" t="str">
        <f>"6/19/2025 12:25:00 AM"</f>
        <v>6/19/2025 12:25:00 AM</v>
      </c>
      <c r="O25831" t="s">
        <v>77669</v>
      </c>
    </row>
    <row r="25832" spans="1:20" x14ac:dyDescent="0.25">
      <c r="A25832" t="str">
        <f>"3077025"</f>
        <v>3077025</v>
      </c>
      <c r="B25832" t="s">
        <v>77671</v>
      </c>
      <c r="C25832" t="str">
        <f>"8324544"</f>
        <v>8324544</v>
      </c>
      <c r="D25832" t="s">
        <v>77672</v>
      </c>
      <c r="F25832" t="s">
        <v>77673</v>
      </c>
      <c r="I25832" t="s">
        <v>29</v>
      </c>
      <c r="J25832" t="s">
        <v>30</v>
      </c>
      <c r="K25832" t="s">
        <v>27190</v>
      </c>
      <c r="M25832" t="s">
        <v>50500</v>
      </c>
      <c r="N25832" t="str">
        <f>"6/19/2025 8:29:00 AM"</f>
        <v>6/19/2025 8:29:00 AM</v>
      </c>
      <c r="O25832" t="s">
        <v>77672</v>
      </c>
    </row>
    <row r="25833" spans="1:20" x14ac:dyDescent="0.25">
      <c r="A25833" t="str">
        <f>"3077026"</f>
        <v>3077026</v>
      </c>
      <c r="B25833" t="s">
        <v>77674</v>
      </c>
      <c r="C25833" t="str">
        <f>"8324544"</f>
        <v>8324544</v>
      </c>
      <c r="D25833" t="s">
        <v>77672</v>
      </c>
      <c r="F25833" t="s">
        <v>77673</v>
      </c>
      <c r="I25833" t="s">
        <v>29</v>
      </c>
      <c r="J25833" t="s">
        <v>30</v>
      </c>
      <c r="K25833" t="s">
        <v>27190</v>
      </c>
      <c r="M25833" t="s">
        <v>50500</v>
      </c>
      <c r="N25833" t="str">
        <f>"6/19/2025 8:29:00 AM"</f>
        <v>6/19/2025 8:29:00 AM</v>
      </c>
      <c r="O25833" t="s">
        <v>77672</v>
      </c>
    </row>
    <row r="25834" spans="1:20" x14ac:dyDescent="0.25">
      <c r="A25834" t="str">
        <f>"3050601"</f>
        <v>3050601</v>
      </c>
      <c r="B25834" t="s">
        <v>77675</v>
      </c>
      <c r="C25834" t="str">
        <f>"82529906"</f>
        <v>82529906</v>
      </c>
      <c r="D25834" t="s">
        <v>77676</v>
      </c>
      <c r="F25834" t="s">
        <v>77677</v>
      </c>
      <c r="I25834" t="s">
        <v>77678</v>
      </c>
      <c r="J25834" t="s">
        <v>1543</v>
      </c>
      <c r="K25834" t="s">
        <v>77679</v>
      </c>
      <c r="M25834" t="s">
        <v>50621</v>
      </c>
      <c r="N25834" t="str">
        <f>"5/20/2025 10:44:00 AM"</f>
        <v>5/20/2025 10:44:00 AM</v>
      </c>
      <c r="O25834" t="s">
        <v>77676</v>
      </c>
    </row>
    <row r="25835" spans="1:20" x14ac:dyDescent="0.25">
      <c r="A25835" t="str">
        <f>"3037988"</f>
        <v>3037988</v>
      </c>
      <c r="B25835" t="s">
        <v>77680</v>
      </c>
      <c r="C25835" t="str">
        <f>"8310734"</f>
        <v>8310734</v>
      </c>
      <c r="D25835" t="s">
        <v>77681</v>
      </c>
      <c r="E25835" t="str">
        <f>"WARNER JOHN J/MEGAN PERRY"</f>
        <v>WARNER JOHN J/MEGAN PERRY</v>
      </c>
      <c r="F25835" t="s">
        <v>54777</v>
      </c>
      <c r="I25835" t="s">
        <v>29</v>
      </c>
      <c r="J25835" t="s">
        <v>30</v>
      </c>
      <c r="K25835" t="s">
        <v>28608</v>
      </c>
      <c r="M25835" t="s">
        <v>50621</v>
      </c>
      <c r="N25835" t="str">
        <f>"5/23/2025 9:54:00 AM"</f>
        <v>5/23/2025 9:54:00 AM</v>
      </c>
      <c r="O25835" t="s">
        <v>77681</v>
      </c>
      <c r="T25835" t="str">
        <f>"WARNER JOHN J/MEGAN PERRY"</f>
        <v>WARNER JOHN J/MEGAN PERRY</v>
      </c>
    </row>
    <row r="25836" spans="1:20" x14ac:dyDescent="0.25">
      <c r="A25836" t="str">
        <f>"3055826"</f>
        <v>3055826</v>
      </c>
      <c r="B25836" t="s">
        <v>77682</v>
      </c>
      <c r="C25836" t="str">
        <f>"82526105"</f>
        <v>82526105</v>
      </c>
      <c r="D25836" t="s">
        <v>77683</v>
      </c>
      <c r="E25836" t="s">
        <v>77684</v>
      </c>
      <c r="F25836" t="s">
        <v>77685</v>
      </c>
      <c r="G25836" t="s">
        <v>77686</v>
      </c>
      <c r="I25836" t="s">
        <v>9580</v>
      </c>
      <c r="J25836" t="s">
        <v>30</v>
      </c>
      <c r="K25836" t="s">
        <v>9581</v>
      </c>
      <c r="M25836" t="s">
        <v>50793</v>
      </c>
      <c r="N25836" t="str">
        <f>"6/19/2025 9:31:00 AM"</f>
        <v>6/19/2025 9:31:00 AM</v>
      </c>
      <c r="O25836" t="s">
        <v>77683</v>
      </c>
      <c r="T25836" t="s">
        <v>77684</v>
      </c>
    </row>
    <row r="25837" spans="1:20" x14ac:dyDescent="0.25">
      <c r="A25837" t="str">
        <f>"3062518"</f>
        <v>3062518</v>
      </c>
      <c r="B25837" t="s">
        <v>77687</v>
      </c>
      <c r="C25837" t="str">
        <f>"8315330"</f>
        <v>8315330</v>
      </c>
      <c r="D25837" t="s">
        <v>77688</v>
      </c>
      <c r="F25837" t="s">
        <v>77689</v>
      </c>
      <c r="I25837" t="s">
        <v>184</v>
      </c>
      <c r="J25837" t="s">
        <v>30</v>
      </c>
      <c r="K25837" t="s">
        <v>43385</v>
      </c>
      <c r="M25837" t="s">
        <v>50793</v>
      </c>
      <c r="N25837" t="str">
        <f>"6/19/2025 9:34:00 AM"</f>
        <v>6/19/2025 9:34:00 AM</v>
      </c>
      <c r="O25837" t="s">
        <v>77688</v>
      </c>
    </row>
    <row r="25838" spans="1:20" x14ac:dyDescent="0.25">
      <c r="A25838" t="str">
        <f>"3042946"</f>
        <v>3042946</v>
      </c>
      <c r="B25838" t="s">
        <v>77690</v>
      </c>
      <c r="C25838" t="str">
        <f>"8316159"</f>
        <v>8316159</v>
      </c>
      <c r="D25838" t="s">
        <v>77691</v>
      </c>
      <c r="F25838" t="s">
        <v>77692</v>
      </c>
      <c r="I25838" t="s">
        <v>29</v>
      </c>
      <c r="J25838" t="s">
        <v>30</v>
      </c>
      <c r="K25838" t="s">
        <v>69616</v>
      </c>
      <c r="M25838" t="s">
        <v>50793</v>
      </c>
      <c r="N25838" t="str">
        <f>"6/19/2025 9:38:00 AM"</f>
        <v>6/19/2025 9:38:00 AM</v>
      </c>
      <c r="O25838" t="s">
        <v>77691</v>
      </c>
    </row>
    <row r="25839" spans="1:20" x14ac:dyDescent="0.25">
      <c r="A25839" t="str">
        <f>"3042097"</f>
        <v>3042097</v>
      </c>
      <c r="B25839" t="s">
        <v>77693</v>
      </c>
      <c r="C25839" t="str">
        <f>"8316159"</f>
        <v>8316159</v>
      </c>
      <c r="D25839" t="s">
        <v>77691</v>
      </c>
      <c r="F25839" t="s">
        <v>77692</v>
      </c>
      <c r="I25839" t="s">
        <v>29</v>
      </c>
      <c r="J25839" t="s">
        <v>30</v>
      </c>
      <c r="K25839" t="s">
        <v>69616</v>
      </c>
      <c r="M25839" t="s">
        <v>50793</v>
      </c>
      <c r="N25839" t="str">
        <f>"6/19/2025 9:38:00 AM"</f>
        <v>6/19/2025 9:38:00 AM</v>
      </c>
      <c r="O25839" t="s">
        <v>77691</v>
      </c>
    </row>
    <row r="25840" spans="1:20" x14ac:dyDescent="0.25">
      <c r="A25840" t="str">
        <f>"3045740"</f>
        <v>3045740</v>
      </c>
      <c r="B25840" t="s">
        <v>77694</v>
      </c>
      <c r="C25840" t="str">
        <f>"8322677"</f>
        <v>8322677</v>
      </c>
      <c r="D25840" t="s">
        <v>77695</v>
      </c>
      <c r="F25840" t="s">
        <v>77670</v>
      </c>
      <c r="I25840" t="s">
        <v>29</v>
      </c>
      <c r="J25840" t="s">
        <v>30</v>
      </c>
      <c r="K25840" t="str">
        <f>"27028"</f>
        <v>27028</v>
      </c>
      <c r="M25840" t="s">
        <v>18479</v>
      </c>
      <c r="N25840" t="str">
        <f>"6/19/2025 3:33:00 PM"</f>
        <v>6/19/2025 3:33:00 PM</v>
      </c>
      <c r="O25840" t="s">
        <v>77695</v>
      </c>
    </row>
    <row r="25841" spans="1:20" x14ac:dyDescent="0.25">
      <c r="A25841" t="str">
        <f>"3050168"</f>
        <v>3050168</v>
      </c>
      <c r="B25841" t="s">
        <v>77696</v>
      </c>
      <c r="C25841" t="str">
        <f>"8316790"</f>
        <v>8316790</v>
      </c>
      <c r="D25841" t="s">
        <v>77697</v>
      </c>
      <c r="E25841" t="s">
        <v>77698</v>
      </c>
      <c r="F25841" t="s">
        <v>77699</v>
      </c>
      <c r="I25841" t="s">
        <v>964</v>
      </c>
      <c r="J25841" t="s">
        <v>30</v>
      </c>
      <c r="K25841" t="s">
        <v>77700</v>
      </c>
      <c r="M25841" t="s">
        <v>50621</v>
      </c>
      <c r="N25841" t="str">
        <f>"5/27/2025 10:46:00 AM"</f>
        <v>5/27/2025 10:46:00 AM</v>
      </c>
      <c r="O25841" t="s">
        <v>77697</v>
      </c>
      <c r="T25841" t="s">
        <v>77698</v>
      </c>
    </row>
    <row r="25842" spans="1:20" x14ac:dyDescent="0.25">
      <c r="A25842" t="str">
        <f>"3041168"</f>
        <v>3041168</v>
      </c>
      <c r="B25842" t="s">
        <v>77701</v>
      </c>
      <c r="C25842" t="str">
        <f>"82529798"</f>
        <v>82529798</v>
      </c>
      <c r="D25842" t="s">
        <v>77702</v>
      </c>
      <c r="E25842" t="str">
        <f>"C/O RYAN LLC"</f>
        <v>C/O RYAN LLC</v>
      </c>
      <c r="F25842" t="s">
        <v>77703</v>
      </c>
      <c r="I25842" t="s">
        <v>75340</v>
      </c>
      <c r="J25842" t="s">
        <v>17511</v>
      </c>
      <c r="K25842" t="s">
        <v>77704</v>
      </c>
      <c r="M25842" t="s">
        <v>18479</v>
      </c>
      <c r="N25842" t="str">
        <f>"6/20/2025 10:39:00 AM"</f>
        <v>6/20/2025 10:39:00 AM</v>
      </c>
      <c r="O25842" t="s">
        <v>77702</v>
      </c>
      <c r="T25842" t="str">
        <f>"C/O RYAN LLC"</f>
        <v>C/O RYAN LLC</v>
      </c>
    </row>
    <row r="25843" spans="1:20" x14ac:dyDescent="0.25">
      <c r="A25843" t="str">
        <f>"3062754"</f>
        <v>3062754</v>
      </c>
      <c r="B25843" t="s">
        <v>77705</v>
      </c>
      <c r="C25843" t="str">
        <f>"8322953"</f>
        <v>8322953</v>
      </c>
      <c r="D25843" t="s">
        <v>77706</v>
      </c>
      <c r="E25843" t="s">
        <v>77707</v>
      </c>
      <c r="F25843" t="s">
        <v>77708</v>
      </c>
      <c r="I25843" t="s">
        <v>184</v>
      </c>
      <c r="J25843" t="s">
        <v>30</v>
      </c>
      <c r="K25843" t="s">
        <v>77709</v>
      </c>
      <c r="M25843" t="s">
        <v>18479</v>
      </c>
      <c r="N25843" t="str">
        <f>"6/22/2025 3:55:00 PM"</f>
        <v>6/22/2025 3:55:00 PM</v>
      </c>
      <c r="O25843" t="s">
        <v>77706</v>
      </c>
      <c r="T25843" t="s">
        <v>77707</v>
      </c>
    </row>
    <row r="25844" spans="1:20" x14ac:dyDescent="0.25">
      <c r="A25844" t="str">
        <f>"3056947"</f>
        <v>3056947</v>
      </c>
      <c r="B25844" t="s">
        <v>77710</v>
      </c>
      <c r="C25844" t="str">
        <f>"8314285"</f>
        <v>8314285</v>
      </c>
      <c r="D25844" t="s">
        <v>77711</v>
      </c>
      <c r="E25844" t="s">
        <v>77712</v>
      </c>
      <c r="F25844" t="s">
        <v>77713</v>
      </c>
      <c r="I25844" t="s">
        <v>29</v>
      </c>
      <c r="J25844" t="s">
        <v>30</v>
      </c>
      <c r="K25844" t="s">
        <v>11032</v>
      </c>
      <c r="M25844" t="s">
        <v>50621</v>
      </c>
      <c r="N25844" t="str">
        <f>"5/27/2025 10:48:00 AM"</f>
        <v>5/27/2025 10:48:00 AM</v>
      </c>
      <c r="O25844" t="s">
        <v>77711</v>
      </c>
      <c r="T25844" t="s">
        <v>77712</v>
      </c>
    </row>
    <row r="25845" spans="1:20" x14ac:dyDescent="0.25">
      <c r="A25845" t="str">
        <f>"3042602"</f>
        <v>3042602</v>
      </c>
      <c r="B25845" t="s">
        <v>77714</v>
      </c>
      <c r="C25845" t="str">
        <f>"8300476"</f>
        <v>8300476</v>
      </c>
      <c r="D25845" t="s">
        <v>77715</v>
      </c>
      <c r="E25845" t="s">
        <v>77716</v>
      </c>
      <c r="F25845" t="s">
        <v>77717</v>
      </c>
      <c r="I25845" t="s">
        <v>184</v>
      </c>
      <c r="J25845" t="s">
        <v>30</v>
      </c>
      <c r="K25845" t="str">
        <f>"27006"</f>
        <v>27006</v>
      </c>
      <c r="M25845" t="s">
        <v>50621</v>
      </c>
      <c r="N25845" t="str">
        <f>"5/27/2025 10:49:00 AM"</f>
        <v>5/27/2025 10:49:00 AM</v>
      </c>
      <c r="O25845" t="s">
        <v>77715</v>
      </c>
      <c r="T25845" t="s">
        <v>77716</v>
      </c>
    </row>
    <row r="25846" spans="1:20" x14ac:dyDescent="0.25">
      <c r="A25846" t="str">
        <f>"3057003"</f>
        <v>3057003</v>
      </c>
      <c r="B25846" t="s">
        <v>77718</v>
      </c>
      <c r="C25846" t="str">
        <f>"8319408"</f>
        <v>8319408</v>
      </c>
      <c r="D25846" t="s">
        <v>77719</v>
      </c>
      <c r="F25846" t="s">
        <v>77720</v>
      </c>
      <c r="I25846" t="s">
        <v>14378</v>
      </c>
      <c r="J25846" t="s">
        <v>30</v>
      </c>
      <c r="K25846" t="s">
        <v>77721</v>
      </c>
      <c r="M25846" t="s">
        <v>50793</v>
      </c>
      <c r="N25846" t="str">
        <f>"5/28/2025 10:03:00 AM"</f>
        <v>5/28/2025 10:03:00 AM</v>
      </c>
      <c r="O25846" t="s">
        <v>77719</v>
      </c>
    </row>
    <row r="25847" spans="1:20" x14ac:dyDescent="0.25">
      <c r="A25847" t="str">
        <f>"3077596"</f>
        <v>3077596</v>
      </c>
      <c r="B25847" t="s">
        <v>77722</v>
      </c>
      <c r="C25847" t="str">
        <f>"8324575"</f>
        <v>8324575</v>
      </c>
      <c r="D25847" t="s">
        <v>25339</v>
      </c>
      <c r="F25847" t="s">
        <v>77723</v>
      </c>
      <c r="I25847" t="s">
        <v>49</v>
      </c>
      <c r="J25847" t="s">
        <v>30</v>
      </c>
      <c r="K25847" t="s">
        <v>19010</v>
      </c>
      <c r="M25847" t="s">
        <v>50500</v>
      </c>
      <c r="N25847" t="str">
        <f>"6/24/2025 11:37:00 AM"</f>
        <v>6/24/2025 11:37:00 AM</v>
      </c>
      <c r="O25847" t="s">
        <v>25339</v>
      </c>
    </row>
    <row r="25848" spans="1:20" x14ac:dyDescent="0.25">
      <c r="A25848" t="str">
        <f>"3066225"</f>
        <v>3066225</v>
      </c>
      <c r="B25848" t="s">
        <v>77724</v>
      </c>
      <c r="C25848" t="str">
        <f>"8322352"</f>
        <v>8322352</v>
      </c>
      <c r="D25848" t="s">
        <v>77725</v>
      </c>
      <c r="F25848" t="s">
        <v>77726</v>
      </c>
      <c r="I25848" t="s">
        <v>29</v>
      </c>
      <c r="J25848" t="s">
        <v>30</v>
      </c>
      <c r="K25848" t="s">
        <v>72145</v>
      </c>
      <c r="M25848" t="s">
        <v>25733</v>
      </c>
      <c r="N25848" t="str">
        <f>"6/24/2025 2:06:00 PM"</f>
        <v>6/24/2025 2:06:00 PM</v>
      </c>
      <c r="O25848" t="s">
        <v>77725</v>
      </c>
    </row>
    <row r="25849" spans="1:20" x14ac:dyDescent="0.25">
      <c r="A25849" t="str">
        <f>"3077790"</f>
        <v>3077790</v>
      </c>
      <c r="B25849" t="s">
        <v>77727</v>
      </c>
      <c r="C25849" t="str">
        <f>"8324582"</f>
        <v>8324582</v>
      </c>
      <c r="D25849" t="s">
        <v>77728</v>
      </c>
      <c r="F25849" t="s">
        <v>77729</v>
      </c>
      <c r="I25849" t="s">
        <v>29</v>
      </c>
      <c r="J25849" t="s">
        <v>30</v>
      </c>
      <c r="K25849" t="s">
        <v>77730</v>
      </c>
      <c r="M25849" t="s">
        <v>50621</v>
      </c>
      <c r="N25849" t="str">
        <f>"6/25/2025 9:08:00 AM"</f>
        <v>6/25/2025 9:08:00 AM</v>
      </c>
      <c r="O25849" t="s">
        <v>77728</v>
      </c>
    </row>
    <row r="25850" spans="1:20" x14ac:dyDescent="0.25">
      <c r="A25850" t="str">
        <f>"3077787"</f>
        <v>3077787</v>
      </c>
      <c r="B25850" t="s">
        <v>77731</v>
      </c>
      <c r="C25850" t="str">
        <f>"8324582"</f>
        <v>8324582</v>
      </c>
      <c r="D25850" t="s">
        <v>77728</v>
      </c>
      <c r="F25850" t="s">
        <v>77729</v>
      </c>
      <c r="I25850" t="s">
        <v>29</v>
      </c>
      <c r="J25850" t="s">
        <v>30</v>
      </c>
      <c r="K25850" t="s">
        <v>77730</v>
      </c>
      <c r="M25850" t="s">
        <v>50621</v>
      </c>
      <c r="N25850" t="str">
        <f>"6/25/2025 9:08:00 AM"</f>
        <v>6/25/2025 9:08:00 AM</v>
      </c>
      <c r="O25850" t="s">
        <v>77728</v>
      </c>
    </row>
    <row r="25851" spans="1:20" x14ac:dyDescent="0.25">
      <c r="A25851" t="str">
        <f>"3077788"</f>
        <v>3077788</v>
      </c>
      <c r="B25851" t="s">
        <v>77732</v>
      </c>
      <c r="C25851" t="str">
        <f>"8324582"</f>
        <v>8324582</v>
      </c>
      <c r="D25851" t="s">
        <v>77728</v>
      </c>
      <c r="F25851" t="s">
        <v>77729</v>
      </c>
      <c r="I25851" t="s">
        <v>29</v>
      </c>
      <c r="J25851" t="s">
        <v>30</v>
      </c>
      <c r="K25851" t="s">
        <v>77730</v>
      </c>
      <c r="M25851" t="s">
        <v>50621</v>
      </c>
      <c r="N25851" t="str">
        <f>"6/25/2025 9:08:00 AM"</f>
        <v>6/25/2025 9:08:00 AM</v>
      </c>
      <c r="O25851" t="s">
        <v>77728</v>
      </c>
    </row>
    <row r="25852" spans="1:20" x14ac:dyDescent="0.25">
      <c r="A25852" t="str">
        <f>"3077784"</f>
        <v>3077784</v>
      </c>
      <c r="B25852" t="s">
        <v>77733</v>
      </c>
      <c r="C25852" t="str">
        <f>"8324582"</f>
        <v>8324582</v>
      </c>
      <c r="D25852" t="s">
        <v>77728</v>
      </c>
      <c r="F25852" t="s">
        <v>77729</v>
      </c>
      <c r="I25852" t="s">
        <v>29</v>
      </c>
      <c r="J25852" t="s">
        <v>30</v>
      </c>
      <c r="K25852" t="s">
        <v>77730</v>
      </c>
      <c r="M25852" t="s">
        <v>50621</v>
      </c>
      <c r="N25852" t="str">
        <f>"6/25/2025 9:08:00 AM"</f>
        <v>6/25/2025 9:08:00 AM</v>
      </c>
      <c r="O25852" t="s">
        <v>77728</v>
      </c>
    </row>
    <row r="25853" spans="1:20" x14ac:dyDescent="0.25">
      <c r="A25853" t="str">
        <f>"3055195"</f>
        <v>3055195</v>
      </c>
      <c r="B25853" t="s">
        <v>77734</v>
      </c>
      <c r="C25853" t="str">
        <f>"8304654"</f>
        <v>8304654</v>
      </c>
      <c r="D25853" t="s">
        <v>77735</v>
      </c>
      <c r="E25853" t="s">
        <v>77736</v>
      </c>
      <c r="F25853" t="s">
        <v>63100</v>
      </c>
      <c r="I25853" t="s">
        <v>29</v>
      </c>
      <c r="J25853" t="s">
        <v>30</v>
      </c>
      <c r="K25853" t="str">
        <f>"27028"</f>
        <v>27028</v>
      </c>
      <c r="M25853" t="s">
        <v>50621</v>
      </c>
      <c r="N25853" t="str">
        <f>"6/25/2025 9:56:00 AM"</f>
        <v>6/25/2025 9:56:00 AM</v>
      </c>
      <c r="O25853" t="s">
        <v>77735</v>
      </c>
      <c r="T25853" t="s">
        <v>77736</v>
      </c>
    </row>
    <row r="25854" spans="1:20" x14ac:dyDescent="0.25">
      <c r="A25854" t="str">
        <f>"3054837"</f>
        <v>3054837</v>
      </c>
      <c r="B25854" t="s">
        <v>77737</v>
      </c>
      <c r="C25854" t="str">
        <f>"8304654"</f>
        <v>8304654</v>
      </c>
      <c r="D25854" t="s">
        <v>77735</v>
      </c>
      <c r="E25854" t="s">
        <v>77736</v>
      </c>
      <c r="F25854" t="s">
        <v>63100</v>
      </c>
      <c r="I25854" t="s">
        <v>29</v>
      </c>
      <c r="J25854" t="s">
        <v>30</v>
      </c>
      <c r="K25854" t="str">
        <f>"27028"</f>
        <v>27028</v>
      </c>
      <c r="M25854" t="s">
        <v>50621</v>
      </c>
      <c r="N25854" t="str">
        <f>"6/25/2025 9:56:00 AM"</f>
        <v>6/25/2025 9:56:00 AM</v>
      </c>
      <c r="O25854" t="s">
        <v>77735</v>
      </c>
      <c r="T25854" t="s">
        <v>77736</v>
      </c>
    </row>
    <row r="25855" spans="1:20" x14ac:dyDescent="0.25">
      <c r="A25855" t="str">
        <f>"3057198"</f>
        <v>3057198</v>
      </c>
      <c r="B25855" t="s">
        <v>77738</v>
      </c>
      <c r="C25855" t="str">
        <f>"8307749"</f>
        <v>8307749</v>
      </c>
      <c r="D25855" t="s">
        <v>77739</v>
      </c>
      <c r="F25855" t="s">
        <v>53436</v>
      </c>
      <c r="I25855" t="s">
        <v>402</v>
      </c>
      <c r="J25855" t="s">
        <v>30</v>
      </c>
      <c r="K25855" t="str">
        <f>"27012"</f>
        <v>27012</v>
      </c>
      <c r="M25855" t="s">
        <v>50621</v>
      </c>
      <c r="N25855" t="str">
        <f>"6/25/2025 3:44:00 PM"</f>
        <v>6/25/2025 3:44:00 PM</v>
      </c>
      <c r="O25855" t="s">
        <v>77739</v>
      </c>
    </row>
    <row r="25856" spans="1:20" x14ac:dyDescent="0.25">
      <c r="A25856" t="str">
        <f>"3054119"</f>
        <v>3054119</v>
      </c>
      <c r="B25856" t="s">
        <v>77740</v>
      </c>
      <c r="C25856" t="str">
        <f>"29987120"</f>
        <v>29987120</v>
      </c>
      <c r="D25856" t="s">
        <v>77474</v>
      </c>
      <c r="E25856" t="s">
        <v>77475</v>
      </c>
      <c r="F25856" t="s">
        <v>77476</v>
      </c>
      <c r="G25856" t="s">
        <v>77405</v>
      </c>
      <c r="I25856" t="s">
        <v>19211</v>
      </c>
      <c r="J25856" t="s">
        <v>30</v>
      </c>
      <c r="K25856" t="s">
        <v>77477</v>
      </c>
      <c r="M25856" t="s">
        <v>25733</v>
      </c>
      <c r="N25856" t="str">
        <f>"5/28/2025 1:49:00 PM"</f>
        <v>5/28/2025 1:49:00 PM</v>
      </c>
      <c r="O25856" t="s">
        <v>77474</v>
      </c>
      <c r="T25856" t="s">
        <v>77475</v>
      </c>
    </row>
    <row r="25857" spans="1:20" x14ac:dyDescent="0.25">
      <c r="A25857" t="str">
        <f>"3057202"</f>
        <v>3057202</v>
      </c>
      <c r="B25857" t="s">
        <v>77741</v>
      </c>
      <c r="C25857" t="str">
        <f>"8320955"</f>
        <v>8320955</v>
      </c>
      <c r="D25857" t="s">
        <v>77482</v>
      </c>
      <c r="F25857" t="s">
        <v>77483</v>
      </c>
      <c r="I25857" t="s">
        <v>3196</v>
      </c>
      <c r="J25857" t="s">
        <v>30</v>
      </c>
      <c r="K25857" t="s">
        <v>77484</v>
      </c>
      <c r="M25857" t="s">
        <v>50621</v>
      </c>
      <c r="N25857" t="str">
        <f>"5/29/2025 9:33:00 AM"</f>
        <v>5/29/2025 9:33:00 AM</v>
      </c>
      <c r="O25857" t="s">
        <v>77482</v>
      </c>
    </row>
    <row r="25858" spans="1:20" x14ac:dyDescent="0.25">
      <c r="A25858" t="str">
        <f>"3046873"</f>
        <v>3046873</v>
      </c>
      <c r="B25858" t="s">
        <v>77742</v>
      </c>
      <c r="C25858" t="str">
        <f>"8309860"</f>
        <v>8309860</v>
      </c>
      <c r="D25858" t="s">
        <v>77743</v>
      </c>
      <c r="F25858" t="s">
        <v>69470</v>
      </c>
      <c r="I25858" t="s">
        <v>7917</v>
      </c>
      <c r="J25858" t="s">
        <v>30</v>
      </c>
      <c r="K25858" t="s">
        <v>69471</v>
      </c>
      <c r="M25858" t="s">
        <v>50793</v>
      </c>
      <c r="N25858" t="str">
        <f>"5/15/2025 2:34:00 PM"</f>
        <v>5/15/2025 2:34:00 PM</v>
      </c>
      <c r="O25858" t="s">
        <v>77743</v>
      </c>
    </row>
    <row r="25859" spans="1:20" x14ac:dyDescent="0.25">
      <c r="A25859" t="str">
        <f>"3042584"</f>
        <v>3042584</v>
      </c>
      <c r="B25859" t="s">
        <v>77744</v>
      </c>
      <c r="C25859" t="str">
        <f>"2520000"</f>
        <v>2520000</v>
      </c>
      <c r="D25859" t="s">
        <v>77745</v>
      </c>
      <c r="F25859" t="s">
        <v>77746</v>
      </c>
      <c r="I25859" t="s">
        <v>184</v>
      </c>
      <c r="J25859" t="s">
        <v>30</v>
      </c>
      <c r="K25859" t="s">
        <v>185</v>
      </c>
      <c r="M25859" t="s">
        <v>50621</v>
      </c>
      <c r="N25859" t="str">
        <f>"6/3/2025 10:31:00 AM"</f>
        <v>6/3/2025 10:31:00 AM</v>
      </c>
      <c r="O25859" t="s">
        <v>77745</v>
      </c>
    </row>
    <row r="25860" spans="1:20" x14ac:dyDescent="0.25">
      <c r="A25860" t="str">
        <f>"3056569"</f>
        <v>3056569</v>
      </c>
      <c r="B25860" t="s">
        <v>77747</v>
      </c>
      <c r="C25860" t="str">
        <f>"8312608"</f>
        <v>8312608</v>
      </c>
      <c r="D25860" t="s">
        <v>77748</v>
      </c>
      <c r="E25860" t="s">
        <v>77749</v>
      </c>
      <c r="F25860" t="s">
        <v>77750</v>
      </c>
      <c r="I25860" t="s">
        <v>29</v>
      </c>
      <c r="J25860" t="s">
        <v>30</v>
      </c>
      <c r="K25860" t="s">
        <v>57108</v>
      </c>
      <c r="M25860" t="s">
        <v>50621</v>
      </c>
      <c r="N25860" t="str">
        <f>"6/3/2025 10:53:00 AM"</f>
        <v>6/3/2025 10:53:00 AM</v>
      </c>
      <c r="O25860" t="s">
        <v>77748</v>
      </c>
      <c r="T25860" t="s">
        <v>77749</v>
      </c>
    </row>
    <row r="25861" spans="1:20" x14ac:dyDescent="0.25">
      <c r="A25861" t="str">
        <f>"3077418"</f>
        <v>3077418</v>
      </c>
      <c r="B25861" t="s">
        <v>77751</v>
      </c>
      <c r="C25861" t="str">
        <f>"8318250"</f>
        <v>8318250</v>
      </c>
      <c r="D25861" t="s">
        <v>77752</v>
      </c>
      <c r="E25861" t="s">
        <v>77753</v>
      </c>
      <c r="F25861" t="s">
        <v>77754</v>
      </c>
      <c r="I25861" t="s">
        <v>29</v>
      </c>
      <c r="J25861" t="s">
        <v>30</v>
      </c>
      <c r="K25861" t="s">
        <v>77755</v>
      </c>
      <c r="M25861" t="s">
        <v>50793</v>
      </c>
      <c r="N25861" t="str">
        <f>"6/5/2025 9:55:00 AM"</f>
        <v>6/5/2025 9:55:00 AM</v>
      </c>
      <c r="O25861" t="s">
        <v>77752</v>
      </c>
      <c r="T25861" t="s">
        <v>77753</v>
      </c>
    </row>
    <row r="25862" spans="1:20" x14ac:dyDescent="0.25">
      <c r="A25862" t="str">
        <f>"3051154"</f>
        <v>3051154</v>
      </c>
      <c r="B25862" t="s">
        <v>77756</v>
      </c>
      <c r="C25862" t="str">
        <f>"8314154"</f>
        <v>8314154</v>
      </c>
      <c r="D25862" t="s">
        <v>77578</v>
      </c>
      <c r="E25862" t="s">
        <v>77579</v>
      </c>
      <c r="F25862" t="s">
        <v>77580</v>
      </c>
      <c r="I25862" t="s">
        <v>1107</v>
      </c>
      <c r="J25862" t="s">
        <v>30</v>
      </c>
      <c r="K25862" t="str">
        <f>"28625"</f>
        <v>28625</v>
      </c>
      <c r="M25862" t="s">
        <v>50621</v>
      </c>
      <c r="N25862" t="str">
        <f>"6/5/2025 11:10:00 AM"</f>
        <v>6/5/2025 11:10:00 AM</v>
      </c>
      <c r="O25862" t="s">
        <v>77578</v>
      </c>
      <c r="T25862" t="s">
        <v>77579</v>
      </c>
    </row>
    <row r="25863" spans="1:20" x14ac:dyDescent="0.25">
      <c r="A25863" t="str">
        <f>"3051378"</f>
        <v>3051378</v>
      </c>
      <c r="B25863" t="s">
        <v>77757</v>
      </c>
      <c r="C25863" t="str">
        <f>"8314154"</f>
        <v>8314154</v>
      </c>
      <c r="D25863" t="s">
        <v>77578</v>
      </c>
      <c r="E25863" t="s">
        <v>77579</v>
      </c>
      <c r="F25863" t="s">
        <v>77580</v>
      </c>
      <c r="I25863" t="s">
        <v>1107</v>
      </c>
      <c r="J25863" t="s">
        <v>30</v>
      </c>
      <c r="K25863" t="str">
        <f>"28625"</f>
        <v>28625</v>
      </c>
      <c r="M25863" t="s">
        <v>50621</v>
      </c>
      <c r="N25863" t="str">
        <f>"6/5/2025 11:10:00 AM"</f>
        <v>6/5/2025 11:10:00 AM</v>
      </c>
      <c r="O25863" t="s">
        <v>77578</v>
      </c>
      <c r="T25863" t="s">
        <v>77579</v>
      </c>
    </row>
    <row r="25864" spans="1:20" x14ac:dyDescent="0.25">
      <c r="A25864" t="str">
        <f>"3060951"</f>
        <v>3060951</v>
      </c>
      <c r="B25864" t="s">
        <v>77758</v>
      </c>
      <c r="C25864" t="str">
        <f>"8322683"</f>
        <v>8322683</v>
      </c>
      <c r="D25864" t="s">
        <v>77759</v>
      </c>
      <c r="E25864" t="str">
        <f>"C/O TODD HOLBROOK"</f>
        <v>C/O TODD HOLBROOK</v>
      </c>
      <c r="F25864" t="s">
        <v>77760</v>
      </c>
      <c r="I25864" t="s">
        <v>471</v>
      </c>
      <c r="J25864" t="s">
        <v>30</v>
      </c>
      <c r="K25864" t="s">
        <v>77761</v>
      </c>
      <c r="M25864" t="s">
        <v>50793</v>
      </c>
      <c r="N25864" t="str">
        <f>"6/9/2025 8:33:00 AM"</f>
        <v>6/9/2025 8:33:00 AM</v>
      </c>
      <c r="O25864" t="s">
        <v>77759</v>
      </c>
      <c r="T25864" t="str">
        <f>"C/O TODD HOLBROOK"</f>
        <v>C/O TODD HOLBROOK</v>
      </c>
    </row>
    <row r="25865" spans="1:20" x14ac:dyDescent="0.25">
      <c r="A25865" t="str">
        <f>"3052088"</f>
        <v>3052088</v>
      </c>
      <c r="B25865" t="s">
        <v>77762</v>
      </c>
      <c r="C25865" t="str">
        <f>"8306298"</f>
        <v>8306298</v>
      </c>
      <c r="D25865" t="s">
        <v>77763</v>
      </c>
      <c r="F25865" t="s">
        <v>77764</v>
      </c>
      <c r="I25865" t="s">
        <v>8536</v>
      </c>
      <c r="J25865" t="s">
        <v>30</v>
      </c>
      <c r="K25865" t="str">
        <f>"27264"</f>
        <v>27264</v>
      </c>
      <c r="L25865" t="s">
        <v>2497</v>
      </c>
      <c r="M25865" t="s">
        <v>25733</v>
      </c>
      <c r="N25865" t="str">
        <f>"6/9/2025 9:32:00 AM"</f>
        <v>6/9/2025 9:32:00 AM</v>
      </c>
      <c r="O25865" t="s">
        <v>77763</v>
      </c>
    </row>
    <row r="25866" spans="1:20" x14ac:dyDescent="0.25">
      <c r="A25866" t="str">
        <f>"3056812"</f>
        <v>3056812</v>
      </c>
      <c r="B25866" t="s">
        <v>77765</v>
      </c>
      <c r="C25866" t="str">
        <f>"8317491"</f>
        <v>8317491</v>
      </c>
      <c r="D25866" t="s">
        <v>77766</v>
      </c>
      <c r="E25866" t="s">
        <v>68512</v>
      </c>
      <c r="F25866" t="s">
        <v>68513</v>
      </c>
      <c r="I25866" t="s">
        <v>29</v>
      </c>
      <c r="J25866" t="s">
        <v>30</v>
      </c>
      <c r="K25866" t="s">
        <v>4354</v>
      </c>
      <c r="M25866" t="s">
        <v>50793</v>
      </c>
      <c r="N25866" t="str">
        <f>"6/9/2025 10:38:00 AM"</f>
        <v>6/9/2025 10:38:00 AM</v>
      </c>
      <c r="O25866" t="s">
        <v>77766</v>
      </c>
      <c r="T25866" t="s">
        <v>68512</v>
      </c>
    </row>
    <row r="25867" spans="1:20" x14ac:dyDescent="0.25">
      <c r="A25867" t="str">
        <f>"3056268"</f>
        <v>3056268</v>
      </c>
      <c r="B25867" t="s">
        <v>77767</v>
      </c>
      <c r="C25867" t="str">
        <f>"8317491"</f>
        <v>8317491</v>
      </c>
      <c r="D25867" t="s">
        <v>77766</v>
      </c>
      <c r="E25867" t="s">
        <v>68512</v>
      </c>
      <c r="F25867" t="s">
        <v>68513</v>
      </c>
      <c r="I25867" t="s">
        <v>29</v>
      </c>
      <c r="J25867" t="s">
        <v>30</v>
      </c>
      <c r="K25867" t="s">
        <v>4354</v>
      </c>
      <c r="M25867" t="s">
        <v>50793</v>
      </c>
      <c r="N25867" t="str">
        <f>"6/9/2025 10:38:00 AM"</f>
        <v>6/9/2025 10:38:00 AM</v>
      </c>
      <c r="O25867" t="s">
        <v>77766</v>
      </c>
      <c r="T25867" t="s">
        <v>68512</v>
      </c>
    </row>
    <row r="25868" spans="1:20" x14ac:dyDescent="0.25">
      <c r="A25868" t="str">
        <f>"3057941"</f>
        <v>3057941</v>
      </c>
      <c r="B25868" t="s">
        <v>77768</v>
      </c>
      <c r="C25868" t="str">
        <f>"8305669"</f>
        <v>8305669</v>
      </c>
      <c r="D25868" t="s">
        <v>67638</v>
      </c>
      <c r="E25868" t="s">
        <v>77769</v>
      </c>
      <c r="F25868" t="s">
        <v>77770</v>
      </c>
      <c r="I25868" t="s">
        <v>184</v>
      </c>
      <c r="J25868" t="s">
        <v>30</v>
      </c>
      <c r="K25868" t="str">
        <f>"27006"</f>
        <v>27006</v>
      </c>
      <c r="M25868" t="s">
        <v>50621</v>
      </c>
      <c r="N25868" t="str">
        <f>"6/13/2025 10:03:00 AM"</f>
        <v>6/13/2025 10:03:00 AM</v>
      </c>
      <c r="O25868" t="s">
        <v>67638</v>
      </c>
      <c r="T25868" t="s">
        <v>77769</v>
      </c>
    </row>
    <row r="25869" spans="1:20" x14ac:dyDescent="0.25">
      <c r="A25869" t="str">
        <f>"3039451"</f>
        <v>3039451</v>
      </c>
      <c r="B25869" t="s">
        <v>77771</v>
      </c>
      <c r="C25869" t="str">
        <f>"8320786"</f>
        <v>8320786</v>
      </c>
      <c r="D25869" t="s">
        <v>77772</v>
      </c>
      <c r="F25869" t="s">
        <v>77773</v>
      </c>
      <c r="I25869" t="s">
        <v>184</v>
      </c>
      <c r="J25869" t="s">
        <v>30</v>
      </c>
      <c r="K25869" t="s">
        <v>77774</v>
      </c>
      <c r="M25869" t="s">
        <v>25733</v>
      </c>
      <c r="N25869" t="str">
        <f>"6/30/2025 9:45:00 AM"</f>
        <v>6/30/2025 9:45:00 AM</v>
      </c>
      <c r="O25869" t="s">
        <v>77772</v>
      </c>
    </row>
    <row r="25870" spans="1:20" x14ac:dyDescent="0.25">
      <c r="A25870" t="str">
        <f>"3039280"</f>
        <v>3039280</v>
      </c>
      <c r="B25870" t="s">
        <v>77775</v>
      </c>
      <c r="C25870" t="str">
        <f>"71832000"</f>
        <v>71832000</v>
      </c>
      <c r="D25870" t="s">
        <v>77776</v>
      </c>
      <c r="E25870" t="s">
        <v>77777</v>
      </c>
      <c r="F25870" t="s">
        <v>77778</v>
      </c>
      <c r="I25870" t="s">
        <v>29</v>
      </c>
      <c r="J25870" t="s">
        <v>30</v>
      </c>
      <c r="K25870" t="s">
        <v>31</v>
      </c>
      <c r="M25870" t="s">
        <v>50621</v>
      </c>
      <c r="N25870" t="str">
        <f>"6/30/2025 9:50:00 AM"</f>
        <v>6/30/2025 9:50:00 AM</v>
      </c>
      <c r="O25870" t="s">
        <v>77776</v>
      </c>
      <c r="T25870" t="s">
        <v>77777</v>
      </c>
    </row>
    <row r="25871" spans="1:20" x14ac:dyDescent="0.25">
      <c r="A25871" t="str">
        <f>"3039970"</f>
        <v>3039970</v>
      </c>
      <c r="B25871" t="s">
        <v>77779</v>
      </c>
      <c r="C25871" t="str">
        <f>"71832000"</f>
        <v>71832000</v>
      </c>
      <c r="D25871" t="s">
        <v>77776</v>
      </c>
      <c r="E25871" t="s">
        <v>77777</v>
      </c>
      <c r="F25871" t="s">
        <v>77778</v>
      </c>
      <c r="I25871" t="s">
        <v>29</v>
      </c>
      <c r="J25871" t="s">
        <v>30</v>
      </c>
      <c r="K25871" t="s">
        <v>31</v>
      </c>
      <c r="M25871" t="s">
        <v>50621</v>
      </c>
      <c r="N25871" t="str">
        <f>"6/30/2025 9:50:00 AM"</f>
        <v>6/30/2025 9:50:00 AM</v>
      </c>
      <c r="O25871" t="s">
        <v>77776</v>
      </c>
      <c r="T25871" t="s">
        <v>77777</v>
      </c>
    </row>
    <row r="25872" spans="1:20" x14ac:dyDescent="0.25">
      <c r="A25872" t="str">
        <f>"3040144"</f>
        <v>3040144</v>
      </c>
      <c r="B25872" t="s">
        <v>77780</v>
      </c>
      <c r="C25872" t="str">
        <f>"71832000"</f>
        <v>71832000</v>
      </c>
      <c r="D25872" t="s">
        <v>77776</v>
      </c>
      <c r="E25872" t="s">
        <v>77777</v>
      </c>
      <c r="F25872" t="s">
        <v>77778</v>
      </c>
      <c r="I25872" t="s">
        <v>29</v>
      </c>
      <c r="J25872" t="s">
        <v>30</v>
      </c>
      <c r="K25872" t="s">
        <v>31</v>
      </c>
      <c r="M25872" t="s">
        <v>50621</v>
      </c>
      <c r="N25872" t="str">
        <f>"6/30/2025 9:50:00 AM"</f>
        <v>6/30/2025 9:50:00 AM</v>
      </c>
      <c r="O25872" t="s">
        <v>77776</v>
      </c>
      <c r="T25872" t="s">
        <v>77777</v>
      </c>
    </row>
    <row r="25873" spans="1:20" x14ac:dyDescent="0.25">
      <c r="A25873" t="str">
        <f>"3054363"</f>
        <v>3054363</v>
      </c>
      <c r="B25873" t="s">
        <v>77781</v>
      </c>
      <c r="C25873" t="str">
        <f>"8306903"</f>
        <v>8306903</v>
      </c>
      <c r="D25873" t="s">
        <v>35835</v>
      </c>
      <c r="E25873" t="s">
        <v>77782</v>
      </c>
      <c r="F25873" t="s">
        <v>77783</v>
      </c>
      <c r="I25873" t="s">
        <v>29</v>
      </c>
      <c r="J25873" t="s">
        <v>30</v>
      </c>
      <c r="K25873" t="str">
        <f>"27028"</f>
        <v>27028</v>
      </c>
      <c r="M25873" t="s">
        <v>50621</v>
      </c>
      <c r="N25873" t="str">
        <f>"6/30/2025 10:08:00 AM"</f>
        <v>6/30/2025 10:08:00 AM</v>
      </c>
      <c r="O25873" t="s">
        <v>35835</v>
      </c>
      <c r="T25873" t="s">
        <v>77782</v>
      </c>
    </row>
    <row r="25874" spans="1:20" x14ac:dyDescent="0.25">
      <c r="A25874" t="str">
        <f>"3038820"</f>
        <v>3038820</v>
      </c>
      <c r="B25874" t="s">
        <v>77784</v>
      </c>
      <c r="C25874" t="str">
        <f>"82528682"</f>
        <v>82528682</v>
      </c>
      <c r="D25874" t="s">
        <v>77785</v>
      </c>
      <c r="F25874" t="s">
        <v>77786</v>
      </c>
      <c r="I25874" t="s">
        <v>29</v>
      </c>
      <c r="J25874" t="s">
        <v>30</v>
      </c>
      <c r="K25874" t="s">
        <v>41696</v>
      </c>
      <c r="M25874" t="s">
        <v>50621</v>
      </c>
      <c r="N25874" t="str">
        <f>"6/30/2025 10:10:00 AM"</f>
        <v>6/30/2025 10:10:00 AM</v>
      </c>
      <c r="O25874" t="s">
        <v>77785</v>
      </c>
    </row>
    <row r="25875" spans="1:20" x14ac:dyDescent="0.25">
      <c r="A25875" t="str">
        <f>"3052744"</f>
        <v>3052744</v>
      </c>
      <c r="B25875" t="s">
        <v>77787</v>
      </c>
      <c r="C25875" t="str">
        <f>"82517223"</f>
        <v>82517223</v>
      </c>
      <c r="D25875" t="s">
        <v>77650</v>
      </c>
      <c r="F25875" t="s">
        <v>77651</v>
      </c>
      <c r="I25875" t="s">
        <v>29</v>
      </c>
      <c r="J25875" t="s">
        <v>30</v>
      </c>
      <c r="K25875" t="s">
        <v>32101</v>
      </c>
      <c r="M25875" t="s">
        <v>51351</v>
      </c>
      <c r="N25875" t="str">
        <f>"6/13/2025 2:13:00 PM"</f>
        <v>6/13/2025 2:13:00 PM</v>
      </c>
      <c r="O25875" t="s">
        <v>77650</v>
      </c>
    </row>
    <row r="25876" spans="1:20" x14ac:dyDescent="0.25">
      <c r="A25876" t="str">
        <f>"3053432"</f>
        <v>3053432</v>
      </c>
      <c r="B25876" t="s">
        <v>77788</v>
      </c>
      <c r="C25876" t="str">
        <f>"8315225"</f>
        <v>8315225</v>
      </c>
      <c r="D25876" t="s">
        <v>77789</v>
      </c>
      <c r="F25876" t="s">
        <v>77790</v>
      </c>
      <c r="I25876" t="s">
        <v>29</v>
      </c>
      <c r="J25876" t="s">
        <v>30</v>
      </c>
      <c r="K25876" t="s">
        <v>77791</v>
      </c>
      <c r="M25876" t="s">
        <v>50793</v>
      </c>
      <c r="N25876" t="str">
        <f>"6/19/2025 9:27:00 AM"</f>
        <v>6/19/2025 9:27:00 AM</v>
      </c>
      <c r="O25876" t="s">
        <v>77789</v>
      </c>
    </row>
    <row r="25877" spans="1:20" x14ac:dyDescent="0.25">
      <c r="A25877" t="str">
        <f>"3053574"</f>
        <v>3053574</v>
      </c>
      <c r="B25877" t="s">
        <v>77792</v>
      </c>
      <c r="C25877" t="str">
        <f>"75257000"</f>
        <v>75257000</v>
      </c>
      <c r="D25877" t="s">
        <v>77793</v>
      </c>
      <c r="F25877" t="s">
        <v>77794</v>
      </c>
      <c r="I25877" t="s">
        <v>184</v>
      </c>
      <c r="J25877" t="s">
        <v>30</v>
      </c>
      <c r="K25877" t="s">
        <v>66784</v>
      </c>
      <c r="M25877" t="s">
        <v>50793</v>
      </c>
      <c r="N25877" t="str">
        <f>"6/19/2025 9:29:00 AM"</f>
        <v>6/19/2025 9:29:00 AM</v>
      </c>
      <c r="O25877" t="s">
        <v>77793</v>
      </c>
    </row>
    <row r="25878" spans="1:20" x14ac:dyDescent="0.25">
      <c r="A25878" t="str">
        <f>"3072748"</f>
        <v>3072748</v>
      </c>
      <c r="B25878" t="s">
        <v>77795</v>
      </c>
      <c r="C25878" t="str">
        <f>"46906660"</f>
        <v>46906660</v>
      </c>
      <c r="D25878" t="s">
        <v>77796</v>
      </c>
      <c r="E25878" t="str">
        <f>"C/O RYAN LLC"</f>
        <v>C/O RYAN LLC</v>
      </c>
      <c r="F25878" t="s">
        <v>77703</v>
      </c>
      <c r="I25878" t="s">
        <v>75340</v>
      </c>
      <c r="J25878" t="s">
        <v>17511</v>
      </c>
      <c r="K25878" t="s">
        <v>77704</v>
      </c>
      <c r="M25878" t="s">
        <v>18479</v>
      </c>
      <c r="N25878" t="str">
        <f>"6/20/2025 10:37:00 AM"</f>
        <v>6/20/2025 10:37:00 AM</v>
      </c>
      <c r="O25878" t="s">
        <v>77796</v>
      </c>
      <c r="T25878" t="str">
        <f>"C/O RYAN LLC"</f>
        <v>C/O RYAN LLC</v>
      </c>
    </row>
    <row r="25879" spans="1:20" x14ac:dyDescent="0.25">
      <c r="A25879" t="str">
        <f>"3077409"</f>
        <v>3077409</v>
      </c>
      <c r="B25879" t="s">
        <v>77797</v>
      </c>
      <c r="C25879" t="str">
        <f>"8324562"</f>
        <v>8324562</v>
      </c>
      <c r="D25879" t="s">
        <v>77798</v>
      </c>
      <c r="F25879" t="s">
        <v>77799</v>
      </c>
      <c r="I25879" t="s">
        <v>184</v>
      </c>
      <c r="J25879" t="s">
        <v>30</v>
      </c>
      <c r="K25879" t="s">
        <v>4789</v>
      </c>
      <c r="M25879" t="s">
        <v>50500</v>
      </c>
      <c r="N25879" t="str">
        <f>"6/23/2025 11:19:00 AM"</f>
        <v>6/23/2025 11:19:00 AM</v>
      </c>
      <c r="O25879" t="s">
        <v>77798</v>
      </c>
    </row>
    <row r="25880" spans="1:20" x14ac:dyDescent="0.25">
      <c r="A25880" t="str">
        <f>"3062985"</f>
        <v>3062985</v>
      </c>
      <c r="B25880" t="s">
        <v>77800</v>
      </c>
      <c r="C25880" t="str">
        <f>"8313656"</f>
        <v>8313656</v>
      </c>
      <c r="D25880" t="s">
        <v>77801</v>
      </c>
      <c r="E25880" t="s">
        <v>77802</v>
      </c>
      <c r="F25880" t="s">
        <v>77803</v>
      </c>
      <c r="I25880" t="s">
        <v>184</v>
      </c>
      <c r="J25880" t="s">
        <v>30</v>
      </c>
      <c r="K25880" t="s">
        <v>5909</v>
      </c>
      <c r="M25880" t="s">
        <v>25733</v>
      </c>
      <c r="N25880" t="str">
        <f>"6/23/2025 12:16:00 PM"</f>
        <v>6/23/2025 12:16:00 PM</v>
      </c>
      <c r="O25880" t="s">
        <v>77801</v>
      </c>
      <c r="T25880" t="s">
        <v>77802</v>
      </c>
    </row>
    <row r="25881" spans="1:20" x14ac:dyDescent="0.25">
      <c r="A25881" t="str">
        <f>"3042076"</f>
        <v>3042076</v>
      </c>
      <c r="B25881" t="s">
        <v>77804</v>
      </c>
      <c r="C25881" t="str">
        <f>"8310536"</f>
        <v>8310536</v>
      </c>
      <c r="D25881" t="s">
        <v>77805</v>
      </c>
      <c r="F25881" t="s">
        <v>62174</v>
      </c>
      <c r="I25881" t="s">
        <v>402</v>
      </c>
      <c r="J25881" t="s">
        <v>30</v>
      </c>
      <c r="K25881" t="s">
        <v>62175</v>
      </c>
      <c r="M25881" t="s">
        <v>50621</v>
      </c>
      <c r="N25881" t="str">
        <f>"6/24/2025 11:08:00 AM"</f>
        <v>6/24/2025 11:08:00 AM</v>
      </c>
      <c r="O25881" t="s">
        <v>77805</v>
      </c>
    </row>
    <row r="25882" spans="1:20" x14ac:dyDescent="0.25">
      <c r="A25882" t="str">
        <f>"3075708"</f>
        <v>3075708</v>
      </c>
      <c r="B25882" t="s">
        <v>77806</v>
      </c>
      <c r="C25882" t="str">
        <f>"8304414"</f>
        <v>8304414</v>
      </c>
      <c r="D25882" t="s">
        <v>77807</v>
      </c>
      <c r="E25882" t="s">
        <v>77808</v>
      </c>
      <c r="F25882" t="s">
        <v>77809</v>
      </c>
      <c r="I25882" t="s">
        <v>184</v>
      </c>
      <c r="J25882" t="s">
        <v>30</v>
      </c>
      <c r="K25882" t="s">
        <v>39885</v>
      </c>
      <c r="M25882" t="s">
        <v>67210</v>
      </c>
      <c r="N25882" t="str">
        <f>"5/30/2025 10:21:00 AM"</f>
        <v>5/30/2025 10:21:00 AM</v>
      </c>
      <c r="O25882" t="s">
        <v>77807</v>
      </c>
      <c r="T25882" t="s">
        <v>77808</v>
      </c>
    </row>
    <row r="25883" spans="1:20" x14ac:dyDescent="0.25">
      <c r="A25883" t="str">
        <f>"3055869"</f>
        <v>3055869</v>
      </c>
      <c r="B25883" t="s">
        <v>77810</v>
      </c>
      <c r="C25883" t="str">
        <f>"66781250"</f>
        <v>66781250</v>
      </c>
      <c r="D25883" t="s">
        <v>77811</v>
      </c>
      <c r="E25883" t="s">
        <v>77812</v>
      </c>
      <c r="F25883" t="s">
        <v>77813</v>
      </c>
      <c r="I25883" t="s">
        <v>2280</v>
      </c>
      <c r="J25883" t="s">
        <v>30</v>
      </c>
      <c r="K25883" t="s">
        <v>77814</v>
      </c>
      <c r="M25883" t="s">
        <v>50621</v>
      </c>
      <c r="N25883" t="str">
        <f>"5/30/2025 2:46:00 PM"</f>
        <v>5/30/2025 2:46:00 PM</v>
      </c>
      <c r="O25883" t="s">
        <v>77811</v>
      </c>
      <c r="T25883" t="s">
        <v>77812</v>
      </c>
    </row>
    <row r="25884" spans="1:20" x14ac:dyDescent="0.25">
      <c r="A25884" t="str">
        <f>"3055707"</f>
        <v>3055707</v>
      </c>
      <c r="B25884" t="s">
        <v>77815</v>
      </c>
      <c r="C25884" t="str">
        <f>"66781250"</f>
        <v>66781250</v>
      </c>
      <c r="D25884" t="s">
        <v>77811</v>
      </c>
      <c r="E25884" t="s">
        <v>77812</v>
      </c>
      <c r="F25884" t="s">
        <v>77813</v>
      </c>
      <c r="I25884" t="s">
        <v>2280</v>
      </c>
      <c r="J25884" t="s">
        <v>30</v>
      </c>
      <c r="K25884" t="s">
        <v>77814</v>
      </c>
      <c r="M25884" t="s">
        <v>50621</v>
      </c>
      <c r="N25884" t="str">
        <f>"5/30/2025 2:46:00 PM"</f>
        <v>5/30/2025 2:46:00 PM</v>
      </c>
      <c r="O25884" t="s">
        <v>77811</v>
      </c>
      <c r="T25884" t="s">
        <v>77812</v>
      </c>
    </row>
    <row r="25885" spans="1:20" x14ac:dyDescent="0.25">
      <c r="A25885" t="str">
        <f>"3057128"</f>
        <v>3057128</v>
      </c>
      <c r="B25885" t="s">
        <v>77816</v>
      </c>
      <c r="C25885" t="str">
        <f>"82532556"</f>
        <v>82532556</v>
      </c>
      <c r="D25885" t="s">
        <v>77817</v>
      </c>
      <c r="E25885" t="s">
        <v>77818</v>
      </c>
      <c r="F25885" t="s">
        <v>77819</v>
      </c>
      <c r="I25885" t="s">
        <v>77820</v>
      </c>
      <c r="J25885" t="s">
        <v>30</v>
      </c>
      <c r="K25885" t="s">
        <v>77821</v>
      </c>
      <c r="M25885" t="s">
        <v>50621</v>
      </c>
      <c r="N25885" t="str">
        <f>"5/30/2025 3:34:00 PM"</f>
        <v>5/30/2025 3:34:00 PM</v>
      </c>
      <c r="O25885" t="s">
        <v>77817</v>
      </c>
      <c r="T25885" t="s">
        <v>77818</v>
      </c>
    </row>
    <row r="25886" spans="1:20" x14ac:dyDescent="0.25">
      <c r="A25886" t="str">
        <f>"3048999"</f>
        <v>3048999</v>
      </c>
      <c r="B25886" t="s">
        <v>77822</v>
      </c>
      <c r="C25886" t="str">
        <f>"8311851"</f>
        <v>8311851</v>
      </c>
      <c r="D25886" t="s">
        <v>77823</v>
      </c>
      <c r="E25886" t="s">
        <v>77824</v>
      </c>
      <c r="F25886" t="s">
        <v>77825</v>
      </c>
      <c r="I25886" t="s">
        <v>77826</v>
      </c>
      <c r="J25886" t="s">
        <v>11697</v>
      </c>
      <c r="K25886" t="s">
        <v>77827</v>
      </c>
      <c r="M25886" t="s">
        <v>50621</v>
      </c>
      <c r="N25886" t="str">
        <f>"6/27/2025 12:09:00 PM"</f>
        <v>6/27/2025 12:09:00 PM</v>
      </c>
      <c r="O25886" t="s">
        <v>77823</v>
      </c>
      <c r="T25886" t="s">
        <v>77824</v>
      </c>
    </row>
    <row r="25887" spans="1:20" x14ac:dyDescent="0.25">
      <c r="A25887" t="str">
        <f>"3078650"</f>
        <v>3078650</v>
      </c>
      <c r="B25887" t="s">
        <v>77828</v>
      </c>
      <c r="C25887" t="str">
        <f>"8324586"</f>
        <v>8324586</v>
      </c>
      <c r="D25887" t="s">
        <v>77829</v>
      </c>
      <c r="F25887" t="s">
        <v>77830</v>
      </c>
      <c r="I25887" t="s">
        <v>29</v>
      </c>
      <c r="J25887" t="s">
        <v>30</v>
      </c>
      <c r="K25887" t="s">
        <v>11800</v>
      </c>
      <c r="M25887" t="s">
        <v>50500</v>
      </c>
      <c r="N25887" t="str">
        <f>"6/27/2025 3:02:00 PM"</f>
        <v>6/27/2025 3:02:00 PM</v>
      </c>
      <c r="O25887" t="s">
        <v>77829</v>
      </c>
    </row>
    <row r="25888" spans="1:20" x14ac:dyDescent="0.25">
      <c r="A25888" t="str">
        <f>"3078656"</f>
        <v>3078656</v>
      </c>
      <c r="B25888" t="s">
        <v>77831</v>
      </c>
      <c r="C25888" t="str">
        <f>"8324587"</f>
        <v>8324587</v>
      </c>
      <c r="D25888" t="s">
        <v>77832</v>
      </c>
      <c r="F25888" t="s">
        <v>77833</v>
      </c>
      <c r="I25888" t="s">
        <v>184</v>
      </c>
      <c r="J25888" t="s">
        <v>30</v>
      </c>
      <c r="K25888" t="s">
        <v>55232</v>
      </c>
      <c r="M25888" t="s">
        <v>50500</v>
      </c>
      <c r="N25888" t="str">
        <f>"6/27/2025 3:42:00 PM"</f>
        <v>6/27/2025 3:42:00 PM</v>
      </c>
      <c r="O25888" t="s">
        <v>77832</v>
      </c>
    </row>
    <row r="25889" spans="1:20" x14ac:dyDescent="0.25">
      <c r="A25889" t="str">
        <f>"3057363"</f>
        <v>3057363</v>
      </c>
      <c r="B25889" t="s">
        <v>77834</v>
      </c>
      <c r="C25889" t="str">
        <f>"8322779"</f>
        <v>8322779</v>
      </c>
      <c r="D25889" t="s">
        <v>48392</v>
      </c>
      <c r="F25889" t="s">
        <v>64811</v>
      </c>
      <c r="I25889" t="s">
        <v>184</v>
      </c>
      <c r="J25889" t="s">
        <v>30</v>
      </c>
      <c r="K25889" t="s">
        <v>4269</v>
      </c>
      <c r="M25889" t="s">
        <v>18479</v>
      </c>
      <c r="N25889" t="str">
        <f>"6/29/2025 9:06:00 PM"</f>
        <v>6/29/2025 9:06:00 PM</v>
      </c>
      <c r="O25889" t="s">
        <v>48392</v>
      </c>
    </row>
    <row r="25890" spans="1:20" x14ac:dyDescent="0.25">
      <c r="A25890" t="str">
        <f>"3057317"</f>
        <v>3057317</v>
      </c>
      <c r="B25890" t="s">
        <v>77835</v>
      </c>
      <c r="C25890" t="str">
        <f>"8322779"</f>
        <v>8322779</v>
      </c>
      <c r="D25890" t="s">
        <v>48392</v>
      </c>
      <c r="F25890" t="s">
        <v>64811</v>
      </c>
      <c r="I25890" t="s">
        <v>184</v>
      </c>
      <c r="J25890" t="s">
        <v>30</v>
      </c>
      <c r="K25890" t="s">
        <v>4269</v>
      </c>
      <c r="M25890" t="s">
        <v>18479</v>
      </c>
      <c r="N25890" t="str">
        <f>"6/29/2025 9:06:00 PM"</f>
        <v>6/29/2025 9:06:00 PM</v>
      </c>
      <c r="O25890" t="s">
        <v>48392</v>
      </c>
    </row>
    <row r="25891" spans="1:20" x14ac:dyDescent="0.25">
      <c r="A25891" t="str">
        <f>"3057311"</f>
        <v>3057311</v>
      </c>
      <c r="B25891" t="s">
        <v>77836</v>
      </c>
      <c r="C25891" t="str">
        <f>"8322779"</f>
        <v>8322779</v>
      </c>
      <c r="D25891" t="s">
        <v>48392</v>
      </c>
      <c r="F25891" t="s">
        <v>64811</v>
      </c>
      <c r="I25891" t="s">
        <v>184</v>
      </c>
      <c r="J25891" t="s">
        <v>30</v>
      </c>
      <c r="K25891" t="s">
        <v>4269</v>
      </c>
      <c r="M25891" t="s">
        <v>18479</v>
      </c>
      <c r="N25891" t="str">
        <f>"6/29/2025 9:06:00 PM"</f>
        <v>6/29/2025 9:06:00 PM</v>
      </c>
      <c r="O25891" t="s">
        <v>48392</v>
      </c>
    </row>
    <row r="25892" spans="1:20" x14ac:dyDescent="0.25">
      <c r="A25892" t="str">
        <f>"3071292"</f>
        <v>3071292</v>
      </c>
      <c r="B25892" t="s">
        <v>77837</v>
      </c>
      <c r="C25892" t="str">
        <f>"8317062"</f>
        <v>8317062</v>
      </c>
      <c r="D25892" t="s">
        <v>77838</v>
      </c>
      <c r="F25892" t="s">
        <v>77839</v>
      </c>
      <c r="I25892" t="s">
        <v>184</v>
      </c>
      <c r="J25892" t="s">
        <v>30</v>
      </c>
      <c r="K25892" t="s">
        <v>63626</v>
      </c>
      <c r="M25892" t="s">
        <v>18479</v>
      </c>
      <c r="N25892" t="str">
        <f>"6/30/2025 12:39:00 AM"</f>
        <v>6/30/2025 12:39:00 AM</v>
      </c>
      <c r="O25892" t="s">
        <v>77838</v>
      </c>
    </row>
    <row r="25893" spans="1:20" x14ac:dyDescent="0.25">
      <c r="A25893" t="str">
        <f>"3061338"</f>
        <v>3061338</v>
      </c>
      <c r="B25893" t="s">
        <v>77840</v>
      </c>
      <c r="C25893" t="str">
        <f>"8315594"</f>
        <v>8315594</v>
      </c>
      <c r="D25893" t="s">
        <v>77841</v>
      </c>
      <c r="F25893" t="s">
        <v>77842</v>
      </c>
      <c r="I25893" t="s">
        <v>184</v>
      </c>
      <c r="J25893" t="s">
        <v>30</v>
      </c>
      <c r="K25893" t="s">
        <v>5214</v>
      </c>
      <c r="M25893" t="s">
        <v>25733</v>
      </c>
      <c r="N25893" t="str">
        <f>"6/30/2025 9:43:00 AM"</f>
        <v>6/30/2025 9:43:00 AM</v>
      </c>
      <c r="O25893" t="s">
        <v>77841</v>
      </c>
    </row>
    <row r="25894" spans="1:20" x14ac:dyDescent="0.25">
      <c r="A25894" t="str">
        <f>"3061555"</f>
        <v>3061555</v>
      </c>
      <c r="B25894" t="s">
        <v>77843</v>
      </c>
      <c r="C25894" t="str">
        <f>"8320786"</f>
        <v>8320786</v>
      </c>
      <c r="D25894" t="s">
        <v>77772</v>
      </c>
      <c r="F25894" t="s">
        <v>77773</v>
      </c>
      <c r="I25894" t="s">
        <v>184</v>
      </c>
      <c r="J25894" t="s">
        <v>30</v>
      </c>
      <c r="K25894" t="s">
        <v>77774</v>
      </c>
      <c r="M25894" t="s">
        <v>25733</v>
      </c>
      <c r="N25894" t="str">
        <f>"6/30/2025 9:45:00 AM"</f>
        <v>6/30/2025 9:45:00 AM</v>
      </c>
      <c r="O25894" t="s">
        <v>77772</v>
      </c>
    </row>
    <row r="25895" spans="1:20" x14ac:dyDescent="0.25">
      <c r="A25895" t="str">
        <f>"3058560"</f>
        <v>3058560</v>
      </c>
      <c r="B25895" t="s">
        <v>77844</v>
      </c>
      <c r="C25895" t="str">
        <f>"8315110"</f>
        <v>8315110</v>
      </c>
      <c r="D25895" t="s">
        <v>77845</v>
      </c>
      <c r="F25895" t="s">
        <v>77846</v>
      </c>
      <c r="G25895" t="s">
        <v>77847</v>
      </c>
      <c r="I25895" t="s">
        <v>3196</v>
      </c>
      <c r="J25895" t="s">
        <v>30</v>
      </c>
      <c r="K25895" t="s">
        <v>77848</v>
      </c>
      <c r="M25895" t="s">
        <v>25733</v>
      </c>
      <c r="N25895" t="str">
        <f>"6/26/2025 1:09:00 PM"</f>
        <v>6/26/2025 1:09:00 PM</v>
      </c>
      <c r="O25895" t="s">
        <v>77845</v>
      </c>
    </row>
    <row r="25896" spans="1:20" x14ac:dyDescent="0.25">
      <c r="A25896" t="str">
        <f>"3062893"</f>
        <v>3062893</v>
      </c>
      <c r="B25896" t="s">
        <v>77849</v>
      </c>
      <c r="C25896" t="str">
        <f>"8321966"</f>
        <v>8321966</v>
      </c>
      <c r="D25896" t="s">
        <v>77850</v>
      </c>
      <c r="F25896" t="s">
        <v>77851</v>
      </c>
      <c r="I25896" t="s">
        <v>29</v>
      </c>
      <c r="J25896" t="s">
        <v>30</v>
      </c>
      <c r="K25896" t="s">
        <v>77852</v>
      </c>
      <c r="M25896" t="s">
        <v>50793</v>
      </c>
      <c r="N25896" t="str">
        <f>"6/27/2025 8:41:00 AM"</f>
        <v>6/27/2025 8:41:00 AM</v>
      </c>
      <c r="O25896" t="s">
        <v>77850</v>
      </c>
    </row>
    <row r="25897" spans="1:20" x14ac:dyDescent="0.25">
      <c r="A25897" t="str">
        <f>"3054587"</f>
        <v>3054587</v>
      </c>
      <c r="B25897" t="s">
        <v>77853</v>
      </c>
      <c r="C25897" t="str">
        <f>"57059310"</f>
        <v>57059310</v>
      </c>
      <c r="D25897" t="s">
        <v>77854</v>
      </c>
      <c r="F25897" t="s">
        <v>77855</v>
      </c>
      <c r="I25897" t="s">
        <v>29</v>
      </c>
      <c r="J25897" t="s">
        <v>30</v>
      </c>
      <c r="K25897" t="s">
        <v>31</v>
      </c>
      <c r="M25897" t="s">
        <v>50793</v>
      </c>
      <c r="N25897" t="str">
        <f>"6/27/2025 10:08:00 AM"</f>
        <v>6/27/2025 10:08:00 AM</v>
      </c>
      <c r="O25897" t="s">
        <v>77854</v>
      </c>
    </row>
    <row r="25898" spans="1:20" x14ac:dyDescent="0.25">
      <c r="A25898" t="str">
        <f>"3054038"</f>
        <v>3054038</v>
      </c>
      <c r="B25898" t="s">
        <v>77856</v>
      </c>
      <c r="C25898" t="str">
        <f>"82517996"</f>
        <v>82517996</v>
      </c>
      <c r="D25898" t="s">
        <v>77857</v>
      </c>
      <c r="E25898" t="s">
        <v>77858</v>
      </c>
      <c r="F25898" t="s">
        <v>11856</v>
      </c>
      <c r="I25898" t="s">
        <v>29</v>
      </c>
      <c r="J25898" t="s">
        <v>30</v>
      </c>
      <c r="K25898" t="s">
        <v>31</v>
      </c>
      <c r="M25898" t="s">
        <v>50793</v>
      </c>
      <c r="N25898" t="str">
        <f>"6/27/2025 10:10:00 AM"</f>
        <v>6/27/2025 10:10:00 AM</v>
      </c>
      <c r="O25898" t="s">
        <v>77857</v>
      </c>
      <c r="T25898" t="s">
        <v>77858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vdx_RP_Account_2025071006262515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Jamon Gaddy</dc:creator>
  <cp:lastModifiedBy>Jamon Gaddy</cp:lastModifiedBy>
  <dcterms:created xsi:type="dcterms:W3CDTF">2025-07-10T10:33:39Z</dcterms:created>
  <dcterms:modified xsi:type="dcterms:W3CDTF">2025-07-10T10:34:13Z</dcterms:modified>
</cp:coreProperties>
</file>